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<sst xmlns="http://schemas.openxmlformats.org/spreadsheetml/2006/main" count="296823" uniqueCount="61808">
  <si>
    <t>Reference Number</t>
  </si>
  <si>
    <t>Procuring Entity</t>
  </si>
  <si>
    <t>Title</t>
  </si>
  <si>
    <t>Area of Delivery</t>
  </si>
  <si>
    <t>Solicitation Number</t>
  </si>
  <si>
    <t>Trade Agreement</t>
  </si>
  <si>
    <t>Procurement Mode</t>
  </si>
  <si>
    <t>Classification</t>
  </si>
  <si>
    <t>Category</t>
  </si>
  <si>
    <t>Approved Budget for the Contract</t>
  </si>
  <si>
    <t>Contract Duration</t>
  </si>
  <si>
    <t>Client Agency</t>
  </si>
  <si>
    <t>Contact Person</t>
  </si>
  <si>
    <t>Status</t>
  </si>
  <si>
    <t>Associated Components</t>
  </si>
  <si>
    <t>Bid Supplements</t>
  </si>
  <si>
    <t>Document Request List</t>
  </si>
  <si>
    <t>Date Published</t>
  </si>
  <si>
    <t>Last Updated / Time</t>
  </si>
  <si>
    <t>Closing Date / Time</t>
  </si>
  <si>
    <t>Description</t>
  </si>
  <si>
    <t>Other Information</t>
  </si>
  <si>
    <t>Created by</t>
  </si>
  <si>
    <t>Date Created</t>
  </si>
  <si>
    <t>UNIVERSITY OF THE PHILIPPINES - MANILA</t>
  </si>
  <si>
    <t>PHILIPPINE RECLAMATION AUTHORITY</t>
  </si>
  <si>
    <t>ASSOCIATION OF BARANGAY CAPTAINS - MINALABAC, CAMARINES SUR</t>
  </si>
  <si>
    <t>IPIL NATIONAL HIGH SCHOOL</t>
  </si>
  <si>
    <t>NATIONAL IRRIGATION ADMINISTRATION - REGION I</t>
  </si>
  <si>
    <t>CITY OF TAGUM, DAVAO DEL NORTE</t>
  </si>
  <si>
    <t>BARANGAY TALAHIB PAYAPA, BATANGAS CITY, BATANGAS</t>
  </si>
  <si>
    <t>CITY OF CAGAYAN DE ORO, MISAMIS ORIENTAL</t>
  </si>
  <si>
    <t>LUNG CENTER OF THE PHILIPPINES</t>
  </si>
  <si>
    <t>AGRICULTURAL TRAINING INSTITUTE-REGIONAL TRAINING CENTER X</t>
  </si>
  <si>
    <t>MUNICIPALITY OF  DATU ABDULLAH SANGKI- MAGUINDANAO</t>
  </si>
  <si>
    <t>302ND CONTRACTING OFFICE, AFP PROCUREMENT SERVICE</t>
  </si>
  <si>
    <t>DIOSDADO MACAPAGAL HIGH SCHOOL - ANGAT BULACAN</t>
  </si>
  <si>
    <t>PHILIPPINE HEALTH INSURANCE CORPORATION - ARMM</t>
  </si>
  <si>
    <t>PROVINCE OF ILOILO</t>
  </si>
  <si>
    <t>MUNICIPALITY OF PINUKPUK, KALINGA</t>
  </si>
  <si>
    <t>DEPARTMENT OF PUBLIC WORKS AND HIGHWAYS - ALBAY 3RD DEO</t>
  </si>
  <si>
    <t>MUNICIPALITY OF MAGPET - NORTH COTABATO</t>
  </si>
  <si>
    <t>MUNICIPALITY OF MALITA, DAVAO OCCIDENTAL</t>
  </si>
  <si>
    <t>MUNICIPALITY OF ENRILE, CAGAYAN</t>
  </si>
  <si>
    <t>DEPARTMENT OF THE INTERIOR AND LOCAL GOVERNMENT - RIV - B</t>
  </si>
  <si>
    <t>MINES AND GEO-SCIENCES BUREAU - REGION X</t>
  </si>
  <si>
    <t>DEPARTMENT OF HEALTH - CARAGA</t>
  </si>
  <si>
    <t>MUNICIPALITY OF BASISTA, PANGASINAN</t>
  </si>
  <si>
    <t>CITY OF KABANKALAN, NEGROS OCCIDENTAL</t>
  </si>
  <si>
    <t>MUNICIPALITY OF MANGATAREM, PANGASINAN</t>
  </si>
  <si>
    <t>PROVINCE OF SOUTHERN LEYTE</t>
  </si>
  <si>
    <t>MILUYA ELEMENTARY SCHOOL</t>
  </si>
  <si>
    <t>LAGUNA STATE POLYTECHNIC UNIVERSITY - STA. CRUZ CAMPUS</t>
  </si>
  <si>
    <t>DEPARTMENT OF EDUCATION - SCHOOLS DIVISION OFFICE OF DAGUPAN</t>
  </si>
  <si>
    <t>MUNICIPALITY OF TRENTO, AGUSAN DEL SUR</t>
  </si>
  <si>
    <t>DAPITAN CITY WATER DISTRICT</t>
  </si>
  <si>
    <t>MUNICIPALITY OF ESTANCIA, ILOILO</t>
  </si>
  <si>
    <t>BARANGAY SILANGAN II ROSARIO CAVITE</t>
  </si>
  <si>
    <t>MUNICIPALITY OF LAUA-AN, ANTIQUE</t>
  </si>
  <si>
    <t>NATIONAL POWER CORPORATION - MINDANAO GENERATION</t>
  </si>
  <si>
    <t>DEPARTMENT OF PUBLIC WORKS AND HIGHWAYS - REGION XIII (CARAG</t>
  </si>
  <si>
    <t>BARANGAY SAN ESTEBAN IGUIG CAGAYAN</t>
  </si>
  <si>
    <t>DEPARTMENT OF PUBLIC WORKS AND HIGHWAYS - REGION X</t>
  </si>
  <si>
    <t>MUNICIPALITY OF CALANASAN, APAYAO</t>
  </si>
  <si>
    <t>MUNICIPALITY OF LAS NIEVES , AGUSAN DEL NORTE</t>
  </si>
  <si>
    <t>BUREAU OF FISHERIES AND AQUATIC RESOURCES - REGION IV-A</t>
  </si>
  <si>
    <t>PROVINCE OF AGUSAN DEL NORTE</t>
  </si>
  <si>
    <t>MUNICIPALITY OF CUENCA, BATANGAS</t>
  </si>
  <si>
    <t>SAN JOSE NATIONAL HIGH SCHOOL - ANTIPOLO CITY</t>
  </si>
  <si>
    <t>MUNICIPALITY OF DIMATALING, ZAMBOANGA DEL SUR</t>
  </si>
  <si>
    <t>EMILIANO LIZARES NATIONAL HIGH SCHOOL</t>
  </si>
  <si>
    <t>MUNICIPALITY OF SAN JUAN, ILOCOS SUR</t>
  </si>
  <si>
    <t>PHILIPPINE DRUG ENFORCEMENT AGENCY</t>
  </si>
  <si>
    <t>CITY OF SAN CARLOS, NEGROS OCCIDENTAL</t>
  </si>
  <si>
    <t>BALINGASAG WATER DISTRICT</t>
  </si>
  <si>
    <t>ROXAS CITY GOVERNMENT</t>
  </si>
  <si>
    <t>PROVINCE OF ALBAY</t>
  </si>
  <si>
    <t>BARANGAY 46 NALBO, LAOAG CITY, ILOCOS NORTE</t>
  </si>
  <si>
    <t>DEPARTMENT OF EDUCATION - SCHOOLS DIVISION OF SORSOGON PROVI</t>
  </si>
  <si>
    <t>PALOMPON INSTITUTE OF TECHNOLOGY - TABANGO CAMPUS</t>
  </si>
  <si>
    <t>SILAY CITY WATER DISTRICT</t>
  </si>
  <si>
    <t>MARIVELES WATER DISTRICT</t>
  </si>
  <si>
    <t>PROVINCE OF PALAWAN</t>
  </si>
  <si>
    <t>PHILIPPINE CARABAO CENTER AT CENTRAL MINDANAO UNIVERSITY</t>
  </si>
  <si>
    <t>GHQ PROCUREMENT CENTER, AFP PROCUREMENT SERVICE</t>
  </si>
  <si>
    <t>BUREAU OF SOILS AND WATER MANAGEMENT</t>
  </si>
  <si>
    <t xml:space="preserve">DON GENEROSO M. VILLANUEVA ELEMENTARY SCHOOL, LA CASTELLANA </t>
  </si>
  <si>
    <t>METRO ROXAS WATER DISTRICT</t>
  </si>
  <si>
    <t>DEPARTMENT OF PUBLIC WORKS AND HIGHWAYS - LEYTE 2ND DEO</t>
  </si>
  <si>
    <t>MUNICIPALITY OF AMLAN, NEGROS ORIENTAL</t>
  </si>
  <si>
    <t>DEPARTMENT OF AGRICULTURE - REGION I</t>
  </si>
  <si>
    <t>CITY OF TARLAC, TARLAC</t>
  </si>
  <si>
    <t xml:space="preserve">BARANAGAY CANDANA-AY </t>
  </si>
  <si>
    <t>PROVINCE OF BATANES</t>
  </si>
  <si>
    <t>RAGAY NATIONAL AGRICULTURAL AND FISHERIES SCHOOL</t>
  </si>
  <si>
    <t>PROVINCE OF AKLAN</t>
  </si>
  <si>
    <t>MUNICIPALITY OF MOBO, MASBATE</t>
  </si>
  <si>
    <t>RIZAL HIGH SCHOOL</t>
  </si>
  <si>
    <t>BARANGAY UDOC, LIBMANAN, CAMARINES SUR</t>
  </si>
  <si>
    <t>BONGABON NATIONAL HIGHSCHOOL</t>
  </si>
  <si>
    <t>MUNICIPALITY OF VILLAREAL, SAMAR</t>
  </si>
  <si>
    <t>BARANGAY MABASA,PATNONGON, ANTIQUE</t>
  </si>
  <si>
    <t>IDIO BARANGAY COUNCIL</t>
  </si>
  <si>
    <t>BARANGAY TAM-IS - MAASIN CITY SOUTHERN LEYTE</t>
  </si>
  <si>
    <t>BENIGNO S. AQUINO NATIONAL HIGH SCHOOL</t>
  </si>
  <si>
    <t>MUNICIPALITY OF MALINAO, AKLAN</t>
  </si>
  <si>
    <t>MUNICIPALITY OF ALAMINOS, LAGUNA</t>
  </si>
  <si>
    <t>GUIMBA WATER DISTRICT</t>
  </si>
  <si>
    <t>PHILIPPINE NATIONAL RAILWAYS</t>
  </si>
  <si>
    <t>DEPARTMENT OF LABOR AND EMPLOYMENT - REGION XI</t>
  </si>
  <si>
    <t>NAPINDAN INTEGRATED SCHOOL</t>
  </si>
  <si>
    <t>DEPARTMENT OF AGRARIAN REFORM - NEGROS OCCIDENTAL 2 (SOUTH)</t>
  </si>
  <si>
    <t>BAGAC WATER DISTRICT</t>
  </si>
  <si>
    <t>CANDELARIA WATER DISTRICT</t>
  </si>
  <si>
    <t>MUNICIPALITY OF CAIBIRAN, BILIRAN</t>
  </si>
  <si>
    <t>MUNICIPALITY OF SUAL -  PANGASINAN</t>
  </si>
  <si>
    <t>PROVINCE OF NUEVA VIZCAYA - BAYOMBONG NUEVA VIZCAYA</t>
  </si>
  <si>
    <t>MUNICIPALITY OF PIÑAN, ZAMBOANGA DEL NORTE</t>
  </si>
  <si>
    <t>DEPARTMENT OF PUBLIC WORKS AND HIGHWAYS - SORSOGON 1ST DEO</t>
  </si>
  <si>
    <t>MUNICIPALITY OF MAHAYAG, ZAMBOANGA DEL SUR</t>
  </si>
  <si>
    <t>AGRICULTURAL TRAINING INSTITUTE -REGIONAL TRAINING CENTER IX</t>
  </si>
  <si>
    <t xml:space="preserve">DEPARTMENT OF PUBLIC WORKS AND HIGHWAYS - CAMARINES SUR 1ST </t>
  </si>
  <si>
    <t>DEPARTMENT OF AGRARIAN REFORM - CAMARINES SUR A</t>
  </si>
  <si>
    <t>MUNICIPALITY OF MABITAC, LAGUNA</t>
  </si>
  <si>
    <t>CITY OF DAVAO, DAVAO DEL SUR</t>
  </si>
  <si>
    <t>PROVINCE OF CAGAYAN</t>
  </si>
  <si>
    <t>PHILIPPINE STATISTICS AUTHORITY - REGION XIII</t>
  </si>
  <si>
    <t>CITY OF MALABON</t>
  </si>
  <si>
    <t>MUNICIPALITY OF BOMBON , CAMARINES SUR</t>
  </si>
  <si>
    <t>DEVELOPMENT BANK OF THE PHILIPPINES - HEAD OFFICE</t>
  </si>
  <si>
    <t>DEPARTMENT OF PUBLIC WORKS AND HIGHWAYS - ISABELA 4TH DEO</t>
  </si>
  <si>
    <t>MANILA INTERNATIONAL AIRPORT AUTHORITY</t>
  </si>
  <si>
    <t>CITY OF DUMAGUETE, NEGROS ORIENTAL</t>
  </si>
  <si>
    <t>DON JUAN DELA CRUZ CENTRAL ELEMENTARY SCHOOL</t>
  </si>
  <si>
    <t>MUNICIPALITY OF LUCBAN, QUEZON</t>
  </si>
  <si>
    <t>CITY OF MANILA</t>
  </si>
  <si>
    <t>MUNICIPALITY OF TUPI, SOUTH COTABATO</t>
  </si>
  <si>
    <t>MUNICIPALITY OF LOON, BOHOL</t>
  </si>
  <si>
    <t>NATIONAL ECONOMIC AND DEVELOPMENT AUTHORITY - REGION I</t>
  </si>
  <si>
    <t>BARANGAY BANGON, AROROY, MASBATE</t>
  </si>
  <si>
    <t>BARANGAY SAN JOSE BACON -  BACON DISTRICT, SORSOGON CITY</t>
  </si>
  <si>
    <t>MUNICIPALITY OF LAAK, COMPOSTELA VALLEY</t>
  </si>
  <si>
    <t>MUNICIPALITY OF TABINA, ZAMBOANGA DEL SUR</t>
  </si>
  <si>
    <t>MUNICIPALITY OF LA TRINIDAD, BENGUET</t>
  </si>
  <si>
    <t>PROVINCE OF ORIENTAL MINDORO</t>
  </si>
  <si>
    <t>BUREAU OF ANIMAL INDUSTRY, DA</t>
  </si>
  <si>
    <t>BARANGAY TUBURAN, BONTOC, SOUTHERN LEYTE</t>
  </si>
  <si>
    <t>BARANGAY PINEDA, PASIG CITY</t>
  </si>
  <si>
    <t>MUNICIPALITY OF PIDDIG, PIDDIG, ILOCOS NORTE</t>
  </si>
  <si>
    <t>DEPARTMENT OF LABOR AND EMPLOYMENT - REGION V</t>
  </si>
  <si>
    <t>MUNICIPALITY OF SAN JUAN, SIQUIJOR</t>
  </si>
  <si>
    <t>105TH CONTRACTING OFFICE, AFP PROCUREMENT SERVICE</t>
  </si>
  <si>
    <t>MUNICIPALITY OF TALIBON, BOHOL</t>
  </si>
  <si>
    <t>DEPARTMENT OF TOURISM - REGION V</t>
  </si>
  <si>
    <t>CITY OF PALAYAN, NUEVA ECIJA</t>
  </si>
  <si>
    <t>UNIVERSITY OF SOUTHEASTERN PHIL.  - TAGUM MABINI CAMPUS</t>
  </si>
  <si>
    <t>MUNICIPALITY OF BALANGIGA, EASTERN SAMAR</t>
  </si>
  <si>
    <t>MUNICIPALITY OF AMULUNG, CAGAYAN</t>
  </si>
  <si>
    <t>MUNICIPALITY OF SAN LUIS BATANGAS</t>
  </si>
  <si>
    <t>PROVINCE OF ZAMBOANGA DEL NORTE</t>
  </si>
  <si>
    <t>CITY OF NAGA, CAMARINES SUR</t>
  </si>
  <si>
    <t>DEPARTMENT OF AGRICULTURE - REGION VIII</t>
  </si>
  <si>
    <t>PROVINCE OF BILIRAN</t>
  </si>
  <si>
    <t>MUNICIPALITY OF STA. MARIA, PANGASINAN</t>
  </si>
  <si>
    <t>AGRICULTURAL TRAINING INSTITUTE</t>
  </si>
  <si>
    <t>MUNICIPALITY OF LOBO, BATANGAS</t>
  </si>
  <si>
    <t>LAND TRANSPORTATION FRANCHISING AND REGULATORY BOARD - REGIO</t>
  </si>
  <si>
    <t>MUNICIPALITY OF MATALAM, COTABATO</t>
  </si>
  <si>
    <t>PHILIPPINE NATIONAL POLICE - CARAGA</t>
  </si>
  <si>
    <t>DAVAO CITY NATIONAL HIGH SCHOOL</t>
  </si>
  <si>
    <t>CATALUNAN PEQUEÑO ELEMENTARY SCHOOL</t>
  </si>
  <si>
    <t>MUNICIPALITY OF GUTALAC, ZAMBOANGA DEL NORTE</t>
  </si>
  <si>
    <t>SUPREME COURT OF THE PHILIPPINES</t>
  </si>
  <si>
    <t>BUREAU OF INTERNAL REVENUE - REVENUE REGION NO. 11</t>
  </si>
  <si>
    <t>MUNICIPALITY OF SAN JULIAN, EASTERN SAMAR</t>
  </si>
  <si>
    <t>110TH CONTRACTING OFFICE, AFP PROCUREMENT SERVICE</t>
  </si>
  <si>
    <t>CITY  OF CANLAON, NEGROS ORIENTAL</t>
  </si>
  <si>
    <t>BARANGAY LAMBONAO, MALITBOG, SOUTHERN LEYTE</t>
  </si>
  <si>
    <t>EASTERN SAMAR STATE UNIVERSITY - BORONGAN CITY</t>
  </si>
  <si>
    <t>MUNICIPALITY OF MALAPATAN, SARANGANI</t>
  </si>
  <si>
    <t>MUNICIPALITY OF GUINAYANGAN, QUEZON</t>
  </si>
  <si>
    <t>BUREAU OF FISHERIES AND AQUATIC RESOURCES</t>
  </si>
  <si>
    <t>PROVINCE OF TARLAC</t>
  </si>
  <si>
    <t>MUNICIPALITY OF DON CARLOS, BUKIDNON</t>
  </si>
  <si>
    <t>MUNICIPALITY OF LEGANES, ILOILO</t>
  </si>
  <si>
    <t>PROVINCE OF EASTERN SAMAR</t>
  </si>
  <si>
    <t>LIGA NG MGA BARANGAY, SAN LUIS, BATANGAS</t>
  </si>
  <si>
    <t>MUNICIPALITY OF BAYOMBONG - NUEVA VISCAYA</t>
  </si>
  <si>
    <t>MINDANAO STATE UNIVERSITY - NAAWAN</t>
  </si>
  <si>
    <t>ADELA SERRA TY MEMORIAL MEDICAL CENTER</t>
  </si>
  <si>
    <t>COTABATO REGIONAL AND MEDICAL CENTER</t>
  </si>
  <si>
    <t>PROVINCE OF AURORA</t>
  </si>
  <si>
    <t>DEPARTMENT OF PUBLIC WORKS AND HIGHWAYS - DAVAO CITY II DEO</t>
  </si>
  <si>
    <t>MUNICIPALITY OF MABINAY, NEGROS ORIENTAL</t>
  </si>
  <si>
    <t>CITY OF DIGOS, DAVAO DEL SUR</t>
  </si>
  <si>
    <t>CAVITE STATE UNIVERSITY</t>
  </si>
  <si>
    <t>DEPARTMENT OF PUBLIC WORKS AND HIGHWAYS - ZAMBOANGA DEL NORT</t>
  </si>
  <si>
    <t>BARANGAY DALLAG, ARAKAN, COTABATO</t>
  </si>
  <si>
    <t>DEPARTMENT OF PUBLIC WORKS AND HIGHWAYS - ILOCOS SUR 2ND DEO</t>
  </si>
  <si>
    <t>MUNICIPALITY OF SUGPON, ILOCOS SUR</t>
  </si>
  <si>
    <t>CITY OF SANTIAGO, ISABELA</t>
  </si>
  <si>
    <t>PROVINCE OF AGUSAN DEL SUR</t>
  </si>
  <si>
    <t>METRO COTABATO WATER DISTRICT</t>
  </si>
  <si>
    <t>LAND TRANSPORTATION OFFICE - NCR</t>
  </si>
  <si>
    <t>BARANGAY KAUSWAGAN, MALITBOG, SOUTHERN LEYTE</t>
  </si>
  <si>
    <t>MUNICIPALITY OF VINTAR, ILOCOS NORTE</t>
  </si>
  <si>
    <t>MUNICIPALITY OF JASAAN , MISAMIS ORIENTAL</t>
  </si>
  <si>
    <t>MUNICIPALITY OF BULA, CAMARINES SUR</t>
  </si>
  <si>
    <t>CITY OF PAGADIAN, ZAMBOANGA DEL SUR</t>
  </si>
  <si>
    <t>MUNICIPALITY OF MILAGROS, MASBATE</t>
  </si>
  <si>
    <t>BANGKAL HIGH SCHOOL</t>
  </si>
  <si>
    <t>ILOCOS SUR POLYTECHNIC STATE COLLEGE</t>
  </si>
  <si>
    <t>BARANGAY KABALABTIAN - ARAKAN COTABATO</t>
  </si>
  <si>
    <t>MAA NATIONAL HIGH SCHOOL - DAVAO CITY DAVAO DEL SUR</t>
  </si>
  <si>
    <t>MUNICIPALITY OF MANGALDAN, PANGASINAN</t>
  </si>
  <si>
    <t>BARANGAY BUGNAY TUAO CAGAYAN</t>
  </si>
  <si>
    <t>MUNICIPALITY OF BATARAZA</t>
  </si>
  <si>
    <t>MUNICIPALITY OF CORTES, SURIGAO DEL SUR</t>
  </si>
  <si>
    <t>SOUTHERN ISABELA COLLEGE OF ARTS AND TRADES</t>
  </si>
  <si>
    <t>MUNICIPALITY OF MONREAL, MASBATE</t>
  </si>
  <si>
    <t>MUNICIPALITY OF DANGLAS, ABRA</t>
  </si>
  <si>
    <t>MEXICO NATIONAL HIGH SCHOOL</t>
  </si>
  <si>
    <t>MUNICIPALITY OF NEW LUCENA, ILOILO</t>
  </si>
  <si>
    <t>MUNICIPALITY OF SAN ISIDRO, LEYTE</t>
  </si>
  <si>
    <t>PANGASINAN STATE UNIVERSITY - MAIN</t>
  </si>
  <si>
    <t>MUNICIPALITY OF BAROBO, SURIGAO DEL SUR</t>
  </si>
  <si>
    <t>CITY  OF LA CARLOTA, NEGROS OCCIDENTAL</t>
  </si>
  <si>
    <t>MARIANO MARCOS STATE UNIVERSITY</t>
  </si>
  <si>
    <t>MUNICIPALITY OF TAYASAN, NEGROS ORIENTAL</t>
  </si>
  <si>
    <t>MINDANAO STATE UNIVERSITY - TAWI-TAWI</t>
  </si>
  <si>
    <t>BARANGAY  ALLAB - ARAKAN COTABATO</t>
  </si>
  <si>
    <t>MUNICIPALITY OF BARLIG MOUNTAIN PROVINCE</t>
  </si>
  <si>
    <t>BARANGAY POBLACION, ALCALA, PANGASINAN</t>
  </si>
  <si>
    <t>MUNICIPALITY OF MIDSALIP, ZAMBOANGA DEL SUR</t>
  </si>
  <si>
    <t>IBA INTEGRATED SCHOOL</t>
  </si>
  <si>
    <t>MUNICIPALITY OF PATNOÑGON, ANTIQUE</t>
  </si>
  <si>
    <t>CITY  OF CABANATUAN, NUEVA ECIJA</t>
  </si>
  <si>
    <t>BARANGAY ELICIA LA LIBERTAD NEGROS ORIENTAL</t>
  </si>
  <si>
    <t>BARANGAY CAGDIANAO, CLAVER, SURIGAO DEL NORTE</t>
  </si>
  <si>
    <t>MUNICIPALITY OF IPIL, ZAMBOANGA SIBUGAY</t>
  </si>
  <si>
    <t>BARANGAY  ANAPOLON ARAKAN COTABATO</t>
  </si>
  <si>
    <t>MUNICIPALITY OF LOBOC, BOHOL</t>
  </si>
  <si>
    <t>MUNICIPALITY OF WAO, LANAO DEL SUR</t>
  </si>
  <si>
    <t>MUNICIPALITY OF AMBAGUIO, NUEVA VIZCAYA</t>
  </si>
  <si>
    <t>CITY OF VIGAN, ILOCOS SUR</t>
  </si>
  <si>
    <t>SOCIAL SECURITY SYSTEM - WESTERN VISAYAS DIVISION 1</t>
  </si>
  <si>
    <t>DEPARTMENT OF AGRICULTURE - REGION VI</t>
  </si>
  <si>
    <t>MUNICIPALITY OF DIMIAO, BOHOL</t>
  </si>
  <si>
    <t>BENGUET STATE UNIVERSITY</t>
  </si>
  <si>
    <t>DEPARTMENT OF AGRICULTURE - REGION II</t>
  </si>
  <si>
    <t>NATIONAL BUREAU OF INVESTIGATION</t>
  </si>
  <si>
    <t>MUNICIPALITY OF SAMAL, BATAAN</t>
  </si>
  <si>
    <t>DIGOS WATER DISTRICT</t>
  </si>
  <si>
    <t>BARANGAY TUMANDING - ARAKAN COTABATO</t>
  </si>
  <si>
    <t>MUNICIPALITY OF BALER, AURORA</t>
  </si>
  <si>
    <t>DEPARTMENT OF PUBLIC WORKS AND HIGHWAYS - AURORA DEO</t>
  </si>
  <si>
    <t>BANGKO SENTRAL NG PILIPINAS- LA UNION REGIONAL OFFICE</t>
  </si>
  <si>
    <t>ZAMBOANGA DEL SUR NATIONAL HIGH SCHOOL</t>
  </si>
  <si>
    <t>MUNICIPALITY OF CALINOG, ILOILO</t>
  </si>
  <si>
    <t>BATANGAS STATE UNIVERSITY</t>
  </si>
  <si>
    <t>OFFICE OF THE CHIEF MINISTER  - BARMM</t>
  </si>
  <si>
    <t>BARANGAY MEOCAN ARAKAN COTABATO</t>
  </si>
  <si>
    <t>PROVINCE OF COMPOSTELA VALLEY</t>
  </si>
  <si>
    <t>MUNICIPALITY OF HINIGARAN, NEGROS OCCIDENTAL</t>
  </si>
  <si>
    <t>CITY GOVERNMENT OF LUCENA</t>
  </si>
  <si>
    <t>DEPARTMENT OF SOCIAL WELFARE AND DEVELOPMENT - REGION IX</t>
  </si>
  <si>
    <t>DEPARTMENT OF ENVIRONMENT AND NATURAL RESOURCES - ILOCOS NOR</t>
  </si>
  <si>
    <t>DR. JOSE FABELLA MEMORIAL HOSPITAL</t>
  </si>
  <si>
    <t>NATIONAL CENTER FOR MENTAL HEALTH</t>
  </si>
  <si>
    <t>DEPARTMENT OF ENVIRONMENT AND NATURAL RES. - PENRO, PALAWAN</t>
  </si>
  <si>
    <t>BARANGAY ALABUG - TUAO CAGAYAN</t>
  </si>
  <si>
    <t>MUNICIPALITY OF RIZAL, ZAMBOANGA DEL NORTE</t>
  </si>
  <si>
    <t>BUREAU OF FISHERIES AND AQUATIC RESOURCES 9</t>
  </si>
  <si>
    <t>MUNICIPALITY OF SINDANGAN, ZAMBOANGA DEL NORTE</t>
  </si>
  <si>
    <t>MUNICIPALITY OF SURALLAH, SOUTH COTABATO</t>
  </si>
  <si>
    <t>MUNICIPALITY OF INITAO, MISAMIS ORIENTAL</t>
  </si>
  <si>
    <t>BARANGAY NAPALICO - ARAKAN COTABATO</t>
  </si>
  <si>
    <t>BARANGAY TALISAYAN, ANINI-Y, ANTIQUE</t>
  </si>
  <si>
    <t>DEPARTMENT OF ENVIRONMENT AND NATURAL RESOURCES - REGION V</t>
  </si>
  <si>
    <t>LA CASTELLANA ELEMENTARY SCHOOL</t>
  </si>
  <si>
    <t>MUNICIPALITY OF CALAMBA, MISAMIS OCCIDENTAL</t>
  </si>
  <si>
    <t>CIVIL AVIATION AUTHORITY OF THE PHILIPPINES - SILAY AIRPORT</t>
  </si>
  <si>
    <t>DEPARTMENT OF HUMAN SETTLEMENT AND URBAN DEVELOPMENT - QUEZO</t>
  </si>
  <si>
    <t>UNIVERSITY OF SOUTHERN MINDANAO</t>
  </si>
  <si>
    <t>CITY  OF HIMAMAYLAN, NEGROS OCCIDENTAL</t>
  </si>
  <si>
    <t>BARANGAY BALOGO, OAS, ALBAY</t>
  </si>
  <si>
    <t>DEPARTMENT OF EDUCATION - DIVISION OF ILOCOS SUR</t>
  </si>
  <si>
    <t>MUNICIPALITY OF ALLEN, NORTHERN SAMAR</t>
  </si>
  <si>
    <t>DEPARTMENT OF SOCIAL WELFARE AND DEVELOPMENT - CAR</t>
  </si>
  <si>
    <t>CITY OF SAN PEDRO, LAGUNA</t>
  </si>
  <si>
    <t>PROVINCE OF BUKIDNON</t>
  </si>
  <si>
    <t>MUNICIPALITY OF NAGTIPUNAN, QUIRINO</t>
  </si>
  <si>
    <t>PHILIPPINE NATIONAL POLICE</t>
  </si>
  <si>
    <t>LAND TRANSPORTATION FRANCHISING REGULATORY BOARD-NCR</t>
  </si>
  <si>
    <t>CITY OF TAGAYTAY, CAVITE</t>
  </si>
  <si>
    <t>MUNICIPALITY OF PLARIDEL, MISAMIS OCCIDENTAL</t>
  </si>
  <si>
    <t>MUNICIPALITY OF CALASIAO, PANGASINAN</t>
  </si>
  <si>
    <t>UNIVERSITY OF THE PHILIPPINES - BAGUIO</t>
  </si>
  <si>
    <t>BARANGAY 24, STA. MONICA,SAN NICOLAS, ILOCOS NORTE</t>
  </si>
  <si>
    <t>PROVINCE OF SURIGAO DEL SUR</t>
  </si>
  <si>
    <t>MUNICIPALITY OF VICTORIA, TARLAC</t>
  </si>
  <si>
    <t>MUNICIPALITY OF PURA, TARLAC</t>
  </si>
  <si>
    <t>PHILIPPINE PUBLIC SAFETY COLLEGE</t>
  </si>
  <si>
    <t>MUNICIPALITY OF SUMILAO, BUKIDNON</t>
  </si>
  <si>
    <t>MUNICIPALITY OF PAYAO, ZAMBOANGA SIBUGAY</t>
  </si>
  <si>
    <t>MUNICIPALITY OF REAL, QUEZON</t>
  </si>
  <si>
    <t>KRUS NA LIGAS ELEMENTARY SCHOOL</t>
  </si>
  <si>
    <t>BARANGAY AMOT, BURDEOS, QUEZON</t>
  </si>
  <si>
    <t>DEPARTMENT OF SCIENCE AND TECHNOLOGY - REGION - VIII</t>
  </si>
  <si>
    <t>MUNICIPALITY OF MONKAYO, COMPOSTELA VALLEY</t>
  </si>
  <si>
    <t>BARANGAY ALALASAN, LAPUZ, ILOILO CITY</t>
  </si>
  <si>
    <t>BAGBAG ELEMENTARY SCHOOL</t>
  </si>
  <si>
    <t xml:space="preserve">DEPARTMENT OF PUBLIC WORKS AND HIGHWAYS - ZAMBOANGA SIBUGAY </t>
  </si>
  <si>
    <t>METROPOLITAN TUGUEGARAO WATER DISTRICT</t>
  </si>
  <si>
    <t>DEPARTMENT OF EDUCATION DIVISION OF DAVAO OCCIDENTAL</t>
  </si>
  <si>
    <t>MUNICIPALITY OF LICUAN-BAAY, ABRA</t>
  </si>
  <si>
    <t>MUNICIPALITY OF MATANAO, DAVAO DEL SUR</t>
  </si>
  <si>
    <t>FORTUNATO F. HALILI NATIONAL AGRICULTURAL SCHOOL</t>
  </si>
  <si>
    <t>CITY OF PASSI, ILOILO</t>
  </si>
  <si>
    <t>PROVINCE OF DAVAO DEL SUR</t>
  </si>
  <si>
    <t>DEPARTMENT OF PUBLIC WORKS AND HIGHWAYS - ISABELA 1ST DEO</t>
  </si>
  <si>
    <t>DEPARTMENT OF SOCIAL WELFARE AND DEVELOPMENT - CARAGA</t>
  </si>
  <si>
    <t>MUNICIPALITY OF DUMANJUG, CEBU</t>
  </si>
  <si>
    <t>PHILIPPINE ARMY PROCUREMENT CENTER, AFP PROCUREMENT SERVICE</t>
  </si>
  <si>
    <t>103RD CONTRACTING OFFICE, AFP PROCUREMENT SERVICE</t>
  </si>
  <si>
    <t>CITY OF PASIG</t>
  </si>
  <si>
    <t>CITY OF CABADBARAN, AGUSAN DEL NORTE</t>
  </si>
  <si>
    <t>LIGA NG MGA BARANGAY, NATIVIDAD CHAPTER</t>
  </si>
  <si>
    <t>CITY OF TACLOBAN, LEYTE</t>
  </si>
  <si>
    <t>DAVAO ORIENTAL STATE COLLEGE OF  SCIENCE AND  TECHNOLOGY</t>
  </si>
  <si>
    <t>BARANGAY POBLACION, BAYUGAN, AGUSAN DEL SUR</t>
  </si>
  <si>
    <t>DEPARTMENT OF AGRICULTURE - CARAGA</t>
  </si>
  <si>
    <t>MUNICIPALITY OF BUGALLON - PANGASINAN</t>
  </si>
  <si>
    <t>SURIGAO DEL SUR STATE UNIVERSITY</t>
  </si>
  <si>
    <t>BANGKO SENTRAL NG PILIPINAS - BUTUAN BRANCH</t>
  </si>
  <si>
    <t>CITY OF LAPU-LAPU</t>
  </si>
  <si>
    <t>MUNICIPALITY OF BARUGO, LEYTE</t>
  </si>
  <si>
    <t>COMMISSION ON HUMAN RIGHTS</t>
  </si>
  <si>
    <t>PALAWAN STATE UNIVERSITY</t>
  </si>
  <si>
    <t>MUNICIPALITY OF BANAYBANAY, DAVAO ORIENTAL</t>
  </si>
  <si>
    <t>PROVINCE OF SIQUIJOR</t>
  </si>
  <si>
    <t>SURIGAO STATE COLLEGE OF TECHNOLOGY</t>
  </si>
  <si>
    <t>MUNICIPALITY OF MALIBCONG, ABRA</t>
  </si>
  <si>
    <t>BARANGAY SINGCANG-AIRPORT NATIONAL HIGH SCHOOL</t>
  </si>
  <si>
    <t>MUNICIPALITY OF SAN JUAN, BATANGAS</t>
  </si>
  <si>
    <t>CAGAYAN STATE UNIVERSITY - TUGUEGARAO CITY CAGAYAN</t>
  </si>
  <si>
    <t>PROVINCE OF LAGUNA</t>
  </si>
  <si>
    <t>MUNICIPALITY OF EL NIDO, PALAWAN</t>
  </si>
  <si>
    <t>DAVAO CITY WATER DISTRICT</t>
  </si>
  <si>
    <t>PROVINCE OF SOUTH COTABATO</t>
  </si>
  <si>
    <t>MUNICIPALITY OF SANTOL, LA UNION</t>
  </si>
  <si>
    <t>AGRICULTURAL TRAINING INSTITUTE - CARAGA REGION</t>
  </si>
  <si>
    <t>CAMARINES SUR POLYTECHNIC COLLEGES - NABUA CAMPUS</t>
  </si>
  <si>
    <t>MUNICIPALITY OF DUPAX DEL SUR, NUEVA VIZCAYA</t>
  </si>
  <si>
    <t>BARANGAY LAMAK, HILONGOS, LEYTE</t>
  </si>
  <si>
    <t>MUNICIPALITY OF TALAKAG, BUKIDNON</t>
  </si>
  <si>
    <t>MUNICIPALITY OF ROXAS, ISABELA</t>
  </si>
  <si>
    <t>CITY OF PANABO, DAVAO DEL NORTE</t>
  </si>
  <si>
    <t>GUISAD VALLEY NATIONAL HIGH SCHOOL</t>
  </si>
  <si>
    <t>MUNICIPALITY OF MARCOS, ILOCOS NORTE</t>
  </si>
  <si>
    <t>MUNICIPALITY OF LLORENTE, EASTERN SAMAR</t>
  </si>
  <si>
    <t>FERTILIZER AND PESTICIDE AUTHORITY - QUEZON CITY METRO MANIL</t>
  </si>
  <si>
    <t>MUNICIPALITY OF QUEZON, NUEVA VIZCAYA</t>
  </si>
  <si>
    <t>CITY OF SAN PABLO, LAGUNA</t>
  </si>
  <si>
    <t>BUREAU OF THE TREASURY</t>
  </si>
  <si>
    <t>ASUNCION L. LIZARES ELEMENTARY SCHOOL</t>
  </si>
  <si>
    <t>CITY OF OZAMIS, MISAMIS OCCIDENTAL</t>
  </si>
  <si>
    <t>BARANGAY SAN PEDRO, SAN QUINTIN, PANGASINAN</t>
  </si>
  <si>
    <t>BARANGAY SUMALILI - ARAKAN COTABATO</t>
  </si>
  <si>
    <t>CITY OF SAN JOSE, NUEVA ECIJA</t>
  </si>
  <si>
    <t>BUREAU OF AGRICULTURAL RESEARCH</t>
  </si>
  <si>
    <t>407TH CONTRACTING OFFICE, AFP PROCUREMENT SERVICE</t>
  </si>
  <si>
    <t>CARLOS HILADO MEMORIAL STATE COLLEGE</t>
  </si>
  <si>
    <t>BARANGAY 09 POBLACION, CATBALOGAN CITY</t>
  </si>
  <si>
    <t>MUNICIPALITY OF BADIAN, CEBU</t>
  </si>
  <si>
    <t>ZAMBOANGA CITY MEDICAL CENTER</t>
  </si>
  <si>
    <t>MUNICIPALITY OF MONTEVISTA, COMPOSTELA VALLEY</t>
  </si>
  <si>
    <t>DEPARTMENT OF AGRICULTURE - CARFU</t>
  </si>
  <si>
    <t>BARANGAY SAN JUAN - TUAO CAGAYAN</t>
  </si>
  <si>
    <t>MARIANO MARCOS MEMORIAL HOSPITAL AND MEDICAL CENTER</t>
  </si>
  <si>
    <t>BARANGAY TAGAYTAY HILL - JOSEFINA, ZAMBOANGA DEL SUR</t>
  </si>
  <si>
    <t>ILOILO STATE COLLEGE OF FISHERIES</t>
  </si>
  <si>
    <t>MINES AND GEO-SCIENCES BUREAU</t>
  </si>
  <si>
    <t>DUTY FREE PHILIPPINES CORPORATION</t>
  </si>
  <si>
    <t>MUNICIPALITY OF BULAN, SORSOGON</t>
  </si>
  <si>
    <t>OLONGAPO CITY NATIONAL HIGH SCHOOL</t>
  </si>
  <si>
    <t>ZAMBOANGA CITY STATE POLYTECHNIC COLLEGE</t>
  </si>
  <si>
    <t>MUNICIPALITY OF POLA, ORIENTAL MINDORO</t>
  </si>
  <si>
    <t>MUNICIPALITY OF ALORAN, MISAMIS OCCIDENTAL</t>
  </si>
  <si>
    <t>MUNICIPALITY OF MAGSAYSAY, MISAMIS ORIENTAL</t>
  </si>
  <si>
    <t>MUNICIPALITY OF GUIMBAL, ILOILO</t>
  </si>
  <si>
    <t>DEPARTMENT OF EDUCATION - BISLIG CITY DIVISION</t>
  </si>
  <si>
    <t>MANGATAREM NATIONAL HIGH SCHOOL</t>
  </si>
  <si>
    <t>CITY OF QUEZON</t>
  </si>
  <si>
    <t>MUNICIPALITY OF ALANGALANG, LEYTE</t>
  </si>
  <si>
    <t>MUNICIPALITY OF REMEDIOS T. ROMUALDEZ, AGUSAN DEL NORTE</t>
  </si>
  <si>
    <t>BARANGAY PATA  - TUAO CAGAYAN</t>
  </si>
  <si>
    <t>MUNICIPALITY OF ROSALES, PANGASINAN</t>
  </si>
  <si>
    <t>SANTA ROSA ELEMENTARY SCHOOL CENTRAL 3(SSES)</t>
  </si>
  <si>
    <t>MUNICIPALITY OF MAGSAYSAY, OCCIDENTAL MINDORO</t>
  </si>
  <si>
    <t>BUNGGO NATIONAL HIGH SCHOOL</t>
  </si>
  <si>
    <t>PROVINCE OF ZAMBOANGA DEL SUR</t>
  </si>
  <si>
    <t>MUNICIPALITY OF CAN-AVID, EASTERN SAMAR</t>
  </si>
  <si>
    <t>BARANGAY CABUGAO SUR, PAVIA, ILOILO</t>
  </si>
  <si>
    <t>MUNICIPALITY OF TABOGON, CEBU</t>
  </si>
  <si>
    <t>MUNICIPALITY OF ARAKAN, COTABATO</t>
  </si>
  <si>
    <t>BARANGAY MAMBACAG -TUAO CAGAYAN</t>
  </si>
  <si>
    <t>DEPARTMENT OF AGRARIAN REFORM PROVINCIAL OFFICE, COTABATO</t>
  </si>
  <si>
    <t>CITY OF BAIS, NEGROS ORIENTAL</t>
  </si>
  <si>
    <t>107TH CONTRACTING OFFICE, AFP PROCUREMENT SERVICE</t>
  </si>
  <si>
    <t>MUNICIPALITY OF GARCIA-HERNANDEZ, BOHOL</t>
  </si>
  <si>
    <t>NATIONAL IRRIGATION ADMINISTRATION - KALINGA IRRIGATION MANA</t>
  </si>
  <si>
    <t>MUNICIPALITY OF VERUELA, AGUSAN DEL SUR</t>
  </si>
  <si>
    <t>BARANGAY SAGRADA FAMILIA - TAMBULIG ZAMBOANGA DEL SUR</t>
  </si>
  <si>
    <t>NAGA CITY SCHOOL OF ARTS AND TRADES</t>
  </si>
  <si>
    <t>VETERANS MEMORIAL MEDICAL CENTER, DND</t>
  </si>
  <si>
    <t>MUNICIPALITY OF KATIPUNAN, ZAMBOANGA DEL NORTE</t>
  </si>
  <si>
    <t>MUNICIPALITY OF TERESA, RIZAL</t>
  </si>
  <si>
    <t>MUNICIPALITY OF DON SALVADOR BENEDICTO, NEGROS OCCIDENTAL</t>
  </si>
  <si>
    <t>PROVINCE OF MAGUINDANAO</t>
  </si>
  <si>
    <t>CITY OF CABUYAO, LAGUNA</t>
  </si>
  <si>
    <t>PROVINCE OF ILOCOS SUR</t>
  </si>
  <si>
    <t>MUNICIPALITY OF TUNGA, LEYTE</t>
  </si>
  <si>
    <t>NATIONAL IRRIGATION ADMINISTRATION - DAVAO ORIENTAL</t>
  </si>
  <si>
    <t>BARANGAY LEMU NORTE</t>
  </si>
  <si>
    <t>MUNICIPALITY OF ROSARIO, CAVITE</t>
  </si>
  <si>
    <t>VETERANS REGIONAL HOSPITAL</t>
  </si>
  <si>
    <t>MUNICIPALITY OF PANGIL, LAGUNA</t>
  </si>
  <si>
    <t>CITY OF GINGOOG, MISAMIS ORIENTAL</t>
  </si>
  <si>
    <t>BACOLOD CITY NATIONAL HIGH SCHOOL</t>
  </si>
  <si>
    <t>MUNICIPALITY OF SABTANG, BATANES</t>
  </si>
  <si>
    <t>MUNICIPALITY OF LUBUAGAN, KALINGA</t>
  </si>
  <si>
    <t>MUNICIPALITY OF SEN. NINOY AQUINO, SULTAN KUDARAT</t>
  </si>
  <si>
    <t>MUNICIPALITY OF STO. TOMAS, BATANGAS</t>
  </si>
  <si>
    <t>CITY OF SIPALAY, NEGROS OCCIDENTAL</t>
  </si>
  <si>
    <t>BATAAN PENINSULA STATE UNIVERSITY</t>
  </si>
  <si>
    <t>DEPARTMENT OF LABOR AND EMPLOYMENT - NCR</t>
  </si>
  <si>
    <t>EASTERN VISAYAS STATE UNIVERSITY</t>
  </si>
  <si>
    <t>CITY OF ALAMINOS, PANGASINAN</t>
  </si>
  <si>
    <t>CITY OF DAPITAN</t>
  </si>
  <si>
    <t>ENVIRONMENTAL MANAGEMENT BUREAU - REGION - LA UNION</t>
  </si>
  <si>
    <t>BAGONG BARRIO NATIONAL HIGH SCHOOL</t>
  </si>
  <si>
    <t>BARANGAY STA. RITA, CALAPAN, ORIENTAL MINDORO</t>
  </si>
  <si>
    <t>DEPARTMENT OF PUBLIC WORKS AND HIGHWAYS - AKLAN DEO</t>
  </si>
  <si>
    <t>BARANGAY STA. MONICA, PUERTO PRINCESA CITY, PALAWAN</t>
  </si>
  <si>
    <t>UPIAN ELEMENTARY SCHOOL</t>
  </si>
  <si>
    <t>BAGUIO CITY NATIONAL HIGH SCHOOL</t>
  </si>
  <si>
    <t>MUNICIPALITY OF BAY, LAGUNA</t>
  </si>
  <si>
    <t>SINALHAN ELEMENTARY SCHOOL</t>
  </si>
  <si>
    <t>MUNICIPALITY OF BINGAWAN, ILOILO</t>
  </si>
  <si>
    <t>DEPARTMENT OF PUBLIC WORKS AND HIGHWAYS - CAGAYAN 2ND DEO</t>
  </si>
  <si>
    <t>BARANGAY GOLDEN, MAPANDAN, PANGASINAN</t>
  </si>
  <si>
    <t>PHILIPPINE NORMAL UNIVERSITY</t>
  </si>
  <si>
    <t>DEPARTMENT OF ENVIRONMENT AND NATURAL RES. - PENRO, LUCENA</t>
  </si>
  <si>
    <t>PNOC EXPLORATION CORPORATION - TAGUIG CITY</t>
  </si>
  <si>
    <t>BARANGAY SANTOLAN, PASIG CITY</t>
  </si>
  <si>
    <t>BARANGAY 5, PASUQUIN, ILOCOS NORTE</t>
  </si>
  <si>
    <t>MUNICIPALITY OF MAASIN, ILOILO</t>
  </si>
  <si>
    <t>DEPARTMENT OF EDUCATION - DIVISION OF AGUSAN DEL SUR</t>
  </si>
  <si>
    <t>DEPARTMENT OF PUBLIC WORKS AND HIGHWAYS - CEBU 6TH DEO</t>
  </si>
  <si>
    <t>MUNICIPALITY OF MAGALLANES, CAVITE</t>
  </si>
  <si>
    <t>MUNICIPALITY OF LIMAY, BATAAN</t>
  </si>
  <si>
    <t>DEPARTMENT OF PUBLIC WORKS AND HIGHWAYS - ILOILO 1ST DEO</t>
  </si>
  <si>
    <t>DEPARTMENT OF INFORMATION AND COMMUNICATIONS TECHNOLOGY</t>
  </si>
  <si>
    <t>COMAGASCAS ELEMENTARY SCHOOL - CABADBARAN CITY AGUSAN DEL NO</t>
  </si>
  <si>
    <t>PARTIDO STATE UNIVERSITY - GOA CAMPUS</t>
  </si>
  <si>
    <t>MUNICIPALITY OF MAGALLANES, AGUSAN DEL NORTE</t>
  </si>
  <si>
    <t>F. BANGOY NATIONAL HIGH SCHOOL</t>
  </si>
  <si>
    <t>MUNICIPALITY OF VILLAVICIOSA, ABRA</t>
  </si>
  <si>
    <t>PROVINCE OF QUIRINO</t>
  </si>
  <si>
    <t>PHIL. ATMOSPHERIC GEOPHYSICAL &amp; ASTRONOMICAL SERVICES ADM.</t>
  </si>
  <si>
    <t>MUNICIPALITY OF LAKE WOOD, ZAMBOANGA DEL SUR</t>
  </si>
  <si>
    <t>ALIMATOC ELEMENTARY SCHOOL</t>
  </si>
  <si>
    <t>BARANGAY DAGATAN - AMADEO CAVITE</t>
  </si>
  <si>
    <t>BARANGAY SAN BLAS, PAOAY ILOCOS NORTE</t>
  </si>
  <si>
    <t>BAGUIO GENERAL HOSPITAL AND MEDICAL CENTER</t>
  </si>
  <si>
    <t>UNIVERSITY OF ANTIQUE</t>
  </si>
  <si>
    <t>AKLAN STATE UNIVERSITY - BANGA CAMPUS</t>
  </si>
  <si>
    <t>MPW BASILAN DISTRICT ENGINEERING OFFICE</t>
  </si>
  <si>
    <t>CITY OF CEBU, CEBU</t>
  </si>
  <si>
    <t>MUNICIPALITY OF PADADA, DAVAO DEL SUR</t>
  </si>
  <si>
    <t>ECOSYSTEMS RESEARCH AND DEVELOPMENT BUREAU - (ERDB)</t>
  </si>
  <si>
    <t>PROVINCE OF GUIMARAS</t>
  </si>
  <si>
    <t>MUNICIPALITY OF PINTUYAN, SOUTHERN LEYTE</t>
  </si>
  <si>
    <t>DAGUPAN CITY NATIONAL HIGH SCHOOL</t>
  </si>
  <si>
    <t>CITY OF ILIGAN, LANAO DEL NORTE</t>
  </si>
  <si>
    <t>MUNICIPALITY OF TINAMBAC, CAMARINES SUR</t>
  </si>
  <si>
    <t>FIBER INDUSTRY DEVELOPMENT AUTHORITY - REGION V</t>
  </si>
  <si>
    <t>PUNTA NATIONAL HIGH SCHOOL</t>
  </si>
  <si>
    <t>MUNICIPALITY OF BURGOS, ISABELA</t>
  </si>
  <si>
    <t>DEPARTMENT OF INFORMATION AND COMMUNICATIONS TECHNOLOGY REGI</t>
  </si>
  <si>
    <t>PHILIPPINE AMUSEMENT AND GAMING CORPORATION - ILOCOS NORTE</t>
  </si>
  <si>
    <t>AGRICULTURAL TRAINING INSTITUTE - LIPA CITY</t>
  </si>
  <si>
    <t>MUNICIPALITY OF VALENCIA, BOHOL</t>
  </si>
  <si>
    <t>MUNICIPALITY OF BALENO, MASBATE</t>
  </si>
  <si>
    <t>PROVINCE OF IFUGAO</t>
  </si>
  <si>
    <t>ANTONIO J. VILLEGAS VOCATIONAL HIGH SCHOOL</t>
  </si>
  <si>
    <t>NATIONAL IRRIGATION ADMINISTRATION - REGION IX</t>
  </si>
  <si>
    <t>BARANGAY STA. CRUZ, PASIG CITY</t>
  </si>
  <si>
    <t>CABADBARAN SOUTH CENTRAL ELEMENTARY SCHOOL - CABADBARAN CITY</t>
  </si>
  <si>
    <t>MUNICIPALITY OF VINZONS, CAMARINES NORTE</t>
  </si>
  <si>
    <t>DON MARIANO MARCOS MEMORIAL STATE UNIVERSITY - SLUC</t>
  </si>
  <si>
    <t>BARANGAY SAN JOAQUIN, PASIG CITY</t>
  </si>
  <si>
    <t>BARANGAY TALUYA, GLAN, SARANGANI</t>
  </si>
  <si>
    <t>ISABELA REHABILITATION CENTER</t>
  </si>
  <si>
    <t>DEPARTMENT OF EDUCATION - DIVISION OF ILIGAN CITY</t>
  </si>
  <si>
    <t>DEPARTMENT OF PUBLIC WORKS AND HIGHWAYS - REGION I</t>
  </si>
  <si>
    <t>BOGO WATER DISTRICT</t>
  </si>
  <si>
    <t>BICOL MEDICAL CENTER</t>
  </si>
  <si>
    <t>TALAVERA WATER DISTRICT</t>
  </si>
  <si>
    <t>MUNICIPALITY OF MAGSINGAL, ILOCOS SUR</t>
  </si>
  <si>
    <t>MANOLO FORTICH WATER DISTRICT</t>
  </si>
  <si>
    <t>BANSALAN WATER DISTRICT</t>
  </si>
  <si>
    <t>LASAM INSTITUTE OF TECHNOLOGY</t>
  </si>
  <si>
    <t>OROQUIETA AGRO-INDUSTRIAL SCHOOL</t>
  </si>
  <si>
    <t>MUNICIPALITY OF SIBAGAT, AGUSAN DEL SUR</t>
  </si>
  <si>
    <t>MUNICIPALITY OF DOÑA REMEDIOS TRINIDAD, BULACAN</t>
  </si>
  <si>
    <t>METRO KIDAPAWAN WATER DISTRICT</t>
  </si>
  <si>
    <t>BARANGAY MALIMPIN, DASOL, PANGASINAN</t>
  </si>
  <si>
    <t>BARANGAY FUNDADO, CAMARINES NORTE</t>
  </si>
  <si>
    <t>BARANGAY APATUT LIBONG - PINILI ILOCOS NORTE</t>
  </si>
  <si>
    <t>BARANGAY BAG-ONG KAUSWAGAN - TAMBULIG, ZAMBOANGA DEL SUR</t>
  </si>
  <si>
    <t>DEPARTMENT OF ENVIRONMENT AND NATURAL RES. - PENRO XII-4</t>
  </si>
  <si>
    <t>MUNICIPALITY OF MAGALLANES, SORSOGON</t>
  </si>
  <si>
    <t>PROVINCE OF OCCIDENTAL MINDORO</t>
  </si>
  <si>
    <t>NATIONAL IRRIGATION ADMINISTRATION - QIMO</t>
  </si>
  <si>
    <t>MUNICIPALITY OF TAGANA-AN, SURIGAO DEL NORTE</t>
  </si>
  <si>
    <t>MUNICIPALITY OF TUBLAY, BENGUET</t>
  </si>
  <si>
    <t>MANDALAGAN NATIONAL HIGH SCHOOL</t>
  </si>
  <si>
    <t>NORTHERN ILOILO POLYTECHNIC STATE COLLEGE</t>
  </si>
  <si>
    <t>CITY OF GENERAL SANTOS , SOUTH COTABATO</t>
  </si>
  <si>
    <t>MUNICIPALITY OF PRIETO DIAZ, SORSOGON</t>
  </si>
  <si>
    <t>LIPA CITY NATIONAL HIGH SCHOOL</t>
  </si>
  <si>
    <t>PROVINCE OF BENGUET</t>
  </si>
  <si>
    <t>DEPARTMENT OF AGRARIAN REFORM - REGION V</t>
  </si>
  <si>
    <t>NUEVA VIZCAYA STATE UNIVERSITY</t>
  </si>
  <si>
    <t>MUNICIPALITY OF PILAR, CAPIZ</t>
  </si>
  <si>
    <t>KAPITOLYO HIGH SCHOOL</t>
  </si>
  <si>
    <t>DEPARTMENT OF EDUCATION - DIVISION OF CADIZ CITY</t>
  </si>
  <si>
    <t>BARANGAY ALTURA MATANDA, TANAUAN CITY, BATANGAS</t>
  </si>
  <si>
    <t>BANGKO SENTRAL NG PILIPINAS</t>
  </si>
  <si>
    <t>MUNICIPALITY OF BALETE, AKLAN</t>
  </si>
  <si>
    <t>PHILIPPINE SCIENCE HIGH SCHOOL - CALABARZON REGION CAMPUS</t>
  </si>
  <si>
    <t>MUNICIPALITY OF TOMAS OPPUS, SOUTHERN LEYTE</t>
  </si>
  <si>
    <t>MUNICIPALITY OF TANAUAN, LEYTE</t>
  </si>
  <si>
    <t>JUAN SUMULONG ELEMENTARY SCHOOL</t>
  </si>
  <si>
    <t>MUNICIPALITY OF PILAR, SORSOGON</t>
  </si>
  <si>
    <t>MUNICIPALITY OF MALILIPOT, ALBAY</t>
  </si>
  <si>
    <t>MUNICIPALITY OF SISON, PANGASINAN</t>
  </si>
  <si>
    <t>COMMISSION ON POPULATION AND DEVELOPMENT  - SAN FERNANDO CIT</t>
  </si>
  <si>
    <t>CITY OF LEGAZPI, ALBAY</t>
  </si>
  <si>
    <t>SULTAN KUDARAT STATE UNIVERSITY</t>
  </si>
  <si>
    <t>MUNICIPALITY OF SAN NICOLAS, PANGASINAN</t>
  </si>
  <si>
    <t>DEPARTMENT OF SOCIAL WELFARE AND DEVELOPMENT - MAIN</t>
  </si>
  <si>
    <t>MUNICIPALITY OF CALAPE, BOHOL</t>
  </si>
  <si>
    <t>BARANGAY 04 POBLACION, CATBALOGAN CITY</t>
  </si>
  <si>
    <t>DEPARTMENT OF SCIENCE AND TECHNOLOGY REGION 1</t>
  </si>
  <si>
    <t>PARANG HIGH SCHOOL</t>
  </si>
  <si>
    <t>DEPARTMENT OF PUBLIC WORKS AND HIGHWAYS - ILOCOS SUR 1ST DEO</t>
  </si>
  <si>
    <t>MUNICIPALITY OF NARRA, PALAWAN</t>
  </si>
  <si>
    <t>MUNICIPALITY OF ABUYOG, LEYTE</t>
  </si>
  <si>
    <t>METRO MIDSAYAP WATER DISTRICT</t>
  </si>
  <si>
    <t>DEPARTMENT OF EDUCATION - DIVISION OF ILOILO CITY</t>
  </si>
  <si>
    <t>MUNICIPALITY OF GEN. MAMERTO NATIVIDAD, NUEVA ECIJA</t>
  </si>
  <si>
    <t>CITY GOVERNMENT OF BALANGA, BATAAN</t>
  </si>
  <si>
    <t>LLORENTE NATIONAL HIGH SCHOOL - LLORENTE EASTERN SAMAR</t>
  </si>
  <si>
    <t>BARANGAY MALAMA - LIGAO CITY</t>
  </si>
  <si>
    <t>MUNICIPALITY OF NABUA, CAMARINES SUR</t>
  </si>
  <si>
    <t>DEPARTMENT OF AGRARIAN REFORM - CATANDUANES</t>
  </si>
  <si>
    <t>MUNICIPALITY OF SAN JOAQUIN, ILOILO</t>
  </si>
  <si>
    <t>UNIVERSITY OF ANTIQUE - TARIO-LIM MEMORIAL CAMPUS</t>
  </si>
  <si>
    <t>MARIGONDON ELEMENTARY SCHOOL</t>
  </si>
  <si>
    <t>MUNICIPALITY OF SAN MIGUEL, ZAMBOANGA DEL SUR</t>
  </si>
  <si>
    <t>BARANGAY TAGNATE, HILONGOS, LEYTE</t>
  </si>
  <si>
    <t>MUNICIPALITY OF BANI, PANGASINAN</t>
  </si>
  <si>
    <t>CITY OF BATANGAS, BATANGAS</t>
  </si>
  <si>
    <t>BARANGAY SAN JUAN -  CAINTA, RIZAL</t>
  </si>
  <si>
    <t>BATANGAS MEDICAL CENTER</t>
  </si>
  <si>
    <t>ANGAT WATER DISTRICT</t>
  </si>
  <si>
    <t>NATIONAL MAPPING AND RESOURCE INFORMATION AUTHORITY (NAMRIA)</t>
  </si>
  <si>
    <t>DEPARTMENT OF PUBLIC WORKS AND HIGHWAYS - LANAO DEL NORTE 2N</t>
  </si>
  <si>
    <t>MUNICIPALITY OF SAN ISIDRO, DAVAO ORIENTAL</t>
  </si>
  <si>
    <t>MUNICIPALITY OF TINOC, IFUGAO</t>
  </si>
  <si>
    <t>DEPARTMENT OF THE INTERIOR AND LOCAL GOVERNMENT - CALAMBA</t>
  </si>
  <si>
    <t>CABANGLASAN WATER DISTRICT - CABANGLASAN BUKIDNON</t>
  </si>
  <si>
    <t>MUNICIPALITY OF SINACABAN , MISAMIS OCCIDENTAL</t>
  </si>
  <si>
    <t>MUNICIPALITY OF BALAMBAN, CEBU</t>
  </si>
  <si>
    <t>METRO MANILA DEVELOPMENT AUTHORITY</t>
  </si>
  <si>
    <t>CITY  OF CALBAYOG, SAMAR</t>
  </si>
  <si>
    <t>HOUSING AND LAND USE REGULATORY BOARD - CENTRAL VISAYAS REGI</t>
  </si>
  <si>
    <t>BARANGAY MAYBUNGA - PASIG CITY</t>
  </si>
  <si>
    <t>MUNICIPALITY OF SAN RICARDO - SOUTHERN LEYTE</t>
  </si>
  <si>
    <t>TECHNICAL EDUCATION AND SKILLS DEVELOPMENT AUTHORITY  - ILOI</t>
  </si>
  <si>
    <t>BARANGAY SAN RAFAEL VILLAGE, NAVOTAS</t>
  </si>
  <si>
    <t>HOME DEVELOPMENT MUTUAL FUND - CORPORATE HEADQUARTERS</t>
  </si>
  <si>
    <t>PHILIPPINE ORTHOPEDIC CENTER</t>
  </si>
  <si>
    <t>MUNICIPALITY OF BALBALAN, KALINGA</t>
  </si>
  <si>
    <t>DEPARTMENT OF LABOR AND EMPLOYMENT - CAR</t>
  </si>
  <si>
    <t>LAS PIÑAS GENERAL HOSPITAL AND SATELLITE TRAUMA CENTER</t>
  </si>
  <si>
    <t>MUNICIPALITY OF URBIZTONDO, PANGASINAN</t>
  </si>
  <si>
    <t>MUNICIPALITY OF JIABONG, SAMAR</t>
  </si>
  <si>
    <t>BARANGAY CABUGAO, RAGAY, CAAMRINES SUR</t>
  </si>
  <si>
    <t>DEPARTMENT OF AGRARIAN REFORM - CAMARINES SUR B</t>
  </si>
  <si>
    <t>DEPARTMENT OF PUBLIC WORKS AND HIGHWAYS - QUEZON CITY 1ST ED</t>
  </si>
  <si>
    <t>MUNICIPALITY OF GONZAGA, CAGAYAN</t>
  </si>
  <si>
    <t>MUNICIPALITY OF TIGBAUAN, ILOILO</t>
  </si>
  <si>
    <t>MUNICIPALITY OF ROSARIO, LA UNION</t>
  </si>
  <si>
    <t>NATIONAL FOOD AUTHORITY - LAGUNA PROVINCIAL OFFICE</t>
  </si>
  <si>
    <t>DEPT OF TRADE AND INDUSTRY - CAR - MOUNTAIN PROVINCE</t>
  </si>
  <si>
    <t>MUNICIPALITY  OF NUMANCIA, AKLAN</t>
  </si>
  <si>
    <t>PHILIPPINE HEALTH INSURANCE CORPORATION - CAR</t>
  </si>
  <si>
    <t>DEPARTMENT OF AGRARIAN REFORM - LAGUNA PROVINCIAL OFFICE</t>
  </si>
  <si>
    <t>BARANGAY BUBOY NAGCARLAN, LAGUNA</t>
  </si>
  <si>
    <t>MUNICIPALITY OF STA.CRUZ, DAVAO DEL SUR</t>
  </si>
  <si>
    <t>PHILIPPINE FISHERIES DEVELOPMENT AUTHORITY - MAIN</t>
  </si>
  <si>
    <t>MUNICIPALITY OF MANAY, DAVAO ORIENTAL</t>
  </si>
  <si>
    <t>DEPARTMENT OF  EDUCATION - DIVISION OF URDANETA CITY</t>
  </si>
  <si>
    <t>MUNICIPALITY OF SINILOAN. LAGUNA</t>
  </si>
  <si>
    <t>F. BUSTAMANTE NATIONAL HIGH SCHOOL - DAVAO CITY</t>
  </si>
  <si>
    <t>MUNICIPALITY OF LICAB, NUEVA ECIJA</t>
  </si>
  <si>
    <t>DEPARTMENT OF ENVIRONMENT AND NATURAL RES. - PENRO ZDS</t>
  </si>
  <si>
    <t>DEPARTMENT OF EDUCATION - CARAGA</t>
  </si>
  <si>
    <t>PROVINCE OF ILOCOS NORTE</t>
  </si>
  <si>
    <t>MUNICIPALITY OF BALIWAG, BULACAN</t>
  </si>
  <si>
    <t>OROQUIETA CITY WATER DISTRICT</t>
  </si>
  <si>
    <t>MUNICIPALITY OF JAGNA, BOHOL</t>
  </si>
  <si>
    <t>BARANGAY CALUNASAN, CALAPE, BOHOL</t>
  </si>
  <si>
    <t>CITY OF MATI, PROVINCE OF DAVAO ORIENTAL</t>
  </si>
  <si>
    <t>NATIONAL MARITIME POLYTECHNIC - REGION VIII</t>
  </si>
  <si>
    <t>MUNICIPALITY OF MANKAYAN, BENGUET</t>
  </si>
  <si>
    <t>CITY OF SURIGAO, SURIGAO DEL NORTE</t>
  </si>
  <si>
    <t>UNITED COCONUT PLANTERS BANK</t>
  </si>
  <si>
    <t>DEPARTMENT OF HEALTH - TREATMENT AND REHABILITATION CENTER -</t>
  </si>
  <si>
    <t>CAMARINES SUR INSTITUTE OF FISHERIES AND MARINE SCIENCES</t>
  </si>
  <si>
    <t>MUNICIPALITY OF AURORA, ZAMBOANGA DEL SUR</t>
  </si>
  <si>
    <t>BARANGAY AMAGBAGAN, POZORRUBIO, PANGASINAN</t>
  </si>
  <si>
    <t>PHILIPPINE DEPOSIT INSURANCE CORPORATION</t>
  </si>
  <si>
    <t>BINMALEY WATER DISTRICT</t>
  </si>
  <si>
    <t>MUNICIPALITY OF PILAR, ABRA</t>
  </si>
  <si>
    <t>MUNICIPALITY OF ISABEL, LEYTE</t>
  </si>
  <si>
    <t>MUNICIPALITY OF GUIUAN, EASTERN SAMAR</t>
  </si>
  <si>
    <t>409TH CONTRACTING OFFICE</t>
  </si>
  <si>
    <t>MUNICIPALITY OF TAMBULIG, ZAMBOANGA DEL SUR</t>
  </si>
  <si>
    <t>PHILIPPINE RICE RESEARCH INSTITUTE</t>
  </si>
  <si>
    <t>DEPARTMENT OF AGRICULTURE - PANGASINAN PROVINCIAL CENTER</t>
  </si>
  <si>
    <t>MUNICIPALITY OF STO. DOMINGO, ALBAY</t>
  </si>
  <si>
    <t>OFFICE OF THE VICE-PRESIDENT OF THE PHILIPPINES</t>
  </si>
  <si>
    <t>BARANGAY IBAYO SILANGAN - NAIC CAVITE</t>
  </si>
  <si>
    <t>DEPARTMENT OF ENVIRONMENT AND NATURAL RESOURCES - CENRO TAGB</t>
  </si>
  <si>
    <t>DEPARTMENT OF ENVIRONMENT AND NATURAL RESOURCES  - REGION VI</t>
  </si>
  <si>
    <t>MUNICIPALITY OF TANZA, CAVITE</t>
  </si>
  <si>
    <t>109TH CONTRACTING OFFICE, AFP PROCUREMENT SERVICE</t>
  </si>
  <si>
    <t>MUNICIPALITY OF NAGUILIAN, LA UNION</t>
  </si>
  <si>
    <t>BARANGAY MANIBOC, LINGAYEN, PANGASINAN</t>
  </si>
  <si>
    <t>MUNICIPALITY OF PADRE GARCIA, BATANGAS</t>
  </si>
  <si>
    <t>VALLADOLID ELEMENTARY SCHOOL - VALLADOLID NEGROS OCCIDENTAL</t>
  </si>
  <si>
    <t>CITY OF LAMITAN, BASILAN</t>
  </si>
  <si>
    <t>BARANGAY CALUMPANG WEST - SAN LUIS BATANGAS</t>
  </si>
  <si>
    <t>MUNICIPALITY OF CALAYAN, CAGAYAN</t>
  </si>
  <si>
    <t>MUNICIPALITY OF RIZAL, NUEVA ECIJA</t>
  </si>
  <si>
    <t>DEPARTMENT OF HEALTH - NCR REGIONAL OFFICE(DOH-NCRO)</t>
  </si>
  <si>
    <t>BARANGAY SAN RAMON - BULA CAMARINES SUR</t>
  </si>
  <si>
    <t>BUREAU OF CUSTOMS</t>
  </si>
  <si>
    <t>MUNICIPALITY OF LA CASTELLANA, NEGROS OCCIDENTAL</t>
  </si>
  <si>
    <t>BARANGAY CENTRO 2,  SANCHEZ MIRA, CAGAYAN</t>
  </si>
  <si>
    <t>CARAGA STATE UNIVERSITY</t>
  </si>
  <si>
    <t>MUNICIPALITY OF CATIGBIAN, BOHOL</t>
  </si>
  <si>
    <t>LEGAZPI CITY WATER DISTRICT</t>
  </si>
  <si>
    <t>MUNICIPALITY OF DAPA, SURIGAO DEL NORTE</t>
  </si>
  <si>
    <t>DEPARTMENT OF PUBLIC WORKS AND HIGHWAYS - AGUSAN DEL NORTE D</t>
  </si>
  <si>
    <t>DEPARTMENT OF HEALTH - MAIN</t>
  </si>
  <si>
    <t>BANGKO SENTRAL NG PILIPINAS (SECURITY PLANT COMPLEX) - QUEZO</t>
  </si>
  <si>
    <t>MUNICIPALITY OF CASTILLEJOS, ZAMBALES</t>
  </si>
  <si>
    <t>MUNICIPALITY OF GLORIA, ORIENTAL MINDORO</t>
  </si>
  <si>
    <t>DEPARTMENT OF SOCIAL WELFARE AND DEVELOPMENT - REGION XII</t>
  </si>
  <si>
    <t>BARANGAY LONOC, LEON, ILOILO</t>
  </si>
  <si>
    <t>BARANGAY STA. CRUZ, CALAPE, BOHOL</t>
  </si>
  <si>
    <t>MUNICIPALITY OF CORON, PALAWAN</t>
  </si>
  <si>
    <t>MUNICIPALITY OF SILAGO, SOUTHERN LEYTE</t>
  </si>
  <si>
    <t>MUNICIPALITY OF BUENAVISTA, AGUSAN DEL NORTE</t>
  </si>
  <si>
    <t>MUNICIPALITY OF GITAGUM , MISAMIS ORIENTAL</t>
  </si>
  <si>
    <t>CAGAYAN VALLEY MEDICAL CENTER</t>
  </si>
  <si>
    <t>MUNICIPALITY OF TABUELAN, CEBU</t>
  </si>
  <si>
    <t>PROVINCE OF NEGROS ORIENTAL</t>
  </si>
  <si>
    <t>CITY OF PASAY</t>
  </si>
  <si>
    <t>PHILIPPINE CHARITY SWEEPSTAKES OFFICE - MANDALUYONG CITY</t>
  </si>
  <si>
    <t>TUBLAY SCHOOL OF HOME INDUSTRIES</t>
  </si>
  <si>
    <t>DEPARTMENT OF AGRARIAN REFORM - ARCDP</t>
  </si>
  <si>
    <t>MUNICIPALITY OF STA. CRUZ, MARINDUQUE</t>
  </si>
  <si>
    <t>CENTRAL BICOL STATE UNIVERSITY OF AGRICULTURE-SIPOCOT CAMPUS</t>
  </si>
  <si>
    <t>MUNICIPALITY OF SIBONGA, CEBU</t>
  </si>
  <si>
    <t>DEPARTMENT OF PUBLIC WORKS AND HIGHWAYS - BUKIDNON 3RD DEO</t>
  </si>
  <si>
    <t>BARANGAY BUSO, MATI CITY</t>
  </si>
  <si>
    <t>CITY OF MARIKINA</t>
  </si>
  <si>
    <t>AGRICULTURAL TRAINING INSTITUTE-REGIONAL TRAINING CENTER-8</t>
  </si>
  <si>
    <t>BARANGAY POLOPINA, CONCEPCION, ILOILO</t>
  </si>
  <si>
    <t>MUNICIPALITY OF KAPATAGAN, LANAO DEL NORTE</t>
  </si>
  <si>
    <t>MUNICIPALITY OF DANAO, BOHOL</t>
  </si>
  <si>
    <t>MUNICIPALITY OF TUMAUINI, ISABELA</t>
  </si>
  <si>
    <t>MUNICIPALITY OF ATIMONAN, QUEZON</t>
  </si>
  <si>
    <t>MUNICIPALITY OF SAN NICOLAS, ILOCOS NORTE</t>
  </si>
  <si>
    <t>PHILIPPINE HEALTH INSURANCE CORPORATION - REGION VIII</t>
  </si>
  <si>
    <t>LUISA MEDEL NATIONAL HIGH SCHOOL - BACOLOD CITY</t>
  </si>
  <si>
    <t>PHILIPPINE HEART CENTER</t>
  </si>
  <si>
    <t>CITY OF SAN FERNANDO, LA UNION</t>
  </si>
  <si>
    <t>PHILIPPINE INFORMATION AGENCY</t>
  </si>
  <si>
    <t>NATIONAL HOUSING AUTHORITY</t>
  </si>
  <si>
    <t>BARANGAY POBLACION, INFANTA, PANGASINAN</t>
  </si>
  <si>
    <t>MUNICIPALITY OF ESPERANZA, MASBATE</t>
  </si>
  <si>
    <t>MUNICIPALITY OF KAPALONG, DAVAO DEL NORTE</t>
  </si>
  <si>
    <t>MUNICIPALITY OF GUINSILIBAN, CAMIGUIN</t>
  </si>
  <si>
    <t>CITY OF TOLEDO, CEBU</t>
  </si>
  <si>
    <t>CITY OF SILAY, NEGROS OCCIDENTAL</t>
  </si>
  <si>
    <t>BARANGAY STA. CRUZ KORONADAL CITY SOUTH COTABATO</t>
  </si>
  <si>
    <t>DANGEROUS DRUGS BOARD</t>
  </si>
  <si>
    <t>MUNICIPALITY OF ROXAS, PALAWAN</t>
  </si>
  <si>
    <t>GRACIANO LOPEZ JAENA ELEMENTARY SCHOOL - NEGROS OCCIDENTAL</t>
  </si>
  <si>
    <t>CITY OF BIÑAN, LAGUNA</t>
  </si>
  <si>
    <t>PARTIDO DEVELOPMENT ADMINISTRATION</t>
  </si>
  <si>
    <t>MUNICIPALITY OF BARCELONA, SORSOGON</t>
  </si>
  <si>
    <t>MUNICIPALITY OF KOLAMBUGAN, LANAO DEL NORTE</t>
  </si>
  <si>
    <t>CITY OF TALISAY, NEGROS OCCIDENTAL</t>
  </si>
  <si>
    <t>OBANDO WATER DISTRICT</t>
  </si>
  <si>
    <t>INTELLECTUAL PROPERTY OF THE PHILIPPINES - TAGUIG CITY</t>
  </si>
  <si>
    <t>MUNICIPALITY OF TUY, BATANGAS</t>
  </si>
  <si>
    <t>PROVINCE OF DAVAO ORIENTAL</t>
  </si>
  <si>
    <t>PUERTO PRINCESA CITY WATER DISTRICT</t>
  </si>
  <si>
    <t>MUNICIPALITY OF MADRIDEJOS, CEBU</t>
  </si>
  <si>
    <t>MUNICIPALITY OF ALILEM, ILOCOS SUR</t>
  </si>
  <si>
    <t>BARANGAY BALECBEC, NAGUILIAN, LA UNION</t>
  </si>
  <si>
    <t>DEPARTMENT OF EDUCATION - DIVISION OF MASBATE CITY</t>
  </si>
  <si>
    <t>ABKASA ELEMENTARY SCHOOL</t>
  </si>
  <si>
    <t>DEPARTMENT OF EDUCATION - DIVISION OF PANGASINAN II</t>
  </si>
  <si>
    <t>DUMALAG VOCATIONAL TECHNICAL SCHOOL</t>
  </si>
  <si>
    <t>MUNICIPALITY OF CARAGA, DAVAO ORIENTAL</t>
  </si>
  <si>
    <t>NATIONAL IRRIGATION ADMINISTRATION - SKIMO</t>
  </si>
  <si>
    <t>CITY OF BOGO, CEBU</t>
  </si>
  <si>
    <t>COMPOSTELA WATER DISTRICT</t>
  </si>
  <si>
    <t>BARANGAY  LINAO - SAN ISIDRO LEYTE</t>
  </si>
  <si>
    <t>DEPARTMENT OF AGRARIAN REFORM - COMVAL</t>
  </si>
  <si>
    <t>DOH TREATMENT AND REHABILITATION CENTER - CEBU CITY</t>
  </si>
  <si>
    <t>NATIONAL FOOD AUTHORITY - REGION VIII</t>
  </si>
  <si>
    <t>BARANGAY STA. CRUZ, ALITAGTAG, BATANGAS</t>
  </si>
  <si>
    <t>DEPARTMENT OF PUBLIC WORKS AND HIGHWAYS - IFUGAO 2ND DEO</t>
  </si>
  <si>
    <t>MUNICIPALITY OF NATIVIDAD -  PANGASINAN</t>
  </si>
  <si>
    <t>TESDA 4B MIMAROPA REGIONAL OFFICE</t>
  </si>
  <si>
    <t>MUNICIPALITY OF NAGBUKEL, ILOCOS SUR</t>
  </si>
  <si>
    <t>MUNICIPALITY OF AGNO, PANGASINAN</t>
  </si>
  <si>
    <t>MUNICIPALITY OF SAN MIGUEL, SURIGAO DEL SUR</t>
  </si>
  <si>
    <t>MUNICIPALITY OF MIDSAYAP, NORTH COTABATO</t>
  </si>
  <si>
    <t>MUNICIPALITY OF LAUR, NUEVA ECIJA</t>
  </si>
  <si>
    <t>MUNICIPALITY OF KIBLAWAN, DAVAO DEL SUR</t>
  </si>
  <si>
    <t>VICENTE SOTTO MEMORIAL MEDICAL CENTER - REGION VII</t>
  </si>
  <si>
    <t>MUNICIPALITY OF AGOO, LA UNION</t>
  </si>
  <si>
    <t>BARANGAY BANABA WEST, BATANGAS CITY</t>
  </si>
  <si>
    <t>MUNICIPALITY OF ESPERANZA, AGUSAN DEL SUR</t>
  </si>
  <si>
    <t>CIVIL AVIATION AUTHORITY OF THE PHILIPPINES - REGION V</t>
  </si>
  <si>
    <t>MUNICIPALITY OF SAN MATEO, RIZAL</t>
  </si>
  <si>
    <t>CITY OF LAOAG, ILOCOS NORTE</t>
  </si>
  <si>
    <t>DEPARTMENT OF HEALTH REGIONAL OFFICE II</t>
  </si>
  <si>
    <t>DON MARIANO MARCOS MEMORIAL STATE UNIVERSITY - BACNOTAN</t>
  </si>
  <si>
    <t>MUNICIPALITY OF BATO, LEYTE</t>
  </si>
  <si>
    <t>BARANGAY BUCAL, BATANGAS CITY, BATANGAS</t>
  </si>
  <si>
    <t>DEPARTMENT OF SOCIAL WELFARE AND DEVELOPMENT - REGION VI</t>
  </si>
  <si>
    <t>BARANGAY GASANG, MABINI, BATANGAS</t>
  </si>
  <si>
    <t>MUNICIPALITY OF CABUGAO, ILOCOS SUR</t>
  </si>
  <si>
    <t>MUNICIPALITY OF BALUNGAO, PANGASINAN</t>
  </si>
  <si>
    <t>MUNICIPALITY OF DUPAX DEL NORTE, NUEVA VIZCAYA</t>
  </si>
  <si>
    <t>PROVINCIAL GOVERNMENT OF SURIGAO DEL NORTE</t>
  </si>
  <si>
    <t>BICOL STATE COLLEGE OF APPLIED SCIENCES AND TECHNOLOGY</t>
  </si>
  <si>
    <t>BARANGAY ADLAY, CARRASCAL, SURIGAO DEL SUR</t>
  </si>
  <si>
    <t>CITY OF BUTUAN, AGUSAN DEL NORTE</t>
  </si>
  <si>
    <t>BARANGAY BALETE, BATANGAS CITY, BATANGAS</t>
  </si>
  <si>
    <t>BARANGAY SOLANGON - SAN JUAN SIQUIJOR</t>
  </si>
  <si>
    <t>MUNICIPALITY OF NEW CORELLA, DAVAO DEL NORTE</t>
  </si>
  <si>
    <t>BARANGAY 19-B, DAVAO CITY</t>
  </si>
  <si>
    <t>DEPARTMENT OF TOURISM</t>
  </si>
  <si>
    <t>SANTIAGO WATER DISTRICT</t>
  </si>
  <si>
    <t>MUNICIPALITY OF DAO, CAPIZ</t>
  </si>
  <si>
    <t>CITY OF BISLIG, SURIGAO DEL SUR</t>
  </si>
  <si>
    <t>DEPARTMENT OF PUBLIC WORKS AND HIGHWAYS - LOWER KALINGA DEO</t>
  </si>
  <si>
    <t>PROVINCE OF ANTIQUE</t>
  </si>
  <si>
    <t>BARANGAY LALA-O - SAN JUAN SIQUIJOE</t>
  </si>
  <si>
    <t>BARANGAY PAZ, PORO, CEBU</t>
  </si>
  <si>
    <t>404TH CONTRACTING OFFICE, AFP PROCUREMENT SERVICE</t>
  </si>
  <si>
    <t>DEPARTMENT OF TRADE AND INDUSTRY - REGION XII</t>
  </si>
  <si>
    <t>MUNICIPALITY OF ALUBIJID, MISAMIS ORIENTAL</t>
  </si>
  <si>
    <t>BARANGAY PILAHAN, MABINI, BATANGAS</t>
  </si>
  <si>
    <t>BARANGAY LIGA IBAAN BATANGAS</t>
  </si>
  <si>
    <t>MUNICIPALITY OF LIAN, BATANGAS</t>
  </si>
  <si>
    <t>MACTAN-CEBU INTERNATIONAL AIRPORT AUTHORITY</t>
  </si>
  <si>
    <t>TECHNICAL EDUCATION &amp; SKILLS DEVELOPMENT AUTHORITY - NCR PAM</t>
  </si>
  <si>
    <t>BARANGAY CRISTO REY - CAPAS TARLAC</t>
  </si>
  <si>
    <t>BARANGAY SAN PEDRO, SAN PABLO CITY, LAGUNA</t>
  </si>
  <si>
    <t>KUYA ELEMENTARY SCHOOL KUYA MARAMAG BUKIDNON</t>
  </si>
  <si>
    <t>WESTERN VISAYAS MEDICAL CENTER</t>
  </si>
  <si>
    <t>NATIONAL IRRIGATION ADMINISTRATION - REGION V</t>
  </si>
  <si>
    <t>VISAYAS STATE UNIVERSITY - MAIN CAMPUS</t>
  </si>
  <si>
    <t>MARGOSATUBIG REGIONAL HOSPITAL</t>
  </si>
  <si>
    <t>MUNICIPALITY OF LAOAC, PANGASINAN</t>
  </si>
  <si>
    <t>NATIONAL POWER CORPORATION</t>
  </si>
  <si>
    <t>PROVINCE OF MARINDUQUE</t>
  </si>
  <si>
    <t>BUREAU OF FIRE PROTECTION - CARAGA REGION</t>
  </si>
  <si>
    <t>OSPITAL NG PALAWAN</t>
  </si>
  <si>
    <t>NATIONAL FOOD AUTHORITY - REGION V</t>
  </si>
  <si>
    <t>DEPARTMENT OF ENVIRONMENT AND NATURAL RES. - CENRO-APARRI</t>
  </si>
  <si>
    <t>MUNICIPALITY OF BANGUI, ILOCOS NORTE</t>
  </si>
  <si>
    <t>MUNICIPALITY OF VALDERRAMA, ANTIQUE</t>
  </si>
  <si>
    <t>NORZAGARAY WATER DISTRICT</t>
  </si>
  <si>
    <t>BATA ELEMENTARY II</t>
  </si>
  <si>
    <t>102ND CONTRACTING OFFICE, AFP PROCUREMENT SERVICE</t>
  </si>
  <si>
    <t>MUNICIPALITY OF KABACAN, COTABATO</t>
  </si>
  <si>
    <t>MUNICIPALITY OF GIGMOTO, CATANDUANES</t>
  </si>
  <si>
    <t>BARANGAY BULACAN, MABINI, BATANGAS</t>
  </si>
  <si>
    <t>SOCIAL SECURITY SYSTEM - LUZON BICOL DIVISION</t>
  </si>
  <si>
    <t>DEPARTMENT OF AGRARIAN REFORM - ILOILO PROVINCIAL OFFICE</t>
  </si>
  <si>
    <t>JARO NATIONAL HIGH SCHOOL</t>
  </si>
  <si>
    <t>MINDORO STATE COLLEGE OF AGRICULTURE AND TECHNOLOGY</t>
  </si>
  <si>
    <t>TALISAY DISTRICT HOSPITAL</t>
  </si>
  <si>
    <t>BUREAU OF CUSTOMS - REGION V</t>
  </si>
  <si>
    <t>BUREAU OF FIRE PROTECTION - NATIONAL HEADQUARTERS</t>
  </si>
  <si>
    <t>MUNICIPALITY OF GASAN, MARINDUQUE</t>
  </si>
  <si>
    <t>PHILIPPINE SCIENCE HIGH SCHOOL - MAIN CAMPUS</t>
  </si>
  <si>
    <t>PROVINCE OF LA UNION</t>
  </si>
  <si>
    <t>DEPARTMENT OF ENVIRONMENT AND NATURAL RESOURCES - APO ISLAND</t>
  </si>
  <si>
    <t>PROFESSIONAL REGULATION COMMISSION</t>
  </si>
  <si>
    <t>BARANGAY POBLACION III, NAGCARLAN, LAGUNA</t>
  </si>
  <si>
    <t>MUNICIPALITY OF LUGAIT, MISAMIS ORIENTAL</t>
  </si>
  <si>
    <t>DEPARTMENT OF EDUCATION - DIVISION OF PANGASINAN I</t>
  </si>
  <si>
    <t>TONDO MEDICAL CENTER</t>
  </si>
  <si>
    <t>LAND TRANSPORTATION OFFICE - REGION IVA</t>
  </si>
  <si>
    <t>DEPARTMENT OF EDUCATION - DIVISION OF BOHOL</t>
  </si>
  <si>
    <t>PHILIPPINE CROP INSURANCE CORPORATION - REGION IV</t>
  </si>
  <si>
    <t>BARANGAY TALAHIB, NAGCARLAN, LAGUNA</t>
  </si>
  <si>
    <t>LABUAN GENERAL HOSPITAL</t>
  </si>
  <si>
    <t>DEPARTMENT OF EDUCATION - SCHOOLS DIVISION OF BACOOR CITY</t>
  </si>
  <si>
    <t>CITY OF TACURONG, SULTAN KUDARAT</t>
  </si>
  <si>
    <t>BUREAU OF FISHERIES AND AQUATIC RESOURCES CARAGA</t>
  </si>
  <si>
    <t>CITY OF TANJAY, NEGROS ORIENTAL</t>
  </si>
  <si>
    <t>PHILIPPINE SCIENCE HIGH SCHOOL - CENTRAL LUZON CAMPUS</t>
  </si>
  <si>
    <t>PHILIPPINE CHILDREN'S MEDICAL CENTER</t>
  </si>
  <si>
    <t>MUNICIPALITY OF ALABEL, SARANGANI PROVINCE</t>
  </si>
  <si>
    <t>MUNICIPALITY OF BAYAMBANG - PANGASINAN</t>
  </si>
  <si>
    <t>BARANGAY PANTIHAN 4</t>
  </si>
  <si>
    <t>MISAMIS OCCIDENTAL NATIONAL HIGH SCHOOL</t>
  </si>
  <si>
    <t>MUNICIPALITY OF KINOGUITAN , MISAMIS ORIENTAL</t>
  </si>
  <si>
    <t>MUNICIPALITY OF AGUINALDO, IFUGAO</t>
  </si>
  <si>
    <t>DEPARTMENT OF TRADE AND INDUSTRY - REGION I</t>
  </si>
  <si>
    <t>AGRICULTURAL TRAINING INSTITUTE - REGION III</t>
  </si>
  <si>
    <t>LAND TRANSPORTATION OFFICE - REGION IX</t>
  </si>
  <si>
    <t>BARANGAY PANTIHAN 1 MARAGONDON CAVITE</t>
  </si>
  <si>
    <t>DEPARTMENT OF PUBLIC WORKS AND HIGHWAYS - AGUSAN DEL SUR 2ND</t>
  </si>
  <si>
    <t>DEPARTMENT OF PUBLIC WORKS AND HIGHWAYS - BAGUIO CITY DEO</t>
  </si>
  <si>
    <t>NATIONAL HOME MORTGAGE FINANCE CORPORATION</t>
  </si>
  <si>
    <t>DEPARTMENT OF TRADE AND INDUSTRY - MAIN</t>
  </si>
  <si>
    <t>BARANGAY BANGKAL, COUNCIL</t>
  </si>
  <si>
    <t>MUNICIPALITY OF SAGBAYAN, BOHOL</t>
  </si>
  <si>
    <t>AGRICULTURAL TRAINING INSTITUTE- REGIONAL TRAINING CENTER 02</t>
  </si>
  <si>
    <t>BARANGAY MALAYA, LABO, CAMARINES NORTE</t>
  </si>
  <si>
    <t>BARANGAY ADA, TANAUAN, LEYTE</t>
  </si>
  <si>
    <t>BARANGAY SAN MIGUEL ARAKAN COTABATO</t>
  </si>
  <si>
    <t>HOME DEVELOPMENT MUTUAL FUND - CALAMBA BRANCH</t>
  </si>
  <si>
    <t>MUNICIPALITY OF STO. NIÑO, SOUTH COTABATO</t>
  </si>
  <si>
    <t>BARANGAY 6, SAN JUAN BAUTISTA, SAN NICOLAS, ILOCOS NORTE</t>
  </si>
  <si>
    <t>BARANGAY POBLACION, BOSTON, DAVAO ORIENTAL</t>
  </si>
  <si>
    <t>SAN PEDRO NATIONAL HIGH SCHOOL - HAGONOY BULACAN</t>
  </si>
  <si>
    <t>MUNICIPALITY OF STA. BARBARA, ILOILO</t>
  </si>
  <si>
    <t>QUIRINO MEMORIAL MEDICAL CENTER</t>
  </si>
  <si>
    <t>DEPARTMENT OF EDUCATION - DIVISION OF PANABO CITY</t>
  </si>
  <si>
    <t>TOLEDO NATIONAL HIGH SCHOOL - NABAS, AKLAN</t>
  </si>
  <si>
    <t>114TH CONTRACTING OFFICE FOR INFRASTRUCTURE, AFPPS</t>
  </si>
  <si>
    <t>BARANGAY CALBAYOG, MALILIPOT, ALBAY</t>
  </si>
  <si>
    <t>DEPARTMENT OF ENERGY - MAIN</t>
  </si>
  <si>
    <t>DEPARTMENT OF PUBLIC WORKS AND HIGHWAYS - REGION IV-A</t>
  </si>
  <si>
    <t>BARANGAY BANJO WEST, TANAUAN CITY, BATANGAS</t>
  </si>
  <si>
    <t>BARANGAY BULUA, CAGAYAN DE ORO CITY</t>
  </si>
  <si>
    <t>BARANGAY LA RIOJA - PATNONGON, ANTIQUE</t>
  </si>
  <si>
    <t>DEPARTMENT OF PUBLIC WORKS AND HIGHWAYS - SULTAN KUDARAT 2ND</t>
  </si>
  <si>
    <t>CITY OF BALANGA NATIONAL HIGH SCHOOL</t>
  </si>
  <si>
    <t>FOOD AND NUTRITION RESEARCH INSTITUTE</t>
  </si>
  <si>
    <t>MUNICIPALITY OF DAGUIOMAN, ABRA</t>
  </si>
  <si>
    <t>PONTEVEDRA SOUTH ELEMENTARY SCHOOL</t>
  </si>
  <si>
    <t>BUREAU OF INTERNAL REVENUE - REVENUE REGION NO. 2</t>
  </si>
  <si>
    <t>BARANGAY TALOY SUR - TUBA BENGUET</t>
  </si>
  <si>
    <t>BARANGAY 140 ZONE 12 DISTRICT 1</t>
  </si>
  <si>
    <t>BARANGAY MINIEN WEST, STA. BARBARA, PANGASINAN</t>
  </si>
  <si>
    <t>INDUSTRIAL TECHNOLOGY DEVELOPMENT INSTITIUTE</t>
  </si>
  <si>
    <t>DEPARTMENT OF EDUCATION - DIVISION OF CAMARINES NORTE</t>
  </si>
  <si>
    <t>BARANGAY BAGONG TUBIG - SAN LUIS BATANGAS</t>
  </si>
  <si>
    <t>MUNICIPALITY OF MINALABAC, CAMARINES SUR</t>
  </si>
  <si>
    <t>APO PRODUCTION UNIT, INC.</t>
  </si>
  <si>
    <t>MUNICIPALITY OF PATNANUNGAN, QUEZON</t>
  </si>
  <si>
    <t>BARANGAY ZONE I -  PINAMALAYAN, ORIENTAL MINDORO</t>
  </si>
  <si>
    <t>DEPARTMENT OF SOCIAL WELFARE AND DEVELOPMENT - REGION IV-B</t>
  </si>
  <si>
    <t>BARANGAY UGAC NORTE, TUGUEGARAO CITY, CAGAYAN</t>
  </si>
  <si>
    <t>LEGARDA ELEMENTARY SCHOOL - MANILA METRO MANILA</t>
  </si>
  <si>
    <t>BUREAU OF JAIL MANAGEMENT AND PENOLOGY - REGION VII</t>
  </si>
  <si>
    <t>BARANGAY 659-A ZONE 71 DISTRICT V, MANILA</t>
  </si>
  <si>
    <t>BARANGAY BOTOCAN - QUEZON CITY</t>
  </si>
  <si>
    <t>DEPARTMENT OF PUBLIC WORKS AND HIGHWAYS - CAGAYAN 1ST DEO</t>
  </si>
  <si>
    <t>BARANGAY INDUSTRIAL VALLEY COMPLEX, MARIKINA CITY</t>
  </si>
  <si>
    <t>DEPARTMENT OF PUBLIC WORKS AND HIGHWAYS - QUEZON 1ST ED</t>
  </si>
  <si>
    <t>MUNICIPALITY OF PAVIA, ILOILO</t>
  </si>
  <si>
    <t>MUNICIPALITY OF PITOGO, ZAMBOANGA DEL SUR</t>
  </si>
  <si>
    <t>NATIONAL WATER RESOURCES BOARD</t>
  </si>
  <si>
    <t>CALAMBA NATIONAL HIGH SCHOOL - CABADBARAN CITY AGUSAN DEL NO</t>
  </si>
  <si>
    <t>MARAMAG WATER DISTRICT</t>
  </si>
  <si>
    <t>MUNICIPALITY OF ENRIQUE VILLANUEVA, SIQUIJOR</t>
  </si>
  <si>
    <t>BARANGAY IBABANG DUPAY, LUCENA CITY</t>
  </si>
  <si>
    <t>HANDUM ELEMENTARY SCHOOL -1- BACOLOD CITY</t>
  </si>
  <si>
    <t>CITY OF TAYABAS, QUEZON</t>
  </si>
  <si>
    <t>MUNICIPALITY OF MARGOSATUBIG, ZAMBOANGA DEL SUR</t>
  </si>
  <si>
    <t>NATIONAL COMMISSION FOR CULTURE AND THE ARTS</t>
  </si>
  <si>
    <t>305TH CONTRACTING OFFICE, AFP PROCUREMENT SERVICE</t>
  </si>
  <si>
    <t>BARANGAY SAPA PEQUEÑA, BURGOS, PANGASINAN</t>
  </si>
  <si>
    <t>BARANGAY SAN VICENTE - LIBON, ALBAY</t>
  </si>
  <si>
    <t>VILLA AGLIPAY NATIONAL HIGH SCHOOL</t>
  </si>
  <si>
    <t>MUNICIPALITY OF PROSPERIDAD, AGUSAN DEL SUR</t>
  </si>
  <si>
    <t xml:space="preserve">EDUARDO COJUANGCO NATIONAL VOCATIONAL HIGH SCHOOL - PANIQUI </t>
  </si>
  <si>
    <t>PHILIPPINE SCIENCE HIGH SCHOOL - MIMAROPA REGION CAMPUS</t>
  </si>
  <si>
    <t>CALUMPIT WATER DISTRICT</t>
  </si>
  <si>
    <t>AGRICULTURAL TRAINING INSTITUTE - TRECE MARTIRES</t>
  </si>
  <si>
    <t>BARANGAY  BAGTIC - SILAY CITY</t>
  </si>
  <si>
    <t>PEDRO E. DIAZ HIGH SCHOOL</t>
  </si>
  <si>
    <t>PHILIPPINE NAVY PROCUREMENT CENTER, AFP PROCUREMENT SERVICE</t>
  </si>
  <si>
    <t>BAYABAS ELEMENTARY SCHOOL - CABADBARAN CITY AGUSAN DEL NORTE</t>
  </si>
  <si>
    <t>BARANGAY DIGON, MARGOSATUBIG, ZAMBOANGA DEL SUR</t>
  </si>
  <si>
    <t>BARANGAY PAPALLASEN, BURGOS, PANGASINAN</t>
  </si>
  <si>
    <t>DEPARTMENT OF ENVIRONMENT AND NATURAL RES. - REGION IV MIMAR</t>
  </si>
  <si>
    <t>MUNICIPALITY OF PASUQUIN, ILOCOS NORTE</t>
  </si>
  <si>
    <t>BARANGAY STA. FE, MATALOM, LEYTE</t>
  </si>
  <si>
    <t>BARANGAY TAMBACAN, BURGOS, PANGASINAN</t>
  </si>
  <si>
    <t>TOURISM PROMOTIONS BOARD</t>
  </si>
  <si>
    <t>BARANGAY 777, ZONE 85, DISTRICT IV, MANILA</t>
  </si>
  <si>
    <t>MUNICIPALITY OF MARIVELES, BATAAN</t>
  </si>
  <si>
    <t>MUNICIPALITY OF BUGUIAS, BENGUET</t>
  </si>
  <si>
    <t>MUNTINLUPA BUSINESS HIGH SCHOOL</t>
  </si>
  <si>
    <t>BARANGAY CARUSIKIS, PASUQUIN, ILOCOS NORTE</t>
  </si>
  <si>
    <t>DEPARTMENT OF ENVIRONMENT AND NATURAL RES. - PENRO PAMPANGA</t>
  </si>
  <si>
    <t>MUNICIPALITY OF SUGBONGCOGON, MISAMIS ORIENTAL</t>
  </si>
  <si>
    <t>NAMNAM ELEMENTARY SCHOOL</t>
  </si>
  <si>
    <t>NATIONAL COMMISSION ON INDIGENOUS PEOPLES - CAR</t>
  </si>
  <si>
    <t>MUNICIPALITY OF TULUNAN, NORTH COTABATO</t>
  </si>
  <si>
    <t>BARANGAY SAN JOSE, MALILIPOT, ALBAY</t>
  </si>
  <si>
    <t>BARANGAY 809 ZONE 88 DISTRICT V, MANILA</t>
  </si>
  <si>
    <t>BARANGAY 29 SAN JUAN PASUQUIN ILOCOS NORTE</t>
  </si>
  <si>
    <t>BARANGAY 23 STA. CATALINA PASUQUIN ILOCOS NORTE</t>
  </si>
  <si>
    <t>CENTER FOR HEALTH DEVELOPMENT - REGION VI</t>
  </si>
  <si>
    <t>PROVINCE OF QUEZON</t>
  </si>
  <si>
    <t>CARLOS P. GARCIA HIGH SCHOOL</t>
  </si>
  <si>
    <t>KAPITAN EDDIE T. REYES INTEGRATED SCHOOL</t>
  </si>
  <si>
    <t>MUNICIPALITY OF COMPOSTELA, COMPOSTELA VALLEY</t>
  </si>
  <si>
    <t>CITY OF PUERTO PRINCESA, PALAWAN</t>
  </si>
  <si>
    <t>MUNICIPALITY OF LOPE DE VEGA, NORTHERN SAMAR</t>
  </si>
  <si>
    <t>QUEZON NATIONAL HIGH SCHOOL - PALAWAN</t>
  </si>
  <si>
    <t>CENTRAL MINDANAO UNIVERSITY</t>
  </si>
  <si>
    <t>DEPARTMENT OF PUBLIC WORKS AND HIGHWAYS - MINDORO OCCIDENTAL</t>
  </si>
  <si>
    <t>CITY OF BAGUIO, BENGUET</t>
  </si>
  <si>
    <t>ZSNHS-SENIOR HIGH SCHOOL (STAND ALONE)</t>
  </si>
  <si>
    <t>MUNICIPALITY OF POZORRUBIO, PANGASINAN</t>
  </si>
  <si>
    <t>MUNICIPALITY OF MOLAVE, ZAMBOANGA DEL SUR</t>
  </si>
  <si>
    <t>DEPARTMENT OF AGRICULTURE - REGION V</t>
  </si>
  <si>
    <t>MUNICIPALITY OF RIZAL,PALAWAN</t>
  </si>
  <si>
    <t>CITY OF TANDAG, SURIGAO DEL SUR</t>
  </si>
  <si>
    <t>CEBU TECHNOLOGICAL UNIVERSITY</t>
  </si>
  <si>
    <t>CITY OF MANDAUE, CEBU</t>
  </si>
  <si>
    <t>BARANGAY BANAOANG, STA. BARBARA, PANGASINAN</t>
  </si>
  <si>
    <t>MUNICIPALITY OF SAN JOSE, BATANGAS</t>
  </si>
  <si>
    <t>DEPED-ROVI-DIVISION OF AKLAN</t>
  </si>
  <si>
    <t>MUNICIPALITY OF DUERO, BOHOL</t>
  </si>
  <si>
    <t>MUNICIPALITY OF CORDOVA, CEBU</t>
  </si>
  <si>
    <t>MUNICIPALITY OF LIBAGON, SOUTHERN LEYTE</t>
  </si>
  <si>
    <t>MUNICIPALITY OF BATO, CATANDUANES</t>
  </si>
  <si>
    <t>BARANGAY SAN PEDRO I, BACARRA, ILOCOS NORTE</t>
  </si>
  <si>
    <t>MUNICIPALITY OF BALILIHAN, BOHOL</t>
  </si>
  <si>
    <t>MARITIME SAFETY SERVICES COMMAND</t>
  </si>
  <si>
    <t>MUNICIPALITY OF NABUNTURAN, COMPOSTELA VALLEY</t>
  </si>
  <si>
    <t>PHILIPPINE HEALTH INSURANCE CORPORATION - REGION XI</t>
  </si>
  <si>
    <t>ROMBLON STATE UNIVERSITY</t>
  </si>
  <si>
    <t>ZAMBOANGA CITY WATER DISTRICT - ZAMBOANGA CITY ZAMBOANGA DEL</t>
  </si>
  <si>
    <t>MUNICIPALITY OF BONGABONG, ORIENTAL MINDORO</t>
  </si>
  <si>
    <t>DEPARTMENT OF PUBLIC WORKS AND HIGHWAYS - CAGAYAN 3RD DEO</t>
  </si>
  <si>
    <t>MUNICIPALITY OF ANTEQUERA, BOHOL</t>
  </si>
  <si>
    <t>MUNICIPALITY OF MIAG-AO, ILOILO</t>
  </si>
  <si>
    <t>MUNICIPALITY OF PALO - LEYTE LEYTE</t>
  </si>
  <si>
    <t>DEPARTMENT OF PUBLIC WORKS AND HIGHWAYS - ROMBLON DEO</t>
  </si>
  <si>
    <t>BARANGAY SOLO, MABINI, BATANGAS</t>
  </si>
  <si>
    <t>MUNICIPALITY OF SARIAYA, QUEZON</t>
  </si>
  <si>
    <t>BARANGAY MAYPANGDAN, BORONGAN, EASTERN SAMAR</t>
  </si>
  <si>
    <t>COAST GUARD DISTRICT NORTHEASTERN LUZON</t>
  </si>
  <si>
    <t>MUNICIPALITY OF CORCUERA, ROMBLON</t>
  </si>
  <si>
    <t>MUNICIPALITY OF SANTA CRUZ, LAGUNA</t>
  </si>
  <si>
    <t>C. ARELLANO HIGH SCHOOL</t>
  </si>
  <si>
    <t>BARANGAY PAYAO, CATBALOGAN CITY</t>
  </si>
  <si>
    <t>MUNICIPALITY OF LALA,  LANAO DEL NORTE</t>
  </si>
  <si>
    <t>MUNICIPALITY OF NAIC, CAVITE</t>
  </si>
  <si>
    <t>MUNICIPALITY OF ANTIPAS, COTABATO</t>
  </si>
  <si>
    <t>PHILIPPINE AMUSEMENT AND GAMING CORPORATION-BACOLOD</t>
  </si>
  <si>
    <t>MUNICIPALITY OF GUMACA, QUEZON</t>
  </si>
  <si>
    <t>ILOCOS TRAINING AND REGIONAL MEDICAL CENTER</t>
  </si>
  <si>
    <t>BARANGAY NIPA, CONCEPCION, ILOILO</t>
  </si>
  <si>
    <t>MUNICIPALITY OF BOAC, MARINDUQUE</t>
  </si>
  <si>
    <t>MUNICIPALITY OF TAYTAY, PALAWAN</t>
  </si>
  <si>
    <t>MARIVELES MENTAL WELLNESS AND GENERAL HOSPITAL</t>
  </si>
  <si>
    <t>LIGHT RAIL TRANSIT AUTHORITY</t>
  </si>
  <si>
    <t>DEPARTMENT OF PUBLIC WORKS AND HIGHWAYS - DAVAO ORIENTAL 1ST</t>
  </si>
  <si>
    <t>AMADO V. HERNANDEZ ELEMENTARY SCHOOL</t>
  </si>
  <si>
    <t>BARANGAY SOROSORO KARSADA, BATANGAS CITY</t>
  </si>
  <si>
    <t>NATIONAL POWER CORPORATION - SPUG/BICOL OPERATIONS DIVISION</t>
  </si>
  <si>
    <t>KIDAPAWAN CITY NATIONAL HIGH SCHOOL</t>
  </si>
  <si>
    <t>BARANGAY BEGONG - TIGBAO ZAMBOANGA DEL SUR</t>
  </si>
  <si>
    <t>BARANGAY CUTA, BATANGAS CITY</t>
  </si>
  <si>
    <t>PROVINCE OF ZAMBOANGA SIBUGAY</t>
  </si>
  <si>
    <t>DEPARTMENT OF PUBLIC WORKS AND HIGHWAYS - ISABELA 2ND DEO</t>
  </si>
  <si>
    <t>CITY OF BAYAWAN, NEGROS ORIENTAL</t>
  </si>
  <si>
    <t>MUNICIPALITY OF ALEGRIA, CEBU</t>
  </si>
  <si>
    <t>BARANGAY 895 ZONE 99 DISTRICT 6, MANILA</t>
  </si>
  <si>
    <t>DEPARTMENT OF PUBLIC WORKS AND HIGHWAYS - QUEZON CITY 2ND ED</t>
  </si>
  <si>
    <t>BARANGAY NEW VISAYAS, PANABO CITY, DAVAO DEL NORTE</t>
  </si>
  <si>
    <t>BARANGAY 283 ZONE 26 DISTRICT III, MANILA</t>
  </si>
  <si>
    <t>BARANGAY ANIBONGON ,ABUYOG, LEYTE</t>
  </si>
  <si>
    <t>METROPOLITAN NAGA WATER DISTRICT</t>
  </si>
  <si>
    <t>BARANGAY BALAGTAS, BATANGAS CITY, BATANGAS</t>
  </si>
  <si>
    <t>GOVERNMENT SERVICE INSURANCE SYSTEM</t>
  </si>
  <si>
    <t>DEPARTMENT OF PUBLIC WORKS AND HIGHWAYS - LANAO DEL NORTE 1S</t>
  </si>
  <si>
    <t>BARANGAY GRIJALVO, SAN FERNANDO, CAMARINES SUR</t>
  </si>
  <si>
    <t>BARANGAY STA. RITA KARSADA, BATANGAS CITY, BATANGAS</t>
  </si>
  <si>
    <t>MUNICIPALITY OF BANTAYAN, CEBU</t>
  </si>
  <si>
    <t>PROVINCE OF SORSOGON</t>
  </si>
  <si>
    <t>DEPARTMENT OF HEALTH - CHD, ZAMBOANGA PENINSULA</t>
  </si>
  <si>
    <t>DEPARTMENT OF PUBLIC WORKS AND HIGHWAYS - ILOILO 2ND DISTRIC</t>
  </si>
  <si>
    <t>NATIONAL IRRIGATION ADMINISTRATION - LEYTE IMO</t>
  </si>
  <si>
    <t>BUREAU OF PLANT INDUSTRY - NCR</t>
  </si>
  <si>
    <t>MUNICIPALITY OF CARMONA, CAVITE</t>
  </si>
  <si>
    <t>MUNICIPALITY OF PINAMUNGAJAN, CEBU</t>
  </si>
  <si>
    <t>BARANGAY ILAYA 3RD, DUMANGAS, ILOILO</t>
  </si>
  <si>
    <t>CITY OF TAGBILARAN, BOHOL</t>
  </si>
  <si>
    <t>BARANGAY POBLACION, MAKATI CITY</t>
  </si>
  <si>
    <t>DEPARTMENT OF  EDUCATION - DIVISION OF SAN JOSE DEL MONTE CI</t>
  </si>
  <si>
    <t>NATIONAL IRRIGATION ADMINISTRATION - IMO AGUSAN DEL SUR</t>
  </si>
  <si>
    <t>MUNICIPALITY OF PAGBILAO, QUEZON</t>
  </si>
  <si>
    <t>PROVINCE OF ROMBLON</t>
  </si>
  <si>
    <t>SOCIAL SECURITY SYSTEM - SAN PABLO BRANCH OFFICE</t>
  </si>
  <si>
    <t>TAYSAN NATIONAL HIGH SCHOOL (DEP-ED)</t>
  </si>
  <si>
    <t>BARANGAY MAYSALAY - GOA CAMARINES SUR</t>
  </si>
  <si>
    <t>MANSIWAT PRIMARY SCHOOL</t>
  </si>
  <si>
    <t>BARANGAY BONUAN GUESET, DAGUPAN CITY</t>
  </si>
  <si>
    <t>MUNICIPALITY OF BINDOY, NEGROS ORIENTAL</t>
  </si>
  <si>
    <t>DEPED-GUILLERMO D. MENDOZA HIGH SCHOOL</t>
  </si>
  <si>
    <t>TANZA ELEMENTARY SCHOOL-BOAC NORTH</t>
  </si>
  <si>
    <t>MUNICIPALITY OF ROSELLER T. LIM, ZAMBOANGA SIBUGAY</t>
  </si>
  <si>
    <t>MUNICIPALITY OF GATTARAN, CAGAYAN</t>
  </si>
  <si>
    <t>MUNICIPALITY OF KABASALAN, ZAMBOANGA SIBUGAY</t>
  </si>
  <si>
    <t>SAWI ELEMENTARY SCHOOL</t>
  </si>
  <si>
    <t>BARANGAY SOUTH TRIANGLE - QUEZON CITY</t>
  </si>
  <si>
    <t>NATIONAL HISTORICAL COMMISSION OF THE PHILIPPINES</t>
  </si>
  <si>
    <t>JULIO LEDESMA NATIONAL HIGH SCHOOL</t>
  </si>
  <si>
    <t>DEPARTMENT OF TRADE AND INDUSTRY - CAR</t>
  </si>
  <si>
    <t>MUNICIPALITY OF BONIFACIO, MISAMIS OCCIDENTAL</t>
  </si>
  <si>
    <t>PROVINCE OF ZAMBALES</t>
  </si>
  <si>
    <t>MUNICIPALITY OF POLANGUI, ALBAY</t>
  </si>
  <si>
    <t>COMMISSION ON AUDIT - MAIN</t>
  </si>
  <si>
    <t>SABLAYAN NATIONAL COMPREHENSIVE HIGH SCHOOL</t>
  </si>
  <si>
    <t>BARANGAY PUNONG, TOMAS OPPUS, SOUTHERN LEYTE</t>
  </si>
  <si>
    <t>PULOT NATIONAL HIGH SCHOOL</t>
  </si>
  <si>
    <t>STA. CRUZ ELEMENTARY SCHOOL</t>
  </si>
  <si>
    <t>BARANGAY SANITO, IPIL, ZAMBOANGA SIBUGAY</t>
  </si>
  <si>
    <t>MUNICIPALITY OF BOBON, NORTHERN SAMAR</t>
  </si>
  <si>
    <t>BARANGAY SAN LUIS - CULASI ANTIQUE</t>
  </si>
  <si>
    <t>CITY  OF DANAO, CEBU</t>
  </si>
  <si>
    <t>DEPARTMENT OF PUBLIC WORKS AND HIGHWAYS - DINAGAT ISLANDS DI</t>
  </si>
  <si>
    <t>BARANGAY IBA, ANNI-Y, ANTIQUE</t>
  </si>
  <si>
    <t>TECHNICAL EDUCATION &amp; SKILLS DEVELOPMENT AUTHORITY-  ISABELA</t>
  </si>
  <si>
    <t>BARANGAY ALIBUNGBUNGAN, NAGCARLAN, LAGUNA</t>
  </si>
  <si>
    <t>MUNICIPALITY OF BOLINAO, PANGASINAN</t>
  </si>
  <si>
    <t>HOME DEVELOPMENT MUTUAL FUND - MAKATI BRANCH</t>
  </si>
  <si>
    <t>BARANGAY CANARVACANAN, BINALONAN, PANGASINAN</t>
  </si>
  <si>
    <t>BARANGAY PINAGTUNG-ULAN, SAN JOSE, BATANGAS</t>
  </si>
  <si>
    <t>MANGGAHAN HIGH SCHOOL</t>
  </si>
  <si>
    <t>DEPARTMENT OF AGRICULTURE - REGION III</t>
  </si>
  <si>
    <t>MUNICIPALITY OF QUEZON, PALAWAN</t>
  </si>
  <si>
    <t>NATIONAL IRRIGATION ADMINISTRATION - COTABATO IMO</t>
  </si>
  <si>
    <t>PAGLAUM VILLAGE NATIONAL HIGH SCHOOL</t>
  </si>
  <si>
    <t>MUNICIPALITY OF DATU PIANG, MAGUINDANAO</t>
  </si>
  <si>
    <t>DEPARTMENT OF INFORMATION AND COMMUNICATION TECHNOLOGY</t>
  </si>
  <si>
    <t>BUREAU OF FISHERIES AND AQUATIC RESOURCES - REGION VIII</t>
  </si>
  <si>
    <t>MUNICIPALITY OF BALO-I, LANAO DEL NORTE</t>
  </si>
  <si>
    <t>MUNICIPALITY OF LOOC, ROMBLON</t>
  </si>
  <si>
    <t>ANDRES BONIFACIO INTEGRATED SCHOOL (JUNIOR) - MANDALUYONG CI</t>
  </si>
  <si>
    <t>PANGANTUCAN NATIONAL HIGH SCHOOL</t>
  </si>
  <si>
    <t>DEPARTMENT OF ENVIRONMENT AND NATURAL RES. - PENRO, BILIRAN</t>
  </si>
  <si>
    <t>DEPARTMENT OF EDUCATION - DIVISION OF SAMAR</t>
  </si>
  <si>
    <t>PRIVATIZATION AND MANAGEMENT OFFICE</t>
  </si>
  <si>
    <t>GENERAL SANTOS CITY NATIONAL NATIONAL SECONDARY SCHOOL OF AR</t>
  </si>
  <si>
    <t>BARANGAY CARAYRAYAN - SIPOCOT, CAMARINES SUR</t>
  </si>
  <si>
    <t>BARANGAY BARCENAGA, NAUJAN, ORIENTAL MINDORO</t>
  </si>
  <si>
    <t>MUNICIPALITY OF CALUMPIT, BULACAN</t>
  </si>
  <si>
    <t>NATIONAL IRRIGATION ADMINISTRATION - UPRIIS, DIVISION 2</t>
  </si>
  <si>
    <t>CITY OF SORSOGON, SORSOGON</t>
  </si>
  <si>
    <t>MUNICIPALITY OF PINILI, ILOCOS NORTE</t>
  </si>
  <si>
    <t>DEPARTMENT OF EDUCATION - DIVISION OF ALBAY</t>
  </si>
  <si>
    <t>CAIGANGAN ELEMENTARY SCHOOL</t>
  </si>
  <si>
    <t>QUIRINO STATE UNIVERSITY</t>
  </si>
  <si>
    <t>BARANGAY AMANDIEGO, ALAMINOS, PANGASINAN</t>
  </si>
  <si>
    <t>LOCAL GOVERNMENT UNIT OF OTON, ILOILO</t>
  </si>
  <si>
    <t>BARANGAY CENTRO VIII CLAVERIA CAGAYAN</t>
  </si>
  <si>
    <t>BARANGAY SAN ANTONIO - ALAMINOS, PANGASINAN</t>
  </si>
  <si>
    <t>BARANGAY PINAGSAMA - TAGUIG CITY</t>
  </si>
  <si>
    <t>NATIONAL TRANSMISSION CORPORATION(TRANSCO)</t>
  </si>
  <si>
    <t>MUNICIPALITY OF ARITAO, NUEVA VIZCAYA</t>
  </si>
  <si>
    <t>DON LUIS CONSING ELEMENTARY SCHOOL</t>
  </si>
  <si>
    <t>MUNICIPALITY OF LANUZA, SURIGAO DEL SUR</t>
  </si>
  <si>
    <t>BARANGAY BILOLO, ORION, BATAAN</t>
  </si>
  <si>
    <t>NATIONAL IRRIGATION ADMINISTRATION - CBIMO</t>
  </si>
  <si>
    <t>UNIVERSITY OF THE PHILIPPINES - MANILA PGH</t>
  </si>
  <si>
    <t>BARANGAY SIOCON, COMPOSTELA, COMPOSTELA VALLEY</t>
  </si>
  <si>
    <t>CITY OF ANTIPOLO, RIZAL</t>
  </si>
  <si>
    <t>MUNICIPALITY OF ALCANTARA, CEBU</t>
  </si>
  <si>
    <t>NATIONAL IRRIGATION ADMINISTRATION REGION 7</t>
  </si>
  <si>
    <t>DEPARTMENT OF PUBLIC WORKS AND HIGHWAYS - ILOCOS NORTE 1ST D</t>
  </si>
  <si>
    <t>UNIVERSITY OF THE PHILIPPINES - DILIMAN</t>
  </si>
  <si>
    <t>MUNICIPALITY OF CAJIDIOCAN, ROMBLON</t>
  </si>
  <si>
    <t>DEPARTMENT OF TRADE AND INDUSTRY - BENGUET</t>
  </si>
  <si>
    <t>DEPARTMENT OF PUBLIC WORKS AND HIGHWAYS - BOHOL 1ST ED</t>
  </si>
  <si>
    <t>BARANGAY PINAGBUHATAN, PASIG CITY</t>
  </si>
  <si>
    <t>EMILIO JACINTO ELEMENTARY SCHOOL</t>
  </si>
  <si>
    <t>WESTERN PHILIPPINES UNIVERSITY</t>
  </si>
  <si>
    <t>MUNICIPALITY OF SULOP, DAVAO DEL SUR</t>
  </si>
  <si>
    <t>PHILIPPINE AMUSEMENT AND GAMING CORPORATION</t>
  </si>
  <si>
    <t>DEPARTMENT OF SCIENCE AND TECHNOLOGY - REGION XI</t>
  </si>
  <si>
    <t>POWER SECTOR ASSETS AND LIABILITIES MANAGEMENT CORPORATION-Q</t>
  </si>
  <si>
    <t>DEPARTMENT OF AGRICULTURE - REGION XII</t>
  </si>
  <si>
    <t>DEPARTMENT OF PUBLIC WORKS AND HIGHWAYS - BENGUET 2ND DEO</t>
  </si>
  <si>
    <t>BARANGAY 373 ZONE 38 DISTRICT III, MANILA</t>
  </si>
  <si>
    <t>LANDY NATIONAL HIGH SCHOOL</t>
  </si>
  <si>
    <t>REBOKON AGRICULTURAL AND VOCATIONAL HIGH SCHOOL</t>
  </si>
  <si>
    <t>ENERGY REGULATORY COMMISSION</t>
  </si>
  <si>
    <t>BARANGAY MARANGI, SAN FERNANDO, CAMARINES SUR</t>
  </si>
  <si>
    <t>MUNICIPALITY OF STA. CATALINA, NEGROS ORIENTAL</t>
  </si>
  <si>
    <t xml:space="preserve">DEPARTMENT OF PUBLIC WORKS AND HIGHWAYS - CAMARINES SUR 4TH </t>
  </si>
  <si>
    <t>MUNICIPALITY OF BULUSAN, SORSOGON</t>
  </si>
  <si>
    <t>BARANGAY CAPALALIAN, PAMPLONA, CAGAYAN</t>
  </si>
  <si>
    <t>BARANGAY SAN VICENTE, BUTUAN CITY</t>
  </si>
  <si>
    <t>MUNICIPALITY OF BANAYOYO, ILOCOS SUR</t>
  </si>
  <si>
    <t>ISABELA STATE UNIVERSITY - ROXAS</t>
  </si>
  <si>
    <t>MUNICIPALITY OF CULABA, BILIRAN</t>
  </si>
  <si>
    <t>NATIONAL TELECOMMUNICATIONS COMMISSION - REGION VI</t>
  </si>
  <si>
    <t>BARANGAY LAMOGONG - MANJUYOD NEGROS ORIENTAL</t>
  </si>
  <si>
    <t>MUNICIPALITY OF CANTILAN, SURIGAO DEL SUR</t>
  </si>
  <si>
    <t>DEPARTMENT OF PUBLIC WORKS AND HIGHWAYS - CAPIZ 1ST DEO</t>
  </si>
  <si>
    <t>NATIONAL IRRIGATION ADMINISTRATION - AGUSAN DEL NORTE IMO</t>
  </si>
  <si>
    <t>MINTAL ELEMENTARY SCHOOL</t>
  </si>
  <si>
    <t>STA. LUCIA HIGH SCHOOL - JUNIOR HIGH SCHOOL</t>
  </si>
  <si>
    <t>PROVINCE OF COTABATO</t>
  </si>
  <si>
    <t>CITY OF TALISAY, CEBU</t>
  </si>
  <si>
    <t>VILLACIN NATIONAL HIGH SCHOOL (SENIOR HIGH)</t>
  </si>
  <si>
    <t>MUNICIPALITY OF BINMALEY, PANGASINAN</t>
  </si>
  <si>
    <t>BUREAU OF PLANT INDUSTRY-BNCRDPSC</t>
  </si>
  <si>
    <t>BARANGAY FATIMA, PAQUIBATO DISTRICT, DAVAO CITY</t>
  </si>
  <si>
    <t>MUNICIPALITY OF HINATUAN , SURIGAO DEL SUR</t>
  </si>
  <si>
    <t>MUNICIPALITY OF ALAMADA, COTABATO</t>
  </si>
  <si>
    <t>DEPARTMENT OF PUBLIC WORKS AND HIGHWAYS - QUIRINO DEO</t>
  </si>
  <si>
    <t>BUREAU OF JAIL MANAGEMENT AND PENOLOGY-CALABARZON</t>
  </si>
  <si>
    <t>MINES AND GEOSCIENCES BUREAU - MIMAROPA REGION</t>
  </si>
  <si>
    <t>AGRICULTURAL TRAINING INSTITUTE - REGION IV-B</t>
  </si>
  <si>
    <t>DEPARTMENT OF PUBLIC WORKS AND HIGHWAYS - CAVITE I DEO</t>
  </si>
  <si>
    <t>BARANGAY POBLACION, SAN MIGUEL, SURIGAO DEL SUR</t>
  </si>
  <si>
    <t>TECHNICAL EDUCATION AND SKILLS DEVELOPMENT AUTHORITY IV-A</t>
  </si>
  <si>
    <t>CALUMPIT NATIONAL HIGH SCHOOL</t>
  </si>
  <si>
    <t>BARANGAY CONCEPCION PEQUEÑA, NAGA CITY</t>
  </si>
  <si>
    <t>MUNICIPALITY OF NASUGBU, BATANGAS</t>
  </si>
  <si>
    <t>CABADBARAN CITY NATIONAL HIGH SCHOOL</t>
  </si>
  <si>
    <t>BARANGAY MONTE DUJALI, SAN ISIDRO DAVAO DEL NORTE</t>
  </si>
  <si>
    <t>BARANGAY KANLURAN ROSARIO CAVITE</t>
  </si>
  <si>
    <t>BARANGAY SAGAD, PASIG CITY</t>
  </si>
  <si>
    <t>NAGUILIAN WATER DISTRICT</t>
  </si>
  <si>
    <t>SAN RAFAEL ELEMENTARY SCHOOL - CADIZ CITY</t>
  </si>
  <si>
    <t>CITY OF MARAWI</t>
  </si>
  <si>
    <t>DENR FORESTLAND MANAGEMENT PROJECT</t>
  </si>
  <si>
    <t>PHILIPPINE STATISTICS AUTHORITY - ZAMBOANGA CITY</t>
  </si>
  <si>
    <t>AGUSAN NATIONAL HIGH SCHOOL</t>
  </si>
  <si>
    <t>PROVINCE OF PAMPANGA</t>
  </si>
  <si>
    <t>SAMAR STATE UNIVERSITY</t>
  </si>
  <si>
    <t>BARANGAY STA. ELENA, SAN PABLO CITY, LAGUNA</t>
  </si>
  <si>
    <t>BARANGAY MAGALLANES, MAKATI CITY</t>
  </si>
  <si>
    <t>BARANGAY LIRA, SAN JUAN, ILOCOS SUR</t>
  </si>
  <si>
    <t>BARANGAY SAN VICENTE, GUMACA, QUEZON</t>
  </si>
  <si>
    <t>CITY OF OLONGAPO, ZAMBALES</t>
  </si>
  <si>
    <t>MUNICIPALITY OF DUMARAN, PALAWAN</t>
  </si>
  <si>
    <t>BUREAU OF CORRECTIONS - SABLAYAN PRISON AND PENAL FARM</t>
  </si>
  <si>
    <t>BARANGAY 4 RAJAH SOLIMAN, BUTUAN CITY</t>
  </si>
  <si>
    <t>ALASAS ELEMENTARY SCHOOL</t>
  </si>
  <si>
    <t>SAN ANTONIO NATIONAL HIGH SCHOOL</t>
  </si>
  <si>
    <t>BUGA HIGH SCHOOL - LIBON ALBAY</t>
  </si>
  <si>
    <t>DEPARTMENT OF EDUCATION - REGION XI</t>
  </si>
  <si>
    <t>RAJA SOLIMAN SCIENCE &amp; TECHNOLOGY HIGH SCHOOL</t>
  </si>
  <si>
    <t>PROVINCE OF DAVAO DEL NORTE</t>
  </si>
  <si>
    <t>DEPARTMENT OF PUBLIC WORKS AND HIGHWAYS - LA UNION 1ST ED</t>
  </si>
  <si>
    <t>B. DURANO INTEGRATED SCHOOL - DANAO CITY CEBU</t>
  </si>
  <si>
    <t>ENVIRONMENTAL MANAGEMENT BUREAU - REGION III</t>
  </si>
  <si>
    <t>CITY OF TANGUB</t>
  </si>
  <si>
    <t>NATIONAL IRRIGATION ADMINISTRATION - IGIMO</t>
  </si>
  <si>
    <t>NATIONAL IRRIGATION ADMINISTRATION - PIMO</t>
  </si>
  <si>
    <t>MUNICIPALITY OF MATNOG , SORSOGON</t>
  </si>
  <si>
    <t>DEVELOPMENT ACADEMY OF THE PHILIPPINES</t>
  </si>
  <si>
    <t>MUNICIPALITY OF BURGOS, ILOCOS NORTE</t>
  </si>
  <si>
    <t>BARANGAY BALUAN GENERAL SANTOS CITY COTABATO</t>
  </si>
  <si>
    <t>LAND TRANSPORTATION AND FRANCHISING REGULATORY BOARD - MAIN</t>
  </si>
  <si>
    <t>T. PAEZ INTEGRATED SCHOOL (HS)</t>
  </si>
  <si>
    <t>BARANGAY SAN PABLO, STO. TOMAS, BATANGAS</t>
  </si>
  <si>
    <t>BARANGAY GAAS - BAYBAY CITY LEYTE</t>
  </si>
  <si>
    <t>PROVINCE OF NEGROS OCCIDENTAL</t>
  </si>
  <si>
    <t>DEPARTMENT OF EDUCATION - DIVISION OF CEBU PROVINCE</t>
  </si>
  <si>
    <t>DEPARTMENT OF PUBLIC WORKS AND HIGHWAYS - QUEZON 4TH ED</t>
  </si>
  <si>
    <t>BARANGAY KAMBONGGAN - BAYBAY CITY LEYTE</t>
  </si>
  <si>
    <t>PROVINCE OF CAVITE</t>
  </si>
  <si>
    <t>ALAMINOS CITY WATER DISTRICT</t>
  </si>
  <si>
    <t>BARANGAY LIOAC SUR, NAGUILIAN, LA UNION</t>
  </si>
  <si>
    <t>CAPIZ PROVINCIAL GOVERNMENT</t>
  </si>
  <si>
    <t>ALANGILAN NATIONAL HIGH SCHOOL</t>
  </si>
  <si>
    <t>DEPARTMENT OF ENVIRONMENT AND NATURAL RES. - PENRO - XI</t>
  </si>
  <si>
    <t>MUNICIPALITY OF TIGAON, CAMARINES SUR</t>
  </si>
  <si>
    <t>BARANGAY POBLACION, MALUNGON, SARANGANI</t>
  </si>
  <si>
    <t>PUALAS ELEMENTARY SCHOOL</t>
  </si>
  <si>
    <t>BUREAU OF FISHERIES AND AQUATIC RESOURCES REGION 1</t>
  </si>
  <si>
    <t>BARANGAY DILAN, POZORRUBIO, PANGASINAN</t>
  </si>
  <si>
    <t>BARANGAY IMBALBALATONG, POZORRUBIO, PANGASINAN</t>
  </si>
  <si>
    <t>BARANGAY ATABAY, HILONGOS, LEYTE</t>
  </si>
  <si>
    <t>DEPARTMENT OF EDUCATION - NCR</t>
  </si>
  <si>
    <t>PHILIPPINE NATIONAL POLICE - HEADQUARTERS SUPPORT SERVICE</t>
  </si>
  <si>
    <t>PRESIDENTIAL COMMUNICATIONS OPERATIONS OFFICE</t>
  </si>
  <si>
    <t>DEPARTMENT OF EDUCATION - SCHOOLS DIVISION OF ISABELA CITY</t>
  </si>
  <si>
    <t>BARANGAY NAG-IBA II, NAUJAN, ORIENTAL MINDORO</t>
  </si>
  <si>
    <t>UNIVERSITY OF RIZAL SYSTEM</t>
  </si>
  <si>
    <t>MUNICIPALITY OF SABLAYAN, OCCIDENTAL MINDORO</t>
  </si>
  <si>
    <t>UNIVERSITY OF THE PHILIPPINES - OPEN UNIVERSITY</t>
  </si>
  <si>
    <t>MUNICIPALITY OF MERCEDES, EASTERN SAMAR</t>
  </si>
  <si>
    <t>CAPTAIN ALBERT AGUILAR NATIONAL HIGH SCHOOL (MAIN) - LAS PIÑ</t>
  </si>
  <si>
    <t>DEPARTMENT OF PUBLIC WORKS AND HIGHWAYS - APAYAO 1ST DEO</t>
  </si>
  <si>
    <t>DEPARTMENT OF  EDUCATION - DIVISION OF MALOLOS CITY</t>
  </si>
  <si>
    <t>BARANGAY BASIAD, STA. ELENA, CAMARINES  NORTE</t>
  </si>
  <si>
    <t>SAN NICOLAS ELEMENTARY SCHOOL</t>
  </si>
  <si>
    <t>DEPARTMENT OF SOCIAL WELFARE AND DEVELOPMENT - REGION VIII</t>
  </si>
  <si>
    <t>NATIONAL IRRIGATION ADMINISTRATION - UPRIIS, DIVISION I</t>
  </si>
  <si>
    <t>BARANGAY SAPSAP PASTRANA LEYTE</t>
  </si>
  <si>
    <t>MUNICIPALITY OF UBAY, BOHOL</t>
  </si>
  <si>
    <t>GOVERNMENT SERVICE INSURANCE SYSTEM - TACLOBAN BRANCH OFFICE</t>
  </si>
  <si>
    <t xml:space="preserve">DEPARTMENT OF  EDUCATION - SCHOOLS DIVISION OFFICE-DIVISION </t>
  </si>
  <si>
    <t>DEPARTMENT OF PUBLIC WORKS AND HIGHWAYS - BUKIDNON 1ST DEO</t>
  </si>
  <si>
    <t>MUNICIPALITY OF TUBOD, SURIGAO DEL NORTE</t>
  </si>
  <si>
    <t>BUREAU OF FISHERIES AND AQUATIC RESOURCES - REGION III</t>
  </si>
  <si>
    <t>JOHN HAY MANAGEMENT CORPORATION</t>
  </si>
  <si>
    <t>SAN VICENTE PILOT SCHOOL FOR PHILIPPINE CRAFTSMEN</t>
  </si>
  <si>
    <t>MALINO NATIONAL HIGH SCHOOL</t>
  </si>
  <si>
    <t>306TH CONTRACTING OFFICE, AFP PROCUREMENT SERVICE</t>
  </si>
  <si>
    <t>PHILIPPINE SPORTS COMMISSION</t>
  </si>
  <si>
    <t>UNIVERSITY OF THE PHILIPPINES - SYSTEM</t>
  </si>
  <si>
    <t>SUM-AG ELEMENTARY SCHOOL - BACOLOD CITY NEGROS OCCIDENTAL</t>
  </si>
  <si>
    <t>BARANGAY 225, ZONE 21 DISTRICT II MANILA</t>
  </si>
  <si>
    <t>BARANGAY 241, ZONE 22, DISTRICT II, MANILA</t>
  </si>
  <si>
    <t>TESDA PTC-CALUMPIT</t>
  </si>
  <si>
    <t>DEPARTMENT OF ENVIRONMENT AND NATURAL RESOURCES - NCR</t>
  </si>
  <si>
    <t>BUREAU OF JAIL MANAGEMENT AND PENOLOGY XI</t>
  </si>
  <si>
    <t>VICTORIA NATIONAL HIGH SCHOOL</t>
  </si>
  <si>
    <t>MUNICIPALITY OF CLAVERIA, CAGAYAN</t>
  </si>
  <si>
    <t>BARANGAY NAGTUPACAN, PAMPLONA, CAGAYAN</t>
  </si>
  <si>
    <t>MUNICIPALITY OF CONCEPCION, TARLAC</t>
  </si>
  <si>
    <t>MABABANABA NATIONAL HIGH SCHOOL</t>
  </si>
  <si>
    <t>MUNICIPALITY OF SAN LUIS, AURORA</t>
  </si>
  <si>
    <t>DEPARTMENT OF EDUCATION - SCHOOLS DIVISION OF MT. PROVINCE</t>
  </si>
  <si>
    <t>BARANGAY TONGONAN, KANANGA, LEYTE</t>
  </si>
  <si>
    <t>CITY OF CATBALOGAN, SAMAR</t>
  </si>
  <si>
    <t>BARANGAY TAWAY, IPIL, ZAMBOANGA SIBUGAY</t>
  </si>
  <si>
    <t>PHILIPPINE INSTITUTE FOR DEVELOPMENT STUDIES</t>
  </si>
  <si>
    <t>MUNICIPALITY OF PAMPLONA, CAGAYAN</t>
  </si>
  <si>
    <t>CENTER FOR HEALTH DEVELOPMENT - REGION XI</t>
  </si>
  <si>
    <t>BARANGAY PUGUIS, LA TRINIDAD, BENGUET</t>
  </si>
  <si>
    <t>BICOL REGION GENERAL HOSPITAL AND GERIATRIC MEDICAL CENTER(F</t>
  </si>
  <si>
    <t>CITY OF CALAMBA, LAGUNA</t>
  </si>
  <si>
    <t>DEPARTMENT OF TRADE AND INDUSTRY - PALAWAN PROVINCIAL OFFICE</t>
  </si>
  <si>
    <t>IGLAU-AN ELEMENTARY SCHOOL - MURCIA NEGROS OCCIDENTAL</t>
  </si>
  <si>
    <t>BARANGAY IGUID, CATBALOGAN, SAMAR</t>
  </si>
  <si>
    <t>MUNICIPALITY OF LEMERY, ILOILO</t>
  </si>
  <si>
    <t>GUIPOS NATIONAL HIGH SCHOOL</t>
  </si>
  <si>
    <t>BARANGAY SOCORRO, CATBALOGAN CITY, SAMAR</t>
  </si>
  <si>
    <t>BARANGAY LIBAS, CATBALOGAN, SAMAR</t>
  </si>
  <si>
    <t>DEPARTMENT OF PUBLIC WORKS AND HIGHWAYS - QUEZON 3RD ED</t>
  </si>
  <si>
    <t>BUREAU OF INTERNAL REVENUE - REVENUE REGION NO. 16</t>
  </si>
  <si>
    <t>MUNICIPALITY OF BAGAC, BATAAN</t>
  </si>
  <si>
    <t>BENEJIWAN ELEMENTARY SCHOOL</t>
  </si>
  <si>
    <t>BARANGAY TAGBONGABONG - R.T. ROMUALDEZ, AGUSAN DEL NORTE</t>
  </si>
  <si>
    <t>ROMBLON NATIONAL INSTITUTE OF TECHNOLOGY</t>
  </si>
  <si>
    <t>DEPARTMENT OF INFORMATION &amp; COMMUNICATIONS TECHNOLOGY - MIND</t>
  </si>
  <si>
    <t>NATIONAL POLICE COMMISSION</t>
  </si>
  <si>
    <t>MUNICIPALITY OF M'LANG, COTABATO</t>
  </si>
  <si>
    <t>COMMISSION ON POPULATION - REGION 10</t>
  </si>
  <si>
    <t>TIGLAWIGAN NATIONAL HIGH SCHOOL</t>
  </si>
  <si>
    <t>BARANGAY BULALA NORTE, APARRI, CAGAYAN</t>
  </si>
  <si>
    <t>BARANGAY CENTRO 4 APARRI CAGAYAN</t>
  </si>
  <si>
    <t>MUNICIPALITY OF NAUJAN, ORIENTAL MINDORO</t>
  </si>
  <si>
    <t>MUNICIPALITY OF TIAONG, QUEZON</t>
  </si>
  <si>
    <t>112TH CONTRACTING OFFICE, AFPPS</t>
  </si>
  <si>
    <t>DENR-PENRO,ORIENTAL MINDORO</t>
  </si>
  <si>
    <t>MUNICIPALITY OF BUUG - ZAMBOANGA SIBUGAY</t>
  </si>
  <si>
    <t>DEPARTMENT OF PUBLIC WORKS AND HIGHWAYS - NORTHERN SAMAR 2ND</t>
  </si>
  <si>
    <t>PROVINCE OF SARANGANI</t>
  </si>
  <si>
    <t>PHILIPPINE RURAL DEVELOPMENT PROJECT-MINDANAO CLUSTER</t>
  </si>
  <si>
    <t>BARANGAY CONAYNAY, SANTA BARBARA, ILOILO</t>
  </si>
  <si>
    <t>PROVINCE OF PANGASINAN</t>
  </si>
  <si>
    <t>MUNICIPALITY OF SEBASTE, ANTIQUE</t>
  </si>
  <si>
    <t>MUNICIPALITY OF MARAGUSAN COMPOSTELA VALLEY</t>
  </si>
  <si>
    <t>CITY OF DAGUPAN  - PANGASINAN</t>
  </si>
  <si>
    <t>PASSI TRADE SCHOOL</t>
  </si>
  <si>
    <t>NUEVA ECIJA UNIVERSITY OF SCIENCE AND TECHNOLOGY</t>
  </si>
  <si>
    <t>BARANGAY PINAMOPOAN, CAPOOCAN, LEYTE</t>
  </si>
  <si>
    <t>NATIONAL PRINTING OFFICE</t>
  </si>
  <si>
    <t>CITY OF ANGELES, PAMPANGA</t>
  </si>
  <si>
    <t>BARANGAY CENTRAL SIGNAL VILLAGE -TAGUIG CITY</t>
  </si>
  <si>
    <t>BARANGAY LOWER DIMOROK - MOLAVE ZAMBOANGA DEL SU</t>
  </si>
  <si>
    <t>MUNICIPALITY OF TUBA, BENGUET</t>
  </si>
  <si>
    <t>LIGA NG BARANGAY MAASIN ILOILO</t>
  </si>
  <si>
    <t>MUNICIPALITY OF SAN ROQUE - NORTHERN SAMAR</t>
  </si>
  <si>
    <t>BARANGAY BULAWAN - SIPOCOT, CAMARINES SUR</t>
  </si>
  <si>
    <t>BARANGAY ANIB - SIPOCOT, CAMARINES SUR</t>
  </si>
  <si>
    <t>DEPARTMENT OF AGRARIAN REFORM - OCCIDENTAL MINDORO</t>
  </si>
  <si>
    <t>BARANGAY TARA - SIPOCOT, CAMARINES SUR</t>
  </si>
  <si>
    <t>KABADIANGAN ELEMENTARY SCHOOL</t>
  </si>
  <si>
    <t>406TH CONTRACTING OFFICE, AFP PROCUREMENT SERVICE</t>
  </si>
  <si>
    <t>LAWAAN NATIONAL SCHOOL OF CRAFTSMANSHIP AND HOME INDUSTRIES</t>
  </si>
  <si>
    <t>DEPARTMENT OF PUBLIC WORKS AND HIGHWAYS - MAIN</t>
  </si>
  <si>
    <t>MAKATI HIGH SCHOOL</t>
  </si>
  <si>
    <t>BANTON NATIONAL HIGH SCHOOL - BANTON ROMBLON</t>
  </si>
  <si>
    <t>TARLAC AGRICULTURAL UNIVERSITY</t>
  </si>
  <si>
    <t>MUNICIPALITY OF PUDTOL, APAYAO</t>
  </si>
  <si>
    <t>BARANGAY TALACU-AN, LEON, ILOILO</t>
  </si>
  <si>
    <t>COMMISSION ON HIGHER EDUCATION - REGION VII</t>
  </si>
  <si>
    <t>BARANGAY IV -  BANTAY ILOCOS SUR</t>
  </si>
  <si>
    <t>MUNICIPALITY OF SAN ANDRES, QUEZON</t>
  </si>
  <si>
    <t>NATIONAL POWER CORPORATION - MINGEN, PULANGI IV HEP</t>
  </si>
  <si>
    <t>PAKIL WATER DISTRICT</t>
  </si>
  <si>
    <t>MUNICIPALITY OF TOLOSA, LEYTE</t>
  </si>
  <si>
    <t>BARANGAY SAN GABRIEL I, BACARRA, ILOCOS NORTE</t>
  </si>
  <si>
    <t>MUNICIPALITY OF STA. TERESITA, CAGAYAN</t>
  </si>
  <si>
    <t>COMMISSION ON POPULATION - REGION VI</t>
  </si>
  <si>
    <t>MUNICIPALITY OF KIBUNGAN, BENGUET</t>
  </si>
  <si>
    <t>ENVIRONMENTAL MANAGEMENT BUREAU - REGION VII</t>
  </si>
  <si>
    <t>BARANGAY SACRITAN - PINILI ILOCOS NORTE</t>
  </si>
  <si>
    <t>SAN JOSE (DINAGAT ISLAND) WATER DISTRICT</t>
  </si>
  <si>
    <t>BARANGAY CABARUAN, BACARRA, ILOCOS NORTE</t>
  </si>
  <si>
    <t>MUNICIPALITY OF JUBAN, SORSOGON</t>
  </si>
  <si>
    <t>DEPARTMENT OF NATIONAL DEFENSE - GOVERNMENT ARSENAL, BATAAN</t>
  </si>
  <si>
    <t>MUNICIPALITY OF MANOLO FORTICH, BUKIDNON</t>
  </si>
  <si>
    <t>CITY OF CALAPAN, ORIENTAL MINDORO</t>
  </si>
  <si>
    <t>MUNICIPALITY OF NORZAGARAY, BULACAN</t>
  </si>
  <si>
    <t>BARANGAY MUNGO, TUAO, CAGAYAN</t>
  </si>
  <si>
    <t>DEPARTMENT OF EDUCATION - DIVISION OF NUEVA VIZCAYA</t>
  </si>
  <si>
    <t>BARANGAY TAGABAKID, MATI, DAVAO ORIENTAL</t>
  </si>
  <si>
    <t>MUNICIPALITY OF SIGMA, CAPIZ</t>
  </si>
  <si>
    <t>PILI INTEGRATED SCHOOL - DANAO CITY CEBU</t>
  </si>
  <si>
    <t>MUNICIPALITY OF KITAOTAO, BUKIDNON</t>
  </si>
  <si>
    <t>BARANGAY TAGBUANE - ALBURQUERQUE, BOHOL</t>
  </si>
  <si>
    <t>MUNICIPALITY OF SILANG , CAVITE</t>
  </si>
  <si>
    <t>BAUAN TECHNICAL HIGH SCHOOL</t>
  </si>
  <si>
    <t>BARANGAY CASIAN, TAYTAY, PALAWAN</t>
  </si>
  <si>
    <t>MUNICIPALITY OF LILIW, LAGUNA</t>
  </si>
  <si>
    <t>DA - PHILIPPINE RURAL DEVELOPMENT PROJECT - CARAGA</t>
  </si>
  <si>
    <t>IFUGAO STATE UNIVERSITY</t>
  </si>
  <si>
    <t>BARANGAY TALAHIB, DARAGA, ALBAY</t>
  </si>
  <si>
    <t>CITY OF SAN JOSE DEL MONTE, BULACAN</t>
  </si>
  <si>
    <t>BUREAU OF PLANT INDUSTRY - REGION X</t>
  </si>
  <si>
    <t>SK OF BARANGAY WAWA II - ROSARIO CAVITE</t>
  </si>
  <si>
    <t>NATIONAL FOOD AUTHORITY - MAIN</t>
  </si>
  <si>
    <t>BENIGNO "NINOY" AQUINO HIGH SCHOOL</t>
  </si>
  <si>
    <t>MUNICIPALITY OF LIBUNGAN, COTABATO</t>
  </si>
  <si>
    <t>CITY OF BACOLOD, NEGROS OCCIDENTAL</t>
  </si>
  <si>
    <t>DEPARTMENT OF HEALTH - REGION XII</t>
  </si>
  <si>
    <t>PROVINCE OF SAMAR</t>
  </si>
  <si>
    <t>MUNICIPALITY OF SOLSONA, ILOCOS NORTE</t>
  </si>
  <si>
    <t>BARANGAY AGLAYAN, MALAYBALAY CITY</t>
  </si>
  <si>
    <t>MUNICIPALITY OF STA. CRUZ, OCCIDENTAL MINDORO</t>
  </si>
  <si>
    <t>BARAGAY MAANGAS -  PRESENTACION, CAMARINES SUR</t>
  </si>
  <si>
    <t>MUNICIPALITY OF PANTUKAN, COMPOSTELA VALLEY</t>
  </si>
  <si>
    <t>MUNICIPALITY OF SAN FRANCISCO, CEBU</t>
  </si>
  <si>
    <t>MUNICIPALITY OF SAN GUILLERMO, ISABELA</t>
  </si>
  <si>
    <t>MUNICIPALITY OF JAMINDAN, CAPIZ</t>
  </si>
  <si>
    <t>MARINDUQUE STATE COLLEGE</t>
  </si>
  <si>
    <t>MUNICIPALITY OF ALCALA, CAGAYAN</t>
  </si>
  <si>
    <t>CONCEPCION WATER DISTRICT</t>
  </si>
  <si>
    <t>BARANGAY KASING-KASING MOLO, ILOILO CITY</t>
  </si>
  <si>
    <t>CITY OF OROQUIETA, MISAMIS OCCIDENTAL</t>
  </si>
  <si>
    <t>MUNICIPALITY OF RAMON, ISABELA</t>
  </si>
  <si>
    <t>BARANGAY AMBARACAO SUR, NAGUILIAN, LA UNION</t>
  </si>
  <si>
    <t>SOCIAL SECURITY SYSTEM</t>
  </si>
  <si>
    <t>MUNICIPALITY OF ROSARIO, AGUSAN DEL SUR</t>
  </si>
  <si>
    <t>LBP RESOURCES AND DEVELOPMENT CORPORATION</t>
  </si>
  <si>
    <t>MUNICIPALITY OF MANSALAY, ORIENTAL MINDORO</t>
  </si>
  <si>
    <t>UNIVERSITY OF THE PHILIPPINES - LOS BAÑOS</t>
  </si>
  <si>
    <t>MUNICIPALITY OF STO. TOMAS, PANGASINAN</t>
  </si>
  <si>
    <t>DEPARTMENT OF LABOR AND EMPLOYMENT - REGION X</t>
  </si>
  <si>
    <t>DEPARTMENT OF PUBLIC WORKS AND HIGHWAYS - SURIGAO DEL SUR 1S</t>
  </si>
  <si>
    <t>DEPARTMENT OF TOURISM - REGION III</t>
  </si>
  <si>
    <t>BARANGAY SAN JUAN, MOLO, ILOILO CITY</t>
  </si>
  <si>
    <t>MUNICIPALITY OF BOTOLAN, ZAMBALES</t>
  </si>
  <si>
    <t>BARANGAY CABOLOAN SUR, OTON, ILOILO</t>
  </si>
  <si>
    <t>BUREAU OF FISHERIES AND AQUATIC RESOURCES - REGION XI</t>
  </si>
  <si>
    <t>PHILIPPINE INSTITUTE OF VOLCANOLOGY AND SEISMOLOGY</t>
  </si>
  <si>
    <t>AGRICULTURAL TRAINING INSTITUTE - REGION XII</t>
  </si>
  <si>
    <t>PEOPLE'S TELEVISION NETWORK, INC.</t>
  </si>
  <si>
    <t>MINES &amp; GEOSCIENCES BUREAU - REGION XI</t>
  </si>
  <si>
    <t>DEPARTMENT OF PUBLIC WORKS AND HIGHWAYS - BUTUAN CITY DEO</t>
  </si>
  <si>
    <t>NATIONAL IRRIGATION ADMINISTRATION - REGION X</t>
  </si>
  <si>
    <t>DR. FELIPE DE JESUS NATIONAL HIGH SCHOOL</t>
  </si>
  <si>
    <t>MUNICIPALITY OF ITOGON, BENGUET</t>
  </si>
  <si>
    <t>BARANGAY POBLACION ROSARIO CAVITE</t>
  </si>
  <si>
    <t>BARANGAY SILANGAN UNO - ROSARIO CAVITE</t>
  </si>
  <si>
    <t>DEPARTMENT OF AGRARIAN REFORM - REGION II</t>
  </si>
  <si>
    <t>BARANGAY WAWA II ROSARIO CAVITE</t>
  </si>
  <si>
    <t>BARANGAY LOWER BALURAN - IMELDA ZAMBOANGA SIBUGAY</t>
  </si>
  <si>
    <t>MUNICIPALITY OF BASCO, BATANES</t>
  </si>
  <si>
    <t>PNOC - ALTERNATIVE FUELS CORPORATION</t>
  </si>
  <si>
    <t>RIZAL TECHNOLOGICAL UNIVERSITY</t>
  </si>
  <si>
    <t>SINILOAN WATER DISTRICT</t>
  </si>
  <si>
    <t>SAN PEDRO NATIONAL HIGH SCHOOL - SAN SIMON PAMPANGA</t>
  </si>
  <si>
    <t>DEPARTMENT OF TRADE AND INDUSTRY - ILOCOS SUR</t>
  </si>
  <si>
    <t>KATIPUNAN NATIONAL HIGH SCHOOL</t>
  </si>
  <si>
    <t>MUNICIPALITY OF LAOANG, NORTHERN SAMAR</t>
  </si>
  <si>
    <t>BARANGAY TAGPOPONGAN ISLAND GARDEN CITY OF SAMAL DAVAO DEL N</t>
  </si>
  <si>
    <t>MUNICIPALITY OF DAUIS, BOHOL</t>
  </si>
  <si>
    <t>MUNICIPALITY OF LA LIBERTAD, NEGROS ORIENTAL</t>
  </si>
  <si>
    <t>BOHOL ISLAND STATE UNIVERSITY - MAIN CAMPUS</t>
  </si>
  <si>
    <t>RESEARCH INSTITUTE FOR TROPICAL MEDICINE, DOH</t>
  </si>
  <si>
    <t>MUNICIPALITY OF GENERAL NAKAR, QUEZON</t>
  </si>
  <si>
    <t>CITY OF TABACO, ALBAY</t>
  </si>
  <si>
    <t>DEPARTMENT OF SCIENCE AND TECHNOLOGY - REGION IV-B</t>
  </si>
  <si>
    <t>MUNICIPALITY OF CABIAO, NUEVA ECIJA</t>
  </si>
  <si>
    <t>MUNICIPALITY OF CALABANGA, CAMARINES SUR</t>
  </si>
  <si>
    <t>MUNICIPALITY OF SAN FABIAN, PANGASINAN</t>
  </si>
  <si>
    <t>DEPARTMENT OF SOCIAL WELFARE AND DEVELOPMENT - REGION XI</t>
  </si>
  <si>
    <t>BARANGAY LUZON, CLAVERIA, CAGAYAN</t>
  </si>
  <si>
    <t>DR. JOSE RIZAL MEMORIAL HOSPITAL</t>
  </si>
  <si>
    <t>CITY OF SAN FERNANDO, PAMPANGA</t>
  </si>
  <si>
    <t>LIMAY WATER DISTRICT</t>
  </si>
  <si>
    <t>DIGOS CITY NATIONAL HIGH SCHOOL</t>
  </si>
  <si>
    <t xml:space="preserve">DEPARTMENT OF PUBLIC WORKS AND HIGHWAYS - COMPOSTELA VALLEY </t>
  </si>
  <si>
    <t>DEPARTMENT OF EDUCATION - DIVISION OF PAGADIAN CITY</t>
  </si>
  <si>
    <t>NATIONAL ECONOMIC AND DEVELOPMENT AUTHORITY - REGION II</t>
  </si>
  <si>
    <t>MUNICIPALITY OF LABANGAN, ZAMBOANGA DEL SUR</t>
  </si>
  <si>
    <t>COURT OF APPEALS</t>
  </si>
  <si>
    <t>DEPARTMENT OF PUBLIC WORKS AND HIGHWAYS - BUKIDNON 2ND DEO</t>
  </si>
  <si>
    <t>DEPARTMENT OF PUBLIC WORKS AND HIGHWAYS - MT. PROVINCE I DEO</t>
  </si>
  <si>
    <t>CALULUT ELEMENTARY SCHOOL</t>
  </si>
  <si>
    <t>MUNICIPALITY OF QUIRINO, ISABELA</t>
  </si>
  <si>
    <t>MUNICIPALITY OF CAOAYAN, ILOCOS SUR</t>
  </si>
  <si>
    <t>DEPARTMENT OF SOCIAL WELFARE AND DEVELOPMENT - REGION V</t>
  </si>
  <si>
    <t>MUNICIPALITY OF BATO, CAMARINES SUR</t>
  </si>
  <si>
    <t>DEPARTMENT OF EDUCATION - DIVISION OF BENGUET</t>
  </si>
  <si>
    <t>MUNICIPALITY OF PILAR, CEBU</t>
  </si>
  <si>
    <t>BARANGAY 54 ZONE 4 DISTRICT I</t>
  </si>
  <si>
    <t>METRO BANGUED WATER DISTRICT</t>
  </si>
  <si>
    <t>NATIONAL TELECOMMUNICATIONS COMMISSION</t>
  </si>
  <si>
    <t>BARANGAY MAMALINGLING, DAGUPAN CITY</t>
  </si>
  <si>
    <t>BARANGAY 104 ZONE 8 DISTRICT 1</t>
  </si>
  <si>
    <t>BUREAU OF FISHERIES AND AQUATIC RESOURCES - REGION VII</t>
  </si>
  <si>
    <t>BARANGAY GONZALES, TUBAO, LA UNION</t>
  </si>
  <si>
    <t>BARANGAY DUMANTAY, BATANGAS CITY</t>
  </si>
  <si>
    <t>BARANGAY ORANBO, PASIG CITY</t>
  </si>
  <si>
    <t>BARANGAY DALAHICAN, LUCENA CITY</t>
  </si>
  <si>
    <t>JOSE R. REYES MEMORIAL MEDICAL CENTER</t>
  </si>
  <si>
    <t>BARANGAY TIGBAO, AROROY, MASBATE</t>
  </si>
  <si>
    <t>BARANGAY BONUAN BINLOC, DAGUPAN CITY</t>
  </si>
  <si>
    <t>PAG-IBIG FUND - DAVAO HUB (TECHNICAL AND ADMIN SUPPORT)</t>
  </si>
  <si>
    <t>DEPARTMENT OF PUBLIC WORKS AND HIGHWAYS - NEG. OCC. 2ND DEO</t>
  </si>
  <si>
    <t>DEPARTMENT OF ENVIRONMENT AND NATURAL RES. - PENRO, DAGUPAN</t>
  </si>
  <si>
    <t>BARANGAY NEW MAHAYAG, CATBALOGAN, SAMAR</t>
  </si>
  <si>
    <t>SAN ROQUE NATIONAL HIGH SCHOOL</t>
  </si>
  <si>
    <t>BARANGAY II-B, SAN PABLO CITY</t>
  </si>
  <si>
    <t>COMMISSION ON POPULATION AND DEVELOPMENT</t>
  </si>
  <si>
    <t>NATIONAL IRRIGATION ADMINISTRATION - CAR</t>
  </si>
  <si>
    <t>DEPARTMENT OF PUBLIC WORKS AND HIGHWAYS - MINDORO ORIENTAL D</t>
  </si>
  <si>
    <t>PHILIPPINE NATIONAL POLICE - SPECIAL ACTION FORCE</t>
  </si>
  <si>
    <t>BUREAU OF CUSTOMS - DAVAO CITY</t>
  </si>
  <si>
    <t>COMMISSION ON POPULATION AND DEVELOPMENT - REGION IV</t>
  </si>
  <si>
    <t>UNIVERSITY OF SCIENCE AND TECHNOLOGY OF SOUTHERN PHILIPPINES</t>
  </si>
  <si>
    <t>NATIONAL FOOD AUTHORITY - TARLAC</t>
  </si>
  <si>
    <t>BARANGAY MALABANBAN SUR, CANDELARIA, QUEZON</t>
  </si>
  <si>
    <t>CIVIL SERVICE COMMISSION - REGION II</t>
  </si>
  <si>
    <t>DEPARTMENT OF EDUCATION - DIVISION OF CATANDUANES</t>
  </si>
  <si>
    <t>BARANGAY SEMIRARA, CALUYA, ANTIQUE</t>
  </si>
  <si>
    <t>PROVINCE OF MOUNTAIN PROVINCE</t>
  </si>
  <si>
    <t>BARANGAY TIBAL-OG, STO.TOMAS, DAVAO</t>
  </si>
  <si>
    <t>ENVIRONMENTAL MANAGEMENT BUREAU, DENR-REGION X</t>
  </si>
  <si>
    <t>DEPARTMENT OF EDUCATION - DIVISION OF SURIGAO DEL NORTE</t>
  </si>
  <si>
    <t>PROVINCE OF BOHOL</t>
  </si>
  <si>
    <t>MUNICIPALITY OF SAN MIGUEL, CATANDUANES</t>
  </si>
  <si>
    <t>BULACAN STATE UNIVERSITY</t>
  </si>
  <si>
    <t>MUNICIPALITY OF BASILISA, DINAGAT ISLAND</t>
  </si>
  <si>
    <t>UNIVERSITY OF ANTIQUE-HAMTIC CAMPUS</t>
  </si>
  <si>
    <t>CENTER FOR HEALTH DEVELOPMENT - REGION I</t>
  </si>
  <si>
    <t>OFFICE OF THE SOLICITOR GENERAL</t>
  </si>
  <si>
    <t>DEPARTMENT OF ENVIRONMENT AND NATURAL RES. - PENRO, ALBAY</t>
  </si>
  <si>
    <t>PHILIPPINE SCIENCE HIGH SCHOOL - REGION V</t>
  </si>
  <si>
    <t>EAST AVENUE MEDICAL CENTER</t>
  </si>
  <si>
    <t>DEVELOPMENT BANK OF THE PHILIPPINES - BBG - NORTHERN MINDANA</t>
  </si>
  <si>
    <t>DEPARTMENT OF PUBLIC WORKS AND HIGHWAYS - CAVITE 3RD DISTRIC</t>
  </si>
  <si>
    <t>CITY OF VALENCIA, BUKIDNON</t>
  </si>
  <si>
    <t>BARANGAY 58, CASILI, LAOAG CITY, ILOCOS NORTE</t>
  </si>
  <si>
    <t>METRO LIPA WATER DISTRICT</t>
  </si>
  <si>
    <t>MUNICIPALITY OF LA PAZ, AGUSAN DEL SUR</t>
  </si>
  <si>
    <t>BARANGAY MINANGA CAMALANIUGAN CAGAYAN</t>
  </si>
  <si>
    <t>SECURITIES AND EXCHANGE COMMISSION</t>
  </si>
  <si>
    <t>MUNICIPALITY OF LUPON, DAVAO ORIENTAL</t>
  </si>
  <si>
    <t>DEPARTMENT OF AGRICULTURE - MAIN</t>
  </si>
  <si>
    <t>MUNICIPALITY OF SUYO, ILOCOS SUR</t>
  </si>
  <si>
    <t>LAND TRANSPORTATION OFFICE - MAIN</t>
  </si>
  <si>
    <t>DEPARTMENT OF HEALTH - REGION X</t>
  </si>
  <si>
    <t>DOH-REGIONAL OFFICE IV-A</t>
  </si>
  <si>
    <t>PHILIPPINE RETIREMENT AUTHORITY</t>
  </si>
  <si>
    <t>BARANGAY STA. LUCIA - PASIG CITY</t>
  </si>
  <si>
    <t>SUGAR REGULATORY ADMINISTRATION - VISAYAS</t>
  </si>
  <si>
    <t>GENERAL SANTOS CITY WATER DISTRICT</t>
  </si>
  <si>
    <t>DEPARTMENT OF PUBLIC WORKS AND HIGHWAYS - PAMPANGA 3RD DEO</t>
  </si>
  <si>
    <t>405TH CONTRACTING OFFICE, AFP PROCUREMENT SERVICE</t>
  </si>
  <si>
    <t>COOPERATIVE DEVELOPMENT AUTHORITY - REGION VIII</t>
  </si>
  <si>
    <t>MARCIAL O. RANOLA MEMORIAL SCHOOL-RV</t>
  </si>
  <si>
    <t>DEPARTMENT OF PUBLIC WORKS AND HIGHWAYS - ABRA ED</t>
  </si>
  <si>
    <t>SUGAR REGULATORY ADMINISTRATION</t>
  </si>
  <si>
    <t>ENVIRONMENTAL MANAGEMENT BUREAU - DENR</t>
  </si>
  <si>
    <t>PHILIPPINE PORTS AUTHORITY - PMO ILIGAN</t>
  </si>
  <si>
    <t>DEPARTMENT OF PUBLIC WORKS AND HIGHWAYS - LAS PINAS- MUNTINL</t>
  </si>
  <si>
    <t>DEPARTMENT OF EDUCATION - DIVISION OF GUIMARAS</t>
  </si>
  <si>
    <t>BARANGAY MAPGAP, TOMAS OPPUS, SOUTHERN LEYTE</t>
  </si>
  <si>
    <t>DEPARTMENT OF PUBLIC WORKS AND HIGHWAYS - LAGUNA II DEO</t>
  </si>
  <si>
    <t>PROFESSIONAL REGULATION COMMISSION - ROSALES PANGASINAN</t>
  </si>
  <si>
    <t>SOCIAL SECURITY SYSTEM - NCR NORTH DIVISION</t>
  </si>
  <si>
    <t>MUNICIPALITY OF JOSEFINA, ZAMBOANGA DEL SUR</t>
  </si>
  <si>
    <t>DEPARTMENT OF PUBLIC WORKS AND HIGHWAYS - LA UNION 2ND ED</t>
  </si>
  <si>
    <t>MUNICIPALITY OF ZAMBOANGUITA, NEGROS ORIENTAL</t>
  </si>
  <si>
    <t>BARANGAY CANO-AN - ESTANCIA ILOILO</t>
  </si>
  <si>
    <t>MUNICIPALITY OF IROSIN, SORSOGON</t>
  </si>
  <si>
    <t>DEPARTMENT OF SCIENCE AND TECHNOLOGY - REGION V</t>
  </si>
  <si>
    <t>DEPARTMENT OF SOCIAL WELFARE AND DEVELOPMENT - REGION I</t>
  </si>
  <si>
    <t>CITY OF MALAYBALAY, BUKIDNON</t>
  </si>
  <si>
    <t>CEBU NORMAL UNIVERSITY</t>
  </si>
  <si>
    <t xml:space="preserve">TECHNICAL EDUCATION &amp; SKILLS DEVELOPMENT AUTHORITY - REGION </t>
  </si>
  <si>
    <t>BAGUIO WATER DISTRICT - BAGUIO CITY</t>
  </si>
  <si>
    <t xml:space="preserve">DEPARTMENT OF PUBLIC WORKS AND HIGHWAYS - CAMARINES SUR 5TH </t>
  </si>
  <si>
    <t>LA TRINIDAD WATER DISTRICT - LA TRINIDAD BENGUET</t>
  </si>
  <si>
    <t>MUNICIPALITY OF TUAO, CAGAYAN</t>
  </si>
  <si>
    <t>PHILIPPINE HEALTH INSURANCE CORPORATION - REGION IX</t>
  </si>
  <si>
    <t>MUNICIPALITY OF ALEOSAN, COTABATO</t>
  </si>
  <si>
    <t>BARANGAY CAOAYAN - SUAL PANGASINAN</t>
  </si>
  <si>
    <t>MALAYBALAY CITY WATER DISTRICT</t>
  </si>
  <si>
    <t>CANDABA WATER DISTRICT</t>
  </si>
  <si>
    <t>DEPARTMENT OF ENVIRONMENT AND NATURAL RES. - PENRO, N. VIZCA</t>
  </si>
  <si>
    <t>PROVINCE OF LEYTE</t>
  </si>
  <si>
    <t>MUNICIPALITY OF INOPACAN, LEYTE</t>
  </si>
  <si>
    <t>NATIONAL CHILDREN'S HOSPITAL</t>
  </si>
  <si>
    <t>CITY OF URDANETA, PANGASINAN</t>
  </si>
  <si>
    <t>DEPARTMENT OF AGRARIAN REFORM - SOUTHERN LEYTE</t>
  </si>
  <si>
    <t>MINES AND GEOSCIENCES BUREAU - REGION I</t>
  </si>
  <si>
    <t>MUNICIPALITY OF SEVILLA, BOHOL</t>
  </si>
  <si>
    <t>BARANGAY TINA, SAN MIGUEL, SURIGAO DEL SUR</t>
  </si>
  <si>
    <t>CENTRAL BICOL STATE UNIVERSITY OF AGRICULTURE (CBSUA)</t>
  </si>
  <si>
    <t>PHILIPPINE HEALTH INSURANCE CORPORATION - CARAGA</t>
  </si>
  <si>
    <t>INSTITUTE FOR LABOR STUDIES - MANILA METRO MANILA</t>
  </si>
  <si>
    <t>MUNICIPALITY OF PILAR, BATAAN</t>
  </si>
  <si>
    <t>CITY  OF CADIZ, NEGROS OCCIDENTAL</t>
  </si>
  <si>
    <t>MUNICIPALITY OF BACOLOR, PAMPANGA</t>
  </si>
  <si>
    <t>CULION SANITARIUM AND GENERAL HOSPITAL</t>
  </si>
  <si>
    <t>DEPARTMENT OF TRADE AND INDUSTRY - REGION II, CAGAYAN VALLEY</t>
  </si>
  <si>
    <t>PROVINCE OF SURIGAO DEL NORTE</t>
  </si>
  <si>
    <t>DEPARTMENT OF EDUCATION - DIVISION OF PASIG CITY</t>
  </si>
  <si>
    <t>MUNICIPALITY OF LUNA, ISABELA</t>
  </si>
  <si>
    <t>BUREAU OF FISHERIES AND AQUATIC RESOURCES - RV</t>
  </si>
  <si>
    <t>BALIWAG WATER DISTRICT</t>
  </si>
  <si>
    <t>NATIONAL DAIRY AUTHORITY - REGION X</t>
  </si>
  <si>
    <t>PHILIPPINE NATIONAL OIL COMPANY - MAIN OFFICE</t>
  </si>
  <si>
    <t>PINES CITY NATIONAL HIGH SCHOOL</t>
  </si>
  <si>
    <t>MUNICIPALITY OF PRES. MANUEL A. ROXAS, ZAMBOANGA DEL NORTE</t>
  </si>
  <si>
    <t>LAGUNA STATE POLYTECHNIC UNIVERSITY - SINILOAN CAMPUS</t>
  </si>
  <si>
    <t>BARANGAY SUNGGIAM - ILOCOS SUR</t>
  </si>
  <si>
    <t>MUNICIPALITY OF MAINIT, SURIGAO DEL NORTE</t>
  </si>
  <si>
    <t>MUNICIPALITY OF LAGUINDINGAN, MISAMIS ORIENTAL</t>
  </si>
  <si>
    <t>MUNICIPALITY OF TAYSAN, BATANGAS</t>
  </si>
  <si>
    <t>MUNICIPALITY OF BARILI, CEBU</t>
  </si>
  <si>
    <t>MUNICIPALITY OF IMPASUGONG, BUKIDNON</t>
  </si>
  <si>
    <t>LANDBANK OF THE PHILIPPINES - HEAD OFFICE</t>
  </si>
  <si>
    <t>DEPARTMENT OF HEALTH EASTERN VISAYAS CHD - PALO LEYTE</t>
  </si>
  <si>
    <t>DEPARTMENT OF PUBLIC WORKS AND HIGHWAYS - CEBU CITY DEO</t>
  </si>
  <si>
    <t>PHILIPPINE NATIONAL POLICE - LOGISTICS SUPPORT SERVICE</t>
  </si>
  <si>
    <t>DEPARTMENT OF HEALTH - CAR OFFICE</t>
  </si>
  <si>
    <t>DEPARTMENT OF PUBLIC WORKS AND HIGHWAYS - PALAWAN 2ND DEO</t>
  </si>
  <si>
    <t>DEPARTMENT OF PUBLIC WORKS AND HIGHWAYS - BOHOL 2ND DEO</t>
  </si>
  <si>
    <t>BARANGAY CATBANGEN - SAN FERNANDO CITY, LA UNION</t>
  </si>
  <si>
    <t>NATIONAL IRRIGATION ADMINISTRATION</t>
  </si>
  <si>
    <t>OCCIDENTAL MINDORO STATE COLLEGE</t>
  </si>
  <si>
    <t>MUNICIPALITY OF PAOAY, ILOCOS NORTE</t>
  </si>
  <si>
    <t>BANAGO ELEMENTARY SCHOOL II-DEPED BACOLOD CITY</t>
  </si>
  <si>
    <t>MUNICIPALITY OF PANGANIBAN, CATANDUANES</t>
  </si>
  <si>
    <t>LICAB WATER DISTRICT</t>
  </si>
  <si>
    <t>BARANGAY SAN MIGUEL, SAN PABLO CITY</t>
  </si>
  <si>
    <t>DEPARTMENT OF PUBLIC WORKS AND HIGHWAYS - NORTH COTABATO 1ST</t>
  </si>
  <si>
    <t>BARANGAY 838 ZONE 91, DISTRICT VI MANILA</t>
  </si>
  <si>
    <t>DEPARTMENT OF PUBLIC WORKS AND HIGHWAYS - METRO MANILA 3RD E</t>
  </si>
  <si>
    <t>DEPARTMENT OF PUBLIC WORKS AND HIGHWAYS - REGION IV-B</t>
  </si>
  <si>
    <t>HOME DEVELOPMENT MUTUAL FUND - IMUS BRANCH</t>
  </si>
  <si>
    <t>GOVERNOR CELESTINO GALLARES MEMORIAL HOSPITAL</t>
  </si>
  <si>
    <t>OFFICE OF CIVIL DEFENSE - REGION V</t>
  </si>
  <si>
    <t>BARANGAY VILLA PANTINOPLE - BASILISA, DINAGAT ISLAND</t>
  </si>
  <si>
    <t>DEPARTMENT OF AGRICULTURE - REGION IV-B (MIMAROPA)</t>
  </si>
  <si>
    <t>ADVANCED SCIENCE AND TECHNOLOGY INSTITUTE</t>
  </si>
  <si>
    <t>BARANGAY LANTAP, BAGABAG, NUEVA VIZCAYA</t>
  </si>
  <si>
    <t>DEPARTMENT OF PUBLIC WORKS AND HIGHWAYS - ISABELA 3RD DEO</t>
  </si>
  <si>
    <t>MUNICIPALITY OF BAUAN, BATANGAS</t>
  </si>
  <si>
    <t>NATIONAL ECONOMIC AND DEVELOPMENT - REGION IV-A (CALABARZON)</t>
  </si>
  <si>
    <t>BARANGAY PINYA, LABO, CAMARINES NORTE</t>
  </si>
  <si>
    <t>ILOILO STATE COLLEGE OF FISHERIES - MAIN CAMPUS</t>
  </si>
  <si>
    <t>DEPARTMENT OF PUBLIC WORKS AND HIGHWAYS - REGION IX</t>
  </si>
  <si>
    <t>COMMISSION ON ELECTIONS</t>
  </si>
  <si>
    <t>BARANGAY TIBANG - SAN ANDRES, CATANDUANES</t>
  </si>
  <si>
    <t>MUNICIPALITY OF MANDAON, MASBATE</t>
  </si>
  <si>
    <t>NATIONAL MEAT INSPECTION  SERVICE</t>
  </si>
  <si>
    <t>BARANGAY BALLOG - BACNOTAN, LA UNION</t>
  </si>
  <si>
    <t>CITY OF BAYUGAN, AGUSAN DEL SUR</t>
  </si>
  <si>
    <t>BARANGAY DIVINO ROSTRO - SAN ANDRES CATANDUANES</t>
  </si>
  <si>
    <t>NATIONAL IRRIGATION ADMINISTRATION - SARIS</t>
  </si>
  <si>
    <t>BARANGAY DE GUZMAN, MABINI, PANGASINAN</t>
  </si>
  <si>
    <t>BARANGAY CALANUTIAN - SAN NICOLAS PANGASINAN</t>
  </si>
  <si>
    <t>BARANGAY LANAO PILAR CEBU</t>
  </si>
  <si>
    <t>BARANGAY CABANAETAN, MABINI, PANGASINAN</t>
  </si>
  <si>
    <t>CAYBIGA HIGH SCHOOL</t>
  </si>
  <si>
    <t>BARANGAY 216 ZONE 20 DISTRICT II, MANILA</t>
  </si>
  <si>
    <t>PHILIPPINE NUCLEAR RESEARCH INSTITUTE</t>
  </si>
  <si>
    <t>PHILIPPINE PORTS AUTHORITY - PMO CAGAYAN DE ORO</t>
  </si>
  <si>
    <t>MUNICIPALITY OF GANDARA, SAMAR</t>
  </si>
  <si>
    <t>MUNICIPALITY OF ALITAGTAG, BATANGAS</t>
  </si>
  <si>
    <t>BARANGAY 245 ZONE 22 DISTRICT 2, MANILA</t>
  </si>
  <si>
    <t>DEPARTMENT OF PUBLIC WORKS AND HIGHWAYS - COTABATO SUB-DEO</t>
  </si>
  <si>
    <t>TALA HIGH SCHOOL</t>
  </si>
  <si>
    <t>DEPARTMENT OF AGRICULTURE - REGION XI</t>
  </si>
  <si>
    <t>DEPED-MURCIA NATIONAL HIGH SCHOOL</t>
  </si>
  <si>
    <t>BARANGAY LIM-AO, KANANGA, LEYTE</t>
  </si>
  <si>
    <t>BARANGAY POBLACION, SULOP, DAVAO DEL SUR</t>
  </si>
  <si>
    <t>MUNICIPALITY OF ALOGUINSAN, CEBU</t>
  </si>
  <si>
    <t>COL. GRIFFIN NATIONAL HIGH SCHOOL - CALATRAVA NEGROS OCCIDEN</t>
  </si>
  <si>
    <t>MUNICIPALITY OF PRESENTACION, CAMARINES SUR</t>
  </si>
  <si>
    <t>LIGA NG MGA BARANGAY, MAGSINGAL, ILOCOS SUR CHAPTER</t>
  </si>
  <si>
    <t>DON JOSE S. MONFORT MEDICAL CENTER EXTENSION HOSPITAL</t>
  </si>
  <si>
    <t>DEPARTMENT OF AGRICULTURE - REGION VII</t>
  </si>
  <si>
    <t>DEPARTMENT OF AGRARIAN REFORM - QUEZON II PROVINCIAL OFFICE</t>
  </si>
  <si>
    <t>CITY OF DIPOLOG, ZAMBOANGA DEL NORTE</t>
  </si>
  <si>
    <t>MUNICIPALITY OF VILLASIS, PANGASINAN</t>
  </si>
  <si>
    <t>BARANGAY IBULO, BAGGAO, CAGAYAN</t>
  </si>
  <si>
    <t>MUNICIPALITY OF PAMBUJAN, NORTHERN SAMAR</t>
  </si>
  <si>
    <t>MUNICIPALITY OF MADDELA, QUIRINO</t>
  </si>
  <si>
    <t>CITY GOVERNMENT OF BACOOR</t>
  </si>
  <si>
    <t>BARANGAY SAN ANTONIO, PASIG CITY</t>
  </si>
  <si>
    <t>BARANGAY POBLACION ZONE I, CAPOOCAN,LEYTE</t>
  </si>
  <si>
    <t>BARANGAY ALEGRIA SAN FRANCISCO AGUSAN DEL SUR</t>
  </si>
  <si>
    <t>BARANGAY SAN JOSE, BAGGAO, CAGAYAN</t>
  </si>
  <si>
    <t>MUNICIPALITY OF SAN NARCISO, QUEZON</t>
  </si>
  <si>
    <t>BARANGAY 4, LUCBAN, QUEZON</t>
  </si>
  <si>
    <t>BARANGAY ASINGA-VIA, BAGGAO, CAGAYAN</t>
  </si>
  <si>
    <t>CITY OF ILOILO</t>
  </si>
  <si>
    <t>MUNICIPALITY OF LABASON, ZAMBOANGA DEL NORTE</t>
  </si>
  <si>
    <t>DEPARTMENT OF PUBLIC WORKS AND HIGHWAYS - BENGUET I DEO</t>
  </si>
  <si>
    <t>BARANGAY WARD I, SAN ANTONIO, NORTHERN SAMAR</t>
  </si>
  <si>
    <t>PHILIPPINE MERCHANT MARINE ACADEMY</t>
  </si>
  <si>
    <t>NATIONAL IRRIGATION ADMINISTRATION - MARIIS, DIVISION II</t>
  </si>
  <si>
    <t>DEPARTMENT OF PUBLIC WORKS AND HIGHWAYS - BULACAN 2ND DEO</t>
  </si>
  <si>
    <t>MUNICIPALITY OF SAN JUAN, SOUTHERN LEYTE</t>
  </si>
  <si>
    <t>MUNICIPALITY OF VILLABA, LEYTE</t>
  </si>
  <si>
    <t>PHILIPPINE NATIONAL POLICE - INFORMATION TECHNOLOGY MANAGEME</t>
  </si>
  <si>
    <t>MUNICIPALITY OF TINGLAYAN, KALINGA</t>
  </si>
  <si>
    <t>DEPARTMENT OF PUBLIC WORKS AND HIGHWAYS - MISAMIS ORIENTAL 1</t>
  </si>
  <si>
    <t>BARANGAY GUADALUPE VIEJO, MAKATI CITY</t>
  </si>
  <si>
    <t>MUNICIPALITY OF MAPANAS, NORTHERN SAMAR</t>
  </si>
  <si>
    <t>TECHNICAL EDUCATION &amp; SKILLS DEVELOPMENT AUTHORITY - NCR</t>
  </si>
  <si>
    <t>BARANGAY SALOG, SORSOGON CITY, SORSOGON</t>
  </si>
  <si>
    <t>RAMON MAGSAYSAY HIGH SCHOOL</t>
  </si>
  <si>
    <t>MUNICIPALITY OF STO. NIÑO, CAGAYAN</t>
  </si>
  <si>
    <t>BARANGAY SAN PEDRO -  TALIBON BOHOL</t>
  </si>
  <si>
    <t>MUNICIPALITY OF PINABACDAO, SAMAR</t>
  </si>
  <si>
    <t>BARANGAY DUMAGMANG, LABO, CAMARINES NORTE</t>
  </si>
  <si>
    <t>BARANGAY PINAGBOBONG - TABACO, ALBAY</t>
  </si>
  <si>
    <t>ISLAND GARDEN CITY OF SAMAL WATER DISTRICT</t>
  </si>
  <si>
    <t>SOUTHERN LUZON STATE UNIVERSITY</t>
  </si>
  <si>
    <t>BARANGAY LOWER LOBOC, OROQUIETA CITY</t>
  </si>
  <si>
    <t>MUNICIPALITY OF CABATUAN, ILOILO</t>
  </si>
  <si>
    <t>CITY OF MAKATI</t>
  </si>
  <si>
    <t>MUNICIPALITY OF KAYAPA, NUEVA VIZCAYA</t>
  </si>
  <si>
    <t>SIMATA NATIONAL HIGH SCHOOL  MOLAVE ZAMBOANGA DEL SUR</t>
  </si>
  <si>
    <t>CITY OF EL SALVADOR, MISAMIS ORIENTAL</t>
  </si>
  <si>
    <t>BARANGAY 50, BUTTONG, LAOAG CITY</t>
  </si>
  <si>
    <t>BARANGAY BARANCUAG - TUAO CAGAYAN</t>
  </si>
  <si>
    <t>MUNICIPALITY OF CALINTAAN, OCCIDENTAL MINDORO</t>
  </si>
  <si>
    <t>MUNICIPALITY OF MANUKAN, ZAMBOANGA DEL NORTE</t>
  </si>
  <si>
    <t>MUNICIPALITY OF CASIGURAN, SORSOGON</t>
  </si>
  <si>
    <t>BARANGAY CAGUMITAN - TUAO CAGAYAN</t>
  </si>
  <si>
    <t>PHILIPPINE STATISTICS AUTHORITY - BUKIDNON</t>
  </si>
  <si>
    <t>MUNICIPALITY OF SAN PABLO, ZAMBOANGA DEL SUR</t>
  </si>
  <si>
    <t>BARANGAY  DAGUPAN - TUAO CAGAYAN</t>
  </si>
  <si>
    <t>BARANGAY I(BONTOG), MATAAS NA KAHOY, BATANGAS</t>
  </si>
  <si>
    <t>DEPARTMENT OF PUBLIC WORKS AND HIGHWAYS - ALBAY 2ND DEO</t>
  </si>
  <si>
    <t>BARANGAY BUKAL NORTE, CANDELARIA, QUEZON</t>
  </si>
  <si>
    <t>NATIONAL KIDNEY AND TRANSPLANT INSTITUTE</t>
  </si>
  <si>
    <t>BARANGAY NANGKAAN, MATAAS NA KAHOY, BATANGAS</t>
  </si>
  <si>
    <t>MUNICIPALITY OF SAN FERNANDO, CAMARINES SUR</t>
  </si>
  <si>
    <t>PHILIPPINE NATIONAL POLICE - POLICE REGIONAL OFFICE 2</t>
  </si>
  <si>
    <t>NATIONAL IRRIGATION ADMINISTRATION - SOUTH COTABATO</t>
  </si>
  <si>
    <t>BARANGAY LITTLE BAAGUIO - IMELDA ZAMBOANGA SIBUGAY</t>
  </si>
  <si>
    <t>BARANGAY SAN JOAQUIN, CAPOOCAN, LEYTE</t>
  </si>
  <si>
    <t>BARANGAY BAGANIAN - TABINA ZAMBOANGA DEL SUR</t>
  </si>
  <si>
    <t>MUNICIPALITY OF BURGOS, ILOCOS SUR</t>
  </si>
  <si>
    <t>BETIS HIGH SCHOOL</t>
  </si>
  <si>
    <t>CITY OF LIGAO, ALBAY</t>
  </si>
  <si>
    <t>DEPARTMENT OF AGRARIAN REFORM - BUKIDNON</t>
  </si>
  <si>
    <t>CITY OF CANDON, ILOCOS SUR</t>
  </si>
  <si>
    <t>PHILIPPINE STATISTICS AUTHORITY - REGION IV-B</t>
  </si>
  <si>
    <t>MUNICIPALITY OF PRESIDENT ROXAS, CAPIZ</t>
  </si>
  <si>
    <t>MUNICIPALITY OF MACROHON, SOUTHERN LEYTE</t>
  </si>
  <si>
    <t>BARANGAY STA. ROSA, PASIG CITY</t>
  </si>
  <si>
    <t>CIVIL SERVICE COMMISSION - NCR</t>
  </si>
  <si>
    <t>PHILIPPINE PORTS AUTHORITY - HEAD OFFICE</t>
  </si>
  <si>
    <t>MUNICIPALITY OF ARACELI, PALAWAN</t>
  </si>
  <si>
    <t>DEPARTMENT OF ENVIRONMENT AND NATURAL RESOURCES - COMPOSTELA</t>
  </si>
  <si>
    <t>BARANGAY CAPSAY, AROROY, MASBATE</t>
  </si>
  <si>
    <t>DEPARTMENT OF PUBLIC WORKS AND HIGHWAYS - MASBATE 1ST DEO</t>
  </si>
  <si>
    <t>MUNICIPALITY OF LIBMANAN, CAMARINES SUR</t>
  </si>
  <si>
    <t>BUENAVISTA NATIONAL HIGH SCHOOL</t>
  </si>
  <si>
    <t>BANGKO SENTRAL NG PILIPINAS - TUGUEGARAO BRANCH</t>
  </si>
  <si>
    <t>STA. LUCIA HIGH SCHOOL - SENIOR HIGH</t>
  </si>
  <si>
    <t>CORAZON LOCSIN MONTELIBANO MEMORIAL REGIONAL HOSPITAL-DOH R6</t>
  </si>
  <si>
    <t>DEPARTMENT OF PUBLIC WORKS AND HIGHWAYS - PANGASINAN 3RD DEO</t>
  </si>
  <si>
    <t>MUNICIPALITY OF PINAMALAYAN, ORIENTAL MINDORO</t>
  </si>
  <si>
    <t>REGIONAL SCIENCE HIGH SCHOOL - REGION I</t>
  </si>
  <si>
    <t>BALITUCAN NATIONAL HIGH SCHOOL</t>
  </si>
  <si>
    <t>PHILIPPINE TRADE TRAINING CENTER</t>
  </si>
  <si>
    <t>LAND BANK OF THE PHILIPPINES - CEBU</t>
  </si>
  <si>
    <t>CITY OF MALOLOS, BULACAN</t>
  </si>
  <si>
    <t>BARANGAY PAA, HILONGOS, LEYTE</t>
  </si>
  <si>
    <t>MUNICIPALITY OF ISULAN, SULTAN KUDARAT</t>
  </si>
  <si>
    <t>NATIONAL ECONOMIC AND DEVELOPMENT AUTHORITY - MAIN</t>
  </si>
  <si>
    <t>AGRICULTURAL TRAINING INSTITUTE-CORDILLERA ADMINISTRATIVE RE</t>
  </si>
  <si>
    <t>TALIBON WATER DISTRICT</t>
  </si>
  <si>
    <t>LAGUNA LAKE DEVELOPMENT AUTHORITY, DENR</t>
  </si>
  <si>
    <t>MUNICIPALITY OF VALLEHERMOSO, NEGROS</t>
  </si>
  <si>
    <t>MUNICIPALITY OF SAN ISIDRO, NORTHERN SAMAR</t>
  </si>
  <si>
    <t>PASSI NATIONAL HIGH SCHOOL</t>
  </si>
  <si>
    <t>MUNICIPALITY OF RAGAY, CAMARINES SUR</t>
  </si>
  <si>
    <t>BARANGAY KAPATAGAN, DIGOS CITY</t>
  </si>
  <si>
    <t>MUNICIPALITY OF ODIONGAN, ROMBLON</t>
  </si>
  <si>
    <t>BARANGAY CUYAOYAO, PIO DURAN, ALBAY</t>
  </si>
  <si>
    <t>PHILIPPINE SCIENCE HIGH SCHOOL - CAR CAMPUS</t>
  </si>
  <si>
    <t>BARANGAY ARANGIN, NAUJAN, ORIENTAL MINDORO</t>
  </si>
  <si>
    <t>MUNICIPALITY OF PIO DURAN, ALBAY</t>
  </si>
  <si>
    <t>MUNICIPALITY OF INDANG, CAVITE</t>
  </si>
  <si>
    <t>AURORA REGIONAL PILOT SCHOOL - REGULAR</t>
  </si>
  <si>
    <t>MUNICIPALITY OF CARAMORAN, CATANDUANES</t>
  </si>
  <si>
    <t>DEPARTMENT OF ENVIRONMENT AND NATURAL RES. - PENRO AURORA</t>
  </si>
  <si>
    <t>MUNICIPALITY OF USON, MASBATE</t>
  </si>
  <si>
    <t>PINAGBUHATAN HIGH SCHOOL</t>
  </si>
  <si>
    <t>BARANGAY VISAYAN VILLAGE, TAGUM CITY</t>
  </si>
  <si>
    <t>ENVIRONMENTAL MANAGEMENT BUREAU - REGION II</t>
  </si>
  <si>
    <t>MUNICIPALITY OF ILOG, NEGROS OCCIDENTAL</t>
  </si>
  <si>
    <t>UNIVERSITY OF SOUTHERN MINDANAO - KIDAPAWAN CITY CAMPUS</t>
  </si>
  <si>
    <t>GMA WATER DISTRICT</t>
  </si>
  <si>
    <t>CALAMBA WATER DISTRICT</t>
  </si>
  <si>
    <t>DENR-MASBATE</t>
  </si>
  <si>
    <t>BARANGAY IBA O'ESTE CALUMPIT BULACAN</t>
  </si>
  <si>
    <t>DEPARTMENT OF PUBLIC WORKS AND HIGHWAYS - DAVAO DEL SUR DIST</t>
  </si>
  <si>
    <t>NATIONAL POLICE COMMISSION - REGION VII</t>
  </si>
  <si>
    <t>ANTIPOLO ELEMENTARY SCHOOL</t>
  </si>
  <si>
    <t>MUNICIPALITY OF OPOL, MISAMIS ORIENTAL</t>
  </si>
  <si>
    <t>DEPARTMENT OF PUBLIC WORKS AND HIGHWAYS - GUIMARAS DEO</t>
  </si>
  <si>
    <t>MUNICIPALITY OF GOA, CAMARINES SUR</t>
  </si>
  <si>
    <t>BARANGAY NAGSIDORISAN, NAGUILIAN, LA UNION</t>
  </si>
  <si>
    <t>DEPARTMENT OF AGRICULTURE - REGION IV-A</t>
  </si>
  <si>
    <t>PHILIPPINE CARABAO CENTER</t>
  </si>
  <si>
    <t>BARANGAY SAN ANTONIO ISLA VERDE, BATANGAS CITY</t>
  </si>
  <si>
    <t>BARANGAY BURABOD, CASTILLA, SORSOGON</t>
  </si>
  <si>
    <t>BARANGAY CAPAY-CAPAY - DUEÑAS ILOILO</t>
  </si>
  <si>
    <t>BARANGAY MAHABANG DAHILIG -BATANGAS CITY BATANGAS</t>
  </si>
  <si>
    <t>BARANGAY LUNANG - HILONGOS, LEYTE</t>
  </si>
  <si>
    <t>PROVINCE OF NORTHERN SAMAR</t>
  </si>
  <si>
    <t>NATIONAL IRRIGATION ADMINISTRATION - DAVAO DEL NORTE IMO</t>
  </si>
  <si>
    <t>DEPARTMENT OF PUBLIC WORKS AND HIGHWAYS - CEBU 4TH DEO</t>
  </si>
  <si>
    <t>CARAGA STATE UNIVERSITY - CABADBARAN CAMPUS</t>
  </si>
  <si>
    <t>BARANGAY BACAO -  TAYSAN BATANGAS</t>
  </si>
  <si>
    <t>MUNICIPALITY OF AJUY, ILOILO</t>
  </si>
  <si>
    <t>NATIONAL IRRIGATION ADMINISTRATION - MALITUBOG-MARIDAGAO IRR</t>
  </si>
  <si>
    <t>CENTER FOR HEALTH DEVELOPMENT - REGION IV-B (MIMAROPA)</t>
  </si>
  <si>
    <t>BARANGAY POBLACION 14, BATANGAS CITY, BATANGAS</t>
  </si>
  <si>
    <t>BARANGAY SAN FRANCISCO EAST - ANAO TARLAC</t>
  </si>
  <si>
    <t>MUNICIPALITY OF MARIPIPI, BILIRAN</t>
  </si>
  <si>
    <t>DEPARTMENT OF TRADE AND INDUSTRY - REGION XI</t>
  </si>
  <si>
    <t>MUNICIPALITY OF MALVAR, BATANGAS</t>
  </si>
  <si>
    <t>DEPARTMENT OF AGRARIAN REFORM - MAIN</t>
  </si>
  <si>
    <t>BARANGAY IMELDA - BAYBAY CITY LEYTE</t>
  </si>
  <si>
    <t>BARANGAY CASILI, ANAO, TARLAC</t>
  </si>
  <si>
    <t>BARANGAY DIVISORIA, CATAINGAN, MASBATE</t>
  </si>
  <si>
    <t>BARANGAY DAP-DAP, RAPU-RAPU, ALBAY</t>
  </si>
  <si>
    <t>PHILIPPINE RICE RESEARCH INSTITUTE - LOS BAÑOS BRANCH</t>
  </si>
  <si>
    <t>BARANGAY BULIHAN - MALVAR, BATANGAS</t>
  </si>
  <si>
    <t>BARANGAY CHIMENEA, CATAINGAN, MASBATE</t>
  </si>
  <si>
    <t>BARANGAY LAM-AN, OZAMIS CITY</t>
  </si>
  <si>
    <t>DEPARTMENT OF PUBLIC WORKS AND HIGHWAYS - PANGASINAN 1ST DEO</t>
  </si>
  <si>
    <t>NATIONAL INTELLIGENCE COORDINATING AGENCY</t>
  </si>
  <si>
    <t>MUNICIPALITY OF NAGUILIAN, ISABELA</t>
  </si>
  <si>
    <t>NATIONAL TOBACCO ADMINISTRATION - ILOCOS SUR</t>
  </si>
  <si>
    <t>BARANGAY MALLORGA - TALALORA, SAMAR</t>
  </si>
  <si>
    <t>MUNICIPALITY OF SALAY , MISAMIS ORIENTAL</t>
  </si>
  <si>
    <t>MUNICIPALITY OF LORETO - DINAGAT ISLANDS</t>
  </si>
  <si>
    <t>MUNICIPALITY OF RIZAL, KALINGA</t>
  </si>
  <si>
    <t>CIVIL SERVICE COMMISSION  - CENTRAL OFFICE</t>
  </si>
  <si>
    <t>MUNICIPALITY OF TALISAY, CAMARINES NORTE</t>
  </si>
  <si>
    <t>DAMPOL 2ND NATIONAL HIGH SCHOOL</t>
  </si>
  <si>
    <t>BARANGAY BANGCUD, MALAYBALAY CITY</t>
  </si>
  <si>
    <t>MUNICIPALITY OF TUBOD, LANAO DEL NORTE</t>
  </si>
  <si>
    <t>DEPARTMENT OF PUBLIC WORKS AND HIGHWAYS - BATANGAS IV DEO</t>
  </si>
  <si>
    <t>BARANGAY BANLAG, MONKAYO, COMPOSTELA VALLEY</t>
  </si>
  <si>
    <t>BARANGAY LIBERTAD - NABAS AKLAN</t>
  </si>
  <si>
    <t>MUNICIPALITY OF MAYOYAO, IFUGAO</t>
  </si>
  <si>
    <t>113RD CO AFP PROCUREMENT SERVICE</t>
  </si>
  <si>
    <t>MUNICIPALITY OF SAN SIMON, PAMPANGA</t>
  </si>
  <si>
    <t>BARANGAY SAN MIGUEL, TAGUM CITY, DAVAO DEL NORTE</t>
  </si>
  <si>
    <t>BARANGAY MAPULO - TAYSAN, BATANGAS</t>
  </si>
  <si>
    <t>BARANGAY LANANG, AROROY, MASBATE</t>
  </si>
  <si>
    <t>SAN PABLO 2ND NATIONAL HIGH SCHOOL</t>
  </si>
  <si>
    <t>MUNICIPALITY OF TUNGAWAN, ZAMBOANGA SIBUGAY</t>
  </si>
  <si>
    <t xml:space="preserve">DEPARTMENT OF PUBLIC WORKS AND HIGHWAYS - CAMARINES SUR 3RD </t>
  </si>
  <si>
    <t>LANDBANK OF THE PHILIPPINES - REGION XI</t>
  </si>
  <si>
    <t>CITY OF TABUK, KALINGA</t>
  </si>
  <si>
    <t>MUNICIPALITY OF MAKILALA, NORTH COTABATO</t>
  </si>
  <si>
    <t>BARANGAY SAN RAFAEL - PATNONGON, ANTIQUE</t>
  </si>
  <si>
    <t>BARANGAY 8 POBLACION - TIGBAUAN ILOILO</t>
  </si>
  <si>
    <t>MUNICIPALITY OF POLANCO, ZAMBOANGA DEL NORTE</t>
  </si>
  <si>
    <t>MUNICIPALITY OF MABINI, PANGASINAN</t>
  </si>
  <si>
    <t>DAVAO PRISON AND PENAL FARM - BRAULIO E. DUJALI</t>
  </si>
  <si>
    <t>DEPARTMENT OF TRADE AND INDUSTRY - REGION III  NUEVA ECIJA</t>
  </si>
  <si>
    <t>AGRICULTURAL TRAINING INSTITUTE - REGION I</t>
  </si>
  <si>
    <t>BARANGAY IRISAN, BAGUIO CITY</t>
  </si>
  <si>
    <t xml:space="preserve">BARANGAY BASUD, SAN ISIDRO, LEYTE </t>
  </si>
  <si>
    <t>CAGAYAN DE ORO CITY WATER DISTRICT</t>
  </si>
  <si>
    <t>MUNICIPALITY OF LEBAK, SULTAN KUDARAT</t>
  </si>
  <si>
    <t>MUNICIPALITY OF SAN REMIGIO, CEBU</t>
  </si>
  <si>
    <t>MUNICIPALITY OF SAN FRANCISCO, QUEZON</t>
  </si>
  <si>
    <t>PHILIPPINE STATE COLLEGE OF AERONAUTICS</t>
  </si>
  <si>
    <t>CARMONA WATER DISTRICT</t>
  </si>
  <si>
    <t>MUNICIPALITY OF SAN QUINTIN, ABRA</t>
  </si>
  <si>
    <t>OFFICE OF CIVIL DEFENSE</t>
  </si>
  <si>
    <t>DEPARTMENT OF EDUCATION - DIVISION OF BUTUAN CITY</t>
  </si>
  <si>
    <t>BARANGAY PASONG TAMO, QUEZON CITY</t>
  </si>
  <si>
    <t>DEPARTMENT OF PUBLIC WORKS AND HIGHWAYS - LEYTE 1ST ED</t>
  </si>
  <si>
    <t>MUNICIPALITY OF LUBA, ABRA</t>
  </si>
  <si>
    <t>BARANGAY BAGUINGIN TIGBAUAN ILO-ILO</t>
  </si>
  <si>
    <t>DEPARTMENT OF TRADE AND INDUSTRY - ROMBLON PROVINCIAL OFFICE</t>
  </si>
  <si>
    <t>111TH CONTRACTING OFFICE, AFP PROCUREMENT SERVICE</t>
  </si>
  <si>
    <t>DEPARO HIGH SCHOOL</t>
  </si>
  <si>
    <t>DEPARTMENT OF PUBLIC WORKS AND HIGHWAYS - BATANGAS 1ST DISTR</t>
  </si>
  <si>
    <t>MUNICIPALITY OF KALAYAAN, PALAWAN</t>
  </si>
  <si>
    <t>MUNICIPALITY OF SAN ISIDRO, BOHOL</t>
  </si>
  <si>
    <t>PACOL ELEMENTARY SCHOOL</t>
  </si>
  <si>
    <t>MUNICIPALITY OF RAMON MAGSAYSAY, ZAMBOANGA DEL SUR</t>
  </si>
  <si>
    <t>MUNICIPALITY OF BAUNGON, BUKIDNON</t>
  </si>
  <si>
    <t>SOCIAL SECURITY SYSTEM - LUZON SOUTH DIVISION 2</t>
  </si>
  <si>
    <t>MUNICIPALITY OF BARBAZA, ANTIQUE</t>
  </si>
  <si>
    <t>DEPARTMENT OF SOCIAL WELFARE AND DEVELOPMENT - REGION X</t>
  </si>
  <si>
    <t>MUNICIPALITY OF ARGAO, CEBU</t>
  </si>
  <si>
    <t>CITY OF SANTA ROSA, LAGUNA</t>
  </si>
  <si>
    <t>BARANGAY POBLACION, RAPU-RAPU, ALBAY</t>
  </si>
  <si>
    <t>DEPARTMENT OF PUBLIC WORKS AND HIGHWAYS - CAGAYAN DE ORO CIT</t>
  </si>
  <si>
    <t>MUNICIPALITY OF RODRIGUEZ, RIZAL</t>
  </si>
  <si>
    <t>MUNICIPALITY OF PAGSANGHAN, SAMAR</t>
  </si>
  <si>
    <t>MUNICIPALITY OF NUEVA VALENCIA, GUIMARAS</t>
  </si>
  <si>
    <t>BINALONAN WATER DISTRICT</t>
  </si>
  <si>
    <t>PROVINCIAL GOVERNMENT OF CAMARINES NORTE</t>
  </si>
  <si>
    <t>MUNICIPALITY OF DON MARCELINO - DAVAO OCCIDENTAL</t>
  </si>
  <si>
    <t>COMMISSION ON HUMAN RIGHTS MIMAROPA - QUEZON CITY</t>
  </si>
  <si>
    <t>MANAOAG NATIONAL HIGH SCHOOL</t>
  </si>
  <si>
    <t>CITY OF ORMOC, LEYTE</t>
  </si>
  <si>
    <t>VALENZUELA MEDICAL CENTER</t>
  </si>
  <si>
    <t>DEPARTMENT OF PUBLIC WORKS AND HIGHWAYS - REGION II</t>
  </si>
  <si>
    <t>TESDA WOMEN'S CENTER</t>
  </si>
  <si>
    <t>DEPARTMENT OF EDUCATION - REGION XII</t>
  </si>
  <si>
    <t>NORTHERN MINDANAO SCHOOL OF FISHERIES</t>
  </si>
  <si>
    <t>BARANGAY NAPO, BOHOL</t>
  </si>
  <si>
    <t>OFFICE OF THE PRESIDENT</t>
  </si>
  <si>
    <t>DEPARTMENT OF PUBLIC WORKS AND HIGHWAYS - PANGASINAN IV DEO</t>
  </si>
  <si>
    <t>PHILIPPINE HEALTH INSURANCE CORPORATION - REGION XII</t>
  </si>
  <si>
    <t>LOCAL GOVERNMENT ACADEMY, DILG</t>
  </si>
  <si>
    <t>DEPARTMENT OF PUBLIC WORKS AND HIGHWAYS - LEYTE 5TH ED</t>
  </si>
  <si>
    <t>BANGKO SENTRAL NG PILIPINAS - GEN. SANTOS BRANCH</t>
  </si>
  <si>
    <t>MUNICIPALITY OF SIBALOM, ANTIQUE</t>
  </si>
  <si>
    <t>NATIONAL ECONOMIC AND DEVELOPMENT AUTHORITY - RVII</t>
  </si>
  <si>
    <t>DEPARTMENT OF PUBLIC WORKS AND HIGHWAYS SARANGANI DISTRICT E</t>
  </si>
  <si>
    <t>HAGONOY WATER DISTRICT - BULACAN</t>
  </si>
  <si>
    <t>BARANGAY GENERAL LUNA, MANGATAREM, PANGASINAN</t>
  </si>
  <si>
    <t>MUNICIPALITY OF CULASI, ANTIQUE</t>
  </si>
  <si>
    <t>SIBULAN WATER DISTRICT</t>
  </si>
  <si>
    <t>MUNICIPALITY OF ARINGAY, LA UNION</t>
  </si>
  <si>
    <t>PROVINCE OF MISAMIS ORIENTAL</t>
  </si>
  <si>
    <t>MANAPLA WATER DISTRICT</t>
  </si>
  <si>
    <t>CITY OF IRIGA</t>
  </si>
  <si>
    <t>BUREAU OF FISHERIES AND AQUATIC RESOURCES - CAR</t>
  </si>
  <si>
    <t>BARANGAY MARIBUYONG, DUENAS, ILOILO</t>
  </si>
  <si>
    <t>ISABELA STATE UNIVERSITY - CABAGAN CAMPUS</t>
  </si>
  <si>
    <t>PHILIPPINE CARABAO CENTER - KABACAN COTABATO</t>
  </si>
  <si>
    <t>BUTUAN CITY WATER DISTRICT</t>
  </si>
  <si>
    <t>BARANGAY BUCAO - GUIUAN, EASTERN SAMAR</t>
  </si>
  <si>
    <t>COMMISSION ON FILIPINOS OVERSEAS</t>
  </si>
  <si>
    <t>DEPARTMENT OF PUBLIC WORKS AND HIGHWAYS - BATANES DEO</t>
  </si>
  <si>
    <t>BARANGAY STA. BARBARA, RAPU-RAPU, ALBAY</t>
  </si>
  <si>
    <t>DEPARTMENT OF AGRARIAN REFORM - KALINGA PROVINCE</t>
  </si>
  <si>
    <t>FOREST PRODUCT RESEARCH AND DEVELOPMENT INSTITUTE ( FPRDI )</t>
  </si>
  <si>
    <t>MUNICIPALITY OF LAGAWE, IFUGAO</t>
  </si>
  <si>
    <t>NATIONAL IRRIGATION ADMINISTRATION - CAMARINES SUR IMO</t>
  </si>
  <si>
    <t>DAVAO NATIONAL AGRICULTURAL SCHOOL</t>
  </si>
  <si>
    <t>MUNICIPALITY OF MABUHAY, ZAMBOANGA SIBUGAY</t>
  </si>
  <si>
    <t>PHILIPPINE CROP INSURANCE CORPORATION</t>
  </si>
  <si>
    <t>CAMP VICENTE LIM INTEGRATED SCHOOL</t>
  </si>
  <si>
    <t>BARANGAY SAN ISIDRO, TOMAS OPPUS, SOUTHERN LEYTE</t>
  </si>
  <si>
    <t>MUNICIPALITY OF TALACOGON, AGUSAN DEL SUR</t>
  </si>
  <si>
    <t>BARANGAY CASILAGAN, NAGUILIAN, LA UNION</t>
  </si>
  <si>
    <t>MUNICIPALITY OF MAGSAYSAY, PALAWAN</t>
  </si>
  <si>
    <t>MUNICIPALITY OF HAMTIC, ANTIQUE</t>
  </si>
  <si>
    <t>DEPARTMENT OF PUBLIC WORKS AND HIGHWAYS - IFUGAO</t>
  </si>
  <si>
    <t>MUNICIPALITY OF BAGGAO, CAGAYAN</t>
  </si>
  <si>
    <t>SALOGON ELEMENTARY SCHOOL - SAN JOSE CAMARINES SUR</t>
  </si>
  <si>
    <t>101ST CONTRACTING OFFICE, AFP PROCUREMENT SERVICE</t>
  </si>
  <si>
    <t>MUNICIPALITY OF LAS NAVAS, NORTHERN SAMAR</t>
  </si>
  <si>
    <t>MUNICIPALITY OF SOUTH UPI, MAGUINADANAO</t>
  </si>
  <si>
    <t>MUNICIPALITY OF MOGPOG, MARINDUQUE</t>
  </si>
  <si>
    <t>DEPARTMENT OF EDUCATION - DIVISION OF BILIRAN</t>
  </si>
  <si>
    <t>TALAVERA GENERAL HOSPITAL</t>
  </si>
  <si>
    <t>ILOCOS NORTE COLLEGE OF ARTS AND TRADES</t>
  </si>
  <si>
    <t>TESDA - APARRI POLYTECHNIC INSTITUTE</t>
  </si>
  <si>
    <t>HINIGARAN ELEMENTARY SCHOOL-A</t>
  </si>
  <si>
    <t>MUNICIPALITY OF BUENAVISTA, MARINDUQUE</t>
  </si>
  <si>
    <t>ISABELA CITY WATER DISTRICT</t>
  </si>
  <si>
    <t>TECHNICAL EDUCATION &amp; SKILLS DEVELOPMENT AUTHORITY - CAVITE</t>
  </si>
  <si>
    <t>JOSE RIZAL MEMORIAL STATE COLLEGE - TAMPILISAN CAMPUS</t>
  </si>
  <si>
    <t>DEPARTMENT OF PUBLIC WORKS AND HIGHWAYS - NEG. OCC. 3RD DEO</t>
  </si>
  <si>
    <t>RIZAL MEDICAL CENTER</t>
  </si>
  <si>
    <t>BARANGAY TONGANTONGAN, VALENCIA CITY</t>
  </si>
  <si>
    <t>MUNICIPALITY OF DUMINGAG, ZAMBOANGA DEL SUR</t>
  </si>
  <si>
    <t>MUNICIPALITY OF CAGWAIT, SURIGAO DEL SUR</t>
  </si>
  <si>
    <t>DEPARTMENT OF TRADE AND INDUSTRY - TAGUM CITY</t>
  </si>
  <si>
    <t>BARANGAY MUZON I ROSARIO CAVITE</t>
  </si>
  <si>
    <t>DEPARTMENT OF ENVIRONMENT AND NATURAL RES. - PENRO, SORSOGON</t>
  </si>
  <si>
    <t>BICOL UNIVERSITY</t>
  </si>
  <si>
    <t>MUNICIPALITY OF BAMBAN, TARLAC</t>
  </si>
  <si>
    <t>MUNICIPALITY OF MAITUM, SARANGANI</t>
  </si>
  <si>
    <t>MUNICIPALITY OF STA. PRAXEDES, CAGAYAN</t>
  </si>
  <si>
    <t>MUNICIPALITY OF MAGSAYSAY, DAVAO DEL SUR</t>
  </si>
  <si>
    <t>MUNICIPALITY OF CARMEN, DAVAO DEL NORTE</t>
  </si>
  <si>
    <t>BARANGAY LICTIN - SAN ANDRES, CATANDUANES</t>
  </si>
  <si>
    <t>MUNICIPALITY OF AROROY, MASBATE</t>
  </si>
  <si>
    <t>NIA-CHICO RIVER PUMP IRRIGATION PROJECT, TUAO, CAGAYAN</t>
  </si>
  <si>
    <t>COURT OF TAX APPEALS</t>
  </si>
  <si>
    <t>BANGKO SENTRAL NG PILIPINAS - CAGAYAN DE ORO CITY</t>
  </si>
  <si>
    <t>DEPARTMENT OF EDUCATION - DIVISION OF ILOILO</t>
  </si>
  <si>
    <t>DEPARTMENT OF EDUCATION - DVISION OF PUERTO PRINCESA CITY</t>
  </si>
  <si>
    <t>CAUAYAN CITY WATER DISTRICT</t>
  </si>
  <si>
    <t>MUNICIPALITY OF RAPU-RAPU, ALBAY</t>
  </si>
  <si>
    <t>PHILIPPINE STATISTICS AUTHORITY</t>
  </si>
  <si>
    <t>NATIONAL IRRIGATION ADMINISTRATION - QUEZON IMO, LUCENA CITY</t>
  </si>
  <si>
    <t>MUNICIPALITY OF CARRASCAL, SURIGAO DEL SUR</t>
  </si>
  <si>
    <t>NATIONAL IRRIGATION ADMINISTRATION - NEGROS ISLAND REGION</t>
  </si>
  <si>
    <t>CITY OF KORONADAL, SOUTH COTABATO</t>
  </si>
  <si>
    <t>BATANES GENERAL HOSPITAL</t>
  </si>
  <si>
    <t>MUNICIPALITY OF CALACA, BATANGAS</t>
  </si>
  <si>
    <t>BARANGAY TIGATTO, DAVAO CITY</t>
  </si>
  <si>
    <t>MUNICIPALITY OF GERONA, TARLAC</t>
  </si>
  <si>
    <t>MUNICIPALITY OF BRAULIO DUJALI, DAVAO DEL NORTE</t>
  </si>
  <si>
    <t>DEPARTMENT OF PUBLIC WORKS AND HIGHWAYS - ILOILO CITY DEO</t>
  </si>
  <si>
    <t>DEPARTMENT OF PUBLIC WORKS AND HIGHWAYS - REGION VIII</t>
  </si>
  <si>
    <t>MUNICIPALITY OF DINALUPIHAN, BATAAN</t>
  </si>
  <si>
    <t>DEPARTMENT OF PUBLIC WORKS AND HIGHWAYS - CEBU 3RD DEO</t>
  </si>
  <si>
    <t>DEPARTMENT OF ENVIRONMENT AND NATURAL RES. - PENRO, BATANES</t>
  </si>
  <si>
    <t>MUNICIPALITY OF SALVADOR, LANAO DEL NORTE</t>
  </si>
  <si>
    <t>MABUHAY ELEMENTARY SCHOOL - SAN FERNANDO, BUKIDNON</t>
  </si>
  <si>
    <t>LAND TRANSPORTATION FRANCHISING &amp; REGULATORY BOARD - REG. IV</t>
  </si>
  <si>
    <t>PHILIPPINE PORTS AUTHORITY - PMO ZAMBOANGA DEL NORTE</t>
  </si>
  <si>
    <t>AGUSAN DEL SUR SCHOOL OF ARTS AND TRADES - CARAGA</t>
  </si>
  <si>
    <t>PHILIPPINE NATIONAL POLICE - HEALTH SERVICE</t>
  </si>
  <si>
    <t>NATIONAL TELECOMMUNICATIONS COMMISSION - REGION V</t>
  </si>
  <si>
    <t>BARANGAY III-C, SAN PABLO CITY</t>
  </si>
  <si>
    <t>MUNICIPALITY OF ABULUG, CAGAYAN</t>
  </si>
  <si>
    <t>PHILIPPINE ECONOMIC ZONE AUTHORITY - BAGUIO CITY ECOZONE</t>
  </si>
  <si>
    <t>BARANGAY STO. NIÑO SUR, AREVALO, ILOILO CITY</t>
  </si>
  <si>
    <t>BARANGAY BOLILAO, MANDURRIAO, ILOILO CITY</t>
  </si>
  <si>
    <t>DEPARTMENT OF EDUCATION - DIVISION OF CITY SCHOOLS, LAS PINA</t>
  </si>
  <si>
    <t>IBAJAY CENTRAL SCHOOL - IBAJAY AKLAN</t>
  </si>
  <si>
    <t>MUNICIPALITY OF BURAUEN, LEYTE</t>
  </si>
  <si>
    <t>MUNICIPALITY OF PADRE BURGOS, QUEZON</t>
  </si>
  <si>
    <t>BARANGAY CAMP 7, BAGUIO CITY</t>
  </si>
  <si>
    <t xml:space="preserve">DEPARTMENT OF PUBLIC WORKS AND HIGHWAYS - CAMARINES SUR 2ND </t>
  </si>
  <si>
    <t>BARANGAY KALAWAAN, PASIG CITY</t>
  </si>
  <si>
    <t>CIVIL AVIATION AUTHORITY OF THE PHILIPPINES - AREA CENTER XI</t>
  </si>
  <si>
    <t>DOMINGO LACSON NATIONAL HIGH SCHOOL</t>
  </si>
  <si>
    <t>DEPARTMENT OF PUBLIC WORKS AND HIGHWAYS - PALAWAN 1ST DEO</t>
  </si>
  <si>
    <t>DEPARTMENT OF EDUCATION - DIVISION OF QUEZON</t>
  </si>
  <si>
    <t>DEPARTMENT OF PUBLIC WORKS AND HIGHWAYS - METRO MANILA 1ST E</t>
  </si>
  <si>
    <t>METRO KALIBO WATER DISTRICT</t>
  </si>
  <si>
    <t>BARANGAY POBLACION, MUNTINLUPA CITY</t>
  </si>
  <si>
    <t>FLORENCIO UROT MEMORIAL NATIONAL HIGH SCHOOL</t>
  </si>
  <si>
    <t>MUNICIPALITY OF PIKIT, NORTH COTABATO</t>
  </si>
  <si>
    <t>COMMISSION ON POPULATION - NCR</t>
  </si>
  <si>
    <t>MUNICIPALITY OF RIZAL, OCCIDENTAL MINDORO</t>
  </si>
  <si>
    <t>BARANGAY TARRA NEGROS ORIENTAL</t>
  </si>
  <si>
    <t>BARANGAY SAN TEODORO, BAUAN, BATANGAS</t>
  </si>
  <si>
    <t xml:space="preserve">KIBACANIA ELEMENTARY SCHOOL </t>
  </si>
  <si>
    <t>DEPARTMENT OF PUBLIC WORKS AND HIGHWAYS - RIZAL II DEO</t>
  </si>
  <si>
    <t>DEPARTMENT OF PUBLIC WORKS AND HIGHWAYS - CEBU 5TH DEO</t>
  </si>
  <si>
    <t>BARANGAY HITOOG, MATALOM, LEYTE</t>
  </si>
  <si>
    <t>BARANGAY WACK-WACK GREENHILLS EAST,</t>
  </si>
  <si>
    <t>BARANGAY NUPOLAN - JOSEFINA ZAMBOANGA DEL SUR</t>
  </si>
  <si>
    <t>KALINGA STATE UNIVERSITY</t>
  </si>
  <si>
    <t>MUNICIPALITY OF BENITO SOLIVEN, ISABELA</t>
  </si>
  <si>
    <t>GUEVARRA HIGH SCHOOL</t>
  </si>
  <si>
    <t>BARANGAY I-A, SAN PABLO CITY, LAGUNA</t>
  </si>
  <si>
    <t>LA CASTELLANA NATIONAL HIGH SCHOOL (JUNIOR HIGH SCHOOL)</t>
  </si>
  <si>
    <t>BARANGAY SAN DIEGO, SAN PABLO CITY</t>
  </si>
  <si>
    <t>DEPARTMENT OF BUDGET AND MANAGEMENT - REGIONAL OFFICE VI</t>
  </si>
  <si>
    <t>DEPARTMENT OF ENVIRONMENT AND NATURAL RES. - PENRO-LOS BANOS</t>
  </si>
  <si>
    <t>DAVAO DEL NORTE STATE COLLEGE</t>
  </si>
  <si>
    <t>GAMES AND AMUSEMENTS BOARD</t>
  </si>
  <si>
    <t>MUNICIPALITY OF SALCEDO, EASTERN SAMAR</t>
  </si>
  <si>
    <t>MUNICIPALITY OF DONSOL, SORSOGON</t>
  </si>
  <si>
    <t>BARANGAY PINAYAGAN SUR, TUBIGON, BOHOL</t>
  </si>
  <si>
    <t>LAND BANK OF THE PHILIPPINES - OAH IV-B</t>
  </si>
  <si>
    <t>NATIONAL IRRIGATION ADMINISTRATION - REGION XI</t>
  </si>
  <si>
    <t>BARANGAY 227 ZONE 21 DISTRICT 2</t>
  </si>
  <si>
    <t>PORAC MODEL COMMUNITY HIGH SCHOOL</t>
  </si>
  <si>
    <t>BARANGAY COMUN, CAMALIG, ALBAY</t>
  </si>
  <si>
    <t>BARANGAY CANDABONG - MANJUYOD NEGROS ORIENTAL</t>
  </si>
  <si>
    <t>BARANGAY ALAPANG, LA TRINIDAD, BENGUET</t>
  </si>
  <si>
    <t>BARANGAY BAGONTAAS, VALENCIA CITY</t>
  </si>
  <si>
    <t>ILOILO FISH PORT COMPLEX</t>
  </si>
  <si>
    <t>DEPARTMENT OF PUBLIC WORKS AND HIGHWAYS - CAVITE II DISTRICT</t>
  </si>
  <si>
    <t>DEPARTMENT OF PUBLIC  WORKS AND HIGHWAYS - APAYAO 2ND DEO</t>
  </si>
  <si>
    <t>MUNICIPALITY OF PANGANTUCAN, BUKIDNON</t>
  </si>
  <si>
    <t>BARANGAY MAHARLIKA</t>
  </si>
  <si>
    <t>MUNICIPALITY OF PAETE, LAGUNA</t>
  </si>
  <si>
    <t>PROVINCE OF RIZAL</t>
  </si>
  <si>
    <t>BARANGAY 13, NUESTRA SEÑORA DE VISITACION, LAOAG CITY</t>
  </si>
  <si>
    <t>EASTERN VISAYAS STATE UNIVERSITY-TANAUAN CAMPUS</t>
  </si>
  <si>
    <t>METRO ILOILO WATER DISTRICT</t>
  </si>
  <si>
    <t>MUNICIPALITY OF GETAFE, BOHOL</t>
  </si>
  <si>
    <t>BARANGAY PUNTA, DIPOLOG, ZAMBOANGA DEL NORTE</t>
  </si>
  <si>
    <t>MUNICIPALITY OF MAUBAN, QUEZON</t>
  </si>
  <si>
    <t>BARANGAY DALIG, BATANGAS CITY, BATANGAS</t>
  </si>
  <si>
    <t>BARANGAY GINATILAN, KIDAPAWAN CITY, COTABATO</t>
  </si>
  <si>
    <t>MUNICIPALITY OF BINUANGAN , MISAMIS ORIENTAL</t>
  </si>
  <si>
    <t>MUNICIPALITY OF LAMUT, IFUGAO</t>
  </si>
  <si>
    <t>MUNICIPALITY OF LOS BAÑOS, LAGUNA</t>
  </si>
  <si>
    <t>MUNICIPALITY OF ORION, BATAAN</t>
  </si>
  <si>
    <t>BARANGAY PARIAN - SAN FERNANDO CITY, LA UNION</t>
  </si>
  <si>
    <t>MUNICIPALITY OF MORONG, RIZAL</t>
  </si>
  <si>
    <t>WEST VISAYAS STATE UNIVERSITY MEDICAL CENTER - REGION VI</t>
  </si>
  <si>
    <t>NORTHERN NEGROS STATE COLLEGE OF SCIENCE AND TECHNOLOGY</t>
  </si>
  <si>
    <t>DENR-PENRO CAMARINES SUR</t>
  </si>
  <si>
    <t>PHILIPPINE AIR FORCE</t>
  </si>
  <si>
    <t>BARANGAY TAYTAY, LOON, BOHOL</t>
  </si>
  <si>
    <t>MUNICIPALITY OF LOOC, OCCIDENTAL MINDORO</t>
  </si>
  <si>
    <t>BARANGAY 507 ZONE 50 DISTRICT IV</t>
  </si>
  <si>
    <t>BARANGAY 4 POBLACION - NASUGBU BATANGAS</t>
  </si>
  <si>
    <t>BARANGAY WEST BALABAG, VALENCIA, NEGROS ORIENTAL</t>
  </si>
  <si>
    <t>BARANGAY CAMATCHILE, GABALDON, NUEVA ECIJA</t>
  </si>
  <si>
    <t>BARANGAY BALAYTIGUE - NASUGBU BATANGAS</t>
  </si>
  <si>
    <t>BARANGAY BUQUIG - BANTAY ILOCOS SUR</t>
  </si>
  <si>
    <t>BARANGAY A. PASCUAL, SAN JOSE CITY, NUEVA ECIJA</t>
  </si>
  <si>
    <t>BARANGAY POBLACION 7 - NASUGBU BATANGAS</t>
  </si>
  <si>
    <t>BARANGAY NABA - CULASI ANTIQUE</t>
  </si>
  <si>
    <t>MUNICIPALITY OF BACNOTAN, LA UNION</t>
  </si>
  <si>
    <t>BARANGAY WILSON, SAN JOSE, DINAGAT ISLAND</t>
  </si>
  <si>
    <t>MUNICIPALITY OF LOPEZ JAENA , MISAMIS OCCIDENTAL</t>
  </si>
  <si>
    <t>MUNICIPALITY OF TUBIGON, BOHOL</t>
  </si>
  <si>
    <t>BARANGAY ALEGRE, OTON, ILOILO</t>
  </si>
  <si>
    <t>BARANGAY AMBOLONG, AROROY, MASBATE</t>
  </si>
  <si>
    <t>MUNICIPALITY OF ZUMARRAGA, SAMAR</t>
  </si>
  <si>
    <t>MUNICIPALITY OF CARMEN, CEBU</t>
  </si>
  <si>
    <t>SAN NICOLAS WATER DISTRICT - ILOCOS NORTE</t>
  </si>
  <si>
    <t>BARANGAY INAGAWAN SUB,  PUERTO PRINCESA CITY, PALAWAN</t>
  </si>
  <si>
    <t>MUNICIPALITY OF LILOY, ZAMBOANGA DEL NORTE</t>
  </si>
  <si>
    <t>DEPARTMENT OF PUBLIC WORKS AND HIGHWAYS - DAVAO DEL NORTE DE</t>
  </si>
  <si>
    <t>PROVINCE OF DAVAO OCCIDENTAL</t>
  </si>
  <si>
    <t>SULTAN KUDARAT WATER DISTRICT</t>
  </si>
  <si>
    <t>BARANGAY LOMANOY, LILA, BOHOL</t>
  </si>
  <si>
    <t>MUNICIPALITY OF HUNGDUAN, IFUGAO</t>
  </si>
  <si>
    <t>MUNICIPALITY OF PARACALE, CAMARINES NORTE</t>
  </si>
  <si>
    <t>PN BAC SECRETARIAT, AFP PROCUREMENT SERVICE</t>
  </si>
  <si>
    <t>MUNICIPALITY OF GALIMUYOD, ILOCOS SUR</t>
  </si>
  <si>
    <t>DEPARTMENT OF PUBLIC WORKS AND HIGHWAYS - DAVAO OCCIDENTAL D</t>
  </si>
  <si>
    <t>BARANGAY BULAQUENA - ESTANCIA ILOILO</t>
  </si>
  <si>
    <t>MUNICIPALITY OF DINAS, ZAMBOANGA DEL SUR</t>
  </si>
  <si>
    <t xml:space="preserve">DEPARTMENT OF PUBLIC WORKS AND HIGHWAYS - MOUNTAIN PROVINCE </t>
  </si>
  <si>
    <t>CITY OF DASMARIÑAS, CAVITE</t>
  </si>
  <si>
    <t>MUNICIPALITY OF CABAGAN, ISABELA</t>
  </si>
  <si>
    <t>BARANGAY IPIL, MAGDIWANG, ROMBLON</t>
  </si>
  <si>
    <t>DEPARTMENT OF PUBLIC WORKS AND HIGHWAYS - EASTERN SAMAR DEO</t>
  </si>
  <si>
    <t>MUNICIPALITY OF PANDAG BULUAN MAGUINDANAO</t>
  </si>
  <si>
    <t>DEPARTMENT OF TRADE AND INDUSTRY - RIZAL PROVINCIAL OFFICE</t>
  </si>
  <si>
    <t>MUNICIPALITY OF STA. ANA, CAGAYAN</t>
  </si>
  <si>
    <t>DEPARTMENT OF PUBLIC WORKS AND HIGHWAYS - COTABATO CITY DEO</t>
  </si>
  <si>
    <t>MUNICIPALITY OF CLAVERIA, MISAMIS ORIENTAL</t>
  </si>
  <si>
    <t>MUNICIPALITY OF GUIMBA, NUEVA ECIJA</t>
  </si>
  <si>
    <t>DR. E. B. ESPINOSA, SR. MEMORIAL STATE COL OF AGRIC AND TECH</t>
  </si>
  <si>
    <t>BARANGAY 60-A CAAOACAN, LAOAG CITY</t>
  </si>
  <si>
    <t>BARANGAY SAN JOSE - SERGIO OSMEÑA, SR. ZAMBOANGA DEL NORTE</t>
  </si>
  <si>
    <t>BARANGAY BAGONG LIPUNAN, HILONGOS, LEYTE</t>
  </si>
  <si>
    <t>CITY OF BAGO, NEGROS OCCIDENTAL</t>
  </si>
  <si>
    <t>CATANDUANES STATE COLLEGES</t>
  </si>
  <si>
    <t>BARANGAY ESPERANZA, PORO, CEBU</t>
  </si>
  <si>
    <t>BARANGAY GELLA - PATNONGON,ANTIQUE</t>
  </si>
  <si>
    <t>BARANGAY GUESSET, NAGUILIAN, LA UNION</t>
  </si>
  <si>
    <t>SOUTHERN ISABELA MEDICAL CENTER</t>
  </si>
  <si>
    <t>BARANGAY SUMILANG, PASIG CITY</t>
  </si>
  <si>
    <t>BARANGAY SILUM, MAGDIWANG, ROMBLON</t>
  </si>
  <si>
    <t>TABACO NATIONAL HIGH SCHOOL - REGION V</t>
  </si>
  <si>
    <t>BARANGAY SAN IGNACIO, SAN PABLO CITY, LAGUNA</t>
  </si>
  <si>
    <t>NATIONAL TELECOMMUNICATIONS COMMISSION - CARAGA</t>
  </si>
  <si>
    <t>JUVENILE JUSTICE AND WELFARE COUNCIL</t>
  </si>
  <si>
    <t>MUNICIPALITY OF SALUG, ZAMBOANGA DEL NORTE</t>
  </si>
  <si>
    <t>BARANGAY LAGASIT, SAN QUINTIN, PANGASINAN</t>
  </si>
  <si>
    <t>MUNICIPALITY OF BUENAVISTA, BOHOL</t>
  </si>
  <si>
    <t>ASSOCIATION OF BARANGAY COUNCIL, IBAAN, BATANGAS CHAPTER</t>
  </si>
  <si>
    <t>BUREAU OF FIRE PROTECTION - REGION III</t>
  </si>
  <si>
    <t>BARANGAY UPPER TUNGAWAN ZAMBOANGA SIBUGAY</t>
  </si>
  <si>
    <t>MUNICIPALITY OF PLARIDEL, QUEZON</t>
  </si>
  <si>
    <t>LOOC NATIONAL HIGH SCHOOL</t>
  </si>
  <si>
    <t>CALATRAVA SENIOR HIGH SCHOOL - CALATRAVA NEGROS OCCIDENTAL</t>
  </si>
  <si>
    <t>BARANGAY MARAPAL - LEMERY, ILOILO</t>
  </si>
  <si>
    <t>BARANGAY ALVANIZ- PATNONGON,ANTIQUE</t>
  </si>
  <si>
    <t>BARANGAY CANDUGUE DARAM SAMAR</t>
  </si>
  <si>
    <t>BARANGAY BUHATAN, RAPU-RAPU, ALBAY</t>
  </si>
  <si>
    <t>MUNICIPALITY OF MARABUT, SAMAR</t>
  </si>
  <si>
    <t>MUNICIPALITY OF SAN JOSE, CAMARINES SUR</t>
  </si>
  <si>
    <t>MUNICIPALITY OF CAWAYAN, MASBATE</t>
  </si>
  <si>
    <t>MUNICIPALITY OF HILONGOS, LEYTE</t>
  </si>
  <si>
    <t>DEPARTMENT OF ENVIRONMENT AND NATURAL RES. - PENRO KALINGA</t>
  </si>
  <si>
    <t>MUNICIPALITY OF LAGONOY, CAMARINES SUR</t>
  </si>
  <si>
    <t>DEPARTMENT OF PUBLIC WORKS AND HIGHWAYS - BATANGAS 3RD ED</t>
  </si>
  <si>
    <t>BICOL UNIVERSITY POLANGUI CAMPUS</t>
  </si>
  <si>
    <t>DEPARTMENT OF PUBLIC WORKS AND HIGHWAYS - UPPER KALINGA DEO</t>
  </si>
  <si>
    <t>MUNICIPALITY OF CUYO, PALAWAN</t>
  </si>
  <si>
    <t>BARANGAY BILBAO, RAPU-RAPU, ALBAY</t>
  </si>
  <si>
    <t>MUNICIPALITY OF BAGANGA, DAVAO ORIENTAL</t>
  </si>
  <si>
    <t>BARANGAY TANZA, BOAC, MARINDUQUE</t>
  </si>
  <si>
    <t>MUNICIPALITY OF MALAY, AKLAN</t>
  </si>
  <si>
    <t>MASBATE-MOBO WATER DISTRICT</t>
  </si>
  <si>
    <t>BARANGAY BONGOL -  SAN VICENTE, GUIMBAL, ILOILO</t>
  </si>
  <si>
    <t>MUNICIPALITY OF LASAM, CAGAYAN</t>
  </si>
  <si>
    <t>BARANGAY HAMORWON, RAPU-RAPU, ALBAY</t>
  </si>
  <si>
    <t>BIDS AND AWARDS COMMITTEE - MUNICIPALITY OF CALATRAVA</t>
  </si>
  <si>
    <t>MUNICIPALITY OF NASIPIT, AGUSAN DEL NORTE</t>
  </si>
  <si>
    <t>DEPARTMENT OF PUBLIC WORKS AND HIGHWAYS - MISAMIS ORIENTAL 2</t>
  </si>
  <si>
    <t>MUNICIPALITY OF PALOMPON, LEYTE</t>
  </si>
  <si>
    <t>DEPARTMENT OF PUBLIC WORKS AND HIGHWAYS - REGION V</t>
  </si>
  <si>
    <t>BARANGAY 848, ZONE 92, DISTRICT 6, MANILA</t>
  </si>
  <si>
    <t>MUNICIPALITY OF BURGOS, PANGASINAN</t>
  </si>
  <si>
    <t>BAYUGAN WATER DISTRICT</t>
  </si>
  <si>
    <t>BAIS CITY WATER DISTRICT</t>
  </si>
  <si>
    <t>BARANGAY MERCADO, BOAC, MARINDUQUE</t>
  </si>
  <si>
    <t>BARANGAY GALICIA, RAPU-RAPU, ALBAY</t>
  </si>
  <si>
    <t>MUNICIPALITY OF LIBONA, BUKIDNON</t>
  </si>
  <si>
    <t>BANGKO SENTRAL NG PILIPINAS - BATAC BRANCH</t>
  </si>
  <si>
    <t>MUNICIPALITY OF SAN RAFAEL, ILOILO</t>
  </si>
  <si>
    <t>DIPOLOG CITY WATER DISTRICT</t>
  </si>
  <si>
    <t>BARANGAY MAILHI - BAYBAY CITY</t>
  </si>
  <si>
    <t>BARANGAY PANIPUAN, MEXICO, PAMPANGA</t>
  </si>
  <si>
    <t>WEST VISAYAS STATE UNIVERSITY – COLLEGE OF AGRICULTURE AND F</t>
  </si>
  <si>
    <t>MUNICIPALITY OF CAPUL, NORTHERN SAMAR</t>
  </si>
  <si>
    <t>BARANGAY OLD MAHAYAG, CATBALOGAN, SAMAR</t>
  </si>
  <si>
    <t>BARANGAY 174, ZONE 15, DISTRICT 11, MANILA</t>
  </si>
  <si>
    <t>DAGUPAN CITY WATER DISTRICT</t>
  </si>
  <si>
    <t>BARANGAY 309, ZONE 30, DISTRICT III, MANILA</t>
  </si>
  <si>
    <t>BARANGAY 170, ZONE 15, DISTRICT II, MANILA</t>
  </si>
  <si>
    <t>BARANGAY 171 ZONE 15 DISTRICT 2</t>
  </si>
  <si>
    <t>MUNICIPALITY OF DATU ODIN SINSUAT, MAGUINDANAO</t>
  </si>
  <si>
    <t>MINES AND GEOSCIENCES BUREAU - REGION XII</t>
  </si>
  <si>
    <t>TUKURAN TECHNICAL-VOCATIONAL HIGH SCHOOL</t>
  </si>
  <si>
    <t>BARANGAY STA. CLARA, BATANGAS CITY, BATANGAS</t>
  </si>
  <si>
    <t>BARANGAY 55 B, SALET-BULANGON, LAOAG, ILOCOS NORTE</t>
  </si>
  <si>
    <t>BARANGAY CARITAN CENTRO TUGUEGARAO CITY</t>
  </si>
  <si>
    <t>EASTERN VISAYAS REGIONAL MEDICAL CENTER - DOH</t>
  </si>
  <si>
    <t>KOLAMBUGAN WATER DISTRICT</t>
  </si>
  <si>
    <t>MUNICIPALITY OF NAGA, ZAMBOANGA SIBUGAY</t>
  </si>
  <si>
    <t>BARANGAY PANSOL - QUEZON CITY</t>
  </si>
  <si>
    <t>DEPARTMENT OF PUBLIC WORKS AND HIGHWAYS - ILOCOS NORTE 2ND D</t>
  </si>
  <si>
    <t>BARANGAY CENTRO 10 - TUGUEGARAO CITY CAGAYAN</t>
  </si>
  <si>
    <t>SAN PASCUAL NATIONAL HIGH SCHOOL - SAN PASCUAL BATANGAS</t>
  </si>
  <si>
    <t>BARANGAY 109A, TACLOBAN CITY, LEYTE</t>
  </si>
  <si>
    <t>BARANGAY BITA NORTE - OTON, ILOILO</t>
  </si>
  <si>
    <t>BARANGAY MANSABAY BAJO, LOPEZ JAENA, MISAMIS OCCIDENTAL</t>
  </si>
  <si>
    <t xml:space="preserve">DEPARTMENT OF PUBLIC WORKS AND HIGHWAYS - SURIGAO DEL NORTE </t>
  </si>
  <si>
    <t>BARANGAY PALUA, MANGALDAN, PANGASINAN</t>
  </si>
  <si>
    <t>BARANGAY SAMPAGA, BATANGAS CITY, BATANGAS</t>
  </si>
  <si>
    <t>AFP - RETIREMENT AND SEPARATION BENEFITS SYSTEM</t>
  </si>
  <si>
    <t>MUNICIPALITY OF BACUAG, SURIGAO DEL NORTE</t>
  </si>
  <si>
    <t>GOVERNMENT SERVICE INSURANCE SYSTEM - LEGASPI CITY</t>
  </si>
  <si>
    <t>BARANGAY ABAR 1ST, SAN JOSE CITY, NUEVA ECIJA</t>
  </si>
  <si>
    <t>MABINI WATER DISTRICT</t>
  </si>
  <si>
    <t>BUREAU OF FISHERIES AND AQUATIC RESOURCES - REGION VI</t>
  </si>
  <si>
    <t>BARANGAY 595, ZONE 59, DISTRICT VI, MANILA</t>
  </si>
  <si>
    <t>BARANGAY T. ARLAN - STA. MONICA SURIGAO DEL NORTE</t>
  </si>
  <si>
    <t>MELENCIO M. CASTELO ELEMENTARY SCHOOL</t>
  </si>
  <si>
    <t>DEPARTMENT OF EDUCATION - DIVISION OF TACLOBAN CITY</t>
  </si>
  <si>
    <t>PHILIPPINE STATISTICS AUTHORITY - REGION VII</t>
  </si>
  <si>
    <t>MUNICIPALITY OF TOBOSO, NEGROS OCCIDENTAL</t>
  </si>
  <si>
    <t>PROVINCE OF KALINGA</t>
  </si>
  <si>
    <t>MUNICIPALITY OF PAMPLONA, NEGROS ORIENTAL</t>
  </si>
  <si>
    <t>BARANGAY MAUG, BUTUAN CITY</t>
  </si>
  <si>
    <t>MUNICIPALITY OF BAROTAC VIEJO, ILOILO</t>
  </si>
  <si>
    <t>MUNICIPALITY OF LAMBAYONG, SULTAN KUDARAT</t>
  </si>
  <si>
    <t>CITY OF BATAC, ILOCOS NORTE</t>
  </si>
  <si>
    <t>104TH CONTRACTING OFFICE, AFP PROCUREMENT SERVICE</t>
  </si>
  <si>
    <t>BARANGAY PENIEL, LOPEZ JAENA, MISAMIS OCCIDENTAL</t>
  </si>
  <si>
    <t>MUNICIPALITY OF SIQUIJOR, SIQUIJOR</t>
  </si>
  <si>
    <t>BARANGAY LUZARAN, LOPEZ JAENA, MISAMIS OCCIDENTAL</t>
  </si>
  <si>
    <t xml:space="preserve">DEPARTMENT OF PUBLIC WORKS AND HIGHWAYS - ZAMBOANGA DEL SUR </t>
  </si>
  <si>
    <t>MUNICIPALITY OF TUBO - ABRA</t>
  </si>
  <si>
    <t>UNIVERSITY OF NORTHERN PHILIPPINES</t>
  </si>
  <si>
    <t>MUNICIPALITY OF DUMALINAO, ZAMBOANGA DEL SUR</t>
  </si>
  <si>
    <t>MUNICIPALITY OF BALAOAN, LA UNION</t>
  </si>
  <si>
    <t>BARANGAY 22, SAN ANDRES, LAOAG CITY</t>
  </si>
  <si>
    <t>DEPARTMENT OF PUBLIC WORKS AND HIGHWAYS - REGION III</t>
  </si>
  <si>
    <t>BARANGAY TINOCAWAN, RAPU-RAPU, ALBAY</t>
  </si>
  <si>
    <t>DEPARTMENT OF PUBLIC WORKS AND HIGHWAYS - REGION VII</t>
  </si>
  <si>
    <t>SENATE OF THE PHILIPPINES</t>
  </si>
  <si>
    <t>BARANGAY 706 ZONE 77 DISTRICT V, MANILA</t>
  </si>
  <si>
    <t>BARANGAY CATULAYAN - SAN JUAN SIQUIJOR</t>
  </si>
  <si>
    <t>NATIONAL COMMISSION ON INDIGENOUS PEOPLES - REGION XII</t>
  </si>
  <si>
    <t>MUNICIPALITY OF ANAHAWAN, SOUTHERN LEYTE</t>
  </si>
  <si>
    <t>BARANGAY BIÑAN, PAGSANJAN, LAGUNA</t>
  </si>
  <si>
    <t>MUNICIPALITY OF PORAC, PAMPANGA</t>
  </si>
  <si>
    <t>BARANGAY MAHABANG PARANG, BATANGAS CITY, BATANGAS</t>
  </si>
  <si>
    <t>DEPARTMENT OF SOCIAL WELFARE AND DEVELOPMENT - REGION III</t>
  </si>
  <si>
    <t>MUNICIPALITY OF DEL GALLEGO, CAMARINES SUR</t>
  </si>
  <si>
    <t>MUNICIPALITY OF HINOBA-AN, NEGROS OCCIDENTAL</t>
  </si>
  <si>
    <t>BARANGAY CAWAYAN (EXTENSION) - MASBATE CITY</t>
  </si>
  <si>
    <t>DEPARTMENT OF PUBLIC WORKS AND HIGHWAYS - ILOILO 4TH DEO</t>
  </si>
  <si>
    <t>PHILIPPINE TEXTILE RESEARCH INSTITUTE</t>
  </si>
  <si>
    <t>MUNICIPALITY OF STA. ELENA, CAMARINES NORTE</t>
  </si>
  <si>
    <t>DEPARTMENT OF PUBLIC WORKS AND HIGHWAYS - PANGASINAN 2ND</t>
  </si>
  <si>
    <t>MUNICIPALITY OF SAN AGUSTIN, ROMBLON</t>
  </si>
  <si>
    <t>BARANGAY SAMAY, RAGAY, CAMARINES SUR</t>
  </si>
  <si>
    <t>MUNICIPALITY OF QUINAPONDAN, EASTERN SAMAR</t>
  </si>
  <si>
    <t>BARANGAY SAGRADA, RAPU-RAPU, ALBAY</t>
  </si>
  <si>
    <t>PHILIPPINE INFORMATION AGENCY - RREGION XII</t>
  </si>
  <si>
    <t>BARANGAY CASIBONG, SAN JACINTO, PANGASINAN</t>
  </si>
  <si>
    <t>MUNICIPALITY OF DON VICTORIANO CHIONGBIAN, MIS. OCCIDENTAL</t>
  </si>
  <si>
    <t>ABRA STATE INSTITUTE OF SCIENCES AND TECHNOLOGY -ABRA</t>
  </si>
  <si>
    <t>BARANGAY PALIPARAN II DASMARIÑAS CAVITE</t>
  </si>
  <si>
    <t>MUNICIPALITY OF BULALACAO, ORIENTAL MINDORO</t>
  </si>
  <si>
    <t>MUNICIPALITY OF JAVIER, LEYTE</t>
  </si>
  <si>
    <t>BARANGAY VELASCO - LEMERY, ILOILO</t>
  </si>
  <si>
    <t>BARANGAY PRES. GARCIA, MATALOM, LEYTE</t>
  </si>
  <si>
    <t>BARANGAY MAGATOS, ASUNCION, DAVAO DEL NORTE</t>
  </si>
  <si>
    <t>BAHAY PARE NATIONAL HIGH SCHOOL</t>
  </si>
  <si>
    <t>MUNICIPALITY OF BOLJOON, CEBU</t>
  </si>
  <si>
    <t>MUNICIPALITY OF SILVINO LOBOS, NORTHERN SAMAR</t>
  </si>
  <si>
    <t>MUNICIPALITY OF NEW BATAAN, COMPOSTELA VALLEY</t>
  </si>
  <si>
    <t>HUMAN RIGHTS VIOLATIONS VICTIMS' MEMORIAL COMMISSION</t>
  </si>
  <si>
    <t>NORTHERN MINDANAO MEDICAL CENTER</t>
  </si>
  <si>
    <t>ZAMBOANGA STATE COLLEGE OF MARINE SCIENCES AND TECHNOLOGY</t>
  </si>
  <si>
    <t>BARANGAY 378, MANILA CITY</t>
  </si>
  <si>
    <t>NEGROS ORIENTAL STATE UNIVERSITY</t>
  </si>
  <si>
    <t>MUNICIPALITY OF LOPEZ, QUEZON</t>
  </si>
  <si>
    <t>MUNICIPALITY OF NAGCARLAN, LAGUNA</t>
  </si>
  <si>
    <t>BARANGAY  POBLACION - GODOD ZAMBOANGA DEL NORTE</t>
  </si>
  <si>
    <t>BARANGAY BONGABONG, TUDELA, MISAMIS OCCIDENTAL</t>
  </si>
  <si>
    <t>PHILIPPINE FISHERIES DEVELOPMENT AUTHORITY - SOUTH COTABATO</t>
  </si>
  <si>
    <t>BUREAU OF JAIL MANAGEMENT AND PENOLOGY - REGION X</t>
  </si>
  <si>
    <t>BARANGAY CENTRO 06 - TUGUEGARAO CITY CAGAYAN</t>
  </si>
  <si>
    <t>MUNICIPALITY OF CABANGAN, ZAMBALES</t>
  </si>
  <si>
    <t>BARANGAY SAN MIGUEL, COMPOSTELA, COMPOSTELA VALLEY</t>
  </si>
  <si>
    <t>MUNICIPALITY OF LAUREL, BATANGAS</t>
  </si>
  <si>
    <t xml:space="preserve">BARANGAY 793 ZONE 86 </t>
  </si>
  <si>
    <t>BARANGAY PATAWAG, LABASON, ZAMBOANGA DEL NORTE</t>
  </si>
  <si>
    <t>NATIONAL COUNCIL ON DISABILITY AFFAIRS</t>
  </si>
  <si>
    <t>MUNICIPALITY OF MAJAYJAY, LAGUNA</t>
  </si>
  <si>
    <t>REGION I MEDICAL CENTER</t>
  </si>
  <si>
    <t>BARANGAY 353 ZONE 36 DISTRICT III, MANILA</t>
  </si>
  <si>
    <t>NATIONAL FOOD AUTHORITY - SAN JOSE, OCCIDENTAL MINDORO</t>
  </si>
  <si>
    <t>DEPARTMENT OF PUBLIC WORKS AND HIGHWAYS - CEBU 1ST DEO</t>
  </si>
  <si>
    <t>MUNICIPALITY OF CURRIMAO, ILOCOS NORTE</t>
  </si>
  <si>
    <t>DIPACULAO WATER DISTRICT</t>
  </si>
  <si>
    <t>PROCUREMENT SERVICE</t>
  </si>
  <si>
    <t>DEPARTMENT OF EDUCATION - DIVISION OF NORTHERN SAMAR</t>
  </si>
  <si>
    <t>NATIONAL FOOD AUTHORITY - REGION VII</t>
  </si>
  <si>
    <t>PHILIPPINE SCIENCE HIGH SCHOOL - REGION XI</t>
  </si>
  <si>
    <t>DEPARTMENT OF PUBLIC WORKS AND HIGHWAYS - BATAAN 2ND DEO</t>
  </si>
  <si>
    <t>BARANGAY MALINAO, PASIG CITY</t>
  </si>
  <si>
    <t>LUIS UY CHIAT ELEMENTARY SCHOOL</t>
  </si>
  <si>
    <t>BARANGAY SAN ISIDRO, MAKATI CITY</t>
  </si>
  <si>
    <t>CADIZ EAST ELEMENTARY SCHOOL II</t>
  </si>
  <si>
    <t>TANAY WATER DISTRICT</t>
  </si>
  <si>
    <t>MUNICIPALITY OF SABANGAN, MOUNTAIN PROVINCE</t>
  </si>
  <si>
    <t>MUNICIPALITY OF LUISIANA, LAGUNA</t>
  </si>
  <si>
    <t>BARANGAY SIPAC, NAVOTAS CITY</t>
  </si>
  <si>
    <t>BARANGAY MARAMBA, OAS, ALBAY</t>
  </si>
  <si>
    <t>NATIONAL IRRIGATION ADMINISTRATION - REGION 12</t>
  </si>
  <si>
    <t>BARANGAY LOWER SIBATANG - PAGADIAN CITY ZAMBOANGA DEL SUR</t>
  </si>
  <si>
    <t>BARANGAY MAYAG, OAS, ALBAY</t>
  </si>
  <si>
    <t>BARANGAY MORERA, GUINOBATAN, ALBAY</t>
  </si>
  <si>
    <t>CIVIL AVIATION AUTHORITY OF THE PHILIPPINES - AREA VIII</t>
  </si>
  <si>
    <t>DEPARTMENT OF PUBLIC WORKS AND HIGHWAYS - SULTAN KUDARAT 1ST</t>
  </si>
  <si>
    <t>BARANGAY SICUL, STA. PRAXEDES, CAGAYAN</t>
  </si>
  <si>
    <t>MUNICIPALITY OF KAPANGAN, BENGUET</t>
  </si>
  <si>
    <t>BARANGAY 584 ZONE 57 DISTRICT IV, MANILA</t>
  </si>
  <si>
    <t>LUMBIA NATIONAL HIGH SCHOOL</t>
  </si>
  <si>
    <t>MUNICIPALITY OF SAN JOSE, OCCIDENTAL MINDORO</t>
  </si>
  <si>
    <t>DEPARTMENT OF PUBLIC WORKS AND HIGHWAYS - LAGUNA 1ST ED</t>
  </si>
  <si>
    <t>BARANGAY 88, TACLOBAN CITY, LEYTE</t>
  </si>
  <si>
    <t>BARANGAY 583 ZONE 57 DISTRICT IV, MANILA</t>
  </si>
  <si>
    <t>COTABATO FOUNDATION COLLEGE OF SCIENCE &amp; TECHNOLOGY</t>
  </si>
  <si>
    <t>CITY  OF ESCALANTE, NEGROS OCCIDENTAL</t>
  </si>
  <si>
    <t>AGRICULTURAL TRAINING INSTITUTE - CAMARINES SUR</t>
  </si>
  <si>
    <t>PHILIPPINE COUNCIL FOR HEALTH RESEARCH AND DEVELOPMENT</t>
  </si>
  <si>
    <t>BARANGAY 644 ZONE 66 DISTRICT VI MANILA</t>
  </si>
  <si>
    <t>QUEZON CENTRAL ELEMENTARY SCHOOL</t>
  </si>
  <si>
    <t>DEPARTMENT OF PUBLIC WORKS AND HIGHWAYS - NUEVA ECIJA 1ST DE</t>
  </si>
  <si>
    <t>BARANGAY SMALL MARGUS, GLAN, SARANGANI</t>
  </si>
  <si>
    <t>BARANGAY GLAN PADIDU, GLAN, SARANGANI</t>
  </si>
  <si>
    <t>CIVIL AVIATION AUTHORITY OF THE PHILIPPINES - DAVAO INTERNAT</t>
  </si>
  <si>
    <t>BARANGAY MARILAG ROSARIO BATANGAS</t>
  </si>
  <si>
    <t>BARANGAY 512 ZONE 51 DISTRICT IV MANILA</t>
  </si>
  <si>
    <t>BARANGAY AGBALOGO  - MAKATO AKLAN</t>
  </si>
  <si>
    <t>MUNICIPALITY OF ADAMS, ILOCOS NORTE</t>
  </si>
  <si>
    <t>MUNICIPALITY OF HINABANGAN, SAMAR</t>
  </si>
  <si>
    <t>MUNICIPALITY OF TALAINGOD, DAVAO DEL NORTE</t>
  </si>
  <si>
    <t>DEPARTMENT OF TRADE AND INDUSTRY - REGION IV-A</t>
  </si>
  <si>
    <t>TAGUM WATER DISTRICT</t>
  </si>
  <si>
    <t>BARANGAY MALILION  - SAN NICOLAS PANGASINAN</t>
  </si>
  <si>
    <t>MUNICIPALITY OF SOCORRO , SURIGAO DEL NORTE</t>
  </si>
  <si>
    <t>JOSE B. LINGAD MEMORIAL GENERAL HOSPITAL</t>
  </si>
  <si>
    <t>DEPARTMENT OF PUBLIC WORKS AND HIGHWAYS - SOUTH METRO MANILA</t>
  </si>
  <si>
    <t>F.M. CABRAS ELEMENTARY SCHOOL</t>
  </si>
  <si>
    <t>CITY OF KIDAPAWAN, NORTH COTABATO</t>
  </si>
  <si>
    <t>HIMAMAYLAN NATIONAL HIGH SCHOOL - SENIOR HIGH SCHOOL</t>
  </si>
  <si>
    <t>MUNICIPALITY OF LARENA, SIQUIJOR</t>
  </si>
  <si>
    <t>BARANGAY POBLACION 21, BATANGAS CITY</t>
  </si>
  <si>
    <t>DEPARTMENT OF PUBLIC WORKS AND HIGHWAYS - BATAAN 1ST DEO</t>
  </si>
  <si>
    <t>MUNICIPALITY OF CAPAS, TARLAC</t>
  </si>
  <si>
    <t>MUNICIPALITY OF CLARIN, MISAMIS OCCIDENTAL</t>
  </si>
  <si>
    <t>MUNICIPALITY OF IBAJAY, AKLAN</t>
  </si>
  <si>
    <t>MUNICIPALITY OF KASIBU, NUEVA VIZCAYA</t>
  </si>
  <si>
    <t>DEPARTMENT OF HEALTH - REGION VII</t>
  </si>
  <si>
    <t>NATIONAL DAIRY AUTHORITY</t>
  </si>
  <si>
    <t>GENERAL TRIAS CITY CAVITE</t>
  </si>
  <si>
    <t>O'DONNELL NATIONAL HIGH SCHOOL</t>
  </si>
  <si>
    <t>MUNICIPALITY OF IGUIG, CAGAYAN</t>
  </si>
  <si>
    <t>MUNICIPALITY OF SAINT BERNARD, SOUTHERN LEYTE</t>
  </si>
  <si>
    <t>DAMULOG WATER DISTRICT</t>
  </si>
  <si>
    <t>CITY OF ZAMBOANGA, ZAMBOANGA DEL SUR</t>
  </si>
  <si>
    <t>BARANGAY MASALUKOT III, CANDELARIA, QUEZON</t>
  </si>
  <si>
    <t>BASILAN STATE COLLEGE</t>
  </si>
  <si>
    <t>CITY OF BORONGAN, EASTERN SAMAR</t>
  </si>
  <si>
    <t>MUNICIPALITY OF SAN ILDEFONSO, BULACAN</t>
  </si>
  <si>
    <t>BARANGAY KINAN-OAN - TRINIDAD, BOHOL</t>
  </si>
  <si>
    <t>BARANGAY SABANG, LIPA CITY</t>
  </si>
  <si>
    <t>BARANGAY NORTH POBLACION, GABALDON, NUEVA ECIJA</t>
  </si>
  <si>
    <t>BARANGAY SOUTH POBLACION, GABALDON, NUEVA ECIJA</t>
  </si>
  <si>
    <t>BARANGAY 33-A, LA PAZ PROPER, LAOAG, ILOCOS NORTE</t>
  </si>
  <si>
    <t>MUNICIPALITY OF SANTA FE, NUEVA VIZCAYA</t>
  </si>
  <si>
    <t>FOOD AND DRUG ADMINISTRATION</t>
  </si>
  <si>
    <t>BARANGAY 64 ZONE 6 DISTRICT 1 MANILA</t>
  </si>
  <si>
    <t>BARANGAY 74 ZONE 6 DISTRICT I</t>
  </si>
  <si>
    <t>BARANGAY OLINGAN DIPOLOG CITY ZAMBOANGA DEL NORTE</t>
  </si>
  <si>
    <t>BARANGAY MAANYAG, TOMAS OPPUS, SOUTHERN LEYTE</t>
  </si>
  <si>
    <t>BARANGAY BAGUMBAYAN - LUPON, DAVAO ORIENTAL</t>
  </si>
  <si>
    <t>MUNICIPALITY OF TADIAN, MOUNTAIN PROVINCE</t>
  </si>
  <si>
    <t>BARANAGY NAGUIDDAYAN -  BANTAY ILOCOS SUR</t>
  </si>
  <si>
    <t>BARANGAY DEPASE - BAYOG ZAMBOANGA DEL SUR</t>
  </si>
  <si>
    <t>BARANGAY HINAGTIKAN, TOMAS OPPUS, SOUTHERN LEYTE</t>
  </si>
  <si>
    <t>SCHOOLS DIVISION OFFICE OF IFUGAO</t>
  </si>
  <si>
    <t>BARANGAY EAST REMBO, MAKATI CITY</t>
  </si>
  <si>
    <t>MUNICIPALITY OF CATARMAN, NORTHERN SAMAR</t>
  </si>
  <si>
    <t>BARANGAY CENTRO 01 CLAVERIA CAGAYAN</t>
  </si>
  <si>
    <t>PA BAC SECRETARIAT, AFP PROCUREMENT SERVICE</t>
  </si>
  <si>
    <t>MUNICIPALITY OF ORAS, EASTERN SAMAR</t>
  </si>
  <si>
    <t>MUNICIPALITY OF JORDAN, GUIMARAS</t>
  </si>
  <si>
    <t>MUNICIPALITY OF GINATILAN, CEBU</t>
  </si>
  <si>
    <t>MUNICIPALITY OF MANABO, ABRA</t>
  </si>
  <si>
    <t>BARANGAY AGUING, SINAIT, ILOCOS SUR</t>
  </si>
  <si>
    <t>BARANGAY SAN AGAPITO ISLA VERDE, BATANGAS CITY, BATANGAS</t>
  </si>
  <si>
    <t>CITY OF SAN CARLOS, PANGASINAN</t>
  </si>
  <si>
    <t>BARANGAY MAYO, MATI, DAVAO ORIENTAL</t>
  </si>
  <si>
    <t>MUNICIPALITY OF MAASIM, SARANGANI</t>
  </si>
  <si>
    <t>MUNICIPALITY OF VILLANUEVA, MISAMIS ORIENTAL</t>
  </si>
  <si>
    <t>MUNICIPALITY OF SAN PASCUAL, MASBATE</t>
  </si>
  <si>
    <t>BARANGAY LANCA, MATI, DAVAO ORIENTAL</t>
  </si>
  <si>
    <t>BARANGAY TUBOD LAKEWOOD ZAMBOANGA DEL SUR</t>
  </si>
  <si>
    <t>BARANGAY BINUGAO TORIL DISTRICT</t>
  </si>
  <si>
    <t>SOCIAL SECURITY SYSTEM - LUZON CENTRAL 2</t>
  </si>
  <si>
    <t>PHILIPPINE COCONUT AUTHORITY - REGION IX</t>
  </si>
  <si>
    <t>MUNICIPALITY OF SIERRA BULLONES, BOHOL</t>
  </si>
  <si>
    <t>PRESIDENTIAL COMMISSION ON GOOD GOVERNMENT</t>
  </si>
  <si>
    <t>MUNICIPALITY OF SIAYAN, ZAMBOANGA DEL NORTE</t>
  </si>
  <si>
    <t>MUNICIPALITY OF TRINIDAD, BOHOL</t>
  </si>
  <si>
    <t>BARANGAY MALALINTA - TUAO CAGAYAN</t>
  </si>
  <si>
    <t>CAMARIN D ELEMENTARY SCHOOL UNIT II</t>
  </si>
  <si>
    <t>MINDANAO CENTRAL SANITARIUM &amp; GENERAL HOSPITAL</t>
  </si>
  <si>
    <t>BARANGAY OLD LABANGAN - LABANGAN ZAMBOANGA DEL SUR</t>
  </si>
  <si>
    <t>BARANGAY MARAGANG - TIGBAO ZAMBOANGA DEL SUR</t>
  </si>
  <si>
    <t>PROVINCE OF ABRA</t>
  </si>
  <si>
    <t>BARANGAY LAPAZ, VILLASIS, PANGASINAN</t>
  </si>
  <si>
    <t>BARANGAY ABGAO MAASIN CITY, SOUTHERN LEYTE</t>
  </si>
  <si>
    <t>MUNICIPALITY OF BACONG, NEGROS ORIENTAL</t>
  </si>
  <si>
    <t>RIO TUBA NATIONAL HIGH SCHOOL</t>
  </si>
  <si>
    <t>MUNICIPALITY OF SAN MARIANO, ISABELA</t>
  </si>
  <si>
    <t>MUNICIPALITY OF SOMINOT, ZAMBOANGA DEL SUR</t>
  </si>
  <si>
    <t>DEPARTMENT OF ENVIRONMENT AND NATURAL RES. - PENRO TARLAC</t>
  </si>
  <si>
    <t>MUNICIPALITY OF CARLES, ILOILO</t>
  </si>
  <si>
    <t>BARANGAY PLANDICO, CONCEPCION, LEYTE</t>
  </si>
  <si>
    <t>DEPARTMENT OF PUBLIC WORKS AND HIGHWAYS - BILIRAN ED</t>
  </si>
  <si>
    <t>MUNICIPALITY OF GEN. M. ALVAREZ, CAVITE</t>
  </si>
  <si>
    <t>CAVITE STATE UNIVERSITY - ROSARIO CAMPUS</t>
  </si>
  <si>
    <t>BARANGAY FATIMA - LILOY ZAMBOANGA DEL NORTE</t>
  </si>
  <si>
    <t>CITY  OF CAUAYAN, ISABELA</t>
  </si>
  <si>
    <t>BARANGAY CABUNGALUNAN, BURDEOS, QUEZON</t>
  </si>
  <si>
    <t>MUNICIPALITY OF ALBURQUERQUE, BOHOL</t>
  </si>
  <si>
    <t>DEPARTMENT OF PUBLIC WORKS AND HIGHWAYS - REGION VI</t>
  </si>
  <si>
    <t>BARANGAY MUZON SEGUNDO, ALITAGTAG, BATANGAS</t>
  </si>
  <si>
    <t>BARANGAY BAESA</t>
  </si>
  <si>
    <t>NATIONAL POWER CORPORATION SPUG-MINDANAO</t>
  </si>
  <si>
    <t>BARANGAY CANINGAY - CANDONI NEGROS OCCIDENTAL</t>
  </si>
  <si>
    <t>MUNICIPALITY OF TAPAZ, CAPIZ</t>
  </si>
  <si>
    <t>BARANGAY KATIPUNAN, SINACABAN, MISAMIS OCCIDENTAL</t>
  </si>
  <si>
    <t>CITY OF GENERAL TRIAS, CAVITE</t>
  </si>
  <si>
    <t>MUNICIPALITY OF KIBAWE , BUKIDNON</t>
  </si>
  <si>
    <t>MUNICIPALITY OF POLILLO, QUEZON</t>
  </si>
  <si>
    <t>BARANGAY IGBON, CONCEPCION, ILOILO</t>
  </si>
  <si>
    <t>PITOGO ELEMENTARY SCHOOL - MAKATI CITY</t>
  </si>
  <si>
    <t>BARANGAY KIYAAB - ANTIPAS COTABATO</t>
  </si>
  <si>
    <t>MUNICIPALITY OF CONSOLACION, CEBU</t>
  </si>
  <si>
    <t>BARANGAY SUMULONG - CALAUAG QUEZON</t>
  </si>
  <si>
    <t>BANGKO SENTRAL NG PILIPINAS - DAVAO REGIONAL OFFICE</t>
  </si>
  <si>
    <t>NATIONAL FOOD AUTHORITY - REGION II</t>
  </si>
  <si>
    <t>YEE ON ELEMENTARY SCHOOL</t>
  </si>
  <si>
    <t>DEPARTMENT OF SCIENCE AND TECHNOLOGY - REGION VI</t>
  </si>
  <si>
    <t>BARANGAY BUNTAY, DULAG, LEYTE</t>
  </si>
  <si>
    <t>BUREAU OF FISHERIES AND AQUATIC RESOURCES - REGION XII</t>
  </si>
  <si>
    <t>NORTH LUZON PHILIPPINES STATE COLLEGE</t>
  </si>
  <si>
    <t>MUNICIPALITY OF MALUNGON, SARANGANI</t>
  </si>
  <si>
    <t>BARANGAY CONCEPCION, BATANGAS CITY, BATANGAS</t>
  </si>
  <si>
    <t>MUNICIPALITY OF LIBERTAD, ANTIQUE</t>
  </si>
  <si>
    <t>MUNICIPALITY OF DINAGAT, DINAGAT ISLANDS</t>
  </si>
  <si>
    <t>NATIONAL IRRIGATION ADMINISTRATION - LIGAO CITY, ALBAY</t>
  </si>
  <si>
    <t>NATIONAL TELECOMMUNICATIONS COMMISSION - REGION IX</t>
  </si>
  <si>
    <t>BARANGAY MASIN NORTE,CANDELARIA,QUEZON</t>
  </si>
  <si>
    <t>MUNICIPALITY OF MEXICO, PAMPANGA</t>
  </si>
  <si>
    <t>MUNICIPALITY OF ABRA DE ILOG, OCCIDENTAL MINDORO</t>
  </si>
  <si>
    <t>DEPARTMENT OF PUBLIC WORKS AND HIGHWAYS - MISAMIS OCCIDENTAL</t>
  </si>
  <si>
    <t>BARANGAY SAN ANDRES, CATBALOGAN CITY</t>
  </si>
  <si>
    <t>MUNICIPALITY OF MASINLOC, ZAMBALES</t>
  </si>
  <si>
    <t>BARANGAY TAMBALIZA, CONCEPCION, ILOILO</t>
  </si>
  <si>
    <t>BARANGAY 1 - PIO DURAN, ALBAY</t>
  </si>
  <si>
    <t>BARANGAY APAD, RAGAY, CAMARINES SUR</t>
  </si>
  <si>
    <t>DEPARTMENT OF SOCIAL WELFARE AND DEVELOPMENT - REGION II</t>
  </si>
  <si>
    <t>MUNICIPALITY OF DOLORES, QUEZON</t>
  </si>
  <si>
    <t>DEPARTMENT OF PUBLIC WORKS AND HIGHWAYS - ILOILO 3RD DEO</t>
  </si>
  <si>
    <t>MUNICIPALITY OF PADRE BURGOS, SOUTHERN LEYTE</t>
  </si>
  <si>
    <t>MUNICIPALITY OF TAGUDIN, ILOCOS SUR</t>
  </si>
  <si>
    <t>BARANGAY MAPULA, ROMBLON, ROMBLON</t>
  </si>
  <si>
    <t>MUNICIPALITY  OF SAN JOSE, NEGROS ORIENTAL</t>
  </si>
  <si>
    <t>BARANGAY BALOCOC, LINGAYEN, PANGASINAN</t>
  </si>
  <si>
    <t>MUNICIPALITY OF MONCADA, TARLAC</t>
  </si>
  <si>
    <t>MUNICIPALITY OF CABATUAN, ISABELA</t>
  </si>
  <si>
    <t>MUNICIPALITY OF MAYANTOC, TARLAC</t>
  </si>
  <si>
    <t>BARANGAY OLYMPIA - MAKATI CITY</t>
  </si>
  <si>
    <t>BARANGAY TALOTO-AN, CONCEPCION, ILOILO</t>
  </si>
  <si>
    <t>MUNICIPALITY OF MAGDALENA, LAGUNA</t>
  </si>
  <si>
    <t>BARANGAY POBLACION SUR BATUAN BOHOL</t>
  </si>
  <si>
    <t>MUNICIPALITY OF SANTA IGNACIA, TARLAC</t>
  </si>
  <si>
    <t>AGRICULTURAL TRAINING INSTITUTE - REGIONAL TRAINING CENTER-R</t>
  </si>
  <si>
    <t>MUNICIPALITY OF PONTEVEDRA, CAPIZ</t>
  </si>
  <si>
    <t>DEPARTMENT OF EDUCATION - REGION VI</t>
  </si>
  <si>
    <t>LUMBIA CENTRAL SCHOOL - CAGAYAN DE ORO CITY MISAMIS ORIENTAL</t>
  </si>
  <si>
    <t>BARANGAY DELA PAZ PULOT APLAYA, BATANGAS CITY</t>
  </si>
  <si>
    <t>CIVIL AVIATION AUTHORITY OF THE PHILIPPINES - CALBAYOG AIRPO</t>
  </si>
  <si>
    <t>MUNICIPALITY OF GLAN, SARANGANI PROVINCE</t>
  </si>
  <si>
    <t>BARANGAY BUDA  - DAVAO CITY</t>
  </si>
  <si>
    <t>DEPARTMENT OF PUBLIC WORKS AND HIGHWAYS - PAMPANGA 1ST DEO</t>
  </si>
  <si>
    <t>DEPARTMENT OF PUBLIC WORKS AND HIGHWAYS - MASBATE 3RD DEO</t>
  </si>
  <si>
    <t>BARANGAY I - SAN FERNANDO CITY, LA UNION</t>
  </si>
  <si>
    <t>AGUSAN DEL SUR STATE COLLEGE OF AGRICULTURE AND TECHNOLOGY</t>
  </si>
  <si>
    <t>DEPARTMENT OF PUBLIC WORKS AND HIGHWAYS - SORSOGON 2ND DEO</t>
  </si>
  <si>
    <t>MINDANAO STATE UNIVERSITY - ILIGAN INSTITUTE OF TECHNOLOGY</t>
  </si>
  <si>
    <t>MUNICIPALITY OF MARAGONDON, CAVITE</t>
  </si>
  <si>
    <t>LOCAL WATER UTILITIES ADMINISTRATION</t>
  </si>
  <si>
    <t>BARANGAY CAMANSI, SAN FERNANDO CITY, LA UNION</t>
  </si>
  <si>
    <t>BARANGAY UMALAG, SAN MIGUEL, SURIGAO DEL SUR</t>
  </si>
  <si>
    <t>BANGKO SENTRAL NG PILIPINAS - LUCENA</t>
  </si>
  <si>
    <t>BARANGAY CAGUTSAN, CATBALOGAN CITY</t>
  </si>
  <si>
    <t>BARANGAY MANGILAGSUR, CANDELARIA, QUEZON</t>
  </si>
  <si>
    <t>BARANGAY PINAMUCAN PROPER, BATANGAS CITY, BATANGAS</t>
  </si>
  <si>
    <t>BARANGAY DARAHUWAY GOTE, CATBALOGAN CITY</t>
  </si>
  <si>
    <t>BARANGAY MARIANA - QUEZON CITY METRO MANILA</t>
  </si>
  <si>
    <t>BARANGAY ALIMANGO ESCALANTE CITY NEGROS OCCIDENTAL NEGROS IS</t>
  </si>
  <si>
    <t>BARANGAY SAN ANDRES ISLA VERDE, BATANGAS CITY, BATANGAS</t>
  </si>
  <si>
    <t>BARANGAY SAN ISIDRO, CANDELARIA, QUEZON</t>
  </si>
  <si>
    <t>MUNICIPALITY OF BAYOG, ZAMBOANGA DEL SUR</t>
  </si>
  <si>
    <t>PHILIPPINE COMPETITION COMMISSION</t>
  </si>
  <si>
    <t>BARANGAY VILLA BOTA, GUMACA, QUEZON</t>
  </si>
  <si>
    <t>MINES AND GEOSCIENCES BUREAU - CARAGA</t>
  </si>
  <si>
    <t>MUNICIPALITY OF JONES, ISABELA</t>
  </si>
  <si>
    <t>BARANGAY TABUCBUC MARCOS ILOCOS NORTE</t>
  </si>
  <si>
    <t>TORRIJOS POBLACION SCHOOL OF ARTS AND TRADES - TESDA</t>
  </si>
  <si>
    <t>DEPARTMENT OF ENVIRONMENT AND NATURAL RES. - PENRO, CEBU</t>
  </si>
  <si>
    <t>BARANGAY STA. CATALINA SUR, CANDELARIA, QUEZON</t>
  </si>
  <si>
    <t>MUNICIPALITY OF SIBUNAG, GUIMARAS</t>
  </si>
  <si>
    <t>KORONADAL WATER DISTRICT</t>
  </si>
  <si>
    <t>CIVIL AVIATION AUTHORITY OF THE PHILIPPINES - ANTIQUE</t>
  </si>
  <si>
    <t>BARANGAY ALIWEKWEK, LINGAYEN, PANGASINAN</t>
  </si>
  <si>
    <t>BARANGAY PAHINGA NORTE,CANDELARIA, QUEZON</t>
  </si>
  <si>
    <t>BARANGAY LAGUNA GUMACA, QUEZON</t>
  </si>
  <si>
    <t>JOSE RIZAL MEMORIAL STATE UNIVERSITY - MAIN CAMPUS</t>
  </si>
  <si>
    <t>SAN JUAN HIGH SCHOOL</t>
  </si>
  <si>
    <t>BARANGAY ESCODA, MARCOS, ILOCOS NORTE</t>
  </si>
  <si>
    <t>DEPARTMENT OF AGRARIAN REFORM - SARANGANI PROVINCE</t>
  </si>
  <si>
    <t>BARANGAY POBLACION 19, BATANGAS CITY</t>
  </si>
  <si>
    <t>MUNICIPALITY OF GUINOBATAN, ALBAY</t>
  </si>
  <si>
    <t>MUNICIPALITY OF CORDON, ISABELA</t>
  </si>
  <si>
    <t>CITY GOVERNMENT OF NAVOTAS</t>
  </si>
  <si>
    <t>MUNICIPALITY OF JOSE DALMAN, ZAMBOANGA DEL NORTE</t>
  </si>
  <si>
    <t>CITY OF TUGUEGARAO, CAGAYAN</t>
  </si>
  <si>
    <t>MUNICIPALITY OF CAPOOCAN, LEYTE</t>
  </si>
  <si>
    <t>BARANGAY ELIZABETH, MARCOS, ILOCOS NORTE</t>
  </si>
  <si>
    <t>TARLAC COLLEGE OF AGRICULTURE</t>
  </si>
  <si>
    <t>DEPARTMENT OF AGRICULTURE MIMAROPA</t>
  </si>
  <si>
    <t>NATIONAL FOOD AUTHORITY - TAGBILARAN</t>
  </si>
  <si>
    <t>BARANGAY MALANDAY, MARIKINA CITY</t>
  </si>
  <si>
    <t>BARANGAY KINATIHAN 1, CANDELARIA, QUEZON</t>
  </si>
  <si>
    <t>MUNICIPALITY OF PRESIDENT CARLOS P. GARCIA, BOHOL</t>
  </si>
  <si>
    <t>BARANGAY IMELDA MARCOS ILOCOS NORTE</t>
  </si>
  <si>
    <t>BUREAU OF FIRE PROTECTION - REGION VIII</t>
  </si>
  <si>
    <t>BARANGAY LYDIA MARCOS ILOCOS NORTE</t>
  </si>
  <si>
    <t>MUNICIPALITY OF SIASI, SULU</t>
  </si>
  <si>
    <t>MUNICIPALITY OF BAKUN, BENGUET</t>
  </si>
  <si>
    <t>DEPARTMENT OF PUBLIC WORKS AND HIGHWAYS - TARLAC 1ST DEO</t>
  </si>
  <si>
    <t>MACARIO B. ASISTIO SR. HIGH SCHOOL UNIT I</t>
  </si>
  <si>
    <t>MUNICIPALITY OF SAGADA, MOUNTAIN PROVINCE</t>
  </si>
  <si>
    <t>CITY OF ILAGAN WATER DISTRICT</t>
  </si>
  <si>
    <t>NATIONAL FOOD AUTHORITY - MAMBURAO BRANCH</t>
  </si>
  <si>
    <t>MUNICIPALITY OF KALILANGAN, BUKIDNON</t>
  </si>
  <si>
    <t>MUNICIPALITY OF CATANAUAN, QUEZON</t>
  </si>
  <si>
    <t>BARANGAY UPPER BAGONG TUDELA, JOSEFINA, ZAMBOANGA DEL SUR</t>
  </si>
  <si>
    <t>NATIONAL ECONOMIC AND DEVELOPMENT AUTHORITY - REGION IX</t>
  </si>
  <si>
    <t>BARANGAY SAMPALOC IV, DASMARIÑAS CITY, CAVITE</t>
  </si>
  <si>
    <t>BARANGAY 7 POBLACION, LUCENA CITY</t>
  </si>
  <si>
    <t>BARANGAY SAN PEDRO, BAGABAG, NUEVA VIZCAYA</t>
  </si>
  <si>
    <t>BARANGAY SAN LUCAS, LIPA CITY, BATANGAS</t>
  </si>
  <si>
    <t>BARANGAY SINAWILAN, MATANAO, DAVAO DEL SUR</t>
  </si>
  <si>
    <t>BARANGAY LOWER MAINIT, MALUNGON, SARANGANI</t>
  </si>
  <si>
    <t>MUNICIPALITY OF LABO, CAMARINES NORTE</t>
  </si>
  <si>
    <t>MUNICIPALITY OF BALETE, BATANGAS</t>
  </si>
  <si>
    <t>MUNICIPALITY OF CALAUAG, QUEZON</t>
  </si>
  <si>
    <t>BARANGAY PANAMIN - MALUNGON SARANGANI</t>
  </si>
  <si>
    <t>BARANGAY SOLANO, TANAUAN, LEYTE</t>
  </si>
  <si>
    <t>BARANGAY CAPUY - SORSOGON CITY SORSOGON</t>
  </si>
  <si>
    <t>BARANGAY POBLACION, COMPOSTELA, COMPOSTELA VALLEY</t>
  </si>
  <si>
    <t>DEPARTMENT OF PUBLIC WORKS AND HIGHWAYS - NORTH MANILA DEO</t>
  </si>
  <si>
    <t>BARANGAY POBLACION 3, BATANGAS CITY</t>
  </si>
  <si>
    <t>DEPARTMENT OF SCIENCE AND TECHNOLOGY - REGION IX</t>
  </si>
  <si>
    <t>BARANGAY 494 ZONE 49 DISTRICT IV, MANILA</t>
  </si>
  <si>
    <t>BARANGAY SINGKAMAS, MAKATI CITY</t>
  </si>
  <si>
    <t>MUNICIPALITY  OF KABAYAN, BENGUET</t>
  </si>
  <si>
    <t>BARANGAY TUCALANA LALLO CAGAYAN</t>
  </si>
  <si>
    <t>BARANGAY BUHUAN - CALAPAN, ORIENTAL MINDORO</t>
  </si>
  <si>
    <t>DEPARTMENT OF PUBLIC WORKS AND HIGHWAYS - BULACAN 1ST DEO</t>
  </si>
  <si>
    <t>MUNICIPALITY OF ASUNCION, DAVAO DEL NORTE</t>
  </si>
  <si>
    <t>BARANGAY CAWIT, PILAR, CEBU</t>
  </si>
  <si>
    <t>DEPARTMENT OF EDUCATION - DIVISION OF BAGUIO CITY</t>
  </si>
  <si>
    <t>BARANGAY MAYNGAWAY - SAN ANDRES, CATANDUANES</t>
  </si>
  <si>
    <t>BARANGAY CATAGBACAN - SAN ANDRES CATANDUANES</t>
  </si>
  <si>
    <t>BARANGAY 700 ZONE- 77</t>
  </si>
  <si>
    <t>MUNICIPALITY OF LAWAAN, EASTERN SAMAR</t>
  </si>
  <si>
    <t>MUNICIPALITY OF PLACER, MASBATE</t>
  </si>
  <si>
    <t>MUNICIPAL GOVERNMENT OF ATOK, BENGUET</t>
  </si>
  <si>
    <t>BARANGAY PAG-ASA, KAPALONG, DAVAO DEL NORTE</t>
  </si>
  <si>
    <t>MUNICIPALITY OF POTOTAN, ILOILO</t>
  </si>
  <si>
    <t>BARANGAY PINAGKAISAHAN, MAKATI CITY</t>
  </si>
  <si>
    <t>MUNICIPALITY OF FLORIDABLANCA, PAMPANGA</t>
  </si>
  <si>
    <t>MUNICIPALITY OF LEON, ILOILO</t>
  </si>
  <si>
    <t>MANGALDAN WATER DISTRICT</t>
  </si>
  <si>
    <t>MUNICIPALITY OF MADALAG, AKLAN</t>
  </si>
  <si>
    <t>NATIONAL POWER CORPORATION SPUG - MINDANAO(EMOD)</t>
  </si>
  <si>
    <t>CAPIZ STATE UNIVERSITY - CENTRAL ADMINISTRATION</t>
  </si>
  <si>
    <t>MUNICIPALITY OF AYUNGON, NEGROS ORIENTAL</t>
  </si>
  <si>
    <t>BARANGAY STA. CRUZ, SAN FERNANDO, CAMARINES SUR</t>
  </si>
  <si>
    <t>NABUNTURAN WATER DISTRICT</t>
  </si>
  <si>
    <t>BARANGAY IDIO SEBASTE ANTIQUE</t>
  </si>
  <si>
    <t>MUNICIPALITY OF PASIL, KALINGA</t>
  </si>
  <si>
    <t>DEPARTMENT OF AGRARIAN REFORM - ROMBLON</t>
  </si>
  <si>
    <t>MUNICIPALITY OF ANGADANAN, ISABELA</t>
  </si>
  <si>
    <t>COMPOSTELA VALLEY STATE COLLEGE</t>
  </si>
  <si>
    <t>MUNICIPALITY OF VICTORIA, LAGUNA</t>
  </si>
  <si>
    <t>MUNICIPALITY OF MARIA, SIQUIJOR</t>
  </si>
  <si>
    <t>BARANGAY JANLAGASI, CULASI ANTIQUE</t>
  </si>
  <si>
    <t>SUBIC BAY METROPOLITAN AUTHORITY</t>
  </si>
  <si>
    <t>KIBAWE TALAHIRON ELEMENTARY SCHOOL - KIBAWE BUKIDNON</t>
  </si>
  <si>
    <t>BARANGAY CAMANGAHAN, GUIMBAL, ILOILO</t>
  </si>
  <si>
    <t>DEPARTMENT OF EDUCATION - DIVISION OF CAMARINES SUR</t>
  </si>
  <si>
    <t>CIVIL AVIATION AUTHORITY OF THE PHILIPPINES - ILOILO AIRPORT</t>
  </si>
  <si>
    <t>SAN ROQUE 2 ELEMENTARY SCHOOL - SAN JOSE OCCIDENTAL MINDORO</t>
  </si>
  <si>
    <t>MUNICIPALITY OF TALUSAN, ZAMBOANGA SIBUGAY</t>
  </si>
  <si>
    <t>NATIONAL FOOD AUTHORITY - NCR</t>
  </si>
  <si>
    <t>MUNICIPALITY OF CARIGARA, LEYTE</t>
  </si>
  <si>
    <t>DEPARTMENT OF PUBLIC WORKS AND HIGHWAYS - REGION XI</t>
  </si>
  <si>
    <t>DEPARTMENT OF EDUCATION - DIVISION OF SURIGAO DEL SUR</t>
  </si>
  <si>
    <t>BARANGAY MAHAY, BUTUAN CITY</t>
  </si>
  <si>
    <t>BARANGAY RIZAL, PALA PALA 2, ILOILO CITY</t>
  </si>
  <si>
    <t>BARANGAY SAN ISIDRO, SORSOGON CITY</t>
  </si>
  <si>
    <t>BARANGAY PISONG-A - MARIA SIQUIJOR</t>
  </si>
  <si>
    <t>BARANGAY STA. MARIA NORTE, BINALONAN, PANGASINAN</t>
  </si>
  <si>
    <t>COMMISSION ON HIGHER EDUCATION - MAIN</t>
  </si>
  <si>
    <t>BARANGAY KAUNLARAN - NAVOTAS CITY</t>
  </si>
  <si>
    <t>MUNICIPALITY OF ECHAGUE, ISABELA</t>
  </si>
  <si>
    <t>MUNICIPALITY OF INFANTA, PANGASINAN</t>
  </si>
  <si>
    <t>TECHNICAL EDUCATION &amp; SKILLS DEVELOPMENT AUTHORITY</t>
  </si>
  <si>
    <t>BARANGAY PALANGON, LIBMANAN, CAMARINES SUR</t>
  </si>
  <si>
    <t>BARANGAY BALEY-A-DAAN, ALAMINOS, PANGASINAN</t>
  </si>
  <si>
    <t>MUNICIPALITY OF VICTORIA, NORTHERN SAMAR</t>
  </si>
  <si>
    <t>BARANGAY PUNTOD, CAGAYAN DE ORO CITY</t>
  </si>
  <si>
    <t>DEPARTMENT OF AGRICULTURE - REGION IX</t>
  </si>
  <si>
    <t>BARANGAY LIBAY, SIBUTAD, ZAMBOANGA DEL NORTE</t>
  </si>
  <si>
    <t>BARANGAY CABUTONGAN, LEON, ILOILO</t>
  </si>
  <si>
    <t>PALO ALTO ELEMENTARY SCHOOL</t>
  </si>
  <si>
    <t>BARANGAY 590 ZONE 58 DISTRICT VI, MANILA</t>
  </si>
  <si>
    <t>BARANGAY POTOL, INFANTA, PANGASINAN</t>
  </si>
  <si>
    <t>BARANGAY MALUBLUB, LEON, ILOILO</t>
  </si>
  <si>
    <t>BARANGAY FATIMA - VILLABA LEYTE</t>
  </si>
  <si>
    <t>BARANGAY RIZAL, PINAMUNGAJAN, CEBU</t>
  </si>
  <si>
    <t>MUNICIPALITY OF JIPAPAD, EASTERN SAMAR</t>
  </si>
  <si>
    <t>BARANGAY BAGONG SIRANG, PILI, CAMARINES SUR</t>
  </si>
  <si>
    <t>BARANGAY NORTE, DON CARLOS, BUKIDNON</t>
  </si>
  <si>
    <t>BARANGAY TAÑONG, MARIKINA CITY</t>
  </si>
  <si>
    <t>BARANGAY PORO - SAN FERNANDO CITY, LA UNION</t>
  </si>
  <si>
    <t>MUNICIPALITY OF TANAY, RIZAL</t>
  </si>
  <si>
    <t>BARANGAY BAMBAN, INFANTA, PANGASINAN</t>
  </si>
  <si>
    <t>MUNICIPALITY OF TAGO, SURIGAO DEL SUR</t>
  </si>
  <si>
    <t>BARANGAY PASORIO - MUTIA ZAMBOANGA DEL NORTE</t>
  </si>
  <si>
    <t>BARANGAY MARAVILLA, NAGCARLAN, LAGUNA</t>
  </si>
  <si>
    <t>DEPARTMENT OF AGRARIAN REFORM - MISAMIS ORIENTAL</t>
  </si>
  <si>
    <t>NATIONAL FOOD AUTHORITY - REGION VI</t>
  </si>
  <si>
    <t>BARANGAY STA. CRUZ, BALLESTEROS, CAGAYAN</t>
  </si>
  <si>
    <t>MUNICIPALITY OF MAHAPLAG - LEYTE</t>
  </si>
  <si>
    <t>CNHS-ANDRES BONIFACIO EXTENSION HIGH SCHOOL - CADIZ CITY NEG</t>
  </si>
  <si>
    <t>DEPARTMENT OF SCIENCE AND TECHNOLOGY - CAR</t>
  </si>
  <si>
    <t>BARANGAY SAN ANTONIO, MAKATI CITY</t>
  </si>
  <si>
    <t>CITY OF MAASIN, SOUTHERN LEYTE</t>
  </si>
  <si>
    <t>MUNICIPALITY OF SAN DIONISIO, ILOILO</t>
  </si>
  <si>
    <t>BARANGAY SAN ANTONIO LALLO CAGAYAN</t>
  </si>
  <si>
    <t>MUNICIPALITY OF TIWI, ALBAY</t>
  </si>
  <si>
    <t>BARANGAY  PANGPANG - SORSOGON CITY SORSOGON</t>
  </si>
  <si>
    <t>MUNICIPALITY OF STO. TOMAS, DAVAO DEL NORTE</t>
  </si>
  <si>
    <t>BARANGAY POBLACION, DAANBANTAYAN, CEBU</t>
  </si>
  <si>
    <t>MUNICIPALITY OF BACLAYON, BOHOL</t>
  </si>
  <si>
    <t>CITY  OF CAVITE</t>
  </si>
  <si>
    <t>BARANGAY AGUITING KANANGA LEYTE</t>
  </si>
  <si>
    <t>BARANGAY SAN JOSE, NAUJAN, ORIENTAL MINDORO</t>
  </si>
  <si>
    <t>AURORA STATE COLLEGE OF TECHNOLOGY</t>
  </si>
  <si>
    <t>NATIONAL IRRIGATION ADMINISTRATION - REGION IV-A CALABARZON</t>
  </si>
  <si>
    <t>PHILIPPINE NATIONAL POLICE - REGION I</t>
  </si>
  <si>
    <t>SK OF LIGTONG II - ROSARIO CAVITE</t>
  </si>
  <si>
    <t>MUNICIPALITY OF SAPIAN, CAPIZ</t>
  </si>
  <si>
    <t>MUNICIPALITY OF GINGOOG CITY, MISAMIS ORIENTAL</t>
  </si>
  <si>
    <t>BARANGAY PONITON, VIRAC, CATANDUANES</t>
  </si>
  <si>
    <t>MUNICIPALITY OF BELISON, ANTIQUE</t>
  </si>
  <si>
    <t>MUNICIPALITY OF PARACELIS, MOUNTAIN PROVINCE</t>
  </si>
  <si>
    <t>BARANGAY MAHIPON-LUMOT - CAVINTI LAGUNA</t>
  </si>
  <si>
    <t>METROPOLITAN CEBU WATER DISTRICT</t>
  </si>
  <si>
    <t>MUNICIPALITY OF PAMPLONA, CAMARINES SUR</t>
  </si>
  <si>
    <t>BARANGAY VALDEZ, MARCOS, ILOCOS NORTE</t>
  </si>
  <si>
    <t>MUNICIPALITY OF ZARRAGA, ILOILO</t>
  </si>
  <si>
    <t>DEPARTMENT OF PUBLIC WORKS AND HIGHWAYS - QUEZON 2ND ED</t>
  </si>
  <si>
    <t>MUNICIPALITY OF MATAG-OB, LEYTE</t>
  </si>
  <si>
    <t>MUNICIPALITY OF DARAGA, ALBAY</t>
  </si>
  <si>
    <t>MUNICIPALITY OF LAKE SEBU, SOUTH COTABATO</t>
  </si>
  <si>
    <t>MUNICIPALITY OF ANILAO - ILOILO</t>
  </si>
  <si>
    <t>MUNICIPALITY OF BUGASONG, ANTIQUE</t>
  </si>
  <si>
    <t>BARANGAY SANTIAGO, MARCOS, ILOCOS NORTE</t>
  </si>
  <si>
    <t>PHILIPPINE PORTS AUTHORITY - PMO WESTERN LEYTE/BILIRAN</t>
  </si>
  <si>
    <t>MUNICIPALITY OF CORELLA, BOHOL</t>
  </si>
  <si>
    <t>BARANGAY CABASI, GUIMBAL, ILOILO</t>
  </si>
  <si>
    <t>BARANGAY MABUTI, MARCOS, ILOCOS NORTE</t>
  </si>
  <si>
    <t>DEPARTMENT OF PUBLIC WORKS AND HIGHWAYS - BATANGAS 2ND ED</t>
  </si>
  <si>
    <t>PHILIPPINE NATIONAL POLICE - CRIME LABORATORY</t>
  </si>
  <si>
    <t>DEPARTMENT OF PUBLIC WORKS AND HIGHWAYS - CAR</t>
  </si>
  <si>
    <t>MUNICIPALITY OF ASTURIAS, CEBU</t>
  </si>
  <si>
    <t>MUNICIPALITY OF KUMALARANG, ZAMBOANGA DEL SUR</t>
  </si>
  <si>
    <t>BARANGAY STA. CATALINA - LA LIBERTAD ZAMBOANGA DEL NORTE</t>
  </si>
  <si>
    <t>BARANGAY ANTIPOLO, RIZAL, LAGUNA</t>
  </si>
  <si>
    <t>BARANGAY POBLACION, BURGOS, ILOCOS NORTE</t>
  </si>
  <si>
    <t>BARANGAY 25, TACLOBAN CITY, LEYTE</t>
  </si>
  <si>
    <t>BOHOL ISLAND STATE UNIVERSITY - CLARIN CAMPUS</t>
  </si>
  <si>
    <t>MUNICIPALITY OF LAL-LO, CAGAYAN VALLEY</t>
  </si>
  <si>
    <t>BARANGAY 30, TACLOBAN CITY, LEYTE</t>
  </si>
  <si>
    <t>BARANGAY DALAOIG, ALCALA, CAGAYAN</t>
  </si>
  <si>
    <t>DEPARTMENT OF PUBLIC WORKS AND HIGHWAYS - SURIGAO DEL SUR 2N</t>
  </si>
  <si>
    <t>PROVINCE OF LANAO DEL SUR</t>
  </si>
  <si>
    <t>BARANGAY MANHANIP MALINAO AKLAN</t>
  </si>
  <si>
    <t>PHILIPPINE SCIENCE HIGH SCHOOL - SOCCSKSARGEN REGION CAMPUS</t>
  </si>
  <si>
    <t>DEPARTMENT OF AGRARIAN REFORM - SORSOGON PROVINCIAL OFFICE</t>
  </si>
  <si>
    <t>BARANGAY CANGMOYA, PALOMPON, LEYTE</t>
  </si>
  <si>
    <t>BARANGAY CAMBINOY, PALOMPON, LEYTE</t>
  </si>
  <si>
    <t>BARANGAY CRUZ, PALOMPON, LEYTE</t>
  </si>
  <si>
    <t>BARANGAY NAVOTAS WEST, NAVOTAS</t>
  </si>
  <si>
    <t>BARANGAY MABINI - PALOMPON, LEYTE</t>
  </si>
  <si>
    <t>CITY OF SAGAY, NEGROS OCCIDENTAL</t>
  </si>
  <si>
    <t>MUNICIPALITY OF PONTEVEDRA, NEGROS OCCIDENTAL</t>
  </si>
  <si>
    <t xml:space="preserve">PHILIPPINE SCIENCE HIGH SCHOOL - ZAMBOANGA PENINSULA REGION </t>
  </si>
  <si>
    <t>MUNICIPALITY OF MONDRAGON, NORTHERN SAMAR</t>
  </si>
  <si>
    <t>MUNICIPALITY OF CATEEL, DAVAO ORIENTAL</t>
  </si>
  <si>
    <t>EVERSLEY CHILDS SANITARIUM</t>
  </si>
  <si>
    <t>MUNICIPALITY OF CARMEN, BOHOL</t>
  </si>
  <si>
    <t>MUNICIPALITY OF BANSUD, ORIENTAL MINDORO</t>
  </si>
  <si>
    <t>CABAGAN WATER DISTRICT</t>
  </si>
  <si>
    <t xml:space="preserve">DEPARTMENT OF PUBLIC WORKS AND HIGHWAYS - NUEVA VIZCAYA 2ND </t>
  </si>
  <si>
    <t xml:space="preserve">BARANGAY CAGSIAY 1 </t>
  </si>
  <si>
    <t>MUNICIPALITY OF ALLACAPAN, CAGAYAN</t>
  </si>
  <si>
    <t>MUNICIPALITY OF TIBIAO, ANTIQUE</t>
  </si>
  <si>
    <t>BARANGAY LAMDALAG - LAKE SEBU SOUTH COTABATO</t>
  </si>
  <si>
    <t>BARANGAY GALICIA 3 MENDEZ-NUÑEZ CAVITE</t>
  </si>
  <si>
    <t>BARANGAY TINIGUIBAN - LEON B. POSTIGO ZAMBOANGA DEL NORTE</t>
  </si>
  <si>
    <t>ISABELA STATE UNIVERSITY - JONES CAMPUS</t>
  </si>
  <si>
    <t>BARANGAY MAGACAN SANCHEZ MIRA CAGAYAN</t>
  </si>
  <si>
    <t>MUNICIPALITY OF LEON B. POSTIGO, ZAMBOANGA DEL NORTE</t>
  </si>
  <si>
    <t>BARANGAY CABUYEW, NAGCARLAN, LAGUNA</t>
  </si>
  <si>
    <t>MUNICIPALITY OF SANTA, ILOCOS SUR</t>
  </si>
  <si>
    <t>MUNICIPALITY OF LAMBUNAO, ILOILO</t>
  </si>
  <si>
    <t>BARANGAY CAPAYANG, MOGPOG, MARINDUQUE</t>
  </si>
  <si>
    <t>MUNICIPALITY OF PANIQUI, TARLAC</t>
  </si>
  <si>
    <t>MUNICIPALITY OF STA. MARCELA, APAYAO</t>
  </si>
  <si>
    <t>PROVINCE OF CEBU</t>
  </si>
  <si>
    <t>MUNICIPALITY OF ROSARIO, BATANGAS</t>
  </si>
  <si>
    <t>MUNICIPALITY OF DEL CARMEN, SURIGAO DEL NORTE</t>
  </si>
  <si>
    <t>MUNICIPALITY OF MERIDA, LEYTE</t>
  </si>
  <si>
    <t>COMMISSION ON HIGHER EDUCATION - REGION XII</t>
  </si>
  <si>
    <t>MUNICIPALITY OF KAUSWAGAN, LANAO DEL NORTE</t>
  </si>
  <si>
    <t>PROVINCIAL GOVERNMENT OF CAMARINES SUR</t>
  </si>
  <si>
    <t>CITY OF COTABATO</t>
  </si>
  <si>
    <t>BARANGAY GUINTAGBUCAN, ABUYOG, LEYTE</t>
  </si>
  <si>
    <t>MUNICIPALITY OF SAN ISIDRO, ISABELA</t>
  </si>
  <si>
    <t>MUNICIPALITY OF MADRID ,  SURIGAO DEL SUR</t>
  </si>
  <si>
    <t>MUNICIPALITY OF SOLANO, NUEVA VIZCAYA</t>
  </si>
  <si>
    <t>BARANGAY PUNSOD, MARIBOJOC, BOHOL</t>
  </si>
  <si>
    <t>BARANGAY  BAQUIOEN - SUAL PANGASINAN</t>
  </si>
  <si>
    <t>MUNICIPALITY OF FLORA, APAYAO</t>
  </si>
  <si>
    <t>MUNICIPALITY OF ASIPULO, IFUGAO</t>
  </si>
  <si>
    <t>MUNICIPALITY OF TUDELA, CEBU</t>
  </si>
  <si>
    <t>MUNICIPALITY OF BROOKE'S POINT, PALAWAN</t>
  </si>
  <si>
    <t>BARANGAY MOALBOAL, TITAY, ZAMBOANGA SIBUGAY</t>
  </si>
  <si>
    <t>MUNICIPALITY OF GUBAT, SORSOGON</t>
  </si>
  <si>
    <t>DEPARTMENT OF PUBLIC WORKS AND HIGHWAYS - LEYTE 4TH DEO</t>
  </si>
  <si>
    <t>BARANGAY VALENZUELA, MAKATI CITY</t>
  </si>
  <si>
    <t>MUNICIPALITY OF TAGBINA, SURIGAO DEL SUR</t>
  </si>
  <si>
    <t>BARANGAY BUENAVISTA - BAYBAY CITY LEYTE</t>
  </si>
  <si>
    <t>BARANGAY TAGONGON TAGBINA SURIGAO DEL SUR</t>
  </si>
  <si>
    <t>MUNICIPALITY OF SAN FRANCISCO, AGUSAN DEL SUR</t>
  </si>
  <si>
    <t>PROVINCE OF LANAO DEL NORTE</t>
  </si>
  <si>
    <t>MUNICIPALITY OF SINAIT, ILOCOS SUR</t>
  </si>
  <si>
    <t>BARANGAY BUNTUN, TUGUEGARAO CITY, CAGAYAN</t>
  </si>
  <si>
    <t>MUNICIPALITY OF BAUTISTA, PANGASINAN</t>
  </si>
  <si>
    <t>MUNICIPALITY OF TANGCAL, LANAO DEL NORTE</t>
  </si>
  <si>
    <t>MUNICIPALITY OF MUTIA, ZAMBOANGA DEL NORTE</t>
  </si>
  <si>
    <t>PHILIPPINE PORTS AUTHORITY - PMO BATANGAS</t>
  </si>
  <si>
    <t>NATIONAL FOOD AUTHORITY - REGION IV</t>
  </si>
  <si>
    <t>MUNICIPALITY OF LIDLIDDA, ILOCOS SUR</t>
  </si>
  <si>
    <t>DEPARTMENT OF PUBLIC WORKS AND HIGHWAYS - SOUTH COTABATO  1S</t>
  </si>
  <si>
    <t>MUNICIPALITY OF SIKATUNA, BOHOL</t>
  </si>
  <si>
    <t>BARANGAY LIGTONG II ROSARIO CAVITE</t>
  </si>
  <si>
    <t>NATIONAL IRRIGATION ADMINISTRATION - ZAMBOANGA SIBUGAY</t>
  </si>
  <si>
    <t>DEPARTMENT OF PUBLIC WORKS AND HIGHWAYS - DAVAO ORIENTAL 2ND</t>
  </si>
  <si>
    <t>DEPARTMENT OF PUBLIC WORKS AND HIGHWAYS - CAMARINES NORTE ED</t>
  </si>
  <si>
    <t>MUNICIPALITY OF QUIRINO, ILOCOS SUR</t>
  </si>
  <si>
    <t>BARANGAY SASA, DAVAO CITY</t>
  </si>
  <si>
    <t>BARANGAY TALIGAMAN, BUTUAN CITY</t>
  </si>
  <si>
    <t>LIGA NG MGA BARANGAY - ALIMODIAN ILOILO</t>
  </si>
  <si>
    <t>PROVINCE OF CATANDUANES</t>
  </si>
  <si>
    <t>MUNICIPALITY OF KALAYAAN, LAGUNA</t>
  </si>
  <si>
    <t>MUNICIPALITY OF KALAMANSIG, SULTAN KUDARAT</t>
  </si>
  <si>
    <t>DEPARTMENT OF AGRICULTURE - REGION X</t>
  </si>
  <si>
    <t>DEPARTMENT OF PUBLIC WORKS AND HIGHWAYS - MASBATE 2ND DEO</t>
  </si>
  <si>
    <t>MUNICIPALITY OF BUSUANGA, PALAWAN</t>
  </si>
  <si>
    <t>DEPARTMENT OF PUBLIC WORKS AND HIGHWAYS - NEGROS ORIENTAL 3R</t>
  </si>
  <si>
    <t>DEPARTMENT OF PUBLIC WORKS AND HIGHWAYS - NORTH COTABATO 2ND</t>
  </si>
  <si>
    <t>BARANGAY BAYAMBANG, INFANTA, PANGASINAN</t>
  </si>
  <si>
    <t>MUNICIPALITY OF MOALBOAL, CEBU</t>
  </si>
  <si>
    <t>MUNICIPALITY  OF MALASIQUI, PANGASINAN</t>
  </si>
  <si>
    <t>MUNICIPALITY OF HERNANI, EASTERN SAMAR</t>
  </si>
  <si>
    <t>DEPARTMENT OF EDUCATION - DIVISION OF SOUTHERN LEYTE</t>
  </si>
  <si>
    <t>BRGY. GUIASAN, MUNICIPALITY OF MAGALLANES, AGUSAN DEL NORTE</t>
  </si>
  <si>
    <t>MUNICIPALITY OF SIOCON</t>
  </si>
  <si>
    <t>MUNICIPALITY OF OLUTANGA, ZAMBOANGA SIBUGAY</t>
  </si>
  <si>
    <t>DPWH - ANTIQUE DISTRICT ENGINEERING OFFICE</t>
  </si>
  <si>
    <t>MUNICIPALITY OF MEDELLIN, CEBU</t>
  </si>
  <si>
    <t>MUNICIPALITY OF LA PAZ, ABRA</t>
  </si>
  <si>
    <t>MUNICIPALITY OF QUEZON , BUKIDNON</t>
  </si>
  <si>
    <t>METRO SIQUIJOR WATER DISTRICT</t>
  </si>
  <si>
    <t>PROVINCE OF ISABELA</t>
  </si>
  <si>
    <t>MUNICIPALITY OF AURORA, ISABELA</t>
  </si>
  <si>
    <t>BARANGAY PADANG - PATNONGON ANTIQUE</t>
  </si>
  <si>
    <t>MUNICIPALITY OF SAN BENITO, SURIGAO DEL NORTE</t>
  </si>
  <si>
    <t>MUNICIPALITY OF PASACAO, CAMARINES SUR</t>
  </si>
  <si>
    <t>MUNICIPALITY OF TAGOLOAN, MISAMIS ORIENTAL</t>
  </si>
  <si>
    <t>MABINI NATIONAL HIGH SCHOOL - NEGROS OCCIDENTAL</t>
  </si>
  <si>
    <t>BARANGAY BUENAVISTA - CASTILLA SORSOGON</t>
  </si>
  <si>
    <t>MUNICIPALITY OF ALFONSO LISTA, IFUGAO</t>
  </si>
  <si>
    <t>MUNICIPALITY OF PORO, CEBU</t>
  </si>
  <si>
    <t>DEPARTMENT OF PUBLIC WORKS AND HIGHWAYS - PALAWAN 3RD DEO</t>
  </si>
  <si>
    <t>MUNICIPALITY OF PIAT, CAGAYAN</t>
  </si>
  <si>
    <t>BARANGAY DALID, CALINOG, ILOILO</t>
  </si>
  <si>
    <t>BARANGAY SUNG-AN -  MERCEDES, EASTERN SAMAR</t>
  </si>
  <si>
    <t>BARANGAY SAN JUAN, SAN PABLO CITY, LAGUNA</t>
  </si>
  <si>
    <t>MUNICIPALITY OF CARMEN COTABATO</t>
  </si>
  <si>
    <t>MUNICIPALITY OF STA. CRUZ, ZAMBALES</t>
  </si>
  <si>
    <t>BUREAU OF BROADCAST SERVICES</t>
  </si>
  <si>
    <t>BARANGAY CAN-ANGAY INOPACAN LEYTE</t>
  </si>
  <si>
    <t>BARANGAY KINAMLUTAN, BUTUAN, AGUSAN DEL NORTE</t>
  </si>
  <si>
    <t>MUNICIPALITY OF PUERTO GALERA, ORIENTAL MINDORO</t>
  </si>
  <si>
    <t>MUNICIPALITY OF VIRAC , CATANDUANES</t>
  </si>
  <si>
    <t>MUNICIPALITY OF JIMENEZ, MISAMIS OCCIDENTAL</t>
  </si>
  <si>
    <t>MUNICIPALITY OF AGLIPAY, QUIRINO</t>
  </si>
  <si>
    <t>CITY OF MUNTINLUPA</t>
  </si>
  <si>
    <t>MUNICIPALITY OF NORALA, SOUTH COTABATO</t>
  </si>
  <si>
    <t>BARANGAY POBLACION - TAMPAKAN SOUTH COTABATO</t>
  </si>
  <si>
    <t>MUNICIPALITY OF VALENCIA, NEGROS ORIENTAL</t>
  </si>
  <si>
    <t>PROVINCE OF BATANGAS</t>
  </si>
  <si>
    <t>MUNICIPALITY OF LUPI, CAMARINES SUR</t>
  </si>
  <si>
    <t>BARANGAY BATTUNG, TUAO, CAGAYAN</t>
  </si>
  <si>
    <t>BARANGAY MABINI HOMESITE-CABANATUAN CITY</t>
  </si>
  <si>
    <t>BANGKO SENTRAL NG PILIPINAS - CEBU REGIONAL OFFICE</t>
  </si>
  <si>
    <t>CITY OF BAYBAY, LEYTE</t>
  </si>
  <si>
    <t>DEPARTMENT OF PUBLIC WORKS AND HIGHWAYS - DAVAO CITY DEO</t>
  </si>
  <si>
    <t>NATIONAL FOOD AUTHORITY - INFANTA</t>
  </si>
  <si>
    <t>MUNICIPALITY OF DASOL, PANGASINAN</t>
  </si>
  <si>
    <t>MUNICIPALITY OF MANAPLA, NEGROS OCCIDENTAL</t>
  </si>
  <si>
    <t>MUNICIPALITY OF TAFT, EASTERN SAMAR</t>
  </si>
  <si>
    <t>TECHNICAL EDUCATION &amp; SKILLS DEVELOPMENT AUTHORITY - BAYOMBO</t>
  </si>
  <si>
    <t>SAN LAZARO HOSPITAL</t>
  </si>
  <si>
    <t>DEPARTMENT OF PUBLIC WORKS AND HIGHWAYS - LAGUNA III DISTRIC</t>
  </si>
  <si>
    <t>MUNICIPALITY OF ALCOY, CEBU</t>
  </si>
  <si>
    <t>BARANGAY 147 ZONE 13, MANILA</t>
  </si>
  <si>
    <t>SK OF  BARANGAY TEJEROS  - MAKATI CITY</t>
  </si>
  <si>
    <t>MUNICIPALITY OF PEÑABLANCA, CAGAYAN</t>
  </si>
  <si>
    <t>CITY OF TRECE MARTIRES</t>
  </si>
  <si>
    <t>DEPARTMENT OF PUBLIC WORKS AND HIGHWAYS - ZAMBALES 1ST DEO</t>
  </si>
  <si>
    <t>BARANGAY M. ROXAS - TRINIDAD BOHOL</t>
  </si>
  <si>
    <t>MUNICIPALITY OF BANSALAN, DAVAO DEL SUR</t>
  </si>
  <si>
    <t>MUNICIPALITY OF STA. FE, LEYTE</t>
  </si>
  <si>
    <t>BARANGAY DANAO, TIGBAUAN, ILOILO</t>
  </si>
  <si>
    <t xml:space="preserve">BUREAU OF FISHERIES AND AQUATIC RESOURCES - REGION IV-B </t>
  </si>
  <si>
    <t>BARANGAY CAMPELIPA - DARAM SAMAR</t>
  </si>
  <si>
    <t>TOLEDO CITY WATER DISTRICT</t>
  </si>
  <si>
    <t>WESTERN VISAYAS SANITARIUM - DOH</t>
  </si>
  <si>
    <t>MUNICIPALITY OF BAMBANG, NUEVA VIZCAYA</t>
  </si>
  <si>
    <t>AGRICULTURAL TRAINING INSTITUTE - REGION XI</t>
  </si>
  <si>
    <t>BARANGAY BALUC, TANGUB CITY</t>
  </si>
  <si>
    <t>MUNICIPALITY OF SANTA MARIA, ILOCOS SUR</t>
  </si>
  <si>
    <t>DEPARTMENT OF PUBLIC WORKS AND HIGHWAYS - NEG. OCC. 4TH DEO</t>
  </si>
  <si>
    <t>MUNICIPALITY OF SAN ENRIQUE, ILOILO</t>
  </si>
  <si>
    <t>MUNICIPALITY OF MACALELON, QUEZON</t>
  </si>
  <si>
    <t>BARANGAY CARANGIAN, TARLAC CITY, TARLAC</t>
  </si>
  <si>
    <t>DEPARTMENT OF PUBLIC WORKS AND HIGHWAYS - NEGROS ORIENTAL 2N</t>
  </si>
  <si>
    <t>DEPARTMENT OF PUBLIC WORKS AND HIGHWAYS - SAMAR 2ND DEO</t>
  </si>
  <si>
    <t>BARANGAY MAMBUGSAY - CAUAYAN NEGROS OCCIDENTAL</t>
  </si>
  <si>
    <t>BARANGAY CULASIAN, CAPOOCAN, LEYTE</t>
  </si>
  <si>
    <t>MUNICIPALITY OF SAN JOSE DE BUAN, SAMAR</t>
  </si>
  <si>
    <t>BARANGAY LANGKONG - M'LANG COTABATO</t>
  </si>
  <si>
    <t>BARANGAY TEJEROS, MAKATI CITY</t>
  </si>
  <si>
    <t>BARANGAY  - ROXAS ORIENTAL MINDORO</t>
  </si>
  <si>
    <t>MUNICIPALITY OF DINGLE, ILOILO</t>
  </si>
  <si>
    <t>BARANGAY BAYAG NORTE, LEON, ILOILO</t>
  </si>
  <si>
    <t>SCIENCE CITY OF MUÑOZ, NUEVA ECIJA</t>
  </si>
  <si>
    <t>MUNICIPALITY OF BALIGUIAN, ZAMBOANGA DEL NORTE</t>
  </si>
  <si>
    <t>BARANGAY CECILIA, SAN LUIS, AGUSAN DEL SUR</t>
  </si>
  <si>
    <t>CENTRAL BICOL STATE UNVERSITY OF AGRICULTURE - CALABANGA</t>
  </si>
  <si>
    <t>BARANGAY MAIHAO, CAWAYAN, MASBATE</t>
  </si>
  <si>
    <t>MUNICIPALITY OF  PANAON, MISAMIS OCCIDENTAL</t>
  </si>
  <si>
    <t>BARANGAY BOBON, LEON, ILOILO</t>
  </si>
  <si>
    <t>BARANGAY LA PAZ MAKATI CITY</t>
  </si>
  <si>
    <t>BARANGAY  CABIHIAN - VIRAC CATANDUANES</t>
  </si>
  <si>
    <t>LEYTE NORMAL UNIVERSITY</t>
  </si>
  <si>
    <t>MUNICIPALITY OF ALMAGRO, SAMAR</t>
  </si>
  <si>
    <t>BARANGAY SICAYAB, DIPOLOG, ZAMBOANGA DEL NORTE</t>
  </si>
  <si>
    <t>BARANGAY DUNGON, CONCEPCION, ILOILO</t>
  </si>
  <si>
    <t>BARANGAY SAN ISIDRO, TALAKAG, BUKIDNON</t>
  </si>
  <si>
    <t>TECHNOLOGICAL UNIVERSITY OF THE PHILIPPINES - MANILA CAMPUS</t>
  </si>
  <si>
    <t>MUNICIPALITY OF BONTOC, MOUNTAIN PROVINCE</t>
  </si>
  <si>
    <t>MUNICIPALITY OF SAMBOAN, CEBU</t>
  </si>
  <si>
    <t>BARANGAY MAHAYAHAY - CAWAYAN, MASBATE</t>
  </si>
  <si>
    <t>BARANGAY 267 ZONE 24 DISTRICT II, MANILA</t>
  </si>
  <si>
    <t>DEPARTMENT OF PUBLIC WORKS AND HIGHWAYS - MIS. OCC. SUB-DEO</t>
  </si>
  <si>
    <t>BARANGAY ANTICALA, BUTUAN CITY</t>
  </si>
  <si>
    <t>BARANGAY 319 ZONE 32 DISTRICT 3 - MANILA</t>
  </si>
  <si>
    <t>BARANGAY SAN ISIDRO, SAN FRANCISCO, CEBU</t>
  </si>
  <si>
    <t>BARANGAY BARANGOBONG - TAYUG, PANGASINAN</t>
  </si>
  <si>
    <t>DEPARTMENT OF PUBLIC WORKS AND HIGHWAYS - REGION XII</t>
  </si>
  <si>
    <t>BARANGAY 1 MAON, BUTUAN CITY</t>
  </si>
  <si>
    <t>BARANGAY ALMEÑANA - LEMERY,ILOILO</t>
  </si>
  <si>
    <t>MUNICIPALITY OF NUNUNGAN, LANAO DEL NORTE</t>
  </si>
  <si>
    <t>DEPARTMENT OF PUBLIC WORKS AND HIGHWAYS - CATANDUANES ED</t>
  </si>
  <si>
    <t>MUNICIPALITY OF BOSTON, DAVAO ORIENTAL</t>
  </si>
  <si>
    <t>MUNICIPALITY OF BAUANG, LA UNION</t>
  </si>
  <si>
    <t>MUNICIPALITY OF MAGARAO, CAMARINES SUR</t>
  </si>
  <si>
    <t>BARANGAY STA. VERONICA, SAN PABLO CITY</t>
  </si>
  <si>
    <t>BUREAU OF INTERNAL REVENUE</t>
  </si>
  <si>
    <t>MUNICIPALITY OF PANUKULAN, QUEZON</t>
  </si>
  <si>
    <t>CITY OF VALENZUELA</t>
  </si>
  <si>
    <t>BARANGAY GUADALUPE NUEVO, MAKATI CITY</t>
  </si>
  <si>
    <t>DEPARTMENT OF AGRARIAN REFORM - TARLAC CITY</t>
  </si>
  <si>
    <t>DEPARTMENT OF SCIENCE AND TECHNOLOGY - CARAGA</t>
  </si>
  <si>
    <t>BUREAU OF JAIL MANAGEMENT AND PENOLOGY-NCR</t>
  </si>
  <si>
    <t>NATIONAL IRRIGATION ADMINISTRATION-SORSOGON MASBATE IMO</t>
  </si>
  <si>
    <t>BARANGAY TIKEY, BOKOD, BENGUET</t>
  </si>
  <si>
    <t>BOHOL ISLAND STATE UNIVERSITY - CANDIJAY CAMPUS</t>
  </si>
  <si>
    <t>DEPARTMENT OF SOCIAL WELFARE AND DEVELOPMENT - REGION IV-A</t>
  </si>
  <si>
    <t>MUNICIPALITY OF JANIUAY, ILOILO</t>
  </si>
  <si>
    <t>MINDANAO STATE UNIVERSITY - GENERAL SANTOS CITY CAMPUS</t>
  </si>
  <si>
    <t>CADIZ VIEJO NATIONAL HIGH SCHOOL</t>
  </si>
  <si>
    <t>BARANGAY MARIBAGO, LAPU-LAPU, CEBU</t>
  </si>
  <si>
    <t>BARANGAY SAN MIGUEL MUTIA ZAMBOANGA DEL NORTE</t>
  </si>
  <si>
    <t>CITY OF GAPAN, NUEVA ECIJA</t>
  </si>
  <si>
    <t>MUNICIPALITY OF CERVANTES, ILOCOS SUR</t>
  </si>
  <si>
    <t>BUREAU OF FIRE PROTECTION - ARMM</t>
  </si>
  <si>
    <t>BARANGAY CAMITOC, DULAG, LEYTE</t>
  </si>
  <si>
    <t>BICOL REGIONAL TRAINING AND TEACHING HOSPITAL</t>
  </si>
  <si>
    <t>BARANGAY BALOC STO. DOMINGO NUEVA ECIJA</t>
  </si>
  <si>
    <t>MUNICIPALITY OF BASUD, CAMARINES NORTE</t>
  </si>
  <si>
    <t>MLANG WATER DISTRICT</t>
  </si>
  <si>
    <t>PROVINCE OF BULACAN</t>
  </si>
  <si>
    <t>MUNICIPALITY OF INFANTA, QUEZON</t>
  </si>
  <si>
    <t>BARANGAY POBLACION, POLILLO, QUEZON</t>
  </si>
  <si>
    <t>BARANGAY POBLACION, LEON, ILOILO</t>
  </si>
  <si>
    <t>BARANGAY U.P. CAMPUS, QUEZON CITY</t>
  </si>
  <si>
    <t>DEPARTMENT OF PUBLIC WORKS AND HIGHWAYS - TACLOBAN CITY SDEO</t>
  </si>
  <si>
    <t>BARANGAY CARARAYAN, NAGA, CAMARINES SUR</t>
  </si>
  <si>
    <t>BARANGAY BIANGAN, MAKILALA, COTABATO</t>
  </si>
  <si>
    <t>BARANGAY SINOGBUHAN, SAN JOAQUIN, ILOILO</t>
  </si>
  <si>
    <t>MUNICIPALITY OF ANINI-Y, ANTIQUE</t>
  </si>
  <si>
    <t>MUNICIPALITY OF STA. ANA, PAMPANGA</t>
  </si>
  <si>
    <t>BARANGAY OSMENA, CATAINGAN, MASBATE</t>
  </si>
  <si>
    <t>MUNICIPALITY OF SAN LORENZO RUIZ, CAMARINES NORTE</t>
  </si>
  <si>
    <t>DEPARTMENT OF BUDGET AND MANAGEMENT</t>
  </si>
  <si>
    <t>MUNICIPALITY OF BINANGONAN, RIZAL</t>
  </si>
  <si>
    <t>DEPARTMENT OF PUBLIC WORKS AND HIGHWAYS - PAMPANGA 2ND DEO</t>
  </si>
  <si>
    <t>BARANGAY SANTIAGO SANCHEZ MIRA CAGAYAN</t>
  </si>
  <si>
    <t>BARANGAY HAGBUAYA CATIGBIAN BOHOL</t>
  </si>
  <si>
    <t>MUNICIPALITY OF PULUPANDAN, NEGROS OCCIDENTAL</t>
  </si>
  <si>
    <t>DEPARTMENT OF SOCIAL WELFARE AND DEVELOPMENT - NCR</t>
  </si>
  <si>
    <t>TANJAY WATER DISTRICT</t>
  </si>
  <si>
    <t>MUNICIPALITY OF CONCEPCION, ILOILO</t>
  </si>
  <si>
    <t>MUNICIPALITY OF MANAOAG, PANGASINAN</t>
  </si>
  <si>
    <t>MUNICIPALITY OF CALUYA, ANTIQUE</t>
  </si>
  <si>
    <t>MUNICIPALITY OF DIMASALANG, MASBATE</t>
  </si>
  <si>
    <t>PROVINCIAL GOVERNMENT OF APAYAO</t>
  </si>
  <si>
    <t>INFANTA (QUEZON) WATER DISTRICT</t>
  </si>
  <si>
    <t>MUNICIPALITY OF LIBERTAD, MISAMIS ORIENTAL</t>
  </si>
  <si>
    <t>MUNICIPALITY OF SAN MANUEL, TARLAC</t>
  </si>
  <si>
    <t>CIVIL AVIATION AUTHORITY OF THE PHILIPPINES - AREA X - LAGUI</t>
  </si>
  <si>
    <t>PONTEVEDRA WATER DISTRICT (CAPIZ)</t>
  </si>
  <si>
    <t>MUNICIPALITY OF ROMBLON, ROMBLON</t>
  </si>
  <si>
    <t>PHILIPPINE STATISTICS AUTHORITY - REGION II</t>
  </si>
  <si>
    <t>DEPARTMENT OF EDUCATION - REGION I</t>
  </si>
  <si>
    <t>DEPARTMENT OF PUBLIC WORKS AND HIGHWAYS - SOUTHERN MINDORO D</t>
  </si>
  <si>
    <t>MUNICIPALITY OF ANGONO, RIZAL</t>
  </si>
  <si>
    <t>BARANGAY CARANG, DAPITAN, ZAMBOANGA DEL NORTE</t>
  </si>
  <si>
    <t>LUIS HORA MEMORIAL REGIONAL HOSPITAL</t>
  </si>
  <si>
    <t>BARANGAY BANGKULASI, NAVOTAS CITY</t>
  </si>
  <si>
    <t>MUNICIPALITY OF VICTORIA, ORIENTAL MINDORO</t>
  </si>
  <si>
    <t>BANLIC ELEMENTARY SCHOOL</t>
  </si>
  <si>
    <t>DON EMILIO DEL VALLE MEMORIAL HOSPITAL</t>
  </si>
  <si>
    <t>MUNICIPALITY OF CABA, LA UNION</t>
  </si>
  <si>
    <t>NATIONAL IRRIGATION ADMINISTRATION - BANE-IMO</t>
  </si>
  <si>
    <t>TRES ANDANAS ELEMENTARY SCHOOL</t>
  </si>
  <si>
    <t>MUNICIPALITY OF FERROL, ROMBLON</t>
  </si>
  <si>
    <t>BUREAU OF JAIL MANAGEMENT AND PENOLOGY - REGION XII</t>
  </si>
  <si>
    <t>MUNICIPALITY OF CATAINGAN, MASBATE</t>
  </si>
  <si>
    <t>MUNICIPALITY OF SAMPALOC, QUEZON</t>
  </si>
  <si>
    <t>BARANGAY TAMINLA - BUENAVISTA GUIMARAS</t>
  </si>
  <si>
    <t>MUNICIPALITY OF SOLANA, CAGAYAN</t>
  </si>
  <si>
    <t>MUNICIPALITY OF BAUKO, MOUNTAIN PROVINCE</t>
  </si>
  <si>
    <t>MUNICIPALITY OF CATUBIG, NORTHERN SAMAR</t>
  </si>
  <si>
    <t>BARANGAY SAN ANTONIO - AJUY ILOILO</t>
  </si>
  <si>
    <t>MARIKINA POLYTECHNIC COLLEGE</t>
  </si>
  <si>
    <t>BARANGAY RECODO, CAWAYAN, MASBATE</t>
  </si>
  <si>
    <t>BARANGAY MOLATUHAN ALTO, LOPEZ JAENA, MISAMIS OCCIDENTAL</t>
  </si>
  <si>
    <t>MUNICIPALITY OF ALFONSO CASTAÑEDA, NUEVA VIZCAYA</t>
  </si>
  <si>
    <t>PHILIPPINE HEALTH INSURANCE CORPORATION - REGION V</t>
  </si>
  <si>
    <t>CITY OF VICTORIAS, NEGROS OCCIDENTAL</t>
  </si>
  <si>
    <t>MUNICIPALITY OF SAN LORENZO, GUIMARAS</t>
  </si>
  <si>
    <t>MUNICIPALITY OF DINAPIGUE, ISABELA</t>
  </si>
  <si>
    <t>BUREAU OF INTERNAL REVENUE - REVENUE REGION NO. 9B-LAQUEMAR</t>
  </si>
  <si>
    <t>MUNICIPALITY OF MULANAY, QUEZON</t>
  </si>
  <si>
    <t>BARANGAY STO. TOMAS, MABINI, BATANGAS</t>
  </si>
  <si>
    <t>MUNICIPALITY OF MUNAI LANAO DEL NORTE</t>
  </si>
  <si>
    <t>MUNICIPALITY OF PANDAN , CATANDUANES</t>
  </si>
  <si>
    <t>BARANGAY ISIAN NORTE, LEON, ILOILO</t>
  </si>
  <si>
    <t>BARANGAY KILIOG, LIBONA, BUKIDNON</t>
  </si>
  <si>
    <t>CITY OF SAN JUAN</t>
  </si>
  <si>
    <t>DEPARTMENT OF TRADE AND INDUSTRY - REGION X</t>
  </si>
  <si>
    <t>BOHOL ISLAND STATE UNIVERSITY - CALAPE</t>
  </si>
  <si>
    <t>DEPARTMENT OF PUBLIC WORKS AND HIGHWAYS - CAMIGUIN DEO</t>
  </si>
  <si>
    <t>BARANGAY BATUG, DULAG, LEYTE</t>
  </si>
  <si>
    <t>BARANGAY PANTAY BATA, TANAUAN CITY, BATANGAS</t>
  </si>
  <si>
    <t>BARANGAY KAUSWAGAN, CAGAYAN DE ORO CITY</t>
  </si>
  <si>
    <t>DEPARTMENT OF EDUCATION - DIVISION OF LEYTE</t>
  </si>
  <si>
    <t>DEPARTMENT OF ENVIRONMENT AND NATURAL RES. - PENRO, MT. PROV</t>
  </si>
  <si>
    <t>NATIONAL TELECOMMUNICATIONS COMMISSION - REGION XII</t>
  </si>
  <si>
    <t>DEPARTMENT OF PUBLIC WORKS AND HIGHWAYS - REGION XII - COTAB</t>
  </si>
  <si>
    <t>DEPARTMENT OF ENVIRONMENT AND NATURAL RES. - PENRO, KIDAPAWA</t>
  </si>
  <si>
    <t>BARANGAY POBLACION, AROROY, MASBATE</t>
  </si>
  <si>
    <t>MUNICIPALITY OF MINA, ILOILO</t>
  </si>
  <si>
    <t>SCHISTOSOMIASIS CONTROL AND RESEARCH HOSPITAL</t>
  </si>
  <si>
    <t>COTABATO SANITARIUM</t>
  </si>
  <si>
    <t>BARANGAY TADIANGAN, TUBA, BENGUET</t>
  </si>
  <si>
    <t>PUBLIC-PRIVATE PARTNERSHIP (PPP) CENTER OF THE PHILIPPI</t>
  </si>
  <si>
    <t>BARANGAY BUHATAN SORSOGON CITY SORSOGON</t>
  </si>
  <si>
    <t>BARANGAY 43, TACLOBAN CITY, LEYTE</t>
  </si>
  <si>
    <t>CITY OF TAGUIG</t>
  </si>
  <si>
    <t>MINISTRY OF BASIC HIGHER AND TECHNICAL EDUCATION -  BARMM</t>
  </si>
  <si>
    <t>MUNICIPALITY OF ABORLAN, PALAWAN</t>
  </si>
  <si>
    <t>MUNICIPALITY OF SARANGANI, DAVAO OCCIDENTAL</t>
  </si>
  <si>
    <t>MUNICIPALITY OF SAN NICOLAS, BATANGAS</t>
  </si>
  <si>
    <t>MUNICIPALITY OF NABAS, AKLAN</t>
  </si>
  <si>
    <t>MUNICIPALITY OF MATANOG, MAGUINDANAO</t>
  </si>
  <si>
    <t>BARANGAY TALOC, BAGO CITY, NEGROS OCCIDENTAL</t>
  </si>
  <si>
    <t>MUNICIPALITY OF LEYTE, LEYTE</t>
  </si>
  <si>
    <t>MUNICIPALITY OF BULDON, MAGUINDANAO</t>
  </si>
  <si>
    <t>DEPARTMENT OF PUBLIC WORKS AND HIGHWAYS - NEGROS ORIENTAL 1S</t>
  </si>
  <si>
    <t>BARANGAY STA. FE, TAGBINA, SURIGAO DEL SUR</t>
  </si>
  <si>
    <t>DEPARTMENT OF PUBLIC WORKS AND HIGHWAYS - AGUSAN DEL SUR 1ST</t>
  </si>
  <si>
    <t>MUNICIPALITY OF SAN EMILIO, ILOCOS SUR</t>
  </si>
  <si>
    <t>MUNICIPALITY OF DAUIN, NEGROS ORIENTAL</t>
  </si>
  <si>
    <t>PHILIPPINE PORTS AUTHORITY - PMO PUERTO PRINCESA</t>
  </si>
  <si>
    <t>BARANGAY 5, SAN VICENTE SARRAT, ILOCOS NORTE</t>
  </si>
  <si>
    <t>LIGA NG MGA BARANGAY, BANSALAN, DAVAO DEL SUR</t>
  </si>
  <si>
    <t>BASILAN GENERAL HOSPITAL</t>
  </si>
  <si>
    <t>MUNICIPALITY OF LUPAO, NUEVA ECIJA</t>
  </si>
  <si>
    <t>MUNICIPALITY OF TAYUG, PANGASINAN</t>
  </si>
  <si>
    <t>UNIVERSITY OF SCIENCE &amp; TECH. OF SOUTHERN PHIL.-CLAVERIA</t>
  </si>
  <si>
    <t>MUNICIPALITY OF PALAPAG, NORTHERN SAMAR</t>
  </si>
  <si>
    <t>MUNICIPALITY OF AGDANGAN, QUEZON</t>
  </si>
  <si>
    <t>DEPARTMENT OF AGRARIAN REFORM - PANGASINAN PROVINCIAL OFFICE</t>
  </si>
  <si>
    <t>MUNICIPALITY OF DINGRAS, ILOCOS NORTE</t>
  </si>
  <si>
    <t>PROVINCE OF CAMIGUIN</t>
  </si>
  <si>
    <t>MUNICIPALITY OF SAN LUIS, AGUSAN DEL SUR</t>
  </si>
  <si>
    <t>DEPARTMENT OF ENVIRONMENT AND NATURAL RESOURCES - REGION XII</t>
  </si>
  <si>
    <t>PHILIPPINE RICE RESEARCH INSTITUTE - AGUSAN</t>
  </si>
  <si>
    <t>METALS INDUSTRY RESEARCH &amp; DEVELOPMENT CENTER</t>
  </si>
  <si>
    <t>BARANGAY  OLOTAN JARO LEYTE</t>
  </si>
  <si>
    <t>ISLAND GARDEN CITY OF SAMAL, DAVAO DEL NORTE</t>
  </si>
  <si>
    <t>MUNICIPALITY OF MANJUYOD, NEGROS ORIENTAL</t>
  </si>
  <si>
    <t>MUNICIPALITY OF STA. CRUZ, ILOCOS SUR</t>
  </si>
  <si>
    <t>MUNICIPALITY OF SANTO DOMINGO, ILOCOS SUR</t>
  </si>
  <si>
    <t>MUNICIPALITY OF SIBULAN, NEGROS ORIENTAL</t>
  </si>
  <si>
    <t>MUNICIPALITY OF BURDEOS, QUEZON</t>
  </si>
  <si>
    <t>MUNICIPALITY OF KIAMBA, SARANGANI</t>
  </si>
  <si>
    <t>LIGA NG MGA BARANGAY BATO, LEYTE CHAPTER</t>
  </si>
  <si>
    <t>MUNICIPALITY OF DIADI, NUEVA VIZCAYA</t>
  </si>
  <si>
    <t>DEPARTMENT OF EDUCATION - DIVISION OF ORMOC CITY</t>
  </si>
  <si>
    <t>BARANGAY PIGCARANGAN, TUBOD, LANAO DEL NORTE</t>
  </si>
  <si>
    <t>MUNICIPALITY OF SIRAWAI, ZAMBOANGA DEL NORTE</t>
  </si>
  <si>
    <t>MUNICIPALITY OF LUNA, APAYAO</t>
  </si>
  <si>
    <t>BARANGAY TUNO, DON VICTORIANO CHIONGBIAN</t>
  </si>
  <si>
    <t>MUNICIPALITY OF TABONTABON, LEYTE</t>
  </si>
  <si>
    <t>BUREAU OF INTERNAL REVENUE - REVENUE REGION NO. 10</t>
  </si>
  <si>
    <t>MUNICIPALITY OF MERCEDES, CAMARINES NORTE</t>
  </si>
  <si>
    <t>MUNICIPALITY OF SAN JACINTO, PANGASINAN</t>
  </si>
  <si>
    <t>BUREAU OF FIRE PROTECTION - REGION I</t>
  </si>
  <si>
    <t>NATIONAL IRRIGATION ADMINISTRATION - EASTERN-WESTERN SAMAR I</t>
  </si>
  <si>
    <t>MUNICIPALITY OF BUENAVISTA, QUEZON</t>
  </si>
  <si>
    <t>MUNICIPALITY OF SARRAT, ILOCOS NORTE</t>
  </si>
  <si>
    <t>CITY OF GUIHULNGAN, NEGROS ORIENTAL</t>
  </si>
  <si>
    <t>MUNICIPALITY OF GUAGUA, PAMPANGA</t>
  </si>
  <si>
    <t>MUNICIPALITY OF STA. RITA, WESTERN SAMAR</t>
  </si>
  <si>
    <t>PHILIPPINE NATIONAL POLICE - REGION IV-B</t>
  </si>
  <si>
    <t>BARANGAY  NAGERONG - LAZI SIQUIJOR</t>
  </si>
  <si>
    <t>MUNICIPALITY OF SAN TEODORO, ORIENTAL MINDORO</t>
  </si>
  <si>
    <t>DEPARTMENT OF PUBLIC WORKS AND HIGHWAYS - ALBAY 1ST DEO</t>
  </si>
  <si>
    <t>NATIONAL IRRIGATION ADMINISTRATION - COMPOSTELA VALLEY</t>
  </si>
  <si>
    <t>PHILIPPINE ARMY (PA)</t>
  </si>
  <si>
    <t>BARANGAY DEL MONTE, TALACOGON, AGUSAN DEL SUR</t>
  </si>
  <si>
    <t>BARANGAY BANI MASINLOC ZAMBALES</t>
  </si>
  <si>
    <t>MUNICIPALITY OF MAYDOLONG, EASTERN SAMAR</t>
  </si>
  <si>
    <t>MUNICIPALITY OF MARIA AURORA, AURORA</t>
  </si>
  <si>
    <t>MUNICIPALITY OF STA. CATALINA, ILOCOS SUR</t>
  </si>
  <si>
    <t>BARANGAY DALONGUE - SANTA BARBARA, PANGASINAN</t>
  </si>
  <si>
    <t>BUREAU OF JAIL MANAGEMENT AND PENOLOGY - CARAGA</t>
  </si>
  <si>
    <t>MUNICIPALITY OF DARAM, SAMAR</t>
  </si>
  <si>
    <t>DEPARTMENT OF PUBLIC WORKS AND HIGHWAYS - NEG. OCC. 1ST DEO</t>
  </si>
  <si>
    <t>DEPARTMENT OF PUBLIC WORKS AND HIGHWAYS - CAPIZ 2ND ED</t>
  </si>
  <si>
    <t>AGRICULTURAL TRAINING INSTITUTE- REGIONAL TRAINING CENTER 6</t>
  </si>
  <si>
    <t>NATIONAL FOOD AUTHORITY  - REGION XII</t>
  </si>
  <si>
    <t>NATIONAL IRRIGATION ADMINISTRATION - REGION VI</t>
  </si>
  <si>
    <t>MUNICIPALITY OF KALAWIT, ZAMBOANGA DEL NORTE</t>
  </si>
  <si>
    <t>BARANGAY SAN DIEGO - LEMERY,ILOILO</t>
  </si>
  <si>
    <t>BARANGAY BACULIN, BAGANGA, DAVAO ORIENTAL</t>
  </si>
  <si>
    <t>BARANGAY MIPUTAK DIPOLOG CITY ZAMBOANGA DEL NORTE</t>
  </si>
  <si>
    <t>BARANGAY CABID-AN, SORSOGON CITY</t>
  </si>
  <si>
    <t>MUNICIPALITY OF BALINGASAG, MISAMIS ORIENTAL</t>
  </si>
  <si>
    <t>MUNICIPALITY OF TALALORA, SAMAR</t>
  </si>
  <si>
    <t>BARANGAY LA VICTORIA - IMELDA ZAMBOANGA SIBUGAY</t>
  </si>
  <si>
    <t>MUNICIPALITY OF CARCAR, CEBU</t>
  </si>
  <si>
    <t>MUNICIPALITY OF LAZI, SIQUIJOR</t>
  </si>
  <si>
    <t>MUNICIPALITY OF DAANBANTAYAN, CEBU</t>
  </si>
  <si>
    <t>BARANGAY CENTRO 02 - TUGUEGARAO CITY, CAGAYAN</t>
  </si>
  <si>
    <t>MINDANAO STATE UNIVERSITY - MARAWI CITY</t>
  </si>
  <si>
    <t>PHILIPPINE PORTS AUTHORITY - PMO MINDORO</t>
  </si>
  <si>
    <t>CAGAYAN STATE UNIVERSITY - PIAT</t>
  </si>
  <si>
    <t>MUNICIPALITY OF OMAR, SULU</t>
  </si>
  <si>
    <t>MUNICIPALITY OF GARCHITORENA, CAMARINES SUR</t>
  </si>
  <si>
    <t>CITY OF LIPA, BATANGAS</t>
  </si>
  <si>
    <t>NATIONAL IRRIGATION ADMINISTRATION - REGIONAL OFFICE NO. 2</t>
  </si>
  <si>
    <t>MUNICIPALITY OF LANGIDEN, ABRA</t>
  </si>
  <si>
    <t>PHILIPPINE HEALTH INSURANCE CORPORATION - REGION IV-B</t>
  </si>
  <si>
    <t>MUNICIPAL GOVERNMENT OF SABLAN, BENGUET</t>
  </si>
  <si>
    <t>MUNICIPALITY OF CATMON, CEBU</t>
  </si>
  <si>
    <t>MUNICIPALITY  OF BANATE, ILOILO</t>
  </si>
  <si>
    <t>SOMBITO ELEMENTARY SCHOOL</t>
  </si>
  <si>
    <t>DEPARTMENT OF TRANSPORTATION (DOTR) MAIN</t>
  </si>
  <si>
    <t>MUNICIPALITY OF CONNER, APAYAO</t>
  </si>
  <si>
    <t>NATIONAL FOOD AUTHORITY - REGION XI</t>
  </si>
  <si>
    <t>CARAGA REGIONAL HOSPITAL</t>
  </si>
  <si>
    <t>NATIONAL IRRIGATION ADMINISTRATION - REGION IV-B</t>
  </si>
  <si>
    <t>BARANGAY SABANGAN - SAN JUAN, ILOCOS SUR</t>
  </si>
  <si>
    <t>MUNICIPALITY OF SAN ISIDRO, ABRA</t>
  </si>
  <si>
    <t>MUNICIPALITY OF REINA MERCEDES, ISABELA</t>
  </si>
  <si>
    <t>BINUGAO NATIONAL HIGH SCHOOL</t>
  </si>
  <si>
    <t>BARANGAY POLO - NEW WASHINGTON AKLAN</t>
  </si>
  <si>
    <t>MUNICIPALITY OF BALASAN, ILOILO</t>
  </si>
  <si>
    <t>ENVIRONMENTAL MANAGEMENT BUREAU REGION VI</t>
  </si>
  <si>
    <t>BARANGAY OWAK, HILONGOS, LEYTE</t>
  </si>
  <si>
    <t>MUNICIPALITY OF LIBACAO, AKLAN</t>
  </si>
  <si>
    <t>PALOMPON INSTITUTE OF TECHNOLOGY</t>
  </si>
  <si>
    <t>ABRA STATE INSTITUTE OF SCIENCES AND TECHNOLOGY - BANGUED</t>
  </si>
  <si>
    <t>MUNICIPALITY OF SAN ENRIQUE, NEGROS OCCIDENTAL</t>
  </si>
  <si>
    <t>FOREST MANAGEMENT BUREAU ,DENR</t>
  </si>
  <si>
    <t>NATIONAL MUSEUM - MANILA METRO MANILA</t>
  </si>
  <si>
    <t>CIVIL AVIATION AUTHORITY OF THE PHILIPPINES</t>
  </si>
  <si>
    <t>NATIONAL FOOD AUTHORITY - REGION III</t>
  </si>
  <si>
    <t>COAST GUARD EDUCATION TRAINING AND DOCTRINE COMMAND -PCG</t>
  </si>
  <si>
    <t>MUNICIPALITY OF SAN VICENTE, ILOCOS SUR</t>
  </si>
  <si>
    <t>PHILIPPINE HEALTH INSURANCE CORPORATION</t>
  </si>
  <si>
    <t>PHILIPPINE STATISTICS AUTHORITY - REGION VI</t>
  </si>
  <si>
    <t>DEPARTMENT OF EDUCATION - DIVISION OF CALAMBA CITY</t>
  </si>
  <si>
    <t>DEPARTMENT OF TOURISM - REGION VIII</t>
  </si>
  <si>
    <t>DEPARTMENT OF PUBLIC WORKS AND HIGHWAYS - ZAMBOANGA CITY DEO</t>
  </si>
  <si>
    <t>DEPARTMENT OF PUBLIC WORKS AND HIGHWAYS - SIQUIJOR DEO</t>
  </si>
  <si>
    <t>DEPARTMENT OF PUBLIC WORKS AND HIGHWAYS - BACOLOD CITY DEO</t>
  </si>
  <si>
    <t>BARANGAY BALINGAENG, DAVAO CITY</t>
  </si>
  <si>
    <t>CREDIT INFORMATION CORPORATION</t>
  </si>
  <si>
    <t>SCIENCE EDUCATION INSTITUTE</t>
  </si>
  <si>
    <t>DEPARTMENT OF LABOR AND EMPLOYMENT - REGION VIII</t>
  </si>
  <si>
    <t>UNIVERSITY OF THE PHILIPPINES - MINDANAO</t>
  </si>
  <si>
    <t>MUNICIPALITY OF SANTA BARBARA, PANGASINAN</t>
  </si>
  <si>
    <t>SAN FRANCISCO WATER DISTRICT</t>
  </si>
  <si>
    <t>DEPARTMENT OF PUBLIC WORKS AND HIGHWAYS - METRO MANILA 2ND D</t>
  </si>
  <si>
    <t>LAND MANAGEMENT BUREAU</t>
  </si>
  <si>
    <t>TOURISM INFRASTRUCTURE AND ENTERPRISE ZONE AUTHORITY</t>
  </si>
  <si>
    <t>PHILIPPINE AMUSEMENT AND GAMING CORPORATION-DAVAO</t>
  </si>
  <si>
    <t>PHILIPPINE AMUSEMENT AND GAMING CORPORATION-ANGELES</t>
  </si>
  <si>
    <t>MUNICIPALITY OF ASINGAN, PANGASINAN</t>
  </si>
  <si>
    <t>PHILIPPINE AMUSEMENT AND GAMING CORPORATION-HYATT</t>
  </si>
  <si>
    <t>RAMON MAGSAYSAY TECHNOLOGICAL UNIVERSITY</t>
  </si>
  <si>
    <t>DEVELOPMENT BANK OF THE PHILIPPINES - RMC-WESTERN MINDANAO</t>
  </si>
  <si>
    <t>PROVINCE OF APAYAO</t>
  </si>
  <si>
    <t>DEPARTMENT OF ENVIRONMENT AND NATURAL RESOURCES - RIV-A</t>
  </si>
  <si>
    <t>MUNICIPALITY OF KAWIT,CAVITE</t>
  </si>
  <si>
    <t>UNIVERSITY OF THE PHILIPPINES - CEBU</t>
  </si>
  <si>
    <t>NATIONAL POWER CORPORATION - SPUG VISAYAS</t>
  </si>
  <si>
    <t>DEPARTMENT OF EDUCATION - DIVISION OF MARINDUQUE</t>
  </si>
  <si>
    <t>HOME DEVELOPMENT MUTUAL FUND - CALOOCAN BRANCH</t>
  </si>
  <si>
    <t>HOME DEVELOPMENT MUTUAL FUND - REGION VII</t>
  </si>
  <si>
    <t>DEPARTMENT OF FOREIGN AFFAIRS - MAIN</t>
  </si>
  <si>
    <t>MAYOR HILARION A. RAMIRO SR. REGIONAL TRNG &amp; TEACHING HOSP.</t>
  </si>
  <si>
    <t>NATIONAL HOUSING AUTHORITY REGION 4 - QUEZON CITY METRO MANI</t>
  </si>
  <si>
    <t>AUTHORITY OF THE FREEPORT AREA OF BATAAN</t>
  </si>
  <si>
    <t>SAN PABLO CITY WATER DISTRICT</t>
  </si>
  <si>
    <t>NATIONAL PRIVACY COMMISSION</t>
  </si>
  <si>
    <t>DEPARTMENT OF EDUCATION - DIVISION OF LANAO DEL NORTE</t>
  </si>
  <si>
    <t>BUREAU OF FIRE PROTECTION - REGION V</t>
  </si>
  <si>
    <t>WEST VISAYAS STATE UNIVERSITY</t>
  </si>
  <si>
    <t>NATIONAL DEVELOPMENT COMPANY</t>
  </si>
  <si>
    <t>PHILIPPINE AMUSEMENT AND GAMING CORPORATION-PAVILION</t>
  </si>
  <si>
    <t>NATIONAL IRRIGATION ADMINISTRATION - BBMP</t>
  </si>
  <si>
    <t>NATIONAL IRRIGATION ADMINISTRATION -CAUAYAN CITY ISABELA</t>
  </si>
  <si>
    <t>BARANGAY CATO-OGAN TOBIAS FORNIER ANTIQUE</t>
  </si>
  <si>
    <t>DEPARTMENT OF PUBLIC WORKS AND HIGHWAYS - CARAGA</t>
  </si>
  <si>
    <t>DEPARTMENT OF NATIONAL DEFENSE - PROCUREMENT UNIT</t>
  </si>
  <si>
    <t>BARANGAY POTOL - DAPITAN CITY ZAMBOANGA DEL NORTE</t>
  </si>
  <si>
    <t>Supply and Deliver of Outdoor Air Quality Test Kit (Starter)</t>
  </si>
  <si>
    <t>Procurement of Thirteen (13) Units High Speed Color Document Scanner, Brand New</t>
  </si>
  <si>
    <t>REHABILITATION OF LOCAL ROAD OF BRGY. BALIUAG VIEJO AT ZONE ZONE 2</t>
  </si>
  <si>
    <t>REHABILITATION OF LOCAL ROAD OF BRGY. BALIUAG VIEJO AT ZONE ZONE 4B</t>
  </si>
  <si>
    <t>Hiring of 2 Agency Security Guards</t>
  </si>
  <si>
    <t>Consulting Services for Cabacanan Small Reservoir Irrigation Project-Detailed Engineering</t>
  </si>
  <si>
    <t>PRE-BID CONFERENCE 23/June/2020 - Procurement of Goods: Supply and Installation of Panoramic/Scenic ELEVATOR for the use of CMO (Const'n &amp; Maint. of City Hall Bldg. of Tagum) (PR#100-20-06-0032)</t>
  </si>
  <si>
    <t>REHABILITATION OF LOCAL ROAD OF BRGY. BALIUAG VIEJO AT ZONE ZONE 3</t>
  </si>
  <si>
    <t>Purchase of various Medicine and Medical Supplies</t>
  </si>
  <si>
    <t>Supply and Delivery of 20 Gal. Gasoline Engine Oil &amp; Other Item; PR No. 20-1339 dated April 23, 2020</t>
  </si>
  <si>
    <t>Supply and Delivery of 1 Unit Hardware Firewall, License, 2 years &amp; Other Items; PR No. 20-1338 dated March 23, 2020</t>
  </si>
  <si>
    <t>PROCUREMENT OF VARIOUS MEDICAL EQUIPMENT (DIGITAL MASS CHEST RADIOGRAPHY, NAVIGATIONAL BRONCHOSCOPE, ELECTROSURGICAL MACHINE WITH ADVANCED VESSEL SEALING MODULE, CARDIOPULMONARY EXERCISE TEST MACHINE,</t>
  </si>
  <si>
    <t>Agricultural Products (Seeds, Seedlings, Plants..) to be used during the conduct of Webinar Episodes on Common Insect Pests in Vegetables and Common Diseases</t>
  </si>
  <si>
    <t>Rehabilitation of Brgy. Madanding FMR</t>
  </si>
  <si>
    <t>Supply and Delivery of 1 Unit Clutch Lining &amp; Other Items; PR No. 20-1298 dated April 21, 2020</t>
  </si>
  <si>
    <t>REHABILITATION OF LOCAL ROAD OF BRGY. BALIUAG VIEJO AT ZONE 1</t>
  </si>
  <si>
    <t>CNH-0320-032</t>
  </si>
  <si>
    <t>Supply and Delivery of 1 Pc. Ball Stud #23B-27-31580 &amp; Other Items; PR No. 20-1302 dated January 6, 2020</t>
  </si>
  <si>
    <t>Supply &amp; delivery of 4 Unit Pressure Washer &amp; other items; PR No. 20-1385 dated May 29, 2020</t>
  </si>
  <si>
    <t>Procurement of Office Supplies - June 2020</t>
  </si>
  <si>
    <t>Tawi-Tawi LHIO Office Equipment -Air Con</t>
  </si>
  <si>
    <t>PPD-20-043 NP3 (SV)</t>
  </si>
  <si>
    <t>Repair &amp; Construction of WWS, Bonnong-Taga, Pinukpuk</t>
  </si>
  <si>
    <t>20GFO0014 - Purchase of One (1) Set - Portable Weigh-in-Motion (WIM) Axle Weigher, for Use in Axle Load Survey Program of DPWH Albay 3rd DEO, Paulog, Ligao City</t>
  </si>
  <si>
    <t>Supply and Delivery of Office Equipment</t>
  </si>
  <si>
    <t>Catering services to be served during the conduct of ATI Staff Monthly Meeting, MANCOMM, and other activities of the center from July 2020-December 2020</t>
  </si>
  <si>
    <t>INFORMATION &amp; COMMUNICATION TECHNOLOGY EQUIPMENT</t>
  </si>
  <si>
    <t>Construction of WWS, Podpod-Paddig to ES Baclas, Apatan, Pinukpuk</t>
  </si>
  <si>
    <t>Completion of Day Center</t>
  </si>
  <si>
    <t>20GFO0015 - Supply and Delivery of Materials for Work Cat. 10: Activity 122 - Cracks and Joint of Concrete Pavement along National Roads within the 3rd District of Albay</t>
  </si>
  <si>
    <t>Procurement of Petroleum</t>
  </si>
  <si>
    <t>Printing services to be used during the conduct of Webinar Episodes on Common Insect Pests in Vegetables and Common Diseases</t>
  </si>
  <si>
    <t>Office Supplies and Devices to be used during the conduct of Webinar Episodes on Common Insect Pests in Vegetables and Common Diseases</t>
  </si>
  <si>
    <t>SUPPLY AND DELIVERY OF OFFICE SUPPLIES AND ACCESSORIES FOR MGB-X APP CSE 2020 PART I.</t>
  </si>
  <si>
    <t>Procurement of Male Condom</t>
  </si>
  <si>
    <t>Procurement of Lynestrenol</t>
  </si>
  <si>
    <t>Supply &amp; delivery of 510 Vials Rabies Vaccine; PR No. 20-1380 dated May 22, 2020</t>
  </si>
  <si>
    <t>Procurement of Multivitamins with Inositol</t>
  </si>
  <si>
    <t>Procurement of Personal Protective Equipment</t>
  </si>
  <si>
    <t>Procurement of Medical Supplies Lot 1</t>
  </si>
  <si>
    <t>Purchase of various electrical supplies for installation of lighting system at 94th Infantry Batallion Army Detachment at Bry. Tambo, Ayungon, Negros Oriental -electrical works</t>
  </si>
  <si>
    <t>Purchase of Cudgel to be used at Various Barangays in Mangatarem, Pangasinan</t>
  </si>
  <si>
    <t>Reblocking of St. Bernard Municipal Road, Barangay Himatagon, St. Bernard, Southern Leyte</t>
  </si>
  <si>
    <t>Procurement of School Supplies of Miluya ES</t>
  </si>
  <si>
    <t>Completion/Concreting of Barangay Road, Brgy. Lumbog, Hinunangan, Southern Leyte</t>
  </si>
  <si>
    <t>Construction of Magaupas River Control, Barangay Magaupas, Liloan, Southern Leyte</t>
  </si>
  <si>
    <t>Procurement of 1 Lot Meals &amp; Snacks; PR No. 20-1212 dated March 23, 2020</t>
  </si>
  <si>
    <t>Rehabilitation of Spring Development Project, Barangay Mahayag, St. Bernard, Southern Leyte</t>
  </si>
  <si>
    <t>INVITATION TO BID FOR THE PROCUREMENT OF BOOKS FOR THE UNIVERSITY LIBRARY OF THE LAGUNA STATE POLYTECHNIC UNIVERSITY MAIN CAMPUS</t>
  </si>
  <si>
    <t>Completion of Cabul-anonan Seawall, Barangay Cabul-anonan, Malitbog, Southern Leyte</t>
  </si>
  <si>
    <t>REBID-ELECTRIFICATION OF UN-ENERGIZED SCHOOLS AND MODERNIZATION OF ELECTRICAL SYSTEMS ON-GRID SCHOOLS AT JUDGE JOSE DE VENECIA, SR. TECHNICAL-VOCATIONAL SECONDARY SCHOOL</t>
  </si>
  <si>
    <t>Rehabilitation of Barangay Pandan Multi-Purpose Building, Barangay Pandan, Liloan, Southern Leyte</t>
  </si>
  <si>
    <t>REBID-ELECTRIFICATION OF UN-ENERGIZED SCHOOLS AND MODERNIZATION OF ELECTRICAL SYSTEMS ON-GRID SCHOOLS AT BONUAN BOQUIG NHS</t>
  </si>
  <si>
    <t>ELECTRIFICATION OF UN-ENERGIZED SCHOOLS AND MODERNIZATION OF ELECTRICAL SYSTEMS ON-GRID SCHOOLS AT CARAEL NATIONAL HIGH SCHOOL</t>
  </si>
  <si>
    <t>Construction of San Ramon CHB Canal, Barangay San Ramon, Bontoc, Southern Leyte</t>
  </si>
  <si>
    <t>Construction of Multi-Purpose Hall, Barangay San Antonio, Tomas Oppus, Southern Leyte, Southern Leyte</t>
  </si>
  <si>
    <t>Fabrication &amp; Installation of PAIASO Shelves, Capitol Site, Asuncion, Maasin City, Southern Leyte</t>
  </si>
  <si>
    <t>Provision of Outdoor Facilities (Physical Activity Equipment) and Construction of Perimeter Fence Phase 2 - Outdoor Facilities</t>
  </si>
  <si>
    <t>Supply and Delivery of Various CI Fittings</t>
  </si>
  <si>
    <t>CONSTRUCTION OF EVACUATION CENTER PHASE 4</t>
  </si>
  <si>
    <t>Purchase of Drone Camera</t>
  </si>
  <si>
    <t>Purchase of Fuel (Diesel) –  Municipal Health Office</t>
  </si>
  <si>
    <t>MG-A5M20-076 ( PAINT, EPOXY, COMPONENT A&amp;B + 2 ITEMS )</t>
  </si>
  <si>
    <t>20CSN012; CONSULTING SERVICES FOR THE GEOTECHNICAL AND GEOLOGICAL SURVEY/ INVESTIGATIONS FOR THE CONSTRUCTION OF STA. JOSEFA BRIDGE (PARALLEL) ALONG NRJ CUEVAS- SAMPAGUITA ROAD, AGUSAN DEL SUR</t>
  </si>
  <si>
    <t>Concreting of Dagsa Barangay Road, Barangay Dagsa, Sogod, Southern Leyte</t>
  </si>
  <si>
    <t>Purchase of Fuel (Diesel) –  Office of the Municipal Mayor</t>
  </si>
  <si>
    <t>Construction of Canopy of Covered Court, Barangay Cantutang, Padre Burgos, Southern Leyte</t>
  </si>
  <si>
    <t>Concreting of Barangay Road</t>
  </si>
  <si>
    <t>P.R. No. X11-20-04-194 - Supply and Delivery for the use of Ford Ranger Pick-up, H1-5972 (100803/ABB-7023), assigned at EMD</t>
  </si>
  <si>
    <t>Concreting of Pandan Road, Barangay Pandan, Sogod, Southern Leyte</t>
  </si>
  <si>
    <t>Supply and Delivery of 3 Pieces CCTV NVR &amp; Other Items; PR No. 20-1243 dated April 4, 2020</t>
  </si>
  <si>
    <t>Concreting of Soro-Soro-Hanginan Barangay Road, Maasin City, Southern Leyte</t>
  </si>
  <si>
    <t>Construction of Ilihan Concrete Pavement, Barangay Ilihan, Macrohon, Southern Leyte</t>
  </si>
  <si>
    <t>Supply and delivery of hardware materials use for the Construction of Multi Purpose Building, Sidaga</t>
  </si>
  <si>
    <t>P.R. No. X4-20-03-137 - Supply and Delivery for the use in the Construction Division</t>
  </si>
  <si>
    <t>Continuation of Naguilian Flood Control (remaining item of the original POW)</t>
  </si>
  <si>
    <t>P.R. No. X11-20-02-104 - Supply and Delivery for the repair and maintenance of Mitsubishi Montero, H1-7670 (B5-G363) assigned at COA</t>
  </si>
  <si>
    <t>CONSTRUCTION OF STORM DRAINAGE (Butao)</t>
  </si>
  <si>
    <t>Construction of Material Recovery Facilities of Barangay Ambacon</t>
  </si>
  <si>
    <t>Installation of 6 Units Solar Street Light of Barangay Poblacion</t>
  </si>
  <si>
    <t>Procurement of Various Office Supplies</t>
  </si>
  <si>
    <t>Supply &amp; delivery of 10 Packs Cotton Pledget &amp; other items; PR No. 20-0799 dated March 10, 2020</t>
  </si>
  <si>
    <t>PR-2020-1190 Five (5) Units Misting Machine (Rebid)-PHO</t>
  </si>
  <si>
    <t>Vehicle Repair and Maintenance SHS 193</t>
  </si>
  <si>
    <t>Installation of 6 Units Solar Street Light of Barangay Malicato</t>
  </si>
  <si>
    <t>GEPS2006-003</t>
  </si>
  <si>
    <t>Request for Quotation for the Provision of Transportation services to ferry ATI staff and participants on official business for the month of July to September 2020.</t>
  </si>
  <si>
    <t>UPGRADING OF POBLACION-MADALAPANG FMR</t>
  </si>
  <si>
    <t>Construction of 2 Units Material Recovery Facilities at Elementary and High School of Brgy. Marcos Calo</t>
  </si>
  <si>
    <t>PR-2020-1189 Airconditioning Units (Rebid)-SPO</t>
  </si>
  <si>
    <t>Purchase of 216 Half Sacks of Rice</t>
  </si>
  <si>
    <t>PR-2020-0783 One (1) Unit Multi-Commodity Solar Tunnel Dryer &amp; Seven (7) Units Fiber Glass Fish Holding Tanks(Negotiated)-PAO</t>
  </si>
  <si>
    <t>PR-2020-1268 Drugs &amp; Medicines-Fluids-CDH</t>
  </si>
  <si>
    <t>YMANDAYA VILLAGE REPLICA FACILITIES</t>
  </si>
  <si>
    <t>Completion of Solar Dryer of P-5 &amp; P-6 of Barangay Bonifacio</t>
  </si>
  <si>
    <t>GEPS2006-004</t>
  </si>
  <si>
    <t>PR-2020-0350 Two (2) units Brand new Pick-Up (Renegotiated)-PDRRMO</t>
  </si>
  <si>
    <t>PROVISION OF 12 UNITS OF LED TV</t>
  </si>
  <si>
    <t>PR-2020-0734 One (1)  Unit Brand new Four Wheel Drive (FWD) Tractor (Negotiated)-PAO</t>
  </si>
  <si>
    <t>IMPROVEMENT OF MULTI-PURPOSE BUILDING - CARONOAN- SAN  JUAN, ILOCOS SUR</t>
  </si>
  <si>
    <t>RFQ - Maintenance (Rosa Bus)</t>
  </si>
  <si>
    <t>PR 1-20-03-0437, TO BE USED FOR VARIOUS FOOTBALL ACTIVITIES 2020.</t>
  </si>
  <si>
    <t>PR 1-20-03-0429, TO BE USED AT THE BUSINESS TAX &amp; OTHER FEES DIVISION, CITY TREASURER'S OFFICE.</t>
  </si>
  <si>
    <t>PR-2020-0665 Portable Anthropometric Tool (Renegotiated)-PSWDO</t>
  </si>
  <si>
    <t>PR-2020-0465 IT Equipment (Renegotiated)-PDRRMO</t>
  </si>
  <si>
    <t>SABANGAN ROAD OPENING</t>
  </si>
  <si>
    <t>NOTICE TO CONDUCT FOR  PROCUREMENT OF LOT # 3 AND LOT # 4 OF REPAIR AND MAINTENANCE MATERIALS FOR BALINGASAG WATER DISTRICT</t>
  </si>
  <si>
    <t>PR 1-20-03-0497, FOR THE USE OF GUESTS, FACILITATORS AND VISITORS OF THE PUBLIC EMPLOYMENT SERVICE OFFICE, THIS CITY.</t>
  </si>
  <si>
    <t>PR 1-20-01-0118, TO BE USED FOR VARIOUS SPORTS ACTIVITIES.</t>
  </si>
  <si>
    <t>PR 1-20-03-0482, FOR USE AT THE OFFICE OF THE CITY AGRICULTURIST, THIS CITY.</t>
  </si>
  <si>
    <t>PR 1-20-02-0402, FOR USE DURING THE LOCALIZED BARANGAY SEARCH FOR SEAL OF GOOD ENVIRONMENTAL GOVERNANCE YEAR I - EVALUATION ON MAY 25 - 29, 2020 OF CITY ENVIRONMENT MANAGEMENT OFFICE, CEMO, THIS CITY.</t>
  </si>
  <si>
    <t>PR 1-20-03-0473, FOR USE OF THE LAW ENFORCEMENT TEAM - CITY LEGAL OFFICE, THIS CITY.</t>
  </si>
  <si>
    <t>PR 1-20-03-0490, TO BE USED FOR VARIOUS FOOTBALL ACTIVITIES 2020.</t>
  </si>
  <si>
    <t>Opening of Road Naguilian Cemetery</t>
  </si>
  <si>
    <t>ITB-140 Installation of Fire Sprinkler, Fire Detection and Alarm System,  Nasipit District Hospital, Nasipit, Agusan del Norte (REBID)</t>
  </si>
  <si>
    <t>: Supply and Delivery of Furnitures and Fixtures for the use of CMO-Local Public Transport Route Plan</t>
  </si>
  <si>
    <t>Calibration of Dialysis Machine at Ziga Memorial District Hospital (PR NO. 100(01)20-05-1100)</t>
  </si>
  <si>
    <t>PR 1-20-03-0489, FOR USE OF THE STREET SWEEPERS, GARBAGE COLLECTORS AND SEGREGATORS, CEMO, THIS CITY.</t>
  </si>
  <si>
    <t>PR-2020-0352 One (1) Unit Brand new Ambulance Van Type (Renegotiated)-PDRRMO</t>
  </si>
  <si>
    <t>construction of stock room</t>
  </si>
  <si>
    <t>INVITATION TO BID FOR PROVISION OF SECURITY SERVICES FOR 2020</t>
  </si>
  <si>
    <t>RFQ for Hardware Supplies of IQA Office</t>
  </si>
  <si>
    <t>Fabrication of Twenty (20) Units Mechanical Coupling 150mm (6") for the jointing of B.I. Pipe 6" to uPVC Pipe 6" for Silay City Water District</t>
  </si>
  <si>
    <t>SUPPLY AND DELIVERY OF METER READING GADGET</t>
  </si>
  <si>
    <t>PR 1-20-03-0487, FOR USE OF OFFICE OF THE BUILDING OFFICIAL, CITY ENGINEERING DEPARTMENT.</t>
  </si>
  <si>
    <t>Procurement of Furniture and Fixtures</t>
  </si>
  <si>
    <t>NEGOTIATED PROCUREMENT  OF WATER METER CLUSTERING</t>
  </si>
  <si>
    <t>CHEST FREEZER</t>
  </si>
  <si>
    <t>Road Gravelling at Barangay Durian</t>
  </si>
  <si>
    <t>INVITATION TO BID FOR PURCHASE OF COMMON OFFICE SUPPLIES FOR F.Y. 2020</t>
  </si>
  <si>
    <t>Representation Expenses (CYBER-PhP138,000.00)</t>
  </si>
  <si>
    <t>PR 1-20-03-0515, FOR THE USE OF PUBLIC EMPLOYMENT SERVICE OFFICE SAN CARLOS CITY LOCAL GOVERNMENT UNIT TRAINING CENTER.</t>
  </si>
  <si>
    <t>Procurement of Vehicle Spare Parts &amp; Labor - OVG/OSP</t>
  </si>
  <si>
    <t>Office Supplies</t>
  </si>
  <si>
    <t>Purchase of Office Supplies for use at Provincial General Services Office (PR NO. 100(01)20-02-0356)</t>
  </si>
  <si>
    <t>Construction of Material Recovery Facilities Building of Barangay Katipunan</t>
  </si>
  <si>
    <t>Installation of New Steel Pipelines that Crosses the Imbang Bridge located at Brgy. E. Lopez for Silay City Water District</t>
  </si>
  <si>
    <t>1-20-03-0501, FOR USE OF THE PEOPLE’S PARK MANAGEMENT OFFICE, THIS CITY.</t>
  </si>
  <si>
    <t>Construction of Drainage Canal at Purok 1 &amp; Purok 1A of Barangay Pinana-an</t>
  </si>
  <si>
    <t>Procurement of Vehicle Spare Parts - OSP</t>
  </si>
  <si>
    <t>Completion of Asinan-San Isidro Multi-Purpose Drying Pavement of Barangay San Isidro</t>
  </si>
  <si>
    <t>Road Concreting from Purok 1A to Purok 2 of Barangay San Roque</t>
  </si>
  <si>
    <t>Procurement of Vehicle Spare Parts &amp; Labor - PDRRMO</t>
  </si>
  <si>
    <t>Construction of Box Culvert of Barangay E.G. Montilla</t>
  </si>
  <si>
    <t>Road Gravelling at Barangay Lingayao</t>
  </si>
  <si>
    <t>RFQ for Hardware and Construction Supplies of Campus Director's Office</t>
  </si>
  <si>
    <t>PR 1-20-04-0526, FOR USE OF FUSO CANTER# 2 SHW 643 &amp; MINI DUMPTRUCK SJL 848 ASSIGNED AT CED, THIS CITY.</t>
  </si>
  <si>
    <t>Road Concreting of Barangay Road of Barangay Casiklan</t>
  </si>
  <si>
    <t>Office Supplies , Equipment and consumables</t>
  </si>
  <si>
    <t>Procurement of Catering Services &amp; Venue - Lot 1 - Catering services - PDRRMO</t>
  </si>
  <si>
    <t>Construction of Rain Collector of Barangay Rosario</t>
  </si>
  <si>
    <t>Rehabilitation of Multi-Purpose Building of Barangay Ibuan</t>
  </si>
  <si>
    <t>PR 1-20-03-0517, REPAIR AND MAINTENANCE OF VARIOUS ROAD NETWORKS W/IN BRGY PROSPERIDAD 1ST QUARTER.</t>
  </si>
  <si>
    <t>PR 1-20-05-0586, FOR USE OF VARIOUS VEHICLES ASSIGNED IN SANITATION &amp; ENVIRONMENTAL PROTECTION PROGRAM, CITY ENVIRONMENT MANAGEMENT OFFICE CEMO, THIS CITY.</t>
  </si>
  <si>
    <t>SUPPLY AND DELIVERY OF VARIOUS PIPES AND FITTINGS, AND CONSTRUCTION MATERIALS</t>
  </si>
  <si>
    <t>Procurement of Catering Services &amp; Venue - Lot 2 - Venue - PDRRMO</t>
  </si>
  <si>
    <t>PR 1-20-05-0603, FOR THE USE OF THE INFORMATION OFFICE.</t>
  </si>
  <si>
    <t>PR 9-20-04-0533, FOR THE USE OF SAN CARLOS CITY HOSPITAL, THIS CITY.</t>
  </si>
  <si>
    <t>Improvements of Multi-Purpose Hall of Barangay Maningalao</t>
  </si>
  <si>
    <t>PR 1-20-04-0551, FOR USE IN DISPERSAL AND UPGRADING OF SMALL FARM ANIMALS, CITY AGRICULTURE OFFICE, THIS CITY.</t>
  </si>
  <si>
    <t>PR 4-20-06-0634, THIS PROJECT INCLUDES, THE PROCURMENT OF VARIOUS MATERIALS TO BE USED FOR URBAN AND RURAL WATER SYSTEM, THIS CITY.</t>
  </si>
  <si>
    <t>PR 1-20-06-0631, FOR USE IN THE ELECTRICAL SERVICES , CED, THIS CITY (BOOMTRUCK # 1, BOOMTRUCK # 2 , GENSET, PORTABLE GENERATOR AND PORTABLE WELDING MACHINE).</t>
  </si>
  <si>
    <t>PR 18-20-04-0550, ROAD CONCRETING OF ROADWAYS &amp; IMPROVEMENT OF DRAINAGE WITH SIDEWALK OF ALL INTERIOR ROADS OF STAGES 1 &amp; 2 OF URBAN RELOCATION SITE, PHASE 4.</t>
  </si>
  <si>
    <t>PR 2-20-03-0492, FOR USE OF PUBLIC TRANSPORT TERMINAL OFFICE, THIS CITY.</t>
  </si>
  <si>
    <t>PR 1-20-04-0532, FOR USE OF TRAFFIC ENFORCER’S UNIFORM SAN CARLOS CITY NEG. OCC.</t>
  </si>
  <si>
    <t>PR 1-20-06-0649, FOR USE IN THE  ELECTRICAL SERVICES, (CED ) THIS CITY.</t>
  </si>
  <si>
    <t>20ID0070 - Construction of Multi-Purpose Building,Brgy. Bagong Lipunan, Carigara,Leyte</t>
  </si>
  <si>
    <t>PR 4-20-03-0461, FOR USE OF  FORD RANGER XLS (PICK-UP STYLE) ASSIGNED AT CWD , THIS CITY.</t>
  </si>
  <si>
    <t>Repair &amp; Maintenance of Reservoir PS &amp; Conduit - AWAS</t>
  </si>
  <si>
    <t>PR 1-20-06-0659, FOR USE IN ANIMAL DISEASE CONTROL PROGRAM, CITY AGRICULTURE OFFICE, THIS CITY.</t>
  </si>
  <si>
    <t>Provision of labor, materials, equipment rentals and other incidentals needed for the Repair/Rehabilitation of Israel Type Greenhouse at Ilocos Norte Research &amp; Experiment Center, MMMSU Compound, Tabu</t>
  </si>
  <si>
    <t>PR 401-20-03-0453, FOR USE OF THE VARIOUS WATER INFRASTUCTURE PROJECTS OF THE CITY IN COMPLIANCE TO EXISTING ENVIRONMENTAL LAWS AND ADMINISTRATIVE ORDERS.</t>
  </si>
  <si>
    <t>SUPPLY AND DELIVERY OF VARIOUS PIPES AND FITTINGS, AND VARIOUS CONSTRUCTION MATERIALS</t>
  </si>
  <si>
    <t>Provision of labor, materials, equipment rentals and other incidentals needed for the Reconstruction of Screenhouse at DA-INREC, Dingras Station, Brgy. Cali, Dingras, Ilocos Norte</t>
  </si>
  <si>
    <t>PR 1-20-06-0657, FOR USE IN VEGETABLE PRODUCTION PROGRAM, CITY AGRICULTURE OFFICE, THIS CITY.</t>
  </si>
  <si>
    <t>Motor Vehicle Maintenance - Mits. FB L300/SJL-591 (DepEd) and Mits. FB L300/SJL-594 (DepEd)</t>
  </si>
  <si>
    <t>Provision of labor, materials, equipment rentals and other incidentals needed for the Rehabilitation &amp; Enhancement of Mango Seedling Nursery at DA-INREC, Dingras, Ilocos Norte</t>
  </si>
  <si>
    <t>Provision of labor, materials, equipment rentals and other incidentals needed for the Reconstruction of Screenhouse at DA-PREC, Sual, Pangasinan</t>
  </si>
  <si>
    <t>Procurement of Vehicle Spare Parts &amp; Labor - PGO</t>
  </si>
  <si>
    <t>PR 401-20-03-0494, FOR USE OF THE CONSTRUCTION OF SIPAWAY ISLAND WASTEWATER TREATMENT FACILITY AND DRANAGE SYSTEM PHASE II AT BRGY. SAN JUAN, CITY ENVIRONMENT MANAGEMENT OFFICE,CEMO, THIS CITY.</t>
  </si>
  <si>
    <t>Supply &amp; Delivery of Office Supplies</t>
  </si>
  <si>
    <t>Procurement of Various IT Equipment and Supplies - OVG</t>
  </si>
  <si>
    <t>Supply &amp; Delivery of Housekeeping Supply</t>
  </si>
  <si>
    <t>Procurement of Various IT Equipment - ADMIN &amp; PSAO</t>
  </si>
  <si>
    <t>Procurement of Office Supplies - June 2020 - JHS</t>
  </si>
  <si>
    <t>PROCUREMENT OF MATERIALS AND EQUIPMENT FOR DISASTER PREPAREDNESS BARANGAY CANDANA-AY, AYUNGON, NEGROS ORIENTAL</t>
  </si>
  <si>
    <t>S &amp; D of Medical Supplies (PHO)</t>
  </si>
  <si>
    <t>Procurement of Various Office Supplies  - SOYMPH</t>
  </si>
  <si>
    <t>Procurement of Engine Oil, Oil Filter &amp; Labor - PGO</t>
  </si>
  <si>
    <t>Procurement of Vehicle Spare Parts - SDH</t>
  </si>
  <si>
    <t>Procurement of Housekeeping Supplies - PDH</t>
  </si>
  <si>
    <t>Procurement of Medical/Hospital Equipment  - ADH</t>
  </si>
  <si>
    <t>Supply &amp; Delivery of Vehicle Battery</t>
  </si>
  <si>
    <t>Procurement of Kitchen Equipment - SOYMPH</t>
  </si>
  <si>
    <t>Procurement of Vehicle Spare Parts - PEO ENGINEERING</t>
  </si>
  <si>
    <t>Supply &amp; Delivery of Hardware Supplies</t>
  </si>
  <si>
    <t>Supply &amp; Delivery of Animal Feeds Lot 1</t>
  </si>
  <si>
    <t>Procurement of Vehicle Spare Parts - PENRMO</t>
  </si>
  <si>
    <t>Supply &amp; Delivery of Bangus Fry (Lot 2)</t>
  </si>
  <si>
    <t>Procurement of Electrical Supplies  - PENRMO</t>
  </si>
  <si>
    <t>Supply &amp; Delivery Fruits Plant</t>
  </si>
  <si>
    <t>Supply &amp; Delivery of Office Equipment Lot 4</t>
  </si>
  <si>
    <t>Supply &amp; Delivery of State Grease Bgone Lot 5A</t>
  </si>
  <si>
    <t>Supply &amp; Delivery of Housekeeping Supplies</t>
  </si>
  <si>
    <t>Supply &amp; Delivery of Anseptanios Terminal HPH (5 liter/gal)</t>
  </si>
  <si>
    <t>Procurement of IT and Office Equipment - Lot 1 - IT Equipment - PAIASSO</t>
  </si>
  <si>
    <t>Supply &amp; Delivery of Housekeeping Supplies Lot 1</t>
  </si>
  <si>
    <t>PROCUREMENT OF CONSTRUCTION MATERIALS FOR REPAIR/IMPROVEMENT/EXPANSION OF RECORDS SECTION</t>
  </si>
  <si>
    <t>PROCUREMENT OF CONSTRUCTION MATERIALS FOR REHABILITATION AND REPAIR OF ROOFING FOR GRADE 7 BUILDING (PHASE 1)</t>
  </si>
  <si>
    <t>Supply &amp; Delivery of Furniture Lot 3</t>
  </si>
  <si>
    <t>Procurement of Various Housekeeping Supplies - PLSO</t>
  </si>
  <si>
    <t>Repair and Maintenance of Malinao Elementary School Buildings and Other School Facility, Malinao, Aklan</t>
  </si>
  <si>
    <t>LAND EXPANSION OF MOBO PORT @ BRGY. PINAMARBUHAN, MOBO, MASBATE</t>
  </si>
  <si>
    <t>Repair and Maintenance of Bacan Elementary School Buildings and Other School Facility, Bacan, Banga, Aklan</t>
  </si>
  <si>
    <t>Repair and Maintenance of Bacan High School Buildings and Other School Facility, Bacan, Banga, Aklan</t>
  </si>
  <si>
    <t>Repair and Maintenance of School Buildings and Other School Facility, Malinao School of Philippine Craftsmen, Malinao, Aklan</t>
  </si>
  <si>
    <t>PROCUREMENT OF CONSTRUCTION MATERIALS FOR REPAIR/IMPROVEMENT AND CONVERSION OF GUIDANCE OFFICE TO CLINIC</t>
  </si>
  <si>
    <t>Repair and Maintenance of Lezo Integrated School Buildings and Facility, Lezo, Aklan</t>
  </si>
  <si>
    <t>Rehabilitation and Improvement of Foot Path into Farm-to-Market Road, Rosal-Loctuga, Libacao, Aklan</t>
  </si>
  <si>
    <t>Procurement of Various Housekeeping Supplies - OVG</t>
  </si>
  <si>
    <t>Procurement of 1 Unit Chest Type Freezer - ADH</t>
  </si>
  <si>
    <t>Procurement of Catering Services - PPO</t>
  </si>
  <si>
    <t>Procurement of Various Office Supplies - PGO</t>
  </si>
  <si>
    <t>Procurement of Greenhouse-Materials &amp; Installation  with complete Accessories &amp; Irrigation Facilities - PAGSO</t>
  </si>
  <si>
    <t>Procurement of Office Supplies - PGO</t>
  </si>
  <si>
    <t>Purchase and delivery of printing and storage devices for SHS</t>
  </si>
  <si>
    <t>CONCRETE PATHWAY</t>
  </si>
  <si>
    <t>Construction of Day Care Center, Ogsip, Libacao, Aklan</t>
  </si>
  <si>
    <t>Repair and Rehabilitation of Guard House</t>
  </si>
  <si>
    <t>PURCHASE OF SUPPLIES</t>
  </si>
  <si>
    <t>Financial Assistance for the Concreting Barangay Road</t>
  </si>
  <si>
    <t>Purchase and delivery of materials for MIS of SHS</t>
  </si>
  <si>
    <t>concreting and Improvement of Ground to Multipurpose Hall (Phase 1)</t>
  </si>
  <si>
    <t>Rehabilitation of Water Supply</t>
  </si>
  <si>
    <t>procurement of water connection service &amp; repair materials</t>
  </si>
  <si>
    <t>SUPPLY &amp; DELIVERY OF VEGETABLE SEEDS FOR THE ESTABLISHMENT OF HOPE GARDENS</t>
  </si>
  <si>
    <t>Supply and delivery of vaccine</t>
  </si>
  <si>
    <t>Request for Quotation for Supply and Delivery of  Chlorine Dosing Pump, Unit, Parts and Materials for Water Sanitation</t>
  </si>
  <si>
    <t>PROCUREMENT OF FIFTY- FIVE (55) PIECES SEALED BEAM PAR 56 FOR HEADLIGHT ON DIESEL ELECTRIC LOCOMOTIVE</t>
  </si>
  <si>
    <t>DCFO KITCHENWARE FOR THE PRODUCTION OF COCONUT COOKING OIL, VINEGAR, SUGAR AND VIRGIN COCONUT OIL</t>
  </si>
  <si>
    <t>CEILING REPAIR OF 4STOREY 24 CLASSROOM BUILDING OF HIGH SCHOOL</t>
  </si>
  <si>
    <t>PROCUREMENT OF ONE (1) LOT EMERGENCY SUPPLIES AS PROTECTIVE MEASURE AGAINST COVID-19 AND COMPLIANCE TO THE NEW NORMAL</t>
  </si>
  <si>
    <t>procurement of electrical supply and materials</t>
  </si>
  <si>
    <t>Repair and rehabilitation of hand washing area and three seater comfort room</t>
  </si>
  <si>
    <t>RFQ-Maintenance materials 02</t>
  </si>
  <si>
    <t>Repair and rehabilitation of hand washing area</t>
  </si>
  <si>
    <t>Supply &amp; Delivery  of Food Stuff</t>
  </si>
  <si>
    <t>Concrete Pavement of Access Road to the Existing Waste Disposal Area</t>
  </si>
  <si>
    <t>RFQ for Hardware and Construction Supplies of FSM</t>
  </si>
  <si>
    <t>PROCUREMENT OF FABRICATED CANOPY</t>
  </si>
  <si>
    <t>(PA) REQUEST FOR QUOTATION (RFQ)  For the Procurement of Office Supplies (Battery, Alcohol, etc.) For the Provincial Administrator Office--81,083.25</t>
  </si>
  <si>
    <t>PROCUREMENT OF VARIOUS GROCERY ITEMS USE FOR RESPONDERS 24/7 DUTY @ PIÑAN, ZN</t>
  </si>
  <si>
    <t>2020-06-0030- Grass Cutter (Maint. Section)</t>
  </si>
  <si>
    <t>Procurement of  Kalayaan 2020 Tarpaulin 5x10</t>
  </si>
  <si>
    <t>Training after support under Corn Program different activities (Corn-Based Farming System; Financial Literacy; FSTP Phase 1, FSTP Phase 3 and FSTP Insertion).</t>
  </si>
  <si>
    <t xml:space="preserve">20GFD0009 – Supply and Delivery of Spare Parts and Materials for the Repair and Upkeep of Mitsubishi Adventure B0-V652/H1-6487, Mitsubishi L300 NR-4155/H1-5976, Mitsubishi Strada (B0-A194/H1-6488, B4 </t>
  </si>
  <si>
    <t>REQUEST FOR SUPPLIES AND MATERIALS</t>
  </si>
  <si>
    <t>Proposed Embankment of Barangay Plaza in Brgy. Masikap, Mabitac, Laguna</t>
  </si>
  <si>
    <t>RFQ-DVO-PR.NO. 2005212 CAT. 94 SERVICES</t>
  </si>
  <si>
    <t>Construction of Buildings and Support Infrastructures Construction of Water System, Ballesteros Cagayan</t>
  </si>
  <si>
    <t>Toner for Office Use/Agri Surveys/LFS/APIS of PSA-PDI</t>
  </si>
  <si>
    <t>2ND QUARTER OTHER SUPPLIES AND MATERIALS.</t>
  </si>
  <si>
    <t>PROCUREMENT OF TWENTY (20) PIECES INVERTER – TYPE SV008iG5A-2</t>
  </si>
  <si>
    <t>PROCUREMENT OF HOSPITAL/MEDICAL EQUIPMENT - PCF</t>
  </si>
  <si>
    <t>Improvement of Private Room Into Temporary Isolation Room Ballesteros District Hospital</t>
  </si>
  <si>
    <t>Supply and Delivery of Medicines</t>
  </si>
  <si>
    <t>A-2020-15: Third Party Support for the Deployment of Microsoft System Center Configuration Manager (SCCM)</t>
  </si>
  <si>
    <t>20GFD0011 – Supply  of Fuel for Use of Various Sections for 2nd  Quarter  CY 2020 of DPWH CS 1st DEO</t>
  </si>
  <si>
    <t>Rehabilitation/Major Repair of Permanent Bridges, Jones Bridge (B01204LZ) along Jct. Ipil-Quirino Bdry. Road</t>
  </si>
  <si>
    <t>Supply and Installation of Wall Coverings at HRDD Office (R.I.S. No.: 20-88-076)</t>
  </si>
  <si>
    <t>45 pack Stringbeans and other items for Barangays Agricultural development and promotion center./CAO</t>
  </si>
  <si>
    <t>CONSTRUCTION SUPPLIES AND MATERIALS</t>
  </si>
  <si>
    <t>20GFD0010 – Supply and Delivery of Office Equipment for use in Administrative Section, Planning and Design Section and Office of the Auditor (COA)  for 2nd Quarter  CY 2020 of DPWH CS 1st DEO</t>
  </si>
  <si>
    <t>REPAIRS IMPROVEMENT OF OFFICE FACILITIES ACCOUNTING &amp; MPDC OFFICE</t>
  </si>
  <si>
    <t>CAN - Various IT Supplies PR No. 206 ONT</t>
  </si>
  <si>
    <t>2ND QUARTER PRINTING AND PUBLICATION.</t>
  </si>
  <si>
    <t>Agricultural  Supplies</t>
  </si>
  <si>
    <t>THE SUPPLY AND DELIVERY OF CONSTRUCTION MATERIALS AND SUPPLIES FOR THE CONSTRUCTION OF 50 DUPLEX HOUSING UNITS</t>
  </si>
  <si>
    <t>STREET LIGHTING INSTALLATION (LED) AND CONSTRUCTION OF FEDESTAL ALONG NATIONAL ROAD (FRONT RHU BLDG.) BRGY. KULAPI</t>
  </si>
  <si>
    <t>2ND QUARTER OFFICE SUPPLIES.</t>
  </si>
  <si>
    <t>Purchase of Construction Materials/ Temporary Reservoir at Tiwi, Loon</t>
  </si>
  <si>
    <t>A-2020-16: ADOBE CREATIVE CLOUD FOR TEAMS (CCT) SOFTWARE LICENSE SUBSCRIPTION MAINTENANCE AND SUPPORT SERVICES</t>
  </si>
  <si>
    <t>PROVISION OF CONSTRUCTION SUPPLLIES AND MATERIALS - FOR BUILDING REPAIR AND MAINTENANCE</t>
  </si>
  <si>
    <t>ROAD CONCRETING</t>
  </si>
  <si>
    <t>CONSTRUCTION OF LOCAL ROAD/BRIDGE, PUROK 5</t>
  </si>
  <si>
    <t>Procurement of One (1) set Desktop Computer with Printer and Complete Accessories for MCR Office of LGU - Laak, Davao De Oro</t>
  </si>
  <si>
    <t>GO-0142 Supply and Delivery of 100,000 pcs. Flyers Glossy papee 8.5" x 13"</t>
  </si>
  <si>
    <t>MEDICAL SUPPLIES</t>
  </si>
  <si>
    <t>PROCUREMENT OF OFFICE EQUIPMENT FOR THE LOCAL GOVERNMENT UNIT COMPUTERIZATION PROGRAM</t>
  </si>
  <si>
    <t>PROCUREMENT OF VEHICLE (SB)</t>
  </si>
  <si>
    <t>50 ltrs Microbial inoculant and other items for solid waste segration and reduction enhancement program waste to food project organic material recovery and fertilizer production./CAO</t>
  </si>
  <si>
    <t>Supply and delivery of drugs and medicines for use of Botika ng Lalawigan ng Oriental Mindoro</t>
  </si>
  <si>
    <t>General Merchandise</t>
  </si>
  <si>
    <t>PRINTING SERVICES</t>
  </si>
  <si>
    <t>Vehicle Repair and Maintenance</t>
  </si>
  <si>
    <t>Supply and delivery of chemicals and chemical product for the use of Naujan Community Hospital</t>
  </si>
  <si>
    <t>Supply and Delivery of Furniture</t>
  </si>
  <si>
    <t>Supply and delivery of Office Supplies (inks) for official use of DOLE RO5</t>
  </si>
  <si>
    <t>Request for Quotation on Procurement of Office Equipment, Furniture &amp; Fixtures for OSCA, MSWD CY2 020</t>
  </si>
  <si>
    <t>Supply and Delivery of Vehicle Parts of 5MIB (P177,550.00)</t>
  </si>
  <si>
    <t>2 pcs. Thermal Scanner for TPC School use</t>
  </si>
  <si>
    <t>PROCUREMENT OF CUSTOMIZED DOT EXCITING BICOL FACE MASKS</t>
  </si>
  <si>
    <t>PROCUREMENT OF ONE (1) LOT OFFICE EQUIPMENT</t>
  </si>
  <si>
    <t>RFQ-DVO-PR.NO. 2006043 CAT. 70 BUSINESS AND BICYCLE PLATES</t>
  </si>
  <si>
    <t>PURCHASE OF TWO (2) UNITS LAPTOP</t>
  </si>
  <si>
    <t>Animal Feeds- CEDU Animal- Swine Project</t>
  </si>
  <si>
    <t>Procurement of Radio Base Transceiver and VHF Handheld Radio of DepEd Elementary - Laak North District, Laak, Davao De Oro</t>
  </si>
  <si>
    <t>IMPROVEMENT OF FMR NEAR SIMEON AREA</t>
  </si>
  <si>
    <t>Preparation of As-built Plan, Detailed Engineering Design</t>
  </si>
  <si>
    <t>RFQ-DVO-PR.NO. 2005198 CAT. CONSTRUCTION REPAIR</t>
  </si>
  <si>
    <t>Supply and Delivery of 5,000 Liters Diesel for Ambulance</t>
  </si>
  <si>
    <t>Rehabilitation / Maintenance of Marine Protected Area (Bagong Tubig,Balite and Locloc, San Luis, Batangas</t>
  </si>
  <si>
    <t>Procurement of Various Office Supplies-06-312(A)PGO</t>
  </si>
  <si>
    <t>Disinfectant Concentrate and All Purpose Cleaner for cleaning and disinfection of all COVID 19 related facility/equipments</t>
  </si>
  <si>
    <t>Medical Supplies</t>
  </si>
  <si>
    <t>HVCDP20-06-05-0563  To provide labor and materials for the printing of T-shirts.</t>
  </si>
  <si>
    <t>Purchase of 11,666 Sachet Nutriblend (rice, sesame, monggo) for BPH Supplemental feeding program under Five (5) Children Provincewide</t>
  </si>
  <si>
    <t>IMPROVEMENT OF PUBLIC MARKET</t>
  </si>
  <si>
    <t>INVITATION TO BID FOR THE PROVISION OF AGRICULTURAL SUPPLIES FOR THE CONDUCT OF URBAN AGRICULTURE, GLAMOURIZING YOUTH IN AGRICULTURE, ESTABLISHMENT OF COMMUNITY GARDENS IN EIGHT SITES/BARANGAYS, AND M</t>
  </si>
  <si>
    <t>Purchase of Office Tables for the Use in the Office of Mayor at Municipality of lobo, Batangas</t>
  </si>
  <si>
    <t>Polo Shirt</t>
  </si>
  <si>
    <t>3,000 ltrs Diesel Fuel for various vehicle and equipments assigned to the different offices/general services office</t>
  </si>
  <si>
    <t>Purchase of Fuel</t>
  </si>
  <si>
    <t>Renovation of Regional Director's Office</t>
  </si>
  <si>
    <t>Procurement of various medical supplies and equipment for the opening of SY 2020-2021</t>
  </si>
  <si>
    <t>Educational Materials and Supplies</t>
  </si>
  <si>
    <t>1 pc. Table for MSWD Office use</t>
  </si>
  <si>
    <t>procurement of spareparts and repair materials/lgu motorpool</t>
  </si>
  <si>
    <t>Request for Quotation (Polo shirt)</t>
  </si>
  <si>
    <t>RFQ-DVO-PR.NO. 2006087 CAT. 46 PAINTING TOOLS AND MATERIALS</t>
  </si>
  <si>
    <t>Materials for the rehabilitation of gutters and downspout of Basketball Court at Purok 3</t>
  </si>
  <si>
    <t>Thermal Paper</t>
  </si>
  <si>
    <t>20GFD0012 – Supply and Delivery of Customized Binder for use of  Various Sections for  the  2nd Quarter 2020 of DPWH CS 1st DEO</t>
  </si>
  <si>
    <t>Medical Supplies and Laboratory Equipment</t>
  </si>
  <si>
    <t>Supply &amp; Delivery of Disaster Response and Rescue Equipments</t>
  </si>
  <si>
    <t>Supply and Delivery of Construction Materials and Supplies for 53EBDe, PA</t>
  </si>
  <si>
    <t>Spare Parts Repair &amp; Maintenance Transportation Equipment</t>
  </si>
  <si>
    <t>REPAIR/IMPROVEMENT OF MULTIPURPOSE BLDG. (HEALTH CENTER)</t>
  </si>
  <si>
    <t>Supply and Delivery of Materials for the Construction of Health Station, Phase II with Fence</t>
  </si>
  <si>
    <t>Procurement of Various Air Conditioning-06-323(O)PEO</t>
  </si>
  <si>
    <t>RFQ-DVO-PR.NO. 2005193 CAT. 41.1 ELECTRONIC CONSUMABLES</t>
  </si>
  <si>
    <t>Catering Services for the Activity entitled Training Workshop on Course Modules Production for flexible learning in higher education institutions (HEIs)</t>
  </si>
  <si>
    <t>PEO-20-0676 NP (SV)- PURCHASE OF SPARE PARTS FOR MRG-6, KFL-1 NDT-22, CRIMPING MACHINE &amp; PU-26</t>
  </si>
  <si>
    <t>Purchase of Tire for RP Vehicle Road Grader of GSO</t>
  </si>
  <si>
    <t>Catering Services</t>
  </si>
  <si>
    <t>Supply and Delivery of Construction Materials - ITB 032-2020 GQ</t>
  </si>
  <si>
    <t>Supply and Delivery of Uniforms</t>
  </si>
  <si>
    <t>Diesel Fuel &amp; Gasoline Prem</t>
  </si>
  <si>
    <t>Extension and Improvement of Pastoral Office and Quarters</t>
  </si>
  <si>
    <t>Repair and Maintenance of various Service Vehicle for use of Provincial Government of Tarlac</t>
  </si>
  <si>
    <t>Supply and Delivery of one (1) unit Laptop and One(1) unit Projector  intended for Rural Health Unit  of this municipality</t>
  </si>
  <si>
    <t>Purchase of Camera</t>
  </si>
  <si>
    <t>Procurement of Various IT Equipment-06-009(K)PWO</t>
  </si>
  <si>
    <t>ITB No. (INF) 2020-06-089 CONCRETING OF CAROLINA – HINOLASO PROVINCIAL ROAD, Can-avid &amp; Dolores, Eastern Samar</t>
  </si>
  <si>
    <t>Supply of labor &amp; materials for the construction of concrete barrier of barangay Mahabang Parang, San Luis, Batangas</t>
  </si>
  <si>
    <t>CAN - Various Medical Supplies UDM PR No. 331</t>
  </si>
  <si>
    <t>Procurement of Three (3) units Generator and Four (4) units Grass Cutter for DepEd Elementary - Laak North District, Laak, Davao De Oro</t>
  </si>
  <si>
    <t>20GFD0013 – Supply and Delivery of Electrical Supplies, Common Office Supplies, Common Office Devices, Other Supplies/Materials, Tools, Common Computer and IT Supplies, Spare Parts, Consumables and Ja</t>
  </si>
  <si>
    <t>Filling at ESSU Mini Park at ESSU Main Campus</t>
  </si>
  <si>
    <t>Supply and Delivery of materials for the Repairs and Maintenance of LGU-Facilities, LGU-Bayombong, Nueva Vizcaya.</t>
  </si>
  <si>
    <t>20-05-387a_Procurement of field supplies for NICER 2 Project use</t>
  </si>
  <si>
    <t>CONSTRUCTION OF BOX CULVERT</t>
  </si>
  <si>
    <t>Purchase of Construction Materials</t>
  </si>
  <si>
    <t>Supply and Delivery of Construction Materials - ITB 033-2020 GQ</t>
  </si>
  <si>
    <t>Sta. Ana-006 Supply and Delivery of 20,000 unit window type aircon -non invertermanual control 1.5 HP</t>
  </si>
  <si>
    <t>PROCUREMENT OF LABORATORY SUPPLIES AND REAGENTS</t>
  </si>
  <si>
    <t>RFQ-DVO-PR.NO. 2006055 CAT. 60 TIRE, BATTERIES AND ACCESSORIES</t>
  </si>
  <si>
    <t>procurement of fuel and lubricants/mayors office</t>
  </si>
  <si>
    <t>RFQ-DVO-PR.NO. 2006045 CAT. 21 ELECTRICAL SUPPLIES AND MATERIALS</t>
  </si>
  <si>
    <t>SUPPLY &amp; DELIVERY OF SMART TELEVISION</t>
  </si>
  <si>
    <t>CONSTRUCTION OF MULTI-PURPOSE BUILDING, BRGY. SUGUIT ,MARIA AURORA, AURORA</t>
  </si>
  <si>
    <t>RFQ 2020-06-019 - PR 2020-06-019 - For use in Michigan Payloader L2-1335 assigned at Maint. Section</t>
  </si>
  <si>
    <t>Purchase of 1-Unit Tractor with complete accessories, 1 unit universal Heavy Duty Moldboard Plow,1 unit Universal hydraulic Harrow, 1 unit universal Furrower, 1 unit Trailer.. Warranty, whichever come</t>
  </si>
  <si>
    <t>Office Supplies for PAO Talibon District Office</t>
  </si>
  <si>
    <t>Procurement of Various Medical Supplies-06-010(T)TSMH</t>
  </si>
  <si>
    <t>2 set Computer set with accessories</t>
  </si>
  <si>
    <t>Labor for Replacement of Roofing and Ceiling Eaves of Whitehouse</t>
  </si>
  <si>
    <t>20JBG0041 with PR No. 20-06-54 - For use in the replacement of worned-out airconditioning unit 'in Planning &amp; Design Section for the 2nd quarter, this district.</t>
  </si>
  <si>
    <t>ITB No. (INF) 2020-06-090 CONSTRUCTION OF MULTI-PURPOSE BUILDING (PHASE II), Brgy. Abucay, Sulat, Eastern Samar</t>
  </si>
  <si>
    <t>Materials for Construction and Painting Supplies</t>
  </si>
  <si>
    <t>CAN - Various Drugs and Medicines UDM PR No. 330</t>
  </si>
  <si>
    <t>Procurement of Various Spare Parts-06-313(A)PGO</t>
  </si>
  <si>
    <t>Construction of Multi-purpose Building @ sitio Malli</t>
  </si>
  <si>
    <t>RFQ.NO.028-2020 : Purchase of Reflectorized Informative Warning Sign for use in Maintenance Section</t>
  </si>
  <si>
    <t>(KMH) 2ND REQUEST FOR QUOTATION (RFQ)  For the Procurement of Office Supplies (Carbon Film, Paper Multi-purpose, etc.)x For the Kasibu Municiipal Hospital--100,430.00</t>
  </si>
  <si>
    <t>Procurement of Various Veterinary Products and Supplies-06-024(AA)ProVet</t>
  </si>
  <si>
    <t>Construction of Special Care Facility</t>
  </si>
  <si>
    <t>SUPPLY AND DELIVERY OF VARIOUS EQUIPMENT FOR CANCER PREVENTION AND CONTROL PROGRAM USE</t>
  </si>
  <si>
    <t>Procurement of Information Technology</t>
  </si>
  <si>
    <t>ITB No. (INF) 2020-06-091REHABILITATION/CONSTRUCTION OF BRGY. HALL/MULTI-PURPOSE BUILDING, Brgy. Mara-mara, Sulat, Eastern Samar</t>
  </si>
  <si>
    <t>Materials for Commissioning of 1 Lot Network Cabling of MCWD's - Engineering Building and Server Room</t>
  </si>
  <si>
    <t>RFQ-DVO-PR.NO. 2005253 CAT. 65 VETERINARY SUPPLIES AND MATERIALS</t>
  </si>
  <si>
    <t>STO20-05-26-0250 Labor services for the conduct of Complete Soil Analysis for samples collected from 45 sites   in three provinces.</t>
  </si>
  <si>
    <t>Construction of Commercial Stalls</t>
  </si>
  <si>
    <t>CAN - Various Office Supplies - ONT, MHD, JJASGH, YDWB</t>
  </si>
  <si>
    <t>Procurement of Various Veterinary Products and Supplies-06-023(AA)ProVet</t>
  </si>
  <si>
    <t>Repair of Electrical System at LTO Malabon</t>
  </si>
  <si>
    <t>Procurement of Medical Supplies-06-009(T)TSMH</t>
  </si>
  <si>
    <t>Construction of Public C.R and 50 meters Reinforced Concrete Pathway Alfonso Ponce Enrile Memorial District Hospital</t>
  </si>
  <si>
    <t>Repair and Maintenance of Makato Integrated School Buildings and Other Facility, Makato, Aklan</t>
  </si>
  <si>
    <t>Supply of labor &amp; materials for the Installation of additional streetlight of Barangay Mahabang Parang, San Luis, Batangas</t>
  </si>
  <si>
    <t>Purchase of Laptop</t>
  </si>
  <si>
    <t>CAN - Various Supplies and Materials PR Nos. 205 &amp; 203 ONT</t>
  </si>
  <si>
    <t>Repair and Maintenance of Numancia Elementary School Buildings and Other Facility,  Numancia, Aklan.</t>
  </si>
  <si>
    <t>20ID0071 - Construction/ Rehabilitation of Flood Mitigation Facilities within Major River Basins and Principal Rivers- Construction of Daguitan-Marabong River Flood Control, Brgy. Batug, Dulag, Leyte</t>
  </si>
  <si>
    <t>Supply and Delivery of Materials for the Construction of Road Concreting</t>
  </si>
  <si>
    <t>Procurement of Various Veterinary Products and Supplies-06-025(AA)ProVet</t>
  </si>
  <si>
    <t>Supply and Delivery of Materials for Replacement of Roofing and Ceiling Eaves of Whitehouse</t>
  </si>
  <si>
    <t>Procurement of IT Supplies for Various Offices</t>
  </si>
  <si>
    <t>Procurement of Machinery &amp; Equipment for ESSU Can-Avid use PR#20-06-091</t>
  </si>
  <si>
    <t>Procurement of Transporation Services - Balik Probinsya Program</t>
  </si>
  <si>
    <t>PROCUREMENT OF COMMERCIAL RICE</t>
  </si>
  <si>
    <t>Construction of 1.00M width Pathway With 4 Unit Street Lights</t>
  </si>
  <si>
    <t>Supply &amp; Delivery of Materials Re: Brigada Eskwela 2020 for San Julian District Elementary &amp; Secondary Schools</t>
  </si>
  <si>
    <t>PPDO-Supply and Delivery of Laptop</t>
  </si>
  <si>
    <t>CAN - Various Textbooks UDM PR No. 359</t>
  </si>
  <si>
    <t>GOODS-2020-06-77 PROCUREMENT OF MEDICAL SUPPLIES FOR POLIO MASS IMMUNIZATION.</t>
  </si>
  <si>
    <t>1 set Laptop</t>
  </si>
  <si>
    <t>Purchase of Folding Bed and Single Foam</t>
  </si>
  <si>
    <t>Construction materials and supplies / Office supplies</t>
  </si>
  <si>
    <t>Purchase of Agricultural Supplies for RSP Use</t>
  </si>
  <si>
    <t>Ri Bid for Purchase of Rescue Vehicle Bonggo</t>
  </si>
  <si>
    <t>PROCUREMENT OF GROUND WOOD PAPER</t>
  </si>
  <si>
    <t>Purchase of Various Office Supplies  for SB Office</t>
  </si>
  <si>
    <t>request for quotation of garments</t>
  </si>
  <si>
    <t>Procurement of Various Electrical Supplies-03-026(N)PEMO</t>
  </si>
  <si>
    <t>SUPPLY &amp; DELIVERY OF OTHER SUPPLIES EXP.</t>
  </si>
  <si>
    <t>RFQ-DVO-PR.NO. 2006047 CAT. 27 FURNITURE AND FIXTURES</t>
  </si>
  <si>
    <t>Construction of MRF &amp; Purchase of Plastic Bins</t>
  </si>
  <si>
    <t>MG-A5C20-050 ( SAFETY CONE W/ ACCESSORIES, PLASTIC GOOD QUALITY )</t>
  </si>
  <si>
    <t>Veterinary Medicines for Animal Health Care Support</t>
  </si>
  <si>
    <t>ITB No. (INF) 2020-06-092 CONSTRUCTION OF TRIPLE BARREL BOX CULVERT (DRAINAGE SYSTEM), Brgy. Siha, Borongan City, Eastern Samar</t>
  </si>
  <si>
    <t>For Electrical Installation and Maintenance NC II Instructional Materials</t>
  </si>
  <si>
    <t>Construction Of Multi-Purpose Building , Brgy. Dikildit, Maria Aurora, Aurora</t>
  </si>
  <si>
    <t>SUPPLY AND DELIVERY WITH INSTALLATION OF MATERIALS FOR SANITARY TOILET CONSTRUCTIONS</t>
  </si>
  <si>
    <t>UPGRADE EXISTING FARM-TO-MARKET ROAD TO CLIMATE RESILIENT DESIGN STANDARDS</t>
  </si>
  <si>
    <t>Supply and delivery of Disinfection Cap for use at Tarlac Provincial Hospital</t>
  </si>
  <si>
    <t>REPAIR AND IMPROVEMENT OF PLUMBING AND WATER PIPE LINES</t>
  </si>
  <si>
    <t>CONSTRUCTION OF MULTI- PURPOSE HALL</t>
  </si>
  <si>
    <t>CONSTRUCTION OF CONCRETE PAVEMENT @ BRGY. MATUNGAO</t>
  </si>
  <si>
    <t>BSF and Traffic Enforcers Uniforms and Accessories</t>
  </si>
  <si>
    <t>2020-GOODS-033_Upgrade, Integration and Relocation of Servers, Network Facilities and PABX Intercom System to the Newly Repaired ICTMO Office of PSU Main</t>
  </si>
  <si>
    <t>Supply and Delivery of Construction Materials - ITB 034-2020 GQ</t>
  </si>
  <si>
    <t>Procurement of Various Electrical Supplies-03-025(N)PEMO</t>
  </si>
  <si>
    <t>SUPPLY &amp; DELIVERY OF IT EQUIPMENT (DESKTOP WITH PRINTER)</t>
  </si>
  <si>
    <t>20ID0072 - Construction of Anonang River Flood Control, Barangay Anonang,Burauen, Leyte</t>
  </si>
  <si>
    <t>Materials for the used of Various Barangays and Schools, La Carlota City</t>
  </si>
  <si>
    <t>Procurement of Airconditioning for the Meat Processing Operation</t>
  </si>
  <si>
    <t>Purchase of Materials for the Construction of Road/Pathway to Bago Waterfalls (Phase II) at Brgy Bago, Tayasan, Neg. Or,</t>
  </si>
  <si>
    <t>Supply and Delivery of CCTV and Accesories for MSU-TCTO Information and Communication Technology Office</t>
  </si>
  <si>
    <t>RFQ-DVO-PR.NO. 2006050 CAT. 25 FOOD AND CATERING SERVICES</t>
  </si>
  <si>
    <t>PROCUREMENT OF HANDHELD GPS</t>
  </si>
  <si>
    <t>Purchase of Various Janitorial Supplies  for SB &amp; VM Office</t>
  </si>
  <si>
    <t>Ri Bid For  Installation of Culvert</t>
  </si>
  <si>
    <t>SIREN</t>
  </si>
  <si>
    <t>Maintenance of St Lights</t>
  </si>
  <si>
    <t>Food Stuff</t>
  </si>
  <si>
    <t>Rehabilitation of Barangay Boundary Marker and other Signages</t>
  </si>
  <si>
    <t>Iba Integrated School Elementary</t>
  </si>
  <si>
    <t>Procurement of Various Electrical Supplies-03-027(N)PEMO</t>
  </si>
  <si>
    <t>CONSTRUCTION /INSTALLATION OF SLOPE PROTECTION OF ROAD TO PREVENT FLOOD SCOURING, BARANGAY CUYAPIAO, PATNONGON, ANTIQUE</t>
  </si>
  <si>
    <t>Supply Catering Services in the Conduct on Corn Production Technology in various sites.</t>
  </si>
  <si>
    <t>PHO 39- Supply and Delivery of 1,200pcs N95 Mask</t>
  </si>
  <si>
    <t>Photographic Services for Barangay Personnel</t>
  </si>
  <si>
    <t>RFQ-DVO-PR.NO. 2005197 CAT. 14 CONSTRUCTION SUPPLIES AND MATERIALS</t>
  </si>
  <si>
    <t>Purchase of Various Supplies for use at Albay Astrodome (PR 100(01)20-04-0897)</t>
  </si>
  <si>
    <t>Procurement of Various Electrical Supplies-04-029(N)PEMO</t>
  </si>
  <si>
    <t>Procurement of Various Construction Supplies and Materials-06-328(O)PEO</t>
  </si>
  <si>
    <t>SUPPLY AND DELIVERY OF OFFICE SUPPLIES</t>
  </si>
  <si>
    <t>CONSTRUCTION OF DRAINAGE SYSTEM</t>
  </si>
  <si>
    <t>PURCHASE OF CONSTRUCTION MATERIALS</t>
  </si>
  <si>
    <t>Purchase of Other Accessories and Supply and Repair of L300 Vehicle Services</t>
  </si>
  <si>
    <t>PROCUREMENT OF 5 UNIT OF COMPUTE KEYBOARD AND MOUSE</t>
  </si>
  <si>
    <t>Purchase of Office Equipment Consumables for use at ASDGO for the 1st and 2nd quarter of CY2020 (PR NO. 100(01)20-02-0437)</t>
  </si>
  <si>
    <t>PURCHASE OF FIRE FIGHTING EQUIPMENT</t>
  </si>
  <si>
    <t>Office Supplies-MEO</t>
  </si>
  <si>
    <t>Purchase of Materials For the Construction of Access Road/Pathway to Guincalaban Waterfalls (Phase II) at Brgy. Guincalaban,Tayasan,Neg. Or.</t>
  </si>
  <si>
    <t>PURCHASE OF MATERIALS FOR THE CONSTRUCTION OF WATER EXTRACTION FACILITIES, BARANGAY SAMALAGUE, PATNONGON, ANTIQUE</t>
  </si>
  <si>
    <t>SUPPLY &amp; DELIVERY OF FURNITURE &amp; FIXTURE</t>
  </si>
  <si>
    <t>6 bxs Correction fluid</t>
  </si>
  <si>
    <t>SUPPLY &amp; DELIVERY OF TEXTILE CLOTHES</t>
  </si>
  <si>
    <t>Supply and Delivery of Laboratory Supplies for use at Tarlac Provincial Hospital</t>
  </si>
  <si>
    <t>Ri Bid ForSupply of Materials for Concrete Perimeter Fence of  Barangay Hall</t>
  </si>
  <si>
    <t>PURCHASE OF VARIOUS TOOLS/EQUIPMENT – VARIOUS VEHICLES</t>
  </si>
  <si>
    <t>Purchase of One (1) set Submersible Pump</t>
  </si>
  <si>
    <t>PROCUREMENT OF 1 UNIT TABLET</t>
  </si>
  <si>
    <t>PURCHASE OF FUEL FOR MUNICIPAL VEHICLE MAINTENANCE (HEAVY EQUIPMENT OPERATIONS), LOBOC, BOHOL</t>
  </si>
  <si>
    <t>Repair/ Improvement of Multi-Purpose Building</t>
  </si>
  <si>
    <t>SUPPLY &amp; DELIVERY OF CONSTRUCTION MATERIALS FOR THE CONSTRUCTION OF SLAUGHTER HOUSE BLDG. @ BRGY. PILINTANGAN, WAO, LANAO DEL SUR</t>
  </si>
  <si>
    <t>IMPROVEMENT OF CABLAHAN ELEMENMTARY SCHOOL</t>
  </si>
  <si>
    <t>Purchase of Computer Desktop and Monitor for SP Office</t>
  </si>
  <si>
    <t>SSS Dumaguete Branch Diesel Fuel for the period July to December 2020</t>
  </si>
  <si>
    <t>Procurement of supply and delivery of food</t>
  </si>
  <si>
    <t>DIMIAO GYM QUARANTINE FACILITIES</t>
  </si>
  <si>
    <t>Supply and Delivery of Laboratory Supplies</t>
  </si>
  <si>
    <t>Supply and Delivery of Construction Materials - ITB 035-2020 GQ</t>
  </si>
  <si>
    <t>PROCUREMENT OF BACKHOE FOR MENRO/SLF OPERATION (Rebid)</t>
  </si>
  <si>
    <t>Procurement of Various Animal Feeds-06-026(AA)ProVet</t>
  </si>
  <si>
    <t>Procurement of Medical Supplies for the University use in relation of COVID situation PR# 2020-OSPM-175</t>
  </si>
  <si>
    <t>Procurement of Various Agricultural Supplies</t>
  </si>
  <si>
    <t>PR NO. 1251 VERMICAST</t>
  </si>
  <si>
    <t>Procurement of office supplies of CIT Bindery Project</t>
  </si>
  <si>
    <t>STO20-05-26-0248 Supply and Delivery of Fertilizers.</t>
  </si>
  <si>
    <t>“Acquisition of One (1) Unit Supply, Delivery and Installation of Gas Chromatography-Mass Spectrometry (GCMS)”</t>
  </si>
  <si>
    <t>For Electrical Maintenance of Tourism Sector</t>
  </si>
  <si>
    <t>Repair of Perimeter Fence at Samal South Elementary School @ Samal, Bataan</t>
  </si>
  <si>
    <t>Construction Materials for the improvement and extension of Water Meter Room</t>
  </si>
  <si>
    <t>Procurement of Various Air Conditioning-06-315(A)PGO</t>
  </si>
  <si>
    <t>Procurement of Various Electrical Supplies-06-331(O)PEO</t>
  </si>
  <si>
    <t>IMPROVEMENT OF 3.00 X 9.00m MULTI-PURPOSE BUILDING</t>
  </si>
  <si>
    <t>LED Flood Light for Basketball Court</t>
  </si>
  <si>
    <t>PROCUREMENT OF 1200 PCS PARCHMENT PAPER</t>
  </si>
  <si>
    <t>Ri Bid For Construction of Multi-purpose Bldg. @ Sitio Side B</t>
  </si>
  <si>
    <t>PROCUREMENT OF TIRES (MS-5813, DOU-413 &amp; DOU-414)</t>
  </si>
  <si>
    <t>RFQ-DVO-PR.NO. 2005210 CAT. 49 PRINTED FORMS AND PRINTING SERVICES</t>
  </si>
  <si>
    <t>Office Supplies-MHO Admin</t>
  </si>
  <si>
    <t>Procurement of VEHICLES</t>
  </si>
  <si>
    <t>Supply and Installation of Renewable, Clean Solar Powered Streetlights &amp; Other Related Works Along Lipa-Alaminos Road (80 Watts LED, Integrated Solar Streetlights)</t>
  </si>
  <si>
    <t>Construction &amp; Development of Sanitary Landfill.</t>
  </si>
  <si>
    <t>Supply of Wreaths Flowers for use in relation with the activity of the Sangguniang Panlalawigan Members</t>
  </si>
  <si>
    <t>Procurement of Various Construction Supplies and Materials-06-091(Q)ZNMC</t>
  </si>
  <si>
    <t>PBG-2020-06-20 PROCUREMENT OF ACCOUNTABLE FORMS FOR CITY TREASURER'S OFFICE USE.</t>
  </si>
  <si>
    <t>RFQ No. 20-06-057 - Procurement of Diesel Fuel and Lubricants for use of Service Vehicle and Heavy Equipment for the 1st &amp; and Quarter</t>
  </si>
  <si>
    <t>Fabrication &amp; Intallation of five (5) units towing accessories</t>
  </si>
  <si>
    <t>Construction Of Multi-Purpose Building, Brgy. Ditaelen, Maria Aurora, Aurora</t>
  </si>
  <si>
    <t>Lay-outing of school signage preparation and installation</t>
  </si>
  <si>
    <t>REHABILITATION OF EVACUATION CENTER</t>
  </si>
  <si>
    <t>RFQ-DVO-PR.NO. 2005231 CAT. 49 PRINTED FORMS AND PRINTING SERVICES</t>
  </si>
  <si>
    <t>Purchase of Tools &amp; Equipments for Repair and Maintenance of BatStateU-ARASOF Nasugbu</t>
  </si>
  <si>
    <t>REQUEST FOR EXPRESSION OF INTEREST AND TO SUBMIT PROPOSALS FOR THE PROCUREMENT OF CONSULTANCY SERVICES FOR THE HIRING, RECRUITMENT AND EMPLOYEE ASSESSMENT OF THE BANGSAMORO PLANNING AND DEVELOPMENT AU</t>
  </si>
  <si>
    <t>Supply of labor &amp; materials for the rehabilitation of barangay roads of Barangay Locloc, San Luis, Batangas</t>
  </si>
  <si>
    <t>Table Signs Of Brgy. Personnel</t>
  </si>
  <si>
    <t>Supply and Delivery of Construction Materials - ITB 036-2020 GQ</t>
  </si>
  <si>
    <t>MG-A5M20-086 ( TUBE, LED TYPE, T8, 4FT. 18 WATTS + 1 ITEM )</t>
  </si>
  <si>
    <t>Ri Bid For Supply for Installation of P.E Pipes @ Upper Meocan</t>
  </si>
  <si>
    <t>Construction Materials</t>
  </si>
  <si>
    <t>RFQ-DVO-PR.NO. 2005233 CAT. 87 OXYGEN AND ACETYLENE</t>
  </si>
  <si>
    <t>Meals and snacks for use of PPOC Meeting-SVP-20-4361</t>
  </si>
  <si>
    <t>Proposed Box Culvert at Public Plaza, Brgy. III-Poblacion, Hinigaran, Negros Occidental.</t>
  </si>
  <si>
    <t>Construction of Fence for Tenement Housing Project, Barangay Marketview, Lucena City</t>
  </si>
  <si>
    <t>PURCHASE OF CONSTRUCTION MATERIALS FOR VARIOUS PROJECTS</t>
  </si>
  <si>
    <t>SFP:3,000	BOOKLETS	          RECIPE/MENU BOOKLET   FOR THE SF PROGRAM 10th CYCLE IMPLEMENTATION.</t>
  </si>
  <si>
    <t>800 bags Poly Aluminum Chloride</t>
  </si>
  <si>
    <t>DENR-CENRO Bangui, 3 Year Comprehensive Site Development at Brgy. Balaoi, Pagudpud, Ilocos Norte</t>
  </si>
  <si>
    <t>Supply and delivery of Tarpaulin for use in the office of Sangguniang Panlalawigan Members</t>
  </si>
  <si>
    <t>SUPPLY AND DELIVERY OF SANITARY PERMIT AND HEALTH ID FOR SANITARY REQUIREMENT</t>
  </si>
  <si>
    <t>Supply and Delivery of Construction Materials - ITB 037-2020 GQ</t>
  </si>
  <si>
    <t>RFQ - Equipment for Nutrition and Dietetics Use</t>
  </si>
  <si>
    <t>RFQ No. 20-06-058 - Purchase of Coring Bit for use in the QualityAssurance Section (Laboratory)</t>
  </si>
  <si>
    <t>One (1) Lot Supply, Delivery &amp; Installation of the following items for Ford F-750 Armored Truck SFX 417: One (1) unit Clutch Fan Assembly, One (1) unit Air Brake Compressor Assembly</t>
  </si>
  <si>
    <t>PEO-20-0504 B (REBID)- Purchase of Spare Parts for use of Isuzu Dump Truck (NDT-37) Model:FTR33FLD assigned at PEP, Sta. Barbara, Iloilo</t>
  </si>
  <si>
    <t>SUPPLY AND DELIVERY FOR IT EQUIPMENT AND DEVICES FOR VIDEO CONFERENCING AND LIVE STREAMING CY 2020 - LOT</t>
  </si>
  <si>
    <t>Purchase of construction materials for the DENR-PENRO Stock room</t>
  </si>
  <si>
    <t>Rehabilitation of Barangay Farm to Market Roads Osawan-Tigao to Burgos, Cortes Surigao del Sur</t>
  </si>
  <si>
    <t>1 unit Laptop</t>
  </si>
  <si>
    <t>FURNITURES AND OTHER ACCESSORIES FOR BIRTHING FACILITY</t>
  </si>
  <si>
    <t>request for quotation of drugs and medicine</t>
  </si>
  <si>
    <t>For Electrical Maintenance of Construction Sector</t>
  </si>
  <si>
    <t>Construction Project</t>
  </si>
  <si>
    <t>Procurement of 10 pcs Air Tank Compressed use in the conduct of resource assessment and underwater crime scene investigation</t>
  </si>
  <si>
    <t>Purchase of Office Supplies for Household Survey</t>
  </si>
  <si>
    <t>RFQ-DVO-PR.NO. 2006089 CAT. 87 OXYGEN AND ACETYLENE</t>
  </si>
  <si>
    <t>Concreting of Farm to Market Road Zone 6</t>
  </si>
  <si>
    <t>Procurement of fuel, oil &amp; lubricants</t>
  </si>
  <si>
    <t>Supply and Delivery of Medicines (CARI, Anti Rabies, and Mass Circumcision Program) (Rebidding)</t>
  </si>
  <si>
    <t>1 box Colilert-18 and 2 boxes Sterile 51 - Well Quanti Tray</t>
  </si>
  <si>
    <t>Concreting of Farm to Market Road Sitio Cabicalan  Zone 7</t>
  </si>
  <si>
    <t>Ri Bid For Installation of Water Tank</t>
  </si>
  <si>
    <t>Supply of labor &amp; materials for the rehabilitation of street light of Barangay Locloc, San Luis, Batangas</t>
  </si>
  <si>
    <t>Purchase of Medicine</t>
  </si>
  <si>
    <t>SUPPLY AND DELIVERY OF TRAFFIC CITATION TICKET FOR THE IMPLEMENTATION OF CITY TRAFFIC ORDINANCES</t>
  </si>
  <si>
    <t>RFQ-DVO-PR.NO. 2006017 CAT. 32 JANITORIAL SUPPLIES AND MATERIALS</t>
  </si>
  <si>
    <t>CONSTRUCTION/ESTABLISHMENT/REHABILITATION OF MULTI-PURPOSE HALL @ BRGY. CAIMITO</t>
  </si>
  <si>
    <t>20ID0073 - Concreting of Poblacion District 9 to Brgy. Gamay FMR, Brgy. Gamay,Burauen, Leyte</t>
  </si>
  <si>
    <t>Catering Services re:On-Site Training on Product Branding,Packaging &amp; Labelling for the Coco Coir Slipper Production of Maonon Upland Planters Assn.Inc (MUPAI) on June 23-26, 2020 per RFQ-125-2020-CDD</t>
  </si>
  <si>
    <t>Procurement of OFFICE EQUIPMENT</t>
  </si>
  <si>
    <t>REPAIR AND OTHER OPERATING EXPENSES MOOE 2020 2ND QUARTER</t>
  </si>
  <si>
    <t>SUPPLY AND DELIVERY OF CONSTRUCTION MATERIALS FOR REPAIR OF TENTS</t>
  </si>
  <si>
    <t>PROCUREMENT OF RICE FOR COVID-19 RELIEF ASSISTANCE</t>
  </si>
  <si>
    <t>Construction of two (2) units septic Tank @ Tuao District Hospital, Tuao Cagayan</t>
  </si>
  <si>
    <t>Establishment protection and maintenance of coffee plantation to Upland communities to abate illegal logging as a means of promoting peace and order (program against Illegal Logging)</t>
  </si>
  <si>
    <t>STREET LIGHT BULBS</t>
  </si>
  <si>
    <t>Hiring of Consultant Services for the Formulation of the National Housing and Urban Development Sector Plan</t>
  </si>
  <si>
    <t>SUPPLY AND DELIVERY OF CONSTRUCTION MATERIALS FOR INSTALLATION OF CEILING AND OTHER ELECTRICAL JOBS</t>
  </si>
  <si>
    <t>RFQ 16723</t>
  </si>
  <si>
    <t>Construction/Extension of Covered Court</t>
  </si>
  <si>
    <t>“Acquisition of One (1) Lot Supply and Delivery of Various Security Equipment”</t>
  </si>
  <si>
    <t>Purchase of tires for Mitsubishi service vehicles</t>
  </si>
  <si>
    <t>Supply &amp; Delivery of Various Office Equipment Supplies &amp; Consumables use for 122nd Philippine Independence Day Sports &amp; Cultural, Himamaylan City</t>
  </si>
  <si>
    <t>Repair and Maintenance of Energy Structure</t>
  </si>
  <si>
    <t>RICE20-06-04-0726 Supply and Delivery of Plant Fertilizer.</t>
  </si>
  <si>
    <t>SUPPLY &amp; DELIVERY OF CONSTRUCTION MATERIALS FOR THE COMPLETION OF SECOND FLOOR OF WAO MUNICIPAL HALL, MUNICIPAL SITE, BRGY. WESTERN, WAO, LANAO DEL SUR</t>
  </si>
  <si>
    <t>Supply, Delivery and Installation of 75KVA Transformer including its Accessories</t>
  </si>
  <si>
    <t>IMPROVEMENT AND UPGRADING OF DINGALAN UMIRAY- PROVINCIAL ROAD, DINGALAN, AURORA</t>
  </si>
  <si>
    <t>Construction supplies</t>
  </si>
  <si>
    <t>Procurement of IT and Office Equipment - Lot 2 - Office Equipment - PAIASO</t>
  </si>
  <si>
    <t>Rehabilitation of Concrete Pavement</t>
  </si>
  <si>
    <t>PURCHASE OF CCAM SMARTPHONES FOR PHOTO DOCUMENTATION AND GEOTAGGING</t>
  </si>
  <si>
    <t>Supply and Delivery of Rice and Sardines for Distribution in various Barangay of San Pedro City, Laguna under GCQ</t>
  </si>
  <si>
    <t>SUPPLY AND DELIVERY OF MEALS AND SNACKS (rfq#2020-04-2,156)-(vice governor's office)</t>
  </si>
  <si>
    <t>SUPPLY AND DELIVERY OF MEALS AND SNACKS (rfq#2020-04-1,972)-(vice governor's office)</t>
  </si>
  <si>
    <t>Dumptruck Tires</t>
  </si>
  <si>
    <t>SUPPLY AND DELIVERY OF VARIOUS EQUIPMENT FOR VARIOUS SECTION OF CHO</t>
  </si>
  <si>
    <t>Rebidding: 10 pcs Auto Bulb 24 volts (double big) and other items for stop light and signal light of vaccum trucks 1-8 used.</t>
  </si>
  <si>
    <t>SUPPLY AND DELIVERY OF VARIOUS WOODCRAFTS FOR EXECUTIVE LOUNGE USE</t>
  </si>
  <si>
    <t>Office Supplies Expenses (PCADG-5020301000-1061-2020)</t>
  </si>
  <si>
    <t>PURCHASE OF VARIOUS OFFICE SUPPLIES</t>
  </si>
  <si>
    <t>RFQ-DVO-PR.NO. 2005284 CAT. 6 AUTO REPAIR SHOP</t>
  </si>
  <si>
    <t>Purchase of Toner, Ink &amp; Desk Top</t>
  </si>
  <si>
    <t>For Electrical Maintenance of Automotive Sector</t>
  </si>
  <si>
    <t>Construction of Sewer Treatment Plant and Drying Area at Slaughter House, Brgy. Guinhawa North, Tagaytay City</t>
  </si>
  <si>
    <t>PROCUREMENT OF 2.5 HP SPLIT TYPE AIR CONDITIONING UNIT</t>
  </si>
  <si>
    <t>Purchase and Installation of CCTV and Solar Panel Lights for MDDRMC, Calasiao, Pangasinan</t>
  </si>
  <si>
    <t>Supply and Delivery of Various Laboratory Services</t>
  </si>
  <si>
    <t>RFQ-DVO-PR.NO. 2005160 CAT. 27 FURNITURE AND FIXTURES</t>
  </si>
  <si>
    <t>PR NO. 1250 VEGETABLE SEEDS</t>
  </si>
  <si>
    <t>Procurement of Newspaper Subscription for July to December 2020</t>
  </si>
  <si>
    <t>Various Machineries</t>
  </si>
  <si>
    <t>SUPPLY AND DELIVERY OF BULB FOR MARKET OPERATION USE</t>
  </si>
  <si>
    <t>SUPPLY AND DELIVERY OF EXTENSION ENERGY EFFECT CUSHION FOR ELECTRICAL POTENTIAL THERAPY EQUIPMENT</t>
  </si>
  <si>
    <t>Continuation/Improvement of Multi-purpose Hall</t>
  </si>
  <si>
    <t>Procurement of Office Equipment for RTC Branch 27 - Tandag.</t>
  </si>
  <si>
    <t>MATLS FOR WIRE FENCING OF PUBLIC MARKET</t>
  </si>
  <si>
    <t>ANNUAL PREVENTIVE MAINTENANCE FOR VARIOUS MEDICAL EQUIPMENT CY 2020</t>
  </si>
  <si>
    <t>Purchase of 10 Meter Hydraulic Hose</t>
  </si>
  <si>
    <t>PROCUREMENT AND INSTALLATION OF AIR-CONDITIONING UNITS FOR THE OFFICES &amp; CLASSROOMS OF THE NFSTI</t>
  </si>
  <si>
    <t>UCT : 1 LOT PRINTING SERVICES; REPRODUCTION OF FORMS FOR THE UCT-LISTAHANAN PAYOUT ACTIVITIES</t>
  </si>
  <si>
    <t>PROCUREMENT OF VARIOUS FRUITS SEEDLINGS FOR THE SUSTAINABLE LAND RESOURCE MANAGEMENT APPROACH (SLRMA) FOR AGRI-ENVIRONMENTAL DEVELOPMENT OF UPLANDS AND HILLY LANDS AT SITIO NANGKA, PUNTIAN, SUMILAO, B</t>
  </si>
  <si>
    <t>SUPPLY AND DELIVERY OF SNACKS (rfq#2020-05-2,544)-(pgo-popdev)</t>
  </si>
  <si>
    <t>RFQ-DVO-PR.NO. 2005265 CAT. 27 FURNITURE AND FIXTURES</t>
  </si>
  <si>
    <t>PURCHASE OF SPAREPARTS AND LABOR FOR REPAIR OF DMAX SERVICE VEHICLE (MBO)</t>
  </si>
  <si>
    <t>Construction of Slope Protection for Tenement Housing Project, Barangay Marketview, Lucena City</t>
  </si>
  <si>
    <t>Completion of Climate Resilient Multi-Purpose Hall  @Brgy. Capalong, Real, Quezon</t>
  </si>
  <si>
    <t>Purchase of COVID-19 Response Items</t>
  </si>
  <si>
    <t>Improvement of Vice Mayor's Office and Provision of Comfort Room</t>
  </si>
  <si>
    <t>CONSTRUCTION OF BARANGAY STAGE (PAHASE I), BARANGAY AMOT, BURDEOS, QUEZON</t>
  </si>
  <si>
    <t>1 unit laptop Core i7</t>
  </si>
  <si>
    <t>Request for Quotataion</t>
  </si>
  <si>
    <t>CONSTRUCTION OF IGANG BRIDGE ALONG CASIGURAN – DILASAG PROVINCIAL ROAD, Casiguran-Dilasag, Auraora</t>
  </si>
  <si>
    <t>Other Supplies &amp; Materials Expenses (PCADG-5020399000-1062-2020)</t>
  </si>
  <si>
    <t>Spare parts for Foton truck</t>
  </si>
  <si>
    <t>NEGOTIATED PROCUREMENT OF ADDITIONAL CCTV CAMERA AT MONCAST</t>
  </si>
  <si>
    <t>IMPROVEMENT/REHABILATION OF DRAINAGE SYSTEM</t>
  </si>
  <si>
    <t>780 pcs. Tiles 60cm x 60cm x 1cm</t>
  </si>
  <si>
    <t>Rehabilitation of Monkey Cage (3 Units), Peacock Cage, Cassowary Cage and Butterfly Cage at Albay Park and Wildlife PR No. (100(01)-20-03-0849)</t>
  </si>
  <si>
    <t>Purchase of Washable Face Mask</t>
  </si>
  <si>
    <t>20JI0086-Furnishing of Labor including provision of equipment necessary to complete the Repair/Maintenance of DENR Building, Brgy.Pob.Imelda,Zamboanga Sibugay</t>
  </si>
  <si>
    <t>PR. 20-06-212 (2020-06-204) PROCUREMENT OF GEAR, REFLECTORIZED VEST &amp; HARD HAT</t>
  </si>
  <si>
    <t>Purchase of Common-Use Supplies for OSDS</t>
  </si>
  <si>
    <t>Procurement of Office Equipment for TSP CCTV Monitoring and SP Hall use.</t>
  </si>
  <si>
    <t>RFQ-DVO-PR.NO. 2005270 CAT. 57 SPORTS ATTIRE</t>
  </si>
  <si>
    <t>Concreting of Sucao Elementary School Multi-Purpose Pavement</t>
  </si>
  <si>
    <t>SUPPLY AND DELIVERY OF ELECTRICAL SUPPLIES FOR INSTALLATION OF OVERCURRENT PROTECTION AND UPGRADING TRANSFER SWITCH</t>
  </si>
  <si>
    <t>Purchase of Brochures, Leaflets and Learning Materials for Protection of Children Program</t>
  </si>
  <si>
    <t>Construction</t>
  </si>
  <si>
    <t>Telephone Mobile Expenses (AFPMCC-65,700.00)</t>
  </si>
  <si>
    <t>Supply of weighing scales for agro-enterprise development for rice</t>
  </si>
  <si>
    <t>Request for Quotation</t>
  </si>
  <si>
    <t>150 rms. Bookpaper long</t>
  </si>
  <si>
    <t>INVITATION TO BID FOR PHOTOCOPYING MACHINE FOR FFHNAS JUNIOR HIGH SCHOOL AND SENIOR HIGH SCHOOL</t>
  </si>
  <si>
    <t>Construction of Water System at Giayan N.Q.</t>
  </si>
  <si>
    <t>One (1) Job Contract for the Electrification (Installation of 25Kva, 760Vac Primary / 230Vac, Secondary, 60Hz, 1-Phase, OISC, Distribution Transformer and Construction of Streetlights)/Brgy. Gegacjac/</t>
  </si>
  <si>
    <t>Labor and materials in the propagation of 20,000 quality bamboo seedlings at the Provincial Nursery Laoang Productivity Center, Barangay Laoang Tarlac City</t>
  </si>
  <si>
    <t>Supply / Delivery of 3,813.90 liters Diesel &amp; 215 liters Gasoline Premium</t>
  </si>
  <si>
    <t>SUPPLY AND DELIVERY OF I.T. SUPPLIES -(rfq#2020-05-2,548)-(pgo-popdev)</t>
  </si>
  <si>
    <t>20GBE0017: Furnishing &amp; Delivery of Pavement Markings Materials for National Roads of DPWH-IFDEO</t>
  </si>
  <si>
    <t>SUPPLY AND DELIVERY OF MASTER ROLLS AND GR INK FOR GSO USE</t>
  </si>
  <si>
    <t>SUPPLY AND DELIVERY OF OFFICE AND JANITORIAL SUPPLIES FOR BJMP USE</t>
  </si>
  <si>
    <t>Procurement of Printing &amp; Publication Expenses (PCADG-5029902000-1063-2020)</t>
  </si>
  <si>
    <t>Catering Services: Orientation and LGU Meetings for the Disaster Vulnerability Assessment and Profiling Project (DVAPP) Card Production</t>
  </si>
  <si>
    <t>GOODS 2020-05-0003 REBID REPAIR AND MAINTENANCE - TRANSPORTATION EQUIPMENT</t>
  </si>
  <si>
    <t>PEO-20-0695 B- Purchase of Spare Parts for use in the repair of Caterpillar Bulldozer (CB-1) Model: D6HXL assigned at PEP, Sta. Barbara, Iloilo</t>
  </si>
  <si>
    <t>SD of 5 pcs Snare Drum &amp; 1 other</t>
  </si>
  <si>
    <t>Supplies &amp; Deliveries of Construction Supplies for the use of 6FSSU, ASCOM, PA for 2nd QTR CY 2020</t>
  </si>
  <si>
    <t>Request for the purchase of flag for lamp post for the use of Cultural Affairs and Tourism Office, Pasig City.</t>
  </si>
  <si>
    <t>Procurement of Logbook - PDH</t>
  </si>
  <si>
    <t>SUPPLY AND DELIVERY OF 1,591 BOXES ROUND MOIST CAKE FOR PABIRTHDAY NI LOLO UG LOLA (2ND QUARTER)</t>
  </si>
  <si>
    <t>BARANGAY HALL DEEP WELL REHABILITATION AT PUROK 3, IN BRGY. CALAPUGAN. NATIVIDAD, PANGASINAN</t>
  </si>
  <si>
    <t>Animal Feeds</t>
  </si>
  <si>
    <t>Supply and delivery of office supplies and devices</t>
  </si>
  <si>
    <t>SUPPLY AND DELIVERY OF MEALS AND SNACKS (rfq#2020-05-2,560)-(pgo-bac secretariat)</t>
  </si>
  <si>
    <t>PURCHASE OF MATERIALS FOR THE CONSTRUCTION OF CONCRETE PAVEMENT AROUND BARANGAY SITE</t>
  </si>
  <si>
    <t>RIPRAAPING AND CONSTRUCTION OF CONCRETE PAVEMENT AT LUACAN WATERPARK</t>
  </si>
  <si>
    <t>Procurement of Photocopier Ink</t>
  </si>
  <si>
    <t>Repair of Perimeter Fence at EcoPark @ Samal, Bataan</t>
  </si>
  <si>
    <t>For the Declogging/Clearing of Canal at Barangay Asinan, Bugallon, Pangasinan</t>
  </si>
  <si>
    <t>Supply and Delivery Additional Apparatus in Biology Laboratory of SDSSU Tandag</t>
  </si>
  <si>
    <t>Various COD Working Unifrom</t>
  </si>
  <si>
    <t>PR 20-06-0633</t>
  </si>
  <si>
    <t>Procurement of supply and delivery of food for the conduct of DA-PA-Mas Monthly Assessment</t>
  </si>
  <si>
    <t>RFQ-DVO-PR.NO. 2005254 CAT. 65 VETERINARY SUPPLIES AND MATERIALS</t>
  </si>
  <si>
    <t>Procurement of Various Materials for the Rehabilitation of Concrete Line Canal, Local Government Unit of Barugo, Leyte</t>
  </si>
  <si>
    <t>SUPPLY AND DELIVERY OF ELECTRICAL SUPPLIES FOR IMPROVEMENT OF MUSCOVADO BUILDING</t>
  </si>
  <si>
    <t>RFQ-DVO-PR.NO. 2006044 CAT. 39 MEDICAL SUPPLIES AND MATERIALS</t>
  </si>
  <si>
    <t>REPAIR &amp; MAINTENANCE OF OF NEW HOLLAND TRACTOR</t>
  </si>
  <si>
    <t>Supply and Delivery of CHR Collaterals</t>
  </si>
  <si>
    <t>RFQ-DVO-PR.NO. 2005208 CAT. 64 VETERINARY DRUGS AND MEDICINES</t>
  </si>
  <si>
    <t>COMPLETION OF ARCHITECTURE BUILDING, PSU MAIN CAMPUS</t>
  </si>
  <si>
    <t>Procurement of Air Conditioner unit for Provincial Fisheries and Aquatic Resources Office new building.</t>
  </si>
  <si>
    <t>SUPPLY AND DELIVERY OF MEALS AND SNACKS (rfq#2020-06-2,582)-(pgo-pdea)</t>
  </si>
  <si>
    <t>Request for the purchase of morgue refrigeration system for the use of Pasig City.</t>
  </si>
  <si>
    <t>“Acquisition of One (1) Lot Health Care Services through Health Maintenance Organization"</t>
  </si>
  <si>
    <t>Procurement of Printing &amp; Publication Expenses (PCADG-5029902000-1064-2020)</t>
  </si>
  <si>
    <t>Repair/Maintenance of Municipal Water System</t>
  </si>
  <si>
    <t>Construction of Niches, Lucena Public Cemetery, Barangay Marketview, Lucena City</t>
  </si>
  <si>
    <t>PROCUREMENT OF CORN SEEDS &amp; FERTILIZERS FOR THE SUSTAINABLE LAND RESOURCE MANAGEMENT APPROACH (SLRMA) FOR AGRI-ENVIRONMENTAL DEVELOPMENT OF UPLANDS AND HILLY LANDS AT SITIO NANGKA, PUNTIAN, SUMILAO, B</t>
  </si>
  <si>
    <t>Industrial Machinery and Equipment</t>
  </si>
  <si>
    <t>CONSTRUCTION OF PUI CENTER (MUNICIPAL GYMNASIUM)</t>
  </si>
  <si>
    <t>SUPPLY AND DELIVERY OF CONSTRUCTION MATERIALS FOR CONSTRUCTION OF MOTORPOOL GUARD HOUSE</t>
  </si>
  <si>
    <t>Water Supply System at Pasalubong Center</t>
  </si>
  <si>
    <t>Supply and Delivery of 2 units Grass Cutter</t>
  </si>
  <si>
    <t>Supply and Deliver of Materials for I.D Making</t>
  </si>
  <si>
    <t>CONSTRUCTION OF TWO STOREY MULTI-PURPOSE (MUNICIPAL ISOLATION) BUILDING, MUNICIPALITY OF MALIBCONG, ABRA</t>
  </si>
  <si>
    <t>PRINTING OF FACULTY &amp; STAFF ID</t>
  </si>
  <si>
    <t>CONCRETING OF BARANGAY ROAD (Brgy. Pulangbato)</t>
  </si>
  <si>
    <t>SUPPLY, DELIVERY &amp; INSTALLATION OF CALAMITY RELATED ALARM &amp; SECURITY MONITORING SYSTEM</t>
  </si>
  <si>
    <t>RFQ-DVO-PR.NO. 2005237 CAT. 49 PRINTED FORMS AND PRINTING  SERVICES</t>
  </si>
  <si>
    <t>Acetator Kit and wine fermentation kit</t>
  </si>
  <si>
    <t>ICT EQUIPMENTS OF CSU ANDREWS 2020-06-05E</t>
  </si>
  <si>
    <t>RFQ-DVO-PR.NO. 2006011 CAT. 46 PAINTING TOOLS AND MATERIALS</t>
  </si>
  <si>
    <t>Ice Cream Production</t>
  </si>
  <si>
    <t>RFQ - Procurement of Goods: IT Equiments for the use of CDRRMO - Command Center (PR#300-20-03-0047)</t>
  </si>
  <si>
    <t>Meals for Session and Inauguration of New Sangguniang Panlalawigan Building</t>
  </si>
  <si>
    <t>Supply and Installation of Animal Feeds -EDM</t>
  </si>
  <si>
    <t>Procurement of Signage</t>
  </si>
  <si>
    <t>Purchase of Real Property Tax Account Register Card for Treasurer’s Office use</t>
  </si>
  <si>
    <t>PR 1-20-06-0669, FOR USE OF VARIOUS VEHICLES AND EQUIPMENT ASSIGNED IN ECO-CENTER PROJECT OPERATION, CITY ENVIRONMENT MANAGEMENT OFFICE, CEMO, THIS CITY.</t>
  </si>
  <si>
    <t>PROVISION OF PERIMETER LIGHTS AND POST ON AIRSIDE</t>
  </si>
  <si>
    <t>Other Supplies &amp; Materials Expenses (PCADG-5020399000-1065-2020)</t>
  </si>
  <si>
    <t>Supply and Delivery of Construction Materials - ITB 038-2020 GQ</t>
  </si>
  <si>
    <t>Supply of four (4) pieces Steel Cabinet</t>
  </si>
  <si>
    <t>ITB 20-0062 - Supply and Delivery of 7,000 bags Cement, Portland, Quick Dry &amp; etc.</t>
  </si>
  <si>
    <t>Office Eqpt and Accessories</t>
  </si>
  <si>
    <t>IMPROVEMENT OF MUNICIPAL IP HALL GROUND</t>
  </si>
  <si>
    <t>PR 1-19-09-1639, FOR THE USE OF SAN CARLOS CITY HOSPITAL, THIS CITY.</t>
  </si>
  <si>
    <t>RFQ-DVO-PR.NO. 2006001 CAT. 69 SUBSCRIPTION</t>
  </si>
  <si>
    <t>RFQ - Procurement of Goods: IT Equipment (A3 Machine Photocopier &amp; Duplicator Machine) for the use of DEPED (For the use of Various Schools) (PR#200-20-06-0100)</t>
  </si>
  <si>
    <t>Completion of Paagan Water System</t>
  </si>
  <si>
    <t>Supplies and Materials</t>
  </si>
  <si>
    <t>Post Cement, Banana Twine &amp; Bamboo Poles for LSA - FRIEND Organic Farm</t>
  </si>
  <si>
    <t>Procurement of Communication Plan for 1 Year</t>
  </si>
  <si>
    <t>2 drums Engine Oil</t>
  </si>
  <si>
    <t>Purchase of Hot and Cold Water Dispenser with Storage Cabinet (ris 20-13-098)</t>
  </si>
  <si>
    <t>FURNISHING AND DELIVERY OF CONSTRUCTION MATERIALS FOR THE CONSTRUCTION OF TALBEK WATER SYSTEM</t>
  </si>
  <si>
    <t>Training Expense-Php66,000.00 AFP CYBER GROUP</t>
  </si>
  <si>
    <t>Books, Maps and Other Publications for Distribution to all Barangays of Oriental Mindoro</t>
  </si>
  <si>
    <t>SUPPLY AND INSTALL OF BY-PASS POTABLE WATER PIPE LINE QUINANLIMAN, BRGY. POB. 1, REAL, QUEZON</t>
  </si>
  <si>
    <t>Acquisition of Air Conditioning Unit</t>
  </si>
  <si>
    <t>Procurement of BDRRM Supplies &amp; Materials</t>
  </si>
  <si>
    <t>PROCUREMENT OF DIESOLINE (FOR LGU USE)</t>
  </si>
  <si>
    <t>Supply and Delivery of Janitorial Supplies</t>
  </si>
  <si>
    <t>Construction of Main Steel Gate (Double-Leaf) with Service Gate located at Barangay San Placido, Roxas, Isabela</t>
  </si>
  <si>
    <t>SUPPLY DELIVERY  FOR TRAINING SERVICES FOR SECURITY NC 1</t>
  </si>
  <si>
    <t>Fuel</t>
  </si>
  <si>
    <t>Procurement of Common Office Supplies</t>
  </si>
  <si>
    <t>Supply / Delivery of 30 pcs. Cell Cards 100’s &amp; 15 pcs. Cell Cards 300’s</t>
  </si>
  <si>
    <t>Procurement of supply and delivery of food fo the conduct of Rice Report Officers Monthly Meeting</t>
  </si>
  <si>
    <t>LIVE ANIMALS (Livestock)</t>
  </si>
  <si>
    <t>Repair and Maintenance of Legislative Building Roofing</t>
  </si>
  <si>
    <t>Bakery Machinery Eqpt</t>
  </si>
  <si>
    <t>Supply and Delivery of Jetmatic Pump</t>
  </si>
  <si>
    <t>AVRC : 50	PCS.	LIQUID DISPENSER UP TO 1000	PCS.	GERMICIDAL SOAP; FOR DISINFECTANT AND OTHER RELATED EQUIPMENT AT AVRC  III.</t>
  </si>
  <si>
    <t>Procurement of Printer Resetter for FY 2020 - Repost</t>
  </si>
  <si>
    <t>Concreting of Lacangan Road</t>
  </si>
  <si>
    <t>Payment for Security Service for the period of July 2020 to December 2020 at San Pablo City General Hospital, San Pablo City.</t>
  </si>
  <si>
    <t>Supply Labor and Materials including Printing for the Production of 500 pieces Customized Corporate Bag</t>
  </si>
  <si>
    <t>Procurement of supply and delivery of food fr the conduct of DA Program Assessment &amp; Forum</t>
  </si>
  <si>
    <t>Supply of Delivery of Conveyor Landing Pad at Terminal 2 (ris 20-83-069)</t>
  </si>
  <si>
    <t>Concreting of Pathway with Line Canal - ITB 039-2020 GQ</t>
  </si>
  <si>
    <t>GRASSCUTTER</t>
  </si>
  <si>
    <t>Procurement of Office Equipment</t>
  </si>
  <si>
    <t>PROCUREMENT OF SUPPLY AND INSTALLATION FOR THE REPLACEMENT OF VEHICLE TIRES</t>
  </si>
  <si>
    <t>Procurement of Office Supplies June 2020</t>
  </si>
  <si>
    <t>FURNISHING AND DELIVERY OF LAPTOP COMPUTER FOR BUDGET OFFICE</t>
  </si>
  <si>
    <t>RFQ-DVO-PR.NO. 2004142 CAT. 78 FIRE AND RESCUE EQUIPMENT</t>
  </si>
  <si>
    <t>ITB 20-0063 - Supply and Delivery of 5 drums Hydraulic Oil, AW 68 &amp; etc.</t>
  </si>
  <si>
    <t>RFQ PR NO. 824_INFORMATION TECH_ CHRMO</t>
  </si>
  <si>
    <t>PROCUREMENT OF CELLPHONE ( brgy council )</t>
  </si>
  <si>
    <t>Purchase of Assorted Goods</t>
  </si>
  <si>
    <t>RFQ 16724</t>
  </si>
  <si>
    <t>Construction Materials and Supplies for Provision of Cement and Painting Materials to Various Schools Provincewide</t>
  </si>
  <si>
    <t>PROCUREMENT OF OFFICE SUPPLIES</t>
  </si>
  <si>
    <t>Procurement of Various Medical Supplies, SAN JOSE CITY, NUEVA ECIJA</t>
  </si>
  <si>
    <t>Procurement of Various Medicines and Vitamins - PHSO</t>
  </si>
  <si>
    <t>1 Unit Laptop, 5 Units HDMI to VGA Converter, 3 Units Portable Wifi Router &amp; 12 Units Wireless Speaker</t>
  </si>
  <si>
    <t>RFQ - Procurement of Goods: Furniture &amp; Fixtures for the use of CENRO (PR#100-20-06-0093)</t>
  </si>
  <si>
    <t>Food Stuff (Roasted Swine)</t>
  </si>
  <si>
    <t>Procurement of Common Janitorial Supplies and Office Supplies for the Four (4) Campuses</t>
  </si>
  <si>
    <t>Invitation to Bid</t>
  </si>
  <si>
    <t>Construction Of Senior Citizen Hall (Phase II), Brgy Dikildit , Maria Aurora, Aurora</t>
  </si>
  <si>
    <t>NEGOTIATED PROCUREMENT OF MATERIALS FOR REPAIR AND MAINTENANCE OF PUMPING STATION FOR WATERWORKS OPERATION UNIT</t>
  </si>
  <si>
    <t>PROCUREMENT OF GASOLINE,OIL,AND LUBRICANTS FOR MUNICIPAL VEHICLES CONSUMPTION FOR THE MONTH OF JUNE 2020</t>
  </si>
  <si>
    <t>RFQ - Procurement of Goods: Telecommunication Provider Equipment for the use of DEPED (For Various Schools) (PR#200-20-06-0014)</t>
  </si>
  <si>
    <t>RFQ PR NO. 860 OFFICE SUPPLIES _SWEMO</t>
  </si>
  <si>
    <t>Supply and Delivery if Vehicle Spare Parts - Motorpool</t>
  </si>
  <si>
    <t>Supply and Delivery of Occult Blood Test</t>
  </si>
  <si>
    <t>Payment for Janitorial Service for the period of July 2020 to December 2020 at San Pablo City General Hospital, San Pablo City.</t>
  </si>
  <si>
    <t>ITB 20-0064 - Supply and Delivery of 71 units Television, LED, Smart TV.</t>
  </si>
  <si>
    <t>Procurement of Office Supplies</t>
  </si>
  <si>
    <t>RFQ-DVO-PR.NO. 2006027 CAT. 6 AUTO REPAIR SHOP</t>
  </si>
  <si>
    <t>Supply of Labor, Materials and Equipment Rentals for the Rehabilitation of Liglican, Diversion Dam in Poblacion, Bakun, Benguet</t>
  </si>
  <si>
    <t>request for quotation of furniture</t>
  </si>
  <si>
    <t>Furniture to be used/installed in the executive building</t>
  </si>
  <si>
    <t>RFQ 16688</t>
  </si>
  <si>
    <t>ICT EQUIPMENTS OF CSU ANDREWS 2020-06-03E</t>
  </si>
  <si>
    <t>RFQ (20-06-040) Various IT Supplies</t>
  </si>
  <si>
    <t>RFQ (20-06-036) Various Drugs and Medicines</t>
  </si>
  <si>
    <t>Re-shaping and Gravelling of Barangay Road</t>
  </si>
  <si>
    <t>RFQ - Procurement of Goods: Agricultural &amp; Marine Supplies for the use of CENRO (Landscaping &amp; Beautification Program) (PR#100-20-06-0092)</t>
  </si>
  <si>
    <t>Procurement of Service (Printing of Yearbook)</t>
  </si>
  <si>
    <t>HAND SANITIZER GEL &amp; MULTI PURPOSE CLEANER</t>
  </si>
  <si>
    <t>One (1) Lot Information Technology</t>
  </si>
  <si>
    <t>PRINTING SUPPLIES</t>
  </si>
  <si>
    <t>PROCUREMENT OF OFFICE TABLE AND COMPUTER TABLE FOR MUNICIPAL PLANNING AND DEVELOPMENT OFFICE</t>
  </si>
  <si>
    <t>PURCHASE OF OFFICE SUPPLIES</t>
  </si>
  <si>
    <t>Hospital/Medical Equipment for the use of Naujan Community Hospital</t>
  </si>
  <si>
    <t>1. Materials and Equipment Rental for the Repair and Improvement of School Stage , Efraim Santibañez National High School, Brgy. Sto. Tomas, Passi City, Iloilo/LSB/P 139,460.00,2. Materials for the Ba</t>
  </si>
  <si>
    <t>Supply and Delivery of Personal Protective Equipment for the University of the Philippines Baguio</t>
  </si>
  <si>
    <t>Q-092-20 UPGRADING OF FIBER LINE WITH WI-FI AND VOICE OVER IP WITH HARDWARE</t>
  </si>
  <si>
    <t>Procurement of Survey Equipment - PEO</t>
  </si>
  <si>
    <t>Renovation of Public Market</t>
  </si>
  <si>
    <t>CONSTRUCTION OF CR AT 3RD FLOOR OF LEGISLATIVE BUILDING</t>
  </si>
  <si>
    <t>request for quotation of office equipment</t>
  </si>
  <si>
    <t>Improvement/Rehabilitation of President Bridge of Poblacion</t>
  </si>
  <si>
    <t>Supply and Delivery of Four (4) Units Air Conditioning System for MSU-TCTO Graduate School</t>
  </si>
  <si>
    <t>PR. 20-05-169 (2020-05-176 2ND QUOTE) PROCUREMENT OF MATERIALS FOR CENTRAL CCTV MONITORING AND STORAGE FEATURE</t>
  </si>
  <si>
    <t>Construction of Three (3) - Layer Tombs (2.50mx2.00m) @ Roxas Cemetery, San Rafael, Roxas, Isabela</t>
  </si>
  <si>
    <t>MG-A5M20-094 ( GREASOLVE, DEGREASER )</t>
  </si>
  <si>
    <t>INVITATION TO BID FOR THE IMPROVEMENT OF ALORAN WATER SUPPLY SYSTEM (BARANGAY OSPITAL-DULLAN)</t>
  </si>
  <si>
    <t>Rehabilitation of Extension/Satellite Office @ Brgy. Llavac, Real, Quezon</t>
  </si>
  <si>
    <t>ITB 20-0065 - Supply and Delivery of 1 unit X-Ray Machine.</t>
  </si>
  <si>
    <t>SUPPLIES AND MATERIALS FOR MAGSAYSAY COLLEGE</t>
  </si>
  <si>
    <t>Concreting of Municipal Roads</t>
  </si>
  <si>
    <t>Consolidated request for Curriculum implementation Division (CID) INSET 2020 on June 17, 2020</t>
  </si>
  <si>
    <t>Agricultural Machinery and Equipment for subsidy/assistance to Local Government Units,  Other (Farmers Association/Cooperative)</t>
  </si>
  <si>
    <t>NEGOTIATED PROCUREMENT OF GLASS DOOR FOR MUNICIPAL HEALTH CENTER BUILDING</t>
  </si>
  <si>
    <t>Duplo DPA-A120 Duplicating Machine</t>
  </si>
  <si>
    <t>GF-20-02-00338B - PROCUREMENT OF PROJECTOR</t>
  </si>
  <si>
    <t>0JI0087-Furnishing of Labor including provision of equipment necessary to complete the Repair/Maintenance of DPWH Building Maintenance Main Building including Guard House, Zamboanga Sibugay 1st Distri</t>
  </si>
  <si>
    <t>Purchase of 12 Units Portable Generator set</t>
  </si>
  <si>
    <t>Meals and Snacks (Plant plant plant Program)</t>
  </si>
  <si>
    <t>ETHYL ALCOHOL</t>
  </si>
  <si>
    <t>OILS AND LUBRICANTS FOR MOTOR VEHICLES</t>
  </si>
  <si>
    <t>PURCHASE ROLLER BLINDS WITH INSTALLATION</t>
  </si>
  <si>
    <t>Supply Labor and Materials for the Cleaning of Airconditioning Units (indoor and outdoor) Samsung Brand</t>
  </si>
  <si>
    <t>PROCUREMENT OF TRAVELLING RICE MILL  (FOR SAN ISIDRO RICE FARMER ASSOCIATION, BUB 2015)</t>
  </si>
  <si>
    <t>Negotiated Procurement of One (1) Unit Laptop and One (1) Unit Projector for DCA Agri-Farm Training School</t>
  </si>
  <si>
    <t>TARPAULIN PRINT OUT</t>
  </si>
  <si>
    <t>Diesel &amp; Lubricants</t>
  </si>
  <si>
    <t>Request for quotation of general merchandise</t>
  </si>
  <si>
    <t>request for quotation of appliances</t>
  </si>
  <si>
    <t>Construction Materials and Supplies</t>
  </si>
  <si>
    <t>request for quotation of guns and weapon</t>
  </si>
  <si>
    <t>FURNISHING AND DELIVERY OF MEDICAL SUPPLIES FOR MHO</t>
  </si>
  <si>
    <t>Construction Of Multi-Purpose Building, Brgy. Decoliat, Maria Aurora, Aurora</t>
  </si>
  <si>
    <t>SUPPLY AND DELIVERY OF INTRAVENOUS FLUIDS</t>
  </si>
  <si>
    <t>Repair / Improve  of Handwashing Facilities in Front of Canteen/ Fornt of Bldg. 3 &amp; 5 / Front of SSES and Front of Kinder</t>
  </si>
  <si>
    <t>SUPPLY DELIVERY OF TVET TRAINING FOR CAREGIVING NC II</t>
  </si>
  <si>
    <t>Procurement of Various Supplies</t>
  </si>
  <si>
    <t>Procurement of Various Catering Services - PGO</t>
  </si>
  <si>
    <t>Furnishing labor for: Irrigation of Canal, Brgy. Malaiba</t>
  </si>
  <si>
    <t>UPGRADING AND INSTALLATION OF OCP SERVER'S LSI RAID CONTROLLER</t>
  </si>
  <si>
    <t>VARIOUS IT SUPPLIES</t>
  </si>
  <si>
    <t>Procurement of Various Construction Supplies (for Repair), SAN JOSE CITY, NUEVA ECIJA</t>
  </si>
  <si>
    <t>Purchase of Disinfectants for ZDS Sports Facilities - Swimming Pool</t>
  </si>
  <si>
    <t>CONCRETING OF BARANGAY STREET, Brgy. 08, Can-avid Eastern Samar</t>
  </si>
  <si>
    <t>CATTLE FATTENING PROJECT</t>
  </si>
  <si>
    <t>Purchase of Airconditioner 920-06-387)</t>
  </si>
  <si>
    <t>CONSTRUCTION OF PROPER KALEO DRAINAGE</t>
  </si>
  <si>
    <t>RE BID FOR SUPPLY OF MEDICINE &amp; MEDICAL SUPPLIES FOR WALK IN CLIENT</t>
  </si>
  <si>
    <t>Purchase of Fuel (Diesel) –  Office of the Municipal Vice Mayor</t>
  </si>
  <si>
    <t>CONDUCT OF SOIL BEARING CAPACITY TEST FOR LGU  4 STOREYS MULTI-PURPOSE BUILDING</t>
  </si>
  <si>
    <t>CONDUCT OF SUBDIVISION SURVEY FOR NEW LANDS/COLLECTIVE CLOA UNDER RSS 01 TO 11</t>
  </si>
  <si>
    <t>Supply and Delivery of Maintenance Supplies and Tools</t>
  </si>
  <si>
    <t>631	bots	Larvicide (Good quality) Temephos 1 % Gr, 250grms, etc. PR # 65-20</t>
  </si>
  <si>
    <t>20JI0088-Furnishing of Labor including provision of equipment necessary to complete the Repair/Maintenance of DOTR Building Coast Guard Sub-Station Building, Malangas, Zamboanga Sibugay</t>
  </si>
  <si>
    <t>Tools and Materials for Training and Audit Purposes ( Agri Crop )</t>
  </si>
  <si>
    <t>CONCRETING OF A. BONIFACIO ST. JCT QUIRINO ST. AND ROXAS ST.</t>
  </si>
  <si>
    <t>S/D of (38) each Plywood Ordinary 1/4x4x8 &amp; Thirteen (13) LI of 1BCT, PA (Php 130,000.00)</t>
  </si>
  <si>
    <t>S/D of (1) pc White Board 3x6 &amp; Forty (40) LI of 1BCT, PA (Php 150,000.00)</t>
  </si>
  <si>
    <t>Sporting Goods for distribution to Outstanding pupils and students in public and private schools in Oriental Mindoro</t>
  </si>
  <si>
    <t>Procurement of Various Construction Supplies (for Maintenance), SAN JOSE CITY, NUEVA ECIJA</t>
  </si>
  <si>
    <t>Supply and Delivery of Construction Materials for the use of City Agriculture Office</t>
  </si>
  <si>
    <t>Procurement of Various Housekeeping Supplies - ADMIN</t>
  </si>
  <si>
    <t>Installation of Street Lights along E-Poblacion - Manaba, Garcia-Hernandez, Bohol</t>
  </si>
  <si>
    <t>Catering Services of Meals and Snacks - Php 14,350.00</t>
  </si>
  <si>
    <t>Purchase and Delivery of Construction Materials for the Improvement of Barangay Health Center, Brgy. Bonfal East, Bayombong, Nueva Vizcaya.</t>
  </si>
  <si>
    <t>CONSTRUCTION OF MULTI-PURPOSE HALL AT BRGY STA. CRUZ</t>
  </si>
  <si>
    <t>FOR ACCOUNTING AND BUDGET OFFICE 2020-06-07E</t>
  </si>
  <si>
    <t>Construction of Solar Drying Pavement (Phase II)</t>
  </si>
  <si>
    <t>NCSAT Fabrication of 20 unit office tables at SHS and water proofing and repair of partition at Guidance Office</t>
  </si>
  <si>
    <t>Vehicle for use of Bulalacao Community Hospital (BCH)</t>
  </si>
  <si>
    <t>GF-20-02-00301B WALKIE TALKIE RADIO AND DSLR MICROPHONE</t>
  </si>
  <si>
    <t>DES -SPONGE BAR &amp; 17 OTHERS (3RD POSTING)</t>
  </si>
  <si>
    <t>RE-INVITATION FOR THE 1.     Provision of Design Services  : Architectural Plan, Civil/Structural Plan, Electrical Plan, Sanitary/Plumbing Plan, Mechanical Plan, Electronic Plan (Duly Signed and seale</t>
  </si>
  <si>
    <t>CONSTRUCTION OF MULTI-PURPOSE HALL AT BRGY SISIMON</t>
  </si>
  <si>
    <t>Construction of Multipurpose Bldg. (Mini-Gym)</t>
  </si>
  <si>
    <t>Supply and Delivery of Sanitizer and Deodorizer to be used for Disinfectant</t>
  </si>
  <si>
    <t>30 pax Heavy Snacks serve during Blessing &amp; Turn-Over of Road Rehabilitation (Pasil)</t>
  </si>
  <si>
    <t>200	BOX	Amoxicillin Trihydrate 500mg/capsule, 100's, etc. PR # 78-20</t>
  </si>
  <si>
    <t>PURCHASE OF OFFICE EQUIPMENTS FOR THE USE OF MUNICIPAL MAYOR'S OFFICE</t>
  </si>
  <si>
    <t>S/D of (300) bags Cement &amp; Forty-Thrre (43) LI of  C2C, PA (Php 903,339.22)</t>
  </si>
  <si>
    <t>SUPPLY, DELIVERY &amp; INSTALLATION OF FIXED GLASS WITH PCW FRAME DOUBLE DOOR - GOVERNOR'S OFFICE</t>
  </si>
  <si>
    <t>Supply and Installation of Various Furniture and Fixtures in Various Offices (Re-post)</t>
  </si>
  <si>
    <t>ICT EQUIPMENTS OF CSU ANDREWS 2020-06-02E</t>
  </si>
  <si>
    <t>2	Unit	Portable Computer (Laptop), etc. PR # 381-20 rebid</t>
  </si>
  <si>
    <t>RFQ-2020-06-02</t>
  </si>
  <si>
    <t>Procurement of Various Machinery and Equipment - PEO ENGINEERING</t>
  </si>
  <si>
    <t>Purchase &amp; Delivery of Office Supplies &amp; Consumables for the Office of SPM Virginia C. Pe Benito</t>
  </si>
  <si>
    <t>ICT EQUIPMENTS OF CSU ANDREWS 2020-06-08E</t>
  </si>
  <si>
    <t>Cocreting of Gecobe Road</t>
  </si>
  <si>
    <t>CONSTRUCTION OF ISOLATION FACILITY BUILDING</t>
  </si>
  <si>
    <t>Request for Quotation for the Supply and Delivery of Goods, (ONE UNIT LAPTOP)</t>
  </si>
  <si>
    <t>PURCHASE OF VARIOUS MATLS FOR OPCEN &amp; ISOLATION FACILITY  USE</t>
  </si>
  <si>
    <t>NEGOTIATED PROCUREMENT FOR THE RENOVATION OF BARANGAY HALL</t>
  </si>
  <si>
    <t>Installation of Deepwell at Barangay Poblacion, Rosario, Cavite</t>
  </si>
  <si>
    <t>Snacks -preferably Bread/Sandwich/Cupcake &amp; Bottled Water/Juice for 2-Day Staff Enhancement Program</t>
  </si>
  <si>
    <t>Procurement of Submersible Pump, 2Hp, 230 volts, 60Hz</t>
  </si>
  <si>
    <t>Repair/Rehabilitation of Roof Gutter in Municipal Building</t>
  </si>
  <si>
    <t>GF-20-02-00300B - LABELING MACHINE</t>
  </si>
  <si>
    <t>Construction of Multipurpose Bldg.-Nanginan</t>
  </si>
  <si>
    <t>Supply and Delivery of Supplies for the HRM Laboratory of SDSSU Tagbina Campus</t>
  </si>
  <si>
    <t>RFQ (20-06-039) Various IT Supplies</t>
  </si>
  <si>
    <t>INSTALLATION OF SOLAR STREETLIGHTS (Brgy. Poctol)</t>
  </si>
  <si>
    <t>Purchase of Office Equipment Use of CTO Office Under P.R. No. 80-20-02-026</t>
  </si>
  <si>
    <t>4	units	Powered Speaker (portable), etc. PR # 469-20 rebid</t>
  </si>
  <si>
    <t>lot b) procurement of supplies and equipment for the full implementation of minimum health standards against covid 19</t>
  </si>
  <si>
    <t>Purchase and Delivery of Fuels and Oils of the SBO</t>
  </si>
  <si>
    <t>PACKAGE 2020:26:CONSTRUCTION OF ACCESS ROAD GOING TO CHICO RIVER</t>
  </si>
  <si>
    <t>Rehabilitation of Post-Harvest Facility (PHF) at Brgy. Guinbanga-an, Laua-an, Antique</t>
  </si>
  <si>
    <t>To be used in the Advocacy Campaign on Back to Basics: Scientific and Sustainable Livestock and Poultry Production with Post-training support</t>
  </si>
  <si>
    <t>DES -ALUMINUM FOIL &amp; 13 OTHERS (3RD POSTING)</t>
  </si>
  <si>
    <t>Purchase of Grocery Items (Stockpiling Commodities)</t>
  </si>
  <si>
    <t>Supply &amp; Delivery Office Supplies</t>
  </si>
  <si>
    <t>20BE0088: REPAIR AND MAINTENANCE OF DRAINAGE STRUCTURES ALONG CALAMAGUI-ILAGAN ROAD  KO398+(-250)-KO399+(-200), KO398+220-KO398+320 (RS),KO399+400-KO399+515(LS), KO399+542.70(LS), KO400+000-KO400+050</t>
  </si>
  <si>
    <t>PR#20-06-0282 Power Saw for CDRRMO Use</t>
  </si>
  <si>
    <t>Supply and Installation of Additional Partition at CIDA Training Area (Re-post)</t>
  </si>
  <si>
    <t>Tools, Supplies and Materials for Training Purposes ( Agri Crop )</t>
  </si>
  <si>
    <t>CONSTRUCTION OF SIKLING FOOTBRIDGE BARANGAY LATANG</t>
  </si>
  <si>
    <t>Supply and Delivery of various materials for various Barangays, Sipalay City, Negros Occidental</t>
  </si>
  <si>
    <t>BPSU:AC-DEAN Speech Laboratory Equipment BSA &amp; BTVTE</t>
  </si>
  <si>
    <t>Laptop</t>
  </si>
  <si>
    <t>Procurement of Various Equipment and Furniture and Fixtures for Instructional use of BSHM - Talisay Campus</t>
  </si>
  <si>
    <t>Concreting of Gattac Road</t>
  </si>
  <si>
    <t>Procurement of Office Supplies and Consumables</t>
  </si>
  <si>
    <t>IB-05-0399-20HRND SUPPLY AND DELIVERY OF ESPRESSO MACHINE (HRND)</t>
  </si>
  <si>
    <t>Skimmed Milk Powder</t>
  </si>
  <si>
    <t>CONCRETING OF ROAD,  SO. PULO BRGY. ZARAH, SAN LUIS, AURORA</t>
  </si>
  <si>
    <t>Labor &amp; materials for LED flatforma and multi-purpose trellis at Welcome Arch,Lucap Wharf, Lucap, Alaminos City</t>
  </si>
  <si>
    <t>Procurement of Food Stuff PR # 2020-06-04-178</t>
  </si>
  <si>
    <t>Supply and Delivery of 12,150 Pieces Vitamin C</t>
  </si>
  <si>
    <t>Installation of TLE Laboratory with functional covid compliant food preparation facility</t>
  </si>
  <si>
    <t>Installation of Streetlights</t>
  </si>
  <si>
    <t>DES -SPECIALIZED PRODUCT &amp; 3 OTHERS (5TH POSTING)</t>
  </si>
  <si>
    <t>20GA0191-Re-Invitation-Construction of Revetment Wall (Flood Control) in Brgy. Poblacion Tangalan, Aklan Brgy. Poblacion, Tangalan, Aklan</t>
  </si>
  <si>
    <t>PR#20-06-0283 Continuous Form for City Waterworks Office Use</t>
  </si>
  <si>
    <t>GF-20-02-00337B - Procurement of Speaker System</t>
  </si>
  <si>
    <t>Supply &amp; Delivery of Fertilizers Lot 1</t>
  </si>
  <si>
    <t>DES -FOOD BLENDER &amp; 1 OTHER (3RD POSTING)</t>
  </si>
  <si>
    <t>PR#20-06-0281 Medical Supplies for 2nd quarter use of CDRRMO</t>
  </si>
  <si>
    <t>Supply &amp; Delivery of Commercial Rice</t>
  </si>
  <si>
    <t>Procurement of Supplies for the use of EEDD-Hotel/Resort Operations, Kalibo, Aklan/ITB no: 2020-352</t>
  </si>
  <si>
    <t>PROCUREMENT OF MEDICAL EQUIPMENT</t>
  </si>
  <si>
    <t>UPPER MASAWANG &amp; SAN JOSE ES - Office Supplies and Equipment</t>
  </si>
  <si>
    <t>Procurement of Goods</t>
  </si>
  <si>
    <t>Supply &amp; Delivery of Newspaper</t>
  </si>
  <si>
    <t>Delivery of labor and materials for the project of Rehabilitation of Foot bridge at Brgy. San Isidro, Bay,  Laguna</t>
  </si>
  <si>
    <t>Construction of Isolation Unit</t>
  </si>
  <si>
    <t>Supply &amp; Delivery of Seeds Lot 2</t>
  </si>
  <si>
    <t>Supply &amp; Delivery of Garden Tool &amp; Equipment Lot 3</t>
  </si>
  <si>
    <t>20BE0089: CLUSTER: (1) REPAIR/MAINTENANCE OF ALINGUIGAN 2ND FLOOD CONTROL (2) REPAIR/MAINTENANCE OF UGAD FLOOD CONTROL, ALINGUIGAN 2ND, CITY OF ILAGAN, ISABELA  &amp; CABAGAN (UGAD, SAN PABLO), ISABELA</t>
  </si>
  <si>
    <t>Procurement/Printing of School ID</t>
  </si>
  <si>
    <t>Supply &amp; Delivery of Gasoline</t>
  </si>
  <si>
    <t>Supply and Delivery of Tires - Motorpool</t>
  </si>
  <si>
    <t>Procurement of materials for Proj Batang SES- Mahalin, Ingatan, Iligtas sa COVID</t>
  </si>
  <si>
    <t>OFFICE SUPPLIES MOOE 2020 2ND QUARTER</t>
  </si>
  <si>
    <t>MATERIALS FOR THE MAINTENANCE OF DUMPTRUCKS</t>
  </si>
  <si>
    <t>Procurement of vanitorial and medical supplies to be used by various offices at  Legislative department,Alaminos City</t>
  </si>
  <si>
    <t>20BC0205-Repair/Maintenance of DOJ Building Regional Trial Court Main Building</t>
  </si>
  <si>
    <t>Hospital supplies and equipment</t>
  </si>
  <si>
    <t>Supply and Delivery of Batteries</t>
  </si>
  <si>
    <t>PURCHASE AND DELIVERY OF ADDITIONAL CAMERA, FIBER OPTIC CABLES &amp; OTHER MATERIALS</t>
  </si>
  <si>
    <t>Supply, Delivery and Installation of Video Conferencing License Subscription for Philippine Normal University</t>
  </si>
  <si>
    <t>SUPPLY AND DELIVERY OF 1,709 SETS GROCERY PACKS FOR PA-BIRTHDAY NI LOLO UG LOLA</t>
  </si>
  <si>
    <t>Provision of Repar and Maintenance of PENRO-Quezon Office Building for CY-2020</t>
  </si>
  <si>
    <t>20GA0195-Re-Invitation-Concreting of Barangay Road Brgy. Dumatad, Tangalan, Aklan</t>
  </si>
  <si>
    <t>SUPPLY AND DELIVERY OF FUEL (DIESEL &amp; GASOLINE) FOR THE CITY ENGINEER’S OFFICE</t>
  </si>
  <si>
    <t>Supply and Delivery of Welding Rods and Paints (Project”)</t>
  </si>
  <si>
    <t>STREETLIGHT SUPPLIES AND MATERIALS</t>
  </si>
  <si>
    <t>SUPPLIES AND MATERIALS FOR IMPROVEMENT ROAD,SIDEWALK/PATHWAY &amp; REPLACEMENT MANHOLE COVER</t>
  </si>
  <si>
    <t>PURCHASE OF PROJECTOR</t>
  </si>
  <si>
    <t>Supply and Delivery of  IT Equipment - IPTBM</t>
  </si>
  <si>
    <t>Purchase of Payloader - LGU-Maasin, Iloilo</t>
  </si>
  <si>
    <t>20BC0157 re-adv.-Local Infrastructure Program-Local Roads and Bridges-Concreting of Road Brgy. Balatubat, Calayan, Cagayan</t>
  </si>
  <si>
    <t>Hardware materials for Construction of Handwashing Facility Repair of Function Hall,Repainting of flower boxes of Trento West CES</t>
  </si>
  <si>
    <t>BPSU:BC-Supply -Janitorial Supplies</t>
  </si>
  <si>
    <t>20HN0083 (Re-advertisement) -LP: Construction/Repair/ Rehabilitation/Improvement of  Various Infrastructure including Local Projects - Local Roads  and Bridges - Local Roads - Construction of Local Ro</t>
  </si>
  <si>
    <t>20ID0074	- Concreting of Sitio Diyo to Sitio Kapitugan Brgy. Libo FMR,Brgy. Libo,Carigara,Leyte</t>
  </si>
  <si>
    <t>CONCRETING OF FARM-TO-MARKET ROAD AT SITIO PULO, MAGALLANES, CAVITE</t>
  </si>
  <si>
    <t>Procurement of various IT equipment/ accesories to be used at the City Accounting Office, Alaminos City</t>
  </si>
  <si>
    <t>CONSTRUCTION OF CONCRETE PEDESTAL FOR SOLAR LAMP AT LIMAY ELEMENTARY SCHOOL</t>
  </si>
  <si>
    <t>20GGF0016 – Procurement  of Global Navigation Satellite System (GNSS) Equipment (1 base, 2 rovers) with Complete Accessories for use in the Planning and Design Section, Iloilo 1st District Engineering</t>
  </si>
  <si>
    <t xml:space="preserve">20BC0212-Repair/Improvement of carriageway along Manila North road and Claveria-Diabalio-Luzon Cagayan boundary road                                                                                    </t>
  </si>
  <si>
    <t>SOLID WASTE</t>
  </si>
  <si>
    <t>DICT WVRO Tech4ed Project</t>
  </si>
  <si>
    <t>Hardware materials for Extension of Pathway, Enhancement of School Landscaping, Repair of Water Pipes of Trento WCES</t>
  </si>
  <si>
    <t>Duplo DPA-A120 Duplicating Machine-SHS</t>
  </si>
  <si>
    <t>20ID0075	- Repair/ Rehabilitation of Damaged Concrete Pavement along Dulag-Julita-Burauen Road, K0946+000-K0947+500 with exceptions</t>
  </si>
  <si>
    <t>20GGF0015 – Procurement  of Spare parts for use in printer INEO+227 of Administrative Section, DPWH Iloilo 1st District Engineering Office.</t>
  </si>
  <si>
    <t>Purchase of 50 units Dual-Band Wifi Gigabit Router.</t>
  </si>
  <si>
    <t>COMPLETION OF COMMERCIAL BUILDING - GOA</t>
  </si>
  <si>
    <t>INSTALLATION OF STREET LIGHTS IN PUROK 1 AND 3, BARANGAY MAHABA</t>
  </si>
  <si>
    <t>IMPROVEMENT OF PLARIDEL CIVIC CENTER - PHASE I</t>
  </si>
  <si>
    <t>Procurement of 1 unit Photocopier machine to be used at City Accounting Office, Alaminos City</t>
  </si>
  <si>
    <t>SUPPLY AND DELIVERY OF VARIOUS CONSTRUCTION MATERIALS FOR TRUCK GARAGE AND BODEGA</t>
  </si>
  <si>
    <t>Supply Delivery and Installation of Thermal Camera</t>
  </si>
  <si>
    <t>REPAIR WORKS AT SAINT FRANCIS NATIONAL HIGH SCHOOL (JUNIOR)</t>
  </si>
  <si>
    <t>PURCHASE OF CURTAINS</t>
  </si>
  <si>
    <t>R/M FOR OFFICE BUILDING SUPPLIES AND MATERIALS</t>
  </si>
  <si>
    <t>COMPUTER EQUIPMENT AND PARTS</t>
  </si>
  <si>
    <t>IMPROVEMENT OF TAMAC DALIT FARM TO MARKET ROAD</t>
  </si>
  <si>
    <t>Supply and Delivery of Aircondition Split Type Inverter 2.5HP</t>
  </si>
  <si>
    <t>Construction of Handwashing &amp; Improvement of K-G6 classrooms and school pergola of Cuevas ES</t>
  </si>
  <si>
    <t>Request for Quotation (HMD-2020-02-0115 Safety Equipment)</t>
  </si>
  <si>
    <t>Procurement of Office Supplies - 1</t>
  </si>
  <si>
    <t>SUPPLIES AND MATERIALS FOR URBAN GREENING</t>
  </si>
  <si>
    <t>Procurement of Solane for the use of Dr. Rafael S. Tumbokon Memorial Hospital-EEDD, Kalibo, Aklan</t>
  </si>
  <si>
    <t>SUPPLY &amp; DELIVERY OF 2 UNITS COMPUTER DESKTOPS</t>
  </si>
  <si>
    <t>GF-20-02-00030B-VARIOUS SUPPLIES (INTERNET CABLE AND OTHERS)</t>
  </si>
  <si>
    <t>PBD Construction of 105 meters Dona Josephina H. Cerilles Ave. Phase 11</t>
  </si>
  <si>
    <t>2nd posting for School Stage</t>
  </si>
  <si>
    <t>Construction of Permanent Danger Zone Warning Signage (Cluster 2), Province of Albay PR No. (300-20-05-0399)</t>
  </si>
  <si>
    <t>MAINTENANCE OF CCTV @ POBLACION #6, AMADEO, CAVITE</t>
  </si>
  <si>
    <t>Contract of Service for the Referees during the 2019-2020 1st Inter-Barangay Basketball Tournament of the Sangguniang Kabataan Federation</t>
  </si>
  <si>
    <t>Installation and Rehabilitation of Street Lighting facilities of Barangay San Blas Paoay, I.N.</t>
  </si>
  <si>
    <t>Laptop-SHS</t>
  </si>
  <si>
    <t>CONDUCT OF SUBDIVISION SURVEY FOR NEW LANDS/COLLECTIVE CLOA UNDER RSS 12,13 &amp;14</t>
  </si>
  <si>
    <t>Procurement of Various Office Supplies - PAGSO</t>
  </si>
  <si>
    <t>Cocoa Powder</t>
  </si>
  <si>
    <t>Repair and Maintenance of Machineries and Equipment at Calasiao, Pangasinan</t>
  </si>
  <si>
    <t>Procurement of Drugs and Medicines</t>
  </si>
  <si>
    <t>GF-20-02-00061B- INK BOTTLE</t>
  </si>
  <si>
    <t>Supply and Delivery of Doorknob, Heavy Duty</t>
  </si>
  <si>
    <t>PROCUREMENT OF TECHNICAL AND SCIENTIFIC EQUIPMENT FOR RESEARCH AND DEVELOPMENT ACTIVITIES</t>
  </si>
  <si>
    <t>Repair of Water Pump</t>
  </si>
  <si>
    <t>R/M SPAREPART OF BARANGAY VEHICLES</t>
  </si>
  <si>
    <t>RFQ (20-06-059) Various Laboratory Supplies and Reagents</t>
  </si>
  <si>
    <t>Request for Quotation (RDTD-2019-11-0887 PVC Pipe)</t>
  </si>
  <si>
    <t>Supply and Delivery of Motorcycle</t>
  </si>
  <si>
    <t>Office supplies</t>
  </si>
  <si>
    <t>Meals &amp; snacks to be served to culling operation team on the culling of hogs at Brgy. San Antonio,Dulacac,Cayucay &amp; Bued, Alaminos City</t>
  </si>
  <si>
    <t>23 TUB DISINFECTING FLUID, HOSPITAL GRADE 5L/1 GAL.</t>
  </si>
  <si>
    <t>Purchase of Medicines and Supplies for MHO PADADA</t>
  </si>
  <si>
    <t>Procurement of Printer Ink</t>
  </si>
  <si>
    <t>Supply and Delivery of Gloves, Clean Large Size, natural rubber latex, smooth surface, beaded cuff, high strength and elasticity, Powder Free 100/Box</t>
  </si>
  <si>
    <t>S &amp; D of Laboratory Supplies (PHO)</t>
  </si>
  <si>
    <t>RFQ-Water Sample Analysis thwrdec</t>
  </si>
  <si>
    <t>PR 20-06-0648</t>
  </si>
  <si>
    <t>Supply and Delivery of Outer Tire with Inner Tube and Flap.</t>
  </si>
  <si>
    <t>CONSTRUCTION OF FENCE</t>
  </si>
  <si>
    <t>Procurement of Water Meters for Pintuyan Water Supply System</t>
  </si>
  <si>
    <t>Water Service connection</t>
  </si>
  <si>
    <t>Procurement of Navigation Equipment under the Hybrid Trimaran Project</t>
  </si>
  <si>
    <t>Procurement of Food Stuff</t>
  </si>
  <si>
    <t>PRINTING OF UNIVERSITY YEARBOOK (COCOON 2018)</t>
  </si>
  <si>
    <t>Supply of Food</t>
  </si>
  <si>
    <t>PURCHASE OF CCTV</t>
  </si>
  <si>
    <t>DARF02.QES.115.20-05-018 CORN-LIVESTOCK INTEGRATION PROJECT</t>
  </si>
  <si>
    <t>CONCRETING OF ROAD, PUROK I, DITEKI, SAN LUIS, AURORA</t>
  </si>
  <si>
    <t>Supply Labor and Materials for the Fabrication of Panel Box Set for NSC Electromagnetic Flow Meter</t>
  </si>
  <si>
    <t>Material for the construction/repair of school building and other structures.</t>
  </si>
  <si>
    <t>Purchase of Multi-Media Projector (heavy duty) PR No. (100(01)20-04-0896)</t>
  </si>
  <si>
    <t>Procurement of Security Services of six (6) security guards for the period July 1, 2020 to December 31, 2020</t>
  </si>
  <si>
    <t>PROCUREMENT OF HRIS AND PAYROLL SYSTEM</t>
  </si>
  <si>
    <t>PR 20-06-0650</t>
  </si>
  <si>
    <t>3-Phase Primary Line Extension and Transformer Installation (3x50 KVA BN)</t>
  </si>
  <si>
    <t>Supplies and Materials for Disinfection and Protection Against Viruses</t>
  </si>
  <si>
    <t>CONCRETING OF BURGOS – QUIRINO PROVINCIAL ROAD @ BURGOS, ISABELA</t>
  </si>
  <si>
    <t>20GA0199-Re-Invitation-Concreting of Barangay Road Brgy. Tondog, Tangalan, Aklan</t>
  </si>
  <si>
    <t>IP RADIO</t>
  </si>
  <si>
    <t>Two (2) Lots Supply and Delivery of Stock Office Supplies under ITB No. SV20-06-003ILO for Lot-1</t>
  </si>
  <si>
    <t>IS Equipment</t>
  </si>
  <si>
    <t>Purchase of Laptop for Sangguniang Bayan Office</t>
  </si>
  <si>
    <t>Purchase of Supplies and Equipment for BPAT</t>
  </si>
  <si>
    <t>S/D of (52) each Plain Panels &amp; Twenty-One (21) LI of SMAC/AVNR, PA (Php 960,640.00)</t>
  </si>
  <si>
    <t>Procurement of Various IT Supplies  - ADH</t>
  </si>
  <si>
    <t>Procurement of CCTV Equipment and Accessories under the Hybrid Trimaran Project</t>
  </si>
  <si>
    <t>RFQ (20-06-031) Various Information Technology Supplies</t>
  </si>
  <si>
    <t>(GO-PDRMMO) REQUEST FOR QUOTATION (RFQ)  For the Procurement 1 Lot Digital VHF Base Radio (20 units) For the Governor’s Office – Provincial Disaster Risk Reduction Management Office--1.3M</t>
  </si>
  <si>
    <t>Invitation to Apply for Eligibility and to Bid for IMPROVEMENT OF BGRY. POBLACION LEVEL II WATER SYSTEM, BALENO, MASBATE</t>
  </si>
  <si>
    <t>RFQ no. 82-2020-G (1 canvass) Hospital/Medical Equipment</t>
  </si>
  <si>
    <t>DARF02.QES.115.20-06-014 IMPROVEMENT OF POULTRY HOUSE FOR NATIVE CHICKEN</t>
  </si>
  <si>
    <t>RFQ no. 81-2020-G (1 canvass) Hospital/Medical Equipment</t>
  </si>
  <si>
    <t>Request for Quotation (HMD-2020-01-0042 Hardware supplies)</t>
  </si>
  <si>
    <t>Faculty Room Repair Materials &amp; Supplies</t>
  </si>
  <si>
    <t>Supply &amp; Delivery of Surveying Instruments for the use Zambo. Norte RSO</t>
  </si>
  <si>
    <t>VARIOUS SUPPLIES FOR REPAIR OF DRAINAGE COVER</t>
  </si>
  <si>
    <t>RFQ no. 83-2020-G (1 canvass) Vehicle Parts &amp; Accesories</t>
  </si>
  <si>
    <t>Office Supplies and Other COnsumables</t>
  </si>
  <si>
    <t>IEC MATERIALS</t>
  </si>
  <si>
    <t>PERSONAL PROTECTIVE</t>
  </si>
  <si>
    <t>REHABILITATION OF BREAKWATER (SABANG) - BRGY. SABANG, VINZONS, CAM. NORTE</t>
  </si>
  <si>
    <t>WIRELESS LAST MILE CONNECTIVITY</t>
  </si>
  <si>
    <t>PBD cONST.IMPROVEMENT OF LAKE WOOD ECOLOGICAL PARK AND MRF 2020 CONSTRUCTION OF PERIMETER FENCE</t>
  </si>
  <si>
    <t>Procurement of Target Client List booklet</t>
  </si>
  <si>
    <t>Procurement of Various Catering Services - OVG/OSP</t>
  </si>
  <si>
    <t>Purchase of construction materials and supplies with labor on pakyaw or takay basis supplied by local laborers for the Repair/Improvement/Construction of Metro Sindangan Canal Phase 2</t>
  </si>
  <si>
    <t>Procurement of 100 pieces Leatherette cover wiht air vent</t>
  </si>
  <si>
    <t>CONSTRUCTION OF EVACUATION CENTER (COMPLETION) @ MUNICIPAL COMPOUND, BURGOS, ISABELA</t>
  </si>
  <si>
    <t>CULTURAL ACTIVITY</t>
  </si>
  <si>
    <t>Extension of the Provincial Treasury Office, Brgy. Suklayin, Baler, Aurora</t>
  </si>
  <si>
    <t>Purchase of Toiletries for the Provision of Farmers Haven Amenities</t>
  </si>
  <si>
    <t>IMPROVEMENT OF BARANGAY ROAD</t>
  </si>
  <si>
    <t>2020-06-0099 Supply and installation of Additional CCTV Cameras with LED TV Monitor for Dormitory and EMU Bldg of DOH - Drug Abuse Treatment and Rehabilitation Ceter, Centro San Antonio, City of Ilaga</t>
  </si>
  <si>
    <t>REPAIR SUPPLIES AND MATERIALS FOR DIVISION OFFICE</t>
  </si>
  <si>
    <t>20A00021: Construction of By-Pass and Diversion Roads, Bauang-San Fernando-San Juan Bypass Road (Bauang Section), La Union</t>
  </si>
  <si>
    <t>PR#05-0003</t>
  </si>
  <si>
    <t>Purchase of Desktop Computer and Printer  for use at JBDAPH Bldg. 1 &amp; 2 PR No. (100(01)20-05-1121)</t>
  </si>
  <si>
    <t>Procurement of supply and delivery of arm sleeve and paddy boots</t>
  </si>
  <si>
    <t>Construction Materials to be used for Backfill of Solar Dryer infront of Barangay Hall at Brgy. Dorongan Sawat, Mangatarem, Pangasinan</t>
  </si>
  <si>
    <t>KC : 24	can	AIR FRESHENER UP TO 9	roll	TWINE PLASTIC;OFFICE SUPPLIES AND CONSUMABLES FOR THE USE OF KC -PAMANA FOR RPMO STAFF</t>
  </si>
  <si>
    <t>Equipment for Training Audit Purposes ( Agri Crop )</t>
  </si>
  <si>
    <t>RFQ no. 84-2020-G (1 canvass) Hospital/Medical Equipment</t>
  </si>
  <si>
    <t>(GO-PDRRMO) REQUEST FOR QUOTATION (RFQ)  For the Procurement 1 unit ADF High Speed Scanner For the Governor’s Office – Provincial Disaster Risk Reduction Management Office--45,000.00</t>
  </si>
  <si>
    <t>20A00070: Construction of By-pass and Diversion Roads, Laoag-San Nicolas Bypass Road (San Nicolas Section), Ilocos Norte</t>
  </si>
  <si>
    <t>REHABILITATION OF PUBLIC MARKET - POBLACION I, VINZONS, CAM. NORTE</t>
  </si>
  <si>
    <t>Outside labor for Siphoning of Sweptic tank:</t>
  </si>
  <si>
    <t>SUPPLY AND DELIVERY OF SUBMERSIBLE PUMP AND MOTOR</t>
  </si>
  <si>
    <t>RFQ (20-06-054) Oxygen</t>
  </si>
  <si>
    <t>Installation of Three (3) Air Conditioning units at Provincial Youth and Development Office at APSEMO Compound, Old Albay District Legazpi City PR No. (100(01)20-05-1128)</t>
  </si>
  <si>
    <t>Purchase of construction materials for water treatment plant shedhouse</t>
  </si>
  <si>
    <t>Construction of Pipe Support that was damaged at Alegre Spring Source, Brgy. Alegre, Bansalan, Davao del Sur</t>
  </si>
  <si>
    <t>Office Equipment</t>
  </si>
  <si>
    <t>Procurement of One Lot Job for the repair &amp; materials for the use of COA-Service Vehicle (SHN-402), Kalibo, Aklan</t>
  </si>
  <si>
    <t>Supply and Delivery of Various IT Training Tools &amp; Equip. (2)</t>
  </si>
  <si>
    <t>RESCUE VEHICLE FOR EMERGENCY RESPONSE</t>
  </si>
  <si>
    <t>Influenza Polyvalent Vaccine injection 0.5ml suspension in a prefilled or ampule (IM) (adult)</t>
  </si>
  <si>
    <t>(NVPH) REQUEST FOR QUOTATION (RFQ)  For the Procurement of Desktop Computer, Laptop &amp; Scanner For the Nueva Vizcaya Provincial Hospital--140,000.00</t>
  </si>
  <si>
    <t>S &amp; D of Session Table (SPO)</t>
  </si>
  <si>
    <t>BPSU: AC-DEAN Layer Production</t>
  </si>
  <si>
    <t>RFQ no. 85-2020-G (1 canvass)</t>
  </si>
  <si>
    <t>Provision of Eye Glasses for Senior Citizen</t>
  </si>
  <si>
    <t>PURCHASE/DELIVERY OF 1 UNIT BACKHOE</t>
  </si>
  <si>
    <t>PR NO. 0620-010</t>
  </si>
  <si>
    <t>MALIMPIN 04-2020 - construction of mini-park</t>
  </si>
  <si>
    <t>Use for the repair of the Community Center Dressing Room</t>
  </si>
  <si>
    <t>Purchase of Supplies and Materials for the Rehabilitation of Child Development Center cum Evacuation Center</t>
  </si>
  <si>
    <t>Purchase of Solar Lights w/ GI Pipe</t>
  </si>
  <si>
    <t>Maintenance of Municipal Vehicle Plate No. CT 1208</t>
  </si>
  <si>
    <t>GAD WOMEN'S MONTH</t>
  </si>
  <si>
    <t>installation of fiber glass board and lighting of basketball court</t>
  </si>
  <si>
    <t>OFFICE EQUIPMENT SUPPLIES &amp; CONSUMABLES</t>
  </si>
  <si>
    <t>Two (2) Lots Supply and Delivery of Stock Office Supplies under ITB No. SV20-06-003ILO for Lot-2</t>
  </si>
  <si>
    <t>Construction of Concrete Pathway</t>
  </si>
  <si>
    <t>Supply and Delivery of Construction Materials used for Sta. Lucia I Elem. School, Sta. Lucia, Sablayan</t>
  </si>
  <si>
    <t>PURCHASE OF FURNITURE AND FIXTURES FOR CRCF OTHER MOOE FOR 2020</t>
  </si>
  <si>
    <t>GOODS-OE-20-2020</t>
  </si>
  <si>
    <t>Cyclophosphamide powder 200mg. (IV)</t>
  </si>
  <si>
    <t>2020-06-0095 Supply and delivery of 6 feet Folding Table of DOH-Drug Abuse Treatment Rehabilitation Center, Centro San Antonio, City of Ilagan, Isabela</t>
  </si>
  <si>
    <t>Janitorial Supplies</t>
  </si>
  <si>
    <t>(PAO) 2ND REQUEST FOR QUOTATION (RFQ)  For the Procurement of Desktop Computer, Laptop &amp; Scanner For Provincial Agricultural Office--160,000.00</t>
  </si>
  <si>
    <t>OFFICE SUPPLIES</t>
  </si>
  <si>
    <t>Construction of Multi-Purpose Building (Phase II), Brgy. Dibut,San Luis, Aurora</t>
  </si>
  <si>
    <t>MATERIALS FOR THE CONSTRUCTION OF PATHWAY AT BARANGAY LLAVAC.</t>
  </si>
  <si>
    <t>ITB FOR CONSTRUCTION MATERIALS TO BE USED FOR CONSTRUCTION OF 109 METERS IRRIGATION CANAL AT P-6, KABUNGA-AN BRGY. HIMAMA-UG, TSDN.</t>
  </si>
  <si>
    <t>PROPOSED RENOVATION OF CAMPUS PLANNING  DEVELOPMENT AND MAINTENANCE OFFICE UNIVERSITY OF THE PHILIPPINES MANILA</t>
  </si>
  <si>
    <t>Purchase of construction materials for water treatment chlorinator house</t>
  </si>
  <si>
    <t>REQUEST FOR QUOTATION: PROCUREMENT OF CELLULAR PHONES FOR OFFICE USE</t>
  </si>
  <si>
    <t>PROVISION OF MATERIALS FOR THE REPAIR OF 1 UNIT PRINTER (R&amp;M-ICT EQUIPMENT)</t>
  </si>
  <si>
    <t>Invitation to Apply for Eligibility and to Bid for IMPROVEMENT OF VALDEMORO SPORTS COMPLEX: CONSTRUCTION OF MUSIC ROOM</t>
  </si>
  <si>
    <t>Procurement of Books - NIPSC Estancia Campus</t>
  </si>
  <si>
    <t>20CB-GSC-325 PURCHASE OF PURIFIED DRINKING WATER</t>
  </si>
  <si>
    <t>RFQ No.06-00652-19 SUPPLY AND DELIVERY OF VARIOUS OFFICE SUPPLIES</t>
  </si>
  <si>
    <t>EMERGENCY PURCHASE FOR CALAMITY</t>
  </si>
  <si>
    <t>Purchase and Delivery Air-conditioning Unit for Mayor’s Office Use</t>
  </si>
  <si>
    <t>Supply, delivery and Installation of Airconditioning Unit (Split-Type, Inverter)</t>
  </si>
  <si>
    <t>(GO-Exec/Admin) REQUEST FOR QUOTATION (RFQ)  For the Procurement of 3,420 pax Meals &amp; Snacks, etc. II For the Governor’s Office – Executive &amp; Administrative Division--1,301,750.00</t>
  </si>
  <si>
    <t>PURCHASE OF DUPLO COMSUMABLES</t>
  </si>
  <si>
    <t>1 unit photocopier</t>
  </si>
  <si>
    <t>Lease of Office and IT Equipment</t>
  </si>
  <si>
    <t>Nephrostomy catheter for percutaneous</t>
  </si>
  <si>
    <t>Request for Quotation (NLPRSD-2020-06-0292 Hydrogen Gas)</t>
  </si>
  <si>
    <t>Purchase of Wipeout and Odoriser, deodorizer to be used at the City Sanitary Landfill.</t>
  </si>
  <si>
    <t>20GA0054-Construction of Bridge (Local Bridge) from Malandayon to  Lilo-an in Brgy. Malandayon, Malinao, Aklan Brgy. Malandayon, Malinao, Aklan</t>
  </si>
  <si>
    <t>RET</t>
  </si>
  <si>
    <t>Supply and Delivery of Construction Materials used for Ligaya Elem. School, Ligaya, Sablayan</t>
  </si>
  <si>
    <t>Purchase of construction materials for water treatment control house</t>
  </si>
  <si>
    <t>Concreting of Barangay Road - Brgy. San Blas, Pilar, Capiz</t>
  </si>
  <si>
    <t>PURCHASE OF CONSTRUCTION MATERIALS FOR TALACOGON CES</t>
  </si>
  <si>
    <t>Diploma Printing</t>
  </si>
  <si>
    <t>Construction of Multi-Purpose Building and Stage, Brgy. Bangco, Maria Aurora, Aurora</t>
  </si>
  <si>
    <t>S &amp; D of ICT Equipment (DepEd)</t>
  </si>
  <si>
    <t>For the Construction of Drainage Line Canal at Nalbagan Street, Bugallon, Pangasinan</t>
  </si>
  <si>
    <t>Supply and Delivery of Construction Materials used for Salvacion Elem. School,Batongbuhay Sablayan</t>
  </si>
  <si>
    <t>Purchase of Water Pump for additional water supplies at Albay Provincial Jail PR No. (100(01)20-01-0130)</t>
  </si>
  <si>
    <t>Procurement of Various Equipment for Teleconferencing</t>
  </si>
  <si>
    <t>Supplly and Delivery of Office Equipment @Brgy Darasa, Tanauan City, Batangas</t>
  </si>
  <si>
    <t>One (1) Lot – Operation and Maintenance Services of Air-conditioning System at ITIOD Data Center, BSP Head Office, as per BSP Terms of Reference</t>
  </si>
  <si>
    <t>For CSS NC II Instructional Materials</t>
  </si>
  <si>
    <t>REQUEST FOR QUOTATION: PROCUREMENT OF OFFICE SUPPLIES NOT AVAILABLE IN PROCUREMENT SERVICE</t>
  </si>
  <si>
    <t>20CB-GSC-326 PURCHASE OF BLOOD CELL COUNTER</t>
  </si>
  <si>
    <t>PURCHASE OF OFFICE EQUIPMENT FOR MSWD, MDRRMO AND COVID CENTER</t>
  </si>
  <si>
    <t>Supply and Delivery of Medicine for 2nd Quarter Use</t>
  </si>
  <si>
    <t>EMERGENCY PURCHASE FOR CALAMITY 2ND WAVE</t>
  </si>
  <si>
    <t>SUPPLY AND DELIVERY OF TEACHER'S TABLES, OFFICE TABLES AND CHAIRS FOR NEWLY HIRED PSHS CALABARZON REGION CAMPUS FACULTY AND STAFF</t>
  </si>
  <si>
    <t>Procurement of Fuel Supply for the Government Vehicle Transportation Used</t>
  </si>
  <si>
    <t>RFQ (20-06-052) Entera Nutrition - Pediatric POlymeric 400g 1-3 years old</t>
  </si>
  <si>
    <t>SUPPLY AND DELIVERY OF OFFICE SUPPLIES FOR THE QUARANTINE PASS PRODUCTION</t>
  </si>
  <si>
    <t>JSES ICT SUPPLY</t>
  </si>
  <si>
    <t>JO NO. 0620-0016</t>
  </si>
  <si>
    <t>20CB-GSC-327 PURCHASE OF ENGINE OIL FOR MOTOR VEHICLE</t>
  </si>
  <si>
    <t>RFQ-Waste Water Analysis thwrdec</t>
  </si>
  <si>
    <t>PROCUREMENT OF TIRES</t>
  </si>
  <si>
    <t>Invitation to Apply for Eligibility and to Bid for INSTALLATION OF LIGHTINGS FOR STORM-SURGE-PREVENTING BREAKWATER AND SEA WALL    (PHASE II)</t>
  </si>
  <si>
    <t>PBD Construction of Dagum-Tiwales Road(Road Opening)</t>
  </si>
  <si>
    <t>Concreting of Barangay Road - Brgy. Tabun-acan, Pilar, Capiz</t>
  </si>
  <si>
    <t>Purchase of Fertilizer</t>
  </si>
  <si>
    <t>Supply and Delivery of Live Animals and feeds</t>
  </si>
  <si>
    <t>SUPPLY AND DELIVERY OF DESKTOP COMPUTER AND PRINTER FOR MAYOR'S OFFICE</t>
  </si>
  <si>
    <t>Printing of Tarpaulins</t>
  </si>
  <si>
    <t>Proposed Construction of Market Fire Exit Stairs(additional) phase II at Legazpi City Public Market</t>
  </si>
  <si>
    <t>REPOSTING  FOR MACHINERY  &amp;  EQUIPMENT OUTLAY FOR THE PURCHASE OF ONE UNIT NURSING SIMULATOR FOR THE USE OF COLLEGE OF HEALTH SCIENCES</t>
  </si>
  <si>
    <t>PROCUREMENT OF OFFICE SUPPLIES FOR MUNICIPAL HEALTH OFFICE</t>
  </si>
  <si>
    <t>EMERGENCY PURCHASE FOR CALAMITY (MEDICINES)</t>
  </si>
  <si>
    <t>Supply and Delivery of Construction Materials used for Repair of PNP-HPG Office</t>
  </si>
  <si>
    <t>Supply and Delivery of Materials for the Fabrication of Spool, Bend Connections and Exposed Steel Pipe for Silay City Water District</t>
  </si>
  <si>
    <t>Purchase of Motorcycle for Engineering, OBO, BAC, Waterworks offices.</t>
  </si>
  <si>
    <t>20CB-GSC-329 PURCHASE OF MATERIALS FOR SLAUGHTERHOUSE</t>
  </si>
  <si>
    <t>JO NO. 0620-0017</t>
  </si>
  <si>
    <t>RFQ No. 20-0543 Shoping B - Supply and Delivery of 1st Quarter FY 2020 Office Supplies for DSWD Legal Service</t>
  </si>
  <si>
    <t>A DIVERSIFIED FARMING LIVELIHOOD PROJECT OF TULTUGAN FARMERS PRACTITIONERS ASSOCIATION- CALAPE, BOHOL</t>
  </si>
  <si>
    <t>PROCUREMENT OF MEDICAL SUPPLIES AND EQUIPMENT (ITB No. 2020-154)-(bpmc)</t>
  </si>
  <si>
    <t>BPSU:AC-DEAN Laboratory of Broiler Production</t>
  </si>
  <si>
    <t>1	Materials &amp; Equipment Rental for the Improvement of Agriculture Office, Brgy. Sablogon, Passi City, Iloilo, (P 83,910.39), 2	Materials and Equipment Rental for the Construction of Kiosk at Bus Termi</t>
  </si>
  <si>
    <t>All purpose cream, 250ml, tetra pack</t>
  </si>
  <si>
    <t>For COVID-19 Preparedness</t>
  </si>
  <si>
    <t>Supply and Delivery of Office Supplies and Housekeeping Supplies for PSWD Mamburao, and PSWD Sub-Office in San Jose and Sablayan</t>
  </si>
  <si>
    <t>CRFPSP PROJECTS</t>
  </si>
  <si>
    <t>BPSU:AC-DEAN Laboratory of 3 Programs</t>
  </si>
  <si>
    <t>Construction Supplies</t>
  </si>
  <si>
    <t>20GA0203-Construction of Bridge (Local Bridge) in Brgy. Laguinbanua, Ibajay, Aklan  Brgy. Laguinbanua, Ibajay, Aklan</t>
  </si>
  <si>
    <t>S &amp; D of Veterinary Drugs and Supplies (PVO)</t>
  </si>
  <si>
    <t>REPAIR &amp; MAINTENANCE OF PERIMETER FENCES</t>
  </si>
  <si>
    <t>Procurement of High Speed Sewing Machine &amp; Sewing Machine Motor for the use of Dr. Rafael S. Tumbokon Memorial Hospital-Linen Section, Kalibo, Aklan</t>
  </si>
  <si>
    <t>20CB-GSC-328 PURCHASE OF TEXTBOOKS MATERIALS</t>
  </si>
  <si>
    <t>RFQ no. 86-2020-G (1 canvass) Furniture</t>
  </si>
  <si>
    <t>Purchase of portable welding machine 500amps</t>
  </si>
  <si>
    <t>20CB-GSC-330 PURCHASE OF FURNITURE AND FIXTURES</t>
  </si>
  <si>
    <t>For Precautionary Measure due to COVID-19 at Admin. Building, CAregiving, Hostel, Function Hall, Civil Tech, Clinic, Welding, EPAS, Garments, Assessment, CSS and CENTEX</t>
  </si>
  <si>
    <t>JO NO. 0620-0018</t>
  </si>
  <si>
    <t>Procurement of Corn Seeds for Corn Production areas of Surigao del Sur.</t>
  </si>
  <si>
    <t>Procurement of Meals and Snacks</t>
  </si>
  <si>
    <t>20CB-GSC-331 PURCHASE OF FUELS &amp; LUBRICANTS (RE-BID)</t>
  </si>
  <si>
    <t>Concreting of Road w/ Line Canal, Brgy. Caragsacan, Dingalan, Aurora</t>
  </si>
  <si>
    <t>Proposed road Concreting at Brgy. 15- Ilawod East, Legazpi City</t>
  </si>
  <si>
    <t>BPSU:AC-DEAN Layer Production-Feeds</t>
  </si>
  <si>
    <t>Procurement of Ozone Generator for DOST RO1 Room Disinfection</t>
  </si>
  <si>
    <t>Representation Expenses (AFPPS-PhP160,875.00)</t>
  </si>
  <si>
    <t>Printer-HRMO GAD</t>
  </si>
  <si>
    <t>Procurement of TLE Instructional Tools and Materials</t>
  </si>
  <si>
    <t>20GAC0018 - Supply and Delivery of Thermoplastic Paint (White) for the Maintenance of Roads Along NSR / MNR</t>
  </si>
  <si>
    <t>BPSU:AC-DEAN Quail Production</t>
  </si>
  <si>
    <t>Office Supplies for Engineering Office and Works for Second Quarter 2020</t>
  </si>
  <si>
    <t>SUPPLY &amp; DELIVERY OF MATERIALS FOR THE CONSTRUCTION OF TREE HOUSE</t>
  </si>
  <si>
    <t>P.R NO. 100-2020-03-0323 PURCHASE OF AGRICULTURAL MATERIALS USE FOR RE-FORESTATION</t>
  </si>
  <si>
    <t>SUPPLY AND DELIVERY OF VARIOUS EQUIPMENTS</t>
  </si>
  <si>
    <t>Rebidding of Office Supplies and Materials of the Schools Division of Iloilo City</t>
  </si>
  <si>
    <t>Purchase of Laptop to be use by the Audit Team Member (Gen. M. Natividad/Palayan)</t>
  </si>
  <si>
    <t>Fabrication of Canopy Tent PR # 2020-06-04-176</t>
  </si>
  <si>
    <t>SUPPLY &amp; DELIVERY OF R/M PUBLIC INFRASTRUCTURE</t>
  </si>
  <si>
    <t>Proposed Rehabilitation of Drainage System at Brgy. 3-EM's Barrio East, Legazpi City</t>
  </si>
  <si>
    <t>PROCUREMENT OF MECHANICAL BEDS, MATTRESS AND BP APPARATUS (ITB No. 2020-155)-(bph-kalilangan)</t>
  </si>
  <si>
    <t>Supply and delivery of electrorode padz for AED</t>
  </si>
  <si>
    <t>PROVISION OF LABOR AND MATERIALS FOR THE THE ENHANCEMENT OF HANDWASHING FACILITY OF THE SCHOOL. (R&amp;M- OTHER STRUCTURES)</t>
  </si>
  <si>
    <t>RFQ NO. ADMIN 2020-03-030</t>
  </si>
  <si>
    <t>FURNISHING OF CONSTRUCTION MATERIALS FOR BARANGAY MALAMA, LIGAO CITY</t>
  </si>
  <si>
    <t>BPSU:OC-Fisheries Program-Laboratory Equipment Aquaculture</t>
  </si>
  <si>
    <t>S &amp; D of Vegetable Seeds (P. Agri)</t>
  </si>
  <si>
    <t>GASOLINE FOR GRASSCUTTER &amp; DIESEL FUEL FOR VEHICLES AND STAND BY POWER GENERATOR 3RD QUARTER CY 2020</t>
  </si>
  <si>
    <t>UPGRADING/INSTALLATION OF ISOLATION FACILITY</t>
  </si>
  <si>
    <t>Purchase of Additional Fertilizer</t>
  </si>
  <si>
    <t>Purchase WiFi Modem and WiFi Router for Mayor’s Office</t>
  </si>
  <si>
    <t>for MDRRM Office. Local Government Unit-Nabua, Camarines Sur</t>
  </si>
  <si>
    <t>20GAC0019 - Supply and Delivery of Thermoplastic Paint (Yellow) for the Maintenance of Roads Along NSR / MNR</t>
  </si>
  <si>
    <t>CO - Other Machinery and Equipment</t>
  </si>
  <si>
    <t>RFQ FOR VARIOUS OFFICE SUPPLIES &amp; CONSUMABLES FOR DARPO CATANDUANES - ALL SECTORS</t>
  </si>
  <si>
    <t>FURNISHING OF MATERIALS FOR THE INSTALLATION OF POINT TO POINT (P2P) WIRELESS CCTV SYSTEM</t>
  </si>
  <si>
    <t>for Maintenance of MDRRM Ambulance, Local Government Unit - Nabua, Camarines Sur</t>
  </si>
  <si>
    <t>8.25x20 Road Lug Tire</t>
  </si>
  <si>
    <t>Procurement of Laboratory Supplies of Rural Health Unit</t>
  </si>
  <si>
    <t>Procurement of Technical and Scientific Equipment (Lot 1. Water bath/holding tank with thermometer heater stainless steel bracing pan, etc</t>
  </si>
  <si>
    <t>Supply of Delivery of construction material for Marigondon Elementary School</t>
  </si>
  <si>
    <t>SUPPLY AND DELIVERY OF HANDHELD RADIO (ITB No. 2020-156)-(sp-maramara)</t>
  </si>
  <si>
    <t>Supplly and Delivery of Various Environmental Supplies @Brgy Ulango, Tanauan City, Batangas</t>
  </si>
  <si>
    <t>SUPPLY OF MATERIALS FOR WATER SOURCE DEVELOPMENT AND INSTALLATION OF PIPES AND ACCESSORIES</t>
  </si>
  <si>
    <t>Supply and Delivery of Welding Machine</t>
  </si>
  <si>
    <t>For Hilot (Wellness Massage) NC II Training</t>
  </si>
  <si>
    <t>Procurement of Window Blinds and Glass Sticker - Lot 1 - Window Blinds - OVG</t>
  </si>
  <si>
    <t>CONSTRUCTION MATERIALS AND SUPPLIES</t>
  </si>
  <si>
    <t>Construction of Deep well at Zone III Brgy, San Miguel</t>
  </si>
  <si>
    <t>SD of 1500 prs Working Glove &amp; 10 others</t>
  </si>
  <si>
    <t>20CB-GSC-333 PURCHASE OF CORE VALUE T-SHIRTS WITH COLLAR AND PRINT</t>
  </si>
  <si>
    <t>Other Supplies-MHO-Admin</t>
  </si>
  <si>
    <t>JO NO. 0620-0019</t>
  </si>
  <si>
    <t>Procurement of Office Supplies PR # 2020-06-04-179, 2020-06-04-182 and 2020-06-08-186</t>
  </si>
  <si>
    <t>supply &amp; delivery of Goods &amp; Commodities</t>
  </si>
  <si>
    <t>Procurement of Hatchery Equipments and Paraphernalia for the use of Intensive Tilapia Hatchery, Province of Aklan/ITB no: 2020-334</t>
  </si>
  <si>
    <t>PURCHASE OF TACTICAL PANTS</t>
  </si>
  <si>
    <t>20GA0221-Concreting of Sitio Liong to Sitio Tacube, Brgy. Calimbajan FMR Brgy. Calimbajan, Makato, Aklan</t>
  </si>
  <si>
    <t>Other Supplies-MPDC</t>
  </si>
  <si>
    <t>Hybrid Trimaran Vessel Classification</t>
  </si>
  <si>
    <t>20CB-GSC-334 PURCHASE OF VARIOUS OFFICE EQUIPMENT</t>
  </si>
  <si>
    <t>purchase of office supplies</t>
  </si>
  <si>
    <t>RFQ CORRECTIVE MAINTENANCE SERVICE OF GENERATOR SET II (AKSA)</t>
  </si>
  <si>
    <t>SUPPLY &amp; DELIVERY OF INSERT WATER METER &amp; TAILPIECE GASKET</t>
  </si>
  <si>
    <t>Supply of materials &amp; labor for the Construction of Climate-Resilient School Stage, San Jose Elementary School, San Jose, City of Sto. Tomas, Batangas</t>
  </si>
  <si>
    <t>Calibrated burette 60 drop/ml non-toxic</t>
  </si>
  <si>
    <t>T-shirt for CoVid 19 Border Control Personnel</t>
  </si>
  <si>
    <t>Procurement of ICT Resources for Geospatial Information and System Management Use</t>
  </si>
  <si>
    <t>PR 20-06-084</t>
  </si>
  <si>
    <t>RFQ NO ADMIN 2020-03-029</t>
  </si>
  <si>
    <t>PROC. OF WORKS FOR THE CONST'N OF CRISIS CENTER INCL. MADAC DRUG TREATMENT OFFICE</t>
  </si>
  <si>
    <t>Procurement of Office Equipment   PR # 2020-06-04-181 &amp; PR # 2020-06-08-187</t>
  </si>
  <si>
    <t>RFQ No. 20-0545 NP-SV Supply and Delivery of Group Statue made of Lahar</t>
  </si>
  <si>
    <t>Procurement of Tablets</t>
  </si>
  <si>
    <t>Procurement of Supplies and Materials to be used for the Provision of Sleeping Quarters in the Regional Office</t>
  </si>
  <si>
    <t>supply, delivery &amp; printing of Pamphlets, Letterheads &amp; Tarpaulins</t>
  </si>
  <si>
    <t>Proposed Rehabilitation/Improvement of School Facilities at Legazpi Port Elementary School Brgy. 31- Baybay, Legazpi City</t>
  </si>
  <si>
    <t>Supply and Delivery of Construction Materials</t>
  </si>
  <si>
    <t>Laptop (SB Members)</t>
  </si>
  <si>
    <t>Supply and delivery of laboratory supplies for BeMONC Facility</t>
  </si>
  <si>
    <t>Supply and delivery of various materials for replenishment's of stocks/maintenance before meter of CWD</t>
  </si>
  <si>
    <t>Procurement of Window Blinds and Glass Sticker - Lot 2 - Glass Sticker</t>
  </si>
  <si>
    <t>Improvement / Upgrading of Pasalubong Center (Window Grilles, Door and Tables)</t>
  </si>
  <si>
    <t>MEDICAL SUPPLIES  ( for Additional purchase for COVID 19 ) RHU</t>
  </si>
  <si>
    <t>Supply and Delivery of Various Medicines</t>
  </si>
  <si>
    <t>SUPPLY, DELIVERY, INSTALLATION OF SOLAR STREET LIGHTS FOR VARIOUS BARANGAY'S OF BUKIDNON (ITB No. 2020-157)-(sp-maramara, sp dinlayan and sp-gayon)</t>
  </si>
  <si>
    <t>Supply and Delivery of Various Software Licenses for the Management Information System Office</t>
  </si>
  <si>
    <t>PURCHASE OF FUEL, OIL AND LUBRICANTS, CMO, CALBAYOG CITY</t>
  </si>
  <si>
    <t>Ligating clip ML, 6 clips/cartridge,     non-absorbable polymer</t>
  </si>
  <si>
    <t>SUPPLY &amp; DELIVERY OF IT EQUIPMENT</t>
  </si>
  <si>
    <t>Installation of 167 KVA Transformer, Brgy. Caragsacan, Dingalan, Aurora</t>
  </si>
  <si>
    <t>SD of 60 pcs Hardiflex 1/4x4x8 &amp; 70 others</t>
  </si>
  <si>
    <t>PROC. OF WORKS FOR THE CONST'N OF 1 UNIT - 67.20 SQ.M. AND 3 UNITS - 25.5 SQ.M. MRF AT BRGY BATOBATO, TALISAY AND CAMBALEON</t>
  </si>
  <si>
    <t>Procurement of Brand New Tires</t>
  </si>
  <si>
    <t>Upgrading of Staboardside Main Engine of BRP Hydrographer Ventura</t>
  </si>
  <si>
    <t>Supply and Delivery of Tires for the use of Roxas City Philippine National Police</t>
  </si>
  <si>
    <t>JANITORIAL SERVICES</t>
  </si>
  <si>
    <t>PURCHASE OF PAINTING MATERIALS FOR TODA (TRICYCLE)</t>
  </si>
  <si>
    <t>Request for Quotation for the Provision of Agricultural Products to be used the conduct of "KAAYUHAN SA KADAHUNAN": A Webinar on Medicinal and Culinary Herbs Production and Processing on June 19(Episo</t>
  </si>
  <si>
    <t>Procurement of Office Supplies and Equipment</t>
  </si>
  <si>
    <t>20CB-GSC-332 PURCHASE OF SPARE PARTS FOR MOTOR VEHICLE</t>
  </si>
  <si>
    <t>Office Supplies-PAO</t>
  </si>
  <si>
    <t>Procurement of Hardware Supplies PR # 2020-06-08-184</t>
  </si>
  <si>
    <t>Office Supplies for IPO Use</t>
  </si>
  <si>
    <t>PURCHASE OF STOCK PILES</t>
  </si>
  <si>
    <t>MEALS AND SNACKS-HRMO-GAD</t>
  </si>
  <si>
    <t>2nd posting for Faulty Electrical Wirings</t>
  </si>
  <si>
    <t>Supply of Labor &amp; Materials for the Repair/Improvement of Temporary Isolation Facility (Recto Building) at San Luis  Central School, San Luis, Batangas</t>
  </si>
  <si>
    <t>Pag-IBIG Fund CHQ (SUPPLY AND DELIVERY OF MOBILE INTERNET DEVICES)</t>
  </si>
  <si>
    <t>2020 Quadrivalent Inactivated Influenza Vaccine</t>
  </si>
  <si>
    <t>RFQ Supply &amp; Delivery of D.I.S.T.C 2", 3" &amp; 4"</t>
  </si>
  <si>
    <t>Proposed Concrete Fence and Slope Protection at Lamba Elementary School, Brgy. 60- Lamba, Legazp City</t>
  </si>
  <si>
    <t>PURCHASE AND DELIVERY OF IT EQUIPMENTS, POBLACION, BALBALAN</t>
  </si>
  <si>
    <t>DILP ASSISTANCE 2020-06-02-BBFO</t>
  </si>
  <si>
    <t>Industrial Salt Ion Exchange Resin</t>
  </si>
  <si>
    <t>Purchase of One (1) Unit Vat (Kawa "47) to be used at the slaughter house</t>
  </si>
  <si>
    <t>CONSTRUCTION OF MULTI-PURPOSE HALL BRGY CANTONGTONG JIABONG SAMAR</t>
  </si>
  <si>
    <t>Purchase of Office Supplies for the use of OSCA as requested by City Social Welfare and Development Office(PR# 324)</t>
  </si>
  <si>
    <t>Concreting of Barangay road</t>
  </si>
  <si>
    <t>electrical materials use in the repair and maintenance of various streetlights at Legazpi City</t>
  </si>
  <si>
    <t>PROVISION OF SURVEY SERVICES-LOT 3 -CSII-2020(CC)/LOT 4-CSII-2020(NL) /LOT 5-CSII-2020(NL)</t>
  </si>
  <si>
    <t>SD of 5 sets Window Roller Blinds 120 x 180 &amp; 30 others</t>
  </si>
  <si>
    <t>20GOF0010 Supply and Delivery of Clearance Light (Amber) and Sixteen others for use of Drop Side Truck with DPWH No. H2-348/Property Plate No. DOQ-314 assigned at Maintenance Section, Quezon City I En</t>
  </si>
  <si>
    <t>Supply and Delivery of Appliances</t>
  </si>
  <si>
    <t>VARIOUS SUPPLIES FOR REHAB/CONSTRUCTION OF DRAINAGE CANAL SYSTEM</t>
  </si>
  <si>
    <t>SUPPLIES &amp; MATERIALS FOR IMPROVEMENT OF DAY CARE CENTER</t>
  </si>
  <si>
    <t>PROCUREMENT OF LOGISTIC SUPPLIES FOR RABIES CONTROL PROGRAM OF THE MUNICIPAL AGRICULTURE OFFICE FOR THE 1ST QUARTER OF THE YEAR 2020</t>
  </si>
  <si>
    <t>Supply of Labor &amp; Materials for Spot Replacement of Existing Rotten Corrugated  G.I. Sheet Roofing &amp; Wood Purlins of Medical C.D. Ward Building</t>
  </si>
  <si>
    <t>REPOSTING  FOR MACHINERY  &amp;  EQUIPMENT OUTLAY FOR THE PURCHASE OF VARIOUS EQUIPMENT FOR THE SCIENCE LABORATORY SKSU-KALAMANSIG CAMPUS</t>
  </si>
  <si>
    <t>Office Supplies for DILG Office Use</t>
  </si>
  <si>
    <t>Procurement of Customized Cabinet, Accounting Office</t>
  </si>
  <si>
    <t>Procurement of Prepaid Cards PR # 2020-06-04-183</t>
  </si>
  <si>
    <t>20GOF0011 Supply and Delivery of Data Arch File Folder and one (1) other for use of various Sections at Quezon City I District Engineering Office</t>
  </si>
  <si>
    <t>Supply and Delivery of Administrative Facilities and Equipment</t>
  </si>
  <si>
    <t>RFQ Supply &amp; Delivery OF PLASTIC FITTINGS</t>
  </si>
  <si>
    <t>Purchase of various Steel / Metal Cabinets, Rubber Boots Rack and Computer Tables for the use of Slaughterhouse as requested by City Agriculturist's Office(PR# 328)</t>
  </si>
  <si>
    <t>Printing &amp; Publication Expenses-MBO</t>
  </si>
  <si>
    <t>Supply and Delivery of Agricultural Products</t>
  </si>
  <si>
    <t>Service Provider for the Pre-construction Documents of Proposed INREMP-LES 2 Processing Centers in Sagada, Mountain Province</t>
  </si>
  <si>
    <t>Procurement of Technical and Scientific Equipment (Lot 2. Spectrophotometer, Digital sugar refractometer, etc.)</t>
  </si>
  <si>
    <t>Procurement of Rescue and Communication Equipment</t>
  </si>
  <si>
    <t>Procurement of Various IT Supplies (Toner Cartridges)</t>
  </si>
  <si>
    <t>Purchase of Bond Papers (Letter, Folio and A4) for the use of City General Services Office(PR# 330)</t>
  </si>
  <si>
    <t>CATERING SERVICES DURING SP SESSION/LEGISLATIVE ACTIVITIES, SPO, CALBAYOG CITY</t>
  </si>
  <si>
    <t>Procurement of Agricultural inputs....diff vegetable seeds and  other farm inputs under DAR ARBold program</t>
  </si>
  <si>
    <t>SUPPLY AND DELIVERY OF MATERIALS FOR INSTALLATION OF SOLAR STREETLIGHTS</t>
  </si>
  <si>
    <t>SUPPLY &amp; DELIVERY OF FUEL, OIL AND LUBRICANTS</t>
  </si>
  <si>
    <t>REHABILITATION / IMPROVEMENT OF POTABLE WATER SYSTEM - LEVEL II AT CORONON, DAVAO DEL SUR</t>
  </si>
  <si>
    <t>Purchase of Drugs and Medicines for the use of City Health Office(PR# 333)</t>
  </si>
  <si>
    <t>Hardware materials</t>
  </si>
  <si>
    <t>Construction of 10 cu.m. Capacity Ground Support Reinforced Concrete Water Reservoir with Fittings and Watchman's Quarter (Construction Materials only)</t>
  </si>
  <si>
    <t>1 year Subscription of Firewall ( Renewal )</t>
  </si>
  <si>
    <t>INVITATION TO BID ON THE CONTRACT OF FENCING OF MUNICIPAL BAYWALK</t>
  </si>
  <si>
    <t>Construction of Hanging Bridge at Sitio Tabiis Anak, N.Q.</t>
  </si>
  <si>
    <t>GAD ACTIVITY - MEDICAL SERVICES (COMPLETE BLOOD CHEMISTRY, URINALYSIS 7 X-RAY) FOR SDO URDANETA CITY PERSONNEL</t>
  </si>
  <si>
    <t>Office supplies and equipment for official use of MENRO.</t>
  </si>
  <si>
    <t>20GOF0012 Supply and Delivery of L-Type Table with Partition and four (4) others for use of Construction Section at Quezon City I District Engineering Office</t>
  </si>
  <si>
    <t>Purchase of Drugs and Medicines for the use of City Health Office(PR# 334)</t>
  </si>
  <si>
    <t>Supply and Delivery of Various Materials</t>
  </si>
  <si>
    <t>Procurements of Spare Parts</t>
  </si>
  <si>
    <t>Procurement of Spare Parts for 10W Dumptruck</t>
  </si>
  <si>
    <t>Supply and Delivery of Cleaning Materials for Sanitation and Disinfection of various buildings</t>
  </si>
  <si>
    <t>Catering Service for the JOINT COUNCIL Meeting</t>
  </si>
  <si>
    <t>CONSTRUCTION OF LOCAL ACCESS ROAD</t>
  </si>
  <si>
    <t>PR 20-06-086</t>
  </si>
  <si>
    <t>N95 Small</t>
  </si>
  <si>
    <t>Strenghtening of Internet Connectivity for New Normal Classes</t>
  </si>
  <si>
    <t>RELIEF OPERATION</t>
  </si>
  <si>
    <t>Purchase of Desktop Computers with Complete Accessories, Printers and UPS for the use of Slaughterhouse as requested by City Agriculturist's Office(PR# 337)</t>
  </si>
  <si>
    <t>Meals &amp; Snacks for the 2nd Quarter Joint PPOC, PADAC and PDC Meeting of the Province</t>
  </si>
  <si>
    <t>Procurement of Common Use Supplies</t>
  </si>
  <si>
    <t>RFQ (20-06-049) Various Supplies for Mechanical Ventilator Rental Use</t>
  </si>
  <si>
    <t>20GOF0013 Supply and Delivery of Flat Latex Paint (White) for use in Maintenance of various National Roads within District I, II, V and VI, Q.C.</t>
  </si>
  <si>
    <t>Supply and Delivery of Impeller for the replacement of Worn out/damage impeller Mickey of Bantay Dagat Patrol Boat,, Sipalay City, Negros Occidental</t>
  </si>
  <si>
    <t>20GOF0014 Supply and Delivery of Cold Mix Asphalt for use in Maintenance/Rehabilitation and Improvement of National Roads in District I, II, V and VI, Q.C.</t>
  </si>
  <si>
    <t>Procurement of Supply &amp; Installation of Computer Parts of Deped RO</t>
  </si>
  <si>
    <t>Purchase of Construction Materials for use in the repairs and maintenance of various facilities including repair of tents assigned at Ancillary Services Unit as requested by CMO(PR# 341)</t>
  </si>
  <si>
    <t>INVITATION TO BID FOR VEHICLES (2 WHEELS) AND ACCESSORIES (BID NO. 200623-19)</t>
  </si>
  <si>
    <t>LIQUID SOAP KIT</t>
  </si>
  <si>
    <t>CONSTRUCTION MATERIALS OF COVERED COURT AT MENTERYONG DAAN PONDOL BALAMBAN CEBU   (Materials Only) ME</t>
  </si>
  <si>
    <t>Procurement of IT Equipment PR # 2020-06-08-188</t>
  </si>
  <si>
    <t>Procurement of Construction Materials and Supplies for the rehabilitation of facility for Humanitarian Assistance &amp; Disaster Response (HADR), Laoag International Airport</t>
  </si>
  <si>
    <t>PURCHASE OF ONE YEAR SSL SUBSCRIPTION FOR THE MUNICIPALITY OF BALIWAG</t>
  </si>
  <si>
    <t>Purchase of Nine Hundred Twenty Six (926) pieces of Hard Bound Cover for the use of City Civil Registrar's Office(PR# 338)</t>
  </si>
  <si>
    <t>SUPPLY &amp; DELIVERY OF MEALS AND SNACKS FOR THE ORIENTATION ON SEXUALLY TRANSMITTED INFECTION AND HIV TO YOUTH SECTOR IN THE PROVINCE OF MAGUINDANAO - PGO</t>
  </si>
  <si>
    <t>Supply, Delivery and Installation of One (1) Brand New 75 kVA (60 kW) Silent Type Diesel Electric Generator Set with Complete Standard Accessories</t>
  </si>
  <si>
    <t>RFQ (20-06-053) Compressed Air</t>
  </si>
  <si>
    <t>Purchase of Construction and Electrical Materials for use in the repairs and maintenance of various facilities in Lucena City as requested by CMO(PR# 343)</t>
  </si>
  <si>
    <t>DELIVERY OF MATERIALS FOR THE IMPROVEMENT OF WATERWORKS SYSTEM (BRGY. BUYOG)</t>
  </si>
  <si>
    <t>ELECTRONIC - WEBCAM</t>
  </si>
  <si>
    <t>IMPROVEMENT OF MULTI-PURPOSE BUILDING</t>
  </si>
  <si>
    <t>COMMON-USE OFFICE SUPPLIES AND EQUIPMENT FOR THE DIVISION OFFICE (THIRD QUARTER)</t>
  </si>
  <si>
    <t>20GOF0015 Supply and Delivery of Thermoplastic Paint White and One (1) other, to be used along various National Roads in District I, II, V and VI, Q.C.</t>
  </si>
  <si>
    <t>Rice</t>
  </si>
  <si>
    <t>PURCHASE OF DESKTOP COMPUTER AND CPU, CEO, CALBAYOG CITY</t>
  </si>
  <si>
    <t>20GOF0016 Gender and Development (GAD) Activities in the observance of National Women’s Celebration and 18-Day End VAW Campaign</t>
  </si>
  <si>
    <t>Procurement of Construction Supplies and Materials for the Improvement of Public Building(Ceiling and Water Line)</t>
  </si>
  <si>
    <t>9 sacks Rice F1</t>
  </si>
  <si>
    <t>Purchase of Construction Materials for use in the installation of Drainage Structure at Don Victorville Subd., Brgy. Silangang Mayao, Lucena City as requested by City Engineering Office(PR# 348)</t>
  </si>
  <si>
    <t>Provision of Food and Physical Arrangement of the Venue relative to the conduct of Mid-year Performance Assessment (MYPA) &amp; 2nd Sem Re-Planning Exercises and Year-end Performance Assessment (YEPA) &amp; C</t>
  </si>
  <si>
    <t>FABRICATION OF SYMBOLIC GONG WITH 7" DIAMETER TO BE INSTALLED AT MUNICIPAL LOBBY.</t>
  </si>
  <si>
    <t>Purchase &amp; Delivery of Information Technology Parts &amp; Accessories &amp; Paraphernalia to be used for YP4 Registration of Trainees and Registration of Computer Systems Servicing NC II with UTPRAS, LTPC, Su</t>
  </si>
  <si>
    <t>Printing, supply and delivery of UCPB Certificate of Time Deposit-Peso ORF BBG-2020-05</t>
  </si>
  <si>
    <t>Supply and Delivery of Various Office Furnitures</t>
  </si>
  <si>
    <t>Procurement of janitorial supplies</t>
  </si>
  <si>
    <t>Consulting Services for the Relocation, Topographic and Subdivision Survey of Various LGU Owned Lots</t>
  </si>
  <si>
    <t>Concreting of Perlita Road</t>
  </si>
  <si>
    <t>PROC. OF VCM&amp;S FOR ROAD REHABILITATION AT KABAISANAN, PUROK PERLAS, BATOBATO, SAN ISIDRO, DAVAO ORIENTAL</t>
  </si>
  <si>
    <t>RFQ 2020 - 06 - 21 Upgrade Equiptment for Barista NC II</t>
  </si>
  <si>
    <t>Procurement of 1 Set Steel Water Tank for Slaughterhouse use</t>
  </si>
  <si>
    <t>Fuel (Garbage Collection Transport and Disposal)</t>
  </si>
  <si>
    <t>Floor Tiling</t>
  </si>
  <si>
    <t>Construction of Mini-Library</t>
  </si>
  <si>
    <t>Provision of TLE Equipment and Materials</t>
  </si>
  <si>
    <t>Purchase of Construction and Other Materials for use in the construction of New Muslim Cemetery at Brgy. Marketview, Lucena City as requested by CMO(PR# 353)</t>
  </si>
  <si>
    <t>RFQ - Procurement of Food Packs for PDIC employees, LBPSC contractuals and drivers, security and housekeeping personnel</t>
  </si>
  <si>
    <t>Desktop Computer and Printers</t>
  </si>
  <si>
    <t>Supply and delivery of water service connection materials</t>
  </si>
  <si>
    <t>CONSTRUCTION/REHABILTATION OF IRRIGATION SYSTEM</t>
  </si>
  <si>
    <t>Office Supplies-MCO</t>
  </si>
  <si>
    <t>PURCHASE OF VARIOUS CONSTRUCTION MATERIALS</t>
  </si>
  <si>
    <t>Purchase of various Materials and Supplies including Electrical Works, Duct Works and Water Piping Installation for the Air Conditioning System of Lucena City Convention Center at Brgy. Mayao Kanluran</t>
  </si>
  <si>
    <t>Procurement of Executive Order (Tarpaulin ) Schedule Barangay</t>
  </si>
  <si>
    <t>CONSTRUCTION OF GENDER SENSITIVE COMMON C.R</t>
  </si>
  <si>
    <t>Procurement of Technical and Scientific Equipment (Lot 3. Automated rain gauge and Water level monitoring)</t>
  </si>
  <si>
    <t>Refrigerator and Freezer</t>
  </si>
  <si>
    <t>Supply and Delivery of Various AirConditioner Window Type Including Installation</t>
  </si>
  <si>
    <t>Office Supplies-IMPS</t>
  </si>
  <si>
    <t>Supply and delivery of 10 units pedestal filing cabinet/drawer, 1 unit office table and 10 units low back office swivel chair</t>
  </si>
  <si>
    <t>Other Supplies-IMPS</t>
  </si>
  <si>
    <t>Procurement of Common-Use Office Supplies</t>
  </si>
  <si>
    <t>Janitorial Services</t>
  </si>
  <si>
    <t>MATERIALS FOR INSTALLATION</t>
  </si>
  <si>
    <t>PURCHASE OF PROGESTIN SUBDERMAL IMPLANT, CHO, CALBAYOG CITY</t>
  </si>
  <si>
    <t>Procurement of Emergency Alarm System/Siren</t>
  </si>
  <si>
    <t>CONSTRUCTION OF PACKAGE 1: 20% LDF CY 2020</t>
  </si>
  <si>
    <t>Request for Quotation for the Provision of General Merchandise to be used the conduct of "KAAYUHAN SA KADAHUNAN": A Webinar on Medicinal and Culinary Herbs Production and Processing on June 19(Episode</t>
  </si>
  <si>
    <t>Construction Materials &amp; Supplies</t>
  </si>
  <si>
    <t>Procurement of Construction Supplies and Materials for the Improvement of Public Building(Double Analoc Swing Door)</t>
  </si>
  <si>
    <t>PROVISION FOR OFFICE SUPPLIES (OFFICE SUPPLIE)</t>
  </si>
  <si>
    <t>Procurement of DepEd RO- ICT Unit's Equipment Repairs &amp; Maintenance</t>
  </si>
  <si>
    <t>Completion of Concrete Pathway at Purok 3A of Barangay Tinucoran</t>
  </si>
  <si>
    <t>Medicine (Medical Assistance Program)</t>
  </si>
  <si>
    <t>Purchase of Construction &amp; Other Materials for use in the rehabilitation of former City Engineering Office at Brgy. Ibabang Dupay, Lucena City for the use of City Engineering Office as requested by CM</t>
  </si>
  <si>
    <t>Supply and Delivery of Brush Cutter and Knapsack Sprayer, PR# 2020-06-0344</t>
  </si>
  <si>
    <t>Purchase &amp; Delivery of Grocery Items for use in the City MAyor's Office during Evaluation of Leaders in the different barangays, Surigao City</t>
  </si>
  <si>
    <t>Supply and Delivery of Agricultural supplies for the consumption and maintenance of Native Chicken &amp; Native Pig Breeder/Layers and Offspring produced</t>
  </si>
  <si>
    <t>Purchase &amp; Delivery of Office Supplies &amp; Consumables for use in the Office of the City Treasurer, Surigao City</t>
  </si>
  <si>
    <t>RFQ 06-03-2020 Item A</t>
  </si>
  <si>
    <t>Tarpaulin-MHO-TF-MCP</t>
  </si>
  <si>
    <t>MATERIALS FOR AIRCON INSTALLATION</t>
  </si>
  <si>
    <t>ECPAC SYSTEM PROGRAM FMIS</t>
  </si>
  <si>
    <t>Bus Rental for Stranded Individual from Region V</t>
  </si>
  <si>
    <t>Purchase of Second Hand Garbage Truck (2019 Model)</t>
  </si>
  <si>
    <t>PURCHASE OF VARIOUS MEDICINES FOR COVID-19..</t>
  </si>
  <si>
    <t>STEEL RACK FOR OFFICIAL USE OF CENRO TAGBILARAN CITY</t>
  </si>
  <si>
    <t>Steel File Cabinet</t>
  </si>
  <si>
    <t>Supply and Delivery of Two (2) Units of Multi Purpose Vehicle (MPV)</t>
  </si>
  <si>
    <t>INVITATION TO BID FOR SUBSCRIPTION (BID NO. 200623-20)</t>
  </si>
  <si>
    <t>DRONE CAMERA-NGP</t>
  </si>
  <si>
    <t>CONSTRUCTION OF 24 UNITS STREETLIGHT AT AMAYA III</t>
  </si>
  <si>
    <t>SUPPLY &amp; DELIVERY OF 3 UNITS OF COMPUTER LAPTOP - GOVERNOR'S OFFICE</t>
  </si>
  <si>
    <t>Procurement of Technical and Scientific Equipment (Lot 4. Small smoke house)</t>
  </si>
  <si>
    <t>2 units Window type Aircondition 2.5hp</t>
  </si>
  <si>
    <t>Procurement of Various Agricultural Supplies - PAGSO</t>
  </si>
  <si>
    <t>Supply and Delivery of Goods for the Other Supply &amp; Materials for of ODA, 9ID,PA (240,550.00)</t>
  </si>
  <si>
    <t>SUPPLY &amp; DELIVERY OF OFFICE SUPPLIES</t>
  </si>
  <si>
    <t>Procurement of Drugs &amp; Medicines</t>
  </si>
  <si>
    <t>RFQ 06-03-2020 Item B</t>
  </si>
  <si>
    <t>RFQ 06-03-2020 Item C</t>
  </si>
  <si>
    <t>Procurement of Appliances for the use of the Office of the Vice-Governor</t>
  </si>
  <si>
    <t>CONSTRUCTION OF CORE LOCAL ACCESS ROAD @ KAUSWAGAN ST., BRGY. CROSSING, SAN ISIDRO, LEYTE</t>
  </si>
  <si>
    <t>CONSTRUCTION OF ROOFING OF HEALTH CENTER PARKING AREA AT AMAYA VII</t>
  </si>
  <si>
    <t>IMPROVEMENT OF BARANGAY HEALTH SANITATION AT AMBARACAO NORTE, NAGUILIAN, LA UNION.</t>
  </si>
  <si>
    <t>INVITATION TO BID FOR THE REHBAILITATION OF STREETLIGHT AT BRGY. MANIBOC AND COMPLETION/IMPROVEMENT OF MULTI PURPOSE HALL AT BRGY. MANIBOC, LINGAYEN, PANGASINAN</t>
  </si>
  <si>
    <t>Purchase of Laboratory Equipment  and Reagents for the Official Use of MHO</t>
  </si>
  <si>
    <t>MOOE 2020 2ND QUARTER REPAIR AND MAINTENANCE-SCHOOL BUILDING</t>
  </si>
  <si>
    <t>PROCUREMENT OF MATERIALS FOR THE CONSTRUCTION OF DRAINAGE SYSTEM AT LAPUAK PHASE - I</t>
  </si>
  <si>
    <t>520 heads Snacks</t>
  </si>
  <si>
    <t>Purchase of materials for rehabilitation of streetlights of Barangay Calumpang West San Luis Batangas</t>
  </si>
  <si>
    <t>Supplies and Materials for Caregiving NC II Training ( 25 Trainees )</t>
  </si>
  <si>
    <t>FURNISHING AND DELIVERY OF TELCO CARDS FOR EXECUTIVE OFFICES</t>
  </si>
  <si>
    <t>Supply and Delivery of Various Equipment for Use of Health Facilities/Isolation and or Quarantine Facilities for COVID-19 (Municipal Wide)  Municipality of Calayan, Province of  Cagayan.</t>
  </si>
  <si>
    <t>RFQ (20-06-057) Tolda and Sodium hypochlorite (sprayer decontamination)</t>
  </si>
  <si>
    <t>DISSILTING OF CREEK FOR FLOOD PREVENTION</t>
  </si>
  <si>
    <t>Procurement of Technical and Scientific Equipment (Lot 5. Dual powered solar dryer)</t>
  </si>
  <si>
    <t>Supply and delivery of various medical and rescue equipments</t>
  </si>
  <si>
    <t>INSTALLATION OF STREETLIGHTS (Solar Panel) (Brgy. Sampiro)</t>
  </si>
  <si>
    <t>SUPPLY AND DELIVERY OF OFFICE SUPPLIES AND DEVICES FOR MGB-X FOR FY 2020</t>
  </si>
  <si>
    <t>CONCRETING OF ROAD AT CASANUEVA-BIGA (PHASE 4)</t>
  </si>
  <si>
    <t>Food Supplies: RRCY Purified Dringking Water 2nd-4th QUARTER</t>
  </si>
  <si>
    <t>Supply and Delivery of foodstuffs of 54IB (P58,085.00)</t>
  </si>
  <si>
    <t>INVITATION TO BID FOR MEDICAL SUPPLIES AND MATERIALS (BID NO. 200623-21)</t>
  </si>
  <si>
    <t>Surgical Gloves</t>
  </si>
  <si>
    <t>Procurement of Banana Cardava Plantlets - PAGSO</t>
  </si>
  <si>
    <t>INVITATION TO BID FOR  PAINTING TOOLS AND MATERIALS (BID NO. 200623-22)</t>
  </si>
  <si>
    <t>Improvement of Barangay Office Building I - Phase II</t>
  </si>
  <si>
    <t>Concreting of Local Road, Siempre Eterno, Paloyon Proper, Nabua, Camarines Sur</t>
  </si>
  <si>
    <t>Lease of Training for Customer Service Training</t>
  </si>
  <si>
    <t>PURCHASE OF MEDICAL SUPPLIES IN SUPPORT TO COVID-19 RESPONSE, MONITORING &amp; RECOVERY PROGRAM</t>
  </si>
  <si>
    <t>50 pax Meals and Snacks</t>
  </si>
  <si>
    <t>Road Concreting at Barangay Paoa, Vigan City</t>
  </si>
  <si>
    <t>Supply and Delivery of Vegetable Seeds</t>
  </si>
  <si>
    <t>PROCUREMENT OF DRUGS AND MEDICINES</t>
  </si>
  <si>
    <t>Procurement of Technical and Scientific Equipment (Lot 6. Water retort chamber with accessories)</t>
  </si>
  <si>
    <t>RFQ-PROVISION OF GENERAL SERVICES (JANITORIAL) FOR CSU CAMPUS CLEANING AND MAINTENACE SERVICES.IGF-164-20-06-123</t>
  </si>
  <si>
    <t>Procurement of Various Catering Services &amp; Training Materials - Lot 1 - Catering Services - PAGSO</t>
  </si>
  <si>
    <t>IMPROVEMENT OF M.R.F. CONSTRUCTION OF SEGREGATION BUILDING</t>
  </si>
  <si>
    <t>REPOSTING  FOR MACHINERY  &amp;  EQUIPMENT OUTLAY FOR THE PURCHASE OF VARIOUS EQUIPMENT FOR THE USE OF SCIENCE LABORATORY - SKSU TACURONG CAMPUS</t>
  </si>
  <si>
    <t>Steel Cabinets</t>
  </si>
  <si>
    <t>CONSTRUCTION AND IMPROVEMENT OF CANAL LINING AT JULUGAN I</t>
  </si>
  <si>
    <t>MATERIALS AND SUPPLIES FOR THE CONS. AND IMPROVEMENT OF TABBAC FOOTRAIL</t>
  </si>
  <si>
    <t>PROVISION OF 1 UNIT TELEVISION</t>
  </si>
  <si>
    <t>LCWD-2020-046 Construction Materials</t>
  </si>
  <si>
    <t>Consultancy and Training for Comprehensive Land Use Plan (CLUP) and Zoning Ordinance Formulation/Revision</t>
  </si>
  <si>
    <t>CONSTRUCTION OF SEPTIC VAULT FOR HEALTH CARE WASTE</t>
  </si>
  <si>
    <t>INVITATION TO BID FOR EYE GLASSES (BID NO. 200623-23)</t>
  </si>
  <si>
    <t>SNACKS-MSWDO-PDAO</t>
  </si>
  <si>
    <t>CONSTRUCTION OF FLOOD CONTROL</t>
  </si>
  <si>
    <t>Concreting of Local Road, Dolorosa, Nabua, Camarines Sur</t>
  </si>
  <si>
    <t>RFQ - Procurement of Goods: Const'n Materials &amp; Supplies for the use of CEO (Repair &amp; Maintenance of Structures used as Evacuation Center) (PR#100-20-06-0105)</t>
  </si>
  <si>
    <t>INVITATION TO BID FOR GROCERIES (BID NO. 200623-24)</t>
  </si>
  <si>
    <t>CONSTRUCTION OF MULTIPURPOSE HALL AT LAMBINGAN</t>
  </si>
  <si>
    <t>20NA0070 Concreting of Brgy. Sangay FMR, Buenavista, Agusan del Norte</t>
  </si>
  <si>
    <t>Procurement of Troclosene Sodium under IB No. 2020-176</t>
  </si>
  <si>
    <t>RFQ NO. 20-0541 NP-SVP - Procurement of Service Provider for the Maintenance Check-up of Air-conditioning, Replace Compressor and Other Defective Parts of Mitsubishi Adventure 2012</t>
  </si>
  <si>
    <t>SUPPLY AND DELIVERY OF ICT SUPPLIES AND EQUIPMENT FOR MINERAL RESERVATION PROGRAM (MRP) 2020</t>
  </si>
  <si>
    <t>PROCUREMENT OF TOOLS AND EQUIPMENT FOR CITY ENGINEER'S OFFICE</t>
  </si>
  <si>
    <t>Airconditioning Units</t>
  </si>
  <si>
    <t>Calibration Services for WEM Instruments (10 lots)</t>
  </si>
  <si>
    <t>REQUEST FOR QUOTATION ON LABORATORY AND EQUIPMENT</t>
  </si>
  <si>
    <t>REPAIR OF REPEATER.</t>
  </si>
  <si>
    <t>Procurement of One (1) Unit Evacuation and Relief Vehicle  (Customized Stake Truck) (Brand New) Local Government Unit, Barugo, Leyte</t>
  </si>
  <si>
    <t>Catering Service 30 pax during the conduct of Fish Examiners Training for the PNP- Regional Maritime Unit 9 in Zamboanga City.</t>
  </si>
  <si>
    <t>Procurement of Construction Materials</t>
  </si>
  <si>
    <t>LCWD-2020-047 uPVC Pipes and Bends</t>
  </si>
  <si>
    <t>Repost: Supply and Delivery of Lug Tire for the Repair and Maintenance of Machinery &amp; Equipment (Heavy Equipment – D.T.1 Big Yellow)</t>
  </si>
  <si>
    <t>Procurement of Various Catering Services &amp; Training Materials - Lot 2 - Training Materials</t>
  </si>
  <si>
    <t>Procurement of Technical and Scientific Equipment (Lot 7. Chest type freezer/chiller, Ice cream machine, etc.)</t>
  </si>
  <si>
    <t>Clothing and Linens for use of RSCC Residents for CY 2020</t>
  </si>
  <si>
    <t>Purchase of Animal/Zoological Supplies (Multivitamins/Antibiotics).</t>
  </si>
  <si>
    <t>ITB-B13-2020</t>
  </si>
  <si>
    <t>CONSTRUCTION OF WATER SYSTEM @ SITIO SINAMBAG, BARANGAY DAJA DAKU</t>
  </si>
  <si>
    <t>PROCUREMENT OF VARIOUS MACHINERIES AND EQUIPMENT FOR THE USE OF MDRRM OPERATION CENTER, TIGBAUAN, ILOILO</t>
  </si>
  <si>
    <t>Completion of Concreting of Local Road, Inapatan to Angustia, Nabua, Camarines Sur</t>
  </si>
  <si>
    <t>ADDITIONAL FOOTBRIDGE AND RAILINGS</t>
  </si>
  <si>
    <t>Supply and Delivery of One (1) Unit Brand New Rescue Vehicle (Ambulance)</t>
  </si>
  <si>
    <t>PROCUREMENT OF CONSTRUCTION MATERIALS AND SUPPLIES			 		FOR THE CONSTRUCTION OF NEW SB SESSION HALL			 		TABLES AND VICE MAYOR TABLE WITH ELECTRICAL CONNECTION</t>
  </si>
  <si>
    <t>Procurement of Red Evacuated Tube under IB No. 2020-189</t>
  </si>
  <si>
    <t>PURCHASE OF FOOD SUPPLIES</t>
  </si>
  <si>
    <t>Waterworks System Repair in Purok-6 Poblacion, Gitagum, Mis. Or.</t>
  </si>
  <si>
    <t>SUPPLY, DELIVERY AND COMMISSIONING OF OPHTHALMIC ULTRASOUND A/B SCAN WITH UBM</t>
  </si>
  <si>
    <t>Supply and Delivery of Two (2) Units Brand New Elf Trucks of the Municipality of Tabuelan, Cebu</t>
  </si>
  <si>
    <t>Supply and Delivery of Toilet Bowl Cemented for various Barangays, Sipalay City, Negros Occidental</t>
  </si>
  <si>
    <t>INVITATION TO BID FOR UMBRELLA (BID NO. 200623-25)</t>
  </si>
  <si>
    <t>Procurement of Catering Services, Venue/Rental, Training Supplies &amp; Materials and Agricultural Supplies - Lot 1 - Catering Services - PAGSO</t>
  </si>
  <si>
    <t>Fuels (MENRO)</t>
  </si>
  <si>
    <t>To hire contractor to provide materials, labor and equipment for six (6) Infrastructure Projects, viz: 1) Improvement of Brgy. Road, Pacuan, La Libertad, Neg. Or.; 2) Conc. of Brgy. Road Nasunggan, La</t>
  </si>
  <si>
    <t>LCWD-2020-048 Mechanical Gate Valves and Universal Flange Adaptors</t>
  </si>
  <si>
    <t>INSTALLATION OF IRRIGATION SYSTEM FOR THE ORGANIC DEMO FARM.</t>
  </si>
  <si>
    <t>Supply and delivery of five (5) Units LAPTOP (RFQ2020-06-085)</t>
  </si>
  <si>
    <t>1 Lot Fit Out Works of 2nd Floor Sun Plaza Building</t>
  </si>
  <si>
    <t>Supply and Delivery of Goods for the Other Supply &amp; Materials for of 9IB, 9ID,PA (88,000.00)</t>
  </si>
  <si>
    <t>Procurement of Sewing machines and Stainless Rack for Kitchen Utensils</t>
  </si>
  <si>
    <t>Procurement of Office Supplies for 1st and 2nd Quarter</t>
  </si>
  <si>
    <t>Concreting of Local Road at Topas Proper, Nabua, Camarines Sur</t>
  </si>
  <si>
    <t>Levothyroxine Thydin</t>
  </si>
  <si>
    <t>Purchase of ICT Equipment (Office of the Mayor)</t>
  </si>
  <si>
    <t>LCWD-2020-049 Air Release Valve</t>
  </si>
  <si>
    <t>Procurement of Technical and Scientific Equipment (Lot 1. Speech Lab. [additional])</t>
  </si>
  <si>
    <t>Design and Build of 3-Storey Solar Powered Gender-Neutral Student Dormitory Building</t>
  </si>
  <si>
    <t>Purchase/Acquisition of Fuel for the Maintenance of Municipal Vehicles &amp; Heavy Equipment</t>
  </si>
  <si>
    <t>Purchase of IT Equipment for BM Famor Office use</t>
  </si>
  <si>
    <t>o hire contractor to provide materials, labor, and equipment for the “Additional Appropriation for the Improvement of Multi-Purpose Building, Brgy. Dungo-an, Manjuyod, Negros Oriental (N2FB-07-2020(B)</t>
  </si>
  <si>
    <t>Transformer</t>
  </si>
  <si>
    <t>PROCUREMENT OF MATERIALS FOR ELECTRICAL TRANSMISSION OF ROAD NETWORK AT BALOBO RESETTLEMENT PHASE-1</t>
  </si>
  <si>
    <t>PURCHASE OF RDT DETECTION OF DEGUE NSI ANTIGEN &amp; 1GM AND 1gG ANTIBODIES COMBINED, CHO</t>
  </si>
  <si>
    <t>20CSA008: Consultancy Services for the Conduct of Feasibility Study of Proposed Construction of By-Passes/Diversion Roads, Bani-Bolinao Bypass Road (Region I)</t>
  </si>
  <si>
    <t>2020-05-0080 - PROCUREMENT OF ELECTRICAL SUPPLIES  FOR REPLACEMENT OF TIRES, BATTERY, AND ACCESSORIES OF TOYOTA HILUX WITH PLATE NUMBER 102006 UNDER PLANNING AND DESIGN SECTION</t>
  </si>
  <si>
    <t>Construction of Multi-Purpose Building</t>
  </si>
  <si>
    <t>SUPPLY AND DELIVERY OF IT EQUIPMENT AND ACCESSORIES FOR THE CITY HEALTH OFFICE – 2ND BIDDING</t>
  </si>
  <si>
    <t>PROVISION OF MEDICAL NEEDS AND SUPPLIES (DRUG AND MEDICINES)</t>
  </si>
  <si>
    <t>Supply and Delivery of Construction Materials and Supplies for the proposed OPSS Office and TSRU Redemption Center at the 2nd Flr. Engineering Building, OPSS-TSRU, Marikina City</t>
  </si>
  <si>
    <t>Seminar on Organic Vegetable withextension support at Tabon-tabon, Leyte on August 7, 2020 (Services &amp; Starter kit)</t>
  </si>
  <si>
    <t>Procurement of Printing Services of FPA FY2019 Annual Report</t>
  </si>
  <si>
    <t>PURCHASE OF ELECTRICAL MATERIALS AND SUPPLIES</t>
  </si>
  <si>
    <t>Procurement of Technical and Scientific Equipment (Lot 2. Science Laboratory Equipment)</t>
  </si>
  <si>
    <t>Training on Exploring Container Gardening Urban Gardening Organic Veg Production with extension support at Biliran on July 29-31, 2020(Services &amp; Starter kit)</t>
  </si>
  <si>
    <t>Purchase of Brochure for Kabankalan City use</t>
  </si>
  <si>
    <t>Procurement of Catering Services, Venue/Rental, Training Supplies &amp; Materials and Agricultural Supplies - Lot 2 - Venue/Rental</t>
  </si>
  <si>
    <t>Purchase Office Supplies</t>
  </si>
  <si>
    <t>Construction of Bridge ( Phase I &amp; Phase II) at Antipolo Old, Nabua, Camarines Sur</t>
  </si>
  <si>
    <t>Supply and Delivery of Kitchen Supplies for HRM Laboratory of SDSSU Tagbina Campus</t>
  </si>
  <si>
    <t>Procurement of Catering Services, Venue/Rental, Training Supplies &amp; Materials and Agricultural Supplies - Lot 3 - Training Supplies - PAGSO</t>
  </si>
  <si>
    <t>Gravelling of Road (Part of Villa Elena Subdivision)</t>
  </si>
  <si>
    <t>Supply of fuel for the maintenance of InFRES FMR projects (Poblacion-San Jose FMR, Savoy-Sitio Tagaytay FMR and San Miguel-New Katipunan FMR)</t>
  </si>
  <si>
    <t>PROCUREMENT OF OFFICE SUPPLIES FOR LGU-DANAO, BOHOL 2ND QUARTER OF FY 2020</t>
  </si>
  <si>
    <t>Procurement of Office Equipment and supplies for Rural Health Unit, PNP and Office of the Educational Consultant</t>
  </si>
  <si>
    <t>Rehabilitation of Purok Marker</t>
  </si>
  <si>
    <t>Supply and delivery of  HARDWARE MATERIALS  re: For Improvement of Multi-Purpose Building @ Municipal Slaughter Compound, Brgy. Talaba, Atimonan, Quezon c/o Engineering Office.</t>
  </si>
  <si>
    <t>REQUEST FOR QUOTATION ON DRUGS AND MEDICINES</t>
  </si>
  <si>
    <t xml:space="preserve">Supply and Delivery of GNSS RTK System with Continuosly Operating Reference Station for the Faster Measurement of Surveying Data Collection of Complex Waterways, Rovers and Drainage Catchments within </t>
  </si>
  <si>
    <t>Supply and Installation of 5 sets Tempered Frameless Glass Door</t>
  </si>
  <si>
    <t>Supply and Delivery of Furniture and Fixture for the Newly Improved Legal Office</t>
  </si>
  <si>
    <t>Supply/Delivery of Vermicast for STCBF Project</t>
  </si>
  <si>
    <t>Support to various projects of Brgys. 1, 2, 6, 10, 18, 20, &amp; 23 snin</t>
  </si>
  <si>
    <t>Fuel Consumption for Maasin LHIO</t>
  </si>
  <si>
    <t>Backfilling (Near Municipal Trading Post)</t>
  </si>
  <si>
    <t>60	bags	PDP Feeds (50 kgs.), PR # 504-20</t>
  </si>
  <si>
    <t>Furnishing/Deliveries of Safety Gear and Equipment</t>
  </si>
  <si>
    <t>PRE-BID CONFERENCE 23/June/2020 - Procurement of Goods: Consolidated Office Supplies 2020 (2nd Quarter) (PR#100-20-05-0095, 100-20-05-0110, 100-20-05-0111, 100-20-05-0182)</t>
  </si>
  <si>
    <t>Printing of Tarpaulins for Advocacy Materials of Senior High School</t>
  </si>
  <si>
    <t>4500 pc PARTICULATE RESPIRATOR &amp; SURGICAL MASK N-95</t>
  </si>
  <si>
    <t>Supply and Delivery of various materials for the Fabrication of 30units Wooden Pallet L-8"  x W-4" x H-4", Sipalay City, Negros Occidental</t>
  </si>
  <si>
    <t>SUPPLY AND DELIVERY OF ICT OFFICE EQUIPMENT (CAPITAL OUTLAY) FOR MGB-X FOR FY 2020</t>
  </si>
  <si>
    <t>MOOE 2020 2ND QUARTER OFFICE SUPPLIES</t>
  </si>
  <si>
    <t>Procurement of Catering Services, Venue/Rental, Training Supplies &amp; Materials and Agricultural Supplies - Lot 4 - Agricultural Supplies - PAGSO</t>
  </si>
  <si>
    <t>Procurement of Various Catering Services [06-321(A)] PGO</t>
  </si>
  <si>
    <t>CONSTRUCTION OF FARM TO MARKET ROAD, PUROK 3, BARANGAY PACPACO, CITY OF SAN FERNANDO</t>
  </si>
  <si>
    <t>SERVICES FOR THE SHIPMENT OF MOTOR VEHICLE</t>
  </si>
  <si>
    <t>SUPPLY OF LABOR &amp; MATERIALS FOR THE PRINTING OF NHA LETTERHEAD</t>
  </si>
  <si>
    <t>CONCRETING OF ACCESS ROAD @ SAN ROQUE ST., POBLACION, INFANTA, PANGASINAN</t>
  </si>
  <si>
    <t>Procurement of Painting Materials and Supplies</t>
  </si>
  <si>
    <t>CONSTRUCTION OF SLOPE PROTECTION PUROK 1,2,3,4 &amp; 6, BARANGAY SANTIAGO NORTE</t>
  </si>
  <si>
    <t>SUPPLY AND DELIVERY OF GENERAL MERCHANDISE FOR VARIOUS PURCHASE REQUESTS OF THE CITY UNDER SMALL VALUE PROCUREMENT</t>
  </si>
  <si>
    <t>Provision of Filing Cabinet, Printer and External Hard Drive</t>
  </si>
  <si>
    <t>Supply and Delivery of Other Supplies (M.O/MPOC)</t>
  </si>
  <si>
    <t>PURCHASE OF DESKTOP COMPUTER ETC, CHO, CALBAYOG CITY</t>
  </si>
  <si>
    <t>SUPPLY AND DELIVERY OF ONE (1) UNIT BRAND NEW GENERATOR SET FOR THE CITY HEALTH OFFICE – 2ND BIDDING</t>
  </si>
  <si>
    <t>Construction of Fence at Evacuation Center</t>
  </si>
  <si>
    <t>Design and Build for the Construction of the Proposed Sewerage Treatment Plant of the Municipality of Coron.</t>
  </si>
  <si>
    <t>1	unit	Water Tank, Capacity 10,000 L, Polyethelene, etc. PR # 512-20</t>
  </si>
  <si>
    <t>Supply and Delivery of Office Equipment for City Administrators Office use.</t>
  </si>
  <si>
    <t>Purchase of One (1) Unit Computer Laptop</t>
  </si>
  <si>
    <t>Purchase of BIOMETRIC MACHINE to be use of City Engineer's Office , City Hall and City Public Market., Silay City.</t>
  </si>
  <si>
    <t>Supply and Delivery of Classmate Chair without Book Tray of SDSSU Tagbina Campus</t>
  </si>
  <si>
    <t>INF-ITB 20-003 - Supply and Installation of 1 lot Street Lights.</t>
  </si>
  <si>
    <t>Periodic Preventive Maintenance of Aircon Units at DDB Offices</t>
  </si>
  <si>
    <t>Construction of Multi-Purpose Building (IT Building with Canopy)</t>
  </si>
  <si>
    <t>REHABILITATION OF DAM, BARANGAY CALABUGAO</t>
  </si>
  <si>
    <t>Supply and Delivery of Materials for official use of SPUDMO</t>
  </si>
  <si>
    <t>Supply/Delivery of Wooden Chairs for Library</t>
  </si>
  <si>
    <t>PROVISION FOR SUPPLIES AND MATERIALS FOR HOUSEKEEPING, FBS AND BARTENDING</t>
  </si>
  <si>
    <t>SUPPLY AND DELIVERY OF OFFICE FURNITURE AND EQUIPMENT FOR HRM OFFICE</t>
  </si>
  <si>
    <t>Request for Quotation (Laptop, Etc.)</t>
  </si>
  <si>
    <t>Purchase of materials for INSET</t>
  </si>
  <si>
    <t>Supply and Delivery of Other Supplies (Mayor's Office)</t>
  </si>
  <si>
    <t>Electrical installation of service entrance of San Antonio Barangay Hall at Brgy. San Antonio, Binan City, Laguna</t>
  </si>
  <si>
    <t>RM Machinery Equip-ICT Equipment-OJ6-457,420.00</t>
  </si>
  <si>
    <t>Supply and Delivery of One (1) Unit Submersible Pump</t>
  </si>
  <si>
    <t>Supply and delivery of  HARDWARE MATERIALS  re: Fish Sanctuary &amp; Fishery Reserve Development  c/o  OMA</t>
  </si>
  <si>
    <t>2020-03-0071 - PROCUREMENT OF VEHICLE PARTS AND ACCESSORIES FOR REPLACEMENT OF TIRES, BATTERY AND ACCESSORIES OF TOYOTA HILUX WITH PLATE NUMBER 102006 UNDER THE PLANNING AND DESIGN SECTION</t>
  </si>
  <si>
    <t>Supply and Delivery of Portland Cement</t>
  </si>
  <si>
    <t>1	unit	Motorcycle, PR # 518-20</t>
  </si>
  <si>
    <t>Purchase of Construction Materials for Construction of Hand Washing Don.E Hofileña Elementary School, Silay City.</t>
  </si>
  <si>
    <t>Improvement of Multi-Purpose Hall</t>
  </si>
  <si>
    <t>Purchase various tires for the use of Garbage Compactors and Mini Dumptrucks in the City of Talisay</t>
  </si>
  <si>
    <t>Supply and Delivery of Vehicle Parts and Accessories (consolidated PR's ) 00286-2020 / 00287-2020 / 00288-2020</t>
  </si>
  <si>
    <t>REQUEST FOR QUOTATION SHOPPING OF (3 in 1) PHOTOCOPIER/SCANNER/PRINTER, LAPTOP, HARD DRIVE, FLASH DRIVE AND PRINTER</t>
  </si>
  <si>
    <t>FITTINGS - ACRYLIC COUNTER SHIELDS</t>
  </si>
  <si>
    <t>Delivery and Installation of 3 Units Split Type Aircon at MDRRMO Office</t>
  </si>
  <si>
    <t>Procurement of Generator</t>
  </si>
  <si>
    <t>Supply and Delivery of  Drugs and Medicines (M.O)</t>
  </si>
  <si>
    <t>HP 680</t>
  </si>
  <si>
    <t>REHABILITATION OF FARM TO MARKET ROAD, PUROK 1, BARANGAY NAGYUBUYUBAN</t>
  </si>
  <si>
    <t>Procurement of MEDICAL SUPPLIES for the Use of DOPH LUPON</t>
  </si>
  <si>
    <t>Operation of Tourist Information Center - Tourism Office</t>
  </si>
  <si>
    <t>Supply and Delivery of Construction Materials &amp; Supplies</t>
  </si>
  <si>
    <t>SUPPLY AND DELIVERY OF SUPPLIES AND MATERIALS  FOR BARANGAY ROAD CONCRETING-Ilihan Public Market</t>
  </si>
  <si>
    <t>Supply/Delivery of Charging Counter for Library</t>
  </si>
  <si>
    <t>Procurement of  One (1) Lot Construction Materials</t>
  </si>
  <si>
    <t>Payment for Print out of POW,DUPA and DED (A3 size) of Rehabilitation of Seawall and Drainage Sytem</t>
  </si>
  <si>
    <t>20	Packs/Cans	Squash seeds(100 gms.), etc. PR # 520-20</t>
  </si>
  <si>
    <t>Construction of Camaa Hanging Footbridge</t>
  </si>
  <si>
    <t>ITB 20-004 - Supply and Delivery of 1 lot Closed Circuit Television (CCTV).</t>
  </si>
  <si>
    <t>LOT Procurement of MATERIALS for Use in Urban Greening and Landscaping of the TOURISM PREMISES</t>
  </si>
  <si>
    <t>Concreting of Brgy Road</t>
  </si>
  <si>
    <t>Supply and Delivery of Goods for Representation Expenses of 9IB,9ID,PA (95,000.00)</t>
  </si>
  <si>
    <t>IMPROVEMENT OF MPH II AT BALECBEC, NAGUILIAN, LA UNION.</t>
  </si>
  <si>
    <t>Supply Catering Services during the Conduct of Video Tele Conference Meeting w Local Executives at Tacloban City</t>
  </si>
  <si>
    <t>Job Order-Labor and Materials Repair of Wooden main Gate and other facilities in support to Aquatourism Technology P{roject</t>
  </si>
  <si>
    <t>Provision of School Electrical Supplies</t>
  </si>
  <si>
    <t>SUPPLY AND DELIVERY OF HYGIENE DISINFECTANT SUPPLIES AND MEDICAL SUPPLIES FOR DEPED DIVISION OFFICE</t>
  </si>
  <si>
    <t>PR GULAYAN</t>
  </si>
  <si>
    <t>Purchase of Ink</t>
  </si>
  <si>
    <t>Supply and Delivery of 50 Reams Bond Paper Long and other various items.</t>
  </si>
  <si>
    <t>SUPPLY AND DELIVERY OF OFFICE SUPPLIES (2nd Bidding)</t>
  </si>
  <si>
    <t>aircon for library</t>
  </si>
  <si>
    <t>OFFICE SUPPLIES  (MBO 1ST &amp; 2ND QUARTER)</t>
  </si>
  <si>
    <t>Supply and delivery of  MEDICAL, DENTAL &amp; LABORATORY SUPPLIES  re: For Rural Health Unit use</t>
  </si>
  <si>
    <t>Supply and Delivery of Electrical Materials for Rewiring of Generator Set</t>
  </si>
  <si>
    <t>Procurement of Fertilizers and Chemicals for Abaca Expansion under Coconut</t>
  </si>
  <si>
    <t>Covid 19 Response Medical Supply</t>
  </si>
  <si>
    <t>Supply, Delivery and Installation of Electro-Mechanical Equipment and Design for Pump Station, Construction of Pump House and Installation of Medium/Voltage for Pumping Station Power Supply</t>
  </si>
  <si>
    <t>Rice bran D2</t>
  </si>
  <si>
    <t>INSTALLATION OF STREETLIGHTS</t>
  </si>
  <si>
    <t>Construction of Reservoir</t>
  </si>
  <si>
    <t>Supply and delivery of  BIOMETRIC MACHINES  re:  For Various Offices use   c/o  HRMO.</t>
  </si>
  <si>
    <t>REHABILITATION OF BARANGAY ROAD, PUROK 2, BARANGAY PAO SUR</t>
  </si>
  <si>
    <t>Med. Sup. COVID !9</t>
  </si>
  <si>
    <t>Procurement of TIRES for Use in Mitsubishi Estrada of the Provincial Engineer’s Office</t>
  </si>
  <si>
    <t>MO Office Supplies</t>
  </si>
  <si>
    <t>PROCUREMENT OF FOUR (4) UNITS OF LAPTOP</t>
  </si>
  <si>
    <t>Purchase of Construction Supplies and Materials</t>
  </si>
  <si>
    <t>Bantay Mangrove Outpost</t>
  </si>
  <si>
    <t>AUTOMATED EXTERNAL DEFIBRILLATOR (AED)</t>
  </si>
  <si>
    <t>Supply and Delivery of  DENTAL EQUIPMENT/FACILITY</t>
  </si>
  <si>
    <t>SUPPLY &amp; DELIVERY OF CONSTRUCTION MATERIALS FOR THE REPAIR &amp; MAINTENANCE OF BUILDING AND OTHER STRUCTURE</t>
  </si>
  <si>
    <t>Supply of Labor &amp; Materials for Repair &amp; Maintenance of Two (2) Units Treated Water Pumps</t>
  </si>
  <si>
    <t>RFQ 06-03-2020 Item D</t>
  </si>
  <si>
    <t>Procurement of Air-Conditioner (City Engineering Office)</t>
  </si>
  <si>
    <t>Supply and Delivery of materials for Replacement of Roofing and Repair of SMAW Building</t>
  </si>
  <si>
    <t>PURCHASE OF CONSTRUCTION MATERIALS AND SUPPLIES FOR LUCENA CES</t>
  </si>
  <si>
    <t>REQUEST FOR QUOTATION       SHOPPING OF PORTABLE SOUND SYSTEM, SOUND SYSTEM, CAMERA,  REFRIGERATOR, TELEVISION &amp; ELECTRIC OVEN</t>
  </si>
  <si>
    <t>City Projects</t>
  </si>
  <si>
    <t xml:space="preserve">INVITATION TO SUBMIT PRICE QUOTATION    PROCUREMENT OF   BRAND NEW ADMINISTRATIVE FACILITIES AND EQUIPMENT      FOR NFA EASTERN VISAYAS REGIONAL  OFFICE VIII AND NFA  PROVINCIAL OFFICES  (Small Value </t>
  </si>
  <si>
    <t>INSTALLATION OF LED STREET LIGHTS ALONG NATIONAL ROAD AT STA. CRUZ, ALITAGTAG, BATANGAS</t>
  </si>
  <si>
    <t>20PJ0053: Repair/ Rehabilitation of National Road along Nueva Vizcaya- Ifugao Mt. Province Boundary Road, K0335+550- K0351+187 (Intermitent Section)</t>
  </si>
  <si>
    <t>Copra Meal</t>
  </si>
  <si>
    <t>ITB NO. GOP/20-DSWD-041 - Provision of Multi-Year Contract for the Hiring of Service Provider for the Preventive Maintenance of the Passenger Elevator at DSWD - Central Office for CY 2020-2022</t>
  </si>
  <si>
    <t>Request for Quotation (SUPPLY OF LABOR AND MATERIALS FOR THE REPLACEMENT OF CARPET)</t>
  </si>
  <si>
    <t>1 lot General Repair of Toyota Hi-Ace Van SGY 139 (Labor &amp; Materials), JSOR 64-20</t>
  </si>
  <si>
    <t>OFFICE SUPPLIES (2ND QUARTER MACCO)</t>
  </si>
  <si>
    <t>CONSTRUCTION OF CONCRETE FLUME TYPE DRAINAGE CANAL, PUROK 2 &amp; 3, BARANGAY DALLANGAYAN ESTE</t>
  </si>
  <si>
    <t>Various Office Supplies</t>
  </si>
  <si>
    <t>MO Office Supplies (2)</t>
  </si>
  <si>
    <t>OTOP Production Building Extension Completion</t>
  </si>
  <si>
    <t>Hilux Maintenance</t>
  </si>
  <si>
    <t>RFQ 2020-06-335 Procurement of Manila Banner</t>
  </si>
  <si>
    <t>Dumping of Aggregates on the ground of TESDA MIMAROPA Provincial Training Center</t>
  </si>
  <si>
    <t>DREDGING OF CAYAPA RIVER</t>
  </si>
  <si>
    <t>Construction of Slope Protection at SO. Bancalan, Brgy Magahis</t>
  </si>
  <si>
    <t>Purchase of Monoblocks and Water Dispenser</t>
  </si>
  <si>
    <t>Supply and Delivery of Drugs and Biologics</t>
  </si>
  <si>
    <t>2020-060, COMPLETION OF COVERED COURT AT BARANGAY NALIN, MIDSAYAP, COTABATO</t>
  </si>
  <si>
    <t>Supply and Delivery of One (1) Lot Vegetable Seeds.</t>
  </si>
  <si>
    <t>OFFICE SUPPLIES (MEO 1ST &amp; 2ND QUARTER)</t>
  </si>
  <si>
    <t>Construction of Steel Footbridge at Brgy. Acle</t>
  </si>
  <si>
    <t>Purchase of Materials for Laur Water System at Laur, Nueva Ecija</t>
  </si>
  <si>
    <t>Provision for the Procurement and Refill of Fire Extinguisher for Senior High School</t>
  </si>
  <si>
    <t>Supply and Delivery of 1 Bottle Ammonium Iron Citrate and other various Laboratory Supplies.</t>
  </si>
  <si>
    <t>CONSTRUCTION OF DRAINAGE CANAL</t>
  </si>
  <si>
    <t>SUPPLY AND DELIVERY OF ELECTRICAL SUPPLIES</t>
  </si>
  <si>
    <t>CATERING SERVICES DURING THE 2020 MUNICIPAL DEVELOPMENT COUNCIL ANNUAL PLANNING CONFERENCE</t>
  </si>
  <si>
    <t>Construction of TB Dots</t>
  </si>
  <si>
    <t>RICE20-06-11-0763 Provide Catering Services good for 30 pax during the conduct of DA-RFO 8 Program Level 2nd Quarter Assessment CY 2020</t>
  </si>
  <si>
    <t>20PJ0054: Repair/ Rehabilitation of Damage Existing Portland Cement Concrete Pavement (PCCP) along Banaue- Mayoyao- Alfonso Lista- Isabela Boundary Road, K0430+400- K0431+500, (Intermittent Section)</t>
  </si>
  <si>
    <t>Concreting of Barangay Road in Brgy. Rillo</t>
  </si>
  <si>
    <t>Cabinets</t>
  </si>
  <si>
    <t>Procurement of Meals &amp; Snacks (MAO)</t>
  </si>
  <si>
    <t>MEALS AND SNACKS FOR MODULAR INSTRUCTION AS LEARNING DELIVERY FOR EFFECTIVE REMOTE EDUCATION (MILDER ED)</t>
  </si>
  <si>
    <t>Supply and Delivery of various materials for the Replacement /Re-Wiring of Streetlights along Mercedez Blvd. Barangay II, Sipalay City, Negros Occidental</t>
  </si>
  <si>
    <t>Procurement of 456 Bags NP Compound (Multi-Functional Fertilizer) in Support to Rice Farmers of the Province in the Rainfed Rice Areas</t>
  </si>
  <si>
    <t>Purchase of various Medicine</t>
  </si>
  <si>
    <t>OFFICE SUPPLIES (THIRD QUARTER MACCO)</t>
  </si>
  <si>
    <t>OFFICE SUPPLIES EXPENSE (CRSAFP-PHP65,630.00)</t>
  </si>
  <si>
    <t>Painting of Guinsiliban Covered Court Roofing</t>
  </si>
  <si>
    <t>2020-061, CONSTRUCTION OF 2 UNITS WATER SYSTEM LEVEL II AT PUROK 5 AND 10,   MALAMOTE, MIDSAYAP, COTABATO</t>
  </si>
  <si>
    <t>20PJ0055: Repair/ Maintenance of DPWH Building, Alfonso Lista, Ifugao</t>
  </si>
  <si>
    <t>Supply and Delivery of  Animal Feeds &amp; Vitamins use for Organic Swine for 3rd Quarter 2020</t>
  </si>
  <si>
    <t>MO Office Supplies (3)</t>
  </si>
  <si>
    <t>Supply and Delivery of Spare Parts for NIA Office Equipment</t>
  </si>
  <si>
    <t>Rehabilitation of  Barangay Road in Brgy. Talon</t>
  </si>
  <si>
    <t>LAPTOP AND PRINTER</t>
  </si>
  <si>
    <t>Provision of Black Hose</t>
  </si>
  <si>
    <t>IMPROVEMENT OF POB. EAST ACCESS ROAD</t>
  </si>
  <si>
    <t>Repair And Repainting Of Runway, Taxiway and Apron Markings And Markers   At Virac Airport</t>
  </si>
  <si>
    <t>REQUEST FOR QUOTATION SHOPPING OF WASHABLE FACEMASK, ALCOHOL, VITAMIN C, ORAL ANTISEPTIC, WET WIPES AND MOPBUCKET</t>
  </si>
  <si>
    <t>Purchase of Construction Materials used for the Improvement of Pathwalk at Pag-asa Compound, Brgy. Ampid, San Mateo, Rizal</t>
  </si>
  <si>
    <t>Supply &amp; delivery of Office, It &amp; Janitorial Supplies for use at the Sangguniang Panlungsod &amp; Office of the City Vice Mayor for the 2nd Quarter of 2020, Laoag City</t>
  </si>
  <si>
    <t>Supply and Delivery of Item No. 1: 12 pcs. TN-3350 Toner Catridge, as per BSP Technical Specifications and Terms and Conditions</t>
  </si>
  <si>
    <t>Pump &amp; Engine Set for LSA - MG Mantilla's Farm</t>
  </si>
  <si>
    <t>For the Training Supplies of Housekeeping NC II</t>
  </si>
  <si>
    <t>RFQ147 For use of TB Reference Laboratory Xpert Xpress SARSCoV2 Testing Laboratory</t>
  </si>
  <si>
    <t>Supply and Delivery of Medical &amp; Dental Equipment</t>
  </si>
  <si>
    <t>Purchase of Vehicle Repair and Maintenance For DTN-04 MODEL CWB-459H	Under P.R. No. 30-20-03-034</t>
  </si>
  <si>
    <t>Purchase of office supplies for use in the Bids and Awards Committee (BAC) Office, LGU, Bato, Leyte</t>
  </si>
  <si>
    <t>Request for Quotation for the Provision of Veterinary Products and Supplies to be used as Extension support to LGUs providing AI Services.</t>
  </si>
  <si>
    <t>LOT Procurement of MATERIALS for Use in the Improvement of Potable Water System at Brgy. Bobonao, Baganga, Davao Oriental</t>
  </si>
  <si>
    <t>RFQ No. 2020-06-0067-B Termite Control Treatment for the use of Regional Rehabilitation Center for Youth, Nueva Valencia, Guimaras</t>
  </si>
  <si>
    <t>PURCHASE OF BOND PAPERS</t>
  </si>
  <si>
    <t>RIPRAPPING OF FLOOD CONTROL @ SITIO KATAGBAKAN BRGY. GASANG, MABINI, BATANGAS</t>
  </si>
  <si>
    <t>Procurement of Materials for the Refurbishment of Study Park and Provision of Two(2) Handwashing Facilities (CIS)</t>
  </si>
  <si>
    <t>Supply and Delivery of Pest Control Equipment (Misting Machine)</t>
  </si>
  <si>
    <t>Emergency purchase of 100 sets Rapid Test Kits to be Used by the COVID-19 Task Force Frontliners in performing Rapid Test for Returning Locally Stranded Individuals at the borders of Ilocos Sur</t>
  </si>
  <si>
    <t>CONSTRUCTION OF EXTENSION OF 2nd FLOOR OF THE MULTI -PURPOSE BUILDING LOCATED AT BRGY. SAN AURELIO 3rd, BALUNGAO, PANGASINAN</t>
  </si>
  <si>
    <t>BAC Office Supplies</t>
  </si>
  <si>
    <t>RFQ-OTHER SUPPLIES AND MATERIALS  FERD</t>
  </si>
  <si>
    <t>Complete Set Fiber Glass Board for the Sports Activities of Lowland and Upland Barangays</t>
  </si>
  <si>
    <t>Repair of Communal CR at Municipal Gym and Municipal site</t>
  </si>
  <si>
    <t>Procurement of Various Catering Services - PAGSO</t>
  </si>
  <si>
    <t>SUPPLY AND DELIVERY OF COMPUTER DESKTOP, ETC.</t>
  </si>
  <si>
    <t>RM Buildings</t>
  </si>
  <si>
    <t>VARIOUS COMPUTER ACCESSORIES</t>
  </si>
  <si>
    <t>Concreting of Barangay Road of Brgy. Bayudbud</t>
  </si>
  <si>
    <t>CONSTRUCTION OF RUBBLE-MOUND SEAWALL</t>
  </si>
  <si>
    <t>Supply and Delivery for the City Disaster Risk Reduction and Management Office (CDRRMO) under P.R.No. 0999-2020-Subject to Ordering Agreement Arrangement-2nd bidding</t>
  </si>
  <si>
    <t>Purchase of Office Supplies</t>
  </si>
  <si>
    <t>LOT Procurement of MATERIALS for Use in the Construction of Multi-Purpose Building (Fabrication of Paving Blocks &amp; Installation of Tiles) at Sitio Magay, Brgy. DMM, City of Mati, Davao Oriental</t>
  </si>
  <si>
    <t>Agricultural Supplies for Nursery @ NCD</t>
  </si>
  <si>
    <t>Procurement of Two (2) units Split Type Inverter Aircon</t>
  </si>
  <si>
    <t>ROAD CONSTRUCTION WITH DRAINAGE CANAL AT PUROK 8A, BACACA, BARANGAY 19-B, POBLACION DISTRICT, DAVAO CITY</t>
  </si>
  <si>
    <t>Purchase of Construction Materials used for the Construction of Multi-purpose Hall at Rafaela 2 Subd., Brgy. Ampid I, San Mateo, Rizal</t>
  </si>
  <si>
    <t>CONTINUATION OF CONSTRUCTION OF BARANGAY HALL AT BARANGAY SAN JULIAN, BALUNGAO, PANGASINAN</t>
  </si>
  <si>
    <t>Construction of Multi-Purpose Concrete Pavement (Solar Dryer)15.00m x 28.00 So. Calagmakan 2, Brgy. Camindangan, Sipalay City, Neg. Occ.</t>
  </si>
  <si>
    <t>SUPPLY AND DELIVERY OF LAPTOP COMPUTER, PRINTER SWITCH, ETC. FOR SP SECRETARY</t>
  </si>
  <si>
    <t>Procurement of Consulting Services for the Philippine International Dive Expo (PHIDEX) Virtual Platform</t>
  </si>
  <si>
    <t>Repair &amp; Maintenance of Other Structure (OJ4-PhP432,036.04)</t>
  </si>
  <si>
    <t>CONTINUATION OF FARM TO MARKET ROAD, BARANGAY PAO NORTE LEADING TO SACYUD</t>
  </si>
  <si>
    <t>SUPPLY &amp; DELIVERY OF FITTINGS (18 ITEMS)</t>
  </si>
  <si>
    <t>Rehabilitation of 10 Child Development Centers</t>
  </si>
  <si>
    <t>Supply and Delivery of Retirement Ring for the Retirees</t>
  </si>
  <si>
    <t>Procurement of Medical grade air purifier for Covid 19</t>
  </si>
  <si>
    <t>SUPPLY &amp; DELIVERY OF MEDICAL SUPPLIES</t>
  </si>
  <si>
    <t>Repair And Repainting Of Runway, Taxiway and Apron Markings And Markers   At Masbate Airport</t>
  </si>
  <si>
    <t>SUPPLY AND DELIVERY OF ICT OFFICE SUPPLIES FOR MGB-X FOR FY 2020 - MOOE [069-2020 (3)]</t>
  </si>
  <si>
    <t>Rehabilitation of Barangay Road at Brgy. Lumbangan</t>
  </si>
  <si>
    <t>Procurement of Reagents for Laboratory Use of Rural Health Unit</t>
  </si>
  <si>
    <t>20PJ0056: Repair/ Maintenance of DPWH Building Satellite Building, Gate and Perimeter Wall, Banaue, Ifugao</t>
  </si>
  <si>
    <t>PROCUREMENT OF TWO (2) UNITS FLOOR MOUNTED AIRCON, SB OFFICE, TIGBAUAN, ILOILO</t>
  </si>
  <si>
    <t>CONCRETING OF 6INCHES X 4.0M X 50 LINEAR METER FARM TO MARKET ROAD AT SITIO CABARUAN KAKULIBANG - BANGAN AND CADAMPAYAN, BARANGAY ESMERALDA, BALUNGAO, PANGASINAN</t>
  </si>
  <si>
    <t>20PL0104 - Construction of Pinukpuk-Balbalan Road (Bal - Aba-Aba Section), Brgy. Ballayangon, Pinukpuk, Kalinga</t>
  </si>
  <si>
    <t>REQUEST FOR QUOTATION SHOPPING OF CONFERENCE TABLE WITH CLERICAL CHAIR, CLERICAL TABLE WITH CLERICAL CHAIR, CENTER TABLE, SOFA &amp; STEEL CABINET</t>
  </si>
  <si>
    <t>PR OFFICE SUPPLIES</t>
  </si>
  <si>
    <t>DRUGS AND MEDICINES/IB No. MM-2020-024(m)</t>
  </si>
  <si>
    <t>ESTABLISHMENT OF A CENTRALIZED EEM CCTV: AUXILIARY WET MARKET AND DRY MARKET</t>
  </si>
  <si>
    <t>PURCHASE OFFICE SUPPLY</t>
  </si>
  <si>
    <t>Chairs &amp; Tables for LSA - JRS Diversified Agri-Farm</t>
  </si>
  <si>
    <t>SUPPLY AND DELIVERY OF LAPTOP, PRINTER, ETC. FOR PROVINCIAL ADMINISTRATOR'S OFFICE</t>
  </si>
  <si>
    <t>Purchase of Materials for the Stage Improvement/Construction</t>
  </si>
  <si>
    <t>Construction Supplies and Materials for LSA - MG Mantilla's Farm</t>
  </si>
  <si>
    <t>CATERING SERVICES/SVP No. T-2020-06-009</t>
  </si>
  <si>
    <t>Concreting of Barangay Road at Brgy. Dalima</t>
  </si>
  <si>
    <t>Construction of MRF Expansion Perimeter Fence</t>
  </si>
  <si>
    <t>Proc of 2 bxs Amoxicillin 500mg Cap and 41 L/I</t>
  </si>
  <si>
    <t>Operation of Public Market - MTO</t>
  </si>
  <si>
    <t>IMPROVEMENT ALONG ILOCOS SUR-ABRA ROAD</t>
  </si>
  <si>
    <t>AUGMENTATION OF SSF FOR KALAMANSIG COFFEE INDUSTRY DEVELOPMENT COUNCIL, INC. FOR COFFEE PROCESSING</t>
  </si>
  <si>
    <t>LIVESTOCK BREEDING PROGRAM</t>
  </si>
  <si>
    <t>Supply and Delivery of Other Supplies (M.O/Cultural)</t>
  </si>
  <si>
    <t>TIRES 255/60 R16/SVP No. U-2020-06-001</t>
  </si>
  <si>
    <t>20PL0116 - Concreting of Sitio Turod to Sitio Burubur (Phase II) FMR, Brgy. Bulo, Tabuk City, Kalinga</t>
  </si>
  <si>
    <t>REHABILITATION OF MULTI-PURPOSE HALL @ BRGY. TALAGA PROPER, MABINI, BATANGAS</t>
  </si>
  <si>
    <t>Procurement of Fuel, Oil and Lubricants - PAGSO</t>
  </si>
  <si>
    <t>CCTV for barangay @ Salaban II, Ibaan, Batangas</t>
  </si>
  <si>
    <t>EVACUATED TUBES</t>
  </si>
  <si>
    <t>DRRM Information Signage to be installed at LGU Compound</t>
  </si>
  <si>
    <t>CONTINUATION OF CONSTRUCTION OF BARANGAY MULTI - PURPOSE HALL OF ESMERALDA, BALUNGAO, PANGASINAN</t>
  </si>
  <si>
    <t>Supply and Delivery of Facility Equipment for the use of City Mayor’s Office</t>
  </si>
  <si>
    <t>LEASE RENTAL OF AIRCONDITIONING UNIT  (1)</t>
  </si>
  <si>
    <t>Safemist Fog Machine</t>
  </si>
  <si>
    <t>Ink (70ml) bottle for three (3) Epson L565 Printers (3 btls Epson T664 Black; 1 btl Epson T664 Yellow; 1 btl Epson T664 Magenta; 1 btl Epson T664 Cyan); Ink bottle (65ml) for Epson L5190 Printer (1 bt</t>
  </si>
  <si>
    <t>MTO Operation of BPLS</t>
  </si>
  <si>
    <t>RFQ</t>
  </si>
  <si>
    <t>Rehabilitation of Barangay Road at Brgy. Dalima</t>
  </si>
  <si>
    <t>Labor Charge for decoration including flowers used for Blessing Road Rehabilitation (Pasil) Poblacion, Talibon Bohol</t>
  </si>
  <si>
    <t>PROCUREMENT OF BRAND NEW OF 10W DUMP TRUCK</t>
  </si>
  <si>
    <t>Proposed Construction of 120m Sidewalk with Curbes and Gutter at Barangay San Pedro, San Pablo City, Laguna</t>
  </si>
  <si>
    <t>Health Kit &amp; Health Supplements for our Children, Children with Special Needs,Elderly</t>
  </si>
  <si>
    <t>ICT Equipment for LSA - JRS Diversified Agri-Farm</t>
  </si>
  <si>
    <t>RPQ and PR FOR VARIOUS OFFICE SUPPLIES</t>
  </si>
  <si>
    <t>Concreting of Access Road at Brgy. Magahis (MRF)</t>
  </si>
  <si>
    <t>Procurement of Various Medical Equipment for CY 2020</t>
  </si>
  <si>
    <t>DETAILED ENGINEERING  STUDY/DESIGN  OF WARAS  SRIP,  IRIGA CITY, CAMARINES SUR</t>
  </si>
  <si>
    <t>PROCUREMENT AND DELIVERY OF AGRICULTURAL PRODUCTS (Seedlings) for LSWMU, VSU-Main, Visca, Baybay City, Leyte (PSMO20-06-0268)</t>
  </si>
  <si>
    <t>Provision Of Runway Markers And Markings At Bacon Airport</t>
  </si>
  <si>
    <t>Procurement of Internet Security Anti-Virus</t>
  </si>
  <si>
    <t>Supply and Delivery of Various Grocery Items</t>
  </si>
  <si>
    <t>FINISHING OF BARANGAY HALL AT BARANGAY SAN MARCELINO, BALUNGAO, PANGASINAN</t>
  </si>
  <si>
    <t>Proposed Purchase of 3 Units CCTV Cameras and 3 Units Public Adress Speakers at Barangay San Pedro, San Pablo City, Laguna</t>
  </si>
  <si>
    <t>200 btls Alcohol 70% Solution 250ml; 50 pcs Battery AAA; 50 pcs Battery AA; 200 pcs Ballpen (100 Black/100 Blue); 100 pcs Correction Tape (Pro Tip); 100 rolls Scotch Tape (1”); 24 rolls Duct Tape (478</t>
  </si>
  <si>
    <t>Hammer Mill for LSA - DAJ Diversified Farm</t>
  </si>
  <si>
    <t>Procurement of Digital Multi Function Copier</t>
  </si>
  <si>
    <t>REHABILITATION OF CALANASAN SPORTS &amp; CULTURAL/EVACUATION CENTER</t>
  </si>
  <si>
    <t>VARIOUS MEDICINE AND DENTAL MATERIALS</t>
  </si>
  <si>
    <t>SO-OPD20-012 - Seven (7) New Areas in Bohol under the Off-Grid Electrification Project</t>
  </si>
  <si>
    <t>Replacement of Motor Inverter Compressor</t>
  </si>
  <si>
    <t>printing of Identification Card (ID's) for distribution to the residents of Barangay in the six (6) municipalities, provincewide, PGO, Boac, Marinduque</t>
  </si>
  <si>
    <t>CONSTRUCTION OF MULTI-PURPOSE CENTER/EVACUATION CENTER IN BARANGAY MANLACBO, VALDERRAMA (Brgy. Manlacbo, Valderrama, Antique)/IB. NO. K-2020-024(SC)</t>
  </si>
  <si>
    <t>Provision Of Runway Markers And Markings At Bulan Airport</t>
  </si>
  <si>
    <t>20PL0117 - Construction/Concreting of the Tabuk City, Kalinga - Tuao, Cagayan Road via the Burayugan-San Francisco-Naruangan Section, Cagayan Road, Tabuk City, Kalinga</t>
  </si>
  <si>
    <t>CONSTRUCTION OF MULTI-PURPOSE ALL WEATHER FACILITY</t>
  </si>
  <si>
    <t>Construction of San Miguel Fire Station Building, San Miguel, Surigao del Norte, Caraga Region</t>
  </si>
  <si>
    <t>RFQ NO. 2020-029- WASTE WATER QUALITY MONITORING AND ANALYSIS</t>
  </si>
  <si>
    <t>CONSTRUCTION OF MULTI-PURPOSE CENTER/EVACUATION CENTER IN BARANGAY BINANOGAN, VALDERRAMA (Brgy. Binanogan, Valderrama, Antique)/IB. NO. K-2020-023(SC)</t>
  </si>
  <si>
    <t>10	box	Paper Clip, 33mm, 100 pieces, etc. PR # 509-20</t>
  </si>
  <si>
    <t>INVITATION TO QUOTE FOR PRINTING SERVICES (Books and Publicationl) for DLABS, VSU-Main, Baybay City, Leyte (PSMO20-06-0277)</t>
  </si>
  <si>
    <t>supplying laptop, etc. for use in the Office of SP Secretariat, SP, Boac, Marinduque</t>
  </si>
  <si>
    <t>Supply and Delivery of Office supplies of HHSBN (P77,143.00)</t>
  </si>
  <si>
    <t>PROCUREMENT OF CCTV  INSTALLATION</t>
  </si>
  <si>
    <t>SVP FOR THE SUPPLY AND DELIVERY OF 5-UNITS AIRCONDITIONING UNITS (REBIDDING)</t>
  </si>
  <si>
    <t>PROVISION OF LABOR AND MATERIALS FOR THE CONSTRUCTION OF  CONCRETE STEP LADDERS AND HAND RAILINGS IN CAPE ENGAÑO, PALAUI ISLAND PROTECTED LANDSCAPE AND SEASCAPE (PIPLS)</t>
  </si>
  <si>
    <t>Supply and delivery of 1 unit Heavy Duty Shredder to be used at the Office of the RTD for Research and Regulatory</t>
  </si>
  <si>
    <t>Incubator for LSA - DAJ Diversified Farm</t>
  </si>
  <si>
    <t>Procurement of Various Planting Materials and Fertilizers - Lot 1 - Planting Materials - PAGSO</t>
  </si>
  <si>
    <t>IMPROVEMENT OF MAYOR'S OFFICE (MUNICIPAL HALL)</t>
  </si>
  <si>
    <t>PROCUREMENT OF GOODS FOR THE VARIOUS LIVELIHOOD PROJECTS OF LGU-VALDERRAMA, ANTIQUE</t>
  </si>
  <si>
    <t>CONTINUATION ON OF 1st &amp; 2nd FLOOR OF BARANGAY MULTI - PURPOSE BUILDING LOCATED AT BARANGAY SAN LEON, BALUNGAO, PANGASINAN</t>
  </si>
  <si>
    <t>CONSTRUCTION OF MULTI-PURPOSE HALL (Brgy. Inabasan Sur, Hamtic, Antique )/IB. NO. K-2020-028(SC)</t>
  </si>
  <si>
    <t>Request for Quotation for the supply and delivery of HDPE (Sdr.11) - ½”Ø</t>
  </si>
  <si>
    <t>Summer In Service Training 2020-2021</t>
  </si>
  <si>
    <t>SUPPLIES AND MATERIALS FOR SCHOOL-BASED INSET</t>
  </si>
  <si>
    <t>IMPROVEMENT OF BRGY. BALAWEG-MAPISI CIS</t>
  </si>
  <si>
    <t>Supply and Delivery of Construction Supplies and Materials</t>
  </si>
  <si>
    <t>8 boxes Ink Advantage Black 678 Black Hitam; 15 boxes Advantage Black 678 Tri-Color</t>
  </si>
  <si>
    <t>10 pcs Hydraulic Filter – BT359; 10 pcs Engine Oil Filter – W11102</t>
  </si>
  <si>
    <t>CONCRETING OF SITIO ALIGTUS-IGPALGE ROAD, BARBAZA (Barbaza, Antique)/IB. NO. K-2020-049(SC)</t>
  </si>
  <si>
    <t>CONCRETING OF POJO-HATAY-HATAY ROAD (Bugasong, Antique)/IB. NO. K-2020-056(SC)</t>
  </si>
  <si>
    <t>CONTSRUCTION/IMPROVEMENT/REHABILITATION OF LINE CANAL &amp; PATHWA7Y @ BRGY. BULACAN, MABINI, BATANGAS</t>
  </si>
  <si>
    <t>Preventive Maintenance of GCMS RO-6</t>
  </si>
  <si>
    <t>Procurement of One (1) Unit Service Veicle for use of the City Government of Tarlac. B2020-075-A</t>
  </si>
  <si>
    <t>6 Ink HP #85A Black Laserjet</t>
  </si>
  <si>
    <t>MESSENGERIAL SERVICES FOR THE YEAR 2020 OF SSS DAET</t>
  </si>
  <si>
    <t>Procurement of Various Textbooks for Reference Purposes of the College Library - Fortune Towne Campus</t>
  </si>
  <si>
    <t>FURNISHING AND DELIVERY OF TELCO CARDS FOR SB OFFICES</t>
  </si>
  <si>
    <t>PROCUREMENT OF OFFICE SUPPLIES, IT SUPPLIES AND JANITORIAL SUPPLIES</t>
  </si>
  <si>
    <t>Module Survey Project 2020 New Lands</t>
  </si>
  <si>
    <t>Service Maintenance for City Hall ACU System</t>
  </si>
  <si>
    <t>Procurement of Office Supplies and Cleaning Materials</t>
  </si>
  <si>
    <t>Supply and Delivery of Tire for various Municipal Equipment of LGU Matalam</t>
  </si>
  <si>
    <t>S3-B0820-002 - Supply of Labor, Special Tools, Consumable Materials and Equipment with Specialized Technicians/Mechanic for the On-site Restoration of Unit No.1 Daihatsu 6DK-32 Engine of PB 108</t>
  </si>
  <si>
    <t>Troubleshooting,Repair &amp; Cleaning of ACU</t>
  </si>
  <si>
    <t>SUPPLY AND DELIVERY OF ICT OFFICE EQUIPMENT &amp; SOFTWARES - MOOE [069-2020 (2)]</t>
  </si>
  <si>
    <t>Request for Quotation for the supply and delivery of HDPE (Sdr.11) - 8”Ø P.E. Tube 8”x6meters</t>
  </si>
  <si>
    <t>the Procurement of Various Planting Materials and Fertilizers - Lot 2 - Fertilizers - PAGSO</t>
  </si>
  <si>
    <t>MTO Operation of ITAX System</t>
  </si>
  <si>
    <t>SUPPLY &amp; DELIVERY OF PRINTING SUPPLIES</t>
  </si>
  <si>
    <t>Printing Services of Tabloid in MinSCAT Main Campus</t>
  </si>
  <si>
    <t>Procurement of Bin Cards and Stock Cards</t>
  </si>
  <si>
    <t>Janitorial Manpower Services</t>
  </si>
  <si>
    <t>SUPPLY, DELIVERY, INSTALLATION, CABLING, CONFIGURATION AND COMMISSIONING OF ICT EQUIPMENT FOR OPERATION CENTERS, REGION 2, 10, 12 AND CARAGA</t>
  </si>
  <si>
    <t>Procurement of Various Housekeeping Supplies  - PGO</t>
  </si>
  <si>
    <t>Construction Supplies &amp; Materials for LSA - Basmayor Farm</t>
  </si>
  <si>
    <t>Improvement of Slaughter House</t>
  </si>
  <si>
    <t>Supply and Installation of Pipe Thermistor</t>
  </si>
  <si>
    <t>Purchase of 2 units Air Condition (Window Type) 2.5 HP (with installation) for use at the Laoag City General Hospital</t>
  </si>
  <si>
    <t>Request for Quotation for the supply and delivery of uPVC 4” &amp; 6”</t>
  </si>
  <si>
    <t>PURCHASE OF MONOBLOC CHAIRS</t>
  </si>
  <si>
    <t>One (1) Lot Media Monitoring and Analysis of Print, Online, and Broadcast News Reports and Social Media Posts covering the Bangko Sentral ng Pilipinas (BSP) and Related Economic and Financial News, as</t>
  </si>
  <si>
    <t>SO-SPU20-006 - Supply and Delivery of Various Personnel Protective Equipment (PPE) for SPUG Plant Personnel</t>
  </si>
  <si>
    <t>Procurement of Biosafety Cabinet Level 2</t>
  </si>
  <si>
    <t>Supply, Delivery and Installation of Window Blinds</t>
  </si>
  <si>
    <t>REPAIR AND IMPROVEMENT OF BFP-NHQ MAIN BUILDING (Rehabilitation of Sanitary Line System)</t>
  </si>
  <si>
    <t>Repair and Re-piping of Main and Existing Sewer Line System at NPO Building</t>
  </si>
  <si>
    <t>Purchase of Auto Supplies &amp; Spareparts</t>
  </si>
  <si>
    <t>Procureemnt of UPS to be used for regulation and back up power source at the Server room, Alaminos City</t>
  </si>
  <si>
    <t>Purchase of Diesel Fuel for the Rehab of Sitio Kulog to Arakan Road</t>
  </si>
  <si>
    <t>Procurement of Electric Stereo Zoom Microscope</t>
  </si>
  <si>
    <t>Supply and Delivery of One (1) unit of Environment Monitoring Tool at BSP Head Office, as per BSP Technical Specifications</t>
  </si>
  <si>
    <t>Invitation to submit quotation for the repair of vehicle isuzu elf</t>
  </si>
  <si>
    <t>Request for Quotation for the supply and delivery of 1 unit of motorcycle</t>
  </si>
  <si>
    <t>Procurement of Digital Electric Microscope</t>
  </si>
  <si>
    <t>PRE-PRINTED ID CARDS (CY2020)</t>
  </si>
  <si>
    <t>Procurement of Gel Electrophoresis System</t>
  </si>
  <si>
    <t>Materials for Improvement of Multi-Purpose Building</t>
  </si>
  <si>
    <t>Procurement of Materials for Ligtas COVID Center Isolation Room for the Municipality of Lugait, Misamis Oriental.</t>
  </si>
  <si>
    <t>Procurement of Office Furniture and Equipment for SDO I use</t>
  </si>
  <si>
    <t>Procurement of Digital Electric Stereomicroscope</t>
  </si>
  <si>
    <t>Procurement of High-Speed Microcentrifuge</t>
  </si>
  <si>
    <t>Procurement of OR Equipment (HFEP)</t>
  </si>
  <si>
    <t>Purchase of Diesel Fuel for the Rehab of Sitio Kulog to Sitio Valdevieso Road</t>
  </si>
  <si>
    <t>SUPPLY AND DELIVERY OF FACE MASK AND ALCOHOL</t>
  </si>
  <si>
    <t>Supply &amp; Delivery of Inks, Computer &amp; Accessories</t>
  </si>
  <si>
    <t>Supply and Delivery of UV Light</t>
  </si>
  <si>
    <t>SUPPLY &amp; DELIVERY OF FITTINGS (26 ITEMS)</t>
  </si>
  <si>
    <t>Procurement of Customized Standalone Table Shields</t>
  </si>
  <si>
    <t>Supply and Delivery of Desktop Computer</t>
  </si>
  <si>
    <t>Construction of Second Floor Food Court  Phase 2</t>
  </si>
  <si>
    <t>Procurement of Autoclave</t>
  </si>
  <si>
    <t>SUPPLY AND DELIVERY OF FISHING GEARS FOR THE USE OF AGTAS IN PALAUI ISLAND PROTECTED LANDSCAPE AND SEASCAPE (PIPLS) , SNA VICENTE, STA. ANA, CAGAYAN</t>
  </si>
  <si>
    <t>Procurement of Materials and Equipment for DRRM use</t>
  </si>
  <si>
    <t>Procurement of Laboratory Refrigerator</t>
  </si>
  <si>
    <t>Procurement of Microplate Reader Ultra-Fast UV/Vis Spectrometer</t>
  </si>
  <si>
    <t>PROCUREMENT OF DISPENSER, DIETARY EQUIPMENT, AND MEDICAL EQUIPMENT</t>
  </si>
  <si>
    <t>Procurement of DSLR Camera, Zoom Lens, &amp; Fisheye Lens</t>
  </si>
  <si>
    <t>Procurement of Dehydrator</t>
  </si>
  <si>
    <t>Environmental Health/Safety Equipment</t>
  </si>
  <si>
    <t>Office Supplies - Various Offices</t>
  </si>
  <si>
    <t>Procurement of Fuel and Lubricants' Fleet Card for Official use of BFAR-13 July-December CY 2020</t>
  </si>
  <si>
    <t>Construction of Flood Control, Barangay San Jose (Additional Allocation)</t>
  </si>
  <si>
    <t>INVITATION TO BID FOR SUPPLY AND DELIVERY OF TEXTBOOKS AND REFERENCES FOR CY 2020 (REBIDDING)</t>
  </si>
  <si>
    <t>PURCHASE OF FIXTURES TO BE USED AT THE VISITOR'S INFORMATION CENTER OF PALAUI ISLAND PROTECTED LANDSCAPE AND SEASCAPE (PIPLS)</t>
  </si>
  <si>
    <t>12 UNITS AIR PURIFIER</t>
  </si>
  <si>
    <t>Loyalty Incentives - Memorabilia - City Human Resource Management Office</t>
  </si>
  <si>
    <t>Radio Airtime for Education Advocacy and Radio Modality of Teaching Learning for Elementary and Secondary Learners</t>
  </si>
  <si>
    <t>Procurement of Eco Solvent Printer</t>
  </si>
  <si>
    <t>Procurement of Essential Materials</t>
  </si>
  <si>
    <t>RB2020-06-199 Certificate for Day Care Recognition</t>
  </si>
  <si>
    <t>Office and Other Supplies - Office of the City Mayor - Tourism</t>
  </si>
  <si>
    <t>Supply and delivery of 2 units computer desktop, 2 units 3n1 printer, 2 pcs wifi, 1 external hard drive and 1 extension cord</t>
  </si>
  <si>
    <t>Purchase of printer</t>
  </si>
  <si>
    <t>Supplies and delivery of Information Technology of Mis. Occ. National High School - Senior High School</t>
  </si>
  <si>
    <t>Procurement of Sterilizer</t>
  </si>
  <si>
    <t>Supply and Delivery of Various construction Materials</t>
  </si>
  <si>
    <t>Other Supplies/Janitorial Supplies - Various Offices</t>
  </si>
  <si>
    <t>PURCHASE OF COMMUNICATION GADGETS FOR PALAUI ISLAND PROTECTED LANSCAPE AND SEASCAPE (PIPLS) PAMB</t>
  </si>
  <si>
    <t>Procurement of Egg Incubator</t>
  </si>
  <si>
    <t>Procurement  of Tires</t>
  </si>
  <si>
    <t>Procurement of Infrastructure and Construction Supplies RFQ No. 411</t>
  </si>
  <si>
    <t>RFQ - Footbath Mat</t>
  </si>
  <si>
    <t>REGULAR MAINTENANCE, PURCHASE AND REPLACEMENT OF DAMAGED SPARE PARTS FOR THE SJP-806</t>
  </si>
  <si>
    <t>Supply and Delivery of ICT Office Supplies and Accessories for MGB-Region X for FY 2020 (MOOE)</t>
  </si>
  <si>
    <t>Procurement of Various Food Stuff - PHSO</t>
  </si>
  <si>
    <t>Supply and Delivery of Starter Kits for the Recovery Livelyhood Projects for the Micro Enterprises in Gregorio Del Pilar, Sugpon, Alilem and Sigay Ilocos Sur to be held on June 29 - 30, 2020</t>
  </si>
  <si>
    <t>REHABILITATION OF BARANGAY HEALTH CENTER, STA. MONICA</t>
  </si>
  <si>
    <t>Supply and Delivery of Agricultural Supplies as Extension Support to be distributed to the participants of Gule King Pamigulut-gulut, Enaka Lumawut, Ekapa Dumanup: Training on Backyard Vegetable Produ</t>
  </si>
  <si>
    <t>Office Desk ( without drawers)</t>
  </si>
  <si>
    <t>Procurement of Various Brand New Aircondition with Installation  - SOYMPH, PAIASO, SDH &amp; ADH</t>
  </si>
  <si>
    <t xml:space="preserve">INVITATION TO BID FOR Supply, Delivery, Installation, Configuration, Documentation and User’s Training of Firewall Appliance with UTM Subscription and User’s Training of Classroom Management Solution </t>
  </si>
  <si>
    <t>Procurement of Battery (12 Volts 9 Plates) - SOYMPH</t>
  </si>
  <si>
    <t>Purchase of plumbing Supplies use for maintenance of water system</t>
  </si>
  <si>
    <t>FURNITURE LABOR AND MATERIAL</t>
  </si>
  <si>
    <t>Contract ID No. 20NC0126 - Construction of Satellite Materials Laboratory Building, Agusan del Sur 2nd District Engineering Office, San Francisco, Agusan del Sur</t>
  </si>
  <si>
    <t>Procurement of One (1) Unit Motor Service Vehicle - PHSO</t>
  </si>
  <si>
    <t>Supply and Delivery of Agricultural Supplies as Extension Support to be distributed to the participants of Tapat Ko, Tanim Ko. Gulayan sa Bakuran, Laban sa Kagutuman: Training on Household Vegetable P</t>
  </si>
  <si>
    <t>Construction/ Repair/ Rehabilitation/ Improvement of Various Infrastructure Including Local Projects - Rehabilitation of Multi-Purpose Hall, Baguio City</t>
  </si>
  <si>
    <t>Supply and Delivery of Piglets as Starter Kit for Back to Basics- Scientific and Sustainable Livestock Production Advocacy Seminar</t>
  </si>
  <si>
    <t>Contract ID No. 20NC0127 - Construction of Multi-Purpose Building, Brgy. San Isidro, San Francisco, Agusan del Sur</t>
  </si>
  <si>
    <t>Pag-IBIG Fund CHQ (SUPPLY AND DELIVERY OF  VARIOUS PREPAID CARDS)</t>
  </si>
  <si>
    <t>Procurement of Various Catering Services, Venue &amp; Accommodation - Lot 2 - Venue - PVET</t>
  </si>
  <si>
    <t>REPAIR AND MAINTENANCE OF VARIOUS AIRCONDITIONER</t>
  </si>
  <si>
    <t>Supply and Delivery of Agricultural Supplies as Extension Support for the conduct of Magaral at Matuto sa Organikong Paggugulayan under RBO</t>
  </si>
  <si>
    <t>Construction/ Repair/ Rehabilitation/ Improvement of Various Infrastructure Including Local Projects - Rehabilitation of Road at Purok 2 and 3, Brgy. Sta. Escolastica Village, Baguio City</t>
  </si>
  <si>
    <t>Procurement of Various Catering Services, Venue &amp; Accommodation - Lot 3 - Accommodation - PVET</t>
  </si>
  <si>
    <t>Supply and Delivery of Free-Range Chicken  as Starter Kit for Back to Basics- Scientific and Sustainable Livestock Production Advocacy Seminar</t>
  </si>
  <si>
    <t>Procurement of Various Catering Services, Venue &amp; Accommodation - Lot 1 - Catering Services - PVET</t>
  </si>
  <si>
    <t>Brigada Eskwela</t>
  </si>
  <si>
    <t>Construction/ Repair/ Rehabilitation/ Improvement of Various Infrastructure Including Local Projects – Rehabilitation of Road Teodora Alonzo, Baguio City</t>
  </si>
  <si>
    <t>CONSTRUCTION OF WATER PUMPING SYSTEM</t>
  </si>
  <si>
    <t>Supply and Delivery of Hygiene Items to be used for the conduct of Activities, Training and Operation and Other Programs of the Center</t>
  </si>
  <si>
    <t>Request for Quotation for the Supply and Delivery of various vegetable seeds</t>
  </si>
  <si>
    <t>Gawad Parangal</t>
  </si>
  <si>
    <t>Mobile Two Wheel Ambulance</t>
  </si>
  <si>
    <t>office supply</t>
  </si>
  <si>
    <t>Fabrication of 4-Units Waste Management Segregation</t>
  </si>
  <si>
    <t>FUEL FOR ROAD REHABILITATION (NP)</t>
  </si>
  <si>
    <t>Supply and Delivery of one (1) unit Projector and one (1) unit Laser Printer</t>
  </si>
  <si>
    <t>Supplies and delivery of Information Technology of Mis. Occ. National High School - Junior High School</t>
  </si>
  <si>
    <t>Iwas Dengue</t>
  </si>
  <si>
    <t>3 Passenger E-Bike</t>
  </si>
  <si>
    <t>RE-BIDDING FOR THE PROCUREMENT OF VARIOUS OFFICE SUPPLIES</t>
  </si>
  <si>
    <t>Barangay Mascot</t>
  </si>
  <si>
    <t>CONTINUATION OF IMPROVEMENT OF MULTI PURPOSE HALL</t>
  </si>
  <si>
    <t>Procurement of solar street lamp</t>
  </si>
  <si>
    <t>Office and Other Supplies</t>
  </si>
  <si>
    <t>Purchase of Various Seeds for Dispersal to Farmers in the Municipality of Santa Barbara</t>
  </si>
  <si>
    <t>Local Infrastructure Program – Renovation of PFVR Building, Department of Education Division Office, Brgy. Military Cut Off, Baguio City, Benguet</t>
  </si>
  <si>
    <t>2020-05-0881 Two Times Preventive Maintenance of Mammography</t>
  </si>
  <si>
    <t>Improvement of Designated Excavation Center</t>
  </si>
  <si>
    <t>Request for Quotation for the Supply and Delivery of various Garden Tools and Seeds</t>
  </si>
  <si>
    <t>Request for Quotation for the Supply and Delivery of various Garden Tools</t>
  </si>
  <si>
    <t>Procurement of Construction Materials for Temporary Learning Spaces for Mabunao ES, San Roque ES and Teofanis G. Gerona ES</t>
  </si>
  <si>
    <t>PROCUREMENT OF EDUCATIONAL EQUIPMENT/SUPPORT INSTRUCTIONAL EQUIPMENT</t>
  </si>
  <si>
    <t>Procurement of Other Supplies &amp; Materials</t>
  </si>
  <si>
    <t>SUPPLY AND DELIVERY OF MATERIALS - Improvement of Water System</t>
  </si>
  <si>
    <t>Filing Cabinet</t>
  </si>
  <si>
    <t>DISINFECTANTS</t>
  </si>
  <si>
    <t>Request for Quotation for the Supply and Delivery of various tokens</t>
  </si>
  <si>
    <t>20GD00003: PROVSION OF 14 SECURITY SERVICES AT DPWH REGIONAL OFFICE NO. IV-A, EDSA, QUEZON CITY FOR   SIX (6) MONTHS</t>
  </si>
  <si>
    <t>Purchase of 1 unit Printer at Barangay Banjo West, Tanauan City, Batangas</t>
  </si>
  <si>
    <t>PURCHASE OF ELECTRICAL SUPPLIES  USE FOR BRGY. BULUA CAGAYAN DE ORO CITY.</t>
  </si>
  <si>
    <t>2020-05-0882 Two Times Preventive Maintenance of Flouroscopy &amp; Radiography X-Ray Machine</t>
  </si>
  <si>
    <t>Improvement of Barangay Road (FTMR) ( Tomyong 1 &amp; 2 Sts.)</t>
  </si>
  <si>
    <t>20GMH047 - Supply/Delivery of Diesel Fuel and Engine Oil for use of service vehicle assigned at the Planning and Design Section, DPWH-Sultan Kudarat 2nd District Engineering Office</t>
  </si>
  <si>
    <t>20GMH048 - Supply/Delivery of Diesel Tire and Battery for use of Service Vehicle assigned at the Planning and Design Section, DPWH-Sultan Kudarat 2nd District Engineering Office</t>
  </si>
  <si>
    <t>PURCHASE OF MEDICINES AND MEDICAL SUPPLIES</t>
  </si>
  <si>
    <t>PROCUREMENT OF AIR CONDITIONING UNITS FOR SCHOOL OFFICES (ADMIN &amp; FACULTY ROOMS) - JUNIOR HIGH SCHOOL</t>
  </si>
  <si>
    <t>20MH0103 - Concreting Local Road, Purok Narra, Brgy.Poblacion, Sultan Kudarat</t>
  </si>
  <si>
    <t>Purchase of electrical supplies at Barangay Banjo West, Tanauan City, Batangas</t>
  </si>
  <si>
    <t>Request for Quotation for the Supply and Delivery of various Animal Feeds</t>
  </si>
  <si>
    <t>IMPROVEMENT OF ACCESS ROAD LEADING TO SANITARY LANDFILL</t>
  </si>
  <si>
    <t>PROCUREMENT OF AIR CONDITIONING UNITS FOR SCHOOL OFFICES (ADMIN &amp; FACULTY ROOMS) - SENIOR HIGH SCHOOL</t>
  </si>
  <si>
    <t>2nd  Quarter MOOE 2020 - April June 2020  Pontevedra South ES</t>
  </si>
  <si>
    <t>Procurement of Various Inks, Toners, Drum Kits for Printers</t>
  </si>
  <si>
    <t>SDRR EQUIPMENTS</t>
  </si>
  <si>
    <t>CONSTRUCTION OF MULTIPURPOSE HALL= TALOY SUR, TUBA, BENGUET</t>
  </si>
  <si>
    <t>CONSTRUCTION OF FLUE CURING BARN</t>
  </si>
  <si>
    <t>Supplies and Delivery of General Merchandise MOOE, BDF and BDRRMF (Electrical supplies, Clean and Green, Fabrication of covered canal, Other property, Plants and Equipment)</t>
  </si>
  <si>
    <t>Aircon</t>
  </si>
  <si>
    <t>CONSTRUCTION OF SEBIT-CAUCALAN WATER WORKS SYSTEM (PHASE 2)</t>
  </si>
  <si>
    <t>REHAB.OF BULUA BRGY.WATER SYSTEM, Barangay Bulua,Cagayan de Oro City.</t>
  </si>
  <si>
    <t>IMPROVEMENT OF FARM TO MARKET ROAD AT PALINA BALINSAWANG</t>
  </si>
  <si>
    <t>20MH0085 - Concreting of Upper Balayan to Kinadao, Barangay Badiangon, Palimbang, Sultan Kudarat</t>
  </si>
  <si>
    <t>generator</t>
  </si>
  <si>
    <t>CONSTRUCTION OF BANIWAS RCDG BRIDGE AT BARANGAY CABARUYAN</t>
  </si>
  <si>
    <t>Construction/Installation of 20 units Solar Pwer Streetlights</t>
  </si>
  <si>
    <t>Improvement of Dance Studio/Fitness Sports Center</t>
  </si>
  <si>
    <t>ITDI-200004_REBID - SUPPLY OF LABOR AND MATERIALS FOR THE REPAIR OF AIRCONDITIONING UNITS</t>
  </si>
  <si>
    <t>Procurement of Laptop</t>
  </si>
  <si>
    <t>2nd Quarter MOOE 2020 - April-  June  2020  Pontevedra South ES</t>
  </si>
  <si>
    <t>Procurement of Materials for Live Streaming, Conferences and Online Meetings</t>
  </si>
  <si>
    <t>Request for Quotation for the Supply and Delivery of 60 Heads of Female Piglet</t>
  </si>
  <si>
    <t>Purchase of Supplies and Materials</t>
  </si>
  <si>
    <t>Request for Quotation for the Supply and Delivery of various Livestock animals</t>
  </si>
  <si>
    <t>Supply and Delivery of Dry Vitamin A Acetate and Riboflavin Fine Powder</t>
  </si>
  <si>
    <t>Procurement of Various Supplies and Materials P.R. No. 604 - SAH</t>
  </si>
  <si>
    <t>Request for Quotation for the Supply and Delivery of various ILivestock Animals</t>
  </si>
  <si>
    <t>Prepaide card</t>
  </si>
  <si>
    <t>Procurement of Information Technology for Video Conferencing in Schools Division Office</t>
  </si>
  <si>
    <t>Procurement of Wireless Network</t>
  </si>
  <si>
    <t>laptop computer</t>
  </si>
  <si>
    <t>CONSTRUCTION OF SEAWALL WITH DRAINAGE CANAL &amp; EMBANKMENT</t>
  </si>
  <si>
    <t>Procurement of Various Construction Supplies and Materials P.R. No. 644 - SAH</t>
  </si>
  <si>
    <t>2020-06-0949 Source Emission Testing for Generator Set  Two (2) Generator Set (630 KW) (Single Stack) and 400 KW (Twin Stack) Three (3) Runs for 3 Stacks</t>
  </si>
  <si>
    <t>BID BULLETIN 1 - ADDITIONAL SPECIFICATION FOR THE SUPPLY AND INSTALLATION OF STREET LIGHTS AT BISLIG CITY</t>
  </si>
  <si>
    <t>Supply of Services for the Conduct of Various In-House Trainings/Courses, as per BSP Terms of References:</t>
  </si>
  <si>
    <t>Procurement of Corrugated Boxes</t>
  </si>
  <si>
    <t>PROCUREMENT OF VARIOUS INFRASTRUCTURE PROJECTS</t>
  </si>
  <si>
    <t>Supply and Delivery of Absolute Ethanol</t>
  </si>
  <si>
    <t>Grocery food supplies</t>
  </si>
  <si>
    <t>Request for Quotation for the Supply and Delivery of various Livestock animal</t>
  </si>
  <si>
    <t>2nd Quarter MOOE 2020 - April - June 2020  Pontevedra South ES</t>
  </si>
  <si>
    <t>Supply and Delivery of WYD Iodine Checker</t>
  </si>
  <si>
    <t>Supply and Delivery of Heavy duty (HDPE) reusable 95kPa-Rated canisters</t>
  </si>
  <si>
    <t>ROAD CONCRETING (NEAR MALABOG CREEK, HAMORAON)</t>
  </si>
  <si>
    <t>Spray and Disinfection Services</t>
  </si>
  <si>
    <t>2020-02-0397 Supply of Labor and Materials for Repair of King Long Medic Ambulance Plate No. SLF 466</t>
  </si>
  <si>
    <t>Procurement of Bond Paper</t>
  </si>
  <si>
    <t>2020-06-0653 PURCHASE AND DELIVERY OF SERVER FOR LISTAHANAN 3 (ICT EQUIPMENT)</t>
  </si>
  <si>
    <t>Construction of Masonry Drainage Structure along Bassig Street (Simangan Alley)</t>
  </si>
  <si>
    <t>Procurement of other supplies and materials</t>
  </si>
  <si>
    <t>Construction of Masonry Drainage Structure along Bassig Street (Bangayan Alley)</t>
  </si>
  <si>
    <t>Printing of MELC Kinder to Grade 6</t>
  </si>
  <si>
    <t>Request for Quotation for the Supply and Delivery of various Livestock Animals</t>
  </si>
  <si>
    <t>Procurement of Information Technology for Battery Power System for Firewall, Routers and Access-points</t>
  </si>
  <si>
    <t>REPAIR AND IMPROVEMENT OF PERIMETER FENCE,SEPARATOR WALL,MAIN GATE AND PEDESTRIAN GATE</t>
  </si>
  <si>
    <t>Barangay 659-A C.O. "AIRCON, COMPUTER W COMPLETE ACC., MOVABLE TENT, TROMPA" / BDF "CLEAN &amp; BEAUTIFICATION" 2020</t>
  </si>
  <si>
    <t>Labor and Materials for the Upgrade of Local Area Network</t>
  </si>
  <si>
    <t>2020-GOODS-034_Modernization of Information Technology and Network Communication Laboratory Facility of College of Computing Sciences</t>
  </si>
  <si>
    <t>2nd Quarter MOOE 2020 - April- June 2020  Pontevedra South ES</t>
  </si>
  <si>
    <t>INSTALLATION OF CCTV CAMERAS</t>
  </si>
  <si>
    <t>20BBG0030 - Furnishing of Construction Materials for the Repair of Damage Concrete Deck of Naddungan Br. No. 2 along Magapit Mission Road</t>
  </si>
  <si>
    <t>2020-06-0651 PURCHASE AND DELIVERY OF LISTAHANAN 3 SUPPLIES AND  CENTENARIAN SUPPLIES</t>
  </si>
  <si>
    <t>2nd  Quarter MOOE 2020 - April - June 2020  Pontevedra South ES</t>
  </si>
  <si>
    <t>2020-05-0931 Supply of Patient Monitor Accessories BRD: MINDRAY IMEC 10</t>
  </si>
  <si>
    <t>2nd Quarter MOOE  April - June  2020 of Pontevedra South ES</t>
  </si>
  <si>
    <t>Supply and Delivery of Portable Hygrometer and Anenometer</t>
  </si>
  <si>
    <t>Preventive Maintenance of Hach DR2800 &amp; DR2400</t>
  </si>
  <si>
    <t>Supply and Delivery of Office device and Janitorial Consumables</t>
  </si>
  <si>
    <t>For Annual Vaccination of Employees and  Personnel of DPWH  Quezon 1st District  Engineering Office, Lucban, Quezon</t>
  </si>
  <si>
    <t>Invitation to Bid for the Purchase of  Brand New Motor Vehicle for the use of SB Office</t>
  </si>
  <si>
    <t>PUBLIC ADDRESS SYSTEM REPAIR</t>
  </si>
  <si>
    <t>2020-06-0975 Rubber Tubing 1/4 x 1/8 x 50 ft, 100% rubber, hypoallergenic</t>
  </si>
  <si>
    <t>Purchase of Reflectorized Sticker</t>
  </si>
  <si>
    <t>Purchase of Fuel, Oil and Lubricants for the 3rd Quarter</t>
  </si>
  <si>
    <t>Procurement of Annual Subscription Renewal for the NWRB Managed Cloud Services and Web Hosting with Back-up Server and Maintenance</t>
  </si>
  <si>
    <t>20BB0122 - 65x Bridge Repainting (with Steel Members) Piggatan Bridge @ K0525+831 along Cagayan Valley Road, Gattaran, Cagayan</t>
  </si>
  <si>
    <t>Invitation to Bid for the Improvement of School at Pagsanga-an Elementary School (Repair of Ceiling and Electrical Wiring in Library and Computer Room, Improvement of H.E. Room and Extension of School</t>
  </si>
  <si>
    <t>SOLAR POWER SYSTEM INSTALLATION</t>
  </si>
  <si>
    <t>PR-2020-06-008</t>
  </si>
  <si>
    <t>Drilling of One (1) Production Well</t>
  </si>
  <si>
    <t>20BB0121 - Repair/Maintenance of DOJ Building Regional Trial Court (Bulwagan ng Katarungan) Centro, Aparri, Cagayan</t>
  </si>
  <si>
    <t>Purchase of IT Equipment</t>
  </si>
  <si>
    <t>Procurement of CTP Plate Gloss</t>
  </si>
  <si>
    <t>Improvement of Multi-Purpose Hall, Purok Silangan, Barangay Ibabang Dupay, Lucena City</t>
  </si>
  <si>
    <t>Procurement of Process Black Ink</t>
  </si>
  <si>
    <t>Invitation to Bid for the Improvement of School at Pandac Elementary School (Extension of Covered Court, Roofing and Ceiling of Classrooms)</t>
  </si>
  <si>
    <t>20BBG0022 (Re-advertised) - Furnishing of Construction Materials for the Repair/maintenance of Slope Protection (Abutment "A" and "B"), Bangan Br. No. 2, Lal-lo, Cagayan</t>
  </si>
  <si>
    <t>2020-06-0968 C-Reactive Protein (CRP) 100 Test/ Kit</t>
  </si>
  <si>
    <t>improvement of handwashing facilities, repair of footwalks,repair of drainage and EPP/TLE supplies</t>
  </si>
  <si>
    <t>PROJECT # 20-039 - PROCUREMENT OF ICT EQUIPMENT FOR TEACHING AND LEARNING PURPOSES – CITY SCHOOL DIVISION OFFICE</t>
  </si>
  <si>
    <t>Invitation to Bid for the Purchase of one (1) unit Fully Reconditioned Double Cab Fire Truck of the MDRRM Office</t>
  </si>
  <si>
    <t>Office supplies,learning materials,reading materials,In-Service training materials, school sanitation supplies</t>
  </si>
  <si>
    <t>PROJECT # 20-043 – PROCUREMENT OF MOTOR VEHICLE (RESCUE VEHICLE CUSTOMIZED PICK-UP) -LDRRMO</t>
  </si>
  <si>
    <t>PROJECT # 20-047 – PROCUREMENT OF DISASTER RESPONSE AND RESCUE EQUIPMENT - LDRRMO</t>
  </si>
  <si>
    <t>medical supplies and thermal scanner</t>
  </si>
  <si>
    <t>Invitation to Bid for the Catering Services for Various Activities of the HRM Office and Mayor’s Office</t>
  </si>
  <si>
    <t>Construction of Footbridge at Brgy. Bularong, Margosatubig, ZDS.</t>
  </si>
  <si>
    <t>Printing for Pre-Reading Assessment</t>
  </si>
  <si>
    <t>Purchase of Meals and Snacks for Orientation on Livelihood Assistance Grant (LAG) Implementation</t>
  </si>
  <si>
    <t>PROJECT # 20-055 – PROCUREMENT OF RESPONSE / VEHICLE 4 WHEELER -LDRRMO</t>
  </si>
  <si>
    <t>Invitation to Bid for the Improvement of School at Aganan-Ungka Elementary School (Elevation of Classroom, Canteen and Pathways)</t>
  </si>
  <si>
    <t>Procurement of Van Rental for Transportation Service of NCCA Employees</t>
  </si>
  <si>
    <t>PROJECT # 20-053 - PROCUREMENT OF CCTV CAMERA WITH TV MONITOR SYSTEM AND NETWORK INFRASTRUCTURE – CITY SCHOOL DIVISION OFFICE</t>
  </si>
  <si>
    <t>2020-GOODS-035_Upgrading of Engineering and Technology Laboratories of the Pangasinan State University</t>
  </si>
  <si>
    <t>Small Value Value Procurement for Heavy Duty Printer</t>
  </si>
  <si>
    <t>To support the procurement of Seventy (70) quarts Polyester Body Filler w/ Hardener and 17 other L/I for use in the 12th and 13th  PIP Inspection Scheduled Maintenance of C-130B aircraft Nr 4704.</t>
  </si>
  <si>
    <t>To support the procurement of services for the updating of two (2) ea Flight Management System (FMS) Navigational Data Base for use of NC-212i aircraft Nrs 2119 and 2120.</t>
  </si>
  <si>
    <t>20BB0123 - Repair/Maintenance of DPWH Building, DE &amp; ADE’s Office Building, Cagayan First District Engineering Office, Minanga, Aparri, Cagayan</t>
  </si>
  <si>
    <t>SUPPLY AND DELIVERY OF MATERIALS FOR THE REGRAVELLING OF ROADS IN SITIOS CARLING, CADANGLAAN, AND PROPER</t>
  </si>
  <si>
    <t>Construction of Drainage/Open Canal, Purok Sariling Atin, Barangay Ibabang Dupay, Lucena City</t>
  </si>
  <si>
    <t>construction of drainage lined canal purok 4 and 6</t>
  </si>
  <si>
    <t>Invitation to Bid for the Purchase of Furniture and Fixtures for Mayor’s Office and MENR Office</t>
  </si>
  <si>
    <t>REPAIR, IMPROVEMENT, OF SCHOOL CLINIC, AND 3 (THREE) WATER &amp; SANITATION (WATSAN)</t>
  </si>
  <si>
    <t>CATERING SERVICES AND ACCOMMODATION</t>
  </si>
  <si>
    <t>Procurement of Security Services (1 Year Contract)</t>
  </si>
  <si>
    <t>PROJECT # 20-049 - SUPPLY AND DELIVERY OF OTHER SUPPLIES AND MATERIALS (PERSONAL PROTECTIVE GEAR/EQUIPMENT FOR RESPONDERS &amp; VOLUNTEERS) - DRRMO</t>
  </si>
  <si>
    <t>PROJECT # 20-050 - PROCUREMENT OF DISASTER RESPONSE AND RESCUE EQUIPMENT (GENERATOR) - LDRRMO</t>
  </si>
  <si>
    <t>PROCUREMENT OF  FUEL FOR 3rd QUARTER OF 2020 , SAN ISIDRO, DAVAO ORIENTAL</t>
  </si>
  <si>
    <t>To support the procurement of services for the updating of six (6) ea Global Positioning System (GPS) Navigational Data Base with PN: GPS-795 for use of C-130T aircraft Nrs 5011 and 5040.</t>
  </si>
  <si>
    <t>IT Equipment (for the use of City Budget Office)/CBO</t>
  </si>
  <si>
    <t>SUPPLY AND DELIVERY OF VARIOUS MATERIALS FOR THE CONSTRUCTION OF ROOFING (MULTI-PURPOSE HALL EXPANSION)</t>
  </si>
  <si>
    <t>OFFICE &amp; OTHER SUPPLIES IN VIEW OF COVID-19 PANDEMIC</t>
  </si>
  <si>
    <t>Supply and Delivery of PSHS-MRC's Smart Function Thermal Imaging Camera</t>
  </si>
  <si>
    <t>To support the procurement of 500 ea Washer Sealing NAS1523-3Y and 6 other L/I for use during the Phase Maintenance Inspection Intermediate (PMI) of UH-1D Nr 8230, 8330 and 8392 at 205THW</t>
  </si>
  <si>
    <t>RFQ-SUPPLY &amp; DELIVERY OF VARIOUS FITTINGS</t>
  </si>
  <si>
    <t>Supply and Delivery of various Agricultural Tools, Materials and Inputs for Extension Initiatives towards Marginalized Groups/Special Concern - Gen. Nakar, Quezon</t>
  </si>
  <si>
    <t>PROJECT # 20-054 – PROCUREMENT OF K TO 12 LEARNING MATERIALS DEVELOPED BG LCCAD FOR DEPED - DRRMO</t>
  </si>
  <si>
    <t>Motor Vehicle Maintenance - Mits. FB L300/SHG 273 (DepEd)</t>
  </si>
  <si>
    <t>Supply and Installation of Counter Desks, Cabinets and Drop Ceilings of Learning Resource Center</t>
  </si>
  <si>
    <t>Purchase of One (1) unit Ambulance for MDRRM use</t>
  </si>
  <si>
    <t>One (1) Lot – Subscription to e-Learning Program on Bankwide and Leadership &amp; Management (L&amp;M) Courseware, as per BSP Terms of Reference</t>
  </si>
  <si>
    <t>SHS OFFICE &amp; OTHER SUPPLIES IN VIEW OF COVID-19 PANDEMIC</t>
  </si>
  <si>
    <t>rfq</t>
  </si>
  <si>
    <t>Multi purpose vehicle(surplus)</t>
  </si>
  <si>
    <t>Purchase of Two (2) units Rescue Vehicle for the use of Emergency response</t>
  </si>
  <si>
    <t>PROJECT # 20-071 - PROCUREMENT OF OFFICE EQUIPMENT 2ND QUARTER (VARIOUS OFFICES) - GSO</t>
  </si>
  <si>
    <t>Supply and Delivery of various Training Supplies and Materials for the conduct of Extension Initiatives in Marginalized Groups / Special Concern (Training on OA for Organization)</t>
  </si>
  <si>
    <t>Supply &amp; Delivery of Office Supplies and Materials, BNS</t>
  </si>
  <si>
    <t>CNH-0520-045</t>
  </si>
  <si>
    <t>To support the procurement of 2 ea Connecting Link PN: 205-060-734-11 and 2 other L/I for use of Bell 412 nrs 36691 and 36693 assigned at 205THW.</t>
  </si>
  <si>
    <t>RFQ-SUPPLY &amp; DELIVERY OF VARIOUS OFFICE SUPPLIES</t>
  </si>
  <si>
    <t>PROJECT # 20-072 - PROCUREMENT OF OFFICE EQUIPMENT – CITY CIVIL REGISTRY OFFICE</t>
  </si>
  <si>
    <t>CONSTRUCTION OF SA-ONG COVERED DRAINAGE</t>
  </si>
  <si>
    <t>NORCACES - Supplies for June 2020</t>
  </si>
  <si>
    <t>NBC-0620-170</t>
  </si>
  <si>
    <t>Supply and Delivery of various Agricultural Tools, Materials and Inputs for Adopt a Community - Community Garden</t>
  </si>
  <si>
    <t>Supply and Delivery of One (1) unit Paper Shredder, Heavy Duty, as per BSP Technical Specifications and Terms and Conditions</t>
  </si>
  <si>
    <t>RE-BID FOR PROJECT # 20-062 - PROCUREMENT OF IT EQUIPMENT 2ND QUARTER NON-DBM (VARIOUS OFFICES) - GSO</t>
  </si>
  <si>
    <t>Supply &amp; Delivery of Vehicle Parts and Accessories, BNS</t>
  </si>
  <si>
    <t>Installation of Basketball Goal/Ring with tempered glass board</t>
  </si>
  <si>
    <t>CONSTRUCTION OF PESKONG DRAINAGE</t>
  </si>
  <si>
    <t>Re-Designing of the Official Website Template of the Municipality of Pavia</t>
  </si>
  <si>
    <t>Supply &amp; Delivery of Other Structures supplies and Materials, (HPN&amp;HSG)</t>
  </si>
  <si>
    <t>Supply and Delivery of various Training Supplies and Materials for the conduct of Training on Organic Green Corn Production with provision of starter kits - Tiaong, Quezon</t>
  </si>
  <si>
    <t>RE-BID FOR PROJECT # 20-073 - PROCUREMENT OF ROBOTIC KITS - CITY SCHOOL DIVISION OFFICE</t>
  </si>
  <si>
    <t>RE-BID FOR PROJECT # 20-070 - PROCUREMENT OF FURNITURE AND FIXTURES 2ND QUARTER (VARIOUS OFFICES) - GSO</t>
  </si>
  <si>
    <t>SUPPLY AND DELIVERY OF VARIOUS MATERIALS FOR THE FABRICATION AND INSTALLATION OF 2 SETS HANGING FIBERGLASS BASKETBALL BOARD</t>
  </si>
  <si>
    <t>Supply and Delivery of various Agricultural Inputs and Materials for Adopt a Community - Starter Kit</t>
  </si>
  <si>
    <t>Small Value Procurement OF 2 SETS 18X20 CANOPY</t>
  </si>
  <si>
    <t>RFQ: PROVISION OF TRANSPORT SERVICE TO DENR MIMAROPA EMPLOYEES</t>
  </si>
  <si>
    <t>Purchase of Business Plates</t>
  </si>
  <si>
    <t>CONSTRUCTION OF SAFIANGON-CHALLOS FOOTBRIDGE</t>
  </si>
  <si>
    <t>Purchase of Spareparts for the Maintenace of Municipal Vehicle (Toyota Hilux PO1650)</t>
  </si>
  <si>
    <t>VARIOUS SUPPLIES AND MATERIALS FOR ANTI-VIRUS</t>
  </si>
  <si>
    <t>PROC of HARDWARE/SOFTWARE EQIPEMENTS FOR AUTOMATION OF PERMITS &amp; LICENSES (EASE OF DOIMG BUSINESS</t>
  </si>
  <si>
    <t>RFPQ - PROCUREMENT OF CONSTRUCTION MATERIALS AND SUPPLIES FOR CONSTRUCTION OF SPILLWAY (CONT.)</t>
  </si>
  <si>
    <t>SUPPLY AND DELIVERY OF VARIOUS MATERIALS FOR THE FABRICATION AND INSTALLATION OF FIBERGLASS/BASKETBALL BOARD STAND (1 PAIR)</t>
  </si>
  <si>
    <t>Supply &amp; Delivery of Office Supplies and Materials, (O/N2), HPN</t>
  </si>
  <si>
    <t>Purchase of Furniture and Fixtures for Office Use</t>
  </si>
  <si>
    <t>Supply &amp; Delivery of Other Supplies and Materials, (TNCC), HPN</t>
  </si>
  <si>
    <t xml:space="preserve">To support the procurement of 15 ea RF Power Transistor with PN: QSD2019-2 and two (2) other L/I for the repair of two (2) units VHF AM Aircraft Radio and two (2) units Dual Tach Indicator for use of </t>
  </si>
  <si>
    <t>Purchase of Cameras and Accessories for the use of Mayor's Office (MIS)</t>
  </si>
  <si>
    <t>TPB-PR.2020.06.167 CAKES WITH DELIVERY SERVICES</t>
  </si>
  <si>
    <t>Concreting of tire path at Digon, Margosatubig, ZDS.</t>
  </si>
  <si>
    <t>Purchase of tires for the maintenance of heavy equipment (Dumptruck)</t>
  </si>
  <si>
    <t>Barangay 777 BDF "CLEAN &amp; BEAUTIFICATION" 2020</t>
  </si>
  <si>
    <t>Supply and Delivery of various Training Supplies and Materials for the conduct of Training on Organic Free Range Chicken Production with provision of starter kits - Pila, Laguna</t>
  </si>
  <si>
    <t xml:space="preserve">To support the procurement of 15 ea Ball Bearing Assembly with PN: 14900079-4 and two (2) other L/I for the repair of two (2) units Fuel Quantity Indicator, one (1) unit Voltage Regulator and one (1) </t>
  </si>
  <si>
    <t>Supply and Delivery of Commercial chicks and Inputs for the Training on Organic Free Range Chicken Production with provision of starter kits - Pila, Laguna</t>
  </si>
  <si>
    <t>Purchase of Toilet Bowls</t>
  </si>
  <si>
    <t>Supply and Delivery of various Training Supplies and Materials for the conduct of Training on Organic Green Corn Production with provision of starter kits - Gen. Aguinaldo, Cavite</t>
  </si>
  <si>
    <t>EMERGENCY PURCHASE OF APPLIANCE AND FURNITURE TO BE USED IN QUARANTINE FACILITY/TRIAGE DURING COVID-19 PANDEMIC</t>
  </si>
  <si>
    <t>Supply &amp; Delivery of Grocery Items, (O/N2), HPN</t>
  </si>
  <si>
    <t>Labor for the improvement of handwashing, repair of footwalk, repair of drainage and electrical connection</t>
  </si>
  <si>
    <t>To support the procurement of five (5) ea Rubber Boot with PN: 204-076-410-1 and four (4) other L/I for use during Phase Maintenance of UH-1 Aircraft Nrs 8308, 305, and 853</t>
  </si>
  <si>
    <t>Concreting of Road, Purok Sariling Atin, Barangay Ibabang Dupay, Lucena City</t>
  </si>
  <si>
    <t>EMERGENCY PURCHASE OF VACCINE FOR ANIMAL BITE TREATMENT CENTER</t>
  </si>
  <si>
    <t>Procurement of IT Equipment -SBO</t>
  </si>
  <si>
    <t>Supplies June 2020 B2</t>
  </si>
  <si>
    <t>Purchase of Materials for the Construction of Wooden Cabinet/shelves</t>
  </si>
  <si>
    <t>To support for the procurement of one (1) ea Starter Generator with PN: 205-075-443-5007 for use of UH-1D Nr 8478.</t>
  </si>
  <si>
    <t>Purchase of Office Equipment for Office Use</t>
  </si>
  <si>
    <t>Procurement of  ICT Equipment and Geotagging Devicefor the Protected Area Management and Biodiversity Unit</t>
  </si>
  <si>
    <t>Supplies June 2020 B1</t>
  </si>
  <si>
    <t>Supply and Delivery of Various Supplies for Charter Day Celebration</t>
  </si>
  <si>
    <t>Supply and Delivery of Office Equipment Supplies</t>
  </si>
  <si>
    <t>EMERGENCY PURCHASE OF FOLDING BEDS TO BE USED IN QUARANTINE AREA (MNHS-ALASASIN) DURING COVID-19 PANDEMIC</t>
  </si>
  <si>
    <t>Procurement of IT Equipment -MPDO</t>
  </si>
  <si>
    <t>Procurement of Office Supplies-MO</t>
  </si>
  <si>
    <t>Request for Price Quotation-School and Office Supplies</t>
  </si>
  <si>
    <t>Provision of Meals and Snacks for the conduct of 3 days Refresher Course for Farmers (Tanay, Rizal) - September 2020</t>
  </si>
  <si>
    <t>CLUSTER 14: CLUSTERED PROJECTS OF BARANGAY SEBANG - 2</t>
  </si>
  <si>
    <t>Provision of Food, Accommodation and function amenities for the conduct of Refresher Course for Farmers/AEWs and others (NextGen Project) - August 24 to 28, 2020</t>
  </si>
  <si>
    <t>Provision of Meals and Snacks for the conduct of Refresher Course for LFTs (Batch 1) - September 7 to 11, 2020</t>
  </si>
  <si>
    <t>Construction of IPED Center in Betwagan, Sadanga, Mountain Province</t>
  </si>
  <si>
    <t>SUPPLY AND DELIVERY OF CONSTRUCTION MATERIALS FOR THE CONSTRUCTION VARIOUS FACILITY IN TULUNAN NATIONAL HIGH SCHOOL, TULUNAN, COTABATO</t>
  </si>
  <si>
    <t>Supply and Delivery of meals, snacks, training supplies, materials and tarpaulin for the seminar-workshop on gender and development concepts, gender mainstreaming and gender analysis tools</t>
  </si>
  <si>
    <t>SUPPLY, DELIVERY AND INSTALLATION OF MATERIALS - CLOSED CIRCUIT TELEVISION [CCTV]</t>
  </si>
  <si>
    <t>EQUIPMENT RENTAL - CONCRETE MIXER</t>
  </si>
  <si>
    <t>SUPPLY AND DELIVEYR OF MATERIALS - REBLOCKING OF BARANGAY ROAD</t>
  </si>
  <si>
    <t>Barangay 809 MOOE "PEACE &amp; ORDER, REFILL OF FIRE EXTINGUISHER" / BDF "CLEAN &amp; BEAUTIFICATION" / RRMF "MEGAPHONE, PUBLIC ADDRESS SYSTEM" 2020</t>
  </si>
  <si>
    <t>Provision of Meals and Snacks for the conduct of 3 days Refresher Course for Farmers (Balayan, Batangas) - September 2020</t>
  </si>
  <si>
    <t>Purchase of Materials for the Installation of Streetlights and Slope Protection for Creek</t>
  </si>
  <si>
    <t>PROCUREMENT OF THE CONSTRUCTION  OF DOH REGIONAL OFFICE VI BUILDING, PHASE 2 DOH-REGIONAL OFFICE VI BRGY. BOLONG OESTE, STA. BARBARA, ILOILO IB NO.2020-06-001I</t>
  </si>
  <si>
    <t>CLUSTER 13: CLUSTERED PROJECTS OF BARANGAY SEBANG - 1</t>
  </si>
  <si>
    <t>2860-20 Construction of Convention Center, Phase 2, (Northern Quezon Auditorium), Brgy. Comon, Infanta, Quezon - PEO</t>
  </si>
  <si>
    <t>Purchase of Hardware and Construction Supplies</t>
  </si>
  <si>
    <t>REPAIR AND REHABILITATION OF SCHOOL ENTRANCE GATE</t>
  </si>
  <si>
    <t>LABOR FOR CONSTRUCTION OF REBLOCKING OF BARANGAY ROAD</t>
  </si>
  <si>
    <t>SUPPLY AND DELIVERY OF ONE (1) UNIT LED OR LIGHT</t>
  </si>
  <si>
    <t>Purchase of One (1) unit Computer Server with Complete Accessories – MASSO</t>
  </si>
  <si>
    <t>SUPPLY AND DELIVERY OF ONE (1) UNIT ANESTHESIA MACHINE</t>
  </si>
  <si>
    <t>SUPPLY AND DELIVERY OF TWO (2) UNITS EXAMINATION TABLE WITH STIRRUPS</t>
  </si>
  <si>
    <t>100-2020-05-705 Supply and delivery of multivitamins syrup 120ml</t>
  </si>
  <si>
    <t>100-2020-05-715 Supply and delivery of top down (motorcycle with stainless steel carrier)</t>
  </si>
  <si>
    <t>100-2020-05-669 Supply and delivery of rice, sardines, noodles, misua, etc.</t>
  </si>
  <si>
    <t>CONSTRUCTION OF DAY CARE CENTER</t>
  </si>
  <si>
    <t>100-2020-05-665 Supply and delivery of laptop computer, 3-in-1 printer, external hard drive, etc.</t>
  </si>
  <si>
    <t>100-2020-02-403 Supply and delivery of LED monitor 20", Bar chair, UPS 650VA, etc.</t>
  </si>
  <si>
    <t>100-2020-05-713 Supply and delivery of fron tire (11.2x24), tire tube (11.2x24), Rim front tire (11x2.24), etc.</t>
  </si>
  <si>
    <t>100-2020-03-504 Supply and delivery of meals and snacks</t>
  </si>
  <si>
    <t>Quezon National High School Supplies and Other Materials</t>
  </si>
  <si>
    <t>RFQ for Construction Supplies and Materials</t>
  </si>
  <si>
    <t>CONSTRUCTION OF WATER SYSTEM FOR DOMESTIC USE</t>
  </si>
  <si>
    <t>100-2020-02-390 Supply and delivery of ballpen (0.7, black, ordinary), ballpen (0.7, blue, ordinary), certificate holder, flash drive (32GB), ID holder, etc.</t>
  </si>
  <si>
    <t xml:space="preserve">20GEB0032-R1: Procurement/Supply/Delivery of Multi-Function Printer/ Copier/Scanner Heavy Duty with one (1) unit Colored Printer/ Copier for use of DPWH-Mindoro Occidental DEO (Administrative Section </t>
  </si>
  <si>
    <t>IMPROVEMENT OF WATER SYSTEM</t>
  </si>
  <si>
    <t>8918-20-017) CONCRETING AND SIDEWALK IMPROVEMENT AT M. H. DEL PILAR ST, BURNHAM-LEGARDA C/O CEO</t>
  </si>
  <si>
    <t>E-Konek mo Ako!</t>
  </si>
  <si>
    <t>20GEB0005-R1: Procurement/Supply/Delivery of Spare Parts for use in the Repair/Replacement of worn-out parts of various Service Vehicles in DPWH – Mindoro Occidental DEO (Construction Section)</t>
  </si>
  <si>
    <t>IB Rebidding of Supply, Delivery &amp; Installation of Power Supply 3-Phase Line to Pozorrubio Musical Water Fountain at Public Plaza, Pozorrubio, Pangasinan</t>
  </si>
  <si>
    <t>20GEB0041-R1: Procurement/Supply/Delivery of Office Equipment Supplies and Consumables for use in DPWH – Mindoro Occidental DEO  (Office of the DE/ Procurement Unit)</t>
  </si>
  <si>
    <t>20GEB0047-A-R1: Procurement/Supply/Delivery of Desktop Computer, Laptop Computer and IT Peripherals for use of DPWH – Mindoro Occidental DEO (Construction Section)</t>
  </si>
  <si>
    <t>RPT-20-0357-B DRUGS AND MEDICINES</t>
  </si>
  <si>
    <t>RPT-20-0399-B LABORATORY SUPPLIES</t>
  </si>
  <si>
    <t>RPT-20-0401-B LABORATORY SUPPLIES</t>
  </si>
  <si>
    <t>20GEB0042-B-R1: Procurement/Supply/Delivery of Multi-Function Printer/ Copier/Scanner Heavy Duty with one (1) unit Colored Printer/ Copier for use of DPWH-Mindoro Occidental DEO (Office of the DE/ Pro</t>
  </si>
  <si>
    <t>100-2020-05-657 Supply and delivery of foliar fertilizer, complete fertilizer, etc.</t>
  </si>
  <si>
    <t>RPT-20-0398-B LABORATORY SUPPLIES</t>
  </si>
  <si>
    <t>RPT-20-0397-B LABORATORY SUPPLIES</t>
  </si>
  <si>
    <t>20GEB0064-R1: Procurement/Supply/Delivery of Office Equipment Supplies and Consumables for use in DPWH – Mindoro Occidental DEO  (Administrative Section – Property Unit)</t>
  </si>
  <si>
    <t>RPT-20-0295-B DRUGS AND MEDICINES</t>
  </si>
  <si>
    <t>RPT-20-0296-B MEDICAL SUPPLIES</t>
  </si>
  <si>
    <t>SUPPLY OF DIESOLINE AND SPL GAS FOR THE CONSUMPTION OF THE DIFFERENT VEHICLE/OFFICES OF LGU-MOLAVE, ZDS</t>
  </si>
  <si>
    <t>RPT-20-0431-B LABORATORY SUPPLIES</t>
  </si>
  <si>
    <t>Supply and Delivery of Lot 3-17 units Palay Seed Cleaner under 2020 Rice Program</t>
  </si>
  <si>
    <t>Procurement of Supply and Delivery of Nine (9) units Rice Combine Harvester (Rebid)</t>
  </si>
  <si>
    <t>RPT-20-0400-B LABORATORY SUPPLIES</t>
  </si>
  <si>
    <t>100-2020-05-666 Supply and delivery of battery 4D, clutch disc and battery 3SMF.</t>
  </si>
  <si>
    <t>Supply &amp; delivery of (Lot 2) Eighty Five (85) bags Conventional Hybrid Yellow Corn Seeds for implementation under 2020 SAAD</t>
  </si>
  <si>
    <t>RPT-20-0429-B LABORATORY SUPPLIES</t>
  </si>
  <si>
    <t>SEMI-EXPENDABLE ICT EQUIPMENT (ODCOP-PHP58,500.00)</t>
  </si>
  <si>
    <t>Proposed Asphalt overlay at Brgy. Sta. Ana, San Pablo City.</t>
  </si>
  <si>
    <t>PRINTING &amp; PUBLICATION EXPENSE ( EBSO-PHP69,125.00)</t>
  </si>
  <si>
    <t>OFFICE SUPPLIES (ETDC-PHP 51,605.00)</t>
  </si>
  <si>
    <t>PROCUREMENT OF 2 LOTS VEHICLE PARTS AND ACCESSORIES</t>
  </si>
  <si>
    <t>R&amp;M Disaster Response &amp; Rescue Equip (OJ8-PHP57,000.00)</t>
  </si>
  <si>
    <t>Flat Latex</t>
  </si>
  <si>
    <t>PROCUREMENT OF 1 LOT INFORMATION TECHNOLOGY PARTS AND ACCESSORIES-COMPUTER SYSTEM</t>
  </si>
  <si>
    <t>Other Supplies &amp; Materials Expenses (OTSG-PHP59,884.00)</t>
  </si>
  <si>
    <t>PROCUREMENT OF 5 LOTS FUEL, OIL, AND LUBRICANTS</t>
  </si>
  <si>
    <t>Security Services for CTU Tuburan Campus</t>
  </si>
  <si>
    <t>8918-20-194) CONCRETING OF SPILLWAY CANAL AT PUROK 6, UPPER DAGSIAN C/O CEO</t>
  </si>
  <si>
    <t>8918-20-155) CONSTRUCTION OF CANAL FROM LITENG SCHOOL GOING TO DONGAAS RESIDENCE AT PACDAL C/O CEO</t>
  </si>
  <si>
    <t>8918-20-157) CONTINUATION OF ROAD AT COMICHOS RESIDENCE TO MOLINTAS RESIDENCE AT PACDAL C/O CEO</t>
  </si>
  <si>
    <t>PROCUREMENT OF 3 LOTS CATERING SERVICES</t>
  </si>
  <si>
    <t>Concreting &amp; Drainage Rehabilitation of J.M. Ceniza St., Looc, Mandaue City (21-2020)</t>
  </si>
  <si>
    <t>Repair and Maintenance of Various Service Vehicles of Provincial Government of Tarlac</t>
  </si>
  <si>
    <t>Repair and Maintenance of Various Service Vehicles of PGT</t>
  </si>
  <si>
    <t>Supply and Delivery of Laptops for various Public Schools.</t>
  </si>
  <si>
    <t>OFFICE SUPPLIES-ISAFP-(PHP198,135.00)</t>
  </si>
  <si>
    <t>8918-20-154) CONSTRUCTION OF BOX CULVERT AT REGIDOR FRONTING DANGAWEN'S RESIDENCE TO COEDNO'S RESIDENCE AT PACDAL C/O CEO</t>
  </si>
  <si>
    <t>8918-20-145/8918-20-144/8918-20-141/8918-20-146/8918-20-142/8918-20-147) A. INSTALLATION OF HAND RAILINGS ALONG THE PATHWAY FROM MASLAS RESIDENCE AT LOWER PUROK 3, B.  DRAINAGE CANAL, C. CONCRETING OF</t>
  </si>
  <si>
    <t>Delivery of various materials for the construction of Handwhshing at Banaoang, Sta. Barbara,Pangasinan</t>
  </si>
  <si>
    <t>REPAIR AND REHABILITATION OF ROAD  AT SUGUIDAN NORTE-NAGSIDORISAN-AMBARACAO NORTE , NAGUILIAN, LA UNION.</t>
  </si>
  <si>
    <t>Supply and Delivery of Non-Accountable Forms, Waterworks Section, San Jose, Batangas</t>
  </si>
  <si>
    <t>CY 2020 Quick Response Fund (QRF) Repair and Rehabilitation of School Building – Lot 1 – Repair and Rehabilitation of  Classrooms at Buruanga Elementary School, Buruanga, Aklan and Din-ut Elementary S</t>
  </si>
  <si>
    <t>Repair and Maintenance of Aircon services of (3) units Toyota Avanza/Innova with plate no. SKX 520, SJL 512, SJ: 584 and (1) unit Hyundai Grand Starex with plate no. SKM 221</t>
  </si>
  <si>
    <t>Procurement of Various Tires for the repair and maintenance of various trucks and Heavy Equipments used at the Provincial Equipment Pool Office</t>
  </si>
  <si>
    <t>Construction Projects - Completion of Health Center - Itum, Duero, Bohol</t>
  </si>
  <si>
    <t>Construction Projects - Agri and Fishery Terminal - Taytay, Duero, Bohol</t>
  </si>
  <si>
    <t>Construction Projects - Improvement of Multi-Purpose Building - Taytay, Duero, Bohol</t>
  </si>
  <si>
    <t>SDH-20-0362-B DRUGS AND MEDICINES</t>
  </si>
  <si>
    <t>SDH-20-0363-B DRUGS AND MEDICINES</t>
  </si>
  <si>
    <t>SDH-20-0273-B OFFICE SUPPLIES</t>
  </si>
  <si>
    <t>Purchase of 2 Computer Units and 1 Computer Printer</t>
  </si>
  <si>
    <t>REHAB./RESTORATION OF ARTC GREENHOUSE INSTALLATION OF NET COVER AND DRIP IRRIGATION (INST. OF NET COVER) Located at Prov’l. Nursery, Magsaysay, Bay., Nueva Vizcaya</t>
  </si>
  <si>
    <t>Improvement of Women's Training Center</t>
  </si>
  <si>
    <t>Repair and Maintenance of ICTE, Office of the Municipal Civil Registrar, San Jose, Batangas</t>
  </si>
  <si>
    <t>Construction Projects - Completion of Multi-Purpose Building - Mawi, Duero, Bohol</t>
  </si>
  <si>
    <t>Supply and delivery of KITCHEN UTENSILS AND OTHER SUPPLIES</t>
  </si>
  <si>
    <t>SDH-20-0444-B LABORATORY SUPPLIES</t>
  </si>
  <si>
    <t>Supply and delivery of 10 heads Native Chicken male 1-2 kg./head and other items</t>
  </si>
  <si>
    <t>Construction Projects - Completion of Multi-Purpose Building - Alejawan, Duero, Bohol</t>
  </si>
  <si>
    <t>Construction Projects - Completion of Flood Control - Guinsularan, Duero, Bohol</t>
  </si>
  <si>
    <t>SDH-20-0446-B LABORATORY SUPPLIES</t>
  </si>
  <si>
    <t>Purchase of motorcycle</t>
  </si>
  <si>
    <t>SDH-20-0445-B LABORATORY SUPPLIES</t>
  </si>
  <si>
    <t>SDH-20-0395-B HOUSEKEEPING SUPPLIES</t>
  </si>
  <si>
    <t>Supply of Water Supplies and Materials for the Repair of the Balilihan Waterworks System</t>
  </si>
  <si>
    <t>AGR-20-0668-B Purchase of Water Supply Accessories</t>
  </si>
  <si>
    <t>SDH-20-0441-B MEDICAL SUPPLIES</t>
  </si>
  <si>
    <t>REHAB./RESTORATION OF ARTC GREENHOUSE INSTALLATION OF NET COVER AND DRIP IRRIGATION (INST. OF SOLAR PUMP IRRIGATION SYSTEM) Located at Prov’l. Nursery, Magsaysay, Bay., Nueva Vizcaya</t>
  </si>
  <si>
    <t>Procurement of VTS Server</t>
  </si>
  <si>
    <t>SDH-20-0449-B LABORATORY SUPPLIES</t>
  </si>
  <si>
    <t>2nd Invitation to Bid for the  CONSTRUCTION OF PANIKI UPPER TALLA, CORDON CIS Located at Cordon, Kasibu, Nueva Vizcaya</t>
  </si>
  <si>
    <t>Construction of Teen Activity Center at Poblacion, Nabunturan, Davao de Oro</t>
  </si>
  <si>
    <t>Construction Projects - Completion of Road Concreting Leading to Lord of Pardon Hill - San Pedro, Duero, Bohol</t>
  </si>
  <si>
    <t>REHAB./RESTORATION OF ARTC GREENHOUSE INSTALLATION OF NET COVER AND DRIP IRRIGATION (INST. OF DRIP IRRIGATION SYSTEM) Located at Prov’l. Nursery, Magsaysay, Bay., Nueva Vizcaya</t>
  </si>
  <si>
    <t>REHAB./RESTORATION OF ARTC GREENHOUSE INSTALLATION OF NET COVER AND DRIP IRRIGATION (CONST. OF ELEVATED CONC. WATER TANK) Located at Prov’l. Nursery, Magsaysay, Bay., Nueva Vizcaya</t>
  </si>
  <si>
    <t>Procurement of Air Conditioning unit</t>
  </si>
  <si>
    <t>Construction Projects - Completion of Road Concreting Leading To Municipal Cemetery - Mawi, Duero, Bohol</t>
  </si>
  <si>
    <t>Supply of Water Supplies and Materials for the Repair of the Balilihan Waterworks System Bugwak to Boyog Norte Pumping Station</t>
  </si>
  <si>
    <t>DIESEL 3231ltrs</t>
  </si>
  <si>
    <t>CAN - Various Sports Uniform and Supplies UDM PR No. 319</t>
  </si>
  <si>
    <t>Procurement of CF281A Toner</t>
  </si>
  <si>
    <t>Office Supplies for  Mayor's Office</t>
  </si>
  <si>
    <t>FLOOD LIGHTS FOR INSTALLATION AT FIESTAMALL PERIMETER FENCE</t>
  </si>
  <si>
    <t>SDH-20-0443-B OFFICE SUPPLIES</t>
  </si>
  <si>
    <t>2nd Invitation to Bid for the  CONSTRUCTION OF UBUN-PAPAYA-DOMANG CIS Located at Kasibu, Nueva Vizcaya</t>
  </si>
  <si>
    <t>SDH-20-0448-B LABORATORY SUPPLIES</t>
  </si>
  <si>
    <t>PF-0320-237</t>
  </si>
  <si>
    <t>SDH-20-0442-B MEDICAL SUPPLIES</t>
  </si>
  <si>
    <t>EXTENSION OF NVPH SLOPE PROTECTION Located at Almaguer North, Bambang, Nueva Vizcaya</t>
  </si>
  <si>
    <t>Procurement of Car Dashboard Camera</t>
  </si>
  <si>
    <t>Procurement of alcohol, disinfectant solution &amp; face mask</t>
  </si>
  <si>
    <t>Purchase of 12 Units Jetmatic Pump</t>
  </si>
  <si>
    <t>SDH-20-0447-B LABORATORY SUPPLIES</t>
  </si>
  <si>
    <t>Procurement of Various Equipment for The Upgrading of RSU-Sta. Fe Seaweed Postharvest and Processing Center (ABC: PhP2,250,000.00, QTY: 12)</t>
  </si>
  <si>
    <t>P.R. # 20-0043 (Rebid) - Supply &amp; delivery of Chemical Detergent for use in various washing/cleaning of vehicle engine and equipment spareparts/repair works at TOEMD and this office.</t>
  </si>
  <si>
    <t>Supply &amp; Delivery of 6 Sets Workstation 2 person w/o mobile &amp; Other items</t>
  </si>
  <si>
    <t>Procurement of auto supplies</t>
  </si>
  <si>
    <t>Procurement of fire extinguisher and refill</t>
  </si>
  <si>
    <t>Procurement of UPS battery</t>
  </si>
  <si>
    <t>Supply &amp; Delivery of Construction Materials for the Improvement of OSCA Building at Sta. Cruz</t>
  </si>
  <si>
    <t>20GBD0025 - PURCHASE OF CONSTRUCTION MATERIALS FOR USE IN THE REPAIR/REPLACEMENT OF DAMAGE DRAINAGE  CONCRETE CANAL COVERS ALONG NATIONAL ROADS WITHIN THE DISTRICT</t>
  </si>
  <si>
    <t>AGR-19-1448-B  Construction of Crab Hatchery</t>
  </si>
  <si>
    <t>Purchase of Office Supplies/Equipment for use at the DepEd-Antequera District Office</t>
  </si>
  <si>
    <t>2nd Invitation to Bid for the  CONSTRUCTION OF NAMANGEGAN ALLOY CIS PHASE III Located at Kasibu, Nueva Vizcaya</t>
  </si>
  <si>
    <t>r/m various mun.l roads mun of miagao (new payloader) july 1-31, 2020</t>
  </si>
  <si>
    <t>Procurement of Furniture</t>
  </si>
  <si>
    <t>Publication/Advertisement of Ordinance, Office of the Secretary to the Sangguniang Bayan, San Jose, Batangas</t>
  </si>
  <si>
    <t>Procurement of Supply and Delivery of Eight (8) units Rice Transplanter (Ride-on) Rebid</t>
  </si>
  <si>
    <t>Installation of Sliding Glass Doors and Windows at the Municipal Agriculture Office Building, San Isidro St., Brgy. Sta. Cruz, Palo, Leyte  JR No. 20-06-111</t>
  </si>
  <si>
    <t>Construction of Rainwater Collection System for the Island of Banton, Romblon</t>
  </si>
  <si>
    <t>Procurement of Boiler with Complete Boiler Test and Steam or Gas Fueled Jacketed Kettle (ABC: PhP2,750,000.00, QTY: 3)</t>
  </si>
  <si>
    <t>PACKAGE I- CONSTRUCTION  &amp; RIPRAPPING OF BARANGAY ROAD  @ SITIO HULO WEST, RIPRAPPING OF BARANGAY ROAD AT SITIO LOOBAN, BRGY. SOLO, MABINI, BATANGAS&amp;</t>
  </si>
  <si>
    <t>REPAIR OF BARANGAY SERVICE VEHICLE @ BRGY. SOLO, MABINI, BATANGAS</t>
  </si>
  <si>
    <t>Publication of Provincial Ordinances for Information Dissemination to Davao Oriental Constituents</t>
  </si>
  <si>
    <t>Procurement of Appliances</t>
  </si>
  <si>
    <t>Rebidding of Concreting of Barangay Road at Brgy. Bignay 1, Sitio Aplaya, Sariaya, Quezon</t>
  </si>
  <si>
    <t>Construction of Rainwater Collection System for the Island of Sibuyan and Romblon, Romblon</t>
  </si>
  <si>
    <t>Rebidding of Concreting of Barangay Road @Brgy Bucal, Sariaya, Quezon</t>
  </si>
  <si>
    <t>Procurement of Events Equipment &amp; Information Desk</t>
  </si>
  <si>
    <t>CONSTRUCTION OF CONCRETE CANAL</t>
  </si>
  <si>
    <t>Construction of Rainwater Collection System for the  Island of San Jose, Romblon</t>
  </si>
  <si>
    <t>FOR ENHANCEMENT OF CACAO PRODUCTION THRU PROVISION OF ACCREDITED VARIETY OF CACAO GRAFTED PLANTING MATERIALS AND FERTILIZER SUBSIDY</t>
  </si>
  <si>
    <t>FOR ENHANCEMENT OF CACAO PRODUCTION THRU PROVISION OF ACCREDITED VARIETY OF CACAO</t>
  </si>
  <si>
    <t>Supply and Delivery of Grocery Items (PMC)</t>
  </si>
  <si>
    <t>Rebidding of Concreting of Barangay Road @Brgy Lutucan Malabag, Sitio Lagnas, Sariaya, Quezon</t>
  </si>
  <si>
    <t>Procurement of Sound system</t>
  </si>
  <si>
    <t>PROCUREMENT OF REPAIR AND MAINTENANCE EQUIPMENT</t>
  </si>
  <si>
    <t>20GJC0193 – 8 units Desktop Computer etc.</t>
  </si>
  <si>
    <t>Stockpiling Commodities</t>
  </si>
  <si>
    <t>Food for Work</t>
  </si>
  <si>
    <t>PROCUREMENT OF SPRAY PAINT FOR SSEN</t>
  </si>
  <si>
    <t>Medals as per request of different Schools and Organizations for their Various Activities in this Municipality of Santa Cruz laguna</t>
  </si>
  <si>
    <t>Office Supplies &amp; Devices</t>
  </si>
  <si>
    <t>PURCHASE OF JANITORIAL SUPPLIES</t>
  </si>
  <si>
    <t>Repair &amp; Maintenance of Buildings (EBSO-PhP93,393.00)</t>
  </si>
  <si>
    <t>PURCHASE OF MEDICAL EQUIPMENT - PWD's</t>
  </si>
  <si>
    <t>Repair &amp; Maintenance - Motor Vehicle (OTCN-PhP78,397.00)</t>
  </si>
  <si>
    <t>Supplemental Feeding</t>
  </si>
  <si>
    <t>Construction of Rainwater Collection System for the  Island of Tablas, Romblon</t>
  </si>
  <si>
    <t>Procurement of PPEs (Protective Face Mask)</t>
  </si>
  <si>
    <t>20GJC0190 – 2 pcs. Oil Filter 3831236 etc.</t>
  </si>
  <si>
    <t>Supply and Installation of Air-Conditioning Units of Rural Health Unit</t>
  </si>
  <si>
    <t>1 lot Supply of Electrical Panel with Circuit Breakers</t>
  </si>
  <si>
    <t>Rebidding of Concreting of Barangay Road @Brgy Mamala 2, Sariaya Quezon</t>
  </si>
  <si>
    <t>Supply and delivery of 500 bags Granular Urea to be used in the Cassava Model Farm for CY 2020</t>
  </si>
  <si>
    <t>Procurement of Dressed chicken and Pork meat for the MMSU-Food Service Operation</t>
  </si>
  <si>
    <t>20GJC0192 – 1 unit Laptop.</t>
  </si>
  <si>
    <t>Other Supplies &amp; Materials Expenses (AFPRC-PHP55,805.00)</t>
  </si>
  <si>
    <t>PROCUREMENT OF 5 GALS PURIFIED DRINKING WATER FOR CF-ILOILO</t>
  </si>
  <si>
    <t>Meals and Snacks at SB Office</t>
  </si>
  <si>
    <t>20GJC0191 – 100 liters UD Diesel Engine Oil Mega Multi 3 SAE 15W-40 etc.</t>
  </si>
  <si>
    <t>Purchase of Materials for the Repair of Municipal Dump Truck Compactor SKD 923 Gumaca, Quezon</t>
  </si>
  <si>
    <t>SUPPLY, DELIVERY, INSTALLATION AND COMMISSIONING OF ONE (1) UNIT ENT-HNS DIGITAL VIDEO STROBOSCOPE</t>
  </si>
  <si>
    <t>Purchase of Office &amp; Janitorial Supplies for the LGU</t>
  </si>
  <si>
    <t>Supply and delivery of various agricultural inputs to be used in the Sorghum Technology Demonstration</t>
  </si>
  <si>
    <t>Office Equipment Supplies and Consumables</t>
  </si>
  <si>
    <t>Supply and delivery of 2 units Mobile Electric Weighing Scale for Smal Ruminant and 1 unit Electric Weighing Scale with Cattle Squeezer to be used in monitoring and assessment of breeder stocks produc</t>
  </si>
  <si>
    <t>For COVID-19 Preventive Measures</t>
  </si>
  <si>
    <t>Construction of Multi-Purpose Pavement</t>
  </si>
  <si>
    <t>Repair &amp; Maintenance of Other Structure (EBSO-PhP150,000.00)</t>
  </si>
  <si>
    <t>Supply and delivery of various vehicle parts and accessories for the RP vehicle SJB-258 under HVCDP</t>
  </si>
  <si>
    <t>Supply and delivery of 500 bags Granular Complete Fertilizer to be used by OPV white corn farmers, as package with the existing project on regular seed distribution for CY 2020</t>
  </si>
  <si>
    <t>Tools and Materials for Automotive NC I Trainees</t>
  </si>
  <si>
    <t>Hiring of one (1) Research Assistant I for 3 months to assist in the Community-Based Participatory Action Research on Breeder Goat Production</t>
  </si>
  <si>
    <t>Replacement of Server UPS Batteries and annual replacement of PABX and CCTV Batteries</t>
  </si>
  <si>
    <t>Airconditioning and Airconditioning System</t>
  </si>
  <si>
    <t>Materials for Fabrication of 12 units Welding Table/ Positioner for SMAW Workshop</t>
  </si>
  <si>
    <t>Supply and delivery of 501 reams Bond Paper (Legal) to be used in masterlisting of farmer beneficiary of the Rice Resiliency Project</t>
  </si>
  <si>
    <t>INFORMATION TECHNOLOGY</t>
  </si>
  <si>
    <t>Procurement of Switch Hub, Router, Access Point and Web Camera</t>
  </si>
  <si>
    <t>FUELS/FUEL ADDITIVES &amp; LUBRICANT &amp; ANTI-CORROSIVE</t>
  </si>
  <si>
    <t>SUPPLY OF ONE (1) UNIT PORTABLE GENERATOR AND TWO (2) UNITS PORTABLE AIRCON under PR No. KMT-2003-005B and ITB No. 2005-025-04R</t>
  </si>
  <si>
    <t>Procurement of IT Equipment for Various Offices</t>
  </si>
  <si>
    <t>Supply and Delivery of DPD1 Tablets Palintest Free Chlorine and DPD Free Chlorine Reagent Powder Pillows</t>
  </si>
  <si>
    <t>Procurement of Laboratory Supplies and Equipment (1 unit Bio-Refrigerator, etc.)</t>
  </si>
  <si>
    <t>Procurement of Various Drugs and Medicines</t>
  </si>
  <si>
    <t>VEHICLE REPAIR AND MAINTENANCE</t>
  </si>
  <si>
    <t>Installation of Ten (10) Units of Streetlights at RHU Compound, Brgy. Halang, Naic, Cavite</t>
  </si>
  <si>
    <t>Supply of Labor and Materials for the Installation of New Cooling Coils for Air Handling Units at NAIA Terminal 3</t>
  </si>
  <si>
    <t>To be used by Acting Vocational School Administrator's Secretary</t>
  </si>
  <si>
    <t>Re-Bidding for the Supply &amp; Delivery of Medical Supplies for MDRRMO use</t>
  </si>
  <si>
    <t>REHABILITATION OF MULTI-PURPOSE BUILDING - CAMINDOROAN - SAN  JUAN, ILOCOS SUR</t>
  </si>
  <si>
    <t>ITB - Supply and Delivery of Laboratory Supplies for CY 2020 (Supplemental)</t>
  </si>
  <si>
    <t>CONTRACT ID : 20GLF0031 - PROCUREMENT OF OFFICE SUPPLIES/CONSUMABLES FOR USE IN THE MAINTENANCE SECTION DPWH DAVAO ORIENTAL FIRST DEO, BAGANGA, DAVAO ORIENTAL (FOR 3RD QUARTER CY-2020) WITH PR NO.  20</t>
  </si>
  <si>
    <t>P.R. # 20-0041 (Rebid) - Supply &amp; delivery of Concrete Cutter to be used by the Water Service Connection Installation Section (WSCIS) of the Customer Service Division.</t>
  </si>
  <si>
    <t>Job Order: Labor and Materials for the repair of Airconditioning Units located at Livestock Banner Program, Feed Laboratory and BAC Secretariat Office</t>
  </si>
  <si>
    <t>PURCHASE OF OFFICE, OTHER SUPPLIES AND MATERIALS</t>
  </si>
  <si>
    <t>IB No. 2020-221 PROCUREMENT OF BEDAQUILINE FUMARATE</t>
  </si>
  <si>
    <t>Purchase of various Office Supplies</t>
  </si>
  <si>
    <t>SUPPLY &amp; DELIVERY OF VARIOUS MATERIALS OF BURIAS MINI GRID</t>
  </si>
  <si>
    <t>CONSTRUCTION PROJECT (LOCAL ACCESS ROADS, SO. LAKE DANAO, BGY. POBLACION, TAYTAY, PALAWAN)</t>
  </si>
  <si>
    <t>2020-06-665</t>
  </si>
  <si>
    <t>Construction of MRF Material Recovery Facilities</t>
  </si>
  <si>
    <t>SUPPLY &amp; DELIVERY OF VARIOUS MATERIALS OF CATANDUANES SS &amp; 69KVTL</t>
  </si>
  <si>
    <t>Purchase of various Equipment</t>
  </si>
  <si>
    <t>Drugs &amp; Medicines (PR No. 100-2020-0588 &amp; 0695) - BJMP &amp; ADH</t>
  </si>
  <si>
    <t>20BF0060: Construction of Rainwater Collection System (RWCS)</t>
  </si>
  <si>
    <t>Equipment to be used for the TESDA Operation (CORE I-Install and Configure Computer System &amp; Core II - Set Up Computer Network)</t>
  </si>
  <si>
    <t>LGU-AL-28-2020 REHABILITATION/IMPROVEMENT OF BARANGAY ROAD BRGY. MATAGNAO ABUYOG, LEYTE</t>
  </si>
  <si>
    <t>R.I.S. No.: 20-93-017 MEDICAL EQUIPMENTS</t>
  </si>
  <si>
    <t>Delivery of various ICT Equipment needed for various offices (Consolidated) (ITB 20-072)</t>
  </si>
  <si>
    <t>14 Units Printer (PR No. 100-2020-0714, 0716 &amp; 0760) - PEO &amp; PACCO</t>
  </si>
  <si>
    <t>1 Unit Motorcycle (PR No. 100-2020-0707) - BM Rillera</t>
  </si>
  <si>
    <t>LGU-AL-29-2020 CONSTRUCTION OF EVACUATION CENTER PHASE II BRGY. KIKILO ABUYOG, LEYTE</t>
  </si>
  <si>
    <t>Completion of Brgy. Guadalupe Health Station</t>
  </si>
  <si>
    <t>LPG Refill (50kgs &amp; 11kg) (PR No. 100-2020-0683, 0750a-b &amp; 0810) - WCPMH, OMH &amp; ZSPH</t>
  </si>
  <si>
    <t>CALIBRATION OF INJECTION PUMP</t>
  </si>
  <si>
    <t>SUPPLY &amp; DELIVERY OF VARIOUS MATERIALS(DAY TO DAY MAINT.) of VIGA DPP</t>
  </si>
  <si>
    <t>20% BDF &amp; RRMF 2020</t>
  </si>
  <si>
    <t>Construction of Access Road From Brgy. Poblacion to Brgy. Guadalupe</t>
  </si>
  <si>
    <t>Repair &amp; Maintenance of Aircondition (PR No. 100-2020-0130, 0132, 0289, 0570, 0581, 0711, 0713 &amp; 0826) - Various Offices</t>
  </si>
  <si>
    <t>Supply and Delivery of 165 m.t. Bituminous Concrete Surface Course (FD-Sandmix) 416 m.t. Bituminous Concrete  Surface Course (FD) to be used in the repair  and maintenance of various national roads in</t>
  </si>
  <si>
    <t>Commercial Rice &amp; Sardines (PR No. 100-2020-0662, 0785 &amp; 0786) - BJMP</t>
  </si>
  <si>
    <t>REHABILITATION OF SOLAR DRYER</t>
  </si>
  <si>
    <t>Barangay Office Supplies and Devices</t>
  </si>
  <si>
    <t>BLGU-ANIBONGON-01-2020 CONSTRUCTION OF TWO-STOREY EVACUATION CENTER PHASE III BRGY. ANIBONGON ABUYOG, LEYTE</t>
  </si>
  <si>
    <t>16 Units UPS (PR No. 100-2020-0634, 0723 &amp; 0761) - PEO &amp; PACCO</t>
  </si>
  <si>
    <t>REPAIR/REWINDING OF VARIOUS MOTORS OF MARINAWA DPP</t>
  </si>
  <si>
    <t>Procurement of supply and delivery of Agricultural Supplies and Materials</t>
  </si>
  <si>
    <t>1 Unit Floor Mounted Aircon (PR No. 100-2020-0730) - PPDO</t>
  </si>
  <si>
    <t>Supply and Delivery of Hardware and Construction Supplies (PR 20-06-0243)</t>
  </si>
  <si>
    <t>Other Supplies &amp; Materials Expenses (OTSM-PHP59,373.00)</t>
  </si>
  <si>
    <t>1 Unit Risograph Machine Photocopier (PR No.100-2020-0725) - PEO</t>
  </si>
  <si>
    <t>Non-Prod Infrastructure Technology Refresh</t>
  </si>
  <si>
    <t>Semi Expendable Machinery &amp; Equip-Furniture &amp; Fixture-OSPS-PhP156,000.00)</t>
  </si>
  <si>
    <t>Supply and Delivery of Thermoplastic Paint to be used in Lane Markings in Various national roads in Quezon City (Dist. III &amp; IV)</t>
  </si>
  <si>
    <t>Purchase of CCTV Camera</t>
  </si>
  <si>
    <t>Supply and Delivery of Flower Wreaths for the departed Constituents in Tarlac City</t>
  </si>
  <si>
    <t>Assorted Tires, Batteries, Oil and Fuel Filter, and Other Supplies and Materials for the Maintenance of Vehicles (PR No. 100-2020-0733a-b) - PGO</t>
  </si>
  <si>
    <t>Purchase of other Supplies and Materials</t>
  </si>
  <si>
    <t>Brass Cutter (PR No. 100-2020-0766) - PGO</t>
  </si>
  <si>
    <t>To be used at the SB Office.</t>
  </si>
  <si>
    <t>Supply and Delivery of Disinfect Solution for City Government of Tarlac use</t>
  </si>
  <si>
    <t>For the Clearing of Barangay Road at Barangay Portic, Bugallon, Pangasinan</t>
  </si>
  <si>
    <t>3 Units Aircon, 3 Tons Inverter (PR No. 100-2020-0769) - PGO</t>
  </si>
  <si>
    <t>Supply and Delivery of Photo Papers for IATF Travel Pass and ID's for City Government of Tarlac use</t>
  </si>
  <si>
    <t>Catering Services for the Conduct of Legislative Sessions Hearings Consultations - Jul. 2020, Aug. 2020, Sept. 2020 (PR No. 100-2020-0809a-c) - PVGO</t>
  </si>
  <si>
    <t>eMail Infrastructure Technology Refresh</t>
  </si>
  <si>
    <t xml:space="preserve">20CSKG01 :Sub-Surface Exploration for the 1) Construction of New SINDIG Bridge (35 Lin.m.) Chainage 3700  along LDNICR (S0097MN), 2) Construction of 1-NEW Concrete Bridge, Chainage 22054 of S00963MN, </t>
  </si>
  <si>
    <t>Purchase and installation of CCTV</t>
  </si>
  <si>
    <t>CONTRACT ID: 20GLF0032 - PROCUREMENT OF OFFICE SUPPLIES/CONSUMABLES FOR USE IN THE  DPWH DAVAO ORIENTAL FIRST DEO, BAGANGA, DAVAO ORIENTAL (CONSOLIDATED PR FOR 3RD QUARTER CY-2020) WITH PR NO.  2020-0</t>
  </si>
  <si>
    <t>Purchase of Xerox Machine</t>
  </si>
  <si>
    <t>Supply and Delivery of Odor Eliminator for City Government of Tarlac use</t>
  </si>
  <si>
    <t>Supply and Delivery of Toners for City Government of Tarlac use</t>
  </si>
  <si>
    <t>Procurement of Anti-Rabies Vaccines (MHO)</t>
  </si>
  <si>
    <t>2020-03-0091-Supply and Delivery of ICT &amp; Office Equipment, Supplies and Consumables</t>
  </si>
  <si>
    <t>Request for Quotation of Medical Oxygen</t>
  </si>
  <si>
    <t>SUPPLY AND DELIVERY OF PSHS-MRCs LOAD CARD</t>
  </si>
  <si>
    <t>2020-03-0090-Supply and Delivery of Limestones and Fuels for Road Opening at Brgy. Tamiao, Bantayan, Cebu</t>
  </si>
  <si>
    <t>Procurement of Medical Supplies (MHO)</t>
  </si>
  <si>
    <t>CONTRACT ID: 20GLF0033 - Procurement of Various Spare Parts for use in the Repair of Double Cab. KIA Bongo H1-7299/MAE-6368, Double Cab KIA Bongo H1-7298 and HINO Mini Dumptruck H3-6787 for use in the</t>
  </si>
  <si>
    <t>CONTRACT ID: 20-06-085 - PROCUREMENT OF POLYETHYLENE NET / SCREEN</t>
  </si>
  <si>
    <t>CONTRACT ID: 20-06-084 - SUPPLY, DELIVERY,INSTALLATION, TESTING AND COMMISSIONING OF VARIOUS MEDICAL EQUIPMENT</t>
  </si>
  <si>
    <t>Supply and Delivery of Sticker Papers for Tarlac City Mayor's Office use</t>
  </si>
  <si>
    <t>SUPPLY AND DELIVERY OF ONE (1) UNIT PULMONARY FUNCTION TEST MACHINE</t>
  </si>
  <si>
    <t>Agricultural Supplies (PR No.100-2020-0770) - OPAG</t>
  </si>
  <si>
    <t>Other Supplies &amp; Materials Expenses (OSPS-PHP93,500.00)</t>
  </si>
  <si>
    <t xml:space="preserve">20GG0043-G - Procurement of 1 Unit Double Tank Thermoplastic Paint Preheater for Use in the Painting/Repainting of Thermoplastic Pavement Markings along Various National Roads of DPWH Iloilo 2nd DEO, </t>
  </si>
  <si>
    <t>BNLSL-LCB-30-2020 – Construction of Diversion Works, Canal, Farm Level and Drainage System of Buli SIP, Bato, Leyte</t>
  </si>
  <si>
    <t>PROCUREMENT FOR THE SUPPLY AND DELIVERY OF VARIOUS LABORATORY EQUIPMENT FOR USE OF CENTRAL POST ENTRY QUARANTINE STATION OF NATIONAL PLANT QUARANTINE SERVICES DIVISION (NPQSD)</t>
  </si>
  <si>
    <t>20GG0042-G - Procurement of On Ground Equipment and Survey Tools for the use of Planning and Design Section, DPWH Iloilo 2nd DEO, Balabag, Dumangas, Iloilo</t>
  </si>
  <si>
    <t>Printing and Delivery of Advocacy Stickers for City Government of Tarlac use</t>
  </si>
  <si>
    <t>Request for Quotation of IV Fluids</t>
  </si>
  <si>
    <t>8 sets Surgical Instruments for Caesarian Section</t>
  </si>
  <si>
    <t>BNLSL-LCB-31-2020 – Construction of Pump Works (Package I) of Bahay SIP, San Miguel, Leyte</t>
  </si>
  <si>
    <t>Delivery and Installation of Roof</t>
  </si>
  <si>
    <t>4 set Surgical Instruments for Gynecology Major</t>
  </si>
  <si>
    <t>Delivery of Children's Outdoor Playground Equipment</t>
  </si>
  <si>
    <t>6 set Surgical Instruments for NSD</t>
  </si>
  <si>
    <t>SUPPLY AND DELIVERY OF POLO SHIRT</t>
  </si>
  <si>
    <t>Installation of Integrated Solar Streetlights</t>
  </si>
  <si>
    <t>BNLSL-LCB-31A-2020 – Construction of Canal, Farm Level, Drainage and Road System (Package II) of Bahay SIP, San Miguel, Leyte</t>
  </si>
  <si>
    <t>diesel 900ltrs</t>
  </si>
  <si>
    <t>Supply and Delivery of Various Forms for City Government of Tarlac use</t>
  </si>
  <si>
    <t>Procurement of Ultrasonic Assisted Generators and Debridement thru low frequency ultrasound cavitation (25kHz and 35kHz) (HFEP)</t>
  </si>
  <si>
    <t>Supply and Delivery of Anti-Dengue Solution for City Government of Tarlac use</t>
  </si>
  <si>
    <t>SUPPLY AND DELIVERY OF AIRCONDITIONER</t>
  </si>
  <si>
    <t>4 set Surgical Instruments for Gynecology Minor</t>
  </si>
  <si>
    <t>IMPROVEMENT OF MUNICIPAL PLAZA (Supply of Painting Materials &amp; Supplies)</t>
  </si>
  <si>
    <t>Procurement of Hygiene Supplies Precautionary Measures to COVID-19</t>
  </si>
  <si>
    <t>Procurement of Brigada Eskwela T-Shirt and Facemask</t>
  </si>
  <si>
    <t>SLOPE PROTECTION  (Purok Caimito, Brgy. Camugao)</t>
  </si>
  <si>
    <t>Construction of Basketball Post, Board, and Ring</t>
  </si>
  <si>
    <t>SUPPLY AND DELIVERY OF OFFICE SUPPLIES SECOND QUARTER CY 2020 REBID</t>
  </si>
  <si>
    <t>PROVISION OF STREET LIGHTINGS (at Brgy. Pandacan)</t>
  </si>
  <si>
    <t>IB No. 2006-320 Proc. of Infra (Road Concreting of F. Dagohoy Circumferential Road (J.A. Clarin St. – C. Darunday St.)</t>
  </si>
  <si>
    <t>Request for Quotation of Drugs and Medicines (Dangerous Drugs)</t>
  </si>
  <si>
    <t>MUSIK LABAN</t>
  </si>
  <si>
    <t>RFQ - Procurement of Tablets for Use in Computerized Queuing System in SDO</t>
  </si>
  <si>
    <t>SUPPLY OF LABOR AND MATERIALS FOR INSTALLATION OF TOP ROOFING OF NPQSD-CENTRAL OFFICE BUILDING (NPQSD)</t>
  </si>
  <si>
    <t>Supply and Delivery of Aggregates at Simulao RIS</t>
  </si>
  <si>
    <t>HELP:HONING AND EDUCATING LEADERS OF POBLACION</t>
  </si>
  <si>
    <t>SAMPIRO LIVELIHOOD FESTIVAL</t>
  </si>
  <si>
    <t>GIVING IN FAMILY TOGETHER (GIFT)</t>
  </si>
  <si>
    <t>Supply and Delivery of Aggregates at bataan SIP</t>
  </si>
  <si>
    <t>Procurement of High Speed Drill System for Neuro and ENT Surgery (HFEP)</t>
  </si>
  <si>
    <t>ENVIRONMENTAL AWARENESS AND EDUCATION REPUBLIC ACT 9512 OF 2008</t>
  </si>
  <si>
    <t>Concrete Paving of Provincial Road to Public Cemetery (Additional Fund), Looc, Romblon</t>
  </si>
  <si>
    <t>Request for Quotation of Medical and Laboratory Supplies</t>
  </si>
  <si>
    <t>EDUCATION SUMMIT</t>
  </si>
  <si>
    <t>Supply and Delivery of Office Supplies (MHO)</t>
  </si>
  <si>
    <t>REQUEST FOR QUOTATION SHOPPING OF 40 UNITS OF MONOBLOC CHAIRS</t>
  </si>
  <si>
    <t>General Cleaning of 22 Air-Conditioning units of SSS Bacoor Branch for the 3rd and 4th quarter of 2020</t>
  </si>
  <si>
    <t>FEELING PASKO SA POBLACION</t>
  </si>
  <si>
    <t>DELIVERY OF MATERIALS FOR THE IMPROVEMENT OF BRGY. MULTI PURPOSE BUILDING</t>
  </si>
  <si>
    <t>RFQ - Supply and Delivery of Various Office Supplies for Division Office Use</t>
  </si>
  <si>
    <t>CAREER DAY FOR POBLACION KIDS</t>
  </si>
  <si>
    <t>PROCUREMENT FOR THE SUPPLY AND DELIVERY OF GC COLUMNS FOR USE IN LABORATORIES OF PLANT PRODUCT SAFETY SERVICES DIVISION (PPSSD)</t>
  </si>
  <si>
    <t>Construction of Perimeter Fence (Phase I) for the Bureau of Jail Management and Penology (BJMP) Facility at Barangay Lonos (Sitio Wireless) Romblon, Romblon</t>
  </si>
  <si>
    <t>Printing of Tarpaulin for School Announcements</t>
  </si>
  <si>
    <t>invitation to Bid</t>
  </si>
  <si>
    <t>Completion of Cajidiocan Sports Complex Concrete Bleacher Cajidiocan, Romblon</t>
  </si>
  <si>
    <t>Concrete Paving of Farm to Market Road, Gutivan, Cajidiocan, Romblon</t>
  </si>
  <si>
    <t>Repair of Sitio Tinap-an Bridge Brgy. Lanas, San Jose, Romblon</t>
  </si>
  <si>
    <t>Invitation to Bid for the Construction of Multi-Purpose Drying Pavement (MPDP) @ Brgy. Quezon, Cabugao, Ilocos Sur</t>
  </si>
  <si>
    <t>Concrete Paving of Farm to Market Road, Cambalo, Cajidiocan, Romblon</t>
  </si>
  <si>
    <t>Construction of Maternity Half-Way House, San Jose District Hospital, Poblacion, San Jose, Romblon</t>
  </si>
  <si>
    <t>Repair of Sitio Sinongtan Bridge Brgy. Lanas, San Jose, Romblon</t>
  </si>
  <si>
    <t>Concrete Paving of Poblacion-Jao-asan Provincial Road, Magdiwang, Romblon</t>
  </si>
  <si>
    <t>Completion of Food Court    Poblacion, Cajidiocan, Romblon</t>
  </si>
  <si>
    <t>DALOY NG KASAYSAYAN POBLACION RIVER CRUISE</t>
  </si>
  <si>
    <t>Purchase of Construction Supplies</t>
  </si>
  <si>
    <t>Purchase of 2 unit  2HP  window type   Air conditioning</t>
  </si>
  <si>
    <t>Invitation to Bid for the Construction of Multi-Purpose Drying Pavement (MPDP) @ Brgy. Bato, Cabugao, Ilocos Sur</t>
  </si>
  <si>
    <t>Provision of 160 pax Meals, Snacks and Accommodation for the conduct of Business Plan Preparation and Business Management Training in Region 1</t>
  </si>
  <si>
    <t>Improvement of Municipal Waterworks System</t>
  </si>
  <si>
    <t>REPAIR &amp; IMPROVEMENT OF ADMIN BUILDING</t>
  </si>
  <si>
    <t>Drainage Construction along Gen. Luna St.</t>
  </si>
  <si>
    <t>Purchase of Garden Tools and DRRM Materials</t>
  </si>
  <si>
    <t>Invitation to Bid for the Construction of Multi-Purpose Building @ Brgy. Carusipan (Proper), Cabugao, Ilocos Sur</t>
  </si>
  <si>
    <t>Purchase of School Supplies</t>
  </si>
  <si>
    <t>Construction of Concrete Pavement at Public Market Area, R. T. Lim, Zamboanga Sibugay.</t>
  </si>
  <si>
    <t>Invitation to Bid for the Improvement of Water System @ Cabugao, Ilocos Sur</t>
  </si>
  <si>
    <t>Invitation to Bid for the Construction of Slope Protection @ Brgy. Quezon, Cabugao, Ilocos Sur</t>
  </si>
  <si>
    <t>CP 2020-38 BIDDING FOR THE SUPPLY, DELIVERY, INSTALLATION AND MAINTENANCE OF ENERGY EFFICIENT SOLID STATE LUMINAIRES C/O CEO</t>
  </si>
  <si>
    <t>Invitation to Bid for the Concreting of Farm to Market Road @ Brgy. Pug-os (Balay-oac), Cabugao, Ilocos Sur</t>
  </si>
  <si>
    <t>CP 2020-37 BIDDING FOR THE SUPPLY AND DELIVERY OF ANTI-RABIES VACCINES C/O HSO</t>
  </si>
  <si>
    <t>Concreting of Road at Ecopark -  Phase II  Sta. (0+000 to 0+130), San Jose, R. T. Lim, Zamboanga Sibugay.</t>
  </si>
  <si>
    <t>Vehicles Parts for the Maintenance of Municipal Dump truck no. 120</t>
  </si>
  <si>
    <t>CONSTRUCTION OF STREETLIGHTS (PHASE II) BARANGAY TIGBANGAGAN</t>
  </si>
  <si>
    <t>INSTALLATION OF PIPES AND FITTINGS (BARANGAY TIGBANGAGAN)</t>
  </si>
  <si>
    <t>Invitation to Bid for the Concreting of Farm to Market Road @ Brgy. Pug-os (Inanama Sur), Cabugao, Ilocos Sur</t>
  </si>
  <si>
    <t>Purchase of Janitorial Supplies</t>
  </si>
  <si>
    <t>Invitation to Bid for the Concreting of Farm to Market Road @ Brgy. Pug-os (Inanama Norte), Cabugao, Ilocos Sur</t>
  </si>
  <si>
    <t>Purchase of ICT Equipment</t>
  </si>
  <si>
    <t>Purchase of Massage Therapy Machine</t>
  </si>
  <si>
    <t>Purchase of Various Supplies and Materials for Health ang Sanitation Program</t>
  </si>
  <si>
    <t>Purchase of Various Supplies and Materials for the Repair and Maintenance of Barangay MV</t>
  </si>
  <si>
    <t>RFQ 2020-06-307 Procurement of various office supplies for CPDO</t>
  </si>
  <si>
    <t>Purchase of Additional CCTV Cameras</t>
  </si>
  <si>
    <t>JSTOR Archival Collection Subscription</t>
  </si>
  <si>
    <t>Lanyard/ID Cord (sky blue)</t>
  </si>
  <si>
    <t>Concreting of Rerouting Road From Legislative to In Front of MSWD Office - Phase I, Municipal Site, R. T. Lim, Zamboanga Sibugay.</t>
  </si>
  <si>
    <t>Concreting of Access Road to Municipal Water Storage Area - Phase I , Municipal Site, R. T. Lim, Zamboanga Sibugay</t>
  </si>
  <si>
    <t>RFQ 2020-06-328 Procurement of various supplies and materials for OM</t>
  </si>
  <si>
    <t>Purchase of Office Supplies and Materials</t>
  </si>
  <si>
    <t>RFQ 2020-06-329 Procurement of various janitorial supplies for OM</t>
  </si>
  <si>
    <t>Purchase of Solid Wast Management Supplies and Materials</t>
  </si>
  <si>
    <t>Purchase of Office Furniture and Fixtures</t>
  </si>
  <si>
    <t>Purchase of Technical and Scientific Equipment</t>
  </si>
  <si>
    <t>DEVELOPING THE FOOD PROCESSING INDUSTRY OF THE BAANG WOMEN’S ORGANIZATION AND RURAL IMPROVEMENT CLUB – LOT 1</t>
  </si>
  <si>
    <t>Purchase of Street Lights</t>
  </si>
  <si>
    <t>Purchase of Various Essential Supplies and Materials for Peace and Order Program</t>
  </si>
  <si>
    <t>STRENGTHENING OF THE WEAVING PROJECT OF HUNGDUAN WEAVER’S ASSOCIATION – LOT 1</t>
  </si>
  <si>
    <t>Developing the Food Processing Industry of the Baang Women’s Organization and Rural Improvement Club – Lot 2</t>
  </si>
  <si>
    <t>DEVELOPING THE HANDICRAFT INDUSTRY OF THE AGAYAP AGRICULTURE AND LIVELIHOOD ORGANIZATION – LOT 3</t>
  </si>
  <si>
    <t>COFFEE PROCESSING PROJECT OF THE LUBU-ONG BIMMOBLE ORGANIZATION – LOT 1</t>
  </si>
  <si>
    <t>RFQ 2020-06-331 Procurement of various supplies and materials for DTCAM</t>
  </si>
  <si>
    <t>Purchase of Portable Toilet</t>
  </si>
  <si>
    <t>Developing the Handicraft Industry of the Agayap Agriculture and Livelihood Organization – Lot 2</t>
  </si>
  <si>
    <t>Purchase of Drug Testing Kits</t>
  </si>
  <si>
    <t>RFQ 2020-06-330 Procurement of 380 pcs. Planner for DTCAM</t>
  </si>
  <si>
    <t>Embankment of Earth Dike at Sitio Liki Section</t>
  </si>
  <si>
    <t>Repair/Rehabilitation of Main Building and Completion of Wards at Tablas Island District Hospital (TIDH) San Agustin, Romblon</t>
  </si>
  <si>
    <t>DEVELOPING THE HANDICRAFT INDUSTRY OF THE AGAYAP AGRICULTURE AND LIVELIHOOD ORGANIZATION – LOT 1</t>
  </si>
  <si>
    <t>Purchase of Supplies and Materials for Livelihood Program</t>
  </si>
  <si>
    <t>STRENGTHENING OF THE WEAVING PROJECT OF HUNGDUAN WEAVER’S ASSOCIATION – LOT 2</t>
  </si>
  <si>
    <t>Asphalt overlay of road in front of the Provincial Capitol including part of Iba-Sta. Barbara Road</t>
  </si>
  <si>
    <t>COFFEE PROCESSING PROJECT OF THE LUBU-ONG BIMMOBLE ORGANIZATION – LOT 2</t>
  </si>
  <si>
    <t>PURCHASE OF 2 UNITS AIRCONDITIONER</t>
  </si>
  <si>
    <t>COFFEE PROCESSING PROJECT OF THE LUBU-ONG BIMMOBLE ORGANIZATION – LOT 3</t>
  </si>
  <si>
    <t>Completion of Brgy. Poblacion Fitness Center</t>
  </si>
  <si>
    <t>RFQ 2020-06-333 Procurement of various office supplies for DTCAM</t>
  </si>
  <si>
    <t>JANITORIAL SUPPLIES</t>
  </si>
  <si>
    <t>Improvement of Water System</t>
  </si>
  <si>
    <t>Supply and delivery of office supplies and devices for Malatungtong Ext. school/Admin. Office</t>
  </si>
  <si>
    <t>Tarpaulin Printing for Barangay Assembly</t>
  </si>
  <si>
    <t>Computer Consumables</t>
  </si>
  <si>
    <t>Heavy Equipment Maintenance - Nissan 10W DT/SHG-280, Isuzu Firework / SGR-968 &amp; Man Rosenbauer FT Eng., JCB Backhoe Loader &amp; Menzi Muck Excavator</t>
  </si>
  <si>
    <t>PROJECT HEALTHA</t>
  </si>
  <si>
    <t>Riprapping of Provincial Road Poblacion, Sta. Fe, Romblon</t>
  </si>
  <si>
    <t>Stone Masonry - Entrance going to P/Dona Eming &amp; Balabag-bato</t>
  </si>
  <si>
    <t>Various Gardening Supplies</t>
  </si>
  <si>
    <t>Procurement &amp; Distribution of 576 Head Chicken to the TD-Usman affected Farmers in Bobon, Northern Samar</t>
  </si>
  <si>
    <t>Heavy Equipment Maintenance - Nissan 10W DT/SHG-276 and 6W Isuzu DT/DT #12</t>
  </si>
  <si>
    <t>Flood Control</t>
  </si>
  <si>
    <t>Heavy Equipment Maintenance - Nissan 10W/SFY-352 and Isuzu Manlift Room Truck/CS-0301</t>
  </si>
  <si>
    <t>Heavy Equipment Maintenance - 10W Nissan DT/SHG-279 and 6W Nissan DT/SFY-351</t>
  </si>
  <si>
    <t>Heavy Equipment Maintenance - Nissan 10W DT/SFY-353, HBM Motor Grader/ BG 110T - 5 # 2 and Nissan DT/SFY-351</t>
  </si>
  <si>
    <t>Improvement/Repair of Bobon Integrated Food and Transport Terminal (Damaged by Typoon Tisoy)</t>
  </si>
  <si>
    <t>Concreting of Barangay Road Station 2 going to P/Dona Eming &amp; Balabag-bato</t>
  </si>
  <si>
    <t>Inviration to Bid - Infrastructure Project for Construction of Evacuation Center at Barangay Sabang, Danao City</t>
  </si>
  <si>
    <t>Motor Vehicle Maintenance - Isuzu Crosswind/SKP-997 (DepEd), Isuzu Crosswind/SKP-969 and Toyota Revo/SGN-728</t>
  </si>
  <si>
    <t>8918-19-216)  REHABILITATION OF THE MULTI-PURPOSE HALL-REWIRING OF ELECTRICAL LINES, PLUMBING WORKS, REPAINTING AND TILING WORKS AT DAY CARE CENTER, STA. ESCOLASTICA VILLAGE C/O CBAO</t>
  </si>
  <si>
    <t>8918-20-002)CONSTRUCTION OF SEWERLINE FROM PORTA VAGA AREA TO POST OFFICE AT KABAYANIHAN C/O CEPMO</t>
  </si>
  <si>
    <t>8918-20-136)  CONSTRUCTION AND INSTALLATION OF A PROTECTIVE GATE AND CANOPY AND TILING OF THE STAIRS, MULTI-PURPOSE HALL AT MIDDLE ROCK QUARRY C/O CBAO</t>
  </si>
  <si>
    <t>8918-20-003)  CONSTRUCTION OF SEWERLINE AT PUROK 2, DPS COMPOUND C/O CEPMO</t>
  </si>
  <si>
    <t>8918-19-206) REHABILITATION OF MULTI-PURPOSE HALL (FEDERATION OF BAGUIO SENIOR CITIZENS ASSOCIATION, FBASECA-FCCAP BAGUIO CHAPTER AT UPPER SESSION ROAD, SALUD MITRA C/O CBAO</t>
  </si>
  <si>
    <t>20GNE0025-Supplies/Deliveries for the Procurement of various Common Office Supplies to be used in Administrative Section, Maintenance Section, Construction Section, Planning &amp; Design Section, and Qual</t>
  </si>
  <si>
    <t>8918-19-228)  CONTINUATION OF THE REHABILITATION OF THE MULTI-PURPOSE HALL AT UPPER GEN. LUNA C/O CBAO</t>
  </si>
  <si>
    <t>Request for Quotation - Consultant on Barangay Taxation and Economic Enterprises Operation (CMO)</t>
  </si>
  <si>
    <t>PROVISION OF COFFEE PRE-PROCESSING FACILITIES</t>
  </si>
  <si>
    <t>Enhancing the Livelihood of Ay-aywanan Organization Incorporated Through the Provision of Food Processing Facilities and Equipment</t>
  </si>
  <si>
    <t>Procurement of Electrical Supplies</t>
  </si>
  <si>
    <t>4411-19-022) IMPROVEMENT AND EXTENSION OF THE EXISTING SCOUT BARRIO HEALTH CENTER AT SCOUT BARRIO C/O CBAO</t>
  </si>
  <si>
    <t>20GNE0026-Supplies/Deliveries for the Procurement of various Inks and Accessories to be used in Construction Section, Finance Section, Planning &amp; Design Section of this office for the 1st and 2nd Quar</t>
  </si>
  <si>
    <t>Materials for repair &amp; maintenance of different hospitals &amp; quarantine facilities during COVID-19</t>
  </si>
  <si>
    <t>COVID 19 RESPONSE ITEMS</t>
  </si>
  <si>
    <t>INVITATION TO BID FOR CONSTRUCTION OF PIGKALAGAN – MATENGEN ROAD</t>
  </si>
  <si>
    <t>8918-19-182)  CONSTRUCTION OF SEWERLINE AT PUROK 2, PADRE ZAMORA C/O CEPMO</t>
  </si>
  <si>
    <t>Procurement of meals and snacks for frontliners, responders and monitoring team during GCQ</t>
  </si>
  <si>
    <t>PROVISION OF VEGETABLE BREAD PROCESSING FACILITIES</t>
  </si>
  <si>
    <t>Procurement of 4pcs. Tire with alignment, 2pcs. 1oz clip type and 1 pc. 3/4 clip type for Municipal Ambulance (A8-P809)</t>
  </si>
  <si>
    <t>DEVELOPING THE ROOT CROPS INDUSTRY OF THE AHIN FARMERS DEVELOPMENT ORGANIZATION INCORPORATED – LOT 2</t>
  </si>
  <si>
    <t>Provision of Coffee Processing Center and Facilities</t>
  </si>
  <si>
    <t>DEVELOPING THE ROOT CROPS INDUSTRY OF THE AHIN FARMERS DEVELOPMENT ORGANIZATION INCORPORATED – LOT 4</t>
  </si>
  <si>
    <t>Pag-IBIG Fund TAS NCR South (SUPPLY AND DELIVERY OF VARIOUS COMPUTER SUPPLIES OF MAKATI CBD GROUP AND OVP'S FOR 1ST QUARTER OF 2020)</t>
  </si>
  <si>
    <t>DEVELOPING THE ROOT CROPS INDUSTRY OF THE AHIN FARMERS DEVELOPMENT ORGANIZATION INCORPORATED – LOT 1</t>
  </si>
  <si>
    <t>Provision of Coffee Pre-Processing Facilities</t>
  </si>
  <si>
    <t>Procurement of Medical, Dental and Laboratory Supplies</t>
  </si>
  <si>
    <t>REHABILITATION OF MULTI-PURPOSE HALL (PHASE V)</t>
  </si>
  <si>
    <t>Slope/Shore Protection of Barangay Pandan, Sta. Fe, Romblon</t>
  </si>
  <si>
    <t>COVID19 Essential Materials in School</t>
  </si>
  <si>
    <t>Procurement of office Supplies and Consumables</t>
  </si>
  <si>
    <t>Purchase of Generator</t>
  </si>
  <si>
    <t>Slope Protection at Sitio Bagulayag, Tubigon, Ferrol, Romblon</t>
  </si>
  <si>
    <t>DEVELOPING THE ROOT CROPS INDUSTRY OF THE AHIN FARMERS DEVELOPMENT ORGANIZATION INCORPORATED – LOT 3</t>
  </si>
  <si>
    <t>PROVISION OF CITRUS PROCESSING EQUIPMENT AND FACILITIES</t>
  </si>
  <si>
    <t>INVITATION TO BID FOR CONCRETING OF REBUKEN ROAD – TESDA ROAD</t>
  </si>
  <si>
    <t>Mahaba ES Supplies for June</t>
  </si>
  <si>
    <t>Completion of Educ’l Facilities (Completion of Stage) at Tampayan Elementary School Magdiwang, Romblon</t>
  </si>
  <si>
    <t>INVITATION TO BID FOR CONSTRUCTION OF MAGNO – BRGY. RENTI ROAD</t>
  </si>
  <si>
    <t>INVITATION TO BID FOR CONSTRUCTION OF TUDOK - PALAO ROAD</t>
  </si>
  <si>
    <t>Procurement of Cordless Phone</t>
  </si>
  <si>
    <t>Site Development for Municipal Housing Project at Brgy. Poblacion San Agustin, Romblon</t>
  </si>
  <si>
    <t>Construction of River Walk/Promenade, Poblacion, Madiwang, Romblon</t>
  </si>
  <si>
    <t>supply &amp; delivery of equipment to be used in Metarizhuim &amp; Trichogramma laboratory PR#2020-06-09-958 w/ ABC of P141,590.00</t>
  </si>
  <si>
    <t>INVITATION TO BID FOR OPENING/REHABILITATION OF FARM TO MARKET ROAD</t>
  </si>
  <si>
    <t>Procurement of Office Supplies for Different Offices</t>
  </si>
  <si>
    <t>Supply and Delivery of Spare Part for Loader/Backhoe Case 480F (RFQ20-21)</t>
  </si>
  <si>
    <t>One (1) Lot – Software Subscription for the existing 3,560 HCL Domino Enterprise Processor Value Unit (PVU) licenses, as per BSP Terms of Reference</t>
  </si>
  <si>
    <t>INVITATION TO BID FOR CONSTRUCTION OF SENDITAN - SAMBOLAWAN ROAD</t>
  </si>
  <si>
    <t>Repair/Improvement of Brgy. Water System Bachawan, San Agustin, Romblon</t>
  </si>
  <si>
    <t>Purchase of Teachers Supplies</t>
  </si>
  <si>
    <t>CONSTRUCTION OF WATER SYSTEM LEVEL III WITH RESERVOIR AND DISTRIBUTION LINE CONNECTS TO CENTRAL MAGUJNDANAO INTEGRATED WATER SYSTEM</t>
  </si>
  <si>
    <t>office supplies</t>
  </si>
  <si>
    <t>One (1) Lot – Hardware and Software Maintenance and Technical Support Services for the Endpoint Data Leakage Protection, as per BSP Terms of Reference and Service Level Agreement</t>
  </si>
  <si>
    <t>Supply and Delivery of Spare Part for Loader/Backhoe Case 480F (RFQ20-22)</t>
  </si>
  <si>
    <t>supply &amp; delivery of other supplies to be used in mass production of Metarhizium PR#2020-06-09-359 w/ ABC of P220,000.00</t>
  </si>
  <si>
    <t>Procurement and Delivery of Android Tablets</t>
  </si>
  <si>
    <t>RFQ No. 20-0549 Shopping B  (Supply and Delivery of HP Ink Cartridge for PSAMD Stockpile)</t>
  </si>
  <si>
    <t>supply &amp; delivery of agricultural supplies used for Plant Plant Plant Program PR#2020-06-04-63 w/ ABC of P 120,360.75</t>
  </si>
  <si>
    <t>20-05-0579 Supplies/materials for ICT maintenance and upgrade</t>
  </si>
  <si>
    <t>supply &amp; delivery of agricultural supplies used for the mass production of various vegetable seedlings in support to the Plant Plant Plant Program PR#2020-06-09-360 w/ ABC of P 199,994.00</t>
  </si>
  <si>
    <t>Construction of Roofing in the Parking Area</t>
  </si>
  <si>
    <t>Supply and Delivery of MDRRM Tents and Materials for Repair</t>
  </si>
  <si>
    <t>Fabrication and Installation of  Accordion Gate at the Stairway, Window and Door Grills at the SHS Building</t>
  </si>
  <si>
    <t>supply &amp; delivery of agricultural supplies used for Plant Plant Plant Program PR#2020-06-04-60 w/ ABC of P 75,000.00</t>
  </si>
  <si>
    <t>School Supplies and Instructional Materials of Pangantucan National High School</t>
  </si>
  <si>
    <t>Supply and Delivery of Spare Part for UD Nissan Dump Truck (RFQ20-23)</t>
  </si>
  <si>
    <t>supply &amp; delivery of other supplies to be distributed to IPM Coordinators, technicians &amp; farmer leaders for Bantay Peste Brigade Project in 7 prov of Region III PR#2020-06-09-361 w/ ABC of P221,400.00</t>
  </si>
  <si>
    <t>construction of storage facility for confiscated forest products of DENR PENRO Biliran</t>
  </si>
  <si>
    <t>supply and delivery of two(2)motor vehicle</t>
  </si>
  <si>
    <t>supply &amp; delivery of other supplies to be used in rehabilitation and upgrade of Electrical System at RCPC, Maligaya Munoz, Nueva Ecija PR#2020-06-09-362 w/ ABC of P652,351.35</t>
  </si>
  <si>
    <t>LOT 5 - CY2020 Repair and Rehabilitation Program</t>
  </si>
  <si>
    <t>LOT 1 - CY2020 Repair and Rehabilitation Program</t>
  </si>
  <si>
    <t>supply &amp; delivery of agricultural supplies used for Plant Plant Plant Program &amp; establishment of urban gardening at CLIARC Upland PR#2020-06-04-61 w/ ABC of P 53,461.00</t>
  </si>
  <si>
    <t>LOT 2 - CY2020 Repair and Rehabilitation Program</t>
  </si>
  <si>
    <t>LOT 4 - CY2020 Repair and Rehabilitation Program</t>
  </si>
  <si>
    <t>8918-20-014)  REHABILITATION OF DRAINAGE AT EAST QUIRINO HILL TOWARDS MAGSAYSAY AVENUE, EAST QUIRINO HILL C/O CEO</t>
  </si>
  <si>
    <t>Procurement of Internet Service Provider (PMO Main Office)</t>
  </si>
  <si>
    <t>LOT 9 - CY2020 Repair and Rehabilitation Program</t>
  </si>
  <si>
    <t>20-01-0101 SAAD 2020 Seaweeds Production in Southern Leyte</t>
  </si>
  <si>
    <t>LOT 7 - CY2020 Repair and Rehabilitation Program</t>
  </si>
  <si>
    <t>SUPPLIES FOR REPRODUCTION OF LEARNING MODULES</t>
  </si>
  <si>
    <t>LOT 8 - CY2020 Repair and Rehabilitation Program</t>
  </si>
  <si>
    <t>Repair of Pathway</t>
  </si>
  <si>
    <t>SHS SUPPLIES FOR REPRODUCTION OF MODULES</t>
  </si>
  <si>
    <t>LOT 3 - CY2020 Repair and Rehabilitation Program</t>
  </si>
  <si>
    <t>Purchase of Office Supplies as requested by LCDRRMO (PR#199)</t>
  </si>
  <si>
    <t>Construction of Drainage Canal</t>
  </si>
  <si>
    <t>Purchase of assistive devices for municipal use in Calumpit, Bulacan</t>
  </si>
  <si>
    <t>Purchase of office equipments for municipal use in Calumpit, Bulacan</t>
  </si>
  <si>
    <t>LOT 6 - CY2020 Repair and Rehabilitation Program</t>
  </si>
  <si>
    <t>SUPPLY INSTALLATION AND ACTIVATION  OF THE  CCTV LINE FOR THE CITY DISASTER RISK REDUCTION MANAGEMENT OFFICE</t>
  </si>
  <si>
    <t>Purchase of Office Supplies as requested by PNP (PR#210)</t>
  </si>
  <si>
    <t>Purchase of Janitorial Supplies as requested by COMELEC (PR#211)</t>
  </si>
  <si>
    <t>Purchase of Fire Extinguisher refill as requested by BFP (PR#209)</t>
  </si>
  <si>
    <t>SUPPLY AND DELIVERY OF GENERAL MDSE- EMS DUTY VEST WITH REFLECTORIZED PRINT</t>
  </si>
  <si>
    <t>Procurement of Laptop with Accessories</t>
  </si>
  <si>
    <t>Purchase of Office Supplies as requested by COMELEC (PR#212)</t>
  </si>
  <si>
    <t>Office Supplies and Devices - Purchase of Office Supplies</t>
  </si>
  <si>
    <t>SUPPLY OF ONE (1) UNIT HEAVY DUTY COPIER/PRINTER</t>
  </si>
  <si>
    <t>Laptops/Printers/Printer Ink</t>
  </si>
  <si>
    <t>CONSTRUCTION OF MAKESHIFT ELEVEN (11) – CLASSROOM TEMPORARY LEARNING SHELTER FOR BURABOD ELEMENTARY SCHOOL, LIBON, ALBAY (RE-BID)</t>
  </si>
  <si>
    <t>Purchase of ambulance supplies for use in medical emergency response as requested by LCDRRMO (PR#216)</t>
  </si>
  <si>
    <t>Delivery of Office Equipment Supplies and Consumables</t>
  </si>
  <si>
    <t>Supply &amp; Delivery of other supplies and materials 01D Aux &amp; HES F24-2020</t>
  </si>
  <si>
    <t>Purchase of 17 sacks Rice  and Plastic bag</t>
  </si>
  <si>
    <t>SUPPLY DELIVERY AND INSTALLATION OF INVERTER 2 HP SPLIT TYPE AIRCONDITIONING UNIT FOR THE CITY HEALTH OFFICE</t>
  </si>
  <si>
    <t>PURCHASE OF VARIOUS ELECTRICAL LIGHTING FIXTURES FOR THE MAINTENANCE OF OTON PUBLIC MARKET.</t>
  </si>
  <si>
    <t>CONTRACT OF SERVICE FURNISHING LABOR AND MATERIALS FOR THE ELIMINATION OF RODENTS AT OTON MUNICIPAL HALL</t>
  </si>
  <si>
    <t>TV Flat Screen 32" (Smart Share/Smart Phone Support)</t>
  </si>
  <si>
    <t>PURCHASE AND INSTALLATION OF ADDITIONAL CCTV’S AT TERMINAL AREA AND MARKET PERMITS OF OTON PUBLIC MARKET</t>
  </si>
  <si>
    <t>Procurement of construction materials and supplies for the completion of MUSHROOM BOX of Centro 8, Claveria, Cagayan</t>
  </si>
  <si>
    <t>Purchase of Megaphone, Flashlight and Fire extinguisher as requested by PNP (PR#228)</t>
  </si>
  <si>
    <t>Purchase of Janitorial Supplies as requested by City Slaughterhouse (PR#244)</t>
  </si>
  <si>
    <t>Purchase of Food/Meals to be served during Oplan Ligtas na Pamayanan as requested by BFP (PR#233)</t>
  </si>
  <si>
    <t>Purchase of Janitorial supplies as requested by CHO (PR#242)</t>
  </si>
  <si>
    <t>PURCHASE OF VARIOUS CONSTRUCTION MATERIALS FOR REPAIR AND MAINTENANCE OF GOVERNMENT FACILITIES</t>
  </si>
  <si>
    <t>Provision of Security Services for eleven (11) Security Guards  within DENR-PENRO Quezon for six months starting July-December for CY-2020</t>
  </si>
  <si>
    <t>ITDI-200191_REBID - SUPPLY AND DELIVERY OF CONCENTRATED NITRIC ACID AND HYDROGEN PEROXIDE</t>
  </si>
  <si>
    <t>CY 2020 Quick Response Fund (QRF) Repair and Rehabilitation of School Building – Lot 2 – Repair and Rehabilitation of  Classrooms at Cayangwan Elementary School, Makato, Aklan and Rosal Elementary Sch</t>
  </si>
  <si>
    <t>ITDI-200231_REBID - SUPPLY AND DELIVERY OF SHORT BOND PAPER</t>
  </si>
  <si>
    <t>Purchase of Food/meals to be served at ICS Training Level 4 as requested by LCDRRMO (PR#246)</t>
  </si>
  <si>
    <t>ITDI-200323_REBID - SUPPLY AND DELIVERY OF EXTERNAL HARD DRIVE</t>
  </si>
  <si>
    <t>Purchase of Two (2) units Power Sprayer and Four (4) rolls of Hose as requested by City Agriculturist Office (PR# 177)</t>
  </si>
  <si>
    <t>Supply and Installation of CCTV Fiber Optic</t>
  </si>
  <si>
    <t>Supply and Delivery of 10pcs Water Resistant 2-way Radio</t>
  </si>
  <si>
    <t>Purchase of Hygiene Kit and Foodpacks for In-house Reformation Program (Kanlungan ng Pagbabago Balay Silangan) as requested by CADAC (PR#250)</t>
  </si>
  <si>
    <t>Printing of Various forms as requested by CHO (PR# 162)</t>
  </si>
  <si>
    <t>Purchase of Two (2) units Projector as requested by Dalubhasaan ng Lungsod ng Lucena (PR# 63)</t>
  </si>
  <si>
    <t>Supply and Delivery of Low Bed Truck</t>
  </si>
  <si>
    <t>SUPPLY AND DELIVERY OF VARIOUS VEHICLE PARTS AND ACCESSORIES</t>
  </si>
  <si>
    <t>ITDI-200216_REBID - SUPPLY AND DELIVERY OF VARIOUS OFFICE SUPPLIES</t>
  </si>
  <si>
    <t>ITDI-200288_REBID - SUPPLY AND DELIVERY OF 95% ETHYL ALCOHOL</t>
  </si>
  <si>
    <t>CY 2020 Quick Response Fund (QRF) Repair and Rehabilitation of School Building – Lot 4 – Repair and Rehabilitation of  Classrooms at Bakhaw Norte Integrated School, Kalibo, Aklan and Naile Elementary</t>
  </si>
  <si>
    <t>ITDI-200227_REBID - SUPPLY AND DELIVERY OF LEVER ARCH FILE AND FILE FOLDERS</t>
  </si>
  <si>
    <t>CY 2020 Quick Response Fund (QRF) Repair and Rehabilitation of School Building – Lot 3 – Repair and Rehabilitation of  Classrooms at Tangalan National High School, Tangalan, Aklan</t>
  </si>
  <si>
    <t>Construction of Slope Protection at Bone South Elementary School, Bone South, Nueva Vizcaya</t>
  </si>
  <si>
    <t>ITDI-200220_REBID- SUPPLY AND DELIVERY OF VARIOUS OFFICE SUPPLIES</t>
  </si>
  <si>
    <t>ITDI-200208_REBID - SUPPLY AND DELIVERY OF PORTABLE AIRCOOLER AND STAND FAN</t>
  </si>
  <si>
    <t>ITDI-200233_REBID - MICRO ANALYSIS FOR SIOPAO AND EMPANADA</t>
  </si>
  <si>
    <t>ITDI-200218_REBID - SUPPLY AND DELIVERY OF VARIOUS OFFICE SUPPLIES</t>
  </si>
  <si>
    <t>Provision of Janitorial  Services for seven (7)  Utility men/women  within DENR-PENRO Quezon for six months starting July-December for CY-2020</t>
  </si>
  <si>
    <t>CY 2020 Quick Response Fund (QRF) Repair and Rehabilitation of School Building – Lot 5 – Repair and Rehabilitation of  Classrooms at Gibon Elementary School, Nabas, Aklan and Jose F. Meñez Memorial Na</t>
  </si>
  <si>
    <t>payments under the contract for the project CY 2020 Quick Response Fund (QRF) Repair and Rehabilitation of School Building – Lot 12 – Repair and Rehabilitation of Classrooms at Agbago Elementary Schoo</t>
  </si>
  <si>
    <t>payments under the contract for the project CY 2020 Quick Response Fund (QRF) Repair and Rehabilitation of School Building – Lot 10 – Repair and Rehabilitation of Classrooms at Tayhawan Elementary Sch</t>
  </si>
  <si>
    <t>CY 2020 Quick Response Fund (QRF) Repair and Rehabilitation of School Building – Lot 11 – Repair and Rehabilitation of Classrooms at Cabugao Primary School, Buruanga, Aklan, Katipunan Elementary Schoo</t>
  </si>
  <si>
    <t>CY 2020 Quick Response Fund (QRF) Repair and Rehabilitation of School Building – Lot 7 – Repair and Rehabilitation of  Classrooms at Guanko Elementary School, Balete, Aklan, Pepe Elementary School, Bu</t>
  </si>
  <si>
    <t>CY 2020 Quick Response Fund (QRF) Repair and Rehabilitation of School Building – Lot 6 – Repair and Rehabilitation of  Classrooms at Rizal Elementary School, Ibajay, Aklan and Muguing Elementary Schoo</t>
  </si>
  <si>
    <t>CY 2020 Quick Response Fund (QRF) Repair and Rehabilitation of School Building – Lot 13 – Repair and Rehabilitation of Classrooms at Maloco Elementary School, Ibajay, Aklan, Ondoy Elementary School, I</t>
  </si>
  <si>
    <t>CY 2020 Quick Response Fund (QRF) Repair and Rehabilitation of School Building – Lot 8 – Repair and Rehabilitation of  Classrooms at Batan Elementary School, Batan, Aklan, Mina-a Elementary School, Ib</t>
  </si>
  <si>
    <t>PROCUREMENT OF HARDWARE MATERIALS FOR CONSTRUCTION OF 83.95 LM. OPEN CANAL ALONG THE NATIONAL HIGHWAY AT ZONE II, LANUZA SURIGAO DEL SUR</t>
  </si>
  <si>
    <t>PURCHASE OF ENVIRONMENTAL HEALTH/SAFETY EQUIPMENTS</t>
  </si>
  <si>
    <t>CY 2020 Quick Response Fund (QRF) Repair and Rehabilitation of School Building – Lot 16 – Repair and Rehabilitation of Classrooms at Catabana Primary School, Madalag, Aklan, Banay Banay Elementary Sch</t>
  </si>
  <si>
    <t>ITDI-200217_REBID - SUPPLY AND DELIVERY OF VARIOUS OFFICE SUPPLIES</t>
  </si>
  <si>
    <t>CY 2020 Quick Response Fund (QRF) Repair and Rehabilitation of School Building – Lot 15 – Repair and Rehabilitation of Classrooms at San Isidro Elementary School, Ibajay, Aklan, New Buswang Elementary</t>
  </si>
  <si>
    <t>Other machineries and Equipment</t>
  </si>
  <si>
    <t>CY 2020 Quick Response Fund (QRF) Repair and Rehabilitation of School Building – Lot 21 – Repair and Rehabilitation of Classrooms at Rizal Elementary School, Nabas, Aklan, Badio Elementary School, Num</t>
  </si>
  <si>
    <t>CY 2020 Quick Response Fund (QRF) Repair and Rehabilitation of School Building – Lot 20 – Repair and Rehabilitation of Classrooms at Libertad Elementary School, Nabas, Aklan, Nagustan Elementary Schoo</t>
  </si>
  <si>
    <t>CY 2020 Quick Response Fund (QRF) Repair and Rehabilitation of School Building – Lot 22 – Repair and Rehabilitation of Classrooms at Solido Elementary School, Nabas, Aklan, Union Elementary School, Na</t>
  </si>
  <si>
    <t>CY 2020 Quick Response Fund (QRF) Repair and Rehabilitation of School Building – Lot 17 – Repair and Rehabilitation of Classrooms at Cabatanga Elementary School, Makato, Aklan, Castillo Elementary Sch</t>
  </si>
  <si>
    <t>CY 2020 Quick Response Fund (QRF) Repair and Rehabilitation of School Building – Lot 14 – Repair and Rehabilitation of Classrooms at Cabugao Primary School, Ibajay, Aklan, Naisud Central School, Ibaja</t>
  </si>
  <si>
    <t>Supply and Delivery of Diesel at NIA PRIS, Peñablanca, Cagayan</t>
  </si>
  <si>
    <t>CY 2020 Quick Response Fund (QRF) Repair and Rehabilitation of School Building – Lot 18 – Repair and Rehabilitation of Classrooms at Mantiguib Elementary School, Makato, Aklan, Argao Elementary School</t>
  </si>
  <si>
    <t>CY 2020 Quick Response Fund (QRF) Repair and Rehabilitation of School Building – Lot 9 – Repair and Rehabilitation of  Classrooms at Unidos Elementary School, Nabas, Aklan</t>
  </si>
  <si>
    <t xml:space="preserve">CY 2020 Quick Response Fund (QRF) Repair and Rehabilitation of School Building – Lot 19 – Repair and Rehabilitation of Classrooms at Caticlan Elementary School, Malay, Aklan, Malay Elementary School, </t>
  </si>
  <si>
    <t>SVP PUR20-05-0391 Procurement of Acryclic emulsion clear, etc. for DPPS</t>
  </si>
  <si>
    <t>CY 2020 Quick Response Fund (QRF) Repair and Rehabilitation of School Building – Lot 24 – Repair and Rehabilitation of Classrooms at New Washington Elementary School, New Washington, Aklan, Habana Int</t>
  </si>
  <si>
    <t>ITDI-200259_REBID - SUPPLY AND DELIVERY OF LAPTOP</t>
  </si>
  <si>
    <t>CY 2020 Quick Response Fund (QRF) Repair and Rehabilitation of School Building – Lot 26 – Repair and Rehabilitation of Classrooms at Union National High School, Nabas, Aklan</t>
  </si>
  <si>
    <t>ITDI-200300_REBID - SUPPLY AND DELIVERY OF STRIP-CUT SHREDDER AND PRINTER</t>
  </si>
  <si>
    <t>CY 2020 Quick Response Fund (QRF) Repair and Rehabilitation of School Building – Lot 25 – Repair and Rehabilitation of Classrooms at Malinao School for Phlippine Craftsmen, Malinao, Aklan, Toledo Nati</t>
  </si>
  <si>
    <t>PROCUREMENT OF HARDWARE MATERIALS FOR PROPOSED NURSERY ESTABLISHMENT</t>
  </si>
  <si>
    <t>ITDI-200240_REBID - SUPPLY AND DELIVERY OF HP 680 INK CARTRIDGE</t>
  </si>
  <si>
    <t>REHABILITATION OF WATER SYSTEM</t>
  </si>
  <si>
    <t>INSTALLATION OF STREET LIGHTS</t>
  </si>
  <si>
    <t>PROCUREMENT OF HABAL-HABAL MINI SPAREPARTS STORE WITH CARWASH WELDING AND VULCANIZING SHOP AT BARANGAY MAMPI, LANUZA, SURIGAO DEL SUR</t>
  </si>
  <si>
    <t>Parts &amp; Labor Services (Repair of Various Service Vehicle)</t>
  </si>
  <si>
    <t>SVP PUR20-06-0456 Procurement of Pre-Disinfectant for ORMAT-ORSA, PGH</t>
  </si>
  <si>
    <t>Purchase of Medical Supplies</t>
  </si>
  <si>
    <t>SVP PUR20-03-0248 Procurement of Alcohol ethyl 70% for DPPS, PGH</t>
  </si>
  <si>
    <t>S  PUR20-05-0443 Procurement of Alcohol 69-72% ethanol for PSD</t>
  </si>
  <si>
    <t>CY 2020 Quick Response Fund (QRF) Repair and Rehabilitation of School Building – Lot 23 – Repair and Rehabilitation of Classrooms at Guinbaliwan Elementary School, New Washington, Aklan, Sergio L. Tal</t>
  </si>
  <si>
    <t>LAMINATING POUCH FILM/ID CORD</t>
  </si>
  <si>
    <t>CY 2020 Quick Response Fund (QRF) Repair and Rehabilitation of School Building – Lot 27 – Repair and Rehabilitation of Classrooms at Tamalagon Integrated School, Tangalan, Aklan and San Roque Integrat</t>
  </si>
  <si>
    <t>Repair and Maintenance of Fire Truck</t>
  </si>
  <si>
    <t>Furnishing of Construction Materials for Carol-an Dagyangaw SIP (CY 2019), Ayungon, Neg. Or.</t>
  </si>
  <si>
    <t>NP2020-06 Procurement of Various Appliances GABMMC</t>
  </si>
  <si>
    <t>Furnishing of Construction Materials for Carol-an Dagyangaw SIP, Ayungon, Neg. Or.</t>
  </si>
  <si>
    <t>20GAA0071: Procurement of Unleaded Gasoline for use of Grasscutters and Chainsaw of Maintenance Section, DPWH-INFDEO, Laoag City</t>
  </si>
  <si>
    <t>NP2020-06-321 Procurement of Digital Duplicator, Copier with Printer and Scanner GABMMC</t>
  </si>
  <si>
    <t>PB PUR20-04-0356 SUPPLY AND DELIVERY OF STEEL CABINET, BOOK SHELF TYPE for Medical Records Div., PGH</t>
  </si>
  <si>
    <t>NP2020-02-116B Procurement of Various Printed Forms and Other Supplies CTO SAH</t>
  </si>
  <si>
    <t>NP2020-06-313 Procurement of Various Food and Drinks OVM</t>
  </si>
  <si>
    <t>20GAA0074: Procurement of Diesel for use of various Vehicles and Equipment at Maintenance Section, DPWH-INFDEO, Laoag City</t>
  </si>
  <si>
    <t>NP2020-03-176B Procurement of Various Printed Forms and Other Supplies GABMMC</t>
  </si>
  <si>
    <t>NP2020-06-314 Procuerment of Various Office Supplies OVM</t>
  </si>
  <si>
    <t>20GAA0073: Procurement of Turbo Diesel for use of various Service Vehicles and Equipment at Maintenance Section, DPWH-INFDEO, Laoag City</t>
  </si>
  <si>
    <t>PB BAC1-20-013 SUPPLY AND DELIVERY OF CHEMICALS AND REAGENTS FOR 2020</t>
  </si>
  <si>
    <t>TFB 19-304C Office Equipment and  Furniture</t>
  </si>
  <si>
    <t>PROCUREMENT OF CONSTRUCTION MATERIALS FOR ADDITIONAL GUARDHOUSE FOR SECURITY (OCM – BARMM)</t>
  </si>
  <si>
    <t>20GAA0072: Procurement of Gasoline Extra for use of various Service Vehicles at Maintenance Section, DPWH-INFDEO, Laoag City</t>
  </si>
  <si>
    <t>PB PUR20-03-0341  SUPPLY AND DELIVERY OF VARIOUS COMPUTERS AND PRINTERS</t>
  </si>
  <si>
    <t>COMPLETION OF MULTI-PURPOSE HALL (CES), CAMBALO, CAJIDIOCAN, ROMBLON</t>
  </si>
  <si>
    <t>LIVELIHOOD SEEDING PROGRAM NSB (Bakery, Carpentry, Coffee Processing, Coffee shop, Eatery starter kit, handicrafts, Processed foods, and Store starter kits</t>
  </si>
  <si>
    <t>NP2020-02-117B Procurement of Various Janitorial Supplies and Materials ONT, MHD, YDWB</t>
  </si>
  <si>
    <t>PB BAC1-20-003 MANNING OF EXISTING CCTV MONITORING STATION – ONE (1) YEAR CONTRACT</t>
  </si>
  <si>
    <t>Procurement (alcohol, liquid bleach, liquid hand soap,etc.)</t>
  </si>
  <si>
    <t>Request for Quotation - Supply and Delivery of One (1) Set Laptop Computer (SP)</t>
  </si>
  <si>
    <t>NP2020-02-120 Procurement of Various Office Supplies CBO</t>
  </si>
  <si>
    <t>PROCUREMENT OF CONSTRUCTION MATERIALS FOR OLD BARRACKS</t>
  </si>
  <si>
    <t>Request for Quotation - Supply and Delivery of One (1) Unit Desktop Computer (CPDO)</t>
  </si>
  <si>
    <t>Reques for Quotation - Supply and Delivery of Medical Supplies (CDRRMO)</t>
  </si>
  <si>
    <t>PROCUREMENT OF ADDITIONAL MATERIALS FOR SKCC</t>
  </si>
  <si>
    <t>NP2020-06-317 Procurement of Air Conditioning Unit CBO</t>
  </si>
  <si>
    <t>Request for Quotation - Supply and Delivery of Hardware Materials for Construction of Multi-purpose Hall at Baliang (20% EDF)</t>
  </si>
  <si>
    <t>PB PUE20-03-0274 SUPPLY, DELIVERY, INSTALLATION AND TESTING OF ELECTROCARDIOGRAPH MACHINE, DIGITAL, MULTI- CHANNEL FOR ADULT AND  PEDIATRIC PATIENTS</t>
  </si>
  <si>
    <t>PROCUREMENT OF ADDITIONAL CONST MATERIALS FOR THE OCM CONCRETE AND MASONRY WORKS PHASE 1</t>
  </si>
  <si>
    <t>Request for Quotation - Supply and Delivery of Medical Equipment (CDRRMO)</t>
  </si>
  <si>
    <t>Request for Quotation - Supply and Delivery of Ten (10) Cylinders Oxygen Tank (CDRRMO)</t>
  </si>
  <si>
    <t>SUPPLY &amp; DELIVERY OF MATERIALS FOR THE CONSTUCTION FLOOD CONTROL, P-1 AT BRGY. BAGONG SIKAT</t>
  </si>
  <si>
    <t>PROCUREMENT OF ADDITIONAL CONST MATERIALS FOR THE OCM FENCE REPAIR &amp; REHAB STEEL &amp; PAINTING WORKS PHASE 1</t>
  </si>
  <si>
    <t>Request for Quotation - Supply and Delivery of Hardware Materials for Construction of Sabang Marine Sanctuary Boardwalk (CAgSO)</t>
  </si>
  <si>
    <t>20HA0131 - REPAIR/MAINTENANCE OF MACAAS FLOOD CONTROL</t>
  </si>
  <si>
    <t>REHABILITATION OF MULTI-PURPOSE HALL, LICO, CAJIDIOCAN, ROMBLON</t>
  </si>
  <si>
    <t>NP2020-02-123 Procurement of Various Office Supplies CLO</t>
  </si>
  <si>
    <t>PROCUREMENT OF ADDITIONAL PAINTING MATERIALS FOR OFFICE OF THE CHIEF MINISTER</t>
  </si>
  <si>
    <t>Request for Quotation - Printing of Newsletter (19th Issue) (PIO)</t>
  </si>
  <si>
    <t>SUPPLY &amp; DELIVERY OF MATERIALS FOR THE CONSTRUCTION OF MPDP AT BRGY. ANTIPULUAN</t>
  </si>
  <si>
    <t>Purchase of various grocery items for the use of Brgy. Pinagbuhatan, Pasig City</t>
  </si>
  <si>
    <t>REHABILITATION OF MULTI-PURPOSE HALL LUMBANG ESTE, CAJIDIOCAN, ROMBLON</t>
  </si>
  <si>
    <t>CONSTRUCTION FOR COCONUT PROCESSING CENTER FOR LIVELIHOOD PHASE II, LUMBANG ESTE, CAJIDIOCAN, ROMBLON</t>
  </si>
  <si>
    <t>Request for Quotation - Supply and Delivery of Thirty (30) Units Bed Camp COT (CDRRMO)</t>
  </si>
  <si>
    <t>Installation of Steel Grills and Gate, Grade 1 Building, along Capulong St.</t>
  </si>
  <si>
    <t>SUPPLY &amp; DELIVERY OF MATERIALS FOR THE CONSTRUCTION CALATEGAS WTP’S STAFF HOUSE</t>
  </si>
  <si>
    <t>SUPPLY &amp; DELIVERY OF MATERIALS FOR THE CONSTRUCTION FENCE AT BRGY. IPILAN</t>
  </si>
  <si>
    <t>PB PUR20-03-0308 SUPPLY, DELIVERY, COMMISSIONING AND INSTALLATION OF TELEPHONE VOICE AND DATA, VOICE BACKBONE AND NEW MAIN DISTRIBUTION FRAME (MDF) AT P-01 OBAS-ER AND DRUG TESTING FACILITY</t>
  </si>
  <si>
    <t>REHABILITATION OF MULTI-PURPOSE HALL LUMBANG WESTE, CAJIDIOCAN, ROMBLON</t>
  </si>
  <si>
    <t>SUPPLY &amp; DELIVERY OF MATERIALS FOR THE CONSTUCTION PRINCESS URDUJA WTP’S STAFF HOUSE</t>
  </si>
  <si>
    <t>PB PM20-010 COMPREHENSIVE PREVENTIVE MAINTENANCE SUPPORT SERVICES OF THE PGH SIEMENS HI-PATH 4000 IP-PBX EQUIPMENT</t>
  </si>
  <si>
    <t>Procurement of 12000 pieces Packaging Materials with Prints for Mango Project</t>
  </si>
  <si>
    <t>SUPPLY &amp; DELIVERY OF MATERIALS FOR THE CONSTRUCTION OF WAREHOUSE AT MUNICIPAL AGRICULTURE OFFICE</t>
  </si>
  <si>
    <t>Purchase of sacks of rice for the use of Brgy. Pinagbuhatan, Pasig City</t>
  </si>
  <si>
    <t>SUPPLY &amp; DELIVERY OF MATERIALS FOR THE CONSTRUCTION OF OF 2 STOREY MULTI PURPOSE BUILDING AT ESTRELLA VILLAGE</t>
  </si>
  <si>
    <t>Request for Quotation - Supply and Delivery of Spare Parts for Repair and Maint. of Traffic Patrol Truck (CMO/Traffic Office)</t>
  </si>
  <si>
    <t>Request for Quotation - Supply and Delivery of (500) Bags Fertilizer (CAgSO)</t>
  </si>
  <si>
    <t>REHABILITATION OF CAMBICANG MULTI-PURPOSE HALL, MARIGONDON, CAJIDIOCAN, ROMBLON</t>
  </si>
  <si>
    <t>Request for Quotation - Supply and Delivery of Spare Parts for Repair and Maint. of Fire Truck (BFP Danao City)</t>
  </si>
  <si>
    <t>supply and delivery of materials for the construction of culverts and box culverts</t>
  </si>
  <si>
    <t>Request for Quotation - Supply and Delivery of Electrical Supplies for Bulk Water (CEO)</t>
  </si>
  <si>
    <t>Supply of Gasoline and Diesel through Fleet Card Technology System for Two (2) Years under ITB NO. PB20-01-015CORa-06</t>
  </si>
  <si>
    <t>Supply and delivery of materials for the construction of Sulop Municipal library</t>
  </si>
  <si>
    <t>IMPROVEMENT OF MULTI-PURPOSE HALL PHASE II- MUNICIPAL BUILDING, POBLACION, CAJIDIOCAN, ROMBLON</t>
  </si>
  <si>
    <t>Request for Quotation - Supply and Delivery of Plumbing Materials for Repair and Maint. of Main Line Leaks (City Admin./Waterworks Division)</t>
  </si>
  <si>
    <t>Request for Quotation - Supply and Delivery of Six (6) pcs Tires (CDRRMO)</t>
  </si>
  <si>
    <t>Supply and delivery of culvert for septic vault</t>
  </si>
  <si>
    <t>Request for Quotation - Supply and Delivery of Foldable Tent (CDRRMO)</t>
  </si>
  <si>
    <t>Request for Quotation - Supply and Delivery of Eight (8) pcs Tires (CDRRMO)</t>
  </si>
  <si>
    <t>REHABILITATION OF WATER SUPPLY SYSTEM LUMBANG WESTE, CAJIDIOCAN, ROMBLON</t>
  </si>
  <si>
    <t>Supply and delivery of sybmersible pump and motor with complete accessories</t>
  </si>
  <si>
    <t>Supply and delivery of materials for the concreting of Km 80. Kiblagon road</t>
  </si>
  <si>
    <t>Supply and delivery of materials for the partial landscaping of municipal ground</t>
  </si>
  <si>
    <t>CONSTRUCTION OF FMR-ILAYA MARIGONDON, CAJIDIOCAN, ROMBLON</t>
  </si>
  <si>
    <t>Procurement of various Supplies and Materials for Mango Processing Project</t>
  </si>
  <si>
    <t>CONSTRUCTION OF FMR- SITIO SAED, TAGUILOS, CAJIDIOCAN, ROMBLON</t>
  </si>
  <si>
    <t>Request for Quotation - Supply and Delivery of Fifty (50) pcs Particulate Filter Mask (CDRRMO)</t>
  </si>
  <si>
    <t>Request for Quotation - Supply and Delivery of Gate Valve to Control and Regulate the Water at Cambanay Pump Station (City Admin./Waterworks Division)</t>
  </si>
  <si>
    <t>Supply and delivery of materials for the construction of drainage canal at Purok 9 Poblacion</t>
  </si>
  <si>
    <t>Procurement of 18mm Screw Cap</t>
  </si>
  <si>
    <t>Request for Quotation - Supply and Delivery of Hardware Materials for Danao City Bulk Water (Phase 2) (20% EDF Current Appropriation)</t>
  </si>
  <si>
    <t>Request for Quotation - Supply and Delivery of Personal Protective Equipment (CHO)</t>
  </si>
  <si>
    <t>Request for Quotation - Supply and Delivery of Plumbing Materials for Repair the Secondary Mainline Pipe at MPH, Looc,   Danao City (City Admin./Waterworks Division)</t>
  </si>
  <si>
    <t>Procurement of Services of DENR-EMB Recognized/Registered PCB Laboratory to Perform Oil Sampling and Analysis of Polychlorinated Biphenyls (PCBs) of Six (6) units of Unserviceable Transformers</t>
  </si>
  <si>
    <t>Labor and Materials for the repair and installation of Built In Cabinet</t>
  </si>
  <si>
    <t>Procurement of various Laboratory Supplies and Materials for Mango Project</t>
  </si>
  <si>
    <t>Request for Quotation - Supply and Delivery of One (1) Unit Transformer (City Admin./Waterworks Division)</t>
  </si>
  <si>
    <t>Supply and Delivery of Office Equipment for MDRRM  Office</t>
  </si>
  <si>
    <t>Supply &amp; Delivery of Materials ABC:884,533.12</t>
  </si>
  <si>
    <t>20GPF0011: Supply and delivery of Thermoplastic Paints and mixtures for repair and maintenance of Reflective Thermoplastic Pavement Markings along National Road by the Maintenance Section within DPWH-</t>
  </si>
  <si>
    <t>One (1) Lot – Maintenance Support for Enterprise Storage Systems and Storage Area Network Devices, as per BSP Terms of Reference and Service Level Agreement (Multi-Year Contract)</t>
  </si>
  <si>
    <t>PURCHASE/DELIVERY OF PLASTIC DENSIFIER/MELTER MACHINE FOR RESIDUAL WASTES</t>
  </si>
  <si>
    <t>Request for Quotation - Supply and Delivery of Fertilizer for City Agriculture Services Office</t>
  </si>
  <si>
    <t>Materials for Rehabilitation of St. Lights, Rehabilitation of Manhole Cover, CCTV Camera, Public Address System, CCTV Camera</t>
  </si>
  <si>
    <t>Procurement of HEPA Filter</t>
  </si>
  <si>
    <t>FURNISIHNG/DELIVERY OF ASSORTED MEDICINES AND SUPPLIES</t>
  </si>
  <si>
    <t>Request for Quotation - Supply and Delivery of Plumbing Materials (City Admin./Waterworks Division)</t>
  </si>
  <si>
    <t>Materials for Clean and Green</t>
  </si>
  <si>
    <t>Supply and Delivery of SHS School Supplies</t>
  </si>
  <si>
    <t>PURCHASE OF OFFICE SUPPLIES LGU, CAJIDIOCAN, ROMBLON</t>
  </si>
  <si>
    <t>to purchase various repair/maintenance, office,health and other supplies</t>
  </si>
  <si>
    <t>Procurement of Janitorial Services</t>
  </si>
  <si>
    <t>furnishing/delivery of fuel, oil and lubricants</t>
  </si>
  <si>
    <t>ITB - PURCHASE OF CONSTRUCTION MATERIALS FOR THE EXPANSION OF STREETLIGHT PROJECT</t>
  </si>
  <si>
    <t>SUPPLY AND DELIVERY OF TIRES</t>
  </si>
  <si>
    <t>20GFG0017 - Procurement of Automatic Traffic Classifier</t>
  </si>
  <si>
    <t>Procurement of Security Services (For the Energy regulatory Commission's Main Office, Visayas Area Operations Service and Mindanao Area Operations Service)</t>
  </si>
  <si>
    <t>INSTALLATION OF SOLAR STREETLIGHT @ BRGY. MINANTOK EAST, AMADEO, CAVITE</t>
  </si>
  <si>
    <t>20GFG0016 - Procurement of Tree Seedlings for use in the Tree Cutting and Replacement along Tigaon-Goa-San Jose-Lagonoy-Guijalo via San Vicente Road, Goa-San Jose Section Goa/San Jose, Camarines Sur</t>
  </si>
  <si>
    <t>PROCUREMENT OF TWO (2) UNITS BRAND NEW DESKTOP COMPUTER</t>
  </si>
  <si>
    <t>SUPPLY AND DELIVERY OF MEDICAL EQUIPMENT</t>
  </si>
  <si>
    <t>Supply and Delivery of Disaster Equipment</t>
  </si>
  <si>
    <t>ITB- PURCHASE OF CONSTRUCTION MATERIALS FOR THE IMPROVEMENT OF SENIOR CITIZEN HALL PROJECT</t>
  </si>
  <si>
    <t>BONDPAPER, POWER SUPPLY, MONIOTR, PRINTER, INK</t>
  </si>
  <si>
    <t>SUPPLY AND DELIVERY OF COMPUTER EQUIPMENT</t>
  </si>
  <si>
    <t>SUPPLY AND DELIVERY OF MOTORCYCLE VEHICLES</t>
  </si>
  <si>
    <t>ITB - PURCHASE OF CONSTRUCTION MATERIALS FOR THE CEILING AND PAINTING OF MULTIPURPOSE HALL PROJECT</t>
  </si>
  <si>
    <t>Concreting of line canal</t>
  </si>
  <si>
    <t>Supply and Delivery of MATH School Supplies</t>
  </si>
  <si>
    <t>Reconstruction of Frontline Offices (Registrar, School Health Facility and Principal's Office) for health precautionary measures</t>
  </si>
  <si>
    <t>CONST. OF SK BUILDING</t>
  </si>
  <si>
    <t>Supply and Delivery of AP School Supplies</t>
  </si>
  <si>
    <t>Supply and Delivery of Admin Office Supplies</t>
  </si>
  <si>
    <t>SUPPLY AND DELIVERY OF OFFICE EQUIPMENT</t>
  </si>
  <si>
    <t>Supply and Delivery of IT Equipment for RHU</t>
  </si>
  <si>
    <t>Supply and Delivery of MAPEH School Supplies</t>
  </si>
  <si>
    <t>Supply and Delivery of English School Supplies</t>
  </si>
  <si>
    <t>Supply and Delivery of Spare Part for Hino Dump Truck (RFQ20-25)</t>
  </si>
  <si>
    <t>Supply and Delivery of TLE School Supplies</t>
  </si>
  <si>
    <t>Supply and Delivery of Spare Part for UD Nissan Dump Truck (RFQ20-24)</t>
  </si>
  <si>
    <t>Rehabilitation of FMR- (Cudiamat Section), Bagbagotot</t>
  </si>
  <si>
    <t>Procurement, Delivery and Installation of 6 unit Split Type Air Conditioner</t>
  </si>
  <si>
    <t>Construction of Slope Protection - (Balot Section) Pila</t>
  </si>
  <si>
    <t>Supply and Delivery of Filipino School Supplies</t>
  </si>
  <si>
    <t>Purchase of 1 Unit Emergency/Rescue Respond Vehicle, LGU-Culaba, Biliran</t>
  </si>
  <si>
    <t>ITB - PURCHASE OF CONSTRUCTION MATERIALS FOR THE TILES OF FLOORING OF MULTIPURPOSE HALL PROJECT</t>
  </si>
  <si>
    <t>Procurement of 1 Lot Const. Materials (for AFP Training Cum Production)</t>
  </si>
  <si>
    <t>Supply and Delivery of Materials for Installation of Municipal Streetlighting System</t>
  </si>
  <si>
    <t>Construction of Payocpoc Sur Slope Protection, Bauang</t>
  </si>
  <si>
    <t>Supply and Delivery of SCIENCE School Supplies</t>
  </si>
  <si>
    <t>Construction of Ambaracao Farmers Multi-Purpose Center, Naguilian</t>
  </si>
  <si>
    <t>Construction of Farmers' Multi-Purpose Hall-Naguimba</t>
  </si>
  <si>
    <t>Brgy Hall water system</t>
  </si>
  <si>
    <t>Supply and Delivery of Air Conditioner  for Sangguniang Bayan Office and Session Hall</t>
  </si>
  <si>
    <t>Improvement of Barangay I Farm to Market Road, San Fernando City</t>
  </si>
  <si>
    <t>Supply and Installation of Toyota Hilux Accessories</t>
  </si>
  <si>
    <t>ROAD REHABILITATION</t>
  </si>
  <si>
    <t>Retrofitting/Strengthening of Bridge 1 and Bridge 4, Caba and Naguilian</t>
  </si>
  <si>
    <t>Completion/Expansion of Vinegar Processing Center, Maragayap, Bacnotan</t>
  </si>
  <si>
    <t>Rehabilitation and Improvement of Pagbennecan - Tallaoen Road, Luna</t>
  </si>
  <si>
    <t>Supply &amp; Delivery of Materials for Rehab/Repair of Cantilan Pioneer Jaycess School Building at Cantilan</t>
  </si>
  <si>
    <t>Continuation of Farmers' Multi-Purpose Hall-Lintic</t>
  </si>
  <si>
    <t>Supply and Delivery of Spare Part for Mitsubishi Pajero Jeep  (RFQ20-27)</t>
  </si>
  <si>
    <t>Supply and Delivery of Spare Part for Hino Dump Truck (RFQ20-26)</t>
  </si>
  <si>
    <t>Supply &amp; Delivery of Materials for Completion of Multi-purpose Tribal Hall</t>
  </si>
  <si>
    <t>Supply &amp; Delivery of Materials for Completion of Magosilom Day Care Center</t>
  </si>
  <si>
    <t>Supply &amp; Delivery of Materials for Construction of Sitio Ayoke Multi-purpose Hall</t>
  </si>
  <si>
    <t>Supply &amp; Delivery of Materials for Rehabilitation of Malinawa Tourism Cool Spring Phase 1</t>
  </si>
  <si>
    <t>RFQ-006-2020 - PROCUREMENT OF MATERIALS FOR USE IN THE REPAINTING OF EDGELINE, CENTERLINE, BROKEN LINES, AND PEDESTRIAN LANES IN CONNECTION WITH THE REPAIR/MAINTENANCE OF NATIONAL ROADS AND BRIDGES (D</t>
  </si>
  <si>
    <t>One (1) Lot – BSP Web Security and Content Filtering System Enhancement Project, consisting of Supply, Delivery, Installation, Configuration, Testing and Commissioning of Blue Coat Secure Gateway (PRO</t>
  </si>
  <si>
    <t>SUPPLY &amp; DELIVERY OF CONSTRUCTION MATERIALS @  DUGSANGON CIP,SURIGAO DEL NORTE.</t>
  </si>
  <si>
    <t>Procurement of Various Laboratory Gases for Alcohol Analysis</t>
  </si>
  <si>
    <t>Supply &amp; Delivery of Materials for Rehabilitation of Foot Road and Bridge at Purok 6 Barangay Calagdaan</t>
  </si>
  <si>
    <t>Procurement of medical Supplies</t>
  </si>
  <si>
    <t>SH-006-2020 - PROCUREMENT OF SPARE PARTS FOR USE OF MITSUBISHI STRADA PICK-UP WITH PLATE NUMBER 062008 ASSIGNED IN THE OFFICE OF THE ASSISTANT DISTRICT ENGINEER.</t>
  </si>
  <si>
    <t>Supply &amp; Delivery of Materials for Concreting of Drainage Canal of Tigabong Elementary School</t>
  </si>
  <si>
    <t>MES Office Equipment Supplies and Consumables</t>
  </si>
  <si>
    <t>RFQ-007-2020 - PROCUREMENT OF OFFICE SUPPLIES TO BE USED FOR DPWH, CAPIZ 1ST DEO COMPOUND.</t>
  </si>
  <si>
    <t>Teachers' cubicle</t>
  </si>
  <si>
    <t>PB-20-294, Procurement of Food and Accommodation for the conduct of various training activities of PDRRMO - Cotabato Province</t>
  </si>
  <si>
    <t>Supply &amp; Delivery of Materials for Construction of Drainage Canal at Ortega Street, Cantilan</t>
  </si>
  <si>
    <t>Subscription to Acrobat Pro DC and Adobe Creative Cloud for Teams for 12 Months</t>
  </si>
  <si>
    <t>Supply and Delivery of Materials for Repair of Agriculture Office</t>
  </si>
  <si>
    <t>PB-20-322, Supply &amp; Delivery of Basketball Boards with Ring to be given to various barangay recipients in the Province of Cotabato</t>
  </si>
  <si>
    <t>PB-20-321, Supply &amp; Delivery of Hardware Supplies to be given to various clients in municipalities of Matalam, Carmen, Kabacan &amp; Mlang, Province of Cotabato</t>
  </si>
  <si>
    <t>Purchase of chlorine and powdered soap for Tabunok Public Market Disinfectant</t>
  </si>
  <si>
    <t>PB-20-324, Supply &amp; Delivery of Hardware Supplies for distribution to different barangay/recipients of the Province of Cotabato</t>
  </si>
  <si>
    <t>Lot 14- School Equipment (for modules)</t>
  </si>
  <si>
    <t>PB-20-320, Supply &amp; Delivery of Vibrating Screen for Asphalt Plant, Pag-asa, Mlang, Cotabato</t>
  </si>
  <si>
    <t>PURCHASE OF DIESEL FUEL FOR THE MUNICIPAL TREASURER'S OFFICE - 3RD QUARTER CY 2020</t>
  </si>
  <si>
    <t>PB-20-296, Supply &amp; Delivery of Forestry Seedlings for flood control and watershed protection on Ancestral Domain areas</t>
  </si>
  <si>
    <t>PB-20-319, Supply &amp; Delivery of Electrical Supplies for Asphalt Plant, Pag-asa, Mlang, Cotabato</t>
  </si>
  <si>
    <t>SUPPLY AND DELIVERY OF CONSTRUCTION MATERIALS FOR THE CONSTRUCTION VARIOUS FACILITY IN LA ESPERANZA ELEMENTARY SCHOOL, TULUNAN, COTABATO</t>
  </si>
  <si>
    <t>Lot 12-School Supplies</t>
  </si>
  <si>
    <t>PB-20-295, Supply &amp; Delivery of Emergency Go Bag to be given to high-risk learners in the province</t>
  </si>
  <si>
    <t>Lot 13-School Equipment</t>
  </si>
  <si>
    <t>PB-20-323, Supply &amp; Delivery of Hardware Supplies to be given to various clients in Aleosan and Pikit, Province of Cotabato</t>
  </si>
  <si>
    <t>Lot 6-Medicines</t>
  </si>
  <si>
    <t>PB-20-318, Supply &amp; Delivery of Automotive Parts and Supplies for Motorpool shop of Provincial Engineer’s Office, Amas, Kidapawan City</t>
  </si>
  <si>
    <t>PB-20-317, Supply &amp; Delivery of Drone for Provincial Engineer’s Office, Amas, Kidapawan City</t>
  </si>
  <si>
    <t>Supply and Delivery of Business Permits and Stickers</t>
  </si>
  <si>
    <t>ACQUISITION OF FORENSIC TOOLS AND EQUIPMENT FOR CYBERCRIME DIVISION (CCD)</t>
  </si>
  <si>
    <t>Laboratory supplies and equiipment</t>
  </si>
  <si>
    <t>Road Concreting @ Sitio Sta. Ana Barangay Fatima Davao City</t>
  </si>
  <si>
    <t>2265-20 Purchase of Transformer, etc.</t>
  </si>
  <si>
    <t>Rehabilitation of Roads and Bridges</t>
  </si>
  <si>
    <t>2484-20 Procurement of Other Suppplies and Materials</t>
  </si>
  <si>
    <t>20-06-446 Consolidated Meals and Snacks of the Different Offices of LGU Alamada 3rd Quarter 2020</t>
  </si>
  <si>
    <t>PROCUREMENT OF VARIOUS ICT</t>
  </si>
  <si>
    <t>20M0027 - Purchase of Tire for use of Ford Fiera HI-2489, Mits. Canter H3-6253, Payloader L2-1234  and L2-1228 assigned in the Maintenance Section</t>
  </si>
  <si>
    <t>INVITATION TO BID FOR Drugs and Medicines 01-2020-06</t>
  </si>
  <si>
    <t>REQUESTFOR QUOTATION FOR THE PROCUREMENT OF CAMERA (DSLR) AND DESKTOP BARCODE PRINTER WITH BARTENDER</t>
  </si>
  <si>
    <t>Procurement of Office Supplies and Consumables for FSTP Activities and ASI Admin cost for 1st Quarter</t>
  </si>
  <si>
    <t xml:space="preserve">20DF0188 - 20DF0190 (By Contract) - Local Program – Local Infrastructure Program, Buildings and Other Structure,  Multipurpose/Facilities, Construction of Multipurpose Building Tierra El Pueblo Phase </t>
  </si>
  <si>
    <t>Provision of Catering Services for the conduct of ATI-RTC MIMAROPA FY 2020 Midyear and Planning Workshop</t>
  </si>
  <si>
    <t>Supply and Delivery of Diesel Fuel and Oil Lubricants for Farm to MArket Road - Purok 9</t>
  </si>
  <si>
    <t>LAPTOP</t>
  </si>
  <si>
    <t>20M0026 - Purchase of Materials for use in the Repainting of Centerline and Guardrails</t>
  </si>
  <si>
    <t>FOOD COMMODITIES</t>
  </si>
  <si>
    <t>SUPPLY AND DELIVERY OF SUPPLIES FOR INTERNET CONNECTIVITY UPGRADING</t>
  </si>
  <si>
    <t>2583-20 Purchase of Assorted Palay Seeds</t>
  </si>
  <si>
    <t>Supplies and Equipment used in School Operations</t>
  </si>
  <si>
    <t>2020-05: ITB - Proposed Drainage at Zone 2, Canuto Village, Concepcion Pequeña, Naga City</t>
  </si>
  <si>
    <t>Repair and Maintenance of various Government Office</t>
  </si>
  <si>
    <t>JHS Construction Materials and Supplies</t>
  </si>
  <si>
    <t>Provision of Corn Mill with Storage Facility</t>
  </si>
  <si>
    <t>Supply and Delivery of IT Equipment</t>
  </si>
  <si>
    <t>SUPPLY &amp; DELIVERY OF FOOD STUFF (RICE)</t>
  </si>
  <si>
    <t>Repair and Maintenance of Various Government Vehicle</t>
  </si>
  <si>
    <t>CONSTRUCTION OF CANAL LINING WITH PATHWAY AT P.BURGOS ST KANLURAN KROSARIO, CAVITE (PHASE 2)</t>
  </si>
  <si>
    <t>PURCHASE OF DRUGS AND MEDICINE AND VITAMINS</t>
  </si>
  <si>
    <t>RFQ 20-06-032SHS</t>
  </si>
  <si>
    <t>SUPPLY,DELIVERY,INSTALLATION, TESTING AND COMMISSIONING OF 75KVA DIESEL GENERATOR SET</t>
  </si>
  <si>
    <t>Purchase of School Sports materials</t>
  </si>
  <si>
    <t>PURCHASE OF SCHOOL GARDEN TOOLS AND OTHER MATERIALS</t>
  </si>
  <si>
    <t>Procurement of Office Supplies for the 3rd Quarter of CY 2020 (Outside DBM-PS)</t>
  </si>
  <si>
    <t>PURCHASING OF OFFICE SUPPLIES FOR THE USED OF BARANGAY SAGAD</t>
  </si>
  <si>
    <t>Purchase of School Forms and ID's</t>
  </si>
  <si>
    <t>Repair and maintenance of Government vehicle with Plate No. SAA3733 under IBULAO SW (ELF)</t>
  </si>
  <si>
    <t>Procurement of Catering Services for the conduct of the 3rd Level Training for the 2020 CPH Enumeration</t>
  </si>
  <si>
    <t>2020-06: ITB - Proposed Drainage at Zone 2, Happy Homes to Outfall, Concepcion Pequeña, Naga City</t>
  </si>
  <si>
    <t>PURCHASE OF MEDICAL AND DENTAL SUPPLIES</t>
  </si>
  <si>
    <t>Supply and Delivery of Supplies for Covid Response in School</t>
  </si>
  <si>
    <t>PR# 20-0844- FOR NEW LEGISLATIVE BLDG</t>
  </si>
  <si>
    <t>PR# 20-1433- FOR HYUNDAI EXCAVATOR</t>
  </si>
  <si>
    <t>Supply and delivery of Integrated Library System (lifetime) (University Library 2020)</t>
  </si>
  <si>
    <t>REHABILITATION OF SIXTEEN (16) UNITS CCTV CAMERAS AND REPLACEMENT OF VARIOUS MATERIALS AT BRGY. STA. ELENA, SAN PABLO CITY</t>
  </si>
  <si>
    <t>Procurement of Anti-flu vaccines for the Oplan Bantay-Kalusugan : Immunization Program 2020</t>
  </si>
  <si>
    <t>Purchase of Hand Tractor</t>
  </si>
  <si>
    <t>PURCHASE OF SCHOOL SUPPLIES</t>
  </si>
  <si>
    <t>REHABILITATION OF BASKETBALL COURT</t>
  </si>
  <si>
    <t>Procurement for the Supply &amp; Delivery of  Portalet</t>
  </si>
  <si>
    <t>Supply and Delivery of Fuel and Oil for Agriculture office use</t>
  </si>
  <si>
    <t>CONSTRUCTION OF SOLID WASTE MANAGEMENT FACILITIES @ BRGY. TABUC, MOBO, MASBATE</t>
  </si>
  <si>
    <t>SUPPLY &amp; DELIVERY OF MATERIALS TO BE USED IN THE REPAINTING OF VARIOUS SPPF OFFICES (1 LOT)</t>
  </si>
  <si>
    <t>Procurement of Office Supplies, Consumables and Equipment</t>
  </si>
  <si>
    <t>Procurement for the Supply &amp; Delivery of  Metal Barrier's</t>
  </si>
  <si>
    <t>IMPROVEMENT OF MULTI-PURPOSE HALL</t>
  </si>
  <si>
    <t>SUPPLY AND INSTALLATION OF AIRCON 2.5HP INVERTER SPLIT TYPE</t>
  </si>
  <si>
    <t>Reproduction of Detailed Lesson Plan (Photocopy)</t>
  </si>
  <si>
    <t>Procurement for the Supply &amp; Delivery of Office Supplies</t>
  </si>
  <si>
    <t>Procurement for the Supply &amp; Delivery of  Hospital &amp; Medical Equipment</t>
  </si>
  <si>
    <t>Office Equipment, Supplies and Consumables</t>
  </si>
  <si>
    <t>Procurement of Office Equipment for Barangay use</t>
  </si>
  <si>
    <t>Procurement for the Supply &amp; Delivery of Digital Medical Thermometer</t>
  </si>
  <si>
    <t>Repair of COMLAB 1</t>
  </si>
  <si>
    <t>PR000094_FTAD_Shopping-B_Laptops</t>
  </si>
  <si>
    <t>Procurement of Barangay ID Printer colored for Barangay Magallanes use</t>
  </si>
  <si>
    <t>Procurement of Waste Segregation Program para sa Barangay Magallanes</t>
  </si>
  <si>
    <t>Reproduction of Modules for MILDER Ed</t>
  </si>
  <si>
    <t>Procurement of Janitorial Supplies for Barangay Magallanes use</t>
  </si>
  <si>
    <t>Catering Services for the MILDER Ed</t>
  </si>
  <si>
    <t>Repair of OMLAB 2</t>
  </si>
  <si>
    <t>Procurement of Supplies and Materials for Barangay Traffic Enforcers</t>
  </si>
  <si>
    <t>Subscription to a Video Conferencing and Online Meeting Software</t>
  </si>
  <si>
    <t>Procurement of Motor vehicle for Barangay Peace and Order use</t>
  </si>
  <si>
    <t>Purchase of PLumbing supplies</t>
  </si>
  <si>
    <t>Procurement of Medical equipment for Barangay Clinic use</t>
  </si>
  <si>
    <t>Procurement of Cooling fans for Barangay Magallanes use</t>
  </si>
  <si>
    <t>C20202941 Camera for use of PROVINCIAL VETERINARIAN'S OFFICE</t>
  </si>
  <si>
    <t>C20202949 IT Equipment for  official use of Provincial ELCAC Office</t>
  </si>
  <si>
    <t>Concreting of 100 Linear Meter Soriano Street</t>
  </si>
  <si>
    <t>C20202953 Drugs &amp; Medicines for  THREE DDN HOSPITALS KAPALONG, IGACOS AND CARMEN ZONE</t>
  </si>
  <si>
    <t>PG-2020-0021: Request for Quotation - Supply and Delivery of Asphalt Materials used in the Repair and Maintenance of National Roads within the 1st District of La Union</t>
  </si>
  <si>
    <t>PROVISION OF SCHOOL WATCHMAN FOR THE MONTH MARCH TO DECEMBER 2020</t>
  </si>
  <si>
    <t>PROCUREMENT AND DELIVERY OF STORAGE DEVICES</t>
  </si>
  <si>
    <t>C20202950 Agricultural Supplies  for PRODUCTION OF TISSUE CULTURE SEEDLINGS</t>
  </si>
  <si>
    <t>Labor Contract for Installation of 7 Units Single Arm Round Steel Electrical Posts at Barangay Caniangan Dumping Site</t>
  </si>
  <si>
    <t>Fencing of Barangay Mantic Relocation Site</t>
  </si>
  <si>
    <t>C20202966 FUEL, OIL &amp; LUBRICANTS FOR THE PERIOD OF APRIL TO JUNE 2020</t>
  </si>
  <si>
    <t>PURCHASE REQUEST 2020-05-0084</t>
  </si>
  <si>
    <t>PROCUREMENT AND DELIVERY OF STORAGE RACK AND LOCKER</t>
  </si>
  <si>
    <t>PG-2020-0023: Request for Quotation - Furnishing and Delivery of Road Safety Devices for the Repair/Rehabilitation and Maintenance of Road Safety Devices for the 1st District of La Union</t>
  </si>
  <si>
    <t>PURCHASE REQUEST 2020-05-0083</t>
  </si>
  <si>
    <t>C20202955  MEDICAL EQUIPMENT FOR THE USE OF DDNH-CARMEN ZONE</t>
  </si>
  <si>
    <t>PG-2020-0022: Request for Quotation - Supply and Delivery of Hiking and Safety Shoes for use in the Maintenance Section within the First District of La Union</t>
  </si>
  <si>
    <t>Concreting of 100 Linear Meter Brgy. Buenavista Farm to Market Road</t>
  </si>
  <si>
    <t>CONSTRUCTION OF BAYAOAS SRIP – IRRIGATION FACILITIES (PHASE I)</t>
  </si>
  <si>
    <t>PROCUREMENT OF MEDICAL SUPPLIES FOR USE OF THE RHU BEMONC FACILITY</t>
  </si>
  <si>
    <t>Additional Materials for CCTV installation at PNP and Mayor's Office, Pozorrubio, Pangasinan</t>
  </si>
  <si>
    <t>C20202960 Hardware Materials for Installation of 20 Units Isolation Room, Sports Academy Dormitory, DNSTC, Mankilam, Tagum City, DDN</t>
  </si>
  <si>
    <t>2 Sets Desktop</t>
  </si>
  <si>
    <t>Repair/Maintenance of Municipal Vehicle (Backhoe) @ Samal, Bataan</t>
  </si>
  <si>
    <t>Concreting of 700 Linear Meter Barangay Sigayan Farm to Market Road</t>
  </si>
  <si>
    <t>Additional Equipment for the Installation of CCTV at the Executive Building and Public Plaza, Pozorrubio, Pangasinan</t>
  </si>
  <si>
    <t>Purchase of Baby Cereals and Other Complementary Food for Supplemental Feeding</t>
  </si>
  <si>
    <t>Printing of Barangay Vehicle Sticker Signage @ Samal, Bataan</t>
  </si>
  <si>
    <t>IMPROVEMENT OF HEALTH CENTER AT BARANGAY BALUAN PROPER</t>
  </si>
  <si>
    <t>ALCOHOL/DISINFECTANT SOL/GLOVES</t>
  </si>
  <si>
    <t>Concreting of Paayas-Bobon-Bayog Linking Road</t>
  </si>
  <si>
    <t>office supplies  &amp; consumables</t>
  </si>
  <si>
    <t>18 UNITS SOLAR STREET LIGHTS 30 WATTS WITH FREE INSTALLATION</t>
  </si>
  <si>
    <t>CONSTRUCTION OF BRGY. HALL/MULTI-PURPOSE BUILDING (PHASE I)</t>
  </si>
  <si>
    <t>Communication Equipment for DMPD-2020-0052</t>
  </si>
  <si>
    <t>Procurement of Various Medicine, SAN JOSE CITY, NUEVA ECIJA</t>
  </si>
  <si>
    <t>7 Units Utility Cart</t>
  </si>
  <si>
    <t>Supply &amp; Delivery of Audio Equipment for Division Office Use under DepEd Cebu Province</t>
  </si>
  <si>
    <t>20DL0214 - ORGANIZATIONAL OUTCOME 2 : PROTECT LIVES AND PROPERTIES AGAINST MAJOR FLOODS, FLOOD MANAGEMENT PROGRAM, CONSTRUCTION/ MAINTENANCE OF FLOOD MITIGATION STRUCTURES AND DRAINAGE SYSTEMS 6. CONS</t>
  </si>
  <si>
    <t>20DL0213 - LOCAL PROGRAM, CONST. / REPAIR / REHAB. / IMPROVEMENT OF VARIOUS INFRASTRUCTURE INCLUDING LOCAL PROJECTS, NATIONAL ROADS AND BRIDGES, NATIONAL ROADS, CONSTRUCTION OF SLOPE PROTECTION ALONG</t>
  </si>
  <si>
    <t>20DL0211 - LOCAL PROGRAM, CONST. / REPAIR / REHAB. / IMPROVEMENT OF VARIOUS INFRASTRUCTURE INCLUDING LOCAL PROJECTS, NATIONAL ROADS AND BRIDGES, NATIONAL ROADS, CONSTRUCTION OF SLOPE PROTECTION ALONG</t>
  </si>
  <si>
    <t>Procurement of Security Services for Division Use</t>
  </si>
  <si>
    <t>20DL0209 - 	LOCAL PROGRAM, CONST. / REPAIR / REHAB. / IMPROVEMENT OF VARIOUS INFRASTRUCTURE INCLUDING LOCAL PROJECTS, NATIONAL ROADS AND BRIDGES, NATIONAL ROADS, CONSTRUCTION OF SLOPE PROTECTION ALONG</t>
  </si>
  <si>
    <t>20DL0210 - LOCAL PROGRAM, CONST. / REPAIR / REHAB. / IMPROVEMENT OF VARIOUS INFRASTRUCTURE INCLUDING LOCAL PROJECTS, NATIONAL ROADS AND BRIDGES, NATIONAL ROADS, CONSTRUCTION OF SLOPE PROTECTION ALONG</t>
  </si>
  <si>
    <t>Procurement of Janitorial Services for Division Use</t>
  </si>
  <si>
    <t>20DL0212 - LOCAL PROGRAM, CONST. / REPAIR / REHAB. / IMPROVEMENT OF VARIOUS INFRASTRUCTURE INCLUDING LOCAL PROJECTS, NATIONAL ROADS AND BRIDGES, NATIONAL ROADS, CONSTRUCTION OF SLOPE PROTECTION ALONG</t>
  </si>
  <si>
    <t>CONSTRUCTION/IMPROVEMENT OF MULTI-PURPOSE BUILDING (PHASE I)</t>
  </si>
  <si>
    <t>80 box Metfromin (Fornidd XR 500mg tabs, 100's)</t>
  </si>
  <si>
    <t>SUPPLY AND DELIVERY OF MEDICAL AND LABORATORY SUPPLIES FOR USE OF KKH</t>
  </si>
  <si>
    <t>PROCUREMENT OF VARIOUS OFFICE SUPPLIES</t>
  </si>
  <si>
    <t>SUPPLY AND DELIVERY OF FOUR (4) PIECES BRONZE SPIDER GUIDE</t>
  </si>
  <si>
    <t>PURCHASE OF LAPTOP COMPUTER</t>
  </si>
  <si>
    <t>20DL0218 - C. CONVERGENCE AND SPECIAL SUPPORT PROGRAM 3. CONSTRUCTION / IMPROVEMENT OF ACCESS ROADS LEADING TO TRADES, INDUSTRIES, AND ECONOMIC ZONES 5. ACCESS ROADS IN SUPPORT OF HANDICRAFTS, FOODS,</t>
  </si>
  <si>
    <t>336 vial Iopromide (Ultravist 370 50ml)</t>
  </si>
  <si>
    <t>Public Bidding for the Supply and Delivery of Construction Materials for the Repair/Rehab of Board Member’s Office at 3rd Floor Annex Building, Capiz Provincial Capitol, under ITB No. 2020-011R</t>
  </si>
  <si>
    <t>20DL0215 - ORGANIZATIONAL OUTCOME 2 : PROTECT LIVES AND PROPERTIES AGAINST MAJOR FLOODS, FLOOD MANAGEMENT PROGRAM, CONSTRUCTION/ MAINTENANCE OF FLOOD MITIGATION STRUCTURES AND DRAINAGE SYSTEMS 13. REH</t>
  </si>
  <si>
    <t>20DL0219 - LOCAL PROGRAM, LOCAL INFRASTRUCTURE PROGRAM, BUILDINGS AND OTHER STRUCTURES, MULTIPURPOSE / FACILITIES 35. CONSTRUCTION OF NEW MUNICIPAL HALL, GUMACA QUEZON</t>
  </si>
  <si>
    <t>20DL0208 - LOCAL PROGRAM, CONST. / REPAIR / REHAB. / IMPROVEMENT OF VARIOUS INFRASTRUCTURE INCLUDING LOCAL PROJECTS, NATIONAL ROADS AND BRIDGES, NATIONAL ROADS, CONSTRUCTION OF SLOPE PROTECTION ALONG</t>
  </si>
  <si>
    <t>PG-2020-0024: Request for Quotation - Supply and Delivery of Various Oil and Lubricants for Use in the Operation of Various Service Vehicles and Equipments of DPWH-LUED I Office</t>
  </si>
  <si>
    <t>Supply of DELFIA Inducer (12 x 500 mL)_PR 11148</t>
  </si>
  <si>
    <t>PROVISION OF CONSUMABLES FOR HEALTH AND SANITATION SUPPLIES</t>
  </si>
  <si>
    <t>Catering Services under Natural Resources Conservation and Development Program - Protected Areas Development Management Activities</t>
  </si>
  <si>
    <t>CONSTRUCTION OF VARIOUS INFRA PROJECTS</t>
  </si>
  <si>
    <t>20DL0217 - C. CONVERGENCE AND SPECIAL SUPPORT PROGRAM 1. CONSTRUCTION / IMPROVEMENT OF ACCESS ROADS LEADING TO DECLARED TOURISM DESTINATIONS 4. ACCESS ROAD LEADING TO LAMESANG BATO, CALAUAG, QUEZON</t>
  </si>
  <si>
    <t>PROVISION OF FOUR- WAY RADIO AS REQUIRED BY DRRMO</t>
  </si>
  <si>
    <t>PROCUREMENT MEALS AND SNACKS ACCOMMODATION WITH FORMULATION AND VALIDATION</t>
  </si>
  <si>
    <t>SUPPLIES</t>
  </si>
  <si>
    <t>Materials for the maintenance and operation of Patrol Boat</t>
  </si>
  <si>
    <t>SUPPLY AND DELIVERY OF MATERIALS FOR THE CONSTRUCTION OF MATERIAL RECOVERY FACILITY</t>
  </si>
  <si>
    <t>20DL0216 - CONVERGENCE AND SPECIAL SUPPORT PROGRAM, CONSTRUCTION / IMPROVEMENT OF VARIOUS INFRASTRUCTURE IN SUPPORT OF NATIONAL SECURITY 1. ACCESS ROAD LEADING TO 85TH INFANTRY BATTALION BRGY. VILLA P</t>
  </si>
  <si>
    <t>Supply &amp; delivery of materials for the Repainting of Brgy. Structures at Brgy. Hidalgo, Tanauan City, Batangas</t>
  </si>
  <si>
    <t>PROVISION OF  SEMI- EXPENDABLE OFFICE SUPPLIES AND ICT SUPPLIES</t>
  </si>
  <si>
    <t>SUPPLY AND DELIVERY OF IT EQUIPMENTS AND SUPPLIES</t>
  </si>
  <si>
    <t>Finishing Wokrs of Brgy. Dilan Multi-Purpose Hall</t>
  </si>
  <si>
    <t>Finishing Wokrs of Brgy. Imbalbalatong Multi-Purpose Hall</t>
  </si>
  <si>
    <t>PROPOSED WATER TANK FOR MUNICIPAL DISASTER RISK REDUCTION MANAGEMENT OFFICE (MDRRMO)FOR WATER SUPPLY OF  TEMPORARY FACILITY TO ACCOMMODATE COVID-19 PATIENT</t>
  </si>
  <si>
    <t>FEASIBILITY STUDY OF BAYAMBANG PUMP IRRIGATION PROJECT</t>
  </si>
  <si>
    <t>Repair &amp; Maintenance of Brgy. Facilities (Renovation of Brgy. Library)</t>
  </si>
  <si>
    <t>Supply &amp; Delivery of orbit type ceiling fan</t>
  </si>
  <si>
    <t>5020399000-282-2020</t>
  </si>
  <si>
    <t>CONSTRUCTION OF DUMOLOC SRIP – FIELD OFFICE</t>
  </si>
  <si>
    <t>5021304001-075-2020</t>
  </si>
  <si>
    <t>RFQ No. 2020-06-0092 (PCOO OGMPA HARD DRIVES)</t>
  </si>
  <si>
    <t>Medical and Dental Supplies of the Health Section</t>
  </si>
  <si>
    <t>PROCUREMENT OF OFFICE SUPPLIES AND CONSUMMABLE  BRIDGE - BARMM (RECORDS DIVISION)</t>
  </si>
  <si>
    <t>Installation of Street Lights</t>
  </si>
  <si>
    <t>Heavy Equipment Parts &amp; Acc, 54EBde</t>
  </si>
  <si>
    <t>Request for Quotation for the supply and printing of Diploma with security features and internet validation for URS</t>
  </si>
  <si>
    <t>PROCUREMENT OF OFFICE SUPPLIES AND CONSUMMABLE  BRIDGE - BARMM (FINANCE DIVISION)</t>
  </si>
  <si>
    <t>PROCUREMENT OF OFFICE SUPPLIES AND CONSUMMABLE  BRIDGE - BARMM (HR DIVISION)</t>
  </si>
  <si>
    <t>Procurement of Materials for  Repair and Maintenance of Infrastructure Assets - MEO</t>
  </si>
  <si>
    <t>Procurement of Other Supplies &amp; Materials, SSBN</t>
  </si>
  <si>
    <t>Procurement of Training Supplies &amp; Materials, 32IB</t>
  </si>
  <si>
    <t>Request for Quotation for the Supply and Delivery of Diploma Holder for URS</t>
  </si>
  <si>
    <t>Procurement of Fuel, Oil and Lubricants for the Road Rehabilitation at Batong Buhay, So. Pandan, Claudio Salgado, Malisbong, San Nicolas, San Vicente, Eco Park, Cemetery Road(sto.niño) - MEO</t>
  </si>
  <si>
    <t>PROCUREMENT OF OFFICE SUPPLIES AND CONSUMMABLE  BRIDGE - BARMM (ENGINEERING DIVISION)</t>
  </si>
  <si>
    <t>Procurement of Fuel, Oil &amp; Lubricants for Road Rehabilitation (Guiron Creek,Brgy. Lagnas,Victoria, Tagumpay Ilvita)</t>
  </si>
  <si>
    <t>Proc of Welfare Goods</t>
  </si>
  <si>
    <t>Purchase of one unit tablet (FICS)</t>
  </si>
  <si>
    <t>Procurement of Materials for the Construction of Stage - MEO</t>
  </si>
  <si>
    <t>Supply and Delivery of various medicines for URS</t>
  </si>
  <si>
    <t>PROCUREMENT OF OFFICE SUPPLIES AND CONSUMMABLE  BRIDGE - BARMM (ICTO DIVISION)</t>
  </si>
  <si>
    <t>SUPPLY AND DELIVERY OF TWO (2) UNITS 1/2” NPT TUBING CHLORINATOR SERIES 100</t>
  </si>
  <si>
    <t>Procurement of LDRRM IT Equipment (1 lot CCTV Supply and Installation)</t>
  </si>
  <si>
    <t>Procurement of Aircondition unit for MENRO Office</t>
  </si>
  <si>
    <t>Purchase of emergency lights and fire exit signage (CDMO)</t>
  </si>
  <si>
    <t>Supply and Delivery of Laptop for URS</t>
  </si>
  <si>
    <t>Installation of 4 units of Pigeon Holes and 6 units of Hand Washing with 4 Faucets</t>
  </si>
  <si>
    <t>HIRING OF RESEARCH BOAT AND MOTOR LAUNCH FOR OFFICIAL USE OF TUBBATAHA REEFS NATURAL PARK – MANAGEMENT OFFICE</t>
  </si>
  <si>
    <t>Construction / Rehabilitation of Water Supply / Septage and Sewerage / Rain Water Collector Systems - Rain Water Collectors in Public Facilities - CAR</t>
  </si>
  <si>
    <t>SUPPLY &amp; DELIVERY OF 800 LITERS GASOLINE AND 2000 LITERS DIESEL FOR SPPF VEHICLE USE FOR THE MONTH OF JUNE 2020  (1 LOT)</t>
  </si>
  <si>
    <t>Construction/ Improvement of Access Roads leading to Declared Tourism Destinations, Caglayan-Paddig-Cupis Road leading to Nabuangan River, Banselan Cave, Cupis Loomweaving, Conner, Apayao</t>
  </si>
  <si>
    <t>Repair of Division Office (SDS and Supervisor Office)</t>
  </si>
  <si>
    <t>Improvement of Slaughter Building at Barangay Sto Nino 1st</t>
  </si>
  <si>
    <t>Rehabilitation/ Reconstruction of Roads with Slips, Slope Collapse, and Landslide – Quezon Hill Rd #1 – K0308+153 – K0308+175, K0308+428 – K0308+447</t>
  </si>
  <si>
    <t>REHABILITATION OF GYMNASIUM PHASE IV</t>
  </si>
  <si>
    <t>Contract Package 7: Preventive Maintenance: a. Abanao Ext. – Chainage 008 – Chainage 111 (SO5052LZ) b. Major Mane Rd. – Chainage 057 – Chainage 112 (SO0489LZ) c. Quezon Hill Drive – Chainage 000 – Cha</t>
  </si>
  <si>
    <t>Concreting of Road at Zone 5 Barangay Tondod</t>
  </si>
  <si>
    <t>CONSTRUCTION OF MULTI-PURPOSE SOLAR DRIER</t>
  </si>
  <si>
    <t>Reproduction of Detailed lesson Plan (Secondary)</t>
  </si>
  <si>
    <t>REHABILITATION OF FENCE (BARANGAY SITE)</t>
  </si>
  <si>
    <t>Asset Preservation - Rehabilitation/Reconstruction of National Roads with Slips, Slope Collapse, and Landslide - Secondary Roads, Abbut-Conner Road, K0558+(-282) - K0558+ (-247)</t>
  </si>
  <si>
    <t>PLASTIC ENVELOPE</t>
  </si>
  <si>
    <t>2020-058, CONSTRUCTION OF MULTI-PURPOSE HALL AT PUROK 6, BARANGAY NALIN, MIDSAYAP, COTABATO</t>
  </si>
  <si>
    <t>2020-057, COMPLETION OF COVERED COURT AT BARANGAY SAN ISIDRO, MIDSAYAP, COTABATO</t>
  </si>
  <si>
    <t>PURCHASE OF 1SET OF  DESKTOP COMPUTER</t>
  </si>
  <si>
    <t>PURCHASE OF FOODS FOR FEEDING</t>
  </si>
  <si>
    <t>RFQ NO. J2020-06-0401 Gasoline Consumption for FO8</t>
  </si>
  <si>
    <t>INVITATION TO BID NO. UPRIIS-DI-CW-2020-04</t>
  </si>
  <si>
    <t>PURCHASE OF CCTV CAMERA</t>
  </si>
  <si>
    <t>PURCHASE AND INSTALLATION OF ONE (1) SET OF PUBLIC ADDRESS</t>
  </si>
  <si>
    <t>Supply and Delivery of Industrial Air Purifier for precautionary measure against bacteria and viruses</t>
  </si>
  <si>
    <t>Purchase of Office Equipments for Budget Office</t>
  </si>
  <si>
    <t>Request for Quotation of AMPE - Physical Examination</t>
  </si>
  <si>
    <t>Supply and Delivery of Office Supplies</t>
  </si>
  <si>
    <t>HO-TFM20-055 &amp; HO-TFM20-059 - Supply and Delivery of Pressure Transducer &amp; Urinal Cartridge</t>
  </si>
  <si>
    <t>Construction/ Improvement of Access Roads leading to Declared Tourism Destinations, Manag-Liwan Road leading to Purag River, Purag Cave and Bellang Cave, Conner, Apayao</t>
  </si>
  <si>
    <t>HO-CRT20-005 - Supply and Delivery of Large Format Printer, 44 inch / AO+size</t>
  </si>
  <si>
    <t>PROCUREMENT OF OFFICE SUPPLIES FROM 2ND TO 4TH QUARTER</t>
  </si>
  <si>
    <t>SUPPLY &amp; DELIVERY OF VARIOUS MATERIALS FOR THE REPAIR OF SPPF BOUNDARY PERIMETER FENCE (1LOT)</t>
  </si>
  <si>
    <t>Supply and Delivery of various construction supplies / materials and sprouting tray for Establishment of Fooder Hydroponics Techno-Demo at Magdalena, Laguna</t>
  </si>
  <si>
    <t>Paper Shredder</t>
  </si>
  <si>
    <t>2020-06-0135  For use in the Emergency Purchase due to Covid-19 Pandemic, DPWH-Bukidnon 1st DEO, Malaybalay City. (Not available in PS DBM)</t>
  </si>
  <si>
    <t>Minor Repair of 3 Classrooms In Brgy. San Isidro</t>
  </si>
  <si>
    <t>Provision of Meals and Snacks for the conduct of Seminar on Urban Agriculture with Starter Kits (5 Batches) - August to October 2020</t>
  </si>
  <si>
    <t>HO-MSD20-005 - Supply and Delivery of Heat Treatment Equipment</t>
  </si>
  <si>
    <t>2020-05-0133  Supply and delivery of Road Safety Signages (Warning signs) for installation along the various road section within the jurisdiction of Bukidnon 1st DEO.</t>
  </si>
  <si>
    <t>Supply and Delivery of various Cookery / Kitchen Tools, Materials and Equipment for Meat Processing Hub</t>
  </si>
  <si>
    <t>PURCHASE OF TANOD SUPPLIES</t>
  </si>
  <si>
    <t>HO-TFM20-036 - Supply and Delivery of Acoustic Board</t>
  </si>
  <si>
    <t>2020-05-0132  Supply and delivery of materials for the Provision of Thermoplastic Paint along Kapalong-Talainogd-Valencia road Km. 1538+687 – km. 1610+866 (selected section)</t>
  </si>
  <si>
    <t>Supply and delivery of various materials for repair and maintenance of all BFAR3 Patrol Boats</t>
  </si>
  <si>
    <t>Repair &amp; Maintenance of Brgy.Facilities (Jetmatic Pump)</t>
  </si>
  <si>
    <t>Supply and Delivery of various Agricultural Tools, Materials and Inputs for the conduct of Seminar on Urban Agriculture with Starter Kits (5 Batches)</t>
  </si>
  <si>
    <t>2020-06-0138  Supply and delivery of Drum DR512 and etcs. For use in the operation of 1 unit Heavy Duty Printer, SN:A789147000061 ineo 367 &amp; ineo +221 SN: A6VA141000018 assigned in the Construction se</t>
  </si>
  <si>
    <t>2020-05-0118  Supply and delivery of Toner, drum &amp; blade assy. To be used in the Planning and Design section, DPWH-Bukidnon 1st DEO, Malaybalay City</t>
  </si>
  <si>
    <t>AMP SVP 20-06-0316A: IT Equipment</t>
  </si>
  <si>
    <t>PREVENTIVE MAINTENANCE OF FM 200 FIRE SUPPRESSION SYSTEMS (CHEMETRON)</t>
  </si>
  <si>
    <t>Repair &amp; Maintenance of Brgy.Facilities (Brgy.Hall Electric Wirings)</t>
  </si>
  <si>
    <t>2020-05-0130  Supply and delivery of Toner for use in the operation of Develop ineo 221 printer and Develop ineo 287, Maintenance section, DPWH-Malaybalay City</t>
  </si>
  <si>
    <t>Supply and Delivery of BHAW Kit for hands-on demonstration</t>
  </si>
  <si>
    <t>2020-059, EXPANSION OF RURAL HEALTH UNIT(RHU) BUILDING, POBLACION 3, MIDSAYAP, COTABATO</t>
  </si>
  <si>
    <t>Comfort Rooms Repair and Floor Tiling Of Library Hub (TCES)</t>
  </si>
  <si>
    <t>2020-06-0153  Supply and delivery of materials for installation of steel grill cover of the damaged manholes along Sayre Highway Kisolon-Lumbo road</t>
  </si>
  <si>
    <t>PURCHASE OF SACKS</t>
  </si>
  <si>
    <t>RFQ No. 2020-041: Procurement of supplies and materials for hazardous waste management</t>
  </si>
  <si>
    <t>2020-06-0147  Supply of Gasoline for the operation of various Maintenance Equipment and Vehicles</t>
  </si>
  <si>
    <t>2020-05-0126  Supply and Delivery of tools (concrete cutter etcs.) for use in the cutting of concrete pavement and various maintenance work along various road section within Buk. 1st DEO</t>
  </si>
  <si>
    <t>PREVENTIVE MAINTENANCE OF DOOR ACCES CONTROL AND BIOMETRICS SYSTEM</t>
  </si>
  <si>
    <t>AMP SVP 20-06-0317B: Desktop Computer</t>
  </si>
  <si>
    <t>PURCHASE OF METAL PUSH CART FOR GARBAGE TRUCK</t>
  </si>
  <si>
    <t>Use for MISS</t>
  </si>
  <si>
    <t>2020-06-0141  Supply and delivery of safety gears &amp; devices &amp; survey materials/equipment in the preparation of the Right-of-way Action Plan (RAP) and environmental Impact Assessment (EIA) Surveys to b</t>
  </si>
  <si>
    <t>2020-05-0124  Supply and delivery of Fusing unit, Drum DR512 and etcs for use in the replacement of worn-out parts of Develop Ineo 226 &amp; +221 printers at Administrative section, DPWH Buk. 1st DEO, Mal</t>
  </si>
  <si>
    <t>Establishment of ATIng Manukan</t>
  </si>
  <si>
    <t>Supply and delivery of shirts for Info IEC on MMK School on the Air Program</t>
  </si>
  <si>
    <t>Supply and delivery of various materials for the use of ABMATC station for blue crab and ulang hatchery operation for CY 2020</t>
  </si>
  <si>
    <t>Supply and delivery of communication materials as additional fishing material/equipment in the commercial fishing boat for the Municipality of Casiguran, Aurora</t>
  </si>
  <si>
    <t>Repair of Roof Taliba St. Near Brgy. Hall, Brgy. SRV. Navotas City</t>
  </si>
  <si>
    <t>AMP SVP 20-06-0342: Granulated &amp; Powdered Culture Media &amp; Media Components</t>
  </si>
  <si>
    <t>AMP SVP 20-06-0114E: Reference Standards</t>
  </si>
  <si>
    <t>Purchase of 3pcs T.V Monitor, 1pc. Refrigerator, 2pcs Sprayer</t>
  </si>
  <si>
    <t>Procurement of Supplies for COVID-19 Response</t>
  </si>
  <si>
    <t>20-06-0299A: Benchtop Vortex Mixer and Accessories</t>
  </si>
  <si>
    <t>Supply and Delivery of Weanlings and Heritage Chickens for the Implementaton of the Expanded Livestock and poultry production</t>
  </si>
  <si>
    <t>Establishment/Provision of Three unit Isolation Facilities in the Barangay in Relation to COVID-19 Situation</t>
  </si>
  <si>
    <t>Procurement of Monthly Building and Facility Disinfection and Sanitation</t>
  </si>
  <si>
    <t>ADDITIONAL 8 CCTV CAMERAS</t>
  </si>
  <si>
    <t>Procurement of Load Cards for Use in the Online Recruitment &amp; Selection Process of Teacher Applicants for SY 2020-2021</t>
  </si>
  <si>
    <t>Provision of Enhancement Support to LS (RTC-Based Urban Garden)</t>
  </si>
  <si>
    <t>AMP SVP 20-06-0256B: Laboratory Reagents</t>
  </si>
  <si>
    <t>Audio and Visual Equipments for SPJ Room and other supplies</t>
  </si>
  <si>
    <t>2020-06-0158  Supply and delivery of Toner for use in the operation of HP Laserjet M1212nf MFP Printer SN: CNG9D0HN &amp; HP Color Laserjet Pro MFP M177FW Printer SN: CNGMK6M9W8</t>
  </si>
  <si>
    <t>Supply and Delivery of Cattle for the Implementation of the YFFLTPF project</t>
  </si>
  <si>
    <t>Van Rental for DCP Monitoring</t>
  </si>
  <si>
    <t>11FSSU-0005-20 Other Supplies and Materials</t>
  </si>
  <si>
    <t>2020-06-0152  Supply of Diesel for use in the operation of various Maintenance equipment and vehicles</t>
  </si>
  <si>
    <t>Supply, Delivery and Installation of Firewall License Subscription Sofware for Basic Network Traffic Controller and Security (RMSC)</t>
  </si>
  <si>
    <t>SUPPLY &amp; DELIVERY OF MATERIALS FOR THE REPAIR OF ACCOUNTING/BUDGET OFFICE GLASS PARTITION (1 LOT)</t>
  </si>
  <si>
    <t>Procurement of Cloud Service</t>
  </si>
  <si>
    <t>AMP SVP 20-06-0324B: Software</t>
  </si>
  <si>
    <t>REHABILITATION OF THE SCHOOL FEEDING CENTER</t>
  </si>
  <si>
    <t>GENERAL MERCHANDISE</t>
  </si>
  <si>
    <t>Construction of Box Culvert at Barangay Patar</t>
  </si>
  <si>
    <t>FOOT STOMP</t>
  </si>
  <si>
    <t>WORKSHEET</t>
  </si>
  <si>
    <t>Improvement of Barangay Hall</t>
  </si>
  <si>
    <t>Construction of PCCP at Sitio Barsak Road, Brgy. Gayusan</t>
  </si>
  <si>
    <t>AMP SVP 20-06-0333A: Laboratory Reagent Rack</t>
  </si>
  <si>
    <t>window type aircon 2.5 hp</t>
  </si>
  <si>
    <t>Construction of Public Market Roofing, Poblacion East</t>
  </si>
  <si>
    <t>RFQ No. 2020-025: Procurement of Assorted Groceries for JHMC Board and Committee Meetings in Baguio City for CY 2020 (4th Posting)</t>
  </si>
  <si>
    <t>RFQ No. 20-0552 NP-SV Various Networking Materials and Equipment for NTSSD Technical Staff</t>
  </si>
  <si>
    <t>AMP SVP 20-06-0271A: Supply, Delivery and Installation of LED Flood Lights</t>
  </si>
  <si>
    <t>RIPRAPPING OF DRAINAGE CANAL AT BALUAN PROPER</t>
  </si>
  <si>
    <t>Construction of PCCP at Sitio Arinaar Road, Brgy. Magsaysay</t>
  </si>
  <si>
    <t>AMP SVP 20-06-0297B: High Performance Desktop Computer System</t>
  </si>
  <si>
    <t>Supply, Delivery and Installation of Prefab Container House for OpCen (2020-397)</t>
  </si>
  <si>
    <t>Supply and Delivery of Real Time Kinematics (RTK) Survey Instruments for K2MIPP</t>
  </si>
  <si>
    <t>Procurement of 1 Lot Repair and Maintenance of Office Equipment (Desktop Computer) for the 3rd Quarter of 2020</t>
  </si>
  <si>
    <t>Procurement of 1 Lot Repair and Maintenance of Office Equipment (Printers) for the 3rd Quarter of 2020</t>
  </si>
  <si>
    <t>AMP SVP  20-06-0310B: Publication Journals</t>
  </si>
  <si>
    <t>Procurement of 1 Lot Repair and Maintenance of Office Equipment (Air-condition) for the 3rd Quarter of 2020</t>
  </si>
  <si>
    <t>IMPROVEMENT OF HE BUILDING (REPLACEMENT AND REPAINTING OF CEILING AND ROOFING)</t>
  </si>
  <si>
    <t>REPAIR, IMPROVEMENT OF 2 (TWO) STOCK ROOMS (REPAIR OF STEEL DOORS, STEEL WINDOWS, ELECTRICAL WIRES, CEILING &amp; ROOF).</t>
  </si>
  <si>
    <t>Construction of Evacuation Center P3 at Centro 2, Claveria, Cagayan</t>
  </si>
  <si>
    <t>Supply and Delivery of Furniture for Operation Center (2020-398)</t>
  </si>
  <si>
    <t>Construction of Evacuation Center P2 at Centro 5, Claveria, Cagayan</t>
  </si>
  <si>
    <t>REHABILITATION OF DRAINAGE IN FRONT OF GRADE 5 BLDG. 1 - 15 METERS</t>
  </si>
  <si>
    <t>IMPROVEMENT OF BARANGAY HALL</t>
  </si>
  <si>
    <t>Purchase and delivery of Materials for the Repair and Maintenance of 11 heavy equipment used in the Municipality of Concepcion, Tarlac</t>
  </si>
  <si>
    <t>REPAIR, IMPROVEMENT, OF WATER &amp; SANITATION (WATSAN) IN VIEW OF COVID-19 PANDEMIC.</t>
  </si>
  <si>
    <t>Catering Services under Natural Resources Enforcement and Regulatory Enforcement Activities</t>
  </si>
  <si>
    <t>REPAIR, IMPROVEMENT OF COVERED COURT.</t>
  </si>
  <si>
    <t>REPAIR AND MAINTENANCE OF MUNICIPAL HEAVY EQUIPMENT</t>
  </si>
  <si>
    <t>REPAIR, IMPROVEMENT, OF HAND WASHING IN VIEW OF COVID-19 PANDEMIC FOR SHS BUDGET.</t>
  </si>
  <si>
    <t>Purchase and delivery of 3 units Split type Airconditioner with Installation to be used in the Municipality of Concepcion, Tarlac</t>
  </si>
  <si>
    <t>AMP SVP 20-06-0345: Micropipetors - single-channel, multi-channel and multi-stepper, etc.</t>
  </si>
  <si>
    <t>Construction of Evacuation Center P1 at Centro 3, Claveria, Cagayan</t>
  </si>
  <si>
    <t>Catering Services under Forest Development, Rehabilitation and Maintenance and Protection Activities</t>
  </si>
  <si>
    <t>Load Cards for IPCRF Data Collection</t>
  </si>
  <si>
    <t>Procurement of 1 Lot Repair and Maintenance of Office Equipment (Photocopier) for the 3rd Quarter of 2020</t>
  </si>
  <si>
    <t>AMP SVP 20-06-0267A: Liquid Nitrogen Supply and Cylinder Rental</t>
  </si>
  <si>
    <t>REHABILITATION OF MULTI PURPOSED BUILDING (GYM) THRU REPAIR AND WATER COLLECTION FOR ENVIRONMENT PROTECTION</t>
  </si>
  <si>
    <t>SUPPLY AND DELIVERY OF IT EQUIPMENTS</t>
  </si>
  <si>
    <t>OODS 2020-013(NP) Supply and Delivery of  2 units Tires and Starter Motor</t>
  </si>
  <si>
    <t>Supply and delivery of materials for stage repair and roof replacement</t>
  </si>
  <si>
    <t>SUPPLY &amp; DELIVERY OF VARIOUS MATERIALS FOR THE REPAIR AND CONVERSION OF CSP VISITING AREA TO PREVENTIVE CELL (1LOT)</t>
  </si>
  <si>
    <t>PROCUREMENT OF EXTERNAL HARD DRIVE FOR LIS, LRMDS &amp; ICT ROOM</t>
  </si>
  <si>
    <t>SURGICAL AND LABORATORY SUPPLIES</t>
  </si>
  <si>
    <t>PROCUREMENT OF SPORTS/PE AND MUSICAL INSTRUMENTS</t>
  </si>
  <si>
    <t>REHABILITATION OF SCHOOL COMFORT ROOMS BLDG. 4, 5 &amp; 26</t>
  </si>
  <si>
    <t>AMP SVP 20-06-0348: Carillon Magazine Printing</t>
  </si>
  <si>
    <t>PROCUREMENT OF TOILETRIES</t>
  </si>
  <si>
    <t>Supply and delivery of materials for the repair of Science Laboratory</t>
  </si>
  <si>
    <t>Construction of Breast Feeding Room</t>
  </si>
  <si>
    <t>REPAIR OF MULTI PURPOSE BUILDING (GYM)</t>
  </si>
  <si>
    <t>Provision of Food, Accommodation and function amenities for the conduct of Regional Training of Trainers on Rice Crop Manager (RCM) Rice Advisory Services (RAS) - September 15 - 18, 2020</t>
  </si>
  <si>
    <t>Supply and Delivery of various Agricultural Tools, Materials and Inputs for the conduct of Seminar on HVCDP with extension support (2 batches) - July 28-29, 2020 and August 25-26, 2020</t>
  </si>
  <si>
    <t>8TB Desktop External Drive</t>
  </si>
  <si>
    <t>Network POE Switch</t>
  </si>
  <si>
    <t>PROCUREMENT OF OFFICE SUPPLIES (2nd Qtr)</t>
  </si>
  <si>
    <t>VoIP Phones</t>
  </si>
  <si>
    <t>Competency-Based Assessment Center</t>
  </si>
  <si>
    <t>Supply and Delivery of yellow corn seeds and complete fertilizer for FSTP TOT</t>
  </si>
  <si>
    <t>AMP SVP NO: 20-06-0344 Printing of Book – Readings in Philippine Legal History by Prof. Rosa Maria Bautista (1000 copies)</t>
  </si>
  <si>
    <t>Document scanners</t>
  </si>
  <si>
    <t>Supply and Delivery of various Agricultural Tools, Materials and Inputs for the conduct of Broadcasts on UA "Gulayan sa Pamayanan"</t>
  </si>
  <si>
    <t>Supply, Delivery, Testing and Commissioning of Brand New Land Ambulance (17 units)</t>
  </si>
  <si>
    <t>CONSTRUCTION OF DRAINAGE CANAL AT LOWER BATO</t>
  </si>
  <si>
    <t>Procurement of Medical Supplies</t>
  </si>
  <si>
    <t>Provision of Food, Accommodation and function amenities for the conduct of FSTP TOT - July 2020</t>
  </si>
  <si>
    <t>Supply and Delivery of various Agricultural Tools, Materials and Inputs for Collaborative Extension project with LSA/SPA/ESP (Seminar with extension support to beneficiaries) - 4 batches</t>
  </si>
  <si>
    <t>G-2020-311 Supply and Delivery of Office &amp; Janitorial Supplies, Office of the City Mayor</t>
  </si>
  <si>
    <t>Materials for COVID 19 Protection and Surveillance.</t>
  </si>
  <si>
    <t>"SUPPLY AND DELIVERY OF GIFT VOUCHER OF LIVELIHOOD KIT OF FISHING MATERIALS FOR LIVELIHOOD RECOVERY FOR FIRE INCIDENTS AFFECTED BENEFICIARIES OF BARANGAY BAGONG SILANG, PUERTO PRINCESA CITY"</t>
  </si>
  <si>
    <t>G-2020-332 Supply and Delivery of Meals &amp; Snacks, Gender and Development</t>
  </si>
  <si>
    <t>G-2020-293 Supply and Delivery of Meals &amp; Snacks, Office of the City Mayor</t>
  </si>
  <si>
    <t>procurement of construction materials for handwashing facility of manuel regalado es</t>
  </si>
  <si>
    <t>Invitation to Bid Purchase of IT Equipments</t>
  </si>
  <si>
    <t>20CSA004: LIDAR DATA MAPPING AND PARCELLARY/ UTILITIES, FACILITIES/ TOPOGRAPHIC SURVEY FOR THE PROPOSED CONSTRUCTION OF MISSING LINK/NEW ROADS, SAN MANUEL (PANGASINAN)- ITOGON (BENGUET) ROAD</t>
  </si>
  <si>
    <t>invitation to bid</t>
  </si>
  <si>
    <t>20CSAD03 : Sub-surface Exploration of Bridges, Ilocos Sur 2nd LD For FY 2021 (Bayugao Bridge, Sta. Cruz Bridge, Tulay Bridge, Alambique Bridge, Caterman Bridge, Bajung Bridge, Amosting Bridge, Brgy. L</t>
  </si>
  <si>
    <t>20CSA003: LIDAR DATA MAPPING AND PARCELLARY/ UTILITIES, FACILITIES/ TOPOGRAPHIC SURVEY FOR THE PROPOSED CONSTRUCTION OF MISSING LINK/NEW ROADS, BOLINAO-DASOL COASTAL ROAD, PANGASINAN</t>
  </si>
  <si>
    <t>20CSDM03 – Conduct of Preliminary Detailed Engineering (Parcellary Survey) along San Francisco-San Andres-San Narciso Road, Quezon Province</t>
  </si>
  <si>
    <t>SEMI-EXPENDABLE OFFICE EQUIPMENT &amp; ICT OFFICE SUPPLIES</t>
  </si>
  <si>
    <t>Concreting of Road at Juan Ambat Road, Barangay Parang, Bagac, Bataan</t>
  </si>
  <si>
    <t>Request for Quotation for Air Conditioners 20-05-0319</t>
  </si>
  <si>
    <t>Covered Court Improvement</t>
  </si>
  <si>
    <t>Improvement of Covered Court Phase 2</t>
  </si>
  <si>
    <t>Supply and Delivery of Raw Materials/Ingredients (Foodstuff) for the Livelihood Program-Meat Processing of Salaknib Farmers Association</t>
  </si>
  <si>
    <t>Medical Supplies - (6th) CLIP 3.5 FEN STR 9MM  &amp; HERNIA STAPLER</t>
  </si>
  <si>
    <t>Headset and Laptop Cooling Pad 20 units</t>
  </si>
  <si>
    <t>Trash can 240L etc. PR-2020-9999-1162</t>
  </si>
  <si>
    <t>20EB0125: Cluster 2020OPB-01: Repair/Maintenance of various DPWH Buildings: 1.	DPWH-Office Building (used by PNP Admin/Officer's Quarter/Male Barracks, Airport Road, Brgy. 9, Mamburao, Occ. Mindoro 2.</t>
  </si>
  <si>
    <t>Cleaning of portalet (21 times) PR-2020-1011-0233</t>
  </si>
  <si>
    <t>Supply and Delivery of Security Padlock &amp; Electric Security Meter Seal</t>
  </si>
  <si>
    <t>Procurement of Civil Works for the Installation of Partition Wall &amp; Water Connections for Isolation Facilities , Annex Hospital Building at New Rizal, Mlang, Cotabato.</t>
  </si>
  <si>
    <t>Rice class B etc. PR-2020-7611-0012</t>
  </si>
  <si>
    <t>Production / Printing of Security Paper</t>
  </si>
  <si>
    <t>Rubberized traffic cone PR-2020-1011-0223</t>
  </si>
  <si>
    <t>Vitamins</t>
  </si>
  <si>
    <t>Google suite subscription licenses PR-2020-1011-0047</t>
  </si>
  <si>
    <t>Printing of Unified Numeracy, Pre/Post Test Papers</t>
  </si>
  <si>
    <t>Purchase of Vehicle</t>
  </si>
  <si>
    <t>Labor and Fuel for Mowing of School Grounds</t>
  </si>
  <si>
    <t>Medical Supplies - (5th) I.V. SET ADULT</t>
  </si>
  <si>
    <t>Construction of Multi- Purpose Hall at Barangay Santiago, Naujan, Oriental Mindoro</t>
  </si>
  <si>
    <t>INSTALLATION OF MISTING TENT,HANDWASHING STAND, FOOT BATH -Municipal Ground, Pob. 3</t>
  </si>
  <si>
    <t>Medical Supplies - (6th) THERMAL PAPER MPT-II  (20MM)</t>
  </si>
  <si>
    <t>PROCUREMENT OF 3 LOTS OFFICE SUPPLIES</t>
  </si>
  <si>
    <t>Medical Supplies - (5th) ENTERAL FEEDING CONTAINER, CODAN SPIKE &amp; BOWIE AND DICT TEST CARD</t>
  </si>
  <si>
    <t>PROCUREMENT OF 2 LOTS DRUGS AND MEDICINES</t>
  </si>
  <si>
    <t>Other Supplies Material Expenses (Php 100,000.00)</t>
  </si>
  <si>
    <t>PROCUREMENT OF 1 LOT VEHICLE PARTS AND ACCESSORIES</t>
  </si>
  <si>
    <t>Rehabilitation of various road</t>
  </si>
  <si>
    <t>PRODUCTION OF LISTAHANAN IEC MATERIALS</t>
  </si>
  <si>
    <t>PROCUREMENT OF 1 LOT OFFICE SUPPLIES</t>
  </si>
  <si>
    <t>Medical Supplies - (2nd) CATHETER SUCTION FR-14</t>
  </si>
  <si>
    <t>20GEB0006: Procurement/Supply of Diesel Fuel for use in the operation of DPWH Service Vehicles for Mindoro Occidental DEO Construction Section</t>
  </si>
  <si>
    <t>Medical Supplies - (2nd) CATHETER URETHRAL FOLEY DESIGN RND TIP LATEX STERILE 2 WAY FR 16 &amp; 18, 5-15ML CAP</t>
  </si>
  <si>
    <t>SUPPLY AND DELIVERY OF VARIOUS OFFICE SUPPLIES FOR OFFICIAL USE OF PENRO ORIENTAL MINDORO</t>
  </si>
  <si>
    <t>Rehab/Maintenance of Manlin-Pamintayan &amp; Delmonte Road</t>
  </si>
  <si>
    <t>20II0061, Repair and Maintenance of Road Safety Facilities (Supply, Delivery and Installation of Danger, Hazard, Warning, Regulatory and Informative Signages) along Catarman Laoang Road, Laoang –Catub</t>
  </si>
  <si>
    <t>PURCHASE AND DELIVERY OF IT/OFFICE EQUIPMENT AND ACCESSORRIES FOR PADO-ICT</t>
  </si>
  <si>
    <t>PURCHASE AND DELIVERY OF 3 UNITS OF CANVASS TENT WITH GALVANIZED STEEL FOR PHO</t>
  </si>
  <si>
    <t>PROCUREMENT OF 7 LOTS FUEL, OIL AND LUBRICANTS</t>
  </si>
  <si>
    <t>PROCUREMENT OF 1 LOT GARMENT</t>
  </si>
  <si>
    <t>Medical Supplies - (2nd) EXTENSION TUBING</t>
  </si>
  <si>
    <t>Procurement of PRDP Vehicle Tires Intended for Year 2020</t>
  </si>
  <si>
    <t>Installation of Solar Streetlights</t>
  </si>
  <si>
    <t>IB-01-0186-20 COE-CE SUPPLY AND DELIVERY OF LABORATORY EQUIPMENT</t>
  </si>
  <si>
    <t>40 pcs. Correction marker (tape)</t>
  </si>
  <si>
    <t>IB-01-0206-20 VPAFEA SUPPLY, DELIVERY AND INSTALLATION OF GENERATOR SET</t>
  </si>
  <si>
    <t>Roofing of Existing Bleachers at Longos E/S, Calasiao, Pangasinan</t>
  </si>
  <si>
    <t>PROCUREMENT AND DELIVERY OF NUTRITIONAL FOODS</t>
  </si>
  <si>
    <t>IMPROVEMENT OF LEVEL III WATER SYSTEM</t>
  </si>
  <si>
    <t>Repair of One (1) unit, Three (3) Classroom School Building at Mangatarem II Central E/S</t>
  </si>
  <si>
    <t>Supply and Delivery of Materials for Drainage Declogging/Rehabilitation</t>
  </si>
  <si>
    <t>Bid No. 20-0274 - PROCUREMENT OF CONSTRUCTION MATERIALS - MEO (CONSTRUCTION OF COVERED COURT - BRGY. TUPAS, MARAGUSAN, DAVAO DE ORO)</t>
  </si>
  <si>
    <t>PROCUREMENT AND DELIVERY OF MEDICINE</t>
  </si>
  <si>
    <t>Supply and Delivery of Pre-Mix Asphalt and Emulsified Asphalt</t>
  </si>
  <si>
    <t>PROPOSED IMPROVEMENT/REHABILITATION OF THE CITY PEOPLE’S ASTRODOME (INTERIOR AND INCLUDING FAÇADE) AT BARANGAY TAPUAC, DAGUPAN CITY</t>
  </si>
  <si>
    <t>PROCUREMENT AND DELIVERY OF OFFICE AND IT EQUIPMENT</t>
  </si>
  <si>
    <t>Construction of Covered Court at Gayusan Integrated School</t>
  </si>
  <si>
    <t>P.R 2020-02-048</t>
  </si>
  <si>
    <t>Furnishings for University Hostel</t>
  </si>
  <si>
    <t>Construction of Breakwater for Storm Surge Mitigation</t>
  </si>
  <si>
    <t>Procurement of Supplies and Materials for the Construction of Garage</t>
  </si>
  <si>
    <t>Supply &amp; Delivery of 1 Lot Printers and Ink Cartridges_June 16, 2020</t>
  </si>
  <si>
    <t>Procurement of Supplies and Materials for the Improvement of Multi-Purpose Center</t>
  </si>
  <si>
    <t>janitorial Supplies</t>
  </si>
  <si>
    <t>Supply and Delivery of 160 MT Asphalt Pre-Mix and 8 drums Emulsified Asphalt</t>
  </si>
  <si>
    <t>Supply and Delivery of Brand New Tires</t>
  </si>
  <si>
    <t>Procurement of Fluids</t>
  </si>
  <si>
    <t>Procurement of IT Server</t>
  </si>
  <si>
    <t>PURCHASE OF ONE(1)UNIT MINI-DUMP TRUCK SURPLUS</t>
  </si>
  <si>
    <t>Purchase and Delivery of Medical, Dental and Laboratory Supplies - MHO</t>
  </si>
  <si>
    <t>Tagumpay St</t>
  </si>
  <si>
    <t>Procurement of Supplies and Materials for the Improvement of Water System</t>
  </si>
  <si>
    <t>Supply and Delivery of 577 MT Asphalt Pre-Mix</t>
  </si>
  <si>
    <t>Rehabilitation of Health Center</t>
  </si>
  <si>
    <t>Const of Deped</t>
  </si>
  <si>
    <t>Procurement of Educational Materials and Supplies (Rebidding)</t>
  </si>
  <si>
    <t>Procurement of Niches</t>
  </si>
  <si>
    <t>Construction of Open Canal - Zone 1</t>
  </si>
  <si>
    <t>Rehabilitation of Water System</t>
  </si>
  <si>
    <t>REQUEST FOR QUOTATION</t>
  </si>
  <si>
    <t>CONSTRUCTION OF MULTI PURPOSE HALL</t>
  </si>
  <si>
    <t>For School / Office Supplies and other materials</t>
  </si>
  <si>
    <t>Purchase and Delivery of Automated External Defibrillator (AED) Complete Set - MO-MDRRMO</t>
  </si>
  <si>
    <t>Construction of Pathway - Zone 1</t>
  </si>
  <si>
    <t>VLMC-M-20-0906-010150</t>
  </si>
  <si>
    <t>Ink Printer</t>
  </si>
  <si>
    <t>VLMC-M-20-0906-010148</t>
  </si>
  <si>
    <t>Supply and Delivery of IT Equipment and Parts for Accounting Office</t>
  </si>
  <si>
    <t>VSC-AZSE-20-1006-70079</t>
  </si>
  <si>
    <t>Purchase of Internet Service</t>
  </si>
  <si>
    <t>Office Supplies and Devices</t>
  </si>
  <si>
    <t>(DDH) REQUEST FOR QUOTATION (RFQ)  For the Procurement of Hospital Equipment</t>
  </si>
  <si>
    <t>Bouldering with Railing @ Brgy. Poblacion VII, Cuenca, Batangas</t>
  </si>
  <si>
    <t>purchase of medical supplies</t>
  </si>
  <si>
    <t>PURCHASE OF 75" LED TV, AIRCON, OFFICE TABLES AND CHAIRS</t>
  </si>
  <si>
    <t>Procurement of One (1) unit Motorcycle</t>
  </si>
  <si>
    <t>IMPROVEMENT OF HEALTH CENTER</t>
  </si>
  <si>
    <t>VLMC-M-20-0906-010147</t>
  </si>
  <si>
    <t>OFFICE SUPPLIES AND DEVICES</t>
  </si>
  <si>
    <t>VLMC-M-20-0906-010149</t>
  </si>
  <si>
    <t>Improvement of Water Supply System @ Brgy. Dalipit East, Cuenca, Batangas (Re- post)</t>
  </si>
  <si>
    <t>Purchase of Materials for the Construction of Vermi Beds with Vermi Shed</t>
  </si>
  <si>
    <t>MG-PAS20-010 - SAFETY SHOES &amp; WORK PROTECTION SHOES</t>
  </si>
  <si>
    <t>Bouldering with Railing @ Brgy. Labac, Cuenca, Batangas</t>
  </si>
  <si>
    <t>Concreting of Farm-to Market Road w/ Drainage Canal</t>
  </si>
  <si>
    <t>PROCUREMENT OF ONE (1) LOT SURVEY INSTRUMENT PARTS &amp; ACCESSORIES</t>
  </si>
  <si>
    <t>PROCUREMENT OF VARIOUS ITEMS/MATERIALS FOR BANTAY GUBAT</t>
  </si>
  <si>
    <t>Supply and Delivery of Fogging Machine (Rebidding)</t>
  </si>
  <si>
    <t>Acrylic Sandwich Board</t>
  </si>
  <si>
    <t>VLMC-M-20-0906-010152</t>
  </si>
  <si>
    <t>Supply and Delivery of Automation Equipment</t>
  </si>
  <si>
    <t>PURCHASE OF OFFICE EQUIPMENT FOR NHTS</t>
  </si>
  <si>
    <t>Irex Toner Cyan, Yellow, Magenta &amp; Black</t>
  </si>
  <si>
    <t>PROCUREMENT OF ASSORTED ITEMS FOR MEALS AND SNACKS DURING THE REGULAR MEETING OF THE MUNICIPAL OFFICIALS AND DEPUTY MAYORS</t>
  </si>
  <si>
    <t>PROCUREMENT OF VARIOUS ITEMS/MATERIALS FOR BANTAY DAGAT</t>
  </si>
  <si>
    <t>Purchase of Meals, Snacks and other Supplies to be used during the conduct of Revenue Generation Planning Workshop</t>
  </si>
  <si>
    <t>SPARE PARTS</t>
  </si>
  <si>
    <t>Purchase of Solar Lights</t>
  </si>
  <si>
    <t>SUPPLY &amp; DELIVERY OF COMMUNICATION EQUIPMENT (CELLPHONES)</t>
  </si>
  <si>
    <t>Lay-outing, Printing and Mass Production of Posters</t>
  </si>
  <si>
    <t>Procurement of Office Equipment for the Office of TSP-SPM Maria Lourdes Kharin C. Momo</t>
  </si>
  <si>
    <t>PURCHASE OF TIRES</t>
  </si>
  <si>
    <t>WASTE MANAGEMENT AND RECYCLING</t>
  </si>
  <si>
    <t>GOODS-OE-18-2020</t>
  </si>
  <si>
    <t>Supply and Delivery of uPVC Pipes #100mm dia (4" dia) x 6m (S-10)</t>
  </si>
  <si>
    <t>PURCHASE OF MESH NETS TO BE USED IN THE CONSTRUCTION OF NETHOUSES FOR THE DA-ACEF PROJECT</t>
  </si>
  <si>
    <t>PURCHASE OF FURNITURE AND EQUIPMENT FOR FIELD AND OFFICE STAFF</t>
  </si>
  <si>
    <t>PROCUREMENT OF ONE HUNDRED SIXTY (160) BAGS OF RICE (25 KILOS)</t>
  </si>
  <si>
    <t>Crude/Diesel Oil</t>
  </si>
  <si>
    <t>Installation of Solar Streetlights @ Napapanayan, Brgy. Don Juan, Cuenca, Batangas</t>
  </si>
  <si>
    <t>Purchase of construction materials for the Rehabilitation of Barangay Roads @ Purok 7</t>
  </si>
  <si>
    <t>Procurement of Vehicle Parts</t>
  </si>
  <si>
    <t>PR. 20-02-085 (2020-02-086 3RD QUOTE) PROCUREMENT OF UPVC BEND</t>
  </si>
  <si>
    <t>FURNISHING AND DELIVERY OF LABOR, MATERIALS AND EQUIPMENT FOR THE CONSTRUCTION OF MULTI-PURPOSE COVERED COURT PAHSE 2 AT BARANGAY, BACOLOD, JUBAN, SORSOGON</t>
  </si>
  <si>
    <t>Procurement of Vegetable Seeds for the Vegetable Production and Demonstration Site - HVCDP of MAGRO Laak, Davao De Oro</t>
  </si>
  <si>
    <t>Computer Table &amp; Computer Chair</t>
  </si>
  <si>
    <t>Purchase of Automated External Defibrillator (AED) and Pads - MO-MDRRMO</t>
  </si>
  <si>
    <t>Improvement of Executive Building</t>
  </si>
  <si>
    <t>Procurement of Hardwares</t>
  </si>
  <si>
    <t>PROCUREMENT OF OFFICE SUPPLIES - PCF</t>
  </si>
  <si>
    <t>20JBG0040 with PR No. 20-03-23 - For use in the operation of Heavy Equipments, Service Vehicles and other Equipments assigned n the Maintenance Section for  the repair and maintenance of bridges, this</t>
  </si>
  <si>
    <t>PROCUREMENT OF ENGINE FOR FOTON AMBULANCE</t>
  </si>
  <si>
    <t>Completion of Damilag Public Market (Construction of Waste Water Treatment Facilty)</t>
  </si>
  <si>
    <t>Repair and maintenance of different airconditioning units in various offices in CGC</t>
  </si>
  <si>
    <t>SUPPLY AND DELIVERY OF VARIOUS CI AND MECHANICAL FITTINGS FOR POTABLE WATER</t>
  </si>
  <si>
    <t>Construction of New Road at Sitio Pakiling</t>
  </si>
  <si>
    <t>Installation of Street Lights (20 UNITS)</t>
  </si>
  <si>
    <t>Procurement of Medical Supplies (Fluids)</t>
  </si>
  <si>
    <t>Bid No. 20-0275 - PROCUREMENT OF OFFICE SUPPLIES - MCR (MUNICIPAL CIVIL REGISTRAR</t>
  </si>
  <si>
    <t>RFQ for Security Services</t>
  </si>
  <si>
    <t>VLMC-M-20-0906-010154</t>
  </si>
  <si>
    <t>PURCHASE AND DELIVERY OF RESCUE SUPPLIES FOR PSWDO</t>
  </si>
  <si>
    <t>VLMC-M-20-0906-010153</t>
  </si>
  <si>
    <t>Installation of Street Lighting System</t>
  </si>
  <si>
    <t>Purchase and delivery of janitorial supplies for City Public Market</t>
  </si>
  <si>
    <t>Procurement of Office Supplies for 1st &amp; 2nd Qtr. to be use in Different Offices at LGU Sigma for day to day operation</t>
  </si>
  <si>
    <t>PROCUREMENT OF TECHNICAL SURVEY &amp; DRAFTING SERVICES</t>
  </si>
  <si>
    <t>PROVISION OF WATCHMAN SERVICES FROM MARCH 1-DECEMBER 31, 2020</t>
  </si>
  <si>
    <t>Procurement of One (1) unit Airconditioning for the Vice Governors Office.</t>
  </si>
  <si>
    <t>VLMC-M-20-0906-010155</t>
  </si>
  <si>
    <t>CONSTRUCTION OF ISOLATION FACILITY, POBLACION, KITAOTAO, BUKIDNON</t>
  </si>
  <si>
    <t>Purchase and delivery of tornado box fan to be used be different offices of the CGC</t>
  </si>
  <si>
    <t>Printing of Gold Card ID's of Socialized Medical Health Care Program of the CGC</t>
  </si>
  <si>
    <t>COMPLETION OF SENIOR CITIZEN'S BUILDING - MATERIALS ONLY</t>
  </si>
  <si>
    <t>Bid No. 20-0276 - PROCUREMENT OF OFFICE SUPPLIES - MHO OPERATIONS</t>
  </si>
  <si>
    <t>Repair and maintenance of dump truck assigned to CEPWD</t>
  </si>
  <si>
    <t>PURCHASE OF MANNEQUINS FOR TRAINING - MO-MDRRMO</t>
  </si>
  <si>
    <t>CONSTRUCTION MATERIALS</t>
  </si>
  <si>
    <t>Improvement of Barangay Health Station at Mabasa</t>
  </si>
  <si>
    <t>Chemical Products</t>
  </si>
  <si>
    <t>Purchase and delivery of equipment and consumables to be used by BPLS</t>
  </si>
  <si>
    <t>Procurement of Office Equipment to be use in Different Offices at LGU Sigma for day to day Operation</t>
  </si>
  <si>
    <t>Certificate Holder/Jacket with School Logo</t>
  </si>
  <si>
    <t>CONCRETING OF ROAD/ CONCRETING OF MPP IN BARANGAY. PROPER</t>
  </si>
  <si>
    <t>Supply and Delivery of Agricultural Products for the Support to Purok System (2nd posting)</t>
  </si>
  <si>
    <t>Supply and Delivery of Materials for the Repair and Maintenance of Truck MRF Vehicle (Rescue) Hyundai</t>
  </si>
  <si>
    <t>Procurement of IT Equipment</t>
  </si>
  <si>
    <t>Procurement for Repair and Maintenance of Vehicle</t>
  </si>
  <si>
    <t>Procurement of 1 Unit of Truck to be use for Transportation, Hauling and Towing Combine Harvester</t>
  </si>
  <si>
    <t>Procurement of Various Materials, Fuel and Lubricants for the Implementation of Road Rehabilitation Program.</t>
  </si>
  <si>
    <t>VLMC-M-20-0906-010156</t>
  </si>
  <si>
    <t>Procurement of 1 Unit of Mini-Truck for the Implementation of Solid Waste Management and Environmental Program</t>
  </si>
  <si>
    <t>Procurement of IT Devices for the Programmers used to fastract the Development of the IFSU Enterprise of the IFSU Enterprise Information System</t>
  </si>
  <si>
    <t>TERMITE TREATMENT FOR GAD BUILDING</t>
  </si>
  <si>
    <t>Procurement of Handheld Radio (P 60,000.00)</t>
  </si>
  <si>
    <t>CONSTRUCTION AND IMPROVEMENT OF WATER SYSTEM</t>
  </si>
  <si>
    <t>Printing of various Letterhead for the use of the Office of the City Mayor</t>
  </si>
  <si>
    <t>Purchase of Medical Oxygen Gas for the use of Ospital ng Lungsod ng San Jose Del Monte</t>
  </si>
  <si>
    <t>AIR CONDITIONER</t>
  </si>
  <si>
    <t>Agricultural Supplies Expenses (Organic Fertilizer)</t>
  </si>
  <si>
    <t>Improvement of Barangay Health Station at Belance</t>
  </si>
  <si>
    <t>FLU VACCINE</t>
  </si>
  <si>
    <t>Supply and Delivery of Education Supplies for BALIK ESKWELA PROGRAM (2nd posting)</t>
  </si>
  <si>
    <t>Provision of Vehicle Rentals ABC:472,500.00</t>
  </si>
  <si>
    <t>Supply and Delivery of Reagents used in Rural Health Unit Laboratory</t>
  </si>
  <si>
    <t>Cost of labor and materials for the maintenance for 2 units Generator Set for use at the Laoag City General Hospital</t>
  </si>
  <si>
    <t>INSTALLATION OF 4 UNITS FLOOR MOUNTED INVERTER TYPE AIRCONDITIONING UNITS</t>
  </si>
  <si>
    <t>CONCRETING OF ROAD WITH DRAINAGE</t>
  </si>
  <si>
    <t>4 bags pre-starter feeds, etc.</t>
  </si>
  <si>
    <t>Purchase of Fuel for the Second Quarter</t>
  </si>
  <si>
    <t>Purchase of X-ray Supplies for the use of Ospital ng Lungsod ng San Jose Del Monte</t>
  </si>
  <si>
    <t>Procurement of IT Equipment (SEF)</t>
  </si>
  <si>
    <t>PURCHASE OF HIGH SPEED FULL COLOR INKJET PRINTER</t>
  </si>
  <si>
    <t>VLMC-M-20-0906-010145</t>
  </si>
  <si>
    <t>CONSTRUCTION OF MULTIPURPOSE BUILDING PHASE II, TAWAS, KITAOTAO, BUKIDNON</t>
  </si>
  <si>
    <t>Supply &amp; Delivery of Materials ABC:138,000.00</t>
  </si>
  <si>
    <t>Purchase of NBS Collection Kit for the use of Ospital ng Lungsod ng San Jose Del Monte</t>
  </si>
  <si>
    <t>PROCUREMENT OF 50 DRUMS OF CHLORINE GRANULES (CALCIUM HYPOCHLORITE) FOR WATER TREATMENT OF ACWD PUMPHOUSES</t>
  </si>
  <si>
    <t>Improvement of Barangay Health Station at Bulala</t>
  </si>
  <si>
    <t>Procurement of fuel use for the concreting of Quezon St. from junction of Magsaysay St. to junction of JP Laurel St.</t>
  </si>
  <si>
    <t>Face Shield</t>
  </si>
  <si>
    <t>PR-2020-1388 Medical Supplies-PHO</t>
  </si>
  <si>
    <t>security services</t>
  </si>
  <si>
    <t>Computer Devices and Accessories</t>
  </si>
  <si>
    <t>Supply and Delivery of Meals and Snacks Regular  for the 2nd Semester of 2020</t>
  </si>
  <si>
    <t>Purchase of Various Vitamins for Underweight Children</t>
  </si>
  <si>
    <t>Supply and Delivery of Meals and Snacks Buffet for VIP Guests and Visitors for the 2nd Semester of 2020</t>
  </si>
  <si>
    <t>PURCHASE OF ONE MOTOR VEHICLE (AUV-BRAND NEW) FOR CITY MAYOR’S OFFICE USE</t>
  </si>
  <si>
    <t>GOODS-OE-19-2020</t>
  </si>
  <si>
    <t>Bid No. 20-0277 - PROCUREMENT OF OFFICE SUPPLIES - MAGRO/FYD</t>
  </si>
  <si>
    <t>Supply &amp; Delivery of Tire/Spare Parts ABC:94,080.00</t>
  </si>
  <si>
    <t>Purchase of 1 unit Rescue Vehicle</t>
  </si>
  <si>
    <t>bangus fingerlings</t>
  </si>
  <si>
    <t>20CN0149 - Retrofitting/Strengthening of Permanent Bridge – Aguang Br. (B03015LZ) along Baler – Casiguran Rd (Baler – Dinadiawan)</t>
  </si>
  <si>
    <t>Acquisition of Brand New Garbage Truck</t>
  </si>
  <si>
    <t>animal feeds</t>
  </si>
  <si>
    <t>PURCHASE OF HARDWARE MATERIALS FOR BARANGAY ACCESS ROAD CONSTRUCTION</t>
  </si>
  <si>
    <t>INSTALLATION OF SOLAR STREETLIGHT-NAPNAPAN, PANTUKAN</t>
  </si>
  <si>
    <t>fishing gears</t>
  </si>
  <si>
    <t>PROCUREMENT OF MEDICAL SUPPLIES - MAO</t>
  </si>
  <si>
    <t>Procurement of 1 Unit of Trailer to be use for Transportation of Combine Harvester</t>
  </si>
  <si>
    <t>Improvement of Barangay Health Station at New Gumiad</t>
  </si>
  <si>
    <t>INVITATION TO BID USED FOR THE MAINTENANCE OF MUNICIPAL VEHICLES &amp; HEAVY EQUIPMENT (MINI DUMP TRUCK, WATER TRUCK, CANTER TRUCK, FORWARD GARBAGE TRUCK, FORWARD WATER TRUCK, HOWO TRACK, TRACTOR, LOADER.</t>
  </si>
  <si>
    <t>Purchase of Construction Materials for the Construction Truss and Roof System with Retro Fit for Covert Court of Rizal, San Guillermo, Isabela</t>
  </si>
  <si>
    <t>Medical Supplies - (2nd) BANDAGE GAUZE 2"X10 YARDS ROLLED W/ EDGING, NON STERILE &amp; COLOSTOMY BAG</t>
  </si>
  <si>
    <t>CONSOLIDATION &amp; SUBDIVISION SURVEY SERVICES IN BRGY. POBLACION, SUAL, PANGASINAN</t>
  </si>
  <si>
    <t>Provision of Consultancy Services (July-December 2019) ABC:756,000.00</t>
  </si>
  <si>
    <t>HHSSG-OSM-20-0206-70080</t>
  </si>
  <si>
    <t>PURCHASE AND DELIVERY OF FEMALE GOATS AND BUCKS</t>
  </si>
  <si>
    <t>Acquisition of Brand New Mini Dump Truck</t>
  </si>
  <si>
    <t>CONSTRUCTION OF FACILITY (FUNCTION HALL) in Suhoton Cave, Brgy. Agcagay, Jamindan, Capiz</t>
  </si>
  <si>
    <t>RFQ - Supply of labor and consumable materials for complete reconditioning (Stator rewinding, replacement of bearing, lubrication, alignment, balancing, etc.) of induction motors of the Centralized Ai</t>
  </si>
  <si>
    <t>PURCHASE OF MOTOR VEHICLE FOR CITY ADMINISTRATOR'S OFFICE USE</t>
  </si>
  <si>
    <t>PURCHASE OF BRAND NEW SERVICE VEHICLE FOR USE AS SERVICE VEHICLE OF PUBLIC WORK DIVISION, CEO</t>
  </si>
  <si>
    <t>PURCHASE OF ACADEMIC PERPETUAL EBOOKS COLLECTION</t>
  </si>
  <si>
    <t>Road Opening at Brgy. Odlot, Bogo City, Cebu</t>
  </si>
  <si>
    <t>Supply and Delivery of Various Equipment for different offices in the Municipality of Liliw</t>
  </si>
  <si>
    <t>for the repair and maintenance of Pay Loader Engine Machine Shop</t>
  </si>
  <si>
    <t>Well Rehab-Tinang P/S</t>
  </si>
  <si>
    <t>SPECIALIZED FABRICATED GONGS FOR MANKAYAN FOUNDING ANNIVERSARY</t>
  </si>
  <si>
    <t>REHABILITATION OF RAILINGS PUROK TANGKE</t>
  </si>
  <si>
    <t>Tomato (Diamante/Red Gold), etc.</t>
  </si>
  <si>
    <t>PURCHASE OF 4 WHEELER-TRUCK FOR SOCIO ECONOMIC ENTERPRISE UNIT-MARKETS USE</t>
  </si>
  <si>
    <t>DRUGS AND MEDICINES</t>
  </si>
  <si>
    <t>INVITATION TO BID FOR THE IMPROVEMENT OF PROPER LANGCANGAN WATER SYSTEM, PUROK 6, BARANGAY PROPER LANGCANGAN, OROQUIETA CITY</t>
  </si>
  <si>
    <t>OPENING OF BULISAY AGAY-AY TO TAMANGAN FMR, KAYAPA, BAKUN</t>
  </si>
  <si>
    <t>PROCUREMENT OF 142 VIALS ANTI-RABIES VACCINE</t>
  </si>
  <si>
    <t>Acquisition of Close Circuit Television (CCTV)</t>
  </si>
  <si>
    <t>REHABILITATION OF PUBLIC ALLEY CENTRO 1</t>
  </si>
  <si>
    <t>Supply &amp; Delivery of Various Supplies ABC:50,050.00</t>
  </si>
  <si>
    <t>HHSSG-OSM-20-2304-70051</t>
  </si>
  <si>
    <t>(1) 207 UNITS, CALCULATOR, POCKET; (2) 89 UNITS, PENCIL SHARPENER; (3) 203 UNITS, PUNCHER, HEAVY DUTY</t>
  </si>
  <si>
    <t>Supply of 1 unit Pick up type Vehicle 4x4</t>
  </si>
  <si>
    <t>LBRDC Most Commonly Used Materials (Supply of Construction Materials)-Fire Rated Steel Door</t>
  </si>
  <si>
    <t>Acquisition of Brand New Ambulance</t>
  </si>
  <si>
    <t>Purchase and Deliver of Materials for the Construction of Water System Level II Phase III</t>
  </si>
  <si>
    <t>MUNICIPAL BUILDING FACADE &amp; RELOCATION OF FLAGPOLE at Brgy. Poblacion, Jamindan, Capiz</t>
  </si>
  <si>
    <t>Supply &amp; Delivery of Agricultural  Equipment ABC:100,000.00</t>
  </si>
  <si>
    <t>UPLB-RQ-6-123-20-RES SUPPLY AND DELIVERY OF LABORATORY SUPPLIES &amp; EQUIPMENT FOR BIOTECH</t>
  </si>
  <si>
    <t>Procurement of One (1) Unit CACAO GRINDER in Support to Cacao/Coffee Village Plantation</t>
  </si>
  <si>
    <t>PURCHASE OF DRUGS &amp; MEDICINES</t>
  </si>
  <si>
    <t>Procurement of fuel use for the concreting of Dahlia St. from junction of National Highway</t>
  </si>
  <si>
    <t>CONSTRUCTION OF RIPRAP ALONG FARM TO MARKET ROADS (FMR)</t>
  </si>
  <si>
    <t>OFFICE PRODUCTIVITY</t>
  </si>
  <si>
    <t>Supply &amp; Delivery of Laboratory Supplies ABC:57,000.00</t>
  </si>
  <si>
    <t>VLMC-MS-20-2503-10080</t>
  </si>
  <si>
    <t>PR NO/ 2020-06-141 PURCHASE OF  CCTV EQUIPMENT FOR USE IN THE DPWH SDS-I DEO BUILDING</t>
  </si>
  <si>
    <t>REVERSE TRANSCRIPTION-POLYMERASE CHAIN REACTION TEST (PCR)/ COVID19 TESTING FOR DOT-RIII REGULAR AND JOB ORDER PERSONNEL</t>
  </si>
  <si>
    <t>CONSTRUCTION OF DRAINAGE SYSTEM WITH COVER @ZONE 2 (RALS SELIBIO AREA)</t>
  </si>
  <si>
    <t>PROCUREMENT OF SUPPLIES/MATERIALS FOR FABRICATING OF BILL BOARD FRAME AND OTHER MAINTENANCE</t>
  </si>
  <si>
    <t>Supply &amp; Delivery of IT Supplies ABC:55,500.00</t>
  </si>
  <si>
    <t>Supply and Delivery of Siren</t>
  </si>
  <si>
    <t>CONCRETING OF FMR(PUROK 3) MANLUCUGAN AND CONSTRUCTION OF TEMPORARY CONTAINMENT FACILITY WITH MTLS. RECOVERY FACILITY - BRGY. MANGCAWAYAN ISLAND</t>
  </si>
  <si>
    <t>Supply &amp; Delivery of Cacao Seedlings ABC:510,000.00</t>
  </si>
  <si>
    <t>UPLB-RQ-6-124-20-RES SUPPLY AND DELIVERY OF CHEMICALS &amp; CHEMICAL PRODUCTS FOR BIOTECH</t>
  </si>
  <si>
    <t>Procurement of fuels for use of the Office of the Governor, Odiongan, Romblon</t>
  </si>
  <si>
    <t>Supply of 153 boxes Plain Continous Form 279mm x 241mm, Single Ply (2,000 sheets/box)</t>
  </si>
  <si>
    <t>PURCHASE OF GONDOLA WALL DISPLAY RACK FOR LRC</t>
  </si>
  <si>
    <t>INVITATION TO BID FOR THE IMPROVEMENT OF VICTORIA  WATER SYSTEM, BARANGAY VICTORIA, OROQUIETA CITY</t>
  </si>
  <si>
    <t>MATERIALS FOR THE INSTALLATION OF SOLAR LIGHTS - SABANG AND PURCHASE/DEL. OF MEDICAL AND LABORATORY SUPPLIES</t>
  </si>
  <si>
    <t>PURCHASE OF INFANT WEIGHING SCALE</t>
  </si>
  <si>
    <t>Concreting of Capayawan Alley Road (Phase II), Botolan, Zambales</t>
  </si>
  <si>
    <t>REHABILITATION OF FOOTBRIDGE @ ZONE 2 (RELOCATION SITE) PUNONG 2</t>
  </si>
  <si>
    <t>MG-PLM20-071 - CALIBRATION OF SURVEY INSTRUMENT: SOKKIA GRS2, REAL TIME KINEMATIC (RTK) GLOBAL NAVIGATION SATELLITE SYSTEM (GNSS) RECEIVER</t>
  </si>
  <si>
    <t>PURCHASE OF VARIOUS CONSTRUCTION MATERIALS AND SUPPLY FOR THE PROPOSED CONSTRUCTION OF LINING CANAL APPROXIMATELY 100m</t>
  </si>
  <si>
    <t>REHABILITATION OF MUNICIPAL BUILDING (TILE WORKS AND OTHER RELATED STRUCTURAL WORKS)</t>
  </si>
  <si>
    <t>MG-PLM20-079 - MAINTAINING A WATER LILY FREE AT THE SURGE POOL AREA, WHOLE YEAR ROUND WITHIN THE WHOLE BODY OF WATER</t>
  </si>
  <si>
    <t>PR-2020-0973 Laboratory Supplies-PHO</t>
  </si>
  <si>
    <t>VLMC-MS-20-2705-10153</t>
  </si>
  <si>
    <t>MG-PLM20-074 - WRENCH, TORQUE S-WRENCH TORQUE</t>
  </si>
  <si>
    <t>CONSTRUCTION MATERIALS AND SUPPLIES FOR THE IMPROVEMENT OF KAMANUKOB-NAKAWA WWS, GUINAOANG</t>
  </si>
  <si>
    <t>PROCUREMENT OF JANITORIAL SERVICES FOR BFAR-NMC PANABO</t>
  </si>
  <si>
    <t>LBRDC Most Commonly Used Materials (Supply of Glass and Stainless Materials)</t>
  </si>
  <si>
    <t>Procurement of 4 piece 265-60-18-A/T Tire</t>
  </si>
  <si>
    <t>Supply &amp; Delivery of Laboratory Supplies ABC: 327,000.00</t>
  </si>
  <si>
    <t>PR-2020-1448 Diesel &amp; Gasoline-PGO</t>
  </si>
  <si>
    <t>PR-2020-1395 Construction Materials-PEO</t>
  </si>
  <si>
    <t>Supply and Delivery of Five (5) units STP Cable</t>
  </si>
  <si>
    <t>Supply &amp; Delivery of Planting Materials ABC:542,000.00</t>
  </si>
  <si>
    <t>MG-PLM20-082 - TO SUPPLY HYDRAULIC OIL FOR THE DREDGING MACHINE CONSUMPTION</t>
  </si>
  <si>
    <t>IMPROVEMENT/DEVELOPMENT OF MULTI-PURPOSE PUBLIC AUDITORIUM</t>
  </si>
  <si>
    <t>Replacement/Supply, Delivery, Installation, Testing and Commissioning of One (1) Unit 3.0 TR Ceiling Mounted Inverter Type Air-conditioner of UCPB Clearing Center in Palm Towers Condominium</t>
  </si>
  <si>
    <t>Supply and Delivery of Incubator for the ATI-Learning Sites in Datu Abdullah Sangki and Sultan sa Barongis , Maguindanao for ATI-RTC XII</t>
  </si>
  <si>
    <t>HARDWARE MATERIALS FOR THE CONSTRUCTION OF LOW COST HOUSING PHASE II -GAWAD KALINGA AND PURCHASE OF EXPANDED NBS TESTING KITS</t>
  </si>
  <si>
    <t>MG-PLM20-084 - REPAIR AND RECONDITIONING OF SLURRY PUMP ROTOR OF THE DREDGING MACHINE</t>
  </si>
  <si>
    <t>VLMC-M-20-2905-010134</t>
  </si>
  <si>
    <t>MG-PLM20-096 - VACUUM INDUSTRIAL, 230 VOLTS POWER SUPPLY, WET &amp; SUPPLY</t>
  </si>
  <si>
    <t>MG-PLM20-081 - FABRICATION AND INSTALLATION OF WOODEN CABINET AT NEW DREDGING OFFICE AND OTHER ACTIVITIES</t>
  </si>
  <si>
    <t>ITB NO. 2020-0014N Supply, Delivery, Testing, Integration, Training and  Commissioning of News Production Editing System with  Complete Accessories for the Mindanao Media Hub of the People’s Televisio</t>
  </si>
  <si>
    <t>Supply of Plain Continous Form 140mm x 241mm, Single Ply (4,000 sheets/box)</t>
  </si>
  <si>
    <t>Procurement of Diesel Fuel for TSP-SPM Rainera M. Nazareno service vehicle.</t>
  </si>
  <si>
    <t>VLMC-M-20-2905-010135</t>
  </si>
  <si>
    <t>MGB XI - PROVISION OF ROOFING CANOPY AND REPAIR OF OFFICE AMENITIES</t>
  </si>
  <si>
    <t>PROCUREMENT OF SERVICE VEHICLE FOR MAYOR’S OFFICE</t>
  </si>
  <si>
    <t>Procurement of construction materials for the improvement of tunnel trellis (64mtrs)</t>
  </si>
  <si>
    <t>MG-PLM20-085 - TO SUPPLY DIESEL &amp; 1 OTHER ITEM</t>
  </si>
  <si>
    <t>RFQ - Assorted Information Technology Equipment &amp; Supplies for use in the Consolidation of Information Technology Equipment &amp; Supplies of DPWH-BCDEO</t>
  </si>
  <si>
    <t>INSTALLATION WIRING OF 6 AIRCONDITIONING UNITS</t>
  </si>
  <si>
    <t>Supply of 12 pieces Pressure Gauge 2-1/2" dial</t>
  </si>
  <si>
    <t>Auto Supply for Vehicle Repair Ford Ranger Pick-up, model 2002</t>
  </si>
  <si>
    <t>CONCRETING OF ROAD/ CONCRETING OF MPP</t>
  </si>
  <si>
    <t>Medical Supplies - (2nd) MORTAR AND PESTLE</t>
  </si>
  <si>
    <t>DEMOLITION AND RECONSTRUCTION OF ALTERNATIVE LEARNING SCHOOL (ALS) IN PUGUIS, LA TRINIDAD</t>
  </si>
  <si>
    <t>VLMC-M-20-2905-010136</t>
  </si>
  <si>
    <t>CONST. OF TIAONG MUN. HOSPITAL (HOSPITAL LIFT ELEVATOR/RESTRUCTURING/ROOFING)-MUNICIPAL GROUND, BRGY.POB.3</t>
  </si>
  <si>
    <t>Supply and Delivery of IEC  Printing Materials Trifold (A4-size) of Rice Program for ATI-RTC XII.</t>
  </si>
  <si>
    <t>Covid Protection Supplies</t>
  </si>
  <si>
    <t>PROCUREMENT OF OFFICE SUPPLIES AND EQUIPMENT - OFFICE OF ABC PRESIDENT</t>
  </si>
  <si>
    <t>Cont. Ref. No. 061-20: Improvement and Rehabilitation of Waterworks System at Pacalso Elementary School, AMPMNHS and itogon Training Center (ITC), Bua at Tuding, Itogon, Benguet</t>
  </si>
  <si>
    <t>INSTALLATION OF SOLAR STREETLIGHTS AT BARANGAY POBLACION, ROSARIO, CAVITE</t>
  </si>
  <si>
    <t>Construction of Canal Lining at Marsellia St. Silangan I, Rosario, Cavite</t>
  </si>
  <si>
    <t>SLOPE PROTECTION AND FENCING AT BALILI NATIONAL HIGH SCHOOL, BALILI, MANKAYAN</t>
  </si>
  <si>
    <t>PURCHASE OF AIR CONDITION FOR REGIONAL OFFICE USE</t>
  </si>
  <si>
    <t>Supply of three (3) units Tool Box</t>
  </si>
  <si>
    <t>CO - Breeding Stocks</t>
  </si>
  <si>
    <t>Purchase of Various Office Supplies (DepEd-Elem)</t>
  </si>
  <si>
    <t>Construction/ Concreting of Provincial Roads, Highways and Bridges (Panhutungan Feeder Road Slope Protection)</t>
  </si>
  <si>
    <t>Procurement of One (1) unit Motorcycle for Provincial Governors Office Sport Activities.</t>
  </si>
  <si>
    <t>Supply and delivery of Office Equipment for Mun. Vice Mayor's Office use.</t>
  </si>
  <si>
    <t>Request for Quotation (FPMD-2020-06-0289 Water Dispenser)</t>
  </si>
  <si>
    <t>CONSTRUCTION OF CANAL LINING WITH COVER AND PATHWAYS AT BLOCK 6,BRGY.WAWA II,ROSARIO,CAVITE</t>
  </si>
  <si>
    <t>Improvements/Rehab of Water System</t>
  </si>
  <si>
    <t>INVITATION TO BID FOR THE PROCUREMENT OF MATERIALS FOR REPAIR AND MAINTENANCE OF SCHOOL BUILDINGS</t>
  </si>
  <si>
    <t>Various Hardware, Electrical &amp; Industrial Supplies</t>
  </si>
  <si>
    <t>CONSTRUCTION OF MULTI-PURPOSE GYM AT PALALI ELEMENTARY SCHOOL, POBLACION, SABLAN, BENGUET</t>
  </si>
  <si>
    <t>Procurement of IT Equipment (Laptop)</t>
  </si>
  <si>
    <t>INVITATION TO BID ON DRILLING ONE (1) EXPLORATION/PRODUCTION WELL</t>
  </si>
  <si>
    <t>Bid No. 20-0278 - PROCUREMENT OF OFFICE SUPPLIES - MAGSO</t>
  </si>
  <si>
    <t>Supplies and materials to be used in PANGIL-LIGTAS COVID facility located at Balian Community College in relation to Pandemic COVID-19 throughout the Philippines</t>
  </si>
  <si>
    <t>Procurement of Server, Storage Server, Scanner, and Desktop PC</t>
  </si>
  <si>
    <t>Medical Supplies - (2nd) VELCRO CUFF OBESE SIZE 70X15CM TUBE BLACK</t>
  </si>
  <si>
    <t>LBRDC Most Commonly Used Materials (Supply of Electrical Materials)</t>
  </si>
  <si>
    <t>Purchase of Office Supplies, Covid Items and other Consumables</t>
  </si>
  <si>
    <t>ESTABLISHMENT OF WATER DISTRIBUTION SYSTEM AT SAN PASCUAL, TUBA, BENGUET</t>
  </si>
  <si>
    <t>PROCUREMENT OF OFFICE SUPPLIES - PNP SUAL</t>
  </si>
  <si>
    <t>repair of economic enterprise office/meo</t>
  </si>
  <si>
    <t>Hiring of Consultancy services for the Development of Product Labelling Designs for 24 Start-up Food Processors of Ilocos Sur ( 24 product @ three design concepts )</t>
  </si>
  <si>
    <t>COMPUTER PRINTERS FOR IMS</t>
  </si>
  <si>
    <t>Procurement of Diesel Fuel for Provincial General Services Office service vehicle.</t>
  </si>
  <si>
    <t>IMPROVEMENT OF PUROK HOUSES</t>
  </si>
  <si>
    <t>SUPPLY AND DELIVERY OF ONE (1) UNIT RING NET (2nd Publication</t>
  </si>
  <si>
    <t>consultancy services</t>
  </si>
  <si>
    <t>INVITATION TO BID FOR SUPPLY AND DELIVERY OF MATERIALS FOR THE Improvement of Water System at Barangay Tagpopongan, Babak District, IGaCoS under PR No. 004</t>
  </si>
  <si>
    <t>Supply, Delivery and Installation of CCTV Based Video Surveillance System at Municipal Annex Building at Poblacion, Dauis, Bohol.</t>
  </si>
  <si>
    <t>PURCHASE OF INFORMATION TECHNOLOGY FOR PEACE AND ORDER</t>
  </si>
  <si>
    <t>LABORATORY SUPPLIES AND EQUIPMENT</t>
  </si>
  <si>
    <t>Supply and Delivery of Printing Supplies for different departments (Non-PS) (PR No. 2020-06-0560)</t>
  </si>
  <si>
    <t>RENOVATION OF STORAGE AND DISTRIBUTION DEPARTMENT (RE-BID) (BAC-IB NO. 2020-31)</t>
  </si>
  <si>
    <t>Repair and Maintenance of Government Vehicles (PNP Mobile Patrol)</t>
  </si>
  <si>
    <t>Supply &amp; Delivery of  Various Laboratory Supplies ABC:230,100.00</t>
  </si>
  <si>
    <t>Supply and Delivery of Spareparts for Various Heavy Equipment Machineries</t>
  </si>
  <si>
    <t>REPAIR OF FARMERS TRAINING CENTER - CACANDONGAN, SAN JUAN, ILOCOS SUR</t>
  </si>
  <si>
    <t>PROCUREMENT OF OFFICE EQUIPMENT - PNP SUAL</t>
  </si>
  <si>
    <t>Supply &amp; Delivery of Fertilizers and Seeds to be distributed to Corn and Rice Farmers</t>
  </si>
  <si>
    <t>Purchasing of ICT Supplies and Accessories for the support in teleconferencing in office and work from home employees</t>
  </si>
  <si>
    <t>PURCHASE OF WIRELESS AP</t>
  </si>
  <si>
    <t>Rental of equipment for the concreting of Dahlia</t>
  </si>
  <si>
    <t>Materials in Upgrading of Barangay Road, Brgy. Sta. Rita, Cabiao, Nueva Ecija</t>
  </si>
  <si>
    <t>JHS  Instructional Materials BONDPAPER TO BALLPEN</t>
  </si>
  <si>
    <t>Procurement of traffic violation receipts (triplicate)</t>
  </si>
  <si>
    <t>Bid No. 20-0279 - PROCUREMENT OF OFFICE SUPPLIES - MAGRO/RIC</t>
  </si>
  <si>
    <t>Procurement of Medical Equipment</t>
  </si>
  <si>
    <t>Supply &amp; Delivery of Seeds to be distributed to Vegetable Farmers Association</t>
  </si>
  <si>
    <t>Purchase of office supplies- Accounting Office, , San Fabian, Pangasinan</t>
  </si>
  <si>
    <t>CONSTRUCTION MATERIALS FOR INSTALLATION OF HAND WASH STAND</t>
  </si>
  <si>
    <t>Supply &amp; Delivery of Airconditioning Unit</t>
  </si>
  <si>
    <t>REGRAVELLING OF BARANGAY ROAD- Brgy. Behia</t>
  </si>
  <si>
    <t>Riprap Protection at Parang High School, Barangay Parang, Bagac, Bataan</t>
  </si>
  <si>
    <t>Repair and Improvement of Electrical System at Masunurin Building 1 &amp; 2</t>
  </si>
  <si>
    <t>Procurement of Construction Materials &amp; Supplies for Line Canal at Barangay Luzon, Claveria, Cagayan Valley</t>
  </si>
  <si>
    <t>Supply and Delivery of Office Supplies in MinSCAT Bongabong Campus</t>
  </si>
  <si>
    <t>Supply and Delivery of One (1) lot Sealed Lead Acid Battery</t>
  </si>
  <si>
    <t>PROPROCUREMENT OF MEDICAL/SURGICAL INSTRUMENTS UNDER NEGOTIATED (TWO FAILED BIDDINGS), DR. JOSE RIZAL MEMORIAL HOSPITAL</t>
  </si>
  <si>
    <t>Supply and Delivery of Chicken (Rhode Island Red  3 months old) for ATI-Learning Sites in Datu Abdullah Sangki and Sultan sa Barongis, Maguindanao for ATI-RTC XII.</t>
  </si>
  <si>
    <t>Rehabilitation of Barangay Outpost and extension of VAWC Desk</t>
  </si>
  <si>
    <t>Supply and Delivery of Meals to be served for the various Activities for Anti-Illegal Drugs Program for the year 2020 in the City of San Fernando, Pampanga</t>
  </si>
  <si>
    <t>N20-06-073-REPAIRS AND MAINTENANCE OF PATROL VEHICLES</t>
  </si>
  <si>
    <t>Procurement of PVC Riser Pipe &amp; Stainless Steel Connector</t>
  </si>
  <si>
    <t>PROCUREMENT OF APPLIANCES FOR EMERGENCY OPERATIONS CENTER</t>
  </si>
  <si>
    <t>Procurement of Common-Use Supplies</t>
  </si>
  <si>
    <t>Procurement of Construction Materials &amp; Spplies of Slope Protection of Barangay Luzon, Claveria, Cagayan Valley</t>
  </si>
  <si>
    <t>PR 2020-03-038 Supply and Delivery of Materials for the use of Activity 303 (Guardrails Maintenance) along Daang Maharlika Road, Nabunturan – Maragusan Road and Nabunturan – Mainit Park road Daang Mah</t>
  </si>
  <si>
    <t>Supply and Delivery of IT Equipment for Advance Research and Environmental Monitoring Laboratory of SDSSU Cantilan Campus</t>
  </si>
  <si>
    <t>SGOD Supplies 2020</t>
  </si>
  <si>
    <t>CO - Vehicles (Motor)</t>
  </si>
  <si>
    <t>Purchase of several items for the repair of the NRO2 Pamegafanan Hall damaged tiles and door</t>
  </si>
  <si>
    <t>PROCUREMENT OF OFFICE SUPPLIES AND EQUIPMENT - OFFICE OF SKF PRESIDENT</t>
  </si>
  <si>
    <t>SUPPLY,DELIVERY AND INSTALLATION OF 24 UNITS STEEL RACK</t>
  </si>
  <si>
    <t>PROCUREMENT OF THREE (3) UNITS BRAND NEW MOTORCYCLE</t>
  </si>
  <si>
    <t>CONSTRUCTION OF FRUIT STAND</t>
  </si>
  <si>
    <t>General Cleaning of Airconditioning Units</t>
  </si>
  <si>
    <t>20KB0165   Road Widening along Sayre Highway (Jct. Bukidnon – Davao City Rd – Cotabato Bdry) – K1586+100 – K1586+515  :	Spring, Kibawe, Bukidnon</t>
  </si>
  <si>
    <t>PR 2020-03-042 Leasing of One (1) Unit Service Vehicle Chargeable to Preliminary and Detailed Engineering (PDE)/ use for Survey Works *3 Projects under FY 2021 Convergence (DOT) 1.) Magnaga Road Circu</t>
  </si>
  <si>
    <t>20PI0096 - Maint, Repair and Rehab of Infrastructure Facilities and Other Related Activities 2. Calacaban Bridge Abutment Support, Sta. 0+000 - Sta. 0+150 (I.S.), Tadian, Mt. Province</t>
  </si>
  <si>
    <t>MEDICAL SUPPLIES AND LABORATORY INSTRUMENTS</t>
  </si>
  <si>
    <t>PRODUCTION OF DLP'S FOR THE NEW NORMAL</t>
  </si>
  <si>
    <t>PROCUREMENT OF CONSTRUCTION MATERIALS FOR BACK STREET DRAINAGE CANAL, POBLACION, MANKAYAN, BENGUET</t>
  </si>
  <si>
    <t>PR 2020-03-043 Leasing of One (1) Unit Service Vehicle Chargeable to Preliminary and Detailed Engineering (PDE)/ Rocond Survey: *Daang Maharlika (Soo126MN) 69.494.km Davao De Oro</t>
  </si>
  <si>
    <t>MATERIALS FOR ACADEMIC REGALIA</t>
  </si>
  <si>
    <t>Supply &amp; Delivery of Various Laboratory Chemicals ABC:92,090.00</t>
  </si>
  <si>
    <t>REHABILITATION OF SLAUGHTER HOUSE</t>
  </si>
  <si>
    <t>PR 2020-03-044 Leasing of One (1) Unit Service Vehicle Chargeable to Preliminary and Detailed Engineering (PDE)/ Validation and Reconnaissance Survey of Project: *4 project under FY 2021 Regular Infra</t>
  </si>
  <si>
    <t>PURCHASE OF OFFICE EQUIPMENT FOR THE SCHOOL OF EDUCATION</t>
  </si>
  <si>
    <t>20KB0166   Road Widening along Sayre Highway (Jct. Bukidnon – Davao City Rd – Cotabato Bdry) – K1586+515 – k1588+100  :	Spring, Kibawe, Bukidnon</t>
  </si>
  <si>
    <t>Purchase of Assorted Agricultural Seeds</t>
  </si>
  <si>
    <t>Purchasing of Printing and scanning equipment for the regional office and PSTCs MITHI 2020</t>
  </si>
  <si>
    <t>CONSTRUCTION OF BAHAY SILANGAN</t>
  </si>
  <si>
    <t>CONSTRUCTION MATERIALS AND SUPPLIES FOR LOWER PROPER COLALO GRAVELING, COLALO, MANKAYAN, BENGUET</t>
  </si>
  <si>
    <t>Procurement of canned sardines for augmentation support to LGUs to respond to the impact of COVID-19</t>
  </si>
  <si>
    <t>Purchase of Medicines</t>
  </si>
  <si>
    <t>RFQ No. 2006-321 Proc. of Goods (Office Supplies)</t>
  </si>
  <si>
    <t>Supply &amp; Delivery  of Proficiency Testing &amp; Certified Reference Materials ABC:77,000.00</t>
  </si>
  <si>
    <t>Furnishing/Delivery of Labor, Materials and Equipment</t>
  </si>
  <si>
    <t>Transportation Shuttle (SDO Benguet Personnel for 12 days)</t>
  </si>
  <si>
    <t>PURCHASE OF WASH SUPPLIES</t>
  </si>
  <si>
    <t>Procurement of canned corned beef for augmentation support to LGUs to respond to the impact of COVID-19</t>
  </si>
  <si>
    <t>PROCUREMENT OF FACEMASK FOR SENIOR CITIZEN FOR THE MENACE OF N-COVID 19</t>
  </si>
  <si>
    <t>Supplies and Delivery of General Merchandise BDF, Capital Outlay and BDRRMF (Other property, Plant and Equipment), Clean and Green and IT equipments</t>
  </si>
  <si>
    <t>PROCUREMENT OF COMPUTER CPU</t>
  </si>
  <si>
    <t>Supply &amp; Delivery  of Various Supplies ABC:51,000.00</t>
  </si>
  <si>
    <t>Procurement of e-Scan Corporate Edition (with Hybrid Network Support) 2 years license</t>
  </si>
  <si>
    <t>Procurement of Statistical Analysis System (SAS) License</t>
  </si>
  <si>
    <t>Electrical Systems and Lighting Components</t>
  </si>
  <si>
    <t>SUPPLY AND DELIVERY OF DIFFERENTIAL ASS’Y (SURPLUS)FOR DUMP TRUCK</t>
  </si>
  <si>
    <t>ESTABLISHMENT OF WEAVING FACILITY</t>
  </si>
  <si>
    <t>Supply &amp; Delivery of Microtubes ABC:73,400.00</t>
  </si>
  <si>
    <t>Provision of Catering Services to be served during the CY 2020 Partnerships and Accreditation Division (PAD) Mid-year Review, Planning Workshop and Budget Execution</t>
  </si>
  <si>
    <t>RFQ - Second (2nd) Appraiser for Properties located in Sta Rosa, Laguna</t>
  </si>
  <si>
    <t>Supplies and Delivery of General Merchandise MOOE, BDRRMF (Office Supplies, Drugs and Medicince, Peace and Order, Electrical supplies, R-M CCTV CAMERA, Other property, Plant and Equipment, Refill Fire</t>
  </si>
  <si>
    <t>PR# 20-06-667 Supply of Labor and materials for the fabrication of 3 units of Aquaponics Projects for Urban Aquaculture Model 2. (PFO-Cebu)</t>
  </si>
  <si>
    <t>SHALLOW  WELL</t>
  </si>
  <si>
    <t>PURCHASE OF VARIOUS MEDICINES</t>
  </si>
  <si>
    <t>CO - Technical and Scientific Equipment</t>
  </si>
  <si>
    <t>Bid No. 20-0280 - PROCUREMENT OF OFFICE SUPPLIES - MAGRO/MCDC</t>
  </si>
  <si>
    <t>Supply &amp; Delivery of  other Supplies ABC:92,858.00</t>
  </si>
  <si>
    <t>Supply &amp;  Delivery of Various Rice Seeds ABC:403,200.00</t>
  </si>
  <si>
    <t>SUPPLY AND DELIVERY OF LABORATORY SUPPLIES (MICROPIPETTOR)</t>
  </si>
  <si>
    <t>CONDUCT OF ALTERNATIVE LIVELIHOOD TRAINING</t>
  </si>
  <si>
    <t>Purchase of Drugs and Medicines</t>
  </si>
  <si>
    <t>20-06-0817-FOR CONSUMPTION OF RRCY RESIDENTS</t>
  </si>
  <si>
    <t>Supply and Delivery of Assistant Director's supplies</t>
  </si>
  <si>
    <t>Procurement of RF Explorer Combo Spectrum Analyzer for Electronics Engineering Laboratory</t>
  </si>
  <si>
    <t>2020-MS-101 Compressed Air (Rebid)</t>
  </si>
  <si>
    <t>Construction of Concrete Footbridge</t>
  </si>
  <si>
    <t>Supply and delivery of training tables and chairs for Training Hall 3, Left Wing</t>
  </si>
  <si>
    <t>Drugs and Medicines</t>
  </si>
  <si>
    <t>Programmable Function Generator for Electronics Engineering Laboratory</t>
  </si>
  <si>
    <t>General cleaning of Indoor and Outdoor ACUs</t>
  </si>
  <si>
    <t>Purchase of Xerox Machine for use in the Office of the BPLO</t>
  </si>
  <si>
    <t>Supply &amp; Delivery of Steel Cabinet ABC:60,000.00</t>
  </si>
  <si>
    <t>RIS# 20-13-184 PURCHASE OF SEATCOVER</t>
  </si>
  <si>
    <t>CONSTRUCITON MATERIALS FOR THE  REHAB AND CONSTRUCTION OF AMBABAG WWS AT GUINAONANG, MANKAYAN, BENGUET</t>
  </si>
  <si>
    <t>Supply and delivery of printers for official use of ATI Directorate and AFU-OD Offices</t>
  </si>
  <si>
    <t>Purchase of Hydraulic Oil for the Grader and Loader</t>
  </si>
  <si>
    <t>Rehabilitation/Improvement of Brgy. Bagacay-Concord Road</t>
  </si>
  <si>
    <t>Use for the Repair and Maintenance of Backhoe</t>
  </si>
  <si>
    <t>Procurement of Materials to be used for the 13rh World Skills ASEAN Competition 2020, Singapore</t>
  </si>
  <si>
    <t>Certification Audit for ISO 9001:2015 (Quality Management System)</t>
  </si>
  <si>
    <t>Cluster XXXX</t>
  </si>
  <si>
    <t>Well Drilling Works/Exploration of New Production Well</t>
  </si>
  <si>
    <t>Request for Quotation - Face Mask</t>
  </si>
  <si>
    <t>CONDUCT OF SUBDIVISION SURVEY FOR NEW LANDS/COLLECTIVE CLOA UNDER RSS 44,45,46&amp; 47 (2nd posting)</t>
  </si>
  <si>
    <t>SUBM#2020 -06 - 15 - To purchase fuel for use of H1-7456, H1-7483, 6FA-213, JDJ-706, SDK-391, SDK-421, SDK-487, SKS-150, H3-6643, Road Grader NI-1517 and Road Grader NI-1960,  Asphalt Kettle,  Road Ro</t>
  </si>
  <si>
    <t>PR 2020-03-048 Supply and Delivery of Materials for Activity 71X – Special Maintenance of Reflective Thermoplastic Stripping Materials (Solid Form) along Asuncion – San Isidro – Laak – Veruela Road K1</t>
  </si>
  <si>
    <t>Request for Quotation (Air Freshener, Etc.)</t>
  </si>
  <si>
    <t>Procurement of Variable Power Supply for Electronics Engineering Laboratory Use</t>
  </si>
  <si>
    <t>Procurement of Modular Partition with table &amp; Counter Top</t>
  </si>
  <si>
    <t>IMPROVEMENT / BEAUTIFICATION PHASE II OF SCHOOL STAGE</t>
  </si>
  <si>
    <t>POROPOSED CONSTRUCTION OF CANAL AT BRGY II-B, SAN PABLO CITY</t>
  </si>
  <si>
    <t>PR 2020-03-052 Supply and Delivery of Materials for Activity 71x – Special Maintenance of Reflective Thermoplastic Stripping Materials (Solid Form) along Montevista – DNAS Road 1413±602 – K1432+966 w/</t>
  </si>
  <si>
    <t>Hiring of Individual Consultant for the Development of Demographic Dividend Estimate</t>
  </si>
  <si>
    <t>PR-OE-2020-06-09/Surveillance Equipment</t>
  </si>
  <si>
    <t>Rehabilitation/Improvement of Brgy. Malino, Jiabong, Samar</t>
  </si>
  <si>
    <t>Supply and Delivery of Various I.T. Equipment for UTDC</t>
  </si>
  <si>
    <t>Furnishing and Delivery of Various Construction Materials for use in the Routine/ Maintenance Activities along Calapan South Road, CSR Jct. Pola Road &amp; CSR Jct. Minas Road, Calapan North Road and Repa</t>
  </si>
  <si>
    <t>Procurement of One (1) unit Aircon  for Provincial Treasurer's Office.</t>
  </si>
  <si>
    <t>Construction of PCO/VIP Lounge at SAF Museum, HSAF, Camp Bagong Diwa, Bicutan, Taguig City</t>
  </si>
  <si>
    <t>PR 2020-03-053 Supply and Delivery of Materials for the use of Activity 302 (Centerline and Lane Line Repainting) for Road Pavement Markings Maintenance along Daang Maharlika Road. (K1377+(-)201 – K14</t>
  </si>
  <si>
    <t>PR 2020-03-045 Leasing of One (1) Unit Service Vehicle Chargeable to Preliminary and Detailed Engineering (PDE)/ Use For Parcellary Survey - *Projects under FY 2021 Regular Infra/ DND Projects FY 2021</t>
  </si>
  <si>
    <t>Procurement of Analogue Electronics System Lab Kit for Electronics Engineering Laboratory</t>
  </si>
  <si>
    <t>PR 2020-04-059 Supply and Delivery of Furnitures and Fixtures for use in the Planning and Design Section (EAO) DEO, Nabunturan, Davao De Oro</t>
  </si>
  <si>
    <t>Supply and Delivery of Various I.T. and Office Equipment for IMEAS</t>
  </si>
  <si>
    <t>47 bags Hog grower pellets and other items for livestock in City Farmstead Talay/City Agriculture Office</t>
  </si>
  <si>
    <t>Supply and Delivery of One (1) Unit Brand New 4x4 Pickup Vehicle</t>
  </si>
  <si>
    <t>PERSONAL PROTECTIVE EQUIPMENT</t>
  </si>
  <si>
    <t>SUPPLY AND DELIVERY OF MEALS AND SNACKS (rfq#2020-03-1,611)-(provl agriculture office)</t>
  </si>
  <si>
    <t>PROCUREMENT OF GENUINE HP TONER CARTRIDGES (For Existing units of HP Printers) (ITB # M20-06-01)</t>
  </si>
  <si>
    <t>ANNUAL SUBSCRIPTION OF SOPHOS (rfq#2020-02-1,312)-(pgo-pictd)</t>
  </si>
  <si>
    <t>RFQ-Printing of IEC Materials (Folded, Raincoat and Umbrella)</t>
  </si>
  <si>
    <t>RFQ - 1pc. Engine Harness,8982605350 (Lot 1), 1 job Re-Harness (all engine wiring) for use for AAU-5242/6480 Isuzu Pick-up Dmax (Maintenance Section)</t>
  </si>
  <si>
    <t>SPORTING GOODS</t>
  </si>
  <si>
    <t>20-06-0796 - Procurement of consumables for NHTS-PR CY 2020.</t>
  </si>
  <si>
    <t>PR 2020-04-060 Supply and Delivery of Inventory / Common Electrical Equipment for use in the Planning and Design Section DEO, Nabunturan, Davao De Oro</t>
  </si>
  <si>
    <t>PROCUREMENT OF ONE (1) UNIT LIFTING PLATFORM FOR MAINTENANCE OF SPORTS COMPLEX AND OTHER SCHOOL FACILITIES</t>
  </si>
  <si>
    <t>Cluster XXXXI</t>
  </si>
  <si>
    <t>RFQ-NP-SVP-243-2020- Procurement of ICT Supplies for Balubal Campus.</t>
  </si>
  <si>
    <t>Supply and Delivery of Drying Oven for Advanced Research and Environmental Monitoring Laboratory of SDSSU Cantilan Campus</t>
  </si>
  <si>
    <t>PR 2020-04-064 Supply and Delivery of Materials for the use in 71x – (Special Maintenance – Kilometer Post) along Surigao – Davao Coastal Rd, Asuncion – San Isidro – Laak – Veruela RD, Benigno S. Aqui</t>
  </si>
  <si>
    <t>Cluster XXXXII</t>
  </si>
  <si>
    <t>Supply and Delivery of Materials for the Repair and Improvement of Warehouse no. 3</t>
  </si>
  <si>
    <t>REHABILITATION OF BARANGAY ROADS PUROK 1-12</t>
  </si>
  <si>
    <t>Continuation of CIT Building (Remaining Portion)</t>
  </si>
  <si>
    <t>CONSTRUCTION OF OUTDOOR WAITING AREA</t>
  </si>
  <si>
    <t>SUPPLY AND DELIVERY OF OFFICE EQUIPMENT (rfq#2020-05-2,499)-(pswdo)</t>
  </si>
  <si>
    <t>Use for Repair and Maintenance of Pay Loader</t>
  </si>
  <si>
    <t>Procurement of Security Services</t>
  </si>
  <si>
    <t>PR 2020-05-068 Supply and Delivery of Inventory Office Equipment and Accessories for use in the Office of the District Engineer Planning and Design Section DEO, Nabunturan, Davao De Oro</t>
  </si>
  <si>
    <t>PR 2020-05-069 Supply and Delivery of Consumables for use in the Planning and Design Section (PDE) DEO, Nabunturan, Davao De Oro</t>
  </si>
  <si>
    <t>Office supplies-c/o ALS</t>
  </si>
  <si>
    <t>SUPPLY AND DELIVERY OF OUTDOOR SUPPLIES (rfq#2020-05-2,530)-(pgo-inremp-ptas)</t>
  </si>
  <si>
    <t>Procurement of Labor, Materials and Spare Parts for the Repair of Various Office Air Conditions</t>
  </si>
  <si>
    <t>PROCUREMENT OF  INK FOR DESKTOP  COMPUTER FOR LGU OFFICES</t>
  </si>
  <si>
    <t>RFQ-NP-SVP-242-2020- Procurement of   Furnitures and Fixtures for Balubal Campus.</t>
  </si>
  <si>
    <t>Repair of 2 Air Conditioning Units, RHU, Can-avid Eastern Samar</t>
  </si>
  <si>
    <t>Procurement of 1 Unit of Hammer Mill/Bottle Crusher/Pulverizer for the Implementation of Solid Waste Management Program</t>
  </si>
  <si>
    <t>Infrastructure Project: Renovation of stage ceiling , barangay Semirara, Caluya, Antique</t>
  </si>
  <si>
    <t xml:space="preserve">PR 2020-05-078 Supply and Delivery of Consolidated Fuel (Gasoline) for use in Activity 509 (Foreman Supervision): A.) along DNAS Road and Montevista – Compostela – New Bataan – Maragusan – Mati Bdry. </t>
  </si>
  <si>
    <t>Development of Cold Spring Resort</t>
  </si>
  <si>
    <t>PR 2020-05-081 Supply and Delivery of Printer Consumables and I.T. Supplies/ Equipments, for use in the Office of the Construction Section DEO, Nabunturan, Davao De Oro</t>
  </si>
  <si>
    <t>REPAIR AND MAINTENANCE OF TRANSPORTATION EQUIPMENT</t>
  </si>
  <si>
    <t>SUPPLY AND DELIVERY OF VEHICLE PARTS AND ACCESSORIES FOR VARIOUS GOVERNMENT VEHICLES</t>
  </si>
  <si>
    <t>Supply Of House Keeping of Paracilis District Hospital</t>
  </si>
  <si>
    <t>Purchase &amp; Delivery of Office Supplies &amp; Consumables for the Office of SPM Ronnie R. Rapanut</t>
  </si>
  <si>
    <t>Rehab of Stage (Purok Malinawon) at Barangay Esperanza, Santo Tomas, Davao del Norte</t>
  </si>
  <si>
    <t>PR 2020-05-083 Supply and Delivery of Materials for the use in Sanitation and Gantry Facility Davao De Oro</t>
  </si>
  <si>
    <t>20FK0054-Network Development-Const. of By-Pass and Diversion Roads-Barcelona-Casiguran Diversion Road, Casiguran Section, (Package 2) Casiguran, Sorsogon</t>
  </si>
  <si>
    <t>Procurement of Services for Phase I Activity for the PDRRMO and PHO/Nutrition Office</t>
  </si>
  <si>
    <t>Rental of equipment for the concreting of Balagtas St.</t>
  </si>
  <si>
    <t>20-06-0800- Provision of reproduction and printing services for Personalize Protective Equipment of UCT RPMO.</t>
  </si>
  <si>
    <t>procurement of 1 unit telescope for Barangay Semirara, Caluya, Antique</t>
  </si>
  <si>
    <t>Cluster XXXXIII</t>
  </si>
  <si>
    <t>Repair and Rehabilitation of Tarangnan Community Hospital</t>
  </si>
  <si>
    <t>PR 2020-05-084 Supply and Delivery of Electrical &amp; Plumbing Supplies, for use in the Office of the District Engineer Nabunturan, Davao De Oro (for the 3rd quarter of 2020)</t>
  </si>
  <si>
    <t>SUPPLY AND DELIVERY OF ORGANIC DEODORIZER FOR SLAUGHTERHOUSE USE</t>
  </si>
  <si>
    <t>RFQ - Assorted Office Supplies (Lot 1), Assorted Janitorial Supplies (Lot 2) for use of Office Maintenance of Lower Agusan Development Project (LADP)</t>
  </si>
  <si>
    <t>Purchase &amp; Delivery of Office Supplies &amp; Consumables  for the Office of SPM Mildred Elaydo</t>
  </si>
  <si>
    <t>Supply Delivery and Installation of One (1) Lot Air Quality Monitoring System and COMS</t>
  </si>
  <si>
    <t>Supply/Delivery of  Rice for Provision of Support to Auxilliary Army Group  (PR# 20-06-0604)</t>
  </si>
  <si>
    <t>Supply &amp; Delivery of  Agri marine and Supplies ABC:95,200.00</t>
  </si>
  <si>
    <t>Supply &amp; Delivery of Gasoline Rice Paddy Field Weeder ABC:62,500.00</t>
  </si>
  <si>
    <t>PURCHASE OF OFFICE EQUIPMENT FOR BAC OFFICE USE</t>
  </si>
  <si>
    <t>RFQ-NP-SVP-244-2020- Procurement of   Other Supplies and Materials for Balubal Campus.</t>
  </si>
  <si>
    <t>Division 2020 Brigada Eskwela and Oplan Balik Eskwela Caravan "cum"Monitoring</t>
  </si>
  <si>
    <t>PR 2020-05-090 Supply and Delivery of Materials for the use in Isolation Tent (Quarantine Tent) DEO, Nabunturan, Davao De Oro</t>
  </si>
  <si>
    <t>CONCRETING OF JOSE SAGUIN AND FLORENTINO SAGUIN STREETS AT POBLACION SOUTH, PIÑAN, Z.N.</t>
  </si>
  <si>
    <t>PROCUREMENT OF ONE (1) BRAND NEW VACUUM EXCAVATION TRUCK</t>
  </si>
  <si>
    <t>PR 2020-05-092 Supply and Delivery of Printer Consumables, for use in the Office of the Maintenance Section DEO, Nabunturan, Davao De Oro</t>
  </si>
  <si>
    <t>Supply &amp; Delivery of  Office Equipment ABC:76,000.00</t>
  </si>
  <si>
    <t>RFQ-NP-SVP-re135-2020-Procurement of ICT Equipment and Office Equipment</t>
  </si>
  <si>
    <t>OPA-CROPS-NC-2020-0279 PR2020-0390 REQUEST FOR QUOTATION FOR THE PROCUREMENT OF LABOR AND MATERIALS FOR THE CONSTRUCTION OF PERIMETER FENCE AT THE PROPOSED CALATRAVA PLANT NURSERY, CALATRAVA, CARMEN,</t>
  </si>
  <si>
    <t>Procurement of Vehicle Parts and Repair ( services &amp; parts)</t>
  </si>
  <si>
    <t>Completion of Livelihood Center</t>
  </si>
  <si>
    <t>Purchase &amp; Delivery of Janitorial &amp; Other Supplies for the Office of SPM Janina Joyce Tabios</t>
  </si>
  <si>
    <t>Internal Hard Drive for Data Storage Server</t>
  </si>
  <si>
    <t>RFQ-NP-SVP-1re-135-2020-Procurement of ICT Equipment and Office Equipment</t>
  </si>
  <si>
    <t>PR 2020-05-093 Supply and Delivery of Office Supplies, for use in the ISO Requirements DEO, Nabunturan, Davao De Oro</t>
  </si>
  <si>
    <t>Supplies for Provincial Agricultural Nurseries, Maintenance and development</t>
  </si>
  <si>
    <t>Supply &amp; Delivery of  Purified Drinking Water ABC:84,000.00</t>
  </si>
  <si>
    <t>20-06-0606 - Provision of vehicle rental services for the Implementation and Monitoring of Social Technology and Social Marketing.</t>
  </si>
  <si>
    <t>PURCHASE OF DISASTER RESPONSE/RESCUE VEHICLE</t>
  </si>
  <si>
    <t>SUPPLY AND DELIVERY OF CONSTRUCTION MATERIALS FOR BILLBOARD ADVERTISEMENT</t>
  </si>
  <si>
    <t>MATLS FOR THE INSTALLATION OF DIVIDER FOR QUARANTINE FACILITY (9 ROOMS) AT MALUID</t>
  </si>
  <si>
    <t>COUNTERPART FOR THE CONSTRUCTION OF BASILISA TOURISM INN</t>
  </si>
  <si>
    <t>EMBANKMENT/EARTFILLING OF SITE FOR NATIONAL LINE AGENCY BUILDING</t>
  </si>
  <si>
    <t>CHEMICALS AND CHEMICAL PRODUCTS</t>
  </si>
  <si>
    <t>Supply and Delivery of Animal Feeds</t>
  </si>
  <si>
    <t>Construction of Vermi Culture Facility and Wood Vinegar Facility</t>
  </si>
  <si>
    <t>Procurement of Tote Bag: To be distributed as part of Mental Health and Psychosocial Support (MHPSS) kits</t>
  </si>
  <si>
    <t>(Request for Quotation) Procurement of Disinfectant Mats / Foot baths for the Office of the Solicitor General</t>
  </si>
  <si>
    <t>Supply &amp; Delivery of  Materials for (repair &amp; maintenance of farm Machineries) ABC:105,900.00</t>
  </si>
  <si>
    <t>Supply and Delivery of One (1) lot Office Equipment</t>
  </si>
  <si>
    <t>Procurement of Motorcycle of PENRO Albay &amp; CENRO Guinobatan</t>
  </si>
  <si>
    <t>Procurement of Hand Sprayer use for Barangay and Municipal Facilities to Stop the Spread of COVID'19</t>
  </si>
  <si>
    <t>Procurement of Installation of Floor tiles</t>
  </si>
  <si>
    <t>PR 2020-05-095 Supply and Delivery of Materials for the use in Activity 303 (Guardrails Maintenance) along Benigno S. Aquino Jr. National Highway, Asuncion – San Isidro – Laak – Veruela Road and Monte</t>
  </si>
  <si>
    <t>Adolescent Health and Development (AHD) Film Festival Virtual Awarding</t>
  </si>
  <si>
    <t>NSTP-ROTC RAATI Equipment</t>
  </si>
  <si>
    <t>PR 2020-05-094 Supply and Delivery of Materials for the use in Activity 303 (Guardrails Maintenance) along Benigno S. Aquino Jr. National Highway, Asuncion – San Isidro – Laak – Veruela Road and Monte</t>
  </si>
  <si>
    <t>Rental of equipment for the concreting of Quezon St.</t>
  </si>
  <si>
    <t>Female Native Carabao</t>
  </si>
  <si>
    <t>OPA-CROPS-NC-2020-0280 PR2020-0391 REQUEST FOR QUOTATION FOR THE PROCUREMENT OF LABOR AND MATERIALS FOR THE CONSTRUCTION OF PERIMETER FENCE AT THE NEWLY OPENED BALILIHAN PROVINCIAL NURSERY</t>
  </si>
  <si>
    <t>Tile and Electrical Works for Food Innovation Center</t>
  </si>
  <si>
    <t>Procurement of Surveying services</t>
  </si>
  <si>
    <t>Procurement of Office Supplies (1st and 2nd Quarter of 2020)</t>
  </si>
  <si>
    <t>PR 2020-06-097 Supply and Delivery of Fuel, Additives, Lubricants &amp; Anti-corrosive for the use in Construction Section DEO, Nabunturan, Davao De Oro in the Implementation of Projects</t>
  </si>
  <si>
    <t>INVITATION TO APPLY FOR ELIGIBILITY AND TO BID FOR THE SCIENCE RESEARCH FACILITY UNDER DESIGN AND BUILD SCHEME (REBIDDING)</t>
  </si>
  <si>
    <t>SUPPLY AND DELIVERY OF VEHICLE PARTS AND ACCESSORIES FOR VARIOUS VEHICLE</t>
  </si>
  <si>
    <t>Use for Division Personnel IT equipments, webinars and video conferencing</t>
  </si>
  <si>
    <t>Supply and Delivery of IT Equipment for the BS in Criminology Computer Laboratory of SDSSU Cantilan Campus</t>
  </si>
  <si>
    <t>Supply &amp; Delivery of other Supplies ABC:102,500.00</t>
  </si>
  <si>
    <t>PROCUREMENT OF ONE (1) UNIT BRAND NEW 6-WHEELER WATER TRUCK</t>
  </si>
  <si>
    <t>Supply &amp; Delivery of ICT Equipment (Line 1 -2) ABC:489,000.00</t>
  </si>
  <si>
    <t>Bidding for Supply, Delivery, Installation and Commissioning of Various Medical Equipment - III</t>
  </si>
  <si>
    <t>Stock Room, Concoction Center, Vermi Compositing and Plant Nursery</t>
  </si>
  <si>
    <t>Infrastructure Project: Renovation of Treasurer's Office ceiling, Barangay Semirara, Caluya, Antique</t>
  </si>
  <si>
    <t>CONSTRUCTION, SUPPLY &amp; INSTALLATION OF TWO (2) ATM SUNSHADE</t>
  </si>
  <si>
    <t>Supply and Delivery of Mechanical Bed w/ Side railsvIV Pole and Table</t>
  </si>
  <si>
    <t>Supply and Delivery of Plastic Pallets</t>
  </si>
  <si>
    <t>Re-Bidding for Lot Bid Supply, Delivery, Installation and Commissioning for Central Monitor (2 units)  with Cardiac Monitor (16 units)</t>
  </si>
  <si>
    <t>OPA-CROPS-NC-2020-0281 PR2020-0392 REQUEST FOR QUOTATION FOR THE PROCUREMENT OF LABOR AND MATERIALS TO BE USED FOR THE CONSTRUCTION/REPAIR OF PERIMETER FENCE OF MACAAS NURSERY FOR FARM SECURITY PURPOS</t>
  </si>
  <si>
    <t>Meals During Lechon Boodle Fight for ASF Free Bani</t>
  </si>
  <si>
    <t>REPAIR &amp; MAINTENACE ICT EQUIP (CEISS-PH59,495.01)</t>
  </si>
  <si>
    <t>Re- Bidding for Supply, Delivery, Installation and Commissioning of Various Medical Equipment - II</t>
  </si>
  <si>
    <t>Supply, Delivery, and Installation of Enterprise Database Management Software for Linux Platform</t>
  </si>
  <si>
    <t>20GDQ0014  Purchasing of Various Office Equipments for use in Cavite 3rd DEO (2nd Quarter )</t>
  </si>
  <si>
    <t>CDRRMO- MEALS FOR ACTIVATION OF INCIDENT MANAGEMENT TEAM (SAN AGUSTIN FESTIVITY 2020)</t>
  </si>
  <si>
    <t>SUPPLY AND DELIVERY OF VARIOUS MATERIALS FOR ULS LASER CUTLER</t>
  </si>
  <si>
    <t>CONSTRUCTION / IMPROVEMENT OF GOVERNMENT BUILDINGS: Repair/Rehab &amp; Improvement of Government Building</t>
  </si>
  <si>
    <t>Printers</t>
  </si>
  <si>
    <t>PR-OE-2020-06-08/Tobtobob PIS &amp; Alfonso Lista, Ifugao PUMPSET</t>
  </si>
  <si>
    <t>Purchase of Aircondition Units</t>
  </si>
  <si>
    <t>Construction  of (Phase 1 of) 2 Storey Multi-purpose Building and Construction of Slope Protection</t>
  </si>
  <si>
    <t>Rice Subsidy</t>
  </si>
  <si>
    <t>20GDQ0015  Purchasing of Various Office Supplies for use in Cavite 3rd DEO (2nd Quarter )</t>
  </si>
  <si>
    <t>RFQ 06-02-2020 Item A</t>
  </si>
  <si>
    <t>OPV-NC-2020-0293 REQUEST FOR QUOTATION FOR THE PROCUREMENT OF ANIMAL SUPPLEMENTS</t>
  </si>
  <si>
    <t>For MLWD Employees Flu Vaccine - PR # 2020-12063</t>
  </si>
  <si>
    <t>RFQ 06-02-2020 Item B</t>
  </si>
  <si>
    <t>Repair/Improvement of Office</t>
  </si>
  <si>
    <t>20FK0055-Network Development-Const. of By-Pass and Diversion Roads-Barcelona-Casiguran Diversion Road, Casiguran Section, (Package 2-B) Casiguran, Sorsogon</t>
  </si>
  <si>
    <t>Supply &amp; Delivery of Steel Cabinet ABC:64,000.00</t>
  </si>
  <si>
    <t>PHO-NC-2020-108 PR2020-154 REQUEST FOR QUOTATION FOR THE PROCUREMENT OF AIRCON, STEEL CABINET, OFFICE COMPUTER SET, AND FOOD CONVEYOR</t>
  </si>
  <si>
    <t>Supply and Delivery of Medical Supplies</t>
  </si>
  <si>
    <t>Supply and Delivery of BFAR Computer Hardware for the Office Productivity Project</t>
  </si>
  <si>
    <t>Procurement of Tent</t>
  </si>
  <si>
    <t>N20-06-077 PURCHASE OF SPARE PARTS</t>
  </si>
  <si>
    <t>FURNISHING &amp; DELIVERY OF VARIOUS  MATERIALS FOR CONCRETING OF BARANGAY ROAD AT MINANGA, CAMALANIUGAN, CAGAYAN - 1ST POSTING</t>
  </si>
  <si>
    <t>Procurement of Construction materials and supplies</t>
  </si>
  <si>
    <t>Supply &amp; Delivery of  Rotary Weeder ABC:70,000.00</t>
  </si>
  <si>
    <t>Supply / Delivery of Vehicle Parts &amp; Accessories</t>
  </si>
  <si>
    <t>PROCUREMENT OF OFFICE EQUIPMENT FOR BANTAY DAGAT QUARTERS	- MAO</t>
  </si>
  <si>
    <t>PACCO-NC-2020-0315 REQUEST FOR QUOTATION FOR THE PROCUREMENT OF A3 10 MEGAPIXEL BOOK SCANNER, 4 LINE IP PHONE WITH DISPLAY, AND BIOMETRIC FACE FACIAL RECOGNITION</t>
  </si>
  <si>
    <t>Labor and materials for the Re-installation of Five (5) units 2.5HP, Wall Mounted aircon for the additional space of Cotabato Branch from 370sqm to 648sqm</t>
  </si>
  <si>
    <t>Supply and Delivery of Furniture for Gymnasium Male and Female CR of SDSSU Cantilan</t>
  </si>
  <si>
    <t>PROCUREMENT OF HANDHELD RADIO</t>
  </si>
  <si>
    <t>PROCUREMENT OF MEDICINES AND SUPPLIES</t>
  </si>
  <si>
    <t>Lease Contract for 32 units of Digital Copier Machines for SEC Head Office and Extension Offices for a period of one (1) year.</t>
  </si>
  <si>
    <t>Procurement of Supply &amp; Delivery of Farm Inputs (Typhoon Ursula)</t>
  </si>
  <si>
    <t>IMPROVEMENT (PAVEMENT) OF UBOD FMR, TABA-AO, KAPANGAN, BENGUET</t>
  </si>
  <si>
    <t>Regular Bidding 23/June/2020 - Procurement of Goods: Machinery &amp; Heavy Equipment's Spareparts for the use of CEO-Motorpool Repair &amp; Maintenance (PR#100-20-06-0087)</t>
  </si>
  <si>
    <t>Procurement of Vehicle parts and accessories</t>
  </si>
  <si>
    <t>BPSU Abucay Campus: Supply, Delivery and Installation of Laboratory Equipment for the Rehabilitation of BSA/BTVTE Building at BPSU Abucay Campus</t>
  </si>
  <si>
    <t>Supply &amp; Delivery of Agricultural Supplies ABC:327,500.00</t>
  </si>
  <si>
    <t>CONSTRUCTION OF BOX CULVERT AT CENTRAL UPPER AMBIONG (NEAR JUANITO'S RESIDENCE), AMBIONG, LA TRINIDAD, BENGUET</t>
  </si>
  <si>
    <t>Procurement of Veterinary Supplies</t>
  </si>
  <si>
    <t>Supply &amp; Delivery of other Supplies ABC:240,000.00</t>
  </si>
  <si>
    <t>Procurement of Veterinary Products and Supplies</t>
  </si>
  <si>
    <t>NC#2020-0317-2020-0058-PR2020-0095 Procurement of Various Office Supplies and Devices for the use at the Provincial Planning and Development Office, New Capitol Compound, Tagbilaran City</t>
  </si>
  <si>
    <t>Supply / Delivery of 22 pcs. Cell Cards (300’s) &amp; 10 pcs. Cell Cards (100’s)</t>
  </si>
  <si>
    <t>Supply of Office Supplies</t>
  </si>
  <si>
    <t>PR 2020-04-061 Supply and Delivery of Materials for use in 71X – (Special Maintenance – Road Signages) along Daang Maharlika Road and Surigao – Davao Coastal Road w/ Exception. (Daang Maharlika (K1377</t>
  </si>
  <si>
    <t>Supply &amp; Delivery of Construction Materials (Const. Multi-Purposed Building)</t>
  </si>
  <si>
    <t>PR 2020-03-049 Supply and Delivery of Materials for the use in 71X – (Special Maintenance – Kilometer Post) along Daang Maharlika Road, Surigao – Davao Coastal Road, Nabunturan – Mainit Park Road, and</t>
  </si>
  <si>
    <t>Supply and Delivery of Branded Brand New SLR/DSL Camera</t>
  </si>
  <si>
    <t>Provision of Vehicle Rentals	ABC:153,000.00</t>
  </si>
  <si>
    <t>SH 030-20: IT Supplies (2nd Quarter FY 2020)</t>
  </si>
  <si>
    <t>Purchase of Office Supplies for Various Offices</t>
  </si>
  <si>
    <t>Procurement of Battery, Dry Cell, AAA</t>
  </si>
  <si>
    <t>Regular Bidding 23/June/2020 - Procurement of Goods: Machinery &amp; Heavy Equipment's Spareparts for the use of CEO-Motorpool Repair &amp; Maintenance (PR#100-20-06-0086)</t>
  </si>
  <si>
    <t>Supply / Delivery of 700 liters Diesel</t>
  </si>
  <si>
    <t>Regular Bidding 23/June/2020 - Procurement of Goods: Machinery &amp; Heavy Equipment's Spareparts for the use of CEO-Motorpool Repair &amp; Maintenance (PR#100-20-06-0085)</t>
  </si>
  <si>
    <t>PR# 20-06-668 Supply of Labor and materials for the fabrication of 3 units of Aquaponics Projects for Urban Aquaculture Model 1. (PFO-Cebu)</t>
  </si>
  <si>
    <t>2 Lots Adobe Creative Cloud Complete &amp; 19 Lots Windows 10 Pro (64 Bit)</t>
  </si>
  <si>
    <t>CMO- MATERIALS FOR CITY GYMNASIUM WATERPROOFING AT POBLACION, VALENCIA CITY, BUKIDNON</t>
  </si>
  <si>
    <t>CGSO- OFFICE SUPPLIES (BULK ORDER) 2ND QUARTER (2ND BATCH)</t>
  </si>
  <si>
    <t>Package 48: Supply and Delivery of Laboratory Equipment</t>
  </si>
  <si>
    <t>RFQ 2020-TFB-007 PROCUREMENT OF MEDICAL AND LABORATORY SUPPLIES</t>
  </si>
  <si>
    <t>Maintenance/Technical Support Service for Fujitsu Primergy RX2540 M2 File Server (for 1 Year)</t>
  </si>
  <si>
    <t>S20-06-049-PURCHASE OF DIESOLINE AND GASOLIONE</t>
  </si>
  <si>
    <t>IMPROVEMENT OF ALANG - KADAYGAN ROAD, POBLACION, BUGUIAS, BENGUET</t>
  </si>
  <si>
    <t>Repair of Overflow Bridge, Phase II (near GIS Building to CAS Building)</t>
  </si>
  <si>
    <t>Procurement of Vehicle Repair and Maintenance</t>
  </si>
  <si>
    <t>Procurement of Kitchenwares</t>
  </si>
  <si>
    <t>General cleaning of Indoor and Outdoor ACUs - 2ND POSTING</t>
  </si>
  <si>
    <t>Regular Bidding 23/June/2020 - Procurement of Goods: Assistive Device for the use of CMO-GAD (Operationalization of the City Advisory Board of the Persons w/ Disablility Office) (PR#100-20-06-0084)</t>
  </si>
  <si>
    <t>Peace and order</t>
  </si>
  <si>
    <t>Purchase of 55 pcs Plaque 7" for use during the Charter day of the City Government of Laoag</t>
  </si>
  <si>
    <t>Supply and Delivery of Various Chairs for SEC Head Office and Extension Offices.</t>
  </si>
  <si>
    <t>Supply &amp; Delivery of Various Spareparts (Motorpool Maintenance)</t>
  </si>
  <si>
    <t>Health Information Technology Provider</t>
  </si>
  <si>
    <t>Capital Outlay</t>
  </si>
  <si>
    <t>ITB - Vehicles (SIDA)</t>
  </si>
  <si>
    <t>REPAIR OF MASALIN PRIMARY SCHOOL BUILDING, DALIPEY, BAKUN, BENGUET</t>
  </si>
  <si>
    <t>Repair and Maintenance of PRA Service Vehicle (2007 Toyota Super Grandia)</t>
  </si>
  <si>
    <t>PR#20-06-0277 Meals for sagip ilog (CENRO)</t>
  </si>
  <si>
    <t>RFQ 3-0620-021</t>
  </si>
  <si>
    <t>NC#2020-0316-2020-0035PR2020-0047 Procurement of Mono bloc Chair for the use at the Provincial General Services Office, New Capitol Compound, Tagbilaran City</t>
  </si>
  <si>
    <t>Local Infrastructure Program; Building and other Structures; Multi-Purpose/ Facilities: Construction and/or Repair/ Rehabilitation of Multi-Purpose Building, Brgy. Balibago, Angeles City, Pampanga</t>
  </si>
  <si>
    <t>Supply and Delivery of Compact  Digital Camera</t>
  </si>
  <si>
    <t>PROCUREMENT OF ACRYLIC DIVIDERS WITH INSTALLATION</t>
  </si>
  <si>
    <t>CONSTRUCTION OF LEPAAK RIVER SPILLWAY, BEDBED, MANKAYAN, BENGUET</t>
  </si>
  <si>
    <t>CONSTRUCTION OF WATERWORKS SYSTEM AT SITIO BOCAO, CUBA, KAPANGAN, BENGUET</t>
  </si>
  <si>
    <t>Procurement of Tire</t>
  </si>
  <si>
    <t>Local Infrastructure Program; Building and other Structures; Multi-Purpose/ Facilities: Improvement/Rehabilitation of City Hall, Brgy. Tabon, Mabalacat City, Pampanga</t>
  </si>
  <si>
    <t>SOUND SYSTEM ACCESSORIES</t>
  </si>
  <si>
    <t>CONSTRUCTION OF PERIMETER FENCE OF  AMPUSONGAN ELEMENTARY SCHOOL, AMPUSONGAN, BAKUN, BENGUET</t>
  </si>
  <si>
    <t>IMPROVEMENT OF PUGO FMR, BACULONGAN NORTE, BUGUIAS, BENGUET</t>
  </si>
  <si>
    <t>CVMO- MEDICAL SUPPLIES FOR MEDICAL MISSION (OPERATION TULI &amp; SURGICAL MISSION) 3RD QUARTER 2020</t>
  </si>
  <si>
    <t>2FB)N20-06-035 PURCHASE OF HORMONES ANTAGONISTS MEDICINES</t>
  </si>
  <si>
    <t>2,000 pcs. - Printing of Tarpaulin for Tricycle with singlet to promote Family Planning</t>
  </si>
  <si>
    <t>(2FB)N20-06-034 FURNITURES AND FIXTURES</t>
  </si>
  <si>
    <t>HEALTH INFORMATION TECHNOLOGY PROVIDER</t>
  </si>
  <si>
    <t>Package 49: Supply and Delivery of Medical Equipment</t>
  </si>
  <si>
    <t>20PA0134 : CONCRETING OF BARANGAY TABACDA FMR, Barangay Tabacda, Tubo, Abra</t>
  </si>
  <si>
    <t>XENON LAMP</t>
  </si>
  <si>
    <t>RFQ 3-0620-022</t>
  </si>
  <si>
    <t>PURCHASE OF COMPLETE SET DESKTOP AND LAPTOP COMPUTERS FOR OFFICIAL USE OF DENR-PENRO PALAWAN</t>
  </si>
  <si>
    <t>Procurement of Vehicle Spare Parts and Accessories</t>
  </si>
  <si>
    <t>Supply And Delivery of Unmanned Aerial Vehicle (UAV) “Drone” and Accessories</t>
  </si>
  <si>
    <t>CVMO- MEALS AND SNACKS FOR SPECIAL/REGULAR SESSION, COMMITTEE HEARING/MEETINGS (3RD QUARTER 2020)</t>
  </si>
  <si>
    <t>Supply and Delivery of Fertizers</t>
  </si>
  <si>
    <t>SPO- DIESEL AND GASOLINE FOR 3RD QUARTER 2020</t>
  </si>
  <si>
    <t>(Cluster IX) Local Program; Construction/ Repair/ Rehabilitation/ Improvement of Building and other Structures; Multi-Purpose/ Facilities: Construction of Multi-Purpose Building in Various Barangays a</t>
  </si>
  <si>
    <t>Improvement of Line Canal @ Brgy. Poblacion VIII, Cuenca, Batangas (Re- post)</t>
  </si>
  <si>
    <t>shipping permit20</t>
  </si>
  <si>
    <t>PURCHASE OF FIVE (5) UNITS STEEL FILING CABINET (LATERAL WITH THREE (3) DRAWERS</t>
  </si>
  <si>
    <t>IMPROVEMENT OF PANIG-AN TAMANGAN FMR (SUYONG SECTION), SEBANG, BUGUIAS, BENGUET</t>
  </si>
  <si>
    <t>T-Shirt without collar</t>
  </si>
  <si>
    <t>SUPPLY AND DELIVERY OF ELECTRICAL CONDUCTIVITY AND PH (MICRO-SENSOR) UNIT</t>
  </si>
  <si>
    <t>CW-MP-13-2020/CALAOCAN PIP svp</t>
  </si>
  <si>
    <t>Invitation to Bid for Improvement of Ramp, Building, Canopy &amp; Pavement at PCF Caoayan, Sual, Pangasinan</t>
  </si>
  <si>
    <t>COMPRESSOR &amp; CONTROL BOARD FOR 5 TONNER ACU</t>
  </si>
  <si>
    <t>2020-06-006 (SHOP): Materials, Uniforms &amp; Safety Gadgets for the Anti-Truck Overloading Activities (ATOME) within LPMDEO Area of Jurisdiction</t>
  </si>
  <si>
    <t>PAPER SUPPLIES</t>
  </si>
  <si>
    <t>INVITATION TO BID FOR THE PROCUREMENT OF FUEL FOR MOBILIZATION OF VARIOUS OFFICES</t>
  </si>
  <si>
    <t>Supply and Delivery of Drugs and Medicines</t>
  </si>
  <si>
    <t>2020-06-005 (SHOP): Office &amp; Janitorial Supplies for the use of Planning &amp; Design Section (2nd Qtr. Of CY-2020) charged to Preliminary Detailed Engineering Activities (PDE) FY 2020</t>
  </si>
  <si>
    <t>20DI0128- Construction of Multi-Purpose Building (Livelihood Training Center), Brgy. Maharlika, San Pedro City, Laguna</t>
  </si>
  <si>
    <t>2,040 pcs. - Printing of Progestin Sub-Dermal Implant (PSI) Box Sticker Label</t>
  </si>
  <si>
    <t>Improvement of School Classrooms at Various Schools for Quarantine Facilities,  Gun-ob, Lapu-Lapu City</t>
  </si>
  <si>
    <t>CVMO- DIESEL AND GASOLINE FOR 3RD QUARTER 2020</t>
  </si>
  <si>
    <t>Prcourement of Heavy Duty Scanner for Different Branch and Regional Office of National Telecommunications Commission</t>
  </si>
  <si>
    <t>PROCUREMENT OF IT EQUIPMENTS FOR PRC REGIONAL OFFICE I</t>
  </si>
  <si>
    <t>Package 50: Supply and Delivery of Small Ticket Medical Equipment</t>
  </si>
  <si>
    <t>Procurement of Information Technology equipment</t>
  </si>
  <si>
    <t>2020-06-004 (SHOP): Office Supplies for the Anti-Truck Overloading Activities (ATOME) within LPMDEO Area of Jurisdiction CY-2020</t>
  </si>
  <si>
    <t>INVITATION TO BID FOR THE PROCUREMENT OF FUEL FOR MAYOR’S OFFICE USE</t>
  </si>
  <si>
    <t>Technical Assistance in the Preparation for QMS 1st year Surveillance (Consultancy Fee)</t>
  </si>
  <si>
    <t>Supply, delivery and installation of sunscreen rollershade for SSS Kalookan Branch Office</t>
  </si>
  <si>
    <t>IMPROVEMENT OF BOX CULVERT AT CENTRAL AMBIONG, PITDAWAN, LA TRINIDAD, BENGUET</t>
  </si>
  <si>
    <t>20DI0130- Rehabilitation of Drainage Canal, Brgy. Mayapa, Calamba City, Laguna</t>
  </si>
  <si>
    <t>IMPROVEMENT OF MALANAC -SHEKDAN ROAD, DACLAN, TUBLAY, BENGUET</t>
  </si>
  <si>
    <t>20DI0129- Repair of Road, Brgy. Langgam, San Pedro City, Laguna</t>
  </si>
  <si>
    <t>Procurement of Biometric</t>
  </si>
  <si>
    <t>CONSTRUCTION OF A PERMANENT FENCE OF ALICAY - SEGUNDO ELEMENTARY SCHOOL AT DALINGOAN, SINACBAT, BAKUN, BENGUET</t>
  </si>
  <si>
    <t>20GAF0028SVP – SUPPLY/PURCHASE OF FUELS FOR  THE OPERATION OF HYUNDAI STA FE, SKA-722, DPWH-LUSDEO, NATIVIDAD, NAGUILIAN, LA UNION</t>
  </si>
  <si>
    <t>DESIGN AND BUILD FOR THE CONSTRUCTION OF 2-STOREY PASSENGER TERMINAL BUILDING AT MALATAPAY, BARANGAY MALUAY, ZAMBOANGUITA, NEGROS ORIENTAL</t>
  </si>
  <si>
    <t>20CSPA001 NOTICE OF SHORT LIST AND REQUEST FOR PROPOSALS (RFP) : DETAILED ENGINEERING DESIGN OF ABRA COLISEUM AND CONVENTION CENTER, La Paz, Abra</t>
  </si>
  <si>
    <t>Procurement Air Conditioning System</t>
  </si>
  <si>
    <t>2020-06-007 (SHOP): Annual Routine Maintenance of various National Roads &amp; Bridges, Asphalt Sealant for the (2nd Quarter of CY-2020)</t>
  </si>
  <si>
    <t>CVMO- MEALS AND SNACKS FOR SPECIAL/REGULAR SESSION, COMMITTEE HEARING/MEETINGS (BUFFET) (3RD QUARTER 2020)</t>
  </si>
  <si>
    <t>PROCUREMENT OF VARIOUS OFFICE SUPPLIES FOR PRC REGIONAL OFFICE I</t>
  </si>
  <si>
    <t>20GAF0029SVP – SUPPLY/PURCHASE OF FUELS FOR  THE OPERATION OF HYUNDAI STAREX PRI-105, DPWH-LUSDEO, NATIVIDAD, NAGUILIAN, LA UNION</t>
  </si>
  <si>
    <t>IMPROVEMENT OF THE ERODED PORTION BESIDE PHILEX MINES ELEMENTARY SCHOOL,PADCAL, CAMP 3, TUBA, BENGUET</t>
  </si>
  <si>
    <t>PURCHASED OF COMPUTER SET</t>
  </si>
  <si>
    <t>INFRASTRUCTURE WORKS FOR THE CONSTRUCTION OF LINE CANAL AT BARANGAY CALANGO, ZAMBOANGUITA, NEGROS ORIENTAL</t>
  </si>
  <si>
    <t>2020-06-008 (SHOP): Annual Routine Maintenance of various National Roads &amp; Bridges, Thermoplastic for the (2nd Quarter of CY-2020)</t>
  </si>
  <si>
    <t>SUPPLY AND DELIVERY OF VITAMIN C FOR THE PREVENTION/TREATMENT AMONG THE AFFECTED POPULATION OF THE CALAMITY</t>
  </si>
  <si>
    <t>20DI0131- Construction and/or Repair/Rehabilitation of Multi-Purpose Building, Brgy. Magsaysay, San Pedro City, Laguna</t>
  </si>
  <si>
    <t>Supply and Delivery of Robotics Kit (Re-Post)</t>
  </si>
  <si>
    <t>HO-LVD20-002 - Supply of Labor, Tools &amp; Equipment for Accuracy Testing of 21 IPP Revenue Meters</t>
  </si>
  <si>
    <t>Renovation of Market offices , Poblacion, Lapu-Lapu City</t>
  </si>
  <si>
    <t>To be used by the AVRC 1 staff</t>
  </si>
  <si>
    <t>Procurement of Medicine and Medical Supplies</t>
  </si>
  <si>
    <t>PROCUREMENT OF VARIOUS TONERS FOR PRC REGIONAL OFFICE I</t>
  </si>
  <si>
    <t>50 HP Submersible Pump and Motor and Submersible Cable</t>
  </si>
  <si>
    <t>Supply and Delivery of Office Supplies to be used for the Public Relations Consultancy Program for the year 2020 in the City of San Fernando, Pampanga</t>
  </si>
  <si>
    <t>Procurement of Office Supplies for Treasurer’s Office</t>
  </si>
  <si>
    <t>Request for Quotation for Chillers and Trash bins 20-04-0288</t>
  </si>
  <si>
    <t>Labor only for the IMPROVEMENT OF MULTI-PURPOSE BUILDING AT PUROK 4, BRGY. CABURACANAN, MALAYBALAY CITY</t>
  </si>
  <si>
    <t>CNU Procurement of lumber 20-06-232</t>
  </si>
  <si>
    <t>20DI0132- Construction of Multi-Purpose Building, Brgy. Caingin, Sta. Rosa City, Laguna</t>
  </si>
  <si>
    <t>PROCUREMENT OF SUPPLIES AND MATERIALS TO BE USED IN THE PREPARATION FOR SKILLS COMPETITION</t>
  </si>
  <si>
    <t>1 lot Hauling of 4(Four) sets Motor Controls from Stage 2 to Stage 1</t>
  </si>
  <si>
    <t>Procurement of Janitorial Supplies</t>
  </si>
  <si>
    <t>Procurement of Materials and Supplies for the mounting of 2 units of SHS TV</t>
  </si>
  <si>
    <t>20FN0099 Construction/Repair/Rehabilitation/ Improvement of Various Infrastructure including Local Projects – Flood Control Structures/Facilities – Construction of Flood Control Structure along Anolin</t>
  </si>
  <si>
    <t>Bid No. 20-0281 - PROCUREMENT OF CONSTRUCTION MATERIALS - MEO (CONSTRUCTION OF COVERED COURT - BRGY. TALIAN, MARAGUSAN, DAVAO DE ORO</t>
  </si>
  <si>
    <t>RFQ No.: 2020-06-0470 For use during the conduct of  Training on Mental Health Psychosocial Support for Pantawid Pamilya Frontline Service Provides in Response to Covid19 on July 2020 in Iloilo City</t>
  </si>
  <si>
    <t>PURCHASE OF RICE DURING STATE OF PUBLIC HEALTH EMERGENCY (COVID-19) ADDITIONAL</t>
  </si>
  <si>
    <t>1 LOT SUPPLY AND DELIVERY OF VARIOUS MATERIALS</t>
  </si>
  <si>
    <t>PURCHASE OF DUPLICATOR MACHINE, LOBOC CENTRAL ELEM. SCHOOL, LOBOC, BOHOL</t>
  </si>
  <si>
    <t>packaging material for milk drink</t>
  </si>
  <si>
    <t>20DI0133- Construction/ Rehabilitation of Multi-Purpose Building, Brgy. Dita, Santa Rosa, Laguna</t>
  </si>
  <si>
    <t>20FN0098 Construction/Repair/Rehabilitation/ Improvement of Various Infrastructure including Local Projects – Flood Control Structures/Facilities – Construction and Improvement of River Waterways alon</t>
  </si>
  <si>
    <t>INVITATION TO BID FOR THE PROCUREMENT OF MATERIALS FOR CONSTRUCTION OF GOAT HOUSE</t>
  </si>
  <si>
    <t>Construction of Barangay Buaya Health Center (Phase I) , Buaya, Lapu-Lapu City</t>
  </si>
  <si>
    <t>SUPPLY AND INSTALLATION OF HAND WASH</t>
  </si>
  <si>
    <t>Purchase of IT Equipment as Subsidy to PNP by the Provincial Government of Zamboanga del Sur</t>
  </si>
  <si>
    <t>Package 51: Supply and Delivery of Surgical Equipment</t>
  </si>
  <si>
    <t>Request for Quotation for Industrial Fans and Sando Bag 20-04-0287</t>
  </si>
  <si>
    <t>Procurement of Office Supplies, Materials, &amp; Equipment</t>
  </si>
  <si>
    <t>Purchase and Delivery of Animal Feeds and Veterinary Medicines</t>
  </si>
  <si>
    <t xml:space="preserve">20FN0100 Construction/Repair/Rehabilitation/Improvement of Various Infrastructure including Local Projects – Construction of Flood Control (Slope Protection, Rip-Rap) Project, Brgy. La Medalla, Baao, </t>
  </si>
  <si>
    <t>Supply and Delivery of Materials for the Repair and Improvement of Concepcion GID Warehouse</t>
  </si>
  <si>
    <t>Advertisement Spots</t>
  </si>
  <si>
    <t>PURCHASE OF VARIOUS COMMON USE OFFICE SUPPLIES FOR REGIONAL OFFICE USE</t>
  </si>
  <si>
    <t>OPA-HVCDP-NC-2020-0320 REQUEST FOR QUOTATION FOR THE PROCUREMENT OF CHAINSAW</t>
  </si>
  <si>
    <t>SUPPLY AND DELIVERY OF FOOD PROCESSING EQUIPMENT FOR THE LIVELIHOOD PROGRAM-MEAT PROCESSING OF SALAKNIB FARMERS ASSOCIATION</t>
  </si>
  <si>
    <t>20FN0101 Local Program – Local Infrastructure Program-Local Roads Concreting of Laganac - Tomatarayo - Cayogcog Road, Balatan, Camarines Sur Section A: Sta. 0+000.00 – Sta. 0+365.15 Sta. 0+650.00 – St</t>
  </si>
  <si>
    <t>Supply and Delivery of Construction Materials and Supplies for the Improvement of Multi-Purpose Building</t>
  </si>
  <si>
    <t>COMPLETION OF AGRICULTURAL TRADING CENTER (BAGSAKAN CENTER)</t>
  </si>
  <si>
    <t>Construction of Brgy. Road at Sitio Dating Daan</t>
  </si>
  <si>
    <t>Medical Oxygen Tank-Refill</t>
  </si>
  <si>
    <t>Procurement of Plumbing and Hardware Supplies</t>
  </si>
  <si>
    <t>RFQ No.: 2020-06-0471 For use during the conduct of  Training on Mental Health Psychosocial Support for Pantawid Pamilya Frontline Service Provides in Response to Covid19 on July 2020 in Negros Occide</t>
  </si>
  <si>
    <t>RFQ 3-0620-023</t>
  </si>
  <si>
    <t>PURCHASE MEALS AND SNACKS</t>
  </si>
  <si>
    <t>Supply and Delivery of 4WD 90Hp Farm Tractor</t>
  </si>
  <si>
    <t>20FN0102 Local Program – Building and Other Structures – Multipurpose/Facilities – Local Infrastructure Program Construction of Multi-Purpose Covered Court at San Ramon Elementary School Compound, San</t>
  </si>
  <si>
    <t>Package 52: Supply and Delivery of Medical Instruments</t>
  </si>
  <si>
    <t>Supply and Delivery of  Construction materials and supplies for the Construction of MDRRMO Parking Garrage &amp; Storage Room</t>
  </si>
  <si>
    <t>Procurement of Materials for the Establishment of Sub-Station</t>
  </si>
  <si>
    <t>RFQ 3-0620-024</t>
  </si>
  <si>
    <t>Supply and Delivery of Stainless Steel Water Tank</t>
  </si>
  <si>
    <t>UPVC AND C.I. FITTINGS</t>
  </si>
  <si>
    <t>Assisting Professional for Enterprise Development</t>
  </si>
  <si>
    <t>TV Blocktime Program</t>
  </si>
  <si>
    <t>Purchase of HDPE pipe 2" &amp; 1-1/2" SDR-11</t>
  </si>
  <si>
    <t>Package 53: Supply and Delivery of Pediatric Equipment</t>
  </si>
  <si>
    <t>Supply and Delivery of Acrylic Counter Shield</t>
  </si>
  <si>
    <t>Supply and delivery of 100 bags of Adult 2 Floater Pellets for Tilapia Breeders &amp; Fingerlings @ LPFFH, Brgy. Libongao, Kananga, Leyte. ABC PHP120,000.00</t>
  </si>
  <si>
    <t>Purchase of Business Plates/Stickers</t>
  </si>
  <si>
    <t>LCWD-2020-050 Various Fittings</t>
  </si>
  <si>
    <t>Request for Quotation for Procurement of Goods: Airconditioning Units for Subspecialty Clinic SVP 2020-119</t>
  </si>
  <si>
    <t>Supply,  and Delivery of Water Pump Motor, Sub Meter; Door Pull Handle and Foldable Platform Push Cart for Use of University Project c/o FMSS &amp; AUX</t>
  </si>
  <si>
    <t>Purchase of Furniture’s and Fixtures for Various Offices</t>
  </si>
  <si>
    <t>Construction/Extension of Barangay Hall (Phase I), Brgy. P.T. Orata, Urdaneta City</t>
  </si>
  <si>
    <t>Supply and Delivery of  Construction materials and supplies for the Construction of Multi-Purpose Building at San Mateo, Aleosan, Cotabato</t>
  </si>
  <si>
    <t>PROCUREMENT OF IT EQUIPMENT AND ACCESSORIES FOR LEASE - THREE (3) MONTHS FOR DARAB, LEGAL AND OFFICE OF THE PARPO USE CY 2020</t>
  </si>
  <si>
    <t>20DI0134- Construction/ Rehabilitation of Multi-Purpose Building,Brgy. Pulong, Santa Cruz, Laguna</t>
  </si>
  <si>
    <t>Purchase and Installation of Airconditioning Units</t>
  </si>
  <si>
    <t>Office Supplies Expenses (PHP121,697.37)</t>
  </si>
  <si>
    <t>Repair &amp; Maintenance of Building (PHP92,580.00)</t>
  </si>
  <si>
    <t>Construction of Perimeter Fence Beside Urdaneta I Central School Annex, Brgy. Poblacion, Urdaneta City</t>
  </si>
  <si>
    <t>INVITATION TO BID FOR THE SUPPLY OF FUEL &amp; OIL LUBRICANTS.</t>
  </si>
  <si>
    <t>Package 54: Supply and delivery of Medical and Laboratory Supplies and Materials</t>
  </si>
  <si>
    <t>RFQ 3-0620-025</t>
  </si>
  <si>
    <t>INVITATION TO BID FOR THE PROCUREMENT OF MATERIALS FOR REPAIR AND MAINTENANCE OF STREETLIGHTS</t>
  </si>
  <si>
    <t>Purchase of IT Equipment for Various Offices</t>
  </si>
  <si>
    <t>Package 55: Supply and delivery of Testing Kit</t>
  </si>
  <si>
    <t>HO-CCD20-002 - Supply and Delivery of Camera Mirrorless &amp; Piano Digital</t>
  </si>
  <si>
    <t>Purchase of IT, Common and Other  Supplies</t>
  </si>
  <si>
    <t>20DI0136- Construction/ Repair/ Rehab of Multi-Purpose Building, Brgy. Tagapo, Santa Rosa, Laguna</t>
  </si>
  <si>
    <t>Procurement of Grocery Items</t>
  </si>
  <si>
    <t>Supply and delivery of various Vehicle Parts &amp; Accessories for replacement &amp; maintenance parts of Heavy and Light Equipment/ Vehicles of PEO. ABC PHP564,345.00</t>
  </si>
  <si>
    <t>Invitation to Bid for Construction of Two (2) Units Potable Water Supply System Level 3 Baybay Norte &amp; Baybay Sur, Sual, Pangasinan</t>
  </si>
  <si>
    <t>20DI0135- Construction/ Repair/ Rehab of Multi-Purpose Building, Bayshore Ville Phase II, Brgy. Sinalhan, Santa Rosa Laguna</t>
  </si>
  <si>
    <t>PURCHASE OF PRINTER</t>
  </si>
  <si>
    <t>Procurement of Professional and Technical Services for Transfer of Serviceable Airconditioning Units</t>
  </si>
  <si>
    <t>MBO &amp; MACCO Budgeting and Recording System</t>
  </si>
  <si>
    <t>Procurement of Diesel Fuel for PNP</t>
  </si>
  <si>
    <t>Purchase of Frames for Certificates</t>
  </si>
  <si>
    <t>Procurement for HP Toner Cartridges</t>
  </si>
  <si>
    <t>Concreting of Lupang Tagalog Farm to Market Road (217 meters)</t>
  </si>
  <si>
    <t>Procurement of Inkjet Printer, CISS, All in One Printer, Print / Scan / Copy / WIFI for National Telecommunications Commission</t>
  </si>
  <si>
    <t>PURCHASE OF OFFICE SUPPLIES AND DEVICES</t>
  </si>
  <si>
    <t>HO-CCS20-001 - Supply and Delivery of Scanner, Over-ear Headphone &amp; Bluetooth Earphones</t>
  </si>
  <si>
    <t>Supply &amp; Delivery of One (1) Unit Motor Vehicle for Mass Transportation</t>
  </si>
  <si>
    <t>Other Supplies Material Expenses (Php 97,228.00)</t>
  </si>
  <si>
    <t>Procurement of Oil Lubricants</t>
  </si>
  <si>
    <t>20DI0138- Concreting of Access Road and Improvement of Drainage, Brgy. Santo Nino and Canlalay, Biñan, Laguna</t>
  </si>
  <si>
    <t>IMPROVEMENT/CONCRETING OF MACABAKLE BRGY. ROAD</t>
  </si>
  <si>
    <t>Repair &amp; Maintenance Other Structure</t>
  </si>
  <si>
    <t>(20NH0089(RE-AD))Construction/ Rehabilitation of Water Supply/ Septage and Sewerage/ Rain Water Collectors with Handwashing</t>
  </si>
  <si>
    <t>Television for Agriculture Clasroom-Agri Crop NCI/NCII, AP-Poutlry Chicken NCII, Organic Agriculture Prod. NCII</t>
  </si>
  <si>
    <t>S4-NPB20-002 - Supply and Delivery of Speaker, Table/PV, Shredder, Earphone &amp; Wireless Presenter Laser Pointer</t>
  </si>
  <si>
    <t>Package 56: Supply and delivery of Blood Bags</t>
  </si>
  <si>
    <t>CONSTRUCTION OF THREE (3) STOREY, NINE (9) CLASSROOMS BUILDING AT PETRON SCHOOL</t>
  </si>
  <si>
    <t>Purchase of Various Materials for the Cacao Nursery Program of the Provincial Government of Zamboanga del Sur</t>
  </si>
  <si>
    <t>RFQ: Medical Equipment (PR #20-05-516)</t>
  </si>
  <si>
    <t>HO-FAU20-003 - Supply and Delivery of Scanner/Printer, Camera Digital &amp; Shredder Paper</t>
  </si>
  <si>
    <t>20DI0139- Construction of Multi-Purpose Building, Women's Development Center, Cabuyao, Laguna</t>
  </si>
  <si>
    <t>Lay-out artist/ Designer for the development of e-flyers under the Shop Local, Go Online: Digital Marketing on Facebook project of thirty (30) MSME-enrolees under the OTOP Next Gen Program</t>
  </si>
  <si>
    <t>Construction/Rehabilitation of Water Supply/ Septage and Sewerage/Rainwater Collectors 	  in Tayabas City, Pagbilao &amp; Mauban, Quezon</t>
  </si>
  <si>
    <t>20DI0137- Construction of Multipurpose Building, Brgy. San Nicolas, Municipality of Bay, Laguna</t>
  </si>
  <si>
    <t>Purchase of 1 set Submersible Pump for the Rehabilitation of Sevilla Level III Mun. Waterworks System</t>
  </si>
  <si>
    <t>CONSTRUCTION/CONCRETING OF PROVINCIAL ROADS, HIGHWAYS AND BRIDGES (PATAG-SAN MATEO ROAD)</t>
  </si>
  <si>
    <t>SUPPLY &amp; DELIVERY OF FUEL, OIL &amp; LUBRICANTS(MEO)</t>
  </si>
  <si>
    <t>Supply &amp; Delivery of One (1) Unit Diesel Power Generator Set, 75KVA, Silent Type</t>
  </si>
  <si>
    <t>CONSTRUCTION OF WATER SYSTEM PROJECT AT BRGY. CAPUTIAN, MALALAG, DAVAO DEL SUR all in accordance to plans, specifications and scope of work and the Green Procurement Policy as adopted by SBAC Resoluti</t>
  </si>
  <si>
    <t>Supply and Delivery of External Hard Drives and Peripherals</t>
  </si>
  <si>
    <t>PURCHASE OF VARIOUS ICT EQUIPMENT FOR DARRO 02</t>
  </si>
  <si>
    <t>Other Supplies Material Expenses (Php 152,485.00)</t>
  </si>
  <si>
    <t>Construction of Slope Protection @ Brgy. Calumayin, Cuenca, Batangas</t>
  </si>
  <si>
    <t>20DI0141- Construction of Multi - purpose Building, San Pedro City, Laguna</t>
  </si>
  <si>
    <t>20DI0140-Construction of Multi-Purpose Building (Welness Center), Brgy. San Nicolas, Bay, Laguna</t>
  </si>
  <si>
    <t>Repair and Maintenance of Multicab.</t>
  </si>
  <si>
    <t>Procurement of Batteries</t>
  </si>
  <si>
    <t>Purchase of Air Conditioning Units as Subsidy to PNP by the Provincial Government of Zamboanga del Sur.</t>
  </si>
  <si>
    <t>Invitation to Bid and Bidding Documents</t>
  </si>
  <si>
    <t>Other Supplies Material Expenses (Php 103,236.00)</t>
  </si>
  <si>
    <t>20DI0142- Construction/ Repair/ Rehab of Multi-Purpose Building, Brgy. Don Jose, Santa Rosa, Laguna</t>
  </si>
  <si>
    <t>Package 57: Supply and delivery of Insecticides</t>
  </si>
  <si>
    <t>INSTALLATION OF LINED CANALS AND SLOPE PROTECTION AT SITIO UPPER CABACUNGAN TO BOUNDARY SITIO WALO, BARANGAY BULACAN, MALALAG, DAVAO DEL SUR all in accordance to plans, specifications and scope of wor</t>
  </si>
  <si>
    <t>To be used in MLWD New Wells &amp; defective VFD of wells - PR # 2020-11952</t>
  </si>
  <si>
    <t>Training Expenses (92,000.00)</t>
  </si>
  <si>
    <t>PROCUREMENT OF ONE (1) UNIT BRAND NEW DUPLICATING MACHINE WITH PROVISION OF EXTRA INKS AND MASTER ROLLER</t>
  </si>
  <si>
    <t>Labor and Materials for the Fabrication and Installation of 31 Units of Oyster Plot Hanging Method under SAAD 2020 Livelihood Assistance for the Province of Sorsogon</t>
  </si>
  <si>
    <t>20DI0143- Construction of Drainage System, Brgy. Dela Paz,Biñan, Laguna</t>
  </si>
  <si>
    <t>Construction of City Fire Hydrants &amp; Accessories @ City Proper,  Cadiz City</t>
  </si>
  <si>
    <t>Procurement of Travel Pump Assy.</t>
  </si>
  <si>
    <t>20DI0144- Rehabilitation of Drainage, Old National Highway Brgy. Sto. Niño and Brgy. Vicente, Biñan City, Laguna</t>
  </si>
  <si>
    <t>CONSULTANCY SERVICES FOR THE CONDUCT OF FEASIBILITY STUDY, PLANNING AND STRUCTURAL DESIGN FOR THE CONSTRUCTION OF GABION DAM IN MOGPOG RIVER, BRGY. BOCBOC MARINDUQUE</t>
  </si>
  <si>
    <t>Construction/Rehabilitation of Water Supply                                              /Septage and Sewerage/Rainwater Collectors/      in General Nakar, Infanta, Polillo     and  Burdeos, Quezon Sc</t>
  </si>
  <si>
    <t>SUPPLY &amp; DELIVERY OF FUEL, OIL &amp; LUBRICANTS(SBO)</t>
  </si>
  <si>
    <t>Supply and delivery of 92 Tanks Liquefied Petroleum Gas, (LPG) for use in Main Jail food preparation for inmates, July 1 to Dec.31, 2020. ABC PHP459,540.00</t>
  </si>
  <si>
    <t>CONCRETING OF BAYATAKAN ROAD PHASE II</t>
  </si>
  <si>
    <t>PURCHASE OF 165 PCS FLU VACCINE WITH ADMINISTRATION</t>
  </si>
  <si>
    <t>Supply and delivery of 72,000 pcs of Shipping cartons for NDA-SMD, Davao City</t>
  </si>
  <si>
    <t>Catering Service for the Orientation Training on Contact Tracing</t>
  </si>
  <si>
    <t>Procurement of Plumbing Materials &amp; Supplies</t>
  </si>
  <si>
    <t>Supply of Tissue Paper, Paper Towel and Facial Tissue</t>
  </si>
  <si>
    <t xml:space="preserve">CONSTRUCTION OF JUNCTIONS FOR THE REHABILITATION OF SAN ISIDRO, HAGONOY TO KM. 67, MATANAO FMR all in accordance to plans, specifications and scope of work and the Green Procurement Policy as adopted </t>
  </si>
  <si>
    <t>TO BE USED FOR REPLACEMENT OF PUMP &amp; MOTOR MLWD AREA - PR # 2020-12035</t>
  </si>
  <si>
    <t>For Fabrication of GI Nipple - PR # 2019-12066</t>
  </si>
  <si>
    <t>construction of fence</t>
  </si>
  <si>
    <t>Construction of One (1) Storey, 1-Classroom School Building @ San Andres Elementary School, Brgy. Banquerohan, Cadiz City</t>
  </si>
  <si>
    <t>RFQ - COPIER</t>
  </si>
  <si>
    <t>MG-PLM20-083 - GALVANIZED STEEL CABLE WIRE</t>
  </si>
  <si>
    <t>Procurement for various Audio Visual Equipment</t>
  </si>
  <si>
    <t>Supply and delivery of 6 units Airconditioner 1HP, window type, non-inverter and 4 unit Airconditioner 2HP, window type non-inverter for Abuyog District Hospital, Covid Ward. ABC PHP400,000.00</t>
  </si>
  <si>
    <t>Provision of Office Supplies, Equipment and Other Supplies</t>
  </si>
  <si>
    <t>INVITATION TO BID FOR THE CONCRETING OF ROAD AT GALLEMIT STREET, BARANGAY LANGATIAN WITH PR#2020-20%-06-016 FOR MEO AND ABC OF P 999,872.30</t>
  </si>
  <si>
    <t>RFQ 3-0620-026</t>
  </si>
  <si>
    <t>Supply / Delivery of Catering Services</t>
  </si>
  <si>
    <t>PROCUREMENT OF 1ST AND 2ND SEMESTER 2018-2019 OFFICE SUPPLIES/ MATERIALS AND EQUIPMENT FOR SCHOLARSHIP AND FINANCIAL ASSISTANCE OFFICE</t>
  </si>
  <si>
    <t>CONSTRUCTION OF MULTI PURPOSE BUILDING (WAREHOUSE) AT SIARGAO DISTRICT HOSPITAL</t>
  </si>
  <si>
    <t>Supply and delivery of various materials for official use on BAR funded project on the Performance Evaluation of Red Tilapia in Freshwater and Marine Cages in Central Luzon</t>
  </si>
  <si>
    <t>SUPPLY &amp; DELIVERY OF FUEL, OIL &amp; LUBRICANTS(MEO#2)</t>
  </si>
  <si>
    <t>SUPPLY AND DELIVERY OF THIRTY FOUR (34) UNITS BRAND NEW TRACTOR WITH IMPLEMENTS</t>
  </si>
  <si>
    <t>SUPPLY &amp; DELIVERY OF DRUGS &amp; MEDICINES(RHU)</t>
  </si>
  <si>
    <t>INVITATION TO BID FOR  THE CONCRETING OF ROAD AT BARANGAY MINANG WITH PR#2020-20%-03-011 FOR MEO AND ABC OF P 998,241.05</t>
  </si>
  <si>
    <t>SLOPE PROTECTION</t>
  </si>
  <si>
    <t>Radio Blocktime Program</t>
  </si>
  <si>
    <t>Supply/Delivery of Office Equipment for RIM Quarter &amp;  RO V Conference Room  of  NIA RO V, Naga City</t>
  </si>
  <si>
    <t>Supply, Delivery and Installation of 4 Units High Volume Low Speed Fan</t>
  </si>
  <si>
    <t>INVITATION TO BID FOR THE CONCRETING OF ROAD AT SERGIO OSMEÑA ST., BRGY.LANGATIAN WITH PR#2020-20%-03-010 FOR MEO AND ABC OF P 999,329.49</t>
  </si>
  <si>
    <t>Other Supplies Material Expenses (Php 300,000.00)</t>
  </si>
  <si>
    <t>Production/Printing OF 2019 NAPOLCOM Annual Report</t>
  </si>
  <si>
    <t>Procurement of Const. &amp; Plumbing Supplies</t>
  </si>
  <si>
    <t>Supply &amp; Delivery of Materials for the Repair &amp; Improvement of Brgy. Road @ Eusebio Subdivision, Brgy. Zone II, Cadiz City</t>
  </si>
  <si>
    <t>Procurement of Materials for Improvement of Multi-Purpose Hall</t>
  </si>
  <si>
    <t>Purchase of 1 set 3hp Submersible Pump and Accessories</t>
  </si>
  <si>
    <t>Supply and Delivery of Two (2) Units Brand New Mini Bus, 4x2 M/T Diesel</t>
  </si>
  <si>
    <t>Procurement of 313, 150 Liters Diesel Fuel</t>
  </si>
  <si>
    <t>Purchase of  Construction Materials for the Rehabilitation/Repair of BEMONC Building - MHO, Municipal Site, Katipunan, R. T. Lim, Zamboanga Sibugay</t>
  </si>
  <si>
    <t>Supply and delivery of 1 unit Refrigerator w/ Inverter, 2 doors and 2 units Stand Fan for use in Dr. Manuel B. Veloso Memorial Hospital, Palompon, Leyte. ABC PHP60,000.00</t>
  </si>
  <si>
    <t>Procurement of Const. Materials for Shoreline Protection</t>
  </si>
  <si>
    <t>PURCHASE OF EQUIPMENT FOR EVACUATION CENTER-031N</t>
  </si>
  <si>
    <t>MAINTENANCE OF GOV'T VEHICLE  Navara, Compactor and Ambulance</t>
  </si>
  <si>
    <t>REHABILITATION OF MULTI-PURPOSE HALL – CAPITAN BAYONG – BARANGAY PROPER, IMPASUGONG, BUKIDNON</t>
  </si>
  <si>
    <t>Organic for Agriculture NC II for Practical Work Area</t>
  </si>
  <si>
    <t>REPAIR AND MAINTENANCE OF CCTV SYSTEM AT  LEGAZPI AIRPORT – 2ND SVP</t>
  </si>
  <si>
    <t>SUPPLIES/EQUIPMENT FOR PREPAREDNESS, MITIGATION &amp; REPSONSE PURPOSES-029N</t>
  </si>
  <si>
    <t>Procurement of Office Supplies for Assessor’s Office</t>
  </si>
  <si>
    <t>RFQ-GS-20200605-01 - 6 Units Portable Exhaust Fan</t>
  </si>
  <si>
    <t>For Replacement of Defective Units - PR # 12055</t>
  </si>
  <si>
    <t>RFQ146 Procurment of Alcohol For use in response to COVID-19 in Region 02</t>
  </si>
  <si>
    <t>MG-PLM20-103 - DESKTOP COMPUTER i5 INTEL PROCESSOR</t>
  </si>
  <si>
    <t>Supply and Delivery of DMMMSU-OUS IT Equipment</t>
  </si>
  <si>
    <t>PR No. 2020-0564 (Morallos) Procurement of Construction Supplies</t>
  </si>
  <si>
    <t>Purchase of construction materials and supplies</t>
  </si>
  <si>
    <t>Invitation to Rebid for Supply, and Delivery of Materials for Replacement and Expansions of Pipelines</t>
  </si>
  <si>
    <t>MAINTENANCE OF GOV'T VEHICLE Ambulance, Nissan Urban bus, Canter &amp; etc.</t>
  </si>
  <si>
    <t>Supply and Delivery of One (1) Unit Brand New Big Bus, 6 Wheeler, Completely Build Unit (CBU)</t>
  </si>
  <si>
    <t>Supply/Delivery of Office Supplies</t>
  </si>
  <si>
    <t>PR NO_852 OFFICE SUPPLIES BAL- CITY BUDGET</t>
  </si>
  <si>
    <t>Procurement for Subscription of Photo and Video Editing Software</t>
  </si>
  <si>
    <t>20HH0135-Local Program: Local Infrastructure Program – Buildings and other Structure – Multi Purpose / Facilities – Construction and / or Repair / Rehabilitation of Multi Purpose Building, Brgy. Laban</t>
  </si>
  <si>
    <t>2LSSM2020A-132 Office Supplies</t>
  </si>
  <si>
    <t>Construction of Comfort Rooms (Oval &amp; Park), DMMMSU-NLUC, Sapilang, Bacnotan, La Union</t>
  </si>
  <si>
    <t>2LSSM2020A-133 Office Supplies</t>
  </si>
  <si>
    <t>Supply and delivery of various Furniture for use in Two-Storey Multipurpose Bldg., at Gov't. Center Candahug, Pslo, Leyte. ABC PHP62,095.00</t>
  </si>
  <si>
    <t>HFEP ITB 2020-002 Infrastructure</t>
  </si>
  <si>
    <t>20GEF009 (Re-bid 1) Cluster IV – 1. Supply and Delivery of Office Equipment for use of Maintenance Section 2. Supply and Delivery of I.T. Equipment for use of Maintenance Section Palawan 2nd DEO, Narr</t>
  </si>
  <si>
    <t>Purchase of Ground Engaging Tools, Under Chassis and Tires for the Repair of Various Heavy Equipment of PEO.</t>
  </si>
  <si>
    <t>Semi-Expendable ICT Equipment Expenses (Php 161,700.00)</t>
  </si>
  <si>
    <t>20HC0180- CONSTRUCTION OF LEVEL III  WATER SUPPLY SYSTEM, BUENAVISTA, BOHOL</t>
  </si>
  <si>
    <t>Supply and delivery of Alcohol Sprayer Wall Mounted for official use in BFAR 3 Regional Office, TOSES and PFOs to avoid spreading of COVID 19 Pandemic</t>
  </si>
  <si>
    <t>RFQ-GS-20200605-02 - Subscription and Installation of Wireless IP VPN Lines as Emergency/Back-up Links for 35 LANDBANK Branches &amp; Offsite ATMs</t>
  </si>
  <si>
    <t>CONCRETING OF ROAD AND CONSTRUCTION OF DRAINAGE CANAL Z-2</t>
  </si>
  <si>
    <t>Supply and Delivery of I.T. Equipment</t>
  </si>
  <si>
    <t>Supply and Delivery of Plastic School Tablet Armchair of SDSSU Tagbina Campus</t>
  </si>
  <si>
    <t>Tools and Equipment for Agriculture</t>
  </si>
  <si>
    <t>Procurement of Supplies for Piggery- OMSC Murtha</t>
  </si>
  <si>
    <t>PR NO_840 OFFICE SUPPLIES BAL- CITY HEALTH</t>
  </si>
  <si>
    <t>Procurement of Const. Materials for Rehab. Brgy. Dos, Local Road</t>
  </si>
  <si>
    <t>Purchase of Purchase of cleaner blade for the maintenance of the photocopying machine at MCR</t>
  </si>
  <si>
    <t>PURCHASE OF BRAND NEW MULTI-PURPOSE STAINLESS WATER TANKER FOR THE MUNICIPALITY OF ALEGRIA USE</t>
  </si>
  <si>
    <t>20HH0136-Local Program: Local Infrastructure Program – Buildings and other Structure – Multi Purpose / Facilities – Construction of Multi – Purpose Building, Barangay Labangon, Cebu City</t>
  </si>
  <si>
    <t>SUPPLY AND DELIVERY OF IT EQUIPMENT, DMMMSU-CA, Sapilang, Bacnotan, La Union</t>
  </si>
  <si>
    <t>For use of Service Vehicle NISSAN NAVARRA (H1-5189/OV-5862)</t>
  </si>
  <si>
    <t>20EF0118 Cluster I – 1. Construction of Rain Water Collection System (RWCS) Batang-Batang Beach Elementary School 2. Construction of Rain Water Collection System (RWCS) Cabuluan Elementary School 3. C</t>
  </si>
  <si>
    <t>For use of Various light and heavy equipment detailed at DPWH, Quezon 1st District Engineering Office, Lucban, Quezon</t>
  </si>
  <si>
    <t>Supply and delivery of various Dextrose and Medical Fluids for use in Carigara District Hospital. ABC PHP900,000.00</t>
  </si>
  <si>
    <t>REHABILITATION OF EXISTING MUNICIPAL ROADS</t>
  </si>
  <si>
    <t>Supply and delivery of 4 pcs. Tubeless Tires (205/65R15) for Toyota Innova plate #080110-TP for use of Sangguniang Panlalawigan. ABC PHP38,400.00</t>
  </si>
  <si>
    <t>SUPPLY AND DELIVERY OF LABORATORY EQUIPMENT-C, DMMMSU-SRDI, Sapilang, Bacnotan, La Union</t>
  </si>
  <si>
    <t>2LSSM2020A-134 Office Supplies</t>
  </si>
  <si>
    <t>PRINTING OF STATEMENT OF ACCOUNT</t>
  </si>
  <si>
    <t>Construction of Waiting Shed</t>
  </si>
  <si>
    <t>Purchase of spareparts for the repair of heavy equipment of the Municipality</t>
  </si>
  <si>
    <t>COMPLETION OF INSTALLATION OF STREETLIGHTING SYSTEM @ BANGQUEROHAN AREA</t>
  </si>
  <si>
    <t>20EF0119 Cluster II – 1. Construction of Rain Water Collection System (RWCS) El Salvador Elementary School 2. Construction of Rain Water Collection System (RWCS) Olympic Elementary School 3. Construct</t>
  </si>
  <si>
    <t>SUPPLY AND DELIVERY OF FURNITURE AND FIXTURES, DMMMSU-OUS, City of San Fernando, La Union</t>
  </si>
  <si>
    <t>Fuels , Oil and Lubricants</t>
  </si>
  <si>
    <t>Proposed Purchase of Split Type 2.5 Hp. Aircondition with accessories</t>
  </si>
  <si>
    <t>2LSSM2020A-135 Office Supplies</t>
  </si>
  <si>
    <t>20HH0138-Repair / Maintenance of Drainage System along Old Cadre Rd. (S00037CB) Chainage 330 – Chainage 539, Brgy. Kasambagan, Cebu City</t>
  </si>
  <si>
    <t>Improvement of Water System Brgy. Malire to Brgy. Poblacion Proper, Antipas, Cotabato</t>
  </si>
  <si>
    <t>Supply and Delivery of DMMMSU-OUS Office Supplies and Consumables</t>
  </si>
  <si>
    <t>2nd Quarter Supplies for PO DCDS</t>
  </si>
  <si>
    <t>2LSSM2020A-137 Other Supplies and Materials</t>
  </si>
  <si>
    <t>PURCHASE OF INKJET PRINTER</t>
  </si>
  <si>
    <t>PROJ. 838 - YDP 2020</t>
  </si>
  <si>
    <t>2LSSM2020A-139 Other Supplies and Materials</t>
  </si>
  <si>
    <t>20EF0120 Cluster III – 1. Construction of Rain Water Collection System (RWCS) New Panay Elementary School 2. Construction of Rain Water Collection System (RWCS) Irader Elementary School 3. Constructio</t>
  </si>
  <si>
    <t>20HH0139-Repair and Maintenance of Road Safety Facilities (Installation of Road Safety Devices) along Cebu South Properties (Tunnel), Cebu South Road Properties and Gov. Cuenco Avenue, Cebu City</t>
  </si>
  <si>
    <t>2LSSM2020A-136 Other Supplies and Materials</t>
  </si>
  <si>
    <t>IMPROVEMENT OF PANGANIBAN MUNICIPAL WATER SYSTEM</t>
  </si>
  <si>
    <t xml:space="preserve">20EF0121 Cluster IV – 1. Construction of Rain Water Collection System (RWCS) Mangkongon Elementary School 2. Construction of Rain Water Collection System (RWCS) Amas Elementary School 3. Construction </t>
  </si>
  <si>
    <t>Supply and Delivery of Consumables</t>
  </si>
  <si>
    <t>2LSSM2020A-138 Other Supplies and Materials</t>
  </si>
  <si>
    <t>Supply and delivery of various furnitures to Planning, Monitoring and Evaluation Section</t>
  </si>
  <si>
    <t>2LSSM2020A-140 Other Supplies and Materials</t>
  </si>
  <si>
    <t>CID No. 20OD0191 - Repair/Maintenance of DPWH Building, Building I &amp; II, Metro Manila III District Engineering Office, APDC Compound, Valenzuela City</t>
  </si>
  <si>
    <t>20HH0140-Repair and Maintenance of Road Safety Facilities (Installation of Road Safety Devices) along Cebu Balamban Transcentral Highway, Cebu City</t>
  </si>
  <si>
    <t>REI_20CSE008: Consulting Services for the Conduct of Feasibility Study of the Proposed Coron-Culion Bridge, Palawan</t>
  </si>
  <si>
    <t>2LSSM2020A-142 Food Supplies</t>
  </si>
  <si>
    <t>2LSSM2020A-141 Other Supplies and Materials</t>
  </si>
  <si>
    <t>SUPPLY AND DELIVERY OF 2 UNITS LED TELEVISION</t>
  </si>
  <si>
    <t>Procurement of Consulting Services - Preparation of EIS and Facilitation of ECC Application</t>
  </si>
  <si>
    <t>RFQ-GS-20200323-02 - One (1) Year Printing, Mail Envelope Processing and Delivery of Credit Card Statement of Accounts (6,300 Accounts)</t>
  </si>
  <si>
    <t>PSYCHOLOGICAL ASSESSMENT SERVICES</t>
  </si>
  <si>
    <t>REPAIR AND MAINTENANCE OF THE OCDRO5 BUILDING</t>
  </si>
  <si>
    <t>Repair and Maintenance of OCDRO5 Generator- FG Wilson</t>
  </si>
  <si>
    <t>COMPLETION OF  BAGSAKAN VEGETABLE CENTER-OTHER STRUCTURE</t>
  </si>
  <si>
    <t>PR 2020-05-086 Supply and Delivery of Consolidated I.T. Consumables, for use in the Office of the District Engineer DEO, Nabunturan, Davao De Oro (for the 3rd quarter of 2020)</t>
  </si>
  <si>
    <t>SUPPLY AND DELIVERY OF LOT 1 AND LOT 3 10 BAGS OF SORGHUM SEEDS FOR OCCIDENTAL MINDORO AND PALAWAN</t>
  </si>
  <si>
    <t>INFORMATION TECHNOLOGY - COMPUTER TABLET</t>
  </si>
  <si>
    <t>2LSSM2020B-169 Office Supplies</t>
  </si>
  <si>
    <t>Procurement for Professional Video Conferencing Platform Subscription</t>
  </si>
  <si>
    <t>SUPPLY AND DELIVERY OF 2ND QRT OFFICE SUPPLIES OF CAVITE AREA</t>
  </si>
  <si>
    <t>2LSSM2020A-143 Food Supplies</t>
  </si>
  <si>
    <t>PR 2020-05-087 Supply and Delivery of Materials for the use in Activity 112 (Penetration Patching Bituminous Pavement) along Daang Maharlika Road and Surigao – Davao Coastal Road (Intermittent Section</t>
  </si>
  <si>
    <t>CONSTRUCTION OF DRAINAGE CANAL – SEWER SYSTEM 690 Lm</t>
  </si>
  <si>
    <t>2LSSM2020A-171 Office Supplies</t>
  </si>
  <si>
    <t>2LSSM2020A-173 Office Supplies</t>
  </si>
  <si>
    <t>G-2020-268 Supply and Delivery of Laying Cages for Egg Production, Gender and Development</t>
  </si>
  <si>
    <t>I-2020-015 Improvement of City Health Office, Barangay VII</t>
  </si>
  <si>
    <t>G-2020-346 Supply and Installation of Airconditioning Unit, Office of the City Mayor</t>
  </si>
  <si>
    <t>G-2020-345 Supply and Delivery of Assorted Supplies, Publoc Order and Safety Office - LDRRMD</t>
  </si>
  <si>
    <t>Procurement of Creative Cloud and Anti-Virus Software</t>
  </si>
  <si>
    <t>2LSSM2020A-170 Office Supplies</t>
  </si>
  <si>
    <t>G-2020-344 Supply and Delivery of Surveillance Camera, City Schools Division</t>
  </si>
  <si>
    <t>G-2020-341 Supply and Delivery of Customized Pin Badge Buttons &amp; Glass Plaque, Gender and Development</t>
  </si>
  <si>
    <t>2LSSM2020A-172 Office Supplies</t>
  </si>
  <si>
    <t xml:space="preserve">PR 2020-05-088 Supply and Delivery of Materials for the use in Activity 121 (Patching Concrete Pavement) along Daang Maharlika Road and Surigao – Davao Coastal Road (intermittent section) K1377±203 – </t>
  </si>
  <si>
    <t>Procurement for the Repair of PCB Prototyping Machine</t>
  </si>
  <si>
    <t>Procurement of Consulting Services - Conduct of Geo-technical (Soil) Investigation</t>
  </si>
  <si>
    <t>SUPPLY AND DELIVERY OF HEAVY EQUIPMENT</t>
  </si>
  <si>
    <t>CONSTRUCTION OF TWO STOREY MULTI-PURPOSE BUILDING PHASE 2</t>
  </si>
  <si>
    <t>20CSBG002: Geotechnical Investigation for Proposed Bridge Project – (2) Saraga Bridge, San Mariano, Isabela, (2) Bigao Bridge, San Mariano, Isabela, (2) Tinabukolan Bridge, San Mariano, Isabela, (2) V</t>
  </si>
  <si>
    <t>Purchase of medicine fluids for sale in the Pharmacy of Bauan General Hospital, Bauan, Batangas</t>
  </si>
  <si>
    <t>Purchase of Printers, Other ICT Semi-Expendable Equipment and Consumables</t>
  </si>
  <si>
    <t>improvement of evacuation center (2nd floor)</t>
  </si>
  <si>
    <t>REPOSTING: PURCHASE OF TECHNICAL &amp; SCIENTIFIC EQUIPMENT FOR FIRST QUARTER 2020</t>
  </si>
  <si>
    <t>Purchase of injectable medicines for sale in the Pharmacy of Bauan General Hospital, Bauan, Batangas</t>
  </si>
  <si>
    <t>20CSJ002 - Consulting Services for the Sub-Surface Exploration Thru Calyx Drilling and Laboratory Works/Analysis for Widening of Five Bridges for Sulu 2nd, BARMM</t>
  </si>
  <si>
    <t>2LSSM2020A-177 Food Supplies</t>
  </si>
  <si>
    <t>20CSBG003: Geotechnical Investigation for Proposed Bridge Project – (2) Nueva Era Bridge, Cabatuan, Isabela</t>
  </si>
  <si>
    <t xml:space="preserve">20BG0147: Local Program - Construction/Repair/Rehabilitation/Improvement of Various Infrastructure including Local Projects –Local Roads and Bridges – Local Bridges – Construction of Over-pass (Phase </t>
  </si>
  <si>
    <t>2LSSM2020A-176 Food Supplies</t>
  </si>
  <si>
    <t>Supply and Delivery of Mefenamic Acid, Co-Amoxiclav, and Atorvastatin for Clinic Use (BAC Reference No. SVP 2020-055-MEDS)</t>
  </si>
  <si>
    <t>Procurement of 1 Lot Fuel, Oil and Lubricant Expenses for the 3rd Quarter of 2020</t>
  </si>
  <si>
    <t>2LSSM2020A-174 Office Supplies</t>
  </si>
  <si>
    <t>2LSSM2020A-175 Food Supplies</t>
  </si>
  <si>
    <t>20CSBG004: Geotechnical Investigation for Proposed Flood Control Project – Approaches of Ganano Bridge (Revetment), Alicia, Isabela</t>
  </si>
  <si>
    <t>20DQ0114 - LOCAL PROGRAM – Local Infrastructure Program – Local Roads and Bridges – Local Roads – Rehabilitation of road and reblocking at Springville Heights, Bacoor, Cavite and Rehabilitation of Roa</t>
  </si>
  <si>
    <t>20DQ0112 - LOCAL PROGRAM - Local Infrastructure Program - Flood Control and Drainage - Drainage / Protection Works – Rehabilitation of Drainage, Brgy. Zapote IV, Bacoor City, Cavite; Rehabilitation of</t>
  </si>
  <si>
    <t>20DQ0115 - LOCAL PROGRAM – Local Infrastructure Program – Buildings and Other Structures- Multi-Purpose /Facilities – Rehabilitation (Completion) of Multi-Purpose Building, Brgy. Francisco Reyes, Gen.</t>
  </si>
  <si>
    <t>Supply and Delivery of Prepaid Cards for use of Finance Services Department Personnel who are on Work From Home arrangement (BAC Reference No. SVP 2020-054-PC)</t>
  </si>
  <si>
    <t>CONSTRUCTION OF DRAINAGE SYSTEM COVER - PROCUREMENT OF MATERIALS</t>
  </si>
  <si>
    <t>20DQ0113 - ORGANIZATIONAL OUTCOME 2: Protect Lives and Properties Against Major Floods - Flood Management Program - Construction/ Maintenance of Flood Mitigation Structures and Drainage Systems - Cons</t>
  </si>
  <si>
    <t>Procurement of 1 Lot Various Office Supplies for the 3rd Quarter of 2020</t>
  </si>
  <si>
    <t>Procurement of 1 Lot Rehabilitation Supplies for the 3rd Quarter of 2020</t>
  </si>
  <si>
    <t>20CSJ003 - Consulting Services for the Sub-Surface Exploration Thru Calyx Drilling and Laboratory Works/Analysis for Replacement of Nine (9) Bridges for Sulu 1st BARMM</t>
  </si>
  <si>
    <t>2LSSM2020A-180 Other Supplies and Materials</t>
  </si>
  <si>
    <t>20DQ0116 - ORGANIZATIONAL OUTCOME 2: Protect Lives and Properties Against Major Floods - Flood Management Program - Construction/ Maintenance of Flood Mitigation Structures and Drainage Systems - Cons</t>
  </si>
  <si>
    <t>2LSSM2020A-178 Food Supplies</t>
  </si>
  <si>
    <t>Purchase of medical supplies to be used at Bauan General Hospital, Bauan, Batangas</t>
  </si>
  <si>
    <t>GENERATOR SET INSTALLATION AND RE-WIRING</t>
  </si>
  <si>
    <t>RFQ - Procurement of COVID Essential Supplies for Division Office use</t>
  </si>
  <si>
    <t>Procurement of Snacks for Barangay Assembly</t>
  </si>
  <si>
    <t>2LSSM2020A-179 Other Supplies and Materials</t>
  </si>
  <si>
    <t>20E00084 - LIP - Construction of Odiongan By-pass Road (Phase 4), Odiongan, Romblon</t>
  </si>
  <si>
    <t>Supply and Delivery of Various Electrical and Plumbing Supplies for use in the Repair/Replacement of Electrical and Plumbing Fixtures at COMELEC Offices and Cottages, COMELEC Compound, Baguio City (BA</t>
  </si>
  <si>
    <t>Supply and Delivery of Time Card for use of Leave Section (BAC Reference No. SVP 2020-057TC)</t>
  </si>
  <si>
    <t>2LSSM2020A-181 Other Supplies and Materials</t>
  </si>
  <si>
    <t>Procurement of 1 Lot Military Supplies (Ammunition) for the 3rd Quarter of 2020</t>
  </si>
  <si>
    <t>Procurement of 1 Lot Various Drugs and Medicines for the 3rd Quarter of 2020</t>
  </si>
  <si>
    <t>Supply and Delivery of KN95 Face Mask and Rubber Gloves</t>
  </si>
  <si>
    <t xml:space="preserve">20DQ0117 - LOCAL PROGRAM – Local Infrastructure Program – Buildings and Other Structures – Multipurpose/Facilities – Rehabilitation/Improvement of Multi-Purpose Building, Brgy. Talaba V, Bacoor City, </t>
  </si>
  <si>
    <t>Procurement of 1 Lot Printing and Publication for the 3rd Quarter of 2020</t>
  </si>
  <si>
    <t>Supply and Delivery of Laboratory Supplies ID of Gram Negative Bacteria</t>
  </si>
  <si>
    <t>Improvement of Barangay Multipurpose Hall</t>
  </si>
  <si>
    <t>Supply and Delivery of Office Supplies for City Budget Office</t>
  </si>
  <si>
    <t>CONSTRUCTION OF WATER SYSTEM - PROCUREMENT OF MATERIALS</t>
  </si>
  <si>
    <t>Supply &amp; Delivery of Construction Materials for  DONGOS SIP PHASE III: PACKAGE II – GOODS (2nd Call)</t>
  </si>
  <si>
    <t>Development  and Deployment of the Philippines Anti-Illegal Drugs Strategy – Agency Reporting and Monitoring System (PADS-ARMS)</t>
  </si>
  <si>
    <t>PROCUREMENT OF 1 COMBO SET OF CCTV</t>
  </si>
  <si>
    <t>CONSTRUCTION OF CANAL STRUCTURES AND INSTALLATION OF STEEL PIPE SIPHON: CANIPAY SIP PHASE VI (2nd Call)</t>
  </si>
  <si>
    <t>Construction of concrete pavement road section in Barangay De Guzman, Mabini, Pangasinan</t>
  </si>
  <si>
    <t>EDUCATIONAL SUPPLIES AND MATERIALS</t>
  </si>
  <si>
    <t>Supply and Installation of Surveillance Cameras</t>
  </si>
  <si>
    <t>Proposed Barangay Street Lighting Phase I</t>
  </si>
  <si>
    <t>Reproduction of Detailed Lesson Plan</t>
  </si>
  <si>
    <t>supply and delivery of Spare Parts with labor for the repair and maintenance of service vehicle</t>
  </si>
  <si>
    <t>Delivery of Supplies -Electrical Supplies</t>
  </si>
  <si>
    <t>Drinking Water</t>
  </si>
  <si>
    <t>Supply and Delivery of Office Supplies for City Mayor's Office</t>
  </si>
  <si>
    <t>Supply and delivery of various construction materials for the rehabilitation of  Barangay Health Center at Cabanaetan, Mabini, Pangasinan</t>
  </si>
  <si>
    <t>Purchase and Installation of Security System (8 - Channel CCTV)</t>
  </si>
  <si>
    <t>20GKC0007 - PROCUREMENT OF COMMON OFFICE SUPPLIES AND CONSUMABLE FOR USE IN THE OPERATION OF BUKIDNON 3RD DEO, (1ST QUARTER, CY 2020)</t>
  </si>
  <si>
    <t>CONSTRUCTION OF CANAL &amp; CANAL STRUCTURES, SUPPLY &amp; INSTALLATION OF STEEL PIPE SIPHON &amp; uPVC PIPE SIPHON AT DONGOS SIP PHASE III CY 2018 (INFRA)  (2nd Call)</t>
  </si>
  <si>
    <t>Delivery of Supplies : Electrical Supplies</t>
  </si>
  <si>
    <t>Delivery of Supplies - Electrical Supplies</t>
  </si>
  <si>
    <t>2020-GOODS-030_Procurement and Installation of Radio Station Equipment</t>
  </si>
  <si>
    <t>Procurement of One (1) Lot Cremation Equipment for Small Animals and One (1) Lot Individually Ventilated Caging (IVC) System for Mice</t>
  </si>
  <si>
    <t>Internet Connection for the Terminal Port of Opol</t>
  </si>
  <si>
    <t>Internet Connection for the Terminal Port of Balingoan</t>
  </si>
  <si>
    <t>2020-06-0102 - PROCUREMENT OF VEHICLE PARTS AND ACCESSORIES FOR USE IN  KIA HSPUR K2700 W/ PLATE #AD0-7915 UNDER PLANNING AND DESIGN SECTION.</t>
  </si>
  <si>
    <t>2020-GOODS-031_Procurement and Installation of Various Aircondition Units for the Different Campuses of the University</t>
  </si>
  <si>
    <t>2020-06 0101 - PROCUREMENT OF CONSTRUCTION MATERIALS AND SUPPLIES FOR REPLACEMENT/REHABILITATION OF DAMAGED CONCRETE PAVEMENT ALONG KALILANGAN-LAMPANUSAN ROAD, K1603+148 - K1603+958 (INTERMITTENT SECT</t>
  </si>
  <si>
    <t>Additional Construction of Multi Purpose Hall - Buao</t>
  </si>
  <si>
    <t>Procurement for ICT Supplies and Peripherals</t>
  </si>
  <si>
    <t>2020-GOODS-032_One (1) Year Subscription of Electronic Books for the University</t>
  </si>
  <si>
    <t>Publication of Ordinance No. 003-2020, 004-2020,005-2020 and 006-2020</t>
  </si>
  <si>
    <t>2 lots Card Production and Personalization for the PhilID Cards Project</t>
  </si>
  <si>
    <t>2020-06-0096 - PROCUREMENT OF FUEL/FUEL LUBRICANTS AND ANTI-CORROSIVE FOR USE AT PLANNING AND DESIGN SECTION</t>
  </si>
  <si>
    <t>Repair of Brgy Hall - Carmona</t>
  </si>
  <si>
    <t>Repair and Improvement of Multi-Purpose Hall - San Jose</t>
  </si>
  <si>
    <t>Renovation of Multi-purpose Pavement - Ngoso</t>
  </si>
  <si>
    <t>Construction / Rehabilitation of Damawato Bridge</t>
  </si>
  <si>
    <t>Procurement for various Computer Software</t>
  </si>
  <si>
    <t>Repair of Street Light - Carmona</t>
  </si>
  <si>
    <t>Installation of Pathwalk at the Back of TLE Building</t>
  </si>
  <si>
    <t>Construction of Tulunan Public Cemetery</t>
  </si>
  <si>
    <t>Completion/Rehabilitation of Multi-Purpose Building in Brgy. Manubuan, Matalam, North Cotabato</t>
  </si>
  <si>
    <t>2020-138-I Procurement of Various Boots</t>
  </si>
  <si>
    <t>NEGOTIATED PROCUREMENT OF SUPPLY, DELIVERY, INSTALLATION AND CONFIGURATION OF VARIOUS ICT EQUIPMENT, OFFICE EQUIPMENT AND COMPUTER SOFTWARE IN SUPPORT TO OPERATIONS AND RESEARCH DIVISION</t>
  </si>
  <si>
    <t>Construction / Completion / Rehabilitation of Multi-Purpose Building in Brgy. Manubuan, Matalam, North Cotabato</t>
  </si>
  <si>
    <t>Internet Connection for the Terminal Port of Benoni</t>
  </si>
  <si>
    <t>Provision of Livelihood Projects (Starter Kits) for the Local Communist Armed Conflict (LCAC) Affected Barangays of Suyo, Ilocos Sur to be held on June 29-30, 2020 at Brgy. Poblacion, Suyo, Ilocos Sur</t>
  </si>
  <si>
    <t>Procurement of JHS materials for repair and refurbishment of school buildings</t>
  </si>
  <si>
    <t>2020-17 “SUPPLY, DELIVERY AND INSTALLATION OF MARINE SPARE PARTS AND AIR-CONDITIONING SYSTEM TO BFAR VESSELS”</t>
  </si>
  <si>
    <t>Provision of Recovery Livelihood Projects  for the Micro Entrepreneurs and Potential Entrepreneurs in Nagbukel, Ilocos Sur:  Sari-Sari Store Package to be held on June 29-30, 2020 at Brgy. Pob. East,</t>
  </si>
  <si>
    <t>20GM00146 – Provision of 4x4 Pick UP Type Service Vehicle for the Engineer for July 1-15, 2020   (Equipment Rental Only)</t>
  </si>
  <si>
    <t>20GM00148 – Rental of Service Vehicle for Road Slope and Survey Investigation Activities for DPWH Projects (1-Unit 4x4 Pick-Up) (July 1-15, 2020) (Equipment Rental Only)</t>
  </si>
  <si>
    <t>20GM00149 – Provision of 4X4 Pick Up Type Service Vehicle for the Engineer for July 1-15, 2020  (Equipment Rental Only)</t>
  </si>
  <si>
    <t>Improvement of Water System (Phase 2)</t>
  </si>
  <si>
    <t>CONSTRUCTION OF MATERIAL RECOVERY FACILITY</t>
  </si>
  <si>
    <t>Purchase and Delivery of Construction Materials for the Construction of Water System in Brgy. Poblacion Zone 1, Tubungan, Iloilo</t>
  </si>
  <si>
    <t>20GM00147 – Rental of Service Vehicle Chargeable to CY 2020 Annual Maintenance Work Program (AMWP) for Inspection and Supervision of Routine / Periodic Maintenance for Roads and Bridge Projects (July</t>
  </si>
  <si>
    <t>SUPPLY AND DELIVERY OF FAMILY PLANNING COMMODITIES</t>
  </si>
  <si>
    <t>Procurement of materials for renovation of Electrical Distribution Lines -SHS</t>
  </si>
  <si>
    <t>PURCHASE OF HARDWARE MATERIALS FOR THE CONSTRUCTION OF MUNICIPAL HALL COMPOUND PERIMETER FENCE OR GATES &amp; INSTALLATION OF SLIDING WINDOWS &amp; RE-PAINTING OF MUNICIPAL HALL BUILDING</t>
  </si>
  <si>
    <t>construction of water reservoir(Macatcatud)</t>
  </si>
  <si>
    <t>IB 2020-07-007 PVSV Procurement of Passenger Van Service Vehicle  2020-07</t>
  </si>
  <si>
    <t>20GM00150 – Rental of Service Vehicle for Roads and Bridges Investigation Activities for DPWH Projects (July 1-15, 2020) (Equipment Rental Only)</t>
  </si>
  <si>
    <t>20CW-GSC-022 ESTABLISHMENT OF ORGANIC TRADING POST CITY OF GENERAL SANTOS CITY</t>
  </si>
  <si>
    <t>SUPPLY AND DELIVERY OF MEDICINES &amp; PSYCHOTROPIC DRUGS</t>
  </si>
  <si>
    <t>SUPPLY AND DELIVERY OF MEDICAL SUPPLIES</t>
  </si>
  <si>
    <t>Purchase and Delivery of Construction Materials for the Construction of Elevated Concrete Water Tank in Brgy. Igang, Pototan, Iloilo</t>
  </si>
  <si>
    <t>Construction of LGU Multi-Purpose Hall- Phase VII at Brgy. San Pedro, Tumauini, Isabela</t>
  </si>
  <si>
    <t>FOD-L-20-0295(R2): Procurement of 2 Units Egg Incubator with Hatcher to be distributed to Farmer Associations in Ubay, Bohol in support to the Poultry Production in the Province under PEAF sub-program</t>
  </si>
  <si>
    <t>Request for Expression of Interest</t>
  </si>
  <si>
    <t>SAAD-20-0981(R2): Procurement of Seedling Tray to be used for the Vegetable Production Project in Negros Oriental</t>
  </si>
  <si>
    <t>Installation and Implementation of Pre-Developed and customized Application Systems-Phase II(05-0496)CMO</t>
  </si>
  <si>
    <t>FOD-L-20-1271(R2): Procurement of One (1) unit Generator to be used as alternative and emergency power supply source for continuous operations of Livestock projects at NORDC Siaton, Negros Oriental</t>
  </si>
  <si>
    <t>Supply and Delivery of  various medicines (3rd Quarter) for use in Municipal Health Office, Villasis, Pangasinan</t>
  </si>
  <si>
    <t>Purchase of materials for the improvement of farm to market road (canal lining) at Ibulo,  Baggao, Cagayan</t>
  </si>
  <si>
    <t>Fabrication of Stair Railings, Wooden Steps, Tables, Chairs and Electrical Fixtures in LGU Multi- Purpose Hall at Brgy. San Pedro, Tumauini, Isabela</t>
  </si>
  <si>
    <t>Supply and Delivery of Various Materials Needed for the Repair of Roofing for OSCA, LIGA, LEGISLATIVE, EXECUTIVE, D.A., MRF and EVACUATION Building Damage for Typhoon</t>
  </si>
  <si>
    <t>Multiple Long Line etc. - REBID (03-0312) Agriculture</t>
  </si>
  <si>
    <t>Supply &amp; Delivery of Chicken</t>
  </si>
  <si>
    <t>Pakyaw Labor etc. (03-0411) CEO</t>
  </si>
  <si>
    <t>Construction of MPP at Lower Collog, Junction, Pinukpuk</t>
  </si>
  <si>
    <t>Improvement of Early Childhood Care  Development (EECD) Center,  Brgy. Minahan Norte,  General Nakar, Quezon</t>
  </si>
  <si>
    <t>Construction of Multi-Purpose Hall / Building Brgy. Banglos, General Nakar, Quezon</t>
  </si>
  <si>
    <t>Concreting of Road,  Brgy. Pisa. General Nakar, Quezon</t>
  </si>
  <si>
    <t>Procurement of one (1) lot Laboratory Examinations and Diagnostic Procedures Send Out for 2020</t>
  </si>
  <si>
    <t>Installation of Lighting Phase I, Municipal Compound, Brgy. Anoling,  General Nakar, Quezon</t>
  </si>
  <si>
    <t>Construction of School Building Digman Elementary School at Digman Bacoor City, Cavite (Repost)</t>
  </si>
  <si>
    <t>Upgrading of Electrical Installation at Talaba Elementary School (repost)</t>
  </si>
  <si>
    <t>Purchase of various goods and supplies intended for COVID-19 response for the use of Barangay San Antonio.</t>
  </si>
  <si>
    <t>Procurement of two (2) units BRAND NEW DRR VEHICLE</t>
  </si>
  <si>
    <t>Poblacion - Dicklum Water System Phase I</t>
  </si>
  <si>
    <t>CONCRETING OF FARM TO MARKET ROAD- BRGY. ABUNG</t>
  </si>
  <si>
    <t>Construction of Dome Shape Gymnasium for Senior High School at San Nicolas 3 (Greenvalley) City of Bacoor (Repost)</t>
  </si>
  <si>
    <t>Procurement of CCTV</t>
  </si>
  <si>
    <t>SUPPLY AND DELIVERY OF CONSTRUCTION MATERIALS FOR THE CONSTRUCTION OF CONCRETE BRIDGE LOCATED AT PUROK 2, SUPON, ALEGRIA, SAN FRANCISCO, AGUSAN DEL SUR</t>
  </si>
  <si>
    <t>PURCHASE OF MATERIALS FOR THE CONSTRUCTION/INSTALLATION OF STREETLIGHTS (SOLAR) AT SAN JOSE, BAGGAO, CAGAYAN</t>
  </si>
  <si>
    <t>SUPPLY AND DELIVERY OF MOTORIZED FISHING BOAT</t>
  </si>
  <si>
    <t>CONCRETING OF FARM TO MARKET ROAD- BRGY. CALUBCUB 1.0</t>
  </si>
  <si>
    <t>PURCHASE OF MATERIALS FOR THE CONSTRUCTION OF BDRRM OFFICE AT SAN JOSE, BAGGAO, CAGAYAN</t>
  </si>
  <si>
    <t>Purchase of materials for the fabrication/installation of Solar Streetlights at Asinga-Via, Baggao, Cagayan</t>
  </si>
  <si>
    <t>SUPPLY AND DELIVERY OF VARIOUS OFFICE SUPPLIES FOR OFFICIAL USE OF CENRO SOCORRO</t>
  </si>
  <si>
    <t>Installation of Street Lighting System at Brgy. Punong, Lapuz, Iloilo City (Bid No. 20-111)</t>
  </si>
  <si>
    <t>Construction/Rehabilitation of Existing Drainage System at Brgy. Loboc, lapuz, Iloilo City (Bid No. 20-116)</t>
  </si>
  <si>
    <t>INSTALLATION OF BOOKSHELVES FOR BUB FUNDED SCHOOL LIBRARY @ SAN NARCISO CENTRAL ELEMENTARY SCHOOL</t>
  </si>
  <si>
    <t>Supply and Delivery of One (1) Unit Dropside Truck; PR No. 20-1367 dated 01 April 2020; SN 127 - 2020</t>
  </si>
  <si>
    <t>SUPPLY AND DELIVERY OF MATERIALS FOR THE REHABILITATION OF PIPE LINE @ BRGY. BUENAVISTA AND POBLACION</t>
  </si>
  <si>
    <t>Fabrication and Installation of Grills in Classrooms of Four (4) Storey Building at Fort San Pedro National High School, Iloilo City (Bid No. 20-112)</t>
  </si>
  <si>
    <t xml:space="preserve">PEO-19-1503-B Construction of the Various Water Systems in the 2nd District of Iloilo: 1) Construction of Water System:      a. Sitio Bitin, Brgy. Jelicuon Oeste, New Lucena, Iloilo 2) Improvement of </t>
  </si>
  <si>
    <t>Installation of Street Lighting System at Brgy. Ingore, Lapaz, Iloilo City (Bid No. 20-120)</t>
  </si>
  <si>
    <t>Rehabilitation/Construction of Public Alley at Brgy. Concepcion, City Proper, Iloilo City (Bid No. 20-115)</t>
  </si>
  <si>
    <t>Construction of Three (3) Storey 6 Classroom with Demolition at A. Mirasol Elementary School, mandurriao, Iloilo City (Bid No. 20-062)</t>
  </si>
  <si>
    <t>Supply &amp; Delivery 1 unit Desktop Computer &amp; other items PR No. 20-0750 dated October 3, 2019</t>
  </si>
  <si>
    <t>To Provide Security Services for Silay City Water District (St. Francis Villa Rosario Pumping Station) for the period July 1 to December 31, 2020</t>
  </si>
  <si>
    <t>Completion of Two (2) Storey Building Six (6) Classrooms at Uswag San Isidro Elementary School, Jaro, Iloilo City (Bid No. 20-122)</t>
  </si>
  <si>
    <t>Construction/Rehabilitation of Existing Drainage System at Brgy. Tabuc Suba, Jaro, Iloilo City (Bid No. 20-113)</t>
  </si>
  <si>
    <t>Construction of Two (2) Storey Eight (8) Classrooms Building at N.J. Elementary School, Lapaz, Iloilo City (Bid No. 20-121)</t>
  </si>
  <si>
    <t>Purchase of One (1) Unit 1.5 HP Air Condition for DILG Office:</t>
  </si>
  <si>
    <t>Construction/Rehabilitation of Existing Drainage System at Brgy. Don Esteban, Lapuz, Iloilo City (Bid No. 20-108)</t>
  </si>
  <si>
    <t>Construction/Rehabilitation/Repair/Widening of Roads at Brgy. Tabuc Suba (Urban Poor Village Petals Ville) Jaro, Iloilo City (Bid No. 20-117)</t>
  </si>
  <si>
    <t>Purchase of IT Equipments for HRMO:</t>
  </si>
  <si>
    <t>Construction/Rehabilitation/Repair/Widening of Roads at ICAG Road, Molo, Iloilo City (Bid No. 20-118)</t>
  </si>
  <si>
    <t>Rehabilitation of All Gabaldon Building at Iloilo Central Elementary School, City Proper, Iloilo City (Bid No. 20-110)</t>
  </si>
  <si>
    <t>Construction of ICARE Center at Time Square Gaisano, Gaisano Time Square Center Compound, B. Aquino Ave. Mandurriao, Iloilo City (Bid No. 20-123)</t>
  </si>
  <si>
    <t>To Provide Security Services for Silay City Water District (Office) for the period July 1 to December 31, 2020</t>
  </si>
  <si>
    <t>Construction/Rehabilitation of Existing Drainage System at Brgy. San Isidro, Lapaz, Iloilo City (Bid No. 20-114)</t>
  </si>
  <si>
    <t>Supply and Delivery of Construction Supplies and Materials for the various projects of Brgy. Anao</t>
  </si>
  <si>
    <t>To Provide Security Services for Silay City Water District (Bon-Bon Pumping Station) for the period July 1 to December 31, 2020</t>
  </si>
  <si>
    <t>To Provide Security Services for Silay City Water District (NHA 1/Yolanda Pumping Station) for the period July 1 to December 31, 2020</t>
  </si>
  <si>
    <t>Construction/Rehabilitation/Repair/Widening of Roads at Brgy. Claudio Castilla, EL-98, Jaro, Iloilo City (Bid No. 20-119)</t>
  </si>
  <si>
    <t>Completion of City Hospital - Lumbia (Phase II); SN 128 - 2020</t>
  </si>
  <si>
    <t>Supply and Delivery of IT Equipment and Smart TV with TV Plus for the use of Planning and Design Section, BFDEO</t>
  </si>
  <si>
    <t>ITB 2020-06-51A Procurement of Thirty-One (31) Air Conditioning Units for MCL</t>
  </si>
  <si>
    <t>Printing Services for NOTD-2020-0137</t>
  </si>
  <si>
    <t>Improvement of Multi-purpose Building</t>
  </si>
  <si>
    <t>SUPPLY AND DELIVERY OF HARDWARE SUPPLIES FOR THE COMPLETION OF AUXILIARY BUILDING (3RD FLOOR)</t>
  </si>
  <si>
    <t>PRINTING AND PUBLISHING OF WORKBOOK (MATHEMATICS IN THE MODERN WORLD</t>
  </si>
  <si>
    <t>Repair of Classrooms at Sambag Elementary School, Jaro, Iloilo City (Bid No. 20-109)</t>
  </si>
  <si>
    <t>20FO0100 - Construction of Water Supply Systems Level II within the 3rd District of Albay (10 sites)</t>
  </si>
  <si>
    <t>Improvement of Canal Service Road (2019-DII-ICSR#3-ANGADANAN-SAVINGS POW)</t>
  </si>
  <si>
    <t>PR No: 	 20-05-0116</t>
  </si>
  <si>
    <t>Supply and Delivery of 1 Unit Motorcycle Vehicle; PR No. 19-3188 dated October 28, 2019</t>
  </si>
  <si>
    <t>ITB 2020-06-55A Procurement of Various I.T. Equipment for MCL</t>
  </si>
  <si>
    <t>Packaging Supplies for VET-2020-0098</t>
  </si>
  <si>
    <t>20GFO0010 - Supply &amp; Delivery of Personnel Uniform and Personal Protective Equipments to be used in Maintenance of National Roads within 3rd District of Albay</t>
  </si>
  <si>
    <t>20GFO0011 - Purchase of Traffic Counter Machines Accessories for use in Capital Outlay-National Road Traffic Survey Program (NRTSP)-Automated Traffic Data Collection and Axle Load Survey Program - Reg</t>
  </si>
  <si>
    <t>Proposed Additional Floor and its completion of Dormitory Type Hotel at Brgy. San Jose, San Pablo City.</t>
  </si>
  <si>
    <t>20GFO0012 - Purchase of Equipment, Supplies/Tools and Accessories for use in Maintenance, Repair and Rehabilitation of Infrastructure Facilities and Other Related Activities-Maintenance Services for A</t>
  </si>
  <si>
    <t>20GFO0008 - Purchase of Janitorial Supplies for use in DPWH Albay 3rd DEO, Paulog, Ligao City (1st and 2nd  Quarters CY 2020)</t>
  </si>
  <si>
    <t>ITB 2020-06-56A Procurement of Food and Drinks for OM</t>
  </si>
  <si>
    <t>Supply and Delivery of DOLE KABUHAYAN PROGRAM for Native Chicken and Egg Production</t>
  </si>
  <si>
    <t>Information Technology Equipment for ADMI-2020-0021</t>
  </si>
  <si>
    <t>INSTALLATION OF VARIOUS SOLAR STREET LIGHTS, BRGY. BALITE, BUGA,BUGA, POBLACION DEL NORTE, POBLACION DEL SUR, CALBUGOS, CAPINAHAN, HIBULANGAN, JALAS, JORDAN, SAN FRANCISCO, ABIJAO, STA. CRUZ, SULPA, T</t>
  </si>
  <si>
    <t>Improvement of Canal Service Road (2019-DII-ICSR#3-ALICIA-SAVINGS POW)</t>
  </si>
  <si>
    <t>Supply and Delivery of Other Supplies and Materials (5020399000-06-20-03)</t>
  </si>
  <si>
    <t>Information Technology Equipment for PESO-2020-0010</t>
  </si>
  <si>
    <t>Ugrading of Poblacion-Dananao Local Access Road</t>
  </si>
  <si>
    <t>AVRC-MEDICAL SUPPLIES FOR AVRC III</t>
  </si>
  <si>
    <t>Insurance Services for PAFF-2020-0080 &amp; 0081</t>
  </si>
  <si>
    <t>SUPPLY AND DELIVERY OF LOT 2: ASSORTED AGRICULTURAL SUPPLIES FOR ESTABLISHMENT OF SORGHUM MODEL FARM IN OCCIDENTAL MINDORO</t>
  </si>
  <si>
    <t>ITB 2020-06-65A Procurement of Various Office Supplies for OM</t>
  </si>
  <si>
    <t>Supply of Goods</t>
  </si>
  <si>
    <t>20CSKK0004 -  Conduct of Relocation Survey of Road-Right-of-Way (RROW) of Municipalities of Kinoguitan, Balingoan and Talisayan, All Barangays along Butuan-Cagayan de Oro-Iligan Road (BCIR) within Mun</t>
  </si>
  <si>
    <t>Purchase of Various Office Supplies for the use of LGU Laua-an</t>
  </si>
  <si>
    <t>Repair and Maintenance of Breastfeeding Room</t>
  </si>
  <si>
    <t>BNLSL-LCB-05A-2019 Construction of Canal System of Labiranan CIP, Dulag, Leyte</t>
  </si>
  <si>
    <t>PROCUREMENT OF 1 UNIT AMBULANCE FOR LGU-MAPANAS, NORTHERN SAMAR</t>
  </si>
  <si>
    <t>SUPPLY AND DELIVERY OF LOT 4: ASSORTED AGRICULTURAL SUPPLIES FOR ESTABLISHMENT OF SORGHUM MODEL FARM IN PALAWAN</t>
  </si>
  <si>
    <t>Construction of Flood Control Project (Gabion Type) Along Paliwan River at Brgy. Guinbanga-an, Laua-an, Antique</t>
  </si>
  <si>
    <t>PROS-20-0387-NP (SV) PURCHASE OF OFFICE SUPPLIES</t>
  </si>
  <si>
    <t>Information Technology Equipment for GOV-2020-0092</t>
  </si>
  <si>
    <t>PPE SUIT WITH HOOD</t>
  </si>
  <si>
    <t>Airconditioning System for PEO-2020-0856</t>
  </si>
  <si>
    <t>Supply and Delivery of Total Security Antivirus</t>
  </si>
  <si>
    <t>20BF0059: Renovation of Planning and Design Section Office, Isabela Second District Engineering Office, San Antonio, Roxas, Isabela</t>
  </si>
  <si>
    <t>REHABILITATION OF HEALTH CENTER</t>
  </si>
  <si>
    <t>CONSTRUCTION/IMPROVEMENT OF MULTI PURPOSE BUILDING (PHASE1)</t>
  </si>
  <si>
    <t>20BF0058: Repair/Maintenance of Mallig River Flood Control Structure at Brgy. San Pedro, Roxas, Isabela Sta. 0+000-Sta. 0+120, Roxas, Isabela</t>
  </si>
  <si>
    <t>Purchase of office supplies and consumables</t>
  </si>
  <si>
    <t>WATER SOURCE DEVELOPMENT (SOURCE 2)</t>
  </si>
  <si>
    <t>CONSTRUCTION MATERIALS FOR THE REHABILITATION OF BRG. WHARF AT MAHANAY , TALIBON, BOHOL</t>
  </si>
  <si>
    <t>Veterinary Drugs &amp; Supplies for VET-2020-0140</t>
  </si>
  <si>
    <t>Repair of Brgy. Mambog Multi-purpose School Building (District Office)</t>
  </si>
  <si>
    <t>Procurement of Hygiene and Sanitation Supplies</t>
  </si>
  <si>
    <t>PURCHASE OF MOTORCYCLE (2 UNITS) - 2nd Bidding</t>
  </si>
  <si>
    <t>CONSTRUCTION OF LOCAL ROAD AND LINE CANAL</t>
  </si>
  <si>
    <t>Rehabilitation of Barangay Roads</t>
  </si>
  <si>
    <t>Industrial Shredder for HOD-2020-0386</t>
  </si>
  <si>
    <t>Concreting of Almojuela St. (Phase 2)</t>
  </si>
  <si>
    <t>PROCUREMENT FOR THE SUPPLY, DELIVERY, INSTALLATION, TESTING AND COMMISSIONING OF TWO (2) UNITS OF PUMPING EQUIPMENT FOR THE IGACOS WATER DISTRICT’S WATER SUPPLY SYSTEM AND IMPROVEMENT PROJECT</t>
  </si>
  <si>
    <t>MAINTENANCE OF FIRE PROTECTION</t>
  </si>
  <si>
    <t>DRUGS AND MEDICINES/RE-IB No. MM-2020-017(m)</t>
  </si>
  <si>
    <t>MEDICAL SUPPLIES/RE-IB No. MM-2020-013(m)</t>
  </si>
  <si>
    <t>SUPPLY AND DELIVERY OF  ICT EQUIPMENT</t>
  </si>
  <si>
    <t>Improvement of Barangay Hall ( Installation of sliding Window)</t>
  </si>
  <si>
    <t>MEDICAL SUPPLIES/RE-IB No. MM-2020-014(m)</t>
  </si>
  <si>
    <t>MEDICINES/RE-IB No. MM-2020-018(m)</t>
  </si>
  <si>
    <t>IT Equipments for the Use of LGU-Cabatuan, Iloilo</t>
  </si>
  <si>
    <t>BUILDING MATERIALS, TOOLS, AND EQUIPMENT FOR REPAIR AND MAINTENANCE</t>
  </si>
  <si>
    <t>CONCRETE FENCING FOR EVACUATION CENTER - 2ND BIDDING</t>
  </si>
  <si>
    <t>MEDICAL, DENTAL AND LABORATORY SUPPLIES/SVP No. DD-2020-02-011(m)</t>
  </si>
  <si>
    <t>SUPPLY AND DELIVERY OF LED SMART TV</t>
  </si>
  <si>
    <t>SUPPLY AND DELIVERY OF BRAND NEW SERVICE VEHICLES, INCLUDING PREVENTIVE MAINTENANCE SERVICE (2 LOTS)</t>
  </si>
  <si>
    <t>MEDICAL AND DENTAL SUPPLIES/RE-IB No. MM-2020-011(m)</t>
  </si>
  <si>
    <t>Procurement of Civil Works-Construction of 2 storey building to accommodate PUIs/PUMs</t>
  </si>
  <si>
    <t>Tires 195R 15C Toyota</t>
  </si>
  <si>
    <t>DRUGS AND MEDICINES/NEG. PROC. No. MM-2020-005(m)</t>
  </si>
  <si>
    <t>MATERIALS FOR REPAIR, REPAINTING, AND WATERPROOFING OF HIGH SCHOOL BUILDING</t>
  </si>
  <si>
    <t>SUPPLY AND DELIVERY OF BRAND NEW MOTORCYCLE WITH SINGLE PASSENGER SIDE CAR</t>
  </si>
  <si>
    <t>Safety and Occupational Products</t>
  </si>
  <si>
    <t>SUPPLY AND DELIVERY OF  FILLING CABINET AND SOFA SET</t>
  </si>
  <si>
    <t>MG-A5M20-102 ( ELECTRODE, BRONZE )</t>
  </si>
  <si>
    <t>10	boxes	Aciclovir 400mg tablet, 100's, etc. PR # 231-20</t>
  </si>
  <si>
    <t>SUPPLY AND DELIVERY OF GROCERY SUPPLIES FOR VARIOUS OFFICES OF THE CITY GOVERNMENT OF MAKATI</t>
  </si>
  <si>
    <t>Procurement of office supplies for Simata National High School</t>
  </si>
  <si>
    <t>PLUMBING MATERIALS, TOOLS, AND EQUIPMENT - REPAIR AND MAINTENANCE</t>
  </si>
  <si>
    <t>TIRES 255/60 R18/SVP No. M-2020-04-006</t>
  </si>
  <si>
    <t>SUPPLY AND DELIVERY OF VARIOUS INSTRUMENTS/EQUIPMENT FOR MAKATI HEALTH DEPARTMENT</t>
  </si>
  <si>
    <t>Procurement of Materials for Construction/Rehab of WWS for san francisco de asis</t>
  </si>
  <si>
    <t>SUPPLY AND DELIVERY OF JANITORIAL AND CLEANING SUPPLIES FOR VARIOUS DEPARTMENTS/OFFICES IN THE CITY GOVERNMENT OF MAKATI</t>
  </si>
  <si>
    <t>RFQ - 45,000kms PMS Toyota Grandia AOR 222 &amp; Replace four tires 195R15C 106 104S</t>
  </si>
  <si>
    <t>2020-06-662</t>
  </si>
  <si>
    <t>PROCUREMENT OF DRUGS AND MEDICINES (COMBINED GLUCOSE-AMINO ACID SOLUTION), DR. JOSE RIZAL MEMORIAL HOSPITAL</t>
  </si>
  <si>
    <t>SUPPLY AND DELIVERY OF APPLIANCES AND OTHER EQUIPMENT FOR VARIOUS DEPARTMENTS/OFFICES OF THE CITY GOVERNMENT OF MAKATI</t>
  </si>
  <si>
    <t>MATERIALS FOR MAINTENANCE ROOFING OF CIT BUILDING</t>
  </si>
  <si>
    <t>PURCHASE OF MICRONUTRIENT POWDER FOR COMPREHENSIVE NUTRITION PROGRAM</t>
  </si>
  <si>
    <t>CONSTRUCTION OF CONCRETE PAVEMENT AT SITIO 5</t>
  </si>
  <si>
    <t>100	BOX	Allopurinol 100mg, tablet, 100's, etc. PR # 288-20</t>
  </si>
  <si>
    <t>Purchased of Motorcycle</t>
  </si>
  <si>
    <t>CONCRETING OF ROAD @ PAJAYON STREET, BRGY. IRIRON, CALINTAAN OCCIDENTAL MINDORO</t>
  </si>
  <si>
    <t>procurement of diesel fuel</t>
  </si>
  <si>
    <t>TIRES/SVP No. K-2020-06-003</t>
  </si>
  <si>
    <t>150	BOX	Metformin HCL 500 mg, 100 tab/box, etc. PR # 492-20</t>
  </si>
  <si>
    <t>SPARE PARTS/SVP No. K-2020-06-002</t>
  </si>
  <si>
    <t>RFQ - 45,000kms PMS Toyota Grandia AOC 666 &amp; Replace four tires 195R15C 106 104S</t>
  </si>
  <si>
    <t>Supply &amp; Delivery of Construction Materials for the Repair of Public Market (Fish Section)</t>
  </si>
  <si>
    <t>Solid Waste Management (Hauling), Office of the Municipal Agriculturist, San Jose, Batangas</t>
  </si>
  <si>
    <t>Procurement of Materials for the Construction of Multi-Purpose Building (Phase 3)</t>
  </si>
  <si>
    <t>Heavy Duty Storage Tub (Small, Medium &amp; Large)</t>
  </si>
  <si>
    <t>OUTSOURCING OF IMAGING SERVICES FOR VULNERABLE GROUPS THROUGH AN ORDERING AGREEMENT</t>
  </si>
  <si>
    <t>RFQ - 45,000kms PMS Toyota Grandia AOC 861 &amp; Replace four tires 195R15C 106 104S</t>
  </si>
  <si>
    <t>Vegetable Seeds</t>
  </si>
  <si>
    <t>Procurement of Courier Services for PSO Bukidnon 12months (1year) PR NO. 2020-06-037</t>
  </si>
  <si>
    <t>20CN0151 - A. Repair/Maintenance of Pingit Creek Revetment 2 &amp; 3 Flood Control, Brgy. Pingit, Baler, Aurora and B. Repair/Maintenance of Cabatangan River Revetment 2 Flood Control, Brgy. Dikildit, Mar</t>
  </si>
  <si>
    <t>LIQUID SOLUTION FOR DISINFECTION</t>
  </si>
  <si>
    <t>SUPPLY AND DELIVERY OF OFFICE EQUIPMENT AND SUPPLIES FOR VARIOUS DEPARTMENTS/OFFICES OF THE CITY GOVERNMENT OF MAKATI</t>
  </si>
  <si>
    <t>Rental of Vehicle for the Validation of Listahanan 3</t>
  </si>
  <si>
    <t>18	pieces	Wheelchair, PR # 345-20</t>
  </si>
  <si>
    <t>100	UNITS	Modular Tent w/ mosquito net, PR # 496-20</t>
  </si>
  <si>
    <t>TIRES TUBELESS/SVP No. K-2020-06-006</t>
  </si>
  <si>
    <t>20CSPH01 - Geotechnical Investigation for Slope Protection Projects along Various Road Sections in Mountain Province for FY 2020</t>
  </si>
  <si>
    <t>20CN0150 -Construction of Multi-Purpose Building, Brgy. Dibaraybay, Dinalungan, Aurora</t>
  </si>
  <si>
    <t>Purchase of Diesel and Lubricant for Road Graveling of Barangay Villakapa, San Pablo, ZDS.</t>
  </si>
  <si>
    <t>Supply of Labor, Materials and Equipment for Riprapping, Brgy. Galamay Amo, San Jose, Batangas</t>
  </si>
  <si>
    <t>OUTSOURCING OF BASIC CLINICAL AND DIAGNOSTIC LABORATORY SUPPLIES AND SERVICES THROUGH AN ORDERING AGREEMENT</t>
  </si>
  <si>
    <t>IV Fluids for LPH-Gen. J. Cailles Memorial District Hospital</t>
  </si>
  <si>
    <t>IT Supplies and Devices (FDA-CSL-DTQAL)</t>
  </si>
  <si>
    <t>Medicines for Laguna Chest Center</t>
  </si>
  <si>
    <t>Supply and Delivery of Construction Materials, Tools &amp; Equipment to be used for the Pre Emptive measures of Flood Mitigation Projects 2020 in the City of San Fernando, Pampanga subject to Ordering Agr</t>
  </si>
  <si>
    <t>Procurement of Materials for Installation of Deep Well Hand Pumps</t>
  </si>
  <si>
    <t>ACU MATERIALS, TOOLS AND EQUIPMENT FOR REPAIR AND MAINTENANCE</t>
  </si>
  <si>
    <t>Drugs and Medicines for LPH-Luisiana District Hospital</t>
  </si>
  <si>
    <t>Veterinary Medicines</t>
  </si>
  <si>
    <t>MPBRIS-LCB-08A-2019 Construction of Canal System of Mainit RIS, Alangalang, Leyte</t>
  </si>
  <si>
    <t>Purchased of Multi-Cab/Barangay Patrol Car</t>
  </si>
  <si>
    <t>CONSTRUCTION OF LINE CANAL, BRGY. HINABUYAN, ILIGAY, SAN VICENTE, VILLABA, LEYTE SOURCE OF FUND: 20% AIP 2020</t>
  </si>
  <si>
    <t>Procurement of Agri-Inputs for Rice as Business Enterprise to be given to ARBs as part of the Sustainable Livelihood Enterprise Project (SLE)</t>
  </si>
  <si>
    <t>20CN0152 - Repair/Rehabilitation of Slope Protection along National Roads, A. Castañeda – Ma. Aurora San Luis Road, K0226+375, K0202+850, Dimasalang Bridge</t>
  </si>
  <si>
    <t>CONSTRUCTION OF DAY CARE CENTER @ SO. MALATIKWANG, BRGY. NEW DAGUPAN, CALINTAAN OCCIDENTAL MINDORO</t>
  </si>
  <si>
    <t>Partition of Session Hal</t>
  </si>
  <si>
    <t>Construction/ Improvement of Access Roads leading to Airports - Guicadale Road Network to International Airport (Sitio Bugit Road Section), Imalnod, Legazpi City, Albay</t>
  </si>
  <si>
    <t>CONSTRUCTION OF PATHWAY</t>
  </si>
  <si>
    <t>REPLACEMENT OF DEFECTIVE EMERGENCY AND EXIT LIGHTS AT MAIN, ANNEX I &amp; 2, DIAGNOSTIC CENTER BUILDING</t>
  </si>
  <si>
    <t>Materials for the repair of Feeder Line and replacement of lamp post at Festival Ground, Provincial Capitol Compound</t>
  </si>
  <si>
    <t>procurement of Laptop</t>
  </si>
  <si>
    <t>Reagents and Consummables (FDA-CSL-DTQAL)</t>
  </si>
  <si>
    <t>Purchase of Water Meters (SFWSS)</t>
  </si>
  <si>
    <t>Supply and Delivery of  5.56MM Ammunition (SS109/M855) for JUNE 2020</t>
  </si>
  <si>
    <t>REQUEST FOR QUOTATION FOR USE OF NIA SCIMO (OFFICE SUPPLIES FOR CIS PROJECTS 2020)</t>
  </si>
  <si>
    <t>Installation of Street Light(Solar)</t>
  </si>
  <si>
    <t>Supply and Delivery of Construction Materials for Water System Project</t>
  </si>
  <si>
    <t>Training Supplies for the use of NHTU to the Post Assessment of Field Staff</t>
  </si>
  <si>
    <t>BARANGAY RESCUE VEHICLE(BONGGO DOUBLE CAB)</t>
  </si>
  <si>
    <t>Supply of Labor, Materials and Equipment for Riprapping, Brgy. Pinagtung-Ulan, San Jose, Batangas</t>
  </si>
  <si>
    <t>SUPPLY &amp; DELIVERY OF ASSORTED VEGETABLE SEEDS UNDER DA YRRP-ESETS PROGRAM</t>
  </si>
  <si>
    <t>Rehabilitation of Farm-to-Market Road - Lubing (Arsadanan)</t>
  </si>
  <si>
    <t>Procurement of Diesel for Light and Heavy Equipment</t>
  </si>
  <si>
    <t>Gender Awareness Development</t>
  </si>
  <si>
    <t>Supply of Labor, Materials and Equipment for the Purchase and Installation of Street Lights, Various Barangay, San Jose, Batangas</t>
  </si>
  <si>
    <t>Supply of Labor, Materials and Equipment for the Construction of Pathways, Brgy. Pinagtung-Ulan, San Jose, Batangas</t>
  </si>
  <si>
    <t>CONCRETING OF BARANGAY ROAD (Brgy. Palingowak)</t>
  </si>
  <si>
    <t>PR NO. 2020-06-134 PURCHASE OF MAINTENANCE KIT FOR KYOCERA PRINTER ECOSYS M2640idw/L, FS-C2126MFP</t>
  </si>
  <si>
    <t>OFFICE SUPPLIES FOR STOD 1st &amp; 2nd QUARTER</t>
  </si>
  <si>
    <t>REPAIR/IMPROVEMENT OF BRGY. RECREATION CENTER, BRGY. SAN VICENTE, VILLABA, LEYTE SOURCE OF FUND: BRGY. SAN VICENTE FUND</t>
  </si>
  <si>
    <t>Office Supplies for the use of Social Pension staff in the implementation of the program</t>
  </si>
  <si>
    <t>2 pcs Wheel Rim, WIL 15.0-20.0 for the the replacement of defective wheel RIM of Doosan backhoe No.6DX 140W (CEO), Dumaguete City/CEO</t>
  </si>
  <si>
    <t>PW-2020-08</t>
  </si>
  <si>
    <t>Additional Internet Service/Connection to PSA RSSO MIMAROPA</t>
  </si>
  <si>
    <t>SLEEPING GEARS TO BE USED IN THE COVID-19 MUNICIPAL TEMPORARY TREATMENT AND ISOLATION FACILITY</t>
  </si>
  <si>
    <t>Construction of Multi-Purpose Hall</t>
  </si>
  <si>
    <t>Second Quarter Various Office Supplies</t>
  </si>
  <si>
    <t>Purchase of Office Accessories and Supplies under SEF (2nd Bid Opening)</t>
  </si>
  <si>
    <t>Dissolved  Oxygen Meter (DO Meter) &amp; etc. for used in the Establishment of Mini Red Tide Testing Laboratory At the Provincial Agriculture  (N-341-2020)</t>
  </si>
  <si>
    <t>Procurement of Various Paints, Paint Thinners and Painting Tools and Materials to be Used in Brigada Eskwela 2020</t>
  </si>
  <si>
    <t>Bid No. 20-0266 - PROCUREMENT OF AGRICULTURAL EQUIPMENT - MENRO (DEVELOPMENT AND OPERATIONS OF ESWM-PARK</t>
  </si>
  <si>
    <t>1 set SUBMERSIBLE PUMP SET	for GWBVMH, Guihulngan City, Negros Oriental	 (N-344-2020)</t>
  </si>
  <si>
    <t>Vehicle Spare Parts and Accessories</t>
  </si>
  <si>
    <t>Machinery and Equipment Repair and Maintenance</t>
  </si>
  <si>
    <t>Diesel Fuel	 &amp; Unleaded gasoline For the use of the Provincial Tourism  unit BY 2020 (N-348-2020)</t>
  </si>
  <si>
    <t>FO-CAR CONSOLIDATED OFFICE AND TRAINING SUPPLIES FOR CY 2020 (COMMON OFFICE SUPPLIES AND DEVICES)</t>
  </si>
  <si>
    <t>PROCUREMENT OF DRUGS AND MEDICINES, DR. JOSE RIZAL MEMORIAL HOSPITAL</t>
  </si>
  <si>
    <t>Supply and Delivery of Service Card Cabinet</t>
  </si>
  <si>
    <t>PROCUREMENT OF G SUITE SOFTWARE LICENSES UPGRADE FOR THE OFFICIAL EMAIL OF THE BUREAU OF THE TREASURY</t>
  </si>
  <si>
    <t>Supply and Delivery of Multi-Purpose Vehicles</t>
  </si>
  <si>
    <t>Supply and Delivery of Fuel, Oil and Lubricants use for the Construction/Rehab. of Local Roads.</t>
  </si>
  <si>
    <t>Procurement of Various Office and IT Equipment of Different Offices - LGU Laak, Davao De Oro</t>
  </si>
  <si>
    <t>Purchase of One (1) Unit 4x4 Pick up Vehicle</t>
  </si>
  <si>
    <t>Medical, Laboratory and Birthing Facility Supplies for the 1st and 2nd Quarter 2020</t>
  </si>
  <si>
    <t>P.R  2020-02-052 ELECTRICAL SUPPLIES</t>
  </si>
  <si>
    <t>Veterinary Equipment for VET-2020-0123 &amp; 0124</t>
  </si>
  <si>
    <t>Cellcards 300 Globe &amp; etc. for use in the Office of the Governor	 (S-173-2020)</t>
  </si>
  <si>
    <t>IT CONSUMABLES</t>
  </si>
  <si>
    <t>Improvement of BDRRM (Covered Court)</t>
  </si>
  <si>
    <t>to Furnish labor and Materials For the Repair CCTV System at Kagawasan Area And NOCC-Hotel  (N-333-2020)</t>
  </si>
  <si>
    <t>PURCHASE OF IT EQUIPMENT FOR GIS MAPPING</t>
  </si>
  <si>
    <t>TO BE USED IN THE COVID-19 MUNICIPAL TEMPORARY TREATMENT AND ISOLATION FACILITY.</t>
  </si>
  <si>
    <t>PR NO. 2020-06-014 PURCHASE OF MATERIALS FOR REHABILITATION OF DAMAGED SLOPE PROTECTION ALONG SAN FERNANDO NORTH ROAD (K0026+700), TICAO ISLAND, MASBATE</t>
  </si>
  <si>
    <t>P.R No. 2020-AS-06-019(PPE &amp; Automatic Dispenser) Administrative Section</t>
  </si>
  <si>
    <t>Request for the purchase of firewoods and calcium hypochlorite for the use of Slaughterhouse, Pasig City.</t>
  </si>
  <si>
    <t>Purchase of Office Equipment</t>
  </si>
  <si>
    <t>Amlodipine 10mg, tabs, 100's &amp; etc. for Mabinay medicare Community Hospital (S-169-2020)</t>
  </si>
  <si>
    <t>Supply and Delivery of Supplies for Reproduction of Learners Materials/Modules at Buenavista NHS Junior HS</t>
  </si>
  <si>
    <t>1 lot supply and delivery of various computer consumables for Brother Printers</t>
  </si>
  <si>
    <t>6 sets Desktop Computer for BAC- Secretariat Office (N-349-2020)</t>
  </si>
  <si>
    <t>Procurement of TRAFFIC CONTROL SYSTEM</t>
  </si>
  <si>
    <t>Outside labor and materials for cleaning and disinfecting 1 unit elevated concrete tank - 10,000 gals 1 unit elevated steel tanks - 8,000 gals 1 unit cistern concrete tank - 40,000 gals 1 unit cistern</t>
  </si>
  <si>
    <t>20GFD0007 – Supply and Delivery of Materials for Repair and Maintenance of Road Safety Facilities along Daang Maharlika  (selected station limits) K0394+000 - K0396+000 and Rolando R. Andaya Highway K</t>
  </si>
  <si>
    <t>2 units AIRCON (Floor Mounted )		 &amp; etc. for CLLMM Hospital Siaton, Negros Oriental (N-340-2020)</t>
  </si>
  <si>
    <t>Electronic Components</t>
  </si>
  <si>
    <t>MICROBIAL INOCULANT HW 2101 (FOR THE WASTE WATER INFLUENT PRETREATMENT USE)</t>
  </si>
  <si>
    <t>SOIL/ GEOTECHNICAL INVESTIGATION FOR THE PROPOSED CONSTRUCTION OF VARIOUS FLOOD CONTROL PROJECTS AND PROPOSED CONSTRUCTION OF BUILDING PROJECT WITHIN 5TH AND 6TH DISTRICT OF PANGASINAN</t>
  </si>
  <si>
    <t>AGRICULTURAL PRODUCTS</t>
  </si>
  <si>
    <t>Military Cot Bed, Heavy Duty</t>
  </si>
  <si>
    <t>Spare Parts for OPA-2020-0277, 0280, 0281, 0282</t>
  </si>
  <si>
    <t>Procurement for the Supply and Delivery of Pipeline Materials for Operation &amp; Maintenance of 3rd &amp; 4th Quarter of CY 2020</t>
  </si>
  <si>
    <t>Construction of Aton storage extension</t>
  </si>
  <si>
    <t>Supply and Delivery of Spare Parts use for the repair and Maintenance of Backhoe Loader.</t>
  </si>
  <si>
    <t>RFQ PR NO. 832</t>
  </si>
  <si>
    <t>Supply and Delivery of 1 unit of Photocopier Machine of Community eCenter</t>
  </si>
  <si>
    <t>Procurement of 100w Solar Powered LED Streetlights for Brgys. San Jose and San Agustin, all of Bula, Camarines Sur</t>
  </si>
  <si>
    <t>20GFD0008 – Supply and Delivery of Materials for the Repair and Maintenance of National Roads and Bridges along Rolando R. Andaya Highway K0282+(-916) to K0312+000  &amp; Sipocot-Cabusao Road K0394+(-816)</t>
  </si>
  <si>
    <t>IT Equipment</t>
  </si>
  <si>
    <t>Improvement of Covered Court Facilities</t>
  </si>
  <si>
    <t>REHABILITATION/IMPROVEMENT OF THE MUNICIPAL BUILDING, MAGALLANES, CAVITE</t>
  </si>
  <si>
    <t>REPAIR &amp; IMPROVEMENT OF SCHOOL PATHWAY FOR SENIOR HS 2ND PHASE</t>
  </si>
  <si>
    <t>Syringes, Disposable (assorted)		 &amp; etc. for GWBVMH, Guihulngan City, Negros Oriental	(S-172-2020)</t>
  </si>
  <si>
    <t>IB-GOODS-2020-09 Procurement of Drugs and Medicines</t>
  </si>
  <si>
    <t>2020-140-I Supply and Delivery of  Registered Rice Seeds</t>
  </si>
  <si>
    <t>AGRICULTURAL MACHINERY &amp; EQUIPMENT</t>
  </si>
  <si>
    <t>Supply and Delivery of Various Janitorial Supplies</t>
  </si>
  <si>
    <t>BARANGAY GARBAGE TRUCK (BONGGO SINGLE CAB)</t>
  </si>
  <si>
    <t>Procurement of the minor repairs works at Consolacion Branch</t>
  </si>
  <si>
    <t>SUPPLY AND INSTALLATION OF 1-UNIT SPLIT WALL MOUNTED INVERTER TYPE AIRCONDITIONER FOR LABORATORY CLINICAL CHEMISTRY</t>
  </si>
  <si>
    <t>PR #06-013-20 MATERIALS FOR THE REPAIR OF OPEN HALL OF DORMITORY (DA-SCRC)</t>
  </si>
  <si>
    <t>cleaning/Declogging of all the drainage and manhole</t>
  </si>
  <si>
    <t>Purchase of Equipment for Media &amp; Content Production for Information, Education &amp; Communication</t>
  </si>
  <si>
    <t>Subscription to Fortinet Firewall (FG500d) for Head Office and SEC Co-location (FG501E) with FortiAnalyzer</t>
  </si>
  <si>
    <t>Purchase of Rice in relation to COVID-19 Situation</t>
  </si>
  <si>
    <t>2020-139-I Procurement of  Gas Heating Refill</t>
  </si>
  <si>
    <t>CONCRETING OF FARM-TO-MARKET ROAD AT SITIO KAY-APAS, BRGY. MEDINA, MAGALLANES, CAVITE</t>
  </si>
  <si>
    <t>Repair/Rehabilitation Works of Three (3) Storey Six (6) Rooms PLED Building at San Isidro National High School Brgy San Isidro, Antipolo City</t>
  </si>
  <si>
    <t>AGRICULTURAL PRODUCTS (SEEDS)</t>
  </si>
  <si>
    <t>Supply and Delivery of Office Supplies (PMC)</t>
  </si>
  <si>
    <t>Spring/Well Development</t>
  </si>
  <si>
    <t>Supply and Delivery for the City Disaster Risk Reduction and Management Office (CDRRMO) under P.R.No. 0693-2020-Subject to Ordering Agreement Arrangement</t>
  </si>
  <si>
    <t>Construction of Drainage Canal along Magbanua Street</t>
  </si>
  <si>
    <t>Communication Supplies</t>
  </si>
  <si>
    <t>Construction of Stone Masonry Riverwall Along Creek at Antipolo Hills Subdivision, Brgy. San Luis, Antipolo City</t>
  </si>
  <si>
    <t>INF ITB 20-028 Spring Development at Sitio Blit, Brgy. Ned, Lake Sebu, South Cotabato</t>
  </si>
  <si>
    <t>Supply of labor and parts for the repair of one unit 2009 Toyota Avanza</t>
  </si>
  <si>
    <t>PR NO. 2020-06-015 PURCHASE OF MATERIALS FOR RESURFACING OF UNPAVED ROADS &amp; SHOULDERS, TICAO &amp; BURIAS ISLAND, MASBATE</t>
  </si>
  <si>
    <t>Supply and delivery of training supplies and  materials</t>
  </si>
  <si>
    <t>IMPROVEMENT OF COVERED COURT @ CALINTAAN CENTRAL SCHOOL, CALINTAAN OCCIDENTAL MINDORO</t>
  </si>
  <si>
    <t>Purchase of Laptop and Extension Cords</t>
  </si>
  <si>
    <t>Concreting of Road 1 and Construction of Drainage Canal at Bayugo-Padi Heights Subd., Brgy. San Luis, Antipolo City</t>
  </si>
  <si>
    <t>Supply and Delivery of 249 sacks RICE to be given to DA Skeletal Workforce with an ABC of P323,700.00 &amp; PR#DA3-2020-6-5-73</t>
  </si>
  <si>
    <t>Construction of Stone Masonry Riverwall (Portion) Along Labahan Creek at Palemon Street, Crestview Subdivision, Brgy. Cupang, Antipolo City</t>
  </si>
  <si>
    <t>SUPPLY AND DELIVERY OF VARIOUS MATERIALS/FITTINGS FOR OFFICE STOCKS</t>
  </si>
  <si>
    <t>Fishing Nets for OPA-2020-0251</t>
  </si>
  <si>
    <t>4 units Biometrix Attendance		for GWBVMH, Guihulngan City negros Oriental	 (N-345-2020)</t>
  </si>
  <si>
    <t>Procurement of supply and delivery of Training Supplies</t>
  </si>
  <si>
    <t>Procurement of construction Supplies</t>
  </si>
  <si>
    <t>HOUSEKEEPING SUPPLIES	for 	Provincial General Services Office		 (N-334-2020)</t>
  </si>
  <si>
    <t>Concreting of Ilang-Ilang St. at Bermuda Heights Subd., Brgy. San Luis, Antipolo City</t>
  </si>
  <si>
    <t>pH meter</t>
  </si>
  <si>
    <t>Purchase of Construction Materials for use in the Construction of Seventy (70) units Socialized Housing (Phase 2) at DonVictor Ville, Brgy. Silangang Mayao, Lucena City as requested by City Engineerin</t>
  </si>
  <si>
    <t>PR NO. 2020-06-013 PURCHASE OF MATERIALS FOR DAMAGED MANHOLE AND SLOPE PROTECTION ALONG SAN FERNANDO NORTH ROAD &amp; SAN FERNANDO TALISAY ROAD, TICAO ISLAND, MASBATE</t>
  </si>
  <si>
    <t>Supply and Delivery of Office and IT Equipment</t>
  </si>
  <si>
    <t>PURCHASE OF COVID19 TEST KITS (RAPID DIAGNOSTIC TEST)</t>
  </si>
  <si>
    <t>Windows Grills</t>
  </si>
  <si>
    <t>Fabrication &amp; Installation of Street Lights</t>
  </si>
  <si>
    <t>Bid No. 20-0267 - PROCUREMENT OF FOOD SUPPLIES - MO/MPOC (CAFGU) FOR THE MONTH OF SEPTEMBER 2020</t>
  </si>
  <si>
    <t>Payment of Fuel for Barangay Roads Rehabilitation</t>
  </si>
  <si>
    <t>Repair/ Improvement of Two(2) Storey, Four(4) Classrooms AUS-AID Building at Old Boso-Boso Elementary School, Sitio Boso-Boso Brgy. San Jose, Antipolo City</t>
  </si>
  <si>
    <t>MODULAR TENT FOR EVACUATION CENTER (MDRRMO)</t>
  </si>
  <si>
    <t>Various Infrastructure Projects (Infra-20-08), Kabankalan City, Negros Occidental</t>
  </si>
  <si>
    <t>Purchase of Goods (Fixtures)</t>
  </si>
  <si>
    <t>SUPPLY AND DELIVERY OF VARIOUS OFFICE SUPPLIES FOR OFFICE STOCKS</t>
  </si>
  <si>
    <t>Procurement and Delivery of Various Goods</t>
  </si>
  <si>
    <t>SUPPLY AND DELIVERY OF MATERIALS TO USED FOR INSTALLATION OF STREET LIGHTS</t>
  </si>
  <si>
    <t>Supply and Delivery of various office supplies to be used in Corn Program CY 2020 with PR No. 241-03-16-2020 and ABC of P171,850.00</t>
  </si>
  <si>
    <t>Medical Supplies and Laboratory Instrument</t>
  </si>
  <si>
    <t>Supply and Delivery of Tire w/Interior use for the repair and maintenance of Backhoe Loader.</t>
  </si>
  <si>
    <t>Repair/ Repainting of Covered Court and Rewiring of School Building at Brgy. Sta. Cruz and Brgy. San Isidro, Antipolo City (2020 – Package 19)</t>
  </si>
  <si>
    <t>Concrerting of Brgy. Road @ Brgy. Bucal, Concepcion 1, Concepcion Banahaw, Concepecion Pinagbakuran, Guis-guis Talon, Lutucan 1, Lutucan Malabag, Manggalang 1, Manggalang Tulo-tulo and Mamala 2, Saria</t>
  </si>
  <si>
    <t>Office Supplies for the use of RRCY Residents and Staff intended for the 1st Semester 2020</t>
  </si>
  <si>
    <t>Purchase of Goods (Citation Ticket and Sticker)</t>
  </si>
  <si>
    <t>Delivery of one (1) unit Dump truck</t>
  </si>
  <si>
    <t>Purchase of Construction Materials for use in the Repairs and Maintenance of various Barangay Facilities in Lucena City as requested by CMO(PR# 154)REBID</t>
  </si>
  <si>
    <t>Procurement for the Supply and Delivery of Plumbing Fixtures &amp; Fitting Materials for the 3rd and 4th Quarter Operation and Maintenance Requirement</t>
  </si>
  <si>
    <t xml:space="preserve">RFQ - 3 guards Security Services: One year services with the following requirements : 9mm Pistol 12GA shotgun with basic load ammunication, Nigntstick (Batuta), First Aid Kit, Hand Cuffs, Flushlight, </t>
  </si>
  <si>
    <t>Procurement of Live Animals and Feed Supply to be given to ARBs affected during the COVID-19 Pandemic</t>
  </si>
  <si>
    <t>Concreting of Barangay Road @ Brgy. Bignay 1, Bignay 2, Canda, Castañas, Concepcion Palasan, Janagdong 1, Guis-guis San Roque, Sampaloc 1, Sto. Cristo and Talaan Aplaya, Sariaya, Quezon</t>
  </si>
  <si>
    <t>FABRICATION OF SCHOOL WINDOW GRILLS FOR SENIOR HS</t>
  </si>
  <si>
    <t>Rebidding: 35 cu.m Coarse Aggregates (2” max. size) and other items for Barangay Balugo-road concreting of Carolina P. Umbac street.</t>
  </si>
  <si>
    <t>Construction &amp; Improvement of Various Infrastructure Projects</t>
  </si>
  <si>
    <t>Improvement/ Replacement/ Repair/ Repainting at Various Schools, Brgy. Cupang, Antipolo City  (2020 – Package 20)</t>
  </si>
  <si>
    <t>Improvement of Covered Pathwalk at Bagong Nayon II Elementary School, Brgy. San Isidro, Antipolo City</t>
  </si>
  <si>
    <t>Repair/Repainting of School Canteen at Bagong Nayon II National Highschool - Annex, Brgy. San Isidro, Antipolo City</t>
  </si>
  <si>
    <t>Improvement of internet</t>
  </si>
  <si>
    <t>Construction, Medical and School supplies for Anonang ES</t>
  </si>
  <si>
    <t>PR NO. 2020-06-140 PURCHASE OF VARIOUS VEHICLE PARTS AND ACCESSORIES FOR USE IN THE VAHICLE ASSIGNED IN THE PLANNING AND DESIGN SECTION</t>
  </si>
  <si>
    <t>Procurement of Constructional Materials for SHS Perimeter Fence</t>
  </si>
  <si>
    <t>Concreting of Brgy. Road @ Brgy. Balubal, Gibanga, Lutucan Bata, Mamala 1, Montecillo, Morong, Pili, Sampaloc 2, Tumbaga 1 and Talaan Pantoc, Sariaya, Quezon</t>
  </si>
  <si>
    <t>Purchase of Construction Materials for use in the Repairs and Maintenance of various Barangay Facilities in Lucena City as requested by CMO(PR# 155)REBID</t>
  </si>
  <si>
    <t>Supply and Delivery of various office supplies to be used in Corn Program CY 2020 with PR No. 235-03-16-2020 and ABC of P118,220.00</t>
  </si>
  <si>
    <t>Concreting of Brgy. Road @ Brgy. Antipolo, Janagdong 2, Manggalang Bantilan, Manggalang Kiling, Sampaloc Bogon, and Tumabaga 2, Sariaya, Quezon</t>
  </si>
  <si>
    <t>Four (4) Units Transparent Double Top Stainless Table</t>
  </si>
  <si>
    <t>Waterworks Materials</t>
  </si>
  <si>
    <t>Purchase of Sound System with Complete Accessories for use in the various programs, events and activities of the City Government as requested by CGSO(PR# 158)REBID</t>
  </si>
  <si>
    <t>Delivery of one (1) unit Payloader</t>
  </si>
  <si>
    <t xml:space="preserve">Public Bidding of 3 Lots for the Supply and Delivery of Office Supplies, Computer Inks &amp; Cartridges and Janitorial Supplies for the use of Various Offices in the Roxas City Government (2nd Qtr) under </t>
  </si>
  <si>
    <t>Procurement of Various Projects (Package 3)</t>
  </si>
  <si>
    <t>Request for Quotation (NLPRSD-2020-05-0274 Repair/Rehabilitation of Baguio Radar Perimeter Fence)</t>
  </si>
  <si>
    <t>Completion of Tabo-an Center at Bgy. San Jose De Oro</t>
  </si>
  <si>
    <t>Procurement of One (1) Unit of Desktop and One (1) Unit Laptop</t>
  </si>
  <si>
    <t>Construction of Brgy. Water Supply System @ Purok 3, Brgy. Sto. Cristo, Sariaya, Quezon</t>
  </si>
  <si>
    <t>IMPROVEMENT OF PUBLIC COMFORT ROOM @ MUNICIPAL COMPOUND, BRGY. POBLACION, CALINTAAN OCCIDENAL MINDORO</t>
  </si>
  <si>
    <t>Construction of Covered Pathwalk  and Repair/ Improvement of Sitio Hall at Brgy. San Jose, Antipolo City (2020 – Package 21)</t>
  </si>
  <si>
    <t>CATERING SERVICES</t>
  </si>
  <si>
    <t>Purchase of Materials for use in the Repair of Water System at Dalubhasaan ng Lungsod ng Lucena(PR# 160)REBID</t>
  </si>
  <si>
    <t>Procurement of Catering Services-06-052(M)OPAG</t>
  </si>
  <si>
    <t>Invitation to bid for the major repair of community fish landing center at Sitio Impapanan, Armenia, Uson, Masbate</t>
  </si>
  <si>
    <t>SUPPLY AND DELIVERY OF MATERIALS TO BE USED IN CONCRETING OF BARANGAY ROAD, SITIO 2, BARANGAY ARANGIN</t>
  </si>
  <si>
    <t>Procurement of Catering Services-06-054(M)OPAG</t>
  </si>
  <si>
    <t>PURCHASE OF EXTERNAL HARD DRIVE</t>
  </si>
  <si>
    <t>Contract ID No. 20K00349 - Const. of By-Pass and Diversion Road Jct. CDO Talakag Road/ Macapagal Drive-Upper Carmen-Patag-Jct. BCIR/ Kauswagan, Cagayan de Oro City</t>
  </si>
  <si>
    <t>Construction of Drainage Canal along Panes-Laud Street</t>
  </si>
  <si>
    <t>RFQ - Assorted Construction Materials for use in Maintenance Activities (2nd Quarter) (Maintenance Section)</t>
  </si>
  <si>
    <t>Computer Equipment Supplies and Consumables</t>
  </si>
  <si>
    <t>Invitation to bid for the construction of 200 sq. meters reinforced concrete solar dryer pavement at Del Carmen, Uson, Masbate</t>
  </si>
  <si>
    <t>HOSPITAL WATER FILTRATION USE</t>
  </si>
  <si>
    <t>Procurement of Farm Implements and Equipments</t>
  </si>
  <si>
    <t>Construction of Bleacher, Canopy and Perimeter Fence at Sierra Vista Subdivision, Brgy. Cupang, Antipolo City</t>
  </si>
  <si>
    <t>Procurement of Submersible Pump &amp; Accessories for Barangay Poblacion</t>
  </si>
  <si>
    <t>Construction Materials and Supply</t>
  </si>
  <si>
    <t>PROCUREMENT OF PAYROLL SYSTEM</t>
  </si>
  <si>
    <t>2,485 cu.m. Loose Earth Soil for Vegetation and other items for site grading, stabilization and final cover of Dumpsite (Closure Plan) Phase I, Barangay Candau-ay.</t>
  </si>
  <si>
    <t>Procurement of Catering Services-06-053(M)OPAG</t>
  </si>
  <si>
    <t>Purchase of materials for the construction of Drainage Canal, Purok Kapitan Andres-Mabini, Barangay I, Pob. Ilog, Neg. Occ</t>
  </si>
  <si>
    <t>Feeds</t>
  </si>
  <si>
    <t>Utility Supplies 2020</t>
  </si>
  <si>
    <t>Pocket Colorimeter</t>
  </si>
  <si>
    <t>Construction of Foundation of Niches at City Public Cemetery No. 2, Sto. Niño St., Barangay San Jose, Antipolo  City</t>
  </si>
  <si>
    <t>Purchase of Painting and Construction Materials for use in the Rehabilitation of Old City Accounting Office at Brgy. V, Lucena City as requested by CMO(PR# 166)REBID</t>
  </si>
  <si>
    <t>RFQ - Assorted Construction Materials for use in Maintenance Activities (2nd Quarter)</t>
  </si>
  <si>
    <t>ink</t>
  </si>
  <si>
    <t>Contract ID No. 20K00350 - Const. of By-Pass and Diversion Roads Cagayan de Oro Diversion Road, (Jct. Balubal Sayre Highway-Pueblo de Oro, CDO-Old Airport Road Diversion Road (Pueblo de Oro/ Jct. CDO-</t>
  </si>
  <si>
    <t>Purchase of Painting Materials for use in support for the Brigada Eskwela of Different Public Elementary Schools in Lucena City as requested by DepEd - Lucena(PR# 171)REBID</t>
  </si>
  <si>
    <t>Livestocks</t>
  </si>
  <si>
    <t>Rebidding: 345 cu.m concrete premix (3000 psi @ 28 days) cf: 9 bags/cu.m  for Barangay Balugo-road concreting of Carolina P. Umbac street.</t>
  </si>
  <si>
    <t>ILD-20-1946(R1): Procurement of Other Supplies to be used in the ILD Office of the Division Chief and Laboratories</t>
  </si>
  <si>
    <t>Construction of Drainage System Phase III at Maguey Road, Barangay San Isidro, Antipolo City</t>
  </si>
  <si>
    <t>Outsourcing of Ten (10) Personnel to Perform the Distribution of Water Bills within the Service Areas of the District (Rebidding)</t>
  </si>
  <si>
    <t>Procurement and Delivery of Technical and Scientific Equipment</t>
  </si>
  <si>
    <t>Purchase of Construction Materials for use in the Improvement of Livelihood Building at Brgy. Marketview, Lucena City as requested by City Engineering Office(PR# 167)REBID</t>
  </si>
  <si>
    <t>PROCUREMENT OF HONDA XR150L MOTORCYCLE</t>
  </si>
  <si>
    <t>Purchase of 1 unit municipal ambulance</t>
  </si>
  <si>
    <t>Office Equipment parts and accessories</t>
  </si>
  <si>
    <t>Purchase of Painting Materials for use in support for the Brigada Eskwela of Different Public Elementary Schools in Lucena City as requested by DepEd - Lucena(PR# 172)REBID</t>
  </si>
  <si>
    <t>EXTENSION OF MULTIPURPOSE HALL(18m x 12m ) Marawer Kapatagan Digos City</t>
  </si>
  <si>
    <t>Purchase of Printers, Desktop and Laptop Computers for use in the Office of the Schools Superintendent, Supply Office and Division Office of DepEd - Lucena(PR# 173)REBID</t>
  </si>
  <si>
    <t>One (1) Unit Dehumidifier</t>
  </si>
  <si>
    <t>Rubber Gloves etc. - REBID (03-0353)CGSO</t>
  </si>
  <si>
    <t>Procurement of Sacks for the operation of Municipal Reaper Machine</t>
  </si>
  <si>
    <t>Maintenance and Rehabilitation of CCTV Fiber Optic System  Iba O'este, Calumpit, Bulacan</t>
  </si>
  <si>
    <t>Invitation to bid for the purchase of 1 unit garbage truck</t>
  </si>
  <si>
    <t>Common Use Supplies 2020 (Fund 164)</t>
  </si>
  <si>
    <t>SUPPLY AND INSTALLATION OF 1-UNIT 1.5 HP SPLIT WALL MOUNTED INVERTER TYPE AIRCONDITIONER FOR LABORATORY HISTOPATHOLOGY ROOM, GROUND FLOOR PAYWARD BUILDING</t>
  </si>
  <si>
    <t>Purchase of Multi-Purpose Vehicle for the use of Ilog Rural Health Unit. Ilog, Negros Occidental</t>
  </si>
  <si>
    <t>Contract ID No. 20K00351 - Const. of By-Pass and Diversion Roads, Claveria-Balingoan By-Pass Road, (Kabangasan-Mapua Section), Misamis Oriental</t>
  </si>
  <si>
    <t>20GLD0035-Procurement of Freight &amp; Handling of various Documents-For shipment and deliveries of mail matters &amp; logistics</t>
  </si>
  <si>
    <t>ISUZU CROSSWIND BATTERY</t>
  </si>
  <si>
    <t>Fertilizer</t>
  </si>
  <si>
    <t>Supply and Delivery of Cooking Tools and Materials</t>
  </si>
  <si>
    <t>Construction of Drainage System Phase IV at Maguey Road, Barangay San Luis, Antipolo City</t>
  </si>
  <si>
    <t>Purchase of Laboratory Equipments</t>
  </si>
  <si>
    <t>Printing of Two Thousand Five Hundred (2500) pieces of Student Handbook for the use of Dalubhasaan ng Lungsod ng Lucena(PR# 178)REBID</t>
  </si>
  <si>
    <t>Concreting of Barangay Road - Sto. Nino Street, Baybay, Caramoran</t>
  </si>
  <si>
    <t>PR. 20-05-170 (2020-05-174 2ND QUOTE) PROCUREMENT OF SUPPLY OF ENGINE COUPLED WITH TRANSMISSION FOR REPLACEMENT OF MINI DUMPTRUCK</t>
  </si>
  <si>
    <t>Supply and Delivery of Other Supplies and Materials (PMC)</t>
  </si>
  <si>
    <t>TRANSPORTATION AND DELIVERY EXPENSES (WATER TRUCK DELIVERY)</t>
  </si>
  <si>
    <t>DAY CARE CENTER SUPPLIES FOR 2020 (MSWDO Office)</t>
  </si>
  <si>
    <t>P.R. No. X1-20-03-187 - Supply and Delivery for the Replacement of two (2) defective units at Information and Communication Technology Unit-Command Center, Network Room. End-user: Command Center Staff</t>
  </si>
  <si>
    <t>Repair/ Repainting of Various School Buildings at Brgy. Sta. Cruz, Antipolo City (2020 – Package 22)</t>
  </si>
  <si>
    <t>Supply and Delivery of 2 Months Old Muscovy Ducklings for the Livestock Livelihood Program on Duck Production in Support to National Livestock Program  (NLP) for ATI-RTC XII.</t>
  </si>
  <si>
    <t>Public Bidding of 3 Lots for the Supply and Delivery of Diesel and Motor Oil for Roxas City PNP, City Assessor’s Office and Roxas City Disaster Risk Reduction and Management Office under ITB No. 2020-</t>
  </si>
  <si>
    <t>PR NO. 2020-06-012 PURCHASE OF TIRES FOR USE IN SERVICE VEHICLE NISSAN NAVARRA (FON334)</t>
  </si>
  <si>
    <t>Supply and Delivery of Various Medicines for 2nd Quarter 2020</t>
  </si>
  <si>
    <t>Purchase of One (1) unit Multi - Purpose Vehicle for the use of Frontline Services of the City Government of Lucena as requested by City Mayor's Office(PR# 180)REBID</t>
  </si>
  <si>
    <t>20GE024G – P.R. No. R06.14- 025 - Purchase of assorted materials for use on Maintenance Activities.</t>
  </si>
  <si>
    <t>Purchase of materials for the construction of drainage canal, Barangay Dancalan, Ilog, neg. Occ.</t>
  </si>
  <si>
    <t>Supply and Delivery of Training Supplies (PMC)</t>
  </si>
  <si>
    <t>Invitation to bid for the purchase of 165 pails paint and 1,000 sacks cement</t>
  </si>
  <si>
    <t>Procurement of office equipment</t>
  </si>
  <si>
    <t>20JI0094-Procurement of construction materials for use in Construction of Rainwater Collector System Pilar Elementary School Brgy.Pilar, Diplahan,Zamboanga Sibugay</t>
  </si>
  <si>
    <t>20GLD0036-Procurement of 1,000 liters Gasoline Premium-For use in Maintenance Section</t>
  </si>
  <si>
    <t>BTVTEd Garments and Fashion Design Technology Shop Laboratory.</t>
  </si>
  <si>
    <t>Purchase of Construction Materials for use in the Repair of Barangay Facilities in Lucena City as requested by CMO(PR# 184)REBID</t>
  </si>
  <si>
    <t>Repair/ Repainting of Two (2) Storey, Six (6) Rooms Pled School Building 4 at Antipolo National High School, Brgy. Sta. Cruz, Antipolo City</t>
  </si>
  <si>
    <t>Maintenance and Rehabilitation of Public Address System in Iba O'este, Calumpit, Bulacan</t>
  </si>
  <si>
    <t>PROCUREMENT OF SUPPLIES AND MATERIALS FOR THE CONCRETING OF BARANGAY ROAD AT MAYSALAY, GOA, CAMARINES SUR.</t>
  </si>
  <si>
    <t>Purchase of materials for the improvement of Farm to Market Roads at Siito Toril, Purok Patino and Purok Cordova, Barangay Bocana, Ilog, Neg. Occ.</t>
  </si>
  <si>
    <t>Procurement of One (1) Unit of Motorcyle</t>
  </si>
  <si>
    <t>20GLD0038--Procurement of 2,000 liters Kerosene-For use in Maintenance Section</t>
  </si>
  <si>
    <t>Purchase of materials for the road concreting, Purok Santan, BRgy. Vista Alegre, Ilog, Neg. Occ.</t>
  </si>
  <si>
    <t>20GLD0037-Procurement of 3,000 liters Gasoline, Regular-For use in Maintenance Section</t>
  </si>
  <si>
    <t>CONSTRUCTION OF LINE CANAL WITH STEEL COVER</t>
  </si>
  <si>
    <t>Repair/ Improvement of Two (2) Storey Six(6) Classrooms Sumulong Building at San Juan National High School, Brgy. San Juan, Antipolo City</t>
  </si>
  <si>
    <t>Purchase of Construction and Electrical Materials for use in the Repairs and Maintenance of various Barangay Facilities in Lucena City as requested by CMO(PR# 185)REBID</t>
  </si>
  <si>
    <t>Concreting of Joaquin Orpilla FMR</t>
  </si>
  <si>
    <t>Construction of Material Recovery Facility (MRF) at Brgy. Calawis, Antipolo City</t>
  </si>
  <si>
    <t>Purchase of Drugs and Medicines for the use of City Health Office(PR# 195)REBID</t>
  </si>
  <si>
    <t>Procurement of Vegetable Seeds and Garden Tools for distribution to Organic farmers, Beneficiaries in CALABARZON under Organic Agriculture Program CY 2020</t>
  </si>
  <si>
    <t>BTVTEd Foods and Services Management Technology Shop Laboratory.</t>
  </si>
  <si>
    <t>(JAE-SEPS) TOKEN FOR RESPONDENTS FOR THE IMPACT ASSESSEMENT OF COVID-19 ON CARAPRENEURS' LIVELIHOOD AND FOOD SECURITY</t>
  </si>
  <si>
    <t>RFQ - 9,200ltrs. Diesel, 8,000ltrs. Extra Gasoline for use for All Service Vehicles and Equipments (Maintenance Section) 2nd Quarter</t>
  </si>
  <si>
    <t>Labor &amp; Materials for the Proposed Construction of 1 Unit Deepwell</t>
  </si>
  <si>
    <t>Three (3) Units Air Purifier and Ionizer</t>
  </si>
  <si>
    <t>Invitation to bid for the purchase of 20 units seafood stall</t>
  </si>
  <si>
    <t>MATERIALS, IMPROVEMENT OF MULTI-PURPOSE CENTER, BRGY. CAPAY-CAPAY, DUENAS, ILOILO</t>
  </si>
  <si>
    <t>Purchase of Ten (10) sets of Double Deck Beds with Foam, One (1) unit Massage Bed and Sewing Machine for use in the Recovery Wellness Center as requested by CADAC(PR# 192)REBID</t>
  </si>
  <si>
    <t>Purchase of One (1) unit Multi - Purpose Vehicle for use in the operations at City Agriculture Office (Slaughterhouse) as requested by City Agriculturist's Office(PR# 197)REBID</t>
  </si>
  <si>
    <t>Purchase of Handheld Radio</t>
  </si>
  <si>
    <t>Procurement of 3 Units Electric Fan</t>
  </si>
  <si>
    <t>PR NO. 2020-06-017 PURCHASE OF MATERIALS FOR REHABILITATION OF ROADS (REBLOCKING) AT TICAO ISLAND, MASBATE</t>
  </si>
  <si>
    <t>20GLD0039-Procurement of 10,000 liters Automotive Diesel-For use in Maintenance Section</t>
  </si>
  <si>
    <t>Cell cards for Disigning Multimedia LMS</t>
  </si>
  <si>
    <t>Purchase of 6 units Multicab and 3 Units Prisoner’s Van Province of Northern Samar</t>
  </si>
  <si>
    <t>CATERING SERVICES FOR THE P/M/BLGU ORIENTATION ON LISTAHANAN 3 VALIDATION AND FINALIZATION PHASE IN ABRA FOR BATCH 1 TO 5</t>
  </si>
  <si>
    <t>Rebidding: 10 lgths Deformed Steel Bar (16mmØ x 6.0m) and other items for Barangay Balugo-road concreting of Carolina P. Umbac street.</t>
  </si>
  <si>
    <t>Invitation to bid for the barangay road concreting at Candelaria, Uson, Masbate</t>
  </si>
  <si>
    <t>20JI0095-Procurement of construction materials for use in Construction of Rainwater Collector System DPWH 1st DEO (New Building) DPWH 1st DEO, Kauswagan, Diplahan, Zamboanga Sibugay</t>
  </si>
  <si>
    <t>Improvement of Drainage Canal at Dela Paz St. (Portion), Brgy. Dela Paz, Antipolo City</t>
  </si>
  <si>
    <t>20CSHN08 -Appraisal Services for Road-Right-of-Way Acquisition – Road Widening - Secondary Roads - Terminal Bldg. Access Road - Chainage 000 - Chainage 1295, Lapu-Lapu City</t>
  </si>
  <si>
    <t>Purchase of materials for the concrete pavement BRgy. Balicotoc, Ilog, Neg. Occ.</t>
  </si>
  <si>
    <t>DDN GDSI 2020-15</t>
  </si>
  <si>
    <t>RFQ - 100pcs. Sweatshirt for use in Maintenance Field Personnel (2nd Quarter)</t>
  </si>
  <si>
    <t>Rehabilitation/Gravelling of Afusing Bato FMR</t>
  </si>
  <si>
    <t>Dismantling / Transfer / Erection of Elevated Steel Tank from San Juan Water Service Multi - Purpose Cooperative (SJWSMC), Sitio Buntong Palay, Brgy. San Juan to Kaysakat National High School, Brgy. S</t>
  </si>
  <si>
    <t>Repair and Maintenance of RP Vehicle with Plate No. OY-4344</t>
  </si>
  <si>
    <t>20HG0174 - Repair/Maintenance of Slope Protection along Santander-Barili-Toledo Road, Looc Malabuyoc, K0160+800</t>
  </si>
  <si>
    <t>Supply and Delivery of Medical and Laboratory Equipment and Supplies</t>
  </si>
  <si>
    <t>RENEWAL OF SOPHOS XG230 ENTERPRISE GUARD</t>
  </si>
  <si>
    <t>20HG0175 - Repair/Maintenance of Flood Control Structure along Lengigon Bridge, Argao, Cebu</t>
  </si>
  <si>
    <t>PROVISION OF THE CONTRACT FOR TARPAULIN PRINTING SERVICES FOR SIX (6) MONTHS JULY - DECEMBER 2020</t>
  </si>
  <si>
    <t>Invitation to bid for the construction of circumferential concrete pathway at Campana, Uson, Masbate</t>
  </si>
  <si>
    <t>20GE025G – P.R. No. R06.14-026 Purchase of assorted materials for use in Maintenance Service Vehicles</t>
  </si>
  <si>
    <t>20GLD0040-Procurement of 1 pc Tire (6.40 x 13;8PR Miler Type) w/ Tube for H1-2203, Ford Fierra, etc.</t>
  </si>
  <si>
    <t>Purchase of Construction Materials for use in the Construction of Three (3) Makeshift Classroom at Lucena East II Elementary School as requested by DepEd - Lucena(PR# 103)</t>
  </si>
  <si>
    <t>UPLB-RQ-6-121-20-RES SUPPLY AND DELIVERY OF CHEMICALS &amp; CHEMICAL PRODUCTS FOR ASI</t>
  </si>
  <si>
    <t>Supply and Delivery of Animal Feeds for the Livestock Livelihood Program on Duck Production in Support to National Livestock Program (NLP) for ATI-RTC XII.</t>
  </si>
  <si>
    <t>1 set coring machine</t>
  </si>
  <si>
    <t>Two (2) Units Bills Trunk</t>
  </si>
  <si>
    <t>20CSHN09 -Appraisal Services for Road-Right-of-Way Acquisition – Road Widening - Secondary Roads - Consolacion-Tayud-Liloan  Road - Chainage 1920 - Chainage 2823, Consolacion, Cebu</t>
  </si>
  <si>
    <t>CONCRETING OF BARANGAY ROADS AT SITIO DUHAT BACAO, TAYSAN BATANGAS</t>
  </si>
  <si>
    <t>LGU's Community Development Information,Radio/TV Broadcasting for 6(Six)Months January to June(1st &amp; 2nd Quarter).(NP 53.6)</t>
  </si>
  <si>
    <t>Purchase of Emergency Medical Service for Rural Health Unit Use</t>
  </si>
  <si>
    <t>20JI0096-Procurement of construction materials for use in Construction of Rainwater Collector System Camanga Elementary School Brgy. Camanga, Malangas, Zamboanga Sibugay</t>
  </si>
  <si>
    <t>Procurement of Flags</t>
  </si>
  <si>
    <t>RE-BIDDING FOR THE COMPLETION OF ROXAS RURAL HEALTH UNIT (TB DOTS AND BIRTHING FACILITY) &amp; SAN VICENTE RURAL HEALTH UNIT (TB DOTS BUILDING) IN ROXAS AND SAN VICENTE, PALAWAN - PHASE 2 (LOT 2)</t>
  </si>
  <si>
    <t>Purchase of Electrical Materials for use in the Rehabilitation of Electrical Facilities at Zaballero Elementary School as requested  by CMO(PR# 107)</t>
  </si>
  <si>
    <t>Procurement of 3 unit Computer Desktop,etc. under P.R.No. 2173-2020-5% City Disaster Risk Reduction and Management Fund(Continuing).</t>
  </si>
  <si>
    <t>INF ITB 20-029 Construction of Lying-in Center, Brgy. Lumakil, Polomolok, South Cotabato</t>
  </si>
  <si>
    <t>INSTALLATION OF SOLAR STREET LIGHTS</t>
  </si>
  <si>
    <t>P.R -02- 031-2020 TWSP SMAW NC I TRAINING</t>
  </si>
  <si>
    <t>Construction of River/Flood Control - Hitoma, Caramoran</t>
  </si>
  <si>
    <t>Purchase of Emergency Medical Service for MDRR Use</t>
  </si>
  <si>
    <t>CONSTRUCTION OF CONCRETE WATER SHED</t>
  </si>
  <si>
    <t>INF ITB 20-030 Completion of Stage and Additional 2-Span Gym, Brgy. Polonuling, Tupi, South Cotabato</t>
  </si>
  <si>
    <t>SSF for Mini Food Processing Center for the LGU of Island Garden City of Samal</t>
  </si>
  <si>
    <t>PROVISION OF THE CONTRACT FOR GASOLINE AND DIESEL SUPPLY FOR SIX (6) MONTHS JULY-DECEMBER 2020</t>
  </si>
  <si>
    <t>MATERIALS FOR ENGINEERING FACILITIES MANAGEMENT STOCKS FOR PLUMBING MAINTENANCE USE</t>
  </si>
  <si>
    <t>PR 040 -02-2020 OFFICE SUPPLIES AND DEVICES 1ST QTR 2020</t>
  </si>
  <si>
    <t>SVP 20-007 - Construction of Multi-Purpose Drying Pavement (MPDP), Sitio Villa Ellaga, Brgy. Colongulo, Surallah, South Cotabato</t>
  </si>
  <si>
    <t>PURCHASE OF LABORATORY SUPPLIES TO BE USED AT THE MUNICIPAL HEALTH OFFICE</t>
  </si>
  <si>
    <t>Bid No. 20-0268 - PROCUREMENT OF FOOD SUPPLIES - MO/MPOC (CAFGU) FOR THE MONTH OF OCTOBER 2020</t>
  </si>
  <si>
    <t>Purchase of One (1) set CCTV/Digital Video Recorder 8 Channels, 230V</t>
  </si>
  <si>
    <t>Purchase of rapid testing kit supplies intended for COVID-19 response for the use of Barangay San Antonio.</t>
  </si>
  <si>
    <t>REQUEST FOR QUOTATION -One Year Lease of Network Performance monitoring System</t>
  </si>
  <si>
    <t>Invitation to bid for the barangay road concreting at Arado, Uson, Masbate</t>
  </si>
  <si>
    <t>P.R. NO. 20-05-0622: 10 UNITS ALL-IN-ONE PERSONAL COMPUTER</t>
  </si>
  <si>
    <t>SUPPLY , DELIVERY, INSTALLATION &amp; TESTING OF THRE (3) UNITS OF INVERTER AIRCON 3 TONNER CEILING CASSETTE</t>
  </si>
  <si>
    <t>20JI0098-Procurement of construction materials for use in for use in Construction of Rainwater Collector System Malangas National High School (TECVOC) Brgy. Mabini, Malangas, Zamboanga Sibugay</t>
  </si>
  <si>
    <t>PROCUREMENT OF ROTARY COMPOSTER</t>
  </si>
  <si>
    <t>Construction/ Improvement of Access Roads leading to Airports - Guicadale Road Network to International Airport (Sitio Tagongtong-Sitio Burabod Road), Taysan, Legazpi City, Albay</t>
  </si>
  <si>
    <t>INSTALLATION OF GUARDRAILS (Procuring Entity: BLGU-Guinhadap)</t>
  </si>
  <si>
    <t>Supply and Delivery of 60 rolls Shrink Film Polyolefin</t>
  </si>
  <si>
    <t>PR NO. 2020-06-016 PURCHASE OF MATERIALS FOR PAVEMENT MARKINGS, TICAO AND BURIAS ISLAND, MASBATE (CENTERLINE &amp; LANE LINE REPAINTING ALONG NATL. ROADS, 1ST LEG. DISTRICT OF MASBATE)</t>
  </si>
  <si>
    <t>One (1) Unit Coin Counting and Sorting Machine</t>
  </si>
  <si>
    <t>Invitation to bid for the barangay road concreting at Purok 4, Buenavista, Uson, Masbate</t>
  </si>
  <si>
    <t>1 Unit Aircon 3 Tonner</t>
  </si>
  <si>
    <t>Purchase of Filing Cabinets, Tall Cabinet, Flat Cart and Steel Metal Storage for the use of City Accounting Office(PR# 126)</t>
  </si>
  <si>
    <t>IMPROVEMENT OF BASKETBALL COURT (S.K FUND)</t>
  </si>
  <si>
    <t>Purchase of 275 pcs. Iopamidol 300mg/50ml</t>
  </si>
  <si>
    <t>ENGINEERING FACILITIES MANAGEMENT STOCKS FOR ELECTRICAL MAINTENANCE USE</t>
  </si>
  <si>
    <t>Construction of Footbridge - Purok 1</t>
  </si>
  <si>
    <t>PRAS NO. 2020-06-038 CATERING SERVICES</t>
  </si>
  <si>
    <t>EMBANKMENT AND CEMENTING OF PROPOSED BASKETBALL COURT AND PARKING AREA (Phase I)</t>
  </si>
  <si>
    <t>Supply and Delivery of Inactivated Quadrivalent Influenza Vaccine for use of Frontline Workers, LGU Employees and Other Identified Constituents of Municipality of Calayan, Province of  Cagayan</t>
  </si>
  <si>
    <t>Installation of Automatic Fire Sprinkler System (with Automatic Fire Detection, Automatic Fire Alarm, Water Tank, Pump House and Power Supply) @ Cadiz City Hall Building 1, Cabahug Street, Cadiz City”</t>
  </si>
  <si>
    <t>Laboratory Supplies &amp; Equipment 2020-02-052</t>
  </si>
  <si>
    <t>Purchase and delivery of materials for the Construction/Improvement of Pathwys at Luta Norte, Malvar, Batangas</t>
  </si>
  <si>
    <t>Procurement of Backrest Chair</t>
  </si>
  <si>
    <t>PR NO. 1400 FREE RANGE CHICKEN LAYER TYPE</t>
  </si>
  <si>
    <t>Purchase of Office Supplies for the use of City Mayor's Office(PR# 127)</t>
  </si>
  <si>
    <t>Invitation to bid for the construction of 130 meters concrete pathway at Purok 1, Buenavista, Uson, Masbate</t>
  </si>
  <si>
    <t>Procurement of Drugs and Meds</t>
  </si>
  <si>
    <t>20FK0051-Bridge-Refrofitting/Strenthening of Permanent Bridges-Mauhang Bridge (B04697LZ) along Daan Maharlika (LZ) Casiguran Sorsogon</t>
  </si>
  <si>
    <t>20JI0099-Procurement of construction materials For use in Construction of Rainwater Collector System Polog Brgy. Hall. Polog, Buug,Zamboanga Sibugay</t>
  </si>
  <si>
    <t>Procurement of Laboratory Supplies</t>
  </si>
  <si>
    <t>Invitation to bid for the barangay road concreting at Purok 5 to 6, Armenia, Uson, Masbate</t>
  </si>
  <si>
    <t>Supply and Delivery of Seeds in Tabuk City, Kalinga</t>
  </si>
  <si>
    <t>PURCHASE OF WEBCAM, MICROPHONE AND MICROPHONE STAND WITH RING LIGHT</t>
  </si>
  <si>
    <t>Request for Quotation (HMD-2020-06-0283 Disinfectant Aerosol)</t>
  </si>
  <si>
    <t>Purchase and Installation of Twelve (12) units of Solar Lights, Lam-an, Ozamiz City</t>
  </si>
  <si>
    <t>Supply and Delivery of Construction Materials - ITB 031-2020 GQ</t>
  </si>
  <si>
    <t>Construction of Barangay Stage - Tubli, Caramoran, Catanduanes</t>
  </si>
  <si>
    <t>Procurement of IT Supplies Parts and Accessories</t>
  </si>
  <si>
    <t>Purchase of Janitorial Supplies as requested by City Mayor's Office (PR#131)</t>
  </si>
  <si>
    <t>SVP 20-008 - Construction of Multi-Purpose Drying Pavement (MPDP), Sitio El Niño, Brgy. Lamcade, Lake Sebu, South Cotabato</t>
  </si>
  <si>
    <t>Purchase of 2,000 Liters Premium Gasoline</t>
  </si>
  <si>
    <t>Procurement of Reproduction Services</t>
  </si>
  <si>
    <t>Purchase of Medical supplies</t>
  </si>
  <si>
    <t>14cs Floorwax, Complete 5L (2pcs/cs)</t>
  </si>
  <si>
    <t>RFQ-2020-06-0035-Furnishing  of Reflectorized Thermoplastic Pavement Marking along Pangasinan-Zambales Road, KO275+000 to KO301+000 with exception and along Alaminos-Bolinao Road, KO358+000 to 361+000</t>
  </si>
  <si>
    <t>canvass sheet for office accessories</t>
  </si>
  <si>
    <t>Purchase of 8,000 Liters Diesel Fuel</t>
  </si>
  <si>
    <t>P.R 2020-02-026</t>
  </si>
  <si>
    <t>One (1) Unit Working Desk, Transparent</t>
  </si>
  <si>
    <t>SUPPLY AND DELIVERY OF CONSTRUCTION MATERIALS OF VARIOUS INFRA-PROJECTS</t>
  </si>
  <si>
    <t>Request for Quotation (RDTD-2020-06-0286 Compressor Motor)</t>
  </si>
  <si>
    <t>Concreting of NRJ (Rosario) Poblacion-Novele-Sta. Cruz Circumferential Road</t>
  </si>
  <si>
    <t>20JI0100-Procurement of construction materials For use in Construction of Rainwater Collector System Mindanao State University Brgy. Datu Panas, Buug,Zamboanga Sibugay</t>
  </si>
  <si>
    <t>SUPPLY AND DELIVERY OF CONSTRUCTION MATERIALS FOR THE CONCRETING OF ROADWAY IN-FRONT OF COMMERCIAL STALLS ALONG PROVINCIAL ROAD AT BARANGAY ROXAS, NAGUILIAN, ISABELA</t>
  </si>
  <si>
    <t>SUPPLY AND DELIVERY OF FERTILIZERS FOR THE GULAYAN AND MANUKAN PROJECT</t>
  </si>
  <si>
    <t>Tobacco Farmers/Cooperatives' Farm Mechanization and Post-Harvest Facility Assistance Project</t>
  </si>
  <si>
    <t>Rehabilitation of Multi-Purpose Hall (phase 2), located at Barangay Mallorga, Talalora, Samar</t>
  </si>
  <si>
    <t>Procurement of Rice</t>
  </si>
  <si>
    <t>Improvement/Repair of Roads (Repair of Binaliw Access Road Dikes)</t>
  </si>
  <si>
    <t>20FK0052-Local Program-Local Infrastructure-Concreting of Sitio Cagbalod Road Pilar, Sorogon</t>
  </si>
  <si>
    <t>RFQ-2020-06-0037-Provision &amp; Installation of Road Signs along Bani-Agno Road, KO336+(-775) to KO350+134 with exception and Burgos-Agno, KO303(-961) to KO310+702</t>
  </si>
  <si>
    <t>PACKAGE 10-LDF20</t>
  </si>
  <si>
    <t>RFQ-2020-06-0038-Provision &amp; Installation of Road Signs along Alaminos-Bolinao  Road, KO321+(-204) to KO361+327 with exception</t>
  </si>
  <si>
    <t>Construction of Dike 2 Purok 3 at Barangay Pto. Rivas Lote, City of Balanga, Bataan (Rebidding)</t>
  </si>
  <si>
    <t>Publication of CSC Resolution No. 2000359, PRIME-HRM: Revised Guidelines on the Conferment of HR Recognition and Award</t>
  </si>
  <si>
    <t>Purchase of educational materials</t>
  </si>
  <si>
    <t>Purchase of 1 Unit Printer</t>
  </si>
  <si>
    <t>20FK0053-Cluster XIV 1.) Asset Preservation Program-Rehab./Reconstruction/ Upgrading of Damaged Paved Roads-Secondary Roads-Salvador H. Escudero III Diversion Road -K0577+(-013)-k0577+424, K0583+245-K</t>
  </si>
  <si>
    <t>Rehabilitation of Techno Demo Farm</t>
  </si>
  <si>
    <t>RFQ-2020-06-0040-Furnishing of Reflectorized Thermoplastic Pavement Marking along Bani-Agno, KO336+(-775) to KO350+134 with exception and along Burgos-Agno Road, KO303+(961) to KO310+702 with exceptio</t>
  </si>
  <si>
    <t>RFQ-2020-06-0036-Provision &amp; Installation of Road Signs along Pangasinan-Zambales Road, KO268+(-814) to KO340+154 with exception</t>
  </si>
  <si>
    <t>Construction of Poblacion Drainage System (Magsaysay Street)</t>
  </si>
  <si>
    <t>20JI0101-Procurement of construction materials For use in Construction of Rainwater Collector System Maganay, Brgy. Hall, Brgy,Maganay, Buug,Zamboanga Sibugay</t>
  </si>
  <si>
    <t>RFQ-2020-06-0041-Supply &amp; Installation Road Overhead Sign along Alaminos By-Pass Road, KO320+(-269)-KO321+172</t>
  </si>
  <si>
    <t>Concreting of NRJ (Bayugan City) Sta. Teresita-Mt. Carmel-Osmeña Circumferential Road</t>
  </si>
  <si>
    <t>Construction of Outpatient Department Building for Non-COVID-19 Patients</t>
  </si>
  <si>
    <t>School supplies</t>
  </si>
  <si>
    <t>Construction of Power House</t>
  </si>
  <si>
    <t>UPLB-RQ-6-122-20-RES SUPPLY AND DELIVERY OF INFORMATION TECHNOLOGY FOR ASI</t>
  </si>
  <si>
    <t>Concreting of NRJ (Sibagat) San Vicente-Esperanza Road</t>
  </si>
  <si>
    <t>Improvement/Repair of Roads (Repair of Boulevard Access Road Dikes)</t>
  </si>
  <si>
    <t>RFQ-2020-06-0039-Supply and Installation of Single Armpost with Solar Powered Street LED Light along the Burgos-Agno Road, KO303+(-961) to KO310+702 with exception</t>
  </si>
  <si>
    <t>CONSTRUCTION OF CONCRETE CANAL @ PUROK 03</t>
  </si>
  <si>
    <t>Rehabilitation/Improvement of EMCH Building Phase II for Non-COVID-19 Patients</t>
  </si>
  <si>
    <t>PURCHASE AND DELIVERY OF ONE UNIT OF PHOTOCOPIER FOR PBO</t>
  </si>
  <si>
    <t>Procurement of Office Supplies and Devices for Legal Division use</t>
  </si>
  <si>
    <t>CONSTRUCTION AND INSTALLATION OF MUNICIPAL SOLAR STREET LIGHTING Poblacion, Tubod, Lanao del Norte</t>
  </si>
  <si>
    <t>20DD0325 Local Program, Construction/ Repair/ Rehabilitation/ Improvement of Various Infrastructure Including Local Projects, Buildings and Other Structures, Multipurpose/ Facilities, Construction of</t>
  </si>
  <si>
    <t>SUPPLY AND DELIVERY OF BIO-STIMULANT FOLIAR FERTILIZERS FOR THE GULAYAN AT MANUKAN PROJECT</t>
  </si>
  <si>
    <t>Improvement of All Nurses Station</t>
  </si>
  <si>
    <t>20DD0326 Local Program, Construction/ Repair/ Rehabilitation/ Improvement of Various Infrastructure Including Local Projects, Flood Control and Drainage, Drainage / Protection Works, Construction/ Reh</t>
  </si>
  <si>
    <t>PURCHASE AND DELIVERY OF MEALS AND SNACKS FOR PSWDO</t>
  </si>
  <si>
    <t>Purchase of Two (2) units Dump Truck for use in Disaster and Solid Waste Management Operations as requested by CGSO(PR# 165)</t>
  </si>
  <si>
    <t>Rehabilitation of water  system</t>
  </si>
  <si>
    <t>Completion of Sea Wall @ Brgy. Proper, Brgy. Cadiz Viejo, Cadiz City</t>
  </si>
  <si>
    <t>Purchase of various Agricultural Equipment for use in the Implementation of Farm Mechanization Program of the City Agriculturist's Office(PR# 153)</t>
  </si>
  <si>
    <t>20DD0328 Local Program, Construction/ Repair/ Rehabilitation/ Improvement of Various Infrastructure Including Local Projects, Buildings and Other Structures, Multipurpose/ Facilities, Rehabilitation/</t>
  </si>
  <si>
    <t>Purchase of Twenty Five (25) sets Desktop Computer and One (1) unit External Hard Drive for the use of Dalubhasaan ng Lungsod ng Lucena(PR# 174)</t>
  </si>
  <si>
    <t>Rehab of Changhoy CIS</t>
  </si>
  <si>
    <t>Procurement of Construction Materials and Supplies of TRADOC, PA amounting to Php 365,900.00</t>
  </si>
  <si>
    <t>20DD0327 Local Program, Local Infrastructure Program, Buildings and Other Structures, Multipurpose/ Facilities, Completion of Multi-Purpose Building, Brgy. Poblacion, San Juan, Batangas</t>
  </si>
  <si>
    <t>20DD0329 Local Program, Local Infrastructure Program, Buildings and Other Structures, Multipurpose/ Facilities, Construction/ Improvement of Multi-Purpose Building in various Barangays, San Juan, Bata</t>
  </si>
  <si>
    <t>Procurement of Office Equipment Parts of TRADOC, PA amounting to Php 50,000.00</t>
  </si>
  <si>
    <t>PERIMETER FENCE AT SAN NICOLAS</t>
  </si>
  <si>
    <t>9 UNITS LAPTOP COMPUTER</t>
  </si>
  <si>
    <t>Negotiated Lease of Office Space for PRO XI LHIO Tagum through MYOA</t>
  </si>
  <si>
    <t>NP 083-20: FOLDABLE FAN WITH PRINT "MASAGANANG ANI, MATAAS NA KITAAND PLANT, PLANT, PLANT</t>
  </si>
  <si>
    <t>Installation and Purchase of ‭28.032‬ sq.m Wall Partition for use in the Business One Stop Shop (BOSS) as requested by CMO(PR# 183)</t>
  </si>
  <si>
    <t>Purchase of One (1) unit Passenger Van for the use of Executive Department of the Lucena City Government as requested by City Mayor's Office(PR# 181)</t>
  </si>
  <si>
    <t>Materials for the Concreting of Farm to Market Road, Brgy. Ito Sur, Cabatuan, Iloilo</t>
  </si>
  <si>
    <t>20JI0102-Procurement of construction materials For use in Construction of Rainwater Collector System Labrador Brgy.Hall, Brgy. Labrador, Buug,Zamboanga Sibugay</t>
  </si>
  <si>
    <t>Personal Care Products</t>
  </si>
  <si>
    <t>Supply and delivery of Office Supplies for official use of DOLE RO5</t>
  </si>
  <si>
    <t>Procurement of 1 Pakyaw Remote Sensing Services for Groundwater Availability Exploration(GEO-Resistivity Survey) under 0700-2020-OCA-Support to Quality Corn Development(Trust Fund)</t>
  </si>
  <si>
    <t>Rehab of Mappit Water System</t>
  </si>
  <si>
    <t>Public Bidding for the Supply and Delivery of Medical Supplies for the use of Roxas City Disaster Risk Reduction Management Office under ITB No. 2020-010</t>
  </si>
  <si>
    <t>INSTALLATION OF ELECTRICAL LINES FOR WATER WORKS SYSTEM AT SITIO CENTRO, BRGY. MAPULO -001</t>
  </si>
  <si>
    <t>DRAINAGE CANAL - SAN AGUSTIN</t>
  </si>
  <si>
    <t>Purchase of Goods (Food and Non-Food) for Stockpile of LCDRRMO(PR# 198)</t>
  </si>
  <si>
    <t>Installation and Purchase of Venetian Blinds for use in the Recovery Wellness Center of CADAC(PR# 234)</t>
  </si>
  <si>
    <t>Purchase of various Disposable Kitchenware and Plastic Bags for the use of Medical Emergency Response as requested by LCDRRMO(PR# 219)</t>
  </si>
  <si>
    <t>Construction of Gymnatorium with State-of-the-Art Facilities (Phase II) MMSU, City of Batac</t>
  </si>
  <si>
    <t>20DD0332 Local Program, Local Infrastructure Program, Buildings and Other Structures, Multipurpose/ Facilities, Rehabilitation/ Improvement of Multi-Purpose Facilities at Duhatan Elementary School, Br</t>
  </si>
  <si>
    <t>20DD0333 Local Program, Local Infrastructure Program, Local Roads and Bridges, Local Roads, Construction of Brgy. Road at Brgy. Halang, Lipa City, Batangas</t>
  </si>
  <si>
    <t>Purchase of School Supplies for Balik-Eskwela (ALS) in support for the educational services program of the City Government as requested by CMO(PR# 249)</t>
  </si>
  <si>
    <t>Procurement of 1 Unit Laptop</t>
  </si>
  <si>
    <t>20JI0103-Procurement of construction materials For use in Construction of Rainwater Collector System Manlin Elementary School Brgy. Manlin, Buug,Zamboanga Sibugay</t>
  </si>
  <si>
    <t>Purchase and Installation of 2 Units Wall Mounted &amp; 1 Unit Floor Mounted Air conditioned &amp; Accessories</t>
  </si>
  <si>
    <t>Installation of Forty (40) units Solar Streetlights</t>
  </si>
  <si>
    <t>SCHOOL SUPPLIES FOR STA. CRUZ HIGH INTEGRATED JR HR</t>
  </si>
  <si>
    <t>SCHOOL SUPPLIES FOR STA. CRUZ HIGH INTEGRATED SR HS</t>
  </si>
  <si>
    <t>REHABILITATION/IMPROVEMENT OF LAWIS TO TALISAY WATER PIPELINES (MATERIALS ONLY)- CALAPE, BOHOL</t>
  </si>
  <si>
    <t>Purchase of Food/Meals to be served during In-House Reformation Program (Kanlungan ng Pagbabago - Balay Silangan) as requested by CADAC(PR# 251)</t>
  </si>
  <si>
    <t>20DD0331 Local Program, Construction/ Repair/ Rehabilitation/ Improvement of Various Infrastructure Including Local Projects, Local Roads and Bridges, Local Roads, Construction/Rehabilitation/Improvem</t>
  </si>
  <si>
    <t>20DD0334 Local Program, Local Infrastructure Program, Buildings and Other Structures, Multipurpose/ Facilities, Rehabilitation/ Improvement of Multi-Purpose Facilities at Tambo Elementary School, Brgy</t>
  </si>
  <si>
    <t>Purchase of Medical Supplies and Vitamins for Emergency and Disaster Response Use</t>
  </si>
  <si>
    <t>Supply and Delivery of 2 units Mechanical Ventilator, Digital</t>
  </si>
  <si>
    <t>PURCHASE AND DELIVERY OF TOKENS AND AWARDS FOR PGO-SULONG</t>
  </si>
  <si>
    <t>Purchase of Materials for use in the establishment of Hydroponic Rooftop Gardening Project as requested by City Agriculturist's Office(PR# 203)</t>
  </si>
  <si>
    <t>Purchase of Goods (Food and Non-Food) for Stockpile of LCDRRMO(PR# 200)</t>
  </si>
  <si>
    <t>Purchase of One (1) set Planetary Gear Assy. for use in the Repair and Maintenance of CGSO Backhoe Loader as requested by CGSO(PR# 245)</t>
  </si>
  <si>
    <t>Procurement of Rescue Vehicle (Re-Conditioned) for LDRRMO use</t>
  </si>
  <si>
    <t>P.R. No. 2020-06-0026 - Procurement of supplies for office sanitation and prevention against the COVID-19, Camarines Sur 3rd District</t>
  </si>
  <si>
    <t>PROCUREMENT OF MOVABLE TENT INCLUDING DELIVERY, LABOR AND INSTALLATION</t>
  </si>
  <si>
    <t>Rehabilitation of San Isidro RHU (Phase I)</t>
  </si>
  <si>
    <t>20DD0335 Local Program, Construction/ Repair/ Rehabilitation/ Improvement of Various Infrastructure Including Local Projects, Water Management Facilities, Water Supply, Rehabilitation of Water Supply</t>
  </si>
  <si>
    <t>Procurement of Furniture for Mayor's Office</t>
  </si>
  <si>
    <t>PR 9-20-05-0601, FOR THE USE OF SAN CARLOS CITY HOSPITAL, THIS CITY.</t>
  </si>
  <si>
    <t>Blood Pressure Apparatus (OPD)</t>
  </si>
  <si>
    <t>Procurement of Office Supplies for CSWDO</t>
  </si>
  <si>
    <t>Fuel (2nd Quarter) to be Used for PNP Patrolling</t>
  </si>
  <si>
    <t>Improvement of Barangay Road(FTMR)(Purok 2)</t>
  </si>
  <si>
    <t>Supply and Delivery of Spare Parts for Service Vehicle</t>
  </si>
  <si>
    <t>20DD0330 Local Program, Construction/ Repair/ Rehabilitation/ Improvement of Various Infrastructure Including Local Projects, Local Roads and Bridges, Local Roads, Rehabilitation of Road including Dra</t>
  </si>
  <si>
    <t>B20200209 - CATARACT AND OPERATING ROOM SUPPLIES FOR DDNH-CARMEN ZONE (1ST QTR.)</t>
  </si>
  <si>
    <t>PERIMITER FENCE - SAN MIGUEL</t>
  </si>
  <si>
    <t>FURNISHING OF LABOR AND MATERIALS FOR THE CONSTRUCTION OF WATER SYSTEM</t>
  </si>
  <si>
    <t>PURCHASE AND DELIVERY OF VEHICLE PARTS FOR PGSO</t>
  </si>
  <si>
    <t>CNU Procurement of Electrical Supplies 2nd quarter No.20-03-227A</t>
  </si>
  <si>
    <t>Purchase of Oil and Lubricants for the maint. of govt.vehicles (1st &amp; 2nd qrtr. - 2020)</t>
  </si>
  <si>
    <t>INFRA 2K20-39 CONSTRUCTION OF DAGUM-MATALANG ROAD</t>
  </si>
  <si>
    <t>Office Supplies to be used at RHU Office</t>
  </si>
  <si>
    <t>Completion of Meat Processing Project</t>
  </si>
  <si>
    <t>Procurement of Meals, Snacks and Hall Rental to be served during the Conduct of Orientation and Planning of MFR Operation of CENRO</t>
  </si>
  <si>
    <t>20JI0104-Procurement of construction materials For use in Construction of Rainwater Collector System San Jose Elementary School Brgy. San Jose, Imelda Zamboanga Sibugay</t>
  </si>
  <si>
    <t>Desilting of Cataning Sibacan River Malabia Section at Barangay Malabia, City of Balanga, Bataan (Rebidding)</t>
  </si>
  <si>
    <t>20DD0336 Local Program, Construction/ Repair/ Rehabilitation/ Improvement of Various Infrastructure Including Local Projects, Buildings and Other Structures, Multipurpose/ Facilities, Rehabilitation/I</t>
  </si>
  <si>
    <t>20DD0337 Local Program, Local Infrastructure Program, Buildings and Other Structures, Multipurpose/ Facilities, Construction and/or Repair/Rehabilitation of Multi-Purpose Building, Brgy. Banay-Banay,</t>
  </si>
  <si>
    <t>Construction of Slope Protection (Riprapping) at Sitio Singat, Barangay Patar, Mabini, Pangasinan</t>
  </si>
  <si>
    <t>Supply and Delivery of Materials for Fabrication of Coffins</t>
  </si>
  <si>
    <t>Bid No. 20-0269 - PROCUREMENT OF OFFICE SUPPLIES - MO/RADIO ROOM SECTION</t>
  </si>
  <si>
    <t>PR 9-20-05-0588, FOR THE USE OF SAN CARLOS CITY HOSPITAL, THIS CITY.</t>
  </si>
  <si>
    <t>Supply/Delivery of Grocery Item for Relief Packs to be given to Senior Citizen. (PR # 20-06-0603)</t>
  </si>
  <si>
    <t>B20200210 - IT EQUIPMENT FOR PEO USE</t>
  </si>
  <si>
    <t>Purchase of One (1) Unit Road Roller.</t>
  </si>
  <si>
    <t>Procurement of Rimo Blends and Curls for the Supplemental Feeding Program to Malnourished Children of CHO</t>
  </si>
  <si>
    <t>Negotiated Lease of Office Space for PRO XI LHIO Nabunturan through MYOA</t>
  </si>
  <si>
    <t>Purchase of School Supplies for Balik-Eskwela (Grade 3) in support for the educational services program of the City Government as requested by CMO(PR# 220)</t>
  </si>
  <si>
    <t>Office Furniture for 18 Negosyo Center sa Barangay</t>
  </si>
  <si>
    <t>Purchase of 1,400 Vials Cefuroxime</t>
  </si>
  <si>
    <t>20DD0338 Local Program, Construction/ Repair/ Rehabilitation/ Improvement of Various Infrastructure Including Local Projects, Water Management Facilities, Water Supply, Rehabilitation of Water Supply</t>
  </si>
  <si>
    <t>Supply and Delivery of Electrical Supplies</t>
  </si>
  <si>
    <t>20JI0105-Procurement of construction materials For use in Construction of Rainwater Collector System Balugo Elementary School Brgy. Balugo, Imelda Zamboanga Sibugay</t>
  </si>
  <si>
    <t>PROCUREMENT OF CONSTRUCTION SUPPLIES &amp; MATERIALS</t>
  </si>
  <si>
    <t>Office &amp; Housekeeping Supplies for BACC-2020-0019</t>
  </si>
  <si>
    <t>NP 092-20: DATA CENTER SERVICES: Network Facility Maintenance (PACU and UPS)</t>
  </si>
  <si>
    <t>INK</t>
  </si>
  <si>
    <t>Installation of WIFI Facility (Procurement of Amenities for the Training &amp; Production Center)</t>
  </si>
  <si>
    <t>Broadcast airtime for School-On the Air.</t>
  </si>
  <si>
    <t>Drugs, Medicines, Medical &amp; LAboratory Supplies for CDH-2020-0036-0038,0040,0048-0050,0056,0057,0059-0063, HOD-2020-0061, LZDH-2020-0037,0043,0045,0061, NFBC-2020-0014,  TJPH-2020-0050, 0103, 0106, 01</t>
  </si>
  <si>
    <t>CONSTRUCTION OF GUARD HOUSE AND REPLACEMENT OF MAIN GATE INCLUDING CANAL DE-CLOGGING AT SF2 ELEMENTARY SCHOOL</t>
  </si>
  <si>
    <t>B20200211 - HARDWARE MATERIALS FOR INSTALLATION OF SHALLOW TUBE WELL &amp; CONST. OF MACHINERY SHED AT PAGRO COMPOUND</t>
  </si>
  <si>
    <t>IMPROVEMENT OF ROAD AT THE BOUNDARY OF PUROK 21 AND PUROK 22, BAGUIO CITY</t>
  </si>
  <si>
    <t>SUPPLY AND DELIVERY OF 4 PCS HEAVY DUTY GRASS CUTTER</t>
  </si>
  <si>
    <t>Purchase of School Supplies for Balik-Eskwela (Grade 4) in support for the educational services program of the City Government as requested by CMO(PR# 221)</t>
  </si>
  <si>
    <t>Supply and Delivery of Toyota Grandia Spare Parts</t>
  </si>
  <si>
    <t>Purchase of Construction Materials for the Repair of Roads at Kambal Road, Brgy. Guitnangbayan II, San Mateo, Rizal</t>
  </si>
  <si>
    <t>Procurement of Medals and Certificate Holder of Mayor's Office</t>
  </si>
  <si>
    <t>SUPPLY, DELIVERY, POSITIONING, COMMISSIONING AND TESTING OF ONE (1) UNIT BRAND NEW AND COMPLETE SOUNDPROOF ELECTRIC GENERATING SET 15 KVA WITH BUILT-IN AUTOMATIC TRANSFER SWITCH (ATS), SOLENOID CHANGE</t>
  </si>
  <si>
    <t>Public Bidding for the Supply and Delivery of Construction Materials for the Repair and Maintenance of various City streets, Roxas City (2nd Qtr.) under ITB No. 2020-012</t>
  </si>
  <si>
    <t>Purchase of Office Supplies (CIO).</t>
  </si>
  <si>
    <t>DRUGS &amp; MEDICINES (PR#20-06-70448)</t>
  </si>
  <si>
    <t>SUPPLY AND DELIVERY OF FOOD ITEMS (NUTRIPACKS) FOR THE IMPLEMENTATION OF SUPPLEMENTARY FEEDING PROGRAM DURING COMMUNITY QUARANTINE (9TH CYCLE - TWICE A DAY FEEDING)</t>
  </si>
  <si>
    <t>Construction of Concrete Revetment Sitio Sampaloc at Barangay Central, City of Balanga, Bataan (Rebidding)</t>
  </si>
  <si>
    <t>Reconstruction of Box Culvert San Rafael at Barangay Tuyo, City of Balanga, Bataan (Rebidding)</t>
  </si>
  <si>
    <t>Purchase of School Supplies for Balik-Eskwela (Grade 6) in support for the educational services program of the City Government as requested by CMO(PR# 223)</t>
  </si>
  <si>
    <t>Purchase of School Supplies for Balik-Eskwela (Grade 5) in support for the educational services program of the City Government as requested by CMO(PR# 222)</t>
  </si>
  <si>
    <t>Supply of one (1) unit Data Logger</t>
  </si>
  <si>
    <t>EXPANSION / IMPROVEMENT OF BARANGAY HALL</t>
  </si>
  <si>
    <t>REOI Solicitation No. SIC-007-006-2020 Hiring of Consultancy Services</t>
  </si>
  <si>
    <t>Delivery of Other Supplies and Materials for City Sanitation Services for the 2nd Quarter 2020 (SVP 20-0693).</t>
  </si>
  <si>
    <t>( PR NO. 20-06-09-0017 SUPPLY AND DELIVERY OF 150 bags Cement Portland)</t>
  </si>
  <si>
    <t>Procurement of Materials for 64 Units Wooden Stalls</t>
  </si>
  <si>
    <t>Desilting of Creek Monark and Jacoba Ville at Barangay Tuyo, City of Balanga, Bataan (Rebidding)</t>
  </si>
  <si>
    <t>Completion of Hanging Bridge(Sitio NumNum)</t>
  </si>
  <si>
    <t>Purchase of School Supplies for Balik-Eskwela (Grade 2) in support for the educational services program of the City Government as requested by CMO(PR# 226)</t>
  </si>
  <si>
    <t>Concreting of  Public market road</t>
  </si>
  <si>
    <t>Improvement of Multi-purpose Pavement (Goal and Chairs) at Sitio Abadilla II, Barangay CAWAYAN II</t>
  </si>
  <si>
    <t>BPSU Main Campus:Supply, delivery and installation of equipment, instruments and software for the research project entitled “Improving Productivity of Philippine Carabao Mango through Introduction of</t>
  </si>
  <si>
    <t>Negotiated Lease of Office Space for PRO XI Annex Building 1 through MYOA</t>
  </si>
  <si>
    <t>Purchase of School Supplies for Balik-Eskwela (Kinder) in support for the educational services program of the City Government as requested by CMO(PR# 225)</t>
  </si>
  <si>
    <t>PROCUREMENT OF SOPHOS ENDPOINT PROTECTION ADVANCE HEARTBEAT</t>
  </si>
  <si>
    <t>5020301000-273-2020</t>
  </si>
  <si>
    <t>For reference use in the Library.</t>
  </si>
  <si>
    <t>Supply and Delivery of RSB Steel and C-Purlins</t>
  </si>
  <si>
    <t>Purchase of Various Laboratory Supplies</t>
  </si>
  <si>
    <t>20JI0106-Procurement of construction materials For use in Construction of Rainwater Collector System Western Mindanao State University Brgy. Balugo, Imelda, Zamboanga Sibugay</t>
  </si>
  <si>
    <t>20CSPH02 - Geotechnical Investigation for Slope Protection Projects along Various Road Sections and Construction of Bridge in Mountain Province for FY 2021</t>
  </si>
  <si>
    <t>Purchase of Fourteen Thousand Two Hundred (14,200) pieces of Binder Notebook in support for the educational services program of the City Government as requested by CMO(PR# 224)</t>
  </si>
  <si>
    <t>Purchase of Back Pack Bags and Pens for Balik-Eskwela (Junior/Senior High School) in support for the educational services program of the City Government as requested by CMO(PR# 248)</t>
  </si>
  <si>
    <t>PURCHASE OF ONE (1) UNIT AIR CONDITION</t>
  </si>
  <si>
    <t>Procurement of Various Office Supplies-06-327(O)PEO</t>
  </si>
  <si>
    <t>Request for Proposal for the Supply and Delivery of Engineer’s Report for Application for Permit to Operate Generator Sets</t>
  </si>
  <si>
    <t>SUPPLY AND DELIVERY OF ARGRO FARM INPUTS FOR 3RD AND 4TH QUARTER OF 2020</t>
  </si>
  <si>
    <t>5020399000-274-2020</t>
  </si>
  <si>
    <t>Procurement of Various IT Equipment-06-310(A)PGO</t>
  </si>
  <si>
    <t>PROCUREMENT OF  FOOD PROCESSING EQUIPMENT</t>
  </si>
  <si>
    <t>Procurement of Meals and Snacks of POSO</t>
  </si>
  <si>
    <t>Supply and Delivery of Various Plumbing Materials (5 items), as per BSP Technical Specifications and Terms and Conditions</t>
  </si>
  <si>
    <t>P.R. No. X1-20-04-192 - Supply and Delivery for the use of DPWH X ARD Conference Room</t>
  </si>
  <si>
    <t>Purchase of School Supplies for Balik-Eskwela (Grade 1) in support for the educational services program of the City Government as requested by CMO(PR# 227)</t>
  </si>
  <si>
    <t>OFFICE EQUIPMENT</t>
  </si>
  <si>
    <t>Purchase of Family Planning Commodoties.</t>
  </si>
  <si>
    <t>CONSTRUCTION OF FARM TO MARKET ROAD AT ZONE II</t>
  </si>
  <si>
    <t>Construction of Ramp, Open Parking, Open Canal and Perimeter Fence for the DRRM Facility in  Fort Ramon Magsaysay (OCDRO III)</t>
  </si>
  <si>
    <t>Public Bidding for the Supply and Delivery of Diesel for Solid Waste Management Unit under ITB No. 2020-013</t>
  </si>
  <si>
    <t>Procurement of Various Water Service Connection Materials and Fittings-06-326(O)PEO</t>
  </si>
  <si>
    <t>5020305000-275-2020</t>
  </si>
  <si>
    <t>FUEL STORAGE TANK CALIBRATION OF BURIAS DPP</t>
  </si>
  <si>
    <t>Supply and Delivery of Medical Supplies, Equipment and Office Equipment for Utilization of the Program Support Fund (PSF) for te Various Activities under School Dental Health Care Program (SDHCP)</t>
  </si>
  <si>
    <t>Supply and delivery of various Personal Protective supplies of REMD Shop technician</t>
  </si>
  <si>
    <t>PURCHASE OF CONSTRUCTION SUPPLIES AND MATERIALS FOR THE ASPHALTING OF VARIOUS ROADS</t>
  </si>
  <si>
    <t>REPLACEMENT/REPAIR OF LED STREETLIGHTS/BULBS</t>
  </si>
  <si>
    <t>Bid No. 20-0270 - PROCUREMENT OF OFFICE SUPPLIES - MHO (USE FOR HIV/AIDS/STD PROGRAM)</t>
  </si>
  <si>
    <t>20JI0107-Procurement  of construction materials For use in Construction of Rainwater Collector System Lower Baluran Elementary School Brgy.Lower, Baluran, Imelda, Zamboanga Sibugay</t>
  </si>
  <si>
    <t>Public Bidding of 3 Lots for the Supply and Delivery of Office Supplies, Computer Inks &amp; Cartridges and Janitorial Supplies for the use of City Civil Registrar’s Office and City Engineer’s Office in t</t>
  </si>
  <si>
    <t>Supply of 400 pieces Spray Paint 400cc, Acrylic Epoxy, Luminous, Blue</t>
  </si>
  <si>
    <t>CID No. 20IC0076: Const. of Rain Water Collection System (RWCS) at (22) Various Locations in Alangalang, Babatngon, San Miguel, Sta. Fe, Tanauan, Tolosa and Palo, Leyte; ABC: P4,378,687.50; 90 CD</t>
  </si>
  <si>
    <t>PURCHASE OF ONE (1) UNIT MOTORCYCLE  OF THE OFFICE OF THE MUNICIPAL MAYOR</t>
  </si>
  <si>
    <t>Supply and Delivery Type 1 Cement (Portland)</t>
  </si>
  <si>
    <t>NUTRITION &amp; DIETETICS SUPPLIES (PR#20-06-70560)</t>
  </si>
  <si>
    <t>Procurement of Televison set with Cable (Procurement of Amenities for the Training &amp; Production Center)</t>
  </si>
  <si>
    <t>Procurement of Furniture &amp; Fixtures for PRO XI CY 2020</t>
  </si>
  <si>
    <t>Procurement of Various Hardware Supplies-05-007(K)PWO</t>
  </si>
  <si>
    <t>5020301000-276-2020</t>
  </si>
  <si>
    <t>PROCUREMENT OF COMMON-USED OFFICE SUPPLIES</t>
  </si>
  <si>
    <t>Bidding 13, 2020</t>
  </si>
  <si>
    <t>SUPPLY &amp; DELIVERY OF COMPUTER SET</t>
  </si>
  <si>
    <t>5020399000-277-2020</t>
  </si>
  <si>
    <t>FURNISHING OF LABOR AND MATERIALS FOR THE CONSTRUCTION/REHABILITATION OF LOCAL ROAD</t>
  </si>
  <si>
    <t>INFRA 2K20-41 REHAB. &amp; IMPROVEMENT OF ZAMBO. DEL SUR PROVINCIAL COLLEGE</t>
  </si>
  <si>
    <t>Installation of Solar Power for Water System at San Quintin, Abra</t>
  </si>
  <si>
    <t>CONCRETING OF PARKING AREA AS COUNTERPART FOR DBM GREEN PROJECT RE: DEVELOPMENT OF LAMITAN CITY PUBLIC PARK</t>
  </si>
  <si>
    <t>Concreting of road Mun. compound</t>
  </si>
  <si>
    <t>Supply and Delivery of Office Supplies &amp; I.T. Equipment</t>
  </si>
  <si>
    <t>20JI0108-Procurement of construction materials For use in Construction of Rainwater Collector System Dawa-Dawa National High School Brgy. Dawa-Dawa, Alicia, Zamboanga Sibugay</t>
  </si>
  <si>
    <t>Fabrication, Installation, Supply and Delivery of Various Furnitures, Fixtures and Signages for the Establishment of OTOP Hub at Tourism Bldg., Tabindagat, Odiongan, Romblon</t>
  </si>
  <si>
    <t>CONSTRUCTION OF SECOND FLOOR OF EXISTING BUILDING AT BLISS ELEMENTARY SCHOOL</t>
  </si>
  <si>
    <t>Supply And Delivery of Construction Materials in connection with the Repai &amp; Maintenance of Alpha Barracks for the use of 544ECB, 52EBde, PA</t>
  </si>
  <si>
    <t>PROCUREMENT OF ONE (1) LOT SUPPLY LABOR AND MATERIALS FOR THE CONSTRUCTION OF HEALTH CENTER, BRGY. MARIBI, TANAUAN, LEYTE</t>
  </si>
  <si>
    <t>Supply of five (5) units Mobile Phone (touchscreen)</t>
  </si>
  <si>
    <t>Procurement of Various Hardware Supplies-06-311(A)PGO</t>
  </si>
  <si>
    <t>Procurement of Meals and Snacks to be served during the PUV and PUJ Drivers Education Program on Road Safety and Traffic Related Ordinance of POSO</t>
  </si>
  <si>
    <t>DDN GDSI 2020-07</t>
  </si>
  <si>
    <t>Purchase of CONAHS Books for BatStateU-ARASOF Nasugbu</t>
  </si>
  <si>
    <t>Water treatment facility Dapdap</t>
  </si>
  <si>
    <t>SUPPLY &amp; DELIVERY OF BIO METRIC MACHINE</t>
  </si>
  <si>
    <t>HO-FFW20-003 - Supply and Delivery of Hard Hat, Rope and Chaleco Vest</t>
  </si>
  <si>
    <t>Installation of Glass Panel Windows at the Finance and SBM Office</t>
  </si>
  <si>
    <t>20DB0134 Repair/Maintenance of Talisay Bridge Revetment (K0116+846), Brgy. Talisay, Calatagan, Batangas</t>
  </si>
  <si>
    <t>RFQ no. 74-2020-G (1 canvass) Medical Equipment</t>
  </si>
  <si>
    <t>HIRING OF MOTOR LAUNCH INTENDED FOR MOBILIZATION OF CONSTRUCTION MATERIALS FOR CONSTRUCTION OF WOMEN’S CRISIS UNIT (TRANSIENT HOUSE) PHASE II BOUND TO PAG-ASA ISLAND</t>
  </si>
  <si>
    <t>Public Bidding for the Supply and Delivery of Detachable Tablet Laptop, Printer and Heavy-Duty Shredder for City Administrator’s Office under ITB No. 2020-015</t>
  </si>
  <si>
    <t>Supply and Delivery of Fifteen (15) heads Carabao</t>
  </si>
  <si>
    <t>NUTRITION &amp; DIETETICS SUPPLIES (PR#20-06-70561)</t>
  </si>
  <si>
    <t>PACOL ELEM. SCHOOL MOOE 2ND QUARTER SY 2020-2021</t>
  </si>
  <si>
    <t>PROCUREMENT OF LABORATORY EQUIPMENT</t>
  </si>
  <si>
    <t>HO-QAS20-001 &amp; HO-TMD20-003 - Supply and Delivery of Jacket, Hiking Shoes, Disposable Gloves and Mask</t>
  </si>
  <si>
    <t>RENTAL FOR 3.0cu.m WHEEL LOADER</t>
  </si>
  <si>
    <t>DDN GDSI 2020-08</t>
  </si>
  <si>
    <t>RFQ MEALS OF PERSONNEL AT THE COVID WARD AND QUARANTINE AREA FOR THE PERIOD OF JUNE 23 – JULY 7, 2020</t>
  </si>
  <si>
    <t>1 LOT DESIGN/LAY-OUT AND PRINTING OF BROCHURE &amp; OTHER ITEMS</t>
  </si>
  <si>
    <t>RFQ-PRN-2020-001 Procurement of Goods CatI–DRUGS &amp; MEDICINES</t>
  </si>
  <si>
    <t>5020399000-279-2020</t>
  </si>
  <si>
    <t>DDN GDSI 2020-09</t>
  </si>
  <si>
    <t>Purchase of 4 Units Window Type Aircon</t>
  </si>
  <si>
    <t>MG-PLM20-089 - MAINTENANCE OF BRAKE RUNNER PLATE OF GENERATING UNIT</t>
  </si>
  <si>
    <t>RFQ no. 75-2020-G (1 canvass)</t>
  </si>
  <si>
    <t>Purchase of vehicle parts used for SGD 431 &amp; new ambulance.</t>
  </si>
  <si>
    <t>Supply and Delivery of Office Supplies &amp; Consumables</t>
  </si>
  <si>
    <t>For the continuing of certificate of Airworthiness of RP - 2200</t>
  </si>
  <si>
    <t>Chlorine</t>
  </si>
  <si>
    <t>Supply and Delivery of Chicks (2-3 months old) for the Livestock Livelihood Program in Support to NLP Free Range Chicken for ATI-RTC XII.</t>
  </si>
  <si>
    <t>SUPPLY AND DELIVERY OF FOOD SUPPLIES AND MATERIALS FOR 2ND QUARTER FOOD SUBSIDY</t>
  </si>
  <si>
    <t>Supply and Delivery of 10 units of Stanchion with Retractable Belt Barrier for SSS Lipa Branch</t>
  </si>
  <si>
    <t>SUPPLY &amp; DELIVERY OF 3-IN-1 PHOTOCOPIER</t>
  </si>
  <si>
    <t>DDN GDSI 2020-10</t>
  </si>
  <si>
    <t>CONSTRUCTION OF INFIRMARY HOSPITAL (Roof framing &amp; Roofing)</t>
  </si>
  <si>
    <t>PURCHASE OF SPARE PARTS</t>
  </si>
  <si>
    <t>5020301000-278-2020</t>
  </si>
  <si>
    <t>PROCUREMENT OF OFFICE EQUIPMENT</t>
  </si>
  <si>
    <t>REBIDDING OF SECURITY SERVICES FOR DSWD REGION 10 OFFICE, CENTERS AND SUB OFFICES 2020</t>
  </si>
  <si>
    <t>5020305000-280-2020</t>
  </si>
  <si>
    <t>SUPPLY, DELIVERY &amp; INSTALLATION OF AIRCONDITIONERS AND AIRCONDITIONING SYSTEM</t>
  </si>
  <si>
    <t>PROCUREMENT OF SUPPLIES AND MATERIALS FOR AGRICULTURAL AND MARINE PROJECTS OF THE MAO</t>
  </si>
  <si>
    <t>Supply and Delivery of Traffic Citation Ticket for the use of Office of the City Treasurer</t>
  </si>
  <si>
    <t>Procurement of Meals and Snacks to be served during the First Semester BHW Congress of CHO</t>
  </si>
  <si>
    <t>SUPPLY AND DELIVERY OF ASSORTED SUPPLIES AND MATERIALS INTENDED FOR DRYDOCKING OF M/L QUEEN SEAGULL</t>
  </si>
  <si>
    <t>DDN GDSI 2020-11</t>
  </si>
  <si>
    <t>MG-PLM20-090 - TEN (10) DAYS MAINTENANCE TO CONTINUOUS PREVENTIVE MAINTENANCE FOR GENERATING UNIT NO. 2 AND ITS RELATED AUXILIARIES (48 MAINTENANCE HELPERS)</t>
  </si>
  <si>
    <t>5020399000-281-2020</t>
  </si>
  <si>
    <t>Conduct of Nutritional Analysis and Drafting of Nutrition Facts Panel for the 24 Products of DTI Ilocos Sur</t>
  </si>
  <si>
    <t>SUPPLY AND DELIVERY OF GASOLINE,OIL AND LUBRICANTS FOR THE PRE-POSITIONING AND OPERATIONS OF TRANSPORT ASSETS OF MDRRM</t>
  </si>
  <si>
    <t>Fabrication of Two (2) units Sidecars</t>
  </si>
  <si>
    <t>Purchase of office supplies used for different offices (bulk bidding)</t>
  </si>
  <si>
    <t>PR NO: 2020-06-021: SUPPLY AND DELIVERY OF HEALTH SANITIZER AND EQUIPMENT FOR COVID-19 PREVENTION</t>
  </si>
  <si>
    <t>DUPLO INK AND DUPLO MASTER ROLLS</t>
  </si>
  <si>
    <t>Supplies and Materials of Power House at East Campus</t>
  </si>
  <si>
    <t>Supply of three (3) units Pressure Regulating Valve (200mm. dia. 8"; 150mm. dia. 6"; 100mm. dia. 4")</t>
  </si>
  <si>
    <t>RFQ-PRN-2020-001 Proc of Goods CatII-Med/Lab Supplies &amp; Reagents</t>
  </si>
  <si>
    <t>MG-PLM20-091 - FIFTEEN (15) DAYS IN MAINTENANCE ACTIVITIES FOR GENERATING UNIT NO. 3 AND ITS RELATED AUXILIARIES (19 MECHANICAL &amp; ELECTRICAL HELPERS)</t>
  </si>
  <si>
    <t>Supply &amp; Delivery of Office Equipment for MHO, Rodriguez, Rizal</t>
  </si>
  <si>
    <t>DDN GDSI 2020-12</t>
  </si>
  <si>
    <t>S3-DIN20-004 - Lease of 3.5 MW Modular Diesel Gensets for Dinagat DPP, Dinagat Island, Surigao Del Norte</t>
  </si>
  <si>
    <t>RFQ no. 76-2020-G (1 canvass)</t>
  </si>
  <si>
    <t>Procurement of One Hundred Twelve (112) Sacks Fertilizers</t>
  </si>
  <si>
    <t>PURCHASE OF SWIVEL CHAIRS</t>
  </si>
  <si>
    <t>Procurement of Signages to be Installed at Bulanao and Dagupan of POSO</t>
  </si>
  <si>
    <t>20CB-GSC-312 PURCHASE OF TARPAULIN AND TOKENS</t>
  </si>
  <si>
    <t>Materials for the Improvement of Stage (Phase 2) Dolores E/S-Brgy. Dolores</t>
  </si>
  <si>
    <t>Purchase of 1 Unit Photocopy Machine</t>
  </si>
  <si>
    <t>Purchase of printer used for different offices (bulk bidding)</t>
  </si>
  <si>
    <t>SAAD-20-1979: Procurement of Office Supplies to be used in the DA SAAD Implementation in Region 7</t>
  </si>
  <si>
    <t>Supply and Installation of one (1) unit 50KVA Generator Set of Poblacion, Pumping Station</t>
  </si>
  <si>
    <t>Request for Quotation (Fax Machine; etc.)</t>
  </si>
  <si>
    <t>Catering services for MDC meeting.</t>
  </si>
  <si>
    <t>PR No. 20030903 – Supply and Delivery of Two (2) units Truck Dropside 6 Wheeler</t>
  </si>
  <si>
    <t>PURCHASE OF VARIOUS SUPPLIES (DISASTER PREPAREDNESS)</t>
  </si>
  <si>
    <t>Materials for the Improvement of Stage Plaza- Brgy. Lanipe</t>
  </si>
  <si>
    <t>Purchase of office equipment used for DILG office.</t>
  </si>
  <si>
    <t>RFQ no. 77-2020-G (1 canvass)</t>
  </si>
  <si>
    <t>B20200212 - FERTILIZERS FOR PAGRO USE</t>
  </si>
  <si>
    <t>20CB-GSC-313 PURCHASE OF SPARE PARTS FOR HINO EQUIPEMENTS</t>
  </si>
  <si>
    <t>Procurement of BP APP with Stethoscope of RHU 2</t>
  </si>
  <si>
    <t>Construction Projects</t>
  </si>
  <si>
    <t>SUPPLY AND DELIVERY OF MEDICAL EQUIPMENT FOR BARANGAY VISITATION</t>
  </si>
  <si>
    <t>PROCUREMENT OF MENTAL MEDICINE SUPPLIES FOR RHU I &amp; II - 2ND QUARTER OF 2020</t>
  </si>
  <si>
    <t>B20200213 - PAINT FOR DEPED USE</t>
  </si>
  <si>
    <t>20CB-GSC-314 PURCHASE OF SPARE PARTS FOR VOLVO EQUIPEMENTS</t>
  </si>
  <si>
    <t>Purchase of vehicle parts used for new &amp; old ambulance.</t>
  </si>
  <si>
    <t>20PA0131 (PACKAGE) : REPAIR/MAINTENANCE OF DPWH BUILDINGS, a.) Multi-Purpose Building, Zone 7, Bangued, Abra b.) Canteen, Zone 7, Bangued, Abra</t>
  </si>
  <si>
    <t>Installation of Hand Washing Facilities and COVID19 Safety Signagages</t>
  </si>
  <si>
    <t>Supply and Delivery of Animal Feeds for the Livestock Livelihood Program on Free Range Chicken in Support to National Livestock Program (NLP) for ATI-RTC XII.</t>
  </si>
  <si>
    <t>Repair of T.H.E Building at ESSU Main Campus</t>
  </si>
  <si>
    <t>Supply &amp; Delivery of Mattress for MSWDO, Rodriguez, Rizal</t>
  </si>
  <si>
    <t>52 bags Portland Cement 40 kgs and other items for improvement of Barangay 8 Lupa Day Care Center at Barangay 8.</t>
  </si>
  <si>
    <t>Video Recording &amp; Audio Equipment (2 sets)</t>
  </si>
  <si>
    <t>Supply &amp; Delivery of Various Electrical Supplies fr the Installation of Street lighting Fixtures (12 sets) NHA Housing in Ormoc City</t>
  </si>
  <si>
    <t>Purchase of Customized School Bags</t>
  </si>
  <si>
    <t>20GKG0027 (PR No. 20-04-069)- Procurement of 76 Drums Hot Asphalt 60/70 for use in the Patching of Potholes along National Roads, DPWH-Lanao del Norte 1st Engineering District</t>
  </si>
  <si>
    <t>B20200214 - HARDWARE MATERIALS FOR RCPC AND CHB FABRICATION AT PEEDO</t>
  </si>
  <si>
    <t>Maintenance &amp; Improvement of Day Care Center</t>
  </si>
  <si>
    <t>REQUEST FOR QUOTATION (RFQ)R.I.S. No.: 20-83-102 Supply of Labor and Materials in the Installation of Closure Bellows for PBB Nos. 32, 33 &amp; 38 at Terminal 2</t>
  </si>
  <si>
    <t>20LA0337 Construction of Water System, Poblacion, Nabunturan, Compostela Valley</t>
  </si>
  <si>
    <t>Materials for the Construction of CR- Calaya NHS, Brgy. Calaya</t>
  </si>
  <si>
    <t>For powder room and isolation room.</t>
  </si>
  <si>
    <t>20CB-GSC-320 PURCHASE OF COMMERCIAL RICE</t>
  </si>
  <si>
    <t>PURCHASE OF IT EQUIPMENTS</t>
  </si>
  <si>
    <t>SUPPLY, DELIVERY &amp; INSTALLATION OF IT EQUIPMENT</t>
  </si>
  <si>
    <t>Various Parts for Bill Counter</t>
  </si>
  <si>
    <t>P.R. No. X2-20-03-181 - Supply and Delivery for the use in the Supply and Property Management Section</t>
  </si>
  <si>
    <t>Concreting of Fulay Farm to Market Road</t>
  </si>
  <si>
    <t>Supply &amp; Delivery of Various Information Technology Peripherals for Tax Mapping use, City Assessor's Office, Ormoc City</t>
  </si>
  <si>
    <t>APPLIANCES</t>
  </si>
  <si>
    <t>Supply &amp; Delivery of Portable Booth for Rapid Testing @ MHO, Rodriguez, Rizal</t>
  </si>
  <si>
    <t>Repair of Comfort Room in College of Education at ESSU Main Campus</t>
  </si>
  <si>
    <t>Procurement of Topographic Relocation Survey / Soil Test / Geo technical Investigation Works</t>
  </si>
  <si>
    <t>Purchase of Equipments, Furniture and Fixtures for the Teen Center of Luca National High Schoo</t>
  </si>
  <si>
    <t>Delivery of Integrated Water Supply (Pipes) needed for Construction of Tayawan-Minaba Water System (ITB 20-070)</t>
  </si>
  <si>
    <t>20GB00019: Notarial Services for Processing/payment of ROW Claims re: lots affected by the construction of Cauayan Bypass Road including RROW</t>
  </si>
  <si>
    <t>Procurement of Insecticides of CENRO</t>
  </si>
  <si>
    <t>Guidance Counselor Book</t>
  </si>
  <si>
    <t>PROCUREMENT OF  CAR VEHICLE</t>
  </si>
  <si>
    <t>Procurement of Meals and Snacks to be served during the Oral Health Month Celebration of CHO</t>
  </si>
  <si>
    <t>Fuel (Garbage Collection, Transport and Disposal)</t>
  </si>
  <si>
    <t>Bid No. 20-0271 - PROCUREMENT OF OFFICE SUPPLIES - MO/MTC</t>
  </si>
  <si>
    <t>20LA0338 Construction of Water System, Purok Nagas, Tambongon, Pantukan, Compostela Valley</t>
  </si>
  <si>
    <t>Supply of two (2) pieces Magnetic Contractor 3 Phase, 60Hz, 110 volts</t>
  </si>
  <si>
    <t>TALLY GENICOM CARTRIDGE RIBBON for PSU</t>
  </si>
  <si>
    <t>Supply &amp; Delivery of Tent for GSO, Rodriguez, Rizal</t>
  </si>
  <si>
    <t>Construction/Repair/Improvement of Multi-Purpose Center/BDRRCC @ Brgy. Zone 6, Cadiz City</t>
  </si>
  <si>
    <t>Supply &amp; Delivery of 1 unit Server for Tax Mapping use, City Assessor's Office, Ormoc City</t>
  </si>
  <si>
    <t>Re-painting for interiors rooms of h-building</t>
  </si>
  <si>
    <t>Construction of Line Canal @ Barangay. Poblacion 6, Sariaya, Quezon</t>
  </si>
  <si>
    <t>SUPPLY AND DELIVERY OF IT EQUIPMENT</t>
  </si>
  <si>
    <t>DEVELOPMENT/EMBANKMENT OF BAYWALK</t>
  </si>
  <si>
    <t>Supply of Printing Services (High Speed Printers capable of printing at least 55ppm and 75ppm) for a period of one (1) year</t>
  </si>
  <si>
    <t>P.R  2020-02-030 TRAINING TWSP SMAW NCII</t>
  </si>
  <si>
    <t>Supply &amp; Delivery of Various Information Technology Peripherals for Accounting use, City Planning &amp; Development Office, Ormoc City</t>
  </si>
  <si>
    <t>R.I.S. No.: 20-52-009 PROPOSED EXPANSION OF LFS OFFICE</t>
  </si>
  <si>
    <t>S1-END20-011 - Lease of 1.0 MW Modular Diesel Gensets for El Nido DPP, El Nido, Palawan</t>
  </si>
  <si>
    <t>RFQ / 20-05-1393 / PROCUREMENT OF CAMERA LENSES AND CAMERA FLASH</t>
  </si>
  <si>
    <t>20CSAJ03-CONSULTING SERVICES FOR THE CONDUCT OF GEOTECHNICAL AND GEOLOGICAL SURVEY/INVESTIGATION FOR THE PROPOSED FLOOD CONTROL PROJECTS WITH 3RD CONGRESSIONAL DISTRICT OF PANGASINAN</t>
  </si>
  <si>
    <t>Materials &amp; Supplies (Design and Fabrication of IEC Mascot)</t>
  </si>
  <si>
    <t>Request for Quotation_Refill of various Fire Extinguishers</t>
  </si>
  <si>
    <t>Procurement of Emergency Lights, LED</t>
  </si>
  <si>
    <t>RFQ-PRN-2020-001 Proc of Goods CatIII PRINTED FORMS</t>
  </si>
  <si>
    <t>20LA0339 Construction of Level III Water Supply System, Brgy. Poblacion, Nabunturan, Compostela Valley</t>
  </si>
  <si>
    <t>Supply and installation of Read and Bill Software including five(5) sets of Handheld Read and Bill Gadgets with portable Bluetooth Printer for Binalonan Water District</t>
  </si>
  <si>
    <t>Rebidding for Construction of Reinforced Concrete Slope Protection for CY 2020</t>
  </si>
  <si>
    <t>Supply &amp; Delivery of Office Supplies for Procurement Office, Rodriguez, Rizal</t>
  </si>
  <si>
    <t>20GBD0024 - Purchase of Office Supplies not available in the PS-DBM for use in the operations of DPWH-CTDEO</t>
  </si>
  <si>
    <t>Supply &amp; Delivery of Office Supplies Library Custodian, Rodriguez, Rizal</t>
  </si>
  <si>
    <t>20LA0340 Construction of Level II Water Supply System, Purok Maitom, Brgy. Tambongon, Pantukan, Compostela Valley</t>
  </si>
  <si>
    <t>One (1) Unit Aerial Work Platform</t>
  </si>
  <si>
    <t>Supply and Delivery of Agricultural Equipment for OVRPE-CHED-IDIG Project</t>
  </si>
  <si>
    <t>S1-LDP20-013 - Lease of 0.5 MW Modular Diesel Gensets for Lubang DPP, Lubang, Occidental Mindoro</t>
  </si>
  <si>
    <t>Supply and Delivery of LED TV (2)</t>
  </si>
  <si>
    <t>Supply &amp; Delivery of Various Information Technology Peripherals for SP use, Sangguniang Panlungsod, Ormoc City</t>
  </si>
  <si>
    <t>CONSTRUCTION OF SINGLE BARREL RCBC (2mx3mx6m)</t>
  </si>
  <si>
    <t>Medicine</t>
  </si>
  <si>
    <t>The Procurement and Installation of 3-Unit Aircondition</t>
  </si>
  <si>
    <t>Supplies and Materials for the Relocation of 3-Phase Transformer from West Campus to east Campus</t>
  </si>
  <si>
    <t>Contract ID 2020-IG-020 - Purchase of Various Laboratory Testing Equipment &amp; Apparatus for use in the Quality Assurance Section, DPWH, Leyte 5th Engineering District, Baybay City, Leyte</t>
  </si>
  <si>
    <t>RFQ-PRN-2020-001 Proc of Goods CatIV-OTHER COMMODITIES</t>
  </si>
  <si>
    <t>P.R. No. X7-20-02-047 - Supply and Delivery for field use in the conduct of various Planning Applications Surveys for Road and Bridge Information Application (RBIA), Planning and Design Division, 1st</t>
  </si>
  <si>
    <t>Trash Bins, Transparent</t>
  </si>
  <si>
    <t>Repair of Nursing Building at ESSU Main Campus</t>
  </si>
  <si>
    <t>ACQUISITION OF MOTOR VEHICLE BPSO (RESCUE)</t>
  </si>
  <si>
    <t>IB-2020-VI-30-01 RE-EGENTS (DIAGNOSTIC LABORATORY) 499,247.00</t>
  </si>
  <si>
    <t>PROCUREMENT OF MEDICINE SUPPLIES FOR RHU I, II &amp; III - 2ND QUARTER OF 2020</t>
  </si>
  <si>
    <t>S1-MAM20-010 - Lease of 4.0 MW Modular Diesel Gensets for Mamburao DPP, Mamburao, Occidental Mindoro</t>
  </si>
  <si>
    <t>For TESDA Muntiparlastapat District Office use</t>
  </si>
  <si>
    <t>Procurement of 650 Pad Traffic Citation Ticket under P.R.No. 2041-2020-Enforcement of Traffic Laws</t>
  </si>
  <si>
    <t>20LA0341 Rehabilitation/Major Repair of Soop Br. (B01566MN) along Asuncion – San Isidro – Laak – Veruela Rd., Laak, Compostela Valley</t>
  </si>
  <si>
    <t>Printing of the Updated Central Visayas Regional Development Plan 2017-2022</t>
  </si>
  <si>
    <t>Air Conditioning Unit with Labor and Installation materials for Office Use</t>
  </si>
  <si>
    <t>INVITATION TO BID FOR Supply and Delivery of  ONE (1) UNIT BRAND NEW MOTOR VEHICLE  FOR UP BAGUIO Bid Reference No.: UPB-BID-2020-04A</t>
  </si>
  <si>
    <t>20GME0043 - Supply &amp; Delivery of Spare Parts for use of Develop Ineo 215 at Procurement Unit, Alabel, Sarangani Province</t>
  </si>
  <si>
    <t>P.R. No. X7-20-02-124 - Supply and Delivery for the field use of Road Right of Way, Planning and Design Division</t>
  </si>
  <si>
    <t>298 PCS Ceramic Floor Tiles 400mm x 400mm and other items for improvement of Candau-ay Habitat Day Care Center at Barangay Candau-ay.</t>
  </si>
  <si>
    <t>Supply &amp; Delivery of 1 unit of Laptop for SP use, Sangguniang Panlungsod, Ormoc City</t>
  </si>
  <si>
    <t>Procurement of Labor for Drilling of Production Wells</t>
  </si>
  <si>
    <t>Bid No. 20-0272 - PROCUREMENT OF CONSTRUCTION MATERIALS - MEO (CONSTRUCTION OF COVERED COURT - BRGY. TALIAN, MARAGUSAN, DAVAO DE ORO)</t>
  </si>
  <si>
    <t>MRF Services</t>
  </si>
  <si>
    <t>S1-SVD20-007 - Lease of 0.6 MW Modular Diesel Gensets for San Vicente DPP, San Vicente, Palawan</t>
  </si>
  <si>
    <t>Supply and Delivery of Grocery Items for Supplementary Feeding of Malnourished Pre-School Children of Municipality of Calayan, Province of  Cagayan.</t>
  </si>
  <si>
    <t>Repair of Library Building at ESSU Main Campus</t>
  </si>
  <si>
    <t>Concreting of Road Alley @ So. Capayas, Brgy. Sicaba, Cadiz City</t>
  </si>
  <si>
    <t>ILD-CF-20-2299: Procurement of Chemical and Filtering Supplies to be used in Metarhizium Production</t>
  </si>
  <si>
    <t>Supply &amp; Delivery of Various Laboratory Supplies for CHD-Responsible Parenting &amp; Reproductive Health Program use, City Health Office, Ormoc City</t>
  </si>
  <si>
    <t>Procurement of Various Combi-Roller Blinds</t>
  </si>
  <si>
    <t>Request for Quotation of Office Equipment for Budget Office</t>
  </si>
  <si>
    <t>20CB-GSC-321 PURCHASE OF DIESEL AND GASOLINE</t>
  </si>
  <si>
    <t>Public Bidding for the Supply and Delivery of Motorcycles for the use of City Mayor’s Office under ITB No. 2020-011</t>
  </si>
  <si>
    <t>Procurement of Water Service Connection Materials/Fittings</t>
  </si>
  <si>
    <t>PURCHASE OF RIZO AND XEROX MACHINE TONER USED AT MUNICIPAL HEALTH OFFICE</t>
  </si>
  <si>
    <t>S1-TIN20-010 - Lease of 0.6 MW Modular Diesel Gensets for Tingloy DPP, Tingloy, Batangas</t>
  </si>
  <si>
    <t>Invitation to Bid for the Procurement of Rescue Equipment (Manlift) for the use in this municipality,  Aringay, La Union.</t>
  </si>
  <si>
    <t>Medical Equipment</t>
  </si>
  <si>
    <t>Repair of Engineering Building at ESSU Main Campus</t>
  </si>
  <si>
    <t>Rebidding of 3 Projects Construction Materials (B-82-2020)</t>
  </si>
  <si>
    <t>SUPPLY AND DELIVERY OF FERTILIZER</t>
  </si>
  <si>
    <t>SUPPLY AND DELIVERY OF MOTORPOOL AND CONSTRUCTION TOOLS</t>
  </si>
  <si>
    <t>RFQ No. 78-2020-G (1 Canvass)</t>
  </si>
  <si>
    <t>20NA0073 (CLUSTER) Construction of Rainwater Collection System (RWCS), Agusan del Norte</t>
  </si>
  <si>
    <t>PURCHASE OF OFFICE EQUIPMENT  					(2.5hp Split Type Air Conditioning Unit)</t>
  </si>
  <si>
    <t>ITB- PROVISION OF MEALS AND DRINKING WATER FOR PROJECT SAGIP BATANG SOLVENT (PSBS)</t>
  </si>
  <si>
    <t>Construction of Concrete Water Tank @ Burgos Elementary School, Brgy. Burgos, Cadiz City</t>
  </si>
  <si>
    <t>S3-JOL20-030 - Lease of 1.0 Mw Modular Diesel Gensets for Jolo DPP, Jolo, Sulu</t>
  </si>
  <si>
    <t>Supply and Delivery of 2 sets Particle Board Office Cubicles with 2 shelves and Drawer lock and (10) other items under Purchase Request No. 896-20</t>
  </si>
  <si>
    <t>Supply &amp; Delivery of Various Drugs &amp; Medicines for CHD-OPD Section &amp; 6 District Health Center use, City Health Office, Ormoc City</t>
  </si>
  <si>
    <t>SUPPLY AND DELIVERY OF VARIOUS MECHANICAL FITTINGS</t>
  </si>
  <si>
    <t>Labor and Materials for Rehabilitation of Iriga City Hall</t>
  </si>
  <si>
    <t>Installation of Motor Pump &amp; Water Supply Pipelines @ Yee-on Elementary School, Brgy. Cabahug, Cadiz City</t>
  </si>
  <si>
    <t>20CB-GSC-317 CATERING SERVICES</t>
  </si>
  <si>
    <t>procurement/delivery of supplies &amp; materials</t>
  </si>
  <si>
    <t>Invitation to Bid for the Procurement of Common-Use Supplies not available from the PS-DBM to be used by various offices/departments, Aringay, La Union.</t>
  </si>
  <si>
    <t>IMPROVEMENT OF MANPAY-AS FMR, BULALACAO, MANKAYAN, BENGUET</t>
  </si>
  <si>
    <t>MATERIALS, IMPROVEMENT OF MULTI-PURPOSE CENTER, BRGY. MARIBUYONG, DUENAS, ILOILO</t>
  </si>
  <si>
    <t>5 cu.m Sand std. and specs and other items for improvement of Barangay 8 Lupa Day Care Center at Barangay 8.</t>
  </si>
  <si>
    <t>P.R. No. X7-20-02-091 -  Supply and Delivery for the use in the Conduct of Bridge Condition Inspection on July 6-10, 2020. (Pantar Br. &amp; Balo-I Steel Br., LDN 1st) Planning and Design Division</t>
  </si>
  <si>
    <t>Purchase of Medical, Dental, Laboratory Supplies and other logistics. (CHO)</t>
  </si>
  <si>
    <t>Supply &amp; Delivery of Oil &amp; Lubricants for the use of Different Government Vehicles, City General Services Office, Ormoc City</t>
  </si>
  <si>
    <t>procurement/delivery of construction supplies &amp; materials</t>
  </si>
  <si>
    <t>S3-KDP20-001 - Lease of 3.0 MW Modular Diesel Gensets for Kalamansig DPP, Kalamansig, Sultan Kudarat</t>
  </si>
  <si>
    <t>2020-055, CONSTRUCTION OF DAY CARE CENTER HALL AT LOMOPOG, MIDSAYAP, COTABATO</t>
  </si>
  <si>
    <t>MG-A5M20-103 ( STAINLESS STEEL COATING )</t>
  </si>
  <si>
    <t>Procurement of Various Electrical Materials, Mayors Office</t>
  </si>
  <si>
    <t>Supply and Delivery of Diesel for Ambulance</t>
  </si>
  <si>
    <t>Rehabilitation of Municipal Streets (L. Garcia St., Perucho St., F. Garcia St.)</t>
  </si>
  <si>
    <t>Invitation to Bid for the Construction of Farmers Multi-Purpose Hall at Brgy. Samara, Aringay, La Union.</t>
  </si>
  <si>
    <t>SUPPLY AND DELIVERY OF BRASS AND G.I. FITTINGS</t>
  </si>
  <si>
    <t>Upgrading of the Tissue Culture Laboratory, Area: 315.0 Sq.M. at  Isabela State University, Cabagan, Isabela</t>
  </si>
  <si>
    <t>Rehabilitation of Municipal Streets (Perucho St., Judge De Luna St., Street Leading to Tanap)</t>
  </si>
  <si>
    <t>Supply and Delivery of Fuels/Fuel Additives &amp; Lubricants &amp; Anti-Corrosive</t>
  </si>
  <si>
    <t>Pag-IBIG Fund CHQ (SUPPLY AND DELIVERY OF LTO-5 ULTRIUM TAPE CARTRIDGE)</t>
  </si>
  <si>
    <t>RFQ2020-02-131-other supplies</t>
  </si>
  <si>
    <t>Service Contract for the Janitorial and Utility Manpower Services for SEC Head Office and Extension Offices for a period of one (1) year</t>
  </si>
  <si>
    <t>Office Furnitures</t>
  </si>
  <si>
    <t>IMPROVEMENT OF KM.58-CALASIPAN-APANBERANG FMR, CATTUBO, ATOK, BENGUET</t>
  </si>
  <si>
    <t>Supply and Delivery of Diesel for Rescue Boats- Bantay Dumaran</t>
  </si>
  <si>
    <t>REHABILITATION OF ASOKONG BARANGAY WATERWORKS SYSTEM,GUSARAN,KABAYAN,BEGUET</t>
  </si>
  <si>
    <t>20GKG0028 (PR No. 20-05-070)- Procurement of Construction Materials and Supplies for use in the Repair/Maintenance of Drainage along Tagoloan-Baloi Road (Tagoloan Section), Tagoloan, Lanao del Norte,</t>
  </si>
  <si>
    <t>RFQ no. 79-2020-G (1 canvass)</t>
  </si>
  <si>
    <t>Invitation to Bid for the Construction of Slope Protection along Dulao Creek, Dulao, Aringay, La Union.</t>
  </si>
  <si>
    <t>Procurement of 1 UNIT COMPUTER DESKTOP</t>
  </si>
  <si>
    <t>SUPPLY AND DELIVERY OF SEEDLINGS AND VEGETABLE SEEDS</t>
  </si>
  <si>
    <t>RFQ no. 80-2020-G (1 canvass)</t>
  </si>
  <si>
    <t>Food Assistance</t>
  </si>
  <si>
    <t>SUPPLY AND DELIVERY OF MATERIALS FOR PROPOSED BRGY. ROAD CONCRETING AT SITIO CABCAO, BRGY. BUCAO, GUIUAN, EASTERN SAMAR</t>
  </si>
  <si>
    <t>Procurement of Office Supplies (COMMERCIAL)</t>
  </si>
  <si>
    <t>Procurement of Fruit Tree Seedlings, Municipal Agriculture Office</t>
  </si>
  <si>
    <t>P.R. No. X7-20-04-190 - Supply and Delivery for the use in the Repair and Maintenance of 2008/Hillux 3.0L 4x4 DSL M/T-BM-008/EMD 100/TEMP 100810, Planning and Design Division</t>
  </si>
  <si>
    <t>Supply and Delivery of Personalized CFO Anniversary Polo Shirt</t>
  </si>
  <si>
    <t>Repair of the SSF Equipments</t>
  </si>
  <si>
    <t>Construction of Flood Control Dike (Binyadora Creek)</t>
  </si>
  <si>
    <t>Rehabilitation of Drainage Canals (E. Fermin St., Macadaeg St.)</t>
  </si>
  <si>
    <t>REHABILITATION OF BASKETBALL COURT OF BOKLAOAN ELEMENTARY SCHOOL, KAPANGAN,BENGUET</t>
  </si>
  <si>
    <t>IMPROVEMENT ALONG ANCHOKEY FMR (OTBONG PORTION) ANCHOKEY, KABAYAN, BENGUET</t>
  </si>
  <si>
    <t>PROCUREMENT OF APPLIANCES</t>
  </si>
  <si>
    <t>20CB-GSC-322 PURCHASE OF JANITORIAL SUPPLIES</t>
  </si>
  <si>
    <t>PR No.:  20-06-0124</t>
  </si>
  <si>
    <t>2020-06-318 Procurement of Various Office and Other Supplies</t>
  </si>
  <si>
    <t>For use of Equipment Pool, &amp; DT-70 assigned in PEO(N-123-2020)</t>
  </si>
  <si>
    <t>20BA0054: CONSTRUCTION OF MULTI-PURPOSE BUILDING (COVERED COURT), BRGY. SAN ANTONIO, BASCO, BATANES</t>
  </si>
  <si>
    <t>PR No. 2020-02-0384-MAIN-Supply and Delivery of Cheque Paper for Registrar’s Office</t>
  </si>
  <si>
    <t>Improvement/Rehabilitation of Water System</t>
  </si>
  <si>
    <t>SUPPLY AND DELIVERY OF VARIOUS PLASTIC FITTINGS</t>
  </si>
  <si>
    <t>Construction of Multi-Purpose Shed</t>
  </si>
  <si>
    <t>PROCUREMENT OF VARIOUS GOODS under SVP No. 2020-028</t>
  </si>
  <si>
    <t>IMPROVEMENT OF OBANGA-DEKAN-LENGAOAN FMR,BACULONGAN SUR,BUGUIAS,BENGUET</t>
  </si>
  <si>
    <t>PR No.:  20-06-0126</t>
  </si>
  <si>
    <t>IMPROVEMENT OF CLASSROOM BUILDING, AYOSEP ELEMENTARY SCHOOL, BALILI, MANKAYAN</t>
  </si>
  <si>
    <t>Rental/Lease of Real Time Kinematic  (RTK) with complete accessories and installer</t>
  </si>
  <si>
    <t>2020-056, CONSTRUCTION OF COVERED COURT AT SITIO BULOD, BARANGAY TUGAL, MIDSAYAP, COTABATO</t>
  </si>
  <si>
    <t>Supply and delivery of laboratory equipment (RFQ 2020-079 AFV)</t>
  </si>
  <si>
    <t>15 units desktop computer</t>
  </si>
  <si>
    <t>CONSTRUCTION OF WATERWORKS AT TAWANGAN, KABAYAN, BENGUET</t>
  </si>
  <si>
    <t>GROUND IMPROVEMENT OF CA-EW ELEMENTARY SCHOOL, BULALACAO, MANKAYAN, BENGUET</t>
  </si>
  <si>
    <t>INFRA 2K20-46 REHABILITATION OF POB. LAKEWOOD – BAKING – DAGUM ROAD</t>
  </si>
  <si>
    <t>ILD-CF-20-2300: Procurement of Chemical and Filtering Supplies to be used in Metarhizium Production</t>
  </si>
  <si>
    <t>Improvement of Waterworks System, Brgy. Old Namangka, Mabinay,(N-113-2020)</t>
  </si>
  <si>
    <t>P.R 2020-02-005 Automotive NCII Training ( TWSP 2020)</t>
  </si>
  <si>
    <t>Construction Apartment-Type Niches, Municipal Cemetery</t>
  </si>
  <si>
    <t>PR No.:  20-06-0125</t>
  </si>
  <si>
    <t>ITB No. 2020-I-01-01:Construction of Baccugon to Guinawa road</t>
  </si>
  <si>
    <t>Supply/Delivery of Office Supplies and Materials for use of NIA-CAMSUR IMO Office, Naga City (REBID)</t>
  </si>
  <si>
    <t>P.R. No. X7-20-04-191 - Supply and Delivery for tge in Maintenance Montero with plate no. B5G-549, Planning and Design Division</t>
  </si>
  <si>
    <t>PR No. 2020-02-0293-MAIN-Supply, Delivery and Installation of Laboratory Equipment for Garments Technology Instruction for the College of Teacher Education</t>
  </si>
  <si>
    <t>REPAIR OF AMBANGEG WATERWORKS SYSTEM, AMBANGEG, DACLAN, BOKOD, BENGUET</t>
  </si>
  <si>
    <t>Additional Materials for ATS NC II car lifter area use</t>
  </si>
  <si>
    <t>CONSTRUCTION OF 8.00 BOX CULVERT</t>
  </si>
  <si>
    <t>Supply/Delivery of Spare Parts and Tools for use at NIA-THIRIS, Sta. Lucia, Magarao, Camarines Sur</t>
  </si>
  <si>
    <t>SUPPLY AND DELIVERY OF 3 UNITS AIR CONDITION 3TR (FLOOR MOUNTED), GUIUAN E. SAMAR</t>
  </si>
  <si>
    <t>Construction of Reinforced Box Culvert for SICAT WEST Campus 2m x 2m x 30m</t>
  </si>
  <si>
    <t>Rehabilitation of Sanitary Land Fill, Inabaan Norte</t>
  </si>
  <si>
    <t>Construction of Satellite Market</t>
  </si>
  <si>
    <t>IMPROVEMENT OF JFMR-BPLS-PUGO-CUDAL-LAMMANGAN-JFMR OCDL (TUPINAW SECTION) BACULONGAN NORTE, BUGUIAS, BENGUET</t>
  </si>
  <si>
    <t>Supply and Delivery of  One (1) Lot Anti-Virus  Software</t>
  </si>
  <si>
    <t>PROCUREMENT OF VEHICLE TOOLS AND EQUIPMENT under SVP No. 2020-036</t>
  </si>
  <si>
    <t>Pakyaw Labor etc. (04-0430) CEO</t>
  </si>
  <si>
    <t>SUPPLY AND DELIVERY OF WASHABLE FACE MASK</t>
  </si>
  <si>
    <t>5 pcs 7.50 x 154x14 PR tires with flap &amp; tube, rough</t>
  </si>
  <si>
    <t>PROCUREMENT OF GENERATOR SET</t>
  </si>
  <si>
    <t>SUPPLY, DELIVERY AND INSTALLATION OF VARIOUS SCHOOL OFFICE EQUIPMENT, HARDWARE MATERIALS AND DISINFECTANT</t>
  </si>
  <si>
    <t>Supply/Delivery of Construction Materials for use of NIA-THIRIS for SAN FRANCISCO PIS (FAW), Canaman, Camarines Sur</t>
  </si>
  <si>
    <t>STRUCTURED CABLING SYSTEM SYSTEM FOR MINDANAO STATION</t>
  </si>
  <si>
    <t>IMPROVEMENT OF PASNA-AN - AYOSEP COMMUNITY/BARANGAY ROADS, BALILI, MANKAYAN, BENGUET</t>
  </si>
  <si>
    <t>Procurement for the Renewal of DOH Blade Chassis and Blade Servers Maintenance Agreement – Rebid</t>
  </si>
  <si>
    <t>20% EDF CY 2020 Projects</t>
  </si>
  <si>
    <t>PROCUREMENT OF VEHICLE ELECTRICAL AND MECHANICAL TOOLS under SVP No. 2020-037</t>
  </si>
  <si>
    <t>IB-2020-VI-30-02 CONSTRUCTION MATERIALS (TORDESILLAS &amp; LUNA)- P216,400.00</t>
  </si>
  <si>
    <t>Procurement of One (1) Lot Information and Communications Technology (ICT) Equipment for the Philippine National Police Anti- Kidnapping Group (PNP AKG) - PNPTR-AKG-DP-20-03</t>
  </si>
  <si>
    <t>20CB-GSC-318 PURCHASE OF IPMR UNIFORM</t>
  </si>
  <si>
    <t>IMPROVEMENT OF AMBANGEG TO NAYBALIW FOOT TRAIL, DACLAN, BOKOD</t>
  </si>
  <si>
    <t>Supply and Delivery of Piglets for the Livestock Livelihood Program on Swine Production in Support to NLP for ATI-RTC XII.</t>
  </si>
  <si>
    <t>For use of various service vehicles assigned in PEO(N-111-2020)</t>
  </si>
  <si>
    <t>Procurement of Various IT Equipment</t>
  </si>
  <si>
    <t>IB-2020-VI-30-03 FARM TO MARKET ROAD</t>
  </si>
  <si>
    <t>ITB No. 2020-I-P2-01: Construction/ Improveent/ Concreting of Various Infra Projects</t>
  </si>
  <si>
    <t>CONCRETING OF CADSI AMONY ELEMENTARY SCHOOL - MAIN GROUND PAVEMENT, BILIG, KAYAPA, BAKUN</t>
  </si>
  <si>
    <t>P.R. No. X7-20-03-184 - Supply and Delivery for the use of Axle Load Survey and Traffic Survey of the Planning and Design Division</t>
  </si>
  <si>
    <t>ILD-CF-20-2301: Procurement of Chemical and Filtering Supplies to be used in Metarhizium Production</t>
  </si>
  <si>
    <t>INSTALLATION OF HAND RAILINGS ALONG THE CRITICAL SECTIONS OF ALO - ELI PATHWAY, SITIO BANGAO, AMBUKLAO</t>
  </si>
  <si>
    <t>PR No. 2020-02-0192-MAIN-Supply and Delivery of Audio and Visual Equipment (TV Sets) for Instructional Purposes of CTAS</t>
  </si>
  <si>
    <t>Construction of Sidewalk and Gutter</t>
  </si>
  <si>
    <t>PURCHASE OF MATERIALS FOR THE CONSTRUCTION OF MULTI-PURPOSE BLDG./EVACUATION CENTER</t>
  </si>
  <si>
    <t>Request for Quotation for the Supply and Delivery of DPD Reagent for Chlorine Dioxide</t>
  </si>
  <si>
    <t>Various Feeds and Weighing Scale for Kabuhayan Individual Starter Kits-DILEEP</t>
  </si>
  <si>
    <t>IB-2020-VI-30-04 TRAFFIC SIGN WITH STAND</t>
  </si>
  <si>
    <t>CONSTRUCTION OF DRAINAGE CANAL AT BAHAY PAGASA, WANGAL, LA TRINIDAD</t>
  </si>
  <si>
    <t>INFRA 2K20-49 CONCRETING OF BINUAY TO BALUNO ROAD SECTION</t>
  </si>
  <si>
    <t>20CB-GSC-323 PURCHASE OF HARDWARE SUPPLIES</t>
  </si>
  <si>
    <t>SUPPLY AND DELIVERY OF MATERIALS FOR RENOVATION OF ACCOUNTING OFFICE</t>
  </si>
  <si>
    <t>REPAIR/IMPROVEMENT OF PNP HEADQUARTERS, LA CARLOTA CITY</t>
  </si>
  <si>
    <t>CONSTRUCTION OF BOX CULVERT AT PUNAS CREEK, ANDOLOR, TABAAN SUR, TUBA</t>
  </si>
  <si>
    <t>REPAIR/REPAINTING OF OFFICE &amp; OPERATORS QUARTER OF BATAN DPP</t>
  </si>
  <si>
    <t>Office Supplies for Provincial Engineer's Office(N-116-2020)</t>
  </si>
  <si>
    <t>Supply/Delivery of Advertising Materials for use of Institutional Unit NIA-CSIMO, Naga City</t>
  </si>
  <si>
    <t>Supply and Delivery of Auto Supplies and Equipment</t>
  </si>
  <si>
    <t>Rehabilitation of Impt. Of Tampi-Siapo Provincial Road, San Jose Neg. Or.(N-40-2020)</t>
  </si>
  <si>
    <t>Bus Hire (Sweeper Team)</t>
  </si>
  <si>
    <t>20NA0072 Completion of Conference/Seminar Building, Brgy. Poblacion, Jabonga, Agusan del Norte</t>
  </si>
  <si>
    <t>CONSTRUCTION OF WAITING SHED ALONG SITIO COPLO, BAYABAS, SABLAN</t>
  </si>
  <si>
    <t>Supply/Delivery of Construction Materials for use of NIA-THIRIS for SAN NICOLAS PIS (FAW), Canaman, Camarines Sur</t>
  </si>
  <si>
    <t>PR No. 2020-02-0190-MAIN-Supply and Delivery of Hotel Housekeeping Instructional and Laboratory Materials for the College of Business Arts and Sciences</t>
  </si>
  <si>
    <t>3 lots Strapping and Bundling Materials and Band Rolls</t>
  </si>
  <si>
    <t>P.R. No. X11-19-11-609 - Supply and Delivery for the repair and maintenance of Mitsubishi Montero, H1-N/A (B5G 491) assigned at EMD</t>
  </si>
  <si>
    <t>ITB No. 2020-I-P3-01: Riprapping/Rehab/Iprovement/Installation of Various Infra Projects</t>
  </si>
  <si>
    <t>ITB No. 2020-I-P4-01: Rehab./Construction/Iprovement/Concreting of Various Infra Projects</t>
  </si>
  <si>
    <t>Office Equipment for Isolation Unit</t>
  </si>
  <si>
    <t>CONSTRUCTION OF FOOTPATH WITH RAILINGS NEAR BAUSTISTA AREA TO BOTED, TAWANG, LA TRINIDAD, BENGUET</t>
  </si>
  <si>
    <t>Supply and Delivery of Janitorial Supplies to be used at the City Mayors Office for the year 2020 in the City of San Fernando, Pampanga subject to Ordering Agreement</t>
  </si>
  <si>
    <t>Delivery of various construction materials needed for Brgy. Multi-Purpose Gym and Evacuation Center - Brgy. San Miguel, Bayawan City (ITB 20-071)</t>
  </si>
  <si>
    <t>Supply and Delivery of 1 unit Photocopier Machine</t>
  </si>
  <si>
    <t>Construction of Pavements</t>
  </si>
  <si>
    <t>IB-2020-VI-30-05 CONSTRUCTION OF bRGY HEALTH STATION (CUBAY NAPULTAN)</t>
  </si>
  <si>
    <t>CONSTRUCTION OF STAGE AT KIBUNGAN NATIONAL HIGH SCHOOL</t>
  </si>
  <si>
    <t>Procurement of Piglets</t>
  </si>
  <si>
    <t>P.R 2020-05-084 Training Delivery of Blended on line</t>
  </si>
  <si>
    <t>Concreting of Sitio Baccugon, Barangay Pullaan FMR, Lagawe, Ifugao</t>
  </si>
  <si>
    <t>IMPROVEMENT OF JFMR LKP-PUGO-LENGAT ROAD, BACULONGAN NORTE</t>
  </si>
  <si>
    <t>RFQ 724 Ipratropium + Salbutamol Resp. Soln.: 500mcg Ipratropium + Salbutamol Resp. Soln.: 1mg/ml, 2.5ml for nebulization</t>
  </si>
  <si>
    <t>4 units diamond core, drill bit</t>
  </si>
  <si>
    <t>For BWD Vehicle SDA 225</t>
  </si>
  <si>
    <t>Purchase of veterinary supplies and medicines for the Municipal Agriculture office utilization ( 2nd &amp; 3rd Qtr 2020)</t>
  </si>
  <si>
    <t>INSTALLATION OF TWO (2) UNITS ARTESIAN WELL FOR IRRIGATION SYSTEM (LABOR SERVICES) - 2ND BIDDING</t>
  </si>
  <si>
    <t>Equipment and Supplies for Kabuhayan Individual Starter Kits-DILLEP</t>
  </si>
  <si>
    <t>Request for quotations</t>
  </si>
  <si>
    <t>Procurement of HARDWARE SUPPLIES</t>
  </si>
  <si>
    <t>Information Technology for the Digitization of Listahanan Household Assessment Forms and other NHTS Activities</t>
  </si>
  <si>
    <t>To Support the Logistical Requirements of 0G4,1ID,PA</t>
  </si>
  <si>
    <t>CONCRETING OF SINKHOLE AT ZONE 2, DES-OK, PROVINCIAL HOUSING, WANGAL, LA TRINIDAD</t>
  </si>
  <si>
    <t>Bid No. 20-0273 - PROCUREMENT OF CONSTRUCTION MATERIALS - MEO (CONSTRUCTION OF COVERED COURT - BRGY. TUPAS, MARAGUSAN, DAVAO DE ORO)</t>
  </si>
  <si>
    <t>2OCB-GSC-315 PURCHASE OF DESKTOP COMPUTERS (RE-BID)</t>
  </si>
  <si>
    <t>RFQ - 200 bags Reflectorized Thermoplastic Pavement Markings Yellow, 300 bags Reflectorized Thermoplastic Pavement Markings White for use in Maintenance Activities (2nd Quarter)</t>
  </si>
  <si>
    <t>Improvement of Road From Cayaocao, Brgy. Narra, Bayawan City Passing So. Nursery, Brgy.  Lonoy, Bais City(N-118-2020)</t>
  </si>
  <si>
    <t>20OI0121: CONSTRUCTION OF SLOPE PROTECTION AT ALMIRANTE CREEK AT BRGY. TALON 4, LAS PINAS CITY</t>
  </si>
  <si>
    <t>Construction and Rehab of All Drainage Canal/Ditches at 100cm width with Cover to Climate Variability Design Standards</t>
  </si>
  <si>
    <t>PROCUREMENT OF ONE (1) UNIT MOTOR VEHICLE</t>
  </si>
  <si>
    <t>Lease of Processing Plant and Warehouse for the Production of Sterilized Milk for Six Months</t>
  </si>
  <si>
    <t>Supply and Delivery of Spare Parts for the Repair of Backhoe Loader, Mogpog</t>
  </si>
  <si>
    <t xml:space="preserve">20NA0074 ACT NO. 71X (Special Maintenance) Selective Replacement of Damaged Concrete Slabs along National Primary, Secondary &amp; Tertiary Roads (Concrete Reblocking), with Pavement Markings 1st Quarter </t>
  </si>
  <si>
    <t>20CB-GSC-319 PURCHASE OF HOSPITAL SUPPLIES</t>
  </si>
  <si>
    <t>Road Asphalting</t>
  </si>
  <si>
    <t>Request for Quotation (HMD-2020-03-0211 Portable Label Printer)</t>
  </si>
  <si>
    <t>IB-2020-VI-30-06-CONSTRUCTION OF BARANGAY HEALTH STATION (ODIONG)</t>
  </si>
  <si>
    <t>Tools for the training of HEO - Backhoe Loader trainees</t>
  </si>
  <si>
    <t>Procurement of Multifunction Inkjet Printer</t>
  </si>
  <si>
    <t>Procurement of One (1) Lot Information and Communications Technology (ICT) Equipment for the Philippine National Police Directorate for Logistics (PNP DL)- PNPTR-DL-DP-20-04</t>
  </si>
  <si>
    <t>Supply and Delivery of Materials for Fabrication of Pipe Supports in connection with the Waterline Extension Project in Imbang Bridge Crossing Pipeline, Brgy. E. Lopez for Silay City Water District</t>
  </si>
  <si>
    <t>INSTALLATION OF STREET LIGHTS ALONG SANGHAN - ANTONIO LUNA PROVINCIAL ROAD IN BARANGAY SANGHAN, CABADBARAN CITY - 2ND BIDDING</t>
  </si>
  <si>
    <t>Various Spare Parts 2 LOTS  For use in Equipment Pool of the Provincial Engineer's Office.(N-108-2020)</t>
  </si>
  <si>
    <t>Construction of Laundry Area with Placenta Pit, Vault Slab and Drainage of Birthing and New Calasiao Mun. Health Clinic at Calasiao, Pangasinan</t>
  </si>
  <si>
    <t>To Support the Logistical Requirements of 554EBN,55EBDE,PA</t>
  </si>
  <si>
    <t>Invitation to Bid for Supply, Delivery and Installation of Digital Speech Laboratory</t>
  </si>
  <si>
    <t>IB-2020-VI-30-07 CONSTRUCTION OF BARANGAY HEALTH STATION (IGCOCOC)</t>
  </si>
  <si>
    <t>Re-Bidding of Supply and Delivery of One (1) Lot Various Engineering and Maintenance Materials for January 1 to December 31, 2020</t>
  </si>
  <si>
    <t>Concreting of Sitio Mabuyucan to Sitio Pun-Ayagan, Barangay Umalbong FMR, Barangay Umalbong, Hingyon, Ifugao</t>
  </si>
  <si>
    <t>INFRA 2K20-50 CONCRETING OF ROAD FROM JOSEFINA TO BALINTAWAK, MARGOSATUBIG (PHASE I)</t>
  </si>
  <si>
    <t>UPGRADING OF SCHOOL EDUCATIONAL BROADCAST STATION EQUIPMENT</t>
  </si>
  <si>
    <t>for the repair of outside ceiling of Admin. building</t>
  </si>
  <si>
    <t>Furnace/Pugon for the Banana Production, Processing and Marketing Project under DAR-MINSAAD</t>
  </si>
  <si>
    <t>ILD-CF-20-2302: Procurement of 20 Units Knapsack Sprayer Stainless Steel to be used for the Management and Control of Fall Armyworm (FAW) Infestation</t>
  </si>
  <si>
    <t>1 set CCTV</t>
  </si>
  <si>
    <t>2nd Quarter 2020 MOOE - Medical, Dental &amp; Laboratory Supplies</t>
  </si>
  <si>
    <t>Supply and Delivery of Construction Materials and Supplies for Improvement of Yook Health Center</t>
  </si>
  <si>
    <t>SUPPLY AND DELIVERY OF ASSORTED uPVC PIPES</t>
  </si>
  <si>
    <t>ITB No. 2020-G-03-02: Purchase of LGU-Lagawe Office Supplies</t>
  </si>
  <si>
    <t>SUPPLY AND DELIVERY OF TWO (2) UNITS DESKTOP COMPUTER W/ ACCESSORIES - TWO FAILED BIDDING</t>
  </si>
  <si>
    <t>20OI0122: Construction of Flood Control Structures along Zapote River and its Tributaries (Upstream), Las Pinas City</t>
  </si>
  <si>
    <t>Supply, Delivery and Installation of Kitchenwares and Equipment for SIP Hub Kitchen of the Univertsity</t>
  </si>
  <si>
    <t>P.R No. 2020-AS-05-017(Steel Cabinet &amp; Printer) Administrative Section</t>
  </si>
  <si>
    <t>UPGRADING OF SCHOOL EDUCATIONAL BROADCAST STATION ANTENNA</t>
  </si>
  <si>
    <t>15 UNITS, ELECTRONIC TIME RECORDING SYSTEM, BIOMETRIC UNITS</t>
  </si>
  <si>
    <t>SVP 20-0077-A - Purchase of 18 units SEWING MACHINE &amp; etc.</t>
  </si>
  <si>
    <t>Concreting of Brgy Road Calango, Zamboanguita,(N-112-2020)</t>
  </si>
  <si>
    <t>Procurement of Vaccine: Vero Cell (Purified)</t>
  </si>
  <si>
    <t>Supply &amp; Delivery of 6 UNITS GEOTAGGING DEVICE for use of Regional AFC Members with PR#DA3-2020-06-08-92 &amp; ABC of P89,400.00</t>
  </si>
  <si>
    <t>SVP 20-0278 - Purchase of 46 pcs LUBE FILTER , LF 3478 &amp; etc.</t>
  </si>
  <si>
    <t>supply and delivery of computer inks and cartridge</t>
  </si>
  <si>
    <t>For the use in the equipment pool Division of the Provincial Engineers office(N-117-2020)</t>
  </si>
  <si>
    <t>Repair and Maintenance of BWD Vehicle SDA225</t>
  </si>
  <si>
    <t>20CB-GSC-324 PURCHASE OF OFFICE EQUIPMENT</t>
  </si>
  <si>
    <t>Construction of Comfort Rooms at the Brgy. Cangmating Multi-Purpose Covered Court and Evacuation Center Sibulan, Neg. Or.(N-120-2020)</t>
  </si>
  <si>
    <t>20GGM0011 - Procurement of furnitures for use in various offices, DPWH, Negros Occidental 3rd District Engineering Office, Kabankalan City.</t>
  </si>
  <si>
    <t>Supply and Delivery of various General Service Supplies</t>
  </si>
  <si>
    <t>Information Technology for the Digitization of Listahanan 3 Household Assessment Forms and other NHTS-LAMA Activities</t>
  </si>
  <si>
    <t>Supply &amp; Installation of Airconditioning Units for City Legal Office, City General Services Office, Ormoc City</t>
  </si>
  <si>
    <t>EXTENSION OF KALASAG</t>
  </si>
  <si>
    <t>CONSTRUCTION/CONCRETING OF 270 LN. M. LOCAL ACCESS ROAD   Purok 5, TCES, Poblacion, Tubod, Lanao del Norte</t>
  </si>
  <si>
    <t>SVP 20-0280 - 1 lot Job Order, Engine Overhaul of SR 14 Steel Roller Machine.</t>
  </si>
  <si>
    <t>SM 20-0281 - Purchase of 1 pc CHAIR , Swivel, High Back &amp; etc.</t>
  </si>
  <si>
    <t>ILD-CF-20-2303: Procurement of Agricultural Supplies to be used in Metarhizium Production</t>
  </si>
  <si>
    <t>SUPPLY AND DELIVERY OF FUEL (DIESEL AND GASOLINE) FOR VARIOUS OFFICES - TWO FAILED BIDDING</t>
  </si>
  <si>
    <t>20BA0056: CONCRETING OF BRGY. LIPTAN TO BRGY. KARWARWAY FMR, BRGY. STA. LUCIA, ITBAYAT, BATANES</t>
  </si>
  <si>
    <t>Supply and Delivery of Medical Supplies for RHU, BEMONC and Philhealth</t>
  </si>
  <si>
    <t>Supply and Delivery of Medicines for RHU, BEMONC and Philhealth</t>
  </si>
  <si>
    <t>SVP 20-0282 - Purchase of 1 pc FUEL PUMP &amp; etc.</t>
  </si>
  <si>
    <t>Supply and Delivery of Diesel Fuel</t>
  </si>
  <si>
    <t>Tools for the training of HEO - Wheel Loader trainees</t>
  </si>
  <si>
    <t>20CB-GSC-316 PURCHASE OF SPARE PARTS FOR MOTOR VEHICLE</t>
  </si>
  <si>
    <t>Concrete Pavement of Municipal Road to Climate Resilient Design Standards Located in Subdivision Area Poblacion</t>
  </si>
  <si>
    <t>IB-2020-VI-30-08 CONSTRUCTION BARANGAY HEALTH STATION (TABONGTABONG)</t>
  </si>
  <si>
    <t>Procurement of Consumables/Ink/Toner Intended for 3rd Quarter of CY 2020</t>
  </si>
  <si>
    <t>Purchase of 1-Unit Brand New Vehicle (AMBULANCE TYPE) for the Municipal Healht of LGU Lugait, Misamis Oriental.</t>
  </si>
  <si>
    <t>supply and delivery of 10 unit smartphone, android</t>
  </si>
  <si>
    <t>Additional Facilities for the SSF for Waterlily/ Water Hyacinth Making Facilities for the WOW Carmen Handicrafts Makers</t>
  </si>
  <si>
    <t>Information Technology to be used by DSWD Regional Field Office 12 for additional and upgrading of ICT Equipment</t>
  </si>
  <si>
    <t>PURCHASE OF SOLAR PANEL AT BARANGAY MUZON I, ROSARIO, CAVITE</t>
  </si>
  <si>
    <t>SVP 20-0283 - 1 lot JOB ORDER, repair &amp; rechrome of hydraulic arm cylinder &amp; replace seal kit of EX 01 Wheeled Excavator Machine.</t>
  </si>
  <si>
    <t>PROCUREMENT OF MOTORCYCLE FOR ENFORCEMENT</t>
  </si>
  <si>
    <t>PROCUREMENT OF BUS</t>
  </si>
  <si>
    <t>Supply and Delivery of Office Supplies and Computer Supplies for BUGS Registrar’s Office</t>
  </si>
  <si>
    <t>PUBLIC BIDDING / PR 19-11-1126 RE-BID / REHABILITATION/RESTORATION OF KALAYAAN HALL EXTERIOR</t>
  </si>
  <si>
    <t>Concreting of Pal-ew-Sto. Niño Road, Barangay Pal-ew (Additional Allocation) and Concreting of Sto. Niño-Pal-ew Road, Barangay Sto. Niño (Additional Allocation)</t>
  </si>
  <si>
    <t>FURNISHING AND DELIVERY OF CONSTRUCTION MATERIALS</t>
  </si>
  <si>
    <t>Vehicle Parts for Repair and Maintenance of Light Vehicle</t>
  </si>
  <si>
    <t>Supply and Delivery of Construction Materials for Slope Protection @ Star Village</t>
  </si>
  <si>
    <t>Supply &amp; Delivery of Materials for the Construction of Water System for Organic Production of Magsaysay, Davao del Sur</t>
  </si>
  <si>
    <t>Repair and Maintenance of LGU Service Vehicles</t>
  </si>
  <si>
    <t>For use of Dump Truck DT-63, Assigned in PEO(N-106-2020)</t>
  </si>
  <si>
    <t>Internet Installation</t>
  </si>
  <si>
    <t>ILD-CF-20-2305: Procurement of Agricultural Supplies to be used in Trichogramma Production</t>
  </si>
  <si>
    <t>Rehabilitation and Improvement of Tanjay-Luka Provincial Road, Tanjay City(N-109-2020)</t>
  </si>
  <si>
    <t>Procurement of Various Medical Supplies (TFB-2020-004Recanvass) BAC EP 2020-003</t>
  </si>
  <si>
    <t>PROCUREMENT OF RESCUE TRUCK</t>
  </si>
  <si>
    <t>SUPPLY AND DELIVERY OF  SUPPLIES / MATERIALS FOR LIVELIHOOD PROGRAM FOR FISHERFOLK (FISHING GEARS)</t>
  </si>
  <si>
    <t>CONSTRUCTION OF MULTIPURPOSE BUILDING ( PHASE III) LAWIN DAY CARE</t>
  </si>
  <si>
    <t>CONSTRUCTION OF CHECK STRUCTURE</t>
  </si>
  <si>
    <t>Supply &amp; Delivery of Diesel Fuel for the COVID 19 Calamity for the Magsaysay, Davao del Sur</t>
  </si>
  <si>
    <t>CONSTRUCTION OF PERIMETER FENCE OF NATIONAL CHILD DEVELOPMENT CENTER</t>
  </si>
  <si>
    <t>IB-2020-VI-30-10 CONSTRUCTION MATERIALS (EGANA &amp;SALVACION)</t>
  </si>
  <si>
    <t>Procurement of OFFICE FURNITURE ADDITIONAL (Office Tables, Cabinet &amp; Chairs) Delivery &amp; Installation for the use of LGU Lugait, Misamis Oriental.</t>
  </si>
  <si>
    <t>Procurement of Various Drugs and Medicines (TFB-2020-003Recanvass) BAC EP 2020-001</t>
  </si>
  <si>
    <t>EXPANSION OF PIER AT BRGY. AMOTAG</t>
  </si>
  <si>
    <t>PUBLIC BIDDING / PR 20-03-0161 /  125 BRAND NEW MULTI-FUNCTION PRINTERS (MFP)</t>
  </si>
  <si>
    <t>06-2020 RFQ-Hygiene Kit</t>
  </si>
  <si>
    <t>Plastic, Transparent, 40x40</t>
  </si>
  <si>
    <t>Re-Blocking and Upgrading of Existing Streets of Poblacion Las Navas, N. Samar</t>
  </si>
  <si>
    <t>Repair/ Rehabilitation of Classroom Damaged by Typhoon Ursula under Quick Response Fund (QRF) CY 2020 Batch 1 Lot 1 at Bacolod PS, Balasan CES, Batuan ES, Gimamanay ES, Quisan ES and Mamhut PS at Bala</t>
  </si>
  <si>
    <t>LOT Procurement of AIR CONDITIONERS for the Use of DOPH Gov. Generoso</t>
  </si>
  <si>
    <t>CY 2020 Basic Educational Facilities Fund (BEFF)- Electrification of Un-Energized Schools and  Modernization of Electrical Systems On-Grid Schools Batch 2  (Repost)</t>
  </si>
  <si>
    <t>Water Service Connection Materials/Fittings - Brgy. Baringin Sur</t>
  </si>
  <si>
    <t>supply and delivery of one unit dosing pump</t>
  </si>
  <si>
    <t>Concreting of Road Leading to Jacinto Aguilar M/S Barangay Tugas, Concreting of Road Leading to Buyao-Tugas and Concreting of Road Sito Canlibot, Barangay Tugas</t>
  </si>
  <si>
    <t>Repair/ Rehabilitation of Classroom Damaged by Typhoon Ursula under Quick Response Fund (QRF) CY 2020 Batch 1 Lot 2 at Kinalkalan ES and Mamhut ES at Balasan, Iloilo.</t>
  </si>
  <si>
    <t>Local Access Road in Poblacion to Guadalupe</t>
  </si>
  <si>
    <t>Machine Printer and Paper Collator</t>
  </si>
  <si>
    <t>20PA0132 : CONCRETING OF BARANGAY GUINGUINABANG FMR, Barangay Guinguinabang, Lacub, Abra</t>
  </si>
  <si>
    <t>1 LOT, SUPPLY OF MATERIALS &amp; LABOR FOR THE (ROUGHING INS FOR MPLS) ENTRANCE FACILITY FOR SSS BALER BRANCH, LOCATED AT 2/F NE MALL BALER, NATIONAL HIGHWAY, BRGY. SUKLAYIN, BALER, AURORA</t>
  </si>
  <si>
    <t>Supply &amp; delivery of various IT Equipment for use in Establishment of Farmland GIS at NIA-QIMO, Lucena City.</t>
  </si>
  <si>
    <t>Construction Materials(Construction of Drainage Canal(Gamuton Continuation))</t>
  </si>
  <si>
    <t>Supply and Delivery of furnitures for use of Engineering and Operations Head</t>
  </si>
  <si>
    <t>Procurement for the Supply and Delivery of 11,653 Sets Educational School Supplies for Public School Grades 4-6 Students of the City.</t>
  </si>
  <si>
    <t>Supply &amp; Delivery of 10 Units Hospital Beds for the COVID 19 Calamity for Magsaysay, Davao del Sur</t>
  </si>
  <si>
    <t>Purchase of Construction Materials for the Improvement of ECCD at Brgy. Dulongbayan II, San Mateo, Rizal</t>
  </si>
  <si>
    <t>ICT Equipment - LAPTOP</t>
  </si>
  <si>
    <t>PURCHASE OF MINI DUMP TRUCK AT BARANGAY MUZON I, ROSARIO, CAVITE</t>
  </si>
  <si>
    <t>Procurement of Various Drugs and Medicines (TFB-2020-005) BAC EP 2020-001</t>
  </si>
  <si>
    <t>Charger for Samsung Tab S2 Model SM-T719Y</t>
  </si>
  <si>
    <t>Supply &amp; Delivery of Various Medicines</t>
  </si>
  <si>
    <t>Invitation to Bid for Supply and Delivery of Agricultural Supplies at Mun. Agriculture Office, Calaca, Batangas</t>
  </si>
  <si>
    <t>Supply and Delivery of Hardware and Construction Supplies (PR 20-06-0234))</t>
  </si>
  <si>
    <t>SUPPLY &amp; DELIVERY OF VARIOUS MATERIALS (OFFICE EQPT) OF OM-BOD</t>
  </si>
  <si>
    <t>LOT Procurement of MATERIALS for Use in the Construction of Staff House at Tourism Complex, Brgy. Don Martin Marundan, City of Mati, Davao Oriental</t>
  </si>
  <si>
    <t>CONCRETING OF ROAD AT PUROK 4 STA. MARINA</t>
  </si>
  <si>
    <t>Repair/ Rehabilitation of Classroom Damaged by Typhoon Ursula under Quick Response Fund (QRF) CY 2020 Batch 1 Lot 4 at Binon-an ES, Jose Gonzaludo ES, Malico Es and Pasayan ES Batad, Iloilo.</t>
  </si>
  <si>
    <t>General cleaning of 10TR Floor Mounted at Session Hall</t>
  </si>
  <si>
    <t>CONSTRUCTION OF MULTI-PURPOSE BUILDING (PHANSE II) ADARNA DAY CARE</t>
  </si>
  <si>
    <t>supply and delivery of computer printers</t>
  </si>
  <si>
    <t>Concreting of Barangay Road, Purok 6, Brgy. Rizal, Gerona, Tarlac</t>
  </si>
  <si>
    <t>PROCUREMENT OF UTILITY TRUCK (WING VAN)</t>
  </si>
  <si>
    <t>Meals</t>
  </si>
  <si>
    <t>Visio Professional 2019</t>
  </si>
  <si>
    <t>Fabrication of Classroom (Container Van) Brgy. Caturay, Gerona, Tarlac</t>
  </si>
  <si>
    <t>Procurement for the Supply and Delivery of 11,100 Sets Educational School Supplies for Public School Grades 1-3 Students of the City</t>
  </si>
  <si>
    <t>20PA0133 : CONCRETING OF BARANGAY NAGCANASAN FMR, Barangay Nagcanasan, Pilar, Abra</t>
  </si>
  <si>
    <t>PROCUREMENT FOR THE SUPPLY, DELIVERY AND INSTALLATION OF VARIOUS LABORATORY EQUIPMENT FOR USE OF NATIONAL PLANT QUARANTINE SERVICES DIVISION (NPQSD)</t>
  </si>
  <si>
    <t>SUPPLY AND DELIVERY OF SUBMERSIBLE PUMP, MOTOR, THERMAL OVERLOAD RELAY AND #10 Submersible Cable, 3C</t>
  </si>
  <si>
    <t>I.T. Supplies</t>
  </si>
  <si>
    <t>Repair/ Rehabilitation of Classroom Damaged by Typhoon Ursula under Quick Response Fund (QRF) CY 2020 Batch 1 Lot 6 at Asluman ES, Granada ES, Piagao PS and Granada NHS Carles, Iloilo.</t>
  </si>
  <si>
    <t>LOT Procurement of MATERIALS for Use of Brgy. Sto. Rosario, San Isidro, Davao Oriental</t>
  </si>
  <si>
    <t>LOT Procurement of MATERIALS for Use of Brgy. Lucatan, Tarragona, Davao Oriental</t>
  </si>
  <si>
    <t>Purchase and Installation of Public Address System for COVID-19 Operation</t>
  </si>
  <si>
    <t>20GGJ0050 REQUEST FOR QUOTATION</t>
  </si>
  <si>
    <t>Invitation to Bid for Supply and Delivery of Pencil with Eraser, Ballpen, Pentel Pen and Colored Paper for Day Care Children to Senior High School Students at DepEd Calaca District, Calaca, Batangas</t>
  </si>
  <si>
    <t>CID No. 19IO0159: Rehabilitation of DENR-EMB RO 8 Laboratory Building, Baras, Palo, (Phase III), Government Center, Baras, Palo, Leyte</t>
  </si>
  <si>
    <t>Supply and Delivery of Animal Feeds for the Livestock Livelihood Program on Swine Production in Support to National Livestock Program (NLP) for ATI-RTC XII.</t>
  </si>
  <si>
    <t>Bidding for the Supply &amp; Delivery of Medical Equipment for COVID-19 Operation</t>
  </si>
  <si>
    <t>Adobe Lightroom 6</t>
  </si>
  <si>
    <t>Purchase of Fuel  (3rd Quarter 2020) Rebid</t>
  </si>
  <si>
    <t>Purchase of chlorine dioxide A &amp; B</t>
  </si>
  <si>
    <t>REPAIR OF BARANGAY HALL (BRGY LULUGAYAN) Jiabong, Samar</t>
  </si>
  <si>
    <t>Vegas Pro 13</t>
  </si>
  <si>
    <t>PURCHASE OF MEDICAL SUPPLIES AT MHO</t>
  </si>
  <si>
    <t>Invitation to Bid for Supply and Delivery of Back Pack for Day Care Children to Senior High School Students at DepEd Calaca District, Calaca, Batangas</t>
  </si>
  <si>
    <t>20GHF0006 - Supply and Delivery of Construction Materials and Supplies for use in office repair purposes and in the Repaint of National Bridges, Concrete Parapet and Informative Road Safety Signages a</t>
  </si>
  <si>
    <t>Procurement for the Supply and Delivery of One Unit Mobile Patrol Vehicle with Complete Accessories, City of Koronadal</t>
  </si>
  <si>
    <t>Server Rack Power</t>
  </si>
  <si>
    <t>For Isolateion Facility</t>
  </si>
  <si>
    <t>Publication No. 28-2020-G (First Publication) Office Equipment</t>
  </si>
  <si>
    <t>Publication No. 30-2020-G (First Publication) Heavy Equipments</t>
  </si>
  <si>
    <t>Repair/ Rehabilitation of Classroom Damaged by Typhoon Ursula under Quick Response Fund (QRF) CY 2020 Batch 1 Lot 8 at Bolo ES and Tupaz ES, Carles, Iloilo.</t>
  </si>
  <si>
    <t>Water Service Connection Materials/Fittings - Brgy. Turayong Extension</t>
  </si>
  <si>
    <t>Supply and Delivery of Fertilizers</t>
  </si>
  <si>
    <t>Hiring of Assisting Professional for establishment of 2 hectares PBMA and conduct of Baseline Data Assessment</t>
  </si>
  <si>
    <t>Repair/ Rehabilitation of Classroom Damaged by Typhoon Ursula under Quick Response Fund (QRF) CY 2020 Batch 1 Lot 5 at Abong ES, Alipata ES. Bito-on ES and Cana PS Carles, Iloilo.</t>
  </si>
  <si>
    <t>Procurement of 2,500 Kilos RED PEANUT WITH SHELL in Support to Rice Farmers of the Province (Planting of Peanut after Rice Cropping Season)</t>
  </si>
  <si>
    <t>PSD-2020-06-0187 (FOR THE USE OF AGENCY OPERATION CENTER AND FO9 STAFF IN ITS DAY TO DAY OPERATION)</t>
  </si>
  <si>
    <t>Repair/ Rehabilitation of Classroom Damaged by Typhoon Ursula under Quick Response Fund (QRF) CY 2020 Batch 1 Lot 7 at Cawayan ES, Cawayan NHS, Carles, Iloilo and Balasan NHS, Balasan, Iloilo.</t>
  </si>
  <si>
    <t>Construction of Bulacon Barangay Multi-Purpose Building, Concreting of Lapu Lapu St (140.00 m) and Concreting of Aguinaldo St, 200.00m</t>
  </si>
  <si>
    <t>P.R. No. X11-20-02-084 - Supply and Delivery for the use in Equipment Management Division Office</t>
  </si>
  <si>
    <t>Publication No. 29-2020-G (First Publication) IT Equipment</t>
  </si>
  <si>
    <t>LOT Procurement of MATERIALS for Use of Brgy. Taguibo, City of Mati, Davao Oriental</t>
  </si>
  <si>
    <t>2020-03-0448 BOARD AND LODGING FOR 3 DAYS  FOR THE CONDUCT OF REGIONAL YEAR-END PROGRAM IMPLEMENTATION REVIEW</t>
  </si>
  <si>
    <t>OFFICE SUPPLIES, EQUIPMENT, AND CONSUMABLES</t>
  </si>
  <si>
    <t>Procurement for the Supply and Delivery of 3,700 Pieces School Bags for Public School Grade – 1 Pupils of the City</t>
  </si>
  <si>
    <t>Supply and Delivery of Monthly Security Services for Various Government Buildings</t>
  </si>
  <si>
    <t>Publication No. 31-2020-G (First Publication) Two (2) units Brandnew Dump Truck (5 cu.m capacity) and Two (2) units Brandnew Dump Truck (20 cu.m capacity)</t>
  </si>
  <si>
    <t>Printing of Integrated Survey on Household (ISH) Bulletin</t>
  </si>
  <si>
    <t>Procurement for the Supply and Delivery of One (1) Unit Four Wheeled Vehicle (Pick-Up) for CSU Operations, City of Koronadal</t>
  </si>
  <si>
    <t>Supply and Delivery of Farm Machineries and Equipment</t>
  </si>
  <si>
    <t>Procurement of 200 Pieces Toilet Bowl for Use of Various Household in Different Municipalities of Davao Oriental</t>
  </si>
  <si>
    <t>Procurement for the Supply and Delivery of One (1) Unit Six (6) Wheeler Reconditioned Water Truck for CENRO, City of Koronadal</t>
  </si>
  <si>
    <t>Supply and Delivery of Two (2) units of Motor Vehicle Convertible to Ambulance</t>
  </si>
  <si>
    <t>Supply and Delivery of Three (3) units of Desktop Computer and Three (3) units of Laptop</t>
  </si>
  <si>
    <t>Procurement of Laparoscopy Tower</t>
  </si>
  <si>
    <t>Repair/ Rehabilitation of Classroom Damaged by Typhoon Ursula under Quick Response Fund (QRF) CY 2020 Batch 1 Lot 9 at Naborot ES and Pantalan IS, Carles, Iloilo</t>
  </si>
  <si>
    <t>Supply and Delivery of Various Agricultural Supplies and Materials</t>
  </si>
  <si>
    <t>Repair/ Rehabilitation of Classroom Damaged by Typhoon Ursula under Quick Response Fund (QRF) CY 2020 Batch 1 Lot 3 at Pedro Bedez ES and Zaragosa ES at Balasan, Iloilo.</t>
  </si>
  <si>
    <t>RFQ, Ink and Toners</t>
  </si>
  <si>
    <t>Invitation to Bid for Supply and Delivery of Notebook, Writing Pad and Bond Paper for Day Care Children to Senior High School Students at DepEd Calaca District, Calaca, Batangas</t>
  </si>
  <si>
    <t>RFQ NO 2020-06-016: SUPPLY AND DELIVERY OF VEHICLE PARTS AND ACCESSORIES FOR PLANNING DESIGN AND CONSTRUCTION SECTION</t>
  </si>
  <si>
    <t>Repair/ Rehabilitation of Classroom Damaged by Typhoon Ursula under Quick Response Fund (QRF) CY 2020 Batch 1 Lot 12 at Bagotao ES, Manlot IS and Barangcalan IS, Carles, Iloilo.</t>
  </si>
  <si>
    <t>provision of hand washing facilities for school campus</t>
  </si>
  <si>
    <t>SUPPLY AND DELIVERY OF WIRINGS AND CABLES FOR GENERATOR SET (RFQ# 144-2020), Port of Dapitan, Dapitan City, Zamboanga del Norte</t>
  </si>
  <si>
    <t>Supply and Delivery of Insecticide</t>
  </si>
  <si>
    <t>CID No. 19CSOD26- Procurement for the Conduct of Preliminary Detailed Engineering (PDE) Activities for Soil Testing (Soil and Sub-Surface Exploration and Dynamic Cone Penetration Test) for the Various</t>
  </si>
  <si>
    <t>Procurement of Various Medical Equipment (HFEP)</t>
  </si>
  <si>
    <t>Repair/ Rehabilitation of Classroom Damaged by Typhoon Ursula under Quick Response Fund (QRF) CY 2020 Batch 1 Lot 11 at Talingting NHS, Carles, Iloilo.</t>
  </si>
  <si>
    <t>Publication No. 32-2020-G (First Publication) Computer Server</t>
  </si>
  <si>
    <t>Invitation to Bid for Supply and Delivery of Plastic Protractor, ID Lace and Holder, Plastic Envelope, Calculator, Pencil Sharpener &amp; Crayons for Day Care Children to Senior High School Students at De</t>
  </si>
  <si>
    <t>Electrical Distribution for Sinalhan Senior High School, Brgy. Sinalhan</t>
  </si>
  <si>
    <t>Repair/ Rehabilitation of Classroom Damaged by Typhoon Ursula under Quick Response Fund (QRF) CY 2020 Batch 1 Lot 13 at Buenavista IS and Tabugon IS, Carles, Iloilo.</t>
  </si>
  <si>
    <t>Supply and Delivery of Poultry Animal</t>
  </si>
  <si>
    <t>Repair/ Rehabilitation of Classroom Damaged by Typhoon Ursula under Quick Response Fund (QRF) CY 2020 Batch 1 Lot 10 at San Fernando ES and Talingting ES, Carles, Iloilo.</t>
  </si>
  <si>
    <t>Repair/ Rehabilitation of Classroom Damaged by Typhoon Ursula under Quick Response Fund (QRF) CY 2020 Batch 1 Lot 15 at Lantangan ES, Carles, Iloilo.</t>
  </si>
  <si>
    <t>SUPPLY AND DELIVERY OF VARIOUS HARDWARE EQUIPMENTS  AND SUPPLIES AND COVID19 SCHOOL RESPONSE MEASURES</t>
  </si>
  <si>
    <t>Repair/ Rehabilitation of Classroom Damaged by Typhoon Ursula under Quick Response Fund (QRF) CY 2020 Batch 1 Lot 14 at Tarong ES and Martin Azuelo MS, Carles, Iloilo.</t>
  </si>
  <si>
    <t>request for quotation</t>
  </si>
  <si>
    <t>Supply and Delivery of Various Seedlings</t>
  </si>
  <si>
    <t>Additional Supply and Delivery of Printers for Distribution to Various Elementary and Secondary Schools</t>
  </si>
  <si>
    <t>Proposed Construction of Evacuation Center/Multi-Purpose Building at Purok 3, Brgy. Sinalhan</t>
  </si>
  <si>
    <t>Request for Quotation for Information Technology Scanner</t>
  </si>
  <si>
    <t>CID No. 19CSOD28- Procurement for the Conduct of Preliminary Detailed Engineering (PDE) Activities for Soil Testing (Soil and Sub-Surface Exploration) for the Various Flood Control Projects in Valenzu</t>
  </si>
  <si>
    <t>Supply and Delivery of Tricycle Plate Stickers</t>
  </si>
  <si>
    <t>Repair/ Rehabilitation of Classroom Damaged by Typhoon Ursula under Quick Response Fund (QRF) CY 2020 Batch 1 Lot 18 at Botongon ES and Estancia CES, Estancia, Iloilo</t>
  </si>
  <si>
    <t>PROPOSED REPAIR, MAINTENANCE , REHABILITATION OF LINE CANAL AT BRGY. III-C, SAN PABLO CITY</t>
  </si>
  <si>
    <t>Proposed Installation of 10 Passenger Elevator at LCA Building, Brgy. Tagapo</t>
  </si>
  <si>
    <t>PURCHASE OF RICE DURING STATE OF PUBLIC HEALTH EMERGENCY (COVID-19)</t>
  </si>
  <si>
    <t>Repair/ Rehabilitation of Classroom Damaged by Typhoon Ursula under Quick Response Fund (QRF) CY 2020 Batch 1 Lot 17 at Taloto-an Es, Concepcion, Iloilo, Amayong PS, Madanlog Es, Malunoy ES, San Dioni</t>
  </si>
  <si>
    <t>Repair/ Rehabilitation of Classroom Damaged by Typhoon Ursula under Quick Response Fund (QRF) CY 2020 Batch 1 Lot 20 at Granada NHS - Ballesteros Campus, Carles, Iloilo.</t>
  </si>
  <si>
    <t>Repair/ Rehabilitation of Classroom Damaged by Typhoon Ursula under Quick Response Fund (QRF) CY 2020 Batch 1 Lot 16 at Bayas ES, Longuingot ES, and Bayas NHS, Estancia, Iloilo.</t>
  </si>
  <si>
    <t>Repair/ Rehabilitation of Classroom Damaged by Typhoon Ursula under Quick Response Fund (QRF) CY 2020 Batch 1 Lot 19 at San Roque Es and Tanza ES, Estancia, Iloilo. B</t>
  </si>
  <si>
    <t>Procurement of External Hard Disk</t>
  </si>
  <si>
    <t>Repair/ Rehabilitation of Classroom Damaged by Typhoon Ursula under Quick Response Fund (QRF) CY 2020 Batch 1 Lot 22 at Don Casimero Andrada NHS, Carles, Iloilo and Estancia NHS, Estancia, Iloilo.</t>
  </si>
  <si>
    <t>CID No. 19CSOD27- Procurement for the Conduct of Preliminary Detailed Engineering (PDE) Activities for Soil Testing (Soil and Sub-Surface Exploration) for the Various Flood Control Projects in Valenzu</t>
  </si>
  <si>
    <t>Repair/ Rehabilitation of Classroom Damaged by Typhoon Ursula under Quick Response Fund (QRF) CY 2020 Batch 1 Lot 23 at Tinigban IS, Toong ES, and Batuan IS, Carles, Iloilo. B</t>
  </si>
  <si>
    <t>CID No. 19CSOD29- Procurement for the Conduct of Preliminary Detailed Engineering (PDE) Activities for Soil Testing (Soil and Sub-Surface Exploration) for the Various Flood Control Projects in Valenzu</t>
  </si>
  <si>
    <t>Repair/ Rehabilitation of Classroom Damaged by Typhoon Ursula under Quick Response Fund (QRF) CY 2020 Batch 1 Lot 21 at Binuluangan IS, Carles, Iloilo.</t>
  </si>
  <si>
    <t>Request for Quotation for Smartphone</t>
  </si>
  <si>
    <t>Procurement of Medical, Dental &amp; Laboratory Supplies</t>
  </si>
  <si>
    <t>CID No. 19CSOD30- Procurement for the Conduct of Preliminary Detailed Engineering (PDE) Activities for Soil Testing (Soil and Sub-Surface Exploration) for the Various Flood Control Projects in Valenzu</t>
  </si>
  <si>
    <t>REPAIR AND MAINTENANCE OF COMPUTER LABORATORY BUILDING</t>
  </si>
  <si>
    <t>PROVISION OF CUBICLES FOR BIDS AND AWARDS COMMITTEE (BAC) AND OTHER OFFICES IN THE SCHOOLS DIVISION OFFICE BUILDING</t>
  </si>
  <si>
    <t>Other General Services</t>
  </si>
  <si>
    <t>Hauling of New and Old Concrete Pole, Excavation and Erection of New Concrete Pole, and Uprooting of Old Concrete Pole, 50 ft.</t>
  </si>
  <si>
    <t>Request for Quotation for Information Technology Items  (Anti Virus and MS Office)</t>
  </si>
  <si>
    <t>CID No. 19CSOD31- Procurement for the Conduct of Preliminary Detailed Engineering (PDE) Activities for Soil Testing (Soil and Sub-Surface Exploration) for the Various Flood Control Projects in Calooca</t>
  </si>
  <si>
    <t>CLEAR GLASS</t>
  </si>
  <si>
    <t>Purchase Tanod Uniform &amp; Supplies</t>
  </si>
  <si>
    <t>Request for Quotation for Laptop</t>
  </si>
  <si>
    <t>Purchase of Desktop Computer &amp; Other Supplies</t>
  </si>
  <si>
    <t>Office Equipment and Accessories</t>
  </si>
  <si>
    <t>Request for Quotation for CCTV System</t>
  </si>
  <si>
    <t>CID No. 19CSOD33- Procurement for the Conduct of Preliminary Detailed Engineering (PDE) Activities for Soil Testing (Soil and Sub-Surface Exploration) for the Various Flood Control Projects in Calooca</t>
  </si>
  <si>
    <t>Purchase of Aircon w/Installation</t>
  </si>
  <si>
    <t>C-2020-01: ENGAGEMENT OF AN ADVERTSING /DESIGN AGENCY FOR THE DESIGN, CONTENT DEVELOPMENT, PRINTING AND DELIVERY OF THE 2019 ANNUAL REPORT OF THE DEVELOPMENT BANK OF THE PHILIPPINES (DBP)</t>
  </si>
  <si>
    <t>Supply of 712 box Powdered Milk drink for pregnant</t>
  </si>
  <si>
    <t>CID No. 19CSOD32- Procurement for the Conduct of Preliminary Detailed Engineering (PDE) Activities for Soil Testing (Soil and Sub-Surface Exploration) for the Various Flood Control Projects in Calooca</t>
  </si>
  <si>
    <t>Installation of Blinds (vanishing)</t>
  </si>
  <si>
    <t>PROCUREMENT OF OTHER SUPPLIES</t>
  </si>
  <si>
    <t>CYCLONE WIRE</t>
  </si>
  <si>
    <t>YERO</t>
  </si>
  <si>
    <t>VLMC-M-20-0906-010146</t>
  </si>
  <si>
    <t>REHABILITATION OF LEVEL II WATER SYSTEM OF BARANGAY ANONANG WITH PROVISION FOR LEVEL III BURAUEN, LEYTE (RE-BIDDING)</t>
  </si>
  <si>
    <t>PROCUREMENT OF ONE (1) UNIT MULTI-CAB FOR ENGINEERING OFFICE LGU- BURAUEN, LEYTE</t>
  </si>
  <si>
    <t>Supply and Delivery of Materials and Labor for the Improvement/Rehabilitation of Public Market</t>
  </si>
  <si>
    <t>Cluster I: A. IMPROVEMENT OF ROAD AT WOODSGATE NEAR MBCA SCHOOL AT WOODSGATE CAMP 7 BARANGAY BAGUIO CITY; B. IMPROVEMENT OF DRAINAGE CANAL NEAR BANTASAN RESIDENCE AT WOODSGATE CAMP 7 BARANGAY BAGUIO C</t>
  </si>
  <si>
    <t>PROCUREMENT OF MEDICINES AND SUPPLY FOR RURAL HEALTH UNIT BURAUEN, LEYTE</t>
  </si>
  <si>
    <t>PURCHASE OF DISINFECTANT AND RELATED SUPPLIES NECESSARY IN THE IMPLEMENTATION OF ACTIVITIES FOR THE CONTROL OF AFRICAN SWINE FEVER</t>
  </si>
  <si>
    <t>SCHOOL SUPPLIES</t>
  </si>
  <si>
    <t>20GFE0011 – SUPPLY OF MATERIALS FOR EROSION CONTROL, TRAFFIC SERVICES, PAVEMENT, PAVEMENT AND BRIDGE MAINTENANCE ALONG NATIONAL ROADS – 2ND QUARTER</t>
  </si>
  <si>
    <t>Printing &amp; binding supplies &amp; materials</t>
  </si>
  <si>
    <t>HO-GRF20-001 - Split Type Metal Enclosure (STME) and Other Accessories Needed for the Reinforcement of the Buckle Anomaly and Damaged Flange Connection of Ilijan Natural Gas Pipeline</t>
  </si>
  <si>
    <t>NET BOOK</t>
  </si>
  <si>
    <t>Supply of 1 unit Plastic Shredder Machine</t>
  </si>
  <si>
    <t>Supply and Delivery of Office Equipment (Lot 1), ICT Equipment (Lot 2), Furnitures and Fixtures (Lot 3) and MOOE (Lot 4) for use of Provincial Engineer's Office (PEO), Iba</t>
  </si>
  <si>
    <t>Supply and Delivery of Materials and Labor for the Construction/Improvement/ Rehabilitation of Local Access Road in Brgy. Duhat</t>
  </si>
  <si>
    <t>PROVISION OF NEW ELECTRICAL INSTALLATION AT BISLIG AIRPORT PTB</t>
  </si>
  <si>
    <t>Motor Vehicle spare parts</t>
  </si>
  <si>
    <t>CG-OS-20-2905-70075</t>
  </si>
  <si>
    <t>PURCHASE OF OFFICE SUPPLIES FOR PRINTING OF LEARNING MATERIALS</t>
  </si>
  <si>
    <t>MG-A5M20-101 ( ELECTRODE, CAST IRON )</t>
  </si>
  <si>
    <t>20GEE0021-Supply and Delivery of Kyocera Toner TK-8349 for the use of Planning &amp; Design Section, Roxas, Palawan</t>
  </si>
  <si>
    <t>S1-B1420-001 (PB2) - Furnishing Labor and Materials for Dry Docking and Ship Repair of PB 114</t>
  </si>
  <si>
    <t>MG-A5M20-056  ( DIESEL, FUEL )</t>
  </si>
  <si>
    <t>installation of street lights</t>
  </si>
  <si>
    <t>Various supplies &amp; materials for uniform</t>
  </si>
  <si>
    <t>Cluster II: A.  IMPROVEMENT OF DRAINAGE AT PARISAS CAMP 7 BARANGAY BAGUIO CITY: B. ROAD IMPROVEMENT NEAR CLARITO CORPUZ RESIDENCE CAMP 7 BARANGAY BAGUIO CITY</t>
  </si>
  <si>
    <t>Rehabilitation of Public Market at Brgy. Poblacion, President Roxas, Cotabato (Re-Published)</t>
  </si>
  <si>
    <t>Repair and Rehabilitation of Classrooms in Various School Sites in the Division of Quezon</t>
  </si>
  <si>
    <t>CG-OS-20-2905-70076</t>
  </si>
  <si>
    <t>20GEE0022-Supply and Delivery of Inventory Common Supplies for the use of Planning &amp; Design Section, Roxas, Palawan</t>
  </si>
  <si>
    <t>CG-OS-20-2905-70077</t>
  </si>
  <si>
    <t>Supplies &amp; materials for Urban greening</t>
  </si>
  <si>
    <t>Repair and Rehabilitation of HR Room</t>
  </si>
  <si>
    <t>Contract ID No.	: 20CSOB0011 Name of Project	: Sub-Surface Soil Exploration for the: a) Construction of Multi-Purpose Building at Brgy. Mabini J. Rizal; b) Construction of Multi-Purpose Building at Br</t>
  </si>
  <si>
    <t>Completion of Multi-Purpose Building located at Palibu, Novele, Rosario, Agusan del Sur</t>
  </si>
  <si>
    <t>MG-A5A20-003  ( PRINTER SCANNER AND DEVELOPER, COLOR, HIGH SPEED MAXIMUM OF PAPER )</t>
  </si>
  <si>
    <t>RFQ2020-05-026_SUPPLY AND DELIVERY OF VARIOUS WATER SERVICE CONNECTION MATERIALS FOR REPAIR/MAINTENANCE OF DISTRIBUTION LINES_2nd PUBLICATION</t>
  </si>
  <si>
    <t>IMPROVEMENT OF ROAD WITH DRAINAGE CANAL NEAR MRS. MASING TO LACAP RESIDENCE CAMP 7 BARANGAY BAGUIO CITY</t>
  </si>
  <si>
    <t>Cluster III: A. REHABILITATION AND IMPROVEMENT OF ERODED RIPRAP NEAR NORMAN BINAYAN RESIDENCE AT PIAS CAMP 7 BARANGAY BAGUIO CITY; B. CONTINUATION OF DRAINAGE CANAL AT AMISTAD CAMP 7 BARANGAY BAGUIO C</t>
  </si>
  <si>
    <t>Rehabilitation of Multi-purpose Hall</t>
  </si>
  <si>
    <t>Supply &amp; Delivery of Drugs, Medicines and Laboratory Supplies</t>
  </si>
  <si>
    <t>Supply and Delivery of Furniture and Fixture</t>
  </si>
  <si>
    <t>Digital Duplicator for Mass Reproduction</t>
  </si>
  <si>
    <t>Purchase of Materials in the Installation of grills for the New Building (R&amp;M-SCHOOL BUILDINGS)"</t>
  </si>
  <si>
    <t>PIKCO-002020-011 (CONSTRUCTION OF GSO OFFICE BUILDING- PHASE III)</t>
  </si>
  <si>
    <t>SUPPLY &amp; INSTALLATION OF CCTV CAMERA FOR PUBLIC MARKET, DIST 9, BURAUEN BUS TERMINAL, DISTRICT II, STO NIÑO ST, COR. STA ANA, BURAUEN SPORT COMPLEX BURAUEN, LEYTE</t>
  </si>
  <si>
    <t>CG-OS-20-2905-70078</t>
  </si>
  <si>
    <t>Construction/Opening of Junction Balono Road Bayugan 3 - Sitio Narra Junction Wasian, RADS (Phase II)</t>
  </si>
  <si>
    <t>Purchase of 143 boxes of Sodium Ascorbate 500mg.</t>
  </si>
  <si>
    <t>City Project</t>
  </si>
  <si>
    <t>Construction of Material Recovery Facility &amp; Vermi Compost Box</t>
  </si>
  <si>
    <t>Design, Layout and Setup of Audio/Video production Floor Inclusive of Customized Studio Set/Editing Space and Lighting Setup</t>
  </si>
  <si>
    <t>Contract ID No.	: 20CSOB0012 Name of Project	: Sub-Surface Soil Exploration for the Construction of Multi-Purpose Building at Sunny Ville 2, Gen. Ordoñez, Marikina City</t>
  </si>
  <si>
    <t>Contract ID No.	: 20CSOB0014 Name of Project	: Sub-Surface Soil Exploration for the Bank Improvement at Brgy. Aguho (Phase VI &amp; VII), Pateros, Metro Manila</t>
  </si>
  <si>
    <t>PURCHASE OF IN-ORGANIC FERTILIZER FOR RICE ENHANCEMENT PROGRAM (NEGOTIATED PROCUREMENT)</t>
  </si>
  <si>
    <t>2020-144-I PROCUREMENT AND DELIVERY OF 901 BAGS OF GM HYBRID YELLOW CORN SEEDS @ 9KG/ BAG</t>
  </si>
  <si>
    <t>Contract ID No.	: 20CSOB0013 Name of Project	: Sub-Surface Soil Exploration for the: a) Construction of Southern Police District Crime Laboratory Building; b) Construction of Multi-Purpose Building at</t>
  </si>
  <si>
    <t>Materials for the rehabilitation of Foot walk &amp; pathways to the new building</t>
  </si>
  <si>
    <t>Contract ID No.	: 20CSOB0017 Name of Project	: Sub-Surface Soil Exploration for the: Construction of Connecting Road from Cayetano Boulevard via Ruhale Road, Brgy. Ususan to Brgy. Calzada Tipas, Tagui</t>
  </si>
  <si>
    <t>CG-OS-20-2905-70074</t>
  </si>
  <si>
    <t>Contract ID No.	: 20CSOB0016 Name of Project	: Sub-Surface Soil Exploration for the Bank Improvement/ Protection along Pateros River, Brgy. Martirez (Phase XI &amp; XII) Pateros, Metro Manila</t>
  </si>
  <si>
    <t>PIKCOT-002020-012 (CONSTRUCTION OF MINI VETERINARY CLINIC)</t>
  </si>
  <si>
    <t>Provision of Office Equipment intended for students’ documents</t>
  </si>
  <si>
    <t>Contract ID No.	: 20CSOB0015 Name of Project	: Sub-Surface Soil Exploration for the Bank Improvement/ Protection along Pateros River, Brgy. Aguho (Phase VIII &amp; IX) and Brgy. Martirez (Phase IX &amp; X) bo</t>
  </si>
  <si>
    <t>Supply &amp; Delivery of White Bookpaper_July 7, 2020</t>
  </si>
  <si>
    <t>PBD 20-061A DRYDOCKING AND HULL SERVICES</t>
  </si>
  <si>
    <t>PURCHASE OF CLEANING SUPPLIES and MATERIALS</t>
  </si>
  <si>
    <t>VLMC-M-20-2605-010117</t>
  </si>
  <si>
    <t>DSC-M-20-0704-150006</t>
  </si>
  <si>
    <t>Contract ID No.	: 20CSOB0018 Name of Project	: Sub-Surface Soil Exploration for the: a) Construction of 9th Post Engineer Detachment Building with Motorpool Fort Andres Bonifacio &amp; Construction of Mil</t>
  </si>
  <si>
    <t>REHABILITATION OF ROADS</t>
  </si>
  <si>
    <t>Improvement of Multi-Purpose Hall / Construction of Day Care Center at Brgy. San Teodoro, Bauan, Batangas</t>
  </si>
  <si>
    <t>Contract ID No.	: 20CSOB0026 Name of Project	: Sub-Surface Soil Exploration for the Construction of Multi-Purpose Building &amp; Site Development, Brgy. Central Bicutan, Taguig City</t>
  </si>
  <si>
    <t>Contract ID No.	: 20CSOB0025 Name of Project	: Sub-Surface Soil Exploration for the Construction of New Brgy. Hall, Brgy. Pinagsama, Taguig City</t>
  </si>
  <si>
    <t>VLMC-M-20-2605-010119</t>
  </si>
  <si>
    <t>VLMC-M-20-2605-010121</t>
  </si>
  <si>
    <t>Procurement of Tractor Implement (Disc Harrow), Spare Parts and Accessories</t>
  </si>
  <si>
    <t>Maintenance and Other Operating Expenses(MOOE) Supplies and Materials of MANUTO ES, QUEZON I DISTRICT</t>
  </si>
  <si>
    <t>20-DO-0083: Repair/Maintenance of Flood Control &amp; Drainage Structures along Manila East Road, Halayhayin Bridge, Pililla, Rizal</t>
  </si>
  <si>
    <t>20HI0072 - Construction of Multi-Purpose Building/Brgy. Hall, Brgy. Villahermosa, Tudela, Cebu</t>
  </si>
  <si>
    <t>20HI0075 - Construction of Multi-Purpose Building, Brgy. Jubay, Liloan, Cebu</t>
  </si>
  <si>
    <t>SUPPLY AND DELIVERY OF SUBMERSIBLE MOTOR 7.5HP</t>
  </si>
  <si>
    <t>2-WAY RADIO</t>
  </si>
  <si>
    <t>20HI0071 - Construction of Multi-Purpose Building (Multi-purpose Building) at Brgy. Jubay, Liloan, Cebu</t>
  </si>
  <si>
    <t>Provision Of Office Supplies for INSET MAY 2020</t>
  </si>
  <si>
    <t>VLMC-MS-20-2905-10156</t>
  </si>
  <si>
    <t>PIKCOT-002020-013 (CONSTRUCTION OF MUNICIPAL NURSERY)</t>
  </si>
  <si>
    <t>VLMC-MS-20-2905-10155</t>
  </si>
  <si>
    <t>Purchase of Industrial Wall Fan</t>
  </si>
  <si>
    <t>ITB - CONSTRUCTION OF WATER SYSTEM (Procurement of Water Materials Pipes &amp; Fittings)</t>
  </si>
  <si>
    <t>Consulting Services for the Detailed Architectural And Engineering Design for the Proposed Construction of the Multi-Purpose Building (Barangay Hall and Fire and Rescue Brigade Headquarters) for Baran</t>
  </si>
  <si>
    <t>20HI0080 - Construction and/or Repair/Rehabilitation of Multi-Purpose Building, Brgy. Yati, Liloan, Cebu</t>
  </si>
  <si>
    <t>Contract ID No.: 20OB0237 Contract Name: Construction of 9-Classroom School Building at Senate President Neptali A. Gonzales Integrated School, Brgy. Mauway, Mandaluyong City, Metro Manila</t>
  </si>
  <si>
    <t>Other Supply and Materials;  Tools and Equipment for DomRAC Students</t>
  </si>
  <si>
    <t>Contract ID No.: 20OB0082 Contract Name: Rehabilitation of Multi-Purpose Building, Mandaluyong Justice Hall, Mandaluyong City</t>
  </si>
  <si>
    <t>Improvement and Istallation of 2 pcs Culvert Purok 3</t>
  </si>
  <si>
    <t>PROCUREMENT AND DELIVERY OF SEMI-EXPENDABLE SUPPLIES AND EQUIPMENT</t>
  </si>
  <si>
    <t>Various Consumables for Drinking Fountain</t>
  </si>
  <si>
    <t>VLMC-M-20-2905-010144</t>
  </si>
  <si>
    <t>PIKCOT-002020-015(SUPPLY AND DELIVERY OF NET)</t>
  </si>
  <si>
    <t>RFPQ - PROCUREMENT OF WATER MATERIALS PIPES &amp; FITTINGS FOR CONST OF WATER SYSTEM</t>
  </si>
  <si>
    <t>SUPPLY AND DELIVERY OF VARIOUS WATER CONNECTION MATERIALS</t>
  </si>
  <si>
    <t>PIKCOT-002020-014 (SUPPLY AND DELIVERY OF MUSCOVY DUCK)</t>
  </si>
  <si>
    <t>2020-145-I PROCUREMENT AND DELIVERY OF  834 BAGS OF GM HYBRID YELLOW CORN SEEDS FOR HIGH ELEVATION  CORN AREAS @ 9KG/ BAG</t>
  </si>
  <si>
    <t>Contract ID No.: 20OB0044 Contract Name: Construction of Multi-Purpose Building including Site Development of Mandaluyong City Jail at Barangay Plainview, Mandaluyong City</t>
  </si>
  <si>
    <t>VLMC-M-20-2905-010143</t>
  </si>
  <si>
    <t>Contract ID No.: 20OB0278 Contract Name: Construction of Multi-Purpose Building at Barangay Vergara, Mandaluyong City</t>
  </si>
  <si>
    <t>Completion of Motorpool- Bulanao Campus</t>
  </si>
  <si>
    <t>SUPPLY AND DELIVERY OF VARIOUS G.I. FITTINGS</t>
  </si>
  <si>
    <t>Contract ID No.: 20OB0292 Contract Name: Rehabilitation of Multi-Purpose Building at Filemon Javier Elementary School, Mandaluyong City</t>
  </si>
  <si>
    <t>Office Supplies for Senior High  office use</t>
  </si>
  <si>
    <t>SUPPLY AND DELIVERY OF VARIOUS CI FITTINGS AND uPVC BEND</t>
  </si>
  <si>
    <t>Procurement of Medicines &amp; Medical Supplies-2nd Quarter (GAD Fund)</t>
  </si>
  <si>
    <t>Contract ID No.	: 20CSOB0027 Name of Project	: Sub-Surface Soil Exploration for the Construction of Multi-Purpose Building &amp; Site Development, Brgy. Maharlika, Taguig City</t>
  </si>
  <si>
    <t>Repair, improvement, of Students' comfort room &amp; hand washing.</t>
  </si>
  <si>
    <t>Construction of CVO Outpost Phase II</t>
  </si>
  <si>
    <t>Purchase of food packs</t>
  </si>
  <si>
    <t>Procurement of Office, Computer and Maintenance Supplies</t>
  </si>
  <si>
    <t>PROCUREMENT OF PRINTER AND INK FOR DIFFERENT SCHOOLS</t>
  </si>
  <si>
    <t>Proposed installation of 12 units integrated solar streetlights at Barangay San Diego</t>
  </si>
  <si>
    <t>VLMC-M-20-2905-010138</t>
  </si>
  <si>
    <t>VLMC-M-20-2905-010141</t>
  </si>
  <si>
    <t>VLMC-M-20-2905-010139</t>
  </si>
  <si>
    <t>SUPPLY OF LABOR AND MATERIALS FOR THE ESTABLISHMENT MULTI-PURPOSE R&amp;D BUILDING LOCATED AT CLIARCUD MAGALANG, PAMPANGA FOR THE YEAR 2020(REBID)</t>
  </si>
  <si>
    <t>VLMC-M-20-2905-010142</t>
  </si>
  <si>
    <t>Contract ID No.: 20OB0288 Contract Name: Rehabilitation of Multi-Purpose Building (Covered Court), Brgy. Ilaya, Mandaluyong City</t>
  </si>
  <si>
    <t>Repair, improvement, re-laying of pipe, replacement of faucet, gate valve, ball valve  &amp; check valve on the whole campus. Repair of the motor pump, and install new pressure tank w/fittings.</t>
  </si>
  <si>
    <t>Various Lights and Lighting Fixtures</t>
  </si>
  <si>
    <t>Procurement of FY 2020 2nd Quarter Common-Use Supplies</t>
  </si>
  <si>
    <t>Contract ID No.: 20OB0297 Contract Name: Rehabilitation of Multi-Purpose Building at Mandaluyong Elementary School, Mandaluyong City</t>
  </si>
  <si>
    <t>Fabrication and installation of Six (6) Trash Trap  along San Cristobal River, San Juan River, Cabuyao River and Binan River in the Province of Laguna</t>
  </si>
  <si>
    <t>RE-BID FOR THE PURCHASE OF SERVICE BUS FOR OFFICIAL TRANSACTIONS OF THE COLLEGE</t>
  </si>
  <si>
    <t>VLMC-M-20-2905-010137</t>
  </si>
  <si>
    <t>Procurement of Risograph Ink and Maintenance Supplies</t>
  </si>
  <si>
    <t>Supply and Delivery of Medical UV Lights and Air Purifier</t>
  </si>
  <si>
    <t>Procurement of Ink for Printers</t>
  </si>
  <si>
    <t>One (1) Lot Preventive Maintenance of Integrated Electronic Security System for BSP Head Office 2020, as per BSP Terms of Reference and Service Level Agreement</t>
  </si>
  <si>
    <t>RFQ-Supply and Delivery of Anti-Psychotic Medicines</t>
  </si>
  <si>
    <t>Contract ID No.: 20OB0409 Contract Name: Rehabilitation of Road Network including Laterals, 2nd District,   Marikina City</t>
  </si>
  <si>
    <t>Procurement of Medicines &amp; Medical Supplies-2nd Quarter (General Fund)</t>
  </si>
  <si>
    <t>Contract ID No.: 20OB0432 Contract Name: Repair and Maintenance of National Government Owned Building at Commission on Population, Mandaluyong City</t>
  </si>
  <si>
    <t>Improvement of Visitor’s Center- (Ogod)</t>
  </si>
  <si>
    <t>2nd Public Bidding for the Procurement of Consulting Services for the Review and Updating of the Study on the Fluctuation Factors (K) and Parametric Formula under the Revised Contract Price Escalation</t>
  </si>
  <si>
    <t>Improvement of New Public Building</t>
  </si>
  <si>
    <t>Improvement of Tourism Building (Governor’s Guest House)</t>
  </si>
  <si>
    <t>Procurement of Hardware and Industrial Supplies</t>
  </si>
  <si>
    <t>Construction of Perimeter Fence</t>
  </si>
  <si>
    <t>Opening of Barangay Access Road (Revised)</t>
  </si>
  <si>
    <t>Procurement of Acetylcisteine</t>
  </si>
  <si>
    <t>PROCUREMENT OF CONSULTING SERVICES TO STRENGTHEN PUBLIC RELATIONS AND MEDIA VISIBILITY OF DOH HEALTH EVENTS REI NO. 2020-013</t>
  </si>
  <si>
    <t>Procurement of Blood Typing Sera</t>
  </si>
  <si>
    <t>SUPPLY AND DELIVERY OF PIPES AND FITTINGS FOR LGU RUN WATER SYSTEM</t>
  </si>
  <si>
    <t>Papsmear</t>
  </si>
  <si>
    <t>PURCHASE OF GRASS CUTTER</t>
  </si>
  <si>
    <t>PROCUREMENT FOR THE EXPANSION OF EXISTING SOLID STATE DRIVE (SSD) IB NO. 2020-222</t>
  </si>
  <si>
    <t>Bale Angeleno</t>
  </si>
  <si>
    <t>One (1) lot Procurement of Supply and Delivery of Fifty-One (51) units of Desktop PC intended for DOBS (Front-end) for LANDBANK (Laguna, Quezon and Marinduque Branches)</t>
  </si>
  <si>
    <t>Procurement of Amikacn</t>
  </si>
  <si>
    <t>Regional Office Employees protection against Covid-19</t>
  </si>
  <si>
    <t>Establishment of 1,000 cu.m. Gabions</t>
  </si>
  <si>
    <t>Supply &amp; Delivery of Supplies for Reproduction of Learners' Materials/Modules at Buenavista NHS Senior HS</t>
  </si>
  <si>
    <t>PROCUREMENT OF BOND PAPER FOR DIFFERENT SCHOOLS</t>
  </si>
  <si>
    <t>Purchase and delivery of IT Equipments</t>
  </si>
  <si>
    <t>SUPPLIES ,IT EQUIPTMENT AND MATERIALS</t>
  </si>
  <si>
    <t>Flu vaccine + Medical examination</t>
  </si>
  <si>
    <t>20CSA002: CONSULTANCY SERVICES FOR THE CONDUCT OF FEASIBILITY STUDY OF PROPOSED CONSTRUCTION OF MISSING LINKS AND NEW ROADS NAGUILIAN-BAGULIN (LA UNION) - KAPANGAN (BENGUET) ROAD (REGION I)</t>
  </si>
  <si>
    <t>RRMF &amp; MOOE</t>
  </si>
  <si>
    <t>Construction Extension of Street Lights</t>
  </si>
  <si>
    <t>ELECTRIFICATION PROJECTS-20% EDF 2019</t>
  </si>
  <si>
    <t>VLMC-M-20-2905-010140</t>
  </si>
  <si>
    <t>SMART TV 65"</t>
  </si>
  <si>
    <t>AGR-20-0339-B Purchase of Furniture and Fixtures</t>
  </si>
  <si>
    <t>Various Infrastructure Projects</t>
  </si>
  <si>
    <t>ROAD OPENING AT PUROK 5 TO SITIO SICUPET, CATUNGI, BOLINAO, PANGASINAN</t>
  </si>
  <si>
    <t>AGR-20-0349-B Purchase of Agricultural Seeds and Materials</t>
  </si>
  <si>
    <t>AGR-20-0610-B Purchase of Janitorial Supplies</t>
  </si>
  <si>
    <t>AGR-20-0581-B Purchase of Agricultural Seeds and Supplies</t>
  </si>
  <si>
    <t>PEN-20-0312-B OFFICE SUPPLIES</t>
  </si>
  <si>
    <t>Procurement of 1 Unit Ambulance to provide immediate, reliable and efficient Emergency medical response to calls for urgent ambulance service</t>
  </si>
  <si>
    <t>Construction of Purok Stage</t>
  </si>
  <si>
    <t>Procurement of Medical Equipment for the official use of the Gov. Roque B. Ablan Sr. Memorial Hospital</t>
  </si>
  <si>
    <t>Supply and Delivery of 6 Units UPS 650VA &amp; Other Items; PR No. 20-1263 dated May 6, 2020</t>
  </si>
  <si>
    <t>Supply and Delivery of 4,000 Pcs. Coffee Seedlings &amp; Other Items; PR No. 20-1268 dated April 24, 2020</t>
  </si>
  <si>
    <t>Supply and Delivery of 37 Pack Eye Drape &amp; Other Items; PR No. 20-0946 dated March 30, 2020</t>
  </si>
  <si>
    <t>Purchase of Various Medical Equipment</t>
  </si>
  <si>
    <t>Supply and Delivery of 150 Pcs. Gemelina 2x2x8 &amp; Other Items; PR No. 20-1108 dated April 8, 2020</t>
  </si>
  <si>
    <t>DVD-R</t>
  </si>
  <si>
    <t>PEN-20-0130-B Office Supplies</t>
  </si>
  <si>
    <t>Improvement/Repair of Roads (Provision of 34 Ln.M. Concrete Barrier Protection of Roads near Roro Port</t>
  </si>
  <si>
    <t>PEN-20-0488-NP(SV) Delivery Receipt Printing</t>
  </si>
  <si>
    <t>20GSDG0011: Furnishing and Delivery of various Materials for the Repainting of Pavement Markings along Tanza-Trece Martirez City-Indang Road, K0052+000 – K0055+000 with exceptions; K0057+200 – K0057+5</t>
  </si>
  <si>
    <t>20GPC0018 RE-INVITATION PROCUREMENT OF HEAVY EQUIPMENT &amp; TRUCK ( 1 PAYLOADER &amp; 1 DUMP TRUCK)</t>
  </si>
  <si>
    <t>S &amp; D of Const. Mat. - Construction of Multi-Purpose Facility (Kaychanarianan) (PEO)</t>
  </si>
  <si>
    <t>20GSDG0013: Furnishing and Delivery of various Materials for the Repainting of Pavement Markings along Juanito R. Remulla Sr. Road (SO5892LZ), K0054+843 – K0057+159 with exceptions; Juanito R. Remulla</t>
  </si>
  <si>
    <t>Purchase of Spare Parts for Vehicles for MMO</t>
  </si>
  <si>
    <t>20GSDG0012: Furnishing and Delivery of 120 m.t. Hot Mix Asphalt and 5 Drums of SS-1 for use in the Repair and Maintenance of Concrete and Asphalt  Pavement along Noveleta-Naic-Tagaytay Road, K0063+4</t>
  </si>
  <si>
    <t>20GSDG0014: Furnishing and Delivery of 120 m.t. Hot Asphalt Mix and 5 Drums of SS-1 for use in the Repair and Maintenance of Concrete and Asphalt Pavement along Tagaytay-Manila via Silang Road, K0054+</t>
  </si>
  <si>
    <t>Purchasing of Collapsible Tent Covers</t>
  </si>
  <si>
    <t>Office Supplies and Devices/Other Supplies for use of PGOM Office Supplies 3rd Quarter Based on the  Consolidated Annual Procurement Plan for the year 2020</t>
  </si>
  <si>
    <t>AGR-20-0594-B Purchase of Construction Supplies and Materials</t>
  </si>
  <si>
    <t>AGR-20-0477-B Purchase of Office Equipment</t>
  </si>
  <si>
    <t>Purchase of Supplies, Commodities, Meals &amp; Snacks for CLUP Updating</t>
  </si>
  <si>
    <t>One (1) lot Supply of Labor, Tools, Materials, Chemicals and Equipment for the Two (2) Years Preventive Maintenance of Air Conditioning Units (ACUs) and Components at LANDBANK Quezon Branches</t>
  </si>
  <si>
    <t>S &amp; D of Const. Mat. - Replacement and Installation of Street Lights (PEO)</t>
  </si>
  <si>
    <t>One (1) lot Supply of Labor, Tools, Materials, Chemicals and Equipment for the Two (2) Years Preventive Maintenance of Air Conditioning Units (ACUs) and Components at LANDBANK Laguna Branches</t>
  </si>
  <si>
    <t>S &amp; D of Const. Mat. - Const. of Concrete Storage House w/ Solar Lighting and Rain Collector Tank at Pasto Vatu, Itbayat (P. Agri.)</t>
  </si>
  <si>
    <t>S &amp; D of Vegetable Seeds (P. Agri.)</t>
  </si>
  <si>
    <t>CONSTRUCTION OF FLOOD CONTROL -DARDARAT, SAN  JUAN, ILOCOS SUR</t>
  </si>
  <si>
    <t>S &amp; D of Const. Mat. - Improvement of Dipsupuan FMR (PEO)</t>
  </si>
  <si>
    <t>S &amp; D of Motorcycle and Side Car (PEO)</t>
  </si>
  <si>
    <t>Invitation to Bid for Local Access Road, Concreting of C.M. Recto, C. Cajumban St., C. Mila., and A. Caguin Sr. St. Barangay Ermita and Quinale</t>
  </si>
  <si>
    <t>S &amp; D of Construction Materials - Construction of Access Road/Foot Path with Drainage Canal at Babat-Tunga (PEO)</t>
  </si>
  <si>
    <t>SUBM#2020 -06 - 11 -To purchase tools and safety devices for use in the repair and maintenance of National Roads and Bridges within the 5th Congressional District, Binalbagan, Negros Occidental.</t>
  </si>
  <si>
    <t>S &amp; D of Tires with Tube (PEO)</t>
  </si>
  <si>
    <t>4"x4"x 10' Coco Lumber (12 pcs)</t>
  </si>
  <si>
    <t>S &amp; D of Const. Mat. - Development and Maintenance of Farm Tourism Sites (P. Agri.)</t>
  </si>
  <si>
    <t>Invitation to Bid for Improvement of Drainage Canal at San Rafael St., Kapt Aguinaldo St., &amp; E. Cagayan St., Barangay 1 Ibaba Del Sur Paete, Laguna</t>
  </si>
  <si>
    <t>S &amp; D of Multi-Purpose Crusher-Grinder-Cutter-Pulverizer (PDRRMO)</t>
  </si>
  <si>
    <t>Concreting of Farm to Market Road at Brgy. Pong-oy</t>
  </si>
  <si>
    <t>Construction of 2-storey, 10-rooms Ynares School Building Don Jose Ynares Sr. Mem. School, Brgy. San Carlos, Binangonan, Rizal</t>
  </si>
  <si>
    <t>Supply and delivery of Farm Tools Equipment</t>
  </si>
  <si>
    <t>One Job Supply of Materials and  Labor for Improvement of Covered Gym at REV-SAN LORENZO NHS (Construction of Stage Phase I), San Lorenzo withg the following with equipment and technical personnel req</t>
  </si>
  <si>
    <t>Construction/Provision of Wash Facilities (Water, Sanitation &amp; Hygiene) at Bangad Elem. School, Brgy. Bangad, Binangonan, Rizal</t>
  </si>
  <si>
    <t>Construction/Provision of Wash Facilities (Water, Sanitation &amp; Hygiene) at Casimiro A. Ynares Sr. Elem. School, Brgy. Mambog, Binangonan, Rizal</t>
  </si>
  <si>
    <t>Supply and delivery of Materials for Water Sampling and Analysis</t>
  </si>
  <si>
    <t>Improvement of School building, Concreting of Ground &amp; Construction of Gate at Darangan Elem. School, Brgy. Darangan, Binangonan, Rizal</t>
  </si>
  <si>
    <t>Improvement (Provision of Tiles) of School Buildings at San Vicente Elem.School, Brgy. San Vicente, Angono, Rizal</t>
  </si>
  <si>
    <t>Repainting/Improvement of Ynares Multi-Purpose Covered Court &amp; Const. of Comfort Room at Rainbow Village 1, Brgy. Kalayaan, Angono, Rizal</t>
  </si>
  <si>
    <t>Construction of 4-storey, 8-rooms Ynares School Building at Rosario Ocampo Elem.School, Brgy. San Juan, Taytay, Rizal</t>
  </si>
  <si>
    <t>S &amp; D of Construction Materials for the Improvement of Savich-Karwayway Access Road (PEO)</t>
  </si>
  <si>
    <t>Improvement / Construction of Stone Masonry for Slope Protection and Concreting of Creek bed, Brgy. Malakaban, Binangonan, Rizal</t>
  </si>
  <si>
    <t>Improvement/Repair of Ynares Multi-Purpose Covered Court, Brgy. Pilapila, Binangonan, Rizal</t>
  </si>
  <si>
    <t>S &amp; D of Const. Mat. - Improvement of Kalasina-Ahtak Access Road (PEO)</t>
  </si>
  <si>
    <t>Replacement of CHB Wall &amp; Steel Matting Fence at Rotary Day Care Center Southville 9 Phase 1, Brgy. Pinugay, Baras, Rizal</t>
  </si>
  <si>
    <t>Repair/Improvement of Ynares Multi-Purpose Covered Court &amp; Repair of Comfort Room at Brgy. San Jose, Brgy. Dalig &amp; Brgy. Mayamot, Antipolo City; a) Repair/Improvement of Ynares Multi-Purpose Covered C</t>
  </si>
  <si>
    <t>Construction of 2-storey, 8-rooms Ynares School Building at Looc Elem. School, Brgy. Looc, Cardona, Rizal</t>
  </si>
  <si>
    <t>S &amp; D of Const. Mat. - Rehabilitation of Sunget-Pakatayatuan Road Pavement (PEO)</t>
  </si>
  <si>
    <t>Supply &amp; delivery of 500 Pcs. Single Monobloc Chairs; PR No. 20-0901 dated March 26, 2020</t>
  </si>
  <si>
    <t>Supply &amp; delivery of 11 Gallons Engine Oil &amp; other items; PR No. 20-0898 dated April 1, 2020</t>
  </si>
  <si>
    <t>Construction of Perimeter Fence of Rural Health Unit at Southville 9 Phase 2, Brgy. Pinugay, Baras, Rizal</t>
  </si>
  <si>
    <t>Procurement of One (1) Lot Back-up as a Service (BaAs) and Disaster Recovery as a Service (DrAs) Solution</t>
  </si>
  <si>
    <t>Supply and Delivery of Materials for the Establishment of Municipal Demonstration Farm at Poblacion, Patnanungan, Quezon</t>
  </si>
  <si>
    <t>Construction of 2-storey, 6-rooms Ynares School Building at Abuyod Elem. School, Brgy. Dalig, Teresa, Rizal</t>
  </si>
  <si>
    <t>Rehabilitation / Concreting of Bayanihan Street, Brgy. 3rd District, Jalajala, Rizal</t>
  </si>
  <si>
    <t>Rehabilitation / Improvement of Road at Sitio Pinagkitran, Brgy. Boor, Cardona, Rizal</t>
  </si>
  <si>
    <t>Repair of Various Ynares School Building at Tanay National High School, Brgy. Plaza Aldea, Tanay, Rizal</t>
  </si>
  <si>
    <t>Concreting (portion) of Road at Pililla GK Village, Pililla, Rizal</t>
  </si>
  <si>
    <t>Improvement / Concreting of Burbank Street (Area 10 &amp; 11) at Brookside Hills Subd., Brgy. San Isidro, Cainta, Rizal</t>
  </si>
  <si>
    <t>Concreting / Construction of Drainage Canal of Road at Daang Tubo East, Brgy. Guitnang Bayan I, San Mateo, Rizal</t>
  </si>
  <si>
    <t>Installation of Electrical Lighting System of Ynares Multi-Purpose Covered Courts at Brgy. Dalig, Teresa, Rizal; a) 	Installation of Electrical Lighting System of Ynares Multi-Purpose Covered Court at</t>
  </si>
  <si>
    <t>Const. of Ynares Stage at Phase 2 Eastwood Greenview Subd., Brgy. San Isidro, Rodriguez, Rizal</t>
  </si>
  <si>
    <t>ISC-20-0546-B Proposed Toilet Improvement of Iloilo Sports Complex Magsaysay Village, La Paz, Iloilo City</t>
  </si>
  <si>
    <t>Asphalt Overlaying/Concrete Reblocking (portion) of Serafin Reyes St., Brgy. Punta, Jalajala, Rizal</t>
  </si>
  <si>
    <t>CONSTRUCTION OF CONCRETE PAVEMENT ANS ROAD SHOULDERING AT SITIO QUILATOT AND MAGAT SALAMAT ST.</t>
  </si>
  <si>
    <t>Construction of 2-Units Artesian Well, Brgy. Bagumbong, Jalajala, Rizal</t>
  </si>
  <si>
    <t>Purchase of Communication Equipment</t>
  </si>
  <si>
    <t>Supply/Delivery of Materials for the Repair/Replacement Installation of LED Street Lights along the National Highway at  Brgy. Salvacion, San Miguel, Cavite East, Cavite West and Arado, Palo, Leyte</t>
  </si>
  <si>
    <t>20GEE0020-Supply and Delivery of ICT Equipment (CCTV, Biometrics &amp; Network Printer including installation  for use of the District Office), Roxas, Palawan</t>
  </si>
  <si>
    <t>Invitation to Bid for the Contract for Supply and Delivery ot Two (2) Units Brand New Office Vehicles-Rebid</t>
  </si>
  <si>
    <t>Asphalt Overlaying of A. Kalaw St., Sitio Sambungan, Brgy. Bagumbong, Jalajala, Rizal</t>
  </si>
  <si>
    <t>Purchase of Lab. &amp; Medical Supplies for RHU Laboratory 2020</t>
  </si>
  <si>
    <t>Procurement of One (1) Lot Firewall Software Subscription Support</t>
  </si>
  <si>
    <t>Transportation Rental for PPDO-2020-1023</t>
  </si>
  <si>
    <t>DIESEL FUEL</t>
  </si>
  <si>
    <t>Procurement of Various Office Supplies and Devices</t>
  </si>
  <si>
    <t>COO-20-0650-B PURCHASE OF PRINTING AND PUBLICATION MATERIALS</t>
  </si>
  <si>
    <t>Procurement of Full Rebranding Effort for Cebu City Tourism and other items.REBID</t>
  </si>
  <si>
    <t>Supply and delivery of Laboratory Supplies for RHU Laboratory</t>
  </si>
  <si>
    <t>Purchase of Paint for GEBS Brigada skwela for Dep-ed</t>
  </si>
  <si>
    <t>Supply and Delivery of 1 Lot 5 Units Floor Standing Type 3.0 tons Inverter Air Conditioner and 10 units window type aircon.</t>
  </si>
  <si>
    <t>Supply and Delivery of 21 Units 2.5HP Non-Inverter iCool Green with Remote and other various appliances.</t>
  </si>
  <si>
    <t>Procurement of Construction Materials for the Construction of Perimeter Fence, New PNP Bldg.</t>
  </si>
  <si>
    <t>20CSHN05 -Geotechnical/Sub-Surface Soil Investigation at  (1) Jagobiao Creek, Brgy. Nangka, Consolacion, Cebu,  (2) Jagobiao Creek, Brgy. Poblacion Oriental, Consolacion, Cebu &amp; (3) Cordova-RoRo Port,</t>
  </si>
  <si>
    <t>Sound System Equipment for VC2 Activities</t>
  </si>
  <si>
    <t>Procurement of Construction Materials for the Construction of Perimeter Niches, Brgy. Dajay, Surallah</t>
  </si>
  <si>
    <t>Supply &amp; Delivery 100 reams Paper Multicopy &amp; other items; PR No. 20-0589-A dated January 24, 2020</t>
  </si>
  <si>
    <t>20CSHN04 -Geotechnical/Sub-Surface Soil Investigation at (1) Butuanon River, Brgy. Pakna-an, (2) Butuanon River, Brgy. Canduman, (3) Butuanon River, Brgy. Umapad, all in Mandaue City, Cebu</t>
  </si>
  <si>
    <t>20CSHN06 -Geotechnical/Sub-Surface Soil Investigation at  (1) Cansaga River, Brgy. Cansaga, (2) Cansaga River along Garing-Danglag-Polog Road &amp; (3) Cansaga River along Polog-Pulpogan-Cansaga Road, all</t>
  </si>
  <si>
    <t>Rental of 50T (min) Capacity Crane for SC37 Activities in Santiago City, Isabela</t>
  </si>
  <si>
    <t>Construction of Masonry Wall in Enverga Blvd., Brgy. Sadsaran (Near Gat-Uban Park), Mauban, Quezon</t>
  </si>
  <si>
    <t>20CSHN03 -Geotechnical/Sub-Surface Soil Investigation at (1) Tipolo Creek, Brgy. Mantuyong, (2) Mahiga Creek, Sitio Orel to Sitio Rosal, Brgy. Banilad, (3) Basak Creek,  all in Mandaue City, Cebu</t>
  </si>
  <si>
    <t>Purchase of Various Medicines</t>
  </si>
  <si>
    <t>Construction of Side Walk with Benches and Streetlights in Enverga Blvd., Brgy. Sadsaran (Gat-Uban to Regidor St.) Mauban, Quezon</t>
  </si>
  <si>
    <t>20GGM0010 - Procurement of various construction materials for use in the Repair and Maintenance of National Roads and Bridges within the district, DPWH, Negros Occidental 3rd District Engineering Offi</t>
  </si>
  <si>
    <t>20CSHN07 -Parcellary Survey for the Widening of Canduman-Cebu North Road, K0012+193 - K0013+195, Mandaue City, Cebu</t>
  </si>
  <si>
    <t>Pakyaw Labor for the Proposed Replacement of Old and Broken P.E Pipe Water Distribution Line at Purok 4 and 5, Barangay Ginatilan, Kidapawan City</t>
  </si>
  <si>
    <t>Purchase of Drugs and Medicines for the Health Office</t>
  </si>
  <si>
    <t>Supply and delivery of Plumbing Materials for the Proposed Replacement of Old and Broken P.E Pipe Water Distribution Line at Purok 4 and 5, Barangay Ginatilan, Kidapawan City</t>
  </si>
  <si>
    <t>Package 002- Proc. of Drugs, Medicine, Medical,Dental &amp; Laboratory Supplies &amp; MicroNutrient Supplementation (Reposting)</t>
  </si>
  <si>
    <t>Office Supplies for use at BAC Office</t>
  </si>
  <si>
    <t>CLI-20-0355-B DRUGS AND MEDICINES</t>
  </si>
  <si>
    <t>ICT Equipment for Accounting Office use</t>
  </si>
  <si>
    <t>Various Contraceptives for use at the City Health Office (Family Planning Program).</t>
  </si>
  <si>
    <t>Purchase of K to 12 books to be given to the Department of Education, Kabankalan City (various Elementary Schools)</t>
  </si>
  <si>
    <t>AGR-20-0346-B Purchase of Agricultural Supplies and Materials</t>
  </si>
  <si>
    <t>PR #06-002-20 CONSOLIDATED OFFICE AND JANITORIAL SUPPLIES (DA-SCRC)</t>
  </si>
  <si>
    <t>CONTRACT ID: 20GLF0022 - PROCUREMENT OF VARIOUS SPARE PARTS OF VARIOUS MAINT. EQUIPMENT FOR THE REPAIR OF  H1-7298   KIA BONGO W.O.#R11-BB-CM-07-021, H1-7299  KIA BONGO  W.O.# R11-BB-19-CM-07-018, H1-</t>
  </si>
  <si>
    <t>INFRA-REHABILITATION OF DRAINAGE CANAL, ST. FRANCIS SUBDIVISION, BAYOG, LOS BANOS, LAGUNA</t>
  </si>
  <si>
    <t>AGR-20-0348-B Purchase of Animal Feeds</t>
  </si>
  <si>
    <t>Request for Quotation (HMD-2020-06-0284 UPS Battery)</t>
  </si>
  <si>
    <t>Supply, Installation and Testing of Wall Mounted  Air Conditioning Units (Inverter)</t>
  </si>
  <si>
    <t>Construction of Drainage Canal Purok 1, Barangay Parian, City of San Fernando</t>
  </si>
  <si>
    <t>Construction Materials to be given to various Barangays.</t>
  </si>
  <si>
    <t>Request for Quotation (AD-2020-06-0285 Calcium Hypocholoride)</t>
  </si>
  <si>
    <t>Contract ID No. 19CSK00052 - Real Property Appraisal Services for Properties Affected by the following projects: 1. 19K00072-Construction of Puerto-Claveria By-pass Road, (Claveria Section) Package 4,</t>
  </si>
  <si>
    <t>Rebidding of Supplies for Water Purification and Testing,  IB No. SB-2020-006</t>
  </si>
  <si>
    <t>20CB-GSC-302	PURCHASE OF COMMUNICATION EQUIPMENT (RE-BID)</t>
  </si>
  <si>
    <t>Procurement of Hardware Materials for Improvement of Bridges along Purok 9 to Purok 6 Mangayon</t>
  </si>
  <si>
    <t>RFQ No. 2006-312 Proc. of Goods (Submersible Pumpset)</t>
  </si>
  <si>
    <t>CONTRACT ID : 20GLF0025 - PROCUREMENT OF VARIOUS SPARE PARTS FOR USE IN THE REPAIR OF H1-7298, H1-7299, H1-7300, H1-7301 AND F17-73 WITH PR NO. 2020-03-012 DATED 3/06/2020.</t>
  </si>
  <si>
    <t>20CB-GSC-303	REPAIR OF MOTOR VEHICLE  (RE-BID)</t>
  </si>
  <si>
    <t>Food packs to be distributed to the families of PWD in the Municipality during the COVID-19 situation</t>
  </si>
  <si>
    <t>Rebidding of Laboratory Supplies for STI, HIV and AIDS Program,  IB No. SB-2020-012</t>
  </si>
  <si>
    <t>RFQ No. 2006-315 Proc. of Goods (All Interior Upholstery)</t>
  </si>
  <si>
    <t>5020301000-237-2020</t>
  </si>
  <si>
    <t>Purchase and Delivery of Drugs and Medical Supplies for 2nd Quarter 2020</t>
  </si>
  <si>
    <t>10605020-236-2020</t>
  </si>
  <si>
    <t>RFQ No. 2006-316 Proc. of Goods (Colored Copier/Printer/Scanner/Banner)</t>
  </si>
  <si>
    <t>RFQ No. 2006-311 Proc. of Goods (Tools for Transportation and Motorpool Use)</t>
  </si>
  <si>
    <t>Rebidding of TB Drugs,  IB No. SB-2020-009</t>
  </si>
  <si>
    <t>5020305000-238-2020</t>
  </si>
  <si>
    <t>Procurement of Seaweeds Cutting Seedstocks</t>
  </si>
  <si>
    <t>Road Network at Brgy. Luna, Ormoc City</t>
  </si>
  <si>
    <t>10607010-235-2020</t>
  </si>
  <si>
    <t>Source Development in Ressettlement Areas (Drilling of Water Well) at Brgy. Cagbuhangin, Ormoc City</t>
  </si>
  <si>
    <t>Procurement of Various Office Supplies-A</t>
  </si>
  <si>
    <t>5020305000-240-2020</t>
  </si>
  <si>
    <t>Repair &amp; Maintenance: Infrastructure Assets - Road Network along Milagro-Cabintan Brgy. Road At Brgy. Cabintan, Ormoc City</t>
  </si>
  <si>
    <t>10604010-242-2020</t>
  </si>
  <si>
    <t>PURCHASE OF MEDICINES, 2ND &amp; 3RD QUARTER 2020</t>
  </si>
  <si>
    <t>5020399000-239-2020</t>
  </si>
  <si>
    <t>ITB-SUPPLY AND DELIVERY OF VARIOUS MEDICINE SUPPLIES FOR 1ST 2020, LOS BANOS, LAGUNA</t>
  </si>
  <si>
    <t>Purchase, Distribution and Construction of Sanitary Toilets (Procuring Entity: BLGU-Morocborocan)</t>
  </si>
  <si>
    <t>FURNISHING OF LABOR AND MATERIALS FOR THE INSTALLATION OF DISTRIBUTION LINE AT ZONE 1 BARAS, CANAMAN, CAMARINES SUR (INFRA 2020-009)</t>
  </si>
  <si>
    <t>PROCUREMENT OF VARIOUS OFFICE SUPPLIES &amp; CONSUMABLES FOR 2020 SECOND QUARTER</t>
  </si>
  <si>
    <t>5029905003-244-2020</t>
  </si>
  <si>
    <t>Labor Cost (Pakyaw System) for the Fabrication and Installation of Concrete Blocks at Cabusao Wetlands Critical Habitat, Pandan/Biong, Cabusao, Camarines Sur</t>
  </si>
  <si>
    <t>5020399000-245-2020</t>
  </si>
  <si>
    <t>5020301000-247-2020</t>
  </si>
  <si>
    <t>5020201000-246-2020</t>
  </si>
  <si>
    <t>Aviation Oil and Lubricants</t>
  </si>
  <si>
    <t>10604010-243-2020</t>
  </si>
  <si>
    <t>Purchase of 2HP Submersible Pump Set</t>
  </si>
  <si>
    <t>5020399000-241-2020</t>
  </si>
  <si>
    <t>5020301000-248-2020</t>
  </si>
  <si>
    <t>PURCHASE OF CONSTRUCTION SUPPLIES AND MATERIALS</t>
  </si>
  <si>
    <t>Concreting of Pathwalk at Core Shelter Project(Pabahay)</t>
  </si>
  <si>
    <t>IMPROVEMENT OF MULTI-PURPOSE BUILDING AT BARANGAY SAN ISIDRO, MALVAR, BATANGAS</t>
  </si>
  <si>
    <t>Supply/Installation of Isolation Facility Accessories</t>
  </si>
  <si>
    <t>CONSTRUCTION OF DRAINAGE SYSTEM AT BARANGAY SAN PIOQUINTO, MALVAR BATANGAS</t>
  </si>
  <si>
    <t>IMPROVEMENT OF SENIOR CITIZEN BUILDING AT BARANGAY SANTIAGO, MALVAR BATANGAS</t>
  </si>
  <si>
    <t>IMPROVEMENT OF MULTI-PURPOSE GYMNASIUM AT BARANGAY SAN JUAN, MALVAR BATANGAS</t>
  </si>
  <si>
    <t>G-2020-209 Supply and Installation of CCTV, Various Schools</t>
  </si>
  <si>
    <t>CONSTRUCTION/IMPROVEMENT OF MULTI-PURPOSE BUILDING AT BARANGAY BAGONG POOK, MALVAR BATANGAS</t>
  </si>
  <si>
    <t>G-2020-277 Supply and Delivery of Nebulizer, Office of the City Mayor</t>
  </si>
  <si>
    <t>IMPROVEMENT OF MULTI-PURPOSE GYMNASIUM AT BARANGAY SAN GREGORIO, MALVAR BATANGAS</t>
  </si>
  <si>
    <t>G-2020-200 Supply and Installation of Dry Container Van with Pedestal, Office of the City Mayor</t>
  </si>
  <si>
    <t>G-2020-284 Supply and Delivery of Agricultural Inputs: Broiler Production, Gender and Development</t>
  </si>
  <si>
    <t>G-2020-324 Supply and Delivery of Rabies Vaccine, City Health Services Department</t>
  </si>
  <si>
    <t>SUPPLY AND DELIVERY OF CONSTRUCTION MATERIALS FOR THE COVERED FOOTWALK AT TULUNAN NATIONAL HIGH SCHOOL, TULUNAN, COTABATO</t>
  </si>
  <si>
    <t>G-2020-278 Supply and Delivery of Hearing Aid, Office of the City Mayor</t>
  </si>
  <si>
    <t>G-2020-279 Supply and Delivery of Monoblock Chairs, Office of the City Mayor</t>
  </si>
  <si>
    <t>CONSTRUCTION OF CANAL AT BARANGAY SANTIAGO, MALVAR, BATANGAS</t>
  </si>
  <si>
    <t>I-2020-008 Construction of Two Storey Canteen Bldg. with Roof Deck (Additional), Calamba City Hall Complex, Barangay Real</t>
  </si>
  <si>
    <t>I-2020-010 Construction of Retaining Wall, Barangay Barandal (Calamba Hills)</t>
  </si>
  <si>
    <t>IMPROVEMENT OF MULTI-PURPOSE BUILDING AT BARANGAY SAN JUAN, MALVAR, BATANGAS</t>
  </si>
  <si>
    <t>Proc of Ampicillin Sulbactam</t>
  </si>
  <si>
    <t>I-2020-013 Construction of Drainage Facility, E. Barretto Sr. ES, Barangay Pansol</t>
  </si>
  <si>
    <t>SUPPLY AND DELIVERY OF 15 KVA TRANSFORMER FOR THE SIBSIB NATIONAL HIGH SCHOOL, TULUNAN, COTABATO</t>
  </si>
  <si>
    <t>20HI0093 - Construction/Rehabilitation of Water Supply/Septage and Sewerage/Rainwater Collectors – Rain Water Collectors in Public Facilities</t>
  </si>
  <si>
    <t>20HI0092 - Concreting of Brgy. Easter Poblacion to Brgy. Altavista FMR, Poro, Cebu</t>
  </si>
  <si>
    <t>Proc of Cautery Pen etc</t>
  </si>
  <si>
    <t>AB 2020 PROJECT PURCHASE OF ELECTRICAL SUPPLIES, SUPPLIES, DEVICES AND GENERAL MERCHANDISE</t>
  </si>
  <si>
    <t>PROCUREMENT OF MEDICINE</t>
  </si>
  <si>
    <t>20HI0073 (re-ad) - Construction of Multi-Purpose Building, Brgy. Poblacion, Borbon, Cebu</t>
  </si>
  <si>
    <t>Purchase of Aircon, Brgy. South Poblacion.</t>
  </si>
  <si>
    <t>Purchase of Materials and Installation of Solar Lights</t>
  </si>
  <si>
    <t>Installation of Jetmatic Pump (3sets)</t>
  </si>
  <si>
    <t>INSTALLATION OF SOLAR STREET LIGHT</t>
  </si>
  <si>
    <t>One (1) lot Labor and Materials for the Replacement of Injection Pump of the Armored Vehicle of Landbank UP Los Banos Branch</t>
  </si>
  <si>
    <t>Various Spareparts</t>
  </si>
  <si>
    <t>Rehabilitation &amp; Construction of Drainage Canal - West</t>
  </si>
  <si>
    <t>Rehabilitation of Day Care Center</t>
  </si>
  <si>
    <t>Improvement of Barangay Hall, Palanay</t>
  </si>
  <si>
    <t>ITB-SUPPLY AND DELIVERY OF OFFICE EQUIPMENT FOR HEALTH FACILITY ENHANCEMENT</t>
  </si>
  <si>
    <t>Purchase of various materials for Improvement of Drainage Canal, Brgy. South Poblacion</t>
  </si>
  <si>
    <t>Construction of Drainage Canal - East</t>
  </si>
  <si>
    <t>Supply and Delivery of Furniture and Fixture for Bacnotan Farmer’s Agri-Tourism Center, Baroro, Bacnotan, La Union</t>
  </si>
  <si>
    <t>(DEH) REQUEST FOR QUOTATION (RFQ)  For the Procurement of Xerox Machine &amp; Air-Conditioning Units For the Diadi Emergency Hospital--200,000.00</t>
  </si>
  <si>
    <t>ISC-20-0468-B PURCHASE OF OFFICE SUPPLIES</t>
  </si>
  <si>
    <t>Diesel Fuel</t>
  </si>
  <si>
    <t>GSO-20-0576-NP(SV) PURCHASE OF PLUMBING SUPPLIES</t>
  </si>
  <si>
    <t>Aircon w/complete Accessories</t>
  </si>
  <si>
    <t>ITB-SUPPLY AND DELIVERY OF 1ST QTR, LABORATORY AND DENTAL SUPPLIES, LOS BANOS, LAGUNA</t>
  </si>
  <si>
    <t>Invitation to Bid For Construction of Road Shouldering</t>
  </si>
  <si>
    <t>COMPUTER PARTS AND ACCESSORIES-JCH-20-0171-B</t>
  </si>
  <si>
    <t>Procurement of Housekeeping Supplies</t>
  </si>
  <si>
    <t>MEDICAL SUPPLIES-JCH-20-0226-B</t>
  </si>
  <si>
    <t>SUPPLY AND DELIVERY OF DRUGS AND MEDICINES, BACNOTAN, LA UNION</t>
  </si>
  <si>
    <t>GSO-20-0498-NP(SV) PURCHASE OF ELECTRICAL SUPPLIES</t>
  </si>
  <si>
    <t>PAPALLASEN 01-2020 - Repair &amp; impvt. of perimeter fence &amp; installation of gate</t>
  </si>
  <si>
    <t>FURNISHING OF LABOR AND MATERIALS FOR THE REPAIR OF A6 NATURE'S PARK LANDMARK.</t>
  </si>
  <si>
    <t>Construction Projects-Concreting of Access Road (Rizal,Lopez Jaena)-MEO,Lopez Jaena</t>
  </si>
  <si>
    <t>FRT-19-1689-B(rebid) - PURCHASE OF DEFIBRILLATOR</t>
  </si>
  <si>
    <t>Supply and Delivery of Various Information and Communication Technology Equipment, Bacnotan, La Union</t>
  </si>
  <si>
    <t>PURCHASE OF 300 PCS BRASS WATER METER 1/2 WITH CALIBRATION CERTIFICATE AND GASKET AND TAILPIECE</t>
  </si>
  <si>
    <t>ABATEMENT FOR AGUS 6 &amp; 7 HEPC</t>
  </si>
  <si>
    <t>Supply and Delivery of Genuine Consumables for Javelin J800i Card Printer</t>
  </si>
  <si>
    <t>PAPALLASEN 02-2020 - Repair &amp; impvt. of multi-purpose hall</t>
  </si>
  <si>
    <t>ENVIRONMENTAL SIGNAGES, MATERIALS AND LABOR</t>
  </si>
  <si>
    <t>Supply and Delivery of Construction Materials for Grouted Riprap @ Masungil, Pinayagan Sur, Tubigon, Bohol (Re-Bid)</t>
  </si>
  <si>
    <t>Construction and Rehabilitation of Drainage System</t>
  </si>
  <si>
    <t>Upgrading of Paulba-Maburi Road (Phase III)</t>
  </si>
  <si>
    <t>SUPPLY OF MATERIALS FOR THE REPAIR &amp; MAINTENANCE OF MOTOR VEHICLES REPAIR &amp; INSTALLATION &amp; MAINTENANCE AND SUPPLY OF MATERIALS FOR SJA 587</t>
  </si>
  <si>
    <t>DDH-19-2097-B - Purchase of Medical Equipment(Serological Centrifuge)</t>
  </si>
  <si>
    <t>Supply and delivery of catering services for the ATI-CAR Staff meetings, reviews, development and other related activities for second semester 2020</t>
  </si>
  <si>
    <t>Supply and Delivery of various Seeds intended for Vegetable Seeds Distribution of the Mun. Agriculture Office</t>
  </si>
  <si>
    <t>Construction of Drainage Canal (0.60m x 0.60m x170.0m)</t>
  </si>
  <si>
    <t>SITE DEVELOPMENT/ CONSTRUCTION/ EXTENSION OF BARANGAY ROAD ALONG SHORE PROTECTION, BRGY. POBLACION 1, ZUMARRAGA, SAMAR</t>
  </si>
  <si>
    <t>Provision of Water Supply System from sitio Camagong to Barangay Oma-Oma</t>
  </si>
  <si>
    <t>Equipment for Banana Tissue Culture Laboratory</t>
  </si>
  <si>
    <t>DENTAL SUPPLIES-RTH-20-0183-B(RE-BID)</t>
  </si>
  <si>
    <t>5020201000-251-2020</t>
  </si>
  <si>
    <t>ROAD IMPROVEMENT AT BARANGAY HAGNAYA, CARMEN, CEBU</t>
  </si>
  <si>
    <t>DUPLICATOR MACHINE-JCH-20-0225-B</t>
  </si>
  <si>
    <t>5029905003-249-2020</t>
  </si>
  <si>
    <t>Supply and Delivery of Pump and Motors</t>
  </si>
  <si>
    <t>PORTABLE EXTRA-ORAL AEROSOL EVACUATOR</t>
  </si>
  <si>
    <t xml:space="preserve">20PL0112 - Package 2: A.) Repair/Maintenance of Kintoy Kasabaan Flood Control, Bulanao, Tabuk City, Kalinga, B.) Repair/Maintenance of Wakki Creek Flood Control, Sagpat, Bulanao, Tabuk City, Kalinga, </t>
  </si>
  <si>
    <t>5020399000-250-2020</t>
  </si>
  <si>
    <t>Proposed Renovation of Barangay Health Center</t>
  </si>
  <si>
    <t>Construction of Seventy (70) Spans-Concrete Fence</t>
  </si>
  <si>
    <t>LABORATORY SUPPLIES AND CONSUMABLES</t>
  </si>
  <si>
    <t>Improvement of Barangay Multi-Purpose Hall (Extension of Health Center)</t>
  </si>
  <si>
    <t>Concreting of Rafael Lacson Street</t>
  </si>
  <si>
    <t>20LC0154 - Tanglaw Bridge 2 (B00187MN) along Tagum －Panabo Circumferential Road</t>
  </si>
  <si>
    <t>Supply/Delivery of Motorcycle</t>
  </si>
  <si>
    <t>Concreting of Pathway (0.10m x 1.00m x 3650.0m)</t>
  </si>
  <si>
    <t>Quotation No. 20-06-0326-Toner Cartridge Part no. RTC 2380</t>
  </si>
  <si>
    <t>CONSTRUCTION OF MULTI-PURPOSE HALL (PHASE 1) BRGY. SAN ISIDRO, ZUMARRAGA, SAMAR</t>
  </si>
  <si>
    <t>HEPA FILTER AIR PURIFIER</t>
  </si>
  <si>
    <t>Agricultural Supplies Expenses (Farm Materials)</t>
  </si>
  <si>
    <t>20PL0113 - Concreting of Brgy. Sandara FMR, Brgy. Sandara, Rizal, Kalinga</t>
  </si>
  <si>
    <t>5020305000-253-2020</t>
  </si>
  <si>
    <t>Agricultural Supplies Expenses (Vegetable Seeds)</t>
  </si>
  <si>
    <t>Re Bidding - Rehabilitation of Apolinario dela Cruz Waterworks System Improvement of Main Water Source and Intake Box, Installation of additional pipelines and fittings, Replacement of dilapidated pip</t>
  </si>
  <si>
    <t>20LC0155 - Tanglaw Bridge 2 (B00187MN) along Tagum －Panabo Circumferential Road</t>
  </si>
  <si>
    <t>Supply and Delivery of Various Fittings</t>
  </si>
  <si>
    <t>Rehabilitation of Water Piping ( Fittings)</t>
  </si>
  <si>
    <t>5020399000-252-2020</t>
  </si>
  <si>
    <t>LABORATORY SUPPLIES-JCH-20-0172-B</t>
  </si>
  <si>
    <t>cLUSTER bC6-2020</t>
  </si>
  <si>
    <t>MG-A5M20-118 ( SUPPLY OF LABOR FOR THE REPAIR &amp; MAINTENANCE OF MOTOR VEHICLES )</t>
  </si>
  <si>
    <t>LABORATORY REAGENTS-JCH-20-0175-B</t>
  </si>
  <si>
    <t>UTILITY VEHICLE - CEEMDO</t>
  </si>
  <si>
    <t>20PL0114 - Concreting of Brgy. Ballayangon FMR, Brgy. Ballayangon, Pinukpuk, Kalinga</t>
  </si>
  <si>
    <t>5021306001-254-2020</t>
  </si>
  <si>
    <t>Construction of Sanitary Toilet (Plastic Purifying Septic Tank)</t>
  </si>
  <si>
    <t>LOT 1 Supply and Delivery of Materials for the Sustainment of Unit/Office Daily Operations of BRP TARLAC (LD601) and BRP DAVAO DEL SUR (LD602) LOT 2 Supply and Delivery of Materials for the Sustainmen</t>
  </si>
  <si>
    <t>Construction of Barangay Concrete Roads at Barangay Palanas</t>
  </si>
  <si>
    <t>IMPROVEMENT OF MULTI-PURPOSE BUILDING (LGU PERIMETER FENCE AND GATE) BRGY. POBLACION 1, ZUMARRAGA, SAMAR</t>
  </si>
  <si>
    <t>Purchase and Delivery of Office Equipment</t>
  </si>
  <si>
    <t>Other Maintenance and Other Operating Expenses (MTOCS)</t>
  </si>
  <si>
    <t>5021305002-258-2020</t>
  </si>
  <si>
    <t>HARDWARE MATERIALS</t>
  </si>
  <si>
    <t>CID No. 20GLE0084/PR 20-03-0090 Purchase of Clerical Table for use in Procurement Unit</t>
  </si>
  <si>
    <t>MG-A5M20-116 ( PAINT, ENAMEL, STEEL INSULATING RUBBER + 2 ITEMS )</t>
  </si>
  <si>
    <t>Fuel for use in the City Veterinary Office Service Vehicle to conduct Veterinary Services into different brgys.</t>
  </si>
  <si>
    <t>5021306001-255-2020</t>
  </si>
  <si>
    <t>37 SETS JETMATIC PUMP</t>
  </si>
  <si>
    <t>PEO-20-0665 B- Procurement of Batteries for use in the replacement of Defective Batteries of various service vehicles (PU-20, 21, 22, 23, 24, 25) assigned at PEP/Motorpool, Sta. Barbara, Iloilo</t>
  </si>
  <si>
    <t>5021305002-257-2020</t>
  </si>
  <si>
    <t>Office Supplies #06-09-2020</t>
  </si>
  <si>
    <t>Purchase of Electrical Materials and Supplies for use in Street Lighting Installation, Purok Lagaw (SUGA KONTRA KRIMEN),  Brgy. Guinhalaran, Silay City.(Rebid)</t>
  </si>
  <si>
    <t>5021305002-256-2020</t>
  </si>
  <si>
    <t>PURCHASE OF DIESEL</t>
  </si>
  <si>
    <t>Supply/Delivery of Office Equipment</t>
  </si>
  <si>
    <t>Fuel for use in City Slaughterhouse Meat Delivery van to deliver meat from City Abattoir to City Public Market, Surigao City</t>
  </si>
  <si>
    <t>PURCHASE OF CONSTRUCTION MATERIALS FOR INDIVIDUAL LATRINES, ASSISTANCE TO BARANGAY PROJECTS AND MENRO OFFICE, LGU ZUMARRAGA, SAMAR</t>
  </si>
  <si>
    <t>CONSTRUCTION OF BARANGAY HEALTH STATION AT CAURASAN, CARMEN, CEBU</t>
  </si>
  <si>
    <t>RFQ -PR NO 2020-05-010</t>
  </si>
  <si>
    <t>PURCHASE OF ORGANIC BASED DEODORIZER FOR THE CONTROLLED DUMPSITE OF THE CITY OF DASMARIÑAS</t>
  </si>
  <si>
    <t>Office Supplies for Treasury</t>
  </si>
  <si>
    <t>PURCHASE OF VAW DESK ROOM EQUIPMENT</t>
  </si>
  <si>
    <t>Pasalubong Center</t>
  </si>
  <si>
    <t>Purchase and Delivery of Information and Communication Technology Equipment</t>
  </si>
  <si>
    <t>Construction/ Rehabilitation of Kitchen and Improvement of Main Day Care Center</t>
  </si>
  <si>
    <t>20IB0142 - Construction of Shelves Commission on Audit Office ESDEO-DPWH Brgy. Alang-Alang, Borongan City, Eastern Samar</t>
  </si>
  <si>
    <t>PROCUREMENT OF CONSTRUCTION MATERIALS, SUPPLIES AND RENTAL OF EQUIPMENTS FOR THE ROAD MAINTENANCE OF BRGY. KABULING, BRGY. LEPAK AND BRGY. LOWER D’LAG IN PANDAG MUNICIPALITY</t>
  </si>
  <si>
    <t>1,360 PCS. OSCA I.D</t>
  </si>
  <si>
    <t>5021305002-259-2020</t>
  </si>
  <si>
    <t>PURCHASE OF MDRRMC AND RESPONDER UNIFORM</t>
  </si>
  <si>
    <t>Supply and Delivery of Starter Kit Packages for Sari-Sari Store through the Implementation of Negosyo Center Serbisyo sa Barangay (NSB) in Jalajala and Baras, Rizal</t>
  </si>
  <si>
    <t>Supply/Delivery of Furniture and Fixtures</t>
  </si>
  <si>
    <t>Road Opening &amp; Gravelling of Pananacpan Road</t>
  </si>
  <si>
    <t>JANITORIAL SUPPLIES/MATERIALS</t>
  </si>
  <si>
    <t>Completion of multi Purpose Building / Evacuation Center at Barangay Candabong</t>
  </si>
  <si>
    <t>Procurement of Heavy Equipment</t>
  </si>
  <si>
    <t>5021305002-260-2020</t>
  </si>
  <si>
    <t>Procurement of Professional Technical Support Services for Repairs (minor) and Maintenance Cleaning of Airconditioning Units of LHIO Tandag City, CY 2020</t>
  </si>
  <si>
    <t>PPEs for Agri. Admin., Prices, Establishments both SRs &amp; Regular and Promotional Materials for Census</t>
  </si>
  <si>
    <t>ROAD IMPROVEMENT AT CANTIPAY, CARMEN, CEBU</t>
  </si>
  <si>
    <t>Purchase &amp; Delivery of Information Technology Parts &amp; Accessories for use of City Budget Office, S.C.</t>
  </si>
  <si>
    <t>Procurement of Janitorial Supplies - 2020-04-0046</t>
  </si>
  <si>
    <t>Purchase of Construction Materials and Electrical Supplies for use in Street Lighting Installation, Prk Mahinangpanon and Techer's Ville ( Suga Kontra Krimen), Barangay V, Silay City.(Rebid)</t>
  </si>
  <si>
    <t>180 pcs. Plyboard</t>
  </si>
  <si>
    <t>5021305002-262-2020</t>
  </si>
  <si>
    <t>5021305002-261-2020</t>
  </si>
  <si>
    <t>Purchase &amp; Delivery of Hardware &amp; Construction Supplies for use in Construction of Timber Footbridge at Purok 1, Brgy. Sabang, Surigao City</t>
  </si>
  <si>
    <t>Meals for use in Inter Agency Task Force Responders in Connection to Declaration of Re:COVID-19, Surigao City</t>
  </si>
  <si>
    <t>5021305002-263-2020</t>
  </si>
  <si>
    <t>11.17 sqm. Supply &amp; Installation of Anolok Aluminum Glass Door partition</t>
  </si>
  <si>
    <t>2  KGS. FREON 4-41</t>
  </si>
  <si>
    <t>Invitation to Bid for PROCUREMENT OF MEDICAL SUPPLIES</t>
  </si>
  <si>
    <t>Supply and delivery of Mobile communications to be delivered at PhilRice Batac, City of Batac, Ilocos Norte</t>
  </si>
  <si>
    <t>PROCUREMENT OF BASE AND HANDHELD RADIOS</t>
  </si>
  <si>
    <t>Supply and delivery  of materials for the const'n of 3 phase line at Hinaplanan Cassava Dryer &amp; Installation of sec. metering</t>
  </si>
  <si>
    <t>Supply/Delivery of Drugs and Medicines</t>
  </si>
  <si>
    <t>PBD Const.Improvement of Lake Wood Ecological Park 3</t>
  </si>
  <si>
    <t>PURCHASE OF MOTORCYLE (PNP)</t>
  </si>
  <si>
    <t>CID No. 20GLE0085/PR 20-05-0135 Purchase of Spare Parts, Tires and Oils for use in Mitsubishi Pick-Up, B3K-276, H1-6972</t>
  </si>
  <si>
    <t>5021305003-264-2020</t>
  </si>
  <si>
    <t>AUTO SPARE PARTS</t>
  </si>
  <si>
    <t>5021305003-265-2020</t>
  </si>
  <si>
    <t>5021305003-266-2020</t>
  </si>
  <si>
    <t>2020-0170-PR2020-0403 Procurement of Chicken Breeder, Chicken Booster Crumble and Chicken Starter Crumble for the use at the Office of the Provincial Veterinarian, New Capitol Building, Tagbilaran Cit</t>
  </si>
  <si>
    <t>1 PC TARPAULIN 4X5</t>
  </si>
  <si>
    <t>Supply and Delivery of Office and Other Supplies for Use in the College of Industrial Technology</t>
  </si>
  <si>
    <t>construction of concrete pavement</t>
  </si>
  <si>
    <t>Supply and Delivery of Construction Materials and Supplies for the Construction of Canal Near Public Market</t>
  </si>
  <si>
    <t>RFQ PR No. 2020-06-052 Supply and Delivery of Materials for the Repair/Maintenance of Various National Roads</t>
  </si>
  <si>
    <t>Supply and Delivery of Dental Supplies and Materials for use of 1301st PNDD</t>
  </si>
  <si>
    <t>5 LITERS DIESEL ENGINE OIL, FUEL FILTER CARTRIDGE AND OTHER MATERIALS - CHANGE OIL</t>
  </si>
  <si>
    <t>PROCUREMENT OF CONSTRUCTION MATERIALS FOR REHABILITATION/RENOVATION OF SCHOOL BUILDINGS</t>
  </si>
  <si>
    <t>PROCUREMENT OF PHOTOCOPYING MACHINE</t>
  </si>
  <si>
    <t>5021305003-267-2020</t>
  </si>
  <si>
    <t>Supply and delivery  of materials  for  transformer  installation (water system) at  Sitio Janopolan, Pob, Brgy. Rizal &amp; Luna</t>
  </si>
  <si>
    <t>PROCUREMENT OF SCHOOL LEARNING MATERIALS</t>
  </si>
  <si>
    <t>70 gals. Maple glossy paint</t>
  </si>
  <si>
    <t>5021305003-268-2020</t>
  </si>
  <si>
    <t>Cont. Ref. No. 058-20: Rehabilitation of Flood Control at L1300 at Poblacion, Itogon, Benguet</t>
  </si>
  <si>
    <t>MEALS AND SNACKS</t>
  </si>
  <si>
    <t>Establishment of Three Units Isolation Facilities in the Brgy. in Ralation to COVID-19 Situation</t>
  </si>
  <si>
    <t>New Acquisition of One (1) Unit of Network Firewall w/ Three (3) Years Subscription</t>
  </si>
  <si>
    <t>5021305003-269-2020</t>
  </si>
  <si>
    <t>CID No. 20GLE0086/PR 20-05-0136 Purchase of Tires, Spare Parts and Oil for use in maintenance of vehicles</t>
  </si>
  <si>
    <t>For Deployment of bouys as Permanent Markers of Marine Protected Area (MPA) for Irrawaddy Dolphins, Bago City</t>
  </si>
  <si>
    <t>SUPPLY AND DELIVERY OF ANTI-RABIES VACCINES (P.R. NO. 300-20-02-0073)</t>
  </si>
  <si>
    <t>Supply and Delivery of Construction Materials and Supplies for the Construction of Canal Near Health Center</t>
  </si>
  <si>
    <t>Procurement of Hardware &amp; Electrical Materials</t>
  </si>
  <si>
    <t>Invitation to Bid for PROCUREMENT OF FISHING BOATS  (BANGKA PARA SA MANGINGISDA)</t>
  </si>
  <si>
    <t>Purchase of Materials for the Construction of Health Center of Brgy. Esperanza</t>
  </si>
  <si>
    <t>Supply and Delivery of Fertilizer for the Banana Production</t>
  </si>
  <si>
    <t>Improvement of Barangay Road (FTMR)(Gella)(Phase 1)</t>
  </si>
  <si>
    <t>ITDI-200335 - SUPPLY AND DELIVERY OF VARIOUS OFFICE SUPPLIES</t>
  </si>
  <si>
    <t>PURCHASE OF COMMUNICATION EQUIPMENT</t>
  </si>
  <si>
    <t>5021305003-270-2020</t>
  </si>
  <si>
    <t>COMPUTERIZATION OF INTEGRATED FINANCIAL MANAGEMENT INFORMATION AND OPERATIONS LINKED WITH REVENUE SYSTEM, BACNOTAN, LA UNION</t>
  </si>
  <si>
    <t>Supply and Delivery of Various Construction Materials</t>
  </si>
  <si>
    <t>PREVENTIVE MAINTENANCE P.R. 0483 SERIES OF 2020</t>
  </si>
  <si>
    <t>HAHLUL-CAMILING COMMUNAL IRRIGATION SYSTEM IMPROVEMENT</t>
  </si>
  <si>
    <t>20 pcs. Jetmatic pump eagle</t>
  </si>
  <si>
    <t>RFQ PR No. 2020-06-053 Supply and Delivery of Construction Materials for the Repair/Maintenance of Various Structures along Various National Roads</t>
  </si>
  <si>
    <t>Construction of Multi-Pupose Pavement at Brgy. Abuanan Relocation Site, Bago City</t>
  </si>
  <si>
    <t>ITB - Supply and Delivery of Foodstuff for July-December 2020</t>
  </si>
  <si>
    <t>Supplies of Materials for Training Requirements of Sailors Basic Course CY 2020</t>
  </si>
  <si>
    <t>ITDI-200316 - SUPPLY OF LABOR AND MATERIALS FOR THE CALIBRATION OF GRADE K RECTANGULAR GAUGE BLOCKS</t>
  </si>
  <si>
    <t>Job Order: 1 unit floor mounted aircon for City Council (Conference Room) use.</t>
  </si>
  <si>
    <t>ITDI-200318 - DIAGNOSTIC LABORATORY SERVICES FOR SMALL LABORATORY ANIMALS</t>
  </si>
  <si>
    <t>PROCUREMENT OF WELFARE GOODS</t>
  </si>
  <si>
    <t>Supply and Delivery of Tables and Chairs</t>
  </si>
  <si>
    <t>ITDI-200352 - SUPPLY AND DELIVERY OF COPPER STANDARD</t>
  </si>
  <si>
    <t>BDRRM Program</t>
  </si>
  <si>
    <t>COMPLETION OF BARANGAY CLINIC (PABAHAY)-PHASE 1</t>
  </si>
  <si>
    <t>PURCHASE OF ONE (1) UNIT MOBILE CORN MILL FOR MUNICIPAL AGRICULTURE’S OFFICE, AITC, POBLACION, IMPASUGONG, BUKIDNON</t>
  </si>
  <si>
    <t>Construction of MPB (Temporary shelter for CICL &amp; VAWC Cases and Rehabilitation Center) Phase II</t>
  </si>
  <si>
    <t>5021305003-271-2020</t>
  </si>
  <si>
    <t>CID No. 20GLE0087/PR 20-05-0137 Purchase of Spare Parts for use in Heavy Equipment</t>
  </si>
  <si>
    <t>ITDI-200353 - SUPPLY OF LABOR AND MATERIALS FOR THE CLEANING AND DIAGNOSTICS OF ITDI AIRCONDITIONING UNITS</t>
  </si>
  <si>
    <t>Supply &amp; Delivery of Printer &amp; Laptop PC.</t>
  </si>
  <si>
    <t>RFQ PR No. 2020-06-065 Purchase of Fuel and Lubricants of Service Vehicles and Equipment for the month of July - September CY 2020</t>
  </si>
  <si>
    <t>PCADG-5020399000-1057-2020 Other Supplies &amp; Materials Expenses (DPCR)</t>
  </si>
  <si>
    <t>Request for the maintenance of Bago City College Scholastech System, Bago City</t>
  </si>
  <si>
    <t>Purchase and Delivery of Furnitures and Fixtures</t>
  </si>
  <si>
    <t>5021305002-272-2020</t>
  </si>
  <si>
    <t>Proposed Construction of Six (6) unit Purok Markers Using Stainless Steel and Rehabilitation of existing Welcome Marker at Brgy. San Ignacio, San Pablo City</t>
  </si>
  <si>
    <t>PROPOSED CONSTRUCTION OF FABRICATED MOVABLE BENCHES, BASKETBALL POST, BOARD AND RING AT BRGY. III-C, SAN PABLO CITY</t>
  </si>
  <si>
    <t>Cont. Ref. No. 059-20: Completion of Flood Control at Binaldian Creek (Near Cuyahon Res.) at Poblacion, Itogon, Benguet</t>
  </si>
  <si>
    <t>Elderly Program</t>
  </si>
  <si>
    <t>RFQ ANNUAL PREVENTIVE MAINTENANCE WITH ONE TIME CHANGE OIL OF GENERATOR SET 1 &amp; 2 (QUARTERLY)</t>
  </si>
  <si>
    <t>Procurement of Various Office Supplies for NTC-13</t>
  </si>
  <si>
    <t>For use of different vehicles for the months of July 2020 and suceeding month(s)</t>
  </si>
  <si>
    <t>25 hds. meals and Snacks good for 10 days</t>
  </si>
  <si>
    <t>25 pcs. Plyboard 3/4 marine</t>
  </si>
  <si>
    <t>Procurement of Vitamins and Hygiene Items for assistance to BPAs and other similar facilities</t>
  </si>
  <si>
    <t>PURCHASE OF PHOTOCOPYING MACHINE</t>
  </si>
  <si>
    <t>ITDI-200354 - SUPPLY AND DELIVERY OF VARIOUS FOOD CHEMICAL ANALYSIS</t>
  </si>
  <si>
    <t>CONFIRMATORY DRILLING AT EL SALVADOR CITY RESETTLEMENT PHASE I, LINABO, COGON, EL SALVADOR CITY</t>
  </si>
  <si>
    <t>FURNISHING AND DELIVERY OF MOBILE/DESKTOP APPLICATION AND IT EQUIPMENT FOR THE JUBAN WATER SYSTEM READ AND BILL SYSTEM</t>
  </si>
  <si>
    <t>Supply of labor and materials for rerouting and rehabilitation of Dietary Exhaust Hood</t>
  </si>
  <si>
    <t>PROCUREMENT OF CATERING SERVICES</t>
  </si>
  <si>
    <t>FUEL</t>
  </si>
  <si>
    <t>ITDI-200365 - SUPPLY AND DELIVERY OF ETHOXYQUIN HYDROCHLORIDE</t>
  </si>
  <si>
    <t>For use at Bago City Hospital, Bago City (Office Supplies)</t>
  </si>
  <si>
    <t>Purchase of Construction Materials for the Disaster Rescue Equipment (Mash Tower) at Brgy. Pintong Bukawe, San Mateo, Rizal</t>
  </si>
  <si>
    <t>ITDI-200351 -SUPPLY AND DELIVERY OF COPPER SULPHATE</t>
  </si>
  <si>
    <t>BATOG-MATALANAK COMMUNAL IRRIGATION SYSTEM IMPROVEMENT</t>
  </si>
  <si>
    <t>FURNISHING AND DELIVERY OF COMPUTER SUPPLIES AND IT EQUIPMENT 1ST &amp; 2ND QUARTER</t>
  </si>
  <si>
    <t>Cont. Ref. No. 060-20: Rehabilitation of Protection Wall and Canal below Barangay Hall at Virac, Itogon, Benguet</t>
  </si>
  <si>
    <t>PURCHASE OF COOKING EQUIPMENT</t>
  </si>
  <si>
    <t>Purchase of Construction Materials used for the Construction of Drainage Line Canal at Liamzon St., Brgy. Banaba, San Mateo, Rizal</t>
  </si>
  <si>
    <t>DARF02.QES.115.20-06-004 FORAGE AND PASTURE DEVELOPMENT PROJECT</t>
  </si>
  <si>
    <t>NC#2020-0273-PR2020-0382 Procurement of Various Office and Janitorial Supplies for the use at the Provincial Accounting Office, New Capitol Building, Tagbilaran City</t>
  </si>
  <si>
    <t>Supply and Delivery of Office Supplies for National Household Targeting Office (NHTO)</t>
  </si>
  <si>
    <t>PROCUREMENT / INSTALLATION OF REPEATER ANTENNA ( HANDHELD RADIO )</t>
  </si>
  <si>
    <t>Water Service Connection Materials / Fittings</t>
  </si>
  <si>
    <t>ROAD OPENING AT SITIO KALAG-ITAN, PANGHAGBAN, BUENAVISTA, BOHOL</t>
  </si>
  <si>
    <t>Construction of Drainage System of Barangay Road at Brgy. San Agustin, Ibaan, Batangas</t>
  </si>
  <si>
    <t>PURCHASE OF ECO-BOTTLE</t>
  </si>
  <si>
    <t>REHABILITATION OF MULTI-PURPOSE HALL – KIUDTO (PHASE 2), SITIO KIUDTO, HAGPA, IMPASUGONG, BUKIDNON</t>
  </si>
  <si>
    <t>PURCHASE OF CHAIRS OF PWD'S</t>
  </si>
  <si>
    <t>Installation of Ili-ilihon Water System Distribution Pipes</t>
  </si>
  <si>
    <t>PURCHASE OF KITCHEN UTENSILS</t>
  </si>
  <si>
    <t>ITDI-200347 - SUPPLY OF LABOR AND MATERIALS FOR THE PRINTING OF ITDI TECHNO-BULLETIN</t>
  </si>
  <si>
    <t>SUPPLY &amp; DELIVERY OF AIR CONDITIONING UNIT</t>
  </si>
  <si>
    <t>PURCHASE OF SUPPLIES OF TANOD FOR PATROLLING</t>
  </si>
  <si>
    <t>ITDI-200350 - SUPPLY AND DELIVERY OF NITRIC ACID</t>
  </si>
  <si>
    <t>Construction of Sto. Domingo Fire Station, Nueva Ecija</t>
  </si>
  <si>
    <t>Procurement of Construction of Two (2) Units Steel Basketball Goal (Construction Materials)</t>
  </si>
  <si>
    <t>4 units Motorcycle 2020 Model</t>
  </si>
  <si>
    <t>GEOTECHNICAL SUB SURFACE EXPLORATION: PACKAGE No. 2020-01, MLANG AND TULUNAN, NORTH COTABATO</t>
  </si>
  <si>
    <t>PROCUREMENT OF DUMPTRUCK</t>
  </si>
  <si>
    <t>June Procurement</t>
  </si>
  <si>
    <t>FURNITURES AND FIXTURES</t>
  </si>
  <si>
    <t>PCADG-1058-2020	Renovation of FJGADD Office, DPCR</t>
  </si>
  <si>
    <t>Invitation to Bid Completion of 1-Unit 2-CL Elem. School Building</t>
  </si>
  <si>
    <t>REHABILITATION OF HANGING BRIDGE AT AMOROS, EL SALVADOR CITY</t>
  </si>
  <si>
    <t>Construction of Prks. Lopues Michelle and Prk. Lacson Water Supply System, Level III, Brgy Dulao, Bago City  (RE-BID)</t>
  </si>
  <si>
    <t>PROPOSED MUNICIPAL BUILDING FRONT YARD LANDSCAPING (PHASE 1) &amp; REHABILITATION OF STREET LIGTH</t>
  </si>
  <si>
    <t>Improvement of Alvaniz Potable Water Supply System</t>
  </si>
  <si>
    <t>ITDI-200345 - SUPPLY AND DELIVERY OF FILING CABINET AND 3 LAYER LATERAL CABINET</t>
  </si>
  <si>
    <t>CAN - Various Supplies and Materials PR No. 476 UDM</t>
  </si>
  <si>
    <t>PURCHASE OF ONE (1) UNIT MOBILE RICE MILL FOR MUNICIPAL AGRICULTURE’S OFFICE, AITC, POBLACION, IMPASUGONG, BUKIDNON</t>
  </si>
  <si>
    <t>Procurement of One Unit Mini Dump Truck &amp; One Unit Mobile Crusher Machine for EENRO</t>
  </si>
  <si>
    <t>Concreting of Sihi - Daat FMR</t>
  </si>
  <si>
    <t>Procurement of 16,000 liters of Diesel</t>
  </si>
  <si>
    <t>REHABILITATION OF MULTI-PURPOSE BRGY. HALL PHASE 2 (BARANGAY CALAPUGAN, NATIVIDAD, PANGASINAN</t>
  </si>
  <si>
    <t>Supply &amp; Delivery of Portable Public Address System.</t>
  </si>
  <si>
    <t>Construction of Bleacher @ Covered Court</t>
  </si>
  <si>
    <t>Purchase of Generator Set</t>
  </si>
  <si>
    <t>Supply and Delivery of Drone Camera to be used at the Bureau of Fire Protection in the City of San Fernando, Pampanga</t>
  </si>
  <si>
    <t>PCADG-5020399000-1059-2020 Other Supplies &amp; Materials Expenses (DPCR)</t>
  </si>
  <si>
    <t>Purchase of One (1) Unit Mini Dump Truck</t>
  </si>
  <si>
    <t>Purchase of Motorboat Service</t>
  </si>
  <si>
    <t>Two (2) lots Calibration of Laboratory Equipment (21 items), as per BSP Technical Specifications, Terms of Reference, and Terms and Conditions</t>
  </si>
  <si>
    <t>Procurement of Improvement of Health Center - Barangay Batungan</t>
  </si>
  <si>
    <t>PBD Const/Improvement of Solar Type Street Lighting System-2</t>
  </si>
  <si>
    <t>ITDI-200341 - SUPPLY AND DELIVERY OF 3 LAYER GLASS SLIDING DOOR CABINET, SLIDING DOOR CABINET, AND LABORATORY CHAIR</t>
  </si>
  <si>
    <t>RELOCATION OF THREE LOCAL HEROES MONUMENT</t>
  </si>
  <si>
    <t>PCADG-1060-2020 Procurement of Audio Equipment for PNP Media Center (Last Phase) (PIO)</t>
  </si>
  <si>
    <t>SUBM#2020 -06 - 14 - To purchase Office Supplies to be used in the Quality Assurance Section, DPWH, Negros Occidental 2nd District Engineering Office, Binalbagan, Negros Occidental</t>
  </si>
  <si>
    <t>Purchase of One Unit Photo Copier Machine for Assessor's Office of this Local Unit</t>
  </si>
  <si>
    <t>ITDI-200344 - SUPPLY OF LABOR AND MATERIALS FOR THE REPAIR AND CALIBRATION OF JENWAY FLAME PHOTOMETER</t>
  </si>
  <si>
    <t>2nd Posting: Purchase of Sea Ambulance</t>
  </si>
  <si>
    <t>Procurement of One (1) unit Service Vehicle  Pick-up</t>
  </si>
  <si>
    <t>PURCHASE OF FUEL, OIL AND LUBRICANTS</t>
  </si>
  <si>
    <t>Cont. Ref. No. 062-20:Restoration of Riprap along Kumashang Municipal Road (Near M. Sebiano Res.)  at Tuding, Itogon, Benguet</t>
  </si>
  <si>
    <t>Procurement for the Supply, Delivery and Installation of Window Blinds and Office Furniture and Fixtures for Improvement of Government Building</t>
  </si>
  <si>
    <t>Procurement of office supplies of INREMP Kalinga for the First Semester CY-2020</t>
  </si>
  <si>
    <t>Concreting of Malbog-Haynon FMR</t>
  </si>
  <si>
    <t>020-GOODS-048 / GENERAL MERCHANDISE</t>
  </si>
  <si>
    <t>Continuous Construction/Rehabilitation of Farm to Market Road in Sitio Pulao-Pulao, Brgy. Paagahan, Mabitac, Laguna</t>
  </si>
  <si>
    <t>20DC0207 - LOCAL PROGRAM, Local Infrastructure Program, Buildings  			and Other Structures, Multipurpose/Facilities,  			Construction (Completion)/Repair/Rehab/Improvement of Multi-Purpose Building, B</t>
  </si>
  <si>
    <t>CONSTRUCTION OF BS IN ENTREPRENEURSHIP DISPLAY AND PRODUCTION ROOM</t>
  </si>
  <si>
    <t>SUPPLY &amp; DELIVERY OF HOSPITAL/MEDICAL EQUIPMENT</t>
  </si>
  <si>
    <t>1 Lot Catering Services good for 75 pax for Crafting of the propose Provincial Omnibus Revenue Code on June 17, 2020 in Palo, Leyte ABC PHP69,500.00</t>
  </si>
  <si>
    <t>PREVENTIVE MAINTENANCE P.R. 0482 SERIES OF 2020</t>
  </si>
  <si>
    <t>Construction of Humayan Water Supply System, Level III, Brgy Tabunan, Bago City (RE-BID)</t>
  </si>
  <si>
    <t>20PK0070 - Repair/Maintenance of DPWH Building, Quality Assurance Section Office Building, P-6, Bulanao, Tabuk City, Kalinga</t>
  </si>
  <si>
    <t>IMPROVEMENT OF THE GUANG-GUANG MANGROVE PARK</t>
  </si>
  <si>
    <t>PROCUREMENT OF WINDOWS REPAIR (LABOR AND MATERIALS)</t>
  </si>
  <si>
    <t>Cluster N14-2020</t>
  </si>
  <si>
    <t>Procurement of One (1) unit Brand New MPV</t>
  </si>
  <si>
    <t>Supply and Delivery of Assorted Medicines for Municipal Health Office of Cuyo</t>
  </si>
  <si>
    <t>Purchase of Supplies</t>
  </si>
  <si>
    <t>PRINTER</t>
  </si>
  <si>
    <t>1 set Diesel Tractor L5018  for Brgy. Equipment Project @ San Agustin, Talibon, Bohol</t>
  </si>
  <si>
    <t>Concreting of Jct. Recodo Road to Sitio Panorama, Cawayan, Masbate</t>
  </si>
  <si>
    <t>Construction of Prk. Paghidaet and Prk. Mabuhay Water Supply System, Level III, Brgu Sagasa, Bago City (RE-BID)</t>
  </si>
  <si>
    <t>SUPPLY &amp; DELIVERY OF 5 KVA UPS</t>
  </si>
  <si>
    <t>ELECTRICAL</t>
  </si>
  <si>
    <t>Purchase of Office Equipment used in the Office of Municipal Mayor</t>
  </si>
  <si>
    <t>MED</t>
  </si>
  <si>
    <t>Procurement of Infrastructure - Installation of Solar LED Street Light at Barangay Salingcomot</t>
  </si>
  <si>
    <t>Procurement on Delivery of Materials for Concreting of Farm to Market Road</t>
  </si>
  <si>
    <t>Procurement of Construction Materials for the Repair and Maintenance of Drainage at Malay Slaughterhouse</t>
  </si>
  <si>
    <t>Construction of Prk. Bantolino Water Supply System, Brgy Ma-ao, Bago City (RE-BID)</t>
  </si>
  <si>
    <t>For Construction of Prk. Masinadyahon Water Supply System, Brgy. Atipuluan, Bago City (RE-BID)</t>
  </si>
  <si>
    <t>Purchase of Footbaths</t>
  </si>
  <si>
    <t>PROCUREMENT OF OFFICE SUPPLIES AND MATERIALS</t>
  </si>
  <si>
    <t>CCTV</t>
  </si>
  <si>
    <t>5029905003-203-2020</t>
  </si>
  <si>
    <t>Supply and Delivery of 1000 Amperes Circuit Breaker for MCC2</t>
  </si>
  <si>
    <t>5020305000-177-2020</t>
  </si>
  <si>
    <t>Purchase of One (1) Unit Wheeled Backhoe</t>
  </si>
  <si>
    <t>RFQ PR No 2020-05-016 Purchase of Office Supplies for Use at the Construction Section</t>
  </si>
  <si>
    <t>Procurement of Infrastructure - Rehabilitation of Barangay Road from Diversion Road to Sitio Paopagon</t>
  </si>
  <si>
    <t>REGISTRAR</t>
  </si>
  <si>
    <t>SUPPLY &amp; DELIVERY OF MATERIALS FOR REPAIR OF CEILING AT BFP-NARRA</t>
  </si>
  <si>
    <t>Construction of Limay Fire Station, Bataan</t>
  </si>
  <si>
    <t>Procurement of Infrastructure - Rehabilitation of Barangay Road from Proper San Victor to Sitio Heni</t>
  </si>
  <si>
    <t>Improvement of Day Care Center</t>
  </si>
  <si>
    <t>20GII0009 Repair and Maintenance of Defective Roadways under D.O. 41 s2016 along Catarman-Laoang Road and Rawis-Catubig Road, Northern Samar Second District</t>
  </si>
  <si>
    <t>Purchase of 1 Unit Laptop for Assessor's Office</t>
  </si>
  <si>
    <t>Continuous Construction/Rehabilitation of Local Roads in Sitio Babar, Brgy. San Miguel, Mabitac, Laguna</t>
  </si>
  <si>
    <t>DRRM</t>
  </si>
  <si>
    <t>ITDI-200340 - SUPPLY AND DELIVERY OF ISOPROPYL ALCOHOL</t>
  </si>
  <si>
    <t>For Construction/Extension of Prks. Gabi, Saging, Kawayan and Tuburan Water Supply System, Level III, Brgy. Malingin, Bago City (RE-BID)</t>
  </si>
  <si>
    <t>Construction of Pathwalk - Purok 1</t>
  </si>
  <si>
    <t>SUPPLY AND DELIVERY OF MATERIALS AND TOOLS FOR USE IN THE REPAIR/MAINTENANCE OF VARIOUS NATIONAL ROADS AND BRIDGES</t>
  </si>
  <si>
    <t>Purchase of Medicines and Dental Equipment</t>
  </si>
  <si>
    <t>FIRE</t>
  </si>
  <si>
    <t>REHABILITATION OF MULTI-PURPOSE HALL (OLD MUNICIPAL BUILDING)</t>
  </si>
  <si>
    <t>Procurement of Infrastructure - Installation of Solar LED Street Light at Barangay San Isidro</t>
  </si>
  <si>
    <t>Construction Of Prk. Hibong Water Supply System, Level III, Brgy. Don Jorge Araneta, Bago City (RE-BID)</t>
  </si>
  <si>
    <t>30 cylinders Gass Chlorine, 99% Purity</t>
  </si>
  <si>
    <t>PROCUREMENT OF KOREAN COMBI BLINDS TO BE USED IN THE ADMINISTRATIVE, ACCOUNTING &amp; BUDGET OFFICE</t>
  </si>
  <si>
    <t>PR-2020-06-01</t>
  </si>
  <si>
    <t>Improvement of Public Bus Terminal (Building), Brgy. Triangulo</t>
  </si>
  <si>
    <t>OS</t>
  </si>
  <si>
    <t>20KL007 (Goods)</t>
  </si>
  <si>
    <t>Procurement on Delivery of Materials for the Installation of Submersible Pump &amp; Distribution Line of Tanza Water Works (TAWA)</t>
  </si>
  <si>
    <t>Procurement of Infrastructure - Construction of 2 units Single Detached Commercial Hometel at Sunrise Boulevard</t>
  </si>
  <si>
    <t>Vehicle Repair &amp; Maintenance</t>
  </si>
  <si>
    <t>Procurement of Computer Set use in Mun. Treasurer's Office</t>
  </si>
  <si>
    <t>20-03-069 dated 03-06-2020</t>
  </si>
  <si>
    <t>For use of the City Agriculture Office, Bago City (RE-BID)</t>
  </si>
  <si>
    <t>PURCHASE OF OFFICE EQUIPMENT</t>
  </si>
  <si>
    <t>CONSTRUCTION OF STREETLIGHTS ALONG TANZA-TRECE ROAD</t>
  </si>
  <si>
    <t>CO - CONSTRUCTION MATERIAL INVENTORY</t>
  </si>
  <si>
    <t>For use at Bago City Hospital, Bago City (Laboratory Supplies) (RE-BID)</t>
  </si>
  <si>
    <t>ITDI-200339 - SUPPLY OF LABOR AND MATERIALS FOR THE COMPREHENSIVE PREVENTIVE MAINTENANCE SERVICE FOR ADMATEL AIR HANDLING UNIT</t>
  </si>
  <si>
    <t>Materials for the concrete paving of road</t>
  </si>
  <si>
    <t>SUPPLY AND DELIVERY</t>
  </si>
  <si>
    <t>pr no 2020-188 PEP BAGS</t>
  </si>
  <si>
    <t>20CB-GSC-305	REPAIR OF MOTOR VEHICLE (RE-BID)</t>
  </si>
  <si>
    <t>RFQ / PR 20-05-0268 / PROCUREMENT OF DSLR CAMERA WITH 18-105MM KIT LENS AND BAG</t>
  </si>
  <si>
    <t>For pump stations treatment (1,2,3,4,6,7,8, &amp; 9)</t>
  </si>
  <si>
    <t>For use of the City Agriculturist Office Palay Seed Subsidy Project (RE-BID)</t>
  </si>
  <si>
    <t>IMPROVEMENT OF BASKETBALL COURT (PHASE II) AT PARADAHAN II</t>
  </si>
  <si>
    <t>Supply and delivery of 2 units Motorcycle use at Engineering Office as Service for Inspection of Projects, Mauban, Quezon.</t>
  </si>
  <si>
    <t>For  Widening of Road &amp; Construction of Drainage System along Sarmiento Street (Sarmiento St. Extension), Brgy. Poblacion, Bago City (RE-BID)</t>
  </si>
  <si>
    <t>20CB-GSC-304	PURCHASE OF FUEL &amp; LUBRICANTS (RE-BID)</t>
  </si>
  <si>
    <t>Procurement of Infrastructure - Rehabilitation of Barangay Road from Sitio Cabanbanan, Barangay Dapnan to Sitio Lapaz &amp; Sitio Calinaban, Barangay San Isidro</t>
  </si>
  <si>
    <t>R&amp;DR-20-1216(R1): Procurement of Prepaid Cellphone Cards to be used for encoding of RCM Interview, ME &amp; L, Farming Monitor, Research Trial Implementation and Communication purpose for RCM Activities..</t>
  </si>
  <si>
    <t>Construction of 1 unit Health Station at Barangay Cambayobo, Calatrava Negros Occidental</t>
  </si>
  <si>
    <t>For Bago City PNP use, Bago City (RE-BID)</t>
  </si>
  <si>
    <t>Supply and Delivery of ICT Equipment and Furniture &amp; Fixtures to be used in Different Offices, Naujan, Oriental Mindoro</t>
  </si>
  <si>
    <t>PBG-2020-04-10 PROCUREMENT OF OFFICE SUPPLIES FOR 1ST QUARTER CY 2020.</t>
  </si>
  <si>
    <t>Repair of Submersible Motor Pump</t>
  </si>
  <si>
    <t>Procurement on Delivery of Materials for the Improvement of Multi Purpose Building</t>
  </si>
  <si>
    <t>Construction of Orani Fire Station, Bataan</t>
  </si>
  <si>
    <t>Concreting of Barangay Agpangi - Barangay Bagacay, Farm to Market Road</t>
  </si>
  <si>
    <t>Fencing of Multi-Purpose Hall</t>
  </si>
  <si>
    <t>CONSTRUCTION OF 24 UNITS STREETLIGHTS AT TANAUAN</t>
  </si>
  <si>
    <t>For use at Bago City Hospital, Bago City (Medical Supply) (RE-BID)</t>
  </si>
  <si>
    <t>Repost:  DISPOSAL BY SALE OF VARIOUS UNSERVICEABLE PROPERTIES, SCRAP AND VARIOUS VEHICLES AND HEAVY EQUIPMENT ON AN "AS-IS AND WHERE- IS" BASIS.</t>
  </si>
  <si>
    <t>Renovation of Capitol Multi-purpose building 1 and building 2 (Capitol Hills, Brgy. Telaje, Tandag City, Surigao del Sur  ).</t>
  </si>
  <si>
    <t>ITDI-200338 - SUPPLY OF LABOR AND MATERIALS FOR THE COMPREHENSIVE PREVENTIVE MAINTENANCE SERVICE FOR ADMATEL GENERATOR SET</t>
  </si>
  <si>
    <t>Package 1: Various MPP, Taggay &amp; Ballayangon, Pinukpuk</t>
  </si>
  <si>
    <t>Supply and Delivery of Fuel and Lubricants</t>
  </si>
  <si>
    <t>Supply and Installation of Streetlights</t>
  </si>
  <si>
    <t>Concreting of Barangay Malatas - Barangay Telim, Farm to Market Road</t>
  </si>
  <si>
    <t>Rehabilitation of Covered Court at Inocencio Lucasan Elementary School, Brgy Abuanan, Bago City (RE-BID)</t>
  </si>
  <si>
    <t>Procurement of Infrastructure - Road Opening at Ikog Buaya, Sitio Nonocan</t>
  </si>
  <si>
    <t>Training package of Security, body guard and traffic enforcers of Mauban, Quezon.</t>
  </si>
  <si>
    <t>Procurement on Delivery of Materials for Improvement of Day Care Center</t>
  </si>
  <si>
    <t>Package 2: Various Concrete Pathway, Taggay &amp; Limos, Pinukpuk</t>
  </si>
  <si>
    <t>Road Opening of Brgy. Maitom – Maticdum Farm to Market Road (Tandag City, Surigao del Sur   ).</t>
  </si>
  <si>
    <t>20CB-GSC-306	PURCHASE OF OFFICE EQUIPMENT (RE-BID)</t>
  </si>
  <si>
    <t>Construction of Bantayan Park Water Supply System, Brgy Poblacion, Bago City (RE-BID)</t>
  </si>
  <si>
    <t>COMPLETION OF PLARIDEL COMMUNITY HOSPITAL BLDG.(PHASE VII)</t>
  </si>
  <si>
    <t>FURNISHING OF LABOR AND MATERIALS FOR THE CLEANING/CLEARING OF WATERLILIES, LOGS, WASTES AND OTHER DEBRIS AT AGUS 7  HEP DAM, SPILLWAY &amp; INTAKE</t>
  </si>
  <si>
    <t>Construction of 1.2m width x 18m length Steel Footbridge at Prk. Balatong, Brgy Ilijan, Bago City (RE-BID)</t>
  </si>
  <si>
    <t>IMPROVEMENT &amp; REPAIR OF CANAL LINING AT DAANG AMAYA I</t>
  </si>
  <si>
    <t>Supply and delivery of labor and materials for Various Security Uniforms and Shirts</t>
  </si>
  <si>
    <t>PROCUREMENT OF RESCUE MATERIALS AND EQUIPMENT</t>
  </si>
  <si>
    <t>Construction of 1 unit Day Care Center at Barangay Cambayobo, Calatrava Negros Occidental</t>
  </si>
  <si>
    <t>20CB-GSC-307-PURCHASE OF IMAGE SCANNER (RE-BID)</t>
  </si>
  <si>
    <t>CONSTRUCTION OF EVACUATION CENTER</t>
  </si>
  <si>
    <t>Supply and Delivery of Office Supply - Php283,550.00</t>
  </si>
  <si>
    <t>Purchase of Blood Chemistry Supplies for Diagnostic Center of this municipality</t>
  </si>
  <si>
    <t>various water connection fittings</t>
  </si>
  <si>
    <t>Supply and Delivery of Desktop Computer, AVR and Colored Printer ( F-008-0373-20 )</t>
  </si>
  <si>
    <t>RFQ / 20-06-0274 / PROCUREMENT OF MARINE PLYWOOD AND 8 OTHER LINE ITEMS</t>
  </si>
  <si>
    <t>Materials to be used for the standard tapping of new wells at various locations.</t>
  </si>
  <si>
    <t>FABRICATION OF ELEVATED WATER TANK</t>
  </si>
  <si>
    <t>CONSTRUCTION OF MONUMENT PEDESTAL AT BIWAS AND JULUGAN I</t>
  </si>
  <si>
    <t>Completion of Halfway House Building (Dayuan, Tago, Surigao del Sur  ).</t>
  </si>
  <si>
    <t>purchase aircon</t>
  </si>
  <si>
    <t>Supply and delivery of Materials for Improvement of Multi-Purpose Hall in Brgy. Bato, Mauban, Quezon</t>
  </si>
  <si>
    <t>Supply of Materials, Tailoring and delivery of COD Working Uniforms</t>
  </si>
  <si>
    <t>SENIOR'S WALKATHON 2020</t>
  </si>
  <si>
    <t>PROCUREMENT OF EMERGENCY RESCUE MOTOR VEHICLE</t>
  </si>
  <si>
    <t>Supply and Delivery of Various size of Ci Butterfly Valve and Various Pumps ( D-032-0284-20 )</t>
  </si>
  <si>
    <t>Improvement of Hummaning-Puulen Pathway</t>
  </si>
  <si>
    <t>ITDI-200337 - SUPPLY AND DELIVERY OF VITAMIN C WITH ZINC</t>
  </si>
  <si>
    <t>ITDI-200336 - SUPPLY AND DELIVERY OF VARIOUS LABORATORY SUPPLIES</t>
  </si>
  <si>
    <t>AMAD-20-1302(R1): Procurement of Office Supplies to be used at AMAD Office</t>
  </si>
  <si>
    <t>Procurement of  CCTV Camera Procurement of  supplies fo Clean &amp; Beautification</t>
  </si>
  <si>
    <t>Strengthening of Existing 100MMØ PVC pipe Distribution Main along Burgos St., Dagupan City</t>
  </si>
  <si>
    <t>Procurement of  CCTV Camera</t>
  </si>
  <si>
    <t>Purchase and Delivery of Office Equipment and Materials</t>
  </si>
  <si>
    <t>PR-2020-06-03</t>
  </si>
  <si>
    <t>Procurement of Electrical Supplies &amp; St.Lights Procurement of  CCTV Camera</t>
  </si>
  <si>
    <t>Various Hauling Services (Lots 1 and 2)</t>
  </si>
  <si>
    <t>Procurement of Government Vehicle</t>
  </si>
  <si>
    <t>ITDI-200326 - SUPPLY AND DELIVERY OF HPLC COLUMN</t>
  </si>
  <si>
    <t>AIR CONDITIONING UNIT</t>
  </si>
  <si>
    <t>RFQ-2020-06-04</t>
  </si>
  <si>
    <t>RFQ ANNUAL PEST CONTROL</t>
  </si>
  <si>
    <t>RFQ-SeniorHS JUNE2020 Office Supplies</t>
  </si>
  <si>
    <t>PROCUREMENT OF OFFICE MATERIALS AND SUPPLIES</t>
  </si>
  <si>
    <t>BARANGAY DAY</t>
  </si>
  <si>
    <t>RFQ-2020-06-01-SH</t>
  </si>
  <si>
    <t>DISASTER REHABILITATION AND RECOVERY, PURCHASE OF RESCUE VEHICLE</t>
  </si>
  <si>
    <t>Procurement of electrical wirings and water system materials for use of the 5 SUSIMO Buildings of DENR-INREMP Kalinga</t>
  </si>
  <si>
    <t>ITDI-200297 - SUPPLY AND DELIVERY OF N-HEPTANE</t>
  </si>
  <si>
    <t>Repair/Improvement of Slaughterhouse at Barangay Boclod, San Jose, Camarines Sur</t>
  </si>
  <si>
    <t>PR-2020-06-04</t>
  </si>
  <si>
    <t>ITDI-200206 - SUPPLY AND DELIVERY OF VARIOUS LABORATORY SUPPLIES</t>
  </si>
  <si>
    <t>CONSTRUCTION OF MULTIPURPOSE HALL BUILDING</t>
  </si>
  <si>
    <t>SANITARY AND CLEANING SUPPLIES</t>
  </si>
  <si>
    <t>WIDENING OF MUNICIPAL STREETS  AT PUROK RIVERSIDE, BRGY. ROBLES</t>
  </si>
  <si>
    <t>ITDI-200296 - SUPPLY AND DELIVERY OF VARIOUS OFFICE SUPPLIES</t>
  </si>
  <si>
    <t>Concreting of Roads (Shoulders), Along Highway Road, Caritan Centro, Tuguegarao City</t>
  </si>
  <si>
    <t>ITDI-200325 - SUPPLY AND DELIVERY OF TELEVISION</t>
  </si>
  <si>
    <t>ITB No. 20-23 Procurement of Drugs and Medicines</t>
  </si>
  <si>
    <t>PR-2020-06-02-SH</t>
  </si>
  <si>
    <t>SAYAWAN SA KALYE</t>
  </si>
  <si>
    <t>WATER METER 1/2</t>
  </si>
  <si>
    <t>Construction of Masonry Drainage Structure, Along Highway Road, Caritan Centro, Tuguegarao City</t>
  </si>
  <si>
    <t>ITDI-200294 - SUPPLY AND DELIVERY OF LF38 OFFICE DESK</t>
  </si>
  <si>
    <t>ITDI-200314 - SUPPLY AND DELIVERY OF CONTINUOUS FORMS</t>
  </si>
  <si>
    <t>RFQ-2020-06-03-SH</t>
  </si>
  <si>
    <t>Procurement of Polo Shirts and T-Shirts with Print for LGU-Naga</t>
  </si>
  <si>
    <t>SUPPORT TO ECO-TOURISM PROMOTION FOR SUSTAINABLE LIVELIHOOD &amp; EMPLOYMENT</t>
  </si>
  <si>
    <t>SANITARY EQUIPMENT</t>
  </si>
  <si>
    <t>BARANGAY DAY PARADE</t>
  </si>
  <si>
    <t>PASEO NG MGA BANDA</t>
  </si>
  <si>
    <t>additional CCTV</t>
  </si>
  <si>
    <t>KAINANG BAYAN</t>
  </si>
  <si>
    <t>AB-2020-0012: Supply and Delivery of   Personal Protective Equipment (PPE) for use of Ilocos Norte 2nd District Engineering Office</t>
  </si>
  <si>
    <t>Clustered Repair/Maintenance of DOST Building, (Regional Office - CAR, Provincial Science &amp; Technology, Sericulture Building, and Training Center), Km. 6, La Trinidad, Benguet</t>
  </si>
  <si>
    <t>Purchase of Construction Materials used for the Improvement of Multi-Purposed Hall located at Riverside, Brgy. Sto. Niño, San Mateo, Rizal</t>
  </si>
  <si>
    <t>CLEANING MATERIALS</t>
  </si>
  <si>
    <t>Repair/Maintenance of DPWH Building Bolo Field Office, Bokod, Benguet</t>
  </si>
  <si>
    <t>Clustered Repair/Maintenance of DPWH Building, (Poyopoy Marcos Highway Public Restroom, Taloy Sur and Baguio city Limit - Sto. Tomas Field Office), Tuba, Benguet</t>
  </si>
  <si>
    <t>Concreting of Local Roads at Barangay Tipan, Naga, Zamboanga Sibugay</t>
  </si>
  <si>
    <t>Construction of Masonry Drainage Structure, Along Reyno Street, Caritan Centro, Tuguegarao City</t>
  </si>
  <si>
    <t>Construction of Multi-Purpose Building, Centro 10, Tuguegarao City, Cagayan</t>
  </si>
  <si>
    <t>(JAE-CEDS) LABORATORY/ANALYTICAL SERVICES</t>
  </si>
  <si>
    <t>20PC0052 RE-CONSTRUCTION OF THE APAYAO LIVELIHOOD TRAINING CENTER LOCATED AT APAYAO NATIONAL GOVERNMENT CENTER, LUNA, APAYAO</t>
  </si>
  <si>
    <t>20GAB0003: Supply and Delivery of Thermoplastic Paint (White) and Thermoplastic Paint (Yellow)  for use Along National Roads Within Ilocos Norte 2nd District Engineering Office</t>
  </si>
  <si>
    <t>PURCHASE OF MEDALS</t>
  </si>
  <si>
    <t>PROCUREMENT OF ADDITIONAL OFFICE FURNITURE AND FIXTURES FOR BARANGAY HALL OF BARANGAY 109-A, TACLOBAN CITY</t>
  </si>
  <si>
    <t>Improvement/Rehabilitation of Barangay Bita Norte Child Development Center</t>
  </si>
  <si>
    <t>Repair/Maintenance of Flood Control along Kennon Road, K0216+120, Camp 1, Tuba, Benguet</t>
  </si>
  <si>
    <t>improvement of multi purpose building</t>
  </si>
  <si>
    <t>Supply &amp; Delivery of Materials to be used in the Rehabilitation of Evacuation Center in Different Barangays, Naujan, Oriental Mindoro</t>
  </si>
  <si>
    <t>20NF0077: CLUSTER: A. INSTALLATION/APPLICATION OF ROAD SIGN AND ROAD SAFETY DEVICES ALONG ALL NATIONAL ROAD, SIARGAO ISLAND, SURIGAO DEL NORTE B. REPAIR/MAINTENANCE OF MAASIN BRIDGE AT JCT. OSMENA-PIL</t>
  </si>
  <si>
    <t>REPAIR AND REHAB OF TABBAC (SLOPE PROTECTION AND REINFORCED CANAL), BULALACAO, MANKAYAN</t>
  </si>
  <si>
    <t>NEGOTIATED PROCUREMENT  FOR THE Fabrication and Delivery of  Prisoner’s Vehicle (PR-2020-9999-0185)</t>
  </si>
  <si>
    <t>Purchase of office Equipment, Computer Set and Printer Machine with Scanner for Brgy. Salay Mangaldan,Pangasinan</t>
  </si>
  <si>
    <t>Clustered Repair/Maintenance of DPWH Building, (AES - Annex Building, AES - Planning and Repair Bay Building, AES - Utility Building, and Materials Quality Control Lab. Building Benguet I District Eng</t>
  </si>
  <si>
    <t>Supply &amp; delivery of 60 Pcs. Stapler w/ remover &amp; other items;PR No. 20-1235 dated April 16, 2020</t>
  </si>
  <si>
    <t>PROCUREMENT OF LAN ADAPTER TYPE-C</t>
  </si>
  <si>
    <t>Rebidding: 10 lgths Deformed Steel Bars (16mmØ x 6.0m) and other items for 1st Revision-Continuance concreting of Dumaguete Balugo road from existing PCCP near Buling”s Residence connecting existing P</t>
  </si>
  <si>
    <t>SUPPLY AND DELIVERY OF CONSOLIDATED MEDICAL, DENTAL &amp; LAB. SUPPLIES  2ND POSTING</t>
  </si>
  <si>
    <t>RFQ (20-06-010) Various Drugs and Medicines</t>
  </si>
  <si>
    <t>Quotation - Provision of consultancy services of Physician</t>
  </si>
  <si>
    <t>MG-A5M20-091 ( UPGRADING OF PC HIGH BAY LIGHTING SYSTEM )</t>
  </si>
  <si>
    <t>RFQ (20-06-029) Various Medical Supplies</t>
  </si>
  <si>
    <t>CONSTRUCTION/IMPROVEMENT OF REINFORCED BOX CULVERT @ SO. NAGSIMBAWAAN BARANGAY CACABUGAOAN</t>
  </si>
  <si>
    <t>20NF0078: INSTALLATION OF ROAD SAFETY DEVICES AND ROAD SIGNAGES ALONG DAPA-UNION-GENERAL LUNA ROAD (S00366SG)</t>
  </si>
  <si>
    <t>CONSTRUCTION/REHABILITATION/IMPROVEMENT OF ROAD- SO. TALINGKAPOR BRGY. STA MARIA EAST, SNP.</t>
  </si>
  <si>
    <t>RFQ / 20-06-0269 / PROCUREMENT OF DWARF SANTAN MEDIUM SIZE AND 14 OTHER LINE ITEMS</t>
  </si>
  <si>
    <t>RFQ (20-06-028) Enteral Nutrition-Semi Elemental Nutrition 227 g Modular protein Formula</t>
  </si>
  <si>
    <t>20CB-GSC-308	PURCHASE OF NOTEBOOK AND DESKTOP COMPUTERS</t>
  </si>
  <si>
    <t>20PC0059 CONSTRUCTION/REHABILITATION OF WATER SUPPLY /SEPTAGE AND SEWERAGE/RAIN WATER COLLECTORS-RAIN WATER COLLECTORS IN PUBLIC FACILITIES</t>
  </si>
  <si>
    <t>Purchase of Fixed glass Analogue, Sliding doors and Hanging Cabinet for Brgy. Salay Mangaldan,Pangasinan</t>
  </si>
  <si>
    <t>Continuation of Barangay Health Station, Brgy. San Agustin, Gumaca, Quezon</t>
  </si>
  <si>
    <t>SUPPLY AND DELIVERY OF DRUGS &amp; MEDICINES 2ND POSTING</t>
  </si>
  <si>
    <t>20CB-GSC-310	PURCHASE OF DIESEL AND GASOLINE FOR CVMO</t>
  </si>
  <si>
    <t>RFQ (20-06-023) Opthalmology Supplies</t>
  </si>
  <si>
    <t>Rebidding: 45 cu.m concrete premix (3000 psi @ 28 days) cf: 9 bags/cu.m for Barangay Junob-Continuance of road concreting Babajuba road (from end of concrete road to Babajuba Elementary School.</t>
  </si>
  <si>
    <t>RFQ / 20-06-0273 / PROCUREMENT OF CERAMIC FLOOR TILES, 30 X 60CM AND 7 OTHER LINE ITEMS</t>
  </si>
  <si>
    <t>PROCUREMENT OF CATERING SERVICES IN PANDAG MUNICIPALITY</t>
  </si>
  <si>
    <t>REHAB AND IMPROVEMENT OF GADAGAD-GUIWENG BRGY ROAD (GROUTED RIPRAP), SAPID, MANKAYAN</t>
  </si>
  <si>
    <t>SUPPLY AND DELIVERY OF MEDICAL, DENTAL &amp; LAB. SUPPLIES 2ND POSTING</t>
  </si>
  <si>
    <t>Continuation of Balangbang Evacuation Gym</t>
  </si>
  <si>
    <t>Cluster H8-2020</t>
  </si>
  <si>
    <t>PROCUREMENT OF TEST KITS FOR COVID-19</t>
  </si>
  <si>
    <t>Procurement of Maintenance and Support Service Agreement for existing Firewall /VPN Appliance</t>
  </si>
  <si>
    <t>IMPROVEMENT OF ST. LIGHTS AT BRGY. CABUGAO, BACUAG, SDN</t>
  </si>
  <si>
    <t>RFQ (20-05-097) Various Laboratory Reagents</t>
  </si>
  <si>
    <t>Repair of Customer Service Counter for GSIS Legazpi BO in relation w/ COVID-19 Set-up</t>
  </si>
  <si>
    <t>20CB-GSC-309	PURCHASE OF OFFICE EQUIPMENT</t>
  </si>
  <si>
    <t>supply and delivery of construction materials</t>
  </si>
  <si>
    <t>Procurement of Hospital Beds 3 Cranks Panel Type Complete Set w/6  “Bed Mattress, side rails for the use of Dr. Rafael S. Tumbokon Memorial Hospital-EEDD, Kalibo, Aklan/ITB no: 2020-335</t>
  </si>
  <si>
    <t>PROCUREMENT OF FIRST AND SECOND QUARTER VARIOUS OFFICE SUPPLIES</t>
  </si>
  <si>
    <t>Purchase of Materials for the Construction of Multi-Purpose Hall of Brgy. Pula</t>
  </si>
  <si>
    <t>Continuation of Barangay Health Station, Brgy. Villa Tanada, Gumaca, Quezon</t>
  </si>
  <si>
    <t>20CB-GSC-311 PURCHASE OF DRUGS AND MEDICINES FOR BARANGAYAN PROGRAM (RE-BID)</t>
  </si>
  <si>
    <t>Cluster P17-2020</t>
  </si>
  <si>
    <t>CONSTRUCTION OF DRAINAGE SYSTEM @ ZONE 6-8, BRGY. ABAR 1ST, SAN JOSE CITY</t>
  </si>
  <si>
    <t>Supply and Delivery of One Lot Office Supplies ITB # 2020-152</t>
  </si>
  <si>
    <t>SUPPLY AND DELIVERY OF SUBMERSIBLE CABLE  FOR SAMPAGUITA PUMPING STATION</t>
  </si>
  <si>
    <t>procurement of motorcycle 125 cc</t>
  </si>
  <si>
    <t>Continuation of Pangngad-Malibo Pathway</t>
  </si>
  <si>
    <t>Procurement of Various Agricultural Inputs and Post-Harvest Facilities for Technology Demonstration and Post-Harvest Projects Implementation under the National Fisheries Program for CY 2020</t>
  </si>
  <si>
    <t>REHAB/IMPROVEMENT AND CONSTRUCTION OF SLOPE PROTECTION AND DRAINAGE CANAL (PHASE I)</t>
  </si>
  <si>
    <t>procurement of double cab truck (garbage truck)</t>
  </si>
  <si>
    <t>Construction of Retaining Wall at Brgy. Lagyo Gumaca, Quezon</t>
  </si>
  <si>
    <t>Purchase of Electrical Materials for Barangay Alitaya Mangaldan,Pangasinan</t>
  </si>
  <si>
    <t>PROJ. 595 - C.O 2020</t>
  </si>
  <si>
    <t>PROCUREMENT OF LABORATORY SUPPLIES FOR PANTALEON G.GOTLADERA MEMORIAL HOSPITAL</t>
  </si>
  <si>
    <t>Construction of Day Care Center Phase 1</t>
  </si>
  <si>
    <t>BPSU:AC-DEAN Laboratory Supplies(Food) BSA &amp; BTVTE Aca Bldg.</t>
  </si>
  <si>
    <t>Labor and Materials for Construction of 18 units Streetlights  at Brgy Guesang Mangaldan, Pangasinan</t>
  </si>
  <si>
    <t>Rehab of Arjub-Aggihaw CIS</t>
  </si>
  <si>
    <t>Construction of Connecting Bridge from Mathay to NCR Building 3rd Floor</t>
  </si>
  <si>
    <t>Siganid (Buras) Production (DOLE-DILEEP), Brgy. Ipil, Surigao City</t>
  </si>
  <si>
    <t>Lot 1 (Lucio Vivero CS)-Bid Docs_2020 QRF-Repair - Tacloban City</t>
  </si>
  <si>
    <t>to comply Book Requirements by CHED request</t>
  </si>
  <si>
    <t>Continuation of Barangay Health Station, Brgy. Pagsabangan, Gumaca, Quezon</t>
  </si>
  <si>
    <t>ELECTRICAL SUPPLIES</t>
  </si>
  <si>
    <t>Rebidding: 36 cu.m Coarse Aggregates (2” max. size) and other items for continuance concreting of Vicinal road in Makugihon at Barangay Talay.</t>
  </si>
  <si>
    <t>BPSU:AC-DEAN Audio Visual Supplies &amp; Equipment BSA &amp; BTVTE Aca Bldg.</t>
  </si>
  <si>
    <t>Office Supplies, Consumables, Janitorial Supplies, Electrical Supplies and PPE Supplies for the 2nd Quarter</t>
  </si>
  <si>
    <t>Continuation of Mongol Potable Water System</t>
  </si>
  <si>
    <t>Construction of Fujajagi Footbridge</t>
  </si>
  <si>
    <t>Purchase of construction materials used for the construction of two storey PWD &amp; seniior citizens training center (phase-1)</t>
  </si>
  <si>
    <t>Bid No. 20-0254 - PROCUREMENT OF FOOD SUPPLIES - USE FOR MEO/MOTORPOOL (H.E OPERATORS AT CARAGAN AREA)</t>
  </si>
  <si>
    <t>PROCUREMENT OF MEDICAL SUPPLIES</t>
  </si>
  <si>
    <t>Procurement of Thermal Printer Card &amp; Printer Ribbon for F+M Family Medical Card for Indigents Project, Province of Aklan/ITB no: 2020-333</t>
  </si>
  <si>
    <t>Supply and Delivery of One Lot Kitchen Wares and Appliances ITB # 2020-153</t>
  </si>
  <si>
    <t>Repair of Three (3) C.R. at Ospital ng Tagaytay, Brgy. Kaybagal South, Tagaytay City</t>
  </si>
  <si>
    <t>Supply of Materials for the Repair Parts of M &amp; R: Communication Equipment of LMSs</t>
  </si>
  <si>
    <t>CONSTRUCTION OF DRAINAGE SYSTEM @ ZONE 9, BRGY. ABAR 1ST, SAN JOSE CITY</t>
  </si>
  <si>
    <t>Rehab of Amayao CIS</t>
  </si>
  <si>
    <t>IMPROVEMENT OF FARM TO MARKET ROAD, LUCOG</t>
  </si>
  <si>
    <t>Procurement of Various USB Flash Drive under IB No. 2020-210</t>
  </si>
  <si>
    <t>Rehab of Holang Water system</t>
  </si>
  <si>
    <t>IMPROVEMENT OF ROAD, SAN JUAN</t>
  </si>
  <si>
    <t>Purchase &amp; Delivery of Office Supplies &amp; Consumables for the Office of SPM Janina Joyce Tabios</t>
  </si>
  <si>
    <t>Rehab. of Irrigation Canals w/ Transfer Pump - Ambugat-Bangbangar-Subadi Sur</t>
  </si>
  <si>
    <t>BPSU:AC-DEAN Agricultural Supplies  BSA &amp; BTVTE Aca Bldg.</t>
  </si>
  <si>
    <t>Construction of Flood Control (Stone Masonry) - Cadacad</t>
  </si>
  <si>
    <t>20DI0115-Construction of Multi – Purpose Building (Barangay Hall Annex), Brgy. Canlubang, Calamba City, Laguna</t>
  </si>
  <si>
    <t>Cluster P16-2020</t>
  </si>
  <si>
    <t>Purchase of One (1) Lot Brand New One (1) unit 6x4 10-Wheeler Dump truck and One (1) Lot brand New One (1) unit 4x2 6-Wheeler Dump truck for the use in the Office of the Municipal Engineer</t>
  </si>
  <si>
    <t>Procurement of Brgy. Disaster Vehicle</t>
  </si>
  <si>
    <t>SUPPLY &amp; DELIVERY OF VARIOUS MATERIALS OF CALAGUAS DPP</t>
  </si>
  <si>
    <t>Rebidding: 11 lgths Deformed Steel Bar (16mmØ x 6.0m) and other items for Barangay Junob-continuance of road concreting Babajuba road (from end of concrete road to Babajuba Elementary School.</t>
  </si>
  <si>
    <t>supply  and delivery of construction materials</t>
  </si>
  <si>
    <t>Improvement of Cadaver Holding Area at Ospital ng Tagaytay, Brgy. Kaybagal South, Tagaytay City</t>
  </si>
  <si>
    <t>REPAIR AND REHAB OF TABBAC (SLOPE PROTECTION AND REINFORCED CANAL), MANKAYAN , BENGUET</t>
  </si>
  <si>
    <t>IMPROVEMENT OF WATERWORKS SYSTEM, BALANI, LUCOG</t>
  </si>
  <si>
    <t>Continuation of the Construction Loob-Liwo FMR</t>
  </si>
  <si>
    <t>Purchase of Police Stations Ammunition for Proficiency Firing</t>
  </si>
  <si>
    <t>Bid No. 20-0255 - PROCUREMENT OF FURNITURE &amp; FIXTURES - RADIO COMMUNICATION SERVICES OFFICE</t>
  </si>
  <si>
    <t>BPSU:AC-DEAN Laboratory  Supplies  BSA &amp; BTVTE Aca Bldg.</t>
  </si>
  <si>
    <t>Construction of Barangay Hand Washing Counter for Covid-19</t>
  </si>
  <si>
    <t>PROCUREMENT OF MEDICINES</t>
  </si>
  <si>
    <t>LCWD-2020-033 Office Supplies- Regular Stocks</t>
  </si>
  <si>
    <t>Purchase &amp; Delivery of Janitorial &amp; Other Supplies for the Office of SPM Mildred M. Elaydo</t>
  </si>
  <si>
    <t>Retaining Wall with Fence and Stairs Access at Tagaytay City National High School, Brgy. Mendez Crossing East, Tagaytay City</t>
  </si>
  <si>
    <t>Rehab. of Water System - Lucaban</t>
  </si>
  <si>
    <t>Procurement of Brand New Passenger Van</t>
  </si>
  <si>
    <t>Cluster H9-2020</t>
  </si>
  <si>
    <t>Rehab of Poblacion Water System</t>
  </si>
  <si>
    <t>Supply and Delivery of 6X6 Saddam Truck Rescue Vehicle (Surplus)</t>
  </si>
  <si>
    <t>SUPPLY AND DELIVERY OF LAPTOP FOR USE OF THE COMMISSION ON aUDIT</t>
  </si>
  <si>
    <t>Concreting of Farm to Market Road (Roma Norte-Batu Road)</t>
  </si>
  <si>
    <t>Purchase of good commodities used for different offices (bulk bidding)</t>
  </si>
  <si>
    <t>Improvement of Multi-Purpose Hall - Lucaban</t>
  </si>
  <si>
    <t>Supply &amp; Delivery of Security Services for TNHS School Campus. (S.Y. 2020-2021)</t>
  </si>
  <si>
    <t>Purchase &amp; Delivery of Janitorial &amp; Other Supplies for the Office of SPM Ronnie R. Rapanut</t>
  </si>
  <si>
    <t>Procurement of Training Equipment</t>
  </si>
  <si>
    <t>Installation of Office Divider/Cubicle-Glass &amp; Aluminum at City Planning &amp; Development Office, Tagaytay City Hall</t>
  </si>
  <si>
    <t>Completion of Tanod Outpost</t>
  </si>
  <si>
    <t>Rebidding: 30 cu.m Coarse Aggregates (2” max. size) and other items for Barangay Junob-continuance of road concreting Babajuba road (from end of concrete road to Babajuba Elementary School.</t>
  </si>
  <si>
    <t>Contract ID No. 20NC0121 - Repair/Maintenance of Bank Protection along Butuan City-Talacogon-La Paz-Loreto-Sta. Josefa Road, Ihawan Bridge (B01631MN), k1401+126 – k1401+240, Loreto, Agusan del Sur</t>
  </si>
  <si>
    <t>B20200206 - REHAB. OF FLORIDA-SUAON-GUPITAN PROVINCIAL ROAD</t>
  </si>
  <si>
    <t>CONSTRUCTION OF 1 UNIT 4.80 M X 6.00 TWO STOR MULTI PURPOSE BUILDING PHASE 1</t>
  </si>
  <si>
    <t>20DI0116- Repair/ Rehabilitation/ Improvement of Multi – Purpose Building, Brgy. Masaya, Bay, Laguna</t>
  </si>
  <si>
    <t>CONSTRUCTION OF AM-AM, EVACUATION CENTER (PHASE I), BALILI, MANKAYAN, BENGUET</t>
  </si>
  <si>
    <t>2LSSM2020A-144 Office Supplies</t>
  </si>
  <si>
    <t>LCWD-2020-034 Refurbishing Executive Chair with Highback</t>
  </si>
  <si>
    <t>Supply and Delivery of Handset Radio Transceiver</t>
  </si>
  <si>
    <t>Acquisition Of Supplies</t>
  </si>
  <si>
    <t>2LSSM2020A-145 Office Supplies</t>
  </si>
  <si>
    <t>Supply and Delivery of Construction Materials for the CAA Patrol Base at Barangay Digongan, Kitaotao, Bukidnon</t>
  </si>
  <si>
    <t>SAAD-20-1708(R1): Procurement of One Unit (1) Branded Smart TV to be used in SAAD presentation of reports, meetings, orientation, consultations and other related activities</t>
  </si>
  <si>
    <t>Purchase of construction materials used for the improvement of bongga mountain resort</t>
  </si>
  <si>
    <t>Procurement of IT Equipment for the use of Dr. Rafael S. Tumbokon Memorial Hospital-EEDD, Kalibo, Aklan/ITB no: 2020-336</t>
  </si>
  <si>
    <t>Purchase of Various Construction Materials and Supplies to be Used for the Expansion of School Canteen at MRPS South Regular, Molave East District</t>
  </si>
  <si>
    <t>SECURITY SERVICES REQUIREMENT</t>
  </si>
  <si>
    <t>20DI0117- Construction and/or Repair/ Rehabilitation of Multi – Purpose Building, Brgy. Tuntungin – Putho, Los Baños, Laguna</t>
  </si>
  <si>
    <t>INVITATION TO BID FOR THE PROPOSED CONSTRUCTION OF MULTI-PURPOSE BUILDING PHASE I AT BARANGAY SAN ISIDRO, VALENCIA CITY, BUKIDNON</t>
  </si>
  <si>
    <t>VEHICLES</t>
  </si>
  <si>
    <t>PROJ. 838 - RRMF 2020</t>
  </si>
  <si>
    <t>Construction of Livelihood &amp; Enterpreneur Center (Pasalubong Center)</t>
  </si>
  <si>
    <t>barangay multipurpose building hall</t>
  </si>
  <si>
    <t>Supply of Materials for the Repair Parts of M &amp; R: Power System of LMSs</t>
  </si>
  <si>
    <t>20JG0051 - rebid - Construction / Improvement of Access Roads leading to Seaports - Construction of Concrete Road Rebokon-Palaran-Tubopait-Sacbulan-Senior-Sagasan Road leading to San Pablo Port, Dumal</t>
  </si>
  <si>
    <t>Construction of Ihob Footbridge</t>
  </si>
  <si>
    <t>PROCUREMENT OF SNACKS</t>
  </si>
  <si>
    <t>Fabrication and Installation of ONE HUNDRED THIRTY-ONE (131) SIGNAGES OF AMRO RIVER PROTECTED LANDSCAPE</t>
  </si>
  <si>
    <t>JANITORIAL SERVICES REQUIREMENT</t>
  </si>
  <si>
    <t>Rebidding: 24 cu.m Sand (Std. specs) and other items for road Concreting at Purok Kalubihan fronting the residence of Nemesio Larena towards palm and pines street at Barangay Daro.</t>
  </si>
  <si>
    <t>Improvement health Center/Extention of RHU</t>
  </si>
  <si>
    <t>Construction of Amoclang Water System</t>
  </si>
  <si>
    <t>2LSSM2020A-146 Office Supplies</t>
  </si>
  <si>
    <t>2LSSM2020A-147 Office Supplies</t>
  </si>
  <si>
    <t>Pag-IBIG Fund CHQ (Supply and Delivery of One (1) Unit Passenger Van Vehicle (PV))</t>
  </si>
  <si>
    <t>B20200207 - CONST. OF 100 HOUSING UNITS AT BALAI PIG IMMIMANAN SITIO MASULONG, STO. NINO, TALAINGOD</t>
  </si>
  <si>
    <t>OFFICE SUPPLIES (Printing Services)</t>
  </si>
  <si>
    <t>2LSSM2020A-150 Other Supplies and Materials</t>
  </si>
  <si>
    <t>2LSSM2020A-149 Office Supplies</t>
  </si>
  <si>
    <t>Supply and Delivery of Fuel Tanker Truck Spare Parts</t>
  </si>
  <si>
    <t>20DI0118- Rehabilitation of Multi – Purpose Building, Camp Vicente Lim, Brgy. Mayapa, Calamba, Laguna</t>
  </si>
  <si>
    <t>Rehab of Pinnang Mini-dam and CIS</t>
  </si>
  <si>
    <t>Rehab of Alla' Attaban CIS</t>
  </si>
  <si>
    <t>PURCHASE OF ADDITIONAL RICE (25 KLS./BAG) FOR COVID-19 RELIEF GOODS.</t>
  </si>
  <si>
    <t>Improvement of Almeida Farmers Multi-purpose Pavement</t>
  </si>
  <si>
    <t>construction of solid drainage canal with cover</t>
  </si>
  <si>
    <t>1 Lot Provision of Labor, Materials and Equipment for the Installation of Olyset Net to various Hospital, Provincial Jail &amp; Leyte Sports Development Center, Province of Leyte. ABC PHP146,527.51</t>
  </si>
  <si>
    <t>RFQ and Notice of Procurement for PR No. 2020-06-0008 - Procurement of Thermal Scanners, Batteries and Foot Pedal Activated Alcohol Dispenser for use in the DPWH Regional Office No. III.</t>
  </si>
  <si>
    <t>20H00061 - Cluster Project: Construction of Rain Water Supply/Septage and Sewerage/Rain Water Collectors-Rain Water Collectors in Public Facilities-19 Units</t>
  </si>
  <si>
    <t>Construction of Butubut Sur Civic Center</t>
  </si>
  <si>
    <t>3 sets Multistage Submersible Pump and Motor</t>
  </si>
  <si>
    <t>BALLPEN, RED AND 5 LINE ITEMS</t>
  </si>
  <si>
    <t>Supply and Delivery of Electrical Wire and Eye Terminal</t>
  </si>
  <si>
    <t>Supply and Delivery of Pipes and Fittings</t>
  </si>
  <si>
    <t>Printing and Delivery of Printed Forms/Materials (Medicine Booklet and Grocery Booklet) to be used for various Senior Citizens of the City of San Fernando, Pampanga</t>
  </si>
  <si>
    <t>2LSSM2020A-148 Office Supplies</t>
  </si>
  <si>
    <t>Procurement of IT Equipment, Supplies, Peripherals &amp; Devices</t>
  </si>
  <si>
    <t>Construction of Two (2) Storey Men’s Dormitory Building at ESSU Salcedo Campus Re-Bidding</t>
  </si>
  <si>
    <t>VALANCE BOARD AND ELECTRICAL SUPPLIES FOR SENIOR HS</t>
  </si>
  <si>
    <t>Improvement of Bet-ang Farmers Multi-purpose Pavement</t>
  </si>
  <si>
    <t>Supply and Delivery of Office and Housekeeping Supplies for Stock at GSO</t>
  </si>
  <si>
    <t>SUPPLY &amp; DELIVERY OF VARIOUS MATERIALS(CONTAINMENT BASIN) OF MASBATE MINI GRID</t>
  </si>
  <si>
    <t>Construction of Pang-ot View Deck</t>
  </si>
  <si>
    <t>IMPROVEMENT/ REHABILITATION / UPGRADING OF SANITARY TOILET AND HYGIENE FACILITY FOR PUBLIC PLACES,PUBLIC MARKET, POBLACION, BACNOTAN, LA UNION</t>
  </si>
  <si>
    <t>Improvement of Municipal Mini Museum</t>
  </si>
  <si>
    <t>ADDITIONAL SUPPLIES FOR COVID-19 LIGTAS CENTER</t>
  </si>
  <si>
    <t>INSTALLATION OF GLASS PANELS FOR WINDOW TRANSACTION</t>
  </si>
  <si>
    <t>Drug &amp; Medicines</t>
  </si>
  <si>
    <t>PROCUREMENT OF MEDICAL/SURGICAL/LABORATORY/DENTAL &amp; X-RAY SUPPLIES FOR USE AT KALINGA PROVINCIAL HOSPITAL, 20-05-940</t>
  </si>
  <si>
    <t>Improvement of Bet-ang Farmers Multi-purpose Building</t>
  </si>
  <si>
    <t>20DI0119- Construction/ Completion of Covered Court, Brgy. Aplaya, Sta. Rosa City, Laguna</t>
  </si>
  <si>
    <t>2LSSM2020A-151 Other Supplies and Materials</t>
  </si>
  <si>
    <t>Procurement of Assorted Construction Supplies for the Repair of Different Building and Facilities of ASU Main</t>
  </si>
  <si>
    <t>Improvement of Sector 07 Camiling Farm to Market Road</t>
  </si>
  <si>
    <t>Procurement of Construction Materials for Waiting Area of Tabon Port</t>
  </si>
  <si>
    <t>for Garbage Collection NCI</t>
  </si>
  <si>
    <t>Construction Materials  for BRIGADA Skwela 2020</t>
  </si>
  <si>
    <t>Procurement of Information Technology and Accessories under P.R.Nos. 1593-2020(Sangguniang Panlungsod) and 1637-2020(Sangguniang Panlungsod-Augmentation for Legislative  Services)-1Lot</t>
  </si>
  <si>
    <t>Rehabilitation of Multi-Purpose Building</t>
  </si>
  <si>
    <t>Improvement of Pa-o Farmers Multi-purpose Building</t>
  </si>
  <si>
    <t>PROCUREMENT OF DIESEL</t>
  </si>
  <si>
    <t>YDF 2020</t>
  </si>
  <si>
    <t>Supply and Installation of Renewable, Clear Solar Powered Streetlights (50 watts LED-Integrated Solar Streetlights) Along  Brgys. San Juan &amp; San Andres Road,, Alaminos, Laguna</t>
  </si>
  <si>
    <t>Invitation to bid for Rehabilitation of Manpower Development &amp; Multi-Purpose Center</t>
  </si>
  <si>
    <t>Procurement of Agricultural Animals</t>
  </si>
  <si>
    <t>PURCHASE OF FUEL FOR PACIFIC INTERLOCAL HEALTH ZONE</t>
  </si>
  <si>
    <t>Purchase of ICT equipment used for different offices (bulk bidding)</t>
  </si>
  <si>
    <t>REPAIR &amp; MAINTENANCE MOTOR VEHICLE (CEISSAFP-PHP70,200.00)</t>
  </si>
  <si>
    <t>PROCUREMENT OF TIRES FOR THE REPAIR AND MAINTENANCE OF TRANSPORTATION EQUIPMENT</t>
  </si>
  <si>
    <t>Improvement of Sector 4&amp;5 Bungol Farm to Market Road</t>
  </si>
  <si>
    <t>PROCUREMENT OF DRUGS AND MEDICINES FOR USE AT KALINGA PROVINCIAL HOSPITAL, 20-05-804</t>
  </si>
  <si>
    <t>CONSTRUCTION OF LOCAL ROAD</t>
  </si>
  <si>
    <t>20DI0120- Replacement of Cambantoc Bridge, Brgy. Paciano Rizal,  Bay, Laguna</t>
  </si>
  <si>
    <t>Purchase of Seeds and other Farm inputs(for alternative Livelihood Program/Food Security Program).</t>
  </si>
  <si>
    <t>INSTALLATION OF SOLAR STREET LIGHTS, JUNCTION NATIONAL ROAD, FATIMA, POBACION DEL NORTE, TERMINAL, POBLACION DEL SUR, VILLABA, LEYTE SOURCE OF FUND: 20% EDF 2020</t>
  </si>
  <si>
    <t>INVITATION TO BID FOR THE SUPPLY AND DELIVERY OF 2 UNITS BRANDNEW UTILITY VAN FOR EFFICIENT DELIVERY OF SERVICES TO THE CONSTITUENT OF THE CITY GOVERNMENT OF VALENCIA, BUKIDNON</t>
  </si>
  <si>
    <t>PROCUREMENT OF INFORMATION AND COMMUNICATION TECHNOLOGY EQUIPMENT</t>
  </si>
  <si>
    <t>One (1) Unit 20KVA Uninterruptible Power Suply (UPS)</t>
  </si>
  <si>
    <t>2020-100 Clearing and Widening of Road Brgy Diaz</t>
  </si>
  <si>
    <t>for PV Systems Installation NCII</t>
  </si>
  <si>
    <t>PR NO. 1398 Steel Frame</t>
  </si>
  <si>
    <t>Procurement of Clothes and Supplies</t>
  </si>
  <si>
    <t>RENT SERVICES</t>
  </si>
  <si>
    <t>Procurement for the Supply and Delivery of Forty Four (44) units Pedicab and One (1) unit Fabricated Side Car with Signage, Public Employment Service Office, Barugo, Leyte</t>
  </si>
  <si>
    <t>B20200208 - CONST. OF 100 HOUSING UNITS AT BALAI LUPOWANAN AT SITIO NASILABAN, PALMA GIL, TALAINGOD, DDN</t>
  </si>
  <si>
    <t>TELEPHONE MOBILE EXPENSE  (OJ7-PHP57,300.00)</t>
  </si>
  <si>
    <t>Purchase of office equipment used for different offices (bulk bidding)</t>
  </si>
  <si>
    <t>Improvement of Sector 7 Calungbuyan Farm to Market Road</t>
  </si>
  <si>
    <t>Purchase of fixtures used for different offices (bulk bidding)</t>
  </si>
  <si>
    <t>IMPROVEMENT/ REHABILITATION / UPGRADING OF SANITARY TOILET AND HYGIENE FACILITY FOR PUBLIC PLACES, PUBLIC MARKET NORTH, POBLACION, BACNOTAN, LA UNION</t>
  </si>
  <si>
    <t>2LSSM2020A-154 Other Supplies and Materials</t>
  </si>
  <si>
    <t>2LSSM2020A-152 Other Supplies and Materials</t>
  </si>
  <si>
    <t>PURCHASE OF PROPERTY, PLANT &amp; EQUIPMENT (PPE), SEMI-EXPENDABLE EQUIPMENT (ICT EQUIPMENT) AND FURNITURE AND FIXTURES TO BE USED BY VARIOUS OFFICES/PROGRAMS OF DSWD FO III FOR THE 1ST SEMESTER OF 2020</t>
  </si>
  <si>
    <t>PURCHASE OF SPARE PARTS WITH LABOR OF MUN. VEHICLE (NISSAN URVAN OV 9314)</t>
  </si>
  <si>
    <t>2LSSM2020A-153 Other Supplies and Materials</t>
  </si>
  <si>
    <t>Construction of Teacher Education Building, NIPSC, Estancia, Iloilo</t>
  </si>
  <si>
    <t>Materials for the Construction of Comfort Room (Phase 3)</t>
  </si>
  <si>
    <t>Ref. No. 2020-010 Proposed Repair and Refurbishment of HTREX Building Located at NHA Main Compound, Elliptical Road, Diliman, Quezon City</t>
  </si>
  <si>
    <t>CawExt2020-001 Supply and Delivery of Materials for the Construction of Water System</t>
  </si>
  <si>
    <t>20GGI0033 - Installation of Nozzle Diesel Injector and Diagnostic System of Service Vehicle Ford Trekker Ranger H1-5788 w/ Plate No. SGF-634 assigned at the Quality Assurance Section, DPWH, Iloilo 4th</t>
  </si>
  <si>
    <t>One (1) Lot High Energy Ball Mill Mixer</t>
  </si>
  <si>
    <t>TIRES WITH TUBE AND FLAP FOR ROAD ROLLER</t>
  </si>
  <si>
    <t>Improvement of Cemetery Road</t>
  </si>
  <si>
    <t>Construction of Pa-o Farmers Multi-purpose Pavement</t>
  </si>
  <si>
    <t>20CSAH01 Conduct of Soil Exploration and/or Geotechnical Investigation for Various Bridge Projects in the 2nd and 4th Legislative Districts of Pangasinan</t>
  </si>
  <si>
    <t>Procurement of Disinfectants,  IB No. SB-2020-020</t>
  </si>
  <si>
    <t>Procurement of Live Animals</t>
  </si>
  <si>
    <t>REPAIR AND IMPROVEMENT OF BARANGAY BINONGA-AN HEALTH STATION (BHS), BARANGAY BULI (BHS), BARANGAY CAWAYAN (BHS),BARANGAY DONA JUANA (BHS) AND BARANGAY MA-BAYBAY (BHS) (PACKAGE A)</t>
  </si>
  <si>
    <t>Purchase of office supplies for repair &amp; maintenance ICT used for different offices (bulk bidding)</t>
  </si>
  <si>
    <t>REBIDDING ON THE PROVISION OF LABOR, MATERIALS, EQUIPMENT AND OTHER INCIDENTALS NEEDED FOR THE REHABILITATION OF BUNGAD DIVERSION DAM (DD) AT BRGY. ANGSET, CARASI, ILOCOS NORTE</t>
  </si>
  <si>
    <t>20DI0121- Construction of Flood Control Structure, Brgy. San Francisco, Biñan, Laguna</t>
  </si>
  <si>
    <t>Bid No. 20-0262 - PROCUREMENT OF OFFICE SUPPLIES - MBO (MUNICIPAL BUDGET OFFICE)</t>
  </si>
  <si>
    <t>Procurement of Construction Materials for the Construction of Multi-purpose Building</t>
  </si>
  <si>
    <t>PRAS NO. 2020-06-036 CATERING AND ACCOMMODATION</t>
  </si>
  <si>
    <t>20CSA001: CCONSULTANCY SERVICES FOR THE CONDUCT OF FEASIBILITY STUDY OF PROPOSED CONSTRUCTION OF MISSING LINKS AND NEW ROADS CERVANTES (ILOCOS SUR) - BESAO-SAGADA (MT. PROVINCE) ROAD VIA LAYLAYA (REGI</t>
  </si>
  <si>
    <t>ITDI-200367 - SUPPLY OF LABOR AND MATERIALS FOR THE REPAIR OF CENTRALIZED AIRCONDITIONING SYSTEM</t>
  </si>
  <si>
    <t>Construction and Installation of Solar Street Lighting System in Barangays Poblacion, Luna and Caranglaan, Mabini, Pangasinan</t>
  </si>
  <si>
    <t>Rehabilitation/ Improvement of Barangay Road</t>
  </si>
  <si>
    <t>PROCUREMENT OF TIRES, SPARE PARTS AND OIL FILTER FOR THE REPAIR AND MAINTENANCE OF TRANSPORTATION EQUIPMENT</t>
  </si>
  <si>
    <t>Repair of Public Market (5 Units Roll UP and Canal Gretings)</t>
  </si>
  <si>
    <t>Construction of Pathway</t>
  </si>
  <si>
    <t>Negotiation of Supply &amp; Delivery of Various Drugs &amp; Medicine for January 1 to December 31, 2020</t>
  </si>
  <si>
    <t>Procurement of N95 Mask,  IB No. SB-2020-021</t>
  </si>
  <si>
    <t>REBIDDING ON THE PROVISION OF LABOR, MATERIALS, EQUIPMENT AND OTHER INCIDENTALS NEEDED FOR THE REHABILITATION/IMPROVEMENT OF BIMOYAYONG DIVERSION DAM (DD) AT BRGY. VIRBIRA, CARASI, ILOCOS NORTE</t>
  </si>
  <si>
    <t>PROCUREMENT OF OTHER SUPPLIES  AND MATERIALS</t>
  </si>
  <si>
    <t>IMPROVEMENT/ REHABILITATION / UPGRADING OF SANITARY TOILET AND HYGIENE FACILITY FOR PUBLIC PLACES, PUBLIC MARKET SOUTH, BACNOTAN, LA UNION</t>
  </si>
  <si>
    <t>REBIDDING ON THE PROVISION OF LABOR, MATERIALS, EQUIPMENT AND OTHER INCIDENTALS NEEDED FOR THE REHABILITATION/IMPROVEMENT OF PIMENTEL SMALL WATER IMPOUNDING PROJECT (SWIP) CANAL LINING AT BRGY. PIMENT</t>
  </si>
  <si>
    <t>IMPROVEMENT / REHABILITION OF EVACUATION CENTER, AGTIPAL, BACNOTAN, LA UNION</t>
  </si>
  <si>
    <t>Purchase of plumbing materials used for Rm water system.</t>
  </si>
  <si>
    <t>20DI0122- Construction of Flood Control Structure, Brgy. Loma, Biñan, Laguna</t>
  </si>
  <si>
    <t>20GKG0023 (PR No. 23-03-061)- Procurement of Construction Materials and Supplies (102 cu.m. Crushed Aggregates and 34.00 cu.m. Fined Aggregates)  Intended for Transition/Over Lay along Linamon-Zamboan</t>
  </si>
  <si>
    <t>CONSTRUCTION OF PERIMETER FENCE (MINI PLAYGROUND)</t>
  </si>
  <si>
    <t>ICT Equipment for PIA XII</t>
  </si>
  <si>
    <t>PROCUREMENT OF OTHER SUPPLIES AND MATERIALS</t>
  </si>
  <si>
    <t>GOV-20-0593-B Purchase of Diesel Fuel</t>
  </si>
  <si>
    <t>SUPPLY AND DELIVERY OF ADDITIONAL CCTV CAMERA, CABLES &amp; OTHER MATERIALS</t>
  </si>
  <si>
    <t>Purchase of vehicle parts used for light &amp; heavy equipment.</t>
  </si>
  <si>
    <t>Construction/Concreting of Barangay Road Section in Barangays  Bacnit, Barlo, Cabanaetan, Luna, Patar and Tagudin</t>
  </si>
  <si>
    <t>REBIDDING ON THE PROVISION OF LABOR, MATERIALS, EQUIPMENT AND OTHER INCIDENTALS NEEDED FOR THE IMPROVEMENT OF TANGAOAN SMALL WATER IMPOUNDING PROJECT (SWIP) CANAL LINING AT BRGY. TANGAOAN, PIDDIG, ILO</t>
  </si>
  <si>
    <t>Installation of Solar Powered Street Lights</t>
  </si>
  <si>
    <t>ITDI-200343 - SUPPLY AND DELIVERY OF LAPTOP</t>
  </si>
  <si>
    <t>CONCRETING OF FMR located at KIMLAWIS, KIBLAWAN, DAVAO DEL SUR all in accordance to plans, specifications and scope of work and the Green Procurement Policy as adopted by Executive Order No. 30 series</t>
  </si>
  <si>
    <t>Procurement of Sprayers to be given by 22 barangays</t>
  </si>
  <si>
    <t>ITDI-200295 - SUPPLY AND DELIVERY OF ANALYTICAL BALANCE (DIGITAL)</t>
  </si>
  <si>
    <t>PROCUREMENT OF SOUND SYSTEM</t>
  </si>
  <si>
    <t>Backhoe Rental 55 hrs</t>
  </si>
  <si>
    <t>2020-053, CONCRETING OF BARANGAY ROAD AT PUROK 3-PUROK 5, LAGUMBINGAN, MIDSAYAP, COTABATO</t>
  </si>
  <si>
    <t>CONSTRUCTION OF MULTI-PURPOSE PAVEMENT - BRGY. A. TUMAMAK, CABUNGAHAN, BANGKAL, CAMPUROG, CANQUIASON, CASILION, CATAGBACAN, FATIMA, LIBAGONG, NEW BALANAC, PAYAO, SAMBULAWAN, SUBA, TINGHUB, VILLABA, LE</t>
  </si>
  <si>
    <t>Purchase of Materials for installation of Service Entrance and main Panel Board and Etc. of San Pablo City General Hospital Dialysis Clinic.</t>
  </si>
  <si>
    <t>Hotel Accomodation with Meals for 3 days  for use during the Annual Investment Planning Prioritization and Executive Budgetr Preparation(July 15-18, 2020)</t>
  </si>
  <si>
    <t>Purchase of Various Materials for the Repair and Maintenance of Service Vehicles assigned at BM Poloyapoy, BM Sanoria and BM Mariano Office</t>
  </si>
  <si>
    <t>Lot 2 (Tagpuro ES)-Bid Docs_2020 QRF-Repair - Tacloban City-compressed</t>
  </si>
  <si>
    <t>CONSTRUCTION OF PATHWALK AT BRGY. LANGKAAN II, CITY OF DASMARÑAS, CAVITE</t>
  </si>
  <si>
    <t>Supply and Delivery of Other Supplies and Materials (5020399000-06-20-02)</t>
  </si>
  <si>
    <t>ITDI-200293 - SUPPLY AND DELIVERY OF METALS IN SOIL CRM</t>
  </si>
  <si>
    <t>Procurement of Various Spare Parts-06-325(O)PEO</t>
  </si>
  <si>
    <t>Supply and Delivery of Various Laboratory Supplies for the Feed Chemical Analysis Laboratory with an ABC of P103,400.00 and PR# DA3-2020-06-02-21</t>
  </si>
  <si>
    <t>REBIDDING ON THE PROVISION OF LABOR, MATERIALS, EQUIPMENT AND OTHER INCIDENTALS NEEDED FOR THE REHABILITATION/IMPROVEMENT OF SARICAO SMALL WATER IMPOUNDING PROJECT (SWIP) AT BRGY. SARICAO, VINTAR, ILO</t>
  </si>
  <si>
    <t>20GKG0024 (PR No. 20-04-065)- Procurement of  Materials and Supplies for use in the Activity # 503-Installation of 10 (ten) sets of decontamination/sanitation tent along Iligan City-Marawi City Road,</t>
  </si>
  <si>
    <t>Supply and Delivery of Ci Gate Valve 6" and Check Valve 10" ( E-018-0318-20 )</t>
  </si>
  <si>
    <t>20GGI0034 - Supply/Delivery of Oil Filters, tires and Oil &amp; Lubricants for use of Various Service Vehicle of  DPWH Iloilo 4th District Engineering Office, Sta. Barbara, Iloilo</t>
  </si>
  <si>
    <t>Backhoe Rental 26 hrs</t>
  </si>
  <si>
    <t>Rebidding: 14 lgths Deformed Steel Bar (16mmØ x 6.0m) and other items for continuance concreting of Vicinal road in Makugihon at Barangay Talay.</t>
  </si>
  <si>
    <t>20DI0123- Improvement/ Repair/ Rehabilitation of Roads, NIA Road, Brgy. Mamatid to Brgy. Sala,Cabuyao City, Laguna</t>
  </si>
  <si>
    <t>Fifteen (15) PIeces HAnd Dryer, Electric</t>
  </si>
  <si>
    <t>Installation of Solar streetlights</t>
  </si>
  <si>
    <t>Supply and Delivery of Surgical Face Mask, gloves etc. for use in Administrative Division with PR#DA3-2020-06-08-84 &amp; ABC of P82,950.00</t>
  </si>
  <si>
    <t>Improvement of Road from Sitio Lamwas going to Sitio Pilipigan , Brgy. Pal-ew Tanjay City (n-119-2020)</t>
  </si>
  <si>
    <t>CONSTRUCTION OF FOOT BRIDGE LOCATED AT BRGY. ABNATE, KIBLAWAN, DAVAO DEL SUR all in accordance to plans, specifications and scope of work and the Green Procurement Policy as adopted by Executive Order</t>
  </si>
  <si>
    <t>Laboratory Tools and Equipment to be used in Sub Surface Exploration activities by Q.A.H.D.</t>
  </si>
  <si>
    <t>Purchase of 3,571 bags Fertilizer (50 kg./bag) Triple 14 (N14-P14-K14). 50/50 Scheme Fertilizer Subsidy for Rice production under Food Security Program.</t>
  </si>
  <si>
    <t>ITB-GS-20200313-01 - Supply and Delivery of 11,360 bundles Clear Plastic Jacket for Savings, Signature Card  and 10,400 reams Whitewove Paper Mimeo</t>
  </si>
  <si>
    <t>20DI0124- Construction of Tagumpay Bridge, Brgy. Tagumpay, Bay, Laguna</t>
  </si>
  <si>
    <t>Installation of Water Supply to Community Fish Landing Center</t>
  </si>
  <si>
    <t>ITDI-200368 - SUPPLY AND DELIVERY OF AERIAL DRONE LAPTOP WORKSTATION</t>
  </si>
  <si>
    <t>STACK EMISSION OF 1x560KW VOLVO GENSET OF BURIAS DPP</t>
  </si>
  <si>
    <t>20DI0125- Construction of San Jose – Bucal Bypass Road, Calamba City, Laguna</t>
  </si>
  <si>
    <t>2020-052, CONCRETING OF ROAD FROM PUROK 5-PUROK 9, SAN ISIDRO, MIDSAYAP, COTABATO</t>
  </si>
  <si>
    <t>Procurement of Various Chemical Products-06-324(O)PEO</t>
  </si>
  <si>
    <t>INVITATION TO BID FOR IMPROVEMENT OF BULALACAO BAY PARK FOR URBAN GREENING/EXPANSION OF FISH LANDING PORT</t>
  </si>
  <si>
    <t>CONSTRUCTION OF PERIMETER FENCE WITH PERGOLA OF EARLY CHILDHOOD CARE AND DEVELOPMENT CENTER AT POBLACION ZONE II, JAVIER LEYTE</t>
  </si>
  <si>
    <t>20GKG0025 (PR No. 20-05-071)- Procurement of Construction Materials and Supplies for use in the Repair/Maintenance of Drainage along Tagoloan-Baloi Road (Tagoloan Section), Tagoloan, Lanao del Norte,</t>
  </si>
  <si>
    <t>2020-054, CONCRETING OF BARANGAY ROAD FROM BARANGAY HALL TO PUROK 6, MALAMOTE, MIDSAYAP, COTABATO</t>
  </si>
  <si>
    <t>Rental of Equipment</t>
  </si>
  <si>
    <t>Road Concreting - Dirdirig</t>
  </si>
  <si>
    <t>20DI0126- Concreting of Road with Drainage, Barangays Casile and Malaban,</t>
  </si>
  <si>
    <t>Completion of Covered Court of VSU Isabel</t>
  </si>
  <si>
    <t>ITB - PROCUREMENT OF CONST MATERIALS AND SUPPLY FOR CONCRETING OF PRES GARCIA BRGY ROAD PHASE III</t>
  </si>
  <si>
    <t>REPAIR &amp; MAINTENANCE OF TRANSPORTATION EQUIPMENT</t>
  </si>
  <si>
    <t>Purchase of Construction Materials for the Rehabilitation of Movable Stage</t>
  </si>
  <si>
    <t>Provision of meals and snacks to be served during the conduct of FFS on Climate Smart Rice Production with PR#2020-06-03-37 and ABC of P75,000.00</t>
  </si>
  <si>
    <t>Procurement of Link Load Balancer under IB No. 2020-219</t>
  </si>
  <si>
    <t>Rebidding: 304 bags Portland Cement (40 kgs/bag) and other items for road Concreting at Purok Kalubihan fronting the residence of Nemesio Larena towards palm and pines street at Barangay Daro.</t>
  </si>
  <si>
    <t>One (1) Lot recabling of CCTV Perimeter Backbone</t>
  </si>
  <si>
    <t>Repair and Maintenance - Office Buildings (5021304001-06-20-01)</t>
  </si>
  <si>
    <t>Lot 3 (Cabalawan ES)-Bid Docs_2020 QRF-Repair - Tacloban City-compressed</t>
  </si>
  <si>
    <t>20DI0127- Construction of Multi-Purpose Building, Brgy. Macabling, Santa Rosa, Laguna</t>
  </si>
  <si>
    <t>Supply and Delivery of Laptop</t>
  </si>
  <si>
    <t>Purchase plumbing materials used for Bobongan/Gapasan water system.</t>
  </si>
  <si>
    <t>Supply of Office Furniture andFixtures for barangay @ Palindan, Ibaan, Batangas</t>
  </si>
  <si>
    <t>20PL0115 - Upgrading/Improvement of Local Road from Employees Village-Upper CARAA Ground-NIA Access Road, Bulanao, Tabuk City, Kalinga</t>
  </si>
  <si>
    <t>FURNITURES</t>
  </si>
  <si>
    <t>Purchase of IT supplies</t>
  </si>
  <si>
    <t>PURCHASE OF ASSISTED DEVICE</t>
  </si>
  <si>
    <t>AGRICULTURAL PRODUCT (SEEDS, SEEDLINGS, PLANTS)</t>
  </si>
  <si>
    <t>Procurement of various Medical Equipment</t>
  </si>
  <si>
    <t>Solar Lights - Dirdirig</t>
  </si>
  <si>
    <t>20GKG0026 (PR No. 20-05-073)- Procurement of Paint Materials and Supplies for use in the repainting of concrete birdges along National Roads Balili Br. 1 &amp; Balili Br. 2 along Linamon-Zamboanga Road, B</t>
  </si>
  <si>
    <t>Supply and Delivery of Laboratory Accessories</t>
  </si>
  <si>
    <t>CONSTRUCTION OF  0.20M X 4.00M X  90.00M CLIMATE  PROOFED CONCRETE  PAVEMENT,  POBLACION 3</t>
  </si>
  <si>
    <t>PURCHASE OF 3 UNITS AIRCONDITION</t>
  </si>
  <si>
    <t>ROAD REHABILITATION - KM 5 SARMIENTO, NEW BATAAN, DAVAO DE ORO</t>
  </si>
  <si>
    <t>Supply and delivery of various agricultural supplies for distribution as start-up kits under Organic Agriculture Program with PR#2020-06-01-11 and ABC of P244,000.00</t>
  </si>
  <si>
    <t>Provision of meals &amp; snacks to be served during the conduct of FFS on Climate Smart Rice Production with PR#2020-06-03-38 and ABC of P60,000.00</t>
  </si>
  <si>
    <t>Purchase of vehicle parts used for ambulance &amp; service vehicle.</t>
  </si>
  <si>
    <t>Procurement of Infrastructure - Installation of Solar LED Street Light at Barangay Dapnan</t>
  </si>
  <si>
    <t>20NE0089 - Construction/Rehabilitation of Water Supply/Rain Water Collector, Office of the Governor, Office of the Vice-Governor, GSO Building of the Provincial Capitol, Provincial Police Office Build</t>
  </si>
  <si>
    <t>INVITATION TO BID FOR PROCUREMENT OF ONE (1) CROSSOVER UTILITY VEHICLE AND ONE (1) PASSENGER VAN</t>
  </si>
  <si>
    <t>Rebidding: 43 cu.m concrete premix (3000 psi @ 28 days) CF: 9 bags/cu.m for continuance concreting of Vicinal road in Makugihon at Barangay Talay</t>
  </si>
  <si>
    <t>Supply and Delivery of Half-Face Respirator</t>
  </si>
  <si>
    <t>Cont. Ref. No. 064-20: Improvement of Saddle – Heartwell Feeder Road at Ampucao, Itogon, Benguet</t>
  </si>
  <si>
    <t>Globe and Smart Prepaid Card</t>
  </si>
  <si>
    <t>Lot 4 (Sta. Elena ES)-Bid Docs_2020 QRF-Repair - Tacloban City_compressed</t>
  </si>
  <si>
    <t>Cont. Ref. No. 065-20: Improvement along Carantes Road at Poblacion, Itogon, Benguet</t>
  </si>
  <si>
    <t>Purchase of Construction Materials for the Improvement/Rehabilitation of Water System at LGU-Binuangan, Misamis Oriental</t>
  </si>
  <si>
    <t>ITB - PROCUREMENT OF CONSTRUCTION MATERIALS AND SUPPLY FOR CONCRETING OF PRES GARCIA BRGY ROAD</t>
  </si>
  <si>
    <t>UPGRADING OF ELECTRICAL SERVICE/SYSTEM-RECTO MEM. NATIONAL H/S, BRGY.QUIPOT</t>
  </si>
  <si>
    <t>Purchase of 2 units Laptop for SP Office use (Mae B. Piojo &amp; Ma. Luisa T. Tronco)</t>
  </si>
  <si>
    <t>Supply and Delivery of Laboratory Equipment and Accessories</t>
  </si>
  <si>
    <t>PR2020-05-015 - Purchase and delivery of Vehicle Parts and Accessories</t>
  </si>
  <si>
    <t>CONSTRUCTION OF DRAINAGE CANAL, CM RECTO STREET, BRGY. CABINUANGAN</t>
  </si>
  <si>
    <t>Procurement of Construction Materials for handwashing area at Ati Village</t>
  </si>
  <si>
    <t>Supply and delivery of various agricultural tools for distribution to the winners of Best Brgy-led PPP Garden Contest of the OAP with PR#2020-06-01-12 and ABC of P58,100.00</t>
  </si>
  <si>
    <t>20KL008 (Goods)</t>
  </si>
  <si>
    <t>Procurement of Exhaust Fan and Industrial Fan</t>
  </si>
  <si>
    <t>20PA0130 : CONCRETING OF BARANGAY TUBTUBA FMR, Barangay Tubtuba, Tubo, Abra</t>
  </si>
  <si>
    <t>B-005-2020 SUPPLY AND DELIVERY OF 1 LOT RACK-MOUNTED SERVER, SERVER CABINET AND UNINTERRUPTED POWER SUPPLY (UPS) - NEGOTIATED</t>
  </si>
  <si>
    <t>20KL009 (Goods)</t>
  </si>
  <si>
    <t>Cont. Ref. No. 063-20: Construction of Veteran’s Multi-Purpose Building and Freedom Park at Virac, Itogon, Benguet</t>
  </si>
  <si>
    <t>CONSTRUCTION OF  “MABUHAY SILVINO  LUBOS” SIGNAGE</t>
  </si>
  <si>
    <t>Supply and delivery of various garden tools to be used in the implementation of Production Projects of CLIARLD, Tarlac with PR#2020-06-02-33 and ABC of P61,950.00</t>
  </si>
  <si>
    <t>Purchase of medical supplies used for  RHU.</t>
  </si>
  <si>
    <t>Procurement of Infrastructure - Construction of 1 unit Multi-Purpose Pavement</t>
  </si>
  <si>
    <t>20PA0129 : CONCRETING OF BARANGAY ALANGTIN FMR, Barangay Alangtin, Tubo, Abra</t>
  </si>
  <si>
    <t>AGRICULTURAL MACHINERY AND EQUIPMENT</t>
  </si>
  <si>
    <t>Purchase of construction materials used for the concreting of BJMP basketball court.</t>
  </si>
  <si>
    <t>SUPPLY AND DELIVERY OF ONE (1) UNIT UTILITY VEHICLE (PICK UP)</t>
  </si>
  <si>
    <t>Purchase of various Office Supplies for SP Office use.</t>
  </si>
  <si>
    <t>Procurement of Large Format A3 Printer</t>
  </si>
  <si>
    <t>Purchase of IT Equipment for the use of Provincial Legal Office</t>
  </si>
  <si>
    <t>Procurement of Infrastructure - Construction of PDAO Office Extension Building</t>
  </si>
  <si>
    <t>REPAIR AND  MAINTENANCE OF  PUBLIC  INFRASTRUCTURE</t>
  </si>
  <si>
    <t>Improvement of Public Bus Terminal (Road Concreting of the Rear Portion of Bus Terminal) and Construction of Public Bus Terminal Drainage System, Brgy. Triangulo</t>
  </si>
  <si>
    <t>Office Devices for Isolation Unit</t>
  </si>
  <si>
    <t>Barangay 378 BITS Project 2020</t>
  </si>
  <si>
    <t>GO-2020-0149 Rebidding INVITATION TO BID FOR THE PROCUREMENT OF FUEL (DIESEL)</t>
  </si>
  <si>
    <t>Purchase of Drug Testing kits used for BJMP Quarterly Drug Test use.</t>
  </si>
  <si>
    <t>Lot 5 (Sagkahan NHS)-Bid Docs_2020 QRF-Repair - Tacloban City</t>
  </si>
  <si>
    <t>2LSSM2020A-155 Other Supplies and Materials</t>
  </si>
  <si>
    <t>CONSTRUCTION OF LOCAL  ROAD -Sitio Alvarez, Brgy. Lusacan</t>
  </si>
  <si>
    <t>PURCHASE OF OFFICE EQUIPMENT-PNP</t>
  </si>
  <si>
    <t>Purchase of 3 units Computer (All in one) and 2 units Printer for SP Office use.</t>
  </si>
  <si>
    <t>SUPPLY &amp; DELIVERY OF FIRE EXTINGUISHER &amp; LADDER OF OM-BOD</t>
  </si>
  <si>
    <t>Purchase of rapid test used for rapid testing (COVID - 19).</t>
  </si>
  <si>
    <t>GAD Information Dissemination Campaign</t>
  </si>
  <si>
    <t>PROCUREMENT OF JANITORIAL SERVICES 2020 FOR NORSU CAMPUSES</t>
  </si>
  <si>
    <t>MHO-Medicines for Mental Health Program (Philhealth Capitation)</t>
  </si>
  <si>
    <t>Construction of Proposed Monreal Municipal Port</t>
  </si>
  <si>
    <t>Procurement of Infrastructure - Barangay Road Opening</t>
  </si>
  <si>
    <t>2020-06-00115 Construction Materials and Supplies</t>
  </si>
  <si>
    <t>Supply &amp; Delivery of MEDICAL, DENTAL &amp; LABORATORY SUPPLIES (1st Quarter-2020)</t>
  </si>
  <si>
    <t>BNLSL-LCB-24-2020 – Construction of Diversion Works, Canal, Farm Level and Road System of Montebello SIP, Kananga, Leyte</t>
  </si>
  <si>
    <t>REHABILITATION OF PATHWALK AND PROVISION OF RECEPTION OFFICE</t>
  </si>
  <si>
    <t>Supply and delivery of various Office Supplies for the Implementation of the Projects of Research Division under Various/Regular R&amp;D with PR#2020-06-04-67 and ABC of P178,050.00</t>
  </si>
  <si>
    <t>Supply and delivery of Plumbing Materials for Brgy. San Francisco, Nagcarlan, Laguna</t>
  </si>
  <si>
    <t>Procurement for Enhanced National Greening Program (eNGP) Seedling Production/Procurement, Plantation Establishment, Maintenance and Protection Year 1 CY 2020</t>
  </si>
  <si>
    <t>PROCUREMENT OF PHOTOCOPIER</t>
  </si>
  <si>
    <t>supply and delivery of various laboratory reagents for the official use in the conduct of laboratory tests in the RADDL with PR#45 dated 6/03/2020</t>
  </si>
  <si>
    <t>PHO-2020-037 Rebidding INVITATION TO BID FOR THE PROCUREMENT OF LAPTOPS, DESKTOP COMPUTERS, EXTERNAL HARD DRIVE, PRINTER, UPS, HANDHELD RADIO, HANDHELD BARCODE READER KIT, AND DSLR CAMERA WITH LENS</t>
  </si>
  <si>
    <t>Proposed Spring Development Rehabilitation</t>
  </si>
  <si>
    <t>B-006-2020 SUPPLY AND DELIVERY OF 1 LOT IT EQUIPMENT, ACCESSORIES AND PERIPHERALS - NEGOTIATED</t>
  </si>
  <si>
    <t>2LSSM2020C-156 Other Supplies and Materials</t>
  </si>
  <si>
    <t>Procurement of One (1) unit Brand New Van (for Mobile Blood Donation)</t>
  </si>
  <si>
    <t>Supply &amp; Delivery of BRAND NEW FIRE TRUCK (400 Gallons) with Complete Accessories</t>
  </si>
  <si>
    <t>SUPPLY AND DELIVERY OF ONE (1) LOT HEALTH MANAGEMENT SYSTEM WITH STRUCTURED CABLING AND LICENSES</t>
  </si>
  <si>
    <t>(20CSNH03)Consulting Services for the Conduct of Soil Explor. And/Or Geotech. Investigation in Prep. of the Prelim. &amp; Det. Eng'g of Prop. Various FY 2021 Reg. Infras Proj(Package 1)Cantilan, Carmen &amp;</t>
  </si>
  <si>
    <t>Lot 6 (NTCNHS)-Bid Docs_2020 QRF-Repair - Tacloban City_compressed</t>
  </si>
  <si>
    <t>2LSSM2020B-157 Other Supplies and Materials</t>
  </si>
  <si>
    <t>Animal and Zoological Supplies</t>
  </si>
  <si>
    <t>SOLAR PANEL STREET LIGHTS-BARANGAY BASIRANG</t>
  </si>
  <si>
    <t>BNLSL-LCB-28-2020 – Construction of Diversion Works, Canal and Farm Level System of Cambalading SIP, Albuera, Leyte (Package I)</t>
  </si>
  <si>
    <t>Purchase of spareparts used for ambulance &amp; SKG 232 strada.</t>
  </si>
  <si>
    <t>K9 Supplies 2nd Quarter</t>
  </si>
  <si>
    <t>Procurement of Materials for the replacement of worn out V-belt</t>
  </si>
  <si>
    <t>Supply and Delivery of Medical and Dental supplies for SDSSU Tandag Campus</t>
  </si>
  <si>
    <t>Supply &amp; Delivery of One (1) Unit UTILITY VAN</t>
  </si>
  <si>
    <t>Supply and delivery of various Office Supplies to be used for the Implementation of the Projects of Research Division under Rice R&amp;D with PR#2020-06-04-66 and ABC of P175,355.00</t>
  </si>
  <si>
    <t>2020-06-00118 Construction Materials and Supplies</t>
  </si>
  <si>
    <t>Supply and Delivery of Office Supplies (STF) for SDSSU Tandag Campus</t>
  </si>
  <si>
    <t>Office Equipment for PDRRMO</t>
  </si>
  <si>
    <t>2LSSM2020A-158 Other Supplies and Materials</t>
  </si>
  <si>
    <t>SUPPLY AND DELIVERY OF LAPTOP W/ COMPLETE ACCESSORIES &amp; PRINTER 3IN1 REBID</t>
  </si>
  <si>
    <t>BNLSL-LCB-28A-2020 – Construction of Supplementary Dam of Cambalading SIP, Albuera, Leyte (Package II)</t>
  </si>
  <si>
    <t>for Agricultural Crops Production NCII (tools)</t>
  </si>
  <si>
    <t>ITB and Bid Docs for Procurement ID/Contract ID:    20C00046 -Construction of the DENR – Environmental Management Bureau Region 3 Building (Completion)</t>
  </si>
  <si>
    <t>Procurement of Security Manpower Services FY 2020 for NORSU Campuses</t>
  </si>
  <si>
    <t>PROCUREMENT OF DRUGS AND MEDICINES 3RD QUARTER CY 2020</t>
  </si>
  <si>
    <t>PEO-2020-0065 &amp; 2020-0082 Rebidding INVITATION TO BID FOR THE PROCUREMENT OF AGGREGATE SUBBASE COURSE (ANAPOG)</t>
  </si>
  <si>
    <t>RFQ No. 228-20 Printing of the PTRI Annual Report 2019</t>
  </si>
  <si>
    <t>Construction of Masonry Drainage Structure, Along Del Rosario Street, Centro 06, Tuguegarao City, Cagayan</t>
  </si>
  <si>
    <t>Supply and delivery of Two (2) set Heavy Duty Tent to be used by MDRRMO &amp; IATF during the conduct of activities related to the control of Covid-19</t>
  </si>
  <si>
    <t>Procurement of Infrastructure - Rehabilitation of Sunrise Boulevard</t>
  </si>
  <si>
    <t>PROCUREMENT OF HYDRAULIC STAMPING MACHINE</t>
  </si>
  <si>
    <t>PURCHASE OF OFFICE EQUIPMENT FOR THE SCHOOL OF BUSINESS AND MANAGEMENT</t>
  </si>
  <si>
    <t>Supply and Delivery of Four (4) Units Motorcycle- DRR Rescue Vehicle</t>
  </si>
  <si>
    <t>1 Lot Provision of Labor, Materials and Equipment for the Repair of Two Units Modular Steel Tent at Prov'l. Engineering's Office, Tacloban City ABC PHP403,977.01</t>
  </si>
  <si>
    <t>RFQ No. 231-20 CVC, 60% combed cotton, 200gsm</t>
  </si>
  <si>
    <t>Quotation No.20-06-327 = PROCUREMENT OF COMMON OFFICE SUPPLIES</t>
  </si>
  <si>
    <t>SUPPLY OF UNDERWATER CAMERA W/ COMPLETE ACCESSORIES (REBID)</t>
  </si>
  <si>
    <t>Concreting of Farm to Market Road at Purok 2, Brgy Naya, Pura, Tarlac</t>
  </si>
  <si>
    <t>2 sets TIRE 12.5 X 18 X 12PR Tubes</t>
  </si>
  <si>
    <t>To hire contractor to provide materials, labor and equipment for two (4) Infrastructure Projects (Sibulan) (B-81-2020)</t>
  </si>
  <si>
    <t>Purchase of Furniture and Fixtures for the use of Provincial Government Office</t>
  </si>
  <si>
    <t>Supply &amp; Delivery of One (1) Unit AMBULANCE with Complete Accessories</t>
  </si>
  <si>
    <t>Purchase of fusion machine used for RM water system.</t>
  </si>
  <si>
    <t>Supply and Delivery of 15 bottles Acetic Acid, 500ML and Other items. REBID</t>
  </si>
  <si>
    <t>ITB and Bid Docs for Procurement ID/Contract ID:    20C00047 -Rehabilitation/Restoration of Deteriorated Dikes/Eroded Riverbanks along Pampanga River including Candaba Cut-Off Channel</t>
  </si>
  <si>
    <t>HO-FMG20-005 - Supply and Delivery of Multimedia Projector</t>
  </si>
  <si>
    <t>Repair And Repainting Of Runway, Taxiway and Apron Markings Including Distance To-Go Markers And Stopway Markers At Legazpi Airport</t>
  </si>
  <si>
    <t>SUPPLY AND DELIVERY OF TIRES FOR MOTORPOOL OPERATION</t>
  </si>
  <si>
    <t>Supply and delivery of clear plastic bag with UCPB Logo ORF 10923-2020-07</t>
  </si>
  <si>
    <t>Supply &amp; Delivery of MOTOR VEHICLES (Patrol Vehicles) for the use of 16 Barangays of Lopez, Quezon</t>
  </si>
  <si>
    <t>PURCHASE AND DELIVERY OF IT EQUIPMENT AND ACCESSORIES</t>
  </si>
  <si>
    <t>SUPPLY AND DELIVERY OF COMPUTER DESKTOP W/ COMPLETE ACCESSORIES &amp; PRINTER W/ SCANNER (REBID)</t>
  </si>
  <si>
    <t>CO 2020</t>
  </si>
  <si>
    <t>SUPPLY AND DELIVERY OF CONSTRUCTION MATERIALS FOR THE CONSTRUCTION OF DRAINAGE CANAL ALONG PROVINCIAL ROAD AT BARANGAY ROXAS INFRONT OF COMMERCIAL STALLS</t>
  </si>
  <si>
    <t>Supply and delivery of fuel for the repair/rehab of barangay farm to market roads of LGU-Matanao, Davao del Sur (1st semester)</t>
  </si>
  <si>
    <t>20GG0031-G (Rebid) - Procurement of toner, drums, developing unit and spare parts for use of Photocopier Develop Ineo +221, Plotter and Comcolor GD7330 of DPWH, Iloilo 2nd DEO, Balabag, Dumangas, Iloi</t>
  </si>
  <si>
    <t>SUPPLY AND DELIVERY OF COMBI BLINDS (REBID)</t>
  </si>
  <si>
    <t>SUPPLY AND DELIVERY OF DRONE W/ COMPLETE ACCESSORIES (REBID)</t>
  </si>
  <si>
    <t>PROCUREMENT OF  FURNITURE</t>
  </si>
  <si>
    <t>Purchase of Construction Materials for  Carpentry Works at Barangay Hall Phase -  I Patawag, Labason ZN.</t>
  </si>
  <si>
    <t>Purchase of Office Supplies and Office Equipments</t>
  </si>
  <si>
    <t>SUPPLY AND LABOR AND INSTALLATION OF TOILET CUBICLES</t>
  </si>
  <si>
    <t>Completion of Covered Court of VSU Villaba</t>
  </si>
  <si>
    <t>Supply and Delivery of 40 Units Brand New Customized Police Patrol Vehicle</t>
  </si>
  <si>
    <t>Bookbinding (hardbound)</t>
  </si>
  <si>
    <t>2LSSM2020B-159 Other Supplies and Materials</t>
  </si>
  <si>
    <t>SUPPLY &amp; DELIVERY OF PUMP CENTRIFUGAL &amp; HYDRAULIC PRESS OF MARINAWA DPP</t>
  </si>
  <si>
    <t>PURCHASE OF OFFICE EQUIPMENT, SUPPLIES &amp; CONSUMABLES</t>
  </si>
  <si>
    <t xml:space="preserve">(20CSNH04) Consulting Services for the Conduct of Soil Exploration &amp;/Or Geotech'l Invest'n in Prep. of the Prelim &amp; Det. Eng'g of Prop. Various FY 2021 Reg. Infras. Proj. (Package 2)Tago, Surigao del </t>
  </si>
  <si>
    <t>SUPPLY AND DELIVERY OF MOBILE FORAGE REBID</t>
  </si>
  <si>
    <t>Supply &amp; Delivery of OFFICE SUPPLIES for the use of Different Offices (1st Quarter)</t>
  </si>
  <si>
    <t>Concreting of Farm to Market Road at Purok 1, Brgy. Balite, Pura, Tarlac</t>
  </si>
  <si>
    <t>for Agricultural Crops Production NCII (supplies and materials)</t>
  </si>
  <si>
    <t>Repair And Maintenance Of Distribution Transformers/High Voltage Cutouts For 2 Feeder Switchyards At Legazpi Airport</t>
  </si>
  <si>
    <t>PROPOSED OFFICE FOR DISASTER SIMULATION CENTER 2ND  FLOOR, JUAQUIN  GONZALES COMPOUND UNIVERSITY OF THE PHILIPPINES MANILA</t>
  </si>
  <si>
    <t>HO-DMD20-005 - Supply and Delivery of Heavy Duty Stapler and OTG Flashdrive</t>
  </si>
  <si>
    <t>IMPROVEMENT OF SHELTER FOR YOUTH OFFENDER &amp; CRISIS CENTER BRGY. TINAMNAN LUCBAN, QUEZON</t>
  </si>
  <si>
    <t>supply and delivery of various lab supplies for the official use in the conduct of various tests in the RADDL with PR#46 dated 6/03/2020</t>
  </si>
  <si>
    <t>Purchase of DRR's Medical Equipments for COVID-19</t>
  </si>
  <si>
    <t>R1MC Tubular Slatch Wind Pressure Support &amp; Water Proofing of Elevator Rooftop</t>
  </si>
  <si>
    <t>REPAIR OF CAS SCHOOL BUILDING AT NORSU BAYAWAN-STA. CATALINA CAMPUS</t>
  </si>
  <si>
    <t>PACKAGE 4-2020</t>
  </si>
  <si>
    <t>Purchase of Construction Materials for  Contrete/Masonry Works at Barangay Hall  Phase – I Patawag, Labason ZN.</t>
  </si>
  <si>
    <t>REPAIR OF HANGING BRIDGE AT SITIO RONGO</t>
  </si>
  <si>
    <t>Purchase of office equipment used for different offices (bulk bidding).</t>
  </si>
  <si>
    <t>Gravelling at Purok 2,3,6 &amp; 9</t>
  </si>
  <si>
    <t>SUPPLY AND DELIVERY OF CATTLE (HEIFER)</t>
  </si>
  <si>
    <t>CO &amp; BDRRMF 2020</t>
  </si>
  <si>
    <t>Construction of Water Tank at Barangay Salagmaya</t>
  </si>
  <si>
    <t>Supply &amp; Delivery of OTHER SUPPLIES for the use of Different Offices (1st Quarter)</t>
  </si>
  <si>
    <t>NEGOTIATED PROCUREMENT-SVP (SUPPLY, DELIVERY AND INSTALLATION OF ONE (1) UNIT FIRE ALARM AT NFA-OCM PROVINCIAL OFFICE LABANGAN COMPOUND AND ONE (1) UNIT AT NAWACO COMPOUND; SUPPLY, DELIVERY AND INSTAL</t>
  </si>
  <si>
    <t>Supply and delivery of materials for the construction of four (4) classrooms at sitio Sultana, Donganpekong, Matanao, Davao del Sur</t>
  </si>
  <si>
    <t>Procurement of Labor Works for the Repainting of Lobby and Hallway (1st to 4th floor), Repair of Annex Building, Replacement of Granite Tiles of Annex Ground Floor and Procurement of Labor Works for t</t>
  </si>
  <si>
    <t>PROCUREMENT OF  GROCERIES</t>
  </si>
  <si>
    <t>4Ps : SURGICAL FACE MASK FOR THE PANTAWID PAMILYA PROGRAM STAFF ASSIGNED IN THE PROVINCES.</t>
  </si>
  <si>
    <t>Purchase of Construction Materials for Doors and Windows at Barangay Hall Phase – I  Patawag, Labason ZN.</t>
  </si>
  <si>
    <t>Supply &amp; Delivery of DRUGS &amp; MEDICINES (1st Quarter)</t>
  </si>
  <si>
    <t>20HD0093 - Repair/Maintenance of DPWH Building, Main Building, Cebu I District Engineering Office, Medellin, Cebu</t>
  </si>
  <si>
    <t>19B00060: Repair/Rehabilitation of National Road along Cagayan Valley Road, K0476+800 – K0477+100, Alimanao, Peñablanca, Cagayan</t>
  </si>
  <si>
    <t>Procurement of Communication Equipment and Accessories for the OPS</t>
  </si>
  <si>
    <t>2LSSM2020B-160 Other Supplies and Materials</t>
  </si>
  <si>
    <t>PROCUREMENT OF  FARM EQUIPMENT/MACHINERY</t>
  </si>
  <si>
    <t>Procurement of Tires for the Various City Vehicles</t>
  </si>
  <si>
    <t>SUPPLY AND DELIVERY OF PAINTING MATERIALS FOR BARANGAY QUIRINO MULTI-PURPOSE HALL</t>
  </si>
  <si>
    <t>(20CSNH05) Consulting Services for the Conduct of Soil Explor. &amp;/Or Geotech'l Investigation in Prep. of the Prelim. &amp; Det. Eng'g of Prop. Various FY 2021 Reg Infra Projects(Package 3)Madrid,Tandag,Tag</t>
  </si>
  <si>
    <t>Purchase of Construction Materials for Roofing Works at Barangay Hall Phase - I Patawag, Labason, ZN.</t>
  </si>
  <si>
    <t>CONSTRUCTION OF MULTI-PURPOSE HALL (BGY. BETON, TAYTAY, PALAWAN)</t>
  </si>
  <si>
    <t>ITB NO. GOP/20-DSWD-037 - Supply and Delivery of Document Scanners for DSWD Central Office</t>
  </si>
  <si>
    <t>for Agroentrepreneurship NCII</t>
  </si>
  <si>
    <t>Purchase of Cellcards</t>
  </si>
  <si>
    <t>Purchase of Construction Materials for  Plumbing Works, at Barangay Hall Phase – I Patawag, Labason ZN.</t>
  </si>
  <si>
    <t>Supply and Delivery of 1 Unit Multi-Purpose Vehicle, Diesel Feed.REBID</t>
  </si>
  <si>
    <t>Procurement and Delivery of Medical Waste Auto Clave Sterilizer, ESLF</t>
  </si>
  <si>
    <t>2LSSM2020A-161 Other Supplies and Materials</t>
  </si>
  <si>
    <t>CONSTRUCTION/IMPROVEMENT OF DANLAGAN BY PASS ROAD-Brgy. Danlagan Lopez, Quezon</t>
  </si>
  <si>
    <t>PROCUREMENT OF  CEILING HELICOPTER</t>
  </si>
  <si>
    <t>2LSSM2020B-162 Food Supplies</t>
  </si>
  <si>
    <t>Purchase of Patient Transport Vehicle</t>
  </si>
  <si>
    <t>20GG0033-G (Rebid) - Procurement of office furnitures for the use of DPWH, Iloilo 2nd DEO, Balabag, Dumangas, Iloilo</t>
  </si>
  <si>
    <t>Office Supplies for the use of AICS Staff for the monitoring of AICS SAP-Implementation</t>
  </si>
  <si>
    <t>Contract ID No. 20NC0122 - Repair/Maintenance of Bank Protection along Butuan City-Talacogon-La Paz-Loreto-Veruela-Sta. Josefa Road (Panagangan Bridge I) K1370+008-K1370+030, La Paz, Agusan del Sur</t>
  </si>
  <si>
    <t>2LSSM2020B-163 Food Supplies</t>
  </si>
  <si>
    <t>2LSSM2020A-165 Food Supplies</t>
  </si>
  <si>
    <t>19B00061: Repair/Rehabilitation of National Road along Peñablanca  Callao Cave Road, Quibal, Peñablanca, Cagayan</t>
  </si>
  <si>
    <t>20BC0184-Construction of 2 Storey 2 Classroom 2 Laboratory, Abulug National Rural Vocational High School, Abulug, Cagayan</t>
  </si>
  <si>
    <t>Procurement of Construction Materials for Nutrition Center at Poblacion Malay</t>
  </si>
  <si>
    <t>20CSBG001: Geotechnical Investigation for Proposed Bridge Project – (3) Turod-Banquero Overflow Bridge, Reina Mercedes, Isabela</t>
  </si>
  <si>
    <t>Procurement and Delivery of Portable Shredder, City AGR</t>
  </si>
  <si>
    <t>Rehabilitation/Improvement of Bartolome H. Miranda Road</t>
  </si>
  <si>
    <t>PRDP-RPCOXI-SIC-011-2020 Hiring of PRDP-RPCO XI Personnel</t>
  </si>
  <si>
    <t>Design and Build of Single - storey Administration Building for Dipaculao Water District, Dipaculao, Aurora (Rebidding)</t>
  </si>
  <si>
    <t>2LSSM2020B-164 Food Supplies</t>
  </si>
  <si>
    <t>Purchase of Response Vehicle</t>
  </si>
  <si>
    <t>Supply, Delivery, Installation and Commissioning of Air-Conditioning System for the Bureau of Quarantine</t>
  </si>
  <si>
    <t>CONSTRUCTION OF MULTI-PURPOSE HALL (BGY. PULARAQUEN, TAYTAY, PALAWAN)</t>
  </si>
  <si>
    <t>2LSSM2020A-167 Food Supplies</t>
  </si>
  <si>
    <t>2LSSM2020B-166 Food Supplies</t>
  </si>
  <si>
    <t>Supply &amp; Delivery of One Lot Office Supplies 2020-149</t>
  </si>
  <si>
    <t>Repair and Rehabilitation of Various School Buildings at Allen Central Elementary School</t>
  </si>
  <si>
    <t>Supply and Delivery for the  Procurement of One (1)  Unit Electronic Total  Station</t>
  </si>
  <si>
    <t>Contract ID No. 20NC0123 - Repair/Maintenance of Bank Protection along Butuan City-Talacogon-La Paz-Loreto-Veruela-Sta. Josefa Road (Panagangan  Bridge II) (B01579MN) K1370+734-K1370+749, La Paz, Agus</t>
  </si>
  <si>
    <t>Construction of Multi-Purpose Building Phase II (Beside Municipal Hall)</t>
  </si>
  <si>
    <t>Procurement of ABG Cassette/Cartridge with the Provision of ABG Analyzer Machine (Tie-Up)</t>
  </si>
  <si>
    <t>2LSSM2020A-168 Food Supplies</t>
  </si>
  <si>
    <t>Contract ID No. 20NC0124 - Construction of Riverbank Protection of Ihawan River Sta. 0+000-0+060.00, Loreto, Agusan del Sur</t>
  </si>
  <si>
    <t>HO-CRT20-002 - Preventive Maintenance and Heater Lamp 1350W for ROWE RCS4000 Scanner</t>
  </si>
  <si>
    <t>NOTICE OF INVITATION TO SUBMIT PRICE QUOTATION FOR THE SMALL VALUE PROCUREMENT OF 2020 REPAIR OF PERIMETER FENCE OF NFA COMPOUND, LARENA, SIQUIJOR</t>
  </si>
  <si>
    <t>CONSTRUCTION OF MULTI-PURPOSE HALL (BGY. TALOG, TAYTAY, PALAWAN)</t>
  </si>
  <si>
    <t>Land Development of the Socialized Housing Project at San Maximo, Natividad, Pangasinan</t>
  </si>
  <si>
    <t>Procurement and Installation of Lightning Protection System for the CDRRMO</t>
  </si>
  <si>
    <t>INVITATION TO BID FOR THE  NEGOTIATED PROCUREMENT OF RESEARCH LABORATORY EQUIPMENT FOR CY 2020</t>
  </si>
  <si>
    <t>20CB0065: Concreting of Sitio Kinaragan to Sitio Batitaw Brgy. Duale Farm-to-Market Road, Brgy. Duale, Limay, Bataan</t>
  </si>
  <si>
    <t>20BC0202-Repair/Maintenance of DPWH Field Office Building</t>
  </si>
  <si>
    <t>Rehabilitation of Court</t>
  </si>
  <si>
    <t>For OAP NC II Training (Materials)</t>
  </si>
  <si>
    <t>Supply and Delivery for the  Procurement of One (1)  Unit Drone (Search and  Rescue and Mapping  Drone)</t>
  </si>
  <si>
    <t>ITB for REPRODUCTION OF LEARNING MODULES 2020</t>
  </si>
  <si>
    <t>Repair and Rehabilitation of Various School Buildings at Cabacungan Elementary School</t>
  </si>
  <si>
    <t>Purchase and Delivery of Supplies for PAPERLESS BARANGAY COUNCIL</t>
  </si>
  <si>
    <t>Repair and Rehabilitation of Various School Buildings at Calarayan Elementary School, Guin-arawayan Elementary School and Lipata Elementary School</t>
  </si>
  <si>
    <t>INVITATION TO BID FOR ADDITIONAL ALLOCATION FOR COMMUNICATION LOAD OF CEES II 2020</t>
  </si>
  <si>
    <t>20BC0204-Repair/Maintenance of DOJ Building Registry of Deeds Main Building</t>
  </si>
  <si>
    <t>20CB0068: Concreting of Brgy. Balagtas to Roman Super Highway Farm-to-Market Road, Brgy. Balagtas, Orion, Bataan</t>
  </si>
  <si>
    <t>20CB0067: Concreting of Brgy. Alangan Farm-to-Market Road, Brgy. Alangan, Limay, Bataan</t>
  </si>
  <si>
    <t>for Carpentry NCII training use</t>
  </si>
  <si>
    <t>Supply, Delivery, Installation, Testing and Commissioning of Two (2) Units Synchronizing Unit Module for the Two (2) Units Doosan Electric Generators</t>
  </si>
  <si>
    <t>Contract ID No. 20NC0125 - Construction of Agusan River Flood Control Sta. 0+000-0+050.00, Veruela, Agusan del Sur</t>
  </si>
  <si>
    <t>Supply and Delivery of 1,796 UNITS 15MMØ MULTI-JET BRASS WATER METER</t>
  </si>
  <si>
    <t>20CB0070: Repair/Maintenance of DPWH Building, Main Building Bataan II District Engineering Office, Balanga City, Bataan</t>
  </si>
  <si>
    <t>20BC0209-Repair/Maintenance of DENR Building Main Building</t>
  </si>
  <si>
    <t>20BC0207-Repair/Maintenance of DILG Building Bureau of Fire Protection Main Building</t>
  </si>
  <si>
    <t>Repair of DPWH Magdiwang Sub-Office</t>
  </si>
  <si>
    <t>Purchase of Six (6) Units MIni Dump Truck</t>
  </si>
  <si>
    <t>Cluster B9-2020</t>
  </si>
  <si>
    <t>20CB0069: Concreting of Purok 6, Brgy. Gen. Lim Farm-to-Market Road, Brgy. Gen. Lim, Orion, Bataan</t>
  </si>
  <si>
    <t>for different projects use</t>
  </si>
  <si>
    <t>Purchase and Delivery of Supplies for HOUSEHOLD TRASH BINS</t>
  </si>
  <si>
    <t>PWD Starter Stocks for Swine Production</t>
  </si>
  <si>
    <t>Cluster C10-2020</t>
  </si>
  <si>
    <t>20CB0066: Concreteing of Brgy. Ibis Farm-to-Market Road, Brgy. Ibis, Bagac, Bataan</t>
  </si>
  <si>
    <t>Repair and Rehabilitation of Various School Buildings at Jubasan Elementary School</t>
  </si>
  <si>
    <t>20BC0210-Repair/Maintenance of DILG Building Bureau of Fire Protection Main Building</t>
  </si>
  <si>
    <t>Construction of Capinitan Elementary School, Phase 1</t>
  </si>
  <si>
    <t>Repainting of Municipal Town Plaza and Rizal Park to include Welcome Marker and Don Luis Monument of the Municipality of Luisiana, Laguna</t>
  </si>
  <si>
    <t>SUPPLY AND DELIVERY OF IT EQUIPMENT UNDER PB 20-02-14A</t>
  </si>
  <si>
    <t>For use in DPWH RDEO Clinic</t>
  </si>
  <si>
    <t>I.T.  and  Medical Equipments - 2020</t>
  </si>
  <si>
    <t>INVITATION TO BID TO SUPPLY AND DELIVERY OF GOODS FOR MULTI ELECTRODE RESISTIVITY</t>
  </si>
  <si>
    <t>Procurement of One ( 1 ) unit CHEMISTRY ANALYZER with one ( 1 ) unit Multi media 4 in 1</t>
  </si>
  <si>
    <t>Repair and Rehabilitation of Various School Buildings at Lagundi Elementary School</t>
  </si>
  <si>
    <t>CONSTRUCTION OF MULTI-PURPOSE HALL</t>
  </si>
  <si>
    <t>Invitation to Bid for Supply, Delivery and Installation of equipment for the DA-ACEF indigenous fruits project</t>
  </si>
  <si>
    <t>SUPPLY AND DELIVERY OF IT EQUIPMENT  UNDER PB 20-02-15A (FOR BRANCH STATION)</t>
  </si>
  <si>
    <t>Repair and Rehabilitation of Various School Buildings at Kinaguitman Elementary School</t>
  </si>
  <si>
    <t>Repair and Rehabilitation of Various School Buildings at Pili Elementary School</t>
  </si>
  <si>
    <t>CONSTRUCTION OF STAGE</t>
  </si>
  <si>
    <t>Cluster D31-2020</t>
  </si>
  <si>
    <t>CONSTRUCTION OF SOLAR DRYER</t>
  </si>
  <si>
    <t>CONTRACTING SERVICES FOR REPAIR OF MDRRMO SERVICE VEHICLE (Pick-Up)</t>
  </si>
  <si>
    <t>Invitation to Bid for Supply and Delivery of Materials and Equipment for DA-ACEF Mango Project</t>
  </si>
  <si>
    <t>REPAINTING OF VEHICULAR PARKING AREA AT TACLOBAN AIRPORT</t>
  </si>
  <si>
    <t>MG-A5O20-002 ( TIRE, TUBELESS, 265 X 70 X R17 TOYOTA, HI-LUX 2017 MODEL + 1 ITEM )</t>
  </si>
  <si>
    <t>4Ps: OFFICE SUPPLIES FOR 2020 PANTAWID OFFICE IPIL, ZAMBOANGA SIBUGAY</t>
  </si>
  <si>
    <t>20MF0081-Construction of  Tacurong Multi-Purpose Building, Brgy. Poblacion, Tacurong City, Sultan Kudarat</t>
  </si>
  <si>
    <t>REPAIR &amp; MAINTENANCE OF BRGY. VEHICLE - 2020</t>
  </si>
  <si>
    <t>PROCUREMENT FOR THE SUPPLY OF FUELS/FUEL ADDITIVE &amp; LUBRICANTS AND ANTI CORROSIVE</t>
  </si>
  <si>
    <t>Repair and Rehabilitation of Various School Buildings at Daganas Elementary School</t>
  </si>
  <si>
    <t>Upgrading of Bungdor Road (Road Opening)</t>
  </si>
  <si>
    <t>20MF0080-Construction of Bridge along Dulawan-Marbel Road (Pinguiaman Section), Lambayong, Sultan Kudarat</t>
  </si>
  <si>
    <t>20DL0204 - REPAIR/MAINTENANCE OF DRAINAGE ALONG QUEZON-ALABAT-PEREZ ROAD, KM.022+050-KM.022+097 (RIGHT SIDE)</t>
  </si>
  <si>
    <t>20DL0203 - REPAIR/MAINTENANCE OF FLOOD CONTROL &amp; DRAINAGE STRUCTURES ALONG BAYOD BRIDGE, TALABA-SUMMIT-PANAON ROAD, KM.180+728, ATIMONAN, QUEZON</t>
  </si>
  <si>
    <t>20MF0082-Construction of  Multi Purpose Building for Dialysis Center New Capitol Site, Brgy. Kenram, Isulan, Sultan Kudarat</t>
  </si>
  <si>
    <t>HARD DRIVE</t>
  </si>
  <si>
    <t>Invitation to Bid for Supply and Delivery of Customized Polo Shirt and Sling Bag</t>
  </si>
  <si>
    <t>Improvement along Pusposok to Taba-an Foot Trail w/ Handrails</t>
  </si>
  <si>
    <t>20MF0083-Construction of  Multi Purpose Building, Brgy. Kenram, Isulan, Sultan Kudarat</t>
  </si>
  <si>
    <t>20DL0205 - A)	REPAIR/MAINTENANCE OF DILG BUILDING, PNP – STORAGE ROOM/BARRACKS BUILDING, GUMACA, QUEZON 	 B)	REPAIR/MAINTENANCE OF DPWH BUILDING, DPWH SUB OFFICE (FIELD ENGR. OFFICE), BRGY. LAGYO, GUM</t>
  </si>
  <si>
    <t>RRMF 2020 TENT PUBLIC ADDRESS CCTV CAMERA SUPPLIES DEVICE AND GENERAL MERCHANDISE</t>
  </si>
  <si>
    <t>MINI DUMP TRIKE - 2020</t>
  </si>
  <si>
    <t>Repair and Rehabilitation of Various School Buildings at Guba Elementary School and New Rizal Elementary School</t>
  </si>
  <si>
    <t>Repair and Rehabilitation of Various School Buildings at Baybay Elementary School</t>
  </si>
  <si>
    <t>Repair and Rehabilitation of Various School Buildings at Old Rizal Elementary School</t>
  </si>
  <si>
    <t>COCO LUMBER</t>
  </si>
  <si>
    <t>20MF0085-Construction of  Multi Purpose Building/Disaster Center at Brgy. Rajah Muda, Tacurong City, Sultan Kudarat</t>
  </si>
  <si>
    <t>FAUCET</t>
  </si>
  <si>
    <t>PVC 1</t>
  </si>
  <si>
    <t>HIRING OF TWO SCHOOL WATCHMAN</t>
  </si>
  <si>
    <t>Procurement of Anti-COVID 19 Materials &amp; Supplies</t>
  </si>
  <si>
    <t>Procurement and Installation of Three (3) units Window type Aircondition (2 hp) and Five (5) units Floor Standing Aircondition (3 toner) for MDRRMC/OPCEN Building</t>
  </si>
  <si>
    <t>Purchase of Materials to be used in  the Repair/Fabrication of Asphalt Kettle of Maintenance Section,  DPWH-Laguna I DEO, Santa Cruz, Laguna</t>
  </si>
  <si>
    <t>20MF0084-Construction of  Povincial Tourism Multi Purpose Building, New Capitol Site, Brgy. Kenram, Isulan, Sultan Kudarat</t>
  </si>
  <si>
    <t>20DL0207 - CONSTRUCTION/REHABILITATION OF WATER SUPPLY/SEPTAGE AND SEWERAGE/RAIN WATER COLLECTORS - RAIN WATER COLLECTORS IN PUBLIC FACILITIES - REGION IV-A  A. COMETA ELEMENTARY SCHOOL, BRGY. COMETA,</t>
  </si>
  <si>
    <t>20DL0206 - 71X-SPECIAL MAINTENANCE H. PLACING NEW TRAFFIC SIGNS ALONG DAANG MAHARLIKA, K0159+000 - K0181+000</t>
  </si>
  <si>
    <t>materials for the Grouted Riprap at Sitio Tampa-on (BARANGAY PROJECT)</t>
  </si>
  <si>
    <t>20MF0086-Construction of Multi Purpose Building (City Civic Center), Tacurong City, Sultan Kudarat</t>
  </si>
  <si>
    <t>materials for the Road Concreting Near at Purok Mangga (BARANGAY PROJECT)</t>
  </si>
  <si>
    <t>Invitation to bid</t>
  </si>
  <si>
    <t>Installation of Glass Barriers</t>
  </si>
  <si>
    <t>Purchase of Construction Materials to be used in the Repair and Maintenance  of Paved Roads along various national roads, DPWH-Laguna I DEO, Santa Cruz, Laguna</t>
  </si>
  <si>
    <t>materials for the Improvement of VAWC Center (BARANGAY PROJECT)</t>
  </si>
  <si>
    <t>20MF0087-Construction of Multi Purpose Building (SK Tourism Hall), Brgy. Kenam, Isulan, Sultan Kudarat</t>
  </si>
  <si>
    <t>Repair and Rehabilitation of Various School Buildings at Somoge Elementary School</t>
  </si>
  <si>
    <t>BDF/RRMF 2020 INSTALLATION OF STREETLIGHTS CCTV CAMERA RRMF/BDF CCTV CAMERA SUPPLIES DEVICE AND GENERAL MERCHANDISE</t>
  </si>
  <si>
    <t>Procurement of Drugs and Medicines for OPD consultation of MHO</t>
  </si>
  <si>
    <t>REPAIR AND MAINTENANCE OF TERMINAL BUILDING AT GUIUAN AIRPORT</t>
  </si>
  <si>
    <t>REPAIR OF AIRCONDITIONING UNITS AT TACLOBAN AIRPORT</t>
  </si>
  <si>
    <t>YMCKT COLOR RIBBON 500 PRINTS</t>
  </si>
  <si>
    <t>MG-A5M20-100 ( ENGINE OIL, SYNTHETIC )</t>
  </si>
  <si>
    <t>DECLOGGING/ MAINTENANCE OF AIRSIDE CANAL AT TACLOBAN AIRPORT</t>
  </si>
  <si>
    <t>PROVISION OF DROP ARM AT CATBALOGAN AIRPORT</t>
  </si>
  <si>
    <t>Purchase of Stickers for Tricycle (4 inches x 7 inches)</t>
  </si>
  <si>
    <t>GARBAGE PUSH CARTS - 2020</t>
  </si>
  <si>
    <t>DRAINAGE IMPROVEMENT (RIPRAP), GEGONCILLO VILLAGE, BRGY. BALINTAWAK (STRAIGHT CONTRACT LABOR &amp; MATERIALS)</t>
  </si>
  <si>
    <t>REPAIR AND MAINTENANCE OF WATER SYSTEM AT CATBALOGAN AIRPORT</t>
  </si>
  <si>
    <t>Supply and Delivery of Materials for the Improvement/Repair of Motor Pool in Civic Center, Barangay Poblacion.</t>
  </si>
  <si>
    <t>Office Supplies Consumables</t>
  </si>
  <si>
    <t>Purchase of Stickers for Tricycle (4 inches x 12 inches)</t>
  </si>
  <si>
    <t>Purchase of Disaster Paraphernalia’s, Equipment and Uniforms</t>
  </si>
  <si>
    <t>Supply and Delivery of Various Communication Equipment</t>
  </si>
  <si>
    <t>Purchase of Various Office Supplies for LGU of San Jose (2nd Quarter)</t>
  </si>
  <si>
    <t>Repair and Rehabilitation of Various School Buildings at Bocsol Elementary School</t>
  </si>
  <si>
    <t>Supply and Delivery of Materials and Labor for the Improvement/Rehabilitation of Local Port</t>
  </si>
  <si>
    <t>Supply and Delivery of Materials and Labor for the Construction/Improvement of Water Filtration and Treatment Facility</t>
  </si>
  <si>
    <t>Purchase of Insecticide</t>
  </si>
  <si>
    <t>RE-PAINTING OF DOCTOR’S QUARTER &amp; EIGHT UNITS PRIVATE ROOM, VGDH</t>
  </si>
  <si>
    <t>Repair and Rehabilitation of Various School Buildings at Salvacion Elementary School</t>
  </si>
  <si>
    <t>Procurement of Consultancy Services for the “Implementation of the 2020 PhilHealth Client Awareness and Satisfaction Survey”</t>
  </si>
  <si>
    <t>AB BDF AND RRMF 2020 PROJECT- PURCHASE OF CCTV CAMERA AND PUBLIC ADDRESS SYSTEM, SUPPLIES,DEVICES AND GENERAL MERCHANDISE</t>
  </si>
  <si>
    <t>RICE FOR PREVENTIVE SECURITY MEASURES TO ENSURE PUBLIC SAFETY, CMO</t>
  </si>
  <si>
    <t>Installation of CCTV</t>
  </si>
  <si>
    <t>Repair and Rehabilitation of Various School Buildings at Guibuangan Elementary School</t>
  </si>
  <si>
    <t>Repair and Rehabilitation of Various School Buildings at Paticua Elementary School</t>
  </si>
  <si>
    <t>Procurement of Office Equipment for RHU Main, South and North – 2nd Bid</t>
  </si>
  <si>
    <t>Savings of CY 2019 Quick Response Fund (Batch 1) Savings – Repair and Rehabilitation of Classrooms</t>
  </si>
  <si>
    <t>Procurement of  Medical Equipment for RHU Main, South and North – 2nd Bid</t>
  </si>
  <si>
    <t>RFQ2020-06-034_SUPPLY AND DELIVERY OF VARIOUS WATER SERVICE CONNECTION MATERIALS FOR INTERCONNECTION AND ACTIVATION OF BALETE WATER SUPPLY PROJECT</t>
  </si>
  <si>
    <t>Supply and Delivery of Audio Equipment</t>
  </si>
  <si>
    <t>Supply and delivery of Various Cameras and Accessories</t>
  </si>
  <si>
    <t>Repair and Rehabilitation of Various School Buildings at McKinley Elementary School</t>
  </si>
  <si>
    <t>BARANGAY SERVICE AND RESCUE MOTOR VEHICLE WITH SIDECAR OF ANTIPOLO</t>
  </si>
  <si>
    <t>Procurement  and Delivery of School/Office Supplies and Materials for January to March 2020</t>
  </si>
  <si>
    <t>Procurement of Meals and Snacks for meetings, visitors and other activities – MO 2nd Bid</t>
  </si>
  <si>
    <t>Repair and Rehabilitation of Various School Buildings at Hinatad Elementary School</t>
  </si>
  <si>
    <t>20CE0209: Construction of Multi-Purpose Building, Brgy. Abar 1st, City of San Jose, Nueva Ecija</t>
  </si>
  <si>
    <t>CY 2020 Quick Response Fund – Construction of Slope Protection</t>
  </si>
  <si>
    <t>CY 2020 Quick Response Fund – Repair/Rehabilitation of Classrooms</t>
  </si>
  <si>
    <t>Improvement of Barangay Road (Purok Isla, Brgy Burias Glan Sarangani)</t>
  </si>
  <si>
    <t>Procurement (Washable Face Masks)</t>
  </si>
  <si>
    <t>Repair and Rehabilitation of Various School Buildings at Lo-ok Elementary School and Palanas Elementary School</t>
  </si>
  <si>
    <t>Repair and Rehabilitation of Various School Buildings at May-igot Elementary School</t>
  </si>
  <si>
    <t>Repair and Rehabilitation of Various School Buildings at Bayho Elementary School, Henaronagan Elementary School and Osmeña Elementary School</t>
  </si>
  <si>
    <t>Supply and Delivery of Various Food Processing Equipment</t>
  </si>
  <si>
    <t>Repair and Rehabilitation of Various School Buildings at Bangon Elementary School</t>
  </si>
  <si>
    <t>Concreting of Barangay Road (Sitio Nacolil, Brgy Lago Glan Sarangani Province</t>
  </si>
  <si>
    <t>PURCHASE OF MATERIALS FOR THE CONSTRUCTION/REHABILITATION OF EVACUATION CENTER</t>
  </si>
  <si>
    <t>Repair and Rehabilitation of Various School Buildings at Barobaybay Elementary School</t>
  </si>
  <si>
    <t>MAINTENANCE AND SERVICING OF BAGGAGE HANDLING SYSTEM</t>
  </si>
  <si>
    <t>Repair and Rehabilitation of Various School Buildings at Talisay Elementary School</t>
  </si>
  <si>
    <t>PROCUREMENT OF CLUTCH PRESSURE PLATE ASSEMBLY</t>
  </si>
  <si>
    <t>Supply of materials &amp; rental of concrete mixer for the Concreting of Barangay road</t>
  </si>
  <si>
    <t>Supply of materials for the Construction of Lined Canal</t>
  </si>
  <si>
    <t>Labor and materials for the construction of tree nursery</t>
  </si>
  <si>
    <t>Construction of SLF Multi-Purpose Hall</t>
  </si>
  <si>
    <t>PROCUREMENT OF AIRCON SPAREPARTS</t>
  </si>
  <si>
    <t>20GKF0029-Purchase of Various Janitorial Office Supply for use in DPWH-Lanao del Norte 2nd DEO</t>
  </si>
  <si>
    <t>Barangay Office Equipment</t>
  </si>
  <si>
    <t>Repair and Rehabilitation of Various School Buildings at Bulao Elementary School</t>
  </si>
  <si>
    <t>PURCHASE OF ROUND UP</t>
  </si>
  <si>
    <t>Installation of Slope Protection Dike</t>
  </si>
  <si>
    <t>CONSTRUCTION OF SLOPE PROTECTION ALONG BRGY. ROADS OF SITIO CENTRO, PHASE II</t>
  </si>
  <si>
    <t>PURCHASE OF VARRIOUS FRUIT BEARING TREES</t>
  </si>
  <si>
    <t>20GKF0030-Purchase of Various Office Supply for use in DPWH-Lanao del Norte 2nd DEO</t>
  </si>
  <si>
    <t>20GKF0031-Purchase of Materials for Regravelling of Shoulders along Linamon-Zamboanga Road K1570+000-K1573+000.</t>
  </si>
  <si>
    <t>Procurement of one unit shredder</t>
  </si>
  <si>
    <t>CONSTRUCTION OF SLIOPE PROTECTION</t>
  </si>
  <si>
    <t>20GKF0032- Purchase of Materials for Regravelling of Shoulders along Linamon-Zamboanga Road K1561+000-K1564+000.</t>
  </si>
  <si>
    <t>20GKF0034-Purchase of Materials for Regravelling of Road Shoulders along LDNICR (Magsaysay-Tubod Section) K1588+000- K1591+600.</t>
  </si>
  <si>
    <t>Improvement of Water System Transmission Line (Diversion Road)</t>
  </si>
  <si>
    <t>Supply and Delivery of Twenty Three (23) Pre-Disaster Communication Equipment</t>
  </si>
  <si>
    <t>20GKF0033-Purchase of Materials for Regravelling of Road Shoulders along Tubod-Ganassi Road K1590+000-K1595+000.</t>
  </si>
  <si>
    <t>Construction Materials (SALINTUBIG-Construction of Warehouse for Potable Water System-Phase I)</t>
  </si>
  <si>
    <t>20GKF0036-Purchase of Materials for Regravelling of Shoulders along Linamon-Zamboanga Road K1590+000-K1593+000.</t>
  </si>
  <si>
    <t>Diesoline (Fuel) MEO- HEI</t>
  </si>
  <si>
    <t>cONSTRUCTION OF pERIMETER fENCE</t>
  </si>
  <si>
    <t>20GKF0037-Purchase of Materials for Regravelling of Shoulders along Linamon-Zamboanga Road K1585+000-K1588+000.</t>
  </si>
  <si>
    <t>Repair &amp; Maintenance of Conduit Pipelines</t>
  </si>
  <si>
    <t>Supply and Delivery of Customized Gift Certificates for DTI Pangkabuhayan sa Pag-Bangon at Ginhawa (DTI-PBG)</t>
  </si>
  <si>
    <t>Supply and Delivery of AHU Accessories (7 items), as per BSP Technical Specifications and Terms and Conditions</t>
  </si>
  <si>
    <t>20GKF0035-Purchase of Materials for Regravelling of Road Shoulders along Tubod-Ganassi Road K1600+000-K1605+000.</t>
  </si>
  <si>
    <t>20GKF0038-Purchase of Materials for Regravelling of Road Shoulders along Tubod-Ganassi Road K1605+000-K1610+000.</t>
  </si>
  <si>
    <t>74743 - Procurement of 1 Lot Fuel</t>
  </si>
  <si>
    <t>CONSTRUCTION OF ROADS</t>
  </si>
  <si>
    <t>Supply and Delivery of Construction Materials for the Construction/Rehabilitation of Local Roads, bgry. Janagdong (Rebid)</t>
  </si>
  <si>
    <t>PB-20-212, Supply &amp; Delivery of Medical Supplies &amp; Medicines for Arakan Valley District Hospital, Antipas, Cotabato</t>
  </si>
  <si>
    <t>Construction of Multi-Purpose Centers (Purok 3, Tagulayan Palma Gil &amp; Sitio Salawao, Sto. Nino, Talaingod, DDN)</t>
  </si>
  <si>
    <t>Procurement of Hardware Materials used for Road Concreting of Brgy. Street @ Brgy. San Roque, Socorro, SDN</t>
  </si>
  <si>
    <t>Supply and Delivery of Two (2) units Hydraulic Hand Pallet Trucks, as per BSP Technical Specifications and Terms and Conditions</t>
  </si>
  <si>
    <t>Supply and Delivery of Construction Materials and Solar Street Lamp, (Rebid)</t>
  </si>
  <si>
    <t>Small Value Procurement - repair of "bio base"</t>
  </si>
  <si>
    <t>20GKF0040-Purchase of Materials for Regravelling of Shoulders along Linamon-Zamboanga Road K1576+000-K1579+000.</t>
  </si>
  <si>
    <t>Procurement of Aggregates used for Road Concreting of Brgy. Street @ Brgy. San Roque, Socorro, SDN</t>
  </si>
  <si>
    <t>One (1) Lot Supply, Delivery, Installation, Configuration and Testing of Six (6) units High Speed Line Matrix Printer including Consumables, as per BSP Terms of Reference</t>
  </si>
  <si>
    <t>Upgrading of Water System</t>
  </si>
  <si>
    <t>Purchase of Generator Set to be installed at New Public Market, Barangay Poblacion, Lobo, Batangas</t>
  </si>
  <si>
    <t>20GKF0039-Purchase of Materials for Regravelling of Road Shoulders along Tubod-Ganassi Road K1605+000-K1610+000.</t>
  </si>
  <si>
    <t>PB-20-304, Supply &amp; Delivery of IV Fluids for Mlang District Hospital, Mlang, Cotabato</t>
  </si>
  <si>
    <t>Procurement of Tocilizumab and other drugs and medicine</t>
  </si>
  <si>
    <t>PB-20-303, Supply &amp; Delivery of Medical Supplies for Mlang District Hospital, Mlang, Cotabato</t>
  </si>
  <si>
    <t>PB-20-313, Supply &amp; Delivery of Brochures to be distributed to walk-in clients (farmers) of the Office of Provincial Agriculturist, Amas, Kidapawan City</t>
  </si>
  <si>
    <t>PB-20-306, Supply &amp; Delivery of Office Equipment for the Office of the Provincial Veterinarian, Amas, Kidapawan City</t>
  </si>
  <si>
    <t>Construction of School Fencing (Phase II) (Sto. Nino Central Elementary School, Talaingod, DDN</t>
  </si>
  <si>
    <t>Supply and Delivery of Pipes and Fittings for the Rehabilitation/Improvement of Poblacion/Barangay Waterworks System (rebid)</t>
  </si>
  <si>
    <t xml:space="preserve">20OH0148-Local  Program - Construction/Repair/Rehabilitation/Improvement  of  various   Infrastructure including Local Projects-Buildings and other Structures-Multi-Purpose/facilities-Construction of </t>
  </si>
  <si>
    <t>PB-20-310, Supply &amp; Delivery of Laptop Computers for the Office of the Vice Governor and the Sangguniang Panlalawigan, Amas, Kidapawan City</t>
  </si>
  <si>
    <t>PB-20-311, Supply &amp; Delivery of Relief Supplies for distribution to E-CLIP beneficiaries</t>
  </si>
  <si>
    <t>PB-20-305, Supply &amp; Delivery of Veterinary Equipment for the Office of the Provincial Veterinarian, Amas, Kidapawan City</t>
  </si>
  <si>
    <t>PB-20-309, Supply &amp; Delivery of Laboratory Reagents for Mlang District Hospital, Mlang, Cotabato</t>
  </si>
  <si>
    <t>PB-20-312, Supply &amp; Delivery of Hardware Supplies for distribution to different barangay/recipients of the province</t>
  </si>
  <si>
    <t>Construction/Rehabilitation of Local Roads</t>
  </si>
  <si>
    <t>CONDUCT DISTRICT PROFESSIONAL MEETING (July 2020)</t>
  </si>
  <si>
    <t>PROCUREMENT OF CONSTRUCTION SUPPLIES AND MATERIALS OF BARANGAY LA CARIDAD</t>
  </si>
  <si>
    <t>PB-20-308, Supply &amp; Delivery of Various Agricultural Supplies for the Office of Provincial Agriculturist, Amas, Kidapawan City</t>
  </si>
  <si>
    <t>20OH0102 Re-ads-Local Program-Local  Infrastructure  Program-Buildings  and other Structures - Multi-Purpose/Facilities-Construction of Multi-Purpose Building Villamor Air Base, Pasay City</t>
  </si>
  <si>
    <t>CONDUCT INSET (MAY 2020 &amp; OCTOBER 2020)</t>
  </si>
  <si>
    <t>20OH0149-Local Program-Local Infrastructure Program-Buildings and other Structures-  Multipurpose / Facilities - Construction of Multi-purpose Building and Facilities, Pres. Corazon C. Aquino Senior H</t>
  </si>
  <si>
    <t>PB-20-307, Supply &amp; Delivery of IT &amp; Office Equipment for the Provincial Human Resource Management Office, Amas, Kidapawan City</t>
  </si>
  <si>
    <t>PR 1-20-02-0376, FOR USE OF THE OFFICE OF THE CITY ACCOUNTANT.</t>
  </si>
  <si>
    <t>CONDUCT WORLD TEACHER'S DAY (October 2020)</t>
  </si>
  <si>
    <t>PR 1-20-02-0341, FOR USE DURING THE NUTRITION MONTH CULMINATING ACTIVITY ON JULY 31, 2020.</t>
  </si>
  <si>
    <t>PB-20-316, Supply of Diesel Fuel for the use of various activities and official vehicles of the Office of the Vice Governor and Sangguniang Panlalawigan, Amas, Kidapawan City</t>
  </si>
  <si>
    <t>20OH0150-Renovation of Planning Service Offices, DPWH Head Office, Bonifacio Drive, Port Area, Manila</t>
  </si>
  <si>
    <t>Repair and Maintenance - Big dome</t>
  </si>
  <si>
    <t>PR 1-20-03-0447, FOR USE OF VARIOUS EQUIPMENT ASSIGNED AT CED, THIS CITY.</t>
  </si>
  <si>
    <t>PR 1-20-03-0462, FOR USE OF VARIOUS EQUIPMENT ASSIGNED AT CED, THIS CITY.</t>
  </si>
  <si>
    <t>PR 1-20-03-0439, FOR USE OF VARIOUS EQUIPMENT ASSIGNED AT CED, THIS CITY.</t>
  </si>
  <si>
    <t>PR 1-20-03-0435, FOR USE OF ADMINISTRATIVE, CITY ENGINEERING DEPARTMENT.</t>
  </si>
  <si>
    <t>20OH0151-Proposed Construction/Rehabilitation of Water Supply/Septage and Sewerage/Rainwater Collector-Rainwater Collector System at: 1)	Aurora A. Quezon E/S San Andres cor. Vasquez, Malate, Manila 2)</t>
  </si>
  <si>
    <t>PR 1-20-03-0446, TO BE USE BY THE CITY TOURISM OFFICE.</t>
  </si>
  <si>
    <t>PR 1-20-03-0436, FOR USE IN RICE PRODUCTION PROGRAM, CITY AGRICULTURE OFFICE, THIS CITY.</t>
  </si>
  <si>
    <t>PR 9-20-02-0384, FOR THE USE OF  SAN CARLOS CITY HOSPITAL.</t>
  </si>
  <si>
    <t>20CSZ004 - CONSULTING SERVICES FOR THE FORMULATION OF DPWH GENDER AND DEVELOPMENT (GAD) AGENDA, GAD STRATEGIC FRAMEWORK AND PLAN, AND ENHANCEMENT OF DPWH GAD TOOLKIT</t>
  </si>
  <si>
    <t>PR 1-20-02-0393, TO BE USED FOR TENNIS AND VOLLEYBALL ACTIVITIES.</t>
  </si>
  <si>
    <t>PR 1-20-03-0426, CONSTRUCTION OF 6 STOREY CITY HALL ANNEX BUILDING PHASE 2 - (GROUND FLOOR).</t>
  </si>
  <si>
    <t>PR 1-20-03-0418, FOR USE OF THE CITY ENVIRONMENT MANAGEMENT OFFICE, CEMO, THIC CITY.</t>
  </si>
  <si>
    <t>PR 18-20-03-0431, FOR USE OF THE PROJECT: PERIMETER FENCING OF MEDINA PUMPING STATION AND SURFACE WATER TREATMENT PLANT.</t>
  </si>
  <si>
    <t>Repair of Brgy. Botoc Health Station and Installation of Facilities</t>
  </si>
  <si>
    <t>PR 1-20-03-0438, FOR USE OF BAC SECRETARIAT &amp; PROCUREMENT DIVISION OF CITY MAYOR'S OFFICE, THIS CITY.</t>
  </si>
  <si>
    <t>Proposed Improvement of Multi-Purpose Building (Improvement and Completion of Second Floor) at JP Laurel Street, Brgy. Poblacion, Kidapawan City</t>
  </si>
  <si>
    <t>Installation of Solar Street Lights ALong San Pedro Calungsod Parish going to Brgy. Upper Katungal, City of Tacurong</t>
  </si>
  <si>
    <t>Proposed Road Concreting of Circumferential Road/Ninoy Aquino Extension at junction Kidapawan-Calunasan Mlang Road-Purslane Section, Brgy. Magsaysay, Kidapawan City</t>
  </si>
  <si>
    <t>Supply and delivery of withdrawal slip booklet for the CDRRMO, Kidapawan City.</t>
  </si>
  <si>
    <t>Repair, Repaint Destroyed Portion of Public Market Building</t>
  </si>
  <si>
    <t>Procurement of Consultancy Services for the FORMULATION of SIMPLIFIED FEASIBILITY STUDY &amp; BASIC DESIGN for the POTABLE WATER SYSTEM in the CITY of EL SALVADOR</t>
  </si>
  <si>
    <t>PR# 20-02-359 &amp; 20-02-360 (REPOSTING) PROCUREMENT OF TWO (2) UNITS MULTI-PURPOSE VEHICLE</t>
  </si>
  <si>
    <t>Proposed Construction of Feedmill Plant (15.0m x 15.0m One(1) Storey Building) at Brgy. Paco, Kidapawan City</t>
  </si>
  <si>
    <t>PR# 20-02-355 (REPOSTING) PROCUREMENT OF VARIOUS MATERIALS FOR FABRICATION OF 8 UNITS (22FT) MOTORIZED FRP BOAT UNDER SAAD 2020 FOR COASTAL MUNICIPALITY OF BOHOL</t>
  </si>
  <si>
    <t>PR# 19-12-1700 (REPOSTING) PROCUREMENT OF TEN (10) UNITS 20HP MARINE ENGINE (DIESEL) WITH COMPLETE ACCESSORIES FOR CEBU PROVINCE</t>
  </si>
  <si>
    <t>Procurement of Mental Drugs Lot 2</t>
  </si>
  <si>
    <t>HEALTH &amp; MEDICAL SUPPLIES FOR COVID 19</t>
  </si>
  <si>
    <t>Procurement of Bottle and Glass Crusher</t>
  </si>
  <si>
    <t>PR# 20-01-110 (REPOSTING) PROCUREMENT OF FIFTEEN (15) UNITS 7HP MARINE ENGINE (GASOLINE FED) WITH COMPLETE ACCESSORIES UNDER TARGET 2020 FOR COASTAL MUNICIPALITY OF BOHOL</t>
  </si>
  <si>
    <t>Procurement of Mental Drugs Lot 1</t>
  </si>
  <si>
    <t>CONSTRUCTION OF LEACHATE POND ( SANITARY LANDFILL)</t>
  </si>
  <si>
    <t>PR# 19-12-1699 (REPOSTING) PROCUREMENT OF NINETY (90) UNITS 7.5HP MARINE ENGINE (DIESEL) WITH COMPLETE ACCESSORIES FOR CEBU PROVINCE</t>
  </si>
  <si>
    <t>PR# 20-02-356 (REPOSTING) PROCUREMENT OF EIGHT (8) UNITS 7HP MARINE ENGINE (GASOLINE FED) WITH COMPLETE ACCESSORIES UNDER SAAD 2020 FOR COASTAL MUNICIPALITY OF BOHOL</t>
  </si>
  <si>
    <t>Procurement of Mental Drugs Lot 3</t>
  </si>
  <si>
    <t>Diesel Fuel etc. (05-0543) CMO</t>
  </si>
  <si>
    <t>Supply and Delivery of 75 Boxes Noodles &amp; Other Items; PR No. 20-1325 dated May 22, 2020</t>
  </si>
  <si>
    <t>Hose Bibb Faucet 1/2" dia etc. (05-0553) CGSO</t>
  </si>
  <si>
    <t>supply and delivery of hardware materials use for the construction of CR (macalino E/S)</t>
  </si>
  <si>
    <t>G.I. Pipe S-40 etc. (05-0565) CEO</t>
  </si>
  <si>
    <t>PURCHASE OF MEDICINES FOR MEDICAL CONSULTATION</t>
  </si>
  <si>
    <t>Construction of Cordova Public Market (Cordova Town Square)</t>
  </si>
  <si>
    <t>20CB-GSC-289 PURCHASE OF DIESEL AND GASOLINE FOR BFP</t>
  </si>
  <si>
    <t>Purchase of One  (1) Unit  Heavy Equipment  for use at DPWH-Bataan 1st   District Engineering Office  (DEO), Orani,Bataan</t>
  </si>
  <si>
    <t>20CB-GSC-294 PURCHASE OF PHOTOCOPIER</t>
  </si>
  <si>
    <t>Portland Cement etc.(03-0412)CEO</t>
  </si>
  <si>
    <t>Methyl Eugenol etc. (05-0560) Agriculture</t>
  </si>
  <si>
    <t>Procurement of Mental Drugs Lot 5</t>
  </si>
  <si>
    <t>20CB-GSC-293 PURCHASE OF GENERAL MERCHANDISE</t>
  </si>
  <si>
    <t>20F00124 - 1. Drainage at Brgy. Rawis, Legazpi City Junction to Secondary National Road, Legazpi City – Sto. Domingo-Tabaco-Tiwi-Camarines Sur Bdry. Road, Brgy. Rawis, Legazpi City, Albay 2nd Legislat</t>
  </si>
  <si>
    <t>20CB-GSC-295 PURCHASE OF CELL CARDS</t>
  </si>
  <si>
    <t>20CB-GSC-291 PURCHASE OF LANDLINE SUBSCRIPTION W/ INTERNET</t>
  </si>
  <si>
    <t>Procurement of Mental Drugs Lot 4</t>
  </si>
  <si>
    <t>Supply and Delivery of hardware materials use for the Construction of Gamamatan Comfort Room</t>
  </si>
  <si>
    <t>20CB-GSC-288 PURCHASE OF CUSTOMIZE FURNITURE &amp; FIXTURES</t>
  </si>
  <si>
    <t>20CB-GSC-292 PURCHASE OF FOOD SUPPLIES</t>
  </si>
  <si>
    <t>Supply and delivery of various construction materials for Various Projects LOT 5</t>
  </si>
  <si>
    <t>SURVEY SERVICES FOR AFP-RSBS MINDORO PROPERTY</t>
  </si>
  <si>
    <t>20CB-GSC-301 PURCHASE OF MARINE SUPPLIES</t>
  </si>
  <si>
    <t>20CB-GSC-290 PURCHASE OF FURNITURE &amp; FIXTURES</t>
  </si>
  <si>
    <t>20CB-GSC-300 CATERING SERVICES (RE-BID)</t>
  </si>
  <si>
    <t>20CB-GSC-296 PURCHASE OF BOOK BINDING MACHINE</t>
  </si>
  <si>
    <t>Procurement of Mental Drugs Lot 6</t>
  </si>
  <si>
    <t>Proposed Construction of Level II Portable Water System(Drilling/Construction of Steel Tank/Pipelines) at Sitio Lika, Brgy. Onica, Kidapawan City</t>
  </si>
  <si>
    <t>Procurement of Mental Drugs Lot 7</t>
  </si>
  <si>
    <t>19GF00029 - Supply and Installation of Additional 3-units Air Conditioning Units at Construction Division DPWH RO-V, (PR No. 20-02-038 dated 2/19/2020), DPWH Regional Office No. V, Rawis, Legazpi City</t>
  </si>
  <si>
    <t>Procurement of Space Spray (cyphenothrin 5%,BTL)</t>
  </si>
  <si>
    <t>20CB-GSC-298 PURCHASE OF TOOLS AND MATERIALS FOR ROBOTICS (SEF)</t>
  </si>
  <si>
    <t>supply and delivery of hardware materials use for the rehabilitation of ninoy aquino spring development</t>
  </si>
  <si>
    <t>Improvement and Reblocking of Abasag St.</t>
  </si>
  <si>
    <t>U-bolt etc. (05-0555) Motorpool</t>
  </si>
  <si>
    <t>20CB-GSC-299 PRINTING OF VARIOUS NON-ACCOUNTABLE FORMS FOR CITY ASSESSORS OFFICE (RE-BID)</t>
  </si>
  <si>
    <t>20CB-GSC-297 PURCHASE OF SCHOOL SUPPLIES (SEF)</t>
  </si>
  <si>
    <t>Bearing etc. (05-0582)CMO</t>
  </si>
  <si>
    <t>Supply and delivery of grocery items and perishable goods for the use of Kidapawan City Hospital.</t>
  </si>
  <si>
    <t>Proposed Construction of Level II Portable Water System(Drilling/Construction of Steel Tank/Pipelines) at Purok 7, Brgy. Macebolig, Kidapawan City</t>
  </si>
  <si>
    <t>CONSTRUCTION OF TALONGSONG POBLACION BAILEY BRIDGE</t>
  </si>
  <si>
    <t>Supply and delivery of Office and janitorial supplies for the use of the CPDC Office and Kidapawan City Police Station.</t>
  </si>
  <si>
    <t>Supply and delivery of plumbing materials for the Proposed Installation of waterlines at Sitio Riverside – Sitio Maangue – Sitio Mateo, Brgy. Birada, Kidapawan City.</t>
  </si>
  <si>
    <t>Installation of Solar Street Lights Panel for Clarin Town Center, Pob. 2, Clarin, Misamis Occidental</t>
  </si>
  <si>
    <t>Proposed Construction of Level II Portable Water System(Drilling/Construction of Steel Tank/Pipelines) at Sitio Puas Inda, Brgy. Amas, Kidapawan City.</t>
  </si>
  <si>
    <t>IMPROVEMENT OF MULTI-PURPOSE DRYING PAVEMENT - CAMANGAAN, SAN  JUAN, ILOCOS SUR</t>
  </si>
  <si>
    <t>CR 9-19-10-0005, FOR THE USE OF SAN CARLOS CITY HOSPITAL, THIS CITY.</t>
  </si>
  <si>
    <t>ITB-REBID03-2020</t>
  </si>
  <si>
    <t>REHABILITATION OF FISH PONDS</t>
  </si>
  <si>
    <t>20GA0214-Construction of Drainage Structure along Aklan East Road Aklan East Road – K0280+350 – K0280+827  Aklan East Road</t>
  </si>
  <si>
    <t>PBG-2020-06-17 PROCUREMENT OF VARIOUS CHAIRS FOR CITY GOVERNMENT OF PAGADIAN USE.</t>
  </si>
  <si>
    <t>ITB-B12-2020</t>
  </si>
  <si>
    <t>IMPROVEMENT OF OTHER PUBLIC STRUCTURE BUILDING &amp; FACILITIES</t>
  </si>
  <si>
    <t>Procurement of Ascorbic Acid Drops and Ascorbic Syrup</t>
  </si>
  <si>
    <t>20GA0215-Construction of Road Slope Protection Structures along Aklan West Road Aklan West Road (Kalibo-Nabas) (S00480PN) K0243+981.00 – K0244+045.00</t>
  </si>
  <si>
    <t>Purchasing of Monobloc Tables and Chairs</t>
  </si>
  <si>
    <t>19GF00030 - Supply and Delivery of Additional Global Navigation Satellite System assigned at PDD (PR No. 20-03-074 dated 3/09/2020), DPWH Regional Office No. V, Rawis, Legazpi City</t>
  </si>
  <si>
    <t>PR 1-20-02-0400, FOR USE OF CSWDO OFFICE SERVICE VEHICLES.</t>
  </si>
  <si>
    <t>Completion of Bio-Composting Facility at Barangay Maloro</t>
  </si>
  <si>
    <t>CONSTRUCTION OF STANDARD DAYCARE CENTER BUILDING WITH COMPLETE FACILITIES</t>
  </si>
  <si>
    <t>PR 1-20-02-0381, FOR USE OF CITY HEALTH OFFICE.</t>
  </si>
  <si>
    <t>20GA0130-Improvement/Continuing Const. of Multi-Purpose Building  Brgy. Poblacion, Balete, Aklan</t>
  </si>
  <si>
    <t>PROCUREMENT OF 2 UNIT AMBULANCE (TYPE 1) BAC 2020-E06</t>
  </si>
  <si>
    <t>20GA0167-Construction of Multi-Purpose Building  In Brgy. Balabag, Malay, Aklan</t>
  </si>
  <si>
    <t>Supply and Delivery of Desktop Computer and Other Equipment</t>
  </si>
  <si>
    <t>PR 1-20-02-0382, FOR USE OF WATER TRUCK #1 (FUSO CANTER) SGV 787 ASSIGNED AT CED, THIS CITY.</t>
  </si>
  <si>
    <t>SUPPLY AND DELIVERY OF OILS AND LUBRICANTS-PEO</t>
  </si>
  <si>
    <t>20GA0157-Construction of Multi-Purpose Building  Brgy. Balabag, Malay, Aklan</t>
  </si>
  <si>
    <t>Concrete Paving along River Park 100LM(Phase 1) (06-0592)CPDO</t>
  </si>
  <si>
    <t>20GA0142-Construction of Multi-Purpose Building (Covered Court) Brgy. Poblacion, Tangalan, Aklan</t>
  </si>
  <si>
    <t>PR 1-20-02-0343, FOR USE OF  THE  PURCHASE AND INSTALL AIRCONDITIONING UNIT AT POLICE STATION, BARANGAY III, SAN CARLOS CITY, NEGROS OCCIDENTAL.</t>
  </si>
  <si>
    <t>B-19-20-002– ROAD REBLOCKING AND CONSTRUCTION OF DRAINAGE CANAL WITH COVER AT BARANGAY MANGGAHAN, CITY OF GENERAL TRIAS, CAVITE</t>
  </si>
  <si>
    <t>2 COMFORT ROOMS &amp; KITCHEN SINK</t>
  </si>
  <si>
    <t>Procurement of Dental Digital Panoramic X-ray Machine with Complete Accessories and Installation</t>
  </si>
  <si>
    <t>WATER &amp; SANITATION 1 (ELEVATED FLOORING, WITH ROOFING &amp; 10 FAUCET)</t>
  </si>
  <si>
    <t>PR 1-20-02-0394, FOR USE OF VARIOUS LIGHT EQUIPMENT ASSIGNED AT CED, THIS CITY.</t>
  </si>
  <si>
    <t>FABRICATION AND SUPPLY OF FIBER GLASS MOTORIZED MOTORBOAT AND NON-MOTORIZED MOTORBOAT(SIBID-SIBID)</t>
  </si>
  <si>
    <t>PR 1-20-02-0320, FOR USE OF TOYOTA HI-ACE VAN VEHICLES ASSIGNED AT CITY HEALTH OFFICE.</t>
  </si>
  <si>
    <t>IMPROVEMENT OF FMR-EDRALIN-ATAN ROAD</t>
  </si>
  <si>
    <t>PR 1-20-03-0444, FOR USE OF THE 2ND MANEUVER PLATOON, 605TH MOBILE FORCE COMPANY, REGIONAL MOBILE FORCE BATTALION 6, THIS CITY.</t>
  </si>
  <si>
    <t>Construction of Perimeter fence at the reforestation project located at Malabbac</t>
  </si>
  <si>
    <t>SUPPLY AND DELIVERY OF ONE (1) UNIT 6-WHEELER 4 x 4, 6 CUBIC METER DUMPTRUCK</t>
  </si>
  <si>
    <t>IMPROVEMENT OF ANDELUCIA FMR</t>
  </si>
  <si>
    <t>IMPROVEMENT OF LOWER SISI-MANTAE-LIMAN ROAD</t>
  </si>
  <si>
    <t>CONCRETING OF FMR (KAKIDUGEN-CATARAWAN)</t>
  </si>
  <si>
    <t>Construction of Multi – Purpose Pavement located at Ajat</t>
  </si>
  <si>
    <t>PR 1-20-02-0375, FOR THE USE OF OF BUREAU OF JAIL MANAGEMENT AND PENOLOGY OFFICE.</t>
  </si>
  <si>
    <t>PR 1-20-03-0499, FOR USE OF VARIOUS VEHICLES &amp; EQUIPMENTS ASSIGNED IN SANITATION AND ENVIRONMENTAL PROTECTION PROGRAM, CEMO, THIS CITY.</t>
  </si>
  <si>
    <t>PR 1-20-03-0516, FOR SUPPLY AND MAINTENANCE OF CRM PUMPBOATS.</t>
  </si>
  <si>
    <t>Completion of Slaughterhouse</t>
  </si>
  <si>
    <t>COMPLETION OF STANDARD BIRTHING CLINIC - ALIMIT</t>
  </si>
  <si>
    <t>PR 1-20-03-0511, FOR USE OF VARIOUS LIGHT &amp; HEAVY EQUIPMENT ASSIGNED AT CED, THIS CITY.</t>
  </si>
  <si>
    <t>PR 1-20-05-0581, FOR USE OF THE NEGROS OCCIDENTAL POLICE PROVINCIAL OFFICE.</t>
  </si>
  <si>
    <t>PR 1-20-02-0392, TO BE USED BY THE VARIOUS VEHICLES OF THE COOPERATIVES AND LIVELIHOOD DEVELOPMENT OFFICE (CLDO).</t>
  </si>
  <si>
    <t>SUBMERSIBLE PUMP AND MOTOR</t>
  </si>
  <si>
    <t>PR 1-20-03-0433, FOR USE IN THE DELTA COY 12IB 31DPA BRGY. CODCOD, BRGY. QUEZON &amp; BRGY. PALAMPAS DETACHMENTS, THIS CITY, FOR THE MONTH OF APRIL TO JUNE 2020.</t>
  </si>
  <si>
    <t>CONSTRUCTION OF DAYCARE CENTER-CAPISAAN</t>
  </si>
  <si>
    <t>PR 1-20-03-0432, FOR USE OF THE REGIONAL MOBILE FORCE BATALLION 6 PERSONNEL DEPLOYED IN SAN CARLOS CITY, FOR THE PERIOD APRIL TO JUNE 2020.</t>
  </si>
  <si>
    <t>26,400 liters Diesel Fuel</t>
  </si>
  <si>
    <t>1 unit Repair of Toyota Hi-lux, SFM-485, etc.</t>
  </si>
  <si>
    <t>6 rolls Aluminum Foil, etc.</t>
  </si>
  <si>
    <t>51 pails Chlorine, Granular 70, Oxidizer 5.1, ISO 9001/9002 Registered or higher - 45kgs./drum</t>
  </si>
  <si>
    <t>1 unit Battery, 12 volts, 11 plates - N50 (Maintenance Free), etc.</t>
  </si>
  <si>
    <t>1 unit Corn Planter Implement, etc.</t>
  </si>
  <si>
    <t>1 box Blood Lancet, Sterile, Ultra-Fine, 200s, etc.</t>
  </si>
  <si>
    <t>1 unit Wireless Multi-Function Printer with Continuous Ink, etc.</t>
  </si>
  <si>
    <t>3 sets Hearing Aid, Digital, etc.</t>
  </si>
  <si>
    <t>1 unit Cork Board without Frame, 2 feet x 3 feet, etc.</t>
  </si>
  <si>
    <t>250 pieces DVD Recordable, Dual Layer 8.5 GB (DVD 9), etc.</t>
  </si>
  <si>
    <t>Procurement of Information and Communication Technology Equipment</t>
  </si>
  <si>
    <t>1 piece Basin, Plastic – Big, etc.</t>
  </si>
  <si>
    <t>SUPPLY AND DELIVERY OF RUBBER POTS WITH REFLECTORIZED STICKER  (P.R. NO. 100-20-05-0210)</t>
  </si>
  <si>
    <t>2 units Motorcycle 125cc</t>
  </si>
  <si>
    <t>GOV-20-0331-NP (SV) / Purchase of Steel Cabinet</t>
  </si>
  <si>
    <t>PR 4-20-02-0304, FOR USE OF FORD RANGER XLS (PICK-UP STYLE) ASSIGNED AT CWD, THIS CITY.</t>
  </si>
  <si>
    <t>PR 4-20-02-0377, USE OF THE CITY WATERWORKS DEPARTMENT.</t>
  </si>
  <si>
    <t>143 copy Newspaper-Manila Bulletin, etc.</t>
  </si>
  <si>
    <t>FABRICATION / INSTALLATION OF SOLAR LAMP STREET LIGHTINGS</t>
  </si>
  <si>
    <t>P.R. No. 20-101-013 "Procurement of Books for the different Colleges of Basilan State College Main Campus"</t>
  </si>
  <si>
    <t>1 unit JOB ORDER, Labor and Materials Repair of one (1) unit  Mitsubishi with plate no. SJF-313</t>
  </si>
  <si>
    <t>BID - Various Manila Aide Uniforms, Supplies and Materials - DPS 2nd qtr</t>
  </si>
  <si>
    <t>PR 9-20-02-0364, FOR USE IN THE MAINTENANCE SECTION OF THE SAN CARLOS CITY HOSPITAL, THIS CITY.</t>
  </si>
  <si>
    <t>2 units Computers with Complete Accessories, etc.</t>
  </si>
  <si>
    <t>PR 4-20-02-0285, FOR USE OF HONDA XRM 125 RED W/ PLATE NO. SG 7639 ASSIGNED AT CWD, THIS CITY.</t>
  </si>
  <si>
    <t>ONE LOT Publication of the Approved Provincial Ordinance (Approved Schedule of Market Values) for Three Consecutive Publications with Affidavit of Publication Notaries</t>
  </si>
  <si>
    <t>Procurement of Catering Services for the 4th Level Training 2020 CPH of PSA RSSO IX and the Provinces</t>
  </si>
  <si>
    <t>PURCHASE OF VARIOUS SPARE PARTS OF VARIOUS TRACTORS</t>
  </si>
  <si>
    <t>Purchase and Delivery of Traditional Instruments (Gongs-Kalsa &amp; Pinsak and Solibao-Solibao &amp; Kimbal)</t>
  </si>
  <si>
    <t>Procurement of Oxygen Tanks and Refill</t>
  </si>
  <si>
    <t>Procurement of Spare Parts for the Repair and Maintenance of Transportation Equipment</t>
  </si>
  <si>
    <t>CONSTRUCTION OF LOOM RIVER FRONT PARK AT BARANGAY TABOC, BORONGAN CITY EASTERN SAMAR</t>
  </si>
  <si>
    <t>PROCUREMENT OF 26 UNITS MOTOR CYCLE W/ SIDECAR</t>
  </si>
  <si>
    <t>Procurement of Fully Automated Digital Radiography Ceiling Mounted with Design and Build with Integrated Radiololy Information System (RIS)</t>
  </si>
  <si>
    <t>BID-2020-06-78 JJASGH- PROC OF VARIOUS AIRCONDITIONING UNITS</t>
  </si>
  <si>
    <t>PEO-19-1489-B (RE-BID) Construction of Various Water Systems in the 4th District of Iloilo</t>
  </si>
  <si>
    <t>PEO-20-0482-B CONCRETING OF CABATUAN – ACAO – ITO ROAD  Cabatuan, Iloilo</t>
  </si>
  <si>
    <t>IPH-19-1021-B (Re-Bid) Proposed Landscaping of Iloilo Provincial Hospital, Pototan, Iloilo</t>
  </si>
  <si>
    <t>BID-2020-06-75 JJASGH -TWO UNITS BED PASSENGER ELEVATOR</t>
  </si>
  <si>
    <t>PEO-20-0551-B Concreting of Duyan-Duyan- Bacan Road Cabatuan, Iloilo</t>
  </si>
  <si>
    <t>FRT-19-628-B (RE-BID 2)  Automatic Detection and Fire Alarm System at Federico Roman Tirador Sr. Memorial District Hospital Janiuay, Iloilo</t>
  </si>
  <si>
    <t>PEO-19-1502-B Construction of Elementary School Water Systems in the 3rd District of Iloilo; 1) Construction of Water System       a. San Gregorio  Elementary School, Lambunao, Iloilo      b. Pajo Ele</t>
  </si>
  <si>
    <t>Concreting of Lorenzo Tan Street Barangay Road (Right Side of Lorenzo Tan ES)</t>
  </si>
  <si>
    <t>COA-20-020-B  Proposed Repair/Improvement Commission on Audit Storage Building  Provincial Equipment Pool Compound, Sta. Barbara, Iloilo</t>
  </si>
  <si>
    <t>SDH-18-2253-B (RE-BID) Construction of PHU Complex with Conference Hall and Storage Area of Sara District Hospital (Phase 1) Sara, Iloilo</t>
  </si>
  <si>
    <t>Procurement of Various Vehicle Spare Parts P.R. Nos. 635 &amp; 634 - DEPW</t>
  </si>
  <si>
    <t>Procurement of Asphalt, Bitumul and Thermoplastic Lane Marking P.R. No. 630 - DEPW</t>
  </si>
  <si>
    <t>Rental of Heavy Equipment P.R. No. 137 - DEPW</t>
  </si>
  <si>
    <t>PEO-20-0554-B Concreting of Estancia - Gogo Road Estancia, Iloilo</t>
  </si>
  <si>
    <t>Preventive Maintenance Services for Various Hospital and Medical Equipment - SAH</t>
  </si>
  <si>
    <t xml:space="preserve">PEO-19-1487-B (RE-BID) Construction/Improvement of Water System in the 3rd District of Iloilo  1)Construction of Water System:    Brgy. Guibuangan Tigbauan, Iloilo 2) Improvement of Water System:     </t>
  </si>
  <si>
    <t>Procurement of Various Construction Supplies and Materials - DEPW</t>
  </si>
  <si>
    <t>CONSTRUCTION OF MUNICIPAL CEMETERY EXTENSION (PHASE III) LOCATED AT SAN ANTONIO, AGOO, LA UNION</t>
  </si>
  <si>
    <t>Procurement of Various Electrical Supplies and Materials P.R. No. 636 - DEPW</t>
  </si>
  <si>
    <t>PEO-19-2036-B  Repair and Improvement of Provincial Administration Building of Provincial Equipment Pool Sta. Barbara, Iloilo</t>
  </si>
  <si>
    <t>CONSTRUCTION OF DAYCARE CENTER AT BRGY. SAPANG PUTIK</t>
  </si>
  <si>
    <t>CONSTRUCTION OF DAYCARE CENTER AT BRGY. BUBULONG MUNTI</t>
  </si>
  <si>
    <t>Concreting of Guinalaban Barangay Road</t>
  </si>
  <si>
    <t>Concreting of Lorenzo Tan Street Barangay Road (Back of Lorenzo Tan Cemetery)</t>
  </si>
  <si>
    <t>CONSTRUCTION OF SCHOOL CANTEEN AT SAN ILDEFONSO NATIONAL HIGH SCHOOL</t>
  </si>
  <si>
    <t>PEO-19-2099-B Concreting of Municipal Road in Zones 1, 2 and 3 at Barangay Captain Agustin Tirador Janiuay, Iloilo</t>
  </si>
  <si>
    <t>PROPOSED CONSTRUCTION OF CONCRETE PERIMETER FENCE</t>
  </si>
  <si>
    <t>Supply and Delivery of  Equipment, Supplies and Consumables For Use in CASC, CEng, Sci Lab, CEngSC, D Post, CASSC, CESC, GAD, KMS, Guidance And Registration &amp; Admission Office/ (IAEB NO. 2020-005)</t>
  </si>
  <si>
    <t>Supply, Delivery and Installation of Office Furniture And Fixture For Use In CASC, Sci Lab, D Post Office, CESC, Guidance Office, KMS And Registration And Admission Office</t>
  </si>
  <si>
    <t>PEO-20-0383-B CONCRETING OF LEON-OMAMBONG-CORDOVA ROAD, Leon, Iloilo</t>
  </si>
  <si>
    <t>PEO-20-0381-B Concreting of Barasan-Bantay Road Santa Barbara, Iloilo (Brgy. Dalid-Brgy. Buayahon)</t>
  </si>
  <si>
    <t>CONSTRUCTION OF TWO CLASSROOM AT GABIHAN HIGH SCHOOL</t>
  </si>
  <si>
    <t>CONSTRUCTION OF SCHOOL STAGE AT STA. CATALINA BATA ELEMENTARY SCHOOL</t>
  </si>
  <si>
    <t>Construction of Bank Protection at Abowok, Junction, Pinukpuk</t>
  </si>
  <si>
    <t>Package 1: Various MPP, Junction &amp; Katabbogan</t>
  </si>
  <si>
    <t>CONSTRUCTION OF SCHOOL STAGE AT PULONG TAMO ELEMENTARY SCHOOL</t>
  </si>
  <si>
    <t>Procurement of Various Supplies and Materials, DSW-PR-575</t>
  </si>
  <si>
    <t>IMPROVEMENT OF DRAINAGE- AZUCENA ST. CITY PARK SUBD.</t>
  </si>
  <si>
    <t>Procurement of one (1) lot Molecular Laboratory Set Up, OMMC-PR-555</t>
  </si>
  <si>
    <t>PROCUREMENT OF OFFICE FURNITURE FOR THE PROJECT MANAGEMENT OFFICE OF THE NORTH-SOUTH COMMUTER RAILWAY (NSCR) PROJECT (MALOLOS-TUTUBAN)</t>
  </si>
  <si>
    <t>Procurement and Delivery of Solar Panel for health Center and Child Development Center</t>
  </si>
  <si>
    <t>Procurement of Garbage Motorcycle w/ Kolongkolong</t>
  </si>
  <si>
    <t>CONSTRUCTION OF CONCRETE BENCHES AT SITIO GAWAD KALINGA</t>
  </si>
  <si>
    <t>Multi-purpose Building (Sinapaoan)</t>
  </si>
  <si>
    <t>ITB No. 2020-003-CSL - SUPPLY AND DELIVERY OF VARIOUS LABORATORY SUPPLIES, GLASSWARE AND INSTRUMENT CONSUMABLES FOR ALABANG TESTING AND QUALITY ASSURANCE LABORATORY (ATQAL) AND CEBU TESTING AND QUALIT</t>
  </si>
  <si>
    <t>2020-05-0109/2020-06-0110 - Furnishing/Delivery of Office Supplies for use in the District</t>
  </si>
  <si>
    <t>Supplies and Delivery of General Merchandise MOOE,Capital Outlay (office supplies, DRUGS AND MEDICINE ,  and other property, Plant and Equipment)</t>
  </si>
  <si>
    <t>Supplies and Delivery of General Merchandise MOOE,Capital Outlay and BDRRMF (office supplies,Peace and Order,Electrical supplies  and other property, Plant and Equipment)</t>
  </si>
  <si>
    <t>PROCUREMENT OF VARIOUS FORMS FOR STATION OPERATIONS DIVISION – AREA 1</t>
  </si>
  <si>
    <t>PROCUREMENT OF CONSULTING SERVICES FOR THE DEVELOPMENT OF COMPETENCY MODELLING, PROFILING AND ASSESSMENT OF TECHNICAL JOB POSITIONS IN THE PHILIPPINE NATIONAL RAILWAYS (PNR)</t>
  </si>
  <si>
    <t>Covered Pathway and Canopy</t>
  </si>
  <si>
    <t>Purchase and Delivery of Construction Materials and Supplies for Construction of Drainage Canal w/ Cover</t>
  </si>
  <si>
    <t>Purchase and Delivery of Construction Materials and Supplies for Construction of Drainage Canal(Senal-Manuzon)Purok Daisy</t>
  </si>
  <si>
    <t>Line Canal (Baracbac)</t>
  </si>
  <si>
    <t>ITB No. 2020-002-CSL - SUPPLY AND DELIVERY OF VARIOUS LABORATORY STANDARDS, REAGENTS AND MEDIA FOR ALABANG TESTING AND QUALITY ASSURANCE LABORATORY (ATQAL) AND CEBU TESTING AND QUALITY ASSURANCE LABOR</t>
  </si>
  <si>
    <t>Purchase and Delivery of Construction Materials and Supplies for Construction of Drainage Canal(Ugot)Brgy. Hall</t>
  </si>
  <si>
    <t>Purchase and Delivery of Construction Materials and Supplies for Construction of Bench</t>
  </si>
  <si>
    <t>Purchase and Delivery of Construction Materials and Supplies for Construction of Drainage Canal(Morales-Cayaban)Purok Everlasting</t>
  </si>
  <si>
    <t>Bond Paper Short,Bond Paper Long,Mosquito Killer,etc....</t>
  </si>
  <si>
    <t>Road Concreting of Purok Riverside</t>
  </si>
  <si>
    <t>Various Gate Valves Flanged Type</t>
  </si>
  <si>
    <t>PURCHASE OF SEEDS AND FERTILIZER</t>
  </si>
  <si>
    <t>Supply &amp; Delivery of 300 packs Special Paper &amp; Other Items;PR no.20-1282 dated April 7, 2020</t>
  </si>
  <si>
    <t>Construction of Service Road at Bagumbayan</t>
  </si>
  <si>
    <t>REHABILITATION OF CAGUBATAN DOMESTIC DOMESTIC WATER SYSTEM</t>
  </si>
  <si>
    <t>Concreting &amp; Widening of Barangay Road</t>
  </si>
  <si>
    <t>Request for Quotation (AO-2020-02-0152 Office supplies)</t>
  </si>
  <si>
    <t>2x3x16 Lumber,2x4x6 Lumber,Hollow Block No.4,etc...</t>
  </si>
  <si>
    <t>Re-bidding Supply and Delivery of Ground Penetrating Radar</t>
  </si>
  <si>
    <t>Supply &amp; Delivery of Other Supplies</t>
  </si>
  <si>
    <t>Renovation and Repair of Senior Citizen's Building</t>
  </si>
  <si>
    <t>INVITATION TO BID FOR THE PROCUREMENT OF SUBMERSIBLE PUMPS WITH CAPACITOR</t>
  </si>
  <si>
    <t>CONSTRUCTION OF EVACUATION CENTER (PHASE III)</t>
  </si>
  <si>
    <t>PURCHASE OF MATERIALS FOR CONSTRUCTION WATER SYSTEM</t>
  </si>
  <si>
    <t>Supply and Delivery of15crtg. HP Deskjet &amp; Other Items;PR no. 20-1281 dated April 29, 2020</t>
  </si>
  <si>
    <t>SUPPLY AND DELIVERY OF MOBILE CARS FOR THE PHILIPPINE NATIONAL POLICE - MALABON</t>
  </si>
  <si>
    <t>Request for Quotation (ETSD-2020-02-0190 Ink)</t>
  </si>
  <si>
    <t>Supply &amp; Delivery of Materials for the Repair and Maintenance of Other Transportation Equipment</t>
  </si>
  <si>
    <t>Supply &amp; Delivery of Various Medicine</t>
  </si>
  <si>
    <t>CY 2020 QRF SCHOOL GROUND SLOPE PROTECTION AT GOHANG NHS, GOHANG, BANAUE, IFUGAO</t>
  </si>
  <si>
    <t>DRRM Supplies and Materials</t>
  </si>
  <si>
    <t>Purchase of Six (6) Sets Psychological Testing Booklets for Hospital Employees Psychological Profile at Zamboanga del Sur Medical Center</t>
  </si>
  <si>
    <t>Construction of Apartment Type Tomb at Catarman Public Cemetery</t>
  </si>
  <si>
    <t>Procurement of Furniture of Barangay Centro 01, Claveria, Cagayan Valley</t>
  </si>
  <si>
    <t>PROCUREMENT OF RESCUE ROPES FOR BASIC ROPE RESCUE SKILLS</t>
  </si>
  <si>
    <t>20GA0141-Road Widening along Ibajay-Antique Road Ibajay-Antique Road - K0229 + (-176) – K0231 + 254, K0231 + 278 – K0231 + 297</t>
  </si>
  <si>
    <t>Supply &amp; Delivery of 30 bxs Clean Gloves and Other items;PR no.20-1141 dated April 1, 2020</t>
  </si>
  <si>
    <t>Supply and Delivery of Various Materials for the Completion/Improvement of Multi-Purpose Building (Re-Bid)</t>
  </si>
  <si>
    <t>Supply and Delivery of Laptops and LCD Projector for the MSU-TCTO Graduate School and Research Office per Lot</t>
  </si>
  <si>
    <t>Supply &amp; Delivery of Materials for the Fabrication of Water Tanker w/ Trailer –Brgy. Maniki, Kapalong</t>
  </si>
  <si>
    <t>Supply &amp; Delivery of Animal/Zoological Supplies</t>
  </si>
  <si>
    <t>INVITATION TO BID FOR THE PROCUREMENT OF OFFICE SUPPLIES (Batch 2)</t>
  </si>
  <si>
    <t>Supply and Delivery of Various Materials for the Construction of Drainage System at Timoteo Vedra Extension in Barangay Pooc Oriental (Re-Bid)</t>
  </si>
  <si>
    <t>Catering Services for the medical personnel and other LGU personnel directly involve in the implementation of COVID-19</t>
  </si>
  <si>
    <t>ENG’G PASBAC 001-20 Supply and Delivery of Three (3) Units Well Drilling Truck/Rig (Rotary) with Trailer and Accessories</t>
  </si>
  <si>
    <t>Construction of Nutripack Center at Brgy. San Roque, Oras, Eastern Samar</t>
  </si>
  <si>
    <t>Supply &amp; Delivery of Materials for the Construction of Adolescent Health Center at Brgy. Maniki, Kapalong</t>
  </si>
  <si>
    <t>Tires for maintenance of Loader</t>
  </si>
  <si>
    <t>Procurement of Drones for RDANA</t>
  </si>
  <si>
    <t>Purchase of Fuel for the use of MDRRMO</t>
  </si>
  <si>
    <t>PROCUREMENT OF VARIOUS VEHICLE SPARE PARTS</t>
  </si>
  <si>
    <t>PR 9-20-03-0503, FOR THE USE OF SAN CARLOS CITY HOSPITAL, THIS CITY.</t>
  </si>
  <si>
    <t>Supply of Materials for Concrete Perimeter Fence of Barangay Hall ( 80.00mx 60.00m)</t>
  </si>
  <si>
    <t>Procurement of Cat 6 UTP Cable,  4 Slot Router, 8 Slot Hub Switch, RJ-45</t>
  </si>
  <si>
    <t>IMPROVEMENT/OPENING OF SADEG-BANAL-SAGSAGAT FMR</t>
  </si>
  <si>
    <t>Supply &amp; Delivery of Materials for the Improvement of Water System at Prk. 2, Taguango, Brgy. Sua-on, Kapalong, Davao del Norte</t>
  </si>
  <si>
    <t>PR 9-20-04-0552, FOR USE OF THE SAN CARLOS CITY HOSPITAL, THIS CITY.</t>
  </si>
  <si>
    <t>Request for Quotation (ETSD-2020-02-0191 Electrical supplies)</t>
  </si>
  <si>
    <t>PROCUREMENT OF FUEL (JULY TO DECEMBER 2020)</t>
  </si>
  <si>
    <t>ENG’G PASBAC 013-20 Supply and Delivery of Materials for the Repair and Renovation of Veterans Center Building at Camp Aguinaldo, Quezon City</t>
  </si>
  <si>
    <t>INVITATION TO BID FOR THE PROCUREMENT OF PRINTER AND DESKTOP COMPUTER OF THE BASCO CENTRAL SCHOOL</t>
  </si>
  <si>
    <t>2020-06-308 Procurement of Various Supplies and Materials</t>
  </si>
  <si>
    <t>To Purchased MOTOR CYCYLE WITH SIDECAR</t>
  </si>
  <si>
    <t>PR 9-20-05-0571, FOR THE USE OF SAN CARLOS CITY HOSPITAL, THIS CITY.</t>
  </si>
  <si>
    <t>INVITATION TO BID FOR THE PROCUREMENT OF STREETLIGHTS AND ACCESSORIES</t>
  </si>
  <si>
    <t>Purchase of Five (5) units Floor Standing Air Conditioner including Installation for Various Offices</t>
  </si>
  <si>
    <t>Supply &amp; Delivery of Materials for Proposed Closure and Rehabilitation of Open Dumpsite at Banate Capungagan, Kapalong, Davao del Norte</t>
  </si>
  <si>
    <t>ENG’G PASBAC 012-20 Supply and Delivery of Materials and Labor for the Enhancement of Financial Records Branch (FRB) Building at Fort Bonifacio, MM</t>
  </si>
  <si>
    <t>PR 221-20-02-0336, FOR USE OF ELECTRIFICATION OF SIPAWAY NATIONAL HIGH SCHOOL, BRGY SAN JUAN.</t>
  </si>
  <si>
    <t>PBD Const/of 1.2 k. Pakong Road Gravelling</t>
  </si>
  <si>
    <t>Purchase of Multivitamins for children</t>
  </si>
  <si>
    <t>Construction/Rehabilitation of River Control</t>
  </si>
  <si>
    <t>To purchased FIBER GLASS BOARD WITH BASKETBALL WITH RING</t>
  </si>
  <si>
    <t>INVITATION TO BID FOR THE PROCUREMENT OF SUPPLIES, MATERIALS AND EQUIPMENT OF THE MDRRMO</t>
  </si>
  <si>
    <t>Completion/Repair/Renovation of RHU</t>
  </si>
  <si>
    <t>White Rocks for the use of Municipality of Jordan</t>
  </si>
  <si>
    <t>Purchase of Equipment for Coastal Resource Management Program</t>
  </si>
  <si>
    <t>PR 9-20-05-0610, FOR THE USE OF SAN CARLOS CITY HOSPITAL, THIS CITY.</t>
  </si>
  <si>
    <t>PR 9-20-05-0604, FOR THE USE OF SAN CARLOS CITY HOSPITAL.</t>
  </si>
  <si>
    <t>Supply &amp; Delivery One (1) unit Mini Hydraulic Excavator</t>
  </si>
  <si>
    <t>Purchase of Baby Food for Supplementary Feeding</t>
  </si>
  <si>
    <t>Construction of FMR</t>
  </si>
  <si>
    <t>BDRRM RESCUE SUPPLIES AND EQUIPMENT</t>
  </si>
  <si>
    <t>Materials for the improvement of JFTM</t>
  </si>
  <si>
    <t>ITB Motorcycles</t>
  </si>
  <si>
    <t>Supply/Delivery of Electrical Resistivity Instrument</t>
  </si>
  <si>
    <t>SUPPLY/DELIVERY OF VARIOUS EMERGENCY EVACUATION EQUIPMENT</t>
  </si>
  <si>
    <t>Purchase of Laptop of Agriculture Office</t>
  </si>
  <si>
    <t>Construction Materials for the Road Concreting of Farm-to-Market Road  Calula,  R. T. Lim, Zamboanga Sibugay</t>
  </si>
  <si>
    <t>Installation of Additional Streetlights</t>
  </si>
  <si>
    <t>Purchase of Office Supplies and Equipments for printing of modules for the delivery of flexible learning through provision of Printed Modules for College Students, AY 2020-2021, Polytechnic College of</t>
  </si>
  <si>
    <t>Provision of Information Technology (IT) equipments for the Education Technology laboratory and for the conduct of mobile laboratory assessment for computer subject of BSIT &amp; SHS-CSS Track of the Poly</t>
  </si>
  <si>
    <t>Rebidding of the requirement To hire contractor to provide materials, labor, and equipment for the “Concreting of Road, Barangay Kagawasan, Guihulngan City, Negros Oriental”  (B-79-2020)</t>
  </si>
  <si>
    <t>Dispersal - OMAG</t>
  </si>
  <si>
    <t>INVITATION TO BID FOR THE PROCUREMENT OF FUEL, OIL AND LUBRICANT OF THE MDRRMO</t>
  </si>
  <si>
    <t>PR 401-20-01-0227, FOR USE OF THE MEDINA 5-MLD SURFACE WATER TREATMENT PLANT IN COMPLIANCE TO EXISTING ENVIRONMENTAL LAWS AND ADMINISTRATIVE ORDERS.</t>
  </si>
  <si>
    <t>Purchase of Lever Arch Folder of LCR</t>
  </si>
  <si>
    <t>Purchase of Computer Set</t>
  </si>
  <si>
    <t>Concreting of Pathways at Different Barangays</t>
  </si>
  <si>
    <t>RFQ-GS-20200603-02 - 1 Lot Supply, Delivery, Installation, Testing &amp; Commissioning of Airconditioning Units at LANDBANK Lingayen (Pangasinan) Branch &amp; Buendia Cash Center</t>
  </si>
  <si>
    <t>Purchase of Office Equipment  &amp; Furniture &amp; Fixtures</t>
  </si>
  <si>
    <t>Package 017- Construction of Lamut Sanitary LandFill- Cell 3</t>
  </si>
  <si>
    <t>Procurement of 1 Year Security Services</t>
  </si>
  <si>
    <t>Pail (Standard)	 &amp; etc. for PVO use (N-317-2020)</t>
  </si>
  <si>
    <t>Construction/Improvement/Widening of Box Culvert at Purok 4 in Brgy. San Miguel</t>
  </si>
  <si>
    <t>INVITATION TO BID FOR THE PROCUREMENT OF FOOD ITEMS FOR THE ELDERLY GENERAL ASSEMBLY AND ELDERLY WEEK CELEBRATION</t>
  </si>
  <si>
    <t>Preventive Maintenance of Two (2) Units Biological Safety Cabinet at Zamboanga del Sur Medical Center Laboratory Unit</t>
  </si>
  <si>
    <t>PURCHASE OF OFFICE FURNITURE'S FOR THE OFFICE OF THE MAYOR AND SANGGUNIANG BAYAN</t>
  </si>
  <si>
    <t>Procurement of Agricultural Machinery and Equipment</t>
  </si>
  <si>
    <t>PURCHASE OF SUPPLIES &amp; MATERIALS  FOR THE REPLACEMENT/INSTALLATION OF MARKER BUOY</t>
  </si>
  <si>
    <t>Construction of Storage Facility</t>
  </si>
  <si>
    <t>Supply and Delivery of IT Equipment to be used at the CADMINO - City Employment Service Division in the City of San Fernando, Pampanga</t>
  </si>
  <si>
    <t>Improvement of Drainage System @ Sitio Lower Binugao</t>
  </si>
  <si>
    <t>Supply and delivery of materials to support barangay socio-economic development projects</t>
  </si>
  <si>
    <t>Supplemental Bid Bulletin No. 04 for the Procurement of Managed Internet Service (MIS) for one (1) year under the Free Wifi for All Program in Region VI (Iloilo, Aklan, Antique, Guimaras, Negros Occid</t>
  </si>
  <si>
    <t>IMPROV./ CONST. OF DAYCARE CENTER (Brgy. Laiya Ibabao)</t>
  </si>
  <si>
    <t>2020-GOODS-04; SUPPLY OF DIESEL FUEL FOR USE IN THE SERVICE VEHICLES OF DPWH REGIONAL OFFICE XIII FOR 3RD QUARTER AND 4TH QUARTER OF CY 2020, J. ROSALES AVENUE, BUTUAN CITY</t>
  </si>
  <si>
    <t>Supply and Delivery of Various Electrical and Plumbing Materials (Pampanga Branch)</t>
  </si>
  <si>
    <t>SUPPLY AND DELIVERY OF FRUIT TREES SEEDLINGS FOR FOOD SECURITY 2020, IMPASUGONG, BUKIDNON</t>
  </si>
  <si>
    <t>Ballpen, good quality-blue,black,red &amp; etc. for Provincial Secretary Office use (S-165-2020)</t>
  </si>
  <si>
    <t>SUPPLY AND DELIVERY OF TWO (2) UNIT DESKTOP COMPUTER</t>
  </si>
  <si>
    <t>Improvement of Multi-Purpose Building - Brgy Danicop</t>
  </si>
  <si>
    <t>Document Scanner</t>
  </si>
  <si>
    <t>SUPPLY OF DIESEL &amp; GASOLINE (FUEL)</t>
  </si>
  <si>
    <t>20OF0312 Repair of Hallways and Ceiling at the South Wing Annex Building from the Second to the Fourth Floors, including Aluminum Swing Door Enclosures at the East and West Stairwells HREP Compound, B</t>
  </si>
  <si>
    <t>Purchase &amp; Delivey of Medical Supplies for use in Emergency Response, Surigao City</t>
  </si>
  <si>
    <t>Construction of Slope Protection at Buga, Nabonton</t>
  </si>
  <si>
    <t>Repair of Heritage Building Extension</t>
  </si>
  <si>
    <t>Procurement of paints, lights and construction materials for the repair and maintenance of the Municipal Auditorium and Municipal Hall</t>
  </si>
  <si>
    <t>INVITATION TO BID FOR THE PROCUREMENT OF OFFICE SUPPLIES</t>
  </si>
  <si>
    <t>20OF0314 Repair/Repainting of Exterior Walls and Doors of House Members Offices in the North and Batasan Complex, Brgy. Batasan Hills, Q.C.</t>
  </si>
  <si>
    <t>Purchase of Computer set and Accessories</t>
  </si>
  <si>
    <t>Construction of Comfort Room</t>
  </si>
  <si>
    <t>Procurement of Manlift Platform Truck with Folding Boom</t>
  </si>
  <si>
    <t>SUPPLY OF HARDWARE SUPPLIES &amp; MATERIALS</t>
  </si>
  <si>
    <t>20OF0313 Repair and Re-Painting of HREP Perimeter Fence Batasan Complex, Brgy. Batasan Hills, Q.C.</t>
  </si>
  <si>
    <t>RFQ-2020-06-0029-Activity 111-Premix Patching Bituminous Pavement (Furnishing of Premix Asphalt) along Pangasinan-Zambales Road (S00319LZ), KO313+000 to KO319+000 with exception</t>
  </si>
  <si>
    <t>Emergency supplies for covid 19</t>
  </si>
  <si>
    <t>Purchase of Toners and Ribbon Cartridge</t>
  </si>
  <si>
    <t>1	unit	6 Wheeler Brand New Garbage Compactor, PR # 207-20</t>
  </si>
  <si>
    <t>REPLACEMENT OF BASKETBALL GOAL POST TO FIBER GLASS @ BRGY. LANGAPOD, LABANGAN ZDS</t>
  </si>
  <si>
    <t>Procurement of Diesel use for All government vehicle in this Municipality</t>
  </si>
  <si>
    <t>Construction of Foot Bridge</t>
  </si>
  <si>
    <t>ITB 2020-06-74 Procurement of Food and Drinks for MCC</t>
  </si>
  <si>
    <t>IMPROVEMENT OF TOURISM INFRASTRUCTURE - PARKS</t>
  </si>
  <si>
    <t>IMPROV. OF BARANGAY ROAD (SLOPE PROTECTION) (Brgy. Sapangan)</t>
  </si>
  <si>
    <t>RFQ-2020-06-0030-Activity 112-Penetration Patching Bituminous Pavements (Furnishing of Hot Asphalt, Grade 60-70) along Pangasinan-Zambales Road, KO313+000 to KO320+000 with Exception</t>
  </si>
  <si>
    <t>CONSTRUCTION OF  20 SETS SOLAR STREETLIGHTS(BRGY.PIAZ,VILLASIS, PANGASINAN)</t>
  </si>
  <si>
    <t>2020-06-Procurement of Aircon.</t>
  </si>
  <si>
    <t>3 units Dosing Pump and 3 units Heavy Duty Stirrer / Agitator</t>
  </si>
  <si>
    <t>CONSTRUCTION OF MULTI - PURPOSE BUILDING - PHASE II @ BRGY. DIPAYA, LABANGAN, ZDS</t>
  </si>
  <si>
    <t>Procurement of Chemicals, Laboratory Equipment &amp; Supplies</t>
  </si>
  <si>
    <t>Procurement of Materials for Installation of the Solar Streetlights</t>
  </si>
  <si>
    <t>20OF0316 Construction/Rehabilitation of Water Supply/Septage and Sewerage/Rain Water Collectors-Rain Water Collectors in Public Facilities, Q.C.</t>
  </si>
  <si>
    <t>Improvement of Multi-purpose Hall,  Tubod Bacong, Negros Oriental</t>
  </si>
  <si>
    <t>20OF0315 General Repair and Rehabilitation of the Main Building Roofing HREP Compound, Batasan Road, Brgy. Batasan Hills, Q.C.</t>
  </si>
  <si>
    <t>DRRM COMMAND CENTER/CCTV CONTROL BUILDING - COMPLETION</t>
  </si>
  <si>
    <t>PROCUREMENT OF FOUR (4) UNITS GENERATOR SET FOR THE PPSC HEAD OFFICE AND NPC SILANG</t>
  </si>
  <si>
    <t>REHABILITATION OF MULTI - PURPOSED BUILDING (OLD BUILDING) @ BRGY. LANTIAN, LABANGAN ZDS</t>
  </si>
  <si>
    <t>CONSTRUCTION OF MULTI - PURPOSE BUILDING @ BRGY. LANTIAN, LABANGAN, ZDS</t>
  </si>
  <si>
    <t>SECOND QUARTER PROCUREMENT OF SCHOOL OFFICE SUPPLIES AND MATERIAL</t>
  </si>
  <si>
    <t>RFQ-2020-06-0031-Activity 71x Special Maintenance (Pavement Maintenance)-Furnishing of Emulsified Asphalt (Cationic SS1) for use in the rectication of defects on Asphalt Pavement along Pangasinan-Zamb</t>
  </si>
  <si>
    <t>Package 018- Construction of Livelihood Center for DSWD Clients ( OFW, Solo Parents, PWDs, Women, &amp; AMMA) Phase 4</t>
  </si>
  <si>
    <t>INTERNET SUBSCRIPTION</t>
  </si>
  <si>
    <t>Construction of Multi-Purpose Hall (Phase 1)  Breeding Station Casisiitan, Minanga, San Mariano, Isabela</t>
  </si>
  <si>
    <t>Installation/Fabrication of Railing Stairs - Casilay</t>
  </si>
  <si>
    <t>1	unit	6 Wheeler Brand New Garbage Compactor, PR # 208-20</t>
  </si>
  <si>
    <t>PURCHASE OF AIRCON WINDOW TYPE</t>
  </si>
  <si>
    <t>SUPPLY AND DELIVERY OF GEO-TAGGING DEVICE FOR OFFICIAL USE OF DENR TARLAC</t>
  </si>
  <si>
    <t>RFQ-2020-06-0033-Activity 111-Premix Patching Bituminous Pavement (Furnishing of Premix Asphalt) along Alaminos-Bolinao Road (S05901LZ), KO358+500 to KO360+000 with exception</t>
  </si>
  <si>
    <t>CONSTRUCTION OF FARMHOUSE AND TRAINING CENTER PHASE II</t>
  </si>
  <si>
    <t>PUTTING OF BASKETBALL GOAL POST @ BRGY. LANTIAN, LABANGAN ZDS</t>
  </si>
  <si>
    <t>RFQ-2020-06-0032-Activity 71x Special Maintenance (Traffic Services Maintenance)-Furnishing of Reflectorized Thermoplastic Powder for used in the Pavement Markings along Pangasinan-Zambales Road (S003</t>
  </si>
  <si>
    <t>REHABILITATION AND IMPROVEMENT OF POBLACION LICUAN-DOMINGLAY ROAD</t>
  </si>
  <si>
    <t>Construction of Brgy. Health Station at Barangay Tabugon, Carles, Iloilo</t>
  </si>
  <si>
    <t>Construction of Multi-Purpose Hall (Phase 9)</t>
  </si>
  <si>
    <t>Rice (Support to Indigents Walk in Clients Burial Assistance and other Affected Sectors)</t>
  </si>
  <si>
    <t>20GIA004 Procurement of Instant Cold Mix Asphalt (Megacol) and Joint Sealant</t>
  </si>
  <si>
    <t>INSTALLATION OF SOLAR POWER STREETLIGHTS BRGY. CALIMAG</t>
  </si>
  <si>
    <t>Repair of Brgy.Mambog Baily Bridge</t>
  </si>
  <si>
    <t>Labor Components for Clearing, Leveling of Grounds and Landscaping along Riprap Canal</t>
  </si>
  <si>
    <t>INSTALLATION OF SOLAR POWER STREETLIGHTS BRGY. OLAES</t>
  </si>
  <si>
    <t>SUPPLY AND DELIVERY OF MOTORCYCLE FOR OFFICIAL USE OF DENR TARLAC</t>
  </si>
  <si>
    <t>Purchase of construction materials- Fatima Pavement</t>
  </si>
  <si>
    <t>RFQ-2020-06-0034-Act. 63x-Resurfacing of Unpaved Shoulder along Pangasinan-Zambales Road, KO302+000 to KO306+000 with exception</t>
  </si>
  <si>
    <t>PROCUREMENT OF MEDICAL, DENTAL AND LABORATORY SUPPLIES</t>
  </si>
  <si>
    <t>INSTALLATION OF SOLAR POWER STREETLIGHTS BRGY. TIAGO</t>
  </si>
  <si>
    <t>SUPPLY AND DELIVERY OF SCHOOL SUPPLIES (REBID)</t>
  </si>
  <si>
    <t>CONTINUING OF QUARANTINE FACILITY, BARANGAY CABUNGALUNAN, BURDEOS, QUEZON</t>
  </si>
  <si>
    <t>Concreting of Circumferential Road (BLISS), EPO</t>
  </si>
  <si>
    <t>INSTALLATION OF SOLAR POWER STREETLIGHTS BRGY. SAN JOSE</t>
  </si>
  <si>
    <t>PROCUREMENT OF WOODEN ARMCHAIRS FOR BCC, BUENAVISTA, BOHOL</t>
  </si>
  <si>
    <t>20GG00017 - Procurement of Various IT Equipment for use of Cash Section - Administrative Division, DPWH Regional Office VI, Iloilo City</t>
  </si>
  <si>
    <t>Mini Tower Server</t>
  </si>
  <si>
    <t>CONSTRUCTION OF OFFICE CUBICLE AND OFFICE EQUIPMENT, BRGY AMOT, BURDEOS, QUEZON</t>
  </si>
  <si>
    <t>CONSTRUCTION/CONCRETING OF 15.00X32.00M MULTI PURPOSE PAVEMENT (0.05M Thk) AT MUZON II, ALITAGTAG, BATANGAS</t>
  </si>
  <si>
    <t>N-COVID Disinfection, Protection and Temperature scanning of employee and students</t>
  </si>
  <si>
    <t>Construction of Various Infrastructure Projects, San Mariano, Isabela</t>
  </si>
  <si>
    <t>Post Disaster (COVID-19) Monitoring and Evaluation Activity for PNP Key Personnel</t>
  </si>
  <si>
    <t>SUPPLY AND INSTALLATION OF AGISOFT SOFTWARE FOR OFFICIAL USE OF DENR TARLAC</t>
  </si>
  <si>
    <t>PURCHASE OF OFFICE SUPPLIES AND MATERIALS</t>
  </si>
  <si>
    <t>INSTALLATION OF SOLAR POWER STREETLIGHTS BRGY. POBLACION 5</t>
  </si>
  <si>
    <t>MEDICAL AND DENTAL SUPPLIES/IB No. MM-2020-020(m)</t>
  </si>
  <si>
    <t>Procurement of Post Processing Software for FARO 3D Laser Scanner</t>
  </si>
  <si>
    <t>Procurement of Assorted Garments (as Uniforms for designated duties)</t>
  </si>
  <si>
    <t>Supply &amp; Delivery of Face Mask &amp; Thermal Scanner for WMOD Office (S3-WMO20-008)</t>
  </si>
  <si>
    <t>Package 019- Construction of Material Recovery Facility &amp; Extension of Trading Post Building</t>
  </si>
  <si>
    <t>INSTALLATION OF SOLAR POWER STREETLIGHTS BRGY. POBLACION 2</t>
  </si>
  <si>
    <t>PROCUREMENT OF TIRES (FOR A7-V189, D1-I341, &amp; SJJ-719)</t>
  </si>
  <si>
    <t>PROCUREMENT OF WINDOW TYPE AIRCON 1.5 HP AND WINDOW TYPE AIRCON 2.5 HP FOR MUNICIPAL TREASURER'S OFFICE</t>
  </si>
  <si>
    <t>Opening of Access Road to Ka Pero Beach &amp; Asin Tibuok Prod'n Center</t>
  </si>
  <si>
    <t>INSTALLATION OF STREET LIGHT</t>
  </si>
  <si>
    <t>Procurement of Spare Parts (for Maintenance of PNP Vehicles)</t>
  </si>
  <si>
    <t>INVITATION TO RE-BID FOR THE Procurement of Four (4) units Motorcycle, Tapaz, Capiz</t>
  </si>
  <si>
    <t>Rehabilitation/Maintenance of Farm to Market Road</t>
  </si>
  <si>
    <t>Concreting of Access Road (Sitio Can-uwong), East Poblacion</t>
  </si>
  <si>
    <t>Procurement of Fuel (Diesel) (for PNP Operations)</t>
  </si>
  <si>
    <t>Server Rack Shelf</t>
  </si>
  <si>
    <t>Enhancement Training for BPAT</t>
  </si>
  <si>
    <t>Procurement of Personal Watercrafts with Trailer and Rescue Sled for Water Search and Rescue Operations</t>
  </si>
  <si>
    <t>Invitation to Bid for the Procurement of One (1) Unit Passenger Van (converted into an ambulance and fitted with necessary medical equipment and apparatus) for the use in this municipality.</t>
  </si>
  <si>
    <t>INVITATION TO BID FOR THE PROCUREMENT OF HDPE PIPE (SDR 9)</t>
  </si>
  <si>
    <t>Fuel (Barangay Visitation)</t>
  </si>
  <si>
    <t>SUPPLY AND DELIVERY OF DRONE &amp; IPAD MINI FOR OFFICIAL USE OF DENR TARLAC</t>
  </si>
  <si>
    <t>DRUGS AND MEDICINES/IB No. MM-2020-021(m)</t>
  </si>
  <si>
    <t>MEDICAL AND DENTAL SUPPLIES/IB No. MM-2020-019(m)</t>
  </si>
  <si>
    <t>SUPPLY AND DELIVERY OF STARTER KITS FOR DOLE DRESSMAKING, BAKING &amp; SMALL MOTOR ENGINE SERVICE (SMES) PROGRAM</t>
  </si>
  <si>
    <t>1 LOT Electro-Mechanical Installation of Stage 1 and Stage 2</t>
  </si>
  <si>
    <t>Municipal Sta. Rita Housing Project Phase II</t>
  </si>
  <si>
    <t>Seeds (Fall Army Worm (FAW) Infestation)</t>
  </si>
  <si>
    <t>Purchase of  Plumbing Materials for the Maintenance of Water System – Waterworks Office,  R. T. Lim, Zamboanga Sibugay</t>
  </si>
  <si>
    <t>Procurement of Aerial Vehicle (Drone) for Surveillance and Monitoring Device during Emergencies</t>
  </si>
  <si>
    <t>MATERIALS FOR THE IMPROVEMENT OF NEW CAPITOL CANTEEN/IB No. LL-2020-001</t>
  </si>
  <si>
    <t>GOODS-PB-2020-043- PURCHASE OF MEDICAL WHEELCHAIRS, CRUTCHES, CANES AND NEBULIZERS FOR DISTRIBUTION TO DIFFERENT SENIOR CITIZENS   OF CITY OF GENERAL TRIAS</t>
  </si>
  <si>
    <t>INVITATION TO BID FOR THE PROCUREMENT OF MATERIALS FOR THE ROAD OPENING AT MARINE SANCTUARY</t>
  </si>
  <si>
    <t>HVCDP20-06-02-0560 Supply and Delivery of General Merchandise.</t>
  </si>
  <si>
    <t>CONSTRUCTION OF INFRASTRUCTURE PROJECT, SAN MARIANO, ISABELA</t>
  </si>
  <si>
    <t>Package 020- Construction of Bridge to Memorial Park - Phase II</t>
  </si>
  <si>
    <t>Office Equipment - Treasurers Office</t>
  </si>
  <si>
    <t>INVITATION TO BID FOR THE PROCUREMENT OF MATERIALS FOR THE CONSTRUCTION OF MATERIAL RECOVERY FACILITY (MRF)</t>
  </si>
  <si>
    <t>VARIOUS SPARE PARTS/IB No. K- 2020-002</t>
  </si>
  <si>
    <t>Construction of Line Canal</t>
  </si>
  <si>
    <t>SUPPLY AND DELIVERY OF LIMESTONE FOR REHABILITATION OF BARANGAY ROADS OF 16 BARANGAYS  BALINTAWAK,EAST KIBAWE, GUTAPOL, KIORAO, LABUAGON, MARAPANGE,MASCARIÑAS, NATULONGAN, NEW KIDAPAWAN, OLD KIBAWE, P</t>
  </si>
  <si>
    <t>Purchase of Catering Services</t>
  </si>
  <si>
    <t>SUPPLY AND DELIVERY OF ONE (1) UNIT MINI DUMPTRUCK (BRAND NEW) AND (1) UNIT MINI PAYLOADER (BRAND NEW) OF LGU POLILLO</t>
  </si>
  <si>
    <t>Construction of Rural Access Road</t>
  </si>
  <si>
    <t>Window Blinds</t>
  </si>
  <si>
    <t>Supply &amp; Delivery of Air Conditioning Unit + 2 Items for Jolo DPP (S3-JOL20-014)</t>
  </si>
  <si>
    <t>INVITATION TO BID FOR SUPPLY AND DELIVERY OF TIRES AND BATTERIES FOR GOVERNMENT HEAVY EQUIPMENT USE</t>
  </si>
  <si>
    <t>Construction Of 1-Unit Tribal Hall</t>
  </si>
  <si>
    <t>Installation of Street lights</t>
  </si>
  <si>
    <t>VARIOUS SPARE PARTS(WHEEL LOADER DRESSTA)/IB No. K- 2020-001</t>
  </si>
  <si>
    <t>Package 021- Construction of Interconnector of Buildings, Entrance/Exit gate, vault for Special Wastes &amp; Comfort Room</t>
  </si>
  <si>
    <t>Supply &amp; Delivery of Hand Soap &amp; Alcohol for WMOD Office (S3-WMO20-009)</t>
  </si>
  <si>
    <t>Rehabilitation of Street Lights</t>
  </si>
  <si>
    <t>20GAG0001- Furnishing of Materials for the Completion of DPWH Main Building, DPWH Pangasinan 1st DEO, Alaminos City, Pangasinan</t>
  </si>
  <si>
    <t>Installation of Waste Water Treatment Facility at Consolacion Public Market, Cansaga,Consolacion, Cebu</t>
  </si>
  <si>
    <t>20GAG0002- Provision of Office Equipment and Accessories for the use of office Personnel at Pangasinan First District Engineering Office, Alaminos City, Pangasinan</t>
  </si>
  <si>
    <t>Purchase of Vehicle for Engineering Office</t>
  </si>
  <si>
    <t>CONSTRUCTION OF BARANGAY FOOTBRIDGE</t>
  </si>
  <si>
    <t>Fencing of Ara-al Day Care Center, Barangay Ara-al, La Carlota City</t>
  </si>
  <si>
    <t>Supply and Delivery of Photocopying Machine</t>
  </si>
  <si>
    <t>Furnishing and Delivery of 11 Unit Laptop for official use of the Principals of Siniloan District.</t>
  </si>
  <si>
    <t>Supply and Delivery of Banknote Counter Machine</t>
  </si>
  <si>
    <t>20GAG0003- Furnishing of Materials, Furniture and Equipment  for the Completion of DPWH Main Building, DPWH Pangasinan 1st DEO, Alaminos City, Pangasinan</t>
  </si>
  <si>
    <t>Improvement of Drainage Line at Pulpogan II (along Municipal Road), Pulpogan, Consolacion, Cebu</t>
  </si>
  <si>
    <t>Reproduction of Modules</t>
  </si>
  <si>
    <t>RFQ No. 2020- 10 (4 Single Projects + 21 Packages with 56 Projects =60 Projects)</t>
  </si>
  <si>
    <t>Concreting of Roads Infront of Breeding Station, Barangay Minanga, San Mariano, Isabela</t>
  </si>
  <si>
    <t>Purchase of Gasoline</t>
  </si>
  <si>
    <t>Trash Can (‘No Segregation, No Collection Policy’)</t>
  </si>
  <si>
    <t>SUPPLY AND DELIVERY OF SAFETY VAULT (P.R. NO. 100-20-03-0119)</t>
  </si>
  <si>
    <t>Hiring Technical Experts who will provide consultancy services for 2 firms for the Food Safety  (FS) Program</t>
  </si>
  <si>
    <t>Supply and delivery of 8 pcs. tires for Armored Truck</t>
  </si>
  <si>
    <t>Bio Pesticides &amp; Bi-Foliar Fertilizer (Fall Army Worm (FAW) infestation)</t>
  </si>
  <si>
    <t>Rehabilitation of Solar Streetlights, Cory Aquino Boulevard, Camarines Norte</t>
  </si>
  <si>
    <t>SUPPLY AND DELIVERY OF ALCOHOL (P.R. NO. 300-20-06-0215)</t>
  </si>
  <si>
    <t>Construction/Improvement of Barangay Road (Phase II), Brgy. Tabas, Paracale, Camarines Norte</t>
  </si>
  <si>
    <t>SUPPLY AND DELIVERY OF CONSTRUCTION MATERIALS FOR THE CONSTRUCTION OF CONCRETE DRAINAGE COVER (PERFORATED), BRGY. BUNTAY, DULAG LEYTE</t>
  </si>
  <si>
    <t>Supply and Delivery of Various Fingerlings</t>
  </si>
  <si>
    <t>Construction of Potable Water System, Brgy. Kanapawan, Labo, Camarines Norte</t>
  </si>
  <si>
    <t>Medical Supplies and Materials</t>
  </si>
  <si>
    <t>Procurement of Reference Books (Lot 1-7)</t>
  </si>
  <si>
    <t>PROCUREMENT OF SPARE PARTS FOR FARM TRACTOR-OMAG-1ST POSTING=PHP 327,100.00</t>
  </si>
  <si>
    <t>SUPPLY &amp; DELIVERY OF CONFERENCE TABLE AND EXECUTIVE HIGH BACK CHAIRS</t>
  </si>
  <si>
    <t>SOLID WASTE MANAGEMENT</t>
  </si>
  <si>
    <t>Supply and Delivery of Brand New Hauling Truck (6 Wheelers) (In Support to Fresh Green Cardava Trading Enterprise</t>
  </si>
  <si>
    <t>PHOTOCOPYING SERVICES OF OM-BOD</t>
  </si>
  <si>
    <t>Construction/Improvement of Drainage System of Libertad Public Market</t>
  </si>
  <si>
    <t>Establishment of Integrated Farming System</t>
  </si>
  <si>
    <t>IMPROVEMENT OF SITIO ECLEO MULTI-PURPOSE BUILDING (ROOFING)</t>
  </si>
  <si>
    <t>Supply &amp; Delivery of Consumable Materials &amp; Labor with Expertise &amp; Skilled Technician for the Emplementation of Preventive Maintenance Schedule of Unit #3 for Power Barge 119 (S3-B1920-011)</t>
  </si>
  <si>
    <t>Invitation to Bid for the CONSTRUCTION OF STA. ISABEL CIP, Bato, Catanduanes</t>
  </si>
  <si>
    <t>Procurement of Two (2) Air Conditioning Units for NTC Regional Office No. IX Conference Room</t>
  </si>
  <si>
    <t>CONCRETING OF PATHWAY @ Purok II</t>
  </si>
  <si>
    <t>PROVISION OF POTABLE WATER SUPPLY FOR TOBACCO FARMERS OF SITIO SARAGCAO, MAAS-ASIN, MAGSINGAL, ILOCOS SUR</t>
  </si>
  <si>
    <t>CONTINUATION OF CONSTRUCTION OF THE MULTI PURPOSE BUILDING AT ST. JOSEPH SUBDIVISION, SAN ANTONIO</t>
  </si>
  <si>
    <t>MEALS AND SNACKS WITH ACCOMMODATIONS (rfq#2020-03-1,530)-(provl agriculture office)</t>
  </si>
  <si>
    <t>20LA0336 Construction of Rainwater Collection System (RCWS), 1. Compostela valley State College, Compostela; 2. Compostela Valley Sports Complex, Compostela; 3. Tandawan Elementary School, New Bataan;</t>
  </si>
  <si>
    <t>ITB no. 2020-06-20 Supply and Delivery of various Fertilizers</t>
  </si>
  <si>
    <t>20LA0335 Repair/Maintenance of San Jose Revetment (Tigbawan Creek) Montevista, Compostela Valley</t>
  </si>
  <si>
    <t>SUPPLY AND DELIVERY OF DIESEL FUEL (rfq#2020-04-1,848)-(sp-albarece)</t>
  </si>
  <si>
    <t>RHU Medicines and Vitamins in Preparation of COVID-19</t>
  </si>
  <si>
    <t>MG-PLM20-092 - SUPPLY AND DELIVERY OF DRUM WASHER WITH SOAP DISPENSER WITH 200L STORAGE TANK</t>
  </si>
  <si>
    <t>MEALS AND SNACKS WITH ACCOMMODATIONS (rfq#2020-03-1,531)-(provl agriculture office)</t>
  </si>
  <si>
    <t>Supply and Delivery of Materials for the Construction and Upgrading of Potable  Water System</t>
  </si>
  <si>
    <t>To provide materials, labor, fuel and equipment needed for the development of Bayawan City Waterfront Park (DBM-LGSF-FUND) (NP/PB 20-0672)</t>
  </si>
  <si>
    <t>20PI0092 - Constn/Rehab/Impvt of Waterworks, Brgy. Bontoc Ili, Poblacion and Calutit, Bontoc, Mountain Province</t>
  </si>
  <si>
    <t>Quotation No.20-05-312 REBID = Water-based Lubricants</t>
  </si>
  <si>
    <t>20GKI0027 (Public Bidding) Contract Name: Purchase of Construction Materials and Other Various Items for use in the DPWH Office 		  (Hand Washing Facility) as a GAD Program</t>
  </si>
  <si>
    <t>INVITATION TO BID FOR THE SUPPLY AND DELIVERY OF FUEL AND LUBRICANTS FOR GARBAGE COLLECTION</t>
  </si>
  <si>
    <t>SUPPLY &amp; DELIVERY OF LIMESTONE FOR THE MAINTENANCE OF PROVINCIAL ROADS &amp; BRIDGES (MACHINE GRADING, REGRAVELLING SAND, GRAVEL&amp; LIMESTONE)</t>
  </si>
  <si>
    <t>CONSTRUCTION OF ECCD LEARNING CENTER, SITIO COTO, BRGY. TALTAL, MASINLOC, ZAMBALES</t>
  </si>
  <si>
    <t>SUPPLY AND DELIVERY OF MEALS AND SNACKS (rfq#2020-05-2,220)-(provl agriculture office)</t>
  </si>
  <si>
    <t>MG-PLM20-067 - AIRCONDITIONING UNIT INVERTER SPLIT TYPE 1.5HP</t>
  </si>
  <si>
    <t>Supply &amp; Delivery of Refrigerator + 3 Items for Tandubanak DPP (S3-TAU20-005)</t>
  </si>
  <si>
    <t>Re-bid: Procurement of Spare Parts for Construction and Heavy Equipment (1st Qtr) – MOTORPOOL</t>
  </si>
  <si>
    <t>CONSTRUCTION OF DRAINAGE CANAL, P3, RAMIREZ ST.,  BULANAO NORTE</t>
  </si>
  <si>
    <t>Hand Washing Counter for Covid 19-5units</t>
  </si>
  <si>
    <t>VMDS20-06-05-0055 Consultancy services for the conduct of the Project “RAPID MARKETING APPRAISAL FOR YELLOW AND WHITE CORN.</t>
  </si>
  <si>
    <t>Construction of Street Lights</t>
  </si>
  <si>
    <t>SUPPLY AND DELIVERY OF MEALS AND SNACKS (rfq#2020-05-2,221)-(provl agriculture office)</t>
  </si>
  <si>
    <t>CONCRETING OF BARANGAY ROAD</t>
  </si>
  <si>
    <t>ITB No. 2020-06-21 Supply and Delivery of Various Agricultural Supplies</t>
  </si>
  <si>
    <t>PROPOSED CONCRETING OF PAVEMENT AND COVERED DRAINAGE AT DIVISION OFFICE, BRGY. POBLACION OESTE, DAGUPAN CITY</t>
  </si>
  <si>
    <t>Job Order For the Provision of Materials, Labor and Equipment for the Construction of Septic Vault</t>
  </si>
  <si>
    <t>Proc of various IT and Office Equipment</t>
  </si>
  <si>
    <t>Supply and Delivery of Office Supplies, 1 Lot, for the Utilization of Pantawid Pamilya staff in RPMO, POO1, POO2, POO3, POO4 and its municipalities for the 1st Quarter CY 2020</t>
  </si>
  <si>
    <t>LOCAL PROGRAM, LOCAL INFRASTRUCTURE PROGRAM, CONSTRUCTION OF MULTI PURPOSE BUILDING-PHASE 1 (MUNICIPAL HALL) AT DOLORES, QUEZON</t>
  </si>
  <si>
    <t>20PI0093 - Construction/Rehabilitation/Improvement of Various Footbridges, Brgy. Betwagan, Sadanga, Mountain Province</t>
  </si>
  <si>
    <t>20KI0066 (Re-ad) - Construction of Multi-Purpose Building (Coastal Esplanade),  			  Brgy. Southern Poblacion &amp; Brgy. Northern Poblacion, Plaridel Misamis Ocidental</t>
  </si>
  <si>
    <t>1 Lot Provision of Labor, Materials and Equipment for the Installation of Solar Streetlights in Brgy. Jurao, Julita, Leyte. ABC PHP686,450.84</t>
  </si>
  <si>
    <t>SUPPLY &amp; DELIVERY OF SAND &amp; GRAVEL FOR THE MAINTENANCE OF PROVINCIAL ROADS &amp; BRIDGES (MACHINE GRADING, REGRAVELLING SAND, GRAVEL&amp; LIMESTONE)</t>
  </si>
  <si>
    <t>Supply &amp; Delivery of Refrigerator for Mapun DPP (S3-CTW20-027)</t>
  </si>
  <si>
    <t>20GE023G – P.R. No. R06.14- 024 - Purchase of 85/100 Pen Asphalt for use on Routine Maintenance Activities.</t>
  </si>
  <si>
    <t>Supply and Delivery of Materials for the Construction of Day Care Center</t>
  </si>
  <si>
    <t>20NA0068 Concreting of Brgy. Mahaba FMR, Cabadbaran City, Agusan del Norte</t>
  </si>
  <si>
    <t>20GGH0023 – Purchase of Ten Thousand (10,000) Liters Diesel Fuel for use of various Vehicles assigned in Planning and Design Section, DPWH – Iloilo 3rd District Engineering Office</t>
  </si>
  <si>
    <t>Six (6) Months Lease Contract of Office Space for NTC Pagadian Satellite Office</t>
  </si>
  <si>
    <t>Supply of 250 bags Cement Portland (40 kgs./bag)</t>
  </si>
  <si>
    <t>20GE022G – P.R. No. R06.14- 023 - Purchase of White Rocks for use in X series Projects – 63-x Resurfacing of Unpaved Shoulder.</t>
  </si>
  <si>
    <t>CONSTRUCTION OF ECCD LEARNING CENTER, BRGY. STO ROSARIO, MASINLOC, ZAMBALES</t>
  </si>
  <si>
    <t>Rehabilitation/Improvement of Multi-Purpose Building 2</t>
  </si>
  <si>
    <t>20KI0087 Contract Name	: Repair/Maintenance of Palilan Revetment 2,  			  Brgy. Palilan, Jimenez Misamis Ocidental</t>
  </si>
  <si>
    <t>Procurement of Backhoe Track Shoe Type</t>
  </si>
  <si>
    <t>Supply and Delivery of Materials for the Construction of Aluyan Fence</t>
  </si>
  <si>
    <t>Road Rehabilitation of General Fullon Street to Zaldivar Street</t>
  </si>
  <si>
    <t>Supply of 20 pieces Calibrating Bucket (10 liter capacity)</t>
  </si>
  <si>
    <t>Re-bid: Procurement of Various Supplies and Equipment (1st Qtr) – MOTORPOOL</t>
  </si>
  <si>
    <t>Supply and Delivery of Materials for the Repair and Maintenance of Public  Building and Other Structures</t>
  </si>
  <si>
    <t>Supply of Materials for the Construction of LGSO Bodega</t>
  </si>
  <si>
    <t>CONSTRUCTION OF ECCD LEARNING CENTER, SITIO UBAT, BRGY. BALOGANON, MASINLOC, ZAMBALES</t>
  </si>
  <si>
    <t>Supply &amp; Delivery of Air Compressor for WMOD Office (S3-WMO20-004)</t>
  </si>
  <si>
    <t>Provision of Sixteen (16) Sets Solar Streetlight at Brgy Estipona Local Access Road, Pura, Tarlac</t>
  </si>
  <si>
    <t>SUPPLY AND DELIVERY OF FUEL FOR REHABILITATION OF BARANGAY ROADS OF 16 BARANGAYS</t>
  </si>
  <si>
    <t>20GGH0024 –  Purchase of various Office Supplies and Equipment for use in this Office (Planning and Design Section) Line 1: Purchase of Supplies and Materials for the Conduct of Inventory/Condition In</t>
  </si>
  <si>
    <t>Supply and Delivery of Materials for the Construction of RMG Office</t>
  </si>
  <si>
    <t>CONCRETING OF PATHWAY</t>
  </si>
  <si>
    <t>Contract Package for the Concreting of Farm to Market Road with Stone Masonry, Barangay Pudoc West, Tagudin, Ilocos Sur</t>
  </si>
  <si>
    <t>SUPPLY &amp; DELIVERY OF DIESEL FOR ROAD ROLLER AND ROAD GRADER FOR THE MAINTENANCE OF PROVINCIAL ROADS &amp; BRIDGES (MACHINE GRADING, REGRAVELLING SAND, GRAVEL&amp; LIMESTONE)</t>
  </si>
  <si>
    <t>20PI0094 - Repair/Maintenance of: 1. DPWH Building Old DE's Quarters, Caluttit, Bontoc, Mountain Province</t>
  </si>
  <si>
    <t>REHABILITATION OF BARANGAY WATER SUPPLY SYSTEM</t>
  </si>
  <si>
    <t>INVITATION TO BID FOR THE CONCRETING OF FARM TO MARKET ROAD AT BARANGAY BALOCOC, LINGAYEN, PANGASINAN</t>
  </si>
  <si>
    <t>Supply and Delivery of Two (2) Units Brand New Mobile Phones to be used in the Mobile Broadband Network Measuring Applications</t>
  </si>
  <si>
    <t>OAP20-06-05-0127 Supply and Delivery of Animal Feeds</t>
  </si>
  <si>
    <t>Improvement of Administration Office (Right Wing) at the Public Market</t>
  </si>
  <si>
    <t>Supply of 200 cu.m. Earthfill and 100 cu.m. Gravel</t>
  </si>
  <si>
    <t>Road Concreting at Sitio Antipolo, Jugan, Consolacion, Cebu</t>
  </si>
  <si>
    <t>Supply, Delivery and Installation of Various Furniture and Fixtures for Geographic Information System &amp; Indigenous Crops Laboratory</t>
  </si>
  <si>
    <t>Road Concreting</t>
  </si>
  <si>
    <t>PURCHASE &amp; DELIVERY OF MOTORCYCLE</t>
  </si>
  <si>
    <t>BUSINESS PLATE UNDER GENERAL ADMINISTRATIVE AND SUPPORT</t>
  </si>
  <si>
    <t>20PI0095 - Concreting of Brgy. Agawa FMR, Brgy. Agawa, Besao, Mountain Province</t>
  </si>
  <si>
    <t>Supply and Delivery of Materials for the Construction of Local access Road</t>
  </si>
  <si>
    <t>INVITATION TO BID FOR SUPPLY AND DELIVERY OF DRUGS AND MEDICINES</t>
  </si>
  <si>
    <t>Supply of 111 pieces C.I. Mechanical Flange Socket Adaptor, 100mm. (4") for UPVC</t>
  </si>
  <si>
    <t>20NA0069 Concreting of Brgy. Guinabsan FMR, Buenavista, Agusan del Norte</t>
  </si>
  <si>
    <t>FOOD PACKS FOR THE STAFF IN CHARGE AND PUI’S AT THE MUNCIPAL QUARATINE CENTER RELATED TO LGU COVID 19 INTERVENTION ACTIVITIES FOR 60 DAYS</t>
  </si>
  <si>
    <t>One (1) lot Repair of Trane Chiller at the New Mint Plant, as per BSP Scope of Works and Specifications</t>
  </si>
  <si>
    <t>STREETSCAPE IMPROVEMENT PROGRAM</t>
  </si>
  <si>
    <t>Supply of 36 pieces C.I. Mechanical End Cap 100mm with 50mm Threaded Hole</t>
  </si>
  <si>
    <t>NLP20-02-13-0167 Supply and Delivery of Animal Feeds</t>
  </si>
  <si>
    <t>Procurement of Hardware Materials for Rehabilitation of Roads and Bridges P-1 Poblacion (SB# 01 CY 2020 - 20% D.F.) - MEO</t>
  </si>
  <si>
    <t>Supply and Delivery of Materials for the Maintenance of Water System</t>
  </si>
  <si>
    <t>Construction of SK Office and Fitness Facility (Phase I) Public Auditorium, Barangay Magtaking, Bugallon, Pangasinan</t>
  </si>
  <si>
    <t>Concreting of Barangay Roads at Balingasag, Sinapsapan, Jordan, Guimaras</t>
  </si>
  <si>
    <t>Purchase of Supplies &amp; Materials</t>
  </si>
  <si>
    <t>REHABILITATION OF KANG ANGHEL BARANGAY ROAD</t>
  </si>
  <si>
    <t>Purchase of Office Supplies to be used for different offices of LGU of the Municipality of Tabuelan, Cebu</t>
  </si>
  <si>
    <t>Purchase &amp; Delivery of one (1) unit Brand New Boom Truck</t>
  </si>
  <si>
    <t>CONCRETING OF ACCESS ROAD (MATERIALS) AT CAMBUHAT</t>
  </si>
  <si>
    <t>PURCHASE OF FURNITURE AND FIXTURES</t>
  </si>
  <si>
    <t>Supply of Chicken for the recepient of Back to Basics: Scientific and Sustainable Livestock and Poultry Production Livelihood Program</t>
  </si>
  <si>
    <t>MG-PAT20-024 - FILTER ELEMENT NO. 152 x 262 DUPLEX FILTER</t>
  </si>
  <si>
    <t>Supply Labor and Materials for the Construction of Drainage System at Sitio Quasi, Barangay Poblacion of the Municipality of Tabuelan, Cebu</t>
  </si>
  <si>
    <t>SUPPLY AND DELIVERY OF VARIOUS EQUIPMENT FOR THE UPGRADING OF CROP PROCESSING CENTER</t>
  </si>
  <si>
    <t>Supply and Delivery of Various Agricultural Machinery and Equipment</t>
  </si>
  <si>
    <t>CONCRETING OF ACCESS ROAD (EQUIPMENT) AT CAMBUHAT</t>
  </si>
  <si>
    <t>Supply of 85 pieces C.I. Mechanical Flange Adaptor 150mm. (6") for UPVC Pipe</t>
  </si>
  <si>
    <t>Request for Quotation for the Procurement of Boltless Steel Rack of the Department of Education Regional Office VI</t>
  </si>
  <si>
    <t>Hiring of 1 Blue/Security Guard of Lumbia Central School</t>
  </si>
  <si>
    <t>Construction of Rural Access Road Housing Proper</t>
  </si>
  <si>
    <t>Repair of Government Facilities for use During the Operation of Covid 19 Pandemic</t>
  </si>
  <si>
    <t>PURCHASE OF OFFICE FURNITURE</t>
  </si>
  <si>
    <t>Regular Bidding 16/June/2020 - Procurement of Goods: Construction Materials for the use of CHLMO (Patubig Dev't Program-Installation of Water System at Prk. Nangka, Pandapan, T.C.) (PR#100-20-06-0055)</t>
  </si>
  <si>
    <t>MG-PLM20-077 - CLEARING OF TREES NEAR 13.8KV LINE AT PULANGI IV HEP</t>
  </si>
  <si>
    <t>Supply &amp; Delivery of Vegetable Seeds for Home Food Production</t>
  </si>
  <si>
    <t>REPAIR &amp; MAINTENANCE OF FIRE STATION BUILDING</t>
  </si>
  <si>
    <t>Supply and Delivery of Materials for Construction of Isolation Facility, Brgy. Poblacion, Glan, Sarangani Province.</t>
  </si>
  <si>
    <t>Construction and Development of Auxiliary Source Water</t>
  </si>
  <si>
    <t>CONSTRUCTION AND HEAVY EQUIPMENT</t>
  </si>
  <si>
    <t>Purchase &amp; Delivery of one (1) unit Brand New Rescue Vehicle</t>
  </si>
  <si>
    <t>Supply Labor and Materials for the Expansion of Tabunok Covered Court of the Municipality of Tabuelan, Cebu</t>
  </si>
  <si>
    <t>Supply Labor and Materials for the Repair/Improvement/Expansion of Perimeter Fence &amp; Stage at Sitio San Jose, Maravilla, Tabuelan, Cebu</t>
  </si>
  <si>
    <t>Supply of 32 pieces C.I. Mechanical Flange Adaptor 200mm for UPVC Pipe</t>
  </si>
  <si>
    <t>Supply and Delivery of Laboratory Reagents - ITB 028-2020 GQ</t>
  </si>
  <si>
    <t>Q-089-20 PROCUREMENT OF HARDWARE AND CONSTRUCTION SUPPLLIES</t>
  </si>
  <si>
    <t>Supply of 17 pieces C.I. Mechanical Tee, 100mm x 100mm for UPVC</t>
  </si>
  <si>
    <t>Procurement of Civil Works for the Expansion of Material Recovery Facility,  Brgy. Bukid (Ecopark), Barugo, Leyte</t>
  </si>
  <si>
    <t>Supply and Delivery of Various Furniture and Fixtures for the College of Human Ecology and Food Sciences</t>
  </si>
  <si>
    <t>20NA0071 Construction of Covered Court, Poblacion, Brgy. 1, Tubay, Agusan del Norte</t>
  </si>
  <si>
    <t>Upgrading and Improvement of Kuli-kuli Road 3</t>
  </si>
  <si>
    <t>REPAIR AND REHABILITATION WORKS OF ELECTRICAL LINES AND PERIMETER LIGHTINGS CAUSED BY STY LAWIN AGGRAVATED BY STY OMPONG</t>
  </si>
  <si>
    <t>Construction of 1 Classroom and 1 Computer Laboratory at Bungoy Elementary School</t>
  </si>
  <si>
    <t>Construction of Rural Access Road Purok II</t>
  </si>
  <si>
    <t>Q-088-20 PROCUREMENT OF WATER PUMP</t>
  </si>
  <si>
    <t>Supply and Delivery of Various Laboratory Equipment for Food Processing Nutrition and Dietetics Department</t>
  </si>
  <si>
    <t>Construction of Rural Access Road Sitio Looc Baybay Purok IV</t>
  </si>
  <si>
    <t>Supply and Delivery of Various Office Equipment for the College of Human Ecology and Food Science</t>
  </si>
  <si>
    <t>SUPPLY AND DELIVERY OF ONE (1) UNIT BRAND NEW SERVICE VEHICLE (PICK-UP) FOR THE CITY VETERINARY OFFICE (REBID)</t>
  </si>
  <si>
    <t>20CG0140 - Various Improvement of Facilities of Mechanical Building, Automotive Building and Embankment Works including Spreading of Filling Materials at Mexico Campus,  Various Improvement of Facilit</t>
  </si>
  <si>
    <t>PDS 2020-05-0001 - Purchase of Common Office Supplies and Devices for use of Planning and Design Section</t>
  </si>
  <si>
    <t>Supply of 430 pieces C.I. Saddle Clamp for P.E. (CTS Pipe) 500mm x 19mm</t>
  </si>
  <si>
    <t>Rescue Vehicle for MDRRMO Operation</t>
  </si>
  <si>
    <t>Supply labor and materials for the Repair/Improvement of Lo-oc Stage and Fence of the Municipality of Tabuelan, Cebu</t>
  </si>
  <si>
    <t>( PR NO. 20-05-03-0007 SUPPLY AND DELIVERY OF 1 lot  Installation/Erection of 60ft Antenna Pole Tin-ao Sub-office)</t>
  </si>
  <si>
    <t>Purchase of Ambulance Vehicle</t>
  </si>
  <si>
    <t>REPAIR &amp; MAINTENANCE OF PERIMETER FENCE</t>
  </si>
  <si>
    <t>SUPPLY AND DELIVERY OF VARIOUS PRINTED FORMS, STICKERS AND TIN PLATES FOR THE PROJECT "REGISTRATION AND FRANCHISING OF TRICYCLES, PEDICABS AND E-TRIKES"</t>
  </si>
  <si>
    <t>Installation and Distribution of Water System,  Multi-Purpose Hall, Barangay I, City of San Fernando</t>
  </si>
  <si>
    <t>REPAIR &amp; MAINTENANCE OF SECURITY FENCE &amp; GATE</t>
  </si>
  <si>
    <t>Purchase of Hygiene and Sanitary Pack for Women at Calasiao, Pangasinan</t>
  </si>
  <si>
    <t>Quotation No.20-03-272 REBID = Procurement of Various Drugs and Medicines</t>
  </si>
  <si>
    <t>Procurement of Supply and Delivery of Wooden Arm Chair with Steel Frame</t>
  </si>
  <si>
    <t>Supply of 129 pieces Flange Ring, (steel) 150mm dia.</t>
  </si>
  <si>
    <t>Supply and Delivery of Various Laboratory Equipment for the College of Human Ecology and Food Sciences-Food Technology Department</t>
  </si>
  <si>
    <t>PM20-009  Annual Preventive Maintenance Services for Bosch Plena Voice Alarm and Public Address System Equipment</t>
  </si>
  <si>
    <t>Supply of 79 pieces D.I. Mechanical Sleeve Type Coupling, 50mm (2") for UPVC (Standard Type)</t>
  </si>
  <si>
    <t>Supply of 35 pieces D.I. Mechanical Sleeve Type Coupling, 200mm. (8") for UPVC (Standard Type)</t>
  </si>
  <si>
    <t>Construction of Rural Access Road  Looc Baybay</t>
  </si>
  <si>
    <t>20CG0141 - Various Repair and Improvement of Facilities of College of Computing Studies Building, Integrated HRM Building and CEP Building at Main Campus,  DHVSU, Bacolor, Pampanga</t>
  </si>
  <si>
    <t>Supply and Delivery of Various I.T. and Office Equipment for Geographic Information System and Indigenous Crops Laboratory</t>
  </si>
  <si>
    <t>Procurement of Brand new motorbikes for Barangay Officials of Barangay Semirara, Caluya, Antique</t>
  </si>
  <si>
    <t>REPAIR &amp; MAINTENANCE OF PASSENGER TERMINAL BUILDING</t>
  </si>
  <si>
    <t>Purchase of 3 Units Aircon to be used by Vice Mayors Office</t>
  </si>
  <si>
    <t>IB No.2020-06-30(05)Goods Cat I Med/Lab Supplies &amp; Reagents</t>
  </si>
  <si>
    <t>Construction of Rural Access Road Sitio Bago-Isi</t>
  </si>
  <si>
    <t>Procurement of Hardware Materials for Concreting of Road from Purok 1 Provincial Road to Community Activity Center of Brgy. Mangayon - (SB# 01 CY 2020 - 20% D.F.) – MEO</t>
  </si>
  <si>
    <t>Purchase of Construction Materials for the 182 pcs. of Concrete Blocks (1mx0.30mx0.35m Class AA Mixture)</t>
  </si>
  <si>
    <t>20FL0084-Rehabilitation/Construction of Road, Barangay Carayat, Prieto Diaz, Sorsogon,Sorsogon 2nd Legislative District</t>
  </si>
  <si>
    <t>2 units All in one Computer...</t>
  </si>
  <si>
    <t>Supply and Delivery of Automatic Weather Station</t>
  </si>
  <si>
    <t>Supply and Delivery of Construction Materials - ITB 029-2020 GQ</t>
  </si>
  <si>
    <t>Construction of Rural Access Road Looc Bukid</t>
  </si>
  <si>
    <t>Purchase of Family Planning Supplies, Medicines and Vitamis at Calasiao, Pangasinan</t>
  </si>
  <si>
    <t>Construction of Maragondon Rehabilitation Center at Brgy. Bucal 3, Maragondon, Cavite</t>
  </si>
  <si>
    <t>Various Ink and Toner Cartridges</t>
  </si>
  <si>
    <t>REPAIR &amp; REPAINTING OF RUNWAY MARKERS/MARKINGS</t>
  </si>
  <si>
    <t>Const. of MRF</t>
  </si>
  <si>
    <t>RFQ - 2978.50 Diesel Fuel, 100ltrs. Extra Gasoline for use in the Consolidation of Various Fuel, Oil &amp; Lubricants of DPWH-BCDEO</t>
  </si>
  <si>
    <t>Improvement of Multi-Purpose Hall Barangay Camansi, City of San Fernando</t>
  </si>
  <si>
    <t>Purchase of Livestock and Poultry Feeds</t>
  </si>
  <si>
    <t>Construction of Rural Access Road Sitio Guinmisahan</t>
  </si>
  <si>
    <t>Contract ID No. 19CSK00053 – Consulting Services for the Conduct of Soil Testing/Exploration for Bridge Projects - Geotechnical Investigation - Construction of Pigsuotan Bridge, Brgy. Mandulog, Iligan</t>
  </si>
  <si>
    <t>RICE20-06-05-0738 Supply and Delivery of General Merchandise.</t>
  </si>
  <si>
    <t>INVITATION TO BID FOR THE SUPPLY AND DELIVERY OF HARDWARE MATERIALS FOR CONSTRUCTION OF PUBLIC MARKET</t>
  </si>
  <si>
    <t>VARIOUS SD ACCESORIES</t>
  </si>
  <si>
    <t>SUPPLY AND DELIVERY OF COMPLETE FERTILIZER FOR RUBBER PLANTATION – MUNICIPAL WIDE, IMPASUGONG, BUKIDNON</t>
  </si>
  <si>
    <t>MHO Maintenance &amp; Other Expenses (MOOE - Office Supplies Expense)</t>
  </si>
  <si>
    <t>RFQ - 180ltrs. Diesel Fuel (Lot 1), Assorted Engine Oil/Fuel Filter (Lot 2), 1 unit Air Compressor (Lot 3) for use of the Generator Set of the Information Communication Technology Staff</t>
  </si>
  <si>
    <t>UPGRADING (EARTH TO CONCRETE) OF ROAD GAP ALONG MAMBABANGA - CONCEPCION ROAD</t>
  </si>
  <si>
    <t>RFQ-GS-20200521-01 - Subscription and Installation of IP VPN Lines for Three (3) LANDBANK Offices and Three (3) Offsite ATMs</t>
  </si>
  <si>
    <t>FABRICATION/INSTALLATION OF SOLAR LAMP STREET LIGHTINGS</t>
  </si>
  <si>
    <t>Procurement of Various Spare Parts-06-308(A)PGO</t>
  </si>
  <si>
    <t>Supply and Delivery of Materials for Concreting of Barangay Road (Purok 6) Camaya-an, Loboc, Bohol</t>
  </si>
  <si>
    <t>GRADUATION SUPPLIES</t>
  </si>
  <si>
    <t>MAO Office Supplies</t>
  </si>
  <si>
    <t>Supply,Delivery and Installation of LOT 1-AIR CONDITIONER AND LOT 2- REFRIGERATOR FOR USE UNDER 2020 RICE PROGRAM</t>
  </si>
  <si>
    <t>Completion of TB DOTS at Malipayon District Hospital</t>
  </si>
  <si>
    <t>1 set Laboratory Water Still...etc</t>
  </si>
  <si>
    <t>2 btls Manganese Sulfate analytical grade....etc</t>
  </si>
  <si>
    <t>Purchase of Cleaning Supplies</t>
  </si>
  <si>
    <t>NEGOTIATED PROCUREMENT FOR THE SUPPLY AND DELIVERY OF CONSTRUCTION MATERIALS (GOODS-2020-007)</t>
  </si>
  <si>
    <t>REPAIR &amp; MAINTENANCE OF WATER SYSTEM</t>
  </si>
  <si>
    <t>Drainage Improvement (Installation of 0.60m dia RCPC, Construction of manhole 12 units)</t>
  </si>
  <si>
    <t>PR 9-20-04-0560, FOR THE USE OF SAN CARLOS CITY HOSPITAL, THIS CITY.</t>
  </si>
  <si>
    <t>20FL0085-Construction of Road Barangay Diamante, Prieto Diaz, Sorsogon, Sorsogon 2nd Legislative District</t>
  </si>
  <si>
    <t>Contract ID No. 19CSK00054 – Consulting Services for the Conduct of Soil Testing/Exploration for Bridge Projects - Geotechnical Investigation - Construction of Concrete Bridge, Magsaysay-Butuan City C</t>
  </si>
  <si>
    <t>REHABILITATION OF SPILLWAY</t>
  </si>
  <si>
    <t>22 PAA SHOES, CHAROL</t>
  </si>
  <si>
    <t>Contract ID No. 19CSK00055 – Consulting Services for the Conduct of Soil Testing/Exploration for Bridge Projects - Geotechnical Investigation - Construction of Concrete Bridge, Impasug-ong Bdry. Bukid</t>
  </si>
  <si>
    <t>Procurement of Hardware Materials for Concreting of Ondap Street to Bayubay Street, Poblacion (75 L.M.) (SB# 01 CY 2020 - 20% D.F.) – MEO</t>
  </si>
  <si>
    <t>12 units Desktop Computer...etc</t>
  </si>
  <si>
    <t>Vice President for Administration, Research and Development of the City College of San Jose del Monte</t>
  </si>
  <si>
    <t>Purchase of Supplies for use in the Conduct of Automated Traffic Count along National Roads in Albay 2nd District</t>
  </si>
  <si>
    <t>Supply and delivery of 900 sets Galvanized Metal Layer Cages with 48 heads of ready-to-lay Pullets per set of cages, ABC PHP46,350,000.00</t>
  </si>
  <si>
    <t>Preventive Maintenance of Motor and Armored Vehicle</t>
  </si>
  <si>
    <t>GAD Office Equipment</t>
  </si>
  <si>
    <t>Fabrication of 8 units Barangay MRF</t>
  </si>
  <si>
    <t>PR 1-20-03-0520, FOR BANTAY DAGAT SEA BORNE PATROL OPERATION AND OTHER CRM RELATED ACTIVITIES.</t>
  </si>
  <si>
    <t>Repair/Rehab of Cansaga Bay Park (Bridge Under) located at Tayud, Consolacion, Cebu</t>
  </si>
  <si>
    <t>Supply &amp; Delivery of Office Equipment for the use of NIA-Regional Office IX, NIA-Regional Office, Labangan, Zambo. Sur</t>
  </si>
  <si>
    <t>Invitation to Bid for Const. of Two Storey Four Classroom Bldg. at Calantas ES, Brgy. Calantas, Calaca, Batangas</t>
  </si>
  <si>
    <t>PR 18-20-04-0549, ROAD CONCRETING OF ROADWAYS &amp; IMPROVEMENT OF DRAINAGE WITH SIDEWALK OF ALL INTERIOR ROADS OF STAGES 1 &amp; 2 OF URBAN RELOCATION SITE, PHASE 4.</t>
  </si>
  <si>
    <t>Contract ID No. 19CSK00056 – Consulting Services for the Conduct of Soil Testing/Exploration for Bridge Projects - Geotechnical Investigation - Construction of Bridge, Cagayan de Oro Diversion Road, J</t>
  </si>
  <si>
    <t>REPAIR OF BRGY. COMMUNITY CENTER FLOORING (portion only)</t>
  </si>
  <si>
    <t>GAD Office Equipment (2)</t>
  </si>
  <si>
    <t>20GID0016 - Supply and Delivery of Reflectorized Traffic Paints for use in Repainting of Bridges, Guardrails and Headwall within the 2nd District of Leyte</t>
  </si>
  <si>
    <t>PR 31-20-02-0344, FOR THE USE OF PUBLIC SCHOOLS STUDENTS OF DEPED DIVISION OF SAN CARLOS CITY NEGROS OCCIDENTAL.</t>
  </si>
  <si>
    <t>REQUEST FOR QUOTATION OF INFORMATION TECHNOLOGY PARTS AND ACCESSORIES FOR REPLACEMENT OF DEFECTIVE COMPUTER PARTS AND BACKUP</t>
  </si>
  <si>
    <t>Supply and delivery of Hog Feeds to various MIC Farmer Associations in Leyte, ABC PHP18,453,380.00</t>
  </si>
  <si>
    <t>“SUPPLY AND DELIVERY OF EMERGENCY AND RESCUE EQUIPMENT FOR FLOOD AND EARTHQUAKE”</t>
  </si>
  <si>
    <t>Vice President for Student and Extension Services of the City College of San Jose del Monte</t>
  </si>
  <si>
    <t>Supply, Delivery, Configuration and Testing of Local Area Network Tester for the Philippine Competition Commission</t>
  </si>
  <si>
    <t>RFQ - Assorted Office Equipment  (Lot 1 &amp; Lot 2) for use in the Consolidation of Various Office Equipment of DPWH-BCDEO</t>
  </si>
  <si>
    <t>COMPLETION OF MANPOWER DEVELOPMENT CENTER-BARANGAY LOCSOON</t>
  </si>
  <si>
    <t>Construction of Rural Access Road Sitio Pajo</t>
  </si>
  <si>
    <t>PROCUREMENT OF DRUGS AND MEDICINES FOR CHO USE</t>
  </si>
  <si>
    <t>REHABILITATION OF STREET LIGHTING SYSTEM</t>
  </si>
  <si>
    <t>Purchase of Rolling Trash Bins</t>
  </si>
  <si>
    <t>Vice President for Academic Affairs of the City College of San Jose del Monte</t>
  </si>
  <si>
    <t>GAD Office Equipment (3)</t>
  </si>
  <si>
    <t>Fertilizer Subsidy</t>
  </si>
  <si>
    <t>2020-06-133</t>
  </si>
  <si>
    <t>Purchase of Waste Management Supplies</t>
  </si>
  <si>
    <t>Supply and Delivery of Various Disaster Response and Rescue Equipment</t>
  </si>
  <si>
    <t>Program Head for Entrepreneurship  of the City College Of San Jose Del Monte</t>
  </si>
  <si>
    <t>TAILORING SERVICES FOR TYPE A AND B UNIFORM</t>
  </si>
  <si>
    <t>SUPPLY AND DELIVERY OF TWO (2) UNITS BRAND NEW SERVICE VEHICLES (SPORTS UTILITY VEHICLES) FOR THE SANGGUNIANG PANLUNGSOD OFFICE (REBID)</t>
  </si>
  <si>
    <t>Publications and Media Affairs Specialist  of the City Government of San Jose Del Monte</t>
  </si>
  <si>
    <t>IMPROVEMENT AND REPAIR OF CEILING, PAINTING AND ELECTRICAL WIRING INSTALLATION AT THE SECOND FLOOR BUILDING OF MULTI PURPOSE HALL</t>
  </si>
  <si>
    <t>PROCUREMENT OF LAPTOPS FOR BLENDED LEARNING</t>
  </si>
  <si>
    <t>Contract ID No. 20GSK00010 - Supply and Installation for Air Conditioning Units for use in the Planning and Design Division (RROW), 1st Quarter</t>
  </si>
  <si>
    <t>Program Head for Criminology  of the City College Of San Jose Del Monte</t>
  </si>
  <si>
    <t>Renovation and Improvements of Boardwalk and Waiting Shed - Phase 1</t>
  </si>
  <si>
    <t>IMPROVEMENT OF KATARUNGANG PAMBARANGAY HALL</t>
  </si>
  <si>
    <t>PROCUREMENT OF VARIOUS PHARMACEUTICALS</t>
  </si>
  <si>
    <t>Materials for Development of Municipal Cemetery</t>
  </si>
  <si>
    <t>Construction of Rural Access Road Dungkaan</t>
  </si>
  <si>
    <t>Repair of Parasanon National High School Multi-Purpose Building</t>
  </si>
  <si>
    <t>20FL0078-Construction of Water Supply System, Barangay Bolo, Matnog, Sorsogon, Sorsogon 2nd Legislative District</t>
  </si>
  <si>
    <t>Completion of Maragondon District Supervisor's Office</t>
  </si>
  <si>
    <t>Laboratory Supplies (CPHCF)</t>
  </si>
  <si>
    <t>Rehabilitation of Tubo-Tubo – Mam-on Road (Cagwait, Surigao del Sur  ).</t>
  </si>
  <si>
    <t>RFQ - Assorted Office Supplies and Consumables (Lot 1, Lot 2, Lot 3, Lot 4) for use in the Consolidation of Assorted Office Supplies of DPWH-BCDEO</t>
  </si>
  <si>
    <t>Proc of various MTPB uniforms, supplies and materials</t>
  </si>
  <si>
    <t>Rehabilitation of JNR – Bogak – Raja – Kabunsuhan Road (Lingig, Surigao del Sur  ).</t>
  </si>
  <si>
    <t>Contract ID No. 20GSK00012 - Supply and Installation of Office Furnitures &amp; Fixtures for use in the Road Right of Way New Office, Planning and Design Division</t>
  </si>
  <si>
    <t>Construction of Rural Access Road Punta Ignacio</t>
  </si>
  <si>
    <t>CONTRACT FOR THE PROCUREMENT OF JANITORIAL SERVICES</t>
  </si>
  <si>
    <t>Purchase of BPSO Kits</t>
  </si>
  <si>
    <t>Supply and Delivery of Handheld Radio Accessories</t>
  </si>
  <si>
    <t>Public Private Partnership (PPP) Specialist  of the City Government Of San Jose Del Monte</t>
  </si>
  <si>
    <t>SUPPLY AND DELIVERY OF JANITORIAL SUPPLIES AT ANTIQUE AIRPORT</t>
  </si>
  <si>
    <t>INVITATION TO BID FOR THE  REHABILITATION OF COVERED COURT AT BARANGAY ALIWEKWEK, LINGAYEN, PANGASINAN</t>
  </si>
  <si>
    <t>Information Technology Specialist  of the City Government Of San Jose Del Monte</t>
  </si>
  <si>
    <t>PROCUREMENT OF MATERIALS FOR EQUITY TO ARISP III CONSTRUCTION/REHABILITATION OF FMR AT BRGY. BULUANGAN I TO BRGY. BUNSOD, VALDERRAMA, ANTIQUE</t>
  </si>
  <si>
    <t>FABRICATION/INSTALLATION OF STREET NAMES &amp; SIGNAGE</t>
  </si>
  <si>
    <t>Contract ID No. 20GSK00011 - Supply and Delivery of Office Supplies for the use in the Planning and Design Division for 2nd quarter, 2020</t>
  </si>
  <si>
    <t>Research and Development Specialist  of the City Government Of San Jose Del Monte</t>
  </si>
  <si>
    <t>Concreting of Roads - Cluster I Area</t>
  </si>
  <si>
    <t>Rehabilitation of Brgy. Matho Access Road (Cortes,  Surigao del Sur ).</t>
  </si>
  <si>
    <t>Design and Architectural Project Specialist  of the City Government of San Jose Del Monte</t>
  </si>
  <si>
    <t>REHABILITATION OF MULTI - PURPOSE HALL</t>
  </si>
  <si>
    <t>Supply &amp; Delivery of Office Equipment, Furniture &amp; Materials for OUP</t>
  </si>
  <si>
    <t>PROCUREMENT OF MATERIALS FOR THE CONSTRUCTION OF FOOTBRIDGE/FOOTWALK AT SITIO IGCAPLA, BRGY. CANIPAYAN, VALDERRAMA, ANTIQUE</t>
  </si>
  <si>
    <t>Procurement and Delivery of School Supplies and Semi Expendable Equipments</t>
  </si>
  <si>
    <t>Public Relations Specialist  of the City Government Of San Jose Del Monte</t>
  </si>
  <si>
    <t>20FO0096 - Repair/Maintenance of Busac Flood Control along Cabilogan River, Busac, Oas, Albay</t>
  </si>
  <si>
    <t>Construction of Rural Access Road S. Dulhugan</t>
  </si>
  <si>
    <t>uplb-rq-6-074-20 goods (Fertilizer for IPB)</t>
  </si>
  <si>
    <t>Concreting of Roads - Cluster II Area</t>
  </si>
  <si>
    <t>CONSTRUCTION OF MULTI-PURPOSE CENTER/EVACUATION CENTER IN BARANGAY BUGNAY, VALDERRAMA (Brgy. Bugnay, Valderrama, Antique)/IB. NO. K-2020-025(SC)</t>
  </si>
  <si>
    <t>HFE: LAUNDRY DRYER MACHINE and WASHING MACHINE</t>
  </si>
  <si>
    <t>Repair of CCTV Cameras</t>
  </si>
  <si>
    <t>SUPPLY AND DELIVERY OF TWO (2) UNITS BRAND NEW SERVICE VEHICLES (PASSENGER VANS) FOR THE CITY GENERAL SERVICES OFFICE (REBID)</t>
  </si>
  <si>
    <t>Purchase and Installation of CCTV Cameras</t>
  </si>
  <si>
    <t>“SUPPLY AND DELIVERY OF VARIOUS FIRST AID SUPPLIES AND MATERIALS”</t>
  </si>
  <si>
    <t>Installation of Fiber Glass Window on Public Market   Tower</t>
  </si>
  <si>
    <t>Strategic Communication Specialist  of the City Government Of San Jose Del Monte</t>
  </si>
  <si>
    <t>PROCUREMENT OF VEHICLE REPAIRS AND MATERIALS/PARTS</t>
  </si>
  <si>
    <t>Concreting of Badong Feeder Road Phase II (Tago, Surigao del Sur  ).</t>
  </si>
  <si>
    <t>20FO0097 - Repair/Maintenance of: 1. DPWH Building, AES-Old Bay Area Storage, Paulog, Ligao City; 2. DOJ Main Building, Salvacion St., Sta. Cruz, Ligao City; 3. DA Building, Phil. Coconut Authority, B</t>
  </si>
  <si>
    <t>Purchase of One (1) Unit Back Hoe</t>
  </si>
  <si>
    <t>SUPPLY AND DELIVERY OF OTHER SUPPLIES AT ANTIQUE AIRPORT</t>
  </si>
  <si>
    <t>20FO0098 - Construction of Multi-Purpose Building, Ligao City National Technical Vocational High School, Nasisi, Ligao City, Albay</t>
  </si>
  <si>
    <t>Repair of Nissan Ambulance SJH 115</t>
  </si>
  <si>
    <t>Traffic Management Operational Policy Specialist     of the City Government of San Jose Del Monte</t>
  </si>
  <si>
    <t>LGU-COR. 2020-059</t>
  </si>
  <si>
    <t>CONCRETING OF PROVINCIAL ROAD, 500 meters FROM BARANGAY ILAYA TO BARANGAY SABANG EAST, BUGASONG (Ilaya-Sabang East, Bugasong, Antique)/IB. NO. K-2020-026(SC)</t>
  </si>
  <si>
    <t>Invitation to Bid for Const. of Two Storey Four Classromm Bldg. at P.A. Paterno MES, Brgy. Puting Bato East, Calaca, Batangas</t>
  </si>
  <si>
    <t>Medical Officer at the Ospital ng Lungsod ng San Jose del Monte</t>
  </si>
  <si>
    <t>Concreting of Roads - Cluster III Area</t>
  </si>
  <si>
    <t>Supply and Delivery of Hypochlorinators</t>
  </si>
  <si>
    <t>Construction of Trash Trap in Brgy. Caingin, Maragondon, Cavite</t>
  </si>
  <si>
    <t>CONSTRUCTION OF VARIOUS INFRASTRUCTURE PROJECTS FOR THE CITY OF NAVOTAS UNDER LGSF</t>
  </si>
  <si>
    <t>Supply &amp; Delivery of Medical &amp; Laboratory Supplies</t>
  </si>
  <si>
    <t>Supply and Delivery of Compact Threading Machine and Accessories</t>
  </si>
  <si>
    <t>CONSTRUCTION OF CADIAO ROAD(Cadiao, Barbaza, Antique)/IB. NO. K-2020-054(SC)</t>
  </si>
  <si>
    <t>Purchase of Dental Supplies &amp; Equipment</t>
  </si>
  <si>
    <t>Improvement of Buildings and Estates/Planning Office</t>
  </si>
  <si>
    <t>PURCHASE OF CONSTRUCTION MATERIALS FOR THE DUMPING SITE ACCESS ROAD</t>
  </si>
  <si>
    <t>ICT EQUIPMENT FOR EODB ONE STOP SHOP</t>
  </si>
  <si>
    <t>PROCUREMENT OF MATERIALS FOR THE REHABILITATION/IMPROVEMENT OF FMR AT BRGY. TIGMAMALE, VALDERRAMA, ANTIQUE</t>
  </si>
  <si>
    <t>20FO0099 - Construction of Multi-Purpose Building, Brgy. Sto. Cristo, Pio Duran, Albay</t>
  </si>
  <si>
    <t>Supply &amp; Delivery of One Lot Consumables &amp; I.T Supplies 2020-151</t>
  </si>
  <si>
    <t>Supply and delivery of various Medicines for the Leyte Provincial Health Caravan, ABC PHP 10,867,184.00</t>
  </si>
  <si>
    <t>Procurement of Power Supply System</t>
  </si>
  <si>
    <t>PURCHASE OF CONSTRUCTION MATERIALS AND SUPPLIES</t>
  </si>
  <si>
    <t>Construction of Masonry Drainage along Sampaguita Street (Panacal Village), Caggay-Tanza, Tuguegarao City</t>
  </si>
  <si>
    <t>Supply of Labor &amp; Materials for the Fabrication of Tent</t>
  </si>
  <si>
    <t>SUPPLY AND DELIVERY OF 3 UNITS MOTOR VEHICLES</t>
  </si>
  <si>
    <t>Installation of Streetlight</t>
  </si>
  <si>
    <t>Supply and  Delivery of Spare Parts of Water Treatment Equipment</t>
  </si>
  <si>
    <t>Supply and delivery of 330 heads Gilt and 22 heads Boar to various MIC Farmers Associations in Leyte, ABC PHP15,840,000.00</t>
  </si>
  <si>
    <t>Supply and delivery pf Various Injectable Medicines for the different Hospitals in Leyte,10,274,000.00</t>
  </si>
  <si>
    <t>Medical Specialist at the Ospital ng Lungsod ng San Jose del Monte</t>
  </si>
  <si>
    <t>2020-012 GOODS SUPPLY AND INSTALLATION OF SOLAR PANELS FOR THE SATELLITE POULTRY BREEDING PROJECT</t>
  </si>
  <si>
    <t>PROCUREMENT OF VEHICLE</t>
  </si>
  <si>
    <t>Construction of Three (3) Phase Primary Distribution Line for Tuguegarao City Slaughter House (Ipil-Ipil Street, Capatan, Tuguegarao City)</t>
  </si>
  <si>
    <t>Supply and delivery of Poultry Feeds to Various Farmer - Associations in Leyte, ABC PHP5,064,000.00</t>
  </si>
  <si>
    <t>Physical Medicine and Rehabilitation Specialist of the Ospital ng Lungsod ng San Jose del Monte</t>
  </si>
  <si>
    <t>CONTRACT ID: 19-10-208 REBID- SUPPLY, DELIVERY, TESTING AND COMMISSIONING OF BRAND NEW AMBULANCE (TYPE I)</t>
  </si>
  <si>
    <t>Construction of Trash Trap in Brgy. Poblacion 1A, Maragondon, Cavite</t>
  </si>
  <si>
    <t>Supply and delivery of tires in DA-RIAC, Victoria, Oriental Mindoro</t>
  </si>
  <si>
    <t>Supply and delivery of catering services for the 25 batches training/couching on urban agriculture</t>
  </si>
  <si>
    <t>PROCUREMENT FOR THE SUPPLY AND DELIVERY OF MEDICAL SUPPLIES FOR JLGMH</t>
  </si>
  <si>
    <t>2020 Capital Outlay RMT Project - Site Development of FLGC III Carmen</t>
  </si>
  <si>
    <t>Strategic Iniatives and Special Projects Specialist of the City Government of San Jose del Monte</t>
  </si>
  <si>
    <t>Purchase of 2 Units Electric Tricycle</t>
  </si>
  <si>
    <t>Career and Development Specialist of the City Government of San Jose del Monte</t>
  </si>
  <si>
    <t>Transportation Services  for the Fund Augmentation for rentals-motor vehicles for UCT Cash Card Notification and Distribution for the month of July, September and December 2020</t>
  </si>
  <si>
    <t>Supply &amp; Delivery of Construction Materials and Electrical Supplies for Various Offices 2020-150</t>
  </si>
  <si>
    <t>Improvement of Pallua Elementary School Gymnasium (Pallua Elementary School, Pallua Sur)</t>
  </si>
  <si>
    <t>Supply and delivery of 500 units High Density Utility Folding Bed, ABC PHP1,975,000.00</t>
  </si>
  <si>
    <t>INSTALLATION OF CCTV</t>
  </si>
  <si>
    <t>Procurement of Carabao</t>
  </si>
  <si>
    <t>Program Policy Specialist for the City Arts, Culture and Economic Tourism Concerns  of the City Government of San Jose del Monte</t>
  </si>
  <si>
    <t>PROCUREMENT FOR THE SUPPLY AND DELIVERY OF RESCUE TOOLS AND EQUIPMENT FOR OLONGAPO DRRMO-OLONGAPO FIRE RESCUE</t>
  </si>
  <si>
    <t>SUPPLY AND DELIVERY OF ONE (1) UNIT BRAND NEW SERVICE VEHICLE (PICK-UP) FOR THE SANGGUNIANG PANLUNGSOD OFFICE (REBID)</t>
  </si>
  <si>
    <t>PROCUREMENT FOR THE SUPPLY AND DELIVERY OF BASIC LIFE SUPPORT (BLS) TRAINING EQUIPMENT OF OLONGAPO CDRRMC</t>
  </si>
  <si>
    <t>1 Lot Provision of Labor, Materials and Equipment for the Construction of 2 units Makeshift Laundry Room at Leyte Academic Center Gym, Brgy. Pawing, Palo, Leyte. ABC PHP797,568.99</t>
  </si>
  <si>
    <t>Supply / Delivery of 1 unit Printer - ink tank system; colored</t>
  </si>
  <si>
    <t>Supply and Delivery of 4 units Stand up Pouch Fill Seal Machine</t>
  </si>
  <si>
    <t>Local Economic Enterprise Specialist of the City Government of San Jose del Monte</t>
  </si>
  <si>
    <t>CAO : 50	UNIT	RESOLUTION TONER CARTRIDGE RTC-510A  (COMPATIBLE WITH HP COLOR LASER JETPRO)</t>
  </si>
  <si>
    <t>20LC0152 - Jct. Tagum City Bypass Road － San Agustin － New Bohol, New Corella, leading to Matin-ao Inland Resort, New Corella, Davao del Norte</t>
  </si>
  <si>
    <t>Construction of Trash Trap in Brgy. Poblacion 1B, Maragondon, Cavite</t>
  </si>
  <si>
    <t>Procurement of Various Medical Supplies</t>
  </si>
  <si>
    <t>FERTILIZERS</t>
  </si>
  <si>
    <t>Manpower Development and Technical-Vocational Education Specialist  of the City Government of San Jose del Monte</t>
  </si>
  <si>
    <t>Medical Technologist of the City Veterinary Office</t>
  </si>
  <si>
    <t>ROAD IMPROVEMENT AT SITIO MALBAGO, LUYANG, CARMEN, CEBU</t>
  </si>
  <si>
    <t>Building Code Specialist of the City Government of San Jose del Monte</t>
  </si>
  <si>
    <t>Concreting of Manggagawa Barangay Road - ITB 030-2020 GQ</t>
  </si>
  <si>
    <t>Design And Architectural Project Specialist  of the City Government of San Jose Del Monte</t>
  </si>
  <si>
    <t>Supply and Delivery of Office and Janitorial Supplies to be used in different office, Naujan, Oriental Mindoro</t>
  </si>
  <si>
    <t>20LC0153 - Locutan Bridge 1 (B00190MN) along Tagum － Panabo Circumferential Road</t>
  </si>
  <si>
    <t>Procurement of Hardware Materials for Concreting of Road from Provincial Road to the New Barangay Hall of Brgy. Mangayon (SB# 01 CY 2020 - 20% D.F.) - MEO</t>
  </si>
  <si>
    <t>Invitation to Bid for Const., of Two Storey Multi Purpose Bldg. at Cahil ES, Brgy. Cahil, Calaca, Batangas</t>
  </si>
  <si>
    <t>Negotiated Procurement - Two Failed Biddings for Repair of Diversion Works for Ratag Buan CIS, Siasi, Sulu Province</t>
  </si>
  <si>
    <t>IB NO. 2020-06-30 (05) Goods Category II – Drugs and Medicines</t>
  </si>
  <si>
    <t>Procurement of various Medicines for the Animal Bite and Treatment Center of the City Government of Tarlac. B2020-073-A</t>
  </si>
  <si>
    <t>Construction of Grouted Riprap at Bucal 3B, Maragondon, Cavite</t>
  </si>
  <si>
    <t>CONSTRUCTION OF JIABONG FIRE STATION</t>
  </si>
  <si>
    <t>20PA0128 : CONCRETING OF BARANGAY BUDAC TO BARANGAY GADDANI FMR, Barangay Budac and Barangay Gaddani, Tayum, Abra</t>
  </si>
  <si>
    <t>Brake Fluid	 &amp; etc. for Gov. William "Billy" Villegas Memorial Hospital - Guihulngan		 (N-197-2020)</t>
  </si>
  <si>
    <t>Procurement for the Supply, Delivery, Installation and Commissioning of 3D Printer for USTP-CDO</t>
  </si>
  <si>
    <t>PEO-19-1450-B (RE-BID) Construction of Various Water Systems in the 1st District of Iloilo Brgy. Cataan, San Joaquin; Brgy. Malagyan, Brgy. Maninila, Miag-ao, Iloilo</t>
  </si>
  <si>
    <t>INFORMATION TECHNOLOGY PARTS &amp; ACCESORIES</t>
  </si>
  <si>
    <t>PURCHASE OF DIESEL FUEL</t>
  </si>
  <si>
    <t>Supply and Delivery of Agricultural Equipment for Banana Production, Processing and Marketing Project under DAR-MINSAAD</t>
  </si>
  <si>
    <t>Preventive maintenance and calibration of Labconco, PCR Enclosure</t>
  </si>
  <si>
    <t>Supply and delivery of 2,000,000 pieces of Retortable Pouch for NDA-SMD, Davao City</t>
  </si>
  <si>
    <t>Procurement of Fuel for use of the Service Vehicles of the City Government of Tarlac. B2020-074-A</t>
  </si>
  <si>
    <t>Invitation to Bid for Const. of Two Storey Two Classroom Bldg. at Puting Kahoy ES, Brgy. Puting Kahoy, Calaca, Batangas</t>
  </si>
  <si>
    <t>20PK0069 - Cluster 1 - Repair and Rehabilitation of Infrastructure Facilities and Other Related Activities - Flood Control and Drainage Systems, Structures and Related Facilities, Mabilong and Dangoy,</t>
  </si>
  <si>
    <t>Negotiated Procurement - Two Failed Biddings for Supply &amp; Delivery of Survey Instruments for the use of Region IX Offices, NIA-Regional Office, Labangan, Zambo. Sur</t>
  </si>
  <si>
    <t>Repair of Laboratory Table top</t>
  </si>
  <si>
    <t>CONSTRUCTION OF 2-STOREY MUNICIPAL MULTI PURPOSE BUILDING</t>
  </si>
  <si>
    <t>PEO-20-0382-B CONCRETING OF STA. MONICA-CORDOVA ROAD  Oton, Iloilo</t>
  </si>
  <si>
    <t>SWADT-ISABELA-2020-06-0179 : OFFICE SUPPLIES</t>
  </si>
  <si>
    <t>Invitation to Bid for Const. of Two Storey Administration Bldg. at Puting Bato ES, Brgy. Puting Bato West, Calaca, Batangas</t>
  </si>
  <si>
    <t>1 Lot Provision of Labor, Materials and Equipment for the Rehabilitation &amp; Improvement of 1 unit 2-Classroom School Building @ Lourdes Elem. School in Brgy. Lourdes, Pastrana, Leyte. ABC PHP879,630.14</t>
  </si>
  <si>
    <t>VARIOUS  PROJECTS UNDER CLUSTER H-2020, DALIPEY, BAKUN, BENGUET</t>
  </si>
  <si>
    <t>IPH-19-616-B (Re-Bid) Construction of Pathological Tank, Vault for Sharps and Materials Recovery Facility for Iloilo Provincial Hospital  Pototan, Iloilo</t>
  </si>
  <si>
    <t>Procurement of Supply, Delivery and Installation of Glass Works for Improvement of Government Buildings – (SB #01 CY 2019- Continuing) - MEO</t>
  </si>
  <si>
    <t>REI 20CSCJ01 Consulting Services for the Conduct of Sub-surface Soil Exploration and Geotechnical Investigation for the  Construction of various Buildings and Other Structures in Tarlac.</t>
  </si>
  <si>
    <t>20GHF0005 - Supply and Delivery of Spare Parts and Lubricants for the Preventive &amp; Corrective Maintenance of Service Vehicles, Heavy Equipment and Miscellaneous Equipment assigned in DPWH Cebu 3rd Dis</t>
  </si>
  <si>
    <t>VARIOUS  PROJECTS UNDER CLUSTER I-2020, KAYAPA, BAKUN, BENGUET</t>
  </si>
  <si>
    <t>CONCRETING ALONG INGAAN-CAGAM-IS FMR, GAMBANG, BAKUN, BENGUET</t>
  </si>
  <si>
    <t>Supply and Delivery of Materials to be used in the Installation/ Rehabilitation of Water System Level II &amp; III in Different Barangays, Naujan, Oriental Mindoro</t>
  </si>
  <si>
    <t>Procurement of Hospital Engineering &amp; Facilities Management Unit (HEMU) Supplies and ICT Equipment</t>
  </si>
  <si>
    <t>CONCRETING OF IMAN STREET- BARANGAY MAGCAMIGUING</t>
  </si>
  <si>
    <t>REPAIR/REHABILITATION OF ACCOUNTING OFFICE</t>
  </si>
  <si>
    <t>IMPROVEMENT OF LIWANG-BOLBOLO FMR, GAMBANG, BAKUN, BENGUET</t>
  </si>
  <si>
    <t>CONSTRUCTION OF PADRE BURGOS FIRE STATION</t>
  </si>
  <si>
    <t>NSTALLATION OF TOURISM INFORMATION SYSTEM</t>
  </si>
  <si>
    <t>BARANGAY OPERATION MONITORING SYSTEM</t>
  </si>
  <si>
    <t>Medical, Dental and Laboratory Supplies (2nd Quarter) - City Health Services Office</t>
  </si>
  <si>
    <t>Invitation to Bid for Concreting of Barangay Road at Sitio Buliran, Lumbang na Matanda, Calaca, Batangas</t>
  </si>
  <si>
    <t>Office and Other Supplies - Office of the City Mayor - ILEAS</t>
  </si>
  <si>
    <t>Invitation to Bid for Concreting of Barangay Road at Brgy. Coral ni Lopez, Calaca, Batangas</t>
  </si>
  <si>
    <t>RFQ-GS-20200603-01 - 6 Units External Hard Drive, 4 TB, USB 3.0</t>
  </si>
  <si>
    <t>Dental Supplies/Equipment - City Health Services Office</t>
  </si>
  <si>
    <t>CHILDLINK LIBRARY</t>
  </si>
  <si>
    <t>Electro mechanical Equipments &amp; Appurtenances &amp; Electrical Wiring &amp; Control</t>
  </si>
  <si>
    <t>CONSTRUCTION OF PINABACDAO FIRE STATION</t>
  </si>
  <si>
    <t>SMALL VALUE PROCUREMENT SEC 53.90 FOR THE REPLACEMENT OF ROOF AND RIDGE VENT COVER OF GID SABLAYAN WAREHOUSE, STO. NIÑO, SABALAYAN, OCCIDENTAL MINDORO</t>
  </si>
  <si>
    <t>Medical, Dental and Laboratory Supplies (2nd Quarter) - City Health Services Office - Laboratory Section</t>
  </si>
  <si>
    <t>VARIOUS  PROJECTS UNDER CLUSTER B-2020, KAYAPA, BAKUN, BENGUET</t>
  </si>
  <si>
    <t>Melt Loading System</t>
  </si>
  <si>
    <t>Construction of Material Recovery Facility at Brgy. Talipusngo, Maragondon, Cavite</t>
  </si>
  <si>
    <t>Purchase of PPE, Isolation Building Equipment and Supplies, Testing Kits and Medicines</t>
  </si>
  <si>
    <t>Invitation to Bid for Construction of Slope Protection at Brgy. Makina, Calaca, Batanga</t>
  </si>
  <si>
    <t>SUPPLY AND DELIVERY OF LABOR AND MATERIALS FOR THE PROJECT CONSTRUCTION OF TAGABAS ILAYA LEVEL II POTABLE WATER SUPPLY SYSTEM, BRGY. TAGABAS ILAYA, CATANAUAN, QUEZON</t>
  </si>
  <si>
    <t>CONSTRUCTION OF LOWER SIPITAN FLOOD CONTROL, DALIPEY, BAKUN, BENGUET</t>
  </si>
  <si>
    <t>1 Lot Provision of Labor, Materials and Equipment for the Installation of Solar Street Lights @ Brgy. San Roque, Alang-alang, Leyte. ABC PHP720,891.79</t>
  </si>
  <si>
    <t>Invitation to Bid for Rehabilitation/ Concreting of Road at Brgy. Matipok, Calaca, Batangas</t>
  </si>
  <si>
    <t>REHABILITATION OF BARANGAY STREET LIGHT</t>
  </si>
  <si>
    <t>Procurement of Disinfectant Supplies and Equipment</t>
  </si>
  <si>
    <t>HFW-2020-06-0180 : TEMPORARY FENCE OF HOME FOR WOMEN AT THE NEW BUILDING , MAMPANG ZC</t>
  </si>
  <si>
    <t>Tailored Fit Uniform for Pre-Entry Training CY-2020</t>
  </si>
  <si>
    <t>Invitation to Bid for Const. of Stage with Dressing Room and Perimeter Fence at Brgy. Matipok, Calaca, Batangas</t>
  </si>
  <si>
    <t>Hydraulic Mule</t>
  </si>
  <si>
    <t>NCB Publication No. 2020- 18 (First Publication)- FMR Improvement at Sanafe</t>
  </si>
  <si>
    <t>NCB Publication No. 2020- 17 (First Publication)- Perimeter Fencing (Provincial Breeding Center)</t>
  </si>
  <si>
    <t>REHABILITATION/IMPROVEMENT OF LEVEL III WATER SYSTEM</t>
  </si>
  <si>
    <t>Procurement of General Merchandise Operation Center, Quarantine Center Points and Isolation Area</t>
  </si>
  <si>
    <t>Medical Supplies for Re-Enlistment of Air Force City Personnel</t>
  </si>
  <si>
    <t>Supply and delivery of HARDWARE MATERIALS  RE: For Land Development of Local Economic Enterprise Compound @ New Slaughterhouse, Brgy. Talaba</t>
  </si>
  <si>
    <t>Invitation to Bid for the Procurement of Lease of Venue and/or Catering Services for CY 2020 NEDA IX and RDC IX Activities  Through Framework Agreement</t>
  </si>
  <si>
    <t>Spares for the Maintenance of C-295 Aircraft Nr 140 &amp; 142</t>
  </si>
  <si>
    <t>CONSTRUCTION OF CANAL LINING AT TALISAYAN, BRGY. SAMPALOC IV, CITY OF DASMARIÑAS, CAVITE</t>
  </si>
  <si>
    <t>Invitation to Bid for Const. of Three Storey Nine Classroom Bldg. at DGAES, Brgy. Dacanlao, Calaca, Batangas</t>
  </si>
  <si>
    <t>Spares and Services for the Repair and Maintenance of DLM Equipment</t>
  </si>
  <si>
    <t>Procurement of Food Stuff for Relief Goods</t>
  </si>
  <si>
    <t>SUPPLY AND DELIVERY OF LABOR AND MATERIALS FOR THE PROJECT, CONSTRUCTION OF STA. MARIA DAO LEVEL II POTABLE WATER SUPPLY SYSTEM, BRGY. STA. MARIA DAO, CATANAUAN, QUEZON</t>
  </si>
  <si>
    <t>SUPPLY AND DELIVERY OF HDPE PIPES AND COMPRESSION FITTINGS</t>
  </si>
  <si>
    <t>IPH-19-1149-B (Re-Bid) Transformer and Wirings (Relocation of 3-units 75KVA Transformer and 2-unit Generator) Iloilo Provincial Hospital, Pototan, Iloilo</t>
  </si>
  <si>
    <t>Invitation to Bid for Const. of Two Storey Six Classroom Bldg. at Matipok ES, Brgy. Matipok, Calaca, Batangas</t>
  </si>
  <si>
    <t>Procurement of Food Stuff for Operation Center, Quarantine Center Points and Isolation Area</t>
  </si>
  <si>
    <t>20LD0129-Repair/Maintenance of Drainage along Davao-Cotabato Road (Camanchiles Section), K1574+400 to K1575+237.5, Davao del Sur</t>
  </si>
  <si>
    <t>Conditional Spares for the Maintenance and Repair of Bell 412 and UH-1 Helicopters</t>
  </si>
  <si>
    <t>Purchase of Collapsible Tent</t>
  </si>
  <si>
    <t>Supply and delivery of HARDWARE MATERIALS  RE: For Land Development of Relocation Site @, Brgy. Talaba</t>
  </si>
  <si>
    <t>Generators Set Type</t>
  </si>
  <si>
    <t>SUPPLY AND DELIVERY OF LABOR AND MATERIALS FOR THE PROJECT, CONSTRUCTION OF BRGY. NAVITAS LEVEL II POTABLE WATER SUPPLY SYSTEM, BRGY. NAVITAS, CATANAUAN, QUEZON</t>
  </si>
  <si>
    <t>CID No. 20GI00003 - Purchase/delivery of one (1) set Portable Weigh-In Motion System (with mobilization, manpower, equipment, project management, supervision including programming, testing and commiss</t>
  </si>
  <si>
    <t>Invitation to Bid for Const. of Two Storey Four Classroom Bldg. at Calaca Central ES, Brgy. 2, Calaca, Batangas</t>
  </si>
  <si>
    <t>PEO-20-0553-B Concreting of Aldeguer - Salcedo Road Sara, Iloilo</t>
  </si>
  <si>
    <t>CLUSTER 20: CONSTRUCTION OF NAYBO CHILD DEVELOPMENT CENTER PHASE (II)</t>
  </si>
  <si>
    <t>Invitation to Bid for Const. of Two Storey Four Classroom Bldg. at Talisay ES, Brgy. Talisay, Calaca, Batangas</t>
  </si>
  <si>
    <t>Procurement of Various Airconditioning units and Supplies and Materials for Installation P.R. No. 159 - SAH</t>
  </si>
  <si>
    <t>Procurement of Medical Supplies  for Triage ad Quarantine Center Points</t>
  </si>
  <si>
    <t>CLUSTER 19: CONSTRUCTION OF LIVESTOCK AUCTION CENTER (PHASE II)</t>
  </si>
  <si>
    <t>Procurement of Laboratory Supplies and Equipment for Triage ad Quarantine Center Points</t>
  </si>
  <si>
    <t>Cluster 17: Clustered Projects of Barangay Lengaoan-1</t>
  </si>
  <si>
    <t>PEO-19-1551-B Improvement of Various Water Systems in the 3rd District of Iloilo Brgy. Nasaka, Maasin; Brgy. Corot-on, Lambunao, Iloilo</t>
  </si>
  <si>
    <t>Cluster 18: Clustered Projects of Barangay Buyacaoan</t>
  </si>
  <si>
    <t>Invitation to Bid for Const. of Two Unit Communal Toilets at DGANHS, Brgy. Dacanlao, Calaca, Batangas</t>
  </si>
  <si>
    <t>PEO-20-0613-B Concreting of JNR, Agtambo-Sto. Tomas- Nueva Union Road Passi City, Iloilo</t>
  </si>
  <si>
    <t>INVITATION TO BID FOR THE Procurement of Five (5) Units of Fire Suppression System for ICT Equipment and Two (2) Units of Network Switch under the DOE CY2020 ISSP</t>
  </si>
  <si>
    <t>Furnishing of Labor, Materials, handtools and Equipment RE: Construction of Level II Potable Water Supply @ Brgy. Tagbakin Atimonan, Quezon</t>
  </si>
  <si>
    <t>20CSZ017-Consulting Services for the Design Review/Construction Supervision of the Ambal-Simuay River and Rio Grande De Mindanao River Flood Control Projects Package 1 and Package 2</t>
  </si>
  <si>
    <t>IMPROVEMENT 0F DONA MARIA V. DUQUE MEMORIAL HALL</t>
  </si>
  <si>
    <t>Invitation to Bid for Const. of Two Storey "ALS" Building at Calaca Central ES, Brgy. 2, Calaca, Batangas</t>
  </si>
  <si>
    <t>SUPPLY AND DELIVERY OF LABOR AND MATERIALS FOR THE PROJECT, CONSTRUCTION OF BRGY. TAGBACAN IBABA LEVEL II POTABLE WATER SUPPLY SYSTEM, BRGY. TAGBACAN IBABA, CATANAUAN, QUEZON</t>
  </si>
  <si>
    <t>installation of additional cctv</t>
  </si>
  <si>
    <t>Furnishing of Labor, Materials, handtools and Equipment RE: Construction of Community Fish Landing Center, @Zone 4 Poblacion, Atimonan, Quezon</t>
  </si>
  <si>
    <t>2020-049 REHABILITATION OF BUREAU OF FIRE PROTECTION (BFP) BUILDING AT MUNICIPAL HALL COMPOUND, MIDSAYAP, COTABATO</t>
  </si>
  <si>
    <t>Supply and Delivery of Supplies and Materials for the Improvement of Multi-Purpose Building</t>
  </si>
  <si>
    <t>Purchase of Risk Communication and Hygiene Kits</t>
  </si>
  <si>
    <t>CONSTRUCTION OF WATER SYSTEM LEVEL 2</t>
  </si>
  <si>
    <t>Bidding (Infra Project)</t>
  </si>
  <si>
    <t>IMPROVEMENT OF BRGY. HEALTH CENTER-BRGY. PALSARA, BALETE, BATS.</t>
  </si>
  <si>
    <t>Supply and Delivery of One (1) Unit Brand New Mini Dump Truck for the use of Municipal Government of Calauag for Solid Waste Management</t>
  </si>
  <si>
    <t>ROAD IMPROVEMENT (OPENING OF 750 LINEAR METER ROAD AT SITIO PALAWAN-MANAMBAY)</t>
  </si>
  <si>
    <t>Construction of Brgy. Outpost Phase II</t>
  </si>
  <si>
    <t>REHABILITATION/IMPROVEMENT OF WATER SYSTEM</t>
  </si>
  <si>
    <t>Purchase of I.T. Equipment and Accessories</t>
  </si>
  <si>
    <t>INSTALLATION OF SOLAR STREET LIGHTS - BRGY. SOLIS, BALETE, BATANGAS</t>
  </si>
  <si>
    <t>Purchase of Home-based DRR Monitoring Drone</t>
  </si>
  <si>
    <t>LABOR CONTRACT FOR THE IMPROVEMENT OF DONA MARIA V. DUQUE MEMORIAL HALL</t>
  </si>
  <si>
    <t>Contract I.D. No. 20OE0198 - MOOE – Maintenance, Repair and Rehabilitation of Infrastructure Facilities and Other Related Activities – Public Buildings – Repair / Maintenance / Rehab. OP Building, Mul</t>
  </si>
  <si>
    <t>VarIous Medicines</t>
  </si>
  <si>
    <t>2020-039, CONSTRUCTION OF BAILEY BRIDGE CONNECTING PUROK 4 AND PUROK 5, POBLACION 5, MIDSAYAP, COTABATO</t>
  </si>
  <si>
    <t>20HI0059 - Concreting of Road to Villahermosa Marine Sanctuary and Mangrove Ecopark, Tudela, Cebu</t>
  </si>
  <si>
    <t>20HI0060 - Construction of Multi-Purpose Building, Brgy. Maslog, Danao City, Cebu</t>
  </si>
  <si>
    <t>20HI0035 - Amancion Road Opening, Brgy. Amancion, Catmon, Cebu</t>
  </si>
  <si>
    <t>CONCRETING OF ROAD - BRGY. SALA, BALETE, BATS.</t>
  </si>
  <si>
    <t>WELFARE GOODS EXPENSE (EGGS) - RE-BID</t>
  </si>
  <si>
    <t>2020-036, CONSTRUCTION OF STEEL BRIDGE AT SITIO PANGPANG, PUROK 4, BARANGAY UPPER GLAD 1, MIDSAYAP, COTABATO</t>
  </si>
  <si>
    <t>SUPPLY AND DELIVERY OF SUPPLY AND DELIVERY OF CALIBRATION AND RECERTIFICATION AND REPLACEMENT OF HEPA FILTER OF BIOLOGICAL SAFETY CABINET</t>
  </si>
  <si>
    <t>2020-051, SUPPLY AND DELIVERY OF ELECTRONIC DEVICES AND EQUIPMENT FOR EXPLOSIVE ORDNANCE DISPOSAL (EOD) UNIT AT LGU MIDSAYAP, COTABATO</t>
  </si>
  <si>
    <t>Contract I.D. No. 20OE0199 - MOOE – Maintenance, Repair and Rehabilitation of Infrastructure Facilities and Other Related Activities – Public Buildings – Repair / Maintenance / Rehab. –  Office of the</t>
  </si>
  <si>
    <t>PH-NPC-162238-GO-RFB - Solar Home Systems (SHS) for Access to Sustainable Energy Project Philippines, Window 2</t>
  </si>
  <si>
    <t>Contract I.D. No. 20OE0200 - MOOE – Maintenance, Repair and Rehabilitation of Infrastructure Facilities and Other Related Activities – Public Buildings – Repair / Maintenance / Rehab. –  DPWH Building</t>
  </si>
  <si>
    <t>2020-050, CONSTRUCTION OF BOX CULVERT AT PUROK 3, MILAYA, MIDSAYAP, COTABATO</t>
  </si>
  <si>
    <t>Contract I.D. No. 20OE0201 - Construction / Rehabilitation of Water Supply / Septage and Sewerage / Rain Water Collectors – Rain Water Collectors in Public Facilities – Construction of 16 Units Rainwa</t>
  </si>
  <si>
    <t>20HI0078 - Construction of Multi-Purpose Building, Barangay Estaca, Compostela, Cebu</t>
  </si>
  <si>
    <t>2020-132-I Consolidated Various Agricultural Supplies and Tools for Research Division CY 2020</t>
  </si>
  <si>
    <t>IMPROVEMENT OF MAIN ELECTRICAL POWER SUPPLY LINES- LGU-BALETE (MATERIALS ONLY)</t>
  </si>
  <si>
    <t>20HI0067 - Construction of Infirmary Hospital at Tudela, Cebu – Phase 1</t>
  </si>
  <si>
    <t>Materials for Tent and Desk Top Computer w/ Complete Accessories</t>
  </si>
  <si>
    <t>Purchase of Materials, Tools &amp; Equipment use for Routine Maintenance along Various Road Sections</t>
  </si>
  <si>
    <t>Fuel &amp; Lubricants of  Service Vehicle for Supervision/Implementation of Regular Infra Projects</t>
  </si>
  <si>
    <t>PURCHASE OF SUPPLIES AND MATERIALS FOR THE ASPHALTING OF KAMAMA HOA PHASE 1 AND 2</t>
  </si>
  <si>
    <t>Purchase of Asphalt Cement 60/70 for Various Bridges along Various Road Sections</t>
  </si>
  <si>
    <t>CONSTRUCTION OF SPORTS LIBRARY BUILDING</t>
  </si>
  <si>
    <t>CONSTRUCTION OF ONE CLASSROOM SCHOOL BUILDING (SPED)</t>
  </si>
  <si>
    <t>Various Production Equipment and Accessories</t>
  </si>
  <si>
    <t>CONSTRUCTION OF ONE CLASSROOM SCHOOL BUILDING (ALS)</t>
  </si>
  <si>
    <t>Repair/Maintenance of DILG Building PNP Tayabas Police Station, Tayabas City-Quezon</t>
  </si>
  <si>
    <t>20HI0088 - Construction of Local Road, Brgy. Tayud, Liloan, Cebu</t>
  </si>
  <si>
    <t>IB_Cluster 15- Sewerage and Waste Water Facility and Boardwalk, Puerto Galera, Oriental Mindoro</t>
  </si>
  <si>
    <t>UPGRADING OF CCTV</t>
  </si>
  <si>
    <t>PROCUREMENT OF OFFICE SUPPLIES AND DEVICES</t>
  </si>
  <si>
    <t>Purchase of Materials for Act. # 122 Crack and Joint Sealing of Concrete Pavement</t>
  </si>
  <si>
    <t>PURCHASE OF SUPPLIES AND MATERIALS FOR THE ASPHALTING OF VARIOUS STREETS</t>
  </si>
  <si>
    <t>Repair/Maintenance of Yellow Centerline (Activity 71x-Special Maintenance)  along National Bridges, within Quezon 1st DEO,  Lucban, Quezon</t>
  </si>
  <si>
    <t>Concreting of Floor</t>
  </si>
  <si>
    <t>Construction of two storey six classroom – Lolomboy Elementary School, Bocaue, Bulacan</t>
  </si>
  <si>
    <t>Repair/Maintenance of Road Safety Devices 					  (Activity 71x-Special Maintenance) along				   		   a) Famy-Real-Infanta-Dinahican Port Road K0093+000-K0149+636, w/exception Real &amp; Infanta, Quezon b)</t>
  </si>
  <si>
    <t>Procurement of 34 pcs. Tire (Dump Truck)</t>
  </si>
  <si>
    <t>Construction of two storey six classroom – Guiguinto Central School, Guiguinto, Bulacan</t>
  </si>
  <si>
    <t>Construction of three storey twelve classroom – Bungahan Elementary School, Malolos, Bulacan</t>
  </si>
  <si>
    <t>Proposed Street Lighting</t>
  </si>
  <si>
    <t xml:space="preserve">Repair/Maintenance of Reflectorized 					  Thermoplastic Pavement Markings 					  (71x-Special  Maintenance) along  a)	Famy-Real-Infanta-Dinahican Port Road K0093+-623-K0149+636, w/exception Real and </t>
  </si>
  <si>
    <t>Construction of four storey eight classroom – Lolomboy National High School, Bocaue, Bulacan</t>
  </si>
  <si>
    <t>Rehabilitation and Construction of Barangay Street Lights</t>
  </si>
  <si>
    <t>Repair/Maintenance of Road Safety Devices 					  (Activity 71x-Special Maintenance) within				   		   a) Tayabas Section, Tayabas City-Quezon b) Lucena-Tayabas-Lucban-Sampaloc Mauban Port Road (S01555</t>
  </si>
  <si>
    <t>DSWD NNP No. 20-GOP-SVC-002-A - Hiring of Writer/Technical Editor for the 2019 DSWD Annual Report</t>
  </si>
  <si>
    <t>Construction of three storey nine classroom – Tikay Elementary School, Malolos, Bulacan</t>
  </si>
  <si>
    <t>PROCUREMENT OF MINI-DUMP TRUCK</t>
  </si>
  <si>
    <t>Construction of three storey nine classroom – Longos Elementary School, Malolos, Bulacan</t>
  </si>
  <si>
    <t>Construction of three storey nine classroom – Bulihan National High School, Malolos, Bulacan</t>
  </si>
  <si>
    <t>RFQ&gt;&gt;&gt; Cell Cards for SDO Personnel | ABC=PhP104,440.00</t>
  </si>
  <si>
    <t>Supply, Delivery &amp; Installation of Emergency Paging System</t>
  </si>
  <si>
    <t>Concreting of Barangay Road - Procurement of Materials</t>
  </si>
  <si>
    <t>Construction of three storey nine classroom – Pres. Corazon Cojuangco Aquino MNHS, Malolos, Bulacan</t>
  </si>
  <si>
    <t>REPAIR/IMPROVEMENT OF WATER SYSTEM - PROCUREMENT OF MATERIALS</t>
  </si>
  <si>
    <t>Concreting of Brgy. Catacte FMR, Brgy. Catacte, Bustos, Bulacan</t>
  </si>
  <si>
    <t>20DC0203 - LOCAL PROGRAM, Construction/Repair/Rehabilitation/Improvement of Various Infrastructure including Local Projects, Buildings And Other Structures, Multipurpose/Facilities, Construction of Mu</t>
  </si>
  <si>
    <t xml:space="preserve">20DC0201 - LOCAL PROGRAM, Construction/Repair/Rehabilitation/Improvement of Various Infrastructure including Local Projects, Buildings And Other Structures, Multipurpose/Facilities, Rehabilitation of </t>
  </si>
  <si>
    <t>Procurement of Equipment</t>
  </si>
  <si>
    <t>Procurement of supplies and materials</t>
  </si>
  <si>
    <t>Concreting of Brgy. Siling Bata to Brgy. Cacarong Matanda FMR, Brgy. Siling Bata and brgy. Cacarong Matanda, Pandi, Bulacan</t>
  </si>
  <si>
    <t>20DC0204 - LOCAL PROGRAM, Local Infrastructure Program, Buildings and Other Structures, Multipurpose/Facilities, Rehabilitation and Improvement of San Nicolas Municipal Building, San Nicolas, Batangas</t>
  </si>
  <si>
    <t>PROCUREMENT OF MATERIALS - REHABILITATION OF WATER SYSTEM</t>
  </si>
  <si>
    <t>GO BAG</t>
  </si>
  <si>
    <t>ESTABLISHMENT OF ISOLATION AREA at Forest Park</t>
  </si>
  <si>
    <t xml:space="preserve">20DC0202 - LOCAL PROGRAM, Construction/Repair/Rehabilitation/Improvement of Various Infrastructure including Local Projects, Buildings And Other Structures, Multipurpose/Facilities, Rehabilitation of </t>
  </si>
  <si>
    <t>Procurement of Computed Radiography Laser Imaging System(HFEP)</t>
  </si>
  <si>
    <t>Procurement of Ultrasound (HFEP)</t>
  </si>
  <si>
    <t>20DC0206 - LOCAL PROGRAM, Local Infrastructure Program, Buildings And Other Structures, Multipurpose/Facilities, Construction of Multi-Purpose Building, San Nicolas, Batangas</t>
  </si>
  <si>
    <t>PROCUREMENT OF EMERGENCY TRANSPORT VEHICLE</t>
  </si>
  <si>
    <t>Request for Quotation for Drugs and Medicine</t>
  </si>
  <si>
    <t>Supply and delivery of 1 pc Projector w/ projector screen and 1 pc. DSLR Camera for use of the Prov'l. Treasurer. ABC PHP112,515.00</t>
  </si>
  <si>
    <t>Supply and Delivery of Medical Equipment for Community  Hospital</t>
  </si>
  <si>
    <t>PROCUREMENT OF PICK-UP TRUCK</t>
  </si>
  <si>
    <t xml:space="preserve">20DC0205 - LOCAL PROGRAM, Construction/Repair/Rehabilitation/Improvement of Various Infrastructure including Local Projects, Buildings And Other Structures, Multipurpose/Facilities, Rehabilitation of </t>
  </si>
  <si>
    <t>UPGRADING OF ELECTRICAL SYSTEM, PHASE I</t>
  </si>
  <si>
    <t>MDF CLUSTER 12-2020 PROJECTS AT PAOAY, ATOK, BENGUET</t>
  </si>
  <si>
    <t>Concreting of Brgy. Tanawan to Brgy. Poblacion FMR, Brgy. Tanawan and Brgy. Poblacion, Bustos, Bulacan</t>
  </si>
  <si>
    <t>MDF CLUSTER 11-2020 PROJECT: REHABILITATION OF IRRIGATION CANAL AT CASDAN</t>
  </si>
  <si>
    <t>SUPPLY &amp; DELIVERY OF CONSTRUCTION MATERIALS FOR THE CONSTRUCTION  OF MATERIAL RECOVERY FACILITY (MRF) AT PUROK 6, PAG-ASA, KAPALONG, DAVAO DEL NORTE</t>
  </si>
  <si>
    <t>CONSTRUCTION OF INTEGRATED TERMINAL</t>
  </si>
  <si>
    <t>IB 2020-06-005 PORL Procurement of Operating Room Light 2020-05</t>
  </si>
  <si>
    <t>Supply and Delivery of Plastic Melter for City ENRO</t>
  </si>
  <si>
    <t>MDRRMF CLUSTER 3-2020 PROJECT: REHABILITATION OF KM. 288-BETAC-WAGI ROAD</t>
  </si>
  <si>
    <t>REPAIR AND RENOVATION OF ADMINISTRATION BUILDING</t>
  </si>
  <si>
    <t>IMPROVEMENT OF MUNICIPAL PARK</t>
  </si>
  <si>
    <t>IB 2020-06-006 PSS Procurement of Steam Sterilizer 2020-06</t>
  </si>
  <si>
    <t>INVITATION TO BID FOR PROCUREMENT OF 8 LAPTOP UNITS, 1 HIGH-END VIDEO EDITING LAPTOP AND 20 DESKTOP UNITS</t>
  </si>
  <si>
    <t>Heavy Duty Lorry Truck (Water Tanker) (PR-2020-9999-0720)</t>
  </si>
  <si>
    <t>CONTINUATION OF LABORATORY CUM TRAINING CENTER FOR IHM AND TOURISM PROGRAM (PHASE II)</t>
  </si>
  <si>
    <t>CONSTRUCTION OF SLOPE PROTECTION AND COMPLETION OF EVACUATION CENTER</t>
  </si>
  <si>
    <t>Supply and Delivery of Dengue Insecticide for use of RHU in the Dengue Prevention Program in the Barangays of Pototan, Iloilo</t>
  </si>
  <si>
    <t>Procurement of Medicines and Medical Supplies</t>
  </si>
  <si>
    <t>PROCUREMENT OF FURNITURE &amp; FIXTURES &amp; OTHER EQUIPMENT</t>
  </si>
  <si>
    <t>UPGRADING OF POWER SYSTEM</t>
  </si>
  <si>
    <t>INVITATION TO BID MESS FOODSTUFF LOT G. COLD CUTS</t>
  </si>
  <si>
    <t>CONTINUATION OF THE REPAIR AND RENOVATION OF RESEARCH OFFICE / FTC (PHASE II)</t>
  </si>
  <si>
    <t>PROCUREMENT OF IT &amp; OTHER OFFICE EQUIPMENT</t>
  </si>
  <si>
    <t>INVITATION TO BID MESS FOODSTUFF LOT E. GROCERIES</t>
  </si>
  <si>
    <t>INVITATION TO BID MESS FOODSTUFF LOT F. VEGETABLES LEGUMES AND DESSERT</t>
  </si>
  <si>
    <t>INVITATION TO BID MESS FOODSTUFF LOT D. FRESH AND DRIED FISH</t>
  </si>
  <si>
    <t>CONSTRUCTION OF BASKETBALL COURT FENCE</t>
  </si>
  <si>
    <t>INVITATION TO BID MESS FOODSTUFF LOT B. MEAT</t>
  </si>
  <si>
    <t>INVITATION TO BID FOR THE ACQUISITION OF 55 UNITS LAPTOP FOR CY 2020</t>
  </si>
  <si>
    <t>Procurement of Milk and Vitamins</t>
  </si>
  <si>
    <t>INVITATION TO BID MESS FOODSTUFF LOT C. POULTRY</t>
  </si>
  <si>
    <t>Procurement of Spare Parts</t>
  </si>
  <si>
    <t>INVITATION TO BID MESS FOODSTUFF LOT A. RICE</t>
  </si>
  <si>
    <t>Procurement of Fertilizer and Insecticide</t>
  </si>
  <si>
    <t>CONSTRUCTION OF 24 UNITS STREETLIGHTS AT CAPIPISA</t>
  </si>
  <si>
    <t>Procurement of Food Supplies</t>
  </si>
  <si>
    <t>CONSTRUCTION OF 18 UNITS SOLAR STREETLIGHT AT AMAYA II</t>
  </si>
  <si>
    <t>CCTV SURVEILLANCE CAMERA</t>
  </si>
  <si>
    <t>Construction of Multi-Purpose Building (Phase III), Brgy. Cubi-Cubi</t>
  </si>
  <si>
    <t>Concreting (NRJ Camagong-Resettlement Site) Barangay Road, Brgy. Camagong</t>
  </si>
  <si>
    <t>CONSTRUCTION OF CANAL LINING WITH COVER AT JULUGAN III</t>
  </si>
  <si>
    <t>CONSTRUCTION OF 24 UNITS STREETLIGHTS AT JULUGAN IV</t>
  </si>
  <si>
    <t>Repairs and Maintenance - TRANSPORTATION EQUIPMENT</t>
  </si>
  <si>
    <t>Supply and Delivery of Fuel and Lubricants for the Rescue Vehicles</t>
  </si>
  <si>
    <t>DISASTER PREPAREDNESS PROGRAM_PURCHASE OF PUBLIC ADDRESS SYSTEM</t>
  </si>
  <si>
    <t>Repairs and Maintenance - Buildings and Other Structures</t>
  </si>
  <si>
    <t>Widening of San Nicolas Road at Barangay San Nicolas, Floridablanca, Pampanga</t>
  </si>
  <si>
    <t>Repairs and Maintenance - MACHINERY &amp; OTHER EQUIPMENT</t>
  </si>
  <si>
    <t>PROCUREMENT OF RESPONSE VEHICLE</t>
  </si>
  <si>
    <t>ONE JOB ORDER FOR LABOR AND MATERIALS FOR THE CONSTRUCTION OF DOH RO 7 (PHASE II),TANJAY GENERAL HOSPITAL AND DOH WAREHOUSE AT EVERSELY CHILDS SANITARIUM (BAC 2020-I01)</t>
  </si>
  <si>
    <t>Supply of Labor and Materials for the Expansion of Distribution Lines for Water Supply At Brgy. Osiem, Mangaldan, Pangasinan</t>
  </si>
  <si>
    <t>Procurement of Surveying Equipment</t>
  </si>
  <si>
    <t>Supply and Delivery of Parts and Supplies for the Repair of the Garbage Compactor</t>
  </si>
  <si>
    <t>Supply and Delivery of Furniture and Fixture for the Sangguniang Bayan</t>
  </si>
  <si>
    <t>CONCRETING OF BALACTASAN-PANG-ITAN ROAD, BRGY. BALACTASAN, MADALAG, AKLAN</t>
  </si>
  <si>
    <t>SUPPLY AND DELIVERY OF BACKYARD GARDENING SUPPLIES AND ASSORTED VEGETABLE SEEDS</t>
  </si>
  <si>
    <t>CONSTRUCTION OF EVACUATION CENTER PHASE III</t>
  </si>
  <si>
    <t>Procurement of 1,100 pcs. Utility plastic box (20 ltrs.) “16x7x10 ½ “-B-20-0188</t>
  </si>
  <si>
    <t>Procurement of various office supplies-B-20-0187</t>
  </si>
  <si>
    <t>Procurement of spareparts (heavy equipment)-B-20-0190</t>
  </si>
  <si>
    <t>Procurement of food supplies (meals and snacks)within Davao de Oro-B-20-0186</t>
  </si>
  <si>
    <t>Procurement of spareparts (heavy equipment)-B-20-0184</t>
  </si>
  <si>
    <t>Installation / Rehabilitation of Street Lighting System &amp; Pathway (Plaza and Around the Church &amp; National Hiway from Tumagbok Bridge to Sapa Bridge), Poblacion Miagao</t>
  </si>
  <si>
    <t>Procurement of 2 packages DSLR camera lens &amp;  1 unit DSLR camera with complete accessories-B-20-0128-Rebid</t>
  </si>
  <si>
    <t>Procurement of official receipt and sticker-B-20-0185</t>
  </si>
  <si>
    <t>Purchase of hardware materials for instation of meter stand phase 1</t>
  </si>
  <si>
    <t>IMPROVEMENT/ UPGRADING OF BONTOC- MAINIT ROAD</t>
  </si>
  <si>
    <t>REHABILITATION OF MABINI STREET</t>
  </si>
  <si>
    <t>2020-TF-04: WATERWORKS SYSTEM PROJECT IN BARANGAY WESTERN UMA</t>
  </si>
  <si>
    <t>One(1) Job Labor, Materials &amp; Equipment Rentals for the Concreting of Barangay Road of Brgy. Igang, Pototan, Iloilo</t>
  </si>
  <si>
    <t>Procurement of food supplies (meals and snacks)within Davao de Oro-B-20-0189</t>
  </si>
  <si>
    <t>Supply and Delivery of Monggo and Clean Rice to be used in the Implementation program for pregnant women for Nutrition</t>
  </si>
  <si>
    <t>IMPROVEMENT/ UPGRADING OF SADSADAN- CUBA ROAD</t>
  </si>
  <si>
    <t>Supply and Delivery of Cooking Oil to be used in dry ration supplementation program for pregrant women Nutrition</t>
  </si>
  <si>
    <t>Purchase of food stuff for supplemental feeding of 108 children 6-23 months old</t>
  </si>
  <si>
    <t>IMPROVEMENT/ UPGRADING OF MAMAGA- SACLIT ROAD</t>
  </si>
  <si>
    <t>(20LF0140)Jct. San Antonio Baybay Leading to Creamsand Longbeach, Brgy. Baybay, Cateel, Davao Oriental</t>
  </si>
  <si>
    <t>IMPROVEMENT/ UPGRADING OF ABATAN- BAGNEN ROAD</t>
  </si>
  <si>
    <t>(20LF0141)NRJ San Isidro-Campawan Leading to Curtain Falls, Barangay Campawan, Baganga, Davao Oriental</t>
  </si>
  <si>
    <t xml:space="preserve">REQUEST FOR JOB ORDER: REPAIR AND REPAINTING OF MMTSD STAFFHOUSES, OFFICE, STOCKROOM AND LAWN FENCE JO No. F3138S3 (S3-MMT20-006) and REPAIR  AND  RENOVATION  OF  MMTSD LABORATORY ROOM JO No. F3139S3 </t>
  </si>
  <si>
    <t>One(1) Job Labor, Materials &amp; Equipment Rentals for the Concreting of Barangay Road of Brgy. Barasan, Pototan, Iloilo</t>
  </si>
  <si>
    <t>Rehabilitation of Burgos Street</t>
  </si>
  <si>
    <t>Supply and Delivery of Diesel for the Rehabilitation of Roads Leading to Resettlement Sites of Earthquake-Affected Communities</t>
  </si>
  <si>
    <t>REHABILITATION OF AMPATUA STREET</t>
  </si>
  <si>
    <t>REHABILITATION OF JUDGE PIANG D. PAISO STREET</t>
  </si>
  <si>
    <t>INVITATION TO BID NO. 2020-06-0013 PROCUREMENT OF ELECTRICAL SUPPLIES AND EQUIPMENT OF CAPSU SIGMA SATELLITE COLLEGE</t>
  </si>
  <si>
    <t>CONCRETING OF INACBAN BARANGAY ROAD, AYUNGON, NEGROS ORIENTAL</t>
  </si>
  <si>
    <t>One(1) Job Labor, Materials &amp; Equipment Rentals for the Concreting of Municipal Road of Guanco Street, Pototan, Iloilo</t>
  </si>
  <si>
    <t>Construction of Five (5) Units Multi-purpose Building of Barangay Sta. Felomina, Kisante, Rodero, Cabilao &amp; Old Bulatukan</t>
  </si>
  <si>
    <t>(20LF0139)Junction Brgy. Old Macopa Centro to Sitio Madsayap, Brgy. Old Macopa, Connecting Manay Public Terminal to Abaca Processing and Corn Milling in Support to Agribusiness, Manay, Davao oOriental</t>
  </si>
  <si>
    <t>ITB - PURCHASE OF CONSTRUCTION MATERIALS FOR THE IMPROVEMENT OF STREETLIGHT AT ZONE 1-4 PROJECT</t>
  </si>
  <si>
    <t>Construction of 1- Storey Evacuation Center, Barangay Bato, Makilala, Cotabato</t>
  </si>
  <si>
    <t>Supply and Delivery of Construction Materials for the Construction of Session Hall Phase II of Brgy. Palanguia, Pototan, Iloilo</t>
  </si>
  <si>
    <t>Construction of Five (5) Units Multi-purpose Building of Barangay Saguing, Biangan, Indangan, New Baguio and Luayon</t>
  </si>
  <si>
    <t>CONCRETING OF KILABAN BARANGAY ROAD, AYUNGON, NEGROS ORIENTAL</t>
  </si>
  <si>
    <t>(20LF0142) NRJ Salingcomot-Languyon Leading to Languyon Mangove Park, Brgy. Salingcomot, Baganga, Davao Oriental</t>
  </si>
  <si>
    <t>CONCRETING OF JANDALAMANON BARANGAY ROAD, AYUNGON, NEGROS ORIENTAL</t>
  </si>
  <si>
    <t>ITB - PURCHASE OF CONSTRUCTION MATERIALS FOR THE IMPROVEMENT OF BRGY. HEALTH CENTER PHASE III PROJECT</t>
  </si>
  <si>
    <t>Procurement of Dermatology Equipment</t>
  </si>
  <si>
    <t>ROAD CONCRETING OF MUNICIPAL CEMETERY ACCESS ROAD AT AYUNGON, NEGROS ORIENTAL</t>
  </si>
  <si>
    <t>Procurement of Laboratory Equipment (HFEP)</t>
  </si>
  <si>
    <t>LAYOUT AND PRINTING OF VARIOUS MANUALS under IB NO. 2020-183</t>
  </si>
  <si>
    <t>Purchase &amp; Delivery of Const. Materials &amp; Supplies for the  project Repair of Seawall,  Brgy. Manjagao, Surigao City</t>
  </si>
  <si>
    <t>Purchase &amp; Delivery of Const. Materials &amp; Supplies for the project Construction of 2-Storey Evacuation Center (Compl.), Brgy. Orok, Surigao City</t>
  </si>
  <si>
    <t>Supply and Delivery of Anniversary Gold Ring</t>
  </si>
  <si>
    <t>Malinao Dam Improvement Project, Pacakge 1 (Const. of Sabo Dam &amp; Slope Protection)</t>
  </si>
  <si>
    <t>concreting and Improvement of Ground to Multipurpose Hall (Phase 2)</t>
  </si>
  <si>
    <t>Local Road Upgrading (Improvement of Bato Road) Barangay Bato, Makilala, Cotabato</t>
  </si>
  <si>
    <t>CONCRETING OF SITIO KANLUKDUHAN, BARANGAY GOMENTOC, BARANGAY ROAD, AYUNGON, NEGROS ORIENTAL</t>
  </si>
  <si>
    <t>INSTALLATION OF WINDOW BLINDS AT MP Bldg (Mayor's Office, Vice Mayor's Office &amp; SB Office)</t>
  </si>
  <si>
    <t>CONCRETING OF TAMBO BARANGAY ROAD, AYUNGON, NEGROS ORIENTAL</t>
  </si>
  <si>
    <t>PROCUREMENT OF VARIOUS FERTILIZERS</t>
  </si>
  <si>
    <t>Construction of Temporary Office, Municipal Compound, Makilala, Cotabato</t>
  </si>
  <si>
    <t>IMPROVEMENT/REBLOCKING/SHOULDER/CANAL OF MUNICIPAL STREET- KAPITANA TIRAY STREET, DEGUIT STREET, TABURAZA STREET, ENARDECIDO STREET AND VILLANUEVA STREET, BRGY. POBLACION, AYUNGON, NEGROS ORIENTAL</t>
  </si>
  <si>
    <t>CONCRETING OF LAMIGAN (ABURAO SECTION) BARANGAY ROAD AT AYUNGON, NEGROS ORIENTAL</t>
  </si>
  <si>
    <t>Purchase &amp; Delivery of Const. Materials &amp; Supplies for the  project Construction of Access Road @ Purok 6 Poblacion,  Brgy. Cagniog, Surigao City</t>
  </si>
  <si>
    <t>Malinao Dam Improvement Project, Pacakge 2 (Const. of Lined Canal &amp; Canal Structures)</t>
  </si>
  <si>
    <t>Bidding for the Supply &amp; Delivery of Materials for Toilet Sanitation Program</t>
  </si>
  <si>
    <t>Efficient Facility To Increase Farm Income Through The Provision of Hauling Facility ( Motor Chariot ) In Selected  ARCs in Romblon Province</t>
  </si>
  <si>
    <t>COMPLETION OF TB DOTS</t>
  </si>
  <si>
    <t>SUPPLY ,DELIVERY AND PRINTING OF NEWSLETTER-REC</t>
  </si>
  <si>
    <t>COMPLETION OF COVERED COURT (PHASE 2) - CATIGBIAN</t>
  </si>
  <si>
    <t>PURCHASE OF OTHER SUPPLIES AND MATERIALS EXPENSES</t>
  </si>
  <si>
    <t>Bidding for the Supply &amp; Delivery of Medicines for Municipal Health Office use</t>
  </si>
  <si>
    <t>Procurement of Dog Trap in Support to Dog Termination Program</t>
  </si>
  <si>
    <t>Riprapping of Portion of River bank</t>
  </si>
  <si>
    <t>SUPPLY &amp; DELIVERY OF MEALS &amp; SNACKS-ODI</t>
  </si>
  <si>
    <t>20-0169 SERVICES</t>
  </si>
  <si>
    <t>20-0174 CONSTRUCTION EQUIPMENT</t>
  </si>
  <si>
    <t>REQUEST FOR PRICE QOUTATION 2020</t>
  </si>
  <si>
    <t>B-19-20-001– CONSTRUCTION OF ROAD AT VILLA RAY ROAD, BARANGAY MANGGAHAN, CITY OF GENERAL TRIAS, CAVITE</t>
  </si>
  <si>
    <t>Elevated Water Tank at Birthing Center</t>
  </si>
  <si>
    <t>Construction/Installation of Street Lights</t>
  </si>
  <si>
    <t>Construction of Drainage System 88 Linear Meter at L. Cambonga St., Poblacion, Sibonga, Cebu</t>
  </si>
  <si>
    <t>1	unit	Pick up Truck, etc. PR 141-20 (postponed)</t>
  </si>
  <si>
    <t>CLUSTER 1, 2, 3, 4, 5, 6, 7, 8, 9, 10, 11, 12 &amp; 13 - REPAIR/REHABILITATION OF CLASSROOMS/CONSTRUCTION OF SLOPE PROTECTION (CY 2020 QRF)</t>
  </si>
  <si>
    <t>INSTALLATION OF STREETLIGHTS ALONG MALINAO RIVER EASEMENT (REBID)</t>
  </si>
  <si>
    <t>SUPPLY &amp; DELIVERY OF FUEL-GSO</t>
  </si>
  <si>
    <t>IMPROVEMENT OF PEOPLES CENTER/MPAC REBIDDING</t>
  </si>
  <si>
    <t>5,000	ltrs.	Diesel, etc. PR # 232-20</t>
  </si>
  <si>
    <t>Procurement of Machineries, Equipment, Furniture’s and Fixtures for the University use at ESSU Main Campus</t>
  </si>
  <si>
    <t>Delivery of Brand New Rescue Vehicle needed for Disaster (PNP) (NP/PB 20-0658)</t>
  </si>
  <si>
    <t>INVITATION TO BID FOR CONSTRUCTION OF ROAD (0.20M X 4.0M X 713M) AT BRGY. BUENAVISTA</t>
  </si>
  <si>
    <t>REPAIR AND MAINTENANCE OF ELECTRIC/ POWER SUPPLY SYSTEM  AT ILOILO INTERNATIONAL AIRPORT</t>
  </si>
  <si>
    <t>SUPPLIES FOR TEACHERS 6 4 2020</t>
  </si>
  <si>
    <t>1	unit	Rescue Vehicle, PR # 860-19 (postponed)</t>
  </si>
  <si>
    <t>9700	ltrs.	Diesel, etc. PR # 320-20</t>
  </si>
  <si>
    <t>1	unit	Four-Wheel Drive Pick up Truck, PR # 138-20 (postponed)</t>
  </si>
  <si>
    <t>14000	ltrs.	Diesel, PR # 315-20</t>
  </si>
  <si>
    <t>Janitorial Supplies for CDH-2020-0068 &amp; 0069</t>
  </si>
  <si>
    <t>CONSTRUCTION OF SANITARY LANDFILL FACILITY, CELL 2 BRGY. KALYAAT</t>
  </si>
  <si>
    <t>CONSTRUCTION OF DAY CARE CENTER PHASE 2</t>
  </si>
  <si>
    <t>CONSTRUCTION OF CANAL LINING, NANENG</t>
  </si>
  <si>
    <t>20	set	TIRE with INNER TUBE &amp; FLAP, etc. PR # 256-20</t>
  </si>
  <si>
    <t>SUPPLIES USED FOR AGRICULTURE OFFICE</t>
  </si>
  <si>
    <t>SUPPLY &amp; DELIVERY OF ELECTRICAL SUPPLIES- PFMO</t>
  </si>
  <si>
    <t>EPSON PRINTER AND INK</t>
  </si>
  <si>
    <t>PURCHASE OF EMERGENCY RESPONSE VEHICLE (Customized Four Wheel Drive Pickup Rescue Vehicle) FOR MDRRM OFFICE GUMACA, QUEZON</t>
  </si>
  <si>
    <t>Delivery of VARIOUS  AGRICULTURE PROGRAMS &amp; PROJECTS(1 Unit Dropside).NP-PB 20-0659</t>
  </si>
  <si>
    <t>13000	ltrs.	Diesel, etc. PR # 404-20</t>
  </si>
  <si>
    <t>CONSTRUCTION OF SCHOOL &amp; EVACUATION CENTER COMFORT ROOM, LIWAN EAST</t>
  </si>
  <si>
    <t>Straight Contract for Improvement of Multi-purpose Hall (Stage) So. Malusay, Brgy. Caradio-an, Himamaylan City</t>
  </si>
  <si>
    <t>Straight Contract for Concrete Pavement Along Segovia Street, Brgy. I-Poblacion, Himamaylan City</t>
  </si>
  <si>
    <t>IMPROVEMENT OF BARANGAY HEALTH CENTER, SAN PASCUAL</t>
  </si>
  <si>
    <t>CONSTRUCTION OF CIS, SUKIAP, TANGLAG</t>
  </si>
  <si>
    <t>Straight Contract for Water Project (MMY Village), Brgy. Buenavista, Himamaylan City</t>
  </si>
  <si>
    <t>CONSTRUCTION OF DEEPWELL WITH ELEVATED TANK, AGBANNAWAG NATIONAL HIGH SCHOOL, AGBANNAWAG</t>
  </si>
  <si>
    <t>Procurement of Medical and Laboratory Supplies</t>
  </si>
  <si>
    <t>Straight Contract for Installation of Street Lights So. Saisi, Brgy. Buenavista, Himamaylan City</t>
  </si>
  <si>
    <t>Straight Contract for Construction of Footwalk So. Bakyas, Brgy. Nabali-an, Himamaylan City</t>
  </si>
  <si>
    <t>Proposed Construction of Four (4) Storey-Forty Four (44) Rooms – School Building and Facilities at JUAN SUMULONG ELEMENTARY SCHOOL – Phase 3</t>
  </si>
  <si>
    <t>IMPROVEMENT OF FMR, CENTRO SANTUR-ANONANG, SANTOR</t>
  </si>
  <si>
    <t>Straight Contract for Improvement of Plaza, Brgy. Buenavista, Himamaylan City</t>
  </si>
  <si>
    <t>BROTHER PRINTER &amp; INK</t>
  </si>
  <si>
    <t>Termite/Pest Control Services for the Facilities of LPH-Luisiana District Hospital, LPH-Bay District Hospital, LPH-Nagcarlan District Hospital, LPH-San Pablo City District Hospital, LPH-Dr. J.P. Rizal</t>
  </si>
  <si>
    <t>CONSULTANCY SERVICES-PREPARATION AND APPROVAL OF COMPREHENSIVE LAND USE AND DEVELOPMENT PLAN OF THE CITY.</t>
  </si>
  <si>
    <t>Straight Contract for Installation of Street Lights So. Pamandayan, Brgy. Buenavista, Himamaylan City</t>
  </si>
  <si>
    <t>UPGRADING/IMPROVEMENT/REHABILITATION OF NGIBAT-TULGAO PROVINCIAL ROAD, TULGAO</t>
  </si>
  <si>
    <t>Purchase of ICT Equipment for Office Use</t>
  </si>
  <si>
    <t>Straight Contract for Installation of Street Lights (Phase 1) So. Velez to So. Butong, Brgy. Mahalang, Himamaylan City</t>
  </si>
  <si>
    <t>Supply &amp; Delivery of Various Furniture's &amp; Information Technology Equipment use for SP Office, Himamaylan City</t>
  </si>
  <si>
    <t>Supply &amp; Delivery of Various Information Technology Equipment use for Office of the Vice Mayor, Himamaylan City</t>
  </si>
  <si>
    <t>CONDUCT OF GEOTECHNICAL INVESTIGATION FOR TRUCK SCALE SITES AT NDO (VALENZUELA)AND EDO (ANTIPOLO CITY)</t>
  </si>
  <si>
    <t>Purchase of Medicines for LGU Health Program for 2nd Quarter 2020</t>
  </si>
  <si>
    <t>Laboratory Supplies for LPH-Majayjay District Hospital No Balance Billing (NBB)</t>
  </si>
  <si>
    <t>Straight Contract for Improvement of Covered Court, Brgy. To-oy, Himamaylan City</t>
  </si>
  <si>
    <t>CLEAN &amp; GREEN SUPPLIES AND MATERIALS</t>
  </si>
  <si>
    <t>SUPPLY AND DELIVERY OF CONST. MATERIALS.1</t>
  </si>
  <si>
    <t>Organic Fertilizer and Assorted Vegetable Seeds for Distribution to Households in the Province of Laguna as Food Security Measure for COVID-19 Pandemic</t>
  </si>
  <si>
    <t>CONSTRUCTION OF SLOPE PROTECTION ALONG PROVINCIAL ROAD, PANTIKIAN</t>
  </si>
  <si>
    <t>CONSTRUCTION OF RIPRAP FRONT OF WESTERN KALINGA NHS, BUAYA</t>
  </si>
  <si>
    <t>Medicines for LPH-San Pablo City District Hospital</t>
  </si>
  <si>
    <t>Supply &amp; Delivery of Various Agricultural &amp; Marine Supplies use for Environment Management Program 1st &amp; 2nd quarter of Agriculture's Office, Himamaylan City</t>
  </si>
  <si>
    <t>Rehabilitation/Improvement of 32 Classroom School Building Rear Exterior, PGMNHS, Sta. Cruz, Laguna</t>
  </si>
  <si>
    <t>20L00171 : Repair/Maintenance of: I. DPWH Building Presidential Guest House Building DPWH – Region XI – Equipment Management Division; II. DPWH Building Annex Building (Cabinet Secretaries Holding Bui</t>
  </si>
  <si>
    <t>Proposed Construction of Fence at Animal Pound OfficE, Brgy. San Gregorio, San Pablo City.</t>
  </si>
  <si>
    <t>Supply and Delivery of One Hundred Fifty (150) units Smart Television</t>
  </si>
  <si>
    <t>Purchase of Plastic Water Tank</t>
  </si>
  <si>
    <t>Procurement of Appliances-06-322(O)PEO</t>
  </si>
  <si>
    <t>RE-BID SUPPLY AND DELIVERY OF TWO HUNDRED SIXTY FOUR (264) UNITS WEIGHING SCALE AND 4,000 BOTTLES MULTI-VITAMINS</t>
  </si>
  <si>
    <t>PURCHASE OF VARIOUS MEDICAL AND DENTAL SUPPLIES FOR USE IN THE CHO AND PUERICULTURE CENTER FOR THE 2ND QUARTER</t>
  </si>
  <si>
    <t>Improvement of Multi-Purpose Building</t>
  </si>
  <si>
    <t>Purchase of Electrical Materials</t>
  </si>
  <si>
    <t>Supply and Delivery of Rabbies Vaccine</t>
  </si>
  <si>
    <t>IMPROVEMENT OF MULTI PURPOSE HALL</t>
  </si>
  <si>
    <t>SUPPLY AND DELIVERY OF VARIOUS APPLIANCES FOR THE USE OF VARIOUS OFFICES</t>
  </si>
  <si>
    <t>Proposed Construction of City Veterinary Office at Brgy. San Gregorio, San Pablo City.</t>
  </si>
  <si>
    <t>19GL00107; P.R. No. 2020-03-039 DATED 03/17/2020: PROCUREMENT OF VARIOUS PARTS, FOR USE IN THE CORRECTIVE PREVENTIVE MAINTENANCE OF VARIOUS EQUIPMENT, ASSIGNED AT EQUIPMENT MANAGEMENT DIVISION, DPWH R</t>
  </si>
  <si>
    <t>Procurement of Various IT Equipment-06-307(A)PGO</t>
  </si>
  <si>
    <t>Delivery of Food and other supplies for Operation of CICL Center for third and fourth quarter.(SVP 20-0661)</t>
  </si>
  <si>
    <t xml:space="preserve">19GL00108; P.R. No. 2020-03-035 DATED 03/06/2020; P.R. No. 2020-03-036 DATED 03/06/2020, etc: PROCUREMENT OF VARIOUS JOB ORDERS: LABOR AND MATERIALS, FOR THE REPLACEMENT OF WORN-OUT PARTS, FOR USE OF </t>
  </si>
  <si>
    <t>PURCHASE OF VARIOUS MATERIALS FOR THE REPAIR AND MAINTENANCE OF GOVERNMENT VEHICLE</t>
  </si>
  <si>
    <t>Delivery of Medical, Dental and Laboratory Supplies for 1st Quarter 2020.(NP-PB 20-0649)</t>
  </si>
  <si>
    <t>Meat cutting facilities</t>
  </si>
  <si>
    <t>NEGOTIATION for the Procurement of Supply &amp; Delivery of Various NSIC Approved Hybrid Rice Seeds (Lot 4)</t>
  </si>
  <si>
    <t>PURCHASE OF TIRES FOR THE DIFFERENT VEHICLES AND HEAVY EQUIPMENT</t>
  </si>
  <si>
    <t>PURCHASE OF FARM INPUTS FOR TILAPIA FISH CULTURE/TILAPIA PRODUCTION</t>
  </si>
  <si>
    <t>PURCHASE OF MEDICINES FOR MICRONUTRIENT SUPPLEMENTATION TO MALNOURISHED  PRE- SCHOOL CHILDRED</t>
  </si>
  <si>
    <t xml:space="preserve">19GL00109; P.R. No. 2020-05-052 DATED 05/05/2020: PROCUREMENT OF ONE (1) JOB ORDER: LABOR &amp; MATERIALS, FOR THE GENERAL REPAIR OF CONTROL PANEL, TROUBLESHOOTING OF ELECTRICAL AND COMPLETE REWINDING OF </t>
  </si>
  <si>
    <t>1 Unit Newborn Hearing Screening Machine (PR No. 100-2020-0734) PMH</t>
  </si>
  <si>
    <t>Diesel, gas, and lubricants (PR No.100-2020-0781)</t>
  </si>
  <si>
    <t>GS 2020-04 CALIBRATION OF VARIOUS HEALTH CARE EQUIPMENT</t>
  </si>
  <si>
    <t>Procurement of Two (2) Units of Water Tank Truck</t>
  </si>
  <si>
    <t>20BE0084 - CLUSTER I - REPAIR/MAINTENANCE OF PUBLIC  BUILDINGS (A) DPWH PLANNING &amp; DESIGN SECTION BUILDING (B)  DPWH MAIN BUILDING (C) DPWH  GUESTHOUSE BUILDING (D) DPWH  GARAGE BUILDING OSMEÑA, CITY</t>
  </si>
  <si>
    <t>Medical Supplies &amp; Laboratory Equipment</t>
  </si>
  <si>
    <t>SUBMERSABLE REPLACEMENT FOR WATER SYSTEM AT LAPARAY</t>
  </si>
  <si>
    <t>Procurement of IT Equipment-06-019(V)PDH</t>
  </si>
  <si>
    <t>PURCHASE OF FARM INPUTS FOR BANGUS FISH CULTURE/BANGUS PRODUCTION</t>
  </si>
  <si>
    <t>CPU- Food of the Housed Clients for the Month of April 2020 to June 2020</t>
  </si>
  <si>
    <t>20BE0083 - CONSTRUCTION OF RAINWATER COLLECTION SYSTEM (RWCS) CITY OF ILAGAN, TUMAUINI, CABAGAN, STO. TOMAS, DELFIN ALBANO, STA. MARIA &amp; SAN PABLO, ISABELA</t>
  </si>
  <si>
    <t>Construction of Plaza Play Ground</t>
  </si>
  <si>
    <t>Procurement of Supply &amp; Delivery of Banana Plantlet</t>
  </si>
  <si>
    <t>Renovation/Improvement of Municipal Accounting Office @ Escolapia Building, Santa Cruz Laguna</t>
  </si>
  <si>
    <t>Supply, Delivery, Testing and Commissioning of Brand New Mobile Dental Vehicle under IB No. 2020-144</t>
  </si>
  <si>
    <t>Medical Equipment (PR No. 100-2020-0756) ZSPH</t>
  </si>
  <si>
    <t>20BE0087 - REPAIR/MAINTENANCE OF DOJ BUILDING NBI – MAIN BUILDING OSMEÑA, CITY OF ILAGAN, ISABELA</t>
  </si>
  <si>
    <t>EXTENSION OF RIVER CONTROL &amp; CONSTRUCTION OF R.C. FOOTBRIDGE</t>
  </si>
  <si>
    <t>Procurement of Solar Lamp in Support to Youth Development</t>
  </si>
  <si>
    <t>2 Units Service Vehicle (PR No. 100-2020-0736) PVGO</t>
  </si>
  <si>
    <t>20BE0086 - CLUSTER III - REPAIR/MAINTENANCE OF PUBLIC BUILDINGS (A) CONSTITUTIONAL OFFICES BUILDING-CIVIL SERVICE COMMISSION BUILDING, ALIBAGU, CITY OF ILAGAN, ISABELA (B) DILG BUILDING PNP-ISABELA PO</t>
  </si>
  <si>
    <t>Construction of Multi-purpose Building</t>
  </si>
  <si>
    <t>supply and delivery of office supplies and other materials to be used in RAED Office with PR # 06 dated 06/01/2020 with an ABC of 264,964.08</t>
  </si>
  <si>
    <t>Supply and Delivery of One (1) Unit Ambulance to be used in the Municipal Health Office, Naujan, Oriental Mindoro</t>
  </si>
  <si>
    <t>Provision of Security Services (PR No. 100-2020-0806) PGO</t>
  </si>
  <si>
    <t>Rehabilitation of Water System of Barangay Maparat</t>
  </si>
  <si>
    <t>Fabrication and Delivery of Fiberglass Motorized Fishing Boat</t>
  </si>
  <si>
    <t>Concreting of Road</t>
  </si>
  <si>
    <t>Supply and delivery of 1.5 HP Non inverter Window type Aircon to be delivered at PhilRice Batac, City of Batac, Ilocos Norte</t>
  </si>
  <si>
    <t>Purchase of Personal Protective Equipment (PPE) For Electrical Division Personnel</t>
  </si>
  <si>
    <t>PB2020-06-004 GAA Waterproofing/Concrete Repair, Cleaning of Water Storage Tanks (Cistern/Elevated), Troubleshooting and Repair of Water Pumps (Rebid)</t>
  </si>
  <si>
    <t>Construction of Evacuation Center at Barangay San Andres, Naujan, Oriental Mindoro</t>
  </si>
  <si>
    <t>20BE0085 - CLUSTER II - REPAIR/MAINTENANCE OF PUBLIC  BUILDINGS (A) PNP-ISABELA POLICE PROVINCIAL OFFICE – BOQ 3 (B) PNP-ISABELA POLICE PROVINCIAL OFFICE-PIDMB BUILDING (C) PNP-ISABELA POLICE PROVINCI</t>
  </si>
  <si>
    <t>Construction of Evacuation Center at Barangay Malvar, Naujan, Oriental Mindoro</t>
  </si>
  <si>
    <t>2020-18A Supply, Delivery &amp; Installation of Laboratory Equipment for Research &amp; Development Project-Bayombong Campus</t>
  </si>
  <si>
    <t>AB '20 PROCUREMENT OF OFFICE SUPPLIES</t>
  </si>
  <si>
    <t>2020-19 Supply, Delivery &amp; Installation of Technical and Scientific Equipment for Both Campuses</t>
  </si>
  <si>
    <t>Slope Protection Project, Brgy. Cagbang, Miagao, Iloilo</t>
  </si>
  <si>
    <t>PURCHASE OF ONE (1) UNIT DUMP TRUCK  FOR THE MUNICIPALITY OF INFANTA, PANGASINAN</t>
  </si>
  <si>
    <t>2020-17A Procurement of Motor Vehicle-Bayombong Campus (2nd Advertisement)</t>
  </si>
  <si>
    <t>Provision of Security Services Requirements for the TESDA Central Office for FY 2020 - Rebidding</t>
  </si>
  <si>
    <t>Concreting of Barangay Road and Construction of Overflow, Brgy. Paro-on, Miagao, Iloilo.</t>
  </si>
  <si>
    <t>CLUSTERED  INFRASTRUCTURE PROJECTS  ( Streetlights, Concrete Pathway)</t>
  </si>
  <si>
    <t>SUPPLY AND DELIVERY OF EQUIPMENT, PAINTS AND OTHER MATERIALS FOR TRAFFIC SIGNAGE AND ROAD PEDXING</t>
  </si>
  <si>
    <t>AB '20 PROCUREMENT OF PHOTOCOPY MACHINE</t>
  </si>
  <si>
    <t>ITB 20-03-142 - SUPPLY, DELIVERY AND INSTALLATION OF ICT EQUIPMENT FOR MONITORING OF PROJECT MITHI</t>
  </si>
  <si>
    <t>Construction of Riverbank Protection, Brgy. Frantilla, Miagao, Iloilo</t>
  </si>
  <si>
    <t>20CSCB02: Geotechnical Investigation for the Widening of Permanent Bridge, Uyong Bridge (BO0061LZ) along Gov. J.J. Linao Road, Pilar, Bataan</t>
  </si>
  <si>
    <t>20CSCB01: Geotechnical Investigation for the Widening of Permanent Bridges along Roman Expressway, Mariveles Section, Mariveles, Bataan</t>
  </si>
  <si>
    <t>AB '20 PROCUREMENT OF BDRRM DISASTER SUPPLIES</t>
  </si>
  <si>
    <t>20CSCB04: Geotechnical Investigation for the Widening of Permanent Bridge, Culvo Bridge (BO0065LZ) along Gov. J.J. Linao Road, Balanga City, Bataan</t>
  </si>
  <si>
    <t>2020-19 Supply &amp; Delivery of Medical Supplies for Both Campuses</t>
  </si>
  <si>
    <t>20CSCB03: Geotechnical Investigation for the Widening of Permanent Bridge, Culvo Bridge (BO0065LZ) along Gov. J.J. Linao Road, Balanga City, Bataan</t>
  </si>
  <si>
    <t>AB '20 PROCUREMENT OF BDRRM DISASTER EQUIPMENT</t>
  </si>
  <si>
    <t>Installation of Survellance camera at Multi Purpose Hall, Brgy. Baley-Adaan, Alaminos City, Pangasinan</t>
  </si>
  <si>
    <t>Supply and Delivery of Two (2) Units Motorcycle</t>
  </si>
  <si>
    <t>PROCUREMENT OF MEDICAL SUPPLIES FOR USE AT KALINGA PROVINCIAL HOSPITAL, 20-05-939</t>
  </si>
  <si>
    <t>RE-BID FOR PROJECT # 19 – 171–PROCUREMENT OF Acquisition of Road Right-of-Way (RROW) for East Road/West Road/ Government Center (PARCELLARY SURVEY FOR EAST ROAD) –Office of the City Mayor</t>
  </si>
  <si>
    <t>2020-21 Supply, Delivery &amp; Installation of Laboratory Furniture and Fixture for Analytical Building</t>
  </si>
  <si>
    <t>2020-22 Supply, Delivery &amp; Installation of Printing Equipment and Supplies for the University</t>
  </si>
  <si>
    <t>Additional Improvement of Covered Court</t>
  </si>
  <si>
    <t>Procurement of Various COVID-19 Medical Equipment for CY 2020</t>
  </si>
  <si>
    <t>CONTRACT FOR SECURITY SERVICES, UPM-SHS PALO LEYTE</t>
  </si>
  <si>
    <t>05-003-20 (PROCUREMENT of SECURITY SERVICES in Department of Agriculture IX)</t>
  </si>
  <si>
    <t>CONSTRUCTION OF MULTI-PURPOSE BUILDING</t>
  </si>
  <si>
    <t>PROCUREMENT OF DRUGS AND MEDICINES FOR USE AT KALINGA PROVINCIAL HOSPITAL, 20-05-941</t>
  </si>
  <si>
    <t>Construction and Improvement of Perimeter Fence of Barangay Health Station</t>
  </si>
  <si>
    <t>PROCUREMENT OF O.B. KITS FOR USE AT PROVINCIAL HEALTH OFFICE, 20-05-897</t>
  </si>
  <si>
    <t>Supply and Delivery of Office Furniture and Fixtures</t>
  </si>
  <si>
    <t>MCP-June 2020</t>
  </si>
  <si>
    <t>Materials for Office Supplies, Electrical Supplies, Repair &amp; Maint of Typewriter, Repair &amp; Maint of M/V, CCTV Camera, Refill of Fire Extinguisher Two-Way Radio and CCTV Camera</t>
  </si>
  <si>
    <t>PURCHASE OF ICT EQUIPMENT FOR BRGY. POTOL, INFANTA, PANGASINAN</t>
  </si>
  <si>
    <t>BARANGAY EMERGENCY RESPONSE VEHICLE</t>
  </si>
  <si>
    <t>ITB No. (INF) 2020-06-084 CONSTRUCTION/IMPROVEMENT OF STA. MARGARITA ROAD, Quinapondan, Eastern Samar</t>
  </si>
  <si>
    <t>ITB No. (INF) 2020-06-083 CONSTRUCTION OF BUABUA – BALUD FARM-TO-MARKET ROAD, Salcedo, Eastern Samar</t>
  </si>
  <si>
    <t>Supply &amp; Delivery of 2 Units Shuttle Bus</t>
  </si>
  <si>
    <t>ITB No. (INF) 2020-06-087 CONCRETING OF HOLLYWOOD TO BUNGTOD ROAD, Guiuan, Eastern Samar</t>
  </si>
  <si>
    <t>ITB NO. (GDS)  2020-06-014 PROCUREMENT OF CONSTRUCTION MATERIALS FOR THE REHABILITATION &amp; MAINTENANCE OF HINOLASO – DAMPIGAN FMR, Dolores, Eastern Samar</t>
  </si>
  <si>
    <t>Supply, Delivery &amp; Installation of 15 Units Desktop Computers with SSD OS, Word Processing &amp; Antivirus Software</t>
  </si>
  <si>
    <t>PURCHASE OF VARIOUS OFFICE SUPPLIES 1ST AND 2ND Quarter 2020</t>
  </si>
  <si>
    <t>Request for Quotation for Equipment Rental of Backhoe and Self loader</t>
  </si>
  <si>
    <t>SUPPLY AND DELIVERY OF MATERIALS AND SUPPLIES AND DRILLING FOR THE PROVISION OF POTABLE WATER SYSTEM, PUROK 3, BRGY. POTOL, INFANTA, PANGASINAN</t>
  </si>
  <si>
    <t>ITB No. (INF) 2020-06-086 CONSTRUCTION/IMPROVEMENT OF BRGY. NAPARAAN TO ABEJAO ROAD, Salcedo, Eastern Samar</t>
  </si>
  <si>
    <t>SUPPLY AND DELIVERY OF CONSTRUCTION MATERIALS FOR THE CONSTRUCTION OF 1-STOREY MULTI-PURPOSE HALL (*REPOSTED)</t>
  </si>
  <si>
    <t>ITB No. (INF) 2020-06-082 ROAD CONCRETING OF MACAANGA ROAD, Brgy. Macaanga, Llorente, Eastern Samar</t>
  </si>
  <si>
    <t>BARANGAY ROAD CONCRETING</t>
  </si>
  <si>
    <t>ITB No. (INF) 2020-06-085 CONSTRUCTION/IMPROVEMENT OF BRGY. SULONG ROAD, Can-avid, Eastern Samar</t>
  </si>
  <si>
    <t>Construction of Pumping Station located at Brgy. Villa Luna Cauayan City, Isabela</t>
  </si>
  <si>
    <t>ITB No. (INF) 2020-06-081 REPAIR/REHABILITATION OF SAURONG BRIDGE, Brgy. Saurong, Oras, Eastern Samar</t>
  </si>
  <si>
    <t>Supply &amp; Delivery of Various Medicines (RFP 2020-03)</t>
  </si>
  <si>
    <t>ITB No. (INF) 2020-06-079 CONCRETING OF BARANGAY ROAD, Brgy. 1, San Julian, Eastern Samar</t>
  </si>
  <si>
    <t>PROVISION OF FUEL FOR ALL AUTHORIZED MOTOR VEHICLE OF THE DEPARTMENT OF AGRICULTURE  (DA) THROUGH THE USE OF FLEET CARDS FOR CALENDAR YEAR 2020</t>
  </si>
  <si>
    <t>ITB No. (INF) 2020-06-080 CONSTRUCTION/IMPROVEMENT OF MAYTIGBAO – STO. TOMAS, Sulat, Eastern Samar</t>
  </si>
  <si>
    <t>PROVISION OF JANITORIAL SERVICES FOR CY2020</t>
  </si>
  <si>
    <t>PROVISION OF SECURITY SERVICES FOR CY2020</t>
  </si>
  <si>
    <t>ITB No. (INF) 2020-06-088 CONSTRUCTION OF BRGY. ROAD, CANTEROS FARM-TO-MARKET ROAD, Can-avid, Eastern Samar</t>
  </si>
  <si>
    <t>CONSTRUCTION/IMPROVEMENT OF IRRIGATION SYSTEM</t>
  </si>
  <si>
    <t>SERVICE MAINTENANCE OF VARIOUS AIR-CONDITIONING (AC) UNITS OF THE DEPARTMENT OF AGRICULTURE – CENTRAL OFFICES (MAIN/NEW BUILDING) INCLUDING THE INFORMATION AND COMMUNICATIONS TECHNOLOGY SERVICE BUILDI</t>
  </si>
  <si>
    <t>Purchase of 50 units Handheld Radios</t>
  </si>
  <si>
    <t>CONSTRUCTION OF PATHWAY AT ZONE 7</t>
  </si>
  <si>
    <t>Hiring of a Service Provider particularly Media Agency to Develop a Media Plan and Procure Media Placements to Amplify the DOH COVID-19 Nationwide Community Campaign</t>
  </si>
  <si>
    <t>the Supply &amp; Delivery of Various Construction Materials intended for Construction of Senior Citizen Building - Phase 2 (Complete Bid)</t>
  </si>
  <si>
    <t>CONSTRUCTION OF DRAINAGE CANAL AT ZONE 6</t>
  </si>
  <si>
    <t>CONSTRUCTION/IMPROVEMENT OF MARKETS</t>
  </si>
  <si>
    <t>Expansion of Barangay Teen Center Barangay Poro, City of San Fernando</t>
  </si>
  <si>
    <t>construction of pathway</t>
  </si>
  <si>
    <t>PROCUREMENT  OF ONE  (1) UNIT  BRAND NEW NON- REFRIGERATED CLOSE MEAT DELIVERY VAN</t>
  </si>
  <si>
    <t>PROCUREMENT  OF TWO (2) UNITS  BRAND NEW MEDICAL AMBULANCE</t>
  </si>
  <si>
    <t>Procurement of Service Provider for the Phase II of Enhanced Farmland Geographic Information System (FGIS Digitization of Parcellary Maps and Farmland Database Development)</t>
  </si>
  <si>
    <t>Supply and Delivery of Petroleum for FY 2020</t>
  </si>
  <si>
    <t>SUPPLY, DELIVERY, FABRICATION and INSTALLATION OF MATERIALS FOR THE CONSTRUCTION OF 6 UNITS SOLAR STREETLIGHTS @ SITIO CENTRO BRGY. BAMBAN, INFANTA, PANGASINAN</t>
  </si>
  <si>
    <t>SUPPLY, DELIVERY, FABRICATION and INSTALLATION OF MATERIALS FOR THE CONSTRUCTION OF 6 UNITS SOLAR STREETLIGHTS @ SITIO TABTABAN, BRGY. BAMBAN, INFANTA, PANGASINAN</t>
  </si>
  <si>
    <t>Supply and Delivery of Computer Paper Continuous Forms for the Regional Payroll Services Unit of the Department of Education, Regional Office VI</t>
  </si>
  <si>
    <t>Supply and Delivery of Various Brand New Heavy Equipments and  Brand New Six (6) Wheelers Dump truck</t>
  </si>
  <si>
    <t>Improvement/Widening of Balecbec-Basca Farm to Market Road, Naguilian</t>
  </si>
  <si>
    <t>Construction of Dallangayan Este Creek Slope Protection, San Fernando City</t>
  </si>
  <si>
    <t>Improvement of Naguilian-San Fernando Road, Naguilian</t>
  </si>
  <si>
    <t>PURCHASE OF FURNITURE</t>
  </si>
  <si>
    <t>Rehabilitation and Improvement of Sapilang Road, Bacnotan</t>
  </si>
  <si>
    <t>Construction of Farmers Multi-Purpose Center, Juan Cartas, Caba</t>
  </si>
  <si>
    <t>Purchase of 50 sets uniforms for JERU, MDRRMO staffs and LCE</t>
  </si>
  <si>
    <t>Procurement of Office Supplies 2020 RE-BID</t>
  </si>
  <si>
    <t>Senior Citizen House</t>
  </si>
  <si>
    <t>Improvement of Rimos #4  Road, Luna</t>
  </si>
  <si>
    <t>Rehabilitation and Improvement of Biday-Mameltac-Saoay-Dallangayan Road, San Fernando City</t>
  </si>
  <si>
    <t>Proposed Expansion &amp; Improvement of Water System - San Antonio</t>
  </si>
  <si>
    <t>20BF0057: Maintenance, Repair and Rehabilitation of Infrastructure Facilities and Other Related Activities - Public Buildings at Roxas, Isabela and Naguilian, Isabela</t>
  </si>
  <si>
    <t>Evaporation Kettle</t>
  </si>
  <si>
    <t>100-2020-05-695 Supply and delivery of 1 unit mixer truck euro IV 6x4 380hp 10m³, etc.</t>
  </si>
  <si>
    <t>Rehabilitation of Lingsat Farm to Market Road (Hufano Street), San Fernando City</t>
  </si>
  <si>
    <t>Concrete Paving of Caningay-Balicotoc-Canlamay Road Phase II, Candoni, Negros Occidental /(PEO-2020-0070)</t>
  </si>
  <si>
    <t>REHABILITATION OF TAGO TOWN HALL</t>
  </si>
  <si>
    <t>Construction of Pathwalk, Access Ramp and Stairs at Valladolid District Hospital, Valladolid, Negros Occidental / (PEO-2020-0695)</t>
  </si>
  <si>
    <t>Concreting of Yeban Norte-Punit Road (530 Meters)</t>
  </si>
  <si>
    <t>Concreting of 250 Linear Meter Brgy. Sarip Alawi Farm to Market Road</t>
  </si>
  <si>
    <t>Concreting of 200 Linear Meter Brgy. Cadayonan Farm to Market Road</t>
  </si>
  <si>
    <t>Expansion/Renovation (Clinical Laboratory/Blood Station, Emergency Room and PWD at Nurse Station), Calatrava Municipal Hospital, Calatrava, Negros Occidental /(PEO-2020-0413)</t>
  </si>
  <si>
    <t>Concreting of 250 Linear Meter Sitio Cabasaran to Bubong Paco Farm to Market Road</t>
  </si>
  <si>
    <t>Concreting of 330 Linear Meter Executive Complex</t>
  </si>
  <si>
    <t>ITB NO. 2020-0012 Design, Supply, Fabrication of Mounting Brackets and Installation and Testing of Antenna Panels for the Zamboanga Transmitter Station of the People’s Television Network Inc. (PTNI)</t>
  </si>
  <si>
    <t>ITB-Supply and Delivery of School Supplies and Equipment</t>
  </si>
  <si>
    <t>ITB - Purchase of Office Furnitures and Equipment</t>
  </si>
  <si>
    <t>Concreting of 150 Linear Meter Sigayan to Bualan Farm to Market Road (AM Counterpart)</t>
  </si>
  <si>
    <t>Interior Fit-out of PNB 4th Floor, Lacson St., Bacolod City, Negros Occidental / (PEO-2020-0485)</t>
  </si>
  <si>
    <t>Completion of Covered Court (Roofing Works) at Barangay Gomez</t>
  </si>
  <si>
    <t>Concreting of 400 Linear Meter Brgy. Bangko to Bulao Farm to Market Road</t>
  </si>
  <si>
    <t>Procurement of Fuel, Oil &amp; Lubricants</t>
  </si>
  <si>
    <t>Concrete Paving of Guinpana-an – Alingasao Road, Moises Padilla, Negros Occ.  (Sta. 0+271.47 to 0+457.15, Sta. 0+998.28 to 1+122.98, Sta. 1+248.38 to 1+646.44)/PEO-2020-0603)</t>
  </si>
  <si>
    <t>Concreting of 150 Linear Meter Brgy. Maria Cristina Farm to Market Road</t>
  </si>
  <si>
    <t>Supply and Delivery of 1-unit Passenger Van for Bicol University</t>
  </si>
  <si>
    <t>Concrete Paving of Sicaba Monte – Dalayapan Provincial Road, Rural Access (Road Upgrading), Brgy. Sicaba Monte, Manapla, Negros Occidental (STA 9+081.96 – STA. 9+441.96) / (PEO-2020-0745).</t>
  </si>
  <si>
    <t>Construction of Double Barrel Reinforced Concrete Box Culvert Phase I at Barangay Placer</t>
  </si>
  <si>
    <t>Procurement of Trucking Services for the Intra-Regional and Intra-Provincial Transfer of Grains of NFA Region VI for the Year 2020 (Negotiated Procurement: Two-Failed Biddings)</t>
  </si>
  <si>
    <t>CONSTRUCTION OF MULTI-PURPOSE BUILDING WITH WHARF AND LANDING AREA</t>
  </si>
  <si>
    <t>Construction of Gender Sensitive Evacuation Center (Phase II) @ Brgy. Proper, Brgy. Cabahug, Cadiz City</t>
  </si>
  <si>
    <t>MG-PLM20-015..REPLACEMENT OF POWERHOUSE STATION BATTERIES</t>
  </si>
  <si>
    <t>Procurement of Various Materials for the Installation of Solar Street Lights</t>
  </si>
  <si>
    <t>Completion of one unit two (2) Classroom Makeshift Building Hilusig National High School</t>
  </si>
  <si>
    <t>MG-A5M20-001..AG4 SUPPLY, DELIVERY, INST., COMMISSIONING OF OIL-WATER SEPARATOR AT SUMP PIT</t>
  </si>
  <si>
    <t>Supply and Delivery of 1-unit Sports Utility Vehicle for Bicol University</t>
  </si>
  <si>
    <t>ADDITIONAL SCHOOL AND OFFICE SUPPLIES SHS</t>
  </si>
  <si>
    <t>MG-ADM20-005..REPLACEMENT OF EXISTING STREET LIGHTING INSIDE NPC MINGEN MRC</t>
  </si>
  <si>
    <t>20DF0182 - 20DF0187 (By Contract) - Local Program - Construction/Repair/Rehabilitation/Improvement of Various Infrastructure  Including Local Projects, Buildings and Other Structures, Multi-Purpose/Fa</t>
  </si>
  <si>
    <t>INSTALLATION OF WASTE MANAGEMENT FACILITY</t>
  </si>
  <si>
    <t>For use of Sanitation Facilities and Gantries in Response to the Prevention of COVID 19 Pandemic within Quezon 1st District Engineering Office, Lucban, Quezon-</t>
  </si>
  <si>
    <t>MEALS FOR TEAM SUPERVISION</t>
  </si>
  <si>
    <t>PR# 20-1417- To supply labor, materials and necessary tools and equipment for the Construction of Multi-Purpose Covered Area at Purok 1, San Jose Ponduan, City of San Fernando, Pampanga.</t>
  </si>
  <si>
    <t>REPAINTING OF SCHOOL GROUND SHS</t>
  </si>
  <si>
    <t>Construction of Breakwater @ So. Candumong, Brgy. Sicaba, Cadiz City</t>
  </si>
  <si>
    <t>2821-20 Procurement of Medical Oxygen</t>
  </si>
  <si>
    <t>PURCHASE OF TWO (2) UNITS MOTORCYCLE FOR THE OPERATION OF THE OFFICE OF THE IWWS, INFANTA, PANGASINAN</t>
  </si>
  <si>
    <t>SUPPLY, DELIVERY, AND INSTALLATION  OF VARIOUS ICT EQUIPMENT UNDER THE 2020 MITHI PROJECT</t>
  </si>
  <si>
    <t>SANGKAP KAAYUSAN</t>
  </si>
  <si>
    <t>Supply &amp; Delivery of Electrical System &amp; Lighting Components (OCES)</t>
  </si>
  <si>
    <t>Delivery of One (1) Unit Vehicle for Responder (Brand New)</t>
  </si>
  <si>
    <t>Improvement of Barangay Road (ONE JOB)</t>
  </si>
  <si>
    <t>Improvement of Roadway &amp; Slope Protection &amp; Drainage</t>
  </si>
  <si>
    <t>Repair of Multi-purpose Hall (Day Care 2) Brgy. Pangpang, West District, Sor. City</t>
  </si>
  <si>
    <t>CONSTRUCTION OF LOCAL ROAD/BRIDGE &amp; IMPLEMENTATION OF FLOOD &amp; EROSION CONTROL PROJECT BARANGAY PANGPANG, JANABAN COMPOUND, WEST DISTRICT, SORSOGON CITY</t>
  </si>
  <si>
    <t>Contract for the Concreting of Road Section at Purok 6 Rd. A (Sitjar Area) 300m, Brgy. Tibal - Og</t>
  </si>
  <si>
    <t>PROTECTIVE EQUIPMENT FOR COMMITTEE ON INFRASTRUCTURE PERSONNEL</t>
  </si>
  <si>
    <t>COMMITTEE ON INFRASTRUCTURE EQUIPMENT IMPROVEMENT PROGRAM</t>
  </si>
  <si>
    <t>Procurement of Materials for the Integrated Community Food Production (ICFP) Project</t>
  </si>
  <si>
    <t>SAN ANTONIO LIVELIHOOD TRAINING ROOM ENHANCEMENT AND REHABILITATION</t>
  </si>
  <si>
    <t>OFFICE ENHANCEMENT PROGRAM</t>
  </si>
  <si>
    <t>ROAD CONCRETING (Prk. 6, Fortu Area, Sto. Nino Crossing Opao-Junction Provincial Road, Palma Gil, Talaingod, DDN</t>
  </si>
  <si>
    <t>Procurement of One (1) unit Ambulance</t>
  </si>
  <si>
    <t>BARANGAY I.D. SYSTEM</t>
  </si>
  <si>
    <t>CLEAN AND GREEN ENHANCEMENT PROJECT</t>
  </si>
  <si>
    <t>ITB NO. 2020-0013 Supply, Delivery, Installation, Testing, Commissioning and Training of Six (6) Units of  Audio Processors for the Manila, Zamboanga, Guimaras, Naga, and Cotabato Transmitter  Station</t>
  </si>
  <si>
    <t>Completion of Hanging Footbridge</t>
  </si>
  <si>
    <t>ITB NO. 2020-0011  Provision of Security  Services of People’s Television Network, Inc. Manila Office and its Provincial Station</t>
  </si>
  <si>
    <t>Purchase of Vehicle (VAN)</t>
  </si>
  <si>
    <t>20-05-0545 Supply and Delivery of Materials for Intensive Tilapia Farming in Pond and Tank for the Fisherfolk beneficiaries in the Province of Leyte under SAAD Program 2020.</t>
  </si>
  <si>
    <t>Public Bidding of 3 Lots for the Supply and Delivery of Fuel, Oil &amp; Lubricants for Equipment Pool Division, under ITB No. 2020-010R</t>
  </si>
  <si>
    <t>CONSTRUCTION/ERECTION OF ELECTRICAL POST</t>
  </si>
  <si>
    <t>INVITATION TO BID FOR THE IMPROVEMENT OF BINUANGAN WATER SYSTEM, PUROK 7, BARANGAY BINUANGAN, OROQUIETA CITY</t>
  </si>
  <si>
    <t>Development Center Fencing &amp; Water Tank &amp; Site Development</t>
  </si>
  <si>
    <t>20-05-0550 Supply and Delivery of Materials for Aquaponics with Intensive Tilapia Culture System in all the Provincial Fishery Offices and Centers of BFAR 8 as Livelihood Support Project under the “Ah</t>
  </si>
  <si>
    <t>Construction of Gabion at Sitio Tagascan, Brgy. San Vicente, Roxas, Oriental Mindoro</t>
  </si>
  <si>
    <t>Public Bidding for the Supply and Delivery of Water Dispenser, Computer Set &amp; Plastic Chair for the Office of the Vice Governor, under ITB No. 2020-009R</t>
  </si>
  <si>
    <t>Construction of Slope Protection at Brgy. Waygan Spillway, Mansalay, Oriental Mindoro</t>
  </si>
  <si>
    <t>20OI0103; Rehabilitation of Road, Brgy. Pilar, Las pinas City</t>
  </si>
  <si>
    <t>Concreting of Pili - Banilad Road, Pinamalayan, Or Mindoro</t>
  </si>
  <si>
    <t>Concreting of Road at Brgy Batong Dalig, Socorro, Oriental Mindoro</t>
  </si>
  <si>
    <t>Construction of Water System at Panikian, Naujan, Oriental Mindoro</t>
  </si>
  <si>
    <t>Construction of Bridge at Sta. Maria, Mansalay, Or. Mindoro</t>
  </si>
  <si>
    <t>20OI0118:Rehabilitation of ALS , brgy. Bayanan, Muntinlupa City</t>
  </si>
  <si>
    <t>20OI0120: Construction of Drainage System, Brgy. Tunasan, Muntinlupa City</t>
  </si>
  <si>
    <t>Procurement of Two (2) units Rescue Vehicle for Barangays of LGU Laak, Davao De Oro</t>
  </si>
  <si>
    <t>Concreting of Road Section at Brgy. Sta.Rosa II, Binaybay, Baco, Or. Mindoro</t>
  </si>
  <si>
    <t>Improvement of Multi Purpose Hall (materials only)</t>
  </si>
  <si>
    <t>CONSTRUCTION OF BARANGAY DAY CARE CENTER AT DALAHICAN ELEMENTARY SCHOOL, DALAHICAN, CAVITE CITY</t>
  </si>
  <si>
    <t>Construction of New Male Dormitory</t>
  </si>
  <si>
    <t>CONSTRUCTION OF 2-STOREY, 6-UNITS CLASSROOM BUILDING</t>
  </si>
  <si>
    <t>20OI0119: Rehabilitation of Road, Brgy. Talon 1, Las Pinas City</t>
  </si>
  <si>
    <t>CONSTRUCTION OF DRAINAGE SYSTEM ALONG DE LEON STREET JCT. P. BURGOS AVE.-J.FELIPE BLVD, CARIDAD, CAVITE CITY</t>
  </si>
  <si>
    <t>CONSTRUCTION OF 2-STOREY, 6-UNITS CLASSROOM BUILDING AT PORTA VAGA ELEMENTARY SCHOOL, SAN ROQUE, CAVITE CITY</t>
  </si>
  <si>
    <t>Supply and delivery of Medical Oxygen/Flask Type/Compressed Air/Carbon Dioxide for the period July 1, 2020 to December 31, 2020 requirement of PCGH</t>
  </si>
  <si>
    <t>REHABILITATION OF 8-UNITS COMFORM ROOM AT SANGLEY POINT NATIONAL HIGH SCHOOL, SAN ANTONIO, CAVITE CITY</t>
  </si>
  <si>
    <t>CONSTRUCTION OF SLAUGHTERHOUSE (PHASE IV), SAN ROQUE, CAVITE CITY</t>
  </si>
  <si>
    <t>CONSTRUCTION OF BARANGAY DAY CARE CENTER AT ESTANSUELA ELEMENTARY SCHOOL, STA. CRUZ, CAVITE CITY</t>
  </si>
  <si>
    <t>Installation of Automatic Fire Suppression System at Oriental Mindoro Southern District Hospital, Roxas, Or. Mindoro</t>
  </si>
  <si>
    <t>CONSTRUCTION OF BARANGAY DAY CARE CENTER AT STA. CRUZ ELEMENTARY SCHOOL, STA. CRUZ, CAVITE CITY</t>
  </si>
  <si>
    <t>REHABILITATION OF ROOFING OF STAGE AT SANGLEY POINT NATIONAL HIGH SCHOOL, SAN ANTONIO, CAVITE CITY</t>
  </si>
  <si>
    <t>REGULAR HAULING OF RESIDUAL WASTE FROM MRF TO DENR ACCREDITED SANITARY LANDFILL</t>
  </si>
  <si>
    <t>CONSTRUCTION OF 2-STOREY, 6 UNITS CLASSROOM BUILDING AT SAN LORENZO RUIZ ELEMENTARY SCHOOL, DALAHICAN, CAVITE CITY</t>
  </si>
  <si>
    <t>REPAIR AND REHABILITATION OF E-LIBRARY HUB AT LADISLAO DIWA ELEMENTARY SCHOOL, CARIDAD, CAVITE CITY</t>
  </si>
  <si>
    <t>14 Heads Cow-MAO</t>
  </si>
  <si>
    <t>SUPPLY % DELIVERY OF MATERIALS TO BE USED FOR THE INSTALLATION OF STREET LIGHTS</t>
  </si>
  <si>
    <t>Patuloy (Bottom- Fixed Gillnet) MAO</t>
  </si>
  <si>
    <t>Contract Labor and Materials for the Concreting of Toribio Suan Street, Laac (Pob.), Laak, Davao De Oro</t>
  </si>
  <si>
    <t>Procurement of Seven (7) units Rescue Vehicle for Barangays of LGU Laak, Davao De Oro</t>
  </si>
  <si>
    <t>SUPPY &amp; DELIVERY OF MATERIALS TO BE USED IN REHABILITATION OF HEALTH CENTER</t>
  </si>
  <si>
    <t>Tarpaulin Printing-MTO</t>
  </si>
  <si>
    <t>Procurement of One (1) Brand New Emergency Vehicle (DOH Standard Ambulance) of LGU Laak, Davao De Oro</t>
  </si>
  <si>
    <t>Contract Labor and Materials for the Construction of Concrete Pavement of Public Night Market Stalls at Laac (Pob.), Laak, Davao De Oro</t>
  </si>
  <si>
    <t>Gasoline, Oil &amp; Lubricants-MSWDO-PDAO</t>
  </si>
  <si>
    <t>Medicine Kit-MAO</t>
  </si>
  <si>
    <t>SUPPLY, DELIVERY AND INSTALLATION OF TYPHOON-RESILIENT VERTICAL INDOOR FARMING SYSTEM AT ASCOT BAZAL CAMPUS</t>
  </si>
  <si>
    <t>Rehabilitation of Drainage System</t>
  </si>
  <si>
    <t>Invitation to Bid for Contract No. 4ARO-LOB-19-017</t>
  </si>
  <si>
    <t>Pregnant Cattle/Breedable Hiefer-MAO</t>
  </si>
  <si>
    <t>ONTINUATION FOR THE IMROVEMENT OF DRAINAGE CANAL, BALBALAN CENTRAL SCHOOL, POBLACION</t>
  </si>
  <si>
    <t>Printing &amp; Publication Expenses-MHO-Admin</t>
  </si>
  <si>
    <t>Procurement of Solar</t>
  </si>
  <si>
    <t>1 unit Motor Vehicle for Disaster &amp; Emergency Response</t>
  </si>
  <si>
    <t>Rehabilitation of Barangay Road</t>
  </si>
  <si>
    <t>Dengue Test Kit (NS1)-MHO-GAD</t>
  </si>
  <si>
    <t>Procurement of Seven (7) units Steel Goal with Ring &amp; Board and Complete Accessories for Barangay Langtud, Melale, Sto. Niño, Mangloy, Kidawa and Datu Ampunan - Laak, Davao De Oro</t>
  </si>
  <si>
    <t>CONSTRUCTION/IMPROVEMENT OF PUROK 2 BONE SOUTH FTMR Located at Aritao, Nueva Vizcaya</t>
  </si>
  <si>
    <t>PROCUREMENT, SUPPLY AND DELIVERY OF 165,231 ROUNDS CTG 5.56MM BALL (SS109)</t>
  </si>
  <si>
    <t>CONSTRUCTION/IMPROVEMENT OF SITIO CAINO FTMR Located at Banila, Dupax del Sur, Nueva Vizcaya</t>
  </si>
  <si>
    <t>Purchase of three (3) sets Sand Separator/ Filter bag housing for Pura Water System Pumping Station at Brgy Singat, Nilasin 2nd and Poblacion 3, Pura, Tarlac</t>
  </si>
  <si>
    <t>INVITATION TO BID FOR THE PROCUREMENT OF DRUGS &amp; MEDICINES FOR MUNICIPAL HEALTH CENTER VARIOUS PROGRAM-1st SEMESTER</t>
  </si>
  <si>
    <t>PROCUREMENT, SUPPLY AND DELIVERY OF 151,923 ROUNDS CTG 9MM BALL</t>
  </si>
  <si>
    <t>CONSTRUCTION/IMPROVEMENT OF NEW BENAY WANGYEON FTMR Located at Malasin, Dupax del Norte, Nueva Vizcaya</t>
  </si>
  <si>
    <t>SUPPLY, DELIVERY AND INSTALLATION OF STAND-ALONE SOLAR POWERED LED STREET LIGHTING SYSTEM FOR THE THREE CAMPUSES OF ASCOT</t>
  </si>
  <si>
    <t>Construction of Streetlights (Procuring Entity: BLGU-Sto. Nino)</t>
  </si>
  <si>
    <t>Purchase of one (1) Set Sand Separator / Filter bag housing for Pura Water System Pumping Station at Brgy Estipona, Pura, Tarlac</t>
  </si>
  <si>
    <t>PROCUREMENT, SUPPLY AND DELIVERY OF 85,690 ROUNDS CTG 5.56MM BALL (M193)</t>
  </si>
  <si>
    <t>PROCUREMENT, SUPPLY AND DELIVERY OF 678 PCS 5.56MM, 30 ROUNDS MAGAZINE</t>
  </si>
  <si>
    <t>Construction of Barangay Health Station, Poblacion 5, Hamtic, Antique</t>
  </si>
  <si>
    <t>Construction of 1 Unit 3 Classroom Bldg at Gaboc Elementary School</t>
  </si>
  <si>
    <t>CY 2020 ENHANCED NATIONAL GREENING PROGRAM- HAULING OF SEEDLINGS UNDER MECHANIZED AND MODENIZED FOREST NURSERY per DENR-ENGP-MMFN-HAULING-2020-001</t>
  </si>
  <si>
    <t>Site Development of Bancasi Rotunda JCT BCI Highway and DOP Avenue-2nd Bidding</t>
  </si>
  <si>
    <t>Construction of Barangay Health Station, Poblacion I, Hamtic, Antique</t>
  </si>
  <si>
    <t>Procurement of 1,000 Vial Rabies Vaccine(10 Dose/Vial),etc. under P.R.No. 1408-2020-Office of the City Veterinarian-2nd Bidding</t>
  </si>
  <si>
    <t>CONSTRUCTION OF CUTAR FARMERS ASSOCIATION CIS Located at Aritao, Nueva Vizcaya</t>
  </si>
  <si>
    <t>FLU VACCINATION</t>
  </si>
  <si>
    <t>CONSTRUCTION OF MAGA-AD BAKIR CIS Located at Bagabag, Nueva Vizcaya</t>
  </si>
  <si>
    <t>Concreting of Sitio Bahay Farm to Market Road</t>
  </si>
  <si>
    <t>CONSTRUCTION OF HUKHUKYONG PIS Located at Labang, Ambaguio, Nueva Vizcaya</t>
  </si>
  <si>
    <t>Other Supplies-MHO-GAD</t>
  </si>
  <si>
    <t>Concreting of Sitio Busay, Farm to Market Road</t>
  </si>
  <si>
    <t>BFO No. 20-001: Supply and Delivery Five Hundred Sixty-Seven Thousand Nine Hundred (567,900) tablets of Sevelamer Carbonate, 800mg</t>
  </si>
  <si>
    <t>CONSTRUCTION OF LANTAP-BAKIR CIS Located at Bagabag, Nueva Vizcaya</t>
  </si>
  <si>
    <t>Construction of Barangay Health Station, Poblacion II &amp; III, Hamtic, Antique</t>
  </si>
  <si>
    <t>Rehab of Bayang CIS</t>
  </si>
  <si>
    <t>Completion of MP Facility Covered Court @ Barangay 18-A, Gingoog City, Mis. Or. under Contract Ref. No. 2020-INFRA-043</t>
  </si>
  <si>
    <t>Installation of Additional Water System</t>
  </si>
  <si>
    <t>Construction of Drainage Canal - Phase 2</t>
  </si>
  <si>
    <t>PROCUREMENT OF VARIOUS OFFICE EQUIPMENT AND SUPPLIES USE IN SPECIAL AMELIORATION PROGRAM (SAP) DISTRIBUTION AT 22 BARANGAYS</t>
  </si>
  <si>
    <t>Rehabilitation of Magulon Elementary School Pathway</t>
  </si>
  <si>
    <t>CONSTRUCTION OF VISTAHILL CIS Located at Bayombong, Nueva Vizcaya</t>
  </si>
  <si>
    <t>CONSTRUCTION OF BALONG CIS Located at Labang, Ambaguio, Nueva Vizcaya</t>
  </si>
  <si>
    <t>RFQ No. 2020-039: Procurement of Meals and Snacks for the Meetings, Coordination Activities, Runs and Other Events for CY 2020</t>
  </si>
  <si>
    <t>Meals and Snacks-Mayor-BGCM</t>
  </si>
  <si>
    <t>Construction of Multipurpose Gym at Sitio Boundary Damayan, Sapian, Capiz</t>
  </si>
  <si>
    <t>CONSTRUCTION/IMPROVEMENT OF KAKIDUGUEN FTMR Located at Kasibu, Nueva Vizcaya</t>
  </si>
  <si>
    <t>Stainless Steel  Compression Sprayer-MHO-GAD</t>
  </si>
  <si>
    <t>20HH0133-Construction / Rehabilitation of Water Supply / Septage and Sewerage / Rain Water Collectors - Rain Water Collectors in Public Facilities–Region VII: 1.Binaliw National High School, 2.City C</t>
  </si>
  <si>
    <t>Construction of One (1) Storey Barangay Health Station in Barangay Concepcion</t>
  </si>
  <si>
    <t>PURCHASE OF COMMUNICATION SUPPLIES (PREPAID CARDS)</t>
  </si>
  <si>
    <t>Other Supplies-Accounting Office</t>
  </si>
  <si>
    <t>MEALS AND SNACKS-Mayor's Office</t>
  </si>
  <si>
    <t>Construction (Completion) of Multi-Purpose Building, 3rd Infantry Batallion HQ, Brgy. Malagos, Baguio District, Davao City</t>
  </si>
  <si>
    <t>Rehab of Epeng-Maga Sledge Trail</t>
  </si>
  <si>
    <t>Construction of Multi-Purpose Building, Brgy. Calinan Poblacion, Calinan District, Davao City</t>
  </si>
  <si>
    <t>AMP SVP NO: 20-05-0323A Medals</t>
  </si>
  <si>
    <t>Construction of Road from Brgy. Talandang to Sitio Luman, New Valencia to Brgy. New Carmen, Tugbok District, Davao City</t>
  </si>
  <si>
    <t>Office Supplies-Accounting Office</t>
  </si>
  <si>
    <t>RFQ No. 2020-038: Procurement for Tents</t>
  </si>
  <si>
    <t>Electrical Equipment</t>
  </si>
  <si>
    <t>INVITATION TO BID FOR VEHICLES (2 WHEELS) AND ACCESSORIES (BID NO. 200616-09)</t>
  </si>
  <si>
    <t>PROCUREMENT OF 1 UNIT CARGO TRUCK USE FOR HAULING OF AGRICULTURAL INPUTS AND PRODUCTS "TO AND FROM" FARM OF THE MUN. AGRICULTURE OFFICE</t>
  </si>
  <si>
    <t>Supply and Delivery of One (1) Unit Passenger Van</t>
  </si>
  <si>
    <t>CONSTRACTION OF WATER SYSTEM</t>
  </si>
  <si>
    <t>Office Supplies-MBO</t>
  </si>
  <si>
    <t>20HH0134-Construction / Rehabilitation of Water Supply / Septage and Sewerage / Rain Water Collectors - Rain Water Collectors in Public Facilities–Region VII: 1.Cogon Ramos Public Market, 2.Inayawan P</t>
  </si>
  <si>
    <t>PURCHASE OF TRUCK SCALE FOR THE RECORDS OF SANITARY LANDFILL UNDER P.R. NO. 80-20-03-038</t>
  </si>
  <si>
    <t>PURCHASE OF CONSTRUCTION MATERIALS FOR SANITATION OF VARIOUS BARANGAYS</t>
  </si>
  <si>
    <t>Provision of Solar Street Lighting at Centro 1 and Centro 2, San Guillermo, Isabela</t>
  </si>
  <si>
    <t>INVITATION TO BID FOR AUDIO - VIDEO EQUIPMENT - C (BID NO. 200616-12)</t>
  </si>
  <si>
    <t>INVITATION TO BID FOR RADIO COMMUNICATIONS EQUIPMENT (BID NO. 200616-13)</t>
  </si>
  <si>
    <t>Purchase of Eight (8) units of Assualt Rifle for the use of Talisay PNP of the City of Talisay</t>
  </si>
  <si>
    <t>Construction of Covered Court (phase 1) Barangay Silongin</t>
  </si>
  <si>
    <t>INVITATION TO RE-BID FOR THE  SUPPLY AND DELIVERY OF GIS DESKTOP SOFTWARE PR No. 27611-001</t>
  </si>
  <si>
    <t>Procurement of Construction Materials for Road Maintenance Use</t>
  </si>
  <si>
    <t>INVITATION TO RE-BID FOR THE  SUPPLY, DELIVERY, AND INSTALLATION OF LOCAL AREA NETWORK (LAN) STRUCTURED CABLING IN THE NEW MSSD BUILDING, TALAMBAN, CEBU CITY PR No. 27608-001</t>
  </si>
  <si>
    <t>Construction Materials for the Proposed Completion of Legislative Building Phase III</t>
  </si>
  <si>
    <t>INVITATION TO BID FOR FURNITURE AND FIXTURES (ERGONOMIC AND EUROTECH TYPE) (BID NO. 200616-14)</t>
  </si>
  <si>
    <t>INVITATION TO RE-BID FOR THE  SUPPLY, DELIVERY, AND INSTALLATION OF FIRE SUPRESSION SYSTEM PR No. 27388-001</t>
  </si>
  <si>
    <t>2020-05-0104 - Furnishing/Delivery of Personal Protective Equipment for use in the District</t>
  </si>
  <si>
    <t>INVITATION TO RE-BID FOR THE  SUPPLY AND DELIVERY OF COMPUTER NOTEBOOK PR Nos. 27619-001 to 27619-003</t>
  </si>
  <si>
    <t>INVITATION TO BID FOR ELECTRICAL EQUIPMENT AND APPLIANCES - A (BID NO. 200616-11)</t>
  </si>
  <si>
    <t>CONST. OF BLEACHERS &amp; MULTI-PURPOSE HALL</t>
  </si>
  <si>
    <t>ITB No. 20-22 Procurement of Medical Equipment (Re-bidding)</t>
  </si>
  <si>
    <t>20CSD002 : CONSULTANCY SERVICES FOR THE PREPARATION OF RIGHT-OF-WAY ACTION PLAN (RAP) FOR THE PREPARATION OF THE CALAMBA-LOS BAÑOS-BAY BYPASS ROAD</t>
  </si>
  <si>
    <t>INVITATION TO BID FOR COMPUTER EQUIPMENT AND ACCESSORIES (BID NO. 200616-10)</t>
  </si>
  <si>
    <t>REHABILITATION/IMPROVEMNET OF COMFORT ROOM</t>
  </si>
  <si>
    <t>Materials for the Improvement of Manpower Development Center (Sports Center ) Pob. Iluad, Zarraga,  Illoilo</t>
  </si>
  <si>
    <t>INVITATION TO BID FOR SPORTS ATTIRE -A (BID NO. 200616-15)</t>
  </si>
  <si>
    <t>INVITATION TO BID FOR MEDICAL SUPPLIES AND MATERIALS  (BID NO. 200616-19)</t>
  </si>
  <si>
    <t>20FL0066-Construction (Road Opening) of Mapaso-Patag-Cawayan Irosin Road, Irosin, Sorsogon Sorsogon 2nd Congressional District</t>
  </si>
  <si>
    <t>INVITATION TO BID FOR MARKET BOUYS (BID NO. 200616-20)</t>
  </si>
  <si>
    <t>20B00022: Organizational Outcome 1: Ensure Safe and Reliable National Road System: Bridge Program: Widening of Permanent Bridges: Minanga Bridge (B01129LZ) along Daang Maharlika (LZ) (Parallel Bridge)</t>
  </si>
  <si>
    <t>INVITATION TO BID FOR FERTILIZERS, FUNGICIDE AND INSECTICIDE  (BID NO. 200616-17)</t>
  </si>
  <si>
    <t>Purchase of Laptops and Printers</t>
  </si>
  <si>
    <t>INVITATION TO BID FOR OFFICE EQUIPMENT - SPARE PARTS/REPAIR (BID NO. 200616-16)</t>
  </si>
  <si>
    <t>Road Concreting at Barangay Crossing Bayabas, Toril District, Davao City</t>
  </si>
  <si>
    <t>Purchase of IT Equipments</t>
  </si>
  <si>
    <t>INVITATION TO BID FOR SEED AND SEEDLINGS  (BID NO. 200616-18)</t>
  </si>
  <si>
    <t>2020-06-0111 - Rental of equipment for use in the hauling of various heavy equipment and serviceable vehicles within the District</t>
  </si>
  <si>
    <t>Road Concreting at Barangay Mintal, Tugbok District, Davao City</t>
  </si>
  <si>
    <t>2020-05-0105 Furnishing/Delivery of Office Supplies for use in the Preliminary Detailed Engineering in the District</t>
  </si>
  <si>
    <t>INVITATION TO BID FOR ELECTRICAL SUPPLIES AND MATERIALS (BID NO. 200616-22)</t>
  </si>
  <si>
    <t>SUPPLY AND DELIVERY OF FABRICATED RECYCLABLE BINS</t>
  </si>
  <si>
    <t>INVITATION TO BID FOR GROCERIES  (BID NO. 200616-21)</t>
  </si>
  <si>
    <t>Road Concreting at Barangay Marilog Proper, Marilog District, Davao City</t>
  </si>
  <si>
    <t>CONSTRUCTION OF OBELLAN MULTI-PURPOSE SHED</t>
  </si>
  <si>
    <t>Road Concreting at Barangay Sto. Niño, Tugbok District, Davao City</t>
  </si>
  <si>
    <t>INVITATION TO BID FOR MECHANICAL TOOLS AND MATERIALS (BID NO. 200616-23)</t>
  </si>
  <si>
    <t>20DJ0090-LOCAL PROGRAM, Construction/Repair/Rehabilitation/Improvement of Various Infrastructure including Local Projects, Rehabilitation of Multi-Purpose Building in Barangay Poblacion, San Antonio,</t>
  </si>
  <si>
    <t>20FL0070-Road Opening at Irosin, Sorsogon (Cluster XVI), Irosin, Sorsogon The Procurement/Contract ID: 20FL0070</t>
  </si>
  <si>
    <t>Procurement of Janitorial Supplies PR # 2020-06-02-172</t>
  </si>
  <si>
    <t>Purchase of Sixteen (16) unit Android Tablet with Back-up Charger (Battery Pack) for CBMS Program/Data Gathering</t>
  </si>
  <si>
    <t>Local Access Road Upgrading</t>
  </si>
  <si>
    <t>OFFICE MODERNIZATION</t>
  </si>
  <si>
    <t>Materials for the Improvement of Historical Building (Phase II)</t>
  </si>
  <si>
    <t>REPAIR OF VARIOUS MEDICAL EQUIPMENT (2 LOTS)</t>
  </si>
  <si>
    <t>Road Concreting at Barangay Toril Poblacion, Toril District, Davao City</t>
  </si>
  <si>
    <t>SUPPLY AND DELIVERY OF MEDICAL EQUIPMENT ACCESSORIES FOR INFUSION PUMPS (JMS AND TERUMO BATTERIES)</t>
  </si>
  <si>
    <t>SUPPLY, DELIVERY AND INSTALLATION OF FURNITURE AND FIXTURES FOR THE CITY CIVIL REGISTRATION OFFICE</t>
  </si>
  <si>
    <t>20DJ0091-LOCAL PROGRAM, Construction/Repair/Rehabilitation/Improvement of Various Infrastructure including Local Projects, Rehabilitation of Multi-Purpose Building in Barangay Poblacion, Candelaria, Q</t>
  </si>
  <si>
    <t>Procurement of Wheel Barrow PR # 2020-06-02-171</t>
  </si>
  <si>
    <t>CONSTRUCTION OF SITIO TABLO TO SITIO LEMLUNAY, POBLACION ROAD</t>
  </si>
  <si>
    <t>Materials</t>
  </si>
  <si>
    <t>SUPPLY, DELIVERY AND INSTALLATION OF LABORATORY INFORMATION SYSTEM (LIS) FOR OSPITAL NG MAKATI</t>
  </si>
  <si>
    <t>CONSTRUCTION OF LOT 70 SUBDIVISION ROAD CONCRETING</t>
  </si>
  <si>
    <t>20 box Iburofen 400mg Tablet and other items for CHO Pharmacy.</t>
  </si>
  <si>
    <t>SUPPLY AND DELIVERY OF CRAWLER EXCAVATOR</t>
  </si>
  <si>
    <t>Regular Bidding 16/June/2020 - Procurement of Goods: Const'n Materials &amp; Supplies for the use of CMO (Concreting of Roads-GAD at Tindalo St., Magdum, Tagum City) (PR#100-20-06-0028)</t>
  </si>
  <si>
    <t>SUPPLY AND INSTALLATION OF CCTV CAMERA IN ADMIN AND ACADEMIC BUILDING</t>
  </si>
  <si>
    <t>Purchase of 1 Unit Brand New Asian Utility Vehicle</t>
  </si>
  <si>
    <t>SUPPLY AND DELIVERY OF MEDICAL, DENTAL AND LABORATORY SUPPLIES FOR VARIOUS DEPARTMENTS/OFFICES OF THE CITY GOVERNMENT OF MAKATI</t>
  </si>
  <si>
    <t>Folding Bed</t>
  </si>
  <si>
    <t>SUPPLY, DELIVERY AND INSTALLATION OF DESKTOP AND LAPTOP COMPUTERS FOR VARIOUS OFFICES/DEPARTMENTS OF CITY GOVERNMENT OF MAKATI</t>
  </si>
  <si>
    <t>Proposed Slaughterhouse</t>
  </si>
  <si>
    <t>Procurement of Motor Vehicle (Passenger Van)</t>
  </si>
  <si>
    <t>Procurement of 2 (Two) Units for Early Warning and Monitoring</t>
  </si>
  <si>
    <t>SUPPLY AND DELIVERY OF STENOGRAPH MACHINES</t>
  </si>
  <si>
    <t>DESIGN, LAYOUT AND PRINTING OF MAKATI TOURIST MAPS</t>
  </si>
  <si>
    <t>Airconditioner</t>
  </si>
  <si>
    <t>20FL0064-Construction of Road , Brgy. Recto and Danao, Bulan, Sorsogon Barangay Recto and Danao, Bulan, Sorsogon</t>
  </si>
  <si>
    <t>Proposed Construction of National Child Development Center</t>
  </si>
  <si>
    <t>BPSU Abucay Campus: – Supply, Delivery and Installation of Laboratory Equipment and Facilities for the Rehabilitation of Old Engineering Building</t>
  </si>
  <si>
    <t>20DJ0092-LOCAL PROGRAM, Construction/Repair/Rehabilitation/Improvement of Various Infrastructure including Local Projects, Preventive Maintenance-Primary Roads, Daan Maharlika (LZ) K0118+224.00-K0118+</t>
  </si>
  <si>
    <t>SUPPLY AND DELIVERY OF MATERIALS, TOOLS AND PPES FOR VARIOUS PROJECTS OF EEMO,DEPW AND GSD</t>
  </si>
  <si>
    <t>185 bags Portland Cement (40 kgs/bag) and other items for construction of steel footbridge at Purok Makoguihon connecting Villa Fortunata (Phase I) at Barangay Junob.</t>
  </si>
  <si>
    <t>PROCUREMENT OF VARIOUS MATERIALS FOR 1ST HALF PREVENTIVE MAINTENANCE, BASEPORT AND TMO'S</t>
  </si>
  <si>
    <t>DRINKING WATER SYSTEM PROJECT THROUGH HYDRAULIC RAM PAMP</t>
  </si>
  <si>
    <t>INVITATION TO BID FOR: CONSTRUCTION OF EVACUATION CENTER PHASE VI – CORELLA, BOHOL</t>
  </si>
  <si>
    <t>PRINTING OF MATERIALS AND FORMS FOR VARIOUS DEPARTMENTS</t>
  </si>
  <si>
    <t>PRINTING OF MAKATI ANNUAL REPORTS 2019 WITH DOCUMENTARY ENVELOPE</t>
  </si>
  <si>
    <t>Construction of Kulafu River Bridge at Barangay Magsaysay, Marilog District, Davao City</t>
  </si>
  <si>
    <t>CONSTRUCTION OF RIVER CONTROL AT BRGY. TABUNOK</t>
  </si>
  <si>
    <t>PURCHASE OF SUPPLIES AND MATERIALS FOR ACTIVITIES/PROGRAMS OF VARIOUS OFFICES/DEPARTMENTS OF THE CITY GOVERNMENT OF MAKATI</t>
  </si>
  <si>
    <t>PURCHASE OF GARBAGE BIN</t>
  </si>
  <si>
    <t>SUPPLY AND DELIVERY OF MEALS FOR ACTIVITIES OF VARIOUS DEPARTMENTS/OFFICES OF THE CITY GOVERNMENT OF MAKATI</t>
  </si>
  <si>
    <t>20FL0069-Construction (Completion) of Multi-Purpose Building, Brgy. Perles, Prieto-Diaz, Sorsogon Barangay Perlas, Prieto Diaz, Sorsogon</t>
  </si>
  <si>
    <t>20G00098 - Construction of Revetment at Sibalom Bridge (Abutment B Downstream and Upstream) Pangpang, Sibalom, Antique</t>
  </si>
  <si>
    <t>20DJ0094-LOCAL PROGRAM, Construction/Repair/Rehabilitation/Improvement of Various Infrastructure including Local Projects, Road Widening of Quezon Eco-Tourism Road (S06104LZ), Secondary Road, K0167+96</t>
  </si>
  <si>
    <t>PURCHASE OF DAIRY STOCKS UNDER P.R. NO. 50-20-05-042</t>
  </si>
  <si>
    <t>20DE0143 Repair and Maintenance of Road Safety Facilities</t>
  </si>
  <si>
    <t>476 bags Portland Cement (40 kgs/bag) and other items for improvement and rehabilitation of various drainage canal with cover (along Cervantes street and San Jose street) at Barangay Poblacion 7.</t>
  </si>
  <si>
    <t>ITB# 88-2020 Office Supplies Expenses</t>
  </si>
  <si>
    <t>20DJ0093-LOCAL PROGRAM, Construction/Repair/Rehabilitation/Improvement of Various Infrastructure including Local Projects, Construction (Completion) of Multi-Purpose Building in Barangay Guis-Guis Tal</t>
  </si>
  <si>
    <t>SUPPLY AND DELIVERY OF FOOD SUPPLIES FOR FOOD ASSISTANCE AND NUTRI-BATA PROJECTS (2 LOTS)</t>
  </si>
  <si>
    <t>SUPPLY AND DELIVERY OF BIRTHDAY CAKES FOR THE CITY EMPLOYEES THROUGH ORDERING AGREEMENT</t>
  </si>
  <si>
    <t>20GH00002 Cluster - Supply and Delivery of Brand New Heavy Equipment, Trucks, and Service Vehicles for use of DPWH Regional Office VII for Dredging Activities and Quick Response Equipment (QRE)</t>
  </si>
  <si>
    <t>Rehab of Atol-Habbang CIS</t>
  </si>
  <si>
    <t>Concreting of Bannao-Mallang CIS</t>
  </si>
  <si>
    <t>PROPOSED REHABILITATION AND RENOVATION OF  REMAINING BASIC SCIENCE LABORATORIES SALCEDO HALL, COLLEGE OF MEDICINE UNIVERSITY OF THE PHILIPPINES MANILA</t>
  </si>
  <si>
    <t>ITB# 89-2020 Medical, Dental, &amp; Laboratory Supplies</t>
  </si>
  <si>
    <t>SUPPLY AND DELIVERY OF COMMERCIAL RICE FOR MAKATI CITY JAIL</t>
  </si>
  <si>
    <t>PURCHASE OF DELIVERY VAN VEHICLE FOR NUTRITION  FEEDING PROGRAM</t>
  </si>
  <si>
    <t>PROPOSED CONSTRUCTION OF COLUMBARIUM COMPLEX LOCATED AT KALAYAAN AVENUE CORNER N. GARCIA STREET, BARANGAY VALENZUELA, MAKATI CITY</t>
  </si>
  <si>
    <t>PURCHASE OF OFFICE SUPPLY</t>
  </si>
  <si>
    <t>20DJ0095-LOCAL PROGRAM, Local Infrastructure Program, Construction of Multi-Purpose Building (Phase II), Brgy. Poblacion 6, Sariaya, Quezon</t>
  </si>
  <si>
    <t xml:space="preserve">450 bots oil-based mosquito repellant lotion with Citronella and other items for dengue prevention and control program (target clients: Public Elementary School children and Day Care Pupils, indigent </t>
  </si>
  <si>
    <t>Rehab and Ripraping of Lonong CIS</t>
  </si>
  <si>
    <t>Supply and Delivery of Poultry Feeds for use under Livestock and Poultry Program</t>
  </si>
  <si>
    <t>Supply and Delivery of 9,375 heads Free Ranged Chicken and 1,768 heads Ducks for use under Livestock and Poultry Program</t>
  </si>
  <si>
    <t>Rehab of Halajud CIS</t>
  </si>
  <si>
    <t>Regular Bidding 16/June/2020 - Procurement of Goods: Const'n Materials &amp; Supplies for the use of CMO (Concreting of Roads-GAD at Prk. Gabayan 1, Visayan Village, T.C.) (PR#100-20-06-0029)</t>
  </si>
  <si>
    <t>Regular Bidding 16/June/2020 - Procurement of Goods: Const'n Materials &amp; Supplies for the use of CMO (Concreting of Roads-GAD at Prk. Sampaguita II, Visayan Village, T.C.) (PR#100-20-06-0030)</t>
  </si>
  <si>
    <t>Rehab of Tulaed Evacuation Gym Ground</t>
  </si>
  <si>
    <t>Rehab of Bananao CIS</t>
  </si>
  <si>
    <t>20FL0083- Construction/Rehabilitation of Water Supply/Septage and Sewerage/Rain Water Collectors in Public Facilities, Sorsogon Second Congressional District</t>
  </si>
  <si>
    <t>16 cu.m Sand (Std. Specs) and other items for construction of Steel foot bridge at Purok Makoguihon connecting Villa Fortunata (Phase I) at Barangay Junob.</t>
  </si>
  <si>
    <t>PURCHASE OF CONSTRUCTION MATERIALS AND SUPPLIES FOR FENCING @ BARANGAY LUNOTAN, GINGOOG CITY UNDER P.R. NO. 20-20-02-044</t>
  </si>
  <si>
    <t>CONSTRUCTION OF EVACUATION CENTER &amp; MULTI-PURPOSE HALL - PHASE V AT BUGALLON PROPER, RAMON, ISABELA</t>
  </si>
  <si>
    <t>20GHC0003- FURNISHING/SUPPLYING OF THE FOLLOWING LABORATORY EQUIPMENT FOR USE IN QUALITY ASSURANCE SECTION</t>
  </si>
  <si>
    <t>Continuation of Tulaed Road</t>
  </si>
  <si>
    <t>Contract ID No. 20GP00033 - Purchase of Heavy Equipment and Service Vehicles for use of DPWH-CAR Regional Office LOT A: Heavy Equipment for Quick Response Equipment (QRE) LOT B: Service Vehicles for u</t>
  </si>
  <si>
    <t>Purchase of Sustainable Agri-Fishery based Livelihood and other Agri-Fishery Business Investment (Corn Agribusiness)</t>
  </si>
  <si>
    <t>ITB# 90-2020 Medical, Dental &amp; Supplies</t>
  </si>
  <si>
    <t>7 cu.m Sand Std. Specs  and other items for the construction of two guard houses at entrance and exit gates of categorized final disposal facility (Sanitary Landfill) at Barangay Candau-ay.</t>
  </si>
  <si>
    <t>Concreting/Relocation of Olohan Pathway</t>
  </si>
  <si>
    <t>Continuation of Bugnay to Nalbu FMR</t>
  </si>
  <si>
    <t>Public Bidding for the Repair of Roof and Roof Framing of Capitol Building, Roxas City, Under ITB No. 2020-002C</t>
  </si>
  <si>
    <t>20CSNE0001-CONSULTING SERVICES FOR THE CONDUCT OF SOIL EXPLORATION AND/OR GEOTECHNICAL INVESTIGATION FOR THE PROPOSED CONSTRUCTION OF PERMANENT BRIDGES-CLUSTER A, DINAGAT ISLANDS</t>
  </si>
  <si>
    <t>SUPPLY AND DELIVERY OF CONSTRUCTION MATERIALS FOR THE REHABILITATION OF WATER SYSTEM AT EVACUATION CENTER (NAGUILIAN CENTRAL SCHOOL)</t>
  </si>
  <si>
    <t>96 bags Portland Cement Type 1 40 kgs and other items for the construction of two guard houses at entrance and exit gates of categorized final disposal facility (Sanitary Landfill) at Barangay Candau-</t>
  </si>
  <si>
    <t>Continuation of Multi-purpose Kitchen</t>
  </si>
  <si>
    <t>PURCHASE OF DIESEL (River Diversion, Widening and Dredging along Sicade River (Phase 1))</t>
  </si>
  <si>
    <t>Labor and Materials for Rehabilitation of City Park (Phase II) San Roque, Iriga City</t>
  </si>
  <si>
    <t>Construction / Fabrication of Block Tienda (materials only)</t>
  </si>
  <si>
    <t>Rehab of Lungod Mini Dam and CIS-Ayangan</t>
  </si>
  <si>
    <t>Rehab of Puhong-Ilat to Banhal Main Water System</t>
  </si>
  <si>
    <t>Improvement of Water Supply System @ Brgy. Singaran, La Libertad, ZN</t>
  </si>
  <si>
    <t>CW-APAYAO-LARIP-02-2020// LOWER APAYAO RIVER IRRIGATION PROJECT(LARIP)</t>
  </si>
  <si>
    <t>Regular Bidding 16/June/2020 - Procurement of Goods: Const'n Materials &amp; Supplies for the use of DEPED (Repair &amp; Maintenance of School Facilities in Tagum City) (PR#200-20-06-0037)</t>
  </si>
  <si>
    <t>Regular Bidding 16/June/2020 - Procurement of Goods: Const'n Materials &amp; Supplies for the use of CMO (Concreting of Roads-GAD at Villa Apura, Visayan Village, T.C.) (PR#100-20-06-0031)</t>
  </si>
  <si>
    <t>ITB# 93-2020 Other Supplies and Materials</t>
  </si>
  <si>
    <t>PURCHASE OF VARIOUS BOOKS &amp; MODULES FOR BACOLOR SOUTH &amp; NORTH</t>
  </si>
  <si>
    <t>PURCHASE OF DIESEL (Improvement/Rehabilitation of Pilot Road of NRJ Suminalum-Kitaan Dagat-Limamawan-Bogayo NRJ (Phase 1))</t>
  </si>
  <si>
    <t>Dairy Animal Shed (Phase II) @ Barangay Lunotan, Gingoog City, Mis. Or. under Contract Ref. no. 2020-INFRA-044</t>
  </si>
  <si>
    <t>ITB# 92-2020 Other Supplies and Materials</t>
  </si>
  <si>
    <t>CW-KALINGA-UCRIS-03-2020/Upper Chico River Irrigation System(UCRIS)</t>
  </si>
  <si>
    <t>8 gals Latex Paint flat white and other items for the construction of two guard houses at entrance and exit gates of categorized final disposal facility (Sanitary Landfill) at Barangay Candau-ay.</t>
  </si>
  <si>
    <t>Rehabilitation of Bato-Alatbang Multi-purpose Building</t>
  </si>
  <si>
    <t>ITB# 91-2020 Other Supplies and Materials</t>
  </si>
  <si>
    <t>Re-bidding of the Procurement for the Supply, Deliver, Installation and Commissioning of ICT Equipment for Digital Transformation Project of USTP-CDO</t>
  </si>
  <si>
    <t>Continuation of Tanod Outpost</t>
  </si>
  <si>
    <t>Labor for the Improvement of Water System @ Brgy. Singaran, La Libertad, ZN</t>
  </si>
  <si>
    <t>Regular Bidding 16/June/2020 - Procurement of Goods: Const'n Materials &amp; Supplies for the use of CMO (Concreting of Roads-GAD at Prk. Orchid, Magugpo North, T.C.) (PR#100-20-06-0027)</t>
  </si>
  <si>
    <t>Re-Bidding of the Procurement for the Supply, Delivery, Installation and Commissioning of ICT Equipment for USTP-CDO (1st Quarter)</t>
  </si>
  <si>
    <t>20PA0126 : CONCRETING OF BARANGAY GACAB FMR, Barangay Gacab, Malibcong, Abra</t>
  </si>
  <si>
    <t>Invitation to Bid for Supply of Security Services for Five (5) Months at New Municipal Hall, Public Market and Old Municipal Building Compound, Calaca, Batangas</t>
  </si>
  <si>
    <t>20GNE0023-Supplies/Deliveries of various spare parts for service vehicle Ford Ranger Wild Truck U-9473 assigned in Planning and Design Section this office DPWH-DIDEO for the 2nd Quarter of F.Y. 2019</t>
  </si>
  <si>
    <t>Supply and Delivery of various fish stocks of FPSSD Brackishwater and Freshwater Unit, Techno Demo project under CY 2020 Regular Target</t>
  </si>
  <si>
    <t>Improvement of Multipurposed Building at Brgy, Antipolo, Rizal, Laguna</t>
  </si>
  <si>
    <t>Completion of Alimit Multi-purpose Hall</t>
  </si>
  <si>
    <t>CW-APAYAO-LARIP-01-2020/ LOWER APAYAO RIVER IRRIGATION PROJECT</t>
  </si>
  <si>
    <t>20PA0127 : CONCRETING OF BARANGAY PACQUED FMR, Barangay Pacqued, Malibcong, Abra</t>
  </si>
  <si>
    <t>Completion of the construction of the Home Economic Bldg.</t>
  </si>
  <si>
    <t>Supply and Delivery of Plated Meals for Admitted Patients at Jose L. Amante Emergency Hospital for July to December 2020</t>
  </si>
  <si>
    <t>Rehab of Bad-angan-Ambuhac-Lukhu Tumaliwan Pathway</t>
  </si>
  <si>
    <t>Purchase of Motor Vehicle</t>
  </si>
  <si>
    <t>Construction of Palaad FMR Curb and Gutter</t>
  </si>
  <si>
    <t>Construction of waiting shed (materials only</t>
  </si>
  <si>
    <t>20GNE0024- Supplies/Deliveries of various Construction Materials the Construction of I Love DPWH this office DPWH-DIDEO for the 2nd Quarter of F.Y. 2020</t>
  </si>
  <si>
    <t>Supply of Spareparts for the Repair of Dump Truck White SHV-240</t>
  </si>
  <si>
    <t>Rehab of Holang-Hacmang CIS</t>
  </si>
  <si>
    <t>Supply of Labor and Materials for Working Uniform of COD Personnel, Male and Female</t>
  </si>
  <si>
    <t>Procurement of Assorted Goods as Food Assistance to Senior Citizens</t>
  </si>
  <si>
    <t>Construction of Pahhad Foot Bridge</t>
  </si>
  <si>
    <t>Rehab of Lamagan CIS</t>
  </si>
  <si>
    <t>ADDITIONAL/REHABILITATION OF CCTV CAMERA SYSTEM</t>
  </si>
  <si>
    <t>Rehab of Butac-Lukhu CIS</t>
  </si>
  <si>
    <t>Rehab of Ala'Aypiong Foot Bridge and Pathway</t>
  </si>
  <si>
    <t>20GF0101 - Repair/Maintenance of Road Safety Facilities</t>
  </si>
  <si>
    <t>PR-2020-05-116 Supply &amp; Delivery of ICT Equipment for the Laboratory Rooms &amp; Offices</t>
  </si>
  <si>
    <t>20PK0066 - Repair / Maintenance of DPWH Building, Area Parts and Component Building, P-6, Bulanao, Tabuk City, Kalinga</t>
  </si>
  <si>
    <t>Concreting of Talboc-Epeng Pathway</t>
  </si>
  <si>
    <t xml:space="preserve">20CSCE001-CONSULTING SERVICES FOR THE CONDUCT OF SOIL/GEOTECHNICAL INVESTIGATION FOR THE PROPOSED CONSTRUCTION OF VARIOUS MULTI-PURPOSE AND SCHOOL BUILDING PROJECTS WITHIN THE 1st AND 2nd LEGISLATIVE </t>
  </si>
  <si>
    <t>20PK0068 - Repair/Maintenance of DPWH Building, Adiministrative/Main Building, P-6 Bulanao, Tabuk City, Kalinga</t>
  </si>
  <si>
    <t>PR-2020-05-100 CLA Supply &amp; Delivery of Photocopier for CTAS and Admin Offices</t>
  </si>
  <si>
    <t>20PK0067 - Repair/Maintenance of DPWH BUILDING, AES Office-Repair Bay and Planning Office, P-6 Bulanao, Tabuk City, Kalinga</t>
  </si>
  <si>
    <t>One (1) unit Tying Machine</t>
  </si>
  <si>
    <t>CID No. 20OD0190 - Construction/Rehabilitation of Water Supply/Septage and Sewerage/Rain Water Collectors-Rain Water Collectors in Public Facilities, Valenzuela City &amp; Caloocan City</t>
  </si>
  <si>
    <t>QUARTERLY PREVENTIVE MAINTENANCE OF 194 MOTORVEHICLES</t>
  </si>
  <si>
    <t>Installation of 120 Watts Solar Lights within Poblacion Area</t>
  </si>
  <si>
    <t>San Vicente Farm to Market Road Concreting</t>
  </si>
  <si>
    <t>PROCUREMENT OF THREE (3) UNITS WATER PURIFIER WITH SOLAR BATTERY  AND 100 PIECES FILTER</t>
  </si>
  <si>
    <t>DRRM MODERNIZATION</t>
  </si>
  <si>
    <t>CID No. 20OD0189 - Construction of Multi-purpose Building, Brgy. Gen. T. de Leon,Valenzuela City</t>
  </si>
  <si>
    <t>Continuation of the Construction of Pa'char-Epeng Potable Water System</t>
  </si>
  <si>
    <t>Procurement of Materials and Labor for the Concreting of Road (in front of Nutrition Bldg. to OMAg-Gate 3)</t>
  </si>
  <si>
    <t>Procurement of Production Chemicals</t>
  </si>
  <si>
    <t>REHABILITATION OF DRAINAGE SYSTEM</t>
  </si>
  <si>
    <t>Contract ID No.: 20OB0417 Contract Name: Repair/Rehabilitation of Road Network, Barangay Parang, Marikina City</t>
  </si>
  <si>
    <t>Contract ID No.: 20OB0406 Contract Name: Construction/Rehabilitation of Multi-Purpose Building, Second District, Marikina City</t>
  </si>
  <si>
    <t>Contract ID No.: 20OB0425 Contract Name: Repair and Maintenance of National Government Owned Building at Regional Equipment Services, Taguig City</t>
  </si>
  <si>
    <t>Contract ID No.: 20OB0391 Contract Name: Construction of Multi-Purpose Building, Brgy. Tumana, Marikina City</t>
  </si>
  <si>
    <t>Construction of U-Ditch Canal with Cover (Re-Bid)</t>
  </si>
  <si>
    <t>SVP  PUR20-05-0433  Procurement of Disposable Stretcher Cover</t>
  </si>
  <si>
    <t>Procurement of 9mm Case and Bullet</t>
  </si>
  <si>
    <t>Rebid: Supply and Delivery of Drugs and Medicines  for City Health Office-3  rd Quarter</t>
  </si>
  <si>
    <t>20CSCE002-CONSULTING SERVICES FOR THE CONDUCT OF SOIL/GEOTECHNICAL INVESTIGATION FOR THE PROPOSED CONSTRUCTION/REHABILITATION OF VARIOUS FLOOD CONTROL AND BRIDGE PROJECTS WITHIN THE 1st AND 2nd LEGISL</t>
  </si>
  <si>
    <t>(2020-019-II) Procurement Of Five (5) Units Brand New Hauling Truck</t>
  </si>
  <si>
    <t>(2020-018-II) - PROCUREMENT OF ONE (1) UNIT 45 hp 4WD FARM TRACTOR WITH DISC PLOW</t>
  </si>
  <si>
    <t>Supply and Delivery of Janitorial Services for Various Government Buildings</t>
  </si>
  <si>
    <t>(2020-020-II) - Construction of Feed Mill Facility</t>
  </si>
  <si>
    <t>Contract ID No.: 20OB0308 Contract Name: Rehabilitation of Multi-Purpose Building, Brgy. Hagdan Bato Libis, Mandaluyong City</t>
  </si>
  <si>
    <t>Rehab of Felong-Tangachan Water System</t>
  </si>
  <si>
    <t>Procurement of Calibration Services</t>
  </si>
  <si>
    <t>Contract ID No.: 20OB0426 Contract Name: Repair/Maintenance along Pasig-Pateros Road, Pasig City</t>
  </si>
  <si>
    <t>20FN0093 Local Roads and Bridges – Local Bridges – Local Infrastructure Program – Construction/Repair/ Rehabilitation/Improvement of Concrete Bridge Project at Bagumbayan Bridge, Brgy. Bagumbayan, Bul</t>
  </si>
  <si>
    <t>Rehab of Lamagan-Panger Water System</t>
  </si>
  <si>
    <t>Procurement of Hypertensive and Diabetic Drugs</t>
  </si>
  <si>
    <t>PROCUREMENT OF OFFICE AND JANITORIAL SUPPLIES</t>
  </si>
  <si>
    <t>PROCUREMENT OF 11 UNITS LAPTOP</t>
  </si>
  <si>
    <t>20FN0094 Construction/Repair/Rehabilitation/Improvement of Various Infrastructure including Local Projects – Flood Control Structure/Facilities – Improvement of Flood Control, Sulong Creek, San Franci</t>
  </si>
  <si>
    <t>Procurement of materials for Dumpsite Safe Disclosure and Rehabilitation</t>
  </si>
  <si>
    <t>Rebid: Supply and Delivery of Various Drugs and Medicines for Community Hospital- 3  rd Quarter (GF- 2020)</t>
  </si>
  <si>
    <t>Rebid: Supply and Delivery of Various Drugs and Medicines including Anti-rabies Vaccines for Community Hospital- 3rd Quarter (GAD-2020)</t>
  </si>
  <si>
    <t>20FN0096 Construction/Repair/Rehabilitation/ Improvement of Various Infrastructure including Local Projects – Flood Control Structures/Facilities – Rehabilitation of Salvacion River Outfall, Bula, Cam</t>
  </si>
  <si>
    <t>20FN0095 Construction/Repair/Rehabilitation/Improvement of Various Infrastructure including Local Projects – Flood Control Structures/Facilities – Construction of Flood Control, Upstream of Cresini Br</t>
  </si>
  <si>
    <t>One (1) Lot Supply and Installation of New Process Lines at the Gold Refinery, BSP, Quezon City, as per BSP Scope of Work and Specifications, Plans/Drawings and Terms and Conditions</t>
  </si>
  <si>
    <t>Supply and Delivery of Medical, Dental and Laboratory Supplies for City Health Office</t>
  </si>
  <si>
    <t>Contract ID No.: 20OB0427 Contract Name: Preventive Maintenance along Manila East Road, Pasig City (Chainage 0+000 to Chainage 0+423.90)</t>
  </si>
  <si>
    <t>Supply and Delivery of Medical and Laboratory  Supplies for Community Hospital- GF 2020</t>
  </si>
  <si>
    <t>20PF0066: Repair and Maintenance of Road Safety Facilities</t>
  </si>
  <si>
    <t>Concreting of Alley Road at Sitio Capacuan</t>
  </si>
  <si>
    <t>Contract ID No.: 20OB0430 Contract Name: Installation of Road Safety Devices (Solar Studs) along Marikina Bridge, Marikina City</t>
  </si>
  <si>
    <t>Contract ID No.: 20OB0429 Contract Name: Installation of Road Safety Devices (Solar Studs) along Various Roads, Pasig City</t>
  </si>
  <si>
    <t>Contract ID No.: 20OB0428 Contract Name: Repair/Rehabilitation of Sidewalk, Curb and Gutter along Fort Bonifacio – Nichols Field Road (Lawton Ave.)</t>
  </si>
  <si>
    <t>Concreting of Alley Road  at Sitio Batog</t>
  </si>
  <si>
    <t>20FN0097 Construction/Repair/Rehabilitation/ Improvement of Various Infrastructure including Local Projects – Flood Control Structures/Facilities – Rehabilitation of Flood Control, Baao Lake Outfall I</t>
  </si>
  <si>
    <t>Supply, Delivery and Installation of Digital X-Ray  Machine for Community Hospital</t>
  </si>
  <si>
    <t>Contract ID No.: 20OB0431 Contract Name: Installation of Road Safety Devices (Solar Studs) along Santolan Bridge, San Juan City</t>
  </si>
  <si>
    <t>Labor and Materials for the Concreting of Road (Bypass Road) at Brgy. Sta Rita - Brgy. San Francisco, Concepcion, Tarlac</t>
  </si>
  <si>
    <t>COMPLETION OF EVACUATION/MULTI-PURPOSE CENTER IN BARANGAY SAN ISIDRO SUR</t>
  </si>
  <si>
    <t>20CSNI01 - Soil Testing/Exploration for the Proposed Infrastructure Projects for Widening of Permanent Bridges – Tagbina Br. (B00755MN) Along Surigao – Davao Coastal Road, Tagasaka Br. (B00757MN) Alon</t>
  </si>
  <si>
    <t>Supply and Delivery of Medical and Laboratory  Supplies for Community Hospital- GAD 2020</t>
  </si>
  <si>
    <t>20CSNI02 - Soil Testing/Exploration for the Proposed Infrastructure Projects for Rehabilitation/Reconstruction of National Roads with Slips, Slope Collapse and Landslide at Surigao - Davao Coastal Roa</t>
  </si>
  <si>
    <t>20M0096-101</t>
  </si>
  <si>
    <t>Purchase of Lot for Multi-purpose Activity Center</t>
  </si>
  <si>
    <t>Procurement of Handheld Radio</t>
  </si>
  <si>
    <t>20GA0144 - Construction (Completion) of Multi-Purpose Building In Brgy. Manoc-manoc, Malay, Aklan</t>
  </si>
  <si>
    <t>20GA0136 - Concreting of Farm-to-Market Road (FMR) Brgy. Ginictan, Altavas, Aklan</t>
  </si>
  <si>
    <t>PROCUREMENT OF 50 LAPTOP COMPUTERS</t>
  </si>
  <si>
    <t>20CSDM01 – Consultancy Services for the Conduct of Preliminary Detailed Engineering (Parcellary Survey) along Padre Burgos-Pototanin Road, Province of Quezon</t>
  </si>
  <si>
    <t>20CSDM02 – Consultancy Services for the Conduct of Preliminary Detailed Engineering (Parcellary Survey) along Missing Gap of San Francisco-San Andres-San Narciso Road, Province of Quezon</t>
  </si>
  <si>
    <t>20GA0146 - Construction of Brgy. Hall Multi-Purpose Pavement in Brgy. Bulwang, Numancia, Aklan</t>
  </si>
  <si>
    <t>Procurement of Laptop Computers and Rack Mounted Servers</t>
  </si>
  <si>
    <t>Subdivision Survey of Survey Module No. LOT-04-SOR-20 &amp; LOT-05-SOR-20</t>
  </si>
  <si>
    <t>20GA0149 - Construction of MPB (Evacuation Center) in Brgy. Kinalangay Viejo, Malinao, Aklan</t>
  </si>
  <si>
    <t>20CSNI03 - Soil Testing/Exploration for the Proposed Infrastructure Projects for Rehabilitation/Reconstruction of National Roads with Slips, Slope Collapse, and Landslide at Surigao - Davao Coastal Ro</t>
  </si>
  <si>
    <t>20GA0152 - Construction of Multi-Purpose Building Brgy. Baybay, Tangalan, Aklan</t>
  </si>
  <si>
    <t>20GA0147 - Construction of MPB (Barangay Hall) in Brgy. Carugdog, Lezo, Aklan</t>
  </si>
  <si>
    <t>Supply of Materials for Improvement of Multi-Purpose Hall Building (Evacuation Center), Phase 2</t>
  </si>
  <si>
    <t>Supply of Materials for Improvement of Water System (Sitio Asinan - Sitio Cataguman</t>
  </si>
  <si>
    <t>Supply and Delivery of 1 Pc. Fanbelt A33 &amp; Other Items; PR No. 20-1240 dated January 13, 2020</t>
  </si>
  <si>
    <t>Supply and Delivery of 1 Pc. Cross Joint Gun 411 &amp; Other Items; PR No. 20-1241 dated January 13, 2020</t>
  </si>
  <si>
    <t>Supply and Delivery of 2 Pcs. Inner Tube 17.5x25 &amp; Other Items; PR No. 20-1239 dated January 3, 2020</t>
  </si>
  <si>
    <t>Concreting of Road at Sitio Madao, Motoderazo to San Agustin II, Naujan</t>
  </si>
  <si>
    <t>Improvement/Construction of Old Public Market Building (Fish &amp; Chicken Section 25 Stalls), Gerona, Tarlac</t>
  </si>
  <si>
    <t>Supply of Materials for Road Concreting of Brgy. Cruz</t>
  </si>
  <si>
    <t>Supply and Delivery of 1 Unit Multi-Function Printer; PR No. 20-1254 dated May 8, 2020</t>
  </si>
  <si>
    <t>Concreting of Tulahong - Tuy-an West Barangay Road at Barangay Tuy-an West, Maasin, Iloilo</t>
  </si>
  <si>
    <t>SUPPLY AND DELIVERY OF ELECTRICAL SPARE PARTS FOR STANFORD GENERATING SET, LOT AWARD INTENDED FOR KALAMANSIG DIESEL POWER PLANT</t>
  </si>
  <si>
    <t>CONSTRUCTION OF DRAINAGE &amp; PROVISION OF COVER (at Brgy. Pandacan)</t>
  </si>
  <si>
    <t>BARANGAY  ROAD CONCRETING AT GUIMBAWIAN</t>
  </si>
  <si>
    <t>Concreting of Tulahong - Tuy-an West Barangay Road at Barangay Tulahong, Maasin, Iloilo</t>
  </si>
  <si>
    <t>Equipment to be use in the Computerization Program (RPTAS) Phase 1</t>
  </si>
  <si>
    <t>CONSTRUCTION OF PUBLIC CEMETERY</t>
  </si>
  <si>
    <t>SUPPLY AND DELIVERY OF MECHANICAL SPARE PARTS FOR KTA38-G1 SECURITY PARTS EN:41238155 AND SN:SO66416, LOT AWARD INTENDED FOR KALAMANSIG DIESEL POWER PLANT</t>
  </si>
  <si>
    <t>Upgrading of Alley w/ Improvement of Drainage Canal Int. Davila St., (Near Totoy Bidang Res.) brgy. Navotas West, Navotas City</t>
  </si>
  <si>
    <t>Concreting of Local Road at Sitio Mahapo, Barangay Poblacion, Mansalay, Oriental Mindoro</t>
  </si>
  <si>
    <t>REPAINTING OF SCHOOL GROUND AND OTHER FACILITY</t>
  </si>
  <si>
    <t>Procurement of 1 Unit Brand New Motor Grader for use of PEO for the Repair/Maintenance of various Provincial Road Projects</t>
  </si>
  <si>
    <t>SUPPLY AND DELIVERY OF MECHANICAL SECURITY PARTS FOR 163KW PERKINS (MODEL: 2006-TG1), 160KW FG WILSON (MODEL:1606A-E93TAG4), 80KW FG WILSON (MODEL: 1106A-70TAG2), LOT AWARD</t>
  </si>
  <si>
    <t>Supply of Materials for Cons. of Multi-Purpose Hall (Covered Court), Phase 6</t>
  </si>
  <si>
    <t>Supply and Delivery of 6 Pack Blood Gas reagent pack 50's &amp; Other Items; PR No. 20-0487 dated January 23, 2020</t>
  </si>
  <si>
    <t>SUPPLY AND DELIVERY OF ELECTRICAL SPARE PARTS FOR DALE (EM:2006-TAG) &amp; FG WILSON (EM:1606A-E93TAG4; EM:1106A-70TAG2) GENSETS, LOT AWARD</t>
  </si>
  <si>
    <t>SUPPLY AND DELIVERY OF ELECTRICAL SPARES FOR 163KW DALE PERKINS (MODEL: EM222/DRR) AND 160KW FG WILSON (MODEL: 1606A-E93TAG4), LOT AWARD</t>
  </si>
  <si>
    <t>Supply and Delivery of Trash Bags (1 lot) (Republication)</t>
  </si>
  <si>
    <t>Procurement of 5 Units Rice Transplanter with accessories for distribution as production support to farmers in Ilocos Norte</t>
  </si>
  <si>
    <t>FEEDS SUPPLY FOR VARIOUS FARMS OF SAGAY CITY (DAIRY, 	RICKY &amp; POULTRY FARMS)</t>
  </si>
  <si>
    <t>IMPROVEMENT OF CORDON  FTMR PHASE II Located at Purok 1, Cordon, Kasibu, Nueva Vizcaya</t>
  </si>
  <si>
    <t>CONST./IMPROVEMENT OF PUROK 5, BULIWAO FTMR Located at Quezon, Nueva Vizcaya</t>
  </si>
  <si>
    <t>VARIOUS LABORATORY SUPPLIES FOR ARTIFICIAL INSEMINATION -REBID</t>
  </si>
  <si>
    <t>SUPPLY AND DELIVERY OF MECHANICAL SPARE PARTS FOR 200KW CUMMINS GENSET (EN:6LTAA8.9-G3 SN:78545489), LOT AWARD INTENDED FOR TALICUD DIESEL POWER PLANT</t>
  </si>
  <si>
    <t>SUPPLY AND DELIVERY OF CAMSHAFT WITH DRIVE GEAR FOR 500KW CXZ MAN DIESEL, 6L20/27 INTENDED FOR LORETO DIESEL POWER PLANT</t>
  </si>
  <si>
    <t>1,300 SQ. FT. OF FABRIC ROLLER BLINDS WITH INSTALLATION FOR BALAY KAUSWAGAN-REBID</t>
  </si>
  <si>
    <t>4,000 LITERS OF DIESOLINE FOR AEMSMDH</t>
  </si>
  <si>
    <t>MATERIALS FOR THE RENOVATION OF 79TH INFANTRY 	BATTALION, 3ID PHILIPPINE ARMY HEADQUARTERS, BARANGAY LUNA, SAGAY CITY-REBID</t>
  </si>
  <si>
    <t>IMPROVEMENT OF PUROK 5, BUSILAC FTMR Located at Busilac, Bayombong, Nueva Vizcaya</t>
  </si>
  <si>
    <t>20PI0082 - Construction/Rehabilitation/Improvement of Local Road, Brgy. Ankileng, Sagada, Mountain Province</t>
  </si>
  <si>
    <t>20PI0076 - Construction of Waterworks Phase I, Mainit and Guina-ang, Bontoc, Mountain Province</t>
  </si>
  <si>
    <t>20PI0087 - Replacement of Concrete Pavement along 1. Mt. Province-Ilocos via Tue Road 2. Mt. Province-Ilocos via Kayan Road</t>
  </si>
  <si>
    <t>CONSTRUCTION OF BENAY WANGYEON CIS Located at Malasin, Dupax del Norte, Nueva Vizcaya</t>
  </si>
  <si>
    <t>CONSTRUCTION/IMPROVEMENT OF TADYOKONG-TUPLAC FTMR Located at Dulli, Ambaguio, Nueva Vizcaya</t>
  </si>
  <si>
    <t>CONSTRUCTION/IMPROVEMENT OF UPPER BALANGUBUNG  FTMR PHASE II Located at Watwat, Kasibu, Nueva Vizcaya</t>
  </si>
  <si>
    <t>CONSTRUCTION/IMPROVEMENT OF DACLIG-MANGGIYENG MOTOR TRAIL FTMR Located at Daclig, Ambaguio, Nueva Vizcaya</t>
  </si>
  <si>
    <t>20PI0090 - Bontoc - Mainit - Sagada Road leading to Guina-ang Rice Terraces, Mainit Hotsprings, Bomod-ok Falls, Mountain Province</t>
  </si>
  <si>
    <t>20PI0089 - Repair/Maintenance of: 2. DPWH Building Caluttit 3. DOST Building Provincial Science and Technology Ctr. Caluttit</t>
  </si>
  <si>
    <t>CONSTRUCTION OF SAN JUAN CIS Located at San Juan, Solano, Nueva Vizcaya</t>
  </si>
  <si>
    <t>CONSTRUCTION/IMPROVEMENT OF TIBLAC-LABBI FTMR Located at Tiblac, Ambaguio, Nueva Vizcaya</t>
  </si>
  <si>
    <t>CONSTRUCTION/IMPROVEMENT OF SAN LEONARDO FTMR Located at San Leonardo, Bambang, Nueva Vizcaya</t>
  </si>
  <si>
    <t>20PI0091 - Construction/Rehabilitation of Water Supply/Septage and Sewerage/Rain Water Collectors - Rain Water Collectors in Public Facilities</t>
  </si>
  <si>
    <t>PROCUREMENT OF VARIOUS WELFARE GOODS OF BRGY LOOY TO SUPPORT IN COVID-19 PANDEMIC</t>
  </si>
  <si>
    <t>VARIOUS MEDICAL AND SURGICAL SUPPLIES FOR AEMSMDH</t>
  </si>
  <si>
    <t>Contract ID: 20KH0045:Repair/Maintenance of Drainage System Along CDO – Airport – Bukidnon Road, K1443+800 – K1444+028, Cagayan de Oro City</t>
  </si>
  <si>
    <t>Procurement of Various Materials for the Construction of Amogad Elem. School - Datu Davao, Laak, Davao De Oro</t>
  </si>
  <si>
    <t>CONSTRUCTION OF BUENAVISTA CIS Located at Buenavista, Bayombong, Nueva Vizcaya</t>
  </si>
  <si>
    <t>20PI0088 - Repair/Maintenance of: 1. Drainage along Baguio-Bontoc Road, Gonogon Section, Bontoc 3. Drainage along Mt. Province - Ilocos Sur via Tue Road, Domog Section, Bauko</t>
  </si>
  <si>
    <t>PROCUREMENT OF WELFARE GOODS OF BRGY LOOY SANGGUNIANG KABATAAN TO SUPPORT IN COVID-19 PANDEMIC</t>
  </si>
  <si>
    <t>Upgrading of Alley w/ Improvement of Drainage Canal Int. Davila St. (Near Echol) Brgy. Navotas West, Navotas City</t>
  </si>
  <si>
    <t>PROCUREMENT OF VARIOUS WELFARE GOODS OF BRGY ITAW SANGGUNIANG KABATAAN TO SUPPORT IN COVID-19 PANDEMIC</t>
  </si>
  <si>
    <t>Construction of  Box Culvert   at Cambarus Diotay, Brgy. Antipolo</t>
  </si>
  <si>
    <t>PROCUREMENT OF VARIOUS WELFARE GOOD OF BRGY ITAW TO SUPPORT IN COVID-19 PANDEMIC</t>
  </si>
  <si>
    <t>20GFG0015 - Procurement of Spareparts for use in Maintenance and upkeep of Service Vehicles and Heavy Equipment at Maintenance Section DPWH, Camarines Sur 4th DEO, Caraycayon, Tigaon, Camarines Sur</t>
  </si>
  <si>
    <t>INVITATION TO BID FOR THE CONSTRUCTION OF DORMITORY III (MALE) REBID (Design and Build)</t>
  </si>
  <si>
    <t>SUPPLY AND DELIVERY OF VARIOUS WATER SERVICE CONNECTION MATERIALS FOR 2ND QUARTER PROCUREMENT OF CY 2020</t>
  </si>
  <si>
    <t>for PROCUREMENT OF VARIOUS WELFARE GOODS OF BRGY SAN JOSE SANGGUNIANG KABATAAN TO SUPPORT IN COVID-19 PANDEMIC</t>
  </si>
  <si>
    <t>Construction of Tanjay City Adolescent Friendly Health Service Center at Barangay Sta. Cruz Viejo</t>
  </si>
  <si>
    <t>20FG0100 - CY-2020 Repair/Maintenance of DOJ Building, DOJ Main Building San Antonio, San Jose, Camarines Sur</t>
  </si>
  <si>
    <t>PURCHASE OF MEDICAL SUPPLIES AND EQUIPMENT.</t>
  </si>
  <si>
    <t>PROCUREMENT OF VARIOUS WELFARE GOODS OF BRGY SAN JOSE TO SUPPORT IN COVID-19 PANDEMIC</t>
  </si>
  <si>
    <t>Electrification of New Government Building  at Municipal Premises</t>
  </si>
  <si>
    <t>2020-135-I SUBSCRIPTION OF INTERNET CONNECTIVITY FOR THE PERIOD  JUNE TO DECEMBER 2020</t>
  </si>
  <si>
    <t>CONSTRUCTION OF TANOD OUTPOST AT BRGY. HINABANGAN, MONDRAGON, N. SAMAR</t>
  </si>
  <si>
    <t>Construction of San Fabian Small Water Impounding System (SWIS)</t>
  </si>
  <si>
    <t>REPAIR AND MAINTANNCE OF MITSUBISHI STRADA</t>
  </si>
  <si>
    <t>Construction of  Water System at Had. Carmenchica, Brgy. DSB</t>
  </si>
  <si>
    <t>Procurement of Various Construction Supplies and Materials-06-321(O)PEO</t>
  </si>
  <si>
    <t>Supply and Delivery of Office Equipment  - ITB 023-2020  GQ</t>
  </si>
  <si>
    <t>Improvement of Water System at Various Puroks , Brgy. Burgos</t>
  </si>
  <si>
    <t>Construction of Villaflores Small Water Impounding System (SWIS)</t>
  </si>
  <si>
    <t>20GKI0024 (Public Bidding) (Re-ad) Contract Name: Furnishing of Materials for Work Category No.18 – Traffic Services Maintenance Act. 303 – Guardrail Maintenance, Districtwide, Misamis Occidental 1st</t>
  </si>
  <si>
    <t>20GKI0017 (Public Bidding) (Re-ad) Contract Name: Supply of Customized Binder and other Various Items for use in the DPWH Office</t>
  </si>
  <si>
    <t xml:space="preserve">20GKI0026 (Public Bidding) Contract Name: Furnishing of Materials for Work Category No. 10 – Pavement Maintenance 		  Act. 111 – Premix Patching of Bituminous Pavement along National Primary Roads 		 </t>
  </si>
  <si>
    <t>Supply and Delivery of Computerized Carbonless Official Receipt ( C-013-0183-20 )</t>
  </si>
  <si>
    <t>Supply and Delivery of Assorted Medicines</t>
  </si>
  <si>
    <t>Procurement of Office Supplies and Devices</t>
  </si>
  <si>
    <t>Supply and Delivery of Agricultural Supplies &amp; Equipment - ITB 027-2020 GQ</t>
  </si>
  <si>
    <t>REPAIR/RENOVATION OF PERIMETER FENCE AT OMSC LABANGAN SHS</t>
  </si>
  <si>
    <t>Supply and Delivery of Assorted Other Supplies and Materials</t>
  </si>
  <si>
    <t>Supply/Delivery of Medical Supplies</t>
  </si>
  <si>
    <t>Procurement of Drugs and Medicines (Re-bid)</t>
  </si>
  <si>
    <t>Construction of Canabay Small Water Impounding System (SWIS)</t>
  </si>
  <si>
    <t>Supply and Delivery of Agricultural Supplies and Equipment - ITB 026-2020 GQ</t>
  </si>
  <si>
    <t>SUPPLY AND DELIVERY OF MECHANICAL SPARE PARTS INTENDED FOR UNIT 3, 260KW DALE PERKINS AT NINOY AQUINO DPP, LOT AWARD</t>
  </si>
  <si>
    <t>Supply, Delivery, Installation, and Commissioning of One (1) Unit Fully Automated System for Coagulation</t>
  </si>
  <si>
    <t>Purchase of Materials for Development Projects of Various Schools</t>
  </si>
  <si>
    <t>Supply and Delivery of Food Processing Tools &amp; Equipment - RFQ 053-2020 GQ</t>
  </si>
  <si>
    <t>SUPPLY AND DELIVERY OF CURRENT TRANSFORMER SPARES FOR SPUG MINDANAO DIESEL POWER PLANT, LOT AWARD</t>
  </si>
  <si>
    <t>TOBACCO FARMERS EQUIPMENT ASSISTANCE</t>
  </si>
  <si>
    <t xml:space="preserve">20GKI0025 (Public Bidding) (Re-ad) Contract Name: Furnishing of Materials for Work Category No.18 – Traffic Services Maintenance 		  Act. 302 – Centerline &amp; Lane Line Repainting (Reflectived Pavement </t>
  </si>
  <si>
    <t>Supply and Delivery of Food Processing Tools &amp; Equipment - RFQ 054-2020 GQ</t>
  </si>
  <si>
    <t>FURNISHING AND DELIVERY OF LABOR, MATERIALS AND EQUIPMENT FOR THE CONSTRUCTION OF SANITARY LANDFILL FACILITY (SLF) PERIMETER ACCESS ROAD</t>
  </si>
  <si>
    <t>CONSTRUCTION OF SPILLWAY</t>
  </si>
  <si>
    <t>Provision of Core Shelter</t>
  </si>
  <si>
    <t>Construction of Cabuaan Small Water Impounding System (SWIS)</t>
  </si>
  <si>
    <t>Procurement of Non food items for Evacuation center</t>
  </si>
  <si>
    <t>Construction of Banila Small Water Impounding System (SWIS)</t>
  </si>
  <si>
    <t>Supply and delivery of Tires for NCR North Branches</t>
  </si>
  <si>
    <t>Well Drilling Project</t>
  </si>
  <si>
    <t>20BJ0060 : Construction of Municipal Building, Phase 1 Kayapa, Nueva Vizcaya</t>
  </si>
  <si>
    <t>PURCHASE OF SOLAR SYSTEM</t>
  </si>
  <si>
    <t>Supply and Delivery of Materials to be used in the Improvement/ Rehabilitation of Drainage Canal in Different Barangays,  Naujan, Oriental Mindoro</t>
  </si>
  <si>
    <t>Procurement of Spare Parts and tires for two ambulance</t>
  </si>
  <si>
    <t>Construction of Utan Child Development Center</t>
  </si>
  <si>
    <t>Concreting of Local Road at Barangay Tubang, Maasin, Iloilo</t>
  </si>
  <si>
    <t>Supply and Delivery of Rehabilitation of PNP  Building@ Poblacion Tibiao, Ant</t>
  </si>
  <si>
    <t>IMPROVEMENT OF MULTI PURPOSE CENTER, ALEMANIA, DIMIAO</t>
  </si>
  <si>
    <t>Purchase of Appliances</t>
  </si>
  <si>
    <t>Supplies for Alternative Home School Program</t>
  </si>
  <si>
    <t>20KB0162   Construction of Water System, Brgy. Sinuda, Kitaotao, Bukidnon</t>
  </si>
  <si>
    <t>Agricultural Service Support</t>
  </si>
  <si>
    <t>CONSTRUCTION OF DAY CARE CENTER AT BARANGAY SITE (PERPETUAL SUCCOR)</t>
  </si>
  <si>
    <t>Labor and Materials for the Construction of Concrete Perimeter Fence @ Vallhermoso High School and Construction of Covered Court (Phase I) @ Guadalupe Elementary School</t>
  </si>
  <si>
    <t>INSTALLATION OF FIBER GLASS BASKETBALL GOAL @ BRGY. UPPER CAMPO ISLAM, LABANGAN ZDS</t>
  </si>
  <si>
    <t>PURCHASE OF DRUGS AND MEDICINES</t>
  </si>
  <si>
    <t>Purchase of Laptop to be used of the Secretariat during the Local School Board, Silay City.</t>
  </si>
  <si>
    <t>Supply and Delivery of Construction Materials - ITB 024-2020 GQ</t>
  </si>
  <si>
    <t>Purchase of Construction Materials and Supplies for Construction of Footwalk &amp; Drainage System, Purok Paghidaet going to Barra Daycare Center, Brgy. Mambulac, Silay City (REBID).</t>
  </si>
  <si>
    <t>INVITATION TO BID FOR THE PROCUREMENT OF RICE FOR PEACE &amp; ORDER OPERATION</t>
  </si>
  <si>
    <t>Purchase of  Construction Materials for the Construction/Concreting of CACAO Street/Road (sta. 0+330 to 0+850), Surabay &amp; Mabini, R. T. Lim, Zamboanga Sibugay</t>
  </si>
  <si>
    <t>Calling for Services of Pakyaw Labor Contractor for the Construction/Concreting of  Cacao Street/Road at Surabay &amp; MAbini, R. T. Lim, Zamboanga Sibugay</t>
  </si>
  <si>
    <t>SUPPLY AND DELIVERY OF ELECTRICAL SPARES FOR LEROY SOMER AT PALIMBANG DPP, LOT AWARD</t>
  </si>
  <si>
    <t>Purchase of  Fuel and Lubricants for the Construction/Concreting of CACAO Street/Road (sta. 0+330 to 0+850), Surabay &amp; Mabini, R. T. Lim, Zamboanga Sibugay</t>
  </si>
  <si>
    <t>PROCUREMENT OF VARIOUS WELFARE GOODS OF BRGY PANDAN SANGGUNIANG KABATAAN TO SUPPORT IN COVID-19 PANDEMIC</t>
  </si>
  <si>
    <t>Construction of Bansing Small Water Impounding System (SWIS)</t>
  </si>
  <si>
    <t>20BD0109 – CONCRETING OF BRGY. PADUL FMR, BRGY. PADUL, SOLANA, CAGAYAN</t>
  </si>
  <si>
    <t>Supply And Delivery of Environmental Water And Sanitation Project (Water Quality Monitoring)MHO Tibiao Ant.</t>
  </si>
  <si>
    <t>Concreting of Access Road to Evacuation Center Phase 1, Brgy. Awasian, Tandag City</t>
  </si>
  <si>
    <t>20BD0110 – CONCRETING OF BRGY. DADDA FMR, BRGY. DADDA, AMULUNG, CAGAYAN</t>
  </si>
  <si>
    <t>Office Supplies (MSWDO/Senior Citizen)</t>
  </si>
  <si>
    <t>20HA0130 - CONSTRUCTION OF CATIGBIAN WATER SUPPLY, CATIGBIAN, BOHOL</t>
  </si>
  <si>
    <t>Purchase of Fuel, Oil &amp; Lubricants</t>
  </si>
  <si>
    <t>Procurement of Various Supplies for Implementation of Livelihood starter kits for the parents of child Labor</t>
  </si>
  <si>
    <t>CONSTRUCTION OF SLOPE PROTECTION-SAN JULIAN</t>
  </si>
  <si>
    <t>20KB0163   Construction of Water System, Brgy. Sta. Felomina, Quezon, Bukidnon</t>
  </si>
  <si>
    <t>Office Supplies (MSWDO/Disable)</t>
  </si>
  <si>
    <t>Construction Projects (003)</t>
  </si>
  <si>
    <t>20BD0108 – CONCRETING OF BRGY. MAMBACAG FMR, BRGY. MAMBACAG, TUAO, CAGAYAN</t>
  </si>
  <si>
    <t>Supply and Delivery of Various Live Animals</t>
  </si>
  <si>
    <t>Procurement of 1 Unit Brand New 12 seater Van</t>
  </si>
  <si>
    <t>EMERGENCY EQUIPMENT/PARAPHERNALIA</t>
  </si>
  <si>
    <t>PROCUREMENT OF VARIOUS GOODS FOR SUPPLEMENTARY FEEDING OF 15 BARANGAYS IN BAY, LAGUNA</t>
  </si>
  <si>
    <t>Concreting of Farm to Market Road (Tubigan)</t>
  </si>
  <si>
    <t>PROCUREMENT OF VARIOUS WELFARE GOODS OF BRGY KUYA SANGGUNIANG KABATAAN TO SUPPORT IN COVID-19 PANDEMIC</t>
  </si>
  <si>
    <t>Concreting of Roads in Different Barangays  (Panikian to Magtibay), Naujan, Oriental Mindoro</t>
  </si>
  <si>
    <t>20KB0164   Construction of Water System, Brgy. Sampaguita, Kibawe, Bukidnon</t>
  </si>
  <si>
    <t>20BD0112 – CONCRETING OF BRGY. TARIBUBU FMR, BRGY. TARIBUBU, TUAO, CAGAYAN</t>
  </si>
  <si>
    <t>20GG00016 - Procurement of Safety and Emergency Equipment for use in the Quick Response Operation for the Big One Earthquake, DPWH Regional Office VI, Iloilo City</t>
  </si>
  <si>
    <t>20BD0113 – CONCRETING OF BRGY. BACULUD FMR, BRGY. BACULUD, AMULUNG, CAGAYAN</t>
  </si>
  <si>
    <t>SUPPLY AND DELIVERY OF TIRE (rfq#2020-03-1,539)-(sp-balansag)</t>
  </si>
  <si>
    <t>Office Supplies (MSWDO)</t>
  </si>
  <si>
    <t>LUYO-BAKILID-DATAG ROAD CONCRETING</t>
  </si>
  <si>
    <t>20BD0114 – CONCRETING OF BRGY. FURAGUI FMR, BRGY. FURAGUI, SOLANA, CAGAYAN</t>
  </si>
  <si>
    <t>REHABILITATION OF CANLAMBONG ELEMENTARY SCHOOL</t>
  </si>
  <si>
    <t>CONSTRUCTION OF STEEL FOOTBRIDGE - Tabobo-an, Odiongan, Romblon</t>
  </si>
  <si>
    <t>Procurement of Hardware and Construction Supplies - PR No. 2020-05-0063</t>
  </si>
  <si>
    <t>CONRETING OF ABIHID ROAD, DIMIAO</t>
  </si>
  <si>
    <t>Construction Projects (2020-05-065)</t>
  </si>
  <si>
    <t>Delivery of labor and materials for the Improvement of Evacuation Center at Barangay Dila, Bay, Laguna for their implementation of 20% Economic  Development Fund (C.Y. 2020)</t>
  </si>
  <si>
    <t>Procurement of Materials for Partition</t>
  </si>
  <si>
    <t>Supply and Delivery of Solar Streetlights</t>
  </si>
  <si>
    <t>SUPPLY AND DELIVERY OF MEALS AND SNACKS (rfq#2020-02-1,218)-(ppdo-gad)</t>
  </si>
  <si>
    <t>Supply and Delivery of Five (5) sets High Availability Firewall Appliance (2 paired units)</t>
  </si>
  <si>
    <t>20BD0111 – CONCRETING OF BRGY. MANALO FMR, BRGY. MANALO, AMULUNG, CAGAYAN</t>
  </si>
  <si>
    <t>SUPPLY AND DELIVERY OF HOME APPLIANCES (rfq#2020-02-1,478)-(pgo-admin-livelihood)</t>
  </si>
  <si>
    <t>OPENING OF FARM TO MARKET ROAD</t>
  </si>
  <si>
    <t>Purchase of Materials for the Const. of Water Shield Toilet, Brgy. Jayubo, Lambunao, Iloilo</t>
  </si>
  <si>
    <t>IMPROVEMENT OF MULTI PURPOSE BUILDING, ILE, DIMIAO</t>
  </si>
  <si>
    <t>Construction of Farm to Market Road - Brgy. Nibaliw East, San Fabian, Pangasinan</t>
  </si>
  <si>
    <t>CONSTRUCTION OF CONCRETE WATER RESERVOIR, CANLAMBONG, DIMIAO</t>
  </si>
  <si>
    <t>IMPROVEMENT/REHABILITATION OF PUBLIC MARKET</t>
  </si>
  <si>
    <t>CONSTRUCTION OF LINE CANAL</t>
  </si>
  <si>
    <t>IMPROVEMENT OF MULTI PURPOSE BUILDING, CAMBAYAON, DIMIAO</t>
  </si>
  <si>
    <t>Supply and Delivery of GEOTAGGING DEVICE for use in Data Gathering of Prime Project under Regulatory Division with PR#DA3-2020-3-10-144</t>
  </si>
  <si>
    <t>Purchase of Fuel, Oil &amp; Lubricants for LDRRMO Ambulance Vehicles</t>
  </si>
  <si>
    <t>20BD0116 – LOCAL PROGRAM - LOCAL INFRASTRUCTURE PROGRAM – BUILDINGS AND OTHER STRUCTURES - MULTIPURPOSE/FACILITIES - CONSTRUCTION OF MULTI-PURPOSE BUILDING, BRGY. MADDARULUG, SOLANA, CAGAYAN</t>
  </si>
  <si>
    <t>20BD0115 – EXPANSION OF IGUIG PUBLIC MARKET BRGY. AJAT, IGUIG, CAGAYAN</t>
  </si>
  <si>
    <t>20GM0073 - Concreting of Purok Cordova, Brgy. Bocana FMR, Brgy. Bocana, Ilog, Negros Occidental</t>
  </si>
  <si>
    <t>20NA0067 Repair and Improvement of Covered Court, Brgy. Jaliobong, Kitcharao, Agusan del Norte</t>
  </si>
  <si>
    <t>REPAINTING OF ROOF, INTERIOR &amp; EXTERIOR CEILING AND WALL OF BUILDINGS AT LIMAY PARK</t>
  </si>
  <si>
    <t>Procurement of Consolidated Office Supplies</t>
  </si>
  <si>
    <t>20BD0117 – REPAIR/MAINTENANCE OF DRAINAGE STRUCTURE ALONG CAGAYAN VALLEY ROAD K0496+000 - K0496+180, IGUIG CAGAYAN</t>
  </si>
  <si>
    <t>20BD0118 – REPAIR/ MAINTENANCE OF DOJ BUILDING DOJ REGIONAL OFFICE 2 BUILDING (PHASE 3) REGIONAL GOVERNMENT CENTER, TUGUEGARAO CITY</t>
  </si>
  <si>
    <t>20BD0119 – REPAIR/MAINTENANCE OF OFFICE OF THE PRESIDENT COMMISSION ON HIGHER EDUCATION REGIONAL OFFICE 2 – MAIN BUILDING REGIONAL GOVERNMENT CENTER, TUGUEGARAO CITY</t>
  </si>
  <si>
    <t>Supplies &amp; Delivery of Materials of Improvement of Waterworks</t>
  </si>
  <si>
    <t>20GM0077 - Concreting of Sitio Piliopiliohan, Brgy. Inapoy FMR, Brgy. Inapoy, Kabankalan City, Negros Occidental</t>
  </si>
  <si>
    <t>Completion of Session Hall at ABC Hall Building, Aguada, Ozamiz City</t>
  </si>
  <si>
    <t>Procurement of Farm Equipment</t>
  </si>
  <si>
    <t>Construction of Drainage Line Canal and Access Road at Pintuyan Eco-Park and Resort</t>
  </si>
  <si>
    <t>20BD0124 – REPAIR/MAINTENANCE OF DILG BUILDING PNP- BACHELOR OFFICERS QUARTER REGIONAL GOVERNMENT CENTER, TUGUEGARAO CITY</t>
  </si>
  <si>
    <t>20BD0122 – REPAIR/MAINTENANCE OF DOT BUILDING REGIONAL OFFICE NO. 2 – MAIN BUILDING REGIONAL GOVERNMENT CENTER, TUGUEGARAO CITY</t>
  </si>
  <si>
    <t>20BD0123 – REPAIR/MAINTENANCE OF CONSTITUTIONAL OFFICE BUILDING CIVIL SERVICE COMMISSION CAGAYAN-BATANES PROV'L OFFICE - MAIN BUILDING REGIONAL GOVERNMENT CENTER, TUGUEGARAO CITY</t>
  </si>
  <si>
    <t>20GM0079 - Concreting of Brgy. Abaca FMR, Brgy. Abaca, Cauayan, Negros Occidental</t>
  </si>
  <si>
    <t>Construction Projects (2020-05-066)</t>
  </si>
  <si>
    <t>20BG0146-71X Special Maintenance – Furnishing of Materials for Signages for use along National Roads, Along Naguilian - San Mariano Road, Gamu - Roxas Road and Santiago - Tuguegarao Road, Nagulian - S</t>
  </si>
  <si>
    <t>Installation of Street Lightings</t>
  </si>
  <si>
    <t>Construction of New Public Market (Site Development-Embankment), Burgos St., Brgy. Tablang, Paniqui, Tarlac</t>
  </si>
  <si>
    <t>Construction of New Public Market (Site Development-Drainage System), Burgos St., Brgy. Tablang, Paniqui, Tarlac</t>
  </si>
  <si>
    <t>20GM0078 - Concreting of Zone 2 to Sitio Cantukong, Brgy. Manlucahoc FMR, Brgy. Manlucahoc, Sipalay City, Negros Occidental</t>
  </si>
  <si>
    <t>Purchase of Materials for the Const. of Drainage Canal, Brgy. Cunarom, Lambunao, Iloilo</t>
  </si>
  <si>
    <t>20BD0125 – REPAIR/MAINTENANCE OF DILG BUILDING PNP – REGIONAL ENGINEERING UNIT BUILDING CAMP MARCELO A. ADDURU, TUGUEGARAO CITY</t>
  </si>
  <si>
    <t>IMPROVEMENT OF MULTI PURPOSE BUILDING, TAONGON CABATUAN, DIMIAO</t>
  </si>
  <si>
    <t>CATERING SERVICES FOR RESPONSE OPERATION</t>
  </si>
  <si>
    <t>LODGING, MEALS AND SNACKS (rfq#2020-05-2,454)-(provl administrator's office-nutrition)</t>
  </si>
  <si>
    <t>Construction of New Public Market (Main Building 1), Burgos St., Brgy. Tablang, Paniqui, Tarlac</t>
  </si>
  <si>
    <t>CANHAYUPON NATIONAL HIGH SCHOOL WATERWORKS PROJECT</t>
  </si>
  <si>
    <t>Construction of Drainage Line Canal (Phase I) at Vasquez Street, Poblacion Ubos, Pintuyan, Southern Leyte</t>
  </si>
  <si>
    <t>Construction of 7-units Booth</t>
  </si>
  <si>
    <t>Adv. 20-007 Supply and Delivery of Various Medical Supplies, for use in Cebu Provincial Health Office</t>
  </si>
  <si>
    <t>20BD0121 – REPAIR/MAINTENANCE OF DOLE BUILDING PROFESSIONAL REGULATION COMMISSION BUILDING REGIONAL GOVERNMENT CENTER, TUGUEGARAO CITY</t>
  </si>
  <si>
    <t>SUPPLY AND DELIVERY OF HOME SUPPLIES (rfq#2020-05-2,564)-(pgo-pdrrmd)</t>
  </si>
  <si>
    <t>Supply and Delivery of Twenty (20) units Solar Charge Controllers/Regulators</t>
  </si>
  <si>
    <t>20BD0120 – REPAIR/MAINTENANCE OF DENR BUILDING PENRO CAGAYAN SUB-OFFICE – MAIN BUILDING REGIONAL GOVERNMENT CENTER, TUGUEGARAO CITY</t>
  </si>
  <si>
    <t>IMPROVEMENT OF MULTI PURPOSE BUILDING, DATAG, DIMIAO</t>
  </si>
  <si>
    <t>IMPROVEMENT/UPGRADING OF MUNICIPAL CONFERENCE ROOM,LGU-DIMIAO</t>
  </si>
  <si>
    <t>SUPPLY AND DELIVERY OF VARIOUS VEGETABLE SEEDS FOR HOME-BASED GARDENING PROJECT</t>
  </si>
  <si>
    <t>20GM0075 - Concreting of Purok 6 to Purok 7, Brgy. Culipapa FMR, Brgy. Culipapa, Hinoba-an, Negros Occidental</t>
  </si>
  <si>
    <t>SUPPLY and DELIVERY of VARIOUS OFFICE SUPPLIES and CONSUMABLES (BATCH 1) - (BAC-NP NO. 2020-05)</t>
  </si>
  <si>
    <t>Procurement of Office Supplies PR # 2020-02-24-042</t>
  </si>
  <si>
    <t>(20NH0081 (RE-AD))Rehabilitation of Municipal Building Brgy. Tina, San Miguel, Surigao del Sur</t>
  </si>
  <si>
    <t>SUPPLY AND DELIVERY OF AGRICULTURAL SUPPLIES (rfq#2020-05-2,224)-(provl agriculture office)</t>
  </si>
  <si>
    <t>Procurement of Medical Supplies	PR # 2020-05-29-168</t>
  </si>
  <si>
    <t>Rebidding: 12 bags portland cement 40 kgs for installation and replacement of stainless steel fish hamgers (20 sets) at Dumaguete City Public Market, Barangay 3.</t>
  </si>
  <si>
    <t>( PR NO. 20-05-05A-0023 SUPPLY AND DELIVERY OF 50 cu.m Washed Sand, 50 cu.m Washed Gravel 3/4, 50 cu.m Crushed Gravel 3/4, 20 cu.m Backfill Materials)</t>
  </si>
  <si>
    <t>CATERING SERVICES FOR COMMUNITY-BASED ORIENTATION PROGRAM</t>
  </si>
  <si>
    <t>SUPPLY AND DELIVERY OF HYGIENE KIT (rfq#2020-05-2,561)-(pgo-pdrrmd)</t>
  </si>
  <si>
    <t>SUPPLY AND DELIVERY OF CUSTOMIZED UNIFORM (SWEAT SHIRT) W/ PRINT FOR CVOs</t>
  </si>
  <si>
    <t>Construction of Municipal Hall Building(Annex 1)-Phase 2</t>
  </si>
  <si>
    <t>Construction of Covered Canal @ Barangay 9, Gingoog City, Mis. Or. under Contract Ref. no. 2020-INFRA-037</t>
  </si>
  <si>
    <t>Supply and Delivery of Various Animal Feeds</t>
  </si>
  <si>
    <t>SUPPLY AND DELIVERY OF CUSTOMIZED UNIFORM (POLO SHIRT W/ PRINT) FOR CVOs</t>
  </si>
  <si>
    <t>Procurement of Office Equipment PR # 2020-05-29-169</t>
  </si>
  <si>
    <t>Procurement of Medical &amp; Janitorial Supplies PR # 2020-06-02-172</t>
  </si>
  <si>
    <t>Supply and Installation of Renewable, Clean Solar Powered Streetlights along Alaminos, San Pablo by Pass Road (60 watts LED , Integrated Solar Streetlights) Phase 2</t>
  </si>
  <si>
    <t>Rehabilitation of Sanitary Landfill</t>
  </si>
  <si>
    <t>20GM0074 - Concreting of Brgy. Asia FMR, Brgy. Asia, Hinoba-an, Negros Occidental</t>
  </si>
  <si>
    <t>Medical Supplies for CVAC Operation</t>
  </si>
  <si>
    <t>CONSULTANCY SERVICES FOR SAMAR URBAN DEVELOPMENT PLAN</t>
  </si>
  <si>
    <t>Procurement of Office Supplies PR # 2020-05-29-168</t>
  </si>
  <si>
    <t>Office Supplies (MTCO/Tourism)</t>
  </si>
  <si>
    <t>REHABILITATION OF TENNIS COURT AT BALUYOT SUBDIVISION</t>
  </si>
  <si>
    <t>IMPROVEMENT OF MULTI PURPOSE CENTER, CABANBANAN, DIMIAO</t>
  </si>
  <si>
    <t>20GM0076 - Concreting of Brgy. Baclao FMR, Brgy. Baclao, Cauayan, Negros Occidental</t>
  </si>
  <si>
    <t>CONSTRUCTION OF 5 UNITS MULTI-PURPOSE BUILDINGS</t>
  </si>
  <si>
    <t>Rebidding: 23 cu.m concrete premix (3000 psi @ 28 days) cf: 9 bags/cu.m for 1st Revision-Continuance concreting of Dumaguete Balugo road from existing PCCP near building’s residence connecting existin</t>
  </si>
  <si>
    <t>Cell cards (MSWDO)</t>
  </si>
  <si>
    <t>CATERING SERVICES FOR HEALTH EMERGENCY MONITORING/RESPONSE OPERATION</t>
  </si>
  <si>
    <t>20CSZ009 - Consulting Services for the Structural Assessment and Detailed Engineering Design for the Retrofitting of Public Buildings (“The Big One” Phase III - Contract Package 1)</t>
  </si>
  <si>
    <t>Laboratory Supplies for RHU</t>
  </si>
  <si>
    <t>Office Supplies MSWDO/LCPC)</t>
  </si>
  <si>
    <t>REPAIR OF TWO STOREY 12-CLASSROOM BUILDING (GREGORIO DEL PILAR) AND REPAIR OF GYMNASIUM AT OMSC LABANGAN</t>
  </si>
  <si>
    <t>INSTALLATION OF CCTV CAMERAS FOR “ BALIK PROBINSYA BAGONG PAG -ASA PROGRAM” AT  BRGY TACUB, KAUSWAGAN, LANAO DEL NORTE</t>
  </si>
  <si>
    <t>Const. of MP Facility (Covered Court) @ Barangay Minsapinit, Gingoog City, Mis. Or. under Contract Ref. No. 2020-INFRA-038</t>
  </si>
  <si>
    <t>IMPROVEMENT OF BEAS, MABAAY, MULTIPURPOSE HALL</t>
  </si>
  <si>
    <t>Construction of Two Storey Multi-Purpose Building Macad, Pasacao,  Camarines Sur</t>
  </si>
  <si>
    <t>Construction of CAMSUR Environmental Laboratory Capitol Complex, Cadlan, Pili, Camarines Sur</t>
  </si>
  <si>
    <t>CATERING SERVICES FOR HEALTH EMERGENCY MONITORING</t>
  </si>
  <si>
    <t>Negotiated Procurement for the Provisions of Barangay Health Station at Barangay RH-2,Cotabato City and Provisions o fLying-Inns for  Strategic Barangays at Barangay RH-9, Cotabato City</t>
  </si>
  <si>
    <t>MATERIALS, MAINTENACE SPARE PARTS, BATTERIES AND TIRES FOR SERVICE VEHICLE (PR NO.: HO-CWA19-001, HO-PWA19-003, HO-LAR19-004, HO-TWT19-014 &amp; HO-UAR19-001)</t>
  </si>
  <si>
    <t>Livelihood Project, Hog Fattening (Sitio Guinmisahan)</t>
  </si>
  <si>
    <t>BLGU-GUINTAGBUCAN-AL-01-2020 PURCHASE 200WATTS 220V FLOOD LIGHT</t>
  </si>
  <si>
    <t>Supply and Delivery of Diesel Fuel ( E-065-0365-20 )</t>
  </si>
  <si>
    <t>Materials for the Improvement of  Water Facilities at Different Barangays</t>
  </si>
  <si>
    <t>IMPROVEMENT OF AMPAWILEN- SADANGA PROVINCIAL ROAD (ADAREK- RARASOTAN SECTION)</t>
  </si>
  <si>
    <t>CONSTRUCTION OF GUITABAYAG BRIDGE (Gomez to Villaflor)</t>
  </si>
  <si>
    <t>CONTINUATION OF PANABUNGEN MULTIPURPOSE HALL, BESAO</t>
  </si>
  <si>
    <t>Office Supplies  COA</t>
  </si>
  <si>
    <t>20CSZ010 - Consulting Services for the Structural Assessment and Detailed Engineering Design for the Retrofitting of Public Buildings (“The Big One” Phase III - Contract Package 2)</t>
  </si>
  <si>
    <t>Supply &amp; Delivery of Various Materials for the Installation of Solar Street Light</t>
  </si>
  <si>
    <t>Quotation No.20-03-262 REBID = wall-mounted sanitizer dispenser; wall-mounted liquid soap dispenser ; Liquid soap with moisturizer; Hand sanitizer (with moisturizer); Surgical Face Mask 50's; Disposab</t>
  </si>
  <si>
    <t>SUPPLY AND DELIVERY AND INSTALLATION OF ONE UNIT SIREN</t>
  </si>
  <si>
    <t>SUPPLY AND DELIVERY OF VARIOUS MEDICAL EQUIPMENT</t>
  </si>
  <si>
    <t>Quotation No.20-03-269 REBID = Calcium Hypochlorite (Chlorine Granules); Sodium Hypochlorite (Bleach Solution); Antibacterial handsoap (135g); 70% Ethyl Alcohol</t>
  </si>
  <si>
    <t>Supply and Delivery of Ci and Gi Fittings ( E-042-0342-20 )</t>
  </si>
  <si>
    <t>Rice (RC 158)</t>
  </si>
  <si>
    <t>Provision of 1 Unit Four Wheeled Farm Tractor for the Municipal Agriculturist Office</t>
  </si>
  <si>
    <t>Supply &amp; Delivery of Laboratory Reagents for Hematology Analyzer</t>
  </si>
  <si>
    <t>Contract ID No. 20NC00117 - Rehabilitation of Santa Josefa Public Memorial Park</t>
  </si>
  <si>
    <t>20CSZ011 - Consulting Services for the Structural Assessment and Detailed Engineering Design for the Retrofitting of Public Buildings (“The Big One” Phase III - Contract Package 3)</t>
  </si>
  <si>
    <t>Construction of Drainage Canal-Church Alley, Poblacion, San Fabian, Pangasinan</t>
  </si>
  <si>
    <t>Purchase Plastic Chairs</t>
  </si>
  <si>
    <t>20CSZ013 - Consulting Services for the Structural Assessment and Detailed Engineering Design for the Retrofitting of Public Buildings (“The Big One” Phase III - Contract Package 5)</t>
  </si>
  <si>
    <t>Concreting/Improvement of Roxas Barangay Road</t>
  </si>
  <si>
    <t>Completion &amp; Rehab. Of MP Facility (Covered Court) @ Barangay Minsapinit, Gingoog City, Mis. Or. under Contract Ref. No. 2020-INFRA-039</t>
  </si>
  <si>
    <t>MAINTENANCE OF CORE LOCAL ROADS AT ATOK CIS SERVICE ROAD</t>
  </si>
  <si>
    <t>Supply and Delivery of Brass Union Coupling Adapter ISO 1-1/2" ( D-005-0255-20 )</t>
  </si>
  <si>
    <t>Purchase of multifilament net &amp; accessories</t>
  </si>
  <si>
    <t>20GDF0015 (By Admin) - Purchasing of Construction Materials for the Asphalt Patching along Tanza-TMC-Indang Road and Crisanto M. Delos Reyes Avenue Road DPWH Cavite 1st District Engineering Office, Tr</t>
  </si>
  <si>
    <t>20GDF0014 (By Admin) - Purchasing of Thermoplastic Paint Materials for the use in the Repair and Maintenance of Various National Road in DPWH - Cavite 1st District Engineering Office, Trece Mart</t>
  </si>
  <si>
    <t>Supply &amp; Delivery of 1 Unit of Payloader for the MENRO</t>
  </si>
  <si>
    <t>20CSZ014 - Consulting Services for the Structural Assessment and Detailed Engineering Design for the Retrofitting of Public Buildings (“The Big One” Phase III - Contract Package 6)</t>
  </si>
  <si>
    <t>SUPPLY AND DELIVERY OF HARDWARE MATERIALS</t>
  </si>
  <si>
    <t>CONSTRUCTION OF GUITABAYAG BRIDGE (Gomez to Nagbukel)</t>
  </si>
  <si>
    <t>Medical and Lab Supplies</t>
  </si>
  <si>
    <t>IMPROVEMENT OF GUEDAY IRRIGATION SYSTEM, BESAO</t>
  </si>
  <si>
    <t>Labor and Materials for Improvement of Health Center Promotion of Healthy Lifestyle Building RHU Compound, Brgy. Poblacion, Glan, Sarangani Province.</t>
  </si>
  <si>
    <t>PROCUREMENT OF 205 HEADS OF LIVE DOE &amp; 7 HEADS OF LIVE BUCK</t>
  </si>
  <si>
    <t>Repair/Maintenance of DPWH Building AES-Main Building, Baguinge, Kiangan, Ifugao</t>
  </si>
  <si>
    <t>Supply and Delivery of Office and Other Supplies, Various Offices, San Jose, Batangas</t>
  </si>
  <si>
    <t>20CSZ012 - Consulting Services for the Structural Assessment and Detailed Engineering Design for the Retrofitting of Public Buildings (“The Big One” Phase III - Contract Package 4)</t>
  </si>
  <si>
    <t>PROCUREMENT OF 1,225 HEADS OF LIVE NATIVE CHICKEN (HEN) &amp; 245 HEADS OF LIVE COCKEREL (MALE CHICKEN)</t>
  </si>
  <si>
    <t>Supply and delivery of One (1) unit Mini-Dump Truck for Municipal Solid Waste Management</t>
  </si>
  <si>
    <t xml:space="preserve">20GDF0017 (By Admin) - Purchasing of Construction Materials for the Repair and Maintenance for Cracks and Joint Sealing of Concrete Pavements for various National Road Cavite 1st District Engineering </t>
  </si>
  <si>
    <t>Use for the augmentation of Secondary Transmission Line to Main Tank at Bong Borlasa source Kabangkalan, Villahermosa, Tudela, Cebu</t>
  </si>
  <si>
    <t>Supply and Delivery of Fitting &amp; Valves (Lot #1), Fuel &amp; Diesel (Lot #2), Chlorine Granules (Lot #3) and Chlorine Test Kit (Lot #4) for the use of Brooke’s Point Water System Office, Brooke’s Point, P</t>
  </si>
  <si>
    <t>Procurement of Fuel - 2020-05-0062</t>
  </si>
  <si>
    <t>Supply and Delivery of 100mm dia. Ci Sleeve Type Coupling &amp; Ci Sleeve Type Coupling for PVC 2" with BNG ( D-009-0259-20 )</t>
  </si>
  <si>
    <t>Procurement of Household-Level Data Management System</t>
  </si>
  <si>
    <t>PROCUREMENT OF WAREHOUSE HANDLING (AND ALLIED) SERVICES FOR GRAINS FOR NFA-NCR AND BATANES FOR JULY 16 TO DECEMBER 31, 2020</t>
  </si>
  <si>
    <t>Supply and Delivery of 1 unit Service Vehicle 4X4 MT Pick-Up Type.</t>
  </si>
  <si>
    <t>20CSZ016 - Consulting Services for the Structural Assessment and Detailed Engineering Design for the Retrofitting of Public Buildings (“The Big One” Phase III - Contract Package 8)</t>
  </si>
  <si>
    <t>20GDF0016 (By Admin) - Purchasing of Construction Materials for the asphalt patching along Noveleta-Naic-Tagaytay Road, Labanan sa Binakayan Road and Manila Cavite Road DPWH Cavite 1st District Engine</t>
  </si>
  <si>
    <t>20CSZ015 - Consulting Services for the Structural Assessment and Detailed Engineering Design for the Retrofitting of Public Buildings (“The Big One” Phase III - Contract Package 7)</t>
  </si>
  <si>
    <t>SUPPLY, DELIVERY, INSTALLATION AND COMMISSIONING OF PERIPHERAL MAGNETIC STIMULATOR</t>
  </si>
  <si>
    <t>Supply And Delivery of Materials (Lot #1), Good Lumber (Lot #2), Fuel (Lot #3) Drainage Structure (Lot #4) and Labor (Lot #5) for Proposed Road Concreting from National Highway Sta. 00+015 to Sta. 00+</t>
  </si>
  <si>
    <t>Rehabilitation/Improvement of Isulan Integrated Public Terminal</t>
  </si>
  <si>
    <t>PROCUREMENT OF 14 HEADS OF LIVE CARABAO/COW</t>
  </si>
  <si>
    <t>Supply and delivery of Materials (Lot #1), Good Lumber (Lot #2), Fuel (Lot #3) Drainage Structure (Lot #4) and Labor (Lot #5) for Proposed Road Concreting from National Highway sta. 00+350 to Sta. 00+</t>
  </si>
  <si>
    <t>Supply and Delivery of Consumables for Printers and Copier, Various Offices, San Jose, Batangas</t>
  </si>
  <si>
    <t>Supply and Delivery of Other Supplies (Janitorial Supplies), Various Offices, San Jose, Batangas</t>
  </si>
  <si>
    <t>purchase of goods for covid19</t>
  </si>
  <si>
    <t>Construction of Slope Protection along Magsaysay-Paco Road</t>
  </si>
  <si>
    <t>CONSTRUCTION OF WATER SYSTEM, SITIO DALINGDING, BRGY. RIZAL, GUBAT, SORSOGON</t>
  </si>
  <si>
    <t>Supply &amp; Delivery of Vegetable Seeds for the Community Based Vegetable Gardening of the Municipal Agriculturist's Office</t>
  </si>
  <si>
    <t>Purchase of Twenty (20) Units Brand New Single Motorcycle</t>
  </si>
  <si>
    <t>Contract ID No. 20NC0118 -  Expansion of Rosario Public Cemetry</t>
  </si>
  <si>
    <t>PROCUREMENT OF COASTAL CLEAN UP DRIVE SUPPLIES</t>
  </si>
  <si>
    <t>Construction of Barangay Health Station, Casalngan, Hamtic</t>
  </si>
  <si>
    <t>Supply and Delivery of Materials (Lot #1), Good Lumber (Lot #2) Fuel (Lot #3) and Labor (Lot #4) for Proposed Road Concreting from National Highway Sta. 00+400 to Sta. 00+990m leading to Tagpirara Ele</t>
  </si>
  <si>
    <t>Supply, Delivery, Installation and Testing of Engine Radiator for 50 Kva Generator Set</t>
  </si>
  <si>
    <t>20GDF0018 (By Admin) - Purchasing of Heavy Equipment for the use of the Maintenance Section under Cavite 1st District Engineering Office</t>
  </si>
  <si>
    <t>CLUSTER 29-2020</t>
  </si>
  <si>
    <t>CID NO. 20IF0137 - Repair and Maintenance of Road Safety  Facilities within Leyte Fourth DEO</t>
  </si>
  <si>
    <t>Supply and Delivery of Spare Parts for Maintenance of Garbage Truck Plate # XHB 393 (General Body Repair).</t>
  </si>
  <si>
    <t>CONSTRUCTION OF KITCHEN FOR FEEDING AREA AT LAMAO ELEMENTARY SCHOOL</t>
  </si>
  <si>
    <t>Labor For Government Vehicle (Ambulance)</t>
  </si>
  <si>
    <t>Provision of Meals and Snacks to be served during Mancom Meeting with an ABC of P162,000.00 &amp; PR#DA3-2020-06-01-13</t>
  </si>
  <si>
    <t>Supply &amp; Delivery of ICT Equipment for the Municipal Budget Office &amp; (BPLO), Municipality of Bongabong, Oriental Mindoro</t>
  </si>
  <si>
    <t>COMPLETION OF NAGUILIAN COMMUNITY CENTER</t>
  </si>
  <si>
    <t>Contract ID No. 20NC0119 -Road Widening, Daang Maharlika (Agusan-Davao Section),</t>
  </si>
  <si>
    <t>Supply &amp; Delivery of Drugs &amp; Medicines for Municipal Health Office (1st Semester)</t>
  </si>
  <si>
    <t>CONSTRUCTION OF SLAUGHTERHOUSE (ADDITIONAL FUND), BRGY. SAN IGNACIO, GUBAT, SORSOGON</t>
  </si>
  <si>
    <t>PROCUREMENT OF STOCK PILE</t>
  </si>
  <si>
    <t>REHABILITATION OF MAIN ELECTRIC LINE OF MUNICIPAL HALL BUILDING</t>
  </si>
  <si>
    <t>SUPPLY, DELIVERY AND INSTALLATION OF STREET LIGHTS</t>
  </si>
  <si>
    <t>Contract ID No. 20NC0120 - Flood Control Project - Improvement/Rehabilitation of Adlayan Riverbank Sta. 0+000.00 – Sta. 0+120.00</t>
  </si>
  <si>
    <t>IMPROVEMENT OF TERMINAL COMPLEX</t>
  </si>
  <si>
    <t>CID NO. 20IF0138-Act No. 66X - Selective Replacement of Concrete Pavement within Leyte Fourth DEO</t>
  </si>
  <si>
    <t>Construction of Market Tiendas</t>
  </si>
  <si>
    <t>CONSTRUCTION OF MRF</t>
  </si>
  <si>
    <t>Purchase of 1 Unit Desktop Computer</t>
  </si>
  <si>
    <t>Procurement of Medicines and Laboratory Supplies</t>
  </si>
  <si>
    <t>Construction of Rainwater Collection System (RWCS), Kiangan, Lamut, Hungduan, Tinoc and Lagawe, Ifugao</t>
  </si>
  <si>
    <t>SUPPLY AND DELIVERY OF LAPAROSCOPIC/VATS HAND INSTRUMENTS</t>
  </si>
  <si>
    <t>PROCUREMENT OF BABY KITS FOR NEW BORN BABIES</t>
  </si>
  <si>
    <t>PEO-20-0663 B- Procurement of Batteries for use in the replacement of Defective Batteries of Various Light and Heavy Equipment assigned at PEP/Motorpool, Sta. Barbara, Iloilo</t>
  </si>
  <si>
    <t>Construction of Barangay Health Station, Guintas, Hamtic, Antique</t>
  </si>
  <si>
    <t>Tiger Grass Production</t>
  </si>
  <si>
    <t>DEVELOPMENT OF SENTINELA HILL AS ECO-CULTURAL PARK PHASE II</t>
  </si>
  <si>
    <t>CLUSTER 30-2020</t>
  </si>
  <si>
    <t>IMPROVEMENT OF DAYCARE CENTER</t>
  </si>
  <si>
    <t>20GDM0098 (2020-06-0098) Provision of DPWH Security Services for its office buildings and compound requiring at least six (6) Security Guards at any time of the 24-hour round-the-clock duty, DPWH, Que</t>
  </si>
  <si>
    <t>PEO-20-0667 B- Procurement of Construction Materials for use in the resealing of damaged concrete pavement along Zarraga Pob- Barasan Road, Sta. Barbara/ Zarraga, Iloilo</t>
  </si>
  <si>
    <t>Ref. No. 2020-S001 Construction of Secondary and Tertiary Roads with Solar Lamps and Utilities in the Most Affected Area (MAA), Marawi City, Lanao Del Sur</t>
  </si>
  <si>
    <t>Construction of Evacuation Center @ Barangay Banta-awan, Gingoog City, Mis. Or. under Contract Ref. No. 2020-INFRA-040</t>
  </si>
  <si>
    <t>CLUSTER 31-2020</t>
  </si>
  <si>
    <t>Construction of Public Comfort Room</t>
  </si>
  <si>
    <t>INSTALLATION OF SOLAR STREETLIGHTS AT EASTERN CABUL-AN, BUENAVISTA, BOHOL</t>
  </si>
  <si>
    <t>Supply &amp; Delivery of Medical Supplies for Municipal Health Office (1st Semester)</t>
  </si>
  <si>
    <t>MUNICIPAL ROAD CONCRETING ALONG LADGADAN ROAD, BARANGAY LADGADAN, SFADS</t>
  </si>
  <si>
    <t>Construction of Barangay Health Station, Lapaz-Tubog, Hamtic, Antique</t>
  </si>
  <si>
    <t>Supply &amp; Delivery of Construction Materials for the Holding Pen Extension (Slaughterhouse)</t>
  </si>
  <si>
    <t>Sukol River Night Lights at Poblacion</t>
  </si>
  <si>
    <t>Ref. No. 2020-S002 Construction of Primary Road with Solar Lamps and Underground Utilities in the Most Affected Area (MAA), Marawi City, Lanao Del Sur</t>
  </si>
  <si>
    <t>Purchase of One (1) 150 KVA 120 KW, 220/240 Voltage, 60Hz, three phase Sound proof GENERATOR SET for Isolation Facility</t>
  </si>
  <si>
    <t>Construction of Barangay Health Station, Piapi I, Hamtic, Antique</t>
  </si>
  <si>
    <t>INVITATION TO BID FOR THE PROJECT: SUPPLY AND DELIVERY OF VARIOUS MEDICAL SUPPLIES, ITB NO. 2020-06-010</t>
  </si>
  <si>
    <t>Cluster XXXIII</t>
  </si>
  <si>
    <t>CONSTRUCTION OF SOLID WASTE SEGREGATION FACILITY AT DUMPSITE , SITIO DAMILAG, BARANGAY PISAAN, SFADS</t>
  </si>
  <si>
    <t>INVITATION TO BID FOR THE PROJECT: SUPPLY AND DELIVERY OF VARIOUS DRUGS AND MEDICINES, ITB NO. 2020-06-011</t>
  </si>
  <si>
    <t>Construction of Barangay Health Station, Gov. Evelio B. Javier (EBJ), Hamtic, Antique</t>
  </si>
  <si>
    <t>S3-PDM20-001 - Construction of Operator's Quarter and Office in Pandami Diesel Power Plant (DPP)</t>
  </si>
  <si>
    <t>SUPPLY AND DELIVERY OF TWO (2) UNITS MOTOR VEHICLE (PATROL CAR), PNP, SFADS</t>
  </si>
  <si>
    <t>Cluster XXXIV</t>
  </si>
  <si>
    <t>Supply &amp; Delivery of Construction Materials for the Improvement of School Workshop (BBCS) at BBII</t>
  </si>
  <si>
    <t>Provision of Farm Inputs (Purchase of Fertilizer)</t>
  </si>
  <si>
    <t>Cluster XXXIX</t>
  </si>
  <si>
    <t>Rehabilitation and Improvement of Manay Public Market at Manay, Davao Oriental</t>
  </si>
  <si>
    <t>REHABILITATION OF MASONRY DRAINAGE ALONG MARUZZO STREET</t>
  </si>
  <si>
    <t>02. BD - Procurement and Installation of NAVSENS and COMMELEX Equipment for PS35 LOT 1 Procurement and Installation of NAVSENS Equipment for PS35</t>
  </si>
  <si>
    <t>Cluster XXXV</t>
  </si>
  <si>
    <t>"Revised" Concreting of Streets @ Purok 2 to Rehabilitation Center, Barangay 26, Gingoog City, Mis. Or. under Contract Ref. No. 2020-INFRA-041</t>
  </si>
  <si>
    <t>CONSTRUCTION OF SAYANGAN, LUBO BIRTHING HOME FACILITY</t>
  </si>
  <si>
    <t>LUBNAC-PATOC-AO CIS/CY 2020 CARP-IC FUND</t>
  </si>
  <si>
    <t>Cluster XXXVI</t>
  </si>
  <si>
    <t>CARUSIPAN SIP/CY 2020 SIP FUND</t>
  </si>
  <si>
    <t>Procurement of Green Diode Laser</t>
  </si>
  <si>
    <t>Procurement of Wireless Spectrometer</t>
  </si>
  <si>
    <t>Procurement of Helmholtz Coil Set</t>
  </si>
  <si>
    <t>Procurement of Sine Wave Generator</t>
  </si>
  <si>
    <t>Cluster XXXVII</t>
  </si>
  <si>
    <t>Procurement and Installation of NAVSENS and COMMELEX Equipment for PS35 Lot 2 - Procurement and Installation of NAVSENS Equipment for PS35</t>
  </si>
  <si>
    <t>Procurement of Solid Waste Machineries</t>
  </si>
  <si>
    <t>Cluster XXXVIII</t>
  </si>
  <si>
    <t>Procurement of Handheld Centrifugal Force Kit</t>
  </si>
  <si>
    <t>LOT Procurement of SPAREPARTS for the Use of Light and Heavy Equipment</t>
  </si>
  <si>
    <t>Completion/Painting of MP Hall @ Barangay 22-A, Gingoog City, Mis. Or. under Contract Ref. No. 2020-INFRA-042</t>
  </si>
  <si>
    <t>PR NO. 020-06-040 - furnishing/Purchasing of Materials onlu Item 200(1) and Item 508</t>
  </si>
  <si>
    <t>NAGBETTEDAN SIP/CY 2020 SIP FUND</t>
  </si>
  <si>
    <t>Procurement of Rotational Inertia Set</t>
  </si>
  <si>
    <t>Improvement of Drainage Canal Provincial Government Offices (PEO)</t>
  </si>
  <si>
    <t>Procurement of Force Acceleration Sensor</t>
  </si>
  <si>
    <t>Procurement of WCEIS Equipment of PBL1, PBL2, PBL5 AND 9MTR RIB 02 Lot 1 - Procurement of WCEIS Equipment of PBL1, PBL2, PBL5 and 9MTR RIB 02</t>
  </si>
  <si>
    <t>CONCRETING OF ROAD ALONG DAYAG STREET</t>
  </si>
  <si>
    <t>Municipal Nursery cum Training and Info Building (4 units)</t>
  </si>
  <si>
    <t>Construction of Seawall</t>
  </si>
  <si>
    <t>PROCUREMENT FOR THE SUPPLY, DELIVERY, AND INSTALLATION OF CENTRIFUGE AND ROTARY EVAPORATOR SET FOR USE IN SATELLITE LABORATORIES OF PLANT PRODUCT SAFETY SERVICES DIVISION (PPSSD)</t>
  </si>
  <si>
    <t>Construction of Water Supply System</t>
  </si>
  <si>
    <t>PROCUREMENT FOR THE SUPPLY AND DELIVERY OF SPE REAGENTS FOR USE IN LABORATORIES OF PLANT PRODUCT SAFETY SERVICES DIVISION (PPSSD)</t>
  </si>
  <si>
    <t>BANAOANG PIS/CY 2020 FUND (CCAW)</t>
  </si>
  <si>
    <t>REHABILITATION OF BOX CULVERT</t>
  </si>
  <si>
    <t>Procurement of Furniture &amp; Fixture [Office tables, chairs, podium &amp; flag stand]   [SB   Legislative]</t>
  </si>
  <si>
    <t>2020-133-I MUNGBEAN, PEANUT, AND WATERMELON SEEDS  UNDER HVCDP CY 2020</t>
  </si>
  <si>
    <t>20HF0093 Repair and Rehabilitation of: 1. DPWH Building, Cebu III District Engineering Office,  Sitio Khinner, Poblacion, Toledo City, Cebu: a. DE's Quarter b. Canteen 2. DPWH Building, Main  Building</t>
  </si>
  <si>
    <t>PRINTING OF COMPUTATION SHEETS AND WHARFAGE CLEARANCE CERTIFICATE</t>
  </si>
  <si>
    <t>Construction of Grouted Riprap</t>
  </si>
  <si>
    <t>REHABILITATION OF ROAD FROM POBLACION TO BUBONG</t>
  </si>
  <si>
    <t>SUPPLY/DELIVERY/HAULING OF DIESEL FUEL FOR GENERATOR SETS DEPLOYED AT RADAR STATION NO. 3, ESCARCEO, PUERTO GALERA</t>
  </si>
  <si>
    <t>PROCUREMENT OF TRUCKING SERVICES FOR THE INTRA AND INTER REGIONAL TRANSFER OF GRAINS OF NFA SOUTHERN TAGALOG REGION FOR THE SECOND SEMESTER OF CY 2020</t>
  </si>
  <si>
    <t>Procurement of WCEIS Equipment of PBL1, PBL2, PBL5 AND 9MTR RIB 02 Lot 2 - Procurement of WCEIS Equipment of PBL1, PBL2, PBL5 and 9MTR RIB 02</t>
  </si>
  <si>
    <t>One (1) Lot Hiring of a Courier Service Provider for mailing/delivery of documents/mails/parcels of departments/offices in the BSP Head Office for dispatch to domestic and international stakeholders o</t>
  </si>
  <si>
    <t>Construction of Chocolate Processing Facility (In Support to Chocolate Processing Enterprise)</t>
  </si>
  <si>
    <t>REHAB./IMPROVEMENT OF PAPATAYAN-CARDIS-KAWAYAN-BAKDEY FMR</t>
  </si>
  <si>
    <t>Improvement of Municipal Plaza [Rebid]</t>
  </si>
  <si>
    <t>20DQ0110 - ORGANIZATIONAL OUTCOME 2: Protect Lives and Properties Against Major Floods – Flood Management Program – Construction/ Maintenance of Flood Mitigation Structures and Drainage Systems - Cons</t>
  </si>
  <si>
    <t>CONSTRUCTION OF BATUKA FMR PHASE 2</t>
  </si>
  <si>
    <t>Contract ID: 20MB0153 Contract Name:  Construction/Rehabilitation of Water Supply/Septage and Sewerage/Rain Water Collectors</t>
  </si>
  <si>
    <t>PROCUREMENT FOR THE SUPPLY AND DELIVERY OF PHEROMONE LURE FOR USE OF CROP PEST MANAGEMENT DIVISION (CPMD)</t>
  </si>
  <si>
    <t>20DQ0109 - ORGANIZATIONAL OUTCOME 2: Protect Lives and Properties Against Major Floods – Flood Management Program – Construction/ Maintenance of Flood Mitigation Structures and Drainage Systems - Cons</t>
  </si>
  <si>
    <t>2020-136-I LABORATORY SUPPLIES FOR THE SECOND QUARTER OF CY 2020</t>
  </si>
  <si>
    <t>20HF0098 Repair and Maintenance of Road Safety Facilities (Slope Protection Structure) along  Toledo Barili Santander Road, Brgy. Sayaw, Barili, Cebu</t>
  </si>
  <si>
    <t>2020-134-I ASSORTED LOWLAND AND UPLAND VEGETABLE SEEDS  UNDER HVCDP CY 2020</t>
  </si>
  <si>
    <t>PURCHASE OF 2 UNITS STAINLESS WATER LORRY TRUCK</t>
  </si>
  <si>
    <t>Road Concreting at  Polog to Cabangahan Road,  Consolacion, Cebu</t>
  </si>
  <si>
    <t>PROCUREMENT FOR THE SUPPLY AND DELIVERY OF PARKER NEEM TONIC, SPINETORAM AND CHLORANTRANILIPROLE FOR USE OF CROP PEST MANAGEMENT DIVISION (CPMD)</t>
  </si>
  <si>
    <t>Materials for the Construction of  Carpentry Shop for Skills Training</t>
  </si>
  <si>
    <t>RENOVATION OF MAYOR'S OFFICE AND CONSTRUCTION OF SORTING STATION</t>
  </si>
  <si>
    <t>20DQ0107 - LOCAL PROGRAM – Local Infrastructure Program – Flood Control and Drainage – Drainage / Protection Works – Rehabilitation of Drainage, Brgy. Digman, Bacoor City, Cavite; Rehabilitation of Dr</t>
  </si>
  <si>
    <t>20DQ0108 - LOCAL PROGRAM – Local Infrastructure Program – Buildings and Other Structures – Multipurpose/Facilities – Construction of Multi-Purpose Building, Brgy. Marcelino Memije, Gen. Mariano Alvare</t>
  </si>
  <si>
    <t>PROCUREMENT FOR THE SUPPLY AND DELIVERY OF QUECHERS TUBES FOR USE IN LABORATORIES OF PLANT PRODUCT SAFETY SERVICES DIVISION (PPSSD)</t>
  </si>
  <si>
    <t>Supply and delivery of 490 pcs HEAVY DUTY FOLDABLE PLASTIC CRATES for distribution to the vegetable growers in Region III with PR # 110-05-27-2020 and ABC of Php 333,449.90</t>
  </si>
  <si>
    <t>20DQ0111 - LOCAL PROGRAM – Local Infrastructure Program – Buildings and Other Structures – Multipurpose / Facilities – Construction of Multi-Purpose Building, Brgy. Mambog I, Bacoor City, Cavite; Cons</t>
  </si>
  <si>
    <t>20DQ0106 - LOCAL PROGRAM – Local Infrastructure Program – Local Roads and Bridges – Local Roads – Rehabilitation of Road, Brgy. Queens Row East, Bacoor City, Cavite</t>
  </si>
  <si>
    <t>PROCUREMENT FOR THE SUPPLY AND DELIVERY OF CHEMICALS AND REAGENTS FOR USE IN LABORATORIES OF PLANT PRODUCT SAFETY SERVICES DIVISION (PPSSD)</t>
  </si>
  <si>
    <t>20GMH045 - Supply/Delivery of Thermoplastic Paints for the Repair/Maintenance of National Road &amp; Bridges, Sultan Kudarat 2nd District Engineering Office, (Reflectorized Pavement Marking of Edge, Cente</t>
  </si>
  <si>
    <t>20GMH043 - Supply/Delivery of  Fuel &amp; Oil Lubricants for use of various vehicle, chainsaw, and grass cutter assigned in Maintenance Section along Awang-Upi-Lebak-Kalamansig-Palimbang-Sarangani Road K1</t>
  </si>
  <si>
    <t>20GMH042 - Supply/Delivery of  Asphalt Cold Mix for the Repair/Maintenance of National Roads &amp; Bridges, Sultan Kudarat 2nd District Engineering Office K1775+-736-Km. 1781+000, K1775+-620-K1775+288</t>
  </si>
  <si>
    <t>CONSTRUCTION OF R.C. BRIDGE AT STA. RITA NORTE, AGOO, LA UNION</t>
  </si>
  <si>
    <t>CONSTRUCTION OF FARMER’S MULTI-PURPOSE COVERED COURT AT SANIJUBAR ELEMENTARY SCHOOL, AGOO, LA UNION</t>
  </si>
  <si>
    <t>Supply and Delivery of Robotics (LSB)</t>
  </si>
  <si>
    <t>infrastructure Project-LOWER SIBUGUEY II RIS EXTENSION PROJECT PACKAGE 2 CY 2017 REMAINING WORKS Imelda, Zamboanga Sibugay</t>
  </si>
  <si>
    <t>Procurement of endotracheal tube and other medical and surgical supplies</t>
  </si>
  <si>
    <t xml:space="preserve">INVITATION TO BID FOR Supply of Equipment, Installation and Commissioning of Real Time Monitoring CCTV Cameras Suitable for Integration to PLC/SCADA Operation of Pump Stations                         </t>
  </si>
  <si>
    <t>20LG0113 - Repair/Maintenance of Mati Flood Control, Brgy Central, City of Mati, Davao Oriental</t>
  </si>
  <si>
    <t>Procurement of nasopharyngeal swab-flocked sterile</t>
  </si>
  <si>
    <t>Procurement Medical Supplies</t>
  </si>
  <si>
    <t>20FC0073 : NETWORK DEVELOPMENT PROGRAM – ROAD WIDENING – PRIMARY ROADS, Daang Maharlika (LZ) K0319+027-K0319+951, K0323+800-K0324+284</t>
  </si>
  <si>
    <t>Student ID JHS</t>
  </si>
  <si>
    <t>Student ID SHS</t>
  </si>
  <si>
    <t>20FC0091 : CONCRETING OF BRGY. MATANLANG TO BRGY. BAYAN-BAYAN ROAD, LABO CAMARINES NORTE</t>
  </si>
  <si>
    <t>20GMH044 - Supply/Delivery of  Road Sign for the Maintenance/Improvement of National Road, Sultan Kudarat 2nd District Engineering Office, K1957+000-K2018+000 w/ exception</t>
  </si>
  <si>
    <t>20-05-399 Construction of Water System at Maracabac, Guiling, Alamada, Cotabato</t>
  </si>
  <si>
    <t>PROCUREMENT FOR THE SUPPLY AND DELIVERY OF MYCOTOXIN SUPPLIES FOR USE IN LABORATORIES OF PLANT PRODUCT SAFETY SERVICES DIVISION (PPSSD)</t>
  </si>
  <si>
    <t>20GMH046 - Supply/Delivery of Road Safety Facilities for the Maintenance/Improvement Of National Road, Sultan Kudarat 2nd District Engineering Office, K1943+000-K1943+935 w/ exception</t>
  </si>
  <si>
    <t>INSTALLATION OF CR SHS</t>
  </si>
  <si>
    <t>PROCUREMENT FOR THE SUPPLY AND DELIVERY OF LC, HPLC CONSUMABLES FOR USE IN LABORATORIES OF PLANT PRODUCT SAFETY SERVICES DIVISION (PPSSD)</t>
  </si>
  <si>
    <t>MATERIALS FOR INTRAMURALS</t>
  </si>
  <si>
    <t>PROCUREMENT FOR THE SUPPLY, AND DELIVERY OF GASES FOR GAS CHROMATOGRAPHY FOR USE IN RESIDUE LABORATORIES OF PLANT PRODUCT SAFETY SERVICES DIVISION (PPSSD)</t>
  </si>
  <si>
    <t>ADDITIONAL SCHOOL AND OFFICE SUPPLIES</t>
  </si>
  <si>
    <t>infrastructure Project-LOWER SIBUGUEY I RIS EXTENSION PROJECT PACKAGE 3 CY 2016 REMAINING WORKS, Diplahan, Zamboanga Sibugay</t>
  </si>
  <si>
    <t>20-06-443 Purchase of 8 in 1 Assorted Vegetables Seeds for Sustainable Integrated Natural Garden (SUSING) Livelihood Program-Livelihood Seeds Distribution for Alamada Constituents</t>
  </si>
  <si>
    <t>20FC0084 : CONSTRUCTION/ MAINTENANCE OF FLOOD MITIGATING STRUCTURE AND DRAINAGE SYSTEM, CONSTRUCTION OF SULA SEAWALL BRGY. SULA, VINZONS, CAMARINES NORTE</t>
  </si>
  <si>
    <t>THE PROCUREMENT FOR THE SUPPLY AND DELIVERY OF DIGITAL DUPLICATOR FOR USE IN SEED TESTING AND SEED CERTIFICATION OF NATIONAL SEED QUALITY CONTROL SERVICES DIVISION (NSQCSD)</t>
  </si>
  <si>
    <t>Continuation/Improvement of Kendongay FMR, Poblacion, Quirino, Ilocos Sur</t>
  </si>
  <si>
    <t>PROCUREMENT FOR THE SUPPLY AND DELIVERY OF ANALYTICAL AND TOP LOADING BALANCE FOR USE IN SEED TESTING AND SEED CERTIFICATION OF NATIONAL SEED QUALITY CONTROL SERVICES DIVISION (NSQCSD)</t>
  </si>
  <si>
    <t>20FC0105 : CONSTRUCTION OF TWO-STOREY BUILDING (DPWH STANDARD DESIGN) OF CAMARINES NORTE DEO, Pasig, Daet, Camarines Norte</t>
  </si>
  <si>
    <t>PROCUREMENT FOR THE SUPPLY AND DELIVERY OF ELECTRIC HEAVY DUTY CUTTER FOR USE IN SEED TESTING AND SEED CERTIFICATION OF NATIONAL SEED QUALITY CONTROL SERVICES DIVISION (NSQCSD)</t>
  </si>
  <si>
    <t>THE PROCUREMENT FOR THE SUPPLY AND DELIVERY OF PRECISION DIVIDER FOR USE IN SEED TESTING AND SEED CERTIFICATION OF NATIONAL SEED QUALITY CONTROL SERVICES DIVISION (NSQCSD)</t>
  </si>
  <si>
    <t>PROCUREMENT FOR THE SUPPLY AND DELIVERY OF CHEMICAL AND FILTERING SUPPLIES FOR USE OF NATIONAL PLANT QUARANTINE SERVICES DIVISION (NPQSD)</t>
  </si>
  <si>
    <t>SUPPLY OF LABOR SERVICE, SUPPLIES, AND MATERIALS FOR THE ESTABLISHMENT OF 20KW GRID-TIED SOLAR PV ENERGY SYSTEM FOR TISSUE CULTURE LABORATORY OF BPI-DNCRDPSC, BAGO OSHIRO, DAVAO CITY</t>
  </si>
  <si>
    <t>PROCUREMENT FOR THE SUPPLY, DELIVERY, AND INSTALLATION OF SPECTROPHOTOMETER FOR USE OF NATIONAL PLANT QUARANTINE SERVICES DIVISION (NPQSD)</t>
  </si>
  <si>
    <t>REPAIR OF DOORS FOR SHS</t>
  </si>
  <si>
    <t>PROCUREMENT FOR THE SUPPLY AND DELIVERY OF PURITY WORKBOARD, DIAPHANOSCOPE, AND CIRCLINE MAGNIFIER FOR USE IN SEED TESTING AND SEED CERTIFICATION OF NATIONAL SEED QUALITY CONTROL SERVICES DIVISION (NS</t>
  </si>
  <si>
    <t>supply, delivery &amp; installation of various materials for the restoration of Wireless Antennas and additional CCTV Surveillance Cameras</t>
  </si>
  <si>
    <t>supply, delivery &amp; installation of various airconditioning units</t>
  </si>
  <si>
    <t>supply &amp; delivery of Various School Supplies</t>
  </si>
  <si>
    <t>20CSD001 :CONSULTANCY SERVICES FOR THE CONDUCT OF PARCELLARY SURVEY OF CALAMBA-LOS BAÑOS-BAY BYPASS, LAGUNAROAD</t>
  </si>
  <si>
    <t>SUPPLY OF LABOR AND MATERIALS FOR THE CONSTRUCTION OF SEED STORAGE OF BPI-LGNCRDPSC, LA CARLOTA CITY, NEGROS OCCIDENTAL</t>
  </si>
  <si>
    <t>Vehicle Part and Accessories (2020-05-070)</t>
  </si>
  <si>
    <t>PR# 20-0554- To supply labor, materials and necessary tools and equipment for the Improvement of Six (6) Classroom School Building with Comfort Rooms at Magumbali Elementary School, Magumbali, Candaba</t>
  </si>
  <si>
    <t>Vehicle Part and Accessories (2020-05-069)</t>
  </si>
  <si>
    <t>Office Supplies and Devices (2020-05-068)</t>
  </si>
  <si>
    <t>Electrical Supplies (2020-05-064)</t>
  </si>
  <si>
    <t>Vehicle Part and Accessories (2020-05-072)</t>
  </si>
  <si>
    <t>General Merchandise (2020-05-061)</t>
  </si>
  <si>
    <t>Catering Services (2020-05-063)</t>
  </si>
  <si>
    <t>Vehicle Part and Accessories (2020-05-071)</t>
  </si>
  <si>
    <t>CONCRETING OF ROAD AT DOÑA PILAR, SASA, DAVAO CITY</t>
  </si>
  <si>
    <t>SUPPLY OF LABOR AND MATERIALS FOR THE ESTABLISHMENT OF PROCESSING AND SOLAR DRYING FACILITY OF BPI-LGNCRDPSC, LA CARLOTA CITY, NEGROS OCCIDENTAL</t>
  </si>
  <si>
    <t>Office Supplies Equipment and Consumables (2019-05-067)</t>
  </si>
  <si>
    <t>Vehicle Part and Accessories (2020-05-079)</t>
  </si>
  <si>
    <t>Office Equipment (2020-05-060)</t>
  </si>
  <si>
    <t>supply &amp; delivery of One unit Corn Harvester w/trailer &amp; One unit Tractor</t>
  </si>
  <si>
    <t>20CSZ005 - CONSULTING SERVICES FOR THE PREPARATION OF FEASIBILITY STUDIES OF NATIONAL SEPTAGE AND SEWERAGE MANAGEMENT PROGRAM  (OLONGAPO CITY AND ILIGAN CITY)</t>
  </si>
  <si>
    <t>Vehicle Part and Accessories (2020-05-076)</t>
  </si>
  <si>
    <t>Vehicle Part and Accessories (2020-05-075)</t>
  </si>
  <si>
    <t>20GA0185-Construction of Revetment Wall and Dredging along Aslum River, Brgy. Aslum, Agbago, Ibajay, Aklan Brgy. Aslum, Agbago, Ibajay, Aklan</t>
  </si>
  <si>
    <t>(RE-POST) Construction of Pathway at Purok 2 to Cemetery, Brgy. Taligaman, Butuan City</t>
  </si>
  <si>
    <t>REHABILITATION OF CANAL AT DOÑA PILAR, BARANGAY SASA</t>
  </si>
  <si>
    <t>Vehicle Part and Accessories (2020-05-077)</t>
  </si>
  <si>
    <t>20GA0190-Construction of Revetment Wall (Flood Control) in Brgy. Maloco, Ibajay, Aklan Ibajay, Aklan</t>
  </si>
  <si>
    <t>20GA0189-Construction of Revetment Wall (Flood Control) In Brgy. Bulabod, Malinao, Aklan   Malinao, Aklan</t>
  </si>
  <si>
    <t>Purchase of Hardware(2020-05-078)</t>
  </si>
  <si>
    <t>20GA0188-Construction of Drainage (Flood Control) in Miraflores Street in Brgy. Pob., Ibajay, Aklan</t>
  </si>
  <si>
    <t>Vehicle Part and Accessories (2020-05-073)</t>
  </si>
  <si>
    <t>Vehicle Part and Accessories (2020-05-074)</t>
  </si>
  <si>
    <t>Water (2020-05-081)</t>
  </si>
  <si>
    <t>Office Supplies (2020-05-083)</t>
  </si>
  <si>
    <t>Catering Services (2020-05-095)</t>
  </si>
  <si>
    <t>Food Stuff (2020-05-082)</t>
  </si>
  <si>
    <t>Catering Services (2020-05-094)</t>
  </si>
  <si>
    <t>Catering Services (2020-05-098)</t>
  </si>
  <si>
    <t>Catering Services (2020-05-099)</t>
  </si>
  <si>
    <t>20GA0209-Concreting of Road, Sitio Mangga to Sitio Tambak Brgy. Mandong, Batan, Aklan</t>
  </si>
  <si>
    <t>Catering Services (2020-05-096)</t>
  </si>
  <si>
    <t>20GA0213-Concreting of Road Brgy. Sta. Cruz to Brgy. Bigaa, Lezo, Aklan Brgy. Sta. Cruz to Brgy. Bigaa, Lezo, Aklan</t>
  </si>
  <si>
    <t>Catering Services (2020-05-097)</t>
  </si>
  <si>
    <t>ESTABLISHMENT OF THREE (3) UNITS OF SMALL WATER IMPOUNDING SYSTEM (SWIS) AT BRGY. SAN ROQUE, BULALACAO, ORIENTAL MINDORO</t>
  </si>
  <si>
    <t>PROCUREMENT OF HYBRID WHITE CORN SEEDS, MALAPATAN SARANGANI PROVINCE</t>
  </si>
  <si>
    <t>Catering Services (2020-05-092)</t>
  </si>
  <si>
    <t>20GA0212-Construction of MPB Osman Elementary School Brgy. Osman, Malinao, Aklan</t>
  </si>
  <si>
    <t>Supply, Delivery, Installation, and Commissioning of One (1) Unit Fully Automated Clinical Chemistry Analyzer</t>
  </si>
  <si>
    <t>Improvement of Day Care Centerr</t>
  </si>
  <si>
    <t>Office Equipment (2020-05-106)</t>
  </si>
  <si>
    <t>Office Supplies (2020-05-105)</t>
  </si>
  <si>
    <t>Drug and Medicines (2020-04-051)</t>
  </si>
  <si>
    <t>ESTABLISHMENT OF MULTI COMMODITY DRYING PAVEMENT AT SITIO KITULAG, BRGY. KINAM &amp; SITIO BOLOLKALON, BRGY. LUN PADIDU, MALAPATAN SARANGANI PROVINCE</t>
  </si>
  <si>
    <t>Procurement, Supply &amp; Delivery of Fuel and Oil, Re-bid</t>
  </si>
  <si>
    <t>Improvement of Multi-Purpose Pavement,Brgy. Ulay-Bugang,Alimodian lloilo</t>
  </si>
  <si>
    <t>Vehicle Part and Accessories (2020-05-123)</t>
  </si>
  <si>
    <t>Vehicle Part and Accessories (2020-05-119)</t>
  </si>
  <si>
    <t>Appliances (2020-05-114)</t>
  </si>
  <si>
    <t>Catering Services (2020-05-093)</t>
  </si>
  <si>
    <t>Vehicle Part and Accessories (2020-05-132)</t>
  </si>
  <si>
    <t>Procurement, Supply &amp; Delivery of Fuel, Re-bid</t>
  </si>
  <si>
    <t>Procurement, Supply &amp; Delivery of Fuel, Oil and Lubricants, Re-bid</t>
  </si>
  <si>
    <t>Drug and Medicines (2020-03-036)</t>
  </si>
  <si>
    <t>Procurement, Supply &amp; Delivery of Furniture and Fixtures, Re-bid</t>
  </si>
  <si>
    <t>Procurement of Stethoscope, Adult</t>
  </si>
  <si>
    <t>Vehicle Part and Accessories (2020-05-125)</t>
  </si>
  <si>
    <t>Drug and Medicines (2020-05-117)</t>
  </si>
  <si>
    <t>STACK EMISSION TESTING</t>
  </si>
  <si>
    <t>Procurement, Supply &amp; Delivery of Hardware Materials, Re-bid</t>
  </si>
  <si>
    <t>Vehicle Part and Accessories (2020-05-115)</t>
  </si>
  <si>
    <t>Procurement of BHS Package</t>
  </si>
  <si>
    <t>Drug and Medicines (2020-05-088)</t>
  </si>
  <si>
    <t>Food Stuff (2020-05-133)</t>
  </si>
  <si>
    <t>Procurement, Supply &amp; Delivery of Spare Parts, Re-bid</t>
  </si>
  <si>
    <t>IA. Riprapping of Sitio Sala River;IB. Construction of Open Canal, Brgy. San Antonio</t>
  </si>
  <si>
    <t>General Merchandise (2020-05-120)</t>
  </si>
  <si>
    <t>Procurement of ER Lights Ceiling Mounted</t>
  </si>
  <si>
    <t>Drug and Medicines (2020-05-116)</t>
  </si>
  <si>
    <t>Procurement, Supply &amp; Delivery of Drugs and Medicines</t>
  </si>
  <si>
    <t>Procurement of Medical Equipment Lot 1</t>
  </si>
  <si>
    <t>Procurement, Supply &amp; Delivery of Fuel</t>
  </si>
  <si>
    <t>Procurement of Hematology Analyzer (3 Differential Parts)</t>
  </si>
  <si>
    <t>Procurement of Digital X-Ray with CR System</t>
  </si>
  <si>
    <t>Construction of Multi-Purpose w/Sports Facilities Brgy. Sangay KSK</t>
  </si>
  <si>
    <t>Procurement of Medical Equipment Lot 2</t>
  </si>
  <si>
    <t>Procurement of Compressor Upgrade for Mechanical Ventilator</t>
  </si>
  <si>
    <t>General Merchandise (2020-05-104)</t>
  </si>
  <si>
    <t>General Merchandise (2020-05-131)</t>
  </si>
  <si>
    <t>Vehicle Part and Accessories (2020-05-128</t>
  </si>
  <si>
    <t>Purchase of Hardware(2020-05-101)</t>
  </si>
  <si>
    <t>General Merchandise (2020-05-103)</t>
  </si>
  <si>
    <t>Concreting of Farm-to-Market Road at Sitio Lamao</t>
  </si>
  <si>
    <t>General Merchandise (2020-05-099)</t>
  </si>
  <si>
    <t>Procurement of Fetal Doppler</t>
  </si>
  <si>
    <t>Vehicle Part and Accessories (2020-05-127)</t>
  </si>
  <si>
    <t>Vehicle</t>
  </si>
  <si>
    <t>Vehicle Part and Accessories (2020-05-130)</t>
  </si>
  <si>
    <t>Construction of Concrete Drainage Canal(PHASE II) Purok Pag-Asa, Brgy. Sta. Clara Kal. SK</t>
  </si>
  <si>
    <t>Procurement, Supply &amp; Delivery of Medical Oxygen Refill</t>
  </si>
  <si>
    <t>CONSTRUCTION OF MASINLOC DIALYSIS CENTER</t>
  </si>
  <si>
    <t>Office Supplies (2020-05-084)</t>
  </si>
  <si>
    <t>Procurement, Supply &amp; Delivery of Fuel and Oil</t>
  </si>
  <si>
    <t>Drug and Medicines (2020-05-109)</t>
  </si>
  <si>
    <t>Drug and Medicines (2020-05-100)</t>
  </si>
  <si>
    <t>General Merchandise (2019-05-062)</t>
  </si>
  <si>
    <t>Procurement, Supply &amp; Delivery of Assistive Device</t>
  </si>
  <si>
    <t>INSTALLATION OF PUNDUHAN SOLAR LIGHTING</t>
  </si>
  <si>
    <t>Drug and Medicines (2020-05-091)</t>
  </si>
  <si>
    <t>Negotiated Procurement for Supply and Delivery of 1900 units Fermentation Crates Set</t>
  </si>
  <si>
    <t>CONSTRUCTION OF KINDERGARTEN CENTER, TALTAL ELEMENTARY SCHOOL</t>
  </si>
  <si>
    <t>Drug and Medicines (2020-05-112)</t>
  </si>
  <si>
    <t>Vehicle Part and Accessories (2020-05-124)</t>
  </si>
  <si>
    <t>Procurement of Newborn Screening Hearing Test</t>
  </si>
  <si>
    <t>Procurement of Multi-purpose Vehicle of Municipal Mayor’s Office</t>
  </si>
  <si>
    <t>CONSTRUCTION OF KINDERGARTEN CENTER, SAN LORENZO ELEMENTARY SCHOOL</t>
  </si>
  <si>
    <t>Procurement of Microscope Binocular</t>
  </si>
  <si>
    <t>Drug and Medicines (2020-05-110)</t>
  </si>
  <si>
    <t>20GFI0002 -Purchase of IT &amp; Office Equipment (For Planning &amp; Design Section- five  (5) sets Desktop Computer (For Designer), four (4) units Laptop Computer       two (2) units (For Administrative Use)</t>
  </si>
  <si>
    <t>Procurement of Medical Equipment Lot 3</t>
  </si>
  <si>
    <t>CONSTRUCTION OF MNHS SITE-B DRAINAGE SYSTEM AT MNHS SITE-B SCHOOL SITE, BRGY. POBLACION, MALAPATAN SARANGANI PROVINCE</t>
  </si>
  <si>
    <t>PROCUREMENT OF UREA AND TRIPLE 14 (14-14-14) FERTILIZERS, MALAPATAN SARANGANI PROVINCE</t>
  </si>
  <si>
    <t>supply &amp; delivery of Various Maintenance Materials</t>
  </si>
  <si>
    <t>Vehicle Part and Accessories (2020-05-121)</t>
  </si>
  <si>
    <t>Procurement of Medical Equipment Lot 4</t>
  </si>
  <si>
    <t>Procurement, Supply &amp; Delivery of Catering Services</t>
  </si>
  <si>
    <t>Procurement, Supply &amp; Delivery of Fuel, Oil and Lubricants</t>
  </si>
  <si>
    <t>Procurement of Physical Therapy Equipment Set</t>
  </si>
  <si>
    <t>Procurement of Oxygen Concentrators (6lpm)</t>
  </si>
  <si>
    <t>CONSTRUCTION OF KINDERGARTEN CENTER, MASINLOC CENTRAL ELEMENTARY SCHOOL</t>
  </si>
  <si>
    <t>Drug and Medicines (2020-05-087)</t>
  </si>
  <si>
    <t>Procurement of Reagent Refrigerator for Pharmaceutical Use</t>
  </si>
  <si>
    <t>Purchase of Various Construction Materials</t>
  </si>
  <si>
    <t>Drug and Medicines (2020-05-089)</t>
  </si>
  <si>
    <t>Drug and Medicines (2020-05-090)</t>
  </si>
  <si>
    <t>Office Supplies (2020-05-108)</t>
  </si>
  <si>
    <t>20ME0139 - Repair/Maintenance of DOJ Building Regional  Trial Court Building, Capitol Compound; Alabel, Sarangani Province</t>
  </si>
  <si>
    <t>20ME0138 - Repair/Maintenance of Municipal Trial Court  Office; Poblacion, Kiamba, Sarangani Province</t>
  </si>
  <si>
    <t>20ME0136 - Construction of Multi-Purpose Building Poblacion  Maasim; Maasim, Sarangani Province</t>
  </si>
  <si>
    <t>Purchase of Hardware(2020-05-086)</t>
  </si>
  <si>
    <t>20ME0137 - Repair/Maintenance DILG Building PNP-SPPO  Building; Kawas, Alabel, Sarangani Province</t>
  </si>
  <si>
    <t>Supply and Delivery of Various Medical, Dental and Laboratory Supplies (Lot No. 1 to Lot No. 5); PR No. 20-1165 dated 06 April 2020; SN 122-2020</t>
  </si>
  <si>
    <t>Proposed Installation of Streetlights (30 units Solar) at Brgy. San Cristobal, San Pablo City.</t>
  </si>
  <si>
    <t>20ME0135 - Improvement/Construction of Public Market  Malandag; Malungon, Sarangani Province</t>
  </si>
  <si>
    <t>Rehabilitation/Construction of Roads at Brgy. San Juan, Molo, Iloilo City (Bid No. 20-096)</t>
  </si>
  <si>
    <t>Office Supplies (2020-05-107)</t>
  </si>
  <si>
    <t>CONSTRUCTION OF KINDERGARTEN CENTER, GREGORIO ELA BAUTISTA ELEMENTARY SCHOOL</t>
  </si>
  <si>
    <t>INVITATION TO BID FOR THE SUPPLY AND INSTALLATION OF STREET LIGHTS AT BISLIG CITY</t>
  </si>
  <si>
    <t>20ME0140 - Repair/Maintenance DILG Building Malungon  Police Station Building; Malungon, Sarangani Province</t>
  </si>
  <si>
    <t>PROCUREMENT OF ONE (1) UNIT FIRETRUCK FORWARD FTR SINGLE CAB FOR BUREAU OF FIRE PROTECTION, MALAPATAN, SARANGANI PROVINCE</t>
  </si>
  <si>
    <t>20ME0141 - Repair/Maintenance along Sarangani-Davao del  Sur Coastal Road (Thermoplastic Pavement Markings), K1726+000-K1729+000 and K1732+000-K1734+000 (with exceptions); Glan, Sarangani Province</t>
  </si>
  <si>
    <t>Proposed Asphalt overlay at Brgy. San Juan, San Pablo City.</t>
  </si>
  <si>
    <t>Construction/Rehabilitation of Existing Drainage System at Brgy. Tacas, Jaro, Iloilo City (Bid No. 20-101)</t>
  </si>
  <si>
    <t>Procurement, Supply &amp; Delivery of Furniture and Fixtures</t>
  </si>
  <si>
    <t>20ME0142 - Repair/Maintenance along Digos-Makar Road  (Metal Beam including Post); Malungon, Sarangani Province</t>
  </si>
  <si>
    <t>Drug and Medicines (2020-05-111)</t>
  </si>
  <si>
    <t>Construction of Learning Resource Center for Classes at Jaro II Elementary School, Jaro, Iloilo City (Bid No. 20-102)</t>
  </si>
  <si>
    <t>Construction/Rehabilitation of Existing Drainage System at Brgy. San Vicente, Jaro, Iloilo City (Bid No. 20-097)</t>
  </si>
  <si>
    <t>Supply and Delivery of Various Medical, Dental and Laboratory Supplies (Lot No. 1 and Lot No. 9); PR No. 20-0946 dated 30 March 2020; SN 96a - 2020</t>
  </si>
  <si>
    <t>Rehabilitation/Construction of Roads at Brgy. Dulonan, Arevalo, Iloilo City (Bid No. 20-100)</t>
  </si>
  <si>
    <t>Vehicle Part and Accessories (2020-05-129)</t>
  </si>
  <si>
    <t>Supply and Delivery of One (1) Unit Basic Life Support (BLS) Ambulance Vehicle; PR No. 20-1182 dated 24 January 2020; SN 124 - 2020</t>
  </si>
  <si>
    <t>Construction and Operation of Sanitary Landfill (Pagalungan); SN 125 - 2020</t>
  </si>
  <si>
    <t>Procurement, Supply &amp; Delivery of IT Equipment</t>
  </si>
  <si>
    <t>Rehabilitation/Construction of Roads at Brgy. Calaparan, Arevalo, Iloilo City (Bid No. 20-105)</t>
  </si>
  <si>
    <t>Supply and Delivery of Circuit Breakers and Other Items; PR No. 20-1244 dated 04 May 2020; SN 121 - 2020</t>
  </si>
  <si>
    <t>PROCUREMENT OF MATERIALS FOR PROPOSED EXPANSION OF WATER SYSTEM AT SITIO ASPANG- MALYANG, BRGY. POBLACION, MALAPATAN, SARANGANI PROVINCE</t>
  </si>
  <si>
    <t>Vehicle Part and Accessories (2020-05-126)</t>
  </si>
  <si>
    <t>Construction of Two (2) Storey Two (2) Classroom Building at Jaro I Elementary School, Jaro, Iloilo City (Bid No. 20-104)</t>
  </si>
  <si>
    <t>Procurement, Supply &amp; Delivery of Hospital Bed Linen</t>
  </si>
  <si>
    <t>20AA0350 - REPAIR/REHABILITATION OF COLLAPSED SLOPE PROTECTION OF PASALENG BRIDGE ABUTMENT “A” BRGY. PASALENG, PAGUDPUD, ILOCOS NORTE</t>
  </si>
  <si>
    <t>Completion of Classroom at Esteban Juntado Sr. Memorial Elementary School, Calumpang, Molo, Iloilo City (Bid No. 20-103)</t>
  </si>
  <si>
    <t>Procurement of Hospital/Medical Equipment</t>
  </si>
  <si>
    <t>Procurement, Supply &amp; Delivery of Office Supplies</t>
  </si>
  <si>
    <t>SUPPLY &amp; DELIVERY OF OFFICE EQUIPMENT'S</t>
  </si>
  <si>
    <t>PROCUREMENT OF RESCUE/ EXTRICATION EQUIPMENT OF MDRRMO, MALAPATAN, SARANGANI PROVINCE</t>
  </si>
  <si>
    <t>Procurement of Laboratory Supplies and Equipment</t>
  </si>
  <si>
    <t>Procurement, Supply &amp; Delivery of Janitorial Supplies</t>
  </si>
  <si>
    <t>Supply and Delivery of Medical Devices and Supplies (PR No. 20-02-0080)</t>
  </si>
  <si>
    <t>Procurement, Supply &amp; Delivery of Office/Janitorial Supplies</t>
  </si>
  <si>
    <t>Vehicle Part and Accessories (2020-05-122)</t>
  </si>
  <si>
    <t>Drug and Medicines (2020-05-085)</t>
  </si>
  <si>
    <t>20HL0109 - Repair/Maintenance of DPWH Building, Office Building, Malabuhan,  Siaton, Negros Oriental</t>
  </si>
  <si>
    <t>CONSTRUCTION OF DRAINAGE CANAL AT UPPER BAYABAS NEAR BINADANG ASSOCIATION AREA</t>
  </si>
  <si>
    <t>Repair/Repainting/Improvement of Ynares Multi-Purpose Covered Court/Stage/ Multi-Purpose Buildings &amp; Movable Bleacher at  Angono &amp; Binangonan, Rizal; a) Repair/Repainting/Improvement of Ynares Multi-P</t>
  </si>
  <si>
    <t>PROCUREMENT OF LABOR AND MATERIALS FOR INSTALLATION AND REHABILITATION OF TRANSMISSION AND DISTRIBUTION LINES IN VARIOUS LOCATIONS (4 LOTS)</t>
  </si>
  <si>
    <t>Repair/Repainting of Ynares School Buildings &amp; Improvement of Ynares Multi-Purpose Covered Court at Evangelista Elem. School, Brgy. Evangelista, Baras, Rizal</t>
  </si>
  <si>
    <t>IMPROVEMENT OF FMR AT UPPER AMBIONG NEAR PAMELA INSAS AREA</t>
  </si>
  <si>
    <t>Vehicle Part and Accessories (2020-05-118)</t>
  </si>
  <si>
    <t>CONSTRUCTION OF FLOOD CONTROL AT BOLO CREEK</t>
  </si>
  <si>
    <t>Asphalt Overlaying/Concrete Reblocking (portion) of A. Mabini St., Brgy. Sto. Niňo, Cainta, Rizal</t>
  </si>
  <si>
    <t>Construction of 2-storey, 6-rooms Ynares School Building at Ithan Elem. School, Brgy. Ithan, Binangonan, Rizal</t>
  </si>
  <si>
    <t>Asphalt Overlaying of Roads at Angono &amp; Cardona, Rizal; a) Asphalt Overlaying of E. Dela Paz Street, Brgy. San Pedro, Angono, b) Asphalt Overlaying of Ampucao Road (portion), Brgy. Iglesia, Cardona</t>
  </si>
  <si>
    <t>Asphalt Overlaying of C. Cruz St., Brgy. Sto. Niňo, Cainta, Rizal</t>
  </si>
  <si>
    <t>Construction of 2-storey, 6-rooms Ynares School Building at Kalinawan Elem. School, Brgy. Kalinawan, Binangonan, Rizal</t>
  </si>
  <si>
    <t>IMPROVEMENT OF DRAINAGE CANAL AT SHEKDAN</t>
  </si>
  <si>
    <t>Construction of Drainage Canal at I.D. Julian Street, Brgy. Iglesia, Cardona, Rizal</t>
  </si>
  <si>
    <t>Improvement/Repair of Ynares Multi-Purpose Covered Court at Mahabang Parang National High School, San Juan Heights, Brgy. Mahabang Parang, Binangonan, Rizal</t>
  </si>
  <si>
    <t>Construction/Provision of Wash Facilities (Water, Sanitation &amp; Hygiene) at Lunsad Elem.School, Brgy. Lunsad, Binangonan, Rizal</t>
  </si>
  <si>
    <t>Repair of Roofing / Ceiling of Brgy.Hall Main and Repair of Flooring of Ynares Multi-Purpose Covered Court at Sitio Cinco, Brgy. Pinugay, Baras, Rizal</t>
  </si>
  <si>
    <t>Construction/Provision of Wash Facilities (Water, Sanitation &amp; Hygiene) at Libid Elem.School, Brgy. Libid, Binangonan, Rizal</t>
  </si>
  <si>
    <t>Improvement/Repair of Ynares Multi-Purpose Covered Court, Brgy. Tabon, Binangonan, Rizal</t>
  </si>
  <si>
    <t>Concreting of Road at Saint Pancratius Street, Park Place Village, Brgy. San Isidro, Cainta, Rizal</t>
  </si>
  <si>
    <t xml:space="preserve">Repair/Improvement of Stage &amp; Construction of School Signage at Brgy. Janosa, Binangonan, Rizal; a) Repair/Improvement of Stage at Brgy. Janosa, b) Construction of School Signage at Janosa Elementary </t>
  </si>
  <si>
    <t>Repair/Improvement of Ynares Multi-Purpose Building &amp; Installation of Electrical Lighting System of Ynares Multi-Purpose Covered Court at Brgy. Balibago &amp; Brgy. Looc, Cardona, Rizal; a) Repair/Improve</t>
  </si>
  <si>
    <t>Concreting (portion) of Rambo Feeder Road, Brgy. Halayhayin, Pililla, Rizal</t>
  </si>
  <si>
    <t>Asphalt Overlaying/Concrete Reblocking (portion) of Segundo Pillas St., Brgy. Punta, Jalajala, Rizal</t>
  </si>
  <si>
    <t>Construction/Provision of Wash Facilities (Water, Sanitation &amp; Hygiene) at Eastwood Residences, Brgy. San Isidro, Rodriguez, Rizal; a) Construction/Provision of Wash Facilities (Water, Sanitation &amp; Hy</t>
  </si>
  <si>
    <t>Repair/Repainting 2-Units 1-Storey Multi-Purpose Building (Health Center / Day Care Center), Brgy. Imatong, Pililla, Rizal</t>
  </si>
  <si>
    <t>Asphalt Overlaying of L. Cerrero St., Brgy. Macamot, Binangonan, Rizal</t>
  </si>
  <si>
    <t>Construction of 2-storey, 4-rooms Ynares School Building at Mariano C. San Juan Elem. School, Brgy. San Roque, Cardona, Rizal</t>
  </si>
  <si>
    <t>Construction/Provision of Wash Facilities (Water, Sanitation &amp; Hygiene) at Bagumbayan Elem.School, Brgy. Bagumbayan, Teresa, Rizal</t>
  </si>
  <si>
    <t>Asphalt Overlaying and Concrete Reblocking (portion) of A. Luna St., Brgy. Quisao, Pililla, Rizal</t>
  </si>
  <si>
    <t>Construction of 2-storey, 8-rooms Ynares School Building at Patiis Elem. School, Brgy. Malanday, San Mateo, Rizal</t>
  </si>
  <si>
    <t>Construction of 4-storey, 8-rooms Ynares School Building at Wawa Elem. School, Brgy. Wawa, Tanay, Rizal</t>
  </si>
  <si>
    <t>Rehabilitation of Feeder Road at Sitio Calasiao, Brgy. Bagumbayan, Pililla, Rizal</t>
  </si>
  <si>
    <t>Construction of Ynares Stage &amp; Improvement of Ynares Multi-Prpose Covered Court at Southville 8C Phase 1K, Kasiglahan Village, Brgy. San Jose, Rodriguez, Rizal</t>
  </si>
  <si>
    <t>Improvement of School Fence/Construction of School Arc &amp; Repair of Gate &amp; Artesian Well at Brgy. Bagumbayan &amp; Brgy. Hulo, Pililla, Rizal; a) Improvement of School Fence at Matagbak Elem. School, Brgy.</t>
  </si>
  <si>
    <t>Aspahlt Overlaying of San Antonio Road, Brgy. Quisao, Pililla, Rizal</t>
  </si>
  <si>
    <t>20CSEB03 - CLUSTER 2020-BR03: SUB-SURFACE/SOIL EXPLORATION FOR VARIOUS FY 2021 NATIONAL BRIDGE PROJECTS</t>
  </si>
  <si>
    <t>20CSEB04 - CLUSTER 2020-FCD01: SUB-SURFACE/SOIL EXPLORATION FOR VARIOUS FY 2021 FLOOD CONTROL PROJECTS: (CONSTRUCTION/ MAINTENANCE OF FLOOD MITIGATION STRUCTURES AND DRAINAGE SYSTEMS, CONSTRUCTION/ RE</t>
  </si>
  <si>
    <t>Improvement / Rehabiltation of E. Pillas Street (portion), Brgy. Punta, Jalajala, Rizal</t>
  </si>
  <si>
    <t>20CN0142-Construction/Rehabilitation of Water Supply/Septage and Sewerage/Rain Water Collector Systems,</t>
  </si>
  <si>
    <t>20CSEB05 - CLUSTER 2020-FCD02: SUB-SURFACE/SOIL EXPLORATION FOR VARIOUS FY 2021 FLOOD CONTROL PROJECTS: (CONSTRUCTION/ MAINTENANCE OF FLOOD MITIGATION STRUCTURES AND DRAINAGE SYSTEMS)</t>
  </si>
  <si>
    <t>20L00028 : Reconstruction of Concrete Pavement – Matina Crossing Road (Jct. Davao – Cotabato Road – Jct. Davao City Diversion Road), Davao City</t>
  </si>
  <si>
    <t>20L00152 : Road Widening &amp; Replacement of Bridge Along Jct. Davao City Diversion Rd. – Magtuod Rd. – New Carmen – Biao Escuela – Biao Joaquin – Jct. Davao – Bukidnon Rd., Davao City</t>
  </si>
  <si>
    <t>HYDRAULIC OIL</t>
  </si>
  <si>
    <t>Materials for the Concreting of Farm to Market Road, Brgy. Ayong, Cabatuan, Iloilo</t>
  </si>
  <si>
    <t>20MD00131 Thermoplastic Pavement Markings along Davao-Cotabato Road, Pigcawayan, Libungan, Midsayap Section w/ exception, Pigcawayan, Libungan, Midsayap, Cotabato</t>
  </si>
  <si>
    <t>Materials for the Upgrading/Rehabilitation of Isolation Facility, LGU-Cabatuan, Iloilo</t>
  </si>
  <si>
    <t>20L00150 : Rehabilitation of Paved Road Along Bypass Rd. at Jct. Davao –Cotabato Rd. – Central Park (Cordillera Rd.) – Jct. Matina Aplaya Rd., Davao City</t>
  </si>
  <si>
    <t>20MD0130 Thermoplastic Pavement Markings along Davao-Cotabato Road, Pikit, Aleosan, Midsayap Section w/exception,  Pikit, Aleosan, Midsayap, Cotabato</t>
  </si>
  <si>
    <t>INF-ITB 20-026 Construction of One (1) Sanitary Landfill for Treated Special Waste Cell at IPEMC, Brgy. Tinongcop, Tantangan, South Cotabato</t>
  </si>
  <si>
    <t>INVITATION TO BID FOR THE SUPPLY AND DELIVERY OF COA SERVICE VEHICLE</t>
  </si>
  <si>
    <t>20L00151 : Rehabilitation of Paved Road Along Matina Crossing Road (Jct. Davao – Cotabato Road – Jct. Davao City Diversion Road), Davao City</t>
  </si>
  <si>
    <t>LABOR AND MATERIALS FOR THE EVACUATION CENTER AND DISASTER RISK REDUCTION-RELATED EQUIPMENT AT POBLACION,BADIAN,CEBU</t>
  </si>
  <si>
    <t>20L00154 : Road Widening Along Jct. Davao City Diversion Road – Langub Road – Magtuod Road, Davao City</t>
  </si>
  <si>
    <t>INF-ITB 20-024 Upgrading of Modon - Kiantay Boundary Road, Sto. Niño, South Cotabato</t>
  </si>
  <si>
    <t>INF-ITB 20-025 Construction of Lined Canal along Cannery Junction Upper Klinan - Klinan 6 Road, Polomolok, South Cotabato</t>
  </si>
  <si>
    <t>20MD0133 Replacement (Re-blocking of Concrete Pavement),  Along Davao-Cotabato Road, Aleosan Section and Dualing-New Panay-Midsayap Road, Kimagango Section, Cotabato</t>
  </si>
  <si>
    <t>PURCHASE OF ONE (1) UNIT MOTOR VEHICLE, BRGY. BAYAMBANG, INFANTA, PANGASINAN</t>
  </si>
  <si>
    <t>20MD0132 Resurfacing of Unpaved Road Shoulder along Dualing - New Panay - Midsayap Road, Arizona - Poblacion 8, Midsayap, Cotabato</t>
  </si>
  <si>
    <t>Purchase of Ink Toner</t>
  </si>
  <si>
    <t>Requirements for X-ray License to Operate</t>
  </si>
  <si>
    <t>PR# 20-0842- Supply and Commissioning of 70 Air-Conditioning Units at the Legislative Building</t>
  </si>
  <si>
    <t>PR# 20-0910- Supply and Delivery of Various Heavy Equipment</t>
  </si>
  <si>
    <t>Conc. of Joson St., Calatagan Brgy. Road, Re-bid</t>
  </si>
  <si>
    <t>PURCHASE OF FURNITURE'S  AND FIXTURES</t>
  </si>
  <si>
    <t>INF-ITB 20-027 Repair of Nhwy. Kipot - Banga - Nhwy. Purok Reyes and Banga - Lamba - Derilon - Lampari Road, Banga, South Cotabato</t>
  </si>
  <si>
    <t>Supply and delivery of various laboratory and radiology supplies and materials</t>
  </si>
  <si>
    <t>Construction of Motorpool</t>
  </si>
  <si>
    <t>Electrical Materials for Streetlighting</t>
  </si>
  <si>
    <t>QRF CY 2020 CONSTRUCTION OF SLOPE PROTECTION</t>
  </si>
  <si>
    <t>Q-085-20 PROCUREMENT OF HARDWARE AND CONSTRUCTION SUPPLIES</t>
  </si>
  <si>
    <t>PR# 20-1204- 5,000 M3 Hauling and Transport of Residual Waste and General Waste (Tipping Fee)</t>
  </si>
  <si>
    <t>PR# 20-0906 - 2 units Brand New Multi-Purpose Vehicle/ Passenger-Type Vehicle</t>
  </si>
  <si>
    <t>CIVIL WORKS FOR THE CONSTRUCTION OF MATERIAL RECOVERY FACILITIES (MRF)</t>
  </si>
  <si>
    <t>Supply and delivery of various drugs and medicines for Ospital Ning Capas</t>
  </si>
  <si>
    <t>Airconditioning Unit for the Use of Isolation Facilty, LGU-Cabatuan, Iloilo</t>
  </si>
  <si>
    <t>PURCHASE OF MATERIALS FOR THE CONSTRUCTION AND IMPROVEMENT OF GYMNASIUM AND SCHOOL SITE</t>
  </si>
  <si>
    <t>Supply and delivery of various drugs and medicines and, laboratory and dental supplies and materials</t>
  </si>
  <si>
    <t>PROCUREMENT OF WELFARE GOODS OF BRGY BIARONG SANGGUNIANG KABATAAN TO SUPPORT IN COVID-19 PANDEMIC</t>
  </si>
  <si>
    <t>Roofing Materials for Rehabilitation and Improvement of LGU Main Building</t>
  </si>
  <si>
    <t>Repair Maintenance of Municipal Vehicle</t>
  </si>
  <si>
    <t>PR NO. 2020-06-014 PROCUREMENT OF GROCERY ITEMS, VIAND AND VEGETABLES, MNAO OF LGU-MAPANAS, NORTHERN SAMAR</t>
  </si>
  <si>
    <t>20GB0121 - Repair and Maintenance of Road Safety Facilities, Anini-y, T. Fornier, Hamtic, Sibalom, San Remigio, Bugasong, Valderrama, Laua-an &amp; Barbaza, Antique</t>
  </si>
  <si>
    <t>Procurement of one unit Motorcyle</t>
  </si>
  <si>
    <t>Procurement of Information Technology for CBMS Training</t>
  </si>
  <si>
    <t>PROCUREMENT OF WELFARE GOODS OF BRGY BIARONG TO SUPPORT IN COVID-19 PANDEMIC</t>
  </si>
  <si>
    <t>CONSULTANCY SERVICES ON CLUP/CDP FORMULATION</t>
  </si>
  <si>
    <t>Construction of Canan Level II Potable Water System</t>
  </si>
  <si>
    <t>AMP SVP 20-06-0278A: Repair Works at Bonsai Garden</t>
  </si>
  <si>
    <t>20GB0122 - Access Road Leading to San Jose Port and Beaches &amp; Sunset Viewing,  San Jose Boulevard/Esplanade (Hotels, Inns and Beach Resorts), San Jose, Antique</t>
  </si>
  <si>
    <t>INVITATION TO BID FOR IT PROVIDER (BID NO. 200623-01)</t>
  </si>
  <si>
    <t>Purchase of medical, dental and laboratory supplies to be use at the Rural Health Unit</t>
  </si>
  <si>
    <t>PROCUREMENT OF WELFARE GOODS OF BRGY BONGO TO SUPPORT IN COVID-19 PANDEMIC</t>
  </si>
  <si>
    <t>Service Vehicle of PNP Personnel</t>
  </si>
  <si>
    <t>Procurement of 1 unit Electro Mechanical Equipment with complete accessories</t>
  </si>
  <si>
    <t>CONSTRUCTION OF GARBENCO MULTIPURPOSE BUILDING/WAREHOUSE</t>
  </si>
  <si>
    <t>Purchase of commonly used drugs and medicines to be use at the Rural Health Unit</t>
  </si>
  <si>
    <t>Construction  of Rattan Processing Center Facility, Phase 1, Cabisera 10, City of Ilagan, Isabela</t>
  </si>
  <si>
    <t>PROCUREMENT OF WELFARE GOODS OF BRGY KIGAN SANGGUNIANG KABATAAN TO SUPPORT IN COVID-19 PANDEMIC</t>
  </si>
  <si>
    <t>Supply and Delivery of Musical Instruments (PR No. 19-09-0386)</t>
  </si>
  <si>
    <t>Procurement of Medicines and Medical Supplies for Pana-on ILHZ 2020 Program Implementation</t>
  </si>
  <si>
    <t>CONSTRUCTION OF ADMINISTRATIVE BUILDING OF PUP BANSUD CAMPUS</t>
  </si>
  <si>
    <t>Construction Of Multi-Purpose Building, Brgy. Cabalitian, Asingan, Pangasinan</t>
  </si>
  <si>
    <t>20GB0123 - Concreting of Brgy. Maybunga FMR, Brgy. Maybunga, Laua-an, Antique</t>
  </si>
  <si>
    <t>Construction of Flood Control</t>
  </si>
  <si>
    <t>INVITATION TO BID FOR TAILORING  (BID NO. 200623-04)</t>
  </si>
  <si>
    <t>Construction of Open Drainage</t>
  </si>
  <si>
    <t>Construction  of Slope Protection at KM 8+945 to KM 8+969, Ilagan &amp; Divilacan, Isabela</t>
  </si>
  <si>
    <t>Construction Materials of Water Reservoir, at M.Francisco Evacuation Cenetr</t>
  </si>
  <si>
    <t>INVITATION TO BID FOR VEHICLE (4 WHEELS) AND ACCESSORIES (BID NO. 200623-05)</t>
  </si>
  <si>
    <t>Supply &amp; Delivery of Food and Non Food Supplies, Equipment and Office Supplies for MSWDO and Mayor's Office, Rodriguez, Rizal</t>
  </si>
  <si>
    <t>INVITATION TO BID FOR ELECTRICAL EQUIPMENT AND APPLIANCE - A (BID NO. 200623-06)</t>
  </si>
  <si>
    <t>Procurement of  construction  of  multi-purpose  building at Sitio Daruca, Poblacion</t>
  </si>
  <si>
    <t>INVITATION TO BID FOR NO CATEGORY (RESCUE UTILITY TRAILER) (BID NO. 200623-03)</t>
  </si>
  <si>
    <t>Construction  of Slope Protection at KM 10+860 to KM 10+990, Ilagan &amp; Divilacan, Isabela</t>
  </si>
  <si>
    <t>New Barangay Road Construction (Purok 7)</t>
  </si>
  <si>
    <t>CONSTRUCTION AND REHABILITATION OF CLIMATE RESILIENT DRAINAGE</t>
  </si>
  <si>
    <t>CONSTRUCTION OF RESERVOIR AT GREEN VALLEY BRGY. DALWANGAN, MALAYBALAY CITY.</t>
  </si>
  <si>
    <t>Const. Of NCDC Building</t>
  </si>
  <si>
    <t>INVITATION TO BID FOR FURNITURE AND FIXTURES (PLASTIC) (BID NO. 200623-02)</t>
  </si>
  <si>
    <t>Improvement of San Antonio St. along Day Care Center</t>
  </si>
  <si>
    <t>INVITATION TO BID FOR CONSTRUCTION SUPPLIES AND MATERIALS (BID NO. 200623-09)</t>
  </si>
  <si>
    <t>PR# 20-0905- 1 unit Brand New Backhoe 1 unit Brand New Hydraulic Breaker-Attachment</t>
  </si>
  <si>
    <t>PURCHASE OF FURNITURE'S AND FIXTURES</t>
  </si>
  <si>
    <t>Construction of Multi-Purpose Building with Storage Room and Two Public Comfort Room at Brgy. Tumbaga 1, Sariaya, Quezon</t>
  </si>
  <si>
    <t>Procurement of Infrastructure for Road Concreting of Poblacion to Baluarte Municipal Road</t>
  </si>
  <si>
    <t>ITB for Procurement of Materials for Office Supplies 2020</t>
  </si>
  <si>
    <t>20LA0319 Construction of Water System Anislagan, Maco, Compostela Valley</t>
  </si>
  <si>
    <t>INVITATION TO BID FOR FURNITURE AND FIXTURES (NON-ERGONOMIC) (BID NO. 200623-07)</t>
  </si>
  <si>
    <t>Labor &amp; Materials for the Construction of Seawall @ Purok Sunflower</t>
  </si>
  <si>
    <t>Construction  of Nanaguan Bridge, Brgy. Nanaguan, City of Ilagan, Isabela</t>
  </si>
  <si>
    <t>CONSTRUCTION AND REHABILITATION OF CLIMATE RESILIENT ROADS AND BRIDGES</t>
  </si>
  <si>
    <t>INVITATION TO BID FOR SPARE PARTS FOR LIGHT &amp; HEAVY EQUIPMENT (BID NO. 200623-08)</t>
  </si>
  <si>
    <t>20LA0320 Construction of Water System, Taglawig, Maco, Compostela Valley</t>
  </si>
  <si>
    <t>CONCRETING OF APNAGAN ROAD</t>
  </si>
  <si>
    <t>20LA0321 Improvement of Water System Purok 3, Bongbong, Pantukan, Compostela Valley</t>
  </si>
  <si>
    <t>20LA0323 Completion of Academic Building Construction in Compostela Campus (Phase 3 of 3 phases in Davao de Oro), Compostela, Davao de Oro</t>
  </si>
  <si>
    <t>BPSU Abucay Campus: – Supply, Delivery and Installation of Furniture and Fixtures for the Completion of 2-Storey Academic Building 2</t>
  </si>
  <si>
    <t>Procurement of construction materials for Concreting of Municipal Road at Ngileb</t>
  </si>
  <si>
    <t>Rehabilitation of Rizal – Villa Pascua Road</t>
  </si>
  <si>
    <t>Additional Works: Accounting Pantry, Capitol Compound, Re-bid</t>
  </si>
  <si>
    <t>SUPPLY AND DELIVERY OF WHITE CORN SEEDS (OPV) TO BE DISTRIBUTED TO FARMERS IN UPLAND BARANGAYS OF MOLAVE, ZDS</t>
  </si>
  <si>
    <t>Procurement of Infrastructure for Library Building Improvement(2nd Floor)</t>
  </si>
  <si>
    <t>20LA0322 Improvement of Water System Patilan, Bongbong, Pantukan, Compostela Valley</t>
  </si>
  <si>
    <t>Drugs &amp; Medicines use in Siocon District Hospital</t>
  </si>
  <si>
    <t>For Frontliners in the combat against COVID-19</t>
  </si>
  <si>
    <t>INVITATION TO BID FOR INDUSTRIAL CHEMICALS (BID NO. 200623-11)</t>
  </si>
  <si>
    <t>INVITATION TO BID FOR NO CATEGORY (GIFT CHECK CERTIFICATE) (BID NO. 200623-12)</t>
  </si>
  <si>
    <t>PURCHASE OF VARIOUS MATERIALS FOR THE MAINTENANCE OF PNP VEHICLES</t>
  </si>
  <si>
    <t>PURCHASE OF DRUGS AND MEDICINES FOR 1ST QUARTER</t>
  </si>
  <si>
    <t>PURCHASE OF BEMONC SUPPLIES</t>
  </si>
  <si>
    <t>20CSGB01-CONDUCT OF GEOTECHNICAL INVESTIGATION FOR FY 2021 INFRASTRUCTURE PROJECTS, PROVINCE OF ANTIQUE</t>
  </si>
  <si>
    <t>INVITATION TO BID FOR GROCERIES (BID NO. 200623-13)</t>
  </si>
  <si>
    <t>PURCHASE OF AIRCON SPLIT TYPE</t>
  </si>
  <si>
    <t>Rehabilitation of Diffun – Liwayway - Sitio Pallutan Road</t>
  </si>
  <si>
    <t>PROCUREMENT OF VARIOUS WELFARE GOODS OF BRGY ROMONGAOB TO SUPPORT IN COVID-19 PANDEMIC</t>
  </si>
  <si>
    <t>20LA0326 Repair/Rehabilitation/Improvement of Road along Asuncion-San Isidro-Laak-Veruela Road, Compostela Valley</t>
  </si>
  <si>
    <t>Improvement of Processing Center of Quirino Coffee Enterprise</t>
  </si>
  <si>
    <t>Rehabilitation of Maria Clara-San Isidro Road</t>
  </si>
  <si>
    <t>70TH ARAW NG LABANGAN 2020</t>
  </si>
  <si>
    <t>Procurement/Acquisition of Vehicle(School Bus)</t>
  </si>
  <si>
    <t>20LA0325 Construction of Water System, Laak NHS, Brgy. Poblacion, Laak, Compostela Valley</t>
  </si>
  <si>
    <t>PURCHASE OF WATER SERVICE CONNECTION MATERIALS/FITTINGS</t>
  </si>
  <si>
    <t>20LA0329 Opening of Road, Tipga-Napnapan-Mabatos-Panganason, Brgy. Napnapan, Kingking, Pantukan, Compostela Valley</t>
  </si>
  <si>
    <t>INSTALLATION OF WATER SYSTEM @ HIGHWAY FOOD COURT</t>
  </si>
  <si>
    <t>Office Supplies (PMTO)</t>
  </si>
  <si>
    <t>20LA0328 Construction of Multi-Purpose Building, Manat ES, Brgy. Manat, Nabunturan, Compostela Valley</t>
  </si>
  <si>
    <t>INVITATION TO BID FOR OFFICE SUPPLIES AND MATERIALS (BID NO. 200623-14)</t>
  </si>
  <si>
    <t>20LA0324 Construction of Level II Water Supply System, Purok 7 &amp; 8, Brgy. Fuentes, Pantukan, Compostela Valley</t>
  </si>
  <si>
    <t>20EG0091-Repair and Maintenance of Road Safety Facilities along National Roads K0000+000 - K0000+579.20, Puerto Princesa South Road (S00040PW) and K0000+017.50-K0000+162, Puerto Princesa Wharf Road (S</t>
  </si>
  <si>
    <t>20LA0327 Asphalt Overlay along Daang Maharlika Highway, Tuburan Section, Brgy. Tuburan, Mawab, Compostela Valley</t>
  </si>
  <si>
    <t>INVITATION TO BID FOR FUEL, OIL, LUBRICANTS AND SERVICING (BID NO. 200623-15)</t>
  </si>
  <si>
    <t>MEALS AND SNACKS FOR THE YEAR ROUND WOMEN EMPOWERNMENT ORIENTATIONS AND FREE LEGAL ASSISTANCE</t>
  </si>
  <si>
    <t>Construction of Retaining Wall at Baung,Piat,Cagayan</t>
  </si>
  <si>
    <t>20LA0331 Construction of Retaining Wall along Asuncion-Laak-Veruela Rd. Libuton Section, Laak, Compostela Valley</t>
  </si>
  <si>
    <t>20HN0115 -Repair and Maintenance (Asphalt Overlay) at Intermittent Sections of Mactan Circumferential Road Km 31+000 to KM 33+000 (S00020LP), Lapu-Lapu City</t>
  </si>
  <si>
    <t>Improvement of Processing Center of Quirino Banana Enterprise</t>
  </si>
  <si>
    <t>BPSU Abucay Campus: – Supply, Delivery and Installation of Equipment and Laboratory Instruments for the Completion of 2-Storey Academic Building 2</t>
  </si>
  <si>
    <t>Supply and Delivery of One (1) unit Brand New 6 x 4 x 10-Wheeler, 32 ft. Truck Chassis Mounted with 32 x 8 x 8 footer Wing Van Body</t>
  </si>
  <si>
    <t>Emergency Response Vehicle</t>
  </si>
  <si>
    <t>PROCUREMENT OF 400 PACKS RELIEF GOODS</t>
  </si>
  <si>
    <t>20LA0330 Asphalt Overlay along Montevista-Compostela-New Bataan-Maragusan Bdry. Road, Compostela Valley</t>
  </si>
  <si>
    <t>INSTALLATION OF ELECTRIC LINES SERVICE DROP @ HIGHWAY FOOD COURT</t>
  </si>
  <si>
    <t>20LA0334 Construction of Road, Camansi-Banglasan Junction Road, Brgy. Camansi, Montevista, Compostela Valley</t>
  </si>
  <si>
    <t>20LA0283 Construction of MPB Brgy. Tagnanan, Mabini, Compostela Valley</t>
  </si>
  <si>
    <t>DIESEL AND GASOLINE FOR AFP,PNP,BFP MAY 2020 - DIESEL</t>
  </si>
  <si>
    <t>REHABILITATION OF VARIOUS LOCAL ROADS - DIESEL</t>
  </si>
  <si>
    <t>INVITATION TO BID FOR FUEL, OIL, LUBRICANTS AND SERVICING (BID NO. 200623-17)</t>
  </si>
  <si>
    <t>Supply &amp; delivery of materials for Rehabilitation of Magdagooc Spring Box</t>
  </si>
  <si>
    <t>20LA0332 Repair/Maintenance of Hijo Revetment along Hijo River, Brgy. Hijo, Maco, Compostela Valley</t>
  </si>
  <si>
    <t>INVITATION TO BID FOR FUEL, OIL, LUBRICANTS AND SERVICING (BID NO. 200623-18)</t>
  </si>
  <si>
    <t>INVITATION TO BID FOR FUEL, OIL, LUBRICANTS AND SERVICING (BID NO. 200623-16)</t>
  </si>
  <si>
    <t>20HN0116 -Repair/Maintenance and Improvement of Cansaga Bay Bridge, Consolacion and Mandaue City, Cebu</t>
  </si>
  <si>
    <t>20LA0333 66X- Selective Replacement of Concrete Pavement along Asuncion-San Isidro-Laak Veruela Road, K1492+950-K1526+593 Intermittent Section; Daang Maharlika Road, K1377±201- K1445+1058 Intermittent</t>
  </si>
  <si>
    <t>20LA0286 Construction of MPB (Gym) Kingking, Pantukan, Compostela Valley</t>
  </si>
  <si>
    <t>DIESEL FOR EMERGENCY SITUATIONS FOR THE MONTH OF MAY 2020 - DIESEL</t>
  </si>
  <si>
    <t>20LA0290 Construction of Multi-Purpose Building, Brgy. Bawani, Mawab, Compostela Valley</t>
  </si>
  <si>
    <t>PROCUREMENT OF VARIOUS WELFARE GOODS OF BRGY KUYA TO SUPPROT IN COVID-19 PANDEMIC</t>
  </si>
  <si>
    <t>PROCUREMENT OF MATERIALS FOR TEMPORARY HOLDING FACILITY</t>
  </si>
  <si>
    <t>20LA0284 Construction of Multi-Purpose Bldg., (Municipal Gym), Laak, Compostela Valley</t>
  </si>
  <si>
    <t>RICE AND OTHER COMMODITIES FOR AFP,PNP,BFP FOR MAY 2020 - RICE @ 25 KGS</t>
  </si>
  <si>
    <t>20LA0287 Completion of Multi-Purpose Building, MIB Compound, Tuburan 10th Division Philippine Army, Mawab, Compostela Valley</t>
  </si>
  <si>
    <t>LANDSCAPING OF HIGHWAY FOOD COURT</t>
  </si>
  <si>
    <t>COMPLETION OF MULTI-PURPOSE HALL</t>
  </si>
  <si>
    <t>School Forms SHS</t>
  </si>
  <si>
    <t>PROPOSED CONTINUING CONSTRUCTION OF CULTURAL STAGE</t>
  </si>
  <si>
    <t>PROCUREMENT OF VARIOUS WELFARE GOODS OF BRGY BONGO SANNGUNIANG KABATAAN TO SUPORT IN COVID-19 PANDEMIC</t>
  </si>
  <si>
    <t>20LA0285 Improvement of Multi-Purpose Building, Nabunturan Comprehensive National High School, Nabunturan, Compostela Valley</t>
  </si>
  <si>
    <t>Supply and delivery of hardware supplies and materials for the rehabilitation of RDET Building to Science Centrum</t>
  </si>
  <si>
    <t>PURCHASE OF BRGY. AMBULANCE VEHICLE</t>
  </si>
  <si>
    <t>The Supply and Delivery of One (1) Unit Ambulance with Complete Accessories (Re-Bid)</t>
  </si>
  <si>
    <t>20LA0291 Construction of 2 Storey Multi-Purpose Building (Municipal Health Center), Brgy. Poblacion, Montevista, Compostela Valley</t>
  </si>
  <si>
    <t>20LA0292 Construction of Multi-Purpose Building., Brgy. Poblacion, Mawab, Compostela Valley</t>
  </si>
  <si>
    <t>20LA0293 Construction of Multi-Purpose Building, Pindasan ES, Mabini, Compostela Valley</t>
  </si>
  <si>
    <t>Repair of Gov't Vehicle with Plate No. SJC 540</t>
  </si>
  <si>
    <t>Supply and Delivery of various const. materials for the Development Villasis Eco Resort &amp; Evacuation Center Complex construction of Steel Fence, Brgy. Unzad, Villasis, Pangasinan</t>
  </si>
  <si>
    <t>Concreting of Brgy. Hall,Brgy. Coline,Alimodian Iloilo</t>
  </si>
  <si>
    <t>Construction of Mini Gym</t>
  </si>
  <si>
    <t>PURCHASE OF MOTOR VEHICLES FOR THE OFFICIAL USE OF THE CITY OF DASMARIÑAS</t>
  </si>
  <si>
    <t>PROPOSED WATER PIPE EXPANSION</t>
  </si>
  <si>
    <t>20LA0294 Construction of Multi-Purpose Building (Health Center), Pangutosan, Nabunturan, Compostela Valley</t>
  </si>
  <si>
    <t>Supply and Delivery of various construction materials for the construction of drainage system, Brgy Caramutan, Villasis, Pangasinan</t>
  </si>
  <si>
    <t>20LA0295 Construction of Multi-Purpose Building (Health Center), Diat, Pantukan, Compostela Valley</t>
  </si>
  <si>
    <t>Improvement of Multi-Purpose Pavement,Brgy, Ban-ag, Alimodian Iloilo</t>
  </si>
  <si>
    <t>Supply and Delivery of various const. materials for the Construction of Multi-Purpose Hall (Renovation of Brgy. Health Center), Brgy. Capulaan, Villasis, Pangasinan</t>
  </si>
  <si>
    <t>20LA0300 Improvement of MPB (Gym) Linda, Nabunturan, Compostela Valley</t>
  </si>
  <si>
    <t>Supply and Delivery of Various Medical Supplies</t>
  </si>
  <si>
    <t>20DD0219 (Re-Advertised) Local Program, Local Infrastructure Program, Flood Control and Drainage, Drainage / Protection Works, Construction / Rehabilitation of Drainage System at Brgy. Bolbok, Lipa Ci</t>
  </si>
  <si>
    <t>20LA0299 Rehabilitation of Multi-Purpose Building, Brgy. Saosao, Mawab, Compostela Valley</t>
  </si>
  <si>
    <t>Biologics for Veterinary Outreach Program</t>
  </si>
  <si>
    <t>Supply and Delivery of various const. materials for the Construction of Multi-Purpose Hall (Phase I), Pob. Zone III, Villasis, Pangasinan</t>
  </si>
  <si>
    <t>Concreting of Kawayan St. (from Sampaguita Ave. - Gumamela St.)</t>
  </si>
  <si>
    <t>PR 2020-03-018 Supply and Delivery of Materials for the Construction Section Office and Annex Office at 3rd Floor of DPWH DEO – Comval Building Davao De Oro</t>
  </si>
  <si>
    <t>CONSTRUCTION OF LOCAL ACCESS ROAD TO SANITARY LANDFILL BRGY. KALYAAT LUCBAN, QUEZON</t>
  </si>
  <si>
    <t>REBIDDING ON THE PROVISION OF LABOR, MATERIALS, EQUIPMENT AND OTHER INCIDENTALS NEEDED FOR THE IMPROVEMENT OF TAGUIPORO GRANDE DIVERSION DAM (DD) AT BRGY. TAGUIPORO GRANDE, BANGUI, ILOCOS NORTE</t>
  </si>
  <si>
    <t>Supply and Delivery of various const. materials for the Development Villasis Eco Resort &amp; Evacuation Center Complex Const. of CHB Fence, Access Rd to RHU, retaining wall, Drainage System, Brgy. Unzad,</t>
  </si>
  <si>
    <t>20LA0301 Improvement of MPB (Brgy. Hall) (Including Site Development), Magnaga, Pantukan, Compostela Valley</t>
  </si>
  <si>
    <t>Procurement of Rehabilitation of Access Road leading to Poultry, Swine and Cattle Projects</t>
  </si>
  <si>
    <t>REBIDDING ON THE PROVISION OF LABOR, MATERIALS, EQUIPMENT AND OTHER INCIDENTALS NEEDED FOR THE IMPROVEMENT OF BARCELONA DIVERSION DAM INTAKE STRUCTURE AND CANAL LINING AT BRGY. BARCELONA, SOLSONA, ILO</t>
  </si>
  <si>
    <t>Supply and Delivery of Construction Materials for the Construction of 3 units Solar Dryer</t>
  </si>
  <si>
    <t>Air Curtain with Installation to be placed @ Municipal Annex Building in this Municipality of Santa Cruz Laguna</t>
  </si>
  <si>
    <t>Procurement of Powdered Milk Drink for the use in Supplemental Feeding to Pre-School Children, Province of Aklan /ITB no: 2020-327</t>
  </si>
  <si>
    <t>20LA0308 Construction of MPB (3 storey) Kolehiyo and Pantukan (KNP) 12 classrooms, Pantukan, Compostela Valley</t>
  </si>
  <si>
    <t>Supply and Delivery of various construction materials for the concreting of Farm to Market Road Libtong Rd 1, Brgy. Caramutan, Villasis, Pangasinan</t>
  </si>
  <si>
    <t>Concreting of Molave St. (from Lawaan St. - Kawayan St.)</t>
  </si>
  <si>
    <t>INVITATION TO BID FOR PROJECT: IMPROVEMENT OF MULTI-PURPOSE HALL (SUPPLY AND INSTALLATION OF PPR PIPING SYSTEM/AUTOMATIC WATER CLOSET AND URINAL FLUSH SENSORS/SANITARY WARES/VALVES AND FIXTURES/TILE W</t>
  </si>
  <si>
    <t>20LA0310 Concreting of Purok 1 to 5, Sitio Mampising, Brgy. Tagnanan FMR, Brgy. Tagnanan, Mabini, Compostela Valley</t>
  </si>
  <si>
    <t>Contracting of Security Services (Blue Guards) for Twelve Months Province of Northern Samar</t>
  </si>
  <si>
    <t>Purchase and Delivery of Inorganic Fertilizers and Pesticides</t>
  </si>
  <si>
    <t>20LA0309 Rehabilitation of Multi-Purpose Building (Senior Citizen B uilding) Brgy. Poblacion, Nabunturan, Compostela Valley</t>
  </si>
  <si>
    <t>CID No. 20IC0063: Const. of Hospital Building, Schistosomiasis Control and Research Institute, Palo, Leyte; ABC: P16,660,000.00; 164 CD</t>
  </si>
  <si>
    <t>20GM0071 - Concreting of Sitio Batbat to Sitio Tis-an, Brgy. Isio FMR,  Brgy. Isio, Cauayan, Negros Occidental</t>
  </si>
  <si>
    <t>SUPPLY AND DELIVERY OF HAULING TRUCK LOT 1: TWO (2) UNITS HAULING TRUCK (ALUMINUM VAN TYPE) LOT 2: ONE (1) UNIT HAULING TRUCK (DROP SIDE TYPE)</t>
  </si>
  <si>
    <t>20LA0302 Completion of Multi-Purpose Building (Gym) Magsaysay ES, Magsaysay, Nabunturan, Compostela Valley</t>
  </si>
  <si>
    <t>PR 2020-03-022 Supply and Delivery of Materials for Activity 71X – Special Maintenance of Reflective Thermoplastic Stripping Materials (Solid Form) along Surigao – Davao Coastal Road K1781+586 – K1821</t>
  </si>
  <si>
    <t>20LA0312 Concreting of Canlawig, Brgy. Poblacion – Brgy. Pamintaran FMR (Phase II), Brgy. Pamintaran, Maragusan, Compostela Valley</t>
  </si>
  <si>
    <t>20PC0001CS- Consultancy Services for the Geotechnical Investigation for Bridge and Flood Control Projects  Package I: 1.)  Construction of Rakiang Bridge-Cadaclan, Construction of Kirut Bridge-Eva Gar</t>
  </si>
  <si>
    <t>Supply and Delivery of various construction materials for the concreting of Farm to Market Road connecting Libtong Rd 1&amp;2, Brgy. Caramutan, Villasis, Pangasinan</t>
  </si>
  <si>
    <t>CLUSTER 28-2020</t>
  </si>
  <si>
    <t>DRUGS AND MEDICINE EXPENSES</t>
  </si>
  <si>
    <t>20DD0311 Local Program, Local Infrastructure Program, Buildings and Other Structures, Multipurpose/ Facilities, Construction/ Completion of Multi-Purpose Building, Brgy. Castillo, Padre Garcia, Batang</t>
  </si>
  <si>
    <t>20GM0072 - Concreting of Sitio Banman, Brgy. Locotan FMR, Brgy. Locotan, Kabankalan City, Negros Occidental</t>
  </si>
  <si>
    <t>PROCUREMENT OF SERVICES FOR THE ONE (1) LOT – EVENT ORGANIZING</t>
  </si>
  <si>
    <t>20DD0310 Local Program, Local Infrastructure Program, Buildings and Other Structures, Multipurpose/ Facilities, Construction of Multi-Purpose Building at Sen. Claro M. Recto Memorial Integrated School</t>
  </si>
  <si>
    <t>20DD0313 Local Program, Local Infrastructure Program, Local Roads and Bridges, Local Roads, Improvement of Road, Brgy. Taysan, San Jose, Batangas</t>
  </si>
  <si>
    <t>20FO0093 - Construction/Expansion/Rehabilitation of Public Markets/Farmers Markets (Bagsakan Centers) and Public Cemeteries in the 3rd District of Albay (13 sites)</t>
  </si>
  <si>
    <t>20LA0311 Concreting of Brgy. Talian FMR, Brgy. Talian, Maragusan, Compostela Valley</t>
  </si>
  <si>
    <t>20DD0312 Local Program, Local Infrastructure Program, Buildings and Other Structures, Multipurpose/ Facilities, Completion of Multi-Purpose Building (Gym), Brgy. Poblacion, Ibaan, Batangas</t>
  </si>
  <si>
    <t>LAUNDRY SERVICES</t>
  </si>
  <si>
    <t>FOOD SUPPLIES EXPENSES (SUPPLEMENTAL FEEDING)</t>
  </si>
  <si>
    <t>Rice Subsidy (Solo Parents, PWD's, Malnourished, Senior Citizens)</t>
  </si>
  <si>
    <t>RENTAL OF TRANSPORT SERVICES FOR THE HAULING OF DILAPIDATED VEHICLES FROM MAKATI CITY TO CALAMBA, LAGUNA</t>
  </si>
  <si>
    <t>Agricultural Supplies Expenses</t>
  </si>
  <si>
    <t>PR 2020-03-027 Supply and Delivery of Printer Consumables and I.T. Supplies/ Equipments, for use in the Office of the Construction Section, DPWH-DEO Nabunturan, Davao De Oro Province</t>
  </si>
  <si>
    <t>SUPPLY OF MATERIALS FOR REHABILITATION OF WATER SYSTEM(CONS. OF RESERVOIR)</t>
  </si>
  <si>
    <t>CONSTRUCTION OF MULTI - PURPOSED BUILDING @ BRGY. NEW LABANGAN, LABANGAN, ZDS</t>
  </si>
  <si>
    <t>20DD0315 Local Program, Construction/ Repair/ Rehabilitation/ Improvement of Various Infrastructure Including Local Projects, Local Roads and Bridges, Local Roads, Rehabilitation of Road including Dra</t>
  </si>
  <si>
    <t>Procurement of Supply and Delivery of Various Construction Supplies and Materials</t>
  </si>
  <si>
    <t>REBIDDING ON THE PROVISION OF LABOR, MATERIALS, EQUIPMENT AND OTHER INCIDENTALS NEEDED FOR THE REHABILITATION OF SAN CRISTOBAL SMALL WATER IMPOUNDING PROJECT (SWIP) CANAL LINING AT BRGY. SAN CRISTOBAL</t>
  </si>
  <si>
    <t>Supply &amp; delivery of materials for water distribution of the  different barangays of the Municipality of Poro</t>
  </si>
  <si>
    <t>(RE-POST) Rehabilitation of Multi-Purpose Stage</t>
  </si>
  <si>
    <t>20LA0313 Concreting of Sitio Bonbon – Brgy. Mangloy to Sitio Mangub, Brgy. Emelda FMR, Brgy. Mangloy and Brgy. Emelda, Laak, Compostela Valley</t>
  </si>
  <si>
    <t>20DD0314 Local Program, Local Infrastructure Program, Local Roads and Bridges, Local Roads, Road Improvement with Line Canal, Brgy. San Miguel, Padre Garcia, Batangas to Brgy. Sta. Cruz, Rosario, Bata</t>
  </si>
  <si>
    <t>Supply &amp; Delivery of Materials for the Rehabilitation &amp; Improvement of Children’s Youth Park</t>
  </si>
  <si>
    <t>Labor and Materials for the Perimeter Fence of the New Rural Health Unit at Sitio Pag-asa, Brgy. Wawa, Orion, Bataan</t>
  </si>
  <si>
    <t>Request of Various Organizations and Barangays from the Office of the Vice-Mayor for 1st Quarter in this Municipality of Santa Cruz Laguna</t>
  </si>
  <si>
    <t>20PC0002CS-Consultancy Services for the Geotechnical Investigation for the Construction of Multi-Purpose Building Luna, Apayao</t>
  </si>
  <si>
    <t>20FO0094 - Concreting of Sukip-Matanglad FMR, Brgy. Sukip, Pioduran, Albay</t>
  </si>
  <si>
    <t>TIRE PATH CONCRETING @ BRGY. TAPODOC, LABANGAN ZDS</t>
  </si>
  <si>
    <t>20DD0316 Local Program, Construction/ Repair/ Rehabilitation/ Improvement of Various Infrastructure Including Local Projects, Buildings and Other Structures, Multipurpose/ Facilities, Rehabilitation o</t>
  </si>
  <si>
    <t>REBIDDING ON THE PROVISION OF LABOR, MATERIALS, EQUIPMENT AND OTHER INCIDENTALS NEEDED FOR THE REHABILITATION OF IRRIGATION CANAL OF SALBANG DIVERSION DAM (DD) AT BRGY. SALBANG, PAOAY, ILOCOS NORTE</t>
  </si>
  <si>
    <t>PROCUREMENT OF MEDICINES &amp; LABORATORY SUPPLIES FOR USE AT MCH/MCHC</t>
  </si>
  <si>
    <t>Publication No. 26-2020-G (First Publication) Common Office Supplies (Lot 2)</t>
  </si>
  <si>
    <t>Procurement of 1 Unit Garbage Compactor</t>
  </si>
  <si>
    <t>INSTALLATION OF STREET LIGHTING SYSTEM @ BRGY. TAPODOC, LABANGAN ZDS</t>
  </si>
  <si>
    <t>20DD0317 Local Program, Construction/ Repair/ Rehabilitation/ Improvement of Various Infrastructure Including Local Projects, Buildings and Other Structures, Multipurpose/ Facilities, Rehabilitation o</t>
  </si>
  <si>
    <t>20DD0320 Construction/ Rehabilitation of Water Supply/ Septage and Sewerage/ Rainwater Collectors- Rain Water Collectors in Public Facilities</t>
  </si>
  <si>
    <t>20FO0095 - Construction of Rain Water Collection System (RWCS) in Region V, CY 2020</t>
  </si>
  <si>
    <t>Life Vest-MAO</t>
  </si>
  <si>
    <t>20DD0319 Local Program, Local Infrastructure Program, Local Roads and Bridges, Local Roads, Construction/Improvement of Road, Brgy. Taysan, San Jose, Batangas</t>
  </si>
  <si>
    <t>CONSTRUCTION OF TOILET @ BRGY. DIPAYA, LABANGAN ZDS</t>
  </si>
  <si>
    <t>Rabies Vaccine for immediate use in the continuous massive rabies vaccination in the Barangays of Nueva Valencia-OMAS</t>
  </si>
  <si>
    <t>REBIDDING ON THE PROVISION OF LABOR, MATERIALS, EQUIPMENT AND OTHER INCIDENTALS NEEDED FOR THE IMPROVEMENT OF MANUGOS SMALL SCALE IRRIGATION SYSTEM AT BRGY. PATIACAN, QUIRINO, ILOCOS SUR</t>
  </si>
  <si>
    <t>Materials for the Construction of Feeding/ Lunch Area-Napandong ES, Brgy. Napandong</t>
  </si>
  <si>
    <t>20JB0076 - Concreting of Local Roads, Dipolog City, Zamboanga Del Norte.</t>
  </si>
  <si>
    <t>Supply &amp; Delivery of Materials for the  Rehabilitation of Drainage Canal</t>
  </si>
  <si>
    <t>Materials for the Construction of School Perimeter Fence- NVCS, Brgy. Poblacion</t>
  </si>
  <si>
    <t>CONSTRUCTION OF HEALTH CENTER @ BRGY. DIPAYA, LABANGAN ZDS</t>
  </si>
  <si>
    <t>20DD0318 Local Program, Local Infrastructure Program, Buildings and Other Structures, Multipurpose/ Facilities, Improvement of Multi-Purpose Building, Brgy. San Roque, Rosario, Batangas</t>
  </si>
  <si>
    <t>REBIDDING ON THE PROVISION OF LABOR, MATERIALS, EQUIPMENT AND OTHER INCIDENTALS NEEDED FOR THE REHABILITATION OF IRRIGATION CANAL OF SAN AGUSTIN DIVERSION DAM (DD) AT BRGY. SAN AGUSTIN, PAOAY, ILOCOS</t>
  </si>
  <si>
    <t>20LA0314 Construction of Concreting of road with drainage, Tagugpo NHS, Pantukan, Compostela Valley</t>
  </si>
  <si>
    <t>Materials for the Construction of School Canopy-Igang ES, Brgy. Igang</t>
  </si>
  <si>
    <t>ESTABLISHMENT OF CENTRAL COMPOST PIT @ BRGY. DIPAYA, LABANGAN ZDS</t>
  </si>
  <si>
    <t>20LA0315 Opening of Tipga Napnapan to Mabaros, Panganason, Kingking, Pantukan, Compostela Valley</t>
  </si>
  <si>
    <t>SUPPLY AND DELIVERY OF SCHOOL SHOES (LEATHER) FOR DISTRIBUTION TO ALL PUBLIC ELEMENTARY AND SECONDARY SCHOOLS IN MAKATI CITY</t>
  </si>
  <si>
    <t>Supply and Installation of Additional Split Type – Inverter Airconditioner at PBB Fixed Link, NAIA Terminal 3</t>
  </si>
  <si>
    <t>PR No. 2020-02-0267-MAIN-Supply and Delivery of Cosmetology Equipment for the Cosmetology Technology Laboratory of CTAS</t>
  </si>
  <si>
    <t>Replacement of Elevators PE1, PE2 and SE4 at NAIA Terminal 1</t>
  </si>
  <si>
    <t>Procurement-Supply &amp; Delivery of Office Equipment</t>
  </si>
  <si>
    <t>20DD0324 Local Program, Construction/ Repair/ Rehabilitation/ Improvement of Various Infrastructure Including Local Projects, Buildings and Other Structures, Multipurpose/ Facilities, Rehabilitation o</t>
  </si>
  <si>
    <t>20DD0321 Local Program, Local Infrastructure Program, Buildings and Other Structures, Multipurpose/ Facilities, Construction and/or Repair/Rehabilitation of Multi-Purpose Building, Brgy. Bago, Ibaan,</t>
  </si>
  <si>
    <t>20DD0323 Local Program, Local Infrastructure Program, Water Management Facilities, Water Supply, Construction of Water System at Brgy. Duhatan, Lipa City, Batangas</t>
  </si>
  <si>
    <t>DIETARY SERVICES</t>
  </si>
  <si>
    <t>20DD0322 Local Program, Local Infrastructure Program, Buildings and Other Structures, Multipurpose/ Facilities, Construction/ Rehabilitation of Multi-Purpose Building, Lipa City, Batangas</t>
  </si>
  <si>
    <t>Procurement of supply and delivery of tires</t>
  </si>
  <si>
    <t>Agricultural Supplies</t>
  </si>
  <si>
    <t>PURCHASE OF KNAPSACK POWER NEBULIZER (RHU)</t>
  </si>
  <si>
    <t>PR 2020-05-077 Consolidated Supply and Delivery of Fuel (Diesel) for the use in Activity 111 (Premix Patching Bituminous Pavements) along Benigno S. Aquino Jr. National Highway Road K1414±1205 – K1427</t>
  </si>
  <si>
    <t>Construction of Legislative Building of the Lamut, Ifugao, Lamut, Ifugao</t>
  </si>
  <si>
    <t>FARM TO MARKET ROAD CONCRETING &amp; CONSTRUCTION OF REINFORCED CONCRETE BOX CULVERT</t>
  </si>
  <si>
    <t>Rehabilitation of San Guillermo Public Market, Centro II</t>
  </si>
  <si>
    <t>CID No. 20IC00731: 1. Repair/Maint. of DPWH Bldg, Field &amp; Lab. Bldg, Leyte 1 DEO, Palo, Leyte; 2. Repair/Maint. of DENR Bldg, LRA, Gov. Center, Palo, Leyte; Total ABC: P2,940,000.00; 144 CD</t>
  </si>
  <si>
    <t>Procurement of FUEL for LGU use (2nd quarter 2020)</t>
  </si>
  <si>
    <t>CID No. 20IC0074: Repair/Maint. of Paran Creek, Flood Control, Brgy. District III, Babatngon, Leyte; ABC: P3,920,000.00; 66 CD</t>
  </si>
  <si>
    <t>SUPPLY AND DELIVERY OF SCHOOL BAGS FOR DISTRIBUTION TO SPED AND KINDER PUPILS OF ALL PUBLIC ELEMENTARY SCHOOLS IN MAKATI CITY</t>
  </si>
  <si>
    <t>Printing  of College Yearbook SY 2019-2020 Including Photography</t>
  </si>
  <si>
    <t>Repair/Maintenance of DILG Building, PNP-PNCO Barracks Building</t>
  </si>
  <si>
    <t>Construction of Powerhouse @ CDRRMC, Brgy. Zone 3, Cadiz City</t>
  </si>
  <si>
    <t>CID No. 20IC0075: Repair/Maint. of Cavite East Drainage System, Palo, Leyte; ABC: P4,900,000.00; 93 CD</t>
  </si>
  <si>
    <t>Municipality of Poro Office Supplies for CY 2020</t>
  </si>
  <si>
    <t>CONSTRUCTION OF THIRTY TWO (32) UNITS HANDWASHING FACILITY</t>
  </si>
  <si>
    <t>PURCHASE OF IT EQUIPMENT FOR SPECIAL PROGRAM IN ICT</t>
  </si>
  <si>
    <t>20NA0066 Concreting of Brgy. Calamba FMR, Cabadbaran City, Agusan del Norte</t>
  </si>
  <si>
    <t>Improvement  along Longboy-Tacal FMR (Tacal Section)</t>
  </si>
  <si>
    <t>CONSTRUCTION OF DRAINAGE SYSTEM AT DON JUAN BAYVIEW SUBDIVISION, BRGY. SUCAT, MUNTINLUPA CITY (*RE-POSTED)</t>
  </si>
  <si>
    <t>Construction of Rainwater Collector System FY 2020 5th and 6th District Pangasinan  1. Yatyat E/S, Brgy. Yatyat, Laoac, Pang. 	11. Mabini E/S, Brgy. Mabini, Balungao, Pang.  2. Queved-Anisca E/S, Brgy</t>
  </si>
  <si>
    <t>Procurement of Medicine (Rebidding) for Lying in Clinic</t>
  </si>
  <si>
    <t>Procurement of Brand New Ambulance Vehicle for the use of Malay Municipal Hospital, Malay, Aklan/ITB no: 2020-328</t>
  </si>
  <si>
    <t>IMPROVEMENT OF CAYAPES COMMUNITY CENTER</t>
  </si>
  <si>
    <t>TO SUPPY AND DELIVERY OF MATERIALS FOR THE COMPLETION OF ONE STOP SHOP(TOURISM BUILDING) PART A</t>
  </si>
  <si>
    <t>SUPPLY AND DELIVERY OF RAINCOAT JACKETS WITH HOODIE FOR DISTRIBUTION TO ALL PUBLIC SECONDARY SCHOOLS IN MAKATI CITY</t>
  </si>
  <si>
    <t>Repair/Maintenance of DILG Building, BJMP-Female Cell Building</t>
  </si>
  <si>
    <t>Concreting of Rosal St.. (from Lawaan St. - Rambutan St. and Everlasting St. - Cadena de Amor St.)</t>
  </si>
  <si>
    <t>GF-20-02-00080 PROCUREMENT OF VARIOUS CONSTRUCTION SUPPLIES</t>
  </si>
  <si>
    <t>SUPPLY AND DELIVERY OF MATERIALS FOR CONSTRUCTION OF FISHPOND</t>
  </si>
  <si>
    <t>REHABILITATION OF DRAINAGE SYSTEM ALONG ST. FRANCIS STREET, JPA SUBDIVISION, TUNASAN, MUNTINLUPA CITY (*RE-POSTED)</t>
  </si>
  <si>
    <t>Concreting of Tanguile St. (from Molave Ave. - Sampaloc St. to Lawaan St.)</t>
  </si>
  <si>
    <t>Construction/Repair/Rehabilitation/Improvement of Burnay-Umalbong Road Improvement in Hingyon, Ifugao, Hingyon, Ifugao</t>
  </si>
  <si>
    <t xml:space="preserve">Contract ID No. 20GP00062 - Purchase of Heavy Equipment, Trucks, and Service Vehicles for use of DPWH-CAR Regional Office for Dredging Activities and Quick Response Equipment (QRE) LOT A: Excavators  </t>
  </si>
  <si>
    <t>Installation of Perimeter Fence and Slope Protection of Malaunay Multi- Purpose  Bldg (Negotiated)</t>
  </si>
  <si>
    <t>SUPPLY AND DELIVERY OF RAINCOAT AND RAIN BOOT SETS FOR DISTRIBUTION TO KINDER PUPILS OF ALL PUBLIC ELEMENTARY SCHOOLS IN MAKATI CITY</t>
  </si>
  <si>
    <t>Procurement-Supply &amp; Delivery of Office Supplies</t>
  </si>
  <si>
    <t>3.	Purchase of Medical, Dental and Laboratory Supplies (5% Acetic Acid, Auto Lancet 100’s (Medic), etc.) for use of 12 District Hospital.</t>
  </si>
  <si>
    <t>1.	Purchase of Medical, Dental and Laboratory Supplies (AHG-Poly (Green), Specimen Bottle, etc.) for use of 12 District Hospital.</t>
  </si>
  <si>
    <t>Procurement-Supply &amp; Delivery of Vehicle Spare Parts</t>
  </si>
  <si>
    <t>Supplies and Materials for Infirmary Building at Poblacion Nabunturan</t>
  </si>
  <si>
    <t>Procurement of Hardware and Construction Supplies for SAN RAFAEL SUR</t>
  </si>
  <si>
    <t>SUPPLY AND DELIVERY OF DENTAL AND HYGIENE KITS FOR DISTRIBUTION TO ALL PUBLIC ELEMENTARY SCHOOLS IN MAKATI CITY</t>
  </si>
  <si>
    <t>Repair/Maintenance of Barangay 1 Flood Control</t>
  </si>
  <si>
    <t>4.	Purchase of Medical, Dental and Laboratory Supplies (ALP ELITECH AUTOMATIC, BUA ELITECH MANUAL, etc.) for use of 12 District Hospital.</t>
  </si>
  <si>
    <t>PR# 20-0843- 6,500 prefilled syringe epoetin ALFA 4000iu 1ml 5,000 prefilled syringe epoetin BETA 5000iu 3ml 500 prefilled syringe INSULIN GLARGINE 100iu/ml 3ml 250 vials ISOPHANE INSULIN HUMAN (Recom</t>
  </si>
  <si>
    <t>5.	Supply and Installation of Spare Parts (Oil Filter, Fuel Filter, etc.) for the repair and maintenance of RP Ambulance (Toyota Grandia) with Plate No. SJD 105, property No. 0805-MV-017 under Apacibl</t>
  </si>
  <si>
    <t>Drilling Machine-MAO</t>
  </si>
  <si>
    <t>Construction of Barangay Outpost</t>
  </si>
  <si>
    <t>CONSTRUCTION OF FLOOD CONTROL - PANDAYAN,  SAN  JUAN, ILOCOS SUR</t>
  </si>
  <si>
    <t>SUPPLY AND DELIVERY OF VARIOUS SUPPLIES FOR BUILDING MAINTENANCE AT MAKATI CITY HALL COMPOUND</t>
  </si>
  <si>
    <t>TO SUPPLY AND DELIVERY OF MATERIALS FOR THE COMPLETION OF ONE STOP SHOP IN ITS AMENITIES (GROUND FLOOR/PARTIAL 2ND FLOOR) PART B</t>
  </si>
  <si>
    <t>REPAIR AND MAINTENANCE OF MOTOR VEHICLES INCLUDING PARTS AND SUPPLY OF TIRES AND BATTERIES FOR USE BY DIFFERENT DEPARTMENTS/OFFICES OF THE CITY GOVERNMENT OF MAKATI FOR 2020</t>
  </si>
  <si>
    <t>SECURITY SERVICES AT VARIOUS MAKATI CITY PUBLIC BUILDINGS UNDER CLUSTER I FOR 2020</t>
  </si>
  <si>
    <t>IMPROVEMENT ALONG ALEM FOOT TRAIL</t>
  </si>
  <si>
    <t>6.	Landscaping of Provincial Capitol Compound (near Provincial Tourism, front of Ecology and Laurel Park) for the beautification of Provincial Capitol Compound.</t>
  </si>
  <si>
    <t>Procurement of Alcohol and Tissue  for Supplies of MVMO - Laak, Davao De Oro</t>
  </si>
  <si>
    <t>Construction of Reception/Guardhouse Building (Phase I) Carmen Eco Park</t>
  </si>
  <si>
    <t>COMPLETION OF BUAYA BARANGAY HEALTH CLINIC, MAPITPITA,BUAYA, BALBALAN</t>
  </si>
  <si>
    <t>Renovation of MDRRMO Building, Carmen, Cotabato</t>
  </si>
  <si>
    <t>SUPPLY AND INSTALLATION OF ELECTRO MECHANICAL GREASE DISPENSERS WITH GREASE SERVICE PACKS AT MAKATI CITY HALL BUILDING I, II UNIVERSITY OF MAKATI AND MAKATI CENTRAL POLICE STATION</t>
  </si>
  <si>
    <t>Concreting of Open Space at Carmen Eco Park &amp; Resort</t>
  </si>
  <si>
    <t>Supply and Delivery with Installation of Materials for the Establishment of Matang-Tubig Pumping Station</t>
  </si>
  <si>
    <t>Repair/Maintenance of Palagao Flood Control</t>
  </si>
  <si>
    <t>Construction/Rehabilitation of Road, Sitio Bicay, Brgy. Natividad, Pangil, Laguna</t>
  </si>
  <si>
    <t>SUBSCRIPTION OF OFFICE PRODUCTIVITY SUITE WITH MAIL MIGRATION SERVICE FOR ONE (1) YEAR</t>
  </si>
  <si>
    <t>Installation Of Streetlights</t>
  </si>
  <si>
    <t>Improvement along Amionget Foot Trail with Handrails</t>
  </si>
  <si>
    <t>7.	Supply and Installation of One (1) unit 4HP Floor Standing Aircon including 5ft. Excess piping and dismantle of existing unit for use of the General Services Office</t>
  </si>
  <si>
    <t>OUTSOURCING OF LAUNDRY SERVICES FOR THE YEAR 2020</t>
  </si>
  <si>
    <t>1 pc – Projector (see attached specifications)</t>
  </si>
  <si>
    <t>Purchase of CCTV and accessories</t>
  </si>
  <si>
    <t>Procurement of Uniform &amp; Sanitary Supply (for Public Utility Vehicle Drivers), LGU, Baybay City, Leyte</t>
  </si>
  <si>
    <t>RENTAL OF MECHANICAL VENTILATORS AND BI-BAP FOR OSPITAL NG MAKATI 2020 (PEDIA AND ADULT)</t>
  </si>
  <si>
    <t>Concreting/Construction of Local Road, Sitio Maunlad, Brgy. Duhat, Sta. Cruz, Laguna</t>
  </si>
  <si>
    <t>GF-20-02-00165 PROCUREMENT OF BUSINESS REGISTRATION PLATE</t>
  </si>
  <si>
    <t>Concreting/Construction of Local Road, Brgy. Bagumbayan, Sta. Cruz, Laguna</t>
  </si>
  <si>
    <t>Improvement of Multi Purpose Hall</t>
  </si>
  <si>
    <t>8.	Supply and Installation of 46 pieces Theater Chair for the replacement of worn out theater chairs at Provincial Auditorium with Property No. 06-1012-304-349.</t>
  </si>
  <si>
    <t>Procurement of FUEL</t>
  </si>
  <si>
    <t>Construction/Repair/Rehabilitation/Improvement of Tungngod-Boliwong Local Road, Lagawe, Ifugao</t>
  </si>
  <si>
    <t>PREVENTIVE MAINTENANCE SERVICES FOR VARIOUS MEDICAL AND LABORATORY EQUIPMENT OF OSPITAL NG MAKATI (3 LOTS)</t>
  </si>
  <si>
    <t>Construction of temporary stalls at Bauan Public Market, Bauan, Batangas</t>
  </si>
  <si>
    <t>Construction/Repair/Rehabilitation/Improvement of Burnay-Anao Road in Hingyon, Ifugao, Hingyon, Ifugao</t>
  </si>
  <si>
    <t>CONTINUATION OF LIGAYAN-CUBIIL ACCESS ROAD</t>
  </si>
  <si>
    <t>REPAIR AND MAINTENANCE SERVICES FOR VARIOUS MEDICAL, DENTAL AND LABORATORY EQUIPMENT OF MAKATI HEALTH DEPARTMENT</t>
  </si>
  <si>
    <t>DSWD Center and Residential Care Facilities Grocery for CY 2020</t>
  </si>
  <si>
    <t>Supply and Delivery of Ambulance</t>
  </si>
  <si>
    <t>Fabrication of Artificial Coral Reef (for various Brgys.), LGU, Baybay City, Leyte</t>
  </si>
  <si>
    <t>20GDM0094 (P.R. No. 2020-06-0094) Purchase of High-Performance Desktop Computer for Drone and UAV Mapping Platform Processing to be used in the Planning &amp; Design Section,  DPWH, Quezon III DEO, Catana</t>
  </si>
  <si>
    <t>SUPPLY AND DELIVERY OF MEDICAL EQUIPMENT ACCESSORIES (SOLARIS PATIENT MONITOR ACCESSORIES – FETAL MONITOR FETALGUARD LITE)</t>
  </si>
  <si>
    <t>Supply and Delivery of Diesel &amp; Unleaded Gasoline, Oil and Lubricants w/ Separate Fuel Dispenser</t>
  </si>
  <si>
    <t>SUPPLY AND DELIVERY OF SUPPLIES AND MATERIALS FOR REPAIR AND MAINTENANCE OF DAMAGED/DILAPIDATED ROADS, STREET PAVEMENTS, SIDEWALKS, MANHOLES/COVER AND STREET LIGHTS, DECLOGGING AND DESILTING OF CANALS</t>
  </si>
  <si>
    <t>Repair/Maintenance of Masaya Sur Flood Control</t>
  </si>
  <si>
    <t>Concreting of Roads, Brgy. Concepcion, Lumban, Laguna</t>
  </si>
  <si>
    <t>PROCUREMENT OF SANITARY LANDFILL SERVICES FOR THE DISPOSAL OF THE MUNICIPALITY’S RESIDUAL WASTES</t>
  </si>
  <si>
    <t>20LB0236 - Construction of Flood Control Structure for Datu Loho Creek, Davao City</t>
  </si>
  <si>
    <t>SUPPLY AND DELIVERY OF MEDICAL SUPPLIES (3 WAY STOPCOCK WITH TUBING LUER LOCK – YANKAUER SUCTION SET) THROUGH ORDERING AGREEMENT</t>
  </si>
  <si>
    <t>Procurement of Various Common Use Supplies and Equipment (Not Available in DBM-PS Depot) to be Used in the Different Offices of LGU-Molave, ZDS for the First(1st) Quarter 2020</t>
  </si>
  <si>
    <t>Appliances</t>
  </si>
  <si>
    <t>Installation of transformer for waterworks system at Barangay San Agustin, Bauan, Batangas</t>
  </si>
  <si>
    <t>WIRELESS INTERNET CONNECTION FOR VARIOUS SCHOOL OF BALIWAG NORTH DISTRICT</t>
  </si>
  <si>
    <t>GEOTECHNICAL INVESTIGATION FOR BUILDING PROJECT SITES, Lamut, Lagawe and Hungduan, Ifugao</t>
  </si>
  <si>
    <t>Materials for the Local Access Road Rehabilitation/Improvement (Rehab/Improvement of Municipal Road) with Drainage Canal-Brgy. Poblacion</t>
  </si>
  <si>
    <t>Construction of road at Barangay Aplaya, Bauan, Batangas</t>
  </si>
  <si>
    <t>Supply and Delivery of one (1) Unit of Airconditioning Unit 2.5HP Split Type Including Installation</t>
  </si>
  <si>
    <t>20LB0264 - Concreting of Brgy. Baliok FMR, Brgy. Baliok, Talomo District, Davao City</t>
  </si>
  <si>
    <t>Concreting/Construction of Local Road, Sitio Bagong Lipunan, Brgy. Duhat, Sta. Cruz, Laguna</t>
  </si>
  <si>
    <t>20GKK0024 – Supply and Delivery of Consumable Supplies to be used for Kyocera Printers at BAC, Supply, Cash Unit, Construction, PDS and Maintenance Section</t>
  </si>
  <si>
    <t>SUPPLY &amp; DELIVERY OF ONE (1) UNIT OF SERVICE VEHICLE TO BE USED BY MUNTINLUPA CITY TECHNICAL INSTITUTE (*RE-POSTED)</t>
  </si>
  <si>
    <t>20LB0265 - Concreting of Purok Bagong Silang to National Highway Junction Phase 2, Brgy. Paquibato Proper FMR, Brgy. Paquibato Proper, Paquibato District, Davao City</t>
  </si>
  <si>
    <t>Invitation to Bid for Contract No, 4AQ-BLD-20-024</t>
  </si>
  <si>
    <t>Supply and Delivery of one (1) Unit of CCTV CAMERA Including Installation</t>
  </si>
  <si>
    <t>Procurement of Livestock for Livelihood, LGU (for various brgys), Baybay City, Leyte</t>
  </si>
  <si>
    <t>Purchase of Books, Guides, and Instructional Materials – City Schools Division</t>
  </si>
  <si>
    <t>Purchase of Tables and Chairs for Various Schools – City Schools Division</t>
  </si>
  <si>
    <t>ITB - Vehicles (Rebid)</t>
  </si>
  <si>
    <t>CONSTRUCTION OF AGCAOILI - BALUTOC DRAINAGE CANAL</t>
  </si>
  <si>
    <t>SUPPLY &amp; DELIVERY OF ICT EQUIPMENT FOR USE OF VARIOUS OFFICES (*RE-POSTED)</t>
  </si>
  <si>
    <t>One (1) lot Supply of Materials, Labor, Tools, Equipment, Consumables, Supervision, and Other Services for the Application of Solar/Heat Reflective Roof Coating at the Coin Blank Storage, as per BSP S</t>
  </si>
  <si>
    <t>20LB0287 - Construction of Revetment Along Talomo River Sta. 3+340 to Sta. 3+455, Davao City</t>
  </si>
  <si>
    <t>20LB0269 - Concreting of Sitio Salukadang Phase 2, Brgy. Mapula FMR, Brgy. Mapula, Paquibato District,      Davao City</t>
  </si>
  <si>
    <t>General improvement of Bauan Public Market Phase II, Bauan, Batangas</t>
  </si>
  <si>
    <t>Concreting/Construction of Local Road, Brgy. Gatid, Sta. Cruz, Laguna</t>
  </si>
  <si>
    <t>SUPPLY AND DELIVERY OF 6W 4X2 DUMP TRUCK</t>
  </si>
  <si>
    <t>20LB0276 - Concreting of Paquibato Proper to Purok Napo Phase 2 FMR, Brgy. Paquibato Proper, Paquibato District, Davao City</t>
  </si>
  <si>
    <t>20GKK0025 – Supply, Delivery and Installation of Regulatory Signs along GCVR</t>
  </si>
  <si>
    <t>20GE0105 - Road Widening – at Specific Locations along Rizal – Jordan Wharf Rd (S00026GR) K0008+(-632) – K0008+(-408)</t>
  </si>
  <si>
    <t>IMPROVEMENT OF ACCESS FOOT TRAILS TO BADI FALLS (W/ HANDRAILS)</t>
  </si>
  <si>
    <t>Procurement of Extrication Tools and Equipment – BDRRMO</t>
  </si>
  <si>
    <t>SUPPLY &amp; DELIVERY OF VARIOUS CONSTRUCTION MATERIALS FOR MAINTENANCE DIVISION NEEDED FOR VARIOUS REPAIRS IN CITY HALL AND OTHER GOVERNMENT BUILDINGS TO BE USED BY ENGINEERING DEPARTMENT</t>
  </si>
  <si>
    <t>SUPPLY AND DELIVERY OF ONE HUNDRED THIRTEEN (113) UNITS PUMP AND ENGINE SET</t>
  </si>
  <si>
    <t>Procurement of Vehicles to be Used for Mitigation, Preparedness, Rescue, and Emergency Response Operations – BDRRMO</t>
  </si>
  <si>
    <t>Delivery of 2 in 1 Computer Monitor for Grades I-III of Dasol District.</t>
  </si>
  <si>
    <t>Construction of Water System, Brgy. Higulo-an, Baybay City, Leyte</t>
  </si>
  <si>
    <t>20GKK0026 – Supply, Delivery and Replacement/Installation of Pavement Studs</t>
  </si>
  <si>
    <t>FINANCIAL ASSIST. TO B-KAWAYAN FOR ROAD CONCRETING</t>
  </si>
  <si>
    <t>SUPPLY &amp; DELIVERY OF ONE (1) UNIT OF SERVICE VEHICLE TO BE USED BY TRAINING DIVISION OF DRRM OFFICE (*RE-POSTED)</t>
  </si>
  <si>
    <t>20LB0288 - Construction of Revetment Along Talomo River Sta. 3+455 to Sta. 3+542, Davao City</t>
  </si>
  <si>
    <t>Purchase of One (1) Unit RP Vehicle Dumptruck</t>
  </si>
  <si>
    <t>20GKK0028 – Supply and Delivery of Asphalt Pen. Grade 60/70 to be used for Act. 122 - Cracks and Joint Sealing of Concrete Pavement along BCIR</t>
  </si>
  <si>
    <t>Procurement of Supplies and Materials for General Use 2020</t>
  </si>
  <si>
    <t>G-2020-14 SERVICES OF A CERTIFYING BODY FOR THE INTEGRATED MANAGEMENT SYSTEM (IMS) OF THE  DEVELOPMENT BANK OF THE PHILIPPINES</t>
  </si>
  <si>
    <t>Construction of Comfortroom, Nalundan Elementary School</t>
  </si>
  <si>
    <t>Proposed Land Development of Cemetery Area</t>
  </si>
  <si>
    <t>Supply and Delivery of Training Materials for Bookkeeping NC III</t>
  </si>
  <si>
    <t>Construction of Patag Bridge, Brgy. Patag, Baybay City, Leyte</t>
  </si>
  <si>
    <t>Purchase of Drugs, Medicines and Supplies</t>
  </si>
  <si>
    <t>Laboratory Equipment</t>
  </si>
  <si>
    <t>Procurement of Cardiac Monitor and Cardiac Defibrillator (HFEP)</t>
  </si>
  <si>
    <t>Procurement of Fetal Monitor (HFEP)</t>
  </si>
  <si>
    <t>IMPROVEMENT OF STREET LIGHTING-POBLACION</t>
  </si>
  <si>
    <t>Rehabilitation/Improvement of Road Project, Brgy. Poblacion, Cavinti, Laguna</t>
  </si>
  <si>
    <t xml:space="preserve">20DP0072 : Repair and Maintenance of Road Safety Facilities along 1. Intersection of Calamba – Sta. Cruz – Famy Junction Road and Maspang Highway,   2. San Pablo – Calauan Road, K0075 + 000 – K0075 + </t>
  </si>
  <si>
    <t>20GKK0027 – Supply and Delivery of Grasscutter/BrushCutter to be used by Maintenance Roadside Worker for Vegetation Control along BCIR and GCVR</t>
  </si>
  <si>
    <t>Repair/Maintenance of DILG Building Bureau of Fire Protection Provincial Building Lamut Fire Station, Lamut, Ifugao</t>
  </si>
  <si>
    <t>Purchase of Mdeical Supplies CMH</t>
  </si>
  <si>
    <t>Construction of Fish Pala-Pala</t>
  </si>
  <si>
    <t>20GKK0029 – Supply and Delivery of Sand to be used for Asphalting Works along BCIR</t>
  </si>
  <si>
    <t>SUPPLY &amp; DELIVERY OF COAGULATION REAGENT TIE – UP TO BE USED AT OSPITAL NG MUNTINLUPA (*RE-POSTED)</t>
  </si>
  <si>
    <t>20GE0106 - Construction of Concrete Road – Sta. Teresa – Espinosa Road access leading to Cabaling Beach Resort at Barangay Espinosa, Jordan, Guimaras</t>
  </si>
  <si>
    <t>Purchase of Medical Supplies CMH</t>
  </si>
  <si>
    <t>CONSTRUCTION OF NATIONAL CHILD DEVELOPMENT CENTER</t>
  </si>
  <si>
    <t>Procurement of  One (1) Service Vehicle - HUDRD</t>
  </si>
  <si>
    <t>Disinfection Machine</t>
  </si>
  <si>
    <t>Concreting of Road at Landmark 2, Sasa</t>
  </si>
  <si>
    <t>SUPPLY, DELIVERY &amp; INSTALLATION OF AIRCONDITIONERS TO BE USED AT OSPITAL NG MUNTINLUPA (*RE-POSTED)</t>
  </si>
  <si>
    <t>Supply and Delivery of Materials, Labor, Tools and Equipment including 				  Supervision for the Construction of New Public Market Building (Phase-I) at  				  Barangay Nug-as, Alcoy, Cebu</t>
  </si>
  <si>
    <t>IMPROVEMENT OF STREET LIGHTING-NASIPIT-BOLOCBOLOC</t>
  </si>
  <si>
    <t>Purchase of Medical Supplies for CMH</t>
  </si>
  <si>
    <t>Improvement of Child Development Centers</t>
  </si>
  <si>
    <t>Road Construction - Mabato-bato</t>
  </si>
  <si>
    <t>Procurement of IT Equipment for Various Offices of the University</t>
  </si>
  <si>
    <t>Purchase of Fiber Glass Board and Ring</t>
  </si>
  <si>
    <t>Concreting/Construction of Local Road, Brgy. Callios, Sta. Cruz, Laguna</t>
  </si>
  <si>
    <t>Construction of Flood Protection and Control Project (Phase IV) for Tanjay River</t>
  </si>
  <si>
    <t>20GKK0030 – Supply and Delivery of Road Primer to be used for the Thermoplastic Application along BCIR</t>
  </si>
  <si>
    <t>20GKK0031 – Supply and Delivery of Nylon to be used for Vegetation Control along BCIR and GCVR Section</t>
  </si>
  <si>
    <t>Construction of Material Recovery Facility</t>
  </si>
  <si>
    <t>Construction of Seawall, Barangay 4</t>
  </si>
  <si>
    <t>G-2020-13 SUPPLY, DELIVERY, TESTING AND COMMISSIONING OF NINETEEN  (19) UNITS BRAND NEW COIN COUNTER FOR THE DEVELOPMENT BANK OF THE PHILIPPINES</t>
  </si>
  <si>
    <t>Purchase of IT Equipments and Steel cabinet</t>
  </si>
  <si>
    <t>CONSTRUCTION OF BAYWALK FOOD COURT AND PASALUBONG AREA</t>
  </si>
  <si>
    <t>Supply and Delivery of Various Construction Materials for the Construction of Imbang Gamay IP (Reposting)</t>
  </si>
  <si>
    <t>Supply and Delivery of Food Supplies for Indigent Family</t>
  </si>
  <si>
    <t>POTABLE WATER SUPPLY</t>
  </si>
  <si>
    <t>Improvement of Bangkulasi Cut-Off Channel and Vicinity, Navotas City</t>
  </si>
  <si>
    <t>Improvement/Desilting of EDSA - Lumbang Drainage Main, District I, Makati City</t>
  </si>
  <si>
    <t>SUPPLY OF VARIOUS PLANTS AND LANDSCAPING SERVICES FOR THE URBAN GREENING PROJECT</t>
  </si>
  <si>
    <t>SUPPLY &amp; DELIVERY OF VEHICLES (HEAVY EQUIPMENTS)</t>
  </si>
  <si>
    <t>Proposed Rehabilitation &amp; Expansion of Equipment Workshop at Napindan Equipment Yard (Phase II) Napindan Hydraulic Control Structure Compound, J.P. Rizal St., Brgy. East Rembo, Makati City</t>
  </si>
  <si>
    <t>Proposed Improvement at Guiuan Integrated Transport Terminal, Brgy. 06, Guiuan, Eastern Samar</t>
  </si>
  <si>
    <t>RFQ2020-06-031_SUPPLY AND DELIVERY OF VARIOUS WATER SERVICE CONNECTION MATERIALS FOR REALIGNMENT OF 250MMØ HDPE TRANSMISSION LINE AT TAMBAK BRIDGE, BRGY. TAMBAK, NEW WASHINGTON, AKLAN</t>
  </si>
  <si>
    <t>Repair/Rehabilitation of Drainage Canals and Canal Covering Surrounding the Tanjay City Public Market</t>
  </si>
  <si>
    <t>PROJ. 147 - C.O 2020</t>
  </si>
  <si>
    <t>20GE0107 - Construction of San Lorenzo Public Cemetery</t>
  </si>
  <si>
    <t>PADYAK SAGIP</t>
  </si>
  <si>
    <t>Improvement/Deepening of Makati-Pateros River, District II, Makati City</t>
  </si>
  <si>
    <t>Procurement of 14-Units Dropside Pick Up (Rescue Vehicle)</t>
  </si>
  <si>
    <t>Procurement of One (1) Lot Information and Communications Technology (ICT) Equipment for the PNP CPSM- PNPTR-CPSM-DP-20-01</t>
  </si>
  <si>
    <t>20GNE0019 – SUPPLIES/DELIVERIES FOR THE PROCUREMENT OF DIESEL FUEL AND SPECIAL GASOLINE TO BE USED IN THE OPERATION OF HRAS, QAS, PDS AND MS FOR THE 1ST AND 2ND QUARTER OF YEAR 2020. DINAGAT ISLANDS D</t>
  </si>
  <si>
    <t>REHABILITATION OF BARANGAY HALL</t>
  </si>
  <si>
    <t>Procurement of Fishery Equipments</t>
  </si>
  <si>
    <t>Supply, Delivery, Installation, Configuration, Testing, Tagging, and Commissioning of Collaboration System to Support the Command, Control, and Communications Information System (C3IS)</t>
  </si>
  <si>
    <t>Procurement of One (1) Lot Internet Subscription Expenses for PNP DICTM- 5020503000-PNP-DICTM-20-04</t>
  </si>
  <si>
    <t>20DE0142 Repair/Maintenance of DOJ Building, NBI Office Building, Kumintang Ibaba, Batangas City</t>
  </si>
  <si>
    <t>Supply, Delivery, and Installation of ICT Software to Support the Command, Control, and Communications Information System (C3IS)</t>
  </si>
  <si>
    <t>20FN0088 Local Program - Building and Other Structures - Multipurpose/Facilities - Local Infrastructure Program - Construction of Multi-Purpose Covered Court at Salvacion Elementary School Compound, S</t>
  </si>
  <si>
    <t>Completion of Multi-Purpose Hall Cum Evacuation Center at Gallanosa National High School</t>
  </si>
  <si>
    <t>RFQ2020-06-033_SUPPLY &amp; DELIVERY OF VARIOUS INK/TONER FOR OFFICE USE – 2ND QUARTER PROCUREMENT</t>
  </si>
  <si>
    <t>Construction of Incarizan Footbridge with Slope Protection</t>
  </si>
  <si>
    <t>G-2020-16: SUPPLY, INSTALLATION AND LICENSE SUBSCRIPTION OF FORTY-TWO (42) COMPUTER AIDED DESIGN (CAD) LT SOFTWARE TOOL WITH MAINTENANCE AND SUPPORT FOR THE DEVELOPMENT BANK OF THE PHILIPPINES-REBIDDI</t>
  </si>
  <si>
    <t>20GDE0001 (Re-advertised) Supply and Delivery of Joint Sealant for the various Roads of Batangas II DEO</t>
  </si>
  <si>
    <t>CONSTRUCTION OF CREMATORIUM AT TRECE MARTIRES CITY MEMORIAL PARK AT BRGY. AGUADO, TMC</t>
  </si>
  <si>
    <t>Procurement and Installation of Office Cubicles for Provincial and National Extension Office ITB # 2020-147</t>
  </si>
  <si>
    <t>Procurement of Food Packs for assistance to BPAs and other similar facilities serving CICL due to Coid-19 Threat</t>
  </si>
  <si>
    <t>COLLECTION, HAULING TRANSPORT AND DISPOSAL OF WASTES OF ICTY OF TRECE MARTIRES FOR THE MONTH OF JULY 1,2020 TO AUGUST 15,2020</t>
  </si>
  <si>
    <t>CONSTRUCTION OF BARANGAY HEALTH STATION ( BHS) AT BARANGAY CONCHU, TMC</t>
  </si>
  <si>
    <t>20FN0089 Local Program - Building and Other Structures - Multipurpose/Facilities - Local Infrastructure Program -Construction of Multi-Purpose Building, Baao Community College, Brgy. San Juan, Baao, C</t>
  </si>
  <si>
    <t>20CL0001 - Rehabilitation/Reconstruction/Upgrading of Damaged Paved Roads-  Secondary Road Olongapo-Bugallon Road K0 181 + 000 - K0181+124.70</t>
  </si>
  <si>
    <t>Procurement of Semi-Expendable Items for Assistance to BPAs and other Similar Facilities Serving CICL due to COVID-19 Threat.</t>
  </si>
  <si>
    <t>20GNE0022 – SUPPLIES/DELIVERIES FOR THE PROCUREMENT OF VARIOUS SPARE PARTS FOR THE PREVENTIVE MAINTENANCE OF THE OFFICIAL VEHICLES OF DPWH-DIDEO, DPWH-COMPOUND, BRGY. CUARINTA, SAN JOSE, DINAGAT ISLAN</t>
  </si>
  <si>
    <t>CONSTRUCTION OF PERIMETER FENCE OF SUNSHINEVILLE ELEMENTARY SCHOOL AT BRGY. CABUCO,TMC</t>
  </si>
  <si>
    <t>20GMH041 - SUPPLY/DELIVERYOFVARIOUSOFFICESUPPLIESFORUSEOFADMINISTRATIVESECTION(SUPPLYANDPROPERTYMANAGEMENTUNIT,RECORDSMANAGEMENTUNIT,CASHUNIT,GEN.SERVICESUNIT,HUMANRESOURCEANDMANAGEMENT&amp;DEVELOPMENTUNI</t>
  </si>
  <si>
    <t>Construction of Access Road within the Sanitary Landfill</t>
  </si>
  <si>
    <t>Construction/Development of Water System at Brgy. Manlabong</t>
  </si>
  <si>
    <t>Construction/Improvement of M.Roxas Covered Court</t>
  </si>
  <si>
    <t>9.	Purchase of One (1) lot Brand New LED Wall with Support Structure for use of Provincial Government of Batangas.</t>
  </si>
  <si>
    <t>IMPROVEMENT/UPGRADING OF ELECTRICAL FACILITIES OF LUIS AGUADO NATIONAL HIGH SCHOOL, BRGY. AGUADO TMC</t>
  </si>
  <si>
    <t>Rehabilitation/Reconstruction of Single Barrel Box Culvert at Brgy. Central</t>
  </si>
  <si>
    <t>20GDB0022 Supply of Materials for the Repair &amp; Maintenance of Nasugbu-Lian-Calatagan Road, K0099+455-K0109+000 and Balayan-Balibago Road, K0109+000-K0113+500(Intermittent)</t>
  </si>
  <si>
    <t>20GMH040 - SUPPLY/DELIVERYOFVARIOUSSPAREPARTSFORUSEOFONE(1)UNITTOYOTAHI-ACECOMMUTERVANTEMP.PLATENO.:ASSIGNEDATADMINISTRATIVESECTION,SULTANKUDARAT2NDDISTRICTENGINEERING OFFICE</t>
  </si>
  <si>
    <t>20CL0041 - Widening of Permanent Bridges, Alusiis Br. (B01392LZ) along Olongapo- Bugallon Road, San Narciso, Zambales</t>
  </si>
  <si>
    <t>20GDB0023 Supply of Materials for the Repair &amp; Maintenance of Bridges along various National Roads, Batangas 1st LD</t>
  </si>
  <si>
    <t>CID No. 20IC0059 (2nd re-advertisement): Const. of San Miguel Integrated Transport Terminal, San Miguel, Leyte; ABC: P14,700,000.00; 186 CD</t>
  </si>
  <si>
    <t>Construction and Rehabilitation of Brgy. Child Development Centers</t>
  </si>
  <si>
    <t>Construction/Establishment of Emergency Operation Center (EOC) DRRM Operation Center</t>
  </si>
  <si>
    <t>SUPPLY AND DELIVERY OF RICE AND SANDO BAG</t>
  </si>
  <si>
    <t>SUPPLY OF VARIOUS OFFICE SUPPLIES</t>
  </si>
  <si>
    <t>INVITATION TO BID FOR THE PROCUREMENT OF SITE DEVELOPMENT (PHASE V) Design and Build</t>
  </si>
  <si>
    <t>PROVISION OF POTABLE WATER (PHASE II) AT BARANGAY PUZOL</t>
  </si>
  <si>
    <t>11.	Purchase of Four (4) units Laptop for use of the Provincial  Budget Office and Provincial  Accounting Office</t>
  </si>
  <si>
    <t>Construction of Flood Control/Protection at San Antonio (Sapa)</t>
  </si>
  <si>
    <t>10.	Purchase of Thirty (30) units Mobile Pedestal for use of the Provincial Tourism Office.</t>
  </si>
  <si>
    <t>20FN0090 Construction/Repair/Rehabilitation/Improvement of Various Infrastructure including Local Project – Local Roads Improvement/ Construction of Concrete Road along Neighborhood Bacolod – San Vice</t>
  </si>
  <si>
    <t>Construction of Multi-Purpose Pavement at DFBDSMH (Phase II)</t>
  </si>
  <si>
    <t>Supply and Delivery of Bailing Machine (for Residual Waste)</t>
  </si>
  <si>
    <t>13.	Purchase of Other Supplies and Materials (Air Freshener Spray, Alcohol Isopropyl 70%, Bleaching Solution,    violet, etc.) for use of the GSO and PHRMO.</t>
  </si>
  <si>
    <t>12.	Purchase of Furnitures and Fixtures (Filing Cabinet, Sofa/sala set, etc.) for use of the PG-ENRO Office.</t>
  </si>
  <si>
    <t>Concreting of Access Road to Community Fish Landing at Brgy. Central</t>
  </si>
  <si>
    <t>14.	Purchase of Office Supplies (All purpose sticker A4, 10’s/pack, glossy, All purpose sticker, matte (A4, 10’s/pack), Antivirus for 3 users, etc.) for use of the GSO, PCLEDO and PHRMO.</t>
  </si>
  <si>
    <t>Construction of Pathway at Sitio Sagkahan, Brgy. Piot</t>
  </si>
  <si>
    <t>15.	Purchase of Other Supplies (Angle Bar, 1/8 “ x 1”, Angel Valve ½, Barrel Bolt 2”, stainless, etc. for use in the maintenance of Provincial Sports Complex.</t>
  </si>
  <si>
    <t>Construction of Warehouse at PEO/PGSO</t>
  </si>
  <si>
    <t>SUPPLY AND DELIVERY OF VARIOUS LIVE ANIMALS IN SUPPORT TO THE LIVELIHOOD ASSISTANCE PROGRAM OF THE LIVESTOCK PROGRAM FOR CY 2020 (REBID)</t>
  </si>
  <si>
    <t>20KC0121: Rehabilitation/Reconstruction of National Roads with Slips, Slope Collapse and Landslide-Primary Roads Along Sayre Highway K1466+650-K1466+960 &amp; K1468+070-K1468+350, Sumilao, Bukidnon</t>
  </si>
  <si>
    <t>20KC0122: Preventive Maintenance of Road: Asphalt Overlay Along Sayre Highway K1438+210-K1439+554, Manolo Fortich, Bukidnon</t>
  </si>
  <si>
    <t>CLUSTER I - Irosin, Sorsogon</t>
  </si>
  <si>
    <t>20CE0207: Widening of Permanent Bridges Manicla Br. (B01968LZ) along Daang Maharlika (LZ)</t>
  </si>
  <si>
    <t>21.	Purchase of 16mmØ RSB, 12mmØ RSB, GI Tie Wires #16, etc. for the repair and maintenance of various Prov’l roads, Province of Batangas.</t>
  </si>
  <si>
    <t>17.	Purchase of Ready Mix Concrete 3000 psi G-1 @14 days for Brgy. Boboy San Luis and Brgy. Manalupang, Bauan, Batangas for the repair and maintenance of various Prov’l. Roads, Highways and Bridges.</t>
  </si>
  <si>
    <t>20.	Repair and maintenance of various RP Heavy Equipments. (For RP Grader 7-N1-25 with property no. 1907-CHE-003 and RP Grader 7-N1-26 with property no. 1907-CHE-004)</t>
  </si>
  <si>
    <t>20KC0125: Construction of Water System, Mindanao Army Training Group, TRADOC, PA, Kibaritan Military Reservation, Kalilangan, Bukidnon</t>
  </si>
  <si>
    <t>Construction of MPDP Shed and Rehabilitation of Retaining Wall/Flood Control</t>
  </si>
  <si>
    <t>CLUSTER II - Magallanes &amp; Sta. Magdalena, Sorsogon</t>
  </si>
  <si>
    <t>16.	Purchase of Guide 232-70-12420, Guide 232-70-12430, Bolt 01010-51435, etc. for the repair and maintenance of RP Grader with plate no. 7-N1-23 &amp; property no. 1710CHE004.</t>
  </si>
  <si>
    <t>22.	Purchase of Ready Mix Concrete 3000 psi G-1 @14 days for Brgy. Palanca, San Jose Batangas, Brgy.  Bungahan, Cuenca and Brgy. Natunuan, San Jose Batangas for the repair and maintenance of various P</t>
  </si>
  <si>
    <t>Rehabilitation of Magallanes Medicare Community Hospital</t>
  </si>
  <si>
    <t>20KC0124: Widening of Permanent Bridge Lantay Br. (B01442MN) Along Maramag-Maradugao Rd. Phase II, Pangantucan, Bukidnon</t>
  </si>
  <si>
    <t>19.	Purchase of Asphalt 85/100, Sand, Gravel G-1, etc. for the repair and maintenance of various Prov’l. Roads, Highways and Bridges.</t>
  </si>
  <si>
    <t>18.	Purchase of 2 “o GI Pipe schedule 40, 0.4mm x 4 x 8 Plain GI Sheet, 1/8 x 1 Flat Bar, etc.) for use in the installation of signages at Provincial bridges in Taysan, Batangas.</t>
  </si>
  <si>
    <t>CLUSTER III - Castilla, Sorsogon</t>
  </si>
  <si>
    <t>Completion of Sinakan Day Care Center</t>
  </si>
  <si>
    <t>Construction of Public Washroom at Barangay Chavayan</t>
  </si>
  <si>
    <t>Contract ID No.: 20OB0010 Contract Name: Construction (Completion) of Multi-Purpose Building including Facilities, Brgy. West Crame, San Juan City</t>
  </si>
  <si>
    <t>20KC0123: Widening of Permanent Bridge Kilisawon Br. (B01441MN) Along Maramag-Maradugao Rd. Phase II, Pangantucan, Bukidnon</t>
  </si>
  <si>
    <t>KABALIKAT  SA EDUKASYON: E-LIBRARY</t>
  </si>
  <si>
    <t>Construction of Sabtang Community Hospital-Punch List &amp; Take-Over Items (Phase I)</t>
  </si>
  <si>
    <t>26.	Purchase of One (1) unit Manual Thermoplastic Road Marking Machine for the maintenance of various Provincial roads in the Province of Batangas.</t>
  </si>
  <si>
    <t>20CE0208: Replacement of Permanent Weak Bridges Amawinan Br. (B01981LZ) along Daang Maharlika (LZ)</t>
  </si>
  <si>
    <t>Construction of 4 units Organic Fertilizer Production Facility Prototype C ABC: Php2,000,000.00</t>
  </si>
  <si>
    <t>24.	Supply and Installation of Spare Parts (Clutch Disc, Pressure Plate, Release Bearing, etc.) for the repair and maintenance of RP Mini Dump Truck (SINO Truck) with property no. 1711-CHE-007</t>
  </si>
  <si>
    <t>Procurement of Supplies and Materials use in Waterworks System</t>
  </si>
  <si>
    <t>Piping System Interconnecting Water Tanks at Sitio Tukon, Barangay Sinakan</t>
  </si>
  <si>
    <t>INVITATION TO BID FOR THE  PROCUREMENT OF 1 UNIT RISOGRAPH MACHINE RHU, STA. FE, LEYTE (REBID) (BDG-2020-01R)</t>
  </si>
  <si>
    <t>Rehabilitation of San Vicente (Poblacion) Port Restroom</t>
  </si>
  <si>
    <t>Contract ID No.: 20OB0314 Contract Name: Construction of 4-Storey 8 Classroom Building with Roof deck including Site Development in Barangay Dela Paz Elementary School, Barangay Dela Paz, Pasig City</t>
  </si>
  <si>
    <t>CLUSTER IV - Juban, Sorsogon</t>
  </si>
  <si>
    <t>25.	Purchase of Spare Parts (O-ring 07000-12055, Seal Dust 707-56-30-510, O-ring 07000-02060, etc.) for the repair and maintenance of various heavy equipments. (Komatsu Grader 7-N1-21, property no. 94</t>
  </si>
  <si>
    <t>Improvement of Saranai Creek (Phase II) District I, Caloocan City</t>
  </si>
  <si>
    <t>CLUSTER V - Matnog &amp; Sta. Magdalena, Sorsogon</t>
  </si>
  <si>
    <t>Supply and Delivery of 2 units Hauling Trucks ABC: Php4,000,000.00</t>
  </si>
  <si>
    <t>20LD0127 -Repair/Maintenance of Pilan River Revetment 1 (Ceboley Section) at Brgy. Zone III, Sta. Cruz, Davao del Sur, Sta. 0+000 to Sta. O+032</t>
  </si>
  <si>
    <t>Supply and Delivery of 2,085 bags Hybrid Yellow Corn Seeds Total ABC: Php9,382,500.00</t>
  </si>
  <si>
    <t>23.	Purchase of Ready Mix Concrete 3000 psi G-1 @7 days for Brgy. Gulod, Calatagan, Batangas and Brgy. Binubusan, Lian, Batangas for the repair and maintenance of various Prov’l. Roads, Highways and B</t>
  </si>
  <si>
    <t>27.	Purchase of One (1) unit Asphalt Kettle for the maintenance of various Provincial roads in the Province of Batangas.</t>
  </si>
  <si>
    <t>Repair/Restoration of Historical/Cultural Site/ Property (San Vicente Ferrer Church)</t>
  </si>
  <si>
    <t>CLUSTER VII - Bulan, Sorsogon</t>
  </si>
  <si>
    <t>Dredging / Deepening of Buwaya Creek and its Vicinities, (Inside Camp Aguinaldo) District III, Quezon City</t>
  </si>
  <si>
    <t xml:space="preserve">20FN0091 Construction/Repair/Rehabilitation/Improvement of Various Infrastructure Including Local Project – Local Roads Concreting of Local Road from San Vicente-Neighborhood-Bacolod, Bato, Camarines </t>
  </si>
  <si>
    <t>Construction of Manpower Development Center (Alternative Learning System-ALS) at Brgy. Poblacion, San Andres, Quezon</t>
  </si>
  <si>
    <t>Construction of Covered Court in Tabao-Ambil</t>
  </si>
  <si>
    <t>CLUSTER VI - Donsol &amp; Castilla, Sorsogon</t>
  </si>
  <si>
    <t>Construction of Barangay Health Station in Sitio Yugno,  Brgy. Camflora, San Andres, Quezon</t>
  </si>
  <si>
    <t>Construction of RHU Laboratory at Brgy. Poblacion, San Andres, Quezon</t>
  </si>
  <si>
    <t>Improvement of Casili Creek, District II, Caloocan City</t>
  </si>
  <si>
    <t>JOB FAIR</t>
  </si>
  <si>
    <t>CLUSTER IX - Gubat, Sorsogon</t>
  </si>
  <si>
    <t>20LG0119 - Construction of Rain Water Collector System (RWCS), Davao Oriental 2nd District Engineering Office, Davao Oriental</t>
  </si>
  <si>
    <t>Desilting / Cleaning of Pacheco Drainage Main, Tondo, District I, Manila</t>
  </si>
  <si>
    <t>Rehabilitation / Bank Improvement of Estero De Magdalena Tondo, District II, Manila</t>
  </si>
  <si>
    <t>CLUSTER VIII - Irosin &amp; Bulusan, Sorsogon</t>
  </si>
  <si>
    <t>INVITATION TO BID FOR THE  PROCUREMENT OF 2 UNITS FOGGING MACHINE,  STA. FE, LEYTE (BDG-2020-02)</t>
  </si>
  <si>
    <t xml:space="preserve">20FN0092 Construction/Repair/Rehabilitation/Improvement of Various Infrastructure including Local Project – Local Roads Concreting Neighborhood Bacolod – San Vicente Road, Barangay San Vicente, Bato, </t>
  </si>
  <si>
    <t>FURNISHING OF LABOR AND MATERIALS FOR THE RIP RAPPING</t>
  </si>
  <si>
    <t>Improvement of Catmon-Niugan Creek, Malabon City</t>
  </si>
  <si>
    <t>Improvement / Maintenance of Blumentritt Interceptor and Vicinities, Sampaloc, District IV, Manila</t>
  </si>
  <si>
    <t>SUPPLY AND DELIVERY OF 50,683 BAGS UREA FERTILIZER (46-0-0) TO COMPLEMENT INBRED SEEDS UNDER RCEF FOR DRY SEASON 2020-2021 UNDER RICE PROGRAM FOR CY 2020</t>
  </si>
  <si>
    <t>SUPPLY AND DELIVERY OF 2 UNITS HAULING TRUCK IN SUPPORT TO PROGRAM MANAGEMENT OF CORN PROGRAM FOR CY 2020</t>
  </si>
  <si>
    <t>20DC0198 - LOCAL PROGRAM, Local Infrastructure Program, Buildings and Other Structures, Multipurpose/Facilities, Repair/Rehabilitation/Improvement of Multi Purpose Building, Brgy. San Miguel, Sto.Toma</t>
  </si>
  <si>
    <t>SUPPLY AND DELIVERY OF VARIOUS ANIMAL FEEDS AND FEED INGREDIENTS FOR CLIARC UPLAND, HILLYLAND AND LOWLAND UNDER LIVESTOCK PROGRAM CY 2020</t>
  </si>
  <si>
    <t>KABALIKAT  SA EDUKASYON : MOBILE AHA! ( Mobile Library)</t>
  </si>
  <si>
    <t>20DC0197 - LOCAL PROGRAM, Local Infrastructure Program, Buildings And Other Structures, Multipurpose/Facilities, Repair/Rehabilitation/Improvement of Multi Purpose Building, Brgy. Salvador Agito, Alit</t>
  </si>
  <si>
    <t>CID No. 20IC0066 (2nd re-advertisement): Rd Rehab. &amp; Drainage Line Const. of Brgy. Rd from Maharlika Hwy to Police RO 8 Gate 2, Camp Kangleon, Campetic, Palo, Leyte; ABC: P13,720,000.00; 105 CD</t>
  </si>
  <si>
    <t>Rehabilitation of Drainage System at Brgy. Poblacion San Andres, Quezon</t>
  </si>
  <si>
    <t>2020-04-0041 (Contract ID No. 20GHN0001) Supply of Thermoplastic Paint Materials</t>
  </si>
  <si>
    <t>SUPPLY AND DELIVERY OF ONE HUNDRED FIFTY THOUSAND (150,000) KILOGRAMS OF SEAWEED SEEDLINGS (Kappaphycus alvarezii)</t>
  </si>
  <si>
    <t>20KC0126: Construction of Motorpool, Mindanao Army Training Group, TRADOC, PA, Kibaritan Military Reservation, Kalilangan, Bukidnon</t>
  </si>
  <si>
    <t>20DC0196 - LOCAL PROGRAM, Local Infrastructure Program, Water Management Facilities, Water Supply, Construction (Completion)/Repair/Rehab/Improvement of Water System, Malvar National High School, Brgy</t>
  </si>
  <si>
    <t>CID No. 20IC0065 (2nd re-advertisement): Const. of San Miguel Waterworks System Level III, Cabac-an Watershed, Brgy. Bahay, San Miguel, Leyte; ABC: P14,700,000.00; 279 CD</t>
  </si>
  <si>
    <t>20DC0199 - LOCAL PROGRAM, Local Infrastructure Program, Buildings and Other Structures, Multipurpose/Facilities, Construction (Completion)/Repair/Rehab/Improvement of Multi-Purpose Building, Brgy. San</t>
  </si>
  <si>
    <t>CID No. 20IC0064 (2nd re-advertisement): Const. of San Miguel Waterworks System III, Catambag Watershed, Brgy. Caraycaray, San Miguel, Leyte; ABC: P14,700,000.00; 279 CD</t>
  </si>
  <si>
    <t>Repair of Brgy. Wharf</t>
  </si>
  <si>
    <t>20DC0200 - LOCAL PROGRAM, Local Infrastructure Program, Water Management Facilities, Water Supply, Construction (Completion)/Repair/Rehab/Improvement of Water Supply System (Level 3), Brgy. Sinturisan</t>
  </si>
  <si>
    <t>20DC0194 - LOCAL PROGRAM, Local Infrastructure Program,  Flood Control and Drainage, Drainage/Protection Works, Construction (Completion)/Repair/Rehab/Improvement of Drainage System, Brgy. Gulod, Laur</t>
  </si>
  <si>
    <t>CID No. 20IC0067 (2nd re-advertisement): Const. of Two (2) Storey School Building, EVSU, Tanauan Campus, Tanauan, Leyte; ABC: P8,820,000.00; 140 CD</t>
  </si>
  <si>
    <t>CID No. 20IC0068 (2nd re-advertisement): Const. of Ground Water Tank with PE Liner, San Miguel, Leyte; ABC: P8,820,000.00; 216 CD</t>
  </si>
  <si>
    <t>20DC0195 - LOCAL PROGRAM, Local Infrastructure Program, Buildings and Other Structures, Multipurpose/Facilities, Completion/Repair/Rehab/Improvement of Multi Purpose Building, Brgy. Pantay Bata, Tanau</t>
  </si>
  <si>
    <t>CID No. 20IC0069 (2nd re-advertisement): Reconst. of Tolosa Public Market, Brgy. Telegrafo, Tolosa, Leyte; ABC: P4,975,000.00; 120 CD</t>
  </si>
  <si>
    <t>CID No. 20IC0070 (2nd re-advertisement): Const. of Covered Court, Brgy. Quilao, Tolosa, Leyte; ABC: P2,970,000.00; 55 CD</t>
  </si>
  <si>
    <t>Procurement of Materials and Supplies for Pro-poor Project at North Section (Brgy. Sto. Niño to Dumlog) - PR 2020-05-044</t>
  </si>
  <si>
    <t>20F00075 - OO1: Ensure Safe and Reliable National Road System – Network Development Program – Construction of By-Pass and Diversion Roads – Naga-Jct. Magarao-Canaman-Libmanan Jct. PPH Road (Skybridge)</t>
  </si>
  <si>
    <t>20F00059 (re-advertisement) - OO1: Ensure Safe and Reliable National Road System – Network Development Program – Road Widening – Secondary Roads, Masbate-Cataingan-Placer Road, Cataingan, Masbate (3rd</t>
  </si>
  <si>
    <t>PAG-ASA SA MAKATI</t>
  </si>
  <si>
    <t>20PF0065: Construction/Rehabilitation of Water Supply/Septage and Sewerage/Rain Water Collector Systems CY 2020</t>
  </si>
  <si>
    <t>20F00108 - Convergence and Special Support Program – Construction/Improvement of Access Roads Leading to Declared Tourism Destinations – Pasacao-Balatan Tourism Coastal Highway Leading to Pasacao Port</t>
  </si>
  <si>
    <t>20DC0193 - LOCAL PROGRAM,  Local Infrastructure  Program, Buildings and Other Structures, Multipurpose/Facilities, Completion/Repair/Rehab/Improvement of Multi Purpose Building, Brgy. Dalipit West, Cu</t>
  </si>
  <si>
    <t>20F00113 - Local Program – Construction/Repair/Rehabilitation/Improvement of Various Infrastructure including Local Projects – Local Roads and Bridges – Local Roads – Construction of Pasacao-Balatan C</t>
  </si>
  <si>
    <t>Procurement of Various Office Supplies,  Customized Logbooks &amp; Forms and ICT Consumables</t>
  </si>
  <si>
    <t>20PF0064: Rehabilitation / Restoration of Road Slip along Gov. Bado Dangwa National Road, K0347+490 - K0347+545, Pulag, Gambang, Bakun, Benguet</t>
  </si>
  <si>
    <t>SUPPLY AND DELIVERY OF INFORMATION TECHNOLOGY (IT) AND OFFICE EQUIPMENT</t>
  </si>
  <si>
    <t>AMP SVP 20-06-0253C: Office Furniture</t>
  </si>
  <si>
    <t>GENDER EMPOWERMENT</t>
  </si>
  <si>
    <t>20F00110 - Local Program – Construction/Repair/Rehabilitation/Improvement of Various Infrastructure including Local Projects – Local Roads and Bridges – Local Roads – Construction of Pasacao-Balatan C</t>
  </si>
  <si>
    <t>Procurement of Agricultural Products (Crop Production Support)</t>
  </si>
  <si>
    <t>20F00122 - OO1: Ensure Safe and Reliable National Road System – Bridge Program – Widening of Permanent Bridges – Magsaysay Br. (B00474LZ) along MT Villanueva Ave-Magsaysay Road, Naga City, Camarines S</t>
  </si>
  <si>
    <t>Rehabilitation/Construction/Improvement/Upgrade/Completion/Expansion of Barangay Health Stations/Rural Health Unit Bascaran, Daraga, Albay</t>
  </si>
  <si>
    <t>20F00123 - OO1: Ensure Safe and Reliable National Road System – Bridge Program – Widening of Permanent Bridges – Pili Airport Br. (B00418LZ) along Pili Airport Road, Pili, Camarines Sur 3rd Legislativ</t>
  </si>
  <si>
    <t>20GA0176-Rehabilitation of MPB (Makato Municipal Hall) Brgy. Poblacion, Makato, Aklan</t>
  </si>
  <si>
    <t>20GA0169-Construction of Multi-Purpose Building  in Brgy. Gibon, Nabas, Aklan</t>
  </si>
  <si>
    <t>20GA0164-Construction of Multi-Purpose Building  In Brgy. Ondoy, Ibajay, Aklan</t>
  </si>
  <si>
    <t>20GA0158-Construction of Multi-Purpose Building Brgy. Cabugao, Ibajay, Aklan</t>
  </si>
  <si>
    <t>Rehabilitation/Construction/Improvement/Upgrade/Completion/Expansion of Barangay Health Stations/Rural Health Unit Em's Barrio 2 South, Legazpi City</t>
  </si>
  <si>
    <t>B-030-2020 SUPPLY AND DELIVERY OF 1 LOT COMPUTER SET - MONITOR &amp; CPU WITH ACCESSORIES</t>
  </si>
  <si>
    <t>20GA0174-Construction of Multi-Purpose Building Brgy. Manoc-manoc, Malay, Aklan</t>
  </si>
  <si>
    <t>20GA0180-Construction of Multi-Purpose Building Brgy. Maloco, Ibajay, Aklan</t>
  </si>
  <si>
    <t>FERTILIZERS AND SEEDS FOR URBAN AGRICULTURE GARDENING</t>
  </si>
  <si>
    <t>B-014-2020 SUPPLY AND DELIVERY OF 1 LOT VARIOUS OFFICE EQUIPMENT - REBID</t>
  </si>
  <si>
    <t>B-015-2020 SUPPLY AND DELIVERY OF 1 SET DESKTOP COMPUTER WITH COMPLETE ACCESSORIES - REBID</t>
  </si>
  <si>
    <t>Completion of Multi-Purpose Building (Covered Court) at Barangay Baluc</t>
  </si>
  <si>
    <t>Proposed Installation Motorized Roll Ups Door at San Pablo City Shopping Mall and Public Market, San Pablo City.</t>
  </si>
  <si>
    <t>CONDUCT OF SONAR SURVEY</t>
  </si>
  <si>
    <t>Improvement of SILAG-PACANG Communal Irrigation System</t>
  </si>
  <si>
    <t>20GN0090-Constructions/Rehabilitation of Water Supply/Septage and Sewerage/Rain Water Collectors</t>
  </si>
  <si>
    <t>Proposed Construction of Stockroom for CTO / CGSO at Brgy. San Gabriel, San Pablo City.</t>
  </si>
  <si>
    <t>B-010-2020-A SUPPLY AND DELIVERY 1 LOT OFFICE FURNITURE, FIXTURES AND EQUIPMENT - REBID</t>
  </si>
  <si>
    <t>20EB0119-R1: Construction of Bridge, Sitio Maasim, Brgy. 9 Payompon, Mamburao, Occidental Mindoro</t>
  </si>
  <si>
    <t>PURCHASE OF CONFERENCE TABLE</t>
  </si>
  <si>
    <t>Contract ID Number 20FD0065 CONCRETING OF BRGY. NAPOLIDAN TO BRGY. BUENASUERTE FMR, BRGY. NAPOLIDAN AND BRGY. BUENASUERTE, LUPI, CAMARINES SUR</t>
  </si>
  <si>
    <t>20EB0122: Repair/Maintenance of Bato Ili Flood Control, Brgy. Monte Claro, San Jose, Occidental Mindoro</t>
  </si>
  <si>
    <t>B-031-2020  SUPPLY AND DELIVERY OF 1 LOT DIPLOMA JACKET</t>
  </si>
  <si>
    <t>20EB0123: Repair/Maintenance of Tilik  Flood Control, Lubang, Occidental Mindoro</t>
  </si>
  <si>
    <t>AGR-20-0479-B Purchase of Agricultural Machinery &amp; Equipment</t>
  </si>
  <si>
    <t>AGR-20-0478-B Purchase of Agricultural Machinery &amp; Equipment</t>
  </si>
  <si>
    <t>AGR-20-0476-B Purchase of Agricultural Machinery &amp; Equipment</t>
  </si>
  <si>
    <t>Proposed Barangay Quadrangle Stage, Brgy. Cabugao Viejo, San Enrique, Iloilo</t>
  </si>
  <si>
    <t>Procurement of Various Agricultural Equipment-05-050(M)OPAG</t>
  </si>
  <si>
    <t>REHABILITATION/IMPROVEMENT OF ECOLOGICAL ACCESS ROAD</t>
  </si>
  <si>
    <t>20GBF0002: Purchase &amp; Delivery of Materials for Installation/Application of Reflectorized Thermoplastic Pavement Markings along STR, GRR, IDAMR, Within the District</t>
  </si>
  <si>
    <t>Procurement of Various Agricultural Products-05-051(M)OPAG</t>
  </si>
  <si>
    <t>20BF0056: Construction and/or Repair/Rehabilitation of Multi-Purpose Building, Brgy. Rizal, Roxas, Isabela</t>
  </si>
  <si>
    <t>Supply and Delivery of Spare Parts (for use of Backhoe Hitachi No. 2010-04)</t>
  </si>
  <si>
    <t>20BF0055: Rehabilitation of Burgos Public Market, Brgy. San Antonino, Burgos, Isabela</t>
  </si>
  <si>
    <t>Purchase of Office Supply for RHU (MCP ) 2020</t>
  </si>
  <si>
    <t>Supply and Delivery of Various Spare Parts (for use of 25 units Isuzu Dumptrucks)</t>
  </si>
  <si>
    <t>Reconstruction of One (1) unit, Three (3) Classroom School Building</t>
  </si>
  <si>
    <t>Rehabilitation and Improvement of Barangay San Jose Water Supply System, Sipalay City, Negros Occidental</t>
  </si>
  <si>
    <t>Supply and Delivery of One (1) unit Genset, 75 KVA, Open Type with Complete Accessories and Battery</t>
  </si>
  <si>
    <t>Supply and Delivery of Various Spare Parts (for use of Backhoe EX120, 2012-07)</t>
  </si>
  <si>
    <t>Procurement of Office Supplies - LGU, Leon, Iloilo</t>
  </si>
  <si>
    <t>procurement of hardware and construction supplies for construction of comfort room</t>
  </si>
  <si>
    <t>Purchase of Office Equipments for LGU 1st Quarter &amp; 2nd Quarter</t>
  </si>
  <si>
    <t>Supply and Delivery of Various Materials for the Implementation of Maintenance of National Roads and Bridges under 71X Special Maintenance (Part of AMWP 2020 under Work Category No. 18-Traffic Service</t>
  </si>
  <si>
    <t>20IK0095- Repair/Maint. of Drainage Canal along Daang Maharlika, Brgy. Maulong, Catbalogan City</t>
  </si>
  <si>
    <t>20IK0097- Installation of Road Safety Facilities along National Roads w/in the Jurisdiction of DPWH, Samar II DEO, Catbalogan City</t>
  </si>
  <si>
    <t>Construction of One (1) unit, Two (2) Classroom Second Floor at Ambonao E/S</t>
  </si>
  <si>
    <t>Repair/Rehabilitation of Covered Court Gymnasium at Brgy. Malico, E/S Compound</t>
  </si>
  <si>
    <t>20IK0096- Repair/Maintenance of DPWH Building BOE Area Equipment Section II- Main Repair Shop (Mezzanine Bldg), Brgy. Maulong, Catbalogan City</t>
  </si>
  <si>
    <t>Pavement Markings at Binalonan – San Manuel Road</t>
  </si>
  <si>
    <t>20EB0124: Cluster 2020RWCS-01: Construction of various Rainwater Collection System (RWCS)</t>
  </si>
  <si>
    <t>20IK0093- Repair/Maint. of Drainage Canal along Wright-Taft-Borongan Road, Brgy. Campo 1, Paranas, Samar</t>
  </si>
  <si>
    <t>Supply and Delivery of Vehicle Hire for the period of June 15 - August 1, 2020</t>
  </si>
  <si>
    <t>PURCHASE OF ONE UNIT RESCUE/ MULTI-PURPOSE VEHICLE OF BARANGAY MAMBUGSAY, CAUAYAN, NEGROS OCCIDENTAL</t>
  </si>
  <si>
    <t>Repair of Four (4) School Buildings at Pasibi-Bituag E/S, Urbiztondo, Pangasinan</t>
  </si>
  <si>
    <t>20IK0094- Repair/Maint. of Drainage Canal along Wright-Taft-Borongan Road, Brgy. San Isidro, Paranas, Samar</t>
  </si>
  <si>
    <t>Construction of Disaster Operation Center</t>
  </si>
  <si>
    <t>Construction of Standard One (1) unit, Two (2) Classroom School Building at Siaosio E/S</t>
  </si>
  <si>
    <t>PROCUREMENT OF 1-UNIT, 4 WHEELERS, 11 FOOTER 3.0 LIT DROPSIDE BODY (BRAND NEW) VEHICLE FOR THE USE OF MENRO, TIGBAUAN, ILOILO.(Re-Bid)</t>
  </si>
  <si>
    <t>Procurement of Rescue Vehicle</t>
  </si>
  <si>
    <t>SUPPLY AND DELIVERY OF BRAND NEW GARBAGE COMPACTOR TRUCK FOR SOLID WASTE MANAGEMENT IN THE MUNICIPALITY OF TULUNAN, COTABATO</t>
  </si>
  <si>
    <t>Assorted GOODS to be given to various Barangays and Schools.</t>
  </si>
  <si>
    <t>PROVISION OF 10 MBPS INTERNET SERVICES WITH COMMITTED INFORMATION RATE TO MSU-TCTO</t>
  </si>
  <si>
    <t>Purchase of One (1) unit Brand New Pick-up Type Vehicle (4x4 Automatic) for Sangguniang Panlungsod.</t>
  </si>
  <si>
    <t>NNP-2020-VI-22-01F TIRES, BATTERY AND SPAREPARTS (GSO0</t>
  </si>
  <si>
    <t>Concreting of Purok Gitna, Brgy. Manatal FMR, Brgy. Manatal, Pandi, Bulacan</t>
  </si>
  <si>
    <t>FURNISHING OF LABOR, MATERIALS AND EQUIPMENT RENTALS FOR THE CONTINUING IMPROVEMENT OF MUNICIPAL RURAL HEALTH CENTER AND BIRTHING CENTER LOCATED AT BRGY. 5, POBLACION, TIGBAUAN, ILOILO.</t>
  </si>
  <si>
    <t>20GAA0062: Procurement of One (1) unit CORS Reference Station and One (1) unit GNSS RTK Rover with Controller for use at Planning &amp; Design Section, DPWH-INFDEO, Laoag City</t>
  </si>
  <si>
    <t>Concreting of Brgy. Cupang-Bagong Barrio FMR, Brgy. Cupang &amp; Brgy. Bagong Barrio, Pandi, Bulacan</t>
  </si>
  <si>
    <t>Procurement of Full Color Production Printer</t>
  </si>
  <si>
    <t>procurement of hardware and construction supplies for improvement of multipurpose facility</t>
  </si>
  <si>
    <t>Purchase of 1-unit Mobile Clinic</t>
  </si>
  <si>
    <t>Concreting of Brgy. Sto. Nino FMR, Brgy. Sto. Nino, Pandi, Bulacan</t>
  </si>
  <si>
    <t>Concreting of Purok 5, Camaling, brgy. Pungo FMR, Brgy. Pungo, Calumpit, Bulacan</t>
  </si>
  <si>
    <t>Supply &amp; Delivery of Office Equipment</t>
  </si>
  <si>
    <t>Repair/Maintenance of DPWH Building DE’s Office &amp; various Offices Bulacan I DEO, Malolos City, Bulacan</t>
  </si>
  <si>
    <t>Supply and Delivery of Office Equipment for use of Different Offices of the PGOM</t>
  </si>
  <si>
    <t>Repair/Maintenance of Flood Control Structures along Angat River Parulan Section, Plaridel, Bulacan</t>
  </si>
  <si>
    <t>Supply and Delivery of Customized Mobile Kitchen for use of the PDRRMO (2nd Bid)</t>
  </si>
  <si>
    <t>Completion of Evacuation Center</t>
  </si>
  <si>
    <t>Repair/Maintenance of Flood Control Structures along Angat River Balite Section, Calumpit, Bulacan</t>
  </si>
  <si>
    <t>Procurement of Materials for the Construction of Barangay Pathway (Phase II) at Brgy. Mahayag, Mahaplag, Leyte</t>
  </si>
  <si>
    <t>Supply and Delivery of  Operations Equipment, Search, Rescue and Retrieval and Rapid Telecommunication Equipment for use of the PDRRMO (2nd Bid)</t>
  </si>
  <si>
    <t>Supply and Delivery of Office Equipment (PR No. 2020-02-0311, 2020-02-0380, 2020-02-0273, 2020-01-0141)</t>
  </si>
  <si>
    <t>Supply and Delivery of Inflatable Rescue Boat for use of PDRRMO  (2nd Bid)</t>
  </si>
  <si>
    <t>SUPPLY AND DELIVERY OF VARIOUS MATERIALS, FUEL AND OIL FOR GRAVELLING/MAINTENANCE OF BARANGAY ROADS</t>
  </si>
  <si>
    <t>OFFICE ENHANCEMENT PROJECT (1ST &amp; 2ND QTR.)</t>
  </si>
  <si>
    <t>Repair/Maintenance of DILG Building PNP Station Building, Poblacion, Paombong, Bulacan</t>
  </si>
  <si>
    <t>Supply and Delivery of Photocopiers (PR No. 2020-02-0415, 2020-02-0242)</t>
  </si>
  <si>
    <t>Repair/Maintenance of DPWH Building Warehouse &amp; Repair Bay Bulacan I DEO, Malolos City, Bulacan</t>
  </si>
  <si>
    <t>Consulting Services for CLUP Formulation</t>
  </si>
  <si>
    <t>Concreting of Purok 2 to Purok 7, brgy. Gugo FMR, Brgy. Gugo, Calumpit, Bulacan</t>
  </si>
  <si>
    <t>Supply and Delivery of Multimedia Projectors (PR No. 2020-02-0185, 2020-02-0299, 2020-02-0152, 2020-02-0339, 2020-02-0270, 2020-02-0299, 2020-02-0261)</t>
  </si>
  <si>
    <t>Materials for the Concreting of Barangay roads</t>
  </si>
  <si>
    <t>Purchase and Delivery of Three (3) Units Brand New Van</t>
  </si>
  <si>
    <t>CONSTRUCTION OF PUBLIC COMFORT ROOM</t>
  </si>
  <si>
    <t>PROCUREMENT OF ONLINE STUDENT ADMISSION &amp; ENROLLMENT SYSTEM</t>
  </si>
  <si>
    <t>Panel Screen, 4-folds</t>
  </si>
  <si>
    <t>Lot 1: Supply and Delivery of Instructional Equipment for Hotel Room and Public Area (PR No. 2020-02-0398) &amp; Lot 2: Supply and Delivery of Instructional Laundry Materials (PR No. 2020-02-0188)</t>
  </si>
  <si>
    <t>Concreting of City Road (Purok 4)</t>
  </si>
  <si>
    <t>Completion of Highway Junction Tumbaga Road</t>
  </si>
  <si>
    <t>Concreting of Local Roads</t>
  </si>
  <si>
    <t>CONSTRUCTION OF MULTI-PURPOSE HALL BLDG. (PHASE 2)</t>
  </si>
  <si>
    <t>Procurement of Common Supplies and Equipment</t>
  </si>
  <si>
    <t>Supply and Delivery of School Supplies for the Business Center (PR No. 2019-02-0105)</t>
  </si>
  <si>
    <t>Concreting of City Road (Bayuga Street)</t>
  </si>
  <si>
    <t>INVITATION TO BID FOR THE SUPPLY AND DELIVERY OF 1 UNIT DOUBLE-CAB-TYPE MULTI-PURPOSE VEHICLE WITH ACCESSORIES AND REAR AIRCONDITION  FOR CSWDO, OROQUIETA CITY (SECOND NOTICE)</t>
  </si>
  <si>
    <t>CONCRETING OF PATHWAY AT PUROK 1</t>
  </si>
  <si>
    <t>Supply and Delivery of Musical Instruments for Drum and Bugle Corps (PR No. 2019-02-0085)</t>
  </si>
  <si>
    <t>Procurement of Materials &amp; Labor for the Project Installation of Solar Street Lights (Procurement of Goods)</t>
  </si>
  <si>
    <t>Improvement of Brgy. Lunga Drainage Canal</t>
  </si>
  <si>
    <t>Construction of Composting Facility for Biodegradable Waste</t>
  </si>
  <si>
    <t>Construction of Multi-purpose Building (Agricultural Training Institute)</t>
  </si>
  <si>
    <t>CONSTRUCTION OF PERIMETER FENCE</t>
  </si>
  <si>
    <t>20KB0138 Re - Construction of Multi-Purpose Building, Brgy. Tandong, Kitaotao, Bukidnon</t>
  </si>
  <si>
    <t>Improvement of Farm to Market Road at Sitio Imee, Brgy. Imelda</t>
  </si>
  <si>
    <t>Purchase of 60 Heads Female Carabao for the used of integrated Carabao  based Production project</t>
  </si>
  <si>
    <t>Seguridad para sa mamamayan ng La Paz</t>
  </si>
  <si>
    <t>Supply and Delivery of Laundry Equipment for Instructional Operation (PR No. 2020-02-0189)</t>
  </si>
  <si>
    <t>Improvement and Concreting of FMR (Binubucalan to Canano) Phase 2</t>
  </si>
  <si>
    <t>20GA00001: Supply and Delivery of Ground Penetrating Radar (GPR) for use in the Planning &amp; Design Division, DPWH-Regional Office I, City of San Fernando, La Union</t>
  </si>
  <si>
    <t>Repair of the ORC Building</t>
  </si>
  <si>
    <t>G.I. Color Roof Roofing    (  Renovation of Maslog Multi Purpose Gym )</t>
  </si>
  <si>
    <t>Construction of Two Units Makeshift Building for Livelihood Project in Sitio Limite, Brgy. Daja Daku, San Isidro, Leyte, ABC PHP1,318,234.84</t>
  </si>
  <si>
    <t>20KB0159   Repair/Maintenance of DPWH Building New Guardhouse Entrance with Perimeter Fence  :	Pinamaloy, Don Carlos, Bukidnon</t>
  </si>
  <si>
    <t>Construction of Slope Protection at Sitio Filipinas, Brgy. Valdez</t>
  </si>
  <si>
    <t>DRRM Resource Modernization</t>
  </si>
  <si>
    <t>Procurement of Office Supplies for Reproduction of Modules &amp; Other Learning Materials for the First Semester S.Y 2020- 2021 use at ESSU Main Campus (PR# 2020-OSPM-177)</t>
  </si>
  <si>
    <t>Rehabilitation of Slaughter House</t>
  </si>
  <si>
    <t>20KB0161   Repair/Maintenance of Kianggat Mini-dam  :	Kianggat, Dangcagan, Bukidnon</t>
  </si>
  <si>
    <t>Construction of Farm Ditch (Installation of Pipe for Irrigation) @ Brgy. Bandera</t>
  </si>
  <si>
    <t>May Pera sa Basura</t>
  </si>
  <si>
    <t>PROCUREMENT OF ICT EQUIPMENT FOR LMS &amp; ONLINE ADMISSION/REGISTRATION SYSTEM</t>
  </si>
  <si>
    <t>B20200183 - CONSTRUCTION OF BAHAY SILANGAN FOR REFORMATION OF DRUG PERSONALITIES AT BRGY. MANKILAM, TAGUM CITY, DDN</t>
  </si>
  <si>
    <t>B20200181 - CONSTRUCTION OF POTABLE WATER SYSTEM, PUROK 6 (REVISED) AT BRGY. SANTIAGO, ASUNCION, DDN</t>
  </si>
  <si>
    <t>B20200198 - RENOVATION OF TEEN TAMBAYAN, DDNSC COMPOUND TAGUM CITY, DDN</t>
  </si>
  <si>
    <t>Construction of Riprap at Paniquian Irrigation at Poblacion, Pilar, Bataan</t>
  </si>
  <si>
    <t>INVITATION TO BID FOR</t>
  </si>
  <si>
    <t>PROCUREMENT OF RANDOM ACCESS MEMORY AND VARIOUS DATA STORAGE DEVICES</t>
  </si>
  <si>
    <t>Lot 1: Supply and Delivery of Hotel Housekeeping Instructional Cleaning Materials (PR No. 2020-02-0186) &amp; Lot 2: Supply and Delivery of Instructional Cleaning Chemicals (PR No. 2020-02-0184)</t>
  </si>
  <si>
    <t>Construction of Water Supply System Level 3 Phase 2 (Cansolabao Sitio Arizona)</t>
  </si>
  <si>
    <t>B20200182 - RURAL ELECTRIFICATION AT RAMADA COMPOUND, STO NINO, CUMABUGAN, TAGUM CITY, DDN</t>
  </si>
  <si>
    <t>B20200199 - ESTABLISHMENT OF MULTIPLIER FARM PROJECT (PHASE 2)</t>
  </si>
  <si>
    <t>Other Supplies and Materials Expenses</t>
  </si>
  <si>
    <t>Replacement of Windows at College Building</t>
  </si>
  <si>
    <t>CLUSTER 12 INFRASTRUCTURE PROJECT</t>
  </si>
  <si>
    <t>20KB0160   Repair/Maintenance of DPWH Building Ver Overview Field Office  :	Overview, Palacapao, Quezon, Bukidnon</t>
  </si>
  <si>
    <t>Office Supplies Expenses</t>
  </si>
  <si>
    <t>NNP-2020-VI-22-02F BRANDNEW VAN</t>
  </si>
  <si>
    <t>Concreting of Diangas to Guimotan Road</t>
  </si>
  <si>
    <t>CLUSTER 13 INFRASTRUCTURE PROJECT</t>
  </si>
  <si>
    <t>REHABILITATION OF FLOOD CONTROL AT POBLACION</t>
  </si>
  <si>
    <t>Rehabilitation/ Upgrading of Aranaar FMR (Calantac, Alcala, Cagayan)</t>
  </si>
  <si>
    <t>CY 2020 ENHANCED NATIONAL GREENING PROGRAM-HARDENING –OFF ACTIVITIES UNDER MECHANIZED AND MODERNIZED FOREST NURSERY AT BANAO, GUINOBATAN, ALBAY per DENR-ENGP-MMFN-HARDENING-OFF-2020-001</t>
  </si>
  <si>
    <t>(20GNH0004) Supply and Delivery of Road Safety Signages and Thermoplastic Materials for Installation along SDCR, Aras-asan Diversion Road and Payasan-Los Arcos Road (Intermittent Sections) K1296+200-K</t>
  </si>
  <si>
    <t>IMPROVEMENT OF SB BUILDING -MUNICIPAL GROUND, BRGY.POB.3</t>
  </si>
  <si>
    <t>Establishment of Fish and Cacao Processing Project in Zamboanga Del Norte</t>
  </si>
  <si>
    <t>Widening of Eballe Street with Canal</t>
  </si>
  <si>
    <t>Concreting of Barangay Road at Brgy. Morong, Sitio Purok 7, Sariaya, Quezon</t>
  </si>
  <si>
    <t>Construction of Gender Appropriate Toilet</t>
  </si>
  <si>
    <t>Construction of Level II Water System in Barangay B.del Mundo (11,460.00 Linear Meter for Pipe Laying)</t>
  </si>
  <si>
    <t>Purchase of Materials for the Construction of Sea Ambulance</t>
  </si>
  <si>
    <t>SUPPLY &amp; DELIVERY OF AGRICULTURAL MACHINERIES AND EQUIPMENT</t>
  </si>
  <si>
    <t>SUPPLY AND DELIVERY OF VARIOUS SUPPLIES FOR CITY VICE MAYOR'S OFFICE</t>
  </si>
  <si>
    <t>SUPPLY AND DELIVERY OF VARIOUS SUPPLIES FOR VARIOUS OFFICES</t>
  </si>
  <si>
    <t>ITB 20-0052-A - Supply and Delivery of 7 sets Desktop Computer with Printer &amp; etc.</t>
  </si>
  <si>
    <t>Furnishing labor, materials and equipment rental for the Rehab./Improvement of  Waterworks System, Brgy. Bagong Silang, Sta. Cruz, Marinduque</t>
  </si>
  <si>
    <t>Construction of Reinforced Concrete Box Culvert (Piggatan, Alcala, Cagayan)</t>
  </si>
  <si>
    <t>REHABILITATION OF FLOOD CONTROL AT PANJOBJOBAN 1</t>
  </si>
  <si>
    <t>Construction of Power House, Negros First Food Terminal, San Juan St., Bacolod City, Negros Occidental(Re-bid)/PEO-2020-0069</t>
  </si>
  <si>
    <t>Construction of Farm to Market Road</t>
  </si>
  <si>
    <t>ITB 20-0053-A - Supply and Delivery of 2 sets Desktop Computer &amp; etc.</t>
  </si>
  <si>
    <t>CONSTRUCTION OF RETAINING WALL -Sitio Awas, Brgy. Tagbakin</t>
  </si>
  <si>
    <t>Supply of Construction Materials with Rental of Heavy Equipment for the proposed Construction of Drainage System at Purok-3, San Isidro, Talakag, Bukidnon.</t>
  </si>
  <si>
    <t>PURCHASE OF CONSTRUCTION MATERIALS FOR PROTOTYPE COVID LIGTAS ISOLATION FACILITIES</t>
  </si>
  <si>
    <t>CONSTRUCTION OF SPILLWAY AT HIMAYA, EL SALVADOR CITY</t>
  </si>
  <si>
    <t>Furnishing labor, materials and equipment for the Improvement of Brgy. Waterworks System at Brgy. Pili, Boac, Marinduque</t>
  </si>
  <si>
    <t>CY 2020 ENHANCED NATIONAL GREENING PROGRAM-HARDENING –OFF ACTIVITIES UNDER MECHANIZED AND MODERNIZED FOREST NURSERY AT SOOC, LUPI, CAMARINES SUR per DENR-ENGP-MMFN-HARDENING-OFF-2020-002</t>
  </si>
  <si>
    <t>SUPPLY AND DELIVERY OF VARIOUS GROCERY ITEMS FOR DISASTER PREPAREDNESS STOCKPILE</t>
  </si>
  <si>
    <t>SUPPLY &amp; DELIVERY OF MEDICINES AND MEDICAL SUPPLIES</t>
  </si>
  <si>
    <t>Furnishing labor, materials and equipment rental for the Rehabilitation/Improvement of  Brgy. Waterworks System at Balanacan, Mogpog, Marinduque</t>
  </si>
  <si>
    <t>NEW CONSTRUCTION OF LEVEL II POTABLE WATER SYSTEM IN BRGY. MARASBARAS AND SAN ISIDRO</t>
  </si>
  <si>
    <t>CONSTRUCTION OF MPB(TEMPORARY SHELTER/EVACUATION FACILITY/ COVERED COURT)  Brgy.  Bula, Tiaong, Quezon</t>
  </si>
  <si>
    <t>CONSTRUCTION OF MULTI-PURPOSE BUILDING CANOPY &amp; HANGING BOARD</t>
  </si>
  <si>
    <t>PROCUREMENT OF MOTOR VEHICLE (PASSENGER VAN), DR. JOSE RIZAL MEMORIAL HOSPITAL</t>
  </si>
  <si>
    <t>ITB - PROCUREMENT OF PRO XII VARIOUS FURNITURE AND FIXTURES  FOR CY 2020</t>
  </si>
  <si>
    <t>Procurement of Passenger Van 2020(Repost)</t>
  </si>
  <si>
    <t>SUPPLY AND DELIVERY OF VARIOUS MEDICINES AND MEDICAL SUPPLIES FOR DISASTER PREPAREDNESS STOCKPILE</t>
  </si>
  <si>
    <t>Construction of Water System</t>
  </si>
  <si>
    <t>ITB 20-0061 - 1 lot Job Order, Disassembly, Assembly &amp; Commissioning of EX 04 Crawler Excavator, Hitachi ZAXIS 200-3F.</t>
  </si>
  <si>
    <t>PROCUREMENT OF VARIOUS IT SUPPLIES/ EQUIPMENT, JANITORIAL AND ELECTRICAL SUPPLIES AND OFFICE SUPPLIES OF BFAR6 FOR CY 2020</t>
  </si>
  <si>
    <t>Cluster 06-2020 (1. Site Development of Municipal Slaughter House 2. Repair of Pakkil Stairway with Railings 3. Improvement of Baang Pathway 4. Improvement of Liwen-Navarangnan hanging Bridge 5. Impro</t>
  </si>
  <si>
    <t>DECLOGGING AND DESILTING OF CANALS</t>
  </si>
  <si>
    <t>20GLH0013 (P.R. No. 2020-03-021 dated 03/17/2020) - For use in Maintenance Section in connection with the repair / maintenance of national roads, 3rd Congressional District, Davao City</t>
  </si>
  <si>
    <t>Furnishing labor, materials and equipment for the Improvement of Brgy. Waterworks System, Brgy. Lupac, Boac, Marinduque</t>
  </si>
  <si>
    <t>Landscaping/Development Municipal Hall Plaza</t>
  </si>
  <si>
    <t>SUPPLY AND DELIVERY OF CONSTRUCTION MATERIALS</t>
  </si>
  <si>
    <t>PURCHASE TABLES AND CHAIRS</t>
  </si>
  <si>
    <t>DISASTER RISK MITIGATION AND PREPAREDNESS</t>
  </si>
  <si>
    <t>TWO WAY RADIO</t>
  </si>
  <si>
    <t>Furnishing labor, materials and equipment rental for the Construction of Waterworks System Phase 1, Brgy. Mongpong, Sta. Cruz, Marinduque</t>
  </si>
  <si>
    <t>Rehabilitation of Barangay Road (Purok 2 to  Purok 3)</t>
  </si>
  <si>
    <t>OFFICE ENHANCEMENT PROJECT / CAPITAL OUTLAY</t>
  </si>
  <si>
    <t>Improvement of Bontoc Ili Local Access Road</t>
  </si>
  <si>
    <t>Furnishing labor, materials and equipment for the Construction of Multi-Purpose Hall (Completion of roofing of Gasan Tennis Court and construction of other related structures) at Brgy. Dos, Gasan, Mar</t>
  </si>
  <si>
    <t>INVITATION TO BID FOR Drugs and Medicines for the Month of AUGUST 2020</t>
  </si>
  <si>
    <t>Cluster 07-2020 (1. Improvement of Municipal Capitol Building 2. Restoration/Relocation of Chongliyan Water System 3. Completion of Chakalan Bontoc Ili Animal Bite Center 4. Fabrication &amp; Installation</t>
  </si>
  <si>
    <t>CONSTRUCTION OF SECOND FLOOR OF DAYCARE CENTER</t>
  </si>
  <si>
    <t>Construction of Seawall from Brgy. Lagundi to Brgy. Kinaguitman</t>
  </si>
  <si>
    <t>Procurement of ICT Office Equipment</t>
  </si>
  <si>
    <t>Conversion of Speech Laboratory Classroom to Agri-Industrial Research Laboratory-Tagum City</t>
  </si>
  <si>
    <t>PROJ. 267 - YDF 2020</t>
  </si>
  <si>
    <t>Purchase of spareparts</t>
  </si>
  <si>
    <t>03 units Bioreactor</t>
  </si>
  <si>
    <t>Proposed Site Development and Building Improvement for Central Kitchen at Barangay Tamag, Vigan City</t>
  </si>
  <si>
    <t>SUPPLY AND DELIVERY OF TRIWHEELER FOR OFFICE USE</t>
  </si>
  <si>
    <t>01 unit Delivery Van with Complete Accessories</t>
  </si>
  <si>
    <t>20KJ0175: Construction of Classrooms (2sty 4CL), Lupagan Elementary School, Clarin, Misamis Occidental</t>
  </si>
  <si>
    <t>20KJ0176: Construction of Classrooms (1sty 2CL), Ozamiz ES, Clarin, Misamis Occidental</t>
  </si>
  <si>
    <t>20KJ0177: Construction of Classrooms (1sty 3CL), Camating ES, Tudela, Misamis Occidental</t>
  </si>
  <si>
    <t>SUPPLY AND DELIVERY OF OFFICE SUPPLIES, MATERIALS AND EQUIPMENT</t>
  </si>
  <si>
    <t>Electrical Power Supply Installation for the Association of Village Type Rice Mill of Grain Dryer Equipment Panel at Barangay Pantay Daya, Vigan City</t>
  </si>
  <si>
    <t>(RE-POST) Construction of Materials Recovery Facility</t>
  </si>
  <si>
    <t>20KJ0174: Construction of Classrooms (2sty 10CL), Bonifacio CS, Bonifacio, Misamis Occidental</t>
  </si>
  <si>
    <t>SUPPLY AND DELIVERY OF MISTING MACHINE (ITB No. 2020-145)-(pgo-pdrrmd)</t>
  </si>
  <si>
    <t>20KJ0178: Construction of Classrooms (3sty 9CL), Misamis Annex Integrated School, Ozamis City, Misamis Occidental</t>
  </si>
  <si>
    <t>Repair of Heavy Equipment, Maasin, Ililo</t>
  </si>
  <si>
    <t>Construction of Causeway at Labuan (Revised 2)</t>
  </si>
  <si>
    <t>PROJ. 319 - RRMF 2020</t>
  </si>
  <si>
    <t>Completion of Barangay Hall (Phase 5)</t>
  </si>
  <si>
    <t>01 unit Water Tanker</t>
  </si>
  <si>
    <t>Construction of Drainage System at Canelar Moret to Johnston Compound, Canelar</t>
  </si>
  <si>
    <t>Concreting of Road at Lanzones</t>
  </si>
  <si>
    <t>Improvement of Road at Suterville, San Jose Gusu</t>
  </si>
  <si>
    <t>Construction/Rehabilitation/Improvement of Electrification, Power and Energy Structures for City Health Office Building at Zone IV</t>
  </si>
  <si>
    <t>Construction of Slope Protection with Cross Drain (Box Culvert Type) at Lumayang</t>
  </si>
  <si>
    <t>Construction of Multi-Purpose Hall/Center at Purok 4, Labuan</t>
  </si>
  <si>
    <t>600 pcs. Bulb, 3 watts, LED, 180-264 volts, 230 lumens –daylight, 500 pcs. Bulb, 3 watts, LED, 180-264 watts, 210 lumens- warm white, etc..</t>
  </si>
  <si>
    <t>Construction/Rehabilitation of Drainage System at Tugbungan</t>
  </si>
  <si>
    <t>Construction of Slope Protection at Cabaluay</t>
  </si>
  <si>
    <t>04 units Hammermill</t>
  </si>
  <si>
    <t>33 bottles Auto Transmission Fluid, 1 liter, 46 bottles Brake Fluid, 1 liter (shall comply with DOT3), etc..</t>
  </si>
  <si>
    <t>Concreting of Road at Montesino, Sta. Maria</t>
  </si>
  <si>
    <t>Construction of Fence at Anuling Elementary School, Pamucutan</t>
  </si>
  <si>
    <t>ITB-131 Renovation/Improvement of Boys Scout of the Philippines Building  and Facilities, Butuan City</t>
  </si>
  <si>
    <t>45 kgs. Beans, Baguio, 45 kgs. Beans, String, etc..</t>
  </si>
  <si>
    <t>Rehabilitation of Sangguniang Kabataan Office</t>
  </si>
  <si>
    <t>IB No. 2006-309 Proc. of Goods (Rabies Vaccine and Others)</t>
  </si>
  <si>
    <t>20M00079- Construction/Improvement of Various Infrastructure in Support of National Security – Construction of SK Pendatun Municipal Police Station Building, Gen. Salipada SK Pendatun, Maguindanao</t>
  </si>
  <si>
    <t>Improvement of Barangay Hall Phase II</t>
  </si>
  <si>
    <t>Vehicle Parts and Accessories</t>
  </si>
  <si>
    <t>Catering Services for Mayor's State of the Municipal Address</t>
  </si>
  <si>
    <t>20M00078- Construciton/Rehabilitation of Water Supply/Septage and Sewerage/Rain Water Collectors in Facilities; Koronadal City (5 Units), General Santos City (3 Units), Tacurong City (1 unit), Esperan</t>
  </si>
  <si>
    <t>PROCUREMENT OF WELFARE GOODS OF BRGY. PANDAN TO SUPPORT IN COVID-19 PANDEMIC</t>
  </si>
  <si>
    <t>REHABILITATION OF UPPER DUNGYASAN COMMUNAL IRRIGATION SYSTEM</t>
  </si>
  <si>
    <t>SLOPE PROTECTION (KAWKAW-AY)</t>
  </si>
  <si>
    <t>ITB for Procurement of Water Dispenser</t>
  </si>
  <si>
    <t>Purchase of 2 Units Split Type Aircon for LCR's Office</t>
  </si>
  <si>
    <t>Purchase of Tires and batteries</t>
  </si>
  <si>
    <t>UPGRADING OF LOCAL ACCESS ROAD AT P5 GENERAL AGUINALDO, RAMON, ISABELA</t>
  </si>
  <si>
    <t>FURNISHED LABOR &amp; MATERIALS FOR THE IMPROVEMENT OF RHU BUILDING-MEO-1ST POSTIN=PHP 3,000,000.00</t>
  </si>
  <si>
    <t>IB No. 2006-310 Proc. of Goods (Supply and Installation of Close Circuit Television Security)</t>
  </si>
  <si>
    <t>Invitation to Bid Rehab. of Multi-Purpose Hall</t>
  </si>
  <si>
    <t>RFQ / 20-03-0226 / PROCUREMENT OF 24 GALS RED OXIDE PRIMER AND 6 OTHER LINE ITEMS</t>
  </si>
  <si>
    <t>PROCUREMENT OF WELFARE GOODS BRGY ROMONGAOB SANGGUNIANG KABATAAN TO SUPPORT IN COVID-19 PANDEMIC</t>
  </si>
  <si>
    <t>SUPPLY, DELIVERY, INSTALLATION, TESTING AND COMMISSIONING OF AIR CONDITIONING UNITS FOR THE OLD HOSPITAL BUILDING-(ITB No. 2020-146)-(provl government of bukidnon)</t>
  </si>
  <si>
    <t>FURNISHED LABOR &amp; MATERALS FOR THE CONSTRUCTION OF PUBLIC MARKET 2 BRGY. TALUS, MALUNGON-MEO-1ST POSTING=PHP 2,500,000.00</t>
  </si>
  <si>
    <t>74516 - Procurement of Various Lumber Materials</t>
  </si>
  <si>
    <t>SUPPLY &amp; DELIVERY OF PC DESKTOP, DESKJET PRINTER W/ SCANNER, LAPTOP W/ LICENSE &amp; COLORED PRINTERS</t>
  </si>
  <si>
    <t>MAINTENANCE OF GUINZADAN - BANAO- ANDANUM ROAD</t>
  </si>
  <si>
    <t>ITB-GS-20200323-01 - 1 Lot Supply, Delivery and Installation of Systems Furniture for LANDBANK Malolos Highway Office Building</t>
  </si>
  <si>
    <t>Supply and Delivery of Laptops and Other Items (2nd Bidding)</t>
  </si>
  <si>
    <t>SUPPLY AND DELIVERY OF HANDHELD RADIO AND RADIO BASE (ITB No. 2020-149)-(provl government of bukidnon)</t>
  </si>
  <si>
    <t>SUPPLY, DELIVERY, INSTALLATION, TESTING AND COMMISSIONING OF AIR CONDITIONING UNITS-(ITB No. 2020-148)-(bph-maramag and bph-kibawe)</t>
  </si>
  <si>
    <t>Design and Build Procurement for the Rehabilitation (Retrofitting – Category 3) of Existing Sanitary Landfill Facility and Wastewater Treatment Facility</t>
  </si>
  <si>
    <t>Rehab/Repair of Slaughter House</t>
  </si>
  <si>
    <t>Installation of 3-Phase Extension Line with Transformer, Lightings and Fixtures at NOMPAC, Aguinaldo St., Bacolod City/PEO-2020-0852</t>
  </si>
  <si>
    <t>Contract ID 2020-IG-019 - Procurement of Various Office Equipment/IT Supplies Needed for use in Maintenance Section within the DPWH, Leyte V District Engineering Office</t>
  </si>
  <si>
    <t>IB 20GCJ0037 - Supply of Diesel Fuel and Unleaded Gasoline for the Operation of Service Vehicles and Heavy Equipment in the Inspection/Supervision, Surveying, Monitoring of Projects and Repair/Mainten</t>
  </si>
  <si>
    <t>Rehabilitation of Multi-Purpose Hall (119.67 m2)</t>
  </si>
  <si>
    <t>Annual Calibration and Preventive Maintenance of Medical Equipment C.Y. 2020</t>
  </si>
  <si>
    <t>INFRA 2K20-43 RENOVATION AND IMPROVEMENT OF 2- STOREY PSWD BUILDING</t>
  </si>
  <si>
    <t>Contract ID 2020-IG-018 - Procurement/Purchase of Prescribed Uniform and Personal Protective Equipment Needed for Maintenance Workers along National Roads within the DPWH, Leyte V District Engineering</t>
  </si>
  <si>
    <t>CONSTRUCTION OF DISASTER/EVACUATION CENTER, BARANGAY BANUYO, BORONGAN CITY EASTERN SAMAR</t>
  </si>
  <si>
    <t>PROCUREMENT OF WELFARE GOODS OF BRGY. LAMUD SANGGUNIANG KABATAAN TO SUPPORT IN COVID-19 PANDEMIC</t>
  </si>
  <si>
    <t>Concre Paving of Pacol-Lacaron Road(Phase II), Rural Access (Road Upgrading), Brgy. Pacol-Lacaron, Valladolid, Neg. Occ./PEO-2020-0795</t>
  </si>
  <si>
    <t>FUEL, OIL LUBRICANTS (LGU)</t>
  </si>
  <si>
    <t>74514 - Procurement of Various Hardware &amp; Construction Materials</t>
  </si>
  <si>
    <t>PROCUREMENT OF TENT</t>
  </si>
  <si>
    <t>CONSTRUCTION/REHABILITATION OF WATER SUPPLY/SEPTAGE AND SEWERAGE/RAIN WATER COLLECTORS IN PUBLIC FACILITIES – RAIN WATER COLLECTORS IN PUBLIC FACILITIES, VARIOUS LOCATIONS ALONG BENGUET FIRST DISTRICT</t>
  </si>
  <si>
    <t>20FH0094 - CONSTRUCTION/REHABILITATION OF WATER SUPPLY/SEPTAGE AND SEWERAGE/RAIN WATER COLLECTORS – RAIN WATER COLLECTORS IN PUBLIC FACILITIES AT 21 SITES, PROVINCE OF CATANDUANES</t>
  </si>
  <si>
    <t>Procurement of Fuel</t>
  </si>
  <si>
    <t>RFQ 20GCJ0038 - Supply of Diesel Fuel for the Operation of Service Vehicles in the Inspection/Supervision, Monitoring of Projects within the 1st and 2nd District and attending of Official Business for</t>
  </si>
  <si>
    <t>Local Program - Rehabilitation/Improvement of along Daang Maharlika Highway Jct. Legazpi-Sto. Domingo-Camarines Sur Bdry. Road - K0528+760-K0529+533, K0530+000-K0532+616, Legazpi City</t>
  </si>
  <si>
    <t>IMPROVEMENT OF SACASACAN FMR, SADANGA</t>
  </si>
  <si>
    <t>20FH0095 - REPAIR/REHABILITATION/RECONSTRUCTION OF SALVACION FLOOD CONTROL, SALVACION, VIGA, CATANDUANES</t>
  </si>
  <si>
    <t>RFQ 20GCJ0039 - Supply of Diesel Fuel for the Operation of Service Vehicles in the Inspection/Supervision, Surveying, Monitoring of Projects within the 1st and 2nd District and attending of Official B</t>
  </si>
  <si>
    <t>RFQ 20GCJ0040 - Supply of Diesel Fuel for the Operation of Service Vehicles in the Inspection/Supervision, Surveying, Monitoring of Projects within the 1st and 2nd District and attending of Official B</t>
  </si>
  <si>
    <t>ITB for Construction of Seawall - Cawilan</t>
  </si>
  <si>
    <t>20BC0167-Construction of 1 Storey 3 Classroom with CR, Canayun Elementary School, Canayun, Abulug, Cagayan</t>
  </si>
  <si>
    <t>Purchase of Office Supplies and other Supplies use  for Mayor's Office</t>
  </si>
  <si>
    <t>74517 - Procurement of Various Painting Materials</t>
  </si>
  <si>
    <t>Procurement of One (1) Unit Six Wheelers Truck Vehicle (Reconditioned)</t>
  </si>
  <si>
    <t>74518 - Procurement of Various Plumbing Materials</t>
  </si>
  <si>
    <t>IMPROVEMENT OF SABANGAN DOGO ROAD</t>
  </si>
  <si>
    <t>20HC0178- CONCRETING OF BRGY. BAY-ANG FMR, BRGY. BAY-ANG, UBAY, BOHOL</t>
  </si>
  <si>
    <t>Supply and Delivery of PCB Board Cutter and Other Items (2nd Bidding)</t>
  </si>
  <si>
    <t>PROCUREMENT  OF HARDWARE MATERIALS AND EQUIPMENT RENTAL FOR THE CONSTRUCTION OF CALABANGA YOUTH AND LIVELIHOOD CENTER (PHASE 3 – COMPLETION)</t>
  </si>
  <si>
    <t>ITB For Construction of Multi-purpose Building - Brgy. Union</t>
  </si>
  <si>
    <t>ITB for Rehabilitation of Seawall at Brgy. Fabio Phase II</t>
  </si>
  <si>
    <t>Acquisition of One (1) Unit 4x4 Brand New Rescue Vehicle</t>
  </si>
  <si>
    <t>ITB for Construction of Drainage Canal - Brgy. Azucena</t>
  </si>
  <si>
    <t>REHABILITATION OF INWALOY-MAGULON ACCESS ROAD (RE-BID)</t>
  </si>
  <si>
    <t>2 units Fully Reconditioned Passenger Type Multicab and other items for Brgy. Bantayan – Pick-up type multicab to be used for garbage collection in the Barangay and Passenger type multicab to be used</t>
  </si>
  <si>
    <t>Construction and Improvement of Barangay Roads and Bridges</t>
  </si>
  <si>
    <t>(PVSO) INVITATION TO BID FOR THE SUPPLY AND DELIVERY OF PLASTIC PRODUCTS  FOR THE  PROVINCIAL VETERINARY SERVICES OFFICE (PVSO)</t>
  </si>
  <si>
    <t>74462 - Procurement of Airconditioning Check-up and Cleaning Services</t>
  </si>
  <si>
    <t>2 units Brand New Three-Wheeled Motorcycle, Pickup Type and other items for Brgy. Bantayan – Pick-up type multicab to be used for garbage collection in the Barangay and Passenger type multicab to be u</t>
  </si>
  <si>
    <t>INFRA 2K20-42 CONST. OF CAPABILITY DEVELOPMENT CENTER FOR LAW ENFORCERS &amp; DISASTER RISK REDUCTION MANAGEMENT OFFICES (RENOV./IMPROV’T. OF FORMERLY ZAMBOANGA DEL SUR SPORTS ACADEMY FOR THE PROPOSED PDR</t>
  </si>
  <si>
    <t>INFRA 2K20-44 REPAIR/IMPROVEMENT OF COMMON BUILDING AND FACILITIES (BUILDING B) FOR RTC AND ZDSMC WARD</t>
  </si>
  <si>
    <t>PROCUREMENT OF POSTNATAL KIT WITH BABY BOX FOR MOTHERS FOR THE USE OF GENDER &amp; DEVELOPMENT FOCAL POINT SYSTEM – CHO (SECOND BIDDING)</t>
  </si>
  <si>
    <t>IMPROVEMENT OF TSAT SAGANG-TADIAN ROAD</t>
  </si>
  <si>
    <t>Construction/Installation of Solar Street Lights for the Provincial Government of Occidental Mindoro</t>
  </si>
  <si>
    <t>Repair/Maintenance of DILG Building Hingyon Municipal Station, Hingyon, Ifugao</t>
  </si>
  <si>
    <t>20P00040 Rain Water Collectors in Public Facilities - CAR</t>
  </si>
  <si>
    <t>Construction of Covered Court at Ballay, Bauang, La Union</t>
  </si>
  <si>
    <t>20HC0179- CONCRETING OF BRGY. CRUZ TO BRGY. CANTORES FMR, BRGY. CRUZ AND BRGY. CANTORES, BUENAVISTA, BOHOL</t>
  </si>
  <si>
    <t>Construction of Covered Court at Pagdalagan Sur, Bauang, La Union</t>
  </si>
  <si>
    <t>Construction of Naguillan Level II Potable Water System</t>
  </si>
  <si>
    <t>LOCAL ACCESS ROAD</t>
  </si>
  <si>
    <t>Supply and Delivery of One (1) Unit Brand New Garbage Truck to be used in Environment Management Program, Naujan, Oriental Mindoro</t>
  </si>
  <si>
    <t>Two (2) Years and Six (6) Months Contract for Janitorial Services (July 2020 to December 2022)</t>
  </si>
  <si>
    <t>Supply &amp; Delivery of Two(2) Units 6-Wheeler Dump Truck (Brand New) intended for Residual Containment Area(RCA) in Relation to Covid-19</t>
  </si>
  <si>
    <t>74434 - Procurement of Various Office Equipment</t>
  </si>
  <si>
    <t>PROCUREMENT OF  CIVIL WORKS OF VARIOUS FACILITIES</t>
  </si>
  <si>
    <t>74744 - Procurement of Three (3) Units Desktop Computers</t>
  </si>
  <si>
    <t>PROPOSED INSTALLATION OF FIVE UNITS STREETLIGHTS AT BRGY. STA. VERONICA, SAN PABLO CITY</t>
  </si>
  <si>
    <t>PEO-20-0618 B- Procurement of Diesel Fuel for use in the truck team operation for the repair and maintenance of Provincial roads and bridges in the Province of Iloilo</t>
  </si>
  <si>
    <t>IB No. 2004-254 Proc. of Goods (Security Services)(Rebid)</t>
  </si>
  <si>
    <t>ITB for Construction of Kitchen with Equipment</t>
  </si>
  <si>
    <t>UPGRADED GOAT PROGRAM</t>
  </si>
  <si>
    <t>(PVSO)  INVITATION TO BID FOR THE SUPPLY AND DELIVERY OF AGRICULTURAL MACHINERY AND SUPPLIES FOR THE  PROVINCIAL VETERINARY SERVICES OFFICE (PVSO)</t>
  </si>
  <si>
    <t>ITB-132 Construction and Installation of Elevator, Provincial Health  Office, Brgy. Libertad, Butuan City (REBID)</t>
  </si>
  <si>
    <t>Concreting of Road at Brgy. Canarem, Victoria, Tarlac - B-CW-2020-012</t>
  </si>
  <si>
    <t>CONSTRUCTION OF GOAT BARN, CARE TAKER'S  HUT AND PERIMETER FENCE</t>
  </si>
  <si>
    <t>Job Order: Installation and Supply of Brand New Standby Generator Set, Diesel Engine (Three (3) Phase 100 KVA) with ATS, Silent Type.</t>
  </si>
  <si>
    <t>PROCUREMENT OF DUMP TRUCKS FOR THE USE OF CITY ENVIRONMENT AND NATURAL RESOURCES OFFICE (SECOND BIDDING)</t>
  </si>
  <si>
    <t>PROCUREMENT OF WELFARE GOODS OF BRGY LAMUD TO SUPPORT IN COVID-19 PANDEMIC</t>
  </si>
  <si>
    <t>PEO-20-0639 B- Procurement of Diesel Fuel for use in the truck team operations for the repair/maintenance of Provincial roads and bridges in the Province of Iloilo</t>
  </si>
  <si>
    <t>(PAO)   2ND INVITATION TO BID FOR THE SUPPLY AND DELIVERY OF 1 UNIT MOTORCYCLE FOR THE  PROVINCIAL AGRICULTURAL OFFICE (PAO)</t>
  </si>
  <si>
    <t>Construction of Slope Protection at Bauang North Central School, Central East, Bauang, La Union</t>
  </si>
  <si>
    <t>CONSTRUCTION OF ACCESS ROAD (DEKKAN FMR)</t>
  </si>
  <si>
    <t>INFRA 2K20-40 CONSTRUCTION OF 14 LN.M. HANGING BRIDGE</t>
  </si>
  <si>
    <t>20BC0168-Construction of 1 Storey 2 Classroom with CR, Dana-ili Elementary School, (Bldg. 1) Dana-ili, Abulug, Cagayan</t>
  </si>
  <si>
    <t>PEO-20-0638 B- Procurement of Office Supplies</t>
  </si>
  <si>
    <t>74568 - Procurement of Various Hardware Materials for Construction of Modular Concrete Blocks</t>
  </si>
  <si>
    <t>Renovation of Open Bleachers at Pana-ad Park and Stadium, Brgy. Mansilingan, Bacolod City/PEO-2020-0305</t>
  </si>
  <si>
    <t>Repair/Maintenance of DOST Building Innovation &amp; Provincial  Science and Technology Center, Lamut, Ifugao</t>
  </si>
  <si>
    <t>IB No. 2005-304 Proc. of Goods (Fuel and Lubricants)</t>
  </si>
  <si>
    <t>Concreting of Road at So. Matalusad, Brgy. Sta. Cruz, Concepcion, Tarlac - B-CW-2020-013</t>
  </si>
  <si>
    <t>20FO0086 - Rehabilitation/Improvement of Flood Control Structure, Left and Right Facing Upstream of Bacolod Bridge, Libon, Albay</t>
  </si>
  <si>
    <t>CONSTRUCTION PROJECTS-AM-MF-SEF</t>
  </si>
  <si>
    <t>DELIVERY OF MATERIALS FOR THE CONSTRUCTION OF DRAINAGE SYSTEM AT MARKET WEST SIDE (Re-Bid)</t>
  </si>
  <si>
    <t>(PAO) 2ND INVITATION TO BID FOR THE SUPPLY AND DELIVERY OF AGRICULTURAL PRODUCTS  AND MARINE SUPPLIES (II) FOR THE  PROVINCIAL AGRICULTURAL OFFICE (PAO)</t>
  </si>
  <si>
    <t>PB 2020-28 (GOODS) - Lease of Servers for Various Systems</t>
  </si>
  <si>
    <t>74745 - Procurement of One (1) Laptop Computer</t>
  </si>
  <si>
    <t>Procurement of Civil Works for the Repair of Office Building at Municipal Hall, Mlang, Cotabato.</t>
  </si>
  <si>
    <t>PR-2020-1129 Medical Supplies-PHO</t>
  </si>
  <si>
    <t>ENHANCEMENT OF JAGNA GYMNASIUM (Re-Bid)</t>
  </si>
  <si>
    <t>Concreting of Road at Brgy. Parulong, Concepcion, Tarlac - B-CW-2020-014</t>
  </si>
  <si>
    <t>PEO-20-0628 B- Procurement of Housekeeping Supplies</t>
  </si>
  <si>
    <t>CONSTRUCTION OF MULTI-PURPOSE BUILDING (MPB) PHASE II</t>
  </si>
  <si>
    <t>20FO0087 - Improvement of Albay-Camsur Diversion Road (Oas Section), Oas, Albay</t>
  </si>
  <si>
    <t>PRN 049-MOTOR VEHICLE-TF-GOODS-2020</t>
  </si>
  <si>
    <t>CONCRETING OF FARM TO MARKET ROAD AT BARANGAY SITE, PUROK 2, COGON BACACA</t>
  </si>
  <si>
    <t>PB 2020-29 (GOODS) - Lease of Servers for Datawarehouse Systems</t>
  </si>
  <si>
    <t>20GE0104 - Construction (Completion) of Multi-Purpose Building, Brgy. Suclaran, San Lorenzo, Guimaras</t>
  </si>
  <si>
    <t>2020-0169-PR2020-0402 Furnishing of Labor, Materials and Equipment for the Construction of 2-Classrooms School Building with PWD Toilets at Caimbang Elementary School, Caimbang, San Isidro, Bohol</t>
  </si>
  <si>
    <t>Repair/Maintenance of DILG Building PNP-Asipulo Municipal  Station, Neduntog, Antipulo, Asipulo, Ifugao</t>
  </si>
  <si>
    <t>PB 2020-30 (GOODS) - Lease of Storage and Automated Tape Library for Datawarehouse and Various Systems</t>
  </si>
  <si>
    <t>20FO0088 - Improvement of Albay-Camsur Diversion Road (Oas Section) Phase 2, Oas, Albay</t>
  </si>
  <si>
    <t>2020-0165-PR2020-0398 Furnishing of Labor, Materials and Equipment for the Construction of 1-Classroom School Building with Toilet at Candungaw High School, Candungaw, San Isidro, Bohol</t>
  </si>
  <si>
    <t>Supply and delivery of various materials for the repair and upgrade of ICT equipments of BFAR Region Office</t>
  </si>
  <si>
    <t>CONSTRUCTION OF PATIENT WAITING AREA AND KITCHEN (MHO) PHASE - 1</t>
  </si>
  <si>
    <t>IMPROVEMENT OF CANAL AND DRAINAGE CROSSING</t>
  </si>
  <si>
    <t>20GE0103 - Construction of Road Slope Protection Structure – at Specific Locations along Guimaras Circumferential Rd (S00028GR) K0073+065 – K0097+460</t>
  </si>
  <si>
    <t>Purchase of Construction Materials for Renovation/Repair and Maintenance of Building at Municipal Agriculture Office (Phase I)</t>
  </si>
  <si>
    <t>Concreting of Road Portion @ So. Tubigan, Kalawakan, DRT, Bulacan</t>
  </si>
  <si>
    <t>Repair/Maintenance of DOTr Building (LTO Office Building), Lamut, Ifugao</t>
  </si>
  <si>
    <t>20FO0091 - Construction of Multi-Purpose Building, Brgy. Calaguimit, Oas, Albay</t>
  </si>
  <si>
    <t>Construction of Covered Garbage Sorting Area, Camachile, DRT, Bulacan</t>
  </si>
  <si>
    <t>Purchase of medicine,first aid kit and other supplies for rescue operations</t>
  </si>
  <si>
    <t>General Administration and Support(GAS) Office Supplies</t>
  </si>
  <si>
    <t>2020-0168-PR2020-0401 Furnishing of Labor, Materials and Equipment for the Construction of 2-Classroom School Building with PWD Toilets at Hanopol National High School. Hanopol, Balilihan, Bohol</t>
  </si>
  <si>
    <t>Construction of Flood Control and Slope Protection Structure along Del Pilar Road</t>
  </si>
  <si>
    <t>Construction of White Corn Processing Center</t>
  </si>
  <si>
    <t>Transfusion Transmissible Infection (TTIs) Reagents with Free Use of Equipment Services for the use of PHO Technical Division, Dumaguete City (B-74-2020)</t>
  </si>
  <si>
    <t>ITB - SUPPLY, DELIVERY AND TESTING OF ONE (1) LOT SHORT FIREARMS (CALIBER .45) (CI)</t>
  </si>
  <si>
    <t>20FO0090 - Construction of Multi-Purpose Building (Covered Court), Pistola, Oas, Albay</t>
  </si>
  <si>
    <t>20FO0089 - Rehabilitation/Improvement of Bacolod Flood Control Structure (Left Side Facing Downstream of Bacolod Bridge) in Libon, Albay</t>
  </si>
  <si>
    <t>PROCUREMENT OF CONSULTING SERVICES FOR SUBDIVISION SURVEY OF 247 HECTARES NEW LANDS</t>
  </si>
  <si>
    <t>CLUSTER 27-2020</t>
  </si>
  <si>
    <t>Repair/Maintenance of Drainage along Kiangan-Tinoc-Buguias Road, K0315+(-100), Baguinge, Kiangan, Ifugao</t>
  </si>
  <si>
    <t>REPAIR OF HANGING BRIDGE located at NEW OPON, MAGSAYSAY, DAVAO DEL SUR all in accordance to plans, specifications and scope of work and the Green Procurement Policy as adopted by Executive Order No. 3</t>
  </si>
  <si>
    <t>Construction of Multi-Purpose Hall (Phase II) Sitio Dapi, Brgy, Cagbalete I, Mauban, Quezon.</t>
  </si>
  <si>
    <t>Construction of Box-Culvert @ So. Tubigan, Kalawakan, DRT, Bulacan</t>
  </si>
  <si>
    <t>ITB - Supply, Delivery and Installation of 1 unit Large Format Printer for the Packaging and Labelling Innovation Center</t>
  </si>
  <si>
    <t>One (1) Lot Automotive Diesel Fuel for the use in the Repair and Maintenance-Infrastructure Assets (Provincial Roads &amp; Bridges), Province of Negros Oriental (B-75-2020)</t>
  </si>
  <si>
    <t>2020-0167-PR2020-0400 Furnishing of Labor, Materials and Equipment for the Construction of 2-Classroom School Building with PWD Toilets at Danao Technological  School, Danao, Bohol</t>
  </si>
  <si>
    <t>“Purchase of One (1) unit Brand New Payloader (1.2 – 1.7 m3 capacity) for the Municipality of Amlan, Negros Oriental (B-76-2020)</t>
  </si>
  <si>
    <t>PROCUREMENT OF  1 LOT VARIOUS DRUGS AND MEDICINES FOR BJMP-NCR PDL FOR AUGUST 2020</t>
  </si>
  <si>
    <t>To hire contractor to provide materials, labor, and equipment for the “Construction of River Control Barangay Butong, Manjuyod, Negros Oriental” (B-78-2020)</t>
  </si>
  <si>
    <t>Supply and Delivery of Materials for Installation of Solar Street Lighting System</t>
  </si>
  <si>
    <t>20FO0092 - Construction of Covered Court, Brgy. La Medalla, Polangui, Albay</t>
  </si>
  <si>
    <t>Procurement of 1 Lot Various Drugs and Medicines for BJMP-NCR PDL for  July 2020</t>
  </si>
  <si>
    <t>ITB - SUPPLY, DELIVERY AND TESTING OF ONE (1) LOT HIGH POWERED FIREARMS (CALIBER 5.56)</t>
  </si>
  <si>
    <t>Asphalt Overlay @ Different Barangay, DRT, Bulacan</t>
  </si>
  <si>
    <t>4AQ-SIP-VAR-18 Amontay SIP</t>
  </si>
  <si>
    <t xml:space="preserve">CONSTRUCTION OF LEVEL II, POTABLE WATER SUPPLY SYSTEM FOR BRGY. BATO, STA. CRUZ, DAVAO DEL SUR all in accordance to plans, specifications, scope of work and green procurement policy as adopted by the </t>
  </si>
  <si>
    <t>20HF0074 (Cluster 16) A.	Construction of Multi-Purpose Building, Barangay Poblacion, Barili, Cebu  B.	Construction and/or Repair/Rehabilitation of Multi-Purpose Building, Brgy. Poblacion, Barili, Cebu</t>
  </si>
  <si>
    <t>Purchase of Two (2) units Brand New 4x4 Six Wheeler Dumptrucks (4m³ cap.) for the Municipality of Tayasan, Negros Oriental (B-77-2020)</t>
  </si>
  <si>
    <t>Construction of Box-Culvert @ So. Abo, DRT, Bulacan</t>
  </si>
  <si>
    <t xml:space="preserve">CONSTRUCTION OF WATER SYSTEM PROJECT at RELOCATION SITE, CAGAS VILLAGE, BRGY. BANGKAL, MATANAO, DAVAO DEL SUR all in accordance to plans, specifications, scope of work and green procurement policy as </t>
  </si>
  <si>
    <t>Other Supplies and Material Expenses</t>
  </si>
  <si>
    <t>Materials for the Construction of Makeshift Building (7 x 9) @ Guindacpan Elementary School - Guindacpan, Talibon, Bohol</t>
  </si>
  <si>
    <t>20BC0179-Construction of 1 Storey 3 Classroom with CR, Piat Central School, Piat, Cagayan</t>
  </si>
  <si>
    <t>Supply and delivery of Drugs and Medicines for indigent patient of Mauban.</t>
  </si>
  <si>
    <t>REPAIR OF EXISTING CANALS OF MATANG-TUBIG CIS (REBID)  MONREAL, MASBATE</t>
  </si>
  <si>
    <t>Constructionn of Powerhouse</t>
  </si>
  <si>
    <t>Agricultural, fishery and Forestry Equipment</t>
  </si>
  <si>
    <t>20HF0077 (Cluster 19) A. Road Concreting, Agtugop-Manguiao, Asturias, Cebu; B. Road Concreting, Saksak-Bairan, Asturias, Cebu; C. Road Concreting, Sitio Lindog, Brgy. Tagbubonga, Asturias, Cebu</t>
  </si>
  <si>
    <t>Barangay Facility Enhancement Project</t>
  </si>
  <si>
    <t>PROPOSED RE-ROOFING OF E.R. BUILDING AND REPAINTING OF ROOFING OF LEFT REAR WING QUADRANT BUILDING PHILIPPINE GENERAL HOSPITAL UNIVERSITY OF THE PHILIPPINES MANILA</t>
  </si>
  <si>
    <t>Supply and Delivery of Agricultural and Forestry Equipment for Community Based Processing Facility Establishment</t>
  </si>
  <si>
    <t>Supply and Delivery of Various Chemicals for Mango ABC: Php2,870,630.00</t>
  </si>
  <si>
    <t>20AE0067: Repair/Maintenance/Improvement of Drainage Structures along Manila North Road, K0312+240 to K0312+360</t>
  </si>
  <si>
    <t>Supply and Delivery of Various Pesticides ABC: Php918,750.00</t>
  </si>
  <si>
    <t>Procurement BY LOT of DISTRIBUTION TRANSFORMER, ELECTRIC GENERATOR SET and AUTOMATIC TRANSFER SWITCH for the Use of the Provincial DRRM Council Command Center</t>
  </si>
  <si>
    <t>CONSTRUCTION OF DOMESTIC WATER SYSTEM FOR PROPER TIKEY, PHASE II</t>
  </si>
  <si>
    <t>CONSTRUCTION OF CONCRETE PAVEMENT  OF BARANGAY HALL FRONTAGE</t>
  </si>
  <si>
    <t>Procurement of One (1) unit service vehicle for PVO field operation.</t>
  </si>
  <si>
    <t>Supply and Delivery of Various ICT Equipment Total ABC: Php1,290,000.00</t>
  </si>
  <si>
    <t>Supply and Delivery of Materials for Installation of Solar Powered Home Lighting System</t>
  </si>
  <si>
    <t>SUPPLY/ DELIVERY OF CONSTRUCTION MATERIALS for SAN RAMON-SAN FRANCISCO RIS (REBID), BULAN, SORSOGON</t>
  </si>
  <si>
    <t>Agricultural Supplies Expenses (Farm Tools)</t>
  </si>
  <si>
    <t>Concreting of Road at Brgy. Poblacion Sur, Paniqui, Tarlac - B-CW-2020-015</t>
  </si>
  <si>
    <t>Repair and maintenance- Artesian Wells, Reservoirs, Pumping Stations and Conduits</t>
  </si>
  <si>
    <t>PROCUREMENT OF  1 LOT VARIOUS DRUGS AND MEDICINES FOR BJMP-NCR PDL FOR SEPTEMBER 2020</t>
  </si>
  <si>
    <t>CONSTRUCTION OF SLOPE PROTECTION WORKS OF UMAWAS-GAID CIS (REBID)  DIMASALANG, MASBATE</t>
  </si>
  <si>
    <t>CONSTRUCTION OF FLOOD CONTROL AT QUIMSON AREA</t>
  </si>
  <si>
    <t xml:space="preserve">PEO-2020-0166 PR2020-0399 INVITATION TO BID FOR THE PROCUREMENT OF LABOR, MATERIALS, AND EQUIPMENT FOR THE CONSTRUCTION OF 1-CLASSROOM SCHOOL BUILDING WITH PWD TOILETS AT UPPER DELA PAZ PRIMA AT DELA </t>
  </si>
  <si>
    <t>REPAIR/REHABILITATION OF CANALS AND CONSTRUCTION OF SIPHON OF TUBING-GABI CIS (REBID), BALENO, MASBATE</t>
  </si>
  <si>
    <t>ITB- SUPPLY AND DELIVERY OF PROTECTIVE EQUIPMENT (MODULAR VEST) (CI)</t>
  </si>
  <si>
    <t>Supply, delivery and Commissioning of ONE (1) Unit Corn Picker Harvester for Provincial Corn Service Center @ MIRAIC.</t>
  </si>
  <si>
    <t>CONTRACT ID # 20-03-072 REBID = PROCUREMENT OF ADOLESCENT HEALTH KITS</t>
  </si>
  <si>
    <t>REPAIR/REHABILITATION OF CANALS AND CANAL STRUCTURES OF SAGAWSAWAN CIS (REBID), MOBO, MASBATE</t>
  </si>
  <si>
    <t>ITB- SUPPLY, DELIVERY AND TESTING OF SURVEILLANCE EQUIPMENT (BODY CAMERAS)</t>
  </si>
  <si>
    <t>Supply &amp; Delivery of Office Supplies for Different Offices</t>
  </si>
  <si>
    <t>Lot1-Purchase of Anti-rabies vaccine for MHO use</t>
  </si>
  <si>
    <t>20PL0108 - Construction/Rehabilitation of Water Supply/Septage and Sewerage/Rain Water Collectors in Public Facilities, Various School Sites/Barangay/Military Camp (Rizal, Tabuk City and Pinukpuk, Kal</t>
  </si>
  <si>
    <t>Completion of Covered Court of VSU Alangalang</t>
  </si>
  <si>
    <t>Invitation to Bid for PROCUREMENT OF ONE UNIT PICK-UP VEHICLE</t>
  </si>
  <si>
    <t>Supply and Delivery of Furniture and Fixtures for Community Based Processing Facility Establishment</t>
  </si>
  <si>
    <t>ITB- SUPPLY, DELIVERY AND TESTING OF ONE (1) LOT AMMUNITION</t>
  </si>
  <si>
    <t>ITB- SUPPLY, DELIVERY AND TESTING OF ONE (1) LOT RAMAN SPECTROMETER</t>
  </si>
  <si>
    <t>20BC0191 re-adv.-Construction of Rainwater Collector System</t>
  </si>
  <si>
    <t>Supply &amp; Delivery of Supplies &amp; Materials for Bookbinding &amp; Diploma Jacket Making</t>
  </si>
  <si>
    <t>20HF0078 (Cluster 20) A. Road Concreting, Angilan, Aloguinsan, Cebu; B. Road Concreting, Bonbon, Aloguinsan, Cebu; C. Road Concreting, Poblacion, Aloguinsan, Cebu</t>
  </si>
  <si>
    <t>ITB-Foodstuff of HE &amp; NTSB for 2nd Sem 2020</t>
  </si>
  <si>
    <t>IMPROVEMENT OF BUREAU OF FIRE PROTECTION BUILDING</t>
  </si>
  <si>
    <t>Construction of Tanod Outpost</t>
  </si>
  <si>
    <t>20PL0109 - Package 1 - A.) Repair/Maintenance of DPWH Building, ADE's Building, Lower Kalinga DEO, Tabuk City, Kalinga, B.) Repair/Maintenance of DPWH Building, Rank and File Building, Lower Kalinga D</t>
  </si>
  <si>
    <t>COMPLETION OF LINUSOD MULTI-PURPOSE BUILDING</t>
  </si>
  <si>
    <t>IMPROVEMENT OF COMPAC AT BSU BALILI</t>
  </si>
  <si>
    <t>ITB- SUPPLY, DELIVERY AND INSTALLATION OF ONE (1) LOT AIRCONDITIONING UNITS</t>
  </si>
  <si>
    <t>Supply &amp; Delivery of Supplies &amp; Materials for ID Printing</t>
  </si>
  <si>
    <t>20PL0111 - Concreting of Brgy. Lower Taloctoc FMR, Brgy. Lower Taloctoc, Tanudan, Kalinga</t>
  </si>
  <si>
    <t>20PL0110 - Repair and Maintenance of Road Safety Facilities, Bulanao-Paracelis Road, Tabuk City, Kalinga</t>
  </si>
  <si>
    <t>ITB- SUPPLY, DELIVERY AND TESTING OF ONE (1) LOT SHORT FIREARMS  (CALIBER .45) (REGULAR GAA)</t>
  </si>
  <si>
    <t>ITB- SUPPLY AND DELIVERY OF ONE (1) LOT VARIOUS INKS</t>
  </si>
  <si>
    <t>Procurement of Soil Conditioner with Plant Growth Stimulant</t>
  </si>
  <si>
    <t>Supply &amp; Delivery of Supplies &amp; Materials for Encoding/Photocopy/Printing</t>
  </si>
  <si>
    <t>Supply and Delivery of Lot 1- 1-unit Light Cargo Truck, 6 wheelers &amp; Lot 2- 1-unit Light Cargo Truck 4 or 6 Wheelers for the Implementation</t>
  </si>
  <si>
    <t>CONSTRUCTION OF DRAINAGE SYSTEM FROM SARAH BAROGA'S AREA TOWARDS TEBTEB CREEK</t>
  </si>
  <si>
    <t>CONSTRUCTION OF DRAINAGE CANAL @ CENTRAL BUYAGAN</t>
  </si>
  <si>
    <t>20HF0066 Road Concreting, Mangoto-Sambagon-Busay, Pinamungajan, Cebu</t>
  </si>
  <si>
    <t>Invitation to Bid for PROCUREMENT OF ONE UNIT BUS</t>
  </si>
  <si>
    <t>REHABILITATION OF DRAINAGE CANAL</t>
  </si>
  <si>
    <t>CONSTRUCTION OF MUNICIPAL DISASTER RISK AND MANAGEMENT OFFICE BUILDING</t>
  </si>
  <si>
    <t>Supply, Delivery, and Installation of Various Brand New Laboratory Equipment (BAC-NP NO. 2020-04)</t>
  </si>
  <si>
    <t>IMPROVEMENT OF VEHICULAR BRIDGE</t>
  </si>
  <si>
    <t>INVITATION TO BID    PROCUREMENT OF I.T. EQUIPMENT (BRAND NEW AND NOT CLONED)  FOR NFA EASTERN VISAYAS REGIONAL OFFICE (REGION VIII)</t>
  </si>
  <si>
    <t>RFQ-20-06-021</t>
  </si>
  <si>
    <t>17GF0110 - Upgrading/Improvement of San Joaquin Rural Health Unit, San Joaquin, Iloilo</t>
  </si>
  <si>
    <t>CONCRETING OF LOWER WESTERN BUYAGAN ROAD</t>
  </si>
  <si>
    <t>Supply of Materials for the Emergency Repair of ELT for NH431, NH434 and NH435 Helicopters</t>
  </si>
  <si>
    <t>CONSTRUCTION OF COMFORT ROOM AT BENGUET NATIONAL HIGH SCHOOL</t>
  </si>
  <si>
    <t>20HF0071 Concreting of Brgy. Roads, Brgy. Poblacion, Tuburan, Cebu</t>
  </si>
  <si>
    <t>20GM0007 – PROCUREMENT OF FUEL FOR THE USE OF DPWH CUTTER SUCTION DREDGE SDS 18- 1 (XD450) FOR THE DREDGING OF RIO GRANDE DE MINDANAO, BUCANA, BRGY. MOTHER KALANGANAN, COTABATO CITY</t>
  </si>
  <si>
    <t>Drydocking and Other Related Repair of YT226</t>
  </si>
  <si>
    <t>20GAF0002, SUPPLY/ DELIVERY OF ROAD SIGNAGES OF VARIOUS NATIONAL ROADS   WITHIN LA UNION SECOND DISTRICT ENGINEERING OFFICE, LA UNION SECOND DISTRICT</t>
  </si>
  <si>
    <t>COMPLETION OF MULTI-PURPOSE BRGY. HALL BINENG</t>
  </si>
  <si>
    <t>ITB- SUPPLY AND DELIVERY OF PROTECTIVE EQUIPMENT (MODULAR VEST) (REGULAR GAA)</t>
  </si>
  <si>
    <t>20BC0181 re-adv.-Construction of 1 Storey 2 Classroom with CR, Warat Elementary School, Piat, Cagayan</t>
  </si>
  <si>
    <t>Supply and Delivery of Various Agricultural Equipment</t>
  </si>
  <si>
    <t>INVITATION TO BID FOR THE Procurement of EECD Various Office Equipment under the Locally Funded Project: NECP - Nineteen (19) Units of Laptop and Two (2) Units of High-Speed Multi-function  Printer</t>
  </si>
  <si>
    <t>CONSTRUCTION OF FMR AT SITIO KAGISKIS (Chan Binay-an to Andiso Area)</t>
  </si>
  <si>
    <t>Improvement of Janiuay Public Market (Construction of Comfort Room Building), Janiuay Public Market, Janiuay, Iloilo</t>
  </si>
  <si>
    <t>Procurement of Consulting Services for the Consumer Insights Survey of Target Markets</t>
  </si>
  <si>
    <t>Subscription of Professional Magazines &amp; Journals for Library use</t>
  </si>
  <si>
    <t>Construction of Powerhouse at Tarlac Provincial Capitol, San Vicente, Tarlac City - B-CW-2020-021</t>
  </si>
  <si>
    <t>Drydocking and Other Related Repair of BRP EMILIO JACINTO (PS35)</t>
  </si>
  <si>
    <t>20LG0116 - Repair/Maintenance of DPWH Building BOE-Bilawan Building, Mati, Davao Oriental</t>
  </si>
  <si>
    <t>INVITATION TO BID FOR THE Procurement of DOEs Fixed Wireless Connections</t>
  </si>
  <si>
    <t>Rehabilitation of Multi-Purpose Building-Guardia</t>
  </si>
  <si>
    <t>PROVISION OF SECURITY SERVICES FOR BFAR-PANABO NATIONAL MARICULTURE CENTER FOR THE PERIOD OF JULY 1, 2020 TO DECEMBER 31,2020</t>
  </si>
  <si>
    <t>INVITATION TO BID FOR THE PROCUREMENT OF EECD CONTRACTED OUT SERVICES FOR THE DIGITAL PLACEMENT AND SOCIAL MEDIA MANAGEMENT OF DOE INFOMERCIAL /TV PLUG UNDER THE LOCALLY FUNDED PROJECT: THE NECP</t>
  </si>
  <si>
    <t>20LG0118 - Repair/Maintenance of DPWH Building Engineer's Quarter, Brgy. Matiao, Mati, Davao Oriental</t>
  </si>
  <si>
    <t>Construction of Main Entrance Gate, Guardhouse and Pylon at La Paz Medicare and Community Hospital, La Paz, Tarlac - B-CW-2020-022</t>
  </si>
  <si>
    <t>INVITATION TO BID FOR THE Procurement of DOEs Tertiary Internet Access Services</t>
  </si>
  <si>
    <t>Concreting of Road at Brgy. Sta. Ines, Paniqui, Tarlac - B-CW-2020-016</t>
  </si>
  <si>
    <t>Construction of Kusina ng Kalinga at Moncada North Elementary School - B-CW-2020-019</t>
  </si>
  <si>
    <t>Construction of Kusina ng Kalinga at Concepcion North Elementary School - B-CW-2020-018</t>
  </si>
  <si>
    <t>20LG0117 - Repair/Maintenance of DENR Building PENRO Nursery House, Dahican, Mati, Davao Oriental</t>
  </si>
  <si>
    <t>Concreting of Road at Brgy. Barang, Paniqui, Tarlac - B-CW-2020-017</t>
  </si>
  <si>
    <t>PIKCOT-002020-009 (IMPROVEMENT OF VARIOUS BARANGAY ROADS)</t>
  </si>
  <si>
    <t>20CSBF0001: Soil Testing/Exploration for the Construction of Flood Control @ Aurora; Luna; Quirino; Roxas; Burgos, Isabela</t>
  </si>
  <si>
    <t>concreting of farm to market road</t>
  </si>
  <si>
    <t>(PIHO) INVITATION TO BID FOR THE SUPPLY AND DELIVERY OF 2 UNITS AIR-CONDITIONER (FLOOR MOUNTED &amp; WINDOW TYPE) FOR THE  PROVINCIAL INTEGRATED HEALTH OFFICE--125,000.00</t>
  </si>
  <si>
    <t>Construction of Kusina ng Kalinga at Mayantoc Central Elementary School - B-CW-2020-020</t>
  </si>
  <si>
    <t>20GG0175 - REHABILITATION OF MULTI-PURPOSE BUILDING (GYMNASIUM), BAROTAC NUEVO, ILOILO</t>
  </si>
  <si>
    <t>Construction of One Classroom in Brgy. Tabao-Ambil</t>
  </si>
  <si>
    <t>PB-20-077, Supply &amp; Delivery of Rubber Seedlings for distribution to farmers provincewide</t>
  </si>
  <si>
    <t>(PVSO) INVITATION TO BID FOR THE SUPPLY AND DELIVERY OF VETERINARY MEDICAL SUPPLIES (VACUUM BLOOD COLLECTION TUBE, ETC.) FOR THE  PROVINCIAL VETERINARY SERVICES OFFICE--263,975.00</t>
  </si>
  <si>
    <t>Supply and Delivery of Tablet Pro for IQAO</t>
  </si>
  <si>
    <t>PB-20-160, Supply &amp; Delivery of Oil Palm Seedlings for distribution to farmers provincewide</t>
  </si>
  <si>
    <t>PB-20-159, Supply &amp; Delivery of Cacao &amp; Coffee Seedlings for distribution to farmers provincewide</t>
  </si>
  <si>
    <t>(NVPH) 2ND INVITATION TO BID FOR THE SUPPLY AND DELIVERY OF ONE (1) UNIT CAUTERY MACHINE</t>
  </si>
  <si>
    <t>(KMH) 2ND INVITATION TO BID FOR THE SUPPLY AND DELIVERY OF ONE (1) UNIT PHARMACY BIOMEDICAL REF</t>
  </si>
  <si>
    <t>20BG0145 - Construction/Rehabilitation of Rain Water Supply/Septage and Two (2) Units of Sewerage/Rain Water Collectors in Public Facilities per Location</t>
  </si>
  <si>
    <t>Construction of Irrigation System-Banbanaal</t>
  </si>
  <si>
    <t>Construction of Multi-Purpose Hall-Guardia</t>
  </si>
  <si>
    <t>Procurement of One (1) unit Garbage Compactor Truck for use in the collection and transport of treated infectious wastes of Tarlac Provincial Hospital and 4 District Hospitals - B-G-2020-080</t>
  </si>
  <si>
    <t>PROCUREMENT OF MICROBIOLOGY ANALYTICAL LAB/DA-ACEF EQUIPMENT</t>
  </si>
  <si>
    <t>(GO-PDRRMO) INVITATION TO BID FOR THE SUPPLY AND DELIVERY OF GROCERY ITEMS FOR STOCKPILE (SARDINES, POWERED MILK, ETC.) FOR THE  PROVINCIAL DISASTER RISK REDUCTION MANAGEMENT OFFICE--332,967.82</t>
  </si>
  <si>
    <t>(SP-VG) 2ND INVITATION TO BID FOR THE 1,429 PAX MEALS &amp; SNACKS, ETC. FOR THE  SANGGUNIANG PANLALAWIGAN – OFFICE OF THE VICE GOVERNOR--285,800.00</t>
  </si>
  <si>
    <t>20GG0176 - CONCRETING OF BRGY. DALID TO BRGY. SIMSIMAN, BRGY. GAMMA GRANDE TO BRGY. JAMIN-AY ROAD, CALINOG, ILOILO</t>
  </si>
  <si>
    <t>AMP SVP 20-06-0262A: Desktop Computer</t>
  </si>
  <si>
    <t>PB-20-297, Supply of Diesel Fuel for various equipment/vehicle use to transport relief goods related to COVID-19 mitigation to different municipalities of the Province of Cotabato</t>
  </si>
  <si>
    <t>(PHRMO) INVITATION TO BID FOR THE SUPPLY AND DELIVERY OF 4 UNITS BIOMETRIC MACHINE FOR THE  PROVINCIAL HUMAN RESOURCE MANAGEMENT OFFICE--80,000.00</t>
  </si>
  <si>
    <t>Repiar of Supervisor's Office San pablo Central School.</t>
  </si>
  <si>
    <t>INSTALLATION OF SOLAR POWERED IRRIGATION SYSTEM</t>
  </si>
  <si>
    <t>100-2020-05-657 Supply and delivery of 609 packs organic fertilize/microbial inoculant 100g/pack, etc.</t>
  </si>
  <si>
    <t>100-2020-05-655 Supply and delivery of 1 unit desktop, etc.</t>
  </si>
  <si>
    <t>20GPF0008: Supply and Delivery of Asphalt and Aggregates for Use of Maintenance Section of DPWH- Benguet 2nd DEO in Patching, Crack and Joint Sealing of Concrete Pavement along National Roads</t>
  </si>
  <si>
    <t>20HF0096 Asset Preservation Program-Construction of Drainage along Toledo-Tabuelan-Sn Remigio Rd,  K0063+685 – K0063+877</t>
  </si>
  <si>
    <t>100-2020-04-641 Supply and delivery of 4 sets #12”Ø concrete moulding (RCPC) , etc.</t>
  </si>
  <si>
    <t>100-2020-05-672 Supply and delivery of 75 pails oil 40-HD, etc.</t>
  </si>
  <si>
    <t>20HF0097 Asset Preservation Program – Rehabilitation/Reconstruction of Naga-Uling Road,  K0039+233 – K0039+632 with Slips, Slope Collapse and Landslide, Brgy. Don Andres Soriano,  Toledo City, Cebu</t>
  </si>
  <si>
    <t>PB-20-277, Supply &amp; Delivery of Livestock (Large Ruminants) for distribution to qualified beneficiaries provincewide</t>
  </si>
  <si>
    <t>20HF0094 Replacement of Barili Bridge (B00523CB) along Carcar-Barili Road</t>
  </si>
  <si>
    <t>SUPPLY AND DELIVERY OF 1 UNIT MINI DUMP TRUCK - BARANGAY MABUSLO</t>
  </si>
  <si>
    <t>20HF0095 Asset Preservation Program-Reconstruction of Naga-Uling Rd., K0039+632 –  K0040+440; K0041+500 – K0042+000</t>
  </si>
  <si>
    <t>SUPPLY AND DELIVERY OF 1 UNIT GARBAGE TRUCK - BARANGAY BUAG</t>
  </si>
  <si>
    <t>PB-20-276, Supply &amp; Delivery of Goats for distribution to qualified beneficiaries provincewide</t>
  </si>
  <si>
    <t>AMP SVP 20-06-0221C: Preventive Maintenance of Fuji Sunrise Elevator and Mitsubishi Passenger Elevator</t>
  </si>
  <si>
    <t>PB-20-248, Supply &amp; Delivery of Food Processing Equipment to be given to Coffee and Cacao qualified planters in the Province of Cotabato</t>
  </si>
  <si>
    <t>100-2020-05-703 Supply and delivery of 650 pcs reflectorized vest, etc.</t>
  </si>
  <si>
    <t>PROCUREMENT OF COMMON OFFICE SUPPLIES OF CVNHS (SHS)</t>
  </si>
  <si>
    <t xml:space="preserve">19GF00027 - Procurement of Nine (9) sets Materials Testing, Thirty three (33) pcs. Clerical Mesh Chair, Mobile Pedestal, etc. for use in the QAHD, Laboratory Office (PR No. 20-03-072 dated 3/9/2020), </t>
  </si>
  <si>
    <t>Diorite (PR-2020-8751-0099)</t>
  </si>
  <si>
    <t>REDEVELOPMENT OF JUAN SULSE MEMORIAL PARK</t>
  </si>
  <si>
    <t>Backfilling (BFAR Fislanding Project Site) Phase II</t>
  </si>
  <si>
    <t>PEO-20-0597 B- Procurement of Construction Materials for use in the Improvement of Drainage Canal along Batad Pob.-Bulak Road, Batad, Iloilo</t>
  </si>
  <si>
    <t>19GF00028 - Procurement of &amp; Installation of Canopy for sixteen (16) Service Vehicles (PR No. 20-02-059 dated 2/28/2020), EMD, DPWH, Region V, Legazpi City</t>
  </si>
  <si>
    <t>PURCHASE OF BPSO VEHICLE</t>
  </si>
  <si>
    <t>PEO-20-0545 B- Procurement of Technical and Scientific Equipment for use in the Material Testing and Quality Control Section, PEP, Sta, Barbara, Iloilo</t>
  </si>
  <si>
    <t>Inspection and Repair as Necessary of NV311</t>
  </si>
  <si>
    <t>PEO-20-0543 B- Procurement of Balance Weight for use in the Material Testing and Quality Control Section assigned at PEP, Sta. Barbara, Iloilo</t>
  </si>
  <si>
    <t>PEO-20-0547 B- Procurement of Spare Parts for use in the repair and maintenance of Hino Dump Trucks (NDT-41-50) Model: FG1JGUE-TGL assigned at PEP, Sta. Barbara, Iloilo</t>
  </si>
  <si>
    <t>PEO-20-0501 B- Procurement of Construction Materials for the Improvement of Leon – Omambong – Cordova Road, Tigbauan, Iloilo</t>
  </si>
  <si>
    <t>PURCHASE AND INSTALLATION OF SOUND SYSTEM AND CCTV CAMERAS FOR THE PAMANTASAN NG DASMARIÑAS</t>
  </si>
  <si>
    <t>Improvement of Roro Port</t>
  </si>
  <si>
    <t>Supply of Materials, Labor and Equipment for the Construction of Lobo Public Market Fence at Barangay Poblacion, Lobo, Batangas</t>
  </si>
  <si>
    <t>Road Opening (Phase 2)</t>
  </si>
  <si>
    <t>Improvement of Maluko Public Market</t>
  </si>
  <si>
    <t>Supply and Delivery of Ninety (90) Pieces Magnetic Whiteboard for the 30-Classroom,3-Storey Academic Building</t>
  </si>
  <si>
    <t>FOD-R-20-2127: Procurement of 6 units of Branded Desktop Computer (with complete accessories)</t>
  </si>
  <si>
    <t>Construction /Rehabilitation of Roofing &amp; Ceiling of Municipal Library Office at Poblacion, Bugallon, Pangasinan</t>
  </si>
  <si>
    <t>INSTALLATION OF TWENTY TWO (22) UNITS SOLAR LIGHTS</t>
  </si>
  <si>
    <t>Concreting of Davies Street</t>
  </si>
  <si>
    <t>Supply of Materials, Labor and Equipment for the Installation of Street Lighting System (Solar) at Market Site, Barangay Poblacion, Lobo, Batangas</t>
  </si>
  <si>
    <t>FOD-R-20-2128: Procurement of 20 units of Laptop</t>
  </si>
  <si>
    <t>Supply of Materials, Labor and Equipment for the Construction of Additional Structures of New Public Market Site (Site for STP and Parking Area) at Barangay Poblacion, Lobo, Batangas</t>
  </si>
  <si>
    <t>CONSTRUCTION OF COVERED LINE CANAL</t>
  </si>
  <si>
    <t>Supply, Delivery, Installation and Commissioning of One (1) Unit Fully Automated Blood Culture System</t>
  </si>
  <si>
    <t>CONCRETING OF ROAD</t>
  </si>
  <si>
    <t>CONSTRUCTION OF PUBLIC/GOVERNMENT INFRASTRUCTURES (CONSTRUCTION OF THIRD LAGOON)</t>
  </si>
  <si>
    <t>REHABILITATION/IMPROVEMENT OF SOLAR LIGHTS</t>
  </si>
  <si>
    <t>Fencing of Municipal Tree Park at Cayus</t>
  </si>
  <si>
    <t>CONSTRUCTION OF ADDITIONAL CEMETERY VAULT</t>
  </si>
  <si>
    <t>Supply of Materials, Labor and Equipment for Lobo Public Market Sewage Treatment Plant and Facility at Barangay Poblacion, Lobo, Batangas</t>
  </si>
  <si>
    <t>CONSTRUCTION OF WATER IMPOUNDING FACILITIES</t>
  </si>
  <si>
    <t>CONSTRUCTION OF FLOOD CONTROL (RIP-RAPPING)</t>
  </si>
  <si>
    <t>Procurement of Fuel and Lubricants</t>
  </si>
  <si>
    <t>One(1) Job: Building and Design of Pototan Community Quarantine Facility for use as quarantine area for COVID 19 PUI's and PUM's of the Municipality of Pototan</t>
  </si>
  <si>
    <t>ITB (PB)-Construction of Maguing Fire Station, Lanao Del Sur</t>
  </si>
  <si>
    <t>Proposed Concreting of Road at Brgy. San Joaquin, San Pablo City.</t>
  </si>
  <si>
    <t>Proposed Construction of Fence at Cresencia Drusila Senior High School, Brgy. San Roque, San Pablo City.</t>
  </si>
  <si>
    <t>ROAD CONCRETING, BRGY. CAMITOC, DULAG LEYTE</t>
  </si>
  <si>
    <t>IMPROVEMENT OF MUNICIPAL COVERED COURT</t>
  </si>
  <si>
    <t>Improvement of Drainage Canal @ FF Cruz (GAD) Purok 5, Bulanao</t>
  </si>
  <si>
    <t>Rip-rapping of Creek Site (GAD) Sitio Cacaligan, Bantay</t>
  </si>
  <si>
    <t>ITB (PB)-Construction of Kabuntalan Fire Station, Maguindanao</t>
  </si>
  <si>
    <t>Fabrication of 4 Component Material Recovery Facility @ Bulo East ES, Bulo West ES, Burubor ES, Barangay Hall, Bulo</t>
  </si>
  <si>
    <t>CONSTRUCTION OF WATER SYSTEM</t>
  </si>
  <si>
    <t>Supply, Delivery, Installation, and Commissioning of One (1) Unit Fully Automated System for Bacterial Identification and Antimicrobial Susceptibility Testing</t>
  </si>
  <si>
    <t>PROCUREMENT OF OFFICE AND JANITORIAL SUPPLIES FOR THE 1ST AND 2ND QUARTERS OF CY 2020</t>
  </si>
  <si>
    <t>Improvement of Road, Ybañez &amp; Corner Dollente St, Magsaysay</t>
  </si>
  <si>
    <t>Improvement of Road @ Purok 3, Agbannawag</t>
  </si>
  <si>
    <t>IB NO. 05-2020 - PROVISION OF SECURITY SERVICES</t>
  </si>
  <si>
    <t>Procurement of Farm Tractor</t>
  </si>
  <si>
    <t>Construction of Deep Well &amp; Tank (GAD) New Balbalan, Lacnog</t>
  </si>
  <si>
    <t>Construction of Canal Lining @ Cogawe, Cudal</t>
  </si>
  <si>
    <t>Improvement of Access Road (Rip-rapping) form Turod to Burubor to Casigayan</t>
  </si>
  <si>
    <t>Improvement of Road @ Catao, Lacnog</t>
  </si>
  <si>
    <t>20IA0089 Construction of Disinfection Facility at Biliran Checkpoint, Biliran Bridge</t>
  </si>
  <si>
    <t>Rehabilitation of Road Creekside, Cacaligan, Bantay</t>
  </si>
  <si>
    <t>Construction of Deep Well (GAD) Alawao, Cudal</t>
  </si>
  <si>
    <t>Proposed Improvement of Brgy. Hall, Barangay Imbang Pequeno, San Enrique, Iloilo</t>
  </si>
  <si>
    <t>Improvement of Barangay Road @ Bliss, Nambaran</t>
  </si>
  <si>
    <t>20IA0090 Repair /Maintenance of DPWH Buildings</t>
  </si>
  <si>
    <t>20KA0142 Construction of Multi Purpose Building - Construction of Multi-Purpose  Building, Brgy. Iba, Cabanglasan, Bukidnon (Phase II) Cabanglasan, Bukidnon</t>
  </si>
  <si>
    <t>Procurement of Office Supplies for Stock of City General Services Office</t>
  </si>
  <si>
    <t>Improvement of FMR @ Laod, Nambaran</t>
  </si>
  <si>
    <t>Improvement of Roadside Slope Protection @ Burayucan, Balong</t>
  </si>
  <si>
    <t>Construction of Canal Lining @ Sagpat, San Julian</t>
  </si>
  <si>
    <t>Improvement of Barangay Hall/Gym Compound, Centro, Lacnog</t>
  </si>
  <si>
    <t>Supply of Materials/Parts for the SMI&amp;ARAS of NAW Units (NVT324, NVT330, NVT331 &amp; NHT421)</t>
  </si>
  <si>
    <t>Improvement of Road @ New Site &amp; Bliss, Nambaran</t>
  </si>
  <si>
    <t>Inspection and Repair as Necessary of NV320</t>
  </si>
  <si>
    <t>Construction of Basketball Court @ Purok 7, Laya West</t>
  </si>
  <si>
    <t>20MH0101 - Application of Pavement Markings of National Roads along Isulan- Jct. Dukay-Bagumbayan-Sen. Ninoy Aquino-Kalamansig Road,  K1824+270 - K1825+900, K1830+600 -K1831+650, K1837+000 - K1837+800</t>
  </si>
  <si>
    <t>Graveling of Roads @ Cuaresma St, Laya West</t>
  </si>
  <si>
    <t>Inspection and Repair as Necessary (IRAN) of NVT330</t>
  </si>
  <si>
    <t>Purchase of one unit ambulance</t>
  </si>
  <si>
    <t>Improvement of Day Care Center ( Purok 7)</t>
  </si>
  <si>
    <t xml:space="preserve">20DC0191 - LOCAL PROGRAM, Construction/Repair/Rehabilitation/Improvement of Various Infrastructure including Local Projects, Buildings And Other Structures, Multipurpose/Facilities, Rehabilitation of </t>
  </si>
  <si>
    <t>Continuation of Farm to Market Road, Junction-Balabalan-Katao &amp; Cemetery Site, Lacnog</t>
  </si>
  <si>
    <t>20MH0102 - Application of Pavement Markings of National Roads along Awang- Upi-Lebak-Kalamansig-Palimbang Road, K2007+000 -  K2009+000, K2012+000 -K2013+500, K2028+800 -K2030+800, K2042+800 -K2045+065</t>
  </si>
  <si>
    <t>20DC0190 - LOCAL PROGRAM, Local Infrastructure Program, Local Roads and Bridges, Local Roads, Concreting of Local Roads, Sta. Teresita, Batangas</t>
  </si>
  <si>
    <t>20DC0187 - LOCAL PROGRAM, Const./Repair/Rehab./Improvement of Various Infrastructure including Local Projects, Buildings And Other Structures, Multipurpose/Facilities, Construction of Multi-Purpose Bu</t>
  </si>
  <si>
    <t>20FF0091 - Construction of Multi-Purpose Building (Covered Court), Brgy. San Francisco, Calabanga, Camarines Sur</t>
  </si>
  <si>
    <t xml:space="preserve">20DC0188 - LOCAL PROGRAM, Construction/Repair/Rehabilitation/Improvement of Various Infrastructure including Local Projects, Buildings And Other Structures, Multipurpose/Facilities, Rehabilitation of </t>
  </si>
  <si>
    <t>20CSEB02-R1 - CLUSTER 2020-BR02: SUB-SURFACE/SOIL EXPLORATION FOR VARIOUS FY 2020 BRIDGE PROJECTS (LOCAL INFRASTRUCTURE PROGRAM)</t>
  </si>
  <si>
    <t>20FF0092 - Construction of Multi-Purpose Building, Brgy. San Felipe, Naga City</t>
  </si>
  <si>
    <t>20GJ00004 - Procurement of DPWH Security Services of Twenty Four (24) Security Personnel for Deployment at DPWH Regional Office IX (15 Security Guards), Isabela City DEO (3 Security Guards), Zamboanga</t>
  </si>
  <si>
    <t>Procurement of Furniture &amp; Fixture - PASSO</t>
  </si>
  <si>
    <t>Procurement of Catering Services, Office Supplies and PPE - Lot 1 - Catering Services - PAGSO</t>
  </si>
  <si>
    <t>20DC0189 - LOCAL PROGRAM, Local Infrastructure Program, Buildings And Other Structures, Multipurpose/Facilities, Construction and/or Repair/Rehabilitation of Multi-Purpose Building, Brgy. San Jose, Al</t>
  </si>
  <si>
    <t>20FF0090 - Construction of Multi-Purpose Building, Brgy. San Isidro, Magarao, Camarines Sur</t>
  </si>
  <si>
    <t>Procurement of Various Medical Equipment  - PDH</t>
  </si>
  <si>
    <t>Procurement of Hauling Services - PGO</t>
  </si>
  <si>
    <t>Procurement of Various Housekeeping, UPS and Visitor’s Chairs - Lot 2 - UPS - PTO</t>
  </si>
  <si>
    <t>Procurement of Catering Services, Office Supplies and PPE - Lot 2 - Office Supplies - PAGSO</t>
  </si>
  <si>
    <t>Procurement of Catering Services, Office Supplies and PPE  - Lot 3 - PPE (GARMENTS) - PAGSO</t>
  </si>
  <si>
    <t>Procurement of Various Medical Supplies - PBCH</t>
  </si>
  <si>
    <t>20FF0093 - Repair/Rehab/Improvement of Quality Assurance and Warehouse, DPWH Cam. Sur 3rd DEO, Baras, Canaman, Camarines Sur</t>
  </si>
  <si>
    <t>Procurement of Various Vegetable Seeds - PAGSO</t>
  </si>
  <si>
    <t>Procurement of Various Housekeeping, UPS and Visitor’s - Lot 1 - Housekeeping Supplies - PTO</t>
  </si>
  <si>
    <t>Procurement of Various IT Supplies - PEO ADMIN</t>
  </si>
  <si>
    <t>Procurement of Various Housekeeping, UPS and Visitor’s Chairs  - Lot 3 - Visitors Chair (funiture) - PTO</t>
  </si>
  <si>
    <t>Invitation to Bid for PROCUREMENT OF SMART TV &amp; DESKTOP (Sual National High School)</t>
  </si>
  <si>
    <t>INVITATION TO BID FOR THE PROCUREMENT OF ICT EQUIPMENT</t>
  </si>
  <si>
    <t>Procurement of Tires - ADH</t>
  </si>
  <si>
    <t>Invitation to Bid for PROCUREMENT OF TRAINING SUPPLIES AND EQUIPMENT</t>
  </si>
  <si>
    <t>Procurement of Other Supplies and Materials - PVET</t>
  </si>
  <si>
    <t>Procurement of Poultry Nets and Nylon - PVET</t>
  </si>
  <si>
    <t>Procurement of Polybags - PAGSO</t>
  </si>
  <si>
    <t>CONSTRUCTION OF ACCESS ROAD</t>
  </si>
  <si>
    <t>Procurement of Various Veterinary Drugs and Biologics - PVET</t>
  </si>
  <si>
    <t>INVITATION TO BID FOR THE PROCUREMENT OF TECHNICAL AND SCIENTIFIC EQUIPMENT (Supply, Delivery and Installation)</t>
  </si>
  <si>
    <t>20G00097 - Construction of Revetment Wall along Cangaranan River at Cangaranan Bridge (Abutment A), Bugasong, Antique</t>
  </si>
  <si>
    <t>Procurement of Various Laboratory Reagent Supplies - SDH</t>
  </si>
  <si>
    <t>CONSTRUCTION OF FLOOD CONTROL STRUCTURE AT BRGY. BACTAS</t>
  </si>
  <si>
    <t>CLUSTER 16: FENCING OF BANGAO NATIONAL HIGH SCHOOL</t>
  </si>
  <si>
    <t>Procurement of Tubeless Tire - HCH</t>
  </si>
  <si>
    <t>Procurement of Artificial Insemination Materials and Supplies - PVET</t>
  </si>
  <si>
    <t>Supply and Delivery of HDPE Pipes</t>
  </si>
  <si>
    <t>CLUSTER 15: CLUSTERED PROJECTS OF BARANGAY LOO – 1</t>
  </si>
  <si>
    <t>IMPROVEMENT OF DAY CARE CENTER</t>
  </si>
  <si>
    <t>Improvement of Legislative Building</t>
  </si>
  <si>
    <t>20DC0186 - LOCAL PROGRAM, Local Infrastructure Program, Buildings and Other Structures, Multipurpose/Facilities, Construction (Completion) of Multi-Purpose Building, Brgy. Subic Ibaba, Agoncillo, Bata</t>
  </si>
  <si>
    <t>Improvement of Municipal Slaughterhouse</t>
  </si>
  <si>
    <t>Supply and Delivery of Corn Seeds</t>
  </si>
  <si>
    <t>GOODS-062220-035 - PURCHASE OF VARIOUS DRUGS AND MEDICINES FOR BMC AND VARIOUS DISTRICT HOSPITALS</t>
  </si>
  <si>
    <t>PURCHASE OF SCHOOLS SUPPLIES &amp; LEARNING MATERIALS</t>
  </si>
  <si>
    <t>Supply and Delivery of Various Machineries</t>
  </si>
  <si>
    <t>LOCAL ACCESS ROAD UPGRADING AT BRGY. ANTIKIN, INFANTA, QUEZON</t>
  </si>
  <si>
    <t>Supply and Delivery of Various Fertilizers</t>
  </si>
  <si>
    <t>CONSTRUCTION OF SLOPE PROTECTION AT BRGY. TUACA</t>
  </si>
  <si>
    <t>Supply and Delivery of Planting Materials</t>
  </si>
  <si>
    <t>Supply and Delivery of Floor Mounted Air conditioner (Including Installation)</t>
  </si>
  <si>
    <t>GOODS-062220-040 - PURCHASE OF VARIOUS MATERIAL AID FOR DISTRIBUTION</t>
  </si>
  <si>
    <t>REHABILITATION OF BARANGAY ROAD</t>
  </si>
  <si>
    <t>Completion for Sergio Osmeña Street going Mabuhay Central Elementary School</t>
  </si>
  <si>
    <t>PEO-062220-081 - REHABILITATION/IMPROVEMENT OF MATICTIC BRIDGE, NORZAGARAY, BULACAN</t>
  </si>
  <si>
    <t>CONSTRUCTION  BARANGAY STAGE - POBLACION, BARANGAY POBALCION, POLILLO, QUEZON</t>
  </si>
  <si>
    <t>IMPROVEMENT OF BARANGAY PLAZA</t>
  </si>
  <si>
    <t>20GPJ0001:PR No. 2020-02-001 Procurement of Security Services for Day and Night Shift of DPWH-Ifugao Second District Engineering Office Main Office,Potia Sub-Office &amp; Banaue Satellite Office/Resthouse</t>
  </si>
  <si>
    <t>LOCAL ACCESS ROAD UPGRADING AT BRGY. AGOS-AGOS, INFANTA, QUEZON</t>
  </si>
  <si>
    <t>Electrical Supplies and Materials, Plaza Lightings</t>
  </si>
  <si>
    <t>ROAD OPENING (SAN GREGORIO – BANUYO PHASE 3) AT BARANGAY BANUYO, BORONGAN CITY, EASTERN SAMAR</t>
  </si>
  <si>
    <t>Electrical Supplies and Materials, Streetlightings</t>
  </si>
  <si>
    <t>FURNITURES AND FIXTURES (BLIND),  Liga ng mga Barangay</t>
  </si>
  <si>
    <t>GOODS-062220-039 - PURCHASE OF VARIOUS CONSTRUCTION MATERIALS FOR COMMUNITY IMPROVEMENT</t>
  </si>
  <si>
    <t>PROCUREMENT OF BRAND NEW CUSTOMIZED RESCUE (EMERGENCY RESPONSE) VEHICLE</t>
  </si>
  <si>
    <t>SUPPLY AND DELIVERY OF MEALS &amp; SNACKS</t>
  </si>
  <si>
    <t>GOODS-062220-038 - PURCHASE OF VARIOUS DRUGS AND MEDICINES FOR PGB PHARMACY</t>
  </si>
  <si>
    <t>20LA0132 Construction of MPB Nabunturan, (Phase 2), Compostela Valley (Hall of Justice), Compostela Valley</t>
  </si>
  <si>
    <t>Purchase of Eleven (11) Units Laptop for the Use of Sangguniang Bayan</t>
  </si>
  <si>
    <t>SUPPLY AND DELIVERY OF DISASTER KIT &amp; FIRST AID BAG</t>
  </si>
  <si>
    <t>GOODS-062220-036 - PURCHASE OF VARIOUS MEDICAL SUPPLIES FOR BMC AND VARIOUS DISTRICT HOSPITALS</t>
  </si>
  <si>
    <t>PROCUREMENT OF SUIT FOR LDRRMC Members/Local Responders</t>
  </si>
  <si>
    <t>CONSTRUCTION OF PROPOSED HALFWAY HOUSE FOR FORMER REBEL &amp; MILITIA NG BAYAN (BGY. IRAWAN, PUERTO PRINCESA CITY)</t>
  </si>
  <si>
    <t>Construction of Multi-Purpose Building - Abaya, Galimuyod, Ilocos Sur</t>
  </si>
  <si>
    <t>Procurement of Watercrafts</t>
  </si>
  <si>
    <t>SUPPLY AND DELIVERY OF ONE (1) UNIT AMBULANCE</t>
  </si>
  <si>
    <t>20LA0134 Construction of Multi-Purpose Building., (Municipal Hall), Mabini, Compostela Valley</t>
  </si>
  <si>
    <t>MAINIT- MAREGREG ROAD CONSTRUCTION</t>
  </si>
  <si>
    <t>CONSTRUCTION OF PATHWAY AT BRGY. LUMBANG, PILAR, SORSOGON</t>
  </si>
  <si>
    <t>SUPPLY AND DELIVERY OF TEMPORARY SHELTER</t>
  </si>
  <si>
    <t>ROAD CONCRETING AT BARANGAY AMANTACOP, BORONGAN CITY, EASTERN SAMAR</t>
  </si>
  <si>
    <t>20LA0135 Rehabilitation of Multi-Purpose Building (Municipal Gym), Mawab, Compostela Valley</t>
  </si>
  <si>
    <t>Purchase of Medical, dental and laboratory supplies for Rural Health Unit and Annual Circumcision</t>
  </si>
  <si>
    <t>20LA0195 Construction of Multi-Purpose Building (Mini Gym) Naga ES, Naga, Laak, Compostela Valley</t>
  </si>
  <si>
    <t>Improvement of Farm to Market Road - Calongbuyan, Galimuyod, Ilocos Sur</t>
  </si>
  <si>
    <t>Procurement of Motor Vehicle</t>
  </si>
  <si>
    <t>20LA0161 Construction of Multi-Purpose Building, Tuk-an ES, Brgy. Poblacion, Laak, Compostela Valley</t>
  </si>
  <si>
    <t>20LA0136 Construction of Multi-Purpose Bldg. (Public Market), Mawab, Compostela Valley</t>
  </si>
  <si>
    <t>20LA0254 Improvement of MPB, Barangay Cuambog, Mabini, Compostela Valley</t>
  </si>
  <si>
    <t>PROCUREMENT OF IT AND GEOGRAPHIC INFORMATION SYSTEM EQPT. WITH ACCESSORIES</t>
  </si>
  <si>
    <t>20LA0259 Completion of Multi-Purpose Building (Gym), Nueva Visayas ES, Mawab, Compostela Valley</t>
  </si>
  <si>
    <t>20LA0258 Improvement of MPB (including site development), Laak NHS, Poblacion, Laak, Compostela Valley</t>
  </si>
  <si>
    <t>20LA0257 Construction of Multi-Purpose Bldg., 10 Division Phil. Army, Brgy. Tuburan, Mawab, Compostela Valley</t>
  </si>
  <si>
    <t>Procurement of One (1) Unit Motor Vehicle for SP Wacnang</t>
  </si>
  <si>
    <t>20LA0255 Construction of Multi-Purpose Bldg. (Brgy. Hall) San Antonio, Laak, Compostela Valley</t>
  </si>
  <si>
    <t>20GAB0004: SUPPLY AND DELIVERY OF CHEVRON DIRETIONAL SIGN 3MM THICK ALUMINUM SHEET POST: 3MX2" DIAM. SCHEDULE 40 GOLDEN YELLOW GALVANIZED IRON POST FOR USE ALONG NATIONAL ROADS WITHIN ILOCOS NORTE 2ND</t>
  </si>
  <si>
    <t>20LA0256 Rehabilitation of MPB (GYM), Brgy. Ampawid, Laak, Compostela Valley</t>
  </si>
  <si>
    <t>Procurement of One (1) Unit Motor Vehicle for SP Suma-al</t>
  </si>
  <si>
    <t>SUPPLY AND DELIVERY OF WATER PIPES &amp; FITTINGS USE FOR REHABILITATION /IMPROVEMENT OF BARANGAY POBLACION &amp; HAWILIAN WATER SYSTEM FACILITIES</t>
  </si>
  <si>
    <t>20LA0260 Rehabilitation of Multi-Purpose Building (Gym) Brgy. San Roque, Nabunturan, Compostela Valley</t>
  </si>
  <si>
    <t>Procurement of Coaster Van of LGU Tabuk</t>
  </si>
  <si>
    <t>20LA0263 Construction of Concrete Road, Naga, Laak, Compostela Valley</t>
  </si>
  <si>
    <t>GOODS-062220-037 - PURCHASE OF VARIOUS LABORATORY SUPPLIES FOR BMC AND VARIOUS DISTRICT HOSPITALS</t>
  </si>
  <si>
    <t>20LA0262 Construction of Concreting Road (Opening) Tagugpo, Pantukan</t>
  </si>
  <si>
    <t>20LA0265 Construction of Concrete Road, Concepcion, Mawab, Compostela Valley</t>
  </si>
  <si>
    <t>20LA0264 Construction of Concrete Road, Brgy. Tagnocon, Nabunturan, Compostela Valley</t>
  </si>
  <si>
    <t>20LA0266 Construction of Concrete Road, Las Arenas – Araibo, Pantukan, Compostela Valley</t>
  </si>
  <si>
    <t>20LA0270 71X-Special Maintenance of Reflective Thermoplastic Stripping Materials (Solid Form) along Montevista-Compostela-New Bataan-Maragusan-Mati Bdry. Road &amp; Benigno S. Aquino Jr. National Highway</t>
  </si>
  <si>
    <t>20LA0271 66X-Selective Replacement of Concrete Pavement along Benigno S. Aquino Jr. National Highway</t>
  </si>
  <si>
    <t>SUPPLY AND DELIVERY OF 2-UNITS BRAND NEW EMERGENCY RESCUE VEHICLE</t>
  </si>
  <si>
    <t>Supply and Delivery of 8 units Portable X-ray Machine Package under Purchase Request No. 827-20</t>
  </si>
  <si>
    <t>GOODS-062220-034 - PURCHASE OF VARIOUS DRUGS AND MEDICINES FOR BMC (LGSF)</t>
  </si>
  <si>
    <t>20LA0269 Construction of Concrete Road Katipunan, Nabunturan, Compostela Valley</t>
  </si>
  <si>
    <t>20LA0261 Construction of Concrete Road, Kiokmay, Laak, Compostela Valley</t>
  </si>
  <si>
    <t>Repair and Maintenance of Road Safety Facilities along Apitong-Paterno Rd (S00017LT) K0908+(-550)-K0908+000 &amp; K0908+200-K0909+100, Burgos St (S00031LT) Chainage 598-Chainage 845, Caibaan Rd (S00018LT</t>
  </si>
  <si>
    <t>Supply and delivery of various office and janitorial supplies and materials</t>
  </si>
  <si>
    <t>Supply and Delivery of Office Supplies for Different Offices of LGU Calauag, Quezon for the year 2020</t>
  </si>
  <si>
    <t>Concreting of Esso Road</t>
  </si>
  <si>
    <t>20LA0272 71X-Special Maintenance of Reflective Thermoplastic Stripping Materials (Solid Form) along Daang Maharlika Road</t>
  </si>
  <si>
    <t>Construction of 4KM Covered Canal (Phase 2) - ITB 025-2020 GQ</t>
  </si>
  <si>
    <t>Bidding of Supply and Delivery of Office Supplies for the use of PANTAWID Staff for 2020</t>
  </si>
  <si>
    <t>Purchase and Installation of Public Address System</t>
  </si>
  <si>
    <t>Various Laboratory Supplies (Brix Hydrometer, etc.)</t>
  </si>
  <si>
    <t>PROPOSED PATHWALK</t>
  </si>
  <si>
    <t>20LA0277 Construction of concrete road, Amorcruz, Laak, Compostela Valley</t>
  </si>
  <si>
    <t>COMPLETION OF STEEL GATE FOR MULTI-PURPOSE BUILDING, BARANGAY BIANGAN, MAKILALA, COTABATO</t>
  </si>
  <si>
    <t>20LA0276 Opening/Rehabilitation Boringot, Pantukan, Compostela Valley</t>
  </si>
  <si>
    <t>20LA0274 Construction of Multi-Purpose Building Mechanized Infantry 10th Division Tuburan, Mawab, Compostela Valley</t>
  </si>
  <si>
    <t>20LA0278 Construction of concrete road Cabidianan to Antiquera, Nabunturan, Compostela Valley</t>
  </si>
  <si>
    <t>20LA0267 Construction of Concrete Road, Concepcion Mawab to Calabcab Limbo Maco Road, Compostela Valley</t>
  </si>
  <si>
    <t>CONSTRUCTION OF FARM TO MARKET ROAD AT BRGY. SAN ISIDRO ALANGALANG, LEYTE</t>
  </si>
  <si>
    <t>20LA0275 Construction of Concrete Road, Panibasan-Elizalde, Maco, Compostela Valley</t>
  </si>
  <si>
    <t>IMPROVEMENT OF MPA</t>
  </si>
  <si>
    <t>Event Styling (Municipal Gymnasium)</t>
  </si>
  <si>
    <t>CONSTRUCTION OF POBLACION MULTI-PURPOSE BUILDING</t>
  </si>
  <si>
    <t>20LA0273 Construction of Multi-Purpose Building (Mini Gym) with Site Development, Cabacungan, Nabunturan, Compostela Valley</t>
  </si>
  <si>
    <t>Conversion of Anini-y RHU to Polyclinic</t>
  </si>
  <si>
    <t>Rental of Equipment for the Road Opening of Bunacan Road Sitio Tawid  (Buenos to Bunacan)</t>
  </si>
  <si>
    <t>Purchase &amp; Delivery of Various Medical Supplies  for GMCH</t>
  </si>
  <si>
    <t>Supply of gasoline and diesel fuel, additives and lubricants</t>
  </si>
  <si>
    <t>20LA0280 Construction of Concrete Road, Libaylibay-New Visayas, Sangab, Calabcab Limbo to Mawab-Maragusan Road, Mawab, Compostela Valley</t>
  </si>
  <si>
    <t>CONSTRUCTION/UPGRADING/CONCRETING OF STA. LUCIA ROAD</t>
  </si>
  <si>
    <t>20LA0279 Construction of Concrete Road, Lumatab to Binuangan, Maco, Compostela Valley</t>
  </si>
  <si>
    <t>REHAB./IMPROVEMENT OF BASKETBALL COURT (S.K FUND)</t>
  </si>
  <si>
    <t>SUPPLY AND DELIVERY OF SUPPLIES &amp; MATERIALS</t>
  </si>
  <si>
    <t>20LA0282 Construction of Multi-Purpose Building (Women’s Center), Brgy. Cabiadianan, Nabunturan, Compostela Valley</t>
  </si>
  <si>
    <t>Concreting of FMR (Manlimonsito to San Ramon) Brgy. Manlimonsito Phase II</t>
  </si>
  <si>
    <t>20LA0281 Construction of Public Market and Terminal Complex (Phase 2), Brgy. Kingking (Poblacion), Pantukan, Compostela Valley</t>
  </si>
  <si>
    <t>20BF0050: Construction of Flood Control Structures at Brgy. Sto. Niño, Aurora, Isabela</t>
  </si>
  <si>
    <t>Purchase &amp; Delivery of Drugs &amp; Medicines for GMCH</t>
  </si>
  <si>
    <t>PURCHASE OF BRAND NEW CDW MINI-DUMPING CARGO</t>
  </si>
  <si>
    <t>Procurement of Service/supply contract for gasoline and lubricants for use I service vehicle lights/heavy equipments, brushcutter, plate compactor, concrete cutter, chainshaw and other construction eq</t>
  </si>
  <si>
    <t>Purchase and Installation of Mobile Radio Repeater</t>
  </si>
  <si>
    <t>PROCUREMENT OF OFFICE SUPPLIES 2020-2021</t>
  </si>
  <si>
    <t>20BF0048: Concreting of Brgy. San Miguel, Local Access Road, Luna, Isabela</t>
  </si>
  <si>
    <t>Rehabilitation of Birthing Clinic</t>
  </si>
  <si>
    <t>MUNICIPAL ROAD REBLOCKING POBLACION, ALANGALANG, LEYTE</t>
  </si>
  <si>
    <t>Construction of Rainwater Collection System-Tacloban National Agricultural School, Sta. Elena Elementary School, Northern Tacloban City National High School, New Hope Elementary School, Old Kawayan E</t>
  </si>
  <si>
    <t>Concreting of Pakai Access Road (Road 5) Brgy. Matacong</t>
  </si>
  <si>
    <t>20BF0049: Construction of Multi-Purpose Building, Brgy. Macatal, Aurora, Isabela</t>
  </si>
  <si>
    <t>Concreting of Patpatani Road</t>
  </si>
  <si>
    <t>Petroleum, Oil and Lubricants</t>
  </si>
  <si>
    <t>Installation of Automatic Fire System, Addressable Fire Detection and Alarm System, Intercom System, Cable Television and Telephone Data System</t>
  </si>
  <si>
    <t>Concreting of Velez Road at P-1, Brgy. Matacong</t>
  </si>
  <si>
    <t>20BF0051: Concreting of Road, Brgy. Callanguigan, Quezon, Isabela</t>
  </si>
  <si>
    <t>Improvement of Farm to Market Road - Sabangan Bato, Galimuyod, Ilocos Sur</t>
  </si>
  <si>
    <t>Concreting of SLR Slaughterhouse Access Road at Brgy. Mampurog</t>
  </si>
  <si>
    <t>PURCHASE OF aMBULANCE SET-UP DELUXE PACKAGE.</t>
  </si>
  <si>
    <t>SUPPLY, DELIVERY AND INSTALLATION OF BRAND NEW GENERATING SET WITH WIRING AND ACCESSORIES</t>
  </si>
  <si>
    <t>20BF0053: Concreting of Road, Brgy. San Antonio, Roxas, Isabela</t>
  </si>
  <si>
    <t>20BF0052: Concreting of Road, Brgy. Bannawag, Aurora, Isabela</t>
  </si>
  <si>
    <t>Procurement of One (1) Unit Photocopier and Air Conditioning Unit - Lot 2 - Air Conditioning Unit</t>
  </si>
  <si>
    <t>CONTRACT ID: 20GLF0026 - PROCUREMENT OF GUARDRAIL DELINEATOR REFLECTOR FOR USE IN THE INSTALLATION OF ROAD SAFETY DEVICES ALONG SURIGAO SUR-DAVAO ORIENTAL COASTAL ROAD AND BENIGNO S. AQUINO JR. NATION</t>
  </si>
  <si>
    <t>PURCHASE OF MULTI-PURPOSE pLASTIC sHREDDER AND MULTI-PURPOSE MIXER WITH MOTORIZED PAVING BLOCK.</t>
  </si>
  <si>
    <t>Sangguniang Bayan Publication of Ten (10) Ordinances</t>
  </si>
  <si>
    <t>CONTINUATION OF KANAY NATONIN FOOTBRIDGE, NATONIN</t>
  </si>
  <si>
    <t>20BF0054: Concreting of Katuday-Simimbaan Road, Brgy. Bantug and Brgy. Simimbaan, Sta. 0+000 to Sta. 3+600, Roxas, Isabela</t>
  </si>
  <si>
    <t>PIKCOT-002020-010 ( IMPROVEMENT OF VARIOUS BARANGAY ROADS)</t>
  </si>
  <si>
    <t>CLUSTER 25-2020</t>
  </si>
  <si>
    <t>Procurement of It Equipment, Appliances, Office Equipment, Furniture and Fixture and Medical Training Equipment - Lot 2 - Appliances - PHSO</t>
  </si>
  <si>
    <t>SUPPLY AND DELIVERY OF CONTAINER VAN (MTO)</t>
  </si>
  <si>
    <t>Procurement of One (1) Unit BRAND NEW 4x2 SUV Vehicle for the Use of the Provincial Government of Davao Oriental</t>
  </si>
  <si>
    <t>Procurement of It Equipment, Appliances, Office Equipment, Furniture and Fixture and Medical Training Equipment  - Lot 1 - IT Equipment - PHSO</t>
  </si>
  <si>
    <t>20HN0112 -Repair/Maintenance of Flood Control and Drainage  Structures along Butuanon Creek-Paknaan, Mandaue, Cebu</t>
  </si>
  <si>
    <t>Procurement of One (1) Unit BRAND NEW 4x4 SUV Vehicle for the Use of the Provincial Government of Davao Oriental</t>
  </si>
  <si>
    <t>RJO, Replacement of Water Supply &amp; Cooling System Pipings for Jolo DPP (S3-JOL20-005)</t>
  </si>
  <si>
    <t>20HN0114 -Rehabilitation of DICT Building, Nat'l. Telecommunication  Commission, Brgy. Subangdaku, Mandaue City</t>
  </si>
  <si>
    <t>Procurement of It Equipment, Appliances, Office Equipment, Furniture and Fixture and Medical Training Equipment  - Lot 5 Medical Training Equipment - PHSO</t>
  </si>
  <si>
    <t xml:space="preserve">20HN0113 -Construction/Rehabilitation of Water Supply/Septage and  Sewerage/Rain Water Collectors - Rain Water Collectors in Public Facilities namely: (a) Opao ES; (b) Casili ES; (c) Leonard Wood ES; </t>
  </si>
  <si>
    <t>Proposed Construction of Pathway and Canal with Cover, M.H. del Pilar St. Brgy. Libid, Binangonan Rizal</t>
  </si>
  <si>
    <t>Procurement of It Equipment, Appliances, Office Equipment, Furniture and Fixture and Medical Training Equipment Lot 4 - furniture and Fixture - PHSO</t>
  </si>
  <si>
    <t>20JG0074 - Construction / Rehabilitation of Water Supply / Rain Water Collector System</t>
  </si>
  <si>
    <t>Purchase of Construction Materials for Use in Pavement Markings along National Roads and Bridges within DPWH- Pampanga 2nd District Engineering Office, San Antonio, Guagua, Pampanga</t>
  </si>
  <si>
    <t>20GEF010 Cluster V -1. Supply and Delivery of Oil and Lubricants for use of Heavy Equipment, Service Vehicles, Grass Cutter and Chainsaw assigned at DPWH Palawan 2nd District Engineering Office 2. Sup</t>
  </si>
  <si>
    <t>Proposed Improvement of Road, San Rafael St. Brgy. Pantok, Binangonan Rizal</t>
  </si>
  <si>
    <t>Proposed Improvement of Road, Picones St. Brgy. Tatala, Binangonan Rizal</t>
  </si>
  <si>
    <t>Proposed Construction of Road with Canal, Mechilina &amp; Aragoza Extension, Brgy. Batingan, Binangonan Rizal</t>
  </si>
  <si>
    <t>UPGRADING</t>
  </si>
  <si>
    <t>Procurement of Diesel (Land Development of Balai Maganahay at Brgy. Dawan)</t>
  </si>
  <si>
    <t>Supply &amp; Delivery of Mechanical Parts for FG Wilson Gensets of Pangutaran DPP (S3-PPP20-005)</t>
  </si>
  <si>
    <t>ESTABLISHMENT OF ORGANIC TRADING POST</t>
  </si>
  <si>
    <t>SUPPLY AND DELIVERY OF MOTOR CYCLE</t>
  </si>
  <si>
    <t>Proposed Improvement of Road, Cerrero St. Brgy. Mahabang Parang, Binangonan, Rizal</t>
  </si>
  <si>
    <t>CID No. 20LE0121 – Construction of Rainwater Collection System, Stainlesss Steel Horizontal Tank, Davao Occidental</t>
  </si>
  <si>
    <t>20CSLC03 CONSULTANCY SERVICES FOR GEOTECHNICAL, GEOLOGICAL SURVEYS/ INVESTIGATIONS &amp; STRUCTURAL ANALYSIS &amp; DESIGN FOR THE PROPOSED CONSTRUCTION OF MULTI-PURPOSE BUILDING (FISH LANDING FACILITY)</t>
  </si>
  <si>
    <t>Purchase of Mini Fire Truck</t>
  </si>
  <si>
    <t>Beaching and Other Related Repairs of SURC 03 and SURC 04</t>
  </si>
  <si>
    <t>INVITATION TO BID FOR THE PROCUREMENT OF VARIOUS IT EQUIPMENT AND ACCESSORIES FOR BUSINESS ONE-STOP SHOP CENTER (BOSS CENTER),  CITY OF ALAMINOS, PANGASINAN</t>
  </si>
  <si>
    <t>CONSTRUCTION OF SOLAR DRIER</t>
  </si>
  <si>
    <t>Construction of Drainage</t>
  </si>
  <si>
    <t>Proposed Repainting of MSP Building @ Jacamar St., Brgy. Sta Elena, Marikina City</t>
  </si>
  <si>
    <t>Proposed Improvement of Road, Viernes St. Brgy. Mahabang Parang, Binangonan Rizal</t>
  </si>
  <si>
    <t>Proposed Improvement of Road, J. Ulang St. Brgy. Tatala, Binangonan Rizal</t>
  </si>
  <si>
    <t>Construction  and Imrpovement of various Municipal Projects (Package 20-05)</t>
  </si>
  <si>
    <t>ROAD OPENING TO SITIO CALBAYUGAY BRGY. CABADSAN, ALANGALANG, LEYTE</t>
  </si>
  <si>
    <t>Supplying of Fuel, Oil and Gasoline for Heavy Equipment and Various Vehicle (PR#20-06-0569)</t>
  </si>
  <si>
    <t>SUPPLY AND DELIVERY OF FERTILIZER, VEGETABLE SEEDS AND OTHER SUPPLIES &amp; MATERIALS</t>
  </si>
  <si>
    <t>Construction of Watch Tower (Brgy. Zone - 1A, Pulupandan, Negros Occ.)</t>
  </si>
  <si>
    <t>PROCUREMENT OF PPSC FY2020 PUBLICATIONS</t>
  </si>
  <si>
    <t>CLUSTER 26-2020</t>
  </si>
  <si>
    <t>Proposed Installation and Rectification of Road Sign around Binangonan Area</t>
  </si>
  <si>
    <t>Proposed Construction of Canal, Purok 2 &amp; 3, Brgy. Bangad, Binangonan Rizal</t>
  </si>
  <si>
    <t>Improvement of Farm to Market Road Leading to Eco-Tourism Park, Abaya, Galimuyod, Ilocos Sur</t>
  </si>
  <si>
    <t>Supply &amp; Delivery of Various O-Rings for Power Barge 119 (S3-B1920-009)</t>
  </si>
  <si>
    <t>Proposed Construction of Local Access Road located at Barangay Labuin, Santa Cruz, Laguna</t>
  </si>
  <si>
    <t>Supply and Delivery of Foodstuff Requirements of Residential Care Facilities (RCFs) of the Department of Social Welfare and Development – National Capital Region (DSWD-NCR) for the period of August 1,</t>
  </si>
  <si>
    <t>Negotiated Procurement for Supply and Delivery of 1 unit Double Cab Drop Side Light Cargo Truck</t>
  </si>
  <si>
    <t>CONTRACT ID : 20GLF0027 - PROCUREMENT OF VARIOUS SPARE PARTS FOR USE IN THE REPAIR OF KIMCO  PAYLOADER L2-1136 UNDER W.O. #R11-BB-20-CM-01-007 AND VIBRATORY COMPACTOR, DYNAPAC Z18-298 UNDER WO # R11—B</t>
  </si>
  <si>
    <t>Proposed Widening of Road/Improvement of Barrio Road, Barangay Pag-asa, Binangonan Rizal</t>
  </si>
  <si>
    <t>Hauling Services for the Shipment of 1 x 545KW Genset from Basilan DPP to Sitangkai DPP, Tawi Tawi  (S3-WMO20-007 (Re-bid)</t>
  </si>
  <si>
    <t>Proposed Site Development of Government Center, Antolines St. Brgy. Calumpang, Binangonan Rizal</t>
  </si>
  <si>
    <t>Proposed Painting of Flooring Outdoor Court @ Marikina Sports Complex, Brgy. Sta Elena, Marikina City</t>
  </si>
  <si>
    <t>PARCELLARY SURVEY OF BUKAL-ANTIPOLO-TUKALAN ROAD</t>
  </si>
  <si>
    <t>PURCHASE OF DIESEL FUEL @ PUMP PRICE</t>
  </si>
  <si>
    <t>Proposed Construction and Improvement of Road, Arabit St. Brgy. Mambog, Binangonan Rizal</t>
  </si>
  <si>
    <t>CONSTRUCTION OF CONCRETE FOOT BRIDGE (CALAIS)</t>
  </si>
  <si>
    <t>Proposed Construction  of Inter connecting Road from Barangay Kalawaan to Brgy. Pantok to Brgy. Palangoy (Phase II)</t>
  </si>
  <si>
    <t>WDDSP-TWD-IFB-G03b</t>
  </si>
  <si>
    <t>Proposed Improvement of Road, Kaimito St. Sta. Ursula Subd. Brgy. Batingan, Binangonan Rizal</t>
  </si>
  <si>
    <t>Supply and Delivery of Various Office Supplies</t>
  </si>
  <si>
    <t>Construction/Improvement of C.H.B. Covered Drainage Canal with Concrete Slab &amp; Manhole, Zone 1, Barangay Lipit Norte, Manaoag, Pangsinan</t>
  </si>
  <si>
    <t>Proposed Construction of Waiting Shed &amp; Concrete Benches, Municipal Cemetery, Brgy. Kaytome, Binangonan Rizal</t>
  </si>
  <si>
    <t>CONSTRUCTION OF BARANGAY ROADS- CLUSTER 6 (BRGY. LAIYA APLAYA, COLOCONTO, NAGSAULAY)</t>
  </si>
  <si>
    <t>Procurement of Freon for aircondition uint of RFIMC Building office, PFO-office, ORD office, CFRDC Building and Maso Farm Station office.</t>
  </si>
  <si>
    <t>20CSHN02 -Conduct of Appraisal Services involving Road Widening – Tertiary Roads - Hernan Cortes St - Chainage 1380 –  Chainage 2330, Mandaue City</t>
  </si>
  <si>
    <t>Proposed Improvement of Wharf, Brgy. Ginoong Sanay, Binangonan Rizal</t>
  </si>
  <si>
    <t>CONTRACT ID: 20GLF0028 - PROCUREMENT OF VARIOUS SPARE PARTS FOR USE IN THE REPAIR OF IZUSU DUMPTRUCK H3-6427/SFF-165 UNDER WO NO. R11-BB-20-CM-02-005; MICHIGAN PAYLOADER L2-1445 UNDER WO NO. BB-20-CM-</t>
  </si>
  <si>
    <t>INVITATION TO BID FOR THE CONSTRUCTION OF SLOPE PROTECTION, CROSS DRAINAGE, RAIL GUARD AND CONCRETE SLAB AT NARRA ST., BRGY. SAN JOSE, CITY OF ALAMINOS, PANGASINAN</t>
  </si>
  <si>
    <t>Proposed Construction of Barangay Hall Extension, Barangay Hall Compound, Brgy. Pag-asa, Binangonan Rizal</t>
  </si>
  <si>
    <t>Proposed Construction of Waiting Shed and Concrete Benches, Wharf, Sitio Makambong, Brgy. Habagatan, Binangonan Rizal</t>
  </si>
  <si>
    <t>Rehabilitation of Farm to Market Road from Obo to Dayawa to Siay</t>
  </si>
  <si>
    <t>Negotiated Procurement for Supply and Delivery of 8000 units Plastic Crates</t>
  </si>
  <si>
    <t>Proposed Construction of Covered Court, Barangay Gulod, Binangonan Rizal</t>
  </si>
  <si>
    <t>Proposed Improvement and Construction of Creekwall Protection, Brgy. Malakaban, Binangonan Rizal</t>
  </si>
  <si>
    <t>PROCUREMENT OF INFRASTRUCTURE PROJECT:  CONSTRUCTION OF LOWER BOLO BOX CULVERT</t>
  </si>
  <si>
    <t>Purchase of Rescue Ambulance</t>
  </si>
  <si>
    <t>Concreting of Municipal Road at Tamayo Street, Barangay Poblacion and Canomay, Dimasalang, Masbate</t>
  </si>
  <si>
    <t>CONCRETING OF LOCAL  ROAD -Liwayway, Brgy. Lalig, Tiaong, Quezon</t>
  </si>
  <si>
    <t>INVITATION TO BID FOR THE SUPPLY AND DELIVERY OF ONE(1) UNIT SERVICE VEHICLE</t>
  </si>
  <si>
    <t>CONSTRUCTION OF BARANGAY ROADS- CLUSTER 5 (BRGY. BATAAN, IMELDA, BULSA)</t>
  </si>
  <si>
    <t>Proposed Improvement of Barangay Hall, Brgy. Layunan, Binangonan Rizal</t>
  </si>
  <si>
    <t>Proposed Construction of Slope Protection, upper side Barangay Kinaboogan, Binangonan Rizal</t>
  </si>
  <si>
    <t>Construction of 2nd Floor of RHU Building</t>
  </si>
  <si>
    <t>20GA0063 - Aklan River Flood Control Project, Lezo, Aklan</t>
  </si>
  <si>
    <t>Proposed Improvement of Mini Park Extension, Barangay Bombong, Binangonan Rizal</t>
  </si>
  <si>
    <t>Procurement of Vacuum Truck for the Septage Treatment Plant of Norzagaray Water District</t>
  </si>
  <si>
    <t>PROVISION OF LABOR, MATERIALS, EQUIPMENT RENTALS AND OTHER INCIDENTALS NEEDED FOR THE RECONSTRUCTION/ENHANCEMENT OF PIGGERY FENCE AT DA-PREC, SUAL, PANGASINAN</t>
  </si>
  <si>
    <t>Proposed Installation of Streetlights, L. Anore St. going to Mountainville Phase 2, Purok 5) Brgy. Tatala, Binangonan Rizal</t>
  </si>
  <si>
    <t>Proposed Demolition of Structure and Construction of Steel Fence and Laying of Tiles, Binangonan Fishport, Brgy. Libid, Binangonan Riza</t>
  </si>
  <si>
    <t>CONSTRUCTION OF MALUMA SITIO SANGAYAN - ALVANIZ HANGING BRIDGE (PHASE II) , BARANGAY CUYAPIAO , PATNONGON, ANTIQUE</t>
  </si>
  <si>
    <t>Construction of Slaughterhouse at Municipal Agriculture Office Compound</t>
  </si>
  <si>
    <t>PROVISION OF LABOR, MATERIALS, EQUIPMENT RENTALS AND OTHER INCIDENTALS NEEDED FOR THE REHABILITATION AND ENHANCEMENT OF DUPLEX ROOFING AT DA-INREC, DINGRAS, ILOCOS NORTE</t>
  </si>
  <si>
    <t>Proposed Installation of Streetlights, A. Bonifacio St. (from JM Basa St. to Libid Elementary School) Brgy. Libid, Binangonan Rizal</t>
  </si>
  <si>
    <t>CONSTRUCTION OF ROCK CAUSEWAY (SOLAR)</t>
  </si>
  <si>
    <t>20GA0064 - Aklan River Flood Control Projects, Numancia, Aklan</t>
  </si>
  <si>
    <t>Supply and Delivery of IT Equipment and Peripherals</t>
  </si>
  <si>
    <t>Supplies and Delivery of Various Office Equipment.</t>
  </si>
  <si>
    <t>Drilling Works/Exploration of water source for supplementation of Level III Water Supply System</t>
  </si>
  <si>
    <t>Proposed Installation of Streetlights, J.M. Basa St. Brgy. Libid, Binangonan Rizal</t>
  </si>
  <si>
    <t>Proposed Installation of Streetlights, Mabuhay Homes from Tricycle Terminal to Barangay Hal Annex, Brgy. Pantok, Binangonan Rizal</t>
  </si>
  <si>
    <t>Proposed Construction of Artesian Well, Purok 7 near Herminigildo Sisante Res. Brgy. Habagatan, Binangonan Riza</t>
  </si>
  <si>
    <t>CONTRACT ID: 20GLF0029 - PROCUREMENT OF VARIOUS SPARE PARTS FOR USE IN THE REPAIR OF ISUZU  DUMPTRUCK 6427/SFF-165 UNDER WO NO. R11-BB-20-CM-01-002 AND ISUZU DUMPTRUCK H3-6426/SFF-145 UNDER WO NO. R11</t>
  </si>
  <si>
    <t>CONSTRUCTION OF BARANGAY ROADS- CLUSTER 7 (BRGY. MUZON, PALAHANAN 2.0, LIBATO)</t>
  </si>
  <si>
    <t>Supply and Delivery of various sizes of Brass Water Meter complete with accessories (2-Tailpiece, 2-Nut, 2-Gasket)</t>
  </si>
  <si>
    <t>Proposed Installation of Streetlights, F. Cequeña St. from Manila East Road to Macamot Elem. School, Brgy. Macamot, Binangonan Rizal</t>
  </si>
  <si>
    <t>Procurement of AGRICULTURAL PRODUCTS (SEEDLINGS)</t>
  </si>
  <si>
    <t>SUPPLY AND DELIVERY OF PERSONAL PROTECTIVE GEAR</t>
  </si>
  <si>
    <t>CONSTRUCTION OF PWD'S TRAINING CENTER</t>
  </si>
  <si>
    <t>On-going Construction of DNHS Covered Court</t>
  </si>
  <si>
    <t>CONSTRUCTION OF BARANGAY ROADS- CLUSTER 9 (BRGY. CALUBCUB 2.0, PINAGBAYANAN, QUIPOT)</t>
  </si>
  <si>
    <t>Purchase of Rescue Vehicle</t>
  </si>
  <si>
    <t>PROVISION OF LABOR, MATERIALS, EQUIPMENT RENTALS AND OTHER INCIDENTALS NEEDED FOR THE RECONSTRUCTION OF GARLIC STORAGE FACILITY AT DA-INREC, BATAC CITY, ILOCOS NORTE</t>
  </si>
  <si>
    <t>Supply an Delivery of Materials, Labor and Equipment for the Construction of National Child Development Center at Brgy. Bawi, Padre Garcia, Batangas</t>
  </si>
  <si>
    <t>Construction of Building and Grounds Services (BGS) Building</t>
  </si>
  <si>
    <t xml:space="preserve">20GH00001 - Supply, Delivery and Installation of one (1) unit Permanent Weigh In Motion Axle Scale for Tamisu Weighbridge Station, Bais City, Negros Oriental and two (2) unit Portable Weigh In Motion </t>
  </si>
  <si>
    <t>CONSTRUCTION OF BARANGAY ROADS- CLUSTER 8 (BRGY. SICO 2.0, CATMON, POCTOL)</t>
  </si>
  <si>
    <t>PROVISION OF LABOR, MATERIALS, EQUIPMENT RENTALS AND OTHER INCIDENTALS NEEDED FOR THE RECONSTRUCTION OF BUFFER SEED BODEGA AT DA-INREC, BATAC CITY, ILOCOS NORTE</t>
  </si>
  <si>
    <t>PURCHASE OF MEDICINES</t>
  </si>
  <si>
    <t>Construction/Improvement of C.H.B. Covered Drainage Canal with Concrete Slab &amp; Manhole, Zone 3, Barangay Lipit Sur, Manaoag, Pangsinan</t>
  </si>
  <si>
    <t>Purchase of 1 Unit Ambulance</t>
  </si>
  <si>
    <t>(19Z00042) Contract Package -1, Design and Build of the Ambal-Simuay River and Rio Grande De Mindanao Flood Control Projects</t>
  </si>
  <si>
    <t>CONSTRUCTION OF MULTI-PURPOSE/EVACUATION CENTER IN IGSORO ELEMENTARY SCHOOL, BRGY. IGSORO, BUGASONG (Igsoro Elementary School, Brgy. Igsoro, Bugasong, Antique)/IB. NO. K-2020-050(SC)</t>
  </si>
  <si>
    <t>Supply and Delivery of Medical, Dental and Laboratory Supplies</t>
  </si>
  <si>
    <t>CID NO. 20IF0092 (READV) Preventive Maintenance -Primary Roads-Ormoc-Baybay Southern Leyte Bdry. Road, K1014+541-K1015+503, K1015+612-K1016+314, K1016+327-K1017+201, K1017+247-K1017+840, K1022+992-K10</t>
  </si>
  <si>
    <t>Supply and Delivery of various Plumbing Materials and Fittings for Upgrading of Water Meters</t>
  </si>
  <si>
    <t>Replacement of Belt Conveyor Rollers (2nd Public Bidding)</t>
  </si>
  <si>
    <t>Drilling and Construction of One Test/Production Well (Rotary Method)</t>
  </si>
  <si>
    <t>CONSTRUCTION OF SAN ANTONIO BRIDGE APPROACHES</t>
  </si>
  <si>
    <t>INVITATION TO BID FOR THE PROCUREMENT OF LABOR &amp; MATERIALS FOR ESTABLISHMENT OF TOURISM INFORMATION CENTER LOCATED AT POBLACION MONKAYO DAVAO DE ORO</t>
  </si>
  <si>
    <t>CONSTRUCTION OF EVACUATION CENTER (Brgy. Bari, Sibalom, Antique)/IB. NO. K-2020-053(SC)</t>
  </si>
  <si>
    <t>PURCHASE AND DELIVERY OF ONE (1) UNIT PASSENGER VAN (Rescue Response Vehicle), MDRRMO, Can-avid Eastern Samar</t>
  </si>
  <si>
    <t>SUPPLY &amp; DELIVERY OF VARIOUS OFFICE FURNITURES</t>
  </si>
  <si>
    <t>Construction/Improvement of Covered Drainage Canal with Concrete Manhole Nearby Barangay Hall, Barangay Sta. Ines, Manaoag, Pangasinan</t>
  </si>
  <si>
    <t>REBIDDING OF SUPPLY AND DELIVERY OF EIGHTEEN THOUSAND TWO HUNDRED FIFTY (18,250) HEADS IMPROVED CHICKEN</t>
  </si>
  <si>
    <t xml:space="preserve">20EF0113 Repair/Maintenance of DPWH Building, Maintenance Building National Highway, Brgy. Antipuluan, Narra, Palawan Earthworks, Plain and Reinforced Concrete Works, Finishing and other Civil Works, </t>
  </si>
  <si>
    <t>Construction of Flood Control Projects (Canalization)</t>
  </si>
  <si>
    <t>Procurement of DRUGS AND MEDICINES</t>
  </si>
  <si>
    <t>REHABILITATION OF SEAWALL PROTECTION IN  BARANGAY LISUB-A, ANINI-Y (Brgy. Lisub-A, Anini-y, Antique)/IB. NO. K-2020-052(SC)</t>
  </si>
  <si>
    <t>CONSTRUCTION OF MULTI-PURPOSE/EVACUATION CENTER EASTERN LAUA-AN NHS IN BRGY. MARIA, LAUA-AN (Eastern Laua-an NHS, Brgy. Maria, Laua-an, Antique)/IB. NO. K-2020-051(SC)</t>
  </si>
  <si>
    <t>ITB-GS-20200325-01 - One (1) Year Courier Services for LANDBANK Credit Cards, Statement of Accounts and Other Credit Card Related Parcels</t>
  </si>
  <si>
    <t>Supply &amp; Delivery of Digital Controller, Rotating Diode &amp; Diode Plate Holder for Basilan DPP per PR # S3-BAI20-018 &amp; S3-BAI20-022 (S3-SPUGWM20-010 (Re-bid)</t>
  </si>
  <si>
    <t>Technical Assistance in the Formulation of Comprehensive Land Use Plan (CLUP) &amp; Zoning Ordinance  (ZO).</t>
  </si>
  <si>
    <t>Installation of Streetlights Along Guimbal Roads</t>
  </si>
  <si>
    <t>CONTRACT ID: 20GLF0030 -  PROCUREMENT OF ROAD RIGHT OF WAY MONUMENT FOR USE ALONG SURIGAO SUR-DAVAO ORIENTAL COASTAL ROAD AND BENIGNO S. AQUINO JR. NATIONAL HIGHWAY DAVAO ORIENTAL FIRST DISTRICT</t>
  </si>
  <si>
    <t>NEGOTIATED PROCUREMENT OF SUPPLY, DELIVERY, INSTALLATION AND CONFIGURATION OF VARIOUS ICT EQUIPMENT AND COMPUTER SOFTWARE IN SUPPORT TO OPERATIONS AND RESEARCH DIVISION</t>
  </si>
  <si>
    <t>New Construction of Level-II Potable Water System at Sitio Luway, Brgy. Cajimos, Romblon, Romblon - MEO</t>
  </si>
  <si>
    <t>Construction of Mabasa Potable Water Supply System (Level II)</t>
  </si>
  <si>
    <t>ITB No. 2020-06-19 Supply and Delivery of various Fertilizers</t>
  </si>
  <si>
    <t>Supply and Delivery of Urea Plus Zinc Fertilizers</t>
  </si>
  <si>
    <t>CONCRETING OF LOCAL  ROAD - Sitio Ilaya, Brgy. Behia</t>
  </si>
  <si>
    <t>SUPPLY AND DELIVERY OF ACETYLENE AND OXYGEN AS PER RFQ NO. 2020-05-003 FOR USE IN THE REPAIR OF SERVICE VEHICLES AND HEAVY EQUIPMENT</t>
  </si>
  <si>
    <t>INVITATION TO SUBMIT QUOTATION  FOR CATERING SERVICES WITH VENUE AND ACCOMMODATION  DURING THE 2020 CENSUS OF POPULATION AND HOUSING (2020 CPH)  SECOND LEVEL TRAINING ON JULY 20-JULY 25, 2020  AT TUGU</t>
  </si>
  <si>
    <t>Procurement of  (1) unit Utility Van for Provincial Government of Surigao del Sur Provincial General Services Office.</t>
  </si>
  <si>
    <t>Supply &amp; Delivery of Switchgear &amp; Relay Module for Sitangkai DPP (S3-SIT20-014 (Re-bid)</t>
  </si>
  <si>
    <t>Procurement of Supply and Delivery of Office Supplies</t>
  </si>
  <si>
    <t>sUPPLY AND dELIVERY OF FERTILIZER</t>
  </si>
  <si>
    <t>ITB-GS-20200402-01 - Supply and Delivery of 250 Units Gigabit Ethernet Switch</t>
  </si>
  <si>
    <t>Purchase of Electrical Supplies</t>
  </si>
  <si>
    <t>20EI0177 - Repair/Maintenance of DILG Building-BJMP Multi-Purpose Hall, Roxas, Oriental Mindoro_055</t>
  </si>
  <si>
    <t>Procurement of Civil Works for the Concreting of Anque Street ( From Rizal Street to Dagohoy Street) Poblacion A, Mlang, Cotabato.</t>
  </si>
  <si>
    <t>20EI0178 - Construction/Rehabilitation of Water Supply/Septage and Sewerage/Rainwater Collectors, Pinamalayan - Bulalacao, Oriental Mindoro_056</t>
  </si>
  <si>
    <t>FURNISHING OF CONSTRUCTION MATERIALS FOR CABCABAN COMMUNAL IRRIGATION PROJECT</t>
  </si>
  <si>
    <t>SUPPLY AND INSTALLATION OF SOLAR POWER INVERTER FOR NIA - CEBU IMO OFFICE BUILDING RENOVATION</t>
  </si>
  <si>
    <t>supply &amp; delivery of Ammunitions</t>
  </si>
  <si>
    <t>Rehabilitation and Expansion of NARC Tissue Culture Laboratory</t>
  </si>
  <si>
    <t>CONSTRUCTION OF NEW ROAD WITH DRAINAGE SYSTEM</t>
  </si>
  <si>
    <t>ITB-GS-20200407-01 - Supply, Delivery, Installation &amp; Configuration of Privileged Access Management (PAM) Solution  with Hardware Appliance with Three (3) Years Warranty</t>
  </si>
  <si>
    <t>20CG0123 (r) - Network Development Program Construction of By-Pass and Diversion Roads Sta. Ana-Arayat Bypass Road, Package 2, Pampanga</t>
  </si>
  <si>
    <t>Two (2) Years and Six (6) Months Contract for Security Services (July 2020 to December 2022)</t>
  </si>
  <si>
    <t>REHABILITATION OF MULTI-PURPOSE BUILDING ,CARANG DAPITAN CITY</t>
  </si>
  <si>
    <t>20PK0065 - Capital Outlay - Construction/Rehabilitation of Water Supply/Septage and Sewerage/Rain Water Collector Systems - Rain Water Collectors in Public Facilities - CAR, Various Location (Balbalan</t>
  </si>
  <si>
    <t>PROCUREMENT OF LABOR, MATERIALS &amp; EQUIPMENT FOR THE CONSTRUCTION OF LEVEL 1 WATERWORKS SYSTEM (DRILLING OF PRODUCTION WELL AS SOURCE) AT CANSUJE, ARGAO, CEBU</t>
  </si>
  <si>
    <t>INVITATION TO BID FOR THE PROCUREMENT OF LABOR &amp; MATERIALS FOR RENOVATION OF DRY MARKET LOCATED AT BLOCK 2, MARKET SITE, BARANGAY POBLACION, MONKAYO DAVAO DE ORO</t>
  </si>
  <si>
    <t>RFQ-20-06-017</t>
  </si>
  <si>
    <t>CONCRETING OF FARM TO MARKET ROAD AT BARANGAY SITE OF  BARANGAY SAN JOSE</t>
  </si>
  <si>
    <t>NCB Publication No. 2020- 11 (Package 2020-06 - PB 1. Saddle Jucbong Road Improvement  2. FMR Improvement at Jucbong 3. Jucbong Sadel Road Improvement (Riprap)</t>
  </si>
  <si>
    <t>20EF0114 Repair/Maintenance of Isumbo Bridge (Partial Deck Slab Replacement) along Puerto Princesa Road, K0131+479 Sofronio Española, Palawan</t>
  </si>
  <si>
    <t>NCB Publication No. 2020- 15 (First Publication)-Package 2020-09 - PB (1. Tupaya FMR Improvement, Tupaya 2. Maanaw- Mabbog Road Improvement, Tupaya 3. Construction Of Momma- Rangtay CIS, Tupaya)</t>
  </si>
  <si>
    <t>Supply &amp; Delivery of Medical, Electrical, Utility and Office Equipment and Supplies for MHO, Rodriguez, Rizal</t>
  </si>
  <si>
    <t>RFQ-20-06-020</t>
  </si>
  <si>
    <t>Enhancement &amp; Upgrading of Business Permit and License System as requested by the Business Permit &amp; Licensing Office</t>
  </si>
  <si>
    <t>RFQ-20-06-019</t>
  </si>
  <si>
    <t>Procurement of 1 Job Consultancy Services under P.R.No. 2194-2020-CMO-Provision for Priority Development Project (Continuing)</t>
  </si>
  <si>
    <t>CONSTRUCTION OF MULTI-PURPOSE BUILDING (PHASE II)</t>
  </si>
  <si>
    <t>RFQ-20-06-016</t>
  </si>
  <si>
    <t>Procurement of Comprehensive Asset Management and Inventory System - CGSO</t>
  </si>
  <si>
    <t>SUPPLY AND DELIVERY OF IT EQUIPMENT (Office of the Municipal Agriculturist)</t>
  </si>
  <si>
    <t>Construction of Water System at Upper Kalaparan</t>
  </si>
  <si>
    <t>NCB Publication No. 2020- 14 (First Publication)- Counterpart for the Upgrading of Sheep and Goat House</t>
  </si>
  <si>
    <t>NCB Publication No. 2020- 16 (First Publication)- Package 2020-10 - PB (1. Buludna- Bana-ao Road Improvement 2. FMR Improvement at Burnay 3. Latbuag Footbridge Construction Brgy. Burnay)</t>
  </si>
  <si>
    <t>20EF0117 Repair/Maintenance of DPWH Building BAC Building (Motorpool) National Highway, Brgy. Antipuluan, Narra, Palawan Earthworks, Plain and Reinforced Concrete Works, Finishing and other Civil Work</t>
  </si>
  <si>
    <t>20EF0115 Repair/Maintenance of DPWH Bldg. (Main Building) Palawan II DEO National Highway Brgy. Antipuluan, Narra, Palawan Finishing, Plumbing/Sanitary Works</t>
  </si>
  <si>
    <t>RFQ-20-06-018</t>
  </si>
  <si>
    <t>Formulation/Development/Implementation and Maintenance of Digital Plaform of the Province of Sorsogon</t>
  </si>
  <si>
    <t>20EF0116 Repair/Maintenance of DPWH Building MQC Building National Highway, Brgy. Antipuluan, Narra, Palawan Earthworks, Plain and Reinforced Concrete Works, Finishing and other Civil Works, Electrica</t>
  </si>
  <si>
    <t>20GAJ0004-Furnishing and Delivery of Materials for Thermoplastic Marking Application &amp; Repainting of Centerline, Laneline, and Pedestrian Crosswalk (Work Category # 10) along National Roads within the</t>
  </si>
  <si>
    <t>Procurement of Assorted Goods for Centers/Institutions (HFG &amp; RSCC)</t>
  </si>
  <si>
    <t>Proposed Construction of Drainage Interceptor along A. Bonifacio St. from J.P. Rizal to Montalban River, Brgy. Rosario, Rodriguez, Rizal</t>
  </si>
  <si>
    <t>Supply of Materials, Labor and Equipment for the Construction of Pump House and Perimeter Fence and Site Development of Linao Norte Pumping Station 02, Linao Norte, Tuguegarao City</t>
  </si>
  <si>
    <t>Proposed Construction of Artesian Well, Purok I near Joseph Gondraneos Res. Brgy. Rayap, Binangonan Rizal</t>
  </si>
  <si>
    <t>PROCUREMENT OF CATERING SERVICES FOR THE 4TH LEVEL TRAINING OF 2020 CENSUS OF POPULATION AND HOUSING (2020 CPH) IN CARAGA REGION</t>
  </si>
  <si>
    <t>Re-Bidding of the Procurement for the Supply, Delivery, Installation and Commissioning of Public Address System for USTP-CDO</t>
  </si>
  <si>
    <t>CONSTRUCTION OF PUBLIC MARKET BUILDING - PHASE 3</t>
  </si>
  <si>
    <t>20GAJ0005-Furnishing and Delivery of Various Office and Janitorial Services Supplies for use in the DPWH-Pangasinan IV District Engineering Office</t>
  </si>
  <si>
    <t>Proposed Extension of Binangonan-Morong Interconnecting Road, Binangonan Rizal</t>
  </si>
  <si>
    <t>Purchase of Polo Shirt with Print for the Youth Symposium Program of the Provincial Government of Zamboanga del Sur (2nd Batch)</t>
  </si>
  <si>
    <t>PROCUREMENT OF DRUGS &amp; MEDICINES FOR FY 2020</t>
  </si>
  <si>
    <t>RFQ / PR 20-03-0182 / PROCUREMENT OF CONSTRUCTION MATERIALS FOR WALK-IN CLOSET</t>
  </si>
  <si>
    <t>Proposed Installation of Water Pipeline along Main Road, Brgy. Kinaboogan, Binangonan Rizal</t>
  </si>
  <si>
    <t>FEEDING SUPPLIES - 2020</t>
  </si>
  <si>
    <t>Proposed 3% Completion of Binangonan-Morong Interconnecting Road, Binangonan Rizal</t>
  </si>
  <si>
    <t>Proposed  Continuation of Kasinay St. Kalawaan to Quarry Road, Brgy. Pantok  Interconnecting Road</t>
  </si>
  <si>
    <t>Procurement of One (1) Unit Distribution Transformer  - SOYMPH</t>
  </si>
  <si>
    <t>Supply and Delivery of Foliar Fertilizers for High Value Crops Upgrading and Development Program in the Municipality of Victoria, Oriental Mindoro</t>
  </si>
  <si>
    <t>Procurement of One (1) Unit Service Vehicle - PTO</t>
  </si>
  <si>
    <t>REQUEST FOR QUOTATION FOR SCHOOL MOOE FOR THE MONTH OF APRIL 2020</t>
  </si>
  <si>
    <t>PB INFRA 20-023_Concreting of Road, Lower Glad, Midsayap, Cotabato</t>
  </si>
  <si>
    <t>BALIK ESKWELA - 2020</t>
  </si>
  <si>
    <t>20LB0156 - Construction/ Rehabilitation of Drainage Along Pag-asa St. – Suazo St. – Jct. Quezon Boulevard Main Drain, Davao City</t>
  </si>
  <si>
    <t>ITB, DILG PCF 2019</t>
  </si>
  <si>
    <t>20LB0169 - Construction of Revetment along Matina River, Matina Pangi Bridge Upstream Section, Davao City</t>
  </si>
  <si>
    <t>Supply and Delivery of One (1) unit Brand New Backhoe (Hydraulic Excavator) in the Municipality of Victoria, Oriental Mindoro</t>
  </si>
  <si>
    <t>NE 63R - PAITAN SWIP</t>
  </si>
  <si>
    <t>PB INFRA 20-031_Concreting of Road, Brgy. Tubon,Pigcawayan, Cotabato</t>
  </si>
  <si>
    <t>20LB0163 - Construction of Flood Mitigation Structure along Matina River, Matina Bridge Upstream, Matina Pangi Section, Left Bank, Davao City</t>
  </si>
  <si>
    <t>PB INFRA 20-029_Concreting of Bulacaon Road, Pigcawayan, Cotabato</t>
  </si>
  <si>
    <t>PB INFRA 20-032_Concreting of Road, Purok 5, Gubatan, Magpet, Cotabato</t>
  </si>
  <si>
    <t>20LB0184 - Construction of Drainage - Magsaysay Avenue - (S01445mn) Chainage 171</t>
  </si>
  <si>
    <t>20MF0076-Repair/Maintenance of Drainage Canal along Dulawan-Marbel Road, K1750+666-K1750+941 (Left Side), Lambayong, Sultan Kudarat</t>
  </si>
  <si>
    <t>NE 62R - SIMIMBAAN SWIP</t>
  </si>
  <si>
    <t>Contract ID 20IG0067 - Repair and Maintenance of Road Safety Facilities within the Leyte V DEO</t>
  </si>
  <si>
    <t>IB NO. 2020-06-38R LINEN SUPPLIES (REBID)</t>
  </si>
  <si>
    <t>Contract ID 2020-IG-017 - Purchase of Materials for Bituminous Pavement Maintenance along Daang Maharlika K0974+000 to K0976+000, K0983+000 to K0986+500</t>
  </si>
  <si>
    <t>PROJECT # 20-041 - PROCUREMENT OF FURNITURES AND FIXTURES FOR SCHOOL LIBRARIES- CITY SCHOOL DIVISION OFFICE</t>
  </si>
  <si>
    <t>20LB0189 - Road Widening along Davao - Cotabato Old Rd - K1522+678 - K1522+808, K1522+826 - K1522+968, K1525+328, K1525+563 - K1525+570</t>
  </si>
  <si>
    <t>20LB0190 - Road Widening along Davao - Cotabato Rd. (Davao City - Jct. Digos Sect.) K1519+920- K1519+1100, K1520+048 - K1520+183, K1520+204 - K1520+330, K1520+850 - K1520+950, K1523+310</t>
  </si>
  <si>
    <t>Contract ID 20IG0068 - Repair/Rehabilitation of Concrete Pavement along Daang Maharlika</t>
  </si>
  <si>
    <t>20LB0231 - Rehabilitation of Road (installation of Solar Lights), Brgy. Pañalum, Paquibato District, Davao City</t>
  </si>
  <si>
    <t>20MF0077-Repair/Maintenance of Drainage Canal along Kidapawan-Allah Jct. Road, K1677+380-K1677+535 (Right Side), Bo. 2 Section, Tacurong City, Sultan Kudarat</t>
  </si>
  <si>
    <t>20MF0079-Repair/Maintenance of Drainage Canal along Kidapawan-Allah Jct.Road, K1673+(-980)-K1673+(-500) Both Sides, Tacurong City, Sultan Kudarat</t>
  </si>
  <si>
    <t>Supply and Delivery of 200 Television Sets for Negosyo Serbisyo sa Barangay</t>
  </si>
  <si>
    <t>Supply of Materials, Labor and Equipment for the Concreting/Improvement of Local Access Road at Sitio Bagong Pook, Barangay Malabrigo, Lobo, Batangas</t>
  </si>
  <si>
    <t>PROCUREMENT OF EMERGENCY SUPPLIES/ ITEMS</t>
  </si>
  <si>
    <t>IB NO. 2020-06-43R Procurement of Drugs and Medicines CY 2020 REBID</t>
  </si>
  <si>
    <t>IB NO. 2020-06-42R Procurement of Dietary Foodstuffs and Supplies CY 2020 REBID</t>
  </si>
  <si>
    <t>PROCUREMENT OF ADDITIONAL OFFICE SUPPLIES FOR REPRODUCTION OF MODULES FOR LEARNERS</t>
  </si>
  <si>
    <t>IB NO. 2020-06-39R Procurement of Non-Accountable Forms CY 2020 REBID</t>
  </si>
  <si>
    <t>20GCB0004: Procurement/Supply of Road Marking Compound White and Yellow (For Stocking) for use in Pavement Markings (Edgeline, Centerline and Separator Line) along Gov. J.J. Linao Road (SO4822LZ)(KO12</t>
  </si>
  <si>
    <t>Supply, Delivery and Installation of Additional Solar Street Lights at Dinagpan Street to Governor's Drive, Barangay Poblacion 5, Coron, Palawan</t>
  </si>
  <si>
    <t>Local Brigde in Sitio Tagbon, Panipaison, Brgy. Panipiason, Madalag, Aklan</t>
  </si>
  <si>
    <t>SITE DEVELOPMENT AT BARANGAY SITE</t>
  </si>
  <si>
    <t>20-05-0580 SUPPLY AND DELIVERY OF MATERIALS FOR THE SEMI-INTENSIVE TILAPIA CULTURE IN PEN AND FIXED-TYPE CAGES OF FISHCORAL IN REGION 8</t>
  </si>
  <si>
    <t>IB NO. 2020-06-41R Procurement of Toner Tie-Up CY 2020 REBID</t>
  </si>
  <si>
    <t>(19Z00043) Contract Package -2, Design and Build of the Ambal-Simuay River and Rio Grande De Mindanao Flood Control Projects</t>
  </si>
  <si>
    <t>REHABILITATION OF MULTI-PURPOSE BLDG.</t>
  </si>
  <si>
    <t>IB NO. 2020-06-40 Procurement of TONER CATRIDGES FOR PHOTOCOPIER CY 2020</t>
  </si>
  <si>
    <t>20MF0078-Repair/Maintenance of Drainage Canal along Dulawan-Marbel  Road, K1764+025-K1764+430 (Right Side), Tacurong City, Sultan Kudarat</t>
  </si>
  <si>
    <t>RE-BIDDING (3RD) OF VARIOUS CONSTRUCTION AND IMPROVEMENTS OF  MSU NAAWAN CAMPUS FACILITIES</t>
  </si>
  <si>
    <t>PEO-19-1449 B (REBID 2)- Procurement of Furniture and Fixtures for the use of Provincial Engineer’s Office</t>
  </si>
  <si>
    <t>IMPROVEMENT OF PALPALITPIT-CAYAPA FMR</t>
  </si>
  <si>
    <t>REHABILITATION / CONSTRUCTION OF 3 CLASSROOM BUILDING (TUBIGON)</t>
  </si>
  <si>
    <t>MDF CLUSTER 10-2020 PROJECT: CONSTRUCTION OF CONCRETE PAVEMENT WITH BOX CULVERT ALONG PEY-AS TO DAMAYAN FMR</t>
  </si>
  <si>
    <t>MDF CLUSTER 8-2020 PROJECT: CONSTRUCTION OF PAVEMENT AT TAMOCMOC ROAD</t>
  </si>
  <si>
    <t>MDF CLUSTER 9-2020 PROJECTS AT POBLACION, ATOK, BENGUET</t>
  </si>
  <si>
    <t>MDF CLUSTER 6-2020 PROJECT: CONSTRUCTION OF PAVEMENT ALONG BETAC-KISKIS ROAD AT ABIANG, ATOK, BENGUET</t>
  </si>
  <si>
    <t>1-UNIT UTILITY VEHICLE FOR DEPED DIVISION OF SAGAY CITY-REBID</t>
  </si>
  <si>
    <t>Procurement of Drugs and Medicines for BJMP 12 PDL for the Third Quarter of 2020</t>
  </si>
  <si>
    <t>PEO-20-0160 B- Procurement of Spare Parts for the use of Venieri Payloader (VFL 1-2) Model: VK 9015 assigned at PEP, Sta. Barbara, Iloilo</t>
  </si>
  <si>
    <t>Concreting of Brgy. Road, Brgy. Jalandoni, Culasi, Antiique</t>
  </si>
  <si>
    <t>pURCHASE OF mEDICINE (Maternal and Child Care 2, Purchase of Medicine (General Medical Services)</t>
  </si>
  <si>
    <t>MDRRMF CLUSTER 2-2020 PROJECTS AT PASDONG AND NAGUEY, ATOK, BENGUET</t>
  </si>
  <si>
    <t>Procurement of Assorted Rehabilitation Supplies for BJMP Region 12 PDL for the Third Quarter of 2020</t>
  </si>
  <si>
    <t>Concreting of Brgy. Road, Brgy. Camancijan, Culasi, Antique</t>
  </si>
  <si>
    <t>REPAIR OF MANABO IRRIGATION MAIN CANAL, AYYENG MANABO</t>
  </si>
  <si>
    <t>1-UNIT UTILITY VEHICLE FOR LOCAL FINANCE COMMITTEE-REBID</t>
  </si>
  <si>
    <t>Concreting of Barangay Road, Brgy. San Luis, Culasi, Antique</t>
  </si>
  <si>
    <t>IMPROVEMENT OF SITIO CAMPONG SAGURISIR FMR</t>
  </si>
  <si>
    <t>MDF CLUSTER 2-2020 PROJECTS AT CALIKING, ATOK, BENGUET</t>
  </si>
  <si>
    <t>Relocation Survey of PRDP1-Project Affected Lands</t>
  </si>
  <si>
    <t>Purchase of Native Chicken, Feeds &amp; Net/Screen</t>
  </si>
  <si>
    <t>SUPPLY AND DELIVERY OF 1 UNITY BRAND NEW RESCUE TRUCK</t>
  </si>
  <si>
    <t>Small Water Impounding Project</t>
  </si>
  <si>
    <t>PEO-20-0163 B Procurement of Outer Tires for use in the replacement of worn-out tires of various heavy equipment assigned at PEP, Sta. Barbara, Iloilo</t>
  </si>
  <si>
    <t>SUPPLY AND DELIVERY OF 1 UNIT BRAND NEW MULTI-PURPOSE VEHICLE</t>
  </si>
  <si>
    <t>Procurement of Office Supplies for BJMPRO-XII for the Third Quarter of 2020</t>
  </si>
  <si>
    <t>Supply, Delivery, Installation and Commissioning of One (1) Unit Healthcare Waste Treatment Machine</t>
  </si>
  <si>
    <t>SUPPLY AND DELIVERY OF 1 UNIT BRAND NEW CREW TRUCK</t>
  </si>
  <si>
    <t>Procurement of Petroleum, Oil and Lubricants for BJMPRO-XII for the Third Quarter of 2020</t>
  </si>
  <si>
    <t>Improvement of Nueva Fuerza Water System</t>
  </si>
  <si>
    <t>SUPPLY AND DELIVERY OF MATERIALS FOR TRANSFORMER INSTALLATION (REBID)</t>
  </si>
  <si>
    <t>Supply and Delivery of Commuter Van (Converted to Ambulance).</t>
  </si>
  <si>
    <t>Concreting of farm to market road-Bangag</t>
  </si>
  <si>
    <t>CONCRETING OF COSILI EAST – MACARCARMAY ROAD</t>
  </si>
  <si>
    <t>CONTRACT ID #: 20-03-076 2ND REBID = PROCUREMENT OF VARIOUS LABORATORY SUPPLIES AND REAGENTS</t>
  </si>
  <si>
    <t>Construction/installation of concrete &amp; stainless tables</t>
  </si>
  <si>
    <t>1-UNIT UTILITY VEHICLE FOR THE OFFICE OF THE CITY ADMINISTRATOR –REBID</t>
  </si>
  <si>
    <t>Rehabilitation of Public Market Building (10 stalls)</t>
  </si>
  <si>
    <t>P – 2020 – 14: Construction  and Improvement of Pipelines/Water System and Comfort Room (Phase 1)</t>
  </si>
  <si>
    <t>Repair/Maintenance of Catubig Hanging Bridge</t>
  </si>
  <si>
    <t>REHABILITATION OF OF HANGING BRIDGE @ BRGY. NUBORAN, LABANGAN ZDS</t>
  </si>
  <si>
    <t>Reposting Provision of Potable Water Supply</t>
  </si>
  <si>
    <t>SOLID WASTE MANAGEMENT PROGRAM @ BRGY. DALAPANG, LABANGAN, ZDS</t>
  </si>
  <si>
    <t>ROAD CONCRETING @ BRGY. DALAPANG, LABANGAN, ZDS</t>
  </si>
  <si>
    <t>REHABILITATION OF DAY CARE CENTER @ BRGY. OLD LABANGAN, LABANGAN ZDS</t>
  </si>
  <si>
    <t>COUNTERPART FOR THE REHABILITATION AND MAINTENANCE OF BARANGAY ROAD @ BRGY. DALAPANG, LABANGAN ZDS</t>
  </si>
  <si>
    <t>CONSTRUCTION OF PUROK NG KABATAAN @ BRGY. DALAPANG, LABANGAN ZDS</t>
  </si>
  <si>
    <t>CONSTRUCTION OF PUBLIC TOILET @ BRGY. DALAPANG, LABANGAN ZDS</t>
  </si>
  <si>
    <t>IMPROVEMENT OF MULTI - PURPOSED BUILDING @ BRGY. BALIMBINGAN, LABANGAN ZDS</t>
  </si>
  <si>
    <t>INSTALLATION OF WATER SYSTEM TO MULTI - PURPOSED BUILDING @ BRGY. OLD LABANGAN, LABANGAN ZDS</t>
  </si>
  <si>
    <t>Procurement of Customized Ambulance with Medical Kits</t>
  </si>
  <si>
    <t>COUNTERPART FOR THE REHABILITATION AND MAINTENANCE OF BARANGAY ROAD @ BRGY. BALIMBINGAN, LABANGAN ZDS</t>
  </si>
  <si>
    <t>PROCUREMENT OF DELTAMETHRIN – REBID  UNDER IB NO. 2020-172-A</t>
  </si>
  <si>
    <t>COUNTERPART FOR THE REHABILITATION AND MAINTENANCE OF BARANGAY ROAD @ BRGY. OLD LABANGAN, LABANGAN ZDS</t>
  </si>
  <si>
    <t>Procurement of Labor and materials for the overhauling of 2 units Honda Outboard Engine (115 Hp)</t>
  </si>
  <si>
    <t>COUNTERPART FOR THE REHABILITATION AND MAINTENANCE OF BARANGAY ROAD @ BRGY. NUBORAN, LABANGAN ZDS</t>
  </si>
  <si>
    <t>Construction of 150 Ln.m. River Control</t>
  </si>
  <si>
    <t>INSTALLATION OF CCTV @ BRGY. OLD LABANGAN, LABANGAN ZDS</t>
  </si>
  <si>
    <t>Procurement of 390,000 pcs Bangus Fingerlings 3-4 inches</t>
  </si>
  <si>
    <t>Supply and Delivery of Brand New Utility Vehicle (pick-up) - MAO</t>
  </si>
  <si>
    <t>CONSTRUCTION OF PUROK CENTER @ BRGY. COGONAN, LABANGAN ZDS</t>
  </si>
  <si>
    <t>SOLID WASTE MANAGEMENT PROGRAM @ BRGY. OLD LABANGAN, LABANGAN, ZDS</t>
  </si>
  <si>
    <t>Supply and Delivery of Brand New 4x4 Manual Transmission Pick-up - MSWDO</t>
  </si>
  <si>
    <t>Procurement of Flexible Learning and Working Arrangement Supplies and Equipment for Digital Infrastructure</t>
  </si>
  <si>
    <t>PROCUREMENT OF BIFENTHRIN  UNDER IB NO. 2020-212</t>
  </si>
  <si>
    <t>20JD0104 - Widening of Permanent Bridges  Leop Bridge (B00584MN)  along Dipolog-Oroquieta National Road</t>
  </si>
  <si>
    <t>20JD0101 - Rehabilitation/Reconstruction/Upgrading of Damaged Paved Roads Polanco-Macleodes Road K1828+(-217)-K1829+813</t>
  </si>
  <si>
    <t>20JD0105 - Construction of Multi-Purpose Building  La Union, La Libertad, Zamboanga del Norte</t>
  </si>
  <si>
    <t>PROVISION FOR THE MAINTENANCE OF WATER SYSTEM @ BRGY. COGONAN, LABANGAN ZDS</t>
  </si>
  <si>
    <t>20JD0102 - Rehabilitation/Reconstruction of Roads with Slips, Slope Collapse and Landslide Rizal-Dakak-Dapitan Coastal Loop Road K1827+194-K1827+325.20</t>
  </si>
  <si>
    <t>PURCHASE AND DELIVERY OF ELECTRIC COMPRESSOR - MO - MDRRMO</t>
  </si>
  <si>
    <t>20JD0103 - Retrofitting/Strenghtening of Permanent Bridges Polo Bridge (B00411MN) along Jct. Polo-Dapitan Park Nat'l. Road</t>
  </si>
  <si>
    <t>Purchase and Delivery of Plastic Granulator</t>
  </si>
  <si>
    <t>REHABILITATION OF DAY CARE CENTER @ BRGY. COGONAN, LABANGAN ZDS</t>
  </si>
  <si>
    <t>IMPROVEMENT OF PUROK CENTER @ BRGY. COGONAN, LABANGAN ZDS</t>
  </si>
  <si>
    <t>PROCUREMENT OF TERMITE TREATMENT AND GENERAL PEST CONTROL MAINTENANCE UNDER IB NO. 2020-215</t>
  </si>
  <si>
    <t>Supply and Delivery of Twenty Five (25) Units Specific Purpose Motor Vehicles</t>
  </si>
  <si>
    <t>Supply, Delivery, Installation and Commissioning of Airconditioning Units for Philippine Ports Authority Head Office</t>
  </si>
  <si>
    <t>CONSTRUCTION OF MULTI - PURPOSED BUILDING - PHASE 4 @ BRGY. OLD LABANGAN, LABANGAN ZDS</t>
  </si>
  <si>
    <t>REHABILITATION / MAINTENANCE OF BARANGAY ROAD @ BRGY. COGONAN, LABANGAN, ZDS</t>
  </si>
  <si>
    <t>20FF0089 - Construction of Multi-Purpose Building, Barangay Lugsad, Calabanga, Camarines Sur</t>
  </si>
  <si>
    <t>20JD0106 - Construction of Multi-Purpose Building (Covered Court) Central Elementary School, Poblacion Bajo,  Sergio Osmeña, Zamboanga del Norte</t>
  </si>
  <si>
    <t>20JD0107 - Construction (Completion) of Multi-Purpose Building San Miguel, Mutia, Zamboanga del Norte</t>
  </si>
  <si>
    <t>To provide materials, labor, fuel and equipment for Establishment of Montessori-Type Early Child Care Development Center, 1st Revision-Brgy Dawis (GF 2020) (ITB 20-068)</t>
  </si>
  <si>
    <t>20FF0088 - Construction of Multi-Purpose Building, Barangay Binaliw, Calabanga, Camarines Sur</t>
  </si>
  <si>
    <t>Purchase and Delivery of Hydraulic Press Packing Machine</t>
  </si>
  <si>
    <t>CONSTRUCTION OF HANGING BRIDGE @ BRGY. COGONAN, LABANGAN ZDS</t>
  </si>
  <si>
    <t>Construction of Water Supply Building, Sitio Baliguian, Brgy. Malangabang, Concepcion, Iloilo</t>
  </si>
  <si>
    <t>20JD0108 - Construction (Completion) of Multi-Purpose Building  Libay, Sibutad, Zamboanga del Norte</t>
  </si>
  <si>
    <t>REHABILITATION OF FIVE (5) HANGING BRIDGE @ BRGY. COGONAN, LABANGAN ZDS</t>
  </si>
  <si>
    <t>To provide materials, labor, fuel and equipment for Establishment of Montessori-Type Early Child Care Development Center, 1st Revision-Brgy Nangka (GF 2020) (ITB 20-069)</t>
  </si>
  <si>
    <t>SOLID WASTE MANAGEMENT PROGRAM @ BRGY. COGONAN, LABANGAN, ZDS</t>
  </si>
  <si>
    <t>Improvement of Multi-Purpose Building for the Youth, Children, Women, Etc, Brgy. Poblacion, Concepcion, Iloilo</t>
  </si>
  <si>
    <t>Concreting of Sitio Malbog Road</t>
  </si>
  <si>
    <t>Rehabilitation and Improvement of Municipal Port, Phase II, Sitio Puntales, Brgy. Nipa, Concepcion, Iloilo</t>
  </si>
  <si>
    <t>Supply and Delivery of Office Curtains and Curtain Rod</t>
  </si>
  <si>
    <t>Acquisition of Library Books and References Through the Department of Budget and Management (DBM) Php18M Grant.</t>
  </si>
  <si>
    <t>Concreting of Farm to Market Road, Barangay Plandico, Concepcion, Iloilo</t>
  </si>
  <si>
    <t>Construction of Multi-Purpose Hall, Phase II, Brgy. Polopiña, Concepcion, Iloilo</t>
  </si>
  <si>
    <t>Provision of Hybrid Rice Seeds to Farmers - B-G-2020-070</t>
  </si>
  <si>
    <t>INVITATION TO APPLY FOR ELIGIBILITY AND TO BID FOR CY2020 SEVEN LAKES SIP</t>
  </si>
  <si>
    <t>PURCHASE OF MEDICINE</t>
  </si>
  <si>
    <t>Provision of Inbred Rice Certified Seeds to Farmers - B-G-2020-069</t>
  </si>
  <si>
    <t>Procurement of Supplies/Materials/Equipment/Garden Tools for the Enhancement of the Provincial Plant Nursery - B-G-2020-071</t>
  </si>
  <si>
    <t>Provision of Production Input Support (Corn Seeds) to Corn Farmers - B-G-2020-068</t>
  </si>
  <si>
    <t>COMMUNITY EMPOWERMENT THROUGH SCIENCE AND TECHNOLOGY (CEST – SAN LUIS, AURORA)</t>
  </si>
  <si>
    <t>CONSTRUCTION OF FOOTBRIDGE PHASE-I AT PUROK 1</t>
  </si>
  <si>
    <t>CONTRACT FOR THE SUPPLY AND DELIVERY OF ONE (1) ASSEMBLY MOULDED  CASE CIRCUIT BREAKER AND ONE (1) ASSEMBLY AUTOMATIC TRANSFER  SWITCH (ATS)  INCLUDING INSTALLATION, TESTING, AND COMMISSIONING</t>
  </si>
  <si>
    <t>20KG0093: Repair/Maintenance of Road Safety Facilities and Pavement Markings (Black Spot) along Linamon-Zamboanga Road, Linamon-Zamboanga, Lanao del Norte</t>
  </si>
  <si>
    <t>Procurement of Supply &amp; Delivery of Various Farm Tools &amp; Materials</t>
  </si>
  <si>
    <t>Delivery of Various Office, ICT, Communication Equipment, Furniture &amp; Fixtures and Other Property, Plant &amp; Equipment (NP/PB 20-0633).</t>
  </si>
  <si>
    <t>Tarlac Provincial Jail Inmates Food Supplies - B-G-2020-066</t>
  </si>
  <si>
    <t>IMPROVEMENT/REPAIR OF MULTI PURPOSE BUILDING</t>
  </si>
  <si>
    <t>Supply &amp; Delivery of I.T. Equipment (GOODS2020-8)</t>
  </si>
  <si>
    <t>Tarlac Provincial Jail Inmates Rice - B-G-2020-067</t>
  </si>
  <si>
    <t>PROCUREMENT OF THE SUPPLY AND DELIVERY OF 1 LOT I.T. SUPPLIES (TONERS FOR PRO V &amp; LHIO USE)</t>
  </si>
  <si>
    <t>Procurement for the Supply, Delivery &amp; Installation of One (1) Unit Earthquake Recording Instrumentation Equipment - REBID</t>
  </si>
  <si>
    <t>20EG0085-Repair/Maintenance of Mandaragat River Revetment 1 &amp; 2 K0002+(-275.00), Malvar Road, Puerto Princesa City</t>
  </si>
  <si>
    <t>Procurement for the Supply and Delivery of Educational School Supplies for Public Elementary School Students of the City of Koronadal - REBID</t>
  </si>
  <si>
    <t>Road Concreting (Sto. Niño, Hinatuan, SDS)</t>
  </si>
  <si>
    <t>COMPLETION OF MULTI-PURPOSE HALL @ BRGY. MANGAYANG</t>
  </si>
  <si>
    <t>CONSTRUCTION OF DRAINAGE  ( RUBBLE CONCRETE RIPRAP OPEN LINED CANAL ) AT LOPEZ SUBD., BRGY VI, VICTORIAS CITY</t>
  </si>
  <si>
    <t>20EG0084-Construction of Rainwater Collectors Morzon P/S, Culandanum NHS, Tina E/S, Bubusawin E/S, Santo Niño E/S, Aborlan, Kandes E/S, Maranat E/S, Bacungan Barangay Hall, Bacungan E/S, Salvacion Bar</t>
  </si>
  <si>
    <t>Procurement of Supply &amp; Delivery of Various Fertilizers</t>
  </si>
  <si>
    <t>Procurement of Housekeeping Supplies for use at Various Wards of the IPHO-TPH - B-G-2020-073</t>
  </si>
  <si>
    <t>INVITATION TO APPLY FOR ELIGIBILITY AND TO BID FOR CY2020 ELVAS SIP</t>
  </si>
  <si>
    <t>Procurement of Drugs and Medicines for use at the Eye Center of the IPHO-TPH - B-G-2020-072</t>
  </si>
  <si>
    <t>Completion of Provincial Road Gap @ Upper Ladol, Brgy. Assumption, City of Koronadal</t>
  </si>
  <si>
    <t>20EG0087-Repair /Maintenance of DPWH Building, Administrative Building, Brgy. Sta. Monica, Puerto Princesa City</t>
  </si>
  <si>
    <t>20EG0088-CP-01- Repair/Maintenance of DPWH Building DPWH Resthouse Sitio Tacduan, Brgy. Luzviminda and  Repair/Maintenance of DPWH Building DPWH Resthouse , Brgy. San Rafael , Puerto Princesa City</t>
  </si>
  <si>
    <t>Purchase and Delivery of One (1) Unit Emergency Rescue Vehicle 4 x 4 Manual</t>
  </si>
  <si>
    <t>Procurement for the Supply and Delivery of Materials for the Graveling of Road @ China Town (Satellite Market), Brgy. GPS (Lot 1) and Gravelling of Road going to Sanitary Land Fill (SLF), Brgy. Parais</t>
  </si>
  <si>
    <t>20EG0089-CP-02- Repair/Maintenance of PCOO Building DWMR Radio Pilipinas (Gov't. Radyo Station), Brgy. Sta. Monica, Repair/Maintenance of DA Building PRES- Integrated Offices, Brgy. Tiniguiban and Rep</t>
  </si>
  <si>
    <t>20EG0090-Construction of Multi-Purpose Building (Puerto Princesa Elementary School), Barangay Kalipay, Puerto Princesa City</t>
  </si>
  <si>
    <t>Procurement of Drugs and Medicines for use at the Pharmacy Section of the IPHO-TPH - B-G-2020-074</t>
  </si>
  <si>
    <t>20EG0086-Repair/Maintenance of DPWH Building, AES - Utility Building, Brgy. Sta. Monica, Puerto Princesa City</t>
  </si>
  <si>
    <t>INVITATION TO APPLY FOR ELIGIBILITY AND TO BID FOR CY2020 DUENGAS CIS</t>
  </si>
  <si>
    <t>Procurement of Lubricants for the operating/maintenance activities of the Provincial Equipment Pool Office - B-G-2020-075</t>
  </si>
  <si>
    <t>Procurement of Drugs and Medicines for use at the Pharmacy Section of the IPHO-TPH (Rebid) - B-G-2020-077</t>
  </si>
  <si>
    <t>Procurement of Parts, Materials and Labor Components for the Repair and Maintenance of Various Trucks and Heavy Equipment used at the Provincial Equipment Pool Office - B-G-2020-076</t>
  </si>
  <si>
    <t>Acquisition of One (1) unit dump truck (reconditioned) at Samal, Bataan</t>
  </si>
  <si>
    <t>Procurement of Construction of Slaughterhouse Phase -I</t>
  </si>
  <si>
    <t>Acquisition of Two (2) units mini dump truck (reconditioned) at Samal, Bataan</t>
  </si>
  <si>
    <t>Supply and Delivery of Various Information Technology Supplies</t>
  </si>
  <si>
    <t>Construction of Housing Units at Sta. Catalina Homes, Samal, Bataan</t>
  </si>
  <si>
    <t>Procurement of Supplies and Equipment for use at Tarlac Rehabilitation Center and Tarlac Drug Recovery Clinic (Rebid) - B-G-2020-079</t>
  </si>
  <si>
    <t>Construction of MRF Annex Building at Samal Ecological Park at San Juan, Samal, Bataan</t>
  </si>
  <si>
    <t>Acquisition of Two (2) Units 12 Seater Van (brand new) at Samal, Bataan</t>
  </si>
  <si>
    <t>Supply and delivery of Tires for Sinotruck</t>
  </si>
  <si>
    <t>Procurement of Laboratory Supplies for use at the Laboratory Section of the IPHO-TPH (Rebid) - B-G-2020-078</t>
  </si>
  <si>
    <t>Supply and delivery of Oil &amp; Lubricants, Heavy Equipments</t>
  </si>
  <si>
    <t>Acquisition of One (1) unit garbage compactor (reconditioned) at Samal Bataan</t>
  </si>
  <si>
    <t>Provision Security and Protection Services for BFAR RFO I for CY 2020</t>
  </si>
  <si>
    <t>Imrovement of Municipal Evacuation Center</t>
  </si>
  <si>
    <t>Repair/Upgrading/Improvement of Existing Facility of Dinapigue Community Hospital at Dinapigue, Isabela</t>
  </si>
  <si>
    <t>Supply and delivery of materials for the Improvement of Municipal Plaza</t>
  </si>
  <si>
    <t>Construction of Disaster Operation Center at Dinapigue, Isabela</t>
  </si>
  <si>
    <t>Construction/Expansion/Completion of Existing Facility of Ayod Barangay Health Station at Brgy. Ayod, Dinapigue, Isabela</t>
  </si>
  <si>
    <t>SUPPLY AND DELIVERY OF TONERS, IMAGING AND PHOTOCONDUCTOR KIT FOR MULTIFUNCTION (COPIER, SCANNER, PRINTER) MACHINE  AND LASER PRINTERS OF BIR-RR NO.9B LAQUEMAR, SAN PABLO CITY</t>
  </si>
  <si>
    <t>Supply and Delivery of Materials for Sea Urchin Cages</t>
  </si>
  <si>
    <t>Construction/Expansion/Completion of Existing Facility of Dimaluadi Barangay Health Station at Brgy. Dimaluadi, Dinapigue, Isabela</t>
  </si>
  <si>
    <t>Purchase of Heavy Equipment (Brand New) 1. Boom Truck (Hydraulic) at Dinapigue, Isabela</t>
  </si>
  <si>
    <t>Supply and Delivery of Construction Materials and Supplies for the Improvement of Mulanay Town Plaza Concrete Pavement and Installation of Movable Stage Plaza</t>
  </si>
  <si>
    <t>SUPPLY AND DELIVERY OF VARIOUS COMMUNICATION EQUIPMENT AND DIGITAL DISCUSSION SYSTEM</t>
  </si>
  <si>
    <t>SECONDARY INTERNET ACCESS SERVICE (IAS) FOR THE DEPARTMENT OF AGRICULTURE - OFFICE OF THE SECRETARY (DA-OSEC) AND OTHER INTERNET SERVICES</t>
  </si>
  <si>
    <t>Procurement of Solid Waste Management Equipment</t>
  </si>
  <si>
    <t>Expansion/Completion of Existing Facility of Dinapigue Municipal Center at Dinapigue, Isabela</t>
  </si>
  <si>
    <t>GOODS 2020-014 SUPPLY AND DELIVERY OF VARIOUS MEDICINES</t>
  </si>
  <si>
    <t>2 Units Utility Vehicle, Brand new (PR No. 300-2020-0002) -REBID</t>
  </si>
  <si>
    <t>20CB0064: Construction/Rehabilitation of Water Supply/Septage and Sewerage/Rain Water Collectors - Rainwater Collectors in Public Facilities, Bataan 2nd District</t>
  </si>
  <si>
    <t>NEGOTIATED PROCUREMENT  (Two Failed Bidding) SUPPLY AND DELIVERY OF 4,719 pcs. TUMBLER 500ML. POLYPROPYLENE PLASTIC WITH HANDLE &amp; BRANDED</t>
  </si>
  <si>
    <t>Industrial Ceiling Fan with Electrical Accessories and Installation (PR No. 100-2020-0720)</t>
  </si>
  <si>
    <t>SUPPLY AND DELIVERY OF VARIOUS I.T. EQUIPMENT</t>
  </si>
  <si>
    <t>20CB0063: Repair/Maintenance of Paniquian River Control (Maligaya Section) Mariveles, Bataan</t>
  </si>
  <si>
    <t>ONE (1) YEAR NETWORK FACILITY MAINTENANCE (UCM, VM HOST SERVER, ROUTER AND SWITCHES)</t>
  </si>
  <si>
    <t>RIPRAPPING OF BARANGAY ROAD @ BRGY. STO. TOMAS, MABINI, BATANGAS</t>
  </si>
  <si>
    <t>Procurement of Construction Materials for the Construction of Sanitary Latrine</t>
  </si>
  <si>
    <t>CONSTRUCTION OF 26 UNITS SANITARY LATRINE</t>
  </si>
  <si>
    <t>SUPPLY AND DELIVERY OF VARIOUS TIRES FOR CONSTRUCTION EQUIPMENT IN THE MUNICIPAL ENGINEERING OFFICE, LGU TULUNAN, COTABATO</t>
  </si>
  <si>
    <t>SUPPLY AND DELIVERY OF 3-SETS OF SCHOOL  SUPPLIES  FOR  YES TO CHILDREN ASSISTANCE PROGRAM - YCAP</t>
  </si>
  <si>
    <t>Concreting of Matampay to Taporug Local Access Road</t>
  </si>
  <si>
    <t>PROCUREMENT OF ONE (01) UNIT BRAND NEW AMBULANCE</t>
  </si>
  <si>
    <t>Supply and Delivery of Multifarious Hardware Materials</t>
  </si>
  <si>
    <t>Supply and delivery of Tires for Firetruck</t>
  </si>
  <si>
    <t>PROCUREMENT OF GENERAL MERCHANDISE ( UMBRELLA,  CAPS,  VARIOUS SCHOOL SUPPLIES &amp; SCHOOL BAGS ) FOR PRE-KINDER STUDENTS UNDER ECCD PROGRAM</t>
  </si>
  <si>
    <t>PBS 20-077 VIDEO CONFERENCING AND LIVESTREAMING EQUIPMENT UPGRADE</t>
  </si>
  <si>
    <t>SUPPLY, DELIVERY OF VARIOUS SPAREPARTS  AND LABOR  SERVICES FOR THE REPAIR AND MAINTENANCE OF THE ROAD ROLLER IN THE MUNICIPAL ENGINEERING NOFFICE, LGU TULUNAN, COTABATO</t>
  </si>
  <si>
    <t>PROCUREMENT OF ONE (01) UNIT BRAND NEW MOTOR VEHICLE</t>
  </si>
  <si>
    <t>Construction of Isolation Facility</t>
  </si>
  <si>
    <t>Supply and Delivery of Various Vegetable Seeds (Gulayan sa Bakuran-ECCD F1K)</t>
  </si>
  <si>
    <t>Construction of Community Activity Center (Re-Bid)</t>
  </si>
  <si>
    <t>Rehab. of Evacuation Center</t>
  </si>
  <si>
    <t>Supply and Delivery of Goods for the rehabilitation of Brgy. Stage</t>
  </si>
  <si>
    <t>Supply &amp; Delivery of Office &amp; Other Supplies</t>
  </si>
  <si>
    <t>20FE0122 – LP: LOCAL ROADS AND BRIDGES - LOCAL ROADS - CONSTRUCTION/ REPAIR/ REHABILITATION/ IMPROVEMENT OF VARIOUS INFRASTRUCTURE INCLUDING LOCAL PROJECTS - CONSTRUCTION OF TANAG ROAD, LIBMANAN, CAMA</t>
  </si>
  <si>
    <t>AMP SVP 20-06-0334: Chemical and Reagents</t>
  </si>
  <si>
    <t>20FE0123 – LP: LOCAL ROADS AND BRIDGES - LOCAL ROADS - CONSTRUCTION/ REPAIR/ REHABILITATION/ IMPROVEMENT OF VARIOUS INFRASTRUCTURE INCLUDING LOCAL PROJECTS - CONSTRUCTION OF TARUM -CANDAMI ROAD, LIBMA</t>
  </si>
  <si>
    <t>PROCUREMENT OF MODULAR ENZYME IMMUNO ASSAY (EIA) FOR TRANSFUSION TRANSMISSIBLE INFECTIONS (TTIS) WITH MACHINE TIE UP-RE-BID IB NO. 2020-150-A</t>
  </si>
  <si>
    <t>AMP SVP 20-06-0307A: Port Switch and Transceiver</t>
  </si>
  <si>
    <t>AMP SVP 20-06-0335: Size Standard for Sizing DNA Fragments</t>
  </si>
  <si>
    <t>PROCUREMENT OF TRANSFUSION TRANSMISSIBLE INFECTION (TTIS) REAGENTS WITH MACHINE TIE-UP  IB NO. 2020-214</t>
  </si>
  <si>
    <t>Delivery of Information Technology Parts &amp; Accessories</t>
  </si>
  <si>
    <t>Supply and Delivery of Goods Construction Material for Multi Purpose Building</t>
  </si>
  <si>
    <t>Construction of Night Market Concrete Canal</t>
  </si>
  <si>
    <t>PB-20-256, Supply &amp; Delivery of Tires for Heavy Equipment of Provincial Engineer’s Office, Amas, Kidapawan City</t>
  </si>
  <si>
    <t>PB-20-255, Supply &amp; Delivery of Inorganic Fertilizer for distribution to qualified farmers of District I, Province of Cotabato</t>
  </si>
  <si>
    <t>Security Services – Public Schools and Its Domain  (July – December 2020)</t>
  </si>
  <si>
    <t>Security Services – San Juan Medical Center  (July – December 2020)</t>
  </si>
  <si>
    <t>Construction Materials and supplies for rehab of Multi Purpose Building</t>
  </si>
  <si>
    <t>Security Services – Government Owned Properties of the City (San Juan National High School-Annex, La Verdad Property,F. Manalo and Mini Park) (July – December 2020)</t>
  </si>
  <si>
    <t>PB-20-291, Supply &amp; Installation of Airconditions for new hospital building of Mlang District Hospital, Mlang, Cotabato</t>
  </si>
  <si>
    <t>Procurement of Various Vegetable Seeds</t>
  </si>
  <si>
    <t>Security Services for PUP San Juan Campus  (July – December 2020)</t>
  </si>
  <si>
    <t>2490-20 Procurement of Materials for the Construction of HDPE Cage Frame and Circular Cage Frame</t>
  </si>
  <si>
    <t>Construction of Covered Court at Juan Morente Pilot School, Pinamalayan, Or. Mindoro</t>
  </si>
  <si>
    <t>Concreting of Road leading to Provincial Police Office and Cacawan HS at Brgy. Cacawan Pinamalayan Or. Mindoro</t>
  </si>
  <si>
    <t>Construction of 24/7 Oriental Mindoro Rescue Center</t>
  </si>
  <si>
    <t>Procurement of Nucleic Acid Amplification Testing Reagents under IB No. 2020-213</t>
  </si>
  <si>
    <t>construction of Evacuation Center at Sta. Maria, Naujan, Oriental Mindoro</t>
  </si>
  <si>
    <t>Concreting of Road Section at Brgy. Tagumpay, Dulangan I, Baco, Oriental Mindoro</t>
  </si>
  <si>
    <t>Supply and Delivery of 3,685 bottles Ionic Copper Concentrate Fungicide/Bactericide for distribution to CALABARZON Farmers under Rice Program CY 2020</t>
  </si>
  <si>
    <t>Rechanneling and Desilting of Miaje Creek at Brgy. Ipil, Bongabong, Oriental Mindoro</t>
  </si>
  <si>
    <t>Supply and Delivery of 2,877 Bags Vermicast for distribution to CALABARZON Farmers under Rice Program CY 2020</t>
  </si>
  <si>
    <t>Laundry Services for San Juan Medical Center  (July – December 2020)</t>
  </si>
  <si>
    <t>Installation of Box Culvert at the Boundary of Barangay Balingayan and Malamig, Calapan City, Or. Mindoro</t>
  </si>
  <si>
    <t>Janitorial Services – City Hall, Pinaglabanan Street  (July – December 2020)</t>
  </si>
  <si>
    <t>Repair/Rehabilitation of Drainage Canal at Casimiro St. Sitio Centro, Brgy. Poblacion II, Victoria, Or. Mindoro</t>
  </si>
  <si>
    <t>Construction of Multi-Purpose Hall at San Mariano, Roxas, Or. Mindoro</t>
  </si>
  <si>
    <t>Janitorial Services – San Juan Medical Center   (July – December 2020)</t>
  </si>
  <si>
    <t>Supply and Delivery of Agricultural Equipment's and facilities - Cassava Dryer (Support Services on National Corn Program/YRRP Re-bid)</t>
  </si>
  <si>
    <t>Repair/Rehabilitation of Bridge Approach at Brgy. Putican Cabulo, Baco, Oriental Mindoro</t>
  </si>
  <si>
    <t>Garbage Collection and Disposal – District 1&amp;2, Greenhills (July – December 2020)</t>
  </si>
  <si>
    <t>Supply, Delivery and Installation of INREMP-SSF No. 09-Upgrading of Coffee Processing Facility for BMMPC(2020-05-009)</t>
  </si>
  <si>
    <t>Construction of Road, Lucban, Quezon</t>
  </si>
  <si>
    <t>Construction of Multi-Purpose Building (2nd Floor) at Dao, Naujan, Or. Mindoro</t>
  </si>
  <si>
    <t>Construction of Multi-Purpose Building (2nd Floor) at San Pedro, Naujan, Or. Mindoro</t>
  </si>
  <si>
    <t>20FO0082 - Network Development Program - Construction of By-Pass and Diversion Roads - Palanas-Del Rosario Road, Jovellar, Albay</t>
  </si>
  <si>
    <t>Supply, Delivery and Installation of INREMP-SSF No. 08-Integrated Abaca Stripping Machine and Handloom Weaving for BPK-GUIHEAN(2020-05-008)</t>
  </si>
  <si>
    <t>Invitation to Bid for the Procurement of Materials for Improvement of activity Center and Registrar's Lobby</t>
  </si>
  <si>
    <t>20FO0085 - Rehabilitation/Improvement of Bacolod Flood Control Structure (Left Side Facing Downstream of Bacolod Bridge) in Libon, Albay</t>
  </si>
  <si>
    <t>Construction of Minsua Road, San Isidro, Mahinog, Camiguin</t>
  </si>
  <si>
    <t>Const. of River Control/Drainage System along CCR Maubog Bridge II, Mambajao Camiguin (Re-Bidding)</t>
  </si>
  <si>
    <t>20FO0084 - Rehabilitation/Improvement of Tandarora Flood Control Dike (Right Side) Guinobatan, Albay</t>
  </si>
  <si>
    <t>Invitation to Bid for the Procurement of Materials for Improvement of Fishpond and Food Production</t>
  </si>
  <si>
    <t>Concreting/Construction of Local Road- Barangay Kanlurang Domoit-Calumpang Road, Tayabas City-Quezon</t>
  </si>
  <si>
    <t>Construction of Multi-Purpose Building, Barangay Alupay, Sampaloc, Quezon</t>
  </si>
  <si>
    <t>REPAIR AND MAINTENANCE OF INFRASTRUCTURE ASSETS (Drainage Structure)</t>
  </si>
  <si>
    <t>20FO0083 - Rehabilitation/Improvement of Tandarora Flood Control Dike (Left Side) Guinobatan, Albay</t>
  </si>
  <si>
    <t>Invitation to Bid for the Procurement of I.T. Equipment and Supplies</t>
  </si>
  <si>
    <t>Invitation to Bid for the Procurement of Air- Conditioning Units</t>
  </si>
  <si>
    <t>Invitation to Bid for the Procurement of Security Surveillance and Detection Equipment</t>
  </si>
  <si>
    <t>Invitation to Bid for the Procurement of Office Furnitures</t>
  </si>
  <si>
    <t>Refurbishment/Upgrading of Old and Existing Buildings (FM &amp; Water Refilling Station)/</t>
  </si>
  <si>
    <t>Invitation to Bid for the Procurement of ELECTRICAL SUPPLIES, INSTRUMENT, SECURITY AND EMERGENCY DEVICES</t>
  </si>
  <si>
    <t>Refurbishment/Upgrading of Old and Existing Buildings (Hostel to be converted to Clinic Infirmary)</t>
  </si>
  <si>
    <t>Supply and Delivery of Various Materials Needed for the Rehabilitation/Improvement of Public Market</t>
  </si>
  <si>
    <t>Supply and Delivery of Various Materials Needed for the Improvement of SB Office</t>
  </si>
  <si>
    <t>Supply and Delivery of Various Materials Needed for the Construction of River Landing G.I Stairs with Railings”</t>
  </si>
  <si>
    <t>Construction of Thirteen (13) Units Rain Water Collection System (RWCS) on various locations within the Municipalities of Samar</t>
  </si>
  <si>
    <t>Procurement of One Unit Brand New 4.4C Mini Dump Truck not Availavle in DBM-PS</t>
  </si>
  <si>
    <t>SUPPLY AND DELIVERY OF FUEL FOR GOVERNMENT VEHICLES</t>
  </si>
  <si>
    <t>SUPPLY OF MATERIALS FOR THE CONSTRUCTION OF STAGE, BRGY. BATUG, DULAG LEYTE</t>
  </si>
  <si>
    <t>Supply and Delivery of Tires and Spare Parts Needed for the Maintenance of 4WD Tractor of Mun. Agriculture Office</t>
  </si>
  <si>
    <t>Supply and Delivery of Forest Trees Seedlings under Municipal Greening Program of MENRO - Laak, Davao De Oro</t>
  </si>
  <si>
    <t>Consulting Services for the Ex-Post Evaluation of the Angat Water Utilization and Adequate Improvement Project Phase II (AWUAIP II)</t>
  </si>
  <si>
    <t>100-2020-05-668 Supply and delivery of desktop computer and laptop computer</t>
  </si>
  <si>
    <t>SUPPLY AND DELIVERY OF WHEEL CHAIR ADULT FOR USE BY THE MUNICIPAL SOCIAL WELFARE AND DEVELOPMENT OFFICE LGU JAVIER, LEYTE ( For PWD's )</t>
  </si>
  <si>
    <t>SUPPLY OF CONSTRUCTION MATERIALS FOR THE CONSTRUCTION OF ELEVATED TANK W/ 6 TAP STAND, BRGY. BATUG, DULAG LEYTE</t>
  </si>
  <si>
    <t>CIVIL WORKS FOR THE PROJECT: ROAD CONCRETING AT KABINA, ZONE 1 (NEAR JOY BASS)</t>
  </si>
  <si>
    <t>Contract Labor and Materials for the Expansion of Potable Water System Level III - Brgy. Poblacion (Prk. 13), Laak, Davao De Oro</t>
  </si>
  <si>
    <t>Additional Disaster and Recovery (DR) Site Infrastructure for Non-SAP Systems</t>
  </si>
  <si>
    <t>20FN0086 Local Program and other structure – Multipurpose/Facilities – Local Construction (Completion) of Multi-Purpose Building, Barangay San Isidro Poblacion, Nabua, Camarines Sur</t>
  </si>
  <si>
    <t>Contract Labor and Materials for the Expansion of Potable Water System at Prk. 6, 7, 8 &amp; 9, Poblacion Laak, Davao De Oro</t>
  </si>
  <si>
    <t>20FN0084 Repair and Rehabilitation of Infrastructure Facilities and Other Related Activities Maintenance, Repair and Rehabilitation of Infrastructure Facilities Flood Control and Drainage Systems, Str</t>
  </si>
  <si>
    <t>Contract Labor and Materials for the Expansion of Potable Water System Level III at Prk. 4 &amp; 5, Poblacion Laak, Davao De Oro</t>
  </si>
  <si>
    <t>Lot No. 13 Repair of Classrooms at Don Bernardo Elementary School, TABANGO</t>
  </si>
  <si>
    <t>Lot No. 4 Repair of Classroom at Casiongan Elementary School, CALUBIAN and Rafaelita Cabanas Martinez National High School, CALUBIAN</t>
  </si>
  <si>
    <t>Lot No. 12 Repair of Classrooms at Sta. Fe Stand Alone Senior High School, SANTA FE</t>
  </si>
  <si>
    <t>Lot No. 11 Repair of Classrooms at Manaybanay National High School, PASTRANA and Macalpiay Elementary School, PASTRANA</t>
  </si>
  <si>
    <t>Lot No. 10 Repair of Classrooms at Palo National High School-Pawing Annex, PALO and San Joaquin National High School, PALO</t>
  </si>
  <si>
    <t>Lot No. 3 Repair of Classroom at Felix Caneja Lafuente National High School, CALUBIAN</t>
  </si>
  <si>
    <t>20FN0085 MOOE - Maintenance, Repair and Rehabilitation of Infrastructure Facilities and other Related Activities-Public Buildings Repair/Maintenance of DPWH Building, Waiting Shed and Installation of</t>
  </si>
  <si>
    <t>Lot No. 8 CONSTRUCTION OF SLOPE PROTECTION at Matag-ob Stand Alone Senior High School, MATAG-OB</t>
  </si>
  <si>
    <t>Lot No. 2 Repair of Classroom at Mariquita Cinco Memorial Elementary School, ALANGALANG and Mariano Salazar National High School, ALANGALANG</t>
  </si>
  <si>
    <t>Lot No. 14 Repair of Classrooms at Pastor Salazar National High School, TABANGO</t>
  </si>
  <si>
    <t>Lot No. 1 Repair of Classroom at Hubang Elementary School, Alangalang</t>
  </si>
  <si>
    <t>Lot No. 9 Repair of Classrooms San Fernando Elementary School, PALO</t>
  </si>
  <si>
    <t>Lot No. 5 Repair of Classroom at Sta. Mesa National High School, DAGAMI</t>
  </si>
  <si>
    <t>20FN0087 Construction/Rehabilitation of Water Supply/Septage and Sewerage /Rain Water Collectors - Rain Water Collectors in Public Facilities</t>
  </si>
  <si>
    <t>Lot No. 7 Repair of Classroom at Tongonan Elementary School, KANANGA</t>
  </si>
  <si>
    <t>Contract Labor and Materials for the Expansion of Potable Water System Level III at Brgy. Concepcion, Laak, Davao De Oro</t>
  </si>
  <si>
    <t>Lot No. 6 Repair of Classroom at Granja-Kalinawan National High School, JARO and Bienvenido Guillera Celebre National High School, JARO</t>
  </si>
  <si>
    <t>Contract Labor and Materials for the Expansion of Potable Water System Level III at Prk. 17 &amp; 18, Poblacion Laak, Davao De Oro</t>
  </si>
  <si>
    <t>Contract Labor and Materials for the Expansion of Potable Water System Level III at Brgy. El Katipunan, Laak, Davao De Oro</t>
  </si>
  <si>
    <t>DREDGING/DESILTATION OF ANGONO RIVER (SN-SV)</t>
  </si>
  <si>
    <t>20KB0154   Rehabilitation/Construction of Brgy. Hall, Brgy. Camp 1, Maramag, Bukidnon</t>
  </si>
  <si>
    <t>Augmentation, Installation and Deployment of Wireless/IP Security Cameras and Transmitters at Maasin City (CMO)</t>
  </si>
  <si>
    <t>Contract Labor and Materials for the Expansion of Potable water System Level III at Brgy. Kiokmay, Laak, Davao De Oro</t>
  </si>
  <si>
    <t>20KB0155   Concreting of Sugar Cane Farm-to Mill Road (FMR), P-1 Crossing Montalban to P-17 OADI, San Jose, Quezon, Bukidnon</t>
  </si>
  <si>
    <t>Contract Labor and Materials for the Expansion of Potable Water System Level III at Prk. 14, Poblacion Laak, Davao De Oro</t>
  </si>
  <si>
    <t>20KB0150   Construction of Covered Court, Brgy. Pinamula, Kibawe, Bukidnon</t>
  </si>
  <si>
    <t>Contract Labor and Materials for the Expansion of Potable Water System Level III at Prk. 15 &amp; 16, Poblacion Laak, Davao De Oro</t>
  </si>
  <si>
    <t>20KB0153   Construction of Multi-Purpose Building (Barangay Hall), Brgy. Pualas, Don Carlos, Bukidnon</t>
  </si>
  <si>
    <t>Concreting of 150 Ln.m. Barangay Road at Sitio Kapisakan, Brgy. Caidiocan</t>
  </si>
  <si>
    <t>20KB0152   Construction of Multi-Purpose Building (SK Building), Don Carlos, Bukidnon</t>
  </si>
  <si>
    <t>20KB0151   Construction of Covered Court, Brgy. New Visayas, Dangcagan, Bukidnon</t>
  </si>
  <si>
    <t>20KB0156   Concreting of Sugar Cane Farm-to Mill Road (FMR), Calao-calao, Don Carlos – Bershiba, Kitaotao, Bukidnon</t>
  </si>
  <si>
    <t>PURCHASE OF ICT EQUIPMENT FOR OFFICIAL USE OF DENR-CAR, PENRO MOUNTAIN PROVINCE</t>
  </si>
  <si>
    <t>PROCUREMENT AND DELIVERY OF MINI DUMP TRUCK</t>
  </si>
  <si>
    <t>Lot No. 15 Repair of Classrooms at San Roque ES, TOLOSA</t>
  </si>
  <si>
    <t>20GAE0006: Furnishing and Delivery of Materials for the Repair and Maintenance of Capitol Site Road, K0269+(-597) to K0269+065</t>
  </si>
  <si>
    <t>PROCUREMENT AND DELIVERY OF TWO (2) UNITS SEWER TRUCK</t>
  </si>
  <si>
    <t>20GJC0187 – 5 units Desktop Computer etc.</t>
  </si>
  <si>
    <t>Supply &amp; Delivery of Motor Vehicle - FB Body 4x2 with Aircon (Euro 4) - Brand New (CMO)</t>
  </si>
  <si>
    <t>IB-INFRA-2020-01A Construction of Various Infrastructure Projects and Building Maintenance (Repainting) Rebid</t>
  </si>
  <si>
    <t>VEHICLE PARTS AND ACCESSORIES</t>
  </si>
  <si>
    <t>FURNISHING AND DELIVERY OF ASSORTED VEGETABLE SEEDS PROVISION TO FARMERS AFFECTED BY COVID 19 PANDEMIC</t>
  </si>
  <si>
    <t>20KB0158   Rehabilitation/Reconstruction/Upgrading of Damaged Paved Roads – Secondary Roads along Maramag – Maradugao Rd – K1561+120-k1561+427  :	Base Camp, Maramag, Bukidnon</t>
  </si>
  <si>
    <t>CONSTRUCTION OF MULTI-PURPOSE HALL AT BRGY. NEW IBAJAY</t>
  </si>
  <si>
    <t>Supply &amp; Delivery of Motor Vehicles - Pick Up, 4x2 (CMO)</t>
  </si>
  <si>
    <t>20KB0157   Rehabilitation/Reconstruction/Upgrading of Damaged Paved Roads – Secondary Roads along Maramag – Maradugao Rd – K1560+361 – K1561+120  :	Base Camp, Maramag, Bukidnon</t>
  </si>
  <si>
    <t>CONSTRUCTION OF STONE MASONRY AT BRGY. CANABAY</t>
  </si>
  <si>
    <t>Rehabilitation of Public Market, Brgy. Poblacion, Magpet, Cotabato</t>
  </si>
  <si>
    <t>IMPROVEMENT OF CANAL LINING AT PUROK NAM NAMA @ PALABOTAN</t>
  </si>
  <si>
    <t>DREDGING/DESILTATION OF ANGONO RIVER (SI)</t>
  </si>
  <si>
    <t>Construction of Perimeter Fence-Brgy. Lekep-Butao, San Fabian, Pangasinan</t>
  </si>
  <si>
    <t>Concreting of Farm-to-Market Road from Brgy. Poponton-Brgy. Calugtogan Section in Dagami, Leyte, ABC PHP5,451,217.05</t>
  </si>
  <si>
    <t>Lot No. 16 Repair of Classrooms at Telegrafo Elementary School Annex,  TOLOSA and Telegrafo Elementary School, TOLOSA</t>
  </si>
  <si>
    <t>CONSTRUCTION OF EVACUATION CENTER PHASE II IN PAG-ASA ISLAND</t>
  </si>
  <si>
    <t>Construction of Multi-Purpose Bldg. in Brgy. Sto. Niño, Kananga, Leyte, ABC PHP4,985,649.41</t>
  </si>
  <si>
    <t>Proposed Road Concreting/Rehabilitation at Bato Bato St. Holiday Homes, Brgy. San Antonio</t>
  </si>
  <si>
    <t>PROCUREMENT OF MINI HYDRAULIC EXCAVATOR WITH DOZER-SECOND HAND USE FOR THE FARMERS ON THEIR FARMING ACTIVITIES AS PRECAUTIONARY MEASURES IN THE CASE OF FOOD SHORTAGE IN THE COMING MONTHS DUE TO COVID-</t>
  </si>
  <si>
    <t>UPGRADING/ IMPROVEMENT OF ROAD, PINOCOC</t>
  </si>
  <si>
    <t>Proposed Road Concreting/Rehabilitation at Main Road, Holiday Park, Brgy. San Antonio</t>
  </si>
  <si>
    <t>Proposed Road Concreting/Rehabilitation at San Jose St. (near Hall of Justice), Brgy. Pacita 1</t>
  </si>
  <si>
    <t>SUPPLY / DELIVERY OF IN-SITU WATER QUALITY MONITORING CABLES AND WATER QUALITY PARAMETER SENSOR FOR RESEARCH PROJECT</t>
  </si>
  <si>
    <t>Procurement of One (1) unit Motor Vehicle for Regional Office XII of the National Telecommunications Commission</t>
  </si>
  <si>
    <t>PROCUREMENT OF GOATS UPGRADED FOR GOAT DISPERSAL PROGRAM OF MAO</t>
  </si>
  <si>
    <t>Concreting of Road in Brgy. Tugbong, Kananga, Leyte, ABC PHP4,984,644.82</t>
  </si>
  <si>
    <t>B20200194 - VEHICLE PARTS AND MATERIALS FOR PEO-POOL USE</t>
  </si>
  <si>
    <t>B20200192 - MEDICAL SUPPLIES FOR DDNH-KAPALONG ZONE</t>
  </si>
  <si>
    <t>B20200195 - DIESEL AND GASOLINE FOR PEO-CARMEN</t>
  </si>
  <si>
    <t>B20200193 - AMBULANCE EQUIPMENT AND SUPPLIES FOR PEO USE</t>
  </si>
  <si>
    <t>B20200197 - RESCUE VEHICLE SERVE AS TRANSPORT PATIENT VEHICLE TO HOSPITAL</t>
  </si>
  <si>
    <t>B20200200 - LABORATORY SUPPLIES FOR PEEDO-BLOOD BANK CENTER</t>
  </si>
  <si>
    <t>B20200196 - EQUIPMENT RENTAL FOR PEO USE</t>
  </si>
  <si>
    <t>Supply and Delivery of 288 Unit 10Lbs. Fire Extinguisher MAP (Dry Chemical), 254 Unit Smoke Alarm (Photo electronic, Battery operated), 	and 29 Set 150mmØ Alarm Bell w/ Manual Call Point AC 220V w/con</t>
  </si>
  <si>
    <t>PROCUREMENT OF TWO (2) UNITS FOUR-WHEELED TRACTOR FOR RICE AND CORN PRODUCTION SUPPORT MACHINERIES (BOTH PADDY &amp; DRY LAND)</t>
  </si>
  <si>
    <t>B20200202 - CEMENT PORTLAND FOR FABRICATION OF RCPC AND CHB FOR 2ND QTR.</t>
  </si>
  <si>
    <t>Road Concreting located at Existing PCCP of Julio Mapa-Lanotan Ledesma-Dos Hermanas to Hacienda Pilar, Barangay Katilingban</t>
  </si>
  <si>
    <t>Road Concreting located at Purok Talong Barangay Dos Hermanas</t>
  </si>
  <si>
    <t>Construction of Suspension Support and Crossover Pipeline along Calogcog Bridge in Tanauan, Leyte, ABC PHP4,692,110.80</t>
  </si>
  <si>
    <t>CONSTRUCTION OF DRMM MULTI-PURPOSE HALL (TENEGUIBAN, SAN FERNANDO, MABINI HIGH SCHOOL)</t>
  </si>
  <si>
    <t>AMP SVP 20-05-0264A: Culture Optimization Materials</t>
  </si>
  <si>
    <t>CONSTRUCTION/IMPROVEMENT OF DUMLAO ROAD @ PRK. KABARUAN, PALABOTAN</t>
  </si>
  <si>
    <t>20HC0177- REPAIR/MAINTENANCE OF KINAN-OAN REVETMENT, BRGY. CABIGUHAN, TRINIDAD, BOHOL STA.00+000- STA.00+075 (UPSTREAM RIGHTSIDE)</t>
  </si>
  <si>
    <t>20GHC0001- MATERIALS FOR USE IN THE REPAIR/MAINTENANCE OF DPWH MOTORPOOL BUILDING, BOHOL II DEO, UBAY, BOHOL</t>
  </si>
  <si>
    <t>Agricultural Assistance - Luna</t>
  </si>
  <si>
    <t>THE SUPPLY AND DELIVERY OF ONE (1) UNIT ASIAN UTILITY VEHICLE (AUV)</t>
  </si>
  <si>
    <t>Construction of Multi-Purpose Bldg. (Phase 2) at Geronimo Zaldivar Memorial School of Fisheries in Albuera, Leyte, ABC 3,440,351.27</t>
  </si>
  <si>
    <t>Construction of Multi-Purpose Bldg. (Phase 2) in Brgy. Sabang, Palompon, Leyte, ABC PHP3,819,008.84</t>
  </si>
  <si>
    <t>Construction of Multi-Purpose Bldg. (Phase 2) in Brgy. Plaridel, Dagami, Leyte, ABC PHP3,185,180.26</t>
  </si>
  <si>
    <t>Procurement of Hardware Supplies PR # 2020-05-14-160</t>
  </si>
  <si>
    <t>Concreting of Farm to Market Road with Slope Protection at Sitio Caniogan, Brgy. Imelda</t>
  </si>
  <si>
    <t>Construction of Multi-Purpose Bldg. (Phase 2) in Brgy. Sta. Rosa, Barugo, Leyte, ABC PHP3,496,830.44</t>
  </si>
  <si>
    <t>Procurement for the Supply, Delivery and Installation of Online Content Subscription for Engineering, Technology and Science Courses</t>
  </si>
  <si>
    <t>CONSTRUCTION OF SLOPE PROTECTION DIKE @ BRGY. BANILA</t>
  </si>
  <si>
    <t>ROAD CONCRETING AT SABANAL COMPOUND, ZONE 1</t>
  </si>
  <si>
    <t>Construction of Multi-Purpose Bldg. (Phase 2) in Brgy. Capilla, Pastrana, Leyte, ABC PHP3,175,125.94</t>
  </si>
  <si>
    <t>20FL0082-Repair and Maintenance of Road Safety Facilities Sorsogon 2nd Congressional District</t>
  </si>
  <si>
    <t>Supply and Delivery of Assorted Farm and Garden Tools for the establishment of Barangay Level Vegetable Technology Demonstration Farm/YRRP ESSETS Re-bid</t>
  </si>
  <si>
    <t>Construction of Multi-Purpose Bldg. (Phase 2) in Brgy. Guindag-an, Tanauan, Leyte, ABC PHP2,962,997.64</t>
  </si>
  <si>
    <t>RIPRAPPING AND CANAL LINING AT BRGY. KIMBUTAN</t>
  </si>
  <si>
    <t>RIPRAPPING AT BRGY. KINABUAN</t>
  </si>
  <si>
    <t>20GH0127 - Repair/Improvement of DPWH Building Access Road Leading to Motorpool Iloilo 3rd District Engineering Office, Barotac Viejo, Iloilo</t>
  </si>
  <si>
    <t>NETBOOK</t>
  </si>
  <si>
    <t>20GHC0002- MATERIALS FOR USE IN THE REPAIR/MAINTENANCE OF DPWH BUILDING QUALITY ASSURANCE OFFICE &amp; LABORATORY BOHOL II DISTRICT ENGINEERING OFFICE BOOD, UBAY, BOHOL</t>
  </si>
  <si>
    <t>CIVIL WORKS FOR THE PROJECT: ROAD CONCRETING AT STA. FE STREET, ZONE 6</t>
  </si>
  <si>
    <t>Construction of Multi-Purpose Bldg. (Phase 1) in Brgy. Consolacion, Isabel, Leyte, ABC PHP2,477,190.86</t>
  </si>
  <si>
    <t>Construction of Multi-Purpose Bldg. (Phase 2) in Brgy. Manaybanay, Pastrana, Leyte, ABC PHP2,990,770.05</t>
  </si>
  <si>
    <t>AMP SVP 20-05-0075B: Laboratory/Microbiological Media (Nuclease-free Water, DNA Extraction Kit, etc.)</t>
  </si>
  <si>
    <t>Construction of Multi-Purpose Bldg. (Phase 2) in Brgy. Malobago, Jaro, Leyte, ABC PHP2,885,521.41</t>
  </si>
  <si>
    <t>20MA0073-Repair/Rehabilitation/Improvement of Multi-Purpose Building (Headquarters  Building, Camp Bgen Salipada K Pendatun), Parang, Maguindanao</t>
  </si>
  <si>
    <t>20MA0084-Construction of Multi-Purpose Building, Brgy. Adaon, Datu Anggal  Midtimbang, Maguindanao</t>
  </si>
  <si>
    <t>Construction of Multi-Purpose Bldg. (Phase 1) in Brgy. Hinapolon, Alangalang, Leyte, ABC PHP2,546,532.75</t>
  </si>
  <si>
    <t>Repainting of Edgeline and Centerline along Paco-Roxas-Arakan Valley Rd. (Pres.Roxas section;Greenhills section;Doroluman Section;Arakan Section),k1638+000-k1639+000;k1641+000-k1642+000;k1644+000-k164</t>
  </si>
  <si>
    <t>CONCRETING OF BARANGAY ROAD IN NAGPALANGAN</t>
  </si>
  <si>
    <t>Procurement of Laptop &amp; Desktop (Set)  Computers</t>
  </si>
  <si>
    <t>Construction of Multi-Purpose Bldg. (Phase 2) in brgy. Naulayan, Matag-ob, Leyte, ABC PHP3,166,558.52</t>
  </si>
  <si>
    <t>Repair/Installation of Guardrail along Paco-Roxas-Arakan Valley Road (Greenhills Section-Doroluman Section) k1643+200-k1672+000 (selected portion)</t>
  </si>
  <si>
    <t>Construction of Multi-Purpose (Phase 2) in Brgy. San Miguel, Dulag, Leyte, ABC PHP2,506,258.14</t>
  </si>
  <si>
    <t>Construction of Multi-Purpose Hall. (Phase 2) in Brgy. Cabaohan, Pastrana, Leyte, ABC PHP2,407,678.51</t>
  </si>
  <si>
    <t>20MA0101-Concreting of Access Road from Junction of Kalanganan Mother to the West Circumferential, Cotabato City</t>
  </si>
  <si>
    <t>Asset Preservation Program; Preventive Maintenance – Primary Roads; Manila North Road – K0083+605 – K0083+828, K0083+888 – K0084+679, K0085+428 – K0085+684, Angeles City, Pampanga</t>
  </si>
  <si>
    <t>INVITATION TO BID FOR THE  PROJECT: SUPPLY AND DELIVERY OF DERMATOLOGY EQUIPMENTS AND ACCESSORIES ITB NO. 2020-05-008</t>
  </si>
  <si>
    <t>Delivery/Provision of Complete Security Services 24/7 at DPWH-Cotabato 2nd DEO, Lanao, Kidapawan City Two (2) shifts with 5 Guards/shift, for the Month of July 1, 2020 – December 31, 2020</t>
  </si>
  <si>
    <t>Concreting of Road in Brgy. Cabadsan, Alangalang, Leyte, ABC PHP2,307,051.36</t>
  </si>
  <si>
    <t>20NF0069:REPAIR/MAINTENANCE OF DPWH BUILDING STAFF HOUSE &amp; ADMINISTRATIVE BUILDINGS  SURIGAO DEL NORTE I DISTRICT ENGINEERING OFFICE</t>
  </si>
  <si>
    <t>Procurement of Non-Regulated Drugs (Electrolyte/Vaccines) For ZDSMC Pharmacy Stocking/Sale Purposes</t>
  </si>
  <si>
    <t>Construction of Multi-Purpose Bldg. (Phase 1) in Brgy. Ikiran, Alangalang, Leyte, ABC PHP2,369,703.54</t>
  </si>
  <si>
    <t>20MA0114-Construction of Multi-Purpose Building, (Public Terminal) Guindulungan, Maguindanao</t>
  </si>
  <si>
    <t>Construction of Double Barrel Box Culvert in Pagatpat, Calubian,Leyte, ABC PHP2,374,493.61</t>
  </si>
  <si>
    <t>20MA0112-Construction/Rehabilitation of the Provincial Tourism Office/ Multi-Purpose  Building, Old Maguindanao Capitol Site, Shariff Aguak, Maguindanao</t>
  </si>
  <si>
    <t>Materials for Backfilling</t>
  </si>
  <si>
    <t>20NF0070:REPAIR/MAINTENANCE OF RECTANGULAR DRAINAGE DEL PILAR ST., BRGY. PAMOSAINGAN, SOCORRO, SURIGAO DEL NORTE</t>
  </si>
  <si>
    <t>20MA0120-Construction of Multi-Purpose Building, (School Building), Pilot Elementary  School, Brgy. Poblacion, Buluan, Maguindanao</t>
  </si>
  <si>
    <t>Local Program; Local Infrastructure Program; Local Roads and Bridges; Local Roads; Construction of Cutcut Flyover, Cutcut, Angeles City</t>
  </si>
  <si>
    <t>20NF0072:REPAIR/MAINTENANCE OF RECTANGULAR DRAINAGE GENERAL LUNA, SURIGAO DEL NORTE</t>
  </si>
  <si>
    <t>SUPPLY &amp; DELIVERY OF OTHER EQUIPMENTS, DEVICES, TOOLS, FURNITURE &amp; FIXTURES, BOOKS AND OTHER PPE FOR FY2020</t>
  </si>
  <si>
    <t>Local Infrastructure Program; Building and Other Structures; Multi-Purpose/ Facilities, Construction of Multi-Purpose Building, Brgy. Dau, Mabalacat City, Pampanga</t>
  </si>
  <si>
    <t>Construction of Multi-Purpose Bldg. (Phase 1) in Brgy. Binolho, Albuera, Leyte, ABC PHP2,069,994.64</t>
  </si>
  <si>
    <t>Concrering of pathway area 7</t>
  </si>
  <si>
    <t>20MA0104-Construction/Concreting of Narra-Katidtuan Road, Brgy, Narra, Sultan Kudarat, Maguindanao</t>
  </si>
  <si>
    <t>Construction of Multi-Purpose Bldg. (Phase 2) in Brgy. Jabong, Tabontabon, Leyte, ABC PHP2,100,465.95</t>
  </si>
  <si>
    <t>PROCUREMENT OF LABOR, MATERIALS &amp; EQUIPMENT FOR THE PROPOSED CONSTRUCTION OF ORGANIC FERTILIZER WAREHOUSE</t>
  </si>
  <si>
    <t>Concreting of Road in Brgy. Tolibao, Capoocan, Leyte, ABC PHP2,007,580.00</t>
  </si>
  <si>
    <t>Construction of a 2-Classroom School Building at Don Bernardo Alvarez Elem. School in Brgy. Poblacion, Tabango, Leyte, ABC PHP2,092,236.35</t>
  </si>
  <si>
    <t>Construction of Dapon Bridge at Buenavista, Claveria, Cagayan.</t>
  </si>
  <si>
    <t>INVITATION TO BID FOR THE  PROJECT: SUPPLY AND DELIVERY OF OBSTETRICS/GYNECOLOGY EQUIPMENTS AND ACCESSORIES ITB NO. 2020-05-009</t>
  </si>
  <si>
    <t>20MA0130-Cluster “A” : Construction of Rainwater Collection System (RWCS)  1.) Barangay Day Care Center, Barangay Poblacion 1, 2.) Barangay Hall, Barangay Poblacion VII, 3.) Barangay Hall, Barangay Po</t>
  </si>
  <si>
    <t>Construction of Lunch Center at Brgy. Guintananan, Dumingag, Zamboanga del Sur</t>
  </si>
  <si>
    <t>PURCHASE OF SPORTS UTILITY VEHICLES (SUV) FOR USE IN THE OFFICE OF SANGGUNIANG PANLALAWIGAN</t>
  </si>
  <si>
    <t>Construction of Multi-Purpose Bldg. (Phase 1) in Brgy. Poblacion, Albuera, Leyte, ABC PHP2,068,995.54</t>
  </si>
  <si>
    <t>Construction of a 2-Storey Health Center Bldg. in Brgy. Guinsangaan, Inopacan, Leyte, ABC PHP1,902,417.30</t>
  </si>
  <si>
    <t>20NF0071: REPAIR/MAINTENANCE OF RECTANGULAR DRAINAGE BRGY. PAMOSAINGAN, SOCORRO, SURIGAO DEL NORTE</t>
  </si>
  <si>
    <t>Construction of Multi-Purpose Bldg. (Phase 1) in Brgy. Puting Bato, Leyte, ABC PHP2,220,898.67</t>
  </si>
  <si>
    <t>20MA0121-Opening Road, Brgy. Poblacion, Buluan, Maguindanao</t>
  </si>
  <si>
    <t>PROCUREMENT OF PATIENT TRANSPORT VEHICLE CDRRMO, MALAYBALAY CITY.</t>
  </si>
  <si>
    <t>Construction of Multi-Purpose Bldg. (Phase 1) in Brgy. Barayong, Carigara, Leyte, ABC PHP2,297,927.90</t>
  </si>
  <si>
    <t>Construction of Multi-Purpose Bldg. in Brgy. San Vicente, Alangalang, Leyte, ABC PHP1,839,546.67</t>
  </si>
  <si>
    <t>Supply &amp; Delivery of Vehicle Parts &amp; Materials for repair &amp; maintenance of Garbage Truck (CGSO).</t>
  </si>
  <si>
    <t>Construction of a 1-Classroom School Building at Paril Elem. School in Mahaplag, Leyte, ABC PHP1,274,987.15</t>
  </si>
  <si>
    <t>Construction of Lunch Center at Brgy. Labangon, Dumingag, Zamboanga del Sur</t>
  </si>
  <si>
    <t>Supply and Delivery of Fertilizers in support to the Corn and Corn-Based Farming System/YRRP (Re-bid)</t>
  </si>
  <si>
    <t>Concreting of Road Pathway in Sitio Caduldolan, Brgy. Hacienda, Maria, San Isidro, Leyte, ABC PHP1,086,392.71</t>
  </si>
  <si>
    <t>Installation of Solar Street Lights in Brgy. Naghalin, Kananga, Leyte, ABC PHP1,705,055.37</t>
  </si>
  <si>
    <t>20KA0136 Paving of Unpaved Roads with Construction of Road Slope Protection Structure along Kapalong-Talaingod-Valencia (Bukidnon) Rd (S00641MN) -  K1582 + 587 - K1582 + 734 (Package 1 - K1582 + 680 -</t>
  </si>
  <si>
    <t>20KA0141 Paving of Unpaved Roads with Construction of Road Slope Protection Structure along Jct SH Aglayan-Zamboanguita Rd (S00631MN) - K1569 + 187 - K1570 + 092 (Package 2 - K1569 + 607 - K1570 + 092</t>
  </si>
  <si>
    <t>20KA0135 Road Widening along Jct SH Aglayan-Zamboanguita Rd (S00631MN) - K1523 + 850 - K1525 + 500 (Package 1 - K1523 + 850 - K1525 + 340) Malaybalay City, Bukidnon</t>
  </si>
  <si>
    <t>Construction of Lunch Center at Sitio Sumibang, Brgy. Labangon, Dumingag, Zamboanga del Sur</t>
  </si>
  <si>
    <t>20DP0071 : Repair/Maintenance of Drainage along San Pablo-Dolores Road, K0087 + (-160) – K0087 + 280 (LS)</t>
  </si>
  <si>
    <t>Construction of Multi-Purpose Bldg. (Phase 2) in Brgy. Parag-um, Carigara, Leyte, ABC PHP1,059,538.62</t>
  </si>
  <si>
    <t>20GAE0008: Supply, Delivery and Installation of Design Software for use in the Pre-Detailed Engineering (PDE) Activities of Personnel under Planning and Design Section, DPWH-LU 1st DEO, Lingsat, City</t>
  </si>
  <si>
    <t>20KA0139 Road Widening along Jct SH Aglayan-Zamboanguita Rd (S00631MN) - K1523 + 850 - K1525 + 500 (Package 2 - K1525 + 340 - K1525 + 500) Malaybalay City, Bukidnon</t>
  </si>
  <si>
    <t>20KA0138 Construction of Multi Purpose Building - Construction of Multi-Purpose  Building, Brgy. Iba, Cabanglasan, Bukidnon (Phase I) Cabanglasan, Bukidnon</t>
  </si>
  <si>
    <t>Construction of a 1-Classroom School Building at Tagaytay Elem. School in Mahaplag, Leyte, ABC PHP1,239,054.84</t>
  </si>
  <si>
    <t>Installation of Solar Street Lights in Brgy. Abaca, Dagami, Leyte, ABC PHP1,095,925.43</t>
  </si>
  <si>
    <t>20KA0140 Paving of Unpaved Roads with Construction of Road Slope Protection Structure along Kapalong-Talaingod-Valencia (Bukidnon) Rd (S00641MN) -  K1582 + 587 - K1582 + 734 (Package 2 - K1582 + 587 -</t>
  </si>
  <si>
    <t>Construction of Pergola at Pawing Central School in Pawing, Palo, Leyte, ABC PHP1,078,397.95</t>
  </si>
  <si>
    <t>20KA0137 Paving of Unpaved Roads with Construction of Road Slope Protection Structure along Jct SH Aglayan-Zamboanguita Rd (S00631MN) - K1569 + 187 - K1570 + 092 (Package 1 - K1569 + 187 - K1569 + 607</t>
  </si>
  <si>
    <t>Construction of Canalization and Canal Structures for Sapah Bulak CIS (2nd call), Sumisip, Basilan Province</t>
  </si>
  <si>
    <t>20NF0073:REPAIR/REHABILITATION/IMPROVEMENT OF CONCRETE SLOPE PROTECTION AT JCT. DEL CARMEN-STA. MONICA-SAN ISIDRO ROAD</t>
  </si>
  <si>
    <t>COMPLETION OF MULTI-PURPOSE BUILDING AT BINMALEY CENTRAL SCHOOL</t>
  </si>
  <si>
    <t>20NF0075:REPAIR/MAINTENANCE OF DPWH BUILDING FIELD OFFICE BUILDING SURIGAO DEL NORTE 1 DISTRICT ENGINEERING  OFFICE SOCORRO, SURIGAO DEL NORTE</t>
  </si>
  <si>
    <t>20NF0074: REPAIR/MAINTENANCE OF DILG BUILDING BUREAU OF  FIRE PROTECTION BUILDING-GEN. LUNA FIRE STATION</t>
  </si>
  <si>
    <t>20PA0125 : CONCRETING OF BARANGAY BUNEG FMR, BARANGAY BUNEG, LACUB, ABRA, Barangay Buneg, Lacub, Abra</t>
  </si>
  <si>
    <t>Construction of Provincial Budget Office and Provincial Accountant's Office Bodega Extension at Capitol Compound, Malaybalay City</t>
  </si>
  <si>
    <t>20PA0124 :  CONCRETING OF SITIO MINUWA BARANGAY POBLACION FMR, Barangay Poblacion Licuan-Baay, Abra</t>
  </si>
  <si>
    <t>Repair/Rehabilitation of Slaughter House, Brgy. Bangac, Mina, Iloilo.</t>
  </si>
  <si>
    <t>Procurement of Various Medical Equipment ITB#2020-12(2)</t>
  </si>
  <si>
    <t>20NF0076: REPAIR/MAINTENANCE OF DPWH BUILDING VARIOUS OFFICES/BUILDING FINANCE AND MANAGEMENT OFFICE</t>
  </si>
  <si>
    <t>Supply and Delivery of Construction Materials for the Municipal Eco-Park Development</t>
  </si>
  <si>
    <t>20PA0123 : CONVERGENCE AND SPECIAL SUPPORT PROGRAM-CONSTRUCTION/IMPROVEMENT OF ACCESS ROADS LEADING TO DECLARED TOURISM DESTINATIONS, QUIRSODAN-BAQUERO TO PANACLISAN RIVER AND ROCK FORMATION, Licuan-B</t>
  </si>
  <si>
    <t>Procurement of Various Medical Equipment ITB#2020-12(1)</t>
  </si>
  <si>
    <t>Supply and Delivery of Materials for Water Source Development of Sugbongcogon Water System</t>
  </si>
  <si>
    <t>Procurement of Utility Vehicle</t>
  </si>
  <si>
    <t>Procurement of Various Drugs and Medicines ITB#2020-13 (RE-BIDDING)</t>
  </si>
  <si>
    <t>Procurement of Heavy Equipment - Wheel Loader and Crawler type Hydraulic Excavator - MEO</t>
  </si>
  <si>
    <t>Medical Supplies (Rebid)</t>
  </si>
  <si>
    <t>Computer Inks and Supplies</t>
  </si>
  <si>
    <t>Provision of Comprehensive Maintenance and Preventive Repair Services for the Network and Security Equipment for FY 2020 (Rebidding)</t>
  </si>
  <si>
    <t>Repair/Improvement of Multi-Purpose Hall, P1  @ Brgy. Buhatan, East District, Sorsogon City</t>
  </si>
  <si>
    <t>Drugs and Medicines (Rebid)</t>
  </si>
  <si>
    <t>Construction of Cabugnayan Dike, San Juan</t>
  </si>
  <si>
    <t>Concreting of Brgy. Caglayan to Brgy. Macatel FMR, Brgy. Caglayan and Brgy. Macatel, Conner, Apayao</t>
  </si>
  <si>
    <t>Construction of  Farmers Multi-Purpose Center, Las-ud, Caba</t>
  </si>
  <si>
    <t>Construction of Farmers Multi-Purpose Center, Santiago Sur, Caba</t>
  </si>
  <si>
    <t>Network Development-Paving of Unpaved Roads- Tertiary Roads Apayao-Ilocos Norte Rd K0636+831 - K0638+831</t>
  </si>
  <si>
    <t>Supply, Delivery and Installation of INREMP-SSF No. 01-Cacao All-Weather Solar Tunnel Dryer w/ Fermentation Boxes (CAWSTD) for the Alliance of Integrated Farmers in San Isidro Inc.(AIFSI)(2020-05-001)</t>
  </si>
  <si>
    <t>Supply and Delivery of Security Services - Lot A</t>
  </si>
  <si>
    <t>Procurement of School Armchairs for Marawi Rehabilitation Program</t>
  </si>
  <si>
    <t>Rehabilitation of Parian Farm to Market Road, San Fernando City</t>
  </si>
  <si>
    <t>Construction of Multi-Purpose Environment Protection Building for Socio-Economic and Health Enhancement Activity</t>
  </si>
  <si>
    <t>Supply, Delivery and Installation of INREMP-SSF No. 02-Cacao All-Weather Solar Tunnel Dryer w/ Fermentation Boxes (CAWSTD) for Basyawon-Kisolop Small Upland Farmers Association, Inc.(BKSUFA)(2020-05-0</t>
  </si>
  <si>
    <t>Supply, Delivery and Installation of INREMP-SSF No. 07-Establishment of Coffee Post harvest Facility for Portulin Talaandig Tribal Association, Inc. (PTTAI) (2020-05-007)</t>
  </si>
  <si>
    <t>Supply, Delivery and Installation of INREMP-SSF No. 04-Establishment of Solar Dryers for Kauswagan Utah San Vicente Sinasaan Farmers Association (KUSSFARMA)(2020-05-004)</t>
  </si>
  <si>
    <t>Construction of Sanitary Landfill Cell, Sto. Tomas</t>
  </si>
  <si>
    <t>Procurement for Security Services for the period covered July 1, 2020 to Dec. 31, 2020</t>
  </si>
  <si>
    <t>Acquisition of Materials for Completion of Sanitary Chamber Building (Landfill)</t>
  </si>
  <si>
    <t>Acquisition of Materials for Completion of Two Barangay Health Station</t>
  </si>
  <si>
    <t>Completion of Catbangen Central School Covered Court, San Fernando City</t>
  </si>
  <si>
    <t>Supply, Delivery and Installation of INREMP-SSF No. 06-Provision of Coffee All-Weather Solar Dryer with built in Dehumidifiers and Moisture Meter for the MILALITTRA Farmers’s Agriculture Association (</t>
  </si>
  <si>
    <t>Acquisition of 1 Unit Light Cargo Truck for MDRRM Office</t>
  </si>
  <si>
    <t>Supply and Delivery of Security Services - Lot B</t>
  </si>
  <si>
    <t>Supply, Delivery and Installation of INREMP-SSF No. 05-Establishment of Post-Harvest Facility for New Eden Cooperative(2020-05-005)</t>
  </si>
  <si>
    <t>INSTALLATION OF STREET LIGHTING SYSTEM</t>
  </si>
  <si>
    <t>Acquisition of 1 Unit Backhoe</t>
  </si>
  <si>
    <t>Supply, Delivery and Installation of INREMP-SSF No. 03-Cacao All-Weather Solar Tunnel Dryer w/ Fermentation Boxes (CAWSTD) for Buyot Upland Farmers Association, Inc.(BUFA)(2020-05-003)</t>
  </si>
  <si>
    <t>SUPPLY AND INSTALLATION OF RRCY STRUCTURED CABLING FOR CCTV, WIFI AND TELEPHONE SYSTEM</t>
  </si>
  <si>
    <t>Acquisition of Materials for Construction of Hazard Hazardous/Infectious Waste</t>
  </si>
  <si>
    <t>Acquisition of 1 Unit Mini Dump Truck</t>
  </si>
  <si>
    <t>Purchase of Construction Materials for the Improvement/Repainting the Tourist Inn, Foot Bridge, Cottages at Lourdes, Poblacion, Binuangan, Misamis Oriental</t>
  </si>
  <si>
    <t>SUPPLY AND INSTALLATION OF HFG STRUCTURED CABLING FOR CCTV, WIFI AND TELEPHONE SYSTEM</t>
  </si>
  <si>
    <t>EXPANSION OF ABORLAN WATER SYSTEM LEVEL III AT BGY. MABINI. APOC APOC &amp; MAGSAYSAY</t>
  </si>
  <si>
    <t>20DD0277 Local Program, Construction/ Repair/ Rehabilitation/ Improvement of Various Infrastructure Including Local Projects, Buildings and Other Structures, Multipurpose/ Facilities, Construction of</t>
  </si>
  <si>
    <t>20DD0282 Local Program, Local Infrastructure Program, Buildings and Other Structures, Multipurpose/ Facilities, Construction of Multi- Purpose Building (Land Transportation Office), Lipa City, Batanga</t>
  </si>
  <si>
    <t>20DD0278 Local Program, Construction/ Repair/ Rehabilitation/ Improvement of Various Infrastructure Including Local Projects, Buildings and Other Structures, Multipurpose/ Facilities, Construction of</t>
  </si>
  <si>
    <t>20DD0291 Local Program, Local Infrastructure Program, Flood Control and Drainage, Drainage/ Protection Works, Improvement of Drainage System, Brgy. Poblacion, San Juan, Batangas</t>
  </si>
  <si>
    <t>20DD0290 Repair/ Maintenance of Flood Control and Drainage Structure at Laiya Bridge, San Juan, Batangas</t>
  </si>
  <si>
    <t>20DD0279 Local Program, Local Infrastructure Program, Buildings and Other Structures, Multipurpose/ Facilities, Rehabilitation/ Improvement of Multi-Purpose Building, Brgy. Inosluban, Lipa City, Batan</t>
  </si>
  <si>
    <t>20DD0280 Local Program, Construction/ Repair/ Rehabilitation/ Improvement of Various Infrastructure Including Local Projects, Buildings and Other Structures, Multipurpose/ Facilities, Construction of</t>
  </si>
  <si>
    <t>20DD0288 Local Program, Local Infrastructure Program, Buildings and Other Structures, Multipurpose/ Facilities, Construction/ Improvement of Multi- Purpose Building, Brgy. Sto. Nino, Taysan, Batangas</t>
  </si>
  <si>
    <t>20DD0289 Local Program, Local Infrastructure Program, Water Management Facilities, Water Supply, Construction of Water System at San Isidro Elementary School at Brgy. San Isidro, Lipa City, Batangas</t>
  </si>
  <si>
    <t>Purchase of two (2) units of motorcycle for patrol operations at Bauan, Batangas</t>
  </si>
  <si>
    <t>PARTIAL COMPLETION OF MULTI-PURPOSE BUILDING (BRGY. OLO)</t>
  </si>
  <si>
    <t>20DD0287 Local Program, Construction/ Repair/ Rehabilitation/ Improvement of Various Infrastructure Including Local Projects, Buildings and Other Structures, Multipurpose/ Facilities, Rehabilitation o</t>
  </si>
  <si>
    <t>20DD0286 Local Program, Local Infrastructure Program, Buildings and Other Structures, Multipurpose/ Facilities, Construction/ Improvement of Multi- Purpose Building, Brgy. Poblacion I, Poblacion III a</t>
  </si>
  <si>
    <t>20DD0281 Local Program, Construction/ Repair/ Rehabilitation/ Improvement of Various Infrastructure Including Local Projects, Buildings and Other Structures, Multipurpose/ Facilities, Rehabilitation o</t>
  </si>
  <si>
    <t>20DD0284 Local Program, Construction/ Repair/ Rehabilitation/ Improvement of Various Infrastructure Including Local Projects, Buildings and Other Structures, Multipurpose/ Facilities, Construction of</t>
  </si>
  <si>
    <t>COMPLETION OF ROAD SHOULDERING – MUNICIPAL ROAD</t>
  </si>
  <si>
    <t>20KL0135 - Construction of Multi-Purpose Building Brgy. Poblacion, Laguindingan, Misamis Oriental</t>
  </si>
  <si>
    <t>20DD0283 Local Program, Local Infrastructure Program, Flood Control and Drainage, Flood Control Structures/ Facilities, Construction of Box Culvert including approaches at Brgy. Adya, Lipa City, Batan</t>
  </si>
  <si>
    <t>20DD0285 Local Program, Construction/ Repair/ Rehabilitation/ Improvement of Various Infrastructure Including Local Projects, Water Management Facilities, Water Supply, Rehabilitation of Water Supply</t>
  </si>
  <si>
    <t>20DD0292 Local Program, Local Infrastructure Program, Flood Control and Drainage, Drainage/ Protection Works, Improvement of Drainage System, Brgy. Namuco, Rosario, Batangas</t>
  </si>
  <si>
    <t>COMPLETION OF MULTI-PURPOSE BUILDING (BRGY. CANG-ALWANG)</t>
  </si>
  <si>
    <t>20GA0126 - Construction of Multi-Purpose Building/Evacuation Center at Sitio Centro, Brgy. Cortes, Balete, Aklan</t>
  </si>
  <si>
    <t>Procurement of Goods for the CEST Livelihood Project for Establishment of a Candle Production Facility for the Parent's Organization</t>
  </si>
  <si>
    <t>Public Bidding for the Supply and Delivery of Two (2) Printers and DSLR Camera for the use of City Environment and Natural Resources Office under ITB No. 2020-007</t>
  </si>
  <si>
    <t>Supply and Delivery of Hospital Bed, 2 Cranks with IV Pole with Mattress</t>
  </si>
  <si>
    <t>Public Bidding for the Supply and Delivery of IT Equipment for the use of City Mayor’s Office - ICT under ITB No. 2020-006</t>
  </si>
  <si>
    <t>20GA0127 - Repair/Rehabilitation of Multi-Purpose Building Kalibo Public Market Kalibo, Aklan</t>
  </si>
  <si>
    <t>Purchase of Asian Utility Vehicle to be used for patrol operations in the Municipality of Bauan, Batangas</t>
  </si>
  <si>
    <t>20PC0056 REPAIR/MAINTENANCE OF DPWH TWO (2) STOREY BUILDING W/ BASEMENT APAYAO II DISTRICT ENGINEERING OFFICE SAN ISIDRO SUR, LUNA, APAYAO</t>
  </si>
  <si>
    <t>ROAD CONCRETING (DOUBLE LANE) BULAWAN ST., MABILA, (8000-2-2-14), SARANGANI, DAVAO OCCIDENTAL.</t>
  </si>
  <si>
    <t>Purchase of expanded newborn screening kit to be used at Bauan General Hospital, Bauan, Batangas</t>
  </si>
  <si>
    <t>Hiring of security personnel for six (6) months for the security of various offices in the Municipality of Bauan, Batangas</t>
  </si>
  <si>
    <t>CONSTRUCTION OF BOX CULVERT CREEK 2 TORANG, CAMALIG, (8000-2-2-9), SARANGANI, DAVAO OCCIDENTAL.</t>
  </si>
  <si>
    <t>Construction of Material Recovery Facility (MRF) Building</t>
  </si>
  <si>
    <t>Purchase of audio and video equipment including installation, testing and commissioning to be used in the Municipality of Bauan, Batangas</t>
  </si>
  <si>
    <t>Repair/Restoration of Portion of Old Capitol Building to be Used as Temporary Stock Room of PGSO Warehouse Brgy. Dalakit, Catarman, Northern Samar</t>
  </si>
  <si>
    <t>20GA0134 - Construction of Alfonso XII Local Road Brgy. Alfonso XII, Libacao, Aklan</t>
  </si>
  <si>
    <t>Local Access Road at  Brgy. Bancoro, San Nicolas, Batangas</t>
  </si>
  <si>
    <t>20GDB0021 Supply of Materials for the Repair &amp; Maintenance of various National Roads (Penetrating Patching Bituminous Pavement)</t>
  </si>
  <si>
    <t>PROCUREMENT OF ELECTRICAL SUPPLIES</t>
  </si>
  <si>
    <t>CONTRACT ID: 20-05-083 - PROCUREMENT OF FAMILY PLANNING COMMODITIES</t>
  </si>
  <si>
    <t>Purchase of Construction Materials/Equipment for the Technology Intervention in Binuangan, Misamis Oriental-D1 to Produce Eco-Hollow Blocks from Shredded Solid Waste for DOST Program</t>
  </si>
  <si>
    <t>20GDB0019 Supply of Grass Cutter Parts for use in Vegetation Control along various National Roads, Batangas 1st District</t>
  </si>
  <si>
    <t>20DD0293 Repair/ Maintenance of DILG Building, PNP- Taysan Station Building, Taysan, Batangas</t>
  </si>
  <si>
    <t>20GDB0020 Supply of Materials for the Repair and Maintenance of various National Roads (Fabrication of Signboard)</t>
  </si>
  <si>
    <t>Construction of Public Comfort Room (Phase 1)</t>
  </si>
  <si>
    <t>Construction of Kanapnapan Flood Control Phase 2</t>
  </si>
  <si>
    <t>20DD0294 Repair/ Maintenance of DILG Building, PNP- Ibaan Station Building, Ibaan, Batangas</t>
  </si>
  <si>
    <t>Procurement, Supply &amp; Delivery of Medical Equipment</t>
  </si>
  <si>
    <t>CONSTRUCTION OF BOX CULVERT CREEK 3 TORANG, CAMALIG, (8000-2-2-10), SARANGANI, DAVAO OCCIDENTAL</t>
  </si>
  <si>
    <t>CONSTRUCTION OF BOX CULVERT CREEK 1 TORANG, CAMALIG, (8000-2-2-12), 000000000SARANGANI, DAVAO OCCIDENTAL</t>
  </si>
  <si>
    <t>Procurement, Supply &amp; Delivery of Spare Parts</t>
  </si>
  <si>
    <t>THIS VEHICLE WILL BE SERVE AS TRANSPORTATION DURING EMERGENCY CASES, BRGY RELATED ACTIVITIES AND FOR OTHER PURPOSES THAT WOULD BE BENEFICIAL FOR THE COMMUNITY.</t>
  </si>
  <si>
    <t>Purchase of Office Equipment, Furniture and Fixtures</t>
  </si>
  <si>
    <t>CATERING SERVICES (Meals &amp; Snacks) Formulation of Comprehensive Development Plan (CDP), Comprehensive Land Use Plan (CLUP) Plan, Municipal Disaster Risk Reduction and Management Plan (MDRRMP) Continge</t>
  </si>
  <si>
    <t>SUPPLY AND DELIVERY OF DESKTOP AND LAPTOP COMPUTERS</t>
  </si>
  <si>
    <t>2020-0155-PR2020-0372 Furnishing of Labor, Materials and Equipment for the Concreting of Pob. (Sagbayan) - Sagbayan Sur - Kabasakan Road, Sagbayan, Bohol</t>
  </si>
  <si>
    <t>20GCB0003: Replacement of Damage In-Ground Automatic Traffic Counter/Classifier (ATC) Sensors and Accessories (2 Lanes) of Three Survey Sites (Bagac-Poblacion Road, KO151+000; Lamao Access Road, KO143</t>
  </si>
  <si>
    <t>CONSTRUCTION OF NAMITPIT BARANGAY HEALTH CENTER</t>
  </si>
  <si>
    <t>CONTINUATION OF PATUNGCALEO BARANGAY HEALTH STATION</t>
  </si>
  <si>
    <t>IMPROVEMENT OF AKADCHANG WATER SYSTEM</t>
  </si>
  <si>
    <t>20GCB0002: Procurement of Materials (Pen. Asphalt 60/70) for use in the Repair and Maint. Of National Roads &amp; Bridges (Carriageway, Asphalt &amp; Concrete Shoulder) along Roman Expressway (SO1313LZ), JLBM</t>
  </si>
  <si>
    <t xml:space="preserve">PROCUREMENT OF LAPTOP, DRONE &amp; GPS DEVICE  Formulation of Comprehensive Development Plan (CDP), Comprehensive Land Use Plan (CLUP) Plan, Municipal Disaster Risk Reduction and Management Plan (MDRRMP) </t>
  </si>
  <si>
    <t>CONSTRUCTION OF FILANG FOOTBRIDGE</t>
  </si>
  <si>
    <t>Repair/Maintenance of DOLE Building Nat'l. Concilation &amp; Mediation Board, Trece Martirez, Tacloban City</t>
  </si>
  <si>
    <t>20GCB0001: Procurement of Emulsified Asphalt Cationic (SS-1) for use in the Repair &amp; Maint. Of National Roads &amp; Bridges (Carriageway, Asphalt &amp; Concrete Shoulder) along Roman Expressway (SO1313LZ), JL</t>
  </si>
  <si>
    <t>Procurement of Gazebo-MO,Lopez Jaena</t>
  </si>
  <si>
    <t>20L00030 : Construction of Flyover along Davao – Cotabato Road – Junction Maa Road, Package 1, Davao City</t>
  </si>
  <si>
    <t>PURCHASE OF FERTILIZER FOR QUIRINO FARMERS, QUIRINO, ILOCOS SUR</t>
  </si>
  <si>
    <t>20KI0083 Contract Name		: Repair/Maintenance of DTI Building TESDA Building, Panalsalan, Plaridel, Misamis Occidental</t>
  </si>
  <si>
    <t>CONSTRUCTION OF SANITARY TOILET WITH HYGIENE FACILITIES FOR PUBLIC PLACES IN SALAPINGAO</t>
  </si>
  <si>
    <t>IMPROVEMENT OF PATIACAN BARANGAY HEALTH CENTER</t>
  </si>
  <si>
    <t>Supplies and Materials for the Construction of Municipal Tourism Building</t>
  </si>
  <si>
    <t>Purchase of various materials for Road Concreting at Purok 1 to Balugo, Dumaguete Boundary, Brgy. East Balabag</t>
  </si>
  <si>
    <t>Various Infrastructure Projects at Pasig City-PB-06-19-2020</t>
  </si>
  <si>
    <t>20KI0085 Contract Name		: Repair/Maintenance of DTI Building TESDA Building,  			  Bagong Lipunan Building 1, Villaflor, Oroquieta City</t>
  </si>
  <si>
    <t>REPAIR/IMPROVEMENT OF LAMAG BARANGAY HALL</t>
  </si>
  <si>
    <t>Purchase of Aircon, Brgy. East Balabag</t>
  </si>
  <si>
    <t>20L00141 : Construction of Concrete Bridge – Matina Aplaya Bridge 2, Davao City</t>
  </si>
  <si>
    <t>REHABILITATION OF FINAN-NANG TO TARANGCHUY PATHWAY</t>
  </si>
  <si>
    <t>Repair/Maintenance of Tanghas Lirang River Control, Tacloban City</t>
  </si>
  <si>
    <t>20CN0141 - Repair/Maintenance of National Road, Baler-Casiguran Road (S04738lz), K0343+644</t>
  </si>
  <si>
    <t>20LA0176 Construction of Revetment along Mawab River Phase II, Brgy. Poblacion, Mawab, Compostela Valley</t>
  </si>
  <si>
    <t>20L00145 : Construction of Concrete Road Along Bypass Road at Jct. Elpidio Quirino Ave. (Tionko Ave. Section) – Jct. Ponciano St. (Davao City Post Office), Davao City</t>
  </si>
  <si>
    <t>20LA0226 Improvement of MPB (Admin Bldg.) Nabunturan Central ES, Nabunturan, Compostela Valley</t>
  </si>
  <si>
    <t>20LA0229 Construction of Multi-Purpose Building (Senior Citizen Building), Brgy. San Antonio, Laak, Compostela Valley</t>
  </si>
  <si>
    <t>20LA0225 Improvement of Multi-Purpose Building, Brgy. Poblacion, Montevista, Compostela Valley</t>
  </si>
  <si>
    <t>20LA0133 Improvement of Municipal Gym, Maco, Compostela Valley</t>
  </si>
  <si>
    <t>Supply and Delivery of Medical Supplies for Official Use of JLAEH (2nd Qtr)</t>
  </si>
  <si>
    <t>20LA0228 Construction of Multi-Purpose Bldg. (Senior Citizen), Brgy. Lapu-Lapu, Maco, Compostela Valley</t>
  </si>
  <si>
    <t>20LA0227 Construction of Multi-Purpose Building (Senior Citizen Building), Brgy. Del Pilar, Mabini, Compostela Valley</t>
  </si>
  <si>
    <t>20LA0230 Construction of Multi-Purpose Building (Mini-Gym), Brgy. Concepcion ES, Concepcion, Mawab, Compostela Valley</t>
  </si>
  <si>
    <t>Bid No. 20-0263 - PROCUREMENT OF CATERING SERVICES - MO (LGU ACTIVITIES-3RD QUARTER 2020)</t>
  </si>
  <si>
    <t>Concreting of Brgy. Palanog Farm to Market Road, Tacloban City, Leyte</t>
  </si>
  <si>
    <t>Improvement of CLIP Halfway House Halfway House Building, Brgy. Dalakit, Catarman, Northern Samar</t>
  </si>
  <si>
    <t>PURCHASE OF AMBULANCE / RESCUE VEHICLE</t>
  </si>
  <si>
    <t>20LA0231 Improvement of Multi-Purpose Building (Gym) Araibo, Pantukan, Compostela Valley</t>
  </si>
  <si>
    <t>Procurement, Supply &amp; Delivery of Service Vehicle</t>
  </si>
  <si>
    <t>Repair and Rehabilitation of Infrastructure Facilities and other Related Activities-Routine Maintenance of National Roads and Bridges-Tertiary Roads along Mabinay-Ayungon Rd. K0131+422 – K0131+494 (LS</t>
  </si>
  <si>
    <t>20L00170 : Reconstruction to Concrete Pavement Along Jct. Daang Maharlika Road – Gov. Gregorio V. Cañeda Road – Jct. FS Dizon Road, Davao City</t>
  </si>
  <si>
    <t>Supply and Delivery of Hospital Portable Air Cleaner with HEPA Filtration and Ultra-Violet Light for Official Use of JLAEH</t>
  </si>
  <si>
    <t>20L00153 : Road Widening and Replacement of Bridge Along Jct. Davao City Diversion Rd. (Matina Pangi Section) – Matina Pangi Rd. – Sitio Toril – Jct. Catalunan Grande Rd., Davao City</t>
  </si>
  <si>
    <t>Purchase of Various Fittings &amp; SDR for Service Connection</t>
  </si>
  <si>
    <t>Supply and delivery of CPR Dummies and Automated External Defibrillator (AED) to be placed in different strategic locations to cover the 19 barangays of LGU Pilar, Bataan</t>
  </si>
  <si>
    <t>20LA0233 Construction of MPB (Mini-Gym) Matilo ES, Nabunturan, Compostela Valley</t>
  </si>
  <si>
    <t>Repair/Maintenance of Service Vehicles of Calasiao, Pangasinan</t>
  </si>
  <si>
    <t>Various Infrastructure Projects (Infra-20-07), Kabankalan City, Negros Occidental</t>
  </si>
  <si>
    <t>20LA0234 Construction of Multi-Purpose Building, Brgy. Matilo ES, Matilo, Nabunturan, Compostela Valley</t>
  </si>
  <si>
    <t>20LA0235 Rehabilitation of Multi-Purpose Building, Brgy. Sawangan, Mawab, Compostela Valley</t>
  </si>
  <si>
    <t>20LA0232 Construction of Multi-Purpose Building (Brgy. Hall), Brgy. Hinagtungan, Laak, Compostela Valley</t>
  </si>
  <si>
    <t>20LA0236 Completion of MPB (Brgy. Hall) Taglawig, Maco, Compostela Valley</t>
  </si>
  <si>
    <t>20DJ0084-LOCAL PROGRAM, Construction/Repair/Rehabilitation/Improvement of Various Infrastructure including Local Projects, Construction (Completion) of Multi-Purpose Building in Barangay Del Rosario,</t>
  </si>
  <si>
    <t>20LA0238 Construction of Multi-Purpose Building (Alive Building), Brgy. Pindasan ES, Pindasan, Mabini, Compostela Valley</t>
  </si>
  <si>
    <t>20LA0239 Construction of Multi-Purpose Building Sitio Canipa, Matiao, Pantukan, Compostela Valley</t>
  </si>
  <si>
    <t>Supply and Delivery of Heavy Equipment – Towable Boom Lift / Man Lift</t>
  </si>
  <si>
    <t>SUPPLY AND DELIVERY OF HARDWARE MATERIALS FOR THE CONSTRUCTION OF STREET LIGHT</t>
  </si>
  <si>
    <t>PURCHASE OF AMBULANCE</t>
  </si>
  <si>
    <t>IMPROVEMENT &amp; CONSTRUCTION OF WETLAND FOR WASTE WATER  TREATMENT FACILITY OF SLAUGHTER HOUSE, FASTRAC,BRGY ROBLES</t>
  </si>
  <si>
    <t>20LA0237 Improvement of Multi-Purpose Building (Gym) Cadunan, Mabini, Compostela Valley</t>
  </si>
  <si>
    <t>20LA0242 Construction of Multi-Purpose Building (Day Care Center), Brgy. Bayanihan, Laak, Compostela Valley</t>
  </si>
  <si>
    <t>PURCHASE OF VARIOUS MATERIALS FOR THE MAINTENANCE OF WATER SYSTEM</t>
  </si>
  <si>
    <t>20LA0243 Construction of MPB (ECCD) San Roque, Maco, Compostela Valley</t>
  </si>
  <si>
    <t>DEVELOPMENT OF WATER SYSTEM FROM SITIO PAHO TO SITIO BUNGYOD, BRGY. CABACUNGAN</t>
  </si>
  <si>
    <t>PURCHASE OF DUMP TRUCK</t>
  </si>
  <si>
    <t>IMPROVEMENT/ REHABILITATION OF WATER SYSTEM  OF BRGY. CABACUNGAN</t>
  </si>
  <si>
    <t>20LA0246 Improvement of MPB (Gym), Tagugpo, Pantukan, Compostela Valley</t>
  </si>
  <si>
    <t>20DJ0086-LOCAL PROGRAM, Local Infrastructure Program, Road Widening of Sn Juan-Candelaria-Jct-Candelaria-Bolboc Rd, S02002LZ, K0146+830-K0147+017, Quezon</t>
  </si>
  <si>
    <t>Supply and Delivery of Tilapia Feeds</t>
  </si>
  <si>
    <t>SUPPLY AND DELIVERY OF MEALS AND SNACKS FOR HEALS 911 HOUSEHOLD-BASED MONITORING SYSTEM</t>
  </si>
  <si>
    <t>Repair/Rehabilitation of District Hospital (Gigmoto District Hospital)</t>
  </si>
  <si>
    <t>20LA0240 Construction of Multi-Purpose Building (Gym) Libuton, Laak, Compostela Valley</t>
  </si>
  <si>
    <t>20DJ0085-LOCAL PROGRAM, Local Infrastructure Program, Construction of Multi-Purpose Building, Brgy. Cabatang, Tiaong, Quezon</t>
  </si>
  <si>
    <t>20LA0241 Construction of MPB 100 1st Brigade Phil. Army, Mapaang Maco, Compostela Valley</t>
  </si>
  <si>
    <t>20LA0244 Construction of Multi-Purpose Building (Officer &amp; Personnel Quarter MIB) Tuburan 10th Division Philippines Army, Mawab, Compostela Valley</t>
  </si>
  <si>
    <t>20DJ0087-LOCAL PROGRAM, Local Infrastructure Program, Construction of Road Brgy. Poblacion-Brgy. Buliran, San Antonio, Quezon</t>
  </si>
  <si>
    <t>20NA0062 Construction/ Improvement of Access Roads leading to Declared Tourism Destinations, NRJ-Comagascas-Del Pilar-Pirada leading to Tunnel Road, Brgy. Del Pilar, Cabadbaran, Agusan del Norte</t>
  </si>
  <si>
    <t>Procurement of FUEL, OIL &amp; LUBRICANTS for Use in the Repair of Provincial Roads in Gov. Generoso and Cateel, Davao Oriental</t>
  </si>
  <si>
    <t>20NB0065, Repair/Maintenance of Anibongan River Revetment, Sta. 0+060-Sta. 0+160 L/S (Downstream), Brgy. Anibongan, Prosperidad, Agusan del Sur</t>
  </si>
  <si>
    <t>20LA0245 Rehabilitation of Multi-Purpose Building (Gym), Brgy. Gemperle ES, Tagnanan, Mabini, Compostela Valley</t>
  </si>
  <si>
    <t>Supply and Delivery of Road Safety Facilities for use in the project: Repair and Maintenance of National Roads and Bridges including Road Safety Facilities within BFDEO</t>
  </si>
  <si>
    <t>20NB0068, Repair/Maintenance of Kibao-an River Revetment, Sta. 0+020-Sta. 0+046 B/S (Downstream), Brgy. Lucena, Prosperidad, Agusan del Sur</t>
  </si>
  <si>
    <t>CONSTRUCTION OF CIVIC CENTER (PHASE 2) AT BRGY SAN RAFAEL, VILLAREAL, SAMAR</t>
  </si>
  <si>
    <t>20NB0067, Repair/Maintenance of Batucan Estero/Waterway Dike, Sta. 0+000-Sta. 0+090 B/S (Downstream), Brgy. Batucan, Talacogon, Agusan del Sur</t>
  </si>
  <si>
    <t>20DJ0088-LOCAL PROGRAM, Local Infrastructure Program, Road Rehabilitation in   Barangay Isabang-Bocohan-Domoit Road, Lucena City, Quezon</t>
  </si>
  <si>
    <t>20LA0249 Construction and/or Repair/Rehabilitation of Multi-Purpose Building, Brgy. Cabidianan, Nabunturan, Compostela Valley</t>
  </si>
  <si>
    <t>20NB0066, Repair/Maintenance of Azpetia River Revetment, Sta. 0+064-Sta. 0+084 R/S (Upstream), Brgy. Azpetia, Prosperidad, Agusan del Sur</t>
  </si>
  <si>
    <t>20NB0069, Repair/Maintenance of Maygatasan Estero/Waterway Dike, Sta.0+030-Sta.0+041 L/S; Sta.0+020-Sta.0+031 R/S (Downstream), Brgy. Maygatasan, Bayugan, Agusan del Sur</t>
  </si>
  <si>
    <t>ONTRACT ID: 20-02-063 2ND REBID - PROCUREMENT OF FURNITURE AND FIXTURE</t>
  </si>
  <si>
    <t>20DJ0089-LOCAL PROGRAM, Local Infrastructure Program, Construction/Rehabilitation of Multi-Purpose Building, Lucena City, Quezon</t>
  </si>
  <si>
    <t>20LA0250 Improvement of MPB (Gym), Poblacion, Nabunturan, Compostela Valley</t>
  </si>
  <si>
    <t>20LA0251 Construction of concreting road with Rotonda, Concepcion, Maco, Compostela Valley</t>
  </si>
  <si>
    <t>Purchase of Fertilizers and other Farm inputs to Farmers (vegetable seeds)</t>
  </si>
  <si>
    <t>20LA0248 Construction of Bridge at Brgy. New Calape, Montevista, Compostela Valley</t>
  </si>
  <si>
    <t>20NB0070, Construction of Concrete Road – Access Road in support of Match Factory, Talacogon, Agusan del Sur</t>
  </si>
  <si>
    <t>DELIVERY/SUPPLY OF MATERIALS FOR THE CONSTRUCTION OF COMFORT ROOM AT MAAYONGTUBIG DAUIN ELEMENTARY SCHOOL. (RE-BID))</t>
  </si>
  <si>
    <t>Repair and Improvement of Capitol Multi-Purpose Hall</t>
  </si>
  <si>
    <t>CONSTRUCTION OF PATHWAY BARANGAY MAGSAYSAY DAUIN NEG. OR. (RE-BID)</t>
  </si>
  <si>
    <t>SUPPLY AND DELIVERY OF ONE (1) UNIT 4X4 PICK-UP FOR THE CITY SECURITY AND TRAFFIC MANAGEMENT TASKFORCE OFFICE</t>
  </si>
  <si>
    <t>Agno River Basin Flood Control Project – Repair/Maintenance of Bank Protection at Brgy. Macayo, Alcala, Pangasinan, Sta. 04+820.00 to Sta. 05+238.00</t>
  </si>
  <si>
    <t>20LA0247 Construction of MPB (Gym) Basak Integrated NHS, Nabunturan, Compostela Valley</t>
  </si>
  <si>
    <t>Purchase of DRR Related Equipment</t>
  </si>
  <si>
    <t>Const. of River Control Cavinitan-Pajo</t>
  </si>
  <si>
    <t>20PC0057 CONSTRUCTION OF SIPA FLOOD CONTROL STA. MARCELA, APAYAO</t>
  </si>
  <si>
    <t>LAPU-LAPU SOURCE DEVELOPMENT PROJECT [INFRA-2020-001]</t>
  </si>
  <si>
    <t>Agno River Basin Flood Control Project – Repair/Maintenance of Bank Protection at Brgy. Talibaew, Calasiao, Pangasinan, Sta. 02+100.00 to Sta. 2+436.00</t>
  </si>
  <si>
    <t>PROCUREMENT OF VARIOUS FURNITURE, FIXTURES AND EQUIPMENT UNDER ANNUAL EQUIPMENT PROCUREMENT PROGRAM (AEPP) FOR CY 2019</t>
  </si>
  <si>
    <t>20PC0058 CONSTRUCTION/IMPROVEMENT OF ACCESS ROADS LEADING TO TRADES, INDUSTRIES AND ECONOMIC ZONES STA. FILOMENA ROAD IN SUPPORT OF MULTI-CROP PROCESSING CENTER (COFFEE, CACAO, PINEAPPLE, COCONUT) FUR</t>
  </si>
  <si>
    <t>CONSTRUCTION OF CANAL LINING AT MALVAR ST. &amp; AGLIPAY ST. AT BARANGAY 5 SAN VICENTE, SARRAT, ILOCOS NORTE</t>
  </si>
  <si>
    <t>GRAVELING OF ROAD PUROK 5 CAWILAN</t>
  </si>
  <si>
    <t>SUPPLY AND DELIVERY OF VARIOUS AGRICULTURAL MACHINERIES AND EQUIPMENT CONSISTING OF FOUR (4) LOTS TO BE USED BY LIVESTOCK PRODUCTION CENTER UNDER LIVESTOCK PROGRAM FOR CY 2020(REBID)</t>
  </si>
  <si>
    <t>20FK0050-Rehab. of National Roads with Slips, Slope Collapsed and Landslide, Bacon-Manito Road, Osiao Section Bacon District, Sorsogon City</t>
  </si>
  <si>
    <t>Acquisition of Materials for Installation of Street LightsREPUBLIC OF THE PHILIPPINES PROVINCE OF SIQUIJOR MUNICIPALITY OF SIQUIJOR  OFFICE OF THE BAC CHAIRMAN  INVITATION TO BID FOR  Acquisition of M</t>
  </si>
  <si>
    <t>20PA0110 : CONCRETING OF BARANGAY DINTAN FMR, PILAR,  ABRA, Pilar, Abra</t>
  </si>
  <si>
    <t>20AA0342 - REHABILITATION/MAINTENANCE OF DILG BUILDING, BUREAU OF FIRE PROTECTION – MAIN BUILDING, LAOAG CITY, ILOCOS NORTE</t>
  </si>
  <si>
    <t>REHABILITATION OF VARIOUS LOCAL ROADS</t>
  </si>
  <si>
    <t>CONCRETING OF FARM TO MARKET ROADS</t>
  </si>
  <si>
    <t>AGNO RIVER BASIN FLOOD CONTROL PROJECT-REPAIR MAINTENANCE OF BANK PROTECTION AT BRGY. SAN JOSE, AGUILAR, PANGASINAN, STA. 03+280 TO STA. 03+582</t>
  </si>
  <si>
    <t>Construction of 1 Building 1 Classroom at Bacbacon E/S, Kadingilan</t>
  </si>
  <si>
    <t>Invitation to Bid for the Purchase of One (1) Unit Multi-Purpose Vehicle for MDRRMO</t>
  </si>
  <si>
    <t>AGNO RIVER BASIN FLOOD CONTROL PROJECT-REPAIR MAINTENANCE OF ANULID-POPONTO RIGHTDIKE AT ALCALA-BAUTISTA, PANGASINAN, STA. 10+640 TO STA. 12+220; STA. 13+320 TO STA. 13+580 AND STA. 15+960 TO STA. 17+</t>
  </si>
  <si>
    <t>Construction of Evacuation Center at Casagan</t>
  </si>
  <si>
    <t>AGNO RIVER BASIN FLOOD CONTROL PROJECT-REPAIR MAINTENANCE OF BANK PROTECTION AT BRGY. SAN FRANCISCO, BUGALLON, PANGASINAN, STA. 01+260 TO STA. 01+598</t>
  </si>
  <si>
    <t>20PA0109 : CONCRETING OF BARANGAY TIKITIK FMR, PILAR, ABRA, Barangay Tikitik, Pilar, Abra</t>
  </si>
  <si>
    <t>2020-GOODS-03; SUPPLY/DELIVERY AND INSTALLATION OF COMPUTER DESKTOP, CORE I7/ AND CORE I5, LAPTOP COMPUTERS CORE i7 AND CORE i5,  W/ COMPLETE ACCESSORIES, UPS- UINTERRUPTABLE POWER SUPPLY, AND PRINTER</t>
  </si>
  <si>
    <t>Supply of Materials for the Completion of Market Stalls</t>
  </si>
  <si>
    <t>Acquisition of Sound System Equipment’s</t>
  </si>
  <si>
    <t>Construction of Road at Barangay Sta. Cruz</t>
  </si>
  <si>
    <t>INFRA PROJECT JUNE 18, 2020</t>
  </si>
  <si>
    <t>20B00027 (re-ad): Organizational Outcome 1: Ensure Safe and Reliable National Road System: Network Development: Construction of By-Pass and Diversion Roads Alicia-Angadanan-San Guillermo-Cauayan City-</t>
  </si>
  <si>
    <t>CONSTRUCTION OF POTABLE DEEPWELL WATER SUPPLY   PHASE II - MOTORPOOL</t>
  </si>
  <si>
    <t>Purchase of High Angle Rescue Equipment</t>
  </si>
  <si>
    <t>Repair/Maintenance of DPWH  Building, Fence for Maintenance Bodega, Urdaneta City, Pangasinan</t>
  </si>
  <si>
    <t>Repair/ Maintenance Of DILG Building Bureau of Fire and Protection, Sison, Pangasinan</t>
  </si>
  <si>
    <t>Repair/Maintenance of DOLE Building, Rosales, Pangasinan</t>
  </si>
  <si>
    <t>Procurement of one unit double cab vehicle</t>
  </si>
  <si>
    <t>CLUSTER 24-2020</t>
  </si>
  <si>
    <t>20DD0295 Local Program, Construction/ Repair/ Rehabilitation/ Improvement of Various Infrastructure including Local Projects, Buildings and Other Structures, Multipurpose/ Facilities, Rehabilitation/</t>
  </si>
  <si>
    <t>Supply and Delivery of One (1) Unit 26-34 Seaters Mini Bus</t>
  </si>
  <si>
    <t>CLUSTER 23-2020</t>
  </si>
  <si>
    <t>20BC0169-Construction of 1 Storey 2 Classroom with CR, Guiddam Elementary School, Abulug, Cagayan</t>
  </si>
  <si>
    <t>Improvement of Liga Building/Hall (Phase I)</t>
  </si>
  <si>
    <t>Construction of 1 Unit 1 Classroom at Gutalid E/S, Kitaotao</t>
  </si>
  <si>
    <t>20ID0024 Raedvertised - Construction/ Rehabilitation of Flood Mitigation Facilities within Major River Basins and Principal Rivers- Construction of Daguitan-Marabong River Flood Control, Brgy. Batug,</t>
  </si>
  <si>
    <t>Rehabilitation/Improvement of Level II Water System</t>
  </si>
  <si>
    <t>Construction of  Cabatuan Road   Sto. Domingo, San Manuel ,Pangasinan</t>
  </si>
  <si>
    <t>Agno River Basin Flood Control Project – Repair/Maintenance of Bank Protection at Brgy. Magtaking, Bugallon, Pangasinan Sta. 00+060.00 to Sta. 00+494.00</t>
  </si>
  <si>
    <t>20ID0019 Readvertised - Construction of Multi-Purpose Building,Brgy. Bagong Lipunan,Carigara, Leyte</t>
  </si>
  <si>
    <t>Supply and Delivery of One (1) Unit Brand New Motor Grader</t>
  </si>
  <si>
    <t>Repair/Maintenance of DOJ Building Bureau of Jail Management and Penology BJMP Compound Perimeter Fence Urdaneta City, Pangasinan</t>
  </si>
  <si>
    <t>20BC0160-Construction of 1 Storey 3 Classroom with CR (Building 1), Abulug Central Elementary School, Abulug, Cagayan</t>
  </si>
  <si>
    <t>20DD0299 Local Program, Local Infrastructure Program, Buildings and Other Structures, Multipurpose/ Facilities, Construction/ Improvement of Multi-Purpose Building including Site Development at Brgy.</t>
  </si>
  <si>
    <t>20DD0297 Local Program, Local Infrastructure Program, Buildings and Other Structures, Multipurpose/ Facilities, Construction of Multi-Purpose Building including Facilities in Laurel Park, Brgy. Poblac</t>
  </si>
  <si>
    <t>Supply and Delivery of One (1) Unit Brand New Service Vehicle</t>
  </si>
  <si>
    <t>Repair/Maintenance of DILG Philippine National Police Building, Sta. Maria, Pangasinan</t>
  </si>
  <si>
    <t>20BC0172-Construction of 1 Storey 2 Classroom with CR, Sta. Filomena Elementary School, Abulug, Cagayan</t>
  </si>
  <si>
    <t>20BC0170 re-adv.-Construction of 1 Storey 2 Classroom with CR, Macugay Elementary School, Abulug, Cagayan</t>
  </si>
  <si>
    <t>UPGRADING/IMPROVEMENT OF PINAGAN-MAGNAO PROVINCIAL ROAD</t>
  </si>
  <si>
    <t>QM PABAC 002-20 Procurement of 4,462 each Bag Extendable, PHILARPAT</t>
  </si>
  <si>
    <t>20DD0296 Local Program, Local Infrastructure Program, Buildings and Other Structures, Multipurpose/ Facilities, Construction/ Completion of Multi-Purpose Building (Community Hospital) at Brgy. Castill</t>
  </si>
  <si>
    <t>20DD0300 Local Program, Local Infrastructure Program, Buildings and Other Structures, Multipurpose/ Facilities, Construction of Multi-Purpose Building (CENRO-DENR), Brgy. Marawoy, Lipa City, Batangas</t>
  </si>
  <si>
    <t>Sustainable Livelihood Support for Disaster Affected Areas under CRFPS</t>
  </si>
  <si>
    <t>20DD0303 Local Program, Construction/ Repair/ Rehabilitation/ Improvement of Various Infrastructure including Local Projects, Buildings and Other Structures, Multipurpose/Facilities,  Rehabilitation o</t>
  </si>
  <si>
    <t>20DD0302 Local Program, Local Infrastructure Program, Buildings and Other Structures, Multipurpose/ Facilities, Construction/ Improvement of Multi-Purpose Building in various Barangays, Padre Garcia,</t>
  </si>
  <si>
    <t>20ID0039 Readvertised - Construction of Anonang River Flood Control,Barangay Anonang,Burauen, Leyte</t>
  </si>
  <si>
    <t>EXPENSES   ON  UGNAYAN SA BARANGAY: SPECIAL LAW MEDICAL AND DENTAL MISSION, TRAINING SEMINAR  OF BARANGAY TANOD,MONTHLY MEETING OF ADAC/MADAC/BARANGAY VISITATION</t>
  </si>
  <si>
    <t>PURCHASE OF MEAT VAN VEHICLE</t>
  </si>
  <si>
    <t>20DD0298 Local Program, Construction/ Repair/ Rehabilitation/ Improvement of Various Infrastructure including Local Projects, Buildings and Other Structures, Multipurpose/ Facilities, Rehabilitation o</t>
  </si>
  <si>
    <t>Acquisition of Materials for Repair f School Building</t>
  </si>
  <si>
    <t>Maintenance of Provincial Roads and Bridges at Impasug-ong Area CY 2020</t>
  </si>
  <si>
    <t>Construction of Evacuation Center @ Brgy. Jolongajog</t>
  </si>
  <si>
    <t>20DD0301 Local Program, Construction/ Repair/ Rehabilitation/ Improvement of Various Infrastructure including Local Projects, Buildings and Other Structures, Multipurpose/ Facilities, Construction of</t>
  </si>
  <si>
    <t>2020-G-004 Security Services for the Office of the Department of Public Works and Highways, Surigao del Sur 2nd District Engineering Office</t>
  </si>
  <si>
    <t>Contract ID 20IG0064 - CLUSTER - Construction/Rehabilitation of Water Supply/Septage and Sewerage/Rain Water Collector: a.) Macagoco Elementary  School, Inopacan, Leyte; b.) Hinabay Elementary School,</t>
  </si>
  <si>
    <t>20DD0305 Local Program, Local Infrastructure Program, Buildings and Other Structures, Multipurpose/Facilities, Construction of Multi-Purpose Building (Brgy. Hall), Brgy. Bungahan, Ibaan, Batangas</t>
  </si>
  <si>
    <t>Repair/Maintenance of DOJ Regional Trial Court Building, Tayug, Pangasinan</t>
  </si>
  <si>
    <t>20DD0304 Local Program, Local Infrastructure Program, Buildings and Other Structures, Multipurpose/ Facilities, Improvement of Multi-Purpose Building in Various Barangays, San Jose, Batangas</t>
  </si>
  <si>
    <t>20DD0306 Local Program, Construction/ Repair/ Rehabilitation/ Improvement of Various Infrastructure Including Local Projects, Buildings and Other Structures, Multipurpose/ Facilities, Construction of</t>
  </si>
  <si>
    <t>Contract ID 20IG0065 - CLUSTER - Construction/Rehabilitation of Water Supply/Septage and Sewerage/Rain Water Collector: a.) Maitum Elementary School, Baybay City, Leyte; b.) Mailhi NHS, Baybay City, L</t>
  </si>
  <si>
    <t>Concreting of Barangay Road @ Brgy. Sublangon</t>
  </si>
  <si>
    <t>Concreting of Barangay Road @ Brgy. Agdalipe</t>
  </si>
  <si>
    <t>20DD0309 Local Program, Construction/ Repair/ Rehabilitation/ Improvement of Various Infrastructure including Local Projects, Flood Control and Drainage, Drainage/Protection Works, Construction of Dra</t>
  </si>
  <si>
    <t>20DD0307 Local Program, Local Infrastructure Program, Buildings and Other Structures, Multipurpose/ Facilities, Rehabilitation/ Improvement of Multi-Purpose Building, Material Recovery Facility (MRF)</t>
  </si>
  <si>
    <t>PURCHASE OF EMERGENCY RESCUE VEHICLE</t>
  </si>
  <si>
    <t>Hiring of a Firm for the Disposal and Treatment of Hazardous Waste under SVP No. 2020-031</t>
  </si>
  <si>
    <t>Procurement of Office Supplies for the use of the Sangguniang Panlalawigan Office and Vice Governor’s Office for the 2nd Quarter 2020</t>
  </si>
  <si>
    <t>PAKYAW LABOR FOR THE ESTABLISHMENT OF ON-FARM AGROFORESTRY PROJECT AT BRGY. TALBEC</t>
  </si>
  <si>
    <t>Contract ID 20IG0066 - Repair/Maintenance of Dungca-an Flood Control, Baybay City, Leyte</t>
  </si>
  <si>
    <t>QM PABAC 029-20 Procurement of 111,346 sets Philippine Army Pattern (PHILARPAT) Battle Dress Uniform (BDU) with Ball Cap</t>
  </si>
  <si>
    <t>Repair/Maintenance of DILG Building Lagawe Municipal Police Station, Lagawe, Ifugao</t>
  </si>
  <si>
    <t>20EE0136 Repair/Maintenance of DPWH Building, Coron-Sub Office Building Bgy. Poblacion 5, Coron, Palawan</t>
  </si>
  <si>
    <t>Procurement of Security Services for LGU-Agoo</t>
  </si>
  <si>
    <t>QM PABAC 028-20 Procurement of Various Batteries</t>
  </si>
  <si>
    <t>REHABILITATION OF SANITARY DUMP SITE MATERIAL RECOVERY FACILITIES</t>
  </si>
  <si>
    <t>SUPPLY AND DELIVERY OF 4 X 4 MANUAL TRANSMISSION PICK-UP (ITB No. 2020-127-A)-(provl agriculture office)</t>
  </si>
  <si>
    <t>Contract ID No. 20NC0115 - Construction of Rainwater Collection System at San Francisco, Trento, La Paz, Veruela, Loreto, Rosario, Bunawan and Sta. Josefa, all in Agusan del sur (SEE ATACHED BOQ)</t>
  </si>
  <si>
    <t>LABOR PAKYAW FOR THE ESTABLISHMENT OF ON-FARM AGROFORESTRY PROJECT @ BRGY. ABACA</t>
  </si>
  <si>
    <t>SUPPLY AND DELIVERY OF SERVICE VEHICLE (ITB No. 2020-129-A)-(pgo-pdea)</t>
  </si>
  <si>
    <t>PROCUREMENT OF ONE (1) UNIT MULTIBAND NETWORK SCANNING RECEIVER AND POST PROCESSING TOOL FOR NTC REGIONAL OFFICE NO. IX</t>
  </si>
  <si>
    <t>Catering services for the food provision and water consumption to 50 LGU personnel,BHERT's and Quarantiners in all Ligtas COVIS 19 Centers in the Municipality for the May 27 to June 30, 2020.</t>
  </si>
  <si>
    <t>SUPPLY AND DELIVERY OF PASSENGER TYPE VAN (ITB No. 2020-130-A)-(pgo-pdrc)</t>
  </si>
  <si>
    <t>20AJ0097-Repair/Maintenance of River Bank Protection along Rio Laguna De Vega Creek, Brgy. Tarece, San Carlos City, Pangasinan</t>
  </si>
  <si>
    <t>Contract ID No. 20NC0114 - Repair/Maintenance of DPWH Building, Main Office Building, Agusan del Sur Il District Engineering Office, San Francisco, Agusan del Sur</t>
  </si>
  <si>
    <t>Construction Supplies/Electrical Supplies, Computer Accessories and Equipment/Consumables, Feeds &amp; Minerals and Seeds &amp; Fertilizers, Janitorial Supplies,Office Accessories and Equipment/Office Supplie</t>
  </si>
  <si>
    <t>20BC0178 re-adv.-Construction of 1 Storey 2 Classroom with CR, Minanga Elementary School, Piat, Cagayan</t>
  </si>
  <si>
    <t>QM PABAC 011-20 Procurement of 22,033 pairs Philippine Army Rubber Shoes, Black</t>
  </si>
  <si>
    <t>SUPPLY AND DELIVERY OF SERVICE VEHICLE (ITB No. 2020-131-A)-(s.p.)</t>
  </si>
  <si>
    <t>Supply and Delivery of One (1) Set RTK Receiver and Reflectorless Total Station w/ Complete Accessories (3rd Post)</t>
  </si>
  <si>
    <t>Contract ID No. 20NC0116 - Construction of Multi-Purpose Building, Brgy. Bitan-agan, San Francisco, Agusan del Sur</t>
  </si>
  <si>
    <t>QM PABAC 030-20 Procurement of 1,316 each Shoes Dress, Low Cut Rubber Sole</t>
  </si>
  <si>
    <t>Concreting of Barangay Road @ Brgy. Binuntucan</t>
  </si>
  <si>
    <t>INVITATION TO BID FOR SUPPLY AND DELIVERY OF ICT EQUIPMENTS AND SUPPLIES FOR FY 2020</t>
  </si>
  <si>
    <t>20DD0308 Local Program, Construction/ Repair/ Rehabilitation/ Improvement of Various Infrastructure Including Local Projects, Water Management Facilities, Water Supply, Rehabilitation of Water Supply</t>
  </si>
  <si>
    <t>SECTIONAL REPAIR OF PAVEMEN AT NFA COMPOUND IN BARANGAY SAN IGNACIO, SAN PABLO CITY LAGUNA</t>
  </si>
  <si>
    <t>Concreting of Barangay Road @ Brgy. Yatingan</t>
  </si>
  <si>
    <t>20AJ0099-Repair/Maintenance of DPWH Building Repair Bay Building - Electrical and Mechanical Building, Tuliao, Sta. Barbara, Pangasinan (Phase II)</t>
  </si>
  <si>
    <t>Repair/Maintenance of DILG Building PNP-BJMP Perimeter Fence, Baguinge, Kiangan, Ifugao</t>
  </si>
  <si>
    <t>2020-130-I FEEDS FOR ITIK FOR LIFE RESEARCH AND DEVELOPMENT</t>
  </si>
  <si>
    <t>SUPPLY AND DELIVERY OF 4 X 4 MANUAL TRANSMISSION PICK-UP (ITB No. 2020-132-A)-(pgo-coa)</t>
  </si>
  <si>
    <t>SUPPLY AND DELIVERY OF BRAND NEW MINI DUMP TRUCK (ITB No. 2020-133-A)-(bpmc)</t>
  </si>
  <si>
    <t>GF-20-02-00018B - ANTI-RABIES VACCINE FOR HUMAN (PVRV-PURIFIED VERO RABIES VACCINE) AND EQUINE RABIES IMMUNE GLOBULIN</t>
  </si>
  <si>
    <t>20HF0054 Construction of Multi-Purpose Building, Sitio Lower Gabsanan, Brgy. Binabag,  Pinamungajan, Cebu</t>
  </si>
  <si>
    <t>20AJ0098-Repair/Maintenance of River Bank Protection along San Juan River, Brgy. Tebag, San Carlos City, Pangasinan</t>
  </si>
  <si>
    <t>20HF0072 (Cluster 14) A. Construction of Multi-Purpose Building, Brgy. Kanlunsing, Tuburan, Cebu;                                                  B. Construction of Multi-Purpose Building, Sitio Laba</t>
  </si>
  <si>
    <t>20AJ0100-Repair/Maintenance of DPWH Old Building Supply/Store Room, Pangasinan IV DEO Building, Tuliao, Sta. Barbara, Pangasinan</t>
  </si>
  <si>
    <t>PURCHASE OF MUNICIPAL AMBULANCE</t>
  </si>
  <si>
    <t>GF-20-02-00016B PROCUREMENT OF ANTI-RABIES VACCINE FOR HUMAN (PURIFIED CHICK EMBRYO CELLS)</t>
  </si>
  <si>
    <t>PROCUREMENT FOR THE SUPPLY, DELIVERY, AND INSTALLATION OF INDUCTIVELY COUPLED PLASMA-OPTICAL EMISSION SPECTROMETRY FOR USE IN SATELLITE LABORATORIES OF PLANT PRODUCT SAFETY SERVICES DIVISION (PPSSD)</t>
  </si>
  <si>
    <t>GF-20-02-00019B HEALTH CARD AND OTHERS</t>
  </si>
  <si>
    <t>CONSTRUCTION OF STONE MASONRY AT MAIN ROAD @ BRGY. LUKIDNON</t>
  </si>
  <si>
    <t>PROCUREMENT FOR THE SUPPLY, DELIVERY, AND INSTALLATION OF MICROWAVE DIGESTION SYSTEM FOR USE IN SATELLITE LABORATORIES OF PLANT PRODUCT SAFETY SERVICES DIVISION (PPSSD)</t>
  </si>
  <si>
    <t>20GD0107 - CONSTRUCTION/REHABILITATION OF WATER SUPPLY/SEPTAGE AND SEWERAGE/RAIN WATER COLLECTORS</t>
  </si>
  <si>
    <t>GF-20-02-00316 PROCUREMENT OF MOTOR VEHICLE (MULTI-PURPOSE VEHICLE)</t>
  </si>
  <si>
    <t>Repair/Maintenance of DTI Building TESDA Building, Rock Quarry, Awao, Poblacion East, Lagawe, Ifugao</t>
  </si>
  <si>
    <t>20KD0063 - Repair/ Maintenance of DTI Building TESDA – Administrative Building, Macasandig Cagayan de Oro City</t>
  </si>
  <si>
    <t>20HF0059 Construction of Road Connecting Asturias-Danao-Liloan Bypass Road leading to  International Container Port, Asturias, Cebu</t>
  </si>
  <si>
    <t>SUPPLY AND DELIVERY OF FERTILIZER FOR RICE RESILIENCY PROJECT</t>
  </si>
  <si>
    <t>20HG0161 (RE-BID) - Local Program, Local Roads and Bridges, Local Bridge, Construction of Canbantug-Linut-od Bridge</t>
  </si>
  <si>
    <t>20GGF0013 – Procurement of various spare parts to be use in the repair of various Equipment and Service Vehicles of this district , Iloilo 1st District Engineering Office.</t>
  </si>
  <si>
    <t>20HF0079 (Cluster 21) A. Road Concreting, Bojo, Aloguinsan, Cebu; B. Road Concreting, Esperanza, Aloguinsan, Cebu;  C. Road Concreting, Olango, Aloguinsan, Cebu</t>
  </si>
  <si>
    <t>20HG0162 (RE-BID) - Local Program, Local Roads and Bridges, Local Bridge, Construction of Lanao Bridge</t>
  </si>
  <si>
    <t>NOTICE OF INVITATION TO BID FOR THE PROCUREMENT OF WAREHOUSE HANDLING (AND ALLIED) SERVICES FOR GRAINS FOR NFA REGION VII FOR CALENDAR YEAR 2020 (RE-BIDDING)</t>
  </si>
  <si>
    <t>20GMH037 - Supply/Delivery of  HARD Asphalt for the Repair/Maintenance of National Roads &amp; Bridges, Sultan kudarat 2nd District Engineering Office, K1977+000-K2045+058 w/ exception</t>
  </si>
  <si>
    <t>Rehabilitation of Lagawe Old Public Market (Bagsakan Center), Lagawe, Ifugao</t>
  </si>
  <si>
    <t>20GMH038 - Supply/Delivery of  Latex Paints for the Repair/Maintenance of National Roads &amp; Bridges (Painting/Repainting of Guardrails/Steel Bridges), Sultan kudarat 2nd District Engineering Office, K1</t>
  </si>
  <si>
    <t>20HG0154 (RE-BID) - Local Program-Local Infrastructure Program; Buildings and Other Structures; Multipurpose/Facilities – Construction and/or Repair/Rehabilitation of Multi-Purpose Building, Brgy. Pob</t>
  </si>
  <si>
    <t>20KD0064 - Repair/ Maintenance of DPWH Building – Maintenance Building, Macabalan, Cagayan de Oro City</t>
  </si>
  <si>
    <t>PROCUREMENT FOR THE SUPPLY, DELIVERY, AND INSTALLATION OF CENTER LABORATORY TABLE WITH SINK AND LABORATORY FUMEHOOD FOR USE IN SATELLITE LABORATORIES OF PLANT PRODUCT SAFETY SERVICES DIVISION (PPSSD)</t>
  </si>
  <si>
    <t>20GMH039 - Supply/Delivery of  Fuel &amp; Oil Lubricants for use of various vehicle, chainsaw, and grass cutter assigned in Maintenance Section along-Awang-Upi-Lebak-Kalamansig-Palimbang-Sarangani Road, K</t>
  </si>
  <si>
    <t>20DE0134 Construction/Repair/Rehabilitation/Improvement of Various Infrastructure including Local Projects – Construction of Pastor Road including Drainage, Batangas City</t>
  </si>
  <si>
    <t>20HF0068 Construction and Rehabilitation of Road, Pancil-Maigang Road, Barili, Cebu</t>
  </si>
  <si>
    <t>20HF0070 Concreting of Brgy. Roads, Brgy. Poblacion, Aloguinsan, Cebu</t>
  </si>
  <si>
    <t>Contract ID No.: 20OB0046 Contract Name: Construction of Multi-Purpose Building, Barangay Barangka Ilaya, Mandaluyong City</t>
  </si>
  <si>
    <t>20MH0080 - Concreting of Local Road, Sitio Dinagaan to Upper Alas-as, Bagumbayan, Sultan Kudarat</t>
  </si>
  <si>
    <t>20MH0082 - Concreting of Sitio Dinagaan to Upper Alas-as Road, Brgy. Masiag, Bagumbayan, Sultan Kudarat</t>
  </si>
  <si>
    <t>20MH0074 - Concreting of Purok Kawayan Road, Brgy. Poblacion, Bagumbayan, Sultan Kudarat</t>
  </si>
  <si>
    <t>20MH0075 - Concreting of Road connecting Purok Narra, Brgy. Numo, Esperanza, Sultan Kudarat</t>
  </si>
  <si>
    <t>Contract ID No.: 20OB0031 Contract Name: Construction (Completion) of Mandaluyong City College, Barangay Addition Hills, Mandaluyong City</t>
  </si>
  <si>
    <t>Delivery of labor and materials for the Construction/Rehabilitation of Open Canal at Barangay Sta. Cruz, Bay, Laguna for their implementation of 20% Economic Development Fund  (C.Y. 2020)</t>
  </si>
  <si>
    <t>20MH0083 - Concreting of Sitio Masagana, Barangay Sangay, Kalamansig, Sultan Kudarat</t>
  </si>
  <si>
    <t>20MH0081 - Rehabilitation of Maligaya - Road Side, Barangay Sagasa, Esperanza, Sultan Kudarat</t>
  </si>
  <si>
    <t>Commercial Printing of Leaflet/Brochure</t>
  </si>
  <si>
    <t>20MH0084 - Concreting of Upper Balayan to Kidanao, Barangay Basak, Lebak, Sultan Kudarat</t>
  </si>
  <si>
    <t>CONSTRUCTION OF SLOPE PROTECTION AT PINAGBAYANAN INTEGRATED NHS TAYSAN,BATANGAS-038R</t>
  </si>
  <si>
    <t>Contract ID No.: 20OB0356 Contract Name: Construction of Drainage System at Brgy. Katuparan, Taguig City</t>
  </si>
  <si>
    <t>Contract ID No.: 20OB0038 Contract Name: Construction of Multi-Purpose Building at Barangay Vergara including Completion of Facilities, -Package 2 Mandaluyong City</t>
  </si>
  <si>
    <t xml:space="preserve">20NF0068:CONSTRUCTION OF RWCS (2020 CLUSTER) A.	CONSTRUCTION OF RWCS @ STA. PAZ PRIMARY SCHOOL, BRGY. STA. PAZ, SAN ISIDRO, SURIGAO DEL NORTE B.	CONSTRUCTION OF RWCS @ PELAEZ ELEMENTARY SCHOOL, BRGY. </t>
  </si>
  <si>
    <t>20MH0100 - Concreting Local Road, Purok Kawayan, Sultan Kudarat</t>
  </si>
  <si>
    <t>Contract ID No.: 20OB0128 Contract Name: Construction of Multi-Purpose Building, Barangay Sto. Rosario Silangan Pateros</t>
  </si>
  <si>
    <t>CID No. 20GLE0074/PR 20-03-0086 Purchase of Office Equipment and other Supplies for use in General Service Unit(1st Quarter).</t>
  </si>
  <si>
    <t xml:space="preserve">20-DO-0077: Local Program – Construction/Repair/Rehabilitation/Improvement of Various Infrastructure including Local Projects – Buildings and Other Structures – Multipurpose/Facilities – Construction </t>
  </si>
  <si>
    <t>SUPPLY AND DELIVERY OF 225 UNITS OF DISASTER TENT</t>
  </si>
  <si>
    <t>RECONSTRUCTION TO CONCRETE PAVEMENT, 280MM - ALONG CITY LIMIT – STO. TOMAS ROAD (S00404LZ),  K0255+000 - K0255+036, TUBA, BENGUET</t>
  </si>
  <si>
    <t>CLUSTERED REPAIR/ REHABILITATION OF ROADSLIPS, SLOPE COLLAPSE AND LANDSLIDE ALONG BAGUIO-BUA-ITOGON ROAD K0254+(-490) - K0254+(-510), ITOGON, BENGUET</t>
  </si>
  <si>
    <t>CID No. 20GLE0075/PR 20-03-0087 Purchase of NRTSP Equipment and Accessories for use in RTIA, Planning and Design Section.</t>
  </si>
  <si>
    <t>Construction of Road Slope Protection Structure: Along Baguio - Bauang Road (S00397LZ), K0288+665 - K0288+745, Sablan, Benguet</t>
  </si>
  <si>
    <t>CONSTRUCTION OF ROAD SLOPE PROTECTION STRUCTURE - ALONG TAWANG-AMBIONG ROAD (S00387LZ),K0263+870 - K0263+900, LA TRINIDAD, BENGUET</t>
  </si>
  <si>
    <t>20-02-088 Concreting of Arturo Buenavista Road with Box Culvert @ Barangay Kitacubong, Alamada, Cotabato</t>
  </si>
  <si>
    <t>20-DO-0081: ORGANIZATIONAL OUTCOME 2: Protect Lives and Properties Against Major Floods – Flood Management Program – Construction/ Rehabilitation of Flood Mitigation Facilities within Major River Basi</t>
  </si>
  <si>
    <t>CID No. 20GLE0078/PR 20-03-0107 Purchase of Spare Parts, Grass Cutter for use in Maintenance Section</t>
  </si>
  <si>
    <t>CID No. 20GLE0079/PR 20-03-0108 Purchase of Sweat Shirt for use in Maintenance Section (Roadside)</t>
  </si>
  <si>
    <t>20-DO-0079:LOCAL PROGRAM - Local Infrastructure Program - Building and Other Structures - Multipurpose/Facilities - Construction of Multi-Purpose Building and Facilities, San Francisco St., Brgy. Patu</t>
  </si>
  <si>
    <t>CID No. 20GLE0080/PR 20-04-0111 Purchase of fuel for use in various Equipment/Service Vehicle Davao-Sarangani Coastal Road (Sta.Maria-Malita-JAS-Glan), H-way Jnct.-lagumit-little baguio, New Argao, La</t>
  </si>
  <si>
    <t>CONCRETING OF SITIO JAPPOS TO SITIO ANENG FMR, BRGY. BANENGBENG, SABLAN, BENGUET</t>
  </si>
  <si>
    <t>20-DO-0080: ORGANIZATIONAL OUTCOME 1: Ensure Safe and Reliable National Road System – Network Development Program – Road Widening – Tertiary Roads – Tanay-Sampaloc Road – K0058+800 – K0059+129, K0061+</t>
  </si>
  <si>
    <t>CONSTRUCTION OF ONE(1) UNIT GPG-TYPE SCHOOL BUILDING AT DAGATAN E/S TAYSAN,BATANGAS-046R</t>
  </si>
  <si>
    <t>20AH0197	Repair/Maintenance of DOJ Building, NBI-Annex Building, Firing Range and Quarter, AB Fernandez West, Dagupan City</t>
  </si>
  <si>
    <t>CID No. 20GLE0076/PR 20-03-0091 Purchase of Provision of Reflective Thermoplastic Pavement Markings Along National roads and Bridges Davao Sarangani Coastal Road-Intermittent Section</t>
  </si>
  <si>
    <t>20DE0136 Construction/Repair/Rehabilitation/Improvement of Various Infrastructure including Local Projects – Construction of Multi-Purpose Building (Bauan Coliseum), Phase V, Bauan, Batangas</t>
  </si>
  <si>
    <t>CID No. 20GLE0083/PR 20-03-0106 Purchase of Nylon for use in Maintenance Section (Roadside)</t>
  </si>
  <si>
    <t>20DE0135 Local Infrastructure Program – Construction/Rehabilitation of Multi-Purpose Building, Brgy. Bolbok, Batangas City, Batangas</t>
  </si>
  <si>
    <t>20AH0198 Repair/Maintenance Office of the President, President Management Staff Building, AB Fernandez West, Dagupan City</t>
  </si>
  <si>
    <t>RECONSTRUCTION TO CONCRETE PAVEMENT, 280MM (REINFORCED PCCP) - SPECIFIC LOCATION ALONG BAGUIO - ITOGON ROAD (S00390LZ), K0 258+595 - K0259+534, ITOGON, BENGUET</t>
  </si>
  <si>
    <t>CID No. 20GLE0082/PR 20-04-0113 Purchase of asphalt for use in patching potholes Along Davao-Sarangani Coastal Road (Sta.Maria-Malita-Don Marcelino) Demoloc-Little Baguio Road, H-way Jct. Mana-Ticulon</t>
  </si>
  <si>
    <t>20DE0137 Local Infrastructure Program – Construction of Multi-Purpose Building (Phase 6, Bauan Sports Coliseum), Bauan, Batangas</t>
  </si>
  <si>
    <t>Delivery of labor and materials for the  Construction/Rehabilitation of Pathway at Barangay Sto. Domingo, Bay, Laguna for their implementation of 20% Economic Development Fund (C.Y. 2020)</t>
  </si>
  <si>
    <t>20DE0140 Local Infrastructure Program – Construction of Multi-Purpose Covered Court with Slope Protection at Brgy. Sta. Ana, Mabini, Batangas</t>
  </si>
  <si>
    <t>Construction of Shopping Center (phase 1), UP Diliman, Quezon City</t>
  </si>
  <si>
    <t>CID No. 20GLE0077/PR 20-03-0092 Purchase of Provision of Reflective Thermoplastic Pavement Markings Along National roads and Bridges A. Pangian-Pinalpalan-Demoloc Road, B. Demoloc-Alabel-Little Baguio</t>
  </si>
  <si>
    <t>Supply of Labor and Materials for the Development of Deployable and Collapsible Food Hub Including Fabrication of Chassis Components, Food Hub Framing, Electrical and Automation Works</t>
  </si>
  <si>
    <t xml:space="preserve">20-DO-0078: Local Program – Construction/Repair/Rehabilitation/Improvement of Various Infrastructure including Local Projects – Buildings and Other Structures – Multipurpose/Facilities – Construction </t>
  </si>
  <si>
    <t>20-DO-0082: ORGANIZATIONAL OUTCOME 1: Ensure Safe and Reliable National Road System – Asset Preservation Program – Rehabilitation/ Reconstruction of Roads with Slips, Slope Collapse and Landslide – Te</t>
  </si>
  <si>
    <t>Repair and Maintenance of New Public Market</t>
  </si>
  <si>
    <t>20DE0139 Local Infrastructure Program – Construction of Multi-Purpose Building, San Pascual, Batangas</t>
  </si>
  <si>
    <t>KADTACAN SLAB BRIDGE</t>
  </si>
  <si>
    <t>20AH0200 Repair/Maintenance of DOTr Building-LTO Main Building, AB Fernandez West, Dagupan City</t>
  </si>
  <si>
    <t>CID No. 20GLE0081/PR 20-04-0112 Purchase of fuel for use in various Equipment/Service Vehicle Davao-Sarangani Coastal Road (Sta.Maria-Malita-JAS-Glan), Sta.Maria-Malita, Pangian-Pinalpalan Road, Demol</t>
  </si>
  <si>
    <t>20AH0199 Repair/Maintenance of DOJ Building Land Registration Authority Buiding, AB Fernandez West, Dagupan City</t>
  </si>
  <si>
    <t>20DE0138 Local Infrastructure Program – Rehabilitation of Road along San Isidro - Sto. Niño Rd, Batangas City, Batangas</t>
  </si>
  <si>
    <t>20AH0205 Repair/Maintenance of Asphalt Pavement (Thin Overlay) along Dagupan-Bonuan-San Fabian Road, K0381+135-K0381+335, K0383+345-K0383+457 w/ exception, Dagupan City</t>
  </si>
  <si>
    <t>20AH0203 Repair/Maintenance of Lateral Drainage along Mangaldan-Manaoag-Binalonan Road, K0206+767-K0206+900 L/S, San Jacinto, Pangasinan</t>
  </si>
  <si>
    <t>Delivery of labor and materials for the project Construction of Rescue Parking at Arieta Park  Municipality of Bay, Laguna</t>
  </si>
  <si>
    <t>20DC0176 - LOCAL PROGRAM, Local Infrastructure Program, Buildings and Other Structures, Multipurpose/Facilities, Construction (Completion) of Multi-Purpose Building, Brgy. Emmanuel, Cuenca, Batangas</t>
  </si>
  <si>
    <t>20GDC0004-Purchase of Fuel and Lubricants of Service Vehicles and Equipments for the Month of July to September 2020</t>
  </si>
  <si>
    <t>20KC0120: Installation of Road Safety Devices (Pavement Studs) Along CDO City-Dominorog-Camp Kibaritan Road, Talakag, Bukidnon</t>
  </si>
  <si>
    <t>20KC0119: Installation of Road Safety Devices (Chevron Signs) Along Sayre Highway Alae-Kisolon Road, Manolo Fortich, Bukidnon</t>
  </si>
  <si>
    <t>20DC0179 - LOCAL PROGRAM, Local Infrastructure Program, Water Management Facilities, Water Supply, Construction (Completion) of Water Supply System, Brgy. Tumaway, Talisay, Batangas</t>
  </si>
  <si>
    <t>Construction of Multi-Level Parking at Camp Karingal, Quezon City</t>
  </si>
  <si>
    <t>20DC0180 - LOCAL PROGRAM, Local Infrastructure Program, Flood Control and Drainage, Drainage/Protection Works, Construction (Completion) of Drainage System, Brgy. 1, Mataas na Kahoy, Batangas</t>
  </si>
  <si>
    <t>20DC0178 - LOCAL PROGRAM, Local Infrastructure Program, Buildings and Other Structures, Multipurpose/Facilities, Construction (Completion) of Multi-Purpose Building, Brgy.  Poblacion 1, Cuenca, Batang</t>
  </si>
  <si>
    <t>20DC0177 - LOCAL PROGRAM, Local Infrastructure Program, Buildings and Other Structures, Multipurpose/Facilities, Construction (Completion) of Multi-Purpose Building, San Jose, Alitagtag, Batangas</t>
  </si>
  <si>
    <t>20AH0202 Repair/Maintenance of Flood Mitigation of Sinucalan Riverbank Protection, Dagupan City</t>
  </si>
  <si>
    <t>Construction of 2 Storey Multi-Purpose Building, Barangay Mariana, Quezon City</t>
  </si>
  <si>
    <t>20AH0204 Repair/Maintenance of Asphalt Pavement (Bridge Thin Overlay) along Pangasinan-Tarlac Road, Sobol Bridge, K0190+857, Aguilar, Pangasinan</t>
  </si>
  <si>
    <t>Preventive Maintenance of Road: Asphalt Overlay – NIA North Rd – (S05149LZ) Chainage 000 – Chainage 245, Quezon City</t>
  </si>
  <si>
    <t>Supply of fuel for the use of the RP Vehicles of the City Mayor’s Office, Kidapawan City.</t>
  </si>
  <si>
    <t>Proposed Road Concreting ((Road Concreting of 158m x 6.10m x 0.20m (2 lanes)), Construction of 243m Open Canal, Construction of 155m Concrete Gutter and Construction of 155m Sidewalk)  at Purok 7, Fro</t>
  </si>
  <si>
    <t>20DE0141 Local Infrastructure Program – Construction of Batangas Access Zone - West Side, Batangas City, San Pascual and Bauan, Batangas (Phase 1)</t>
  </si>
  <si>
    <t>CONTINUATION OF PUCHU-CHURSO PATHWAY</t>
  </si>
  <si>
    <t>20DC0181 - LOCAL PROGRAM, Local Infrastructure Program, Buildings And Other Structures, Multipurpose/Facilities, Construction (Completion) of Multi-Purpose Building, Brgy. Concepcion, Alitagtag, Batan</t>
  </si>
  <si>
    <t>Proposed Improvement of City Center Island (Improvement of Existing City Island) at Quezon Boulevard, Brgy. Poblacion, Kidapawan City</t>
  </si>
  <si>
    <t>20DC0175 - LOCAL PROGRAM, Local Infrastructure Program, Water Management Facilities, Water Supply, Construction (Completion) of Water Supply System, Brgy. San Agustin, Sto. Tomas, Batangas</t>
  </si>
  <si>
    <t>CONSTRUCTION OF NEW MULTI-PURPOSE BUILDING/HALL-phase 1</t>
  </si>
  <si>
    <t>Proposed Road Concreting (785.00 meters) at Ninoy Aquino Road, Brgy. Poblacion, Kidapawan City</t>
  </si>
  <si>
    <t>Supply and Delivery of Materials for Provision of Three Phase Power Supply System at Looc Public Market, Fish Landing and Processing Center</t>
  </si>
  <si>
    <t>Supply and Delivery of Various Office Equipment for MDRRM Office</t>
  </si>
  <si>
    <t>Proposed repair of the CGSO, Budget and Accounting Offices at City Hall, Brgy. Poblacion, Kidapawan City.</t>
  </si>
  <si>
    <t>20GKF0028-Purchase of Various Oil and Lubricants for use in Corrective Maintenance of Service Vehicle assigned in Construction Section</t>
  </si>
  <si>
    <t>Proposed Construction of slope protection at Purok Pomelo, Encarnacion Subdivision, Brgy. Poblacion, Kidapawan City(Nuangan Road).</t>
  </si>
  <si>
    <t>20DC0182 - LOCAL PROGRAM, Local Infrastructure Program, Water Management Facilities, Water Supply, Construction (Completion) of Water System, Brgy. Cuta East, Sta. Teresita, Batangas</t>
  </si>
  <si>
    <t>BARANGAY ROAD OPENING</t>
  </si>
  <si>
    <t>20DC0183 - LOCAL PROGRAM, Local Infrastructure Program, Water Management Facilities, Water Supply, Construction (Completion) of Water System, Brgy. Miranda, Talisay, Batangas</t>
  </si>
  <si>
    <t>Expansion and Improvement of Covered Court at Freedom Park</t>
  </si>
  <si>
    <t>River Slope Protection (Gabion Basket revetment) Brgy. Cabaroan</t>
  </si>
  <si>
    <t>20AD0109 : Rehabilitation of Galimuyod Public Market, Poblacion, Galimuyod, Ilocos Sur</t>
  </si>
  <si>
    <t>REPAIR OF TWO-STOREY 12-CLASSROOM BUILDING (DIEGO SILANG BUILDING) AT OMSC LABANGAN (2ND POSTING)</t>
  </si>
  <si>
    <t>Proposed Installation of Fire Sprinklers System &amp; FDAS, Malimono District Hospital, Surigao del Norte (Designed &amp; Build)- Rebidding</t>
  </si>
  <si>
    <t>Proposed Upgrading/Construction of Albor District Hospital, Dinagat Island</t>
  </si>
  <si>
    <t>20DC0185 - LOCAL PROGRAM, Local infrastructure Program, Buildings and Other Structures, Multipurpose/Facilities, Construction/Completion of Multi-Purpose Building, Brgy. San Rafael, Sto. Tomas, Batang</t>
  </si>
  <si>
    <t>PROCUREMENT OF VARIOUS FILTER, OIL FOR DEL-917, DEL-918, 919, 916 AND 921 USE</t>
  </si>
  <si>
    <t>Proposed Installation of Fire Sprinklers System &amp; FDAS, Albor District Hospital, PDI (Designed &amp; Build)- Rebidding</t>
  </si>
  <si>
    <t>Proposed Installation of Fire Sprinklers System &amp; FDAS, Mainit Medicare Hospital, Surigao del Norte (Designed &amp; Build)- Rebidding</t>
  </si>
  <si>
    <t>Procurement of Various Medicines supplies to be used in the Municipal Health Bay, Laguna for 1 st and 2nd Quarter</t>
  </si>
  <si>
    <t>Proposed Construction  of Loreto District Hospital-ISO Ward Building, Dinagat Island</t>
  </si>
  <si>
    <t>Proposed Installation of Fire Sprinklers System &amp; FDAS, Las Nieves Municipal Hospital, Agusan del Norte (Designed &amp; Build)- Rebidding</t>
  </si>
  <si>
    <t>Proposed Installation of Fire Sprinklers System &amp; FDAS, Jabonga District Hospital, Agusan del Norte (Designed &amp; Build- Rebidding</t>
  </si>
  <si>
    <t>Widening of Road (Kinawitnon Moncado), Babak District, IGaCoS under PR No. 2020-02-1450</t>
  </si>
  <si>
    <t>Proposed Installation of Fire Sprinklers System &amp; FDAS, Loreto District Hospital Agusan del Sur (Designed &amp; Build)- Rebidding</t>
  </si>
  <si>
    <t>Development of Beach Park (Completion of Hostel) at Poblacion, Kaputian District, IGaCoS under PR No. 2020-04-2177</t>
  </si>
  <si>
    <t>Improvement of Children's Resource Center CY 2019-1% LCPC</t>
  </si>
  <si>
    <t>City Hall Park (P-2) Sitio Maag, Peñaplata, Samal District, IGaCoS under PR No. 2020-03-1589</t>
  </si>
  <si>
    <t>Invitation to Bid Improvement of CICL Center</t>
  </si>
  <si>
    <t>Proposed Construction of Medical Record &amp; Stock Room Building, Esperanza Medicare Hospital</t>
  </si>
  <si>
    <t>Site Development for the Proposed Bahay Pag-asa at Brgy. Galutan, Catar,man, N. Samar</t>
  </si>
  <si>
    <t>Invitation to Bid Purchase of Facilities and Equipment for Teen Center</t>
  </si>
  <si>
    <t>Construction of Multi Purpose Pavement @ Sitio Mayagak, Brgy. Bagtic CY 2019-20% EDF</t>
  </si>
  <si>
    <t>Quality Palay Seeds for Rehabilitation Program in the Province of Laguna</t>
  </si>
  <si>
    <t>20AD0108 :Construction/Rehabilitation of Water Supply/Septage and Sewerage/Rain Water Collectors-Rain water Collector System, Ilocos Sur</t>
  </si>
  <si>
    <t>Construction of Rain Water Collector @ Kaputian Dist. Hall Evacuation Center Freedom Park, Night Market, Kaputian Beach Park Hostel &amp; Licup Balay Silangan under PR No. 2020-05-2379.</t>
  </si>
  <si>
    <t>Completion of Crisis Center Building CY 2018-5% GAD</t>
  </si>
  <si>
    <t>Supply of fuel for the use of the RP Vehicles of the different sections(Anti-drug, PNP, TMU, BFP, BJMP, Licensing, Task Force, Nutrition) of the City Mayor’s Office, Kidapawan City</t>
  </si>
  <si>
    <t>Various Projects of Barangay Poblacion, Bugallon, Pangasinan</t>
  </si>
  <si>
    <t>Concreting of Road New City Hall &amp; Market Site/Site Development of the New City Hall/Land Development (Proposed City Hall Site), Sitio Maag, Peñaplata, Samal District, IGaCoS under PR No. 2020-05-2384</t>
  </si>
  <si>
    <t>Installation of Solar Streetlights at Limao, Caliclic, Pangubatan, IGACOS  under PR No. 2020-04-2139.</t>
  </si>
  <si>
    <t>20DC0184 - LOCAL PROGRAM, Local Infrastructure Program, Buildings and Other Structures, Multipurpose/Facilities, Construction (Completion) of Multi-Purpose Building, Brgy. San Jose, Tanauan City, Bata</t>
  </si>
  <si>
    <t>Drainage System, Peñaplata to Tagdaliao Samal District, IGACOS  under PR No. 2020-05-2337.</t>
  </si>
  <si>
    <t>Rehabilitation and Installation of Pavement Block for Pathways at Bandera Natures Park, Bandera, IGACOS  under PR No. 2020-03-2024.</t>
  </si>
  <si>
    <t>I.V. Fluids for LPH-San Pablo City District Hospital</t>
  </si>
  <si>
    <t>Supply and Delivery of 35 units Multicabs under Purchase Request No. 590-20</t>
  </si>
  <si>
    <t>Construction of drainage system (islandwide) Taganiog St.,  Brgy. Peñaplata, Samal Dist., IGACOS  under PR No. 2020-03-1588.</t>
  </si>
  <si>
    <t>Construction of Fence Around Multi Purpose Building @ Brgy. Concepcion CY 2019-20% EDF</t>
  </si>
  <si>
    <t>Installation of Lighting Facilities Inside Pahulayan Memorial (solar light) @ San Miguel, Samal Dist., IGACOS  under PR No. 2020-04-2131.</t>
  </si>
  <si>
    <t>Construction of Wheelbath at Caliclic, Babak Dist., IGACOS  under PR No. 2020-04-2281</t>
  </si>
  <si>
    <t>Proposed Upgrading of Cabadbaran District Hospital (Construction of Additional Wards)</t>
  </si>
  <si>
    <t>Food Subsistence for Laguna Provincial Jail Inmates from July 1  to December 31, 2020</t>
  </si>
  <si>
    <t>Repair and Rehabilitation of Twelve (12) Classrooms under BEFF 2019 - Lot 1</t>
  </si>
  <si>
    <t>Development of Water Supply System &amp; Facilities @ Pob. Kaputian Dist. (Kaputian BP &amp; Dist. Hall)  under PR No. 2020-04-2235.</t>
  </si>
  <si>
    <t>FORMULATION OF CLUP WITH ZONING ORDINANCE</t>
  </si>
  <si>
    <t>Implementation of the PSF Funded Projects</t>
  </si>
  <si>
    <t>Improvement &amp; Concreting of Farm to Market Road, Villa Hermosa</t>
  </si>
  <si>
    <t>Supply and Delivery of 163,416 sachet Rice-Mongo-Sesame Seeds Cereal/Blend under Purchase Request No. 835-20</t>
  </si>
  <si>
    <t>Improvement Of Local Access Road, Sitio Kintayum, Calaoaan</t>
  </si>
  <si>
    <t>Comprehensive Drainage and Sewerage Project (Babak)  under PR No. 2020-02-1451.</t>
  </si>
  <si>
    <t>PROJECT: PROCUREMENT OF ONE (1) UNIT DIGITAL COMMUNICATION BOARD</t>
  </si>
  <si>
    <t>Concreting of Road at Bgy. Bagtic CY 2019-20% EDF</t>
  </si>
  <si>
    <t>Construction of Concrete Bridge/Bongolanon-Kinarum Road leading to Kirungdong Waterfalls and Wildlife Rescue Center, Brgy. Kinarum, Magpet, North Cotabato</t>
  </si>
  <si>
    <t>Improvement &amp; Concreting of Farm to Market Road, Quinsoriano</t>
  </si>
  <si>
    <t>20EE0135-Construction of Slope Protection for 3 Storey 12 Classroom (6 Reg. Workshops), Roxas National Comprehensive High School, Roxas, Palawan</t>
  </si>
  <si>
    <t>Pag-IBIG Fund CHQ (Supply, Delivery and Implementation of Appliance-based Application Delivery Controllers (ADC))</t>
  </si>
  <si>
    <t>Repair and Rehabilitation of Twenty-One (21) Classrooms under BEFF 2019-Lot 2</t>
  </si>
  <si>
    <t>Expansion of Level III Water System at Campuyo AM 2019</t>
  </si>
  <si>
    <t>PURCHASE OF MOTOR VEHICLE</t>
  </si>
  <si>
    <t>Rehabilitationof Brgy. Road, Brgy. Palasan, Burdeos, Quezon</t>
  </si>
  <si>
    <t>Construction of Multi-Purpose Hall (Phase II)-Brgy. La Curva, San Jose, Occidental Mindoro</t>
  </si>
  <si>
    <t>Rehabilitation of Concrete Pavement, Rizal Street, Brgy. Poblacion, Burdeos, Quezon</t>
  </si>
  <si>
    <t>Rehabilitation of Farm to Market Road, Brgy. Amot, Burdeos, Quezon</t>
  </si>
  <si>
    <t>Improvement of drainage Canal in Metro Poblacion Area CY 2019-70% of 5% Calamity Fund</t>
  </si>
  <si>
    <t>Construction of Box Culvert, Brgy. Cabugao, Burdeos, Quezon</t>
  </si>
  <si>
    <t>Construction of Farm to Market Road, So. Babakulan, Brgy. Anibawan, Burdeos Quezon</t>
  </si>
  <si>
    <t>Construction of Farm to Market Road, So.Guinatongan, Brgy. Amot, Burdeos, Quezon</t>
  </si>
  <si>
    <t>Repair and Rehabilitation of Four (4) Classrooms under BEFF 2019 - Lot</t>
  </si>
  <si>
    <t>Road Concreting at Brgy. kauswagan CY 2019-20% EDF</t>
  </si>
  <si>
    <t>Purchase of IT Equipment – SPO</t>
  </si>
  <si>
    <t>Construction of Retaining wall as slope protection for Bedbed ES under QRF 2020 - Lot 15</t>
  </si>
  <si>
    <t>Proposed Construction of Berseba BHS, Brgy. Berseba, Bayugan City, Agusan del Sur</t>
  </si>
  <si>
    <t>Concreting of 210m. Sitio Balangisig Access Road at Bgy. Concepcion Addendum No. 3 CY 2019</t>
  </si>
  <si>
    <t>20CSPJ01: Soil Testing/Exploration for the project: Construction of Local Bridge, Inwaloy-Epeng-Magulon, Mayoyao, Ifugao</t>
  </si>
  <si>
    <t>Procurement of Agregates Base Course , Fuel &amp; Lubricants ( FMR Road Macalibre Bajo -Dampalan Road ) -MEO Lopez Jaena</t>
  </si>
  <si>
    <t>Contract ID No. 19K00472 - Construction of Four Storey School Building with Twenty (20) Classrooms in the Integrated School of Brgy. Moncado Kadingilan in the Most Affected Area of Marawi City</t>
  </si>
  <si>
    <t>LUBRICANT, WIRE ROPE</t>
  </si>
  <si>
    <t>Contract ID No. 20K00311 - Construction of Flood Control Mitigation along Bubong River, Bubong, Lanao del Sur (Re-ITB)</t>
  </si>
  <si>
    <t>Supply and Delivery of Labor and Materials for the Repair and Renovation of 2nd Floor of Multi-Purpose Building (B-203)</t>
  </si>
  <si>
    <t>CAMERA DLSR 20 MP MIN. W/MOVIE MAKER; AT LEAST 24.3 MP3</t>
  </si>
  <si>
    <t>Contract ID No. 19K00471 - Construction of Marawi City Central Fire Station in the Most Affected Area of Marawi City</t>
  </si>
  <si>
    <t>Purchase of Desktop Computer w/ Accessories</t>
  </si>
  <si>
    <t>Supply and Delivery of Window Roller Blinds</t>
  </si>
  <si>
    <t>Supply and Delivery of 5,000 Rounds Cartridge, 30mm HEI</t>
  </si>
  <si>
    <t>20F00089 (re-advertisement) - OO2: Protect Lives and Properties Against Major Floods – Flood Management Program – Construction/Maintenance of Flood Mitigation Structures and Drainage Systems - Legazpi</t>
  </si>
  <si>
    <t>Purchase and Delivery of Office and Janitorial Supplies</t>
  </si>
  <si>
    <t>Upgrading of Old Transmission Line (Tamban Spring)</t>
  </si>
  <si>
    <t>Improvement of Water System, Brgy. Malaiba, Canlaon City</t>
  </si>
  <si>
    <t>Repair and Rehabilitation of Eight (8) Classrooms under BEFF 2020 - Lot 3</t>
  </si>
  <si>
    <t>INVITATION TO BID FOR THE SUPPLY AND DELIVERY OF 1 UNIT SURPLUS REFRIGERATED MEAT VAN FOR CEEDO, OROQUIETA CITY</t>
  </si>
  <si>
    <t>RFQ 0687 Cefotaxime Inj.: 500mg vial + 2ml diluent IM,IV (as sodium salt)</t>
  </si>
  <si>
    <t>20GKJ0003: Supply and Delivery of Office Equipment Supplies and Consumables (Consolidated Purchase Request), DPWH 2nd DEO, Sta. Maria, Tangub City</t>
  </si>
  <si>
    <t>BIDDING (Infra Project)</t>
  </si>
  <si>
    <t>Contract ID No. 20K00084 - Construction of Regional Police Security and Protection Units (RSPUs) and Presidential Protection Division (PPD) Building under the Police Security and Protection Group (PSP</t>
  </si>
  <si>
    <t>Repair/Maintenance of Drainage along Muzon-Tungkong Mangga Road, K0041+(-480) – K0041+(-070) Muzon Section, City of San Jose del Monte, Bulacan</t>
  </si>
  <si>
    <t>Contract ID No. 20K00309 - Construction of Balabagan Municipal Police Station Building, Balabagan, Lanao Del Sur (Re-ITB)</t>
  </si>
  <si>
    <t>Construction/Rehabilitation of Water Supply/Septage and Sewerage/Rain Water Collectors – Rain Water Collectors in Public Facilities – Region III</t>
  </si>
  <si>
    <t>Procurement of BOOKS, MAPS AND OTHER PUBLICATIONS</t>
  </si>
  <si>
    <t>Supply &amp; Delivery of Various Materials for the Construction of Multi-purpose Hall (Phase II) of Brgy. Osmeña, Bato, Leyte</t>
  </si>
  <si>
    <t>PURCHASE OF MACHINES/EQUIPMENT/MATERIALS – DEVELOPMENT AND OR/UPGRADING OF MUNICIPAL WASTE RECOVERY AND RECYCLING PROCESSING SYSTEM</t>
  </si>
  <si>
    <t>Purchase of Computer Supplies for Various Offices (2nd Bid Opening)</t>
  </si>
  <si>
    <t>20DQ0101 - LOCAL PROGRAM – Local Infrastructure Program – Buildings and Other Structures – Multi-Purpose /Facilities – Construction of Multi-Purpose Building, Brgy. Sampaloc 4, Dasmariñas City, Cavite</t>
  </si>
  <si>
    <t>20PJ0050: Local Infrastructure Program - Construction of Roads, Palaad- Ayangan, Mayoyao, Ifugao</t>
  </si>
  <si>
    <t>Procurement of Industrial Machinery and Equipment</t>
  </si>
  <si>
    <t>Improvement and Expansion of Potable Water System-Level II @ Prk. Puago to Prk. Lorenzana (Datru-Dani 20% LDF 2020)</t>
  </si>
  <si>
    <t>Completion/Construction Of Multi Purpose Gym. Brgy. Cabugao Iloilo</t>
  </si>
  <si>
    <t>Concreting of Panadtaran Local Access Road (Purok 4)</t>
  </si>
  <si>
    <t>Delivery of labor and materials for the project of Construction of Access Road to Bay Evacuation at  Brgy. Dila, Bay, Laguna</t>
  </si>
  <si>
    <t>Repair/Maintenance of DILG Building Bureau of Fire Protection- Meycauayan Fire Station, Meycauayan City, Bulacan</t>
  </si>
  <si>
    <t>PROCUREMENT OF I-UNIT BACKHOE</t>
  </si>
  <si>
    <t>Repair/Maintenance of DA Building Bureau of Soil &amp; Water Management Green House, Poblacion, San Ildefonso, Bulacan</t>
  </si>
  <si>
    <t>20DQ0104 - LOCAL PROGRAM – Local Infrastructure Program – National Roads and Bridges – National Roads – Construction /Rehabilitation of Sidewalk including Drainage at McDonald Jct - Aguinaldo Hi-way (</t>
  </si>
  <si>
    <t>Completion/Construction Of Multi Purpose Gym. Brgy.Cagban, New Lucena Iloilo</t>
  </si>
  <si>
    <t>CONSTRUCTION OF BARANGAY GYM CONCRETE BLEACHER</t>
  </si>
  <si>
    <t>20GGN0089-Procurement of Fuel, Oil and other Lubricants for use in the Dredging of Bagonawa River (Banawang-Cansonsing - Cambaslan Creek) and its tributaries (Phase 1), San Enrique, Neg. Occ.</t>
  </si>
  <si>
    <t>20PJ0052: CONSTRUCTION/ REHABILITATION OF WATER sUPPLY/ RAIN WATER COLLECTORS</t>
  </si>
  <si>
    <t>20DQ0105 - LOCAL PROGRAM – Construction / Repair / Rehabilitation / Improvement of Various Infrastructure including Local Projects – Buildings and Other Structures – Multi-Purpose /Facilities – Constr</t>
  </si>
  <si>
    <t>20GSK00005 – Re-ITB – Supply and delivery of Laptop Computer, Projector and Tripod Projection Screen for use of the Road Right of Way Section, Planning and Design Division 1st Quarter, 2020</t>
  </si>
  <si>
    <t>20DQ0103 - LOCAL PROGRAM – Local Infrastructure Program – Local Roads and Bridges – Local Bridges – Construction of Bridge with Box Culvert, Brgy. San Gabriel, GMA, Cavite</t>
  </si>
  <si>
    <t>Purchase of military, police &amp; traffic supplies for SCAA maintenance under PR#2020-01-0797.</t>
  </si>
  <si>
    <t>20PJ0051: Local Infrastructure Program - Construction of Roads, Mongol Talboc, Mayoyao, Ifugao</t>
  </si>
  <si>
    <t>Purchase of Various Supplies and Medicines for Assistance to 4,902 Families Province of Northern Samar</t>
  </si>
  <si>
    <t>Repair/Maintenance of DPWH Building Stock Room Bulacan II District Engineering Office, Pulong Buhangin, Santa Maria, Bulacan</t>
  </si>
  <si>
    <t>Purchase of Tsunami Early Warning Device - Alerting Siren Components</t>
  </si>
  <si>
    <t>20DQ0102 - LOCAL PROGRAM – Local Infrastructure Program – Buildings and Other Structures – Multi-Purpose /Facilities – Construction and/or Repair/Rehabilitation of Multi-Purpose Building, Brgy. Sampal</t>
  </si>
  <si>
    <t>Local Access Road in Poblacion Proper @ Cuenca, Batangas</t>
  </si>
  <si>
    <t>Repair of Classrooms at Liloan Central School</t>
  </si>
  <si>
    <t>Repair/Maintenance of DPWH Building Laboratory Room Bulacan II District Engineering Office, Pulong Buhangin, Santa Maria, Bulacan</t>
  </si>
  <si>
    <t>Purchase of Relief Goods Assistance from Bayanihan Grant for COVID-19 OutBreak.</t>
  </si>
  <si>
    <t>Completion/Construction Of Multi Purpose Gym. Brgy.Calumbuyan, New Lucena Iloilo</t>
  </si>
  <si>
    <t>Purchase of 50 units Hand Tractor Office of the Provincial Agriculture Province of Northern Samar</t>
  </si>
  <si>
    <t>20GSK00007 – Supply of Diesel Fuel EURO 4 compliant and Gasoline Fuel for the use of various equipment of DPWH-X (1st Quarter of 2020 Allocation)</t>
  </si>
  <si>
    <t>20GSK00008 – Supply and testing of Portable Weigh-in-motion System with wireless technology for use in the conduct of traffic data collection (Axle Load Survey)</t>
  </si>
  <si>
    <t>Purchase of Drugs and Medicines for 2nd Quarter - CHO</t>
  </si>
  <si>
    <t>Road Concreting of 30LM Barangay Road Pigcarangan Pukok 5,  Tubod, Lanao del Norte</t>
  </si>
  <si>
    <t>12 units Submersible Pump and Motor</t>
  </si>
  <si>
    <t>Completion/Construction Of Multi Purpose Gym. Brgy.Jelicuon Este,New Lucena, Iloilo</t>
  </si>
  <si>
    <t>Construction of Public Market</t>
  </si>
  <si>
    <t>Construction of Spillway Type Box Culvert at Tagite Bridge at Baungon</t>
  </si>
  <si>
    <t>Purchase of Supplies for Family Planning – 2nd Quarter - CHO</t>
  </si>
  <si>
    <t>20FO0078 - Activity 71X - Special Maintenance - Replacement of Concrete Pavement along Ligao-Pioduran Road, K0518+204 - K0518+239, K0520+660 - K0520+669, K0532+029 - K0532+074, and K0533+438 - k0533+4</t>
  </si>
  <si>
    <t>20JE0086 Network Development – Construction of By-Pass and Diversion Roads, NRJ Poblacion Tambulig-Tungawan-Pasingkalan Zamboanga del Sur</t>
  </si>
  <si>
    <t>Expansion of Potable Water System at Pigcarangan Pukok 3,  Tubod, Lanao del Norte</t>
  </si>
  <si>
    <t>20JE0087 Construction/Improvement of Access Roads leading to Trades, Industries and Economic Zones, NRJ to Brgy. San Juan, Aurora-Brgy. Man-ilan, Tukuran, in support of Coco Activated Carbon  Zamboang</t>
  </si>
  <si>
    <t>Rehabilitation/Improvement of Municipal Public Market Incorporating w/ Disaster Resilient Design at Brgy. Guisijan, Laua-an, Antique</t>
  </si>
  <si>
    <t>20GJCS0003 REQUEST FOR PROPOSAL</t>
  </si>
  <si>
    <t>Construction of Various Projects - Package VI</t>
  </si>
  <si>
    <t>Purchase of Office Supplies for 2nd Quarter – GSO</t>
  </si>
  <si>
    <t>Construction of Multi-Purpose Hall (Phase II)- Brgy. Tuban, Sablayan, Occidental Mindoro</t>
  </si>
  <si>
    <t>20A00206: Repair/Rehabilitation of Slope Protection Structure along Pangasinan-Nueva Vizcaya Road (K0224+140 - K0224+340), San Nicolas, Pangasinan</t>
  </si>
  <si>
    <t>Concreting of Local Access Road at Cabiao, Nueva Ecija</t>
  </si>
  <si>
    <t>Construction of Multi-Purpose Hall (Phase II)- Capitol Compund, Mamburao, Occidental Mindoro</t>
  </si>
  <si>
    <t>REHABILITATION OF WATER SYSTEM (Procurement of Construction Materials)</t>
  </si>
  <si>
    <t>Purchase of Supplies for Clean and Green Project – CENRO</t>
  </si>
  <si>
    <t>Completion/Construction Of Multi Purpose Gym. Brgy. Guinobatan,New Lucena,Iloilo</t>
  </si>
  <si>
    <t>CONSTRUCTION OF BRGY. HALL, PHASE II, BRGY. SUBA, VILLABA, LEYTE - BRGY. FUND</t>
  </si>
  <si>
    <t>PROCUREMENT OF HYBRID AND CERTIFIED PALAY SEEDS FOR DISTRIBUTION TO FARMERS</t>
  </si>
  <si>
    <t>PROCUREMENT OF MATERIALS FOR THE REPAIR/MAINTENANCE - OTHER PROPERTY, PLANT &amp; EQUIPMENT (ELECTRIFICATION)</t>
  </si>
  <si>
    <t>Supply and Delivery of Construction Materials for the Repair of District Auditorium (Second Posting)</t>
  </si>
  <si>
    <t>CLUSTER 17-2020</t>
  </si>
  <si>
    <t>Construction of Multi-Purpose Hall (Phase II)-Brgy. Monteclaro, San Jose, Occidental Mindoro</t>
  </si>
  <si>
    <t>20FE0121 – LP: LOCAL ROADS AND BRIDGES - LOCAL ROADS - CONSTRUCTION/ REPAIR/ REHABILITATION/ IMPROVEMENT OF VARIOUS INFRASTRUCTURE INCLUDING LOCAL PROJECTS - REHABILITATION/UPGRADING/CONSTRUCTION OF S</t>
  </si>
  <si>
    <t>REPRESENTATION  EXPENSES OF THE MAYOR</t>
  </si>
  <si>
    <t>20GSK00009 – Supply and delivery of Office Supplies &amp; Consumables for use in the Office of the Regional Director, 1st quarter of 2020</t>
  </si>
  <si>
    <t>PROCUREMENT OF UTILITY SERVICES FOR BIR RR10, LEGAZPI CITY FOR THE PERIOD JULY 1, 2020 TO DECEMBER 31, 2020</t>
  </si>
  <si>
    <t>Purchase of Disinfectant Solution for Preventive Measures COVID-19 – City Schools Division</t>
  </si>
  <si>
    <t>20A00207: Construction / Rehabilitation of Water Supply / Septage and Sewerage/Rain Water Collectors - Rainwater Collector in Public Facilities in Region I</t>
  </si>
  <si>
    <t>CONCRETING OF PORTION OF ALNO-KADOORIE E/S GROUNDS</t>
  </si>
  <si>
    <t>Construction of Multi-Purpose Hall (Phase II)- Hacienda Yap, Brgy. Aguas, Rizal, Occidental Mindoro</t>
  </si>
  <si>
    <t>Purchase of Flu Vaccines for the City Employees - CHO</t>
  </si>
  <si>
    <t>SUPPLY OF TWO (2) UNITS FIBERGLASS FERRY BOAT (ENGINE NOT INCLUDED WITH COMPLETE ACCESSORIES CANOPY, RAILINGS BOTH SIDES, FIXED CHAIRS)</t>
  </si>
  <si>
    <t>(Clean and Green Program –  Implementation of Urban/Vertical Agriculture in Various Barangays / Public Schools)</t>
  </si>
  <si>
    <t>CONSTRUCTION OF VINTAR FIRE STATION, ILOCOS NORTE, CY 2020 (REBIDDING)</t>
  </si>
  <si>
    <t>Eight (8) Lots Construction Materials for use in the Additional Appropriation for Rehabilitation/Improvement of Annex Building at NOPH (GAD), Dumaguete City, Neg. Or. (B-73-2020)</t>
  </si>
  <si>
    <t>Public Bidding of 3 Lots for the Supply and Delivery of Medical, Dental and Laboratory Supplies for City Health Office under ITB No. 2020-005-A</t>
  </si>
  <si>
    <t>Purchase of Various Drugs and Medicines</t>
  </si>
  <si>
    <t>May-it SIP-WS-01-2020 - Supply, Delivery &amp; Installation of Solar Powered Pump, Control, Panel &amp; Accessories of May-it SIP, Basey, Samar</t>
  </si>
  <si>
    <t>Purchase and Provision of Certified Seeds</t>
  </si>
  <si>
    <t>CONTRACT OF SERVICE for 75 SECURITY GUARDS for various Marikina City Government Offices, Buildings &amp; Facilities</t>
  </si>
  <si>
    <t>CONTINUATION OF CONSTRUCTION OF THE PROVINCIAL CAPITOL</t>
  </si>
  <si>
    <t>Purchase of Ambulance</t>
  </si>
  <si>
    <t>Re-bidding for the Purchase of Five (5) units Carry for the use at MDRRMO &amp; different Brgys., Municipality of Hinigaran, Negros Occidental.</t>
  </si>
  <si>
    <t>Improvement of Multi-Purpose Building, Brgy. Binalbagan, Canlaon City</t>
  </si>
  <si>
    <t>Procurement of Various Projects (Package 1)</t>
  </si>
  <si>
    <t>MAINTENANCE OF BESAO- NACAWANG PROVINCIAL ROAD</t>
  </si>
  <si>
    <t>20DB0133 Repair/Maintenance of DOJ Building, Hall of Justice Building, Paz Street, Balayan, Batangas</t>
  </si>
  <si>
    <t>Supply &amp; Delivery of ID Card Printer &amp; Accessories, Office of the Municipal Mayor, Buenavista, Quezon</t>
  </si>
  <si>
    <t>Procurement of Various Projects (Package 2)</t>
  </si>
  <si>
    <t>May-it SIP-WS-02-2020 - Construction of Irrigation Facilities of May-it SIP, Basey, Samar</t>
  </si>
  <si>
    <t>GD2020-05-005_SUPPLY AND DELIVERY OF TWO THOUSAND THREE HUNDRED NINETY (2,390) SETS CHLORINE DIOXIDE (BUG BUST 4322 &amp; 4324) FOR WATER TREATMENT AND MAINTENANCE USE- 2ND QUARTER OF CY 2020</t>
  </si>
  <si>
    <t>Supply &amp; Delivery of Materials &amp; Installation of Sound System, Office of the Sangguniang Bayan, Buenavista, Quezon</t>
  </si>
  <si>
    <t>Supply/Delivery &amp; Installation of Fabricated Office Partition (Cubicle Type) with Accessories, Office of the Sangguniang Bayan, Buenavista, Quezon</t>
  </si>
  <si>
    <t>20GPG0001 - SUPPLY AND DELIVERY OF THERMOPLASTIC PAVEMENT MARKINGS WITHIN THE DISTRICT</t>
  </si>
  <si>
    <t>Construction of Slope Protection Structures, Mandi-i, Brgy. Magsaysay</t>
  </si>
  <si>
    <t>CLUSTER 18-2020</t>
  </si>
  <si>
    <t>Construction of Multi-Purpose Covered Court – Brgy. Sta. Cruz (Phase I and II)</t>
  </si>
  <si>
    <t>Rehabilitation of Pathway and Drainage Canal (Dona Alicia Ext.) Ligas I</t>
  </si>
  <si>
    <t>Concreting of Barangay Road - Buenavista Caramoran</t>
  </si>
  <si>
    <t>Concreting of Local Roads – Sitio Bitoclan to Sitio Maantol, Brgy. Calamba</t>
  </si>
  <si>
    <t>Construction of River Control Dike – Brgy. Mckinley</t>
  </si>
  <si>
    <t>20BD0100 – REPAIR/MAINTENANCE OF DILG BUILDING PNP - OFFICE BUILDING &amp; OFFICER’S QUARTER CAGAYAN POLICE PROVINCIAL OFFICE, TUGUEGARAO CITY, CAGAYAN</t>
  </si>
  <si>
    <t>Construction of School Building Ligas II Elementary School - Ligas I</t>
  </si>
  <si>
    <t>Procurement of Certified Palay Seeds (Subsidized Program) to be distributed to farmers of Guagua, Pampanga</t>
  </si>
  <si>
    <t>Concreting of Local Road – Brgy. Hilaitan</t>
  </si>
  <si>
    <t>ITB No. 2020-001-AFS - LEASE OF THREE-IN-ONE MONOCHROME AND COLORED PHOTOCOPIER MACHINE/NETWORK PRINTER/NETWORK SCANNER FOR THE FOOD AND DRUG ADMINISTRATION CENTRAL OFFICE INCLUDING FDAC</t>
  </si>
  <si>
    <t>Concreting of Local Roads – Brgy. Sandayao</t>
  </si>
  <si>
    <t>Construction of Multi-Purpose Hall (Phase II)-Brgy. Caminawit, San Jose, Occidental Mindoro</t>
  </si>
  <si>
    <t>20BD0099 – REPAIR/MAINTENANCE OF NATIONAL ROAD ALONG CAGAYAN APAYAO ROAD K0494+229 – K0494+450, SOLANA, CAGAYAN</t>
  </si>
  <si>
    <t>Renovation of Day Care Center At Molino VI</t>
  </si>
  <si>
    <t>Construction of Stage of Multi-Purpose Hall at San Antonio Elementary School</t>
  </si>
  <si>
    <t>Delivery of Brand New Vehicle needed City Administrator's Office (ITB 20-067)</t>
  </si>
  <si>
    <t>SUPPLY AND DELIVERY OF 125CC SINGLE MOTORCYCLE W/ SIDECAR</t>
  </si>
  <si>
    <t>20BD0101 – REPAIR/MAINTENANCE OF DPWH BUILDING  REGIONAL SERVICES MOTORPOOL BUILDING B, LINGU, SOLANA, CAGAYAN</t>
  </si>
  <si>
    <t>20BD0103 – REPAIR/MAINTENANCE OF DILG BUILDING PNP - NATIONAL SUPPORT UNITS - CIDG 2, RIU 2, RIAS 2, PDEA 2, CAMP MARCELO A. ADDURU, TUGUEGARAO CITY</t>
  </si>
  <si>
    <t>Improvement of Multipurpose Building (People's Center) at Bayanan</t>
  </si>
  <si>
    <t>(Construction of Multi-Purpose Covered Court – Brgy. Bolo (Phase I and II)</t>
  </si>
  <si>
    <t>Installation of Solar Energy Powered Streetlights at Molino Public Cemetery Molino II</t>
  </si>
  <si>
    <t>20BD0104 – REPAIR/MAINTENANCE OF DILG BUILDING PHILIPPINE NATIONAL POLICE ELECTRONIC AND COMMUNICATION SERVICES, CAMP MARCELO A. ADDURU, TUGUEGARAO CITY</t>
  </si>
  <si>
    <t>20BD0102 – REPAIR/MAINTENANCE OF DPWH BUILDING REGIONAL SERVICES QUARTERS - PHASE 3, LINGU, SOLANA, CAGAYAN</t>
  </si>
  <si>
    <t>Purchase of Musical Instruments</t>
  </si>
  <si>
    <t>Construction of Provincial Directors Quarters, Oriental Mindoro PPO (1st &amp; Last Phase)</t>
  </si>
  <si>
    <t>Construction of JNR-Sta. Teresa P/R Slope Protection-Magsaysay, Occidental Mindoro</t>
  </si>
  <si>
    <t>Construction of Quartering Facilities, Oriental Mindoro PPO (1st &amp; Last Phase)</t>
  </si>
  <si>
    <t>Construction of Parking Areas for the various Facilities</t>
  </si>
  <si>
    <t>(Construction of Multi-Purpose Covered Court – Brgy. San Jose)</t>
  </si>
  <si>
    <t>20BD0106 – REPAIR/MAINTENANCE OF DPWH BUILDING  REGIONAL SERVICES MOTORPOOL BUILDING A, LINGU, SOLANA, CAGAYAN</t>
  </si>
  <si>
    <t>Improvement of Day Care Building and Premises at Bahayang Pag-Asa, Molino V</t>
  </si>
  <si>
    <t>CLUSTER 19-2020</t>
  </si>
  <si>
    <t>Information Technology for ICTD-2020-0022</t>
  </si>
  <si>
    <t>Maintenance of Water System</t>
  </si>
  <si>
    <t>20BD0107 – REPAIR/MAINTENANCE OF DILG BUILDING PNP - REGIONAL HEADQUARTER SUPPORT GROUP, CAMP MARCELO A. ADDURU, TUGUEGARAO CITY</t>
  </si>
  <si>
    <t>Construction of Multi-Purpose Hall - Greentown Villas at Mambog III</t>
  </si>
  <si>
    <t>Construction of Water System at Cattle Breeding Center</t>
  </si>
  <si>
    <t>Repair of RSTU 4B Buildings and Facilities</t>
  </si>
  <si>
    <t>Extension of Queing Shed at QWC</t>
  </si>
  <si>
    <t>Invitation to Bid for the Concreting of Calangatan-Ibaba Road</t>
  </si>
  <si>
    <t>Improvement of Grandstands</t>
  </si>
  <si>
    <t>Selective Pavement Maintenance Along Mamburao-Paluan PR(B)- Paluan, Occidental Mindoro</t>
  </si>
  <si>
    <t>ITB 20-0056 - Supply and Delivery of Various Medical &amp; Laboratory Supplies.</t>
  </si>
  <si>
    <t>20BD0105 – REPAIR/ MAINTENANCE OF NATIONAL LABOR RELATION COMMISSION-REGIONAL ARBITRATION BRANCH NO. 2 BUILDING REGIONAL GOVERNMENT CENTER, TUGUEGARAO CITY</t>
  </si>
  <si>
    <t>Procurement of 1 unit 4-Wheeler Dump Truck (4x4) Brand New</t>
  </si>
  <si>
    <t>Construction of Multi-Purpose Covered Court – Brgy. San Jose Phase 2</t>
  </si>
  <si>
    <t>Provision of Access Road going to SFR located in Sitio Bakiruan, Brgy. Labney</t>
  </si>
  <si>
    <t>20JB0074 - Maintenance, Repair and Rehabilitation of Infrastructure Facilities and Other Related Activities – Public Buildings (Repair/Maintenance of DPWH Building Staff House Perimeter Fence (back po</t>
  </si>
  <si>
    <t>PEO-2020-0157 PR2020-0374 INVITATION TO BID FOR THE PROCUREMENT OF LABOR, MATERIALS, AND EQUIPMENT FOR THE CONCRETING OF BAGUMBAYAN - INAGHUBAN ROAD, PILAR</t>
  </si>
  <si>
    <t>CLUSTER 20-2020</t>
  </si>
  <si>
    <t>20JB0073 - Maintenance, Repair and Rehabilitation of Infrastructure Facilities and  Other Related Activities – Public Buildings (Repair/Maintenance of DILG  Building BJMP- Jail Building (Phase II)</t>
  </si>
  <si>
    <t>20GDC0003 - Manpower Contracted Service from July to December 2020: 3 Security Personnel assigned to DPWH-Batangas III DEO and 1 Security Personnel assigned to Trapiche Warehouse for 12 hours duty, sh</t>
  </si>
  <si>
    <t>20AA0348 - CONSTRUCTION (COMPLETION) OF SCHOOL BUILDING, 2-UNITS SCI. LAB., 2-UNITS ICT LAB. (2STY), PAGUDPUD NHS, PAGUDPUD, ILOCOS NORTE</t>
  </si>
  <si>
    <t>20CSFM0001 Consulting Services for Sub-Soil Investigation for FY 2021 Proposed Bridge, Flood Control/Shore Protection and Slope Protection Projects, Ticao Island and Burias Island, Masbate</t>
  </si>
  <si>
    <t>SUPPLY, DELIVERY AND INSTALLATION OF LABORATORY EQUIPMENTS</t>
  </si>
  <si>
    <t>20JB0075 - Maintenance, Repair and Rehabilitation of Infrastructure Facilities and  Other Related Activities – Public Buildings (Repair/Maintenance of DPWH  Building Staff House)</t>
  </si>
  <si>
    <t>Concreting of Cogorin Ibaba Barangay Road, Brgy. Cogorin Ibaba, Lopez, Quezon</t>
  </si>
  <si>
    <t>PEO-2020-0159 PR2020-0376 INVITATION TO BID FOR THE PROCUREMENT OF LABOR, MATERIALS, AND EQUIPMENT FOR THE CONCRETING OF JCT. (LIR) SAN MIGUEL - BAYONGAN - BULILIS - MABUHAY (UBAY) ROAD</t>
  </si>
  <si>
    <t>PEO-2020-0158 PR2020-0375 INVITATION TO BID FOR THE PROCUREMENT OF LABOR, MATERIALS, AND EQUIPMENT FOR THE CONCRETING OF BOGTONG - LAPACAN (INABANGA) - MAGKAYA - PANGHAGBAN (BUENAVISTA) ROAD</t>
  </si>
  <si>
    <t>ITB 20-0057 - Supply and Delivery of Various Laboratory &amp; Medical Supplies.</t>
  </si>
  <si>
    <t>3 units Distribution Transformer 167kVA, 230V/460V, Overhead type/pole mounted</t>
  </si>
  <si>
    <t>Concreting/Improvement of Rizal (Rural)-Villageda Barangay Road, Brgy. Rizal (Rural), Lopez, Quezon</t>
  </si>
  <si>
    <t>Concreting of Core Local Road to Barangay Sta. Elena, Brgy. San Pedro, Lopez, Quezon</t>
  </si>
  <si>
    <t>20AF0074, CONSTRUCTION OF RAINWATER COLLECTOR SYSTEM (RWCS), AGOO, ARINGAY, BAGULIN, BAUANG, BURGOS, NAGUILIAN AND SANTO TOMAS, LA UNION</t>
  </si>
  <si>
    <t>CONSTRUCTION PROJECTS</t>
  </si>
  <si>
    <t>20FO0079 - Repair/Rehab of Pangarian River Flood Mitigation Structure with Access Rd. (Brgy. La Medalla) Pioduran, Albay</t>
  </si>
  <si>
    <t>Completion of Two (2) Classroom, 2nd Floor School Building Cataggaman National High School Tuguegarao City</t>
  </si>
  <si>
    <t>20FO0081 - Construction of Masarawag Flood Control Structure, Brgy. Masarawag, Guinobatan, Albay</t>
  </si>
  <si>
    <t>Procurement of Various Aggregates Supplies-05-313(O)PEO</t>
  </si>
  <si>
    <t>Invitation to Bid for the Supply and Delivery of Pest Control Chemical Requirements of NFA Southern Tagalog Region for the Year 2020</t>
  </si>
  <si>
    <t>Public Bidding for the Supply and Delivery of Medicines for City Health Office under ITB No. 2020-004-A</t>
  </si>
  <si>
    <t>ITB 20-0059 - Supply and Delivery of 10 units Dialysis Machine.</t>
  </si>
  <si>
    <t>CONSTRUCTION OF FARM TO MARKET ROAD AT BARANGAY CANLARAY – BARANGAY MAYBACONG, CITY OF BORONGAN, EASTERN SAMAR (RE-BID)</t>
  </si>
  <si>
    <t>Contract ID No. 20FA0056: CLUSTER 30 - CONSTRUCTION of RIVER FLOOD CONTROL /FLOOD MITIGATION IN BACACAY AND MALINAO, ALBAY</t>
  </si>
  <si>
    <t>ITB-2020-016 - Supply and delivery of various laboratory supplies</t>
  </si>
  <si>
    <t>Construction of Check Structure and Provision of HDPE  @ Ulip Area at Salvacion-Union CIS</t>
  </si>
  <si>
    <t>CLUSTER 21-2020</t>
  </si>
  <si>
    <t>Construction/ Rehabilitation/Improvement of Access Road in Brgy. San Juan / Guibel / Sta. Maria</t>
  </si>
  <si>
    <t>20FO0080 - Repair/Rehab of Talisay River Flood Mitigation Structure (Zone IV) Libon, Albay</t>
  </si>
  <si>
    <t>SIG PABAC 003-20  Supply and Delivery of One Hundred Fifty (150) sets Rechargeable Battery RF-7800H MP Radio</t>
  </si>
  <si>
    <t>SUPPLY AND DELIVERY OF MATERIALS FOR DEVELOPMENT OF CEMETERY</t>
  </si>
  <si>
    <t>Installation Of Street Lights Pattaui - Pallua Road Tuguegarao City</t>
  </si>
  <si>
    <t>SUPPLY &amp; DELIVERY OF FUEL (3RD &amp; 4TH QUARTER)</t>
  </si>
  <si>
    <t>ITB and Bid Docs for Procurement ID/Contract ID:    20C00036  Contract Name:      Local Program – Local Infrastructure Program – Buildings and Other Structures – Multi Purpose Facilities – Constructio</t>
  </si>
  <si>
    <t>Construction of Bani Water Ways Slope Protection</t>
  </si>
  <si>
    <t>LOT Procurement of MATERIALS for Use in the Construction of Multi-Purpose Building with Perimeter Fence of Davao Oriental Police Provincial Office (DOPPO) at Brgy. Dahican, City of Mati, Davao Orienta</t>
  </si>
  <si>
    <t>Contract ID No. 20FA0057: CLUSTER 31 - CONSTRUCTION (Completion) /REHABILITATION MULTI-PURPOSE BUILDINGS IN BACACAY, TABACO CITY MALINAO, ALBAY</t>
  </si>
  <si>
    <t>Construction of Level II Potable Water System, Brgy. Buan</t>
  </si>
  <si>
    <t>Procurement of DIESEL FUEL for Use in the Construction/Rehab/Improvement of Provincial Road at Don Salvador Lopez-Don Martin Marundan Road Section at Brgy. Don Salvador Lopez-Don Martin Marundan, City</t>
  </si>
  <si>
    <t>20GJI0030- Procurement of Service Vehicle (Rental) for 7 Months includes: Fuels, Lubricants, tires and repairs for use in the implementation/resettlement activities Road – Right – of – Way of affected</t>
  </si>
  <si>
    <t>LOT Procurement of MATERIALS for Use in the Completion of Multi-Purpose Building – Fitness Gym at Capitol Hill, Brgy. Central, City of Mati, Davao Oriental</t>
  </si>
  <si>
    <t>20AA0347 - CONSTRUCTION (COMPLETION) OF SCHOOL BUILDING, 4-UNITS  REGULAR WORKSHOP (2STY), PAGUDPUD NHS, PAGUDPUD, ILOCOS NORTE</t>
  </si>
  <si>
    <t>LOT Procurement of MATERIALS for Use in the Completion of Multi-Purpose Building – Food Court and Perimeter Fence at Capitol Hill, City of Mati, Davao Oriental</t>
  </si>
  <si>
    <t>PACKAGE 20-28:  COMMUNITY DEVELOPMENT</t>
  </si>
  <si>
    <t>2020-0156-PR2020-0373 Furnishing of Labor, Materials and Equipment for the Concreting of La Paz Cortes-Cabguan-Lourdes-Corella Road, Cortes, Bohol</t>
  </si>
  <si>
    <t>20AF0077, REPAIR/MAINTENANCE OF DND BUILDING ARESCOM -  MESS HALL, CAMP LTC JOSE M. LABERINTO, NAGUILIAN, LA UNION</t>
  </si>
  <si>
    <t>PROCUREMENT OF VEHICLES (VAN)</t>
  </si>
  <si>
    <t>20GGJ0049 Supply and Delivery of Office Equipment Consumables and Spare Parts for the Use of Planning and Design Section, DPWH - ICDEO</t>
  </si>
  <si>
    <t>PACKAGE 20-31:  COMMUNITY DEVELOPMENT</t>
  </si>
  <si>
    <t>SUPPLY AND DELIVERY OF CONSTRUCTION MATERIALS AND EQUIPMENT RENTAL FOR REHABILITATION OF BARANGAY STREET</t>
  </si>
  <si>
    <t>CONSTRUCTION OF ABC BUILDING (PHASE 1)</t>
  </si>
  <si>
    <t>PACKAGE 20-30:  COMMUNITY DEVELOPMENT</t>
  </si>
  <si>
    <t>PROCUREMENT OF TIRES &amp; SPARE PARTS</t>
  </si>
  <si>
    <t>Supply and Delivery of Materials for DSRT Logistical Requirements of PC374, PC376, PC377, PC387, PC389 and SY AP</t>
  </si>
  <si>
    <t>CONSTRUCTION OF HEAVY EQUIPMENT SHELTER OF MOTORPOOL</t>
  </si>
  <si>
    <t>PROCUREMENT OF CONSTRUCTION SUPPLIES</t>
  </si>
  <si>
    <t>PACKAGE 20-27:  COMMUNITY DEVELOPMENT</t>
  </si>
  <si>
    <t>Construction of Motor Pool</t>
  </si>
  <si>
    <t>Procurement of DIESEL FUEL for Use in the Construction/Rehab/Improvement of Provincial Road at Brgy. Lapulapu, San Isidro, Davao Oriental</t>
  </si>
  <si>
    <t>CHANGE OIL OF MUNICIPAL EXCAVATOR</t>
  </si>
  <si>
    <t>Repair and Roof Replacement of GID Warehouse in Barangay Bagacay, Romblon, Romblon</t>
  </si>
  <si>
    <t>Declogging/Desilting of Drainage Canal , Poblacion</t>
  </si>
  <si>
    <t>20GGJ0048 Supply and Delivery of Vertical Mounted Solution Face + Temperature Monitoring for COVID-19 Response for the use of DPWH - ICDEO</t>
  </si>
  <si>
    <t>Supply and Delivery of One (1) Unit Garbage Truck</t>
  </si>
  <si>
    <t>Procurement of DIESEL FUEL for Use in the Construction/Rehab/Improvement of Provincial Road at NHJ ZARAGOSA-MACATODTOD Road Section at Manay, Davao Oriental</t>
  </si>
  <si>
    <t>20GGJ0047 Supply and Delivery of IT Equipment (2nd Quarter) for the use of Planning and Design Section, DPWH - ICDEO</t>
  </si>
  <si>
    <t>PROCUREMENT OF  INTERACTIVE WHITEBOARD</t>
  </si>
  <si>
    <t>CLUSTER 22-2020</t>
  </si>
  <si>
    <t>PACKAGE 20-29:  COMMUNITY DEVELOPMENT</t>
  </si>
  <si>
    <t>Procurement of Goods-Labor</t>
  </si>
  <si>
    <t>CONSTRUCTION OF COLONG MULTI-PURPOSE HALL, PHASE II</t>
  </si>
  <si>
    <t>Upgarading of Tuguegarao City Peoples General Hospital Luna Street., Corner Rizal Street., Centro 6, Tuguegarao City</t>
  </si>
  <si>
    <t>20AF0075, REPAIR/MAINTENANCE OF DAMAGED CONCRETE REVETMENT, BUCAYAB, BAUANG, LA UNION</t>
  </si>
  <si>
    <t>Construction of Small farm Reservoir (Sisim)- Banbanaal</t>
  </si>
  <si>
    <t>20AF0076, REPAIR/MAINTENANCE OF DND BUILDING ARESCOM -  COMFORT ROOMS AND BATH/SHOWER ROOM, CAMP LTC JOSE M. LABERINTO, NAGUILIAN, LA UNION</t>
  </si>
  <si>
    <t>CONSTRUCTION OF 4 UNITS CLASSROOM BUILDING AT DON FELIX ROBLES ELEMENTARY SCHOOL</t>
  </si>
  <si>
    <t>Construction of Seawall (between Guitna and Bonbon) P-I</t>
  </si>
  <si>
    <t>LEASE OF PHOTOCOPYING MACHINES FOR THE DEPARTMENT OF AGRICULTURE (DA) FOR CALENDAR YEAR 2020</t>
  </si>
  <si>
    <t>20LD0119-Concreting of Brgy. Kibuaya FMR, Brgy. Kibuaya, Hagonoy, Davao del Sur</t>
  </si>
  <si>
    <t>20LD0120- Concreting of Brgy. Dolo FMR, Brgy. Dolo, Bansalan, Davao del Sur</t>
  </si>
  <si>
    <t>IMPROVEMENT OF POTABLE WATER SYSTEM FROM SAG-ANG TO BRGY. CABAGNA-AN PROPER &amp; SO. OLD FABRICA AT  BRGY. CABAGNA-AN</t>
  </si>
  <si>
    <t>Invitation to Bid for the Construction of Farm to Market Road at Sitio Lower Daeng, Macabato, Aringay, La Union.</t>
  </si>
  <si>
    <t>Contract ID No. 20FA0059: CLUSTER 32 - MAINTENANCE, REPAIR AND REHABILITATION PUBLIC INFRASTRUCTURE BUILDINGS IN THE FIRST DISTRICT OF ALBAY</t>
  </si>
  <si>
    <t>Invitation to Bid for the Construction of  2-Storey Multi-Purpose Building at Municipal Hall Compound, Poblacion, Aringay, La Union.</t>
  </si>
  <si>
    <t>Contract ID No. 20FA0058: REPAIR/MAINTENANCE OF BAYANDONG RIVER FLOOD CONTROL, BACACAY, ALBAY</t>
  </si>
  <si>
    <t>PROCUREMENT OF MUSICAL INSTRUMENTS</t>
  </si>
  <si>
    <t>20LD0118-Concreting of Brgy. Barayong FMR, Brgy. Barayong, Magsaysay, Davao del Sur</t>
  </si>
  <si>
    <t>ITB 20-0058 - Supply and Delivery of 99 kits English Reading Kit Level I (ERK I).</t>
  </si>
  <si>
    <t>PROCUREMENT OF Upgrading of Enrolment  System and Software Maintenance</t>
  </si>
  <si>
    <t>Maintenance, Repair and Rehabilitation of Infrastructure Facilities and Other Related Activities - Public Buildings: Repair/ Maintenance of DOJ Building, DOJ Cottage, Cabinet Hill, Baguio City</t>
  </si>
  <si>
    <t>Opening/Concreting of Farm to Market Road-(Gaygayubao) Guardia</t>
  </si>
  <si>
    <t>ITB-2020-015 - Supply and delivery of various Animal Feeds</t>
  </si>
  <si>
    <t>SUPPLY AND DELIVERY  OF CORRUGATED   GI SHEET FOR THE IDENTIFIED PARTIALLY DAMAGED OF TYPHOON TISOY IN THE CITY OF SORSOGON</t>
  </si>
  <si>
    <t>REHABILITATION AND REPAINTING OF RHU I BUILDING</t>
  </si>
  <si>
    <t>20LD0123- Concreting of Brgy. Bacungan FMR, Brgy. Bacungan, Magsaysay, Davao del Sur</t>
  </si>
  <si>
    <t>Agro-Industrial Projects and Livelihood Program</t>
  </si>
  <si>
    <t>20LD0122- Concreting of Brgy. Ihan FMR, Brgy. Ihan, Kiblawan, Davao del Sur</t>
  </si>
  <si>
    <t>Procurement of Supplies and Materials for Improvement of Stage</t>
  </si>
  <si>
    <t>Handheld Radios</t>
  </si>
  <si>
    <t>Construction of Farm to Market Road at Barangay Bannawag, Maria Aurora</t>
  </si>
  <si>
    <t>CONSTRUCTION OF MULTI-PURPOSE HALL (PHASE I) IN BARANGAY PAPAGUEYAN</t>
  </si>
  <si>
    <t>20LD0121- Concreting of Brgy. Kimlawis FMR, Brgy. Kimlawis, Kiblawan, Davao del Sur</t>
  </si>
  <si>
    <t>(20P00006)- (BLISTT), Labey – Lacamen Provincial Road (Section 4B of BLISTT Outer Ring Circumferential Road), Package 1 and 2, Sta. 2 + 324 – Sta. 2 + 494, Sta. 2 + 510 - Sta. 2 + 880</t>
  </si>
  <si>
    <t>Purchase/Delivery of Item 201 for regravelling of Barangay road, zone 3, 5 and 6</t>
  </si>
  <si>
    <t>(20P00017)-(BLISTT), Labey – Lacamen Provincial Road (Section 4A of BLISTT Outer Ring Circumferential Road), Sta. 0 + 317 – Sta. 1 + 378, Sta.  4 + 632 - Sta. 5 + 250, Sta. 6 + 014 - Sta. 6 + 518</t>
  </si>
  <si>
    <t>Construction of Farm to Market Road including Concrete Bridge, Brgy. Aluyon, Burdeos, Quezon</t>
  </si>
  <si>
    <t>Rehabilitation / Construction of Multi-Purpose Building, Brgy. Paligsahan, Quezon City</t>
  </si>
  <si>
    <t>Consulting Services for the Updating of the Provincial Development and Physical Framework Plan (PDPFP) CY 2020-2029; and Provincial Development Investment Program (PDIP) 2020-2023/IB No. T-2020-005</t>
  </si>
  <si>
    <t>20LD0124- Concreting of Brgy. Poblacion to Brgy. Palili FMR, Brgy. Poblacion and Brgy. Palili, Sulop, Davao del Sur</t>
  </si>
  <si>
    <t>Construction of Rainwater Collection System (RWCS), Barangay Hall Area, Barangay Paligsahan, Quezon City, Construction of Rainwater Collection System (RWCS), Barangay Hall Compound, Barangay South Tri</t>
  </si>
  <si>
    <t>20LD0125- Concreting of Brgy. Balnate FMR, Brgy. Balnate, Magsaysy, Davao del Sur</t>
  </si>
  <si>
    <t>Rehabilitation of Barangay Hall at Barangay 2</t>
  </si>
  <si>
    <t>Purchase of Office Equipment for Municipal Engineer's Office, Municipality of Burdeos, Quezon</t>
  </si>
  <si>
    <t>Construction of Multi-Purpose Building, Brgy. UP Campus, Quezon City</t>
  </si>
  <si>
    <t>Construction of Cangabo SIP</t>
  </si>
  <si>
    <t>20CL0083 - Rehabilitation of San Felipe Public Market, Brgy. Feria, San Felipe, Zambales</t>
  </si>
  <si>
    <t>Supply and Delivery of Outboard Motor 30HP for the Rescue Boat  of the municipality</t>
  </si>
  <si>
    <t>Purchase/Delivery of Item 201 for regravelling of 2 streets at Zone 2</t>
  </si>
  <si>
    <t>Procurement of Barangay Office Equipment</t>
  </si>
  <si>
    <t>IMPROVEMENT OF PANAAD BOOTH AT THE PANAAD PARK,BRGY. ALIJIS,</t>
  </si>
  <si>
    <t>Desilting/Repair of Line Canal at Barangay Poblacion, San Antonio, Maligaya, Solib, and Mabical Floridablanca, Pampanga</t>
  </si>
  <si>
    <t>Procurement of Various Drugs and Medicines for the 3rd Quarter 2020</t>
  </si>
  <si>
    <t>20F00068 - OO1: Ensure Safe and Reliable National Road System – Bridge Program – Replacement of Permanent Weak Bridges – Camalig Bridge (B00195LZ) along Daang Maharlika (LZ), Camalig, Albay 2nd Legisl</t>
  </si>
  <si>
    <t>20CL0088 - Construction/Rehabilitation of Water Supply/Septage and Sewerage/Rain Water Collectors</t>
  </si>
  <si>
    <t>20CL0087 - Repair and Maintenance of Road Safety Facilities</t>
  </si>
  <si>
    <t>20CL0086 - Repair/Maintenance of Palanginan Revetment (Upstream),  Palanginan, Iba, Zambales</t>
  </si>
  <si>
    <t>Construction of Catarman Public Market at Market Site, Brgy. Narra, Catarman, N. Samar</t>
  </si>
  <si>
    <t>SUPPLY AND DELIVERY OF EQUIPMENT FOR LA FLORA GARBAGE COLLECTOR</t>
  </si>
  <si>
    <t>(20P00009)- (BLISTT), Asin - Nangalisan Jct. - Bayabas - Monglo Jct. (Section 1 of BLISTT Outer Ring Circumferential Road), Benguet</t>
  </si>
  <si>
    <t>(20P00005)- (BLISTT) Taloy Norte Jct. - San Pascual Brgy. Hall Jct. (Section 7 of BLISTT Outer Ring Circumferential Road)</t>
  </si>
  <si>
    <t>Purok Tawi-Tawi, Barangay Poro, City of San Fernando</t>
  </si>
  <si>
    <t>20CL0084 - Repair/Maintenance of DILG Building, PNP Investigation  Building, Camp Condrado Yap, Iba, Zambales</t>
  </si>
  <si>
    <t>Road Opening of Nipa-San Jose FMR</t>
  </si>
  <si>
    <t>20CL0085 - Repair/Maintenance of DILG Building, PNP Multi- Faith  Building, Camp Conrado Yap, Iba, Zambales</t>
  </si>
  <si>
    <t>20GK0221 - Construction of Rainwater Collection System (RWCS): 1.	Labi-Labi National High School,Toboso, Negros Occidental; 2.	Labi-Labi Elementary School,Toboso, Negros Occidental;  3. Teofilo Amante</t>
  </si>
  <si>
    <t>Contract ID No. 20FA0054: CLUSTER 29 - REPLACEMENT OF PERMANENT WEAK BRIDGES: FROM 2 LANES TO 4 LANES-NAMUTNGA BR. 2 &amp; NAMUTNGA BR. 3, TABACO CITY, ALBAY</t>
  </si>
  <si>
    <t>20GP0071-Repair and Maintenance of DPWH Building Maintenance Building</t>
  </si>
  <si>
    <t>Supply and Delivery of Complete Fertilizer (14-14-14)</t>
  </si>
  <si>
    <t>20F00114 - OO1: Ensure Safe and Reliable National Road System – Network Development Program – Construction of By-Pass and Diversion Roads – Palanas – San Isidro Road, Jovellar, Albay, Albay 3rd Legisl</t>
  </si>
  <si>
    <t>ITB-REBIDDING-PROCUREMENT OF WAREHOUSE HANDLING (AND ALLIED) SERVICES FOR GRAINS FOR NFA REG.XII FOR CY 2020</t>
  </si>
  <si>
    <t>20F00076 - OO1: Ensure Safe and Reliable National Road System – Network Development Program – Construction of By-Pass and Diversion Roads, Tagkawayan-Labo Diversion Road (Labo Section), Camarines Nort</t>
  </si>
  <si>
    <t>Invitation to Bid Purchase of Drugs and Medicine</t>
  </si>
  <si>
    <t>Contract ID No. 20FA0053: CLUSTER 28 - CONSTRUCTION/IMPROVEMENT OF ACCESS ROADS LEADING TO SEAPORTS IN THE FIRST DISTRICT OF ALBAY</t>
  </si>
  <si>
    <t>Road Opening of Nipa-Jacopon FMR</t>
  </si>
  <si>
    <t>Supply and Delivery of 106 Units  Pump and Engine Sets with Accessories for Various CY 2020 Projects in the Province of Capiz</t>
  </si>
  <si>
    <t>Supply and Delivery of Electro-Fusion Machine Tools and Various Sizes of HDPE Pipe Leak (Component 1)</t>
  </si>
  <si>
    <t>Purchase of Two Units Brand New Garbage Dumptruck under PR No. 2020-03-1612</t>
  </si>
  <si>
    <t>Initial Construction of Brgy. Health Center, Brgy. Batabat Sur, Buenavista, Quezon</t>
  </si>
  <si>
    <t>Purchase of Two Units Brand New Ambulance  under PR No. 2020-05-2323</t>
  </si>
  <si>
    <t>CONSTRUCTION OF BARANGAY HEALTH CENTER AT ESTANZA, BOLINAO, PANGASINAN</t>
  </si>
  <si>
    <t>Construction of Wooden Floating Cottage</t>
  </si>
  <si>
    <t>PROCUREMENT OF SUPPLY AND DELIVERY OF ONE (1) UNIT MINI DUMPTRUCK (6 WHEELER) BRAND NEW</t>
  </si>
  <si>
    <t>Completion of Cemetery Multi-Purpose Building, Brgy. Lilukin, Buenavista, Quezon</t>
  </si>
  <si>
    <t>Purchase of One Unit Brand New Firetruck under PR No. 2020-04-2284</t>
  </si>
  <si>
    <t>Construction of Drawer Type Niches at San Miguel  and Anonang IGACOS  under PR No. 2020-01-1392.</t>
  </si>
  <si>
    <t>Soil Cover for Landfill</t>
  </si>
  <si>
    <t>Fencing at Angel Villarica ES, Miranda Babak District  under PR No. 2020-02-1518</t>
  </si>
  <si>
    <t>Lot 1: Supply, Delivery and Installation of Garments Technology Equipment for CTE Extension Program (PR No. 2020-02-0281) Lot 2: Supply and Delivery of Laboratory Supplies for Garments Technology Inst</t>
  </si>
  <si>
    <t>RE-BIDDING-Procurement of PTZ High Difinition Camera(monitor accident prone areas)-MDRRMO,Lopez Jaena</t>
  </si>
  <si>
    <t>Rehabilitation of City Roads (Road Concreting)  Sitio 16 Poblacion, Kaputian District  under PR No. 2020-05-2340</t>
  </si>
  <si>
    <t>Concreting of Sitio Manghiluntud-Sitio Ilaya, Brgy. Amdus FMR, Ayungon Negros Oriental</t>
  </si>
  <si>
    <t>To hire contractor to provide materials, labor and equipment for three (3) Infrastructure Projects (Sta. Catalina) (B-70-2020)</t>
  </si>
  <si>
    <t>Rehabilitation of City Roads (Road Concreting)  at Brgy. Balet, Babak District, IGaCoS  under PR No. 2020-05-2342.</t>
  </si>
  <si>
    <t>CONSTRUCTION OF MULTI-PURPOSE BUILDING  SAN MIGUEL</t>
  </si>
  <si>
    <t>Lot 1: Supply and Delivery of Laboratory Equipment for Food Technology Instruction (PR No. 2020-02-0292) Lot 2: Supply and Delivery of Tools and Materials for Food Technology Instruction (PR No. 2020-</t>
  </si>
  <si>
    <t>20II0060, Supply/Delivery/Installation of Road Right of Way (RROW) Markers along Catarman Laoang Road, K0765+(-473) to K0788+156, Northern Samar Second District</t>
  </si>
  <si>
    <t>Completion of Perimeter Fence at Slaughterhouse, San Agustin Babak District, IGACOS under PR No. 2020-02-1518.</t>
  </si>
  <si>
    <t>Construction of Additional Apartment Type Niche/Tombs of Municipal Cemetery, Brgy. Lilukin, Buenavista, Quezon</t>
  </si>
  <si>
    <t>Concreting of Road inside Pahulayan Memorial Park  under PR No. 2020-01-1387.</t>
  </si>
  <si>
    <t>PROCUREMENT OF VARIOUS REFERENCE BOOKS FOR LIBRARY</t>
  </si>
  <si>
    <t>Hosting/Co-Location Facility of SEC- Re-bidding</t>
  </si>
  <si>
    <t>Concreting of Road going to Bandera Nature’s Park, Kaputian District, IGACOS under PR No. 2020-03-1635.</t>
  </si>
  <si>
    <t>Concreting of Road from Circumferential Road San Miguel to Cemetery Pahulayan under PR No. 2020-01-1393.</t>
  </si>
  <si>
    <t>Widening of Road at Kinawitnon - Villarica Road Section  under PR No. 2020-01-1386.</t>
  </si>
  <si>
    <t>Procurement of 400 Set Family Kit,etc. under P.R.No. 1735-2020-5% City Disaster Risk Reduction and Management Fund</t>
  </si>
  <si>
    <t>CONSTRUCTION OF WAITING AREA @ ATM BUILDING</t>
  </si>
  <si>
    <t>Supply and Delivery of IT Parts and Accessories (PR No. 2020-02-0120, 2020-02-0312, 2020-02-0203, 2020-02-0337, 2020-01-0034, 2020-01-0053, 2020-02-0225, 2020-02-0271, 2020-02-0308, 2020-02-0329, 2020</t>
  </si>
  <si>
    <t>1	lot	Decontamination Tent (see drawing details), PR # 468-20</t>
  </si>
  <si>
    <t>Supply and Delivery of RHU Medicines (2nd Quarter)</t>
  </si>
  <si>
    <t>Supply, Delivery and Installation of Airconditioning Units (PR No. 2020-02-0395, 2020-02-0382, 2020-02-0222, 2020-02-0318, 2020-02-0309)</t>
  </si>
  <si>
    <t>Invitation to Bid Construction of Gate Shed</t>
  </si>
  <si>
    <t>Rehabilitation of City Roads (Road Concreting), Miranda to  Cogon Road Section, Babak District, IGaCoS  under PR No. 2020-04-2234.</t>
  </si>
  <si>
    <t>IMPROVEMENT OF DR. EFREN U. DE SAN JOSE MEMORIAL SPORT CENTER</t>
  </si>
  <si>
    <t>Invitation to Bid Purchase of Medical Laboratory and Dental Supplies</t>
  </si>
  <si>
    <t>Construction Materials and Supplies for use in the Construction of SSG Office at San Teodro NHS, San Teodoro, Oriental Mindoro/ Completion of Gymnasium at Ma. Estrella E/S, Tawiran, Calapan City, Orie</t>
  </si>
  <si>
    <t>Four (4) Lots Construction Materials for use in the Construction of River Control Connecting the Existing Footbridge of So. Maglinte &amp; So. Bangculutan, Brgy. Mayabon, Zamboanguita, Neg. Or. (B-71-2020</t>
  </si>
  <si>
    <t xml:space="preserve">Construction Materials and Supplies for use in the Construction of Water System at Brgy. Burbuli, Baco, Oriental Mindoro/ Brgy. Poblacion Baco, Oriental Mindoro/ Brgy. Panggalaan, Calapan City/ Brgy. </t>
  </si>
  <si>
    <t>Supply and Delivery of Plagiarism and Grammar Checker (PR No. 2020-02-0232)</t>
  </si>
  <si>
    <t>Construction Materials and Supplies for use in the Improvement of Barangay Hall at Brgy. Bagumbayan, Roxas, Oriental Mindoro/ Repair of Kinder and Grade 1 Classroom at San Juan E/S, Brgy. Cantil Roxas</t>
  </si>
  <si>
    <t>PROCUREMENT OF FOOD STUFF (FOR DIETARY SUPPLEMENT FOR UNDERWEIGHT &amp; WASTED PS CHILDREN)</t>
  </si>
  <si>
    <t>1	unit	Brand New Mobile Kitchen, etc. PR # 471-20</t>
  </si>
  <si>
    <t>Supply, Delivery, Installation, Testing and Commissioning of Submersible Pump and Motor Assembly, Dual Motor Control, and Flat Cable (Goods-2020-012)</t>
  </si>
  <si>
    <t>Purchase of Infrastructure - Installation of Street Lights</t>
  </si>
  <si>
    <t>Purchase and Delivery of Construction Materials for the Repair of Municipal Trial Court Building, Brgy. 07. Poblacion, Can-avid Eastern Samar</t>
  </si>
  <si>
    <t>RE-BIDDING-Procurement of IT Equipment &amp; Office Equipment(Smoke Free Program)-RHU,Lopez Jaena</t>
  </si>
  <si>
    <t>Supply and Delivery of Appliances (PR No. 2020-02-0229, 2020-02-0273, 2020-02-0314, 2020-02-0149, 2020-02-0255, 2020-02-0256, 2020-02-0272)</t>
  </si>
  <si>
    <t>REPLACEMENT OF TRUSSES &amp; ROOFING</t>
  </si>
  <si>
    <t>PURCHASE OF MOTORCYCLE CARGO TYPE/WINDSHIELD</t>
  </si>
  <si>
    <t>4	units	Portalet (Portable Toilet), etc. PR # 470-20</t>
  </si>
  <si>
    <t>Desilting of Abogado Creek, Casigayan-Laya East Section</t>
  </si>
  <si>
    <t>Improvement of Road @ Appas West, Appas</t>
  </si>
  <si>
    <t>PURCHASE OF SUZUKI PICK UP WITH CANOPY</t>
  </si>
  <si>
    <t>PROCUREMENT OF CONSTRUCTION MATERIALS  (FOR CONSTRUCTION OF MOTORPOOL PERIMETER FENCE)</t>
  </si>
  <si>
    <t>Construction/Completion of Senior Citizen Building, Maasin, Iloilo</t>
  </si>
  <si>
    <t>Supply and Delivery of Binding Machines (PR No. 2020-02-0284, 2020-02-0321, 2020-02-0301, 2020-02-0340, 2020-02-0417)</t>
  </si>
  <si>
    <t>Improvement of Road @ Gonzalo St, Magsaysay</t>
  </si>
  <si>
    <t>Improvement of Road @ Baduyen St, Magsaysay</t>
  </si>
  <si>
    <t>Purchase of Covid-19 Essentials</t>
  </si>
  <si>
    <t>New Construction of Level II Potable Water Supply System of Barangay Domagocdoc, Bato, Leyte.</t>
  </si>
  <si>
    <t>Levelling (High School Compound) (GAD) Calaccad NHS, Calaccad</t>
  </si>
  <si>
    <t>20AB0120 : CONSTRUCTION/REHABILITATION OF WATER SUPPLY/SEPTAGE AND SEWERAGE/RAIN WATER COLLECTORS: 1. AR-ARUSIP ES, BADOC, ILOCOS NORTE, 2. BARABAR ES, SAN NICOLAS, ILOCOS NORTE, 3. BENIGNO MACADAEG M</t>
  </si>
  <si>
    <t>Water System Maledda (Solar Pump with Tank) (GAD) Maledda, Ipil</t>
  </si>
  <si>
    <t>Procurement and Delivery of One (1) Unit Ambulance</t>
  </si>
  <si>
    <t>Purchase of Foods Assistance</t>
  </si>
  <si>
    <t>Improvement of Callagdao, Makilo Road, Sitio Padig, Cudal</t>
  </si>
  <si>
    <t>Continuation of Gymnasium (GAD) Balong ES, Balong</t>
  </si>
  <si>
    <t>Improvement of Road @ San Pablo, Lacnog</t>
  </si>
  <si>
    <t>Supply and Delivery of Various Water System Facilities</t>
  </si>
  <si>
    <t>Installation of Solar Street Lights, Talalora, Samar</t>
  </si>
  <si>
    <t>Continuation of FMR @ Lungayan-Kalbayan, Lacnog</t>
  </si>
  <si>
    <t>Supply and Delivery of Office Supplies for VSU External Campuses</t>
  </si>
  <si>
    <t>Improvement of Road @ Luyucan, Lacnog</t>
  </si>
  <si>
    <t>Improvement of Road @ Purok 9, Dagupan Weste</t>
  </si>
  <si>
    <t>Concreting of Poblacion Talalora- Brgy. Malaguining Road ( Brgy. 2 Poblacion Section), Talalora, Samar</t>
  </si>
  <si>
    <t>Procurement of FUEL, OIL &amp; LUBRICANTS for Use in Various Repair of Provincial Roads</t>
  </si>
  <si>
    <t>Contract ID No. 20NC0111 - Repair/Maintenance/Rehabilitation of DPWH Agusan del Sur II – Bunkhouse Building @ Brgy. Sto. Tomas, Loreto, Agusan del Sur</t>
  </si>
  <si>
    <t>Invitation to Bid for the  CONCRETING OF TAVERA - NARRA PROPER FMR  (Labor, Materials, Fuel &amp; Equipment)  CONTRACT NUMBER.:  ITB No. 20-059 (PR No. 100-20-05-036)</t>
  </si>
  <si>
    <t>Construction of FMR w/ Slope Protection @ Laya Creek, Laya East</t>
  </si>
  <si>
    <t>MG-A5M20-019..AG4 INST. OF TUNNEL WALL STRENGTHENING COMPOSITE &amp; ANTI PEELING, PHASE 2</t>
  </si>
  <si>
    <t>Invitation to Bid for the  CONCRETING OF NARRA - OHOT FMR  (Labor, Materials, Fuel &amp; Equipment)  CONTRACT NUMBER.:  ITB No. 20-060 (PR No. 100-20-05-037)</t>
  </si>
  <si>
    <t>Rehabilitation of Isolation Facility</t>
  </si>
  <si>
    <t>Reservoirs, Pipelines &amp; Other Water Supply Facilities at Brgy. Valencia, Ormoc City</t>
  </si>
  <si>
    <t>Improvement Of Barangay Road</t>
  </si>
  <si>
    <t>Construction of Warehouse Building 1 Processing Plant Final Without Office</t>
  </si>
  <si>
    <t>CONCRETING OF MANINIHON-CANSUMALIG-SAN ISIDRO FMR (Labor, Materials, Fuel &amp; Equipment)  CONTRACT NUMBER.:  ITB No. 20-058 (PR No. 100-20-05-035)</t>
  </si>
  <si>
    <t>Farm to Market Road @ Dalimuno, Bantay</t>
  </si>
  <si>
    <t>Invitation to Bid for the  CONCRETING OF TABUAN-DITA-GAMAO FMR  (Labor, Materials, Fuel &amp; Equipment)  CONTRACT NUMBER.:  ITB No. 20-063 (PR No. 100-20-05-040)</t>
  </si>
  <si>
    <t>Subsidy for Carcar City College (Building Construction) at Carcar City College, Poblacion I, Carcar City, Cebu</t>
  </si>
  <si>
    <t>Negotiated Procurement Under Two-Failed Biddings of the Procurement for the Supply, Delivery, Installation and Commissioning of Elevator for USTP-CDO Learning Resource Center (LRC) Building</t>
  </si>
  <si>
    <t>PURCHASE OF ONE (1) UNIT MULTI-PURPOSE VEHICLE (mpv) BRAND NEW TO BE USED FOR MSWD OFFICE</t>
  </si>
  <si>
    <t>COMPLETION OF CONCRETING AT ZAMORA STREET</t>
  </si>
  <si>
    <t>Invitation to Bid for the  CONSTRUCTION OF LCR OFFICE  (Labor, Materials, Fuel &amp; Equipment)  CONTRACT NUMBER.:  ITB No. 20-066 (PR No. 100-20-05-043)</t>
  </si>
  <si>
    <t>PROCUREMENT OF MEDICAL SUPPLIES  (FOR PUBLIC CONSUMPTION)</t>
  </si>
  <si>
    <t>Invitation to Bid for the  CONCRETING OF PULANG YUTA - LAPAY FMR  (Labor, Materials, Fuel &amp; Equipment)  CONTRACT NUMBER.:  ITB No. 20-064 (PR No. 100-20-05-041)</t>
  </si>
  <si>
    <t>19GF00026 - Procurement of Tools and Equipment for the Continuous Upgrading of EMD Base and Area Shops (PR No. 20-02-058 dated 2/28/2020), EMD, DPWH, Region V, Legazpi City</t>
  </si>
  <si>
    <t>Invitation to Bid for the  IMPROVEMENT OF HINAKE - CAMANDAGAN FMR  (Labor, Materials, Fuel &amp; Equipment)  CONTRACT NUMBER.:  ITB No. 20-065 (PR No. 100-20-05-042)</t>
  </si>
  <si>
    <t>Contract ID No 20NC0112 - Repair/Maintenance/Rehabilitation of DPWH Agusan del Sur ll – Bunkhouse, Sta. Josefa, Agusan del Sur</t>
  </si>
  <si>
    <t>Supply and Delivery of Glutinous Corn</t>
  </si>
  <si>
    <t>MG-ADM20-001..INST. OF LIGHTNING PROTECTION OF MINGEN HEADQUARTERS BUILDING</t>
  </si>
  <si>
    <t>Invitation to Bid for the  CONCRETING OF SAN JOSE - MANDUAO FMR  (Labor, Materials, Fuel &amp; Equipment)  CONTRACT NUMBER.:  ITB No. 20-062 (PR No. 100-20-05-039)</t>
  </si>
  <si>
    <t>PURCHASE OF TWO (2) UNIT CLOSED VAN DELUXE 2.8 DSL MT(AMBULANCE) BRAND NEW TO BE USED FOR THE MUNICIPALITY OF CARMEN, CEBU</t>
  </si>
  <si>
    <t>Repair &amp; Maintenance of Office Building, Talalora, Samar</t>
  </si>
  <si>
    <t>Supply &amp; Installation of Fixed Glass &amp; Stockable Panels at SP Session Hall, New City Hall Building, Ormoc City</t>
  </si>
  <si>
    <t>Construction of Warehouse Building 2-Evaporation-With Office</t>
  </si>
  <si>
    <t>Oxygen Tank Holder</t>
  </si>
  <si>
    <t>20P00029 Kennon Road KO228+067 – KO228+170 KO229+090 – KO229+270 KO238+150 – KO238+225 KO238+813 – KO238+870</t>
  </si>
  <si>
    <t>Invitation to Bid for the  CONCRETING OF TABUAN-BANAYBANAY-LAPAY-BUGAY FMR  (Labor, Materials, Fuel &amp; Equipment)  CONTRACT NUMBER.:  ITB No. 20-061 (PR No. 100-20-05-038)</t>
  </si>
  <si>
    <t>Supply &amp; Delivery of Tires &amp; Batteries for Existing Heavy Equipment of the City Engineer's Office, Ormoc City</t>
  </si>
  <si>
    <t>Construction of Slope Protection @ Tomata,Calaccad</t>
  </si>
  <si>
    <t>PROCUREMENT OF SUPPLY AND DELIVERY OF 5,288 LITERS DIESEL FUEL</t>
  </si>
  <si>
    <t>CONCRETING OF MUNICIPAL STREET ANTONIO LUNA SEGMENT FROM BERKELY GOING TO CEMETERY</t>
  </si>
  <si>
    <t>Supply &amp; Delivery of One (1) Unit Brand New Firetruck of the CDRRMO, Ormoc City</t>
  </si>
  <si>
    <t>Opening of Farm to Market Road @ Sapote, San Julian</t>
  </si>
  <si>
    <t>Opening of Two-Way Access Road w/ Steel Gate, Landscape &amp; Biosecurity System - Tabuk Agro Food Center, Balong</t>
  </si>
  <si>
    <t>Continuation of Multi-Purpose Building (Laboratory/Office) Tabuk Agro Food Center, Balong</t>
  </si>
  <si>
    <t>Rip-rapping @ Bravo Road, Laya West</t>
  </si>
  <si>
    <t>Continuation of Gym (GAD) New Site, Nambaran</t>
  </si>
  <si>
    <t>Supply and Delivery of Hybrid Rice Seeds for use under Increase Adoption of High Quality Seeds (Hybrid Seeds Distributed</t>
  </si>
  <si>
    <t>Contract ID No. ADS II GOODS 020-02 - Maintenance/Repainting of Faded Pavement Marking (Edge Line &amp; Center Line) using Reflectorized thermoplastic Pavement Markings along daang Maharlika (Agusan-Davao</t>
  </si>
  <si>
    <t>Procurement/Delivery of Vehicle</t>
  </si>
  <si>
    <t>20GJD0009 - Supply and Delivery of 1,177bags Portland Cement, Deformed Reinforcing steel bar, sand etc., for use in the Repair/Maintenance of DSWD Building Regional Rehabilitation Center for Youth (bo</t>
  </si>
  <si>
    <t>Procurement of Supply and Delivery of Fishing Gears and Paraphernalia for the Implementation of the Fisheries Projects/ Programs CY 2020</t>
  </si>
  <si>
    <t>DRUGS AND MEDICINES EXPENSES (FIRST QUARTER)</t>
  </si>
  <si>
    <t>PURCHASE OF MACHINERIES AND EQUIPMENTS TO BE USE FOR MANGO AND OTHER PROCESSING FACILITY AT DA OFFICE</t>
  </si>
  <si>
    <t>PURCHASE OF ONE (1) UNIT PICK UP TYPE VEHICLE (BRANDNEW) WITH ACCESSORIES (DISASTER KIT, SIREN, REAR TOW HOOK) TO BE USED FOR MDRRMO</t>
  </si>
  <si>
    <t>Invitation to Bid for the Supply and Delivery of Materials for the Improvement of Multipurpose/Government Facilities (Budget, Accounting, and COA Field Offices) Municipal Hall, Poblacion, Daanbantayan</t>
  </si>
  <si>
    <t>Procurement of Calibrated Hanging-Type Weighing Scale, and, Height/Length Board (Re-Bid)</t>
  </si>
  <si>
    <t>Chemicals and Chemical Products for use of the OMPH patients/2nd quarter 2020</t>
  </si>
  <si>
    <t>20P00025 Construction of Apayao Provincial Police Office, Luna, Apayao</t>
  </si>
  <si>
    <t>PEO-2020-0154 PR2020-0365 INVITATION TO BID FOR THE PROCUREMENT OF DIESEL</t>
  </si>
  <si>
    <t>SUPPLY AND DELIVERY OF BRASS REPLACEMENT PIECE</t>
  </si>
  <si>
    <t>IMPROVEMENT OF LOCAL ROADS @ PUROK 3, MALUBIBIT NORTE FMR</t>
  </si>
  <si>
    <t>Supply of Labor and Materials for the Canal Improvement of Upper Sampao DD at Brgy. Upper Sampao, Almeria, Biliran</t>
  </si>
  <si>
    <t>Purchase of Fertilizers for Distribution to Farmers</t>
  </si>
  <si>
    <t>SUPPLY AND DELIVERY OF ASSORTED EQUIPMENT INTENDED FOR MDRRM EMERGENCY SERVICESAND DISASTER RESPONSE</t>
  </si>
  <si>
    <t>20GJD0010 - Supply and Delivery of 6,574 Deformed Reinforcing Steel Grade 60/ Grade 40,Portland Cement, Structureal Steel Purlins etc., for use in the Repair/Maintenance of DND Building, Multi-Purpose</t>
  </si>
  <si>
    <t>Contract ID No. 20FA0055: REHABILITATION/MAJOR REPAIR OF PERMANENT BRIDGES: BARIIS BR. (B00253LZ) ALONG DAANG MAHARLIKA JCT.- LEGAZPI-STO. DOMINGO-TABACO-CAMARINES SUR BDRY. RD., RD, TIWI, ALBAY</t>
  </si>
  <si>
    <t>Repair/Maintenance of Drainage along San Nicolas-Natividad-San Quintin-Umingan Guimba Road, KO 212+075 – KO 212+305, Brgy. Mabini Section, San Quintin, Pangasinan</t>
  </si>
  <si>
    <t>20FG0099 - Construction/Rehabilitation of the Rain Water Collectors 4th District of Camarines Sur</t>
  </si>
  <si>
    <t>REPAIR/REHABILITATION OF 3-BARREL RCCP @ ALLIG-BALLUYAN FMR</t>
  </si>
  <si>
    <t>ITB No. 2020-05-18 Construction of Elevated Water Tank proposed at DA-NVES, Tapaya, Villaros, Bagabag, Nueva Vizcaya</t>
  </si>
  <si>
    <t>20FG0098 - Painting/Repainting of No/Fade Pavement Markings including Warning/Informative/Regulatory Signages along Lagonoy-Presentacion ; Presentacion-Maligaya ; Tinambac-Siruma ; Goa-Digdigion-San I</t>
  </si>
  <si>
    <t>Lot1-Purchase of materials for the rehabilitation of Farm to Market Road at Nadjongan Zone 7, Santor, Baggao, Cagayan</t>
  </si>
  <si>
    <t>Lot1-Purchase of Drugs and Medicines for the 1st quarter of 2020</t>
  </si>
  <si>
    <t>INVITATION TO BID FOR  Supply and Delivery of Various Food Items for Residential Care Facilities</t>
  </si>
  <si>
    <t>IMPROVEMENT OF LOCAL ROADS GOING TO FLORA AGRO TOURISM FARM</t>
  </si>
  <si>
    <t>Supply and Delivery of 3 Units Brand New Sound Proof 100 KVA Generator Set</t>
  </si>
  <si>
    <t>Supply and Deliver of 2 Units Floor Mounted Air Condition</t>
  </si>
  <si>
    <t>To hire contractor to provide materials, labor, and equipment for the “Construction of River Dike Along Tibyawan River, from Barangay Matauta to Barangay Banga, Tayasan, Negros Oriental” (B-72-2020)</t>
  </si>
  <si>
    <t>Procurement of 18,200 Tons Solid Waste (Solid Waste Collection and Disposal Services) See Terms of Reference at the website.</t>
  </si>
  <si>
    <t>20G00096 - Construction of Concrete Road – Barangay Comon – San Pedro Coastal Road leading to San Jose Port and Beaches, Resorts and Sunset Viewing, San Jose, Antique</t>
  </si>
  <si>
    <t>Construction of Balikatan Pumping Station (Civil Works)</t>
  </si>
  <si>
    <t>Construction of Multi-Purpose Building  Brgy. Bantog, Asingan, Pangasinan</t>
  </si>
  <si>
    <t>Repair/Maintenance of Driange along Bakit-Bakit Junction-Umingan Road, KO 197+975, Mangaldan-Manaoag-Binalonan Road, KO 195+455 and KO 197+275, Balungao and Laoac, Pangasinan</t>
  </si>
  <si>
    <t>Lot1-Purchase of office supplies for LGU Baggao use (1st and 2nd quarters of 2020)</t>
  </si>
  <si>
    <t>Redevelopment of Promenade of Tarlac City Plazuela, Brgy. Poblacion, Tarlac City. B2020-070-A</t>
  </si>
  <si>
    <t>Construction of Multi-Purpose Building with Fence</t>
  </si>
  <si>
    <t>CONSTRUCTION OF BLEACHERS FOR MALBANG MULTI-PURPOSE BUILDING Maasim, Sarangani Province</t>
  </si>
  <si>
    <t>Acquisition of Commercial Rice, LCE</t>
  </si>
  <si>
    <t>Rehabilitation of Water System, Brgy. Bayog, Canlaon City</t>
  </si>
  <si>
    <t>Repair of Footbridge, Proper &amp; Sitio banban, Brgy. Bucalan, Canlaon City</t>
  </si>
  <si>
    <t>Concreting of 1KM Culasian-Motong Farm to Market Road.</t>
  </si>
  <si>
    <t>Construction of Masonry Drainage Structure, Along Magallanes Street, Centro 02, Tuguegarao City</t>
  </si>
  <si>
    <t>Rehabilitation &amp; Expansion of Potable Water System-Level II @ Sitio Lobo to Purok Tabudtod-(Tambilil-20% LDF 2020)</t>
  </si>
  <si>
    <t>Lot1-Concreting of barangay Road (Cluster 3) at Road#1- Carupian and Road#2-Bunugan, Baggao, Cagayan, Lot2-Concreting of barangay Road at Road#1- Hacienda Intal, Road#2-Asinga Via &amp; Road#3- San Miguel</t>
  </si>
  <si>
    <t>Purchase of Skid Steer Loader for Municipal Landfill (2nd Bid Opening)</t>
  </si>
  <si>
    <t>SUPPLY AND DELIVERY OF EQUIPMENT FOR ICT MODERNIZATION PROGRAM, MSU-MAIN CAMPUS, MARAWI CITY</t>
  </si>
  <si>
    <t>Concreting/Rehabilitation of Local Road at Brgy. Cut-Cut II, Brgy. San Jose and Brgy. San Manuel, Tarlac City. B2020-072-A</t>
  </si>
  <si>
    <t>Improvement of Potable Water System, Brgy. Linothangan, Canlaon City</t>
  </si>
  <si>
    <t>(PROCEDE)  REQUEST FOR QUOTATION (RFQ) For the Procurement of Office Supplies (Calculator, Battery, etc.)) For the Provincial Cooperative &amp; Enterprise Development Office--59,795.69</t>
  </si>
  <si>
    <t>20JC0087 - Repair/Maintenance of Damaged Concrete Pavement Siocon- Sirawai Road, (K2083+000-2083+104) Malakubing, Siocon, Zamboanga del Norte</t>
  </si>
  <si>
    <t>Re-bidding of the Procurement for the Supply, Delivery, Installation and Commissioning of TLE Supplies and Equipment for USTP-Panaon</t>
  </si>
  <si>
    <t>Rebidding of San Jose Port Development Project, Port of San Jose, Paluan, Occidental Mindoro</t>
  </si>
  <si>
    <t>20FF0087 - Construction of Rain water Collector System (RWCS)</t>
  </si>
  <si>
    <t>SUPPLY AND DELIVERY OF MATERIALS FOR THE ESTABLISHMENT OF MATERIAL RECOVERY FACILITY</t>
  </si>
  <si>
    <t>PROCUREMENT  OF VARIOUS OFFICE SUPPLIES FOR THE OFFICE OF THE LGU, PIÑAN, Z.N.</t>
  </si>
  <si>
    <t>Concreting of Box Culvert at Purok 4 Marcos Calo</t>
  </si>
  <si>
    <t>20PM0032 Construction/Rehabilitation of Water Supply/ Septage and Sewerage/ Rain Water Collectors - Rain Water Collectors in Public Facilities</t>
  </si>
  <si>
    <t>Improvement/Rehabilitation of Administrative Building, City Engineering, Brgy. Pabnubigan, Canlaon City</t>
  </si>
  <si>
    <t>Contract ID No.: 20OB0059 Contract Name: Improvement/Widening of Pantaleon Street (Conorado Street to EDSA), Mandaluyong City</t>
  </si>
  <si>
    <t>REPAIR/REHABILITATION OF DAED BUILDING - PIAT CAMPUS (PROJ. REF. NO.:CSU2020-05-01-DAED)</t>
  </si>
  <si>
    <t>Construction/ Upgrading/ Rehabilitation of Drainage along National Roads – Session Road # 2 K0251+746 – K0252+028</t>
  </si>
  <si>
    <t>CONTRACT ID: 20-05-082 = PROCUREMENT OF HARDWARE AND CONSTRUCTION SUPPLIES (DOH-RESU BUILDING PHASE 2)</t>
  </si>
  <si>
    <t>REPAIR OF BAYANIHAN MALE DORMITORY-PIAT CAMPUS (PROJ.REF.NO:CSU2020-05-002-MALEDORM)</t>
  </si>
  <si>
    <t>Rehabilitation of Pangada Farmers' Multi Purpose Building - Phase II, Pangada, SCIS</t>
  </si>
  <si>
    <t>Maintenance, Repair and Rehabilitation of Infrastructure Facilities and Other Related Activities - Public Buildings: Repair/ Maintenance of DOJ Building National Bureau Investigation Office Building N</t>
  </si>
  <si>
    <t>Concreting of Pathway, Po. Greenhills, Brgy. Mabigo, Canlaon City</t>
  </si>
  <si>
    <t>REPAIR/REHABILITATION OF CSU DAIRY CATTLE RESEARCH AND DEVELOPMENT CENTER – PIAT CAMPUS (PROJ.REF.NO: CSU2020-05-004-DAIRYCATTLE)</t>
  </si>
  <si>
    <t>20GPM0002 PURCHASE OF SPAREPARTS FOR MPSDEO SERVICE VEHICLES</t>
  </si>
  <si>
    <t>Rehabilitation of Sinabaan Farmers' Multi Purpose Building, Sinabaan, SCIS</t>
  </si>
  <si>
    <t>Contract ID No.: 20OB0133 Contract Name: Construction of Security and Escort Battalion Administration Building, Fort Andres Bonifacio, Taguig City</t>
  </si>
  <si>
    <t>Rehabilitation of Cabuloan Farmers' Multi Purpose Building - Phase II, Cabuloan, SCIS</t>
  </si>
  <si>
    <t>Construction of 2-CL 1-Unit School Building</t>
  </si>
  <si>
    <t>Contract ID No.: 20OB0134 Contract Name: Construction of Staff Officers Quarters with Parking Area at the Basement and Ground Development at HPA, Fort Bonifacio, Taguig City</t>
  </si>
  <si>
    <t>Contract ID 20IG0063 - Repair/Maintenance of DPWH Building, Main Building, Leyte V District Engineering Office, Brgy. Hipusngo, Baybay City, Leyte</t>
  </si>
  <si>
    <t>Contract Package 6: Maintenance, Repair and Rehabilitation of Infrastructure Facilities and Other Related Activities - Public Buildings: Repair/ Maintenance of DPWH Building: a. BCDEO Main Building Ba</t>
  </si>
  <si>
    <t>REPAIR OF CATLEYA LADIES DORMITORY BUILDING – PIAT CAMPUS (PROJ.REF.NO: CSU2020-05-003-LADIESDORM)</t>
  </si>
  <si>
    <t>Contract ID No.: 20OB0106 Contract Name: Construction of Multi-Purpose Building, Barangay Central Cignal, Taguig City</t>
  </si>
  <si>
    <t>Supply and Delivery of Forty (40) units Multi-Purpose Vehicles for Deployment to Various Barangays</t>
  </si>
  <si>
    <t>Contract ID No.: 20OB0335 Contract Name: Construction of Multi-Purpose Building and Site Development, Brgy. Maharlika, Taguig City</t>
  </si>
  <si>
    <t>Construction of City Engineering Office Field Office at Brgy. Baras-Baras, Tarlac City. B2020-071-A</t>
  </si>
  <si>
    <t>ITB NO. GOP/20-DSWD-036 - Supply and Delivery of Computers for DSWD Central Office and Field Offices</t>
  </si>
  <si>
    <t>Construction of Access Road No. 1 Extension &amp; Appurtenant Road Structures (Sta. 0+000 - Sta. 2+940) and Spillway Crossing at Access Road No. 2 (Sta. 0+000-0+100) for Tumauini River Multipurpose Projec</t>
  </si>
  <si>
    <t>Maintenance, Repair and Rehabilitation of Infrastructure Facilities and Other Related Activities - Public Buildings: Repair/ Maintenance of DOST Building Provincial Science and Technology Center Bagui</t>
  </si>
  <si>
    <t>Contract ID No.: 20OB0107 Contract Name: Construction of Multi-Purpose Building, Barangay Maharlika, Taguig City</t>
  </si>
  <si>
    <t>CONSTRUCTION OF STAGE IN MUNICIPAL BUILDING COVERED COURT</t>
  </si>
  <si>
    <t>Livestock for VET-2020-0122 &amp; 0137</t>
  </si>
  <si>
    <t>Drugs &amp; Medicines for HOD-2020-0160-0162, 0164-0165, 0224-0225, TJPH-2020-0101-0102, 0105-0107, 0110, 0113-0114, OPA-2020-0363, CDH-2020-0041</t>
  </si>
  <si>
    <t>LED Screen for MAM-2019-0242</t>
  </si>
  <si>
    <t>Supply and Delivery of Agricultural Supplies for Use in the Suppression and Control of Pests under 2020 STO-O&amp;M of ILD Program</t>
  </si>
  <si>
    <t>20GPM0005 PURCHASE OF OFFICE SUPPLIES AND EQUIPMENT FOR USE AT THE PLANNING AND DESIGN SECTION AND OFFICE OF THE DISTRICT ENGINEER</t>
  </si>
  <si>
    <t>Contract ID No.: 20OB0422 Contract Name: Construction of Four (4) Storey Twenty (20) Classroom with Roofdeck, Signal Village National High School, Taguig City</t>
  </si>
  <si>
    <t>Supply and Delivery of Various Laboratory Supplies for ILD (RCPC, RSL, RAFAL &amp; RADDL) under 2020 STO-O&amp;M of ILD Program</t>
  </si>
  <si>
    <t>Contract ID No.: 20OB0421 Contract Name: Construction of Four (4) Storey Eight (8) Classroom, Sto. Niño National High School, Brgy. Sto. Niño, Marikina City</t>
  </si>
  <si>
    <t>REPAIR/REHABILITATION OF COLLEGE OF AGRICULTURE – PIAT CAMPUS (PROJ.REF.NO: CSU2020-05-005-CA)</t>
  </si>
  <si>
    <t>20DL0202 - CONSTRUCTION OF COVERED COURT DPWH QUEZON 4TH DEO, BRGY. PANIKIHAN, GUMACA, QUEZON</t>
  </si>
  <si>
    <t>Construction of Brgy. Tatabunan-Brgy. Malaguining Road ( Road Opening), Talalora, Samar</t>
  </si>
  <si>
    <t>INVITATION TO BID FOR THE PROCUREMENT AND DELIVERY OF ICT EQUIPMENT</t>
  </si>
  <si>
    <t>Construction of Drainage Facility at Brgy. Jose Abad Santos, Catarman, N. Samar</t>
  </si>
  <si>
    <t>Contract ID No.: 20OB0423 Contract Name: Construction of Four (4) Storey Sixteen (16) Classroom with Roofdeck, Pateros Elementary School, Pateros, Metro Manila</t>
  </si>
  <si>
    <t>Contract ID No.: 20OB0424 Contract Name: Construction of Four (4) Storey Twelve (12) Classroom with Roofdeck, Bagumbayan National High School, Pateros, Taguig City</t>
  </si>
  <si>
    <t>Contract ID No.: 20OB0341 Contract Name: Construction of Multi-Purpose Building, Brgy. Pinagsama, Taguig City</t>
  </si>
  <si>
    <t>Science Equipment (SEF-0519-042420)</t>
  </si>
  <si>
    <t>Procurement of Security Services of PRO IV-B and its LHIOs</t>
  </si>
  <si>
    <t>Purchase of Medical, Laboratory, Dental Supplies &amp; Linen</t>
  </si>
  <si>
    <t>Construction of Upper Sangay, Anomar  Irrigation System,    Brgy. Anomar, Surigao City</t>
  </si>
  <si>
    <t>Construction of Dam Irrigation System,    Brgy. Quezon, Surigao City</t>
  </si>
  <si>
    <t>Purchase &amp; Delivery of 1 Unit Multi Parameter Water Quality Profiler for Climate Change</t>
  </si>
  <si>
    <t>Procurement of Diesel</t>
  </si>
  <si>
    <t>Construction of Health Center,    Brgy. Sugbay, Surigao City</t>
  </si>
  <si>
    <t>Construction of Irrigation System,    Brgy. Mabini, Surigao City</t>
  </si>
  <si>
    <t>Invitation to Bid for the Supply, Delivery, Testing and Commissioning, and Installation of Diesel Generator Set, Silent Type for Pump Station No. 2</t>
  </si>
  <si>
    <t>Procurement of Parts for the Repair and Maintenance of Machinery and Equipment</t>
  </si>
  <si>
    <t>Procurement of Other Machineries and Equipment</t>
  </si>
  <si>
    <t>ITB-B11-2020</t>
  </si>
  <si>
    <t>UPGRADING OF NAGUILIAN ROAD ENTRY</t>
  </si>
  <si>
    <t>Purchase &amp; Delivery of Various Drugs &amp; Medicines  for DCMMH</t>
  </si>
  <si>
    <t>IMPROVEMENT OF MPS GROUND</t>
  </si>
  <si>
    <t>Purchase &amp; Delivery of Various Medical &amp; Laboratory Supplies for DCMMH</t>
  </si>
  <si>
    <t>Rehabilitation/Improvement of Water Supply System Level II in Brgy. Somoge</t>
  </si>
  <si>
    <t>Opening of Pappa-Bayayeng-Saddul Access Road</t>
  </si>
  <si>
    <t>Purchase of Two (2) units Aircon for the Office of the Municipal Mayor</t>
  </si>
  <si>
    <t>Rehabilitation/Improvement of Sabdang-Pappa Local  Access Road</t>
  </si>
  <si>
    <t>Completion of  Irrigation System,   Brgy. Danao, Surigao City</t>
  </si>
  <si>
    <t>Completion of Lower Sabangan Footbridge</t>
  </si>
  <si>
    <t>Concreting of Agullana Lane (Poblacion Norte and Sur)</t>
  </si>
  <si>
    <t>Invitation to Bid for the Procurement of Electromagnetic Flowmeter (AC-Powered Remote Version)</t>
  </si>
  <si>
    <t>Installation of Street Lights Taguinod Street, Atulayan Sur - Linao East, Tuguegarao City</t>
  </si>
  <si>
    <t>Installation of Street Lights Tuguegarao By Pass Road, Carig Sur/ Caggay, Tuguegarao City</t>
  </si>
  <si>
    <t>Concreting of Pastores Street (Poblacion Sur)</t>
  </si>
  <si>
    <t>Construction of Tuguegarao City Auction Market Gosi Norte, Tuguegarao City</t>
  </si>
  <si>
    <t>CLUSTER 16-2020</t>
  </si>
  <si>
    <t>Improvement of Road Leading to the Municipal MRF</t>
  </si>
  <si>
    <t>Supply and Delivery of 4 units Multiple Extracting Machine</t>
  </si>
  <si>
    <t>PURCHASE OF REFLECTORIZED VEST WITH NAME PLATE &amp; LOGO</t>
  </si>
  <si>
    <t>Improvement of Irrigation Canal (DumaBuenaVilla)</t>
  </si>
  <si>
    <t>Supply and Delivery of 1 unit Multi Crop Combine Harvester</t>
  </si>
  <si>
    <t>Proposed Construction of 150 Slot Apartment Type Niche Located at M.H Del Pilar St, Brgy. Plaza Aldea, Tanay,Rizal</t>
  </si>
  <si>
    <t>Supply &amp; Delivery of Materials for Establishment of Vermi Culture</t>
  </si>
  <si>
    <t>Concreting of Padua Street (DIPINTIN)</t>
  </si>
  <si>
    <t>Supply &amp; Delivery of Materials for Installation of Deep &amp; Shallow Payao</t>
  </si>
  <si>
    <t>SUSTAINING THE LIVELIHOOD OF SMALL COFFEE FARM-HOLDERS ALONG THE PINUKPUK-TABUK (PITA) WATERSHED AREA THROUGH ENHANCED COFFEE PRODUCTION AND PROCESSING</t>
  </si>
  <si>
    <t>ENHANCING THE LIVELIHOOD OF THE SURUNG WATERSHED COMMUNITY THRU COFFEE PROCESSING CENTER AND FACILITIES</t>
  </si>
  <si>
    <t>Supply &amp; Delivery of Agricultural Supplies for Establishment of Rice Model Farm</t>
  </si>
  <si>
    <t>Supply and Delivery of Manual and Self-Propelled Forklift</t>
  </si>
  <si>
    <t>ENHANCING THE LIVELIHOOD OF GAANG TRIBAL UNITY FOR DEVELOPMENT (GATUD) THROUGH HEIRLOOM RICE PROCESSING</t>
  </si>
  <si>
    <t>Supply &amp; Delivery of Materials for Rehabilitation of Julve Street, Cantilan</t>
  </si>
  <si>
    <t>CONSTRUCTION OF STORM SURGE PROTECTION, BULARAN, BANATE, ILOILO</t>
  </si>
  <si>
    <t>Supply and Delivery of Lot 1-768 pcs. Water Plastic Drum and Lot 2-10 units Aircon with Installation</t>
  </si>
  <si>
    <t>supply &amp; delivery of Various Cleaning Materials</t>
  </si>
  <si>
    <t>Procurement of Tourism Destination Marketing Company for Thailand</t>
  </si>
  <si>
    <t>One (1) Lot – Software Subscription, Maintenance and Local Support Services for Oracle Software Licenses as per BSP Terms of Reference and Service Level Agreement (Multi-year Contract for Three Years)</t>
  </si>
  <si>
    <t>20GLH0011 Re-Advertisement (P.R. No. 2020-03-017 dated 03/08/2020) - Installation of Reflectorized Thermoplastic Pavement Markings along Davao-Bukidnon Road, Davao-Cotabato Road, Toril-Bayabas-Eden Ro</t>
  </si>
  <si>
    <t>Procurement of Tourism Destination Marketing Company for Vietnam</t>
  </si>
  <si>
    <t>Procurement of Tourism Destination Marketing Company for Indonesia</t>
  </si>
  <si>
    <t>BANANA AND TARO PROCESSING</t>
  </si>
  <si>
    <t>HEIRLOOM RICE PROCESSING</t>
  </si>
  <si>
    <t>PROVISION OF PROCESSING CENTER AND PROCESSING FACILITIES FOR THE ENHANCEMENT OF BANANA PROCESSING INDUSTRY</t>
  </si>
  <si>
    <t>NATURAL FERTILIZER MAKING LIVELIHOOD PROJECT</t>
  </si>
  <si>
    <t>BANANA CHIPS PROCESSING LIVELIHOOD PROJECT</t>
  </si>
  <si>
    <t>reproduction of reports</t>
  </si>
  <si>
    <t>Supply &amp; Delivery of Materials for Construction of Open Canal at Poblacion Cantilan</t>
  </si>
  <si>
    <t>Conduct of  Feasibility Study of BOSIGON  IRRIGATION PROJECT, Labo, Vinzons, &amp; Paracale, Camarines Norte</t>
  </si>
  <si>
    <t>world teachers day</t>
  </si>
  <si>
    <t>20FE0117 – LP: LOCAL ROADS AND BRIDGES - LOCAL BRIDGES - CONSTRUCTION/ REPAIR/ REHABILITATION/ IMPROVEMENT OF VARIOUS INFRASTRUCTURE INCLUDING LOCAL PROJECTS - CONSTRUCTION OF TARIRIC BRIDGE, BRGY. TA</t>
  </si>
  <si>
    <t>ENHANCING THE LIVELIHOOD OF MALING FARMERS SAVINGS AND LIVELIHOOD ASSOCIATION (MAFASLA) THROUGH COFFEE PROCESSING</t>
  </si>
  <si>
    <t>provision of school forms</t>
  </si>
  <si>
    <t>WHITE CORN PROCESSING LIVELIHOOD PROJECT</t>
  </si>
  <si>
    <t>ENHANCING THE LIVELIHOOD OF TINANANG INCORPORATED (TI) THROUGH HEIRLOOM RICE PROCESSING</t>
  </si>
  <si>
    <t>SUPPLY, DELIVERY AND INSTALLATION OF SSF EQUIPMENT FOR SUGARCANE PROCESSING</t>
  </si>
  <si>
    <t>FRUIT WINE PROCESSING</t>
  </si>
  <si>
    <t>Repair and Improvement of Gov. FGR Sports Complex</t>
  </si>
  <si>
    <t>VEGETABLE PROCESSING LIVELIHOOD PROJECT (INREMP-LES2) – LOT 1</t>
  </si>
  <si>
    <t>supply &amp; delivery of Furniture &amp; Fixture</t>
  </si>
  <si>
    <t>Acquisition of Multi-Cultivator</t>
  </si>
  <si>
    <t>CLUSTER A-20</t>
  </si>
  <si>
    <t>Spare Parts of Isuzu Elf 250 White 124104</t>
  </si>
  <si>
    <t>Construction of FIT Center (Phase II)</t>
  </si>
  <si>
    <t>Supplies and Equipment for Coconut By-Products Processing</t>
  </si>
  <si>
    <t>20FE0120 – LP: LOCAL ROADS AND BRIDGES - LOCAL ROADS - CONSTRUCTION/ REPAIR/ REHABILITATION/ IMPROVEMENT OF VARIOUS INFRASTRUCTURE INCLUDING LOCAL PROJECTS - REHABILITATION/UPGRADING/CONSTRUCTION OF B</t>
  </si>
  <si>
    <t>ITB Concreting of FMR (Brgy. Dapdapan)</t>
  </si>
  <si>
    <t>Invitation to Bid Construction of Cabantohan-Lemery Road</t>
  </si>
  <si>
    <t>supply &amp; delivery of Veterinary Supplies</t>
  </si>
  <si>
    <t>PROCUREMENT OF THE RED HAT ENTERPRISE LINUX SUBSCRIPTIONS FOR THE DOTR SERVERS DELL POWEREDGE R820 AND R330</t>
  </si>
  <si>
    <t>20FE0119 – LP: LOCAL ROADS AND BRIDGES - LOCAL ROADS - CONSTRUCTION/ REPAIR/ REHABILITATION/ IMPROVEMENT OF VARIOUS INFRASTRUCTURE INCLUDING LOCAL PROJECTS - CONSTRUCTION OF HOBO ROAD, PASACAO, CAMARI</t>
  </si>
  <si>
    <t>SAN RAMON CIP, Sagbayan, Bohol</t>
  </si>
  <si>
    <t>20DE0133 Repair/Maintenance of Flood Control Structure at Banalo Creek, Lobo, Batangas</t>
  </si>
  <si>
    <t>PROCUREMENT OF LYNESTRENOL – REBID UNDER IB NO. 2020-175-A</t>
  </si>
  <si>
    <t>Installation of Solar Pavement Studs along Dumaguete North Road (DNR), Dumaguete North Road, Negros Oriental - 1</t>
  </si>
  <si>
    <t>20FE0118 – CONSTRUCTION/ REHABILITATION OF WATER SUPPLY/ SEPTAGE AND SEWERAGE RAIN WATER COLLECTOR SYSTEMS -  RAIN WATER COLLECTORS IN PUBLIC FACILITIES</t>
  </si>
  <si>
    <t>20DE0132 Repair/Maintenance of DPWH Building, AES Parts &amp; Component Building, Kumintang Ilaya, Batangas City</t>
  </si>
  <si>
    <t>Procurement of SERVICES: GARBAGE COLLECTION</t>
  </si>
  <si>
    <t>VEGETABLE PROCESSING LIVELIHOOD PROJECT (INREMP-LES2) – LOT 2</t>
  </si>
  <si>
    <t>CONSTRUCTION OF SEAWALL</t>
  </si>
  <si>
    <t>Concreting/Rehabilitation of Kisabong FMR 500m (Phase I) at Brgy Agusan Canyon</t>
  </si>
  <si>
    <t>Purchase of One Unit Utility Van</t>
  </si>
  <si>
    <t>provision of school supplies for pupils</t>
  </si>
  <si>
    <t>SUPPLY/DELIVERY OF 2,000 SACHET FOLIAR FERTILIZER</t>
  </si>
  <si>
    <t>CONSTRUCTION OF MP BUILDING(COVERED COURT)</t>
  </si>
  <si>
    <t>Calunasan SRIP (Const. of Lined Canal, canal Structures and Access Road)</t>
  </si>
  <si>
    <t>Mabini Cayacay SRIP, Package 1 (Const. of Saddle Dam - Clay Blanket)</t>
  </si>
  <si>
    <t>Purchase of Generator set for use in Material Recovery Facility (MRF) - Maraburab, Alcala, Cagayan</t>
  </si>
  <si>
    <t>INVITATION TO BID FOR COMPUTER EQUIPMENT &amp; ACCESSORIES (BID NO. 200616-03)</t>
  </si>
  <si>
    <t>Mabini Cayacay SRIP, Package 2 (Const. of Cawasan Diversion Structure)</t>
  </si>
  <si>
    <t>INVITATION TO BID FOR DRUGS AND MEDICINES (BID NO. 200616-06)</t>
  </si>
  <si>
    <t>SUPPLY AND DELIVERY OF 50 BOX AI GLOVES, 80 PACKS AI STRAW SHEATH INSERT &amp; 200 PCS. GOBLET 0.35</t>
  </si>
  <si>
    <t>SUPPLY/DELIVERY OF SOLAR STREET LIGHT WITH LAMP POST INCLUDING INSTALLATION</t>
  </si>
  <si>
    <t>INVITATION TO BID FOR TAILORING  (BID NO. 200616-04)</t>
  </si>
  <si>
    <t>INVITATION TO BID FOR ELECTRICAL EQUIPMENT AND APPLIANCES - A (BID NO. 200616-01)</t>
  </si>
  <si>
    <t>INVITATION TO BID FOR COMPUTER EQUIPMENT &amp; ACCESSORIES (BID NO. 200616-02)</t>
  </si>
  <si>
    <t>PB2020-05-003 GAA Procurement of Security Services for CHED for FY 2020 (6 Months)</t>
  </si>
  <si>
    <t>INVITATION TO BID FOR FURNITURE AND FIXTURES (ERGONOMIC &amp; EUROTECH TYPE) (BID NO. 200616-05)</t>
  </si>
  <si>
    <t>INVITATION TO BID FOR MEDICAL SUPPLIES &amp; MATERIALS (BID NO. 200616-07)</t>
  </si>
  <si>
    <t>20FF0083 - Work Category 10: Activity 41x, Emergency Project at Milaor – Minalabac – Pili Road Section, Pili, Camarines Sur</t>
  </si>
  <si>
    <t>20FF0084 - Work Category No. 11: Activity 63x – Resurfacing of Unpaved  Shoulders along Naga City Bdry.-Calabanga-Balongay Road and Manguiring-Sibobo-Cagsao-Cabanbanan Road, Balongay, Calabanga and Ma</t>
  </si>
  <si>
    <t>RE-BIDDING OF UTILITY VEHICLE 2020</t>
  </si>
  <si>
    <t>Procurement of 1 lot Fabrication and installation of 320 units bed bunks-B-20-0182</t>
  </si>
  <si>
    <t>CONSTRUCTION OF EVACUATION CENTER/OPERATION CENTER</t>
  </si>
  <si>
    <t>Concreting of Comcomloong Farm to Market Road</t>
  </si>
  <si>
    <t>Procurement of various medical supplies-B-20-0183</t>
  </si>
  <si>
    <t>(20NH0090)Repair/ Maintenance of Flood Control and Drainage Structures and Other Related Facilities, Buenavista Revetment, Tandag, Surigao del Sur(Phase 1)</t>
  </si>
  <si>
    <t>CW20-029-1 Lot Construction of Multi-Purpose Building (H.E Building, Taglawig NHS), Brgy. Taglawig, Maco) (Furnishing Labor, Materials and Equipment)</t>
  </si>
  <si>
    <t>GRAVELLING OF SHOULDER OF CONCRETE PAVED ROAD ALONG  CUPIS-UMBOG FMR</t>
  </si>
  <si>
    <t>INVITATION TO BID FOR THE PROCUREMENT OF TRUCKING SERVICES  FOR THE INTRA-REGIONAL TRANSFER OF GRAINS OF NFA REGION XI  FOR THE YEAR 2020</t>
  </si>
  <si>
    <t>20FF0086 - Construction of Barangay Road, Barangay Pinit, Ocampo, Camarines Sur</t>
  </si>
  <si>
    <t>CW20-027-1 Lot Construction of Multi-Purpose Building/ Social Hall at Osmeña E/S,  Compostela [Construction of four (4) bay, painting, electrical and billboard] (Furnishing Labor, Materials and Equipm</t>
  </si>
  <si>
    <t>CW20-028-1 Lot Construction of Hanging Bridge, Purok 6, Tawin-tawin, Brgy. San Antonio, Laak [Construction of 25 meters hanging bridge with 18 meters approach slab both sides (2m width)] (Furnishing L</t>
  </si>
  <si>
    <t>20FF0085 - Construction of Barangay Road, Barangay Carangcang, Magarao, Camarines Sur</t>
  </si>
  <si>
    <t>INVITATION TO BID FOR COMPUTER SUPPLIES &amp; MATERIALS (BID NO. 200616-08)</t>
  </si>
  <si>
    <t>PROCUREMENT OF AMBULANCE (FOR RURAL HEALTH UNIT)</t>
  </si>
  <si>
    <t>CONSTRUCTION OF FLOOD CONTROL ALONG BULUAN CREEK</t>
  </si>
  <si>
    <t>CONSTRUCTION OF FLOOD CONTROL ALONG MALAMA CREEK AT PUROK 4</t>
  </si>
  <si>
    <t>20NB0059, Repair/Maintenance of DPWH Building Procurement Building (BAC), Agusan del Sur 1st DEO, Patin-ay, Prosperidad, Agusan del Sur</t>
  </si>
  <si>
    <t>CONSTRUCTION OF SLOPE PROTECTION AT DAGA MULTI PURPOSE BUILDING</t>
  </si>
  <si>
    <t>CONSTRUCTION OF SLOPE PROTECTION AT BULUAN BARANGAY LOT PHASE II</t>
  </si>
  <si>
    <t>CW20-026-1 Lot Construction of Water System, Liwanag Center, Brgy. Libasan (Construction of elevated tank, well drilling, installation of pipelines and 1 set 5.0Hp single phase submersible pump) (Furn</t>
  </si>
  <si>
    <t>PRE-BID CONFERENCE 02/June/2020 - Procurement of Goods: Const'n Materials &amp; Supplies for the use of DEPED (Const'n of School Gym at Babangan Elem. School, Bincungan, Tagum City) (PR#200-20-05-0071)</t>
  </si>
  <si>
    <t>LABORATORY SUPPLIES AND RE-AGENTS WITH TIE-UP MACHINE</t>
  </si>
  <si>
    <t>KAWAKAYAN SIP PACKAGE 2: CONSTRUCTION OF CANAL LINING AND CANAL STRUCTURES</t>
  </si>
  <si>
    <t>ROPOSED DRILLING OF ELEVEN (11) EXPLORATORY/PRODUCTION WELLS IN CEBU CITY</t>
  </si>
  <si>
    <t>KAWAKAYAN SIP CY 2020 PACKAGE 1: CONSTRUCTION OF DIVERSION WORKS</t>
  </si>
  <si>
    <t>P.R No. 20-05-0584 OFFICE SUPPLIES</t>
  </si>
  <si>
    <t>Consulting Service for the Support and Maintenance of the Business Name Registration System Next Generation (BNRSNextGEN)</t>
  </si>
  <si>
    <t>Procurement of IT Supplies</t>
  </si>
  <si>
    <t>Construction of Residual Containment Area w/ SWM Equipment Room and Septic Vault for Special Waste</t>
  </si>
  <si>
    <t>20NB0063, Repair/Maintenance of DOTr Building LTO Office Building, Brgy. Patin-ay, Prosperidad, Agusan del Sur</t>
  </si>
  <si>
    <t>20NB0062, Repair/Maintenance of DILG   Building PNP-Highway Patrol Group, Brgy. Patin-ay, Prosperidad, Agusan del Sur</t>
  </si>
  <si>
    <t>20NB0064, Repair/Maintenance of DPWH Building Multi-Purpose Building (Covered Court), Agusan del Sur 1st DEO, Patin-ay, Prosperidad, Agusan del Sur</t>
  </si>
  <si>
    <t>Concreting of Mabuhay St</t>
  </si>
  <si>
    <t>20NB0061, Repair/Maintenance of DILG   Building PNP-Post 1 / Guardhouse, Brgy. Patin-ay, Prosperidad, Agusan del Sur</t>
  </si>
  <si>
    <t>Rehabilitation of road with construction of drainage canal., M.H. del Pilar St., San Vicente East, Calapan City</t>
  </si>
  <si>
    <t>Procurement of Dump Truck ( Brand New)</t>
  </si>
  <si>
    <t>20NB0060, Repair/Maintenance of DPWH Building ICT Office Building, Agusan del Sur 1st DEO, Patin-ay, Prosperidad, Agusan del Sur</t>
  </si>
  <si>
    <t>Concreting of Boydon St</t>
  </si>
  <si>
    <t>Drainage construction, Roxas st., Lumangbayan, Calapan City</t>
  </si>
  <si>
    <t>Concreting of Aloquin St</t>
  </si>
  <si>
    <t>B20200187 - MOBILE HOSPITAL - EMERGENCY RESPONSE VEHICLE FOR PGO USE.</t>
  </si>
  <si>
    <t>B20200188 - HEAVY DUTY RESCUE VEHICLE - DISASTER RESCUE, RELIEF AND EVACUATION</t>
  </si>
  <si>
    <t>B20200189 - HEAVY DUTY AMBULANCE-ADVANCE LIFE SUPPORT</t>
  </si>
  <si>
    <t>CONCRETING OF CABAYUGAN ACCESS ROAD</t>
  </si>
  <si>
    <t>PRE-BID CONFERENCE 02/June/2020 - Procurement of Goods: Const'n Materials &amp; Supplies for the use of DEPED (Const'n of School Gym at Magdum National High School) (PR#200-20-05-0072)</t>
  </si>
  <si>
    <t>CONSTRUCTION OF DRAINAGE CANAL ALONG MANAYDAY-CALAOI ACCESS ROAD</t>
  </si>
  <si>
    <t>Package: CONSTRUCTION OF MAOAY DAYCARE, CONSTRUCTION OF STREET LIGHTS ALONG SAN MARCIAL-TIGGALAY-KIRMAY ROAD AND CONCRETEING OF SAN MARCIAL CEMETERY ACCESS ROAD (PHASE II)</t>
  </si>
  <si>
    <t>“Provision of Motor Vehicle, Motorcycle and Agricultural Tractor (G-20-03)</t>
  </si>
  <si>
    <t>Sixty (60) units Desktop Computer System w/ specs for the use at IT Section of NOPH (B-68-2020)</t>
  </si>
  <si>
    <t>Procurement of  Road Roller/Compactor &amp; Road Grader (Brand New)</t>
  </si>
  <si>
    <t>B20200191 - HEAVY DUTY RESCUE VEHICLE-CRANE EQUIPPED FIRE AND DISASTER RESCUE &amp; RELIEF</t>
  </si>
  <si>
    <t>Procurement of Fertilizer 14-14-14 w/ sulfur</t>
  </si>
  <si>
    <t>Various Medical Supplies for the use at CSR Section of NOPH (B-69-2020)</t>
  </si>
  <si>
    <t>B20200190 - LIGHT RESCUE VEHICLE</t>
  </si>
  <si>
    <t>Package: REPAIR OF DALIMAG DAYCARE, REHABILITATION OF DALIMAG PLAZA, INSTALLATION OF STREET LIGHTS ALONG DALIMAG SUR ACCESS ROAD AND CONSTRUCTION OF DALIMAG V-DITCH</t>
  </si>
  <si>
    <t>BOX CULVERT</t>
  </si>
  <si>
    <t>PRE-BID CONFERENCE 02/June/2020 - Procurement of Goods: Const'n Material for the use of CMO (Const'n of Parks &amp; Plazas in Brgy's &amp; Subd. at Mabini St., Magugpo Poblacion, T.C.) (PR#100-20-05-0040)</t>
  </si>
  <si>
    <t>20CG0137 - Local Infrastructure Program: Local Roads and Bridges – Local Roads – Construction of Road, Apalit, Pampanga</t>
  </si>
  <si>
    <t>Construction of New Irrigation Facilities at Upper Ambawan SIP</t>
  </si>
  <si>
    <t>20CG0136 - Local Program: Construction/ Repair/ Rehabilitation/ Improvement of Various Infrastructure including Local Projects – Local Roads  and Bridges – Local Roads – Construction of Road, Masantol</t>
  </si>
  <si>
    <t>20CG0135 - Local Program: Construction/ Repair/ Rehabilitation/ Improvement of Various Infrastructure including Local Projects – Local Roads  and Bridges – Local Roads – Construction of Road, San Simo</t>
  </si>
  <si>
    <t>2020-124-I 14,777 BAGS UREA FOR RICE PROGRAM CY 2020</t>
  </si>
  <si>
    <t>POTABLE WATER SUPPLY SYSTEM</t>
  </si>
  <si>
    <t>20CG0138 - Local Infrastructure Program: Multipurpose/ Facilities – Construction of Multi-Purpose Building, San Antonio, Mexico, Pampanga</t>
  </si>
  <si>
    <t>20CG0134 - Local Program: Construction/ Repair/ Rehabilitation/ Improvement of Various Infrastructure including Local Projects – Local Roads  and Bridges – Local Roads – Construction of Road, Minalin,</t>
  </si>
  <si>
    <t>20FL0081-Repair/Maintenance of Flood Control Structure along Manjumlad, Matnog, Sorsogon Brgy. Manjumlad, Matnog, Sorsogon</t>
  </si>
  <si>
    <t>20CG0139 - Local Program: Construction/ Repair/ Rehabilitation/ Improvement of Various Infrastructure including Local Projects – Local Roads  and Bridges – Local Roads – Construction of Road, San Luis</t>
  </si>
  <si>
    <t>ITB-2020-GS-007 PROCUREMENT OF DRUGS &amp; MEDICINES</t>
  </si>
  <si>
    <t>PURCHASE OF ONE (1) LOT BRAND NEW HEAVY EQUIPMENT FOR MUNICIPAL GENERAL USE PURPOSES OF THIS MUNICIPALITY</t>
  </si>
  <si>
    <t>SVP PUR20-03- 0301/0163 Procurement of Calculator,etc.</t>
  </si>
  <si>
    <t>Improvement of Multi-Purprose Building (Municipal Hall)</t>
  </si>
  <si>
    <t>Repair and Maintenance of Foton Ambulance</t>
  </si>
  <si>
    <t>Construction of New Municipal Slaughterhouse</t>
  </si>
  <si>
    <t>Procurement of Medicines and Medical Supplies for ILHZ Medical and Dental Activities</t>
  </si>
  <si>
    <t>ITB-2020-GS-008 PROCUREMENT OF BLOOD GLUCOSE STRIPS</t>
  </si>
  <si>
    <t>Purchase of 1 Unit of Rescue Vehicle</t>
  </si>
  <si>
    <t>Construction of Multi-Purpose Drying Pavement at Barangay Mabasa</t>
  </si>
  <si>
    <t>Repair/Maintenance of Revetment along Camatian River Control, Barangay 05, Lucban, Quezon (Phase  II)</t>
  </si>
  <si>
    <t>Construction of Building for Coco Sugar Factory, Mauban, Quezon</t>
  </si>
  <si>
    <t>Construction of Maapon River Flood Control, Sampaloc, Quezon</t>
  </si>
  <si>
    <t>Rehabilitation/Reconstruction/Upgrading of Damaged Paved National Roads Famy-Real-Infanta-Dinahican Port Road, K0102+204-K0103+000</t>
  </si>
  <si>
    <t>Construction of Multi-Purpose Building Barangay Alupay, Sampaloc, Quezon</t>
  </si>
  <si>
    <t>Supply of 12 Clerical and 10 Janitorial Services for Fiscal Year 2020-2021</t>
  </si>
  <si>
    <t>Construction of Multi-Purpose Building Barangay Ayuti, Lucban, Quezon</t>
  </si>
  <si>
    <t>FLOOD CONTROL PROTECTION (AWAII-RAWIS CREEK)</t>
  </si>
  <si>
    <t>CONCRETING OF PATHWAY W/ DRAINAGE CANAL AT PUROK 2 &amp; 3, TINANOGAN, DONSOL, SORSOGON</t>
  </si>
  <si>
    <t>20CSFE01 - Consulting Services for the Geotechnical and Geological Surveys/Investigations for Proposed FY 2021 Road, Bridge, Building and Flood Mitigation Projects</t>
  </si>
  <si>
    <t>CONCRETING OF ROAD, 230 Lin.M.</t>
  </si>
  <si>
    <t>Construction/Repair/Rehabilitation/Improvement of Various Infrastructure including Local Projects -Multi-Purpose Facilities- Construction of Cagbalete Island Port, Mauban, Quezon</t>
  </si>
  <si>
    <t>Construction of Drainage System at Barangay San Antonio, Floridablanca, Pampanga</t>
  </si>
  <si>
    <t>Procurement of Various Spare Parts-05-286(A)PGO</t>
  </si>
  <si>
    <t>20FJ0026 - Repair/Maintenance of Sawang Flood Control, Sawang, Uson, Masbate, Sta. 0+000 - Sta. 0+060 (Upstream, R/S)</t>
  </si>
  <si>
    <t>ITB-124 Improvement of Agusan del Norte Provincial Capitol Building  Hallway &amp; Lobbys, Agusan del Norte, Provincial Capitol Building, Butuan City</t>
  </si>
  <si>
    <t>Construction of Reading Center</t>
  </si>
  <si>
    <t>CONCRETING OF PATHWAY (PHASE 3) AT PUROK 7, SIBAGO, DONSOL, SORSOGON</t>
  </si>
  <si>
    <t>AIRCONDITIONING UNIT</t>
  </si>
  <si>
    <t>Provision of Amphitheater at Nursing Arts Laboratory-Reposting</t>
  </si>
  <si>
    <t>INSTALLATION AND FABRICATION OF AMENITIES  (FOR PROPOSED SLAUGHTER HOUSE, STO. NIÑO)</t>
  </si>
  <si>
    <t>DEVELOPMENT OF TOURIST PARKING(Construction of Perimeter Fence with Entrance Gate)</t>
  </si>
  <si>
    <t>Supply of Labor, Materials and Equipment for Riprapping, Brgy. Lapolapo II, San Jose, Batangas</t>
  </si>
  <si>
    <t>Supply and Delivery of Office Supplies for VSU Main</t>
  </si>
  <si>
    <t>Supply of Labor, Materials and Equipment for the Rehabilitation/Improvement of Level III Water System, Brgy. Don Luis, San Jose, Batangas</t>
  </si>
  <si>
    <t>INSTALLATION OF STREET LIGHTS ALONG PUROK 6 TO CALAMBA PROPER IN BARANGAY CALAMBA, CABADBARAN CITY</t>
  </si>
  <si>
    <t>Supply of Labor, Materials and Equipment for the Construction of Additional Water Source (Water Supply System), Brgy. Don Luis, San Jose, Batangas</t>
  </si>
  <si>
    <t>Purchase of Diesel Fuel and Special Gasoline for Peace and Order Program, Local Road Network Development Program and Potable Water Supply Development Program of the Province of Zamboanga del Sur for C</t>
  </si>
  <si>
    <t>Purchase of Oils and Lubricants for Peace and Order Program, Local Road Network Development Program and Potable Water Supply Development Program of the Province of Zamboanga del Sur for CY-2020</t>
  </si>
  <si>
    <t>Procurement of Thirty (30) Units 4x4 Pick-up (Brand New) for Provincial Governor’s Office, PNP &amp; AFP use</t>
  </si>
  <si>
    <t>PROCUREMENT OF SUPPLY AND DELIVERY OF VARIOUS OFFICE SUPPLIES</t>
  </si>
  <si>
    <t>Procurement of Two (2) units Motorcycles to be used at Municipal Engineering and Agriculture's Office, Municipality of Balasa</t>
  </si>
  <si>
    <t>(19Z00001) Arterial Road Bypass Project (Plaridel Bypass), Phase III, Contract Packages 1 &amp; 2, KO0034+900.00 to KO0047+400.00, JICA Loan Agreement No. PH-P266</t>
  </si>
  <si>
    <t>RFQ / 20-03-0181 / PROCUREMENT OF MATERIALS FOR THE FABRICATION OF STAINLESS STEEL 2-BOWL KITCHEN SINK W GOOSENECK AND STRAINER</t>
  </si>
  <si>
    <t>Procurement of Two (2) Units Service Van for Provincial Government Office use</t>
  </si>
  <si>
    <t>Closure of Controlled Dumpsite</t>
  </si>
  <si>
    <t>FOR THE SUPPLY AND DELIVERY OF ICT SUPPLIES AND OTHER PERIPHERALS OF EMB REGION VI CY 2020</t>
  </si>
  <si>
    <t>Owak Health Center</t>
  </si>
  <si>
    <t>CONSTRUCTION OF  MULTI  PURPOSE  BUILDING, BRGY. MALACBANG, PARACALE,CAMARINES  NORTE</t>
  </si>
  <si>
    <t>CONSTRUCTION OF GRANDSTAND - PHASE 5 AT POBLACION, EL SALVADOR CITY</t>
  </si>
  <si>
    <t>CONSTRUCTION OF  MULTI  PURPOSE BUILDING  PHASE 3</t>
  </si>
  <si>
    <t>20LD0100-Concreting of Road, Sitio Patulangon, Zone I, Sta. Cruz, Davao del Sur</t>
  </si>
  <si>
    <t>Purchase of Fluids for ZDSMC Pharmacy stocking/sale purposes</t>
  </si>
  <si>
    <t>Supply and delivery of various materials for Enhanced Aquaculture Project implementation and distribution regionwide</t>
  </si>
  <si>
    <t>Purchase of Regulated Drugs for ZDSMC Pharmacy stocking/sale purposes</t>
  </si>
  <si>
    <t>Procurement of Non-Regulated Drugs (Anti-biotics/ Antimicrobials) For ZDSMC Pharmacy Stocking/Sale Purposes</t>
  </si>
  <si>
    <t>20CSGF0001 - Conduct of Geotechnical/Subsoil Exploration for Various Proposed FY 2021 Projects (RE-BIDDING)</t>
  </si>
  <si>
    <t>Construction of Various Pump Irrigation Projects in the Municipality of Tobias Fornier, Antique</t>
  </si>
  <si>
    <t>20P00031 Construction of Luba -Sabnangan Flood Control</t>
  </si>
  <si>
    <t>construction of spring intake structure, pipelaying of 23.5 kilometers transmission mains (Owner-supplied pipes and fittings) and other related works</t>
  </si>
  <si>
    <t>Rehabilitation of Igburi CIS</t>
  </si>
  <si>
    <t>20J00194 - Construction/ Maintenance of Flood Mitigation Structures and Drainage Systems - Construction/Extension of Flood Control at Saaz River, San Ramon, Zamboanga City</t>
  </si>
  <si>
    <t>Procurement of Two (2) Units Filter Machine</t>
  </si>
  <si>
    <t>CONSTRUCTION OF MULTI  PURPOSE BUILDING PHASE  2</t>
  </si>
  <si>
    <t>20J00196 - Widening of Permanent Bridges - Sibuguey Bridge (B00480MN) Along Lanao-Pagadian-Zamboanga City Road</t>
  </si>
  <si>
    <t>20J00195 - Construction/Maintenance of Flood Mitigation Structures and Drainage Systems- Construction of Flood Control Structure, along Salug Daku (Miligan), Molave, Zamboanga del Sur</t>
  </si>
  <si>
    <t>Procurement of Ten (10) Units 4x4 Pick-up Truck (Surplus) for Provincial Governor’s Office use</t>
  </si>
  <si>
    <t>Cluster XXIX</t>
  </si>
  <si>
    <t>(Cluster VI) Local Infrastructure Program; Building and other Structures; Multi-Purpose/Facilities; Improvement of Multi-Purpose Building in Various Barangays in Angeles City, Mabalacat City and Magal</t>
  </si>
  <si>
    <t>Local Program: Construction/ Repair/ Rehabilitation/ Improvement of Buildings and Other Structures; Multi-Purpose/ Facilities; Construction of Multi-Purpose Building (Auditorium) at Brgy. Sto. Nino, M</t>
  </si>
  <si>
    <t>Repair/Rehabilitation of Basey District Hospital</t>
  </si>
  <si>
    <t>(Cluster X) Local Infrastructure Program; Building and other Structures; Multi-Purpose/Facilities; Construction of Multi-Purpose Covered Area with Reinforced Concrete Slab in Various Barangays in Maba</t>
  </si>
  <si>
    <t>Supply and Delivery of Common Office Supplies, Office Devices, Janitorial Supplies, Office Equipment, Computer Supplies and Consumables</t>
  </si>
  <si>
    <t>Construction of Brgy. Road</t>
  </si>
  <si>
    <t>Procurement of Various Construction Supplies and Materials-05-283(O)PEO</t>
  </si>
  <si>
    <t>Construction of Barangay Poblacion-Baquiw Road</t>
  </si>
  <si>
    <t>Procurement of Various Construction Supplies and Materials-05-284(O)PEO</t>
  </si>
  <si>
    <t>Local Infrastructure Program; Building and other Structures; Multi-Purpose/ Facilities: Construction of Multi-Purpose Building at Brgy. Pulung Maragul, Angeles City, Pampanga</t>
  </si>
  <si>
    <t>Cluster XXVI</t>
  </si>
  <si>
    <t>Cluster XXVII</t>
  </si>
  <si>
    <t>Cluster XXIV</t>
  </si>
  <si>
    <t>Procurement of Various Construction Supplies and Materials-05-282(O)PEO</t>
  </si>
  <si>
    <t>Cluster XXV</t>
  </si>
  <si>
    <t>Construction of 280m x 1.0m pathway</t>
  </si>
  <si>
    <t>Cluster XXVIII</t>
  </si>
  <si>
    <t>20BG0140-Construction/Repair/ Rehabilitation/Improvement of Various Infrastructure Including Local Projects – Buildings and Other Structures - Multipurpose/ Facilities - Rehabilitation of Municipal Bu</t>
  </si>
  <si>
    <t>Provision of Higher Education Services (Purchase of Various Equipment)</t>
  </si>
  <si>
    <t>RFQ-Office Equipment</t>
  </si>
  <si>
    <t>Cluster XXXII</t>
  </si>
  <si>
    <t>Cluster XXXI</t>
  </si>
  <si>
    <t>Construction of Water System Level II</t>
  </si>
  <si>
    <t>Supply &amp; Delivery of 7 Lots Various Printing Papers_Jun. 16, 2020</t>
  </si>
  <si>
    <t>ITB-1 unit Ambulance</t>
  </si>
  <si>
    <t>Construction of Box Culvert</t>
  </si>
  <si>
    <t>Cluster XXX</t>
  </si>
  <si>
    <t>20BG0139-Construction/Repair/ Rehabilitation/Improvement of Various Infrastructure Including Local Projects – Buildings and Other Structures - Multipurpose/ Facilities - Rehabilitation of Multi-Purpos</t>
  </si>
  <si>
    <t>ITB- 1 Unit Mini Bus</t>
  </si>
  <si>
    <t>Supply and Delivery of Vertical Take-Off and Landing Drone</t>
  </si>
  <si>
    <t>Purchase of 2,600 Bags of Syntethic Fertilizers to be distributed to the farmers of Porac, Pampanga</t>
  </si>
  <si>
    <t>ITB- Upgrading Central Agriculture Laboratory Building (ASIST Lagangilang)</t>
  </si>
  <si>
    <t>RESTORATION OF MALACAÑAN SA SUGBO, CEBU CITY, AND CONVERSION TO NM-CEBU (Removal, Dismantling, Clearing &amp; Disposal Works-Phase 1)</t>
  </si>
  <si>
    <t>ITB- 1 Unit Van</t>
  </si>
  <si>
    <t>PURCHASE OF MOTOR VEHICLE (RESCUE 911 VEHICLE)</t>
  </si>
  <si>
    <t>20P00036 Construction of Poblacion Luba Bridge</t>
  </si>
  <si>
    <t>DRAINAGE CONSTRUCTION, Samaco St., to Osmena to Quezon St., Calero, Calapan City</t>
  </si>
  <si>
    <t>Supply/Delivery of One (1) Unit Brand New Rescue Vehicle</t>
  </si>
  <si>
    <t>20BG0132-Construction/Repair/ Rehabilitation/Improvement of Various Infrastructure Inlcuding Local Projects - Rehabilitation of Multi-purpose Building, Reina Mercedes, Isabela</t>
  </si>
  <si>
    <t>REHABILITATION OF ROAD (PHASE II), J.Luna St., San Vicente North, Calapan City</t>
  </si>
  <si>
    <t>CONSTRUCTION OF BULUSAN MULTI-PURPOSE BUILDING (GYM TYPE)</t>
  </si>
  <si>
    <t>20CG0131 - Bridge Program: Retrofitting/ Strengthening of Permanent Bridges – Magliman Br. (B01472LZ) along Jose Abad Santos Ave (JASA), City of San Fernando, Pampanga</t>
  </si>
  <si>
    <t>CONSTRUCTION/ COMPLETION OF CALAPAN CITY HEALTH OFFICE - GUINOBATAN</t>
  </si>
  <si>
    <t>Procurement of Service Provider for Repair and Rehabilitation of Vertical Turbine Pump</t>
  </si>
  <si>
    <t>20BG0134-Local Infrastructure Program - Buildings and Other Structures - Multipurpose/ Facilities - Construction (Completion) of Multi-purpose Building (Municipal Community Center), Brgy. Bugallon Pro</t>
  </si>
  <si>
    <t>20BG0138-Construction/Repair/ Rehabilitation/Improvement of Various Infrastructure Including Local Projects – Construction of Evacuation Center (Phase 2), San Mariano, Isabela</t>
  </si>
  <si>
    <t>20BG0135-Local Infrastructure Program - Buildings and Other Structures - Multipurpose/Facilities - Construction of Multi-Purpose Building (Terminal Building), Brgy. Napaccu Pequeño, Reina Mercedes, Is</t>
  </si>
  <si>
    <t>20P00039 Construction of Bridge across Tumbal River Connecting Luba to Manabo</t>
  </si>
  <si>
    <t>INVITATION TO BID NO. 2020-05-0011 PROCUREMENT OF LABORATORY EQUIPMENT OF CAPSU RDE-CSRDC</t>
  </si>
  <si>
    <t>Repair/Maintenance of DPWH Building Quarter's Tinaogan, Bindoy, Negros Oriental</t>
  </si>
  <si>
    <t>Supply and Delivery of Commercial Feeds for Bangus (Sinking Type)</t>
  </si>
  <si>
    <t>Supply and Delivery of 100 Bottles Balanced Multiple Maintenance Solution with 5% Dextrose for Pedia and other various hospital supplies.</t>
  </si>
  <si>
    <t>20CSGN0088- Conduct of Geotechnical Investigation of various projects under FY 2021 Infrastructure Program of Negros Occidental 4th District Engineering Office, Negros Occidental 4th Legislative Distr</t>
  </si>
  <si>
    <t>Procurement of Printing Services</t>
  </si>
  <si>
    <t>20BG0137-Local Infrastructure Program - Buildings and Other Structures - Multipurpose/Facilities - Construction of Multi-Purpose Building (San Mariano Evacuation Center-Phase 2), Brgy. Minanga, San Ma</t>
  </si>
  <si>
    <t>20BG0131-Local Infrastructure Program - Buildings and Other Structures - Multipurpose/ Facilities - Construction of Multi-purpose Building, Barangay Napaccu Pequeño, Reina Mercedes, Isabela</t>
  </si>
  <si>
    <t>CONSTRUCTION OF CONCRETE ELEVATED TANK AT FNHS</t>
  </si>
  <si>
    <t>Procurement of Drugs &amp; Medicines PR # 2020-04-30-148</t>
  </si>
  <si>
    <t>20BG0136-Local Infrastructure Program - Buildings and Other Structures - Multipurpose/Facilities - Construction of Multi-Purpose Building (Municipal Building), Brgy. Napaccu Pequeño, Reina Mercedes, I</t>
  </si>
  <si>
    <t>INVITATION TO BID FOR THE PROCUREMENT OF VARIOUS UPVC PIPES FOR MANOLO FORTICH WATER SUPPLY IMPROVEMENT PROJECT OF MANOLO FORTICH WATER DISTRICT</t>
  </si>
  <si>
    <t>IMPROVEMENT OF ENGINEERING OFFICE BUILDING</t>
  </si>
  <si>
    <t>PROCUREMENT OF  SERVICES AND MATERIALS FOR THREE (3) EXPLORATORY/PRODUCTION WELLS AND RELATED PUMPING AND STORAGE FACILITIES</t>
  </si>
  <si>
    <t>ITB No. GOP/20-DSWD-032 - Hiring of Service Provider for Customs Brokerage and Cargo Hauling Services for FY 2020</t>
  </si>
  <si>
    <t>(PSWDO) REQUEST FOR QUOTATION (RFQ)  For the Procurement 108 pcs Curriculum Guide – Learning Resource Package No. 8 For the Provincial Social Welfare &amp; Development Office--108,000.00</t>
  </si>
  <si>
    <t>Lot 1: One (1) Lot Application of Polyurethane Foam on all BSP Buildings of BSP Cebu RO (see attached Scope of Work and Specifications)                                                                L</t>
  </si>
  <si>
    <t>Lot 1: One (1) Unit Motor Vehicle for BSP Bacolod Branch, as per attached specifications  Lot 2: One (1) Unit Motor Vehicle for BSP Dumaguete Branch, as per attached specifications  Lot 3: One (1) Uni</t>
  </si>
  <si>
    <t>Infant Weighing Scale Mechanical</t>
  </si>
  <si>
    <t>Procurement of supply and delivery of flower inducer</t>
  </si>
  <si>
    <t>Construction of Building of the Muscovado Production and Marketing Enterprise/ PRDP-IR-R006-NOC-008-000-000-2017-R3</t>
  </si>
  <si>
    <t>IMPROVEMENT OF LOCAL ROADS PACKAGE 1-2020</t>
  </si>
  <si>
    <t>CONSTRUCTION OF LOCAL ROADS</t>
  </si>
  <si>
    <t>Procurement of supply and delivery of other materials</t>
  </si>
  <si>
    <t>Establishment of Archival Building (Phase-I) Sta. Cruz, Dapitan City POW #  2020-05-11-005</t>
  </si>
  <si>
    <t>Procurement of Consultancy Services as Systems Integrator for the Supply, Delivery, Installation, and Maintenance of the Philippine Identification System</t>
  </si>
  <si>
    <t>CONSTRUCTION OF BOX CULVERT CAMALIG – LAKER BOUNDARY (8000-2-2-11), SARANGANI, DAVAO OCCIDENTAL.</t>
  </si>
  <si>
    <t>CONCRETE PAVEMENT (ONE LANE) FRONT EVACUATION, MUN. GROUND, MABILA, (8000-2-2-8), SARANGANI, DAVAO OCCIDENTAL</t>
  </si>
  <si>
    <t>CONCRETE PAVEMENT (ONE LANE) MUN. GROUND, MABILA, (8000-2-2-6), SARANGANI, DAVAO OCCIDENTAL</t>
  </si>
  <si>
    <t>CONCRETE PAVEMENT (ONE LANE) FRONT KASFALA HALL, MUN. GROUND, MABILA, (8000-2-2-7), SARANGANI, DAVAO OCCIDENTAL</t>
  </si>
  <si>
    <t>Supply and Delivery of Seaweed Propagules/Seedlings intended for the Fisherfolks in the Province of Masbate</t>
  </si>
  <si>
    <t>ROAD CONCRETING ESPAÑA St. MABILA, (8000-2-2-5), SARANGANI, DAVAO OCCIDENTAL.</t>
  </si>
  <si>
    <t>Concreting of 192meters Sitio Tuburan-Malinao Farm to MArket Road</t>
  </si>
  <si>
    <t>20CN0081 -Completion of Multi-Purpose Convention Center Phase 2, Brgy. Reserva, Baler, Aurora</t>
  </si>
  <si>
    <t>Supply and Delivery of Seaweed Propagules/Seedlings intended for the Fisherfolks in the Province of Camarines Sur</t>
  </si>
  <si>
    <t>20LD0096-Repair/Rehabilitation of the Municipal Hall, Brgy. Poblacion, Matanao, Davao del Sur</t>
  </si>
  <si>
    <t>Construction of Bridge, Brgy. Bonga Menor, Bustos, Bulacan</t>
  </si>
  <si>
    <t>Purchase &amp; Installation of Communications Equipment for Bicol ( New Legazpi) International Airport (Re-Bid)</t>
  </si>
  <si>
    <t>20LD0101-Construction of Concrete Road, Jct. Davao Cot-Tubison Road, Sta. Cruz, Davao del Sur</t>
  </si>
  <si>
    <t>20LD0081-Construction of Multi-Purpose Building (Davao del Sur Sports Complex), Matti, Digos City, Davao del Sur</t>
  </si>
  <si>
    <t>20CN0102 - Construction of Sanitary Landfill (Phase 1), Baler, Aurora</t>
  </si>
  <si>
    <t>ROAD CONCRETING (Double Lane) MATUTE DIANTAN ST. (8000-2-2-13), MABILA, SARANGANI, DAVAO OCCIDENTAL</t>
  </si>
  <si>
    <t>20LD0066-Construction of Multi-Purpose Building Brgy. Bato, Municipality of Sta. Cruz, Davao del Sur</t>
  </si>
  <si>
    <t>Procurement of Next Generation Privileged Account Management in DOH Data Center under IB No. 2020-205</t>
  </si>
  <si>
    <t>PROCUREMENT OF WAREHOUSE HANDLING (AND ALLIED) SERVICES FOR GRAINS FOR NFA REGION 3 FOR THE PERIOD JUNE TO DECEMBER 2020 (2nd Public Bidding)</t>
  </si>
  <si>
    <t>20CSJD02 - Consultancy Services for the Geotechnical and Geological for the Proposed Construction of Four (4) Bridges (CLUSTER BATCH 1)</t>
  </si>
  <si>
    <t>Supply and Delivery of Housekeeping Equipment</t>
  </si>
  <si>
    <t>20CSJD01 -  Consultancy Services for the Geotechnical and Geological Survey/Investigation for the Proposed Construction/Extension of Three (3) Flood Control Structures (CLUSTER BATCH 1)</t>
  </si>
  <si>
    <t>PROCUREMENT OF EMERGENCY MEDICAL SERVICES (EMS) FOR ONE (1) UNIT  WITH THREE (3) MANNED CREW</t>
  </si>
  <si>
    <t>20LB0242 - Construction of Libby Creek Flood Control (B/B), Davao City</t>
  </si>
  <si>
    <t>20CN0116 -Construction of Water System, Brgy. Villa, Maria Aurora, Aurora</t>
  </si>
  <si>
    <t>Supply and Delivery of Materials, Labor, Tools and Equipment for the Construction and Completion of Two (2) 110kW Hoist Foundation and Shelter of Mine 3 Project</t>
  </si>
  <si>
    <t>ITB NO. GOP/20-DSWD-019-A - Supply and Delivery of Motor Vehicles for DSWD Central Office</t>
  </si>
  <si>
    <t>20CN0134 -Concreting of Road, Brgy. Ibona, Dingalan, Aurora</t>
  </si>
  <si>
    <t>CONSTRUCTION OF WATER TANK, SO. GINATUNGAN, BARANGAY AMOT, BURDEOS, QUEZON</t>
  </si>
  <si>
    <t>SUPPLY AND DELIVERY OF TOILET BOWL, CONSTITUENTS WITHOUT PUBLIC TOILET IN BARANGAY AMOT, BURDEOS, QUEZON</t>
  </si>
  <si>
    <t>20LB0155 - Construction of Multi-Purpose Building and Other Facilities of DPWH Davao City DEO, L. Ma. Guerrero St., Davao City</t>
  </si>
  <si>
    <t>20LB0241 - Construction of Flood Mitigation Structure, Bago River, Sta. 3+673 to Sta. 3+848, Sta. 3+851 to Sta.  3+876, Sta. 3+880 to Sta. 3+897, Sta. 3+901 to Sta. 3+990, Davao City</t>
  </si>
  <si>
    <t>Hiring of Courier/Forwarding Service Provider</t>
  </si>
  <si>
    <t>Procurement of supply and delivery of farm chemicals</t>
  </si>
  <si>
    <t>SUPPLY AND DELIVERY OF 6”Ø AND 4”Ø FLOW METERS (GOODS-2020-013)</t>
  </si>
  <si>
    <t>Supply and Delivery of Information Education Campaign (IEC) Materials, Manuals, and Administrative Forms for the 2020 Census of Population and Housing (2020 CPH) of PSA Region 7</t>
  </si>
  <si>
    <t>Procurement of Structured Local Area Networking (LAN) Cabling for Treatment Rehabilitation Center (TRC) Phase 2 under IB No. 2020-202</t>
  </si>
  <si>
    <t>Procurement Requirement of CGETDC (DTF) Swimming Pool</t>
  </si>
  <si>
    <t>Supply and Delivery of Fiberglass Reinforce Plastic Boat Materials</t>
  </si>
  <si>
    <t>SUPPLY AND DELIVERY OF DISTRIBUTION AND DRY-TYPE TRANSFORMERS (GOODS-2020-011)</t>
  </si>
  <si>
    <t>ITB and Bid Docs for Procurement ID/Contract ID:    20C00042 - Local Program-Construction/Repair/Rehabilitation/Improvement of various Infrastructure including Local Projects – Flood Control &amp; Drainag</t>
  </si>
  <si>
    <t>Procurement of supply and delivery farm supplies</t>
  </si>
  <si>
    <t>WIDENING OF BARANGAY ROAD, (1) LAND OF TANCINCO AND (2) IN FRONT OF SCHOOL COMPONUD, BARANGAY AMOT, BURDEOS, QUEZON</t>
  </si>
  <si>
    <t>SUPPLY, DELIVERY, INSTALLATION, TESTING AND COMMISSIONING OF SUBMERSIBLE PUMP AND MOTOR ASSEMBLY AND DUAL MOTOR CONTROL (GOODS-2020-009)</t>
  </si>
  <si>
    <t>20J00171 - Construction of Multi-Purpose Building (Multi-Purpose Gymnasium), Pagadian City, Zamboanga Del Sur</t>
  </si>
  <si>
    <t>Procurement of Consulting Services of a Media Planning and Placement Agency for the Philippine Tourism Branding for Opportunity and Emerging Markets</t>
  </si>
  <si>
    <t>SUPPLY AND DELIVERY OF VALVES, RUBBER EXPANSION JOINT, AND PRESSURE GAUGE (GOODS-2020-006)</t>
  </si>
  <si>
    <t>SUPPLY AND DELIVERY OF MATERIALS AND FITTINGS (GOODS-2020-005)</t>
  </si>
  <si>
    <t>20CSH022 - Procurement of  Consultancy Services for the Detailed Engineering Design (DED) Activities for various projects, Construction of Elevated Highway along Gen. Maxilom Ave. covering the junctio</t>
  </si>
  <si>
    <t>20CSH019 - Procurement of  Consultancy Services for the Detailed Engineering Design (DED) Activities for various projects, Construction of Underpass along Juan Luna Ave. from the junction of Archbisho</t>
  </si>
  <si>
    <t>Procurement of Health Communication Solutions under IB No. 2020-203</t>
  </si>
  <si>
    <t>Supply and Delivery of Materials for the DSRT Logistical Requirements of BRP EMILIO JACINTO (PS35)</t>
  </si>
  <si>
    <t>Installation of CCTV's in Various Barangays</t>
  </si>
  <si>
    <t>SUPPLY, DELIVERY, TESTING AND COMMISSIONING OF ON-LINE MULTI-PARAMETER ANALYZER AND WATER LEVEL SENSOR (GOODS-2020-010)</t>
  </si>
  <si>
    <t>Supply and Delivery of 1,650 rds of 76mm/Cal 62 HE Ammunition</t>
  </si>
  <si>
    <t>Procurement of Consulting Services of an Agency for Public Relations</t>
  </si>
  <si>
    <t>Procurement of Multi-function LaserJet Printer under IB No. 2020-198</t>
  </si>
  <si>
    <t>20GA0181- Re-Invitation- Construction of Multi-Purpose Building Brgy. Afga, Tangalan, Aklan</t>
  </si>
  <si>
    <t>20CSH021 - Procurement of Consultancy Services for the Detailed Engineering Design (DED) Activities for various projects, Construction of Flyover along P. del Rosario St. from the junction of Osmena B</t>
  </si>
  <si>
    <t>Water for Inhalation Set</t>
  </si>
  <si>
    <t>Video Laryngoscope Channeled Balde</t>
  </si>
  <si>
    <t>20GA0161-Re-Invitation-Construction of Multi-Purpose Building In Brgy. Habana, Nabas, Aklan</t>
  </si>
  <si>
    <t>BIDDING FOR THE PROCUREMENT OF ONE (1) LOT INTEGRATED SECURITY SUITE FOR TWO (2) YEARS</t>
  </si>
  <si>
    <t>Supply and Delivery of Materials, Retrofitting and Installation of Telescopic Boom Assembly for Fuso Fighter Truck</t>
  </si>
  <si>
    <t>PROCUREMENT FOR THE SUPPLY AND DELIVERY OF FOUR (4) LOTS OF REGISTERED AND CERTIFIED CORN SEEDS (GLUTINOUS AND WHITE FLINT) FOR SEED DISTRIBUTION OF CROP RESEARCH AND PRODUCT</t>
  </si>
  <si>
    <t>REFURBISHING OF 5 UNITS CR @ A6</t>
  </si>
  <si>
    <t>Supply and Delivery of Brass Angle Gate Valve</t>
  </si>
  <si>
    <t>Procurement of the Supply, Delivery and Installation of the Modular Office Partitions and Furniture for PSA Negros Occidental Provincial Office</t>
  </si>
  <si>
    <t>SUPPLY OF LABOR AND MATERIALS FOR THE REHABILITATION OF POTATO SEED COLD STORAGE AND PACKING AREA OF BPI-BNCRDPSC, GUISAD, BAGUIO CITY</t>
  </si>
  <si>
    <t>Supply of Materials, Labor and Equipment for the Drilling of Pilot Test/Production Well No. 3 at Brgy. Larion Bajo, Tuguegarao City (Re-bidding)</t>
  </si>
  <si>
    <t>20HD0092 - Rehabilitation of Medellin Public Market, Brgy. Kawit Proper, Medellin, Cebu</t>
  </si>
  <si>
    <t>PROCUREMENT FOR THE SUPPLY AND DELIVERY OF SEEDLING TAGS (WHITE LABELS AS TAGGING MATERIAL) FOR USE OF NATIONAL SEED QUALITY CONTROL SERVICES DIVISION (NSQCSD)</t>
  </si>
  <si>
    <t>Supply and Delivery of One (1) Unit Dry Bath Incubator with Automatic Control Unit and One (1) Unit Coliform Water Bath with Cover (Re-bidding)</t>
  </si>
  <si>
    <t>Supply and Delivery of Mechanical DI Gate Valve</t>
  </si>
  <si>
    <t>Procurement of Expansion of Cloud Based Centralized Wireless Local Area Network Infrastructure under IB No. 2020-201</t>
  </si>
  <si>
    <t>20CSH016 - Procurement of Consultancy Services for the Detailed Engineering Design (DED) Activities for Various Infrastructure Projects, Construction of Interchange (Tri-Level) along M.C. Briones St.</t>
  </si>
  <si>
    <t>PROCUREMENT FOR THE SUPPLY AND DELIVERY OF PLATE TAGS FOR TREES FOR USE OF NATIONAL SEED QUALITY CONTROL SERVICES DIVISION (NSQCSD)</t>
  </si>
  <si>
    <t>SUPPLY AND DELIVERY OF FLEET FUEL CARDS FOR DIESEL, GASOLINE, OIL, LUBRICANTS AND OTHER SERVICES FOR BFAR CENTRAL OFFICE AND NATIONAL CENTERS.</t>
  </si>
  <si>
    <t>CY 2020 BASIC EDUCATIONAL FACILITIES FUND (BEFF) REPAIR/IMPROVEMENT OF VARIOUS SCHOOL BUILDINGS – LOOC ES (ITB 2020-Infra-002)</t>
  </si>
  <si>
    <t>PREPARATION AND PRODUCTION OF THE EASTERN VISAYAS TOURISM MARKETING COLLATERALS</t>
  </si>
  <si>
    <t>20JA0081 - REPAIR AND MAINTENANCE OF FLOOD CONTROL STRUCTURE @ BOLONG RIVER, ZONE 2 BUNGUIAO SECTION, BUNGUIAO, ZAMBOANGA CITY</t>
  </si>
  <si>
    <t>20JA0080 - REPAIR AND MAINTENANCE OF FLOOD CONTROL STRUCTURE @ BOLONG RIVER, MANGGABUNGUIAO SECTION, BUNGUIAO, ZAMBOANGA CITY</t>
  </si>
  <si>
    <t xml:space="preserve">20CSH020 - Procurement of  Consultancy Services for the Detailed Engineering Design (DED) Activities for various projects, Construction of Interchange along F. Sotto St., cor. Gorordo Ave., Cebu City </t>
  </si>
  <si>
    <t>SUPPLY OF LABOR SERVICE, SUPPLIES AND MATERIALS FOR THE UPGRADING OF SEED STORAGE FOR RICE OF BPI-DNCRDPSC, BAGO OSHIRO, DAVAO CITY</t>
  </si>
  <si>
    <t>CY 2020 BASIC EDUCATIONAL FACILITIES FUND (BEFF) REPAIR/IMPROVEMENT OF VARIOUS SCHOOL BUILDINGS – JOSE PLATON MS (ITB 2020-Infra-001)</t>
  </si>
  <si>
    <t>20JA0079 - REPAIR/MAINTENANCE OF DILG BUILDING PNP AVIATION BUILDING, AVIATION SECURITY UNIT 9, GOV. CAMINS AVENUE, ZAMBOANGA CITY</t>
  </si>
  <si>
    <t>20JA0078 - REPAIR/MAINTENANCE OF DILG BUILDING REGIONAL HIGHWAY PATROL UNIT 9 BUILDING CAMP BATALLA, R.T. LIM BOULEVARD, ZAMBOANGA CITY</t>
  </si>
  <si>
    <t>20JA0082 - REPAIR AND MAINTENANCE OF FLOOD CONTROL STRUCTURE @ SINUNUC RIVER, KATILINGBAN SECTION, KATILINGBAN, ZAMBOANGA CITY</t>
  </si>
  <si>
    <t>CY 2020 BASIC EDUCATIONAL FACILITIES FUND (BEFF) ELECTRICAL UPGRADE OF BUBUYAN NATIONAL HIGH SCHOOL (ITB 2020-Infra-007)</t>
  </si>
  <si>
    <t>Vacuum Cleaner</t>
  </si>
  <si>
    <t>Procurement of Various Hospital Equipment</t>
  </si>
  <si>
    <t>Repair/Rehabilitation/Improvement of (Asphalt Overlay) Along Quezon Ave. Wharf Rd. Elizondo St. And Rizal St.,  Legazpi, Albay</t>
  </si>
  <si>
    <t>CY 2020 BASIC EDUCATIONAL FACILITIES FUND (BEFF) REPAIR/IMPROVEMENT OF VARIOUS SCHOOL BUILDINGS – ULANGO ES (ITB 2020-Infra-005)</t>
  </si>
  <si>
    <t>Supply and Delivery of Bangus Fry at BFAR-MAP, San Roque, Mercedes, Camarines Norte</t>
  </si>
  <si>
    <t>CONSTRUCTION REHAB PROVISION OF AMENTIES OF DETENTION CELL</t>
  </si>
  <si>
    <t>Supply and Delivery of Hardware Materials intended for the Operation and Maintenance of Tiwi Fry Bank</t>
  </si>
  <si>
    <t>CY 2020 BASIC EDUCATIONAL FACILITIES FUND (BEFF) REPAIR/IMPROVEMENT OF VARIOUS SCHOOL BUILDINGS – PUNTA ES (ITB 2020-Infra-003)</t>
  </si>
  <si>
    <t>Repair/Rehab/Improvement of (Asphalt Overlay) Along Daang Maharlika Hiway Jct. Legazpi-Sto. Domingo Camarines Sur Bdry. Road. K0536+585 - K0539+054,  Legazpi, Albay</t>
  </si>
  <si>
    <t>CY 2020 BASIC EDUCATIONAL FACILITIES FUND (BEFF) REPAIR/IMPROVEMENT OF VARIOUS SCHOOL BUILDINGS – SAN JUAN ES (ITB 2020-Infra-004)</t>
  </si>
  <si>
    <t>20LB0223 - Construction of 2 Storey, 6 Classroom School Building, Pablo Piatos Elementary School, Brgy. San Isidro, Davao City</t>
  </si>
  <si>
    <t>CY 2020 BASIC EDUCATIONAL FACILITIES FUND (BEFF) ELECTRICAL UPGRADE OF MAKILING NATIONAL HIGH SCHOOL (ITB 2020-Infra-006)</t>
  </si>
  <si>
    <t>20LB0220 - Construction of Drainage System, T.Awad Echevarria Elementary School, Brgy. Mandug, Davao City</t>
  </si>
  <si>
    <t>20LB0218 - Construction of Drainage System Lampa Lapidan Elementary School, Brgy. Mandug. Davao City</t>
  </si>
  <si>
    <t>20LB0203 - Construction of Road, Brgy. Maa, Davao City</t>
  </si>
  <si>
    <t>20LB0227 - Construction of Multi-Purpose Building, Diho, Brgy. Cabantian, Davao City</t>
  </si>
  <si>
    <t>20LB0214 - Construction of School Building, Sasa Elementary School, Brgy. Landmark III, Brgy. Sasa, Davao City</t>
  </si>
  <si>
    <t>20LB0170 - Construction Of Revetment along Matina River, Sta. 4+071 To Sta. 4+195, Davao City</t>
  </si>
  <si>
    <t>20LB0168 - Construction of Revetment Along Davao River, Davao River Bridge Upstream Section, Davao City</t>
  </si>
  <si>
    <t>20LB0171 - Improvement / Rehabilitation of Flood Mitigation Facility Along R. Magsaysay Ave.   Outfall, Davao City</t>
  </si>
  <si>
    <t>20LB0164 - Construction of Flood Mitigation Structure Along Matina River, Matina River Outfall Section, Both Bank, Davao City</t>
  </si>
  <si>
    <t>20LB0238 - Construction of Flood Mitigation Structure Along Davao River, Davao River Bridge Downstream Section, Right Bank, Davao City</t>
  </si>
  <si>
    <t>20LB0246 - Construction of Revetment Along Davao River, Generoso Bridge Downstream Section, Right Bank, Davao City</t>
  </si>
  <si>
    <t>20LB0230 - Construction of Road, Brgy. Sumimao to Brgy. Malabog, Davao City</t>
  </si>
  <si>
    <t>20LB0161 - Construction of Flood Mitigation Structure along Matina River, Matina Aplaya Section, Right Bank, Davao City</t>
  </si>
  <si>
    <t>20LB0240 - Construction of Flood Mitigation Structure, Bago River, Sta. 3+370 – Sta. 3+422, Sta. 3+426 - Sta. 3+480, Sta. 3+545 - Sta. 3+848, Sta. 3+851 - Sta. 3+876, Sta. 3+880 - Sta. 3+897, Sta. 3+9</t>
  </si>
  <si>
    <t>20LB0239 - Construction of Flood Mitigation Structure Along Davao River, Davao River Bridge Upstream Section, Right Bank, Davao City</t>
  </si>
  <si>
    <t>20NG0096 - REHABILITATION/CONCRETING OF ROAD FROM BRGY. PILI TO BRGY. KARIHATAG/ BRGY. KARIHATAG, MALIMONO, SURIGAO DEL NORTE</t>
  </si>
  <si>
    <t>20HM0083 (Re-IB) - Local Program, Local Infrastructure Program, Buildings And Other Structures, Multipurpose/Facilities, Construction of Multi-Purpose Building, Brgy. Candanay Norte, Siquijor, Siquijo</t>
  </si>
  <si>
    <t>20LB0260 - Rehabilitation of Paved Alternate Road from Region XI to Region X, Jct Davao City Diversion Rd - Catalunan Grande - Talandag - Sumimao - Panalum - Tapak - Cabanglasan - Aglayan, Malaybalay,</t>
  </si>
  <si>
    <t>20LB0253 - Construction Of Revetment along Matina River, Sta. 4+292 To Sta. 4+480, Davao City</t>
  </si>
  <si>
    <t>20GGO0002 - SUPPLY OF EQUIPMENT USE IN DATA CAPTURING/MAPPING IN VERTICAL PROJECTS FOR THE PROPOSED INFRA PROGRAM, PROJECT MONITORING OF ON-GOING PROJECTS AND OTHER RELATED ACTIVITIES ASSIGNED TO THE</t>
  </si>
  <si>
    <t>20LB0237 - Construction of Flood Mitigation Structure Along Davao River (Crocodile Park Section), Right Bank, Davao City</t>
  </si>
  <si>
    <t>Procurement of supply and delivery of various NSIC approve hybrid rice seeds</t>
  </si>
  <si>
    <t>20LB0160 - Construction of Flood Mitigation Structure Along Matina River, Matina Aplaya Section, Left Bank, Davao City</t>
  </si>
  <si>
    <t>20LB0290 - Construction of Revetment Along Davao River, Sta. 1+013 To Sta. 1+095, Davao City</t>
  </si>
  <si>
    <t>20LB0291 - Construction of Revetment Along Davao River, Sta. 3+566 TO STA. 3+686, Davao City</t>
  </si>
  <si>
    <t>20LB0268 - Concreting of Brgy. Pandaitan FMR, Brgy. Pandaitan, Paquibato District, Davao City</t>
  </si>
  <si>
    <t>POSTPONEMENT OF THE SUBMISSION AND OPENING OF BIDS FOR THE INFRASTRUCTURE PROJECTS AND GOODS</t>
  </si>
  <si>
    <t>Procurement of supply and delivery of agricultural materials</t>
  </si>
  <si>
    <t>20LB0293 - Construction of Revetment Along Davao River, Sta. 2+437 to Sta. 2+557, Davao City</t>
  </si>
  <si>
    <t>Procurement of supply and delivery of agricultural supplies</t>
  </si>
  <si>
    <t>Procurement of Security Services for Agus 6 &amp; 7 Hydroelectric Power Plants</t>
  </si>
  <si>
    <t>Procurement of supply and delivery of various inorganic fertilizers</t>
  </si>
  <si>
    <t>20LB0292 - Construction of Revetment Along Davao River, Sta. 3+585 To Sta. 3+707, Davao City</t>
  </si>
  <si>
    <t>ITB-GS-20190703-01 (2) - One (1) Lot Supply, Delivery, Installation, Testing and Commissioning of Variable Refrigerant Flow (VRF) Air-Conditioning Units at LANDBANK Sta. Cruz Office Building</t>
  </si>
  <si>
    <t>RFQ-GS-20200406-01 - Soil Sub-Surface Investigation for the Proposed 2-Storey LANDBANK Candelaria (Quezon) Branch Building Construction</t>
  </si>
  <si>
    <t>Procurement of Security Services for Agus 5 Hydroelectric Power Plant</t>
  </si>
  <si>
    <t>Construction of 3 Storey City Hall Annex Building   City Hall Compound,  Brgy. Washington, Surigao City</t>
  </si>
  <si>
    <t>ITB-GS-20200305-03 - Supply &amp; Delivery of 4,300 Pcs. Ribbon for EPSON Printer FX2190 &amp; 440 Pcs.  Genuine Burroughs Black Multiline Print Inkjet Cartridge</t>
  </si>
  <si>
    <t>IB_20E00106: Cluster 12- Rehabilitation / Reconstruction of Roads with Slips, Slope Collapse and Landslide along Langogan-Roxas Road, Palawan</t>
  </si>
  <si>
    <t>ITB-GS-20200304-01 - One (1) Lot Supply and Delivery of 65,500 pcs. EMV VISA Debit Card with Personalization</t>
  </si>
  <si>
    <t>IB_20E00105: Cluster 11- Rehabilitation / Reconstruction of Roads with Slips, Slope Collapse and Landslide along San Jose-Port Barton Road , Palawan</t>
  </si>
  <si>
    <t>IB_20E00107: Cluster 13- Rehabilitation / Reconstruction of Roads with Slips, Slope Collapse and Landslide along Langogan-Roxas Road, Palawan</t>
  </si>
  <si>
    <t>ITB-GS-20191202-01 - Additional License for the Existing Solarwinds Servers, Networks, Database and Application Monitoring Tool</t>
  </si>
  <si>
    <t>20GA0128 - Construction/Rehabilitation of Kalibo Public Market, Kalibo, Aklan</t>
  </si>
  <si>
    <t>IB_20E00104: Cluster 10- Rehabilitation / Reconstruction of Roads with Slips, Slope Collapse and Landslide along San Jose-Port Barton Road, Palawan</t>
  </si>
  <si>
    <t>20NG0066 (RE-AD) - CONSTRUCTION OF BGY. HALL/ BRGY. CENTRAL, PLACER, SURIGAO DEL NORTE</t>
  </si>
  <si>
    <t>20NG0092 - CONSTRUCTION OF MULTI-PURPOSE BUILDING/ESPINA ST., SURIGAO DEL NORTE</t>
  </si>
  <si>
    <t>ITB-GS-20200212-01 - Supply and Delivery of 600 Units Passbook Printer</t>
  </si>
  <si>
    <t>20NG0091 -CONSTRUCTION OF ABACA PROCESSING BUILDING/FACILITY/MAINIT, SURIGAO DEL NORTE</t>
  </si>
  <si>
    <t>20NG0090 - CONSTRUCTION OF MULTIPURPOSE BUILDING (MUNICIPAL BLDG.)/SISON, SURIGAO DEL NORTE</t>
  </si>
  <si>
    <t>INVITATION TO BID FOR THE MCWD LAHUG BULK WATER SUPPLY PROJECT</t>
  </si>
  <si>
    <t>IB_20E00103: Cluster 9- Rehabilitation / Reconstruction of Roads with Slips, Slope Collapse and Landslide along San Jose-Port Barton Road, Palawan</t>
  </si>
  <si>
    <t>20GA0197-Concreting of Barangay Road  Brgy. Nagustan, Nabas, Aklan</t>
  </si>
  <si>
    <t>IB_20E00102: Cluster 8- Rehabilitation / Reconstruction of Roads with Slips, Slope Collapse and Landslide along San Jose-Port Barton Road, Palawan</t>
  </si>
  <si>
    <t>IB_20E00108: Cluster 14- Rehabilitation / Reconstruction of Roads with Slips, Slope Collapse and Landslide along Langogan-Roxas Road, Palawan</t>
  </si>
  <si>
    <t>Supply and Delivery of DA-BSWM Promotional Materials for CY 2020 IB No.: BSWM-2020-03-0005</t>
  </si>
  <si>
    <t>20GA0194 - Concreting of Barangay Road, Brgy. Baybay, Makato, Aklan</t>
  </si>
  <si>
    <t>IT Equipment STMO</t>
  </si>
  <si>
    <t>Supply, Delivery, Installation and Commissioning of One (1) Unit Automatic Coin Measuring Machine, including Consumables and Training of Personnel, as per BSP Technical Specifications and Terms of Ref</t>
  </si>
  <si>
    <t>1 Lot Provision of Labor, Materials and Equipment for the Construction of Multi-Purpose Building in Brgy. Maliwaliw, Dagami, Leyte. ABC PHP983,247.19</t>
  </si>
  <si>
    <t>20GA0137 - Concreting of Farm to Market Road (FMR), Brgy. Sibalew, Banga to Brgy. Arcangel, Balete, Aklan</t>
  </si>
  <si>
    <t>20GA0165 - Construction of Multi-Purpose Building in Brgy. Regador, Ibajay, Aklan</t>
  </si>
  <si>
    <t>20GA0163-Construction of Multi-Purpose Building  In Brgy. Naisud, Ibajay Aklan</t>
  </si>
  <si>
    <t>20GA0150-Construction of Multi-Purpose Building (Evacuation Center) Brgy. Rosario, Malinao, Aklan</t>
  </si>
  <si>
    <t>20GA0168-Construction of Multi-Purpose Building In Brgy. Balusbos, Malay, Aklan</t>
  </si>
  <si>
    <t>WATER SYSTEM REHABILITATION @ PUROK 6</t>
  </si>
  <si>
    <t>20NG0088 - CONSTRUCTION OF MULTI-PURPOSE BUILDING/  BARANGAY SAMPAGUITA, TAGANA-AN, SURIGAO DEL NORTE</t>
  </si>
  <si>
    <t>20GA0173-Construction of Multi-Purpose Building In Brgy. Tamalagon, Tangalan, Aklan</t>
  </si>
  <si>
    <t>20NG0087 - CONSTRUCTION OF THE SECOND FLOOR OF LEGISLATIVE BUILDING / BACUAG, SURIGAO DEL NORTE</t>
  </si>
  <si>
    <t>20GA0151-Construction of Multi-Purpose Building (Evacuation Center) Brgy. Unat, Ibajay, Aklan</t>
  </si>
  <si>
    <t>Beaker for Microbiology</t>
  </si>
  <si>
    <t>20GA0198-Concreting of Barangay Road Brgy. Toledo, Nabas, Aklan</t>
  </si>
  <si>
    <t>20NG0089 - CONSTRUCTION OF MULTIPURPOSE BUILDING (MUNICIPAL BLDG.) / GIGAQUIT, SURIGAO DEL NORTE</t>
  </si>
  <si>
    <t>20GA0178 - Rehabilitation of Two Storey Multi-Purpose Building, Brgy. Naisud, Ibajay, Aklan</t>
  </si>
  <si>
    <t>20GA0192-Concreting of Barangay Road Brgy. Unidos, Nabas, Aklan</t>
  </si>
  <si>
    <t>100-2019-12-1793 Supply and delivery of 2x2x10 Coco lumber, 2x2x12 Coco lumber, 1/2" thk. Ord. Plywood, etc.</t>
  </si>
  <si>
    <t>1 Lot Provision of Labor, Materials and Equipment for the Construction of Grouted RipRap @ Sabang Elementary School, Brgy. Sabang, Baybay City, Leyte. ABC PHP346,658.00</t>
  </si>
  <si>
    <t>20GA0154 - Construction of Multi-Purpose Building at Toledo NHS Brgy. Toledo, Nabas, Aklan</t>
  </si>
  <si>
    <t>20GA0171 - Construction of Multi-Purpose Building in Brgy. Poblacion, Tangalan, Aklan</t>
  </si>
  <si>
    <t>1 Lot Provision of Labor, Materials and Equipment for the Construction of Perimeter Fence at Anahaw Elementary School in Hindang, Leyte. ABC PHP442,968.54</t>
  </si>
  <si>
    <t>1 Lot Provision of Labor, Materials and Equipment for the Construction of CHB Canal &amp; Steel Grating Cover of Jaena Elementary School in Brgy. Jaena, Baybay City, Leyte. ABC PHP789,411.00</t>
  </si>
  <si>
    <t>1 Lot Provision of Labor, Materials and Equipment for the Installation of Solar Streerlights in Brgy. Roxas, Dulag, Leyte. ABC PHP340,308.67</t>
  </si>
  <si>
    <t>1 Lot Provision of Labor, Materials and Equipment for the Concreting of Road in Brgy. Parena, Carigara, Leyte. ABC PHP824,874.99</t>
  </si>
  <si>
    <t>CID No. 20CSIO12: Consultancy Services for the Conduct of Feasibility Study of the Proposed Capoocan – Leyte, Leyte Coastal Road</t>
  </si>
  <si>
    <t>CID No. 20CSIO11: Consultancy Services for the Conduct of Feasibility Study of the Proposed Tanauan Bypass Road, San Miguel – Santol – Tunga Road, Tolosa – San Victor – Tabontabon Road and Dapdap – Al</t>
  </si>
  <si>
    <t>CID No. 20CSIO13: Consultancy Services for the Feasibility Study of the Proposed Calbayog Coastal Diversion Road, Calbayog City, Western Samar</t>
  </si>
  <si>
    <t>CID No. 20CSIO10: Consultancy Services for the Conduct of Feasibility of the Proposed Road Opening/Construction of Junction Himay-angan – Silago – Abuyog Boundary Road (Bagacay – Tib-o), Abuyog, Leyte</t>
  </si>
  <si>
    <t>INVITATION TO BID FOR THE PROCUREMENT OF ICT SUPPLIES AND EQUIPMENT UNDER 2020 MITHI PROGRAM (Bid no. 2020-01)</t>
  </si>
  <si>
    <t>CID No. 20CSIO08: Consultancy Services for the Conduct of Feasibility Study of the Proposed Construction of Bypasses/Diversion Roads along Brgy. Kilim – Sitio Tipay Road junction Ormoc – Baybay – Sout</t>
  </si>
  <si>
    <t>1 Lot Provision of Labor, Material and Equipment for the Construction of a Chamber Waste Treatment Box at Leyte Provincial Hospital, Palo, Leyte. ABC PHP775,000.03</t>
  </si>
  <si>
    <t>Procurement of Managed Security Services</t>
  </si>
  <si>
    <t>20GA0170 - Construction of Multi-Purpose Building in Brgy. Poblacion, Malay, Aklan</t>
  </si>
  <si>
    <t>20GA0166 - Construction of Multi-Purpose Building In Brgy. Alegria, Buruanga, Aklan</t>
  </si>
  <si>
    <t>1 Lot Provision of Labor, Materials and Equipment for Concreting of Road in Sitio Amandariza (One Lane) @ Brgy. MacArthur, Tabontabon, Leyte. ABC PHP184,769.42</t>
  </si>
  <si>
    <t>1 Lot Provision of Labor, Materials and Equipment for the Construction of Concreting of Pathway along JNR-Sitio Cuatro/ Sitio PAGSA Road Section @ Brgy. Tabing. Tabango, Leyte. ABC PHP200,140.77</t>
  </si>
  <si>
    <t>20GA0148 - Construction of Multi-Purpose Building (Brgy. Hall) in Brgy. Tagas, Tangalan, Aklan</t>
  </si>
  <si>
    <t>20GA0175 - Construction of Two Storey Multi-Purpose Building in Brgy. Naligusan, Ibajay, Aklan</t>
  </si>
  <si>
    <t>20B00024: Organizational Outcome 1: Ensure Safe and Reliable National Road System: Bridge Program: Widening of Permanent Bridges: Naguilian Bridge along Daang Maharlika (LZ)(Parallel Bridge)</t>
  </si>
  <si>
    <t>Procurement of Medical Supplies and Materials, IB No. SB-2020-017</t>
  </si>
  <si>
    <t>Procurement of the Services of a Private Radiologist to Read Computerized Digital X-ray in the Health Services Office, City Government of Baguio</t>
  </si>
  <si>
    <t>20GHD0001 - Supply and delivery of Reflectorized Thermoplastic Pavement Markings and other various materials for use in DPWH Cebu 1st District Engineering Office</t>
  </si>
  <si>
    <t>Procurement of Drugs and Medicines, IB No. SB-2020-018</t>
  </si>
  <si>
    <t>Contract ID No. 19CSK00051 - Real Property Appraisal Services for Properties Affected by the projects:  1.	14K00270, 15K00273, 17K00110, 16K00190, 18K00251 – Construction of Malaybalay By-Pass Road 2.</t>
  </si>
  <si>
    <t>1 Lot Provision of Labor, Materials and Equipment for the Installation of Solar Streetlights at Brgy. Macaalang, Dagami, Leyte. ABC PHP978,730.73</t>
  </si>
  <si>
    <t>1 Lot Provision of Labor, Materials and Equipment for the Construction of Perimeter Fence at Palompon National High School, Palompon, Leyte. ABC PHP992,845.05</t>
  </si>
  <si>
    <t>20NG0086 - CONCRETING OF ROAD, BRGY. CAMPO - PAUTAO/ BACUAG, SURIGAO DEL NORTE</t>
  </si>
  <si>
    <t>20J00173 - Construction of Bypass Road from Barangay Limook Emergency Hospital-Barangay Maligaya Isla Verde-Barangay Maganda Junction National Highway, Lamitan City, Basilan</t>
  </si>
  <si>
    <t>20LB0173 - Construction of Flood Mitigation Structure, Bunawan River, Sta. 5+260 To  Sta. 5+441, Davao City</t>
  </si>
  <si>
    <t>Contract ID No. 19CSK00050 - Real Property Appraisal Services for Properties Affected by the projects:  1.	19K00032 – Construction of By-Pass &amp; Diversion Road, CDO-New Western Diversion Road, (Kauswag</t>
  </si>
  <si>
    <t>1 Lot Provision of Labor, Materials and Equipment for Rehabilitation/ Improvement of Perimeter Fence in Tanauan II Central School, Brgy. Poblacion, Tanauan, Leyte. ABC PHP272,219.71</t>
  </si>
  <si>
    <t>CID No. 20CSIO09: Consultancy Services for the Conduct of Feasibility Study of the Proposed Construction of Tacloban – Palo Diversion Road (Brgy. 89 San Jose, Brgy. 82, Marasbaras and Brgy. Calanipawa</t>
  </si>
  <si>
    <t>Supply of printer, voice recorder and external hdd (PR#20-02-0213; 20-02-0213; 20-01-0060)</t>
  </si>
  <si>
    <t>Procurement of Anti-Rabies Vaccines, IB No. SB-2020-019</t>
  </si>
  <si>
    <t>19D00061-GREEN LATRINE PROJECT, UP LOS BAÑOS, LAGUNA</t>
  </si>
  <si>
    <t>UPLB-IF-015-03-20 IMPROVEMENT OF SITE ORNAMENTAL CROPS NURSERY, LUZ ONATE ST., UPLB CAMPUS</t>
  </si>
  <si>
    <t>For use at MCGWSS Water Treatment Plant Kimambong, Malaybalay City.</t>
  </si>
  <si>
    <t>supply, delivery, installation and commissioning of 1-unit brand-new Generator Set complete with accessories and Powerhouse</t>
  </si>
  <si>
    <t>20CE0206: Installation of New Traffic Counter/Classifier (ATC), Two (2) Lanes (Dual Piezo)</t>
  </si>
  <si>
    <t>Laboratory Supplies for Lactic Acid Project- Batch 3</t>
  </si>
  <si>
    <t>UPLB-IF-016-03-20 CONSTRUCTION OF AREA DRAIN WITH INTERCEPTOR CANAL, DEPARTMENT OF MILITARY SCIENCE AND TACTICS, UPLB, COLLEGE, LAGUNA</t>
  </si>
  <si>
    <t>Procurement of Gate Valves, Combi Flange w/ Sealing  and STC with Brass Tensile Ring</t>
  </si>
  <si>
    <t>Construction of Sta. Barbara Arena, Phase I under Design and Build Scheme</t>
  </si>
  <si>
    <t>Bidding for Supply &amp; Delivery of Medical Supplies – Face Mask</t>
  </si>
  <si>
    <t>20CE0205: Installation of New Traffic Counter/Classifier (ATC), Two (2) Lanes (Dual Piezo)</t>
  </si>
  <si>
    <t>1 Lot Provision of Labor, Materials and Equipment for the Installation of Solar Street Light @ Brgy. Cutay, Sta. Fe, Leyte. ABC PHP349,874.50</t>
  </si>
  <si>
    <t>19D00060-EXTENSION, REHABILITATION AND RENOVATION OF AGRICULTURAL AND BIO – PROCESS DIVISION BUILDING, UP LOS BAÑOS</t>
  </si>
  <si>
    <t>1 Lot Provision of Labor, Materials and Equipment for the Construction of Tanod Outpost @ Brgy. Bulod, Dulag, Leyte. ABC PHP866,445.98</t>
  </si>
  <si>
    <t>Procurement of Detailed Engineering Design for Lucac Water Supply System Project of San Francisco Water District</t>
  </si>
  <si>
    <t>1 lot Provision of Labor, Materials and Equipment for the Installation of Solar Streetlights @ Brgy. Pawing, Palo, Leyte. ABC PHP544,673.07</t>
  </si>
  <si>
    <t>Geotechnical Investigation (Subsurface Exploration) of:  1. Construction of Multi-Storey Buildings of the following sites (3 holes-15 meters deep per hole): a)	CTU-Guba, Brgy. Guba, b) Brgy. Labangon,</t>
  </si>
  <si>
    <t>UPLB-RQ-3-119-20-I SUPPLY AND DELIVERY OF GENERAL CONTRACTOR FOR UPO</t>
  </si>
  <si>
    <t>RFQ NO. 2020-03-015 DTD. 3/12/2020; PR NO. 2020-02-030 DTD. 2/27/2020: PROCUREMENT OF ONE (1) JOB ORDER: CHECK-UP/TROUBLESHOOT/REPAIR ELECTRICAL CONTROL SYSTEM AND HYDRAULIC CONTROL SYSTEM, FOR USE IN</t>
  </si>
  <si>
    <t>1 Lot Provision of Labor, Materials and Equipment for the Improvement/ Rehabilitation of Evacuation Center at Brgy. Candadam, Baybay City, Leyte. ABC PHP693,220.51</t>
  </si>
  <si>
    <t>1 Lot Provision of labor, Materials and Equipment for the Construction of Grouted Rip-rap and Drainage Canal at Brgy. Sangputan, Babatngon, Leyte. ABC PHP540,450.61</t>
  </si>
  <si>
    <t>UPLB-RQ-3-120-20-I SUPPLY AND DELIVERY OF GENERAL CONTRACTOR FOR IC</t>
  </si>
  <si>
    <t>Rehabilitation of Drainage along Yakal Street, Lumbayao Street and its Vicinity, Brgy. San Antonio, Makati City, Metro Manila</t>
  </si>
  <si>
    <t>1 Lot Provision of Labor, Materials and Equipment for the Construction of Perimeter Fence at Brgy. Batug, Javier, Leyte. ABC PHP499,929.12</t>
  </si>
  <si>
    <t>Rehabilitation/Upgrading and Drainage Improvement of Banuyo Street and its Vicnity, Brgy. San Antonio,  Makati City, Metro Manila</t>
  </si>
  <si>
    <t>Rehabilitation/Upgrading and Drainage Improvement of Aranga Street and its Vicinity, Brgy. San Antonio, Makati City, Metro Manila</t>
  </si>
  <si>
    <t>1 Lot Provision of labor, Materials and Equipment for the Installation of Solar Street Lights in Market Side, Dulag, Leyte. ABC PHP959,116.00</t>
  </si>
  <si>
    <t>1 Lot Provision of Labor, Materials and Equipment for the Installation of Solar Streetlights at Brgy. Anibongon, Jaro, Leyte. ABC PHP867,190.54</t>
  </si>
  <si>
    <t>ITB-GS-20200217-01 - Three (3) Years ATM Cash Loading and First Level Maintenance Services for 600 LANDBANK ATM Units</t>
  </si>
  <si>
    <t>SUPPLY AND DELIVERY OF BRANDED AND BRAND NEW VARIOUS INFORMATION TECHNOLOGY EQUIPMENT</t>
  </si>
  <si>
    <t>PEO- 20-068-B NORTHERN ILOILO FISHERY REHABILITATION AND DEVELOPMENT PROJECT (NI-FRDP) - REHABILITATION AND IMPROVEMENT OF CONCEPCION FISH PORT,Concepcion, Iloilo</t>
  </si>
  <si>
    <t>1 Lot Provision of Labor, Material and Equipment for the Construction of Barangay Stage at Brgy. Rizal I, Babatngon, Leyte. ABC PHP617,436.39</t>
  </si>
  <si>
    <t>SUPPLY AND DELIVERY OF THIRTY (30) PIECES HIGH CHAIRS FOR THE USE OF TRAVEL TAX COUNTERS AT NAIA TERMINALS 1 AND 3</t>
  </si>
  <si>
    <t>PURCHASE OF STRONG MOTION ACCELEROGRAPH FOR SEISMIC MONITORING</t>
  </si>
  <si>
    <t>Rehabilitation of Drainage, Marconi Street and its Vicinity, Brgy. San Isidro, Makati City, Metro Manila</t>
  </si>
  <si>
    <t>GSO-20-0202-B / JANITORIAL SERVICES</t>
  </si>
  <si>
    <t>Procurement of One (1) Lot, Three (3) Years Janitorial Services for CF-Davao and Apo View Satellite</t>
  </si>
  <si>
    <t>SUPPLY, DELIVERY, INSTALLATION AND TESTING OF SPLIT TYPE AIRCONDITIONING UNITS FOR IRRIGATION ENGINEERING CENTER ITB NO. BS-004-2020</t>
  </si>
  <si>
    <t>WORK ENVIRONMENT MEASUREMENT</t>
  </si>
  <si>
    <t>Contract ID: 20GOE0005 - Procurement of Parts for the Repair Service Vehicle (Mitsubishi Adventure SFN-936) of DPWH – NMDEO</t>
  </si>
  <si>
    <t>Rebidding of Hospital Equipment, IB No. SB-2020-001</t>
  </si>
  <si>
    <t>Cleaning &amp; Desilting of Main Waterways along Makati Diversion Channel, San Lorenzo Creek, Bangkal Creek towards Estero De Tripa De Gallina Makati City, Metro Manila</t>
  </si>
  <si>
    <t>1 Lot Provision of Labor, Materials and Equipment for the Construction of Perimeter Fence at Brgy. Sabang Daguitan, Dulag, Leyte. ABC PHP968,975.40</t>
  </si>
  <si>
    <t>1 Lot Provision of Labor, Materials and Equipment for the Construction of Tanod Outpost at Brgy. Cabariwan, Dagami, Leyte. ABC PHP866,445.98</t>
  </si>
  <si>
    <t>UPLB-RES-030-04-20  SUPPLY AND DELIVERY OF BRANDED AND BRAND NEW LABORATORY AND SCIENTIFIC EQUIPMENT FOR BIOTECH AND IPB</t>
  </si>
  <si>
    <t>Procurement of Catering Services for the 4th Level Training of the 2020 Census of Population and Housing (2020 CPH) of PSA Region 7</t>
  </si>
  <si>
    <t>S3-SCL20-013 - Construction of Operator's Quarter and Office in Sacol DPP, Sacol Island, Zamboanga City</t>
  </si>
  <si>
    <t>ITB-GS-20191023-01(2) - 1 Lot Supply, Delivery &amp; Installation of 50 Units Thru-The-Wall Cash Deposit Machine with Four (4) – Year Maintenance Package and Spare Parts</t>
  </si>
  <si>
    <t>1 Lot Provision of Labor, Materials and Equipment for the Installation of Solar Street Lights at Brgy. Canfabi, Carigara, Leyte. ABC PHP657,293.50</t>
  </si>
  <si>
    <t>UPLB-RES-027-04-20  SUPPLY AND DELIVERY OF BRANDED AND BRAND NEW INFORMATION TECHNOLOGY FOR ICS</t>
  </si>
  <si>
    <t>UPLB-RES-029-04-20  PROCUREMENT OF DIAGNOSTIC AND LABORATORY SERVICES FOR IPB AND IBS</t>
  </si>
  <si>
    <t>UPLB-RES-031-04-20  SUPPLY AND DELIVERY OF BRANDED AND BRAND NEW CHEMICALS AND CHEMICAL PRODUCTS FOR BIOTECH &amp; IPB</t>
  </si>
  <si>
    <t>20-DO-0074: LOCAL PROGRAM - Local Infrastructure Program - Building and Other Structures - Multipurpose/Facilities - Construction of Multi-Purpose Building, Brgy. Patunhay, Cardona, Rizal</t>
  </si>
  <si>
    <t>20-G-DO-0003: Procurement of Bituminous Tack Coat (FDL) and Bituminous Concrete Surface Course (FDLRC) for the Repair and Maintenance of San Mateo-Rodriguez Road K0021+(-463) to K0023+000 (with except</t>
  </si>
  <si>
    <t>PR# 20-0476- To supply labor, materials and necessary tools and Equipment for the Construction of Multi-Purpose Covered Area at Balucuc, Apalit, Pampanga</t>
  </si>
  <si>
    <t>19-DO-0130: Research on the Use of Recycled Concrete Aggregates (RCA) as Base Course Materials in Portland Cement Concrete Pavement (PCCP) (Second Small – Scale Pilot Trial), Jalajala Friendship Highw</t>
  </si>
  <si>
    <t>20-DO-0072: LOCAL PROGRAM - Local Infrastructure Program - Building and Other Structures - Multipurpose/Facilities - Construction and/or Repair/Rehabilitation of Multi-Purpose Building, Brgy. Bombonga</t>
  </si>
  <si>
    <t>PR# 20-0553- To supply labor, materials and necessary tools and equipment for the Construction of Multi-Purpose Covered Area with Reinforced Concrete Slab at Candelaria, Macabebe, Pampanga.</t>
  </si>
  <si>
    <t>UPLB-RES-033-03-20  SUPPLY AND DELIVERY OF BRANDED AND BRAND NEW CHEMICALS AND CHEMICAL PRODUCTS  FOR IC (2)</t>
  </si>
  <si>
    <t>UPLB-RES-034-03-20  SUPPLY AND DELIVERY OF BRANDED AND BRAND NEW FILAMENT EXTRUDER FOR CEAT – ES (3)</t>
  </si>
  <si>
    <t>20-DO-0073:LOCAL PROGRAM - Local Infrastructure Program - Building and Other Structures - Multipurpose/Facilities - Construction and/or Repair/Rehabilitation of Multi-Purpose Building, Brgy. San Isidr</t>
  </si>
  <si>
    <t>PR# 20-0473- To supply labor, materials and necessary equipment for the Construction of Two (2) Storey Multi-Purpose Building at Becuran, Sta. Rita, Pampanga</t>
  </si>
  <si>
    <t xml:space="preserve">20-DO-0076: LOCAL PROGRAM - Construction/Repair/Rehabilitation/Improvement of Various Infrastructure including Local Projects - Buildings and Other Structures - Multipurpose/Facilities - Construction </t>
  </si>
  <si>
    <t>UPLB-RQ-3-118-20-I SUPPLY AND DELIVERY OF CONSTRUCTION PROJECTS FOR CVM</t>
  </si>
  <si>
    <t>Supply, Delivery, Installation, Testing and Commissioning of Fire Suppression System, 5-KW Aircon, UPS, Door Access Control, Temperature and Humidity Monitoring System, Server Rack and Retrofitting of</t>
  </si>
  <si>
    <t>SUPPLY AND DELIVERY OF VAULT FOR TRAVEL TAX DEPARTMENT</t>
  </si>
  <si>
    <t>PR# 19-3888- 559 pieces Multi-function Inkjet Printer with ADF</t>
  </si>
  <si>
    <t>PR# 20-0673- Meals for the forum of the Governor with various stakeholders for the period of May to December 2020</t>
  </si>
  <si>
    <t>Invitation to Bid for the Procurement of 15,000 reams of Book Paper</t>
  </si>
  <si>
    <t>B-010-2020 PROCUREMENT OF EQUIPMENT AND FIXTURES FOR THE RESEARCH WORKSHOP ROOM  - REBID</t>
  </si>
  <si>
    <t>PR# 20-0138- To supply labor, materials and necessary equipment for the Construction of Multi-Purpose Hall, Mesulo, Arayat, Pampanga. (Re-bidding)</t>
  </si>
  <si>
    <t>PR# 20-0141- To supply labor, materials and necessary equipment for the Construction of Multi-Purpose Covered Area with Reinforced Concrete Slab and Stage at Mandili I Elementary School, Mandili, Cand</t>
  </si>
  <si>
    <t>PR# 20-0387-To supply labor, materials and necessary equipment for the Supply and Installation of One Unit Elevator with 1000 kg Capacity at Legislative Building, Capitol Compound, City of San Fernand</t>
  </si>
  <si>
    <t>20CN0085 - Construction of Multi-Purpose Building (2 Storey), Municipal Compound, Dipaculao, Aurora</t>
  </si>
  <si>
    <t>PR# 20-0474- To supply labor, materials and necessary equipment for the Construction of Two (2) Storey Multi-Purpose Building at Sta. Monica, Sta. Rita, Pampanga</t>
  </si>
  <si>
    <t>B-028-2020 SUPPLY AND DELIVERY OF 1 LOT VARIOUS OFFICE SUPPLIES</t>
  </si>
  <si>
    <t>PR# 19-3827- To supply labor, materials and necessary equipment for the Concreting of Road, Barangay Pio, Porac, Pampanga. (Re-bidding)</t>
  </si>
  <si>
    <t>PR# 20-0475- To supply labor, materials and necessary equipment for the Construction of Two(2) Storey Multi-Purpose Building at Mabical, Floridablanca, Pampanga</t>
  </si>
  <si>
    <t>B-026-2020 PROCUREMENT OF VARIOUS ID CONSUMABLES</t>
  </si>
  <si>
    <t>PR# 20-0131- To supply labor, materials and necessary equipment for the Improvement of Barangay Road at Tangle, Mexico, Pampanga. (Re-bidding)</t>
  </si>
  <si>
    <t>B-027-2020 SUPPLY AND DELIVERY OF 1 LOT JANITORIAL SUPPLIES</t>
  </si>
  <si>
    <t>PR# 20-0477- To supply labor, materials and necessary equipment for the Construction of Two (2) Storey Multi-Purpose Building at Pandaguiring, Floridablanca, Pampanga</t>
  </si>
  <si>
    <t>PUBLIC BIDDING / PR 19-10-0950 Re-Bid / VIDEO WALL PROJECT FOR SECURITY OPERATION</t>
  </si>
  <si>
    <t>PUBLIC BIDDING / PR 20-02-0073  /  VEHICLE RENTAL</t>
  </si>
  <si>
    <t>PR# 20-0232- To supply labor, materials and necessary equipment for the Construction of CHB Line Canal with Concrete Cover and Concrete Drain at San Basilio, Sta. Rita, Pampanga. (Re-bidding)</t>
  </si>
  <si>
    <t>B-011-2020 SUPPLY AND DELIVERY 1 UNIT STEEL CABINET - REBID</t>
  </si>
  <si>
    <t>SUPPLY AND DELIVERY OF PRINTER AND BARCODE SCANNER</t>
  </si>
  <si>
    <t>CP 2020-30 REBIDDING FOR THE SUPPLY AND DELIVERY OF ONE (1) UNIT HYDRAULIC POWER SPREADER C/O CDRRMC</t>
  </si>
  <si>
    <t>Procurement of One (1) Unit thimble-Type Ionization Chamber with Electrometer and Water Proofing sleeves</t>
  </si>
  <si>
    <t>20DE0118 Local Infrastructure Program – Construction of Multi-Purpose Building (Phase 2), Lobo Municipal Compound, Lobo, Batangas</t>
  </si>
  <si>
    <t>LOT 3 - Supply and Delivery of Data Folder without Mechanism</t>
  </si>
  <si>
    <t>LOT 1 - Supply and Delivery of Assorted Envelopes and Folders</t>
  </si>
  <si>
    <t>20DE0122 Construction/Repair/Rehabilitation/Improvement of Various Infrastructure including Local Projects – Road Widening of Lobo-Malabrigo-San Juan Rd (K0161+736 - K0163+626), Batangas</t>
  </si>
  <si>
    <t>PB-Procurement of Security Services for CY 2020 (ITB 2020-10)</t>
  </si>
  <si>
    <t>LOT 2 - Supply and Delivery of Clipboards</t>
  </si>
  <si>
    <t>20DE0120 Construction/Repair/Rehabilitation/Improvement of Various Infrastructure including Local Projects – Construction of Multi-Purpose Building, Tingloy, Batangas</t>
  </si>
  <si>
    <t>CP 2020-32 REBIDDING FOR THE SUPPLY AND DELIVERY OF TWO (2) UNITS HYDRAULIC MINI-CUTTERS C/O CDRRMC</t>
  </si>
  <si>
    <t>20DE0119 Construction/Repair/Rehabilitation/Improvement of Various Infrastructure including Local Projects – Construction of Multi-Purpose Building, San Pascual, Batangas</t>
  </si>
  <si>
    <t>20DE0121 Local Infrastructure Program – Construction and/or Repair/Rehabilitation of Multi-Purpose Building, Brgy. Poblacion, San Luis, Batangas</t>
  </si>
  <si>
    <t>Procurement of Radiation Monitoring Systems and Neutron Source</t>
  </si>
  <si>
    <t>20DE0123 Local Infrastructure Program – Rehab/Improvement/Asphalt Overlay Alitagtag Road (San Pascual Section), Brgy. Mataas na Lupa, Gelerang Kawayan, San Pascual, Batangas</t>
  </si>
  <si>
    <t>PROCUREMENT OF OTHER SUPPLIES AND MATERIALS (SUPPLIES AND TOOLS ON SHIELDED METAL ARTS &amp; WELDING) FOR SAN ROQUE NHS (UNDER SCHOOLS DIVISION OFFICE)</t>
  </si>
  <si>
    <t>Supply and Delivery of Item 302 (SSI) Bituminous Tack Coat (Rapid Curing) for Routine Maintenance (CY-2020-1st Quarter).</t>
  </si>
  <si>
    <t>CHECK UP TRANSMISSION AND REPAIR OF TOYOTA FORTUNER</t>
  </si>
  <si>
    <t>20DE0130 Local Infrastructure Program – Construction/Improvement of Old Public Market (Phase II), Mabini, Batangas</t>
  </si>
  <si>
    <t>CP 2020-34 BIDDING FOR THE SUPPLY, DELIVERY AND INSTALLATION OF WATER PUMPS C/O CADMO - SPORTS</t>
  </si>
  <si>
    <t>Supply and Delivery of Office Supplies for the Annual Routine Maintenance Program (CY-2020-1st Quarter).</t>
  </si>
  <si>
    <t>Construction of Retaining Wall along NIA Road, Brgy. Bubukal, Sta. Cruz, Laguna</t>
  </si>
  <si>
    <t>20DE0129 Local Infrastructure Program – Construction of Multi-Purpose Covered Court at Brgy. Mainit, Mabini, Batangas</t>
  </si>
  <si>
    <t>CP 2020-35 BIDDING FOR THE SUPPLY AND DELIVERY OF VARIOUS IT EQUIPMENT C/O OCSWDO BUB</t>
  </si>
  <si>
    <t>20DE0126 Local Infrastructure Program – Construction and/or Repair/Rehabilitation of Multi-Purpose Building, Brgy. Poblacion, San Pascual, Batangas</t>
  </si>
  <si>
    <t>20DE0124 Construction/Repair/Rehabilitation/Improvement of Various Infrastructure including Local Projects – Construction of Multi-Purpose Building, Bauan, Batangas</t>
  </si>
  <si>
    <t>Construction of River Control along Sta. Cruz River, Sta. Cruz Section, Sta. Cruz, Laguna</t>
  </si>
  <si>
    <t>PB20-00-008CORa-02 Supply and Delivery of 8 Lots Various Spare Parts for Repair and Maintenance of Motor Vehicles (Lot 4-Fuel Filters)</t>
  </si>
  <si>
    <t>Supply and Delivery of Asphalt Sealant (60/70) for Bridges Routine Maintenance.</t>
  </si>
  <si>
    <t>Supply and Delivery of Asphalt Sealant (60/70) for Routine Maintenance (CY-2020-1st Quarter).</t>
  </si>
  <si>
    <t>PB20-00-008CORa-02 SUPPLY AND DELIVERY OF 8 LOTS VARIOUS SPARE PARTS FOR REPAIR AND MAINTENANCE OF MOTOR VEHICLES (LOT 1-Engine Oil)</t>
  </si>
  <si>
    <t>Supply and Delivery of Construction Materials for Bridges Routine Maintenance (CY-2020-1st Quarter).</t>
  </si>
  <si>
    <t>PB20-00-008CORa-02 Supply and Delivery of 8 Lots Various Spare Parts for Repair and Maintenance of Motor Vehicles (Lot 2-Oil Filter)</t>
  </si>
  <si>
    <t>PROCUREMENT OF COMPUTERIZED HOSPITAL INFORMATION SYSTEM &amp; ELECTRONIC HEALTH RECORD FOR THE USE OF NAVOTAS CITY HOSPITAL &amp; 25 HEALTH CENTERS</t>
  </si>
  <si>
    <t>Supply and Delivery of Asphalt Cold Mix for Routine Maintenance (CY-2020-1st Quarter).</t>
  </si>
  <si>
    <t>Installation of Solar Streetlights at Brgy. Domanpot, Asingan, Pangasinan.</t>
  </si>
  <si>
    <t>PB20-00-008CORa-02 Supply and Delivery of 8 Lots Various Spare Parts for Repair and Maintenance of Motor Vehicles (Lot 5-Spark Plugs)</t>
  </si>
  <si>
    <t>INVITATION TO BID</t>
  </si>
  <si>
    <t>Supply and Delivery of Ten (10) Lots Consolidated I.T. Equipment and Other Peripherals for Corporate and SOG 4 (Lot 5:Supply and Delivery of Barcode Scanner, Box Type)</t>
  </si>
  <si>
    <t>Supply and Delivery of Ten (10) Lots Consolidated I.T. Equipment and Other Peripherals for Corporate and SOG 4 (Lot 2:Supply and Delivery of Branded Small Form Factor Computer)</t>
  </si>
  <si>
    <t>Supply and Delivery of Ten (10) Lots Consolidated I.T. Equipment and Other Peripherals for Corporate and SOG 4 (Lot 1:Supply and Delivery of Branded Laptop and Desktop)</t>
  </si>
  <si>
    <t>Supply and Delivery of Ten (10) Lots Consolidated I.T. Equipment and Other Peripherals for Corporate and SOG 4 (Lot 4:Supply and Delivery of Mid-Range Scanner with Scanning Solution)</t>
  </si>
  <si>
    <t>20CW-GSC-019 ELECTRIFICATION AND STREETLIGHTING ALONG ALBERT MORROW BLVD., GENERAL SANTOS CITY</t>
  </si>
  <si>
    <t>Supply and Delivery of Ten (10) Lots Consolidated I.T. Equipment and Other Peripherals for Corporate and SOG 4 (Lot 3:Supply and Delivery of Various Computers, Printers, Hard Disks and Other Periphera</t>
  </si>
  <si>
    <t>UPLB-RQ-3-117-20-I SUPPLY AND DELIVERY OF ELECTRICAL SYSTEMS AND LIGHTING COMPONENTS FOR OAR</t>
  </si>
  <si>
    <t>20CW-GSC-020 CONCRETING OF MAIN ROAD OF PUROK 13 37TH IB, BRGY. FATIMA, GENERAL SANTOS CITY</t>
  </si>
  <si>
    <t>B-024-2020 REPAIR AND MAINTENANCE OF HIGH ACE GRANDIA GL  SJE-963 AND COLORADO TRAILBLAZER SAA-4045</t>
  </si>
  <si>
    <t>Construction of Day Care at Brgy. Toboy, Asingan, Pangasinan.</t>
  </si>
  <si>
    <t>PB20-00-008CORa-02 Supply and Delivery of 8 Lots Various Spare Parts for Repair and Maintenance of Motor Vehicles (Lot 6-Various Spare Parts For Motorpool Use)</t>
  </si>
  <si>
    <t>PB20-00-008CORa-02 Supply and Delivery of 8 Lots Various Spare Parts for Repair and Maintenance of Motor Vehicles (Lot 8-Tires, Tire Flap And Tire Interior)</t>
  </si>
  <si>
    <t>B-023-2020 SUPPLY AND DELIVERY OF 1 LOT FOOD PROCESSING EQUIPMENT (FIC)</t>
  </si>
  <si>
    <t>PB20-00-008CORa-02 Supply and Delivery of 8 Lots Various Spare Parts for Repair and Maintenance of Motor Vehicles (Lot3-Air Filters)</t>
  </si>
  <si>
    <t>THREE (3) UNITS MANAGED PRINT SERVICES FOR THE USE OF TRAVEL TAX DEPARTMENT-PAD, TEZ FRONTLINE SERVICE AND OFFICE OF THE JOINT VENTURE SELECTION COMMITTEE (RENTAL FOR ONE (1) YEAR)</t>
  </si>
  <si>
    <t>20DE0125 Local Infrastructure Program – Construction of the Lobo Municipal Hall Phase 1, Lobo, Batangas</t>
  </si>
  <si>
    <t>B-025-2020 REPIPING OF WATER LINES AT CHEMISTRY LABORATORY</t>
  </si>
  <si>
    <t>Supply and Delivery of Two (2) Lots Jumbo Tissue Roll and Paper Towel under ITB no. PB20-03-004MAL- Lot 2 : Paper Towel</t>
  </si>
  <si>
    <t>Concreting of Farm to Market Road at Centro Barangay Toboy, Asingan, Pangasinan.</t>
  </si>
  <si>
    <t>ITB NO. SV20-03-001MAB Supply and Delivery  of  Raw Materials for Executive Meals</t>
  </si>
  <si>
    <t>SUPPLY AND DELIVERY OF STUDY CHAIR</t>
  </si>
  <si>
    <t>UPGRADING OF EQUIPMENT FOR PROCESSING LABORATORY OF PRESIDENT RAMON MAGSAYSAY STATE UNIVERSITY</t>
  </si>
  <si>
    <t>Construction/Maintenance of Flood Mitigation  Structures and Drainage Systems/Construction of River Control along Santa Cruz River, Santa Cruz Section, Santa Cruz, Laguna</t>
  </si>
  <si>
    <t>UPGRADING OF MILKFISH AND TILAPIA PROCESSING FACILITY AT PRMSU CANDELARIA CAMPUS</t>
  </si>
  <si>
    <t>PROCUREMENT OF ONE (1) UNIT BRAND NEW AMBULANCE VEHICLE</t>
  </si>
  <si>
    <t>Supply and Delivery of Two (2) Lots Jumbo Tissue Roll and Paper Towel - Lot 1 : Jumbo Tissue Roll</t>
  </si>
  <si>
    <t>ITB No. 20-047: Supply and Delivery of Two Hundred Fifty-Two Thousand (252,000) Heparin Sodium, 1000IU/mL 5mL, Vial  (FRAMEWORK AGREEMENT)</t>
  </si>
  <si>
    <t>Supply and Delivery of Ten (10) Lots Consolidated I.T. Equipment and Other Peripherals for Corporate and SOG 4 (Lot 9: Supply and Delivery of Handheld Barcode Scanner)</t>
  </si>
  <si>
    <t>20CW-GSC-021 IMPROVEMENT OF ROAD FACILITIES OF F. SANTOS (ADDITIONAL APPROPRIATION) BRGY. MABUHAY, GENERAL SANTOS CITY</t>
  </si>
  <si>
    <t>Purchase of Traffic Reflectorized Paint (Cold Water Base)</t>
  </si>
  <si>
    <t>Concreting of Road Shoulder at Brgy. Dupac, Asingan, Pangasinan.</t>
  </si>
  <si>
    <t>Supply and Delivery of Ten (10) Lots Consolidated I.T. Equipment and Other Peripherals for Corporate and SOG 4 (Lot 8: Supply and Delivery of Architectural License)</t>
  </si>
  <si>
    <t>Supply and Delivery of Ten (10) Lots Consolidated I.T. Equipment and Other Peripherals for Corporate and SOG 4 (Lot 10: Supply and Delivery of Scanner Mid-Range Large Format)</t>
  </si>
  <si>
    <t>Supply and Delivery of Ten (10) Lots Consolidated I.T. Equipment and Other Peripherals for Corporate and SOG 4 (Lot 6: Supply and Delivery of Receipt Printer)</t>
  </si>
  <si>
    <t>Supply of Materials/Parts for the SMI and ARAS of NAW Units (NH430, NH431, NH432, NH434 &amp; NH435)</t>
  </si>
  <si>
    <t>PB20-00-008CORa-02 Supply and Delivery of 8 Lots Various Spare Parts for Repair and Maintenance of Motor Vehicles (Lot 7-Batteries)</t>
  </si>
  <si>
    <t>HIRING OF GENERAL CONTRACTOR FOR THE RENOVATION OF DBP ZAMBOANGA BUILDING (INCL. RENOVATION OF ZAMBOANGA BRANCH &amp; BBG-WM; FIT-OUT OF ZAMBOANGA PENINSULA LENDING CENTER &amp; ZAMBOANGA CASH CENTER)</t>
  </si>
  <si>
    <t>Supply and Delivery of Ten (10) Lots Consolidated I.T. Equipment and Other Peripherals for Corporate and SOG 4 (Lot 7: Supply and Delivery of Various Software Licenses)</t>
  </si>
  <si>
    <t>Contract I.D. No. 20OE0197 - Construction and / or Repair / Rehabilitation of Multi – Purpose Building Brgy. 72, Zone 6, Tondo Manila</t>
  </si>
  <si>
    <t>Construction of Tourism Stalls, Lussok, Dagupan, Luna, Apayao</t>
  </si>
  <si>
    <t>Supply and Delivery Farm Input (Assistance to Farmers)</t>
  </si>
  <si>
    <t>Improvement of Municipal Hall, Conner, Apayao</t>
  </si>
  <si>
    <t>Improvement of Caglayan-Ripang-Paddaoan-Talifugo-Manag Provincial Road (Paddaoan Section) Sta. 0+000-Sta. 9+800, Conner, Apayao</t>
  </si>
  <si>
    <t>Contract ID No. 19CSK00047 – Consulting Services for the Conduct of Feasibility Study for Region X Priority Road Infrastructure Projects-27 (REXPRIP-27) a.	PIA Bypass Road, Misamis Oriental 2nd Legisl</t>
  </si>
  <si>
    <t>Improvement of Tanglagan-Bucarot Provincial Road, Calanasan, Apayao</t>
  </si>
  <si>
    <t>Improvement/Rehabilitation/Repair of Apayao Child Development Center, San Isidro Sur, Luna, Apayao</t>
  </si>
  <si>
    <t>Construction of Retaining Wall at Alem-Poblacion Provincial Road, Pudtol, Apayao</t>
  </si>
  <si>
    <t>Procurement of Technical and Scientific Equipment (2nd posting)</t>
  </si>
  <si>
    <t>Invitation to Bid for the Procurement of Goods: Five (5) Units of Syringe Pump (IB 2020-06)</t>
  </si>
  <si>
    <t>Procurement of 36” Large Format Printer with DLP Projector</t>
  </si>
  <si>
    <t>20GO0085 -CONSTRUCTION OF MULTI-PURPOSE BUILDING, BRGY. BANAGO, BACOLOD CITY, NEGROS OCCIDENTAL</t>
  </si>
  <si>
    <t>Completion of VIP Cottages, Payanan, San Gregorio, Luna, Apayao</t>
  </si>
  <si>
    <t>INVITATION TO BID FOR PROCUREMENT OF GOODS -  SUPPLY AND DELIVERY OF EIGHT UNITS INFUSION PUMP (IB 2020-05)</t>
  </si>
  <si>
    <t>Supply, Delivery, Installation, Configuration and Commissioning of Radio Communication System (Contract ID No. 20GZ00012)</t>
  </si>
  <si>
    <t>20DQ0098 - LOCAL PROGRAM – Local Infrastructure Program – Flood Control and Drainage – Drainage Protection works – Construction/ Repair/ Rehabilitation/ Improvement of drainage system of the Interior</t>
  </si>
  <si>
    <t>20FL0074-Construction of Multipurpose Building (Public Market), Brgy. Poblacion, Juban, Sorsogon Brgy. Poblacion, Juban, Sorsogon</t>
  </si>
  <si>
    <t>20DQ0099 - LOCAL PROGRAM – Local Infrastructure Program – Local Roads and Bridges – Local Roads – Concreting/Rehabilitation of Road, Brgy. Paliparan 3, Dasmariñas City, Cavite</t>
  </si>
  <si>
    <t>20FL0063-Construction of Flood Control, Bgy. Culasi, Matnog, Sorsogon Brgy. Culasi, Matnog, Sorsogon</t>
  </si>
  <si>
    <t>PROPOSED UPGRADING OF PCC PAVEMENT AND DRAINAGE SYSTEM AT SITIO ABALATEN, BARANGAY SALISAY, DAGUPAN CITY</t>
  </si>
  <si>
    <t>Supply and Delivery of Manual Thermosonic Wedge and Ball Bonder for UP Cebu</t>
  </si>
  <si>
    <t>Supply of Item 310 (FD) for the use of MMIIDEO for Various National Roads (CY-2020-1st Quarter).</t>
  </si>
  <si>
    <t>Pocurement of IBM SPSS Statistics Standard Campus Edition Authorized User License for UP Cebu</t>
  </si>
  <si>
    <t>PROPOSED REPAIR OF REGISTRY OF DEEDS OFFICE AT CITY HALL COMPOUND, DAGUPAN CITY</t>
  </si>
  <si>
    <t>20DQ0100 - LOCAL PROGRAM – Construction / Repair / Rehabilitation / Improvement of Various Infrastructure including Local Projects – Local Roads and Bridges – Local Bridges – Widening of Bridges along</t>
  </si>
  <si>
    <t>Contract I.D. No. 20OE0091 - Construction of Retention Basin at Estero de Sampaloc, Manila City</t>
  </si>
  <si>
    <t>PROPOSED UPGRADING OF PCC PAVEMENT AND DRAINAGE SYSTEM AT RIVERSIDE, BARANGAY POGO CHICO, DAGUPAN CITY</t>
  </si>
  <si>
    <t>Construction of Box Culvert along Ninoy Aquino Ave. from Multinational Ave. to Cut-Cut Bridge, Parañaque City, Metro Manila</t>
  </si>
  <si>
    <t>ITB No. 2020-0009 Provision of Janitorial Services for People’s Television Network, Inc. (PTNI)</t>
  </si>
  <si>
    <t>Supply, Delivery, Installation, Testing, and Commissioning of Energy Recovery Ventilation System, Exhaust Fans and Associated Ductworks for the DBM Arcache Building</t>
  </si>
  <si>
    <t>Contract ID No. 20FA0050: REHABILITATION/RECONSTRUCTION OF NATIONAL ROADS W/SLIPS, SLOPE COLLAPSE AND LANDSLIDE-SECONDARY ROADS, DM JCT-LEGAZPI-STO. DOMINGO-TABACO-CAMARINES SUR BDRY. RD- K0582+330-K0</t>
  </si>
  <si>
    <t>SO-OPD18-008 (PB3/NP2) - 1 x 200 kW and 1 x 100 kW Modular Diesel Gensets and Associated Electrical Equipment for Sarangani Diesel Power Plant</t>
  </si>
  <si>
    <t>ITB NO. 2020-0010 Waterproofing of People’s Television Network, Inc.’s Roof deck, Uplink and Third Floor (Open Area)</t>
  </si>
  <si>
    <t>ADH-20-063-B(REBID) PURCHASE OF DRUGS AND MEDICINES</t>
  </si>
  <si>
    <t>invitation to bid for the Proposed Construction of Multi-Purpose Building (Motorpool/TESDA/OCENR Bldg.), South Boulevard, Dap-Dap, Legazpi City</t>
  </si>
  <si>
    <t>INVITATION TO BID FOR THE PROCUREMENT OF GOODS: SUPPLY, DELIVERY, TESTING AND COMMISSIONING OF ONE (1) UNIT DUAL CHAMBER EXTERNAL PACEMAKER (PULSE GENERATOR WITH PACEMAKERE CABLES)</t>
  </si>
  <si>
    <t>ITB NO. 2020-0008 Supply, Delivery, Testing and Commissioning of Seventy – Five (75) Pieces of Electrolytic ¬¬¬Capacitor Spare Parts of Analog Transmitter for the People’s Television Network, Inc. (PT</t>
  </si>
  <si>
    <t>Provision of Garbage Hauling Services</t>
  </si>
  <si>
    <t>Procurement of Works for the establishment of wood vinegar facility</t>
  </si>
  <si>
    <t>UPLB-RQ-3-115-20-I SUPPLY AND DELIVERY OF CONSTRUCTION MATERIALS &amp; SUPPLIES FOR CEM - DAAE</t>
  </si>
  <si>
    <t>SUPPLY AND DELIVERY OF VARIOUS ELECTRICAL SPARE PARTS FOR 163 KW DALE PERKINS INTENDED FOR  PILAR DPP</t>
  </si>
  <si>
    <t>SUPPLY AND DELIVERY OF VARIOUS ELECTRICAL SPARE PARTS FOR 36 KW FG WILSON PERKINS INTENDED FOR PANANY MINI GRID</t>
  </si>
  <si>
    <t>Proposed FDLRC (Furnishing, Delivery, Laying, Rolling and Compacting of Asphalt)</t>
  </si>
  <si>
    <t>Procurement of a PR and Social Media Marketing Retainer for Dive Philippines</t>
  </si>
  <si>
    <t>LOT 1- Project No. 2020-02-MOOE-002 Supply and Delivery of Common Office Supplies and Materials for Quarters 1 and 2 of CY 2020 for SDO Use</t>
  </si>
  <si>
    <t>B-022-2020 PROCUREMENT OF INSURANCE PLAN - SVP</t>
  </si>
  <si>
    <t>20FL0076-Improvement/rehabilitation of Bulan Public Market Annex, Brgy. 4, Bulan, Sorsogon Zone 4, Bulan, Sorsogon</t>
  </si>
  <si>
    <t>Proposed Renovation, Rehabilitation and Restoration of School Building and Other Facilities at MARICABAN ELEMENTARY SCHOOL (MES) – Phase 4</t>
  </si>
  <si>
    <t>SUPPLY AND DELIVERY OF VARIOUS MECHANICAL SPARE PARTS FOR 163 KW DALE PERKINS OF GUINTARCAN DPP</t>
  </si>
  <si>
    <t>SUPPLY AND DELIVERY OF VARIOUS MECHANICAL SPARE PARTS FOR 315 KW FG WILSON PERKINS INTENDED FOR MARIPIPI DIESEL POWER PLANT</t>
  </si>
  <si>
    <t>SUPPLY AND DELIVERY OF VARIOUS MECHANICAL SPARE PARTS FOR 315KW FG WILSON INTENDED FOR LIMASAWA DIESEL POWER PLANT</t>
  </si>
  <si>
    <t>SUPPLY AND DELIVERY OF VARIOUS MECHANICAL SPARE PARTS FOR 80 KW CUMMINS GENSETS OF PANAY MINI GRID</t>
  </si>
  <si>
    <t>SUPPLY AND DELIVERY OF INJECTOR SLEEVE REMOVER KIT FOR 160 KW FG WILSON PERKINS, MODEL NO. P300H-1. SERIAL NO. FGWNAVO4P JSW00270 FOR CAPUL DPP</t>
  </si>
  <si>
    <t>LOT 3- Project No. 2020-02-MOOE-002 Supply and Delivery of IT Equipment and Other Devices/Equipment for Quarters 1 and 2 of CY 2020 for SDO Use</t>
  </si>
  <si>
    <t>Supply and delivery of LEARNING MATERIALS (WORKSHEET/BOOKS) for Day Care Children</t>
  </si>
  <si>
    <t>Construction of Mango Processing Center</t>
  </si>
  <si>
    <t>74319 - Procurement of 1 Lot Security Services</t>
  </si>
  <si>
    <t>20FL0068-Construction of Protection Wall/Flood Control, Barangay Guruyan, Juban, Sorsogon Brgy. Guruyan, Juban, Sorsogon</t>
  </si>
  <si>
    <t>FOD-C-20-1802: Procurement of 1 unit Generator Set</t>
  </si>
  <si>
    <t>S3-B1920-002 - Furnishing of Labor and Materials for Dry Docking and Ship Repair of PB 119</t>
  </si>
  <si>
    <t>Supply and delivery of one (1) lot Various FLOWERS including flower arrangement and motif service</t>
  </si>
  <si>
    <t>PROPERTY ADMINISTRATION OF PASIG CENTRAL BUSINESS PARK (PCBP)  – 4TH BIDDING</t>
  </si>
  <si>
    <t>SUPPLY AND DELIVERY OF VARIOUS DISTRIBUTION LINE HARDWARES AND STEEL POLES INTENDED FOR PANAY MINI GRID</t>
  </si>
  <si>
    <t>ACCOMMODATION AND CONFERENCE PACKAGE for the Incident Command System Training Course: Position Courses on Incident Command System</t>
  </si>
  <si>
    <t>RIBBONS AND TONER</t>
  </si>
  <si>
    <t>Contract I.D. No. 20OE0196 - Installation of Pumping Station (Mini Pump) at Barangay 598 Zone 59, Manila City</t>
  </si>
  <si>
    <t>Q-056-20 PROCUREMENT OF MEDICAL AND DENTAL INSTRUMENTS AND EQUIPMENT</t>
  </si>
  <si>
    <t>LOT 2- Project No. 2020-02-MOOE-002 Supply and Delivery of Common Printing Supplies and Consumables for Quarters 1 and 2 CY 2020 for SDO Use</t>
  </si>
  <si>
    <t>Supply, Delivery and Installation of Furniture, Fixtures, Equipment and Architectural Works for the PPA Head Office Executive Lounge</t>
  </si>
  <si>
    <t>Supply and delivery of 12,099 pcs DIPLOMA HOLDER</t>
  </si>
  <si>
    <t>Supply and Delivery of ICT Equipment</t>
  </si>
  <si>
    <t>Supply and Delivery of 225 pcs. Digital Photopolymer Plates, as per BSP Technical Specifications</t>
  </si>
  <si>
    <t>Supply and delivery of one (1) lot Various MEDALS</t>
  </si>
  <si>
    <t>ITB - Procurement of Security Personnel Services</t>
  </si>
  <si>
    <t>Proposed Improvement of Drainage System and Concrete Pavement of SAN JUAN STREET, Pasay City</t>
  </si>
  <si>
    <t>Procurement of Services for PPA Head Office 2nd Floor Concrete Deck Cladding and Waterproofing System</t>
  </si>
  <si>
    <t>Supply and delivery of medicines</t>
  </si>
  <si>
    <t>HO-PIC20-001 (PB3) - 3 x 50 kW Modular Diesel Gensets, Associated Electrical Equipment and Balance of Plant for the Electrification of New Area in Sulu under Package 11A</t>
  </si>
  <si>
    <t>Supply and Delivery of Medical and Dental Supplies</t>
  </si>
  <si>
    <t>ITB-GS-20200218-01 - One (1) Lot Supply and Delivery of EMV VISA Debit Card and Paywave Debit Card for OFBANK</t>
  </si>
  <si>
    <t>NEGOTIATED PROCUREMENT UNDER TWO-FAILED BIDDINGS FOR THE COMPLETION/REPAIR/RENOVATION/REHABILITATION/CONSTRUCTION OF VARIOUS BARANGAY HEALTH STATIONS IN THE PROVINCE OF OCCIDENTAL MINDORO – PHASE 2 (L</t>
  </si>
  <si>
    <t>HO-LVD20-001 - Repair of Concrete Access Road to Pagbilao CFTPP at Brgy. Ibabang Polo, Pagbilao, Quezon</t>
  </si>
  <si>
    <t>Q-022-20 PROCUREMENT OF PHYSICAL FITNESS EQUIPMENT AND ACCESSORIES</t>
  </si>
  <si>
    <t>CONSTRUCTION OF VARIOUS INFRASTRUCTURE PROJECTS FOR THE CITY OF NAVOTAS UNDER 20% CDF</t>
  </si>
  <si>
    <t>ITB-GS-20200224-01 - Three (3) Years Managed Laser Print Services with Consumables</t>
  </si>
  <si>
    <t>ITB-GS-20200219-01 - Supply and Delivery of 1,100 Units Desktop Computer</t>
  </si>
  <si>
    <t>Proposed Renovation of Roof System at MALE DORM BAKERY located at Pasay City Jail</t>
  </si>
  <si>
    <t>RE-BID 19-024-06 ALPHA "RUNWAY STRIP GRADE CORRECTION INCLUDING SLOPE PROTECTION AT MAASIN AIRPORT  (RE-BID)"</t>
  </si>
  <si>
    <t>Improvement at the Office of USEC. Ramos</t>
  </si>
  <si>
    <t>PR# 20-0621- To supply labor, materials and necessary equipment for the Construction of Two (2) Storey Multi-Purpose Building at Capitol Compound, Sto. Nino, City of San Fernando, Pampanga</t>
  </si>
  <si>
    <t>Provision of Security Services for Pag-IBIG Fund Central and Eastern Visayas Branches, Offices and Warehouses covering the period Y2020-2021</t>
  </si>
  <si>
    <t>20D00041 (Readv.) - CONSTRUCTION OF ADMINISTRATION BUILDING	HEADQUARTERS, CAMP GUILLERMO NAKAR, LUCENA CITY, QUEZON</t>
  </si>
  <si>
    <t>20D00007-Const./Repair/Rehab./Improvement of Various Infrastructure incl. Local Projects Buildings and Other Structure Multipurpose/Facilities UNIVERSITY LIBRARY AND KNOWLEDGE CENTER (ULKC), UPLB, LOS</t>
  </si>
  <si>
    <t>PB20-02-031COR - SUPPLY AND DELIVERY OF CARD PRINTER CONSUMABLES FOR PAGCOR’S EXISTING HITI CS200E CARD PRINTER</t>
  </si>
  <si>
    <t>Procurement of Patrol Vehicle for use during Patrol Operation within the Municipality.</t>
  </si>
  <si>
    <t>HO-PIB20-007 - Design, Supply, Delivery, Test and Commissioning of Two (2) Units of 5MW Power Barge at Mooring Facility, Bo. Obrero, Iloilo City</t>
  </si>
  <si>
    <t>19D00059-CONSTRUCTION OF UPLB NANOSCIENCE AND TECHNOLOGY FACILITY, LAGUNA</t>
  </si>
  <si>
    <t>Procurement of Full Retrofitting, Rehabilitation, and Renovation of the DFA Building</t>
  </si>
  <si>
    <t>Contract ID No. 20FA0049: REPLACEMENT AND CONCRETING OF TRAMO BRIDGE WHICH CONNECTS BRGYS. STO. CRISTO AND SAN ROQUE TO BRGY. TAGAS AND NEIGHBORING BARANGAYS IN TABACO CITY, ALBAY</t>
  </si>
  <si>
    <t>Procurement of One (1) Lot, Three (3) Years Private Security Agency (PSA) Services for CF-Davao and Apo View Satellite</t>
  </si>
  <si>
    <t>INVITATION TO BID-SECURITY SERVICE PROVIDER FOR A PERIOD OF ONE (1) YEAR</t>
  </si>
  <si>
    <t>PROCUREMENT OF TIRES AND BATTERIES</t>
  </si>
  <si>
    <t>20AC0054 - Concreting of Roads, Brgy. Poblacion East, San Ildefonso, Ilocos Sur</t>
  </si>
  <si>
    <t>Package 3 of 17: Supply and Delivery of 305 pairs - Safety Shoes (various sizes)</t>
  </si>
  <si>
    <t>PROCUREMENT OF VARIOUS CONSTRUCTION, PLUMBING AND ELECTRICAL SUPPLIES-IB NO. 2020 08</t>
  </si>
  <si>
    <t>PROCUREMENT OF PROFESSIONAL/CONSULTING  SERVICE FOR THE CONDUCT OF AIR DISPERSION  MODELLING FOR THE PIESTTA AIRSHED</t>
  </si>
  <si>
    <t>Package 2 of 17: Supply and Delivery of 117 pcs. - Respiratory Mask  (Full Face Gas Mask) with inclusion of two (2) Cartridges</t>
  </si>
  <si>
    <t>HO-PIG20-012 - Supply and Erection / Installation of TAP - USON 69kV Transmission Line Project</t>
  </si>
  <si>
    <t>Package 6 of 17: Supply and Delivery of 15 lengths - Riser Pipe with Coupling, 10”Ø x 10 ft. (re-bidding)</t>
  </si>
  <si>
    <t>Package 4 of 17: Supply of Labor and Materials for the Production and Delivery of 19 pcs. Yellow Gold Bracelet with I.D Bar (18k, 12 grams)</t>
  </si>
  <si>
    <t>S1-PWN19-033 - Supply of Two (2) Years Security Services for SPUG Palawan Operations Division (POD) Plants and Installations</t>
  </si>
  <si>
    <t>Package 5 of 17: Supply of Labor and Materials for The Production and Delivery of 22 Pieces Yellow Gold Ring with 0.30k 3rd Class Diamond Stone (18k, 6 Grams)</t>
  </si>
  <si>
    <t>Package 8 of 17: Supply and Delivery of 104 pcs. - 25mm.Ø Water Meter</t>
  </si>
  <si>
    <t>Package 9 of 17: Supply and Delivery of 6,930 pcs. 19mm.Ø (3/4”) Plastic Union Coupling, Compression Type (for CTS Pipe)</t>
  </si>
  <si>
    <t>WATER POTABILITY TESTING</t>
  </si>
  <si>
    <t>Package 14 of 17: Supply and Delivery of 328 pcs. D.I. Mechanical Sleeve Type Coupling, 100mm. (4”) Ø (Universal Type)</t>
  </si>
  <si>
    <t>20AC0056 - Construction of Revetment Wall, Barangay Quibit-quibit, Sinait, Ilocos Sur</t>
  </si>
  <si>
    <t>Package 16 of 17: Supply and Delivery of 3,656 pcs. - G.I. Cross Tee, 19mm.Ø  (Standard)</t>
  </si>
  <si>
    <t>Package 17 of 17: Supply and Delivery of 18,931 pcs. - G.I. Bushing, 19mm. x 12mm (Standard)</t>
  </si>
  <si>
    <t>Package 12 of 17: Supply and Delivery of 100 pcs. – D.I. Gate  Valve  Flange Type 100mm. (4”), Non-Rising Stem with Operating Nut</t>
  </si>
  <si>
    <t>Package 7 of 17: Supply and Delivery of 22 pcs. Red Lead Primed and Cement Line Steel Pipe, 200mm. diameter x 6 meters  and 15 pcs. Red Lead Primed and Cement Line Steel Pipe, 350mm. diameter x 6 mete</t>
  </si>
  <si>
    <t>SAFETY HARNESS,</t>
  </si>
  <si>
    <t>IMPROVEMENT OF SAN POLICARPO FIRE STATION</t>
  </si>
  <si>
    <t>Package 15 of 17: Supply and Delivery of 650 pcs. – Valve Box Cover, 160mm. (Cast Iron or Ductile Iron)</t>
  </si>
  <si>
    <t>Package 11 of 17: Supply and Delivery of 25 units Fire Hydrant Head 4"Ø (Angle Type) and 15 units Fire Hydrant Head 6"Ø (3-Way) (re-bidding)</t>
  </si>
  <si>
    <t>Supply of Materials for the Repair and Maintenance of COMMELEX and NAVSENS equipment of Three (3) Cessna Aircraft (NVT324, NVT330, NVT331) and One (1) R22 Helicopter (NHT421)</t>
  </si>
  <si>
    <t>Package 10 of 10: Supply and Delivery of 3,697 pcs. 19mm.Ø (3/4”) Plastic Female Elbow, Compression Type (for CTS Pipe)</t>
  </si>
  <si>
    <t>20OH0139-Local Program - Construction / Repair / Rehabilitation / Improvement of Various Infrastructure including Local Projects - Local Roads and Bridges - Local Roads - Rehabilitation of Road along</t>
  </si>
  <si>
    <t>20AC0055 - Construction of Road From Brgy. Cuta - Brgy. Tamag, Vigan City, Ilocos Sur</t>
  </si>
  <si>
    <t>20OH0138-Local Program - Construction / Repair / Rehabilitation / Improvement of Various Infrastructure including Local Projects - Buildings and Other Structures - Multipurpose / Facilities - Rehabili</t>
  </si>
  <si>
    <t>Package 13 of 17: Supply and Delivery of 33 pcs. – D.I. Gate  Valve  Flange Type, 200mm. (8”), Non-Rising Stem with Operating Nut</t>
  </si>
  <si>
    <t>20OH0144-Local Program – Construction / Repair / Rehabilitation / Improvement of Various Infrastructure including Local Projects - Buildings and Other Structures - Construction of Various Multi-Purpos</t>
  </si>
  <si>
    <t>20OH0142-Local Program - Local Infrastructure Program - Local Roads and Bridges - Local Roads - Improvement of Pasig Line St., and Oro A. St., and vicinity, Zone 85, Sta. Ana, Manila</t>
  </si>
  <si>
    <t>UPLB-S-042-03-20 (FORMERLY UPLB-S-120-12-19), UPGRADE / REHABILITATION OF INTERNET CONNECTION OF BIOTECH</t>
  </si>
  <si>
    <t>Supply of Materials for the Repair and Maintenance of COMMELEX &amp; NAVSENS  equipment of Five (5) BNI Aircraft (NV310, NV311, NV312, NV314 and NV320)</t>
  </si>
  <si>
    <t>REHABILITATION / UPGRADING OF FARM TO MARKET ROAD (SABANGAN PORTION) AT BRGY. SABANGAN, CITY OF ALAMINOS, PANGASINAN</t>
  </si>
  <si>
    <t>20OH0145-Repair/Maintenance of DPWH Building Quality Section – Laboratory Building South Manila District Engineering Office (Phase 2)</t>
  </si>
  <si>
    <t>20OH0143-Local Program - Construction / Repair / Rehabilitation / Improvement of Various Infrastructure including Local Projects - Buildings And Other Structures - Multipurpose / Facilities - Construc</t>
  </si>
  <si>
    <t>Supply of Materials for the Repair and Maintenance of COMMELEX &amp; NAVSENS  equipment of Five (5) C90 Aircraft (NV390, NV392, NV393, NV394 and NV395)</t>
  </si>
  <si>
    <t>Calibration Service of Bio-medical Equipment</t>
  </si>
  <si>
    <t>Supply and Delivery of Assorted Food Supplies, Paper Cups and Other Non-Food Supplies for VIP Bar (Lot 2)</t>
  </si>
  <si>
    <t>CONSTRUCTION OF WINGS OF MULTI-PURPOSE BUILDING AT BRGY. TELBANG, CITY OF ALAMINOS, PANGASINAN</t>
  </si>
  <si>
    <t>20AC0051 - Construction of Fuerte Road, Caoayan, Ilocos Sur</t>
  </si>
  <si>
    <t>Supply of Materials for the Repair and Maintenance of COMMELEX &amp; NAVSENS  equipment of Five (5) AW109 Helicopter (NH430, NH431, NV432, NH434, NH435) and Two (2) ASW159 Helicopter (NH440, NH441)</t>
  </si>
  <si>
    <t>CONSTRUCTION OF MULTI-PURPOSE BUILDING AT BRGY. TANGCARANG, CITY OF ALAMINOS, PANGASINAN</t>
  </si>
  <si>
    <t>Supply and Delivery of Canon Battery Pack, Light Stand and Yongnuo LED Video Light Panel</t>
  </si>
  <si>
    <t>20OH0141-Local Program - Construction / Repair / Rehabilitation / Improvement of Various Infrastructure including Local Projects - Local Roads and Bridges - Local Roads - Rehabilitation of Various Roa</t>
  </si>
  <si>
    <t>EXTENSION OF MULTI-PURPOSE BUILDING AT BRGY. MACATIW, CITY OF ALAMINOS, PANGASINAN</t>
  </si>
  <si>
    <t>UPLB-RQ-3-112-20-I SUPPLY AND DELIVERY OF AIRCONDITIONING &amp; AIRCONDITIONING SYSTEMS FOR ICROPS</t>
  </si>
  <si>
    <t>Supply and Delivery of Assorted Food Supplies, Paper Cups and Other Non-Food Supplies for VIP Bar (Lot 3)</t>
  </si>
  <si>
    <t>20OH0140-Local Program - Construction / Repair / Rehabilitation / Improvement of Various Infrastructure including Local Projects - Flood Control and Drainage - Drainage / Protection Works - Constructi</t>
  </si>
  <si>
    <t>20AC0053 - Construction of Tamurong Seawall, Brgy. Tamurong, Sta. Catalina, Ilocos Sur</t>
  </si>
  <si>
    <t>UPLB-RQ-3-111-20-I SUPPLY AND DELIVERY OF CONSTRUCTION PROJECTS FOR OC</t>
  </si>
  <si>
    <t>Construction and/or Repair/Rehabilitation of  Multi Purpose Building,Brgy. 7, Bagumbayan, Paete, Laguna</t>
  </si>
  <si>
    <t>Supply and Delivery of Assorted Food Supplies, Paper Cups and Other Non-Food Supplies for VIP Bar (Lot 1)</t>
  </si>
  <si>
    <t>UPLB-S-031-03-20, SUPPLY AND DELIVERY OF BRANDED AND BRAND NEW INFORMATION TECHNOLOGY PARTS, ACCESSORIES AND PERIPHERALS</t>
  </si>
  <si>
    <t>20DQ0093 - LOCAL PROGRAM – Construction / Repair / Rehabilitation / Improvement of Various Infrastructure including Local Projects – Local Roads and Bridges – Local Bridges – Construction of Bridge Cr</t>
  </si>
  <si>
    <t>20OH0147-Local Program – Construction/Repair/Rehabilitation/Improvement of Various Infrastructure Including Local Projects – Local Roads and Bridges -  Local Roads – Improvement/Upgrading of Roads and</t>
  </si>
  <si>
    <t>20DQ0094 - LOCAL PROGRAM – Local Infrastructure Program – Local Roads and Bridges - Local Roads – Asphalt Overlay, Barangay Iba, Silang, Cavite and Widening of Congressional Avenue, GMA, Cavite</t>
  </si>
  <si>
    <t>Construction and/or Repair/Rehabilitation of  Multi Purpose Building, Brgy. Magdalena, Magdalena, Laguna</t>
  </si>
  <si>
    <t>HO-PIB20-006 - Repair of Dike / Seawall and Repair / Restoration of CHB Perimeter Fence of NPC Property at BO. Obrero, Iloilo City</t>
  </si>
  <si>
    <t>20OH0146-Local Program - Local Infrastructure Program - Buildings And Other Structures - Multipurpose / Facilities - Rehabilitation of Multi-purpose Building/Facilities (Reducto de San Pedro) Intramur</t>
  </si>
  <si>
    <t>R4-INFRA2020-01-004 Construction of 1-Unit Materials Recovery Facility (MRF) &amp; 1-Unit, 2-Classroom Day Care Center, Package 1 located at Southville 9 Housing Project - Phase 4, Brgy. Pinugay, Baras, R</t>
  </si>
  <si>
    <t>Supply of various ICT Equipment</t>
  </si>
  <si>
    <t>20DQ0095 - LOCAL PROGRAM – Construction / Repair / Rehabilitation / Improvement of Various Infrastructure including Local Projects – National Roads and Bridges – National Roads – Widening of Aguinaldo</t>
  </si>
  <si>
    <t>Supply of Manpower,  Supervision and Tools for the FAB Facility and Infrastructure Maintenance Operations</t>
  </si>
  <si>
    <t>S3-SIB20-002 - Renovation of Powerhouse and Facilities Improvements for Sibutu Diesel Power Plant</t>
  </si>
  <si>
    <t>20NG0084/REHABILITATION/RECONSTRUCTION OF  NATIONAL ROADS WITH SLIPS, SLOPE COLLAPSE AND LANDSLIDE, SURIGAO-DAVAO COASTAL ROAD, WANGKE SECTION/  BRGY. WANGKE, CLAVER, SURIGAO DEL NORTE, K1183+670 - K1</t>
  </si>
  <si>
    <t>Contract ID No. 20FA0047: CLUSTER 26 WIDENING AND CONCRETING OF BANAO-BICAL ROAD, BACACAY AND STO. DOMINGO, ALBAY AND REHABILITATION OF PAWA-TULIW-LABNIG-ESTANCIA-PARAPUTO ROAD, MALINAO AND TABACO CIT</t>
  </si>
  <si>
    <t xml:space="preserve">20DQ0097 - LOCAL PROGRAM – Construction / Repair / Rehabilitation / Improvement of Various Infrastructure including Local Projects – Flood Control and Drainage – Flood Control Structures/Facilities – </t>
  </si>
  <si>
    <t>R4-INFRA2020-01-003 Construction of 1-Unit Multi-Purpose Livelihood and Training Center located at Southville 8B Housing Project - Phase 2, Brgy. San Isidro, Rodriguez, Rizal</t>
  </si>
  <si>
    <t>Construction and/or Repair/Rehabilitation of  Multi Purpose Building, Brgy. San Antonio, Pila, Laguna</t>
  </si>
  <si>
    <t xml:space="preserve">20DQ0096 - LOCAL PROGRAM – Construction / Repair / Rehabilitation / Improvement of Various Infrastructure including Local Projects – Flood Control and Drainage – Flood Control Structures/Facilities – </t>
  </si>
  <si>
    <t>Contract ID No. 20FA0048: CLUSTER 27 CONSTRUCTION OF WATER SYSTEM IN THE FIRST DISTRICT OF ALBAY</t>
  </si>
  <si>
    <t>Procurement of supply and delivery of NSIC Approved OPV Yellow Corn Seed</t>
  </si>
  <si>
    <t>UPLB-S-044-03-20, SUPPLY, DELIVERY AND INSTALLATION OF BRANDED AND BRAND NEW VARIOUS LABORATORY EQUIPMENT</t>
  </si>
  <si>
    <t>20GO0038 - WIDENING/IMPROVEMENT/ UPGRADING OF HONORATA MANALO (BURI ROAD), BRGY. MANDALAGAN , BACOLOD CITY</t>
  </si>
  <si>
    <t>20AC0052 - Improvement of Vigan - Bantay Bypass Road, Brgy. Nagsangalan, Vigan City, Ilocos Sur</t>
  </si>
  <si>
    <t>20NG0085/CONSTRUCTION (COMPLETION) OF MULTI-PURPOSE BUILDING/  BRGY. CAGNIOG, SURIGAO CITY, SURIGAO DEL NORTE</t>
  </si>
  <si>
    <t>Security Services (13 Security Guards for 9 months) to safeguard and protect SPCWD Main Building, Branch Office, SPCWD Complex and Water Sources for the period April 1, 2020 to December 31, 2020</t>
  </si>
  <si>
    <t>Supply and Delivery of Customized School Packages for Grade 3 Students</t>
  </si>
  <si>
    <t>Procurement of Veterinary Products for Deworming, Vaccination of Large &amp; Small Animals, Anti-Rabies vaccination for Dogs and Cats and to Treat Diseases of Animals.</t>
  </si>
  <si>
    <t>PB-Supply, Delivery, Installation, Testing and Commissioning of Airconditioning Units at Psychiatry Department (1 Lot)(ITB No. 2020-09)</t>
  </si>
  <si>
    <t>Supply and Delivery of Customized School Packages for Daycare Students</t>
  </si>
  <si>
    <t>Supply and Delivery of Customized School Packages for Grade 5-6 Students</t>
  </si>
  <si>
    <t>Supply and Delivery of Customized School Packages for Grade 1-2 Students</t>
  </si>
  <si>
    <t>Purchase of 0ne (1) unit medical X-ray machine</t>
  </si>
  <si>
    <t>Supply and Delivery of Customized School Packages for Grade 7-9 Students</t>
  </si>
  <si>
    <t>20-005-02 ALPHA " SUPPLY, DELIVERY &amp; INSTALLATION OF BACK-UP GENERATOR SET 3P, 750KVA, 460V AND ACCESSORIES AT CENTRAL OFFICE"</t>
  </si>
  <si>
    <t>Supply, Delivery and Installation of Attendance Capturing Machines under ITB No. PB20-01-017COR</t>
  </si>
  <si>
    <t>Supply and Delivery of Customized School Packages for Kindergarten Students</t>
  </si>
  <si>
    <t>Supply and Delivery of Customized School Packages for Grade 10-12 Students</t>
  </si>
  <si>
    <t>Security Services for NPC</t>
  </si>
  <si>
    <t>Contract ID No. 19CSK00049 – Consultancy Services for the Conduct of Feasibility Study for Misamis Occidental Economic Zone Diversion Road (ReXPRIP-29), Misamis Occidental 1st and 2nd Legislative Dist</t>
  </si>
  <si>
    <t>Supply and Delivery of Customized School Packages for Grade 4 Students</t>
  </si>
  <si>
    <t>Contract ID No. 19CSK00048 – Consultancy Services for the Conduct of Feasibility Study for Tubod-Kapatagan Bypass Road, Sapad-Pualas Road, Kauswagan-Poona Piagapo-Marantao Road, Balo-i Bypass Road, (R</t>
  </si>
  <si>
    <t>Supply and Delivery of Customized School Uniform for Daycare Students</t>
  </si>
  <si>
    <t>Procurement of Student Personal Accident Insurance AY 2020-2021</t>
  </si>
  <si>
    <t>Supply and Delivery of Customized School Uniform for Kindergarten Students</t>
  </si>
  <si>
    <t>UPLB-IF-014-03-20 IMPROVEMENT OF ACCOUNTING OFFICE, A.G. SAMONTE HALL BUILDING, UPLB, COLLEGE, LAGUNA</t>
  </si>
  <si>
    <t>Supply and Delivery of Customized School Uniform for Grade 9-10 Students</t>
  </si>
  <si>
    <t>Supply and Delivery of Assistive Devices</t>
  </si>
  <si>
    <t>Supply and Delivery of Customized School Uniform for Senior High School Students</t>
  </si>
  <si>
    <t>20NG0082/REHABILITATION/RECONSTRUCTION OF  NATIONAL ROADS WITH SLIPS, SLOPE COLLAPSE AND LANDSLIDE, SURIGAO-DAVAO COASTAL ROAD, CABUGO SECTION/  BRGY. CABUGO, CLAVER, SURIGAO DEL NORTE, K1183+947 - K1</t>
  </si>
  <si>
    <t>Construction of Community Fish Landing at Poblacion 1, Cotabato City (Phase 1)</t>
  </si>
  <si>
    <t>Supply and delivery of one (1) lot Various COMPUTER SUPPLIES - 1st Qtr 2020</t>
  </si>
  <si>
    <t>Supply and Delivery of Customized School Uniform for Grade 3-4 Students</t>
  </si>
  <si>
    <t>Q-048-20 PROCUREMENT OF KITCHEN EQUIPMENT</t>
  </si>
  <si>
    <t>Supply, Installation, Testing and Commissioning, and Maintenance of Elevators of the Proposed 23-Storey PSA Building with Roof Deck</t>
  </si>
  <si>
    <t>Q-046-20 PROCUREMENT OF MINI-DUMP TRUCK (WASTE DISPOSAL VEHICLE)</t>
  </si>
  <si>
    <t>Supply and Delivery of Customized School Uniform for Grade 5-6 Students</t>
  </si>
  <si>
    <t>Supply and Delivery of Customized School Uniform for Grade 1-2 Students</t>
  </si>
  <si>
    <t>Supply and Delivery of Customized School Uniform for Grade 7-8 Students</t>
  </si>
  <si>
    <t>Supply and delivery of one (1) unit Rapid Damage Assessment and Needs Analysis (RDANA) Vehicle</t>
  </si>
  <si>
    <t>Fabrication Laboratory Equipment for RDC</t>
  </si>
  <si>
    <t>Procurement for the Repair of Classrooms at Lanao del Norte Provincial Science and Technology High School under CY 2020 BEFF - Lot 6 (Rebid)</t>
  </si>
  <si>
    <t>Procurement of Tourism Destination Marketing Company for Middle East/Gulf Cooperation Council</t>
  </si>
  <si>
    <t>19CSZ029 - CONSULTING SERVICES FOR THE DETAILED ENGINEERING DESIGN OF METRO CEBU FLOOD CONTROL PROJECTS</t>
  </si>
  <si>
    <t>SUPPLY AND DELIVERY OF CAMSHAFT AND GUIDE FOR 160KW FG WILSON, MODEL NO: 1606A-E93TAG4; ENGINE SERIAL NO. WU5629N3346857 FOR CAPUL DPP</t>
  </si>
  <si>
    <t>Q-047-20 PROCUREMENT OF PASSENGER VAN (EMERGENCY EVACUATION VEHICLE)</t>
  </si>
  <si>
    <t>SUPPLY AND DELIVERY OF RADIATOR AND STARTER MOTOR FOR 100KW PERKINS; MODEL NO. 1006-TAG, ENGINE TYPE: 2330/1500; SERIAL NO.; YB37574 FOR ALMAGRO DPP</t>
  </si>
  <si>
    <t>S1-SID20-001 (PB2) - Supply and Delivery of Mechanical Spare Parts for 3 x 600kW Cummins Diesel Engine Model KTA38-G1 of Sibuyan DPP</t>
  </si>
  <si>
    <t>uplb-rq-2-057-20 goods (Appliances for ICROPS-CPMD)</t>
  </si>
  <si>
    <t>20BG0116-Repair of Overflow Bridge in Turod-Banquero, Reina Mercedes, Isabela</t>
  </si>
  <si>
    <t>UPLB-RES-024-03-20  SUPPLY AND DELIVERY OF BRANDED AND BRAND NEW APPLIANCES FOR IHNF</t>
  </si>
  <si>
    <t>Supply and delivery of one (1) unit RESCUE AMBULANCE, customized and equipped with accessories</t>
  </si>
  <si>
    <t>20BK0129  Water Distribution System for Cabarroguis and Diffun,  Quirino</t>
  </si>
  <si>
    <t>20BK0130  Water Distribution System for Maddela,  Quirino</t>
  </si>
  <si>
    <t>CP 2020-33 BIDDING FOR THE SUPPLY AND DELIVERY OF ONE (1) UNIT SERVICE VEHICLE C/O DEPED</t>
  </si>
  <si>
    <t>SUPPLY AND DELIVERY OF VARIOUS MECHANICAL SPARES FOR 80KW FG WILSON GENSET, MODEL NO. P165-5, SERIAL NO. FGWPEPGTHPC00548, DESIGNATION: 1106A-70TAG2 FOR BATAG DPP</t>
  </si>
  <si>
    <t>20NG0083/REHABILITATION/RECONSTRUCTION OF  NATIONAL ROADS WITH SLIPS, SLOPE COLLAPSE AND LANDSLIDE, SURIGAO-DAVAO COASTAL ROAD, HINATIGAN SECTION/  BGRY. HINATIGAN, BACUAG, SURIGAO DEL NORTE, K1160+31</t>
  </si>
  <si>
    <t>Purchase of two (2) units solar submersible pump</t>
  </si>
  <si>
    <t>20NG0080 - REHABILITATION/ RECONSTRUCTION OF NATIONAL ROADS WITH SLIPS, SLOPE COLLAPSE AND LANDSLIDE, SURIGAO-DAVAO COASTAL ROAD CAGDIANAO SECTION/ BRGY. CAGDIANAO, CLAVER, SURIGAO DEL NORTE K1195+867</t>
  </si>
  <si>
    <t>Ref. No. 2020-002 Procurement of Additional Fully Developed Lots and Completed Housing Units Under NHA's Yolanda Permanent Housing Program - Tabontabon, Leyte</t>
  </si>
  <si>
    <t>Supply and Delivery of 13,590 Bottles of Five (5)-Gallon Purified Drinking Water under ITB no. PB20-02-003MAL</t>
  </si>
  <si>
    <t>purchase one (1) unit brand new Garbage truck</t>
  </si>
  <si>
    <t>UPLB-RES-025-03-20  SUPPLY AND DELIVERY OF BRANDED AND BRAND NEW LABORATORY AND SCIENTIFIC EQUIPMENT FOR IHNF</t>
  </si>
  <si>
    <t>SUPPLY AND DELIVERY OF VARIOUS MECHANICAL SPARE PARTS FOR 163KW DALE/PERKINS; ENGINE NO: 8B27396U87734V; DESIGNATION: 2006-TGI INTENDED FOR ALMAGRO DIESEL POWER PLANT</t>
  </si>
  <si>
    <t>Procurement and Delivery of ICT Equipment</t>
  </si>
  <si>
    <t>UPLB-RES-026-03-20  PROCUREMENT OF DIAGNOSTIC AND LABORATORY SERVICES FOR BIOTECH</t>
  </si>
  <si>
    <t>20HD0089 - Repair/Maintenance including Road Slips, Sitio Anapog, Brgy. Tinubdan, Daanbantayan, Cebu</t>
  </si>
  <si>
    <t>Ref. No. 2020-007 Procurement of Additional Fully Developed Lots and Completed Housing Units Under NHA's Yolanda Permanent Housing Program - Batad, Iloilo</t>
  </si>
  <si>
    <t>CONSTRUCTION OF DEL GALLEGO FIRE STATION, CAMARINES SUR</t>
  </si>
  <si>
    <t>CONSTRUCTION OF SIPOCOT FIRE STATION, CAMARINES SUR</t>
  </si>
  <si>
    <t>Ref. No. 2020-005 Procurement of Additional Fully Developed Lots and Completed Housing Units Under NHA's Yolanda Permanent Housing Program - Kawayan, Biliran</t>
  </si>
  <si>
    <t>Procurement of Various Library Books  for ULRC and COM (Re-bidding)</t>
  </si>
  <si>
    <t>INVITATION TO BID to the 4th Public Bidding of the Procurement for the Site Development Works for the NDC Industrial Estate (NDCIE)Project in Brgy. Langkaan, Dasmariñas City, Cavite</t>
  </si>
  <si>
    <t>CONSTRUCTION OF GOA FIRE STATION, CAMARINES SUR</t>
  </si>
  <si>
    <t>Supply and Delivery of Two (2) Lots Food Supplies for VIP Bar-Cooked, Canned and Processed Food Items</t>
  </si>
  <si>
    <t>Ref. No. 2020-004 Procurement of Additional Fully Developed Lots and Completed Housing Units Under NHA's Yolanda Permanent Housing Program - Burauen, Leyte</t>
  </si>
  <si>
    <t>Borehole Drilling and Geotechnical Analysis in 3 Sites in Luzon, Visayas and Mindanao</t>
  </si>
  <si>
    <t>Supply and delivery of Air Conditioning Unit in Mamburao, Occidental Mindoro</t>
  </si>
  <si>
    <t>Supply and Delivery of Microsoft Office Home and Business for Installation in the Computers with Installed Ubuntu Operating System in the Main and Field Offices of the Commission – 2nd Bidding</t>
  </si>
  <si>
    <t>Soil/Geotechnical Investigation  For the Proposed Construction of Various Flood Control Structures Within 5th and 6th Legislative District of Pangasinan</t>
  </si>
  <si>
    <t>PR# 19-2645- Consolidated Computer Supplies  (Re-bidding)</t>
  </si>
  <si>
    <t>(20NH0072)Upgrading of Water System of Brgy. Britania and Brgy. Salvacion, San Agustin, Surigao del Sur</t>
  </si>
  <si>
    <t>20CG0119 - Local Infrastructure Program: Multipurpose/ Facilities – Construction of Multi-Purpose Building, Brgy Alasas, San Fernando City, Pampanga</t>
  </si>
  <si>
    <t>SO-OPD20-005 (PB2) - Eight (8) Units of Modular Diesel Generating Sets and Electrical Equipment for Panay and Agutaya SPUG Areas under Schedule IID</t>
  </si>
  <si>
    <t>Ref. No. 2020-003 Procurement of Additional Fully Developed Lots and Completed Housing Units Under NHA's Yolanda Permanent Housing Program - Leyte, Leyte</t>
  </si>
  <si>
    <t>CONSTRUCTION OF BARCELONA FIRE STATION, SORSOGON</t>
  </si>
  <si>
    <t>S3-PPP20-001 (PB2) - Construction of Operator's Quarter and Rain Water Collector for Pangutaran DPP, Pangutaran, Sulu</t>
  </si>
  <si>
    <t>20CG0118 - Local Infrastructure Program: Local Roads – Construction of Road, Candaba, Pampanga</t>
  </si>
  <si>
    <t>Procurement of MPLS IPVPN Wide Area Network Connectivity for PAGCOR Branches and Satellites for a period of Two (2) Years</t>
  </si>
  <si>
    <t>Supply and Delivery of 5,000 Rounds Cartridge, 30mm HEI Ammunition</t>
  </si>
  <si>
    <t>ITB-GS-20200204-01 - 1 Lot Supply, Delivery &amp; Installation of Signage, ATM Acrylic Frame Panels, Glass Panel Stickers, Rehabilitation of ATM Sunshade, Dismantling of Existing Signage &amp; Removal of Exis</t>
  </si>
  <si>
    <t>Invitation to Bid for the Procurement of Disaster Recovery Site (Cloud)</t>
  </si>
  <si>
    <t>UPLB-S-039-03-20, SUPPLY, DELIVERY AND INSTALLATION OF BRANDED AND BRAND NEW VARIOUS APPLIANCES</t>
  </si>
  <si>
    <t>UPLB-S-038-03-20, SUPPLY AND DELIVERY OF BRANDED AND BRAND NEW VARIOUS WINDOW TYPE AIRCONDITIONING UNITS</t>
  </si>
  <si>
    <t>Pag-IBIG Fund CHQ (Supply and Delivery of Five (5) Units Sports Utility Vehicle (SUV) – (Rebidding))</t>
  </si>
  <si>
    <t>UPLB-S-033-03-20, SUPPLY, DELIVERY AND INSTALLATION OF BRANDED AND BRAND NEW AUDIO VISUAL EQUIPMENT</t>
  </si>
  <si>
    <t>Supply and Delivery of 3,000 Rounds Cartridge, 40mm HE Ammunition</t>
  </si>
  <si>
    <t>UPLB-S-037-03-20, SUPPLY AND DELIVERY OF BRANDED AND BRAND NEW VARIOUS AGRICULTURAL MACHINERY AND EQUIPMENT</t>
  </si>
  <si>
    <t>Improvement of Service Road Along Conveyance Canal</t>
  </si>
  <si>
    <t>Supply and Delivery of 300,000 rounds of Cartridge Cal .50 linked and Cartridge 30,000 rounds of Cal .50 Match Ammunition</t>
  </si>
  <si>
    <t>UPLB-S-032-03-20, PROCUREMENT FOR REHABILITATION/UPGRADE OF INTERNET CONNECTION FOR VARIOUS OFFICES</t>
  </si>
  <si>
    <t>UPLB-S-034-03-20, SUPPLY AND DELIVERY OF BRANDED AND BRAND NEW VARIOUS OFFICE EQUIPMENT</t>
  </si>
  <si>
    <t>Improvement of San Miguel Main Canal (SMMC) and Construction of Railings</t>
  </si>
  <si>
    <t>LOT 1 - Supply and Delivery of Construction/ Hardware Materials  - ITB No. PB20-02-030COR</t>
  </si>
  <si>
    <t>Construction of Multi Purpose Building (Covered Court), Brgy. Munting Ambling, Magdalena, Laguna</t>
  </si>
  <si>
    <t>Construction and/or Repair/Rehabilitation of  Multi Purpose Building, Brgy. San Miguel, Majayjay, Laguna</t>
  </si>
  <si>
    <t>Structural Assessment Investigation and Retrofitting Designs for the Existing Building of Philippine General Hospital, University of the Philippines Manila</t>
  </si>
  <si>
    <t>Construction and/or Repair/Rehabilitation of  Multi Purpose Building, Brgy. Bagoong Pook, Sta. Maria, Laguna</t>
  </si>
  <si>
    <t>HO-PIG20-004 (SO-OPD19-005) (PB3) - Supply, Delivery, Installation, Test and Commissioning of Eight (8) Units of 50KW Modular Diesel Gensets, Associated Electrical Equipment and Balance of Plant for D</t>
  </si>
  <si>
    <t>LOT 6 - Supply and Delivery of Upholstery Materials - ITB No. PB20-02-030COR</t>
  </si>
  <si>
    <t>Supply of Materials/Parts for the SMI and ARAS of NAW Units (NV310, NV311, NV312, NV314 &amp; NV320)</t>
  </si>
  <si>
    <t>LOT 5 - Supply and Delivery of Painting Materials - ITB No. PB20-02-030COR</t>
  </si>
  <si>
    <t>HO-PIB20-008 - Rehabilitation/Improvement of Mooring Facility at BO. OBRERO, ILOILO CITY</t>
  </si>
  <si>
    <t>SO-OPD20-002 (PB2) - Thirty-One (31) Units of Modular Diesel Generating Sets and Electrical Equipment for Samar SPUG Areas under Schedule IIA</t>
  </si>
  <si>
    <t>Construction and/or Repair/Rehabilitation of  Multi Purpose Building, Brgy. Sulib, Pangil, Laguna</t>
  </si>
  <si>
    <t>UPLB-CSLT-001-03-20 DETAILED ARCHITECTURAL AND ENGINEERING DESIGN (DAED) OF THE PROPOSED PILOT PLANT AND SCREENHOUSES FOR BIOFERTILIZERS, BIOSTIMULANTS AND BIOPESTICIDES AT BIOTECH-UPLB</t>
  </si>
  <si>
    <t>Construction of Multi Purpose Building, Pook Elementary School, Brgy. Pook, Pila, Laguna</t>
  </si>
  <si>
    <t>Supply of Materials Parts for the SMI and ARAS of NAW Units (NV390, NV392, NV393, NV394 &amp; NV395)</t>
  </si>
  <si>
    <t>LOT 4 - Supply and Delivery of Lumber Materials  - ITB No. PB20-02-030COR</t>
  </si>
  <si>
    <t>HO-PIG20-002 (PB3) - Seven (7) Units of Modular Diesel Gensets and Associated Electrical Equipment for Three (3) Areas of Barangay Power Association (BAPA) in Palawan</t>
  </si>
  <si>
    <t>UPLB-CSLT-002-03-20 DETAILED ARCHITECTURAL AND ENGINEERING DESIGN (DAED) OF THE PROPOSED CONSTRUCTION OF THE ELECTRICAL ENGINEERING BUILDING PHASE 2.</t>
  </si>
  <si>
    <t>LOT 2 - Supply and Delivery of Electrical/ Lighting Materials  - ITB No. PB20-02-030COR</t>
  </si>
  <si>
    <t>Procurement of Various IT Supplies and Equipment (BAC 2020-012)</t>
  </si>
  <si>
    <t>LOT 3 - Supply and Delivery of Plumbing Materials  - ITB No. PB20-02-030COR</t>
  </si>
  <si>
    <t>Supply and Delivery of Sheet Fed Scanners for the Document Management System (DMS) Project of the Commission</t>
  </si>
  <si>
    <t>SUPPLY AND DELIVERY OF VARIOUS OFFICE FURNITURE ( 2020-02-0013)</t>
  </si>
  <si>
    <t>Supply and Delivery of Printer Toner Cartridges for Replenishment of Stocks for 1st Quarter FY 2020</t>
  </si>
  <si>
    <t>Repair and Rehabilitation of CCTV Cameras</t>
  </si>
  <si>
    <t>One Job Order for the Supply and Delivery of Immunoassay Test kits and Consumables with free use of One (1) Unit Fully Automated Chemiluminescent Immunoassay (CLIA) Analyzer (BAC 2020-019)</t>
  </si>
  <si>
    <t>One Job Order for the Supply and Delivery of Rapid Quantitative Fluorescence Immunochromatographic Assay Test kits and Consumables with free use of One (1) Unit Fluorescence Immunochromatographic Anal</t>
  </si>
  <si>
    <t>PROCUREMENT OF VARIOUS LABORATORY SUPPLIES (BAC 2020-016)</t>
  </si>
  <si>
    <t>One Job Order for the Supply and Delivery of ABG Reagent Kits with Free Use of One (1) Unit ABG Analyzer for a Period of One (1) Year (BAC 2020-015)</t>
  </si>
  <si>
    <t>Procurement of Various Office Supplies (BAC 2020-018)</t>
  </si>
  <si>
    <t>20HN0104 -LP: Local Infrastructure Program -Local Roads and Bridges – Local Bridges - Widening/Retrofitting of Opao Bridge, Mandaue City (Modified to: Widening of Opao Bridge, Mandaue City)</t>
  </si>
  <si>
    <t>UPLB-S-030-03-20, PROCUREMENT OF SIPHONING SERVICES OF SEPTIC TANKS FOR UPLB DORMITORIES (NEW DORMITORY, VETMED DORMITORY, FORESTRY RESIDENCE HALL, NEW FORESTRY RESIDENCE HALL)</t>
  </si>
  <si>
    <t>BulSU Technical assistance for ISO 9001:2015 QMS Surveillance Audit 2020-2022</t>
  </si>
  <si>
    <t>73519 - Supply and Delivery of Assorted Cast Iron &amp; Ductile Iron Fittings and Gate Valves in Various Sizes</t>
  </si>
  <si>
    <t>Supply and delivery of one (1) lot Various OFFICE EQUIPMENT (1st Qtr 2020)</t>
  </si>
  <si>
    <t>73516 - Supply and Delivery of Assorted Galvanized Iron (GI) Pipes and Fittings in Various Sizes</t>
  </si>
  <si>
    <t>Supply and delivery of  10,000 sets DAYCARE P.E. UNIFORMS</t>
  </si>
  <si>
    <t>Lot 2 - Supply and Delivery of Painting Materials</t>
  </si>
  <si>
    <t>73520 - Supply and Delivery of uPVC Pipes of Various Sizes</t>
  </si>
  <si>
    <t>73515 - Supply and Delivery of Brass Fittings and Valves in Various Types and Sizes</t>
  </si>
  <si>
    <t>Lot 1- Supply and Delivery of Construction/Hardware Materials</t>
  </si>
  <si>
    <t>Consultancy Services for Feasibility Study, Pre-Engineering and Detailed Engineering Design of Farm to Market Road Project Phase II (Range from 9 to 10.5 kms)at Barangay Jaybanga, Apar and San Nicolas</t>
  </si>
  <si>
    <t>Contract I.D. No. 20OE0114 - Rehabilitation of School Building at Gen. Licerio Geronimo School, Barangay 412, Manila</t>
  </si>
  <si>
    <t>20JD0100 - Construction of Water Supply System Level III Barangay Sulangon-Barangay Burgos Dapitan City, Zamboanga del Norte</t>
  </si>
  <si>
    <t>Contract I.D. No. 20OE0108 - Rehabilitation of School Building at P. Burgos Elementary School, Barangay 581, Manila</t>
  </si>
  <si>
    <t>Contract ID No. 19CSK00042 - Soil Testing/ Exploration for Bridge Projects-Geotechnical Investigation of the Construction of By-Pass and Diversion Roads, Puerto-Claveria By-Pass Road, Package 5, Misam</t>
  </si>
  <si>
    <t>Contract ID No. 20K00283 - Construction of Multi-Purpose Building, Brgy. Gadongan, Ditsaan-Ramain, Patani, Marawi City, Lanao del Sur</t>
  </si>
  <si>
    <t>One (1) Lot – Upgrading of Gates of BSP Tacloban Branch Office, as per BSP Terms of Reference</t>
  </si>
  <si>
    <t>Contract ID No. 19CSK00044 - Soil Testing/ Exploration for Bridge Projects-Geotechnical Investigation for the Construction of By-Pass and Diversion Roads, Eastern Interior By-Pass Road (Gusa Puerto/ J</t>
  </si>
  <si>
    <t>Lot 3 - 3	Supply and Delivery of Upholstery Materials</t>
  </si>
  <si>
    <t>Contract ID No. 19CSK00043 - Soil Testing/ Exploration for Bridge Projects-Geotechnical Investigation for the Construction of By-Pass and Diversion Roads, CDO-New Western Diversion Road, (Canito-an-Ca</t>
  </si>
  <si>
    <t>Supply and Delivery of 5,000 Rounds Cartridge, 40mm HE</t>
  </si>
  <si>
    <t>Supply and Delivery of 5,000 pcs Grenade, Hand Fragmentation, 3,500 pcs Grenade Hand Flash Bang and Various Demolition Materials;</t>
  </si>
  <si>
    <t>20JD0094 - Construction of Water System Level II Barangay Owaon, Dapitan City Zamboanga del Norte</t>
  </si>
  <si>
    <t>Gloves Orthopedic</t>
  </si>
  <si>
    <t>Bandage, Elastic</t>
  </si>
  <si>
    <t>Construction of Drainage Facility</t>
  </si>
  <si>
    <t>Bottle, glass with rubber cover</t>
  </si>
  <si>
    <t>1 Lot Provision of Labor, Materials and Equipment for the Construction of Tanod OutPost at Brgy. Anibongon, Abuyog, Leyte. ABC PHP360,751.39</t>
  </si>
  <si>
    <t>ITB-GS-20190807-01 - Supply, Delivery and Installation of Digital Corner Counter at Various LANDBANK Offices</t>
  </si>
  <si>
    <t>20HN0097 -LP: Construction/Repair/ Rehabilitation/Improvement of Various Infrastructure including Local Projects - Local Roads and Bridges - Local Roads - Construction of Diversion Road, Brgy. Garing,</t>
  </si>
  <si>
    <t>Anesthesia Flex Mask</t>
  </si>
  <si>
    <t>Airway Oropharyngeal guide</t>
  </si>
  <si>
    <t>Network Development – Road Widening – Primary Roads, Manila North Road, K0087+701 – K0089+402, K0090+854 – K0091+104, Mabalacat City, Pampanga</t>
  </si>
  <si>
    <t>Cervical Collar</t>
  </si>
  <si>
    <t>Contract I.D. No. 20OE0193 - Improvement of Multi – Purpose Facilities, Brgy. 617, Manila City</t>
  </si>
  <si>
    <t>Procurement of supply and delivery of services for equipment calibration</t>
  </si>
  <si>
    <t>Contract I.D. No. 20OE0192 - Construction of Multi – Purpose Building at the Department of Social Welfare and Development – National Cpital Region, Manila</t>
  </si>
  <si>
    <t>Construction of Multi – Purpose Building  (Auditorium Phase I), Brgy. Poblacion, San Agustin, Romblon</t>
  </si>
  <si>
    <t>Contract I.D. No. 20OE0189 - Rehabilitation of Multi – Purpose Building, Brgy 636, Sta. Mesa, Manila</t>
  </si>
  <si>
    <t>Needle &amp; Blade</t>
  </si>
  <si>
    <t>Contract I.D. No. 20OE0194 - Construction of Multi – Purpose Buildings ( Daycare Centers), Manila City</t>
  </si>
  <si>
    <t>Cast Polyester</t>
  </si>
  <si>
    <t>Contract I.D. No. 20OE0188 - Rehabilitation of Multi – Purpose Building (Bacood Health Center), Manila</t>
  </si>
  <si>
    <t>Breathing Circuit</t>
  </si>
  <si>
    <t>Cooler box/ice chest with wheels</t>
  </si>
  <si>
    <t>Procurement of supply and delivery of various NSIC Approved Seed</t>
  </si>
  <si>
    <t xml:space="preserve">20A00152: Construction/ Repair/ Rehabilitation/ Improvement of Various Infrastructure including Local Projects - Construction of Riverbank Protection along Agno River Basin at Brgy. Panacol, Aguilar, </t>
  </si>
  <si>
    <t>One (1) Lot Structural Engineering Consultancy Services for the Proposed Structural Audit and Retrofitting Design of the Buildings in BSP Cebu and Davao Regional Offices, as per BSP Terms of Reference</t>
  </si>
  <si>
    <t>Cautery Tip Cleaner</t>
  </si>
  <si>
    <t>Contract I.D. No. 20OE0187 - Preventive Maintenance – Secondary Roads – Plaza Sta. Cruz – (S02423LZ) (FLR) Chainage 000 – Chainage 104, Manila City</t>
  </si>
  <si>
    <t>Contract I.D. No. 20OE0185 - Construction of Multi-Purpose Building (Rizal Covered Court), City of Manila</t>
  </si>
  <si>
    <t>20NG0060 - REHABILITATION/RECONSTRUCTION OF NATIONAL ROADS WITH SLIPS, SLOPE COLLAPSE AND LANDSLIDE, SURIGAO-DAVAO COASTAL ROAD, HAYANGGABON SECTION/BRGY. HAYANGGABON, CLAVER, SURIGAO DEL NORTE, K1195</t>
  </si>
  <si>
    <t>INVITATION TO BID  FOR THE CONSTRUCTION OF 4-STOREY W/ ROOF DECK ACADEMIC BUILDING (PHASE II-STRUCTURE)</t>
  </si>
  <si>
    <t>Stylet, Pedia</t>
  </si>
  <si>
    <t>Contract I.D. No. 20OE0191 - Rehabilitation / Reconstruction / Improvement of Multi – Purpose Building, Patricia Paraiso Complex, Brgy. 177, Tondo, Manila</t>
  </si>
  <si>
    <t>Contract ID No. 20K00247 - Construction of Flood Control Structure, Brgy. Balangas, Picong, Lanao del Sur</t>
  </si>
  <si>
    <t>Contract I.D. No. 20OE0190 - Continuation of Multi – Purpose Building, Brgy. 259, Tondo, Manila</t>
  </si>
  <si>
    <t>Contract I.D. No. 20OE0166 - Construction of 3 Storey Multi – purpose Building, Brgy. 282, Manila</t>
  </si>
  <si>
    <t>Contract ID No. 20FA0040: CLUSTER 22 - REHABILITATION/CONSTRUCTION/IMPROVEMENT OF VARIOUS RIVER CONTROL AT STO. DOMINGO, MALINAO AND MALILIPOT, ALBAY</t>
  </si>
  <si>
    <t>Contract I.D. No. 20OE0173 - Rehabilitation / Reconstruction / Improvement of Multi-purpose Building, Brgy. 152, Tondo, Manila</t>
  </si>
  <si>
    <t>20OH0121-Local Program - Local Infrastructure Program - Flood Control and Drainage - Drainage / Protection Works - Drainage and Protection Works at Estero Tripa de Gallina – Maricaban Creek, Pasay Cit</t>
  </si>
  <si>
    <t>20L00119 : Construction of Concrete Road-Bypass Road, Jct. Babak-Samal-Kaputian Road-Brgy.San Antonio-Tagpopongan, IGACOS Circumferential Road, Island Garden City of Samal, Davao del Norte</t>
  </si>
  <si>
    <t>Contract I.D. No. 20OE0195 - Re – Development of Estero de Binondo, Dasmariñas St., Brgy. 282, Zone 26, District 3, Manila</t>
  </si>
  <si>
    <t>Catheter Umbilical FR 4.0</t>
  </si>
  <si>
    <t>73898 - Construction of Warehouse with Two Level Office Space and Mezzanine Floor</t>
  </si>
  <si>
    <t>20HD0084 - Improvement/Concreting of Road at Sitio Lib-og, Brgy. Guadalupe, Bogo City to Brgy. Salag, Tabogon, Cebu</t>
  </si>
  <si>
    <t>20L00108 : Construction of Concrete Road-NHJ Dawan-Mamali-Macambol-Magum-Cabuaya Road, Mati City, Package 2, Davao Oriental</t>
  </si>
  <si>
    <t>Colostomy Paste</t>
  </si>
  <si>
    <t>20A00158: Local Infrastructure Program - Construction of Slope Protection Works along Pangasinan - Nueva Vizcaya Road K0224+680 - K0224+920, San Nicolas, Pangasinan</t>
  </si>
  <si>
    <t>Contract ID: 20KH0029 Asset Preservation – Construction/Upgrading/Rehabilitation of Drainage along National Roads – Primary Roads – Butuan City – Cagayan de Oro City – Iligan City Road – K1439+700-K14</t>
  </si>
  <si>
    <t>Contract I.D. No. 20OE0138 - Rehabilitation of Roads and Drainage at Cordillera St. and Ext., Manila</t>
  </si>
  <si>
    <t>20HD0062 - Construction of District Jail, Bantayan Island, Brgy. Ticad, Bantayan, Cebu</t>
  </si>
  <si>
    <t>Mucus Extractor</t>
  </si>
  <si>
    <t>20HD0088 - Construction of Slope Protection along Brgy. Tapul-to Brgy. Kal-anan Provincial Road, Tabogon, Cebu</t>
  </si>
  <si>
    <t>Eye Goggles for Laboratory</t>
  </si>
  <si>
    <t>(19Z00015) PR-09a, Guicam Bridge, Zamboanga Sibugay (K1781+480.00– K1782+688.02)</t>
  </si>
  <si>
    <t>20KA0101(Readvertisement) Cluster 2 1.) Construction of Flood Control Structure along Malaybalay -Gingoog Road (Kulaman Br.), Malaybalay City, Bukidnon 2.) Construction of Flood Control Structure alon</t>
  </si>
  <si>
    <t>20A00156: Construction/ Repair/ Rehabilitation/ Improvement of Various Infrastructure including Local Projects, Construction of Slope Protection Works along Pangasinan - Nueva Vizcaya Road K0211+150 -</t>
  </si>
  <si>
    <t>(19Z00014) PR–13, Siay–Gapol Road, Zamboanga Sibugay (K1761+473.00–K1797+234.10)</t>
  </si>
  <si>
    <t>Procurement of Operation and Maintenance Service Contract for the Malaya Thermal Power Plant</t>
  </si>
  <si>
    <t>20A00157: Construction/ Repair/ Rehabilitation/ Improvement of Various Infrastructure including Local Projects, Construction of Slope Protection Works along Pangasinan - Nueva Vizcaya Road K0214+970 -</t>
  </si>
  <si>
    <t>(19Z00012) PR-08, R.T.Lim-Siocon Road, Zamboanga Sibugay &amp; Zamboanga Del Norte, K1822+740.00–K1886+864.34</t>
  </si>
  <si>
    <t>20HD0066 - Construction of Multi-Purpose Building, Brgy. Caduawan, Tabogon, Cebu</t>
  </si>
  <si>
    <t>(19Z00013) PR–12, Curuan–Sibuco Road, Zamboanga del Norte (K1891+075.44–K1924+234.33)</t>
  </si>
  <si>
    <t>Contract ID: 20KH0030 Asset Preservation – Preventive Maintenance – Secondary Roads – Carmen-Patag  Bulua Rd (S00584MN) Chainage 000-Chainage 400, K1440+660-K1442+000, K1443+328-K1443+581, Cagayan de</t>
  </si>
  <si>
    <t>Procurement of supply and delivery of Laboratory supplies</t>
  </si>
  <si>
    <t>20HD0014 - Construction of Multi-Purpose Building, Brgy. Dalingding, Daanbantayan, Cebu</t>
  </si>
  <si>
    <t>Local Program: Local Infrastructure Program – Buildings and other Structure – Multi Purpose / Facilities – Construction of Multi – Purpose Building, Barangay Babag, Cebu City</t>
  </si>
  <si>
    <t>20HD0017 - Construction of Multi-Purpose Building, Brgy. Taba-ao, Tabogon, Cebu</t>
  </si>
  <si>
    <t>(19Z00011) PR-01a, Gutalac-Baliguian Alternative Road, Zamboanga Del Norte, K2027+802.62–K2055+764.93</t>
  </si>
  <si>
    <t>REHABILITATION OF BARANGAY STREETS</t>
  </si>
  <si>
    <t>One (1) Lot Architectural and Engineering (A&amp;E) Design Consultancy Services for the Proposed Comprehensive Workplace Modernization Project for the BSP Head Office, as per BSP Terms of Reference</t>
  </si>
  <si>
    <t>20N00050; LIANGA COASTAL BYPASS ROAD (SDCR ALTERNATE ROUTE), SURIGAO DEL SUR</t>
  </si>
  <si>
    <t>20NG0030 - NETWORK DEVELOPMENT PROGRAM: ROAD WIDENING- PRIMARY ROADS, DAANG MAHARLIKA (SURIGAO-AGUSAN SECTION), K1160+784.00 - K1162+084.72, K1163+600.00 - K1163+660.00/ ALEGRIA, SURIGAO DEL NORTE</t>
  </si>
  <si>
    <t>20N00002; NRJ CUEVAS – BISLIG RD- K1379+800 – K1382+558, K1382+777.3 – K1384+020, AGUSAN DEL SUR</t>
  </si>
  <si>
    <t>20HD0032 - Construction/Maintenance of Flood Mitigation Structures and Drainage SystemsConstruction of Flood Control Structure along Binabag River, Bogo City, Cebu</t>
  </si>
  <si>
    <t>INVITATION TO BID FOR THE UPGRADING OF VMMC ELECTRICAL SYSTEM (PHASE 2) (Rebidding)</t>
  </si>
  <si>
    <t>20J00115 - Widening of Permanent Bridges - Tonggusong Bridge along Tonggusong - Tubig Indangan National Road</t>
  </si>
  <si>
    <t>20CG0026 - Replacement of Permanent Weak Bridges-Lagundi Br. (B01477LZ) along Jose Abad Santos Ave. (JASA), Mexico, Pampanga</t>
  </si>
  <si>
    <t>PROPOSED REHABILITATION OF POTOL BRGY. HALL</t>
  </si>
  <si>
    <t>PB No. 19-341-7 Engineering, Procurement, Construction and Commissioning (EPCC) Contract for the Subic-Clark Railway Project for the Department of Transportation (DOTr)</t>
  </si>
  <si>
    <t>Construction of two storey four classroom school building Meyto Elementary School, Calumpit, Bulacan</t>
  </si>
  <si>
    <t>Contract ID: 20KH0027 Asset Preservation – Rehabilitation/Reconstruction of National Roads with Slips, Slope Collapse, and Landslide – Tertiary Roads – Lumbia-Uguiaban By-Pass Rd – (S00618MN) Chainage</t>
  </si>
  <si>
    <t>20J00114 - Rehabilitation/ Major Rehabilitation of Permanent Bridges - Sanga-Sanga Bridge Abutment along Bongao - Pahut National Road k 8+858</t>
  </si>
  <si>
    <t>20HD0077 - Construction of Multi-Purpose Building, Brgy. Tabagak, Madridejos, Cebu</t>
  </si>
  <si>
    <t>Metro Manila</t>
  </si>
  <si>
    <t>Camarines Sur</t>
  </si>
  <si>
    <t>Zamboanga Sibugay</t>
  </si>
  <si>
    <t>Ilocos Norte</t>
  </si>
  <si>
    <t>Davao Del Norte</t>
  </si>
  <si>
    <t>Batangas</t>
  </si>
  <si>
    <t>Masbate</t>
  </si>
  <si>
    <t>Maguindanao</t>
  </si>
  <si>
    <t>Cavite</t>
  </si>
  <si>
    <t>Bulacan</t>
  </si>
  <si>
    <t>Tawi-Tawi</t>
  </si>
  <si>
    <t>Iloilo</t>
  </si>
  <si>
    <t>Kalinga</t>
  </si>
  <si>
    <t>Albay</t>
  </si>
  <si>
    <t>Cotabato</t>
  </si>
  <si>
    <t>Misamis Oriental</t>
  </si>
  <si>
    <t>Davao Occidental</t>
  </si>
  <si>
    <t>Cagayan</t>
  </si>
  <si>
    <t>Pangasinan</t>
  </si>
  <si>
    <t>Negros Occidental</t>
  </si>
  <si>
    <t>Southern Leyte</t>
  </si>
  <si>
    <t>Bukidnon</t>
  </si>
  <si>
    <t>Laguna</t>
  </si>
  <si>
    <t>Agusan Del Sur</t>
  </si>
  <si>
    <t>Zamboanga Del Norte</t>
  </si>
  <si>
    <t>Antique</t>
  </si>
  <si>
    <t>Lanao Del Norte</t>
  </si>
  <si>
    <t>Apayao</t>
  </si>
  <si>
    <t>Agusan Del Norte</t>
  </si>
  <si>
    <t>(Independent City)</t>
  </si>
  <si>
    <t>Zamboanga Del Sur</t>
  </si>
  <si>
    <t>Ilocos Sur</t>
  </si>
  <si>
    <t>Capiz</t>
  </si>
  <si>
    <t>Sorsogon</t>
  </si>
  <si>
    <t>Leyte</t>
  </si>
  <si>
    <t>Bataan</t>
  </si>
  <si>
    <t>Palawan</t>
  </si>
  <si>
    <t>Negros Oriental</t>
  </si>
  <si>
    <t>Tarlac</t>
  </si>
  <si>
    <t>Batanes</t>
  </si>
  <si>
    <t>Aklan</t>
  </si>
  <si>
    <t>Nueva Ecija</t>
  </si>
  <si>
    <t>Samar</t>
  </si>
  <si>
    <t>Davao Del Sur</t>
  </si>
  <si>
    <t>Quezon</t>
  </si>
  <si>
    <t>Biliran</t>
  </si>
  <si>
    <t>Nueva Vizcaya</t>
  </si>
  <si>
    <t>Dinagat Island</t>
  </si>
  <si>
    <t>Isabela</t>
  </si>
  <si>
    <t>South Cotabato</t>
  </si>
  <si>
    <t>Bohol</t>
  </si>
  <si>
    <t>La Union</t>
  </si>
  <si>
    <t>Compostela Valley</t>
  </si>
  <si>
    <t>Benguet</t>
  </si>
  <si>
    <t>Oriental Mindoro</t>
  </si>
  <si>
    <t>Siquijor</t>
  </si>
  <si>
    <t>Eastern Samar</t>
  </si>
  <si>
    <t>Cebu</t>
  </si>
  <si>
    <t>sample province</t>
  </si>
  <si>
    <t>Surigao Del Sur</t>
  </si>
  <si>
    <t>Aurora</t>
  </si>
  <si>
    <t>Abra</t>
  </si>
  <si>
    <t>Pampanga</t>
  </si>
  <si>
    <t>Leyte,Samar</t>
  </si>
  <si>
    <t>Surigao Del Norte</t>
  </si>
  <si>
    <t>Guimaras</t>
  </si>
  <si>
    <t>Mountain Province</t>
  </si>
  <si>
    <t>Misamis Occidental</t>
  </si>
  <si>
    <t>Northern Samar</t>
  </si>
  <si>
    <t>Quirino</t>
  </si>
  <si>
    <t>Davao Oriental</t>
  </si>
  <si>
    <t>Zambales</t>
  </si>
  <si>
    <t>Occidental Mindoro</t>
  </si>
  <si>
    <t>Rizal</t>
  </si>
  <si>
    <t>Sultan Kudarat</t>
  </si>
  <si>
    <t>Bukidnon,Bulacan</t>
  </si>
  <si>
    <t>Basilan</t>
  </si>
  <si>
    <t>Ifugao</t>
  </si>
  <si>
    <t>Camarines Norte</t>
  </si>
  <si>
    <t>Sarangani</t>
  </si>
  <si>
    <t>Catanduanes</t>
  </si>
  <si>
    <t>Marinduque</t>
  </si>
  <si>
    <t>Camiguin</t>
  </si>
  <si>
    <t>Bulacan,Cagayan</t>
  </si>
  <si>
    <t>Philippines</t>
  </si>
  <si>
    <t>Romblon</t>
  </si>
  <si>
    <t>Lanao Del Sur</t>
  </si>
  <si>
    <t>Bataan,Batanes,Batangas</t>
  </si>
  <si>
    <t>Batangas,Bukidnon,Cagayan,Camarines Sur,Cotabato,Davao Del Sur,Isabela,Pampanga,Tarlac</t>
  </si>
  <si>
    <t>Marinduque,Occidental Mindoro,Oriental Mindoro,Palawan,Romblon</t>
  </si>
  <si>
    <t>Romblon,Samar,sample province</t>
  </si>
  <si>
    <t>Sulu</t>
  </si>
  <si>
    <t>Cotabato,Davao Del Norte</t>
  </si>
  <si>
    <t>Metro Manila,Rizal</t>
  </si>
  <si>
    <t>Aklan,Antique,Capiz,Iloilo,Negros Occidental</t>
  </si>
  <si>
    <t>Aklan,Antique,Capiz,Iloilo</t>
  </si>
  <si>
    <t>Apayao,Camarines Sur</t>
  </si>
  <si>
    <t>Aklan,Antique,Capiz,Guimaras,Iloilo,Negros Occidental</t>
  </si>
  <si>
    <t>Batanes,Metro Manila</t>
  </si>
  <si>
    <t>La Union,Laguna</t>
  </si>
  <si>
    <t>Zamboanga Del Norte,Zamboanga Del Sur</t>
  </si>
  <si>
    <t>Zamboanga Del Norte,Zamboanga Del Sur,Zamboanga Sibugay</t>
  </si>
  <si>
    <t>Biliran,Leyte,Samar</t>
  </si>
  <si>
    <t>Agusan Del Norte,Agusan Del Sur,Surigao Del Norte,Surigao Del Sur,Dinagat Island</t>
  </si>
  <si>
    <t>Antique,Negros Occidental</t>
  </si>
  <si>
    <t>Antique,Capiz,Guimaras,Iloilo,Negros Occidental</t>
  </si>
  <si>
    <t>Batangas,Cavite,Laguna,Quezon,Rizal</t>
  </si>
  <si>
    <t>Biliran,Eastern Samar,Leyte,Northern Samar,Samar,Southern Leyte</t>
  </si>
  <si>
    <t>Agusan Del Norte,Agusan Del Sur</t>
  </si>
  <si>
    <t>Aurora,Bataan,Bulacan,Nueva Ecija,Pampanga,Tarlac,Zambales</t>
  </si>
  <si>
    <t>Aklan,Antique,Capiz,Guimaras,Iloilo</t>
  </si>
  <si>
    <t>Supply and Deliver of Outdoor Air Quality Test Kit</t>
  </si>
  <si>
    <t>20-03-0255</t>
  </si>
  <si>
    <t>BV-15-20</t>
  </si>
  <si>
    <t>BV-13-20</t>
  </si>
  <si>
    <t>2020-06-05</t>
  </si>
  <si>
    <t>R1-INIMO-20-05-015</t>
  </si>
  <si>
    <t>20-22</t>
  </si>
  <si>
    <t>BV-16-20</t>
  </si>
  <si>
    <t>Bac-Pg-003-20</t>
  </si>
  <si>
    <t>20-1339</t>
  </si>
  <si>
    <t>20-1338</t>
  </si>
  <si>
    <t>20-167</t>
  </si>
  <si>
    <t>ATI2020-06-112</t>
  </si>
  <si>
    <t>2020-13</t>
  </si>
  <si>
    <t>20-1298</t>
  </si>
  <si>
    <t>BV-11-20</t>
  </si>
  <si>
    <t>20-1302</t>
  </si>
  <si>
    <t>20-1385</t>
  </si>
  <si>
    <t>003</t>
  </si>
  <si>
    <t>20-0020</t>
  </si>
  <si>
    <t>PPD-20-043 NP3(SV)</t>
  </si>
  <si>
    <t>2020-06-09-002</t>
  </si>
  <si>
    <t>20GFO0014</t>
  </si>
  <si>
    <t>PB037-20</t>
  </si>
  <si>
    <t>ATI2020-06-115</t>
  </si>
  <si>
    <t>N2006 -348</t>
  </si>
  <si>
    <t>2020-06-09-001</t>
  </si>
  <si>
    <t>19-010-002</t>
  </si>
  <si>
    <t>20GFO0015</t>
  </si>
  <si>
    <t>2020-003</t>
  </si>
  <si>
    <t>ATI2020-06-114</t>
  </si>
  <si>
    <t>ATI2020-06-113</t>
  </si>
  <si>
    <t>MGBX-06-046-2020</t>
  </si>
  <si>
    <t>ME2020-06-026.1</t>
  </si>
  <si>
    <t>MS2020-06-026.2</t>
  </si>
  <si>
    <t>20-1380</t>
  </si>
  <si>
    <t>2020-12</t>
  </si>
  <si>
    <t>MS2020-06-026.3</t>
  </si>
  <si>
    <t>MS2020-06-026.4</t>
  </si>
  <si>
    <t>BAC-2020-580</t>
  </si>
  <si>
    <t>2020-02-20</t>
  </si>
  <si>
    <t>2020-07-07-040CW</t>
  </si>
  <si>
    <t>2020-001</t>
  </si>
  <si>
    <t>2020-07-07-039CW</t>
  </si>
  <si>
    <t>2020-07-07-037CW</t>
  </si>
  <si>
    <t>20-1212</t>
  </si>
  <si>
    <t>2020-07-07-035CW</t>
  </si>
  <si>
    <t>LSPUMCG20-01</t>
  </si>
  <si>
    <t>2020-07-07-036CW</t>
  </si>
  <si>
    <t>2020-02-0002</t>
  </si>
  <si>
    <t>2020-07-07-034CW</t>
  </si>
  <si>
    <t>2020-02-0001</t>
  </si>
  <si>
    <t>2020-02-0003</t>
  </si>
  <si>
    <t>2020-07-07-038CW</t>
  </si>
  <si>
    <t>2020-07-07-031CW</t>
  </si>
  <si>
    <t>2020-07-07-041CW</t>
  </si>
  <si>
    <t>PR# 20-05-0563</t>
  </si>
  <si>
    <t>PR 329-20</t>
  </si>
  <si>
    <t>2020-06-011</t>
  </si>
  <si>
    <t>2020-002</t>
  </si>
  <si>
    <t>2020-043</t>
  </si>
  <si>
    <t>MG-A5M20-076</t>
  </si>
  <si>
    <t>20CSN012</t>
  </si>
  <si>
    <t>2020-07-07-047CW</t>
  </si>
  <si>
    <t>2020-044</t>
  </si>
  <si>
    <t>2020-07-07-030CW</t>
  </si>
  <si>
    <t>2</t>
  </si>
  <si>
    <t>P.R. No. X11-20-04-194</t>
  </si>
  <si>
    <t>2020-07-07-048CW</t>
  </si>
  <si>
    <t>20-1243</t>
  </si>
  <si>
    <t>2020-07-07-046CW</t>
  </si>
  <si>
    <t>2020-07-07-049CW</t>
  </si>
  <si>
    <t>2020-GOODS-4B</t>
  </si>
  <si>
    <t>P.R. No. X4-20-03-137</t>
  </si>
  <si>
    <t>2020-INFRA-23</t>
  </si>
  <si>
    <t>P.R. No. X11-20-02-104</t>
  </si>
  <si>
    <t>2020-INFRA-17B</t>
  </si>
  <si>
    <t>2020-069</t>
  </si>
  <si>
    <t>2020-068</t>
  </si>
  <si>
    <t>BFAR IV-A.PR20-0300</t>
  </si>
  <si>
    <t>20-0799</t>
  </si>
  <si>
    <t>PR-2020-1190</t>
  </si>
  <si>
    <t>2020-LGU-Cuenca-046</t>
  </si>
  <si>
    <t>2020-071</t>
  </si>
  <si>
    <t>ATI2020-06-116</t>
  </si>
  <si>
    <t>2020-INFRA-7D</t>
  </si>
  <si>
    <t>2020-070</t>
  </si>
  <si>
    <t>PR-2020-1189</t>
  </si>
  <si>
    <t>PR-162-100-2020</t>
  </si>
  <si>
    <t>PR-2020-0783</t>
  </si>
  <si>
    <t>PR-2020-1268</t>
  </si>
  <si>
    <t>2020-INFRA-6D</t>
  </si>
  <si>
    <t>2020-072</t>
  </si>
  <si>
    <t>PR-2020-0350</t>
  </si>
  <si>
    <t>2020-06-001</t>
  </si>
  <si>
    <t>PR-2020-0734</t>
  </si>
  <si>
    <t>20-00044</t>
  </si>
  <si>
    <t>2020-06-06</t>
  </si>
  <si>
    <t>PR 1-20-03-0437 - SPORTS</t>
  </si>
  <si>
    <t>PR 1-20-03-0429 - CTO</t>
  </si>
  <si>
    <t>PR-2020-0665</t>
  </si>
  <si>
    <t>PR-2020-0465</t>
  </si>
  <si>
    <t>2020-INFRA-18B</t>
  </si>
  <si>
    <t>20-06-08</t>
  </si>
  <si>
    <t>PR 1-20-03-0497 - PESO</t>
  </si>
  <si>
    <t>PR 1-20-01-0118 - CMO - SPORTS (REBIDDING LOTS 1-3</t>
  </si>
  <si>
    <t>PR 1-20-03-0482 - AGRI</t>
  </si>
  <si>
    <t>PR 1-20-02-0402 - CEMO</t>
  </si>
  <si>
    <t>PR 1-20-03-0473 - LEGAL</t>
  </si>
  <si>
    <t>PR 1-20-03-0490 - SPORTS</t>
  </si>
  <si>
    <t>2020-INFRA-22A</t>
  </si>
  <si>
    <t>ITB-140</t>
  </si>
  <si>
    <t>RFQ No. 0155</t>
  </si>
  <si>
    <t>100(01)20-05-1100</t>
  </si>
  <si>
    <t>PR 1-20-03-0489 - CEMO</t>
  </si>
  <si>
    <t>PR-2020-0352</t>
  </si>
  <si>
    <t>2020 002</t>
  </si>
  <si>
    <t>20-06-001</t>
  </si>
  <si>
    <t>202003019</t>
  </si>
  <si>
    <t>JR# 020-0057</t>
  </si>
  <si>
    <t>20-012</t>
  </si>
  <si>
    <t>PR 1-20-03-0487 - CED</t>
  </si>
  <si>
    <t>SB6 HDMP19 300-20-06-06236</t>
  </si>
  <si>
    <t>20-06-09</t>
  </si>
  <si>
    <t>2020-PR-98</t>
  </si>
  <si>
    <t>2020-074</t>
  </si>
  <si>
    <t>20-06-002</t>
  </si>
  <si>
    <t>GHQPC-CYBER-TRNG-1112-20</t>
  </si>
  <si>
    <t>PR 1-20-03-0515 - PESO</t>
  </si>
  <si>
    <t>2020-07-07-332PG</t>
  </si>
  <si>
    <t>BSWM PR 2020-05-1290</t>
  </si>
  <si>
    <t>100(01)20-02-0356</t>
  </si>
  <si>
    <t>2020-073</t>
  </si>
  <si>
    <t>JR# 020-0058</t>
  </si>
  <si>
    <t>PR 1-20-03-0501 - PPMO</t>
  </si>
  <si>
    <t>2020-076</t>
  </si>
  <si>
    <t>2020-07-07-331PG</t>
  </si>
  <si>
    <t>2020-080</t>
  </si>
  <si>
    <t>2020-079</t>
  </si>
  <si>
    <t>2020-07-07-334PG</t>
  </si>
  <si>
    <t>2020-081</t>
  </si>
  <si>
    <t>2020-075</t>
  </si>
  <si>
    <t>2020030012</t>
  </si>
  <si>
    <t>PR 1-20-04-0526 - CED</t>
  </si>
  <si>
    <t>2020-078</t>
  </si>
  <si>
    <t>117213</t>
  </si>
  <si>
    <t>2020-07-07-333PG</t>
  </si>
  <si>
    <t>2020-077</t>
  </si>
  <si>
    <t>2020-083</t>
  </si>
  <si>
    <t>PR 1-20-03-0517 - CED</t>
  </si>
  <si>
    <t>PR 1-20-05-0586 - CEMO</t>
  </si>
  <si>
    <t>ISPQ 058-2020</t>
  </si>
  <si>
    <t>ISPQ 057-2020</t>
  </si>
  <si>
    <t>PR 1-20-05-0603 - ADMIN OFFICE (PIO)</t>
  </si>
  <si>
    <t>PR 9-20-04-0533 - CITY HOSPITAL</t>
  </si>
  <si>
    <t>2020-082</t>
  </si>
  <si>
    <t>PR 1-20-04-0551 - AGRI</t>
  </si>
  <si>
    <t>PR 4-20-06-0634 - CWD</t>
  </si>
  <si>
    <t>PR 1-20-06-0631 - CED</t>
  </si>
  <si>
    <t>PR 18-20-04-0550 - CED</t>
  </si>
  <si>
    <t>PR 2-20-03-0492 - PMSD</t>
  </si>
  <si>
    <t>PR 1-20-04-0532 - PNP</t>
  </si>
  <si>
    <t>PR 1-20-06-0649 - CED</t>
  </si>
  <si>
    <t>20ID0070</t>
  </si>
  <si>
    <t>PR 4-20-03-0461 - CWD</t>
  </si>
  <si>
    <t>SVP 20-06-113</t>
  </si>
  <si>
    <t>ISPQ 055-2020</t>
  </si>
  <si>
    <t>PR 1-20-06-0659 - AGRI</t>
  </si>
  <si>
    <t>2020-PR20-812-176</t>
  </si>
  <si>
    <t>PR 401-20-03-0453 - CWD</t>
  </si>
  <si>
    <t>ISPQ 056-2020</t>
  </si>
  <si>
    <t>2020-PR20-813-175</t>
  </si>
  <si>
    <t>PR 1-20-06-0657 - AGRI</t>
  </si>
  <si>
    <t>0215-2020</t>
  </si>
  <si>
    <t>2020-PR20-799-174</t>
  </si>
  <si>
    <t>2020-PR20-803-173</t>
  </si>
  <si>
    <t>2020-07-07-338PG</t>
  </si>
  <si>
    <t>PR 401-20-03-0494 - CEMO</t>
  </si>
  <si>
    <t>2020-06-19-091NP</t>
  </si>
  <si>
    <t>2020-07-07-349PG</t>
  </si>
  <si>
    <t>2020-06-19-089NP</t>
  </si>
  <si>
    <t>2020-07-07-348PG</t>
  </si>
  <si>
    <t>004</t>
  </si>
  <si>
    <t>2020-03</t>
  </si>
  <si>
    <t>2020-06-19-090NP</t>
  </si>
  <si>
    <t>2020-401-05</t>
  </si>
  <si>
    <t>2020-07-07-340PG</t>
  </si>
  <si>
    <t>2020-07-07-345PG</t>
  </si>
  <si>
    <t>2020-07-07-344PG</t>
  </si>
  <si>
    <t>2020-07-07-347PG</t>
  </si>
  <si>
    <t>2020-07-07-342PG</t>
  </si>
  <si>
    <t>2020-07-07-346PG</t>
  </si>
  <si>
    <t>2020-06-19-097NP</t>
  </si>
  <si>
    <t>2020-07-07-339PG</t>
  </si>
  <si>
    <t>2020-07-07-337PG</t>
  </si>
  <si>
    <t>2020-06-19-095NP</t>
  </si>
  <si>
    <t>2020-06-19-094NP</t>
  </si>
  <si>
    <t>2020-06-19-093NP</t>
  </si>
  <si>
    <t>2020-06-19-106NP</t>
  </si>
  <si>
    <t>2020-06-19-096NP</t>
  </si>
  <si>
    <t>2020-06-19-105NP</t>
  </si>
  <si>
    <t>2020-07-07-336PG</t>
  </si>
  <si>
    <t>2020-06-19-103NP</t>
  </si>
  <si>
    <t>2020-06-19-101NP</t>
  </si>
  <si>
    <t>2020-07-07-335PG</t>
  </si>
  <si>
    <t>2020-06-19-098NP</t>
  </si>
  <si>
    <t>2020-06-19-102NP</t>
  </si>
  <si>
    <t>2020-06-19-100NP</t>
  </si>
  <si>
    <t>2020-06-19-092NP</t>
  </si>
  <si>
    <t>2020-06-19-099NP</t>
  </si>
  <si>
    <t>2020-07-07-058PG</t>
  </si>
  <si>
    <t>RNAFS-2020-06-010</t>
  </si>
  <si>
    <t>RNAFS-2020-06-011</t>
  </si>
  <si>
    <t>2020-07-07-357PG</t>
  </si>
  <si>
    <t>AKLAN BAC ITB 340 SERIES 2020</t>
  </si>
  <si>
    <t>2020-INFRA-016</t>
  </si>
  <si>
    <t>AKLAN BAC ITB 339 SERIES 2020</t>
  </si>
  <si>
    <t>AKLAN BAC ITB 338 SERIES 2020</t>
  </si>
  <si>
    <t>AKLAN BAC ITB 341 SERIES 2020</t>
  </si>
  <si>
    <t>RNAFS-2020-06-009</t>
  </si>
  <si>
    <t>AKLAN BAC ITB 337 SERIES 2020</t>
  </si>
  <si>
    <t>AKLAN BAC ITB 204 SERIES 2020</t>
  </si>
  <si>
    <t>2020-07-07-356PG</t>
  </si>
  <si>
    <t>2020-07-07-353PG</t>
  </si>
  <si>
    <t>2020-07-07-351PG</t>
  </si>
  <si>
    <t>2020-07-07-352PG</t>
  </si>
  <si>
    <t>2020-07-07-350PG</t>
  </si>
  <si>
    <t>2020-07-07-355PG</t>
  </si>
  <si>
    <t>2020-0615-0009</t>
  </si>
  <si>
    <t>AKLAN BAC ITB 203 SERIES 2020</t>
  </si>
  <si>
    <t>20201501</t>
  </si>
  <si>
    <t>01-2020</t>
  </si>
  <si>
    <t>2020-0615-0010</t>
  </si>
  <si>
    <t>2020-01-004</t>
  </si>
  <si>
    <t>2020-06-03</t>
  </si>
  <si>
    <t>2020-06-017</t>
  </si>
  <si>
    <t>VS-2020-06-01</t>
  </si>
  <si>
    <t>6-33-20</t>
  </si>
  <si>
    <t>RFQ-012-2020</t>
  </si>
  <si>
    <t>RFQ NO. SVP-009-2020</t>
  </si>
  <si>
    <t>DCFO-2020-06-038</t>
  </si>
  <si>
    <t>06152020</t>
  </si>
  <si>
    <t>2020-06-0264</t>
  </si>
  <si>
    <t>2020-06-018</t>
  </si>
  <si>
    <t>2020-06-002</t>
  </si>
  <si>
    <t>202-02</t>
  </si>
  <si>
    <t>2020-06-003</t>
  </si>
  <si>
    <t>2020-06-08</t>
  </si>
  <si>
    <t>2020 Caib 088</t>
  </si>
  <si>
    <t>202003013</t>
  </si>
  <si>
    <t>6-20-39</t>
  </si>
  <si>
    <t>061520-01</t>
  </si>
  <si>
    <t>2020-06-065</t>
  </si>
  <si>
    <t>2020-06-0030</t>
  </si>
  <si>
    <t>LGUPROC 2020 -103R</t>
  </si>
  <si>
    <t>S-2020-0031</t>
  </si>
  <si>
    <t>20GFD0009</t>
  </si>
  <si>
    <t>CSI-2020-015</t>
  </si>
  <si>
    <t>S0-134</t>
  </si>
  <si>
    <t>PDI PR No. 2020-05-030</t>
  </si>
  <si>
    <t>2020-219</t>
  </si>
  <si>
    <t>RFQ NO. SVP-010-2020</t>
  </si>
  <si>
    <t>6-20-38</t>
  </si>
  <si>
    <t>S0-135</t>
  </si>
  <si>
    <t>016</t>
  </si>
  <si>
    <t>A-2020-15</t>
  </si>
  <si>
    <t>20GFD0011</t>
  </si>
  <si>
    <t>20BH0141</t>
  </si>
  <si>
    <t>R.I.S. No.: 20-88-076</t>
  </si>
  <si>
    <t>0018-0006-0595-2020</t>
  </si>
  <si>
    <t>20GFD0010</t>
  </si>
  <si>
    <t>100-8751-20-182</t>
  </si>
  <si>
    <t>2020-02-138</t>
  </si>
  <si>
    <t>2020-220</t>
  </si>
  <si>
    <t>BSWM PR 2020-05-1222</t>
  </si>
  <si>
    <t>ITB-021-2020</t>
  </si>
  <si>
    <t>100-8751-20-318</t>
  </si>
  <si>
    <t>2020-221</t>
  </si>
  <si>
    <t>20050041</t>
  </si>
  <si>
    <t>A-2020-16</t>
  </si>
  <si>
    <t>20-06-60</t>
  </si>
  <si>
    <t>2020-0468</t>
  </si>
  <si>
    <t>SVP055-2020</t>
  </si>
  <si>
    <t>023-06-2020</t>
  </si>
  <si>
    <t>2020-222</t>
  </si>
  <si>
    <t>03a-G-2020 (SB)</t>
  </si>
  <si>
    <t>0018-0005-0574-2020</t>
  </si>
  <si>
    <t>RFQ No. 2020 Shopping 089</t>
  </si>
  <si>
    <t>FOG NSRRDC 2020-06-039</t>
  </si>
  <si>
    <t>2020-01</t>
  </si>
  <si>
    <t>RFQ No. 2020 SVP - 039</t>
  </si>
  <si>
    <t>P-05-20</t>
  </si>
  <si>
    <t>LGU_Piddig_2020_041</t>
  </si>
  <si>
    <t>20-06-011</t>
  </si>
  <si>
    <t>GOODS-52-2020</t>
  </si>
  <si>
    <t>105CO-10288-5MIB-2020</t>
  </si>
  <si>
    <t>proc123</t>
  </si>
  <si>
    <t>2020-15</t>
  </si>
  <si>
    <t>2020-06-0258</t>
  </si>
  <si>
    <t>RFQ-DVO-PR.NO. 2006043 CAT. 70 BUSINESS AND BICYCL</t>
  </si>
  <si>
    <t>JUNE152020</t>
  </si>
  <si>
    <t>2020-055</t>
  </si>
  <si>
    <t>2020-0221</t>
  </si>
  <si>
    <t>POW - 8751 - 2020 - LBS - 01</t>
  </si>
  <si>
    <t>06152020-A</t>
  </si>
  <si>
    <t>M-20-006-A</t>
  </si>
  <si>
    <t>100(01)20-06-312(A)</t>
  </si>
  <si>
    <t>20-0610-4411</t>
  </si>
  <si>
    <t>20-45010</t>
  </si>
  <si>
    <t>PR# 20-0733</t>
  </si>
  <si>
    <t>06152020-</t>
  </si>
  <si>
    <t>ITB-ATI-CO-2020-07</t>
  </si>
  <si>
    <t>3-01-001-20-081</t>
  </si>
  <si>
    <t>LTFRB-2020-06</t>
  </si>
  <si>
    <t>0003-0078-0984-2020</t>
  </si>
  <si>
    <t>2020-004</t>
  </si>
  <si>
    <t>20-06-039</t>
  </si>
  <si>
    <t>25</t>
  </si>
  <si>
    <t>2020-091</t>
  </si>
  <si>
    <t>PROPERTY 2020-06-15</t>
  </si>
  <si>
    <t xml:space="preserve">RFQ-DVO-PR.NO. 2006087 CAT. 46 PAINTING TOOLS AND </t>
  </si>
  <si>
    <t>P-06-20</t>
  </si>
  <si>
    <t>RFQ No.: BIR-RR11-2020-011</t>
  </si>
  <si>
    <t>20GFD0012</t>
  </si>
  <si>
    <t>FOG PNAD</t>
  </si>
  <si>
    <t>SJ 2020-42-GOODS</t>
  </si>
  <si>
    <t>7FPAO-18-20</t>
  </si>
  <si>
    <t>2020-06-165-B</t>
  </si>
  <si>
    <t>100(01)20-06-323(O)</t>
  </si>
  <si>
    <t>0003-0077-0983-2020</t>
  </si>
  <si>
    <t>RFQ-DVO-PR.NO. 2005193 CAT. 41.1 ELECTRONIC CONSUM</t>
  </si>
  <si>
    <t>2020-06-050</t>
  </si>
  <si>
    <t>PEO-20-0676 NP (SV)</t>
  </si>
  <si>
    <t>2020-06-327</t>
  </si>
  <si>
    <t>BSWM PR 2020-02-0940</t>
  </si>
  <si>
    <t>2020-067</t>
  </si>
  <si>
    <t>ITB No. 032-2020  GQ</t>
  </si>
  <si>
    <t>20-03-396</t>
  </si>
  <si>
    <t>2020-06-166-B</t>
  </si>
  <si>
    <t>2020-005</t>
  </si>
  <si>
    <t>272-2020</t>
  </si>
  <si>
    <t>06-60-2020</t>
  </si>
  <si>
    <t>200-2020-04-138</t>
  </si>
  <si>
    <t>100(01)20-06-009(K)</t>
  </si>
  <si>
    <t>ITB No. (INF) 2020-06-089 CONCRETING OF CAROLINA –</t>
  </si>
  <si>
    <t>027</t>
  </si>
  <si>
    <t>2020-03-189</t>
  </si>
  <si>
    <t>2020-0183</t>
  </si>
  <si>
    <t>20GFD0013</t>
  </si>
  <si>
    <t>2020-06-051</t>
  </si>
  <si>
    <t>GSO-20-0349</t>
  </si>
  <si>
    <t>20-05-387a</t>
  </si>
  <si>
    <t>POW - 8751 - 2020 - PCO - 02</t>
  </si>
  <si>
    <t>ITB No. 033-2020 GQ</t>
  </si>
  <si>
    <t>SVP056-2020</t>
  </si>
  <si>
    <t>RFQ 408</t>
  </si>
  <si>
    <t>RFQ-DVO-PR.NO. 2006055 CAT. 60 TIRE, BATTERIES AND</t>
  </si>
  <si>
    <t>2020-092</t>
  </si>
  <si>
    <t>RFQ-DVO-PR.NO. 2006045 CAT. 21 ELECTRICAL SUPPLIES</t>
  </si>
  <si>
    <t>2020-06-304-16</t>
  </si>
  <si>
    <t>2020-06-22-20DF20 (INFRA)</t>
  </si>
  <si>
    <t>RFQ 2020-06-019 - PR 2020-05-023</t>
  </si>
  <si>
    <t>SN-2020-06-013</t>
  </si>
  <si>
    <t>TF-20-06-010(T)</t>
  </si>
  <si>
    <t>2020-290</t>
  </si>
  <si>
    <t>20-0106</t>
  </si>
  <si>
    <t>20JBG0041</t>
  </si>
  <si>
    <t>ITB No. (INF) 2020-06-090 CONSTRUCTION OF MULTI-PU</t>
  </si>
  <si>
    <t>P-07-20</t>
  </si>
  <si>
    <t>2020-03-188</t>
  </si>
  <si>
    <t>100(01)20-06-313(A)</t>
  </si>
  <si>
    <t>2020 Dallag 1</t>
  </si>
  <si>
    <t>2020-066</t>
  </si>
  <si>
    <t>SVP 028-2020</t>
  </si>
  <si>
    <t>061520-02</t>
  </si>
  <si>
    <t>100(01)20-06-024(AA)</t>
  </si>
  <si>
    <t>2020LGU-04-39A</t>
  </si>
  <si>
    <t>06-20-11</t>
  </si>
  <si>
    <t>ADS-0467-20</t>
  </si>
  <si>
    <t>ITB No. (INF) 2020-06-091 REHABILITATION/CONSTRUCT</t>
  </si>
  <si>
    <t>PR#20-02-0024 - Rebid</t>
  </si>
  <si>
    <t>RFQ-DVO-PR.NO. 2005253 CAT. 65 VETERINARY SUPPLIES</t>
  </si>
  <si>
    <t>20-44536</t>
  </si>
  <si>
    <t>2020-02-140</t>
  </si>
  <si>
    <t>100(01)20-06-023(AA)</t>
  </si>
  <si>
    <t>INFRA-2020-06-002</t>
  </si>
  <si>
    <t>TF-20-06-009(T)</t>
  </si>
  <si>
    <t>S0-136</t>
  </si>
  <si>
    <t>AKLAN BAC ITB 345 SERIES 2020</t>
  </si>
  <si>
    <t>028</t>
  </si>
  <si>
    <t>2020 Dallag 2</t>
  </si>
  <si>
    <t>2020-02-136</t>
  </si>
  <si>
    <t>AKLAN BAC ITB 344 SERIES 2020</t>
  </si>
  <si>
    <t>20ID0071</t>
  </si>
  <si>
    <t>100(01)20-06-025(AA)</t>
  </si>
  <si>
    <t>20-0107</t>
  </si>
  <si>
    <t>20-06124PR</t>
  </si>
  <si>
    <t>2020-06-052</t>
  </si>
  <si>
    <t>2020-06-0441</t>
  </si>
  <si>
    <t>2020-06-0114</t>
  </si>
  <si>
    <t>001</t>
  </si>
  <si>
    <t>SJ 2020-10-GOODS</t>
  </si>
  <si>
    <t>SVP057-2020</t>
  </si>
  <si>
    <t>2020-03-186</t>
  </si>
  <si>
    <t>PBG-2020-06-77</t>
  </si>
  <si>
    <t>2020-186</t>
  </si>
  <si>
    <t>MIL-GOODS-2020-06-02</t>
  </si>
  <si>
    <t>20-006-006</t>
  </si>
  <si>
    <t>ISPSC-2020-G-K007</t>
  </si>
  <si>
    <t>2020 Kabalantian 2</t>
  </si>
  <si>
    <t>2020-0001</t>
  </si>
  <si>
    <t>2020-06-15</t>
  </si>
  <si>
    <t>100(01)20-03-026(N)</t>
  </si>
  <si>
    <t>2020-032</t>
  </si>
  <si>
    <t>RFQ-DVO-PR.NO. 2006047 CAT. 27 FURNITURE AND FIXTU</t>
  </si>
  <si>
    <t>PR No. 401-048 dated 5/21/2020</t>
  </si>
  <si>
    <t>MG-A5C20-050</t>
  </si>
  <si>
    <t>ITB No. (INF) 2020-06-092 CONSTRUCTION OF TRIPLE B</t>
  </si>
  <si>
    <t>20-06-097</t>
  </si>
  <si>
    <t>2020-06-09-20DF20 (INFRA)</t>
  </si>
  <si>
    <t>2020-14</t>
  </si>
  <si>
    <t>Invitation to Bid 07-2020</t>
  </si>
  <si>
    <t>273-2020</t>
  </si>
  <si>
    <t>2020 - 06 -21</t>
  </si>
  <si>
    <t>BAC 2020-30</t>
  </si>
  <si>
    <t>P-08-20</t>
  </si>
  <si>
    <t>2020-GOODS-033</t>
  </si>
  <si>
    <t>ITB No. 034-2020 GQ</t>
  </si>
  <si>
    <t>100(01)20-03-025(N)</t>
  </si>
  <si>
    <t>772</t>
  </si>
  <si>
    <t>20ID0072</t>
  </si>
  <si>
    <t>2020-0142</t>
  </si>
  <si>
    <t>2020-06-122 (06207512)</t>
  </si>
  <si>
    <t>2020-15-06-25</t>
  </si>
  <si>
    <t>2020-G-072</t>
  </si>
  <si>
    <t>RFQ-DVO-PR.NO. 2006050 CAT. 25 FOOD AND CATERING S</t>
  </si>
  <si>
    <t>013-SVP-2020</t>
  </si>
  <si>
    <t>2020 Allab 2</t>
  </si>
  <si>
    <t>G19-2020</t>
  </si>
  <si>
    <t>Brgy. Bersamin - 2020 - 016</t>
  </si>
  <si>
    <t>100-20-06-105</t>
  </si>
  <si>
    <t>002</t>
  </si>
  <si>
    <t>01</t>
  </si>
  <si>
    <t>100(01)20-03-027(N)</t>
  </si>
  <si>
    <t>2020-06-21</t>
  </si>
  <si>
    <t>DA 8 SVP Goods 2020-06-0070 (Corn 20-05-28-0163)</t>
  </si>
  <si>
    <t>SVP058-2020</t>
  </si>
  <si>
    <t>Brgy. Bersamin - 2020 - 017</t>
  </si>
  <si>
    <t>RFQ-DVO-PR.NO. 2005197 CAT. 14 CONSTRUCTION SUPPLI</t>
  </si>
  <si>
    <t>100(01)20-04-0897</t>
  </si>
  <si>
    <t>100(01)20-04-029(N)</t>
  </si>
  <si>
    <t>TF-20-06-328(O)</t>
  </si>
  <si>
    <t>RFQ 2020-0239</t>
  </si>
  <si>
    <t>Invitation to Bid 08-2020</t>
  </si>
  <si>
    <t>RFQ 407</t>
  </si>
  <si>
    <t>4</t>
  </si>
  <si>
    <t>PR No. 401-047 dated 5/21/20</t>
  </si>
  <si>
    <t>2020-0003</t>
  </si>
  <si>
    <t>100(01)20-02-0437</t>
  </si>
  <si>
    <t>C-2020-006</t>
  </si>
  <si>
    <t>2020-356</t>
  </si>
  <si>
    <t>2020-15-06-26</t>
  </si>
  <si>
    <t>S0-137</t>
  </si>
  <si>
    <t>2020-06-22</t>
  </si>
  <si>
    <t>2020-439</t>
  </si>
  <si>
    <t>2020-796</t>
  </si>
  <si>
    <t>2020-06-305-17</t>
  </si>
  <si>
    <t>274-2020</t>
  </si>
  <si>
    <t>2020 Anapolon 3</t>
  </si>
  <si>
    <t>JUNE152020-2</t>
  </si>
  <si>
    <t>MIL-GOODS-2020-06-03</t>
  </si>
  <si>
    <t>2020-0002</t>
  </si>
  <si>
    <t>1331-06-20</t>
  </si>
  <si>
    <t>goods2020_30</t>
  </si>
  <si>
    <t>2020-04</t>
  </si>
  <si>
    <t>02</t>
  </si>
  <si>
    <t>06192020-086</t>
  </si>
  <si>
    <t>WV1-20-06-020</t>
  </si>
  <si>
    <t>SVP 2020-352</t>
  </si>
  <si>
    <t>20-06-175</t>
  </si>
  <si>
    <t>20-03-486</t>
  </si>
  <si>
    <t>ITB No. 035-2020 GQ</t>
  </si>
  <si>
    <t>goods2020_31</t>
  </si>
  <si>
    <t>100(01)20-06-026(AA)</t>
  </si>
  <si>
    <t>2020-06-053</t>
  </si>
  <si>
    <t>RFQ 489</t>
  </si>
  <si>
    <t>1251</t>
  </si>
  <si>
    <t>2020-06-118 (0207512)</t>
  </si>
  <si>
    <t>100-20-06-106</t>
  </si>
  <si>
    <t>20-45216</t>
  </si>
  <si>
    <t>2020-02-004</t>
  </si>
  <si>
    <t>20-06-098</t>
  </si>
  <si>
    <t>mos-20-0237</t>
  </si>
  <si>
    <t>2020-06-07</t>
  </si>
  <si>
    <t>100(01)20-06-315(A)</t>
  </si>
  <si>
    <t>100(01)20-06-331(O)</t>
  </si>
  <si>
    <t>2020-05</t>
  </si>
  <si>
    <t>Brgy. Bersamin - 2020 - 018</t>
  </si>
  <si>
    <t>2020-0004</t>
  </si>
  <si>
    <t>2020 Tumanding 5</t>
  </si>
  <si>
    <t>MGB_RF-2020-0033</t>
  </si>
  <si>
    <t>RFQ-DVO-PR.NO. 2005210 CAT. 49 PRINTED FORMS AND P</t>
  </si>
  <si>
    <t>2020-200</t>
  </si>
  <si>
    <t>ADS-0195-20</t>
  </si>
  <si>
    <t>6-34-20</t>
  </si>
  <si>
    <t>2020-15-06-27</t>
  </si>
  <si>
    <t>275-2020</t>
  </si>
  <si>
    <t>100(01)20-06-091(Q)</t>
  </si>
  <si>
    <t>PBG-2020-06-20</t>
  </si>
  <si>
    <t>RFQ NO 20-06-058</t>
  </si>
  <si>
    <t>RMASS-LAU-032020-428</t>
  </si>
  <si>
    <t>2020-06-04-20DF20 (INFRA)</t>
  </si>
  <si>
    <t>2020-20-001</t>
  </si>
  <si>
    <t>RFQ-DVO-PR.NO. 2005231 CAT. 49 PRINTED FORMS AND P</t>
  </si>
  <si>
    <t>2020-035</t>
  </si>
  <si>
    <t>CS-OCM-062020-112</t>
  </si>
  <si>
    <t>Brgy. Bersamin  - 2020 - 019</t>
  </si>
  <si>
    <t>ITB No. 036-2020 GQ</t>
  </si>
  <si>
    <t>MG-A5M20-086</t>
  </si>
  <si>
    <t>2020 Meocan 20</t>
  </si>
  <si>
    <t>100-20-05-104</t>
  </si>
  <si>
    <t>RFQ 2020-0238</t>
  </si>
  <si>
    <t>RFQ-DVO-PR.NO. 2005233 CAT. 87 OXYGEN AND ACETYLEN</t>
  </si>
  <si>
    <t>DDOP-20-4361</t>
  </si>
  <si>
    <t>100-2020-006-022</t>
  </si>
  <si>
    <t>V01-June-20</t>
  </si>
  <si>
    <t>JUNE152020-3</t>
  </si>
  <si>
    <t>SFP-2020-06-0188</t>
  </si>
  <si>
    <t>PR#20-06-0308</t>
  </si>
  <si>
    <t>RFQ-106-2020</t>
  </si>
  <si>
    <t>276-2020</t>
  </si>
  <si>
    <t>06-20-12</t>
  </si>
  <si>
    <t>SVP 2020-347</t>
  </si>
  <si>
    <t>ITB No. 037-2020 GQ</t>
  </si>
  <si>
    <t>JFMH-047-20-RFQ</t>
  </si>
  <si>
    <t>RMASS-LAU-032020-218</t>
  </si>
  <si>
    <t>PEO-20-0504 B (REBID)</t>
  </si>
  <si>
    <t>NCMH-SVP-Live Streaming Material CY-2020</t>
  </si>
  <si>
    <t>pal-20-06-012</t>
  </si>
  <si>
    <t>PR No. 101-201 dated 6/5/2020</t>
  </si>
  <si>
    <t>Brgy. Pindangan Centro - 2020 - 020</t>
  </si>
  <si>
    <t>G20-2020</t>
  </si>
  <si>
    <t>20-06-099</t>
  </si>
  <si>
    <t>BFARIX-FMRED-20-03-255</t>
  </si>
  <si>
    <t>2020-06-152</t>
  </si>
  <si>
    <t>RFQ-DVO-PR.NO. 2006089 CAT. 87 OXYGEN AND ACETYLEN</t>
  </si>
  <si>
    <t>Brgy. Kisikis - 2020 - 022</t>
  </si>
  <si>
    <t>508-2020</t>
  </si>
  <si>
    <t>6152020-025</t>
  </si>
  <si>
    <t>PR#20-06-0309</t>
  </si>
  <si>
    <t>Brgy. Kisikis - 2020 - 021</t>
  </si>
  <si>
    <t>2020 Napalico 5</t>
  </si>
  <si>
    <t>RFQ 2020-0237</t>
  </si>
  <si>
    <t>029</t>
  </si>
  <si>
    <t>06-20-13</t>
  </si>
  <si>
    <t>RFQ-DVO-PR.NO. 2006017 CAT. 32 JANITORIAL SUPPLIES</t>
  </si>
  <si>
    <t>JUNE152020-4</t>
  </si>
  <si>
    <t>20ID0073</t>
  </si>
  <si>
    <t>RFQ-125-2020-CDD</t>
  </si>
  <si>
    <t>ADS-0421-20</t>
  </si>
  <si>
    <t>117220LCES</t>
  </si>
  <si>
    <t>06-20-14</t>
  </si>
  <si>
    <t>2020-2076-03-152-B</t>
  </si>
  <si>
    <t>S0-138</t>
  </si>
  <si>
    <t>277-2020</t>
  </si>
  <si>
    <t>BACRFQ2020-086</t>
  </si>
  <si>
    <t>2020-06-0135</t>
  </si>
  <si>
    <t>06-20-15</t>
  </si>
  <si>
    <t>014-2020</t>
  </si>
  <si>
    <t>2020-02-006</t>
  </si>
  <si>
    <t>pal-20-06-013</t>
  </si>
  <si>
    <t>06-00737</t>
  </si>
  <si>
    <t>2020-06-</t>
  </si>
  <si>
    <t>20-45358</t>
  </si>
  <si>
    <t>goods2020_32</t>
  </si>
  <si>
    <t>depedilocossur-2020-06-015</t>
  </si>
  <si>
    <t>2020-06-028-SB2 2019 (INFRA)</t>
  </si>
  <si>
    <t>200-20-05-003</t>
  </si>
  <si>
    <t>2020-07-07-358PG</t>
  </si>
  <si>
    <t>2020-06-392</t>
  </si>
  <si>
    <t>0436</t>
  </si>
  <si>
    <t>rfq#2020-04-2,156-vice governor's office</t>
  </si>
  <si>
    <t>rfq#2020-04-1,972-vice governor's office</t>
  </si>
  <si>
    <t>CG-RFQ-111-2020</t>
  </si>
  <si>
    <t>06-20-16</t>
  </si>
  <si>
    <t>0023-0060-0838-2020</t>
  </si>
  <si>
    <t>06-20-17</t>
  </si>
  <si>
    <t>PCADG-6-15-2020</t>
  </si>
  <si>
    <t>JUNE152020-5</t>
  </si>
  <si>
    <t>2020-06-02</t>
  </si>
  <si>
    <t>20-06-101</t>
  </si>
  <si>
    <t>2020-17</t>
  </si>
  <si>
    <t>2020-PLA-059</t>
  </si>
  <si>
    <t>2020-100</t>
  </si>
  <si>
    <t>UPB2020.036</t>
  </si>
  <si>
    <t>RFQ-DVO-PR.NO. 2005160 CAT. 27 FURNITURE AND FIXTU</t>
  </si>
  <si>
    <t>1250</t>
  </si>
  <si>
    <t>SVP 2020-333</t>
  </si>
  <si>
    <t>2020-05-09</t>
  </si>
  <si>
    <t>06-20-19</t>
  </si>
  <si>
    <t>06-20-18</t>
  </si>
  <si>
    <t>24-2020-001</t>
  </si>
  <si>
    <t>2020-06-0342</t>
  </si>
  <si>
    <t>RFG-2020-G-143</t>
  </si>
  <si>
    <t>NCMH-SVP-PM-VARIOUS MEDICAL EQUIPMENT CY2020</t>
  </si>
  <si>
    <t>202044</t>
  </si>
  <si>
    <t>PPSC BAC IB NO.007 (G) 2020</t>
  </si>
  <si>
    <t>UCT-2020-06-0189</t>
  </si>
  <si>
    <t>2020-26</t>
  </si>
  <si>
    <t>rfq#2020-05-2,544-pgo-popdev</t>
  </si>
  <si>
    <t>20-06-100</t>
  </si>
  <si>
    <t>RFQ-DVO-PR.NO. 2005265 CAT. 27 FURNITURE AND FIXTU</t>
  </si>
  <si>
    <t>PR2020-06-02-073</t>
  </si>
  <si>
    <t>H02-June-20</t>
  </si>
  <si>
    <t>MMO-030-2020</t>
  </si>
  <si>
    <t>2020 Caib 089</t>
  </si>
  <si>
    <t>blguamot-2019</t>
  </si>
  <si>
    <t>2020-1150</t>
  </si>
  <si>
    <t>FAS-20-09</t>
  </si>
  <si>
    <t>2020-06-029-SB2019 (INFRA)</t>
  </si>
  <si>
    <t>20-06-445</t>
  </si>
  <si>
    <t>2020-06-005</t>
  </si>
  <si>
    <t>PR#20-06-0317</t>
  </si>
  <si>
    <t>100(01)20-03-0849</t>
  </si>
  <si>
    <t>20JI0086</t>
  </si>
  <si>
    <t>PR. 20-06-212 (2020-06-204)</t>
  </si>
  <si>
    <t>SVP 2020-349</t>
  </si>
  <si>
    <t>RFQ 04-064-2020</t>
  </si>
  <si>
    <t>2020-06-0343</t>
  </si>
  <si>
    <t>LB-DF-20-4</t>
  </si>
  <si>
    <t>06-20-20</t>
  </si>
  <si>
    <t>2020-101</t>
  </si>
  <si>
    <t>GHQPC-AFPMCC-TELM-1117-20</t>
  </si>
  <si>
    <t>300-20-05-0023 (LOT 1)</t>
  </si>
  <si>
    <t>FAS-20-10</t>
  </si>
  <si>
    <t>2020-1424</t>
  </si>
  <si>
    <t>RFQ 405</t>
  </si>
  <si>
    <t>FAS-20-11</t>
  </si>
  <si>
    <t>CW-1-112-2020</t>
  </si>
  <si>
    <t>RB-06-2020-I</t>
  </si>
  <si>
    <t>FAS-20-12</t>
  </si>
  <si>
    <t>278-2020</t>
  </si>
  <si>
    <t>0677</t>
  </si>
  <si>
    <t>rfq#2020-05-2,548-pgo-popdev</t>
  </si>
  <si>
    <t>20GBE0017</t>
  </si>
  <si>
    <t>06-20-22</t>
  </si>
  <si>
    <t>06-20-21</t>
  </si>
  <si>
    <t>20-CRG-20-06-1030</t>
  </si>
  <si>
    <t>2020-05-0003</t>
  </si>
  <si>
    <t>PEO-20-0695 B</t>
  </si>
  <si>
    <t>PAPC-NCRRCDG_ARESCOM-2020-11247-5250</t>
  </si>
  <si>
    <t>6FSSU-006</t>
  </si>
  <si>
    <t>bac-20-0615a</t>
  </si>
  <si>
    <t>2020-07-07-359PG</t>
  </si>
  <si>
    <t>2020-310</t>
  </si>
  <si>
    <t>2020-02</t>
  </si>
  <si>
    <t>BIDSTAC # NP-SVP 105-(1)-2020</t>
  </si>
  <si>
    <t>20-06-036</t>
  </si>
  <si>
    <t>rfq#2020-05-2,560-pgo-bac secretariat</t>
  </si>
  <si>
    <t>MIL-INFR-2020-06-01</t>
  </si>
  <si>
    <t>20-06-SA0097</t>
  </si>
  <si>
    <t>mos-20-0238</t>
  </si>
  <si>
    <t>2020-06-09</t>
  </si>
  <si>
    <t>236A</t>
  </si>
  <si>
    <t>BXU-2020-28</t>
  </si>
  <si>
    <t>20-06-0633</t>
  </si>
  <si>
    <t>SVP 2020-348</t>
  </si>
  <si>
    <t>RFQ-DVO-PR.NO. 2005254 CAT. 65 VETERINARY SUPPLIES</t>
  </si>
  <si>
    <t>2020-058</t>
  </si>
  <si>
    <t>06-20-24</t>
  </si>
  <si>
    <t>RFQ-DVO-PR.NO. 2006044 CAT. 39 MEDICAL SUPPLIES AN</t>
  </si>
  <si>
    <t>BACRFQ2020-087</t>
  </si>
  <si>
    <t>2020-06-043</t>
  </si>
  <si>
    <t>RFQ-DVO-PR.NO. 2005208 CAT. 64 VETERINARY DRUGS AN</t>
  </si>
  <si>
    <t>PSU-INFRA-2020-004</t>
  </si>
  <si>
    <t>2020-06-0344</t>
  </si>
  <si>
    <t>100-20-02-015</t>
  </si>
  <si>
    <t>rfq#2020-06-2,582-pgo-pdea</t>
  </si>
  <si>
    <t>bac-20-0615b</t>
  </si>
  <si>
    <t>2020-01-001</t>
  </si>
  <si>
    <t>CG-RFQ-113-2020</t>
  </si>
  <si>
    <t>V03-June-20</t>
  </si>
  <si>
    <t>2020-27</t>
  </si>
  <si>
    <t>BIDSTAC # NP-SVP 099-(1)-2020</t>
  </si>
  <si>
    <t>20-407</t>
  </si>
  <si>
    <t>06-20-23</t>
  </si>
  <si>
    <t>CW-1-114-2020</t>
  </si>
  <si>
    <t>436-06-2020 (IPHO)</t>
  </si>
  <si>
    <t>PR# 20-03-0438</t>
  </si>
  <si>
    <t>INFRA-BGCMEDF-012020</t>
  </si>
  <si>
    <t>2020-06-15-01</t>
  </si>
  <si>
    <t>1280-06-00125</t>
  </si>
  <si>
    <t>2020-06-0103</t>
  </si>
  <si>
    <t>RFQ-DVO-PR.NO. 2005237 CAT. 49 PRINTED FORMS AND P</t>
  </si>
  <si>
    <t>FAS-20-14</t>
  </si>
  <si>
    <t>2020- 06-001</t>
  </si>
  <si>
    <t>2020-06-05E</t>
  </si>
  <si>
    <t xml:space="preserve">RFQ-DVO-PR.NO. 2006011 CAT. 46 PAINTING TOOLS AND </t>
  </si>
  <si>
    <t>FAS-20-13</t>
  </si>
  <si>
    <t>300-20-03-0047</t>
  </si>
  <si>
    <t>PGL-20 NEGO 24-06</t>
  </si>
  <si>
    <t>20-06-037</t>
  </si>
  <si>
    <t>2020-06-291</t>
  </si>
  <si>
    <t>06192020-087</t>
  </si>
  <si>
    <t>PR 1-20-06-0669 - CEMO</t>
  </si>
  <si>
    <t>BACRFQ2020-088</t>
  </si>
  <si>
    <t>ITB No. 038-2020 GQ</t>
  </si>
  <si>
    <t>RQ 06-112</t>
  </si>
  <si>
    <t>ITB 20-0062</t>
  </si>
  <si>
    <t>FAS-20-16</t>
  </si>
  <si>
    <t>CW43-2020</t>
  </si>
  <si>
    <t>PR 1-19-09-1639 - CITY HOSPITAL (REBIDDING LOT 3 O</t>
  </si>
  <si>
    <t>200-20-06-0100</t>
  </si>
  <si>
    <t>2020-028</t>
  </si>
  <si>
    <t>FAS-20-15</t>
  </si>
  <si>
    <t>20-06-057</t>
  </si>
  <si>
    <t>2020-GOODS-NP-71</t>
  </si>
  <si>
    <t>2020-2041</t>
  </si>
  <si>
    <t>ris 20-13-098</t>
  </si>
  <si>
    <t>2020-6-15-1</t>
  </si>
  <si>
    <t>CYBER-TRNG-1118-20</t>
  </si>
  <si>
    <t>IB No. GS-2020 – 051-A</t>
  </si>
  <si>
    <t>MMO-076-2020</t>
  </si>
  <si>
    <t>2020 Caib 090</t>
  </si>
  <si>
    <t>lamak 2020-06</t>
  </si>
  <si>
    <t>ITB-DIESEL2020</t>
  </si>
  <si>
    <t>20-06-038</t>
  </si>
  <si>
    <t>LGU-ROX-31-2020</t>
  </si>
  <si>
    <t>2020-6-1459</t>
  </si>
  <si>
    <t>CG-RFQ-115-2020</t>
  </si>
  <si>
    <t>RFQ-2020-06-01</t>
  </si>
  <si>
    <t>FAS-20-17</t>
  </si>
  <si>
    <t>0685</t>
  </si>
  <si>
    <t>SVP 2020-351</t>
  </si>
  <si>
    <t>BIDSTAC # NP-SVP 104-(1)-2020</t>
  </si>
  <si>
    <t>IB 2020-028</t>
  </si>
  <si>
    <t>SN-2020-36</t>
  </si>
  <si>
    <t>AVRC -2020-06-0190</t>
  </si>
  <si>
    <t>RFQ2020-06-01</t>
  </si>
  <si>
    <t>QNV-030-2020</t>
  </si>
  <si>
    <t>PB NO. 2020-036</t>
  </si>
  <si>
    <t>RQ 06-029A</t>
  </si>
  <si>
    <t>SVP 2020-350</t>
  </si>
  <si>
    <t>ris 20-83-069</t>
  </si>
  <si>
    <t>ITB No. 039-2020 GQ</t>
  </si>
  <si>
    <t>BACRFQ2020-089</t>
  </si>
  <si>
    <t>2020-GOODS-NP-72</t>
  </si>
  <si>
    <t>2020-06-0164 FMD</t>
  </si>
  <si>
    <t>MOOE JUNE 2020</t>
  </si>
  <si>
    <t>2020-6-15-2</t>
  </si>
  <si>
    <t>RFQ-DVO-PR.NO. 2004142 CAT. 78 FIRE AND RESCUE EQU</t>
  </si>
  <si>
    <t>ITB 20-0063</t>
  </si>
  <si>
    <t>RFQ PR NO. 824</t>
  </si>
  <si>
    <t>2020 Sumalili 1</t>
  </si>
  <si>
    <t>015-2020</t>
  </si>
  <si>
    <t>IB No. GS-2020 – 052-A</t>
  </si>
  <si>
    <t>lamak-2020-07</t>
  </si>
  <si>
    <t>SVP-2020-06-15-01</t>
  </si>
  <si>
    <t>2020-07-07-379PG</t>
  </si>
  <si>
    <t>2020-101-051</t>
  </si>
  <si>
    <t>100-20-06-0093</t>
  </si>
  <si>
    <t>HPMA-2020-05-0331</t>
  </si>
  <si>
    <t>BIDSTAC # NP-SVP 001-(2)-2020</t>
  </si>
  <si>
    <t>CHMSC 20-017-0615-G</t>
  </si>
  <si>
    <t>2020-Brgy.13-004</t>
  </si>
  <si>
    <t>2020-06-13-20DF20 (INFRA)</t>
  </si>
  <si>
    <t>20-06-429</t>
  </si>
  <si>
    <t>OM-188-TBA-2020</t>
  </si>
  <si>
    <t>200-20-06-0014</t>
  </si>
  <si>
    <t>RFQ PR NO. 860</t>
  </si>
  <si>
    <t>20-06-156</t>
  </si>
  <si>
    <t>20-06-118</t>
  </si>
  <si>
    <t>PB NO. 2020-037</t>
  </si>
  <si>
    <t>ITB 20-0064</t>
  </si>
  <si>
    <t>CB-2020-016</t>
  </si>
  <si>
    <t>2020-79</t>
  </si>
  <si>
    <t>IB No. GS-2020 – 041-A</t>
  </si>
  <si>
    <t>016-2020</t>
  </si>
  <si>
    <t>2020-06-03E</t>
  </si>
  <si>
    <t>20-06-040</t>
  </si>
  <si>
    <t>2020-06-0001</t>
  </si>
  <si>
    <t>100-20-06-0092</t>
  </si>
  <si>
    <t>2020-006-003</t>
  </si>
  <si>
    <t>BACRFQ2020-090</t>
  </si>
  <si>
    <t>ITB 2020-06-003</t>
  </si>
  <si>
    <t>DFPC 20 055</t>
  </si>
  <si>
    <t>2020-06-093</t>
  </si>
  <si>
    <t>2020-06-0151 PSMD</t>
  </si>
  <si>
    <t>IB No. GS-2020 – 048-A</t>
  </si>
  <si>
    <t>2020-06-015</t>
  </si>
  <si>
    <t>RB-07-2020-M</t>
  </si>
  <si>
    <t>UPB-2020-037</t>
  </si>
  <si>
    <t>Q-092-20</t>
  </si>
  <si>
    <t>2020-07-07-375PG</t>
  </si>
  <si>
    <t>2020-06-0002</t>
  </si>
  <si>
    <t>2020-6-15-3</t>
  </si>
  <si>
    <t>2020-G-073</t>
  </si>
  <si>
    <t>PR. 20-05-169 (2020-05-176 2ND QUOTE)</t>
  </si>
  <si>
    <t>LGU-ROX-32-2020</t>
  </si>
  <si>
    <t>MG-A5M20-094</t>
  </si>
  <si>
    <t>20-5244</t>
  </si>
  <si>
    <t>MMO-031-2020</t>
  </si>
  <si>
    <t>ITB 20-0065</t>
  </si>
  <si>
    <t>2020-06-004</t>
  </si>
  <si>
    <t>016-0720-CP</t>
  </si>
  <si>
    <t>IB No. GS-2020 – 046-A</t>
  </si>
  <si>
    <t>20-06-446</t>
  </si>
  <si>
    <t>020-06-058</t>
  </si>
  <si>
    <t>GF-20-02-00338B</t>
  </si>
  <si>
    <t>20JI0087</t>
  </si>
  <si>
    <t>2020-029</t>
  </si>
  <si>
    <t>CG-RFQ-116-2020</t>
  </si>
  <si>
    <t>BACRFQ2020-091</t>
  </si>
  <si>
    <t>2020</t>
  </si>
  <si>
    <t>BACRFQ2020-092</t>
  </si>
  <si>
    <t>20-06-318</t>
  </si>
  <si>
    <t>RQ 06-031A</t>
  </si>
  <si>
    <t>ITB-19-08018</t>
  </si>
  <si>
    <t>NPgoods010-2020</t>
  </si>
  <si>
    <t>2020-06-15-02</t>
  </si>
  <si>
    <t>CG-RFQ-117-2020</t>
  </si>
  <si>
    <t>100-20-05-103</t>
  </si>
  <si>
    <t>2020-6-15-4</t>
  </si>
  <si>
    <t>2020-06-10-20DF20 (INFRA)</t>
  </si>
  <si>
    <t>ROSAL 0328-2020</t>
  </si>
  <si>
    <t>SRESC3_202005</t>
  </si>
  <si>
    <t>2020-6-1469</t>
  </si>
  <si>
    <t>RFQ 95-2020</t>
  </si>
  <si>
    <t>2020-07-07-376PG</t>
  </si>
  <si>
    <t>2020-06-023</t>
  </si>
  <si>
    <t>2020-05-343</t>
  </si>
  <si>
    <t>BACRFQ2020-093</t>
  </si>
  <si>
    <t>RFQ No. 2020-02-002</t>
  </si>
  <si>
    <t>SVP-2020-06-15-02</t>
  </si>
  <si>
    <t>SVP-2020-06-91</t>
  </si>
  <si>
    <t>06-115-2020</t>
  </si>
  <si>
    <t>CabSur2020-001</t>
  </si>
  <si>
    <t>20-06-387</t>
  </si>
  <si>
    <t>CW44-2020</t>
  </si>
  <si>
    <t>2020-29</t>
  </si>
  <si>
    <t>2020-045</t>
  </si>
  <si>
    <t>2020-6-15-5</t>
  </si>
  <si>
    <t>2020-10</t>
  </si>
  <si>
    <t>cgb2020-200</t>
  </si>
  <si>
    <t>20JI0088</t>
  </si>
  <si>
    <t>20-06-102</t>
  </si>
  <si>
    <t>PB-11-2020</t>
  </si>
  <si>
    <t>1BCT-NAF-07-20</t>
  </si>
  <si>
    <t>1BCT-NAF-06-20</t>
  </si>
  <si>
    <t>IB No. GS-2020 – 071</t>
  </si>
  <si>
    <t>SVP-2020-06-15-03</t>
  </si>
  <si>
    <t>RFQ QN-0157</t>
  </si>
  <si>
    <t>2020-07-07-360PG</t>
  </si>
  <si>
    <t>2020-B-06-024</t>
  </si>
  <si>
    <t>PRMS-06-20-01</t>
  </si>
  <si>
    <t>DF-20-005</t>
  </si>
  <si>
    <t>MPP-2020-02</t>
  </si>
  <si>
    <t>2020-06-07E</t>
  </si>
  <si>
    <t>IB No. GS-2020 – 072</t>
  </si>
  <si>
    <t>GF-20-02-00301B</t>
  </si>
  <si>
    <t>DES 1135-20</t>
  </si>
  <si>
    <t>2020-6-15-6</t>
  </si>
  <si>
    <t>MPP-2020-03</t>
  </si>
  <si>
    <t>APR No. 100-20-06-386</t>
  </si>
  <si>
    <t>100-2006-0330</t>
  </si>
  <si>
    <t>cgb2020-201</t>
  </si>
  <si>
    <t>DSB-2020-020</t>
  </si>
  <si>
    <t>C2C-20-09</t>
  </si>
  <si>
    <t>2020-GOODS-245</t>
  </si>
  <si>
    <t>RFQ-2020-06-11</t>
  </si>
  <si>
    <t>2020-06-02E</t>
  </si>
  <si>
    <t>cgb2020-202</t>
  </si>
  <si>
    <t>2020-07-07-362PG</t>
  </si>
  <si>
    <t>06-15-2020-210</t>
  </si>
  <si>
    <t>2020-06-08E</t>
  </si>
  <si>
    <t>QNV-029-2020</t>
  </si>
  <si>
    <t>PB-12-2020</t>
  </si>
  <si>
    <t>6-132-2020</t>
  </si>
  <si>
    <t>DAVOR-G-2020-09</t>
  </si>
  <si>
    <t>RFG-2020-G-146</t>
  </si>
  <si>
    <t>2020-02-001</t>
  </si>
  <si>
    <t>007-2020</t>
  </si>
  <si>
    <t>20-06-119</t>
  </si>
  <si>
    <t>06152001</t>
  </si>
  <si>
    <t>RFQ-2020-021</t>
  </si>
  <si>
    <t>GF-20-02-00300B</t>
  </si>
  <si>
    <t>APR No. 100-20-06-379</t>
  </si>
  <si>
    <t>42</t>
  </si>
  <si>
    <t>1280-06-00126</t>
  </si>
  <si>
    <t>80-20-02-026</t>
  </si>
  <si>
    <t>cgb2020-203</t>
  </si>
  <si>
    <t>bcnhs00143</t>
  </si>
  <si>
    <t>200-20-06-0099</t>
  </si>
  <si>
    <t>6-8-20-ID5</t>
  </si>
  <si>
    <t>2020-046</t>
  </si>
  <si>
    <t>S-2020-0033</t>
  </si>
  <si>
    <t>DES 1133-20</t>
  </si>
  <si>
    <t>101-20-06-137</t>
  </si>
  <si>
    <t>2020-06-09-108NP</t>
  </si>
  <si>
    <t>20BE0088</t>
  </si>
  <si>
    <t>GSO-20-06-0263</t>
  </si>
  <si>
    <t>RFQ-2020-06-12</t>
  </si>
  <si>
    <t>20-06-103</t>
  </si>
  <si>
    <t>CW45-2020</t>
  </si>
  <si>
    <t>CGS-2020-0134</t>
  </si>
  <si>
    <t>020-06-059</t>
  </si>
  <si>
    <t>CHMSC 20-018-0615-G</t>
  </si>
  <si>
    <t>QNV-025-2020</t>
  </si>
  <si>
    <t>2020-06-19-110NP</t>
  </si>
  <si>
    <t>RPQ 2020-06-082</t>
  </si>
  <si>
    <t>IB-05-0399-20HRND</t>
  </si>
  <si>
    <t>2020-PR-100</t>
  </si>
  <si>
    <t>2020-06-33-20DF20 (INFRA)</t>
  </si>
  <si>
    <t>20060454</t>
  </si>
  <si>
    <t>2020130</t>
  </si>
  <si>
    <t>R1-670-2020</t>
  </si>
  <si>
    <t>0058</t>
  </si>
  <si>
    <t>GEPS-2020-001</t>
  </si>
  <si>
    <t>DES 0909-20</t>
  </si>
  <si>
    <t>20GA0191</t>
  </si>
  <si>
    <t>GSO-20-06-0265</t>
  </si>
  <si>
    <t>GF-20-02-00337B</t>
  </si>
  <si>
    <t>2020-06-19-114NP</t>
  </si>
  <si>
    <t>DES 1134-20</t>
  </si>
  <si>
    <t>GSO-20-06-0264</t>
  </si>
  <si>
    <t>2020-06-19-109NP</t>
  </si>
  <si>
    <t>Aklan BAC ITB 352 Series of 2020</t>
  </si>
  <si>
    <t>2020-06-19-113NP</t>
  </si>
  <si>
    <t>2020-06-01</t>
  </si>
  <si>
    <t>NONE</t>
  </si>
  <si>
    <t>SN-2020-009</t>
  </si>
  <si>
    <t>2020-06-19-112NP</t>
  </si>
  <si>
    <t>PROJECT ID NO. I-2020-007</t>
  </si>
  <si>
    <t>GEPS-2020-002</t>
  </si>
  <si>
    <t>20BE0089</t>
  </si>
  <si>
    <t>0059</t>
  </si>
  <si>
    <t>2020-06-19-111NP</t>
  </si>
  <si>
    <t>20-06-042</t>
  </si>
  <si>
    <t>5</t>
  </si>
  <si>
    <t>2020-012</t>
  </si>
  <si>
    <t>20060453</t>
  </si>
  <si>
    <t>20BC0205</t>
  </si>
  <si>
    <t>100-2020-05-098</t>
  </si>
  <si>
    <t>20-06-041</t>
  </si>
  <si>
    <t>PNU2020-0002</t>
  </si>
  <si>
    <t>2020-311</t>
  </si>
  <si>
    <t>2020-48</t>
  </si>
  <si>
    <t>20GA0195</t>
  </si>
  <si>
    <t>2020-312</t>
  </si>
  <si>
    <t>MCT 20-002</t>
  </si>
  <si>
    <t>0027-S-20</t>
  </si>
  <si>
    <t>0028-S-2020</t>
  </si>
  <si>
    <t>20-06-043</t>
  </si>
  <si>
    <t>M-20-20</t>
  </si>
  <si>
    <t>20BC0157 re-adv.</t>
  </si>
  <si>
    <t>06152020-B</t>
  </si>
  <si>
    <t>20HN0083</t>
  </si>
  <si>
    <t>20ID0074</t>
  </si>
  <si>
    <t>2020-030</t>
  </si>
  <si>
    <t>20060452</t>
  </si>
  <si>
    <t>SEF-I-47-2020</t>
  </si>
  <si>
    <t>20GGF0016</t>
  </si>
  <si>
    <t>20BC0212</t>
  </si>
  <si>
    <t>0029-S-2020</t>
  </si>
  <si>
    <t>2020-03-086</t>
  </si>
  <si>
    <t>2020-06-024</t>
  </si>
  <si>
    <t>06-196</t>
  </si>
  <si>
    <t>COMAGASCAS1</t>
  </si>
  <si>
    <t>20ID0075</t>
  </si>
  <si>
    <t>20GGF0015</t>
  </si>
  <si>
    <t>RFQ-2020-169</t>
  </si>
  <si>
    <t>PSU ITB 2001-008</t>
  </si>
  <si>
    <t>2020-313</t>
  </si>
  <si>
    <t>2020-PLA-060</t>
  </si>
  <si>
    <t>20060451</t>
  </si>
  <si>
    <t>Supplies 301-2020</t>
  </si>
  <si>
    <t>19-12-308</t>
  </si>
  <si>
    <t>SEF-I-48-2020</t>
  </si>
  <si>
    <t>0032-S-2020</t>
  </si>
  <si>
    <t>0031-S-2020</t>
  </si>
  <si>
    <t>2020-013</t>
  </si>
  <si>
    <t>CW RA 7171-24</t>
  </si>
  <si>
    <t>GS-GF-2020-0253</t>
  </si>
  <si>
    <t>2020-06-025</t>
  </si>
  <si>
    <t>HMD-2020-02-0115</t>
  </si>
  <si>
    <t>005</t>
  </si>
  <si>
    <t>0030-S-20</t>
  </si>
  <si>
    <t>Aklan BAC RFQ 353 Series of 2020</t>
  </si>
  <si>
    <t>2020-06-0106</t>
  </si>
  <si>
    <t>GF-20-02-00030B</t>
  </si>
  <si>
    <t>2020-06-030</t>
  </si>
  <si>
    <t>2020-016</t>
  </si>
  <si>
    <t>300-20-05-0399</t>
  </si>
  <si>
    <t>06-197</t>
  </si>
  <si>
    <t>2020-11</t>
  </si>
  <si>
    <t>2020-07-07-363PG</t>
  </si>
  <si>
    <t>2020-PR-99</t>
  </si>
  <si>
    <t>2020-102</t>
  </si>
  <si>
    <t>ADS-1368-20</t>
  </si>
  <si>
    <t>GF-20-02-00061B</t>
  </si>
  <si>
    <t>RFQ2020-06-0918</t>
  </si>
  <si>
    <t>ITB NO. 010 OF 2020</t>
  </si>
  <si>
    <t>RQ No. 2020-06-72</t>
  </si>
  <si>
    <t>0033-S-2020</t>
  </si>
  <si>
    <t>20-06-059</t>
  </si>
  <si>
    <t>RDTD-2019-11-0887</t>
  </si>
  <si>
    <t>GS-GF-2020-0254</t>
  </si>
  <si>
    <t>30060444,0447-0449</t>
  </si>
  <si>
    <t>20-04-00296</t>
  </si>
  <si>
    <t>lgu padada-0019-06-15-2020</t>
  </si>
  <si>
    <t>20-06-PM013</t>
  </si>
  <si>
    <t>RFQ2020-06-0917</t>
  </si>
  <si>
    <t>2020-402-06</t>
  </si>
  <si>
    <t>THWRDEC-Water Analysis</t>
  </si>
  <si>
    <t>20-06-0648</t>
  </si>
  <si>
    <t>2020-06-339</t>
  </si>
  <si>
    <t>2020-06-012</t>
  </si>
  <si>
    <t>SVP 2020-13</t>
  </si>
  <si>
    <t>RQ No. 2020-06-74</t>
  </si>
  <si>
    <t>SP(LEGIS)20-099(NP/SV)</t>
  </si>
  <si>
    <t>ITB NO. 011 OF 2020</t>
  </si>
  <si>
    <t>B-20-25</t>
  </si>
  <si>
    <t>ADS-1366-20</t>
  </si>
  <si>
    <t>P.R. No.:DARFO2.QES.115.20-05-018</t>
  </si>
  <si>
    <t>2020-06-32-20DF20 (INFRA)</t>
  </si>
  <si>
    <t>41</t>
  </si>
  <si>
    <t>ADS-1367-20</t>
  </si>
  <si>
    <t>RQ 06-001A</t>
  </si>
  <si>
    <t>100(01)20-04-0896</t>
  </si>
  <si>
    <t>072020</t>
  </si>
  <si>
    <t>ITB NO. 012 OF 2020</t>
  </si>
  <si>
    <t>20-06-0650</t>
  </si>
  <si>
    <t>2020-047</t>
  </si>
  <si>
    <t>2020-06-0015</t>
  </si>
  <si>
    <t>INFRA-2020-03</t>
  </si>
  <si>
    <t>20GA0199</t>
  </si>
  <si>
    <t>2020-040169</t>
  </si>
  <si>
    <t>ADS-1376-20</t>
  </si>
  <si>
    <t>SV20-06-003ILO Lot - 1</t>
  </si>
  <si>
    <t>20-04-225</t>
  </si>
  <si>
    <t>LGU-Valencia, Bohol 2020-060</t>
  </si>
  <si>
    <t>lgu padada 0018-06-15-2020</t>
  </si>
  <si>
    <t>SMAC-NEG-16-20</t>
  </si>
  <si>
    <t>2020-07-07-364PG</t>
  </si>
  <si>
    <t>RQ No. 2020-06-75</t>
  </si>
  <si>
    <t>20-06-031</t>
  </si>
  <si>
    <t>061520-TFB1</t>
  </si>
  <si>
    <t>LGUBal2020-03</t>
  </si>
  <si>
    <t>RFQ No. 82-2020-G (1 Canvass)</t>
  </si>
  <si>
    <t>P.R. No.:DARFO2.QES.115.20-06-014</t>
  </si>
  <si>
    <t>RFQ No. 81-2020-G (1 Canvass)</t>
  </si>
  <si>
    <t>HMD-2020-01-0042</t>
  </si>
  <si>
    <t>2020-06-032</t>
  </si>
  <si>
    <t>NIAREG9-06-2020-FUND501LFPS-077 (SH)</t>
  </si>
  <si>
    <t>4-S-2020</t>
  </si>
  <si>
    <t>RFQ No. 83-2020-G (1 Canvass)</t>
  </si>
  <si>
    <t>20-06-319</t>
  </si>
  <si>
    <t>2020-014</t>
  </si>
  <si>
    <t>VIN BAC 028-2020</t>
  </si>
  <si>
    <t>20-06-225</t>
  </si>
  <si>
    <t>2020-06-031</t>
  </si>
  <si>
    <t>ADS-1370-20</t>
  </si>
  <si>
    <t>2020-07-07-365PG</t>
  </si>
  <si>
    <t>2020-06-148</t>
  </si>
  <si>
    <t>ADS-1372-20</t>
  </si>
  <si>
    <t>INFRA-2020-04</t>
  </si>
  <si>
    <t>SJ20-01</t>
  </si>
  <si>
    <t>2020-06-35-GF18 (INFRA)</t>
  </si>
  <si>
    <t>SVP-2020-06-92</t>
  </si>
  <si>
    <t>2020-06-0099</t>
  </si>
  <si>
    <t>20A00021</t>
  </si>
  <si>
    <t>100(01)20-05-1121</t>
  </si>
  <si>
    <t>SVP 2020-345</t>
  </si>
  <si>
    <t>2020-01-17</t>
  </si>
  <si>
    <t>KC-2020-06-0191</t>
  </si>
  <si>
    <t>20-06-104</t>
  </si>
  <si>
    <t>RFQ No. 84-2020-G (1 Canvass)</t>
  </si>
  <si>
    <t>061520-TFB2</t>
  </si>
  <si>
    <t>20A00070</t>
  </si>
  <si>
    <t>VIN BAC 029-2020</t>
  </si>
  <si>
    <t>BMC-N-20-179</t>
  </si>
  <si>
    <t>50-1</t>
  </si>
  <si>
    <t>20-06-054</t>
  </si>
  <si>
    <t>20-06-244</t>
  </si>
  <si>
    <t>100(01)20-05-1128</t>
  </si>
  <si>
    <t>P.R. No. 20-06-159</t>
  </si>
  <si>
    <t>2020-05-051</t>
  </si>
  <si>
    <t>2020-06-095</t>
  </si>
  <si>
    <t>Aklan BAC RFQ 354 Series of 2020</t>
  </si>
  <si>
    <t>2020-04-126</t>
  </si>
  <si>
    <t>6152020</t>
  </si>
  <si>
    <t>BMC-N-20-180</t>
  </si>
  <si>
    <t>061520-TFB3</t>
  </si>
  <si>
    <t>2020-196-03</t>
  </si>
  <si>
    <t>06152020-C</t>
  </si>
  <si>
    <t>RFQ No. 85-2020-G (1 Canvass)</t>
  </si>
  <si>
    <t>01-01-2020-06-558</t>
  </si>
  <si>
    <t>VIN BAC 030-2020</t>
  </si>
  <si>
    <t>MKWD-BAC-2020-048</t>
  </si>
  <si>
    <t>20-06-107</t>
  </si>
  <si>
    <t>PR No 08-2020 Fundado</t>
  </si>
  <si>
    <t>SN No 2020-001</t>
  </si>
  <si>
    <t>102-1011-017</t>
  </si>
  <si>
    <t>SJ20-02</t>
  </si>
  <si>
    <t>bk-cw-1-2020</t>
  </si>
  <si>
    <t>DENR XII-SP-25-2020</t>
  </si>
  <si>
    <t>SV20-06-003ILO Lot - 2</t>
  </si>
  <si>
    <t>BLGU-PBD-Sta. Elena-2020-24</t>
  </si>
  <si>
    <t>363-2020</t>
  </si>
  <si>
    <t>2020-06-393</t>
  </si>
  <si>
    <t>BMC-N-20-181</t>
  </si>
  <si>
    <t>2020-06-0095</t>
  </si>
  <si>
    <t>2020-06-096</t>
  </si>
  <si>
    <t>051520-TFB4</t>
  </si>
  <si>
    <t>SJ20-03</t>
  </si>
  <si>
    <t>2020-06-34-20DF20 (INFRA)</t>
  </si>
  <si>
    <t>MEO-004-2020</t>
  </si>
  <si>
    <t>BACII-2020-15</t>
  </si>
  <si>
    <t>P.R. No. 20-06-162</t>
  </si>
  <si>
    <t>2020-6-171</t>
  </si>
  <si>
    <t>LGUBal2020-04</t>
  </si>
  <si>
    <t>GOODS - 2020-06-044</t>
  </si>
  <si>
    <t>RFQ 2020-0236</t>
  </si>
  <si>
    <t>06-0652-19</t>
  </si>
  <si>
    <t>SJ20-04</t>
  </si>
  <si>
    <t>101-1011-017</t>
  </si>
  <si>
    <t>061520-TFB5</t>
  </si>
  <si>
    <t>2020-06-016</t>
  </si>
  <si>
    <t>SV-0736-2020</t>
  </si>
  <si>
    <t>DARROV-4-2020</t>
  </si>
  <si>
    <t>BMC-N-20-182</t>
  </si>
  <si>
    <t>NLPRSD-2020-06-0292</t>
  </si>
  <si>
    <t>RFQ-2020-170</t>
  </si>
  <si>
    <t>20GA0054</t>
  </si>
  <si>
    <t>BAY-TF-2020-06-429</t>
  </si>
  <si>
    <t>364-2020</t>
  </si>
  <si>
    <t>P.R. No. 20-06-161</t>
  </si>
  <si>
    <t>2020-06-037</t>
  </si>
  <si>
    <t>2020-06-026</t>
  </si>
  <si>
    <t>khs-2020-004</t>
  </si>
  <si>
    <t>2020-06-36-20DF20 (INFRA)</t>
  </si>
  <si>
    <t>2020-308-03</t>
  </si>
  <si>
    <t>365-2020</t>
  </si>
  <si>
    <t>100(01)20-01-0130</t>
  </si>
  <si>
    <t>037-2020 Procurement of various equipment for tele</t>
  </si>
  <si>
    <t>BAC-HO GS No. 2020-0243</t>
  </si>
  <si>
    <t>20-06-110</t>
  </si>
  <si>
    <t>2020-g-191</t>
  </si>
  <si>
    <t>20-009-R</t>
  </si>
  <si>
    <t>SJ20-05</t>
  </si>
  <si>
    <t>2020-05-047</t>
  </si>
  <si>
    <t>101-2020-06-159-041</t>
  </si>
  <si>
    <t>20-06-052</t>
  </si>
  <si>
    <t>LGU-TAN-GOODS-2020-068</t>
  </si>
  <si>
    <t>MKWD-BAC-2020-049</t>
  </si>
  <si>
    <t>20CB-GSC-327 PURCHASE OF ENGINE OIL FOR MOTOR VEHI</t>
  </si>
  <si>
    <t>Waste Water Analysis thwrdec</t>
  </si>
  <si>
    <t>NP280-TIRES-2020</t>
  </si>
  <si>
    <t>LGUBal2020-05</t>
  </si>
  <si>
    <t>2020-06-038</t>
  </si>
  <si>
    <t>013-2020-PB</t>
  </si>
  <si>
    <t>2020-06-335</t>
  </si>
  <si>
    <t>100-2020-Goods-352</t>
  </si>
  <si>
    <t>popcom2020-049</t>
  </si>
  <si>
    <t>100-20-04-493</t>
  </si>
  <si>
    <t>0051-2020</t>
  </si>
  <si>
    <t>LGU-100-2020-06-G-435</t>
  </si>
  <si>
    <t>SJ20-06</t>
  </si>
  <si>
    <t>366-2020</t>
  </si>
  <si>
    <t>PR# 020-0174</t>
  </si>
  <si>
    <t>LGU-Valencia, Bohol 2020-061</t>
  </si>
  <si>
    <t>20CB-GSC-329 PURCHASE OF MATERIALS FOR SLAUGHTERHO</t>
  </si>
  <si>
    <t>MKWD-BAC-2020-050</t>
  </si>
  <si>
    <t>RFQ No. 20-0543 Shopping B</t>
  </si>
  <si>
    <t>SF-GOODS NO. 63-(06-15-20)</t>
  </si>
  <si>
    <t>ITB No. 2020-154-bpmc</t>
  </si>
  <si>
    <t>06152020-E</t>
  </si>
  <si>
    <t>B-ITB-19-2020-M</t>
  </si>
  <si>
    <t>BMC-N-20-183</t>
  </si>
  <si>
    <t>20-06-111</t>
  </si>
  <si>
    <t>362-2020</t>
  </si>
  <si>
    <t>06152020-D</t>
  </si>
  <si>
    <t>S-0213</t>
  </si>
  <si>
    <t>20GA0203</t>
  </si>
  <si>
    <t>2020-258-03</t>
  </si>
  <si>
    <t>BACRFQ2020-094</t>
  </si>
  <si>
    <t>Aklan BAC RFQ 355 Series of 2020</t>
  </si>
  <si>
    <t>RFQ No. 86-2020-G (1 Canvass)</t>
  </si>
  <si>
    <t>P.R. No. 20-06-157</t>
  </si>
  <si>
    <t>2020-Bgry. 04 Pob. 002</t>
  </si>
  <si>
    <t>20-06-113</t>
  </si>
  <si>
    <t>MKWD-BAC-2020-051</t>
  </si>
  <si>
    <t>2020-06-0345</t>
  </si>
  <si>
    <t>2020-06-336</t>
  </si>
  <si>
    <t>20CB-GSC-331 PURCHASE OF FUELS &amp; LUBRICANTS (RE-BI</t>
  </si>
  <si>
    <t>2020-06-37-20DF20 (INFRA)</t>
  </si>
  <si>
    <t>100-20-04-492</t>
  </si>
  <si>
    <t>06152020-G</t>
  </si>
  <si>
    <t>DOSTR01-RFQ2020-25</t>
  </si>
  <si>
    <t>AFPPS-REPE-0932-20</t>
  </si>
  <si>
    <t>2020-405</t>
  </si>
  <si>
    <t>RFQ-2020-06-002</t>
  </si>
  <si>
    <t>20GAC0018</t>
  </si>
  <si>
    <t>06152020-F</t>
  </si>
  <si>
    <t>7</t>
  </si>
  <si>
    <t>2020-SVP-05-014</t>
  </si>
  <si>
    <t>P.R NO. 100-2020-03-0323</t>
  </si>
  <si>
    <t>MMWD-0016-2020</t>
  </si>
  <si>
    <t>005-Goods-2020</t>
  </si>
  <si>
    <t>POG/TF/42-2020</t>
  </si>
  <si>
    <t>2020131</t>
  </si>
  <si>
    <t>2020-449</t>
  </si>
  <si>
    <t>2020-Brgy.13-005</t>
  </si>
  <si>
    <t>100-20-05-659</t>
  </si>
  <si>
    <t>ITB No. 2020-155-bph-kalilangan</t>
  </si>
  <si>
    <t>RFQ 2020-81</t>
  </si>
  <si>
    <t>ADMIN 2020-03-030</t>
  </si>
  <si>
    <t>MALAMA 2020-001</t>
  </si>
  <si>
    <t>06152020-H</t>
  </si>
  <si>
    <t>2020-245-03</t>
  </si>
  <si>
    <t>RFQ 080 101</t>
  </si>
  <si>
    <t>DIM-INFRA-2020-09</t>
  </si>
  <si>
    <t>014-2020-PB</t>
  </si>
  <si>
    <t>103-1011-017</t>
  </si>
  <si>
    <t>074-20-A</t>
  </si>
  <si>
    <t>20GAC0019</t>
  </si>
  <si>
    <t>2020-5-1280</t>
  </si>
  <si>
    <t>RFQ-2020-053</t>
  </si>
  <si>
    <t>MALAMA 2020-002</t>
  </si>
  <si>
    <t>074-20-E</t>
  </si>
  <si>
    <t>2020-0143</t>
  </si>
  <si>
    <t>2020-05-1002</t>
  </si>
  <si>
    <t>ITB No. UATLMC2020-101-03-005L1</t>
  </si>
  <si>
    <t>ITB No. 2020-156-sp-maramara</t>
  </si>
  <si>
    <t>HPMA-2020-06-0364</t>
  </si>
  <si>
    <t>2020-06-04</t>
  </si>
  <si>
    <t>6-15-2020</t>
  </si>
  <si>
    <t>G291-20</t>
  </si>
  <si>
    <t>20-06-106</t>
  </si>
  <si>
    <t>2020-07-07-366PG</t>
  </si>
  <si>
    <t>BARANGAY TAGNATE 2</t>
  </si>
  <si>
    <t>2020-I-13</t>
  </si>
  <si>
    <t>PAPC-OG3_ASCOM-2020-11185-5251</t>
  </si>
  <si>
    <t xml:space="preserve">20CB-GSC-333 PURCHASE OF CORE VALUE T-SHIRTS WITH </t>
  </si>
  <si>
    <t>2020-204</t>
  </si>
  <si>
    <t>MKWD-BAC-2020-052</t>
  </si>
  <si>
    <t>2020132</t>
  </si>
  <si>
    <t>BAC-PG-00132-20</t>
  </si>
  <si>
    <t>Aklan BAC ITB 334 Series of 2020</t>
  </si>
  <si>
    <t>5-S-2020</t>
  </si>
  <si>
    <t>20GA0221</t>
  </si>
  <si>
    <t>2020-208</t>
  </si>
  <si>
    <t>RQ No. 2020-06-76</t>
  </si>
  <si>
    <t>06-20-001</t>
  </si>
  <si>
    <t>RFQ 2020-06-0108</t>
  </si>
  <si>
    <t>20-06-028</t>
  </si>
  <si>
    <t>BMC-N-20-186</t>
  </si>
  <si>
    <t>1021-1011-017</t>
  </si>
  <si>
    <t>GB 2002-006</t>
  </si>
  <si>
    <t>RFQ ADMIN 2020 03 029</t>
  </si>
  <si>
    <t>CB 05 - 2020</t>
  </si>
  <si>
    <t>2020133</t>
  </si>
  <si>
    <t>RFQ No. 20-0545 NP-SV</t>
  </si>
  <si>
    <t>RFQ-004 MPDO</t>
  </si>
  <si>
    <t>2020-022</t>
  </si>
  <si>
    <t>BAC-PG-00133-20</t>
  </si>
  <si>
    <t>2020-355</t>
  </si>
  <si>
    <t>100-20-05-657</t>
  </si>
  <si>
    <t>G303-20</t>
  </si>
  <si>
    <t>CG-RFQ-118-2020</t>
  </si>
  <si>
    <t>RFQ 2020-83</t>
  </si>
  <si>
    <t>2020-06-013</t>
  </si>
  <si>
    <t>LGU-SIN-2020-06-219</t>
  </si>
  <si>
    <t>0020-20- SVP</t>
  </si>
  <si>
    <t>RFQ-2020-084-GOODS</t>
  </si>
  <si>
    <t>ITB No. 2020-157-sp-maramara, sp-dinlayan and sp-g</t>
  </si>
  <si>
    <t>PNU2020-0055</t>
  </si>
  <si>
    <t>2020-02-039 &amp; 051</t>
  </si>
  <si>
    <t>BMC-N-20-185</t>
  </si>
  <si>
    <t>2020-442</t>
  </si>
  <si>
    <t>2020-06-38-20DF20(INFRA)</t>
  </si>
  <si>
    <t>PAPC-APAO-2020-11300-5252</t>
  </si>
  <si>
    <t>CB 06 - 2020</t>
  </si>
  <si>
    <t>APR No. 100-20-06-410</t>
  </si>
  <si>
    <t>HB 2003-016</t>
  </si>
  <si>
    <t>RFQ No. 0156</t>
  </si>
  <si>
    <t>DHSUD-RFQ-R7-20-001</t>
  </si>
  <si>
    <t>23-S-20</t>
  </si>
  <si>
    <t>ATI2020-06-117</t>
  </si>
  <si>
    <t>020-2020</t>
  </si>
  <si>
    <t>20CB-GSC-332 PURCHASE OF SPARE PARTS FOR MOTOR VEH</t>
  </si>
  <si>
    <t>2020-358</t>
  </si>
  <si>
    <t>2020136</t>
  </si>
  <si>
    <t>2020-SRV-012</t>
  </si>
  <si>
    <t>2020-402</t>
  </si>
  <si>
    <t>2020-2014</t>
  </si>
  <si>
    <t>20-034</t>
  </si>
  <si>
    <t>2020-095</t>
  </si>
  <si>
    <t>NUB-20-06-0459</t>
  </si>
  <si>
    <t>20-06-0418</t>
  </si>
  <si>
    <t>100-20-05-656</t>
  </si>
  <si>
    <t>2020-01-IT-01</t>
  </si>
  <si>
    <t>2020-0270</t>
  </si>
  <si>
    <t>goods2020037</t>
  </si>
  <si>
    <t>Jiab-2020-25A</t>
  </si>
  <si>
    <t>2020-324</t>
  </si>
  <si>
    <t>100-20-05-639</t>
  </si>
  <si>
    <t>DARCII-2020-009</t>
  </si>
  <si>
    <t>PAPC-HHSG-2020-11147-5253</t>
  </si>
  <si>
    <t>20GOF0010</t>
  </si>
  <si>
    <t>2020-RFQ-024G</t>
  </si>
  <si>
    <t>24-S-20</t>
  </si>
  <si>
    <t>25-S-20</t>
  </si>
  <si>
    <t>RFQ-09</t>
  </si>
  <si>
    <t>BMC-N-20-187</t>
  </si>
  <si>
    <t>0095-2020</t>
  </si>
  <si>
    <t>DILG-2020-03</t>
  </si>
  <si>
    <t>DAS2020-046</t>
  </si>
  <si>
    <t>2020134</t>
  </si>
  <si>
    <t>20GOF0011</t>
  </si>
  <si>
    <t>LGN-GOODS-2020-001</t>
  </si>
  <si>
    <t>2020-328</t>
  </si>
  <si>
    <t>2020-399</t>
  </si>
  <si>
    <t>2020-RFQ-025G</t>
  </si>
  <si>
    <t>DTIMP-INREMP-2020-03</t>
  </si>
  <si>
    <t>ITB No. UATLMC2020-101-03-005L2</t>
  </si>
  <si>
    <t>2020-06-011 Procurement of Resuce and Communicatio</t>
  </si>
  <si>
    <t>20-018</t>
  </si>
  <si>
    <t>2020-330</t>
  </si>
  <si>
    <t>TASS-06-06-2020</t>
  </si>
  <si>
    <t>PR-2020-06-13</t>
  </si>
  <si>
    <t>2020-448</t>
  </si>
  <si>
    <t>ITB No. 06-GOODS-2019</t>
  </si>
  <si>
    <t>2020-333</t>
  </si>
  <si>
    <t>20-0612-1061</t>
  </si>
  <si>
    <t>LGU-SIN-2020-06-220</t>
  </si>
  <si>
    <t>2020-06-007</t>
  </si>
  <si>
    <t>101-2020-06-01IF</t>
  </si>
  <si>
    <t>CG-1-119-2020</t>
  </si>
  <si>
    <t>RFQ-004-2020</t>
  </si>
  <si>
    <t>95</t>
  </si>
  <si>
    <t>20GOF0012</t>
  </si>
  <si>
    <t>2020-334</t>
  </si>
  <si>
    <t>RFQ-2020-085-GOODS</t>
  </si>
  <si>
    <t>LGUPROC 2020 -104R</t>
  </si>
  <si>
    <t>APR No. 100-20-06-416</t>
  </si>
  <si>
    <t>0427</t>
  </si>
  <si>
    <t>115-1011-017</t>
  </si>
  <si>
    <t>BAC 2020-31</t>
  </si>
  <si>
    <t>2020-0265</t>
  </si>
  <si>
    <t>2020-0615-01</t>
  </si>
  <si>
    <t>06-15-2020</t>
  </si>
  <si>
    <t>2020-337</t>
  </si>
  <si>
    <t>06-15-2020-211</t>
  </si>
  <si>
    <t>20-06-049</t>
  </si>
  <si>
    <t>20GOF0013</t>
  </si>
  <si>
    <t>CGS-2020-0135</t>
  </si>
  <si>
    <t>20GOF0014</t>
  </si>
  <si>
    <t>June 15, 2020</t>
  </si>
  <si>
    <t>2020-341</t>
  </si>
  <si>
    <t>DVO-200623-19</t>
  </si>
  <si>
    <t>2020-06-15-03</t>
  </si>
  <si>
    <t>0021-20-SVP</t>
  </si>
  <si>
    <t>2020137</t>
  </si>
  <si>
    <t>2020-433</t>
  </si>
  <si>
    <t>9998-20-059</t>
  </si>
  <si>
    <t>BAC-2020-0018</t>
  </si>
  <si>
    <t>2020-338</t>
  </si>
  <si>
    <t>2020-GOODS-246</t>
  </si>
  <si>
    <t>PR 2020-06-031</t>
  </si>
  <si>
    <t>20-06-053</t>
  </si>
  <si>
    <t>2020-343</t>
  </si>
  <si>
    <t>2020-018</t>
  </si>
  <si>
    <t>RFQ-005-2020</t>
  </si>
  <si>
    <t>20GOF0015</t>
  </si>
  <si>
    <t>RFQ No. 0796-20</t>
  </si>
  <si>
    <t>2020-03-099</t>
  </si>
  <si>
    <t>20GOF0016</t>
  </si>
  <si>
    <t>RFQ 96-2020</t>
  </si>
  <si>
    <t>2020-1835</t>
  </si>
  <si>
    <t>2020-348</t>
  </si>
  <si>
    <t>2020-06-0179</t>
  </si>
  <si>
    <t>pgeps#0251-2020</t>
  </si>
  <si>
    <t>ORF BBG-2020-05</t>
  </si>
  <si>
    <t>RFQ-2020-086-GOODS</t>
  </si>
  <si>
    <t>PR No. 20-04-033</t>
  </si>
  <si>
    <t>2020-01-CONS</t>
  </si>
  <si>
    <t>QNV-028-2020</t>
  </si>
  <si>
    <t>CB 07 - 2020</t>
  </si>
  <si>
    <t xml:space="preserve">RFQ 2020 - 06 - 21 Upgrade Equiptment for Barista </t>
  </si>
  <si>
    <t>bac-azds-rfq-022-2020</t>
  </si>
  <si>
    <t>RFQ No. 0795-20</t>
  </si>
  <si>
    <t>RFQ-2020-06-012</t>
  </si>
  <si>
    <t>Amagbagan-001</t>
  </si>
  <si>
    <t>2020-353</t>
  </si>
  <si>
    <t>2020-0059</t>
  </si>
  <si>
    <t>CG-RFQ-120-2020</t>
  </si>
  <si>
    <t>ITBRA7171-2020-009</t>
  </si>
  <si>
    <t>2020-0044</t>
  </si>
  <si>
    <t>IL-2020-U-26</t>
  </si>
  <si>
    <t>2020-336</t>
  </si>
  <si>
    <t>LGUPROC 2020 -105R</t>
  </si>
  <si>
    <t>2020-06-033</t>
  </si>
  <si>
    <t>ITB No. UATLMC2020-101-03-005L3</t>
  </si>
  <si>
    <t>CG-RFQ-121-2020</t>
  </si>
  <si>
    <t>RFQ-2020-087-GOODS</t>
  </si>
  <si>
    <t>2020-361</t>
  </si>
  <si>
    <t>1011-20-06-12</t>
  </si>
  <si>
    <t>2020-362</t>
  </si>
  <si>
    <t>2020-06-012 Procurement of Common-Use Office Suppl</t>
  </si>
  <si>
    <t>409THCO-GHQ&amp;HSC-SVCJ-95-20</t>
  </si>
  <si>
    <t>2020-41</t>
  </si>
  <si>
    <t>2020-019</t>
  </si>
  <si>
    <t>2020-03-087</t>
  </si>
  <si>
    <t>APR No. 100-20-04-295</t>
  </si>
  <si>
    <t>024-06-2020</t>
  </si>
  <si>
    <t>ATI2020-06-118</t>
  </si>
  <si>
    <t>HPMA-2020-06-0362</t>
  </si>
  <si>
    <t>RFQ 97-2020</t>
  </si>
  <si>
    <t>2020-084</t>
  </si>
  <si>
    <t>RFQ No. 0785-20</t>
  </si>
  <si>
    <t>2020-340</t>
  </si>
  <si>
    <t>pgeps#0252-2020</t>
  </si>
  <si>
    <t>2020-0052</t>
  </si>
  <si>
    <t>pgeps#0253-2020</t>
  </si>
  <si>
    <t>2020-136</t>
  </si>
  <si>
    <t>RFQ-2020-06-013</t>
  </si>
  <si>
    <t>2020-020</t>
  </si>
  <si>
    <t>RFQ No. 0793-20</t>
  </si>
  <si>
    <t>PR No. 2020-267</t>
  </si>
  <si>
    <t>20-04-218</t>
  </si>
  <si>
    <t>RFQ No. 2020-012</t>
  </si>
  <si>
    <t>CG-RFQ-122-2020</t>
  </si>
  <si>
    <t>RFQ-2020-089-GOODS</t>
  </si>
  <si>
    <t>DVO-200623-20</t>
  </si>
  <si>
    <t>20-26</t>
  </si>
  <si>
    <t>INFRA-2020-06-35</t>
  </si>
  <si>
    <t>2020-GOODS-247</t>
  </si>
  <si>
    <t>ITB No. UATLMC2020-101-03-005L4</t>
  </si>
  <si>
    <t>2020-2058</t>
  </si>
  <si>
    <t>2020-07-07-367PG</t>
  </si>
  <si>
    <t>109CO - 06 - 2020 - 087</t>
  </si>
  <si>
    <t>2020-456</t>
  </si>
  <si>
    <t>APR No. 100-20-06-417</t>
  </si>
  <si>
    <t>1016-03-007</t>
  </si>
  <si>
    <t>BAC 2020-32</t>
  </si>
  <si>
    <t>INFRA-2020-06-36</t>
  </si>
  <si>
    <t>CW2020-10</t>
  </si>
  <si>
    <t>maniboc2020-01</t>
  </si>
  <si>
    <t>PG-2020-045</t>
  </si>
  <si>
    <t>MOOE2020 2ND QTR REPAIR AND MAINTENANCE</t>
  </si>
  <si>
    <t>2020-Lamitan-26</t>
  </si>
  <si>
    <t>2020-1895</t>
  </si>
  <si>
    <t>RFQ-005</t>
  </si>
  <si>
    <t>20-06-105</t>
  </si>
  <si>
    <t>2020-6-15-7</t>
  </si>
  <si>
    <t>4411-20-06-023</t>
  </si>
  <si>
    <t>ITB No. UATLMC2020-101-03-005L5</t>
  </si>
  <si>
    <t>1011-20-06-13</t>
  </si>
  <si>
    <t>MGBX-06-076-2020 (8)</t>
  </si>
  <si>
    <t>INFRA-2020-06-37</t>
  </si>
  <si>
    <t>20-crg-20-05-1009</t>
  </si>
  <si>
    <t>105CO-10329-54IB-2020</t>
  </si>
  <si>
    <t>DVO-200623-21</t>
  </si>
  <si>
    <t>DOH-MMCHD-2020-06-157-G</t>
  </si>
  <si>
    <t>2020-07-07-368PG</t>
  </si>
  <si>
    <t>DVO-200623-22</t>
  </si>
  <si>
    <t>ITB01-GOODS-SUPPLIES-LABOR-2020</t>
  </si>
  <si>
    <t>2020 INFRA 002</t>
  </si>
  <si>
    <t>2020-109</t>
  </si>
  <si>
    <t>BOC-GOODS-RFQ-51-2020</t>
  </si>
  <si>
    <t>2020-58</t>
  </si>
  <si>
    <t>2020-1953</t>
  </si>
  <si>
    <t>06192020-088</t>
  </si>
  <si>
    <t>2020-80</t>
  </si>
  <si>
    <t>RFQ 2020-001 GOODS</t>
  </si>
  <si>
    <t>ITB No. UATLMC2020-101-03-005L6</t>
  </si>
  <si>
    <t>RFQ-Goods-86-2020</t>
  </si>
  <si>
    <t>2020-07-07-369PG</t>
  </si>
  <si>
    <t>2020-06-061</t>
  </si>
  <si>
    <t>0046-2020</t>
  </si>
  <si>
    <t>2020-021</t>
  </si>
  <si>
    <t>CG-RFQ-123-2020</t>
  </si>
  <si>
    <t>INFRA-2020-06-38</t>
  </si>
  <si>
    <t>DAPA-077-2020</t>
  </si>
  <si>
    <t>2020-28</t>
  </si>
  <si>
    <t>DVO-200623-23</t>
  </si>
  <si>
    <t>2020-407</t>
  </si>
  <si>
    <t>ITBRA7171-2020-010</t>
  </si>
  <si>
    <t>2020 INFRA 003</t>
  </si>
  <si>
    <t>100-20-06-0105</t>
  </si>
  <si>
    <t>DVO-200623-24</t>
  </si>
  <si>
    <t>INFRA-2020-06-39</t>
  </si>
  <si>
    <t>20NA0070</t>
  </si>
  <si>
    <t>IB. NO. 2020-176</t>
  </si>
  <si>
    <t>RFQ NO. 20-0541 NP-SVP</t>
  </si>
  <si>
    <t>MGBX-06-094-2020</t>
  </si>
  <si>
    <t>2020-Lamitan-27</t>
  </si>
  <si>
    <t>CG-RFQ-124-2020</t>
  </si>
  <si>
    <t>SPC PR No. 2000005462</t>
  </si>
  <si>
    <t>2020-027</t>
  </si>
  <si>
    <t>GOODS2020-71</t>
  </si>
  <si>
    <t>BFARIX-FLEG-20-06-367</t>
  </si>
  <si>
    <t>AMP-019-2020</t>
  </si>
  <si>
    <t>RFQ-2020-006</t>
  </si>
  <si>
    <t>ITB No. UATLMC2020-101-03-005L7</t>
  </si>
  <si>
    <t>2020-06-0440 RSCC</t>
  </si>
  <si>
    <t>RFQ-2020-171</t>
  </si>
  <si>
    <t>BAC 2020-33</t>
  </si>
  <si>
    <t>RFQ-10</t>
  </si>
  <si>
    <t>2020 INFRA 005</t>
  </si>
  <si>
    <t>MGCP-20G-579A</t>
  </si>
  <si>
    <t>2020 - 98</t>
  </si>
  <si>
    <t>IB No. 2020-189</t>
  </si>
  <si>
    <t>LGUBTA 20-058</t>
  </si>
  <si>
    <t>22</t>
  </si>
  <si>
    <t>OD-2020-05-006</t>
  </si>
  <si>
    <t>BAC2020-06-022</t>
  </si>
  <si>
    <t>CGS-2020-0136</t>
  </si>
  <si>
    <t>DVO-200623-25</t>
  </si>
  <si>
    <t>2020-07-07-370PG</t>
  </si>
  <si>
    <t>CG-RFQ-125-2020</t>
  </si>
  <si>
    <t>N2FB-23-2020(B)</t>
  </si>
  <si>
    <t>LCWD-2020-048 Mechanical Gate vAlves and Universal</t>
  </si>
  <si>
    <t>CW2020-11</t>
  </si>
  <si>
    <t>RFQ2020-06-085</t>
  </si>
  <si>
    <t>RFQ-2020-090-GOODS-SWMO</t>
  </si>
  <si>
    <t>109CO - 06 - 2020 - 088</t>
  </si>
  <si>
    <t>06112020187</t>
  </si>
  <si>
    <t>2020 INFRA 004</t>
  </si>
  <si>
    <t>DOH-MMCHD-2020-06-158-G</t>
  </si>
  <si>
    <t>LGU-SCM 2020-201</t>
  </si>
  <si>
    <t>ITB No. UATLMC2020-101-03-003L1</t>
  </si>
  <si>
    <t>CBSUA-SIP-GOODS-11-2020</t>
  </si>
  <si>
    <t>PR 226-020</t>
  </si>
  <si>
    <t>SVP-2020-06-93</t>
  </si>
  <si>
    <t>N2FB-07-2020(B)</t>
  </si>
  <si>
    <t>CG-RFQ-126-2020</t>
  </si>
  <si>
    <t>2020-Lamitan-28</t>
  </si>
  <si>
    <t>2020-03-066(1)</t>
  </si>
  <si>
    <t>20CSA008</t>
  </si>
  <si>
    <t>BUSO – 001-20</t>
  </si>
  <si>
    <t>2020-314</t>
  </si>
  <si>
    <t>2020-06-006</t>
  </si>
  <si>
    <t>Mkna-GSO-20-271</t>
  </si>
  <si>
    <t>2020-05-13-0094</t>
  </si>
  <si>
    <t>RFQ2020-06-02</t>
  </si>
  <si>
    <t>LGUBTA-059</t>
  </si>
  <si>
    <t>ITB No. UATLMC2020-101-03-003L2</t>
  </si>
  <si>
    <t>BAC-2020-582</t>
  </si>
  <si>
    <t>PG-RFQ-2020-12</t>
  </si>
  <si>
    <t>2020 INFRA 001</t>
  </si>
  <si>
    <t>40</t>
  </si>
  <si>
    <t>2020-72</t>
  </si>
  <si>
    <t>100-20-06-0164</t>
  </si>
  <si>
    <t>2020-05-089</t>
  </si>
  <si>
    <t>BLGU-PBD-Binisitahan Norte-2020-25</t>
  </si>
  <si>
    <t>03-2020-0184</t>
  </si>
  <si>
    <t>RFQ-2020-091-GOODS-FCSMO</t>
  </si>
  <si>
    <t>20-06-003</t>
  </si>
  <si>
    <t>BOC-GOODS-RFQ-52-2020</t>
  </si>
  <si>
    <t>0444-20</t>
  </si>
  <si>
    <t>2020-06-35</t>
  </si>
  <si>
    <t>2020-06-021</t>
  </si>
  <si>
    <t>2020-73</t>
  </si>
  <si>
    <t>cgb2020-204</t>
  </si>
  <si>
    <t>RFQ-2020-0010 (Re-Advertised)</t>
  </si>
  <si>
    <t>RFQ-SHS-0015</t>
  </si>
  <si>
    <t>1</t>
  </si>
  <si>
    <t>CGS-2020-0137</t>
  </si>
  <si>
    <t>2020-MGBX-06-069-2020 (3) A</t>
  </si>
  <si>
    <t>MOOE2020 2ND QTR OFFICE SUPPLIES</t>
  </si>
  <si>
    <t>100(01)20-06-321(A)</t>
  </si>
  <si>
    <t>2020-PB-016</t>
  </si>
  <si>
    <t>06-20-030</t>
  </si>
  <si>
    <t>RFQ-2019-0021</t>
  </si>
  <si>
    <t>ESPERANZA-GDS-2020-06-11</t>
  </si>
  <si>
    <t>2020-PB-017</t>
  </si>
  <si>
    <t>2020-316</t>
  </si>
  <si>
    <t>KAPALONG2020103</t>
  </si>
  <si>
    <t>2020-315</t>
  </si>
  <si>
    <t>guincam2020-06-001</t>
  </si>
  <si>
    <t>MGCP-20I-580A</t>
  </si>
  <si>
    <t>CG-RFQ-127-2020</t>
  </si>
  <si>
    <t>FRANCISCO C. JONGKO ES1</t>
  </si>
  <si>
    <t>cgb2020-205</t>
  </si>
  <si>
    <t>P.R. No. 00452-2020</t>
  </si>
  <si>
    <t>GOODS#0121, ITB#0123,  PR#0364: SCG-2020</t>
  </si>
  <si>
    <t>39</t>
  </si>
  <si>
    <t>INF-ITB 20-003</t>
  </si>
  <si>
    <t>06-085-2020</t>
  </si>
  <si>
    <t>guincam2020-06-002</t>
  </si>
  <si>
    <t>2020-PB-018</t>
  </si>
  <si>
    <t>0439</t>
  </si>
  <si>
    <t>0177-20</t>
  </si>
  <si>
    <t>rfq2020-6-03</t>
  </si>
  <si>
    <t>PR NO. 2020-06-0268</t>
  </si>
  <si>
    <t>KAPALONG2020104</t>
  </si>
  <si>
    <t>BINAN-SVP-005-2020</t>
  </si>
  <si>
    <t>OJ6-RMME-ICTE-1120-20</t>
  </si>
  <si>
    <t>PR#2020-06-PR071</t>
  </si>
  <si>
    <t>03-2020-0190</t>
  </si>
  <si>
    <t>2020-03-0071</t>
  </si>
  <si>
    <t>cgb2020-206</t>
  </si>
  <si>
    <t>GOODS#0091, ITB#0092,  PR#0276: SCG-2020</t>
  </si>
  <si>
    <t>N091-2020</t>
  </si>
  <si>
    <t>P.R. No. 00309-2020</t>
  </si>
  <si>
    <t>2020-02-003</t>
  </si>
  <si>
    <t>NP-FPA-2006-044</t>
  </si>
  <si>
    <t>2020-02-0046</t>
  </si>
  <si>
    <t>20-06-RES0413</t>
  </si>
  <si>
    <t>KAPALONG2020105</t>
  </si>
  <si>
    <t>DOH-MMCHD-2020-06-159-G</t>
  </si>
  <si>
    <t>2020-PB-019</t>
  </si>
  <si>
    <t>PR0027-20 DOPHLUPON REBID</t>
  </si>
  <si>
    <t>SVP 20-06-114</t>
  </si>
  <si>
    <t>RFQ 0320-016</t>
  </si>
  <si>
    <t>20-06-412</t>
  </si>
  <si>
    <t>0182-20</t>
  </si>
  <si>
    <t>RFQ 494</t>
  </si>
  <si>
    <t>PR 126-2020</t>
  </si>
  <si>
    <t>cgb2020-207</t>
  </si>
  <si>
    <t>Bidding-01-Amilongan-June2020</t>
  </si>
  <si>
    <t>ITB 20-004</t>
  </si>
  <si>
    <t>PR0033-20 to 0036-20 TOURISM REBID</t>
  </si>
  <si>
    <t>2020 - 12</t>
  </si>
  <si>
    <t>109CO - 06 - 2020 - 089</t>
  </si>
  <si>
    <t>CW2020-</t>
  </si>
  <si>
    <t>DA 8 SVP Goods 2020-06-0071 (STO 20-06-11-0276)</t>
  </si>
  <si>
    <t>R-BFARIX-FM-IPIL-20-03-309</t>
  </si>
  <si>
    <t>ISQ 2020-06-064</t>
  </si>
  <si>
    <t>00016</t>
  </si>
  <si>
    <t>DepEd.Pang.2 2020-006-0001</t>
  </si>
  <si>
    <t>20-02-00150</t>
  </si>
  <si>
    <t>20-06-413</t>
  </si>
  <si>
    <t>20-01-2020</t>
  </si>
  <si>
    <t>0620-485-476</t>
  </si>
  <si>
    <t>03-2020-0177</t>
  </si>
  <si>
    <t>RFQ#162-2020</t>
  </si>
  <si>
    <t>082020</t>
  </si>
  <si>
    <t>PR #00671</t>
  </si>
  <si>
    <t>P.R. No. 2020-06-0014</t>
  </si>
  <si>
    <t>2020-PR-101</t>
  </si>
  <si>
    <t>LIN 2020-03</t>
  </si>
  <si>
    <t>guincam2020-06-003</t>
  </si>
  <si>
    <t>03-2020-0170</t>
  </si>
  <si>
    <t>2020-PB-020</t>
  </si>
  <si>
    <t>GEPS2006-005</t>
  </si>
  <si>
    <t>PR0033-20 PEO REBID</t>
  </si>
  <si>
    <t>ITB 20-134</t>
  </si>
  <si>
    <t>2020-M-06-0003</t>
  </si>
  <si>
    <t>61520201</t>
  </si>
  <si>
    <t>HE-2020-06-0006</t>
  </si>
  <si>
    <t>2020 - 99</t>
  </si>
  <si>
    <t>goods2020_33</t>
  </si>
  <si>
    <t>PR#2020-06-PR072</t>
  </si>
  <si>
    <t>ITB No. 2020 – 73</t>
  </si>
  <si>
    <t>PR 127-2020</t>
  </si>
  <si>
    <t>2020-06-027</t>
  </si>
  <si>
    <t>2020-09</t>
  </si>
  <si>
    <t>2020-RBAC8-GOODS- 13</t>
  </si>
  <si>
    <t>INFRA-2020-06-001</t>
  </si>
  <si>
    <t>20PJ0053</t>
  </si>
  <si>
    <t>2020-PR-102</t>
  </si>
  <si>
    <t>PR0069-20 DOPHLUPON</t>
  </si>
  <si>
    <t>ITB NO. GOP/20-DSWD-041</t>
  </si>
  <si>
    <t>PR NO. 2020-03-0212</t>
  </si>
  <si>
    <t>cgb2020-208</t>
  </si>
  <si>
    <t>0620-444-436</t>
  </si>
  <si>
    <t>2020-PB-021</t>
  </si>
  <si>
    <t>DOH-MMCHD-2020-06-160-G</t>
  </si>
  <si>
    <t>ITB 20-135</t>
  </si>
  <si>
    <t>111-2020</t>
  </si>
  <si>
    <t>CG-RFQ-128-2020</t>
  </si>
  <si>
    <t>20-06-0002</t>
  </si>
  <si>
    <t>2020-01-0048</t>
  </si>
  <si>
    <t>2020-06-035</t>
  </si>
  <si>
    <t>100-20-06-327</t>
  </si>
  <si>
    <t>ITB 2020-060</t>
  </si>
  <si>
    <t>MGCP-20G-581A</t>
  </si>
  <si>
    <t>0620-453-445</t>
  </si>
  <si>
    <t>2020-01-0047</t>
  </si>
  <si>
    <t>L-07-2020</t>
  </si>
  <si>
    <t>RFQ-SHS-0017</t>
  </si>
  <si>
    <t>20-03-00264</t>
  </si>
  <si>
    <t>20-05-0528</t>
  </si>
  <si>
    <t>PR 2020-06-1798</t>
  </si>
  <si>
    <t>rfq2020-6-04</t>
  </si>
  <si>
    <t>guincam2020-06-004</t>
  </si>
  <si>
    <t>20-46011</t>
  </si>
  <si>
    <t>20PJ0054</t>
  </si>
  <si>
    <t>MGBX-06-069-2020 (3) B</t>
  </si>
  <si>
    <t>2020-01-0049</t>
  </si>
  <si>
    <t>CG-RFQ-129-2020</t>
  </si>
  <si>
    <t>AGGDS2020-0616A</t>
  </si>
  <si>
    <t>2020-06-028</t>
  </si>
  <si>
    <t>CGS-2020-0139</t>
  </si>
  <si>
    <t>PR0074-20 PAGRO</t>
  </si>
  <si>
    <t>Bac-Pg-001-20</t>
  </si>
  <si>
    <t>0620-445-437</t>
  </si>
  <si>
    <t>CRS-SPOF-1121-20</t>
  </si>
  <si>
    <t>guincam2020-06-005</t>
  </si>
  <si>
    <t>ITB 2020-061</t>
  </si>
  <si>
    <t>20PJ0055</t>
  </si>
  <si>
    <t>ESP-GOODS-014-2020</t>
  </si>
  <si>
    <t>ITB 20-136</t>
  </si>
  <si>
    <t>DAVOR-G-2020-10</t>
  </si>
  <si>
    <t>2020-01-0050</t>
  </si>
  <si>
    <t>20-06-179</t>
  </si>
  <si>
    <t>AREA V- 2020- SVP-022</t>
  </si>
  <si>
    <t>2020-06-008</t>
  </si>
  <si>
    <t>100200600772</t>
  </si>
  <si>
    <t>2020-034J</t>
  </si>
  <si>
    <t>SPC PR No. 1000032081</t>
  </si>
  <si>
    <t>20-06-058</t>
  </si>
  <si>
    <t>20-06-108</t>
  </si>
  <si>
    <t>RFQ147 For use of TB Reference Laboratory Xpert Xp</t>
  </si>
  <si>
    <t>002-S2020</t>
  </si>
  <si>
    <t>30-20-03-034</t>
  </si>
  <si>
    <t>SVP2020-153</t>
  </si>
  <si>
    <t>ATI2020-06-120</t>
  </si>
  <si>
    <t>PR0100-20 PEO</t>
  </si>
  <si>
    <t>RFQ 2020-06-0067-B</t>
  </si>
  <si>
    <t>doc</t>
  </si>
  <si>
    <t>AGGDS2020-0616B</t>
  </si>
  <si>
    <t>003-S2020</t>
  </si>
  <si>
    <t>2020-06-23</t>
  </si>
  <si>
    <t>ITB 20-137</t>
  </si>
  <si>
    <t>Other Supplies and Materials ferd</t>
  </si>
  <si>
    <t>PR 05-3532</t>
  </si>
  <si>
    <t>CG-RFQ-130-2020</t>
  </si>
  <si>
    <t>2020-07-07-371PG</t>
  </si>
  <si>
    <t>RFQ-20-06-0463</t>
  </si>
  <si>
    <t>409thCO-GHQ&amp;HSC-RMBD-96-20</t>
  </si>
  <si>
    <t>2020-06-SG-061</t>
  </si>
  <si>
    <t>2020-01-0051</t>
  </si>
  <si>
    <t>2020-097</t>
  </si>
  <si>
    <t>GOODS-002-2020</t>
  </si>
  <si>
    <t>PR0101-20 PEO</t>
  </si>
  <si>
    <t>797</t>
  </si>
  <si>
    <t>020-001</t>
  </si>
  <si>
    <t>100200600773</t>
  </si>
  <si>
    <t>2020-06-24</t>
  </si>
  <si>
    <t>CGS-2020-0138</t>
  </si>
  <si>
    <t>RFQ-20-06-0461</t>
  </si>
  <si>
    <t>DOT BAC REI No. 2020-010</t>
  </si>
  <si>
    <t>GHQPC-OJ4-RMOS-1123-20</t>
  </si>
  <si>
    <t>2020-PB-022</t>
  </si>
  <si>
    <t>2020-38</t>
  </si>
  <si>
    <t>cw-2020-016</t>
  </si>
  <si>
    <t>100-2002-137-GF</t>
  </si>
  <si>
    <t>PR #00669</t>
  </si>
  <si>
    <t>2020-06-306-18</t>
  </si>
  <si>
    <t>AREA V- 2020- SVP-023</t>
  </si>
  <si>
    <t>MGBX-06-069-2020 (3)</t>
  </si>
  <si>
    <t>2020-01-0052</t>
  </si>
  <si>
    <t>2020-05-0992</t>
  </si>
  <si>
    <t>20PJ0056</t>
  </si>
  <si>
    <t>RFQ-11</t>
  </si>
  <si>
    <t>2020-06-25</t>
  </si>
  <si>
    <t>20PL0104</t>
  </si>
  <si>
    <t>2020-06-009</t>
  </si>
  <si>
    <t>00017</t>
  </si>
  <si>
    <t>IB No. MM-2020-024(m)</t>
  </si>
  <si>
    <t>2020-PB-023</t>
  </si>
  <si>
    <t>GOOdS 04-2020</t>
  </si>
  <si>
    <t>20-06-060</t>
  </si>
  <si>
    <t>RFQ-20-06-0465</t>
  </si>
  <si>
    <t>PR NO. 020004003</t>
  </si>
  <si>
    <t>SVP No. T-2020-06-009</t>
  </si>
  <si>
    <t>2020-01-0053</t>
  </si>
  <si>
    <t>112-2020</t>
  </si>
  <si>
    <t>CNVH-2020-0002</t>
  </si>
  <si>
    <t>SVP 20-06-115</t>
  </si>
  <si>
    <t>DTI XII 2020-007</t>
  </si>
  <si>
    <t>20-06-215</t>
  </si>
  <si>
    <t>KAPALONG2020106</t>
  </si>
  <si>
    <t>SVP No. U-2020-06-001</t>
  </si>
  <si>
    <t>20PL0116</t>
  </si>
  <si>
    <t>2020-07-07-372PG</t>
  </si>
  <si>
    <t>Ibaan/2020/233</t>
  </si>
  <si>
    <t>NM-2020-06-0001</t>
  </si>
  <si>
    <t>PR 06-3509</t>
  </si>
  <si>
    <t>2020-06-26</t>
  </si>
  <si>
    <t>RFQ No. 0158</t>
  </si>
  <si>
    <t>DARCII-2020-010</t>
  </si>
  <si>
    <t>MCIAA 06-474-20</t>
  </si>
  <si>
    <t>ITB 20-138</t>
  </si>
  <si>
    <t>2020-06-020-101</t>
  </si>
  <si>
    <t>2020-01-0054</t>
  </si>
  <si>
    <t>001-2020</t>
  </si>
  <si>
    <t>PR #00670</t>
  </si>
  <si>
    <t>20-06-061</t>
  </si>
  <si>
    <t>2020-6-1</t>
  </si>
  <si>
    <t>2020-01-0055</t>
  </si>
  <si>
    <t>IB No. 2020-020</t>
  </si>
  <si>
    <t>FSDE19-CS-036-20</t>
  </si>
  <si>
    <t>PSMO20-06-0268</t>
  </si>
  <si>
    <t>AREA V- 2020- SVP-024</t>
  </si>
  <si>
    <t>2020-06-271</t>
  </si>
  <si>
    <t>2020-02-0056</t>
  </si>
  <si>
    <t>2020-07-07-373PG</t>
  </si>
  <si>
    <t>2020-06-27</t>
  </si>
  <si>
    <t>002-2020</t>
  </si>
  <si>
    <t>MCIAA 06-469-20</t>
  </si>
  <si>
    <t>20-06-062</t>
  </si>
  <si>
    <t>LP2020LG</t>
  </si>
  <si>
    <t>2020-06-307-19</t>
  </si>
  <si>
    <t>2020-INFRA-14B</t>
  </si>
  <si>
    <t>2020-06-SG-062</t>
  </si>
  <si>
    <t>BCS-2020-0125</t>
  </si>
  <si>
    <t>PR #00668</t>
  </si>
  <si>
    <t>goods 153-2020</t>
  </si>
  <si>
    <t>IB. NO. K-2020-024(SC)</t>
  </si>
  <si>
    <t>AREA V- 2020- SVP-025</t>
  </si>
  <si>
    <t>20PL0117</t>
  </si>
  <si>
    <t>BFP Caraga 2020-06-008</t>
  </si>
  <si>
    <t>RFQ No.2020-029</t>
  </si>
  <si>
    <t>IB. NO. K-2020-023(SC)</t>
  </si>
  <si>
    <t>cgb2020-209</t>
  </si>
  <si>
    <t>PSMO20-06-0277</t>
  </si>
  <si>
    <t>goods 152-2020</t>
  </si>
  <si>
    <t>105CO-10336-HHSBN-2020</t>
  </si>
  <si>
    <t>G-2020-06-016-GF 2020- Capital Outlay</t>
  </si>
  <si>
    <t>RPC-2020-E-02</t>
  </si>
  <si>
    <t>2020-PR20-838-177</t>
  </si>
  <si>
    <t>20-06-063</t>
  </si>
  <si>
    <t>2020-07-07-374PG</t>
  </si>
  <si>
    <t>20-014</t>
  </si>
  <si>
    <t>2020-06-28</t>
  </si>
  <si>
    <t>IB. NO. K-2020-028(SC)</t>
  </si>
  <si>
    <t>RFQ-2020-03_hdpe-sdr 11 half</t>
  </si>
  <si>
    <t>bata2- 2020- 06- 0014</t>
  </si>
  <si>
    <t>GOODS-20-28</t>
  </si>
  <si>
    <t>102CO-2020-227</t>
  </si>
  <si>
    <t>MCIAA 06-480-20</t>
  </si>
  <si>
    <t>2020-06-19</t>
  </si>
  <si>
    <t>2020-G-001</t>
  </si>
  <si>
    <t>MCIAA 06-476-20</t>
  </si>
  <si>
    <t>IB. NO. K-2020-049(SC)</t>
  </si>
  <si>
    <t>IB. NO. K-2020-056(SC)</t>
  </si>
  <si>
    <t>B2020-075-A</t>
  </si>
  <si>
    <t>MCIAA 06-468-20</t>
  </si>
  <si>
    <t>2020 020</t>
  </si>
  <si>
    <t>RFQ 20-144</t>
  </si>
  <si>
    <t>G-2020-06-015 GF 2020</t>
  </si>
  <si>
    <t>NL-06-02</t>
  </si>
  <si>
    <t>PR #00666</t>
  </si>
  <si>
    <t>G-JHS-2020-004</t>
  </si>
  <si>
    <t>2020-NCOT-011GOODS</t>
  </si>
  <si>
    <t>102CO-2020-228</t>
  </si>
  <si>
    <t>BCS-2020-0126</t>
  </si>
  <si>
    <t>PR #00667</t>
  </si>
  <si>
    <t>MGBX-06-069-2020 (2)</t>
  </si>
  <si>
    <t>RFQ-2020-04_hdpe-sdr 11 8</t>
  </si>
  <si>
    <t>ITB 20-139</t>
  </si>
  <si>
    <t>2020-06-308-20</t>
  </si>
  <si>
    <t>MinSCAT RFQ 2020-36</t>
  </si>
  <si>
    <t>RFQ 20-06-067</t>
  </si>
  <si>
    <t>BOCPOL06032020</t>
  </si>
  <si>
    <t>BFP BAC IB No. 002 (G) s. 2020</t>
  </si>
  <si>
    <t>2020-07-07-377PG</t>
  </si>
  <si>
    <t>20-06-064</t>
  </si>
  <si>
    <t>2020-009</t>
  </si>
  <si>
    <t>PR #00665</t>
  </si>
  <si>
    <t>2020-035J</t>
  </si>
  <si>
    <t>RFQ-2020-05_uPVC</t>
  </si>
  <si>
    <t>2020-06</t>
  </si>
  <si>
    <t>2020-0218</t>
  </si>
  <si>
    <t>BCS-2020-0127</t>
  </si>
  <si>
    <t>20-06-051</t>
  </si>
  <si>
    <t>lu-200615-02</t>
  </si>
  <si>
    <t>BFP BAC IB No. 001 (I) s. 2020</t>
  </si>
  <si>
    <t>BOC-GOODS-RFQ-53-2020</t>
  </si>
  <si>
    <t>2020-G-004</t>
  </si>
  <si>
    <t>20060455</t>
  </si>
  <si>
    <t>2020-NCOT-012GOODS</t>
  </si>
  <si>
    <t>2020-0179</t>
  </si>
  <si>
    <t>DENR-AIPLS 2020-05</t>
  </si>
  <si>
    <t>RFQ-2020-06_motorcycle</t>
  </si>
  <si>
    <t>ITB No. 2020-14</t>
  </si>
  <si>
    <t>20-06-055</t>
  </si>
  <si>
    <t>2020-06-14</t>
  </si>
  <si>
    <t>RFQ No.27.June 15,2020.GSO.LGU-Lugait</t>
  </si>
  <si>
    <t>2020-06-090-GS</t>
  </si>
  <si>
    <t>20-06-056</t>
  </si>
  <si>
    <t>2020-NCOT-013GOODS</t>
  </si>
  <si>
    <t>LTO R4A-SPS-2020-006</t>
  </si>
  <si>
    <t>2020-06-20</t>
  </si>
  <si>
    <t>lu-200615-01</t>
  </si>
  <si>
    <t>2020-39</t>
  </si>
  <si>
    <t>DEPED-BOHOL-2020-06-076</t>
  </si>
  <si>
    <t>PR-2020</t>
  </si>
  <si>
    <t>2020-010</t>
  </si>
  <si>
    <t>06162020</t>
  </si>
  <si>
    <t>2020-06-088-GS</t>
  </si>
  <si>
    <t>RFQ-JUNE_1</t>
  </si>
  <si>
    <t>Various PR's</t>
  </si>
  <si>
    <t>018-2020</t>
  </si>
  <si>
    <t>BAC 06/15/20-01</t>
  </si>
  <si>
    <t>2020-APP- BOOKS- NCSM-001</t>
  </si>
  <si>
    <t>06172020</t>
  </si>
  <si>
    <t>RFQ 2020-236</t>
  </si>
  <si>
    <t>PR 0729-20</t>
  </si>
  <si>
    <t>DEPED-BOHOL-2020-06-077</t>
  </si>
  <si>
    <t>2020-PBGOODS-06-008</t>
  </si>
  <si>
    <t>2020-05-085-GS</t>
  </si>
  <si>
    <t>RB2020-06-199</t>
  </si>
  <si>
    <t>PR 0793-20</t>
  </si>
  <si>
    <t>1011-20-06-14</t>
  </si>
  <si>
    <t>ITB-2020-06-012</t>
  </si>
  <si>
    <t>004 2020 LML</t>
  </si>
  <si>
    <t>06182020</t>
  </si>
  <si>
    <t>2020-PBGOODS-06-009</t>
  </si>
  <si>
    <t>RFQ NO. 411</t>
  </si>
  <si>
    <t>20-06-263</t>
  </si>
  <si>
    <t>MGBX-06-069-2020 (1)</t>
  </si>
  <si>
    <t>2020-07-07-378PG</t>
  </si>
  <si>
    <t>DTIRO1-2020-002</t>
  </si>
  <si>
    <t>RFQ-JUNE_2</t>
  </si>
  <si>
    <t>ATI-RTC3-2020-0077</t>
  </si>
  <si>
    <t>RFQ-20-06-005</t>
  </si>
  <si>
    <t>2020-07-07-341PG</t>
  </si>
  <si>
    <t>2020-ICT- PB-001</t>
  </si>
  <si>
    <t>2020-07-07-380PG</t>
  </si>
  <si>
    <t>RFQ 20-06-040</t>
  </si>
  <si>
    <t>20NC0126</t>
  </si>
  <si>
    <t>2020-07-07-381PG</t>
  </si>
  <si>
    <t>ATI-RTC3-2020-0078</t>
  </si>
  <si>
    <t>20PD0087</t>
  </si>
  <si>
    <t>ATI-RTC3-2020-0081</t>
  </si>
  <si>
    <t>20NC0127</t>
  </si>
  <si>
    <t>JHV-20-06-0458</t>
  </si>
  <si>
    <t>2020-07-07-382PG</t>
  </si>
  <si>
    <t>20-06-132</t>
  </si>
  <si>
    <t>ATI-RTC3-2020-0080</t>
  </si>
  <si>
    <t>20PD0095</t>
  </si>
  <si>
    <t>ISMS 36119</t>
  </si>
  <si>
    <t>ATI-RTC3-2020-0082</t>
  </si>
  <si>
    <t>20-06-15C</t>
  </si>
  <si>
    <t>20PD0096</t>
  </si>
  <si>
    <t>2020-59</t>
  </si>
  <si>
    <t>ATI-RTC3-2020-0079</t>
  </si>
  <si>
    <t>RFQ ATI-RTC 02-022</t>
  </si>
  <si>
    <t>RFQ ATI-RTC 02-021</t>
  </si>
  <si>
    <t>20-06-15B</t>
  </si>
  <si>
    <t>20-06-15D</t>
  </si>
  <si>
    <t>1234561</t>
  </si>
  <si>
    <t>Ada-2020-06-001</t>
  </si>
  <si>
    <t>SMAC-NP-001-2020</t>
  </si>
  <si>
    <t>2020-03-023G</t>
  </si>
  <si>
    <t>ITB-2020-06-013</t>
  </si>
  <si>
    <t>20-06-15</t>
  </si>
  <si>
    <t>20-06-15E</t>
  </si>
  <si>
    <t>SN-GOODS-20-002</t>
  </si>
  <si>
    <t>20-06-15A</t>
  </si>
  <si>
    <t>SPNHS2020-06-01</t>
  </si>
  <si>
    <t>2020-06-146</t>
  </si>
  <si>
    <t>20PD0100</t>
  </si>
  <si>
    <t>2020-05-0881 Two Times Preventive Maintenance of M</t>
  </si>
  <si>
    <t>Ada-2020-06-002</t>
  </si>
  <si>
    <t>RFQ ATI-RTC 02-024</t>
  </si>
  <si>
    <t>RFQ ATI-RTC 02-023</t>
  </si>
  <si>
    <t>PR No. 2020-03-215</t>
  </si>
  <si>
    <t>DepED-RO6-D1- Educational Equipment/Support Instru</t>
  </si>
  <si>
    <t>1102Bde-2020-14</t>
  </si>
  <si>
    <t>calbayog 2020-06-01</t>
  </si>
  <si>
    <t>1234562</t>
  </si>
  <si>
    <t>RFQ-06162020</t>
  </si>
  <si>
    <t>KHS-2020-004</t>
  </si>
  <si>
    <t>RFQ ATI-RTC 02-029</t>
  </si>
  <si>
    <t>20GD00003</t>
  </si>
  <si>
    <t>2020-049</t>
  </si>
  <si>
    <t>20-5-54</t>
  </si>
  <si>
    <t>2020-05-0882 Two Times Preventive Maintenance of F</t>
  </si>
  <si>
    <t>03</t>
  </si>
  <si>
    <t>DPWH-SK2DEO-20GMH047</t>
  </si>
  <si>
    <t>DPWH-SK2DEO-20GMH048</t>
  </si>
  <si>
    <t>2020-08</t>
  </si>
  <si>
    <t>2020-06-0046</t>
  </si>
  <si>
    <t>DPWH-SK2DEO-20MH0103</t>
  </si>
  <si>
    <t>2020-048</t>
  </si>
  <si>
    <t>2020-06-070</t>
  </si>
  <si>
    <t>RFQ ATI-RTC 02-031</t>
  </si>
  <si>
    <t>june2020-2</t>
  </si>
  <si>
    <t>2020-06-0047</t>
  </si>
  <si>
    <t>2nd Quarter MOOE 2020 - 001</t>
  </si>
  <si>
    <t>G-2020-04-03</t>
  </si>
  <si>
    <t>KHS-2020-003</t>
  </si>
  <si>
    <t>2020-006-004</t>
  </si>
  <si>
    <t>2020-07</t>
  </si>
  <si>
    <t>2020-140-04</t>
  </si>
  <si>
    <t>124563</t>
  </si>
  <si>
    <t>20-06-55</t>
  </si>
  <si>
    <t>DPWH-SK2DEO-20MH0085</t>
  </si>
  <si>
    <t>4327128</t>
  </si>
  <si>
    <t>june2020-1</t>
  </si>
  <si>
    <t>lgu sta. Barbara</t>
  </si>
  <si>
    <t>PR # 20-06-0736</t>
  </si>
  <si>
    <t>ITDI-200004_REBID</t>
  </si>
  <si>
    <t>2020-06-071</t>
  </si>
  <si>
    <t>202006019</t>
  </si>
  <si>
    <t>2nd Quarter MOOE 2020 - 002</t>
  </si>
  <si>
    <t>202006018</t>
  </si>
  <si>
    <t>RFQ ATI-RTC 02-032</t>
  </si>
  <si>
    <t>014</t>
  </si>
  <si>
    <t>RFQ ATI-RTC 02-026</t>
  </si>
  <si>
    <t>2020-06-072</t>
  </si>
  <si>
    <t>2020-06-324</t>
  </si>
  <si>
    <t>RFQ ATI-RTC 02-025</t>
  </si>
  <si>
    <t>1234564</t>
  </si>
  <si>
    <t>2020-06-073</t>
  </si>
  <si>
    <t>202006020</t>
  </si>
  <si>
    <t>202006021</t>
  </si>
  <si>
    <t>5432918</t>
  </si>
  <si>
    <t>INF2020-06-017</t>
  </si>
  <si>
    <t>2020-06-325</t>
  </si>
  <si>
    <t>2020-06-0949 Source Emission Testing for Generator</t>
  </si>
  <si>
    <t>06022020A</t>
  </si>
  <si>
    <t>BAC-HO GS 2020-0239 and BAC-HO GS 2020-0231</t>
  </si>
  <si>
    <t>948920</t>
  </si>
  <si>
    <t>MGPQ-RML-2020-06-004</t>
  </si>
  <si>
    <t>2020-06-075</t>
  </si>
  <si>
    <t>ITB -2020-019</t>
  </si>
  <si>
    <t>RFQ ATI-RTC 02-027</t>
  </si>
  <si>
    <t>2nd Quarter MOOE 2020 - 003</t>
  </si>
  <si>
    <t>2020-06-074</t>
  </si>
  <si>
    <t>2020-06-076</t>
  </si>
  <si>
    <t>INF2020-06-018</t>
  </si>
  <si>
    <t>2020-02-0397 Supply of Labor and Materials for Rep</t>
  </si>
  <si>
    <t>948915</t>
  </si>
  <si>
    <t>DSWD 4B 2020-06-0653</t>
  </si>
  <si>
    <t>PB-INF-19-005</t>
  </si>
  <si>
    <t>LES 2020-06-03</t>
  </si>
  <si>
    <t>PB-INF-19-006</t>
  </si>
  <si>
    <t>2020-06-077</t>
  </si>
  <si>
    <t>RFQ ATI-RTC 02-028</t>
  </si>
  <si>
    <t>202006023</t>
  </si>
  <si>
    <t>RF INFRA GAA CY 2020-06-001</t>
  </si>
  <si>
    <t>0614-001</t>
  </si>
  <si>
    <t>202006022</t>
  </si>
  <si>
    <t>2020-GOODS-034</t>
  </si>
  <si>
    <t>2nd Quarter MOOE 2020 - 005</t>
  </si>
  <si>
    <t>006</t>
  </si>
  <si>
    <t>20BBG0030</t>
  </si>
  <si>
    <t>DSWD 4B 2020-06-0651</t>
  </si>
  <si>
    <t>948868</t>
  </si>
  <si>
    <t>2nd Quarter MOOE 2020 - 006</t>
  </si>
  <si>
    <t>2020-05-0931 Supply of Patient Monitor Accessories</t>
  </si>
  <si>
    <t>2nd Quarter MOOE 2020 - 004</t>
  </si>
  <si>
    <t>2020-06-079</t>
  </si>
  <si>
    <t>2020-06-078</t>
  </si>
  <si>
    <t>948869</t>
  </si>
  <si>
    <t>2020-06-080</t>
  </si>
  <si>
    <t>0615-2020</t>
  </si>
  <si>
    <t>20GDK0036</t>
  </si>
  <si>
    <t>ITB2020-018</t>
  </si>
  <si>
    <t>007</t>
  </si>
  <si>
    <t>2020-06-0975 Rubber Tubing 1/4 x 1/8 x 50 ft, 100%</t>
  </si>
  <si>
    <t>PZDS-2020-06-044-IB</t>
  </si>
  <si>
    <t>2020-031</t>
  </si>
  <si>
    <t>20BB0122</t>
  </si>
  <si>
    <t>ITB2020-024</t>
  </si>
  <si>
    <t>008</t>
  </si>
  <si>
    <t>20BB0121</t>
  </si>
  <si>
    <t>G2020-06-0001</t>
  </si>
  <si>
    <t>948916</t>
  </si>
  <si>
    <t>V01-June2020</t>
  </si>
  <si>
    <t>948917</t>
  </si>
  <si>
    <t>948867</t>
  </si>
  <si>
    <t>ITB2020-025</t>
  </si>
  <si>
    <t>20BBG0022 (Re-advertised)</t>
  </si>
  <si>
    <t>2020-06-0968 C-Reactive Protein (CRP) 100 Test/ Ki</t>
  </si>
  <si>
    <t>2020-06-014</t>
  </si>
  <si>
    <t>PROJECT # 20-039</t>
  </si>
  <si>
    <t>ITB2020-027</t>
  </si>
  <si>
    <t>PROJECT # 20-043</t>
  </si>
  <si>
    <t>PROJECT # 20-047</t>
  </si>
  <si>
    <t>ITB2020-028</t>
  </si>
  <si>
    <t>MZDS-BAC-CW-2020-06</t>
  </si>
  <si>
    <t>PZDS-2020-06-022-RFQ</t>
  </si>
  <si>
    <t>PROJECT # 20-055</t>
  </si>
  <si>
    <t>ITB2020-026</t>
  </si>
  <si>
    <t>20-06-424</t>
  </si>
  <si>
    <t>PROJECT # 20-053</t>
  </si>
  <si>
    <t>2020-GOODS-035</t>
  </si>
  <si>
    <t>019-013</t>
  </si>
  <si>
    <t>305THCO-10268-220AW-88-2020</t>
  </si>
  <si>
    <t>305THCO-10288-220AW-90-2020</t>
  </si>
  <si>
    <t>20BB0123</t>
  </si>
  <si>
    <t>Sapa Pequeña-0615-1</t>
  </si>
  <si>
    <t>H02-June2020</t>
  </si>
  <si>
    <t>2020-6</t>
  </si>
  <si>
    <t>ITB2020-029</t>
  </si>
  <si>
    <t>geps villaaglipaydepedtarlac-0002-2020</t>
  </si>
  <si>
    <t>202000768</t>
  </si>
  <si>
    <t>PR # 20-06-0690</t>
  </si>
  <si>
    <t>PROJECT # 20-049</t>
  </si>
  <si>
    <t>PROJECT # 20-050</t>
  </si>
  <si>
    <t>CB 08-2020</t>
  </si>
  <si>
    <t>305THCO-10287-220AW-89-2020</t>
  </si>
  <si>
    <t>N-14-2020</t>
  </si>
  <si>
    <t>Sapa Pequeña-0615-2</t>
  </si>
  <si>
    <t>ECNVHS-JUNIOR HS 00002-2020</t>
  </si>
  <si>
    <t>2020-06-PR036</t>
  </si>
  <si>
    <t>305THCO-10285-205THW-112-2020</t>
  </si>
  <si>
    <t>06-15-202003015</t>
  </si>
  <si>
    <t>RFQ-ATI-RTC4A-2020-06-054</t>
  </si>
  <si>
    <t>PROJECT # 20-054</t>
  </si>
  <si>
    <t>0216-2020</t>
  </si>
  <si>
    <t>PR # 20-06-0735</t>
  </si>
  <si>
    <t>MZDS-BAC-G-2020-02</t>
  </si>
  <si>
    <t>BAC-HO GS 2020-0326</t>
  </si>
  <si>
    <t>ECNVHS-SHS00003-2020</t>
  </si>
  <si>
    <t>2020-ZP06-00008</t>
  </si>
  <si>
    <t>PEDHS2020S0010</t>
  </si>
  <si>
    <t>202000766</t>
  </si>
  <si>
    <t>MZDS-BAC-G-2020-03</t>
  </si>
  <si>
    <t>PROJECT # 20-071</t>
  </si>
  <si>
    <t>RFQ-ATI-RTC4A-2020-06-055</t>
  </si>
  <si>
    <t>BNS-0520-065</t>
  </si>
  <si>
    <t>305THCO-10284-205THW-111-2020</t>
  </si>
  <si>
    <t>06-15-20200020020300606001</t>
  </si>
  <si>
    <t>PROJECT # 20-072</t>
  </si>
  <si>
    <t>CW46-2020</t>
  </si>
  <si>
    <t>06-01</t>
  </si>
  <si>
    <t>2020-ZP06-00009</t>
  </si>
  <si>
    <t>RFQ-ATI-RTC4A-2020-06-056</t>
  </si>
  <si>
    <t>OSAG PR No. 1000032901</t>
  </si>
  <si>
    <t>PROJECT # 20-062</t>
  </si>
  <si>
    <t>BNS-0520-059</t>
  </si>
  <si>
    <t>BDIGON-BAC-2020-01</t>
  </si>
  <si>
    <t>CW47-2020</t>
  </si>
  <si>
    <t>IPQ2020-022</t>
  </si>
  <si>
    <t>HPN-0420-209</t>
  </si>
  <si>
    <t>RFQ-ATI-RTC4A-2020-06-058</t>
  </si>
  <si>
    <t>PROJECT # 20-073</t>
  </si>
  <si>
    <t>PROJECT # 20-070</t>
  </si>
  <si>
    <t>Papallasen-0615-1</t>
  </si>
  <si>
    <t>RFQ-ATI-RTC4A-2020-06-057</t>
  </si>
  <si>
    <t>019-014</t>
  </si>
  <si>
    <t>R4-RFQ-050-06-2020</t>
  </si>
  <si>
    <t>MGPIN-2020-06-052</t>
  </si>
  <si>
    <t>CW48-2020</t>
  </si>
  <si>
    <t>MGPIN-2020-06-054</t>
  </si>
  <si>
    <t>PEDHS2020S0011</t>
  </si>
  <si>
    <t>CB 10-2020</t>
  </si>
  <si>
    <t>BgySanVicente 001 - 2020</t>
  </si>
  <si>
    <t>Tambacan-0615-1</t>
  </si>
  <si>
    <t>HPN-0520-246</t>
  </si>
  <si>
    <t>MGPIN-2020-06-053</t>
  </si>
  <si>
    <t>HPN-0520-221</t>
  </si>
  <si>
    <t>305THCO-10283-205THW-103-2020</t>
  </si>
  <si>
    <t>305THCO-10282-205THW-102-2020</t>
  </si>
  <si>
    <t>IPQ2020--23</t>
  </si>
  <si>
    <t>RFQ-TPB-PR.2020.06.167</t>
  </si>
  <si>
    <t>BDIGON-BAC-2020-02</t>
  </si>
  <si>
    <t>MGPIN-2020-06-055</t>
  </si>
  <si>
    <t>RFQ-ATI-RTC4A-2020-06-060</t>
  </si>
  <si>
    <t>305THCO-10281-205THW-101-2020</t>
  </si>
  <si>
    <t>RFQ-ATI-RTC4A-2020-06-061</t>
  </si>
  <si>
    <t>MGPIN-2020-06-056</t>
  </si>
  <si>
    <t>RFQ-ATI-RTC4A-2020-06-059</t>
  </si>
  <si>
    <t>BgySanVicente 002 - 2020</t>
  </si>
  <si>
    <t>G2020-06-027E</t>
  </si>
  <si>
    <t>HPN-0520-247</t>
  </si>
  <si>
    <t>305THCO-10280-220AW-100-2020</t>
  </si>
  <si>
    <t>305THCO-10279-205THW-99-2020</t>
  </si>
  <si>
    <t>H01-June-2020</t>
  </si>
  <si>
    <t>G2020-06-029E</t>
  </si>
  <si>
    <t>388548442</t>
  </si>
  <si>
    <t>BgySanVicente 003 - 2020</t>
  </si>
  <si>
    <t>252-878-056-000</t>
  </si>
  <si>
    <t>05</t>
  </si>
  <si>
    <t>MGPIN-2020-06-057</t>
  </si>
  <si>
    <t>305THCO-9519-205THW-86-2020</t>
  </si>
  <si>
    <t>388548443</t>
  </si>
  <si>
    <t>MGPIN-2020-06-058</t>
  </si>
  <si>
    <t>PA-2020-03</t>
  </si>
  <si>
    <t>100-20-06-300</t>
  </si>
  <si>
    <t>DAVOR-G-2020-11</t>
  </si>
  <si>
    <t>G2020-06-028E</t>
  </si>
  <si>
    <t>388548444</t>
  </si>
  <si>
    <t>388548441</t>
  </si>
  <si>
    <t>RFQ-ATI-RTC4A-2020-06-064</t>
  </si>
  <si>
    <t>388548446</t>
  </si>
  <si>
    <t>RFQ-ATI-RTC4A-2020-06-062</t>
  </si>
  <si>
    <t>RFQ-ATI-RTC4A-2020-06-063</t>
  </si>
  <si>
    <t>RFQ-2020-54</t>
  </si>
  <si>
    <t>BAC SVP 2020-43</t>
  </si>
  <si>
    <t>124-2020</t>
  </si>
  <si>
    <t>snajose2020-06-001</t>
  </si>
  <si>
    <t>sanjose2020-06-004</t>
  </si>
  <si>
    <t>sanjose2020-06-002</t>
  </si>
  <si>
    <t>05-2020</t>
  </si>
  <si>
    <t>RFQ-ATI-RTC4A-2020-06-065</t>
  </si>
  <si>
    <t>06-2020</t>
  </si>
  <si>
    <t>IB 2020-06-001I</t>
  </si>
  <si>
    <t>388548445</t>
  </si>
  <si>
    <t>INFRA-CNO-20-0004</t>
  </si>
  <si>
    <t>2020-007</t>
  </si>
  <si>
    <t>sanjose2020-06-003</t>
  </si>
  <si>
    <t>IB 2020-064</t>
  </si>
  <si>
    <t>PR NO. 100-1101-20-06-0610</t>
  </si>
  <si>
    <t>IB 2020-062</t>
  </si>
  <si>
    <t>IB 2020-063</t>
  </si>
  <si>
    <t>2020-Brgy. 09 Poblacion-002</t>
  </si>
  <si>
    <t>100-2020-05-705</t>
  </si>
  <si>
    <t>100-2020-05-715</t>
  </si>
  <si>
    <t>100-2020-05-669</t>
  </si>
  <si>
    <t>2020-CW-06-03</t>
  </si>
  <si>
    <t>100-2020-05-665</t>
  </si>
  <si>
    <t>100-2020-02-403</t>
  </si>
  <si>
    <t>100-2020-05-713</t>
  </si>
  <si>
    <t>100-2020-03-504</t>
  </si>
  <si>
    <t>14</t>
  </si>
  <si>
    <t>RFQ-GF-79</t>
  </si>
  <si>
    <t>2020-CW-06-04</t>
  </si>
  <si>
    <t>100-2020-02-390</t>
  </si>
  <si>
    <t>20GEB0032-R1</t>
  </si>
  <si>
    <t>2020-CW-06-05</t>
  </si>
  <si>
    <t>2020-Barangay Bagongon-002</t>
  </si>
  <si>
    <t>1-070720</t>
  </si>
  <si>
    <t>20GEB0005-R1</t>
  </si>
  <si>
    <t>LGU-POZ 2020-0028</t>
  </si>
  <si>
    <t>20GEB0041-R1</t>
  </si>
  <si>
    <t>20GEB0047-A-R1</t>
  </si>
  <si>
    <t>RPT-20-0357-B</t>
  </si>
  <si>
    <t>RPT-20-0399-B</t>
  </si>
  <si>
    <t>RPT-20-0401-B</t>
  </si>
  <si>
    <t>20GEB0042-B-R1</t>
  </si>
  <si>
    <t>100-2020-05-657</t>
  </si>
  <si>
    <t>RPT-20-0398-B</t>
  </si>
  <si>
    <t>RPT-20-0397-B</t>
  </si>
  <si>
    <t>20GEB0064-R1</t>
  </si>
  <si>
    <t>RPT-20-0295-B</t>
  </si>
  <si>
    <t>RPT-20-0296-B</t>
  </si>
  <si>
    <t>GOODS-007-2020</t>
  </si>
  <si>
    <t>RPT-20-0431-B</t>
  </si>
  <si>
    <t>NP-01-2020</t>
  </si>
  <si>
    <t>IB 2020-037(AMV)</t>
  </si>
  <si>
    <t>RPT-20-0400-B</t>
  </si>
  <si>
    <t>100-2020-05-666</t>
  </si>
  <si>
    <t>NP-02-2020</t>
  </si>
  <si>
    <t>RPT-20-0429-B</t>
  </si>
  <si>
    <t>ODCOP-SEME-ICT-1087-20</t>
  </si>
  <si>
    <t>PB NO. 2020-035</t>
  </si>
  <si>
    <t>EBSO-PPE-0451-20</t>
  </si>
  <si>
    <t>ETDC-OSE-1084-20</t>
  </si>
  <si>
    <t>GO-2020-06-84</t>
  </si>
  <si>
    <t>OJ8-RMDRRE-1083-20</t>
  </si>
  <si>
    <t>2020-06-0608 TDG</t>
  </si>
  <si>
    <t>GO-2020-06-82</t>
  </si>
  <si>
    <t>OTSG-OSME-1092-20</t>
  </si>
  <si>
    <t>GO-2020-06-83</t>
  </si>
  <si>
    <t>2020-02-055</t>
  </si>
  <si>
    <t>5-062320</t>
  </si>
  <si>
    <t>3-062320</t>
  </si>
  <si>
    <t>2-062320</t>
  </si>
  <si>
    <t>GO-2020-06-81</t>
  </si>
  <si>
    <t>21-2020</t>
  </si>
  <si>
    <t>270-2020</t>
  </si>
  <si>
    <t>271-2020</t>
  </si>
  <si>
    <t>PB NO. 2020-034</t>
  </si>
  <si>
    <t>ISAFP-OSE-1094-20</t>
  </si>
  <si>
    <t>4-062320</t>
  </si>
  <si>
    <t>1-062320</t>
  </si>
  <si>
    <t>268-2020</t>
  </si>
  <si>
    <t>CW2020-07</t>
  </si>
  <si>
    <t>SanJoseBatsAeb2020-085</t>
  </si>
  <si>
    <t>DepED-RO6-D1-2020QRF(REPAIR)-C1-018-2020</t>
  </si>
  <si>
    <t>269-2020</t>
  </si>
  <si>
    <t>266-2020</t>
  </si>
  <si>
    <t>267-2020</t>
  </si>
  <si>
    <t>2020-33</t>
  </si>
  <si>
    <t>2020-35</t>
  </si>
  <si>
    <t>2020-34</t>
  </si>
  <si>
    <t>SDH-20-0362-B</t>
  </si>
  <si>
    <t>SDH-20-0363-B</t>
  </si>
  <si>
    <t>SDH-20-0273-B</t>
  </si>
  <si>
    <t>17202006054</t>
  </si>
  <si>
    <t>1-06112020</t>
  </si>
  <si>
    <t>110620201</t>
  </si>
  <si>
    <t>SanJoseBatsAeb2020-035</t>
  </si>
  <si>
    <t>RFQ NO. 38</t>
  </si>
  <si>
    <t>SDH-20-0444-B</t>
  </si>
  <si>
    <t>20-06-00379</t>
  </si>
  <si>
    <t>2020-36</t>
  </si>
  <si>
    <t>2020-37</t>
  </si>
  <si>
    <t>SDH-20-0446-B</t>
  </si>
  <si>
    <t>SDH-20-0445-B</t>
  </si>
  <si>
    <t>SDH-20-0395-B</t>
  </si>
  <si>
    <t>202006249</t>
  </si>
  <si>
    <t>AGR-20-0668-B</t>
  </si>
  <si>
    <t>SDH-20-0441-B</t>
  </si>
  <si>
    <t>2-06112020</t>
  </si>
  <si>
    <t>MSSC-20-06-013</t>
  </si>
  <si>
    <t>SDH-20-0449-B</t>
  </si>
  <si>
    <t>6-06112020</t>
  </si>
  <si>
    <t>CW20-03</t>
  </si>
  <si>
    <t>2020-40</t>
  </si>
  <si>
    <t>5-06112020</t>
  </si>
  <si>
    <t>3-06112020</t>
  </si>
  <si>
    <t>202006248</t>
  </si>
  <si>
    <t>2020-06-2175</t>
  </si>
  <si>
    <t>2020-03-187</t>
  </si>
  <si>
    <t>N-20-06-056</t>
  </si>
  <si>
    <t>DFPPURCH20-054</t>
  </si>
  <si>
    <t>SDH-20-0443-B</t>
  </si>
  <si>
    <t>8-06112020</t>
  </si>
  <si>
    <t>SDH-20-0448-B</t>
  </si>
  <si>
    <t>SDH-20-0442-B</t>
  </si>
  <si>
    <t>4-06112020</t>
  </si>
  <si>
    <t>N-20-06-061</t>
  </si>
  <si>
    <t>N-20-06-060</t>
  </si>
  <si>
    <t>PR# 20-0709</t>
  </si>
  <si>
    <t>SDH-20-0447-B</t>
  </si>
  <si>
    <t>RSU-2020-0014</t>
  </si>
  <si>
    <t>P.R. No. 20-0043</t>
  </si>
  <si>
    <t>20-01-00051 (LATE POSTING)</t>
  </si>
  <si>
    <t>N-20-06-059</t>
  </si>
  <si>
    <t>N-20-06-057</t>
  </si>
  <si>
    <t>N-20-06-058</t>
  </si>
  <si>
    <t>2020-AMP-056</t>
  </si>
  <si>
    <t>20GBD0025</t>
  </si>
  <si>
    <t>AGR-19-1448-B</t>
  </si>
  <si>
    <t>7-06112020</t>
  </si>
  <si>
    <t>100-20-06-1815</t>
  </si>
  <si>
    <t>N-20-06-065</t>
  </si>
  <si>
    <t>SanJoseBatsAeb2020-083</t>
  </si>
  <si>
    <t>IB 2020-038(AMV)</t>
  </si>
  <si>
    <t>200029</t>
  </si>
  <si>
    <t>20EHG007</t>
  </si>
  <si>
    <t>RSU-2020-0013</t>
  </si>
  <si>
    <t>PR0017-20 SP SUPPORT SERVICES</t>
  </si>
  <si>
    <t>N-20-06-064</t>
  </si>
  <si>
    <t>PBI-2020-14</t>
  </si>
  <si>
    <t>20EHG008</t>
  </si>
  <si>
    <t>PBI-2020-15</t>
  </si>
  <si>
    <t>N-20-06-063</t>
  </si>
  <si>
    <t>20EHG009</t>
  </si>
  <si>
    <t>300-agriculturaldevt-20-009</t>
  </si>
  <si>
    <t>300-agriculturaldevt-20-008</t>
  </si>
  <si>
    <t>PMC-020-172</t>
  </si>
  <si>
    <t>PBI-2020-16</t>
  </si>
  <si>
    <t>LGU RFQ 2020-55</t>
  </si>
  <si>
    <t>N-20-06-062</t>
  </si>
  <si>
    <t>CGDNELZN-2020-06-002</t>
  </si>
  <si>
    <t>20GJC0193</t>
  </si>
  <si>
    <t>2020-035R</t>
  </si>
  <si>
    <t>2020-034R</t>
  </si>
  <si>
    <t>CGDNELZN-2020-06-001</t>
  </si>
  <si>
    <t>STC-GOODS - NO. -2020 -0040</t>
  </si>
  <si>
    <t>2020-04-036</t>
  </si>
  <si>
    <t>CAHS 2020-006-004</t>
  </si>
  <si>
    <t>Barangay Erenas Payao-001-2020</t>
  </si>
  <si>
    <t>GHQPC-AFPEBSO-RMB-1105-20</t>
  </si>
  <si>
    <t>20-06-11</t>
  </si>
  <si>
    <t>GHQPC-OTCN-RMMV-1100-20</t>
  </si>
  <si>
    <t>2020-037R</t>
  </si>
  <si>
    <t>20EHG010</t>
  </si>
  <si>
    <t>2020-036R</t>
  </si>
  <si>
    <t>20GJC0190</t>
  </si>
  <si>
    <t>RFQ-2020-05-15</t>
  </si>
  <si>
    <t>PBI-2020-17</t>
  </si>
  <si>
    <t>2020-PR20-695-165</t>
  </si>
  <si>
    <t>2020-06-117 (06207512)</t>
  </si>
  <si>
    <t>20GJC0192</t>
  </si>
  <si>
    <t>GHQPC-AFPRC-OTSM-1095-20</t>
  </si>
  <si>
    <t>2020-ANT-GOODS-0107</t>
  </si>
  <si>
    <t>SV20-06-001BAC</t>
  </si>
  <si>
    <t>2020-ANT-GOODS-0106</t>
  </si>
  <si>
    <t>20GJC0191</t>
  </si>
  <si>
    <t>2020-0071</t>
  </si>
  <si>
    <t>2020-GOODS-014-01-0615</t>
  </si>
  <si>
    <t>2020-01-1011-43</t>
  </si>
  <si>
    <t>2020-PR20-796-164</t>
  </si>
  <si>
    <t>BIDSTAC # SB 024-2020</t>
  </si>
  <si>
    <t>2020-PR20-628-167</t>
  </si>
  <si>
    <t>20-06-095</t>
  </si>
  <si>
    <t>ITB-2020-05</t>
  </si>
  <si>
    <t>GHQPC-AFPEBSO-RMOS-1106-20</t>
  </si>
  <si>
    <t>2020-PR20-700-168</t>
  </si>
  <si>
    <t>2020-PR20-797-166</t>
  </si>
  <si>
    <t>20-06-092</t>
  </si>
  <si>
    <t>BIDSTAC # SB 023-2020</t>
  </si>
  <si>
    <t>2020-ANT-GOODS-0108</t>
  </si>
  <si>
    <t>2020-PR20-689-170</t>
  </si>
  <si>
    <t>RFQ 2020-029</t>
  </si>
  <si>
    <t>BIDSTAC # NP-SVP 111-2020</t>
  </si>
  <si>
    <t>20-06-094</t>
  </si>
  <si>
    <t>2020-PR20-681-169</t>
  </si>
  <si>
    <t>PB-0620-39</t>
  </si>
  <si>
    <t>2020-85</t>
  </si>
  <si>
    <t>PB-0620-40</t>
  </si>
  <si>
    <t>2005-025-04R</t>
  </si>
  <si>
    <t>PB-2020-05-030</t>
  </si>
  <si>
    <t>RFQ 0520-006</t>
  </si>
  <si>
    <t>ADS-0366-20 LOT B</t>
  </si>
  <si>
    <t>PB-2020-05-031</t>
  </si>
  <si>
    <t>PB-0620-41</t>
  </si>
  <si>
    <t>BIDSTAC # NP-SVP 112-2020</t>
  </si>
  <si>
    <t>PB-2020-05-032</t>
  </si>
  <si>
    <t>20-83-037</t>
  </si>
  <si>
    <t>20-06-096</t>
  </si>
  <si>
    <t>IAEB 041-20</t>
  </si>
  <si>
    <t>2020-06-431</t>
  </si>
  <si>
    <t>20-00045</t>
  </si>
  <si>
    <t>2020-ANT-GOODS-0109</t>
  </si>
  <si>
    <t>ITB No. 2020-30</t>
  </si>
  <si>
    <t>20GLF0031</t>
  </si>
  <si>
    <t>P.R. No. 20-0041</t>
  </si>
  <si>
    <t>2020-PR20-699-171</t>
  </si>
  <si>
    <t>IB No. 2020-221</t>
  </si>
  <si>
    <t>Bac-Pg-002-20</t>
  </si>
  <si>
    <t>BOD20-086</t>
  </si>
  <si>
    <t>PB-0220-08</t>
  </si>
  <si>
    <t>03-2020</t>
  </si>
  <si>
    <t>BOD20-088</t>
  </si>
  <si>
    <t>100-2020-0588 &amp; 0695</t>
  </si>
  <si>
    <t>20BF0060</t>
  </si>
  <si>
    <t>LGU-AL-28-2020</t>
  </si>
  <si>
    <t>R.I.S. No.: 20-93-017</t>
  </si>
  <si>
    <t>ITB 20-072</t>
  </si>
  <si>
    <t>100-2020-0714, 0716 &amp; 0760</t>
  </si>
  <si>
    <t>100-2020-0707</t>
  </si>
  <si>
    <t>LGU-AL-29-2020</t>
  </si>
  <si>
    <t>100-2020-0683, 0750a-b &amp; 0810</t>
  </si>
  <si>
    <t>BOD20-090</t>
  </si>
  <si>
    <t>BOD20-089</t>
  </si>
  <si>
    <t>2020-895-001</t>
  </si>
  <si>
    <t xml:space="preserve">100-2020-0130, 0132, 0289, 0570, 0581, 0711, 0713 </t>
  </si>
  <si>
    <t>20 - OG - 001 (G)</t>
  </si>
  <si>
    <t>100-2020-0662, 0785 &amp; 0786</t>
  </si>
  <si>
    <t>P.O.W. 2020-02-130</t>
  </si>
  <si>
    <t>283</t>
  </si>
  <si>
    <t>BLGU-ANIBONGON-AL-01-2020</t>
  </si>
  <si>
    <t>100-2020-0634, 0723 &amp; 0761</t>
  </si>
  <si>
    <t>BOD20-87</t>
  </si>
  <si>
    <t>SVP 2020-346</t>
  </si>
  <si>
    <t>100-2020-0730</t>
  </si>
  <si>
    <t>PR 20-06-0243</t>
  </si>
  <si>
    <t>GHQPC-OSPS-OTSM-1107-20</t>
  </si>
  <si>
    <t>100-2020-0725</t>
  </si>
  <si>
    <t>Bac-Pg-004-20</t>
  </si>
  <si>
    <t>2020-GSIS-PB-073</t>
  </si>
  <si>
    <t>GHQPC-OSPS-SEMEFF-1108-20</t>
  </si>
  <si>
    <t>20 - OG - 002 (G)</t>
  </si>
  <si>
    <t>Bac-Pg-006-20</t>
  </si>
  <si>
    <t>0199-2020</t>
  </si>
  <si>
    <t>100-2020-0733a-b</t>
  </si>
  <si>
    <t>Bac-Pg-005-20</t>
  </si>
  <si>
    <t>100-2020-0766</t>
  </si>
  <si>
    <t>0198-2020</t>
  </si>
  <si>
    <t>100-2020-0769</t>
  </si>
  <si>
    <t>0200-2020</t>
  </si>
  <si>
    <t>100-2020-0809a-c</t>
  </si>
  <si>
    <t>2020-GSIS-PB-072</t>
  </si>
  <si>
    <t>20CSKG01</t>
  </si>
  <si>
    <t>20-012-002</t>
  </si>
  <si>
    <t>20GLF0032</t>
  </si>
  <si>
    <t>0203-2020</t>
  </si>
  <si>
    <t>0201-2020</t>
  </si>
  <si>
    <t>AGGDS2020-0611A</t>
  </si>
  <si>
    <t>BANTAYAN-2020-03-0091</t>
  </si>
  <si>
    <t>RFQ2020-06-056</t>
  </si>
  <si>
    <t>2020-06-PR035</t>
  </si>
  <si>
    <t>BANTAYAN-2020-03-0090</t>
  </si>
  <si>
    <t>AGGDS2020-0611B</t>
  </si>
  <si>
    <t>20GLF0033</t>
  </si>
  <si>
    <t>CONTRACT ID: 20-06-085</t>
  </si>
  <si>
    <t>CONTRACT ID: 20-06-084</t>
  </si>
  <si>
    <t>0202-2020</t>
  </si>
  <si>
    <t>IB 2020-061</t>
  </si>
  <si>
    <t>100-2020-0770</t>
  </si>
  <si>
    <t>GHQPC-OSPS-OTSM-1109-20</t>
  </si>
  <si>
    <t>20GG0043-G</t>
  </si>
  <si>
    <t>PF-0520-558</t>
  </si>
  <si>
    <t>BNLSL-LCB-30-2020</t>
  </si>
  <si>
    <t>ITB PR No.: 0776-20BAC</t>
  </si>
  <si>
    <t>20GG0042-G</t>
  </si>
  <si>
    <t>0206-2020</t>
  </si>
  <si>
    <t>RFQ2020-06-057</t>
  </si>
  <si>
    <t>IB-2020-065</t>
  </si>
  <si>
    <t>BNLSL-LCB-31-2020</t>
  </si>
  <si>
    <t>2020-06-01-25</t>
  </si>
  <si>
    <t>0204-2020</t>
  </si>
  <si>
    <t>ITB PR No.: 0777-20BAC</t>
  </si>
  <si>
    <t>IB-2020-067</t>
  </si>
  <si>
    <t>2020-06-01-26</t>
  </si>
  <si>
    <t>IB-2020-066</t>
  </si>
  <si>
    <t>PF-0520-561</t>
  </si>
  <si>
    <t>102</t>
  </si>
  <si>
    <t>2020-06-02-20</t>
  </si>
  <si>
    <t>BNLSL-LCB-31A-2020</t>
  </si>
  <si>
    <t>2020-06-2176</t>
  </si>
  <si>
    <t>0207-2020</t>
  </si>
  <si>
    <t>2020-041</t>
  </si>
  <si>
    <t>0208-2020</t>
  </si>
  <si>
    <t>103</t>
  </si>
  <si>
    <t>IB-2020-068</t>
  </si>
  <si>
    <t>MUNPINCE-2006-109</t>
  </si>
  <si>
    <t>DepED-RO6-D1-COVIDSUPPLIES-046-2020</t>
  </si>
  <si>
    <t>DepED-RO6-D1-BRIGAD ESKWELA2020-045-2020</t>
  </si>
  <si>
    <t>MUNPINCE-2006-110</t>
  </si>
  <si>
    <t>8986655</t>
  </si>
  <si>
    <t>104</t>
  </si>
  <si>
    <t>MUNPINCE-2006-111</t>
  </si>
  <si>
    <t>2020-320</t>
  </si>
  <si>
    <t>RFQ2020-06-055</t>
  </si>
  <si>
    <t>2020-POBLACION-0012</t>
  </si>
  <si>
    <t>PR-20-06-26</t>
  </si>
  <si>
    <t>ITB PR No.: 1087-20BAC</t>
  </si>
  <si>
    <t>PR-2020-6-082</t>
  </si>
  <si>
    <t>2020-POBLACION-010</t>
  </si>
  <si>
    <t>2020 A-06.093</t>
  </si>
  <si>
    <t>2020-POBLACION-011</t>
  </si>
  <si>
    <t>2020-POBLACION-015</t>
  </si>
  <si>
    <t>PR-2020-5-078C</t>
  </si>
  <si>
    <t>2020-042</t>
  </si>
  <si>
    <t>2020-POBLACION-014</t>
  </si>
  <si>
    <t>PGR-INFRA-2020-07-1</t>
  </si>
  <si>
    <t>RFQ2020-06-058</t>
  </si>
  <si>
    <t>2020-POBLACION-013</t>
  </si>
  <si>
    <t>2020 A-06.091</t>
  </si>
  <si>
    <t>ls1d-2020-06-003</t>
  </si>
  <si>
    <t>2020-POBLACION-009</t>
  </si>
  <si>
    <t>20200611</t>
  </si>
  <si>
    <t>PR-20-06-25</t>
  </si>
  <si>
    <t>2020-POBLACION-008</t>
  </si>
  <si>
    <t>ITB PR No.: 0205-20BAC</t>
  </si>
  <si>
    <t>PGR-INFRA-2020-07-2</t>
  </si>
  <si>
    <t>2020-06-16</t>
  </si>
  <si>
    <t>PGR-INFRA-2020-07-3</t>
  </si>
  <si>
    <t>PGR-INFRA-2020-07-9</t>
  </si>
  <si>
    <t>PGR-INFRA-2020-07-4</t>
  </si>
  <si>
    <t>PGR-INFRA-2020-07-10</t>
  </si>
  <si>
    <t>PGR-INFRA-2020-07-6</t>
  </si>
  <si>
    <t>PGR-INFRA-2020-07-5</t>
  </si>
  <si>
    <t>PGR-INFRA-2020-07-7</t>
  </si>
  <si>
    <t>PGR-INFRA-2020-07-8</t>
  </si>
  <si>
    <t>2020-POBLACION-007</t>
  </si>
  <si>
    <t>109899-2020-04</t>
  </si>
  <si>
    <t>6/12/2020</t>
  </si>
  <si>
    <t>2020-PR20-690-172</t>
  </si>
  <si>
    <t>PB2020-013</t>
  </si>
  <si>
    <t>109899-2020-05</t>
  </si>
  <si>
    <t>06122020</t>
  </si>
  <si>
    <t>PF-0220-162</t>
  </si>
  <si>
    <t>109822-2020-05</t>
  </si>
  <si>
    <t>2020 Caib 087</t>
  </si>
  <si>
    <t>109882-2020-04-02</t>
  </si>
  <si>
    <t>109899-2020-06</t>
  </si>
  <si>
    <t>Pr062000630</t>
  </si>
  <si>
    <t>109882-2020-04</t>
  </si>
  <si>
    <t>2020-06-010</t>
  </si>
  <si>
    <t>CP 2020-38</t>
  </si>
  <si>
    <t>CP 2020-37</t>
  </si>
  <si>
    <t>PR062000631</t>
  </si>
  <si>
    <t>2020-S-27</t>
  </si>
  <si>
    <t>0002-20</t>
  </si>
  <si>
    <t>0001-20</t>
  </si>
  <si>
    <t>109881-2020-05-02</t>
  </si>
  <si>
    <t>109881-2020-04</t>
  </si>
  <si>
    <t>ST2020-06007</t>
  </si>
  <si>
    <t>ST2020-06006</t>
  </si>
  <si>
    <t>109881-2020-05-01</t>
  </si>
  <si>
    <t>ST2020-06002</t>
  </si>
  <si>
    <t>ST2020-06005</t>
  </si>
  <si>
    <t>2020-06-307</t>
  </si>
  <si>
    <t>ST2020-06003</t>
  </si>
  <si>
    <t>302775-2020-06-027</t>
  </si>
  <si>
    <t>PR062000632</t>
  </si>
  <si>
    <t>PR062000633</t>
  </si>
  <si>
    <t>2020-06-328</t>
  </si>
  <si>
    <t>ST2020-06001</t>
  </si>
  <si>
    <t>2020-06-329</t>
  </si>
  <si>
    <t>ST2020-06011</t>
  </si>
  <si>
    <t>ST2020-06009</t>
  </si>
  <si>
    <t>ST2020-06008</t>
  </si>
  <si>
    <t>2020-ITB-06-033</t>
  </si>
  <si>
    <t>ST2020-06004</t>
  </si>
  <si>
    <t>ST2020-06010</t>
  </si>
  <si>
    <t>2020-ITB-06-035</t>
  </si>
  <si>
    <t>2020-ITB-06-034</t>
  </si>
  <si>
    <t>2020-ITB-06-028</t>
  </si>
  <si>
    <t>2020-ITB-06-037</t>
  </si>
  <si>
    <t>2020-06-331</t>
  </si>
  <si>
    <t>ST2020-06012</t>
  </si>
  <si>
    <t>2020-ITB-06-027</t>
  </si>
  <si>
    <t>ST2020-06014</t>
  </si>
  <si>
    <t>2020-06-330</t>
  </si>
  <si>
    <t>ITB 06-014-2020</t>
  </si>
  <si>
    <t>PGR-INFRA-2020-07-11</t>
  </si>
  <si>
    <t>2020-ITB-06-026</t>
  </si>
  <si>
    <t>2020-ITB-06-036</t>
  </si>
  <si>
    <t>Infra EDF 08-2020</t>
  </si>
  <si>
    <t>2020-ITB-06-038</t>
  </si>
  <si>
    <t>RFQ-2020-036</t>
  </si>
  <si>
    <t>2020-ITB-06-039</t>
  </si>
  <si>
    <t>2020-039R</t>
  </si>
  <si>
    <t>2020-06-333</t>
  </si>
  <si>
    <t>2020-040R</t>
  </si>
  <si>
    <t>SNCHS# 2020-0013</t>
  </si>
  <si>
    <t>2020-06-13</t>
  </si>
  <si>
    <t>301725</t>
  </si>
  <si>
    <t>0209-2020</t>
  </si>
  <si>
    <t>6/12/2020_01</t>
  </si>
  <si>
    <t>PGR-INFRA-2020-03-05</t>
  </si>
  <si>
    <t>20202-038R</t>
  </si>
  <si>
    <t>06-002-2020</t>
  </si>
  <si>
    <t>gsis/npsvp-221-20</t>
  </si>
  <si>
    <t>PHILGEPS-2020-13</t>
  </si>
  <si>
    <t>0211-2020</t>
  </si>
  <si>
    <t>goods 2020-001</t>
  </si>
  <si>
    <t>0210-2020</t>
  </si>
  <si>
    <t>0213-2020</t>
  </si>
  <si>
    <t>0212-2020</t>
  </si>
  <si>
    <t>PHILGEPS-2020-12</t>
  </si>
  <si>
    <t>06-001</t>
  </si>
  <si>
    <t>DC-20-17</t>
  </si>
  <si>
    <t>0214-2020</t>
  </si>
  <si>
    <t>9-062320</t>
  </si>
  <si>
    <t>2-070720</t>
  </si>
  <si>
    <t>7-062320</t>
  </si>
  <si>
    <t>10-062320</t>
  </si>
  <si>
    <t>6-062320</t>
  </si>
  <si>
    <t>20GNE0025</t>
  </si>
  <si>
    <t>8-062320</t>
  </si>
  <si>
    <t>RFQ-2020-06-116</t>
  </si>
  <si>
    <t>2020-ITB-06-042</t>
  </si>
  <si>
    <t>2020-ITB-06-040</t>
  </si>
  <si>
    <t>3-070720</t>
  </si>
  <si>
    <t>20GNE0026</t>
  </si>
  <si>
    <t>PGL-20 NEGO 23-06</t>
  </si>
  <si>
    <t>2020-06-0010</t>
  </si>
  <si>
    <t>2020-INFRA-027</t>
  </si>
  <si>
    <t>11-062320</t>
  </si>
  <si>
    <t>PR 2020-06</t>
  </si>
  <si>
    <t>GOODS2020-034</t>
  </si>
  <si>
    <t>2020-ITB-06-041</t>
  </si>
  <si>
    <t>GOODS2020-035</t>
  </si>
  <si>
    <t>2020-ITB-06-030</t>
  </si>
  <si>
    <t>2020-ITB-06-045</t>
  </si>
  <si>
    <t>2020-ITB-06-032</t>
  </si>
  <si>
    <t>20-01-014;034;082;083;095;20-02-014</t>
  </si>
  <si>
    <t>2020-ITB-06-029</t>
  </si>
  <si>
    <t>2020-ITB-06-046</t>
  </si>
  <si>
    <t>GTLMH-20-086</t>
  </si>
  <si>
    <t>2020-ITB-06-044</t>
  </si>
  <si>
    <t>PGR-INFRA-2020-03-07</t>
  </si>
  <si>
    <t>06-02</t>
  </si>
  <si>
    <t>GTLMH-20-069</t>
  </si>
  <si>
    <t>PR 2020-06-01</t>
  </si>
  <si>
    <t>PGR-INFRA-2020-03-13</t>
  </si>
  <si>
    <t>2020-ITB-06-031</t>
  </si>
  <si>
    <t>2020-ITB-06-043</t>
  </si>
  <si>
    <t>2020-INFRA-028</t>
  </si>
  <si>
    <t>PGR-INFRA-2020-03-14</t>
  </si>
  <si>
    <t>2020-INFRA-031</t>
  </si>
  <si>
    <t>2020-INFRA-030</t>
  </si>
  <si>
    <t>June 13, 2020 C</t>
  </si>
  <si>
    <t>PGR-INFRA-2020-03-16</t>
  </si>
  <si>
    <t>PGR-INFRA-2020-03-22</t>
  </si>
  <si>
    <t>DA3-2020-06-09-358</t>
  </si>
  <si>
    <t>2020-INFRA-032</t>
  </si>
  <si>
    <t>2020-06-132</t>
  </si>
  <si>
    <t>RFQ20-21-Ref-Case480F-F19-214</t>
  </si>
  <si>
    <t>BAC-ITIO GS No. 2020-0026 dated 21 April 2020</t>
  </si>
  <si>
    <t>2020-INFRA-029</t>
  </si>
  <si>
    <t>PGR-INFRA-2020-03-18</t>
  </si>
  <si>
    <t>PVNHSJHS06132020</t>
  </si>
  <si>
    <t>2020-3-17</t>
  </si>
  <si>
    <t>BAC-ITIO GS No. 2020-0053 dated 02 June 2020</t>
  </si>
  <si>
    <t>RFQ20-22-Ref-Case480F-F19-264</t>
  </si>
  <si>
    <t>DA3-2020-06-09-359</t>
  </si>
  <si>
    <t>RFQ No. 20-0549 Shopping B</t>
  </si>
  <si>
    <t>DA3-2020-06-04-63</t>
  </si>
  <si>
    <t>20-05-0579</t>
  </si>
  <si>
    <t>DA3-2020-06-09-360</t>
  </si>
  <si>
    <t>BAL-06-13-2020-Construction of Roofing in the Park</t>
  </si>
  <si>
    <t>SHOP GOODS 2020-06-13</t>
  </si>
  <si>
    <t>02172020</t>
  </si>
  <si>
    <t>DA3-06-04-60</t>
  </si>
  <si>
    <t>JHS-01-001</t>
  </si>
  <si>
    <t>RFQ20-23-Ref-UDDT-MM13-6</t>
  </si>
  <si>
    <t>DA3-2020-06-09-361</t>
  </si>
  <si>
    <t>DA3-2020-06-09-362</t>
  </si>
  <si>
    <t>CY2020QRF</t>
  </si>
  <si>
    <t>DA3-2020-06-04-61</t>
  </si>
  <si>
    <t>4-070720</t>
  </si>
  <si>
    <t>PMO-20-28</t>
  </si>
  <si>
    <t>20-01-0101</t>
  </si>
  <si>
    <t>005-2020</t>
  </si>
  <si>
    <t>brgy. carayrayan 2020-3</t>
  </si>
  <si>
    <t>006-2020</t>
  </si>
  <si>
    <t>2020-199</t>
  </si>
  <si>
    <t>2020-2</t>
  </si>
  <si>
    <t>brgy. carayrayan 2020-2</t>
  </si>
  <si>
    <t>brgy. carayrayan 2020-1</t>
  </si>
  <si>
    <t>2020-010-06</t>
  </si>
  <si>
    <t>2020-011-06</t>
  </si>
  <si>
    <t>2020-06-098</t>
  </si>
  <si>
    <t>SVP 2020-06-309</t>
  </si>
  <si>
    <t>2020-210</t>
  </si>
  <si>
    <t>2020-211</t>
  </si>
  <si>
    <t>2020-209</t>
  </si>
  <si>
    <t>SVP 2020-06-308</t>
  </si>
  <si>
    <t>AMP-018-2020</t>
  </si>
  <si>
    <t>2020-212</t>
  </si>
  <si>
    <t>PIN2020-077</t>
  </si>
  <si>
    <t>302775-2020-06-031</t>
  </si>
  <si>
    <t>PB-ALBAYINFRA-20-01</t>
  </si>
  <si>
    <t>2020-216</t>
  </si>
  <si>
    <t>RFQ 2020-07</t>
  </si>
  <si>
    <t>QSU-BAC-F-24-2020 01D Aux &amp; HES</t>
  </si>
  <si>
    <t>Amandiego-2020-06-001</t>
  </si>
  <si>
    <t>SVP 2020-06-310</t>
  </si>
  <si>
    <t>NP-SV 34</t>
  </si>
  <si>
    <t>SP-SV 2020-33</t>
  </si>
  <si>
    <t>302775-2020-06-033</t>
  </si>
  <si>
    <t>NP-SV 2020-35</t>
  </si>
  <si>
    <t>2020-Centro 8-005</t>
  </si>
  <si>
    <t>2020-228</t>
  </si>
  <si>
    <t>San Antonio-2020-06-001</t>
  </si>
  <si>
    <t>2020-244</t>
  </si>
  <si>
    <t>2020-233</t>
  </si>
  <si>
    <t>2020-242</t>
  </si>
  <si>
    <t>NP-SV 2020-36</t>
  </si>
  <si>
    <t>2020-46</t>
  </si>
  <si>
    <t>ITDI-200191_REBID</t>
  </si>
  <si>
    <t>DepED-RO6-D1-2020QRF(REPAIR)-C2-019-2020</t>
  </si>
  <si>
    <t>ITDI-200231_REBID</t>
  </si>
  <si>
    <t>2020-246</t>
  </si>
  <si>
    <t>ITDI-200323</t>
  </si>
  <si>
    <t>2020-177</t>
  </si>
  <si>
    <t>20-006-070</t>
  </si>
  <si>
    <t>20-006-072</t>
  </si>
  <si>
    <t>2020-250</t>
  </si>
  <si>
    <t>2020-162</t>
  </si>
  <si>
    <t>2020-63</t>
  </si>
  <si>
    <t>QNV-024-2020</t>
  </si>
  <si>
    <t>GSD-20-96797 (ECA)</t>
  </si>
  <si>
    <t>ITDI-200216_REBID</t>
  </si>
  <si>
    <t>ITDI-200288_REBID</t>
  </si>
  <si>
    <t>DepED-RO6-D1-2020QRF(REPAIR)-C4-021-2020</t>
  </si>
  <si>
    <t>ITDI-200227_REBID</t>
  </si>
  <si>
    <t>DepED-RO6-D1-2020QRF(REPAIR)-C3-020-2020</t>
  </si>
  <si>
    <t>ITB-BONE SOUTH ES SLOPE PROTECTION-20-06-01</t>
  </si>
  <si>
    <t>ITDI-200220_REBID</t>
  </si>
  <si>
    <t>ITDI-200208_REBID</t>
  </si>
  <si>
    <t>ITDI-200233_REBID</t>
  </si>
  <si>
    <t>ITDI-200218_REBID</t>
  </si>
  <si>
    <t>2020-47</t>
  </si>
  <si>
    <t>DepED-RO6-D1-2020QRF(REPAIR)-C5-022-2020</t>
  </si>
  <si>
    <t>DepED-RO6-D1-2020QRF(REPAIR)-C12-029-2020</t>
  </si>
  <si>
    <t>DepED-RO6-D1-2020QRF(REPAIR)-C10-027-2020</t>
  </si>
  <si>
    <t>DepED-RO6-D1-2020QRF(REPAIR)-C11-028-2020</t>
  </si>
  <si>
    <t>302775-2020-06-069</t>
  </si>
  <si>
    <t>DepED-RO6-D1-2020QRF(REPAIR)-C7-024-2020</t>
  </si>
  <si>
    <t>DepED-RO6-D1-2020QRF(REPAIR)-C6-023-2020</t>
  </si>
  <si>
    <t>DepED-RO6-D1-2020QRF(REPAIR)-C13-030-2020</t>
  </si>
  <si>
    <t>DepED-RO6-D1-2020QRF(REPAIR)-C8-025-2020</t>
  </si>
  <si>
    <t>2020-05-015</t>
  </si>
  <si>
    <t>101-20-06-005</t>
  </si>
  <si>
    <t>2020-05-014</t>
  </si>
  <si>
    <t>DepED-RO6-D1-2020QRF(REPAIR)-C16-033-2020</t>
  </si>
  <si>
    <t>2020-05-013</t>
  </si>
  <si>
    <t>ITDI-200217_REBID</t>
  </si>
  <si>
    <t>DepED-RO6-D1-2020QRF(REPAIR)-C15-032-2020</t>
  </si>
  <si>
    <t>061420</t>
  </si>
  <si>
    <t>DepED-RO6-D1-2020QRF(REPAIR)-C21-038-2020</t>
  </si>
  <si>
    <t>DepED-RO6-D1-2020QRF(REPAIR)-C20-037-2020</t>
  </si>
  <si>
    <t>DepED-RO6-D1-2020QRF(REPAIR)-C22-039-2020</t>
  </si>
  <si>
    <t>DepED-RO6-D1-2020QRF(REPAIR)-C17-034-2020</t>
  </si>
  <si>
    <t>DepED-RO6-D1-2020QRF(REPAIR)-C14-031-2020</t>
  </si>
  <si>
    <t>PRIS-2020-03-0236</t>
  </si>
  <si>
    <t>DepED-RO6-D1-2020QRF(REPAIR)-C18-035-2020</t>
  </si>
  <si>
    <t>DepED-RO6-D1-2020QRF(REPAIR)-C9-026-2020</t>
  </si>
  <si>
    <t>DepED-RO6-D1-2020QRF(REPAIR)-C19-036-2020</t>
  </si>
  <si>
    <t>PUR20-05-0391</t>
  </si>
  <si>
    <t>DepED-RO6-D1-2020QRF(REPAIR)-C24-041-2020</t>
  </si>
  <si>
    <t>ITDI-200259_REBID</t>
  </si>
  <si>
    <t>DepED-RO6-D1-2020QRF(REPAIR)-C26-043-2020</t>
  </si>
  <si>
    <t>ITDI-200300_REBID</t>
  </si>
  <si>
    <t>302775-2020-06-070</t>
  </si>
  <si>
    <t>DepED-RO6-D1-2020QRF(REPAIR)-C25-042-2020</t>
  </si>
  <si>
    <t>101-20-06-002</t>
  </si>
  <si>
    <t>ITDI-200240_REBID</t>
  </si>
  <si>
    <t>2020-07-008</t>
  </si>
  <si>
    <t>2020-07-009</t>
  </si>
  <si>
    <t>101-20-05-087</t>
  </si>
  <si>
    <t>2020-145</t>
  </si>
  <si>
    <t>PUR20-06-0456</t>
  </si>
  <si>
    <t>2020-144</t>
  </si>
  <si>
    <t>PUR20-03-0248</t>
  </si>
  <si>
    <t>PUR20-05-0443</t>
  </si>
  <si>
    <t>DepED-RO6-D1-2020QRF(REPAIR)-C23-040-2020</t>
  </si>
  <si>
    <t>302775-2020-06-063</t>
  </si>
  <si>
    <t>DepED-RO6-D1-2020QRF(REPAIR)-C27-044-2020</t>
  </si>
  <si>
    <t>6064</t>
  </si>
  <si>
    <t>NOSO-Goods-SIP-05-2020</t>
  </si>
  <si>
    <t>NP2020-06</t>
  </si>
  <si>
    <t>NOSO-Goods-SIP-04-2020</t>
  </si>
  <si>
    <t>20GAA0071</t>
  </si>
  <si>
    <t>NP2020-06-321</t>
  </si>
  <si>
    <t>PUR20-04-0356</t>
  </si>
  <si>
    <t>NP2020-02-116B</t>
  </si>
  <si>
    <t>NP2020-06-313</t>
  </si>
  <si>
    <t>20GAA0074</t>
  </si>
  <si>
    <t>NP2020-03-176B</t>
  </si>
  <si>
    <t>NP2020-06-314</t>
  </si>
  <si>
    <t>20GAA0073</t>
  </si>
  <si>
    <t>BAC1-20-013</t>
  </si>
  <si>
    <t>TFB 19-304C</t>
  </si>
  <si>
    <t>SVP-GSD-062020-106</t>
  </si>
  <si>
    <t>20GAA0072</t>
  </si>
  <si>
    <t>PUR20-03-0241</t>
  </si>
  <si>
    <t>ITB No. 2020-026</t>
  </si>
  <si>
    <t>20201406</t>
  </si>
  <si>
    <t>NP2020-02-117B</t>
  </si>
  <si>
    <t>BAC1-20-003</t>
  </si>
  <si>
    <t>302775-2020-06-074</t>
  </si>
  <si>
    <t>RFQ-2020-03-171</t>
  </si>
  <si>
    <t>NP2020-02-120B</t>
  </si>
  <si>
    <t>SVP-GSD-062020-107</t>
  </si>
  <si>
    <t>RFQ-2020-03-264</t>
  </si>
  <si>
    <t>RFQ-2020-05-17</t>
  </si>
  <si>
    <t>SVP-GSD-062020-108</t>
  </si>
  <si>
    <t>NP2020-06-317</t>
  </si>
  <si>
    <t>RFQ-2020-03-233</t>
  </si>
  <si>
    <t>PUR20-03-0274</t>
  </si>
  <si>
    <t>SVP-GSD-062020-111</t>
  </si>
  <si>
    <t>RFQ-2020-05-18</t>
  </si>
  <si>
    <t>2020-FLOODCONTROL-002</t>
  </si>
  <si>
    <t>SVP-GSD-062020-110</t>
  </si>
  <si>
    <t>RFQ-2020-03-334</t>
  </si>
  <si>
    <t>20HA0131</t>
  </si>
  <si>
    <t>ITB No. 2020-016</t>
  </si>
  <si>
    <t>NP2020-02-123</t>
  </si>
  <si>
    <t>SVP-GSD-062020-109</t>
  </si>
  <si>
    <t>RFQ-2020-05-73</t>
  </si>
  <si>
    <t>2020-MPDP-ANTIPULUAN-002</t>
  </si>
  <si>
    <t>BP-20-022</t>
  </si>
  <si>
    <t>ITB No. 2020-018</t>
  </si>
  <si>
    <t>ITB No. 2020-017</t>
  </si>
  <si>
    <t>RFQ-2020-05-122</t>
  </si>
  <si>
    <t>2020-04-01</t>
  </si>
  <si>
    <t>2020-WTP-CALATEGAS-002</t>
  </si>
  <si>
    <t>2020-FENCE-IPILAN-002</t>
  </si>
  <si>
    <t>PUR20-03-0308</t>
  </si>
  <si>
    <t>ITB No. 2020-019</t>
  </si>
  <si>
    <t>2020-WTP-P.URDUJA-002</t>
  </si>
  <si>
    <t>PM20-010</t>
  </si>
  <si>
    <t>WPU-2020-034</t>
  </si>
  <si>
    <t>2020-OMA-002</t>
  </si>
  <si>
    <t>BP-20-021</t>
  </si>
  <si>
    <t>2020-MPBLDG-ESTRELLAP1-002</t>
  </si>
  <si>
    <t>RFQ-2020-05-155</t>
  </si>
  <si>
    <t>RFQ-2020-157</t>
  </si>
  <si>
    <t>ITB No. 2020-022</t>
  </si>
  <si>
    <t>RFQ-2020-05-161</t>
  </si>
  <si>
    <t>sh-20-06-b-03</t>
  </si>
  <si>
    <t>RFQ-2020-05-216</t>
  </si>
  <si>
    <t>PB20-01-015CORa-06</t>
  </si>
  <si>
    <t>sh-20-06-b-06</t>
  </si>
  <si>
    <t>ITB No. 2020-023</t>
  </si>
  <si>
    <t>RFQ-2020-05-181</t>
  </si>
  <si>
    <t>RFQ-2020-05-219</t>
  </si>
  <si>
    <t>svp-20-05-c-08</t>
  </si>
  <si>
    <t>RFQ-2020-05-218</t>
  </si>
  <si>
    <t>RFQ-2020-05-217</t>
  </si>
  <si>
    <t>ITB No. 2020-020</t>
  </si>
  <si>
    <t>svp-20-06-c-01</t>
  </si>
  <si>
    <t>sh-20-06-c-06</t>
  </si>
  <si>
    <t>svp-20-06-b-05</t>
  </si>
  <si>
    <t>ITB No. 2020-021</t>
  </si>
  <si>
    <t>WPU-2020-036</t>
  </si>
  <si>
    <t>ITB No. 2020-024</t>
  </si>
  <si>
    <t>RFQ-2020-05-166</t>
  </si>
  <si>
    <t>RFQ-2020-06-100</t>
  </si>
  <si>
    <t>svp-20-05-c-01</t>
  </si>
  <si>
    <t>DOST XI 2020-021</t>
  </si>
  <si>
    <t>RFQ-2020-06-102</t>
  </si>
  <si>
    <t>RFQ-2020-06-84</t>
  </si>
  <si>
    <t>RFQ-2020-06-21</t>
  </si>
  <si>
    <t>2020-SVP-DENR-EMB-028-02</t>
  </si>
  <si>
    <t>N090-2020</t>
  </si>
  <si>
    <t>WPU-2020-035</t>
  </si>
  <si>
    <t>RFQ-2020-06-20</t>
  </si>
  <si>
    <t>ITB GOODS 2020-06-30</t>
  </si>
  <si>
    <t>RFQ-DARFO12-2020-0534</t>
  </si>
  <si>
    <t>20GPF0011</t>
  </si>
  <si>
    <t>BAC-ITO GS No. 2020-048 dated 27 May 2020</t>
  </si>
  <si>
    <t>ITB-2020-06-02</t>
  </si>
  <si>
    <t>RFQ-2020-05-220</t>
  </si>
  <si>
    <t>2020-373-018</t>
  </si>
  <si>
    <t>DOST XI 2020-022</t>
  </si>
  <si>
    <t>ITB-2020-06-03</t>
  </si>
  <si>
    <t>RFQ-2020-05-231</t>
  </si>
  <si>
    <t>2020-373-017</t>
  </si>
  <si>
    <t>SHS-2020-006</t>
  </si>
  <si>
    <t>ITB No. 2020-025</t>
  </si>
  <si>
    <t>ITB-2020-06-01</t>
  </si>
  <si>
    <t>SHS-2020-007</t>
  </si>
  <si>
    <t>2020-06-02-013</t>
  </si>
  <si>
    <t>20GFG0017</t>
  </si>
  <si>
    <t>SHS-2020-004</t>
  </si>
  <si>
    <t>SHS-2020-008</t>
  </si>
  <si>
    <t>20GFG0016</t>
  </si>
  <si>
    <t>PG-20-06-011</t>
  </si>
  <si>
    <t>2020-06-02-014</t>
  </si>
  <si>
    <t>ITB GOODS 2020-06-31</t>
  </si>
  <si>
    <t>SHS-2020-005</t>
  </si>
  <si>
    <t>2020-06-01B</t>
  </si>
  <si>
    <t>2020-06-02-012</t>
  </si>
  <si>
    <t>SHS-2020-009</t>
  </si>
  <si>
    <t>2020-07-02-015</t>
  </si>
  <si>
    <t>JHS-2020-019</t>
  </si>
  <si>
    <t>2020-0614</t>
  </si>
  <si>
    <t>JHS-2020-021</t>
  </si>
  <si>
    <t>JHS-2020-025</t>
  </si>
  <si>
    <t>2020-07-02-016</t>
  </si>
  <si>
    <t>ITB GOODS 2020-06-32</t>
  </si>
  <si>
    <t>JHS-2020-026</t>
  </si>
  <si>
    <t>JHS-2020-024</t>
  </si>
  <si>
    <t>RFQ20-25-Ref-HinoDT-I3-662</t>
  </si>
  <si>
    <t>JHS-2020-022</t>
  </si>
  <si>
    <t>RFQ20-24-Ref-UDDT-SEN-620</t>
  </si>
  <si>
    <t>LGU-Banayoyo, ISur 2020-06-042</t>
  </si>
  <si>
    <t>2020-006</t>
  </si>
  <si>
    <t>LGU-Banayoyo, ISur 2020-06-043</t>
  </si>
  <si>
    <t>JHS-2020-023</t>
  </si>
  <si>
    <t>CULABA 2020-04</t>
  </si>
  <si>
    <t>505</t>
  </si>
  <si>
    <t>ITB GOODS 2020-06-33</t>
  </si>
  <si>
    <t>INFRA-09-20-04</t>
  </si>
  <si>
    <t>JHS-2020-020</t>
  </si>
  <si>
    <t>INFRA-09-20-03</t>
  </si>
  <si>
    <t>LGU-Banayoyo, ISur 2020-06-044</t>
  </si>
  <si>
    <t>ITB GOODS 2020-06-34</t>
  </si>
  <si>
    <t>INFRA-09-20-02</t>
  </si>
  <si>
    <t>RFQ 2020-06-018</t>
  </si>
  <si>
    <t>INFRA-09-20-06</t>
  </si>
  <si>
    <t>INFRA-09-20-05</t>
  </si>
  <si>
    <t>LGU-Banayoyo, ISur 2020-06-046</t>
  </si>
  <si>
    <t>INFRA-09-20-01</t>
  </si>
  <si>
    <t>RFQ-2020-66</t>
  </si>
  <si>
    <t>LGU-Banayoyo, ISur 2020-06-045</t>
  </si>
  <si>
    <t>RFQ20-27-Ref-Mit-Paj-SCA-508</t>
  </si>
  <si>
    <t>RFQ20-26-Ref-HinoDT-KPI3</t>
  </si>
  <si>
    <t>RFQ-2020-65</t>
  </si>
  <si>
    <t>RFQ-2020-68</t>
  </si>
  <si>
    <t>RFQ-2020-67</t>
  </si>
  <si>
    <t>RFQ-2020-72</t>
  </si>
  <si>
    <t>RFQ-006-2020</t>
  </si>
  <si>
    <t>2020-0042</t>
  </si>
  <si>
    <t>RFQ-ASDI-SDN-2020-012</t>
  </si>
  <si>
    <t>DOST XI 2020-023</t>
  </si>
  <si>
    <t>RFQ-2020-71</t>
  </si>
  <si>
    <t>GTLMH-20-081</t>
  </si>
  <si>
    <t>SH-006-2020</t>
  </si>
  <si>
    <t>RFQ-2020-69</t>
  </si>
  <si>
    <t>none</t>
  </si>
  <si>
    <t>RFQ-007-2020</t>
  </si>
  <si>
    <t>PB-20-294</t>
  </si>
  <si>
    <t>RFQ-2020-70</t>
  </si>
  <si>
    <t>BPS-35979</t>
  </si>
  <si>
    <t>ITB GOODS 2020-06-35</t>
  </si>
  <si>
    <t>PB-20-322</t>
  </si>
  <si>
    <t>PB-20-321</t>
  </si>
  <si>
    <t>PR#100-20-06-421</t>
  </si>
  <si>
    <t>PB-20-324</t>
  </si>
  <si>
    <t>014-SHS-2020</t>
  </si>
  <si>
    <t>PB-20-320</t>
  </si>
  <si>
    <t>BAC SVP 2020-42</t>
  </si>
  <si>
    <t>PB-20-296</t>
  </si>
  <si>
    <t>PB-20-319</t>
  </si>
  <si>
    <t>BAC SVP 2020-41</t>
  </si>
  <si>
    <t>012-SHS-2020</t>
  </si>
  <si>
    <t>PB-20-295</t>
  </si>
  <si>
    <t>013-SHS-2020</t>
  </si>
  <si>
    <t>PB-20-323</t>
  </si>
  <si>
    <t>015-SHS-2020</t>
  </si>
  <si>
    <t>PB-20-318</t>
  </si>
  <si>
    <t>PB-20-317</t>
  </si>
  <si>
    <t>101-020-006-065</t>
  </si>
  <si>
    <t>20-06-144</t>
  </si>
  <si>
    <t>fatima-001</t>
  </si>
  <si>
    <t>2265-20</t>
  </si>
  <si>
    <t>BAC-06-1036</t>
  </si>
  <si>
    <t>2484-20</t>
  </si>
  <si>
    <t>RFQ No. 2020-003</t>
  </si>
  <si>
    <t>20M0027</t>
  </si>
  <si>
    <t>01-2020-06M</t>
  </si>
  <si>
    <t>MGB4B-20-012</t>
  </si>
  <si>
    <t>20060440</t>
  </si>
  <si>
    <t>20DF0188 - 20DF0190</t>
  </si>
  <si>
    <t>20050399</t>
  </si>
  <si>
    <t>G17-2020</t>
  </si>
  <si>
    <t>20M0026</t>
  </si>
  <si>
    <t>G18-2020</t>
  </si>
  <si>
    <t>2020-06-0003</t>
  </si>
  <si>
    <t>2583-20</t>
  </si>
  <si>
    <t>Nasugbu 0431-0725</t>
  </si>
  <si>
    <t>20-06-031JHS</t>
  </si>
  <si>
    <t>PMN2-MD-01</t>
  </si>
  <si>
    <t>Nasugbu 0738</t>
  </si>
  <si>
    <t>2020-438</t>
  </si>
  <si>
    <t>Nasugbu 0649-0728</t>
  </si>
  <si>
    <t>bk-2020-02</t>
  </si>
  <si>
    <t>BSTM-2020-02</t>
  </si>
  <si>
    <t>SHS Construction Materials and Supplies</t>
  </si>
  <si>
    <t>Nasugbu 0678-0679-0709</t>
  </si>
  <si>
    <t>NWD-013</t>
  </si>
  <si>
    <t>117568-2020-031</t>
  </si>
  <si>
    <t>117568-2020-032</t>
  </si>
  <si>
    <t>20-MC-MOOE-1</t>
  </si>
  <si>
    <t>BSTM-2020-01</t>
  </si>
  <si>
    <t>117568-2020-030</t>
  </si>
  <si>
    <t>2020-FMP-06-01</t>
  </si>
  <si>
    <t>2020-0900-004</t>
  </si>
  <si>
    <t>117568-2020-033</t>
  </si>
  <si>
    <t>2020-8</t>
  </si>
  <si>
    <t>RFQ 200247</t>
  </si>
  <si>
    <t>RFQ 200248</t>
  </si>
  <si>
    <t>2020-06-010-RFQ</t>
  </si>
  <si>
    <t>117568-2020-035</t>
  </si>
  <si>
    <t>73511</t>
  </si>
  <si>
    <t>117568-2020-034</t>
  </si>
  <si>
    <t>OC-59 (DRRMO-09) 20S</t>
  </si>
  <si>
    <t>2020-126</t>
  </si>
  <si>
    <t>June 13, 2020 B</t>
  </si>
  <si>
    <t>2020-INFRA-015</t>
  </si>
  <si>
    <t>SPPF2020-PR 179</t>
  </si>
  <si>
    <t>June 13, 2020</t>
  </si>
  <si>
    <t>OC-60 (CMO-OTMPS-01) 20S</t>
  </si>
  <si>
    <t>alasas2020-001</t>
  </si>
  <si>
    <t>OC-62 (CITY TREASURY OFFICE-02) 20S</t>
  </si>
  <si>
    <t>OC-61 (JLGMH- 06) 20S</t>
  </si>
  <si>
    <t>OC-63 (CMO-12)20S</t>
  </si>
  <si>
    <t>BugaNHScivilworks2020-003</t>
  </si>
  <si>
    <t>PR000094</t>
  </si>
  <si>
    <t>2020-06-022</t>
  </si>
  <si>
    <t>2020-06-020</t>
  </si>
  <si>
    <t>BugaNHScivilworks2020-004</t>
  </si>
  <si>
    <t>gsis/npsvp-222-20</t>
  </si>
  <si>
    <t>DDN_06/18/2020</t>
  </si>
  <si>
    <t>BAL-06-13-2020-Concreting of 100 Linear Meter Sori</t>
  </si>
  <si>
    <t>PG-2020-0021: Request for Quotation - Supply and D</t>
  </si>
  <si>
    <t>002-05-2020</t>
  </si>
  <si>
    <t>G-2020-028</t>
  </si>
  <si>
    <t>SVP-06132020-1</t>
  </si>
  <si>
    <t>SVP-06132020-2</t>
  </si>
  <si>
    <t>NIA.IGIMO-F501LFPS-CAMAMBUGAN CIS-N2020-05-0084</t>
  </si>
  <si>
    <t>G-2020-025</t>
  </si>
  <si>
    <t>PG-2020-0023: Request for Quotation - Furnishing a</t>
  </si>
  <si>
    <t>NIA.IGIMO-F501LFPS-BULUANGAN CIS-N2020-08-0083</t>
  </si>
  <si>
    <t>PG-2020-0022: Request for Quotation - Supply and D</t>
  </si>
  <si>
    <t>BAL-06-13-2020-Concreting of 100 Linear Meter Bara</t>
  </si>
  <si>
    <t>R1-PIMO-20-05-042</t>
  </si>
  <si>
    <t>PB2020-003 (GDS)</t>
  </si>
  <si>
    <t>LGU-POZ 2020-0030</t>
  </si>
  <si>
    <t>395822</t>
  </si>
  <si>
    <t>mos-20-0235</t>
  </si>
  <si>
    <t>BAL-06-13-2020-Concreting of 700 Linear Meter Bara</t>
  </si>
  <si>
    <t>LGU-POZ 2020-0029</t>
  </si>
  <si>
    <t>burgos-2020-151-048</t>
  </si>
  <si>
    <t>mos-20-0236</t>
  </si>
  <si>
    <t>BAC 2020-003</t>
  </si>
  <si>
    <t>LTFRB-006-016</t>
  </si>
  <si>
    <t>burgos-2020-150-047</t>
  </si>
  <si>
    <t>2020 - SNPABLO - 0001</t>
  </si>
  <si>
    <t>GAAS202001</t>
  </si>
  <si>
    <t>DMPD-2020-0052</t>
  </si>
  <si>
    <t>SVP-2020-06-11-01</t>
  </si>
  <si>
    <t>395209</t>
  </si>
  <si>
    <t>0272020</t>
  </si>
  <si>
    <t>20DL0214</t>
  </si>
  <si>
    <t>20DL0213</t>
  </si>
  <si>
    <t>20DL0211</t>
  </si>
  <si>
    <t>0252020</t>
  </si>
  <si>
    <t>20DL0209</t>
  </si>
  <si>
    <t>20DL0210</t>
  </si>
  <si>
    <t>0262020</t>
  </si>
  <si>
    <t>20DL0212</t>
  </si>
  <si>
    <t>KAMBONGGAN202001</t>
  </si>
  <si>
    <t>nlontoc-RFQ-G067-2020</t>
  </si>
  <si>
    <t>PR No. 13765 - 021120</t>
  </si>
  <si>
    <t>053-2020</t>
  </si>
  <si>
    <t>2020 -</t>
  </si>
  <si>
    <t>nlontoc-RFQ-G066-2020</t>
  </si>
  <si>
    <t>20DL0218</t>
  </si>
  <si>
    <t>2020-011R</t>
  </si>
  <si>
    <t>20DL0215</t>
  </si>
  <si>
    <t>20DL0219</t>
  </si>
  <si>
    <t>20DL0208</t>
  </si>
  <si>
    <t>PG-2020-0024: Request for Quotation - Supply and D</t>
  </si>
  <si>
    <t>11148</t>
  </si>
  <si>
    <t>ANHS 2020-09</t>
  </si>
  <si>
    <t>INFRA-20-003</t>
  </si>
  <si>
    <t>20DL0217</t>
  </si>
  <si>
    <t>ANHS 2020-008</t>
  </si>
  <si>
    <t>12-JUNE-2020-GOODS</t>
  </si>
  <si>
    <t>RFQ 064</t>
  </si>
  <si>
    <t>GOODS-20-003</t>
  </si>
  <si>
    <t>20DL0216</t>
  </si>
  <si>
    <t>ANHS 2020-010</t>
  </si>
  <si>
    <t>Dilan-002</t>
  </si>
  <si>
    <t>Imbalbalatong-002</t>
  </si>
  <si>
    <t>2020-57</t>
  </si>
  <si>
    <t>R1-PIMO-20-04-033</t>
  </si>
  <si>
    <t>Atabay_2020_01</t>
  </si>
  <si>
    <t>282-20</t>
  </si>
  <si>
    <t>R1-PIMO-20-056-043</t>
  </si>
  <si>
    <t>075-20</t>
  </si>
  <si>
    <t>2020-06-0078-BAC0055</t>
  </si>
  <si>
    <t>SVP-BRIDGE-062020-105</t>
  </si>
  <si>
    <t>RFQ 065</t>
  </si>
  <si>
    <t>2020bid001</t>
  </si>
  <si>
    <t>03-Special Release</t>
  </si>
  <si>
    <t>20-06-020-052</t>
  </si>
  <si>
    <t>SVP-BRIDGE-062020-102</t>
  </si>
  <si>
    <t>SVP-BRIDGE-062020-103</t>
  </si>
  <si>
    <t>132 – 2020</t>
  </si>
  <si>
    <t>SSBN-2020-16 &amp; 17</t>
  </si>
  <si>
    <t>32IB-2020-05-14</t>
  </si>
  <si>
    <t>20-06-019-052</t>
  </si>
  <si>
    <t>130 – 2020</t>
  </si>
  <si>
    <t>SVP-BRIDGE-062020-101</t>
  </si>
  <si>
    <t>133 – 2020</t>
  </si>
  <si>
    <t>SSBN-2020-12 &amp; 15</t>
  </si>
  <si>
    <t>20-06-001-RFQ</t>
  </si>
  <si>
    <t>131 – 2020</t>
  </si>
  <si>
    <t>20-06-022-052</t>
  </si>
  <si>
    <t>SVP-BRIDGE-062020-104</t>
  </si>
  <si>
    <t>ISPQ 054-2020</t>
  </si>
  <si>
    <t>GOODS-2020-02-003</t>
  </si>
  <si>
    <t>134-2020 RFQ</t>
  </si>
  <si>
    <t>20-06-002-RFQ</t>
  </si>
  <si>
    <t>20-06-021-052</t>
  </si>
  <si>
    <t>2020 - 003</t>
  </si>
  <si>
    <t>pal-20-06-011</t>
  </si>
  <si>
    <t>20PB0029</t>
  </si>
  <si>
    <t>BIDSPPF2020-PR. 177</t>
  </si>
  <si>
    <t>20PB0030</t>
  </si>
  <si>
    <t>202005038</t>
  </si>
  <si>
    <t>2020-06-09-20-03-22</t>
  </si>
  <si>
    <t>20PD0129</t>
  </si>
  <si>
    <t>ITB-0035</t>
  </si>
  <si>
    <t>20PD0127</t>
  </si>
  <si>
    <t>2020-06-09-20-03-21</t>
  </si>
  <si>
    <t>ITB - 0034</t>
  </si>
  <si>
    <t>SNIS-JHS-2020-06-001</t>
  </si>
  <si>
    <t>ITB-0036</t>
  </si>
  <si>
    <t>20PB0031</t>
  </si>
  <si>
    <t>2020 - 004</t>
  </si>
  <si>
    <t>ITB 2020-058</t>
  </si>
  <si>
    <t>ITB 2020-057</t>
  </si>
  <si>
    <t>2020-SRV-007</t>
  </si>
  <si>
    <t>2020-SRV-001</t>
  </si>
  <si>
    <t>2020-0209</t>
  </si>
  <si>
    <t>2020-SRV-004</t>
  </si>
  <si>
    <t>20200612</t>
  </si>
  <si>
    <t>RFQ-ATI-RTC4A-2020-06-038</t>
  </si>
  <si>
    <t>20-073</t>
  </si>
  <si>
    <t>1902119012-1n-2020059</t>
  </si>
  <si>
    <t>2020-06-0025</t>
  </si>
  <si>
    <t>BCS-2020-0124</t>
  </si>
  <si>
    <t>20PB0032</t>
  </si>
  <si>
    <t>BCS-2020-0123</t>
  </si>
  <si>
    <t>PR-2020-048</t>
  </si>
  <si>
    <t>SPPF2020-PR.0178</t>
  </si>
  <si>
    <t>RFQ-ATI-RTC4A-2020-06-043</t>
  </si>
  <si>
    <t>ARTA-34714</t>
  </si>
  <si>
    <t>20-06-2020</t>
  </si>
  <si>
    <t>RFQ-ATI-RTC4A-2020-06-039</t>
  </si>
  <si>
    <t>BCS-2020-0122</t>
  </si>
  <si>
    <t>2020-05-0133</t>
  </si>
  <si>
    <t>RFQ-ATI-RTC4A-2020-06-041</t>
  </si>
  <si>
    <t>2020-SRV-006</t>
  </si>
  <si>
    <t>BCS-2020-0121</t>
  </si>
  <si>
    <t>2020-05-0132</t>
  </si>
  <si>
    <t>20-06-411</t>
  </si>
  <si>
    <t>Atabay_2020_02</t>
  </si>
  <si>
    <t>RFQ-ATI-RTC4A-2020-06-040</t>
  </si>
  <si>
    <t>2020-06-0138</t>
  </si>
  <si>
    <t>2020-05-0118</t>
  </si>
  <si>
    <t>AMP SVP 20-06-0316A</t>
  </si>
  <si>
    <t>NP-GRMS-2006-043</t>
  </si>
  <si>
    <t>Atabay_2020_03</t>
  </si>
  <si>
    <t>2020-05-0130</t>
  </si>
  <si>
    <t>RFQ-ATI-RTC4A-2020-06-042</t>
  </si>
  <si>
    <t>ITB 2020-059</t>
  </si>
  <si>
    <t>2020-06-0153</t>
  </si>
  <si>
    <t>20202-SRV-005</t>
  </si>
  <si>
    <t>GDS-124</t>
  </si>
  <si>
    <t>2020-06-0147</t>
  </si>
  <si>
    <t>2020-05-0126</t>
  </si>
  <si>
    <t>NP-GRMS-2006-042</t>
  </si>
  <si>
    <t>AMP SVP 20-06-0317B</t>
  </si>
  <si>
    <t>2020-SRV-009</t>
  </si>
  <si>
    <t>2020-04-0149</t>
  </si>
  <si>
    <t>2020-06-0141</t>
  </si>
  <si>
    <t>2020-05-0124</t>
  </si>
  <si>
    <t>RFQ-ATI-RTC4A-2020-06-044</t>
  </si>
  <si>
    <t>20-06-394</t>
  </si>
  <si>
    <t>20-06-414</t>
  </si>
  <si>
    <t>20-05-351</t>
  </si>
  <si>
    <t>2020-SRV-010</t>
  </si>
  <si>
    <t>AMP SVP 20-06-0342</t>
  </si>
  <si>
    <t>AMP SVP 20-06-0114E</t>
  </si>
  <si>
    <t>2020-SRV-011</t>
  </si>
  <si>
    <t>DEPED-BOHOL-2020-06-074</t>
  </si>
  <si>
    <t>AMP SVP 20-06-0299A</t>
  </si>
  <si>
    <t>RFQ-ATI-RTC4A-2020-06-047</t>
  </si>
  <si>
    <t>Atabay_2020_04</t>
  </si>
  <si>
    <t>SN-2020-001</t>
  </si>
  <si>
    <t>DEPED-BOHOL-2020-06-075</t>
  </si>
  <si>
    <t>RFQ-ATI-RTC4A-2020-06-046</t>
  </si>
  <si>
    <t>AMP SVP 20-06-0256B</t>
  </si>
  <si>
    <t>2006011</t>
  </si>
  <si>
    <t>2020-06-0158</t>
  </si>
  <si>
    <t>RFQ-ATI-RTC4A-2020-06-045</t>
  </si>
  <si>
    <t>DEPED-BOHOL-2019-12-193</t>
  </si>
  <si>
    <t>2020-06-0152</t>
  </si>
  <si>
    <t>PSCbac 20-06-001</t>
  </si>
  <si>
    <t>SPPF2020-PR 180</t>
  </si>
  <si>
    <t>20-06-415</t>
  </si>
  <si>
    <t>AMP SVP 20-06-0324B</t>
  </si>
  <si>
    <t>2020-225-001</t>
  </si>
  <si>
    <t>KHS-2020-002</t>
  </si>
  <si>
    <t>KHS-2020-001</t>
  </si>
  <si>
    <t>2020-07-02</t>
  </si>
  <si>
    <t>2020-241-001</t>
  </si>
  <si>
    <t>AMP SVP 20-06-0333A</t>
  </si>
  <si>
    <t>GDS-70</t>
  </si>
  <si>
    <t>RFQ No. 20-0552 NP-SV</t>
  </si>
  <si>
    <t>AMP SVP 20-06-0271A</t>
  </si>
  <si>
    <t>BAC 2020-004</t>
  </si>
  <si>
    <t>2020-06-034</t>
  </si>
  <si>
    <t>AMP SVP 20-06-0297B</t>
  </si>
  <si>
    <t>DENR-NCR, PR No. 2020-397 dated 06/11/2020</t>
  </si>
  <si>
    <t>ITB#23-2020</t>
  </si>
  <si>
    <t>G-22-2020</t>
  </si>
  <si>
    <t>G-24-2020</t>
  </si>
  <si>
    <t>AMP SVP 20-06-0310B</t>
  </si>
  <si>
    <t>G-23-2020</t>
  </si>
  <si>
    <t>2020-06-10</t>
  </si>
  <si>
    <t>VNHS-00004-2020</t>
  </si>
  <si>
    <t>INFRA-2020-06-004</t>
  </si>
  <si>
    <t>DENR-NCR, PR No. 2020-398 dated 06/11/2020</t>
  </si>
  <si>
    <t>INFRA-2020-06-005</t>
  </si>
  <si>
    <t>2020-06-11</t>
  </si>
  <si>
    <t>Budget Certificate No. 233 - 2020</t>
  </si>
  <si>
    <t>LNHS2020-0003</t>
  </si>
  <si>
    <t>MNHS0001-S2020</t>
  </si>
  <si>
    <t>RFQ-2020-012</t>
  </si>
  <si>
    <t>LNHS2020-0004</t>
  </si>
  <si>
    <t>Budget Certificate No. 220-2020</t>
  </si>
  <si>
    <t>AMP SVP 20-06-0345</t>
  </si>
  <si>
    <t>INFRA-2020-06-006</t>
  </si>
  <si>
    <t>2020-06-100</t>
  </si>
  <si>
    <t>G-25-2020</t>
  </si>
  <si>
    <t>AMP SVP 20-06-0267A</t>
  </si>
  <si>
    <t>Goods 2020-013(NP)</t>
  </si>
  <si>
    <t>SNCHS SHS #2020-0006</t>
  </si>
  <si>
    <t>SPPF2020-PR.0181</t>
  </si>
  <si>
    <t>G16-2020</t>
  </si>
  <si>
    <t>2020-06-12</t>
  </si>
  <si>
    <t>AMP SVP 20-06-0348</t>
  </si>
  <si>
    <t>SNCHS SHS #2020-0005</t>
  </si>
  <si>
    <t>INFRA-2020-02</t>
  </si>
  <si>
    <t>RFQ-ATI-RTC4A-2020-06-048</t>
  </si>
  <si>
    <t>RFQ-ATI-RTC4A-2020-06-049</t>
  </si>
  <si>
    <t>RFQ No.: 041</t>
  </si>
  <si>
    <t>RFQ No.: 042</t>
  </si>
  <si>
    <t>RFQ No.: 047</t>
  </si>
  <si>
    <t>RFQ No.: 60</t>
  </si>
  <si>
    <t>RFQ-ATI-RTC4A-2020-06-052</t>
  </si>
  <si>
    <t>AMP SVP NO: 20-06-0344</t>
  </si>
  <si>
    <t>RFQ No.: 046</t>
  </si>
  <si>
    <t>RFQ-ATI-RTC4A-2020-06-053</t>
  </si>
  <si>
    <t>ITB 2020-006</t>
  </si>
  <si>
    <t>POW-1041-2020-PGS-01B</t>
  </si>
  <si>
    <t>BRGHGMC-GS-2020-04</t>
  </si>
  <si>
    <t>RFQ-ATI-RTC4A-2020-06-051</t>
  </si>
  <si>
    <t>RFQ-ATI-RTC4A-2020-06-050</t>
  </si>
  <si>
    <t>G-2020-311</t>
  </si>
  <si>
    <t>2020-03-0068-BAC0046</t>
  </si>
  <si>
    <t>PR# 2020-05-027</t>
  </si>
  <si>
    <t>G-2020-332</t>
  </si>
  <si>
    <t>G-2020-293</t>
  </si>
  <si>
    <t>Barangay Iguid-003-2020</t>
  </si>
  <si>
    <t>20CSA004</t>
  </si>
  <si>
    <t>2020-Barangay socorro-002</t>
  </si>
  <si>
    <t>20CSAD03</t>
  </si>
  <si>
    <t>2020-Barangay Mombon-002</t>
  </si>
  <si>
    <t>20CSA003</t>
  </si>
  <si>
    <t>20CSDM03</t>
  </si>
  <si>
    <t>2020-139</t>
  </si>
  <si>
    <t>MOB-BAC-2020-06-020-INFRA</t>
  </si>
  <si>
    <t>20-05-0319</t>
  </si>
  <si>
    <t>2020-Barangay Bunuanan-006</t>
  </si>
  <si>
    <t>GOODS2020-005</t>
  </si>
  <si>
    <t>OR 0439-20</t>
  </si>
  <si>
    <t>MC1-2006-030</t>
  </si>
  <si>
    <t>PR-2020-9999-1162</t>
  </si>
  <si>
    <t>20EB0125</t>
  </si>
  <si>
    <t>PR-2020-1011-0233</t>
  </si>
  <si>
    <t>RSPQ NO. 2020-03-024</t>
  </si>
  <si>
    <t>PR-2005-518</t>
  </si>
  <si>
    <t>PR-2020-7611-0012</t>
  </si>
  <si>
    <t>RSPQ NO. 2020-03-023</t>
  </si>
  <si>
    <t>PR-2020-1011-0223</t>
  </si>
  <si>
    <t>2020-06-137</t>
  </si>
  <si>
    <t>PR-2020-1011-0047</t>
  </si>
  <si>
    <t>37-2020</t>
  </si>
  <si>
    <t>06102020</t>
  </si>
  <si>
    <t>36-2020</t>
  </si>
  <si>
    <t>NS 0576-20</t>
  </si>
  <si>
    <t>INFRA 2020-006</t>
  </si>
  <si>
    <t>015</t>
  </si>
  <si>
    <t>OTORHI 0560-20</t>
  </si>
  <si>
    <t>GO-2020-06-78</t>
  </si>
  <si>
    <t>NS 0204-20</t>
  </si>
  <si>
    <t>GO-2020-06-75</t>
  </si>
  <si>
    <t>51E-02-2020-042 (SPF)</t>
  </si>
  <si>
    <t>GO-2020-06-74</t>
  </si>
  <si>
    <t>2020-06-351</t>
  </si>
  <si>
    <t>GO-2020-06-77</t>
  </si>
  <si>
    <t>NS 1177-20</t>
  </si>
  <si>
    <t>20GEB0006</t>
  </si>
  <si>
    <t>NS 1147-20</t>
  </si>
  <si>
    <t>DENR-ORMIN-017-2020</t>
  </si>
  <si>
    <t>01-07-2020</t>
  </si>
  <si>
    <t>20II0061</t>
  </si>
  <si>
    <t>RFQ 2020-06-0655</t>
  </si>
  <si>
    <t>RFQ 2020-06-0663</t>
  </si>
  <si>
    <t>GO-2020-06-76</t>
  </si>
  <si>
    <t>GO-2020-06-80</t>
  </si>
  <si>
    <t>GO-2020-06-79</t>
  </si>
  <si>
    <t>NS 1165-20</t>
  </si>
  <si>
    <t>PRDP-PSO-Admin-2020-013 (AF)</t>
  </si>
  <si>
    <t>IB-01-0186-20 COE-CE SUPPLY AND DELIVERY OF LABORA</t>
  </si>
  <si>
    <t>2020-714</t>
  </si>
  <si>
    <t>IB-01-0206-20 VPAFEA SUPPLY, DELIVERY AND INSTALLA</t>
  </si>
  <si>
    <t>PANG-2020-0778</t>
  </si>
  <si>
    <t>2020-03-170</t>
  </si>
  <si>
    <t>MSBAC 2020-01-010</t>
  </si>
  <si>
    <t>PANG-2020-0779</t>
  </si>
  <si>
    <t>6873920</t>
  </si>
  <si>
    <t>Bid No. 20-0274</t>
  </si>
  <si>
    <t>2020-02-148</t>
  </si>
  <si>
    <t>PANG-2020-0782</t>
  </si>
  <si>
    <t>ITB INFRA-023-2020</t>
  </si>
  <si>
    <t>2020-03-150</t>
  </si>
  <si>
    <t>PANG-2020-0780</t>
  </si>
  <si>
    <t>PR2020-329</t>
  </si>
  <si>
    <t>2020-03-162</t>
  </si>
  <si>
    <t>PANG-2020-0781</t>
  </si>
  <si>
    <t>Goods-2020-PB-O1</t>
  </si>
  <si>
    <t>Goods-2020-PB-O2</t>
  </si>
  <si>
    <t>618</t>
  </si>
  <si>
    <t>PANG-2020-0783</t>
  </si>
  <si>
    <t>RFQ-202001</t>
  </si>
  <si>
    <t>3</t>
  </si>
  <si>
    <t>ITB 2020-06-034(GOODS)</t>
  </si>
  <si>
    <t>Goods-2020-PB-O3</t>
  </si>
  <si>
    <t>PANG-2020-0784</t>
  </si>
  <si>
    <t>M-12-20</t>
  </si>
  <si>
    <t>2020-149</t>
  </si>
  <si>
    <t>2021-001</t>
  </si>
  <si>
    <t>004-2020</t>
  </si>
  <si>
    <t>ITB 2020-06-033 (GOODS)</t>
  </si>
  <si>
    <t>Accounting</t>
  </si>
  <si>
    <t>C-0113-0038-20</t>
  </si>
  <si>
    <t>061120-H01</t>
  </si>
  <si>
    <t>mgc2020-infra036</t>
  </si>
  <si>
    <t>PURCHASE OF 75" LED TV, AIRCON, OFFICE TABLES AND</t>
  </si>
  <si>
    <t>2020-03-02</t>
  </si>
  <si>
    <t>PR NO. 2020-05-105</t>
  </si>
  <si>
    <t>2020-BrgyIV-02</t>
  </si>
  <si>
    <t>mgc2020-infra038</t>
  </si>
  <si>
    <t>2020-18</t>
  </si>
  <si>
    <t>MG-PAS20-010</t>
  </si>
  <si>
    <t>mgc2020-infra037</t>
  </si>
  <si>
    <t>2020-BrgyIV-01</t>
  </si>
  <si>
    <t>2020-06-0259</t>
  </si>
  <si>
    <t>6-20-26</t>
  </si>
  <si>
    <t>6112020-023</t>
  </si>
  <si>
    <t>2020-0264</t>
  </si>
  <si>
    <t>06-10-2020</t>
  </si>
  <si>
    <t>2020-06-369</t>
  </si>
  <si>
    <t>2020-101-048</t>
  </si>
  <si>
    <t>021-06-2020</t>
  </si>
  <si>
    <t>6-20-25</t>
  </si>
  <si>
    <t>Purchase of Meals, Snacks and other Supplies to be</t>
  </si>
  <si>
    <t>BAC 0319-2020</t>
  </si>
  <si>
    <t>2020-G010</t>
  </si>
  <si>
    <t>2020-06-0336</t>
  </si>
  <si>
    <t>PN 2020-12</t>
  </si>
  <si>
    <t>PR NO. 2020-05-095</t>
  </si>
  <si>
    <t>PR 325-20</t>
  </si>
  <si>
    <t>2020-RFQ-017</t>
  </si>
  <si>
    <t>2020-06-368</t>
  </si>
  <si>
    <t>022-06-2020</t>
  </si>
  <si>
    <t>20-06-018</t>
  </si>
  <si>
    <t>mgc2020-infra039</t>
  </si>
  <si>
    <t>PR No 2020-001</t>
  </si>
  <si>
    <t>CHO--20-019</t>
  </si>
  <si>
    <t>PR. 20-02-085 (2020-02-086 3RD QUOTE)</t>
  </si>
  <si>
    <t>2020-03-01</t>
  </si>
  <si>
    <t>2020-06-3091</t>
  </si>
  <si>
    <t>2020-0430</t>
  </si>
  <si>
    <t>2020-0263</t>
  </si>
  <si>
    <t>110620202</t>
  </si>
  <si>
    <t>GA-BAC-AM # 2020-016-R</t>
  </si>
  <si>
    <t>PR NO. 2020-05-094</t>
  </si>
  <si>
    <t>6-20-27</t>
  </si>
  <si>
    <t>20JBG0040</t>
  </si>
  <si>
    <t>PN 2020-13</t>
  </si>
  <si>
    <t>076 - 2020</t>
  </si>
  <si>
    <t>2020-061101</t>
  </si>
  <si>
    <t>MMWD-0015-2020</t>
  </si>
  <si>
    <t>INFRA-20-47</t>
  </si>
  <si>
    <t>GTLMH-20-013</t>
  </si>
  <si>
    <t>Bid No. 20-0275</t>
  </si>
  <si>
    <t>GA-BAC-AM # 2020-012-R</t>
  </si>
  <si>
    <t>RFQ 2020-06-0662</t>
  </si>
  <si>
    <t>TAGABAKID-2020-01</t>
  </si>
  <si>
    <t>2020-061104</t>
  </si>
  <si>
    <t>101-20-03-068</t>
  </si>
  <si>
    <t>2020-SVP-005</t>
  </si>
  <si>
    <t>001-01-2020</t>
  </si>
  <si>
    <t>2020-06-0337</t>
  </si>
  <si>
    <t>KB-INFRA-2020-06</t>
  </si>
  <si>
    <t>2020-061103</t>
  </si>
  <si>
    <t>2020-061106</t>
  </si>
  <si>
    <t>20-02</t>
  </si>
  <si>
    <t>Bid No. 20-0276</t>
  </si>
  <si>
    <t>2020-061102</t>
  </si>
  <si>
    <t>2020-06-157</t>
  </si>
  <si>
    <t>ROSAL 0320-2020</t>
  </si>
  <si>
    <t>PR 03-3299</t>
  </si>
  <si>
    <t>2020-6-270</t>
  </si>
  <si>
    <t>2020-061105</t>
  </si>
  <si>
    <t>101-20-06-149</t>
  </si>
  <si>
    <t>2020 – 05 – 013</t>
  </si>
  <si>
    <t>Cas007-2020</t>
  </si>
  <si>
    <t>PR#20-083</t>
  </si>
  <si>
    <t>20-06-028TF</t>
  </si>
  <si>
    <t>467-20</t>
  </si>
  <si>
    <t>20-0040-06</t>
  </si>
  <si>
    <t>101-20-06-152</t>
  </si>
  <si>
    <t>2020-PBGOODS-05-006</t>
  </si>
  <si>
    <t>101-20-06-145</t>
  </si>
  <si>
    <t>20-06-116</t>
  </si>
  <si>
    <t>0611202001</t>
  </si>
  <si>
    <t>2020-SVP-06-29</t>
  </si>
  <si>
    <t>INFRA 2020-001</t>
  </si>
  <si>
    <t>2020-6-273</t>
  </si>
  <si>
    <t>20-06-0010</t>
  </si>
  <si>
    <t>20-06-0012</t>
  </si>
  <si>
    <t>2020-06-0071</t>
  </si>
  <si>
    <t>12-01-2020-06-557</t>
  </si>
  <si>
    <t>PR 03-3298</t>
  </si>
  <si>
    <t>wawa2sk-001</t>
  </si>
  <si>
    <t>PR#20-082</t>
  </si>
  <si>
    <t>RFQ-DARFO12-2020-0502</t>
  </si>
  <si>
    <t>20-06-027TF</t>
  </si>
  <si>
    <t>2020-032J</t>
  </si>
  <si>
    <t>20-NFA-EPS-06-001</t>
  </si>
  <si>
    <t>SN-2020-06-011</t>
  </si>
  <si>
    <t>SV-0732-2020</t>
  </si>
  <si>
    <t>6112020-024</t>
  </si>
  <si>
    <t>20-06-0015</t>
  </si>
  <si>
    <t>71-2020</t>
  </si>
  <si>
    <t>20A-02-0039</t>
  </si>
  <si>
    <t>RFQ-DARFO12-2020-0503</t>
  </si>
  <si>
    <t>20-06-0011</t>
  </si>
  <si>
    <t>PR No. 14115 - 060920</t>
  </si>
  <si>
    <t>PR 03-3301</t>
  </si>
  <si>
    <t>520-20</t>
  </si>
  <si>
    <t>06-0032-20</t>
  </si>
  <si>
    <t>PR-2020-1388</t>
  </si>
  <si>
    <t>60011012020</t>
  </si>
  <si>
    <t>PR#20-079</t>
  </si>
  <si>
    <t>PB-2020-06-002</t>
  </si>
  <si>
    <t>PR#20-078</t>
  </si>
  <si>
    <t>19A-12-1158</t>
  </si>
  <si>
    <t>Bid No. 20-0277</t>
  </si>
  <si>
    <t>RFQ-DARFO12-2020-0504</t>
  </si>
  <si>
    <t>20013012020</t>
  </si>
  <si>
    <t>20CN0149</t>
  </si>
  <si>
    <t>26-2020</t>
  </si>
  <si>
    <t>20013022020</t>
  </si>
  <si>
    <t>2020-06-11-009</t>
  </si>
  <si>
    <t>2020-03004</t>
  </si>
  <si>
    <t>20013032020</t>
  </si>
  <si>
    <t>6-20-28</t>
  </si>
  <si>
    <t>101-20-06-154</t>
  </si>
  <si>
    <t>PR 03-3300</t>
  </si>
  <si>
    <t>080-2020</t>
  </si>
  <si>
    <t>NS 1180-20</t>
  </si>
  <si>
    <t>6-20-29</t>
  </si>
  <si>
    <t>RFQ-DARFO12-2020-0505</t>
  </si>
  <si>
    <t>2020-RFQ-005</t>
  </si>
  <si>
    <t>27-2020</t>
  </si>
  <si>
    <t>2020-0041</t>
  </si>
  <si>
    <t>20A-01-0011</t>
  </si>
  <si>
    <t>19A-10-0953</t>
  </si>
  <si>
    <t>1176-20-06-79</t>
  </si>
  <si>
    <t>PR#20-081</t>
  </si>
  <si>
    <t>20-06-139</t>
  </si>
  <si>
    <t>SV-0725-2020</t>
  </si>
  <si>
    <t>20A-02-0035</t>
  </si>
  <si>
    <t>SN-2020-06-012</t>
  </si>
  <si>
    <t>INF-16-June 11, 2020</t>
  </si>
  <si>
    <t>20063</t>
  </si>
  <si>
    <t>12-2020</t>
  </si>
  <si>
    <t>29-2020</t>
  </si>
  <si>
    <t>RFQ-DARFO12-2020-0507</t>
  </si>
  <si>
    <t>2020-0069</t>
  </si>
  <si>
    <t>2020-0249</t>
  </si>
  <si>
    <t>RFQ 2020-100</t>
  </si>
  <si>
    <t>28-2020</t>
  </si>
  <si>
    <t>2020-0045</t>
  </si>
  <si>
    <t>RFQ-DARFO12-2020-0506</t>
  </si>
  <si>
    <t>UPLB-RQ-6-123-20-RES LABORATORY SUPPLIES &amp; EQUIPME</t>
  </si>
  <si>
    <t>PR0057-20 PAGRO REBID</t>
  </si>
  <si>
    <t>519-20</t>
  </si>
  <si>
    <t>2020-06-AIRCONMAINTENANCE</t>
  </si>
  <si>
    <t>RFQ-DARFO12-2020-0509</t>
  </si>
  <si>
    <t>RFQ NO. 2020-06-141</t>
  </si>
  <si>
    <t>6-20-30</t>
  </si>
  <si>
    <t>RFQ-DARFO12-2020-0511</t>
  </si>
  <si>
    <t>PR#20-077</t>
  </si>
  <si>
    <t>VIN BAC 026-2020</t>
  </si>
  <si>
    <t>RFQ-DARFO12-2020-0510</t>
  </si>
  <si>
    <t>UPLB-RQ-6-124-20-RES CHEMICALS &amp; CHEMICAL PRODUCTS</t>
  </si>
  <si>
    <t>PR NO. 86-S</t>
  </si>
  <si>
    <t>RQ 06-081</t>
  </si>
  <si>
    <t>1176-20-06-80</t>
  </si>
  <si>
    <t>INF-17-June 11, 2020</t>
  </si>
  <si>
    <t>VIN BAC 024-2020</t>
  </si>
  <si>
    <t>BRGY. CAPAYAWAN- INFRA- 2020-01</t>
  </si>
  <si>
    <t>MG-PLM20-071</t>
  </si>
  <si>
    <t>IB No. 01-2020</t>
  </si>
  <si>
    <t>2020-06-11A</t>
  </si>
  <si>
    <t>MG-PLM20-079</t>
  </si>
  <si>
    <t>PR-2020-0973</t>
  </si>
  <si>
    <t>MG-PLM20-074</t>
  </si>
  <si>
    <t>PR 20-06-0173</t>
  </si>
  <si>
    <t>RFQ 2020-101</t>
  </si>
  <si>
    <t>ADS-1377-20</t>
  </si>
  <si>
    <t>RFQ-DARFO12-2020-0513</t>
  </si>
  <si>
    <t>PR-2020-1448</t>
  </si>
  <si>
    <t>PR-2020-1395</t>
  </si>
  <si>
    <t>420200202552</t>
  </si>
  <si>
    <t>RFQ-DARFO12-2020-0512</t>
  </si>
  <si>
    <t>MG-PLM20-082</t>
  </si>
  <si>
    <t>2020-06-11B</t>
  </si>
  <si>
    <t>CRF No. 20-004</t>
  </si>
  <si>
    <t>ATI-RTC 2020-0034</t>
  </si>
  <si>
    <t>MG-PLM20-084</t>
  </si>
  <si>
    <t>MG-PLM20-096</t>
  </si>
  <si>
    <t>MG-PLM20-081</t>
  </si>
  <si>
    <t>ITB NO. 2020-0014N</t>
  </si>
  <si>
    <t>RQ 06-082</t>
  </si>
  <si>
    <t>2020-06-0338</t>
  </si>
  <si>
    <t>06-2020-002</t>
  </si>
  <si>
    <t>LGU Valencia, Bohol 2020 - 059</t>
  </si>
  <si>
    <t>524-20</t>
  </si>
  <si>
    <t>MG-PLM20-085</t>
  </si>
  <si>
    <t>RFQ - CPR No. GS-27-32-33-34-39-41-43-47-49-52-58-</t>
  </si>
  <si>
    <t>20-06-218</t>
  </si>
  <si>
    <t>RQ 06-097</t>
  </si>
  <si>
    <t>G-2020-016</t>
  </si>
  <si>
    <t>Cas008-2020</t>
  </si>
  <si>
    <t>NS 1181-20</t>
  </si>
  <si>
    <t>SEF-SB NO.1 2018-115-06</t>
  </si>
  <si>
    <t>ATI-RTC 2020-0035</t>
  </si>
  <si>
    <t>6-20-31</t>
  </si>
  <si>
    <t>061-20</t>
  </si>
  <si>
    <t>BP2020-001</t>
  </si>
  <si>
    <t>S1-A1-002</t>
  </si>
  <si>
    <t>SB NO.3 2019-14</t>
  </si>
  <si>
    <t>RQ 06-099</t>
  </si>
  <si>
    <t>2020-6-1441</t>
  </si>
  <si>
    <t>PB-2020-06-003</t>
  </si>
  <si>
    <t>INFR-019-2020</t>
  </si>
  <si>
    <t>2020-06-0339</t>
  </si>
  <si>
    <t>PR-2005-525</t>
  </si>
  <si>
    <t>FPMD-2020-06-0289</t>
  </si>
  <si>
    <t>waw 2- 01 -002 CLWC</t>
  </si>
  <si>
    <t>GOODS 2020-18</t>
  </si>
  <si>
    <t>FPR-20-037/038/048-052/060/074</t>
  </si>
  <si>
    <t>GF 20022</t>
  </si>
  <si>
    <t>RFQ - 2020-06 - 042</t>
  </si>
  <si>
    <t>ITB-2020-06-15</t>
  </si>
  <si>
    <t>Bid No. 20-0278</t>
  </si>
  <si>
    <t>RFQ-2020-018</t>
  </si>
  <si>
    <t>PMO-20-26</t>
  </si>
  <si>
    <t>NS 1179-20</t>
  </si>
  <si>
    <t>RFQ 2020-102</t>
  </si>
  <si>
    <t>20200611 02*</t>
  </si>
  <si>
    <t>GF 2019-06-001</t>
  </si>
  <si>
    <t>6-20-32</t>
  </si>
  <si>
    <t>2020-090</t>
  </si>
  <si>
    <t>DTI-IS -2020-05</t>
  </si>
  <si>
    <t>JHS - 001 - 06 - 2020</t>
  </si>
  <si>
    <t>2020-06-0340</t>
  </si>
  <si>
    <t>2020-07-007</t>
  </si>
  <si>
    <t>037-LGU-LAOANG-2020</t>
  </si>
  <si>
    <t>60011022020</t>
  </si>
  <si>
    <t>794</t>
  </si>
  <si>
    <t>DENR XII-SP-23-2020</t>
  </si>
  <si>
    <t>2020-06-0560</t>
  </si>
  <si>
    <t>BAC-IB 2020-31</t>
  </si>
  <si>
    <t>MOB-BAC-2020-06-014-GOODS(SVP)</t>
  </si>
  <si>
    <t>RFQ-DARFO12-2020-0514</t>
  </si>
  <si>
    <t>PB-Sparts-2020-03</t>
  </si>
  <si>
    <t>20-00043</t>
  </si>
  <si>
    <t>6-20-33</t>
  </si>
  <si>
    <t>2020-06-0069</t>
  </si>
  <si>
    <t>20-05-203</t>
  </si>
  <si>
    <t>20-06-219</t>
  </si>
  <si>
    <t>521-20</t>
  </si>
  <si>
    <t>RFQ No. 2020-035</t>
  </si>
  <si>
    <t>JHS - 002 - 06 - 2020</t>
  </si>
  <si>
    <t>cal06102020-01</t>
  </si>
  <si>
    <t>Bid No. 20-0279</t>
  </si>
  <si>
    <t>02-07-2020</t>
  </si>
  <si>
    <t>2020-06-0070</t>
  </si>
  <si>
    <t>sfbac2020</t>
  </si>
  <si>
    <t>JHS -003 - 06 - 2020</t>
  </si>
  <si>
    <t>017</t>
  </si>
  <si>
    <t>MOB-BAC-2020-06-021-INFRA</t>
  </si>
  <si>
    <t>20-06-SO102</t>
  </si>
  <si>
    <t>2020-LUZON-003</t>
  </si>
  <si>
    <t>MinSCAT RFQ 2020-035</t>
  </si>
  <si>
    <t>520200302592</t>
  </si>
  <si>
    <t>IB NO. N-2020-06-72</t>
  </si>
  <si>
    <t>60011032020</t>
  </si>
  <si>
    <t>ATI-RTC 2020-0036</t>
  </si>
  <si>
    <t>F6-20-1397</t>
  </si>
  <si>
    <t>N20-06-073 REPAIRS AND MAINTENANCE OF PATROL VEHIC</t>
  </si>
  <si>
    <t>2020-0611001</t>
  </si>
  <si>
    <t>pn 2020-14</t>
  </si>
  <si>
    <t>20-06-00081</t>
  </si>
  <si>
    <t>2020-LUZON-004</t>
  </si>
  <si>
    <t>PR 2020-03-038</t>
  </si>
  <si>
    <t>GEPS-008-2020</t>
  </si>
  <si>
    <t>2020-6-1430</t>
  </si>
  <si>
    <t>6-20-34</t>
  </si>
  <si>
    <t>20-NFA-EPS-06-002</t>
  </si>
  <si>
    <t>ITB GOODS 20-06-009</t>
  </si>
  <si>
    <t>2020-03-0525</t>
  </si>
  <si>
    <t>CA-20-06-33</t>
  </si>
  <si>
    <t>20KB0165</t>
  </si>
  <si>
    <t>PR 2020-03-042</t>
  </si>
  <si>
    <t>20PI0096</t>
  </si>
  <si>
    <t>061120</t>
  </si>
  <si>
    <t>07</t>
  </si>
  <si>
    <t>PR 2020-03-043</t>
  </si>
  <si>
    <t>PR2020-348</t>
  </si>
  <si>
    <t>RFQ-DARFO12-2020-0515</t>
  </si>
  <si>
    <t>LGU - Quirino INFRA 2020 - 004</t>
  </si>
  <si>
    <t>PR 2020-03-044</t>
  </si>
  <si>
    <t>164-19-08-304</t>
  </si>
  <si>
    <t>20KB0166</t>
  </si>
  <si>
    <t>philgeps06112020</t>
  </si>
  <si>
    <t>20-06-233</t>
  </si>
  <si>
    <t>LGU - Quirino INFRA 2020 - 005</t>
  </si>
  <si>
    <t>NF 2006-0211</t>
  </si>
  <si>
    <t>2020-321</t>
  </si>
  <si>
    <t>RFQ-DARFO12-2020-0516</t>
  </si>
  <si>
    <t>#096</t>
  </si>
  <si>
    <t>20-120</t>
  </si>
  <si>
    <t>PN 2020-15</t>
  </si>
  <si>
    <t>NF 2006-0210</t>
  </si>
  <si>
    <t>PILAR-20-06-004</t>
  </si>
  <si>
    <t>2020-54-9</t>
  </si>
  <si>
    <t>20-06-068</t>
  </si>
  <si>
    <t>RFQ-DARFO12-2020-0518</t>
  </si>
  <si>
    <t>29654</t>
  </si>
  <si>
    <t>06-20-05</t>
  </si>
  <si>
    <t>2020-49</t>
  </si>
  <si>
    <t>RFQ-DARFO12-2020-0517</t>
  </si>
  <si>
    <t>PAD (ESP) FUND 2020-06-33</t>
  </si>
  <si>
    <t>CA-20-06-34</t>
  </si>
  <si>
    <t>2020-0056</t>
  </si>
  <si>
    <t>2020-104-4</t>
  </si>
  <si>
    <t>2020-06-144</t>
  </si>
  <si>
    <t>061020</t>
  </si>
  <si>
    <t>#150</t>
  </si>
  <si>
    <t>BAC-PG-002-20</t>
  </si>
  <si>
    <t>2020-6-1431</t>
  </si>
  <si>
    <t>Bid No. 20-0280</t>
  </si>
  <si>
    <t>O-020-008</t>
  </si>
  <si>
    <t>RFQ-DARFO12-2020-0519</t>
  </si>
  <si>
    <t>RFQ-DARFO12-2020-0521</t>
  </si>
  <si>
    <t>2020-RFQ-007</t>
  </si>
  <si>
    <t>2020-050</t>
  </si>
  <si>
    <t>MR2020-06-001</t>
  </si>
  <si>
    <t>#106</t>
  </si>
  <si>
    <t>2020-0192</t>
  </si>
  <si>
    <t>ADO FUND 2020-05-08</t>
  </si>
  <si>
    <t>2020-GOODS-NP-64</t>
  </si>
  <si>
    <t>2020-MS-101</t>
  </si>
  <si>
    <t>CA-20-06-35</t>
  </si>
  <si>
    <t>ITB 20-06-003</t>
  </si>
  <si>
    <t>ADMIN FUND 2020-06-39</t>
  </si>
  <si>
    <t>335410</t>
  </si>
  <si>
    <t>ITB 20-06-004</t>
  </si>
  <si>
    <t>CA-20-06-36</t>
  </si>
  <si>
    <t>RFQ-DARFO12-2020-0520</t>
  </si>
  <si>
    <t>RIS# 20-13-184</t>
  </si>
  <si>
    <t>ADMIN FUND 2020-06-36A</t>
  </si>
  <si>
    <t>I.D. NO. –June10-2020-467</t>
  </si>
  <si>
    <t>2020-GOODS-NP-66</t>
  </si>
  <si>
    <t>2020-GOODS-NP-68</t>
  </si>
  <si>
    <t>I.D. NO. –June10-2020-471</t>
  </si>
  <si>
    <t>INFR-19-028</t>
  </si>
  <si>
    <t>TAS20-06-156</t>
  </si>
  <si>
    <t>SUBM#2020 -06 - 15</t>
  </si>
  <si>
    <t>PR 2020-03-048</t>
  </si>
  <si>
    <t>PR NO. 2020-06-0273</t>
  </si>
  <si>
    <t>2020-GOODS-NP-67</t>
  </si>
  <si>
    <t>NP-20-013</t>
  </si>
  <si>
    <t>2020-Barangay new mahayag-03</t>
  </si>
  <si>
    <t>06112020</t>
  </si>
  <si>
    <t>PR 2020-03-052</t>
  </si>
  <si>
    <t>BAC-20-06-052 (PMED-UNPF)</t>
  </si>
  <si>
    <t>PR-OE-2020-6-09</t>
  </si>
  <si>
    <t>CA-20-06-37</t>
  </si>
  <si>
    <t>I.D. NO. –June10-2020-468</t>
  </si>
  <si>
    <t>145-2020</t>
  </si>
  <si>
    <t>PR No. 2020-06-144</t>
  </si>
  <si>
    <t>2020-06-0341</t>
  </si>
  <si>
    <t>SAF-2020-01</t>
  </si>
  <si>
    <t>PR 2020-03-053</t>
  </si>
  <si>
    <t>PR 2020-03-045</t>
  </si>
  <si>
    <t>2020-GOODS-NP-70</t>
  </si>
  <si>
    <t>PR 2020-04-059</t>
  </si>
  <si>
    <t>146-2020</t>
  </si>
  <si>
    <t>0018-0009-0979-2020</t>
  </si>
  <si>
    <t>LGU - Quirino GOODS 2020 - 003</t>
  </si>
  <si>
    <t>2020-06-0017</t>
  </si>
  <si>
    <t>rfq#2020-03-1,611-provl agriculture office</t>
  </si>
  <si>
    <t>PROCUREMENT OF GENUINE HP TONER CARTRIDGES (For Ex</t>
  </si>
  <si>
    <t>rfq#2020-02-1,312-pgo-pictd</t>
  </si>
  <si>
    <t>RFQ - PR No. 2020-06-0109 dated 6-10-20</t>
  </si>
  <si>
    <t>DENR XII-SP-24-2020</t>
  </si>
  <si>
    <t>2020-193</t>
  </si>
  <si>
    <t>PR 2020-04-060</t>
  </si>
  <si>
    <t>SEF-G-026-2020</t>
  </si>
  <si>
    <t>I.D. NO. –June10-2020-472</t>
  </si>
  <si>
    <t>RFQ-NP-SVP-243-2020</t>
  </si>
  <si>
    <t>PR 2020-04-064</t>
  </si>
  <si>
    <t>I.D. NO. –June10-2020-473</t>
  </si>
  <si>
    <t>NFA-PBAC-2K-06-002</t>
  </si>
  <si>
    <t>147-2020</t>
  </si>
  <si>
    <t>rfq#2020-05-2,499-pswdo</t>
  </si>
  <si>
    <t>PR 2020-05-068</t>
  </si>
  <si>
    <t>PR 2020-05-069</t>
  </si>
  <si>
    <t>PR No. 80</t>
  </si>
  <si>
    <t>rfq#2020-05-2,530-pgo-inremp-ptas</t>
  </si>
  <si>
    <t>PRDP-PSO-Admin-2020-05-017 (AF)</t>
  </si>
  <si>
    <t>PILAR-20-06-005</t>
  </si>
  <si>
    <t>RFQ-NP-SVP-242-2020</t>
  </si>
  <si>
    <t>06-111-2020</t>
  </si>
  <si>
    <t>101-20-06-144</t>
  </si>
  <si>
    <t>itb no. 2020-15</t>
  </si>
  <si>
    <t>PR 2020-05-078</t>
  </si>
  <si>
    <t>I.D. NO. –June10-2020-469</t>
  </si>
  <si>
    <t>GS-GF-2020-0248</t>
  </si>
  <si>
    <t>PR 2020-05-081</t>
  </si>
  <si>
    <t>01-01-2020-06-559</t>
  </si>
  <si>
    <t>06-20-06</t>
  </si>
  <si>
    <t>lgm</t>
  </si>
  <si>
    <t>06-11-2020-207</t>
  </si>
  <si>
    <t>brgy20200213</t>
  </si>
  <si>
    <t>PR 2020-05-083</t>
  </si>
  <si>
    <t>20Fk0054</t>
  </si>
  <si>
    <t>GS-GF-2020-0247</t>
  </si>
  <si>
    <t>522-20</t>
  </si>
  <si>
    <t>20-194</t>
  </si>
  <si>
    <t>itb no. 2020-14</t>
  </si>
  <si>
    <t>I.D. NO. –June10-2020-474</t>
  </si>
  <si>
    <t>I.D. NO. –June10-2020-470</t>
  </si>
  <si>
    <t>PR 2020-05-084</t>
  </si>
  <si>
    <t>06-20-07</t>
  </si>
  <si>
    <t>RFQ - PR No. 2020-06-0112 dated 6-10-20</t>
  </si>
  <si>
    <t>06-11-2020-208</t>
  </si>
  <si>
    <t>PUBLIC BIDDING PR NO. 110-2020</t>
  </si>
  <si>
    <t>PR# 20-06-0604</t>
  </si>
  <si>
    <t>RFQ-DARFO12-2020-0523</t>
  </si>
  <si>
    <t>RFQ-DARFO12-2020-0522</t>
  </si>
  <si>
    <t>RFQ-2020-G-130</t>
  </si>
  <si>
    <t>RFQ-NP-SVP-244-2020</t>
  </si>
  <si>
    <t>GS-GF-2020-0249</t>
  </si>
  <si>
    <t>2020-sdn-06-034</t>
  </si>
  <si>
    <t>PR 2020-05-090</t>
  </si>
  <si>
    <t>2020-06-063</t>
  </si>
  <si>
    <t>ITB GOODS 20-06-010</t>
  </si>
  <si>
    <t>itb no. 2020-16</t>
  </si>
  <si>
    <t>PR 2020-05-092</t>
  </si>
  <si>
    <t>RFQ-DARFO12-2020-0524</t>
  </si>
  <si>
    <t>RFQ-NP-SVP-rere135-2020</t>
  </si>
  <si>
    <t>OPA-CROPS-NC-2020-0279 PR2020-0390</t>
  </si>
  <si>
    <t>CMO(ADM)-20-040NP/SV)</t>
  </si>
  <si>
    <t>023-FTC 2020</t>
  </si>
  <si>
    <t>06-11-2020-209</t>
  </si>
  <si>
    <t>G-2020-02-0206A</t>
  </si>
  <si>
    <t>RFQ-NP-SVP-1re-135-2020</t>
  </si>
  <si>
    <t>PR 2020-05-093</t>
  </si>
  <si>
    <t>RFQ-DARFO12-2020-0525</t>
  </si>
  <si>
    <t>20-195</t>
  </si>
  <si>
    <t>Ivitation to Bid 06-2020</t>
  </si>
  <si>
    <t>06-20-08</t>
  </si>
  <si>
    <t>RFQ-2020-G-142</t>
  </si>
  <si>
    <t>LGU BASILISA - 2020 - 0123</t>
  </si>
  <si>
    <t>LGU BASILISA - 2020 - 0122</t>
  </si>
  <si>
    <t>20-06-141</t>
  </si>
  <si>
    <t>I.D. NO. –June10-2020-476</t>
  </si>
  <si>
    <t>20-06-332</t>
  </si>
  <si>
    <t>OSG 020-05-053</t>
  </si>
  <si>
    <t>RFQ-DARFO12-2020-0526</t>
  </si>
  <si>
    <t>520191102392</t>
  </si>
  <si>
    <t>04-RFQ-2020</t>
  </si>
  <si>
    <t>101-20-06-141</t>
  </si>
  <si>
    <t>20-06-117</t>
  </si>
  <si>
    <t>PR 2020-05-095</t>
  </si>
  <si>
    <t>BAC-20-06-053(IMCD)</t>
  </si>
  <si>
    <t>F-2020-02-0085</t>
  </si>
  <si>
    <t>PR 2020-05-094</t>
  </si>
  <si>
    <t>523-20</t>
  </si>
  <si>
    <t>2020-PR-95</t>
  </si>
  <si>
    <t>OPA-CROPS-NC-2020-0280 PR2020-0391</t>
  </si>
  <si>
    <t>G-2020-02-0211</t>
  </si>
  <si>
    <t>CGSO-20-026(NP/SV)</t>
  </si>
  <si>
    <t>003-07-2020</t>
  </si>
  <si>
    <t>PR 2020-06-097</t>
  </si>
  <si>
    <t>SRF2020-02</t>
  </si>
  <si>
    <t>06-20-09</t>
  </si>
  <si>
    <t>20 06 009b</t>
  </si>
  <si>
    <t>RFQ-DARFO12-2020-0527</t>
  </si>
  <si>
    <t>ITB GOODS 20-06-011</t>
  </si>
  <si>
    <t>RFQ-DARFO12-2020-0528</t>
  </si>
  <si>
    <t>2020-B5-01</t>
  </si>
  <si>
    <t>I.D. NO. –June10-2020-475</t>
  </si>
  <si>
    <t>2020-021 CLA</t>
  </si>
  <si>
    <t>GS-GF-2020-0250</t>
  </si>
  <si>
    <t>DA8-Goods-2020-40 (PR No. RICE 20-05-12-0686)</t>
  </si>
  <si>
    <t>2020-B5-03</t>
  </si>
  <si>
    <t>OPA-CROPS-NC-2020-0281 PR2020-0392</t>
  </si>
  <si>
    <t>2020-G-31</t>
  </si>
  <si>
    <t>CEISS-RMICTE-1107-20</t>
  </si>
  <si>
    <t>2020-B5-02</t>
  </si>
  <si>
    <t>20GDQ0014</t>
  </si>
  <si>
    <t>20-293</t>
  </si>
  <si>
    <t>06-20-10</t>
  </si>
  <si>
    <t>ITB No. 2020-12-EFS</t>
  </si>
  <si>
    <t>G-2020-03-0239</t>
  </si>
  <si>
    <t>PR-OE-2020-06-08</t>
  </si>
  <si>
    <t>2020-58-001</t>
  </si>
  <si>
    <t>11-01-2020-06-505</t>
  </si>
  <si>
    <t>20GDQ0015</t>
  </si>
  <si>
    <t>OPV-NC-2020-0293</t>
  </si>
  <si>
    <t>001-06-11-2020</t>
  </si>
  <si>
    <t>024-FTC 2020</t>
  </si>
  <si>
    <t>20FK0055</t>
  </si>
  <si>
    <t>RFQ-DARFO12-2020-0529</t>
  </si>
  <si>
    <t>PHO-NC-2020-108 PR2020-154</t>
  </si>
  <si>
    <t>GS-GF-2020-0251</t>
  </si>
  <si>
    <t>2020svp - 218-514</t>
  </si>
  <si>
    <t>N20-06-077-PURCHASE OF SPARE PARTS FOR VEHICLE</t>
  </si>
  <si>
    <t>CA-20-06-38</t>
  </si>
  <si>
    <t>ITB # 2020 - 001</t>
  </si>
  <si>
    <t>CMO-CDRRMO(C-3)19-009(NP/SV)</t>
  </si>
  <si>
    <t>RFQ-DARFO12-2020-0531</t>
  </si>
  <si>
    <t>0538</t>
  </si>
  <si>
    <t>6-20-35</t>
  </si>
  <si>
    <t>PACCO-NC-2020-0315</t>
  </si>
  <si>
    <t>COT20-06-022</t>
  </si>
  <si>
    <t>43</t>
  </si>
  <si>
    <t>2020svp - 219-515</t>
  </si>
  <si>
    <t>PN 2020-16</t>
  </si>
  <si>
    <t>SEC PB 2020-011</t>
  </si>
  <si>
    <t>2020-62 (GAS)</t>
  </si>
  <si>
    <t>20100</t>
  </si>
  <si>
    <t>20-20</t>
  </si>
  <si>
    <t>CEO(MOTORPOOL)20-004(NP/SV)</t>
  </si>
  <si>
    <t>06112020-A</t>
  </si>
  <si>
    <t>RFQ-DARFO12-2020-0530</t>
  </si>
  <si>
    <t>20047</t>
  </si>
  <si>
    <t>CVO-20-029(NP/SV)</t>
  </si>
  <si>
    <t>RFQ-DARFO12-2020-0532</t>
  </si>
  <si>
    <t>CVO-20-019(NP/SV)</t>
  </si>
  <si>
    <t>NC#2020-0317-2020-0058-PR2020-0095</t>
  </si>
  <si>
    <t>0671</t>
  </si>
  <si>
    <t>PR 2020-04-061</t>
  </si>
  <si>
    <t>056-20</t>
  </si>
  <si>
    <t>PR 2020-03-049</t>
  </si>
  <si>
    <t>2020-15 Lot 1</t>
  </si>
  <si>
    <t>RFQ-DARFO12-2020-0533</t>
  </si>
  <si>
    <t>SH 030-20</t>
  </si>
  <si>
    <t>0106112020</t>
  </si>
  <si>
    <t>LTO-SU-20-036</t>
  </si>
  <si>
    <t>0547</t>
  </si>
  <si>
    <t>2020-06-145</t>
  </si>
  <si>
    <t>2020-101-049</t>
  </si>
  <si>
    <t>20-300</t>
  </si>
  <si>
    <t>20-301</t>
  </si>
  <si>
    <t>ITB-0611 #1 Package 48</t>
  </si>
  <si>
    <t>DOH4A-RFQ-TFB-2020-007</t>
  </si>
  <si>
    <t>DA8-Goods-2020-41 (PR No. HVCDP 20-04-28-0551)</t>
  </si>
  <si>
    <t>PR 02-20-077</t>
  </si>
  <si>
    <t>S20-06-049-PURCHASE OF DIESOLINE AND GASOLINE</t>
  </si>
  <si>
    <t>GF 20005</t>
  </si>
  <si>
    <t>001-S2020</t>
  </si>
  <si>
    <t>CEO(MAINT)20-008(NP/SV)</t>
  </si>
  <si>
    <t>CMO-CDRRMO(C)20-004(NP/SV)</t>
  </si>
  <si>
    <t>CA-20-06-39</t>
  </si>
  <si>
    <t>SL-2020-006</t>
  </si>
  <si>
    <t>2020-033J</t>
  </si>
  <si>
    <t>SEC PB 2020-012</t>
  </si>
  <si>
    <t>057-20</t>
  </si>
  <si>
    <t>60011042020</t>
  </si>
  <si>
    <t>SL-2020-007</t>
  </si>
  <si>
    <t>SRAVIS 20-06-279</t>
  </si>
  <si>
    <t>SEF 20001</t>
  </si>
  <si>
    <t>PR 03-20-007</t>
  </si>
  <si>
    <t>GSO-20-06-0262</t>
  </si>
  <si>
    <t>NC#2020-0316-2020-0035PR2020-0047</t>
  </si>
  <si>
    <t>20CI0094</t>
  </si>
  <si>
    <t>NFW-05-016-20</t>
  </si>
  <si>
    <t>2020-15 Lot 2</t>
  </si>
  <si>
    <t>CVO-20-022(NP/SV)</t>
  </si>
  <si>
    <t>20049</t>
  </si>
  <si>
    <t>17086</t>
  </si>
  <si>
    <t>2020svp - 220-516</t>
  </si>
  <si>
    <t>20CI0095</t>
  </si>
  <si>
    <t>PR NO. 2K20-034</t>
  </si>
  <si>
    <t>SEF 20005</t>
  </si>
  <si>
    <t>20075</t>
  </si>
  <si>
    <t>20-299</t>
  </si>
  <si>
    <t>(2FB)N20-06-035 PURCHASE OF HORMONES ANTAGONISTS M</t>
  </si>
  <si>
    <t>BAC-20-06-054 (IMCD)</t>
  </si>
  <si>
    <t>60011052020</t>
  </si>
  <si>
    <t>ITB-0611 #2 Package 49</t>
  </si>
  <si>
    <t>20PA0134</t>
  </si>
  <si>
    <t>H-2020-06-02</t>
  </si>
  <si>
    <t>pal-20-06-010</t>
  </si>
  <si>
    <t>CMO(ADM)20-057(NP/SV)</t>
  </si>
  <si>
    <t>2020-16</t>
  </si>
  <si>
    <t>CA-20-06-40</t>
  </si>
  <si>
    <t>20-298</t>
  </si>
  <si>
    <t>GS-GF-2020-0252</t>
  </si>
  <si>
    <t>20-297</t>
  </si>
  <si>
    <t>20CI0096</t>
  </si>
  <si>
    <t>mgc2020-infra040</t>
  </si>
  <si>
    <t>60011062020</t>
  </si>
  <si>
    <t>sra20 shipping permit</t>
  </si>
  <si>
    <t>20088</t>
  </si>
  <si>
    <t>DOH-MMCHD-2020-06-156-COVID</t>
  </si>
  <si>
    <t>RFQ NO. EMB-ERLSD-ERS-SHOPPING-0018-3-3-2020(6th)</t>
  </si>
  <si>
    <t>CW-MP-13-2020</t>
  </si>
  <si>
    <t>6-20-36</t>
  </si>
  <si>
    <t>ILI-2719-20</t>
  </si>
  <si>
    <t>2020-06-006 (SHOP)</t>
  </si>
  <si>
    <t>RFQ 007-2020</t>
  </si>
  <si>
    <t>PR NO. 2K20-035</t>
  </si>
  <si>
    <t>2020-011-001</t>
  </si>
  <si>
    <t>20-154</t>
  </si>
  <si>
    <t>PBgoods015-2020</t>
  </si>
  <si>
    <t>2020-06-005 (SHOP)</t>
  </si>
  <si>
    <t>2020-09 (20DI0128)</t>
  </si>
  <si>
    <t>BAC-20-06-055 (OED)</t>
  </si>
  <si>
    <t>INFRA 20-22A DEVELOPMENT FUND</t>
  </si>
  <si>
    <t>20-296</t>
  </si>
  <si>
    <t>20R1017</t>
  </si>
  <si>
    <t>ITB-0611 #3 Package 50</t>
  </si>
  <si>
    <t>CAC-20-053(SHOPPING)</t>
  </si>
  <si>
    <t>2020-06-004 (SHOP)</t>
  </si>
  <si>
    <t>20-155</t>
  </si>
  <si>
    <t>2020-101-050</t>
  </si>
  <si>
    <t>REQ 2020-02 Supply, delivery and installation of s</t>
  </si>
  <si>
    <t>20048</t>
  </si>
  <si>
    <t>2020-09 (20DI0130)</t>
  </si>
  <si>
    <t>20121</t>
  </si>
  <si>
    <t>2020-09 (20DI0129)</t>
  </si>
  <si>
    <t>BAC 2020-06-39</t>
  </si>
  <si>
    <t>SEF 20004</t>
  </si>
  <si>
    <t>20GAF0028SVP</t>
  </si>
  <si>
    <t>GEPS - 2020 - 78</t>
  </si>
  <si>
    <t>20CSPA001</t>
  </si>
  <si>
    <t>CEO(MOTORPOOL)20-018(NP/SV)</t>
  </si>
  <si>
    <t>2020-06-007 (SHOP)</t>
  </si>
  <si>
    <t>20-294</t>
  </si>
  <si>
    <t>20R1018</t>
  </si>
  <si>
    <t>20GAF0029SVP</t>
  </si>
  <si>
    <t>20050</t>
  </si>
  <si>
    <t>GEPS - 2020 - 79</t>
  </si>
  <si>
    <t>2020-06-008 (SHOP)</t>
  </si>
  <si>
    <t>BAC-0043-2020</t>
  </si>
  <si>
    <t>2020-09 (20DI0131)</t>
  </si>
  <si>
    <t>BCS-2020-0116</t>
  </si>
  <si>
    <t>INFRA 20-25A GENERAL FUND</t>
  </si>
  <si>
    <t>2006-0508-AVRC</t>
  </si>
  <si>
    <t>BAC 2020-06-40</t>
  </si>
  <si>
    <t>20R1019</t>
  </si>
  <si>
    <t>FPR 20 - 055</t>
  </si>
  <si>
    <t>O4-20-1398</t>
  </si>
  <si>
    <t>06-211-2020</t>
  </si>
  <si>
    <t>20-04-0288</t>
  </si>
  <si>
    <t>CNU Procurement of S4S Lumber with canvass no. 20-</t>
  </si>
  <si>
    <t>2020-09 (20DI0132)</t>
  </si>
  <si>
    <t>2020-16-018</t>
  </si>
  <si>
    <t>06-JO-095</t>
  </si>
  <si>
    <t>GA-BAC-AM # 2020-025</t>
  </si>
  <si>
    <t>RFQ-SHS-0014</t>
  </si>
  <si>
    <t>20FN0099</t>
  </si>
  <si>
    <t>Bid No. 20-0281</t>
  </si>
  <si>
    <t>RFQ No.: 2020-06-0470</t>
  </si>
  <si>
    <t>sj 2020 soe 011</t>
  </si>
  <si>
    <t>0498-06-2020</t>
  </si>
  <si>
    <t>1153-05-20</t>
  </si>
  <si>
    <t>2020-PR-97</t>
  </si>
  <si>
    <t>2020-09 (20DI0133)</t>
  </si>
  <si>
    <t>20FN0098</t>
  </si>
  <si>
    <t>20-156</t>
  </si>
  <si>
    <t>INFRA 20-26A DEVELOPMENT FUND</t>
  </si>
  <si>
    <t>SEF-I-45-2020</t>
  </si>
  <si>
    <t>GOODS-2020-131</t>
  </si>
  <si>
    <t>ITB-0611 #4 Package 51</t>
  </si>
  <si>
    <t>20-04-0287</t>
  </si>
  <si>
    <t>APR No. 100-20-06-378</t>
  </si>
  <si>
    <t>20</t>
  </si>
  <si>
    <t>20FN0100</t>
  </si>
  <si>
    <t>NFA-PBAC-2K-06-003</t>
  </si>
  <si>
    <t>RFQ#2020-018</t>
  </si>
  <si>
    <t>OPA-HVCDP-NC-2020-0320</t>
  </si>
  <si>
    <t>GOODS2020-006</t>
  </si>
  <si>
    <t>20FN0101</t>
  </si>
  <si>
    <t>LGU - Quirino INFRA 2020 - 006</t>
  </si>
  <si>
    <t>2020-63 (GAS)</t>
  </si>
  <si>
    <t>baccaoayan0120</t>
  </si>
  <si>
    <t>APR No. 300-20-01-020</t>
  </si>
  <si>
    <t>GA-BAC-2020-IA-12</t>
  </si>
  <si>
    <t>RFQ No.: 2020-06-0471</t>
  </si>
  <si>
    <t>PR-132-100-2020</t>
  </si>
  <si>
    <t>DA8-Goods-2020-42 (PR No. CORN 20-05-29-0164)</t>
  </si>
  <si>
    <t>20FN0102</t>
  </si>
  <si>
    <t>ITB-0611 #5 Package 52</t>
  </si>
  <si>
    <t>06-311-2020</t>
  </si>
  <si>
    <t>0620-017</t>
  </si>
  <si>
    <t>CANWD2020-MAR-006</t>
  </si>
  <si>
    <t>RFQ#2020-019</t>
  </si>
  <si>
    <t>P.R. No. 20-05-147</t>
  </si>
  <si>
    <t>ITB-0611 #6 Package 53</t>
  </si>
  <si>
    <t>P-CFMD-20-00286</t>
  </si>
  <si>
    <t>SVP20-474</t>
  </si>
  <si>
    <t>BACSVP-12-2020</t>
  </si>
  <si>
    <t>SVP 2020-119</t>
  </si>
  <si>
    <t>PNU2020-0052</t>
  </si>
  <si>
    <t>00206112020</t>
  </si>
  <si>
    <t>N-I-2020-0017</t>
  </si>
  <si>
    <t>2020-06-3</t>
  </si>
  <si>
    <t>darposoleyte_2020-01-0013</t>
  </si>
  <si>
    <t>2020-09 (20DI0134)</t>
  </si>
  <si>
    <t>2020-06-00467</t>
  </si>
  <si>
    <t>51E-02-2020-035 (MOOE)</t>
  </si>
  <si>
    <t>548ECB-02-2020-019 (APF)</t>
  </si>
  <si>
    <t>N-I-2020-0018</t>
  </si>
  <si>
    <t>ITB-0611 #1 Package 54</t>
  </si>
  <si>
    <t>20-157</t>
  </si>
  <si>
    <t>00306112020</t>
  </si>
  <si>
    <t>ITB-0611 #2 Package 55</t>
  </si>
  <si>
    <t>BCS-2020-0117</t>
  </si>
  <si>
    <t>S-20-04</t>
  </si>
  <si>
    <t>2020-09 (20DI0136)</t>
  </si>
  <si>
    <t>APR No. 100-20-05-376</t>
  </si>
  <si>
    <t>SVP20-473</t>
  </si>
  <si>
    <t>6-20-37</t>
  </si>
  <si>
    <t>2020-09 (20DI0135)</t>
  </si>
  <si>
    <t>20-06-045</t>
  </si>
  <si>
    <t>BAC2020-10</t>
  </si>
  <si>
    <t>APR No. 100-20-06-375</t>
  </si>
  <si>
    <t>06-411-2020</t>
  </si>
  <si>
    <t>RFQ 2020-06-008</t>
  </si>
  <si>
    <t>pb-infra-2020-036</t>
  </si>
  <si>
    <t>BCS-2020-0118</t>
  </si>
  <si>
    <t>062920-01A</t>
  </si>
  <si>
    <t>51E-01-2020-041 (APF)</t>
  </si>
  <si>
    <t>APR No. 100-20-06-409</t>
  </si>
  <si>
    <t>2020-09 (20DI0138)</t>
  </si>
  <si>
    <t>007-20</t>
  </si>
  <si>
    <t>514-02-2020-013</t>
  </si>
  <si>
    <t>20NH0089(RE-AD)</t>
  </si>
  <si>
    <t>2020-06-65</t>
  </si>
  <si>
    <t>BCS-2020-0120</t>
  </si>
  <si>
    <t>ITB-0611 #3 Package 56</t>
  </si>
  <si>
    <t>SEF-I-46-2020</t>
  </si>
  <si>
    <t>GOODS-2020-132</t>
  </si>
  <si>
    <t>BCS-2020-0119</t>
  </si>
  <si>
    <t>2020-09 (20DI0139)</t>
  </si>
  <si>
    <t>2020-06-189</t>
  </si>
  <si>
    <t>20DK0135</t>
  </si>
  <si>
    <t>2020-09 (20DI0137)</t>
  </si>
  <si>
    <t>2020-02-00122</t>
  </si>
  <si>
    <t>INFR-020-2020</t>
  </si>
  <si>
    <t>2020-452</t>
  </si>
  <si>
    <t>062920-02B</t>
  </si>
  <si>
    <t>C-001-20</t>
  </si>
  <si>
    <t>RFQ-2020-12</t>
  </si>
  <si>
    <t>11CMOBn-02-2020-007</t>
  </si>
  <si>
    <t>ROSAL 0326-2020</t>
  </si>
  <si>
    <t>mgc2020-infra041</t>
  </si>
  <si>
    <t>2020-09 (20DI0141)</t>
  </si>
  <si>
    <t>2020-09 (20DI0140)</t>
  </si>
  <si>
    <t>APR No. 100-20-06-391</t>
  </si>
  <si>
    <t>GOODS-2020-133</t>
  </si>
  <si>
    <t>BAC-PROP-2020-05</t>
  </si>
  <si>
    <t>ROSAL 0327-2020</t>
  </si>
  <si>
    <t>11CMOBn-02-2020-004</t>
  </si>
  <si>
    <t>2020-09 (20DI0142)</t>
  </si>
  <si>
    <t>ITB-0611 #4 Package 57</t>
  </si>
  <si>
    <t>C-018-20</t>
  </si>
  <si>
    <t>002-06-11-2020</t>
  </si>
  <si>
    <t>CMOR-02-2020-0025</t>
  </si>
  <si>
    <t>BFAR5BAC-2020-104</t>
  </si>
  <si>
    <t>2020-09 (20DI0143)</t>
  </si>
  <si>
    <t>062320-03</t>
  </si>
  <si>
    <t>APR No. 100-20-06-393</t>
  </si>
  <si>
    <t>2020-09 (20DI0144)</t>
  </si>
  <si>
    <t>MGB MIMA-20-011</t>
  </si>
  <si>
    <t>20DK0136</t>
  </si>
  <si>
    <t>2020-453</t>
  </si>
  <si>
    <t>SVP20-476</t>
  </si>
  <si>
    <t>INFR-021-2020</t>
  </si>
  <si>
    <t>2020-50</t>
  </si>
  <si>
    <t>NDA-20-06-063-SM</t>
  </si>
  <si>
    <t>06-511-2020</t>
  </si>
  <si>
    <t>APR No. 100-20-06-399</t>
  </si>
  <si>
    <t>LPP-20-036</t>
  </si>
  <si>
    <t>C-019-20</t>
  </si>
  <si>
    <t>004-06-11-2020</t>
  </si>
  <si>
    <t>003-06-11-2020</t>
  </si>
  <si>
    <t>RFQ#2020-020</t>
  </si>
  <si>
    <t>2020 001</t>
  </si>
  <si>
    <t>062920-04</t>
  </si>
  <si>
    <t>MG-PLM20-083</t>
  </si>
  <si>
    <t>RFQ 2020-06-009</t>
  </si>
  <si>
    <t>SVP20-477</t>
  </si>
  <si>
    <t>SVP-20-36</t>
  </si>
  <si>
    <t>100-18(06-29-2020)</t>
  </si>
  <si>
    <t>0620</t>
  </si>
  <si>
    <t>LSPUSinC-2020-021A</t>
  </si>
  <si>
    <t>INFR-022-2020</t>
  </si>
  <si>
    <t>RFQ#2020-021</t>
  </si>
  <si>
    <t>20-06-409</t>
  </si>
  <si>
    <t>2020-455</t>
  </si>
  <si>
    <t>0668</t>
  </si>
  <si>
    <t>0674</t>
  </si>
  <si>
    <t>20-001</t>
  </si>
  <si>
    <t>2020-454</t>
  </si>
  <si>
    <t>RFQ#2020-022</t>
  </si>
  <si>
    <t>F501-RO-049-20</t>
  </si>
  <si>
    <t>Goods 0017-2020</t>
  </si>
  <si>
    <t>100-18(06-29-2020)1</t>
  </si>
  <si>
    <t>CMOR-02-2020-019 (Other)</t>
  </si>
  <si>
    <t>RSPQ NO. 2020-06-PRS-018</t>
  </si>
  <si>
    <t>APR No. 100-20-05-323</t>
  </si>
  <si>
    <t>062320-05</t>
  </si>
  <si>
    <t>RFQ#2020-023</t>
  </si>
  <si>
    <t>ITB 11-2020</t>
  </si>
  <si>
    <t>SAM0022020</t>
  </si>
  <si>
    <t>Goods 0024-2020</t>
  </si>
  <si>
    <t>Goods 0023-2020</t>
  </si>
  <si>
    <t>PR062000629</t>
  </si>
  <si>
    <t>SVP20-475</t>
  </si>
  <si>
    <t>APR No. 100-20-06-382</t>
  </si>
  <si>
    <t>TAYSAN2020-031N</t>
  </si>
  <si>
    <t>Negotiated-2020-045</t>
  </si>
  <si>
    <t>PR No.20-0984</t>
  </si>
  <si>
    <t>2020-06-66</t>
  </si>
  <si>
    <t>AREA V- 2020- SVP-021</t>
  </si>
  <si>
    <t>TAYSAN2020-029N</t>
  </si>
  <si>
    <t>06-611-2020</t>
  </si>
  <si>
    <t>RFQ-GS-20200605-01</t>
  </si>
  <si>
    <t>005-06-11-2020</t>
  </si>
  <si>
    <t>RFQ146 Procurment of Alcohol For use in response t</t>
  </si>
  <si>
    <t>MG-PLM20-103</t>
  </si>
  <si>
    <t>OUS2020-05-050</t>
  </si>
  <si>
    <t>PR No. 2020-0564 (Morallos)</t>
  </si>
  <si>
    <t>TUB 0022020</t>
  </si>
  <si>
    <t>20-06-10</t>
  </si>
  <si>
    <t>Negotiated-2020-044</t>
  </si>
  <si>
    <t>Goods 0025-2020</t>
  </si>
  <si>
    <t>0698</t>
  </si>
  <si>
    <t>RFQ NO. 852</t>
  </si>
  <si>
    <t>RFQ 2020-06-010</t>
  </si>
  <si>
    <t>20HH0135</t>
  </si>
  <si>
    <t>2LSSM2020A-132</t>
  </si>
  <si>
    <t>06-11-20-215-29NLUC</t>
  </si>
  <si>
    <t>2LSSM2020A-133</t>
  </si>
  <si>
    <t>SVP20-472</t>
  </si>
  <si>
    <t>HFEP ITB 2020-002</t>
  </si>
  <si>
    <t>20GEF009 (Re-bid 1)</t>
  </si>
  <si>
    <t>GOODS-2020-134</t>
  </si>
  <si>
    <t>11CMOBn-02-2020-006</t>
  </si>
  <si>
    <t>20HC0180</t>
  </si>
  <si>
    <t>20-06-410</t>
  </si>
  <si>
    <t>RFQ-GS-20200605-02</t>
  </si>
  <si>
    <t>cat2020-002</t>
  </si>
  <si>
    <t>C-053-2020</t>
  </si>
  <si>
    <t>38</t>
  </si>
  <si>
    <t>2020-06-67</t>
  </si>
  <si>
    <t>OMSC RFQ 20-023</t>
  </si>
  <si>
    <t>RFQ NO. 840</t>
  </si>
  <si>
    <t>APR No. 100-20-06-381</t>
  </si>
  <si>
    <t>2020-116</t>
  </si>
  <si>
    <t>20HH0136</t>
  </si>
  <si>
    <t>2020-11-06-006CA</t>
  </si>
  <si>
    <t>20GDK0035</t>
  </si>
  <si>
    <t>20EF0118</t>
  </si>
  <si>
    <t>20GDK0034</t>
  </si>
  <si>
    <t>SVP20-478</t>
  </si>
  <si>
    <t>CJR-005-2020</t>
  </si>
  <si>
    <t>SVP20-471</t>
  </si>
  <si>
    <t>2020-12-05-004SRDI</t>
  </si>
  <si>
    <t>2LSSM2020A-134</t>
  </si>
  <si>
    <t>20-005</t>
  </si>
  <si>
    <t>baccaoayan0220</t>
  </si>
  <si>
    <t>2020-118</t>
  </si>
  <si>
    <t>CJR-004-2020</t>
  </si>
  <si>
    <t>20EF0119</t>
  </si>
  <si>
    <t>2020-11-06-007OUS</t>
  </si>
  <si>
    <t>20-06-145</t>
  </si>
  <si>
    <t>2LSSM2020A-135</t>
  </si>
  <si>
    <t>20HH0138</t>
  </si>
  <si>
    <t>20MC0086</t>
  </si>
  <si>
    <t>OUS2020-05-050A</t>
  </si>
  <si>
    <t>2LSSM2020A-137</t>
  </si>
  <si>
    <t>061120201</t>
  </si>
  <si>
    <t>02-838-2020</t>
  </si>
  <si>
    <t>2LSSM2020A-139</t>
  </si>
  <si>
    <t>20EF0120</t>
  </si>
  <si>
    <t>20HH0139</t>
  </si>
  <si>
    <t>2LSSM2020A-136</t>
  </si>
  <si>
    <t>CJR-006-2020</t>
  </si>
  <si>
    <t>20EF0121</t>
  </si>
  <si>
    <t>2020-06-068</t>
  </si>
  <si>
    <t>2LSSM2020A-138</t>
  </si>
  <si>
    <t>2LSSM2020A-140</t>
  </si>
  <si>
    <t>20OD0191</t>
  </si>
  <si>
    <t>20HH0140</t>
  </si>
  <si>
    <t>20CSE008</t>
  </si>
  <si>
    <t>2LSSM2020A-142</t>
  </si>
  <si>
    <t>2LSSM2020A-141</t>
  </si>
  <si>
    <t>20-06-127</t>
  </si>
  <si>
    <t>RFQ-GS-20200323-02</t>
  </si>
  <si>
    <t>NP-SVC-2006-040</t>
  </si>
  <si>
    <t>2020-06-069</t>
  </si>
  <si>
    <t>PR 2020-05-086</t>
  </si>
  <si>
    <t>SVP 20-1097-1</t>
  </si>
  <si>
    <t>S-INT-2006-041</t>
  </si>
  <si>
    <t>2LSSM2020B-169</t>
  </si>
  <si>
    <t>RFQ 2020-06-011</t>
  </si>
  <si>
    <t>20-05-114 to 117</t>
  </si>
  <si>
    <t>2LSSM2020A-143</t>
  </si>
  <si>
    <t>PR 2020-05-087</t>
  </si>
  <si>
    <t>VILLAPAN-2020-002</t>
  </si>
  <si>
    <t>2LSSM2020A-171</t>
  </si>
  <si>
    <t>2LSSM2020A-173</t>
  </si>
  <si>
    <t>G-2020-268</t>
  </si>
  <si>
    <t>I-2020-015</t>
  </si>
  <si>
    <t>G-2020-346</t>
  </si>
  <si>
    <t>G-2020-345</t>
  </si>
  <si>
    <t>PMO-20-27</t>
  </si>
  <si>
    <t>2LSSM2020A-170</t>
  </si>
  <si>
    <t>G-2020-344</t>
  </si>
  <si>
    <t>G-2020-341</t>
  </si>
  <si>
    <t>2LSSM2020A-172</t>
  </si>
  <si>
    <t>PR 2020-05-088</t>
  </si>
  <si>
    <t>20-06-3130</t>
  </si>
  <si>
    <t>M2003-207</t>
  </si>
  <si>
    <t>ITB-2020-002</t>
  </si>
  <si>
    <t>20CSBG002</t>
  </si>
  <si>
    <t>BG-2020-11</t>
  </si>
  <si>
    <t>RFQ-NEDA2020-06-011</t>
  </si>
  <si>
    <t>pinya 2020</t>
  </si>
  <si>
    <t>20200611-28</t>
  </si>
  <si>
    <t>BG-2020-12</t>
  </si>
  <si>
    <t>20CSJ002</t>
  </si>
  <si>
    <t>2LSSM2020A-177</t>
  </si>
  <si>
    <t>20CSBG003</t>
  </si>
  <si>
    <t>20BG0147</t>
  </si>
  <si>
    <t>2LSSM2020A-176</t>
  </si>
  <si>
    <t>SVP 2020-055-MEDS</t>
  </si>
  <si>
    <t>G-16-2020</t>
  </si>
  <si>
    <t>2LSSM2020A-174</t>
  </si>
  <si>
    <t>2LSSM2020A-175</t>
  </si>
  <si>
    <t>20CSBG004</t>
  </si>
  <si>
    <t>20DQ0114</t>
  </si>
  <si>
    <t>20DQ0112</t>
  </si>
  <si>
    <t>20DQ0115</t>
  </si>
  <si>
    <t>SVP 2020-054-PC</t>
  </si>
  <si>
    <t>geps-2020-001</t>
  </si>
  <si>
    <t>20DQ0113</t>
  </si>
  <si>
    <t>G-17-2020</t>
  </si>
  <si>
    <t>G-18-2020</t>
  </si>
  <si>
    <t>20CSJ003</t>
  </si>
  <si>
    <t>2LSSM2020A-180</t>
  </si>
  <si>
    <t>20DQ0116</t>
  </si>
  <si>
    <t>2LSSM2020A-178</t>
  </si>
  <si>
    <t>BG-2020-13</t>
  </si>
  <si>
    <t>GSS-002-2020</t>
  </si>
  <si>
    <t>PR-20-06-24</t>
  </si>
  <si>
    <t>2LSSM2020A-179</t>
  </si>
  <si>
    <t>20E00084</t>
  </si>
  <si>
    <t>SVP 2020-056-EPS</t>
  </si>
  <si>
    <t>SVP 2020-057-TC</t>
  </si>
  <si>
    <t>2LSSM2020A-181</t>
  </si>
  <si>
    <t>G-21-2020</t>
  </si>
  <si>
    <t>G-19-2020</t>
  </si>
  <si>
    <t>20DQ0117</t>
  </si>
  <si>
    <t>G-20-2020</t>
  </si>
  <si>
    <t>0611-001</t>
  </si>
  <si>
    <t>geps-2020-0001</t>
  </si>
  <si>
    <t>NIAZDSIMO-DONGOS SIP PHASE III-CY 2018-025(GOODS)</t>
  </si>
  <si>
    <t>06-084-2020</t>
  </si>
  <si>
    <t>geps-2020-002</t>
  </si>
  <si>
    <t>NIAZDSIMO-CANIPAY SIP PHASE VI - CY 2020-005 (INFR</t>
  </si>
  <si>
    <t>deguzman-0611-2020-1</t>
  </si>
  <si>
    <t>PEDHS2020S0009</t>
  </si>
  <si>
    <t>202006093</t>
  </si>
  <si>
    <t>SNIS-Elem-2020-06-001</t>
  </si>
  <si>
    <t>0611-002</t>
  </si>
  <si>
    <t>38-2020</t>
  </si>
  <si>
    <t>0611-003</t>
  </si>
  <si>
    <t>cabanaetan-0611-2020-1</t>
  </si>
  <si>
    <t>20GKC0007</t>
  </si>
  <si>
    <t>NIAZDSIMO-DONGOS SIP PHASE III-CY 2018-004 (INFRA)</t>
  </si>
  <si>
    <t>2020-216-001</t>
  </si>
  <si>
    <t>2020-GOODS-030</t>
  </si>
  <si>
    <t>PB2020-007 (PR No. 19-10-1288 and 19-10-1296)</t>
  </si>
  <si>
    <t>2020-012-B</t>
  </si>
  <si>
    <t>2020-012-A</t>
  </si>
  <si>
    <t>2020-216-002</t>
  </si>
  <si>
    <t>2020-06-0102</t>
  </si>
  <si>
    <t>2020-GOODS-031</t>
  </si>
  <si>
    <t>2020-06-0101</t>
  </si>
  <si>
    <t>2020-06-11-01</t>
  </si>
  <si>
    <t>RFQ 2020-06-012</t>
  </si>
  <si>
    <t>2020-GOODS-032</t>
  </si>
  <si>
    <t>GOODS-2020-06-10</t>
  </si>
  <si>
    <t>2020-245-001</t>
  </si>
  <si>
    <t>SPC PR NO. BSPD-2020-0003</t>
  </si>
  <si>
    <t>2020-06-0096</t>
  </si>
  <si>
    <t>2020-06-11-02</t>
  </si>
  <si>
    <t>2020-06-11-05</t>
  </si>
  <si>
    <t>2020-06-11-04</t>
  </si>
  <si>
    <t>20M00182</t>
  </si>
  <si>
    <t>RFQ 2020-06-013</t>
  </si>
  <si>
    <t>2020-06-11-03</t>
  </si>
  <si>
    <t>O6112020</t>
  </si>
  <si>
    <t>20M00180</t>
  </si>
  <si>
    <t>20M00179</t>
  </si>
  <si>
    <t>2020-138-I</t>
  </si>
  <si>
    <t>DA RFO-1-2019-GOODS-053-N (b)</t>
  </si>
  <si>
    <t>20M00181</t>
  </si>
  <si>
    <t>2020-012-C</t>
  </si>
  <si>
    <t>DTI-IS 2020-007</t>
  </si>
  <si>
    <t>2020-2-0006</t>
  </si>
  <si>
    <t>DTI-IS 2020-006</t>
  </si>
  <si>
    <t>20GM00146</t>
  </si>
  <si>
    <t>20GM00148</t>
  </si>
  <si>
    <t>20GM00149</t>
  </si>
  <si>
    <t>LIMAO-BAC-07-20</t>
  </si>
  <si>
    <t>ITB2020-06-001</t>
  </si>
  <si>
    <t>PEO-19-1501-B</t>
  </si>
  <si>
    <t>20GM00147</t>
  </si>
  <si>
    <t>2020-AP-06-022</t>
  </si>
  <si>
    <t>2020-01-021</t>
  </si>
  <si>
    <t>2020-06-10-174</t>
  </si>
  <si>
    <t>Pb-001-20</t>
  </si>
  <si>
    <t>IB 2020-07-007 PVSV</t>
  </si>
  <si>
    <t>LIMAO-BAC-08-20</t>
  </si>
  <si>
    <t>20GM00150</t>
  </si>
  <si>
    <t>20CW-GSC-022</t>
  </si>
  <si>
    <t>2020-AP-06-020</t>
  </si>
  <si>
    <t>2020-AP-06-021</t>
  </si>
  <si>
    <t>PEO-19-1500-B</t>
  </si>
  <si>
    <t>DA7-2020-05-FOD-L-20-0295(R2)</t>
  </si>
  <si>
    <t>QIIREI2005-001</t>
  </si>
  <si>
    <t>DA7-2020-05-SAAD-20-0981(R2)</t>
  </si>
  <si>
    <t>300-20-05-0496</t>
  </si>
  <si>
    <t>DA7-2020-05-FOD-L-20-1271(R1)</t>
  </si>
  <si>
    <t>2006086</t>
  </si>
  <si>
    <t>G-2020-040</t>
  </si>
  <si>
    <t>RFQ PR 1912-417</t>
  </si>
  <si>
    <t>100-20-03-0312</t>
  </si>
  <si>
    <t>2020-05-437</t>
  </si>
  <si>
    <t>100-20-03-0283</t>
  </si>
  <si>
    <t>2020-06-08-003</t>
  </si>
  <si>
    <t>PB-GB1-2020-14</t>
  </si>
  <si>
    <t>PB-GB1-2020-12</t>
  </si>
  <si>
    <t>PB-GE1-2020-15</t>
  </si>
  <si>
    <t>2020-06-46A</t>
  </si>
  <si>
    <t>PB-SP-EE-2020-13</t>
  </si>
  <si>
    <t>1960-36-001</t>
  </si>
  <si>
    <t>1870-S1-07</t>
  </si>
  <si>
    <t>SA2020-022</t>
  </si>
  <si>
    <t>CRN 2020-01</t>
  </si>
  <si>
    <t>075 - 2020</t>
  </si>
  <si>
    <t>sj 2020 b jul 001</t>
  </si>
  <si>
    <t>1960-S3-06</t>
  </si>
  <si>
    <t>G-2020-039</t>
  </si>
  <si>
    <t>2020-041-snq</t>
  </si>
  <si>
    <t>sj 2020 b jul 002</t>
  </si>
  <si>
    <t>G-2020-042</t>
  </si>
  <si>
    <t>G-2020-043</t>
  </si>
  <si>
    <t>DENR-ORMIN-016-2020</t>
  </si>
  <si>
    <t>20-111</t>
  </si>
  <si>
    <t>2020-044-snq</t>
  </si>
  <si>
    <t>20-116</t>
  </si>
  <si>
    <t>2020-043-snq</t>
  </si>
  <si>
    <t>127 - 2020</t>
  </si>
  <si>
    <t>2020-042-snq</t>
  </si>
  <si>
    <t>20-112</t>
  </si>
  <si>
    <t>PEO-19-1503-B</t>
  </si>
  <si>
    <t>20-115</t>
  </si>
  <si>
    <t>20-062</t>
  </si>
  <si>
    <t>20-0750</t>
  </si>
  <si>
    <t>J.R. 020-0052</t>
  </si>
  <si>
    <t>20-122</t>
  </si>
  <si>
    <t>20-113</t>
  </si>
  <si>
    <t>20-121</t>
  </si>
  <si>
    <t>2020-0609-33G</t>
  </si>
  <si>
    <t>20-108</t>
  </si>
  <si>
    <t>20-117</t>
  </si>
  <si>
    <t>2020-0609-32G</t>
  </si>
  <si>
    <t>20-118</t>
  </si>
  <si>
    <t>20-110</t>
  </si>
  <si>
    <t>20-123</t>
  </si>
  <si>
    <t>J.R. 020-0051</t>
  </si>
  <si>
    <t>20-114</t>
  </si>
  <si>
    <t>LGU_Piddig_2020_040</t>
  </si>
  <si>
    <t>J.R. 020-0053</t>
  </si>
  <si>
    <t>J.R. 020-0054</t>
  </si>
  <si>
    <t>20-119</t>
  </si>
  <si>
    <t>128 - 2020</t>
  </si>
  <si>
    <t>11G-20 RFQ</t>
  </si>
  <si>
    <t>2020-06-51A</t>
  </si>
  <si>
    <t>NOTD-2020-0137</t>
  </si>
  <si>
    <t>164-20-06-92</t>
  </si>
  <si>
    <t>pmma-svp-34-20</t>
  </si>
  <si>
    <t>20-109</t>
  </si>
  <si>
    <t>20FO0100</t>
  </si>
  <si>
    <t>2019-DII-ICSR#3-Angadanan-Savings POW</t>
  </si>
  <si>
    <t>20-05-0116</t>
  </si>
  <si>
    <t>19-3188</t>
  </si>
  <si>
    <t>2020-06-55A</t>
  </si>
  <si>
    <t>VET-2020-0098</t>
  </si>
  <si>
    <t>20GFO0010</t>
  </si>
  <si>
    <t>20GFO0011</t>
  </si>
  <si>
    <t>PB NO. 2020-033</t>
  </si>
  <si>
    <t>20GFO0012</t>
  </si>
  <si>
    <t>20GFO0008</t>
  </si>
  <si>
    <t>2020-06-56A</t>
  </si>
  <si>
    <t>msj-2020-18</t>
  </si>
  <si>
    <t>ADMI-2020-0021</t>
  </si>
  <si>
    <t>ITB2020-06-03</t>
  </si>
  <si>
    <t>2019-DII-ICSR#3-Alicia-Savings POW</t>
  </si>
  <si>
    <t>5020399000-06-20-03</t>
  </si>
  <si>
    <t>PESO-2020-0010</t>
  </si>
  <si>
    <t>PB-CW-2020-06-18</t>
  </si>
  <si>
    <t>AVRC-2020-07-0182</t>
  </si>
  <si>
    <t>PAFF-2020-0080 &amp; 0081</t>
  </si>
  <si>
    <t>20-1097-2</t>
  </si>
  <si>
    <t>2020-06-65A</t>
  </si>
  <si>
    <t>2020-1230</t>
  </si>
  <si>
    <t>20CSKK0004</t>
  </si>
  <si>
    <t>2020-05-035</t>
  </si>
  <si>
    <t>BNLSL-LCB-05A-2019</t>
  </si>
  <si>
    <t>PR NO. 2020-06-015</t>
  </si>
  <si>
    <t>SVP 20-1097-4</t>
  </si>
  <si>
    <t>PROS-20-0387-NP (SV)</t>
  </si>
  <si>
    <t>GOV-2020-0092</t>
  </si>
  <si>
    <t>20-05-141</t>
  </si>
  <si>
    <t>PEO-2020-0856</t>
  </si>
  <si>
    <t>2020-05-0190</t>
  </si>
  <si>
    <t>20BF0059</t>
  </si>
  <si>
    <t>20BF0058</t>
  </si>
  <si>
    <t>RMHS-2020-06-25</t>
  </si>
  <si>
    <t>sanpedro123</t>
  </si>
  <si>
    <t>VET-2020-0140</t>
  </si>
  <si>
    <t>2020024</t>
  </si>
  <si>
    <t>DepED-RO6-D1- Hygiene and Sanitation Supplies-002-</t>
  </si>
  <si>
    <t>20200601</t>
  </si>
  <si>
    <t>RMHS-2020-06-26</t>
  </si>
  <si>
    <t>HOD-2020-0386</t>
  </si>
  <si>
    <t>00009309</t>
  </si>
  <si>
    <t>RE-IB No. MM-2020-017(m)</t>
  </si>
  <si>
    <t>RE-IB No. MM-2020-013(m)</t>
  </si>
  <si>
    <t>0373-20BAC</t>
  </si>
  <si>
    <t>RE-IB No. MM-2020-014(m)</t>
  </si>
  <si>
    <t>RE-IB No. MM-2020-018(m)</t>
  </si>
  <si>
    <t>00008534</t>
  </si>
  <si>
    <t>INFRA-NO. 01</t>
  </si>
  <si>
    <t>SVP No. DD-2020-02-011(m)</t>
  </si>
  <si>
    <t>1080-20BAC</t>
  </si>
  <si>
    <t>BS 20-03-0498 &amp; 05-0651</t>
  </si>
  <si>
    <t>RE-IB No. MM-2020-011(m)</t>
  </si>
  <si>
    <t>2020-0257</t>
  </si>
  <si>
    <t>NEG. PROC. No. MM-2020-005(m)</t>
  </si>
  <si>
    <t>00009125</t>
  </si>
  <si>
    <t>BS 20-03-0485</t>
  </si>
  <si>
    <t>20-05-145</t>
  </si>
  <si>
    <t>1110-20BAC</t>
  </si>
  <si>
    <t>MG-A5M20-102</t>
  </si>
  <si>
    <t>cgb2020-195</t>
  </si>
  <si>
    <t>BS2 0-06-GR003</t>
  </si>
  <si>
    <t>00008909</t>
  </si>
  <si>
    <t>SVP No. MM-2020-04-006</t>
  </si>
  <si>
    <t>BS 20-06-ME01</t>
  </si>
  <si>
    <t>lgu-es-20-118</t>
  </si>
  <si>
    <t>BS20-06-JS002</t>
  </si>
  <si>
    <t>IB NO. N-2020-06-69</t>
  </si>
  <si>
    <t>BS 20-06-OE005</t>
  </si>
  <si>
    <t>00009350</t>
  </si>
  <si>
    <t>BS 20-02-0193</t>
  </si>
  <si>
    <t>cgb2020-196</t>
  </si>
  <si>
    <t>101-2020-06-260</t>
  </si>
  <si>
    <t>SVP No. K-2020-06-003</t>
  </si>
  <si>
    <t>cgb2020-198</t>
  </si>
  <si>
    <t>SVP No. K-2020-06-002</t>
  </si>
  <si>
    <t>2020-0043</t>
  </si>
  <si>
    <t>SanJoseBatsAeb2020-063</t>
  </si>
  <si>
    <t>2020-101-047</t>
  </si>
  <si>
    <t>BS20-02-0192</t>
  </si>
  <si>
    <t>2020-06-161-B</t>
  </si>
  <si>
    <t>Procurement of Courier Services for PSO Bukidnon 1</t>
  </si>
  <si>
    <t>20CN0151</t>
  </si>
  <si>
    <t>00009351</t>
  </si>
  <si>
    <t>BS 20-06-OE006</t>
  </si>
  <si>
    <t>2020-05-0421 PPD-NHTU</t>
  </si>
  <si>
    <t>cgb2020-197</t>
  </si>
  <si>
    <t>cgb2020-199</t>
  </si>
  <si>
    <t>SVP No. K-2020-06-006</t>
  </si>
  <si>
    <t>20CSPH01</t>
  </si>
  <si>
    <t>20CN0150</t>
  </si>
  <si>
    <t>ppn-086-2020</t>
  </si>
  <si>
    <t>101-2020-06-259</t>
  </si>
  <si>
    <t>SanJoseBatsAeb2020-064</t>
  </si>
  <si>
    <t>BS 20-02-0286</t>
  </si>
  <si>
    <t>PGL-20 S-22-06</t>
  </si>
  <si>
    <t>PR 20-06-1672</t>
  </si>
  <si>
    <t>PGL-20 S-21-06</t>
  </si>
  <si>
    <t>C9-20-1043</t>
  </si>
  <si>
    <t>12345</t>
  </si>
  <si>
    <t>00008737</t>
  </si>
  <si>
    <t>PGL-20 S-20-06</t>
  </si>
  <si>
    <t>2020-06-162-B</t>
  </si>
  <si>
    <t>MPBRIS-LCB-08A-2019</t>
  </si>
  <si>
    <t>ITB2020-06-04</t>
  </si>
  <si>
    <t>101-2020-06-258</t>
  </si>
  <si>
    <t>06092020178</t>
  </si>
  <si>
    <t>20CN0152</t>
  </si>
  <si>
    <t>020-002-002</t>
  </si>
  <si>
    <t>20FB0150</t>
  </si>
  <si>
    <t>2020 -01</t>
  </si>
  <si>
    <t>47151C</t>
  </si>
  <si>
    <t>PGL-20 NEGO 19-06</t>
  </si>
  <si>
    <t>101-2020-06-268</t>
  </si>
  <si>
    <t>020-006-001</t>
  </si>
  <si>
    <t>PR 20-06-1673</t>
  </si>
  <si>
    <t>20-06-02</t>
  </si>
  <si>
    <t>PRO2 BAC 2020-0601</t>
  </si>
  <si>
    <t>059-2020</t>
  </si>
  <si>
    <t>2020-300-003</t>
  </si>
  <si>
    <t>San Joaquin-Goods-2020-02</t>
  </si>
  <si>
    <t>2020-05-0427 PPD-NHTU</t>
  </si>
  <si>
    <t>BAG2020-06-002</t>
  </si>
  <si>
    <t>SanJoseBatsAeb2020-065</t>
  </si>
  <si>
    <t>ITB2020-06-05</t>
  </si>
  <si>
    <t>2020-0610</t>
  </si>
  <si>
    <t>baz-azds-20-06-015</t>
  </si>
  <si>
    <t>2020006</t>
  </si>
  <si>
    <t>SanJoseBatsAeb2020-066</t>
  </si>
  <si>
    <t>SanJoseBatsAeb2020-082</t>
  </si>
  <si>
    <t>1280-06-00127</t>
  </si>
  <si>
    <t>RFQ 2020-06-134</t>
  </si>
  <si>
    <t>GOODS-NP-2020-091</t>
  </si>
  <si>
    <t>2020-06-001-101</t>
  </si>
  <si>
    <t>ITB2020-06-01 BRGY. SAN VICENTE</t>
  </si>
  <si>
    <t>2020-03-0236 SOCIAL PENSION</t>
  </si>
  <si>
    <t>0020-0162-0946-2020</t>
  </si>
  <si>
    <t>2020-06-316</t>
  </si>
  <si>
    <t>20-434</t>
  </si>
  <si>
    <t>cw-2020-015</t>
  </si>
  <si>
    <t>PR 06-3531</t>
  </si>
  <si>
    <t>072(A) - 2020</t>
  </si>
  <si>
    <t>N-341-2020</t>
  </si>
  <si>
    <t>ITB-MPR-Goods-2020-019</t>
  </si>
  <si>
    <t>Bid No. 20-0266</t>
  </si>
  <si>
    <t>2020-06-298-10</t>
  </si>
  <si>
    <t>N-344-2020</t>
  </si>
  <si>
    <t>GOODS-2020-19</t>
  </si>
  <si>
    <t>SR2020-005</t>
  </si>
  <si>
    <t>SR2020-006</t>
  </si>
  <si>
    <t>2020-GOODS-NP-63</t>
  </si>
  <si>
    <t>N-348-2020</t>
  </si>
  <si>
    <t>2020-06-374</t>
  </si>
  <si>
    <t>IB NO. N-2020-06-70</t>
  </si>
  <si>
    <t>RFQ-2020-06-024</t>
  </si>
  <si>
    <t>2020-06-0163 SDD</t>
  </si>
  <si>
    <t>BAC-PGCS-007-2020</t>
  </si>
  <si>
    <t>2020-06-102</t>
  </si>
  <si>
    <t>2020-0149</t>
  </si>
  <si>
    <t>BAC No. 07-05-2020</t>
  </si>
  <si>
    <t>PR 06-3514</t>
  </si>
  <si>
    <t>P.R 2020-02-052</t>
  </si>
  <si>
    <t>DARFO2.CVRC.115.REC.2020-06-669.00</t>
  </si>
  <si>
    <t>VET-2020-0123 &amp; 0124</t>
  </si>
  <si>
    <t>S-173-2020</t>
  </si>
  <si>
    <t>ITB 2020-06-001</t>
  </si>
  <si>
    <t>N-333-2020</t>
  </si>
  <si>
    <t>2020-06-373</t>
  </si>
  <si>
    <t>20-435</t>
  </si>
  <si>
    <t>PR NO. 2020-06-014</t>
  </si>
  <si>
    <t>RFQ 2020-AS-06-019</t>
  </si>
  <si>
    <t>bac-20-0610a</t>
  </si>
  <si>
    <t>2020-05-002-GF</t>
  </si>
  <si>
    <t>S-169-2020</t>
  </si>
  <si>
    <t>RFQ-2020-018 JHS</t>
  </si>
  <si>
    <t>BAC LURO PR No. 2020-206</t>
  </si>
  <si>
    <t>N-349-2020</t>
  </si>
  <si>
    <t>REF #040-06-2020</t>
  </si>
  <si>
    <t>BMC-N-20-176</t>
  </si>
  <si>
    <t>20GFD0007</t>
  </si>
  <si>
    <t>N-340-2020</t>
  </si>
  <si>
    <t>2020-0000-014</t>
  </si>
  <si>
    <t>20-06-006</t>
  </si>
  <si>
    <t>20CSAI002</t>
  </si>
  <si>
    <t>DARFO2.CVRC.115.REC.2020-06-672.00</t>
  </si>
  <si>
    <t>BMC-N-20-177</t>
  </si>
  <si>
    <t>OPA-2020-0277, 0280, 0281, 0282</t>
  </si>
  <si>
    <t>MSSC-20-06-012</t>
  </si>
  <si>
    <t>2020-05-103</t>
  </si>
  <si>
    <t>RFQ 2020-71</t>
  </si>
  <si>
    <t>2020-06-0113</t>
  </si>
  <si>
    <t>20GFD0008</t>
  </si>
  <si>
    <t>ITB 2020-06-002</t>
  </si>
  <si>
    <t>S-172-2020</t>
  </si>
  <si>
    <t>IB-GOODS-2020-09 Procurement of Drugs and Medicine</t>
  </si>
  <si>
    <t>2020-140-I</t>
  </si>
  <si>
    <t>106</t>
  </si>
  <si>
    <t>PR No.  	:	20-VI-10</t>
  </si>
  <si>
    <t>BAG2020-06-003</t>
  </si>
  <si>
    <t>CON2020-21</t>
  </si>
  <si>
    <t>20-06-007</t>
  </si>
  <si>
    <t>06-013-20</t>
  </si>
  <si>
    <t>BMC-N-20-178</t>
  </si>
  <si>
    <t>PR-2020-05-748</t>
  </si>
  <si>
    <t>RFQ No. 2020-SVP-36</t>
  </si>
  <si>
    <t>Barangay Pa-a 2020 - 06</t>
  </si>
  <si>
    <t>2020-139-I</t>
  </si>
  <si>
    <t>ANTIPOLO-01JULY2020-02</t>
  </si>
  <si>
    <t>105</t>
  </si>
  <si>
    <t>PMC-020-173</t>
  </si>
  <si>
    <t>2020-093</t>
  </si>
  <si>
    <t>GFW-2020-06-018</t>
  </si>
  <si>
    <t>2020-06-397</t>
  </si>
  <si>
    <t>ANTIPOLO-01JULY2020-01</t>
  </si>
  <si>
    <t>INF ITB 20-028</t>
  </si>
  <si>
    <t>20-06-033</t>
  </si>
  <si>
    <t>2020-063</t>
  </si>
  <si>
    <t>2020-06-29</t>
  </si>
  <si>
    <t>20-06-242</t>
  </si>
  <si>
    <t>ANTIPOLO-01JULY2020-04</t>
  </si>
  <si>
    <t>DA3-2020-06-05-73</t>
  </si>
  <si>
    <t>ANTIPOLO-01JULY2020-03</t>
  </si>
  <si>
    <t>2020-06-00021</t>
  </si>
  <si>
    <t>OPA-2020-0251</t>
  </si>
  <si>
    <t>N-345-2020</t>
  </si>
  <si>
    <t>SVP 2020-51</t>
  </si>
  <si>
    <t>2020-06-17</t>
  </si>
  <si>
    <t>N-334-2020</t>
  </si>
  <si>
    <t>ANTIPOLO-01JULY2020-05</t>
  </si>
  <si>
    <t>R20-200</t>
  </si>
  <si>
    <t>06-10-01</t>
  </si>
  <si>
    <t>PR NO. 2020-06-013</t>
  </si>
  <si>
    <t>SINS-G-2020-11</t>
  </si>
  <si>
    <t>2020-06-401</t>
  </si>
  <si>
    <t>06-10-02</t>
  </si>
  <si>
    <t>COVID19-009</t>
  </si>
  <si>
    <t>2020 8</t>
  </si>
  <si>
    <t>Bid No. 20-0267</t>
  </si>
  <si>
    <t>2020-06-390</t>
  </si>
  <si>
    <t>ANTIPOLO-01JULY2020-06</t>
  </si>
  <si>
    <t>PR 106-06-2020</t>
  </si>
  <si>
    <t>Infra-20-08</t>
  </si>
  <si>
    <t>2020-06-00023</t>
  </si>
  <si>
    <t>CARC- 2020-GS-02</t>
  </si>
  <si>
    <t>DA3-2020-241-03-16-2020</t>
  </si>
  <si>
    <t>2020-06-399</t>
  </si>
  <si>
    <t>2020-06-103</t>
  </si>
  <si>
    <t>ANTIPOLO-01JULY2020-07</t>
  </si>
  <si>
    <t>PBI-2020-03</t>
  </si>
  <si>
    <t>2020-05-0423 RRCY</t>
  </si>
  <si>
    <t>100-2006-1083</t>
  </si>
  <si>
    <t>20-027</t>
  </si>
  <si>
    <t>2020-154</t>
  </si>
  <si>
    <t>2020-06-0094</t>
  </si>
  <si>
    <t>RFQ - PR No. 2020-06-0100 dated 6-9-20</t>
  </si>
  <si>
    <t>06092020179</t>
  </si>
  <si>
    <t>PBI-2020-04</t>
  </si>
  <si>
    <t>0020-0139-0819B2020</t>
  </si>
  <si>
    <t>ANTIPOLO-01JULY2020-09</t>
  </si>
  <si>
    <t>ANTIPOLO-01JULY2020-10</t>
  </si>
  <si>
    <t>ANTIPOLO-01JULY2020-08</t>
  </si>
  <si>
    <t>20-06-333</t>
  </si>
  <si>
    <t>A2020-06-001</t>
  </si>
  <si>
    <t>RFQ NO. 2020-06-140</t>
  </si>
  <si>
    <t>2020-06-055</t>
  </si>
  <si>
    <t>PBI-2020-05</t>
  </si>
  <si>
    <t>2020-155</t>
  </si>
  <si>
    <t>DA3-235-03-16-2020</t>
  </si>
  <si>
    <t>PBI-2020-06</t>
  </si>
  <si>
    <t>PMC-020-155 &amp; 020-157</t>
  </si>
  <si>
    <t>BXU-2020-20</t>
  </si>
  <si>
    <t>06-10-03</t>
  </si>
  <si>
    <t>PG-RFQ-2020-04 Salvacion</t>
  </si>
  <si>
    <t>2020-158</t>
  </si>
  <si>
    <t>20-028</t>
  </si>
  <si>
    <t>ITB No. 2020-008</t>
  </si>
  <si>
    <t>INFRA-2020-P3</t>
  </si>
  <si>
    <t>NLPRSD-2020-05-0274</t>
  </si>
  <si>
    <t>2020-05-104</t>
  </si>
  <si>
    <t>RFQ for Goods and Services No. 2020-009</t>
  </si>
  <si>
    <t>PBI-2020-12</t>
  </si>
  <si>
    <t>2020-06-30</t>
  </si>
  <si>
    <t>ANTIPOLO-01JULY2020-11</t>
  </si>
  <si>
    <t>SVP2020-31</t>
  </si>
  <si>
    <t>2020-160</t>
  </si>
  <si>
    <t>100(01)20-06-052(M)</t>
  </si>
  <si>
    <t>INFRA-2020-10</t>
  </si>
  <si>
    <t>100(01)20-06-054(M)</t>
  </si>
  <si>
    <t>2020-SVP-002</t>
  </si>
  <si>
    <t>20K00349</t>
  </si>
  <si>
    <t>GFW-2020-06-019</t>
  </si>
  <si>
    <t>RFQ - PR No. 2020-06-0107 dated 6-9-20</t>
  </si>
  <si>
    <t>2020-03-030</t>
  </si>
  <si>
    <t>INFRA-11</t>
  </si>
  <si>
    <t>20-06-008</t>
  </si>
  <si>
    <t>20-06-243</t>
  </si>
  <si>
    <t>ANTIPOLO-01JULY2020-12</t>
  </si>
  <si>
    <t>lgu-es-20-119</t>
  </si>
  <si>
    <t>EMBR02-SVP-GGSS-MIS062020-009</t>
  </si>
  <si>
    <t>0020-0056-0320-2020</t>
  </si>
  <si>
    <t>100(01)20-06-053(M)</t>
  </si>
  <si>
    <t>06-10-04</t>
  </si>
  <si>
    <t>2020-06-121</t>
  </si>
  <si>
    <t>ANTIPOLO-01JULY2020-13</t>
  </si>
  <si>
    <t>2020-166</t>
  </si>
  <si>
    <t>RFQ - Assorted Construction Materials for use in M</t>
  </si>
  <si>
    <t>60010012020</t>
  </si>
  <si>
    <t>20K00350</t>
  </si>
  <si>
    <t>2020-171</t>
  </si>
  <si>
    <t>06-10-05</t>
  </si>
  <si>
    <t>0020-0139-0819-2020</t>
  </si>
  <si>
    <t>DA7-2020-06-ILD-20-1946(R1)</t>
  </si>
  <si>
    <t>ANTIPOLO-01JULY2020-14</t>
  </si>
  <si>
    <t>CWD 24-2020</t>
  </si>
  <si>
    <t>CARC-2020-GS-03</t>
  </si>
  <si>
    <t>2020-167</t>
  </si>
  <si>
    <t>DENR-RFQMS-2020-031</t>
  </si>
  <si>
    <t>GOODS-05</t>
  </si>
  <si>
    <t>2020-172</t>
  </si>
  <si>
    <t>2020-173</t>
  </si>
  <si>
    <t>BXU-2020-21</t>
  </si>
  <si>
    <t>100-20-03-0353</t>
  </si>
  <si>
    <t>IB 2020-027</t>
  </si>
  <si>
    <t>2020-001-06</t>
  </si>
  <si>
    <t>GOODS-06</t>
  </si>
  <si>
    <t>2020-06-120</t>
  </si>
  <si>
    <t>20-06-009</t>
  </si>
  <si>
    <t>20K00351</t>
  </si>
  <si>
    <t>20GLD0035</t>
  </si>
  <si>
    <t>06-10-06</t>
  </si>
  <si>
    <t>SINS-G-2020-06</t>
  </si>
  <si>
    <t>ANTIPOLO-01JULY2020-15</t>
  </si>
  <si>
    <t>4431-2020-03-09</t>
  </si>
  <si>
    <t>2020-178</t>
  </si>
  <si>
    <t>INFRA-2020-022</t>
  </si>
  <si>
    <t>PR. 20-05-170 (2020-05-174 2ND QUOTE)</t>
  </si>
  <si>
    <t>PMC-020-177</t>
  </si>
  <si>
    <t>01-01-2020-06-546</t>
  </si>
  <si>
    <t>PR 110-06-2020</t>
  </si>
  <si>
    <t>P.R. No. X1-20-03-187</t>
  </si>
  <si>
    <t>ANTIPOLO-01JULY2020-16</t>
  </si>
  <si>
    <t>ATI-RTC 2020-0028</t>
  </si>
  <si>
    <t>ITB No. 2020-009</t>
  </si>
  <si>
    <t>PR NO. 2020-06-012</t>
  </si>
  <si>
    <t>OPOL 2020-055</t>
  </si>
  <si>
    <t>2020-180</t>
  </si>
  <si>
    <t>20GE024G</t>
  </si>
  <si>
    <t>PMC-020-176</t>
  </si>
  <si>
    <t>GOODS-07</t>
  </si>
  <si>
    <t>2020-06-056</t>
  </si>
  <si>
    <t>20JI0094</t>
  </si>
  <si>
    <t>20GLD0036</t>
  </si>
  <si>
    <t>2020-05-107</t>
  </si>
  <si>
    <t>2020-184</t>
  </si>
  <si>
    <t>ANTIPOLO-01JULY2020-17</t>
  </si>
  <si>
    <t>2020-002-06</t>
  </si>
  <si>
    <t>337-06/08/2020</t>
  </si>
  <si>
    <t>2020 Goods and Services No. 2020-010</t>
  </si>
  <si>
    <t>20GLD0038</t>
  </si>
  <si>
    <t>20GLD0037</t>
  </si>
  <si>
    <t>ANTIPOLO-01JULY2020-18</t>
  </si>
  <si>
    <t>2020-185</t>
  </si>
  <si>
    <t>2020-0017</t>
  </si>
  <si>
    <t>ANTIPOLO-01JULY2020-19</t>
  </si>
  <si>
    <t>2020-195</t>
  </si>
  <si>
    <t>RFQ-176-2020</t>
  </si>
  <si>
    <t>2020-05-106</t>
  </si>
  <si>
    <t>JAE-SVP-2020-04-0452 GAA</t>
  </si>
  <si>
    <t>RFQ - PR No. 2020-06-0103 dated 6-9-20</t>
  </si>
  <si>
    <t>BBU-2020-001</t>
  </si>
  <si>
    <t>BXU-2020-22</t>
  </si>
  <si>
    <t>GOODS-08</t>
  </si>
  <si>
    <t>RB-ITB-2020-001</t>
  </si>
  <si>
    <t>2020-192</t>
  </si>
  <si>
    <t>2020-197</t>
  </si>
  <si>
    <t>Barangay Lunang 2020 - 02</t>
  </si>
  <si>
    <t>PR NO. 2020-06-017</t>
  </si>
  <si>
    <t>20GLD0039</t>
  </si>
  <si>
    <t>RFQ - 20-116</t>
  </si>
  <si>
    <t>NS-06-11-20</t>
  </si>
  <si>
    <t>2020-06-228</t>
  </si>
  <si>
    <t>0020-0139-0819A2020</t>
  </si>
  <si>
    <t>INFRA-12</t>
  </si>
  <si>
    <t>20JI0095</t>
  </si>
  <si>
    <t>ANTIPOLO-01JULY2020-21</t>
  </si>
  <si>
    <t>20CSHN08</t>
  </si>
  <si>
    <t>RFQ - PR No. 2020-06-0105 dated 6-9-20</t>
  </si>
  <si>
    <t>2020-0018</t>
  </si>
  <si>
    <t>ANTIPOLO-01JULY2020-20</t>
  </si>
  <si>
    <t>RFQ-177-2020</t>
  </si>
  <si>
    <t>20HG0174</t>
  </si>
  <si>
    <t>EMBR02-SVP-GGSS-MIS032020-010</t>
  </si>
  <si>
    <t>SINS-G-2019-18</t>
  </si>
  <si>
    <t>20HG0175</t>
  </si>
  <si>
    <t>INFRA-13</t>
  </si>
  <si>
    <t>20GE025G</t>
  </si>
  <si>
    <t>20GLD0040</t>
  </si>
  <si>
    <t>2020-103</t>
  </si>
  <si>
    <t>UPLB-RQ-6-121-20-RES CHEMICALS AND CHEMICAL PRODUC</t>
  </si>
  <si>
    <t>ATI-RTC 2020-0029</t>
  </si>
  <si>
    <t>SV-0723-2020</t>
  </si>
  <si>
    <t>2020-06-299-11</t>
  </si>
  <si>
    <t>BXU-2020-23</t>
  </si>
  <si>
    <t>20CSHN09</t>
  </si>
  <si>
    <t>2020-BC-001</t>
  </si>
  <si>
    <t>NP 53.6</t>
  </si>
  <si>
    <t>Pr No. 2020-06-000001</t>
  </si>
  <si>
    <t>20JI0096</t>
  </si>
  <si>
    <t>LGUPROC 2020 -102R</t>
  </si>
  <si>
    <t>2020-06-0060</t>
  </si>
  <si>
    <t>2020-018-PB</t>
  </si>
  <si>
    <t>2020-107</t>
  </si>
  <si>
    <t>2020-094</t>
  </si>
  <si>
    <t>INF ITB 20-029</t>
  </si>
  <si>
    <t>CW001</t>
  </si>
  <si>
    <t>P.R -02-031</t>
  </si>
  <si>
    <t>INFRA-2020-018</t>
  </si>
  <si>
    <t>PR No. 2020-06-000006</t>
  </si>
  <si>
    <t>INF ITB 20-030</t>
  </si>
  <si>
    <t>2020-05-088</t>
  </si>
  <si>
    <t>2020-60</t>
  </si>
  <si>
    <t>20-06-010</t>
  </si>
  <si>
    <t>PR 040-02-2020</t>
  </si>
  <si>
    <t>SVP 20-007</t>
  </si>
  <si>
    <t>G-062020-00843</t>
  </si>
  <si>
    <t>Bid No. 20-0268</t>
  </si>
  <si>
    <t>PANG-2020-0498</t>
  </si>
  <si>
    <t>SA2020-023</t>
  </si>
  <si>
    <t>DGPD2020-RFQ06-002-G</t>
  </si>
  <si>
    <t>INFRA-14</t>
  </si>
  <si>
    <t>20-05-0622</t>
  </si>
  <si>
    <t>2020-020 CLA</t>
  </si>
  <si>
    <t>20JI0098</t>
  </si>
  <si>
    <t>IMELDA202001</t>
  </si>
  <si>
    <t>20FB0151</t>
  </si>
  <si>
    <t>1000032032</t>
  </si>
  <si>
    <t>PR NO. 2020-06-016</t>
  </si>
  <si>
    <t>BXU-2020-24</t>
  </si>
  <si>
    <t>INFRA-15</t>
  </si>
  <si>
    <t>PR# 20-719</t>
  </si>
  <si>
    <t>Infra-02</t>
  </si>
  <si>
    <t>PANG-2020-0777</t>
  </si>
  <si>
    <t>DapDap202001</t>
  </si>
  <si>
    <t>RFQ 20-537</t>
  </si>
  <si>
    <t>SINS-Inf-2020-03</t>
  </si>
  <si>
    <t>4411-20-06-022</t>
  </si>
  <si>
    <t>062920-01</t>
  </si>
  <si>
    <t>2020-02-052</t>
  </si>
  <si>
    <t>G-2020-00018</t>
  </si>
  <si>
    <t>Barangay Lunang 2020 -03</t>
  </si>
  <si>
    <t>1400</t>
  </si>
  <si>
    <t>2020-127</t>
  </si>
  <si>
    <t>INFRA-2020-16</t>
  </si>
  <si>
    <t>RFQ 20-370B</t>
  </si>
  <si>
    <t>20FK0051</t>
  </si>
  <si>
    <t>20JI0099</t>
  </si>
  <si>
    <t>RFQ 20-538</t>
  </si>
  <si>
    <t>INFRA-2020-17</t>
  </si>
  <si>
    <t>RFQ-2020-53</t>
  </si>
  <si>
    <t>2020-SVP-03</t>
  </si>
  <si>
    <t>HMD-2020-06-0283</t>
  </si>
  <si>
    <t>G-01-2020</t>
  </si>
  <si>
    <t>ITB No. 031-2020 GQ</t>
  </si>
  <si>
    <t>INFRA-2020-023</t>
  </si>
  <si>
    <t>RFQ 20-540</t>
  </si>
  <si>
    <t>2020-131</t>
  </si>
  <si>
    <t>SVP 20-008</t>
  </si>
  <si>
    <t>PR# 20-0721</t>
  </si>
  <si>
    <t>RFQ 20-539</t>
  </si>
  <si>
    <t>LGU-RFQ-2020-54</t>
  </si>
  <si>
    <t>396268</t>
  </si>
  <si>
    <t>RFQ-2020-06-0035</t>
  </si>
  <si>
    <t>PR #2020-01-0089S</t>
  </si>
  <si>
    <t>PR# 20-0722</t>
  </si>
  <si>
    <t>P.R  2020-02-026</t>
  </si>
  <si>
    <t>BXU-2020-25</t>
  </si>
  <si>
    <t>RDTD-2020-06-0286</t>
  </si>
  <si>
    <t>20-37 RD</t>
  </si>
  <si>
    <t>20JI0100</t>
  </si>
  <si>
    <t>VIG-20-056</t>
  </si>
  <si>
    <t>06-10-2020-206</t>
  </si>
  <si>
    <t>INFRA_2020_REPAIR&amp;IMPROVEMENT_03</t>
  </si>
  <si>
    <t>20FK0052</t>
  </si>
  <si>
    <t>RFQ-2020-06-0037</t>
  </si>
  <si>
    <t>LDF20-06-031</t>
  </si>
  <si>
    <t>RFQ-2020-06-0038</t>
  </si>
  <si>
    <t>COB BAC INFRA 2020-003-001</t>
  </si>
  <si>
    <t>RFQ No. 2020-045 NP SSAWETMS</t>
  </si>
  <si>
    <t>O-020-007</t>
  </si>
  <si>
    <t>Barangay Lunang</t>
  </si>
  <si>
    <t>20FK0053-Invitation to Bid</t>
  </si>
  <si>
    <t>153</t>
  </si>
  <si>
    <t>RFQ-2020-06-0040</t>
  </si>
  <si>
    <t>RFQ-2020-06-0036</t>
  </si>
  <si>
    <t>70-2020</t>
  </si>
  <si>
    <t>20JI0101</t>
  </si>
  <si>
    <t>RFQ-2020-06-0041</t>
  </si>
  <si>
    <t>20-38 RD</t>
  </si>
  <si>
    <t>20-40 BLDG</t>
  </si>
  <si>
    <t>2020-06-0012</t>
  </si>
  <si>
    <t>LEE19-06-025</t>
  </si>
  <si>
    <t>UPLB-RQ-6-122-20-RES INFORMATION TECHNOLOGY</t>
  </si>
  <si>
    <t>20-39 RD</t>
  </si>
  <si>
    <t>INFRA_2020_REPAIR&amp;IMPROVEMENT_04</t>
  </si>
  <si>
    <t>RFQ-2020-06-0039</t>
  </si>
  <si>
    <t>20-41 BLDG</t>
  </si>
  <si>
    <t>RFQ 2020-06-0660</t>
  </si>
  <si>
    <t>06082020-177</t>
  </si>
  <si>
    <t>ITB-2020-JDL-004</t>
  </si>
  <si>
    <t>ITB (CW-06-2020-018) 20DD0325</t>
  </si>
  <si>
    <t>VIG-20-057</t>
  </si>
  <si>
    <t>20-42 BLDG</t>
  </si>
  <si>
    <t>ITB (CW-06-2020-018) 20DD0326</t>
  </si>
  <si>
    <t>RFQ 2020-06-0658</t>
  </si>
  <si>
    <t>2020-165</t>
  </si>
  <si>
    <t>062920-02A</t>
  </si>
  <si>
    <t>2020-153</t>
  </si>
  <si>
    <t>LIB2020-001</t>
  </si>
  <si>
    <t>ITB (CW-06-2020-018) 20DD0328</t>
  </si>
  <si>
    <t>2020-174</t>
  </si>
  <si>
    <t>2020-06-59</t>
  </si>
  <si>
    <t>UPR No TRADOC-SR-T001-2020</t>
  </si>
  <si>
    <t>ITB (CW-06-2020-018) 20DD0327</t>
  </si>
  <si>
    <t>ITB (CW-06-2020-018) 20DD0329</t>
  </si>
  <si>
    <t>UPR No TRADOC-OG4-MO2-107-2020</t>
  </si>
  <si>
    <t>PERIMETER FENCE - SAN NICOLAS ELEM.</t>
  </si>
  <si>
    <t>2020/06/052</t>
  </si>
  <si>
    <t>N-20-06-052</t>
  </si>
  <si>
    <t>NP 083-20</t>
  </si>
  <si>
    <t>2020-183</t>
  </si>
  <si>
    <t>2020-181</t>
  </si>
  <si>
    <t>20JI0102</t>
  </si>
  <si>
    <t>2020-06-094</t>
  </si>
  <si>
    <t>2020-06-60</t>
  </si>
  <si>
    <t>ITB No. 2020-010</t>
  </si>
  <si>
    <t>MAPULO-001</t>
  </si>
  <si>
    <t>2020-198</t>
  </si>
  <si>
    <t>2020-234</t>
  </si>
  <si>
    <t>2020-02-1</t>
  </si>
  <si>
    <t>ITB (CW-06-2020-018) 20DD0332</t>
  </si>
  <si>
    <t>ITB (CW-06-2020-018) 20DD0333</t>
  </si>
  <si>
    <t>2020-249</t>
  </si>
  <si>
    <t>Barangay Lunang 2020 -01</t>
  </si>
  <si>
    <t>20JI0103</t>
  </si>
  <si>
    <t>2020-98</t>
  </si>
  <si>
    <t>06102020-01</t>
  </si>
  <si>
    <t>06102020-02</t>
  </si>
  <si>
    <t>SF-GOODS NO. 62-(6-10-20)</t>
  </si>
  <si>
    <t>2020-251</t>
  </si>
  <si>
    <t>ITB (CW-06-2020-018) 20DD0331</t>
  </si>
  <si>
    <t>ITB (CW-06-2020-018) 20DD0334</t>
  </si>
  <si>
    <t>PR No. 2020-05-000002</t>
  </si>
  <si>
    <t>405-06-2020 (IPHO)</t>
  </si>
  <si>
    <t>RFQ 2020-06-0668</t>
  </si>
  <si>
    <t>2020-203</t>
  </si>
  <si>
    <t>2020-245</t>
  </si>
  <si>
    <t>100-06-20-441</t>
  </si>
  <si>
    <t>P.R. No. 2020-06-0026</t>
  </si>
  <si>
    <t>034-20-153</t>
  </si>
  <si>
    <t>SINS-Inf-2020-04</t>
  </si>
  <si>
    <t>ITB (CW-06-2020-018) 20DD0335</t>
  </si>
  <si>
    <t>211414</t>
  </si>
  <si>
    <t>PR 9-20-05-0601 - CITY HOSPITAL</t>
  </si>
  <si>
    <t>2020-0261</t>
  </si>
  <si>
    <t>211415</t>
  </si>
  <si>
    <t>2020-006-01</t>
  </si>
  <si>
    <t>B-20-24</t>
  </si>
  <si>
    <t>ITB (CW-06-2020-018) 20DD0330</t>
  </si>
  <si>
    <t>20010809</t>
  </si>
  <si>
    <t>06102020180</t>
  </si>
  <si>
    <t>PERIMETER FENCE - SAN MIGUEL ELEM.</t>
  </si>
  <si>
    <t>RFQ 2020-06-0696</t>
  </si>
  <si>
    <t>CNU Procurement of Electrical Supplies 2nd quarter</t>
  </si>
  <si>
    <t>20-192</t>
  </si>
  <si>
    <t>INFRA-2K20-39</t>
  </si>
  <si>
    <t>2020-06-099</t>
  </si>
  <si>
    <t>2020-PBINFRA-05-004</t>
  </si>
  <si>
    <t>211416</t>
  </si>
  <si>
    <t>20JI0104</t>
  </si>
  <si>
    <t>COB BAC INFRA 2020-003-002</t>
  </si>
  <si>
    <t>RFQ 2020-06-0698</t>
  </si>
  <si>
    <t>ITB (CW-06-2020-018) 20DD0336</t>
  </si>
  <si>
    <t>ITB (CW-06-2020-018) 20DD0337</t>
  </si>
  <si>
    <t>mabpang-0610-2020-ENGR</t>
  </si>
  <si>
    <t>20-06-0001</t>
  </si>
  <si>
    <t>Bid No. 20-0269</t>
  </si>
  <si>
    <t>PR 9-20-05-0588 - CITY HOSPITAL</t>
  </si>
  <si>
    <t>PR# 20-06-0603</t>
  </si>
  <si>
    <t>20010456</t>
  </si>
  <si>
    <t>2019-10-06-24</t>
  </si>
  <si>
    <t>211417</t>
  </si>
  <si>
    <t>N-20-06-053</t>
  </si>
  <si>
    <t>C-049-2020</t>
  </si>
  <si>
    <t>DTI-NE-20-06-01</t>
  </si>
  <si>
    <t>PR# 20-0727</t>
  </si>
  <si>
    <t>ITB (CW-06-2020-018) 20DD0338</t>
  </si>
  <si>
    <t>RFQ 0620-017</t>
  </si>
  <si>
    <t>20JI0105</t>
  </si>
  <si>
    <t>TF-PB-034</t>
  </si>
  <si>
    <t>BACC-2020-0019</t>
  </si>
  <si>
    <t>NP 092-20</t>
  </si>
  <si>
    <t>khs-2020-002</t>
  </si>
  <si>
    <t>CDH-2020-0036-0038,0040,0048-0050,0056,0057,0059-0</t>
  </si>
  <si>
    <t>SEF-I-43-2020</t>
  </si>
  <si>
    <t>20011320</t>
  </si>
  <si>
    <t>SN-20-06-003</t>
  </si>
  <si>
    <t>RFQ 0620-018</t>
  </si>
  <si>
    <t>100200300476</t>
  </si>
  <si>
    <t>211418</t>
  </si>
  <si>
    <t>ITB No. 2020-135-A-pgo-pictd</t>
  </si>
  <si>
    <t>ITB No. 2020-012</t>
  </si>
  <si>
    <t>RFQ-2020-165</t>
  </si>
  <si>
    <t>20-06-012</t>
  </si>
  <si>
    <t>DSWD4B-2020-011</t>
  </si>
  <si>
    <t>COB BAC INFRA 2020-003-004</t>
  </si>
  <si>
    <t>COB BAC INFRA 2020-003-003</t>
  </si>
  <si>
    <t>2020-223</t>
  </si>
  <si>
    <t>RQ 06-053</t>
  </si>
  <si>
    <t>bas 2020-01</t>
  </si>
  <si>
    <t>SVP 20-0693</t>
  </si>
  <si>
    <t>20-06-09-0017</t>
  </si>
  <si>
    <t>2020-033</t>
  </si>
  <si>
    <t>COB BAC INFRA 2020-003-005</t>
  </si>
  <si>
    <t>2020-226</t>
  </si>
  <si>
    <t>945</t>
  </si>
  <si>
    <t>06102020-A</t>
  </si>
  <si>
    <t>N-20-06-054</t>
  </si>
  <si>
    <t>2020-225</t>
  </si>
  <si>
    <t>EMBR02-SVP-GOODS-MIS032020-009</t>
  </si>
  <si>
    <t>273-20</t>
  </si>
  <si>
    <t>2020-03-0055</t>
  </si>
  <si>
    <t>RFQ 0620-021</t>
  </si>
  <si>
    <t>PR# 20-0731</t>
  </si>
  <si>
    <t>20JI0106</t>
  </si>
  <si>
    <t>20CSPH02</t>
  </si>
  <si>
    <t>2020-224</t>
  </si>
  <si>
    <t>2020-248</t>
  </si>
  <si>
    <t>100(01)20-06-327(O)</t>
  </si>
  <si>
    <t>2020-06-0161</t>
  </si>
  <si>
    <t>20-06-0003</t>
  </si>
  <si>
    <t>274-20</t>
  </si>
  <si>
    <t>100(01)20-06-310(A)</t>
  </si>
  <si>
    <t>TF-PB-035</t>
  </si>
  <si>
    <t>211419</t>
  </si>
  <si>
    <t>DGS PR No. 1000032736</t>
  </si>
  <si>
    <t>P.R. No. X1-20-04-192</t>
  </si>
  <si>
    <t>2020-227</t>
  </si>
  <si>
    <t>DENR XII-SP-21-2020</t>
  </si>
  <si>
    <t>RFQ-2020-166</t>
  </si>
  <si>
    <t>ITB NO. OCD 2020-10 (INFRA)</t>
  </si>
  <si>
    <t>ITB No. 2020-013</t>
  </si>
  <si>
    <t>100(01)20-06-326(O)</t>
  </si>
  <si>
    <t>275-20</t>
  </si>
  <si>
    <t>BOD20-083</t>
  </si>
  <si>
    <t>2020-05-058</t>
  </si>
  <si>
    <t>2020-03-0861</t>
  </si>
  <si>
    <t>212020</t>
  </si>
  <si>
    <t>2020-Lamitan-24</t>
  </si>
  <si>
    <t>Bid No. 20-0270</t>
  </si>
  <si>
    <t>20JI0107</t>
  </si>
  <si>
    <t>ITB No. 2020-014</t>
  </si>
  <si>
    <t>RQ 06-054</t>
  </si>
  <si>
    <t>20IC0076</t>
  </si>
  <si>
    <t>G-062020-00844</t>
  </si>
  <si>
    <t>RFQ 0620-020</t>
  </si>
  <si>
    <t>20-06-013</t>
  </si>
  <si>
    <t>N-20-06-055</t>
  </si>
  <si>
    <t>100(01)20-05-007(K)</t>
  </si>
  <si>
    <t>276-20</t>
  </si>
  <si>
    <t>GF 2020-21</t>
  </si>
  <si>
    <t>2020-06-300-12</t>
  </si>
  <si>
    <t>277-20</t>
  </si>
  <si>
    <t>INFRA 2K20-41</t>
  </si>
  <si>
    <t>2020-19</t>
  </si>
  <si>
    <t>2020-Lamitan-25</t>
  </si>
  <si>
    <t>952</t>
  </si>
  <si>
    <t>C-046-2020</t>
  </si>
  <si>
    <t>20JI0108</t>
  </si>
  <si>
    <t>RBN2020-03-004</t>
  </si>
  <si>
    <t>SEF-I-44-2020</t>
  </si>
  <si>
    <t>111THCO-2020-06-041</t>
  </si>
  <si>
    <t>06082020-176</t>
  </si>
  <si>
    <t>LGU-TAN-INFRA-2020-069</t>
  </si>
  <si>
    <t>RQ 06-064</t>
  </si>
  <si>
    <t>100(01)20-06-311(A)</t>
  </si>
  <si>
    <t>211420</t>
  </si>
  <si>
    <t>2020-036</t>
  </si>
  <si>
    <t>951</t>
  </si>
  <si>
    <t>2020-06-301-13</t>
  </si>
  <si>
    <t>BCS-2020-0104</t>
  </si>
  <si>
    <t>20DB0134</t>
  </si>
  <si>
    <t>RFQ No. 74-2020-G (1 Canvass)</t>
  </si>
  <si>
    <t>ITB No. 2020-015</t>
  </si>
  <si>
    <t>ITB 2020-06-004</t>
  </si>
  <si>
    <t>GD31-2020</t>
  </si>
  <si>
    <t>20-06-014</t>
  </si>
  <si>
    <t>PACOL ELEMENTARY SCHOOL MOOE 2ND QUARTER 2020-2021</t>
  </si>
  <si>
    <t>TF-PB-036</t>
  </si>
  <si>
    <t>BCS-2020-0105</t>
  </si>
  <si>
    <t>RFQ 2020-117</t>
  </si>
  <si>
    <t>RFQ 2020-06-0105</t>
  </si>
  <si>
    <t>19-11-00624 (LATE POSTING)</t>
  </si>
  <si>
    <t>RFQ-PRN-2020-001 Procurement of Goods CatI–DRUGS &amp;</t>
  </si>
  <si>
    <t>279-20</t>
  </si>
  <si>
    <t>PR# 20-0735</t>
  </si>
  <si>
    <t>MG-PLM20-089</t>
  </si>
  <si>
    <t>RFQ No. 75-2020-G (1 Canvass)</t>
  </si>
  <si>
    <t>geps-2020-023</t>
  </si>
  <si>
    <t>C-051-2020</t>
  </si>
  <si>
    <t>ATI-RTC 2020-0030</t>
  </si>
  <si>
    <t>LS2-2020-22</t>
  </si>
  <si>
    <t>OE-20-01</t>
  </si>
  <si>
    <t>2020-06-01(PB)</t>
  </si>
  <si>
    <t>278-20</t>
  </si>
  <si>
    <t>GF 2020-22</t>
  </si>
  <si>
    <t>280-20</t>
  </si>
  <si>
    <t>AC-2020-05-001</t>
  </si>
  <si>
    <t>202006100001</t>
  </si>
  <si>
    <t>G-2020-202</t>
  </si>
  <si>
    <t>211422</t>
  </si>
  <si>
    <t>MG-PLM20-090</t>
  </si>
  <si>
    <t>281-20</t>
  </si>
  <si>
    <t>DTIRO0-2020-001</t>
  </si>
  <si>
    <t>Poblacion202001</t>
  </si>
  <si>
    <t>ITB 2020-06-005</t>
  </si>
  <si>
    <t>geps-2020-024</t>
  </si>
  <si>
    <t>PR No. :   2020 - 06 - 021</t>
  </si>
  <si>
    <t>khs-2020-003</t>
  </si>
  <si>
    <t>20-06-089</t>
  </si>
  <si>
    <t>RQ 06-063</t>
  </si>
  <si>
    <t>RFQ-PRN-2020-001 Proc of Goods CatII-Med/Lab Suppl</t>
  </si>
  <si>
    <t>MG-PLM20-091</t>
  </si>
  <si>
    <t>RFQ-GOODS-2020-064</t>
  </si>
  <si>
    <t>BCS-2020-0113</t>
  </si>
  <si>
    <t>RFQ No. 76-2020-G (1 Canvass)</t>
  </si>
  <si>
    <t>ITB 2020-06-006</t>
  </si>
  <si>
    <t>2020-06-02(PB)</t>
  </si>
  <si>
    <t>2020-20</t>
  </si>
  <si>
    <t>211424</t>
  </si>
  <si>
    <t>NV 2020-033</t>
  </si>
  <si>
    <t>2020-06-302-14</t>
  </si>
  <si>
    <t>PR# 20-0730</t>
  </si>
  <si>
    <t>geps-2020-025</t>
  </si>
  <si>
    <t>DA7-2020-06-SAAD-20-1979</t>
  </si>
  <si>
    <t>PR No.: 2020-06-0246</t>
  </si>
  <si>
    <t>geps-2020-027</t>
  </si>
  <si>
    <t>ITB-2020-PR0903</t>
  </si>
  <si>
    <t>G-062020-00842</t>
  </si>
  <si>
    <t>NV 2020-034</t>
  </si>
  <si>
    <t>2020-06-303-15</t>
  </si>
  <si>
    <t>geps-2020-026</t>
  </si>
  <si>
    <t>RFQ No. 77-2020-G (1 Canvass)</t>
  </si>
  <si>
    <t>20010616</t>
  </si>
  <si>
    <t>20CB-GSC-313 PURCHASE OF SPARE PARTS FOR HINO EQUI</t>
  </si>
  <si>
    <t>211423</t>
  </si>
  <si>
    <t>DM-BAC-2020-0031</t>
  </si>
  <si>
    <t>100-7611-20-326</t>
  </si>
  <si>
    <t>202006100002</t>
  </si>
  <si>
    <t>20021734</t>
  </si>
  <si>
    <t>20CB-GSC-314 PURCHASE OF SPARE PARTS FOR VOLVO EQU</t>
  </si>
  <si>
    <t>geps-2020-028</t>
  </si>
  <si>
    <t>20PA0131</t>
  </si>
  <si>
    <t>20200602</t>
  </si>
  <si>
    <t>ATI-RTC 2020-0031</t>
  </si>
  <si>
    <t>2020-06-045</t>
  </si>
  <si>
    <t>RFQ-GOODS-2020-065</t>
  </si>
  <si>
    <t>0020-0159-0927-2020</t>
  </si>
  <si>
    <t>201496</t>
  </si>
  <si>
    <t>GFG-2020-05-016NP</t>
  </si>
  <si>
    <t>20GKG0027</t>
  </si>
  <si>
    <t>20021637</t>
  </si>
  <si>
    <t>Poblacion202002</t>
  </si>
  <si>
    <t>R.I.S. No.: 20-83-102</t>
  </si>
  <si>
    <t>20LA0337</t>
  </si>
  <si>
    <t>NV 2020-035</t>
  </si>
  <si>
    <t>2020-06-0061</t>
  </si>
  <si>
    <t>2020-06-03(PB)</t>
  </si>
  <si>
    <t>IT-20-06-001</t>
  </si>
  <si>
    <t>BXU-2020-26</t>
  </si>
  <si>
    <t>P.R. No. X2-20-03-181</t>
  </si>
  <si>
    <t>2020-0019</t>
  </si>
  <si>
    <t>201464</t>
  </si>
  <si>
    <t>DENR XII-SP-22-2020</t>
  </si>
  <si>
    <t>RFQ-GOODS-2020-066</t>
  </si>
  <si>
    <t>2020-06-046</t>
  </si>
  <si>
    <t>VMC-2020-062</t>
  </si>
  <si>
    <t>PR No. 2020-03-000025</t>
  </si>
  <si>
    <t>ITB 20-070</t>
  </si>
  <si>
    <t>20GB00019</t>
  </si>
  <si>
    <t>211425</t>
  </si>
  <si>
    <t>0431</t>
  </si>
  <si>
    <t>TF-PB-037</t>
  </si>
  <si>
    <t>211426</t>
  </si>
  <si>
    <t>RFQ No. 0780-20</t>
  </si>
  <si>
    <t>Bid No. 20-0271</t>
  </si>
  <si>
    <t>20LA0338</t>
  </si>
  <si>
    <t>RQ 06-060</t>
  </si>
  <si>
    <t>DRO12-059-2020</t>
  </si>
  <si>
    <t>RFQ-GOODS-2020-067</t>
  </si>
  <si>
    <t>062320-01B</t>
  </si>
  <si>
    <t>201553</t>
  </si>
  <si>
    <t>2020-06-0181-NMSF</t>
  </si>
  <si>
    <t>PBI-2020-23</t>
  </si>
  <si>
    <t>DM-BAC-2020-0032</t>
  </si>
  <si>
    <t>100-9998-20-214</t>
  </si>
  <si>
    <t>216136</t>
  </si>
  <si>
    <t>SEC PB No. 2020-013</t>
  </si>
  <si>
    <t>P.R 2020-02-030</t>
  </si>
  <si>
    <t>200774</t>
  </si>
  <si>
    <t>R.I.S. No.: 20-52-009</t>
  </si>
  <si>
    <t>BCS-2020-0106</t>
  </si>
  <si>
    <t>20-05-1393</t>
  </si>
  <si>
    <t>20CSAJ03</t>
  </si>
  <si>
    <t>RFQ No. 0777-20</t>
  </si>
  <si>
    <t>PR#20-06080212</t>
  </si>
  <si>
    <t>2020-84</t>
  </si>
  <si>
    <t>RFQ-PRN-2020-001 Proc of Goods CatIII PRINTED FORM</t>
  </si>
  <si>
    <t>20LA0339</t>
  </si>
  <si>
    <t>2020-04-20-B</t>
  </si>
  <si>
    <t>RFQ-GOODS-2020-068</t>
  </si>
  <si>
    <t>20GBD0024</t>
  </si>
  <si>
    <t>RFQ-GOODS-2020-069</t>
  </si>
  <si>
    <t>20LA0340</t>
  </si>
  <si>
    <t>BXU-2020-27</t>
  </si>
  <si>
    <t>20-0105</t>
  </si>
  <si>
    <t>BCS-2020-0107</t>
  </si>
  <si>
    <t>2020-05-154</t>
  </si>
  <si>
    <t>201558</t>
  </si>
  <si>
    <t>LGA-PhilGEPS 2020-06-036</t>
  </si>
  <si>
    <t>2020-06-04(PB)</t>
  </si>
  <si>
    <t>2020-04-15</t>
  </si>
  <si>
    <t>JGE2020-015</t>
  </si>
  <si>
    <t>20-06-088</t>
  </si>
  <si>
    <t>2020-IG-020</t>
  </si>
  <si>
    <t>RFQ-PRN-2020-001 Proc of Goods CatIV-OTHER COMMODI</t>
  </si>
  <si>
    <t>P.R. No. X7-20-02-047</t>
  </si>
  <si>
    <t>2020-06-047</t>
  </si>
  <si>
    <t>G-062020-00845</t>
  </si>
  <si>
    <t>IB-2020-VI-30-01- RE-EGENTS (DIAGNOSTIC LABORATORY</t>
  </si>
  <si>
    <t>202006100003</t>
  </si>
  <si>
    <t>BCS-2020-0108</t>
  </si>
  <si>
    <t>TESDA-MPLTP 2020 06-014</t>
  </si>
  <si>
    <t>2020-096</t>
  </si>
  <si>
    <t>20LA0341</t>
  </si>
  <si>
    <t>RFQ2020-012</t>
  </si>
  <si>
    <t>UPB-BID-2020-04A</t>
  </si>
  <si>
    <t>20GME0043</t>
  </si>
  <si>
    <t>P.R. No. X7-20-02-124</t>
  </si>
  <si>
    <t>0020-0160-0937-2020</t>
  </si>
  <si>
    <t>201565</t>
  </si>
  <si>
    <t>Bid No. 20-0272</t>
  </si>
  <si>
    <t>BCS-2020-0109</t>
  </si>
  <si>
    <t>4411-20-02-005</t>
  </si>
  <si>
    <t>2020-06-048</t>
  </si>
  <si>
    <t>DA7-2020-06-ILD-CF-20-2299</t>
  </si>
  <si>
    <t>201396</t>
  </si>
  <si>
    <t>JGE2020-016</t>
  </si>
  <si>
    <t>SHOPPING-2020-013</t>
  </si>
  <si>
    <t>ITB No. 2020-011</t>
  </si>
  <si>
    <t>RFQ 2020-06-0106</t>
  </si>
  <si>
    <t>2020-21</t>
  </si>
  <si>
    <t>BCS-2020-0110</t>
  </si>
  <si>
    <t>NMF GOODS 2020-04</t>
  </si>
  <si>
    <t>2020-03-14</t>
  </si>
  <si>
    <t>2020-06-049</t>
  </si>
  <si>
    <t>B-82-2020</t>
  </si>
  <si>
    <t>GO-20-06-039</t>
  </si>
  <si>
    <t>2020-06-0111</t>
  </si>
  <si>
    <t>20NA0073 (CLUSTER)</t>
  </si>
  <si>
    <t>2020-06-05(PB)</t>
  </si>
  <si>
    <t>062320-04</t>
  </si>
  <si>
    <t>BCS-2020-0111</t>
  </si>
  <si>
    <t>896-20</t>
  </si>
  <si>
    <t>201345</t>
  </si>
  <si>
    <t>MWD-PR-0520-020</t>
  </si>
  <si>
    <t>ICRFQ06102020A</t>
  </si>
  <si>
    <t>062320-5</t>
  </si>
  <si>
    <t>103-06-2020</t>
  </si>
  <si>
    <t>NMF GOODS 2020-05</t>
  </si>
  <si>
    <t>20113</t>
  </si>
  <si>
    <t>B-ITB-2020-001</t>
  </si>
  <si>
    <t>0020-0159-0927A2020</t>
  </si>
  <si>
    <t>P.R. No. X7-20-02-091</t>
  </si>
  <si>
    <t>RFQ-2020-167</t>
  </si>
  <si>
    <t>201576</t>
  </si>
  <si>
    <t>104-06-2020</t>
  </si>
  <si>
    <t>BCS-2020-0112</t>
  </si>
  <si>
    <t>ITB 2020-055</t>
  </si>
  <si>
    <t>MG-A5M20-103</t>
  </si>
  <si>
    <t>JGE2020-017</t>
  </si>
  <si>
    <t>2020-124</t>
  </si>
  <si>
    <t>burgos-2020-143-043</t>
  </si>
  <si>
    <t>NMF INFRA 2020-24</t>
  </si>
  <si>
    <t>MWD-PR-0620-023</t>
  </si>
  <si>
    <t>burgos-2020-144-044</t>
  </si>
  <si>
    <t>20-043</t>
  </si>
  <si>
    <t>NUB-20-06-0449</t>
  </si>
  <si>
    <t>RFQ2020-02-131-MTPB-MAO</t>
  </si>
  <si>
    <t>SEC PB No. 2020-014</t>
  </si>
  <si>
    <t>RFQ-2020-06-025</t>
  </si>
  <si>
    <t>20054</t>
  </si>
  <si>
    <t>2020-125</t>
  </si>
  <si>
    <t>20017</t>
  </si>
  <si>
    <t>20GKG0028</t>
  </si>
  <si>
    <t>RFQ No. 79-2020-G (1 Canvass)</t>
  </si>
  <si>
    <t>NMF INFRA 2020-25</t>
  </si>
  <si>
    <t>bcwd-2020-056</t>
  </si>
  <si>
    <t>GO-20-06-040</t>
  </si>
  <si>
    <t>RFQ No. 80-2020-G (1 Canvass)</t>
  </si>
  <si>
    <t>2020-03-13</t>
  </si>
  <si>
    <t>JGE2020-018</t>
  </si>
  <si>
    <t>P.R. No. X7-20-04-190</t>
  </si>
  <si>
    <t>2020-06-048RFQ</t>
  </si>
  <si>
    <t>20201006</t>
  </si>
  <si>
    <t>burgos-2020-146-046</t>
  </si>
  <si>
    <t>burgos-2020-145-045</t>
  </si>
  <si>
    <t>GF 20003</t>
  </si>
  <si>
    <t>20094</t>
  </si>
  <si>
    <t>TF-PB-038</t>
  </si>
  <si>
    <t>20-06-0124</t>
  </si>
  <si>
    <t>2020-06-318</t>
  </si>
  <si>
    <t>N-123-2020</t>
  </si>
  <si>
    <t>20BA0054</t>
  </si>
  <si>
    <t>2020-02-0384-MAIN</t>
  </si>
  <si>
    <t>Sta. Barbara202001</t>
  </si>
  <si>
    <t>MWD-PR-0620-024</t>
  </si>
  <si>
    <t>JGE2020-019</t>
  </si>
  <si>
    <t>SVP No. 2020-028</t>
  </si>
  <si>
    <t>20076</t>
  </si>
  <si>
    <t>20-06-0126</t>
  </si>
  <si>
    <t>GF 20025</t>
  </si>
  <si>
    <t>2020-05-074a</t>
  </si>
  <si>
    <t>ITB 2020-056</t>
  </si>
  <si>
    <t>SV-0711-2020</t>
  </si>
  <si>
    <t>19018</t>
  </si>
  <si>
    <t>GF 20017</t>
  </si>
  <si>
    <t>INFRA 2K20-46</t>
  </si>
  <si>
    <t>1133-1135-20BAC</t>
  </si>
  <si>
    <t>DA7-2020-06-ILD-CF-20-2300</t>
  </si>
  <si>
    <t>n-113-2020</t>
  </si>
  <si>
    <t>P.R 2020-02-005</t>
  </si>
  <si>
    <t>20-06-0125</t>
  </si>
  <si>
    <t>ITB No. 2020-I-01-01</t>
  </si>
  <si>
    <t>COB-CS-149-20</t>
  </si>
  <si>
    <t>P.R. No. X7-20-04-191</t>
  </si>
  <si>
    <t>2020-02-0293-MAIN</t>
  </si>
  <si>
    <t>GF 20002</t>
  </si>
  <si>
    <t>PR#2020-06-077</t>
  </si>
  <si>
    <t>MZSP-2020-042</t>
  </si>
  <si>
    <t>COB-CS-151-20</t>
  </si>
  <si>
    <t>1011-20-06-09</t>
  </si>
  <si>
    <t>20-06-090</t>
  </si>
  <si>
    <t>JGE2020-020</t>
  </si>
  <si>
    <t>ITB 2020-06-007</t>
  </si>
  <si>
    <t>20073</t>
  </si>
  <si>
    <t>2020-JUNE-010</t>
  </si>
  <si>
    <t>SVP No. 2020-036</t>
  </si>
  <si>
    <t>300-20-04-0430</t>
  </si>
  <si>
    <t>GO-20-06-041</t>
  </si>
  <si>
    <t>SV-0719-2020</t>
  </si>
  <si>
    <t>TF-PB-039</t>
  </si>
  <si>
    <t>2020-06-060</t>
  </si>
  <si>
    <t>F501-CS-152-20</t>
  </si>
  <si>
    <t>CA-20-06-29</t>
  </si>
  <si>
    <t>20108</t>
  </si>
  <si>
    <t>IB NO. 2020-041-A</t>
  </si>
  <si>
    <t>Sta. Barbara202002</t>
  </si>
  <si>
    <t>SVP No. 2020-037</t>
  </si>
  <si>
    <t>IB-2020-VI-30-02-CONSTRUCTION MATERIALS (TORDESILL</t>
  </si>
  <si>
    <t>PNPTR-AKG-DP-20-03</t>
  </si>
  <si>
    <t>GF 20029</t>
  </si>
  <si>
    <t>ATI-RTC 2020-0032</t>
  </si>
  <si>
    <t>N-111-2020</t>
  </si>
  <si>
    <t>ITB No. 2020-I-P2-01</t>
  </si>
  <si>
    <t>SEF 20002</t>
  </si>
  <si>
    <t>P.R. No. X7-20-03-184</t>
  </si>
  <si>
    <t>DA7-2020-ILD-CF-20-2301</t>
  </si>
  <si>
    <t>GF 20028</t>
  </si>
  <si>
    <t>2020-02-0192-MAIN</t>
  </si>
  <si>
    <t>ITB 2020-06-008</t>
  </si>
  <si>
    <t>2020-06-0173</t>
  </si>
  <si>
    <t>2020-06-412</t>
  </si>
  <si>
    <t>IB-2020-VI-30-04 TRAFFIC SIGN WITH STAND (SITMO)</t>
  </si>
  <si>
    <t>GF 20047</t>
  </si>
  <si>
    <t>INFRA 2K20-49</t>
  </si>
  <si>
    <t>2020-31</t>
  </si>
  <si>
    <t>2020-0022</t>
  </si>
  <si>
    <t>20052</t>
  </si>
  <si>
    <t>BOD20-084</t>
  </si>
  <si>
    <t>n-116-2020</t>
  </si>
  <si>
    <t>F501-CS-154-20</t>
  </si>
  <si>
    <t>GOODS-20-27</t>
  </si>
  <si>
    <t>N-40-2020</t>
  </si>
  <si>
    <t>20NA0072</t>
  </si>
  <si>
    <t>GF 20015</t>
  </si>
  <si>
    <t>F501-CS-153-20</t>
  </si>
  <si>
    <t>2020-02-0190-MAIN</t>
  </si>
  <si>
    <t>PR Nos. 1000031284, 1000031790</t>
  </si>
  <si>
    <t>P.R. No. X11-19-11-609</t>
  </si>
  <si>
    <t>ITB No. 2020-I-P3-01</t>
  </si>
  <si>
    <t>ITB No. 2020-I-P4-01</t>
  </si>
  <si>
    <t>BAC-GS-011-2020</t>
  </si>
  <si>
    <t>GF 20019</t>
  </si>
  <si>
    <t>J3-20-1389</t>
  </si>
  <si>
    <t>ITB 20-071</t>
  </si>
  <si>
    <t>419-06-2020 (PDRRMO)</t>
  </si>
  <si>
    <t>ITB 2020-06-009</t>
  </si>
  <si>
    <t>IB-2020-VI-30-05 CONSTRUCTION OF BRGY HEALTH STATI</t>
  </si>
  <si>
    <t>SB1 2019-31</t>
  </si>
  <si>
    <t>SVP 2020-029</t>
  </si>
  <si>
    <t>P.R  2020-02-084</t>
  </si>
  <si>
    <t>20PG0061</t>
  </si>
  <si>
    <t>20072</t>
  </si>
  <si>
    <t>RFQ 724 Ipratropium + Salbutamol Resp. Soln.: 500m</t>
  </si>
  <si>
    <t>SV-0722-2020</t>
  </si>
  <si>
    <t>2020-06-058</t>
  </si>
  <si>
    <t>SV-2020-037</t>
  </si>
  <si>
    <t>2020-308</t>
  </si>
  <si>
    <t>2020-03-002</t>
  </si>
  <si>
    <t>REF #041-06-2020</t>
  </si>
  <si>
    <t>2020-06-0441 PPD-NHTU</t>
  </si>
  <si>
    <t>P-0597</t>
  </si>
  <si>
    <t>GF 20036</t>
  </si>
  <si>
    <t>Bid No. 20-0273</t>
  </si>
  <si>
    <t>2OCB-GSC-315 PURCHASE OF DESKTOP COMPUTERS (RE-BID</t>
  </si>
  <si>
    <t>RFQ - PR No. 2020-06-0106 dated 6-9-20</t>
  </si>
  <si>
    <t>N-118-2020</t>
  </si>
  <si>
    <t>20OI0121</t>
  </si>
  <si>
    <t>LGU-Las Navas:001-06-2020</t>
  </si>
  <si>
    <t>37</t>
  </si>
  <si>
    <t>NDA-20-06-064-SM</t>
  </si>
  <si>
    <t>2020-157</t>
  </si>
  <si>
    <t>20NA0074</t>
  </si>
  <si>
    <t>ITB 2020-06-010</t>
  </si>
  <si>
    <t>HMD-2020-03-0211</t>
  </si>
  <si>
    <t>IB-2020-VI-30-07 CONSTRUCTIONNOF BARANGAY HEALTH S</t>
  </si>
  <si>
    <t>20-06-091</t>
  </si>
  <si>
    <t>PNPTR-DL-DP-20-04</t>
  </si>
  <si>
    <t>PR# 020-0172</t>
  </si>
  <si>
    <t>2020-309</t>
  </si>
  <si>
    <t>n-108-2020</t>
  </si>
  <si>
    <t>RFQ - PR No. 2020-06-0111 dated 6-9-20</t>
  </si>
  <si>
    <t>2020-99</t>
  </si>
  <si>
    <t>P-0599</t>
  </si>
  <si>
    <t>WPU-2020-010</t>
  </si>
  <si>
    <t>IB-2020-VI-30-07-CONSTRUCTION OF BARANGAY HEALTH S</t>
  </si>
  <si>
    <t>IBTGH 2020-005</t>
  </si>
  <si>
    <t>20PG0062</t>
  </si>
  <si>
    <t>ADS-1365-20</t>
  </si>
  <si>
    <t>INFRA 2K20-50</t>
  </si>
  <si>
    <t>202006001</t>
  </si>
  <si>
    <t>20-06-294</t>
  </si>
  <si>
    <t>DA7-2020-06-ILD-CF-20-2302</t>
  </si>
  <si>
    <t>SV-0713-2020</t>
  </si>
  <si>
    <t>1171130007</t>
  </si>
  <si>
    <t>039-2020</t>
  </si>
  <si>
    <t>PR NO. 004-06-20</t>
  </si>
  <si>
    <t>ITB No. 2020-G-03-02</t>
  </si>
  <si>
    <t>DARFO2.CVRC.115.REC.2020-06-558.00</t>
  </si>
  <si>
    <t>20OI0122</t>
  </si>
  <si>
    <t>2020-02-023(05206441)</t>
  </si>
  <si>
    <t>RFQ 2020-AS-05-017</t>
  </si>
  <si>
    <t>P-0600</t>
  </si>
  <si>
    <t>202006002</t>
  </si>
  <si>
    <t>2020-0086</t>
  </si>
  <si>
    <t>SVP 20-0077-A</t>
  </si>
  <si>
    <t>n-112-2020</t>
  </si>
  <si>
    <t>2020-06-269</t>
  </si>
  <si>
    <t>DA3-2020-06-08-92</t>
  </si>
  <si>
    <t>SVP 20-0278</t>
  </si>
  <si>
    <t>cav 009-2020</t>
  </si>
  <si>
    <t>20-05-203 &amp; etc.</t>
  </si>
  <si>
    <t>n-117-2020</t>
  </si>
  <si>
    <t>2020-06-059</t>
  </si>
  <si>
    <t>N-120-2020</t>
  </si>
  <si>
    <t>20GGM0011</t>
  </si>
  <si>
    <t>2020-06-0442 PPD-NHTU</t>
  </si>
  <si>
    <t>201518</t>
  </si>
  <si>
    <t>ITB-2020-JDL-005 Re-Bid</t>
  </si>
  <si>
    <t>SVP 20-0280</t>
  </si>
  <si>
    <t>SM 20-0281</t>
  </si>
  <si>
    <t>DA7-2020-06-ILD-CF-20-2303</t>
  </si>
  <si>
    <t>20BA0056</t>
  </si>
  <si>
    <t>202006113</t>
  </si>
  <si>
    <t>202006112</t>
  </si>
  <si>
    <t>SVP 20-0282</t>
  </si>
  <si>
    <t>100-20-06-323</t>
  </si>
  <si>
    <t>20-06-093</t>
  </si>
  <si>
    <t>20CB-GSC-316 PURCHASE OF SPARE PARTS FOR MOTOR VEH</t>
  </si>
  <si>
    <t>LGU-Las Navas:002-06-2020</t>
  </si>
  <si>
    <t>IB-2020-VI-30-08 CONSTRUCTION BARANGAY HEALTH STAT</t>
  </si>
  <si>
    <t>PRDP-PSO-Admin-2020-03-016 (AF)</t>
  </si>
  <si>
    <t>ITB No.005.June 9,2020.GSO.LGU.Lugait</t>
  </si>
  <si>
    <t>2020-06-003DN</t>
  </si>
  <si>
    <t>2020-04-0360 PPD-RICTMU</t>
  </si>
  <si>
    <t>m12020-002</t>
  </si>
  <si>
    <t>SVP 20-0283</t>
  </si>
  <si>
    <t>PENROSOR-MOTORCYCLE-2020-007</t>
  </si>
  <si>
    <t>06-21-20</t>
  </si>
  <si>
    <t>2020-GS-021-A</t>
  </si>
  <si>
    <t>19-11-1126 Re-bid</t>
  </si>
  <si>
    <t>BAC 06/10/20-01</t>
  </si>
  <si>
    <t>2020-RFQ-016</t>
  </si>
  <si>
    <t>101-20-05-426</t>
  </si>
  <si>
    <t>ITB-Goods-2020-06-036</t>
  </si>
  <si>
    <t>202006114</t>
  </si>
  <si>
    <t>N-106-2020</t>
  </si>
  <si>
    <t>B15-1</t>
  </si>
  <si>
    <t>DA7-2020-06-ILD-CF-20-2305</t>
  </si>
  <si>
    <t>n-109-2020</t>
  </si>
  <si>
    <t>TFB-2020-004Recanvass (BAC EP 2020-003)</t>
  </si>
  <si>
    <t>06-22-20</t>
  </si>
  <si>
    <t>ITB 2020 - 076</t>
  </si>
  <si>
    <t>CRPIP-2020-05-061</t>
  </si>
  <si>
    <t>Jiab-2020-20A</t>
  </si>
  <si>
    <t>IB-2020-VI-30-10 CONSTRUCTION MATERIALS (EGANA &amp; S</t>
  </si>
  <si>
    <t>ITB No.006.June 9,2020.GSO.LGU.Lugait</t>
  </si>
  <si>
    <t>TFB-2020-003Recanvass (BAC EP 2020-001)</t>
  </si>
  <si>
    <t>ITB 2020 - 077</t>
  </si>
  <si>
    <t>20-03-0161</t>
  </si>
  <si>
    <t>PR 1000033000</t>
  </si>
  <si>
    <t>LGU-Las Navas:003-06-2020</t>
  </si>
  <si>
    <t>01062020</t>
  </si>
  <si>
    <t>PR0066-20 DOPHGG</t>
  </si>
  <si>
    <t>INFRA 2020-03-001</t>
  </si>
  <si>
    <t>202006C</t>
  </si>
  <si>
    <t>328-2020</t>
  </si>
  <si>
    <t>BAC 06/10/20-02</t>
  </si>
  <si>
    <t>02062020</t>
  </si>
  <si>
    <t>202006041</t>
  </si>
  <si>
    <t>PR-ITDS05-20-02-00006</t>
  </si>
  <si>
    <t>20PA0132</t>
  </si>
  <si>
    <t>2020-0087</t>
  </si>
  <si>
    <t>RFQ-17-2020</t>
  </si>
  <si>
    <t>Invitation to Bid 20-33</t>
  </si>
  <si>
    <t>NIA-NOIMO-JO-2020-06-0154</t>
  </si>
  <si>
    <t>ITB-KOR: 20-06-0675 CMO</t>
  </si>
  <si>
    <t>200-2020-03-003</t>
  </si>
  <si>
    <t>B15-2</t>
  </si>
  <si>
    <t>m12020-03</t>
  </si>
  <si>
    <t>TFB-2020-005 (BAC EP 2020-001)</t>
  </si>
  <si>
    <t>PR-NCS01-20-03-00021</t>
  </si>
  <si>
    <t>ITB 2020-06</t>
  </si>
  <si>
    <t>Calaca 2020-048</t>
  </si>
  <si>
    <t>PR 20-06-0234</t>
  </si>
  <si>
    <t>BOD20-085</t>
  </si>
  <si>
    <t>PR0093-20 PGO</t>
  </si>
  <si>
    <t>202001</t>
  </si>
  <si>
    <t>04062020</t>
  </si>
  <si>
    <t>CA-20-06-30</t>
  </si>
  <si>
    <t>cav 010-2020</t>
  </si>
  <si>
    <t>016-ECE20</t>
  </si>
  <si>
    <t>RFQ-1</t>
  </si>
  <si>
    <t>PR-ITDS02-20-06-00010</t>
  </si>
  <si>
    <t>015-ECE20</t>
  </si>
  <si>
    <t>ITB-KOR: 20-06-0676 CMO</t>
  </si>
  <si>
    <t>CA-20-06-31</t>
  </si>
  <si>
    <t>20PA0133</t>
  </si>
  <si>
    <t>ITB PR No.: 0770-20BAC</t>
  </si>
  <si>
    <t>PR NO. 005-06-20</t>
  </si>
  <si>
    <t>100-20-06-295</t>
  </si>
  <si>
    <t>06062020</t>
  </si>
  <si>
    <t>PR0095-20 PGO</t>
  </si>
  <si>
    <t>PR0094-20 PGO</t>
  </si>
  <si>
    <t>IAEB 217-20</t>
  </si>
  <si>
    <t>20GGJ0050</t>
  </si>
  <si>
    <t>Calaca 2020-049</t>
  </si>
  <si>
    <t>CID No. 19IO0159</t>
  </si>
  <si>
    <t>ATI-RTC 2020-0033</t>
  </si>
  <si>
    <t>IAEB 218-20</t>
  </si>
  <si>
    <t>PR-ITDS02-20-06-00008</t>
  </si>
  <si>
    <t>PB 2020-10</t>
  </si>
  <si>
    <t>P.R. 20-06-151</t>
  </si>
  <si>
    <t>ITB PR No.: 0816-20BAC</t>
  </si>
  <si>
    <t>Jiab-2020-21A</t>
  </si>
  <si>
    <t>PR-ITDS02-20-06-00009</t>
  </si>
  <si>
    <t>Calaca 2020-050</t>
  </si>
  <si>
    <t>20GHF0006</t>
  </si>
  <si>
    <t>ITB PR No.: 0852-20BAC</t>
  </si>
  <si>
    <t>ITB-KOR: 20-06-0673 PNP</t>
  </si>
  <si>
    <t>PR-ITDS02-20-06-00011</t>
  </si>
  <si>
    <t>100-20-05-285</t>
  </si>
  <si>
    <t>Publication No. 28-2020-G</t>
  </si>
  <si>
    <t>Publication No. 30-2020-G</t>
  </si>
  <si>
    <t>08062020</t>
  </si>
  <si>
    <t>202006D</t>
  </si>
  <si>
    <t>2020-70</t>
  </si>
  <si>
    <t>SERV-20-06-024</t>
  </si>
  <si>
    <t>2020-69</t>
  </si>
  <si>
    <t>05062020</t>
  </si>
  <si>
    <t>PR0005-20 PAGRO</t>
  </si>
  <si>
    <t>PSD-2020-06-0187</t>
  </si>
  <si>
    <t>07062020</t>
  </si>
  <si>
    <t>sal-2020-003</t>
  </si>
  <si>
    <t>P.R. No. X11-20-02-084</t>
  </si>
  <si>
    <t>ITB PR No.: 0854-20BAC</t>
  </si>
  <si>
    <t>Publication No. 29-2020-G</t>
  </si>
  <si>
    <t>PR0097-20 PGO</t>
  </si>
  <si>
    <t>ITB PR No.: 0853-20BAC</t>
  </si>
  <si>
    <t>DSWD 4B 2020-03-0448</t>
  </si>
  <si>
    <t>ITB-KOR: 20-06-0674 CMO</t>
  </si>
  <si>
    <t>ITB PR 0224</t>
  </si>
  <si>
    <t>Publication No. 31-2020-G</t>
  </si>
  <si>
    <t>PR-SSSS01-20-06-00007</t>
  </si>
  <si>
    <t>ITB-KOR: 20-06-0677 CSU</t>
  </si>
  <si>
    <t>PR0031-20 IPHO</t>
  </si>
  <si>
    <t>ITB-KOR: 20-06-0645 CENRO</t>
  </si>
  <si>
    <t>2020-738</t>
  </si>
  <si>
    <t>2020-739</t>
  </si>
  <si>
    <t>IB No. 2020-040</t>
  </si>
  <si>
    <t>09062020</t>
  </si>
  <si>
    <t>03062020</t>
  </si>
  <si>
    <t>Calaca 2020-051</t>
  </si>
  <si>
    <t>12062020</t>
  </si>
  <si>
    <t>BCNHS00141</t>
  </si>
  <si>
    <t>BAC-ZDN-No. 2020-005</t>
  </si>
  <si>
    <t>2020-71</t>
  </si>
  <si>
    <t>19CSOD26</t>
  </si>
  <si>
    <t>IB No. 2020-039</t>
  </si>
  <si>
    <t>11062020</t>
  </si>
  <si>
    <t>Publication No. 32-2020-G</t>
  </si>
  <si>
    <t>Calaca 2019-133</t>
  </si>
  <si>
    <t>2020-74</t>
  </si>
  <si>
    <t>I-2020-011</t>
  </si>
  <si>
    <t>13062020</t>
  </si>
  <si>
    <t>2020-75</t>
  </si>
  <si>
    <t>10062020</t>
  </si>
  <si>
    <t>15062020</t>
  </si>
  <si>
    <t>14062020</t>
  </si>
  <si>
    <t>2020-06-097</t>
  </si>
  <si>
    <t>CA-20-06-32</t>
  </si>
  <si>
    <t>2020-76</t>
  </si>
  <si>
    <t>G-2020-204</t>
  </si>
  <si>
    <t>I-2020-012</t>
  </si>
  <si>
    <t>HS-5020399000-069-2020</t>
  </si>
  <si>
    <t>19CSOD28</t>
  </si>
  <si>
    <t>2020-740</t>
  </si>
  <si>
    <t>18062020</t>
  </si>
  <si>
    <t>2020-77</t>
  </si>
  <si>
    <t>2020-03-004</t>
  </si>
  <si>
    <t>I-2020-013</t>
  </si>
  <si>
    <t>sj 2020 soe 010</t>
  </si>
  <si>
    <t>17062020</t>
  </si>
  <si>
    <t>20062020</t>
  </si>
  <si>
    <t>16062020</t>
  </si>
  <si>
    <t>19062020</t>
  </si>
  <si>
    <t>IB. NO. 2020-206</t>
  </si>
  <si>
    <t>22062020</t>
  </si>
  <si>
    <t>19CSOD27</t>
  </si>
  <si>
    <t>23062020</t>
  </si>
  <si>
    <t>19CSOD29</t>
  </si>
  <si>
    <t>21062020</t>
  </si>
  <si>
    <t>NTC-PB-2020-06-006</t>
  </si>
  <si>
    <t>HS-5020308000-070-2020</t>
  </si>
  <si>
    <t>19CSOD30</t>
  </si>
  <si>
    <t>PB 2020-06-08</t>
  </si>
  <si>
    <t>20-06-075</t>
  </si>
  <si>
    <t>HS-5021299000-043-2020</t>
  </si>
  <si>
    <t>PR20-06-44</t>
  </si>
  <si>
    <t>NTC-PB-2020-06-007</t>
  </si>
  <si>
    <t>19CSOD31</t>
  </si>
  <si>
    <t>244</t>
  </si>
  <si>
    <t>HS-5021299000-020-2020</t>
  </si>
  <si>
    <t>2006003</t>
  </si>
  <si>
    <t>ITB -2020-017</t>
  </si>
  <si>
    <t>NTC-PB-2020-06-009</t>
  </si>
  <si>
    <t>2006001</t>
  </si>
  <si>
    <t>FPR-20-040/021/019</t>
  </si>
  <si>
    <t>NTC-PB-2020-06-008</t>
  </si>
  <si>
    <t>19CSOD33</t>
  </si>
  <si>
    <t>2006002</t>
  </si>
  <si>
    <t>C-2020-01</t>
  </si>
  <si>
    <t>2020-1233</t>
  </si>
  <si>
    <t>19CSOD32</t>
  </si>
  <si>
    <t>DepEd-R06-D1-OTHER SUPPLIES-001-2020</t>
  </si>
  <si>
    <t>HS-5021299000-027-2020</t>
  </si>
  <si>
    <t>246</t>
  </si>
  <si>
    <t>PB-INFRA-05-2020</t>
  </si>
  <si>
    <t>PB-Goods-12-2020</t>
  </si>
  <si>
    <t>BAC-PB-2020-38</t>
  </si>
  <si>
    <t>2020-6-001</t>
  </si>
  <si>
    <t>PB-Goods-11-2020</t>
  </si>
  <si>
    <t>2020-06-10-175</t>
  </si>
  <si>
    <t>247</t>
  </si>
  <si>
    <t>20GFE0011</t>
  </si>
  <si>
    <t>K-020-011</t>
  </si>
  <si>
    <t>BCS-2020-0114</t>
  </si>
  <si>
    <t>245</t>
  </si>
  <si>
    <t>2020-0306</t>
  </si>
  <si>
    <t>Goods GF 03-2020</t>
  </si>
  <si>
    <t>BAC-PB-2020-39</t>
  </si>
  <si>
    <t>2020-78</t>
  </si>
  <si>
    <t>37-2020-02</t>
  </si>
  <si>
    <t>PF-0520-575</t>
  </si>
  <si>
    <t>K-020-012</t>
  </si>
  <si>
    <t>6/10/2020</t>
  </si>
  <si>
    <t>MG-A5M20-101</t>
  </si>
  <si>
    <t>ICR-20GEE0021</t>
  </si>
  <si>
    <t>BCS-2020-0115</t>
  </si>
  <si>
    <t>C-0520-116</t>
  </si>
  <si>
    <t>MG-A5M20-056</t>
  </si>
  <si>
    <t>K-020-014</t>
  </si>
  <si>
    <t>K-020-013</t>
  </si>
  <si>
    <t>2020-6-002</t>
  </si>
  <si>
    <t>19MC0244 (Re-Published)</t>
  </si>
  <si>
    <t>F-0520-120</t>
  </si>
  <si>
    <t>ICR-20GEE0022</t>
  </si>
  <si>
    <t>K-020-016</t>
  </si>
  <si>
    <t>CS20-011</t>
  </si>
  <si>
    <t>2020-0247</t>
  </si>
  <si>
    <t>MG-A5A20-003</t>
  </si>
  <si>
    <t>MKWD2020-047</t>
  </si>
  <si>
    <t>2020-6-004</t>
  </si>
  <si>
    <t>2020-6-003</t>
  </si>
  <si>
    <t>K-020-015</t>
  </si>
  <si>
    <t>2020-06-18</t>
  </si>
  <si>
    <t>20-03-011</t>
  </si>
  <si>
    <t>PIKCOT-002020-011</t>
  </si>
  <si>
    <t>PB-Goods-13-2020</t>
  </si>
  <si>
    <t>2020-0248</t>
  </si>
  <si>
    <t>RFQ2020-014</t>
  </si>
  <si>
    <t>05-06-2020</t>
  </si>
  <si>
    <t>N001-2020</t>
  </si>
  <si>
    <t>CS20-012</t>
  </si>
  <si>
    <t>CS20-014</t>
  </si>
  <si>
    <t>PB-Goods-14-2020</t>
  </si>
  <si>
    <t>2020-144-I</t>
  </si>
  <si>
    <t>CS20-013</t>
  </si>
  <si>
    <t>CS20-018</t>
  </si>
  <si>
    <t>CS20-016</t>
  </si>
  <si>
    <t>PIKCOT-002020-012</t>
  </si>
  <si>
    <t>CS20-015</t>
  </si>
  <si>
    <t>PBD 20-061A</t>
  </si>
  <si>
    <t>CS20-026</t>
  </si>
  <si>
    <t>CS20-025</t>
  </si>
  <si>
    <t>ESPERANZA-GDS-2020-06-10</t>
  </si>
  <si>
    <t>20-DO-0083</t>
  </si>
  <si>
    <t>20HI0072</t>
  </si>
  <si>
    <t>20HI0075</t>
  </si>
  <si>
    <t>PR NO. 006-06-20</t>
  </si>
  <si>
    <t>20HI0071</t>
  </si>
  <si>
    <t>PIKCOT-002020-013</t>
  </si>
  <si>
    <t>2020-143</t>
  </si>
  <si>
    <t>BrgyHitoog 2020 - 002</t>
  </si>
  <si>
    <t>BWWGEBAC #2020-004</t>
  </si>
  <si>
    <t>20HI0080</t>
  </si>
  <si>
    <t>20-237</t>
  </si>
  <si>
    <t>20-082</t>
  </si>
  <si>
    <t>2020-006-002</t>
  </si>
  <si>
    <t>gsis/npsvp-218-20</t>
  </si>
  <si>
    <t>PIKCOT-002020-015</t>
  </si>
  <si>
    <t>BrgyHitoog 2020 - 001</t>
  </si>
  <si>
    <t>PR NO. 009-06-20</t>
  </si>
  <si>
    <t>PIKCOT-002020-014</t>
  </si>
  <si>
    <t>2020-145-I</t>
  </si>
  <si>
    <t>20-044</t>
  </si>
  <si>
    <t>20-278</t>
  </si>
  <si>
    <t>IB_CivilWorks_2020-06-034</t>
  </si>
  <si>
    <t>PR NO. 008-06-20</t>
  </si>
  <si>
    <t>20-292</t>
  </si>
  <si>
    <t>PR NO. 007-06-20</t>
  </si>
  <si>
    <t>CS20-027</t>
  </si>
  <si>
    <t>GHS0004-2020</t>
  </si>
  <si>
    <t>2020-1a</t>
  </si>
  <si>
    <t>sdn-2020-06-033</t>
  </si>
  <si>
    <t>2020-6-2</t>
  </si>
  <si>
    <t>DA3-2020-04-29-81</t>
  </si>
  <si>
    <t>20-288</t>
  </si>
  <si>
    <t>GHS0003-2020</t>
  </si>
  <si>
    <t>gsis/npsvp-220-20</t>
  </si>
  <si>
    <t>2020-05-07A</t>
  </si>
  <si>
    <t>J.O. No. 2020-05-JO61</t>
  </si>
  <si>
    <t>ITB- 2020-06</t>
  </si>
  <si>
    <t>PR 2020-06-002</t>
  </si>
  <si>
    <t>BAC-HO GS No. 2020-0227 dated 26 May 2020 (SSD)</t>
  </si>
  <si>
    <t>2020-02-0037</t>
  </si>
  <si>
    <t>20-409</t>
  </si>
  <si>
    <t>042020662</t>
  </si>
  <si>
    <t>20-432</t>
  </si>
  <si>
    <t>INFRA-PB-2020-010</t>
  </si>
  <si>
    <t>EOI 2020-006</t>
  </si>
  <si>
    <t>INFRA-PB-2020-013</t>
  </si>
  <si>
    <t>INFRA-PB-2020-011</t>
  </si>
  <si>
    <t>INFRA-PB-2020-012</t>
  </si>
  <si>
    <t>INFRA-PB-2020-014</t>
  </si>
  <si>
    <t>519</t>
  </si>
  <si>
    <t>REI No. 2020-013</t>
  </si>
  <si>
    <t>2020-AP-06-19</t>
  </si>
  <si>
    <t>IB No. 2020-222</t>
  </si>
  <si>
    <t>2002-06-013</t>
  </si>
  <si>
    <t>MISC-2020-06-`106A</t>
  </si>
  <si>
    <t>RFQ-2020-009 SHS</t>
  </si>
  <si>
    <t>sdn-2020-06-032</t>
  </si>
  <si>
    <t>OE-2020-04-75/OE-2020-04-75A/IT-2020-06-107</t>
  </si>
  <si>
    <t>2020-227-003</t>
  </si>
  <si>
    <t>20CSA002</t>
  </si>
  <si>
    <t>2020-227-002</t>
  </si>
  <si>
    <t>2020-03-001</t>
  </si>
  <si>
    <t>2020-06.03</t>
  </si>
  <si>
    <t>AGR-20-0339-B Purchase of Office Furniture and Fix</t>
  </si>
  <si>
    <t>ALA-INFRA-C1</t>
  </si>
  <si>
    <t>INFRA-2020-006</t>
  </si>
  <si>
    <t>AGR20-0349-B Purchase of Agricultural Seeds &amp; Mate</t>
  </si>
  <si>
    <t>AGR-20-0581-B Purchase of Agricultural Seeds &amp; Sup</t>
  </si>
  <si>
    <t>PEN-20-0312-B</t>
  </si>
  <si>
    <t>IN-BAC-2020-06-057</t>
  </si>
  <si>
    <t>IN-BAC-2020-06-058</t>
  </si>
  <si>
    <t>20-1263</t>
  </si>
  <si>
    <t>20-1268</t>
  </si>
  <si>
    <t>20-0946</t>
  </si>
  <si>
    <t>20-1108</t>
  </si>
  <si>
    <t>2020-06.03.1</t>
  </si>
  <si>
    <t>PEN-20-0130-B</t>
  </si>
  <si>
    <t>INFRA_2020_REPAIR&amp;IMPROVEMENT_02</t>
  </si>
  <si>
    <t>PEN-20-0488-NP(SV)</t>
  </si>
  <si>
    <t>2020_GOODS_011</t>
  </si>
  <si>
    <t>06042020</t>
  </si>
  <si>
    <t>20GSDG0011</t>
  </si>
  <si>
    <t>19GPC0018</t>
  </si>
  <si>
    <t>2020-392-05 (02)</t>
  </si>
  <si>
    <t>20GSDG0013</t>
  </si>
  <si>
    <t>RFQ NO. 2020-06-039</t>
  </si>
  <si>
    <t>20GSDG0012</t>
  </si>
  <si>
    <t>20GSDG0014</t>
  </si>
  <si>
    <t>IB No. GS-2020 – 070</t>
  </si>
  <si>
    <t>AGR-20-0594-B Purchase of Construction Supplies an</t>
  </si>
  <si>
    <t>RFQ NO: 2020-06-040</t>
  </si>
  <si>
    <t>2020-01-051 Re-bid</t>
  </si>
  <si>
    <t>2020-391-05 (02)</t>
  </si>
  <si>
    <t>2020-285-03 (02)</t>
  </si>
  <si>
    <t>2020-404-05 (02)</t>
  </si>
  <si>
    <t>20-00042</t>
  </si>
  <si>
    <t>2020-467-06</t>
  </si>
  <si>
    <t>2020-368-04 (02)</t>
  </si>
  <si>
    <t>2020-463-05</t>
  </si>
  <si>
    <t>GAMOT 200-20-06-06111</t>
  </si>
  <si>
    <t>SUBM#2020 -06 - 11</t>
  </si>
  <si>
    <t>2020-427-05</t>
  </si>
  <si>
    <t>2020-1041</t>
  </si>
  <si>
    <t>2020-456-05</t>
  </si>
  <si>
    <t>20-013</t>
  </si>
  <si>
    <t>2020-436-05</t>
  </si>
  <si>
    <t>NPPH 200-20-05-05697</t>
  </si>
  <si>
    <t>msj-2020-17</t>
  </si>
  <si>
    <t>RIZAL-30JUNE2020-9</t>
  </si>
  <si>
    <t>2020-06-319</t>
  </si>
  <si>
    <t>RIZAL-30JUNE2020-8</t>
  </si>
  <si>
    <t>RIZAL-30JUNE2020-7</t>
  </si>
  <si>
    <t>RIZAL-30JUNE2020-5</t>
  </si>
  <si>
    <t>RIZAL-30JUNE2020-2</t>
  </si>
  <si>
    <t>RIZAL-30JUNE2020-3</t>
  </si>
  <si>
    <t>RIZAL-30JUNE2020-11</t>
  </si>
  <si>
    <t>2020-462-05</t>
  </si>
  <si>
    <t>RIZAL-30JUNE2020-4</t>
  </si>
  <si>
    <t>RIZAL-30JUNE2020-6</t>
  </si>
  <si>
    <t>2020-464-05</t>
  </si>
  <si>
    <t>RIZAL-30JUNE2020-12</t>
  </si>
  <si>
    <t>RIZAL-30JUNE2020-1</t>
  </si>
  <si>
    <t>RIZAL-30JUNE2020-14</t>
  </si>
  <si>
    <t>2020-461-05</t>
  </si>
  <si>
    <t>20-0901</t>
  </si>
  <si>
    <t>20-0898</t>
  </si>
  <si>
    <t>RIZAL-30JUNE2020-13</t>
  </si>
  <si>
    <t>PB-INT-2006-038</t>
  </si>
  <si>
    <t>MGPQ-RML-2020-06-002(2)</t>
  </si>
  <si>
    <t>RIZAL-30JUNE2020-24</t>
  </si>
  <si>
    <t>RIZAL-30JUNE2020-16</t>
  </si>
  <si>
    <t>RIZAL-30JUNE2020-15</t>
  </si>
  <si>
    <t>RIZAL-30JUNE2020-23</t>
  </si>
  <si>
    <t>RIZAL-30JUNE2020-20</t>
  </si>
  <si>
    <t>RIZAL-30JUNE2020-10</t>
  </si>
  <si>
    <t>RIZAL-30JUNE2020-22</t>
  </si>
  <si>
    <t>RIZAL-30JUNE2020-25</t>
  </si>
  <si>
    <t>RIZAL-30JUNE2020-21</t>
  </si>
  <si>
    <t>ISC-20-0546-B</t>
  </si>
  <si>
    <t>RIZAL-30JUNE2020-18</t>
  </si>
  <si>
    <t>2020-13-001</t>
  </si>
  <si>
    <t>RIZAL-30JUNE2020-19</t>
  </si>
  <si>
    <t>PR 2020-05-18-092</t>
  </si>
  <si>
    <t>200028</t>
  </si>
  <si>
    <t>ECV-20GEE0020</t>
  </si>
  <si>
    <t>MIWD</t>
  </si>
  <si>
    <t>RIZAL-30JUNE2020-17</t>
  </si>
  <si>
    <t>05202005</t>
  </si>
  <si>
    <t>PB-INT-2006-037</t>
  </si>
  <si>
    <t>PPDO-2020-1023</t>
  </si>
  <si>
    <t>2020-06-260</t>
  </si>
  <si>
    <t>COO-20-0650-B</t>
  </si>
  <si>
    <t>20-03-00177</t>
  </si>
  <si>
    <t>2020-05-278</t>
  </si>
  <si>
    <t>RFQ NO. 2020-06-041</t>
  </si>
  <si>
    <t>20-03-00221</t>
  </si>
  <si>
    <t>20-02-00139</t>
  </si>
  <si>
    <t>517-2020</t>
  </si>
  <si>
    <t>20CSHN05</t>
  </si>
  <si>
    <t>2020-04-0150</t>
  </si>
  <si>
    <t>512-2020</t>
  </si>
  <si>
    <t>20-0589-A</t>
  </si>
  <si>
    <t>20CSHN04</t>
  </si>
  <si>
    <t>20CSHN06</t>
  </si>
  <si>
    <t>SC37 19-011</t>
  </si>
  <si>
    <t>2020-06-311</t>
  </si>
  <si>
    <t>20CSHN03</t>
  </si>
  <si>
    <t>2020-06-310</t>
  </si>
  <si>
    <t>20GGM0010</t>
  </si>
  <si>
    <t>20CSHN07</t>
  </si>
  <si>
    <t>PL2020-06-001</t>
  </si>
  <si>
    <t>Binmisor 022-2020</t>
  </si>
  <si>
    <t>PB2020-06-001</t>
  </si>
  <si>
    <t>2020-002g</t>
  </si>
  <si>
    <t>ITB No. GOODS-20-104</t>
  </si>
  <si>
    <t>CLI-20-0355-B</t>
  </si>
  <si>
    <t>ITB No. GOODS-20-107</t>
  </si>
  <si>
    <t>ITB No. GOODS-20-103</t>
  </si>
  <si>
    <t>ITB No. GOODS-20-105</t>
  </si>
  <si>
    <t xml:space="preserve">AGR-20-0346-B Purchase of Agricultural Supplies &amp; </t>
  </si>
  <si>
    <t>06-002-20</t>
  </si>
  <si>
    <t>20GLF0022</t>
  </si>
  <si>
    <t>LOS BANOS-20-27</t>
  </si>
  <si>
    <t>HMD-2020-06-0284</t>
  </si>
  <si>
    <t>20ITB-G-02-00033</t>
  </si>
  <si>
    <t>PARIAN-ITB-01-20</t>
  </si>
  <si>
    <t>ITB No. GOODS-20-106</t>
  </si>
  <si>
    <t>AD-2020-06-0285</t>
  </si>
  <si>
    <t>19CSK00052</t>
  </si>
  <si>
    <t>SB-2020-006</t>
  </si>
  <si>
    <t>20CB-GSC-302-PURCHASE OF COMMUNICATION EQUIPMENT (</t>
  </si>
  <si>
    <t>PR NO. 100-8751-20-05-0561</t>
  </si>
  <si>
    <t>20GLF0025</t>
  </si>
  <si>
    <t>20CB-GSC-303-REPAIR OF MOTOR VEHICLE  (RE-BID)</t>
  </si>
  <si>
    <t>06-3508</t>
  </si>
  <si>
    <t>SB-2020-012</t>
  </si>
  <si>
    <t>237-2020</t>
  </si>
  <si>
    <t>2020LGUMROFDL031</t>
  </si>
  <si>
    <t>236-2020</t>
  </si>
  <si>
    <t>SB-2020-009</t>
  </si>
  <si>
    <t>238-2020</t>
  </si>
  <si>
    <t>SIDP 200-20-02-01330</t>
  </si>
  <si>
    <t>33-2020</t>
  </si>
  <si>
    <t>235-2020</t>
  </si>
  <si>
    <t>34-2020</t>
  </si>
  <si>
    <t>umcbac20-14</t>
  </si>
  <si>
    <t>240-2020</t>
  </si>
  <si>
    <t>35-2020</t>
  </si>
  <si>
    <t>242-2020</t>
  </si>
  <si>
    <t>239-2020</t>
  </si>
  <si>
    <t>LOS BANOS-20-28</t>
  </si>
  <si>
    <t>INFRA 2020-009</t>
  </si>
  <si>
    <t>244-2020</t>
  </si>
  <si>
    <t>051-06-2020</t>
  </si>
  <si>
    <t>245-2020</t>
  </si>
  <si>
    <t>247-2020</t>
  </si>
  <si>
    <t>246-2020</t>
  </si>
  <si>
    <t>PB-PAFBAC-151-20</t>
  </si>
  <si>
    <t>243-2020</t>
  </si>
  <si>
    <t>91700</t>
  </si>
  <si>
    <t>241-2020</t>
  </si>
  <si>
    <t>248-2020</t>
  </si>
  <si>
    <t>2020023</t>
  </si>
  <si>
    <t>I-062020-00839</t>
  </si>
  <si>
    <t>PB 06-04-2020</t>
  </si>
  <si>
    <t>I-062020-00833</t>
  </si>
  <si>
    <t>I-062020-00834</t>
  </si>
  <si>
    <t>I-062020-00835</t>
  </si>
  <si>
    <t>G-2020-209</t>
  </si>
  <si>
    <t>I-062020-00836</t>
  </si>
  <si>
    <t>G-2020-277</t>
  </si>
  <si>
    <t>I-062020-00837</t>
  </si>
  <si>
    <t>G-2020-200</t>
  </si>
  <si>
    <t>G-2020-284</t>
  </si>
  <si>
    <t>G-2020-324</t>
  </si>
  <si>
    <t>BAC SVP 2020-38</t>
  </si>
  <si>
    <t>G-2020-278</t>
  </si>
  <si>
    <t>G-2020-279</t>
  </si>
  <si>
    <t>I-062020-00838</t>
  </si>
  <si>
    <t>I-2020-008</t>
  </si>
  <si>
    <t>I-2020-010</t>
  </si>
  <si>
    <t>I-062020-00840</t>
  </si>
  <si>
    <t>611</t>
  </si>
  <si>
    <t>BAC SVP 2020-39</t>
  </si>
  <si>
    <t>20HI0093</t>
  </si>
  <si>
    <t>20HI0092</t>
  </si>
  <si>
    <t>06082020</t>
  </si>
  <si>
    <t>20HI0073 (re-ad)</t>
  </si>
  <si>
    <t>SL-20200609</t>
  </si>
  <si>
    <t>2020-Cabalanggan-01</t>
  </si>
  <si>
    <t>2020-06-0604 TDG</t>
  </si>
  <si>
    <t>2020-Cabalanggan-02</t>
  </si>
  <si>
    <t>2020 Caib 086</t>
  </si>
  <si>
    <t>LOS BANOS-20-29</t>
  </si>
  <si>
    <t>2020-Cabalanggan-03</t>
  </si>
  <si>
    <t>GOOD-2020-001</t>
  </si>
  <si>
    <t>060920-1</t>
  </si>
  <si>
    <t>ISC-20-0468-B</t>
  </si>
  <si>
    <t>2020-06-0600 TDG</t>
  </si>
  <si>
    <t>GSO-20-0576-NP(SV)</t>
  </si>
  <si>
    <t>2020-06-0602 TDG</t>
  </si>
  <si>
    <t>LOS BANOS-20-30</t>
  </si>
  <si>
    <t>001-infra-2020</t>
  </si>
  <si>
    <t>BLGU-PBD-Salvacion-2020-22</t>
  </si>
  <si>
    <t>JCH-20-0171-B</t>
  </si>
  <si>
    <t>RFQ NO. 381</t>
  </si>
  <si>
    <t>JCH-20-0226-B</t>
  </si>
  <si>
    <t>GOOD-2020-002</t>
  </si>
  <si>
    <t>GSO-20-0498-NP(SV)</t>
  </si>
  <si>
    <t xml:space="preserve">PAPALLASEN 01-2020 - Repair &amp; impvt. of perimeter </t>
  </si>
  <si>
    <t>MG-A7C20-026</t>
  </si>
  <si>
    <t>20-003</t>
  </si>
  <si>
    <t>FRT-19-1689-B(REBID)</t>
  </si>
  <si>
    <t>GOOD-2020-003</t>
  </si>
  <si>
    <t>MG-A7M20-053</t>
  </si>
  <si>
    <t>RFQ No. 2020-SVP-15</t>
  </si>
  <si>
    <t>PAPALLASEN 02-2020 - Repair &amp; impvt. of multi-purp</t>
  </si>
  <si>
    <t>MG-A7T20-051</t>
  </si>
  <si>
    <t>0855</t>
  </si>
  <si>
    <t>INFRA-2020-044</t>
  </si>
  <si>
    <t>MG-A7C20-025</t>
  </si>
  <si>
    <t>DDH-19-2097-B</t>
  </si>
  <si>
    <t>2020-062</t>
  </si>
  <si>
    <t>06-59-2020</t>
  </si>
  <si>
    <t>LF 2020-023</t>
  </si>
  <si>
    <t>INFRA-NP-2020-034</t>
  </si>
  <si>
    <t>QSU-BAC-F-02-2020 DA-ACEF</t>
  </si>
  <si>
    <t>RTH-20-0183-B(RE-BID)</t>
  </si>
  <si>
    <t>251-20</t>
  </si>
  <si>
    <t>06092020</t>
  </si>
  <si>
    <t>JCH-20-0225-B</t>
  </si>
  <si>
    <t>249-20</t>
  </si>
  <si>
    <t>028-80</t>
  </si>
  <si>
    <t>DS - 2020-05-0016</t>
  </si>
  <si>
    <t>20PL0112</t>
  </si>
  <si>
    <t>250-20</t>
  </si>
  <si>
    <t>06-01-2020</t>
  </si>
  <si>
    <t>QSU-BAC-F-12-2020 05D Grad Fee</t>
  </si>
  <si>
    <t>CB(B)-20-012 (GTLMH)</t>
  </si>
  <si>
    <t>20LC0154</t>
  </si>
  <si>
    <t>G-MDH-040-20</t>
  </si>
  <si>
    <t>Quotation No. 20-06-0326</t>
  </si>
  <si>
    <t>LF 2020-024</t>
  </si>
  <si>
    <t>DS - 2020-05-0017</t>
  </si>
  <si>
    <t>12-01-2020-06-532</t>
  </si>
  <si>
    <t>20PL0113</t>
  </si>
  <si>
    <t>253-20</t>
  </si>
  <si>
    <t>12-01-2020-06-533</t>
  </si>
  <si>
    <t>100-1917-20-288</t>
  </si>
  <si>
    <t>20LC0155</t>
  </si>
  <si>
    <t>20-0150</t>
  </si>
  <si>
    <t>252-20</t>
  </si>
  <si>
    <t>JCH-20-0172-B</t>
  </si>
  <si>
    <t>infra-2020-04</t>
  </si>
  <si>
    <t>MG-A5M20-118</t>
  </si>
  <si>
    <t>JCH-20-0175-B</t>
  </si>
  <si>
    <t>2020-6-1427</t>
  </si>
  <si>
    <t>20PL0114</t>
  </si>
  <si>
    <t>254-20</t>
  </si>
  <si>
    <t>BLGU-PBD-Behia-2020-23</t>
  </si>
  <si>
    <t>06-01-2020-06-540</t>
  </si>
  <si>
    <t>RFQ-125-2020</t>
  </si>
  <si>
    <t>GS-PNBAC2-2020-24</t>
  </si>
  <si>
    <t>6059</t>
  </si>
  <si>
    <t>LF 2020-025</t>
  </si>
  <si>
    <t>G-PAROLE-041-20</t>
  </si>
  <si>
    <t>bacgal-49-2020</t>
  </si>
  <si>
    <t>10-01-2020-06-541</t>
  </si>
  <si>
    <t>258-20</t>
  </si>
  <si>
    <t>RFQ-126-2020</t>
  </si>
  <si>
    <t>CID No. 20GLE0084 PR 20-03-0090</t>
  </si>
  <si>
    <t>MG-A5M20-116</t>
  </si>
  <si>
    <t>pgeps#0245-2020</t>
  </si>
  <si>
    <t>255-20</t>
  </si>
  <si>
    <t>RFQ-127-2020</t>
  </si>
  <si>
    <t>PEO-20-0665 B</t>
  </si>
  <si>
    <t>257-20</t>
  </si>
  <si>
    <t>06-09-2020</t>
  </si>
  <si>
    <t>GOODS#0111, ITB#0113,  PR#0222: SCG-2020</t>
  </si>
  <si>
    <t>256-20</t>
  </si>
  <si>
    <t>RFQ-027-2020</t>
  </si>
  <si>
    <t>G-CON-043-20</t>
  </si>
  <si>
    <t>pgeps#0246-2020</t>
  </si>
  <si>
    <t>LF 2020-026</t>
  </si>
  <si>
    <t>RFQ 2020-05-010</t>
  </si>
  <si>
    <t>G-CON-042-20</t>
  </si>
  <si>
    <t>GEPS-14-2020</t>
  </si>
  <si>
    <t>IPIL-2020-001</t>
  </si>
  <si>
    <t>bacgal-50-2020</t>
  </si>
  <si>
    <t>20IB0142</t>
  </si>
  <si>
    <t>ITB NO. 12</t>
  </si>
  <si>
    <t>RFQ-128-2020</t>
  </si>
  <si>
    <t>259-20</t>
  </si>
  <si>
    <t>RFQ-028-2020</t>
  </si>
  <si>
    <t>RIZRFQ20-01</t>
  </si>
  <si>
    <t>G-DILG-044-20</t>
  </si>
  <si>
    <t>12-2020_INFR</t>
  </si>
  <si>
    <t>RFQ-129-2020</t>
  </si>
  <si>
    <t>6060</t>
  </si>
  <si>
    <t>06-01-2020-06-545</t>
  </si>
  <si>
    <t>260-20</t>
  </si>
  <si>
    <t>20-06-044</t>
  </si>
  <si>
    <t>RSSO PR No. 2020-06-104</t>
  </si>
  <si>
    <t>pgeps#0247-2020</t>
  </si>
  <si>
    <t>2020-04-0046</t>
  </si>
  <si>
    <t>GOODS#0113, ITB#0115  PR#0257: SCG-2020</t>
  </si>
  <si>
    <t>2020-825</t>
  </si>
  <si>
    <t>262-20</t>
  </si>
  <si>
    <t>261-20</t>
  </si>
  <si>
    <t>pgeps#0249-2020</t>
  </si>
  <si>
    <t>pgeps#0248-2020</t>
  </si>
  <si>
    <t>263-20</t>
  </si>
  <si>
    <t>2020-2077</t>
  </si>
  <si>
    <t>RFQ-130-2020</t>
  </si>
  <si>
    <t>6-20-20</t>
  </si>
  <si>
    <t>PRRI-2020-031</t>
  </si>
  <si>
    <t>RFQ-132-2020</t>
  </si>
  <si>
    <t>RFQ-029-2020</t>
  </si>
  <si>
    <t>2020-06-09-01</t>
  </si>
  <si>
    <t>G-HMO-039-20</t>
  </si>
  <si>
    <t>CID No. 20GLE0085 PR 20-05-0135</t>
  </si>
  <si>
    <t>264-20</t>
  </si>
  <si>
    <t>RFQ-134-2020</t>
  </si>
  <si>
    <t>265-20</t>
  </si>
  <si>
    <t>266-20</t>
  </si>
  <si>
    <t>2020-0170-PR2020-0403</t>
  </si>
  <si>
    <t>RFQ-133-2020</t>
  </si>
  <si>
    <t>RFQ No. 2020-217</t>
  </si>
  <si>
    <t>AMP 06-2020-007 (PR No. 2020-06-052)</t>
  </si>
  <si>
    <t>GS-PNBAC2-2020-26</t>
  </si>
  <si>
    <t>RFQ-131-2020</t>
  </si>
  <si>
    <t>REHABILITATION/RENOVATION OF SCHOOL BUILDINGS</t>
  </si>
  <si>
    <t>012-svp-2020</t>
  </si>
  <si>
    <t>267-20</t>
  </si>
  <si>
    <t>2020-06-09-02</t>
  </si>
  <si>
    <t>SCHOOL LEARNING MATERIALS</t>
  </si>
  <si>
    <t>2020-1767</t>
  </si>
  <si>
    <t>268-20</t>
  </si>
  <si>
    <t>058-20</t>
  </si>
  <si>
    <t>RFQ-135-2020</t>
  </si>
  <si>
    <t>20-06-0299</t>
  </si>
  <si>
    <t>269-20</t>
  </si>
  <si>
    <t>CID No. 20GLE0086 PR 20-05-0136</t>
  </si>
  <si>
    <t>BAGO-BAC-2020-0107</t>
  </si>
  <si>
    <t>300-20-02-0073</t>
  </si>
  <si>
    <t>6-20-21</t>
  </si>
  <si>
    <t>PR NO. 202006027</t>
  </si>
  <si>
    <t>2020 - 10</t>
  </si>
  <si>
    <t>ITDI-200335</t>
  </si>
  <si>
    <t>270-20</t>
  </si>
  <si>
    <t>GOOD-2020-004</t>
  </si>
  <si>
    <t>20-0153</t>
  </si>
  <si>
    <t>P.R. 0483 SERIES 2020</t>
  </si>
  <si>
    <t>2020-1583</t>
  </si>
  <si>
    <t>AMP 06-2020-007 (PR No. 2020-06-053)</t>
  </si>
  <si>
    <t>BAGO-BAC-2020-0109</t>
  </si>
  <si>
    <t>ITB No. 2020-29</t>
  </si>
  <si>
    <t>GS-PNBAC2-2020-28</t>
  </si>
  <si>
    <t>ITDI-200316</t>
  </si>
  <si>
    <t>0007-0031-0915-2020</t>
  </si>
  <si>
    <t>ITDI-200318</t>
  </si>
  <si>
    <t>WELFARE GOODS</t>
  </si>
  <si>
    <t>ITDI-200352</t>
  </si>
  <si>
    <t>S-2020-001</t>
  </si>
  <si>
    <t>PR No. 20-0936</t>
  </si>
  <si>
    <t>271-20</t>
  </si>
  <si>
    <t>S-2020-002</t>
  </si>
  <si>
    <t>CID No. 20GLE0087 PR 20-05-0137</t>
  </si>
  <si>
    <t>ITDI-200353</t>
  </si>
  <si>
    <t>RFQ # 19-06-031</t>
  </si>
  <si>
    <t>AMP 06-2020-008 (PR No. 2020-06-065)</t>
  </si>
  <si>
    <t>PCADG-06-09-2020</t>
  </si>
  <si>
    <t>BAGO-BAC-2020-0113</t>
  </si>
  <si>
    <t>bacgal-51-2020</t>
  </si>
  <si>
    <t>272-20</t>
  </si>
  <si>
    <t>2020-03-003</t>
  </si>
  <si>
    <t>059-20</t>
  </si>
  <si>
    <t>S-2020-003</t>
  </si>
  <si>
    <t>RFQ 2020-06-0103</t>
  </si>
  <si>
    <t>NTC13 PR No. 2020-03-009</t>
  </si>
  <si>
    <t>BAGO-BAC-2020-0114</t>
  </si>
  <si>
    <t>2020-1881</t>
  </si>
  <si>
    <t>2020-1848</t>
  </si>
  <si>
    <t>20-031</t>
  </si>
  <si>
    <t>ITDI-200354</t>
  </si>
  <si>
    <t>lgu-es-20-06-116</t>
  </si>
  <si>
    <t>2020-06-3089</t>
  </si>
  <si>
    <t>HBAC-CW-2020-03-0368</t>
  </si>
  <si>
    <t>RFQ-2020-06-029</t>
  </si>
  <si>
    <t>0044-05-2020</t>
  </si>
  <si>
    <t>ITDI-200365</t>
  </si>
  <si>
    <t>BAGO-BAC-2020-0115</t>
  </si>
  <si>
    <t>100200200352</t>
  </si>
  <si>
    <t>2020-06-294-06</t>
  </si>
  <si>
    <t>ITDI-200351</t>
  </si>
  <si>
    <t>2020-06-3090</t>
  </si>
  <si>
    <t>060-20</t>
  </si>
  <si>
    <t>100200300475</t>
  </si>
  <si>
    <t>P.R. No.:DARFO2.QES.115.20-06-004</t>
  </si>
  <si>
    <t>NC#2020-0273-PR2020-0382</t>
  </si>
  <si>
    <t>RFQ No. 20-0536 Shopping (B)</t>
  </si>
  <si>
    <t>PR#20-06-0290</t>
  </si>
  <si>
    <t>BUE-06092020-01</t>
  </si>
  <si>
    <t>san agustin 2020-005</t>
  </si>
  <si>
    <t>PR No. 20-0699</t>
  </si>
  <si>
    <t>ITDI-200347</t>
  </si>
  <si>
    <t>2020-06-295-07</t>
  </si>
  <si>
    <t>ITDI-200350</t>
  </si>
  <si>
    <t>BFP R3 BAC IB No. 2020-004 (INFRA)</t>
  </si>
  <si>
    <t>100-06-20-002-BARANGAY LANGON</t>
  </si>
  <si>
    <t>2020-1039</t>
  </si>
  <si>
    <t>20CSM00101</t>
  </si>
  <si>
    <t>09-2020</t>
  </si>
  <si>
    <t>lgu-es-20-06-117</t>
  </si>
  <si>
    <t>BAGO-BAC-2020-0121</t>
  </si>
  <si>
    <t>LGU-RFQ-2020-52</t>
  </si>
  <si>
    <t>2020-006-001</t>
  </si>
  <si>
    <t>ITDI-200345</t>
  </si>
  <si>
    <t>2020-05-254</t>
  </si>
  <si>
    <t>PR No. 20-0935</t>
  </si>
  <si>
    <t>100-04-076-17-0245</t>
  </si>
  <si>
    <t>036-2020</t>
  </si>
  <si>
    <t>RFQ # 19-06-028</t>
  </si>
  <si>
    <t>buhatan202007</t>
  </si>
  <si>
    <t>P5-20-1363</t>
  </si>
  <si>
    <t>TINOC-2020-04-GOODS</t>
  </si>
  <si>
    <t>Buhatan202008</t>
  </si>
  <si>
    <t>SPC PR No. 2000005436</t>
  </si>
  <si>
    <t>100-06-20-003 -BARANGAY BATUNGAN</t>
  </si>
  <si>
    <t>ITDI-200341</t>
  </si>
  <si>
    <t>SUBM#2020 -06 - 14</t>
  </si>
  <si>
    <t>BAC-GOOD-20-06-01</t>
  </si>
  <si>
    <t>ITDI-200344</t>
  </si>
  <si>
    <t>2020084</t>
  </si>
  <si>
    <t>Procurement of One (1) unit Service Vehicle  Pick-</t>
  </si>
  <si>
    <t>HILONGOS 2020-180</t>
  </si>
  <si>
    <t>062-20</t>
  </si>
  <si>
    <t>PR NO. 100-8751-20-05-0564</t>
  </si>
  <si>
    <t>037-2020</t>
  </si>
  <si>
    <t>LGULAGONOY-BAC-020-GOODS-048</t>
  </si>
  <si>
    <t>BTG3-2020-0207</t>
  </si>
  <si>
    <t>LR_2020_05_2005</t>
  </si>
  <si>
    <t>2020-06-297-09</t>
  </si>
  <si>
    <t>SVP-CAT20-51</t>
  </si>
  <si>
    <t>P.R. 0482 SERIES 2020</t>
  </si>
  <si>
    <t>BAGO-BAC-2020-0122</t>
  </si>
  <si>
    <t>20PK0070</t>
  </si>
  <si>
    <t>ITB No. 2020-11-EFS</t>
  </si>
  <si>
    <t>GOODS-2020-06-029A</t>
  </si>
  <si>
    <t>SN# 2020-009</t>
  </si>
  <si>
    <t>good-2020-014</t>
  </si>
  <si>
    <t>2020085</t>
  </si>
  <si>
    <t>BAGO-BAC-2020-0123</t>
  </si>
  <si>
    <t>2020-06-296-08</t>
  </si>
  <si>
    <t>2020086</t>
  </si>
  <si>
    <t>Bilbao202002</t>
  </si>
  <si>
    <t>101-2020-05-0188</t>
  </si>
  <si>
    <t>ITB 2020-001</t>
  </si>
  <si>
    <t>103-20-03-0032b</t>
  </si>
  <si>
    <t>BAGO-BAC-2020-0124</t>
  </si>
  <si>
    <t>BAGO-BAC-2020-0125</t>
  </si>
  <si>
    <t>2020-06-0011</t>
  </si>
  <si>
    <t>OFFICE SUPPLIES AND MATERIALS</t>
  </si>
  <si>
    <t>203-20</t>
  </si>
  <si>
    <t>PR #036</t>
  </si>
  <si>
    <t>177-20</t>
  </si>
  <si>
    <t>TINOC-2020-05-GOODS</t>
  </si>
  <si>
    <t>RFQ PR No 2020-05-016</t>
  </si>
  <si>
    <t>101-2020-05-0187</t>
  </si>
  <si>
    <t>2019-SVP-12-019</t>
  </si>
  <si>
    <t>BFP R3 BAC IB No. 2020-002 (INFRA)</t>
  </si>
  <si>
    <t>101-2020-05-0189</t>
  </si>
  <si>
    <t>20GII0009</t>
  </si>
  <si>
    <t>ITDI-200340</t>
  </si>
  <si>
    <t>BAGO-BAC-2020-0126</t>
  </si>
  <si>
    <t>hamorawon202002</t>
  </si>
  <si>
    <t>PR#20-06-0292</t>
  </si>
  <si>
    <t>PR-2020-06-026</t>
  </si>
  <si>
    <t>2006-0615</t>
  </si>
  <si>
    <t>2020-05-256</t>
  </si>
  <si>
    <t>101-20-06-267</t>
  </si>
  <si>
    <t>101-2020-05-0190</t>
  </si>
  <si>
    <t>BAGO-BAC-2020-0127</t>
  </si>
  <si>
    <t>05-066P-W</t>
  </si>
  <si>
    <t>LR_2020_05_2006</t>
  </si>
  <si>
    <t>LGU Nasipit-2020-045</t>
  </si>
  <si>
    <t>2020-008</t>
  </si>
  <si>
    <t>ITB 2020 - 02</t>
  </si>
  <si>
    <t>101-2020-05-0191</t>
  </si>
  <si>
    <t>2020-6-267</t>
  </si>
  <si>
    <t>2020-1606-024</t>
  </si>
  <si>
    <t>2006-0614</t>
  </si>
  <si>
    <t>BAGO-BAC-2020-0128</t>
  </si>
  <si>
    <t>brgy 848</t>
  </si>
  <si>
    <t>INFRA-2020-05-30</t>
  </si>
  <si>
    <t>2020-5-1201</t>
  </si>
  <si>
    <t>BAGO-BAC-2020-0129</t>
  </si>
  <si>
    <t>ITDI-200339</t>
  </si>
  <si>
    <t>ITB2020-06-09</t>
  </si>
  <si>
    <t>PR-2020-06-025</t>
  </si>
  <si>
    <t>20-05-0268</t>
  </si>
  <si>
    <t>PR#2020-06-107</t>
  </si>
  <si>
    <t>BAGO-BAC-2020-0131</t>
  </si>
  <si>
    <t>INFRA-2020-05-31</t>
  </si>
  <si>
    <t>2020-04-246</t>
  </si>
  <si>
    <t>BAGO-BAC-2020-0130</t>
  </si>
  <si>
    <t>20CB-GSC-304-PURCHASE OF FUEL &amp; LUBRICANTS (RE-BID</t>
  </si>
  <si>
    <t>101-2020-05-0192</t>
  </si>
  <si>
    <t>RFQ 2020-0230</t>
  </si>
  <si>
    <t>DA7-2020-06-R&amp;DR-20-1216(R1)</t>
  </si>
  <si>
    <t>2006-0603</t>
  </si>
  <si>
    <t>BAGO-BAC-2020-0132</t>
  </si>
  <si>
    <t>GOODS 2020-011</t>
  </si>
  <si>
    <t>PBG-2020-04-10</t>
  </si>
  <si>
    <t>012-2020</t>
  </si>
  <si>
    <t>BFP R3 BAC IB No. 2020-003 (INFRA)</t>
  </si>
  <si>
    <t>2006-0599</t>
  </si>
  <si>
    <t>Galicia202002</t>
  </si>
  <si>
    <t>INFRA-2020-05-32</t>
  </si>
  <si>
    <t>BAGO-BAC-2020-0133</t>
  </si>
  <si>
    <t>2020-06-0333</t>
  </si>
  <si>
    <t>ITDI-200338</t>
  </si>
  <si>
    <t>2020-06-09-003</t>
  </si>
  <si>
    <t>18-20</t>
  </si>
  <si>
    <t>2020-ANT-GOODS-0105</t>
  </si>
  <si>
    <t>2006-0600</t>
  </si>
  <si>
    <t>BAGO-BAC-2020-0135</t>
  </si>
  <si>
    <t>101-2020-05-0193</t>
  </si>
  <si>
    <t>2020-03-203</t>
  </si>
  <si>
    <t>ITB 2020- 002</t>
  </si>
  <si>
    <t>2020-06-09-004</t>
  </si>
  <si>
    <t>2020-06-0334</t>
  </si>
  <si>
    <t>BAGO-BAC-2020-0136</t>
  </si>
  <si>
    <t>2020-PLA-058</t>
  </si>
  <si>
    <t>MG-A7M20-074</t>
  </si>
  <si>
    <t>BAGO-BAC-2020-0134</t>
  </si>
  <si>
    <t>INFRA-2020-05-33</t>
  </si>
  <si>
    <t>PR No. 1000031980</t>
  </si>
  <si>
    <t>RESCUE MATERIALS AND EQUIPMENT</t>
  </si>
  <si>
    <t>2006-0601</t>
  </si>
  <si>
    <t>20CB-GSC-307	PURCHASE OF IT EQUIPMENT</t>
  </si>
  <si>
    <t>2020-011</t>
  </si>
  <si>
    <t>PROS-06-20-01</t>
  </si>
  <si>
    <t>BAC-GOOD-20-06-02</t>
  </si>
  <si>
    <t>2020-06-09 SH</t>
  </si>
  <si>
    <t>05-066P-B</t>
  </si>
  <si>
    <t>F-008-0373-20</t>
  </si>
  <si>
    <t>20-06-0274</t>
  </si>
  <si>
    <t>001-06-09-2020</t>
  </si>
  <si>
    <t>MAILHI200601</t>
  </si>
  <si>
    <t>INFRA-2020-05-34</t>
  </si>
  <si>
    <t>2020-06-0335</t>
  </si>
  <si>
    <t>GF 2020-06-02</t>
  </si>
  <si>
    <t>PR No. 1000031884</t>
  </si>
  <si>
    <t>2020-POBLACION-001</t>
  </si>
  <si>
    <t>RFQ No. 2020-06-042</t>
  </si>
  <si>
    <t>2020-06-001 GD</t>
  </si>
  <si>
    <t>D-032-0284-20</t>
  </si>
  <si>
    <t>2020-Barangay Old Mahayag-002</t>
  </si>
  <si>
    <t>ITDI-200337</t>
  </si>
  <si>
    <t>ITDI-200336</t>
  </si>
  <si>
    <t>DA7-2020-06-AMAD-20-1302(R1)</t>
  </si>
  <si>
    <t>174-2020-001</t>
  </si>
  <si>
    <t>DCWD 016 - 2020</t>
  </si>
  <si>
    <t>309-2020-001</t>
  </si>
  <si>
    <t>bacgal-52-2020</t>
  </si>
  <si>
    <t>170-2020-001</t>
  </si>
  <si>
    <t>LGU-RFQ-2020-53</t>
  </si>
  <si>
    <t>171-2020-001</t>
  </si>
  <si>
    <t>ESD 18-010(SC37) / 15BAC:SC37 19-129</t>
  </si>
  <si>
    <t>ITB-09-001-2020</t>
  </si>
  <si>
    <t>ITDI-200326</t>
  </si>
  <si>
    <t>RFQ NO. 075-2020 MGB 12</t>
  </si>
  <si>
    <t>PR-2020-06-02</t>
  </si>
  <si>
    <t>RFQ 2020-06-0104</t>
  </si>
  <si>
    <t>dcm-2020-06-003</t>
  </si>
  <si>
    <t>OFFICE MATERIALS AND SUPPLIES</t>
  </si>
  <si>
    <t>2020-POBLACION-002</t>
  </si>
  <si>
    <t>PR-2020-06-01-SH</t>
  </si>
  <si>
    <t>G-062020-00841</t>
  </si>
  <si>
    <t>ITDI-200297</t>
  </si>
  <si>
    <t>BAC-INFRA-20-06-01</t>
  </si>
  <si>
    <t>ITDI-200206</t>
  </si>
  <si>
    <t>RFQ NO. 076-2020 MGB 12</t>
  </si>
  <si>
    <t>2020-54</t>
  </si>
  <si>
    <t>ITDI-200296</t>
  </si>
  <si>
    <t>PB-INF-001-2020</t>
  </si>
  <si>
    <t>ITDI-200325</t>
  </si>
  <si>
    <t>ITB No. 20-23</t>
  </si>
  <si>
    <t>2020-06-02 SH</t>
  </si>
  <si>
    <t>2020-POBLACION-005</t>
  </si>
  <si>
    <t>kolwd 2020-06-198</t>
  </si>
  <si>
    <t>PB-INF-002-2020</t>
  </si>
  <si>
    <t>ITDI-200294</t>
  </si>
  <si>
    <t>ITDI-200314</t>
  </si>
  <si>
    <t>BDM-BAC-2020-006</t>
  </si>
  <si>
    <t>PR-2020-06-03-SH</t>
  </si>
  <si>
    <t>N20-094</t>
  </si>
  <si>
    <t>2020-55</t>
  </si>
  <si>
    <t>RFQ NO. 077-2020 MGB 12</t>
  </si>
  <si>
    <t>2020-POBLACION-004</t>
  </si>
  <si>
    <t>2020-POBLACION-003</t>
  </si>
  <si>
    <t>AB-2020-0012</t>
  </si>
  <si>
    <t>20PE0087</t>
  </si>
  <si>
    <t>100200300381</t>
  </si>
  <si>
    <t>20PE0085</t>
  </si>
  <si>
    <t>20PE0086</t>
  </si>
  <si>
    <t>N20-LDF-095</t>
  </si>
  <si>
    <t>PB-INF-003-2020</t>
  </si>
  <si>
    <t>JAE-SVP-2020-03-0406 GAA</t>
  </si>
  <si>
    <t>20PC0052</t>
  </si>
  <si>
    <t>20GAB0003</t>
  </si>
  <si>
    <t>20PE0089</t>
  </si>
  <si>
    <t>GOODS 2020-019</t>
  </si>
  <si>
    <t>20NF0077</t>
  </si>
  <si>
    <t>PR-2020-9999-0185</t>
  </si>
  <si>
    <t>20PE0088</t>
  </si>
  <si>
    <t>20-1235</t>
  </si>
  <si>
    <t>IB NO. 2020-220</t>
  </si>
  <si>
    <t>0020-0125.0755A2020</t>
  </si>
  <si>
    <t>TAS20-06-154</t>
  </si>
  <si>
    <t>MG-A5M20-091</t>
  </si>
  <si>
    <t>20-06-029</t>
  </si>
  <si>
    <t>LGU-100-2020-06-I-007</t>
  </si>
  <si>
    <t>20NF0078</t>
  </si>
  <si>
    <t>LGU-100-2020-06-I-008</t>
  </si>
  <si>
    <t>20-06-0269</t>
  </si>
  <si>
    <t>20CB-GSC-308	PURCHASE OF NOTEBOOK AND DESKTOP COMP</t>
  </si>
  <si>
    <t>20PC0059</t>
  </si>
  <si>
    <t>2020-0066</t>
  </si>
  <si>
    <t>20CB-GSC-310	PURCHASE OF DIESEL AND GASOLINE FOR C</t>
  </si>
  <si>
    <t>20-06-023</t>
  </si>
  <si>
    <t>0020-0137-0811-2020</t>
  </si>
  <si>
    <t>20-06-0273</t>
  </si>
  <si>
    <t>CATERING SERVICES IN PANDAG MUNICIPALITY</t>
  </si>
  <si>
    <t>2020-06-43</t>
  </si>
  <si>
    <t>TEST KITS FOR COVID-19</t>
  </si>
  <si>
    <t>AFP-RSBS 2020 PMSSA03</t>
  </si>
  <si>
    <t>2020.6.9./1ST POSTINGST.LIGHTCABUGAO</t>
  </si>
  <si>
    <t>20-05-097</t>
  </si>
  <si>
    <t>06082020 A</t>
  </si>
  <si>
    <t>01-2020 pongol</t>
  </si>
  <si>
    <t>Aklan BAC ITB 335 Series of 2020</t>
  </si>
  <si>
    <t>LGU-100-2020-06-G-416</t>
  </si>
  <si>
    <t>2020-0068</t>
  </si>
  <si>
    <t>20CB-GSC-311 PURCHASE OF DRUGS AND MEDICINES FOR B</t>
  </si>
  <si>
    <t>2020-152</t>
  </si>
  <si>
    <t>RFQ 2020-05-004</t>
  </si>
  <si>
    <t>02-2020 pongol</t>
  </si>
  <si>
    <t>2020-06-45</t>
  </si>
  <si>
    <t>20-06-074</t>
  </si>
  <si>
    <t>03-2020 pongol</t>
  </si>
  <si>
    <t>01-595-2020</t>
  </si>
  <si>
    <t>2020-06-090</t>
  </si>
  <si>
    <t>SM-20-001</t>
  </si>
  <si>
    <t>06092020-A</t>
  </si>
  <si>
    <t>2020-0644</t>
  </si>
  <si>
    <t>ITB No. 074=NP-2020</t>
  </si>
  <si>
    <t>Lot 1 (Lucio Vivero CS)-Bid Docs_2020 QRF-Repair -</t>
  </si>
  <si>
    <t>SVP-2020-89</t>
  </si>
  <si>
    <t>2020-0070</t>
  </si>
  <si>
    <t>PB-0520-20</t>
  </si>
  <si>
    <t>0020-0135-0806B2020</t>
  </si>
  <si>
    <t>06092020-B</t>
  </si>
  <si>
    <t>0700-2020-06-018</t>
  </si>
  <si>
    <t>2020-06-47</t>
  </si>
  <si>
    <t>2020-06-48</t>
  </si>
  <si>
    <t>Bid No. 20-0254</t>
  </si>
  <si>
    <t>2005-390</t>
  </si>
  <si>
    <t>Aklan BAC ITB 333 Series of 2020</t>
  </si>
  <si>
    <t>C4ISR-PNBAC1-2020-24</t>
  </si>
  <si>
    <t>2020-06-46</t>
  </si>
  <si>
    <t>8911-08-2032-20</t>
  </si>
  <si>
    <t>IB No. 2020-210</t>
  </si>
  <si>
    <t>2020-06-49</t>
  </si>
  <si>
    <t>8918-9-1778-20</t>
  </si>
  <si>
    <t>06-09-2020-204</t>
  </si>
  <si>
    <t>2020-0609-1</t>
  </si>
  <si>
    <t>06092020-C</t>
  </si>
  <si>
    <t>2020-0609-2</t>
  </si>
  <si>
    <t>2020-08 (20DI0115)</t>
  </si>
  <si>
    <t>06-06-2020</t>
  </si>
  <si>
    <t>BOD20-078</t>
  </si>
  <si>
    <t>0020-0137-0811A2020</t>
  </si>
  <si>
    <t>02-2020 capihan</t>
  </si>
  <si>
    <t>6911-9-957-20</t>
  </si>
  <si>
    <t>PB-0520-26</t>
  </si>
  <si>
    <t>2020-06-50</t>
  </si>
  <si>
    <t>2020-06-0013</t>
  </si>
  <si>
    <t>Bid No. 20-0255</t>
  </si>
  <si>
    <t>06092020-D</t>
  </si>
  <si>
    <t>PG-RFQ-2020-11</t>
  </si>
  <si>
    <t>2005-391A</t>
  </si>
  <si>
    <t>LCWD-2020-033 Office Supplies-Regular Stocks</t>
  </si>
  <si>
    <t>06-09-2020-205</t>
  </si>
  <si>
    <t>2020-0609-3</t>
  </si>
  <si>
    <t>2020-019(Re-Bid)</t>
  </si>
  <si>
    <t>2020-06-51</t>
  </si>
  <si>
    <t>lam-bac-206-020</t>
  </si>
  <si>
    <t>SVP-2020-90</t>
  </si>
  <si>
    <t>CGB-2020-06-009</t>
  </si>
  <si>
    <t>geps-2020-003</t>
  </si>
  <si>
    <t>2020-0609-4</t>
  </si>
  <si>
    <t>RFQ # 19-05-056</t>
  </si>
  <si>
    <t>06-09-2020-206</t>
  </si>
  <si>
    <t>4DTS-10018</t>
  </si>
  <si>
    <t>2020-06-53</t>
  </si>
  <si>
    <t>0020-0137-0811B2020</t>
  </si>
  <si>
    <t>20NC0121</t>
  </si>
  <si>
    <t>20053297</t>
  </si>
  <si>
    <t>2020-08 (20DI0116)</t>
  </si>
  <si>
    <t>2LSSM2020A-144</t>
  </si>
  <si>
    <t>LCWD-2020-034 Refurbishing Executive Chair with Hi</t>
  </si>
  <si>
    <t>RFQ 0620-008</t>
  </si>
  <si>
    <t>Goods-112-2020</t>
  </si>
  <si>
    <t>2LSSM2020A-145</t>
  </si>
  <si>
    <t>NG-GOODS-2020-13</t>
  </si>
  <si>
    <t>DA7-2020-06-SAAD-20-1708(R1)</t>
  </si>
  <si>
    <t>geps-2020-004</t>
  </si>
  <si>
    <t>Aklan BAC ITB 336 Series of 336</t>
  </si>
  <si>
    <t>SVP-071-2020</t>
  </si>
  <si>
    <t>GSS-001-2020</t>
  </si>
  <si>
    <t>2020-08 (20DI0117)</t>
  </si>
  <si>
    <t>20-0673</t>
  </si>
  <si>
    <t>PB-0320-10</t>
  </si>
  <si>
    <t>01-838-2020</t>
  </si>
  <si>
    <t>038-2020</t>
  </si>
  <si>
    <t>C4ISR-PNBAC1-2020-25</t>
  </si>
  <si>
    <t>20JG0051 - rebid</t>
  </si>
  <si>
    <t>2020-06-55</t>
  </si>
  <si>
    <t>PGO 200-20-04-04693</t>
  </si>
  <si>
    <t>RFQ for Goods and Services No. 2020-008</t>
  </si>
  <si>
    <t>0020-0136-0810A2020</t>
  </si>
  <si>
    <t>2020-0609</t>
  </si>
  <si>
    <t>2020-06-56</t>
  </si>
  <si>
    <t>2LSSM2020A-146</t>
  </si>
  <si>
    <t>2LSSM2020A-147</t>
  </si>
  <si>
    <t>BAC-GS-2020-06-003</t>
  </si>
  <si>
    <t>20053369</t>
  </si>
  <si>
    <t>S-2020-02</t>
  </si>
  <si>
    <t>2LSSM2020A-150</t>
  </si>
  <si>
    <t>2LSSM2020A-149</t>
  </si>
  <si>
    <t>RFQ 0620-011</t>
  </si>
  <si>
    <t>2020-08 (20DI0118)</t>
  </si>
  <si>
    <t>2020-06-57</t>
  </si>
  <si>
    <t>2020-06-58</t>
  </si>
  <si>
    <t>SAR-GOODS-06-038-2020</t>
  </si>
  <si>
    <t>06-10-2020-02</t>
  </si>
  <si>
    <t>SVP20-437</t>
  </si>
  <si>
    <t>2020-06-0008</t>
  </si>
  <si>
    <t>Tinocawan202001</t>
  </si>
  <si>
    <t>20H00061</t>
  </si>
  <si>
    <t>06-10-2020-01</t>
  </si>
  <si>
    <t>05-215P-A</t>
  </si>
  <si>
    <t>RSQ-E 20-06-003 / PR 20-05-151</t>
  </si>
  <si>
    <t>SAR-GOODS-06-039-2020</t>
  </si>
  <si>
    <t>RFQ 0620-006</t>
  </si>
  <si>
    <t>CB(B)-20-013(ICWS)</t>
  </si>
  <si>
    <t>P11-20-1367</t>
  </si>
  <si>
    <t>2LSSM2020A-148</t>
  </si>
  <si>
    <t>PB-0320-16</t>
  </si>
  <si>
    <t>2020-06-044</t>
  </si>
  <si>
    <t>06-10-2020-03</t>
  </si>
  <si>
    <t>361-2020 Bidding</t>
  </si>
  <si>
    <t>BOD20-079</t>
  </si>
  <si>
    <t>infra-2020-001</t>
  </si>
  <si>
    <t>2020-0611</t>
  </si>
  <si>
    <t>2020-25</t>
  </si>
  <si>
    <t>PR# 20-05-940</t>
  </si>
  <si>
    <t>06-10-2020-04</t>
  </si>
  <si>
    <t>2020-08 (20DI0119)</t>
  </si>
  <si>
    <t>2LSSM2020A-151</t>
  </si>
  <si>
    <t>RQ No. 2020-06-67</t>
  </si>
  <si>
    <t>PB-0520-28</t>
  </si>
  <si>
    <t>06-10-2020-05</t>
  </si>
  <si>
    <t>103-20-05-0049</t>
  </si>
  <si>
    <t>20-04-252A</t>
  </si>
  <si>
    <t>B13-2</t>
  </si>
  <si>
    <t>Tinocawan202002</t>
  </si>
  <si>
    <t>06-10-2020-06</t>
  </si>
  <si>
    <t>MAVS 200-20-04-03275</t>
  </si>
  <si>
    <t>BGY-706</t>
  </si>
  <si>
    <t>6-30-20</t>
  </si>
  <si>
    <t>INFRA -01- 2020</t>
  </si>
  <si>
    <t>GDS-2020-07</t>
  </si>
  <si>
    <t>geps-2020-005</t>
  </si>
  <si>
    <t>CEISS-RMMV-1008-20</t>
  </si>
  <si>
    <t>MAVS 200-20-04-04640</t>
  </si>
  <si>
    <t>06-10-2020-07</t>
  </si>
  <si>
    <t>PR# 20-05-804</t>
  </si>
  <si>
    <t>2020-08 (20DI0120)</t>
  </si>
  <si>
    <t>RFQ-2020-162</t>
  </si>
  <si>
    <t>ITB2020-06-01</t>
  </si>
  <si>
    <t>20-0661</t>
  </si>
  <si>
    <t>HRMO 300-20-02-00622</t>
  </si>
  <si>
    <t>BXU-2020-17</t>
  </si>
  <si>
    <t>20-04-253A</t>
  </si>
  <si>
    <t>1398</t>
  </si>
  <si>
    <t>PCAG 200-20-03-02436</t>
  </si>
  <si>
    <t>2005337</t>
  </si>
  <si>
    <t>OJ7-TELM-1085-20</t>
  </si>
  <si>
    <t>BAC-PG-001-20</t>
  </si>
  <si>
    <t>geps-2020-007</t>
  </si>
  <si>
    <t>06-10-2020-08</t>
  </si>
  <si>
    <t>geps-2020-006</t>
  </si>
  <si>
    <t>infra-2020-002</t>
  </si>
  <si>
    <t>2LSSM2020A-154</t>
  </si>
  <si>
    <t>2LSSM2020A-152</t>
  </si>
  <si>
    <t>20200609-15</t>
  </si>
  <si>
    <t>BAC SV 2020-46</t>
  </si>
  <si>
    <t>2LSSM2020A-153</t>
  </si>
  <si>
    <t>INFRA-2020-06-042</t>
  </si>
  <si>
    <t>MH-GOODS-CULIPAPA-CR-PHASE3-2020-001</t>
  </si>
  <si>
    <t>CawExt2020-001</t>
  </si>
  <si>
    <t>20GGI0033</t>
  </si>
  <si>
    <t>2005-249</t>
  </si>
  <si>
    <t>1011-20-119</t>
  </si>
  <si>
    <t>06-10-2020-10</t>
  </si>
  <si>
    <t>06-10-2020-09</t>
  </si>
  <si>
    <t>20CSAH01</t>
  </si>
  <si>
    <t>SB-2020-020</t>
  </si>
  <si>
    <t>2020-300-06-018</t>
  </si>
  <si>
    <t>geps-2020-008</t>
  </si>
  <si>
    <t>DA RFO-1-2019-INFRA-058-R</t>
  </si>
  <si>
    <t>2020-08 (20DI0121)</t>
  </si>
  <si>
    <t>Bid No. 20-0262</t>
  </si>
  <si>
    <t>525-2020</t>
  </si>
  <si>
    <t>2020-06-036</t>
  </si>
  <si>
    <t>20CSA001</t>
  </si>
  <si>
    <t>ITDI-200367</t>
  </si>
  <si>
    <t>mabpang-0609-2020-01</t>
  </si>
  <si>
    <t>PGO 200-20-05-05205</t>
  </si>
  <si>
    <t>QES-06-009-20</t>
  </si>
  <si>
    <t>Sagrada202001</t>
  </si>
  <si>
    <t>ITNTGH No. 2020-001</t>
  </si>
  <si>
    <t>SB-2020-021</t>
  </si>
  <si>
    <t>DA RFO-1-2019-INFRA-060-R</t>
  </si>
  <si>
    <t>SPPH 200-20-02-01411</t>
  </si>
  <si>
    <t>infra-2020-003</t>
  </si>
  <si>
    <t>DA RFO-1-2019-INFRA-061-R</t>
  </si>
  <si>
    <t>infra-2020-004</t>
  </si>
  <si>
    <t>geps-2020-009</t>
  </si>
  <si>
    <t>2020-08 (20DI0122)</t>
  </si>
  <si>
    <t>20GKG0023</t>
  </si>
  <si>
    <t>LSIFR 200-20-03-02706</t>
  </si>
  <si>
    <t>B13-3</t>
  </si>
  <si>
    <t>POPDEV 200-20-02-01100</t>
  </si>
  <si>
    <t>25020-06-02</t>
  </si>
  <si>
    <t>geps-2020-010</t>
  </si>
  <si>
    <t>mabpang-0609-2020-02</t>
  </si>
  <si>
    <t>DA RFO-1-2019-INFRA-062-R</t>
  </si>
  <si>
    <t>Sagrada202002</t>
  </si>
  <si>
    <t>ITDI-200343</t>
  </si>
  <si>
    <t>C-011-20</t>
  </si>
  <si>
    <t>PR# 100-20-05-004</t>
  </si>
  <si>
    <t>ITDI-200295</t>
  </si>
  <si>
    <t>DV -2020-G14</t>
  </si>
  <si>
    <t>ITB 2020-053</t>
  </si>
  <si>
    <t>ITB2020-06-02</t>
  </si>
  <si>
    <t>RFQ-2020-163</t>
  </si>
  <si>
    <t>pgeps#0250-2020</t>
  </si>
  <si>
    <t>SVP-2020-06-85</t>
  </si>
  <si>
    <t>SVP 2020-027</t>
  </si>
  <si>
    <t>Lot 2 (Tagpuro ES)-Bid Docs_2020 QRF-Repair - Tacl</t>
  </si>
  <si>
    <t>GEPS 01 2020</t>
  </si>
  <si>
    <t>5020399000-06-20-02</t>
  </si>
  <si>
    <t>ITDI-200293</t>
  </si>
  <si>
    <t>100(01)20-06-325(O)</t>
  </si>
  <si>
    <t>DA3-2020-06-02-21</t>
  </si>
  <si>
    <t>DA RFO-1-2019-INFRA-066-R</t>
  </si>
  <si>
    <t>20GKG0024</t>
  </si>
  <si>
    <t>E-018-0318-20</t>
  </si>
  <si>
    <t>20GGI0034</t>
  </si>
  <si>
    <t>0020-0135-0806A2020</t>
  </si>
  <si>
    <t>2020-08 (20DI0123)</t>
  </si>
  <si>
    <t>BXU-2020-18</t>
  </si>
  <si>
    <t>DA3-2020-06-08-84</t>
  </si>
  <si>
    <t>n-119-2020</t>
  </si>
  <si>
    <t>C-017-20</t>
  </si>
  <si>
    <t>2020-03-0007</t>
  </si>
  <si>
    <t>ITB No. GOODS-20-108</t>
  </si>
  <si>
    <t>ITB-GS-20200313-01</t>
  </si>
  <si>
    <t>2020-08 (20DI0124)</t>
  </si>
  <si>
    <t>QES-06-010-20</t>
  </si>
  <si>
    <t>ITDI-200368</t>
  </si>
  <si>
    <t>BOD20-080</t>
  </si>
  <si>
    <t>2020-08 (20DI0125)</t>
  </si>
  <si>
    <t>ITB 2020-052</t>
  </si>
  <si>
    <t>B13-4</t>
  </si>
  <si>
    <t>100(01)20-06-324(O)</t>
  </si>
  <si>
    <t>2020-0140</t>
  </si>
  <si>
    <t>ITB 006-038-2020</t>
  </si>
  <si>
    <t>20GKG0025</t>
  </si>
  <si>
    <t>ITB 2020-054</t>
  </si>
  <si>
    <t>SVP 2020-028</t>
  </si>
  <si>
    <t>2020-0609-5</t>
  </si>
  <si>
    <t>2020-08 (20DI0126)</t>
  </si>
  <si>
    <t>INFRA-20-05</t>
  </si>
  <si>
    <t>B13-5</t>
  </si>
  <si>
    <t>BrgyPresGarcia 2020 - 001</t>
  </si>
  <si>
    <t>BAC-MAGATOS-2020-02</t>
  </si>
  <si>
    <t>Binmisor 023-2020</t>
  </si>
  <si>
    <t>DA3-2020-06-03-37</t>
  </si>
  <si>
    <t>IB No. 2020-219</t>
  </si>
  <si>
    <t>0020-0136-0810-2020</t>
  </si>
  <si>
    <t>BXU-2020-19</t>
  </si>
  <si>
    <t>5021304001-06-20-01</t>
  </si>
  <si>
    <t>Lot 3 (Cabalawan ES)-Bid Docs_2020 QRF-Repair - Ta</t>
  </si>
  <si>
    <t>2020-08 (20DI0127)</t>
  </si>
  <si>
    <t>RFQ 0620-012</t>
  </si>
  <si>
    <t>geps-2020-011</t>
  </si>
  <si>
    <t>2020-0609-6</t>
  </si>
  <si>
    <t>Ibaan/2020/231</t>
  </si>
  <si>
    <t>20PL0115</t>
  </si>
  <si>
    <t>0033/June/2020</t>
  </si>
  <si>
    <t>PB-0620-29</t>
  </si>
  <si>
    <t>06092003</t>
  </si>
  <si>
    <t>2020-0609-7</t>
  </si>
  <si>
    <t>20GKG0026</t>
  </si>
  <si>
    <t>RFQ 0620-013</t>
  </si>
  <si>
    <t>B13-6</t>
  </si>
  <si>
    <t>B13-7</t>
  </si>
  <si>
    <t>AIEB 2020-021</t>
  </si>
  <si>
    <t>DA3-2020-06-01-11</t>
  </si>
  <si>
    <t>DA3-2020-06-03-38</t>
  </si>
  <si>
    <t>geps-2020-012</t>
  </si>
  <si>
    <t>101-2020-05-0194</t>
  </si>
  <si>
    <t>20NE0089</t>
  </si>
  <si>
    <t>2020 GDS JUN - 02</t>
  </si>
  <si>
    <t>0020-0135-0806-2020</t>
  </si>
  <si>
    <t>QN-200608-16/ MS-20-0673</t>
  </si>
  <si>
    <t>064-20</t>
  </si>
  <si>
    <t>2020-0141</t>
  </si>
  <si>
    <t>Lot 4 (Sta. Elena ES)-Bid Docs_2020 QRF-Repair - T</t>
  </si>
  <si>
    <t>065-20</t>
  </si>
  <si>
    <t>Binmisor 024-2020</t>
  </si>
  <si>
    <t>BrgyPresGarcia 2020 - 003</t>
  </si>
  <si>
    <t>013</t>
  </si>
  <si>
    <t>ITB No. GOODS-20-109</t>
  </si>
  <si>
    <t>RFQ 0620-014</t>
  </si>
  <si>
    <t>PR2020-05-015</t>
  </si>
  <si>
    <t>AIEB 2020-022</t>
  </si>
  <si>
    <t>geps-2020-013</t>
  </si>
  <si>
    <t>RFQ 0620-015</t>
  </si>
  <si>
    <t>100-20-03-0278</t>
  </si>
  <si>
    <t>DA3-2020-06-01-12</t>
  </si>
  <si>
    <t>EQPT-2020-08</t>
  </si>
  <si>
    <t>20PA0130</t>
  </si>
  <si>
    <t>B-005-2020</t>
  </si>
  <si>
    <t>063-20</t>
  </si>
  <si>
    <t>DA3-2020-06-02-33</t>
  </si>
  <si>
    <t>geps-2020-015</t>
  </si>
  <si>
    <t>101-2020-05-0218</t>
  </si>
  <si>
    <t>20PA0129</t>
  </si>
  <si>
    <t>PB-0620-30</t>
  </si>
  <si>
    <t>geps-2020-014</t>
  </si>
  <si>
    <t>ITB-020-2020</t>
  </si>
  <si>
    <t>ITB No. GOODS-20-111</t>
  </si>
  <si>
    <t>EQPT-2020-09</t>
  </si>
  <si>
    <t>SVP-2020-06-89</t>
  </si>
  <si>
    <t>101-2020-05-0240</t>
  </si>
  <si>
    <t>LGU Nasipit-2020-047</t>
  </si>
  <si>
    <t>2020-06-151</t>
  </si>
  <si>
    <t>BAC-GS-0010-2020</t>
  </si>
  <si>
    <t>2020-5-378</t>
  </si>
  <si>
    <t>GO-2020-0149 Rebidding</t>
  </si>
  <si>
    <t>geps-2020-016</t>
  </si>
  <si>
    <t>Lot 5 (Sagkahan NHS)-Bid Docs_2020 QRF-Repair - Ta</t>
  </si>
  <si>
    <t>2LSSM2020A-155</t>
  </si>
  <si>
    <t>PB-0620-31</t>
  </si>
  <si>
    <t>ITB No. GOODS-20-110</t>
  </si>
  <si>
    <t>BOD20-081</t>
  </si>
  <si>
    <t>geps-2020-017</t>
  </si>
  <si>
    <t>2020-05-036</t>
  </si>
  <si>
    <t>GOOD20200201</t>
  </si>
  <si>
    <t>2020-05-083</t>
  </si>
  <si>
    <t>101-2020-05-0238</t>
  </si>
  <si>
    <t>2020-06-00115</t>
  </si>
  <si>
    <t>BNLSL-LCB-24-2020</t>
  </si>
  <si>
    <t>0609202001</t>
  </si>
  <si>
    <t>DA3-2020-06-04-67</t>
  </si>
  <si>
    <t>2020-ODY-06-176</t>
  </si>
  <si>
    <t>PB-0620-32</t>
  </si>
  <si>
    <t>STF-PB-028</t>
  </si>
  <si>
    <t>2020-06-03-45</t>
  </si>
  <si>
    <t>PHO-2020-037 Rebidding</t>
  </si>
  <si>
    <t>B-006-2020</t>
  </si>
  <si>
    <t>2LSSM2020C-156</t>
  </si>
  <si>
    <t>06092004</t>
  </si>
  <si>
    <t>2020-03-005</t>
  </si>
  <si>
    <t>IBTGH No. 2020 – 004</t>
  </si>
  <si>
    <t>20CSNH03</t>
  </si>
  <si>
    <t>Lot 6 (NTCNHS)-Bid Docs_2020 QRF-Repair - Tacloban</t>
  </si>
  <si>
    <t>2LSSM2020B-157</t>
  </si>
  <si>
    <t>0756 - 20</t>
  </si>
  <si>
    <t>BNLSL-LCB-28-2020</t>
  </si>
  <si>
    <t>geps-2020-018</t>
  </si>
  <si>
    <t>0770 - 20</t>
  </si>
  <si>
    <t>2020-05-161</t>
  </si>
  <si>
    <t>241</t>
  </si>
  <si>
    <t>2020-03-006</t>
  </si>
  <si>
    <t>DA3-2020-06-04-66</t>
  </si>
  <si>
    <t>2020-06-00118</t>
  </si>
  <si>
    <t>243</t>
  </si>
  <si>
    <t>2LSSM2020A-158</t>
  </si>
  <si>
    <t>96</t>
  </si>
  <si>
    <t>BNLSL-LCB-28A-2020</t>
  </si>
  <si>
    <t>20-05-287</t>
  </si>
  <si>
    <t>20C00046</t>
  </si>
  <si>
    <t>GOOD20200303</t>
  </si>
  <si>
    <t>DM 2020-007-001</t>
  </si>
  <si>
    <t>PEO-2020-0065 &amp; 2020-0082 Rebidding</t>
  </si>
  <si>
    <t>2005-255</t>
  </si>
  <si>
    <t>2020-ODY-06-177</t>
  </si>
  <si>
    <t>DENR XII-SP-20-2020</t>
  </si>
  <si>
    <t>101-2020-05-0239</t>
  </si>
  <si>
    <t>STF-PB-029</t>
  </si>
  <si>
    <t>164-20-02-010</t>
  </si>
  <si>
    <t>2020-42</t>
  </si>
  <si>
    <t>SVP20-438</t>
  </si>
  <si>
    <t>2006-261</t>
  </si>
  <si>
    <t>Quotation No.20-06-327</t>
  </si>
  <si>
    <t>GOODS-NP-2020-088</t>
  </si>
  <si>
    <t>98</t>
  </si>
  <si>
    <t>202042</t>
  </si>
  <si>
    <t>0780 - 20</t>
  </si>
  <si>
    <t>B-81-2020</t>
  </si>
  <si>
    <t>SVP-2020-06-90</t>
  </si>
  <si>
    <t>2020-03-007</t>
  </si>
  <si>
    <t>geps-2020-019</t>
  </si>
  <si>
    <t>GOODS-NP-2020-089</t>
  </si>
  <si>
    <t>PB-0620-33</t>
  </si>
  <si>
    <t>20-04-00321</t>
  </si>
  <si>
    <t>20C00047</t>
  </si>
  <si>
    <t>BCS-2020-0099</t>
  </si>
  <si>
    <t>AREA V- 2020- SVP-019</t>
  </si>
  <si>
    <t>2020-30</t>
  </si>
  <si>
    <t>ORF 10923-2020-07</t>
  </si>
  <si>
    <t>2020-03-008</t>
  </si>
  <si>
    <t>PR. No. 101-20-05-015</t>
  </si>
  <si>
    <t>LGU LAUREL 20-06-001</t>
  </si>
  <si>
    <t>97</t>
  </si>
  <si>
    <t>bgy-793</t>
  </si>
  <si>
    <t>060920</t>
  </si>
  <si>
    <t>04-2020</t>
  </si>
  <si>
    <t>20GG0031-G (Rebid)</t>
  </si>
  <si>
    <t>100</t>
  </si>
  <si>
    <t>99</t>
  </si>
  <si>
    <t>20-05-290</t>
  </si>
  <si>
    <t>GF-PB-030</t>
  </si>
  <si>
    <t>2020-0610-1G</t>
  </si>
  <si>
    <t>GOODS-NP-2020-090</t>
  </si>
  <si>
    <t>2020-05-00426</t>
  </si>
  <si>
    <t>INFRA-20-06</t>
  </si>
  <si>
    <t>Goods 0028-2020</t>
  </si>
  <si>
    <t>geps-2020-020</t>
  </si>
  <si>
    <t>2LSSM2020B-159</t>
  </si>
  <si>
    <t>BOD20-082</t>
  </si>
  <si>
    <t>MJJLEC009-2020-02</t>
  </si>
  <si>
    <t>20CSNH04</t>
  </si>
  <si>
    <t>101</t>
  </si>
  <si>
    <t>2020-03-009</t>
  </si>
  <si>
    <t>202043</t>
  </si>
  <si>
    <t>20-05-289</t>
  </si>
  <si>
    <t>AREA V- 2020- SVP-020</t>
  </si>
  <si>
    <t>BACII-2020-14</t>
  </si>
  <si>
    <t>BCS-2020-0100</t>
  </si>
  <si>
    <t>100-1917-20-303</t>
  </si>
  <si>
    <t>2020-06-03-46</t>
  </si>
  <si>
    <t>PR. No. 101-20-05-017</t>
  </si>
  <si>
    <t>17-2020</t>
  </si>
  <si>
    <t>INFRA20200604</t>
  </si>
  <si>
    <t>PN 10-2020</t>
  </si>
  <si>
    <t>2020-0610-2G</t>
  </si>
  <si>
    <t>2020-56</t>
  </si>
  <si>
    <t>geps-2020-021</t>
  </si>
  <si>
    <t>PR. No. 101-20-05-018</t>
  </si>
  <si>
    <t>2020-06-029</t>
  </si>
  <si>
    <t>2020-BGY353</t>
  </si>
  <si>
    <t>6061</t>
  </si>
  <si>
    <t>2020-03-010</t>
  </si>
  <si>
    <t>OCM-GOODS-2020-F-001</t>
  </si>
  <si>
    <t>RGMO-PB-031</t>
  </si>
  <si>
    <t>4Ps-2020-07-0183</t>
  </si>
  <si>
    <t>2020-0610-3G</t>
  </si>
  <si>
    <t>2020-03-011</t>
  </si>
  <si>
    <t>20HD0093</t>
  </si>
  <si>
    <t>19B00060</t>
  </si>
  <si>
    <t>2020-PB-008</t>
  </si>
  <si>
    <t>2LSSM2020B-160</t>
  </si>
  <si>
    <t>RGMO-PB-032</t>
  </si>
  <si>
    <t>2020-PB-009</t>
  </si>
  <si>
    <t>20CSNH05</t>
  </si>
  <si>
    <t>2020-0610-4G</t>
  </si>
  <si>
    <t>geps-2020-022</t>
  </si>
  <si>
    <t>PB-0620-34</t>
  </si>
  <si>
    <t>ITB No. GOP/20-DSWD-037</t>
  </si>
  <si>
    <t>20-05-288</t>
  </si>
  <si>
    <t>2020 - 021</t>
  </si>
  <si>
    <t>2020-0610-5G</t>
  </si>
  <si>
    <t>20-03-00191</t>
  </si>
  <si>
    <t>2020-PB-011</t>
  </si>
  <si>
    <t>2LSSM2020A-161</t>
  </si>
  <si>
    <t>2020-07-17-INFRA</t>
  </si>
  <si>
    <t>STF-PB-033</t>
  </si>
  <si>
    <t>2LSSM2020B-162</t>
  </si>
  <si>
    <t>2020-064</t>
  </si>
  <si>
    <t>20GG0033-G (Rebid)</t>
  </si>
  <si>
    <t>2020-04-0331  CIS</t>
  </si>
  <si>
    <t>20NC0122</t>
  </si>
  <si>
    <t>2LSSM2020B-163</t>
  </si>
  <si>
    <t>2LSSM2020A-165</t>
  </si>
  <si>
    <t>19B00061</t>
  </si>
  <si>
    <t>20BC0184</t>
  </si>
  <si>
    <t>100-20-05-0336</t>
  </si>
  <si>
    <t>20CSBG001</t>
  </si>
  <si>
    <t>2020-PB-013</t>
  </si>
  <si>
    <t>03-06-2020</t>
  </si>
  <si>
    <t>20-06-290</t>
  </si>
  <si>
    <t>PRDP-RPCOXI-SIC-011-2020</t>
  </si>
  <si>
    <t>DWD-03-2020</t>
  </si>
  <si>
    <t>2LSSM2020B-164</t>
  </si>
  <si>
    <t>2020-065</t>
  </si>
  <si>
    <t>100-1917-20-321</t>
  </si>
  <si>
    <t>PB 20-020-5</t>
  </si>
  <si>
    <t>PB-0620-35</t>
  </si>
  <si>
    <t>2LSSM2020A-167</t>
  </si>
  <si>
    <t>2LSSM2020B-166</t>
  </si>
  <si>
    <t>QRF2020-B1-NS-REPAIR-L1</t>
  </si>
  <si>
    <t>20NC0123</t>
  </si>
  <si>
    <t>06092005</t>
  </si>
  <si>
    <t>2LSSM2020A-168</t>
  </si>
  <si>
    <t>20NC0124</t>
  </si>
  <si>
    <t>BCS-2020-0103</t>
  </si>
  <si>
    <t>RVII-SQR-2020-06-001</t>
  </si>
  <si>
    <t>PB-0620-36</t>
  </si>
  <si>
    <t>110-2020</t>
  </si>
  <si>
    <t>2020-PB-014</t>
  </si>
  <si>
    <t>20CB0065</t>
  </si>
  <si>
    <t>20BC0202</t>
  </si>
  <si>
    <t>M-20-013</t>
  </si>
  <si>
    <t>20-06-291</t>
  </si>
  <si>
    <t>2020-68</t>
  </si>
  <si>
    <t>QRF2020-B1-NS-REPAIR-L2</t>
  </si>
  <si>
    <t>BSI-PPRLESS BRGY CNCL</t>
  </si>
  <si>
    <t>QRF2020-B1-NS-REPAIR-L3</t>
  </si>
  <si>
    <t>2020-01-0003</t>
  </si>
  <si>
    <t>PB-0620-37</t>
  </si>
  <si>
    <t>20BC0204</t>
  </si>
  <si>
    <t>20CB0068</t>
  </si>
  <si>
    <t>PB-0620-38</t>
  </si>
  <si>
    <t>20CB0067</t>
  </si>
  <si>
    <t>20-06-292</t>
  </si>
  <si>
    <t>06092006</t>
  </si>
  <si>
    <t>20NC0125</t>
  </si>
  <si>
    <t>09087 &amp; 09320</t>
  </si>
  <si>
    <t>20CB0070</t>
  </si>
  <si>
    <t>20BC0209</t>
  </si>
  <si>
    <t>20BC0207</t>
  </si>
  <si>
    <t>04-06-2020</t>
  </si>
  <si>
    <t>20CB0069</t>
  </si>
  <si>
    <t>20-06-293</t>
  </si>
  <si>
    <t>BSI-HHOLD TRASHBINS</t>
  </si>
  <si>
    <t>20CB0066</t>
  </si>
  <si>
    <t>QRF2020-B1-NS-REPAIR-L4</t>
  </si>
  <si>
    <t>20BC0210</t>
  </si>
  <si>
    <t>2020-06-09 LGU</t>
  </si>
  <si>
    <t>PB 20-02-14A</t>
  </si>
  <si>
    <t>20-05-041</t>
  </si>
  <si>
    <t>2020-053</t>
  </si>
  <si>
    <t>6062</t>
  </si>
  <si>
    <t>QRF2020-B1-NS-REPAIR-L6</t>
  </si>
  <si>
    <t>BARANGAY LISON VALLEY-1</t>
  </si>
  <si>
    <t>wpu-2020-007</t>
  </si>
  <si>
    <t>PB 20-02-15A</t>
  </si>
  <si>
    <t>QRF2020-B1-NS-REPAIR-L5</t>
  </si>
  <si>
    <t>QRF2020-B1-NS-REPAIR-L7</t>
  </si>
  <si>
    <t>BARANGAY GUBAC-1</t>
  </si>
  <si>
    <t>BARANGAY LISON VALLEY -2</t>
  </si>
  <si>
    <t>PS-20-06-003</t>
  </si>
  <si>
    <t>WPU-2020-008</t>
  </si>
  <si>
    <t>RFQ NO. 2020-06-01</t>
  </si>
  <si>
    <t>MG-A5O20-002</t>
  </si>
  <si>
    <t>4PS-2020-06-0186</t>
  </si>
  <si>
    <t>20MF0081</t>
  </si>
  <si>
    <t>2020-PB-012</t>
  </si>
  <si>
    <t>QRF2020-B1-NS-REPAIR-L8</t>
  </si>
  <si>
    <t>ITB - Infra - 2020 - 06-001</t>
  </si>
  <si>
    <t>20MF0080</t>
  </si>
  <si>
    <t>20DL0204</t>
  </si>
  <si>
    <t>20DL0203</t>
  </si>
  <si>
    <t>20MF0082</t>
  </si>
  <si>
    <t>240</t>
  </si>
  <si>
    <t>WPU-2020-009</t>
  </si>
  <si>
    <t>KAP-20-05 (2nd Posting)</t>
  </si>
  <si>
    <t>20MF0083</t>
  </si>
  <si>
    <t>20DL0205</t>
  </si>
  <si>
    <t>2020-015</t>
  </si>
  <si>
    <t>QRF2020-B1-NS-REPAIR-L9</t>
  </si>
  <si>
    <t>QRF2020-B1-NS-REPAIR-L11</t>
  </si>
  <si>
    <t>QRF2020-B1-NS-REPAIR-L10</t>
  </si>
  <si>
    <t>20MF0085</t>
  </si>
  <si>
    <t>242</t>
  </si>
  <si>
    <t>sjom-goods-0003-2020</t>
  </si>
  <si>
    <t>Lgn1 - SVP2020-06-0006</t>
  </si>
  <si>
    <t>20MF0084</t>
  </si>
  <si>
    <t>20DL0207</t>
  </si>
  <si>
    <t>20DL0206</t>
  </si>
  <si>
    <t>B06-03-2020</t>
  </si>
  <si>
    <t>20MF0086</t>
  </si>
  <si>
    <t>B06-04-2020</t>
  </si>
  <si>
    <t>2020-06-09.1</t>
  </si>
  <si>
    <t>Lgn1 - SVP2020-06-0007</t>
  </si>
  <si>
    <t>B06-05-2020</t>
  </si>
  <si>
    <t>20MF0087</t>
  </si>
  <si>
    <t>QRF2020-B1-NS-REPAIR-L12</t>
  </si>
  <si>
    <t>sjom-goods-0004-2020</t>
  </si>
  <si>
    <t>100-20-05-0339</t>
  </si>
  <si>
    <t>RFQ NO. 2020-06-02</t>
  </si>
  <si>
    <t>RFQ NO. 2020-06-03</t>
  </si>
  <si>
    <t>2020-06-0160</t>
  </si>
  <si>
    <t>MG-A5M20-100</t>
  </si>
  <si>
    <t>RFQ NO. 2020-06-04</t>
  </si>
  <si>
    <t>RFQ NO. 2020-06-05</t>
  </si>
  <si>
    <t>sjom-goods-0005-2020</t>
  </si>
  <si>
    <t>ITB-2020-038</t>
  </si>
  <si>
    <t>RFQ NO. 2020-06-06</t>
  </si>
  <si>
    <t>MGPQ-RML-2020-06-003</t>
  </si>
  <si>
    <t>2020-06-0157</t>
  </si>
  <si>
    <t>sjom-goods-0006-2020</t>
  </si>
  <si>
    <t>MGPIN-2020-06-050</t>
  </si>
  <si>
    <t>2020-06-0004</t>
  </si>
  <si>
    <t>sjom-goods-0007-2020</t>
  </si>
  <si>
    <t>MGPIN-2020-02-015</t>
  </si>
  <si>
    <t>2020-06-0156</t>
  </si>
  <si>
    <t>QRF2020-B1-NS-REPAIR-L13</t>
  </si>
  <si>
    <t>BAC-PB-2020-36</t>
  </si>
  <si>
    <t>BAC-PB-2020-37</t>
  </si>
  <si>
    <t>MGPIN-2020-02-013</t>
  </si>
  <si>
    <t>DV -2020-G15</t>
  </si>
  <si>
    <t>ITB-2020-064</t>
  </si>
  <si>
    <t>QRF2020-B1-NS-REPAIR-L15</t>
  </si>
  <si>
    <t>REI - 2020 - 01</t>
  </si>
  <si>
    <t>ITB-2020-063</t>
  </si>
  <si>
    <t>MGPIN-2020-06-051</t>
  </si>
  <si>
    <t>QRF2020-B1-NS-REPAIR-L18</t>
  </si>
  <si>
    <t>QRF2020-B1-NS-REPAIR-L14</t>
  </si>
  <si>
    <t>127 – 2020</t>
  </si>
  <si>
    <t>202006015</t>
  </si>
  <si>
    <t>128 – 2020</t>
  </si>
  <si>
    <t>MKWD2020-046</t>
  </si>
  <si>
    <t>2020-06-0005</t>
  </si>
  <si>
    <t>RFQ – 2020 – 020</t>
  </si>
  <si>
    <t>QRF2020-B1-NS-REPAIR-L17</t>
  </si>
  <si>
    <t>ANTI-10-20</t>
  </si>
  <si>
    <t>126 – 2020</t>
  </si>
  <si>
    <t>QRF2020-B1-NS-REPAIR-L16</t>
  </si>
  <si>
    <t>20CE0209</t>
  </si>
  <si>
    <t>202006016</t>
  </si>
  <si>
    <t>202006017</t>
  </si>
  <si>
    <t>302775-2020-06-05-032</t>
  </si>
  <si>
    <t>QRF2020-B1-NS-REPAIR-L21</t>
  </si>
  <si>
    <t>QRF2020-B1-NS-REPAIR-L22</t>
  </si>
  <si>
    <t>QRF2020-B1-NS-REPAIR-L25</t>
  </si>
  <si>
    <t>2020-06-0007</t>
  </si>
  <si>
    <t>QRF2020-B1-NS-REPAIR-L19</t>
  </si>
  <si>
    <t>QRF2020-B1-NS-REPAIR-L24</t>
  </si>
  <si>
    <t>202005247</t>
  </si>
  <si>
    <t>QRF2020-B1-NS-REPAIR-L20</t>
  </si>
  <si>
    <t>202005249</t>
  </si>
  <si>
    <t>2020-06-0006</t>
  </si>
  <si>
    <t>2020-06-0009</t>
  </si>
  <si>
    <t>QNV-020-2020</t>
  </si>
  <si>
    <t>202005245</t>
  </si>
  <si>
    <t>20GKF0029</t>
  </si>
  <si>
    <t>512</t>
  </si>
  <si>
    <t>QRF2020-B1-NS-REPAIR-L23</t>
  </si>
  <si>
    <t>202006255</t>
  </si>
  <si>
    <t>QNV-021-2020</t>
  </si>
  <si>
    <t>2019-01</t>
  </si>
  <si>
    <t>RDD-GO 2020-03</t>
  </si>
  <si>
    <t>20GKF0030</t>
  </si>
  <si>
    <t>20GKF0031</t>
  </si>
  <si>
    <t>RDD-CW2020-13</t>
  </si>
  <si>
    <t>20GKF0032</t>
  </si>
  <si>
    <t>20GKF0034</t>
  </si>
  <si>
    <t>20-006</t>
  </si>
  <si>
    <t>ESPERANZA-GDS-2020-06-08</t>
  </si>
  <si>
    <t>20GKF0033</t>
  </si>
  <si>
    <t>100-20-05-264</t>
  </si>
  <si>
    <t>20GKF0036</t>
  </si>
  <si>
    <t>100-20-03-223</t>
  </si>
  <si>
    <t>QNV-022-2020</t>
  </si>
  <si>
    <t>20GKF0037</t>
  </si>
  <si>
    <t>20-007</t>
  </si>
  <si>
    <t>RFQ-20-0002</t>
  </si>
  <si>
    <t>DGS PR No. 1000032340</t>
  </si>
  <si>
    <t>20GKF0035</t>
  </si>
  <si>
    <t>20GKF0038</t>
  </si>
  <si>
    <t>PR 74743</t>
  </si>
  <si>
    <t>rdd-cw-2020-12</t>
  </si>
  <si>
    <t>202006089</t>
  </si>
  <si>
    <t>PB-20-212</t>
  </si>
  <si>
    <t>100-20-05-262</t>
  </si>
  <si>
    <t>90-20</t>
  </si>
  <si>
    <t>DGS PR No. 1000032961</t>
  </si>
  <si>
    <t>2020 - 06 - 16 (18 - Small Value Procurement)</t>
  </si>
  <si>
    <t>20GKF0040</t>
  </si>
  <si>
    <t>91-20</t>
  </si>
  <si>
    <t>BAC-HO-GS No. 2020-0250 dated 29 May 2020 (ITIOD)</t>
  </si>
  <si>
    <t>QNV-023-2020</t>
  </si>
  <si>
    <t>VMC-2020-047</t>
  </si>
  <si>
    <t>3-01-001-20-076</t>
  </si>
  <si>
    <t>20GKF0039</t>
  </si>
  <si>
    <t>PB-20-304</t>
  </si>
  <si>
    <t>2020 - 06 - 017 (85 - Shopping)</t>
  </si>
  <si>
    <t>PB-20-303</t>
  </si>
  <si>
    <t>PB-20-313</t>
  </si>
  <si>
    <t>PB-20-306</t>
  </si>
  <si>
    <t>100-20-05-269</t>
  </si>
  <si>
    <t>2002-068</t>
  </si>
  <si>
    <t>20OH0148</t>
  </si>
  <si>
    <t>PB-20-310</t>
  </si>
  <si>
    <t>PB-20-311</t>
  </si>
  <si>
    <t>PB-20-305</t>
  </si>
  <si>
    <t>PB-20-309</t>
  </si>
  <si>
    <t>PB-20-312</t>
  </si>
  <si>
    <t>CONDUCT DISTRICT PROFESSIONAL MEETING</t>
  </si>
  <si>
    <t>202005013</t>
  </si>
  <si>
    <t>PB-20-308</t>
  </si>
  <si>
    <t>20OH0102 Re-ads</t>
  </si>
  <si>
    <t>CONDUCT INSET (May 2020 &amp; October 2020)</t>
  </si>
  <si>
    <t>20OH0149</t>
  </si>
  <si>
    <t>PB-20-307</t>
  </si>
  <si>
    <t>PR 1-20-02-0376 - AIAS (REBIDDING)</t>
  </si>
  <si>
    <t>CONDUCT WORLD TEACHER'S DAY 2020</t>
  </si>
  <si>
    <t>PR 1-20-02-0341 - CSWDO (REBIDDING)</t>
  </si>
  <si>
    <t>PB-20-316</t>
  </si>
  <si>
    <t>20OH0150</t>
  </si>
  <si>
    <t>PR 1-20-03-0447 - CED</t>
  </si>
  <si>
    <t>PR 1-20-03-0462 - CED</t>
  </si>
  <si>
    <t>PR 1-20-03-0439 - CED</t>
  </si>
  <si>
    <t>PR 1-20-03-0435 - CED</t>
  </si>
  <si>
    <t>20OH0151</t>
  </si>
  <si>
    <t>PR 1-20-03-0446 - TOURISM</t>
  </si>
  <si>
    <t>PR 1-20-03-0436 - AGRI</t>
  </si>
  <si>
    <t>PR 9-20-02-0384 - CITY HOSPITAL (REBIDDING)</t>
  </si>
  <si>
    <t>20CSZ004</t>
  </si>
  <si>
    <t>PR 1-20-02-0393 - SPORTS (REBIDDING)</t>
  </si>
  <si>
    <t>PR 1-20-03-0426 - CED</t>
  </si>
  <si>
    <t>PR 1-20-03-0418 - CEMO</t>
  </si>
  <si>
    <t>PR 18-20-03-0431 - CWD</t>
  </si>
  <si>
    <t>2020025</t>
  </si>
  <si>
    <t>PR 1-20-03-0438 - BAC</t>
  </si>
  <si>
    <t>PB2020-07-042I</t>
  </si>
  <si>
    <t>2020-CW-016</t>
  </si>
  <si>
    <t>PB2020-07-043I</t>
  </si>
  <si>
    <t>PB2020-06-057G</t>
  </si>
  <si>
    <t>PR# 20-06-0573</t>
  </si>
  <si>
    <t>lgu-es-20-04-074</t>
  </si>
  <si>
    <t>PB2020-06-041I</t>
  </si>
  <si>
    <t>DM2020-06-023.2</t>
  </si>
  <si>
    <t>0003</t>
  </si>
  <si>
    <t>GOODS-009-2020</t>
  </si>
  <si>
    <t>DM2020-06-023.1</t>
  </si>
  <si>
    <t>2020-INFRA-5C</t>
  </si>
  <si>
    <t>ME2020-06-023.3</t>
  </si>
  <si>
    <t>100-20-05-0543</t>
  </si>
  <si>
    <t>20-1325</t>
  </si>
  <si>
    <t>100-20-05-0553</t>
  </si>
  <si>
    <t>2020-GOODS-20A</t>
  </si>
  <si>
    <t>100-20-05-0565</t>
  </si>
  <si>
    <t>20-05-235</t>
  </si>
  <si>
    <t>17202005052</t>
  </si>
  <si>
    <t>20CB-GSC-289 PURCHASE OF DIESEL AND GASOLINE FOR B</t>
  </si>
  <si>
    <t>200003</t>
  </si>
  <si>
    <t>300-20-03-0412</t>
  </si>
  <si>
    <t>100-20-05-0560</t>
  </si>
  <si>
    <t>DM2020-06-023.5</t>
  </si>
  <si>
    <t>20F00124</t>
  </si>
  <si>
    <t>20CB-GSC-291 PURCHASE OF LANDLINE SUBSCRIPTION W/</t>
  </si>
  <si>
    <t>DM2020-06-023.4</t>
  </si>
  <si>
    <t>2020-GOODS-19A</t>
  </si>
  <si>
    <t>20CB-GSC-288 PURCHASE OF CUSTOMIZE FURNITURE &amp; FIX</t>
  </si>
  <si>
    <t>2020-031 LOT 5</t>
  </si>
  <si>
    <t>AFP-RSBS 2020 PSSL395M02</t>
  </si>
  <si>
    <t>DM2020-06-023.6</t>
  </si>
  <si>
    <t>PB2020-07-044I</t>
  </si>
  <si>
    <t>DM2020-06-023.7</t>
  </si>
  <si>
    <t>19GF00029</t>
  </si>
  <si>
    <t>ME2020-05-024</t>
  </si>
  <si>
    <t>20CB-GSC-298 PURCHASE OF TOOLS AND MATERIALS FOR R</t>
  </si>
  <si>
    <t>2020-GOODS-10B</t>
  </si>
  <si>
    <t>2020-INFRA-10A</t>
  </si>
  <si>
    <t>100-20-05-0555</t>
  </si>
  <si>
    <t>20CB-GSC-299 PRINTING OF VARIOUS NON-ACCOUNTABLE F</t>
  </si>
  <si>
    <t>100-20-05-0582</t>
  </si>
  <si>
    <t>PB2020-06-060G</t>
  </si>
  <si>
    <t>PB2020-07-045I</t>
  </si>
  <si>
    <t>2020-INFRA-11A</t>
  </si>
  <si>
    <t>PB2020-06-058G</t>
  </si>
  <si>
    <t>PB2020-06-059G</t>
  </si>
  <si>
    <t>20-06-02-055</t>
  </si>
  <si>
    <t>PB2020-07-046I</t>
  </si>
  <si>
    <t>20-00040</t>
  </si>
  <si>
    <t>CR 9-19-10-0005 - CITY HOSPITAL (REBIDDING OF VARI</t>
  </si>
  <si>
    <t>2020-INFRA-13A</t>
  </si>
  <si>
    <t>20GA0214</t>
  </si>
  <si>
    <t>PBG-2020-06-17</t>
  </si>
  <si>
    <t>LGU-I-016-2020</t>
  </si>
  <si>
    <t>17202005053</t>
  </si>
  <si>
    <t>20GA0215</t>
  </si>
  <si>
    <t>19GF00030</t>
  </si>
  <si>
    <t>PR 1-20-02-0400 - CSWDO</t>
  </si>
  <si>
    <t>PB-06092020-1</t>
  </si>
  <si>
    <t>60-2020</t>
  </si>
  <si>
    <t>PR 1-20-02-0381 - CHO</t>
  </si>
  <si>
    <t>20GA0130</t>
  </si>
  <si>
    <t>BAC 2020-E06</t>
  </si>
  <si>
    <t>20GA0167</t>
  </si>
  <si>
    <t>PB20-002</t>
  </si>
  <si>
    <t>PR 1-20-02-0382 - CED</t>
  </si>
  <si>
    <t>2020-GOODS-243</t>
  </si>
  <si>
    <t>20GA0157</t>
  </si>
  <si>
    <t>INFRA-20-06-0592</t>
  </si>
  <si>
    <t>20GA0142</t>
  </si>
  <si>
    <t>PR 1-20-02-0343 - CED (REBIDDING)</t>
  </si>
  <si>
    <t>B-19-20-002</t>
  </si>
  <si>
    <t>IB NO. 2020-06-29 (12)</t>
  </si>
  <si>
    <t>PR 1-20-02-0394 - CED</t>
  </si>
  <si>
    <t>GS 2020-006-020</t>
  </si>
  <si>
    <t>PR 1-20-02-0320 - CHO</t>
  </si>
  <si>
    <t>63-2020</t>
  </si>
  <si>
    <t>PR 1-20-03-0444 - CMO</t>
  </si>
  <si>
    <t>PR - 11</t>
  </si>
  <si>
    <t>BAC-SBSL-MENRO-2020-10A</t>
  </si>
  <si>
    <t>65-2020</t>
  </si>
  <si>
    <t>64-2020</t>
  </si>
  <si>
    <t>MMP - 12</t>
  </si>
  <si>
    <t>PR 1-20-02-0375 - BJMP</t>
  </si>
  <si>
    <t>PR 1-20-03-0499 - CEMO</t>
  </si>
  <si>
    <t>PR 1-20-03-0516 - CEMO (BD)</t>
  </si>
  <si>
    <t>61-2020</t>
  </si>
  <si>
    <t>PR 1-20-03-0511 - CED</t>
  </si>
  <si>
    <t>PR 1-20-05-0581 - CMO</t>
  </si>
  <si>
    <t>PR 1-20-02-0392 - CLDO</t>
  </si>
  <si>
    <t>2020-08-05</t>
  </si>
  <si>
    <t>PR 1-20-03-0433 - CMO</t>
  </si>
  <si>
    <t>66-2020</t>
  </si>
  <si>
    <t>PR 1-20-03-0432 - CMO</t>
  </si>
  <si>
    <t>0282</t>
  </si>
  <si>
    <t>0270</t>
  </si>
  <si>
    <t>0274</t>
  </si>
  <si>
    <t>0280</t>
  </si>
  <si>
    <t>0278</t>
  </si>
  <si>
    <t>0272</t>
  </si>
  <si>
    <t>0276</t>
  </si>
  <si>
    <t>0271</t>
  </si>
  <si>
    <t>0279</t>
  </si>
  <si>
    <t>0273</t>
  </si>
  <si>
    <t>0275</t>
  </si>
  <si>
    <t>DPF 300-20-01-00296</t>
  </si>
  <si>
    <t>0277</t>
  </si>
  <si>
    <t>100-20-05-0210</t>
  </si>
  <si>
    <t>0284</t>
  </si>
  <si>
    <t>GOV-20-0331-NP (SV)</t>
  </si>
  <si>
    <t>PR 4-20-02-0304 - CWD</t>
  </si>
  <si>
    <t>PR 4-20-02-0377 - CWD</t>
  </si>
  <si>
    <t>0285</t>
  </si>
  <si>
    <t>20-101-013</t>
  </si>
  <si>
    <t>0286</t>
  </si>
  <si>
    <t>2020-06-82</t>
  </si>
  <si>
    <t>PR 9-20-02-0364 - CITY HOSPITAL</t>
  </si>
  <si>
    <t>0283</t>
  </si>
  <si>
    <t>PR 4-20-02-0285 - CWD</t>
  </si>
  <si>
    <t>PR0007-20 PASSO</t>
  </si>
  <si>
    <t>2020-0900-003</t>
  </si>
  <si>
    <t>cgb-2020-06-008</t>
  </si>
  <si>
    <t>ITB 2020-06-032 (GOODS)</t>
  </si>
  <si>
    <t>GAMOT 200-20-06-06112</t>
  </si>
  <si>
    <t>PEPO 200-20-05-05989</t>
  </si>
  <si>
    <t>2020-06-072bid</t>
  </si>
  <si>
    <t>IB NO. 2020-06-29 (13)</t>
  </si>
  <si>
    <t>2020-06-78</t>
  </si>
  <si>
    <t>M-20-010</t>
  </si>
  <si>
    <t>PEO-19-1489-B (Re-Bid)</t>
  </si>
  <si>
    <t>PEO-20-0482-B</t>
  </si>
  <si>
    <t>IPH-19-1021-B (Re-Bid)</t>
  </si>
  <si>
    <t>2020-06-75</t>
  </si>
  <si>
    <t>PEO-20-0551-B</t>
  </si>
  <si>
    <t>FRT-19-628-B (Re-Bid 2)</t>
  </si>
  <si>
    <t>PEO-19-1502-B</t>
  </si>
  <si>
    <t>PB-06092020-2</t>
  </si>
  <si>
    <t>COA-20-020-B</t>
  </si>
  <si>
    <t>SDH-18-2253-B (Re-Bid)</t>
  </si>
  <si>
    <t>2020-06-88</t>
  </si>
  <si>
    <t>2020-06-76</t>
  </si>
  <si>
    <t>2020-06-63A</t>
  </si>
  <si>
    <t>PEO-20-0554-B</t>
  </si>
  <si>
    <t>2020-06-53A</t>
  </si>
  <si>
    <t>PEO-19-1487-B (Re-Bid)</t>
  </si>
  <si>
    <t>2020-06-81</t>
  </si>
  <si>
    <t>AGINF2020-0609</t>
  </si>
  <si>
    <t>2020-06-79</t>
  </si>
  <si>
    <t>PEO-19-2036-B</t>
  </si>
  <si>
    <t>INFRASIB-2020-03</t>
  </si>
  <si>
    <t>INFRASIB-2020-02</t>
  </si>
  <si>
    <t>PB-06092020-4</t>
  </si>
  <si>
    <t>DJRDH 200-20-05-06027</t>
  </si>
  <si>
    <t>PB-06092020-3</t>
  </si>
  <si>
    <t>INFRASIB-2020-01</t>
  </si>
  <si>
    <t>GAMOT 200-20-06-06109</t>
  </si>
  <si>
    <t>PEO-19-2099-B</t>
  </si>
  <si>
    <t>IAEB 2020-005</t>
  </si>
  <si>
    <t>IAEB 2020-002</t>
  </si>
  <si>
    <t>EN 200-20-05-06083</t>
  </si>
  <si>
    <t>SV 200-20-04-04637</t>
  </si>
  <si>
    <t>PEO-20-0383-B</t>
  </si>
  <si>
    <t>PEO-20-0381-B</t>
  </si>
  <si>
    <t>INFRASIB-2020-06</t>
  </si>
  <si>
    <t>INFRASIB-2020-05</t>
  </si>
  <si>
    <t>SB1 NPPH 200-20-05-05696</t>
  </si>
  <si>
    <t>2020-06-08-001</t>
  </si>
  <si>
    <t>2020-06-08-002</t>
  </si>
  <si>
    <t>INFRASIB-2020-04</t>
  </si>
  <si>
    <t>2020-06-83</t>
  </si>
  <si>
    <t>2020-06-062</t>
  </si>
  <si>
    <t>2020-06-80</t>
  </si>
  <si>
    <t>RFQ NO. SVP-007-2020</t>
  </si>
  <si>
    <t>682020</t>
  </si>
  <si>
    <t>682025</t>
  </si>
  <si>
    <t>2020-33a-02</t>
  </si>
  <si>
    <t>SSF-CW-DF-2020-03</t>
  </si>
  <si>
    <t>ITB No. 2020-003-CSL</t>
  </si>
  <si>
    <t>2020-05-0109/2020-06-0110</t>
  </si>
  <si>
    <t>2020-64-04</t>
  </si>
  <si>
    <t>2020-74-03</t>
  </si>
  <si>
    <t>RFQ NO. SVP-006-2020</t>
  </si>
  <si>
    <t>RFQ NO. SVP-008-2020</t>
  </si>
  <si>
    <t>SSF-CW-DF-2020-04</t>
  </si>
  <si>
    <t>682024</t>
  </si>
  <si>
    <t>682023</t>
  </si>
  <si>
    <t>CW-DF/ES-2020-01</t>
  </si>
  <si>
    <t>ITB-2020-002-CSL</t>
  </si>
  <si>
    <t>682021</t>
  </si>
  <si>
    <t>682022</t>
  </si>
  <si>
    <t>2020-06-0582 TGD</t>
  </si>
  <si>
    <t>OLI-20-03</t>
  </si>
  <si>
    <t>05-063P-B</t>
  </si>
  <si>
    <t>20-1282</t>
  </si>
  <si>
    <t>DAVOR-2020-01</t>
  </si>
  <si>
    <t>Tadian LGU 2020-03</t>
  </si>
  <si>
    <t>2020-Naguiddayan-01</t>
  </si>
  <si>
    <t>AO-2020-02-0152</t>
  </si>
  <si>
    <t>2020-06-0587 TDG</t>
  </si>
  <si>
    <t>BulSU-BAC-G-2020-14</t>
  </si>
  <si>
    <t>Kapalong2020094</t>
  </si>
  <si>
    <t>OLI-20-04</t>
  </si>
  <si>
    <t>GOODS 2020-21</t>
  </si>
  <si>
    <t>2020-BrgyV-02</t>
  </si>
  <si>
    <t>20-1281</t>
  </si>
  <si>
    <t>036-20</t>
  </si>
  <si>
    <t>ETSD-2020-02-0190</t>
  </si>
  <si>
    <t>Kapalong2020093</t>
  </si>
  <si>
    <t>Kapalong2020096</t>
  </si>
  <si>
    <t>CY 2020 QRF-SCHOOL GROUND SLOPE PROTECTION AT GOHA</t>
  </si>
  <si>
    <t>SVP-2020-06-87</t>
  </si>
  <si>
    <t>2020-CENTRO 01-007</t>
  </si>
  <si>
    <t>PPSC BAC IB NO.005 (G) 2020</t>
  </si>
  <si>
    <t>20GA0141</t>
  </si>
  <si>
    <t>Kapalong2020095</t>
  </si>
  <si>
    <t>20-1141</t>
  </si>
  <si>
    <t>0853</t>
  </si>
  <si>
    <t>2020-G-068</t>
  </si>
  <si>
    <t>Kapalong2020098</t>
  </si>
  <si>
    <t>Kapalong2020097</t>
  </si>
  <si>
    <t>GOODS 2020-20</t>
  </si>
  <si>
    <t>0854</t>
  </si>
  <si>
    <t>LGU2020-06-44A</t>
  </si>
  <si>
    <t>ENG'G PASBAC 001-20</t>
  </si>
  <si>
    <t>CB-INFRA-2020-002</t>
  </si>
  <si>
    <t>Kapalong2020099</t>
  </si>
  <si>
    <t>20-034 (Re-bid)</t>
  </si>
  <si>
    <t>20-033 (Re-bid)</t>
  </si>
  <si>
    <t>2020-037</t>
  </si>
  <si>
    <t>PR 9-20-03-0503 - CITY HOSPITAL</t>
  </si>
  <si>
    <t>2020 Anapolon 2</t>
  </si>
  <si>
    <t>LGUPROC 2020 -101N</t>
  </si>
  <si>
    <t>Kapalong2020100</t>
  </si>
  <si>
    <t>PR 9-20-04-0552 - CITY HOSPITAL</t>
  </si>
  <si>
    <t>ETSD-2020-02-0191</t>
  </si>
  <si>
    <t>ENG’G PASBAC 013-20 Supply and Delivery of Materia</t>
  </si>
  <si>
    <t>GOODS 2020-17</t>
  </si>
  <si>
    <t>2020-06-308</t>
  </si>
  <si>
    <t>PR 9-20-05-0571 - CITY HOSPITAL</t>
  </si>
  <si>
    <t>GOODS 2020-19</t>
  </si>
  <si>
    <t>108-2020</t>
  </si>
  <si>
    <t>Kapalong2020102</t>
  </si>
  <si>
    <t>ENG’G PASBAC 012-20 Supply and Delivery of Materia</t>
  </si>
  <si>
    <t>PR 221-20-02-0336 - CED (REBIDDING)</t>
  </si>
  <si>
    <t>PR # 2020-6-1401</t>
  </si>
  <si>
    <t>ADS-1325-20</t>
  </si>
  <si>
    <t>GOODS 2020-16</t>
  </si>
  <si>
    <t>2020-039</t>
  </si>
  <si>
    <t>20-035 (Re-bid)</t>
  </si>
  <si>
    <t>2020-038</t>
  </si>
  <si>
    <t>PR 9-20-05-0610 - CITY HOSPITAL</t>
  </si>
  <si>
    <t>PR 9-20-05-0604 - CITY HOSPITAL</t>
  </si>
  <si>
    <t>Kapalong2020101</t>
  </si>
  <si>
    <t>PR # 2020-6-1400</t>
  </si>
  <si>
    <t>M-20-012</t>
  </si>
  <si>
    <t>20-036</t>
  </si>
  <si>
    <t>SRAVIS 20-06-273</t>
  </si>
  <si>
    <t>G-093-20</t>
  </si>
  <si>
    <t>GOODS2020-06-001</t>
  </si>
  <si>
    <t>20-040</t>
  </si>
  <si>
    <t>PR062000627</t>
  </si>
  <si>
    <t>Mayo – 03-20</t>
  </si>
  <si>
    <t>SF-GOODS-2020-007</t>
  </si>
  <si>
    <t>SF-GOODS-2020-006</t>
  </si>
  <si>
    <t>B-79-2020</t>
  </si>
  <si>
    <t>060820-55</t>
  </si>
  <si>
    <t>GOODS 2020-15</t>
  </si>
  <si>
    <t>PR 401-20-01-0227 - CWD (REBIDDING)</t>
  </si>
  <si>
    <t>20-037</t>
  </si>
  <si>
    <t>2020-112</t>
  </si>
  <si>
    <t>064-2020</t>
  </si>
  <si>
    <t>ADS-1326-20</t>
  </si>
  <si>
    <t>SB1 NPPH 200-20-05-05922</t>
  </si>
  <si>
    <t>RFQ-GS-20200603-02</t>
  </si>
  <si>
    <t>2020-040</t>
  </si>
  <si>
    <t>2020-017cw</t>
  </si>
  <si>
    <t>N-317-2020</t>
  </si>
  <si>
    <t>LANCA-2020-01</t>
  </si>
  <si>
    <t>109-2020</t>
  </si>
  <si>
    <t>GOODS 2020-14</t>
  </si>
  <si>
    <t>SVP-2020-06-88</t>
  </si>
  <si>
    <t>LF 2020-022</t>
  </si>
  <si>
    <t>ADS-1327-20</t>
  </si>
  <si>
    <t>2020-100-06-009</t>
  </si>
  <si>
    <t>I4-20-0596</t>
  </si>
  <si>
    <t>2020-B-06-023</t>
  </si>
  <si>
    <t>1280-06-00124</t>
  </si>
  <si>
    <t>2020-GOODS-04</t>
  </si>
  <si>
    <t>PR No. 20-0923</t>
  </si>
  <si>
    <t>S-165-2020</t>
  </si>
  <si>
    <t>I-BRGY06082020-Improvement of Multi-purpose Buildi</t>
  </si>
  <si>
    <t>PG2020-06-01</t>
  </si>
  <si>
    <t>060820201023</t>
  </si>
  <si>
    <t>3122</t>
  </si>
  <si>
    <t>20OF0312</t>
  </si>
  <si>
    <t>pgeps#0244-2020</t>
  </si>
  <si>
    <t>INFRA-2020-043</t>
  </si>
  <si>
    <t>INFRA-2020-042</t>
  </si>
  <si>
    <t>IB 2020-026</t>
  </si>
  <si>
    <t>GOODS 2020-13</t>
  </si>
  <si>
    <t>20OF0314</t>
  </si>
  <si>
    <t>SB1 SPPH 200-20-05-05924</t>
  </si>
  <si>
    <t>SN20-04-412</t>
  </si>
  <si>
    <t>2020-0137</t>
  </si>
  <si>
    <t>513-20</t>
  </si>
  <si>
    <t>3123</t>
  </si>
  <si>
    <t>20OF0313</t>
  </si>
  <si>
    <t>RFQ-2020-06-0029</t>
  </si>
  <si>
    <t>20200608</t>
  </si>
  <si>
    <t>RFQ No. MCS-20-06-046</t>
  </si>
  <si>
    <t>cgb2020-185</t>
  </si>
  <si>
    <t>2020-06-74</t>
  </si>
  <si>
    <t>InTB-PGAPEO2020OIP-CW1</t>
  </si>
  <si>
    <t>RFQ-2020-06-0030</t>
  </si>
  <si>
    <t>3124</t>
  </si>
  <si>
    <t>002-06-2020(BRGY.PIAZ, VILLASIS, PANGASINAN)</t>
  </si>
  <si>
    <t>04-020P-R</t>
  </si>
  <si>
    <t>20OF0316</t>
  </si>
  <si>
    <t>RFQ 2020-01</t>
  </si>
  <si>
    <t>20OF0315</t>
  </si>
  <si>
    <t>ABC20-06-001</t>
  </si>
  <si>
    <t>PPSC BAC IB NO.006 (G) 2020</t>
  </si>
  <si>
    <t>003-2020</t>
  </si>
  <si>
    <t>2020-005-01</t>
  </si>
  <si>
    <t>RFQ-2020-06-0031</t>
  </si>
  <si>
    <t>BOD20-076</t>
  </si>
  <si>
    <t>INFRA-ETG-20-06-011</t>
  </si>
  <si>
    <t>I-BRGY-06082020-Installation/Fabrication of Railin</t>
  </si>
  <si>
    <t>cgb2020-186</t>
  </si>
  <si>
    <t>6-8-2020-1</t>
  </si>
  <si>
    <t>2020-g-005-A</t>
  </si>
  <si>
    <t>RFQ-2020-06-0033</t>
  </si>
  <si>
    <t>2020-0138</t>
  </si>
  <si>
    <t>SF-CW-DF-2020-12</t>
  </si>
  <si>
    <t>RFQ-2020-06-0032</t>
  </si>
  <si>
    <t>InTB-PGAPEOROADS2020EDF-CW1</t>
  </si>
  <si>
    <t>ITB-2020-01</t>
  </si>
  <si>
    <t>RFQ No. 0761-20</t>
  </si>
  <si>
    <t>20GIA004 Procurement of Instant Cold Mix Asphalt (</t>
  </si>
  <si>
    <t>068</t>
  </si>
  <si>
    <t>2020021</t>
  </si>
  <si>
    <t>067</t>
  </si>
  <si>
    <t>2020-G-006-A</t>
  </si>
  <si>
    <t>2020-3</t>
  </si>
  <si>
    <t>RFQ-2020-06-0034</t>
  </si>
  <si>
    <t>EN 200-20-05-06084</t>
  </si>
  <si>
    <t>069</t>
  </si>
  <si>
    <t>CYN-BAC-2020-30</t>
  </si>
  <si>
    <t>blgucabungalunan-2019</t>
  </si>
  <si>
    <t>20-06-08-16</t>
  </si>
  <si>
    <t>070</t>
  </si>
  <si>
    <t>BUE-06082020-01</t>
  </si>
  <si>
    <t>20GG00017</t>
  </si>
  <si>
    <t>REP 200-20-05-04850</t>
  </si>
  <si>
    <t>060820201103</t>
  </si>
  <si>
    <t>00012-2020</t>
  </si>
  <si>
    <t>INFRA-ETG-20-06-010</t>
  </si>
  <si>
    <t>2020-G-007-A</t>
  </si>
  <si>
    <t>071</t>
  </si>
  <si>
    <t>IB No. MM-2020-020(m)</t>
  </si>
  <si>
    <t>06292020-058</t>
  </si>
  <si>
    <t>484</t>
  </si>
  <si>
    <t>S3-WMO20-008</t>
  </si>
  <si>
    <t>2020-019cw</t>
  </si>
  <si>
    <t>RFQ-20-06018</t>
  </si>
  <si>
    <t>2020-06-089</t>
  </si>
  <si>
    <t>20-06-08-17</t>
  </si>
  <si>
    <t>CANINGAY INFRA 06-01</t>
  </si>
  <si>
    <t>489</t>
  </si>
  <si>
    <t>008-2020-G</t>
  </si>
  <si>
    <t>KAT-06-2020-001</t>
  </si>
  <si>
    <t>20-06-08-18</t>
  </si>
  <si>
    <t>490</t>
  </si>
  <si>
    <t>112106082020</t>
  </si>
  <si>
    <t>06292020-073</t>
  </si>
  <si>
    <t>NMF GOODS 2020-03</t>
  </si>
  <si>
    <t>GOODS 2020-12</t>
  </si>
  <si>
    <t>RFQ No. 0763-20</t>
  </si>
  <si>
    <t>2020-G-008-A</t>
  </si>
  <si>
    <t>IB No. MM-2020-021(m)</t>
  </si>
  <si>
    <t>IB No. MM-2020-019(m)</t>
  </si>
  <si>
    <t>06 – JO – 093 / 094</t>
  </si>
  <si>
    <t>RFQ No. 0759-20</t>
  </si>
  <si>
    <t>PR062000628</t>
  </si>
  <si>
    <t>06292020-074</t>
  </si>
  <si>
    <t>IB No. LL-2020-001</t>
  </si>
  <si>
    <t>GOODS-PB-20-043</t>
  </si>
  <si>
    <t>GOODS 2020-10</t>
  </si>
  <si>
    <t>20-45382</t>
  </si>
  <si>
    <t>INFRA-ETG-20-06-012</t>
  </si>
  <si>
    <t>2020-020cw</t>
  </si>
  <si>
    <t>GOODS 2020-11</t>
  </si>
  <si>
    <t>IB No. K- 2020-002</t>
  </si>
  <si>
    <t>SN20-03-313</t>
  </si>
  <si>
    <t>ITB 2020-011</t>
  </si>
  <si>
    <t>ITB-2020-02</t>
  </si>
  <si>
    <t>2020-02-007</t>
  </si>
  <si>
    <t>S3-JOL20-014</t>
  </si>
  <si>
    <t>100-2003-281-GF</t>
  </si>
  <si>
    <t>2019-001-I</t>
  </si>
  <si>
    <t>02-2020</t>
  </si>
  <si>
    <t>IB No. K- 2020-001</t>
  </si>
  <si>
    <t>2020-021cw</t>
  </si>
  <si>
    <t>S3-WMO20-009</t>
  </si>
  <si>
    <t>20GAG0001</t>
  </si>
  <si>
    <t>20-06-35AA</t>
  </si>
  <si>
    <t>20GAG0002</t>
  </si>
  <si>
    <t>2020-0139</t>
  </si>
  <si>
    <t>PR No. 1000032456 dtd. March 9, 2020</t>
  </si>
  <si>
    <t>92</t>
  </si>
  <si>
    <t>RFQ-F-01-2020</t>
  </si>
  <si>
    <t>PR No. 1000032455 dtd. March 9, 2020</t>
  </si>
  <si>
    <t>20GAG0003</t>
  </si>
  <si>
    <t>20-06-40</t>
  </si>
  <si>
    <t>44</t>
  </si>
  <si>
    <t>RFQ No. 2020- 10</t>
  </si>
  <si>
    <t>INFRA-ETG-20-06-009</t>
  </si>
  <si>
    <t>45</t>
  </si>
  <si>
    <t>RFQ No. 0764-20</t>
  </si>
  <si>
    <t>100-20-03-0119</t>
  </si>
  <si>
    <t>20-06-0464</t>
  </si>
  <si>
    <t>PR No. 1000032558</t>
  </si>
  <si>
    <t>RFQ No. 0769-20</t>
  </si>
  <si>
    <t>ITB-2020-045</t>
  </si>
  <si>
    <t>300-20-06-0215</t>
  </si>
  <si>
    <t>ITB-2020-046</t>
  </si>
  <si>
    <t>PR #433</t>
  </si>
  <si>
    <t>ITB-2020-044</t>
  </si>
  <si>
    <t>NLPSC-19-2020</t>
  </si>
  <si>
    <t>2020-GOODS-32</t>
  </si>
  <si>
    <t>GOODS-PROJECT REF. NO. 39-2020-APR</t>
  </si>
  <si>
    <t>RFQ-2020-0011</t>
  </si>
  <si>
    <t>PRDP-IR-R011-DOR-004-MAT-001-2018-a</t>
  </si>
  <si>
    <t>BOD20-077</t>
  </si>
  <si>
    <t>N 31 C 2020</t>
  </si>
  <si>
    <t>AAE JUNE08-2020(2)</t>
  </si>
  <si>
    <t>S3-B1920-011</t>
  </si>
  <si>
    <t>CAT-SIP-2020-01-06INF</t>
  </si>
  <si>
    <t>NTCR9-SVP-2020-05</t>
  </si>
  <si>
    <t>20-06-241</t>
  </si>
  <si>
    <t>DF-2020-19</t>
  </si>
  <si>
    <t>rfq#2020-03-1,530-provl agriculture office</t>
  </si>
  <si>
    <t>20LA0336</t>
  </si>
  <si>
    <t>20LA0335</t>
  </si>
  <si>
    <t>rfq#2020-04-1,848-sp-albarece</t>
  </si>
  <si>
    <t>20-04-096</t>
  </si>
  <si>
    <t>MG-PLM20-092</t>
  </si>
  <si>
    <t>rfq#2020-03-1,531-provl agriculture office</t>
  </si>
  <si>
    <t>11-2020</t>
  </si>
  <si>
    <t>NP/PB 20-0672</t>
  </si>
  <si>
    <t>20PI0092</t>
  </si>
  <si>
    <t>Quotation No.20-05-312 REBID</t>
  </si>
  <si>
    <t>20GKI0027</t>
  </si>
  <si>
    <t>100-2005-038-20%</t>
  </si>
  <si>
    <t>2020-Barangay san andres-006</t>
  </si>
  <si>
    <t>PB20200608-036</t>
  </si>
  <si>
    <t>rfq#2020-05-2,220-provl agriculture office</t>
  </si>
  <si>
    <t>MG-PLM20-067</t>
  </si>
  <si>
    <t>S3-TAU20-005</t>
  </si>
  <si>
    <t>PR NO. 100-8751-20-03-0349</t>
  </si>
  <si>
    <t>6911-01-1453-19/LDRRM</t>
  </si>
  <si>
    <t>PG-RFQ-2020-01</t>
  </si>
  <si>
    <t>20-45422</t>
  </si>
  <si>
    <t>2020-06-081</t>
  </si>
  <si>
    <t>rfq#2020-05-2,221-provl agriculture office</t>
  </si>
  <si>
    <t>14-2020</t>
  </si>
  <si>
    <t>ITB INFRA-022-2020</t>
  </si>
  <si>
    <t>RFQ No. MCS-20-06-047</t>
  </si>
  <si>
    <t>ITB2020-06-87-MPOC</t>
  </si>
  <si>
    <t>GEN-1011-09-2020</t>
  </si>
  <si>
    <t>20PI0093</t>
  </si>
  <si>
    <t>20KI0066 (Re-ad)</t>
  </si>
  <si>
    <t>SVP20-441</t>
  </si>
  <si>
    <t>2020-Barangay san andres-007</t>
  </si>
  <si>
    <t>S3-CTW20-027</t>
  </si>
  <si>
    <t>20GE023G</t>
  </si>
  <si>
    <t>15-2020</t>
  </si>
  <si>
    <t>20NA0068</t>
  </si>
  <si>
    <t>20GGH0023</t>
  </si>
  <si>
    <t>NTCR9-TFB-2020-01</t>
  </si>
  <si>
    <t>RQ 06-010</t>
  </si>
  <si>
    <t>20GE022G</t>
  </si>
  <si>
    <t>PB20200608-037</t>
  </si>
  <si>
    <t>2020-06-082</t>
  </si>
  <si>
    <t>20KI0087</t>
  </si>
  <si>
    <t>HCC2020013</t>
  </si>
  <si>
    <t>16-2020</t>
  </si>
  <si>
    <t>N 32 C 2020</t>
  </si>
  <si>
    <t>RQ 06-012</t>
  </si>
  <si>
    <t>PR NO. 100-8751-20-03-0354</t>
  </si>
  <si>
    <t>BAC2020-07B</t>
  </si>
  <si>
    <t>PB20200608-038</t>
  </si>
  <si>
    <t>S3-WMO20-004</t>
  </si>
  <si>
    <t>202039</t>
  </si>
  <si>
    <t>20GGH0024</t>
  </si>
  <si>
    <t>18-2020</t>
  </si>
  <si>
    <t>INFR-2020-10</t>
  </si>
  <si>
    <t>20PI0094</t>
  </si>
  <si>
    <t>PR NO. 07</t>
  </si>
  <si>
    <t>SJ-20-157</t>
  </si>
  <si>
    <t>balococ2020-01</t>
  </si>
  <si>
    <t>NTCR9-SVP-2020-06</t>
  </si>
  <si>
    <t>20-45311</t>
  </si>
  <si>
    <t>mda125</t>
  </si>
  <si>
    <t>RQ 06-016</t>
  </si>
  <si>
    <t>20-06-39</t>
  </si>
  <si>
    <t>138-2020</t>
  </si>
  <si>
    <t>SJ-20-158</t>
  </si>
  <si>
    <t>2020-GEN. FUND-RFQ-020</t>
  </si>
  <si>
    <t>OLYMPIA 20-05-005</t>
  </si>
  <si>
    <t>20PI0095</t>
  </si>
  <si>
    <t>PG-RFQ-2020-04</t>
  </si>
  <si>
    <t>196-0603-2020</t>
  </si>
  <si>
    <t>RQ 06-041</t>
  </si>
  <si>
    <t>20NA0069</t>
  </si>
  <si>
    <t>LGU-TAN-GOODS-2020-067</t>
  </si>
  <si>
    <t>2000005277</t>
  </si>
  <si>
    <t>19-2020</t>
  </si>
  <si>
    <t>20-2020</t>
  </si>
  <si>
    <t>OLYMPIA 20-05-006</t>
  </si>
  <si>
    <t>RQ 06-043</t>
  </si>
  <si>
    <t>20-45741</t>
  </si>
  <si>
    <t>PR NO. 100-8751-20-05-0552</t>
  </si>
  <si>
    <t>23-2020</t>
  </si>
  <si>
    <t>22-2020</t>
  </si>
  <si>
    <t>20-038 (Re-bid)</t>
  </si>
  <si>
    <t>SJ-20-159</t>
  </si>
  <si>
    <t>BAC2020-06-016</t>
  </si>
  <si>
    <t>100-20-06-64</t>
  </si>
  <si>
    <t>BUE-06082020-02</t>
  </si>
  <si>
    <t>RFQ-06-08-2020</t>
  </si>
  <si>
    <t>MG-PAT20-024</t>
  </si>
  <si>
    <t>BAC2020-06-017</t>
  </si>
  <si>
    <t>139-2020</t>
  </si>
  <si>
    <t>BUE-06082020-03</t>
  </si>
  <si>
    <t>RQ 06-040</t>
  </si>
  <si>
    <t>RFQ No. 54, s. 2020</t>
  </si>
  <si>
    <t>PG-RFQ-2020-05</t>
  </si>
  <si>
    <t>2020-95</t>
  </si>
  <si>
    <t>20-19</t>
  </si>
  <si>
    <t>MG-PLM20-077</t>
  </si>
  <si>
    <t>2020-06-170-RFQ</t>
  </si>
  <si>
    <t>CLB-2020-02</t>
  </si>
  <si>
    <t>ITB 300-2020-06-04</t>
  </si>
  <si>
    <t>2020-06-293-05</t>
  </si>
  <si>
    <t>100-20-06-65</t>
  </si>
  <si>
    <t>BAC2020-06-018</t>
  </si>
  <si>
    <t>BAC2020-06-019</t>
  </si>
  <si>
    <t>RQ 06-039</t>
  </si>
  <si>
    <t>ITB No. 028-2020 GQ</t>
  </si>
  <si>
    <t>Q-089-20</t>
  </si>
  <si>
    <t>RQ 06-034</t>
  </si>
  <si>
    <t>141-2020</t>
  </si>
  <si>
    <t>20NA0071</t>
  </si>
  <si>
    <t>CSU-CARIG-OCD-2020- 06-001</t>
  </si>
  <si>
    <t>GEN-3918-10-2010</t>
  </si>
  <si>
    <t>PG-RFQ-2020-07</t>
  </si>
  <si>
    <t>Q-088-20</t>
  </si>
  <si>
    <t>142-2020</t>
  </si>
  <si>
    <t>PG-RFQ-2020-06</t>
  </si>
  <si>
    <t>140-2020</t>
  </si>
  <si>
    <t>CYN-BAC-2020-31</t>
  </si>
  <si>
    <t>20CG0140</t>
  </si>
  <si>
    <t>PDS 2020-05-0001</t>
  </si>
  <si>
    <t>RQ 06-029</t>
  </si>
  <si>
    <t>20-039</t>
  </si>
  <si>
    <t>BAC2020-06-020</t>
  </si>
  <si>
    <t>20-05-03-0007</t>
  </si>
  <si>
    <t>Bidding-01-June2020</t>
  </si>
  <si>
    <t>CLB-2020-03</t>
  </si>
  <si>
    <t>037-20</t>
  </si>
  <si>
    <t>Barangay 1-20-01</t>
  </si>
  <si>
    <t>CLB-2020-04</t>
  </si>
  <si>
    <t>2020-96</t>
  </si>
  <si>
    <t>Quotation No.20-03-272 REBID</t>
  </si>
  <si>
    <t>20-06-083</t>
  </si>
  <si>
    <t>RQ 06-025</t>
  </si>
  <si>
    <t>143-2020</t>
  </si>
  <si>
    <t>PM20-009</t>
  </si>
  <si>
    <t>RQ 06-027</t>
  </si>
  <si>
    <t>RQ 06-026</t>
  </si>
  <si>
    <t>RFQ 2020-06</t>
  </si>
  <si>
    <t>PG-RFQ-2020-09</t>
  </si>
  <si>
    <t>20CG0141</t>
  </si>
  <si>
    <t>144-2020</t>
  </si>
  <si>
    <t>itb no. 2020-12</t>
  </si>
  <si>
    <t>CLB-2020-05</t>
  </si>
  <si>
    <t>2020-099</t>
  </si>
  <si>
    <t>IB No.2020-06-30(05)Goods Cat I Med/Lab Supplies &amp;</t>
  </si>
  <si>
    <t>PG-RFQ-2020-08</t>
  </si>
  <si>
    <t>PR NO. 100-8751-20-05-0554</t>
  </si>
  <si>
    <t>050-06-2020</t>
  </si>
  <si>
    <t>20FL0084</t>
  </si>
  <si>
    <t>05-20-0419</t>
  </si>
  <si>
    <t>RFQ 0520-028</t>
  </si>
  <si>
    <t>ITB No. 029-2020  GQ</t>
  </si>
  <si>
    <t>PG-RFQ-2020-10</t>
  </si>
  <si>
    <t>2020-97</t>
  </si>
  <si>
    <t>LWUA_GSD 20-075</t>
  </si>
  <si>
    <t>RFQ - CPR No. GS-75-90-Cons.4</t>
  </si>
  <si>
    <t>Camansi-001</t>
  </si>
  <si>
    <t>2020-01-8711-40</t>
  </si>
  <si>
    <t>19CSK00053</t>
  </si>
  <si>
    <t>20-45737</t>
  </si>
  <si>
    <t>PR NO. 1000031305 DATED 07 NOVEMBER 2020</t>
  </si>
  <si>
    <t>PR No. 20-0905</t>
  </si>
  <si>
    <t>Barangay Cagutsan Sierra-002-2020</t>
  </si>
  <si>
    <t>ITB 20-128</t>
  </si>
  <si>
    <t>RFQ - PR No. 2020-05-0094 dated 5-27-20</t>
  </si>
  <si>
    <t>2020-03-05</t>
  </si>
  <si>
    <t>RFQ-GS-20200521-01</t>
  </si>
  <si>
    <t>100(01)20-06-308(A)</t>
  </si>
  <si>
    <t>Barangay Darahuway Gote-003-2020</t>
  </si>
  <si>
    <t>0004</t>
  </si>
  <si>
    <t>ITB 20-129 R20-116</t>
  </si>
  <si>
    <t>SVP-31</t>
  </si>
  <si>
    <t>2020-033R</t>
  </si>
  <si>
    <t>05-20-0415</t>
  </si>
  <si>
    <t>05-20-0424</t>
  </si>
  <si>
    <t>NP - Goods-2020-007</t>
  </si>
  <si>
    <t>CLB-2020-06</t>
  </si>
  <si>
    <t>2020-01-002</t>
  </si>
  <si>
    <t>PR 9-20-04-0560 - HOSPITAL</t>
  </si>
  <si>
    <t>20FL0085</t>
  </si>
  <si>
    <t>ITB 20-130 R20-121</t>
  </si>
  <si>
    <t>19CSK00054</t>
  </si>
  <si>
    <t>PR NO. 1000031297 DATED 06 NOVEMBER 2020</t>
  </si>
  <si>
    <t>19CSK00055</t>
  </si>
  <si>
    <t>PR NO. 100-8751-20-05-0557</t>
  </si>
  <si>
    <t>05-20-0413</t>
  </si>
  <si>
    <t>20GFB03</t>
  </si>
  <si>
    <t>2020-061-14-1</t>
  </si>
  <si>
    <t>BXU-2020-16</t>
  </si>
  <si>
    <t>ITB 20-131 R20-122</t>
  </si>
  <si>
    <t>6820201</t>
  </si>
  <si>
    <t>PR 1-20-03-0520 - CEMO (BD)</t>
  </si>
  <si>
    <t>20-06-38</t>
  </si>
  <si>
    <t>NIAREG9-0629-2020-FSDECY2017-076 (GOODS)</t>
  </si>
  <si>
    <t>Calaca 2020-032</t>
  </si>
  <si>
    <t>PR 18-20-04-0549 - CED</t>
  </si>
  <si>
    <t>19CSK00056</t>
  </si>
  <si>
    <t>ITB 20-132 R20-123</t>
  </si>
  <si>
    <t>20GID0016</t>
  </si>
  <si>
    <t>PR 31-20-02-0344 - DEPED</t>
  </si>
  <si>
    <t>791</t>
  </si>
  <si>
    <t>2020-061-14-2</t>
  </si>
  <si>
    <t>2020-02-0099</t>
  </si>
  <si>
    <t>RFP 2020-05-0075</t>
  </si>
  <si>
    <t>RFQ - CPR No. GS-04-43-52-Cons.1</t>
  </si>
  <si>
    <t>ITB GOODS 20-06-008</t>
  </si>
  <si>
    <t>06-001-20</t>
  </si>
  <si>
    <t>ITB 20-133 R20-124</t>
  </si>
  <si>
    <t>Invitation to Bid 20-31</t>
  </si>
  <si>
    <t>Goods-2020-12</t>
  </si>
  <si>
    <t>PR NO. 1000031296 DATED 06 NOVEMBER 2020</t>
  </si>
  <si>
    <t>CYN-BAC-2020-32</t>
  </si>
  <si>
    <t>6</t>
  </si>
  <si>
    <t>ITB-001</t>
  </si>
  <si>
    <t>20GSK00010</t>
  </si>
  <si>
    <t>PCW-01-2020</t>
  </si>
  <si>
    <t>ITB No. 2020-03-003</t>
  </si>
  <si>
    <t>Bid No. 2020-015</t>
  </si>
  <si>
    <t>PG-RFQ-2020-13</t>
  </si>
  <si>
    <t>2020022</t>
  </si>
  <si>
    <t>20FL0078</t>
  </si>
  <si>
    <t>Invitation to Bid 20-32</t>
  </si>
  <si>
    <t>2020-06-0330</t>
  </si>
  <si>
    <t>RFQ - CPR No. GS-04-28-32-33-34-35-40-41-43-47-48-</t>
  </si>
  <si>
    <t>ITB2020-06-77-MTPB</t>
  </si>
  <si>
    <t>2020-06-0329</t>
  </si>
  <si>
    <t>20GSK00012</t>
  </si>
  <si>
    <t>PG-RFQ-2020-14</t>
  </si>
  <si>
    <t>ITB 026-2020</t>
  </si>
  <si>
    <t>pwr-03-022</t>
  </si>
  <si>
    <t>9</t>
  </si>
  <si>
    <t>ASVP 2009</t>
  </si>
  <si>
    <t>aliwekwek2020-01</t>
  </si>
  <si>
    <t>8</t>
  </si>
  <si>
    <t>20-011</t>
  </si>
  <si>
    <t>20GSK00011</t>
  </si>
  <si>
    <t>100-20-06-66</t>
  </si>
  <si>
    <t>2020-06-0332</t>
  </si>
  <si>
    <t>12</t>
  </si>
  <si>
    <t>20-02-0124</t>
  </si>
  <si>
    <t>sanjuanhs20200608</t>
  </si>
  <si>
    <t>11</t>
  </si>
  <si>
    <t>20FO0096</t>
  </si>
  <si>
    <t>PG-RFQ-2020-15</t>
  </si>
  <si>
    <t>100-20-06-67</t>
  </si>
  <si>
    <t>IB. NO. K-2020-025(SC)</t>
  </si>
  <si>
    <t>HFE-2020-02-0070</t>
  </si>
  <si>
    <t>CYN-BAC-2020-33</t>
  </si>
  <si>
    <t>2020-02-0100</t>
  </si>
  <si>
    <t>10</t>
  </si>
  <si>
    <t>PR NO. 20-03-112</t>
  </si>
  <si>
    <t>2020-06-0331</t>
  </si>
  <si>
    <t>20FO0097</t>
  </si>
  <si>
    <t>GOODS-20-16</t>
  </si>
  <si>
    <t>ASVP 2010</t>
  </si>
  <si>
    <t>20FO0098</t>
  </si>
  <si>
    <t>BACGbtn-S-2006-507</t>
  </si>
  <si>
    <t>13</t>
  </si>
  <si>
    <t>IB. NO. K-2020-026(SC)</t>
  </si>
  <si>
    <t>Calaca 2020- 033</t>
  </si>
  <si>
    <t>100-20-06-68</t>
  </si>
  <si>
    <t>pwr-03-016</t>
  </si>
  <si>
    <t>ADS-1335-20</t>
  </si>
  <si>
    <t>CONSTRUCTION OF VARIOUS INFRASTRUCTURE PROJECTS FO</t>
  </si>
  <si>
    <t>2020-06-0067</t>
  </si>
  <si>
    <t>ms-202003001</t>
  </si>
  <si>
    <t>IB. NO. K-2020-054(SC)</t>
  </si>
  <si>
    <t>PR # 20-05-0585</t>
  </si>
  <si>
    <t>20-06-249</t>
  </si>
  <si>
    <t>BAC-2020-0017</t>
  </si>
  <si>
    <t>20FO0099</t>
  </si>
  <si>
    <t>16</t>
  </si>
  <si>
    <t>2020-151</t>
  </si>
  <si>
    <t>2020-061-14-4</t>
  </si>
  <si>
    <t>TF-LDRRMF S. 2019 20-016/20-017</t>
  </si>
  <si>
    <t>2020-06-JD57</t>
  </si>
  <si>
    <t>PB-INF-2020-035</t>
  </si>
  <si>
    <t>G-104-20C</t>
  </si>
  <si>
    <t>GOODS-2020-PB-023</t>
  </si>
  <si>
    <t>pwr-03-013</t>
  </si>
  <si>
    <t>2020-061-14-3</t>
  </si>
  <si>
    <t>2020-061-14-5</t>
  </si>
  <si>
    <t>15</t>
  </si>
  <si>
    <t>17</t>
  </si>
  <si>
    <t>2020-012 GOODS "SUPPLY AND INSTALLATION OF SOLAR P</t>
  </si>
  <si>
    <t>20-05-0564</t>
  </si>
  <si>
    <t>PB-INF-2020-034</t>
  </si>
  <si>
    <t>2020-061-14-6</t>
  </si>
  <si>
    <t>CONTRACT ID: 19-10-208 REBID</t>
  </si>
  <si>
    <t>028 20-1101</t>
  </si>
  <si>
    <t>2020-061</t>
  </si>
  <si>
    <t>OC-63(JLGMH-17) 20 GD</t>
  </si>
  <si>
    <t>18</t>
  </si>
  <si>
    <t>Malanday 2020-011</t>
  </si>
  <si>
    <t>19</t>
  </si>
  <si>
    <t>2020-06-0438 PPD-UCT</t>
  </si>
  <si>
    <t>2020-150</t>
  </si>
  <si>
    <t>PB-INF-2020-033</t>
  </si>
  <si>
    <t>2020-061-14-7</t>
  </si>
  <si>
    <t>Goods2020</t>
  </si>
  <si>
    <t>21</t>
  </si>
  <si>
    <t>OC-65(DRRMO-06) 20 GD</t>
  </si>
  <si>
    <t>CYN-BAC-2020-34</t>
  </si>
  <si>
    <t>OC-64(DRRMO-05) 20 GD</t>
  </si>
  <si>
    <t>SVP20-464</t>
  </si>
  <si>
    <t>0589</t>
  </si>
  <si>
    <t>NDA-20-06-061-SM</t>
  </si>
  <si>
    <t>2020-06-JD58</t>
  </si>
  <si>
    <t>23</t>
  </si>
  <si>
    <t>CAO-2020-06-0178</t>
  </si>
  <si>
    <t>20LC0152</t>
  </si>
  <si>
    <t>VMC-2020-060</t>
  </si>
  <si>
    <t>DARFO2.CVRC.115.REC.2020-06-663.00</t>
  </si>
  <si>
    <t>24</t>
  </si>
  <si>
    <t>ITB No. 030-2020  GQ</t>
  </si>
  <si>
    <t>26</t>
  </si>
  <si>
    <t>GOODS 2020-017</t>
  </si>
  <si>
    <t>20LC0153</t>
  </si>
  <si>
    <t>PR NO. 100-8751-20-05-0558</t>
  </si>
  <si>
    <t>Calaca 2020-034</t>
  </si>
  <si>
    <t>NIAREG9-0226-2020-RESTOCISCY2020-024 (NP 53.1)</t>
  </si>
  <si>
    <t>IB NO. 2020-06-30 (05) Goods Category II – Drugs a</t>
  </si>
  <si>
    <t>B2020-073-A</t>
  </si>
  <si>
    <t>2020-06-0029</t>
  </si>
  <si>
    <t>20PA0128</t>
  </si>
  <si>
    <t>N-197-2020</t>
  </si>
  <si>
    <t>USTP-GSPB-06-5020321099-2020</t>
  </si>
  <si>
    <t>PEO-19-1450-B (Re-Bid)</t>
  </si>
  <si>
    <t>DARFO2.CVRC.115.REC.2020-06-541.00</t>
  </si>
  <si>
    <t>2020-06-JD59</t>
  </si>
  <si>
    <t>ITB 2020-003</t>
  </si>
  <si>
    <t>DARFO2.CVRC.115.REC.2020-06-549.00</t>
  </si>
  <si>
    <t>20-03-504</t>
  </si>
  <si>
    <t>DARFO2.CVRC.115.REC.2020-06-534.00</t>
  </si>
  <si>
    <t>NDA-20-06-062-SM</t>
  </si>
  <si>
    <t>B2020-074-A</t>
  </si>
  <si>
    <t>Calaca 2020- 035</t>
  </si>
  <si>
    <t>20PK0069</t>
  </si>
  <si>
    <t>NIAREG9-0219-2020-FSDECY2013-2014-021 (NP 53.1)</t>
  </si>
  <si>
    <t>20-03-505</t>
  </si>
  <si>
    <t>BARRM-SUL-06-SIA-03-20</t>
  </si>
  <si>
    <t>PEO-20-0382-B</t>
  </si>
  <si>
    <t>SWADT-ISABELA-2020-06-0179</t>
  </si>
  <si>
    <t>Calaca 2020- 036</t>
  </si>
  <si>
    <t>SVP20-465</t>
  </si>
  <si>
    <t>H-2020</t>
  </si>
  <si>
    <t>IPH-19-616-B (Re-Bid)</t>
  </si>
  <si>
    <t>PR NO. 100-8751-20-05-0563</t>
  </si>
  <si>
    <t>20CSCJ01</t>
  </si>
  <si>
    <t>20GHF0005</t>
  </si>
  <si>
    <t>I-2020</t>
  </si>
  <si>
    <t>GOODS 2020-018</t>
  </si>
  <si>
    <t>IB No. 2020-019</t>
  </si>
  <si>
    <t>2020-2076-03-151</t>
  </si>
  <si>
    <t>RFQ 2020-008</t>
  </si>
  <si>
    <t>51-2020</t>
  </si>
  <si>
    <t>G-04-2020</t>
  </si>
  <si>
    <t>OLYMPIA 20-05-007</t>
  </si>
  <si>
    <t>PR 0749-20</t>
  </si>
  <si>
    <t>Calaca 2020- 037</t>
  </si>
  <si>
    <t>PR 0670-20</t>
  </si>
  <si>
    <t>Calaca 2020- 038</t>
  </si>
  <si>
    <t>RFQ-GS-20200603-01</t>
  </si>
  <si>
    <t>PR 0741-20</t>
  </si>
  <si>
    <t>OLYMPIA 20-05-008</t>
  </si>
  <si>
    <t>2020-06-0031</t>
  </si>
  <si>
    <t>MOM-GOODS-2020-005</t>
  </si>
  <si>
    <t>PR 0750-20</t>
  </si>
  <si>
    <t>B-2020</t>
  </si>
  <si>
    <t>PB-PAFBAC-222-19</t>
  </si>
  <si>
    <t>Goods 2020-06-016</t>
  </si>
  <si>
    <t>Calaca 2020- 041</t>
  </si>
  <si>
    <t>401-1011-2020-06-12</t>
  </si>
  <si>
    <t>8-2020</t>
  </si>
  <si>
    <t>SVP20-466</t>
  </si>
  <si>
    <t>Calaca 2020- 040</t>
  </si>
  <si>
    <t>388548431</t>
  </si>
  <si>
    <t>HFW-2020-06-0180</t>
  </si>
  <si>
    <t>PB-PAFBAC-150-20</t>
  </si>
  <si>
    <t>Calaca 2020- 039</t>
  </si>
  <si>
    <t>PB-PAFBAC-152-20</t>
  </si>
  <si>
    <t>NCB Publication No. 2020- 18</t>
  </si>
  <si>
    <t>NCB Publication No. 2020- 17</t>
  </si>
  <si>
    <t>FY2019DILG-AM-01</t>
  </si>
  <si>
    <t>388548432</t>
  </si>
  <si>
    <t>PB-PAFBAC-141-20</t>
  </si>
  <si>
    <t>03-2020-0195</t>
  </si>
  <si>
    <t>PB-PAFBAC-154-20</t>
  </si>
  <si>
    <t>GEPS-01-2020</t>
  </si>
  <si>
    <t>Calaca 2020-042</t>
  </si>
  <si>
    <t>PB-PAFBAC-153-20</t>
  </si>
  <si>
    <t>388548433</t>
  </si>
  <si>
    <t>401-1011-2020-06-13</t>
  </si>
  <si>
    <t>09088, 09082 &amp; 08993</t>
  </si>
  <si>
    <t>IPH-19-1149-B (Re-Bid)</t>
  </si>
  <si>
    <t>Calaca 2020-043</t>
  </si>
  <si>
    <t>388548434</t>
  </si>
  <si>
    <t>20LD0129</t>
  </si>
  <si>
    <t>PB-PAFBAC-156-20</t>
  </si>
  <si>
    <t>FY2019DILG-AM-02</t>
  </si>
  <si>
    <t>03-2020-0197</t>
  </si>
  <si>
    <t>PB-PAFBAC-155-20</t>
  </si>
  <si>
    <t>401-1011-2020-06-14</t>
  </si>
  <si>
    <t>INVITATION TO BID No. 2020-06-001</t>
  </si>
  <si>
    <t>Calaca 2020-045</t>
  </si>
  <si>
    <t>PEO-20-0553-B</t>
  </si>
  <si>
    <t>388548440</t>
  </si>
  <si>
    <t>Calaca 2020-044</t>
  </si>
  <si>
    <t>2020-06-86</t>
  </si>
  <si>
    <t>388548435</t>
  </si>
  <si>
    <t>388548439</t>
  </si>
  <si>
    <t>388548436</t>
  </si>
  <si>
    <t>388548437</t>
  </si>
  <si>
    <t>PEO-19-1551-B</t>
  </si>
  <si>
    <t>388548438</t>
  </si>
  <si>
    <t>Calaca 2020-047</t>
  </si>
  <si>
    <t>PEO-20-0613-B</t>
  </si>
  <si>
    <t>PB-06302020</t>
  </si>
  <si>
    <t>03-2020-0162</t>
  </si>
  <si>
    <t>20CSZ017</t>
  </si>
  <si>
    <t>ITB-2020-04</t>
  </si>
  <si>
    <t>Calaca 2020-046</t>
  </si>
  <si>
    <t>401-1011-2020-06-15</t>
  </si>
  <si>
    <t>03-2020-0163</t>
  </si>
  <si>
    <t>ITB 2020-049</t>
  </si>
  <si>
    <t>Barangay Lower Marber 2020-002</t>
  </si>
  <si>
    <t>PB 06-03-2020</t>
  </si>
  <si>
    <t>001-JUNE-L2020-INFRA</t>
  </si>
  <si>
    <t>342020a</t>
  </si>
  <si>
    <t>332020a</t>
  </si>
  <si>
    <t>INF2020-003</t>
  </si>
  <si>
    <t>014-06-2020</t>
  </si>
  <si>
    <t>322020a</t>
  </si>
  <si>
    <t>17-FEB-2020-INFRA-PANAMIN</t>
  </si>
  <si>
    <t>Solano-2020-06-001</t>
  </si>
  <si>
    <t>PR No. 2020-06-026</t>
  </si>
  <si>
    <t>INF2020-002</t>
  </si>
  <si>
    <t>352020a</t>
  </si>
  <si>
    <t>PR No. 2020-01-001</t>
  </si>
  <si>
    <t>20OE0198</t>
  </si>
  <si>
    <t>ITB 2020-039</t>
  </si>
  <si>
    <t>36020a</t>
  </si>
  <si>
    <t>20HI0059</t>
  </si>
  <si>
    <t>20HI0060</t>
  </si>
  <si>
    <t>20HI0035</t>
  </si>
  <si>
    <t>INF2020-004</t>
  </si>
  <si>
    <t>G2020-008</t>
  </si>
  <si>
    <t>ITB 2020-036</t>
  </si>
  <si>
    <t>PR-20-05-0113</t>
  </si>
  <si>
    <t>ITB 2020-051</t>
  </si>
  <si>
    <t>20OE0199</t>
  </si>
  <si>
    <t>BCS-2020-0094</t>
  </si>
  <si>
    <t>20OE0200</t>
  </si>
  <si>
    <t>ITB 2020-050</t>
  </si>
  <si>
    <t>20OE0201</t>
  </si>
  <si>
    <t>20HI0078</t>
  </si>
  <si>
    <t>2020-132-I</t>
  </si>
  <si>
    <t>G2020-009</t>
  </si>
  <si>
    <t>20HI0067</t>
  </si>
  <si>
    <t>2020-494-015</t>
  </si>
  <si>
    <t>20GM00137</t>
  </si>
  <si>
    <t>20GM00135</t>
  </si>
  <si>
    <t>82020</t>
  </si>
  <si>
    <t>20GM00138</t>
  </si>
  <si>
    <t>INFRASIB-2020-09</t>
  </si>
  <si>
    <t>INFRASIB-2020-07</t>
  </si>
  <si>
    <t>gsis/npsvp-217-20</t>
  </si>
  <si>
    <t>INFRASIB-2020-08</t>
  </si>
  <si>
    <t>20DK0131</t>
  </si>
  <si>
    <t>20HI0088</t>
  </si>
  <si>
    <t>20E00109</t>
  </si>
  <si>
    <t>GOODS JUNE 2020-001</t>
  </si>
  <si>
    <t>20GM00134</t>
  </si>
  <si>
    <t>92020</t>
  </si>
  <si>
    <t>102020</t>
  </si>
  <si>
    <t>20DK0130</t>
  </si>
  <si>
    <t>infra 2020-06-001</t>
  </si>
  <si>
    <t>20CC0244</t>
  </si>
  <si>
    <t>20DK0133 (Cluster  II)</t>
  </si>
  <si>
    <t>2020-645</t>
  </si>
  <si>
    <t>20CC0245</t>
  </si>
  <si>
    <t>20CC0250</t>
  </si>
  <si>
    <t>20DK0132 (Cluster I)</t>
  </si>
  <si>
    <t>20CC0249</t>
  </si>
  <si>
    <t>LIMAO-BAC-06-20</t>
  </si>
  <si>
    <t>20DK0134 (Cluster III)</t>
  </si>
  <si>
    <t>DSWD NNP No. 20-GOP-SVC-002-A</t>
  </si>
  <si>
    <t>20CC0248</t>
  </si>
  <si>
    <t>GOODS JUNE 2020-002</t>
  </si>
  <si>
    <t>20CC0247</t>
  </si>
  <si>
    <t>20CC0251</t>
  </si>
  <si>
    <t>2020-05-056</t>
  </si>
  <si>
    <t>PB-G-20-001-2020</t>
  </si>
  <si>
    <t>20CC0246</t>
  </si>
  <si>
    <t>20CC0252</t>
  </si>
  <si>
    <t>BTG3-2020-0203</t>
  </si>
  <si>
    <t>BTG3-2020-0201</t>
  </si>
  <si>
    <t>BGY-700</t>
  </si>
  <si>
    <t>20CC0254</t>
  </si>
  <si>
    <t>BTG3-2020-0204</t>
  </si>
  <si>
    <t>SF-G-BG/DF-2020-13</t>
  </si>
  <si>
    <t>BTG3-2020-0202</t>
  </si>
  <si>
    <t>IB No. 2020-038</t>
  </si>
  <si>
    <t>IB No. 2020-037</t>
  </si>
  <si>
    <t>BTG3-2020-0206</t>
  </si>
  <si>
    <t>GOODS JUNE 2020-003</t>
  </si>
  <si>
    <t>SVP20-467</t>
  </si>
  <si>
    <t>0608-001</t>
  </si>
  <si>
    <t>GOODS JUNE 2020-004</t>
  </si>
  <si>
    <t>BTG3-2020-0205</t>
  </si>
  <si>
    <t>INFRA 2020-06-PLA012</t>
  </si>
  <si>
    <t>Infra Projects 14-2020</t>
  </si>
  <si>
    <t>20CC0253</t>
  </si>
  <si>
    <t>Infra Projects 13-2020</t>
  </si>
  <si>
    <t>BARANGAY PAG-ASA 2020-002</t>
  </si>
  <si>
    <t>INFRA 2020-06-PLA011</t>
  </si>
  <si>
    <t>IB 2020-06-005 PORL</t>
  </si>
  <si>
    <t>0608-002</t>
  </si>
  <si>
    <t>Infra Projects 12-2020</t>
  </si>
  <si>
    <t>2020-03-INFR</t>
  </si>
  <si>
    <t>2020-CW-06-02</t>
  </si>
  <si>
    <t>IB 2020-06-006 PSS</t>
  </si>
  <si>
    <t>2020 GDS JUN</t>
  </si>
  <si>
    <t>PR-2020-9999-0720</t>
  </si>
  <si>
    <t>2020-01-INFR</t>
  </si>
  <si>
    <t>2020-CW-06-01</t>
  </si>
  <si>
    <t>G2020-06-005(PB)</t>
  </si>
  <si>
    <t>101-2020-05-0220</t>
  </si>
  <si>
    <t>GOODS 2020-06-PLA004</t>
  </si>
  <si>
    <t>2020-02-INFR</t>
  </si>
  <si>
    <t>pmma-IB-09-20</t>
  </si>
  <si>
    <t>2020-04-INFR</t>
  </si>
  <si>
    <t>GOODS 2020-06-PLA003</t>
  </si>
  <si>
    <t>pmma-IB-07-20</t>
  </si>
  <si>
    <t>pmma-IB-08-20</t>
  </si>
  <si>
    <t>pmma-IB-06-20</t>
  </si>
  <si>
    <t>INFRA-2020-05-27</t>
  </si>
  <si>
    <t>pmma-IB-04-20</t>
  </si>
  <si>
    <t>pmma-IB-10-20</t>
  </si>
  <si>
    <t>2020-GD-06-01</t>
  </si>
  <si>
    <t>pmma-IB-05-20</t>
  </si>
  <si>
    <t>101-2020-05-0221</t>
  </si>
  <si>
    <t>pmma-IB-03-20</t>
  </si>
  <si>
    <t>101-2020-03-0043</t>
  </si>
  <si>
    <t>101-2020-05-0222</t>
  </si>
  <si>
    <t>101-2020-03-0016</t>
  </si>
  <si>
    <t>INFRA-2020-03-26</t>
  </si>
  <si>
    <t>101-2020-05-0219</t>
  </si>
  <si>
    <t>INFRA-2020-05-29</t>
  </si>
  <si>
    <t>LGU Nasipit-2020-043</t>
  </si>
  <si>
    <t>LGU Nasipit-2020-044</t>
  </si>
  <si>
    <t>INFRA-2020-05-28</t>
  </si>
  <si>
    <t>INFRA-2020-03-25</t>
  </si>
  <si>
    <t>ITB 2020-007</t>
  </si>
  <si>
    <t>ITB No. 20-06-11</t>
  </si>
  <si>
    <t>2020-02-0082</t>
  </si>
  <si>
    <t>BAC 2020-I01</t>
  </si>
  <si>
    <t>MAWADWORKS#1, S. 2020</t>
  </si>
  <si>
    <t>msj-2020-16</t>
  </si>
  <si>
    <t>ITB 2020-008</t>
  </si>
  <si>
    <t>INFRA 2020-06</t>
  </si>
  <si>
    <t>InTB-PGA2020OPAG-GDS1</t>
  </si>
  <si>
    <t>6-4-2020-1</t>
  </si>
  <si>
    <t>PDDO-20-4400</t>
  </si>
  <si>
    <t>PDDO-20-C0622</t>
  </si>
  <si>
    <t>PDDO-20-4299</t>
  </si>
  <si>
    <t>PDDO-20-C0657</t>
  </si>
  <si>
    <t>PDDO-20-4297</t>
  </si>
  <si>
    <t>100-20-03-0378</t>
  </si>
  <si>
    <t>PDDO-20-2261</t>
  </si>
  <si>
    <t>PDDO-20-4237</t>
  </si>
  <si>
    <t>6-4-2020-2</t>
  </si>
  <si>
    <t>DILG (CMGP)</t>
  </si>
  <si>
    <t>Infra 2020-06-009</t>
  </si>
  <si>
    <t>3-9-20-ID3</t>
  </si>
  <si>
    <t>CW2020-06-003(PB)</t>
  </si>
  <si>
    <t>PDDO-20-4165</t>
  </si>
  <si>
    <t>G2019-12-011(PB)1F</t>
  </si>
  <si>
    <t>G2019-12-016(PB)1F</t>
  </si>
  <si>
    <t>6-4-2020-3</t>
  </si>
  <si>
    <t>20LF0140</t>
  </si>
  <si>
    <t>20LF0141</t>
  </si>
  <si>
    <t>S3-SPUGM20-001 (S3-MMT20-006 &amp; 007)</t>
  </si>
  <si>
    <t>CW2020-06-002(PB)</t>
  </si>
  <si>
    <t>Infra 2020-06-005</t>
  </si>
  <si>
    <t>ITB 2020-013</t>
  </si>
  <si>
    <t>Infra 2020-06-007</t>
  </si>
  <si>
    <t>Infra 2020-06-006</t>
  </si>
  <si>
    <t>20-06-68</t>
  </si>
  <si>
    <t>CW2020-06-001(PB)</t>
  </si>
  <si>
    <t>ITB 2020-010</t>
  </si>
  <si>
    <t>20LF0139</t>
  </si>
  <si>
    <t>ITB 2020-012</t>
  </si>
  <si>
    <t>G2020-06-004(PB)</t>
  </si>
  <si>
    <t>20LF0142</t>
  </si>
  <si>
    <t>IB No. 2020-035</t>
  </si>
  <si>
    <t>IB No. 2020-036</t>
  </si>
  <si>
    <t>IB No. 2020-183</t>
  </si>
  <si>
    <t>ITB No. 073-Brgy-2020</t>
  </si>
  <si>
    <t>ITB No. 072-Brgy-2020</t>
  </si>
  <si>
    <t>2020-05-046</t>
  </si>
  <si>
    <t>RIO-LMC-11a-2020</t>
  </si>
  <si>
    <t>ITB 2020-009</t>
  </si>
  <si>
    <t>2020-051</t>
  </si>
  <si>
    <t xml:space="preserve">INSTALLATION OF WINDOW BLINDS AT MP Bldg (Mayor's </t>
  </si>
  <si>
    <t>2020-052</t>
  </si>
  <si>
    <t>GS 2020-006-019</t>
  </si>
  <si>
    <t>ITB 2020-014</t>
  </si>
  <si>
    <t>2020-054</t>
  </si>
  <si>
    <t>ITB No. 071-Brgy-2020</t>
  </si>
  <si>
    <t>RIO-LMC-11b-2020</t>
  </si>
  <si>
    <t>IAEB 086-20</t>
  </si>
  <si>
    <t>06052020-07</t>
  </si>
  <si>
    <t>2020-CW-33</t>
  </si>
  <si>
    <t>PR NO: 2020-03-156</t>
  </si>
  <si>
    <t>BUE-06052020-01</t>
  </si>
  <si>
    <t>2000-06-014</t>
  </si>
  <si>
    <t>IAEB 214-20</t>
  </si>
  <si>
    <t>MAR-00033G-2020</t>
  </si>
  <si>
    <t>goods 2020-002</t>
  </si>
  <si>
    <t>PR NO: 2020-03-158</t>
  </si>
  <si>
    <t>00045-20-0220-0169</t>
  </si>
  <si>
    <t>00045-20-0221-0174</t>
  </si>
  <si>
    <t>B-19-20-001</t>
  </si>
  <si>
    <t>IAEB 085-20</t>
  </si>
  <si>
    <t>IAEB 178-20</t>
  </si>
  <si>
    <t>cgb2020-189</t>
  </si>
  <si>
    <t>PW#02-26-20(1)</t>
  </si>
  <si>
    <t>PR NO: 2020-05-165</t>
  </si>
  <si>
    <t>PW#02-12-20(1)</t>
  </si>
  <si>
    <t>cgb2020-190</t>
  </si>
  <si>
    <t>2020-06-042</t>
  </si>
  <si>
    <t>NP-PB 20-0658</t>
  </si>
  <si>
    <t>108-0304-2020</t>
  </si>
  <si>
    <t>BSVP 2040</t>
  </si>
  <si>
    <t>cgb2020-187</t>
  </si>
  <si>
    <t>cgb2020-193</t>
  </si>
  <si>
    <t>cgb2020-188</t>
  </si>
  <si>
    <t>cgb2020-192</t>
  </si>
  <si>
    <t>CDH-2020-0068 &amp; 0069</t>
  </si>
  <si>
    <t>100-1917-20-308</t>
  </si>
  <si>
    <t>POW#12-17-19</t>
  </si>
  <si>
    <t>6911-9-1344-20</t>
  </si>
  <si>
    <t>cgb2020-191</t>
  </si>
  <si>
    <t>TAL-07-01-2020</t>
  </si>
  <si>
    <t>SUPPLY  &amp; DELIVERY OF ELECTRICAL SUPPLIES</t>
  </si>
  <si>
    <t>2020-0064</t>
  </si>
  <si>
    <t>NP-PB 20-0659</t>
  </si>
  <si>
    <t>cgb2020-194</t>
  </si>
  <si>
    <t>3918-10-602-20</t>
  </si>
  <si>
    <t>05-00590</t>
  </si>
  <si>
    <t>05-00671</t>
  </si>
  <si>
    <t>1918-10-440-20</t>
  </si>
  <si>
    <t>8911-03-2455-19</t>
  </si>
  <si>
    <t>05-00598</t>
  </si>
  <si>
    <t>6911-2-872-20</t>
  </si>
  <si>
    <t>101-2020-04-0146</t>
  </si>
  <si>
    <t>05-00584</t>
  </si>
  <si>
    <t>05-00586</t>
  </si>
  <si>
    <t>itb20-06-025</t>
  </si>
  <si>
    <t>8911-10-2224-19</t>
  </si>
  <si>
    <t>05-00604</t>
  </si>
  <si>
    <t>PGL 20-074</t>
  </si>
  <si>
    <t>03-00506</t>
  </si>
  <si>
    <t>05-00580</t>
  </si>
  <si>
    <t>101-2020-03-0021</t>
  </si>
  <si>
    <t>8918-23-1569-20(SUPPLEMENTAL #01-2020)</t>
  </si>
  <si>
    <t>Goods 2020-06-011</t>
  </si>
  <si>
    <t>05-00582</t>
  </si>
  <si>
    <t>101-2020-04-001</t>
  </si>
  <si>
    <t>101-2020-04-002</t>
  </si>
  <si>
    <t>NFA-NCR-RBAC-2020-06-05-008</t>
  </si>
  <si>
    <t>PGL 20-077</t>
  </si>
  <si>
    <t>05-00653</t>
  </si>
  <si>
    <t>GOODS - 2020-06-05</t>
  </si>
  <si>
    <t>PGL 20-076</t>
  </si>
  <si>
    <t>6911-02-1059-19 CONTINUING 2019</t>
  </si>
  <si>
    <t>6911-03-1054-19</t>
  </si>
  <si>
    <t>PGL 20-075</t>
  </si>
  <si>
    <t>05-00666</t>
  </si>
  <si>
    <t>PGL INFRA 20-056</t>
  </si>
  <si>
    <t>20L00171</t>
  </si>
  <si>
    <t>PB NO. 2020-032</t>
  </si>
  <si>
    <t>2020-110</t>
  </si>
  <si>
    <t>100(01)20-06-322(O)</t>
  </si>
  <si>
    <t>CGB-2020-06-005</t>
  </si>
  <si>
    <t>2020-111</t>
  </si>
  <si>
    <t>20-0051</t>
  </si>
  <si>
    <t>CGB-2020-06-004</t>
  </si>
  <si>
    <t>PB NO. 2020-031</t>
  </si>
  <si>
    <t>19GL00107</t>
  </si>
  <si>
    <t>100(01)20-06-307(A)</t>
  </si>
  <si>
    <t>SVP 20-0661</t>
  </si>
  <si>
    <t>19GL00108</t>
  </si>
  <si>
    <t>CGB-2020-06-003</t>
  </si>
  <si>
    <t>NP-PB 20-0649</t>
  </si>
  <si>
    <t>20-06-321</t>
  </si>
  <si>
    <t>np 2020-14 (GAS)</t>
  </si>
  <si>
    <t>CGB-2020-06-006</t>
  </si>
  <si>
    <t>CGB-2020-06-007</t>
  </si>
  <si>
    <t>19GL00109</t>
  </si>
  <si>
    <t>100-2020-0734</t>
  </si>
  <si>
    <t>100-2020-0781</t>
  </si>
  <si>
    <t>GS 2020-004</t>
  </si>
  <si>
    <t>PBG-2020-22</t>
  </si>
  <si>
    <t>20BE0084</t>
  </si>
  <si>
    <t>DM-BAC-2020-0028</t>
  </si>
  <si>
    <t>TALB-06-01-2020LAP</t>
  </si>
  <si>
    <t>100(01)20-06-019(V)</t>
  </si>
  <si>
    <t>STC-GOOD- NO. 2020-0038</t>
  </si>
  <si>
    <t>20BE0083</t>
  </si>
  <si>
    <t>SVF Goods 2020-01-005</t>
  </si>
  <si>
    <t>2020-61 (GAS)</t>
  </si>
  <si>
    <t>STC-GOOD- NO. 2020-0039</t>
  </si>
  <si>
    <t>IB No. 2020-144</t>
  </si>
  <si>
    <t>100-2020-0756</t>
  </si>
  <si>
    <t>20BE0087</t>
  </si>
  <si>
    <t>PIA-0003G-2020</t>
  </si>
  <si>
    <t>100-2020-0736</t>
  </si>
  <si>
    <t>20BE0086</t>
  </si>
  <si>
    <t>2020-PLA-057</t>
  </si>
  <si>
    <t>2020-06-01-06</t>
  </si>
  <si>
    <t>GOODS 2020-013</t>
  </si>
  <si>
    <t>100-2020-0806</t>
  </si>
  <si>
    <t>PR NO. 100-8751-20-04-0509</t>
  </si>
  <si>
    <t>ITB202006</t>
  </si>
  <si>
    <t>SMN-2020-002</t>
  </si>
  <si>
    <t>PRRI-2020-030</t>
  </si>
  <si>
    <t>19-82-071</t>
  </si>
  <si>
    <t>PB2020-06-004 GAA</t>
  </si>
  <si>
    <t>INFRA 2020-004</t>
  </si>
  <si>
    <t>20BE0085</t>
  </si>
  <si>
    <t>INFRA 2020-005</t>
  </si>
  <si>
    <t>2020-18A</t>
  </si>
  <si>
    <t>AB 2020-01</t>
  </si>
  <si>
    <t>300-20-03-0409</t>
  </si>
  <si>
    <t>ITB-2020-036</t>
  </si>
  <si>
    <t>2020-17A</t>
  </si>
  <si>
    <t>TESDA-CO-2020-02 _Provision of Security Services R</t>
  </si>
  <si>
    <t>300-20-03-0407</t>
  </si>
  <si>
    <t>2020 - 009,010</t>
  </si>
  <si>
    <t>04-G-2020 (MEO)</t>
  </si>
  <si>
    <t>AB 2020-07</t>
  </si>
  <si>
    <t>ITB 20-03-142</t>
  </si>
  <si>
    <t>300-20-03-0408</t>
  </si>
  <si>
    <t>20CSCB02</t>
  </si>
  <si>
    <t>20CSCB01</t>
  </si>
  <si>
    <t>AB 2020-06</t>
  </si>
  <si>
    <t>20CSCB04</t>
  </si>
  <si>
    <t>20CSCB03</t>
  </si>
  <si>
    <t>AB 2020-05</t>
  </si>
  <si>
    <t>BBC2020-003</t>
  </si>
  <si>
    <t>LGU-PI-2020-06-13PB</t>
  </si>
  <si>
    <t>PR# 20-05-939</t>
  </si>
  <si>
    <t>PROJECT # 19 - 171</t>
  </si>
  <si>
    <t>2020-22</t>
  </si>
  <si>
    <t>VMC-2020-046</t>
  </si>
  <si>
    <t>BACII-2020-PB-14</t>
  </si>
  <si>
    <t>05-003-20</t>
  </si>
  <si>
    <t>PR# 20-05-941</t>
  </si>
  <si>
    <t>2020-01-003</t>
  </si>
  <si>
    <t>PR# 20-05-897</t>
  </si>
  <si>
    <t>2020-02-03</t>
  </si>
  <si>
    <t>LGU-PI-2020-06-14PB</t>
  </si>
  <si>
    <t>2020-590-014</t>
  </si>
  <si>
    <t>2020-06-01-Goods</t>
  </si>
  <si>
    <t>2020-03-07</t>
  </si>
  <si>
    <t>ITB No. (INF) 2020-06-084 CONSTRUCTION/IMPROVEMENT</t>
  </si>
  <si>
    <t>ITB No. (INF) 2020-06-083 CONSTRUCTION OF BUABUA –</t>
  </si>
  <si>
    <t xml:space="preserve">ITB No. (INF) 2020-06-087 CONCRETING OF HOLLYWOOD </t>
  </si>
  <si>
    <t>ITB No. (GDS) 2020-06-014 PROCUREMENT OF CONSTRUCT</t>
  </si>
  <si>
    <t>IB 2020-22</t>
  </si>
  <si>
    <t>2020-06-02-Goods - GSS</t>
  </si>
  <si>
    <t>ITB No. (INF) 2020-06-086 CONSTRUCTION/IMPROVEMENT</t>
  </si>
  <si>
    <t>GOODS 05-2020-001</t>
  </si>
  <si>
    <t>ITB No. (INF) 2020-06-082 ROAD CONCRETING OF MACAA</t>
  </si>
  <si>
    <t>BRizal#001-2020</t>
  </si>
  <si>
    <t>ITB No. (INF) 2020-06-085 CONSTRUCTION/IMPROVEMENT</t>
  </si>
  <si>
    <t>202006B</t>
  </si>
  <si>
    <t>ITB No. (INF) 2020-06-081 REPAIR/REHABILITATION OF</t>
  </si>
  <si>
    <t>RFP 2020-03</t>
  </si>
  <si>
    <t>ITB No. (INF) 2020-05-079 CONCRETING OF BARANGAY R</t>
  </si>
  <si>
    <t>IB NO. 033-20</t>
  </si>
  <si>
    <t>ITB No. (INF) 2020-06-080 CONSTRUCTION/IMPROVEMENT</t>
  </si>
  <si>
    <t>IB NO. 031-20</t>
  </si>
  <si>
    <t>IB NO. 032-20</t>
  </si>
  <si>
    <t>ITB No. (INF) 2020-06-088 CONSTRUCTION OF BRGY. RO</t>
  </si>
  <si>
    <t>CW 2020-006-015</t>
  </si>
  <si>
    <t>IB NO. 034-20</t>
  </si>
  <si>
    <t>MJES-06072020</t>
  </si>
  <si>
    <t>IB No. 2020-216</t>
  </si>
  <si>
    <t>05-04-2020</t>
  </si>
  <si>
    <t>CW 2020-006-017</t>
  </si>
  <si>
    <t>PB-2020-02</t>
  </si>
  <si>
    <t>bagong silang 3 pr1</t>
  </si>
  <si>
    <t>GS 2020-006-018</t>
  </si>
  <si>
    <t>GS 2020-006-021</t>
  </si>
  <si>
    <t>BS-0003-2020</t>
  </si>
  <si>
    <t>2020-06-01 Goods - GSS</t>
  </si>
  <si>
    <t>2020-N-003</t>
  </si>
  <si>
    <t>TAG-SDS-051-2020</t>
  </si>
  <si>
    <t>INFRA-08-20-04</t>
  </si>
  <si>
    <t>2020-PBG-01</t>
  </si>
  <si>
    <t>INFRA-08-20-08</t>
  </si>
  <si>
    <t>INFRA-08-20-03</t>
  </si>
  <si>
    <t>JUNE62020-6</t>
  </si>
  <si>
    <t>INFRA-08-20-01</t>
  </si>
  <si>
    <t>INFRA-08-20-07</t>
  </si>
  <si>
    <t>MJES-06072020A</t>
  </si>
  <si>
    <t>2020-05-0670</t>
  </si>
  <si>
    <t>INFRA-08-20-02</t>
  </si>
  <si>
    <t>INFRA-08-20-05</t>
  </si>
  <si>
    <t>2020-05-</t>
  </si>
  <si>
    <t>20BF0057</t>
  </si>
  <si>
    <t>100-2020-05-695</t>
  </si>
  <si>
    <t>INFRA-08-20-06</t>
  </si>
  <si>
    <t>PEO-2020-0070</t>
  </si>
  <si>
    <t>TAG-SDS-053-2020</t>
  </si>
  <si>
    <t>PEO-2020-0695</t>
  </si>
  <si>
    <t>52020785</t>
  </si>
  <si>
    <t>BAL-05-18-2020-Concreting of 250 Linear Meter Brgy</t>
  </si>
  <si>
    <t>BAL-06-08-2020-Concreting of 200 Linear Meter Brgy</t>
  </si>
  <si>
    <t>PEO-2020-0413</t>
  </si>
  <si>
    <t>BAL-06-08-2020-Concreting of 250 Linear Meter Siti</t>
  </si>
  <si>
    <t>BAL-05-18-2020-Concreting of 330 Linear Meter Exec</t>
  </si>
  <si>
    <t>ITB NO. 2020-0012</t>
  </si>
  <si>
    <t>2020-03-0068</t>
  </si>
  <si>
    <t>BAL-06-08-2020-Concreting of 150 Linear Meter Siga</t>
  </si>
  <si>
    <t>PEO-2020-0485</t>
  </si>
  <si>
    <t>06072020</t>
  </si>
  <si>
    <t>BAL-06-08-2020-Concreting of 400 Linear Meter Brgy</t>
  </si>
  <si>
    <t>PEO-2020-0603</t>
  </si>
  <si>
    <t>BAL-06-08-2020-Concreting of 150 Linear Meter Brgy</t>
  </si>
  <si>
    <t>BUGASS-2020-039</t>
  </si>
  <si>
    <t>PEO-2020-0745</t>
  </si>
  <si>
    <t>52020786</t>
  </si>
  <si>
    <t>RO6-2020-03</t>
  </si>
  <si>
    <t>BAC INFRA 2020-05</t>
  </si>
  <si>
    <t>062320-01A</t>
  </si>
  <si>
    <t>MG-PLM20-015..REPLACEMENT OF POWERHOUSE STATION BA</t>
  </si>
  <si>
    <t>MG-A5M20-001..OIL, WATER SEPARATOR AT SUMP PIT</t>
  </si>
  <si>
    <t>BUGASS-2020-040</t>
  </si>
  <si>
    <t>039</t>
  </si>
  <si>
    <t>MG-ADM20-005..REPLACEMENT OF EXISTING STREET LIGHT</t>
  </si>
  <si>
    <t>20DF0182 - 20DF0187</t>
  </si>
  <si>
    <t>036</t>
  </si>
  <si>
    <t>20GDK0033</t>
  </si>
  <si>
    <t>037</t>
  </si>
  <si>
    <t>BAC 2020-68</t>
  </si>
  <si>
    <t>038</t>
  </si>
  <si>
    <t>062320-02</t>
  </si>
  <si>
    <t>2821-20</t>
  </si>
  <si>
    <t>ITB-2020-035</t>
  </si>
  <si>
    <t>2005021</t>
  </si>
  <si>
    <t>REC-2020-01</t>
  </si>
  <si>
    <t>2020-05-0218</t>
  </si>
  <si>
    <t>2020-24</t>
  </si>
  <si>
    <t>2020-Infra-03</t>
  </si>
  <si>
    <t>662020-001</t>
  </si>
  <si>
    <t>2020-23</t>
  </si>
  <si>
    <t>662020-002</t>
  </si>
  <si>
    <t>B20-17-13</t>
  </si>
  <si>
    <t>REC-2020-08</t>
  </si>
  <si>
    <t>REC-2020-09</t>
  </si>
  <si>
    <t>2020-G-01 (2)</t>
  </si>
  <si>
    <t>REC-2020-04</t>
  </si>
  <si>
    <t>REC-2020-10</t>
  </si>
  <si>
    <t>300-20-04-09</t>
  </si>
  <si>
    <t>2020-Goods-11</t>
  </si>
  <si>
    <t>REC-2020-03</t>
  </si>
  <si>
    <t>REC-2020-11</t>
  </si>
  <si>
    <t>ITB NO. 2020-0013</t>
  </si>
  <si>
    <t>PB-CW-2020-024</t>
  </si>
  <si>
    <t>2020-0011</t>
  </si>
  <si>
    <t>100-20-06-355</t>
  </si>
  <si>
    <t>PB-CW-2020-022</t>
  </si>
  <si>
    <t>20-05-0545</t>
  </si>
  <si>
    <t>2020-010R</t>
  </si>
  <si>
    <t>PB-CW-2020-023</t>
  </si>
  <si>
    <t>INF-15-June 05, 2020</t>
  </si>
  <si>
    <t>PB-CW-2020-021</t>
  </si>
  <si>
    <t>2020-Infra-01 (2)</t>
  </si>
  <si>
    <t>20-05-0550</t>
  </si>
  <si>
    <t>IB NO. CW 2020-084</t>
  </si>
  <si>
    <t>2020-009R</t>
  </si>
  <si>
    <t>IB NO. CW 2020 - 084</t>
  </si>
  <si>
    <t>20OI0103</t>
  </si>
  <si>
    <t>IB NO. CW 2020 - 081</t>
  </si>
  <si>
    <t>IB NO. CW 2020 -085</t>
  </si>
  <si>
    <t>IB NO. CW 2020 - 087</t>
  </si>
  <si>
    <t>IB NO. CW 2020 - 082</t>
  </si>
  <si>
    <t>20OI0118</t>
  </si>
  <si>
    <t>20OI0120</t>
  </si>
  <si>
    <t>2020-0361</t>
  </si>
  <si>
    <t>IB NO. CW 2020 - 086</t>
  </si>
  <si>
    <t>IAEB 2020-009</t>
  </si>
  <si>
    <t>20OI0119</t>
  </si>
  <si>
    <t>2020-148</t>
  </si>
  <si>
    <t>itb20-06-024</t>
  </si>
  <si>
    <t>INFRA 2020-06-05</t>
  </si>
  <si>
    <t>IB NO. CW 2020 - 088</t>
  </si>
  <si>
    <t>2020-372</t>
  </si>
  <si>
    <t>2020-0459</t>
  </si>
  <si>
    <t>2020-0349</t>
  </si>
  <si>
    <t>2020-0348</t>
  </si>
  <si>
    <t>2020-0461</t>
  </si>
  <si>
    <t>2029-126</t>
  </si>
  <si>
    <t>2020-370</t>
  </si>
  <si>
    <t>2020-06-215</t>
  </si>
  <si>
    <t>M-10-20</t>
  </si>
  <si>
    <t>4ARO-LOB-19-017</t>
  </si>
  <si>
    <t>2020-364</t>
  </si>
  <si>
    <t>2020-02-INFRA-JUNE-07</t>
  </si>
  <si>
    <t>2020065</t>
  </si>
  <si>
    <t>2020-010-11</t>
  </si>
  <si>
    <t>M-11-20</t>
  </si>
  <si>
    <t>2020-0448</t>
  </si>
  <si>
    <t>3-06052020</t>
  </si>
  <si>
    <t>PRO1GDS-2020-12</t>
  </si>
  <si>
    <t>1-06052020</t>
  </si>
  <si>
    <t>202038</t>
  </si>
  <si>
    <t>20-153</t>
  </si>
  <si>
    <t>PRO1GDS-2020-10</t>
  </si>
  <si>
    <t>2-06052020</t>
  </si>
  <si>
    <t>20236</t>
  </si>
  <si>
    <t>PRO1GDS-2020-11</t>
  </si>
  <si>
    <t>PRO1GDS-2020-13</t>
  </si>
  <si>
    <t>074 - 2020</t>
  </si>
  <si>
    <t>DENR-ENGP-MMFN-HAULING-2020-001</t>
  </si>
  <si>
    <t>2020-086</t>
  </si>
  <si>
    <t>2020-087</t>
  </si>
  <si>
    <t>7-06052020</t>
  </si>
  <si>
    <t>4-06052020</t>
  </si>
  <si>
    <t>2020-014-PB</t>
  </si>
  <si>
    <t>6-06052020</t>
  </si>
  <si>
    <t>2020-214</t>
  </si>
  <si>
    <t>2020-013-PB</t>
  </si>
  <si>
    <t>BFO No. 20-001: Supply and Delivery Five Hundred S</t>
  </si>
  <si>
    <t>8-06052020</t>
  </si>
  <si>
    <t>2020-INFRA-043</t>
  </si>
  <si>
    <t>0003-2020</t>
  </si>
  <si>
    <t>DAPA-076-2020</t>
  </si>
  <si>
    <t>9-06052020</t>
  </si>
  <si>
    <t>5-06052020</t>
  </si>
  <si>
    <t>GDS-146</t>
  </si>
  <si>
    <t>2020-344</t>
  </si>
  <si>
    <t>2020-012-PB</t>
  </si>
  <si>
    <t>10-06052020</t>
  </si>
  <si>
    <t>20HH0133</t>
  </si>
  <si>
    <t>2020-009-I</t>
  </si>
  <si>
    <t>2020-G1-007</t>
  </si>
  <si>
    <t>2020-122</t>
  </si>
  <si>
    <t>2020-374</t>
  </si>
  <si>
    <t>20LH0078</t>
  </si>
  <si>
    <t>20LH0081</t>
  </si>
  <si>
    <t>20-05-0323A</t>
  </si>
  <si>
    <t>20LH0084</t>
  </si>
  <si>
    <t>2020-121</t>
  </si>
  <si>
    <t>GDS-13</t>
  </si>
  <si>
    <t>50011012020</t>
  </si>
  <si>
    <t>6005012020</t>
  </si>
  <si>
    <t>DVO-200616-09</t>
  </si>
  <si>
    <t>202006050001</t>
  </si>
  <si>
    <t>CBSUA-SIP-GOODS-09-2020</t>
  </si>
  <si>
    <t>2020-168</t>
  </si>
  <si>
    <t>20HH0134</t>
  </si>
  <si>
    <t>80-20-03-038</t>
  </si>
  <si>
    <t>20-06-05</t>
  </si>
  <si>
    <t>DVO-200616-12</t>
  </si>
  <si>
    <t>DVO-200616-13</t>
  </si>
  <si>
    <t>tgs 10-20</t>
  </si>
  <si>
    <t>27611-001</t>
  </si>
  <si>
    <t>lgu-es-20-114</t>
  </si>
  <si>
    <t>27608-001</t>
  </si>
  <si>
    <t>DVO-200616-14</t>
  </si>
  <si>
    <t>27388-001</t>
  </si>
  <si>
    <t>2020-05-0104</t>
  </si>
  <si>
    <t>27619-001 to 27619-003</t>
  </si>
  <si>
    <t>DVO-200616-11</t>
  </si>
  <si>
    <t>100-20-05-324</t>
  </si>
  <si>
    <t>ITB No. 20-22</t>
  </si>
  <si>
    <t>20csd02</t>
  </si>
  <si>
    <t>DVO-200616-10</t>
  </si>
  <si>
    <t>2020 - 006 - 016</t>
  </si>
  <si>
    <t>DVO-200616-15</t>
  </si>
  <si>
    <t>DVO-200616-19</t>
  </si>
  <si>
    <t>20FL0066</t>
  </si>
  <si>
    <t>DVO-200616-20</t>
  </si>
  <si>
    <t>20B00022</t>
  </si>
  <si>
    <t>DVO-200616-17</t>
  </si>
  <si>
    <t>DVO-200616-16</t>
  </si>
  <si>
    <t>20LH0086</t>
  </si>
  <si>
    <t>DVO-200616-18</t>
  </si>
  <si>
    <t>20LH0091</t>
  </si>
  <si>
    <t>2020-05-0105</t>
  </si>
  <si>
    <t>DVO-200616-22</t>
  </si>
  <si>
    <t>BS20-02-0346</t>
  </si>
  <si>
    <t>DVO-200616-21</t>
  </si>
  <si>
    <t>20LH0090</t>
  </si>
  <si>
    <t>KAP-20-15</t>
  </si>
  <si>
    <t>20LH0092</t>
  </si>
  <si>
    <t>DVO-200616-23</t>
  </si>
  <si>
    <t>20DJ0090</t>
  </si>
  <si>
    <t>20FL0070</t>
  </si>
  <si>
    <t>2020129</t>
  </si>
  <si>
    <t>019-2020</t>
  </si>
  <si>
    <t>MH-GOODS-MEO-HISTORICAL-BLDG-2587</t>
  </si>
  <si>
    <t>BS20-02-MME004</t>
  </si>
  <si>
    <t>GDS 20-054</t>
  </si>
  <si>
    <t>20LH0093</t>
  </si>
  <si>
    <t>BS20-03-0402</t>
  </si>
  <si>
    <t>BS20-02-0296</t>
  </si>
  <si>
    <t>20DJ0091</t>
  </si>
  <si>
    <t>2020128</t>
  </si>
  <si>
    <t>101-20-06-666</t>
  </si>
  <si>
    <t>2020-0134</t>
  </si>
  <si>
    <t>BS20-03-0410</t>
  </si>
  <si>
    <t>101-20-06-667</t>
  </si>
  <si>
    <t>0015-0026-0907-2020</t>
  </si>
  <si>
    <t>BS20-03-0607</t>
  </si>
  <si>
    <t>BS20-03-0520</t>
  </si>
  <si>
    <t>B20-17-09</t>
  </si>
  <si>
    <t>BS20-06-MS005</t>
  </si>
  <si>
    <t>2020-0135</t>
  </si>
  <si>
    <t>BS20-06-OE004</t>
  </si>
  <si>
    <t>ITB No. 2020-06-2</t>
  </si>
  <si>
    <t>BS20-03-0609</t>
  </si>
  <si>
    <t>BS20-03-0467</t>
  </si>
  <si>
    <t>2020-0136</t>
  </si>
  <si>
    <t>20FL0064</t>
  </si>
  <si>
    <t>06052020-D</t>
  </si>
  <si>
    <t>20DJ0092</t>
  </si>
  <si>
    <t>BS20-06-HS003</t>
  </si>
  <si>
    <t>0020-0154-0913-2020</t>
  </si>
  <si>
    <t>ORM-2011-20</t>
  </si>
  <si>
    <t>101-20-006-665</t>
  </si>
  <si>
    <t>2020-05-350</t>
  </si>
  <si>
    <t>BS20-06-PR004</t>
  </si>
  <si>
    <t>BS20-03-0511</t>
  </si>
  <si>
    <t>20LH0094</t>
  </si>
  <si>
    <t>HILONGOS 2020-179</t>
  </si>
  <si>
    <t>BS20-06-OS003</t>
  </si>
  <si>
    <t>BS20-06-M008</t>
  </si>
  <si>
    <t>20FL0069</t>
  </si>
  <si>
    <t>20G00098</t>
  </si>
  <si>
    <t>20DJ0094</t>
  </si>
  <si>
    <t>50-20-05-042</t>
  </si>
  <si>
    <t>20DE0143</t>
  </si>
  <si>
    <t>0020-0152-0911-2020</t>
  </si>
  <si>
    <t>20DJ0093</t>
  </si>
  <si>
    <t>BS20-03-0433</t>
  </si>
  <si>
    <t>BS20-04-0635</t>
  </si>
  <si>
    <t>20GH00002 (Cluster)</t>
  </si>
  <si>
    <t>BACII-2020-13</t>
  </si>
  <si>
    <t>ITB# 89-2020 Medical, Dental &amp; Supplies</t>
  </si>
  <si>
    <t>BS20-03-0590</t>
  </si>
  <si>
    <t>20-072</t>
  </si>
  <si>
    <t>BS20-02-0215-1</t>
  </si>
  <si>
    <t>20DJ0095</t>
  </si>
  <si>
    <t>0015-0027-0908-2020</t>
  </si>
  <si>
    <t>2020-LP-21</t>
  </si>
  <si>
    <t>2020-LP-22</t>
  </si>
  <si>
    <t>20FL0083</t>
  </si>
  <si>
    <t>0020-0154-0913A2020</t>
  </si>
  <si>
    <t>20-20-02-044</t>
  </si>
  <si>
    <t>20GHC0003</t>
  </si>
  <si>
    <t>20GP00033</t>
  </si>
  <si>
    <t>ASTGOODS06</t>
  </si>
  <si>
    <t>0020-0158-0925B2020</t>
  </si>
  <si>
    <t>2020-002C</t>
  </si>
  <si>
    <t>20CSNE0001</t>
  </si>
  <si>
    <t>060520</t>
  </si>
  <si>
    <t>0020-0158-0925-2020</t>
  </si>
  <si>
    <t>6-6-20</t>
  </si>
  <si>
    <t>ICITB06052020A</t>
  </si>
  <si>
    <t>06052020</t>
  </si>
  <si>
    <t>CW-APAYAO-LARIP-02-2020</t>
  </si>
  <si>
    <t>006-20</t>
  </si>
  <si>
    <t>6-5-20</t>
  </si>
  <si>
    <t>2020-INFRA-044</t>
  </si>
  <si>
    <t>CW-KALINGA-UCRIS-03-2020</t>
  </si>
  <si>
    <t>0020-0158-0925A2020</t>
  </si>
  <si>
    <t>USTP-GSPB-06-5050105003-2020</t>
  </si>
  <si>
    <t>20PA0126</t>
  </si>
  <si>
    <t>Calaca 2020-031</t>
  </si>
  <si>
    <t>20GNE0023</t>
  </si>
  <si>
    <t>20-06-395</t>
  </si>
  <si>
    <t>CW-APAYAO-LARIP-01-2020</t>
  </si>
  <si>
    <t>20PA0127</t>
  </si>
  <si>
    <t>ITB PR 0390</t>
  </si>
  <si>
    <t>Poblacion-2020-001</t>
  </si>
  <si>
    <t>2020-06-34</t>
  </si>
  <si>
    <t>20GNE0024</t>
  </si>
  <si>
    <t>PR No. 1000032596 dtd. March 12, 2020</t>
  </si>
  <si>
    <t>GOODS-2020-06-008</t>
  </si>
  <si>
    <t>2020-06-33</t>
  </si>
  <si>
    <t>2020-06-36</t>
  </si>
  <si>
    <t>ITB brgy 25</t>
  </si>
  <si>
    <t>2020-06-31</t>
  </si>
  <si>
    <t>20GF0101</t>
  </si>
  <si>
    <t>PR-2020-05-116</t>
  </si>
  <si>
    <t>20PK0066</t>
  </si>
  <si>
    <t>2020-06-32</t>
  </si>
  <si>
    <t>20CSCE001</t>
  </si>
  <si>
    <t>20PK0068</t>
  </si>
  <si>
    <t>PR-2020-05-100</t>
  </si>
  <si>
    <t>20PK0067</t>
  </si>
  <si>
    <t>SPC PR No. 202004-026</t>
  </si>
  <si>
    <t>20OD0190</t>
  </si>
  <si>
    <t>2020-06-0028</t>
  </si>
  <si>
    <t>2020-PBINFRA-06-006</t>
  </si>
  <si>
    <t>202006111</t>
  </si>
  <si>
    <t>20OD0189</t>
  </si>
  <si>
    <t>2020-06-40</t>
  </si>
  <si>
    <t>SN-INFR-20-001</t>
  </si>
  <si>
    <t>GA-BAC-2020DP-12</t>
  </si>
  <si>
    <t>ITB Brgy30</t>
  </si>
  <si>
    <t>20-417</t>
  </si>
  <si>
    <t>20-406</t>
  </si>
  <si>
    <t>20-425</t>
  </si>
  <si>
    <t>20-391</t>
  </si>
  <si>
    <t>5-11-20</t>
  </si>
  <si>
    <t>PUR20-05-0433</t>
  </si>
  <si>
    <t>GA-BAC-2019C-DP-21</t>
  </si>
  <si>
    <t>0605-001</t>
  </si>
  <si>
    <t>20CSCE002</t>
  </si>
  <si>
    <t>2020-019-II</t>
  </si>
  <si>
    <t>2020-018-II</t>
  </si>
  <si>
    <t>ITB PR 0406</t>
  </si>
  <si>
    <t>2020-020-II</t>
  </si>
  <si>
    <t>20-308</t>
  </si>
  <si>
    <t>2020-06-38</t>
  </si>
  <si>
    <t>ITB 2020-05</t>
  </si>
  <si>
    <t>20-426</t>
  </si>
  <si>
    <t>20FN0093</t>
  </si>
  <si>
    <t>2020-06-39</t>
  </si>
  <si>
    <t>100-20-01-0017(a)</t>
  </si>
  <si>
    <t>20FN0094</t>
  </si>
  <si>
    <t>SN-GOODS-20-005</t>
  </si>
  <si>
    <t>0605-002</t>
  </si>
  <si>
    <t>0605-003</t>
  </si>
  <si>
    <t>20FN0096</t>
  </si>
  <si>
    <t>20FN0095</t>
  </si>
  <si>
    <t>BAC-GS 2020-152 (DGS PR No. 2000005253)</t>
  </si>
  <si>
    <t>0605-004</t>
  </si>
  <si>
    <t>20-427</t>
  </si>
  <si>
    <t>0605-005</t>
  </si>
  <si>
    <t>20PF0066</t>
  </si>
  <si>
    <t>20-430</t>
  </si>
  <si>
    <t>20-429</t>
  </si>
  <si>
    <t>20-428</t>
  </si>
  <si>
    <t>20FN0097</t>
  </si>
  <si>
    <t>0605-007</t>
  </si>
  <si>
    <t>20-431</t>
  </si>
  <si>
    <t>Budget Certificate No. 213-2020 dated May 29, 2020</t>
  </si>
  <si>
    <t>101-020-006-064</t>
  </si>
  <si>
    <t>20CSNI01</t>
  </si>
  <si>
    <t>0605-006</t>
  </si>
  <si>
    <t>20CSNI02</t>
  </si>
  <si>
    <t>2019-05</t>
  </si>
  <si>
    <t>Poblacion-2020-002</t>
  </si>
  <si>
    <t>20GA0144</t>
  </si>
  <si>
    <t>20GA0136</t>
  </si>
  <si>
    <t>2020-05-066</t>
  </si>
  <si>
    <t>20CSDM01</t>
  </si>
  <si>
    <t>20CSDM02</t>
  </si>
  <si>
    <t>20GA0146</t>
  </si>
  <si>
    <t>ITB-PB-02</t>
  </si>
  <si>
    <t>DAR-2020-03</t>
  </si>
  <si>
    <t>20GA0149</t>
  </si>
  <si>
    <t>20CSNI03</t>
  </si>
  <si>
    <t>20GA0152</t>
  </si>
  <si>
    <t>20GA0147</t>
  </si>
  <si>
    <t>2020-2406-001</t>
  </si>
  <si>
    <t>20-1240</t>
  </si>
  <si>
    <t>20-1241</t>
  </si>
  <si>
    <t>20-1239</t>
  </si>
  <si>
    <t>INFRA 2020-002</t>
  </si>
  <si>
    <t>014-ECE20</t>
  </si>
  <si>
    <t>20-1254</t>
  </si>
  <si>
    <t>M-20-17</t>
  </si>
  <si>
    <t>S3-KDP20-009</t>
  </si>
  <si>
    <t>MUNPINCE-2006-101</t>
  </si>
  <si>
    <t>MUNPINCE-2006-100</t>
  </si>
  <si>
    <t>M-20-18</t>
  </si>
  <si>
    <t>PR No. 101-186 dated June 1, 2020</t>
  </si>
  <si>
    <t>MUNPINCE-2006-099</t>
  </si>
  <si>
    <t>S3-KDP20-006</t>
  </si>
  <si>
    <t>NAVOTAS WEST 2020-001</t>
  </si>
  <si>
    <t>2020-0034</t>
  </si>
  <si>
    <t>030</t>
  </si>
  <si>
    <t>IN-BAC-2020-06-055</t>
  </si>
  <si>
    <t>S3-BLD20-009</t>
  </si>
  <si>
    <t>20-0487</t>
  </si>
  <si>
    <t>S3-TAL20-008</t>
  </si>
  <si>
    <t>S3-BLD20-010</t>
  </si>
  <si>
    <t>2020-015R</t>
  </si>
  <si>
    <t>IN-BAC-2020-06-056</t>
  </si>
  <si>
    <t>LGU-Sagay-4745</t>
  </si>
  <si>
    <t>2-0603-2020</t>
  </si>
  <si>
    <t>1-06032020</t>
  </si>
  <si>
    <t>LGU-Sagay-4744</t>
  </si>
  <si>
    <t>S3-TAL20-007</t>
  </si>
  <si>
    <t>S3-LOR20-001</t>
  </si>
  <si>
    <t>LGU-Sagay-4742</t>
  </si>
  <si>
    <t>LGU-Sagay-4746</t>
  </si>
  <si>
    <t>LGU-Sagay-4741</t>
  </si>
  <si>
    <t>4-06032020</t>
  </si>
  <si>
    <t>20PI0082</t>
  </si>
  <si>
    <t>20PI0076</t>
  </si>
  <si>
    <t>20PI0087</t>
  </si>
  <si>
    <t>10-06032020</t>
  </si>
  <si>
    <t>8-06032020</t>
  </si>
  <si>
    <t>3-06032020</t>
  </si>
  <si>
    <t>7-06032020</t>
  </si>
  <si>
    <t>20PI0090</t>
  </si>
  <si>
    <t>20PI0089</t>
  </si>
  <si>
    <t>9-06032020</t>
  </si>
  <si>
    <t>6-06032020</t>
  </si>
  <si>
    <t>5-06032020</t>
  </si>
  <si>
    <t>20PI0091</t>
  </si>
  <si>
    <t>31</t>
  </si>
  <si>
    <t>LGU-Sagay-4747</t>
  </si>
  <si>
    <t>msj-2020-15</t>
  </si>
  <si>
    <t>Contract ID: 20KH0045</t>
  </si>
  <si>
    <t>2020-0446</t>
  </si>
  <si>
    <t>11-06032020</t>
  </si>
  <si>
    <t>20PI0088</t>
  </si>
  <si>
    <t>32</t>
  </si>
  <si>
    <t>NAVOTAS WEST 2020-002</t>
  </si>
  <si>
    <t>29</t>
  </si>
  <si>
    <t>pontevedra-20-CW06</t>
  </si>
  <si>
    <t>30</t>
  </si>
  <si>
    <t>20GFG0015</t>
  </si>
  <si>
    <t>2020-06-0177</t>
  </si>
  <si>
    <t>MKWD2020-041</t>
  </si>
  <si>
    <t>34</t>
  </si>
  <si>
    <t>BAC 06/04/20-01</t>
  </si>
  <si>
    <t>20FG0100</t>
  </si>
  <si>
    <t>GOODS2020-70</t>
  </si>
  <si>
    <t>33</t>
  </si>
  <si>
    <t>pontevedra-20-CW07</t>
  </si>
  <si>
    <t>2020-135-I</t>
  </si>
  <si>
    <t>20mond0604C</t>
  </si>
  <si>
    <t>2020-32</t>
  </si>
  <si>
    <t>MG-A7C20-019</t>
  </si>
  <si>
    <t>pontevedra-20-CW05</t>
  </si>
  <si>
    <t>100(01)20-06-321(O)</t>
  </si>
  <si>
    <t>ITB No. 023-2020  GQ</t>
  </si>
  <si>
    <t>pontevedra-20-CW-04</t>
  </si>
  <si>
    <t>20GKI0024 (Re-ad)</t>
  </si>
  <si>
    <t>20GKI0017 (Re-ad)</t>
  </si>
  <si>
    <t>20GKI0026</t>
  </si>
  <si>
    <t>C-013-0183-20</t>
  </si>
  <si>
    <t>SN-2020-6</t>
  </si>
  <si>
    <t>MMO-2020-06-04-001</t>
  </si>
  <si>
    <t>ITB No. 027-2020 GQ</t>
  </si>
  <si>
    <t>B-8661-20-11</t>
  </si>
  <si>
    <t>SN-2020-7</t>
  </si>
  <si>
    <t>G-102-20</t>
  </si>
  <si>
    <t>BRGHGMC-GS-2020-03</t>
  </si>
  <si>
    <t>ITB No. 026-2020  GQ</t>
  </si>
  <si>
    <t>S3-NAQ20-008</t>
  </si>
  <si>
    <t>2020 ITB - 025</t>
  </si>
  <si>
    <t>RFQ No. 053-2020 GQ</t>
  </si>
  <si>
    <t>S3-MMT20-015</t>
  </si>
  <si>
    <t>GO-20-06-038</t>
  </si>
  <si>
    <t>2020 ITB - 026</t>
  </si>
  <si>
    <t>06-05-2020-01</t>
  </si>
  <si>
    <t>20GKI0025 (Re-ad)</t>
  </si>
  <si>
    <t>RFQ No. 054-2020  GQ</t>
  </si>
  <si>
    <t>2020-06-3087</t>
  </si>
  <si>
    <t>philgeps06042020</t>
  </si>
  <si>
    <t>RFQ NO. 34</t>
  </si>
  <si>
    <t>06-04-01</t>
  </si>
  <si>
    <t xml:space="preserve">REQ 2020-025 Supply and delivery of Tires for NCR </t>
  </si>
  <si>
    <t>CWD06-202001</t>
  </si>
  <si>
    <t>20BJ0060</t>
  </si>
  <si>
    <t>PR NO. 2020-06-058</t>
  </si>
  <si>
    <t>GOODS 2020-016</t>
  </si>
  <si>
    <t>RFQ NO. 33</t>
  </si>
  <si>
    <t>M-20-19</t>
  </si>
  <si>
    <t>ITB No. 20-017</t>
  </si>
  <si>
    <t>20-022</t>
  </si>
  <si>
    <t>C-0113-0030-20</t>
  </si>
  <si>
    <t>014-0620-GD</t>
  </si>
  <si>
    <t>20KB0162</t>
  </si>
  <si>
    <t>2020-292</t>
  </si>
  <si>
    <t>2020 ITB - 027</t>
  </si>
  <si>
    <t>GOODS#0109, ITB#0110,  PR#0343: SCG-2020</t>
  </si>
  <si>
    <t>ITB No. 024-2020  GQ</t>
  </si>
  <si>
    <t>GOODS#0112, ITB#0114,  PR#0253: SCG-2020</t>
  </si>
  <si>
    <t>20-149</t>
  </si>
  <si>
    <t>PR062000624</t>
  </si>
  <si>
    <t>PR062000626</t>
  </si>
  <si>
    <t>S3-PLM20-003</t>
  </si>
  <si>
    <t>PR062000625</t>
  </si>
  <si>
    <t>35</t>
  </si>
  <si>
    <t>20BD00109</t>
  </si>
  <si>
    <t>ITB No. 20-018</t>
  </si>
  <si>
    <t>2020-06-0577 TDG</t>
  </si>
  <si>
    <t>20BD0110</t>
  </si>
  <si>
    <t>20HA0130</t>
  </si>
  <si>
    <t>2020-524</t>
  </si>
  <si>
    <t>2020-470</t>
  </si>
  <si>
    <t>INFR-02-2020</t>
  </si>
  <si>
    <t>20KB0163</t>
  </si>
  <si>
    <t>001-06052020</t>
  </si>
  <si>
    <t>20BD00108</t>
  </si>
  <si>
    <t>311</t>
  </si>
  <si>
    <t>20-038</t>
  </si>
  <si>
    <t>PROJECT ID NO. G-2020-003</t>
  </si>
  <si>
    <t>642020-022</t>
  </si>
  <si>
    <t>36</t>
  </si>
  <si>
    <t>INFRA 2020-003</t>
  </si>
  <si>
    <t>20KB0164</t>
  </si>
  <si>
    <t>20BD0112</t>
  </si>
  <si>
    <t>20GG00016</t>
  </si>
  <si>
    <t>20BD0113</t>
  </si>
  <si>
    <t>rfq#2020-03-1,539-sp-balansag</t>
  </si>
  <si>
    <t>20BD0114</t>
  </si>
  <si>
    <t>2020 ADP steelfootbridge</t>
  </si>
  <si>
    <t>2020-05-0063</t>
  </si>
  <si>
    <t>20-035</t>
  </si>
  <si>
    <t>004-0605</t>
  </si>
  <si>
    <t>PROJECT ID NO. I-2020-012</t>
  </si>
  <si>
    <t>SVP 2020-026</t>
  </si>
  <si>
    <t>PR-2020-</t>
  </si>
  <si>
    <t>rfq#2020-02-1,218-ppdo-gad</t>
  </si>
  <si>
    <t>420200302576</t>
  </si>
  <si>
    <t>20BD0111</t>
  </si>
  <si>
    <t>rfq#2020-02-1,478-pgo-admin-livelihood</t>
  </si>
  <si>
    <t>BP-060420-018</t>
  </si>
  <si>
    <t>20-505</t>
  </si>
  <si>
    <t>sfbac2020-SAIP NO. 04-1000-05</t>
  </si>
  <si>
    <t>DA3-2020-3-10-144</t>
  </si>
  <si>
    <t>2020-588</t>
  </si>
  <si>
    <t>20bd0116</t>
  </si>
  <si>
    <t>20BD0115</t>
  </si>
  <si>
    <t>20GM0073</t>
  </si>
  <si>
    <t>20NA0067</t>
  </si>
  <si>
    <t>GF-I-34-2020</t>
  </si>
  <si>
    <t>20BD0117</t>
  </si>
  <si>
    <t>20bd0118</t>
  </si>
  <si>
    <t>20BD0119</t>
  </si>
  <si>
    <t>20GM0077</t>
  </si>
  <si>
    <t>INF-SFO-04-20</t>
  </si>
  <si>
    <t>2020-G-27</t>
  </si>
  <si>
    <t>Competitive Bidding 2020-17</t>
  </si>
  <si>
    <t>20BD0124</t>
  </si>
  <si>
    <t>20BD0122</t>
  </si>
  <si>
    <t>20BD0123</t>
  </si>
  <si>
    <t>20GM0079</t>
  </si>
  <si>
    <t>005-06042020</t>
  </si>
  <si>
    <t>20BG0146</t>
  </si>
  <si>
    <t>Competitive Bidding 2020-18</t>
  </si>
  <si>
    <t>20GM0078</t>
  </si>
  <si>
    <t>BP-060420-019</t>
  </si>
  <si>
    <t>20BD0125</t>
  </si>
  <si>
    <t>2020-296</t>
  </si>
  <si>
    <t>rfq#2020-05-2,454-provl administrator's office-nut</t>
  </si>
  <si>
    <t>I-2020-014</t>
  </si>
  <si>
    <t>20-054</t>
  </si>
  <si>
    <t>Competitive Bidding 2020-19</t>
  </si>
  <si>
    <t>Adv. 20-007</t>
  </si>
  <si>
    <t>20BD0121</t>
  </si>
  <si>
    <t>rfq#2020-05-2,564-pgo-pdrrmd</t>
  </si>
  <si>
    <t>420200302577</t>
  </si>
  <si>
    <t>20BD0120</t>
  </si>
  <si>
    <t>20-029</t>
  </si>
  <si>
    <t>20-041</t>
  </si>
  <si>
    <t>2020-297</t>
  </si>
  <si>
    <t>20GM0075</t>
  </si>
  <si>
    <t>BAC-NP NO. 2020-05</t>
  </si>
  <si>
    <t>2020123</t>
  </si>
  <si>
    <t>20NH0081 (RE-AD)</t>
  </si>
  <si>
    <t>rfq#2020-05-2,224-provl agriculture offfice</t>
  </si>
  <si>
    <t>2020124</t>
  </si>
  <si>
    <t>0020-0357-1698.2020</t>
  </si>
  <si>
    <t>20-05-05A-0023</t>
  </si>
  <si>
    <t>2020-299</t>
  </si>
  <si>
    <t>rfq#2020-05-2,561-pgo-pdrrmd</t>
  </si>
  <si>
    <t>2020-298</t>
  </si>
  <si>
    <t>MRB-2020-BLDG</t>
  </si>
  <si>
    <t>2020-INFRA-037</t>
  </si>
  <si>
    <t>2020-300</t>
  </si>
  <si>
    <t>2020169</t>
  </si>
  <si>
    <t>2020127</t>
  </si>
  <si>
    <t>6-28-20</t>
  </si>
  <si>
    <t>ITB2020-01-01</t>
  </si>
  <si>
    <t>20GM0074</t>
  </si>
  <si>
    <t>20013052020</t>
  </si>
  <si>
    <t>2020125</t>
  </si>
  <si>
    <t>GF-I-35-2020</t>
  </si>
  <si>
    <t>20-503</t>
  </si>
  <si>
    <t>20GM0076</t>
  </si>
  <si>
    <t>JUNE42020</t>
  </si>
  <si>
    <t>ITB 2020-06-024</t>
  </si>
  <si>
    <t>0020-0125-0755-2020</t>
  </si>
  <si>
    <t>2020-301</t>
  </si>
  <si>
    <t>20CSZ009</t>
  </si>
  <si>
    <t>B-8661-20-12</t>
  </si>
  <si>
    <t>CHEDRO12 ITB2020-06-002</t>
  </si>
  <si>
    <t>2020-INFRA-038</t>
  </si>
  <si>
    <t>CW-259-2020</t>
  </si>
  <si>
    <t>2020-302</t>
  </si>
  <si>
    <t>CW-258-2020</t>
  </si>
  <si>
    <t>2020-303</t>
  </si>
  <si>
    <t>CEO-2018-C14 and CEO-2018-11</t>
  </si>
  <si>
    <t>BCS-2020-097</t>
  </si>
  <si>
    <t>BLGU-GUINTAGBUCAN-AL-G-01-2020</t>
  </si>
  <si>
    <t>E-065-0365-20</t>
  </si>
  <si>
    <t>MH-GOODS-SBO-WATER-FACILITIES-164/165/166</t>
  </si>
  <si>
    <t>6004012020</t>
  </si>
  <si>
    <t>INFRA-2020-05</t>
  </si>
  <si>
    <t>20CSZ010</t>
  </si>
  <si>
    <t>ITB-2019-PW-01</t>
  </si>
  <si>
    <t>Quotation No.20-03-262 REBID</t>
  </si>
  <si>
    <t>MSDS-6-2020-GGSS1</t>
  </si>
  <si>
    <t>MSDS-6-2020-G6</t>
  </si>
  <si>
    <t>Quotation No.20-03-269 REBID</t>
  </si>
  <si>
    <t>E-042-0342-20</t>
  </si>
  <si>
    <t>SOLANO 056-2020</t>
  </si>
  <si>
    <t>20NC0117</t>
  </si>
  <si>
    <t>20CSZ011</t>
  </si>
  <si>
    <t>SF2020-AIP-1000-25</t>
  </si>
  <si>
    <t>2020-5</t>
  </si>
  <si>
    <t>20CSZ013</t>
  </si>
  <si>
    <t>INFRA-017-2020</t>
  </si>
  <si>
    <t>2020-INFRA-039</t>
  </si>
  <si>
    <t>bac-baquioen-01-20</t>
  </si>
  <si>
    <t>FLGU-CW-2020-09</t>
  </si>
  <si>
    <t>D-005-0255-20</t>
  </si>
  <si>
    <t>20GDF0015</t>
  </si>
  <si>
    <t>20GDF0014</t>
  </si>
  <si>
    <t>2020-PB-015</t>
  </si>
  <si>
    <t>20CSZ014</t>
  </si>
  <si>
    <t>MSDS-6-2020-G7</t>
  </si>
  <si>
    <t>Infra-2020-06</t>
  </si>
  <si>
    <t>ITB 100-2020-06-01</t>
  </si>
  <si>
    <t>020-06-2020</t>
  </si>
  <si>
    <t>20PG0059</t>
  </si>
  <si>
    <t>SanJoseBatsAeb2020-067</t>
  </si>
  <si>
    <t>20CSZ012</t>
  </si>
  <si>
    <t>2020-ODY-06-175</t>
  </si>
  <si>
    <t>20GDF0017</t>
  </si>
  <si>
    <t>Publication no. 2020-05</t>
  </si>
  <si>
    <t>2020-05-0062</t>
  </si>
  <si>
    <t>D-009-0259-20</t>
  </si>
  <si>
    <t>IB No. 2020-029</t>
  </si>
  <si>
    <t>NFA-NCR-RBAC-2020-06-04-005</t>
  </si>
  <si>
    <t>ITB 100-2020-06-02</t>
  </si>
  <si>
    <t>20CSZ016</t>
  </si>
  <si>
    <t>20GDF0016</t>
  </si>
  <si>
    <t>20CSZ015</t>
  </si>
  <si>
    <t>06-04-02</t>
  </si>
  <si>
    <t>NAVOTAS WEST 2020-003</t>
  </si>
  <si>
    <t>RM-2020-02-002</t>
  </si>
  <si>
    <t>GFW-2020-06-017</t>
  </si>
  <si>
    <t>SanJoseBatsAeb2020-068</t>
  </si>
  <si>
    <t>SanJoseBatsAeb2020-069</t>
  </si>
  <si>
    <t>06-04-2020</t>
  </si>
  <si>
    <t>INFR-018-2020</t>
  </si>
  <si>
    <t>PR10626</t>
  </si>
  <si>
    <t>GFG-2020-06-017</t>
  </si>
  <si>
    <t>20NC0118</t>
  </si>
  <si>
    <t>NAVOTAS WEST 2020-004</t>
  </si>
  <si>
    <t>IB No. 2020-030</t>
  </si>
  <si>
    <t>MWD-20-011</t>
  </si>
  <si>
    <t>20GDF0018</t>
  </si>
  <si>
    <t>CID NO. 20IF0137</t>
  </si>
  <si>
    <t>ITB 100-2020-06-03</t>
  </si>
  <si>
    <t>SEF-I-41-2020</t>
  </si>
  <si>
    <t>SJ-20-155</t>
  </si>
  <si>
    <t>DA3-2020-06-01-13</t>
  </si>
  <si>
    <t>MIA-2020-06-001</t>
  </si>
  <si>
    <t>060420</t>
  </si>
  <si>
    <t>20NC0119</t>
  </si>
  <si>
    <t>PR10630</t>
  </si>
  <si>
    <t>NAVOTAS WEST 2020-006</t>
  </si>
  <si>
    <t>FLGU-CW-2020-10</t>
  </si>
  <si>
    <t>JUNE42020-1</t>
  </si>
  <si>
    <t>20NC0120</t>
  </si>
  <si>
    <t>CID NO. 20IF0138</t>
  </si>
  <si>
    <t>tag-07-20</t>
  </si>
  <si>
    <t>FLGU-CW-2020-11</t>
  </si>
  <si>
    <t>SJ-20-156</t>
  </si>
  <si>
    <t>Publication no. 2020-07</t>
  </si>
  <si>
    <t>20PG0060</t>
  </si>
  <si>
    <t>SURGERY-2020-02-0002</t>
  </si>
  <si>
    <t>NAVOTAS WEST 2020-005</t>
  </si>
  <si>
    <t>PEO-20-0663 B</t>
  </si>
  <si>
    <t>IB No. 2020-031</t>
  </si>
  <si>
    <t>LGU2020-06-46</t>
  </si>
  <si>
    <t>BUENAVISTA202001</t>
  </si>
  <si>
    <t>20GDM0098</t>
  </si>
  <si>
    <t>PEO-20-0667 B</t>
  </si>
  <si>
    <t>2020-S001</t>
  </si>
  <si>
    <t>2020-INFRA-040</t>
  </si>
  <si>
    <t>tagongon01-20</t>
  </si>
  <si>
    <t>BUE-06042020-01</t>
  </si>
  <si>
    <t>IB No. 2020-032</t>
  </si>
  <si>
    <t>2020-S002</t>
  </si>
  <si>
    <t>PGLDN 101-20-05-1052</t>
  </si>
  <si>
    <t>IB No. 2020-033</t>
  </si>
  <si>
    <t>I.D. NO. –June2-2020-460</t>
  </si>
  <si>
    <t>IB No. 2020-034</t>
  </si>
  <si>
    <t>BCS-2020-098</t>
  </si>
  <si>
    <t>2020-05-789-MEO</t>
  </si>
  <si>
    <t>I.D. NO. –June2-2020-461</t>
  </si>
  <si>
    <t>I.D. NO. –June2-2020-466</t>
  </si>
  <si>
    <t>CW20-19</t>
  </si>
  <si>
    <t>PB INFRA 001-2020</t>
  </si>
  <si>
    <t>20-0069</t>
  </si>
  <si>
    <t>SWEP-PNBAC1-2020-02</t>
  </si>
  <si>
    <t>I.D. NO. –June2-2020-462</t>
  </si>
  <si>
    <t>2020-INFRA-041</t>
  </si>
  <si>
    <t>PN 09-2020</t>
  </si>
  <si>
    <t>R1-ISIMO-20-06-020</t>
  </si>
  <si>
    <t>I.D. NO. –June2-2020-463</t>
  </si>
  <si>
    <t>R1-ISIMO-20-06-021</t>
  </si>
  <si>
    <t>20-06-046</t>
  </si>
  <si>
    <t>I.D. NO. –June2-2020-464</t>
  </si>
  <si>
    <t>I.D. NO. –June2-2020-465</t>
  </si>
  <si>
    <t>20-06-047</t>
  </si>
  <si>
    <t>PR0035-20 +0036-20 MotorPool</t>
  </si>
  <si>
    <t>2020-INFRA-042</t>
  </si>
  <si>
    <t>PR NO. 020-06-040</t>
  </si>
  <si>
    <t>R1-ISIMO-20-06-022</t>
  </si>
  <si>
    <t>20-06-048</t>
  </si>
  <si>
    <t>I.D. NO. –June2-2020-455</t>
  </si>
  <si>
    <t>SWEP-PNBAC1-2020-03</t>
  </si>
  <si>
    <t>PB INFRA 02-2020</t>
  </si>
  <si>
    <t>I.D. NO. –June2-2020-457</t>
  </si>
  <si>
    <t>I.D. NO. –June2-2020-458</t>
  </si>
  <si>
    <t>ITB PR No.: 0295, 0317-20BAC</t>
  </si>
  <si>
    <t>I.D. NO. –June2-2020-459</t>
  </si>
  <si>
    <t>ITB PR No.: 0206-20BAC</t>
  </si>
  <si>
    <t>R1-ISIMO-20-06-023</t>
  </si>
  <si>
    <t>lgutangcalldn-096</t>
  </si>
  <si>
    <t>2020-PBG-</t>
  </si>
  <si>
    <t>2020-133-I</t>
  </si>
  <si>
    <t>20HF0093</t>
  </si>
  <si>
    <t>RFQ-08-RIS-11220</t>
  </si>
  <si>
    <t>I.D. NO. –June2-2020-456</t>
  </si>
  <si>
    <t>lgutangcalldn-095</t>
  </si>
  <si>
    <t>RFQ-07-RIS-11020</t>
  </si>
  <si>
    <t>RO4-GOODS-2020-18</t>
  </si>
  <si>
    <t>BAC-HO GS No. 2020-0242 dated 28 May 2020 (ASD)</t>
  </si>
  <si>
    <t>PRDP ID No.: PRDP-IR-R011-DDS-006-DAV-003-2018</t>
  </si>
  <si>
    <t>2020-0006-0002</t>
  </si>
  <si>
    <t>2020-PBCW-04</t>
  </si>
  <si>
    <t>20DQ0110</t>
  </si>
  <si>
    <t>2020-0006-0001</t>
  </si>
  <si>
    <t>20MB0153</t>
  </si>
  <si>
    <t>ITB PR No.: 1123-20BAC</t>
  </si>
  <si>
    <t>20DQ0109</t>
  </si>
  <si>
    <t>2020-136-I</t>
  </si>
  <si>
    <t>20HF0098</t>
  </si>
  <si>
    <t>2020-134-I</t>
  </si>
  <si>
    <t>GSV2020-06-025</t>
  </si>
  <si>
    <t>20-06-36A</t>
  </si>
  <si>
    <t>ITB PR No.: 1155-20BAC</t>
  </si>
  <si>
    <t>MH-GOODS-MEO-CARPENTRY-SHOP-761</t>
  </si>
  <si>
    <t>2020-06-68</t>
  </si>
  <si>
    <t>20DQ0107</t>
  </si>
  <si>
    <t>20DQ0108</t>
  </si>
  <si>
    <t>ITB PR No.: 0193-20BAC</t>
  </si>
  <si>
    <t>DA3-2020-110-05-27-2020</t>
  </si>
  <si>
    <t>20DQ0111</t>
  </si>
  <si>
    <t>20DQ00106</t>
  </si>
  <si>
    <t>ITB PR No.: 0207-20BAC</t>
  </si>
  <si>
    <t>DPWH-SK2DEO-20GMH045</t>
  </si>
  <si>
    <t>DPWH-SK2DEO-20GMH043</t>
  </si>
  <si>
    <t>DPWH-SK2DEO-20GMH042</t>
  </si>
  <si>
    <t>AGINF2020-0605A</t>
  </si>
  <si>
    <t>AGINF2020-0605B</t>
  </si>
  <si>
    <t>lam-bac-189-020</t>
  </si>
  <si>
    <t>NIAREG9-06032020-686</t>
  </si>
  <si>
    <t>2020 - 06 - 016 (84 - Shopping)</t>
  </si>
  <si>
    <t>06-04-202002036</t>
  </si>
  <si>
    <t>20LG0113</t>
  </si>
  <si>
    <t>2020 - 06 - 016 (83 - Shopping)</t>
  </si>
  <si>
    <t>20-06-37A</t>
  </si>
  <si>
    <t>20FC0073</t>
  </si>
  <si>
    <t>031</t>
  </si>
  <si>
    <t>20FC0091</t>
  </si>
  <si>
    <t>DPWH-SK2DEO-20GMH044</t>
  </si>
  <si>
    <t>20-05-399</t>
  </si>
  <si>
    <t>ITB PR No.: 0177-20BAC</t>
  </si>
  <si>
    <t>DPWH-SK2DEO-20GMH046</t>
  </si>
  <si>
    <t>034</t>
  </si>
  <si>
    <t>ITB PR No.: 0204-20BAC</t>
  </si>
  <si>
    <t>033</t>
  </si>
  <si>
    <t>ITB PR No.: 0499-20BAC</t>
  </si>
  <si>
    <t>035</t>
  </si>
  <si>
    <t>NIAREG9-06032020-687</t>
  </si>
  <si>
    <t>20-06-443</t>
  </si>
  <si>
    <t>20FC0084</t>
  </si>
  <si>
    <t>ITB PR No.: 0697-20BAC</t>
  </si>
  <si>
    <t>qis_NFRA_2020#28</t>
  </si>
  <si>
    <t>ITB PR No.: 0698-20BAC</t>
  </si>
  <si>
    <t>20FC0105</t>
  </si>
  <si>
    <t>ITB PR No.: 0694-20BAC</t>
  </si>
  <si>
    <t>ITB PR No.: 0952-20BAC</t>
  </si>
  <si>
    <t>ITB PR No.: 0774-20BAC</t>
  </si>
  <si>
    <t>ITB PR No.: 3310-19BAC</t>
  </si>
  <si>
    <t>ITB PR No.: 0772-20BAC</t>
  </si>
  <si>
    <t>032</t>
  </si>
  <si>
    <t>ITB PR No.: 0691-20BAC</t>
  </si>
  <si>
    <t>BAC-PG-00119-20</t>
  </si>
  <si>
    <t>BAC-PG-00117-20</t>
  </si>
  <si>
    <t>BAC-PG-00116-20</t>
  </si>
  <si>
    <t>20csd01</t>
  </si>
  <si>
    <t>ITB PR No.: 0604-20BAC</t>
  </si>
  <si>
    <t>008-06042020</t>
  </si>
  <si>
    <t>BAC 2020-69</t>
  </si>
  <si>
    <t>007-06042020</t>
  </si>
  <si>
    <t>006-06042020</t>
  </si>
  <si>
    <t>004-06042020</t>
  </si>
  <si>
    <t>003-06042020</t>
  </si>
  <si>
    <t>010-06042020</t>
  </si>
  <si>
    <t>001-06042020</t>
  </si>
  <si>
    <t>002-06042020</t>
  </si>
  <si>
    <t>009-06042020</t>
  </si>
  <si>
    <t>2020-0401</t>
  </si>
  <si>
    <t>ITB PR No.: 0605-20BAC</t>
  </si>
  <si>
    <t>017-06042020</t>
  </si>
  <si>
    <t>016-06042020</t>
  </si>
  <si>
    <t>018-06042020</t>
  </si>
  <si>
    <t>BAC-PG-00118-20</t>
  </si>
  <si>
    <t>20CSZ005</t>
  </si>
  <si>
    <t>014-06042020</t>
  </si>
  <si>
    <t>013-06042020</t>
  </si>
  <si>
    <t>20GA0185</t>
  </si>
  <si>
    <t>2020-0402</t>
  </si>
  <si>
    <t>015-06042020</t>
  </si>
  <si>
    <t>20GA0190</t>
  </si>
  <si>
    <t>20GA0189</t>
  </si>
  <si>
    <t>020-06042020</t>
  </si>
  <si>
    <t>20GA0188</t>
  </si>
  <si>
    <t>021-06042020</t>
  </si>
  <si>
    <t>011-06042020</t>
  </si>
  <si>
    <t>012-06042020</t>
  </si>
  <si>
    <t>019-0506042020</t>
  </si>
  <si>
    <t>022-06042020</t>
  </si>
  <si>
    <t>029-06042020</t>
  </si>
  <si>
    <t>028-06042020</t>
  </si>
  <si>
    <t>025-06042020</t>
  </si>
  <si>
    <t>024-06042020</t>
  </si>
  <si>
    <t>20GA0209</t>
  </si>
  <si>
    <t>027-06042020</t>
  </si>
  <si>
    <t>20GA0213</t>
  </si>
  <si>
    <t>026-06042020</t>
  </si>
  <si>
    <t>DENR-ORMIN-015-2020</t>
  </si>
  <si>
    <t>B1-2020-04-010</t>
  </si>
  <si>
    <t>032-06042020</t>
  </si>
  <si>
    <t>20GA0212</t>
  </si>
  <si>
    <t>033-06042020</t>
  </si>
  <si>
    <t>034-06042020</t>
  </si>
  <si>
    <t>035-06042020</t>
  </si>
  <si>
    <t>B2-2020-03-004</t>
  </si>
  <si>
    <t>100-20-02-258</t>
  </si>
  <si>
    <t>041-06042020</t>
  </si>
  <si>
    <t>040-06042020</t>
  </si>
  <si>
    <t>039-06042020</t>
  </si>
  <si>
    <t>031-06042020</t>
  </si>
  <si>
    <t>043-06042020</t>
  </si>
  <si>
    <t>100-20-03-420</t>
  </si>
  <si>
    <t>100-20-01-154; 02-236; 237; 297</t>
  </si>
  <si>
    <t>030-06042020</t>
  </si>
  <si>
    <t>100-20-01-118; 133; 243; 330</t>
  </si>
  <si>
    <t>ME2020-05-022.1</t>
  </si>
  <si>
    <t>042-06042020</t>
  </si>
  <si>
    <t>044-06042020</t>
  </si>
  <si>
    <t>MG-A7T20-050</t>
  </si>
  <si>
    <t>100-20-01-163</t>
  </si>
  <si>
    <t>038-06042020</t>
  </si>
  <si>
    <t>100-20-01-060</t>
  </si>
  <si>
    <t>ME2020-05-022.2</t>
  </si>
  <si>
    <t>045-06042020</t>
  </si>
  <si>
    <t>036-06042020</t>
  </si>
  <si>
    <t>100-20-03-438</t>
  </si>
  <si>
    <t>Infra-2020-07</t>
  </si>
  <si>
    <t>049-06042020</t>
  </si>
  <si>
    <t>ME2020-05-022.5</t>
  </si>
  <si>
    <t>037-06042020</t>
  </si>
  <si>
    <t>100-20-02-306</t>
  </si>
  <si>
    <t>ME2020-05-022.8</t>
  </si>
  <si>
    <t>100-20-02-276</t>
  </si>
  <si>
    <t>ME2020-05-022.7</t>
  </si>
  <si>
    <t>ME2020-05-022.4</t>
  </si>
  <si>
    <t>ME2020-05-022.9</t>
  </si>
  <si>
    <t>ME2020-05-022.3</t>
  </si>
  <si>
    <t>048-06042020</t>
  </si>
  <si>
    <t>053-06042020</t>
  </si>
  <si>
    <t>052-06042020</t>
  </si>
  <si>
    <t>050-06042020</t>
  </si>
  <si>
    <t>Infra-2020-08</t>
  </si>
  <si>
    <t>051-06042020</t>
  </si>
  <si>
    <t>ME2020-05-022.6</t>
  </si>
  <si>
    <t>054-06042020</t>
  </si>
  <si>
    <t>100-20-04-527</t>
  </si>
  <si>
    <t>056-06042020</t>
  </si>
  <si>
    <t>100-20-04-506</t>
  </si>
  <si>
    <t>PB20200601-030</t>
  </si>
  <si>
    <t>061-06042020</t>
  </si>
  <si>
    <t>100-20-02-305</t>
  </si>
  <si>
    <t>058-06042020</t>
  </si>
  <si>
    <t>057-06042020</t>
  </si>
  <si>
    <t>059-06042020</t>
  </si>
  <si>
    <t>100-20-03-446; 447</t>
  </si>
  <si>
    <t>PB20200601-029</t>
  </si>
  <si>
    <t>060-06042020</t>
  </si>
  <si>
    <t>IB No. 2020-053/RJP</t>
  </si>
  <si>
    <t>PB20200601-031</t>
  </si>
  <si>
    <t>063-06042020</t>
  </si>
  <si>
    <t>062-06042020</t>
  </si>
  <si>
    <t>ME2020-05-022.14</t>
  </si>
  <si>
    <t>2020-B1-05-012</t>
  </si>
  <si>
    <t>PB20200601-032</t>
  </si>
  <si>
    <t>ME2020-05-022.12</t>
  </si>
  <si>
    <t>064-06042020</t>
  </si>
  <si>
    <t>20GFI0002</t>
  </si>
  <si>
    <t>ME2020-05-022.10</t>
  </si>
  <si>
    <t>2020-B2-05-013</t>
  </si>
  <si>
    <t>2020-B1-04-011</t>
  </si>
  <si>
    <t>BAC-PG-00131-20</t>
  </si>
  <si>
    <t>ME2020-05-022.11</t>
  </si>
  <si>
    <t>100-20-04-539</t>
  </si>
  <si>
    <t>100-20-02-314; 05-573</t>
  </si>
  <si>
    <t>100-20-04-540</t>
  </si>
  <si>
    <t>ME2020-05-022.15</t>
  </si>
  <si>
    <t>PB20200602-033</t>
  </si>
  <si>
    <t>065-06042020</t>
  </si>
  <si>
    <t>ME2020-05-022.16</t>
  </si>
  <si>
    <t>UMB-TAG-SDS-01-2020</t>
  </si>
  <si>
    <t>068-06042020</t>
  </si>
  <si>
    <t>067-06042020</t>
  </si>
  <si>
    <t>20ME0139</t>
  </si>
  <si>
    <t>20ME0138</t>
  </si>
  <si>
    <t>20ME0136</t>
  </si>
  <si>
    <t>066-06042020</t>
  </si>
  <si>
    <t>20ME0137</t>
  </si>
  <si>
    <t>122 - 2020</t>
  </si>
  <si>
    <t>PB NO. 2020-029</t>
  </si>
  <si>
    <t>20ME0135</t>
  </si>
  <si>
    <t>20-096</t>
  </si>
  <si>
    <t>PB20200602-034</t>
  </si>
  <si>
    <t>20ME0140</t>
  </si>
  <si>
    <t>2020-B1-03-007</t>
  </si>
  <si>
    <t>20ME0141</t>
  </si>
  <si>
    <t>PB NO. 2020-030</t>
  </si>
  <si>
    <t>20-101</t>
  </si>
  <si>
    <t>100-20-03-448; 451; 452-B; 04-496</t>
  </si>
  <si>
    <t>20ME0142</t>
  </si>
  <si>
    <t>069-06042020</t>
  </si>
  <si>
    <t>20-102</t>
  </si>
  <si>
    <t>20-097</t>
  </si>
  <si>
    <t>96a - 2020</t>
  </si>
  <si>
    <t>20-100</t>
  </si>
  <si>
    <t>070-06042020</t>
  </si>
  <si>
    <t>124 - 2020</t>
  </si>
  <si>
    <t>100-20-05-575</t>
  </si>
  <si>
    <t>125 - 2020</t>
  </si>
  <si>
    <t>100-20-02-326; 03-463; 05-623</t>
  </si>
  <si>
    <t>20-105</t>
  </si>
  <si>
    <t>ADS-1241-20</t>
  </si>
  <si>
    <t>121 - 2020</t>
  </si>
  <si>
    <t>2020-B1-04</t>
  </si>
  <si>
    <t>072-06042020</t>
  </si>
  <si>
    <t>20-104</t>
  </si>
  <si>
    <t>100-20-02-388</t>
  </si>
  <si>
    <t>20AA0350</t>
  </si>
  <si>
    <t>20-103</t>
  </si>
  <si>
    <t>ADS-0668-20</t>
  </si>
  <si>
    <t>ADS-0649-20</t>
  </si>
  <si>
    <t>100-20-01-100; 129; 164; 170; 02-190; 02-251</t>
  </si>
  <si>
    <t>LGU-2020-038</t>
  </si>
  <si>
    <t>ADS-0671-20</t>
  </si>
  <si>
    <t>2020-B1-03-009</t>
  </si>
  <si>
    <t>ADS-1242-20</t>
  </si>
  <si>
    <t>ADS-0670-20</t>
  </si>
  <si>
    <t>100-20-01-124; 146; 02-249</t>
  </si>
  <si>
    <t>20-02-0080</t>
  </si>
  <si>
    <t>100-20-03-414; 434; 474; 04-548; 05-583</t>
  </si>
  <si>
    <t>ADS-0669-20</t>
  </si>
  <si>
    <t>075-06042020</t>
  </si>
  <si>
    <t>ADS-0648-20</t>
  </si>
  <si>
    <t>ADS-0646-20</t>
  </si>
  <si>
    <t>20HL0109</t>
  </si>
  <si>
    <t>ADS-0647-20</t>
  </si>
  <si>
    <t>POW - 8751 - 2020 - PCO - 04</t>
  </si>
  <si>
    <t>RIZAL-23JUNE2020-2</t>
  </si>
  <si>
    <t>ITB-2020-10-I</t>
  </si>
  <si>
    <t>RIZAL-23JUNE2020-13</t>
  </si>
  <si>
    <t>POW - 8751 - 2020 - AMB - 02</t>
  </si>
  <si>
    <t>POW - 8751 - 2020 - PUG - 03</t>
  </si>
  <si>
    <t>RIZAL-23JUNE2020-11</t>
  </si>
  <si>
    <t>RIZAL-23JUNE2020-7</t>
  </si>
  <si>
    <t>RIZAL-23JUNE2020-1</t>
  </si>
  <si>
    <t>RIZAL-23JUNE2020-12</t>
  </si>
  <si>
    <t>RIZAL-23JUNE2020-9</t>
  </si>
  <si>
    <t>POW - 8751 - 2020 - BTG - 01</t>
  </si>
  <si>
    <t>RIZAL-23JUNE2020-15</t>
  </si>
  <si>
    <t>RIZAL-23JUNE2020-5</t>
  </si>
  <si>
    <t>RIZAL-23JUNE2020-6</t>
  </si>
  <si>
    <t>RIZAL-23JUNE2020-14</t>
  </si>
  <si>
    <t>RIZAL-23JUNE2020-8</t>
  </si>
  <si>
    <t>RIZAL-23JUNE2020-3</t>
  </si>
  <si>
    <t>RIZAL-23JUNE2020-10</t>
  </si>
  <si>
    <t>RIZAL-23JUNE2020-4</t>
  </si>
  <si>
    <t>RIZAL-23JUNE2020-16</t>
  </si>
  <si>
    <t>RIZAL-23JUNE2020-21</t>
  </si>
  <si>
    <t>RIZAL-23JUNE2020-18</t>
  </si>
  <si>
    <t>RIZAL-23JUNE2020-26</t>
  </si>
  <si>
    <t>RIZAL-23JUNE2020-24</t>
  </si>
  <si>
    <t>RIZAL-23JUNE2020-31</t>
  </si>
  <si>
    <t>RIZAL-23JUNE2020-17</t>
  </si>
  <si>
    <t>RIZAL-23JUNE2020-30</t>
  </si>
  <si>
    <t>RIZAL-23JUNE2020-22</t>
  </si>
  <si>
    <t>RIZAL-23JUNE2020-28</t>
  </si>
  <si>
    <t>RIZAL-23JUNE2020-29</t>
  </si>
  <si>
    <t>RIZAL-23JUNE2020-20</t>
  </si>
  <si>
    <t>RIZAL-23JUNE2020-27</t>
  </si>
  <si>
    <t>RIZAL-23JUNE2020-25</t>
  </si>
  <si>
    <t>RIZAL-23JUNE2020-23</t>
  </si>
  <si>
    <t>20CSEB03</t>
  </si>
  <si>
    <t>20CSEB04</t>
  </si>
  <si>
    <t>RIZAL-23JUNE2020-19</t>
  </si>
  <si>
    <t>20CN0142</t>
  </si>
  <si>
    <t>20CSEB05</t>
  </si>
  <si>
    <t>20L00028</t>
  </si>
  <si>
    <t>20L00152</t>
  </si>
  <si>
    <t>MG-A7O20-007</t>
  </si>
  <si>
    <t>20MD0131</t>
  </si>
  <si>
    <t>20L00150</t>
  </si>
  <si>
    <t>20MD0130</t>
  </si>
  <si>
    <t>INF-ITB 20-026</t>
  </si>
  <si>
    <t>M-09-20</t>
  </si>
  <si>
    <t>06032020A</t>
  </si>
  <si>
    <t>20L00151</t>
  </si>
  <si>
    <t>OM-175-L-2020</t>
  </si>
  <si>
    <t>20L00154</t>
  </si>
  <si>
    <t>INF-ITB 20-024</t>
  </si>
  <si>
    <t>INF-ITB 20-025</t>
  </si>
  <si>
    <t>20MD0133</t>
  </si>
  <si>
    <t>ITB-2020-06-01 bayambang</t>
  </si>
  <si>
    <t>20MD0132</t>
  </si>
  <si>
    <t>LGU-MOALBOAL2020-0502</t>
  </si>
  <si>
    <t>LGU-MOALBOAL2020-0501</t>
  </si>
  <si>
    <t>BAC 2020-62</t>
  </si>
  <si>
    <t>BAC 2020-63</t>
  </si>
  <si>
    <t>100-19-11-1894</t>
  </si>
  <si>
    <t>INF-ITB 20-027</t>
  </si>
  <si>
    <t>2020-028 Lab and hospital supplies</t>
  </si>
  <si>
    <t>2020-02a</t>
  </si>
  <si>
    <t>LGU-MOALBOAL2020-0503</t>
  </si>
  <si>
    <t>QRF-CY2020-SLOPE PROTECTION</t>
  </si>
  <si>
    <t>Q-085-20</t>
  </si>
  <si>
    <t>BAC 2020-61</t>
  </si>
  <si>
    <t>BAC 2020-64</t>
  </si>
  <si>
    <t>Civil Works 019-2020</t>
  </si>
  <si>
    <t>2020-029 D&amp;M ONC</t>
  </si>
  <si>
    <t>2020-030 RHU</t>
  </si>
  <si>
    <t>100-20-06-0638</t>
  </si>
  <si>
    <t>OGDS 06-3-20</t>
  </si>
  <si>
    <t>PR NO. 2020-06-2014</t>
  </si>
  <si>
    <t>20GB0121</t>
  </si>
  <si>
    <t>2020-03-90-B</t>
  </si>
  <si>
    <t>ITB-011-2020</t>
  </si>
  <si>
    <t>LPZ - 2020 - 008</t>
  </si>
  <si>
    <t>AMP SVP 20-06-0278A</t>
  </si>
  <si>
    <t>20GB0122</t>
  </si>
  <si>
    <t>DVO-200623-01</t>
  </si>
  <si>
    <t>100-20-05-0602</t>
  </si>
  <si>
    <t>RFQ.2020-008</t>
  </si>
  <si>
    <t>020-10 Lot 1</t>
  </si>
  <si>
    <t>19-09-0386</t>
  </si>
  <si>
    <t>Competitive Bidding 2020-16</t>
  </si>
  <si>
    <t>20AI0169</t>
  </si>
  <si>
    <t>20GB0123</t>
  </si>
  <si>
    <t>2020-06-517</t>
  </si>
  <si>
    <t>DVO-200623-04</t>
  </si>
  <si>
    <t>2020-06-516</t>
  </si>
  <si>
    <t>020-10 Lot 3</t>
  </si>
  <si>
    <t>100-20-06-0631</t>
  </si>
  <si>
    <t>DVO-200623-05</t>
  </si>
  <si>
    <t>GOODS-2020-036</t>
  </si>
  <si>
    <t>DVO-200623-06</t>
  </si>
  <si>
    <t>2020-06-03-01</t>
  </si>
  <si>
    <t>DVO-200623-03</t>
  </si>
  <si>
    <t>020-10 Lot 4</t>
  </si>
  <si>
    <t>2020-023</t>
  </si>
  <si>
    <t>DVO-200623-02</t>
  </si>
  <si>
    <t>DVO-200623-09</t>
  </si>
  <si>
    <t>CRN 2020-06-001</t>
  </si>
  <si>
    <t>BAC 2020-65</t>
  </si>
  <si>
    <t>PBI-2020-19</t>
  </si>
  <si>
    <t>LGUTMO BAC 2020-13</t>
  </si>
  <si>
    <t>20-06-020</t>
  </si>
  <si>
    <t>20LA0319</t>
  </si>
  <si>
    <t>DVO-200623-07</t>
  </si>
  <si>
    <t>BB-2020-002</t>
  </si>
  <si>
    <t>020-10 Lot 2</t>
  </si>
  <si>
    <t>DVO-200623-08</t>
  </si>
  <si>
    <t>20LA0320</t>
  </si>
  <si>
    <t>20LA0321</t>
  </si>
  <si>
    <t>20LA0323</t>
  </si>
  <si>
    <t>06032020-A</t>
  </si>
  <si>
    <t>197</t>
  </si>
  <si>
    <t>Contract No. PB-CW-2020-017</t>
  </si>
  <si>
    <t>100-20-02-223</t>
  </si>
  <si>
    <t>GOOD-005-2020</t>
  </si>
  <si>
    <t>LGUTMO BAC 2020-14</t>
  </si>
  <si>
    <t>20LA0322</t>
  </si>
  <si>
    <t>100-20-06-0634</t>
  </si>
  <si>
    <t>PR. NO. 2020050625</t>
  </si>
  <si>
    <t>DVO-200623-11</t>
  </si>
  <si>
    <t>DVO-200623-12</t>
  </si>
  <si>
    <t>PR. NO. 2020050611</t>
  </si>
  <si>
    <t>20CSGB01</t>
  </si>
  <si>
    <t>DVO-200623-13</t>
  </si>
  <si>
    <t>PB-CW-2020-018</t>
  </si>
  <si>
    <t>20LA0326</t>
  </si>
  <si>
    <t>PB-CW-2020-020</t>
  </si>
  <si>
    <t>PB-CW-2020-016</t>
  </si>
  <si>
    <t>LGUTMO BAC 2020-15</t>
  </si>
  <si>
    <t>20LA0325</t>
  </si>
  <si>
    <t>790</t>
  </si>
  <si>
    <t>20LA0329</t>
  </si>
  <si>
    <t>20LA0328</t>
  </si>
  <si>
    <t>DVO-200623-14</t>
  </si>
  <si>
    <t>20LA0324</t>
  </si>
  <si>
    <t>20EG0091</t>
  </si>
  <si>
    <t>20LA0327</t>
  </si>
  <si>
    <t>DVO-200623-15</t>
  </si>
  <si>
    <t>20LA0331</t>
  </si>
  <si>
    <t>20HN0115</t>
  </si>
  <si>
    <t>PB-CW-2020-019</t>
  </si>
  <si>
    <t>06032020-B</t>
  </si>
  <si>
    <t>PANG-2020-0761</t>
  </si>
  <si>
    <t>PR. NO. 2020030312</t>
  </si>
  <si>
    <t>20LA0330</t>
  </si>
  <si>
    <t>20LA0334</t>
  </si>
  <si>
    <t>20LA0283</t>
  </si>
  <si>
    <t>TAL-06-30-2020</t>
  </si>
  <si>
    <t>TALB-06-10-2020</t>
  </si>
  <si>
    <t>DVO-200623-17</t>
  </si>
  <si>
    <t>PR. NO. 2020060649</t>
  </si>
  <si>
    <t>20LA0332</t>
  </si>
  <si>
    <t>DVO-200623-18</t>
  </si>
  <si>
    <t>DVO-200623-16</t>
  </si>
  <si>
    <t>20HN0116</t>
  </si>
  <si>
    <t>20LA0333</t>
  </si>
  <si>
    <t>20LA0286</t>
  </si>
  <si>
    <t>TAL-06-31-2020</t>
  </si>
  <si>
    <t>20LA0290</t>
  </si>
  <si>
    <t>27</t>
  </si>
  <si>
    <t>2020-2076-06-203</t>
  </si>
  <si>
    <t>20LA0284</t>
  </si>
  <si>
    <t>TAL-06-32-2020</t>
  </si>
  <si>
    <t>20LA0287</t>
  </si>
  <si>
    <t>20200603</t>
  </si>
  <si>
    <t>041</t>
  </si>
  <si>
    <t>28</t>
  </si>
  <si>
    <t>20LA0285</t>
  </si>
  <si>
    <t>164-20-05-64</t>
  </si>
  <si>
    <t>ITB-019-2020</t>
  </si>
  <si>
    <t>20LA0291</t>
  </si>
  <si>
    <t>20LA0292</t>
  </si>
  <si>
    <t>20LA0293</t>
  </si>
  <si>
    <t>LGU-MOALBOAL2020-0504</t>
  </si>
  <si>
    <t>2005073</t>
  </si>
  <si>
    <t>GEPS-13-2020</t>
  </si>
  <si>
    <t>042</t>
  </si>
  <si>
    <t>20LA0294</t>
  </si>
  <si>
    <t>2005074</t>
  </si>
  <si>
    <t>20LA0295</t>
  </si>
  <si>
    <t>2005072</t>
  </si>
  <si>
    <t>20LA0300</t>
  </si>
  <si>
    <t>399-05-2020 (IPHO)</t>
  </si>
  <si>
    <t>ITB (CW-06-2020-017) 20DD0219 (Re-Advertised)</t>
  </si>
  <si>
    <t>20LA0299</t>
  </si>
  <si>
    <t>LGU-MOALBOAL2020-0505</t>
  </si>
  <si>
    <t>2005075</t>
  </si>
  <si>
    <t>PR 2020-03-018</t>
  </si>
  <si>
    <t>100-1917-20-309</t>
  </si>
  <si>
    <t>DA RFO-1-2019-INFRA-049-R</t>
  </si>
  <si>
    <t>2006080</t>
  </si>
  <si>
    <t>20LA0301</t>
  </si>
  <si>
    <t>DA RFO-1-2019-INFRA-48-R</t>
  </si>
  <si>
    <t>STC-GOOD- NO. 2020-0035</t>
  </si>
  <si>
    <t>Aklan BAC ITB 327 Series of 2020</t>
  </si>
  <si>
    <t>20LA0308</t>
  </si>
  <si>
    <t>2006082</t>
  </si>
  <si>
    <t>20LA0310</t>
  </si>
  <si>
    <t>NS-06-04-20</t>
  </si>
  <si>
    <t>bacgal-47-2020</t>
  </si>
  <si>
    <t>20LA0309</t>
  </si>
  <si>
    <t>20IC0073</t>
  </si>
  <si>
    <t>20GM0071</t>
  </si>
  <si>
    <t>05-0013-20</t>
  </si>
  <si>
    <t>20LA0302</t>
  </si>
  <si>
    <t>PR 2020-03-022</t>
  </si>
  <si>
    <t>20LA0312</t>
  </si>
  <si>
    <t>20PC0001CS</t>
  </si>
  <si>
    <t>2006081</t>
  </si>
  <si>
    <t>100-20-02-274; 313; 334; 398; 408</t>
  </si>
  <si>
    <t>07-01-2020-06-439</t>
  </si>
  <si>
    <t>ITB (CW-06-2020-017) 20DD0311</t>
  </si>
  <si>
    <t>20GM0072</t>
  </si>
  <si>
    <t>ITB (CW-06-2020-017) 20DD0310</t>
  </si>
  <si>
    <t>ITB (CW-06-2020-017) 20DD0313</t>
  </si>
  <si>
    <t>20FO0093</t>
  </si>
  <si>
    <t>20LA0311</t>
  </si>
  <si>
    <t>ITB (CW-06-2020-017) 20DD0312</t>
  </si>
  <si>
    <t>GO-20-06-035</t>
  </si>
  <si>
    <t>07-01-2020-06-510</t>
  </si>
  <si>
    <t>11-01-2020-06-511</t>
  </si>
  <si>
    <t>BS20-02-0398</t>
  </si>
  <si>
    <t>12-01-2020-06-512</t>
  </si>
  <si>
    <t>PR 2020-03-027</t>
  </si>
  <si>
    <t>BAC-CAN 2020-001</t>
  </si>
  <si>
    <t>ITB (CW-06-2020-017) 20DD0315</t>
  </si>
  <si>
    <t>DA RFO-1-2019-INFRA-051-R</t>
  </si>
  <si>
    <t>PR. NO. 2020040556</t>
  </si>
  <si>
    <t>20LA0313</t>
  </si>
  <si>
    <t>ITB (CW-06-2020-017) 20DD0314</t>
  </si>
  <si>
    <t>ITB-2020-011</t>
  </si>
  <si>
    <t>20ITB-INF-02-00032</t>
  </si>
  <si>
    <t>STC-GOOD- NO. 2020-0036</t>
  </si>
  <si>
    <t>ITB-2020-010</t>
  </si>
  <si>
    <t>20PC0002CS</t>
  </si>
  <si>
    <t>20FO0094</t>
  </si>
  <si>
    <t>ITB (CW-06-2020-017) 20DD0316</t>
  </si>
  <si>
    <t>DA RFO-1-2019-INFRA-052-R</t>
  </si>
  <si>
    <t>FLGU-G-2020-29</t>
  </si>
  <si>
    <t>Publication No. 26-2020-G</t>
  </si>
  <si>
    <t>SJ-20-154</t>
  </si>
  <si>
    <t>ITB (CW-06-2020-017) 20DD0317</t>
  </si>
  <si>
    <t>ITB (CW-06-2020-017) 20DD0320</t>
  </si>
  <si>
    <t>20FO0095</t>
  </si>
  <si>
    <t>2020-371</t>
  </si>
  <si>
    <t>ITB (CW-06-2020-017) 20DD0319</t>
  </si>
  <si>
    <t>NV 2020-026 Re-bid</t>
  </si>
  <si>
    <t>DA RFO-1-2019-INFRA-054-R</t>
  </si>
  <si>
    <t>NV 2020-030</t>
  </si>
  <si>
    <t>20JB0076</t>
  </si>
  <si>
    <t>ITB-2020-012</t>
  </si>
  <si>
    <t>NV 2020-031</t>
  </si>
  <si>
    <t>ITB (CW-06-2020-017) 20DD0318</t>
  </si>
  <si>
    <t>DA RFO-1-2019-INFRA-053-R</t>
  </si>
  <si>
    <t>20LA0314</t>
  </si>
  <si>
    <t>NV 2020-032</t>
  </si>
  <si>
    <t>20LA0315</t>
  </si>
  <si>
    <t>BS20-03-0463</t>
  </si>
  <si>
    <t>19-83-408</t>
  </si>
  <si>
    <t>2020-02-0267-MAIN</t>
  </si>
  <si>
    <t>19-83-180</t>
  </si>
  <si>
    <t>101-2020-05-272</t>
  </si>
  <si>
    <t>ITB (CW-06-2020-017) 20DD0324</t>
  </si>
  <si>
    <t>ITB (CW-06-2020-017) 20DD0321</t>
  </si>
  <si>
    <t>ITB (CW-06-2020-017) 20DD0323</t>
  </si>
  <si>
    <t>GO-20-06-036</t>
  </si>
  <si>
    <t>ITB (CW-06-2020-017) 20DD0322</t>
  </si>
  <si>
    <t>SVP 2020-337</t>
  </si>
  <si>
    <t>12-01-2020-06-515</t>
  </si>
  <si>
    <t>1-07-05-020</t>
  </si>
  <si>
    <t>PR 2020-05-077</t>
  </si>
  <si>
    <t>20PG0044</t>
  </si>
  <si>
    <t>8000-3-01-010-009-001-004/9000-3-03-001-004-005</t>
  </si>
  <si>
    <t>20BH0135</t>
  </si>
  <si>
    <t>STC-GOOD- NO. 2020-0037</t>
  </si>
  <si>
    <t>GO-20-06-037</t>
  </si>
  <si>
    <t>J06-2020-001</t>
  </si>
  <si>
    <t>20IC0074</t>
  </si>
  <si>
    <t>BS20-03-0625</t>
  </si>
  <si>
    <t>PR # 20-03-0411</t>
  </si>
  <si>
    <t>20BH0136</t>
  </si>
  <si>
    <t>062320-01</t>
  </si>
  <si>
    <t>20IC0075</t>
  </si>
  <si>
    <t>PR. NO. 2020040503</t>
  </si>
  <si>
    <t>ITB 12-2020</t>
  </si>
  <si>
    <t>GHS-10705030</t>
  </si>
  <si>
    <t>20NA0066</t>
  </si>
  <si>
    <t>KAP-20-12</t>
  </si>
  <si>
    <t>100-202002-00479</t>
  </si>
  <si>
    <t>20AI0168</t>
  </si>
  <si>
    <t>lgu-es-20-06-113</t>
  </si>
  <si>
    <t>Aklan BAC ITB 328 Series of 2020</t>
  </si>
  <si>
    <t>KAP-20-09</t>
  </si>
  <si>
    <t>PR 523</t>
  </si>
  <si>
    <t>BS20-03-0623</t>
  </si>
  <si>
    <t>20BH0137</t>
  </si>
  <si>
    <t>GF-20-02-00080</t>
  </si>
  <si>
    <t>100-202003-00539</t>
  </si>
  <si>
    <t>20PG0046</t>
  </si>
  <si>
    <t>20GP00062</t>
  </si>
  <si>
    <t>20-01-0023</t>
  </si>
  <si>
    <t>BS20-03-0624</t>
  </si>
  <si>
    <t>101-2020-05-279</t>
  </si>
  <si>
    <t>2020-003G</t>
  </si>
  <si>
    <t>101-2020-05-275</t>
  </si>
  <si>
    <t>20-0050</t>
  </si>
  <si>
    <t>2020-05B</t>
  </si>
  <si>
    <t>BS20-04-0629</t>
  </si>
  <si>
    <t>20BH0138</t>
  </si>
  <si>
    <t>BAC 2020-67</t>
  </si>
  <si>
    <t>2020-369</t>
  </si>
  <si>
    <t>20-00037</t>
  </si>
  <si>
    <t>BS20-04-0641</t>
  </si>
  <si>
    <t>PR 524</t>
  </si>
  <si>
    <t>BS19N-11-1667-1</t>
  </si>
  <si>
    <t>BS19N-11-1519-1</t>
  </si>
  <si>
    <t>KAP-20-10</t>
  </si>
  <si>
    <t>2020-0439</t>
  </si>
  <si>
    <t>2020-02-INFRA-JUNE-01</t>
  </si>
  <si>
    <t>BS20-04-0633</t>
  </si>
  <si>
    <t>20BH0139</t>
  </si>
  <si>
    <t>Lgn1-20-DH-0075</t>
  </si>
  <si>
    <t>BS20-03-0483</t>
  </si>
  <si>
    <t>KAP-20-13</t>
  </si>
  <si>
    <t>BS20-02-0379</t>
  </si>
  <si>
    <t>1000032689</t>
  </si>
  <si>
    <t>2020-06-147</t>
  </si>
  <si>
    <t>BAYLEGOOD0620058</t>
  </si>
  <si>
    <t>BS20-02-0173</t>
  </si>
  <si>
    <t>Lgn1-20-DH-0077</t>
  </si>
  <si>
    <t>GF-20-02-00165</t>
  </si>
  <si>
    <t>Lgn1-20-DH-0076</t>
  </si>
  <si>
    <t>REF #039-06-2020</t>
  </si>
  <si>
    <t>20PG0047</t>
  </si>
  <si>
    <t>BS20-06-MME007</t>
  </si>
  <si>
    <t>BInfr-2020-04</t>
  </si>
  <si>
    <t>20PG0048</t>
  </si>
  <si>
    <t>2020-02-INFRA-JUNE-02</t>
  </si>
  <si>
    <t>BS20-06-MME08</t>
  </si>
  <si>
    <t>20-DSWDFO1-01</t>
  </si>
  <si>
    <t>CB(B)-20-012(GTLMH)</t>
  </si>
  <si>
    <t>BAYLECON0620059</t>
  </si>
  <si>
    <t>20GDM0094</t>
  </si>
  <si>
    <t>BS20-02-0369</t>
  </si>
  <si>
    <t>CB(B)-20-015(CMO)</t>
  </si>
  <si>
    <t>BS20-06-CONS01</t>
  </si>
  <si>
    <t>20BH0140</t>
  </si>
  <si>
    <t>Lgn1-20-DH-0078</t>
  </si>
  <si>
    <t>ITBO4-SERVICES-TIPPINGFEE</t>
  </si>
  <si>
    <t>20LB0236</t>
  </si>
  <si>
    <t>BS20-02-0368</t>
  </si>
  <si>
    <t>GOODS-006-2020</t>
  </si>
  <si>
    <t>BInfr-2020-05</t>
  </si>
  <si>
    <t>BAC-2020-0016</t>
  </si>
  <si>
    <t>20CSPG0001</t>
  </si>
  <si>
    <t>NV 2020-029</t>
  </si>
  <si>
    <t>BInfr-2020-06</t>
  </si>
  <si>
    <t>2K20-QIA-F-1</t>
  </si>
  <si>
    <t>20LB0264</t>
  </si>
  <si>
    <t>Lgn1-20-DH-0079</t>
  </si>
  <si>
    <t>2020-05-067</t>
  </si>
  <si>
    <t>00096</t>
  </si>
  <si>
    <t>20LB0265</t>
  </si>
  <si>
    <t>4AQ-BLD-20-024 NIA QIMO Building Interior Works</t>
  </si>
  <si>
    <t>2k20-QIA-F-2</t>
  </si>
  <si>
    <t>BAYLEGOOD0620060</t>
  </si>
  <si>
    <t>2040-01M03</t>
  </si>
  <si>
    <t>2040-01C01</t>
  </si>
  <si>
    <t>SRAVIS 20-06-272</t>
  </si>
  <si>
    <t>2020-02-INFRA-JUNE-03</t>
  </si>
  <si>
    <t>00827,00357.00302,00485,00500,00636,00541,00477,00</t>
  </si>
  <si>
    <t>2000005452</t>
  </si>
  <si>
    <t>20LB0287</t>
  </si>
  <si>
    <t>20LB0269</t>
  </si>
  <si>
    <t>BInfr-2020-07</t>
  </si>
  <si>
    <t>Lgn1-20-DH-0080</t>
  </si>
  <si>
    <t>PR 510</t>
  </si>
  <si>
    <t>20LB0276</t>
  </si>
  <si>
    <t>20GE0105</t>
  </si>
  <si>
    <t>KAP-20-11</t>
  </si>
  <si>
    <t>2050-01C02-02</t>
  </si>
  <si>
    <t>00858</t>
  </si>
  <si>
    <t>DA RFO-1-2020-GOODS-079</t>
  </si>
  <si>
    <t>2050-01C02-03</t>
  </si>
  <si>
    <t>G-02-2020</t>
  </si>
  <si>
    <t>BAYLECON0620061</t>
  </si>
  <si>
    <t>BAC2020-015</t>
  </si>
  <si>
    <t>00746</t>
  </si>
  <si>
    <t>20LB0288</t>
  </si>
  <si>
    <t>2020-142</t>
  </si>
  <si>
    <t>MNP-GOODS-080-2020</t>
  </si>
  <si>
    <t>2020-05-090</t>
  </si>
  <si>
    <t>2020-03-1</t>
  </si>
  <si>
    <t>G-2020-14</t>
  </si>
  <si>
    <t>015-0620-CP</t>
  </si>
  <si>
    <t>01-2020-0034</t>
  </si>
  <si>
    <t>06-02-2020-06-003</t>
  </si>
  <si>
    <t>BAYLECON0620062</t>
  </si>
  <si>
    <t>BAC2-2020-02</t>
  </si>
  <si>
    <t>BAC2020-016</t>
  </si>
  <si>
    <t>Lgn1-20-DH-0081</t>
  </si>
  <si>
    <t>20DP0072</t>
  </si>
  <si>
    <t>2020-05-091</t>
  </si>
  <si>
    <t>20PG0058</t>
  </si>
  <si>
    <t>MNP-INFR-073-2020</t>
  </si>
  <si>
    <t>2050-01C02-01</t>
  </si>
  <si>
    <t>00240</t>
  </si>
  <si>
    <t>20GE0106</t>
  </si>
  <si>
    <t>sj 2020 b jun 007</t>
  </si>
  <si>
    <t>1936-4-001</t>
  </si>
  <si>
    <t>2020-060301</t>
  </si>
  <si>
    <t>00312</t>
  </si>
  <si>
    <t>LGU-ALCOY-2020-028</t>
  </si>
  <si>
    <t>BAC2020-017</t>
  </si>
  <si>
    <t>KAP-20-14</t>
  </si>
  <si>
    <t>2020-04-066(05206441)</t>
  </si>
  <si>
    <t>Lgn1-20-DH-0082</t>
  </si>
  <si>
    <t>BAC 06/03/20-01</t>
  </si>
  <si>
    <t>2020-05-087</t>
  </si>
  <si>
    <t>2020-0603</t>
  </si>
  <si>
    <t>BAC 06/03/20-02</t>
  </si>
  <si>
    <t>G-2020-13</t>
  </si>
  <si>
    <t>PB20200603-035</t>
  </si>
  <si>
    <t>NIA-NOIMO-GOODS-IMBANG-RRECIS-02-2020</t>
  </si>
  <si>
    <t>GOODS-ETG-20-06-013</t>
  </si>
  <si>
    <t>BAC2020-020</t>
  </si>
  <si>
    <t>IB-2020-082-INFRA</t>
  </si>
  <si>
    <t>IB-2020-081-INFRA</t>
  </si>
  <si>
    <t>PIN2020-073</t>
  </si>
  <si>
    <t>BAC2020-018</t>
  </si>
  <si>
    <t>769</t>
  </si>
  <si>
    <t>IB-2020-080-INFRA</t>
  </si>
  <si>
    <t>1011-20-06-03</t>
  </si>
  <si>
    <t>MKWD2020-042</t>
  </si>
  <si>
    <t>BAC 06/03/20-03</t>
  </si>
  <si>
    <t>01-147-2020</t>
  </si>
  <si>
    <t>20GE0107</t>
  </si>
  <si>
    <t>SKT2020-01</t>
  </si>
  <si>
    <t>IB-2020-083-INFRA</t>
  </si>
  <si>
    <t>yen-06</t>
  </si>
  <si>
    <t>PNPTR-CPSM-DP-20-01</t>
  </si>
  <si>
    <t>20GNE0019</t>
  </si>
  <si>
    <t>BAC2020-019</t>
  </si>
  <si>
    <t>ITB NO. OCD 2020-09</t>
  </si>
  <si>
    <t>5020503000-PNP-DICTM-20-04</t>
  </si>
  <si>
    <t>20DE0142</t>
  </si>
  <si>
    <t>ITB NO. OCD 2020-08</t>
  </si>
  <si>
    <t>20FN0088</t>
  </si>
  <si>
    <t>CW20-06-014</t>
  </si>
  <si>
    <t>MKWD2020-044</t>
  </si>
  <si>
    <t>CW20-06-015</t>
  </si>
  <si>
    <t>G-2020-16</t>
  </si>
  <si>
    <t>20GDE0001 (Re-advertised)</t>
  </si>
  <si>
    <t>2020-06-305</t>
  </si>
  <si>
    <t>2020-147</t>
  </si>
  <si>
    <t>2020-05-290</t>
  </si>
  <si>
    <t>2020-03-165</t>
  </si>
  <si>
    <t>20FN0089</t>
  </si>
  <si>
    <t>ITB 20CL0001</t>
  </si>
  <si>
    <t>20-030</t>
  </si>
  <si>
    <t>20GNE0022</t>
  </si>
  <si>
    <t>2020-03-164</t>
  </si>
  <si>
    <t>DPWH-SK2DEO-20GMH041</t>
  </si>
  <si>
    <t>CW20-06-019</t>
  </si>
  <si>
    <t>CW20-06-018</t>
  </si>
  <si>
    <t>05032020</t>
  </si>
  <si>
    <t>2020-03-163</t>
  </si>
  <si>
    <t>CW20-06-016</t>
  </si>
  <si>
    <t>20GDB0022</t>
  </si>
  <si>
    <t>DPWH-SK2DEO-20GMH040</t>
  </si>
  <si>
    <t>ITB 20CL0041</t>
  </si>
  <si>
    <t>20GDB0023</t>
  </si>
  <si>
    <t>20IC0059 (2nd re-advertisement)</t>
  </si>
  <si>
    <t>CW20-06-020</t>
  </si>
  <si>
    <t>CW20-06-023</t>
  </si>
  <si>
    <t>2020-05-263</t>
  </si>
  <si>
    <t>PIN2020-074</t>
  </si>
  <si>
    <t>2020-06-0178</t>
  </si>
  <si>
    <t>PIN2020-075</t>
  </si>
  <si>
    <t>CW20-06-022</t>
  </si>
  <si>
    <t>20FN0090</t>
  </si>
  <si>
    <t>CW20-06-025</t>
  </si>
  <si>
    <t>CW20-06-017</t>
  </si>
  <si>
    <t>CW20-06-021</t>
  </si>
  <si>
    <t>CW20-06-024</t>
  </si>
  <si>
    <t>DA3-2019-10-29-03 (2020)</t>
  </si>
  <si>
    <t>20KC0121</t>
  </si>
  <si>
    <t>20KC0122</t>
  </si>
  <si>
    <t>CW20-06-027</t>
  </si>
  <si>
    <t>20CE0207</t>
  </si>
  <si>
    <t>20KC0125</t>
  </si>
  <si>
    <t>300-20-02-004</t>
  </si>
  <si>
    <t>CW20-06-028</t>
  </si>
  <si>
    <t>CW20-06-026</t>
  </si>
  <si>
    <t>20KC0124</t>
  </si>
  <si>
    <t>CW20-06-029</t>
  </si>
  <si>
    <t>300-20-02-002</t>
  </si>
  <si>
    <t>300-20-06-008</t>
  </si>
  <si>
    <t>20-010</t>
  </si>
  <si>
    <t>20KC0123</t>
  </si>
  <si>
    <t>SKT2020-02</t>
  </si>
  <si>
    <t>300-200-02-003</t>
  </si>
  <si>
    <t>20CE0208</t>
  </si>
  <si>
    <t>ITB-DARFO12-2020-0458</t>
  </si>
  <si>
    <t>200-20-02-0048</t>
  </si>
  <si>
    <t>300-20-02-001</t>
  </si>
  <si>
    <t>BDG-2020-01R</t>
  </si>
  <si>
    <t>20-314</t>
  </si>
  <si>
    <t>CW20-06-030</t>
  </si>
  <si>
    <t>IB-2020-084-INFRA</t>
  </si>
  <si>
    <t>CW20-06-031</t>
  </si>
  <si>
    <t>ITB-DARFO12-2020-0459</t>
  </si>
  <si>
    <t>20LD0127</t>
  </si>
  <si>
    <t>ITB-DARFO12-2020-0460</t>
  </si>
  <si>
    <t>200-20-02-0049</t>
  </si>
  <si>
    <t>CW20-06-033</t>
  </si>
  <si>
    <t>IB-2020-085-INFRA</t>
  </si>
  <si>
    <t>20FN0091</t>
  </si>
  <si>
    <t>PB 06-02-2020</t>
  </si>
  <si>
    <t>CW20-06-032</t>
  </si>
  <si>
    <t>IB-2020-089-INFRA</t>
  </si>
  <si>
    <t>SKT2020-03</t>
  </si>
  <si>
    <t>CW20-06-035</t>
  </si>
  <si>
    <t>20LG0119</t>
  </si>
  <si>
    <t>IB-2020-090-INFRA</t>
  </si>
  <si>
    <t>IB-2020-088-INFRA</t>
  </si>
  <si>
    <t>CW20-06-034</t>
  </si>
  <si>
    <t>BDG-2020-02</t>
  </si>
  <si>
    <t>20FN0092</t>
  </si>
  <si>
    <t>IB-2020-087-INFRA</t>
  </si>
  <si>
    <t>IB-2020-086-INFRA</t>
  </si>
  <si>
    <t>DA3-2020-05-21-82</t>
  </si>
  <si>
    <t>DA3-2019-11-06-18(2020)</t>
  </si>
  <si>
    <t>BTG3-2020-0198</t>
  </si>
  <si>
    <t>DA3-2020-04-24-55</t>
  </si>
  <si>
    <t>SKT2020-04</t>
  </si>
  <si>
    <t>BTG3-2020-0197</t>
  </si>
  <si>
    <t>20IC0066 (2nd re-advertisement)</t>
  </si>
  <si>
    <t>2020-04-0041</t>
  </si>
  <si>
    <t>Bid Reference No. 2020-006; PR No. 2020-06-0165</t>
  </si>
  <si>
    <t>20KC0126</t>
  </si>
  <si>
    <t>BTG3-2020-0196</t>
  </si>
  <si>
    <t>20IC0065 (2nd re-advertisement)</t>
  </si>
  <si>
    <t>BTG3-2020-0199</t>
  </si>
  <si>
    <t>20IC0064 (2nd re-advertisement)</t>
  </si>
  <si>
    <t>BTG3-2020-0200</t>
  </si>
  <si>
    <t>BTG3-2020-0194</t>
  </si>
  <si>
    <t>20IC0067 (2nd re-advertisement)</t>
  </si>
  <si>
    <t>20IC0068 (2nd re-advertisement)</t>
  </si>
  <si>
    <t>BTG3-2020-0195</t>
  </si>
  <si>
    <t>20IC0069 (2nd re-advertisement)</t>
  </si>
  <si>
    <t>20IC0070 (2nd re-advertisement)</t>
  </si>
  <si>
    <t>2020-05-044</t>
  </si>
  <si>
    <t>20F00075</t>
  </si>
  <si>
    <t>20F00059</t>
  </si>
  <si>
    <t>SKT2020-06</t>
  </si>
  <si>
    <t>20PF0065</t>
  </si>
  <si>
    <t>20F00108</t>
  </si>
  <si>
    <t>BTG3-2020-0193</t>
  </si>
  <si>
    <t>20F00113</t>
  </si>
  <si>
    <t>IB No.2020-06-010-G</t>
  </si>
  <si>
    <t>20PF0064</t>
  </si>
  <si>
    <t>AMP SVP 20-06-0253C</t>
  </si>
  <si>
    <t>20F00110</t>
  </si>
  <si>
    <t>GOODS-024-2020</t>
  </si>
  <si>
    <t>20F00122</t>
  </si>
  <si>
    <t>18FB0325</t>
  </si>
  <si>
    <t>20F00123</t>
  </si>
  <si>
    <t>20GA0176</t>
  </si>
  <si>
    <t>20GA0169</t>
  </si>
  <si>
    <t>20GA0164</t>
  </si>
  <si>
    <t>20GA0158</t>
  </si>
  <si>
    <t>18FB0326</t>
  </si>
  <si>
    <t>B-030-2020</t>
  </si>
  <si>
    <t>20GA0174</t>
  </si>
  <si>
    <t>20GA0180</t>
  </si>
  <si>
    <t>2020-05-41</t>
  </si>
  <si>
    <t>B-014-2020</t>
  </si>
  <si>
    <t>B-015-2020</t>
  </si>
  <si>
    <t>PB-06032020-BALUC</t>
  </si>
  <si>
    <t>PB NO. 2020-028</t>
  </si>
  <si>
    <t>2020-05-CS1</t>
  </si>
  <si>
    <t>PB 2020-042</t>
  </si>
  <si>
    <t>CONTRACT ID NO. 20GN0090</t>
  </si>
  <si>
    <t>PB NO. 2020-027</t>
  </si>
  <si>
    <t>B-010-2020-A</t>
  </si>
  <si>
    <t>20EB0119-R1</t>
  </si>
  <si>
    <t>20FD0065</t>
  </si>
  <si>
    <t>20EB0122</t>
  </si>
  <si>
    <t>B-031-2020</t>
  </si>
  <si>
    <t>20EB0123</t>
  </si>
  <si>
    <t>AGR-20-0479-B Purchase of Agricultural Machinery &amp;</t>
  </si>
  <si>
    <t>AGR-20-0478-B Purchase of Agricultural Machinery &amp;</t>
  </si>
  <si>
    <t>AGR-20-0476-B Purchase of Agricultural Machinery &amp;</t>
  </si>
  <si>
    <t>100(01)20-05-050(M)</t>
  </si>
  <si>
    <t>2020-05-286-ME</t>
  </si>
  <si>
    <t>20GBF0002</t>
  </si>
  <si>
    <t>100(01)20-05-051(M)</t>
  </si>
  <si>
    <t>20BF0056</t>
  </si>
  <si>
    <t>PANG-2020-0755</t>
  </si>
  <si>
    <t>PANG-2020-0758</t>
  </si>
  <si>
    <t>20BF0055</t>
  </si>
  <si>
    <t>06202001</t>
  </si>
  <si>
    <t>PANG-2020-0757</t>
  </si>
  <si>
    <t>PANG-2020-0750</t>
  </si>
  <si>
    <t>CGS-2020-W013</t>
  </si>
  <si>
    <t>PANG-2020-0756</t>
  </si>
  <si>
    <t>PANG-2020-0760</t>
  </si>
  <si>
    <t>PANG-2020-0759</t>
  </si>
  <si>
    <t>2020-05-0271</t>
  </si>
  <si>
    <t>geps(carangian) 2020-06-001</t>
  </si>
  <si>
    <t>ITB NO: 2020-006-027</t>
  </si>
  <si>
    <t>20GHK0004</t>
  </si>
  <si>
    <t>20IK0095</t>
  </si>
  <si>
    <t>20IK0097</t>
  </si>
  <si>
    <t>PANG-2020-0749</t>
  </si>
  <si>
    <t>PANG-2020-0754</t>
  </si>
  <si>
    <t>20IK0096</t>
  </si>
  <si>
    <t>PANG-2020-0753</t>
  </si>
  <si>
    <t>20EB0124</t>
  </si>
  <si>
    <t>20IK0093</t>
  </si>
  <si>
    <t>MGBX-06-077-2020</t>
  </si>
  <si>
    <t>PANG-2020-0752</t>
  </si>
  <si>
    <t>20IK0094</t>
  </si>
  <si>
    <t>msj-2020-13</t>
  </si>
  <si>
    <t>PANG-2020-0751</t>
  </si>
  <si>
    <t>BPB 2020-013</t>
  </si>
  <si>
    <t>ITB-2020-001</t>
  </si>
  <si>
    <t>2020-PB-01</t>
  </si>
  <si>
    <t>BAC PB 2020-011</t>
  </si>
  <si>
    <t>ITB No. GOODS-20-102</t>
  </si>
  <si>
    <t>2020-G-060</t>
  </si>
  <si>
    <t>ITB No. GOODS-20-101</t>
  </si>
  <si>
    <t>NNP-2020-VI-22-01F TIRES,BATTERY, SPAREPARTS (GSO)</t>
  </si>
  <si>
    <t>20CC0234</t>
  </si>
  <si>
    <t>20GAA0062</t>
  </si>
  <si>
    <t>20CC0236</t>
  </si>
  <si>
    <t>IB NO. 2020-207</t>
  </si>
  <si>
    <t>geps(carangian) 2020-06-002</t>
  </si>
  <si>
    <t>SJDB-2020-20</t>
  </si>
  <si>
    <t>20CC0235</t>
  </si>
  <si>
    <t>20CC0238</t>
  </si>
  <si>
    <t>20CC0239</t>
  </si>
  <si>
    <t>338-2020 Bidding</t>
  </si>
  <si>
    <t>20CC0241</t>
  </si>
  <si>
    <t>336-2020 Bidding</t>
  </si>
  <si>
    <t>PR NO. 2020-11</t>
  </si>
  <si>
    <t>20CC0240</t>
  </si>
  <si>
    <t>02-1</t>
  </si>
  <si>
    <t>335-2020 Bidding</t>
  </si>
  <si>
    <t>2020-02-0311, 2020-02-0380, 2020-02-0273, 2020-01-</t>
  </si>
  <si>
    <t>334-2020 Bidding</t>
  </si>
  <si>
    <t>PR NO. 2020-10</t>
  </si>
  <si>
    <t>TEJ-004</t>
  </si>
  <si>
    <t>20CC0243</t>
  </si>
  <si>
    <t>2020-02-0415, 2020-02-0242</t>
  </si>
  <si>
    <t>20CC0242</t>
  </si>
  <si>
    <t>20CC0237</t>
  </si>
  <si>
    <t>2020-02-0185, 2020-02-0299, 2020-02-0152, 2020-02-</t>
  </si>
  <si>
    <t>339-2020 Bidding</t>
  </si>
  <si>
    <t>BGRY-2020-001</t>
  </si>
  <si>
    <t>2020-03-03</t>
  </si>
  <si>
    <t>PSU ITB 2005 097</t>
  </si>
  <si>
    <t>2020-0250</t>
  </si>
  <si>
    <t>2020-02-0398, 2020-02-0188</t>
  </si>
  <si>
    <t>SCM-INFRA-01072020-02</t>
  </si>
  <si>
    <t>BALZN9-2008</t>
  </si>
  <si>
    <t>013-0620-CP</t>
  </si>
  <si>
    <t>G20-05-001</t>
  </si>
  <si>
    <t>2019-02-0105</t>
  </si>
  <si>
    <t>SCM-INFRA-01072020-01</t>
  </si>
  <si>
    <t>300-05-20-0010</t>
  </si>
  <si>
    <t>2019-02-0085</t>
  </si>
  <si>
    <t>2020-363</t>
  </si>
  <si>
    <t>20-05-0218</t>
  </si>
  <si>
    <t>IB 2020-023</t>
  </si>
  <si>
    <t>SCM-INFRA-01072020-03</t>
  </si>
  <si>
    <t>2020-02-01</t>
  </si>
  <si>
    <t>20KB0138 Re-Advertisement</t>
  </si>
  <si>
    <t>IB 2020-024</t>
  </si>
  <si>
    <t>06202002</t>
  </si>
  <si>
    <t>La Paz 2020-001</t>
  </si>
  <si>
    <t>2020-02-0189</t>
  </si>
  <si>
    <t>20-004</t>
  </si>
  <si>
    <t>20GA00001</t>
  </si>
  <si>
    <t>0001-2020</t>
  </si>
  <si>
    <t>20-06-03-IN</t>
  </si>
  <si>
    <t>Invitation to Bid 20-30</t>
  </si>
  <si>
    <t>2020-062-13</t>
  </si>
  <si>
    <t>20KB0159</t>
  </si>
  <si>
    <t>IB 2020-025</t>
  </si>
  <si>
    <t>La Paz 2020-002</t>
  </si>
  <si>
    <t>2020-06-040</t>
  </si>
  <si>
    <t>SCM-INFRA-01072020-04</t>
  </si>
  <si>
    <t>20KB0161</t>
  </si>
  <si>
    <t>20-185</t>
  </si>
  <si>
    <t>La Paz 2020-003</t>
  </si>
  <si>
    <t>PSU ITB 2005-098</t>
  </si>
  <si>
    <t>20032821</t>
  </si>
  <si>
    <t>20032713</t>
  </si>
  <si>
    <t>20053164</t>
  </si>
  <si>
    <t>pb-infra-2020-034</t>
  </si>
  <si>
    <t>Goods-106-2020</t>
  </si>
  <si>
    <t>2020-05-04</t>
  </si>
  <si>
    <t>2020-02-0186, 2020-02-0184</t>
  </si>
  <si>
    <t>20032719</t>
  </si>
  <si>
    <t>20053185</t>
  </si>
  <si>
    <t>La Paz 2020-004</t>
  </si>
  <si>
    <t>La Paz 2020-006</t>
  </si>
  <si>
    <t>20-06-04-IN</t>
  </si>
  <si>
    <t>POW-032-2020</t>
  </si>
  <si>
    <t>20KB0160</t>
  </si>
  <si>
    <t>La Paz 2020-005</t>
  </si>
  <si>
    <t>BALZN9-2009</t>
  </si>
  <si>
    <t>POW-033-2020</t>
  </si>
  <si>
    <t>POW-036-2020</t>
  </si>
  <si>
    <t>2020-0014</t>
  </si>
  <si>
    <t>DENR-ENGP-MMFN-HARDENING-OFF-2020-001</t>
  </si>
  <si>
    <t>20GNH0004</t>
  </si>
  <si>
    <t>019</t>
  </si>
  <si>
    <t>BAC 2020-06-25</t>
  </si>
  <si>
    <t>PBI-2020-13</t>
  </si>
  <si>
    <t>2020-0033</t>
  </si>
  <si>
    <t>ME-2020-001</t>
  </si>
  <si>
    <t>ITB NO. 06-20-02</t>
  </si>
  <si>
    <t>ITB NO. 06-20-01</t>
  </si>
  <si>
    <t>ITB 20-0052-A</t>
  </si>
  <si>
    <t>infra 033-2020</t>
  </si>
  <si>
    <t>2020-0015</t>
  </si>
  <si>
    <t>POW-037-2020</t>
  </si>
  <si>
    <t>PEO-2020-0069</t>
  </si>
  <si>
    <t>BALZN9-2010</t>
  </si>
  <si>
    <t>ITB 20-0053-A</t>
  </si>
  <si>
    <t>021</t>
  </si>
  <si>
    <t>20-05-030</t>
  </si>
  <si>
    <t>lgu-es-20-06-112</t>
  </si>
  <si>
    <t>infra  034-2020</t>
  </si>
  <si>
    <t>DENR-ENGP-MMFN-HARDENING-OFF-2020-002</t>
  </si>
  <si>
    <t>ITB NO. 06-20-03</t>
  </si>
  <si>
    <t>2020-04-0061-65</t>
  </si>
  <si>
    <t>infra 035-2020</t>
  </si>
  <si>
    <t>POW-035-2020</t>
  </si>
  <si>
    <t>022</t>
  </si>
  <si>
    <t>MAILHI200602</t>
  </si>
  <si>
    <t>IB NO. PB-2020-06-20</t>
  </si>
  <si>
    <t>20-04020171</t>
  </si>
  <si>
    <t>TUPBACEQ-PB-01-CBP-F164-20-G-R</t>
  </si>
  <si>
    <t>ITB NO. 06-20-04</t>
  </si>
  <si>
    <t>ITB 20-0061</t>
  </si>
  <si>
    <t>INFRA 2020-08</t>
  </si>
  <si>
    <t>TEJ-006</t>
  </si>
  <si>
    <t>20GLH0013 (P.R. No. 2020-03-021 dated 03/17/2020)</t>
  </si>
  <si>
    <t>infra 037-2020</t>
  </si>
  <si>
    <t>BAC 2020-06-26</t>
  </si>
  <si>
    <t>GO-20-06-034</t>
  </si>
  <si>
    <t>SAM-2020-18</t>
  </si>
  <si>
    <t>TEJ-005</t>
  </si>
  <si>
    <t>TEJ-007</t>
  </si>
  <si>
    <t>BAC 2020-06-27</t>
  </si>
  <si>
    <t>infra 036-2020</t>
  </si>
  <si>
    <t>02-06-2020</t>
  </si>
  <si>
    <t>TEJ-008</t>
  </si>
  <si>
    <t>INFRA 2020-10</t>
  </si>
  <si>
    <t>infra 038-2020</t>
  </si>
  <si>
    <t>01-2020-05M</t>
  </si>
  <si>
    <t>INFRA 2020-09</t>
  </si>
  <si>
    <t>BAC 2020-06-28</t>
  </si>
  <si>
    <t>03-267-2020</t>
  </si>
  <si>
    <t>nego8</t>
  </si>
  <si>
    <t>Solicitation No. Goods 20-0603-0062</t>
  </si>
  <si>
    <t>06232020-079</t>
  </si>
  <si>
    <t>ITB NO. 06-20-05</t>
  </si>
  <si>
    <t>Solicitation No. Goods 20-0213-0015</t>
  </si>
  <si>
    <t>20KJ0175</t>
  </si>
  <si>
    <t>20KJ0176</t>
  </si>
  <si>
    <t>20KJ0177</t>
  </si>
  <si>
    <t>PB GOODS 2020-04</t>
  </si>
  <si>
    <t>06232020-080</t>
  </si>
  <si>
    <t>20KJ0174</t>
  </si>
  <si>
    <t>ITB No. 2020-145-pgo-pdrrmd</t>
  </si>
  <si>
    <t>20KJ0178</t>
  </si>
  <si>
    <t>M-20-16</t>
  </si>
  <si>
    <t>CW -20-0603-006R</t>
  </si>
  <si>
    <t>02-319-2020</t>
  </si>
  <si>
    <t>Solicitation No. Goods 20-0603-0063</t>
  </si>
  <si>
    <t>CW -20-0603-024</t>
  </si>
  <si>
    <t>CW -20-0603-035</t>
  </si>
  <si>
    <t>CW -20-0603-021</t>
  </si>
  <si>
    <t>CW -20-0603-031</t>
  </si>
  <si>
    <t>CW -20-0603-030</t>
  </si>
  <si>
    <t>CW -20-0603-0194</t>
  </si>
  <si>
    <t>Solicitation No. Goods 20-0603-0067</t>
  </si>
  <si>
    <t>CW -20-0603-034</t>
  </si>
  <si>
    <t>CW -20-0603-026</t>
  </si>
  <si>
    <t>G-096-20C</t>
  </si>
  <si>
    <t>Solicitation No. Goods 20-0603-0064</t>
  </si>
  <si>
    <t>Solicitation No. Goods 20-0603-0066</t>
  </si>
  <si>
    <t>CW -20-0603-025</t>
  </si>
  <si>
    <t>CW -20-0603-020</t>
  </si>
  <si>
    <t>ITB-131</t>
  </si>
  <si>
    <t>Solicitation No. Goods 20-0603-0065</t>
  </si>
  <si>
    <t>20M00079</t>
  </si>
  <si>
    <t>04</t>
  </si>
  <si>
    <t>06-02-01</t>
  </si>
  <si>
    <t>DAPA-073-2020</t>
  </si>
  <si>
    <t>20M00078</t>
  </si>
  <si>
    <t>CW RA 7171-23</t>
  </si>
  <si>
    <t>CW RA 7171-22</t>
  </si>
  <si>
    <t>20-03-018</t>
  </si>
  <si>
    <t>0031/June/2020</t>
  </si>
  <si>
    <t>06-02-02</t>
  </si>
  <si>
    <t>project Ref. no. 42-2020-JUNE-INFRA</t>
  </si>
  <si>
    <t>20-03-0226</t>
  </si>
  <si>
    <t>ITB No. 2020-146-provl government of bukidnon</t>
  </si>
  <si>
    <t>project Ref. no. 43-2020-JUNE-INFRA</t>
  </si>
  <si>
    <t>PR 74516</t>
  </si>
  <si>
    <t>RFQ-2020-0020</t>
  </si>
  <si>
    <t>ITB-GS-20200323-01</t>
  </si>
  <si>
    <t>20-05-3125</t>
  </si>
  <si>
    <t>ITB No. 2020-149-provl government of bukidnon</t>
  </si>
  <si>
    <t>ITB No. 2020-148-bph-maramag and bph-kibawe</t>
  </si>
  <si>
    <t>ITB No. 2020-09-EFS</t>
  </si>
  <si>
    <t>202006110</t>
  </si>
  <si>
    <t>PEO-2020-0852</t>
  </si>
  <si>
    <t>2020-IG-019</t>
  </si>
  <si>
    <t>20GCJ0037</t>
  </si>
  <si>
    <t>PR. NO. 2020040553</t>
  </si>
  <si>
    <t>INFRA 2K20-43</t>
  </si>
  <si>
    <t>2020-IG-018</t>
  </si>
  <si>
    <t>2020-06-070bid</t>
  </si>
  <si>
    <t>PEO-2020-0795</t>
  </si>
  <si>
    <t>OGDS 06-2-20</t>
  </si>
  <si>
    <t>PR 74514</t>
  </si>
  <si>
    <t>GOODS 006-2020</t>
  </si>
  <si>
    <t>20PE0084</t>
  </si>
  <si>
    <t>20FH0094</t>
  </si>
  <si>
    <t>2020-PBGOODS-06-007</t>
  </si>
  <si>
    <t>20FB0149</t>
  </si>
  <si>
    <t>20FH0095</t>
  </si>
  <si>
    <t>20GCJ0039</t>
  </si>
  <si>
    <t>20GCJ0040</t>
  </si>
  <si>
    <t>20BC0167</t>
  </si>
  <si>
    <t>06202003</t>
  </si>
  <si>
    <t>PR 74517</t>
  </si>
  <si>
    <t>BTN-DVOOR-2020-09</t>
  </si>
  <si>
    <t>PR 74518</t>
  </si>
  <si>
    <t>20HC0178</t>
  </si>
  <si>
    <t>20-05-3123</t>
  </si>
  <si>
    <t>cal06012020-10</t>
  </si>
  <si>
    <t>101-20-05-126</t>
  </si>
  <si>
    <t>2020-FMP-032</t>
  </si>
  <si>
    <t>0075-0009-0892-2020</t>
  </si>
  <si>
    <t>2020-04-00272</t>
  </si>
  <si>
    <t>ITB-060220-1</t>
  </si>
  <si>
    <t>PR 74462</t>
  </si>
  <si>
    <t>0075-0010-0893-2020</t>
  </si>
  <si>
    <t>INFRA 2K20-42</t>
  </si>
  <si>
    <t>INFRA 2K20-44</t>
  </si>
  <si>
    <t>PROCUREMENT OF POSTNATAL KIT WITH BABY BOX FOR MOT</t>
  </si>
  <si>
    <t>345-2020 Bidding</t>
  </si>
  <si>
    <t>20PG0053</t>
  </si>
  <si>
    <t>20P00040</t>
  </si>
  <si>
    <t>LGU-BLU-20-06-037</t>
  </si>
  <si>
    <t>20HC0179</t>
  </si>
  <si>
    <t>LGU-BLU-20-06-038</t>
  </si>
  <si>
    <t>LPZ - 2020 - 007</t>
  </si>
  <si>
    <t>INFRA-2020-001</t>
  </si>
  <si>
    <t>GOODS 2020-015</t>
  </si>
  <si>
    <t>IB-2020-060</t>
  </si>
  <si>
    <t>LGU-2020-037</t>
  </si>
  <si>
    <t>PR 74434</t>
  </si>
  <si>
    <t>MKWD-BAC-2020-041</t>
  </si>
  <si>
    <t>PR 74744</t>
  </si>
  <si>
    <t>PEO-20-0618 B</t>
  </si>
  <si>
    <t>0032/June/2020</t>
  </si>
  <si>
    <t>2020-254</t>
  </si>
  <si>
    <t>ITB-060220-2</t>
  </si>
  <si>
    <t>ITB-132</t>
  </si>
  <si>
    <t>B-CW-2020-012</t>
  </si>
  <si>
    <t>0020-0131-0798-2020</t>
  </si>
  <si>
    <t>PROCUREMENT OF DUMP TRUCKS FOR THE USE OF CITY ENV</t>
  </si>
  <si>
    <t>PEO-20-0639 B</t>
  </si>
  <si>
    <t>ITB-060220-3</t>
  </si>
  <si>
    <t>INFRA 2K20-40</t>
  </si>
  <si>
    <t>20BC0168</t>
  </si>
  <si>
    <t>PEO-20-0638 B</t>
  </si>
  <si>
    <t>PR 74568</t>
  </si>
  <si>
    <t>PEO-2020-0305</t>
  </si>
  <si>
    <t>20PG0054</t>
  </si>
  <si>
    <t>2020-304</t>
  </si>
  <si>
    <t>B-CW-2020-013</t>
  </si>
  <si>
    <t>20FO0086</t>
  </si>
  <si>
    <t>LGU LAUREL 20-05-003</t>
  </si>
  <si>
    <t>20200602-2</t>
  </si>
  <si>
    <t>ITB-060220-4</t>
  </si>
  <si>
    <t>bir_pb 2020-28</t>
  </si>
  <si>
    <t>PR 74745</t>
  </si>
  <si>
    <t>PR-2005-501</t>
  </si>
  <si>
    <t>PR-2020-1129</t>
  </si>
  <si>
    <t>20200602-1</t>
  </si>
  <si>
    <t>B-CW-2020-014</t>
  </si>
  <si>
    <t>PEO-20-0628 B</t>
  </si>
  <si>
    <t>20FO0087</t>
  </si>
  <si>
    <t>PRN 049</t>
  </si>
  <si>
    <t>20-05-0510</t>
  </si>
  <si>
    <t>bir_pb 2020-29</t>
  </si>
  <si>
    <t>20ge0104</t>
  </si>
  <si>
    <t>2020-0169-PR2020-0402</t>
  </si>
  <si>
    <t>20PG0055</t>
  </si>
  <si>
    <t>bir_pb 2020-30</t>
  </si>
  <si>
    <t>20FO0088</t>
  </si>
  <si>
    <t>2020-0165-PR2020-0398</t>
  </si>
  <si>
    <t>20-06-383</t>
  </si>
  <si>
    <t>20200602-3</t>
  </si>
  <si>
    <t>20GE0103</t>
  </si>
  <si>
    <t>06-01-2020-06-498</t>
  </si>
  <si>
    <t>20PG0056</t>
  </si>
  <si>
    <t>20FO0091</t>
  </si>
  <si>
    <t>06-01-2020-06-497</t>
  </si>
  <si>
    <t>2020-0168-PR2020-0401</t>
  </si>
  <si>
    <t>qnv-017-2020</t>
  </si>
  <si>
    <t>2020-0016</t>
  </si>
  <si>
    <t>B-74-2020</t>
  </si>
  <si>
    <t>20FO0090</t>
  </si>
  <si>
    <t>20FO0089</t>
  </si>
  <si>
    <t>TAR-2020-001</t>
  </si>
  <si>
    <t>20PG0057</t>
  </si>
  <si>
    <t>C-013-20</t>
  </si>
  <si>
    <t>2020-05-297</t>
  </si>
  <si>
    <t>06-01-2020-06-499</t>
  </si>
  <si>
    <t>PR No. 2019-03-195</t>
  </si>
  <si>
    <t>B-75-2020</t>
  </si>
  <si>
    <t>2020-0167-PR2020-0400</t>
  </si>
  <si>
    <t>B-76-2020</t>
  </si>
  <si>
    <t>BJMP NCR 2020-28</t>
  </si>
  <si>
    <t>B-78-2020</t>
  </si>
  <si>
    <t>034-2020</t>
  </si>
  <si>
    <t>20FO0092</t>
  </si>
  <si>
    <t>BJMP NCR 2020-27</t>
  </si>
  <si>
    <t>06-01-2020-06-501</t>
  </si>
  <si>
    <t>4AQ-SIP-VAR-18</t>
  </si>
  <si>
    <t>C-016-20</t>
  </si>
  <si>
    <t>20HF0074 (Cluster 16)</t>
  </si>
  <si>
    <t>B-77-2020</t>
  </si>
  <si>
    <t>06-01-2020-06-500</t>
  </si>
  <si>
    <t>C-014-20</t>
  </si>
  <si>
    <t>20BC0179</t>
  </si>
  <si>
    <t>2020-05-302</t>
  </si>
  <si>
    <t>RREIS20-MAS-001-20</t>
  </si>
  <si>
    <t>12-01-2020-06-503</t>
  </si>
  <si>
    <t>20HF0077 (Cluster 19)</t>
  </si>
  <si>
    <t>BACII-2020-12</t>
  </si>
  <si>
    <t>23-GOODS-HVCDP-2020</t>
  </si>
  <si>
    <t>ITB-DARFO12-2020-0455</t>
  </si>
  <si>
    <t>20AE0067: Repair/Maintenance/Improvement of Draina</t>
  </si>
  <si>
    <t>ITB-DARFO12-2020-0456</t>
  </si>
  <si>
    <t>PR0120-20 PDRRMO</t>
  </si>
  <si>
    <t>POW - 8751 - 2020 - ALN - 01</t>
  </si>
  <si>
    <t>PGLDN 101-20-01-0208</t>
  </si>
  <si>
    <t>ITB-DARFO12-2020-0457</t>
  </si>
  <si>
    <t>035-2020</t>
  </si>
  <si>
    <t>RRENIS20-SR-001-20</t>
  </si>
  <si>
    <t>12-01-2020-06-502</t>
  </si>
  <si>
    <t>B-CW-2020-015</t>
  </si>
  <si>
    <t>01-07-2020-06-504</t>
  </si>
  <si>
    <t>BJMP NCR 2020-29</t>
  </si>
  <si>
    <t>RREIS20-MAS-002-20</t>
  </si>
  <si>
    <t>POW - 8751 - 2020 - AMB - 01</t>
  </si>
  <si>
    <t>PEO-2020-0166 PR2020-0399</t>
  </si>
  <si>
    <t>RREIS20-MAS-003-20</t>
  </si>
  <si>
    <t>PGLDN 101-20-01-0241</t>
  </si>
  <si>
    <t>CONTRACT ID # 20-03-072 REBID</t>
  </si>
  <si>
    <t>RREIS20-MAS-004-20</t>
  </si>
  <si>
    <t>20-01-015</t>
  </si>
  <si>
    <t>G-2020-020</t>
  </si>
  <si>
    <t>20PL0108</t>
  </si>
  <si>
    <t>INFRA-20-04</t>
  </si>
  <si>
    <t>6-20-05</t>
  </si>
  <si>
    <t>24-GOODS-HVCDP-2020</t>
  </si>
  <si>
    <t>20BC0191 re-adv.</t>
  </si>
  <si>
    <t>20-02-025</t>
  </si>
  <si>
    <t>20HF0078 (Cluster 20)</t>
  </si>
  <si>
    <t>POW - 8751 - 2020 - BLL - 06</t>
  </si>
  <si>
    <t>Infra-2020-PB-O1</t>
  </si>
  <si>
    <t>20PL0109</t>
  </si>
  <si>
    <t>POW - 8751 - 2020 - BKL - 03</t>
  </si>
  <si>
    <t>POW - 8751 - 2020 - BLL - 07</t>
  </si>
  <si>
    <t>20-02-024</t>
  </si>
  <si>
    <t>20PL0111</t>
  </si>
  <si>
    <t>20PL0110</t>
  </si>
  <si>
    <t>AGGDS2020-0603</t>
  </si>
  <si>
    <t>20-02-026</t>
  </si>
  <si>
    <t>25-GOODS-CORN-2020</t>
  </si>
  <si>
    <t>POW - 8751 - 2020 - BLL - 05</t>
  </si>
  <si>
    <t>POW - 8751 - 2020 - PBN - 04</t>
  </si>
  <si>
    <t>20HF0066</t>
  </si>
  <si>
    <t>6-20-06</t>
  </si>
  <si>
    <t>POW - 8751 - 2020 - CRZ - 01</t>
  </si>
  <si>
    <t>MJJLECINFRA001-2020-01</t>
  </si>
  <si>
    <t>BAC-NP NO. 2020-04</t>
  </si>
  <si>
    <t>POW - 8751 - 2020 - PCO - 03</t>
  </si>
  <si>
    <t>2020-NFA-RBAC08-GOODS-14</t>
  </si>
  <si>
    <t>17GF0110</t>
  </si>
  <si>
    <t>POW - 8751 - 2020 - PBN - 05</t>
  </si>
  <si>
    <t>AC-PNBAC1-2020-16</t>
  </si>
  <si>
    <t>POW - 8751 - 2020 - WNL - 04</t>
  </si>
  <si>
    <t>20HF0071</t>
  </si>
  <si>
    <t>20GM0007</t>
  </si>
  <si>
    <t>MR-PNBAC1-2020-29</t>
  </si>
  <si>
    <t>20GAF0002</t>
  </si>
  <si>
    <t>POW - 8751 - 2020 - BNG - 02</t>
  </si>
  <si>
    <t>20BC0181 re-adv.</t>
  </si>
  <si>
    <t>26-GOODS-CORN-2020</t>
  </si>
  <si>
    <t>PB-06232020-A</t>
  </si>
  <si>
    <t>POW - 8751 - 2020 - BNG - 01</t>
  </si>
  <si>
    <t>janiuay-2020-25</t>
  </si>
  <si>
    <t>DOT BAC REI No. 2020-009</t>
  </si>
  <si>
    <t>20-03-074</t>
  </si>
  <si>
    <t>B-CW-2020-021</t>
  </si>
  <si>
    <t>MR-PNBAC1-2020-13</t>
  </si>
  <si>
    <t>20LG0116</t>
  </si>
  <si>
    <t>PB-06232020-C</t>
  </si>
  <si>
    <t>LGU-Banayoyo,ISur-2020-05-038</t>
  </si>
  <si>
    <t>ITB 2020-0008</t>
  </si>
  <si>
    <t>PB-06232020-B</t>
  </si>
  <si>
    <t>20LG0118</t>
  </si>
  <si>
    <t>B-CW-2020-022</t>
  </si>
  <si>
    <t>PB-06232020-D</t>
  </si>
  <si>
    <t>B-CW-2020-016</t>
  </si>
  <si>
    <t>B-CW-2020-019</t>
  </si>
  <si>
    <t>B-CW-2020-018</t>
  </si>
  <si>
    <t>20LG0117</t>
  </si>
  <si>
    <t>B-CW-2020-017</t>
  </si>
  <si>
    <t>PIKCOT-002020-009</t>
  </si>
  <si>
    <t>20CSBF0001</t>
  </si>
  <si>
    <t>cab pr4 2020</t>
  </si>
  <si>
    <t>060220-B2</t>
  </si>
  <si>
    <t>B-CW-2020-020</t>
  </si>
  <si>
    <t>20GG0175</t>
  </si>
  <si>
    <t>PB 06-01-2020</t>
  </si>
  <si>
    <t>PB-20-077</t>
  </si>
  <si>
    <t>060220-B1</t>
  </si>
  <si>
    <t>BulSU-BAC-G-2020-22</t>
  </si>
  <si>
    <t>PB-20-160</t>
  </si>
  <si>
    <t>PB-20-159</t>
  </si>
  <si>
    <t>060220-H02</t>
  </si>
  <si>
    <t>060220-H01</t>
  </si>
  <si>
    <t>20BG0145</t>
  </si>
  <si>
    <t>LGU-Banayoyo, ISur 2020-05-040</t>
  </si>
  <si>
    <t>LGU-Banayoyo, ISur 2020-05-039</t>
  </si>
  <si>
    <t>B-G-2020-080</t>
  </si>
  <si>
    <t>DA-ACEF-04-20</t>
  </si>
  <si>
    <t>020620-B4</t>
  </si>
  <si>
    <t>060220-B5</t>
  </si>
  <si>
    <t>20GG0176</t>
  </si>
  <si>
    <t>AMP SVP 20-06-0262A</t>
  </si>
  <si>
    <t>PB-20-297</t>
  </si>
  <si>
    <t>060220-B3</t>
  </si>
  <si>
    <t>ppn-083-2020</t>
  </si>
  <si>
    <t>05-0012-20</t>
  </si>
  <si>
    <t>100-2020-05-655</t>
  </si>
  <si>
    <t>20GPF0008</t>
  </si>
  <si>
    <t>20HF0096</t>
  </si>
  <si>
    <t>100-2020-04-641</t>
  </si>
  <si>
    <t>100-2020-05-672</t>
  </si>
  <si>
    <t>20HF0097</t>
  </si>
  <si>
    <t>PB-20-277</t>
  </si>
  <si>
    <t>20HF0094</t>
  </si>
  <si>
    <t>20HF0095</t>
  </si>
  <si>
    <t>PB-20-276</t>
  </si>
  <si>
    <t>AMP SVP 20-06-0221C</t>
  </si>
  <si>
    <t>PB-20-248</t>
  </si>
  <si>
    <t>100-2020-05-703</t>
  </si>
  <si>
    <t>003-2019</t>
  </si>
  <si>
    <t>19GF00027</t>
  </si>
  <si>
    <t>PR-2020-8751-0099</t>
  </si>
  <si>
    <t>01-2020-0032</t>
  </si>
  <si>
    <t>17202005048</t>
  </si>
  <si>
    <t>PEO-20-0597 B</t>
  </si>
  <si>
    <t>19GF00028</t>
  </si>
  <si>
    <t>PEO-20-0545 B</t>
  </si>
  <si>
    <t>AC-PNBAC1-2020-01</t>
  </si>
  <si>
    <t>PEO-20-0543 B</t>
  </si>
  <si>
    <t>05-0011-20</t>
  </si>
  <si>
    <t>PEO-20-0547 B</t>
  </si>
  <si>
    <t>PEO-20-0501 B</t>
  </si>
  <si>
    <t>GEPS-12-2020</t>
  </si>
  <si>
    <t>17202005049</t>
  </si>
  <si>
    <t>Infra-02-2020</t>
  </si>
  <si>
    <t>20-MDF-004</t>
  </si>
  <si>
    <t>17202005050</t>
  </si>
  <si>
    <t>071 - 2020</t>
  </si>
  <si>
    <t>2020-G-058</t>
  </si>
  <si>
    <t>DA7-06-FOD-R-20-2127</t>
  </si>
  <si>
    <t>2020-05-16</t>
  </si>
  <si>
    <t>C-05.006</t>
  </si>
  <si>
    <t>GEPS-INFR-023-2020</t>
  </si>
  <si>
    <t>3-01-001-20-070</t>
  </si>
  <si>
    <t>DA7-06-FOD-R-20-2128</t>
  </si>
  <si>
    <t>GOODS-019-2020</t>
  </si>
  <si>
    <t>20-MDF-005</t>
  </si>
  <si>
    <t>C-05.011</t>
  </si>
  <si>
    <t>20202-09</t>
  </si>
  <si>
    <t>C-05.007</t>
  </si>
  <si>
    <t>C-05.005</t>
  </si>
  <si>
    <t>C-05.013</t>
  </si>
  <si>
    <t>GEPS-INFR-022-2020</t>
  </si>
  <si>
    <t>C-05.014</t>
  </si>
  <si>
    <t>20-MDF-003</t>
  </si>
  <si>
    <t>C-05.009</t>
  </si>
  <si>
    <t>C-05.008</t>
  </si>
  <si>
    <t>GOODS-020-2020</t>
  </si>
  <si>
    <t>PB Infra 2020-06-001</t>
  </si>
  <si>
    <t>PB NO. 2020-025</t>
  </si>
  <si>
    <t>PB NO. 2020-026</t>
  </si>
  <si>
    <t>2020-05-01</t>
  </si>
  <si>
    <t>C-05.015</t>
  </si>
  <si>
    <t>211381</t>
  </si>
  <si>
    <t>211380</t>
  </si>
  <si>
    <t>PB Infra 2020-06-002</t>
  </si>
  <si>
    <t>C-05.012</t>
  </si>
  <si>
    <t>211382</t>
  </si>
  <si>
    <t>C-05.010</t>
  </si>
  <si>
    <t>B-8661-20-09</t>
  </si>
  <si>
    <t>211378</t>
  </si>
  <si>
    <t>211379</t>
  </si>
  <si>
    <t>0001-04-2020</t>
  </si>
  <si>
    <t>211387</t>
  </si>
  <si>
    <t>211385</t>
  </si>
  <si>
    <t>211383</t>
  </si>
  <si>
    <t>211388</t>
  </si>
  <si>
    <t>20IA0089 Construction of Disinfection Facility at</t>
  </si>
  <si>
    <t>211396</t>
  </si>
  <si>
    <t>211384</t>
  </si>
  <si>
    <t>20-05-008</t>
  </si>
  <si>
    <t>211392</t>
  </si>
  <si>
    <t>20IA0090 Repair/Maintenance of DPWh</t>
  </si>
  <si>
    <t>20KA0142</t>
  </si>
  <si>
    <t>211405</t>
  </si>
  <si>
    <t>211391</t>
  </si>
  <si>
    <t>211397</t>
  </si>
  <si>
    <t>211393</t>
  </si>
  <si>
    <t>211394</t>
  </si>
  <si>
    <t>AC-PNBAC1-2020-13</t>
  </si>
  <si>
    <t>211390</t>
  </si>
  <si>
    <t>AC-PNBAC1-2020-15</t>
  </si>
  <si>
    <t>211395</t>
  </si>
  <si>
    <t>DPWH-SK2DEO-20MH0101</t>
  </si>
  <si>
    <t>211389</t>
  </si>
  <si>
    <t>AC-PNBAC1-2020-14</t>
  </si>
  <si>
    <t>2020G1-005</t>
  </si>
  <si>
    <t>BTG3-2020-0191</t>
  </si>
  <si>
    <t>211386</t>
  </si>
  <si>
    <t>DPWH-SK2DEO-20MH0102</t>
  </si>
  <si>
    <t>BTG3-2020-0190</t>
  </si>
  <si>
    <t>BTG3-2020-0187</t>
  </si>
  <si>
    <t>20FF0091</t>
  </si>
  <si>
    <t>BTG3-2020-0188</t>
  </si>
  <si>
    <t>20CSEB02-R1</t>
  </si>
  <si>
    <t>20FF0092</t>
  </si>
  <si>
    <t>20GJ00004</t>
  </si>
  <si>
    <t>2020-06-23-302PG</t>
  </si>
  <si>
    <t>2020-06-23-310PG</t>
  </si>
  <si>
    <t>BTG3-2020-0189</t>
  </si>
  <si>
    <t>20FF0090</t>
  </si>
  <si>
    <t>2020-06-23-312PG</t>
  </si>
  <si>
    <t>2020-06-23-304PG</t>
  </si>
  <si>
    <t>2020-06-23-315PG</t>
  </si>
  <si>
    <t>2020-06-23-311PG</t>
  </si>
  <si>
    <t>20FF0093</t>
  </si>
  <si>
    <t>2020-06-23-322PG</t>
  </si>
  <si>
    <t>2020-06-23-325PG</t>
  </si>
  <si>
    <t>6-20-01</t>
  </si>
  <si>
    <t>2020-05-0171</t>
  </si>
  <si>
    <t>2020-06-23-324PG</t>
  </si>
  <si>
    <t>6-20-02</t>
  </si>
  <si>
    <t>2020-06-23-317PG</t>
  </si>
  <si>
    <t>2020-06-23-318PG</t>
  </si>
  <si>
    <t>2020-06-23-323PG</t>
  </si>
  <si>
    <t>2020-06-23-319PG</t>
  </si>
  <si>
    <t>20G00097</t>
  </si>
  <si>
    <t>2020-06-23-320PG</t>
  </si>
  <si>
    <t>388548422</t>
  </si>
  <si>
    <t>2020-06-23-321PG</t>
  </si>
  <si>
    <t>2020-06-23-316PG</t>
  </si>
  <si>
    <t>RFQ-2020-06-001</t>
  </si>
  <si>
    <t>388548421</t>
  </si>
  <si>
    <t>LGU-BLU-20-06-035</t>
  </si>
  <si>
    <t>BTG3-2020_0186 (Readvertised)</t>
  </si>
  <si>
    <t>LGU-BLU-20-06-036</t>
  </si>
  <si>
    <t>DA8-Goods-2020-37 (PR No. CORN 20-02-14-0126)</t>
  </si>
  <si>
    <t>GOODS-062220-035</t>
  </si>
  <si>
    <t>0094-20</t>
  </si>
  <si>
    <t>DA8-Goods-2020-39 (PR No. RICE 20-04-16-0660)</t>
  </si>
  <si>
    <t>P. R. No. 2020-0005</t>
  </si>
  <si>
    <t>DA8-Goods-2020-36 (PR No. CORN 20-05-20-0161)</t>
  </si>
  <si>
    <t>DA8-Goods-2020-38 (PR No.QRF URSULA 20-05-08-0006)</t>
  </si>
  <si>
    <t>TAG-SDS-052-2020</t>
  </si>
  <si>
    <t>GOODS-062220-040</t>
  </si>
  <si>
    <t>MZSP-2020-041</t>
  </si>
  <si>
    <t>PEO-062220-081</t>
  </si>
  <si>
    <t>POBLACION-2020-006</t>
  </si>
  <si>
    <t>20GPJ0001</t>
  </si>
  <si>
    <t>P. R. No. 2020-0006</t>
  </si>
  <si>
    <t>2020-05-0209</t>
  </si>
  <si>
    <t>2020-06-064bid</t>
  </si>
  <si>
    <t>2020-05-0210</t>
  </si>
  <si>
    <t>2020-03-0146</t>
  </si>
  <si>
    <t>GOODS-062220-039</t>
  </si>
  <si>
    <t>P. R. No. 2020-0004</t>
  </si>
  <si>
    <t>2020 B-05.239</t>
  </si>
  <si>
    <t>GOODS-062220-038</t>
  </si>
  <si>
    <t>20LA0132</t>
  </si>
  <si>
    <t>PR No. 2020-05-000010</t>
  </si>
  <si>
    <t>2020 B-05.250</t>
  </si>
  <si>
    <t>GOODS-062220-036</t>
  </si>
  <si>
    <t>2020-05-0203</t>
  </si>
  <si>
    <t>B2 TF-DUE TO NGAS-DILG-HALFWAY HOUSE 20-019</t>
  </si>
  <si>
    <t>bacgal-43-2020</t>
  </si>
  <si>
    <t>DPF19 300-20-03-02542</t>
  </si>
  <si>
    <t>ITB 20-25</t>
  </si>
  <si>
    <t>20LA0134</t>
  </si>
  <si>
    <t>ITB01-LUMBANG-PATHWAY</t>
  </si>
  <si>
    <t>2020 B-05.255</t>
  </si>
  <si>
    <t>2020-06-065bid</t>
  </si>
  <si>
    <t>20LA0135</t>
  </si>
  <si>
    <t>GEPS - 2020 - 75</t>
  </si>
  <si>
    <t>20LA0195</t>
  </si>
  <si>
    <t>bacgal-44-2020</t>
  </si>
  <si>
    <t>SB2 LREP19 300-20-03-02986</t>
  </si>
  <si>
    <t>20LA0161</t>
  </si>
  <si>
    <t>20LA0136</t>
  </si>
  <si>
    <t>20LA0254</t>
  </si>
  <si>
    <t>2020-02-0097</t>
  </si>
  <si>
    <t>20LA0259</t>
  </si>
  <si>
    <t>20LA0258</t>
  </si>
  <si>
    <t>20LA0257</t>
  </si>
  <si>
    <t>211408</t>
  </si>
  <si>
    <t>20LA0255</t>
  </si>
  <si>
    <t>20GAB0004</t>
  </si>
  <si>
    <t>20LA0256</t>
  </si>
  <si>
    <t>211409</t>
  </si>
  <si>
    <t>ESP-GOODS-013-2020</t>
  </si>
  <si>
    <t>20LA0260</t>
  </si>
  <si>
    <t>211410</t>
  </si>
  <si>
    <t>20LA0263</t>
  </si>
  <si>
    <t>GOODS-062220-037</t>
  </si>
  <si>
    <t>20LA0262</t>
  </si>
  <si>
    <t>20LA0265</t>
  </si>
  <si>
    <t>20LA0264</t>
  </si>
  <si>
    <t>20LA0266</t>
  </si>
  <si>
    <t>20LA0270</t>
  </si>
  <si>
    <t>20LA0271</t>
  </si>
  <si>
    <t>GEPS2020-004</t>
  </si>
  <si>
    <t>lgutangcalldn-093</t>
  </si>
  <si>
    <t>827-20</t>
  </si>
  <si>
    <t>GOODS-062220-034</t>
  </si>
  <si>
    <t>GEPS2020-005</t>
  </si>
  <si>
    <t>SB2 POP19 300-20-02-01021</t>
  </si>
  <si>
    <t>20LA0269</t>
  </si>
  <si>
    <t>20LA0261</t>
  </si>
  <si>
    <t>20IM0028</t>
  </si>
  <si>
    <t>2020-025 Office and Janitorial 2nd Qtr</t>
  </si>
  <si>
    <t>013-06-2020</t>
  </si>
  <si>
    <t>QNV-004-2020</t>
  </si>
  <si>
    <t>20LA0272</t>
  </si>
  <si>
    <t>ITB No. 025-2020 GQ</t>
  </si>
  <si>
    <t>2020-04-0369, 2020-05-0407-0411</t>
  </si>
  <si>
    <t>GEPS2020-007</t>
  </si>
  <si>
    <t>GEPS2020-006</t>
  </si>
  <si>
    <t>SRAVIS 20-06-271</t>
  </si>
  <si>
    <t>007113000000</t>
  </si>
  <si>
    <t>20LA0277</t>
  </si>
  <si>
    <t>20LA0276</t>
  </si>
  <si>
    <t>20LA0274</t>
  </si>
  <si>
    <t>20LA0278</t>
  </si>
  <si>
    <t>20LA0267</t>
  </si>
  <si>
    <t>20-05-272</t>
  </si>
  <si>
    <t>20LA0275</t>
  </si>
  <si>
    <t>CG-1-103-2020</t>
  </si>
  <si>
    <t>lgutangcalldn-094</t>
  </si>
  <si>
    <t>20LA0273</t>
  </si>
  <si>
    <t>0862</t>
  </si>
  <si>
    <t>GOODS-2020-57</t>
  </si>
  <si>
    <t>2020-026 Gasoline</t>
  </si>
  <si>
    <t>20LA0280</t>
  </si>
  <si>
    <t>SA-INF-2020-05-0003</t>
  </si>
  <si>
    <t>20LA0279</t>
  </si>
  <si>
    <t>2020 B-05.256</t>
  </si>
  <si>
    <t>20LA0282</t>
  </si>
  <si>
    <t>20LA0281</t>
  </si>
  <si>
    <t>20BF0050</t>
  </si>
  <si>
    <t>GOODS-2020-58</t>
  </si>
  <si>
    <t>2020-056</t>
  </si>
  <si>
    <t>20GFB02</t>
  </si>
  <si>
    <t>GEPS2020-008</t>
  </si>
  <si>
    <t>20BF0048</t>
  </si>
  <si>
    <t>20-05-273</t>
  </si>
  <si>
    <t>20IM0029</t>
  </si>
  <si>
    <t>INFRA-2020-003</t>
  </si>
  <si>
    <t>20BF0049</t>
  </si>
  <si>
    <t>QNV-005-2020</t>
  </si>
  <si>
    <t>2020-027 ONC</t>
  </si>
  <si>
    <t>INFRA-2020-002</t>
  </si>
  <si>
    <t>20BF0051</t>
  </si>
  <si>
    <t>bacgal-45-2020</t>
  </si>
  <si>
    <t>2020-057</t>
  </si>
  <si>
    <t>20BF0053</t>
  </si>
  <si>
    <t>20BF0052</t>
  </si>
  <si>
    <t>2020-06-23-326PG</t>
  </si>
  <si>
    <t>PR No. 2020-03-014</t>
  </si>
  <si>
    <t>SERV-2020-05</t>
  </si>
  <si>
    <t>20BF0054</t>
  </si>
  <si>
    <t>PIKCOT-02020-010</t>
  </si>
  <si>
    <t>2020-06-23-327PG</t>
  </si>
  <si>
    <t>2020 B-05.259</t>
  </si>
  <si>
    <t>PR0024-20 PGO REBID</t>
  </si>
  <si>
    <t>20HN0112</t>
  </si>
  <si>
    <t>PR0025-20 PGO REBID</t>
  </si>
  <si>
    <t>S3-JOL20-005</t>
  </si>
  <si>
    <t>20HN0114</t>
  </si>
  <si>
    <t>20HN0113</t>
  </si>
  <si>
    <t>ITB - 05 JUNE 2020</t>
  </si>
  <si>
    <t>20JG0074</t>
  </si>
  <si>
    <t>20GCH0002</t>
  </si>
  <si>
    <t>20GEF010</t>
  </si>
  <si>
    <t>ITB - 03 JUNE 2020</t>
  </si>
  <si>
    <t>ITB - 02 JUNE 2020</t>
  </si>
  <si>
    <t>ITB - 04 JUNE 2020</t>
  </si>
  <si>
    <t>CB-2020-015</t>
  </si>
  <si>
    <t>ITB O2-2020 UPGRADING</t>
  </si>
  <si>
    <t>ITB No. 2020 – 70</t>
  </si>
  <si>
    <t>S3-PPP20-005</t>
  </si>
  <si>
    <t>PR# 20-05-1564</t>
  </si>
  <si>
    <t>2020 B-05.252</t>
  </si>
  <si>
    <t>ITB - 01 JUNE 2020</t>
  </si>
  <si>
    <t>20LE0121</t>
  </si>
  <si>
    <t>20CSLC03</t>
  </si>
  <si>
    <t>MR-PNBAC1-2020-01</t>
  </si>
  <si>
    <t>Alaminos City</t>
  </si>
  <si>
    <t>018 FTC -2020</t>
  </si>
  <si>
    <t>Mkna-GSO-20-260</t>
  </si>
  <si>
    <t>ITB - 06 JUNE 2020</t>
  </si>
  <si>
    <t>ITB - 07 JUNE 2020</t>
  </si>
  <si>
    <t>Publication no. 2020-006</t>
  </si>
  <si>
    <t>20-05-274</t>
  </si>
  <si>
    <t>PR# 20-06-0569</t>
  </si>
  <si>
    <t>2020 B-05.264</t>
  </si>
  <si>
    <t>2020 - 03</t>
  </si>
  <si>
    <t>PPSC BAC IB NO.004 (G) 2020</t>
  </si>
  <si>
    <t>019-FTC 2020</t>
  </si>
  <si>
    <t>ITB - 09 JUNE 2020</t>
  </si>
  <si>
    <t>ITB - 08 JUNE 2020</t>
  </si>
  <si>
    <t>bacgal-46-2020</t>
  </si>
  <si>
    <t>S3-B1920-009</t>
  </si>
  <si>
    <t>STC-INFRA-002-2020</t>
  </si>
  <si>
    <t>ITB 20-06-10</t>
  </si>
  <si>
    <t>IB No. 2020-054/GAE</t>
  </si>
  <si>
    <t>PR No. 2020-03-015</t>
  </si>
  <si>
    <t>ITB - 14 JUNE 2020</t>
  </si>
  <si>
    <t>S3-WMO20-007 (Re-bid)</t>
  </si>
  <si>
    <t>ITB - 12 JUNE 2020</t>
  </si>
  <si>
    <t>Mkna-GSO-20-259</t>
  </si>
  <si>
    <t>2020 B-05.261</t>
  </si>
  <si>
    <t>2020-059</t>
  </si>
  <si>
    <t>ITB - 10 JUNE 2020</t>
  </si>
  <si>
    <t>OGDS 06-1-20</t>
  </si>
  <si>
    <t>ITB - 13 JUNE 2020</t>
  </si>
  <si>
    <t>ITB - 11 JUNE 2020</t>
  </si>
  <si>
    <t>ITB-PG-2020-06-01</t>
  </si>
  <si>
    <t>LG2020MP</t>
  </si>
  <si>
    <t>ITB - 18 JUNE 2020</t>
  </si>
  <si>
    <t>sj 2020 b jun 002</t>
  </si>
  <si>
    <t>066</t>
  </si>
  <si>
    <t>20CSHN02</t>
  </si>
  <si>
    <t>ITB - 20 JUNE 2020</t>
  </si>
  <si>
    <t>PR No. 2020-03-018</t>
  </si>
  <si>
    <t>ITB - 17 JUNE 2020</t>
  </si>
  <si>
    <t>ITB - 19 JUNE 2020</t>
  </si>
  <si>
    <t>020-FTC 2020</t>
  </si>
  <si>
    <t>IB No. 2020-052/RJP</t>
  </si>
  <si>
    <t>ITB - 15 JUNE 2020</t>
  </si>
  <si>
    <t>ITB - 21 JUNE 2020</t>
  </si>
  <si>
    <t>PB2020-45</t>
  </si>
  <si>
    <t>20-002</t>
  </si>
  <si>
    <t>ITB-06-2020-001</t>
  </si>
  <si>
    <t>ITB.JUNE1</t>
  </si>
  <si>
    <t>sj 2020 b jun 001</t>
  </si>
  <si>
    <t>ITB - 16 JUNE 2020</t>
  </si>
  <si>
    <t>ITB - 22 JUNE 2020</t>
  </si>
  <si>
    <t>01-2020-0033</t>
  </si>
  <si>
    <t>20GA0063</t>
  </si>
  <si>
    <t>ITB - 23 JUNE 2020</t>
  </si>
  <si>
    <t>WDDSP-NorWD-IFB-G07c</t>
  </si>
  <si>
    <t>DA RFO-1-2019-INFRA-070</t>
  </si>
  <si>
    <t>ITB - 27 JUNE 2020</t>
  </si>
  <si>
    <t>ITB - 24 JUNE 2020</t>
  </si>
  <si>
    <t>ITB-06-2020-002</t>
  </si>
  <si>
    <t>DA RFO-1-2019-INFRA-071</t>
  </si>
  <si>
    <t>ITB - 26 JUNE 2020</t>
  </si>
  <si>
    <t>OGDS 06-6-20</t>
  </si>
  <si>
    <t>20GA0064</t>
  </si>
  <si>
    <t>GDS-248-2020</t>
  </si>
  <si>
    <t>ITB-PG-2020-06-02</t>
  </si>
  <si>
    <t>ITB-06-2020-003</t>
  </si>
  <si>
    <t>ITB - 25 JUNE 2020</t>
  </si>
  <si>
    <t>ITB - 28 JUNE 2020</t>
  </si>
  <si>
    <t>ITB - 30 JUNE 2020</t>
  </si>
  <si>
    <t>PR No. 2020-03-022</t>
  </si>
  <si>
    <t>sj 2020 b jun 003</t>
  </si>
  <si>
    <t>2020-5-002</t>
  </si>
  <si>
    <t>ITB - 29 JUNE 2020</t>
  </si>
  <si>
    <t>REF #038-06-2020</t>
  </si>
  <si>
    <t>2020 B-05.274</t>
  </si>
  <si>
    <t>OGDS 061-1-20</t>
  </si>
  <si>
    <t>ITB-06-2020-004</t>
  </si>
  <si>
    <t>sj 2020 b jun 005</t>
  </si>
  <si>
    <t>DA RFO-1-2019-INFRA-072</t>
  </si>
  <si>
    <t>PG-2020-042</t>
  </si>
  <si>
    <t>20GH00001</t>
  </si>
  <si>
    <t>sj 2020 b jun 004</t>
  </si>
  <si>
    <t>DA RFO-1-2019-INFRA-073</t>
  </si>
  <si>
    <t>052</t>
  </si>
  <si>
    <t>06012020A</t>
  </si>
  <si>
    <t>19Z00042</t>
  </si>
  <si>
    <t>IB. NO. K-2020-050(SC)</t>
  </si>
  <si>
    <t>msj-2020-14</t>
  </si>
  <si>
    <t>CID NO. 20IF0092 (READV)</t>
  </si>
  <si>
    <t>68-2020</t>
  </si>
  <si>
    <t>InTB-PGAPEO-4QCO-CW3</t>
  </si>
  <si>
    <t>20-143</t>
  </si>
  <si>
    <t>IB. NO. K-2020-053(SC)</t>
  </si>
  <si>
    <t>06-101-2020</t>
  </si>
  <si>
    <t>RFQ-2020-0019</t>
  </si>
  <si>
    <t>DA RFO-1-2019-GOODS-078-R</t>
  </si>
  <si>
    <t>20EF0113</t>
  </si>
  <si>
    <t>011-0620-CP</t>
  </si>
  <si>
    <t>REF #033(1)-04-2020</t>
  </si>
  <si>
    <t>IB. NO. K-2020-052(SC)</t>
  </si>
  <si>
    <t>IB. NO. K-2020-051(SC)</t>
  </si>
  <si>
    <t>ITB-GS-20200325-01</t>
  </si>
  <si>
    <t>S3-SPUGWM20-010 (Re-bid)</t>
  </si>
  <si>
    <t>GEPS - 2020 - 76</t>
  </si>
  <si>
    <t>012-0620-CP</t>
  </si>
  <si>
    <t>PR No. 2020-03-023</t>
  </si>
  <si>
    <t>DA RFO-1-2019-GOODS-053-N</t>
  </si>
  <si>
    <t>PR NO. 2006-003</t>
  </si>
  <si>
    <t>01-0601</t>
  </si>
  <si>
    <t>QNV-019-2020</t>
  </si>
  <si>
    <t>PR No. 2020-05-028</t>
  </si>
  <si>
    <t>2020-06-0318</t>
  </si>
  <si>
    <t>S3-SIT20-014 (Re-bid)</t>
  </si>
  <si>
    <t>QNV-018-2020</t>
  </si>
  <si>
    <t>ITB-GS-20200402-01</t>
  </si>
  <si>
    <t>2020-05-136</t>
  </si>
  <si>
    <t>055</t>
  </si>
  <si>
    <t>PR-2005-541</t>
  </si>
  <si>
    <t>056</t>
  </si>
  <si>
    <t>BCSIMOCO-GOODS-18A-2K20</t>
  </si>
  <si>
    <t>BCSIMOCO-GOODS-21-2K20</t>
  </si>
  <si>
    <t>BAC-PG-00129-20</t>
  </si>
  <si>
    <t>INFRA-20-03</t>
  </si>
  <si>
    <t>ITB-GS-20200407-01</t>
  </si>
  <si>
    <t>20CG0123 (r)</t>
  </si>
  <si>
    <t>IB-2020-058</t>
  </si>
  <si>
    <t>4352426617717</t>
  </si>
  <si>
    <t>20PK0065</t>
  </si>
  <si>
    <t>202006010001</t>
  </si>
  <si>
    <t>BAC-PG-00128-20</t>
  </si>
  <si>
    <t>20-144</t>
  </si>
  <si>
    <t>20-03-0149</t>
  </si>
  <si>
    <t>NCB Publication No. 2020- 11</t>
  </si>
  <si>
    <t>20EF0114</t>
  </si>
  <si>
    <t>NCB Publication No. 2020- 15</t>
  </si>
  <si>
    <t>GOODS-2020-035</t>
  </si>
  <si>
    <t>BAC-PG-00130-20</t>
  </si>
  <si>
    <t>2020-G-32</t>
  </si>
  <si>
    <t>211411</t>
  </si>
  <si>
    <t>BAC-PG-00127-20</t>
  </si>
  <si>
    <t>2020 B-05.251</t>
  </si>
  <si>
    <t>ITB No. 2020 – 72</t>
  </si>
  <si>
    <t>NCB Publication No. 2020- 14</t>
  </si>
  <si>
    <t>NCB Publication No. 2020- 16</t>
  </si>
  <si>
    <t>20EF0117</t>
  </si>
  <si>
    <t>20EF0115</t>
  </si>
  <si>
    <t>GO-20-06-033</t>
  </si>
  <si>
    <t>20EF0116</t>
  </si>
  <si>
    <t>20GAJ0004</t>
  </si>
  <si>
    <t>2020-0184</t>
  </si>
  <si>
    <t>Supply of Materials, Labor and Equipment for the C</t>
  </si>
  <si>
    <t>ITB - 31 JUNE 2020</t>
  </si>
  <si>
    <t>ADNPR2020-05-029,ADS-017,SDN-023,SDS-023,PDI-027</t>
  </si>
  <si>
    <t>USTP-GSPB-05-5020321099-2020</t>
  </si>
  <si>
    <t>3120</t>
  </si>
  <si>
    <t>20GAJ0005</t>
  </si>
  <si>
    <t>ITB - 34 JUNE 2020</t>
  </si>
  <si>
    <t>GOODS-2020-130</t>
  </si>
  <si>
    <t>20-03-0182</t>
  </si>
  <si>
    <t>ITB - 32 JUNE 2020</t>
  </si>
  <si>
    <t>ITB - 33 JUNE 2020</t>
  </si>
  <si>
    <t>ITB - 35 JUNE 2020</t>
  </si>
  <si>
    <t>2020-06-23-329PG</t>
  </si>
  <si>
    <t>202005033</t>
  </si>
  <si>
    <t>2020-06-23-328PG</t>
  </si>
  <si>
    <t>DEPED 2020-004</t>
  </si>
  <si>
    <t>PB INFRA 20-023</t>
  </si>
  <si>
    <t>20LB0156</t>
  </si>
  <si>
    <t>2020-devmh-067</t>
  </si>
  <si>
    <t>20LB0169</t>
  </si>
  <si>
    <t>202005012</t>
  </si>
  <si>
    <t>R3-BANE-SIP-2020-NE-63R</t>
  </si>
  <si>
    <t>PB INFRA 20-031</t>
  </si>
  <si>
    <t>20LB0163</t>
  </si>
  <si>
    <t>PB INFRA 20-029</t>
  </si>
  <si>
    <t>PB INFRA 20-032</t>
  </si>
  <si>
    <t>20LB0184</t>
  </si>
  <si>
    <t>20MF0076</t>
  </si>
  <si>
    <t>R3-BANE-SIP-2020-NE-62R</t>
  </si>
  <si>
    <t>20IG0067</t>
  </si>
  <si>
    <t>2020-IG-017</t>
  </si>
  <si>
    <t>PROJECT #  20-041</t>
  </si>
  <si>
    <t>20LB0189</t>
  </si>
  <si>
    <t>20LB0190</t>
  </si>
  <si>
    <t>20IG0068</t>
  </si>
  <si>
    <t>20LB0231</t>
  </si>
  <si>
    <t>20MF0077</t>
  </si>
  <si>
    <t>20MF0079</t>
  </si>
  <si>
    <t>20-MDF-006</t>
  </si>
  <si>
    <t>IB NO. 2020-06-43R Procurement of Drugs and Medici</t>
  </si>
  <si>
    <t>IB NO. 2020-06-42R Procurement of Dietary Foodstuf</t>
  </si>
  <si>
    <t xml:space="preserve">IB NO. 2020-06-39R Procurement of Non-Accountable </t>
  </si>
  <si>
    <t>20GCB0004</t>
  </si>
  <si>
    <t>MGCP-20G-560A</t>
  </si>
  <si>
    <t>INFRA-2019-49</t>
  </si>
  <si>
    <t>ITB 2020-020-001</t>
  </si>
  <si>
    <t>20-05-0580</t>
  </si>
  <si>
    <t xml:space="preserve">IB NO. 2020-06-41R Procurement of Toner Tie-Up CY </t>
  </si>
  <si>
    <t>19Z00043</t>
  </si>
  <si>
    <t>ITB 2020-018-001</t>
  </si>
  <si>
    <t>IB NO. 2020-06-40 Procurement of TONER CATRIDGES F</t>
  </si>
  <si>
    <t>20MF0078</t>
  </si>
  <si>
    <t>MSUN-INFRA-02-19</t>
  </si>
  <si>
    <t>PEO-19-1449 B (REBID-2)</t>
  </si>
  <si>
    <t>InTB-PGA7171PEO2020-CW7</t>
  </si>
  <si>
    <t>FER2020-012</t>
  </si>
  <si>
    <t>Infra Projects 11-2020</t>
  </si>
  <si>
    <t>Infra Projects 09-2020</t>
  </si>
  <si>
    <t>Infra Projects 10-2020</t>
  </si>
  <si>
    <t>Infra Projects 08-2020</t>
  </si>
  <si>
    <t>LGU-Sagay-4738</t>
  </si>
  <si>
    <t>BJMP12-2020-17</t>
  </si>
  <si>
    <t>PEO-20-0160 B</t>
  </si>
  <si>
    <t>INFRA-2020-021</t>
  </si>
  <si>
    <t>GOODS- 04</t>
  </si>
  <si>
    <t>Infra Projects 02-2020; 2nd Posting</t>
  </si>
  <si>
    <t>BJMP12-2020-18</t>
  </si>
  <si>
    <t>INFRA-2020-020</t>
  </si>
  <si>
    <t>InTB-PGA7171PEO2020-CW6</t>
  </si>
  <si>
    <t>LGU-Sagay-4739</t>
  </si>
  <si>
    <t>INFRA-2020-019</t>
  </si>
  <si>
    <t>InTB-PGA7171PEO2020-CW8</t>
  </si>
  <si>
    <t>Infra Projects 04-2020; 2nd Posting</t>
  </si>
  <si>
    <t>Project No. 2020-23</t>
  </si>
  <si>
    <t>PR#20-05=01</t>
  </si>
  <si>
    <t>94</t>
  </si>
  <si>
    <t>2020-I-11</t>
  </si>
  <si>
    <t>PEO-20-0163-B</t>
  </si>
  <si>
    <t>BJMP12-2020-20</t>
  </si>
  <si>
    <t>93</t>
  </si>
  <si>
    <t>BJMP12-2020-19</t>
  </si>
  <si>
    <t>PB NO. 2020-024</t>
  </si>
  <si>
    <t>InTB-PGAPEO-4QCO-CW2</t>
  </si>
  <si>
    <t>CONTRACT ID #: 20-03-076 2ND REBID</t>
  </si>
  <si>
    <t>LGU-Sagay-4740</t>
  </si>
  <si>
    <t>P-2020-14</t>
  </si>
  <si>
    <t>PB-202005-06</t>
  </si>
  <si>
    <t>PIA0002I-2020</t>
  </si>
  <si>
    <t>BALZN9-2007</t>
  </si>
  <si>
    <t>IB NO. 2020-172-A</t>
  </si>
  <si>
    <t>BFAR IV-A.20-0213</t>
  </si>
  <si>
    <t>BFAR IV-A.20-0183</t>
  </si>
  <si>
    <t>KB-GOODS-2020-05</t>
  </si>
  <si>
    <t>20-05-072</t>
  </si>
  <si>
    <t>IB NO. 2020-212</t>
  </si>
  <si>
    <t>CW-104</t>
  </si>
  <si>
    <t>CW-101</t>
  </si>
  <si>
    <t>CW-105</t>
  </si>
  <si>
    <t>CW-102</t>
  </si>
  <si>
    <t>ITB 2020-05-029(GOODS)</t>
  </si>
  <si>
    <t>CW-103</t>
  </si>
  <si>
    <t>ITB 2020-05-028(GOODS)</t>
  </si>
  <si>
    <t>IB NO. 2020-215</t>
  </si>
  <si>
    <t>BAC-PGCS-005-2020</t>
  </si>
  <si>
    <t>BAC-PGCS-009-2020</t>
  </si>
  <si>
    <t>20FF0089</t>
  </si>
  <si>
    <t>CW-106</t>
  </si>
  <si>
    <t>CW-107</t>
  </si>
  <si>
    <t>ITB 20-068</t>
  </si>
  <si>
    <t>20FF0088</t>
  </si>
  <si>
    <t>ITB 2020-05-030(GOODS)</t>
  </si>
  <si>
    <t>ITB - 2020-LCB-PW-09</t>
  </si>
  <si>
    <t>CW-108</t>
  </si>
  <si>
    <t>ITB 20-069</t>
  </si>
  <si>
    <t>ITB - 2020-LCB-PW-08</t>
  </si>
  <si>
    <t>PR No. 2020-02-01</t>
  </si>
  <si>
    <t>ITB - 2020-LCB-PW-10</t>
  </si>
  <si>
    <t>20-05-073</t>
  </si>
  <si>
    <t>ITB - 2020-LCB-PG-016</t>
  </si>
  <si>
    <t>ITB - 2020-LCB-PG-015</t>
  </si>
  <si>
    <t>B-G-2020-070</t>
  </si>
  <si>
    <t>050-2020</t>
  </si>
  <si>
    <t>GOODS-2020-011</t>
  </si>
  <si>
    <t>B-G-2020-069</t>
  </si>
  <si>
    <t>B-G-2020-071</t>
  </si>
  <si>
    <t>GOODS-2020-012</t>
  </si>
  <si>
    <t>B-G-2020-068</t>
  </si>
  <si>
    <t>GOODS-2020-010</t>
  </si>
  <si>
    <t>ITB 023-2020</t>
  </si>
  <si>
    <t>20KG0093</t>
  </si>
  <si>
    <t>2020-59 (GAS)</t>
  </si>
  <si>
    <t>NP/PB 20-0633</t>
  </si>
  <si>
    <t>GOODS-2020-009</t>
  </si>
  <si>
    <t>B-G-2020-066</t>
  </si>
  <si>
    <t>PR-20-05-004</t>
  </si>
  <si>
    <t>GOODS2020-8</t>
  </si>
  <si>
    <t>B-G-2020-067</t>
  </si>
  <si>
    <t>PROV-2020-01-GS</t>
  </si>
  <si>
    <t>ITB-KOR: 20-05-0553 CEO</t>
  </si>
  <si>
    <t>20EG0085</t>
  </si>
  <si>
    <t>ITB-KOR: 20-05-0639 CMO</t>
  </si>
  <si>
    <t>BAC-05-1031</t>
  </si>
  <si>
    <t>2020-5-29-9</t>
  </si>
  <si>
    <t>vict-eps20-028</t>
  </si>
  <si>
    <t>20EG0084</t>
  </si>
  <si>
    <t>2020-60 (GAS)</t>
  </si>
  <si>
    <t>B-G-2020-073</t>
  </si>
  <si>
    <t>051-2020</t>
  </si>
  <si>
    <t>B-G-2020-072</t>
  </si>
  <si>
    <t>ITB-KOR: 20-05-0672 CEO</t>
  </si>
  <si>
    <t>20EG0087</t>
  </si>
  <si>
    <t>20EG0088</t>
  </si>
  <si>
    <t>ITB 2020-05-031(GOODS)</t>
  </si>
  <si>
    <t>ITB-KOR: 20-05-0604 CEO</t>
  </si>
  <si>
    <t>20EG0089</t>
  </si>
  <si>
    <t>20EG0090</t>
  </si>
  <si>
    <t>B-G-2020-074</t>
  </si>
  <si>
    <t>20EG0086</t>
  </si>
  <si>
    <t>052-2020</t>
  </si>
  <si>
    <t>B-G-2020-075</t>
  </si>
  <si>
    <t>B-G-2020-077</t>
  </si>
  <si>
    <t>B-G-2020-076</t>
  </si>
  <si>
    <t>2020-loan003</t>
  </si>
  <si>
    <t>2020-I-12</t>
  </si>
  <si>
    <t>2020-loan002</t>
  </si>
  <si>
    <t>IB NO. 2020 – 051/DFD</t>
  </si>
  <si>
    <t>30052020</t>
  </si>
  <si>
    <t>2020-loan001</t>
  </si>
  <si>
    <t>B-G-2020-079</t>
  </si>
  <si>
    <t>2020-TF001</t>
  </si>
  <si>
    <t>2020-loan005</t>
  </si>
  <si>
    <t>2020-004-004</t>
  </si>
  <si>
    <t>B-G-2020-078</t>
  </si>
  <si>
    <t>2020-004-003</t>
  </si>
  <si>
    <t>2020-loan004</t>
  </si>
  <si>
    <t>ITB202001</t>
  </si>
  <si>
    <t>2020-004-001</t>
  </si>
  <si>
    <t>2020-004-002</t>
  </si>
  <si>
    <t>ITB202005</t>
  </si>
  <si>
    <t>05-033-20</t>
  </si>
  <si>
    <t>IB NO. 026-20</t>
  </si>
  <si>
    <t>IB NO. 029-20</t>
  </si>
  <si>
    <t>2020-G-20</t>
  </si>
  <si>
    <t>Goods 2020-014</t>
  </si>
  <si>
    <t>300-2020-0002</t>
  </si>
  <si>
    <t>20CB0064</t>
  </si>
  <si>
    <t>Goods 2020-012 (np)</t>
  </si>
  <si>
    <t>100-2020-0720</t>
  </si>
  <si>
    <t>IB NO. 028-20</t>
  </si>
  <si>
    <t>20CB0063</t>
  </si>
  <si>
    <t>IB NO. 030-20</t>
  </si>
  <si>
    <t>2020-CW-05-04</t>
  </si>
  <si>
    <t>2020-CW-05-03</t>
  </si>
  <si>
    <t>2020-CW-05-01</t>
  </si>
  <si>
    <t>BAC PB 2020-007</t>
  </si>
  <si>
    <t>GS 2020-05-013</t>
  </si>
  <si>
    <t>2020 AIP (General Fund) G-06-03172020</t>
  </si>
  <si>
    <t>2020-004-005</t>
  </si>
  <si>
    <t>2020-CW-05-02</t>
  </si>
  <si>
    <t>GS 2020-05-014</t>
  </si>
  <si>
    <t>PBS 20-077</t>
  </si>
  <si>
    <t>BAC PB 2020-008</t>
  </si>
  <si>
    <t>2020 Trust Fund (ECCD F1K Program) G-02-02182020</t>
  </si>
  <si>
    <t>N 26 C 2020</t>
  </si>
  <si>
    <t>ITB-GOODS-2020-05-029</t>
  </si>
  <si>
    <t>20FE0122</t>
  </si>
  <si>
    <t>AMP SVP 20-06-0334</t>
  </si>
  <si>
    <t>20FE0123</t>
  </si>
  <si>
    <t>IB No. 2020-150-A</t>
  </si>
  <si>
    <t>AMP SVP 20-06-0307A</t>
  </si>
  <si>
    <t>AMP SVP 20-06-0335</t>
  </si>
  <si>
    <t>IB No. 2020-214</t>
  </si>
  <si>
    <t>2020G - 014-601</t>
  </si>
  <si>
    <t>PB-20-256</t>
  </si>
  <si>
    <t>PB-20-255</t>
  </si>
  <si>
    <t>CSJ-2020-026</t>
  </si>
  <si>
    <t>CSJ-2020-028</t>
  </si>
  <si>
    <t>CSJ-2020-027</t>
  </si>
  <si>
    <t>PB-20-291</t>
  </si>
  <si>
    <t>2020G - 015-601</t>
  </si>
  <si>
    <t>CSJ-2020-029</t>
  </si>
  <si>
    <t>2490-20</t>
  </si>
  <si>
    <t>IB NO. CW 2020 -077</t>
  </si>
  <si>
    <t>IB NO. CW 2020 - 075</t>
  </si>
  <si>
    <t>IB NO. CW 2020 - 073</t>
  </si>
  <si>
    <t>IB No. 2020-213</t>
  </si>
  <si>
    <t>IB NO. CW 2020-076</t>
  </si>
  <si>
    <t>IB NO. CW 2020 -072</t>
  </si>
  <si>
    <t>ITB-112-2020</t>
  </si>
  <si>
    <t>IB NO. CW 2020 - 074</t>
  </si>
  <si>
    <t>ITB-111-2020</t>
  </si>
  <si>
    <t>SJMC-2020-002</t>
  </si>
  <si>
    <t>IB NO. CW 2020 - 080</t>
  </si>
  <si>
    <t>CSJ-2020-013</t>
  </si>
  <si>
    <t>IB NO. CW 2020-079</t>
  </si>
  <si>
    <t>IB NO. CW 2020 -078</t>
  </si>
  <si>
    <t>CSJ-2020-030</t>
  </si>
  <si>
    <t>QES-05-029-20</t>
  </si>
  <si>
    <t>IB NO. CW 2020 - 010-A</t>
  </si>
  <si>
    <t>CSJ-2020-031</t>
  </si>
  <si>
    <t>2020-05-009</t>
  </si>
  <si>
    <t>20DK0113</t>
  </si>
  <si>
    <t>IB NO CW. 2020 - 042-A</t>
  </si>
  <si>
    <t>IB NO. CW 2020 - 041-A</t>
  </si>
  <si>
    <t>20FO0082</t>
  </si>
  <si>
    <t>2020-05-008</t>
  </si>
  <si>
    <t>PRN-612-2020</t>
  </si>
  <si>
    <t>20FO0085</t>
  </si>
  <si>
    <t>20KE0058</t>
  </si>
  <si>
    <t>20KE0046 (Re-Bidding)</t>
  </si>
  <si>
    <t>20FO0084</t>
  </si>
  <si>
    <t>RFQ-586-2020</t>
  </si>
  <si>
    <t>20DK0121</t>
  </si>
  <si>
    <t>20DK0126</t>
  </si>
  <si>
    <t>PB-INF-20-001</t>
  </si>
  <si>
    <t>20FO0083</t>
  </si>
  <si>
    <t>RFQ-514-2020</t>
  </si>
  <si>
    <t>RFQ-482-2020</t>
  </si>
  <si>
    <t>RFQ-484-2020</t>
  </si>
  <si>
    <t>PRN-469-2020</t>
  </si>
  <si>
    <t>IAEB 2020-008</t>
  </si>
  <si>
    <t>PRN-497-2020</t>
  </si>
  <si>
    <t>IAEB 2020-007</t>
  </si>
  <si>
    <t>20-02-010</t>
  </si>
  <si>
    <t>20-02-008</t>
  </si>
  <si>
    <t>20-02-011</t>
  </si>
  <si>
    <t>20IK0092</t>
  </si>
  <si>
    <t>20-03-013</t>
  </si>
  <si>
    <t>2020-02-009</t>
  </si>
  <si>
    <t>2020-05-02</t>
  </si>
  <si>
    <t>19-11-034</t>
  </si>
  <si>
    <t>2020-0381</t>
  </si>
  <si>
    <t>EOI 2020-005</t>
  </si>
  <si>
    <t>100-2020-05-668</t>
  </si>
  <si>
    <t>2020-0425</t>
  </si>
  <si>
    <t>2020-GSIS-PB-074</t>
  </si>
  <si>
    <t>20FN0086</t>
  </si>
  <si>
    <t>2020-0422</t>
  </si>
  <si>
    <t>20FN0034</t>
  </si>
  <si>
    <t>2020-0416</t>
  </si>
  <si>
    <t>2020-05-095</t>
  </si>
  <si>
    <t>2020-05-086</t>
  </si>
  <si>
    <t>2020-05-094</t>
  </si>
  <si>
    <t>2020-05-093</t>
  </si>
  <si>
    <t>2020-05-092</t>
  </si>
  <si>
    <t>2020-05-085</t>
  </si>
  <si>
    <t>20FN0085</t>
  </si>
  <si>
    <t>2020-05-084</t>
  </si>
  <si>
    <t>2020-05-096</t>
  </si>
  <si>
    <t>20FN0087</t>
  </si>
  <si>
    <t>2020-0424</t>
  </si>
  <si>
    <t>2020-0418</t>
  </si>
  <si>
    <t>2020-0417</t>
  </si>
  <si>
    <t>2020-05-06</t>
  </si>
  <si>
    <t>20KB0154</t>
  </si>
  <si>
    <t>2020-05-0213</t>
  </si>
  <si>
    <t>2020-0420</t>
  </si>
  <si>
    <t>20KB0155</t>
  </si>
  <si>
    <t>2020-0419</t>
  </si>
  <si>
    <t>20KB0150</t>
  </si>
  <si>
    <t>2020-0421</t>
  </si>
  <si>
    <t>20KB0153</t>
  </si>
  <si>
    <t>2020-05-08</t>
  </si>
  <si>
    <t>20KB0152</t>
  </si>
  <si>
    <t>20KB0151</t>
  </si>
  <si>
    <t>20KB0156</t>
  </si>
  <si>
    <t>2020-05-29</t>
  </si>
  <si>
    <t>2020-02-099</t>
  </si>
  <si>
    <t>2020-05-097</t>
  </si>
  <si>
    <t>20GAE0006: Furnishing and Delivery of Materials fo</t>
  </si>
  <si>
    <t>2020-03-167</t>
  </si>
  <si>
    <t>20GJC0187</t>
  </si>
  <si>
    <t>2020-05-0222</t>
  </si>
  <si>
    <t>IB-INFRA-2020-01A Construction of Various Infrastr</t>
  </si>
  <si>
    <t>05292020</t>
  </si>
  <si>
    <t>2020-5-29-1</t>
  </si>
  <si>
    <t>20KB0158</t>
  </si>
  <si>
    <t>2020-02-094</t>
  </si>
  <si>
    <t>2020-05-0221</t>
  </si>
  <si>
    <t>20KB0157</t>
  </si>
  <si>
    <t>2020-5-29-2</t>
  </si>
  <si>
    <t>19MC0245</t>
  </si>
  <si>
    <t>2020-5-29-3</t>
  </si>
  <si>
    <t>2020-05-05</t>
  </si>
  <si>
    <t>sfbac2020-AIP-1000-23</t>
  </si>
  <si>
    <t>2020-062-12-1</t>
  </si>
  <si>
    <t>2020-05-098</t>
  </si>
  <si>
    <t>06-2020 INFRA</t>
  </si>
  <si>
    <t>2020-062-12-2</t>
  </si>
  <si>
    <t>ITB 2020-0013</t>
  </si>
  <si>
    <t>202005290001</t>
  </si>
  <si>
    <t>8918-1630-20</t>
  </si>
  <si>
    <t>ITB 2020-0014</t>
  </si>
  <si>
    <t>ITB 2020-0012</t>
  </si>
  <si>
    <t>0410-2020</t>
  </si>
  <si>
    <t>ROXII-2020-05-004</t>
  </si>
  <si>
    <t>202005290002</t>
  </si>
  <si>
    <t>2020-062-12-3</t>
  </si>
  <si>
    <t>20021999</t>
  </si>
  <si>
    <t>19125327</t>
  </si>
  <si>
    <t>20021737</t>
  </si>
  <si>
    <t>20032286</t>
  </si>
  <si>
    <t>20053176</t>
  </si>
  <si>
    <t>20053357</t>
  </si>
  <si>
    <t>20053381</t>
  </si>
  <si>
    <t>GDS-243-2020</t>
  </si>
  <si>
    <t>202005290003</t>
  </si>
  <si>
    <t>20021987</t>
  </si>
  <si>
    <t>tgs 08-20</t>
  </si>
  <si>
    <t>tgs 09-20</t>
  </si>
  <si>
    <t>2020-062-12-4</t>
  </si>
  <si>
    <t>2020-02-098</t>
  </si>
  <si>
    <t>AMP SVP 20-05-0264A</t>
  </si>
  <si>
    <t>2020-5-29-4</t>
  </si>
  <si>
    <t>20HC0177</t>
  </si>
  <si>
    <t>20GHC0001</t>
  </si>
  <si>
    <t>2020-0529</t>
  </si>
  <si>
    <t>ITB-017-2020</t>
  </si>
  <si>
    <t>2020-062-12-7</t>
  </si>
  <si>
    <t>2020-062-12-5</t>
  </si>
  <si>
    <t>2020-062-12-8</t>
  </si>
  <si>
    <t>2020121</t>
  </si>
  <si>
    <t>IB 2020-022</t>
  </si>
  <si>
    <t>2020-062-12-6</t>
  </si>
  <si>
    <t>USTP-GSPB-05-5060602000-2020</t>
  </si>
  <si>
    <t>2020-5-29-5</t>
  </si>
  <si>
    <t>2020-05-002</t>
  </si>
  <si>
    <t>2020-062-12-9</t>
  </si>
  <si>
    <t>20FL0082</t>
  </si>
  <si>
    <t>2020-062-12-12</t>
  </si>
  <si>
    <t>2020-5-29-6</t>
  </si>
  <si>
    <t>2020-5-29-7</t>
  </si>
  <si>
    <t>20GH0127</t>
  </si>
  <si>
    <t>2020-05-004</t>
  </si>
  <si>
    <t>20GHC0002</t>
  </si>
  <si>
    <t>2020-05-003</t>
  </si>
  <si>
    <t>2020-062-12-16</t>
  </si>
  <si>
    <t>2020-062-12-11</t>
  </si>
  <si>
    <t>AMP SVP 20-05-0075B</t>
  </si>
  <si>
    <t>2020-062-12-13</t>
  </si>
  <si>
    <t>20MA0073</t>
  </si>
  <si>
    <t>20MA0084</t>
  </si>
  <si>
    <t>2020-062-12-14</t>
  </si>
  <si>
    <t>20GMC0084</t>
  </si>
  <si>
    <t>101-020-005-064</t>
  </si>
  <si>
    <t>2020-062-12-10</t>
  </si>
  <si>
    <t>20GMC0085</t>
  </si>
  <si>
    <t>2020-062-12-15</t>
  </si>
  <si>
    <t>2020-062-12-17</t>
  </si>
  <si>
    <t>20MA0101</t>
  </si>
  <si>
    <t>20CI0091</t>
  </si>
  <si>
    <t>20GMC0086</t>
  </si>
  <si>
    <t>2020-062-12-20</t>
  </si>
  <si>
    <t>20NF0069</t>
  </si>
  <si>
    <t>GOODS-2020-120</t>
  </si>
  <si>
    <t>2020-062-12-19</t>
  </si>
  <si>
    <t>20MA0114</t>
  </si>
  <si>
    <t>2020-062-12-18</t>
  </si>
  <si>
    <t>20MA0112</t>
  </si>
  <si>
    <t>2020 - 019</t>
  </si>
  <si>
    <t>20NF0070</t>
  </si>
  <si>
    <t>20MA0120</t>
  </si>
  <si>
    <t>20CI0092</t>
  </si>
  <si>
    <t>20NF0072</t>
  </si>
  <si>
    <t>2020-03-15</t>
  </si>
  <si>
    <t>20CI0093</t>
  </si>
  <si>
    <t>2020-062-12-25</t>
  </si>
  <si>
    <t>20MA0104</t>
  </si>
  <si>
    <t>2020-062-12-23</t>
  </si>
  <si>
    <t>20200529005</t>
  </si>
  <si>
    <t>2020-062-12-27</t>
  </si>
  <si>
    <t>2020-062-12-24</t>
  </si>
  <si>
    <t>INFRA-2020-05-003</t>
  </si>
  <si>
    <t>20MA0130</t>
  </si>
  <si>
    <t>202005104</t>
  </si>
  <si>
    <t>nlontoc-ITB056-2020</t>
  </si>
  <si>
    <t>2020-062-12-26</t>
  </si>
  <si>
    <t>2020-062-12-28</t>
  </si>
  <si>
    <t>20NF0071</t>
  </si>
  <si>
    <t>2020-062-12-22</t>
  </si>
  <si>
    <t>20MA0121</t>
  </si>
  <si>
    <t>2020-062-12-21</t>
  </si>
  <si>
    <t>2020-062-12-29</t>
  </si>
  <si>
    <t>2020-05-0192</t>
  </si>
  <si>
    <t>2020-062-12-31</t>
  </si>
  <si>
    <t>202005105</t>
  </si>
  <si>
    <t>QES-05-030-20</t>
  </si>
  <si>
    <t>2020-062-12-34</t>
  </si>
  <si>
    <t>2020-062-12-30</t>
  </si>
  <si>
    <t>20KA0136</t>
  </si>
  <si>
    <t>20KA0141</t>
  </si>
  <si>
    <t>20KA0135</t>
  </si>
  <si>
    <t>202005106</t>
  </si>
  <si>
    <t>20DP0071</t>
  </si>
  <si>
    <t>2020-062-12-36</t>
  </si>
  <si>
    <t>20GAE0008: Supply, Delivery and Installation of De</t>
  </si>
  <si>
    <t>20KA0139</t>
  </si>
  <si>
    <t>20KA0138</t>
  </si>
  <si>
    <t>2020-062-12-32</t>
  </si>
  <si>
    <t>2020-062-12-33</t>
  </si>
  <si>
    <t>20KA0140</t>
  </si>
  <si>
    <t>2020-062-12-35</t>
  </si>
  <si>
    <t>20KA0137</t>
  </si>
  <si>
    <t>NIAREG9-0527-2020-RESTOCISCY2020-069(INFRA)2ndcall</t>
  </si>
  <si>
    <t>20NF0073</t>
  </si>
  <si>
    <t>101-020-005-065</t>
  </si>
  <si>
    <t>20NF0075</t>
  </si>
  <si>
    <t>20NF0074</t>
  </si>
  <si>
    <t>20PA0125</t>
  </si>
  <si>
    <t>ITB 2020-144</t>
  </si>
  <si>
    <t>20PA0124</t>
  </si>
  <si>
    <t>DF 20 - 009</t>
  </si>
  <si>
    <t>ITB No. 2020-12(2) Procurement of Electric Operati</t>
  </si>
  <si>
    <t>20NF0076</t>
  </si>
  <si>
    <t>100-20-05-292</t>
  </si>
  <si>
    <t>20PA0123</t>
  </si>
  <si>
    <t>ITB No. 2020-12(1) PROCUREMENT OF 4D Ultrasound Ma</t>
  </si>
  <si>
    <t>GOODS-2020-05-008</t>
  </si>
  <si>
    <t>ITB No. 2020-13 PROCUREMENT OF DRUGS AND MEDICINES</t>
  </si>
  <si>
    <t>117 – 2020</t>
  </si>
  <si>
    <t>ITB 2020-01</t>
  </si>
  <si>
    <t>INFRA-07-20-04</t>
  </si>
  <si>
    <t>20PB0028</t>
  </si>
  <si>
    <t>INFRA-07-20-03</t>
  </si>
  <si>
    <t>INFRA-07-20-02</t>
  </si>
  <si>
    <t>20PB0027</t>
  </si>
  <si>
    <t>2020-05-001</t>
  </si>
  <si>
    <t>2020-0062</t>
  </si>
  <si>
    <t>MBHTE-BARMM-SUPPLY-B011-2020</t>
  </si>
  <si>
    <t>INFRA-07-20-01</t>
  </si>
  <si>
    <t>LIMAO-BAC-05-20</t>
  </si>
  <si>
    <t>2020-05-007</t>
  </si>
  <si>
    <t>INFRA-07-20-06</t>
  </si>
  <si>
    <t>2020-02-0021</t>
  </si>
  <si>
    <t>goods-44-2020</t>
  </si>
  <si>
    <t>goods-45-2020</t>
  </si>
  <si>
    <t>INFRA-07-20-05</t>
  </si>
  <si>
    <t>2020-05-006</t>
  </si>
  <si>
    <t>goods-43-2020</t>
  </si>
  <si>
    <t>2020-0063</t>
  </si>
  <si>
    <t>2020-05-005</t>
  </si>
  <si>
    <t>CRN-PB-005-INFRA-2020</t>
  </si>
  <si>
    <t>goods-51-2020</t>
  </si>
  <si>
    <t>20-05-0865</t>
  </si>
  <si>
    <t>goods-46-2020</t>
  </si>
  <si>
    <t>goods-50-2020</t>
  </si>
  <si>
    <t>Binmisor 017-2020</t>
  </si>
  <si>
    <t>20-05-0864</t>
  </si>
  <si>
    <t>CRN-PB-004-INFRA-2020</t>
  </si>
  <si>
    <t>ITB (CW-05-2020-015) 20DD0277</t>
  </si>
  <si>
    <t>ITB (CW-05-2020-015) 20DD0282</t>
  </si>
  <si>
    <t>ITB (CW-05-2020-015) 20DD0278</t>
  </si>
  <si>
    <t>ITB (CW-05-2020-015) 20DD0291</t>
  </si>
  <si>
    <t>ITB (CW-05-2020-015) 20DD0290</t>
  </si>
  <si>
    <t>ITB (CW-05-2020-015) 20DD0279</t>
  </si>
  <si>
    <t>ITB (CW-05-2020-015) 20DD0280</t>
  </si>
  <si>
    <t>ITB (CW-05-2020-015) 20DD0288</t>
  </si>
  <si>
    <t>ITB (CW-05-2020-015) 20DD0289</t>
  </si>
  <si>
    <t>BG-2020-06</t>
  </si>
  <si>
    <t>Infra-07-2020</t>
  </si>
  <si>
    <t>ITB (CW-05-2020-015) 20DD0287</t>
  </si>
  <si>
    <t>ITB (CW-05-2020-015) 20DD0286</t>
  </si>
  <si>
    <t>ITB (CW-05-2020-015) 20DD0281</t>
  </si>
  <si>
    <t>ITB (CW-05-2020-015) 20DD0284</t>
  </si>
  <si>
    <t>Infra-08-2020</t>
  </si>
  <si>
    <t xml:space="preserve">20KL0135 - Construction of Multi-Purpose Building </t>
  </si>
  <si>
    <t>ITB (CW-05-2020-015) 20DD0283</t>
  </si>
  <si>
    <t>ITB (CW-05-2020-015) 20DD0285</t>
  </si>
  <si>
    <t>ITB (CW-05-2020-015) 20DD0292</t>
  </si>
  <si>
    <t>Infra-09-2020</t>
  </si>
  <si>
    <t>20GA0126</t>
  </si>
  <si>
    <t>Binmisor 018-2020</t>
  </si>
  <si>
    <t>ITB No. 2020-007</t>
  </si>
  <si>
    <t>381-05-2020 (IPHO)</t>
  </si>
  <si>
    <t>ITB No. 2020-006</t>
  </si>
  <si>
    <t>20GA0127</t>
  </si>
  <si>
    <t>BG-2020-08</t>
  </si>
  <si>
    <t>20PC0056</t>
  </si>
  <si>
    <t>8000-2-2-14</t>
  </si>
  <si>
    <t>BG-2020-09</t>
  </si>
  <si>
    <t>BG-2020-07</t>
  </si>
  <si>
    <t>8000-2-2-9</t>
  </si>
  <si>
    <t>Binmisor 019-2020</t>
  </si>
  <si>
    <t>BG-2020-10</t>
  </si>
  <si>
    <t>NS-05-29-20-01</t>
  </si>
  <si>
    <t>20GA0134</t>
  </si>
  <si>
    <t>2020-I001</t>
  </si>
  <si>
    <t>20GDB0021</t>
  </si>
  <si>
    <t>CONTRACT ID: 20-05-083</t>
  </si>
  <si>
    <t>Binmisor 020-2020</t>
  </si>
  <si>
    <t>20GDB0019</t>
  </si>
  <si>
    <t>ITB (CW-05-2020-015) 20DD0293</t>
  </si>
  <si>
    <t>20GDB0020</t>
  </si>
  <si>
    <t>KFC-06302020-MAT-MAG-BARMM</t>
  </si>
  <si>
    <t>ITB (CW-05-2020-015) 20DD0294</t>
  </si>
  <si>
    <t>100-20-01-103</t>
  </si>
  <si>
    <t>8000-2-2-10</t>
  </si>
  <si>
    <t>8000-2-2-12</t>
  </si>
  <si>
    <t>100-20-02-327; 341; 342; 343; 344</t>
  </si>
  <si>
    <t>BRGY. TALOC - ITB - 2020 - 001</t>
  </si>
  <si>
    <t>LL-20-20</t>
  </si>
  <si>
    <t>9000-1-2</t>
  </si>
  <si>
    <t>DENR-ORMIN-014-2020</t>
  </si>
  <si>
    <t>2020-0155-PR2020-0372</t>
  </si>
  <si>
    <t>20GCB0003</t>
  </si>
  <si>
    <t>QIS_NFRA_2020#23</t>
  </si>
  <si>
    <t>QIS_NFRA_2020#24</t>
  </si>
  <si>
    <t>CW39-2020</t>
  </si>
  <si>
    <t>20GCB0002</t>
  </si>
  <si>
    <t>9000-1-3</t>
  </si>
  <si>
    <t>100-20-02-328</t>
  </si>
  <si>
    <t>CW38-2020</t>
  </si>
  <si>
    <t>20IM0025</t>
  </si>
  <si>
    <t>20GCB0001</t>
  </si>
  <si>
    <t>20-295</t>
  </si>
  <si>
    <t>300-19-12-096-B</t>
  </si>
  <si>
    <t>20L00030</t>
  </si>
  <si>
    <t>QIS_GDS_2020#11</t>
  </si>
  <si>
    <t>20KI0083</t>
  </si>
  <si>
    <t>101-020-005-061</t>
  </si>
  <si>
    <t>QIS_NFRA_2020#26</t>
  </si>
  <si>
    <t>PB-06-19-2020</t>
  </si>
  <si>
    <t>20KI0085</t>
  </si>
  <si>
    <t>QIS_NFRA_2020#25</t>
  </si>
  <si>
    <t>20L00141</t>
  </si>
  <si>
    <t>CW40-2020</t>
  </si>
  <si>
    <t>20IM0026</t>
  </si>
  <si>
    <t>20CN0141</t>
  </si>
  <si>
    <t>20LA0176</t>
  </si>
  <si>
    <t>20L00145</t>
  </si>
  <si>
    <t>20LA0226</t>
  </si>
  <si>
    <t>20LA0229</t>
  </si>
  <si>
    <t>20LA0225</t>
  </si>
  <si>
    <t>20LA0133</t>
  </si>
  <si>
    <t>ITB PR 0400</t>
  </si>
  <si>
    <t>20LA0228</t>
  </si>
  <si>
    <t>20LA0227</t>
  </si>
  <si>
    <t>20LA0230</t>
  </si>
  <si>
    <t>Bid No. 20-0263</t>
  </si>
  <si>
    <t>20IM0027</t>
  </si>
  <si>
    <t>NS-05-29-20-02</t>
  </si>
  <si>
    <t>20LA0231</t>
  </si>
  <si>
    <t>100-19-11-1861</t>
  </si>
  <si>
    <t>20HJ0119</t>
  </si>
  <si>
    <t>20L00170</t>
  </si>
  <si>
    <t>ITB PR 0393</t>
  </si>
  <si>
    <t>20L00153</t>
  </si>
  <si>
    <t>pb-gd-2020-033</t>
  </si>
  <si>
    <t>20LA0233</t>
  </si>
  <si>
    <t>2020-89</t>
  </si>
  <si>
    <t>Infra-20-07</t>
  </si>
  <si>
    <t>20LA0234</t>
  </si>
  <si>
    <t>20LA0235</t>
  </si>
  <si>
    <t>20LA0232</t>
  </si>
  <si>
    <t>20LA0236</t>
  </si>
  <si>
    <t>20DJ0084</t>
  </si>
  <si>
    <t>20LA0238</t>
  </si>
  <si>
    <t>20LA0239</t>
  </si>
  <si>
    <t>ITB PR 0398</t>
  </si>
  <si>
    <t>stfe-20-01</t>
  </si>
  <si>
    <t>2020-45</t>
  </si>
  <si>
    <t>20LA0237</t>
  </si>
  <si>
    <t>20LA0242</t>
  </si>
  <si>
    <t>20LA0243</t>
  </si>
  <si>
    <t>047</t>
  </si>
  <si>
    <t>20LA0246</t>
  </si>
  <si>
    <t>20DJ0086</t>
  </si>
  <si>
    <t>BFAR5BAC-2020-099</t>
  </si>
  <si>
    <t>G-005-2020</t>
  </si>
  <si>
    <t>300-20-01-001</t>
  </si>
  <si>
    <t>20LA0240</t>
  </si>
  <si>
    <t>20DJ0085</t>
  </si>
  <si>
    <t>20LA0241</t>
  </si>
  <si>
    <t>20LA0244</t>
  </si>
  <si>
    <t>20DJ0087</t>
  </si>
  <si>
    <t>20NA0062</t>
  </si>
  <si>
    <t>PR0069-20 PEO REBID</t>
  </si>
  <si>
    <t>20NB0065</t>
  </si>
  <si>
    <t>20LA0245</t>
  </si>
  <si>
    <t>20PE0001(G)</t>
  </si>
  <si>
    <t>20NB0068</t>
  </si>
  <si>
    <t>2020052801</t>
  </si>
  <si>
    <t>20NB0067</t>
  </si>
  <si>
    <t>20DJ0088</t>
  </si>
  <si>
    <t>20LA0249</t>
  </si>
  <si>
    <t>20NB0066</t>
  </si>
  <si>
    <t>20NB0069</t>
  </si>
  <si>
    <t>CONTRACT ID: 20-02-063 2ND REBID</t>
  </si>
  <si>
    <t>20DJ0089</t>
  </si>
  <si>
    <t>20LA0250</t>
  </si>
  <si>
    <t>20LA0251</t>
  </si>
  <si>
    <t>2020-05 -0020</t>
  </si>
  <si>
    <t>20LA0248</t>
  </si>
  <si>
    <t>20NB0070</t>
  </si>
  <si>
    <t>05-20-130</t>
  </si>
  <si>
    <t>100-20-01-072</t>
  </si>
  <si>
    <t>2020-05 -022</t>
  </si>
  <si>
    <t>05-20-131</t>
  </si>
  <si>
    <t>2020-281</t>
  </si>
  <si>
    <t>20AI0162</t>
  </si>
  <si>
    <t>20LA0247</t>
  </si>
  <si>
    <t>2020-05 -021</t>
  </si>
  <si>
    <t>100-20-01-080</t>
  </si>
  <si>
    <t>20PC0057</t>
  </si>
  <si>
    <t>Infra-2020-001</t>
  </si>
  <si>
    <t>20AI0163</t>
  </si>
  <si>
    <t>20PC0058</t>
  </si>
  <si>
    <t>TALB-06-07-2020</t>
  </si>
  <si>
    <t>DA3-2020-02-24-304</t>
  </si>
  <si>
    <t>20FK0050</t>
  </si>
  <si>
    <t>goods-101-2020</t>
  </si>
  <si>
    <t>20PA0110</t>
  </si>
  <si>
    <t>20AA0342</t>
  </si>
  <si>
    <t>TALB-06-08-2020</t>
  </si>
  <si>
    <t>STO. NIÑO</t>
  </si>
  <si>
    <t>BGH - 05 - 0093</t>
  </si>
  <si>
    <t>20AI0165</t>
  </si>
  <si>
    <t>ITB 2020-068B</t>
  </si>
  <si>
    <t>20-5046</t>
  </si>
  <si>
    <t>20AI0167</t>
  </si>
  <si>
    <t>08-2020_INFR</t>
  </si>
  <si>
    <t>20AI0166</t>
  </si>
  <si>
    <t>TAL-06-28-2020</t>
  </si>
  <si>
    <t>2020-135</t>
  </si>
  <si>
    <t>20PA0109</t>
  </si>
  <si>
    <t>2020-GOODS-03</t>
  </si>
  <si>
    <t>DAPA-070-2020</t>
  </si>
  <si>
    <t>goods-103-2020</t>
  </si>
  <si>
    <t>09-2020_INFR</t>
  </si>
  <si>
    <t>20B00027 (re-ad)</t>
  </si>
  <si>
    <t>ITB-20-02183</t>
  </si>
  <si>
    <t>PB036-20</t>
  </si>
  <si>
    <t>20AI0161</t>
  </si>
  <si>
    <t>20AI0160</t>
  </si>
  <si>
    <t>20AI0159</t>
  </si>
  <si>
    <t>stfe-20-02</t>
  </si>
  <si>
    <t>2020-05-ITB-ConstrNatlChildDevtCenter-036</t>
  </si>
  <si>
    <t>ITB (CW-05-2020-016) 20DD0295</t>
  </si>
  <si>
    <t>20GOODS001</t>
  </si>
  <si>
    <t>20BC0169</t>
  </si>
  <si>
    <t>LIGA BLDG-INFRA-1PB</t>
  </si>
  <si>
    <t>ITB 2020-069B</t>
  </si>
  <si>
    <t>20ID0024 Readvertised</t>
  </si>
  <si>
    <t>20AI0089 - Re-Adv</t>
  </si>
  <si>
    <t>20AI0164</t>
  </si>
  <si>
    <t>20ID0019 - Readvertised</t>
  </si>
  <si>
    <t>LGU - Quirino GOODS 2020 - 002</t>
  </si>
  <si>
    <t>20AI0157</t>
  </si>
  <si>
    <t>20BC0160</t>
  </si>
  <si>
    <t>ITB (CW-05-2020-016) 20DD0299</t>
  </si>
  <si>
    <t>ITB (CW-05-2020-016) 20DD0297</t>
  </si>
  <si>
    <t>LGU - Quirino GOODS 2020 - 001</t>
  </si>
  <si>
    <t>20AI0158</t>
  </si>
  <si>
    <t>20BC0172</t>
  </si>
  <si>
    <t>20BC0170 re-adv.</t>
  </si>
  <si>
    <t>DILG-CMGP 2020</t>
  </si>
  <si>
    <t>QM PABAC 002-20</t>
  </si>
  <si>
    <t>ITB (CW-05-2020-016) 20DD0296</t>
  </si>
  <si>
    <t>ITB (CW-05-2020-016) 20DD0300</t>
  </si>
  <si>
    <t>DAR-PANG-005-2020</t>
  </si>
  <si>
    <t>ITB (CW-05-2020-016) 20DD0303</t>
  </si>
  <si>
    <t>ITB (CW-05-2020-016) 20DD0302</t>
  </si>
  <si>
    <t>20ID0039 Readvertised</t>
  </si>
  <si>
    <t>2020-05-030</t>
  </si>
  <si>
    <t>20-068</t>
  </si>
  <si>
    <t>ITB (CW-05-2020-016) 20DD0298</t>
  </si>
  <si>
    <t>goods-102-2020</t>
  </si>
  <si>
    <t>ITB 2020-116B</t>
  </si>
  <si>
    <t>ITB (CW-05-2020-016) 20DD0301</t>
  </si>
  <si>
    <t>20IG0064</t>
  </si>
  <si>
    <t>ITB (CW-05-2020-016) 20DD0305</t>
  </si>
  <si>
    <t>20AI0156</t>
  </si>
  <si>
    <t>ITB (CW-05-2020-016) 20DD0304</t>
  </si>
  <si>
    <t>ITB (CW-05-2020-016) 20DD0306</t>
  </si>
  <si>
    <t>20IG0065</t>
  </si>
  <si>
    <t>ITB (CW-05-2020-016) 20DD0309</t>
  </si>
  <si>
    <t>ITB (CW-05-2020-016) 20DD0307</t>
  </si>
  <si>
    <t>20-069</t>
  </si>
  <si>
    <t>SVP No. 2020-031</t>
  </si>
  <si>
    <t>IN-BAC-2020-05-054</t>
  </si>
  <si>
    <t>2020-05-28-4</t>
  </si>
  <si>
    <t>20IG0066</t>
  </si>
  <si>
    <t>QM PABAC 029-20</t>
  </si>
  <si>
    <t>20PG0050</t>
  </si>
  <si>
    <t>ECV-20EE0136</t>
  </si>
  <si>
    <t>AGGDSGSS-0529</t>
  </si>
  <si>
    <t>QM PABAC 028-20</t>
  </si>
  <si>
    <t>TALB-06-09-2020</t>
  </si>
  <si>
    <t>ITB No. 2020-127-A-provl agriculture office</t>
  </si>
  <si>
    <t>20NC00115</t>
  </si>
  <si>
    <t>2020-05-28-3</t>
  </si>
  <si>
    <t>ITB No. 2020-129-A-pgo-pdea</t>
  </si>
  <si>
    <t>NTCR9-PB-2020-04</t>
  </si>
  <si>
    <t>2020-05-90</t>
  </si>
  <si>
    <t>ITB No. 2020-130-A-pgo-pdrc</t>
  </si>
  <si>
    <t>20AJ0097</t>
  </si>
  <si>
    <t>20NC0114</t>
  </si>
  <si>
    <t>20BC0178 re-adv.</t>
  </si>
  <si>
    <t>QM PABAC 011-20</t>
  </si>
  <si>
    <t>ITB No. 2020-131-A-sp-main</t>
  </si>
  <si>
    <t>0012-GOODS-2020</t>
  </si>
  <si>
    <t>20NC0116</t>
  </si>
  <si>
    <t>QM PABAC 030-20</t>
  </si>
  <si>
    <t>2020-03-09</t>
  </si>
  <si>
    <t>ITB (CW-05-2020-016) 20DD0308</t>
  </si>
  <si>
    <t>RO4-INFR-2020-06</t>
  </si>
  <si>
    <t>20AJ0099</t>
  </si>
  <si>
    <t>20PG0052</t>
  </si>
  <si>
    <t>2020-130-I</t>
  </si>
  <si>
    <t>ITB No. 2020-132-A-pgo-coa</t>
  </si>
  <si>
    <t>ITB No. 2020-133-A-bpmc</t>
  </si>
  <si>
    <t>GF-20-02-00018B</t>
  </si>
  <si>
    <t>20HF0054</t>
  </si>
  <si>
    <t>20AJ0098</t>
  </si>
  <si>
    <t>20HF0072 (Cluster 14)</t>
  </si>
  <si>
    <t>20AJ0100</t>
  </si>
  <si>
    <t>ROSAL 0169-2020</t>
  </si>
  <si>
    <t>GF-20-02-00016B</t>
  </si>
  <si>
    <t>ITB PR No.: 0376-20BAC</t>
  </si>
  <si>
    <t>GF-20-02-00019B</t>
  </si>
  <si>
    <t>2020-05-28-5</t>
  </si>
  <si>
    <t>ITB PR No.: 0374-20BAC</t>
  </si>
  <si>
    <t>2020-devmh-062</t>
  </si>
  <si>
    <t>20GD0107</t>
  </si>
  <si>
    <t>GF-20-02-00316</t>
  </si>
  <si>
    <t>20PG0051</t>
  </si>
  <si>
    <t>20KD0063</t>
  </si>
  <si>
    <t>20HF0059</t>
  </si>
  <si>
    <t>IB NO. 019-20</t>
  </si>
  <si>
    <t>20HG0161 RE-BID</t>
  </si>
  <si>
    <t>20GGF0013</t>
  </si>
  <si>
    <t>20HF0079 (Cluster 21)</t>
  </si>
  <si>
    <t>20HG0162 RE-BID</t>
  </si>
  <si>
    <t>RVII-2020-05-002</t>
  </si>
  <si>
    <t>DPWH-SK2DEO-20GMH037</t>
  </si>
  <si>
    <t>20PG0049</t>
  </si>
  <si>
    <t>DPWH-SK2DEO-20GMH038</t>
  </si>
  <si>
    <t>20HG0154 RE-BID</t>
  </si>
  <si>
    <t>20KD0064</t>
  </si>
  <si>
    <t>ITB PR No.: 0347, 0348-20BAC</t>
  </si>
  <si>
    <t>DPWH-SK2DEO-20GMH039</t>
  </si>
  <si>
    <t>ITB No. DENR XII-01-2020</t>
  </si>
  <si>
    <t>20DE0134</t>
  </si>
  <si>
    <t>20HF0068</t>
  </si>
  <si>
    <t>20HF0070</t>
  </si>
  <si>
    <t>20-046</t>
  </si>
  <si>
    <t>DPWH-SK2DEO-20MH0080</t>
  </si>
  <si>
    <t>DPWH-SK2DEO-20MH0082</t>
  </si>
  <si>
    <t>DPWH-SK2DEO-20MH0074</t>
  </si>
  <si>
    <t>DPWH-SK2DEO-20MH0075</t>
  </si>
  <si>
    <t>PROJECT ID NO. I-2020-011</t>
  </si>
  <si>
    <t>DPWH-SK2DEO-20MH0083</t>
  </si>
  <si>
    <t>DPWH-SK2DEO-20MH0081</t>
  </si>
  <si>
    <t>PB 20-02-05</t>
  </si>
  <si>
    <t>DPWH-SK2DEO-20MH0084</t>
  </si>
  <si>
    <t>TAYSAN2020-038R</t>
  </si>
  <si>
    <t>20-356</t>
  </si>
  <si>
    <t>20NF0068</t>
  </si>
  <si>
    <t>DPWH-SK2DEO-20MH0100</t>
  </si>
  <si>
    <t>20-128</t>
  </si>
  <si>
    <t>CID No. 20GLE0074 PR 20-03-0086</t>
  </si>
  <si>
    <t>20-DO-0077</t>
  </si>
  <si>
    <t>101-020-005-063</t>
  </si>
  <si>
    <t>20PE0080</t>
  </si>
  <si>
    <t>20PE0075</t>
  </si>
  <si>
    <t>CID No. 20GLE0075 PR 20-03-0087</t>
  </si>
  <si>
    <t>20PE0081</t>
  </si>
  <si>
    <t>20PE0082</t>
  </si>
  <si>
    <t>20-02-088</t>
  </si>
  <si>
    <t>20-DO-0081</t>
  </si>
  <si>
    <t>CID No. 20GLE0078 PR 20-03-0107</t>
  </si>
  <si>
    <t>CID No. 20GLE0079 PR 20-03-0108</t>
  </si>
  <si>
    <t>20-DO-0079</t>
  </si>
  <si>
    <t>CID No. 20GLE0080 PR 20-04-0111</t>
  </si>
  <si>
    <t>20PE0083</t>
  </si>
  <si>
    <t>20-DO-0080</t>
  </si>
  <si>
    <t>TAYSAN2020-046R</t>
  </si>
  <si>
    <t>20AH0197</t>
  </si>
  <si>
    <t>CID No. 20GLE0076 PR 20-03-0091</t>
  </si>
  <si>
    <t>20DE0136</t>
  </si>
  <si>
    <t>CID No. 20GLE0083 PR 20-03-0106</t>
  </si>
  <si>
    <t>20DE0135</t>
  </si>
  <si>
    <t>20AH0198</t>
  </si>
  <si>
    <t>20PE0079</t>
  </si>
  <si>
    <t>CID No. 20GLE0082 PR 20-04-0113</t>
  </si>
  <si>
    <t>20DE0137</t>
  </si>
  <si>
    <t>PROJECT ID NO. I-2020-010</t>
  </si>
  <si>
    <t>20DE0140</t>
  </si>
  <si>
    <t>19-OG-0168</t>
  </si>
  <si>
    <t>CID No. 20GLE0077 PR 20-03-0092</t>
  </si>
  <si>
    <t>20030200</t>
  </si>
  <si>
    <t>20-DO-0078</t>
  </si>
  <si>
    <t>20-DO-0082</t>
  </si>
  <si>
    <t>2020-05-17</t>
  </si>
  <si>
    <t>20DE0139</t>
  </si>
  <si>
    <t>CW41-2020</t>
  </si>
  <si>
    <t>20AH0200</t>
  </si>
  <si>
    <t>CID No. 20GLE0081 PR 20-04-0112</t>
  </si>
  <si>
    <t>20AH0199</t>
  </si>
  <si>
    <t>20DE0138</t>
  </si>
  <si>
    <t>20AH0205</t>
  </si>
  <si>
    <t>20AH0203</t>
  </si>
  <si>
    <t>PROJECT ID NO. I-2020-009</t>
  </si>
  <si>
    <t>BTG3-2020-0176</t>
  </si>
  <si>
    <t>BTG3-20GDC0004</t>
  </si>
  <si>
    <t>20KC0120</t>
  </si>
  <si>
    <t>20KC0119</t>
  </si>
  <si>
    <t>BTG3-2020-0179</t>
  </si>
  <si>
    <t>20-OG-0093</t>
  </si>
  <si>
    <t>BTG3-2020-0180</t>
  </si>
  <si>
    <t>BTG3-2020-0178</t>
  </si>
  <si>
    <t>BTG3-2020-0177</t>
  </si>
  <si>
    <t>20AH0202</t>
  </si>
  <si>
    <t>20-OG-0092</t>
  </si>
  <si>
    <t>20AH0204</t>
  </si>
  <si>
    <t>20-OG-0094</t>
  </si>
  <si>
    <t>PB2020-06-055G</t>
  </si>
  <si>
    <t>PB2020-06-039I</t>
  </si>
  <si>
    <t>20DE0141</t>
  </si>
  <si>
    <t>CW42-2020</t>
  </si>
  <si>
    <t>BTG3-2020-0181</t>
  </si>
  <si>
    <t>PB2020-06-035I</t>
  </si>
  <si>
    <t>BTG3-2020-0175</t>
  </si>
  <si>
    <t>PB-01-020</t>
  </si>
  <si>
    <t>PB2020-06-036I</t>
  </si>
  <si>
    <t>ITB GOODS 2020-05-28</t>
  </si>
  <si>
    <t>ITB GOODS 2020-05-29</t>
  </si>
  <si>
    <t>PB2020-06-037I</t>
  </si>
  <si>
    <t>20GKF0028</t>
  </si>
  <si>
    <t>PB2020-06-038I</t>
  </si>
  <si>
    <t>BTG3-2020-0182</t>
  </si>
  <si>
    <t>BTG3-2020-0183</t>
  </si>
  <si>
    <t>PB 2020-041</t>
  </si>
  <si>
    <t>20AD0109</t>
  </si>
  <si>
    <t>B-8661-20-08</t>
  </si>
  <si>
    <t>INFRA2020-05-021.6</t>
  </si>
  <si>
    <t>INFRA2020-05-021.8</t>
  </si>
  <si>
    <t>BTG3-2020-0185</t>
  </si>
  <si>
    <t>RFQ NO. SVP-004-2020</t>
  </si>
  <si>
    <t>INFRA2020-05-021.4</t>
  </si>
  <si>
    <t>2020-05-021.5</t>
  </si>
  <si>
    <t>PROJECT ID NO. G-2020-002</t>
  </si>
  <si>
    <t>INFRA2020-05-021.7</t>
  </si>
  <si>
    <t>2020-05-021.1</t>
  </si>
  <si>
    <t>2020-05-021.2</t>
  </si>
  <si>
    <t>2020-02-1450</t>
  </si>
  <si>
    <t>INFRA2020-05-021.3</t>
  </si>
  <si>
    <t>2020-04-2177</t>
  </si>
  <si>
    <t>1002005-291-001</t>
  </si>
  <si>
    <t>2020-03-1589</t>
  </si>
  <si>
    <t>INFRA2020-05-021.9</t>
  </si>
  <si>
    <t>1002005-332-007</t>
  </si>
  <si>
    <t>PGL 20-073</t>
  </si>
  <si>
    <t>20AD0108</t>
  </si>
  <si>
    <t>2020-05-2379</t>
  </si>
  <si>
    <t>1002005-317-005</t>
  </si>
  <si>
    <t>PB2020-06-056G</t>
  </si>
  <si>
    <t>2020-05-15</t>
  </si>
  <si>
    <t>2020-05-2384</t>
  </si>
  <si>
    <t>2020-04-2139</t>
  </si>
  <si>
    <t>BTG3-2020-0184</t>
  </si>
  <si>
    <t>2020-05-2337</t>
  </si>
  <si>
    <t>2020-03-2024</t>
  </si>
  <si>
    <t>PGL 20-071</t>
  </si>
  <si>
    <t>590-20</t>
  </si>
  <si>
    <t>2020-03-1588</t>
  </si>
  <si>
    <t>1002005-325-006</t>
  </si>
  <si>
    <t>2020-04-2131</t>
  </si>
  <si>
    <t>2020-04-2281</t>
  </si>
  <si>
    <t>INFRA2020-05-021.11</t>
  </si>
  <si>
    <t>PGL 20-070</t>
  </si>
  <si>
    <t>ADS-0724-20</t>
  </si>
  <si>
    <t>RR-2019-L1(2)</t>
  </si>
  <si>
    <t>2020-04-2235</t>
  </si>
  <si>
    <t>101-20-04-046</t>
  </si>
  <si>
    <t>101-1909-007</t>
  </si>
  <si>
    <t>ADS-0723-20</t>
  </si>
  <si>
    <t>20-24 INFRA</t>
  </si>
  <si>
    <t>835-20</t>
  </si>
  <si>
    <t>20-23 INFRA</t>
  </si>
  <si>
    <t>2020-02-1451</t>
  </si>
  <si>
    <t>G-20-05-004</t>
  </si>
  <si>
    <t>1002005-301-003</t>
  </si>
  <si>
    <t>20MC0102</t>
  </si>
  <si>
    <t>20-22 INFRA</t>
  </si>
  <si>
    <t>rpl-20EE0135</t>
  </si>
  <si>
    <t>BAC-ITR-2020-05-001</t>
  </si>
  <si>
    <t>ADS-0963-20</t>
  </si>
  <si>
    <t>HS-5020308000-068-2020</t>
  </si>
  <si>
    <t>RR-2020-L2</t>
  </si>
  <si>
    <t>1002005-295-002</t>
  </si>
  <si>
    <t>HS-765-003-2020</t>
  </si>
  <si>
    <t>20-05-026</t>
  </si>
  <si>
    <t>4-aballa-2020</t>
  </si>
  <si>
    <t>311-2020 Bidding</t>
  </si>
  <si>
    <t>2-aballa-2020</t>
  </si>
  <si>
    <t>5-aballa-2020</t>
  </si>
  <si>
    <t>1001909-485-020</t>
  </si>
  <si>
    <t>6-aballa-2020</t>
  </si>
  <si>
    <t>1-aballa-2020</t>
  </si>
  <si>
    <t>3-aballa-2020</t>
  </si>
  <si>
    <t>RR-2019-L7</t>
  </si>
  <si>
    <t>ADS-1158-20</t>
  </si>
  <si>
    <t>1001909-484-019</t>
  </si>
  <si>
    <t>2003-01C01</t>
  </si>
  <si>
    <t>QRF-2020-L15</t>
  </si>
  <si>
    <t>INFRA2020-05-021.10</t>
  </si>
  <si>
    <t>ADS-0732-20</t>
  </si>
  <si>
    <t>1002005-311-004</t>
  </si>
  <si>
    <t>20CSPJ01</t>
  </si>
  <si>
    <t>ADS-0731-20</t>
  </si>
  <si>
    <t>19K00472</t>
  </si>
  <si>
    <t>MG-A7M20-069</t>
  </si>
  <si>
    <t>20K00311</t>
  </si>
  <si>
    <t>INFRA-PNBAC2-2020-05</t>
  </si>
  <si>
    <t>MG-A7C20-021</t>
  </si>
  <si>
    <t>19K00471</t>
  </si>
  <si>
    <t>'020</t>
  </si>
  <si>
    <t>2020-02-0102</t>
  </si>
  <si>
    <t>AMMO-PNBAC2-2020-05</t>
  </si>
  <si>
    <t>20F00089</t>
  </si>
  <si>
    <t>ITB 2020-05-027(GOODS)</t>
  </si>
  <si>
    <t>2020-1706-012</t>
  </si>
  <si>
    <t>2020-05-048-D</t>
  </si>
  <si>
    <t>RR-2019-L3</t>
  </si>
  <si>
    <t>100-03-20-00885</t>
  </si>
  <si>
    <t>ADS-0733-20</t>
  </si>
  <si>
    <t>RFQ 0687 Cefotaxime Inj.: 500mg vial + 2ml diluent</t>
  </si>
  <si>
    <t>20GKJ0003</t>
  </si>
  <si>
    <t>21-2020A</t>
  </si>
  <si>
    <t>24-2020A</t>
  </si>
  <si>
    <t>20K00084</t>
  </si>
  <si>
    <t>22-2020A</t>
  </si>
  <si>
    <t>20CD0162</t>
  </si>
  <si>
    <t>20K00309</t>
  </si>
  <si>
    <t>20CD0161</t>
  </si>
  <si>
    <t>ADS-0901-20</t>
  </si>
  <si>
    <t>20-2020A</t>
  </si>
  <si>
    <t>OSMEÑAGOODS2020-01</t>
  </si>
  <si>
    <t>23-2020A</t>
  </si>
  <si>
    <t>20-05-027</t>
  </si>
  <si>
    <t>065(A) - 2020</t>
  </si>
  <si>
    <t>ADS-1157-20</t>
  </si>
  <si>
    <t>20DQ0101</t>
  </si>
  <si>
    <t>20PJ0050</t>
  </si>
  <si>
    <t>ADS-0657-20</t>
  </si>
  <si>
    <t>'019</t>
  </si>
  <si>
    <t>2020-05-40</t>
  </si>
  <si>
    <t>25-2020A</t>
  </si>
  <si>
    <t>0859</t>
  </si>
  <si>
    <t>PROJECT ID NO. I-2020-008</t>
  </si>
  <si>
    <t>20CD0166</t>
  </si>
  <si>
    <t>LGU-Diadi BAC 2020</t>
  </si>
  <si>
    <t>20CD0163</t>
  </si>
  <si>
    <t>ADS-0737-20</t>
  </si>
  <si>
    <t>20DQ0104</t>
  </si>
  <si>
    <t>EMAN 2020-005-002</t>
  </si>
  <si>
    <t>CONTRACT ID NO. 20GGN0089</t>
  </si>
  <si>
    <t>20PJ0052</t>
  </si>
  <si>
    <t>20DQ0105</t>
  </si>
  <si>
    <t>20GSK00005 - Re-ITB</t>
  </si>
  <si>
    <t>20DQ0103</t>
  </si>
  <si>
    <t>2020-01-0797</t>
  </si>
  <si>
    <t>26-2020A</t>
  </si>
  <si>
    <t>20PJ0051</t>
  </si>
  <si>
    <t>NS-05-28-20-01</t>
  </si>
  <si>
    <t>20CD0165</t>
  </si>
  <si>
    <t>'021</t>
  </si>
  <si>
    <t>20DQ0102</t>
  </si>
  <si>
    <t>mgc2020-infra024</t>
  </si>
  <si>
    <t>CY 2020 QRF</t>
  </si>
  <si>
    <t>20CD0164</t>
  </si>
  <si>
    <t>ppn-081-2020</t>
  </si>
  <si>
    <t>2020-05-42</t>
  </si>
  <si>
    <t>NS-05-28-20-02</t>
  </si>
  <si>
    <t>20GSK00007</t>
  </si>
  <si>
    <t>20GSK00008</t>
  </si>
  <si>
    <t>2016-01M03-02</t>
  </si>
  <si>
    <t>ITB-2020-ALI-003 RE-BID</t>
  </si>
  <si>
    <t>05-049P/050P</t>
  </si>
  <si>
    <t>2020-05-43</t>
  </si>
  <si>
    <t>IL-2020-B-24</t>
  </si>
  <si>
    <t>ITB 2020-143</t>
  </si>
  <si>
    <t>2016-01M09</t>
  </si>
  <si>
    <t>20FO0078</t>
  </si>
  <si>
    <t>20JE0086</t>
  </si>
  <si>
    <t>ITB-2020-ALI-004 RE-BID</t>
  </si>
  <si>
    <t>20JE0087</t>
  </si>
  <si>
    <t>2020-000-028</t>
  </si>
  <si>
    <t>20GJCS0003</t>
  </si>
  <si>
    <t>2008-01M02-01</t>
  </si>
  <si>
    <t>312-2020 Bidding</t>
  </si>
  <si>
    <t>20A00206</t>
  </si>
  <si>
    <t>2020-007-Rebid1</t>
  </si>
  <si>
    <t>310-2020 Bidding</t>
  </si>
  <si>
    <t>TUNO-2020-G01</t>
  </si>
  <si>
    <t>2021-01M04-02</t>
  </si>
  <si>
    <t>2020-05-44</t>
  </si>
  <si>
    <t>ITB2020-05-01 SUBA</t>
  </si>
  <si>
    <t>2020-05-028</t>
  </si>
  <si>
    <t>HILONGOS 2020-176</t>
  </si>
  <si>
    <t>313-2020 Bidding</t>
  </si>
  <si>
    <t>20FE0121</t>
  </si>
  <si>
    <t>2020-05-029</t>
  </si>
  <si>
    <t>20GSK00009</t>
  </si>
  <si>
    <t>geps 07-2020</t>
  </si>
  <si>
    <t>2040-S1M03</t>
  </si>
  <si>
    <t>20A00207</t>
  </si>
  <si>
    <t>POW - 8751 - 2020 - ALN - 02</t>
  </si>
  <si>
    <t>314-2020 Bidding</t>
  </si>
  <si>
    <t>2016-01M04</t>
  </si>
  <si>
    <t>401-20-05-281</t>
  </si>
  <si>
    <t>Bidding No. 02C-06-16-2020</t>
  </si>
  <si>
    <t>INFRA2020-17</t>
  </si>
  <si>
    <t>B-73-2020</t>
  </si>
  <si>
    <t>ITB No. 2020-005-A</t>
  </si>
  <si>
    <t>Bidding No. 02B-06-16-2020</t>
  </si>
  <si>
    <t>May-it SIP-WS-01-2020</t>
  </si>
  <si>
    <t>Bidding No. 02A-06-16-2020</t>
  </si>
  <si>
    <t>88</t>
  </si>
  <si>
    <t>Mkna-GSO-20-255</t>
  </si>
  <si>
    <t>PB 05-09-2020</t>
  </si>
  <si>
    <t>300-2020-003-017</t>
  </si>
  <si>
    <t>2020-05-049-D</t>
  </si>
  <si>
    <t>INFRA-2020-P1</t>
  </si>
  <si>
    <t>20DB0133</t>
  </si>
  <si>
    <t>BQ-Goods-2020-007</t>
  </si>
  <si>
    <t>INFRA-2020-P2</t>
  </si>
  <si>
    <t>Sarrat-2020-015</t>
  </si>
  <si>
    <t>May-it SIP-WS-02-2020</t>
  </si>
  <si>
    <t>MKWD2020-039</t>
  </si>
  <si>
    <t>BQ-Goods-2020-009</t>
  </si>
  <si>
    <t>BQ-Goods-2020-008</t>
  </si>
  <si>
    <t>20GPG0001</t>
  </si>
  <si>
    <t>PB2020-043</t>
  </si>
  <si>
    <t>Bidding No. 02D-06-16-2020</t>
  </si>
  <si>
    <t>2060-01m11</t>
  </si>
  <si>
    <t>PB2020-045</t>
  </si>
  <si>
    <t>PB2020-044</t>
  </si>
  <si>
    <t>20BD0100</t>
  </si>
  <si>
    <t>1960-S1-03</t>
  </si>
  <si>
    <t>LGU GUA 20-20</t>
  </si>
  <si>
    <t>PB2020-046</t>
  </si>
  <si>
    <t>ITB No. 2020-001-AFS</t>
  </si>
  <si>
    <t>PB2020-047</t>
  </si>
  <si>
    <t>315-2020 Bidding</t>
  </si>
  <si>
    <t>20BD0099</t>
  </si>
  <si>
    <t>2060-01m40</t>
  </si>
  <si>
    <t>LGU GUA 21-20</t>
  </si>
  <si>
    <t>ITB 20-067</t>
  </si>
  <si>
    <t>20BD0101</t>
  </si>
  <si>
    <t xml:space="preserve">04-166P-B-N/ 171P-B-N/ 010P-B-R/ 0334P-B/ 035P-B/ </t>
  </si>
  <si>
    <t>20BD0103</t>
  </si>
  <si>
    <t>2060-01M32</t>
  </si>
  <si>
    <t>Bidding No. 02E-06-16-2020</t>
  </si>
  <si>
    <t>19-R-01</t>
  </si>
  <si>
    <t>20BD0104</t>
  </si>
  <si>
    <t>20bd0102</t>
  </si>
  <si>
    <t>PB2020-048</t>
  </si>
  <si>
    <t>316-2020 Bidding</t>
  </si>
  <si>
    <t>PB-CW-2020-012</t>
  </si>
  <si>
    <t>Bidding No. 02F-06-16-2020</t>
  </si>
  <si>
    <t>20BD0106</t>
  </si>
  <si>
    <t>2060-01m39</t>
  </si>
  <si>
    <t>ICTD-2020-0022</t>
  </si>
  <si>
    <t>2020 - 05 - 1</t>
  </si>
  <si>
    <t>20BD0107</t>
  </si>
  <si>
    <t>2060-01C13</t>
  </si>
  <si>
    <t>PB-CW-2020-015</t>
  </si>
  <si>
    <t>PB-CW-2020-013</t>
  </si>
  <si>
    <t>ITB No. 2020-08</t>
  </si>
  <si>
    <t>PB-CW-2020-014</t>
  </si>
  <si>
    <t>317-2020 Bidding</t>
  </si>
  <si>
    <t>ITB 20-0056</t>
  </si>
  <si>
    <t>20BD0105</t>
  </si>
  <si>
    <t>2020-560</t>
  </si>
  <si>
    <t>Bidding No. 02G-06-16-2020</t>
  </si>
  <si>
    <t>Bidding No. 02I-06-16-2020</t>
  </si>
  <si>
    <t>20JB0074</t>
  </si>
  <si>
    <t>5-10-20</t>
  </si>
  <si>
    <t>PEO-2020-0157 PR2020-0374</t>
  </si>
  <si>
    <t>20JB0073</t>
  </si>
  <si>
    <t>BTG3-20GDC0003</t>
  </si>
  <si>
    <t>20AA0348</t>
  </si>
  <si>
    <t>20CSFM0001</t>
  </si>
  <si>
    <t>GO-20-05-032</t>
  </si>
  <si>
    <t>20JB0075</t>
  </si>
  <si>
    <t>2020-06-015-INFRA</t>
  </si>
  <si>
    <t>PEO-2020-0159 PR2020-0376</t>
  </si>
  <si>
    <t>PEO-2020-0158 PR2020-0375</t>
  </si>
  <si>
    <t>ITB 20-0057</t>
  </si>
  <si>
    <t>02-035P-A</t>
  </si>
  <si>
    <t>2020-06-016-INFRA</t>
  </si>
  <si>
    <t>2020-06-014-INFRA</t>
  </si>
  <si>
    <t>20AF0074</t>
  </si>
  <si>
    <t>DENR XIISAR-03-2020</t>
  </si>
  <si>
    <t>20FO0079</t>
  </si>
  <si>
    <t>INFRA 08-2020</t>
  </si>
  <si>
    <t>PB-INF-2020-031</t>
  </si>
  <si>
    <t>20FO0081</t>
  </si>
  <si>
    <t>100(18)20-05-313(O)</t>
  </si>
  <si>
    <t>RO4-GOODS-2020-17</t>
  </si>
  <si>
    <t>ITB No. 2020-004-A</t>
  </si>
  <si>
    <t>ITB 20-0059</t>
  </si>
  <si>
    <t>2020-05-062bid</t>
  </si>
  <si>
    <t>20FA0056</t>
  </si>
  <si>
    <t>ITB-2020-016</t>
  </si>
  <si>
    <t>LMC NO. DDO 2020-003</t>
  </si>
  <si>
    <t>Bidding No. 02H-06-16-2020</t>
  </si>
  <si>
    <t>20FO0080</t>
  </si>
  <si>
    <t>SIG PABAC 003-20</t>
  </si>
  <si>
    <t>BAC-BLGU-DEL MONTE-2020-01</t>
  </si>
  <si>
    <t>PB-INF-2020-030</t>
  </si>
  <si>
    <t>LGU-2020-036</t>
  </si>
  <si>
    <t>20C00036</t>
  </si>
  <si>
    <t>2020-04-11</t>
  </si>
  <si>
    <t>PR0084-20 PEO</t>
  </si>
  <si>
    <t>20FA0057</t>
  </si>
  <si>
    <t>2020-563</t>
  </si>
  <si>
    <t>PR0086-20 PEO</t>
  </si>
  <si>
    <t>20GJI0030</t>
  </si>
  <si>
    <t>PR0077-20 PEO</t>
  </si>
  <si>
    <t>20AA0347</t>
  </si>
  <si>
    <t>PR0081-20 PEO</t>
  </si>
  <si>
    <t>INFRA 20-08-28 PACKAGE 20-28</t>
  </si>
  <si>
    <t>2020-0156-PR2020-0373</t>
  </si>
  <si>
    <t>20AF0077</t>
  </si>
  <si>
    <t>STF-PB-24</t>
  </si>
  <si>
    <t>20GGJ0049</t>
  </si>
  <si>
    <t>INFRA 20-08-31 PACKAGE 20-31</t>
  </si>
  <si>
    <t>BAC-BLGU-DEL MONTE-2020-02</t>
  </si>
  <si>
    <t>itb 2020-28</t>
  </si>
  <si>
    <t>INFRA 20-08-30 PACKAGE 20-30</t>
  </si>
  <si>
    <t>STF/GF/RGMO-PB-23</t>
  </si>
  <si>
    <t>GS-PNBAC2-2020-27</t>
  </si>
  <si>
    <t>itb 2020-27</t>
  </si>
  <si>
    <t>STF/GF/RGMO-PB-22</t>
  </si>
  <si>
    <t>INFRA 20-08-27 PACKAGE 20-27</t>
  </si>
  <si>
    <t>52020831</t>
  </si>
  <si>
    <t>2020 - 018</t>
  </si>
  <si>
    <t>PR0090-20 PEO</t>
  </si>
  <si>
    <t>20-05-27</t>
  </si>
  <si>
    <t>RO4-INFR-2020-05</t>
  </si>
  <si>
    <t>ITB-2020-14</t>
  </si>
  <si>
    <t>20GGJ0048</t>
  </si>
  <si>
    <t>PR0088-20 PEO</t>
  </si>
  <si>
    <t>20GGJ0047</t>
  </si>
  <si>
    <t>STF-PB-25</t>
  </si>
  <si>
    <t>INFRA 20-08-29 PACKAGE 20-29</t>
  </si>
  <si>
    <t>PB 2020-13</t>
  </si>
  <si>
    <t>INFRA JUNE 2020-005</t>
  </si>
  <si>
    <t>PB-INF-2020-032</t>
  </si>
  <si>
    <t>20AF0075</t>
  </si>
  <si>
    <t>LGU-Banayoyo, ISur 2020-05-035</t>
  </si>
  <si>
    <t>20AF0076</t>
  </si>
  <si>
    <t>2020-44</t>
  </si>
  <si>
    <t>PB 05-10-2020</t>
  </si>
  <si>
    <t>IB NO. 020-20</t>
  </si>
  <si>
    <t>20LD0119</t>
  </si>
  <si>
    <t>20LD0120</t>
  </si>
  <si>
    <t>NMF INFRA 2020-22</t>
  </si>
  <si>
    <t>20FA0059</t>
  </si>
  <si>
    <t>NMF INFRA 2020-23</t>
  </si>
  <si>
    <t>20FA0058</t>
  </si>
  <si>
    <t>STF-PB-27</t>
  </si>
  <si>
    <t>20LD0118</t>
  </si>
  <si>
    <t>ITB 20-0058</t>
  </si>
  <si>
    <t>STF-PB-26</t>
  </si>
  <si>
    <t>20PD0126</t>
  </si>
  <si>
    <t>LGU-Banayoyo,ISur-2020-05-034</t>
  </si>
  <si>
    <t>ITB-2020-015</t>
  </si>
  <si>
    <t>GS 2020-05-016</t>
  </si>
  <si>
    <t>101-020-005-059</t>
  </si>
  <si>
    <t>20LD0123</t>
  </si>
  <si>
    <t>LGU-Banayoyo, ISur 2020-05-036</t>
  </si>
  <si>
    <t>20LD0122</t>
  </si>
  <si>
    <t>GUINDALITAN-01-2020</t>
  </si>
  <si>
    <t>2020-05-042</t>
  </si>
  <si>
    <t>101-020-005-060</t>
  </si>
  <si>
    <t>20LD0121</t>
  </si>
  <si>
    <t>20P00006</t>
  </si>
  <si>
    <t>20P00017</t>
  </si>
  <si>
    <t>7-aballa-2020</t>
  </si>
  <si>
    <t>20-OG-0090</t>
  </si>
  <si>
    <t>IB No. T-2020-005</t>
  </si>
  <si>
    <t>20LD0124</t>
  </si>
  <si>
    <t>20-OG-0089</t>
  </si>
  <si>
    <t>20LD0125</t>
  </si>
  <si>
    <t>MEO-169-20</t>
  </si>
  <si>
    <t>8-aballa-2020</t>
  </si>
  <si>
    <t>20-OG-0091</t>
  </si>
  <si>
    <t>NOSO-LMC-SIP-20-2020</t>
  </si>
  <si>
    <t>ITB 20CL0083</t>
  </si>
  <si>
    <t>MALOBAGO-01-2020</t>
  </si>
  <si>
    <t>2020-43</t>
  </si>
  <si>
    <t>ITB No. 20-05-10</t>
  </si>
  <si>
    <t>BJMPROXIII-2020-07</t>
  </si>
  <si>
    <t>20F00068</t>
  </si>
  <si>
    <t>ITB 20CL0088</t>
  </si>
  <si>
    <t>ITB 20CL0087</t>
  </si>
  <si>
    <t>ITB 20CL0086</t>
  </si>
  <si>
    <t>BAC-LGU-TADS-2020-13</t>
  </si>
  <si>
    <t>20P00009</t>
  </si>
  <si>
    <t>20P00005</t>
  </si>
  <si>
    <t>PB-2020-01</t>
  </si>
  <si>
    <t>ITB 20CL0084</t>
  </si>
  <si>
    <t>INFRA 2020-11</t>
  </si>
  <si>
    <t>ITB 20CL0085</t>
  </si>
  <si>
    <t>20GK0221</t>
  </si>
  <si>
    <t>20FA0054</t>
  </si>
  <si>
    <t>20GP0071</t>
  </si>
  <si>
    <t>RFQ2020-008</t>
  </si>
  <si>
    <t>20F00114</t>
  </si>
  <si>
    <t>NFA-RBACXII-2020-E-038</t>
  </si>
  <si>
    <t>20F00076</t>
  </si>
  <si>
    <t>20FA0053</t>
  </si>
  <si>
    <t>NIAR6-EGPIP-PUMP-CAPIZ-GS02-20</t>
  </si>
  <si>
    <t>CB(B)-20-016(ICWS)</t>
  </si>
  <si>
    <t>2020-03-1612</t>
  </si>
  <si>
    <t>BQ-Infra-2020-012</t>
  </si>
  <si>
    <t>2020-05-2323</t>
  </si>
  <si>
    <t>INFRA 2020-09a</t>
  </si>
  <si>
    <t>kal-2020-05-41</t>
  </si>
  <si>
    <t>BQ-Infra-2020-013</t>
  </si>
  <si>
    <t>2020-04-2284</t>
  </si>
  <si>
    <t>2020-01-1392</t>
  </si>
  <si>
    <t>INFRA-2020-004</t>
  </si>
  <si>
    <t>2020-02-1518</t>
  </si>
  <si>
    <t>2020-02-0281, 2020-02-0285</t>
  </si>
  <si>
    <t>20-076</t>
  </si>
  <si>
    <t>2020-05-2340</t>
  </si>
  <si>
    <t>20HJ0115</t>
  </si>
  <si>
    <t>B-70-2020</t>
  </si>
  <si>
    <t>2020-05-2342</t>
  </si>
  <si>
    <t>ITB-20-03023</t>
  </si>
  <si>
    <t>2020-02-0292, 2020-02-0291</t>
  </si>
  <si>
    <t>20II0060</t>
  </si>
  <si>
    <t>BQ-Infra-2020-014</t>
  </si>
  <si>
    <t>2020-01-1387</t>
  </si>
  <si>
    <t>Public Bidding No. 2020-09</t>
  </si>
  <si>
    <t>2020-03-1635</t>
  </si>
  <si>
    <t>2020-01-1393</t>
  </si>
  <si>
    <t>2020-01-1386</t>
  </si>
  <si>
    <t>2020-085</t>
  </si>
  <si>
    <t>FLGU-CW-2020-04</t>
  </si>
  <si>
    <t>2020-02-0120, 2020-02-0312, 2020-02-0203, 2020-02-</t>
  </si>
  <si>
    <t>cgb2020-120</t>
  </si>
  <si>
    <t>05-26-20</t>
  </si>
  <si>
    <t>2020-02-0395, 2020-02-0382, 2020-02-0222, 2020-02-</t>
  </si>
  <si>
    <t>2020-04-2234</t>
  </si>
  <si>
    <t>FLGU-CW-2020-05</t>
  </si>
  <si>
    <t>IB No. GS-2020 – 059</t>
  </si>
  <si>
    <t>B-71-2020</t>
  </si>
  <si>
    <t>IB No. GS-2020 – 058</t>
  </si>
  <si>
    <t>2020-02-0232</t>
  </si>
  <si>
    <t>IB No. GS-2020 – 060</t>
  </si>
  <si>
    <t>ITB-20-03126</t>
  </si>
  <si>
    <t>cgb2020-119</t>
  </si>
  <si>
    <t>Goods-2019-012</t>
  </si>
  <si>
    <t>20200526</t>
  </si>
  <si>
    <t>05-126-2020</t>
  </si>
  <si>
    <t>20-015</t>
  </si>
  <si>
    <t>2020-02-0229, 2020-02-0273, 2020-02-0314, 2020-02-</t>
  </si>
  <si>
    <t>BAC-LEG TRES-001-2020</t>
  </si>
  <si>
    <t>202-5-20</t>
  </si>
  <si>
    <t>cgb2020-121</t>
  </si>
  <si>
    <t>211363</t>
  </si>
  <si>
    <t>211364</t>
  </si>
  <si>
    <t>ITB-20-05055</t>
  </si>
  <si>
    <t>M-15-20</t>
  </si>
  <si>
    <t>2020-02-0284, 2020-02-0321, 2020-02-0301, 2020-02-</t>
  </si>
  <si>
    <t>211360</t>
  </si>
  <si>
    <t>211362</t>
  </si>
  <si>
    <t>batgoods 2020-05-018</t>
  </si>
  <si>
    <t>211361</t>
  </si>
  <si>
    <t>20AB0120</t>
  </si>
  <si>
    <t>211359</t>
  </si>
  <si>
    <t>LGU-BALINGASAG-9005-20-053</t>
  </si>
  <si>
    <t>211358</t>
  </si>
  <si>
    <t>211365</t>
  </si>
  <si>
    <t>211370</t>
  </si>
  <si>
    <t>TAG-SDS-039-2020</t>
  </si>
  <si>
    <t>211368</t>
  </si>
  <si>
    <t>GOODS-20-26</t>
  </si>
  <si>
    <t>211369</t>
  </si>
  <si>
    <t>211367</t>
  </si>
  <si>
    <t>PR0002-20 PEO (16 PRs) REBID</t>
  </si>
  <si>
    <t>20NC0111</t>
  </si>
  <si>
    <t>ITB No. 20-059</t>
  </si>
  <si>
    <t>211371</t>
  </si>
  <si>
    <t>MG-A5M20-019..INST. OF TUNNEL WALL STRENGTHENING</t>
  </si>
  <si>
    <t>ITB No. 20-060</t>
  </si>
  <si>
    <t>32-2020</t>
  </si>
  <si>
    <t>LGU-BALINGASAG-9005-20-054</t>
  </si>
  <si>
    <t>ITB No. 20-058</t>
  </si>
  <si>
    <t>211366</t>
  </si>
  <si>
    <t>ITB No. 20-063</t>
  </si>
  <si>
    <t>USTP-GSPB-05-5021305099-2020</t>
  </si>
  <si>
    <t>05262020</t>
  </si>
  <si>
    <t>ITB No. 20-066</t>
  </si>
  <si>
    <t>ITB-20-05016</t>
  </si>
  <si>
    <t>ITB No. 20-064</t>
  </si>
  <si>
    <t>19GF00026</t>
  </si>
  <si>
    <t>ITB No. 20-065</t>
  </si>
  <si>
    <t>20NC0112</t>
  </si>
  <si>
    <t>MG-ADM20-001..INST. OF LIGHTNING PROTECTION OF MIN</t>
  </si>
  <si>
    <t>ITB No. 20-062</t>
  </si>
  <si>
    <t>2020-05-03</t>
  </si>
  <si>
    <t>35-201348-2020</t>
  </si>
  <si>
    <t>LGU-BALINGASAG-9005-20-055</t>
  </si>
  <si>
    <t>2020-0242</t>
  </si>
  <si>
    <t>20P00029</t>
  </si>
  <si>
    <t>ITB No. 20-061</t>
  </si>
  <si>
    <t>37-200250-2020</t>
  </si>
  <si>
    <t>211377</t>
  </si>
  <si>
    <t>kal-2020-05-42</t>
  </si>
  <si>
    <t>36-201252-2020</t>
  </si>
  <si>
    <t>211374</t>
  </si>
  <si>
    <t>211376</t>
  </si>
  <si>
    <t>211375</t>
  </si>
  <si>
    <t>211372</t>
  </si>
  <si>
    <t>211373</t>
  </si>
  <si>
    <t>DA8-Goods-2020-34 Rebidding (PR No. RICE 20-02-19-</t>
  </si>
  <si>
    <t>ADS II GOODS-020-02</t>
  </si>
  <si>
    <t>044-02-2020</t>
  </si>
  <si>
    <t>GO-09</t>
  </si>
  <si>
    <t>PB-2020-05-37</t>
  </si>
  <si>
    <t>IB 2020-12</t>
  </si>
  <si>
    <t>IB No. GS-2020 – 068</t>
  </si>
  <si>
    <t>20P00025</t>
  </si>
  <si>
    <t>PEO-2020-0154 PR2020-0365</t>
  </si>
  <si>
    <t>Supply and Delivery of Brass Replacement Piece</t>
  </si>
  <si>
    <t>FLGU-CW-2020-06</t>
  </si>
  <si>
    <t>DA8-Infra-2020-13 Rebidding (PR No. RICE 20-02-19-</t>
  </si>
  <si>
    <t>2020-05-061</t>
  </si>
  <si>
    <t>GO-10</t>
  </si>
  <si>
    <t>20FA0055</t>
  </si>
  <si>
    <t>20AI0154</t>
  </si>
  <si>
    <t>IB No. GS-2020 – 069</t>
  </si>
  <si>
    <t>20FG0099</t>
  </si>
  <si>
    <t>FLGU-CW-2020-07</t>
  </si>
  <si>
    <t>2020-05-18</t>
  </si>
  <si>
    <t>20FG0097</t>
  </si>
  <si>
    <t>G-2020-017</t>
  </si>
  <si>
    <t>G-2020-018</t>
  </si>
  <si>
    <t>20-04-0762</t>
  </si>
  <si>
    <t>FLGU-CW-2020-08</t>
  </si>
  <si>
    <t>08701</t>
  </si>
  <si>
    <t>08102 &amp; 09040</t>
  </si>
  <si>
    <t>2020-0060</t>
  </si>
  <si>
    <t>B-72-2020</t>
  </si>
  <si>
    <t>20-05-00353</t>
  </si>
  <si>
    <t>20G00096</t>
  </si>
  <si>
    <t>WO 2020-01-03</t>
  </si>
  <si>
    <t>20AI0153</t>
  </si>
  <si>
    <t>20AI0155</t>
  </si>
  <si>
    <t>G-2020-019</t>
  </si>
  <si>
    <t>B2020-070-A</t>
  </si>
  <si>
    <t>04-2020-INFRA</t>
  </si>
  <si>
    <t>INFRA-2020-22</t>
  </si>
  <si>
    <t>2020 Caib 079</t>
  </si>
  <si>
    <t>2020-05-046-D</t>
  </si>
  <si>
    <t>2020-05-043-D</t>
  </si>
  <si>
    <t>'018</t>
  </si>
  <si>
    <t>CW-2020-003</t>
  </si>
  <si>
    <t>050(A) - 2020</t>
  </si>
  <si>
    <t>05-26-2020</t>
  </si>
  <si>
    <t>LGU LAUREL 20-05-002</t>
  </si>
  <si>
    <t>B2020-072-A</t>
  </si>
  <si>
    <t>2020-05-044-D</t>
  </si>
  <si>
    <t>052620-R3</t>
  </si>
  <si>
    <t>20JC0087</t>
  </si>
  <si>
    <t>USTP-GSPB-05-5050105003-2020</t>
  </si>
  <si>
    <t>05-2020-001</t>
  </si>
  <si>
    <t>20FF0087</t>
  </si>
  <si>
    <t>BAC-LGU-TADS-2020-12</t>
  </si>
  <si>
    <t>2020-05-057</t>
  </si>
  <si>
    <t>20PM0032 Construction/Rehabilitation of Water Supp</t>
  </si>
  <si>
    <t>2020-05-037-D</t>
  </si>
  <si>
    <t>20-059</t>
  </si>
  <si>
    <t>CSU2020-05-001-DAED</t>
  </si>
  <si>
    <t>20PD0125</t>
  </si>
  <si>
    <t>CONTRACT ID: 20-05-082</t>
  </si>
  <si>
    <t>CSU2020-05-002-MALEDORM</t>
  </si>
  <si>
    <t>20PD0124</t>
  </si>
  <si>
    <t>2020-05-047-D</t>
  </si>
  <si>
    <t>CSU2020-05-004-DAIRYCATTLE</t>
  </si>
  <si>
    <t>20GPM0002 PURCHASE OF SPAREPARTS FOR MPSDEO SERVIC</t>
  </si>
  <si>
    <t>2020-05-012</t>
  </si>
  <si>
    <t>20-133</t>
  </si>
  <si>
    <t>20-134</t>
  </si>
  <si>
    <t>019-20</t>
  </si>
  <si>
    <t>20IG0063</t>
  </si>
  <si>
    <t>20PD0122</t>
  </si>
  <si>
    <t>CSU2020-05-003-LADIESDORM</t>
  </si>
  <si>
    <t>20-106</t>
  </si>
  <si>
    <t>0014-05-2020</t>
  </si>
  <si>
    <t>20-335</t>
  </si>
  <si>
    <t>B2020-071-A</t>
  </si>
  <si>
    <t>ITB No. GOP/20-DSWD-036</t>
  </si>
  <si>
    <t>NCB-RO2-ISA23R-20</t>
  </si>
  <si>
    <t>20PD0123</t>
  </si>
  <si>
    <t>20-107</t>
  </si>
  <si>
    <t>GF20%EDF2020CW1</t>
  </si>
  <si>
    <t>VET-2020-0137 &amp; 0122</t>
  </si>
  <si>
    <t>HOD-2020-0160-0162, 0164-0165, 0224-0225, TJPH-202</t>
  </si>
  <si>
    <t>MAM-2019-0242</t>
  </si>
  <si>
    <t>2020-ILD-GOODS-19</t>
  </si>
  <si>
    <t>20GPM0005 PURCHASE OF OFFICE SUPPLIES AND EQUIPMEN</t>
  </si>
  <si>
    <t>20-422</t>
  </si>
  <si>
    <t>2020-ILD-GOODS-20</t>
  </si>
  <si>
    <t>20-421</t>
  </si>
  <si>
    <t>CSU2020-05-005-CA</t>
  </si>
  <si>
    <t>20DL0202</t>
  </si>
  <si>
    <t>PBD-GOODS-2020-09</t>
  </si>
  <si>
    <t>20-423</t>
  </si>
  <si>
    <t>20-424</t>
  </si>
  <si>
    <t>20-341</t>
  </si>
  <si>
    <t>SEF-0519-042420</t>
  </si>
  <si>
    <t>Procurement of Security Services of PRO IV-B and I</t>
  </si>
  <si>
    <t>2020-132</t>
  </si>
  <si>
    <t>ITB No. 068-Infra-2020</t>
  </si>
  <si>
    <t>ITB No. 067-Infra-2020</t>
  </si>
  <si>
    <t>GOODS-2020-53</t>
  </si>
  <si>
    <t>ASA 200-20-05-05642</t>
  </si>
  <si>
    <t>ITB No. 070-Infra-2020</t>
  </si>
  <si>
    <t>ITB No. 066-Infra-2020</t>
  </si>
  <si>
    <t>2020-03-29</t>
  </si>
  <si>
    <t>RRGF 200-20-02-00618</t>
  </si>
  <si>
    <t>DPF 300-20-01-00211</t>
  </si>
  <si>
    <t>DPF19 300-20-03-02964</t>
  </si>
  <si>
    <t>2020-INFRA-2B</t>
  </si>
  <si>
    <t>DPF 200-20-02-01022</t>
  </si>
  <si>
    <t>GOODS-2020-54</t>
  </si>
  <si>
    <t>2020-INFRA-3B</t>
  </si>
  <si>
    <t>GOODS-2020-55</t>
  </si>
  <si>
    <t>Infra 2020-06</t>
  </si>
  <si>
    <t>Infra 2020-05</t>
  </si>
  <si>
    <t>ITB No. 069-Infra-2020</t>
  </si>
  <si>
    <t>Infra 2020-07</t>
  </si>
  <si>
    <t>20MADD0020</t>
  </si>
  <si>
    <t>2020-03-43</t>
  </si>
  <si>
    <t>RFQ-INF-2020-028</t>
  </si>
  <si>
    <t>PB-INF-2020-027</t>
  </si>
  <si>
    <t>20MADD0018</t>
  </si>
  <si>
    <t>PB-INF-2020-029</t>
  </si>
  <si>
    <t>Infra 2020-08</t>
  </si>
  <si>
    <t>19-GOODS-HVCDP-2020</t>
  </si>
  <si>
    <t>065</t>
  </si>
  <si>
    <t>20MADD0021</t>
  </si>
  <si>
    <t>20-GOODS-CORN-2020</t>
  </si>
  <si>
    <t>2020-026</t>
  </si>
  <si>
    <t>ITB-2020-46</t>
  </si>
  <si>
    <t>20MADD0019</t>
  </si>
  <si>
    <t>ITB-2020-44</t>
  </si>
  <si>
    <t>2020-ITB-05-015</t>
  </si>
  <si>
    <t>2020-ITB-05-014</t>
  </si>
  <si>
    <t>ITB-2020-43</t>
  </si>
  <si>
    <t>21-GOODS-CORN-2020</t>
  </si>
  <si>
    <t>2020-ITB-05-013</t>
  </si>
  <si>
    <t>ITB-2020-45</t>
  </si>
  <si>
    <t>20200525-018</t>
  </si>
  <si>
    <t>22-GOODS-HVCDP-2020</t>
  </si>
  <si>
    <t>BAC-PG-00110-20</t>
  </si>
  <si>
    <t>DOT BAC REI No. 2020-007</t>
  </si>
  <si>
    <t>BAC-ITO GS No. 2020-040 dated 08 May 2020</t>
  </si>
  <si>
    <t>20GLH0011 Re-Advertisement (P.R. No. 2020-03-017 d</t>
  </si>
  <si>
    <t>DOT BAC REI No. 2020-006</t>
  </si>
  <si>
    <t>DOT BAC REI No. 2020-008</t>
  </si>
  <si>
    <t>2020-ITB-05-011</t>
  </si>
  <si>
    <t>2020-ITB-05-010</t>
  </si>
  <si>
    <t>2020-ITB-05-021</t>
  </si>
  <si>
    <t>2020-ITB-05-017</t>
  </si>
  <si>
    <t>2020-ITB-05-020</t>
  </si>
  <si>
    <t>015-2020 reproduction of report</t>
  </si>
  <si>
    <t>ITB-2020-47</t>
  </si>
  <si>
    <t>FSDE18-CN-043-20</t>
  </si>
  <si>
    <t>014-2020 world teachers day</t>
  </si>
  <si>
    <t>BAC-PG-00120-20</t>
  </si>
  <si>
    <t>20FE0117</t>
  </si>
  <si>
    <t>2020-ITB-05-016</t>
  </si>
  <si>
    <t>016-2020 school forms</t>
  </si>
  <si>
    <t>2020-ITB-05-018</t>
  </si>
  <si>
    <t>2020-ITB-05-019</t>
  </si>
  <si>
    <t>2020-ITB-05-022</t>
  </si>
  <si>
    <t>2020-ITB-05-012</t>
  </si>
  <si>
    <t>ITB No. 2020 – 71</t>
  </si>
  <si>
    <t>2020-ITB-05-024</t>
  </si>
  <si>
    <t>BAC-PG-00121-20</t>
  </si>
  <si>
    <t>ITB No. 2020 – 64</t>
  </si>
  <si>
    <t>016-20</t>
  </si>
  <si>
    <t>ITB No. 2020 – 65</t>
  </si>
  <si>
    <t>ITB No. 2020-66</t>
  </si>
  <si>
    <t>ITB No. 2020 – 63</t>
  </si>
  <si>
    <t>20FE0120</t>
  </si>
  <si>
    <t>BAC-PG-00122-20</t>
  </si>
  <si>
    <t>BAC-CO-GS-2020-05</t>
  </si>
  <si>
    <t>20FE0119</t>
  </si>
  <si>
    <t>2020-ITB-05-023</t>
  </si>
  <si>
    <t>BCSIMO-LMC-08-2020</t>
  </si>
  <si>
    <t>20DE0133</t>
  </si>
  <si>
    <t>IB NO. 2020-175-A</t>
  </si>
  <si>
    <t>20HJ0118</t>
  </si>
  <si>
    <t>20FE0118</t>
  </si>
  <si>
    <t>20DE0132</t>
  </si>
  <si>
    <t>REF #036-05-2020</t>
  </si>
  <si>
    <t>2020-ITB-05-025</t>
  </si>
  <si>
    <t>018</t>
  </si>
  <si>
    <t>066-2020</t>
  </si>
  <si>
    <t>2020-0013</t>
  </si>
  <si>
    <t>020-2020 provision of school supplies for pupils</t>
  </si>
  <si>
    <t>RIO-LMC-09-2020</t>
  </si>
  <si>
    <t>RIO-LMC-10a-2020</t>
  </si>
  <si>
    <t>2020-0012</t>
  </si>
  <si>
    <t>DVO-200616-03</t>
  </si>
  <si>
    <t>RIO-LMC-10b-2020</t>
  </si>
  <si>
    <t>DVO-200616-06</t>
  </si>
  <si>
    <t>20-901</t>
  </si>
  <si>
    <t>GOODS2020-06-003</t>
  </si>
  <si>
    <t>DVO-200616-04</t>
  </si>
  <si>
    <t>DVO-200616-01</t>
  </si>
  <si>
    <t>DVO-200616-02</t>
  </si>
  <si>
    <t>PB2020-05-003</t>
  </si>
  <si>
    <t>GOODS2020-06-002</t>
  </si>
  <si>
    <t>DVO-200616-05</t>
  </si>
  <si>
    <t>DVO-200616-07</t>
  </si>
  <si>
    <t>20FF0083</t>
  </si>
  <si>
    <t>20FF0084</t>
  </si>
  <si>
    <t>PDDO-20-4156</t>
  </si>
  <si>
    <t>2020 - 017</t>
  </si>
  <si>
    <t>PDDO-20-C0563</t>
  </si>
  <si>
    <t>20NH0090</t>
  </si>
  <si>
    <t>PDDO-20-3156</t>
  </si>
  <si>
    <t>20MGU-028</t>
  </si>
  <si>
    <t>NFA-RXI-2020-04</t>
  </si>
  <si>
    <t>20FF0086</t>
  </si>
  <si>
    <t>PDDO-20-3148</t>
  </si>
  <si>
    <t>PDDO-20-3150</t>
  </si>
  <si>
    <t>20FF0085</t>
  </si>
  <si>
    <t>DVO-200616-08</t>
  </si>
  <si>
    <t>ITB-20-03011</t>
  </si>
  <si>
    <t>20MGU-34</t>
  </si>
  <si>
    <t>20MGU-031</t>
  </si>
  <si>
    <t>20NB0059</t>
  </si>
  <si>
    <t>20MGU-032</t>
  </si>
  <si>
    <t>20MGU-35</t>
  </si>
  <si>
    <t>20MGU-033</t>
  </si>
  <si>
    <t>PDDO-20-1156</t>
  </si>
  <si>
    <t>IB NO. 2020-06-16 (10)</t>
  </si>
  <si>
    <t>INN 2020-05-06</t>
  </si>
  <si>
    <t>27807-001</t>
  </si>
  <si>
    <t>INN R4B-20-05-05</t>
  </si>
  <si>
    <t>20-05-0584</t>
  </si>
  <si>
    <t>DTI PB-20-010</t>
  </si>
  <si>
    <t>20MGU-36</t>
  </si>
  <si>
    <t>QES-05-023-20</t>
  </si>
  <si>
    <t>20NB0063</t>
  </si>
  <si>
    <t>20NB0062</t>
  </si>
  <si>
    <t>20NB0064</t>
  </si>
  <si>
    <t>LDF20-05-029</t>
  </si>
  <si>
    <t>20NB0061</t>
  </si>
  <si>
    <t>2020-062201</t>
  </si>
  <si>
    <t>lgu-es-20-103</t>
  </si>
  <si>
    <t>20NB0060</t>
  </si>
  <si>
    <t>LDF20-05-030</t>
  </si>
  <si>
    <t>2020-062202</t>
  </si>
  <si>
    <t>LDF20-05-028</t>
  </si>
  <si>
    <t>20010637</t>
  </si>
  <si>
    <t>20010635</t>
  </si>
  <si>
    <t>20010623</t>
  </si>
  <si>
    <t>M3L20-003</t>
  </si>
  <si>
    <t>M3L20-004</t>
  </si>
  <si>
    <t>M3L20-002</t>
  </si>
  <si>
    <t>G-20-03</t>
  </si>
  <si>
    <t>B-68-2020</t>
  </si>
  <si>
    <t>lgu-es-20-104</t>
  </si>
  <si>
    <t>20010636</t>
  </si>
  <si>
    <t>CB-2020-014</t>
  </si>
  <si>
    <t>B-69-2020</t>
  </si>
  <si>
    <t>20010634</t>
  </si>
  <si>
    <t>M3L20-005</t>
  </si>
  <si>
    <t>CB-2020-013</t>
  </si>
  <si>
    <t>20-M-G-004</t>
  </si>
  <si>
    <t>20CG0137</t>
  </si>
  <si>
    <t>20-M-G-002</t>
  </si>
  <si>
    <t>LMC NO. DDO 2020-006</t>
  </si>
  <si>
    <t>20CG0136</t>
  </si>
  <si>
    <t>20CG0135</t>
  </si>
  <si>
    <t>2020-124-I</t>
  </si>
  <si>
    <t>20-M-G-003</t>
  </si>
  <si>
    <t>20CG0138</t>
  </si>
  <si>
    <t>20CG0134</t>
  </si>
  <si>
    <t>20FL0081</t>
  </si>
  <si>
    <t>20CG0139</t>
  </si>
  <si>
    <t>DOH4A-ITB-2020-GS-007</t>
  </si>
  <si>
    <t>GEPS - 2020 - 74</t>
  </si>
  <si>
    <t>PUR20-03- 0301</t>
  </si>
  <si>
    <t>MH-INFRA-MULTIPURPOSE-BLDG-MUN-HALL-343</t>
  </si>
  <si>
    <t>GEPS - 2020 - 73</t>
  </si>
  <si>
    <t>MH-INFRA-NEW-SLAUGHTERHOUSE-705</t>
  </si>
  <si>
    <t>Competitive Bidding 2020-15</t>
  </si>
  <si>
    <t>DOH4A-ITB-2020-GS-008</t>
  </si>
  <si>
    <t>PB-2020=0522-01</t>
  </si>
  <si>
    <t>POW-Mabasa</t>
  </si>
  <si>
    <t>20DK0127</t>
  </si>
  <si>
    <t>20DK0124</t>
  </si>
  <si>
    <t>20DK0117</t>
  </si>
  <si>
    <t>20DK0129</t>
  </si>
  <si>
    <t>20DK0106</t>
  </si>
  <si>
    <t>20DK0128</t>
  </si>
  <si>
    <t>INFRA-PB-2020-009</t>
  </si>
  <si>
    <t>INFRA-PB-2020-007</t>
  </si>
  <si>
    <t>20CSFE01</t>
  </si>
  <si>
    <t>INFRA-PB-2020-006</t>
  </si>
  <si>
    <t>20DK0116</t>
  </si>
  <si>
    <t>ITB No. 20-05-09</t>
  </si>
  <si>
    <t>100(01)20-05-286(A)</t>
  </si>
  <si>
    <t>20FJ0026</t>
  </si>
  <si>
    <t>ITB-124</t>
  </si>
  <si>
    <t>INFRA-PB-2020-008</t>
  </si>
  <si>
    <t>MG-A7A20-005</t>
  </si>
  <si>
    <t>2020-INFRA-02</t>
  </si>
  <si>
    <t>ITB-19-01010A</t>
  </si>
  <si>
    <t>762</t>
  </si>
  <si>
    <t>SanJoseBatsAeb2020-033</t>
  </si>
  <si>
    <t>GOODS-20-25</t>
  </si>
  <si>
    <t>SanJoseBatsAeb2020-021</t>
  </si>
  <si>
    <t>2002-270</t>
  </si>
  <si>
    <t>SanJoseBatsAeb2020-034</t>
  </si>
  <si>
    <t>GOODS-2020-117</t>
  </si>
  <si>
    <t>GOODS-2020-118</t>
  </si>
  <si>
    <t>GOODS-2020-115</t>
  </si>
  <si>
    <t>2020-01-090</t>
  </si>
  <si>
    <t>19Z00001</t>
  </si>
  <si>
    <t>20-03-0181</t>
  </si>
  <si>
    <t>GOODS-2020-119</t>
  </si>
  <si>
    <t>ITB No. 2020 – 69</t>
  </si>
  <si>
    <t>ITB No. EMB-GOODS-NCB-2020-05-002</t>
  </si>
  <si>
    <t>INFRA -25-2020</t>
  </si>
  <si>
    <t>lgu-es-20-05-099</t>
  </si>
  <si>
    <t>INFRA-26-2020</t>
  </si>
  <si>
    <t>20LD0100</t>
  </si>
  <si>
    <t>GOODS-2020-113</t>
  </si>
  <si>
    <t>20-05-338</t>
  </si>
  <si>
    <t>GOODS-2020-114</t>
  </si>
  <si>
    <t>GOODS-2020-112</t>
  </si>
  <si>
    <t>20CSGF0001</t>
  </si>
  <si>
    <t>NIAR6-SIP-TOBIASFORNIER –CW61-20</t>
  </si>
  <si>
    <t>20P00031</t>
  </si>
  <si>
    <t>WDDSP-MFWD-IFB-CW11a</t>
  </si>
  <si>
    <t>NIAR6-ResCIS-IGBURI-CW62-20</t>
  </si>
  <si>
    <t>20J00194</t>
  </si>
  <si>
    <t>WDDSP-MFWD-IFB-G11c</t>
  </si>
  <si>
    <t>INFRA -27-2020</t>
  </si>
  <si>
    <t>20J00196</t>
  </si>
  <si>
    <t>20J00195</t>
  </si>
  <si>
    <t>GOODS-2020-116</t>
  </si>
  <si>
    <t>I.D. NO. –May19-2020-451</t>
  </si>
  <si>
    <t>20CI0084</t>
  </si>
  <si>
    <t>20CI0087</t>
  </si>
  <si>
    <t>I.D. NO. –May19-2020-440</t>
  </si>
  <si>
    <t>20CI0085</t>
  </si>
  <si>
    <t>2020LGU010</t>
  </si>
  <si>
    <t>I.D. NO. –May19-2020-441</t>
  </si>
  <si>
    <t>TF-20-05-283(O)</t>
  </si>
  <si>
    <t>I.D. NO. –May19-2020-439</t>
  </si>
  <si>
    <t>TF-20-05-284(O)</t>
  </si>
  <si>
    <t>20CI0086</t>
  </si>
  <si>
    <t>I.D. NO. –May19-2020-448</t>
  </si>
  <si>
    <t>I.D. NO. –May19-2020-449</t>
  </si>
  <si>
    <t>I.D. NO. –May19-2020-446</t>
  </si>
  <si>
    <t>TF-20-05-282(O)</t>
  </si>
  <si>
    <t>I.D. NO. –May19-2020-447</t>
  </si>
  <si>
    <t>I.D. NO. –May19-2020-445</t>
  </si>
  <si>
    <t>I.D. NO. –May19-2020-450</t>
  </si>
  <si>
    <t>20BG0140</t>
  </si>
  <si>
    <t>SUC 2020-02-017</t>
  </si>
  <si>
    <t>I.D. NO. –May19-2020-454</t>
  </si>
  <si>
    <t>I.D. NO. –May19-2020-442</t>
  </si>
  <si>
    <t>I.D. NO. –May19-2020-453</t>
  </si>
  <si>
    <t>I.D. NO. –May19-2020-443</t>
  </si>
  <si>
    <t>2020 - 07</t>
  </si>
  <si>
    <t>I.D. NO. –May19-2020-452</t>
  </si>
  <si>
    <t>20BG0139</t>
  </si>
  <si>
    <t>G2019-014-A</t>
  </si>
  <si>
    <t>NMPBAC-ITB-2020-05-01</t>
  </si>
  <si>
    <t>I.D. NO. –May19-2020-444</t>
  </si>
  <si>
    <t>SCM-GOODS-05202020-01</t>
  </si>
  <si>
    <t>20P00036</t>
  </si>
  <si>
    <t>2020-061919</t>
  </si>
  <si>
    <t>PR 20-05-0535</t>
  </si>
  <si>
    <t>20BG0132</t>
  </si>
  <si>
    <t>2020-061918</t>
  </si>
  <si>
    <t>2020-061921</t>
  </si>
  <si>
    <t>20CG0131</t>
  </si>
  <si>
    <t>2020-061920</t>
  </si>
  <si>
    <t>SVP No. 2020-024</t>
  </si>
  <si>
    <t>20BG0134</t>
  </si>
  <si>
    <t>20BG0138</t>
  </si>
  <si>
    <t>20BG0135</t>
  </si>
  <si>
    <t>20P00039</t>
  </si>
  <si>
    <t>20-05-48</t>
  </si>
  <si>
    <t>20HJ0117</t>
  </si>
  <si>
    <t>BFAR5BAC-2020-091</t>
  </si>
  <si>
    <t>20-04-00327, 20-04-00328, 20-04-00329, 20-04-00330</t>
  </si>
  <si>
    <t>CONTRACT ID NO. 20CSGN0088</t>
  </si>
  <si>
    <t>SVP 2020-215</t>
  </si>
  <si>
    <t>20BG0137</t>
  </si>
  <si>
    <t>20BG0131</t>
  </si>
  <si>
    <t>FLGU-CW-2020-02</t>
  </si>
  <si>
    <t>2020106</t>
  </si>
  <si>
    <t>20BG0136</t>
  </si>
  <si>
    <t>WDDSP-MFWD-IFB-G11b</t>
  </si>
  <si>
    <t>FLGU-CW-2020-03</t>
  </si>
  <si>
    <t>MKWD-BAC-2020-037</t>
  </si>
  <si>
    <t>ITB No. GOP/20-DSWD-032</t>
  </si>
  <si>
    <t>051420-R2</t>
  </si>
  <si>
    <t>ITB No. 2020-03</t>
  </si>
  <si>
    <t>ITB No. 2020-02</t>
  </si>
  <si>
    <t>2020-0223</t>
  </si>
  <si>
    <t>SVP 2020-325</t>
  </si>
  <si>
    <t>PEO-2019-0535</t>
  </si>
  <si>
    <t>FLGU-CW-2020-01</t>
  </si>
  <si>
    <t>2020-05-07 INFRA</t>
  </si>
  <si>
    <t>SVP 2020-311</t>
  </si>
  <si>
    <t>2020107</t>
  </si>
  <si>
    <t>SVP 2020-312</t>
  </si>
  <si>
    <t>PSYS-20-05-002</t>
  </si>
  <si>
    <t>8000-2-2-11</t>
  </si>
  <si>
    <t>SVP 2020-310</t>
  </si>
  <si>
    <t>8000-2-2-8</t>
  </si>
  <si>
    <t>8000-2-2-6</t>
  </si>
  <si>
    <t>8000-2-2-7</t>
  </si>
  <si>
    <t>BFAR5BAC-2020-081</t>
  </si>
  <si>
    <t>8000-2-2-5</t>
  </si>
  <si>
    <t>MZSP-2020-03-01</t>
  </si>
  <si>
    <t>20CN0081</t>
  </si>
  <si>
    <t>BFAR5BAC-2020-082</t>
  </si>
  <si>
    <t>20LD0096</t>
  </si>
  <si>
    <t>20CC0214</t>
  </si>
  <si>
    <t>20-009-10 Charlie</t>
  </si>
  <si>
    <t>20LD0101</t>
  </si>
  <si>
    <t>20LD0081</t>
  </si>
  <si>
    <t>20CN0102</t>
  </si>
  <si>
    <t>8000-2-2-13</t>
  </si>
  <si>
    <t>20LD0066</t>
  </si>
  <si>
    <t>IB No. 2020-205</t>
  </si>
  <si>
    <t>NFA-2020-RBAC-REGIII-006A</t>
  </si>
  <si>
    <t>CS-02</t>
  </si>
  <si>
    <t>06-02-2020-05-002</t>
  </si>
  <si>
    <t>CS-01</t>
  </si>
  <si>
    <t>FB20-03-006COR</t>
  </si>
  <si>
    <t>20LB0242</t>
  </si>
  <si>
    <t>20CN0116</t>
  </si>
  <si>
    <t>14B BAC:ESD Mine3 20-005</t>
  </si>
  <si>
    <t>ITB No. GOP/20-DSWD-019-A</t>
  </si>
  <si>
    <t>20CN0134</t>
  </si>
  <si>
    <t>20LB0155</t>
  </si>
  <si>
    <t>20LB0241</t>
  </si>
  <si>
    <t>ITB No. GOP/20-DSWD-030</t>
  </si>
  <si>
    <t>SVP 2020-216</t>
  </si>
  <si>
    <t>Goods-2020-013</t>
  </si>
  <si>
    <t>0700-2020-05-016</t>
  </si>
  <si>
    <t>IB No. 2020-202</t>
  </si>
  <si>
    <t>CGETDC WO 20-05-01</t>
  </si>
  <si>
    <t>BFAR5BAC-2020-076</t>
  </si>
  <si>
    <t>Goods-2020-011</t>
  </si>
  <si>
    <t>20C00042</t>
  </si>
  <si>
    <t>SVP 2020-131</t>
  </si>
  <si>
    <t>Goods-2020-009</t>
  </si>
  <si>
    <t>20J00171</t>
  </si>
  <si>
    <t>DOT-BAC-REI NO. 2020-004</t>
  </si>
  <si>
    <t>Goods-2020-006</t>
  </si>
  <si>
    <t>Goods-2020-005</t>
  </si>
  <si>
    <t>20CSH022</t>
  </si>
  <si>
    <t>20CSH019</t>
  </si>
  <si>
    <t>IB No. 2020-203</t>
  </si>
  <si>
    <t>GS-PNBAC2-2020-25</t>
  </si>
  <si>
    <t>2020-05-06a</t>
  </si>
  <si>
    <t>Goods-2020-010</t>
  </si>
  <si>
    <t>AMMO-PNBAC2-2020-12</t>
  </si>
  <si>
    <t>DOT-BAC-REI NO. 2020-005</t>
  </si>
  <si>
    <t>IB No. 2020-198</t>
  </si>
  <si>
    <t>20GA0181</t>
  </si>
  <si>
    <t>20CSH021</t>
  </si>
  <si>
    <t>2020-0202</t>
  </si>
  <si>
    <t>2020-0207</t>
  </si>
  <si>
    <t>20GA0161</t>
  </si>
  <si>
    <t>ISS 2020-008-IT</t>
  </si>
  <si>
    <t>Supply and Delivery of Materials, Retrofitting and</t>
  </si>
  <si>
    <t>ITB PR No.: 0258, 0261, 0263, 0264-20BAC</t>
  </si>
  <si>
    <t>MG-A7M20-052</t>
  </si>
  <si>
    <t>PSA-RSSO6-2020-006</t>
  </si>
  <si>
    <t>ITB PR No.: 0277-20BAC</t>
  </si>
  <si>
    <t>Supply of Materials, Labor and Equipment for the D</t>
  </si>
  <si>
    <t>20HD0092</t>
  </si>
  <si>
    <t>ITB PR No.: 0308, 0361-20BAC</t>
  </si>
  <si>
    <t>Supply and Delivery of One (1) Unit Dry Bath Incub</t>
  </si>
  <si>
    <t>2020-201</t>
  </si>
  <si>
    <t>20CSH016</t>
  </si>
  <si>
    <t>ITB PR No.: 0307, 0362-20BAC</t>
  </si>
  <si>
    <t>2020-07-A</t>
  </si>
  <si>
    <t>ITB 2020-INFRA-002</t>
  </si>
  <si>
    <t>2020-05-001-MD</t>
  </si>
  <si>
    <t>20JA0081</t>
  </si>
  <si>
    <t>20JA0080</t>
  </si>
  <si>
    <t>20CSH020</t>
  </si>
  <si>
    <t>ITB PR No.: 0484-20BAC</t>
  </si>
  <si>
    <t>ITB 2020-INFRA-001</t>
  </si>
  <si>
    <t>20JA0079</t>
  </si>
  <si>
    <t>20JA0078</t>
  </si>
  <si>
    <t>20JA0082</t>
  </si>
  <si>
    <t>ITB 2020-INFRA-007</t>
  </si>
  <si>
    <t>EXPO DUBAI-35367</t>
  </si>
  <si>
    <t>IB No.2020-04-009-G</t>
  </si>
  <si>
    <t>20FB0137</t>
  </si>
  <si>
    <t>ITB 2020-INFRA-005</t>
  </si>
  <si>
    <t>BFAR5BAC-2020-051</t>
  </si>
  <si>
    <t>TAL-06-03-2020</t>
  </si>
  <si>
    <t>BFAR5BAC-2020-053</t>
  </si>
  <si>
    <t>ITB 2020-INFRA-003</t>
  </si>
  <si>
    <t>20FB0140</t>
  </si>
  <si>
    <t>ITB 2020-INFRA-004</t>
  </si>
  <si>
    <t>20LB0223</t>
  </si>
  <si>
    <t>ITB 2020-INFRA-006</t>
  </si>
  <si>
    <t>20LB0220</t>
  </si>
  <si>
    <t>20LB0218</t>
  </si>
  <si>
    <t>20LB0203</t>
  </si>
  <si>
    <t>20LB0227</t>
  </si>
  <si>
    <t>20LB0214</t>
  </si>
  <si>
    <t>20LB0170</t>
  </si>
  <si>
    <t>20LB0168</t>
  </si>
  <si>
    <t>20LB0171</t>
  </si>
  <si>
    <t>20LB0164</t>
  </si>
  <si>
    <t>20LB0238</t>
  </si>
  <si>
    <t>20LB0246</t>
  </si>
  <si>
    <t>20LB0230</t>
  </si>
  <si>
    <t>20LB0161</t>
  </si>
  <si>
    <t>20LB0240</t>
  </si>
  <si>
    <t>20LB0239</t>
  </si>
  <si>
    <t>20NG0096</t>
  </si>
  <si>
    <t>20HM0083 (RE-IB)</t>
  </si>
  <si>
    <t>20LB0260</t>
  </si>
  <si>
    <t>20LB0253</t>
  </si>
  <si>
    <t>20GGO0002</t>
  </si>
  <si>
    <t>20LB0237</t>
  </si>
  <si>
    <t>SVP 2020-304</t>
  </si>
  <si>
    <t>20LB0160</t>
  </si>
  <si>
    <t>20LB0290</t>
  </si>
  <si>
    <t>20LB0291</t>
  </si>
  <si>
    <t>20LB0268</t>
  </si>
  <si>
    <t>ITB2020-01-001 (INFRA)</t>
  </si>
  <si>
    <t>SVP 2020-174</t>
  </si>
  <si>
    <t>20LB0293</t>
  </si>
  <si>
    <t>SVP 2020-220</t>
  </si>
  <si>
    <t>2020-PB-SS-AGUS6/7-026-01</t>
  </si>
  <si>
    <t>SVP 2020-302</t>
  </si>
  <si>
    <t>20LB0292</t>
  </si>
  <si>
    <t>ITB-GS-20190703-01(2)</t>
  </si>
  <si>
    <t>RFQ-GS-20200406-01</t>
  </si>
  <si>
    <t>2020-PB-SS-AGUS5-025-01</t>
  </si>
  <si>
    <t>ITB No. 062-Infra-2020</t>
  </si>
  <si>
    <t>ITB-GS-20200305-03</t>
  </si>
  <si>
    <t>20E00106</t>
  </si>
  <si>
    <t>ITB-GS-20200304-01</t>
  </si>
  <si>
    <t>SVP 2020-173</t>
  </si>
  <si>
    <t>20E00105</t>
  </si>
  <si>
    <t>20E00107</t>
  </si>
  <si>
    <t>ITB-GS-20191202-01</t>
  </si>
  <si>
    <t>20GA0128</t>
  </si>
  <si>
    <t>20E00104</t>
  </si>
  <si>
    <t>20NG0066</t>
  </si>
  <si>
    <t>20NG0092</t>
  </si>
  <si>
    <t>ITB-GS-20200212-01</t>
  </si>
  <si>
    <t>20NG0091</t>
  </si>
  <si>
    <t>20NG0090</t>
  </si>
  <si>
    <t>27806-001</t>
  </si>
  <si>
    <t>20E00103</t>
  </si>
  <si>
    <t>20GA0197</t>
  </si>
  <si>
    <t>20E00102</t>
  </si>
  <si>
    <t>20E00108</t>
  </si>
  <si>
    <t>IB No.: BSWM-2020-03-0005</t>
  </si>
  <si>
    <t>20GA0194</t>
  </si>
  <si>
    <t>STMO-35482</t>
  </si>
  <si>
    <t>BAC-GS No. 2020-046</t>
  </si>
  <si>
    <t>SVP20-325</t>
  </si>
  <si>
    <t>20GA0137</t>
  </si>
  <si>
    <t>20GA0165</t>
  </si>
  <si>
    <t>20GA0163</t>
  </si>
  <si>
    <t>20GA0150</t>
  </si>
  <si>
    <t>20GA0168</t>
  </si>
  <si>
    <t>202002</t>
  </si>
  <si>
    <t>20NG0088</t>
  </si>
  <si>
    <t>20GA0173</t>
  </si>
  <si>
    <t>20NG0087</t>
  </si>
  <si>
    <t>20GA0151</t>
  </si>
  <si>
    <t>2020-0165</t>
  </si>
  <si>
    <t>20GA0198</t>
  </si>
  <si>
    <t>20NG0089</t>
  </si>
  <si>
    <t>20GA0178</t>
  </si>
  <si>
    <t>20GA0192</t>
  </si>
  <si>
    <t>100-2019-12-1793</t>
  </si>
  <si>
    <t>SVP20-309</t>
  </si>
  <si>
    <t>20GA0154</t>
  </si>
  <si>
    <t>20GA0171</t>
  </si>
  <si>
    <t>SVP20-312</t>
  </si>
  <si>
    <t>SVP20-305</t>
  </si>
  <si>
    <t>SVP20-314</t>
  </si>
  <si>
    <t>SVP20-310</t>
  </si>
  <si>
    <t>CID No. 20CSIO12</t>
  </si>
  <si>
    <t>CID No. 20CSIO13</t>
  </si>
  <si>
    <t>CID No. 20CSIO10</t>
  </si>
  <si>
    <t>Bid 2020-01</t>
  </si>
  <si>
    <t>CID No. 20CSIO08</t>
  </si>
  <si>
    <t>SVP20-302</t>
  </si>
  <si>
    <t>2020-CIMS(008)-PB-001</t>
  </si>
  <si>
    <t>20GA0170</t>
  </si>
  <si>
    <t>20GA0166</t>
  </si>
  <si>
    <t>SVP20-290</t>
  </si>
  <si>
    <t>SVP20-267</t>
  </si>
  <si>
    <t>20GA0148</t>
  </si>
  <si>
    <t>20GA0175</t>
  </si>
  <si>
    <t>20B00024</t>
  </si>
  <si>
    <t>SB-2020-017</t>
  </si>
  <si>
    <t>CS 2020-01</t>
  </si>
  <si>
    <t>20GHD0001</t>
  </si>
  <si>
    <t>SB-2020-018</t>
  </si>
  <si>
    <t>19CSK00051</t>
  </si>
  <si>
    <t>SVP20-243</t>
  </si>
  <si>
    <t>SVP20-239</t>
  </si>
  <si>
    <t>20NG0086</t>
  </si>
  <si>
    <t>20J00173</t>
  </si>
  <si>
    <t>20LB0173</t>
  </si>
  <si>
    <t>19CSK00050</t>
  </si>
  <si>
    <t>SVP20-238</t>
  </si>
  <si>
    <t>20CSIO09</t>
  </si>
  <si>
    <t>2020-020-RFQ</t>
  </si>
  <si>
    <t>SB-2020-019</t>
  </si>
  <si>
    <t>19dpwh61</t>
  </si>
  <si>
    <t>UPLB-IF-015-03-20</t>
  </si>
  <si>
    <t>20200613</t>
  </si>
  <si>
    <t>doletac8-2020-11</t>
  </si>
  <si>
    <t>20CE0206</t>
  </si>
  <si>
    <t>UPLB-IF-016-03-20</t>
  </si>
  <si>
    <t>PBD - 2020 - 04_GATE VALVES</t>
  </si>
  <si>
    <t>PB 20-16</t>
  </si>
  <si>
    <t>A4-2020-001</t>
  </si>
  <si>
    <t>20CE0205</t>
  </si>
  <si>
    <t>SVP20-219</t>
  </si>
  <si>
    <t>19dpwh60</t>
  </si>
  <si>
    <t>SVP20-217</t>
  </si>
  <si>
    <t>2020-01-0016</t>
  </si>
  <si>
    <t>SVP20-223</t>
  </si>
  <si>
    <t>20CSH0002</t>
  </si>
  <si>
    <t>UPLB-RQ-3-119-20-I GENERAL CONTRACTOR</t>
  </si>
  <si>
    <t>RFQ No. 2020-03-015</t>
  </si>
  <si>
    <t>SVP20-215</t>
  </si>
  <si>
    <t>SVP20-222</t>
  </si>
  <si>
    <t>UPLB-RQ-3-120-20-I GENERAL CONTRACTOR</t>
  </si>
  <si>
    <t>20OC0001</t>
  </si>
  <si>
    <t>SVP20-221</t>
  </si>
  <si>
    <t>20OC0008</t>
  </si>
  <si>
    <t>20OC0007</t>
  </si>
  <si>
    <t>SVP20-225</t>
  </si>
  <si>
    <t>SVP20-224</t>
  </si>
  <si>
    <t>ITB-GS-20200217-01</t>
  </si>
  <si>
    <t>IB NO. LMB-2020-01</t>
  </si>
  <si>
    <t>PEO-20-068-B</t>
  </si>
  <si>
    <t>SVP20-220</t>
  </si>
  <si>
    <t>TIEZA-67-2020</t>
  </si>
  <si>
    <t>nlontoc-ITB050-2020</t>
  </si>
  <si>
    <t>20OC0004</t>
  </si>
  <si>
    <t>GSO-20-0202-B</t>
  </si>
  <si>
    <t>ITB No. PB20-03-003DAV</t>
  </si>
  <si>
    <t>BS-004-2020</t>
  </si>
  <si>
    <t>MG-A7T20-023</t>
  </si>
  <si>
    <t>20GOE0005</t>
  </si>
  <si>
    <t>SB-2020-001</t>
  </si>
  <si>
    <t>20OC0010</t>
  </si>
  <si>
    <t>SVP20-226</t>
  </si>
  <si>
    <t>SVP20-228</t>
  </si>
  <si>
    <t>UPLB-RES-030-04-20 LAB AND SCIEN. EQUIPMENT</t>
  </si>
  <si>
    <t>0700-2020-03-013</t>
  </si>
  <si>
    <t>BCS-2020-0095</t>
  </si>
  <si>
    <t>ITB-GS-20191023-01(2)</t>
  </si>
  <si>
    <t>SVP20-214</t>
  </si>
  <si>
    <t>UPLB-RES-027-04-20 INFORMATION TECHNOLOGY FOR ICS</t>
  </si>
  <si>
    <t xml:space="preserve">UPLB-RES-029-04-20 DIAGNOSTIC AND LAB SERVICE FOR </t>
  </si>
  <si>
    <t>UPLB-RES-031-04-20 CHEMICALS AND CHEMICAL PRODUCTS</t>
  </si>
  <si>
    <t>20-DO-0074</t>
  </si>
  <si>
    <t>20-G-DO-0003</t>
  </si>
  <si>
    <t>BAC 2020-47</t>
  </si>
  <si>
    <t>19-DO-0130</t>
  </si>
  <si>
    <t>20-DO-0072</t>
  </si>
  <si>
    <t>BAC 2020-46</t>
  </si>
  <si>
    <t>UPLB-RES-033-03-20 CHEMICALS AND CHEMICAL PRODUCTS</t>
  </si>
  <si>
    <t>UPLB-RES-034-03-20 FILAMENT EXTRUDER</t>
  </si>
  <si>
    <t>20-DO-0073</t>
  </si>
  <si>
    <t>BAC 2020-48</t>
  </si>
  <si>
    <t>20-DO-0076</t>
  </si>
  <si>
    <t>UPLB-RQ-3-118-20-I CONSTRUCTION PROJECTS</t>
  </si>
  <si>
    <t>ITB No. PB20-01-007ANGa-03</t>
  </si>
  <si>
    <t>TIEZA-62-2020</t>
  </si>
  <si>
    <t>BAC 2020-60</t>
  </si>
  <si>
    <t>BAC 2020-59</t>
  </si>
  <si>
    <t>20-03-002</t>
  </si>
  <si>
    <t>B-010-2020</t>
  </si>
  <si>
    <t>BAC 2020-56</t>
  </si>
  <si>
    <t>BAC 2020-55</t>
  </si>
  <si>
    <t>BAC 2020-52</t>
  </si>
  <si>
    <t>20CN0085</t>
  </si>
  <si>
    <t>BAC 2020-51</t>
  </si>
  <si>
    <t>B-028-2020</t>
  </si>
  <si>
    <t>BAC 2020-54</t>
  </si>
  <si>
    <t>BAC 2020-50</t>
  </si>
  <si>
    <t>B-026-2020</t>
  </si>
  <si>
    <t>BAC 2020-57</t>
  </si>
  <si>
    <t>B-027-2020</t>
  </si>
  <si>
    <t>BAC 2020-49</t>
  </si>
  <si>
    <t>19-10-0950 Re-Bid</t>
  </si>
  <si>
    <t>20-02-0073</t>
  </si>
  <si>
    <t>BAC 2020-53</t>
  </si>
  <si>
    <t>B-011-2020</t>
  </si>
  <si>
    <t>TIEZA-64-2020</t>
  </si>
  <si>
    <t>CP 2020-30 RB</t>
  </si>
  <si>
    <t>PB2020-006 (PR No. 19-10-1294)</t>
  </si>
  <si>
    <t>20DE0118</t>
  </si>
  <si>
    <t>SV20-03-021COR</t>
  </si>
  <si>
    <t>20DE0122</t>
  </si>
  <si>
    <t>ITB No. 2020-10</t>
  </si>
  <si>
    <t>20DE0120</t>
  </si>
  <si>
    <t>CP 2020-32 RB</t>
  </si>
  <si>
    <t>20DE0119</t>
  </si>
  <si>
    <t>20DE0121</t>
  </si>
  <si>
    <t>PB2020-005 (PR No. 20-02-0180)</t>
  </si>
  <si>
    <t>20DE0123</t>
  </si>
  <si>
    <t>PROCUREMENT OF OTHER SUPPLIES AND MATERIALS (SUPPL</t>
  </si>
  <si>
    <t>2020-03-0008</t>
  </si>
  <si>
    <t>TIEZA-66-2020</t>
  </si>
  <si>
    <t>20DE0130</t>
  </si>
  <si>
    <t>CP 2020-34 B</t>
  </si>
  <si>
    <t>Lgn1-20-DH-0072</t>
  </si>
  <si>
    <t>20DE0129</t>
  </si>
  <si>
    <t>CP 2020-35 B</t>
  </si>
  <si>
    <t>20DE0126</t>
  </si>
  <si>
    <t>20DE0124</t>
  </si>
  <si>
    <t>Lgn1-20-DH-0074</t>
  </si>
  <si>
    <t>PB20-00-008CORa-02</t>
  </si>
  <si>
    <t>2020-03-0012</t>
  </si>
  <si>
    <t>2020-03-0010</t>
  </si>
  <si>
    <t>2020-03-0011</t>
  </si>
  <si>
    <t>PROCUREMENT OF COMPUTERIZED HOSPITAL INFORMATION S</t>
  </si>
  <si>
    <t>2020-03-0009</t>
  </si>
  <si>
    <t>LGU-059-2020</t>
  </si>
  <si>
    <t>PB0-00-008CORa-02</t>
  </si>
  <si>
    <t>bac-20-0310e</t>
  </si>
  <si>
    <t>PB20-03-032COR</t>
  </si>
  <si>
    <t>20CW-GSC-019</t>
  </si>
  <si>
    <t>UPLB-RQ-3-117-20-I ELECTRICAL SYSTEMS AND LIGHTING</t>
  </si>
  <si>
    <t>20CW-GSC-020</t>
  </si>
  <si>
    <t>B-024-2020</t>
  </si>
  <si>
    <t>bac-20-0310f</t>
  </si>
  <si>
    <t>LGU-061-2020</t>
  </si>
  <si>
    <t>B-023-2020</t>
  </si>
  <si>
    <t>TIEZA-58-2020</t>
  </si>
  <si>
    <t>20DE0125</t>
  </si>
  <si>
    <t>B-025-2020</t>
  </si>
  <si>
    <t>PB20-03-004MAL</t>
  </si>
  <si>
    <t>LGU-064-2020</t>
  </si>
  <si>
    <t>SV20-03-001MAB</t>
  </si>
  <si>
    <t>ITB NO.: GOODS 2020-03-004</t>
  </si>
  <si>
    <t>ITB NO.: GOODS 2020-03-002</t>
  </si>
  <si>
    <t>Lgn1-20-DH-0073</t>
  </si>
  <si>
    <t>ITB NO.: GOODS 2020-03-003</t>
  </si>
  <si>
    <t>ITB GOODS 20-03-007</t>
  </si>
  <si>
    <t>ITB No. 20-047: Supply and Delivery of Two Hundred</t>
  </si>
  <si>
    <t>20CW-GSC-021</t>
  </si>
  <si>
    <t>20-86-002</t>
  </si>
  <si>
    <t>LGU-067-2020</t>
  </si>
  <si>
    <t>AC-PNBAC1-2020-12</t>
  </si>
  <si>
    <t>73</t>
  </si>
  <si>
    <t>20OE0197</t>
  </si>
  <si>
    <t>PEO CO-2019-1-07-03-990</t>
  </si>
  <si>
    <t>ITB-03-2020-002</t>
  </si>
  <si>
    <t>PEO CO-2019-1-07-03-010</t>
  </si>
  <si>
    <t>19CSK00047</t>
  </si>
  <si>
    <t>PEO CO-2018-1-07-03-010</t>
  </si>
  <si>
    <t>PEO CO-2019-SB 2-1-07-04-010</t>
  </si>
  <si>
    <t>20% DF-2018-emib-SB</t>
  </si>
  <si>
    <t>R4-ORD-ARDMS-ADM-20-01-002</t>
  </si>
  <si>
    <t>IB 2020-06</t>
  </si>
  <si>
    <t>20GO0085</t>
  </si>
  <si>
    <t>PEO CO-2016</t>
  </si>
  <si>
    <t>IB 2020-05</t>
  </si>
  <si>
    <t>20GZ00012</t>
  </si>
  <si>
    <t>20DQ0098</t>
  </si>
  <si>
    <t>20FL0074</t>
  </si>
  <si>
    <t>20DQ0099</t>
  </si>
  <si>
    <t>20FL0063</t>
  </si>
  <si>
    <t>ITB INFRA-021-2020</t>
  </si>
  <si>
    <t>UPC PB2020-03-03</t>
  </si>
  <si>
    <t>20GOC0002</t>
  </si>
  <si>
    <t>UPC PB2020-03-04</t>
  </si>
  <si>
    <t>ITB INFRA-019-2020</t>
  </si>
  <si>
    <t>20DQ0100</t>
  </si>
  <si>
    <t>20OE0091</t>
  </si>
  <si>
    <t>ITB INFRA-020-2020</t>
  </si>
  <si>
    <t>20OC0028</t>
  </si>
  <si>
    <t>ITB NO. 2020-0009</t>
  </si>
  <si>
    <t>2019-50</t>
  </si>
  <si>
    <t>20FA0050</t>
  </si>
  <si>
    <t>NP-2020-003</t>
  </si>
  <si>
    <t>ITB NO. 2020-0010</t>
  </si>
  <si>
    <t>ADH-20-063-B(REBID)</t>
  </si>
  <si>
    <t>100-20-02-298</t>
  </si>
  <si>
    <t>IB 2020-04</t>
  </si>
  <si>
    <t>ITB NO. 2020-0008</t>
  </si>
  <si>
    <t>dfppurch20-044</t>
  </si>
  <si>
    <t>SVP 2020-211</t>
  </si>
  <si>
    <t>UPLB-RQ-3-115-20-I CONSTRUCTION MATERIALS &amp; SUPPLI</t>
  </si>
  <si>
    <t>S2-PLP20-003</t>
  </si>
  <si>
    <t>S2-PMG20-011</t>
  </si>
  <si>
    <t>itb20-03-021A</t>
  </si>
  <si>
    <t>DOT-BAC-REI 2020-003</t>
  </si>
  <si>
    <t>Project No. 2020-02-MOOE-002 (LOT 1)</t>
  </si>
  <si>
    <t>B-022-2020</t>
  </si>
  <si>
    <t>20FL0076</t>
  </si>
  <si>
    <t>itb20-03-020B</t>
  </si>
  <si>
    <t>S2-GUI20-007</t>
  </si>
  <si>
    <t>S2-MPP20-002</t>
  </si>
  <si>
    <t>S2-LIM20-004</t>
  </si>
  <si>
    <t>S2-PMG20-002</t>
  </si>
  <si>
    <t>S2-CAP20-003</t>
  </si>
  <si>
    <t>Project No. 2020-02-MOOE-002 (LOT 3)</t>
  </si>
  <si>
    <t>itb20-03-021B</t>
  </si>
  <si>
    <t>PRDP-IR-R003-NUE-035-PAL-001-2019</t>
  </si>
  <si>
    <t>20FL0068</t>
  </si>
  <si>
    <t>DA7-FOD-C-20-1802</t>
  </si>
  <si>
    <t>BCS-2020-0081</t>
  </si>
  <si>
    <t>itb20-03-023B</t>
  </si>
  <si>
    <t>2020-GSIS-PB-084</t>
  </si>
  <si>
    <t>S2-PMG20-006</t>
  </si>
  <si>
    <t>itb20-03-023A</t>
  </si>
  <si>
    <t>20OE0196</t>
  </si>
  <si>
    <t>Q-056-20</t>
  </si>
  <si>
    <t>Project No. 2020-02-MOOE-002 (LOT 2)</t>
  </si>
  <si>
    <t>BAC-PGCS-001-2020</t>
  </si>
  <si>
    <t>itb20-03-022A</t>
  </si>
  <si>
    <t>DOT-BAC-IB NO. 2020-004</t>
  </si>
  <si>
    <t>BSPMD PR 1000031927/BAC GS 2020-050</t>
  </si>
  <si>
    <t>itb20-03-022B</t>
  </si>
  <si>
    <t>PB 2020-03-06_Security Personnel Services</t>
  </si>
  <si>
    <t>itb20-03-020A</t>
  </si>
  <si>
    <t>BAC-PGCS-109-2020</t>
  </si>
  <si>
    <t>LGU-ALCOY-2020-015</t>
  </si>
  <si>
    <t>BCS-2020-0080</t>
  </si>
  <si>
    <t>LGU-ALCOY-2020-016</t>
  </si>
  <si>
    <t>ITB-GS-20200218-01</t>
  </si>
  <si>
    <t>2020-015-PB</t>
  </si>
  <si>
    <t>BCS-2020-0079</t>
  </si>
  <si>
    <t>Q-022-20</t>
  </si>
  <si>
    <t>ITB-GS-20200224-01</t>
  </si>
  <si>
    <t>ITB-GS-20200219-01</t>
  </si>
  <si>
    <t>itb20-03-019A</t>
  </si>
  <si>
    <t>RE-BID 19-024-06 ALPHA</t>
  </si>
  <si>
    <t>C-0100-0020-20</t>
  </si>
  <si>
    <t>BAC 2020-45</t>
  </si>
  <si>
    <t>TAS-20-03-068</t>
  </si>
  <si>
    <t>20dpwh41(readv)</t>
  </si>
  <si>
    <t>20dpwh07</t>
  </si>
  <si>
    <t>PB20-02-031COR - SUPPLY AND DELIVERY OF CARD PRINT</t>
  </si>
  <si>
    <t>LGU-056-2020</t>
  </si>
  <si>
    <t>BCS-2020-0078</t>
  </si>
  <si>
    <t>19dpwh59</t>
  </si>
  <si>
    <t>PB-IP-01-2020</t>
  </si>
  <si>
    <t>20FA0049</t>
  </si>
  <si>
    <t>ITB No. PB20-03-002DAV</t>
  </si>
  <si>
    <t>2020-06 (Rebidding)</t>
  </si>
  <si>
    <t>2020-03-0015</t>
  </si>
  <si>
    <t>20AC0054</t>
  </si>
  <si>
    <t>PR No. 91535</t>
  </si>
  <si>
    <t>IB NO. 2020-08</t>
  </si>
  <si>
    <t>EMBR02-PB-CONSULTINGSERVICES- EMED022020-066</t>
  </si>
  <si>
    <t>PR No. 91815</t>
  </si>
  <si>
    <t>SVP 2020-198</t>
  </si>
  <si>
    <t>BCS-2020-0077</t>
  </si>
  <si>
    <t>PR No. 90373</t>
  </si>
  <si>
    <t>JR No. 23759</t>
  </si>
  <si>
    <t>BCS-2020-0076</t>
  </si>
  <si>
    <t>JR No. 23760</t>
  </si>
  <si>
    <t>PR No. 91688</t>
  </si>
  <si>
    <t>PR No. 91685</t>
  </si>
  <si>
    <t>MG-A7T20-021</t>
  </si>
  <si>
    <t>PR No. 91687</t>
  </si>
  <si>
    <t>20AC0056</t>
  </si>
  <si>
    <t>PR No. 91678</t>
  </si>
  <si>
    <t>PR No. 91677</t>
  </si>
  <si>
    <t>PR No. 91683</t>
  </si>
  <si>
    <t>PR Nos. 90938 &amp; 90940</t>
  </si>
  <si>
    <t>MG-A7T20-025</t>
  </si>
  <si>
    <t>PR No. 91681</t>
  </si>
  <si>
    <t>PR No. 91032</t>
  </si>
  <si>
    <t>AC-PNBAC1-2020-08</t>
  </si>
  <si>
    <t>PR No. 91686</t>
  </si>
  <si>
    <t>20OH0139</t>
  </si>
  <si>
    <t>20AC0055</t>
  </si>
  <si>
    <t>20OH0138</t>
  </si>
  <si>
    <t>PR No. 91684</t>
  </si>
  <si>
    <t>20OH0144</t>
  </si>
  <si>
    <t>20OH0142</t>
  </si>
  <si>
    <t>UPLB-S-042-03-20 (FORMERLY UPLB-S-120-12-19)</t>
  </si>
  <si>
    <t>AC-PNBAC1-2020-09</t>
  </si>
  <si>
    <t>20OH0145</t>
  </si>
  <si>
    <t>20OH0143</t>
  </si>
  <si>
    <t>AC-PNBAC1-2020-11</t>
  </si>
  <si>
    <t>2020-00-01</t>
  </si>
  <si>
    <t>ITB No. PB20-02-008ANG</t>
  </si>
  <si>
    <t>20AC0051</t>
  </si>
  <si>
    <t>AC-PNBAC1-2020-10</t>
  </si>
  <si>
    <t>RSPQ NO. 2020-02-012</t>
  </si>
  <si>
    <t>20OH0141</t>
  </si>
  <si>
    <t>UPLB-RQ-3-112-20- I AIRCONDITIONING &amp; AIRCONDITION</t>
  </si>
  <si>
    <t>20OH0140</t>
  </si>
  <si>
    <t>20AC0053</t>
  </si>
  <si>
    <t>UPLB-RQ-3-111-20-I CONSTRUCTION PROJECTS</t>
  </si>
  <si>
    <t>Lgn1-20-DH-0070</t>
  </si>
  <si>
    <t>PB20-02-008ANG</t>
  </si>
  <si>
    <t>UPLB-S-031-03-20</t>
  </si>
  <si>
    <t>20DQ0093 - LOCAL PROGRAM – Construction / Repair /</t>
  </si>
  <si>
    <t>20OH0147</t>
  </si>
  <si>
    <t>20DQ0094 - LOCAL PROGRAM – Local Infrastructure Pr</t>
  </si>
  <si>
    <t>Lgn1-20-DH-0069</t>
  </si>
  <si>
    <t>BCS-2020-0074</t>
  </si>
  <si>
    <t>20OH0146</t>
  </si>
  <si>
    <t>R4-INFRA2020-01-004</t>
  </si>
  <si>
    <t>2020-019-RFQ</t>
  </si>
  <si>
    <t>20DQ0095 - LOCAL PROGRAM – Construction / Repair /</t>
  </si>
  <si>
    <t>IG03042020Nego</t>
  </si>
  <si>
    <t>BCS-2020-0073</t>
  </si>
  <si>
    <t>20NG0084</t>
  </si>
  <si>
    <t>20FA0047</t>
  </si>
  <si>
    <t>20DQ0097 - LOCAL PROGRAM – Construction / Repair /</t>
  </si>
  <si>
    <t>R4-INFRA2020-01-003</t>
  </si>
  <si>
    <t>Lgn1-20-DH-0071</t>
  </si>
  <si>
    <t>20DQ0096 - LOCAL PROGRAM – Construction / Repair /</t>
  </si>
  <si>
    <t>20FA0048</t>
  </si>
  <si>
    <t>SVP 2020-155</t>
  </si>
  <si>
    <t>UPLB-S-044-03-20</t>
  </si>
  <si>
    <t>20GO0038</t>
  </si>
  <si>
    <t>20AC0052</t>
  </si>
  <si>
    <t>20NG0085</t>
  </si>
  <si>
    <t>2020-0040</t>
  </si>
  <si>
    <t>LGU-054-2020</t>
  </si>
  <si>
    <t>ITB No. 2020-09</t>
  </si>
  <si>
    <t>2020-0037</t>
  </si>
  <si>
    <t>2020-0039</t>
  </si>
  <si>
    <t>MEDXRAY-9</t>
  </si>
  <si>
    <t>20-005-02 ALPHA</t>
  </si>
  <si>
    <t>ITB No. PB20-01-017COR</t>
  </si>
  <si>
    <t>bac-20-0302b</t>
  </si>
  <si>
    <t>2020-0038</t>
  </si>
  <si>
    <t>19CSK00049</t>
  </si>
  <si>
    <t>19CSK00048</t>
  </si>
  <si>
    <t>BulSU-BAC-G-2020-17</t>
  </si>
  <si>
    <t>2020-0046</t>
  </si>
  <si>
    <t>UPLB-IF-014-03-20</t>
  </si>
  <si>
    <t>2020-0051</t>
  </si>
  <si>
    <t>2020-0053</t>
  </si>
  <si>
    <t>20NG0082</t>
  </si>
  <si>
    <t>CEO-2018-C27</t>
  </si>
  <si>
    <t>itb20-02-017A</t>
  </si>
  <si>
    <t>2020-0048</t>
  </si>
  <si>
    <t>Q-048-20</t>
  </si>
  <si>
    <t>PR-FAS00-20-02-00001</t>
  </si>
  <si>
    <t>Q-046-20</t>
  </si>
  <si>
    <t>2020-0049</t>
  </si>
  <si>
    <t>2020-0047</t>
  </si>
  <si>
    <t>2020-0050</t>
  </si>
  <si>
    <t>itb20-02-017B</t>
  </si>
  <si>
    <t>BulSU-BAC-G-2020-04</t>
  </si>
  <si>
    <t>2020-02 Infra (Rebid 2020 BEFF Lot 6)</t>
  </si>
  <si>
    <t>DOT-BAC-REI 2020-002</t>
  </si>
  <si>
    <t>19CSZ029</t>
  </si>
  <si>
    <t>SS-CAP20-002</t>
  </si>
  <si>
    <t>Q-047-20</t>
  </si>
  <si>
    <t>S2-ALD20-010</t>
  </si>
  <si>
    <t>BCS-2020-0072</t>
  </si>
  <si>
    <t>uplb-rq-2-057-20 goods (Appliances for ICROPS CPMD</t>
  </si>
  <si>
    <t>20BG0116</t>
  </si>
  <si>
    <t>UPLB-RES-024-03-20 APPLIANCES FOR IHNF</t>
  </si>
  <si>
    <t>itb20-02-017C</t>
  </si>
  <si>
    <t>20BK0129</t>
  </si>
  <si>
    <t>20BK0130</t>
  </si>
  <si>
    <t>CP 2020-33 B</t>
  </si>
  <si>
    <t>S2-BTG20-001</t>
  </si>
  <si>
    <t>20NG0083</t>
  </si>
  <si>
    <t>SSP-8</t>
  </si>
  <si>
    <t>20NG0080</t>
  </si>
  <si>
    <t>PB20-02-003MAL</t>
  </si>
  <si>
    <t>MV-5</t>
  </si>
  <si>
    <t>UPLB-RES-025-03-20 LAB EQUIP. FOR IHNF</t>
  </si>
  <si>
    <t>S2-ALD20-009</t>
  </si>
  <si>
    <t>CARC- 2020-GS-01</t>
  </si>
  <si>
    <t xml:space="preserve">UPLB-RES-026-03-20 DIAGNOSTIC AND LAB SERVICE FOR </t>
  </si>
  <si>
    <t>20HD0089</t>
  </si>
  <si>
    <t>IB No. 2020-02-03</t>
  </si>
  <si>
    <t>BAC19-001-004</t>
  </si>
  <si>
    <t>PB20-02-001MAB.LOT2</t>
  </si>
  <si>
    <t>320191102406</t>
  </si>
  <si>
    <t>071 20-663-1</t>
  </si>
  <si>
    <t>BAC Ref No. 02-2020WPMS</t>
  </si>
  <si>
    <t>PB20-02-001MAB.LOT1</t>
  </si>
  <si>
    <t>20CSAI001</t>
  </si>
  <si>
    <t>20NH0072</t>
  </si>
  <si>
    <t>20CG0119</t>
  </si>
  <si>
    <t>BCS-2020-0068</t>
  </si>
  <si>
    <t>BCS-2020-0067</t>
  </si>
  <si>
    <t>20CG0118</t>
  </si>
  <si>
    <t>PB20-02-029COR</t>
  </si>
  <si>
    <t>AMMO-PNBAC2-2020-08</t>
  </si>
  <si>
    <t>ITB-GS-20200204-01</t>
  </si>
  <si>
    <t>20-02-002</t>
  </si>
  <si>
    <t>UPLB-S-039-03-20</t>
  </si>
  <si>
    <t>UPLB-S-038-03-20</t>
  </si>
  <si>
    <t>BAC-GS-2020-02-002</t>
  </si>
  <si>
    <t>UPLB-S-033-03-20</t>
  </si>
  <si>
    <t>AMMO-PNBAC2-2020-09</t>
  </si>
  <si>
    <t>UPLB-S-037-03-20</t>
  </si>
  <si>
    <t>LMC-BBMPII-20-08</t>
  </si>
  <si>
    <t>AMMO-PNBAC2-2020-10</t>
  </si>
  <si>
    <t>UPLB-S-032-03-20</t>
  </si>
  <si>
    <t>UPLB-S-034-03-20</t>
  </si>
  <si>
    <t>LMC-BBMPII-20-09</t>
  </si>
  <si>
    <t>PB20-02-030COR</t>
  </si>
  <si>
    <t>Lgn1-20-DH-0064</t>
  </si>
  <si>
    <t>Lgn1-20-DH-0066</t>
  </si>
  <si>
    <t>BACII-2020-09</t>
  </si>
  <si>
    <t>Lgn1-20-DH-0068</t>
  </si>
  <si>
    <t>BCS-2019-0065</t>
  </si>
  <si>
    <t>AC-PNBAC1-2020-06</t>
  </si>
  <si>
    <t>BCS-2019-0066</t>
  </si>
  <si>
    <t>BCS-2020-0059</t>
  </si>
  <si>
    <t>Lgn1-20-DH-0067</t>
  </si>
  <si>
    <t>UPLB-CSLT-001-03-20</t>
  </si>
  <si>
    <t>Lgn1-20-DH-0065</t>
  </si>
  <si>
    <t>AC-PNBAC1-2020-07</t>
  </si>
  <si>
    <t>BCS-2020-0060</t>
  </si>
  <si>
    <t>UPLB-CSLT-002-03-20</t>
  </si>
  <si>
    <t>BAC 2020-012</t>
  </si>
  <si>
    <t>BAC Ref No. 04-2020SFC</t>
  </si>
  <si>
    <t>2020-02-0013</t>
  </si>
  <si>
    <t>BAC Ref No. 03-2020PTC</t>
  </si>
  <si>
    <t>RSPQ NO. 2020-02-011</t>
  </si>
  <si>
    <t>BAC No. 2020-019</t>
  </si>
  <si>
    <t>BAC No. 2020-017</t>
  </si>
  <si>
    <t>BAC No. 2020-016</t>
  </si>
  <si>
    <t>BAC No. 2020-015</t>
  </si>
  <si>
    <t>BAC 2020-018</t>
  </si>
  <si>
    <t>20HN0104</t>
  </si>
  <si>
    <t>UPLB-S-030-03-20</t>
  </si>
  <si>
    <t>BulSU-BAC-G-2020-16</t>
  </si>
  <si>
    <t>Purchase Request 73519</t>
  </si>
  <si>
    <t>itb20-02-016D</t>
  </si>
  <si>
    <t>Purchase Request 73516</t>
  </si>
  <si>
    <t>itb20-02-016B</t>
  </si>
  <si>
    <t>PB20-02-028COR</t>
  </si>
  <si>
    <t>Purchase Request No. 73520</t>
  </si>
  <si>
    <t>Purchase Request 73515</t>
  </si>
  <si>
    <t>3-01-001-20-005</t>
  </si>
  <si>
    <t>20OE0114</t>
  </si>
  <si>
    <t>CW-100</t>
  </si>
  <si>
    <t>20OE0108</t>
  </si>
  <si>
    <t>19CSK00042</t>
  </si>
  <si>
    <t>20K00283</t>
  </si>
  <si>
    <t>Invitation to Bid 2020-01</t>
  </si>
  <si>
    <t>19CSK00044</t>
  </si>
  <si>
    <t>19CSK00043</t>
  </si>
  <si>
    <t>AMMO-PNBAC2-2020-06</t>
  </si>
  <si>
    <t>AMMO-PNBAC2-2020-04</t>
  </si>
  <si>
    <t>CW-95</t>
  </si>
  <si>
    <t>2020-0078</t>
  </si>
  <si>
    <t>2020-0077</t>
  </si>
  <si>
    <t>CAT-2020-001</t>
  </si>
  <si>
    <t>SVP20-103</t>
  </si>
  <si>
    <t>ITB-GS-20190807-01</t>
  </si>
  <si>
    <t>20HN0097</t>
  </si>
  <si>
    <t>2020-0067</t>
  </si>
  <si>
    <t>SVP 2020-19</t>
  </si>
  <si>
    <t>20CI0064</t>
  </si>
  <si>
    <t>20OE0193</t>
  </si>
  <si>
    <t>SVP 2020-70</t>
  </si>
  <si>
    <t>20OE0192</t>
  </si>
  <si>
    <t>20EH0079</t>
  </si>
  <si>
    <t>20OE0189</t>
  </si>
  <si>
    <t>2020-0073</t>
  </si>
  <si>
    <t>20OE0194</t>
  </si>
  <si>
    <t>20OE0188</t>
  </si>
  <si>
    <t>2020-0058</t>
  </si>
  <si>
    <t>SVP 2020-104</t>
  </si>
  <si>
    <t>20A00152</t>
  </si>
  <si>
    <t>BAC ITIO CS No. 2020-0006 dated 17 Jan 2020</t>
  </si>
  <si>
    <t>20OE0187</t>
  </si>
  <si>
    <t>20OE0185</t>
  </si>
  <si>
    <t>20NG0060</t>
  </si>
  <si>
    <t>2020-0074</t>
  </si>
  <si>
    <t>20OE0191</t>
  </si>
  <si>
    <t>20K00247</t>
  </si>
  <si>
    <t>20OE0190</t>
  </si>
  <si>
    <t>20OE0166</t>
  </si>
  <si>
    <t>20FA0040</t>
  </si>
  <si>
    <t>20OE0173</t>
  </si>
  <si>
    <t>20OH0121</t>
  </si>
  <si>
    <t>20L00119</t>
  </si>
  <si>
    <t>20OE0195</t>
  </si>
  <si>
    <t>PR 73898</t>
  </si>
  <si>
    <t>20HD0084</t>
  </si>
  <si>
    <t>20L00108</t>
  </si>
  <si>
    <t>2020-0065</t>
  </si>
  <si>
    <t>20A00158</t>
  </si>
  <si>
    <t>Contract ID: 20KH0029</t>
  </si>
  <si>
    <t>20OE0138</t>
  </si>
  <si>
    <t>20HD0062</t>
  </si>
  <si>
    <t>20HD0088</t>
  </si>
  <si>
    <t>19Z00015</t>
  </si>
  <si>
    <t>20KA0101 (Readvertisement)</t>
  </si>
  <si>
    <t>20A00156</t>
  </si>
  <si>
    <t>19Z00014</t>
  </si>
  <si>
    <t>2020-PB-OMSC-MTPP-002-01</t>
  </si>
  <si>
    <t>20A00157</t>
  </si>
  <si>
    <t>19Z00012</t>
  </si>
  <si>
    <t>20HD0066</t>
  </si>
  <si>
    <t>19Z00013</t>
  </si>
  <si>
    <t>Contract ID: 20KH0030</t>
  </si>
  <si>
    <t>SVP 2020-27</t>
  </si>
  <si>
    <t>20HD0014</t>
  </si>
  <si>
    <t>20HH0086</t>
  </si>
  <si>
    <t>20HD0017</t>
  </si>
  <si>
    <t>19Z00011</t>
  </si>
  <si>
    <t>BAC-ITIO- CS No. 2019-0080 dated 06 November 2019</t>
  </si>
  <si>
    <t>20N00050</t>
  </si>
  <si>
    <t>20NG0030</t>
  </si>
  <si>
    <t>20N00002</t>
  </si>
  <si>
    <t>20HD0032</t>
  </si>
  <si>
    <t>04213531</t>
  </si>
  <si>
    <t>20J00115</t>
  </si>
  <si>
    <t>20CG0026</t>
  </si>
  <si>
    <t>BP-2019-001</t>
  </si>
  <si>
    <t>PB No. 19-341-7</t>
  </si>
  <si>
    <t>20CC0116</t>
  </si>
  <si>
    <t>Contract ID: 20KH0027</t>
  </si>
  <si>
    <t>20J00114</t>
  </si>
  <si>
    <t>20HD0077</t>
  </si>
  <si>
    <t>Implementing Rules and Regulations</t>
  </si>
  <si>
    <t>Others</t>
  </si>
  <si>
    <t>WB Procurement Guidelines</t>
  </si>
  <si>
    <t>WB Guidelines on the use of Consultants</t>
  </si>
  <si>
    <t>International / Executive Agreement</t>
  </si>
  <si>
    <t>ADB Procurement Guidelines</t>
  </si>
  <si>
    <t>ADB Guidelines on the use of Consultants</t>
  </si>
  <si>
    <t>Negotiated Procurement - Small Value Procurement (Sec. 53.9)</t>
  </si>
  <si>
    <t>Public Bidding</t>
  </si>
  <si>
    <t>Shopping</t>
  </si>
  <si>
    <t>Shopping - Ordinary/Regular Office Supplies &amp; Equipment (Sec. 52.1.b)</t>
  </si>
  <si>
    <t>Negotiated Procurement - Two Failed Biddings (Sec. 53.1)</t>
  </si>
  <si>
    <t>Negotiated Procurement - NGO Participation (Sec. 53.11)</t>
  </si>
  <si>
    <t>Selection based on Consultants Qualification</t>
  </si>
  <si>
    <t>National Competitive Bidding</t>
  </si>
  <si>
    <t>International Competitive Bidding</t>
  </si>
  <si>
    <t>Goods</t>
  </si>
  <si>
    <t>Civil Works</t>
  </si>
  <si>
    <t>Goods - General Support Services</t>
  </si>
  <si>
    <t>Consulting Services</t>
  </si>
  <si>
    <t>Laboratory Supplies and Equipment</t>
  </si>
  <si>
    <t>Information Technology Parts &amp; Accessories &amp; Perip</t>
  </si>
  <si>
    <t>Security Services</t>
  </si>
  <si>
    <t>Electronic Parts and Components</t>
  </si>
  <si>
    <t>Hospital / Medical Equipment</t>
  </si>
  <si>
    <t>Agricultural Products (Seeds, Seedlings, Plants..)</t>
  </si>
  <si>
    <t>Hardware and Construction Supplies</t>
  </si>
  <si>
    <t>Construction Equipment</t>
  </si>
  <si>
    <t>Fuels/Fuel Additives &amp; Lubricants &amp; Anti Corrosive</t>
  </si>
  <si>
    <t>Printing Services</t>
  </si>
  <si>
    <t>Veterinary Products and Supplies</t>
  </si>
  <si>
    <t>Electrical Supplies</t>
  </si>
  <si>
    <t>Books, Maps and Other Publications</t>
  </si>
  <si>
    <t>Water Service Connection Materials/Fittings</t>
  </si>
  <si>
    <t>Information Technology</t>
  </si>
  <si>
    <t>Hospital / Medical Equipment Services</t>
  </si>
  <si>
    <t>Printing Supplies</t>
  </si>
  <si>
    <t>Transportation and Communications Services</t>
  </si>
  <si>
    <t>Airconditioning and Airconditioning Systems</t>
  </si>
  <si>
    <t>Rice Milling Services</t>
  </si>
  <si>
    <t>Agricultural Machinery and Equipment</t>
  </si>
  <si>
    <t>Vehicles</t>
  </si>
  <si>
    <t>Audio and Visual Equipment</t>
  </si>
  <si>
    <t>Hotel and Lodging and Meeting Facilities</t>
  </si>
  <si>
    <t>Sporting Goods</t>
  </si>
  <si>
    <t>Furniture</t>
  </si>
  <si>
    <t>Medical and Dental Equipment</t>
  </si>
  <si>
    <t>Garments</t>
  </si>
  <si>
    <t>Water and Waste Water Treatment Supply &amp; Disposal</t>
  </si>
  <si>
    <t>Services</t>
  </si>
  <si>
    <t>Kitchenware</t>
  </si>
  <si>
    <t>Live Animals (Livestock, Birds, Live fish &amp; etc..)</t>
  </si>
  <si>
    <t>Chemicals and Chemical Products</t>
  </si>
  <si>
    <t>General Engineering Services</t>
  </si>
  <si>
    <t>Events Management</t>
  </si>
  <si>
    <t>Grocery Items</t>
  </si>
  <si>
    <t>Office Equipment Parts and Accessories</t>
  </si>
  <si>
    <t>Fertilizers</t>
  </si>
  <si>
    <t>General Contractor</t>
  </si>
  <si>
    <t>Fixtures</t>
  </si>
  <si>
    <t>Print and Broadcast and Aerial Advertising</t>
  </si>
  <si>
    <t>Corporate Giveaways</t>
  </si>
  <si>
    <t>Communication Equipment</t>
  </si>
  <si>
    <t>Textiles</t>
  </si>
  <si>
    <t>General Repair and Maintenance Services</t>
  </si>
  <si>
    <t>Photographic Equipment</t>
  </si>
  <si>
    <t>Security Surveillance and Detection Equipment</t>
  </si>
  <si>
    <t>Signage and Accessories</t>
  </si>
  <si>
    <t>Agricultural Chemicals</t>
  </si>
  <si>
    <t>Photography Services</t>
  </si>
  <si>
    <t>Fire Fighting &amp; Rescue and Safety Equipment</t>
  </si>
  <si>
    <t>Furniture Parts and Accessories</t>
  </si>
  <si>
    <t>Newspapers</t>
  </si>
  <si>
    <t>Machine Tools</t>
  </si>
  <si>
    <t>Communication Equipment &amp; Parts and Accessories</t>
  </si>
  <si>
    <t>Musical Instruments</t>
  </si>
  <si>
    <t>Funeral and Associated Services</t>
  </si>
  <si>
    <t>Education and Training Services</t>
  </si>
  <si>
    <t>Telecommunications Provider</t>
  </si>
  <si>
    <t>Metal Fabrication</t>
  </si>
  <si>
    <t>Computer Furniture</t>
  </si>
  <si>
    <t>Surveying Instruments</t>
  </si>
  <si>
    <t>Airconditioning Maintenance Services</t>
  </si>
  <si>
    <t>Guns and Weapons</t>
  </si>
  <si>
    <t>Chemical Detergents</t>
  </si>
  <si>
    <t>Surveying Services</t>
  </si>
  <si>
    <t>Pest Control Products</t>
  </si>
  <si>
    <t>Industrial pumps and compressors</t>
  </si>
  <si>
    <t>Food Processing Equipment</t>
  </si>
  <si>
    <t>Well Drilling and Construction Services</t>
  </si>
  <si>
    <t>Diagnostic and Laboratory Services</t>
  </si>
  <si>
    <t>Navigation Equipment</t>
  </si>
  <si>
    <t>Systems Integration</t>
  </si>
  <si>
    <t>Internet Services</t>
  </si>
  <si>
    <t>Public Relations Programs or Services</t>
  </si>
  <si>
    <t>Oil/Heat Chemical Resistant Rubber</t>
  </si>
  <si>
    <t>Janitorial Equipment</t>
  </si>
  <si>
    <t>Quartermaster Items</t>
  </si>
  <si>
    <t>Marine Transport</t>
  </si>
  <si>
    <t>Arts and Crafts Accessories and Supplies</t>
  </si>
  <si>
    <t>Architectural Design</t>
  </si>
  <si>
    <t>Cargo Forwarding and Hauling Services</t>
  </si>
  <si>
    <t>Power Generation and Distribution Machinery</t>
  </si>
  <si>
    <t>Flags</t>
  </si>
  <si>
    <t>Pest Control Services</t>
  </si>
  <si>
    <t>Timepieces and Jewelry and Gemstone Products</t>
  </si>
  <si>
    <t>Mail and Cargo Transport Services</t>
  </si>
  <si>
    <t>Advertising Agency Services</t>
  </si>
  <si>
    <t>Tokens and Awards</t>
  </si>
  <si>
    <t>Packaging Supplies and Materials</t>
  </si>
  <si>
    <t>Paper Materials and Products</t>
  </si>
  <si>
    <t>Engineering and Laboratory Testing Equipment</t>
  </si>
  <si>
    <t>Aircraft Spare Parts</t>
  </si>
  <si>
    <t>Beverages</t>
  </si>
  <si>
    <t>Travel, Food, Lodging and Entertainment Services</t>
  </si>
  <si>
    <t>Waste Management and Recycling</t>
  </si>
  <si>
    <t>Plastic Products</t>
  </si>
  <si>
    <t>Traffic Control Systems</t>
  </si>
  <si>
    <t>Investigative Equipment</t>
  </si>
  <si>
    <t>Reproduction Services</t>
  </si>
  <si>
    <t>Maritime Spare Parts</t>
  </si>
  <si>
    <t>Construction Management Services</t>
  </si>
  <si>
    <t>Automation Equipment</t>
  </si>
  <si>
    <t>Editorial, Design, Graphic and Fine Art Services</t>
  </si>
  <si>
    <t>Musical Instrument Parts and Accesories</t>
  </si>
  <si>
    <t>IT Broadcasting and Telecommunications</t>
  </si>
  <si>
    <t>Lifting equipment and accessories</t>
  </si>
  <si>
    <t>Meteorological Equipments and Instruments</t>
  </si>
  <si>
    <t>Photographic Parts, Supplies and Accessories</t>
  </si>
  <si>
    <t>Transmission and Distribution Lines</t>
  </si>
  <si>
    <t>Lease and Rental of Property or Building</t>
  </si>
  <si>
    <t>Ammunitions and Explosives</t>
  </si>
  <si>
    <t>Financial and Insurance Services</t>
  </si>
  <si>
    <t>Freight Forwarder Services</t>
  </si>
  <si>
    <t>Hydrological Instruments</t>
  </si>
  <si>
    <t>Games and Toys</t>
  </si>
  <si>
    <t>Aviation Services</t>
  </si>
  <si>
    <t>Bedclothes, Linens and Towels</t>
  </si>
  <si>
    <t>Purses, handbags and bags</t>
  </si>
  <si>
    <t>Structured Cabling</t>
  </si>
  <si>
    <t>Dairy Products</t>
  </si>
  <si>
    <t>Industrial Safety Equipment</t>
  </si>
  <si>
    <t>Radiological/Diagnostic Equipment</t>
  </si>
  <si>
    <t>Aviation Products</t>
  </si>
  <si>
    <t>Geotechnical Instrumentation</t>
  </si>
  <si>
    <t>Ordnance Products</t>
  </si>
  <si>
    <t>Landscaping Services</t>
  </si>
  <si>
    <t>Laundry Services</t>
  </si>
  <si>
    <t>Telecommunications Engineering</t>
  </si>
  <si>
    <t>Preserved or Processed Foods</t>
  </si>
  <si>
    <t>900,000.00</t>
  </si>
  <si>
    <t>851,500.00</t>
  </si>
  <si>
    <t>75,000.00</t>
  </si>
  <si>
    <t>100,000.00</t>
  </si>
  <si>
    <t>240,000.00</t>
  </si>
  <si>
    <t>10,251,083.25</t>
  </si>
  <si>
    <t>5,000,000.00</t>
  </si>
  <si>
    <t>94,000.00</t>
  </si>
  <si>
    <t>52,885.00</t>
  </si>
  <si>
    <t>198,900.00</t>
  </si>
  <si>
    <t>65,900,000.00</t>
  </si>
  <si>
    <t>64,200.00</t>
  </si>
  <si>
    <t>1,068,779.25</t>
  </si>
  <si>
    <t>129,950.00</t>
  </si>
  <si>
    <t>133,892.00</t>
  </si>
  <si>
    <t>605,414.25</t>
  </si>
  <si>
    <t>262,672.00</t>
  </si>
  <si>
    <t>150,000.00</t>
  </si>
  <si>
    <t>105,000.00</t>
  </si>
  <si>
    <t>72,000.00</t>
  </si>
  <si>
    <t>130,000.00</t>
  </si>
  <si>
    <t>798,283.33</t>
  </si>
  <si>
    <t>1,909,229.04</t>
  </si>
  <si>
    <t>597,900.00</t>
  </si>
  <si>
    <t>251,000.00</t>
  </si>
  <si>
    <t>98,709.00</t>
  </si>
  <si>
    <t>499,291.53</t>
  </si>
  <si>
    <t>599,191.65</t>
  </si>
  <si>
    <t>2,740,831.80</t>
  </si>
  <si>
    <t>108,000.00</t>
  </si>
  <si>
    <t>23,000.00</t>
  </si>
  <si>
    <t>3,400.00</t>
  </si>
  <si>
    <t>337,580.00</t>
  </si>
  <si>
    <t>865,000.00</t>
  </si>
  <si>
    <t>1,700,000.00</t>
  </si>
  <si>
    <t>255,000.00</t>
  </si>
  <si>
    <t>153,800.00</t>
  </si>
  <si>
    <t>1,895,000.00</t>
  </si>
  <si>
    <t>121,000.00</t>
  </si>
  <si>
    <t>70,400.00</t>
  </si>
  <si>
    <t>125,000.00</t>
  </si>
  <si>
    <t>6,834,872.82</t>
  </si>
  <si>
    <t>345,000.00</t>
  </si>
  <si>
    <t>394,821.24</t>
  </si>
  <si>
    <t>2,296,822.44</t>
  </si>
  <si>
    <t>489,600.00</t>
  </si>
  <si>
    <t>702,438.23</t>
  </si>
  <si>
    <t>2,000,000.00</t>
  </si>
  <si>
    <t>1,385,697.71</t>
  </si>
  <si>
    <t>578,295.40</t>
  </si>
  <si>
    <t>1,486,362.56</t>
  </si>
  <si>
    <t>587,052.26</t>
  </si>
  <si>
    <t>622,206.26</t>
  </si>
  <si>
    <t>517,493.59</t>
  </si>
  <si>
    <t>3,049,157.56</t>
  </si>
  <si>
    <t>836,161.87</t>
  </si>
  <si>
    <t>120,000.00</t>
  </si>
  <si>
    <t>2,300,000.00</t>
  </si>
  <si>
    <t>70,000.00</t>
  </si>
  <si>
    <t>199,971.24</t>
  </si>
  <si>
    <t>137,899.90</t>
  </si>
  <si>
    <t>752,979.20</t>
  </si>
  <si>
    <t>6,093,007.95</t>
  </si>
  <si>
    <t>499,999.50</t>
  </si>
  <si>
    <t>316,812.93</t>
  </si>
  <si>
    <t>200,000.00</t>
  </si>
  <si>
    <t>68,950.00</t>
  </si>
  <si>
    <t>4,894,112.58</t>
  </si>
  <si>
    <t>218,977.50</t>
  </si>
  <si>
    <t>7,901,225.30</t>
  </si>
  <si>
    <t>1,823,906.33</t>
  </si>
  <si>
    <t>248,888.99</t>
  </si>
  <si>
    <t>78,400.00</t>
  </si>
  <si>
    <t>911,346.26</t>
  </si>
  <si>
    <t>65,350.00</t>
  </si>
  <si>
    <t>996,031.64</t>
  </si>
  <si>
    <t>144,025.00</t>
  </si>
  <si>
    <t>187,650.00</t>
  </si>
  <si>
    <t>73,200.00</t>
  </si>
  <si>
    <t>447,660.00</t>
  </si>
  <si>
    <t>225,000.00</t>
  </si>
  <si>
    <t>24,000.00</t>
  </si>
  <si>
    <t>182,500.00</t>
  </si>
  <si>
    <t>517,600.00</t>
  </si>
  <si>
    <t>485,730.58</t>
  </si>
  <si>
    <t>142,650.00</t>
  </si>
  <si>
    <t>250,695.00</t>
  </si>
  <si>
    <t>259,200.00</t>
  </si>
  <si>
    <t>605,000.00</t>
  </si>
  <si>
    <t>573,980.00</t>
  </si>
  <si>
    <t>995,170.80</t>
  </si>
  <si>
    <t>134,300.00</t>
  </si>
  <si>
    <t>143,000.00</t>
  </si>
  <si>
    <t>3,991,600.00</t>
  </si>
  <si>
    <t>174,000.00</t>
  </si>
  <si>
    <t>2,500,000.00</t>
  </si>
  <si>
    <t>299,323.92</t>
  </si>
  <si>
    <t>350,000.00</t>
  </si>
  <si>
    <t>25,300.00</t>
  </si>
  <si>
    <t>10,500.00</t>
  </si>
  <si>
    <t>330,000.00</t>
  </si>
  <si>
    <t>373,470.00</t>
  </si>
  <si>
    <t>969,103.43</t>
  </si>
  <si>
    <t>309,800.00</t>
  </si>
  <si>
    <t>42,600.00</t>
  </si>
  <si>
    <t>208,000.00</t>
  </si>
  <si>
    <t>40,000.00</t>
  </si>
  <si>
    <t>28,650.00</t>
  </si>
  <si>
    <t>73,800.00</t>
  </si>
  <si>
    <t>94,500.00</t>
  </si>
  <si>
    <t>495,073.55</t>
  </si>
  <si>
    <t>5,925,225.30</t>
  </si>
  <si>
    <t>186,300.00</t>
  </si>
  <si>
    <t>215,100.00</t>
  </si>
  <si>
    <t>53,000.00</t>
  </si>
  <si>
    <t>2,053,800.00</t>
  </si>
  <si>
    <t>178,912.03</t>
  </si>
  <si>
    <t>1,081,358.72</t>
  </si>
  <si>
    <t>20,000.00</t>
  </si>
  <si>
    <t>80,000.00</t>
  </si>
  <si>
    <t>850,000.00</t>
  </si>
  <si>
    <t>50,000.00</t>
  </si>
  <si>
    <t>1,144,196.52</t>
  </si>
  <si>
    <t>450,363.00</t>
  </si>
  <si>
    <t>160,000.00</t>
  </si>
  <si>
    <t>1,516,131.00</t>
  </si>
  <si>
    <t>138,000.00</t>
  </si>
  <si>
    <t>68,240.00</t>
  </si>
  <si>
    <t>73,100.00</t>
  </si>
  <si>
    <t>57,400.00</t>
  </si>
  <si>
    <t>104,200.50</t>
  </si>
  <si>
    <t>98,175.00</t>
  </si>
  <si>
    <t>134,350.00</t>
  </si>
  <si>
    <t>59,500.00</t>
  </si>
  <si>
    <t>137,650.00</t>
  </si>
  <si>
    <t>148,900.00</t>
  </si>
  <si>
    <t>43,720.00</t>
  </si>
  <si>
    <t>144,475.00</t>
  </si>
  <si>
    <t>64,150.00</t>
  </si>
  <si>
    <t>34,485.00</t>
  </si>
  <si>
    <t>115,650.00</t>
  </si>
  <si>
    <t>9,800.00</t>
  </si>
  <si>
    <t>145,700.00</t>
  </si>
  <si>
    <t>145,925.00</t>
  </si>
  <si>
    <t>119,970.00</t>
  </si>
  <si>
    <t>278,600.00</t>
  </si>
  <si>
    <t>325,591.98</t>
  </si>
  <si>
    <t>4,000.00</t>
  </si>
  <si>
    <t>964,413.51</t>
  </si>
  <si>
    <t>57,000.00</t>
  </si>
  <si>
    <t>45,500.00</t>
  </si>
  <si>
    <t>190,400.00</t>
  </si>
  <si>
    <t>98,743.00</t>
  </si>
  <si>
    <t>270,940.00</t>
  </si>
  <si>
    <t>81,000.00</t>
  </si>
  <si>
    <t>264,999.81</t>
  </si>
  <si>
    <t>21,750.00</t>
  </si>
  <si>
    <t>98,600.00</t>
  </si>
  <si>
    <t>82,200.00</t>
  </si>
  <si>
    <t>990,000.00</t>
  </si>
  <si>
    <t>12,000.00</t>
  </si>
  <si>
    <t>54,823.72</t>
  </si>
  <si>
    <t>262,400.00</t>
  </si>
  <si>
    <t>608,691.00</t>
  </si>
  <si>
    <t>450,000.00</t>
  </si>
  <si>
    <t>687,848.23</t>
  </si>
  <si>
    <t>750,000.00</t>
  </si>
  <si>
    <t>156,300.00</t>
  </si>
  <si>
    <t>78,778.00</t>
  </si>
  <si>
    <t>491,749.51</t>
  </si>
  <si>
    <t>647,000.00</t>
  </si>
  <si>
    <t>21,520.00</t>
  </si>
  <si>
    <t>265,500.00</t>
  </si>
  <si>
    <t>26,397.62</t>
  </si>
  <si>
    <t>264,110.00</t>
  </si>
  <si>
    <t>84,785.00</t>
  </si>
  <si>
    <t>222,000.00</t>
  </si>
  <si>
    <t>62,422.55</t>
  </si>
  <si>
    <t>85,721.00</t>
  </si>
  <si>
    <t>548,993.00</t>
  </si>
  <si>
    <t>9,520.00</t>
  </si>
  <si>
    <t>65,520.00</t>
  </si>
  <si>
    <t>88,160.00</t>
  </si>
  <si>
    <t>210,000.00</t>
  </si>
  <si>
    <t>56,600.00</t>
  </si>
  <si>
    <t>128,000.00</t>
  </si>
  <si>
    <t>195,196.00</t>
  </si>
  <si>
    <t>40,856.68</t>
  </si>
  <si>
    <t>63,323.00</t>
  </si>
  <si>
    <t>75,950.00</t>
  </si>
  <si>
    <t>122,500.00</t>
  </si>
  <si>
    <t>49,684.00</t>
  </si>
  <si>
    <t>744,848.00</t>
  </si>
  <si>
    <t>196,740.00</t>
  </si>
  <si>
    <t>216,220.00</t>
  </si>
  <si>
    <t>164,535.00</t>
  </si>
  <si>
    <t>76,360.00</t>
  </si>
  <si>
    <t>1,156,500.00</t>
  </si>
  <si>
    <t>403,344.00</t>
  </si>
  <si>
    <t>225,805.00</t>
  </si>
  <si>
    <t>74,430.00</t>
  </si>
  <si>
    <t>165,108.00</t>
  </si>
  <si>
    <t>164,480.00</t>
  </si>
  <si>
    <t>140,000.00</t>
  </si>
  <si>
    <t>80,800.00</t>
  </si>
  <si>
    <t>460,190.00</t>
  </si>
  <si>
    <t>65,000.00</t>
  </si>
  <si>
    <t>85,000.00</t>
  </si>
  <si>
    <t>185,940.00</t>
  </si>
  <si>
    <t>14,475.00</t>
  </si>
  <si>
    <t>756,205.64</t>
  </si>
  <si>
    <t>1,000,000.00</t>
  </si>
  <si>
    <t>929,465.19</t>
  </si>
  <si>
    <t>914,845.10</t>
  </si>
  <si>
    <t>586,454.59</t>
  </si>
  <si>
    <t>806,703.30</t>
  </si>
  <si>
    <t>499,994.54</t>
  </si>
  <si>
    <t>35,222.00</t>
  </si>
  <si>
    <t>41,000.00</t>
  </si>
  <si>
    <t>18,900.00</t>
  </si>
  <si>
    <t>37,772.00</t>
  </si>
  <si>
    <t>19,200.00</t>
  </si>
  <si>
    <t>303,000.00</t>
  </si>
  <si>
    <t>300,000.00</t>
  </si>
  <si>
    <t>572,999.54</t>
  </si>
  <si>
    <t>260,000.00</t>
  </si>
  <si>
    <t>82,000.00</t>
  </si>
  <si>
    <t>208,732.00</t>
  </si>
  <si>
    <t>149,990.00</t>
  </si>
  <si>
    <t>215,030.00</t>
  </si>
  <si>
    <t>133,990.00</t>
  </si>
  <si>
    <t>176,000.00</t>
  </si>
  <si>
    <t>290,000.00</t>
  </si>
  <si>
    <t>82,500.00</t>
  </si>
  <si>
    <t>195,000.00</t>
  </si>
  <si>
    <t>227,000.00</t>
  </si>
  <si>
    <t>55,000.00</t>
  </si>
  <si>
    <t>113,457.00</t>
  </si>
  <si>
    <t>250,000.00</t>
  </si>
  <si>
    <t>206,300.00</t>
  </si>
  <si>
    <t>220,000.00</t>
  </si>
  <si>
    <t>293,875.00</t>
  </si>
  <si>
    <t>1,010,000.00</t>
  </si>
  <si>
    <t>23,655.00</t>
  </si>
  <si>
    <t>192,500.00</t>
  </si>
  <si>
    <t>81,083.25</t>
  </si>
  <si>
    <t>45,378.51</t>
  </si>
  <si>
    <t>798,000.00</t>
  </si>
  <si>
    <t>1,300.00</t>
  </si>
  <si>
    <t>351,000.00</t>
  </si>
  <si>
    <t>337,220.00</t>
  </si>
  <si>
    <t>153,973.00</t>
  </si>
  <si>
    <t>299,750.00</t>
  </si>
  <si>
    <t>999,997.26</t>
  </si>
  <si>
    <t>26,200.00</t>
  </si>
  <si>
    <t>145,400.00</t>
  </si>
  <si>
    <t>111,213.80</t>
  </si>
  <si>
    <t>593,600.00</t>
  </si>
  <si>
    <t>699,966.00</t>
  </si>
  <si>
    <t>7,531,300.00</t>
  </si>
  <si>
    <t>80,400.00</t>
  </si>
  <si>
    <t>70,600.00</t>
  </si>
  <si>
    <t>60,364.90</t>
  </si>
  <si>
    <t>108,250.00</t>
  </si>
  <si>
    <t>84,235.00</t>
  </si>
  <si>
    <t>451,638.00</t>
  </si>
  <si>
    <t>21,825.00</t>
  </si>
  <si>
    <t>71,570.00</t>
  </si>
  <si>
    <t>188,310.00</t>
  </si>
  <si>
    <t>69,000.00</t>
  </si>
  <si>
    <t>36,726.50</t>
  </si>
  <si>
    <t>56,410.00</t>
  </si>
  <si>
    <t>334,500.00</t>
  </si>
  <si>
    <t>57,873.00</t>
  </si>
  <si>
    <t>3,046,814.00</t>
  </si>
  <si>
    <t>189,734.00</t>
  </si>
  <si>
    <t>110,000.00</t>
  </si>
  <si>
    <t>700,000.00</t>
  </si>
  <si>
    <t>97,245.52</t>
  </si>
  <si>
    <t>71,500.00</t>
  </si>
  <si>
    <t>449,999.64</t>
  </si>
  <si>
    <t>95,490.00</t>
  </si>
  <si>
    <t>62,125.25</t>
  </si>
  <si>
    <t>8,000.00</t>
  </si>
  <si>
    <t>159,000.00</t>
  </si>
  <si>
    <t>100,350.00</t>
  </si>
  <si>
    <t>62,500.00</t>
  </si>
  <si>
    <t>177,550.00</t>
  </si>
  <si>
    <t>10,000.00</t>
  </si>
  <si>
    <t>135,000.00</t>
  </si>
  <si>
    <t>124,000.00</t>
  </si>
  <si>
    <t>143,676.98</t>
  </si>
  <si>
    <t>114,816.00</t>
  </si>
  <si>
    <t>60,000.00</t>
  </si>
  <si>
    <t>499,930.16</t>
  </si>
  <si>
    <t>500,000.00</t>
  </si>
  <si>
    <t>175,000.00</t>
  </si>
  <si>
    <t>223,614.00</t>
  </si>
  <si>
    <t>134,170.00</t>
  </si>
  <si>
    <t>35,250.00</t>
  </si>
  <si>
    <t>773,345.00</t>
  </si>
  <si>
    <t>174,990.00</t>
  </si>
  <si>
    <t>1,500,000.00</t>
  </si>
  <si>
    <t>12,485,100.00</t>
  </si>
  <si>
    <t>76,000.00</t>
  </si>
  <si>
    <t>35,000.00</t>
  </si>
  <si>
    <t>114,000.00</t>
  </si>
  <si>
    <t>53,970.00</t>
  </si>
  <si>
    <t>147,355.74</t>
  </si>
  <si>
    <t>51,725.50</t>
  </si>
  <si>
    <t>8,274.04</t>
  </si>
  <si>
    <t>710,000.00</t>
  </si>
  <si>
    <t>870,000.00</t>
  </si>
  <si>
    <t>73,125.00</t>
  </si>
  <si>
    <t>232,500.00</t>
  </si>
  <si>
    <t>111,500.00</t>
  </si>
  <si>
    <t>354,400.00</t>
  </si>
  <si>
    <t>98,000.00</t>
  </si>
  <si>
    <t>99,998.00</t>
  </si>
  <si>
    <t>70,256.50</t>
  </si>
  <si>
    <t>22,050.00</t>
  </si>
  <si>
    <t>131,700.00</t>
  </si>
  <si>
    <t>87,500.00</t>
  </si>
  <si>
    <t>59,350.00</t>
  </si>
  <si>
    <t>51,620.00</t>
  </si>
  <si>
    <t>600,000.00</t>
  </si>
  <si>
    <t>62,250.00</t>
  </si>
  <si>
    <t>149,000.00</t>
  </si>
  <si>
    <t>89,991.60</t>
  </si>
  <si>
    <t>436,000.00</t>
  </si>
  <si>
    <t>100,163.00</t>
  </si>
  <si>
    <t>24,050.00</t>
  </si>
  <si>
    <t>17,500,000.00</t>
  </si>
  <si>
    <t>49,497.00</t>
  </si>
  <si>
    <t>119,000.00</t>
  </si>
  <si>
    <t>572,836.00</t>
  </si>
  <si>
    <t>6,305,514.32</t>
  </si>
  <si>
    <t>60,375.00</t>
  </si>
  <si>
    <t>89,000.00</t>
  </si>
  <si>
    <t>499,955.16</t>
  </si>
  <si>
    <t>38,158.00</t>
  </si>
  <si>
    <t>212,320.00</t>
  </si>
  <si>
    <t>112,000.00</t>
  </si>
  <si>
    <t>274,000.00</t>
  </si>
  <si>
    <t>68,000.00</t>
  </si>
  <si>
    <t>107,450.00</t>
  </si>
  <si>
    <t>70,308.00</t>
  </si>
  <si>
    <t>2,597,000.00</t>
  </si>
  <si>
    <t>2,760.00</t>
  </si>
  <si>
    <t>335,840.00</t>
  </si>
  <si>
    <t>103,900.00</t>
  </si>
  <si>
    <t>250,602.90</t>
  </si>
  <si>
    <t>1,200,000.00</t>
  </si>
  <si>
    <t>235,000.00</t>
  </si>
  <si>
    <t>395,000.00</t>
  </si>
  <si>
    <t>48,995.00</t>
  </si>
  <si>
    <t>991,800.00</t>
  </si>
  <si>
    <t>100,430.00</t>
  </si>
  <si>
    <t>217,600.00</t>
  </si>
  <si>
    <t>514,500.00</t>
  </si>
  <si>
    <t>918,000.00</t>
  </si>
  <si>
    <t>1,900,000.00</t>
  </si>
  <si>
    <t>561,476.78</t>
  </si>
  <si>
    <t>997,429.13</t>
  </si>
  <si>
    <t>364,400.00</t>
  </si>
  <si>
    <t>77,424.90</t>
  </si>
  <si>
    <t>45,000.00</t>
  </si>
  <si>
    <t>801,547.12</t>
  </si>
  <si>
    <t>49,422.00</t>
  </si>
  <si>
    <t>37,000.00</t>
  </si>
  <si>
    <t>302,080.00</t>
  </si>
  <si>
    <t>967,343.96</t>
  </si>
  <si>
    <t>19,799,990.70</t>
  </si>
  <si>
    <t>17,300.00</t>
  </si>
  <si>
    <t>73,562.50</t>
  </si>
  <si>
    <t>341,294.84</t>
  </si>
  <si>
    <t>384,386.50</t>
  </si>
  <si>
    <t>3,000,000.00</t>
  </si>
  <si>
    <t>279,350.00</t>
  </si>
  <si>
    <t>188,279.40</t>
  </si>
  <si>
    <t>99,568.50</t>
  </si>
  <si>
    <t>299,000.00</t>
  </si>
  <si>
    <t>814,792.00</t>
  </si>
  <si>
    <t>164,500.00</t>
  </si>
  <si>
    <t>123,000.00</t>
  </si>
  <si>
    <t>91,800.00</t>
  </si>
  <si>
    <t>156,090.00</t>
  </si>
  <si>
    <t>39,800.00</t>
  </si>
  <si>
    <t>230,910.00</t>
  </si>
  <si>
    <t>72,606.00</t>
  </si>
  <si>
    <t>425,000.00</t>
  </si>
  <si>
    <t>240,690.00</t>
  </si>
  <si>
    <t>118,000.00</t>
  </si>
  <si>
    <t>20,108.00</t>
  </si>
  <si>
    <t>1,875,000.00</t>
  </si>
  <si>
    <t>54,702.00</t>
  </si>
  <si>
    <t>1,300,000.00</t>
  </si>
  <si>
    <t>3,800,000.00</t>
  </si>
  <si>
    <t>466,200.00</t>
  </si>
  <si>
    <t>124,082.00</t>
  </si>
  <si>
    <t>130,530.00</t>
  </si>
  <si>
    <t>19,600,000.01</t>
  </si>
  <si>
    <t>270,000.00</t>
  </si>
  <si>
    <t>369,090.00</t>
  </si>
  <si>
    <t>146,220.00</t>
  </si>
  <si>
    <t>271,800.00</t>
  </si>
  <si>
    <t>66,202.00</t>
  </si>
  <si>
    <t>49,000.00</t>
  </si>
  <si>
    <t>4,843,750.00</t>
  </si>
  <si>
    <t>94,358.10</t>
  </si>
  <si>
    <t>253,035.00</t>
  </si>
  <si>
    <t>299,265.00</t>
  </si>
  <si>
    <t>392,000.00</t>
  </si>
  <si>
    <t>327,005.00</t>
  </si>
  <si>
    <t>49,600.00</t>
  </si>
  <si>
    <t>149,215.00</t>
  </si>
  <si>
    <t>135,819.00</t>
  </si>
  <si>
    <t>143,666.00</t>
  </si>
  <si>
    <t>123,090.00</t>
  </si>
  <si>
    <t>172,399.00</t>
  </si>
  <si>
    <t>106,000.00</t>
  </si>
  <si>
    <t>79,960.00</t>
  </si>
  <si>
    <t>194,000.00</t>
  </si>
  <si>
    <t>15,000.00</t>
  </si>
  <si>
    <t>150,445.00</t>
  </si>
  <si>
    <t>126,500.00</t>
  </si>
  <si>
    <t>5,240.00</t>
  </si>
  <si>
    <t>368,285.00</t>
  </si>
  <si>
    <t>324,380.00</t>
  </si>
  <si>
    <t>77,000.00</t>
  </si>
  <si>
    <t>118,096.00</t>
  </si>
  <si>
    <t>134,600.00</t>
  </si>
  <si>
    <t>189,975.00</t>
  </si>
  <si>
    <t>57,500.00</t>
  </si>
  <si>
    <t>64,800.00</t>
  </si>
  <si>
    <t>1,717,079.00</t>
  </si>
  <si>
    <t>84,850.00</t>
  </si>
  <si>
    <t>96,838.50</t>
  </si>
  <si>
    <t>679,000.00</t>
  </si>
  <si>
    <t>87,000.00</t>
  </si>
  <si>
    <t>1,232,500.00</t>
  </si>
  <si>
    <t>73,250.00</t>
  </si>
  <si>
    <t>105,660.00</t>
  </si>
  <si>
    <t>275,000.00</t>
  </si>
  <si>
    <t>114,940.00</t>
  </si>
  <si>
    <t>1,157,500.00</t>
  </si>
  <si>
    <t>638,800.00</t>
  </si>
  <si>
    <t>8,033,000.00</t>
  </si>
  <si>
    <t>61,000.00</t>
  </si>
  <si>
    <t>36,005.00</t>
  </si>
  <si>
    <t>169,000.00</t>
  </si>
  <si>
    <t>134,270.00</t>
  </si>
  <si>
    <t>67,343.00</t>
  </si>
  <si>
    <t>49,900.00</t>
  </si>
  <si>
    <t>5,000.00</t>
  </si>
  <si>
    <t>124,310.00</t>
  </si>
  <si>
    <t>85,500.00</t>
  </si>
  <si>
    <t>5,557.00</t>
  </si>
  <si>
    <t>177,444.00</t>
  </si>
  <si>
    <t>11,999,980.96</t>
  </si>
  <si>
    <t>4,496,328.45</t>
  </si>
  <si>
    <t>374,500.00</t>
  </si>
  <si>
    <t>28,730.00</t>
  </si>
  <si>
    <t>892,180.00</t>
  </si>
  <si>
    <t>772,800.00</t>
  </si>
  <si>
    <t>1,384,925.50</t>
  </si>
  <si>
    <t>267,500.00</t>
  </si>
  <si>
    <t>95,400.00</t>
  </si>
  <si>
    <t>215,000.00</t>
  </si>
  <si>
    <t>49,462.00</t>
  </si>
  <si>
    <t>49,300.00</t>
  </si>
  <si>
    <t>162,310.00</t>
  </si>
  <si>
    <t>133,497.00</t>
  </si>
  <si>
    <t>92,000.00</t>
  </si>
  <si>
    <t>252,715.00</t>
  </si>
  <si>
    <t>53,345.00</t>
  </si>
  <si>
    <t>2,999,526.55</t>
  </si>
  <si>
    <t>4,999,737.09</t>
  </si>
  <si>
    <t>213,485.39</t>
  </si>
  <si>
    <t>960,000.00</t>
  </si>
  <si>
    <t>2,030,000.00</t>
  </si>
  <si>
    <t>373,464.00</t>
  </si>
  <si>
    <t>46,690.00</t>
  </si>
  <si>
    <t>147,000.00</t>
  </si>
  <si>
    <t>262,140.40</t>
  </si>
  <si>
    <t>304,840.00</t>
  </si>
  <si>
    <t>94,928.20</t>
  </si>
  <si>
    <t>151,000.00</t>
  </si>
  <si>
    <t>673,920.00</t>
  </si>
  <si>
    <t>42,950.00</t>
  </si>
  <si>
    <t>145,000.00</t>
  </si>
  <si>
    <t>136,700.00</t>
  </si>
  <si>
    <t>115,000.00</t>
  </si>
  <si>
    <t>49,960.00</t>
  </si>
  <si>
    <t>638,980.10</t>
  </si>
  <si>
    <t>119,400.00</t>
  </si>
  <si>
    <t>91,190.00</t>
  </si>
  <si>
    <t>151,015.00</t>
  </si>
  <si>
    <t>49,490.00</t>
  </si>
  <si>
    <t>23,350.00</t>
  </si>
  <si>
    <t>81,549.50</t>
  </si>
  <si>
    <t>392,760.38</t>
  </si>
  <si>
    <t>12,869,538.62</t>
  </si>
  <si>
    <t>95,200.00</t>
  </si>
  <si>
    <t>51,470.00</t>
  </si>
  <si>
    <t>74,406.00</t>
  </si>
  <si>
    <t>204,000.00</t>
  </si>
  <si>
    <t>478,750.00</t>
  </si>
  <si>
    <t>400,000.00</t>
  </si>
  <si>
    <t>93,925.00</t>
  </si>
  <si>
    <t>215,720.00</t>
  </si>
  <si>
    <t>950,000.00</t>
  </si>
  <si>
    <t>54,000.00</t>
  </si>
  <si>
    <t>57,250.00</t>
  </si>
  <si>
    <t>200,100.00</t>
  </si>
  <si>
    <t>1,952,364.50</t>
  </si>
  <si>
    <t>237,500.00</t>
  </si>
  <si>
    <t>20,000,000.00</t>
  </si>
  <si>
    <t>149,999.80</t>
  </si>
  <si>
    <t>23,100.00</t>
  </si>
  <si>
    <t>101,713.00</t>
  </si>
  <si>
    <t>153,200.00</t>
  </si>
  <si>
    <t>58,000.00</t>
  </si>
  <si>
    <t>149,500.00</t>
  </si>
  <si>
    <t>454,670.00</t>
  </si>
  <si>
    <t>166,830.00</t>
  </si>
  <si>
    <t>106,798.00</t>
  </si>
  <si>
    <t>199,663.80</t>
  </si>
  <si>
    <t>107,470.00</t>
  </si>
  <si>
    <t>462,480.00</t>
  </si>
  <si>
    <t>77,550.00</t>
  </si>
  <si>
    <t>13,500,000.00</t>
  </si>
  <si>
    <t>52,995.00</t>
  </si>
  <si>
    <t>171,300.00</t>
  </si>
  <si>
    <t>90,000.00</t>
  </si>
  <si>
    <t>769,500.00</t>
  </si>
  <si>
    <t>88,440.00</t>
  </si>
  <si>
    <t>325,000.00</t>
  </si>
  <si>
    <t>469,045.35</t>
  </si>
  <si>
    <t>175,340.00</t>
  </si>
  <si>
    <t>80,256.00</t>
  </si>
  <si>
    <t>936,828.12</t>
  </si>
  <si>
    <t>93,000.00</t>
  </si>
  <si>
    <t>3,156,000.00</t>
  </si>
  <si>
    <t>929,000.00</t>
  </si>
  <si>
    <t>89,100.00</t>
  </si>
  <si>
    <t>138,180.00</t>
  </si>
  <si>
    <t>601,000.00</t>
  </si>
  <si>
    <t>4,999,862.04</t>
  </si>
  <si>
    <t>1,299,211.49</t>
  </si>
  <si>
    <t>129,450.50</t>
  </si>
  <si>
    <t>96,794.00</t>
  </si>
  <si>
    <t>214,000.09</t>
  </si>
  <si>
    <t>30,000,000.00</t>
  </si>
  <si>
    <t>387,431.25</t>
  </si>
  <si>
    <t>532,852.00</t>
  </si>
  <si>
    <t>140,400.00</t>
  </si>
  <si>
    <t>997,079.00</t>
  </si>
  <si>
    <t>56,087.51</t>
  </si>
  <si>
    <t>50,012.00</t>
  </si>
  <si>
    <t>66,700.00</t>
  </si>
  <si>
    <t>154,650.00</t>
  </si>
  <si>
    <t>368,273.00</t>
  </si>
  <si>
    <t>570,000.00</t>
  </si>
  <si>
    <t>65,700.00</t>
  </si>
  <si>
    <t>178,627.23</t>
  </si>
  <si>
    <t>170,000.00</t>
  </si>
  <si>
    <t>538,500.00</t>
  </si>
  <si>
    <t>70,251.00</t>
  </si>
  <si>
    <t>1,206,250.00</t>
  </si>
  <si>
    <t>311,659.00</t>
  </si>
  <si>
    <t>178,874.00</t>
  </si>
  <si>
    <t>295,465.00</t>
  </si>
  <si>
    <t>129,999.80</t>
  </si>
  <si>
    <t>61,600.00</t>
  </si>
  <si>
    <t>959,825.00</t>
  </si>
  <si>
    <t>68,401.00</t>
  </si>
  <si>
    <t>140,800.00</t>
  </si>
  <si>
    <t>355,000.00</t>
  </si>
  <si>
    <t>346,179.68</t>
  </si>
  <si>
    <t>103,800.00</t>
  </si>
  <si>
    <t>407,017.50</t>
  </si>
  <si>
    <t>12,500.00</t>
  </si>
  <si>
    <t>190,920.00</t>
  </si>
  <si>
    <t>112,749.00</t>
  </si>
  <si>
    <t>244,800.00</t>
  </si>
  <si>
    <t>2,081,852.89</t>
  </si>
  <si>
    <t>92,400.00</t>
  </si>
  <si>
    <t>4,500.00</t>
  </si>
  <si>
    <t>20,371.43</t>
  </si>
  <si>
    <t>58,533.00</t>
  </si>
  <si>
    <t>52,500.00</t>
  </si>
  <si>
    <t>365,276.00</t>
  </si>
  <si>
    <t>53,750.00</t>
  </si>
  <si>
    <t>190,000.00</t>
  </si>
  <si>
    <t>977,400.00</t>
  </si>
  <si>
    <t>32,200,037.43</t>
  </si>
  <si>
    <t>100,240.00</t>
  </si>
  <si>
    <t>126,920.00</t>
  </si>
  <si>
    <t>810,000.00</t>
  </si>
  <si>
    <t>37,008,000.00</t>
  </si>
  <si>
    <t>720,000.00</t>
  </si>
  <si>
    <t>58,930.00</t>
  </si>
  <si>
    <t>4,997,875.93</t>
  </si>
  <si>
    <t>1,064,000.00</t>
  </si>
  <si>
    <t>141,085.00</t>
  </si>
  <si>
    <t>186,602.80</t>
  </si>
  <si>
    <t>671,339.63</t>
  </si>
  <si>
    <t>873,000.00</t>
  </si>
  <si>
    <t>5,500,000.00</t>
  </si>
  <si>
    <t>30,000.00</t>
  </si>
  <si>
    <t>248,459.81</t>
  </si>
  <si>
    <t>63,600.00</t>
  </si>
  <si>
    <t>81,500.00</t>
  </si>
  <si>
    <t>335,590.62</t>
  </si>
  <si>
    <t>258,000.00</t>
  </si>
  <si>
    <t>157,790.00</t>
  </si>
  <si>
    <t>164,000.00</t>
  </si>
  <si>
    <t>717,000.00</t>
  </si>
  <si>
    <t>116,790.00</t>
  </si>
  <si>
    <t>117,000.00</t>
  </si>
  <si>
    <t>136,000.00</t>
  </si>
  <si>
    <t>794,854.73</t>
  </si>
  <si>
    <t>340,665.00</t>
  </si>
  <si>
    <t>169,490.00</t>
  </si>
  <si>
    <t>6,003,035.00</t>
  </si>
  <si>
    <t>331,055.00</t>
  </si>
  <si>
    <t>1,912,500.00</t>
  </si>
  <si>
    <t>59,592.00</t>
  </si>
  <si>
    <t>242,000.00</t>
  </si>
  <si>
    <t>109,500.00</t>
  </si>
  <si>
    <t>360,000.00</t>
  </si>
  <si>
    <t>102,092.00</t>
  </si>
  <si>
    <t>119,550.00</t>
  </si>
  <si>
    <t>198,245.00</t>
  </si>
  <si>
    <t>66,000.00</t>
  </si>
  <si>
    <t>4,260,000.00</t>
  </si>
  <si>
    <t>1,100,000.00</t>
  </si>
  <si>
    <t>912,717.00</t>
  </si>
  <si>
    <t>2,649,500.20</t>
  </si>
  <si>
    <t>60,800.00</t>
  </si>
  <si>
    <t>90,574.40</t>
  </si>
  <si>
    <t>9,000.00</t>
  </si>
  <si>
    <t>132,000.00</t>
  </si>
  <si>
    <t>305,000.00</t>
  </si>
  <si>
    <t>239,155.02</t>
  </si>
  <si>
    <t>708,000.00</t>
  </si>
  <si>
    <t>61,500.00</t>
  </si>
  <si>
    <t>78,000.00</t>
  </si>
  <si>
    <t>309,500.00</t>
  </si>
  <si>
    <t>1,545,822.66</t>
  </si>
  <si>
    <t>180,000.00</t>
  </si>
  <si>
    <t>1,536,000.00</t>
  </si>
  <si>
    <t>966,410.00</t>
  </si>
  <si>
    <t>5,001.00</t>
  </si>
  <si>
    <t>1,259,500.00</t>
  </si>
  <si>
    <t>149,700.00</t>
  </si>
  <si>
    <t>95,000.00</t>
  </si>
  <si>
    <t>25,000.00</t>
  </si>
  <si>
    <t>2,999,845.00</t>
  </si>
  <si>
    <t>524,254.00</t>
  </si>
  <si>
    <t>3,599,958.00</t>
  </si>
  <si>
    <t>112,550.00</t>
  </si>
  <si>
    <t>711,071.20</t>
  </si>
  <si>
    <t>836,217.00</t>
  </si>
  <si>
    <t>84,000.00</t>
  </si>
  <si>
    <t>184,231.25</t>
  </si>
  <si>
    <t>172,000.00</t>
  </si>
  <si>
    <t>70,741.08</t>
  </si>
  <si>
    <t>59,698.00</t>
  </si>
  <si>
    <t>1,455,302.52</t>
  </si>
  <si>
    <t>1,775,000.00</t>
  </si>
  <si>
    <t>249,106.00</t>
  </si>
  <si>
    <t>125,715.00</t>
  </si>
  <si>
    <t>2,430,000.00</t>
  </si>
  <si>
    <t>129,600.00</t>
  </si>
  <si>
    <t>96,300.00</t>
  </si>
  <si>
    <t>510,500.00</t>
  </si>
  <si>
    <t>82,720.00</t>
  </si>
  <si>
    <t>94,250.00</t>
  </si>
  <si>
    <t>77,280.00</t>
  </si>
  <si>
    <t>3,100,000.00</t>
  </si>
  <si>
    <t>261,250.00</t>
  </si>
  <si>
    <t>2,850,000.00</t>
  </si>
  <si>
    <t>62,950.00</t>
  </si>
  <si>
    <t>163,535.65</t>
  </si>
  <si>
    <t>100,440.00</t>
  </si>
  <si>
    <t>4,800,000.00</t>
  </si>
  <si>
    <t>999,930.75</t>
  </si>
  <si>
    <t>266,000.00</t>
  </si>
  <si>
    <t>113,500.00</t>
  </si>
  <si>
    <t>429,664.00</t>
  </si>
  <si>
    <t>349,579.26</t>
  </si>
  <si>
    <t>6,500,000.00</t>
  </si>
  <si>
    <t>183,263.00</t>
  </si>
  <si>
    <t>9,000,000.00</t>
  </si>
  <si>
    <t>401,990.00</t>
  </si>
  <si>
    <t>1,800,000.00</t>
  </si>
  <si>
    <t>93,360.00</t>
  </si>
  <si>
    <t>241,376.24</t>
  </si>
  <si>
    <t>1,256,000.00</t>
  </si>
  <si>
    <t>153,000.00</t>
  </si>
  <si>
    <t>55,299.00</t>
  </si>
  <si>
    <t>90,400.00</t>
  </si>
  <si>
    <t>421,630.00</t>
  </si>
  <si>
    <t>430,250.00</t>
  </si>
  <si>
    <t>129,990.00</t>
  </si>
  <si>
    <t>49,500.00</t>
  </si>
  <si>
    <t>796,366.00</t>
  </si>
  <si>
    <t>223,629.50</t>
  </si>
  <si>
    <t>87,900.00</t>
  </si>
  <si>
    <t>129,210.00</t>
  </si>
  <si>
    <t>51,000.00</t>
  </si>
  <si>
    <t>1,547,500.00</t>
  </si>
  <si>
    <t>91,192.50</t>
  </si>
  <si>
    <t>142,048.13</t>
  </si>
  <si>
    <t>59,484.00</t>
  </si>
  <si>
    <t>544,040.00</t>
  </si>
  <si>
    <t>1,396,500.00</t>
  </si>
  <si>
    <t>199,946.62</t>
  </si>
  <si>
    <t>317,050.00</t>
  </si>
  <si>
    <t>159,999.00</t>
  </si>
  <si>
    <t>102,272.80</t>
  </si>
  <si>
    <t>892,209.00</t>
  </si>
  <si>
    <t>1,092,970.00</t>
  </si>
  <si>
    <t>331,256.68</t>
  </si>
  <si>
    <t>29,940.00</t>
  </si>
  <si>
    <t>1,645,000.00</t>
  </si>
  <si>
    <t>140,925.00</t>
  </si>
  <si>
    <t>99,981.00</t>
  </si>
  <si>
    <t>83,839.28</t>
  </si>
  <si>
    <t>3,799,170.80</t>
  </si>
  <si>
    <t>14,350.00</t>
  </si>
  <si>
    <t>123,612.76</t>
  </si>
  <si>
    <t>4,500,000.00</t>
  </si>
  <si>
    <t>340,000.00</t>
  </si>
  <si>
    <t>89,360.00</t>
  </si>
  <si>
    <t>82,616.10</t>
  </si>
  <si>
    <t>25,164.00</t>
  </si>
  <si>
    <t>82,028.00</t>
  </si>
  <si>
    <t>3,000.00</t>
  </si>
  <si>
    <t>1,088,175.00</t>
  </si>
  <si>
    <t>903,339.22</t>
  </si>
  <si>
    <t>88,950.00</t>
  </si>
  <si>
    <t>233,200.00</t>
  </si>
  <si>
    <t>116,250.00</t>
  </si>
  <si>
    <t>66,753.33</t>
  </si>
  <si>
    <t>835,000.00</t>
  </si>
  <si>
    <t>253,705.84</t>
  </si>
  <si>
    <t>320,000.00</t>
  </si>
  <si>
    <t>412,450.00</t>
  </si>
  <si>
    <t>474,082.28</t>
  </si>
  <si>
    <t>6,400,000.00</t>
  </si>
  <si>
    <t>70,039.50</t>
  </si>
  <si>
    <t>5,700.00</t>
  </si>
  <si>
    <t>102,690.00</t>
  </si>
  <si>
    <t>995,600.00</t>
  </si>
  <si>
    <t>145,861.28</t>
  </si>
  <si>
    <t>224,035.00</t>
  </si>
  <si>
    <t>40,190.00</t>
  </si>
  <si>
    <t>1,299,653.06</t>
  </si>
  <si>
    <t>199,821.56</t>
  </si>
  <si>
    <t>131,530.00</t>
  </si>
  <si>
    <t>41,476.00</t>
  </si>
  <si>
    <t>896,000.00</t>
  </si>
  <si>
    <t>183,200.00</t>
  </si>
  <si>
    <t>285,000.00</t>
  </si>
  <si>
    <t>59,020.00</t>
  </si>
  <si>
    <t>1,116,000.00</t>
  </si>
  <si>
    <t>437,000.00</t>
  </si>
  <si>
    <t>1,825,000.00</t>
  </si>
  <si>
    <t>181,169.00</t>
  </si>
  <si>
    <t>152,588.90</t>
  </si>
  <si>
    <t>800,000.00</t>
  </si>
  <si>
    <t>672,000.00</t>
  </si>
  <si>
    <t>598,927.84</t>
  </si>
  <si>
    <t>1,365,000.00</t>
  </si>
  <si>
    <t>72,900.00</t>
  </si>
  <si>
    <t>88,309.00</t>
  </si>
  <si>
    <t>55,290.00</t>
  </si>
  <si>
    <t>1,980,000.00</t>
  </si>
  <si>
    <t>432,000.00</t>
  </si>
  <si>
    <t>13,000.00</t>
  </si>
  <si>
    <t>90,150.00</t>
  </si>
  <si>
    <t>173,250.00</t>
  </si>
  <si>
    <t>236,430.00</t>
  </si>
  <si>
    <t>4,000,000.00</t>
  </si>
  <si>
    <t>184,800.00</t>
  </si>
  <si>
    <t>23,024.00</t>
  </si>
  <si>
    <t>225,757.00</t>
  </si>
  <si>
    <t>128,100.00</t>
  </si>
  <si>
    <t>9,360.00</t>
  </si>
  <si>
    <t>51,393.00</t>
  </si>
  <si>
    <t>400,115.00</t>
  </si>
  <si>
    <t>200,735.00</t>
  </si>
  <si>
    <t>1,313,000.00</t>
  </si>
  <si>
    <t>106,555.00</t>
  </si>
  <si>
    <t>82,943.00</t>
  </si>
  <si>
    <t>55,900.36</t>
  </si>
  <si>
    <t>480,000.00</t>
  </si>
  <si>
    <t>69,500.00</t>
  </si>
  <si>
    <t>811,775.00</t>
  </si>
  <si>
    <t>1,960,000.00</t>
  </si>
  <si>
    <t>375,900.00</t>
  </si>
  <si>
    <t>64,000.00</t>
  </si>
  <si>
    <t>89,244.90</t>
  </si>
  <si>
    <t>3,500,000.00</t>
  </si>
  <si>
    <t>64,756.00</t>
  </si>
  <si>
    <t>80,575.00</t>
  </si>
  <si>
    <t>1,764,000.00</t>
  </si>
  <si>
    <t>11,879,669.71</t>
  </si>
  <si>
    <t>119,470.00</t>
  </si>
  <si>
    <t>349,132.30</t>
  </si>
  <si>
    <t>2,600,000.00</t>
  </si>
  <si>
    <t>258,500.00</t>
  </si>
  <si>
    <t>56,696.00</t>
  </si>
  <si>
    <t>117,393.97</t>
  </si>
  <si>
    <t>1,411,491.00</t>
  </si>
  <si>
    <t>192,148.00</t>
  </si>
  <si>
    <t>922,750.00</t>
  </si>
  <si>
    <t>1,783,109.00</t>
  </si>
  <si>
    <t>988,483.62</t>
  </si>
  <si>
    <t>97,350.00</t>
  </si>
  <si>
    <t>172,327.25</t>
  </si>
  <si>
    <t>672,028.47</t>
  </si>
  <si>
    <t>32,500.00</t>
  </si>
  <si>
    <t>10,000,000.00</t>
  </si>
  <si>
    <t>59,104.00</t>
  </si>
  <si>
    <t>90,916.00</t>
  </si>
  <si>
    <t>99,000.00</t>
  </si>
  <si>
    <t>88,244.80</t>
  </si>
  <si>
    <t>56,616.50</t>
  </si>
  <si>
    <t>759,977.46</t>
  </si>
  <si>
    <t>59,060.00</t>
  </si>
  <si>
    <t>78,310.00</t>
  </si>
  <si>
    <t>47,990.00</t>
  </si>
  <si>
    <t>449,620.00</t>
  </si>
  <si>
    <t>99,562.50</t>
  </si>
  <si>
    <t>58,500.00</t>
  </si>
  <si>
    <t>77,920.00</t>
  </si>
  <si>
    <t>13,091.00</t>
  </si>
  <si>
    <t>373,268.00</t>
  </si>
  <si>
    <t>142,500.00</t>
  </si>
  <si>
    <t>463,680.00</t>
  </si>
  <si>
    <t>73,920.00</t>
  </si>
  <si>
    <t>78,750.00</t>
  </si>
  <si>
    <t>945,000.00</t>
  </si>
  <si>
    <t>723,683.00</t>
  </si>
  <si>
    <t>96,000.00</t>
  </si>
  <si>
    <t>407,580.00</t>
  </si>
  <si>
    <t>104,000.00</t>
  </si>
  <si>
    <t>1,118,500.00</t>
  </si>
  <si>
    <t>399,999.00</t>
  </si>
  <si>
    <t>260,289.80</t>
  </si>
  <si>
    <t>809,100.00</t>
  </si>
  <si>
    <t>74,477.00</t>
  </si>
  <si>
    <t>281,910.60</t>
  </si>
  <si>
    <t>366,000.00</t>
  </si>
  <si>
    <t>702,000.00</t>
  </si>
  <si>
    <t>88,000.00</t>
  </si>
  <si>
    <t>998,565.31</t>
  </si>
  <si>
    <t>80,640.00</t>
  </si>
  <si>
    <t>200,500.00</t>
  </si>
  <si>
    <t>119,416.00</t>
  </si>
  <si>
    <t>128,761.67</t>
  </si>
  <si>
    <t>377,490.00</t>
  </si>
  <si>
    <t>389,870.00</t>
  </si>
  <si>
    <t>960,640.00</t>
  </si>
  <si>
    <t>46,300.00</t>
  </si>
  <si>
    <t>2,959,847.63</t>
  </si>
  <si>
    <t>59,620.94</t>
  </si>
  <si>
    <t>117,800.00</t>
  </si>
  <si>
    <t>13,469.40</t>
  </si>
  <si>
    <t>55,760.00</t>
  </si>
  <si>
    <t>154,000.00</t>
  </si>
  <si>
    <t>19,230.00</t>
  </si>
  <si>
    <t>3,250,000.00</t>
  </si>
  <si>
    <t>997,900.00</t>
  </si>
  <si>
    <t>80,500.00</t>
  </si>
  <si>
    <t>189,000.00</t>
  </si>
  <si>
    <t>1,505,927.25</t>
  </si>
  <si>
    <t>222,390.35</t>
  </si>
  <si>
    <t>113,933.70</t>
  </si>
  <si>
    <t>139,925,000.00</t>
  </si>
  <si>
    <t>54,835.00</t>
  </si>
  <si>
    <t>238,000.00</t>
  </si>
  <si>
    <t>127,500.00</t>
  </si>
  <si>
    <t>56,000.00</t>
  </si>
  <si>
    <t>202,414.87</t>
  </si>
  <si>
    <t>23,055.00</t>
  </si>
  <si>
    <t>794,000.00</t>
  </si>
  <si>
    <t>26,055,000.00</t>
  </si>
  <si>
    <t>1,499,814.60</t>
  </si>
  <si>
    <t>346,400.00</t>
  </si>
  <si>
    <t>999,940.00</t>
  </si>
  <si>
    <t>102,323.00</t>
  </si>
  <si>
    <t>514,284.51</t>
  </si>
  <si>
    <t>155,000.00</t>
  </si>
  <si>
    <t>70,170.00</t>
  </si>
  <si>
    <t>890,000.00</t>
  </si>
  <si>
    <t>1,360,800.00</t>
  </si>
  <si>
    <t>416,951.00</t>
  </si>
  <si>
    <t>198,750.00</t>
  </si>
  <si>
    <t>224,000.00</t>
  </si>
  <si>
    <t>176,550.00</t>
  </si>
  <si>
    <t>76,776.00</t>
  </si>
  <si>
    <t>17,000.00</t>
  </si>
  <si>
    <t>149,920.00</t>
  </si>
  <si>
    <t>26,753.87</t>
  </si>
  <si>
    <t>135,347.00</t>
  </si>
  <si>
    <t>369,695.00</t>
  </si>
  <si>
    <t>219,000.00</t>
  </si>
  <si>
    <t>171,500.00</t>
  </si>
  <si>
    <t>157,683.11</t>
  </si>
  <si>
    <t>10,750.00</t>
  </si>
  <si>
    <t>2,700,000.00</t>
  </si>
  <si>
    <t>96,094.50</t>
  </si>
  <si>
    <t>341,005.00</t>
  </si>
  <si>
    <t>9,708,696.14</t>
  </si>
  <si>
    <t>88,289.71</t>
  </si>
  <si>
    <t>1,600.00</t>
  </si>
  <si>
    <t>1,177,296.74</t>
  </si>
  <si>
    <t>280,770.00</t>
  </si>
  <si>
    <t>3,960.00</t>
  </si>
  <si>
    <t>99,970.00</t>
  </si>
  <si>
    <t>59,700.00</t>
  </si>
  <si>
    <t>32,000.00</t>
  </si>
  <si>
    <t>1,301,750.00</t>
  </si>
  <si>
    <t>845,000.00</t>
  </si>
  <si>
    <t>520,500.00</t>
  </si>
  <si>
    <t>199,980.00</t>
  </si>
  <si>
    <t>82,185.00</t>
  </si>
  <si>
    <t>112,530.00</t>
  </si>
  <si>
    <t>148,666.67</t>
  </si>
  <si>
    <t>167,500.00</t>
  </si>
  <si>
    <t>5,400.00</t>
  </si>
  <si>
    <t>222,893.00</t>
  </si>
  <si>
    <t>311,500.00</t>
  </si>
  <si>
    <t>6,000,000.00</t>
  </si>
  <si>
    <t>33,510.00</t>
  </si>
  <si>
    <t>56,015.00</t>
  </si>
  <si>
    <t>99,930.00</t>
  </si>
  <si>
    <t>199,950.00</t>
  </si>
  <si>
    <t>97,166.70</t>
  </si>
  <si>
    <t>56,325.50</t>
  </si>
  <si>
    <t>61,335.00</t>
  </si>
  <si>
    <t>206,600.00</t>
  </si>
  <si>
    <t>45,390.00</t>
  </si>
  <si>
    <t>129,870.00</t>
  </si>
  <si>
    <t>692,746.69</t>
  </si>
  <si>
    <t>210,420.00</t>
  </si>
  <si>
    <t>199,200.00</t>
  </si>
  <si>
    <t>6,402,200.00</t>
  </si>
  <si>
    <t>70,500.00</t>
  </si>
  <si>
    <t>1,260.00</t>
  </si>
  <si>
    <t>984,196.03</t>
  </si>
  <si>
    <t>210,052.00</t>
  </si>
  <si>
    <t>285,700.00</t>
  </si>
  <si>
    <t>132,500.00</t>
  </si>
  <si>
    <t>178,000.00</t>
  </si>
  <si>
    <t>205,600.00</t>
  </si>
  <si>
    <t>540,937.50</t>
  </si>
  <si>
    <t>637,480.00</t>
  </si>
  <si>
    <t>405,768.46</t>
  </si>
  <si>
    <t>301,025.00</t>
  </si>
  <si>
    <t>3,800.00</t>
  </si>
  <si>
    <t>66,680.29</t>
  </si>
  <si>
    <t>241,400.00</t>
  </si>
  <si>
    <t>217,990.00</t>
  </si>
  <si>
    <t>298,635.00</t>
  </si>
  <si>
    <t>776,980.50</t>
  </si>
  <si>
    <t>52,800.00</t>
  </si>
  <si>
    <t>10,197.00</t>
  </si>
  <si>
    <t>53,760.00</t>
  </si>
  <si>
    <t>222,235.00</t>
  </si>
  <si>
    <t>74,000.00</t>
  </si>
  <si>
    <t>14,400.00</t>
  </si>
  <si>
    <t>999,675.56</t>
  </si>
  <si>
    <t>400,020.00</t>
  </si>
  <si>
    <t>137,000.00</t>
  </si>
  <si>
    <t>160,875.00</t>
  </si>
  <si>
    <t>87,470.00</t>
  </si>
  <si>
    <t>650,943.76</t>
  </si>
  <si>
    <t>114,600.00</t>
  </si>
  <si>
    <t>18,580.00</t>
  </si>
  <si>
    <t>59,185.00</t>
  </si>
  <si>
    <t>162,800.00</t>
  </si>
  <si>
    <t>976,098.92</t>
  </si>
  <si>
    <t>172,500.00</t>
  </si>
  <si>
    <t>17,961.75</t>
  </si>
  <si>
    <t>258,405.00</t>
  </si>
  <si>
    <t>152,247.00</t>
  </si>
  <si>
    <t>498,000.00</t>
  </si>
  <si>
    <t>199,270.00</t>
  </si>
  <si>
    <t>145,650.00</t>
  </si>
  <si>
    <t>930,123.21</t>
  </si>
  <si>
    <t>9,500.00</t>
  </si>
  <si>
    <t>85,600.00</t>
  </si>
  <si>
    <t>600,092.00</t>
  </si>
  <si>
    <t>74,155.00</t>
  </si>
  <si>
    <t>262,472.00</t>
  </si>
  <si>
    <t>93,400.00</t>
  </si>
  <si>
    <t>59,300.00</t>
  </si>
  <si>
    <t>194,523.00</t>
  </si>
  <si>
    <t>3,261,000.00</t>
  </si>
  <si>
    <t>692,134.00</t>
  </si>
  <si>
    <t>53,125.00</t>
  </si>
  <si>
    <t>1,315,519.00</t>
  </si>
  <si>
    <t>99,100.00</t>
  </si>
  <si>
    <t>157,963.00</t>
  </si>
  <si>
    <t>61,429.26</t>
  </si>
  <si>
    <t>799,924.00</t>
  </si>
  <si>
    <t>46,630.00</t>
  </si>
  <si>
    <t>116,262.00</t>
  </si>
  <si>
    <t>545,351.00</t>
  </si>
  <si>
    <t>11,940,000.00</t>
  </si>
  <si>
    <t>18,637.00</t>
  </si>
  <si>
    <t>541,100.00</t>
  </si>
  <si>
    <t>550,000.00</t>
  </si>
  <si>
    <t>940,000.00</t>
  </si>
  <si>
    <t>38,450.00</t>
  </si>
  <si>
    <t>2,225,000.00</t>
  </si>
  <si>
    <t>97,000.00</t>
  </si>
  <si>
    <t>377,336.00</t>
  </si>
  <si>
    <t>171,700.00</t>
  </si>
  <si>
    <t>92,450.00</t>
  </si>
  <si>
    <t>108,220.00</t>
  </si>
  <si>
    <t>178,450.00</t>
  </si>
  <si>
    <t>5,789.00</t>
  </si>
  <si>
    <t>926,965.55</t>
  </si>
  <si>
    <t>191,067.00</t>
  </si>
  <si>
    <t>152,000.00</t>
  </si>
  <si>
    <t>455,788.00</t>
  </si>
  <si>
    <t>247,950.00</t>
  </si>
  <si>
    <t>9,600.00</t>
  </si>
  <si>
    <t>617,890.00</t>
  </si>
  <si>
    <t>1,650,000.00</t>
  </si>
  <si>
    <t>500,020.00</t>
  </si>
  <si>
    <t>888,200.00</t>
  </si>
  <si>
    <t>686,755.00</t>
  </si>
  <si>
    <t>375,400.00</t>
  </si>
  <si>
    <t>8,950,000.00</t>
  </si>
  <si>
    <t>59,748.00</t>
  </si>
  <si>
    <t>18,000.00</t>
  </si>
  <si>
    <t>99,947.25</t>
  </si>
  <si>
    <t>554,800.00</t>
  </si>
  <si>
    <t>4,930.00</t>
  </si>
  <si>
    <t>15,750.00</t>
  </si>
  <si>
    <t>7,800.00</t>
  </si>
  <si>
    <t>144,413.00</t>
  </si>
  <si>
    <t>650,000.00</t>
  </si>
  <si>
    <t>66,730.00</t>
  </si>
  <si>
    <t>619,800.42</t>
  </si>
  <si>
    <t>505,500.00</t>
  </si>
  <si>
    <t>248,710.00</t>
  </si>
  <si>
    <t>2,800.00</t>
  </si>
  <si>
    <t>11,000.00</t>
  </si>
  <si>
    <t>183,566.40</t>
  </si>
  <si>
    <t>124,091.00</t>
  </si>
  <si>
    <t>191,000.00</t>
  </si>
  <si>
    <t>181,042.00</t>
  </si>
  <si>
    <t>588,897.97</t>
  </si>
  <si>
    <t>217,687.00</t>
  </si>
  <si>
    <t>217,017.08</t>
  </si>
  <si>
    <t>164,220.00</t>
  </si>
  <si>
    <t>699,569.51</t>
  </si>
  <si>
    <t>2,053,500.00</t>
  </si>
  <si>
    <t>8,835.00</t>
  </si>
  <si>
    <t>2,200.00</t>
  </si>
  <si>
    <t>871,355.00</t>
  </si>
  <si>
    <t>100,450.00</t>
  </si>
  <si>
    <t>153,049.00</t>
  </si>
  <si>
    <t>112,560.00</t>
  </si>
  <si>
    <t>481,357.35</t>
  </si>
  <si>
    <t>126,688.00</t>
  </si>
  <si>
    <t>230,000.00</t>
  </si>
  <si>
    <t>916,000.00</t>
  </si>
  <si>
    <t>11,600.00</t>
  </si>
  <si>
    <t>908,620.00</t>
  </si>
  <si>
    <t>281,050.00</t>
  </si>
  <si>
    <t>99,172.14</t>
  </si>
  <si>
    <t>237,930.00</t>
  </si>
  <si>
    <t>997,728.50</t>
  </si>
  <si>
    <t>348,750.00</t>
  </si>
  <si>
    <t>61,970.00</t>
  </si>
  <si>
    <t>296,000.00</t>
  </si>
  <si>
    <t>204,975.00</t>
  </si>
  <si>
    <t>52,000.00</t>
  </si>
  <si>
    <t>1,469,965.85</t>
  </si>
  <si>
    <t>146,236.00</t>
  </si>
  <si>
    <t>103,500.00</t>
  </si>
  <si>
    <t>80,895.00</t>
  </si>
  <si>
    <t>236,300.00</t>
  </si>
  <si>
    <t>998,899.20</t>
  </si>
  <si>
    <t>998,775.00</t>
  </si>
  <si>
    <t>73,500.00</t>
  </si>
  <si>
    <t>235,319.00</t>
  </si>
  <si>
    <t>53,240.00</t>
  </si>
  <si>
    <t>55,380.00</t>
  </si>
  <si>
    <t>299,793.00</t>
  </si>
  <si>
    <t>55,650.00</t>
  </si>
  <si>
    <t>124,500.00</t>
  </si>
  <si>
    <t>319,232.00</t>
  </si>
  <si>
    <t>288,480.00</t>
  </si>
  <si>
    <t>150,540.00</t>
  </si>
  <si>
    <t>999,763.60</t>
  </si>
  <si>
    <t>338,100.00</t>
  </si>
  <si>
    <t>99,945.00</t>
  </si>
  <si>
    <t>55,400.00</t>
  </si>
  <si>
    <t>211,430.00</t>
  </si>
  <si>
    <t>260,586.00</t>
  </si>
  <si>
    <t>68,800.00</t>
  </si>
  <si>
    <t>500,640.00</t>
  </si>
  <si>
    <t>335,960.00</t>
  </si>
  <si>
    <t>299,959.30</t>
  </si>
  <si>
    <t>390,000.00</t>
  </si>
  <si>
    <t>449,688.65</t>
  </si>
  <si>
    <t>123,312.00</t>
  </si>
  <si>
    <t>545,000.00</t>
  </si>
  <si>
    <t>5,114.75</t>
  </si>
  <si>
    <t>125,165.00</t>
  </si>
  <si>
    <t>48,375,875.00</t>
  </si>
  <si>
    <t>1,485.00</t>
  </si>
  <si>
    <t>171,216.42</t>
  </si>
  <si>
    <t>985,000.00</t>
  </si>
  <si>
    <t>101,000.00</t>
  </si>
  <si>
    <t>13,071.50</t>
  </si>
  <si>
    <t>8,403.50</t>
  </si>
  <si>
    <t>421,235.00</t>
  </si>
  <si>
    <t>492,466.11</t>
  </si>
  <si>
    <t>281,541.52</t>
  </si>
  <si>
    <t>920.00</t>
  </si>
  <si>
    <t>3,915,409.87</t>
  </si>
  <si>
    <t>284,209.51</t>
  </si>
  <si>
    <t>4,970.00</t>
  </si>
  <si>
    <t>125,300.00</t>
  </si>
  <si>
    <t>138,200.00</t>
  </si>
  <si>
    <t>299,577.00</t>
  </si>
  <si>
    <t>3,408,975.00</t>
  </si>
  <si>
    <t>757,090.00</t>
  </si>
  <si>
    <t>101,431.00</t>
  </si>
  <si>
    <t>66,154.00</t>
  </si>
  <si>
    <t>4,790.00</t>
  </si>
  <si>
    <t>324,740.00</t>
  </si>
  <si>
    <t>499,946.79</t>
  </si>
  <si>
    <t>1,950,000.00</t>
  </si>
  <si>
    <t>71,200.00</t>
  </si>
  <si>
    <t>240,550.00</t>
  </si>
  <si>
    <t>17,850.00</t>
  </si>
  <si>
    <t>219,994.00</t>
  </si>
  <si>
    <t>96,600.00</t>
  </si>
  <si>
    <t>2,000,800.00</t>
  </si>
  <si>
    <t>249,956.21</t>
  </si>
  <si>
    <t>808,265.00</t>
  </si>
  <si>
    <t>1,267,306.00</t>
  </si>
  <si>
    <t>51,503.00</t>
  </si>
  <si>
    <t>692,500.00</t>
  </si>
  <si>
    <t>85,800.00</t>
  </si>
  <si>
    <t>28,900.00</t>
  </si>
  <si>
    <t>68,660.00</t>
  </si>
  <si>
    <t>74,100.00</t>
  </si>
  <si>
    <t>499,400.00</t>
  </si>
  <si>
    <t>69,324.00</t>
  </si>
  <si>
    <t>85,125.00</t>
  </si>
  <si>
    <t>129,900.00</t>
  </si>
  <si>
    <t>1,083,882.89</t>
  </si>
  <si>
    <t>58,085.00</t>
  </si>
  <si>
    <t>888,040.00</t>
  </si>
  <si>
    <t>1,295,000.00</t>
  </si>
  <si>
    <t>161,500.00</t>
  </si>
  <si>
    <t>21,942.80</t>
  </si>
  <si>
    <t>271,400.00</t>
  </si>
  <si>
    <t>195,500.00</t>
  </si>
  <si>
    <t>994,410.00</t>
  </si>
  <si>
    <t>729,324.72</t>
  </si>
  <si>
    <t>23,550.00</t>
  </si>
  <si>
    <t>57,167.64</t>
  </si>
  <si>
    <t>1,499,949.95</t>
  </si>
  <si>
    <t>54,600.00</t>
  </si>
  <si>
    <t>217,157.48</t>
  </si>
  <si>
    <t>775,500.00</t>
  </si>
  <si>
    <t>6,750.00</t>
  </si>
  <si>
    <t>25,000,000.00</t>
  </si>
  <si>
    <t>391,500.00</t>
  </si>
  <si>
    <t>594,600.00</t>
  </si>
  <si>
    <t>499,872.03</t>
  </si>
  <si>
    <t>1,110,000.00</t>
  </si>
  <si>
    <t>141,996.00</t>
  </si>
  <si>
    <t>1,188,509.64</t>
  </si>
  <si>
    <t>88,100.00</t>
  </si>
  <si>
    <t>248,655.00</t>
  </si>
  <si>
    <t>2,650,000.00</t>
  </si>
  <si>
    <t>99,929.38</t>
  </si>
  <si>
    <t>276,214.80</t>
  </si>
  <si>
    <t>101,400.00</t>
  </si>
  <si>
    <t>1,450.00</t>
  </si>
  <si>
    <t>2,916,563.20</t>
  </si>
  <si>
    <t>432,430.00</t>
  </si>
  <si>
    <t>617,582.00</t>
  </si>
  <si>
    <t>72,205,000.00</t>
  </si>
  <si>
    <t>71,185.00</t>
  </si>
  <si>
    <t>1,927,827.00</t>
  </si>
  <si>
    <t>63,710.00</t>
  </si>
  <si>
    <t>4,475,000.00</t>
  </si>
  <si>
    <t>77,900.00</t>
  </si>
  <si>
    <t>67,000.00</t>
  </si>
  <si>
    <t>112,500.00</t>
  </si>
  <si>
    <t>57,600.00</t>
  </si>
  <si>
    <t>74,997.50</t>
  </si>
  <si>
    <t>10,878,000.00</t>
  </si>
  <si>
    <t>280,538.57</t>
  </si>
  <si>
    <t>354,250.00</t>
  </si>
  <si>
    <t>3,400,000.00</t>
  </si>
  <si>
    <t>359,225.44</t>
  </si>
  <si>
    <t>173,500.00</t>
  </si>
  <si>
    <t>86,000.00</t>
  </si>
  <si>
    <t>343,750.00</t>
  </si>
  <si>
    <t>20,400.00</t>
  </si>
  <si>
    <t>40,000,000.00</t>
  </si>
  <si>
    <t>178,528.00</t>
  </si>
  <si>
    <t>64,500.00</t>
  </si>
  <si>
    <t>980,000.00</t>
  </si>
  <si>
    <t>558,530.00</t>
  </si>
  <si>
    <t>3,870,941.31</t>
  </si>
  <si>
    <t>444,728.50</t>
  </si>
  <si>
    <t>255,400.00</t>
  </si>
  <si>
    <t>632,006.00</t>
  </si>
  <si>
    <t>73,375.00</t>
  </si>
  <si>
    <t>152,300.00</t>
  </si>
  <si>
    <t>2,219,000.00</t>
  </si>
  <si>
    <t>96,250.00</t>
  </si>
  <si>
    <t>6,000.00</t>
  </si>
  <si>
    <t>29,845.00</t>
  </si>
  <si>
    <t>113,300.00</t>
  </si>
  <si>
    <t>19,100.00</t>
  </si>
  <si>
    <t>199,840.00</t>
  </si>
  <si>
    <t>186,590.75</t>
  </si>
  <si>
    <t>103,000.00</t>
  </si>
  <si>
    <t>552,236.00</t>
  </si>
  <si>
    <t>3,445,000.00</t>
  </si>
  <si>
    <t>152,250.00</t>
  </si>
  <si>
    <t>431,596.00</t>
  </si>
  <si>
    <t>114,125.00</t>
  </si>
  <si>
    <t>199,749.90</t>
  </si>
  <si>
    <t>110,160.00</t>
  </si>
  <si>
    <t>198,000.00</t>
  </si>
  <si>
    <t>177,670.00</t>
  </si>
  <si>
    <t>1,070,304.42</t>
  </si>
  <si>
    <t>1,200.00</t>
  </si>
  <si>
    <t>82,650.00</t>
  </si>
  <si>
    <t>949,090.91</t>
  </si>
  <si>
    <t>116,892.00</t>
  </si>
  <si>
    <t>4,770.00</t>
  </si>
  <si>
    <t>4,127,440.60</t>
  </si>
  <si>
    <t>149,735.12</t>
  </si>
  <si>
    <t>96,470.60</t>
  </si>
  <si>
    <t>4,492,742.23</t>
  </si>
  <si>
    <t>170,789.55</t>
  </si>
  <si>
    <t>179,600.00</t>
  </si>
  <si>
    <t>92,501.00</t>
  </si>
  <si>
    <t>532,000.00</t>
  </si>
  <si>
    <t>292,967.64</t>
  </si>
  <si>
    <t>15,000,000.00</t>
  </si>
  <si>
    <t>55,401.39</t>
  </si>
  <si>
    <t>91,500.00</t>
  </si>
  <si>
    <t>229,450.00</t>
  </si>
  <si>
    <t>499,970.62</t>
  </si>
  <si>
    <t>1,878,251.47</t>
  </si>
  <si>
    <t>404,792.50</t>
  </si>
  <si>
    <t>52,920.00</t>
  </si>
  <si>
    <t>283,000.00</t>
  </si>
  <si>
    <t>61,800.00</t>
  </si>
  <si>
    <t>147,126.00</t>
  </si>
  <si>
    <t>446,413.28</t>
  </si>
  <si>
    <t>457,420.00</t>
  </si>
  <si>
    <t>82,823.00</t>
  </si>
  <si>
    <t>65,200.00</t>
  </si>
  <si>
    <t>110,645.00</t>
  </si>
  <si>
    <t>157,700.00</t>
  </si>
  <si>
    <t>129,888.00</t>
  </si>
  <si>
    <t>304,000.00</t>
  </si>
  <si>
    <t>199,900.00</t>
  </si>
  <si>
    <t>80,280.00</t>
  </si>
  <si>
    <t>22,000.00</t>
  </si>
  <si>
    <t>1,523,377.32</t>
  </si>
  <si>
    <t>608,200.00</t>
  </si>
  <si>
    <t>20,666.50</t>
  </si>
  <si>
    <t>124,208.00</t>
  </si>
  <si>
    <t>400,040.00</t>
  </si>
  <si>
    <t>109,105.00</t>
  </si>
  <si>
    <t>79,320.00</t>
  </si>
  <si>
    <t>65,400.00</t>
  </si>
  <si>
    <t>75,450.00</t>
  </si>
  <si>
    <t>634,414.00</t>
  </si>
  <si>
    <t>374,190.27</t>
  </si>
  <si>
    <t>312,350.00</t>
  </si>
  <si>
    <t>77,761.00</t>
  </si>
  <si>
    <t>89,375.00</t>
  </si>
  <si>
    <t>197,600.00</t>
  </si>
  <si>
    <t>37,020.00</t>
  </si>
  <si>
    <t>1.00</t>
  </si>
  <si>
    <t>106,020.00</t>
  </si>
  <si>
    <t>649,900.00</t>
  </si>
  <si>
    <t>61,775.00</t>
  </si>
  <si>
    <t>584,775.00</t>
  </si>
  <si>
    <t>93,920.00</t>
  </si>
  <si>
    <t>560,000.00</t>
  </si>
  <si>
    <t>833,546.00</t>
  </si>
  <si>
    <t>307,320.87</t>
  </si>
  <si>
    <t>144,000.00</t>
  </si>
  <si>
    <t>2,207,653.46</t>
  </si>
  <si>
    <t>62,000.00</t>
  </si>
  <si>
    <t>1,590.00</t>
  </si>
  <si>
    <t>50,260.00</t>
  </si>
  <si>
    <t>157,762.90</t>
  </si>
  <si>
    <t>126,000.00</t>
  </si>
  <si>
    <t>66,780.00</t>
  </si>
  <si>
    <t>99,900.00</t>
  </si>
  <si>
    <t>546,549.00</t>
  </si>
  <si>
    <t>29,062.00</t>
  </si>
  <si>
    <t>81,685.62</t>
  </si>
  <si>
    <t>193,960,000.00</t>
  </si>
  <si>
    <t>689,800.00</t>
  </si>
  <si>
    <t>2,139,445.67</t>
  </si>
  <si>
    <t>133,600.00</t>
  </si>
  <si>
    <t>1,158,000.00</t>
  </si>
  <si>
    <t>246,650.00</t>
  </si>
  <si>
    <t>79,950.00</t>
  </si>
  <si>
    <t>1,617,730.29</t>
  </si>
  <si>
    <t>52,950.00</t>
  </si>
  <si>
    <t>14,500.00</t>
  </si>
  <si>
    <t>61,490.00</t>
  </si>
  <si>
    <t>999,750.00</t>
  </si>
  <si>
    <t>499,903.88</t>
  </si>
  <si>
    <t>50,850.00</t>
  </si>
  <si>
    <t>351,225.00</t>
  </si>
  <si>
    <t>72,735.00</t>
  </si>
  <si>
    <t>329,844.05</t>
  </si>
  <si>
    <t>143,800.00</t>
  </si>
  <si>
    <t>20,700.00</t>
  </si>
  <si>
    <t>1,488,834.00</t>
  </si>
  <si>
    <t>153,900.00</t>
  </si>
  <si>
    <t>127,391.24</t>
  </si>
  <si>
    <t>692,161.60</t>
  </si>
  <si>
    <t>499,992.69</t>
  </si>
  <si>
    <t>74,500.00</t>
  </si>
  <si>
    <t>69,800.00</t>
  </si>
  <si>
    <t>78,070.00</t>
  </si>
  <si>
    <t>70,040.00</t>
  </si>
  <si>
    <t>65,630.00</t>
  </si>
  <si>
    <t>189,844.20</t>
  </si>
  <si>
    <t>1,199,872.92</t>
  </si>
  <si>
    <t>204,301.00</t>
  </si>
  <si>
    <t>3,200.00</t>
  </si>
  <si>
    <t>499,919.85</t>
  </si>
  <si>
    <t>59,587.21</t>
  </si>
  <si>
    <t>549,761.10</t>
  </si>
  <si>
    <t>30,997.10</t>
  </si>
  <si>
    <t>63,610.00</t>
  </si>
  <si>
    <t>678,021.00</t>
  </si>
  <si>
    <t>36,000.00</t>
  </si>
  <si>
    <t>55,500.00</t>
  </si>
  <si>
    <t>22,368.00</t>
  </si>
  <si>
    <t>59,000.00</t>
  </si>
  <si>
    <t>518,000.00</t>
  </si>
  <si>
    <t>299,880.00</t>
  </si>
  <si>
    <t>8,500.00</t>
  </si>
  <si>
    <t>199,992.50</t>
  </si>
  <si>
    <t>27,000.00</t>
  </si>
  <si>
    <t>447,505.00</t>
  </si>
  <si>
    <t>216,616.00</t>
  </si>
  <si>
    <t>175,750.00</t>
  </si>
  <si>
    <t>7,184.00</t>
  </si>
  <si>
    <t>161,413.63</t>
  </si>
  <si>
    <t>119,026.00</t>
  </si>
  <si>
    <t>76,800.00</t>
  </si>
  <si>
    <t>751,521.25</t>
  </si>
  <si>
    <t>335,231.76</t>
  </si>
  <si>
    <t>116,815.00</t>
  </si>
  <si>
    <t>2,014,700.00</t>
  </si>
  <si>
    <t>139,940.00</t>
  </si>
  <si>
    <t>455,680.00</t>
  </si>
  <si>
    <t>69,200.00</t>
  </si>
  <si>
    <t>136,987.00</t>
  </si>
  <si>
    <t>309,736.00</t>
  </si>
  <si>
    <t>97,750.00</t>
  </si>
  <si>
    <t>13,807,000.00</t>
  </si>
  <si>
    <t>432,036.04</t>
  </si>
  <si>
    <t>1,165,512.94</t>
  </si>
  <si>
    <t>235,480.00</t>
  </si>
  <si>
    <t>320,400.00</t>
  </si>
  <si>
    <t>495,449.06</t>
  </si>
  <si>
    <t>116,800.00</t>
  </si>
  <si>
    <t>699,967.05</t>
  </si>
  <si>
    <t>86,690.00</t>
  </si>
  <si>
    <t>1,199,763.12</t>
  </si>
  <si>
    <t>19,729,056.51</t>
  </si>
  <si>
    <t>132,650.00</t>
  </si>
  <si>
    <t>31,200.00</t>
  </si>
  <si>
    <t>625,617.00</t>
  </si>
  <si>
    <t>3,900,000.00</t>
  </si>
  <si>
    <t>63,000.00</t>
  </si>
  <si>
    <t>248,400.00</t>
  </si>
  <si>
    <t>63,645.00</t>
  </si>
  <si>
    <t>148,500.00</t>
  </si>
  <si>
    <t>499,877.44</t>
  </si>
  <si>
    <t>84,600.00</t>
  </si>
  <si>
    <t>62,670.00</t>
  </si>
  <si>
    <t>11,919,966.10</t>
  </si>
  <si>
    <t>46,140.00</t>
  </si>
  <si>
    <t>51,250.00</t>
  </si>
  <si>
    <t>249,000.00</t>
  </si>
  <si>
    <t>785,048.00</t>
  </si>
  <si>
    <t>413,650.00</t>
  </si>
  <si>
    <t>3,860.00</t>
  </si>
  <si>
    <t>16,250.00</t>
  </si>
  <si>
    <t>499,985.88</t>
  </si>
  <si>
    <t>78,504.15</t>
  </si>
  <si>
    <t>75,718.32</t>
  </si>
  <si>
    <t>499,990.35</t>
  </si>
  <si>
    <t>21,466,200.00</t>
  </si>
  <si>
    <t>11,005,392.85</t>
  </si>
  <si>
    <t>146,800.00</t>
  </si>
  <si>
    <t>85,812.30</t>
  </si>
  <si>
    <t>1,397,000.00</t>
  </si>
  <si>
    <t>185,000.00</t>
  </si>
  <si>
    <t>49,060.00</t>
  </si>
  <si>
    <t>459,350.00</t>
  </si>
  <si>
    <t>4,989,403.09</t>
  </si>
  <si>
    <t>202,976.59</t>
  </si>
  <si>
    <t>100,495,000.00</t>
  </si>
  <si>
    <t>212,303.10</t>
  </si>
  <si>
    <t>760,000.00</t>
  </si>
  <si>
    <t>1,454,419.78</t>
  </si>
  <si>
    <t>199,266.30</t>
  </si>
  <si>
    <t>29,669,273.35</t>
  </si>
  <si>
    <t>7,320,968.20</t>
  </si>
  <si>
    <t>76,400.00</t>
  </si>
  <si>
    <t>1,473,076.24</t>
  </si>
  <si>
    <t>76,915.00</t>
  </si>
  <si>
    <t>168,000.00</t>
  </si>
  <si>
    <t>77,143.00</t>
  </si>
  <si>
    <t>817,650.00</t>
  </si>
  <si>
    <t>70,736.00</t>
  </si>
  <si>
    <t>103,200.00</t>
  </si>
  <si>
    <t>226,006.19</t>
  </si>
  <si>
    <t>359,100.00</t>
  </si>
  <si>
    <t>329,245.00</t>
  </si>
  <si>
    <t>1,474,382.55</t>
  </si>
  <si>
    <t>51,690.00</t>
  </si>
  <si>
    <t>44,010.00</t>
  </si>
  <si>
    <t>11,681,069.30</t>
  </si>
  <si>
    <t>675,000.00</t>
  </si>
  <si>
    <t>10,350.00</t>
  </si>
  <si>
    <t>657,829.82</t>
  </si>
  <si>
    <t>799,994.00</t>
  </si>
  <si>
    <t>48,000.00</t>
  </si>
  <si>
    <t>1,962,498.71</t>
  </si>
  <si>
    <t>1,961,834.29</t>
  </si>
  <si>
    <t>971,399.21</t>
  </si>
  <si>
    <t>1,410,000.00</t>
  </si>
  <si>
    <t>24,564.00</t>
  </si>
  <si>
    <t>114,214.00</t>
  </si>
  <si>
    <t>145,676.00</t>
  </si>
  <si>
    <t>1,880,269.55</t>
  </si>
  <si>
    <t>344,616.30</t>
  </si>
  <si>
    <t>74,943.00</t>
  </si>
  <si>
    <t>744,300.00</t>
  </si>
  <si>
    <t>687,500.00</t>
  </si>
  <si>
    <t>8,000,000.00</t>
  </si>
  <si>
    <t>10,422.00</t>
  </si>
  <si>
    <t>572,300.00</t>
  </si>
  <si>
    <t>46,800.00</t>
  </si>
  <si>
    <t>102,000.00</t>
  </si>
  <si>
    <t>334,825.92</t>
  </si>
  <si>
    <t>9,600,000.00</t>
  </si>
  <si>
    <t>47,085.00</t>
  </si>
  <si>
    <t>138,705.00</t>
  </si>
  <si>
    <t>2,888,799.37</t>
  </si>
  <si>
    <t>657,600.00</t>
  </si>
  <si>
    <t>10,326,000.00</t>
  </si>
  <si>
    <t>114,912.00</t>
  </si>
  <si>
    <t>2,823,316.31</t>
  </si>
  <si>
    <t>260,061.54</t>
  </si>
  <si>
    <t>342,400.00</t>
  </si>
  <si>
    <t>490,644.00</t>
  </si>
  <si>
    <t>299,967.00</t>
  </si>
  <si>
    <t>15,533,070.00</t>
  </si>
  <si>
    <t>168,932.00</t>
  </si>
  <si>
    <t>100,991.00</t>
  </si>
  <si>
    <t>620,152.20</t>
  </si>
  <si>
    <t>5,880,000.00</t>
  </si>
  <si>
    <t>299,952.00</t>
  </si>
  <si>
    <t>492,500.00</t>
  </si>
  <si>
    <t>664,128.54</t>
  </si>
  <si>
    <t>165,000.00</t>
  </si>
  <si>
    <t>93,800.00</t>
  </si>
  <si>
    <t>247,500.00</t>
  </si>
  <si>
    <t>1,448,205.93</t>
  </si>
  <si>
    <t>79,045.76</t>
  </si>
  <si>
    <t>937,760.00</t>
  </si>
  <si>
    <t>141,614.50</t>
  </si>
  <si>
    <t>3,137,117.42</t>
  </si>
  <si>
    <t>2,485,785.00</t>
  </si>
  <si>
    <t>216,000.00</t>
  </si>
  <si>
    <t>462,625.00</t>
  </si>
  <si>
    <t>67,500.00</t>
  </si>
  <si>
    <t>510,000.00</t>
  </si>
  <si>
    <t>159,786.00</t>
  </si>
  <si>
    <t>35,900.00</t>
  </si>
  <si>
    <t>173,059.00</t>
  </si>
  <si>
    <t>11,450.00</t>
  </si>
  <si>
    <t>118,660.00</t>
  </si>
  <si>
    <t>1,016,468.00</t>
  </si>
  <si>
    <t>95,248.50</t>
  </si>
  <si>
    <t>528,200.00</t>
  </si>
  <si>
    <t>54,760.00</t>
  </si>
  <si>
    <t>272,360.76</t>
  </si>
  <si>
    <t>913,077.45</t>
  </si>
  <si>
    <t>640,000.00</t>
  </si>
  <si>
    <t>132,548.00</t>
  </si>
  <si>
    <t>106,800.00</t>
  </si>
  <si>
    <t>704,000.00</t>
  </si>
  <si>
    <t>1,408,000.00</t>
  </si>
  <si>
    <t>1,180,000.00</t>
  </si>
  <si>
    <t>49,265.00</t>
  </si>
  <si>
    <t>301,790.00</t>
  </si>
  <si>
    <t>7,791,980.00</t>
  </si>
  <si>
    <t>2,970,000.00</t>
  </si>
  <si>
    <t>53,400.00</t>
  </si>
  <si>
    <t>20,500.00</t>
  </si>
  <si>
    <t>41,300.00</t>
  </si>
  <si>
    <t>314,640.00</t>
  </si>
  <si>
    <t>1,539,625.00</t>
  </si>
  <si>
    <t>572,000.00</t>
  </si>
  <si>
    <t>131,293.00</t>
  </si>
  <si>
    <t>227,350.00</t>
  </si>
  <si>
    <t>63,888.00</t>
  </si>
  <si>
    <t>105,600.00</t>
  </si>
  <si>
    <t>120,300.00</t>
  </si>
  <si>
    <t>399,507.00</t>
  </si>
  <si>
    <t>438,311.60</t>
  </si>
  <si>
    <t>261,785.00</t>
  </si>
  <si>
    <t>99,820.00</t>
  </si>
  <si>
    <t>24,750,000.00</t>
  </si>
  <si>
    <t>100,774.00</t>
  </si>
  <si>
    <t>219,170.00</t>
  </si>
  <si>
    <t>1,108,177.72</t>
  </si>
  <si>
    <t>167,950.00</t>
  </si>
  <si>
    <t>77,725.00</t>
  </si>
  <si>
    <t>66,500.00</t>
  </si>
  <si>
    <t>2,230,099.54</t>
  </si>
  <si>
    <t>167,395.00</t>
  </si>
  <si>
    <t>838,845.00</t>
  </si>
  <si>
    <t>164,989.00</t>
  </si>
  <si>
    <t>14,700,000.00</t>
  </si>
  <si>
    <t>712,000.00</t>
  </si>
  <si>
    <t>59,996.00</t>
  </si>
  <si>
    <t>10,700.00</t>
  </si>
  <si>
    <t>761,100.00</t>
  </si>
  <si>
    <t>91,052.73</t>
  </si>
  <si>
    <t>220,752.00</t>
  </si>
  <si>
    <t>199,997.75</t>
  </si>
  <si>
    <t>444,504.85</t>
  </si>
  <si>
    <t>17,640,000.00</t>
  </si>
  <si>
    <t>74,995.00</t>
  </si>
  <si>
    <t>16,393.00</t>
  </si>
  <si>
    <t>57,415.70</t>
  </si>
  <si>
    <t>12,491.00</t>
  </si>
  <si>
    <t>177,500.00</t>
  </si>
  <si>
    <t>135,674.00</t>
  </si>
  <si>
    <t>111,000.00</t>
  </si>
  <si>
    <t>174,054.20</t>
  </si>
  <si>
    <t>69,480.00</t>
  </si>
  <si>
    <t>1,950,550.64</t>
  </si>
  <si>
    <t>67,312.25</t>
  </si>
  <si>
    <t>72,240.00</t>
  </si>
  <si>
    <t>7,350,000.00</t>
  </si>
  <si>
    <t>2,065,702.00</t>
  </si>
  <si>
    <t>129,000.00</t>
  </si>
  <si>
    <t>3,373,349.35</t>
  </si>
  <si>
    <t>248,900.00</t>
  </si>
  <si>
    <t>17,606.00</t>
  </si>
  <si>
    <t>868,761.80</t>
  </si>
  <si>
    <t>55,270.00</t>
  </si>
  <si>
    <t>315,000.00</t>
  </si>
  <si>
    <t>153,300.00</t>
  </si>
  <si>
    <t>207,703.84</t>
  </si>
  <si>
    <t>207,340.24</t>
  </si>
  <si>
    <t>856,959.00</t>
  </si>
  <si>
    <t>60,668.00</t>
  </si>
  <si>
    <t>2,965,903.12</t>
  </si>
  <si>
    <t>202,926.40</t>
  </si>
  <si>
    <t>11,500,000.00</t>
  </si>
  <si>
    <t>16,815.00</t>
  </si>
  <si>
    <t>91,200.00</t>
  </si>
  <si>
    <t>9,620.00</t>
  </si>
  <si>
    <t>379,500.00</t>
  </si>
  <si>
    <t>33,976.00</t>
  </si>
  <si>
    <t>61,300.00</t>
  </si>
  <si>
    <t>241,500.00</t>
  </si>
  <si>
    <t>469,000.00</t>
  </si>
  <si>
    <t>204,100.00</t>
  </si>
  <si>
    <t>2,100,000.00</t>
  </si>
  <si>
    <t>754,064.08</t>
  </si>
  <si>
    <t>1,155,217.00</t>
  </si>
  <si>
    <t>54,813.00</t>
  </si>
  <si>
    <t>898,000.00</t>
  </si>
  <si>
    <t>240,186.17</t>
  </si>
  <si>
    <t>389,142.49</t>
  </si>
  <si>
    <t>361,475.71</t>
  </si>
  <si>
    <t>82,594.00</t>
  </si>
  <si>
    <t>5,756,437.64</t>
  </si>
  <si>
    <t>2,099,298.88</t>
  </si>
  <si>
    <t>312,476.50</t>
  </si>
  <si>
    <t>2,467,745.00</t>
  </si>
  <si>
    <t>934,550.00</t>
  </si>
  <si>
    <t>34,999.50</t>
  </si>
  <si>
    <t>292,250.00</t>
  </si>
  <si>
    <t>1,600,000.00</t>
  </si>
  <si>
    <t>2,250,000.00</t>
  </si>
  <si>
    <t>239,990.35</t>
  </si>
  <si>
    <t>42,000.00</t>
  </si>
  <si>
    <t>60,500.00</t>
  </si>
  <si>
    <t>547,302.00</t>
  </si>
  <si>
    <t>570,800.00</t>
  </si>
  <si>
    <t>666,000.00</t>
  </si>
  <si>
    <t>187,000.00</t>
  </si>
  <si>
    <t>109,720.00</t>
  </si>
  <si>
    <t>851,000.00</t>
  </si>
  <si>
    <t>122,400.00</t>
  </si>
  <si>
    <t>89,560.00</t>
  </si>
  <si>
    <t>423,185.00</t>
  </si>
  <si>
    <t>116,060.00</t>
  </si>
  <si>
    <t>772,000.00</t>
  </si>
  <si>
    <t>2,800,000.00</t>
  </si>
  <si>
    <t>56,525.00</t>
  </si>
  <si>
    <t>5,093,825.35</t>
  </si>
  <si>
    <t>959,720.88</t>
  </si>
  <si>
    <t>77,030.00</t>
  </si>
  <si>
    <t>224,662.25</t>
  </si>
  <si>
    <t>53,800.00</t>
  </si>
  <si>
    <t>116,940.00</t>
  </si>
  <si>
    <t>398,424.65</t>
  </si>
  <si>
    <t>281,390.00</t>
  </si>
  <si>
    <t>64,388.50</t>
  </si>
  <si>
    <t>911,497.30</t>
  </si>
  <si>
    <t>708,087.25</t>
  </si>
  <si>
    <t>398,881.42</t>
  </si>
  <si>
    <t>445,150.00</t>
  </si>
  <si>
    <t>79,900.00</t>
  </si>
  <si>
    <t>997,742.86</t>
  </si>
  <si>
    <t>450,679.86</t>
  </si>
  <si>
    <t>68,930.00</t>
  </si>
  <si>
    <t>106,900.00</t>
  </si>
  <si>
    <t>44,000.00</t>
  </si>
  <si>
    <t>22,267.00</t>
  </si>
  <si>
    <t>1,153,000.00</t>
  </si>
  <si>
    <t>53,610.00</t>
  </si>
  <si>
    <t>63,720.00</t>
  </si>
  <si>
    <t>572,414.00</t>
  </si>
  <si>
    <t>95,500.00</t>
  </si>
  <si>
    <t>60,138.64</t>
  </si>
  <si>
    <t>920,000.00</t>
  </si>
  <si>
    <t>134,100.00</t>
  </si>
  <si>
    <t>101,600.00</t>
  </si>
  <si>
    <t>152,590.00</t>
  </si>
  <si>
    <t>50,990.00</t>
  </si>
  <si>
    <t>590,000.00</t>
  </si>
  <si>
    <t>79,755.00</t>
  </si>
  <si>
    <t>74,180.00</t>
  </si>
  <si>
    <t>112,800.00</t>
  </si>
  <si>
    <t>618,230.00</t>
  </si>
  <si>
    <t>36,778.20</t>
  </si>
  <si>
    <t>883,000.00</t>
  </si>
  <si>
    <t>584,000.00</t>
  </si>
  <si>
    <t>499,754.84</t>
  </si>
  <si>
    <t>261,800.00</t>
  </si>
  <si>
    <t>194,870.00</t>
  </si>
  <si>
    <t>120,150.00</t>
  </si>
  <si>
    <t>20,575.00</t>
  </si>
  <si>
    <t>868,000.00</t>
  </si>
  <si>
    <t>99,950.00</t>
  </si>
  <si>
    <t>197,800.00</t>
  </si>
  <si>
    <t>380,000.00</t>
  </si>
  <si>
    <t>90,950.00</t>
  </si>
  <si>
    <t>1,185,000.00</t>
  </si>
  <si>
    <t>156,000.00</t>
  </si>
  <si>
    <t>91,000.00</t>
  </si>
  <si>
    <t>329,050.97</t>
  </si>
  <si>
    <t>110,250.00</t>
  </si>
  <si>
    <t>79,027.00</t>
  </si>
  <si>
    <t>29,184.00</t>
  </si>
  <si>
    <t>124,245.00</t>
  </si>
  <si>
    <t>350,370.00</t>
  </si>
  <si>
    <t>34,920.00</t>
  </si>
  <si>
    <t>45,000,000.00</t>
  </si>
  <si>
    <t>64,706,962.68</t>
  </si>
  <si>
    <t>331,565.00</t>
  </si>
  <si>
    <t>1,499,994.00</t>
  </si>
  <si>
    <t>179,000.00</t>
  </si>
  <si>
    <t>876,362.00</t>
  </si>
  <si>
    <t>584,124.00</t>
  </si>
  <si>
    <t>48,945.00</t>
  </si>
  <si>
    <t>999,983.12</t>
  </si>
  <si>
    <t>58,135.00</t>
  </si>
  <si>
    <t>999,997.95</t>
  </si>
  <si>
    <t>11,700,957.10</t>
  </si>
  <si>
    <t>886,892.00</t>
  </si>
  <si>
    <t>553,880.00</t>
  </si>
  <si>
    <t>635,000.00</t>
  </si>
  <si>
    <t>695,350.00</t>
  </si>
  <si>
    <t>66,600.00</t>
  </si>
  <si>
    <t>728,052.00</t>
  </si>
  <si>
    <t>77,300.00</t>
  </si>
  <si>
    <t>411,166.00</t>
  </si>
  <si>
    <t>730,507.00</t>
  </si>
  <si>
    <t>950,190.00</t>
  </si>
  <si>
    <t>1,232,082.10</t>
  </si>
  <si>
    <t>87,200.00</t>
  </si>
  <si>
    <t>1,190,000.00</t>
  </si>
  <si>
    <t>19,800,000.00</t>
  </si>
  <si>
    <t>86,360.00</t>
  </si>
  <si>
    <t>744,528.00</t>
  </si>
  <si>
    <t>297,500.00</t>
  </si>
  <si>
    <t>191,925.00</t>
  </si>
  <si>
    <t>69,125.00</t>
  </si>
  <si>
    <t>51,605.00</t>
  </si>
  <si>
    <t>149,950.00</t>
  </si>
  <si>
    <t>59,884.00</t>
  </si>
  <si>
    <t>167,516.00</t>
  </si>
  <si>
    <t>995,000.00</t>
  </si>
  <si>
    <t>193,906.16</t>
  </si>
  <si>
    <t>97,714.81</t>
  </si>
  <si>
    <t>242,382.70</t>
  </si>
  <si>
    <t>183,250.00</t>
  </si>
  <si>
    <t>34,112,590.31</t>
  </si>
  <si>
    <t>198,946.99</t>
  </si>
  <si>
    <t>506,987.00</t>
  </si>
  <si>
    <t>6,935,000.00</t>
  </si>
  <si>
    <t>198,135.00</t>
  </si>
  <si>
    <t>273,149.20</t>
  </si>
  <si>
    <t>23,672,820.00</t>
  </si>
  <si>
    <t>39,360.00</t>
  </si>
  <si>
    <t>4,928,626.71</t>
  </si>
  <si>
    <t>152,365.00</t>
  </si>
  <si>
    <t>763,099.44</t>
  </si>
  <si>
    <t>368,619.50</t>
  </si>
  <si>
    <t>452,800.00</t>
  </si>
  <si>
    <t>29,600.00</t>
  </si>
  <si>
    <t>64,950.00</t>
  </si>
  <si>
    <t>199,871.08</t>
  </si>
  <si>
    <t>5,520.00</t>
  </si>
  <si>
    <t>99,965.00</t>
  </si>
  <si>
    <t>77,620.00</t>
  </si>
  <si>
    <t>237,900.00</t>
  </si>
  <si>
    <t>499,970.00</t>
  </si>
  <si>
    <t>3,973,619.00</t>
  </si>
  <si>
    <t>931,500.00</t>
  </si>
  <si>
    <t>499,423.38</t>
  </si>
  <si>
    <t>183,867.37</t>
  </si>
  <si>
    <t>498,191.38</t>
  </si>
  <si>
    <t>1,999,975.70</t>
  </si>
  <si>
    <t>105,843.75</t>
  </si>
  <si>
    <t>193,735.88</t>
  </si>
  <si>
    <t>177,705.00</t>
  </si>
  <si>
    <t>355,960.00</t>
  </si>
  <si>
    <t>699,678.51</t>
  </si>
  <si>
    <t>156,228.00</t>
  </si>
  <si>
    <t>270,992.00</t>
  </si>
  <si>
    <t>499,223.05</t>
  </si>
  <si>
    <t>663,419.00</t>
  </si>
  <si>
    <t>999,450.00</t>
  </si>
  <si>
    <t>788,970.44</t>
  </si>
  <si>
    <t>144,760.00</t>
  </si>
  <si>
    <t>309,300.00</t>
  </si>
  <si>
    <t>587,324.90</t>
  </si>
  <si>
    <t>956,450.00</t>
  </si>
  <si>
    <t>100,169.32</t>
  </si>
  <si>
    <t>59,400.00</t>
  </si>
  <si>
    <t>135,575.00</t>
  </si>
  <si>
    <t>106,998.00</t>
  </si>
  <si>
    <t>64,911.00</t>
  </si>
  <si>
    <t>3,300,000.00</t>
  </si>
  <si>
    <t>378,000.00</t>
  </si>
  <si>
    <t>498,935.62</t>
  </si>
  <si>
    <t>202,800.00</t>
  </si>
  <si>
    <t>10,400,000.00</t>
  </si>
  <si>
    <t>669,800.00</t>
  </si>
  <si>
    <t>2,750,000.00</t>
  </si>
  <si>
    <t>440,000.00</t>
  </si>
  <si>
    <t>180,677.50</t>
  </si>
  <si>
    <t>290,975.54</t>
  </si>
  <si>
    <t>630,080.00</t>
  </si>
  <si>
    <t>499,959.79</t>
  </si>
  <si>
    <t>70,420.00</t>
  </si>
  <si>
    <t>645,076.00</t>
  </si>
  <si>
    <t>316,286.05</t>
  </si>
  <si>
    <t>90,866.00</t>
  </si>
  <si>
    <t>384,925.00</t>
  </si>
  <si>
    <t>1,547,300.00</t>
  </si>
  <si>
    <t>49,980.00</t>
  </si>
  <si>
    <t>387,990.00</t>
  </si>
  <si>
    <t>92,050.00</t>
  </si>
  <si>
    <t>93,393.00</t>
  </si>
  <si>
    <t>78,397.00</t>
  </si>
  <si>
    <t>99,977.00</t>
  </si>
  <si>
    <t>1,377,270.00</t>
  </si>
  <si>
    <t>401,945.00</t>
  </si>
  <si>
    <t>477,500.00</t>
  </si>
  <si>
    <t>655,500.00</t>
  </si>
  <si>
    <t>55,805.00</t>
  </si>
  <si>
    <t>199,000.00</t>
  </si>
  <si>
    <t>288,000.00</t>
  </si>
  <si>
    <t>84,984.00</t>
  </si>
  <si>
    <t>17,000,000.00</t>
  </si>
  <si>
    <t>493,420.00</t>
  </si>
  <si>
    <t>259,000.00</t>
  </si>
  <si>
    <t>187,106.00</t>
  </si>
  <si>
    <t>51,100.00</t>
  </si>
  <si>
    <t>299,200.00</t>
  </si>
  <si>
    <t>63,350.00</t>
  </si>
  <si>
    <t>28,600.00</t>
  </si>
  <si>
    <t>80,100.00</t>
  </si>
  <si>
    <t>50,274.00</t>
  </si>
  <si>
    <t>98,800.00</t>
  </si>
  <si>
    <t>239,175.00</t>
  </si>
  <si>
    <t>32,200.00</t>
  </si>
  <si>
    <t>150,300.00</t>
  </si>
  <si>
    <t>633,000.00</t>
  </si>
  <si>
    <t>439,380.99</t>
  </si>
  <si>
    <t>116,000.00</t>
  </si>
  <si>
    <t>76,500.00</t>
  </si>
  <si>
    <t>140,600.00</t>
  </si>
  <si>
    <t>548,230.00</t>
  </si>
  <si>
    <t>352,510.00</t>
  </si>
  <si>
    <t>467,825.15</t>
  </si>
  <si>
    <t>2,959,157.13</t>
  </si>
  <si>
    <t>63,099.00</t>
  </si>
  <si>
    <t>1,999,811.94</t>
  </si>
  <si>
    <t>12,373,992.00</t>
  </si>
  <si>
    <t>266,550.00</t>
  </si>
  <si>
    <t>78,600.00</t>
  </si>
  <si>
    <t>34,986,399.36</t>
  </si>
  <si>
    <t>175,792.00</t>
  </si>
  <si>
    <t>6,155,000.00</t>
  </si>
  <si>
    <t>207,450.00</t>
  </si>
  <si>
    <t>78,840.00</t>
  </si>
  <si>
    <t>323,495.00</t>
  </si>
  <si>
    <t>60,928.35</t>
  </si>
  <si>
    <t>4,086,775.00</t>
  </si>
  <si>
    <t>166,723.00</t>
  </si>
  <si>
    <t>122,444.00</t>
  </si>
  <si>
    <t>3,095,000.00</t>
  </si>
  <si>
    <t>207,500.00</t>
  </si>
  <si>
    <t>233,445.00</t>
  </si>
  <si>
    <t>149,850.00</t>
  </si>
  <si>
    <t>131,800.00</t>
  </si>
  <si>
    <t>4,996,600.00</t>
  </si>
  <si>
    <t>297,250.00</t>
  </si>
  <si>
    <t>771,535.00</t>
  </si>
  <si>
    <t>72,865.00</t>
  </si>
  <si>
    <t>59,373.00</t>
  </si>
  <si>
    <t>34,750,000.00</t>
  </si>
  <si>
    <t>186,000.00</t>
  </si>
  <si>
    <t>882,000.00</t>
  </si>
  <si>
    <t>491,320.00</t>
  </si>
  <si>
    <t>99,875.00</t>
  </si>
  <si>
    <t>405,000.00</t>
  </si>
  <si>
    <t>430,950.00</t>
  </si>
  <si>
    <t>23,500,000.00</t>
  </si>
  <si>
    <t>500,110.00</t>
  </si>
  <si>
    <t>942,662.00</t>
  </si>
  <si>
    <t>318,800.00</t>
  </si>
  <si>
    <t>450,450.00</t>
  </si>
  <si>
    <t>81,050.00</t>
  </si>
  <si>
    <t>127,150.00</t>
  </si>
  <si>
    <t>1,674,792.00</t>
  </si>
  <si>
    <t>10,840,000.00</t>
  </si>
  <si>
    <t>84,800.00</t>
  </si>
  <si>
    <t>93,500.00</t>
  </si>
  <si>
    <t>569,000.00</t>
  </si>
  <si>
    <t>190,500.00</t>
  </si>
  <si>
    <t>28,252,433.41</t>
  </si>
  <si>
    <t>4,154,000.00</t>
  </si>
  <si>
    <t>480,180.00</t>
  </si>
  <si>
    <t>375,000.00</t>
  </si>
  <si>
    <t>404,812.32</t>
  </si>
  <si>
    <t>16,119,108.75</t>
  </si>
  <si>
    <t>1,050,000.00</t>
  </si>
  <si>
    <t>136,163.00</t>
  </si>
  <si>
    <t>2,006,436.08</t>
  </si>
  <si>
    <t>4,128,455.38</t>
  </si>
  <si>
    <t>630,000.00</t>
  </si>
  <si>
    <t>222,260.00</t>
  </si>
  <si>
    <t>101,550.00</t>
  </si>
  <si>
    <t>213,000.00</t>
  </si>
  <si>
    <t>399,043.00</t>
  </si>
  <si>
    <t>486,250.00</t>
  </si>
  <si>
    <t>24,418,328.31</t>
  </si>
  <si>
    <t>191,918.48</t>
  </si>
  <si>
    <t>385,000.00</t>
  </si>
  <si>
    <t>93,676.00</t>
  </si>
  <si>
    <t>518,750.00</t>
  </si>
  <si>
    <t>998,668.13</t>
  </si>
  <si>
    <t>966,700.50</t>
  </si>
  <si>
    <t>92,323.00</t>
  </si>
  <si>
    <t>16,564.60</t>
  </si>
  <si>
    <t>70,963.20</t>
  </si>
  <si>
    <t>204,939.33</t>
  </si>
  <si>
    <t>1,364,624.00</t>
  </si>
  <si>
    <t>4,814,806.50</t>
  </si>
  <si>
    <t>1,920.00</t>
  </si>
  <si>
    <t>103,529.00</t>
  </si>
  <si>
    <t>499,240.88</t>
  </si>
  <si>
    <t>699,109.69</t>
  </si>
  <si>
    <t>499,307.81</t>
  </si>
  <si>
    <t>499,434.80</t>
  </si>
  <si>
    <t>499,800.00</t>
  </si>
  <si>
    <t>828,600.94</t>
  </si>
  <si>
    <t>2,498,494.69</t>
  </si>
  <si>
    <t>499,865.63</t>
  </si>
  <si>
    <t>576,000.00</t>
  </si>
  <si>
    <t>2,688,240.00</t>
  </si>
  <si>
    <t>862,000.00</t>
  </si>
  <si>
    <t>45,960.00</t>
  </si>
  <si>
    <t>7,090.00</t>
  </si>
  <si>
    <t>2,479,248.95</t>
  </si>
  <si>
    <t>14,100.00</t>
  </si>
  <si>
    <t>30,555.00</t>
  </si>
  <si>
    <t>29,976,324.60</t>
  </si>
  <si>
    <t>12,136,400.25</t>
  </si>
  <si>
    <t>112,968,500.00</t>
  </si>
  <si>
    <t>832,034.04</t>
  </si>
  <si>
    <t>2,501,250.00</t>
  </si>
  <si>
    <t>191,860.00</t>
  </si>
  <si>
    <t>87,073.33</t>
  </si>
  <si>
    <t>1,486,935.51</t>
  </si>
  <si>
    <t>420.00</t>
  </si>
  <si>
    <t>348,190.89</t>
  </si>
  <si>
    <t>28,485.00</t>
  </si>
  <si>
    <t>45,739.00</t>
  </si>
  <si>
    <t>1,551,902.00</t>
  </si>
  <si>
    <t>235,621.00</t>
  </si>
  <si>
    <t>1,307,437.00</t>
  </si>
  <si>
    <t>557,522.00</t>
  </si>
  <si>
    <t>309,745.00</t>
  </si>
  <si>
    <t>463,690.00</t>
  </si>
  <si>
    <t>404,000.00</t>
  </si>
  <si>
    <t>438,500.00</t>
  </si>
  <si>
    <t>128,116.00</t>
  </si>
  <si>
    <t>691,500.00</t>
  </si>
  <si>
    <t>238,750.00</t>
  </si>
  <si>
    <t>1,087,541.25</t>
  </si>
  <si>
    <t>247,000.00</t>
  </si>
  <si>
    <t>5,697,879.03</t>
  </si>
  <si>
    <t>351,888.50</t>
  </si>
  <si>
    <t>709,495.00</t>
  </si>
  <si>
    <t>393,000.00</t>
  </si>
  <si>
    <t>157,000.00</t>
  </si>
  <si>
    <t>287,500.00</t>
  </si>
  <si>
    <t>95,720.00</t>
  </si>
  <si>
    <t>99,939.00</t>
  </si>
  <si>
    <t>229,388.06</t>
  </si>
  <si>
    <t>91,300.00</t>
  </si>
  <si>
    <t>500.00</t>
  </si>
  <si>
    <t>48,959.20</t>
  </si>
  <si>
    <t>401,940.00</t>
  </si>
  <si>
    <t>134,250.00</t>
  </si>
  <si>
    <t>977,707.50</t>
  </si>
  <si>
    <t>139,840.00</t>
  </si>
  <si>
    <t>106,171.00</t>
  </si>
  <si>
    <t>201,600.00</t>
  </si>
  <si>
    <t>355,220.00</t>
  </si>
  <si>
    <t>411,530.00</t>
  </si>
  <si>
    <t>434,000.00</t>
  </si>
  <si>
    <t>303,240.00</t>
  </si>
  <si>
    <t>5,996,422.03</t>
  </si>
  <si>
    <t>14,920,335.83</t>
  </si>
  <si>
    <t>100,492.00</t>
  </si>
  <si>
    <t>328,330.00</t>
  </si>
  <si>
    <t>625,253.96</t>
  </si>
  <si>
    <t>678,690.42</t>
  </si>
  <si>
    <t>2,310,370.62</t>
  </si>
  <si>
    <t>192,528.00</t>
  </si>
  <si>
    <t>230,890.00</t>
  </si>
  <si>
    <t>196,875.00</t>
  </si>
  <si>
    <t>707,629.40</t>
  </si>
  <si>
    <t>62,200.00</t>
  </si>
  <si>
    <t>1,380,006.79</t>
  </si>
  <si>
    <t>123,800.00</t>
  </si>
  <si>
    <t>318,710.00</t>
  </si>
  <si>
    <t>608,239.64</t>
  </si>
  <si>
    <t>495,600.00</t>
  </si>
  <si>
    <t>762,413.38</t>
  </si>
  <si>
    <t>559,459.38</t>
  </si>
  <si>
    <t>1,956,412.50</t>
  </si>
  <si>
    <t>72,003.05</t>
  </si>
  <si>
    <t>296,800.00</t>
  </si>
  <si>
    <t>109,000.00</t>
  </si>
  <si>
    <t>976,893.75</t>
  </si>
  <si>
    <t>338,196.00</t>
  </si>
  <si>
    <t>1,379,569.90</t>
  </si>
  <si>
    <t>78,518.98</t>
  </si>
  <si>
    <t>489,978.56</t>
  </si>
  <si>
    <t>1,954,233.75</t>
  </si>
  <si>
    <t>1,959,046.69</t>
  </si>
  <si>
    <t>141,590.00</t>
  </si>
  <si>
    <t>730,123.80</t>
  </si>
  <si>
    <t>77,120.00</t>
  </si>
  <si>
    <t>1,138,541.40</t>
  </si>
  <si>
    <t>973,350.00</t>
  </si>
  <si>
    <t>26,400.00</t>
  </si>
  <si>
    <t>47,094.75</t>
  </si>
  <si>
    <t>9,700,000.00</t>
  </si>
  <si>
    <t>128,670.84</t>
  </si>
  <si>
    <t>3,660,000.00</t>
  </si>
  <si>
    <t>180,010.00</t>
  </si>
  <si>
    <t>120,360.75</t>
  </si>
  <si>
    <t>422,700.00</t>
  </si>
  <si>
    <t>199,994.00</t>
  </si>
  <si>
    <t>81,470.00</t>
  </si>
  <si>
    <t>132,600.00</t>
  </si>
  <si>
    <t>221,400.00</t>
  </si>
  <si>
    <t>269,648.42</t>
  </si>
  <si>
    <t>652,351.35</t>
  </si>
  <si>
    <t>1,811,328.12</t>
  </si>
  <si>
    <t>3,991,248.82</t>
  </si>
  <si>
    <t>53,461.00</t>
  </si>
  <si>
    <t>1,703,342.77</t>
  </si>
  <si>
    <t>1,871,121.89</t>
  </si>
  <si>
    <t>2,939,091.60</t>
  </si>
  <si>
    <t>4,310,353.12</t>
  </si>
  <si>
    <t>202,500.00</t>
  </si>
  <si>
    <t>5,315,461.89</t>
  </si>
  <si>
    <t>1,604,719.33</t>
  </si>
  <si>
    <t>3,127,235.55</t>
  </si>
  <si>
    <t>62,989.00</t>
  </si>
  <si>
    <t>72,461.60</t>
  </si>
  <si>
    <t>1,852,565.73</t>
  </si>
  <si>
    <t>230,150.00</t>
  </si>
  <si>
    <t>56,148.00</t>
  </si>
  <si>
    <t>75,993.00</t>
  </si>
  <si>
    <t>89,400.00</t>
  </si>
  <si>
    <t>92,182.00</t>
  </si>
  <si>
    <t>279,846.00</t>
  </si>
  <si>
    <t>889,720.00</t>
  </si>
  <si>
    <t>938,300.00</t>
  </si>
  <si>
    <t>83,113.00</t>
  </si>
  <si>
    <t>12,400.00</t>
  </si>
  <si>
    <t>75,400.00</t>
  </si>
  <si>
    <t>93,300.00</t>
  </si>
  <si>
    <t>119,960.00</t>
  </si>
  <si>
    <t>4,850.00</t>
  </si>
  <si>
    <t>59,372.00</t>
  </si>
  <si>
    <t>64,618.00</t>
  </si>
  <si>
    <t>67,400.00</t>
  </si>
  <si>
    <t>96,804.00</t>
  </si>
  <si>
    <t>191,053.25</t>
  </si>
  <si>
    <t>994,080.00</t>
  </si>
  <si>
    <t>5,032,085.24</t>
  </si>
  <si>
    <t>1,800.00</t>
  </si>
  <si>
    <t>68,400.00</t>
  </si>
  <si>
    <t>72,100.00</t>
  </si>
  <si>
    <t>392,500.00</t>
  </si>
  <si>
    <t>5,900.00</t>
  </si>
  <si>
    <t>4,977,139.07</t>
  </si>
  <si>
    <t>6,300.00</t>
  </si>
  <si>
    <t>5,052,738.08</t>
  </si>
  <si>
    <t>8,350.00</t>
  </si>
  <si>
    <t>80,200.00</t>
  </si>
  <si>
    <t>442,890.00</t>
  </si>
  <si>
    <t>4,966,380.64</t>
  </si>
  <si>
    <t>4,874,149.33</t>
  </si>
  <si>
    <t>5,898,574.77</t>
  </si>
  <si>
    <t>4,914,324.79</t>
  </si>
  <si>
    <t>2,989,060.00</t>
  </si>
  <si>
    <t>5,185,140.74</t>
  </si>
  <si>
    <t>5,650,061.31</t>
  </si>
  <si>
    <t>4,833,731.12</t>
  </si>
  <si>
    <t>4,800,445.92</t>
  </si>
  <si>
    <t>143,425.00</t>
  </si>
  <si>
    <t>5,526,062.92</t>
  </si>
  <si>
    <t>21,600.00</t>
  </si>
  <si>
    <t>4,919,502.11</t>
  </si>
  <si>
    <t>4,863,312.59</t>
  </si>
  <si>
    <t>5,109,326.74</t>
  </si>
  <si>
    <t>5,053,831.59</t>
  </si>
  <si>
    <t>5,646,684.48</t>
  </si>
  <si>
    <t>5,567,005.88</t>
  </si>
  <si>
    <t>80,319.00</t>
  </si>
  <si>
    <t>5,024,488.95</t>
  </si>
  <si>
    <t>5,243,622.52</t>
  </si>
  <si>
    <t>5,177,522.13</t>
  </si>
  <si>
    <t>433,657.00</t>
  </si>
  <si>
    <t>5,292,579.45</t>
  </si>
  <si>
    <t>3,979,019.97</t>
  </si>
  <si>
    <t>338,900.00</t>
  </si>
  <si>
    <t>5,001,989.84</t>
  </si>
  <si>
    <t>648,735.00</t>
  </si>
  <si>
    <t>47,002.20</t>
  </si>
  <si>
    <t>477,100.00</t>
  </si>
  <si>
    <t>62,485.00</t>
  </si>
  <si>
    <t>620,000.00</t>
  </si>
  <si>
    <t>612,850.00</t>
  </si>
  <si>
    <t>627,583.00</t>
  </si>
  <si>
    <t>5,085,857.42</t>
  </si>
  <si>
    <t>3,816,794.82</t>
  </si>
  <si>
    <t>70,025.00</t>
  </si>
  <si>
    <t>1,401,900.00</t>
  </si>
  <si>
    <t>1,183,800.00</t>
  </si>
  <si>
    <t>142,200.00</t>
  </si>
  <si>
    <t>984,000.00</t>
  </si>
  <si>
    <t>1,065,000.00</t>
  </si>
  <si>
    <t>410,720.00</t>
  </si>
  <si>
    <t>89,080.00</t>
  </si>
  <si>
    <t>590,250.00</t>
  </si>
  <si>
    <t>15,436,782.46</t>
  </si>
  <si>
    <t>1,351,424.00</t>
  </si>
  <si>
    <t>997,806.40</t>
  </si>
  <si>
    <t>96,800.00</t>
  </si>
  <si>
    <t>4,345,048.00</t>
  </si>
  <si>
    <t>499,999.92</t>
  </si>
  <si>
    <t>165,754.85</t>
  </si>
  <si>
    <t>1,581,917.69</t>
  </si>
  <si>
    <t>88,190.00</t>
  </si>
  <si>
    <t>65,990.00</t>
  </si>
  <si>
    <t>91,518.20</t>
  </si>
  <si>
    <t>990,923.05</t>
  </si>
  <si>
    <t>183,060.00</t>
  </si>
  <si>
    <t>999,725.00</t>
  </si>
  <si>
    <t>78,947.00</t>
  </si>
  <si>
    <t>2,400,000.00</t>
  </si>
  <si>
    <t>951,525.00</t>
  </si>
  <si>
    <t>211,000.00</t>
  </si>
  <si>
    <t>908,240.00</t>
  </si>
  <si>
    <t>74,295.00</t>
  </si>
  <si>
    <t>4,734,380.00</t>
  </si>
  <si>
    <t>899,996.75</t>
  </si>
  <si>
    <t>134,970.00</t>
  </si>
  <si>
    <t>999,970.00</t>
  </si>
  <si>
    <t>222,150.00</t>
  </si>
  <si>
    <t>1,350,000.00</t>
  </si>
  <si>
    <t>499,997.90</t>
  </si>
  <si>
    <t>699,995.31</t>
  </si>
  <si>
    <t>97,500.00</t>
  </si>
  <si>
    <t>240,645.45</t>
  </si>
  <si>
    <t>216,699.00</t>
  </si>
  <si>
    <t>3,069,934.00</t>
  </si>
  <si>
    <t>499,999.19</t>
  </si>
  <si>
    <t>548,852.50</t>
  </si>
  <si>
    <t>215,915.00</t>
  </si>
  <si>
    <t>54,710.00</t>
  </si>
  <si>
    <t>115,910.00</t>
  </si>
  <si>
    <t>198,423.50</t>
  </si>
  <si>
    <t>62,000,000.00</t>
  </si>
  <si>
    <t>138,792.00</t>
  </si>
  <si>
    <t>499,996.62</t>
  </si>
  <si>
    <t>247,334.00</t>
  </si>
  <si>
    <t>116,820.00</t>
  </si>
  <si>
    <t>599,997.30</t>
  </si>
  <si>
    <t>137,500.00</t>
  </si>
  <si>
    <t>174,805.00</t>
  </si>
  <si>
    <t>55,085.00</t>
  </si>
  <si>
    <t>699,995.33</t>
  </si>
  <si>
    <t>244,250.00</t>
  </si>
  <si>
    <t>799,996.60</t>
  </si>
  <si>
    <t>86,250.00</t>
  </si>
  <si>
    <t>77,400.00</t>
  </si>
  <si>
    <t>161,968.00</t>
  </si>
  <si>
    <t>162,500.00</t>
  </si>
  <si>
    <t>307,565.00</t>
  </si>
  <si>
    <t>70,830.00</t>
  </si>
  <si>
    <t>57,372.00</t>
  </si>
  <si>
    <t>241,740.00</t>
  </si>
  <si>
    <t>223,000.00</t>
  </si>
  <si>
    <t>884,533.12</t>
  </si>
  <si>
    <t>657,935.52</t>
  </si>
  <si>
    <t>28,000,000.00</t>
  </si>
  <si>
    <t>424,335.00</t>
  </si>
  <si>
    <t>505,732.40</t>
  </si>
  <si>
    <t>63,640.00</t>
  </si>
  <si>
    <t>410,000.00</t>
  </si>
  <si>
    <t>65,600.00</t>
  </si>
  <si>
    <t>1,095,476.00</t>
  </si>
  <si>
    <t>171,000.00</t>
  </si>
  <si>
    <t>1,916,000.00</t>
  </si>
  <si>
    <t>3,074,000.00</t>
  </si>
  <si>
    <t>49,017.00</t>
  </si>
  <si>
    <t>81,069.00</t>
  </si>
  <si>
    <t>151,200.00</t>
  </si>
  <si>
    <t>33,200.00</t>
  </si>
  <si>
    <t>6,572,500.00</t>
  </si>
  <si>
    <t>132,715.00</t>
  </si>
  <si>
    <t>1,342,700.00</t>
  </si>
  <si>
    <t>349,700.00</t>
  </si>
  <si>
    <t>255,780.07</t>
  </si>
  <si>
    <t>40,205.00</t>
  </si>
  <si>
    <t>226,100.00</t>
  </si>
  <si>
    <t>12,740.00</t>
  </si>
  <si>
    <t>298,340.60</t>
  </si>
  <si>
    <t>40,030.00</t>
  </si>
  <si>
    <t>143,699.82</t>
  </si>
  <si>
    <t>39,890.00</t>
  </si>
  <si>
    <t>35,625.00</t>
  </si>
  <si>
    <t>371,000.00</t>
  </si>
  <si>
    <t>36,690.00</t>
  </si>
  <si>
    <t>77,730.00</t>
  </si>
  <si>
    <t>19,700.00</t>
  </si>
  <si>
    <t>113,100.00</t>
  </si>
  <si>
    <t>1,971,726.15</t>
  </si>
  <si>
    <t>888,479.17</t>
  </si>
  <si>
    <t>19,900.00</t>
  </si>
  <si>
    <t>1,620,000.00</t>
  </si>
  <si>
    <t>423,062.00</t>
  </si>
  <si>
    <t>414,645.00</t>
  </si>
  <si>
    <t>25,960.00</t>
  </si>
  <si>
    <t>2,925,000.00</t>
  </si>
  <si>
    <t>2,975,990.46</t>
  </si>
  <si>
    <t>164,320.00</t>
  </si>
  <si>
    <t>242,630.00</t>
  </si>
  <si>
    <t>1,784,268.49</t>
  </si>
  <si>
    <t>1,460,500.00</t>
  </si>
  <si>
    <t>79,210.00</t>
  </si>
  <si>
    <t>989,393.60</t>
  </si>
  <si>
    <t>95,800.00</t>
  </si>
  <si>
    <t>92,845.00</t>
  </si>
  <si>
    <t>69,994.00</t>
  </si>
  <si>
    <t>59,258.33</t>
  </si>
  <si>
    <t>170,181.00</t>
  </si>
  <si>
    <t>594,000.00</t>
  </si>
  <si>
    <t>13,300,000.00</t>
  </si>
  <si>
    <t>687,970.00</t>
  </si>
  <si>
    <t>193,500.00</t>
  </si>
  <si>
    <t>53,162.00</t>
  </si>
  <si>
    <t>165,500.00</t>
  </si>
  <si>
    <t>47,100.00</t>
  </si>
  <si>
    <t>56,432.00</t>
  </si>
  <si>
    <t>119,936.41</t>
  </si>
  <si>
    <t>313,998.34</t>
  </si>
  <si>
    <t>70,720.00</t>
  </si>
  <si>
    <t>122,205.00</t>
  </si>
  <si>
    <t>303,600.00</t>
  </si>
  <si>
    <t>214,653.00</t>
  </si>
  <si>
    <t>296,203.00</t>
  </si>
  <si>
    <t>20,040.00</t>
  </si>
  <si>
    <t>425,900.00</t>
  </si>
  <si>
    <t>104,288.00</t>
  </si>
  <si>
    <t>314,990.00</t>
  </si>
  <si>
    <t>340,108.00</t>
  </si>
  <si>
    <t>54,500.00</t>
  </si>
  <si>
    <t>11,815.00</t>
  </si>
  <si>
    <t>399,900.00</t>
  </si>
  <si>
    <t>7,500.00</t>
  </si>
  <si>
    <t>166,587.50</t>
  </si>
  <si>
    <t>242,330.00</t>
  </si>
  <si>
    <t>99,600.00</t>
  </si>
  <si>
    <t>3,324,920.00</t>
  </si>
  <si>
    <t>73,350.00</t>
  </si>
  <si>
    <t>697,446.40</t>
  </si>
  <si>
    <t>2,175,500.00</t>
  </si>
  <si>
    <t>298,440.00</t>
  </si>
  <si>
    <t>1,437,760.00</t>
  </si>
  <si>
    <t>213,250.00</t>
  </si>
  <si>
    <t>269,000.00</t>
  </si>
  <si>
    <t>5,535,900.00</t>
  </si>
  <si>
    <t>194,145.00</t>
  </si>
  <si>
    <t>5,470,000.00</t>
  </si>
  <si>
    <t>198,240.00</t>
  </si>
  <si>
    <t>906,290.00</t>
  </si>
  <si>
    <t>99,860.00</t>
  </si>
  <si>
    <t>2,011,200.00</t>
  </si>
  <si>
    <t>256,000.00</t>
  </si>
  <si>
    <t>297,100.00</t>
  </si>
  <si>
    <t>129,785.00</t>
  </si>
  <si>
    <t>287,862.00</t>
  </si>
  <si>
    <t>72,995.00</t>
  </si>
  <si>
    <t>3,557,400.00</t>
  </si>
  <si>
    <t>69,380.00</t>
  </si>
  <si>
    <t>78,295.00</t>
  </si>
  <si>
    <t>60,965.00</t>
  </si>
  <si>
    <t>2,000.00</t>
  </si>
  <si>
    <t>588,000.00</t>
  </si>
  <si>
    <t>59,210.00</t>
  </si>
  <si>
    <t>2,781,000.00</t>
  </si>
  <si>
    <t>520,300.00</t>
  </si>
  <si>
    <t>3,780.00</t>
  </si>
  <si>
    <t>997,912.90</t>
  </si>
  <si>
    <t>178,780.00</t>
  </si>
  <si>
    <t>26,000.00</t>
  </si>
  <si>
    <t>420,000.00</t>
  </si>
  <si>
    <t>48,300.00</t>
  </si>
  <si>
    <t>599,674.94</t>
  </si>
  <si>
    <t>365,000.00</t>
  </si>
  <si>
    <t>60,020.80</t>
  </si>
  <si>
    <t>38,000.00</t>
  </si>
  <si>
    <t>299,908.00</t>
  </si>
  <si>
    <t>107,420.00</t>
  </si>
  <si>
    <t>145,886.00</t>
  </si>
  <si>
    <t>56,450.00</t>
  </si>
  <si>
    <t>132,480.00</t>
  </si>
  <si>
    <t>251,500.00</t>
  </si>
  <si>
    <t>335,000.00</t>
  </si>
  <si>
    <t>62,335.00</t>
  </si>
  <si>
    <t>77,196.00</t>
  </si>
  <si>
    <t>107,050.00</t>
  </si>
  <si>
    <t>69,316.00</t>
  </si>
  <si>
    <t>615,000.00</t>
  </si>
  <si>
    <t>113,000.00</t>
  </si>
  <si>
    <t>280,000.00</t>
  </si>
  <si>
    <t>802,309.26</t>
  </si>
  <si>
    <t>866,250.00</t>
  </si>
  <si>
    <t>479,000.00</t>
  </si>
  <si>
    <t>96,630.00</t>
  </si>
  <si>
    <t>426,968.00</t>
  </si>
  <si>
    <t>155,600.00</t>
  </si>
  <si>
    <t>682,260.00</t>
  </si>
  <si>
    <t>130,500.00</t>
  </si>
  <si>
    <t>993,153.00</t>
  </si>
  <si>
    <t>988,220.00</t>
  </si>
  <si>
    <t>404,775.00</t>
  </si>
  <si>
    <t>15,547,455.86</t>
  </si>
  <si>
    <t>751,968.00</t>
  </si>
  <si>
    <t>52,600.00</t>
  </si>
  <si>
    <t>123,667.88</t>
  </si>
  <si>
    <t>7,200.00</t>
  </si>
  <si>
    <t>7,000,000.00</t>
  </si>
  <si>
    <t>106,400.00</t>
  </si>
  <si>
    <t>109,998.00</t>
  </si>
  <si>
    <t>129,500.00</t>
  </si>
  <si>
    <t>4,200,000.00</t>
  </si>
  <si>
    <t>198,800.00</t>
  </si>
  <si>
    <t>243,275.00</t>
  </si>
  <si>
    <t>146,000.00</t>
  </si>
  <si>
    <t>24,500,000.00</t>
  </si>
  <si>
    <t>29,400,000.00</t>
  </si>
  <si>
    <t>728,256.96</t>
  </si>
  <si>
    <t>716,518.56</t>
  </si>
  <si>
    <t>81,157.60</t>
  </si>
  <si>
    <t>208,192.30</t>
  </si>
  <si>
    <t>197,326.06</t>
  </si>
  <si>
    <t>101,984.43</t>
  </si>
  <si>
    <t>11,368,000.00</t>
  </si>
  <si>
    <t>436,800.00</t>
  </si>
  <si>
    <t>2,220,525.00</t>
  </si>
  <si>
    <t>4,900,000.00</t>
  </si>
  <si>
    <t>4,950,000.00</t>
  </si>
  <si>
    <t>39,200,000.00</t>
  </si>
  <si>
    <t>182,850.00</t>
  </si>
  <si>
    <t>693,504.00</t>
  </si>
  <si>
    <t>7,000.00</t>
  </si>
  <si>
    <t>368,950.00</t>
  </si>
  <si>
    <t>13,000,000.00</t>
  </si>
  <si>
    <t>670,700.00</t>
  </si>
  <si>
    <t>88,004.74</t>
  </si>
  <si>
    <t>172,824.00</t>
  </si>
  <si>
    <t>223,913.00</t>
  </si>
  <si>
    <t>58,410.00</t>
  </si>
  <si>
    <t>34,000.00</t>
  </si>
  <si>
    <t>74,600.00</t>
  </si>
  <si>
    <t>749,602.77</t>
  </si>
  <si>
    <t>359,198.81</t>
  </si>
  <si>
    <t>445,885.00</t>
  </si>
  <si>
    <t>12,162,127.68</t>
  </si>
  <si>
    <t>23,066.00</t>
  </si>
  <si>
    <t>68,210.00</t>
  </si>
  <si>
    <t>2,617,333.34</t>
  </si>
  <si>
    <t>3,700,000.00</t>
  </si>
  <si>
    <t>923,500.00</t>
  </si>
  <si>
    <t>72,310.00</t>
  </si>
  <si>
    <t>249,994.00</t>
  </si>
  <si>
    <t>656,800.00</t>
  </si>
  <si>
    <t>131,586.00</t>
  </si>
  <si>
    <t>166,000.00</t>
  </si>
  <si>
    <t>999,800.00</t>
  </si>
  <si>
    <t>589,410.00</t>
  </si>
  <si>
    <t>148,435.00</t>
  </si>
  <si>
    <t>294,000.00</t>
  </si>
  <si>
    <t>1,996,580.00</t>
  </si>
  <si>
    <t>999,840.00</t>
  </si>
  <si>
    <t>1,994,620.00</t>
  </si>
  <si>
    <t>260,600.00</t>
  </si>
  <si>
    <t>155,260.00</t>
  </si>
  <si>
    <t>493,541.12</t>
  </si>
  <si>
    <t>4,086,723.11</t>
  </si>
  <si>
    <t>127,200.00</t>
  </si>
  <si>
    <t>26,457,801.01</t>
  </si>
  <si>
    <t>200,041.71</t>
  </si>
  <si>
    <t>2,070,153.12</t>
  </si>
  <si>
    <t>8,330,000.00</t>
  </si>
  <si>
    <t>126,360.00</t>
  </si>
  <si>
    <t>12,189,240.00</t>
  </si>
  <si>
    <t>74,355.00</t>
  </si>
  <si>
    <t>96,540.00</t>
  </si>
  <si>
    <t>90,125.00</t>
  </si>
  <si>
    <t>2,575,572.17</t>
  </si>
  <si>
    <t>310,000.00</t>
  </si>
  <si>
    <t>499,810.64</t>
  </si>
  <si>
    <t>268,941.48</t>
  </si>
  <si>
    <t>9,642,072.78</t>
  </si>
  <si>
    <t>85,585.00</t>
  </si>
  <si>
    <t>485,040.00</t>
  </si>
  <si>
    <t>29,399,049.50</t>
  </si>
  <si>
    <t>438,860.00</t>
  </si>
  <si>
    <t>299,516.00</t>
  </si>
  <si>
    <t>78,540.00</t>
  </si>
  <si>
    <t>127,969.49</t>
  </si>
  <si>
    <t>836,000.00</t>
  </si>
  <si>
    <t>98,400.00</t>
  </si>
  <si>
    <t>862,487.19</t>
  </si>
  <si>
    <t>353,840.00</t>
  </si>
  <si>
    <t>148,125.00</t>
  </si>
  <si>
    <t>220,063.00</t>
  </si>
  <si>
    <t>584,228.00</t>
  </si>
  <si>
    <t>23,466.00</t>
  </si>
  <si>
    <t>126,100.00</t>
  </si>
  <si>
    <t>199,765.94</t>
  </si>
  <si>
    <t>54,542.00</t>
  </si>
  <si>
    <t>65,750.00</t>
  </si>
  <si>
    <t>67,860.00</t>
  </si>
  <si>
    <t>228,000.00</t>
  </si>
  <si>
    <t>182,389.00</t>
  </si>
  <si>
    <t>84,220.00</t>
  </si>
  <si>
    <t>148,399.00</t>
  </si>
  <si>
    <t>69,520.00</t>
  </si>
  <si>
    <t>121,118.00</t>
  </si>
  <si>
    <t>282,700.00</t>
  </si>
  <si>
    <t>82,783.00</t>
  </si>
  <si>
    <t>452,000.00</t>
  </si>
  <si>
    <t>56,630.00</t>
  </si>
  <si>
    <t>42,800.00</t>
  </si>
  <si>
    <t>250,800.00</t>
  </si>
  <si>
    <t>130,299.00</t>
  </si>
  <si>
    <t>57,450.00</t>
  </si>
  <si>
    <t>803,000.00</t>
  </si>
  <si>
    <t>67,851.00</t>
  </si>
  <si>
    <t>498,600.00</t>
  </si>
  <si>
    <t>33,860.00</t>
  </si>
  <si>
    <t>453,184.00</t>
  </si>
  <si>
    <t>999,979.14</t>
  </si>
  <si>
    <t>15,340.00</t>
  </si>
  <si>
    <t>109,100.00</t>
  </si>
  <si>
    <t>156,172.40</t>
  </si>
  <si>
    <t>999,981.78</t>
  </si>
  <si>
    <t>235,721.00</t>
  </si>
  <si>
    <t>80,442.00</t>
  </si>
  <si>
    <t>999,922.98</t>
  </si>
  <si>
    <t>82,320.00</t>
  </si>
  <si>
    <t>172,547.00</t>
  </si>
  <si>
    <t>106,635.00</t>
  </si>
  <si>
    <t>1,394,118.20</t>
  </si>
  <si>
    <t>1,699,963.86</t>
  </si>
  <si>
    <t>936,000.00</t>
  </si>
  <si>
    <t>28,670.50</t>
  </si>
  <si>
    <t>25,190.00</t>
  </si>
  <si>
    <t>392,746.00</t>
  </si>
  <si>
    <t>33,550.00</t>
  </si>
  <si>
    <t>22,120.00</t>
  </si>
  <si>
    <t>499,900.00</t>
  </si>
  <si>
    <t>256,875.00</t>
  </si>
  <si>
    <t>12,670.00</t>
  </si>
  <si>
    <t>350,260.60</t>
  </si>
  <si>
    <t>67,509.00</t>
  </si>
  <si>
    <t>216,600.00</t>
  </si>
  <si>
    <t>301,900.00</t>
  </si>
  <si>
    <t>63,050.00</t>
  </si>
  <si>
    <t>483,533.14</t>
  </si>
  <si>
    <t>147,600.00</t>
  </si>
  <si>
    <t>94,750.00</t>
  </si>
  <si>
    <t>23,449.50</t>
  </si>
  <si>
    <t>1,731,990.44</t>
  </si>
  <si>
    <t>307,080.00</t>
  </si>
  <si>
    <t>190,635.00</t>
  </si>
  <si>
    <t>226,236.00</t>
  </si>
  <si>
    <t>87,175.00</t>
  </si>
  <si>
    <t>14,047.00</t>
  </si>
  <si>
    <t>155,700.00</t>
  </si>
  <si>
    <t>9,999.00</t>
  </si>
  <si>
    <t>65,620.00</t>
  </si>
  <si>
    <t>3,267,999.56</t>
  </si>
  <si>
    <t>125,100.00</t>
  </si>
  <si>
    <t>538,000.00</t>
  </si>
  <si>
    <t>134,000.00</t>
  </si>
  <si>
    <t>303,525.00</t>
  </si>
  <si>
    <t>42,500,000.00</t>
  </si>
  <si>
    <t>52,741,705.00</t>
  </si>
  <si>
    <t>250,200.00</t>
  </si>
  <si>
    <t>970,502.46</t>
  </si>
  <si>
    <t>54,890.00</t>
  </si>
  <si>
    <t>997,500.00</t>
  </si>
  <si>
    <t>149,300.00</t>
  </si>
  <si>
    <t>11,007,938.81</t>
  </si>
  <si>
    <t>3,157,671.92</t>
  </si>
  <si>
    <t>13,791,916.69</t>
  </si>
  <si>
    <t>74,074.08</t>
  </si>
  <si>
    <t>57,777.78</t>
  </si>
  <si>
    <t>367,150.00</t>
  </si>
  <si>
    <t>74,510.00</t>
  </si>
  <si>
    <t>196,600.00</t>
  </si>
  <si>
    <t>378,500.00</t>
  </si>
  <si>
    <t>787,500.00</t>
  </si>
  <si>
    <t>540,000.00</t>
  </si>
  <si>
    <t>999,915.00</t>
  </si>
  <si>
    <t>415,800.00</t>
  </si>
  <si>
    <t>2,400.00</t>
  </si>
  <si>
    <t>203,000.00</t>
  </si>
  <si>
    <t>617,280.00</t>
  </si>
  <si>
    <t>461,969.53</t>
  </si>
  <si>
    <t>120,592.00</t>
  </si>
  <si>
    <t>130,120.00</t>
  </si>
  <si>
    <t>124,950.00</t>
  </si>
  <si>
    <t>197,617.00</t>
  </si>
  <si>
    <t>214,072.50</t>
  </si>
  <si>
    <t>293,000.00</t>
  </si>
  <si>
    <t>475,000.00</t>
  </si>
  <si>
    <t>1,499,396.50</t>
  </si>
  <si>
    <t>320,141.00</t>
  </si>
  <si>
    <t>2,895,902.33</t>
  </si>
  <si>
    <t>190,777.00</t>
  </si>
  <si>
    <t>197,850.00</t>
  </si>
  <si>
    <t>41,924.40</t>
  </si>
  <si>
    <t>337,600.00</t>
  </si>
  <si>
    <t>2,470,000.00</t>
  </si>
  <si>
    <t>174,375.00</t>
  </si>
  <si>
    <t>1,573,409.00</t>
  </si>
  <si>
    <t>6,137,000.00</t>
  </si>
  <si>
    <t>1,077,134.00</t>
  </si>
  <si>
    <t>351,762.00</t>
  </si>
  <si>
    <t>189,494.00</t>
  </si>
  <si>
    <t>356,490.00</t>
  </si>
  <si>
    <t>5,616,500.00</t>
  </si>
  <si>
    <t>28,005,365.30</t>
  </si>
  <si>
    <t>1,182,600.00</t>
  </si>
  <si>
    <t>3,222,265.00</t>
  </si>
  <si>
    <t>63,825.00</t>
  </si>
  <si>
    <t>518,500.00</t>
  </si>
  <si>
    <t>1,123,500.00</t>
  </si>
  <si>
    <t>77,040.00</t>
  </si>
  <si>
    <t>1,400,959.40</t>
  </si>
  <si>
    <t>1,164,000.00</t>
  </si>
  <si>
    <t>1,122,203.20</t>
  </si>
  <si>
    <t>1,113,000.00</t>
  </si>
  <si>
    <t>356,400.00</t>
  </si>
  <si>
    <t>104,400.00</t>
  </si>
  <si>
    <t>3,750,500.00</t>
  </si>
  <si>
    <t>454,234.00</t>
  </si>
  <si>
    <t>3,340,233.97</t>
  </si>
  <si>
    <t>679,249.00</t>
  </si>
  <si>
    <t>447,568.00</t>
  </si>
  <si>
    <t>111,749.00</t>
  </si>
  <si>
    <t>229,060.71</t>
  </si>
  <si>
    <t>999,997.00</t>
  </si>
  <si>
    <t>46,000.00</t>
  </si>
  <si>
    <t>994,500.00</t>
  </si>
  <si>
    <t>386,600.00</t>
  </si>
  <si>
    <t>913,650.00</t>
  </si>
  <si>
    <t>922,000.00</t>
  </si>
  <si>
    <t>299,821.62</t>
  </si>
  <si>
    <t>460,200.00</t>
  </si>
  <si>
    <t>99,755.35</t>
  </si>
  <si>
    <t>253,284.00</t>
  </si>
  <si>
    <t>988,000.00</t>
  </si>
  <si>
    <t>70,006.00</t>
  </si>
  <si>
    <t>999,985.00</t>
  </si>
  <si>
    <t>599,091.18</t>
  </si>
  <si>
    <t>60,539.80</t>
  </si>
  <si>
    <t>462,000.00</t>
  </si>
  <si>
    <t>249,984.75</t>
  </si>
  <si>
    <t>274,026.00</t>
  </si>
  <si>
    <t>143,085.72</t>
  </si>
  <si>
    <t>116,486.00</t>
  </si>
  <si>
    <t>63,770.00</t>
  </si>
  <si>
    <t>208,080.00</t>
  </si>
  <si>
    <t>66,550.00</t>
  </si>
  <si>
    <t>66,300.00</t>
  </si>
  <si>
    <t>59,850.00</t>
  </si>
  <si>
    <t>287,200.00</t>
  </si>
  <si>
    <t>875,000.00</t>
  </si>
  <si>
    <t>291,200.00</t>
  </si>
  <si>
    <t>739,000.00</t>
  </si>
  <si>
    <t>138,500.00</t>
  </si>
  <si>
    <t>999,955.00</t>
  </si>
  <si>
    <t>498,695.68</t>
  </si>
  <si>
    <t>139,449.50</t>
  </si>
  <si>
    <t>440,430.00</t>
  </si>
  <si>
    <t>72,926.75</t>
  </si>
  <si>
    <t>999,999.00</t>
  </si>
  <si>
    <t>94,890.00</t>
  </si>
  <si>
    <t>28,500.00</t>
  </si>
  <si>
    <t>244,205.00</t>
  </si>
  <si>
    <t>0.00</t>
  </si>
  <si>
    <t>541,845.00</t>
  </si>
  <si>
    <t>253,300.00</t>
  </si>
  <si>
    <t>253,650.00</t>
  </si>
  <si>
    <t>99,668.44</t>
  </si>
  <si>
    <t>28,688.00</t>
  </si>
  <si>
    <t>205,919.00</t>
  </si>
  <si>
    <t>999,989.75</t>
  </si>
  <si>
    <t>57,752.50</t>
  </si>
  <si>
    <t>999,990.00</t>
  </si>
  <si>
    <t>999,087.75</t>
  </si>
  <si>
    <t>94,095.00</t>
  </si>
  <si>
    <t>888,350.29</t>
  </si>
  <si>
    <t>74,096.15</t>
  </si>
  <si>
    <t>45,251.00</t>
  </si>
  <si>
    <t>98,169.04</t>
  </si>
  <si>
    <t>282,745.00</t>
  </si>
  <si>
    <t>195,440.00</t>
  </si>
  <si>
    <t>69,650.00</t>
  </si>
  <si>
    <t>272,320.00</t>
  </si>
  <si>
    <t>274,090.00</t>
  </si>
  <si>
    <t>63,150.00</t>
  </si>
  <si>
    <t>51,114.15</t>
  </si>
  <si>
    <t>5,777,429.00</t>
  </si>
  <si>
    <t>999,912.50</t>
  </si>
  <si>
    <t>690,000.00</t>
  </si>
  <si>
    <t>543,700.00</t>
  </si>
  <si>
    <t>193,284.00</t>
  </si>
  <si>
    <t>645,000.00</t>
  </si>
  <si>
    <t>199,500.00</t>
  </si>
  <si>
    <t>320,812.29</t>
  </si>
  <si>
    <t>78,164.54</t>
  </si>
  <si>
    <t>293,300.00</t>
  </si>
  <si>
    <t>472,500.00</t>
  </si>
  <si>
    <t>89,196.00</t>
  </si>
  <si>
    <t>97,900.00</t>
  </si>
  <si>
    <t>382,500.00</t>
  </si>
  <si>
    <t>999,910.00</t>
  </si>
  <si>
    <t>300,488.25</t>
  </si>
  <si>
    <t>447,600.00</t>
  </si>
  <si>
    <t>949,950.00</t>
  </si>
  <si>
    <t>99,990.00</t>
  </si>
  <si>
    <t>2,280,000.00</t>
  </si>
  <si>
    <t>1,750,000.00</t>
  </si>
  <si>
    <t>94,080.00</t>
  </si>
  <si>
    <t>288,468.23</t>
  </si>
  <si>
    <t>49,000,000.00</t>
  </si>
  <si>
    <t>1,245,750.00</t>
  </si>
  <si>
    <t>210,935.00</t>
  </si>
  <si>
    <t>997,970.00</t>
  </si>
  <si>
    <t>339,158.66</t>
  </si>
  <si>
    <t>1,224,450.00</t>
  </si>
  <si>
    <t>68,448.00</t>
  </si>
  <si>
    <t>756,000.00</t>
  </si>
  <si>
    <t>54,290.00</t>
  </si>
  <si>
    <t>1,402,626.00</t>
  </si>
  <si>
    <t>1,435,923.58</t>
  </si>
  <si>
    <t>457,200.00</t>
  </si>
  <si>
    <t>415,000.00</t>
  </si>
  <si>
    <t>171,088.00</t>
  </si>
  <si>
    <t>216,920.00</t>
  </si>
  <si>
    <t>283,046.62</t>
  </si>
  <si>
    <t>962,174.60</t>
  </si>
  <si>
    <t>335,881.00</t>
  </si>
  <si>
    <t>50,050.00</t>
  </si>
  <si>
    <t>389,000.00</t>
  </si>
  <si>
    <t>206,675.00</t>
  </si>
  <si>
    <t>216,050.00</t>
  </si>
  <si>
    <t>1,016,795.00</t>
  </si>
  <si>
    <t>40,661.00</t>
  </si>
  <si>
    <t>476,400.00</t>
  </si>
  <si>
    <t>763,863.00</t>
  </si>
  <si>
    <t>644,100.00</t>
  </si>
  <si>
    <t>82,600.00</t>
  </si>
  <si>
    <t>1,997,879.32</t>
  </si>
  <si>
    <t>104,650.00</t>
  </si>
  <si>
    <t>137,700.00</t>
  </si>
  <si>
    <t>408,000.00</t>
  </si>
  <si>
    <t>795,081.00</t>
  </si>
  <si>
    <t>360,688.00</t>
  </si>
  <si>
    <t>263,438.00</t>
  </si>
  <si>
    <t>227,679.00</t>
  </si>
  <si>
    <t>194,213.00</t>
  </si>
  <si>
    <t>69,440.00</t>
  </si>
  <si>
    <t>327,000.00</t>
  </si>
  <si>
    <t>85,047.25</t>
  </si>
  <si>
    <t>80,784.00</t>
  </si>
  <si>
    <t>542,000.00</t>
  </si>
  <si>
    <t>217,000.00</t>
  </si>
  <si>
    <t>570,761.00</t>
  </si>
  <si>
    <t>999,832.50</t>
  </si>
  <si>
    <t>25,100,000.00</t>
  </si>
  <si>
    <t>53,940.00</t>
  </si>
  <si>
    <t>116,337.91</t>
  </si>
  <si>
    <t>1,939,800.00</t>
  </si>
  <si>
    <t>71,330.92</t>
  </si>
  <si>
    <t>467,473.29</t>
  </si>
  <si>
    <t>62,100.00</t>
  </si>
  <si>
    <t>79,200.00</t>
  </si>
  <si>
    <t>294,590.00</t>
  </si>
  <si>
    <t>3,600.00</t>
  </si>
  <si>
    <t>3,278,358.62</t>
  </si>
  <si>
    <t>999,969.20</t>
  </si>
  <si>
    <t>1,499,999.98</t>
  </si>
  <si>
    <t>935,959.29</t>
  </si>
  <si>
    <t>271,792.50</t>
  </si>
  <si>
    <t>74,750.00</t>
  </si>
  <si>
    <t>3,651,652.30</t>
  </si>
  <si>
    <t>102,500.00</t>
  </si>
  <si>
    <t>301,317.19</t>
  </si>
  <si>
    <t>127,969.63</t>
  </si>
  <si>
    <t>374,506.04</t>
  </si>
  <si>
    <t>27,182.00</t>
  </si>
  <si>
    <t>91,986.00</t>
  </si>
  <si>
    <t>680,000.00</t>
  </si>
  <si>
    <t>78,870.00</t>
  </si>
  <si>
    <t>610,000.00</t>
  </si>
  <si>
    <t>2,240,000.00</t>
  </si>
  <si>
    <t>422,542.00</t>
  </si>
  <si>
    <t>734,700.00</t>
  </si>
  <si>
    <t>248,500.00</t>
  </si>
  <si>
    <t>97,680.00</t>
  </si>
  <si>
    <t>262,615.00</t>
  </si>
  <si>
    <t>2,381,548.91</t>
  </si>
  <si>
    <t>58,400.00</t>
  </si>
  <si>
    <t>230,100.00</t>
  </si>
  <si>
    <t>1,170,865.00</t>
  </si>
  <si>
    <t>499,775.62</t>
  </si>
  <si>
    <t>598,800.00</t>
  </si>
  <si>
    <t>249,100.00</t>
  </si>
  <si>
    <t>250,504.00</t>
  </si>
  <si>
    <t>72,500.00</t>
  </si>
  <si>
    <t>4,985.00</t>
  </si>
  <si>
    <t>195,707.50</t>
  </si>
  <si>
    <t>52,795.00</t>
  </si>
  <si>
    <t>51,995.00</t>
  </si>
  <si>
    <t>780,000.00</t>
  </si>
  <si>
    <t>822,800.00</t>
  </si>
  <si>
    <t>57,980.00</t>
  </si>
  <si>
    <t>93,250.00</t>
  </si>
  <si>
    <t>3,200,000.00</t>
  </si>
  <si>
    <t>1,273,700.00</t>
  </si>
  <si>
    <t>5,850,000.00</t>
  </si>
  <si>
    <t>73,000.00</t>
  </si>
  <si>
    <t>343,470.00</t>
  </si>
  <si>
    <t>884,804.00</t>
  </si>
  <si>
    <t>278,660.00</t>
  </si>
  <si>
    <t>116,708.00</t>
  </si>
  <si>
    <t>591,255.00</t>
  </si>
  <si>
    <t>258,428.25</t>
  </si>
  <si>
    <t>151,652.50</t>
  </si>
  <si>
    <t>188,270.00</t>
  </si>
  <si>
    <t>1,269,999.99</t>
  </si>
  <si>
    <t>198,230.00</t>
  </si>
  <si>
    <t>21,200.00</t>
  </si>
  <si>
    <t>130,935.30</t>
  </si>
  <si>
    <t>1,999,999.60</t>
  </si>
  <si>
    <t>52,830.56</t>
  </si>
  <si>
    <t>153,133.23</t>
  </si>
  <si>
    <t>139,448.63</t>
  </si>
  <si>
    <t>238,698.00</t>
  </si>
  <si>
    <t>92,090.00</t>
  </si>
  <si>
    <t>169,739.75</t>
  </si>
  <si>
    <t>176,700.00</t>
  </si>
  <si>
    <t>54,720.00</t>
  </si>
  <si>
    <t>89,640.00</t>
  </si>
  <si>
    <t>2,040,000.00</t>
  </si>
  <si>
    <t>229,357.00</t>
  </si>
  <si>
    <t>33,750.00</t>
  </si>
  <si>
    <t>3,600,000.00</t>
  </si>
  <si>
    <t>203,224.90</t>
  </si>
  <si>
    <t>370,000.00</t>
  </si>
  <si>
    <t>73,400.00</t>
  </si>
  <si>
    <t>323,478.26</t>
  </si>
  <si>
    <t>93,750.00</t>
  </si>
  <si>
    <t>15,200.00</t>
  </si>
  <si>
    <t>494,452.00</t>
  </si>
  <si>
    <t>81,714.75</t>
  </si>
  <si>
    <t>63,124.00</t>
  </si>
  <si>
    <t>16,932,714.75</t>
  </si>
  <si>
    <t>14,975.00</t>
  </si>
  <si>
    <t>92,858.00</t>
  </si>
  <si>
    <t>403,200.00</t>
  </si>
  <si>
    <t>146,920.00</t>
  </si>
  <si>
    <t>184,136.84</t>
  </si>
  <si>
    <t>53,263.90</t>
  </si>
  <si>
    <t>1,719,620.00</t>
  </si>
  <si>
    <t>369,000.00</t>
  </si>
  <si>
    <t>84,015.00</t>
  </si>
  <si>
    <t>11,400.00</t>
  </si>
  <si>
    <t>64,695.00</t>
  </si>
  <si>
    <t>29,000.00</t>
  </si>
  <si>
    <t>236,875.00</t>
  </si>
  <si>
    <t>1,514,761.50</t>
  </si>
  <si>
    <t>239,000.00</t>
  </si>
  <si>
    <t>139,153.00</t>
  </si>
  <si>
    <t>217,200.00</t>
  </si>
  <si>
    <t>937,312.95</t>
  </si>
  <si>
    <t>152,222.50</t>
  </si>
  <si>
    <t>592,194.77</t>
  </si>
  <si>
    <t>324,900.00</t>
  </si>
  <si>
    <t>1,004,282.50</t>
  </si>
  <si>
    <t>107,634.00</t>
  </si>
  <si>
    <t>3,554,467.49</t>
  </si>
  <si>
    <t>399,000.00</t>
  </si>
  <si>
    <t>289,560.00</t>
  </si>
  <si>
    <t>3,610,000.00</t>
  </si>
  <si>
    <t>73,900.00</t>
  </si>
  <si>
    <t>625,000.00</t>
  </si>
  <si>
    <t>276,000.00</t>
  </si>
  <si>
    <t>79,505.00</t>
  </si>
  <si>
    <t>112,200.00</t>
  </si>
  <si>
    <t>676,413.00</t>
  </si>
  <si>
    <t>975,000.00</t>
  </si>
  <si>
    <t>288,390.60</t>
  </si>
  <si>
    <t>1,653,155.64</t>
  </si>
  <si>
    <t>505,000.00</t>
  </si>
  <si>
    <t>105,013.50</t>
  </si>
  <si>
    <t>44,700.00</t>
  </si>
  <si>
    <t>3,114,000.00</t>
  </si>
  <si>
    <t>80,049.00</t>
  </si>
  <si>
    <t>64,850.00</t>
  </si>
  <si>
    <t>127,000.00</t>
  </si>
  <si>
    <t>93,100.00</t>
  </si>
  <si>
    <t>113,517.12</t>
  </si>
  <si>
    <t>877,400.00</t>
  </si>
  <si>
    <t>283,550.00</t>
  </si>
  <si>
    <t>529,203.20</t>
  </si>
  <si>
    <t>89,040.00</t>
  </si>
  <si>
    <t>93,260.00</t>
  </si>
  <si>
    <t>64,600.00</t>
  </si>
  <si>
    <t>233,427.51</t>
  </si>
  <si>
    <t>150,812.80</t>
  </si>
  <si>
    <t>494,917.50</t>
  </si>
  <si>
    <t>68,032,492.04</t>
  </si>
  <si>
    <t>366,120.00</t>
  </si>
  <si>
    <t>4,300,000.00</t>
  </si>
  <si>
    <t>95,355.00</t>
  </si>
  <si>
    <t>265,281.60</t>
  </si>
  <si>
    <t>129,800.00</t>
  </si>
  <si>
    <t>68,750.00</t>
  </si>
  <si>
    <t>115,324.00</t>
  </si>
  <si>
    <t>99,877.23</t>
  </si>
  <si>
    <t>3,026,256.32</t>
  </si>
  <si>
    <t>22,000,000.00</t>
  </si>
  <si>
    <t>201,509.57</t>
  </si>
  <si>
    <t>994,000.00</t>
  </si>
  <si>
    <t>98,700.00</t>
  </si>
  <si>
    <t>496,794.48</t>
  </si>
  <si>
    <t>133,451.50</t>
  </si>
  <si>
    <t>195,650.00</t>
  </si>
  <si>
    <t>78,393.00</t>
  </si>
  <si>
    <t>108,747.50</t>
  </si>
  <si>
    <t>104,040.00</t>
  </si>
  <si>
    <t>655,000.00</t>
  </si>
  <si>
    <t>105,900.00</t>
  </si>
  <si>
    <t>52,865.00</t>
  </si>
  <si>
    <t>248,551.80</t>
  </si>
  <si>
    <t>324,500.00</t>
  </si>
  <si>
    <t>57,040.00</t>
  </si>
  <si>
    <t>884,269.00</t>
  </si>
  <si>
    <t>458,905.00</t>
  </si>
  <si>
    <t>4,850,000.00</t>
  </si>
  <si>
    <t>489,000.00</t>
  </si>
  <si>
    <t>8,380,000.00</t>
  </si>
  <si>
    <t>2,550,000.00</t>
  </si>
  <si>
    <t>94,400.00</t>
  </si>
  <si>
    <t>59,495.01</t>
  </si>
  <si>
    <t>1,844,000.00</t>
  </si>
  <si>
    <t>170,500.00</t>
  </si>
  <si>
    <t>297,000.00</t>
  </si>
  <si>
    <t>160,510.00</t>
  </si>
  <si>
    <t>8,660,333.47</t>
  </si>
  <si>
    <t>397,198.18</t>
  </si>
  <si>
    <t>403,056.10</t>
  </si>
  <si>
    <t>678,500.00</t>
  </si>
  <si>
    <t>1,322,500.00</t>
  </si>
  <si>
    <t>44,855.50</t>
  </si>
  <si>
    <t>299,286.61</t>
  </si>
  <si>
    <t>15,632,991.43</t>
  </si>
  <si>
    <t>392,496.00</t>
  </si>
  <si>
    <t>468,800.00</t>
  </si>
  <si>
    <t>49,500,000.00</t>
  </si>
  <si>
    <t>57,770.00</t>
  </si>
  <si>
    <t>220,670.00</t>
  </si>
  <si>
    <t>395,732.00</t>
  </si>
  <si>
    <t>103,880.00</t>
  </si>
  <si>
    <t>179,740.00</t>
  </si>
  <si>
    <t>40,070.00</t>
  </si>
  <si>
    <t>3,070,000.00</t>
  </si>
  <si>
    <t>1,152,000.00</t>
  </si>
  <si>
    <t>3,188,056.80</t>
  </si>
  <si>
    <t>327,500.00</t>
  </si>
  <si>
    <t>55,750.00</t>
  </si>
  <si>
    <t>51,025.00</t>
  </si>
  <si>
    <t>1,242,188.26</t>
  </si>
  <si>
    <t>1,503,565.52</t>
  </si>
  <si>
    <t>5,321,000.00</t>
  </si>
  <si>
    <t>160,590.00</t>
  </si>
  <si>
    <t>163,978.00</t>
  </si>
  <si>
    <t>10,969.88</t>
  </si>
  <si>
    <t>124,600.00</t>
  </si>
  <si>
    <t>28,700.00</t>
  </si>
  <si>
    <t>502,210.00</t>
  </si>
  <si>
    <t>65,380.50</t>
  </si>
  <si>
    <t>296,500.00</t>
  </si>
  <si>
    <t>179,534.00</t>
  </si>
  <si>
    <t>891,455.00</t>
  </si>
  <si>
    <t>8,075,000.00</t>
  </si>
  <si>
    <t>2,690,580.00</t>
  </si>
  <si>
    <t>4,522,824.00</t>
  </si>
  <si>
    <t>281,200.00</t>
  </si>
  <si>
    <t>97,210.00</t>
  </si>
  <si>
    <t>499,985.00</t>
  </si>
  <si>
    <t>224,600.00</t>
  </si>
  <si>
    <t>398,437.00</t>
  </si>
  <si>
    <t>234,000.00</t>
  </si>
  <si>
    <t>17,100,000.00</t>
  </si>
  <si>
    <t>6,400.00</t>
  </si>
  <si>
    <t>745,000.00</t>
  </si>
  <si>
    <t>2,969,989.51</t>
  </si>
  <si>
    <t>51,940.00</t>
  </si>
  <si>
    <t>245,800.00</t>
  </si>
  <si>
    <t>134,400.00</t>
  </si>
  <si>
    <t>2,970,291.02</t>
  </si>
  <si>
    <t>248,010.00</t>
  </si>
  <si>
    <t>238,500.00</t>
  </si>
  <si>
    <t>95,911.00</t>
  </si>
  <si>
    <t>13,776,000.00</t>
  </si>
  <si>
    <t>11,939,601.46</t>
  </si>
  <si>
    <t>2,509,803.92</t>
  </si>
  <si>
    <t>1,537,765.40</t>
  </si>
  <si>
    <t>364,100.00</t>
  </si>
  <si>
    <t>900,360.00</t>
  </si>
  <si>
    <t>6,662,688.93</t>
  </si>
  <si>
    <t>294,668.65</t>
  </si>
  <si>
    <t>891,800.00</t>
  </si>
  <si>
    <t>922,784.36</t>
  </si>
  <si>
    <t>795,477.00</t>
  </si>
  <si>
    <t>368,362.50</t>
  </si>
  <si>
    <t>265,025.00</t>
  </si>
  <si>
    <t>54,900.00</t>
  </si>
  <si>
    <t>198,500.00</t>
  </si>
  <si>
    <t>423,022.75</t>
  </si>
  <si>
    <t>94,800.00</t>
  </si>
  <si>
    <t>1,485,000.00</t>
  </si>
  <si>
    <t>81,600.00</t>
  </si>
  <si>
    <t>1,499,955.00</t>
  </si>
  <si>
    <t>621,000.00</t>
  </si>
  <si>
    <t>931,550.00</t>
  </si>
  <si>
    <t>399,295.00</t>
  </si>
  <si>
    <t>63,635.00</t>
  </si>
  <si>
    <t>691,037.32</t>
  </si>
  <si>
    <t>530,428.68</t>
  </si>
  <si>
    <t>81,448.40</t>
  </si>
  <si>
    <t>5,775,000.00</t>
  </si>
  <si>
    <t>580,000.00</t>
  </si>
  <si>
    <t>87,732.00</t>
  </si>
  <si>
    <t>45,075.00</t>
  </si>
  <si>
    <t>407,232.00</t>
  </si>
  <si>
    <t>992,000.00</t>
  </si>
  <si>
    <t>99,750.00</t>
  </si>
  <si>
    <t>910,000.00</t>
  </si>
  <si>
    <t>783,940.00</t>
  </si>
  <si>
    <t>249,056.50</t>
  </si>
  <si>
    <t>231,960.00</t>
  </si>
  <si>
    <t>446,336.67</t>
  </si>
  <si>
    <t>399,971.30</t>
  </si>
  <si>
    <t>10,900.00</t>
  </si>
  <si>
    <t>185,900.00</t>
  </si>
  <si>
    <t>71,319.29</t>
  </si>
  <si>
    <t>3,430,000.00</t>
  </si>
  <si>
    <t>4,442.50</t>
  </si>
  <si>
    <t>667,129.00</t>
  </si>
  <si>
    <t>512,500.00</t>
  </si>
  <si>
    <t>3,960,000.00</t>
  </si>
  <si>
    <t>79,200,000.00</t>
  </si>
  <si>
    <t>159,440.10</t>
  </si>
  <si>
    <t>1,815,000.00</t>
  </si>
  <si>
    <t>1,378,623.40</t>
  </si>
  <si>
    <t>14,430,000.00</t>
  </si>
  <si>
    <t>102,285.00</t>
  </si>
  <si>
    <t>279,235.00</t>
  </si>
  <si>
    <t>9,900,000.00</t>
  </si>
  <si>
    <t>775,000.00</t>
  </si>
  <si>
    <t>113,820.00</t>
  </si>
  <si>
    <t>33,000.00</t>
  </si>
  <si>
    <t>283,200.00</t>
  </si>
  <si>
    <t>710,440.00</t>
  </si>
  <si>
    <t>1,520,000.00</t>
  </si>
  <si>
    <t>396,764.20</t>
  </si>
  <si>
    <t>2,268,753.50</t>
  </si>
  <si>
    <t>193,800.00</t>
  </si>
  <si>
    <t>14,850,000.00</t>
  </si>
  <si>
    <t>788,400.00</t>
  </si>
  <si>
    <t>162,000.00</t>
  </si>
  <si>
    <t>99,516.00</t>
  </si>
  <si>
    <t>184,540.00</t>
  </si>
  <si>
    <t>179,648.00</t>
  </si>
  <si>
    <t>507,926.84</t>
  </si>
  <si>
    <t>398,220.00</t>
  </si>
  <si>
    <t>498,840.62</t>
  </si>
  <si>
    <t>184,000.00</t>
  </si>
  <si>
    <t>597,993.50</t>
  </si>
  <si>
    <t>121,767.37</t>
  </si>
  <si>
    <t>92,580.00</t>
  </si>
  <si>
    <t>298,487.73</t>
  </si>
  <si>
    <t>7,787,827.00</t>
  </si>
  <si>
    <t>49,986.00</t>
  </si>
  <si>
    <t>8,840,000.00</t>
  </si>
  <si>
    <t>177,699.93</t>
  </si>
  <si>
    <t>7,425,000.00</t>
  </si>
  <si>
    <t>62,459.00</t>
  </si>
  <si>
    <t>564,345.00</t>
  </si>
  <si>
    <t>5,991,600.00</t>
  </si>
  <si>
    <t>277,950.00</t>
  </si>
  <si>
    <t>113,999.90</t>
  </si>
  <si>
    <t>87,750.00</t>
  </si>
  <si>
    <t>2,249,924.25</t>
  </si>
  <si>
    <t>718,200.00</t>
  </si>
  <si>
    <t>71,804.00</t>
  </si>
  <si>
    <t>97,228.00</t>
  </si>
  <si>
    <t>74,250.00</t>
  </si>
  <si>
    <t>169,600.00</t>
  </si>
  <si>
    <t>392,400.00</t>
  </si>
  <si>
    <t>20,725,000.00</t>
  </si>
  <si>
    <t>2,050,040.00</t>
  </si>
  <si>
    <t>416,000.00</t>
  </si>
  <si>
    <t>1,787,964.08</t>
  </si>
  <si>
    <t>9,800,000.00</t>
  </si>
  <si>
    <t>23,252,150.23</t>
  </si>
  <si>
    <t>482,816.00</t>
  </si>
  <si>
    <t>123,100.00</t>
  </si>
  <si>
    <t>114,250.00</t>
  </si>
  <si>
    <t>152,485.00</t>
  </si>
  <si>
    <t>99,490.00</t>
  </si>
  <si>
    <t>599,974.51</t>
  </si>
  <si>
    <t>31,850,000.00</t>
  </si>
  <si>
    <t>239,360.00</t>
  </si>
  <si>
    <t>369,032,352.00</t>
  </si>
  <si>
    <t>103,236.00</t>
  </si>
  <si>
    <t>34,650,000.00</t>
  </si>
  <si>
    <t>999,971.00</t>
  </si>
  <si>
    <t>152,340.00</t>
  </si>
  <si>
    <t>412,300.00</t>
  </si>
  <si>
    <t>7,370,000.00</t>
  </si>
  <si>
    <t>77,200.00</t>
  </si>
  <si>
    <t>2,298,810.96</t>
  </si>
  <si>
    <t>599,999.68</t>
  </si>
  <si>
    <t>459,540.00</t>
  </si>
  <si>
    <t>1,080,000.00</t>
  </si>
  <si>
    <t>29,368.80</t>
  </si>
  <si>
    <t>444,837.63</t>
  </si>
  <si>
    <t>158,326.44</t>
  </si>
  <si>
    <t>999,872.30</t>
  </si>
  <si>
    <t>124,644.00</t>
  </si>
  <si>
    <t>9,996,289.32</t>
  </si>
  <si>
    <t>312,400.00</t>
  </si>
  <si>
    <t>124,799,000.00</t>
  </si>
  <si>
    <t>1,430,800.00</t>
  </si>
  <si>
    <t>998,241.05</t>
  </si>
  <si>
    <t>72,450.00</t>
  </si>
  <si>
    <t>999,329.49</t>
  </si>
  <si>
    <t>65,898.00</t>
  </si>
  <si>
    <t>397,875.00</t>
  </si>
  <si>
    <t>130,625.00</t>
  </si>
  <si>
    <t>11,529,050.00</t>
  </si>
  <si>
    <t>406,200.58</t>
  </si>
  <si>
    <t>142,665.00</t>
  </si>
  <si>
    <t>106,170.00</t>
  </si>
  <si>
    <t>73,750.00</t>
  </si>
  <si>
    <t>299,999.44</t>
  </si>
  <si>
    <t>411,800.00</t>
  </si>
  <si>
    <t>16,435.00</t>
  </si>
  <si>
    <t>710,298.00</t>
  </si>
  <si>
    <t>93,663.00</t>
  </si>
  <si>
    <t>741,169.80</t>
  </si>
  <si>
    <t>59,735.00</t>
  </si>
  <si>
    <t>8,750,000.00</t>
  </si>
  <si>
    <t>87,646.19</t>
  </si>
  <si>
    <t>3,149,629.95</t>
  </si>
  <si>
    <t>4,720,996.81</t>
  </si>
  <si>
    <t>62,095.00</t>
  </si>
  <si>
    <t>34,860,000.00</t>
  </si>
  <si>
    <t>957,700.00</t>
  </si>
  <si>
    <t>996,400.00</t>
  </si>
  <si>
    <t>161,700.00</t>
  </si>
  <si>
    <t>431,495.10</t>
  </si>
  <si>
    <t>399,500.00</t>
  </si>
  <si>
    <t>407,565.00</t>
  </si>
  <si>
    <t>92,600.00</t>
  </si>
  <si>
    <t>74,070.98</t>
  </si>
  <si>
    <t>86,035.00</t>
  </si>
  <si>
    <t>5,800,000.00</t>
  </si>
  <si>
    <t>1,907,000.00</t>
  </si>
  <si>
    <t>66,050.00</t>
  </si>
  <si>
    <t>1,114,575.00</t>
  </si>
  <si>
    <t>131,875.00</t>
  </si>
  <si>
    <t>42,500.00</t>
  </si>
  <si>
    <t>38,400.00</t>
  </si>
  <si>
    <t>519,600.00</t>
  </si>
  <si>
    <t>3,203,920.00</t>
  </si>
  <si>
    <t>928,812.50</t>
  </si>
  <si>
    <t>1,820,000.00</t>
  </si>
  <si>
    <t>89,750.00</t>
  </si>
  <si>
    <t>2,320,000.00</t>
  </si>
  <si>
    <t>841,450.00</t>
  </si>
  <si>
    <t>4,818,353.86</t>
  </si>
  <si>
    <t>3,480,000.00</t>
  </si>
  <si>
    <t>1,300,337.50</t>
  </si>
  <si>
    <t>2,992,000.00</t>
  </si>
  <si>
    <t>1,370,239.95</t>
  </si>
  <si>
    <t>2,186,035.00</t>
  </si>
  <si>
    <t>743,050.00</t>
  </si>
  <si>
    <t>178,800.00</t>
  </si>
  <si>
    <t>2,982,173.18</t>
  </si>
  <si>
    <t>30,190.00</t>
  </si>
  <si>
    <t>4,751,299.65</t>
  </si>
  <si>
    <t>4,468,990.29</t>
  </si>
  <si>
    <t>3,569,000.00</t>
  </si>
  <si>
    <t>23,808,726.65</t>
  </si>
  <si>
    <t>2,319,127.68</t>
  </si>
  <si>
    <t>2,064,691.14</t>
  </si>
  <si>
    <t>2,805,000.00</t>
  </si>
  <si>
    <t>498,250.00</t>
  </si>
  <si>
    <t>522,913.00</t>
  </si>
  <si>
    <t>112,460.00</t>
  </si>
  <si>
    <t>150,689.40</t>
  </si>
  <si>
    <t>3,506,162.90</t>
  </si>
  <si>
    <t>1,102,898.00</t>
  </si>
  <si>
    <t>305,133.00</t>
  </si>
  <si>
    <t>4,904,231.08</t>
  </si>
  <si>
    <t>2,991,839.78</t>
  </si>
  <si>
    <t>1,123,164.00</t>
  </si>
  <si>
    <t>396,000.00</t>
  </si>
  <si>
    <t>299,997.94</t>
  </si>
  <si>
    <t>128,040.00</t>
  </si>
  <si>
    <t>967,192.80</t>
  </si>
  <si>
    <t>1,964,825.02</t>
  </si>
  <si>
    <t>61,506.00</t>
  </si>
  <si>
    <t>61,362.00</t>
  </si>
  <si>
    <t>1,711,301.18</t>
  </si>
  <si>
    <t>1,328,271.00</t>
  </si>
  <si>
    <t>930,000.00</t>
  </si>
  <si>
    <t>60,000,000.00</t>
  </si>
  <si>
    <t>406,700.00</t>
  </si>
  <si>
    <t>1,326,996.56</t>
  </si>
  <si>
    <t>456,126.00</t>
  </si>
  <si>
    <t>394,700.00</t>
  </si>
  <si>
    <t>241,750.00</t>
  </si>
  <si>
    <t>131,000.00</t>
  </si>
  <si>
    <t>2,629,305.30</t>
  </si>
  <si>
    <t>1,995,000.00</t>
  </si>
  <si>
    <t>1,220,000.00</t>
  </si>
  <si>
    <t>265,399.31</t>
  </si>
  <si>
    <t>9,899,933.21</t>
  </si>
  <si>
    <t>1,423,881.20</t>
  </si>
  <si>
    <t>208,779.00</t>
  </si>
  <si>
    <t>451,885.00</t>
  </si>
  <si>
    <t>1,341,426.00</t>
  </si>
  <si>
    <t>9,899,971.25</t>
  </si>
  <si>
    <t>6,434,850.87</t>
  </si>
  <si>
    <t>19,799,827.30</t>
  </si>
  <si>
    <t>158,000.00</t>
  </si>
  <si>
    <t>196,800.00</t>
  </si>
  <si>
    <t>9,649,997.73</t>
  </si>
  <si>
    <t>465,654.00</t>
  </si>
  <si>
    <t>1,614,600.00</t>
  </si>
  <si>
    <t>3,465,000.00</t>
  </si>
  <si>
    <t>1,599,532.94</t>
  </si>
  <si>
    <t>57,896,896.01</t>
  </si>
  <si>
    <t>1,164,752.00</t>
  </si>
  <si>
    <t>2,914,440.00</t>
  </si>
  <si>
    <t>125,350.00</t>
  </si>
  <si>
    <t>1,500.00</t>
  </si>
  <si>
    <t>1,727,500.00</t>
  </si>
  <si>
    <t>19,799,378.78</t>
  </si>
  <si>
    <t>263,550.00</t>
  </si>
  <si>
    <t>78,800.00</t>
  </si>
  <si>
    <t>6,273,775.00</t>
  </si>
  <si>
    <t>144,450.00</t>
  </si>
  <si>
    <t>64,349,655.98</t>
  </si>
  <si>
    <t>109,876.00</t>
  </si>
  <si>
    <t>88,499.40</t>
  </si>
  <si>
    <t>162,730.00</t>
  </si>
  <si>
    <t>1,595,286.37</t>
  </si>
  <si>
    <t>68,932.00</t>
  </si>
  <si>
    <t>20,825,242.72</t>
  </si>
  <si>
    <t>423,750.00</t>
  </si>
  <si>
    <t>59,880.00</t>
  </si>
  <si>
    <t>412,893.00</t>
  </si>
  <si>
    <t>135,307.50</t>
  </si>
  <si>
    <t>117,420.00</t>
  </si>
  <si>
    <t>3,309,067.00</t>
  </si>
  <si>
    <t>121,360.00</t>
  </si>
  <si>
    <t>3,597,956.71</t>
  </si>
  <si>
    <t>18,133,114.23</t>
  </si>
  <si>
    <t>253,975.00</t>
  </si>
  <si>
    <t>996,680.10</t>
  </si>
  <si>
    <t>1,538,538.25</t>
  </si>
  <si>
    <t>66,080.00</t>
  </si>
  <si>
    <t>219,141.00</t>
  </si>
  <si>
    <t>257,840.00</t>
  </si>
  <si>
    <t>2,900,000.00</t>
  </si>
  <si>
    <t>135,082.00</t>
  </si>
  <si>
    <t>69,750.00</t>
  </si>
  <si>
    <t>410,104.00</t>
  </si>
  <si>
    <t>3,062,400,000.00</t>
  </si>
  <si>
    <t>80,012.40</t>
  </si>
  <si>
    <t>2,475,000.00</t>
  </si>
  <si>
    <t>3,732,000.00</t>
  </si>
  <si>
    <t>130,450.00</t>
  </si>
  <si>
    <t>32,577,872.70</t>
  </si>
  <si>
    <t>51,201.61</t>
  </si>
  <si>
    <t>50,092.35</t>
  </si>
  <si>
    <t>6,161,996.82</t>
  </si>
  <si>
    <t>466,547.00</t>
  </si>
  <si>
    <t>69,820.35</t>
  </si>
  <si>
    <t>39,340.00</t>
  </si>
  <si>
    <t>346,368.60</t>
  </si>
  <si>
    <t>4,389,877.80</t>
  </si>
  <si>
    <t>1,670,936.01</t>
  </si>
  <si>
    <t>1,659,930.00</t>
  </si>
  <si>
    <t>262,480.00</t>
  </si>
  <si>
    <t>472,048.50</t>
  </si>
  <si>
    <t>2,429,379.78</t>
  </si>
  <si>
    <t>257,400.00</t>
  </si>
  <si>
    <t>496,730.00</t>
  </si>
  <si>
    <t>97,418.00</t>
  </si>
  <si>
    <t>4,250,000.00</t>
  </si>
  <si>
    <t>195,220.00</t>
  </si>
  <si>
    <t>54,350.00</t>
  </si>
  <si>
    <t>283,080.00</t>
  </si>
  <si>
    <t>448,790.66</t>
  </si>
  <si>
    <t>684,788.01</t>
  </si>
  <si>
    <t>999,465.12</t>
  </si>
  <si>
    <t>498,184.46</t>
  </si>
  <si>
    <t>981,862.91</t>
  </si>
  <si>
    <t>6,800,000.00</t>
  </si>
  <si>
    <t>5,039,000.00</t>
  </si>
  <si>
    <t>12,093,596.00</t>
  </si>
  <si>
    <t>9,990,446.00</t>
  </si>
  <si>
    <t>823,885.86</t>
  </si>
  <si>
    <t>288,963.00</t>
  </si>
  <si>
    <t>287,300.00</t>
  </si>
  <si>
    <t>9,996,981.00</t>
  </si>
  <si>
    <t>106,201.50</t>
  </si>
  <si>
    <t>249,318.00</t>
  </si>
  <si>
    <t>408,075.00</t>
  </si>
  <si>
    <t>199,230.00</t>
  </si>
  <si>
    <t>99,985.19</t>
  </si>
  <si>
    <t>1,559,000.00</t>
  </si>
  <si>
    <t>455,362.00</t>
  </si>
  <si>
    <t>660,000.00</t>
  </si>
  <si>
    <t>5,200,000.00</t>
  </si>
  <si>
    <t>21,199,952.98</t>
  </si>
  <si>
    <t>192,000.00</t>
  </si>
  <si>
    <t>19,000,000.00</t>
  </si>
  <si>
    <t>28,000.00</t>
  </si>
  <si>
    <t>38,000,000.00</t>
  </si>
  <si>
    <t>383,400.00</t>
  </si>
  <si>
    <t>217,672.00</t>
  </si>
  <si>
    <t>2,760,000.00</t>
  </si>
  <si>
    <t>49,999,929.61</t>
  </si>
  <si>
    <t>2,457,875.00</t>
  </si>
  <si>
    <t>1,512,355.00</t>
  </si>
  <si>
    <t>29,700,000.00</t>
  </si>
  <si>
    <t>2,002,583.76</t>
  </si>
  <si>
    <t>161,800.00</t>
  </si>
  <si>
    <t>1,825,548.00</t>
  </si>
  <si>
    <t>340,035.00</t>
  </si>
  <si>
    <t>892,237.50</t>
  </si>
  <si>
    <t>20,475.00</t>
  </si>
  <si>
    <t>434,093.20</t>
  </si>
  <si>
    <t>483,218.40</t>
  </si>
  <si>
    <t>329,850.00</t>
  </si>
  <si>
    <t>344,698.40</t>
  </si>
  <si>
    <t>2,745,515.64</t>
  </si>
  <si>
    <t>806,316.00</t>
  </si>
  <si>
    <t>104,500.00</t>
  </si>
  <si>
    <t>8,895,000.00</t>
  </si>
  <si>
    <t>88,480.00</t>
  </si>
  <si>
    <t>4,426,344.00</t>
  </si>
  <si>
    <t>2,307,089.00</t>
  </si>
  <si>
    <t>110,400.00</t>
  </si>
  <si>
    <t>785,119.56</t>
  </si>
  <si>
    <t>1,200,248.00</t>
  </si>
  <si>
    <t>1,208,392.19</t>
  </si>
  <si>
    <t>1,499,649.52</t>
  </si>
  <si>
    <t>79,865.00</t>
  </si>
  <si>
    <t>573,202.50</t>
  </si>
  <si>
    <t>1,925,519.00</t>
  </si>
  <si>
    <t>644,950.00</t>
  </si>
  <si>
    <t>120,029.00</t>
  </si>
  <si>
    <t>702,846.75</t>
  </si>
  <si>
    <t>372,747.40</t>
  </si>
  <si>
    <t>147,920.00</t>
  </si>
  <si>
    <t>2,372,976.50</t>
  </si>
  <si>
    <t>181,545.00</t>
  </si>
  <si>
    <t>105,400.00</t>
  </si>
  <si>
    <t>110,883.50</t>
  </si>
  <si>
    <t>162,331.80</t>
  </si>
  <si>
    <t>2,632,914.00</t>
  </si>
  <si>
    <t>56,396.00</t>
  </si>
  <si>
    <t>402,146.40</t>
  </si>
  <si>
    <t>115,920.00</t>
  </si>
  <si>
    <t>155,200.00</t>
  </si>
  <si>
    <t>922,242.00</t>
  </si>
  <si>
    <t>147,016.25</t>
  </si>
  <si>
    <t>278,500.00</t>
  </si>
  <si>
    <t>51,900.00</t>
  </si>
  <si>
    <t>56,100.00</t>
  </si>
  <si>
    <t>55,200.00</t>
  </si>
  <si>
    <t>4,123,120.00</t>
  </si>
  <si>
    <t>187,500.00</t>
  </si>
  <si>
    <t>8,999,392.68</t>
  </si>
  <si>
    <t>30,350.00</t>
  </si>
  <si>
    <t>585,800.00</t>
  </si>
  <si>
    <t>201,365.00</t>
  </si>
  <si>
    <t>726,000.00</t>
  </si>
  <si>
    <t>391,265.00</t>
  </si>
  <si>
    <t>36,290.00</t>
  </si>
  <si>
    <t>790,483.00</t>
  </si>
  <si>
    <t>432,760.00</t>
  </si>
  <si>
    <t>794,803.00</t>
  </si>
  <si>
    <t>137,997.00</t>
  </si>
  <si>
    <t>829,354.00</t>
  </si>
  <si>
    <t>102,580.00</t>
  </si>
  <si>
    <t>866,430.00</t>
  </si>
  <si>
    <t>399,965.78</t>
  </si>
  <si>
    <t>999,000.00</t>
  </si>
  <si>
    <t>1,150,000.00</t>
  </si>
  <si>
    <t>50,641.50</t>
  </si>
  <si>
    <t>229,800.00</t>
  </si>
  <si>
    <t>992,250.00</t>
  </si>
  <si>
    <t>64,270.00</t>
  </si>
  <si>
    <t>80,598.00</t>
  </si>
  <si>
    <t>4,998,000.00</t>
  </si>
  <si>
    <t>146,420.00</t>
  </si>
  <si>
    <t>12,000,000.00</t>
  </si>
  <si>
    <t>1,922,000.00</t>
  </si>
  <si>
    <t>1,261,628.00</t>
  </si>
  <si>
    <t>2,331,606.86</t>
  </si>
  <si>
    <t>199,993.50</t>
  </si>
  <si>
    <t>395,088.09</t>
  </si>
  <si>
    <t>46,109,440.00</t>
  </si>
  <si>
    <t>261,172.00</t>
  </si>
  <si>
    <t>192,358.00</t>
  </si>
  <si>
    <t>97,915.00</t>
  </si>
  <si>
    <t>925,480.00</t>
  </si>
  <si>
    <t>135,150.00</t>
  </si>
  <si>
    <t>453,060.00</t>
  </si>
  <si>
    <t>199,750.00</t>
  </si>
  <si>
    <t>1,642,033.01</t>
  </si>
  <si>
    <t>68,906.25</t>
  </si>
  <si>
    <t>599,430.00</t>
  </si>
  <si>
    <t>34,554.00</t>
  </si>
  <si>
    <t>9,789,848.66</t>
  </si>
  <si>
    <t>482,000.00</t>
  </si>
  <si>
    <t>900,880.00</t>
  </si>
  <si>
    <t>184,863.71</t>
  </si>
  <si>
    <t>629,700.00</t>
  </si>
  <si>
    <t>438,600.00</t>
  </si>
  <si>
    <t>416,515.00</t>
  </si>
  <si>
    <t>68,200.00</t>
  </si>
  <si>
    <t>52,361.00</t>
  </si>
  <si>
    <t>1,464,564.74</t>
  </si>
  <si>
    <t>1,499,453.26</t>
  </si>
  <si>
    <t>840,000.00</t>
  </si>
  <si>
    <t>9,964,987.00</t>
  </si>
  <si>
    <t>395,540.11</t>
  </si>
  <si>
    <t>197,413.51</t>
  </si>
  <si>
    <t>79,608.00</t>
  </si>
  <si>
    <t>111,048.75</t>
  </si>
  <si>
    <t>271,950.00</t>
  </si>
  <si>
    <t>50,254.66</t>
  </si>
  <si>
    <t>10,975,562.44</t>
  </si>
  <si>
    <t>28,224.45</t>
  </si>
  <si>
    <t>307,341.95</t>
  </si>
  <si>
    <t>505,831.42</t>
  </si>
  <si>
    <t>16,000.00</t>
  </si>
  <si>
    <t>2,256,567.00</t>
  </si>
  <si>
    <t>53,700.00</t>
  </si>
  <si>
    <t>363,602.00</t>
  </si>
  <si>
    <t>314,496.00</t>
  </si>
  <si>
    <t>28,340,000.00</t>
  </si>
  <si>
    <t>2,137,500.00</t>
  </si>
  <si>
    <t>251,271.00</t>
  </si>
  <si>
    <t>85,215.00</t>
  </si>
  <si>
    <t>135,750.00</t>
  </si>
  <si>
    <t>725,000.00</t>
  </si>
  <si>
    <t>76,350.00</t>
  </si>
  <si>
    <t>680,546.00</t>
  </si>
  <si>
    <t>222,970.00</t>
  </si>
  <si>
    <t>556,022.80</t>
  </si>
  <si>
    <t>279,245.00</t>
  </si>
  <si>
    <t>667,318.75</t>
  </si>
  <si>
    <t>176,250.00</t>
  </si>
  <si>
    <t>104,850.00</t>
  </si>
  <si>
    <t>99,416.00</t>
  </si>
  <si>
    <t>129,421.33</t>
  </si>
  <si>
    <t>1,294,800.00</t>
  </si>
  <si>
    <t>3,557,996.32</t>
  </si>
  <si>
    <t>1,116,090.00</t>
  </si>
  <si>
    <t>74,800.00</t>
  </si>
  <si>
    <t>266,435.00</t>
  </si>
  <si>
    <t>1,447,403.00</t>
  </si>
  <si>
    <t>114,500.00</t>
  </si>
  <si>
    <t>2,421,446.50</t>
  </si>
  <si>
    <t>333,611.68</t>
  </si>
  <si>
    <t>5,738,732.50</t>
  </si>
  <si>
    <t>86,657.09</t>
  </si>
  <si>
    <t>193,650.00</t>
  </si>
  <si>
    <t>199,679.00</t>
  </si>
  <si>
    <t>143,500.00</t>
  </si>
  <si>
    <t>84,200.00</t>
  </si>
  <si>
    <t>1,208,225.00</t>
  </si>
  <si>
    <t>1,197,787.23</t>
  </si>
  <si>
    <t>467,876.00</t>
  </si>
  <si>
    <t>699,660.00</t>
  </si>
  <si>
    <t>1,509,154.91</t>
  </si>
  <si>
    <t>3,125,000.00</t>
  </si>
  <si>
    <t>5,996,916.53</t>
  </si>
  <si>
    <t>59,683.00</t>
  </si>
  <si>
    <t>723,132.00</t>
  </si>
  <si>
    <t>307,615.00</t>
  </si>
  <si>
    <t>520,000.00</t>
  </si>
  <si>
    <t>451,000.00</t>
  </si>
  <si>
    <t>2,593,225.84</t>
  </si>
  <si>
    <t>323,700.00</t>
  </si>
  <si>
    <t>2,313,834.42</t>
  </si>
  <si>
    <t>119,500.00</t>
  </si>
  <si>
    <t>361,800.00</t>
  </si>
  <si>
    <t>68,500.00</t>
  </si>
  <si>
    <t>24,885.00</t>
  </si>
  <si>
    <t>91,220.00</t>
  </si>
  <si>
    <t>1,323,787.58</t>
  </si>
  <si>
    <t>226,723.00</t>
  </si>
  <si>
    <t>20,198,500.00</t>
  </si>
  <si>
    <t>267,110.81</t>
  </si>
  <si>
    <t>1,288,000.00</t>
  </si>
  <si>
    <t>91,750.00</t>
  </si>
  <si>
    <t>28,324.98</t>
  </si>
  <si>
    <t>78,882.00</t>
  </si>
  <si>
    <t>525,000.00</t>
  </si>
  <si>
    <t>159,592.00</t>
  </si>
  <si>
    <t>139,950.00</t>
  </si>
  <si>
    <t>1,032,820.97</t>
  </si>
  <si>
    <t>278,000.00</t>
  </si>
  <si>
    <t>32,297,289.45</t>
  </si>
  <si>
    <t>68,600.00</t>
  </si>
  <si>
    <t>50,963.00</t>
  </si>
  <si>
    <t>1,309,950.00</t>
  </si>
  <si>
    <t>84,292.00</t>
  </si>
  <si>
    <t>171,850.00</t>
  </si>
  <si>
    <t>699,600.00</t>
  </si>
  <si>
    <t>1,613,075.60</t>
  </si>
  <si>
    <t>2,349,862.30</t>
  </si>
  <si>
    <t>89,280.00</t>
  </si>
  <si>
    <t>581,637.00</t>
  </si>
  <si>
    <t>1,319,750.00</t>
  </si>
  <si>
    <t>865,020.00</t>
  </si>
  <si>
    <t>32,786.05</t>
  </si>
  <si>
    <t>373,300.00</t>
  </si>
  <si>
    <t>2,175,000.00</t>
  </si>
  <si>
    <t>387,071.41</t>
  </si>
  <si>
    <t>786,081.14</t>
  </si>
  <si>
    <t>326,399.96</t>
  </si>
  <si>
    <t>64,985.00</t>
  </si>
  <si>
    <t>229,282.00</t>
  </si>
  <si>
    <t>97,565.00</t>
  </si>
  <si>
    <t>444,741.00</t>
  </si>
  <si>
    <t>118,220.00</t>
  </si>
  <si>
    <t>1,409,917.35</t>
  </si>
  <si>
    <t>705,875.00</t>
  </si>
  <si>
    <t>285,200.00</t>
  </si>
  <si>
    <t>25,535.00</t>
  </si>
  <si>
    <t>5,920.00</t>
  </si>
  <si>
    <t>216,725.00</t>
  </si>
  <si>
    <t>971,109.00</t>
  </si>
  <si>
    <t>1,747,471.55</t>
  </si>
  <si>
    <t>231,423.49</t>
  </si>
  <si>
    <t>90,500.00</t>
  </si>
  <si>
    <t>1,476,132.81</t>
  </si>
  <si>
    <t>892,466.56</t>
  </si>
  <si>
    <t>103,246.00</t>
  </si>
  <si>
    <t>298,229.49</t>
  </si>
  <si>
    <t>165,970.00</t>
  </si>
  <si>
    <t>11,250.00</t>
  </si>
  <si>
    <t>106,600.00</t>
  </si>
  <si>
    <t>1,420,686.77</t>
  </si>
  <si>
    <t>846,500.00</t>
  </si>
  <si>
    <t>69,810.32</t>
  </si>
  <si>
    <t>428,533.93</t>
  </si>
  <si>
    <t>2,348,345.68</t>
  </si>
  <si>
    <t>318,000.00</t>
  </si>
  <si>
    <t>580,651.00</t>
  </si>
  <si>
    <t>4,775,450.00</t>
  </si>
  <si>
    <t>412,725.00</t>
  </si>
  <si>
    <t>188,750.00</t>
  </si>
  <si>
    <t>139,770.00</t>
  </si>
  <si>
    <t>231,027.00</t>
  </si>
  <si>
    <t>404,550.00</t>
  </si>
  <si>
    <t>48,500,000.00</t>
  </si>
  <si>
    <t>628,255.00</t>
  </si>
  <si>
    <t>40,800.00</t>
  </si>
  <si>
    <t>204,750.00</t>
  </si>
  <si>
    <t>103,110.00</t>
  </si>
  <si>
    <t>1,525,056.00</t>
  </si>
  <si>
    <t>4,798,500.00</t>
  </si>
  <si>
    <t>415,965.00</t>
  </si>
  <si>
    <t>73,159.27</t>
  </si>
  <si>
    <t>575,585.00</t>
  </si>
  <si>
    <t>499,451.00</t>
  </si>
  <si>
    <t>717,750.00</t>
  </si>
  <si>
    <t>88,400.00</t>
  </si>
  <si>
    <t>139,150.00</t>
  </si>
  <si>
    <t>269,290.00</t>
  </si>
  <si>
    <t>1,175,977.00</t>
  </si>
  <si>
    <t>58,790.21</t>
  </si>
  <si>
    <t>1,550,000.00</t>
  </si>
  <si>
    <t>120,000,000.00</t>
  </si>
  <si>
    <t>6,200.00</t>
  </si>
  <si>
    <t>110,459.00</t>
  </si>
  <si>
    <t>66,465.00</t>
  </si>
  <si>
    <t>1,223,078.19</t>
  </si>
  <si>
    <t>547,595.00</t>
  </si>
  <si>
    <t>215,950.00</t>
  </si>
  <si>
    <t>265,272.34</t>
  </si>
  <si>
    <t>2,181,848.34</t>
  </si>
  <si>
    <t>234,160.00</t>
  </si>
  <si>
    <t>999,998.80</t>
  </si>
  <si>
    <t>669,530.00</t>
  </si>
  <si>
    <t>755,250.00</t>
  </si>
  <si>
    <t>175,418.11</t>
  </si>
  <si>
    <t>115,710.00</t>
  </si>
  <si>
    <t>1,505,091.00</t>
  </si>
  <si>
    <t>262,250.00</t>
  </si>
  <si>
    <t>367,120.00</t>
  </si>
  <si>
    <t>691,000.00</t>
  </si>
  <si>
    <t>1,614,353.60</t>
  </si>
  <si>
    <t>278,118.00</t>
  </si>
  <si>
    <t>2,999,606.10</t>
  </si>
  <si>
    <t>492,244.00</t>
  </si>
  <si>
    <t>565,894.00</t>
  </si>
  <si>
    <t>59,997.83</t>
  </si>
  <si>
    <t>83,000.00</t>
  </si>
  <si>
    <t>991,600.00</t>
  </si>
  <si>
    <t>426,000.00</t>
  </si>
  <si>
    <t>50,276.00</t>
  </si>
  <si>
    <t>150,775.00</t>
  </si>
  <si>
    <t>76,503.00</t>
  </si>
  <si>
    <t>8,970.00</t>
  </si>
  <si>
    <t>716,416.56</t>
  </si>
  <si>
    <t>99,840.00</t>
  </si>
  <si>
    <t>7,400,000.00</t>
  </si>
  <si>
    <t>164,050.00</t>
  </si>
  <si>
    <t>12,396.00</t>
  </si>
  <si>
    <t>3,013,064.62</t>
  </si>
  <si>
    <t>343,541.25</t>
  </si>
  <si>
    <t>222,040.00</t>
  </si>
  <si>
    <t>1,999,469.80</t>
  </si>
  <si>
    <t>599,950.32</t>
  </si>
  <si>
    <t>65,085.00</t>
  </si>
  <si>
    <t>22,900.00</t>
  </si>
  <si>
    <t>456,738.06</t>
  </si>
  <si>
    <t>4,594,000.00</t>
  </si>
  <si>
    <t>51,930.00</t>
  </si>
  <si>
    <t>204,500.00</t>
  </si>
  <si>
    <t>397,000.00</t>
  </si>
  <si>
    <t>580,176.00</t>
  </si>
  <si>
    <t>132,440.01</t>
  </si>
  <si>
    <t>269,200.00</t>
  </si>
  <si>
    <t>135,200.00</t>
  </si>
  <si>
    <t>1,838,514.60</t>
  </si>
  <si>
    <t>808,800.00</t>
  </si>
  <si>
    <t>4,400.00</t>
  </si>
  <si>
    <t>4,653,000.00</t>
  </si>
  <si>
    <t>166,944.00</t>
  </si>
  <si>
    <t>3,944,942.38</t>
  </si>
  <si>
    <t>71,000.00</t>
  </si>
  <si>
    <t>662,181.57</t>
  </si>
  <si>
    <t>2,145,000.00</t>
  </si>
  <si>
    <t>169,995.00</t>
  </si>
  <si>
    <t>987,000.00</t>
  </si>
  <si>
    <t>207,117.50</t>
  </si>
  <si>
    <t>1,119,599.00</t>
  </si>
  <si>
    <t>399,655.18</t>
  </si>
  <si>
    <t>93,903.00</t>
  </si>
  <si>
    <t>151,806.00</t>
  </si>
  <si>
    <t>9,799,997.84</t>
  </si>
  <si>
    <t>257,160.00</t>
  </si>
  <si>
    <t>507,846.00</t>
  </si>
  <si>
    <t>603,200.00</t>
  </si>
  <si>
    <t>213,985.00</t>
  </si>
  <si>
    <t>467,500.00</t>
  </si>
  <si>
    <t>89,486.50</t>
  </si>
  <si>
    <t>206,000.00</t>
  </si>
  <si>
    <t>274,193.17</t>
  </si>
  <si>
    <t>18,800.00</t>
  </si>
  <si>
    <t>499,100.00</t>
  </si>
  <si>
    <t>12,250,000.00</t>
  </si>
  <si>
    <t>119,900.00</t>
  </si>
  <si>
    <t>147,913.00</t>
  </si>
  <si>
    <t>9,799,997.65</t>
  </si>
  <si>
    <t>140,140.00</t>
  </si>
  <si>
    <t>27,815.00</t>
  </si>
  <si>
    <t>63,750.00</t>
  </si>
  <si>
    <t>604,419.40</t>
  </si>
  <si>
    <t>189,080.00</t>
  </si>
  <si>
    <t>548,232.56</t>
  </si>
  <si>
    <t>226,556.26</t>
  </si>
  <si>
    <t>120,706.00</t>
  </si>
  <si>
    <t>95,700.00</t>
  </si>
  <si>
    <t>123,700.00</t>
  </si>
  <si>
    <t>51,800.00</t>
  </si>
  <si>
    <t>999,755.00</t>
  </si>
  <si>
    <t>194,008.00</t>
  </si>
  <si>
    <t>86,900.00</t>
  </si>
  <si>
    <t>174,800.00</t>
  </si>
  <si>
    <t>240,408.32</t>
  </si>
  <si>
    <t>52,970,398.00</t>
  </si>
  <si>
    <t>331,700.00</t>
  </si>
  <si>
    <t>198,450.00</t>
  </si>
  <si>
    <t>279,999,810.00</t>
  </si>
  <si>
    <t>272,306.60</t>
  </si>
  <si>
    <t>252,000.00</t>
  </si>
  <si>
    <t>2,969,999.97</t>
  </si>
  <si>
    <t>912,757.13</t>
  </si>
  <si>
    <t>910,257.60</t>
  </si>
  <si>
    <t>1,930,000.00</t>
  </si>
  <si>
    <t>50,950,198.19</t>
  </si>
  <si>
    <t>127,570.91</t>
  </si>
  <si>
    <t>666,852.50</t>
  </si>
  <si>
    <t>996,808.84</t>
  </si>
  <si>
    <t>1,999,998.99</t>
  </si>
  <si>
    <t>592,373.94</t>
  </si>
  <si>
    <t>41,170,000.00</t>
  </si>
  <si>
    <t>381,163.00</t>
  </si>
  <si>
    <t>78,500.00</t>
  </si>
  <si>
    <t>39,604,000.00</t>
  </si>
  <si>
    <t>865,200.00</t>
  </si>
  <si>
    <t>213,780.52</t>
  </si>
  <si>
    <t>58,800,000.00</t>
  </si>
  <si>
    <t>124,740.00</t>
  </si>
  <si>
    <t>6,740,000.00</t>
  </si>
  <si>
    <t>156,665.00</t>
  </si>
  <si>
    <t>1,596,506.00</t>
  </si>
  <si>
    <t>19,600,000.00</t>
  </si>
  <si>
    <t>1,240,188.00</t>
  </si>
  <si>
    <t>365,900.00</t>
  </si>
  <si>
    <t>11,385,000.00</t>
  </si>
  <si>
    <t>19,027,800.00</t>
  </si>
  <si>
    <t>1,247,424.00</t>
  </si>
  <si>
    <t>356,000.00</t>
  </si>
  <si>
    <t>6,325.00</t>
  </si>
  <si>
    <t>288,921.00</t>
  </si>
  <si>
    <t>99,992.00</t>
  </si>
  <si>
    <t>339,140.00</t>
  </si>
  <si>
    <t>174,488.00</t>
  </si>
  <si>
    <t>112,755.00</t>
  </si>
  <si>
    <t>39,999,049.66</t>
  </si>
  <si>
    <t>6,930,000.00</t>
  </si>
  <si>
    <t>699,426.00</t>
  </si>
  <si>
    <t>485,742.00</t>
  </si>
  <si>
    <t>92,100.00</t>
  </si>
  <si>
    <t>199,990.00</t>
  </si>
  <si>
    <t>3,992,000.00</t>
  </si>
  <si>
    <t>68,060.00</t>
  </si>
  <si>
    <t>200,433.00</t>
  </si>
  <si>
    <t>193,834.00</t>
  </si>
  <si>
    <t>124,356.00</t>
  </si>
  <si>
    <t>1,694,323.71</t>
  </si>
  <si>
    <t>55,152.00</t>
  </si>
  <si>
    <t>64,252.00</t>
  </si>
  <si>
    <t>184,370.00</t>
  </si>
  <si>
    <t>388,780.00</t>
  </si>
  <si>
    <t>1,255,626.00</t>
  </si>
  <si>
    <t>163,900.00</t>
  </si>
  <si>
    <t>300,967.00</t>
  </si>
  <si>
    <t>167,420.00</t>
  </si>
  <si>
    <t>19,512,082.18</t>
  </si>
  <si>
    <t>54,100.00</t>
  </si>
  <si>
    <t>952,662.72</t>
  </si>
  <si>
    <t>4,760,950.00</t>
  </si>
  <si>
    <t>122,000.00</t>
  </si>
  <si>
    <t>261,000.00</t>
  </si>
  <si>
    <t>15,978.00</t>
  </si>
  <si>
    <t>1,864,517.40</t>
  </si>
  <si>
    <t>979,498.33</t>
  </si>
  <si>
    <t>173,160.00</t>
  </si>
  <si>
    <t>6,756,557.00</t>
  </si>
  <si>
    <t>1,430,280.00</t>
  </si>
  <si>
    <t>1,964,957.00</t>
  </si>
  <si>
    <t>5,232,510.08</t>
  </si>
  <si>
    <t>685,000.00</t>
  </si>
  <si>
    <t>36,100.00</t>
  </si>
  <si>
    <t>206,604.45</t>
  </si>
  <si>
    <t>38,495,037.51</t>
  </si>
  <si>
    <t>977,492.99</t>
  </si>
  <si>
    <t>591,687.25</t>
  </si>
  <si>
    <t>1,522,800.00</t>
  </si>
  <si>
    <t>58,855.00</t>
  </si>
  <si>
    <t>91,970.00</t>
  </si>
  <si>
    <t>639,984.45</t>
  </si>
  <si>
    <t>56,546.00</t>
  </si>
  <si>
    <t>47,979,900.00</t>
  </si>
  <si>
    <t>2,895,000.00</t>
  </si>
  <si>
    <t>1,710,930.00</t>
  </si>
  <si>
    <t>1,705,366.00</t>
  </si>
  <si>
    <t>88,500.00</t>
  </si>
  <si>
    <t>109,700.00</t>
  </si>
  <si>
    <t>50,457.00</t>
  </si>
  <si>
    <t>317,808.00</t>
  </si>
  <si>
    <t>61,315.00</t>
  </si>
  <si>
    <t>1,768,475.00</t>
  </si>
  <si>
    <t>2,333,900.00</t>
  </si>
  <si>
    <t>27,300,000.00</t>
  </si>
  <si>
    <t>1,642,200.00</t>
  </si>
  <si>
    <t>939,817.62</t>
  </si>
  <si>
    <t>554,780.07</t>
  </si>
  <si>
    <t>143,937.57</t>
  </si>
  <si>
    <t>382,550.00</t>
  </si>
  <si>
    <t>3,682,655.14</t>
  </si>
  <si>
    <t>2,385,600.00</t>
  </si>
  <si>
    <t>2,897,200.00</t>
  </si>
  <si>
    <t>220,700.00</t>
  </si>
  <si>
    <t>286,110.00</t>
  </si>
  <si>
    <t>950,500.00</t>
  </si>
  <si>
    <t>2,700.00</t>
  </si>
  <si>
    <t>490,754.28</t>
  </si>
  <si>
    <t>107,300.00</t>
  </si>
  <si>
    <t>103,460.00</t>
  </si>
  <si>
    <t>106,660.27</t>
  </si>
  <si>
    <t>1,810,250.00</t>
  </si>
  <si>
    <t>293,750.00</t>
  </si>
  <si>
    <t>23,174,033.92</t>
  </si>
  <si>
    <t>6,875,000.00</t>
  </si>
  <si>
    <t>252,724.00</t>
  </si>
  <si>
    <t>3,940,489.48</t>
  </si>
  <si>
    <t>3,715.00</t>
  </si>
  <si>
    <t>170,150.00</t>
  </si>
  <si>
    <t>4,378,687.50</t>
  </si>
  <si>
    <t>473,600.00</t>
  </si>
  <si>
    <t>381,000.00</t>
  </si>
  <si>
    <t>1,066,404.50</t>
  </si>
  <si>
    <t>858,835.01</t>
  </si>
  <si>
    <t>300,721.77</t>
  </si>
  <si>
    <t>7,330,025.68</t>
  </si>
  <si>
    <t>2,969,095.00</t>
  </si>
  <si>
    <t>145,782.29</t>
  </si>
  <si>
    <t>3,955,325.51</t>
  </si>
  <si>
    <t>54,700.00</t>
  </si>
  <si>
    <t>599,981.45</t>
  </si>
  <si>
    <t>630,680.40</t>
  </si>
  <si>
    <t>141,581.00</t>
  </si>
  <si>
    <t>477,595.00</t>
  </si>
  <si>
    <t>300,500.00</t>
  </si>
  <si>
    <t>71,274.61</t>
  </si>
  <si>
    <t>1,343,400.00</t>
  </si>
  <si>
    <t>40,900.00</t>
  </si>
  <si>
    <t>144,304.00</t>
  </si>
  <si>
    <t>263,815.80</t>
  </si>
  <si>
    <t>69,047.00</t>
  </si>
  <si>
    <t>876,891.65</t>
  </si>
  <si>
    <t>815,209.14</t>
  </si>
  <si>
    <t>580,200.60</t>
  </si>
  <si>
    <t>164,352.00</t>
  </si>
  <si>
    <t>35,300.00</t>
  </si>
  <si>
    <t>218,825.38</t>
  </si>
  <si>
    <t>324,000.00</t>
  </si>
  <si>
    <t>249,520.00</t>
  </si>
  <si>
    <t>655,414.20</t>
  </si>
  <si>
    <t>208,360.00</t>
  </si>
  <si>
    <t>800,500.00</t>
  </si>
  <si>
    <t>3,604,526.86</t>
  </si>
  <si>
    <t>694,545.00</t>
  </si>
  <si>
    <t>306,752.60</t>
  </si>
  <si>
    <t>275,570.08</t>
  </si>
  <si>
    <t>292,000.00</t>
  </si>
  <si>
    <t>806,700.00</t>
  </si>
  <si>
    <t>771,000.00</t>
  </si>
  <si>
    <t>246,300.00</t>
  </si>
  <si>
    <t>778,225.32</t>
  </si>
  <si>
    <t>40,965.00</t>
  </si>
  <si>
    <t>733,473.00</t>
  </si>
  <si>
    <t>1,327,019.00</t>
  </si>
  <si>
    <t>173,000.00</t>
  </si>
  <si>
    <t>154,200.00</t>
  </si>
  <si>
    <t>537,001.12</t>
  </si>
  <si>
    <t>50,676,000.00</t>
  </si>
  <si>
    <t>127,180.00</t>
  </si>
  <si>
    <t>169,409.26</t>
  </si>
  <si>
    <t>175,380.00</t>
  </si>
  <si>
    <t>83,350.00</t>
  </si>
  <si>
    <t>325,900.00</t>
  </si>
  <si>
    <t>65,840.00</t>
  </si>
  <si>
    <t>288,470.00</t>
  </si>
  <si>
    <t>766,621.09</t>
  </si>
  <si>
    <t>16,800.00</t>
  </si>
  <si>
    <t>304,920.00</t>
  </si>
  <si>
    <t>439,837.50</t>
  </si>
  <si>
    <t>471,000.00</t>
  </si>
  <si>
    <t>764,080.00</t>
  </si>
  <si>
    <t>1,061,167.20</t>
  </si>
  <si>
    <t>416,100.00</t>
  </si>
  <si>
    <t>730,441.00</t>
  </si>
  <si>
    <t>8,670.00</t>
  </si>
  <si>
    <t>999,818.93</t>
  </si>
  <si>
    <t>229,925.83</t>
  </si>
  <si>
    <t>49,070.00</t>
  </si>
  <si>
    <t>249,914.00</t>
  </si>
  <si>
    <t>999,900.00</t>
  </si>
  <si>
    <t>1,808,800.00</t>
  </si>
  <si>
    <t>423,050.00</t>
  </si>
  <si>
    <t>57,028.00</t>
  </si>
  <si>
    <t>696,000.00</t>
  </si>
  <si>
    <t>999,999.68</t>
  </si>
  <si>
    <t>125,797.50</t>
  </si>
  <si>
    <t>98,460.00</t>
  </si>
  <si>
    <t>322,400.00</t>
  </si>
  <si>
    <t>95,495.00</t>
  </si>
  <si>
    <t>298,838.00</t>
  </si>
  <si>
    <t>89,900.00</t>
  </si>
  <si>
    <t>88,599.19</t>
  </si>
  <si>
    <t>2,999,813.94</t>
  </si>
  <si>
    <t>187,954.49</t>
  </si>
  <si>
    <t>563,208.00</t>
  </si>
  <si>
    <t>11,000,000.00</t>
  </si>
  <si>
    <t>877,000.00</t>
  </si>
  <si>
    <t>7,900.00</t>
  </si>
  <si>
    <t>2,939,925.29</t>
  </si>
  <si>
    <t>11,200.00</t>
  </si>
  <si>
    <t>122,100.00</t>
  </si>
  <si>
    <t>929,619.37</t>
  </si>
  <si>
    <t>305,216.00</t>
  </si>
  <si>
    <t>459,055.46</t>
  </si>
  <si>
    <t>216,136.00</t>
  </si>
  <si>
    <t>83,800.00</t>
  </si>
  <si>
    <t>539,800.00</t>
  </si>
  <si>
    <t>990,021.17</t>
  </si>
  <si>
    <t>12,539,000.00</t>
  </si>
  <si>
    <t>432,607.00</t>
  </si>
  <si>
    <t>1,014,199.20</t>
  </si>
  <si>
    <t>54,750.00</t>
  </si>
  <si>
    <t>1,959,863.45</t>
  </si>
  <si>
    <t>979,965.00</t>
  </si>
  <si>
    <t>7,228,882.95</t>
  </si>
  <si>
    <t>90,850.00</t>
  </si>
  <si>
    <t>193,000.00</t>
  </si>
  <si>
    <t>109,415.00</t>
  </si>
  <si>
    <t>1,469,922.41</t>
  </si>
  <si>
    <t>592,800.00</t>
  </si>
  <si>
    <t>9,255,000.00</t>
  </si>
  <si>
    <t>79,000.00</t>
  </si>
  <si>
    <t>133,820.00</t>
  </si>
  <si>
    <t>999,534.30</t>
  </si>
  <si>
    <t>253,200.00</t>
  </si>
  <si>
    <t>44,894.00</t>
  </si>
  <si>
    <t>4,851,560.00</t>
  </si>
  <si>
    <t>4,700.00</t>
  </si>
  <si>
    <t>387,100.00</t>
  </si>
  <si>
    <t>124,400.00</t>
  </si>
  <si>
    <t>159,783.36</t>
  </si>
  <si>
    <t>499,247.00</t>
  </si>
  <si>
    <t>619,246.00</t>
  </si>
  <si>
    <t>37,726,000.00</t>
  </si>
  <si>
    <t>25,500.00</t>
  </si>
  <si>
    <t>113,750.00</t>
  </si>
  <si>
    <t>4,409,999.98</t>
  </si>
  <si>
    <t>26,012.00</t>
  </si>
  <si>
    <t>88,600.00</t>
  </si>
  <si>
    <t>57,180.00</t>
  </si>
  <si>
    <t>830,000.00</t>
  </si>
  <si>
    <t>131,175.00</t>
  </si>
  <si>
    <t>10,491,000.00</t>
  </si>
  <si>
    <t>149,960.00</t>
  </si>
  <si>
    <t>279,669.48</t>
  </si>
  <si>
    <t>65,550.00</t>
  </si>
  <si>
    <t>88,335.50</t>
  </si>
  <si>
    <t>523,390.00</t>
  </si>
  <si>
    <t>119,765.00</t>
  </si>
  <si>
    <t>1,320,000.00</t>
  </si>
  <si>
    <t>136,967.92</t>
  </si>
  <si>
    <t>876,255.00</t>
  </si>
  <si>
    <t>91,008.00</t>
  </si>
  <si>
    <t>8,271,000.00</t>
  </si>
  <si>
    <t>622,200.00</t>
  </si>
  <si>
    <t>234,960.93</t>
  </si>
  <si>
    <t>2,133,619.39</t>
  </si>
  <si>
    <t>7,129,200.00</t>
  </si>
  <si>
    <t>244,323.00</t>
  </si>
  <si>
    <t>59,900.00</t>
  </si>
  <si>
    <t>5,321,400.00</t>
  </si>
  <si>
    <t>18,000,000.00</t>
  </si>
  <si>
    <t>1,995,871.20</t>
  </si>
  <si>
    <t>993,210.00</t>
  </si>
  <si>
    <t>300,900.00</t>
  </si>
  <si>
    <t>235,093.68</t>
  </si>
  <si>
    <t>419,333.41</t>
  </si>
  <si>
    <t>513,545.00</t>
  </si>
  <si>
    <t>578,523.00</t>
  </si>
  <si>
    <t>493,676.05</t>
  </si>
  <si>
    <t>269,711.00</t>
  </si>
  <si>
    <t>10,200.00</t>
  </si>
  <si>
    <t>96,385.00</t>
  </si>
  <si>
    <t>499,830.00</t>
  </si>
  <si>
    <t>153,120.00</t>
  </si>
  <si>
    <t>379,108.40</t>
  </si>
  <si>
    <t>33,361,000.00</t>
  </si>
  <si>
    <t>799,984.97</t>
  </si>
  <si>
    <t>393,902.50</t>
  </si>
  <si>
    <t>699,825.00</t>
  </si>
  <si>
    <t>318,250.00</t>
  </si>
  <si>
    <t>4,362,781.17</t>
  </si>
  <si>
    <t>1,032,269.20</t>
  </si>
  <si>
    <t>300,050.00</t>
  </si>
  <si>
    <t>132,025.92</t>
  </si>
  <si>
    <t>338,000.00</t>
  </si>
  <si>
    <t>1,181,650.66</t>
  </si>
  <si>
    <t>55,900.00</t>
  </si>
  <si>
    <t>328,860.00</t>
  </si>
  <si>
    <t>4,316,600.00</t>
  </si>
  <si>
    <t>1,377,800.00</t>
  </si>
  <si>
    <t>88,800.00</t>
  </si>
  <si>
    <t>94,435.00</t>
  </si>
  <si>
    <t>299,600.00</t>
  </si>
  <si>
    <t>103,637.60</t>
  </si>
  <si>
    <t>105,264.00</t>
  </si>
  <si>
    <t>841,801.00</t>
  </si>
  <si>
    <t>70,430.30</t>
  </si>
  <si>
    <t>499,954.00</t>
  </si>
  <si>
    <t>411,106.48</t>
  </si>
  <si>
    <t>177,900.00</t>
  </si>
  <si>
    <t>388,000.00</t>
  </si>
  <si>
    <t>1,199,803.03</t>
  </si>
  <si>
    <t>952,399.00</t>
  </si>
  <si>
    <t>499,992.39</t>
  </si>
  <si>
    <t>492,000.00</t>
  </si>
  <si>
    <t>1,999,997.48</t>
  </si>
  <si>
    <t>19,512,168.46</t>
  </si>
  <si>
    <t>336,037.46</t>
  </si>
  <si>
    <t>98,345.00</t>
  </si>
  <si>
    <t>1,813,000.00</t>
  </si>
  <si>
    <t>499,997.00</t>
  </si>
  <si>
    <t>175,196.10</t>
  </si>
  <si>
    <t>253,100.00</t>
  </si>
  <si>
    <t>2,260,000.00</t>
  </si>
  <si>
    <t>99,312.00</t>
  </si>
  <si>
    <t>193,401.00</t>
  </si>
  <si>
    <t>107,008.00</t>
  </si>
  <si>
    <t>290,325.00</t>
  </si>
  <si>
    <t>1,470,000.00</t>
  </si>
  <si>
    <t>828,000.00</t>
  </si>
  <si>
    <t>120,260.00</t>
  </si>
  <si>
    <t>872,407.60</t>
  </si>
  <si>
    <t>945,006.00</t>
  </si>
  <si>
    <t>210,279.00</t>
  </si>
  <si>
    <t>325,802.00</t>
  </si>
  <si>
    <t>216,400.00</t>
  </si>
  <si>
    <t>1,381,045.00</t>
  </si>
  <si>
    <t>161,000.00</t>
  </si>
  <si>
    <t>220,500.00</t>
  </si>
  <si>
    <t>61,900.00</t>
  </si>
  <si>
    <t>312,424.12</t>
  </si>
  <si>
    <t>840,002.00</t>
  </si>
  <si>
    <t>1,140,000.00</t>
  </si>
  <si>
    <t>91,348.69</t>
  </si>
  <si>
    <t>70,640.00</t>
  </si>
  <si>
    <t>313,137.00</t>
  </si>
  <si>
    <t>262,800.00</t>
  </si>
  <si>
    <t>59,565.00</t>
  </si>
  <si>
    <t>266,450.00</t>
  </si>
  <si>
    <t>19,502,380.97</t>
  </si>
  <si>
    <t>342,372.00</t>
  </si>
  <si>
    <t>75,502.00</t>
  </si>
  <si>
    <t>65,670.00</t>
  </si>
  <si>
    <t>153,175.00</t>
  </si>
  <si>
    <t>3,567,776.00</t>
  </si>
  <si>
    <t>120,353.50</t>
  </si>
  <si>
    <t>709,486.92</t>
  </si>
  <si>
    <t>611,064.00</t>
  </si>
  <si>
    <t>10,711,407.00</t>
  </si>
  <si>
    <t>499,925.40</t>
  </si>
  <si>
    <t>2,568,420.00</t>
  </si>
  <si>
    <t>297,192.00</t>
  </si>
  <si>
    <t>11,939,999.98</t>
  </si>
  <si>
    <t>108,500.00</t>
  </si>
  <si>
    <t>99,645.00</t>
  </si>
  <si>
    <t>55,864.75</t>
  </si>
  <si>
    <t>811,405.00</t>
  </si>
  <si>
    <t>99,375.00</t>
  </si>
  <si>
    <t>970,000.00</t>
  </si>
  <si>
    <t>484,799.83</t>
  </si>
  <si>
    <t>29,397,952.78</t>
  </si>
  <si>
    <t>9,999,856.88</t>
  </si>
  <si>
    <t>3,432,000.00</t>
  </si>
  <si>
    <t>417,635.56</t>
  </si>
  <si>
    <t>4,538,624.72</t>
  </si>
  <si>
    <t>374,820.00</t>
  </si>
  <si>
    <t>1,025,557.00</t>
  </si>
  <si>
    <t>97,450.00</t>
  </si>
  <si>
    <t>971,694.27</t>
  </si>
  <si>
    <t>360,650.00</t>
  </si>
  <si>
    <t>559,000.00</t>
  </si>
  <si>
    <t>77,732.00</t>
  </si>
  <si>
    <t>1,400,000.00</t>
  </si>
  <si>
    <t>713,411.00</t>
  </si>
  <si>
    <t>12,934,198.51</t>
  </si>
  <si>
    <t>539,937.90</t>
  </si>
  <si>
    <t>19,501,888.25</t>
  </si>
  <si>
    <t>40,300.00</t>
  </si>
  <si>
    <t>56,750.00</t>
  </si>
  <si>
    <t>201,765.00</t>
  </si>
  <si>
    <t>207,000.00</t>
  </si>
  <si>
    <t>310,632.00</t>
  </si>
  <si>
    <t>289,499,796.53</t>
  </si>
  <si>
    <t>2,454,232.48</t>
  </si>
  <si>
    <t>109,842.00</t>
  </si>
  <si>
    <t>432,200.00</t>
  </si>
  <si>
    <t>301,028.17</t>
  </si>
  <si>
    <t>634,200.00</t>
  </si>
  <si>
    <t>231,783.00</t>
  </si>
  <si>
    <t>177,000.00</t>
  </si>
  <si>
    <t>38,900.00</t>
  </si>
  <si>
    <t>804,023.44</t>
  </si>
  <si>
    <t>55,357.20</t>
  </si>
  <si>
    <t>203,027.00</t>
  </si>
  <si>
    <t>104,550.00</t>
  </si>
  <si>
    <t>176,640.00</t>
  </si>
  <si>
    <t>92,649.70</t>
  </si>
  <si>
    <t>5,197,670.77</t>
  </si>
  <si>
    <t>465,000.00</t>
  </si>
  <si>
    <t>470,073.00</t>
  </si>
  <si>
    <t>509,010.00</t>
  </si>
  <si>
    <t>12,375,000.00</t>
  </si>
  <si>
    <t>243,687.00</t>
  </si>
  <si>
    <t>571,926.25</t>
  </si>
  <si>
    <t>188,900.00</t>
  </si>
  <si>
    <t>101,250.00</t>
  </si>
  <si>
    <t>241,440.00</t>
  </si>
  <si>
    <t>9,999,960.13</t>
  </si>
  <si>
    <t>84,290.00</t>
  </si>
  <si>
    <t>842,200.00</t>
  </si>
  <si>
    <t>183,542.93</t>
  </si>
  <si>
    <t>153,928.00</t>
  </si>
  <si>
    <t>9,654,869.08</t>
  </si>
  <si>
    <t>120,750.00</t>
  </si>
  <si>
    <t>87,230.00</t>
  </si>
  <si>
    <t>725,889.00</t>
  </si>
  <si>
    <t>281,800.00</t>
  </si>
  <si>
    <t>1,120,000.00</t>
  </si>
  <si>
    <t>103,565.96</t>
  </si>
  <si>
    <t>849,732.00</t>
  </si>
  <si>
    <t>78,375.20</t>
  </si>
  <si>
    <t>254,580.10</t>
  </si>
  <si>
    <t>156,600.00</t>
  </si>
  <si>
    <t>502,035.00</t>
  </si>
  <si>
    <t>852,935.00</t>
  </si>
  <si>
    <t>14,978,730.89</t>
  </si>
  <si>
    <t>9,999,726.70</t>
  </si>
  <si>
    <t>5,088,823.01</t>
  </si>
  <si>
    <t>1,777,613.88</t>
  </si>
  <si>
    <t>674,531.00</t>
  </si>
  <si>
    <t>5,162,420.79</t>
  </si>
  <si>
    <t>10,053,000.00</t>
  </si>
  <si>
    <t>490,000.00</t>
  </si>
  <si>
    <t>11,939,177.06</t>
  </si>
  <si>
    <t>57,014.88</t>
  </si>
  <si>
    <t>132,460.00</t>
  </si>
  <si>
    <t>955,546.00</t>
  </si>
  <si>
    <t>137,870.00</t>
  </si>
  <si>
    <t>85,990.00</t>
  </si>
  <si>
    <t>2,885,508.31</t>
  </si>
  <si>
    <t>725,368.35</t>
  </si>
  <si>
    <t>52,435.00</t>
  </si>
  <si>
    <t>467,740.50</t>
  </si>
  <si>
    <t>3,690,910.09</t>
  </si>
  <si>
    <t>15,600.00</t>
  </si>
  <si>
    <t>155,531.93</t>
  </si>
  <si>
    <t>2,200,000.00</t>
  </si>
  <si>
    <t>9,975.00</t>
  </si>
  <si>
    <t>932,400.00</t>
  </si>
  <si>
    <t>11,939,908.64</t>
  </si>
  <si>
    <t>112,100.00</t>
  </si>
  <si>
    <t>4,243,839.21</t>
  </si>
  <si>
    <t>94,297.00</t>
  </si>
  <si>
    <t>123,970.00</t>
  </si>
  <si>
    <t>3,767,187.50</t>
  </si>
  <si>
    <t>4,996,567.92</t>
  </si>
  <si>
    <t>371,300.00</t>
  </si>
  <si>
    <t>677,875.00</t>
  </si>
  <si>
    <t>989,575.00</t>
  </si>
  <si>
    <t>2,740,000.00</t>
  </si>
  <si>
    <t>9,079,050.00</t>
  </si>
  <si>
    <t>1,836,650.00</t>
  </si>
  <si>
    <t>59,906.00</t>
  </si>
  <si>
    <t>1,584,800.00</t>
  </si>
  <si>
    <t>55,100,000.00</t>
  </si>
  <si>
    <t>5,958,828.89</t>
  </si>
  <si>
    <t>507,100.00</t>
  </si>
  <si>
    <t>3,395,400.00</t>
  </si>
  <si>
    <t>7,569,000.00</t>
  </si>
  <si>
    <t>4,337,743.24</t>
  </si>
  <si>
    <t>437,500.00</t>
  </si>
  <si>
    <t>6,590,423.49</t>
  </si>
  <si>
    <t>5,701,219.60</t>
  </si>
  <si>
    <t>4,019,000.00</t>
  </si>
  <si>
    <t>3,754,200.88</t>
  </si>
  <si>
    <t>183,820.00</t>
  </si>
  <si>
    <t>1,560,000.00</t>
  </si>
  <si>
    <t>642,600.00</t>
  </si>
  <si>
    <t>5,808,000.00</t>
  </si>
  <si>
    <t>14,000,000.00</t>
  </si>
  <si>
    <t>44,400.00</t>
  </si>
  <si>
    <t>2,784,017.10</t>
  </si>
  <si>
    <t>279,000.00</t>
  </si>
  <si>
    <t>16,000,000.00</t>
  </si>
  <si>
    <t>5,131,760.02</t>
  </si>
  <si>
    <t>7,458,840.00</t>
  </si>
  <si>
    <t>4,732,659.30</t>
  </si>
  <si>
    <t>9,181,767.50</t>
  </si>
  <si>
    <t>174,200.00</t>
  </si>
  <si>
    <t>3,318,370.69</t>
  </si>
  <si>
    <t>379,156.00</t>
  </si>
  <si>
    <t>742,500.00</t>
  </si>
  <si>
    <t>1,059,600.00</t>
  </si>
  <si>
    <t>730,500.00</t>
  </si>
  <si>
    <t>11,845,260.00</t>
  </si>
  <si>
    <t>5,020,686.68</t>
  </si>
  <si>
    <t>1,030,000.00</t>
  </si>
  <si>
    <t>8,592,600.00</t>
  </si>
  <si>
    <t>6,916,350.00</t>
  </si>
  <si>
    <t>5,998,574.66</t>
  </si>
  <si>
    <t>4,151,665.51</t>
  </si>
  <si>
    <t>24,197,350.00</t>
  </si>
  <si>
    <t>6,165,237.12</t>
  </si>
  <si>
    <t>6,256,169.73</t>
  </si>
  <si>
    <t>6,260,339.61</t>
  </si>
  <si>
    <t>2,268,500.00</t>
  </si>
  <si>
    <t>1,834,350.00</t>
  </si>
  <si>
    <t>3,499,264.55</t>
  </si>
  <si>
    <t>6,883,593.75</t>
  </si>
  <si>
    <t>907,950.00</t>
  </si>
  <si>
    <t>490,500.00</t>
  </si>
  <si>
    <t>5,128,620.26</t>
  </si>
  <si>
    <t>1,996,400.00</t>
  </si>
  <si>
    <t>2,998,152.98</t>
  </si>
  <si>
    <t>10,273,756.00</t>
  </si>
  <si>
    <t>5,586,234.92</t>
  </si>
  <si>
    <t>3,096,850.34</t>
  </si>
  <si>
    <t>5,946,052.60</t>
  </si>
  <si>
    <t>5,006,498.49</t>
  </si>
  <si>
    <t>1,450,000.00</t>
  </si>
  <si>
    <t>3,880,482.45</t>
  </si>
  <si>
    <t>865,950.00</t>
  </si>
  <si>
    <t>3,495,455.91</t>
  </si>
  <si>
    <t>914,250.00</t>
  </si>
  <si>
    <t>3,240,027.28</t>
  </si>
  <si>
    <t>4,550,000.00</t>
  </si>
  <si>
    <t>911,100.00</t>
  </si>
  <si>
    <t>998,000.00</t>
  </si>
  <si>
    <t>301,750.00</t>
  </si>
  <si>
    <t>6,600.00</t>
  </si>
  <si>
    <t>201,166.66</t>
  </si>
  <si>
    <t>249,960.00</t>
  </si>
  <si>
    <t>245,000.00</t>
  </si>
  <si>
    <t>694,800.00</t>
  </si>
  <si>
    <t>260,435.00</t>
  </si>
  <si>
    <t>149,876.00</t>
  </si>
  <si>
    <t>869,100.00</t>
  </si>
  <si>
    <t>326,013.96</t>
  </si>
  <si>
    <t>57,997.00</t>
  </si>
  <si>
    <t>100,583.34</t>
  </si>
  <si>
    <t>4,600.00</t>
  </si>
  <si>
    <t>3,160.00</t>
  </si>
  <si>
    <t>996,815.00</t>
  </si>
  <si>
    <t>3,063,244.41</t>
  </si>
  <si>
    <t>999,909.66</t>
  </si>
  <si>
    <t>484,765.40</t>
  </si>
  <si>
    <t>1,820,047.00</t>
  </si>
  <si>
    <t>32,800.00</t>
  </si>
  <si>
    <t>1,343,825.07</t>
  </si>
  <si>
    <t>6,342,600.00</t>
  </si>
  <si>
    <t>14,900.00</t>
  </si>
  <si>
    <t>650,303.50</t>
  </si>
  <si>
    <t>2,595,970.00</t>
  </si>
  <si>
    <t>3,796,761.23</t>
  </si>
  <si>
    <t>1,529,988.00</t>
  </si>
  <si>
    <t>331,861.25</t>
  </si>
  <si>
    <t>676,258.00</t>
  </si>
  <si>
    <t>193,821.00</t>
  </si>
  <si>
    <t>8,200,000.00</t>
  </si>
  <si>
    <t>276,030.00</t>
  </si>
  <si>
    <t>492,765.40</t>
  </si>
  <si>
    <t>42,443,296.44</t>
  </si>
  <si>
    <t>434,103.00</t>
  </si>
  <si>
    <t>405,900.50</t>
  </si>
  <si>
    <t>134,125.00</t>
  </si>
  <si>
    <t>290,778.11</t>
  </si>
  <si>
    <t>670,530.00</t>
  </si>
  <si>
    <t>517,992.45</t>
  </si>
  <si>
    <t>537,050.27</t>
  </si>
  <si>
    <t>1,232,250.00</t>
  </si>
  <si>
    <t>740,000.00</t>
  </si>
  <si>
    <t>25,202.00</t>
  </si>
  <si>
    <t>599,719.37</t>
  </si>
  <si>
    <t>414,020.00</t>
  </si>
  <si>
    <t>350,826.86</t>
  </si>
  <si>
    <t>100,100.00</t>
  </si>
  <si>
    <t>270,000,000.00</t>
  </si>
  <si>
    <t>179,130.00</t>
  </si>
  <si>
    <t>358,260.00</t>
  </si>
  <si>
    <t>430,000.00</t>
  </si>
  <si>
    <t>5,406,000.00</t>
  </si>
  <si>
    <t>62,632.00</t>
  </si>
  <si>
    <t>499,942.28</t>
  </si>
  <si>
    <t>716,520.00</t>
  </si>
  <si>
    <t>999,983.50</t>
  </si>
  <si>
    <t>183,528.37</t>
  </si>
  <si>
    <t>141,330.00</t>
  </si>
  <si>
    <t>999,680.00</t>
  </si>
  <si>
    <t>997,920.00</t>
  </si>
  <si>
    <t>58,978.52</t>
  </si>
  <si>
    <t>276,934.60</t>
  </si>
  <si>
    <t>399,428.61</t>
  </si>
  <si>
    <t>712,885.66</t>
  </si>
  <si>
    <t>111,110.00</t>
  </si>
  <si>
    <t>29,599,650.87</t>
  </si>
  <si>
    <t>4,899,978.01</t>
  </si>
  <si>
    <t>53,405.00</t>
  </si>
  <si>
    <t>413,035.00</t>
  </si>
  <si>
    <t>195,962.80</t>
  </si>
  <si>
    <t>54,445.00</t>
  </si>
  <si>
    <t>360,440.00</t>
  </si>
  <si>
    <t>5,004,000.00</t>
  </si>
  <si>
    <t>29,399,998.85</t>
  </si>
  <si>
    <t>986,720.00</t>
  </si>
  <si>
    <t>7,839,984.59</t>
  </si>
  <si>
    <t>14,563,108.00</t>
  </si>
  <si>
    <t>4,899,399.41</t>
  </si>
  <si>
    <t>128,150.00</t>
  </si>
  <si>
    <t>178,398.56</t>
  </si>
  <si>
    <t>937,000.00</t>
  </si>
  <si>
    <t>5,748,422.00</t>
  </si>
  <si>
    <t>509,000.00</t>
  </si>
  <si>
    <t>902,880.00</t>
  </si>
  <si>
    <t>998,100.00</t>
  </si>
  <si>
    <t>2,936,838.29</t>
  </si>
  <si>
    <t>56,393.00</t>
  </si>
  <si>
    <t>1,939,306.60</t>
  </si>
  <si>
    <t>999,820.00</t>
  </si>
  <si>
    <t>91,335.00</t>
  </si>
  <si>
    <t>98,500.00</t>
  </si>
  <si>
    <t>4,240,000.00</t>
  </si>
  <si>
    <t>75,310.00</t>
  </si>
  <si>
    <t>28,642,847.47</t>
  </si>
  <si>
    <t>187,105.20</t>
  </si>
  <si>
    <t>1,891,978.38</t>
  </si>
  <si>
    <t>6,610,000.00</t>
  </si>
  <si>
    <t>84,750.00</t>
  </si>
  <si>
    <t>1,643,739.00</t>
  </si>
  <si>
    <t>8,995,414.20</t>
  </si>
  <si>
    <t>779,850.00</t>
  </si>
  <si>
    <t>716,997.00</t>
  </si>
  <si>
    <t>19,359.00</t>
  </si>
  <si>
    <t>2,295,000.00</t>
  </si>
  <si>
    <t>999,712.00</t>
  </si>
  <si>
    <t>97,370.24</t>
  </si>
  <si>
    <t>1,826,513.92</t>
  </si>
  <si>
    <t>12,571,721.70</t>
  </si>
  <si>
    <t>363,576.00</t>
  </si>
  <si>
    <t>499,978.50</t>
  </si>
  <si>
    <t>163,475.00</t>
  </si>
  <si>
    <t>999,700.00</t>
  </si>
  <si>
    <t>112,660.00</t>
  </si>
  <si>
    <t>70,790.00</t>
  </si>
  <si>
    <t>269,837.00</t>
  </si>
  <si>
    <t>49,991.00</t>
  </si>
  <si>
    <t>143,980.32</t>
  </si>
  <si>
    <t>83,700.00</t>
  </si>
  <si>
    <t>618,745.00</t>
  </si>
  <si>
    <t>108,758.00</t>
  </si>
  <si>
    <t>75,500.00</t>
  </si>
  <si>
    <t>49,050.00</t>
  </si>
  <si>
    <t>205,916.25</t>
  </si>
  <si>
    <t>5,235,000.00</t>
  </si>
  <si>
    <t>1,006,550.00</t>
  </si>
  <si>
    <t>5,600,000.00</t>
  </si>
  <si>
    <t>293,730.00</t>
  </si>
  <si>
    <t>1,003,630.00</t>
  </si>
  <si>
    <t>175,493.00</t>
  </si>
  <si>
    <t>1,378,000.00</t>
  </si>
  <si>
    <t>3,110,815.57</t>
  </si>
  <si>
    <t>338,533.00</t>
  </si>
  <si>
    <t>85,904.00</t>
  </si>
  <si>
    <t>626,400.00</t>
  </si>
  <si>
    <t>749,945.50</t>
  </si>
  <si>
    <t>83,230.00</t>
  </si>
  <si>
    <t>964,800.00</t>
  </si>
  <si>
    <t>1,290,655.08</t>
  </si>
  <si>
    <t>194,863.00</t>
  </si>
  <si>
    <t>1,194,625.96</t>
  </si>
  <si>
    <t>775,080.00</t>
  </si>
  <si>
    <t>6,475,999.12</t>
  </si>
  <si>
    <t>718,090.00</t>
  </si>
  <si>
    <t>656,585.00</t>
  </si>
  <si>
    <t>102,480.00</t>
  </si>
  <si>
    <t>369,752.00</t>
  </si>
  <si>
    <t>134,785.00</t>
  </si>
  <si>
    <t>2,299,999.14</t>
  </si>
  <si>
    <t>580,229.00</t>
  </si>
  <si>
    <t>17,099,800.67</t>
  </si>
  <si>
    <t>249,920.00</t>
  </si>
  <si>
    <t>997,711.26</t>
  </si>
  <si>
    <t>973,773.75</t>
  </si>
  <si>
    <t>999,613.24</t>
  </si>
  <si>
    <t>164,280.00</t>
  </si>
  <si>
    <t>774,019.60</t>
  </si>
  <si>
    <t>563,000.10</t>
  </si>
  <si>
    <t>1,349,140.11</t>
  </si>
  <si>
    <t>17,915,053.01</t>
  </si>
  <si>
    <t>356,715.00</t>
  </si>
  <si>
    <t>3,111,979.00</t>
  </si>
  <si>
    <t>1,475,316.45</t>
  </si>
  <si>
    <t>342,330.00</t>
  </si>
  <si>
    <t>749,901.36</t>
  </si>
  <si>
    <t>798,836.65</t>
  </si>
  <si>
    <t>11,799,906.51</t>
  </si>
  <si>
    <t>610,965.00</t>
  </si>
  <si>
    <t>95,515.00</t>
  </si>
  <si>
    <t>1,494,341.40</t>
  </si>
  <si>
    <t>253,000.00</t>
  </si>
  <si>
    <t>9,999,649.57</t>
  </si>
  <si>
    <t>1,605,821.75</t>
  </si>
  <si>
    <t>1,997,935.84</t>
  </si>
  <si>
    <t>4,531,339.74</t>
  </si>
  <si>
    <t>1,711,067.40</t>
  </si>
  <si>
    <t>4,498,938.88</t>
  </si>
  <si>
    <t>979,204.85</t>
  </si>
  <si>
    <t>1,179,678.71</t>
  </si>
  <si>
    <t>999,951.42</t>
  </si>
  <si>
    <t>1,349,834.11</t>
  </si>
  <si>
    <t>474,767.41</t>
  </si>
  <si>
    <t>519,636.54</t>
  </si>
  <si>
    <t>37,760.00</t>
  </si>
  <si>
    <t>425,880.00</t>
  </si>
  <si>
    <t>1,888,518.34</t>
  </si>
  <si>
    <t>67,775.00</t>
  </si>
  <si>
    <t>99,801.00</t>
  </si>
  <si>
    <t>4,000,100.00</t>
  </si>
  <si>
    <t>649,430.00</t>
  </si>
  <si>
    <t>55,016.00</t>
  </si>
  <si>
    <t>1,330,000.00</t>
  </si>
  <si>
    <t>2,536,000.00</t>
  </si>
  <si>
    <t>65,124.84</t>
  </si>
  <si>
    <t>981,717.75</t>
  </si>
  <si>
    <t>142,100.00</t>
  </si>
  <si>
    <t>152,895.26</t>
  </si>
  <si>
    <t>55,846.77</t>
  </si>
  <si>
    <t>597,986.52</t>
  </si>
  <si>
    <t>1,197,667.08</t>
  </si>
  <si>
    <t>9,487,436.00</t>
  </si>
  <si>
    <t>666,619.20</t>
  </si>
  <si>
    <t>73,180.00</t>
  </si>
  <si>
    <t>62,045.00</t>
  </si>
  <si>
    <t>243,936.00</t>
  </si>
  <si>
    <t>369,957.52</t>
  </si>
  <si>
    <t>377,935.00</t>
  </si>
  <si>
    <t>760,136.00</t>
  </si>
  <si>
    <t>126,735.00</t>
  </si>
  <si>
    <t>500,150.00</t>
  </si>
  <si>
    <t>79,395.00</t>
  </si>
  <si>
    <t>345,701.64</t>
  </si>
  <si>
    <t>408,263.00</t>
  </si>
  <si>
    <t>1,278,655.46</t>
  </si>
  <si>
    <t>314,600.00</t>
  </si>
  <si>
    <t>796,980.00</t>
  </si>
  <si>
    <t>554,700.00</t>
  </si>
  <si>
    <t>739,619.58</t>
  </si>
  <si>
    <t>74,596.00</t>
  </si>
  <si>
    <t>1,182,743.90</t>
  </si>
  <si>
    <t>178,750.00</t>
  </si>
  <si>
    <t>65,348.00</t>
  </si>
  <si>
    <t>527,399.60</t>
  </si>
  <si>
    <t>2,278,305.00</t>
  </si>
  <si>
    <t>84,698.00</t>
  </si>
  <si>
    <t>132,254.00</t>
  </si>
  <si>
    <t>1,801,896.00</t>
  </si>
  <si>
    <t>1,624,000.00</t>
  </si>
  <si>
    <t>3,113,414.37</t>
  </si>
  <si>
    <t>268,836.00</t>
  </si>
  <si>
    <t>2,498,968.55</t>
  </si>
  <si>
    <t>2,041,960.00</t>
  </si>
  <si>
    <t>4,374,167.19</t>
  </si>
  <si>
    <t>1,298,172.82</t>
  </si>
  <si>
    <t>2,551,800.00</t>
  </si>
  <si>
    <t>2,424,840.00</t>
  </si>
  <si>
    <t>822,000.00</t>
  </si>
  <si>
    <t>688,927.06</t>
  </si>
  <si>
    <t>596,400.00</t>
  </si>
  <si>
    <t>75,216.96</t>
  </si>
  <si>
    <t>1,600,738.72</t>
  </si>
  <si>
    <t>2,046,059.27</t>
  </si>
  <si>
    <t>99,727,604.06</t>
  </si>
  <si>
    <t>1,453,900.00</t>
  </si>
  <si>
    <t>91,700.00</t>
  </si>
  <si>
    <t>4,022,960.15</t>
  </si>
  <si>
    <t>456,142.14</t>
  </si>
  <si>
    <t>1,020,000.00</t>
  </si>
  <si>
    <t>17,979,300.00</t>
  </si>
  <si>
    <t>1,416,798.00</t>
  </si>
  <si>
    <t>1,756,560.00</t>
  </si>
  <si>
    <t>1,162,660.80</t>
  </si>
  <si>
    <t>51,200.00</t>
  </si>
  <si>
    <t>1,416,000.00</t>
  </si>
  <si>
    <t>1,344,000.00</t>
  </si>
  <si>
    <t>2,042,872.49</t>
  </si>
  <si>
    <t>4,998,830.71</t>
  </si>
  <si>
    <t>923,743.50</t>
  </si>
  <si>
    <t>1,996,597.32</t>
  </si>
  <si>
    <t>12,935,000.00</t>
  </si>
  <si>
    <t>550,290.00</t>
  </si>
  <si>
    <t>334,251.80</t>
  </si>
  <si>
    <t>496,320.00</t>
  </si>
  <si>
    <t>65,731.00</t>
  </si>
  <si>
    <t>169,375.00</t>
  </si>
  <si>
    <t>142,191.00</t>
  </si>
  <si>
    <t>70,368.50</t>
  </si>
  <si>
    <t>55,096.00</t>
  </si>
  <si>
    <t>224,500.00</t>
  </si>
  <si>
    <t>168,100.00</t>
  </si>
  <si>
    <t>191,435.00</t>
  </si>
  <si>
    <t>112,945.00</t>
  </si>
  <si>
    <t>69,300.00</t>
  </si>
  <si>
    <t>93,140.00</t>
  </si>
  <si>
    <t>75,650.00</t>
  </si>
  <si>
    <t>371,717.00</t>
  </si>
  <si>
    <t>99,815.60</t>
  </si>
  <si>
    <t>75,223.00</t>
  </si>
  <si>
    <t>97,630.00</t>
  </si>
  <si>
    <t>288,400.00</t>
  </si>
  <si>
    <t>971,830.99</t>
  </si>
  <si>
    <t>376,950.00</t>
  </si>
  <si>
    <t>162,490.00</t>
  </si>
  <si>
    <t>5,197,000.00</t>
  </si>
  <si>
    <t>534,520.00</t>
  </si>
  <si>
    <t>47,000.00</t>
  </si>
  <si>
    <t>144,800.00</t>
  </si>
  <si>
    <t>134,554.00</t>
  </si>
  <si>
    <t>403,126.00</t>
  </si>
  <si>
    <t>221,925.00</t>
  </si>
  <si>
    <t>910,024.71</t>
  </si>
  <si>
    <t>809,600.00</t>
  </si>
  <si>
    <t>2,425,000.00</t>
  </si>
  <si>
    <t>497,694.79</t>
  </si>
  <si>
    <t>1,455,000.00</t>
  </si>
  <si>
    <t>82,860.00</t>
  </si>
  <si>
    <t>999,906.66</t>
  </si>
  <si>
    <t>974,000.00</t>
  </si>
  <si>
    <t>148,600.00</t>
  </si>
  <si>
    <t>236,090.00</t>
  </si>
  <si>
    <t>1,401,421.88</t>
  </si>
  <si>
    <t>88,879.00</t>
  </si>
  <si>
    <t>1,493,425.00</t>
  </si>
  <si>
    <t>23,030,000.00</t>
  </si>
  <si>
    <t>32,400.00</t>
  </si>
  <si>
    <t>291,000.00</t>
  </si>
  <si>
    <t>277,300.00</t>
  </si>
  <si>
    <t>11,937,445.31</t>
  </si>
  <si>
    <t>1,893,077.60</t>
  </si>
  <si>
    <t>499,925.00</t>
  </si>
  <si>
    <t>306,606.27</t>
  </si>
  <si>
    <t>90,315.00</t>
  </si>
  <si>
    <t>3,398,479.39</t>
  </si>
  <si>
    <t>50,790.00</t>
  </si>
  <si>
    <t>1,636,614.74</t>
  </si>
  <si>
    <t>112,240.00</t>
  </si>
  <si>
    <t>11,933,851.05</t>
  </si>
  <si>
    <t>196,000.00</t>
  </si>
  <si>
    <t>2,140,000.00</t>
  </si>
  <si>
    <t>9,776,567.52</t>
  </si>
  <si>
    <t>622,000.00</t>
  </si>
  <si>
    <t>145,500.00</t>
  </si>
  <si>
    <t>531,000.00</t>
  </si>
  <si>
    <t>53,125.80</t>
  </si>
  <si>
    <t>56,700.00</t>
  </si>
  <si>
    <t>149,993.19</t>
  </si>
  <si>
    <t>148,000.00</t>
  </si>
  <si>
    <t>19,931.50</t>
  </si>
  <si>
    <t>219,005.00</t>
  </si>
  <si>
    <t>50,220.00</t>
  </si>
  <si>
    <t>443,500.00</t>
  </si>
  <si>
    <t>89,980.60</t>
  </si>
  <si>
    <t>725,839.00</t>
  </si>
  <si>
    <t>1,199,428.12</t>
  </si>
  <si>
    <t>609,971.34</t>
  </si>
  <si>
    <t>546,500.00</t>
  </si>
  <si>
    <t>1,911,000.00</t>
  </si>
  <si>
    <t>71,460.00</t>
  </si>
  <si>
    <t>647,237.00</t>
  </si>
  <si>
    <t>51,764.00</t>
  </si>
  <si>
    <t>299,642.10</t>
  </si>
  <si>
    <t>14,960.00</t>
  </si>
  <si>
    <t>180,450.00</t>
  </si>
  <si>
    <t>49,999,808.70</t>
  </si>
  <si>
    <t>96,325.00</t>
  </si>
  <si>
    <t>489,444.24</t>
  </si>
  <si>
    <t>25,600.00</t>
  </si>
  <si>
    <t>57,700.00</t>
  </si>
  <si>
    <t>118,406.00</t>
  </si>
  <si>
    <t>219,430.00</t>
  </si>
  <si>
    <t>552,000.00</t>
  </si>
  <si>
    <t>12,340.62</t>
  </si>
  <si>
    <t>7,271.50</t>
  </si>
  <si>
    <t>457,120.00</t>
  </si>
  <si>
    <t>632,000.00</t>
  </si>
  <si>
    <t>54,995.50</t>
  </si>
  <si>
    <t>710,837.00</t>
  </si>
  <si>
    <t>193,725.00</t>
  </si>
  <si>
    <t>40,281.00</t>
  </si>
  <si>
    <t>597,264.00</t>
  </si>
  <si>
    <t>2,554,685.70</t>
  </si>
  <si>
    <t>224,301.18</t>
  </si>
  <si>
    <t>102,189.36</t>
  </si>
  <si>
    <t>2,445.00</t>
  </si>
  <si>
    <t>521,051.10</t>
  </si>
  <si>
    <t>22,996.45</t>
  </si>
  <si>
    <t>636,625.00</t>
  </si>
  <si>
    <t>650.00</t>
  </si>
  <si>
    <t>60,550.00</t>
  </si>
  <si>
    <t>479,498.60</t>
  </si>
  <si>
    <t>59,445.00</t>
  </si>
  <si>
    <t>501,400.00</t>
  </si>
  <si>
    <t>1,374,767.00</t>
  </si>
  <si>
    <t>5,066.39</t>
  </si>
  <si>
    <t>12,751.17</t>
  </si>
  <si>
    <t>351,645.26</t>
  </si>
  <si>
    <t>84,500.00</t>
  </si>
  <si>
    <t>124,560.00</t>
  </si>
  <si>
    <t>59,782.00</t>
  </si>
  <si>
    <t>438,985.82</t>
  </si>
  <si>
    <t>15,150.00</t>
  </si>
  <si>
    <t>41,462.00</t>
  </si>
  <si>
    <t>194,517.00</t>
  </si>
  <si>
    <t>375,206.40</t>
  </si>
  <si>
    <t>32,378.33</t>
  </si>
  <si>
    <t>816,162.00</t>
  </si>
  <si>
    <t>79,450.00</t>
  </si>
  <si>
    <t>92,950.00</t>
  </si>
  <si>
    <t>9,940.00</t>
  </si>
  <si>
    <t>342,000.00</t>
  </si>
  <si>
    <t>1,787,163.05</t>
  </si>
  <si>
    <t>499,952.00</t>
  </si>
  <si>
    <t>230,900.00</t>
  </si>
  <si>
    <t>7,321,150.00</t>
  </si>
  <si>
    <t>2,729,769.20</t>
  </si>
  <si>
    <t>197,520.00</t>
  </si>
  <si>
    <t>114,165.00</t>
  </si>
  <si>
    <t>69,980.00</t>
  </si>
  <si>
    <t>321,871.00</t>
  </si>
  <si>
    <t>49,168.40</t>
  </si>
  <si>
    <t>669,342.36</t>
  </si>
  <si>
    <t>14,424.04</t>
  </si>
  <si>
    <t>142,139.84</t>
  </si>
  <si>
    <t>84,480.00</t>
  </si>
  <si>
    <t>992,850.00</t>
  </si>
  <si>
    <t>1,604,219.00</t>
  </si>
  <si>
    <t>791,505.00</t>
  </si>
  <si>
    <t>681,835.14</t>
  </si>
  <si>
    <t>601,600.00</t>
  </si>
  <si>
    <t>222,165.00</t>
  </si>
  <si>
    <t>240,500.00</t>
  </si>
  <si>
    <t>27,200.00</t>
  </si>
  <si>
    <t>967,120.00</t>
  </si>
  <si>
    <t>282,900.00</t>
  </si>
  <si>
    <t>339,300.00</t>
  </si>
  <si>
    <t>550,580.00</t>
  </si>
  <si>
    <t>111,180.00</t>
  </si>
  <si>
    <t>1,000.00</t>
  </si>
  <si>
    <t>863,234.31</t>
  </si>
  <si>
    <t>540,400.00</t>
  </si>
  <si>
    <t>133,510.00</t>
  </si>
  <si>
    <t>125,800.00</t>
  </si>
  <si>
    <t>76,324.43</t>
  </si>
  <si>
    <t>596,779.12</t>
  </si>
  <si>
    <t>411,675.00</t>
  </si>
  <si>
    <t>394,950.00</t>
  </si>
  <si>
    <t>586,950.00</t>
  </si>
  <si>
    <t>100,113.00</t>
  </si>
  <si>
    <t>669,573.35</t>
  </si>
  <si>
    <t>2,379,290.00</t>
  </si>
  <si>
    <t>249,993.50</t>
  </si>
  <si>
    <t>1,180,590.00</t>
  </si>
  <si>
    <t>84,510.00</t>
  </si>
  <si>
    <t>165,906.00</t>
  </si>
  <si>
    <t>999,828.72</t>
  </si>
  <si>
    <t>169,015.00</t>
  </si>
  <si>
    <t>52,378.00</t>
  </si>
  <si>
    <t>1,512,000.00</t>
  </si>
  <si>
    <t>55,300.00</t>
  </si>
  <si>
    <t>93,869.00</t>
  </si>
  <si>
    <t>961,262.48</t>
  </si>
  <si>
    <t>4,243,896.00</t>
  </si>
  <si>
    <t>108,147.09</t>
  </si>
  <si>
    <t>80,599.00</t>
  </si>
  <si>
    <t>1,296,900.00</t>
  </si>
  <si>
    <t>1,099,595.00</t>
  </si>
  <si>
    <t>236,026.18</t>
  </si>
  <si>
    <t>1,207,830.00</t>
  </si>
  <si>
    <t>641,248.00</t>
  </si>
  <si>
    <t>998,532.35</t>
  </si>
  <si>
    <t>824,239.20</t>
  </si>
  <si>
    <t>992,056.53</t>
  </si>
  <si>
    <t>279,919.65</t>
  </si>
  <si>
    <t>282,000.00</t>
  </si>
  <si>
    <t>1,149,500.00</t>
  </si>
  <si>
    <t>1,255,817.64</t>
  </si>
  <si>
    <t>1,530,000.00</t>
  </si>
  <si>
    <t>295,535.00</t>
  </si>
  <si>
    <t>1,151,960.00</t>
  </si>
  <si>
    <t>44,180.00</t>
  </si>
  <si>
    <t>2,698,192.09</t>
  </si>
  <si>
    <t>229,550.00</t>
  </si>
  <si>
    <t>85,825.00</t>
  </si>
  <si>
    <t>907,060.00</t>
  </si>
  <si>
    <t>948,060.00</t>
  </si>
  <si>
    <t>1,935,306.31</t>
  </si>
  <si>
    <t>82,800.00</t>
  </si>
  <si>
    <t>2,677,785.30</t>
  </si>
  <si>
    <t>579,610.80</t>
  </si>
  <si>
    <t>42,025.00</t>
  </si>
  <si>
    <t>89,203.00</t>
  </si>
  <si>
    <t>143,999.00</t>
  </si>
  <si>
    <t>985,553.51</t>
  </si>
  <si>
    <t>47,400.00</t>
  </si>
  <si>
    <t>711,396.00</t>
  </si>
  <si>
    <t>406,415.00</t>
  </si>
  <si>
    <t>345,005.00</t>
  </si>
  <si>
    <t>1,696,971.05</t>
  </si>
  <si>
    <t>304,750.00</t>
  </si>
  <si>
    <t>61,650.00</t>
  </si>
  <si>
    <t>2,105,000.00</t>
  </si>
  <si>
    <t>1,446,281.32</t>
  </si>
  <si>
    <t>610,955.00</t>
  </si>
  <si>
    <t>96,462.50</t>
  </si>
  <si>
    <t>90,574.00</t>
  </si>
  <si>
    <t>1,498,559.93</t>
  </si>
  <si>
    <t>109,750.00</t>
  </si>
  <si>
    <t>2,098,000.00</t>
  </si>
  <si>
    <t>264,500.00</t>
  </si>
  <si>
    <t>81,800.00</t>
  </si>
  <si>
    <t>167,550.00</t>
  </si>
  <si>
    <t>52,592.69</t>
  </si>
  <si>
    <t>469,181.15</t>
  </si>
  <si>
    <t>151,565.06</t>
  </si>
  <si>
    <t>271,085.00</t>
  </si>
  <si>
    <t>86,310.00</t>
  </si>
  <si>
    <t>79,050.00</t>
  </si>
  <si>
    <t>37,946.70</t>
  </si>
  <si>
    <t>5,320,000.00</t>
  </si>
  <si>
    <t>499,925.81</t>
  </si>
  <si>
    <t>217,520.00</t>
  </si>
  <si>
    <t>3,456,090.00</t>
  </si>
  <si>
    <t>148,220.00</t>
  </si>
  <si>
    <t>391,135.00</t>
  </si>
  <si>
    <t>630,800.00</t>
  </si>
  <si>
    <t>792,765.00</t>
  </si>
  <si>
    <t>1,809,926.00</t>
  </si>
  <si>
    <t>251,930.00</t>
  </si>
  <si>
    <t>281,820.00</t>
  </si>
  <si>
    <t>635,760.00</t>
  </si>
  <si>
    <t>265,456.00</t>
  </si>
  <si>
    <t>849,621.97</t>
  </si>
  <si>
    <t>1,947,935.00</t>
  </si>
  <si>
    <t>2,299,618.00</t>
  </si>
  <si>
    <t>269,650.00</t>
  </si>
  <si>
    <t>73,070.00</t>
  </si>
  <si>
    <t>299,394.04</t>
  </si>
  <si>
    <t>887,907.00</t>
  </si>
  <si>
    <t>916,672.95</t>
  </si>
  <si>
    <t>495,455.00</t>
  </si>
  <si>
    <t>499,912.20</t>
  </si>
  <si>
    <t>73,160.00</t>
  </si>
  <si>
    <t>574,030.50</t>
  </si>
  <si>
    <t>9,630,000.00</t>
  </si>
  <si>
    <t>163,911.22</t>
  </si>
  <si>
    <t>3,008,072.65</t>
  </si>
  <si>
    <t>221,000.00</t>
  </si>
  <si>
    <t>101,802.00</t>
  </si>
  <si>
    <t>295,000.00</t>
  </si>
  <si>
    <t>635,729.40</t>
  </si>
  <si>
    <t>267,183.00</t>
  </si>
  <si>
    <t>51,450.00</t>
  </si>
  <si>
    <t>1,480,610.00</t>
  </si>
  <si>
    <t>576,062.11</t>
  </si>
  <si>
    <t>44,520.00</t>
  </si>
  <si>
    <t>67,720.00</t>
  </si>
  <si>
    <t>221,230.00</t>
  </si>
  <si>
    <t>198,155.00</t>
  </si>
  <si>
    <t>204,253.00</t>
  </si>
  <si>
    <t>640,817.00</t>
  </si>
  <si>
    <t>1,225.00</t>
  </si>
  <si>
    <t>141,150.00</t>
  </si>
  <si>
    <t>3,270,000.00</t>
  </si>
  <si>
    <t>98,264.15</t>
  </si>
  <si>
    <t>3,053.23</t>
  </si>
  <si>
    <t>91,325.60</t>
  </si>
  <si>
    <t>490,014.27</t>
  </si>
  <si>
    <t>67,060.80</t>
  </si>
  <si>
    <t>1,390,204.88</t>
  </si>
  <si>
    <t>275,080.00</t>
  </si>
  <si>
    <t>695,165.26</t>
  </si>
  <si>
    <t>284,802.00</t>
  </si>
  <si>
    <t>14,000.00</t>
  </si>
  <si>
    <t>10,452,868.00</t>
  </si>
  <si>
    <t>17,043.13</t>
  </si>
  <si>
    <t>354,695.22</t>
  </si>
  <si>
    <t>3,650.71</t>
  </si>
  <si>
    <t>299,975.00</t>
  </si>
  <si>
    <t>13,500.00</t>
  </si>
  <si>
    <t>2,535,000.00</t>
  </si>
  <si>
    <t>499,602.60</t>
  </si>
  <si>
    <t>2,499,972.41</t>
  </si>
  <si>
    <t>112,690.00</t>
  </si>
  <si>
    <t>1,818,000.00</t>
  </si>
  <si>
    <t>1,429,669.64</t>
  </si>
  <si>
    <t>1,185,576.38</t>
  </si>
  <si>
    <t>307,750.72</t>
  </si>
  <si>
    <t>601,872.00</t>
  </si>
  <si>
    <t>1,999,200.00</t>
  </si>
  <si>
    <t>71,625.00</t>
  </si>
  <si>
    <t>3,494,433.76</t>
  </si>
  <si>
    <t>51,259.20</t>
  </si>
  <si>
    <t>390,072.00</t>
  </si>
  <si>
    <t>1,098,230.00</t>
  </si>
  <si>
    <t>10,996,380.73</t>
  </si>
  <si>
    <t>471,045.00</t>
  </si>
  <si>
    <t>3,050.00</t>
  </si>
  <si>
    <t>142,620.00</t>
  </si>
  <si>
    <t>551,754.00</t>
  </si>
  <si>
    <t>478,323.43</t>
  </si>
  <si>
    <t>229,075.00</t>
  </si>
  <si>
    <t>139,381.50</t>
  </si>
  <si>
    <t>168,910.00</t>
  </si>
  <si>
    <t>911,000.00</t>
  </si>
  <si>
    <t>232,320.00</t>
  </si>
  <si>
    <t>122,996.00</t>
  </si>
  <si>
    <t>76,100.00</t>
  </si>
  <si>
    <t>1,150,462.42</t>
  </si>
  <si>
    <t>110,542.00</t>
  </si>
  <si>
    <t>27,375.00</t>
  </si>
  <si>
    <t>206,502.00</t>
  </si>
  <si>
    <t>227,688.00</t>
  </si>
  <si>
    <t>1,397,118.54</t>
  </si>
  <si>
    <t>29,021.45</t>
  </si>
  <si>
    <t>572,274.57</t>
  </si>
  <si>
    <t>666,696.65</t>
  </si>
  <si>
    <t>64,699.39</t>
  </si>
  <si>
    <t>1,630,860.00</t>
  </si>
  <si>
    <t>566,728.00</t>
  </si>
  <si>
    <t>199,625.00</t>
  </si>
  <si>
    <t>375,200.00</t>
  </si>
  <si>
    <t>106,841.00</t>
  </si>
  <si>
    <t>149,833.42</t>
  </si>
  <si>
    <t>99,393.00</t>
  </si>
  <si>
    <t>65,669.50</t>
  </si>
  <si>
    <t>499,770.00</t>
  </si>
  <si>
    <t>1,505,180.64</t>
  </si>
  <si>
    <t>67,409.64</t>
  </si>
  <si>
    <t>34,254.00</t>
  </si>
  <si>
    <t>208,371.60</t>
  </si>
  <si>
    <t>206,095.00</t>
  </si>
  <si>
    <t>1,263,535.00</t>
  </si>
  <si>
    <t>52,275.00</t>
  </si>
  <si>
    <t>5,014,000.00</t>
  </si>
  <si>
    <t>921,472.05</t>
  </si>
  <si>
    <t>3,482,440.00</t>
  </si>
  <si>
    <t>197,897.23</t>
  </si>
  <si>
    <t>642,500.00</t>
  </si>
  <si>
    <t>247,595.40</t>
  </si>
  <si>
    <t>210,664.00</t>
  </si>
  <si>
    <t>4,951,231.64</t>
  </si>
  <si>
    <t>166,798.22</t>
  </si>
  <si>
    <t>1,496,851.84</t>
  </si>
  <si>
    <t>668,545.10</t>
  </si>
  <si>
    <t>285,100.00</t>
  </si>
  <si>
    <t>13,598.00</t>
  </si>
  <si>
    <t>244,580.00</t>
  </si>
  <si>
    <t>197,983.06</t>
  </si>
  <si>
    <t>432,500.00</t>
  </si>
  <si>
    <t>232,939.96</t>
  </si>
  <si>
    <t>18,030.00</t>
  </si>
  <si>
    <t>98,710.25</t>
  </si>
  <si>
    <t>107,250.00</t>
  </si>
  <si>
    <t>135,184.55</t>
  </si>
  <si>
    <t>317,524.99</t>
  </si>
  <si>
    <t>251,653.99</t>
  </si>
  <si>
    <t>954,865.97</t>
  </si>
  <si>
    <t>2,450,000.00</t>
  </si>
  <si>
    <t>71,645.40</t>
  </si>
  <si>
    <t>177,431.00</t>
  </si>
  <si>
    <t>729,000.00</t>
  </si>
  <si>
    <t>203,598.07</t>
  </si>
  <si>
    <t>305,145.23</t>
  </si>
  <si>
    <t>31,113.60</t>
  </si>
  <si>
    <t>4,624,132.95</t>
  </si>
  <si>
    <t>520,333.33</t>
  </si>
  <si>
    <t>18,880.00</t>
  </si>
  <si>
    <t>16,506.00</t>
  </si>
  <si>
    <t>503,786.57</t>
  </si>
  <si>
    <t>167,000.00</t>
  </si>
  <si>
    <t>386,519.33</t>
  </si>
  <si>
    <t>57,673.00</t>
  </si>
  <si>
    <t>4,330,608.36</t>
  </si>
  <si>
    <t>697,654.39</t>
  </si>
  <si>
    <t>109,289.00</t>
  </si>
  <si>
    <t>7,618,750.00</t>
  </si>
  <si>
    <t>2,886,683.69</t>
  </si>
  <si>
    <t>46,578.40</t>
  </si>
  <si>
    <t>456,758.19</t>
  </si>
  <si>
    <t>422,660.08</t>
  </si>
  <si>
    <t>459,465.00</t>
  </si>
  <si>
    <t>901,551.09</t>
  </si>
  <si>
    <t>50,198.00</t>
  </si>
  <si>
    <t>848,800.00</t>
  </si>
  <si>
    <t>3,500.00</t>
  </si>
  <si>
    <t>418,399.40</t>
  </si>
  <si>
    <t>146,527.51</t>
  </si>
  <si>
    <t>127,357.00</t>
  </si>
  <si>
    <t>4,086,774.99</t>
  </si>
  <si>
    <t>1,170,000.00</t>
  </si>
  <si>
    <t>606,540.00</t>
  </si>
  <si>
    <t>2,575.00</t>
  </si>
  <si>
    <t>118,500.00</t>
  </si>
  <si>
    <t>502,013.00</t>
  </si>
  <si>
    <t>3,674,643.05</t>
  </si>
  <si>
    <t>1,758,620.00</t>
  </si>
  <si>
    <t>18,218,747.17</t>
  </si>
  <si>
    <t>1,170,430.72</t>
  </si>
  <si>
    <t>90,450.00</t>
  </si>
  <si>
    <t>8,790,658.00</t>
  </si>
  <si>
    <t>416,666.67</t>
  </si>
  <si>
    <t>239,985.00</t>
  </si>
  <si>
    <t>860,082.00</t>
  </si>
  <si>
    <t>2,880,000.00</t>
  </si>
  <si>
    <t>66,200.00</t>
  </si>
  <si>
    <t>35,175.00</t>
  </si>
  <si>
    <t>973,434.00</t>
  </si>
  <si>
    <t>61,700.00</t>
  </si>
  <si>
    <t>149,939.40</t>
  </si>
  <si>
    <t>1,597,482.52</t>
  </si>
  <si>
    <t>1,168,834.72</t>
  </si>
  <si>
    <t>124,366.01</t>
  </si>
  <si>
    <t>4,070.00</t>
  </si>
  <si>
    <t>70,200.00</t>
  </si>
  <si>
    <t>1,920,000.00</t>
  </si>
  <si>
    <t>326,000.00</t>
  </si>
  <si>
    <t>300,061.01</t>
  </si>
  <si>
    <t>63,256.00</t>
  </si>
  <si>
    <t>2,520,000.00</t>
  </si>
  <si>
    <t>575,456.44</t>
  </si>
  <si>
    <t>733,338.09</t>
  </si>
  <si>
    <t>123,880.00</t>
  </si>
  <si>
    <t>811,000.00</t>
  </si>
  <si>
    <t>57,300.00</t>
  </si>
  <si>
    <t>411,263.22</t>
  </si>
  <si>
    <t>950,690.00</t>
  </si>
  <si>
    <t>905,619.35</t>
  </si>
  <si>
    <t>21,937.00</t>
  </si>
  <si>
    <t>14,820,439.76</t>
  </si>
  <si>
    <t>151,880.00</t>
  </si>
  <si>
    <t>3,123,079.75</t>
  </si>
  <si>
    <t>56,373.00</t>
  </si>
  <si>
    <t>113,311.82</t>
  </si>
  <si>
    <t>59,800.00</t>
  </si>
  <si>
    <t>1,910,000.00</t>
  </si>
  <si>
    <t>819,000.00</t>
  </si>
  <si>
    <t>4,967,279.05</t>
  </si>
  <si>
    <t>63,200.00</t>
  </si>
  <si>
    <t>4,999,071.40</t>
  </si>
  <si>
    <t>28,210.00</t>
  </si>
  <si>
    <t>376,737.12</t>
  </si>
  <si>
    <t>18,961,724.09</t>
  </si>
  <si>
    <t>166,165.12</t>
  </si>
  <si>
    <t>7,216,336.47</t>
  </si>
  <si>
    <t>547,200.00</t>
  </si>
  <si>
    <t>1,164,993.18</t>
  </si>
  <si>
    <t>246,767.00</t>
  </si>
  <si>
    <t>2,910,678.02</t>
  </si>
  <si>
    <t>113,160.00</t>
  </si>
  <si>
    <t>188,870.00</t>
  </si>
  <si>
    <t>169,982.89</t>
  </si>
  <si>
    <t>508,000.00</t>
  </si>
  <si>
    <t>99,795.00</t>
  </si>
  <si>
    <t>17,610.00</t>
  </si>
  <si>
    <t>99,997.53</t>
  </si>
  <si>
    <t>1,596,000.00</t>
  </si>
  <si>
    <t>245,430.00</t>
  </si>
  <si>
    <t>4,090,704.86</t>
  </si>
  <si>
    <t>117,677.00</t>
  </si>
  <si>
    <t>148,000,000.00</t>
  </si>
  <si>
    <t>770,000.00</t>
  </si>
  <si>
    <t>1,997,211.63</t>
  </si>
  <si>
    <t>180,794.00</t>
  </si>
  <si>
    <t>620,400.00</t>
  </si>
  <si>
    <t>268,125.00</t>
  </si>
  <si>
    <t>2,097,695.31</t>
  </si>
  <si>
    <t>103,400.00</t>
  </si>
  <si>
    <t>2,976,190.21</t>
  </si>
  <si>
    <t>566,387.84</t>
  </si>
  <si>
    <t>598,000.00</t>
  </si>
  <si>
    <t>102,600.00</t>
  </si>
  <si>
    <t>13,614.00</t>
  </si>
  <si>
    <t>54,654.60</t>
  </si>
  <si>
    <t>82,950.00</t>
  </si>
  <si>
    <t>576,599.87</t>
  </si>
  <si>
    <t>462,975.03</t>
  </si>
  <si>
    <t>4,999,400.00</t>
  </si>
  <si>
    <t>4,224,800.00</t>
  </si>
  <si>
    <t>155,461.76</t>
  </si>
  <si>
    <t>1,499,523.39</t>
  </si>
  <si>
    <t>7,305.00</t>
  </si>
  <si>
    <t>124,727.00</t>
  </si>
  <si>
    <t>17,058,441.76</t>
  </si>
  <si>
    <t>912,000.00</t>
  </si>
  <si>
    <t>478,692.41</t>
  </si>
  <si>
    <t>1,497,693.49</t>
  </si>
  <si>
    <t>203,458.80</t>
  </si>
  <si>
    <t>72,375,000.00</t>
  </si>
  <si>
    <t>76,205.00</t>
  </si>
  <si>
    <t>91,904.00</t>
  </si>
  <si>
    <t>824,071.00</t>
  </si>
  <si>
    <t>1,310,206.11</t>
  </si>
  <si>
    <t>233,000.00</t>
  </si>
  <si>
    <t>233,090.40</t>
  </si>
  <si>
    <t>2,966,833.10</t>
  </si>
  <si>
    <t>52,100.00</t>
  </si>
  <si>
    <t>816,500.00</t>
  </si>
  <si>
    <t>57,180,000.00</t>
  </si>
  <si>
    <t>411,575.90</t>
  </si>
  <si>
    <t>13,700.00</t>
  </si>
  <si>
    <t>8,910.00</t>
  </si>
  <si>
    <t>1,976,952.53</t>
  </si>
  <si>
    <t>244,000.00</t>
  </si>
  <si>
    <t>25,050.00</t>
  </si>
  <si>
    <t>665,999.83</t>
  </si>
  <si>
    <t>206,400.00</t>
  </si>
  <si>
    <t>1,639,883.60</t>
  </si>
  <si>
    <t>115,302.00</t>
  </si>
  <si>
    <t>1,762,162.47</t>
  </si>
  <si>
    <t>68,105.00</t>
  </si>
  <si>
    <t>771,667.30</t>
  </si>
  <si>
    <t>791,649.50</t>
  </si>
  <si>
    <t>989,149.12</t>
  </si>
  <si>
    <t>87,304.00</t>
  </si>
  <si>
    <t>58,100.00</t>
  </si>
  <si>
    <t>2,790,000.00</t>
  </si>
  <si>
    <t>135,110.00</t>
  </si>
  <si>
    <t>11,939,780.92</t>
  </si>
  <si>
    <t>61,950.00</t>
  </si>
  <si>
    <t>139,450.00</t>
  </si>
  <si>
    <t>13,929,609.11</t>
  </si>
  <si>
    <t>105,860.00</t>
  </si>
  <si>
    <t>1,385,840.00</t>
  </si>
  <si>
    <t>276,502.00</t>
  </si>
  <si>
    <t>105,280.00</t>
  </si>
  <si>
    <t>285,455.00</t>
  </si>
  <si>
    <t>2,379,856.61</t>
  </si>
  <si>
    <t>104,678.78</t>
  </si>
  <si>
    <t>1,185,332.59</t>
  </si>
  <si>
    <t>1,853,041.92</t>
  </si>
  <si>
    <t>394,660.08</t>
  </si>
  <si>
    <t>2,399,999.99</t>
  </si>
  <si>
    <t>52,592.19</t>
  </si>
  <si>
    <t>353,080.00</t>
  </si>
  <si>
    <t>4,364,645.04</t>
  </si>
  <si>
    <t>99,684.00</t>
  </si>
  <si>
    <t>469,130.50</t>
  </si>
  <si>
    <t>18,834,953.01</t>
  </si>
  <si>
    <t>971,617.50</t>
  </si>
  <si>
    <t>178,050.00</t>
  </si>
  <si>
    <t>222,493.00</t>
  </si>
  <si>
    <t>1,174,840.00</t>
  </si>
  <si>
    <t>1,060,000.00</t>
  </si>
  <si>
    <t>295,550.00</t>
  </si>
  <si>
    <t>550,047.23</t>
  </si>
  <si>
    <t>1,021,193.25</t>
  </si>
  <si>
    <t>4,966,037.66</t>
  </si>
  <si>
    <t>89,325.00</t>
  </si>
  <si>
    <t>17,805,795.61</t>
  </si>
  <si>
    <t>50,800.00</t>
  </si>
  <si>
    <t>120,315.00</t>
  </si>
  <si>
    <t>223,680.00</t>
  </si>
  <si>
    <t>141,784.00</t>
  </si>
  <si>
    <t>175,355.00</t>
  </si>
  <si>
    <t>75,390.00</t>
  </si>
  <si>
    <t>771,769.66</t>
  </si>
  <si>
    <t>5,859,258.63</t>
  </si>
  <si>
    <t>96,370.00</t>
  </si>
  <si>
    <t>1,881,669.00</t>
  </si>
  <si>
    <t>5,081,830.20</t>
  </si>
  <si>
    <t>5,479,519.00</t>
  </si>
  <si>
    <t>2,842,000.00</t>
  </si>
  <si>
    <t>274,219.71</t>
  </si>
  <si>
    <t>368,800.00</t>
  </si>
  <si>
    <t>1,341,106.10</t>
  </si>
  <si>
    <t>120,600.00</t>
  </si>
  <si>
    <t>403,977.01</t>
  </si>
  <si>
    <t>1,480,000.00</t>
  </si>
  <si>
    <t>65,445.10</t>
  </si>
  <si>
    <t>249,442.50</t>
  </si>
  <si>
    <t>80,405.00</t>
  </si>
  <si>
    <t>7,839,998.77</t>
  </si>
  <si>
    <t>85,280.00</t>
  </si>
  <si>
    <t>177,750.00</t>
  </si>
  <si>
    <t>746,781.13</t>
  </si>
  <si>
    <t>164,261,569.20</t>
  </si>
  <si>
    <t>799,627.79</t>
  </si>
  <si>
    <t>891,290.00</t>
  </si>
  <si>
    <t>216,500.00</t>
  </si>
  <si>
    <t>329,000.00</t>
  </si>
  <si>
    <t>151,500.00</t>
  </si>
  <si>
    <t>780,160.00</t>
  </si>
  <si>
    <t>494,344.00</t>
  </si>
  <si>
    <t>741,345.00</t>
  </si>
  <si>
    <t>86,425.00</t>
  </si>
  <si>
    <t>181,000.00</t>
  </si>
  <si>
    <t>264,000.00</t>
  </si>
  <si>
    <t>76,000,000.00</t>
  </si>
  <si>
    <t>16,500.00</t>
  </si>
  <si>
    <t>437,903.64</t>
  </si>
  <si>
    <t>495,318.05</t>
  </si>
  <si>
    <t>1,813,956.60</t>
  </si>
  <si>
    <t>1,155,562.00</t>
  </si>
  <si>
    <t>194,200.00</t>
  </si>
  <si>
    <t>346,271.63</t>
  </si>
  <si>
    <t>5,341,110.57</t>
  </si>
  <si>
    <t>1,197,548.74</t>
  </si>
  <si>
    <t>357,000.00</t>
  </si>
  <si>
    <t>56,200.00</t>
  </si>
  <si>
    <t>1,931,345.00</t>
  </si>
  <si>
    <t>2,829,000.00</t>
  </si>
  <si>
    <t>148,150.00</t>
  </si>
  <si>
    <t>251,226.00</t>
  </si>
  <si>
    <t>18,500.00</t>
  </si>
  <si>
    <t>249,994.24</t>
  </si>
  <si>
    <t>248,600.00</t>
  </si>
  <si>
    <t>1,078,925.00</t>
  </si>
  <si>
    <t>136,880.00</t>
  </si>
  <si>
    <t>281,779.70</t>
  </si>
  <si>
    <t>121,800.00</t>
  </si>
  <si>
    <t>1,211,917.13</t>
  </si>
  <si>
    <t>429,000.00</t>
  </si>
  <si>
    <t>34,660.00</t>
  </si>
  <si>
    <t>1,017,529.00</t>
  </si>
  <si>
    <t>36,521,739.00</t>
  </si>
  <si>
    <t>166,666.00</t>
  </si>
  <si>
    <t>500,689.30</t>
  </si>
  <si>
    <t>53,757.00</t>
  </si>
  <si>
    <t>15,220.00</t>
  </si>
  <si>
    <t>1,575,000.00</t>
  </si>
  <si>
    <t>16,690.00</t>
  </si>
  <si>
    <t>42,990.00</t>
  </si>
  <si>
    <t>1,135,680.00</t>
  </si>
  <si>
    <t>2,150,000.00</t>
  </si>
  <si>
    <t>911,096.83</t>
  </si>
  <si>
    <t>2,742,550.77</t>
  </si>
  <si>
    <t>506,000.00</t>
  </si>
  <si>
    <t>576,994.96</t>
  </si>
  <si>
    <t>120,868.70</t>
  </si>
  <si>
    <t>621,352.00</t>
  </si>
  <si>
    <t>297,044.00</t>
  </si>
  <si>
    <t>101,186,256.86</t>
  </si>
  <si>
    <t>21,780,000.00</t>
  </si>
  <si>
    <t>102,650.00</t>
  </si>
  <si>
    <t>398,098.07</t>
  </si>
  <si>
    <t>1,008,000.00</t>
  </si>
  <si>
    <t>789,000.00</t>
  </si>
  <si>
    <t>869,600.00</t>
  </si>
  <si>
    <t>2,839,703.00</t>
  </si>
  <si>
    <t>725,475.33</t>
  </si>
  <si>
    <t>3,051,033.41</t>
  </si>
  <si>
    <t>2,219,107.39</t>
  </si>
  <si>
    <t>2,375,000.00</t>
  </si>
  <si>
    <t>11,939,999.96</t>
  </si>
  <si>
    <t>163,812.00</t>
  </si>
  <si>
    <t>6,075.00</t>
  </si>
  <si>
    <t>8,004,300.00</t>
  </si>
  <si>
    <t>68,350.00</t>
  </si>
  <si>
    <t>1,688,376.10</t>
  </si>
  <si>
    <t>1,015,705.36</t>
  </si>
  <si>
    <t>4,900.00</t>
  </si>
  <si>
    <t>1,189,978.00</t>
  </si>
  <si>
    <t>12,934,999.95</t>
  </si>
  <si>
    <t>258,700.00</t>
  </si>
  <si>
    <t>1,215,000.00</t>
  </si>
  <si>
    <t>2,694,000.00</t>
  </si>
  <si>
    <t>1,959,708.72</t>
  </si>
  <si>
    <t>786,570.10</t>
  </si>
  <si>
    <t>4,187,835.15</t>
  </si>
  <si>
    <t>11,939,999.79</t>
  </si>
  <si>
    <t>2,115,419.21</t>
  </si>
  <si>
    <t>11,939,999.94</t>
  </si>
  <si>
    <t>1,533,908.06</t>
  </si>
  <si>
    <t>1,495,702.31</t>
  </si>
  <si>
    <t>1,850,000.00</t>
  </si>
  <si>
    <t>56,604.00</t>
  </si>
  <si>
    <t>1,679,784.01</t>
  </si>
  <si>
    <t>3,680,000.00</t>
  </si>
  <si>
    <t>1,873,480.86</t>
  </si>
  <si>
    <t>1,248,177.71</t>
  </si>
  <si>
    <t>2,921,807.65</t>
  </si>
  <si>
    <t>56,060.00</t>
  </si>
  <si>
    <t>1,170,755.00</t>
  </si>
  <si>
    <t>295,542.19</t>
  </si>
  <si>
    <t>310,225.00</t>
  </si>
  <si>
    <t>19,799,556.77</t>
  </si>
  <si>
    <t>1,996,134.85</t>
  </si>
  <si>
    <t>1,264,299.48</t>
  </si>
  <si>
    <t>399,364.00</t>
  </si>
  <si>
    <t>29,686,338.44</t>
  </si>
  <si>
    <t>2,499,601.90</t>
  </si>
  <si>
    <t>2,499,454.36</t>
  </si>
  <si>
    <t>19,798,440.62</t>
  </si>
  <si>
    <t>1,595,000.00</t>
  </si>
  <si>
    <t>19,795,920.56</t>
  </si>
  <si>
    <t>8,928,990.10</t>
  </si>
  <si>
    <t>2,767,508.01</t>
  </si>
  <si>
    <t>1,754,819.92</t>
  </si>
  <si>
    <t>2,093,096.36</t>
  </si>
  <si>
    <t>28,510.00</t>
  </si>
  <si>
    <t>7,919,970.73</t>
  </si>
  <si>
    <t>13,350.00</t>
  </si>
  <si>
    <t>8,300.00</t>
  </si>
  <si>
    <t>267,000.00</t>
  </si>
  <si>
    <t>122,150.51</t>
  </si>
  <si>
    <t>9,896,740.54</t>
  </si>
  <si>
    <t>7,930,452.07</t>
  </si>
  <si>
    <t>4,949,503.48</t>
  </si>
  <si>
    <t>446,455.00</t>
  </si>
  <si>
    <t>248,678.92</t>
  </si>
  <si>
    <t>318,651.90</t>
  </si>
  <si>
    <t>77,835.00</t>
  </si>
  <si>
    <t>2,968,958.31</t>
  </si>
  <si>
    <t>2,335,859.79</t>
  </si>
  <si>
    <t>579,000.00</t>
  </si>
  <si>
    <t>161,421.60</t>
  </si>
  <si>
    <t>999,439.97</t>
  </si>
  <si>
    <t>565,572.53</t>
  </si>
  <si>
    <t>90,200.00</t>
  </si>
  <si>
    <t>495,960.93</t>
  </si>
  <si>
    <t>297,751.13</t>
  </si>
  <si>
    <t>294,471.84</t>
  </si>
  <si>
    <t>137,930.00</t>
  </si>
  <si>
    <t>116,485.00</t>
  </si>
  <si>
    <t>451,500.00</t>
  </si>
  <si>
    <t>866,260.00</t>
  </si>
  <si>
    <t>738,000.00</t>
  </si>
  <si>
    <t>2,176,422.00</t>
  </si>
  <si>
    <t>2,222,689.00</t>
  </si>
  <si>
    <t>136,125.00</t>
  </si>
  <si>
    <t>1,238,329.73</t>
  </si>
  <si>
    <t>999,667.89</t>
  </si>
  <si>
    <t>999,712.10</t>
  </si>
  <si>
    <t>277,230.00</t>
  </si>
  <si>
    <t>104,624.00</t>
  </si>
  <si>
    <t>1,259,293.75</t>
  </si>
  <si>
    <t>219,718.00</t>
  </si>
  <si>
    <t>603,090.00</t>
  </si>
  <si>
    <t>1,020,773.28</t>
  </si>
  <si>
    <t>1,828,854.23</t>
  </si>
  <si>
    <t>2,021,051.76</t>
  </si>
  <si>
    <t>3,354,089.74</t>
  </si>
  <si>
    <t>266,102.83</t>
  </si>
  <si>
    <t>191,500.00</t>
  </si>
  <si>
    <t>1,523,186.96</t>
  </si>
  <si>
    <t>11,511,274.91</t>
  </si>
  <si>
    <t>46,548,645.57</t>
  </si>
  <si>
    <t>1,868,096.49</t>
  </si>
  <si>
    <t>1,212,193.13</t>
  </si>
  <si>
    <t>1,893,939.90</t>
  </si>
  <si>
    <t>1,840,650.82</t>
  </si>
  <si>
    <t>103,940.00</t>
  </si>
  <si>
    <t>1,405,261.15</t>
  </si>
  <si>
    <t>857,937.50</t>
  </si>
  <si>
    <t>1,744,732.01</t>
  </si>
  <si>
    <t>212,077.60</t>
  </si>
  <si>
    <t>249,544.14</t>
  </si>
  <si>
    <t>1,005,000.00</t>
  </si>
  <si>
    <t>361,780.00</t>
  </si>
  <si>
    <t>151,790.00</t>
  </si>
  <si>
    <t>399,320.00</t>
  </si>
  <si>
    <t>1,729,965.63</t>
  </si>
  <si>
    <t>375,818.00</t>
  </si>
  <si>
    <t>383,000.00</t>
  </si>
  <si>
    <t>739,414.35</t>
  </si>
  <si>
    <t>379,823.96</t>
  </si>
  <si>
    <t>742,907.27</t>
  </si>
  <si>
    <t>1,941,771.80</t>
  </si>
  <si>
    <t>399,080.00</t>
  </si>
  <si>
    <t>738,375.59</t>
  </si>
  <si>
    <t>399,960.00</t>
  </si>
  <si>
    <t>631,073.16</t>
  </si>
  <si>
    <t>12,448,000.00</t>
  </si>
  <si>
    <t>157,488.00</t>
  </si>
  <si>
    <t>1,430,000.00</t>
  </si>
  <si>
    <t>499,010.98</t>
  </si>
  <si>
    <t>89,140.00</t>
  </si>
  <si>
    <t>378,425.00</t>
  </si>
  <si>
    <t>957,105.00</t>
  </si>
  <si>
    <t>37,510.00</t>
  </si>
  <si>
    <t>989,990.00</t>
  </si>
  <si>
    <t>40,290.00</t>
  </si>
  <si>
    <t>4,342,800.00</t>
  </si>
  <si>
    <t>724,000.00</t>
  </si>
  <si>
    <t>46,367,301.67</t>
  </si>
  <si>
    <t>479,993.60</t>
  </si>
  <si>
    <t>576,991.00</t>
  </si>
  <si>
    <t>195,900.00</t>
  </si>
  <si>
    <t>227,500.00</t>
  </si>
  <si>
    <t>617,380.00</t>
  </si>
  <si>
    <t>735,000.00</t>
  </si>
  <si>
    <t>910,581.57</t>
  </si>
  <si>
    <t>394,850.00</t>
  </si>
  <si>
    <t>1,779,661.80</t>
  </si>
  <si>
    <t>227,915.00</t>
  </si>
  <si>
    <t>180,575.00</t>
  </si>
  <si>
    <t>1,979,482.41</t>
  </si>
  <si>
    <t>9,899,940.80</t>
  </si>
  <si>
    <t>18,200.00</t>
  </si>
  <si>
    <t>29,985.00</t>
  </si>
  <si>
    <t>1,000,350.00</t>
  </si>
  <si>
    <t>24,696,422.75</t>
  </si>
  <si>
    <t>268,560.00</t>
  </si>
  <si>
    <t>91,360.00</t>
  </si>
  <si>
    <t>48,740.00</t>
  </si>
  <si>
    <t>218,000.00</t>
  </si>
  <si>
    <t>4,086,774.20</t>
  </si>
  <si>
    <t>132,810.00</t>
  </si>
  <si>
    <t>4,860,420.00</t>
  </si>
  <si>
    <t>31,140.00</t>
  </si>
  <si>
    <t>693,000.00</t>
  </si>
  <si>
    <t>997,510.00</t>
  </si>
  <si>
    <t>5,957,365.53</t>
  </si>
  <si>
    <t>1,969,186.65</t>
  </si>
  <si>
    <t>30,170,809.50</t>
  </si>
  <si>
    <t>2,572,797.81</t>
  </si>
  <si>
    <t>323,947.00</t>
  </si>
  <si>
    <t>214,000.00</t>
  </si>
  <si>
    <t>99,142.50</t>
  </si>
  <si>
    <t>241,200.00</t>
  </si>
  <si>
    <t>3,691,875.00</t>
  </si>
  <si>
    <t>498,788.90</t>
  </si>
  <si>
    <t>688,545.00</t>
  </si>
  <si>
    <t>128,640.00</t>
  </si>
  <si>
    <t>43,775.00</t>
  </si>
  <si>
    <t>372,085.00</t>
  </si>
  <si>
    <t>432,780.00</t>
  </si>
  <si>
    <t>241,756.49</t>
  </si>
  <si>
    <t>187,620.00</t>
  </si>
  <si>
    <t>947,800.00</t>
  </si>
  <si>
    <t>80,700,000.00</t>
  </si>
  <si>
    <t>222,810.00</t>
  </si>
  <si>
    <t>967,000.00</t>
  </si>
  <si>
    <t>856,156.75</t>
  </si>
  <si>
    <t>599,560.00</t>
  </si>
  <si>
    <t>59,447.50</t>
  </si>
  <si>
    <t>2,924,506.76</t>
  </si>
  <si>
    <t>8,400.00</t>
  </si>
  <si>
    <t>730,886.47</t>
  </si>
  <si>
    <t>18,762.50</t>
  </si>
  <si>
    <t>395,318.06</t>
  </si>
  <si>
    <t>794,050.60</t>
  </si>
  <si>
    <t>919,452.50</t>
  </si>
  <si>
    <t>4,680,700.00</t>
  </si>
  <si>
    <t>603,900.00</t>
  </si>
  <si>
    <t>31,264.74</t>
  </si>
  <si>
    <t>1,392,874.73</t>
  </si>
  <si>
    <t>55,636.40</t>
  </si>
  <si>
    <t>1,144,255.84</t>
  </si>
  <si>
    <t>1,000,000.44</t>
  </si>
  <si>
    <t>1,580,000.00</t>
  </si>
  <si>
    <t>347,991.15</t>
  </si>
  <si>
    <t>1,922,201.02</t>
  </si>
  <si>
    <t>624,527.00</t>
  </si>
  <si>
    <t>1,172,500.00</t>
  </si>
  <si>
    <t>2,429,896.00</t>
  </si>
  <si>
    <t>116,438.00</t>
  </si>
  <si>
    <t>300,947.00</t>
  </si>
  <si>
    <t>1,760,092.31</t>
  </si>
  <si>
    <t>1,982,131.80</t>
  </si>
  <si>
    <t>149,351.00</t>
  </si>
  <si>
    <t>692,955.20</t>
  </si>
  <si>
    <t>1,793,234.21</t>
  </si>
  <si>
    <t>492,729.45</t>
  </si>
  <si>
    <t>1,308,485.00</t>
  </si>
  <si>
    <t>12,280,000.00</t>
  </si>
  <si>
    <t>1,497,396.51</t>
  </si>
  <si>
    <t>5,262,600.00</t>
  </si>
  <si>
    <t>2,049,038.00</t>
  </si>
  <si>
    <t>28,300,000.00</t>
  </si>
  <si>
    <t>775,715.54</t>
  </si>
  <si>
    <t>161,280.00</t>
  </si>
  <si>
    <t>67,550,000.00</t>
  </si>
  <si>
    <t>6,116,673.33</t>
  </si>
  <si>
    <t>929,742.28</t>
  </si>
  <si>
    <t>2,418,781.71</t>
  </si>
  <si>
    <t>13,750.00</t>
  </si>
  <si>
    <t>1,925,500.00</t>
  </si>
  <si>
    <t>6,279,000.00</t>
  </si>
  <si>
    <t>3,367,659.00</t>
  </si>
  <si>
    <t>29,850,000.00</t>
  </si>
  <si>
    <t>121,420.00</t>
  </si>
  <si>
    <t>1,916,375.13</t>
  </si>
  <si>
    <t>224,195.60</t>
  </si>
  <si>
    <t>99,911.40</t>
  </si>
  <si>
    <t>21,920.00</t>
  </si>
  <si>
    <t>1,625,000.00</t>
  </si>
  <si>
    <t>1,457,691.94</t>
  </si>
  <si>
    <t>678,730.75</t>
  </si>
  <si>
    <t>1,461,308.88</t>
  </si>
  <si>
    <t>1,939,983.32</t>
  </si>
  <si>
    <t>568,400.00</t>
  </si>
  <si>
    <t>73,600.00</t>
  </si>
  <si>
    <t>2,291,623.60</t>
  </si>
  <si>
    <t>1,073,429.95</t>
  </si>
  <si>
    <t>202,600.00</t>
  </si>
  <si>
    <t>16,140.00</t>
  </si>
  <si>
    <t>369,088.06</t>
  </si>
  <si>
    <t>14,782.00</t>
  </si>
  <si>
    <t>1,452,000.00</t>
  </si>
  <si>
    <t>978,325.00</t>
  </si>
  <si>
    <t>443,700.00</t>
  </si>
  <si>
    <t>298,674.00</t>
  </si>
  <si>
    <t>147,247.00</t>
  </si>
  <si>
    <t>81,285.00</t>
  </si>
  <si>
    <t>600,119.00</t>
  </si>
  <si>
    <t>1,498,409.00</t>
  </si>
  <si>
    <t>241,491.00</t>
  </si>
  <si>
    <t>26,500.00</t>
  </si>
  <si>
    <t>53,824.00</t>
  </si>
  <si>
    <t>152,752.00</t>
  </si>
  <si>
    <t>8,570,736.00</t>
  </si>
  <si>
    <t>66,960.00</t>
  </si>
  <si>
    <t>16,220.00</t>
  </si>
  <si>
    <t>11,322,400.00</t>
  </si>
  <si>
    <t>166,290.50</t>
  </si>
  <si>
    <t>1,629,284.00</t>
  </si>
  <si>
    <t>13,257,978.13</t>
  </si>
  <si>
    <t>2,555,828.55</t>
  </si>
  <si>
    <t>28,816,000.00</t>
  </si>
  <si>
    <t>17,341,443.75</t>
  </si>
  <si>
    <t>28,800,000.00</t>
  </si>
  <si>
    <t>2,610,000.00</t>
  </si>
  <si>
    <t>999,878.70</t>
  </si>
  <si>
    <t>1,339,121.00</t>
  </si>
  <si>
    <t>23,857,575.00</t>
  </si>
  <si>
    <t>32,000,000.00</t>
  </si>
  <si>
    <t>1,488,400.00</t>
  </si>
  <si>
    <t>9,400,000.00</t>
  </si>
  <si>
    <t>11,985,000.00</t>
  </si>
  <si>
    <t>138,346.00</t>
  </si>
  <si>
    <t>67,510.00</t>
  </si>
  <si>
    <t>4,325,000.00</t>
  </si>
  <si>
    <t>2,724,890.34</t>
  </si>
  <si>
    <t>1,077,719.51</t>
  </si>
  <si>
    <t>297,642.00</t>
  </si>
  <si>
    <t>298,450.00</t>
  </si>
  <si>
    <t>199,994.60</t>
  </si>
  <si>
    <t>3,998,467.03</t>
  </si>
  <si>
    <t>647,143.27</t>
  </si>
  <si>
    <t>5,030,653.00</t>
  </si>
  <si>
    <t>954,000.00</t>
  </si>
  <si>
    <t>14,509,324.00</t>
  </si>
  <si>
    <t>484,939.62</t>
  </si>
  <si>
    <t>424,936.50</t>
  </si>
  <si>
    <t>3,937,255.00</t>
  </si>
  <si>
    <t>337,285.00</t>
  </si>
  <si>
    <t>130,746.00</t>
  </si>
  <si>
    <t>259,611.00</t>
  </si>
  <si>
    <t>381,594.00</t>
  </si>
  <si>
    <t>235,880.00</t>
  </si>
  <si>
    <t>149,972.50</t>
  </si>
  <si>
    <t>3,040,361.99</t>
  </si>
  <si>
    <t>187,735.00</t>
  </si>
  <si>
    <t>39,000.00</t>
  </si>
  <si>
    <t>557,000.00</t>
  </si>
  <si>
    <t>570,621.68</t>
  </si>
  <si>
    <t>164,865.83</t>
  </si>
  <si>
    <t>152,824.00</t>
  </si>
  <si>
    <t>79,026.00</t>
  </si>
  <si>
    <t>389,600.00</t>
  </si>
  <si>
    <t>1,455,416.67</t>
  </si>
  <si>
    <t>149,900.00</t>
  </si>
  <si>
    <t>166,355.00</t>
  </si>
  <si>
    <t>96,890.00</t>
  </si>
  <si>
    <t>122,975.00</t>
  </si>
  <si>
    <t>3,678,931.08</t>
  </si>
  <si>
    <t>102,900.00</t>
  </si>
  <si>
    <t>2,021,000.00</t>
  </si>
  <si>
    <t>86,145,550.00</t>
  </si>
  <si>
    <t>943,400.00</t>
  </si>
  <si>
    <t>1,461,497.96</t>
  </si>
  <si>
    <t>398,000.00</t>
  </si>
  <si>
    <t>553,706.00</t>
  </si>
  <si>
    <t>522,080.00</t>
  </si>
  <si>
    <t>233,050.00</t>
  </si>
  <si>
    <t>1,179,335.00</t>
  </si>
  <si>
    <t>694,182.69</t>
  </si>
  <si>
    <t>184,829.50</t>
  </si>
  <si>
    <t>106,966.00</t>
  </si>
  <si>
    <t>972,850.00</t>
  </si>
  <si>
    <t>6,140.00</t>
  </si>
  <si>
    <t>15,750,756.00</t>
  </si>
  <si>
    <t>657,330.00</t>
  </si>
  <si>
    <t>56,675.00</t>
  </si>
  <si>
    <t>4,088,040.00</t>
  </si>
  <si>
    <t>3,821,267.99</t>
  </si>
  <si>
    <t>106,650.00</t>
  </si>
  <si>
    <t>1,431,979.04</t>
  </si>
  <si>
    <t>1,954,783.71</t>
  </si>
  <si>
    <t>446,458.00</t>
  </si>
  <si>
    <t>357,500.00</t>
  </si>
  <si>
    <t>374,995.53</t>
  </si>
  <si>
    <t>324,490.00</t>
  </si>
  <si>
    <t>195,200.00</t>
  </si>
  <si>
    <t>566,571.00</t>
  </si>
  <si>
    <t>6,250,000.00</t>
  </si>
  <si>
    <t>2,070,000.00</t>
  </si>
  <si>
    <t>156,120.00</t>
  </si>
  <si>
    <t>333,540.00</t>
  </si>
  <si>
    <t>565,805.52</t>
  </si>
  <si>
    <t>5,390,000.00</t>
  </si>
  <si>
    <t>236,025.00</t>
  </si>
  <si>
    <t>4,762,044.80</t>
  </si>
  <si>
    <t>7,075,584.00</t>
  </si>
  <si>
    <t>59,995.00</t>
  </si>
  <si>
    <t>999,764.22</t>
  </si>
  <si>
    <t>119,084.25</t>
  </si>
  <si>
    <t>69,216.00</t>
  </si>
  <si>
    <t>255,280.00</t>
  </si>
  <si>
    <t>79,910.00</t>
  </si>
  <si>
    <t>78,690.00</t>
  </si>
  <si>
    <t>395,075.00</t>
  </si>
  <si>
    <t>39,980,120.00</t>
  </si>
  <si>
    <t>249,455.00</t>
  </si>
  <si>
    <t>3,008,000.00</t>
  </si>
  <si>
    <t>82,370.00</t>
  </si>
  <si>
    <t>1,498,000.00</t>
  </si>
  <si>
    <t>3,919,997.20</t>
  </si>
  <si>
    <t>495,550.00</t>
  </si>
  <si>
    <t>1,590,481.12</t>
  </si>
  <si>
    <t>1,697,137.99</t>
  </si>
  <si>
    <t>189,040.00</t>
  </si>
  <si>
    <t>373,383.00</t>
  </si>
  <si>
    <t>5,544,753.29</t>
  </si>
  <si>
    <t>200,335.20</t>
  </si>
  <si>
    <t>964,775.00</t>
  </si>
  <si>
    <t>74,976.90</t>
  </si>
  <si>
    <t>111,228.00</t>
  </si>
  <si>
    <t>129,650.00</t>
  </si>
  <si>
    <t>221,954.00</t>
  </si>
  <si>
    <t>2,297,908.23</t>
  </si>
  <si>
    <t>999,789.00</t>
  </si>
  <si>
    <t>4,680,000.00</t>
  </si>
  <si>
    <t>498,771.00</t>
  </si>
  <si>
    <t>235,768.00</t>
  </si>
  <si>
    <t>188,551.25</t>
  </si>
  <si>
    <t>2,544,359.00</t>
  </si>
  <si>
    <t>73,385.00</t>
  </si>
  <si>
    <t>4,045,907.25</t>
  </si>
  <si>
    <t>378,558.75</t>
  </si>
  <si>
    <t>10,975,970.79</t>
  </si>
  <si>
    <t>1,343,100.00</t>
  </si>
  <si>
    <t>69,425.20</t>
  </si>
  <si>
    <t>127,225.00</t>
  </si>
  <si>
    <t>496,125.00</t>
  </si>
  <si>
    <t>54,400.00</t>
  </si>
  <si>
    <t>2,499,668.53</t>
  </si>
  <si>
    <t>74,499.00</t>
  </si>
  <si>
    <t>136,787.00</t>
  </si>
  <si>
    <t>998,844.53</t>
  </si>
  <si>
    <t>498,802.50</t>
  </si>
  <si>
    <t>3,498,832.00</t>
  </si>
  <si>
    <t>210,091.00</t>
  </si>
  <si>
    <t>1,730,000.00</t>
  </si>
  <si>
    <t>7,400.00</t>
  </si>
  <si>
    <t>214,300.00</t>
  </si>
  <si>
    <t>499,905.00</t>
  </si>
  <si>
    <t>1,810,000.00</t>
  </si>
  <si>
    <t>353,000.00</t>
  </si>
  <si>
    <t>225,690.00</t>
  </si>
  <si>
    <t>89,070.00</t>
  </si>
  <si>
    <t>90,700.00</t>
  </si>
  <si>
    <t>13,526,570.05</t>
  </si>
  <si>
    <t>768,219.00</t>
  </si>
  <si>
    <t>196,161.25</t>
  </si>
  <si>
    <t>571,300.00</t>
  </si>
  <si>
    <t>56,540.00</t>
  </si>
  <si>
    <t>233,815.00</t>
  </si>
  <si>
    <t>85,440.00</t>
  </si>
  <si>
    <t>198,998.00</t>
  </si>
  <si>
    <t>2,480,000.00</t>
  </si>
  <si>
    <t>166,666.67</t>
  </si>
  <si>
    <t>64,999.76</t>
  </si>
  <si>
    <t>158,883.40</t>
  </si>
  <si>
    <t>322,684.00</t>
  </si>
  <si>
    <t>390,460.00</t>
  </si>
  <si>
    <t>234,850.00</t>
  </si>
  <si>
    <t>58,990.00</t>
  </si>
  <si>
    <t>324,599.00</t>
  </si>
  <si>
    <t>1,337,700.00</t>
  </si>
  <si>
    <t>103,950.00</t>
  </si>
  <si>
    <t>999,996.84</t>
  </si>
  <si>
    <t>284,860.00</t>
  </si>
  <si>
    <t>519,900.00</t>
  </si>
  <si>
    <t>7,001,500.00</t>
  </si>
  <si>
    <t>128,235.00</t>
  </si>
  <si>
    <t>120,789.00</t>
  </si>
  <si>
    <t>1,014,840.00</t>
  </si>
  <si>
    <t>776,544.93</t>
  </si>
  <si>
    <t>384,790.00</t>
  </si>
  <si>
    <t>1,221,512.63</t>
  </si>
  <si>
    <t>349,020.00</t>
  </si>
  <si>
    <t>216,979.00</t>
  </si>
  <si>
    <t>4,342,500.17</t>
  </si>
  <si>
    <t>85,599.50</t>
  </si>
  <si>
    <t>250,500.00</t>
  </si>
  <si>
    <t>1,366,963.34</t>
  </si>
  <si>
    <t>12,948,236.04</t>
  </si>
  <si>
    <t>1,038,499.84</t>
  </si>
  <si>
    <t>4,250.00</t>
  </si>
  <si>
    <t>73,858.00</t>
  </si>
  <si>
    <t>133,050.00</t>
  </si>
  <si>
    <t>4,861,597.00</t>
  </si>
  <si>
    <t>53,855.00</t>
  </si>
  <si>
    <t>1,733,000.00</t>
  </si>
  <si>
    <t>4,988,175.00</t>
  </si>
  <si>
    <t>1,834,570.00</t>
  </si>
  <si>
    <t>327,100.00</t>
  </si>
  <si>
    <t>674,000.00</t>
  </si>
  <si>
    <t>2,560,000.00</t>
  </si>
  <si>
    <t>100,800.00</t>
  </si>
  <si>
    <t>133,000.00</t>
  </si>
  <si>
    <t>941,747.59</t>
  </si>
  <si>
    <t>2,940,022.34</t>
  </si>
  <si>
    <t>2,139,180.75</t>
  </si>
  <si>
    <t>249,900.00</t>
  </si>
  <si>
    <t>4,085,271.32</t>
  </si>
  <si>
    <t>166,676,150.00</t>
  </si>
  <si>
    <t>4,999,852.92</t>
  </si>
  <si>
    <t>212,540.00</t>
  </si>
  <si>
    <t>1,276,150.00</t>
  </si>
  <si>
    <t>26,660,957.67</t>
  </si>
  <si>
    <t>9,899,999.50</t>
  </si>
  <si>
    <t>226,200.00</t>
  </si>
  <si>
    <t>66,106.50</t>
  </si>
  <si>
    <t>1,177,575.00</t>
  </si>
  <si>
    <t>1,501,500.00</t>
  </si>
  <si>
    <t>95,040.00</t>
  </si>
  <si>
    <t>192,010.00</t>
  </si>
  <si>
    <t>197,685.66</t>
  </si>
  <si>
    <t>49,535.00</t>
  </si>
  <si>
    <t>73,281.00</t>
  </si>
  <si>
    <t>413,350.00</t>
  </si>
  <si>
    <t>298,000.00</t>
  </si>
  <si>
    <t>3,867,500.00</t>
  </si>
  <si>
    <t>1,865,600.00</t>
  </si>
  <si>
    <t>2,110,907.25</t>
  </si>
  <si>
    <t>348,283.43</t>
  </si>
  <si>
    <t>2,012,000.00</t>
  </si>
  <si>
    <t>1,196,234.84</t>
  </si>
  <si>
    <t>14,849,999.20</t>
  </si>
  <si>
    <t>686,450.84</t>
  </si>
  <si>
    <t>1,029,000.00</t>
  </si>
  <si>
    <t>766,315.91</t>
  </si>
  <si>
    <t>128,500.00</t>
  </si>
  <si>
    <t>3,920,000.00</t>
  </si>
  <si>
    <t>3,067,500.00</t>
  </si>
  <si>
    <t>895,355.02</t>
  </si>
  <si>
    <t>654,520.00</t>
  </si>
  <si>
    <t>130,360.00</t>
  </si>
  <si>
    <t>787,500.50</t>
  </si>
  <si>
    <t>786,500.00</t>
  </si>
  <si>
    <t>440,969.00</t>
  </si>
  <si>
    <t>397,666.42</t>
  </si>
  <si>
    <t>4,918,543.01</t>
  </si>
  <si>
    <t>322,850.00</t>
  </si>
  <si>
    <t>2,999,998.30</t>
  </si>
  <si>
    <t>18,650.00</t>
  </si>
  <si>
    <t>502,603.60</t>
  </si>
  <si>
    <t>100,150.00</t>
  </si>
  <si>
    <t>1,475,774.96</t>
  </si>
  <si>
    <t>1,035,000.00</t>
  </si>
  <si>
    <t>59,431.00</t>
  </si>
  <si>
    <t>11,939,999.10</t>
  </si>
  <si>
    <t>25,701.00</t>
  </si>
  <si>
    <t>317,900.00</t>
  </si>
  <si>
    <t>200,066.00</t>
  </si>
  <si>
    <t>303,723.75</t>
  </si>
  <si>
    <t>1,250,000.00</t>
  </si>
  <si>
    <t>284,680.00</t>
  </si>
  <si>
    <t>63,360.00</t>
  </si>
  <si>
    <t>290,073.00</t>
  </si>
  <si>
    <t>501,119.16</t>
  </si>
  <si>
    <t>1,571,981.00</t>
  </si>
  <si>
    <t>9,050.00</t>
  </si>
  <si>
    <t>287,371.40</t>
  </si>
  <si>
    <t>3,150,000.00</t>
  </si>
  <si>
    <t>232,000.00</t>
  </si>
  <si>
    <t>106,714.47</t>
  </si>
  <si>
    <t>323,324.78</t>
  </si>
  <si>
    <t>76,875.00</t>
  </si>
  <si>
    <t>257,125.00</t>
  </si>
  <si>
    <t>275,061.40</t>
  </si>
  <si>
    <t>29,695.00</t>
  </si>
  <si>
    <t>134,700.00</t>
  </si>
  <si>
    <t>708,831.99</t>
  </si>
  <si>
    <t>50,128.00</t>
  </si>
  <si>
    <t>599,335.28</t>
  </si>
  <si>
    <t>813,399.10</t>
  </si>
  <si>
    <t>999,200.00</t>
  </si>
  <si>
    <t>879,011.59</t>
  </si>
  <si>
    <t>1,999,898.15</t>
  </si>
  <si>
    <t>927,064.30</t>
  </si>
  <si>
    <t>156,480.00</t>
  </si>
  <si>
    <t>142,180.00</t>
  </si>
  <si>
    <t>189,860.00</t>
  </si>
  <si>
    <t>5,298,316.00</t>
  </si>
  <si>
    <t>3,989,950.43</t>
  </si>
  <si>
    <t>5,428,800.00</t>
  </si>
  <si>
    <t>58,800.00</t>
  </si>
  <si>
    <t>11,334,500.00</t>
  </si>
  <si>
    <t>2,412,700.00</t>
  </si>
  <si>
    <t>2,624,700.00</t>
  </si>
  <si>
    <t>110,521.00</t>
  </si>
  <si>
    <t>499,406.83</t>
  </si>
  <si>
    <t>2,713,000.00</t>
  </si>
  <si>
    <t>598,583.20</t>
  </si>
  <si>
    <t>1,703,120.00</t>
  </si>
  <si>
    <t>598,863.84</t>
  </si>
  <si>
    <t>167,700.46</t>
  </si>
  <si>
    <t>6,226,500.00</t>
  </si>
  <si>
    <t>102,700.00</t>
  </si>
  <si>
    <t>1,670,257.50</t>
  </si>
  <si>
    <t>796,695.22</t>
  </si>
  <si>
    <t>132,900.00</t>
  </si>
  <si>
    <t>656,735.00</t>
  </si>
  <si>
    <t>285,580.00</t>
  </si>
  <si>
    <t>150,433.92</t>
  </si>
  <si>
    <t>146,714.00</t>
  </si>
  <si>
    <t>526,500.00</t>
  </si>
  <si>
    <t>2,299,948.87</t>
  </si>
  <si>
    <t>128,433.50</t>
  </si>
  <si>
    <t>799,815.76</t>
  </si>
  <si>
    <t>657,018.63</t>
  </si>
  <si>
    <t>164,160.50</t>
  </si>
  <si>
    <t>1,489,429.78</t>
  </si>
  <si>
    <t>159,155.60</t>
  </si>
  <si>
    <t>84,188.00</t>
  </si>
  <si>
    <t>247,578.40</t>
  </si>
  <si>
    <t>9,985.00</t>
  </si>
  <si>
    <t>57,060.00</t>
  </si>
  <si>
    <t>667,520.00</t>
  </si>
  <si>
    <t>83,799.00</t>
  </si>
  <si>
    <t>54,465.00</t>
  </si>
  <si>
    <t>9,996.00</t>
  </si>
  <si>
    <t>370,580.00</t>
  </si>
  <si>
    <t>957,516.00</t>
  </si>
  <si>
    <t>640,940.00</t>
  </si>
  <si>
    <t>100,530.00</t>
  </si>
  <si>
    <t>504,174.46</t>
  </si>
  <si>
    <t>199,947.72</t>
  </si>
  <si>
    <t>251,931.00</t>
  </si>
  <si>
    <t>1,941,293.00</t>
  </si>
  <si>
    <t>78,994.40</t>
  </si>
  <si>
    <t>8,505.00</t>
  </si>
  <si>
    <t>6,255,165.71</t>
  </si>
  <si>
    <t>52,624.00</t>
  </si>
  <si>
    <t>1,836,196.10</t>
  </si>
  <si>
    <t>307,960.00</t>
  </si>
  <si>
    <t>73,811.00</t>
  </si>
  <si>
    <t>1,146,620.00</t>
  </si>
  <si>
    <t>46,350,000.00</t>
  </si>
  <si>
    <t>211,945.77</t>
  </si>
  <si>
    <t>253,458.00</t>
  </si>
  <si>
    <t>3,647,420.00</t>
  </si>
  <si>
    <t>9,467,921.00</t>
  </si>
  <si>
    <t>1,956,035.00</t>
  </si>
  <si>
    <t>1,094,201.17</t>
  </si>
  <si>
    <t>2,737,600.00</t>
  </si>
  <si>
    <t>2,999,981.25</t>
  </si>
  <si>
    <t>265,036.11</t>
  </si>
  <si>
    <t>91,100.00</t>
  </si>
  <si>
    <t>18,453,380.00</t>
  </si>
  <si>
    <t>388,945.00</t>
  </si>
  <si>
    <t>101,299.20</t>
  </si>
  <si>
    <t>99,050.00</t>
  </si>
  <si>
    <t>2,285,948.15</t>
  </si>
  <si>
    <t>109,988.00</t>
  </si>
  <si>
    <t>65,319.00</t>
  </si>
  <si>
    <t>999,295.00</t>
  </si>
  <si>
    <t>83,250.00</t>
  </si>
  <si>
    <t>224,620.00</t>
  </si>
  <si>
    <t>192,192.00</t>
  </si>
  <si>
    <t>91,600.00</t>
  </si>
  <si>
    <t>1,275,000.00</t>
  </si>
  <si>
    <t>3,207,000.00</t>
  </si>
  <si>
    <t>169,766,454.48</t>
  </si>
  <si>
    <t>683,887.00</t>
  </si>
  <si>
    <t>518,424.71</t>
  </si>
  <si>
    <t>139,200.00</t>
  </si>
  <si>
    <t>10,200,000.00</t>
  </si>
  <si>
    <t>425,571.84</t>
  </si>
  <si>
    <t>8,311,100.00</t>
  </si>
  <si>
    <t>1,515,404.32</t>
  </si>
  <si>
    <t>1,095,395.00</t>
  </si>
  <si>
    <t>157,200.00</t>
  </si>
  <si>
    <t>117,500.00</t>
  </si>
  <si>
    <t>83,100.00</t>
  </si>
  <si>
    <t>275,729.00</t>
  </si>
  <si>
    <t>5,372,902.00</t>
  </si>
  <si>
    <t>1,629,023.54</t>
  </si>
  <si>
    <t>9,762,620.12</t>
  </si>
  <si>
    <t>545,483.00</t>
  </si>
  <si>
    <t>243,559.00</t>
  </si>
  <si>
    <t>182,465.00</t>
  </si>
  <si>
    <t>2,041,791.45</t>
  </si>
  <si>
    <t>1,471,570.82</t>
  </si>
  <si>
    <t>73,850.00</t>
  </si>
  <si>
    <t>305,620.00</t>
  </si>
  <si>
    <t>444,000.00</t>
  </si>
  <si>
    <t>11,100,000.00</t>
  </si>
  <si>
    <t>122,614.00</t>
  </si>
  <si>
    <t>139,550.00</t>
  </si>
  <si>
    <t>1,892,959.26</t>
  </si>
  <si>
    <t>9,124,865.00</t>
  </si>
  <si>
    <t>1,659,231.62</t>
  </si>
  <si>
    <t>450,142.16</t>
  </si>
  <si>
    <t>14,074,906.68</t>
  </si>
  <si>
    <t>69,700.00</t>
  </si>
  <si>
    <t>213,700.00</t>
  </si>
  <si>
    <t>1,937,999.99</t>
  </si>
  <si>
    <t>2,464,246.00</t>
  </si>
  <si>
    <t>384,020.00</t>
  </si>
  <si>
    <t>235,590.00</t>
  </si>
  <si>
    <t>1,692,439.03</t>
  </si>
  <si>
    <t>10,867,184.00</t>
  </si>
  <si>
    <t>49,208,500.00</t>
  </si>
  <si>
    <t>266,114.00</t>
  </si>
  <si>
    <t>7,240,000.00</t>
  </si>
  <si>
    <t>143,760.00</t>
  </si>
  <si>
    <t>463,175.00</t>
  </si>
  <si>
    <t>15,840,000.00</t>
  </si>
  <si>
    <t>10,274,000.00</t>
  </si>
  <si>
    <t>2,275,574.22</t>
  </si>
  <si>
    <t>5,064,000.00</t>
  </si>
  <si>
    <t>82,500,000.00</t>
  </si>
  <si>
    <t>1,334,240.00</t>
  </si>
  <si>
    <t>176,400.00</t>
  </si>
  <si>
    <t>914,155.53</t>
  </si>
  <si>
    <t>1,975,000.00</t>
  </si>
  <si>
    <t>2,340,500.00</t>
  </si>
  <si>
    <t>1,380,000.00</t>
  </si>
  <si>
    <t>568,300.00</t>
  </si>
  <si>
    <t>797,568.99</t>
  </si>
  <si>
    <t>14,990.00</t>
  </si>
  <si>
    <t>3,448,000.00</t>
  </si>
  <si>
    <t>452,342.00</t>
  </si>
  <si>
    <t>7,840,000.00</t>
  </si>
  <si>
    <t>599,712.66</t>
  </si>
  <si>
    <t>150,240.50</t>
  </si>
  <si>
    <t>146,190.00</t>
  </si>
  <si>
    <t>999,705.39</t>
  </si>
  <si>
    <t>864,136.00</t>
  </si>
  <si>
    <t>24,010,000.00</t>
  </si>
  <si>
    <t>313,045.00</t>
  </si>
  <si>
    <t>4,834,939.00</t>
  </si>
  <si>
    <t>953,576.86</t>
  </si>
  <si>
    <t>9,995,800.00</t>
  </si>
  <si>
    <t>385,242.16</t>
  </si>
  <si>
    <t>11,939,719.00</t>
  </si>
  <si>
    <t>301,233.60</t>
  </si>
  <si>
    <t>2,791,000.00</t>
  </si>
  <si>
    <t>226,000.00</t>
  </si>
  <si>
    <t>300,600.00</t>
  </si>
  <si>
    <t>276,950.00</t>
  </si>
  <si>
    <t>206,250.00</t>
  </si>
  <si>
    <t>52,780.00</t>
  </si>
  <si>
    <t>404,600.00</t>
  </si>
  <si>
    <t>9,946,500.00</t>
  </si>
  <si>
    <t>4,361,054.00</t>
  </si>
  <si>
    <t>6,861,517.18</t>
  </si>
  <si>
    <t>2,449,000.00</t>
  </si>
  <si>
    <t>51,160.00</t>
  </si>
  <si>
    <t>33,616,000.00</t>
  </si>
  <si>
    <t>50,096.48</t>
  </si>
  <si>
    <t>3,399,636.00</t>
  </si>
  <si>
    <t>879,630.14</t>
  </si>
  <si>
    <t>749,996.11</t>
  </si>
  <si>
    <t>392,600.00</t>
  </si>
  <si>
    <t>805,634.93</t>
  </si>
  <si>
    <t>1,128,618.00</t>
  </si>
  <si>
    <t>1,699,347.45</t>
  </si>
  <si>
    <t>399,961.54</t>
  </si>
  <si>
    <t>1,683,436.00</t>
  </si>
  <si>
    <t>3,498,241.00</t>
  </si>
  <si>
    <t>399,737.69</t>
  </si>
  <si>
    <t>32,997.00</t>
  </si>
  <si>
    <t>1,999,989.00</t>
  </si>
  <si>
    <t>28,076.00</t>
  </si>
  <si>
    <t>1,999,922.00</t>
  </si>
  <si>
    <t>78,306.00</t>
  </si>
  <si>
    <t>378,350.00</t>
  </si>
  <si>
    <t>818,000.00</t>
  </si>
  <si>
    <t>132,690.00</t>
  </si>
  <si>
    <t>999,993.97</t>
  </si>
  <si>
    <t>554,625.00</t>
  </si>
  <si>
    <t>4,881,000.00</t>
  </si>
  <si>
    <t>471,951.41</t>
  </si>
  <si>
    <t>1,499,500.00</t>
  </si>
  <si>
    <t>749,977.00</t>
  </si>
  <si>
    <t>4,999,754.81</t>
  </si>
  <si>
    <t>249,957.62</t>
  </si>
  <si>
    <t>720,891.79</t>
  </si>
  <si>
    <t>256,596.00</t>
  </si>
  <si>
    <t>999,949.00</t>
  </si>
  <si>
    <t>747,228.00</t>
  </si>
  <si>
    <t>13,007,900.00</t>
  </si>
  <si>
    <t>1,902,487.00</t>
  </si>
  <si>
    <t>2,897,996.25</t>
  </si>
  <si>
    <t>1,448,038.44</t>
  </si>
  <si>
    <t>2,745,000.00</t>
  </si>
  <si>
    <t>262,500.00</t>
  </si>
  <si>
    <t>1,848,100.00</t>
  </si>
  <si>
    <t>1,661,065.00</t>
  </si>
  <si>
    <t>494,050.00</t>
  </si>
  <si>
    <t>12,577,000.00</t>
  </si>
  <si>
    <t>799,986.29</t>
  </si>
  <si>
    <t>24,285,471.00</t>
  </si>
  <si>
    <t>2,816,000.00</t>
  </si>
  <si>
    <t>4,349,400.00</t>
  </si>
  <si>
    <t>4,999,674.75</t>
  </si>
  <si>
    <t>1,172,933.20</t>
  </si>
  <si>
    <t>12,286,029.00</t>
  </si>
  <si>
    <t>212,283.33</t>
  </si>
  <si>
    <t>2,245,000.00</t>
  </si>
  <si>
    <t>2,342,215.00</t>
  </si>
  <si>
    <t>1,592,000.00</t>
  </si>
  <si>
    <t>9,144,738.00</t>
  </si>
  <si>
    <t>9,160,508.00</t>
  </si>
  <si>
    <t>4,367,389.00</t>
  </si>
  <si>
    <t>2,014,600.00</t>
  </si>
  <si>
    <t>2,635,385.80</t>
  </si>
  <si>
    <t>3,207,500.00</t>
  </si>
  <si>
    <t>805,000.00</t>
  </si>
  <si>
    <t>1,680,000.00</t>
  </si>
  <si>
    <t>1,954,943.00</t>
  </si>
  <si>
    <t>48,000,000.00</t>
  </si>
  <si>
    <t>1,999,932.75</t>
  </si>
  <si>
    <t>502,177,650.00</t>
  </si>
  <si>
    <t>331,032.00</t>
  </si>
  <si>
    <t>8,272,540.00</t>
  </si>
  <si>
    <t>4,999,803.38</t>
  </si>
  <si>
    <t>2,999,578.71</t>
  </si>
  <si>
    <t>336,950.00</t>
  </si>
  <si>
    <t>1,850,504.00</t>
  </si>
  <si>
    <t>682,000.00</t>
  </si>
  <si>
    <t>687,000.00</t>
  </si>
  <si>
    <t>166,452.00</t>
  </si>
  <si>
    <t>58,968.00</t>
  </si>
  <si>
    <t>1,979,933.79</t>
  </si>
  <si>
    <t>599,995.49</t>
  </si>
  <si>
    <t>1,439,305.40</t>
  </si>
  <si>
    <t>399,993.71</t>
  </si>
  <si>
    <t>301,194.30</t>
  </si>
  <si>
    <t>2,945,045.89</t>
  </si>
  <si>
    <t>3,464,556.99</t>
  </si>
  <si>
    <t>1,999,973.59</t>
  </si>
  <si>
    <t>4,044,705.60</t>
  </si>
  <si>
    <t>960,892.00</t>
  </si>
  <si>
    <t>277,049.98</t>
  </si>
  <si>
    <t>189,517.00</t>
  </si>
  <si>
    <t>484,593.75</t>
  </si>
  <si>
    <t>435,726.81</t>
  </si>
  <si>
    <t>3,410,191.13</t>
  </si>
  <si>
    <t>283,500.00</t>
  </si>
  <si>
    <t>228,950.00</t>
  </si>
  <si>
    <t>294,695,846.60</t>
  </si>
  <si>
    <t>1,072,150.50</t>
  </si>
  <si>
    <t>567,714.00</t>
  </si>
  <si>
    <t>2,132,190.94</t>
  </si>
  <si>
    <t>4,029,758.45</t>
  </si>
  <si>
    <t>631,990.00</t>
  </si>
  <si>
    <t>343,300.00</t>
  </si>
  <si>
    <t>21,142,276.47</t>
  </si>
  <si>
    <t>1,776,600.00</t>
  </si>
  <si>
    <t>544,000.00</t>
  </si>
  <si>
    <t>22,234,928.84</t>
  </si>
  <si>
    <t>37,344,165.02</t>
  </si>
  <si>
    <t>1,184,400.00</t>
  </si>
  <si>
    <t>34,257,740.51</t>
  </si>
  <si>
    <t>6,008,971.91</t>
  </si>
  <si>
    <t>2,961,000.00</t>
  </si>
  <si>
    <t>29,940,624.33</t>
  </si>
  <si>
    <t>29,711,256.07</t>
  </si>
  <si>
    <t>33,007,244.91</t>
  </si>
  <si>
    <t>104,440.00</t>
  </si>
  <si>
    <t>210,970.00</t>
  </si>
  <si>
    <t>29,666,579.79</t>
  </si>
  <si>
    <t>93,150.00</t>
  </si>
  <si>
    <t>11,939,664.52</t>
  </si>
  <si>
    <t>339,096.00</t>
  </si>
  <si>
    <t>356,600.00</t>
  </si>
  <si>
    <t>24,874,778.52</t>
  </si>
  <si>
    <t>102,478.60</t>
  </si>
  <si>
    <t>528,000.00</t>
  </si>
  <si>
    <t>1,499,925.33</t>
  </si>
  <si>
    <t>11,760,000.00</t>
  </si>
  <si>
    <t>112,515.00</t>
  </si>
  <si>
    <t>11,939,737.95</t>
  </si>
  <si>
    <t>61,284.00</t>
  </si>
  <si>
    <t>477,000.00</t>
  </si>
  <si>
    <t>699,992.00</t>
  </si>
  <si>
    <t>7,200,000.00</t>
  </si>
  <si>
    <t>14,809,260.00</t>
  </si>
  <si>
    <t>14,999,996.21</t>
  </si>
  <si>
    <t>1,599,021.00</t>
  </si>
  <si>
    <t>213,200.00</t>
  </si>
  <si>
    <t>419,900.00</t>
  </si>
  <si>
    <t>21,999,996.92</t>
  </si>
  <si>
    <t>1,080,240.00</t>
  </si>
  <si>
    <t>9,999,998.64</t>
  </si>
  <si>
    <t>2,142,000.00</t>
  </si>
  <si>
    <t>2,979,496.80</t>
  </si>
  <si>
    <t>2,121,609.00</t>
  </si>
  <si>
    <t>1,947,330.00</t>
  </si>
  <si>
    <t>499,995.23</t>
  </si>
  <si>
    <t>2,856,920.00</t>
  </si>
  <si>
    <t>3,080,000.00</t>
  </si>
  <si>
    <t>949,080.00</t>
  </si>
  <si>
    <t>1,613,850.00</t>
  </si>
  <si>
    <t>694,135.00</t>
  </si>
  <si>
    <t>1,894,050.00</t>
  </si>
  <si>
    <t>374,000.00</t>
  </si>
  <si>
    <t>264,800.00</t>
  </si>
  <si>
    <t>620,100.00</t>
  </si>
  <si>
    <t>2,558,000.00</t>
  </si>
  <si>
    <t>499,974.10</t>
  </si>
  <si>
    <t>999,951.09</t>
  </si>
  <si>
    <t>499,975.97</t>
  </si>
  <si>
    <t>445,139.56</t>
  </si>
  <si>
    <t>330,145.55</t>
  </si>
  <si>
    <t>118,759,437.57</t>
  </si>
  <si>
    <t>2,825,383.69</t>
  </si>
  <si>
    <t>242,885.00</t>
  </si>
  <si>
    <t>497,939.00</t>
  </si>
  <si>
    <t>1,528,305.00</t>
  </si>
  <si>
    <t>253,425.00</t>
  </si>
  <si>
    <t>577,348.48</t>
  </si>
  <si>
    <t>110,302.00</t>
  </si>
  <si>
    <t>26,000,000.00</t>
  </si>
  <si>
    <t>1,490,759.00</t>
  </si>
  <si>
    <t>1,999,726.30</t>
  </si>
  <si>
    <t>519,989.28</t>
  </si>
  <si>
    <t>1,460,000.00</t>
  </si>
  <si>
    <t>1,264,000.00</t>
  </si>
  <si>
    <t>25,827,598.00</t>
  </si>
  <si>
    <t>317,310.00</t>
  </si>
  <si>
    <t>97,200.00</t>
  </si>
  <si>
    <t>26,153,803.00</t>
  </si>
  <si>
    <t>28,950,000.00</t>
  </si>
  <si>
    <t>879,922.00</t>
  </si>
  <si>
    <t>1,393,469.77</t>
  </si>
  <si>
    <t>1,992,226.17</t>
  </si>
  <si>
    <t>1,267,570.00</t>
  </si>
  <si>
    <t>123,346.00</t>
  </si>
  <si>
    <t>376,800.00</t>
  </si>
  <si>
    <t>21,907.00</t>
  </si>
  <si>
    <t>9,460,000.00</t>
  </si>
  <si>
    <t>8,050,000.00</t>
  </si>
  <si>
    <t>3,939,500.00</t>
  </si>
  <si>
    <t>105,570.00</t>
  </si>
  <si>
    <t>395,536.00</t>
  </si>
  <si>
    <t>11,365,078.85</t>
  </si>
  <si>
    <t>103,455.00</t>
  </si>
  <si>
    <t>6,335,000.00</t>
  </si>
  <si>
    <t>249,944.73</t>
  </si>
  <si>
    <t>2,562,500.00</t>
  </si>
  <si>
    <t>746,932.89</t>
  </si>
  <si>
    <t>260,640.00</t>
  </si>
  <si>
    <t>13,264,730.68</t>
  </si>
  <si>
    <t>599,450.00</t>
  </si>
  <si>
    <t>341,657.84</t>
  </si>
  <si>
    <t>230,280.00</t>
  </si>
  <si>
    <t>511,757.80</t>
  </si>
  <si>
    <t>111,920.00</t>
  </si>
  <si>
    <t>70,721.28</t>
  </si>
  <si>
    <t>947,400.00</t>
  </si>
  <si>
    <t>704,320.50</t>
  </si>
  <si>
    <t>137,300.00</t>
  </si>
  <si>
    <t>296,864.68</t>
  </si>
  <si>
    <t>182,150.00</t>
  </si>
  <si>
    <t>843,099.04</t>
  </si>
  <si>
    <t>144,040,594.88</t>
  </si>
  <si>
    <t>754,216.00</t>
  </si>
  <si>
    <t>119,448.50</t>
  </si>
  <si>
    <t>820,000.00</t>
  </si>
  <si>
    <t>9,581,336.00</t>
  </si>
  <si>
    <t>6,727,000.00</t>
  </si>
  <si>
    <t>352,800.00</t>
  </si>
  <si>
    <t>505,674.00</t>
  </si>
  <si>
    <t>298,690.00</t>
  </si>
  <si>
    <t>197,903.56</t>
  </si>
  <si>
    <t>428,000.00</t>
  </si>
  <si>
    <t>1,202.00</t>
  </si>
  <si>
    <t>70,225.00</t>
  </si>
  <si>
    <t>98,480.97</t>
  </si>
  <si>
    <t>481,845.20</t>
  </si>
  <si>
    <t>758,165.50</t>
  </si>
  <si>
    <t>98,130.76</t>
  </si>
  <si>
    <t>98,940.20</t>
  </si>
  <si>
    <t>769,371.13</t>
  </si>
  <si>
    <t>148,206.70</t>
  </si>
  <si>
    <t>359,990.00</t>
  </si>
  <si>
    <t>390,823.29</t>
  </si>
  <si>
    <t>459,365.40</t>
  </si>
  <si>
    <t>49,959,413.89</t>
  </si>
  <si>
    <t>197,095.42</t>
  </si>
  <si>
    <t>381,235.73</t>
  </si>
  <si>
    <t>5,543,100.00</t>
  </si>
  <si>
    <t>388,916.19</t>
  </si>
  <si>
    <t>197,928.13</t>
  </si>
  <si>
    <t>312,340.00</t>
  </si>
  <si>
    <t>290,993.04</t>
  </si>
  <si>
    <t>247,550.00</t>
  </si>
  <si>
    <t>115,400.00</t>
  </si>
  <si>
    <t>243,100.50</t>
  </si>
  <si>
    <t>999,976.00</t>
  </si>
  <si>
    <t>981,433.24</t>
  </si>
  <si>
    <t>152,037.00</t>
  </si>
  <si>
    <t>1,242,500.00</t>
  </si>
  <si>
    <t>98,822.89</t>
  </si>
  <si>
    <t>148,683.94</t>
  </si>
  <si>
    <t>1,517,485.10</t>
  </si>
  <si>
    <t>860,990.00</t>
  </si>
  <si>
    <t>2,248,500.00</t>
  </si>
  <si>
    <t>2,164,000.00</t>
  </si>
  <si>
    <t>900,613.00</t>
  </si>
  <si>
    <t>652,500.00</t>
  </si>
  <si>
    <t>250,252.00</t>
  </si>
  <si>
    <t>23,820.00</t>
  </si>
  <si>
    <t>125,054.40</t>
  </si>
  <si>
    <t>552,041.74</t>
  </si>
  <si>
    <t>715,110.00</t>
  </si>
  <si>
    <t>413,660.00</t>
  </si>
  <si>
    <t>3,184,088.80</t>
  </si>
  <si>
    <t>499,950.00</t>
  </si>
  <si>
    <t>1,911,532.80</t>
  </si>
  <si>
    <t>4,086,391.86</t>
  </si>
  <si>
    <t>1,828,000.00</t>
  </si>
  <si>
    <t>407,572.50</t>
  </si>
  <si>
    <t>107,800,000.00</t>
  </si>
  <si>
    <t>289,068.00</t>
  </si>
  <si>
    <t>4,400,000.00</t>
  </si>
  <si>
    <t>7,938,000.00</t>
  </si>
  <si>
    <t>264,964.08</t>
  </si>
  <si>
    <t>2,376,432.00</t>
  </si>
  <si>
    <t>996,764.94</t>
  </si>
  <si>
    <t>5,122,236.32</t>
  </si>
  <si>
    <t>564,650.00</t>
  </si>
  <si>
    <t>1,993,383.76</t>
  </si>
  <si>
    <t>3,570,000.00</t>
  </si>
  <si>
    <t>250,876.07</t>
  </si>
  <si>
    <t>4,980,000.00</t>
  </si>
  <si>
    <t>2,708,480.00</t>
  </si>
  <si>
    <t>3,780,000.00</t>
  </si>
  <si>
    <t>9,874,292.00</t>
  </si>
  <si>
    <t>1,855,000.00</t>
  </si>
  <si>
    <t>2,504,000.00</t>
  </si>
  <si>
    <t>1,214,592.00</t>
  </si>
  <si>
    <t>1,205,000.00</t>
  </si>
  <si>
    <t>263,961.00</t>
  </si>
  <si>
    <t>2,111,970.00</t>
  </si>
  <si>
    <t>116,896.00</t>
  </si>
  <si>
    <t>981,191.52</t>
  </si>
  <si>
    <t>156,728.00</t>
  </si>
  <si>
    <t>55,394.06</t>
  </si>
  <si>
    <t>952,580.00</t>
  </si>
  <si>
    <t>2,158,000.00</t>
  </si>
  <si>
    <t>3,030,000.00</t>
  </si>
  <si>
    <t>619,432.80</t>
  </si>
  <si>
    <t>14,485,000.00</t>
  </si>
  <si>
    <t>806,065.44</t>
  </si>
  <si>
    <t>5,463,741.90</t>
  </si>
  <si>
    <t>1,629,206.36</t>
  </si>
  <si>
    <t>134,500.00</t>
  </si>
  <si>
    <t>67,365.00</t>
  </si>
  <si>
    <t>69,950.00</t>
  </si>
  <si>
    <t>119,339.78</t>
  </si>
  <si>
    <t>431,296.00</t>
  </si>
  <si>
    <t>59,950.40</t>
  </si>
  <si>
    <t>9,084,587.61</t>
  </si>
  <si>
    <t>1,320,665.72</t>
  </si>
  <si>
    <t>73,048.50</t>
  </si>
  <si>
    <t>344,594.00</t>
  </si>
  <si>
    <t>477,965.60</t>
  </si>
  <si>
    <t>21,406,733.83</t>
  </si>
  <si>
    <t>2,709,158.70</t>
  </si>
  <si>
    <t>3,219,539.68</t>
  </si>
  <si>
    <t>6,187,500.00</t>
  </si>
  <si>
    <t>7,022,679.51</t>
  </si>
  <si>
    <t>15,914,292.30</t>
  </si>
  <si>
    <t>1,162,975.00</t>
  </si>
  <si>
    <t>76,540.00</t>
  </si>
  <si>
    <t>184,000,000.00</t>
  </si>
  <si>
    <t>62,172.00</t>
  </si>
  <si>
    <t>112,635.00</t>
  </si>
  <si>
    <t>283,026.01</t>
  </si>
  <si>
    <t>337,400.00</t>
  </si>
  <si>
    <t>49,748,520.50</t>
  </si>
  <si>
    <t>4,527,811.20</t>
  </si>
  <si>
    <t>149,953.86</t>
  </si>
  <si>
    <t>2,410,488.00</t>
  </si>
  <si>
    <t>50,000,000.00</t>
  </si>
  <si>
    <t>145,926.50</t>
  </si>
  <si>
    <t>9,750,000.00</t>
  </si>
  <si>
    <t>3,899,991.84</t>
  </si>
  <si>
    <t>1,156,763.40</t>
  </si>
  <si>
    <t>1,462,500.00</t>
  </si>
  <si>
    <t>3,034,000.00</t>
  </si>
  <si>
    <t>56,500,000.00</t>
  </si>
  <si>
    <t>10,857,146.00</t>
  </si>
  <si>
    <t>14,500,000.00</t>
  </si>
  <si>
    <t>2,452,935.97</t>
  </si>
  <si>
    <t>3,354,547.00</t>
  </si>
  <si>
    <t>3,034,982.50</t>
  </si>
  <si>
    <t>313,818.00</t>
  </si>
  <si>
    <t>3,274,481.00</t>
  </si>
  <si>
    <t>11,517,238.00</t>
  </si>
  <si>
    <t>2,186,000.00</t>
  </si>
  <si>
    <t>29,762,112.77</t>
  </si>
  <si>
    <t>4,499,998.64</t>
  </si>
  <si>
    <t>2,915,000.00</t>
  </si>
  <si>
    <t>466,551.62</t>
  </si>
  <si>
    <t>144,650.00</t>
  </si>
  <si>
    <t>8,600,000.00</t>
  </si>
  <si>
    <t>1,756,700.00</t>
  </si>
  <si>
    <t>4,990.00</t>
  </si>
  <si>
    <t>48,850,000.00</t>
  </si>
  <si>
    <t>8,960.00</t>
  </si>
  <si>
    <t>3,884,130.99</t>
  </si>
  <si>
    <t>1,728,000.00</t>
  </si>
  <si>
    <t>193,770.00</t>
  </si>
  <si>
    <t>10,349,412.00</t>
  </si>
  <si>
    <t>2,659,500.00</t>
  </si>
  <si>
    <t>2,497,407.01</t>
  </si>
  <si>
    <t>469,400.00</t>
  </si>
  <si>
    <t>1,396,345.00</t>
  </si>
  <si>
    <t>221,540.00</t>
  </si>
  <si>
    <t>35,860,000.00</t>
  </si>
  <si>
    <t>2,295,189.00</t>
  </si>
  <si>
    <t>168,400.00</t>
  </si>
  <si>
    <t>339,000.00</t>
  </si>
  <si>
    <t>1,586,186.78</t>
  </si>
  <si>
    <t>16,913,371.44</t>
  </si>
  <si>
    <t>893,808.95</t>
  </si>
  <si>
    <t>3,335,553.50</t>
  </si>
  <si>
    <t>759,600.00</t>
  </si>
  <si>
    <t>1,394,682.14</t>
  </si>
  <si>
    <t>267,150.00</t>
  </si>
  <si>
    <t>3,987,213.40</t>
  </si>
  <si>
    <t>1,473,530.00</t>
  </si>
  <si>
    <t>1,493,316.61</t>
  </si>
  <si>
    <t>1,441,500.00</t>
  </si>
  <si>
    <t>1,444,228.09</t>
  </si>
  <si>
    <t>14,474,999.96</t>
  </si>
  <si>
    <t>5,934,593.33</t>
  </si>
  <si>
    <t>1,646,395.81</t>
  </si>
  <si>
    <t>1,414,113.06</t>
  </si>
  <si>
    <t>1,992,119.67</t>
  </si>
  <si>
    <t>1,979,999.12</t>
  </si>
  <si>
    <t>14,849,996.67</t>
  </si>
  <si>
    <t>1,975,235.92</t>
  </si>
  <si>
    <t>78,546.00</t>
  </si>
  <si>
    <t>24,271,844.66</t>
  </si>
  <si>
    <t>7,500,000.00</t>
  </si>
  <si>
    <t>14,699,948.34</t>
  </si>
  <si>
    <t>2,299,856.33</t>
  </si>
  <si>
    <t>3,035,000.00</t>
  </si>
  <si>
    <t>2,571,950.00</t>
  </si>
  <si>
    <t>790,000.00</t>
  </si>
  <si>
    <t>8,100,000.00</t>
  </si>
  <si>
    <t>58,844.00</t>
  </si>
  <si>
    <t>1,428,263.51</t>
  </si>
  <si>
    <t>11,200,000.00</t>
  </si>
  <si>
    <t>74,311.00</t>
  </si>
  <si>
    <t>809,306.17</t>
  </si>
  <si>
    <t>4,986.00</t>
  </si>
  <si>
    <t>270,638.00</t>
  </si>
  <si>
    <t>1,228,444.04</t>
  </si>
  <si>
    <t>305,603.98</t>
  </si>
  <si>
    <t>72,204.00</t>
  </si>
  <si>
    <t>5,267,547.00</t>
  </si>
  <si>
    <t>2,014,648.00</t>
  </si>
  <si>
    <t>2,430,768.00</t>
  </si>
  <si>
    <t>3,101,024.50</t>
  </si>
  <si>
    <t>2,270,785.00</t>
  </si>
  <si>
    <t>983,100.00</t>
  </si>
  <si>
    <t>9,900,954.74</t>
  </si>
  <si>
    <t>1,595,798.00</t>
  </si>
  <si>
    <t>744,925.00</t>
  </si>
  <si>
    <t>499,965.96</t>
  </si>
  <si>
    <t>149,307.00</t>
  </si>
  <si>
    <t>19,666,377.00</t>
  </si>
  <si>
    <t>47,800.00</t>
  </si>
  <si>
    <t>499,360.29</t>
  </si>
  <si>
    <t>935,810.00</t>
  </si>
  <si>
    <t>2,039,045.00</t>
  </si>
  <si>
    <t>2,287,031.00</t>
  </si>
  <si>
    <t>226,800.00</t>
  </si>
  <si>
    <t>4,782.00</t>
  </si>
  <si>
    <t>142,000.00</t>
  </si>
  <si>
    <t>118,570.00</t>
  </si>
  <si>
    <t>96,500,000.00</t>
  </si>
  <si>
    <t>15,079.85</t>
  </si>
  <si>
    <t>1,006,000.00</t>
  </si>
  <si>
    <t>2,959,255.00</t>
  </si>
  <si>
    <t>2,180,200.00</t>
  </si>
  <si>
    <t>232,408.89</t>
  </si>
  <si>
    <t>23,315.00</t>
  </si>
  <si>
    <t>2,047,730.00</t>
  </si>
  <si>
    <t>108,966.00</t>
  </si>
  <si>
    <t>298,300.00</t>
  </si>
  <si>
    <t>496,500.00</t>
  </si>
  <si>
    <t>258,300.00</t>
  </si>
  <si>
    <t>968,400.00</t>
  </si>
  <si>
    <t>1,412,281.00</t>
  </si>
  <si>
    <t>5,431,650.00</t>
  </si>
  <si>
    <t>1,838,750.00</t>
  </si>
  <si>
    <t>104,494.00</t>
  </si>
  <si>
    <t>2,807,176.91</t>
  </si>
  <si>
    <t>751,810.00</t>
  </si>
  <si>
    <t>382,188,598.99</t>
  </si>
  <si>
    <t>108,650.00</t>
  </si>
  <si>
    <t>79,500.00</t>
  </si>
  <si>
    <t>713,200.00</t>
  </si>
  <si>
    <t>148,740.48</t>
  </si>
  <si>
    <t>998,813.09</t>
  </si>
  <si>
    <t>1,710.00</t>
  </si>
  <si>
    <t>1,147,356.00</t>
  </si>
  <si>
    <t>9,475.00</t>
  </si>
  <si>
    <t>100,763.00</t>
  </si>
  <si>
    <t>318,570.00</t>
  </si>
  <si>
    <t>4,979,000.00</t>
  </si>
  <si>
    <t>261,465.00</t>
  </si>
  <si>
    <t>1,089,000.00</t>
  </si>
  <si>
    <t>505,630.00</t>
  </si>
  <si>
    <t>9,392,892.00</t>
  </si>
  <si>
    <t>165,900.00</t>
  </si>
  <si>
    <t>21,638,798.00</t>
  </si>
  <si>
    <t>6,850,000.00</t>
  </si>
  <si>
    <t>28,066,253.00</t>
  </si>
  <si>
    <t>205,900.00</t>
  </si>
  <si>
    <t>9,510,000.00</t>
  </si>
  <si>
    <t>231,599.50</t>
  </si>
  <si>
    <t>5,930,560.00</t>
  </si>
  <si>
    <t>1,763,272.00</t>
  </si>
  <si>
    <t>25,753,791.70</t>
  </si>
  <si>
    <t>2,107,000.00</t>
  </si>
  <si>
    <t>542,640.00</t>
  </si>
  <si>
    <t>5,100,000.00</t>
  </si>
  <si>
    <t>2,520,477.73</t>
  </si>
  <si>
    <t>481,950.00</t>
  </si>
  <si>
    <t>1,324,920.00</t>
  </si>
  <si>
    <t>543,000.00</t>
  </si>
  <si>
    <t>125,636.00</t>
  </si>
  <si>
    <t>2,000,001.39</t>
  </si>
  <si>
    <t>1,658,802.91</t>
  </si>
  <si>
    <t>1,639,440.50</t>
  </si>
  <si>
    <t>4,350,000.00</t>
  </si>
  <si>
    <t>3,478,134.00</t>
  </si>
  <si>
    <t>360,600.00</t>
  </si>
  <si>
    <t>945,400.00</t>
  </si>
  <si>
    <t>115,800,000.00</t>
  </si>
  <si>
    <t>7,800,000.00</t>
  </si>
  <si>
    <t>4,541,000.00</t>
  </si>
  <si>
    <t>211,933.00</t>
  </si>
  <si>
    <t>140,000,000.00</t>
  </si>
  <si>
    <t>33,564,466.08</t>
  </si>
  <si>
    <t>3,609,856.25</t>
  </si>
  <si>
    <t>9,997,200.00</t>
  </si>
  <si>
    <t>249,985,261.00</t>
  </si>
  <si>
    <t>358,825.00</t>
  </si>
  <si>
    <t>1,107,600.00</t>
  </si>
  <si>
    <t>4,634,000.00</t>
  </si>
  <si>
    <t>331,263.00</t>
  </si>
  <si>
    <t>451,587.00</t>
  </si>
  <si>
    <t>4,150,725.00</t>
  </si>
  <si>
    <t>32,300.00</t>
  </si>
  <si>
    <t>1,102,093.25</t>
  </si>
  <si>
    <t>1,004,000.00</t>
  </si>
  <si>
    <t>28,140,000.00</t>
  </si>
  <si>
    <t>9,916,800.00</t>
  </si>
  <si>
    <t>11,815.50</t>
  </si>
  <si>
    <t>66,105.00</t>
  </si>
  <si>
    <t>1,585,920.00</t>
  </si>
  <si>
    <t>14,600,000.00</t>
  </si>
  <si>
    <t>966,722.85</t>
  </si>
  <si>
    <t>324,188.00</t>
  </si>
  <si>
    <t>55,167,740.36</t>
  </si>
  <si>
    <t>499,991.00</t>
  </si>
  <si>
    <t>257,850.00</t>
  </si>
  <si>
    <t>529,777.80</t>
  </si>
  <si>
    <t>1,134,060.00</t>
  </si>
  <si>
    <t>4,408,809.77</t>
  </si>
  <si>
    <t>477,139.43</t>
  </si>
  <si>
    <t>16,300,949.04</t>
  </si>
  <si>
    <t>16,260.00</t>
  </si>
  <si>
    <t>2,832,000.00</t>
  </si>
  <si>
    <t>64,837.60</t>
  </si>
  <si>
    <t>292,896.50</t>
  </si>
  <si>
    <t>2,276,780.00</t>
  </si>
  <si>
    <t>11,939,961.04</t>
  </si>
  <si>
    <t>4,554,000.00</t>
  </si>
  <si>
    <t>213,330.00</t>
  </si>
  <si>
    <t>689,300.00</t>
  </si>
  <si>
    <t>360,040.21</t>
  </si>
  <si>
    <t>50,295,931.43</t>
  </si>
  <si>
    <t>11,939,959.68</t>
  </si>
  <si>
    <t>1,543,050.00</t>
  </si>
  <si>
    <t>133,426.50</t>
  </si>
  <si>
    <t>56,975.82</t>
  </si>
  <si>
    <t>93,290.00</t>
  </si>
  <si>
    <t>72,265.00</t>
  </si>
  <si>
    <t>535,000.00</t>
  </si>
  <si>
    <t>4,657,090.00</t>
  </si>
  <si>
    <t>848,705.60</t>
  </si>
  <si>
    <t>4,075,641.00</t>
  </si>
  <si>
    <t>1,176,000.00</t>
  </si>
  <si>
    <t>359,998.00</t>
  </si>
  <si>
    <t>931,000.00</t>
  </si>
  <si>
    <t>1,290,000.00</t>
  </si>
  <si>
    <t>4,030,486.37</t>
  </si>
  <si>
    <t>1,940,000.00</t>
  </si>
  <si>
    <t>9,759,123.74</t>
  </si>
  <si>
    <t>24,738,545.40</t>
  </si>
  <si>
    <t>1,022,238.86</t>
  </si>
  <si>
    <t>1,748,088.00</t>
  </si>
  <si>
    <t>249,874.14</t>
  </si>
  <si>
    <t>4,949,845.60</t>
  </si>
  <si>
    <t>9,899,965.47</t>
  </si>
  <si>
    <t>1,447,440.72</t>
  </si>
  <si>
    <t>2,965,194.42</t>
  </si>
  <si>
    <t>2,110,000.00</t>
  </si>
  <si>
    <t>21,824,853.00</t>
  </si>
  <si>
    <t>5,250,000.00</t>
  </si>
  <si>
    <t>2,663,955.00</t>
  </si>
  <si>
    <t>8,568,000.00</t>
  </si>
  <si>
    <t>999,999.15</t>
  </si>
  <si>
    <t>3,431,959.37</t>
  </si>
  <si>
    <t>893,000.00</t>
  </si>
  <si>
    <t>15,497,004.34</t>
  </si>
  <si>
    <t>112,210.00</t>
  </si>
  <si>
    <t>1,144,668.00</t>
  </si>
  <si>
    <t>4,090,000.00</t>
  </si>
  <si>
    <t>1,069,771.07</t>
  </si>
  <si>
    <t>1,920,679.59</t>
  </si>
  <si>
    <t>4,971,000.00</t>
  </si>
  <si>
    <t>1,825,826.41</t>
  </si>
  <si>
    <t>11,386,365.26</t>
  </si>
  <si>
    <t>515,816.11</t>
  </si>
  <si>
    <t>74,250,000.00</t>
  </si>
  <si>
    <t>1,109,266.49</t>
  </si>
  <si>
    <t>4,997,378.79</t>
  </si>
  <si>
    <t>1,622,590.00</t>
  </si>
  <si>
    <t>23,839,876.00</t>
  </si>
  <si>
    <t>888,468.84</t>
  </si>
  <si>
    <t>1,089,673.78</t>
  </si>
  <si>
    <t>145,540.00</t>
  </si>
  <si>
    <t>107,935.00</t>
  </si>
  <si>
    <t>102,680.00</t>
  </si>
  <si>
    <t>119,795.00</t>
  </si>
  <si>
    <t>5,297,132.97</t>
  </si>
  <si>
    <t>182,040.00</t>
  </si>
  <si>
    <t>1,789,700.00</t>
  </si>
  <si>
    <t>1,321,518.75</t>
  </si>
  <si>
    <t>1,030,700.00</t>
  </si>
  <si>
    <t>979,500.00</t>
  </si>
  <si>
    <t>372,976.81</t>
  </si>
  <si>
    <t>907,000.00</t>
  </si>
  <si>
    <t>194,931.66</t>
  </si>
  <si>
    <t>123,247.60</t>
  </si>
  <si>
    <t>901,000.00</t>
  </si>
  <si>
    <t>418,000.00</t>
  </si>
  <si>
    <t>1,093,684.00</t>
  </si>
  <si>
    <t>10,520,000.00</t>
  </si>
  <si>
    <t>5,278,000.00</t>
  </si>
  <si>
    <t>175,980.00</t>
  </si>
  <si>
    <t>308,000.00</t>
  </si>
  <si>
    <t>273,000.00</t>
  </si>
  <si>
    <t>129,960.00</t>
  </si>
  <si>
    <t>9,899,999.00</t>
  </si>
  <si>
    <t>7,424,999.50</t>
  </si>
  <si>
    <t>1,999,999.30</t>
  </si>
  <si>
    <t>28,949,998.70</t>
  </si>
  <si>
    <t>3,199,996.90</t>
  </si>
  <si>
    <t>4,086,719.40</t>
  </si>
  <si>
    <t>900,855.00</t>
  </si>
  <si>
    <t>638,596.00</t>
  </si>
  <si>
    <t>5,256,000.00</t>
  </si>
  <si>
    <t>1,499,999.20</t>
  </si>
  <si>
    <t>101,080.00</t>
  </si>
  <si>
    <t>329,019.37</t>
  </si>
  <si>
    <t>97,300.00</t>
  </si>
  <si>
    <t>1,959,210.00</t>
  </si>
  <si>
    <t>456,702.51</t>
  </si>
  <si>
    <t>1,352,800.00</t>
  </si>
  <si>
    <t>1,118,704.62</t>
  </si>
  <si>
    <t>5,822,130.00</t>
  </si>
  <si>
    <t>192,510.00</t>
  </si>
  <si>
    <t>455,000.00</t>
  </si>
  <si>
    <t>149,776.26</t>
  </si>
  <si>
    <t>1,247,617.91</t>
  </si>
  <si>
    <t>95,819.00</t>
  </si>
  <si>
    <t>3,503,648.00</t>
  </si>
  <si>
    <t>1,048,972.50</t>
  </si>
  <si>
    <t>1,716,902.40</t>
  </si>
  <si>
    <t>1,703,776.68</t>
  </si>
  <si>
    <t>259,184.01</t>
  </si>
  <si>
    <t>441,400.00</t>
  </si>
  <si>
    <t>4,375,770.00</t>
  </si>
  <si>
    <t>286,829.50</t>
  </si>
  <si>
    <t>192,440.00</t>
  </si>
  <si>
    <t>2,383,677.00</t>
  </si>
  <si>
    <t>444,199.00</t>
  </si>
  <si>
    <t>7,573,591.00</t>
  </si>
  <si>
    <t>2,527,470.47</t>
  </si>
  <si>
    <t>75,600.00</t>
  </si>
  <si>
    <t>422,000.00</t>
  </si>
  <si>
    <t>850,060.00</t>
  </si>
  <si>
    <t>949,850.00</t>
  </si>
  <si>
    <t>1,738,800.00</t>
  </si>
  <si>
    <t>363,392.17</t>
  </si>
  <si>
    <t>20,634,025.00</t>
  </si>
  <si>
    <t>219,628.09</t>
  </si>
  <si>
    <t>15,526,465.10</t>
  </si>
  <si>
    <t>925,746.08</t>
  </si>
  <si>
    <t>98,760.00</t>
  </si>
  <si>
    <t>1,485,176.16</t>
  </si>
  <si>
    <t>47,850.00</t>
  </si>
  <si>
    <t>3,904,104.00</t>
  </si>
  <si>
    <t>1,394,724.16</t>
  </si>
  <si>
    <t>907,640.00</t>
  </si>
  <si>
    <t>96,500.00</t>
  </si>
  <si>
    <t>1,744,750.00</t>
  </si>
  <si>
    <t>180,812.00</t>
  </si>
  <si>
    <t>786,100.00</t>
  </si>
  <si>
    <t>2,069,739.86</t>
  </si>
  <si>
    <t>41,362.00</t>
  </si>
  <si>
    <t>476,182.50</t>
  </si>
  <si>
    <t>484,663.20</t>
  </si>
  <si>
    <t>480,480.00</t>
  </si>
  <si>
    <t>1,856,614.17</t>
  </si>
  <si>
    <t>9,750.00</t>
  </si>
  <si>
    <t>35,820,000.00</t>
  </si>
  <si>
    <t>2,720,000.00</t>
  </si>
  <si>
    <t>1,821,875.38</t>
  </si>
  <si>
    <t>400,600.00</t>
  </si>
  <si>
    <t>389,930.00</t>
  </si>
  <si>
    <t>4,467,185.45</t>
  </si>
  <si>
    <t>790,705.00</t>
  </si>
  <si>
    <t>794,252.15</t>
  </si>
  <si>
    <t>1,993,100.00</t>
  </si>
  <si>
    <t>999,820.74</t>
  </si>
  <si>
    <t>410,344.41</t>
  </si>
  <si>
    <t>2,236,882.62</t>
  </si>
  <si>
    <t>72,150.00</t>
  </si>
  <si>
    <t>102,533.00</t>
  </si>
  <si>
    <t>2,969,999.99</t>
  </si>
  <si>
    <t>9,950,000.00</t>
  </si>
  <si>
    <t>13,930,000.00</t>
  </si>
  <si>
    <t>1,112,879.47</t>
  </si>
  <si>
    <t>320,158.80</t>
  </si>
  <si>
    <t>296,355.00</t>
  </si>
  <si>
    <t>3,515,000.00</t>
  </si>
  <si>
    <t>1,265,000.00</t>
  </si>
  <si>
    <t>1,087,000.00</t>
  </si>
  <si>
    <t>160,698.30</t>
  </si>
  <si>
    <t>2,692,239.03</t>
  </si>
  <si>
    <t>49,883,276.37</t>
  </si>
  <si>
    <t>18,125,000.00</t>
  </si>
  <si>
    <t>172,650.00</t>
  </si>
  <si>
    <t>194,940.00</t>
  </si>
  <si>
    <t>70,225,000.00</t>
  </si>
  <si>
    <t>642,826.45</t>
  </si>
  <si>
    <t>1,148,526.20</t>
  </si>
  <si>
    <t>897,800.00</t>
  </si>
  <si>
    <t>747,753.30</t>
  </si>
  <si>
    <t>23,880,000.00</t>
  </si>
  <si>
    <t>1,423,019.79</t>
  </si>
  <si>
    <t>10,083.25</t>
  </si>
  <si>
    <t>98,845.00</t>
  </si>
  <si>
    <t>50,583.00</t>
  </si>
  <si>
    <t>2,820.00</t>
  </si>
  <si>
    <t>152,500.00</t>
  </si>
  <si>
    <t>198,360.00</t>
  </si>
  <si>
    <t>429,250.00</t>
  </si>
  <si>
    <t>496,530.71</t>
  </si>
  <si>
    <t>1,032,900.00</t>
  </si>
  <si>
    <t>277,750.00</t>
  </si>
  <si>
    <t>33,204.00</t>
  </si>
  <si>
    <t>2,219,928.46</t>
  </si>
  <si>
    <t>2,750.00</t>
  </si>
  <si>
    <t>2,854,021.28</t>
  </si>
  <si>
    <t>536,400.00</t>
  </si>
  <si>
    <t>106,904.00</t>
  </si>
  <si>
    <t>1,560.00</t>
  </si>
  <si>
    <t>299,280.00</t>
  </si>
  <si>
    <t>29,795,256.00</t>
  </si>
  <si>
    <t>587,000.00</t>
  </si>
  <si>
    <t>10,130.00</t>
  </si>
  <si>
    <t>3,153,932.00</t>
  </si>
  <si>
    <t>671,676.32</t>
  </si>
  <si>
    <t>497,618.25</t>
  </si>
  <si>
    <t>5,302,721.65</t>
  </si>
  <si>
    <t>498,800.00</t>
  </si>
  <si>
    <t>4,809,437.18</t>
  </si>
  <si>
    <t>91,351.00</t>
  </si>
  <si>
    <t>776,100.00</t>
  </si>
  <si>
    <t>999,960.00</t>
  </si>
  <si>
    <t>493,560.00</t>
  </si>
  <si>
    <t>1,199,520.00</t>
  </si>
  <si>
    <t>4,947,546.28</t>
  </si>
  <si>
    <t>18,965.00</t>
  </si>
  <si>
    <t>30,474,081.00</t>
  </si>
  <si>
    <t>519,100.00</t>
  </si>
  <si>
    <t>88,900.00</t>
  </si>
  <si>
    <t>21,000.00</t>
  </si>
  <si>
    <t>359,650.00</t>
  </si>
  <si>
    <t>31,866,990.00</t>
  </si>
  <si>
    <t>29,825,790.00</t>
  </si>
  <si>
    <t>1,491,259.55</t>
  </si>
  <si>
    <t>955,727.36</t>
  </si>
  <si>
    <t>998,274.20</t>
  </si>
  <si>
    <t>91,470.00</t>
  </si>
  <si>
    <t>2,949,000.00</t>
  </si>
  <si>
    <t>3,056,100.00</t>
  </si>
  <si>
    <t>33,397,890.00</t>
  </si>
  <si>
    <t>205,631.00</t>
  </si>
  <si>
    <t>4,945,349.68</t>
  </si>
  <si>
    <t>763,484.00</t>
  </si>
  <si>
    <t>427,500.00</t>
  </si>
  <si>
    <t>1,499,026.90</t>
  </si>
  <si>
    <t>789,255.50</t>
  </si>
  <si>
    <t>31,356,690.00</t>
  </si>
  <si>
    <t>330,750.00</t>
  </si>
  <si>
    <t>2,512,500.00</t>
  </si>
  <si>
    <t>358,921.00</t>
  </si>
  <si>
    <t>122,875.00</t>
  </si>
  <si>
    <t>1,913,281.00</t>
  </si>
  <si>
    <t>510,210.00</t>
  </si>
  <si>
    <t>44,680,922.46</t>
  </si>
  <si>
    <t>33,453,015.00</t>
  </si>
  <si>
    <t>85,200.00</t>
  </si>
  <si>
    <t>1,385,746.85</t>
  </si>
  <si>
    <t>1,633,511.66</t>
  </si>
  <si>
    <t>2,685,222.84</t>
  </si>
  <si>
    <t>754,770.00</t>
  </si>
  <si>
    <t>456,574.00</t>
  </si>
  <si>
    <t>60,208.75</t>
  </si>
  <si>
    <t>1,893,779.67</t>
  </si>
  <si>
    <t>299,803.05</t>
  </si>
  <si>
    <t>180,600.00</t>
  </si>
  <si>
    <t>6,860,000.00</t>
  </si>
  <si>
    <t>198,300.00</t>
  </si>
  <si>
    <t>1,926,279.91</t>
  </si>
  <si>
    <t>10,255,000.00</t>
  </si>
  <si>
    <t>1,475,000.00</t>
  </si>
  <si>
    <t>5,552,999.81</t>
  </si>
  <si>
    <t>212,125.00</t>
  </si>
  <si>
    <t>607,325.98</t>
  </si>
  <si>
    <t>43,475.00</t>
  </si>
  <si>
    <t>1,263,411.00</t>
  </si>
  <si>
    <t>241,000.00</t>
  </si>
  <si>
    <t>595,880.00</t>
  </si>
  <si>
    <t>76,700.00</t>
  </si>
  <si>
    <t>1,074,839.97</t>
  </si>
  <si>
    <t>2,247,051.00</t>
  </si>
  <si>
    <t>1,207,180.30</t>
  </si>
  <si>
    <t>2,670,807.44</t>
  </si>
  <si>
    <t>599,914.29</t>
  </si>
  <si>
    <t>406,728.00</t>
  </si>
  <si>
    <t>4,086,124.68</t>
  </si>
  <si>
    <t>1,218,000.00</t>
  </si>
  <si>
    <t>1,113,765.58</t>
  </si>
  <si>
    <t>1,766,064.60</t>
  </si>
  <si>
    <t>1,703,917,375.78</t>
  </si>
  <si>
    <t>61,760.60</t>
  </si>
  <si>
    <t>249,740.00</t>
  </si>
  <si>
    <t>9,999,978.98</t>
  </si>
  <si>
    <t>368,209.00</t>
  </si>
  <si>
    <t>299,965.37</t>
  </si>
  <si>
    <t>671,343,892.41</t>
  </si>
  <si>
    <t>20,584,805.64</t>
  </si>
  <si>
    <t>12,500,000.00</t>
  </si>
  <si>
    <t>448,403.10</t>
  </si>
  <si>
    <t>80,796,742.06</t>
  </si>
  <si>
    <t>2,064,000.00</t>
  </si>
  <si>
    <t>668,051.40</t>
  </si>
  <si>
    <t>10,254,000.00</t>
  </si>
  <si>
    <t>1,999,955.75</t>
  </si>
  <si>
    <t>734,136.84</t>
  </si>
  <si>
    <t>15,338,000.00</t>
  </si>
  <si>
    <t>24,177,059.50</t>
  </si>
  <si>
    <t>1,996,166.58</t>
  </si>
  <si>
    <t>8,911,401.90</t>
  </si>
  <si>
    <t>9,228,347.48</t>
  </si>
  <si>
    <t>6,933,807.50</t>
  </si>
  <si>
    <t>1,050,116.60</t>
  </si>
  <si>
    <t>1,061,490.00</t>
  </si>
  <si>
    <t>6,998,520.30</t>
  </si>
  <si>
    <t>14,956,500.00</t>
  </si>
  <si>
    <t>183,533.96</t>
  </si>
  <si>
    <t>1,999,999.52</t>
  </si>
  <si>
    <t>1,565,000.00</t>
  </si>
  <si>
    <t>9,457,146.69</t>
  </si>
  <si>
    <t>1,890,900.00</t>
  </si>
  <si>
    <t>174,550.00</t>
  </si>
  <si>
    <t>6,600,000.00</t>
  </si>
  <si>
    <t>93,969,875.00</t>
  </si>
  <si>
    <t>2,982,000.00</t>
  </si>
  <si>
    <t>2,731,000.00</t>
  </si>
  <si>
    <t>29,861,274.83</t>
  </si>
  <si>
    <t>239,819.00</t>
  </si>
  <si>
    <t>38,599,998.24</t>
  </si>
  <si>
    <t>3,496,478.11</t>
  </si>
  <si>
    <t>3,678,097.50</t>
  </si>
  <si>
    <t>6,603,450.00</t>
  </si>
  <si>
    <t>38,599,983.94</t>
  </si>
  <si>
    <t>917,530.00</t>
  </si>
  <si>
    <t>5,646,000.00</t>
  </si>
  <si>
    <t>8,976,830.00</t>
  </si>
  <si>
    <t>5,950,000.00</t>
  </si>
  <si>
    <t>6,498,800.00</t>
  </si>
  <si>
    <t>402,349.00</t>
  </si>
  <si>
    <t>484,500.00</t>
  </si>
  <si>
    <t>16,374,796.97</t>
  </si>
  <si>
    <t>35,639,631.53</t>
  </si>
  <si>
    <t>3,612,068.00</t>
  </si>
  <si>
    <t>333,449.90</t>
  </si>
  <si>
    <t>58,409,482.40</t>
  </si>
  <si>
    <t>999,941.86</t>
  </si>
  <si>
    <t>2,057,800.00</t>
  </si>
  <si>
    <t>955,920.79</t>
  </si>
  <si>
    <t>994,297.50</t>
  </si>
  <si>
    <t>998,550.00</t>
  </si>
  <si>
    <t>162,993.66</t>
  </si>
  <si>
    <t>948,398.06</t>
  </si>
  <si>
    <t>4,113,998.44</t>
  </si>
  <si>
    <t>15,551,286.92</t>
  </si>
  <si>
    <t>431,600.00</t>
  </si>
  <si>
    <t>1,271,180.00</t>
  </si>
  <si>
    <t>321,030.00</t>
  </si>
  <si>
    <t>48,999,974.55</t>
  </si>
  <si>
    <t>19,799,815.98</t>
  </si>
  <si>
    <t>996,712.50</t>
  </si>
  <si>
    <t>1,105,000.00</t>
  </si>
  <si>
    <t>995,887.20</t>
  </si>
  <si>
    <t>5,430.00</t>
  </si>
  <si>
    <t>1,129,503.00</t>
  </si>
  <si>
    <t>6,895.00</t>
  </si>
  <si>
    <t>1,938,106.40</t>
  </si>
  <si>
    <t>8,430,062.01</t>
  </si>
  <si>
    <t>1,980,180.00</t>
  </si>
  <si>
    <t>9,799,746.52</t>
  </si>
  <si>
    <t>2,499,942.16</t>
  </si>
  <si>
    <t>28,880,600.00</t>
  </si>
  <si>
    <t>2,735,000.00</t>
  </si>
  <si>
    <t>6,360.00</t>
  </si>
  <si>
    <t>2,010,000.00</t>
  </si>
  <si>
    <t>4,613,186.00</t>
  </si>
  <si>
    <t>4,372,800.00</t>
  </si>
  <si>
    <t>19,773,581.10</t>
  </si>
  <si>
    <t>2,844,000.00</t>
  </si>
  <si>
    <t>3,796,110.65</t>
  </si>
  <si>
    <t>25,200.00</t>
  </si>
  <si>
    <t>50,009.00</t>
  </si>
  <si>
    <t>556,037.50</t>
  </si>
  <si>
    <t>336,000.00</t>
  </si>
  <si>
    <t>93,870.00</t>
  </si>
  <si>
    <t>3,670,000.00</t>
  </si>
  <si>
    <t>13,238,449.62</t>
  </si>
  <si>
    <t>10,600.00</t>
  </si>
  <si>
    <t>19,800.00</t>
  </si>
  <si>
    <t>432,051.00</t>
  </si>
  <si>
    <t>8,600.00</t>
  </si>
  <si>
    <t>34,940.00</t>
  </si>
  <si>
    <t>34,800.00</t>
  </si>
  <si>
    <t>9,900.00</t>
  </si>
  <si>
    <t>6,410.00</t>
  </si>
  <si>
    <t>3,750.00</t>
  </si>
  <si>
    <t>3,662,500.00</t>
  </si>
  <si>
    <t>348,025.00</t>
  </si>
  <si>
    <t>270,300.00</t>
  </si>
  <si>
    <t>156,555.00</t>
  </si>
  <si>
    <t>277,100.00</t>
  </si>
  <si>
    <t>3,087.00</t>
  </si>
  <si>
    <t>14,800.00</t>
  </si>
  <si>
    <t>106,236.00</t>
  </si>
  <si>
    <t>302,304.50</t>
  </si>
  <si>
    <t>148,750.00</t>
  </si>
  <si>
    <t>124,520.00</t>
  </si>
  <si>
    <t>1,386.00</t>
  </si>
  <si>
    <t>115,275.95</t>
  </si>
  <si>
    <t>159,905.00</t>
  </si>
  <si>
    <t>3,215.00</t>
  </si>
  <si>
    <t>220,120.00</t>
  </si>
  <si>
    <t>545,700.00</t>
  </si>
  <si>
    <t>13,205.00</t>
  </si>
  <si>
    <t>3,027,648.00</t>
  </si>
  <si>
    <t>347,010.00</t>
  </si>
  <si>
    <t>58,199.00</t>
  </si>
  <si>
    <t>23,609.00</t>
  </si>
  <si>
    <t>448,962.00</t>
  </si>
  <si>
    <t>6,728,500.00</t>
  </si>
  <si>
    <t>61,592.85</t>
  </si>
  <si>
    <t>53,149.00</t>
  </si>
  <si>
    <t>7,491.00</t>
  </si>
  <si>
    <t>4,206,894.00</t>
  </si>
  <si>
    <t>3,468.00</t>
  </si>
  <si>
    <t>16,372.00</t>
  </si>
  <si>
    <t>15,781.00</t>
  </si>
  <si>
    <t>33,686.00</t>
  </si>
  <si>
    <t>942,470.00</t>
  </si>
  <si>
    <t>23,816.00</t>
  </si>
  <si>
    <t>43,084.00</t>
  </si>
  <si>
    <t>197,245.00</t>
  </si>
  <si>
    <t>2,874,877.00</t>
  </si>
  <si>
    <t>591,000.00</t>
  </si>
  <si>
    <t>1,806,750.00</t>
  </si>
  <si>
    <t>19,181.00</t>
  </si>
  <si>
    <t>402,500.00</t>
  </si>
  <si>
    <t>79,984.50</t>
  </si>
  <si>
    <t>246,128.00</t>
  </si>
  <si>
    <t>39,425.00</t>
  </si>
  <si>
    <t>145,435.00</t>
  </si>
  <si>
    <t>10,810.00</t>
  </si>
  <si>
    <t>31,647.00</t>
  </si>
  <si>
    <t>5,075.00</t>
  </si>
  <si>
    <t>7,920,000.00</t>
  </si>
  <si>
    <t>6,364.00</t>
  </si>
  <si>
    <t>13,999,999.50</t>
  </si>
  <si>
    <t>9,550.00</t>
  </si>
  <si>
    <t>98,900.00</t>
  </si>
  <si>
    <t>146,860.00</t>
  </si>
  <si>
    <t>3,032,215.00</t>
  </si>
  <si>
    <t>6,007.00</t>
  </si>
  <si>
    <t>99,999,999.45</t>
  </si>
  <si>
    <t>108,320.00</t>
  </si>
  <si>
    <t>810,090.36</t>
  </si>
  <si>
    <t>2,483,540.75</t>
  </si>
  <si>
    <t>262,819.00</t>
  </si>
  <si>
    <t>6,001.00</t>
  </si>
  <si>
    <t>1,303,421.84</t>
  </si>
  <si>
    <t>256,886.07</t>
  </si>
  <si>
    <t>749,800.00</t>
  </si>
  <si>
    <t>444,311.00</t>
  </si>
  <si>
    <t>505,419.09</t>
  </si>
  <si>
    <t>175,976.40</t>
  </si>
  <si>
    <t>1,859,265.00</t>
  </si>
  <si>
    <t>270,520.00</t>
  </si>
  <si>
    <t>10,962.00</t>
  </si>
  <si>
    <t>54,729.50</t>
  </si>
  <si>
    <t>99,940.39</t>
  </si>
  <si>
    <t>1,911,009.65</t>
  </si>
  <si>
    <t>16,242,753.90</t>
  </si>
  <si>
    <t>2,149,924.18</t>
  </si>
  <si>
    <t>999,965.15</t>
  </si>
  <si>
    <t>79,837.00</t>
  </si>
  <si>
    <t>699,983.42</t>
  </si>
  <si>
    <t>2,089,555.42</t>
  </si>
  <si>
    <t>9,994,514.37</t>
  </si>
  <si>
    <t>2,533,096.87</t>
  </si>
  <si>
    <t>1,298,002.33</t>
  </si>
  <si>
    <t>11,045,036.77</t>
  </si>
  <si>
    <t>299,994.83</t>
  </si>
  <si>
    <t>898,261.60</t>
  </si>
  <si>
    <t>669,564.23</t>
  </si>
  <si>
    <t>853,558.18</t>
  </si>
  <si>
    <t>795,911.67</t>
  </si>
  <si>
    <t>1,099,427.01</t>
  </si>
  <si>
    <t>1,401,717.25</t>
  </si>
  <si>
    <t>2,479,886.06</t>
  </si>
  <si>
    <t>810,888.33</t>
  </si>
  <si>
    <t>627,317.58</t>
  </si>
  <si>
    <t>8,475,449.27</t>
  </si>
  <si>
    <t>2,294,941.09</t>
  </si>
  <si>
    <t>1,679,214.25</t>
  </si>
  <si>
    <t>1,043,241.57</t>
  </si>
  <si>
    <t>4,499,987.49</t>
  </si>
  <si>
    <t>7,436,499.19</t>
  </si>
  <si>
    <t>849,471.16</t>
  </si>
  <si>
    <t>2,453,181.97</t>
  </si>
  <si>
    <t>11,708,530.37</t>
  </si>
  <si>
    <t>17,997,702.28</t>
  </si>
  <si>
    <t>2,494,259.17</t>
  </si>
  <si>
    <t>1,799,827.23</t>
  </si>
  <si>
    <t>729,129.55</t>
  </si>
  <si>
    <t>3,583,900.85</t>
  </si>
  <si>
    <t>3,546,621.31</t>
  </si>
  <si>
    <t>4,300,908.44</t>
  </si>
  <si>
    <t>1,099,746.64</t>
  </si>
  <si>
    <t>482,160.05</t>
  </si>
  <si>
    <t>53,199,485.00</t>
  </si>
  <si>
    <t>289,500,000.00</t>
  </si>
  <si>
    <t>181,280.00</t>
  </si>
  <si>
    <t>413,895.00</t>
  </si>
  <si>
    <t>68,885.00</t>
  </si>
  <si>
    <t>5,383,000.00</t>
  </si>
  <si>
    <t>135,100,000.00</t>
  </si>
  <si>
    <t>18,998,751.90</t>
  </si>
  <si>
    <t>14,997,632.98</t>
  </si>
  <si>
    <t>555,791.00</t>
  </si>
  <si>
    <t>224,300.00</t>
  </si>
  <si>
    <t>10,050,000.00</t>
  </si>
  <si>
    <t>70,000,000.00</t>
  </si>
  <si>
    <t>954,568.00</t>
  </si>
  <si>
    <t>958,867.27</t>
  </si>
  <si>
    <t>834,480.00</t>
  </si>
  <si>
    <t>1,934,215.12</t>
  </si>
  <si>
    <t>948,000.00</t>
  </si>
  <si>
    <t>1,969,165.64</t>
  </si>
  <si>
    <t>1,727,522.54</t>
  </si>
  <si>
    <t>960,750.00</t>
  </si>
  <si>
    <t>2,920,000.00</t>
  </si>
  <si>
    <t>5,920,000.00</t>
  </si>
  <si>
    <t>1,068,398.00</t>
  </si>
  <si>
    <t>250,275.00</t>
  </si>
  <si>
    <t>499,902.00</t>
  </si>
  <si>
    <t>8,643,000.00</t>
  </si>
  <si>
    <t>581,304.00</t>
  </si>
  <si>
    <t>86,300.00</t>
  </si>
  <si>
    <t>3,046,000.00</t>
  </si>
  <si>
    <t>198,799.00</t>
  </si>
  <si>
    <t>329,475.00</t>
  </si>
  <si>
    <t>2,220,750.00</t>
  </si>
  <si>
    <t>170,692.00</t>
  </si>
  <si>
    <t>375,100.00</t>
  </si>
  <si>
    <t>1,199,999.53</t>
  </si>
  <si>
    <t>311,825.00</t>
  </si>
  <si>
    <t>9,998,598.74</t>
  </si>
  <si>
    <t>2,099,000.00</t>
  </si>
  <si>
    <t>652,600.00</t>
  </si>
  <si>
    <t>24,875,000.00</t>
  </si>
  <si>
    <t>999,838.30</t>
  </si>
  <si>
    <t>13,192,935.00</t>
  </si>
  <si>
    <t>5,999,923.56</t>
  </si>
  <si>
    <t>4,921,084.95</t>
  </si>
  <si>
    <t>314,572.50</t>
  </si>
  <si>
    <t>1,210,000.00</t>
  </si>
  <si>
    <t>1,819,090.00</t>
  </si>
  <si>
    <t>1,116,560.00</t>
  </si>
  <si>
    <t>2,995,439.87</t>
  </si>
  <si>
    <t>905,484.23</t>
  </si>
  <si>
    <t>152,360.00</t>
  </si>
  <si>
    <t>292,425.01</t>
  </si>
  <si>
    <t>3,450,000.00</t>
  </si>
  <si>
    <t>74,240.00</t>
  </si>
  <si>
    <t>1,372,175.00</t>
  </si>
  <si>
    <t>1,499,994.08</t>
  </si>
  <si>
    <t>10,220,000.00</t>
  </si>
  <si>
    <t>4,424,000.00</t>
  </si>
  <si>
    <t>1,499,745.38</t>
  </si>
  <si>
    <t>7,781,000.00</t>
  </si>
  <si>
    <t>30,390.00</t>
  </si>
  <si>
    <t>1,959,939.74</t>
  </si>
  <si>
    <t>1,015,000.00</t>
  </si>
  <si>
    <t>5,873,734.99</t>
  </si>
  <si>
    <t>1,115,540.92</t>
  </si>
  <si>
    <t>4,344,846.00</t>
  </si>
  <si>
    <t>2,939,955.41</t>
  </si>
  <si>
    <t>999,941.75</t>
  </si>
  <si>
    <t>24,749,847.03</t>
  </si>
  <si>
    <t>1,345,754.00</t>
  </si>
  <si>
    <t>2,435,364.75</t>
  </si>
  <si>
    <t>999,912.92</t>
  </si>
  <si>
    <t>766,310.00</t>
  </si>
  <si>
    <t>2,892,540.00</t>
  </si>
  <si>
    <t>2,672,800.00</t>
  </si>
  <si>
    <t>439,130.24</t>
  </si>
  <si>
    <t>112,081.85</t>
  </si>
  <si>
    <t>4,375,145.06</t>
  </si>
  <si>
    <t>1,866,635.00</t>
  </si>
  <si>
    <t>2,207,500.00</t>
  </si>
  <si>
    <t>49,499,914.27</t>
  </si>
  <si>
    <t>1,597,391.75</t>
  </si>
  <si>
    <t>14,981,717.00</t>
  </si>
  <si>
    <t>1,979,942.80</t>
  </si>
  <si>
    <t>48,999,575.77</t>
  </si>
  <si>
    <t>1,979,608.16</t>
  </si>
  <si>
    <t>1,214,680.17</t>
  </si>
  <si>
    <t>1,959,895.49</t>
  </si>
  <si>
    <t>4,766,000.00</t>
  </si>
  <si>
    <t>49,499,818.16</t>
  </si>
  <si>
    <t>2,990,594.00</t>
  </si>
  <si>
    <t>952,000.00</t>
  </si>
  <si>
    <t>19,799,863.99</t>
  </si>
  <si>
    <t>1,400,778.50</t>
  </si>
  <si>
    <t>1,495,586.56</t>
  </si>
  <si>
    <t>10,800,000.00</t>
  </si>
  <si>
    <t>48,999,934.59</t>
  </si>
  <si>
    <t>19,799,947.66</t>
  </si>
  <si>
    <t>2,939,642.21</t>
  </si>
  <si>
    <t>83,295.00</t>
  </si>
  <si>
    <t>279,977.50</t>
  </si>
  <si>
    <t>1,014,229.00</t>
  </si>
  <si>
    <t>206,350.00</t>
  </si>
  <si>
    <t>4,999,987.23</t>
  </si>
  <si>
    <t>1,578,422.00</t>
  </si>
  <si>
    <t>2,517,407.00</t>
  </si>
  <si>
    <t>2,007,180.00</t>
  </si>
  <si>
    <t>2,608,535.14</t>
  </si>
  <si>
    <t>5,879,909.44</t>
  </si>
  <si>
    <t>24,986.00</t>
  </si>
  <si>
    <t>3,429,951.02</t>
  </si>
  <si>
    <t>296,397.00</t>
  </si>
  <si>
    <t>19,599,842.64</t>
  </si>
  <si>
    <t>29,900.00</t>
  </si>
  <si>
    <t>1,959,853.18</t>
  </si>
  <si>
    <t>2,213,641.12</t>
  </si>
  <si>
    <t>1,860.00</t>
  </si>
  <si>
    <t>188,424.00</t>
  </si>
  <si>
    <t>111,750.00</t>
  </si>
  <si>
    <t>19,599,943.77</t>
  </si>
  <si>
    <t>1,195,030.00</t>
  </si>
  <si>
    <t>1,385,838.00</t>
  </si>
  <si>
    <t>14,699,833.44</t>
  </si>
  <si>
    <t>9,799,945.84</t>
  </si>
  <si>
    <t>2,939,941.41</t>
  </si>
  <si>
    <t>451,482.81</t>
  </si>
  <si>
    <t>134,885.00</t>
  </si>
  <si>
    <t>348,200.00</t>
  </si>
  <si>
    <t>6,287,400.00</t>
  </si>
  <si>
    <t>2,960.00</t>
  </si>
  <si>
    <t>1,959,198.93</t>
  </si>
  <si>
    <t>351,459.06</t>
  </si>
  <si>
    <t>1,959,919.35</t>
  </si>
  <si>
    <t>70,775.00</t>
  </si>
  <si>
    <t>365,030.95</t>
  </si>
  <si>
    <t>2,939,408.15</t>
  </si>
  <si>
    <t>1,540,250.00</t>
  </si>
  <si>
    <t>999,981.42</t>
  </si>
  <si>
    <t>124,195.00</t>
  </si>
  <si>
    <t>590,832.88</t>
  </si>
  <si>
    <t>3,423,000.00</t>
  </si>
  <si>
    <t>2,867,143.76</t>
  </si>
  <si>
    <t>800,811.56</t>
  </si>
  <si>
    <t>1,959,982.57</t>
  </si>
  <si>
    <t>2,427,174.19</t>
  </si>
  <si>
    <t>662,900.00</t>
  </si>
  <si>
    <t>253,360.00</t>
  </si>
  <si>
    <t>3,540,000.00</t>
  </si>
  <si>
    <t>34,299,223.99</t>
  </si>
  <si>
    <t>772,671.25</t>
  </si>
  <si>
    <t>7,702,000.00</t>
  </si>
  <si>
    <t>1,999,979.56</t>
  </si>
  <si>
    <t>11,939,975.70</t>
  </si>
  <si>
    <t>4,731,375.00</t>
  </si>
  <si>
    <t>999,962.58</t>
  </si>
  <si>
    <t>16,660,000.00</t>
  </si>
  <si>
    <t>12,437,500.00</t>
  </si>
  <si>
    <t>1,959,991.60</t>
  </si>
  <si>
    <t>1,407,730.80</t>
  </si>
  <si>
    <t>12,934,953.22</t>
  </si>
  <si>
    <t>2,046,000.00</t>
  </si>
  <si>
    <t>1,547,510.00</t>
  </si>
  <si>
    <t>222,338.00</t>
  </si>
  <si>
    <t>599,996.00</t>
  </si>
  <si>
    <t>14,980,000.00</t>
  </si>
  <si>
    <t>51,480,000.00</t>
  </si>
  <si>
    <t>96,017,500.00</t>
  </si>
  <si>
    <t>11,939,976.01</t>
  </si>
  <si>
    <t>2,349,090.00</t>
  </si>
  <si>
    <t>399,360.00</t>
  </si>
  <si>
    <t>4,927,800.00</t>
  </si>
  <si>
    <t>1,472,768.00</t>
  </si>
  <si>
    <t>1,324,800.00</t>
  </si>
  <si>
    <t>3,945,744.32</t>
  </si>
  <si>
    <t>227,745.00</t>
  </si>
  <si>
    <t>1,810,095.27</t>
  </si>
  <si>
    <t>3,864,686.31</t>
  </si>
  <si>
    <t>146,313.00</t>
  </si>
  <si>
    <t>384,500.00</t>
  </si>
  <si>
    <t>12,934,947.12</t>
  </si>
  <si>
    <t>738,090.00</t>
  </si>
  <si>
    <t>997,753.00</t>
  </si>
  <si>
    <t>379,881.00</t>
  </si>
  <si>
    <t>1,499,997.84</t>
  </si>
  <si>
    <t>8,820,000.00</t>
  </si>
  <si>
    <t>3,881,112.26</t>
  </si>
  <si>
    <t>542,465.00</t>
  </si>
  <si>
    <t>1,897,161.40</t>
  </si>
  <si>
    <t>2,498,129.58</t>
  </si>
  <si>
    <t>41,930.00</t>
  </si>
  <si>
    <t>644,955.00</t>
  </si>
  <si>
    <t>271,868.60</t>
  </si>
  <si>
    <t>3,021,155.20</t>
  </si>
  <si>
    <t>2,939,996.49</t>
  </si>
  <si>
    <t>29,399,717.41</t>
  </si>
  <si>
    <t>176,013,538.00</t>
  </si>
  <si>
    <t>14,999,985.16</t>
  </si>
  <si>
    <t>1,592,600.00</t>
  </si>
  <si>
    <t>18,309,589.20</t>
  </si>
  <si>
    <t>16,928,000.00</t>
  </si>
  <si>
    <t>107,850.00</t>
  </si>
  <si>
    <t>593,165.00</t>
  </si>
  <si>
    <t>1,928,400.00</t>
  </si>
  <si>
    <t>4,901,672.06</t>
  </si>
  <si>
    <t>2,931,000.00</t>
  </si>
  <si>
    <t>4,975,000.00</t>
  </si>
  <si>
    <t>2,940,000.00</t>
  </si>
  <si>
    <t>1,698,469.50</t>
  </si>
  <si>
    <t>1,736,400,000.00</t>
  </si>
  <si>
    <t>715,431.00</t>
  </si>
  <si>
    <t>2,625,870.00</t>
  </si>
  <si>
    <t>1,860,000.00</t>
  </si>
  <si>
    <t>3,638,735.05</t>
  </si>
  <si>
    <t>420,877.00</t>
  </si>
  <si>
    <t>1,547,167.68</t>
  </si>
  <si>
    <t>2,784,887.68</t>
  </si>
  <si>
    <t>698,760.00</t>
  </si>
  <si>
    <t>667,194.90</t>
  </si>
  <si>
    <t>12,779,760.00</t>
  </si>
  <si>
    <t>677,000.00</t>
  </si>
  <si>
    <t>2,627,000.00</t>
  </si>
  <si>
    <t>8,259,710.08</t>
  </si>
  <si>
    <t>70,070.00</t>
  </si>
  <si>
    <t>1,778,267.91</t>
  </si>
  <si>
    <t>4,376,000.00</t>
  </si>
  <si>
    <t>4,900,500.00</t>
  </si>
  <si>
    <t>741,710.06</t>
  </si>
  <si>
    <t>9,100,500.00</t>
  </si>
  <si>
    <t>54,941.00</t>
  </si>
  <si>
    <t>976,238.06</t>
  </si>
  <si>
    <t>475,490.25</t>
  </si>
  <si>
    <t>99,055.00</t>
  </si>
  <si>
    <t>1,416,012.50</t>
  </si>
  <si>
    <t>109,240.00</t>
  </si>
  <si>
    <t>13,858,572.00</t>
  </si>
  <si>
    <t>5,370,098.00</t>
  </si>
  <si>
    <t>11,437,500.00</t>
  </si>
  <si>
    <t>145,050.00</t>
  </si>
  <si>
    <t>86,009.10</t>
  </si>
  <si>
    <t>1,983,414.65</t>
  </si>
  <si>
    <t>2,098,501.00</t>
  </si>
  <si>
    <t>2,107,050.00</t>
  </si>
  <si>
    <t>20,242,248.12</t>
  </si>
  <si>
    <t>34,236,394.86</t>
  </si>
  <si>
    <t>7,691,020.00</t>
  </si>
  <si>
    <t>68,330.00</t>
  </si>
  <si>
    <t>1,294,872.00</t>
  </si>
  <si>
    <t>415,282.00</t>
  </si>
  <si>
    <t>3,033,347.80</t>
  </si>
  <si>
    <t>4,158,874.48</t>
  </si>
  <si>
    <t>5,300,000.00</t>
  </si>
  <si>
    <t>1,490,000.00</t>
  </si>
  <si>
    <t>206,800.00</t>
  </si>
  <si>
    <t>7,625,481.60</t>
  </si>
  <si>
    <t>1,087,446.80</t>
  </si>
  <si>
    <t>1,471,168.25</t>
  </si>
  <si>
    <t>2,772,000.00</t>
  </si>
  <si>
    <t>3,750,000.00</t>
  </si>
  <si>
    <t>32,199,750.00</t>
  </si>
  <si>
    <t>560,215.00</t>
  </si>
  <si>
    <t>542,800.00</t>
  </si>
  <si>
    <t>2,430,820.00</t>
  </si>
  <si>
    <t>9,801,000.00</t>
  </si>
  <si>
    <t>578,560.00</t>
  </si>
  <si>
    <t>376,601.37</t>
  </si>
  <si>
    <t>1,415,000.00</t>
  </si>
  <si>
    <t>1,812,556.22</t>
  </si>
  <si>
    <t>2,376,000.00</t>
  </si>
  <si>
    <t>3,255,190.00</t>
  </si>
  <si>
    <t>17,674,460.73</t>
  </si>
  <si>
    <t>15,707,792.00</t>
  </si>
  <si>
    <t>793,000.00</t>
  </si>
  <si>
    <t>1,270,000.00</t>
  </si>
  <si>
    <t>9,303,950.80</t>
  </si>
  <si>
    <t>598,825.00</t>
  </si>
  <si>
    <t>383,520.00</t>
  </si>
  <si>
    <t>542,054.90</t>
  </si>
  <si>
    <t>2,740,750.00</t>
  </si>
  <si>
    <t>4,059,000.00</t>
  </si>
  <si>
    <t>1,521,000.00</t>
  </si>
  <si>
    <t>14,925,000.00</t>
  </si>
  <si>
    <t>2,198,290.00</t>
  </si>
  <si>
    <t>1,840,000.00</t>
  </si>
  <si>
    <t>13,900,000.00</t>
  </si>
  <si>
    <t>2,099,814.00</t>
  </si>
  <si>
    <t>19,900,000.00</t>
  </si>
  <si>
    <t>1,308,728.00</t>
  </si>
  <si>
    <t>6,174,000.00</t>
  </si>
  <si>
    <t>378,911.60</t>
  </si>
  <si>
    <t>4,935,553.00</t>
  </si>
  <si>
    <t>7,508,282.50</t>
  </si>
  <si>
    <t>10,203,900.00</t>
  </si>
  <si>
    <t>1,160,000.00</t>
  </si>
  <si>
    <t>1,996,500.00</t>
  </si>
  <si>
    <t>1,324,200.00</t>
  </si>
  <si>
    <t>822,500.00</t>
  </si>
  <si>
    <t>5,301,913.90</t>
  </si>
  <si>
    <t>1,990,063.00</t>
  </si>
  <si>
    <t>31,975.00</t>
  </si>
  <si>
    <t>9,500,000.00</t>
  </si>
  <si>
    <t>328,538.00</t>
  </si>
  <si>
    <t>4,650,000.00</t>
  </si>
  <si>
    <t>5,207,000.00</t>
  </si>
  <si>
    <t>1,999,727.98</t>
  </si>
  <si>
    <t>228,733.00</t>
  </si>
  <si>
    <t>2,479,610.33</t>
  </si>
  <si>
    <t>10,983,000.00</t>
  </si>
  <si>
    <t>966,636.00</t>
  </si>
  <si>
    <t>487,757.00</t>
  </si>
  <si>
    <t>2,729,228.79</t>
  </si>
  <si>
    <t>1,440,000.00</t>
  </si>
  <si>
    <t>252,980.00</t>
  </si>
  <si>
    <t>1,648,000.00</t>
  </si>
  <si>
    <t>2,337,500.00</t>
  </si>
  <si>
    <t>495,000.00</t>
  </si>
  <si>
    <t>1,710,000.00</t>
  </si>
  <si>
    <t>311,468.00</t>
  </si>
  <si>
    <t>1,048,552.00</t>
  </si>
  <si>
    <t>486,000.00</t>
  </si>
  <si>
    <t>204,382.27</t>
  </si>
  <si>
    <t>14,732,878.71</t>
  </si>
  <si>
    <t>4,989,825.77</t>
  </si>
  <si>
    <t>2,243,839.50</t>
  </si>
  <si>
    <t>6,469,368.26</t>
  </si>
  <si>
    <t>321,480.00</t>
  </si>
  <si>
    <t>5,970,000.00</t>
  </si>
  <si>
    <t>19,989,750.56</t>
  </si>
  <si>
    <t>582,376.00</t>
  </si>
  <si>
    <t>8,400,000.00</t>
  </si>
  <si>
    <t>1,350,500.00</t>
  </si>
  <si>
    <t>12,146,967.54</t>
  </si>
  <si>
    <t>1,063,000.00</t>
  </si>
  <si>
    <t>2,545,920.00</t>
  </si>
  <si>
    <t>5,485,000.00</t>
  </si>
  <si>
    <t>2,352,000.00</t>
  </si>
  <si>
    <t>494,550.00</t>
  </si>
  <si>
    <t>6,667,055.00</t>
  </si>
  <si>
    <t>449,970.00</t>
  </si>
  <si>
    <t>10,600,000.00</t>
  </si>
  <si>
    <t>1,499,973.89</t>
  </si>
  <si>
    <t>1,842,468.75</t>
  </si>
  <si>
    <t>1,354,508.00</t>
  </si>
  <si>
    <t>1,599,978.64</t>
  </si>
  <si>
    <t>126,107.00</t>
  </si>
  <si>
    <t>488,601.60</t>
  </si>
  <si>
    <t>799,239.00</t>
  </si>
  <si>
    <t>7,248,080.45</t>
  </si>
  <si>
    <t>861,136.50</t>
  </si>
  <si>
    <t>1,499,980.00</t>
  </si>
  <si>
    <t>542,868.60</t>
  </si>
  <si>
    <t>2,484,660.31</t>
  </si>
  <si>
    <t>1,215,050.00</t>
  </si>
  <si>
    <t>266,200.00</t>
  </si>
  <si>
    <t>1,434,987.25</t>
  </si>
  <si>
    <t>436,230.00</t>
  </si>
  <si>
    <t>2,060,000.00</t>
  </si>
  <si>
    <t>32,830,000.00</t>
  </si>
  <si>
    <t>4,590,000.00</t>
  </si>
  <si>
    <t>6,624,800.00</t>
  </si>
  <si>
    <t>163,107.00</t>
  </si>
  <si>
    <t>920,673.00</t>
  </si>
  <si>
    <t>1,308,895.67</t>
  </si>
  <si>
    <t>143,843.84</t>
  </si>
  <si>
    <t>5,540,550.00</t>
  </si>
  <si>
    <t>2,953,705.00</t>
  </si>
  <si>
    <t>175,261.25</t>
  </si>
  <si>
    <t>9,650,000.00</t>
  </si>
  <si>
    <t>367,660.99</t>
  </si>
  <si>
    <t>867,401.50</t>
  </si>
  <si>
    <t>39,199,954.62</t>
  </si>
  <si>
    <t>498,499.00</t>
  </si>
  <si>
    <t>12,740,000.00</t>
  </si>
  <si>
    <t>112,950.00</t>
  </si>
  <si>
    <t>572,950.00</t>
  </si>
  <si>
    <t>506,362.28</t>
  </si>
  <si>
    <t>48,999,853.20</t>
  </si>
  <si>
    <t>1,143,600.00</t>
  </si>
  <si>
    <t>14,989,946.30</t>
  </si>
  <si>
    <t>9,382,500.00</t>
  </si>
  <si>
    <t>1,927,350.00</t>
  </si>
  <si>
    <t>4,989,680.44</t>
  </si>
  <si>
    <t>9,989,890.60</t>
  </si>
  <si>
    <t>4,235,000.00</t>
  </si>
  <si>
    <t>16,989,934.98</t>
  </si>
  <si>
    <t>22,498,957.56</t>
  </si>
  <si>
    <t>2,395,999.15</t>
  </si>
  <si>
    <t>16,743,873.31</t>
  </si>
  <si>
    <t>50,683,000.00</t>
  </si>
  <si>
    <t>2,854,500.00</t>
  </si>
  <si>
    <t>346,000.00</t>
  </si>
  <si>
    <t>13,720,000.00</t>
  </si>
  <si>
    <t>3,681,367.75</t>
  </si>
  <si>
    <t>1,272,160.00</t>
  </si>
  <si>
    <t>43,424,762.96</t>
  </si>
  <si>
    <t>139,923,944.95</t>
  </si>
  <si>
    <t>53,298,846.86</t>
  </si>
  <si>
    <t>96,499,079.66</t>
  </si>
  <si>
    <t>1,337,399.00</t>
  </si>
  <si>
    <t>12,554,650.00</t>
  </si>
  <si>
    <t>1,246,676.60</t>
  </si>
  <si>
    <t>96,498,691.77</t>
  </si>
  <si>
    <t>286,350.00</t>
  </si>
  <si>
    <t>57,899,843.81</t>
  </si>
  <si>
    <t>1,188,000.00</t>
  </si>
  <si>
    <t>57,899,874.60</t>
  </si>
  <si>
    <t>129,180.00</t>
  </si>
  <si>
    <t>4,086,764.95</t>
  </si>
  <si>
    <t>505,700.00</t>
  </si>
  <si>
    <t>12,436,807.73</t>
  </si>
  <si>
    <t>5,573,000.00</t>
  </si>
  <si>
    <t>236,106.00</t>
  </si>
  <si>
    <t>3,499,386.34</t>
  </si>
  <si>
    <t>1,509,920.00</t>
  </si>
  <si>
    <t>1,198,050.00</t>
  </si>
  <si>
    <t>85,375.00</t>
  </si>
  <si>
    <t>2,108,250.00</t>
  </si>
  <si>
    <t>4,121,824.00</t>
  </si>
  <si>
    <t>1,280,000.00</t>
  </si>
  <si>
    <t>1,124,280.00</t>
  </si>
  <si>
    <t>1,033,000.00</t>
  </si>
  <si>
    <t>352,635.00</t>
  </si>
  <si>
    <t>83,378.00</t>
  </si>
  <si>
    <t>1,172,952.00</t>
  </si>
  <si>
    <t>3,183,092.00</t>
  </si>
  <si>
    <t>1,999,999.40</t>
  </si>
  <si>
    <t>7,197,999.58</t>
  </si>
  <si>
    <t>3,253,441.00</t>
  </si>
  <si>
    <t>2,869,671.00</t>
  </si>
  <si>
    <t>3,999,999.97</t>
  </si>
  <si>
    <t>1,982,973.00</t>
  </si>
  <si>
    <t>499,999.07</t>
  </si>
  <si>
    <t>1,788,495.00</t>
  </si>
  <si>
    <t>833,100.00</t>
  </si>
  <si>
    <t>2,793,040.00</t>
  </si>
  <si>
    <t>1,118,275.00</t>
  </si>
  <si>
    <t>1,798,000.00</t>
  </si>
  <si>
    <t>697,840.00</t>
  </si>
  <si>
    <t>19,899,529.70</t>
  </si>
  <si>
    <t>3,896,804.63</t>
  </si>
  <si>
    <t>17,909,754.21</t>
  </si>
  <si>
    <t>154,109.00</t>
  </si>
  <si>
    <t>17,909,541.69</t>
  </si>
  <si>
    <t>11,879,985.18</t>
  </si>
  <si>
    <t>232,021.50</t>
  </si>
  <si>
    <t>2,499,637.52</t>
  </si>
  <si>
    <t>1,600,208.00</t>
  </si>
  <si>
    <t>1,499,465.13</t>
  </si>
  <si>
    <t>1,499,553.80</t>
  </si>
  <si>
    <t>292,656.00</t>
  </si>
  <si>
    <t>1,544,400.00</t>
  </si>
  <si>
    <t>91,376.76</t>
  </si>
  <si>
    <t>335,445.00</t>
  </si>
  <si>
    <t>999,863.72</t>
  </si>
  <si>
    <t>294,200.00</t>
  </si>
  <si>
    <t>1,849,934.57</t>
  </si>
  <si>
    <t>12,869,536.62</t>
  </si>
  <si>
    <t>395,800.00</t>
  </si>
  <si>
    <t>2,664,039.96</t>
  </si>
  <si>
    <t>210,112.50</t>
  </si>
  <si>
    <t>350,342.00</t>
  </si>
  <si>
    <t>423,192.00</t>
  </si>
  <si>
    <t>430,655.01</t>
  </si>
  <si>
    <t>50,585.00</t>
  </si>
  <si>
    <t>476,218.00</t>
  </si>
  <si>
    <t>835,450.63</t>
  </si>
  <si>
    <t>1,095,000.00</t>
  </si>
  <si>
    <t>224,198.00</t>
  </si>
  <si>
    <t>876,000.00</t>
  </si>
  <si>
    <t>215,560.00</t>
  </si>
  <si>
    <t>9,708,829.70</t>
  </si>
  <si>
    <t>7,700,000.00</t>
  </si>
  <si>
    <t>144,143.00</t>
  </si>
  <si>
    <t>2,697,256.47</t>
  </si>
  <si>
    <t>196,912.00</t>
  </si>
  <si>
    <t>1,318,234.84</t>
  </si>
  <si>
    <t>298,889.93</t>
  </si>
  <si>
    <t>1,720,000.00</t>
  </si>
  <si>
    <t>2,662,660.00</t>
  </si>
  <si>
    <t>63,670.00</t>
  </si>
  <si>
    <t>469,818.20</t>
  </si>
  <si>
    <t>1,360,000.00</t>
  </si>
  <si>
    <t>4,906,162.74</t>
  </si>
  <si>
    <t>902,965.10</t>
  </si>
  <si>
    <t>474,293.09</t>
  </si>
  <si>
    <t>1,744,985.00</t>
  </si>
  <si>
    <t>380,430.00</t>
  </si>
  <si>
    <t>970,787.46</t>
  </si>
  <si>
    <t>3,934,975.95</t>
  </si>
  <si>
    <t>915,887.05</t>
  </si>
  <si>
    <t>362,000.00</t>
  </si>
  <si>
    <t>4,534,054.89</t>
  </si>
  <si>
    <t>1,182,000.00</t>
  </si>
  <si>
    <t>1,999,945.27</t>
  </si>
  <si>
    <t>4,712,000.00</t>
  </si>
  <si>
    <t>1,067,163.83</t>
  </si>
  <si>
    <t>1,900,145.00</t>
  </si>
  <si>
    <t>2,361,572.00</t>
  </si>
  <si>
    <t>1,999,705.69</t>
  </si>
  <si>
    <t>2,210,000.00</t>
  </si>
  <si>
    <t>154,325.00</t>
  </si>
  <si>
    <t>339,048.00</t>
  </si>
  <si>
    <t>5,006,453.60</t>
  </si>
  <si>
    <t>14,184,194.36</t>
  </si>
  <si>
    <t>1,199,999.99</t>
  </si>
  <si>
    <t>499,909.86</t>
  </si>
  <si>
    <t>1,477,500.00</t>
  </si>
  <si>
    <t>725,600.00</t>
  </si>
  <si>
    <t>322,871.00</t>
  </si>
  <si>
    <t>904,928.00</t>
  </si>
  <si>
    <t>599,979.75</t>
  </si>
  <si>
    <t>1,261,517.77</t>
  </si>
  <si>
    <t>5,222,500.00</t>
  </si>
  <si>
    <t>414,186.00</t>
  </si>
  <si>
    <t>1,883,019.60</t>
  </si>
  <si>
    <t>3,673,476.00</t>
  </si>
  <si>
    <t>2,499,999.98</t>
  </si>
  <si>
    <t>1,512,972.50</t>
  </si>
  <si>
    <t>8,065,210.00</t>
  </si>
  <si>
    <t>91,859.00</t>
  </si>
  <si>
    <t>842,060.00</t>
  </si>
  <si>
    <t>255,970.00</t>
  </si>
  <si>
    <t>1,007,000.00</t>
  </si>
  <si>
    <t>628,647.60</t>
  </si>
  <si>
    <t>2,862,940.00</t>
  </si>
  <si>
    <t>2,187,332.01</t>
  </si>
  <si>
    <t>205,000.00</t>
  </si>
  <si>
    <t>825,792.05</t>
  </si>
  <si>
    <t>394,377.00</t>
  </si>
  <si>
    <t>1,999,999.98</t>
  </si>
  <si>
    <t>349,413.36</t>
  </si>
  <si>
    <t>4,999,999.98</t>
  </si>
  <si>
    <t>6,900,000.00</t>
  </si>
  <si>
    <t>1,209,520.05</t>
  </si>
  <si>
    <t>643,286.00</t>
  </si>
  <si>
    <t>511,410.00</t>
  </si>
  <si>
    <t>1,381,921.10</t>
  </si>
  <si>
    <t>4,041,557.00</t>
  </si>
  <si>
    <t>19,481,973.12</t>
  </si>
  <si>
    <t>6,917,507.32</t>
  </si>
  <si>
    <t>335,033.45</t>
  </si>
  <si>
    <t>598,817.15</t>
  </si>
  <si>
    <t>503,343.00</t>
  </si>
  <si>
    <t>36,802,364.37</t>
  </si>
  <si>
    <t>41,609,099.74</t>
  </si>
  <si>
    <t>127,775.00</t>
  </si>
  <si>
    <t>6,910,000.00</t>
  </si>
  <si>
    <t>2,270,000.00</t>
  </si>
  <si>
    <t>12,775,000.00</t>
  </si>
  <si>
    <t>1,963,000.00</t>
  </si>
  <si>
    <t>6,866,000.00</t>
  </si>
  <si>
    <t>2,138,969.00</t>
  </si>
  <si>
    <t>5,160,000.00</t>
  </si>
  <si>
    <t>2,505,185.00</t>
  </si>
  <si>
    <t>1,247,008.00</t>
  </si>
  <si>
    <t>1,335,000.00</t>
  </si>
  <si>
    <t>1,092,360.00</t>
  </si>
  <si>
    <t>139,050.00</t>
  </si>
  <si>
    <t>2,785,200.00</t>
  </si>
  <si>
    <t>6,717,365.00</t>
  </si>
  <si>
    <t>153,406.59</t>
  </si>
  <si>
    <t>261,479.00</t>
  </si>
  <si>
    <t>336,960.00</t>
  </si>
  <si>
    <t>106,500.00</t>
  </si>
  <si>
    <t>149,445.00</t>
  </si>
  <si>
    <t>980,960.00</t>
  </si>
  <si>
    <t>526,800.00</t>
  </si>
  <si>
    <t>39,725.00</t>
  </si>
  <si>
    <t>2,569,750.00</t>
  </si>
  <si>
    <t>219,950.62</t>
  </si>
  <si>
    <t>5,317,000.00</t>
  </si>
  <si>
    <t>1,502,400.00</t>
  </si>
  <si>
    <t>1,025,000.00</t>
  </si>
  <si>
    <t>29,499,363.00</t>
  </si>
  <si>
    <t>413,517.00</t>
  </si>
  <si>
    <t>1,033,100.00</t>
  </si>
  <si>
    <t>3,134,502.00</t>
  </si>
  <si>
    <t>1,419,616.00</t>
  </si>
  <si>
    <t>1,224,279.35</t>
  </si>
  <si>
    <t>1,182,400.00</t>
  </si>
  <si>
    <t>2,999,931.34</t>
  </si>
  <si>
    <t>85,700.00</t>
  </si>
  <si>
    <t>636,233.54</t>
  </si>
  <si>
    <t>4,086,758.80</t>
  </si>
  <si>
    <t>4,072,840.93</t>
  </si>
  <si>
    <t>514,990.00</t>
  </si>
  <si>
    <t>750,750.00</t>
  </si>
  <si>
    <t>89,099,998.35</t>
  </si>
  <si>
    <t>755,000.00</t>
  </si>
  <si>
    <t>2,965,333.85</t>
  </si>
  <si>
    <t>411,300.00</t>
  </si>
  <si>
    <t>244,950.00</t>
  </si>
  <si>
    <t>6,120,431.21</t>
  </si>
  <si>
    <t>141,339.00</t>
  </si>
  <si>
    <t>93,219.50</t>
  </si>
  <si>
    <t>1,870,000.00</t>
  </si>
  <si>
    <t>127,951.38</t>
  </si>
  <si>
    <t>9,527,485.00</t>
  </si>
  <si>
    <t>402,760.00</t>
  </si>
  <si>
    <t>37,110,900.06</t>
  </si>
  <si>
    <t>1,717,870.00</t>
  </si>
  <si>
    <t>1,895,795.24</t>
  </si>
  <si>
    <t>1,824,135.61</t>
  </si>
  <si>
    <t>9,999,400.00</t>
  </si>
  <si>
    <t>49,996,219.98</t>
  </si>
  <si>
    <t>399,999.71</t>
  </si>
  <si>
    <t>4,086,756.90</t>
  </si>
  <si>
    <t>16,723,101.12</t>
  </si>
  <si>
    <t>30,489,582.00</t>
  </si>
  <si>
    <t>645,200.00</t>
  </si>
  <si>
    <t>12,852,675.00</t>
  </si>
  <si>
    <t>123,575.00</t>
  </si>
  <si>
    <t>5,999,429.62</t>
  </si>
  <si>
    <t>2,385,734.50</t>
  </si>
  <si>
    <t>4,613,687.39</t>
  </si>
  <si>
    <t>605,095.00</t>
  </si>
  <si>
    <t>122,085.00</t>
  </si>
  <si>
    <t>999,744.16</t>
  </si>
  <si>
    <t>77,200,000.00</t>
  </si>
  <si>
    <t>27,738,501.11</t>
  </si>
  <si>
    <t>247,091.00</t>
  </si>
  <si>
    <t>264,125.00</t>
  </si>
  <si>
    <t>142,317,877.72</t>
  </si>
  <si>
    <t>1,224,290.00</t>
  </si>
  <si>
    <t>68,584.50</t>
  </si>
  <si>
    <t>951,387.98</t>
  </si>
  <si>
    <t>51,580,848.00</t>
  </si>
  <si>
    <t>26,765,742.16</t>
  </si>
  <si>
    <t>2,809,057.62</t>
  </si>
  <si>
    <t>899,693.74</t>
  </si>
  <si>
    <t>167,020,644.66</t>
  </si>
  <si>
    <t>1,641,302.12</t>
  </si>
  <si>
    <t>1,360,129.00</t>
  </si>
  <si>
    <t>48,152,300.00</t>
  </si>
  <si>
    <t>386,425.00</t>
  </si>
  <si>
    <t>499,702.39</t>
  </si>
  <si>
    <t>147,595.00</t>
  </si>
  <si>
    <t>2,927,757.86</t>
  </si>
  <si>
    <t>2,999,753.45</t>
  </si>
  <si>
    <t>3,675,000.00</t>
  </si>
  <si>
    <t>35,000,000.00</t>
  </si>
  <si>
    <t>2,188,000.00</t>
  </si>
  <si>
    <t>3,624,364.50</t>
  </si>
  <si>
    <t>1,499,840.98</t>
  </si>
  <si>
    <t>4,185,999.99</t>
  </si>
  <si>
    <t>2,754,730.83</t>
  </si>
  <si>
    <t>13,412,450.00</t>
  </si>
  <si>
    <t>2,440,000.00</t>
  </si>
  <si>
    <t>13,413,641.66</t>
  </si>
  <si>
    <t>605,065.88</t>
  </si>
  <si>
    <t>17,820,000.00</t>
  </si>
  <si>
    <t>2,050,000.00</t>
  </si>
  <si>
    <t>113,400.00</t>
  </si>
  <si>
    <t>208,883.30</t>
  </si>
  <si>
    <t>1,500,485.48</t>
  </si>
  <si>
    <t>249,077.41</t>
  </si>
  <si>
    <t>497,600.00</t>
  </si>
  <si>
    <t>4,305,279.05</t>
  </si>
  <si>
    <t>2,870,630.00</t>
  </si>
  <si>
    <t>918,750.00</t>
  </si>
  <si>
    <t>1,156,000.00</t>
  </si>
  <si>
    <t>860,000.00</t>
  </si>
  <si>
    <t>1,070,000.00</t>
  </si>
  <si>
    <t>1,408,951.00</t>
  </si>
  <si>
    <t>749,942.50</t>
  </si>
  <si>
    <t>13,414,535.00</t>
  </si>
  <si>
    <t>1,505,678.58</t>
  </si>
  <si>
    <t>1,655,580.05</t>
  </si>
  <si>
    <t>1,500,030.59</t>
  </si>
  <si>
    <t>3,000,007.71</t>
  </si>
  <si>
    <t>309,297.81</t>
  </si>
  <si>
    <t>875,050.00</t>
  </si>
  <si>
    <t>4,086,685.00</t>
  </si>
  <si>
    <t>1,160,340.00</t>
  </si>
  <si>
    <t>235,000,000.00</t>
  </si>
  <si>
    <t>104,442.00</t>
  </si>
  <si>
    <t>14,047,325.00</t>
  </si>
  <si>
    <t>499,999.87</t>
  </si>
  <si>
    <t>4,135,000.00</t>
  </si>
  <si>
    <t>3,957,000.00</t>
  </si>
  <si>
    <t>14,706,000.00</t>
  </si>
  <si>
    <t>4,110,424.55</t>
  </si>
  <si>
    <t>2,000,250.00</t>
  </si>
  <si>
    <t>249,425.00</t>
  </si>
  <si>
    <t>299,973.74</t>
  </si>
  <si>
    <t>499,997.80</t>
  </si>
  <si>
    <t>999,980.91</t>
  </si>
  <si>
    <t>1,796,375.83</t>
  </si>
  <si>
    <t>499,976.59</t>
  </si>
  <si>
    <t>3,120,000.00</t>
  </si>
  <si>
    <t>885,366.40</t>
  </si>
  <si>
    <t>1,990,000.00</t>
  </si>
  <si>
    <t>999,995.95</t>
  </si>
  <si>
    <t>3,401,565.84</t>
  </si>
  <si>
    <t>24,391,826.00</t>
  </si>
  <si>
    <t>1,998,427.23</t>
  </si>
  <si>
    <t>69,715,900.00</t>
  </si>
  <si>
    <t>4,574,087.39</t>
  </si>
  <si>
    <t>20,080,000.00</t>
  </si>
  <si>
    <t>499,422.30</t>
  </si>
  <si>
    <t>195,670.00</t>
  </si>
  <si>
    <t>2,572,290.63</t>
  </si>
  <si>
    <t>84,789,384.00</t>
  </si>
  <si>
    <t>595,657.93</t>
  </si>
  <si>
    <t>1,548,000.00</t>
  </si>
  <si>
    <t>956,000.00</t>
  </si>
  <si>
    <t>1,297,034.97</t>
  </si>
  <si>
    <t>1,889,155.13</t>
  </si>
  <si>
    <t>1,960,423.88</t>
  </si>
  <si>
    <t>6,824,870.09</t>
  </si>
  <si>
    <t>106,829.00</t>
  </si>
  <si>
    <t>1,879,442.63</t>
  </si>
  <si>
    <t>4,999,960.00</t>
  </si>
  <si>
    <t>263,975.00</t>
  </si>
  <si>
    <t>4,999,940.00</t>
  </si>
  <si>
    <t>1,999,980.00</t>
  </si>
  <si>
    <t>4,086,718.25</t>
  </si>
  <si>
    <t>2,967,099.39</t>
  </si>
  <si>
    <t>1,489,410.51</t>
  </si>
  <si>
    <t>332,967.82</t>
  </si>
  <si>
    <t>285,800.00</t>
  </si>
  <si>
    <t>14,505,752.97</t>
  </si>
  <si>
    <t>944,625.00</t>
  </si>
  <si>
    <t>2,999,997.00</t>
  </si>
  <si>
    <t>104,055.94</t>
  </si>
  <si>
    <t>1,058,520.00</t>
  </si>
  <si>
    <t>1,731,000.00</t>
  </si>
  <si>
    <t>5,026,558.50</t>
  </si>
  <si>
    <t>2,235,000.00</t>
  </si>
  <si>
    <t>2,366,118.00</t>
  </si>
  <si>
    <t>36,600,000.00</t>
  </si>
  <si>
    <t>3,556,000.00</t>
  </si>
  <si>
    <t>23,920,000.00</t>
  </si>
  <si>
    <t>46,250,000.00</t>
  </si>
  <si>
    <t>2,510,000.00</t>
  </si>
  <si>
    <t>133,056.00</t>
  </si>
  <si>
    <t>2,490,984.00</t>
  </si>
  <si>
    <t>1,976,500.00</t>
  </si>
  <si>
    <t>14,200.00</t>
  </si>
  <si>
    <t>2,500,081.66</t>
  </si>
  <si>
    <t>2,061,774.00</t>
  </si>
  <si>
    <t>2,530,000.00</t>
  </si>
  <si>
    <t>1,109,930.00</t>
  </si>
  <si>
    <t>1,760,000.00</t>
  </si>
  <si>
    <t>538,600.00</t>
  </si>
  <si>
    <t>29,000,500.00</t>
  </si>
  <si>
    <t>358,403.00</t>
  </si>
  <si>
    <t>1,191,424.90</t>
  </si>
  <si>
    <t>1,936,238.00</t>
  </si>
  <si>
    <t>8,258,700.00</t>
  </si>
  <si>
    <t>6,087,293.30</t>
  </si>
  <si>
    <t>511,838.72</t>
  </si>
  <si>
    <t>1,460,025.00</t>
  </si>
  <si>
    <t>608,315.00</t>
  </si>
  <si>
    <t>6,193,972.01</t>
  </si>
  <si>
    <t>395,900.78</t>
  </si>
  <si>
    <t>2,887,049.50</t>
  </si>
  <si>
    <t>13,257,975.29</t>
  </si>
  <si>
    <t>1,217,540.75</t>
  </si>
  <si>
    <t>6,974,786.00</t>
  </si>
  <si>
    <t>14,654,980.95</t>
  </si>
  <si>
    <t>299,969.00</t>
  </si>
  <si>
    <t>2,114,677.89</t>
  </si>
  <si>
    <t>99,224.33</t>
  </si>
  <si>
    <t>616,053.49</t>
  </si>
  <si>
    <t>298,200.00</t>
  </si>
  <si>
    <t>195,267.19</t>
  </si>
  <si>
    <t>1,621,893.66</t>
  </si>
  <si>
    <t>4,076,505.90</t>
  </si>
  <si>
    <t>283,505.36</t>
  </si>
  <si>
    <t>80,900.00</t>
  </si>
  <si>
    <t>3,865,401.47</t>
  </si>
  <si>
    <t>12,870,000.00</t>
  </si>
  <si>
    <t>1,554,353.00</t>
  </si>
  <si>
    <t>6,103,400.00</t>
  </si>
  <si>
    <t>9,500,400.00</t>
  </si>
  <si>
    <t>133,650.00</t>
  </si>
  <si>
    <t>2,969,996.60</t>
  </si>
  <si>
    <t>1,763,900.05</t>
  </si>
  <si>
    <t>1,979,989.81</t>
  </si>
  <si>
    <t>4,608,000.00</t>
  </si>
  <si>
    <t>2,969,995.54</t>
  </si>
  <si>
    <t>6,375.00</t>
  </si>
  <si>
    <t>62,000.01</t>
  </si>
  <si>
    <t>1,199,999.78</t>
  </si>
  <si>
    <t>4,115.00</t>
  </si>
  <si>
    <t>6,700.00</t>
  </si>
  <si>
    <t>8,750.00</t>
  </si>
  <si>
    <t>1,140,800.00</t>
  </si>
  <si>
    <t>55,025.00</t>
  </si>
  <si>
    <t>493,750.00</t>
  </si>
  <si>
    <t>68,796,780.00</t>
  </si>
  <si>
    <t>804,500.00</t>
  </si>
  <si>
    <t>497,404.00</t>
  </si>
  <si>
    <t>200,759.58</t>
  </si>
  <si>
    <t>6,462,500.00</t>
  </si>
  <si>
    <t>150,063,628.50</t>
  </si>
  <si>
    <t>3,014,097.34</t>
  </si>
  <si>
    <t>3,895,500.00</t>
  </si>
  <si>
    <t>4,620,000.00</t>
  </si>
  <si>
    <t>40,150,000.00</t>
  </si>
  <si>
    <t>554,400.00</t>
  </si>
  <si>
    <t>1,084,000.00</t>
  </si>
  <si>
    <t>6,947,952.50</t>
  </si>
  <si>
    <t>452,950.00</t>
  </si>
  <si>
    <t>125,025.00</t>
  </si>
  <si>
    <t>1,572,022.83</t>
  </si>
  <si>
    <t>3,014,449.16</t>
  </si>
  <si>
    <t>9,998,655.93</t>
  </si>
  <si>
    <t>224,925.00</t>
  </si>
  <si>
    <t>198,280.20</t>
  </si>
  <si>
    <t>39,985,000.00</t>
  </si>
  <si>
    <t>1,498,600.00</t>
  </si>
  <si>
    <t>27,559,453.25</t>
  </si>
  <si>
    <t>48,999,010.74</t>
  </si>
  <si>
    <t>390,500.00</t>
  </si>
  <si>
    <t>1,538,000.00</t>
  </si>
  <si>
    <t>50,034,151.00</t>
  </si>
  <si>
    <t>4,837,715.29</t>
  </si>
  <si>
    <t>2,495,157.44</t>
  </si>
  <si>
    <t>4,903,240.00</t>
  </si>
  <si>
    <t>39,198,912.72</t>
  </si>
  <si>
    <t>9,999,998.99</t>
  </si>
  <si>
    <t>393,475.00</t>
  </si>
  <si>
    <t>2,449,711.07</t>
  </si>
  <si>
    <t>1,996,857.32</t>
  </si>
  <si>
    <t>3,429,746.50</t>
  </si>
  <si>
    <t>24,499,642.72</t>
  </si>
  <si>
    <t>1,979,992.35</t>
  </si>
  <si>
    <t>1,959,907.58</t>
  </si>
  <si>
    <t>3,919,597.66</t>
  </si>
  <si>
    <t>4,899,809.16</t>
  </si>
  <si>
    <t>5,879,964.45</t>
  </si>
  <si>
    <t>1,494,675.00</t>
  </si>
  <si>
    <t>999,995.46</t>
  </si>
  <si>
    <t>710,639.00</t>
  </si>
  <si>
    <t>2,939,635.30</t>
  </si>
  <si>
    <t>9,799,983.16</t>
  </si>
  <si>
    <t>54,998,006.00</t>
  </si>
  <si>
    <t>9,799,983.51</t>
  </si>
  <si>
    <t>19,599,912.30</t>
  </si>
  <si>
    <t>14,699,976.83</t>
  </si>
  <si>
    <t>24,499,853.41</t>
  </si>
  <si>
    <t>2,999,918.06</t>
  </si>
  <si>
    <t>1,699,846.08</t>
  </si>
  <si>
    <t>34,960,941.05</t>
  </si>
  <si>
    <t>17,999,999.60</t>
  </si>
  <si>
    <t>19,599,974.92</t>
  </si>
  <si>
    <t>1,959,998.29</t>
  </si>
  <si>
    <t>2,858,000.00</t>
  </si>
  <si>
    <t>1,856,581.50</t>
  </si>
  <si>
    <t>1,001,000.00</t>
  </si>
  <si>
    <t>2,499,964.66</t>
  </si>
  <si>
    <t>4,750,000.00</t>
  </si>
  <si>
    <t>2,108,423.00</t>
  </si>
  <si>
    <t>377,363.97</t>
  </si>
  <si>
    <t>111,900.00</t>
  </si>
  <si>
    <t>14,699,946.31</t>
  </si>
  <si>
    <t>19,599,962.23</t>
  </si>
  <si>
    <t>4,409,913.41</t>
  </si>
  <si>
    <t>29,399,994.96</t>
  </si>
  <si>
    <t>19,599,840.18</t>
  </si>
  <si>
    <t>29,399,928.52</t>
  </si>
  <si>
    <t>218,800.00</t>
  </si>
  <si>
    <t>3,429,925.57</t>
  </si>
  <si>
    <t>791,800.00</t>
  </si>
  <si>
    <t>29,399,766.34</t>
  </si>
  <si>
    <t>377,363.98</t>
  </si>
  <si>
    <t>29,399,968.24</t>
  </si>
  <si>
    <t>70,122.00</t>
  </si>
  <si>
    <t>307,475.00</t>
  </si>
  <si>
    <t>9,799,938.65</t>
  </si>
  <si>
    <t>999,967.50</t>
  </si>
  <si>
    <t>9,899,153.99</t>
  </si>
  <si>
    <t>2,049,503.00</t>
  </si>
  <si>
    <t>4,999,952.00</t>
  </si>
  <si>
    <t>4,378,629.02</t>
  </si>
  <si>
    <t>999,993.75</t>
  </si>
  <si>
    <t>27,000,000.00</t>
  </si>
  <si>
    <t>3,022,204.00</t>
  </si>
  <si>
    <t>499,964.06</t>
  </si>
  <si>
    <t>2,496,380.19</t>
  </si>
  <si>
    <t>1,499,990.63</t>
  </si>
  <si>
    <t>999,999.84</t>
  </si>
  <si>
    <t>14,800,102.86</t>
  </si>
  <si>
    <t>1,649,382.23</t>
  </si>
  <si>
    <t>215,800.00</t>
  </si>
  <si>
    <t>1,846,000.00</t>
  </si>
  <si>
    <t>2,527,000.00</t>
  </si>
  <si>
    <t>1,948,668.75</t>
  </si>
  <si>
    <t>313,500.00</t>
  </si>
  <si>
    <t>4,087,275.00</t>
  </si>
  <si>
    <t>2,127,053.00</t>
  </si>
  <si>
    <t>2,601,510.00</t>
  </si>
  <si>
    <t>322,527.19</t>
  </si>
  <si>
    <t>1,241,365.13</t>
  </si>
  <si>
    <t>1,092,063.00</t>
  </si>
  <si>
    <t>811,650.00</t>
  </si>
  <si>
    <t>1,645,710.00</t>
  </si>
  <si>
    <t>698,600.00</t>
  </si>
  <si>
    <t>3,199,334.25</t>
  </si>
  <si>
    <t>370,421.69</t>
  </si>
  <si>
    <t>14,593,139.00</t>
  </si>
  <si>
    <t>763,984.00</t>
  </si>
  <si>
    <t>786,548.73</t>
  </si>
  <si>
    <t>6,432,379.85</t>
  </si>
  <si>
    <t>1,235,239.69</t>
  </si>
  <si>
    <t>1,341,182.06</t>
  </si>
  <si>
    <t>3,520,057.00</t>
  </si>
  <si>
    <t>3,433,520.00</t>
  </si>
  <si>
    <t>359,684.00</t>
  </si>
  <si>
    <t>1,436,847.50</t>
  </si>
  <si>
    <t>296,220.72</t>
  </si>
  <si>
    <t>1,242,720.83</t>
  </si>
  <si>
    <t>1,076,344.34</t>
  </si>
  <si>
    <t>4,354,287.00</t>
  </si>
  <si>
    <t>3,859,520.00</t>
  </si>
  <si>
    <t>4,146,000.00</t>
  </si>
  <si>
    <t>37,193,219.50</t>
  </si>
  <si>
    <t>531,100.00</t>
  </si>
  <si>
    <t>3,478,781.25</t>
  </si>
  <si>
    <t>967,150.00</t>
  </si>
  <si>
    <t>1,208,044.69</t>
  </si>
  <si>
    <t>13,887,088.64</t>
  </si>
  <si>
    <t>723,469.69</t>
  </si>
  <si>
    <t>1,300,184.25</t>
  </si>
  <si>
    <t>672,065.63</t>
  </si>
  <si>
    <t>1,492,579.76</t>
  </si>
  <si>
    <t>64,700.00</t>
  </si>
  <si>
    <t>1,724,580.00</t>
  </si>
  <si>
    <t>782,131.88</t>
  </si>
  <si>
    <t>329,140.00</t>
  </si>
  <si>
    <t>676,109.47</t>
  </si>
  <si>
    <t>3,289,741.91</t>
  </si>
  <si>
    <t>679,350.00</t>
  </si>
  <si>
    <t>487,611.46</t>
  </si>
  <si>
    <t>4,160,000.00</t>
  </si>
  <si>
    <t>2,587,003.13</t>
  </si>
  <si>
    <t>1,330,214.81</t>
  </si>
  <si>
    <t>3,044,343.75</t>
  </si>
  <si>
    <t>3,502,399.64</t>
  </si>
  <si>
    <t>1,493,329.03</t>
  </si>
  <si>
    <t>672,826.88</t>
  </si>
  <si>
    <t>4,735,544.38</t>
  </si>
  <si>
    <t>1,310,823.24</t>
  </si>
  <si>
    <t>426,298.69</t>
  </si>
  <si>
    <t>1,181,192.79</t>
  </si>
  <si>
    <t>1,972,950.00</t>
  </si>
  <si>
    <t>268,215.94</t>
  </si>
  <si>
    <t>1,310,000.00</t>
  </si>
  <si>
    <t>425,512.50</t>
  </si>
  <si>
    <t>1,788,000.00</t>
  </si>
  <si>
    <t>1,906,460.00</t>
  </si>
  <si>
    <t>1,906,734.38</t>
  </si>
  <si>
    <t>269,961.56</t>
  </si>
  <si>
    <t>213,960.00</t>
  </si>
  <si>
    <t>1,494,552.69</t>
  </si>
  <si>
    <t>1,286,680.00</t>
  </si>
  <si>
    <t>2,696,859.38</t>
  </si>
  <si>
    <t>1,098,860.00</t>
  </si>
  <si>
    <t>1,494,752.87</t>
  </si>
  <si>
    <t>1,303,000.00</t>
  </si>
  <si>
    <t>2,499,999.70</t>
  </si>
  <si>
    <t>1,492,225.71</t>
  </si>
  <si>
    <t>139,978.60</t>
  </si>
  <si>
    <t>1,631,720.00</t>
  </si>
  <si>
    <t>10,159,540,045.42</t>
  </si>
  <si>
    <t>2,957,537.16</t>
  </si>
  <si>
    <t>370,541.00</t>
  </si>
  <si>
    <t>96,499,974.20</t>
  </si>
  <si>
    <t>397,983.00</t>
  </si>
  <si>
    <t>1,752,017.00</t>
  </si>
  <si>
    <t>1,919,865.00</t>
  </si>
  <si>
    <t>2,284,143.67</t>
  </si>
  <si>
    <t>3,460,987.02</t>
  </si>
  <si>
    <t>7,300,000.00</t>
  </si>
  <si>
    <t>2,080,000.00</t>
  </si>
  <si>
    <t>2,373,322.00</t>
  </si>
  <si>
    <t>1,909,101.62</t>
  </si>
  <si>
    <t>1,473,550.31</t>
  </si>
  <si>
    <t>370,750.00</t>
  </si>
  <si>
    <t>511,200.00</t>
  </si>
  <si>
    <t>2,147,000.00</t>
  </si>
  <si>
    <t>1,999,765.99</t>
  </si>
  <si>
    <t>3,830,259.73</t>
  </si>
  <si>
    <t>60,054,220.00</t>
  </si>
  <si>
    <t>1,379,999.99</t>
  </si>
  <si>
    <t>51,600.00</t>
  </si>
  <si>
    <t>2,341,500.00</t>
  </si>
  <si>
    <t>2,664,122.00</t>
  </si>
  <si>
    <t>269,500.00</t>
  </si>
  <si>
    <t>999,993.74</t>
  </si>
  <si>
    <t>4,086,775.12</t>
  </si>
  <si>
    <t>2,207,034.38</t>
  </si>
  <si>
    <t>1,618,400.00</t>
  </si>
  <si>
    <t>18,038,000.00</t>
  </si>
  <si>
    <t>7,779,918.50</t>
  </si>
  <si>
    <t>27,355,000.00</t>
  </si>
  <si>
    <t>72,200,000.00</t>
  </si>
  <si>
    <t>26,200,000.00</t>
  </si>
  <si>
    <t>241,753.74</t>
  </si>
  <si>
    <t>1,833,092.63</t>
  </si>
  <si>
    <t>1,899,974.00</t>
  </si>
  <si>
    <t>3,489,730.91</t>
  </si>
  <si>
    <t>673,100.00</t>
  </si>
  <si>
    <t>1,029,784.72</t>
  </si>
  <si>
    <t>1,890,700.00</t>
  </si>
  <si>
    <t>1,453,759.60</t>
  </si>
  <si>
    <t>15,345,627.00</t>
  </si>
  <si>
    <t>263,350.00</t>
  </si>
  <si>
    <t>5,900,000.00</t>
  </si>
  <si>
    <t>188,961.00</t>
  </si>
  <si>
    <t>1,003,020.00</t>
  </si>
  <si>
    <t>1,984,334.11</t>
  </si>
  <si>
    <t>1,160,558.96</t>
  </si>
  <si>
    <t>1,235,106.36</t>
  </si>
  <si>
    <t>789,850.00</t>
  </si>
  <si>
    <t>1,066,870.00</t>
  </si>
  <si>
    <t>3,567,000.00</t>
  </si>
  <si>
    <t>261,394.88</t>
  </si>
  <si>
    <t>7,766,500.00</t>
  </si>
  <si>
    <t>1,592,266.50</t>
  </si>
  <si>
    <t>1,037,633.28</t>
  </si>
  <si>
    <t>588,791.44</t>
  </si>
  <si>
    <t>1,878,750.00</t>
  </si>
  <si>
    <t>710,940.00</t>
  </si>
  <si>
    <t>323,775.18</t>
  </si>
  <si>
    <t>859,293.75</t>
  </si>
  <si>
    <t>73,012.00</t>
  </si>
  <si>
    <t>427,096.69</t>
  </si>
  <si>
    <t>371,134.02</t>
  </si>
  <si>
    <t>85,700.12</t>
  </si>
  <si>
    <t>73,013.00</t>
  </si>
  <si>
    <t>9,408,000.00</t>
  </si>
  <si>
    <t>9,224,436.35</t>
  </si>
  <si>
    <t>43,365,000.00</t>
  </si>
  <si>
    <t>4,947,000.00</t>
  </si>
  <si>
    <t>9,281,940.20</t>
  </si>
  <si>
    <t>6,180,000.00</t>
  </si>
  <si>
    <t>7,585,600.00</t>
  </si>
  <si>
    <t>3,000,450.00</t>
  </si>
  <si>
    <t>1,737,196.00</t>
  </si>
  <si>
    <t>10,994,620.00</t>
  </si>
  <si>
    <t>10,442,880.00</t>
  </si>
  <si>
    <t>1,746,000.00</t>
  </si>
  <si>
    <t>997,547.17</t>
  </si>
  <si>
    <t>18,920.40</t>
  </si>
  <si>
    <t>99,374,505.17</t>
  </si>
  <si>
    <t>4,822,253.05</t>
  </si>
  <si>
    <t>17,450.00</t>
  </si>
  <si>
    <t>1,179,118.00</t>
  </si>
  <si>
    <t>2,995,151.25</t>
  </si>
  <si>
    <t>2,574,710.00</t>
  </si>
  <si>
    <t>2,849,220.00</t>
  </si>
  <si>
    <t>20,162,841,907.02</t>
  </si>
  <si>
    <t>1,455,975.00</t>
  </si>
  <si>
    <t>4,171,000.00</t>
  </si>
  <si>
    <t>239,200.00</t>
  </si>
  <si>
    <t>1,325,610.40</t>
  </si>
  <si>
    <t>1,719,000.00</t>
  </si>
  <si>
    <t>5,179,350.00</t>
  </si>
  <si>
    <t>1,776,951.38</t>
  </si>
  <si>
    <t>825,146.42</t>
  </si>
  <si>
    <t>1,476,000.00</t>
  </si>
  <si>
    <t>1,289,000.00</t>
  </si>
  <si>
    <t>9,999,237.98</t>
  </si>
  <si>
    <t>856,000.00</t>
  </si>
  <si>
    <t>1,729,200.00</t>
  </si>
  <si>
    <t>235,400.00</t>
  </si>
  <si>
    <t>3,053,267.00</t>
  </si>
  <si>
    <t>1,210,590.00</t>
  </si>
  <si>
    <t>2,542,500.00</t>
  </si>
  <si>
    <t>519,902.00</t>
  </si>
  <si>
    <t>439,530.00</t>
  </si>
  <si>
    <t>308,597.58</t>
  </si>
  <si>
    <t>2,599,718.80</t>
  </si>
  <si>
    <t>4,751,900.00</t>
  </si>
  <si>
    <t>1,743,276.00</t>
  </si>
  <si>
    <t>1,132,630.74</t>
  </si>
  <si>
    <t>1,346,000.00</t>
  </si>
  <si>
    <t>1,993,077.45</t>
  </si>
  <si>
    <t>1,184,216.20</t>
  </si>
  <si>
    <t>26,439.80</t>
  </si>
  <si>
    <t>10,450,000.00</t>
  </si>
  <si>
    <t>10,964.20</t>
  </si>
  <si>
    <t>9,412,000.00</t>
  </si>
  <si>
    <t>104,079,970.00</t>
  </si>
  <si>
    <t>35,701,400.00</t>
  </si>
  <si>
    <t>32,472,300.00</t>
  </si>
  <si>
    <t>23,644.08</t>
  </si>
  <si>
    <t>374,844.20</t>
  </si>
  <si>
    <t>250,000,000.00</t>
  </si>
  <si>
    <t>3,959,995.73</t>
  </si>
  <si>
    <t>5,978,832.00</t>
  </si>
  <si>
    <t>3,464,973.68</t>
  </si>
  <si>
    <t>1,689,848.24</t>
  </si>
  <si>
    <t>1,385,985.01</t>
  </si>
  <si>
    <t>124,660.00</t>
  </si>
  <si>
    <t>1,900,338.05</t>
  </si>
  <si>
    <t>1,210,750.00</t>
  </si>
  <si>
    <t>320,320.00</t>
  </si>
  <si>
    <t>312,137.50</t>
  </si>
  <si>
    <t>2,454,000.00</t>
  </si>
  <si>
    <t>1,308,339.00</t>
  </si>
  <si>
    <t>1,999,800.00</t>
  </si>
  <si>
    <t>269,801.00</t>
  </si>
  <si>
    <t>3,749,500.00</t>
  </si>
  <si>
    <t>387,520.00</t>
  </si>
  <si>
    <t>342,422.00</t>
  </si>
  <si>
    <t>5,938,382.37</t>
  </si>
  <si>
    <t>4,876,900.00</t>
  </si>
  <si>
    <t>1,892,800.00</t>
  </si>
  <si>
    <t>909,012.00</t>
  </si>
  <si>
    <t>4,416,000.00</t>
  </si>
  <si>
    <t>88,229.00</t>
  </si>
  <si>
    <t>861,323.00</t>
  </si>
  <si>
    <t>1,872,000.00</t>
  </si>
  <si>
    <t>2,172,412.08</t>
  </si>
  <si>
    <t>7,991,793.00</t>
  </si>
  <si>
    <t>2,195,400.00</t>
  </si>
  <si>
    <t>8,933,165.00</t>
  </si>
  <si>
    <t>1,841,746.50</t>
  </si>
  <si>
    <t>4,108,630.00</t>
  </si>
  <si>
    <t>2,115,216.00</t>
  </si>
  <si>
    <t>1,989,525.32</t>
  </si>
  <si>
    <t>1,285,000.00</t>
  </si>
  <si>
    <t>1,893,924.08</t>
  </si>
  <si>
    <t>1,550,145.00</t>
  </si>
  <si>
    <t>1,160,730.00</t>
  </si>
  <si>
    <t>2,012,653.68</t>
  </si>
  <si>
    <t>12,135,729.00</t>
  </si>
  <si>
    <t>1,776,916.35</t>
  </si>
  <si>
    <t>1,770,000.00</t>
  </si>
  <si>
    <t>1,032,650.00</t>
  </si>
  <si>
    <t>1,226,017.50</t>
  </si>
  <si>
    <t>4,560,000.00</t>
  </si>
  <si>
    <t>126,400.00</t>
  </si>
  <si>
    <t>2,923,872.00</t>
  </si>
  <si>
    <t>86,768.00</t>
  </si>
  <si>
    <t>1,350,069.19</t>
  </si>
  <si>
    <t>1,910,878.42</t>
  </si>
  <si>
    <t>1,970,000.00</t>
  </si>
  <si>
    <t>98,475.00</t>
  </si>
  <si>
    <t>1,386,004.00</t>
  </si>
  <si>
    <t>4,575,000.00</t>
  </si>
  <si>
    <t>1,211,325.00</t>
  </si>
  <si>
    <t>2,397,000.00</t>
  </si>
  <si>
    <t>5,175,760.00</t>
  </si>
  <si>
    <t>2,999,117.00</t>
  </si>
  <si>
    <t>1,392,105.00</t>
  </si>
  <si>
    <t>6,513,000.00</t>
  </si>
  <si>
    <t>2,499,729.68</t>
  </si>
  <si>
    <t>4,230,000.00</t>
  </si>
  <si>
    <t>220,164.20</t>
  </si>
  <si>
    <t>1,032,540.20</t>
  </si>
  <si>
    <t>499,218.00</t>
  </si>
  <si>
    <t>299,398.06</t>
  </si>
  <si>
    <t>924,000.00</t>
  </si>
  <si>
    <t>2,636,510.00</t>
  </si>
  <si>
    <t>100,252.00</t>
  </si>
  <si>
    <t>199,936.01</t>
  </si>
  <si>
    <t>1,899,720.00</t>
  </si>
  <si>
    <t>824,900.00</t>
  </si>
  <si>
    <t>2,537,774.00</t>
  </si>
  <si>
    <t>678,178.00</t>
  </si>
  <si>
    <t>113,740.00</t>
  </si>
  <si>
    <t>517,741.50</t>
  </si>
  <si>
    <t>5,802,400.00</t>
  </si>
  <si>
    <t>67,590.00</t>
  </si>
  <si>
    <t>14,391,000.00</t>
  </si>
  <si>
    <t>1,527,100.00</t>
  </si>
  <si>
    <t>69,141.68</t>
  </si>
  <si>
    <t>13,028,400.00</t>
  </si>
  <si>
    <t>8,834,373.00</t>
  </si>
  <si>
    <t>6,755,697.00</t>
  </si>
  <si>
    <t>73,877.76</t>
  </si>
  <si>
    <t>3,118,014.00</t>
  </si>
  <si>
    <t>1,959,093.50</t>
  </si>
  <si>
    <t>2,338,510.50</t>
  </si>
  <si>
    <t>4,977,999.16</t>
  </si>
  <si>
    <t>1,470,689.31</t>
  </si>
  <si>
    <t>7,434,784.76</t>
  </si>
  <si>
    <t>228,409,440.00</t>
  </si>
  <si>
    <t>1,481,387.02</t>
  </si>
  <si>
    <t>5,124,562.34</t>
  </si>
  <si>
    <t>4,422,000.00</t>
  </si>
  <si>
    <t>2,911,329.06</t>
  </si>
  <si>
    <t>1,150,800.00</t>
  </si>
  <si>
    <t>2,163,779.39</t>
  </si>
  <si>
    <t>6,720,000.00</t>
  </si>
  <si>
    <t>1,461,371.92</t>
  </si>
  <si>
    <t>1,492,324.90</t>
  </si>
  <si>
    <t>4,897,789.74</t>
  </si>
  <si>
    <t>9,945,036.72</t>
  </si>
  <si>
    <t>1,478,810.40</t>
  </si>
  <si>
    <t>695,000.00</t>
  </si>
  <si>
    <t>449,656.00</t>
  </si>
  <si>
    <t>57,899,999.04</t>
  </si>
  <si>
    <t>432,843.75</t>
  </si>
  <si>
    <t>1,168,200.00</t>
  </si>
  <si>
    <t>461,390.00</t>
  </si>
  <si>
    <t>491,000.00</t>
  </si>
  <si>
    <t>89,890.00</t>
  </si>
  <si>
    <t>496,749.00</t>
  </si>
  <si>
    <t>3,430,705.98</t>
  </si>
  <si>
    <t>499,190.00</t>
  </si>
  <si>
    <t>214,500.00</t>
  </si>
  <si>
    <t>9,537,057.64</t>
  </si>
  <si>
    <t>199,940.00</t>
  </si>
  <si>
    <t>232,025.00</t>
  </si>
  <si>
    <t>224,900.00</t>
  </si>
  <si>
    <t>77,235.00</t>
  </si>
  <si>
    <t>4,097,421.00</t>
  </si>
  <si>
    <t>105,664.70</t>
  </si>
  <si>
    <t>921,055.00</t>
  </si>
  <si>
    <t>26,400,000.00</t>
  </si>
  <si>
    <t>2,084,918.90</t>
  </si>
  <si>
    <t>863,434.90</t>
  </si>
  <si>
    <t>2,403,492.86</t>
  </si>
  <si>
    <t>1,893,739.36</t>
  </si>
  <si>
    <t>1,859,742.50</t>
  </si>
  <si>
    <t>1,446,561.85</t>
  </si>
  <si>
    <t>1,982,802.50</t>
  </si>
  <si>
    <t>1,658,704.65</t>
  </si>
  <si>
    <t>2,885,500.00</t>
  </si>
  <si>
    <t>2,068,144.67</t>
  </si>
  <si>
    <t>1,079,042.34</t>
  </si>
  <si>
    <t>1,719,903.88</t>
  </si>
  <si>
    <t>2,730,366.92</t>
  </si>
  <si>
    <t>1,823,549.53</t>
  </si>
  <si>
    <t>4,192,650.00</t>
  </si>
  <si>
    <t>1,189,721.35</t>
  </si>
  <si>
    <t>998,939.65</t>
  </si>
  <si>
    <t>2,043,507.36</t>
  </si>
  <si>
    <t>920,783.00</t>
  </si>
  <si>
    <t>908,437.75</t>
  </si>
  <si>
    <t>1,945,483.50</t>
  </si>
  <si>
    <t>900,924.75</t>
  </si>
  <si>
    <t>31,019,014.79</t>
  </si>
  <si>
    <t>902,018.45</t>
  </si>
  <si>
    <t>914,730.45</t>
  </si>
  <si>
    <t>14,216,021.37</t>
  </si>
  <si>
    <t>1,000,006.00</t>
  </si>
  <si>
    <t>2,310,907.25</t>
  </si>
  <si>
    <t>3,682,074.38</t>
  </si>
  <si>
    <t>12,200,000.00</t>
  </si>
  <si>
    <t>1,468,890.00</t>
  </si>
  <si>
    <t>8,560,000.00</t>
  </si>
  <si>
    <t>299,533.50</t>
  </si>
  <si>
    <t>8,554,420.00</t>
  </si>
  <si>
    <t>25,492,740.00</t>
  </si>
  <si>
    <t>1,553,294.75</t>
  </si>
  <si>
    <t>5,451,217.05</t>
  </si>
  <si>
    <t>2,617,439.41</t>
  </si>
  <si>
    <t>3,385,000.00</t>
  </si>
  <si>
    <t>4,985,649.41</t>
  </si>
  <si>
    <t>1,340,000.00</t>
  </si>
  <si>
    <t>1,472,634.14</t>
  </si>
  <si>
    <t>2,698,167.86</t>
  </si>
  <si>
    <t>4,984,644.82</t>
  </si>
  <si>
    <t>846,220.00</t>
  </si>
  <si>
    <t>2,894,525.03</t>
  </si>
  <si>
    <t>1,973,410.00</t>
  </si>
  <si>
    <t>1,387,000.00</t>
  </si>
  <si>
    <t>4,127,281.20</t>
  </si>
  <si>
    <t>2,552,640.00</t>
  </si>
  <si>
    <t>778,392.00</t>
  </si>
  <si>
    <t>2,296,815.00</t>
  </si>
  <si>
    <t>4,692,110.80</t>
  </si>
  <si>
    <t>271,050.00</t>
  </si>
  <si>
    <t>159,500.00</t>
  </si>
  <si>
    <t>1,537,960.96</t>
  </si>
  <si>
    <t>100,200.00</t>
  </si>
  <si>
    <t>3,440,351.27</t>
  </si>
  <si>
    <t>3,819,008.84</t>
  </si>
  <si>
    <t>3,185,180.26</t>
  </si>
  <si>
    <t>2,030,888.00</t>
  </si>
  <si>
    <t>3,496,830.44</t>
  </si>
  <si>
    <t>299,561.25</t>
  </si>
  <si>
    <t>3,175,125.94</t>
  </si>
  <si>
    <t>4,525,069.74</t>
  </si>
  <si>
    <t>2,962,997.64</t>
  </si>
  <si>
    <t>1,131,061.04</t>
  </si>
  <si>
    <t>2,477,190.86</t>
  </si>
  <si>
    <t>2,990,770.05</t>
  </si>
  <si>
    <t>81,614.00</t>
  </si>
  <si>
    <t>2,885,521.41</t>
  </si>
  <si>
    <t>4,474,466.20</t>
  </si>
  <si>
    <t>2,969,094.70</t>
  </si>
  <si>
    <t>2,546,532.75</t>
  </si>
  <si>
    <t>1,428,545.00</t>
  </si>
  <si>
    <t>999,293.00</t>
  </si>
  <si>
    <t>1,040,000.00</t>
  </si>
  <si>
    <t>3,166,558.52</t>
  </si>
  <si>
    <t>1,173,641.28</t>
  </si>
  <si>
    <t>2,506,258.14</t>
  </si>
  <si>
    <t>2,407,678.51</t>
  </si>
  <si>
    <t>4,949,959.33</t>
  </si>
  <si>
    <t>16,563,400.04</t>
  </si>
  <si>
    <t>13,363,000.00</t>
  </si>
  <si>
    <t>1,045,892.40</t>
  </si>
  <si>
    <t>2,307,051.36</t>
  </si>
  <si>
    <t>4,565,090.85</t>
  </si>
  <si>
    <t>2,369,703.54</t>
  </si>
  <si>
    <t>1,979,917.31</t>
  </si>
  <si>
    <t>2,374,493.61</t>
  </si>
  <si>
    <t>9,820,318.14</t>
  </si>
  <si>
    <t>1,359,644.00</t>
  </si>
  <si>
    <t>2,969,913.26</t>
  </si>
  <si>
    <t>49,498,947.66</t>
  </si>
  <si>
    <t>2,153,833.00</t>
  </si>
  <si>
    <t>1,040,400.00</t>
  </si>
  <si>
    <t>4,950,306.77</t>
  </si>
  <si>
    <t>2,069,994.64</t>
  </si>
  <si>
    <t>9,899,671.32</t>
  </si>
  <si>
    <t>2,100,465.95</t>
  </si>
  <si>
    <t>1,999,174.38</t>
  </si>
  <si>
    <t>2,007,580.00</t>
  </si>
  <si>
    <t>2,092,236.35</t>
  </si>
  <si>
    <t>1,592,700.00</t>
  </si>
  <si>
    <t>3,677,366.69</t>
  </si>
  <si>
    <t>5,731,900.00</t>
  </si>
  <si>
    <t>2,068,995.54</t>
  </si>
  <si>
    <t>1,902,417.30</t>
  </si>
  <si>
    <t>1,325,641.00</t>
  </si>
  <si>
    <t>2,220,898.67</t>
  </si>
  <si>
    <t>48,999,924.16</t>
  </si>
  <si>
    <t>2,297,927.90</t>
  </si>
  <si>
    <t>1,839,546.67</t>
  </si>
  <si>
    <t>1,176,290.00</t>
  </si>
  <si>
    <t>1,274,987.15</t>
  </si>
  <si>
    <t>2,999,920.00</t>
  </si>
  <si>
    <t>1,086,392.71</t>
  </si>
  <si>
    <t>1,705,055.37</t>
  </si>
  <si>
    <t>4,321,800.00</t>
  </si>
  <si>
    <t>12,034,400.00</t>
  </si>
  <si>
    <t>1,059,538.62</t>
  </si>
  <si>
    <t>1,095,925.43</t>
  </si>
  <si>
    <t>16,258,200.00</t>
  </si>
  <si>
    <t>1,078,397.95</t>
  </si>
  <si>
    <t>27,165,600.00</t>
  </si>
  <si>
    <t>3,522,022.13</t>
  </si>
  <si>
    <t>1,026,650.00</t>
  </si>
  <si>
    <t>16,993,620.19</t>
  </si>
  <si>
    <t>13,929,268.93</t>
  </si>
  <si>
    <t>2,497,864.28</t>
  </si>
  <si>
    <t>12,934,660.20</t>
  </si>
  <si>
    <t>210,040.00</t>
  </si>
  <si>
    <t>529,150.00</t>
  </si>
  <si>
    <t>53,074,582.08</t>
  </si>
  <si>
    <t>830,259.00</t>
  </si>
  <si>
    <t>5,025,794.00</t>
  </si>
  <si>
    <t>1,539,560.00</t>
  </si>
  <si>
    <t>576,911.60</t>
  </si>
  <si>
    <t>1,106,583.00</t>
  </si>
  <si>
    <t>2,595,235.32</t>
  </si>
  <si>
    <t>4,387,500.00</t>
  </si>
  <si>
    <t>11,758,886.42</t>
  </si>
  <si>
    <t>309,722.31</t>
  </si>
  <si>
    <t>96,498,741.61</t>
  </si>
  <si>
    <t>96,000,000.00</t>
  </si>
  <si>
    <t>7,964,999.87</t>
  </si>
  <si>
    <t>1,225,000.00</t>
  </si>
  <si>
    <t>575,000.00</t>
  </si>
  <si>
    <t>1,881,798.82</t>
  </si>
  <si>
    <t>202,343.00</t>
  </si>
  <si>
    <t>276,024.00</t>
  </si>
  <si>
    <t>71,000,000.00</t>
  </si>
  <si>
    <t>22,665,462.75</t>
  </si>
  <si>
    <t>1,820,914.00</t>
  </si>
  <si>
    <t>1,284,007.88</t>
  </si>
  <si>
    <t>183,434.00</t>
  </si>
  <si>
    <t>207,749.00</t>
  </si>
  <si>
    <t>1,777,909.00</t>
  </si>
  <si>
    <t>11,699,975.64</t>
  </si>
  <si>
    <t>131,534.09</t>
  </si>
  <si>
    <t>929,752.95</t>
  </si>
  <si>
    <t>485,724.79</t>
  </si>
  <si>
    <t>116,506.00</t>
  </si>
  <si>
    <t>105,700.00</t>
  </si>
  <si>
    <t>1,727,330.00</t>
  </si>
  <si>
    <t>9,990,000.00</t>
  </si>
  <si>
    <t>1,895,400.00</t>
  </si>
  <si>
    <t>2,499,640.00</t>
  </si>
  <si>
    <t>1,848,909.85</t>
  </si>
  <si>
    <t>6,725,000.00</t>
  </si>
  <si>
    <t>567,000.00</t>
  </si>
  <si>
    <t>492,934.72</t>
  </si>
  <si>
    <t>4,696,400.00</t>
  </si>
  <si>
    <t>740,400.00</t>
  </si>
  <si>
    <t>491,190.00</t>
  </si>
  <si>
    <t>289,695.00</t>
  </si>
  <si>
    <t>3,859,000.00</t>
  </si>
  <si>
    <t>1,880,000.00</t>
  </si>
  <si>
    <t>1,562,182.70</t>
  </si>
  <si>
    <t>1,615,653.20</t>
  </si>
  <si>
    <t>9,492,796.84</t>
  </si>
  <si>
    <t>2,940,833.70</t>
  </si>
  <si>
    <t>1,418,999.75</t>
  </si>
  <si>
    <t>1,124,732.34</t>
  </si>
  <si>
    <t>276,234.20</t>
  </si>
  <si>
    <t>3,358,785.00</t>
  </si>
  <si>
    <t>349,796.16</t>
  </si>
  <si>
    <t>1,992,375.00</t>
  </si>
  <si>
    <t>193,000,000.00</t>
  </si>
  <si>
    <t>1,499,366.66</t>
  </si>
  <si>
    <t>1,452,505.52</t>
  </si>
  <si>
    <t>1,753,078.00</t>
  </si>
  <si>
    <t>251,445.00</t>
  </si>
  <si>
    <t>22,483,414.27</t>
  </si>
  <si>
    <t>1,498,589.32</t>
  </si>
  <si>
    <t>89,500.00</t>
  </si>
  <si>
    <t>248,838.40</t>
  </si>
  <si>
    <t>59,399,604.88</t>
  </si>
  <si>
    <t>48,250,000.00</t>
  </si>
  <si>
    <t>999,982.94</t>
  </si>
  <si>
    <t>1,959,903.59</t>
  </si>
  <si>
    <t>19,599,992.11</t>
  </si>
  <si>
    <t>9,799,997.64</t>
  </si>
  <si>
    <t>2,274,686.70</t>
  </si>
  <si>
    <t>1,959,874.32</t>
  </si>
  <si>
    <t>1,959,991.17</t>
  </si>
  <si>
    <t>1,144,000.00</t>
  </si>
  <si>
    <t>12,867,522.13</t>
  </si>
  <si>
    <t>3,492,435.43</t>
  </si>
  <si>
    <t>2,350,000.00</t>
  </si>
  <si>
    <t>1,959,894.88</t>
  </si>
  <si>
    <t>577,838.46</t>
  </si>
  <si>
    <t>80,095,000.00</t>
  </si>
  <si>
    <t>268,270,000.00</t>
  </si>
  <si>
    <t>1,319,110.00</t>
  </si>
  <si>
    <t>1,959,989.18</t>
  </si>
  <si>
    <t>1,188,885.00</t>
  </si>
  <si>
    <t>15,258,940.02</t>
  </si>
  <si>
    <t>1,959,745.97</t>
  </si>
  <si>
    <t>2,449,938.61</t>
  </si>
  <si>
    <t>1,959,913.97</t>
  </si>
  <si>
    <t>1,469,983.57</t>
  </si>
  <si>
    <t>1,469,619.02</t>
  </si>
  <si>
    <t>2,939,608.31</t>
  </si>
  <si>
    <t>5,650,000.00</t>
  </si>
  <si>
    <t>86,800.00</t>
  </si>
  <si>
    <t>928,727.28</t>
  </si>
  <si>
    <t>2,449,751.03</t>
  </si>
  <si>
    <t>1,959,942.75</t>
  </si>
  <si>
    <t>1,290,333.20</t>
  </si>
  <si>
    <t>2,449,606.31</t>
  </si>
  <si>
    <t>549,917.59</t>
  </si>
  <si>
    <t>726,282.00</t>
  </si>
  <si>
    <t>2,939,916.48</t>
  </si>
  <si>
    <t>2,518,000.00</t>
  </si>
  <si>
    <t>5,815,131.40</t>
  </si>
  <si>
    <t>3,429,853.79</t>
  </si>
  <si>
    <t>3,919,940.39</t>
  </si>
  <si>
    <t>5,879,648.28</t>
  </si>
  <si>
    <t>1,092,900.00</t>
  </si>
  <si>
    <t>3,010,000.00</t>
  </si>
  <si>
    <t>5,856,513.00</t>
  </si>
  <si>
    <t>2,557,000.00</t>
  </si>
  <si>
    <t>2,252,000.00</t>
  </si>
  <si>
    <t>4,949,688.71</t>
  </si>
  <si>
    <t>2,179,000.00</t>
  </si>
  <si>
    <t>2,029,000.00</t>
  </si>
  <si>
    <t>4,899,622.29</t>
  </si>
  <si>
    <t>9,799,953.80</t>
  </si>
  <si>
    <t>1,864,445.00</t>
  </si>
  <si>
    <t>14,849,999.79</t>
  </si>
  <si>
    <t>135,855.25</t>
  </si>
  <si>
    <t>5,101,740.87</t>
  </si>
  <si>
    <t>952,380.00</t>
  </si>
  <si>
    <t>184,232.00</t>
  </si>
  <si>
    <t>9,999,999.70</t>
  </si>
  <si>
    <t>3,919,924.49</t>
  </si>
  <si>
    <t>1,441,000.00</t>
  </si>
  <si>
    <t>3,858,581.72</t>
  </si>
  <si>
    <t>71,106,631.33</t>
  </si>
  <si>
    <t>9,999,999.85</t>
  </si>
  <si>
    <t>4,125,000.00</t>
  </si>
  <si>
    <t>174,107.06</t>
  </si>
  <si>
    <t>531,033.00</t>
  </si>
  <si>
    <t>48,999,063.98</t>
  </si>
  <si>
    <t>157,959.00</t>
  </si>
  <si>
    <t>11,939,950.06</t>
  </si>
  <si>
    <t>1,499,951.03</t>
  </si>
  <si>
    <t>136,315.00</t>
  </si>
  <si>
    <t>2,285,800.00</t>
  </si>
  <si>
    <t>9,999,999.38</t>
  </si>
  <si>
    <t>1,096,747.56</t>
  </si>
  <si>
    <t>3,999,999.67</t>
  </si>
  <si>
    <t>499,803.94</t>
  </si>
  <si>
    <t>5,999,999.93</t>
  </si>
  <si>
    <t>58,125.00</t>
  </si>
  <si>
    <t>4,940,000.00</t>
  </si>
  <si>
    <t>11,939,955.21</t>
  </si>
  <si>
    <t>2,077,000.00</t>
  </si>
  <si>
    <t>199,796.40</t>
  </si>
  <si>
    <t>178,873.00</t>
  </si>
  <si>
    <t>497,849.10</t>
  </si>
  <si>
    <t>110,611,042.06</t>
  </si>
  <si>
    <t>114,149,274.99</t>
  </si>
  <si>
    <t>905,569.71</t>
  </si>
  <si>
    <t>999,999.92</t>
  </si>
  <si>
    <t>3,590,719.15</t>
  </si>
  <si>
    <t>1,722,000.00</t>
  </si>
  <si>
    <t>9,999,999.88</t>
  </si>
  <si>
    <t>2,170,000.00</t>
  </si>
  <si>
    <t>4,643,387.39</t>
  </si>
  <si>
    <t>106,131,237.00</t>
  </si>
  <si>
    <t>7,139,200.00</t>
  </si>
  <si>
    <t>39,600,000.00</t>
  </si>
  <si>
    <t>6,370,000.00</t>
  </si>
  <si>
    <t>6,435,000.00</t>
  </si>
  <si>
    <t>9,899,998.50</t>
  </si>
  <si>
    <t>463,116.00</t>
  </si>
  <si>
    <t>6,740,166.36</t>
  </si>
  <si>
    <t>1,467,570.00</t>
  </si>
  <si>
    <t>1,004,244.00</t>
  </si>
  <si>
    <t>2,294,137.50</t>
  </si>
  <si>
    <t>5,940,000.00</t>
  </si>
  <si>
    <t>2,084,550.00</t>
  </si>
  <si>
    <t>629,530.00</t>
  </si>
  <si>
    <t>3,874,501.86</t>
  </si>
  <si>
    <t>2,567,500.00</t>
  </si>
  <si>
    <t>217,124,700.00</t>
  </si>
  <si>
    <t>797,634.97</t>
  </si>
  <si>
    <t>1,999,973.98</t>
  </si>
  <si>
    <t>1,037,981.88</t>
  </si>
  <si>
    <t>13,255,995.00</t>
  </si>
  <si>
    <t>419,660.00</t>
  </si>
  <si>
    <t>1,557,720.00</t>
  </si>
  <si>
    <t>341,250.00</t>
  </si>
  <si>
    <t>122,850.00</t>
  </si>
  <si>
    <t>1,695,000.00</t>
  </si>
  <si>
    <t>1,472,023.41</t>
  </si>
  <si>
    <t>83,725,400.00</t>
  </si>
  <si>
    <t>2,158,240.00</t>
  </si>
  <si>
    <t>613,751.00</t>
  </si>
  <si>
    <t>3,530,850.00</t>
  </si>
  <si>
    <t>1,818,424.00</t>
  </si>
  <si>
    <t>1,497,591.79</t>
  </si>
  <si>
    <t>521,000.00</t>
  </si>
  <si>
    <t>1,968,000.00</t>
  </si>
  <si>
    <t>12,840,900.00</t>
  </si>
  <si>
    <t>299,989.24</t>
  </si>
  <si>
    <t>1,510,600.00</t>
  </si>
  <si>
    <t>1,499,998.00</t>
  </si>
  <si>
    <t>3,880,387,000.00</t>
  </si>
  <si>
    <t>1,086,190.00</t>
  </si>
  <si>
    <t>33,813,633.95</t>
  </si>
  <si>
    <t>14,776,008.24</t>
  </si>
  <si>
    <t>994,140.00</t>
  </si>
  <si>
    <t>998,261.25</t>
  </si>
  <si>
    <t>1,851,200.00</t>
  </si>
  <si>
    <t>24,499,999.95</t>
  </si>
  <si>
    <t>9,799,992.70</t>
  </si>
  <si>
    <t>999,554.28</t>
  </si>
  <si>
    <t>18,334,604.63</t>
  </si>
  <si>
    <t>12,122,208.25</t>
  </si>
  <si>
    <t>4,045,907.16</t>
  </si>
  <si>
    <t>29,699,548.78</t>
  </si>
  <si>
    <t>513,070.00</t>
  </si>
  <si>
    <t>2,008,000.00</t>
  </si>
  <si>
    <t>1,077,999.19</t>
  </si>
  <si>
    <t>31,361,750.31</t>
  </si>
  <si>
    <t>595,303.80</t>
  </si>
  <si>
    <t>48,509,999.39</t>
  </si>
  <si>
    <t>3,919,999.35</t>
  </si>
  <si>
    <t>52,411,380.00</t>
  </si>
  <si>
    <t>692,453.21</t>
  </si>
  <si>
    <t>452,361.00</t>
  </si>
  <si>
    <t>663,000.00</t>
  </si>
  <si>
    <t>12,739,933.88</t>
  </si>
  <si>
    <t>48,999,929.12</t>
  </si>
  <si>
    <t>1,426,500.00</t>
  </si>
  <si>
    <t>750,000.26</t>
  </si>
  <si>
    <t>791,700.00</t>
  </si>
  <si>
    <t>10,485,999.80</t>
  </si>
  <si>
    <t>523,341.00</t>
  </si>
  <si>
    <t>11,880,000.00</t>
  </si>
  <si>
    <t>98,504,911.03</t>
  </si>
  <si>
    <t>750,000.24</t>
  </si>
  <si>
    <t>18,810,000.00</t>
  </si>
  <si>
    <t>55,128,942.37</t>
  </si>
  <si>
    <t>214,288.67</t>
  </si>
  <si>
    <t>946,277.80</t>
  </si>
  <si>
    <t>1,169,000.00</t>
  </si>
  <si>
    <t>48,999,750.16</t>
  </si>
  <si>
    <t>35,638,240.04</t>
  </si>
  <si>
    <t>3,821,976.94</t>
  </si>
  <si>
    <t>2,249,970.00</t>
  </si>
  <si>
    <t>2,980,439.28</t>
  </si>
  <si>
    <t>15,030,819.00</t>
  </si>
  <si>
    <t>2,415,289.96</t>
  </si>
  <si>
    <t>18,450,155.99</t>
  </si>
  <si>
    <t>291,787.00</t>
  </si>
  <si>
    <t>2,761,112.24</t>
  </si>
  <si>
    <t>170,900.00</t>
  </si>
  <si>
    <t>2,603,029.40</t>
  </si>
  <si>
    <t>297,088.80</t>
  </si>
  <si>
    <t>1,998,413.44</t>
  </si>
  <si>
    <t>8,159,000.00</t>
  </si>
  <si>
    <t>3,550,629.00</t>
  </si>
  <si>
    <t>1,305,602.43</t>
  </si>
  <si>
    <t>533,098.41</t>
  </si>
  <si>
    <t>1,230,000.00</t>
  </si>
  <si>
    <t>2,886,046.86</t>
  </si>
  <si>
    <t>6,753,500.00</t>
  </si>
  <si>
    <t>9,986,436.87</t>
  </si>
  <si>
    <t>189,632.13</t>
  </si>
  <si>
    <t>14,022,825.00</t>
  </si>
  <si>
    <t>2,955,000.00</t>
  </si>
  <si>
    <t>95,313.31</t>
  </si>
  <si>
    <t>998,640.00</t>
  </si>
  <si>
    <t>3,138,469.52</t>
  </si>
  <si>
    <t>188,117.06</t>
  </si>
  <si>
    <t>1,864,978.05</t>
  </si>
  <si>
    <t>829,533.00</t>
  </si>
  <si>
    <t>17,590,812.60</t>
  </si>
  <si>
    <t>4,921,560.00</t>
  </si>
  <si>
    <t>1,049,330.11</t>
  </si>
  <si>
    <t>956,280.42</t>
  </si>
  <si>
    <t>1,769,080.00</t>
  </si>
  <si>
    <t>9,100,000.00</t>
  </si>
  <si>
    <t>1,732,232.39</t>
  </si>
  <si>
    <t>191,253.59</t>
  </si>
  <si>
    <t>1,828,008.00</t>
  </si>
  <si>
    <t>1,082,379.89</t>
  </si>
  <si>
    <t>3,940,000.00</t>
  </si>
  <si>
    <t>50.00</t>
  </si>
  <si>
    <t>2,756,221.65</t>
  </si>
  <si>
    <t>1,158,959.21</t>
  </si>
  <si>
    <t>2,312,500.00</t>
  </si>
  <si>
    <t>47,124,093.32</t>
  </si>
  <si>
    <t>1,634,160.00</t>
  </si>
  <si>
    <t>3,414,882.46</t>
  </si>
  <si>
    <t>960,437.59</t>
  </si>
  <si>
    <t>15,202,668.30</t>
  </si>
  <si>
    <t>1,695,298.90</t>
  </si>
  <si>
    <t>953,000.00</t>
  </si>
  <si>
    <t>8,310,000.00</t>
  </si>
  <si>
    <t>7,162,259.79</t>
  </si>
  <si>
    <t>5,468,164.74</t>
  </si>
  <si>
    <t>8,299,500.00</t>
  </si>
  <si>
    <t>1,719,611.05</t>
  </si>
  <si>
    <t>286,277.08</t>
  </si>
  <si>
    <t>3,691,143.00</t>
  </si>
  <si>
    <t>1,279,405.96</t>
  </si>
  <si>
    <t>1,439,956.00</t>
  </si>
  <si>
    <t>191,471.53</t>
  </si>
  <si>
    <t>2,036,000.00</t>
  </si>
  <si>
    <t>1,386,934.60</t>
  </si>
  <si>
    <t>1,280,500.00</t>
  </si>
  <si>
    <t>672,147.76</t>
  </si>
  <si>
    <t>295,813.80</t>
  </si>
  <si>
    <t>880,000.00</t>
  </si>
  <si>
    <t>496,001.00</t>
  </si>
  <si>
    <t>52,591,035.00</t>
  </si>
  <si>
    <t>100,000,000.00</t>
  </si>
  <si>
    <t>2,697,639.49</t>
  </si>
  <si>
    <t>10,379,065.00</t>
  </si>
  <si>
    <t>70,603,736.04</t>
  </si>
  <si>
    <t>515,286.00</t>
  </si>
  <si>
    <t>323,430.00</t>
  </si>
  <si>
    <t>2,335,991.76</t>
  </si>
  <si>
    <t>1,844.80</t>
  </si>
  <si>
    <t>1,795,960.11</t>
  </si>
  <si>
    <t>21,500,000.00</t>
  </si>
  <si>
    <t>2,939,330.92</t>
  </si>
  <si>
    <t>4,086,748.75</t>
  </si>
  <si>
    <t>320,620.00</t>
  </si>
  <si>
    <t>202,352.00</t>
  </si>
  <si>
    <t>3,966,452.00</t>
  </si>
  <si>
    <t>1,069,690.00</t>
  </si>
  <si>
    <t>2,656,643.93</t>
  </si>
  <si>
    <t>1,484,928.14</t>
  </si>
  <si>
    <t>1,979,611.98</t>
  </si>
  <si>
    <t>1,337,800.00</t>
  </si>
  <si>
    <t>556,761.89</t>
  </si>
  <si>
    <t>1,200,009.11</t>
  </si>
  <si>
    <t>979,806.36</t>
  </si>
  <si>
    <t>1,469,921.79</t>
  </si>
  <si>
    <t>1,020,999.00</t>
  </si>
  <si>
    <t>19,799,940.68</t>
  </si>
  <si>
    <t>1,559,518.10</t>
  </si>
  <si>
    <t>137,024.00</t>
  </si>
  <si>
    <t>1,326,291.00</t>
  </si>
  <si>
    <t>4,083,289.92</t>
  </si>
  <si>
    <t>50,179,820.29</t>
  </si>
  <si>
    <t>1,397,280.00</t>
  </si>
  <si>
    <t>4,949,923.18</t>
  </si>
  <si>
    <t>617,400.00</t>
  </si>
  <si>
    <t>2,969,737.96</t>
  </si>
  <si>
    <t>979,859.37</t>
  </si>
  <si>
    <t>2,969,925.36</t>
  </si>
  <si>
    <t>3,999,982.68</t>
  </si>
  <si>
    <t>1,132,238.19</t>
  </si>
  <si>
    <t>1,469,695.76</t>
  </si>
  <si>
    <t>9,311,500.00</t>
  </si>
  <si>
    <t>2,787,000.00</t>
  </si>
  <si>
    <t>1,487,349.00</t>
  </si>
  <si>
    <t>28,500,000.00</t>
  </si>
  <si>
    <t>2,190,489.75</t>
  </si>
  <si>
    <t>1,069,885.20</t>
  </si>
  <si>
    <t>4,737,025.00</t>
  </si>
  <si>
    <t>3,499,654.49</t>
  </si>
  <si>
    <t>136,080.00</t>
  </si>
  <si>
    <t>299,440.00</t>
  </si>
  <si>
    <t>121,733.00</t>
  </si>
  <si>
    <t>1,324,915.00</t>
  </si>
  <si>
    <t>2,806,245.66</t>
  </si>
  <si>
    <t>1,241,500.00</t>
  </si>
  <si>
    <t>4,086,694.90</t>
  </si>
  <si>
    <t>4,228,780.75</t>
  </si>
  <si>
    <t>1,710,422.00</t>
  </si>
  <si>
    <t>274,750.00</t>
  </si>
  <si>
    <t>2,098,359.90</t>
  </si>
  <si>
    <t>1,350,179.50</t>
  </si>
  <si>
    <t>5,400,000.00</t>
  </si>
  <si>
    <t>643,487.00</t>
  </si>
  <si>
    <t>1,104,866.15</t>
  </si>
  <si>
    <t>181,250.00</t>
  </si>
  <si>
    <t>1,303,728.57</t>
  </si>
  <si>
    <t>749,085.83</t>
  </si>
  <si>
    <t>4,458,936.31</t>
  </si>
  <si>
    <t>1,195,000.00</t>
  </si>
  <si>
    <t>2,887,000.00</t>
  </si>
  <si>
    <t>1,353,840.00</t>
  </si>
  <si>
    <t>1,447,405.00</t>
  </si>
  <si>
    <t>1,478,946.00</t>
  </si>
  <si>
    <t>1,118,536.57</t>
  </si>
  <si>
    <t>1,425,000.00</t>
  </si>
  <si>
    <t>1,187,807.00</t>
  </si>
  <si>
    <t>1,042,000.00</t>
  </si>
  <si>
    <t>799,290.00</t>
  </si>
  <si>
    <t>3,303,774.20</t>
  </si>
  <si>
    <t>1,999,042.50</t>
  </si>
  <si>
    <t>1,998,378.27</t>
  </si>
  <si>
    <t>1,988,000.00</t>
  </si>
  <si>
    <t>110,291.60</t>
  </si>
  <si>
    <t>4,600,000.00</t>
  </si>
  <si>
    <t>2,997,117.51</t>
  </si>
  <si>
    <t>1,088,553.81</t>
  </si>
  <si>
    <t>1,997,905.69</t>
  </si>
  <si>
    <t>999,769.58</t>
  </si>
  <si>
    <t>4,998,043.21</t>
  </si>
  <si>
    <t>1,486,718.14</t>
  </si>
  <si>
    <t>1,399,996.00</t>
  </si>
  <si>
    <t>530,000.00</t>
  </si>
  <si>
    <t>107,000.00</t>
  </si>
  <si>
    <t>7,989,012.21</t>
  </si>
  <si>
    <t>720,558.00</t>
  </si>
  <si>
    <t>184,425.50</t>
  </si>
  <si>
    <t>2,943,939.63</t>
  </si>
  <si>
    <t>9,145,600.00</t>
  </si>
  <si>
    <t>2,999,985.51</t>
  </si>
  <si>
    <t>39,994,875.61</t>
  </si>
  <si>
    <t>9,495,053.62</t>
  </si>
  <si>
    <t>2,316,000.00</t>
  </si>
  <si>
    <t>1,999,876.83</t>
  </si>
  <si>
    <t>1,999,983.98</t>
  </si>
  <si>
    <t>4,086,764.46</t>
  </si>
  <si>
    <t>2,168,100.00</t>
  </si>
  <si>
    <t>244,236.86</t>
  </si>
  <si>
    <t>1,843,171.02</t>
  </si>
  <si>
    <t>59,400,000.00</t>
  </si>
  <si>
    <t>1,290,330.00</t>
  </si>
  <si>
    <t>2,408,287.50</t>
  </si>
  <si>
    <t>652,482.80</t>
  </si>
  <si>
    <t>9,496,075.03</t>
  </si>
  <si>
    <t>12,869,446.83</t>
  </si>
  <si>
    <t>4,115,147.89</t>
  </si>
  <si>
    <t>7,875,000.00</t>
  </si>
  <si>
    <t>124,625.00</t>
  </si>
  <si>
    <t>6,282,000.00</t>
  </si>
  <si>
    <t>1,325,880.00</t>
  </si>
  <si>
    <t>5,938,259.14</t>
  </si>
  <si>
    <t>1,430,501.00</t>
  </si>
  <si>
    <t>14,255,807.73</t>
  </si>
  <si>
    <t>1,949,955.36</t>
  </si>
  <si>
    <t>3,399,275.00</t>
  </si>
  <si>
    <t>1,597,941.00</t>
  </si>
  <si>
    <t>893,321.74</t>
  </si>
  <si>
    <t>3,736,800.60</t>
  </si>
  <si>
    <t>5,699,130.14</t>
  </si>
  <si>
    <t>14,992,442.35</t>
  </si>
  <si>
    <t>1,299,994.48</t>
  </si>
  <si>
    <t>268,096.00</t>
  </si>
  <si>
    <t>5,181,573.31</t>
  </si>
  <si>
    <t>298,002.00</t>
  </si>
  <si>
    <t>4,999,647.70</t>
  </si>
  <si>
    <t>1,255,734.00</t>
  </si>
  <si>
    <t>27,942,935.00</t>
  </si>
  <si>
    <t>1,344,098.00</t>
  </si>
  <si>
    <t>5,241,077.43</t>
  </si>
  <si>
    <t>3,265,790.00</t>
  </si>
  <si>
    <t>106,989.00</t>
  </si>
  <si>
    <t>1,049,997.00</t>
  </si>
  <si>
    <t>2,999,436.56</t>
  </si>
  <si>
    <t>140,789.00</t>
  </si>
  <si>
    <t>5,182,540.00</t>
  </si>
  <si>
    <t>4,228,902.03</t>
  </si>
  <si>
    <t>353,600.00</t>
  </si>
  <si>
    <t>4,034,172.96</t>
  </si>
  <si>
    <t>2,998,689.15</t>
  </si>
  <si>
    <t>981,315.50</t>
  </si>
  <si>
    <t>799,995.39</t>
  </si>
  <si>
    <t>4,433,082.46</t>
  </si>
  <si>
    <t>2,670,000.00</t>
  </si>
  <si>
    <t>2,505,150.00</t>
  </si>
  <si>
    <t>1,999,867.50</t>
  </si>
  <si>
    <t>3,299,217.96</t>
  </si>
  <si>
    <t>4,999,279.03</t>
  </si>
  <si>
    <t>2,999,933.09</t>
  </si>
  <si>
    <t>1,211,917.73</t>
  </si>
  <si>
    <t>15,920,000.00</t>
  </si>
  <si>
    <t>1,545,600.00</t>
  </si>
  <si>
    <t>2,975,904.82</t>
  </si>
  <si>
    <t>1,282,000.00</t>
  </si>
  <si>
    <t>416,704.00</t>
  </si>
  <si>
    <t>95,230.00</t>
  </si>
  <si>
    <t>999,720.00</t>
  </si>
  <si>
    <t>257,398,924.59</t>
  </si>
  <si>
    <t>234,382,490.99</t>
  </si>
  <si>
    <t>4,949,171.52</t>
  </si>
  <si>
    <t>4,085,828.88</t>
  </si>
  <si>
    <t>27,438,902.32</t>
  </si>
  <si>
    <t>9,046,976.00</t>
  </si>
  <si>
    <t>19,849,999.87</t>
  </si>
  <si>
    <t>100,500.00</t>
  </si>
  <si>
    <t>1,398,918.57</t>
  </si>
  <si>
    <t>1,491,779.63</t>
  </si>
  <si>
    <t>2,802,287.50</t>
  </si>
  <si>
    <t>60,312,140.53</t>
  </si>
  <si>
    <t>5,984,974.82</t>
  </si>
  <si>
    <t>1,999,989.97</t>
  </si>
  <si>
    <t>34,000,000.00</t>
  </si>
  <si>
    <t>197,511,504.19</t>
  </si>
  <si>
    <t>146,387,950.64</t>
  </si>
  <si>
    <t>1,087,739.16</t>
  </si>
  <si>
    <t>1,999,991.92</t>
  </si>
  <si>
    <t>1,499,996.17</t>
  </si>
  <si>
    <t>4,085,146.80</t>
  </si>
  <si>
    <t>29,399,996.40</t>
  </si>
  <si>
    <t>1,999,934.41</t>
  </si>
  <si>
    <t>753,300.00</t>
  </si>
  <si>
    <t>72,374,701.31</t>
  </si>
  <si>
    <t>35,453,574.65</t>
  </si>
  <si>
    <t>125,449,753.22</t>
  </si>
  <si>
    <t>355,447.00</t>
  </si>
  <si>
    <t>90,060,080.63</t>
  </si>
  <si>
    <t>11,174,854.00</t>
  </si>
  <si>
    <t>8,500,000.00</t>
  </si>
  <si>
    <t>4,936,338.94</t>
  </si>
  <si>
    <t>1,243,270.13</t>
  </si>
  <si>
    <t>1,853,810.57</t>
  </si>
  <si>
    <t>524,600.00</t>
  </si>
  <si>
    <t>159,400.00</t>
  </si>
  <si>
    <t>3,800,870.28</t>
  </si>
  <si>
    <t>4,798,576.22</t>
  </si>
  <si>
    <t>2,494,806.69</t>
  </si>
  <si>
    <t>175,100.00</t>
  </si>
  <si>
    <t>2,215,750.95</t>
  </si>
  <si>
    <t>1,429,958.65</t>
  </si>
  <si>
    <t>3,852,029.52</t>
  </si>
  <si>
    <t>2,866,022.52</t>
  </si>
  <si>
    <t>4,794,261.34</t>
  </si>
  <si>
    <t>4,849,106.22</t>
  </si>
  <si>
    <t>4,985,300.00</t>
  </si>
  <si>
    <t>249,755.75</t>
  </si>
  <si>
    <t>87,396.46</t>
  </si>
  <si>
    <t>1,077,000.00</t>
  </si>
  <si>
    <t>603,000.00</t>
  </si>
  <si>
    <t>463,813.00</t>
  </si>
  <si>
    <t>4,797,411.32</t>
  </si>
  <si>
    <t>2,662,801.82</t>
  </si>
  <si>
    <t>229,894.00</t>
  </si>
  <si>
    <t>1,098,293.00</t>
  </si>
  <si>
    <t>1,274,527.80</t>
  </si>
  <si>
    <t>1,009,129.00</t>
  </si>
  <si>
    <t>1,004,682.35</t>
  </si>
  <si>
    <t>5,370,000.00</t>
  </si>
  <si>
    <t>301,901.00</t>
  </si>
  <si>
    <t>286,500.00</t>
  </si>
  <si>
    <t>329,853.68</t>
  </si>
  <si>
    <t>570,430.00</t>
  </si>
  <si>
    <t>765,164.00</t>
  </si>
  <si>
    <t>11,251,000.00</t>
  </si>
  <si>
    <t>4,086,338.00</t>
  </si>
  <si>
    <t>9,617,630.00</t>
  </si>
  <si>
    <t>4,068,794.78</t>
  </si>
  <si>
    <t>2,556,910.00</t>
  </si>
  <si>
    <t>4,044,142.97</t>
  </si>
  <si>
    <t>242,620.00</t>
  </si>
  <si>
    <t>1,412,000.00</t>
  </si>
  <si>
    <t>11,999,880.76</t>
  </si>
  <si>
    <t>1,168,000.00</t>
  </si>
  <si>
    <t>499,996.50</t>
  </si>
  <si>
    <t>5,180,000.00</t>
  </si>
  <si>
    <t>699,000.00</t>
  </si>
  <si>
    <t>1,690,000.00</t>
  </si>
  <si>
    <t>1,472,850.00</t>
  </si>
  <si>
    <t>1,399,988.02</t>
  </si>
  <si>
    <t>242,511,677.48</t>
  </si>
  <si>
    <t>1,989,000.00</t>
  </si>
  <si>
    <t>204,910.00</t>
  </si>
  <si>
    <t>1,048,000.00</t>
  </si>
  <si>
    <t>7,740,000.00</t>
  </si>
  <si>
    <t>3,204,000.00</t>
  </si>
  <si>
    <t>1,955,645.89</t>
  </si>
  <si>
    <t>4,002,912.93</t>
  </si>
  <si>
    <t>281,956.00</t>
  </si>
  <si>
    <t>1,599,902.00</t>
  </si>
  <si>
    <t>24,124,913.61</t>
  </si>
  <si>
    <t>4,389,004.46</t>
  </si>
  <si>
    <t>4,763,190.00</t>
  </si>
  <si>
    <t>299,773.15</t>
  </si>
  <si>
    <t>9,997,000.00</t>
  </si>
  <si>
    <t>2,624,000.00</t>
  </si>
  <si>
    <t>1,111,183.00</t>
  </si>
  <si>
    <t>9,799,983.64</t>
  </si>
  <si>
    <t>2,169,240.00</t>
  </si>
  <si>
    <t>497,844.89</t>
  </si>
  <si>
    <t>1,941,768.79</t>
  </si>
  <si>
    <t>5,236,140.00</t>
  </si>
  <si>
    <t>650,319.41</t>
  </si>
  <si>
    <t>288,372.00</t>
  </si>
  <si>
    <t>2,459,515.00</t>
  </si>
  <si>
    <t>499,616.56</t>
  </si>
  <si>
    <t>3,610,215.00</t>
  </si>
  <si>
    <t>341,400.00</t>
  </si>
  <si>
    <t>49,140,000.00</t>
  </si>
  <si>
    <t>51,410,375.00</t>
  </si>
  <si>
    <t>2,823,514.28</t>
  </si>
  <si>
    <t>998,232.00</t>
  </si>
  <si>
    <t>17,717,296.51</t>
  </si>
  <si>
    <t>4,324,112.45</t>
  </si>
  <si>
    <t>999,882.88</t>
  </si>
  <si>
    <t>307,405.00</t>
  </si>
  <si>
    <t>142,310.00</t>
  </si>
  <si>
    <t>325,082.51</t>
  </si>
  <si>
    <t>1,014,232.26</t>
  </si>
  <si>
    <t>19,579,835.67</t>
  </si>
  <si>
    <t>1,000,000,000.00</t>
  </si>
  <si>
    <t>2,997,450.40</t>
  </si>
  <si>
    <t>2,939,986.60</t>
  </si>
  <si>
    <t>339,340.00</t>
  </si>
  <si>
    <t>59,795.69</t>
  </si>
  <si>
    <t>2,250,554.55</t>
  </si>
  <si>
    <t>3,433,467.96</t>
  </si>
  <si>
    <t>9,131,847.06</t>
  </si>
  <si>
    <t>4,086,771.46</t>
  </si>
  <si>
    <t>262,385.00</t>
  </si>
  <si>
    <t>635,476.50</t>
  </si>
  <si>
    <t>878,330.00</t>
  </si>
  <si>
    <t>32,583,981.16</t>
  </si>
  <si>
    <t>3,798,047.25</t>
  </si>
  <si>
    <t>1,093,006.78</t>
  </si>
  <si>
    <t>2,363,592.36</t>
  </si>
  <si>
    <t>194,297.00</t>
  </si>
  <si>
    <t>1,975,448.53</t>
  </si>
  <si>
    <t>3,078,814.25</t>
  </si>
  <si>
    <t>37,216,512.73</t>
  </si>
  <si>
    <t>3,197,223.90</t>
  </si>
  <si>
    <t>97,859,892.40</t>
  </si>
  <si>
    <t>499,933.20</t>
  </si>
  <si>
    <t>1,985,438.05</t>
  </si>
  <si>
    <t>49,499,153.50</t>
  </si>
  <si>
    <t>34,649,435.90</t>
  </si>
  <si>
    <t>67,240,000.00</t>
  </si>
  <si>
    <t>39,482,113.21</t>
  </si>
  <si>
    <t>49,499,440.75</t>
  </si>
  <si>
    <t>5,045,000.00</t>
  </si>
  <si>
    <t>23,875,051.18</t>
  </si>
  <si>
    <t>1,812,500.00</t>
  </si>
  <si>
    <t>2,640,151.16</t>
  </si>
  <si>
    <t>64,547,985.14</t>
  </si>
  <si>
    <t>34,648,956.11</t>
  </si>
  <si>
    <t>1,368,235.36</t>
  </si>
  <si>
    <t>1,812,000.00</t>
  </si>
  <si>
    <t>70,847,894.03</t>
  </si>
  <si>
    <t>46,648,491.34</t>
  </si>
  <si>
    <t>98,999,556.08</t>
  </si>
  <si>
    <t>6,942,598.68</t>
  </si>
  <si>
    <t>2,010,859.50</t>
  </si>
  <si>
    <t>1,285,865.00</t>
  </si>
  <si>
    <t>1,285,864.00</t>
  </si>
  <si>
    <t>1,000,021.25</t>
  </si>
  <si>
    <t>1,493,050.00</t>
  </si>
  <si>
    <t>20,040,000.00</t>
  </si>
  <si>
    <t>5,264,852.27</t>
  </si>
  <si>
    <t>1,999,954.00</t>
  </si>
  <si>
    <t>2,800,535.00</t>
  </si>
  <si>
    <t>1,465,065.55</t>
  </si>
  <si>
    <t>3,903,154.00</t>
  </si>
  <si>
    <t>4,490,000.00</t>
  </si>
  <si>
    <t>5,730,000.00</t>
  </si>
  <si>
    <t>5,469,477.00</t>
  </si>
  <si>
    <t>1,643,950.47</t>
  </si>
  <si>
    <t>2,047,834.00</t>
  </si>
  <si>
    <t>961,600.00</t>
  </si>
  <si>
    <t>2,161,874.01</t>
  </si>
  <si>
    <t>421,981.50</t>
  </si>
  <si>
    <t>1,353,000.00</t>
  </si>
  <si>
    <t>767,000.00</t>
  </si>
  <si>
    <t>378,590.00</t>
  </si>
  <si>
    <t>1,499,117.00</t>
  </si>
  <si>
    <t>3,569,485.00</t>
  </si>
  <si>
    <t>1,872,500.00</t>
  </si>
  <si>
    <t>472,550.00</t>
  </si>
  <si>
    <t>102,941.62</t>
  </si>
  <si>
    <t>362,595.00</t>
  </si>
  <si>
    <t>789,840.67</t>
  </si>
  <si>
    <t>11,292,155.18</t>
  </si>
  <si>
    <t>3,300.00</t>
  </si>
  <si>
    <t>1,318,880.00</t>
  </si>
  <si>
    <t>955,000.00</t>
  </si>
  <si>
    <t>705,000.00</t>
  </si>
  <si>
    <t>483,900.00</t>
  </si>
  <si>
    <t>502,680.00</t>
  </si>
  <si>
    <t>451,775.00</t>
  </si>
  <si>
    <t>671,500.00</t>
  </si>
  <si>
    <t>1,130,814.00</t>
  </si>
  <si>
    <t>595,000.00</t>
  </si>
  <si>
    <t>452,360.00</t>
  </si>
  <si>
    <t>660,625.00</t>
  </si>
  <si>
    <t>1,597,728.00</t>
  </si>
  <si>
    <t>1,840,466.25</t>
  </si>
  <si>
    <t>3,679,948.41</t>
  </si>
  <si>
    <t>200,000,000.00</t>
  </si>
  <si>
    <t>3,667,000.00</t>
  </si>
  <si>
    <t>22,264,000.00</t>
  </si>
  <si>
    <t>428,500.00</t>
  </si>
  <si>
    <t>36,358,988.19</t>
  </si>
  <si>
    <t>5,310,429.57</t>
  </si>
  <si>
    <t>3,192,000.00</t>
  </si>
  <si>
    <t>14,595,929.71</t>
  </si>
  <si>
    <t>10,973,383.00</t>
  </si>
  <si>
    <t>176,500.00</t>
  </si>
  <si>
    <t>5,262,800.00</t>
  </si>
  <si>
    <t>3,229,604.00</t>
  </si>
  <si>
    <t>2,966,000.00</t>
  </si>
  <si>
    <t>4,321,422.90</t>
  </si>
  <si>
    <t>1,958,060.00</t>
  </si>
  <si>
    <t>3,019,740.00</t>
  </si>
  <si>
    <t>1,362,249.04</t>
  </si>
  <si>
    <t>402,967.86</t>
  </si>
  <si>
    <t>1,961,313.32</t>
  </si>
  <si>
    <t>5,479,893.94</t>
  </si>
  <si>
    <t>9,740,927.00</t>
  </si>
  <si>
    <t>3,552,710.00</t>
  </si>
  <si>
    <t>2,329,586.11</t>
  </si>
  <si>
    <t>473,041.18</t>
  </si>
  <si>
    <t>10,503,282.50</t>
  </si>
  <si>
    <t>2,474,972.69</t>
  </si>
  <si>
    <t>1,426,720.88</t>
  </si>
  <si>
    <t>2,701,381.80</t>
  </si>
  <si>
    <t>1,979,988.12</t>
  </si>
  <si>
    <t>1,087,316.00</t>
  </si>
  <si>
    <t>2,096,266.00</t>
  </si>
  <si>
    <t>470,603.00</t>
  </si>
  <si>
    <t>287,774.05</t>
  </si>
  <si>
    <t>291,687.41</t>
  </si>
  <si>
    <t>1,335,892.50</t>
  </si>
  <si>
    <t>477,795.56</t>
  </si>
  <si>
    <t>2,991,217.61</t>
  </si>
  <si>
    <t>1,106,662.70</t>
  </si>
  <si>
    <t>29,406,830.00</t>
  </si>
  <si>
    <t>16,918,870.36</t>
  </si>
  <si>
    <t>21,772,625.00</t>
  </si>
  <si>
    <t>13,239,006.74</t>
  </si>
  <si>
    <t>1,826,748.39</t>
  </si>
  <si>
    <t>592,309.60</t>
  </si>
  <si>
    <t>657,646.83</t>
  </si>
  <si>
    <t>3,999,955.38</t>
  </si>
  <si>
    <t>3,999,997.61</t>
  </si>
  <si>
    <t>52,000,000.00</t>
  </si>
  <si>
    <t>2,536,067.00</t>
  </si>
  <si>
    <t>2,722,999.58</t>
  </si>
  <si>
    <t>4,380,000.00</t>
  </si>
  <si>
    <t>56,000,000.00</t>
  </si>
  <si>
    <t>440,400.00</t>
  </si>
  <si>
    <t>7,814,363.50</t>
  </si>
  <si>
    <t>39,000,000.00</t>
  </si>
  <si>
    <t>3,750,000.02</t>
  </si>
  <si>
    <t>295,326.00</t>
  </si>
  <si>
    <t>2,297,095.00</t>
  </si>
  <si>
    <t>23,932,292.48</t>
  </si>
  <si>
    <t>14,777,000.00</t>
  </si>
  <si>
    <t>2,934,256.78</t>
  </si>
  <si>
    <t>3,112,000.00</t>
  </si>
  <si>
    <t>53,510.00</t>
  </si>
  <si>
    <t>1,984,056.58</t>
  </si>
  <si>
    <t>549,943.00</t>
  </si>
  <si>
    <t>3,087,861.00</t>
  </si>
  <si>
    <t>160,279.33</t>
  </si>
  <si>
    <t>40,180,000.00</t>
  </si>
  <si>
    <t>29,449,000.00</t>
  </si>
  <si>
    <t>3,907,214.16</t>
  </si>
  <si>
    <t>5,867,023.19</t>
  </si>
  <si>
    <t>2,650,060.00</t>
  </si>
  <si>
    <t>2,894,531.69</t>
  </si>
  <si>
    <t>341,072.00</t>
  </si>
  <si>
    <t>3,576,132.00</t>
  </si>
  <si>
    <t>1,455,568.79</t>
  </si>
  <si>
    <t>5,551,206.94</t>
  </si>
  <si>
    <t>9,703,634.00</t>
  </si>
  <si>
    <t>1,439,917.48</t>
  </si>
  <si>
    <t>2,249,146.84</t>
  </si>
  <si>
    <t>24,621,131.06</t>
  </si>
  <si>
    <t>6,378,080.00</t>
  </si>
  <si>
    <t>43,500,000.00</t>
  </si>
  <si>
    <t>6,855,346.40</t>
  </si>
  <si>
    <t>34,090.00</t>
  </si>
  <si>
    <t>4,899,400.00</t>
  </si>
  <si>
    <t>19,785,893.57</t>
  </si>
  <si>
    <t>2,442,213.20</t>
  </si>
  <si>
    <t>63,136.80</t>
  </si>
  <si>
    <t>5,499,982.50</t>
  </si>
  <si>
    <t>12,469,506.72</t>
  </si>
  <si>
    <t>1,332,106.25</t>
  </si>
  <si>
    <t>3,011,390.00</t>
  </si>
  <si>
    <t>4,628,285.60</t>
  </si>
  <si>
    <t>3,226,147.35</t>
  </si>
  <si>
    <t>7,969,646.96</t>
  </si>
  <si>
    <t>96,402,792.81</t>
  </si>
  <si>
    <t>13,259,348.28</t>
  </si>
  <si>
    <t>4,713,469.21</t>
  </si>
  <si>
    <t>19,300,000.00</t>
  </si>
  <si>
    <t>30,893,117.26</t>
  </si>
  <si>
    <t>79,130,000.00</t>
  </si>
  <si>
    <t>53,075,000.00</t>
  </si>
  <si>
    <t>9,354,967.03</t>
  </si>
  <si>
    <t>19,801,477.33</t>
  </si>
  <si>
    <t>7,920,147.20</t>
  </si>
  <si>
    <t>1,336,730.20</t>
  </si>
  <si>
    <t>1,098,666.40</t>
  </si>
  <si>
    <t>15,214,000.00</t>
  </si>
  <si>
    <t>1,043,733.33</t>
  </si>
  <si>
    <t>3,464,922.51</t>
  </si>
  <si>
    <t>7,432,000.00</t>
  </si>
  <si>
    <t>2,336,500.00</t>
  </si>
  <si>
    <t>9,899,995.57</t>
  </si>
  <si>
    <t>17,901,800.00</t>
  </si>
  <si>
    <t>9,899,991.49</t>
  </si>
  <si>
    <t>3,453,000.00</t>
  </si>
  <si>
    <t>24,400,000.00</t>
  </si>
  <si>
    <t>3,640,000.00</t>
  </si>
  <si>
    <t>96,497,541.23</t>
  </si>
  <si>
    <t>2,999,985.41</t>
  </si>
  <si>
    <t>9,900,487.04</t>
  </si>
  <si>
    <t>3,379,681.28</t>
  </si>
  <si>
    <t>2,999,997.33</t>
  </si>
  <si>
    <t>7,999,999.47</t>
  </si>
  <si>
    <t>19,800,923.60</t>
  </si>
  <si>
    <t>29,699,990.20</t>
  </si>
  <si>
    <t>29,701,491.04</t>
  </si>
  <si>
    <t>29,558,832.19</t>
  </si>
  <si>
    <t>170,960.00</t>
  </si>
  <si>
    <t>5,784,064.95</t>
  </si>
  <si>
    <t>3,327,687.62</t>
  </si>
  <si>
    <t>29,699,993.77</t>
  </si>
  <si>
    <t>69,299,996.96</t>
  </si>
  <si>
    <t>299,954.84</t>
  </si>
  <si>
    <t>34,649,985.05</t>
  </si>
  <si>
    <t>87,747,673.16</t>
  </si>
  <si>
    <t>499,577.32</t>
  </si>
  <si>
    <t>50,320,695.00</t>
  </si>
  <si>
    <t>5,995,000.00</t>
  </si>
  <si>
    <t>5,372,600.00</t>
  </si>
  <si>
    <t>10,680,000.00</t>
  </si>
  <si>
    <t>1,198,879.96</t>
  </si>
  <si>
    <t>1,968,798.25</t>
  </si>
  <si>
    <t>1,830,216.25</t>
  </si>
  <si>
    <t>231,000.00</t>
  </si>
  <si>
    <t>2,700,000,000.00</t>
  </si>
  <si>
    <t>1,534,347.19</t>
  </si>
  <si>
    <t>99,000,000.00</t>
  </si>
  <si>
    <t>29,699,466.87</t>
  </si>
  <si>
    <t>33,733,000.00</t>
  </si>
  <si>
    <t>82,025,000.00</t>
  </si>
  <si>
    <t>98,000,000.00</t>
  </si>
  <si>
    <t>117,141,086.95</t>
  </si>
  <si>
    <t>1,199,792.77</t>
  </si>
  <si>
    <t>424,769.39</t>
  </si>
  <si>
    <t>2,980,268.93</t>
  </si>
  <si>
    <t>15,600,000.00</t>
  </si>
  <si>
    <t>299,842.00</t>
  </si>
  <si>
    <t>4,585,978.20</t>
  </si>
  <si>
    <t>10,500,000.00</t>
  </si>
  <si>
    <t>995,069.18</t>
  </si>
  <si>
    <t>324,705.00</t>
  </si>
  <si>
    <t>1,049,379.58</t>
  </si>
  <si>
    <t>144,747,335.55</t>
  </si>
  <si>
    <t>4,197,000.00</t>
  </si>
  <si>
    <t>144,750,000.00</t>
  </si>
  <si>
    <t>300,000,000.00</t>
  </si>
  <si>
    <t>3,770,300.00</t>
  </si>
  <si>
    <t>3,175,265.75</t>
  </si>
  <si>
    <t>90,523,000.00</t>
  </si>
  <si>
    <t>164,988,000.00</t>
  </si>
  <si>
    <t>8,795,000.00</t>
  </si>
  <si>
    <t>1,429,311.00</t>
  </si>
  <si>
    <t>153,450,000.00</t>
  </si>
  <si>
    <t>28,877,500.00</t>
  </si>
  <si>
    <t>111,310,000.00</t>
  </si>
  <si>
    <t>28,916,667.00</t>
  </si>
  <si>
    <t>1,388,750.00</t>
  </si>
  <si>
    <t>2,673,400.00</t>
  </si>
  <si>
    <t>6,200,000.00</t>
  </si>
  <si>
    <t>88,707,634.87</t>
  </si>
  <si>
    <t>1,002,000.00</t>
  </si>
  <si>
    <t>8,499,997.44</t>
  </si>
  <si>
    <t>2,606,951.31</t>
  </si>
  <si>
    <t>2,447,500.00</t>
  </si>
  <si>
    <t>2,750,982.44</t>
  </si>
  <si>
    <t>91,309,000.00</t>
  </si>
  <si>
    <t>3,025,657.63</t>
  </si>
  <si>
    <t>1,322,050.00</t>
  </si>
  <si>
    <t>1,447,500.00</t>
  </si>
  <si>
    <t>1,187,849.29</t>
  </si>
  <si>
    <t>9,899,997.26</t>
  </si>
  <si>
    <t>1,329,428.01</t>
  </si>
  <si>
    <t>69,510.00</t>
  </si>
  <si>
    <t>2,340,801.68</t>
  </si>
  <si>
    <t>9,899,994.38</t>
  </si>
  <si>
    <t>1,114,793.99</t>
  </si>
  <si>
    <t>2,787,756.08</t>
  </si>
  <si>
    <t>28,420,000.00</t>
  </si>
  <si>
    <t>38,600,000.00</t>
  </si>
  <si>
    <t>32,807,244.61</t>
  </si>
  <si>
    <t>172,250.00</t>
  </si>
  <si>
    <t>212,400.00</t>
  </si>
  <si>
    <t>15,950,000.00</t>
  </si>
  <si>
    <t>982,000.00</t>
  </si>
  <si>
    <t>10,622,795.00</t>
  </si>
  <si>
    <t>10,540,000.00</t>
  </si>
  <si>
    <t>75,250,000.00</t>
  </si>
  <si>
    <t>2,281,000.00</t>
  </si>
  <si>
    <t>142,195,926.80</t>
  </si>
  <si>
    <t>2,462,800.00</t>
  </si>
  <si>
    <t>105,750.00</t>
  </si>
  <si>
    <t>115,796,570.69</t>
  </si>
  <si>
    <t>182,384,015.40</t>
  </si>
  <si>
    <t>4,995,000.00</t>
  </si>
  <si>
    <t>149,570,068.63</t>
  </si>
  <si>
    <t>360,255,000.00</t>
  </si>
  <si>
    <t>154,394,824.91</t>
  </si>
  <si>
    <t>154,393,805.22</t>
  </si>
  <si>
    <t>102,949,715.43</t>
  </si>
  <si>
    <t>2,504,150.00</t>
  </si>
  <si>
    <t>14,214,611.43</t>
  </si>
  <si>
    <t>983,247.19</t>
  </si>
  <si>
    <t>508,161.60</t>
  </si>
  <si>
    <t>778,077.39</t>
  </si>
  <si>
    <t>346,658.00</t>
  </si>
  <si>
    <t>442,968.54</t>
  </si>
  <si>
    <t>789,411.00</t>
  </si>
  <si>
    <t>340,308.67</t>
  </si>
  <si>
    <t>824,874.99</t>
  </si>
  <si>
    <t>15,911,970.00</t>
  </si>
  <si>
    <t>19,578,997.50</t>
  </si>
  <si>
    <t>10,284,294.75</t>
  </si>
  <si>
    <t>2,650,935.00</t>
  </si>
  <si>
    <t>10,036,581.00</t>
  </si>
  <si>
    <t>775,000.03</t>
  </si>
  <si>
    <t>184,769.42</t>
  </si>
  <si>
    <t>200,140.77</t>
  </si>
  <si>
    <t>969,192,253.28</t>
  </si>
  <si>
    <t>312,222.50</t>
  </si>
  <si>
    <t>1,267,200.00</t>
  </si>
  <si>
    <t>4,221,451.00</t>
  </si>
  <si>
    <t>2,406,678.99</t>
  </si>
  <si>
    <t>973,635.04</t>
  </si>
  <si>
    <t>978,730.73</t>
  </si>
  <si>
    <t>992,845.05</t>
  </si>
  <si>
    <t>737,452.42</t>
  </si>
  <si>
    <t>272,219.71</t>
  </si>
  <si>
    <t>10,050,575.63</t>
  </si>
  <si>
    <t>160,600.00</t>
  </si>
  <si>
    <t>65,000,324.09</t>
  </si>
  <si>
    <t>9,149,048.61</t>
  </si>
  <si>
    <t>961,000.00</t>
  </si>
  <si>
    <t>94,904.00</t>
  </si>
  <si>
    <t>1,555,122.75</t>
  </si>
  <si>
    <t>1,021,660.24</t>
  </si>
  <si>
    <t>80,000,000.00</t>
  </si>
  <si>
    <t>763,000.00</t>
  </si>
  <si>
    <t>349,874.50</t>
  </si>
  <si>
    <t>55,887,160.00</t>
  </si>
  <si>
    <t>866,445.98</t>
  </si>
  <si>
    <t>544,673.07</t>
  </si>
  <si>
    <t>361,884.04</t>
  </si>
  <si>
    <t>693,220.51</t>
  </si>
  <si>
    <t>540,450.61</t>
  </si>
  <si>
    <t>435,506.99</t>
  </si>
  <si>
    <t>499,929.12</t>
  </si>
  <si>
    <t>19,796,000.00</t>
  </si>
  <si>
    <t>959,116.00</t>
  </si>
  <si>
    <t>867,190.54</t>
  </si>
  <si>
    <t>576,747,648.00</t>
  </si>
  <si>
    <t>150,000,000.00</t>
  </si>
  <si>
    <t>617,436.39</t>
  </si>
  <si>
    <t>268,500.00</t>
  </si>
  <si>
    <t>2,199,680.00</t>
  </si>
  <si>
    <t>32,340,000.00</t>
  </si>
  <si>
    <t>11,400,000.00</t>
  </si>
  <si>
    <t>8,262,312.00</t>
  </si>
  <si>
    <t>1,186,000.00</t>
  </si>
  <si>
    <t>15,345,000.00</t>
  </si>
  <si>
    <t>968,975.40</t>
  </si>
  <si>
    <t>3,335,000.00</t>
  </si>
  <si>
    <t>25,522,400.00</t>
  </si>
  <si>
    <t>3,253,000.00</t>
  </si>
  <si>
    <t>67,534,000.00</t>
  </si>
  <si>
    <t>657,293.50</t>
  </si>
  <si>
    <t>670,000.00</t>
  </si>
  <si>
    <t>1,699,815.00</t>
  </si>
  <si>
    <t>507,000.00</t>
  </si>
  <si>
    <t>2,998,230.00</t>
  </si>
  <si>
    <t>2,986,997.34</t>
  </si>
  <si>
    <t>4,149,935.52</t>
  </si>
  <si>
    <t>2,749,621.26</t>
  </si>
  <si>
    <t>4,949,944.95</t>
  </si>
  <si>
    <t>9,726,600.00</t>
  </si>
  <si>
    <t>1,092,500.00</t>
  </si>
  <si>
    <t>16,920,000.00</t>
  </si>
  <si>
    <t>699,856.09</t>
  </si>
  <si>
    <t>2,799,640.26</t>
  </si>
  <si>
    <t>2,655,527.50</t>
  </si>
  <si>
    <t>597,520.11</t>
  </si>
  <si>
    <t>1,797,532.31</t>
  </si>
  <si>
    <t>991,534.11</t>
  </si>
  <si>
    <t>22,348.00</t>
  </si>
  <si>
    <t>2,969,300.00</t>
  </si>
  <si>
    <t>47,446,663.10</t>
  </si>
  <si>
    <t>4,999,873.48</t>
  </si>
  <si>
    <t>801,000.00</t>
  </si>
  <si>
    <t>46,842.95</t>
  </si>
  <si>
    <t>202,080.00</t>
  </si>
  <si>
    <t>86,850,000.00</t>
  </si>
  <si>
    <t>6,957,658.60</t>
  </si>
  <si>
    <t>120,702.00</t>
  </si>
  <si>
    <t>724,800.00</t>
  </si>
  <si>
    <t>18,249,255.00</t>
  </si>
  <si>
    <t>1,499,791.00</t>
  </si>
  <si>
    <t>129,158.40</t>
  </si>
  <si>
    <t>299,998.00</t>
  </si>
  <si>
    <t>737,800.00</t>
  </si>
  <si>
    <t>105,423.83</t>
  </si>
  <si>
    <t>178,200.00</t>
  </si>
  <si>
    <t>504,935.00</t>
  </si>
  <si>
    <t>834,976.60</t>
  </si>
  <si>
    <t>98,988.00</t>
  </si>
  <si>
    <t>58,288.33</t>
  </si>
  <si>
    <t>1,309,560.00</t>
  </si>
  <si>
    <t>838,800.00</t>
  </si>
  <si>
    <t>2,787,702.33</t>
  </si>
  <si>
    <t>15,499,230.26</t>
  </si>
  <si>
    <t>7,229,591.00</t>
  </si>
  <si>
    <t>5,765,599.56</t>
  </si>
  <si>
    <t>220,975.00</t>
  </si>
  <si>
    <t>3,954,136.55</t>
  </si>
  <si>
    <t>94,826.67</t>
  </si>
  <si>
    <t>1,897,873.33</t>
  </si>
  <si>
    <t>94,320.00</t>
  </si>
  <si>
    <t>236,740.00</t>
  </si>
  <si>
    <t>99,400.00</t>
  </si>
  <si>
    <t>539,370.00</t>
  </si>
  <si>
    <t>854,118.09</t>
  </si>
  <si>
    <t>682,100.00</t>
  </si>
  <si>
    <t>12,305,160.00</t>
  </si>
  <si>
    <t>583,296.00</t>
  </si>
  <si>
    <t>8,823,343.04</t>
  </si>
  <si>
    <t>9,443,400.00</t>
  </si>
  <si>
    <t>137,760.00</t>
  </si>
  <si>
    <t>39,001,000.00</t>
  </si>
  <si>
    <t>537,450.00</t>
  </si>
  <si>
    <t>14,997,493.55</t>
  </si>
  <si>
    <t>702,251.98</t>
  </si>
  <si>
    <t>2,969,951.91</t>
  </si>
  <si>
    <t>2,257,068.21</t>
  </si>
  <si>
    <t>4,993,172.71</t>
  </si>
  <si>
    <t>3,958,007.75</t>
  </si>
  <si>
    <t>25,500,000.00</t>
  </si>
  <si>
    <t>2,491,213.78</t>
  </si>
  <si>
    <t>1,499,286.02</t>
  </si>
  <si>
    <t>1,190,768.00</t>
  </si>
  <si>
    <t>1,135,000.00</t>
  </si>
  <si>
    <t>337,000.00</t>
  </si>
  <si>
    <t>1,498,727.95</t>
  </si>
  <si>
    <t>126,745,640.00</t>
  </si>
  <si>
    <t>4,949,900.95</t>
  </si>
  <si>
    <t>9,899,973.21</t>
  </si>
  <si>
    <t>14,697,625.65</t>
  </si>
  <si>
    <t>3,799,990.69</t>
  </si>
  <si>
    <t>1,999,197.00</t>
  </si>
  <si>
    <t>1,045,762.27</t>
  </si>
  <si>
    <t>86,849,971.01</t>
  </si>
  <si>
    <t>48,999,866.87</t>
  </si>
  <si>
    <t>2,999,916.94</t>
  </si>
  <si>
    <t>53,900,000.00</t>
  </si>
  <si>
    <t>4,213,093.50</t>
  </si>
  <si>
    <t>7,850,000.00</t>
  </si>
  <si>
    <t>106,149,995.59</t>
  </si>
  <si>
    <t>22,994,000.00</t>
  </si>
  <si>
    <t>17,350,000.00</t>
  </si>
  <si>
    <t>74,167.50</t>
  </si>
  <si>
    <t>253,798.00</t>
  </si>
  <si>
    <t>870,113.00</t>
  </si>
  <si>
    <t>3,984,000.00</t>
  </si>
  <si>
    <t>725,182.06</t>
  </si>
  <si>
    <t>9,998,658.72</t>
  </si>
  <si>
    <t>225,124.96</t>
  </si>
  <si>
    <t>514,604.00</t>
  </si>
  <si>
    <t>222,895.00</t>
  </si>
  <si>
    <t>104,950.00</t>
  </si>
  <si>
    <t>24,218.00</t>
  </si>
  <si>
    <t>198,962.66</t>
  </si>
  <si>
    <t>4,503,000.00</t>
  </si>
  <si>
    <t>1,171,152.92</t>
  </si>
  <si>
    <t>24,749,857.63</t>
  </si>
  <si>
    <t>21,372,000.00</t>
  </si>
  <si>
    <t>983,603.00</t>
  </si>
  <si>
    <t>535,500.00</t>
  </si>
  <si>
    <t>53,074,892.40</t>
  </si>
  <si>
    <t>765,000.00</t>
  </si>
  <si>
    <t>440,062.85</t>
  </si>
  <si>
    <t>3,375,621.00</t>
  </si>
  <si>
    <t>27,292,397.95</t>
  </si>
  <si>
    <t>1,908,000.00</t>
  </si>
  <si>
    <t>4,451,520.00</t>
  </si>
  <si>
    <t>29,978,756.28</t>
  </si>
  <si>
    <t>4,552,000.00</t>
  </si>
  <si>
    <t>620,650.00</t>
  </si>
  <si>
    <t>22,991,000.00</t>
  </si>
  <si>
    <t>147,500.00</t>
  </si>
  <si>
    <t>1,782,000.00</t>
  </si>
  <si>
    <t>6,825,000.00</t>
  </si>
  <si>
    <t>274,500.00</t>
  </si>
  <si>
    <t>37,871,672.86</t>
  </si>
  <si>
    <t>72,252,000.00</t>
  </si>
  <si>
    <t>47,300,000.00</t>
  </si>
  <si>
    <t>553,390.28</t>
  </si>
  <si>
    <t>54,683,189.82</t>
  </si>
  <si>
    <t>996,971.00</t>
  </si>
  <si>
    <t>9,891,211.81</t>
  </si>
  <si>
    <t>21,342,705.42</t>
  </si>
  <si>
    <t>113,869,972.33</t>
  </si>
  <si>
    <t>921,672,000.00</t>
  </si>
  <si>
    <t>51,740,000.00</t>
  </si>
  <si>
    <t>1,947,062,163.77</t>
  </si>
  <si>
    <t>29,699,982.26</t>
  </si>
  <si>
    <t>8,372,579.52</t>
  </si>
  <si>
    <t>19,636,391.87</t>
  </si>
  <si>
    <t>1,741,936.43</t>
  </si>
  <si>
    <t>732,000.00</t>
  </si>
  <si>
    <t>1,375,869.95</t>
  </si>
  <si>
    <t>153,500.00</t>
  </si>
  <si>
    <t>8,788,000.00</t>
  </si>
  <si>
    <t>665,000.00</t>
  </si>
  <si>
    <t>16,926,840.72</t>
  </si>
  <si>
    <t>748,000.00</t>
  </si>
  <si>
    <t>530,400.00</t>
  </si>
  <si>
    <t>1,584,198.00</t>
  </si>
  <si>
    <t>1,113,783.04</t>
  </si>
  <si>
    <t>559,368.00</t>
  </si>
  <si>
    <t>564,143.80</t>
  </si>
  <si>
    <t>1,240,000.00</t>
  </si>
  <si>
    <t>3,178,938.13</t>
  </si>
  <si>
    <t>1,260,000.00</t>
  </si>
  <si>
    <t>5,973,320.00</t>
  </si>
  <si>
    <t>1,086,548.30</t>
  </si>
  <si>
    <t>19,299,304.80</t>
  </si>
  <si>
    <t>14,475,000.00</t>
  </si>
  <si>
    <t>521,400.00</t>
  </si>
  <si>
    <t>14,699,876.10</t>
  </si>
  <si>
    <t>14,849,912.60</t>
  </si>
  <si>
    <t>947,540.00</t>
  </si>
  <si>
    <t>16,455,600.00</t>
  </si>
  <si>
    <t>1,999,848.68</t>
  </si>
  <si>
    <t>18,779,222.43</t>
  </si>
  <si>
    <t>5,397,040.00</t>
  </si>
  <si>
    <t>215,040.00</t>
  </si>
  <si>
    <t>1,749,074.98</t>
  </si>
  <si>
    <t>12,174,040.00</t>
  </si>
  <si>
    <t>2,521,768.78</t>
  </si>
  <si>
    <t>17,100.00</t>
  </si>
  <si>
    <t>14,699,567.96</t>
  </si>
  <si>
    <t>774,559.72</t>
  </si>
  <si>
    <t>5,054,400.00</t>
  </si>
  <si>
    <t>96,499,688.13</t>
  </si>
  <si>
    <t>516,320.00</t>
  </si>
  <si>
    <t>2,620,502.40</t>
  </si>
  <si>
    <t>2,144,463.20</t>
  </si>
  <si>
    <t>33,774,976.51</t>
  </si>
  <si>
    <t>57,899,472.13</t>
  </si>
  <si>
    <t>34,649,938.85</t>
  </si>
  <si>
    <t>4,907,000.00</t>
  </si>
  <si>
    <t>14,846,048.58</t>
  </si>
  <si>
    <t>5,541,613.32</t>
  </si>
  <si>
    <t>921,000.00</t>
  </si>
  <si>
    <t>47,284,973.58</t>
  </si>
  <si>
    <t>11,524,523.73</t>
  </si>
  <si>
    <t>15,953,000.00</t>
  </si>
  <si>
    <t>87,077,740.00</t>
  </si>
  <si>
    <t>29,699,973.77</t>
  </si>
  <si>
    <t>96,499,979.16</t>
  </si>
  <si>
    <t>8,004,050.28</t>
  </si>
  <si>
    <t>48,249,996.11</t>
  </si>
  <si>
    <t>15,344,856.27</t>
  </si>
  <si>
    <t>639,000.00</t>
  </si>
  <si>
    <t>2,307,000.00</t>
  </si>
  <si>
    <t>52,110,000.00</t>
  </si>
  <si>
    <t>29,088,000.00</t>
  </si>
  <si>
    <t>315,360.00</t>
  </si>
  <si>
    <t>1,798,396.02</t>
  </si>
  <si>
    <t>24,505,000.00</t>
  </si>
  <si>
    <t>53,100,000.00</t>
  </si>
  <si>
    <t>46,215,400.00</t>
  </si>
  <si>
    <t>55,620,000.00</t>
  </si>
  <si>
    <t>1,504,705.38</t>
  </si>
  <si>
    <t>4,010,000.00</t>
  </si>
  <si>
    <t>30,012,500.00</t>
  </si>
  <si>
    <t>54,450,000.00</t>
  </si>
  <si>
    <t>26,730,000.00</t>
  </si>
  <si>
    <t>33,000,000.00</t>
  </si>
  <si>
    <t>28,275,000.00</t>
  </si>
  <si>
    <t>1,481,125.00</t>
  </si>
  <si>
    <t>31,412,500.00</t>
  </si>
  <si>
    <t>9,694,545.45</t>
  </si>
  <si>
    <t>38,412,500.00</t>
  </si>
  <si>
    <t>3,091,000.00</t>
  </si>
  <si>
    <t>16,185,000.00</t>
  </si>
  <si>
    <t>86,811,400.00</t>
  </si>
  <si>
    <t>3,631,426.50</t>
  </si>
  <si>
    <t>53,850,000.00</t>
  </si>
  <si>
    <t>428,153.00</t>
  </si>
  <si>
    <t>52,952,500.00</t>
  </si>
  <si>
    <t>53,867,950.00</t>
  </si>
  <si>
    <t>54,075,000.00</t>
  </si>
  <si>
    <t>41,800,000.00</t>
  </si>
  <si>
    <t>3,759,553.34</t>
  </si>
  <si>
    <t>3,638,000.00</t>
  </si>
  <si>
    <t>172,300,000.00</t>
  </si>
  <si>
    <t>162,078.00</t>
  </si>
  <si>
    <t>612,000.00</t>
  </si>
  <si>
    <t>1,111,000.00</t>
  </si>
  <si>
    <t>9,899,916.97</t>
  </si>
  <si>
    <t>865,489.00</t>
  </si>
  <si>
    <t>86,367,500.00</t>
  </si>
  <si>
    <t>83,899,030.00</t>
  </si>
  <si>
    <t>287,723,710.80</t>
  </si>
  <si>
    <t>611,550.00</t>
  </si>
  <si>
    <t>941,998.00</t>
  </si>
  <si>
    <t>2,130,000.00</t>
  </si>
  <si>
    <t>109,363,588.08</t>
  </si>
  <si>
    <t>255,826,933.76</t>
  </si>
  <si>
    <t>190,375,000.00</t>
  </si>
  <si>
    <t>1,485,888.85</t>
  </si>
  <si>
    <t>255,369,933.76</t>
  </si>
  <si>
    <t>2,335,144.00</t>
  </si>
  <si>
    <t>541,653.00</t>
  </si>
  <si>
    <t>1,278,000.00</t>
  </si>
  <si>
    <t>3,720,486.00</t>
  </si>
  <si>
    <t>79,901,000.00</t>
  </si>
  <si>
    <t>274,068,357.60</t>
  </si>
  <si>
    <t>3,275,000.00</t>
  </si>
  <si>
    <t>43,498,084.00</t>
  </si>
  <si>
    <t>57,000,000.00</t>
  </si>
  <si>
    <t>1,067,000.00</t>
  </si>
  <si>
    <t>1,107,500.00</t>
  </si>
  <si>
    <t>2,007,000.00</t>
  </si>
  <si>
    <t>1,640,895.00</t>
  </si>
  <si>
    <t>73,500,000.00</t>
  </si>
  <si>
    <t>2,107,500.00</t>
  </si>
  <si>
    <t>22,439,584.38</t>
  </si>
  <si>
    <t>111,000,000.00</t>
  </si>
  <si>
    <t>3,836,151.00</t>
  </si>
  <si>
    <t>63,349,302.69</t>
  </si>
  <si>
    <t>1,588,013.44</t>
  </si>
  <si>
    <t>5,355,731.98</t>
  </si>
  <si>
    <t>67,238,000.00</t>
  </si>
  <si>
    <t>134,445.00</t>
  </si>
  <si>
    <t>10,704,800.00</t>
  </si>
  <si>
    <t>816,933.04</t>
  </si>
  <si>
    <t>35,951,000.00</t>
  </si>
  <si>
    <t>247,214,000.00</t>
  </si>
  <si>
    <t>5,247,000.00</t>
  </si>
  <si>
    <t>907,854.00</t>
  </si>
  <si>
    <t>58,986,000.00</t>
  </si>
  <si>
    <t>601,560.00</t>
  </si>
  <si>
    <t>649,423.00</t>
  </si>
  <si>
    <t>211,200.00</t>
  </si>
  <si>
    <t>35,596,000.00</t>
  </si>
  <si>
    <t>1,472,984.71</t>
  </si>
  <si>
    <t>815,000.00</t>
  </si>
  <si>
    <t>2,963,928.51</t>
  </si>
  <si>
    <t>5,975,000.00</t>
  </si>
  <si>
    <t>1,076,517.62</t>
  </si>
  <si>
    <t>529,806.57</t>
  </si>
  <si>
    <t>3,407,998.40</t>
  </si>
  <si>
    <t>4,233,668.13</t>
  </si>
  <si>
    <t>919,020.85</t>
  </si>
  <si>
    <t>1,979,956.11</t>
  </si>
  <si>
    <t>1,979,474.56</t>
  </si>
  <si>
    <t>1,502,000.00</t>
  </si>
  <si>
    <t>1,299,084.33</t>
  </si>
  <si>
    <t>1,221,437.43</t>
  </si>
  <si>
    <t>2,231,424.72</t>
  </si>
  <si>
    <t>105,000,000.00</t>
  </si>
  <si>
    <t>69,910,600.00</t>
  </si>
  <si>
    <t>8,800.00</t>
  </si>
  <si>
    <t>1,083,290.12</t>
  </si>
  <si>
    <t>360,751.39</t>
  </si>
  <si>
    <t>26,852,000.00</t>
  </si>
  <si>
    <t>11,286,000.00</t>
  </si>
  <si>
    <t>34,299,989.07</t>
  </si>
  <si>
    <t>48,999,996.39</t>
  </si>
  <si>
    <t>29,099,767.49</t>
  </si>
  <si>
    <t>19,799,999.50</t>
  </si>
  <si>
    <t>9,899,596.36</t>
  </si>
  <si>
    <t>30,725.00</t>
  </si>
  <si>
    <t>97,998,833.48</t>
  </si>
  <si>
    <t>10,800.00</t>
  </si>
  <si>
    <t>9,799,932.60</t>
  </si>
  <si>
    <t>189,200.00</t>
  </si>
  <si>
    <t>43,425,000.00</t>
  </si>
  <si>
    <t>9,797,568.00</t>
  </si>
  <si>
    <t>3,919,609.45</t>
  </si>
  <si>
    <t>98,998,843.79</t>
  </si>
  <si>
    <t>85,035,800.00</t>
  </si>
  <si>
    <t>19,799,702.03</t>
  </si>
  <si>
    <t>14,849,659.73</t>
  </si>
  <si>
    <t>9,899,999.86</t>
  </si>
  <si>
    <t>59,399,994.70</t>
  </si>
  <si>
    <t>14,849,946.31</t>
  </si>
  <si>
    <t>49,498,416.97</t>
  </si>
  <si>
    <t>98,999,642.57</t>
  </si>
  <si>
    <t>51,938,302.00</t>
  </si>
  <si>
    <t>230,844,405.00</t>
  </si>
  <si>
    <t>138,849,025.00</t>
  </si>
  <si>
    <t>43,149,400.00</t>
  </si>
  <si>
    <t>9,899,900.44</t>
  </si>
  <si>
    <t>16,830,000.00</t>
  </si>
  <si>
    <t>133,650,000.00</t>
  </si>
  <si>
    <t>224,800,000.00</t>
  </si>
  <si>
    <t>19,992,000.00</t>
  </si>
  <si>
    <t>24,000,000.00</t>
  </si>
  <si>
    <t>118,859,050.00</t>
  </si>
  <si>
    <t>50,180,000.00</t>
  </si>
  <si>
    <t>134,754,530.00</t>
  </si>
  <si>
    <t>39,080,000.00</t>
  </si>
  <si>
    <t>516,000.00</t>
  </si>
  <si>
    <t>45,361,366,040.29</t>
  </si>
  <si>
    <t>17,992,200.80</t>
  </si>
  <si>
    <t>0 Day/s</t>
  </si>
  <si>
    <t>45 Day/s</t>
  </si>
  <si>
    <t>30 Day/s</t>
  </si>
  <si>
    <t>12 Month/s</t>
  </si>
  <si>
    <t>360 Day/s</t>
  </si>
  <si>
    <t>90 Day/s</t>
  </si>
  <si>
    <t>10 Day/s</t>
  </si>
  <si>
    <t>20 Day/s</t>
  </si>
  <si>
    <t>60 Day/s</t>
  </si>
  <si>
    <t>7 Day/s</t>
  </si>
  <si>
    <t>14 Day/s</t>
  </si>
  <si>
    <t>25 Day/s</t>
  </si>
  <si>
    <t>15 Day/s</t>
  </si>
  <si>
    <t>1 Day/s</t>
  </si>
  <si>
    <t>180 Day/s</t>
  </si>
  <si>
    <t>31 Day/s</t>
  </si>
  <si>
    <t>120 Day/s</t>
  </si>
  <si>
    <t>42 Day/s</t>
  </si>
  <si>
    <t>210 Day/s</t>
  </si>
  <si>
    <t>75 Day/s</t>
  </si>
  <si>
    <t>23 Day/s</t>
  </si>
  <si>
    <t>132 Day/s</t>
  </si>
  <si>
    <t>21 Day/s</t>
  </si>
  <si>
    <t>114 Day/s</t>
  </si>
  <si>
    <t>16 Day/s</t>
  </si>
  <si>
    <t>105 Day/s</t>
  </si>
  <si>
    <t>1 Year/s</t>
  </si>
  <si>
    <t>3 Day/s</t>
  </si>
  <si>
    <t>2 Day/s</t>
  </si>
  <si>
    <t>5 Day/s</t>
  </si>
  <si>
    <t>58 Day/s</t>
  </si>
  <si>
    <t>12 Day/s</t>
  </si>
  <si>
    <t>3 Month/s</t>
  </si>
  <si>
    <t>40 Day/s</t>
  </si>
  <si>
    <t>24 Day/s</t>
  </si>
  <si>
    <t>72 Day/s</t>
  </si>
  <si>
    <t>112 Day/s</t>
  </si>
  <si>
    <t>77 Day/s</t>
  </si>
  <si>
    <t>130 Day/s</t>
  </si>
  <si>
    <t>4 Day/s</t>
  </si>
  <si>
    <t>164 Day/s</t>
  </si>
  <si>
    <t>6 Month/s</t>
  </si>
  <si>
    <t>6 Day/s</t>
  </si>
  <si>
    <t>3 Year/s</t>
  </si>
  <si>
    <t>65 Day/s</t>
  </si>
  <si>
    <t>4 Month/s</t>
  </si>
  <si>
    <t>10 Month/s</t>
  </si>
  <si>
    <t>113 Day/s</t>
  </si>
  <si>
    <t>11 Day/s</t>
  </si>
  <si>
    <t>48 Day/s</t>
  </si>
  <si>
    <t>74 Day/s</t>
  </si>
  <si>
    <t>300 Day/s</t>
  </si>
  <si>
    <t>168 Day/s</t>
  </si>
  <si>
    <t>7 Month/s</t>
  </si>
  <si>
    <t>8 Day/s</t>
  </si>
  <si>
    <t>69 Day/s</t>
  </si>
  <si>
    <t>50 Day/s</t>
  </si>
  <si>
    <t>27 Day/s</t>
  </si>
  <si>
    <t>107 Day/s</t>
  </si>
  <si>
    <t>150 Day/s</t>
  </si>
  <si>
    <t>35 Day/s</t>
  </si>
  <si>
    <t>47 Day/s</t>
  </si>
  <si>
    <t>56 Day/s</t>
  </si>
  <si>
    <t>41 Day/s</t>
  </si>
  <si>
    <t>86 Day/s</t>
  </si>
  <si>
    <t>153 Day/s</t>
  </si>
  <si>
    <t>184 Day/s</t>
  </si>
  <si>
    <t>2 Month/s</t>
  </si>
  <si>
    <t>140 Day/s</t>
  </si>
  <si>
    <t>13 Day/s</t>
  </si>
  <si>
    <t>44 Day/s</t>
  </si>
  <si>
    <t>121 Day/s</t>
  </si>
  <si>
    <t>240 Day/s</t>
  </si>
  <si>
    <t>32 Day/s</t>
  </si>
  <si>
    <t>420 Day/s</t>
  </si>
  <si>
    <t>17 Day/s</t>
  </si>
  <si>
    <t>70 Day/s</t>
  </si>
  <si>
    <t>520 Day/s</t>
  </si>
  <si>
    <t>83 Day/s</t>
  </si>
  <si>
    <t>100 Day/s</t>
  </si>
  <si>
    <t>52 Day/s</t>
  </si>
  <si>
    <t>51 Day/s</t>
  </si>
  <si>
    <t>34 Day/s</t>
  </si>
  <si>
    <t>270 Day/s</t>
  </si>
  <si>
    <t>64 Day/s</t>
  </si>
  <si>
    <t>22 Day/s</t>
  </si>
  <si>
    <t>46 Day/s</t>
  </si>
  <si>
    <t>43 Day/s</t>
  </si>
  <si>
    <t>102 Day/s</t>
  </si>
  <si>
    <t>19 Day/s</t>
  </si>
  <si>
    <t>110 Day/s</t>
  </si>
  <si>
    <t>214 Day/s</t>
  </si>
  <si>
    <t>28 Day/s</t>
  </si>
  <si>
    <t>185 Day/s</t>
  </si>
  <si>
    <t>9 Day/s</t>
  </si>
  <si>
    <t>98 Day/s</t>
  </si>
  <si>
    <t>57 Day/s</t>
  </si>
  <si>
    <t>5 Month/s</t>
  </si>
  <si>
    <t>18 Day/s</t>
  </si>
  <si>
    <t>134 Day/s</t>
  </si>
  <si>
    <t>136 Day/s</t>
  </si>
  <si>
    <t>85 Day/s</t>
  </si>
  <si>
    <t>33 Day/s</t>
  </si>
  <si>
    <t>80 Day/s</t>
  </si>
  <si>
    <t>29 Day/s</t>
  </si>
  <si>
    <t>1 Month/s</t>
  </si>
  <si>
    <t>84 Day/s</t>
  </si>
  <si>
    <t>26 Day/s</t>
  </si>
  <si>
    <t>163 Day/s</t>
  </si>
  <si>
    <t>55 Day/s</t>
  </si>
  <si>
    <t>108 Day/s</t>
  </si>
  <si>
    <t>92 Day/s</t>
  </si>
  <si>
    <t>93 Day/s</t>
  </si>
  <si>
    <t>145 Day/s</t>
  </si>
  <si>
    <t>96 Day/s</t>
  </si>
  <si>
    <t>2 Year/s</t>
  </si>
  <si>
    <t>68 Day/s</t>
  </si>
  <si>
    <t>54 Day/s</t>
  </si>
  <si>
    <t>39 Day/s</t>
  </si>
  <si>
    <t>36 Day/s</t>
  </si>
  <si>
    <t>250 Day/s</t>
  </si>
  <si>
    <t>155 Day/s</t>
  </si>
  <si>
    <t>117 Day/s</t>
  </si>
  <si>
    <t>228 Day/s</t>
  </si>
  <si>
    <t>97 Day/s</t>
  </si>
  <si>
    <t>129 Day/s</t>
  </si>
  <si>
    <t>135 Day/s</t>
  </si>
  <si>
    <t>540 Day/s</t>
  </si>
  <si>
    <t>252 Day/s</t>
  </si>
  <si>
    <t>11 Month/s</t>
  </si>
  <si>
    <t>139 Day/s</t>
  </si>
  <si>
    <t>38 Day/s</t>
  </si>
  <si>
    <t>66 Day/s</t>
  </si>
  <si>
    <t>49 Day/s</t>
  </si>
  <si>
    <t>251 Day/s</t>
  </si>
  <si>
    <t>297 Day/s</t>
  </si>
  <si>
    <t>76 Day/s</t>
  </si>
  <si>
    <t>17 Month/s</t>
  </si>
  <si>
    <t>205 Day/s</t>
  </si>
  <si>
    <t>245 Day/s</t>
  </si>
  <si>
    <t>133 Day/s</t>
  </si>
  <si>
    <t>223 Day/s</t>
  </si>
  <si>
    <t>190 Day/s</t>
  </si>
  <si>
    <t>4 Year/s</t>
  </si>
  <si>
    <t>215 Day/s</t>
  </si>
  <si>
    <t>95 Day/s</t>
  </si>
  <si>
    <t>290 Day/s</t>
  </si>
  <si>
    <t>24 Month/s</t>
  </si>
  <si>
    <t>275 Day/s</t>
  </si>
  <si>
    <t>53 Day/s</t>
  </si>
  <si>
    <t>225 Day/s</t>
  </si>
  <si>
    <t>200 Day/s</t>
  </si>
  <si>
    <t>170 Day/s</t>
  </si>
  <si>
    <t>63 Day/s</t>
  </si>
  <si>
    <t>144 Day/s</t>
  </si>
  <si>
    <t>37 Day/s</t>
  </si>
  <si>
    <t>156 Day/s</t>
  </si>
  <si>
    <t>128 Day/s</t>
  </si>
  <si>
    <t>330 Day/s</t>
  </si>
  <si>
    <t>303 Day/s</t>
  </si>
  <si>
    <t>81 Day/s</t>
  </si>
  <si>
    <t>59 Day/s</t>
  </si>
  <si>
    <t>8 Month/s</t>
  </si>
  <si>
    <t>73 Day/s</t>
  </si>
  <si>
    <t>183 Day/s</t>
  </si>
  <si>
    <t>272 Day/s</t>
  </si>
  <si>
    <t>82 Day/s</t>
  </si>
  <si>
    <t>78 Day/s</t>
  </si>
  <si>
    <t>115 Day/s</t>
  </si>
  <si>
    <t>305 Day/s</t>
  </si>
  <si>
    <t>216 Day/s</t>
  </si>
  <si>
    <t>261 Day/s</t>
  </si>
  <si>
    <t>219 Day/s</t>
  </si>
  <si>
    <t>195 Day/s</t>
  </si>
  <si>
    <t>201 Day/s</t>
  </si>
  <si>
    <t>615 Day/s</t>
  </si>
  <si>
    <t>246 Day/s</t>
  </si>
  <si>
    <t>321 Day/s</t>
  </si>
  <si>
    <t>262 Day/s</t>
  </si>
  <si>
    <t>160 Day/s</t>
  </si>
  <si>
    <t>111 Day/s</t>
  </si>
  <si>
    <t>79 Day/s</t>
  </si>
  <si>
    <t>450 Day/s</t>
  </si>
  <si>
    <t>138 Day/s</t>
  </si>
  <si>
    <t>89 Day/s</t>
  </si>
  <si>
    <t>194 Day/s</t>
  </si>
  <si>
    <t>94 Day/s</t>
  </si>
  <si>
    <t>60 Month/s</t>
  </si>
  <si>
    <t>253 Day/s</t>
  </si>
  <si>
    <t>137 Day/s</t>
  </si>
  <si>
    <t>1401 Day/s</t>
  </si>
  <si>
    <t>230 Day/s</t>
  </si>
  <si>
    <t>220 Day/s</t>
  </si>
  <si>
    <t>280 Day/s</t>
  </si>
  <si>
    <t>165 Day/s</t>
  </si>
  <si>
    <t>103 Day/s</t>
  </si>
  <si>
    <t>143 Day/s</t>
  </si>
  <si>
    <t>125 Day/s</t>
  </si>
  <si>
    <t>315 Day/s</t>
  </si>
  <si>
    <t>124 Day/s</t>
  </si>
  <si>
    <t>191 Day/s</t>
  </si>
  <si>
    <t>173 Day/s</t>
  </si>
  <si>
    <t>54 Month/s</t>
  </si>
  <si>
    <t>580 Day/s</t>
  </si>
  <si>
    <t>260 Day/s</t>
  </si>
  <si>
    <t>118 Day/s</t>
  </si>
  <si>
    <t>101 Day/s</t>
  </si>
  <si>
    <t>119 Day/s</t>
  </si>
  <si>
    <t>104 Day/s</t>
  </si>
  <si>
    <t>71 Day/s</t>
  </si>
  <si>
    <t>61 Day/s</t>
  </si>
  <si>
    <t>116 Day/s</t>
  </si>
  <si>
    <t>178 Day/s</t>
  </si>
  <si>
    <t>131 Day/s</t>
  </si>
  <si>
    <t>109 Day/s</t>
  </si>
  <si>
    <t>158 Day/s</t>
  </si>
  <si>
    <t>171 Day/s</t>
  </si>
  <si>
    <t>255 Day/s</t>
  </si>
  <si>
    <t>900 Day/s</t>
  </si>
  <si>
    <t>204 Day/s</t>
  </si>
  <si>
    <t>231 Day/s</t>
  </si>
  <si>
    <t>256 Day/s</t>
  </si>
  <si>
    <t>91 Day/s</t>
  </si>
  <si>
    <t>313 Day/s</t>
  </si>
  <si>
    <t>292 Day/s</t>
  </si>
  <si>
    <t>174 Day/s</t>
  </si>
  <si>
    <t>146 Day/s</t>
  </si>
  <si>
    <t>142 Day/s</t>
  </si>
  <si>
    <t>62 Day/s</t>
  </si>
  <si>
    <t>242 Day/s</t>
  </si>
  <si>
    <t>99 Day/s</t>
  </si>
  <si>
    <t>175 Day/s</t>
  </si>
  <si>
    <t>147 Day/s</t>
  </si>
  <si>
    <t>152 Day/s</t>
  </si>
  <si>
    <t>358 Day/s</t>
  </si>
  <si>
    <t>218 Day/s</t>
  </si>
  <si>
    <t>141 Day/s</t>
  </si>
  <si>
    <t>203 Day/s</t>
  </si>
  <si>
    <t>390 Day/s</t>
  </si>
  <si>
    <t>198 Day/s</t>
  </si>
  <si>
    <t>454 Day/s</t>
  </si>
  <si>
    <t>182 Day/s</t>
  </si>
  <si>
    <t>179 Day/s</t>
  </si>
  <si>
    <t>123 Day/s</t>
  </si>
  <si>
    <t>88 Day/s</t>
  </si>
  <si>
    <t>570 Day/s</t>
  </si>
  <si>
    <t>122 Day/s</t>
  </si>
  <si>
    <t>67 Day/s</t>
  </si>
  <si>
    <t>186 Day/s</t>
  </si>
  <si>
    <t>239 Day/s</t>
  </si>
  <si>
    <t>279 Day/s</t>
  </si>
  <si>
    <t>263 Day/s</t>
  </si>
  <si>
    <t>202 Day/s</t>
  </si>
  <si>
    <t>187 Day/s</t>
  </si>
  <si>
    <t>106 Day/s</t>
  </si>
  <si>
    <t>126 Day/s</t>
  </si>
  <si>
    <t>344 Day/s</t>
  </si>
  <si>
    <t>212 Day/s</t>
  </si>
  <si>
    <t>244 Day/s</t>
  </si>
  <si>
    <t>30 Month/s</t>
  </si>
  <si>
    <t>500 Day/s</t>
  </si>
  <si>
    <t>26 Month/s</t>
  </si>
  <si>
    <t>211 Day/s</t>
  </si>
  <si>
    <t>196 Day/s</t>
  </si>
  <si>
    <t>87 Day/s</t>
  </si>
  <si>
    <t>151 Day/s</t>
  </si>
  <si>
    <t>284 Day/s</t>
  </si>
  <si>
    <t>50 Month/s</t>
  </si>
  <si>
    <t>254 Day/s</t>
  </si>
  <si>
    <t>331 Day/s</t>
  </si>
  <si>
    <t>176 Day/s</t>
  </si>
  <si>
    <t>197 Day/s</t>
  </si>
  <si>
    <t>189 Day/s</t>
  </si>
  <si>
    <t>148 Day/s</t>
  </si>
  <si>
    <t>207 Day/s</t>
  </si>
  <si>
    <t>36 Month/s</t>
  </si>
  <si>
    <t>274 Day/s</t>
  </si>
  <si>
    <t>295 Day/s</t>
  </si>
  <si>
    <t>294 Day/s</t>
  </si>
  <si>
    <t>222 Day/s</t>
  </si>
  <si>
    <t>265 Day/s</t>
  </si>
  <si>
    <t>199 Day/s</t>
  </si>
  <si>
    <t>365 Day/s</t>
  </si>
  <si>
    <t>127 Day/s</t>
  </si>
  <si>
    <t>366 Day/s</t>
  </si>
  <si>
    <t>301 Day/s</t>
  </si>
  <si>
    <t>188 Day/s</t>
  </si>
  <si>
    <t>293 Day/s</t>
  </si>
  <si>
    <t>264 Day/s</t>
  </si>
  <si>
    <t>217 Day/s</t>
  </si>
  <si>
    <t>233 Day/s</t>
  </si>
  <si>
    <t>320 Day/s</t>
  </si>
  <si>
    <t>208 Day/s</t>
  </si>
  <si>
    <t>236 Day/s</t>
  </si>
  <si>
    <t>213 Day/s</t>
  </si>
  <si>
    <t>247 Day/s</t>
  </si>
  <si>
    <t>600 Day/s</t>
  </si>
  <si>
    <t>285 Day/s</t>
  </si>
  <si>
    <t>840 Day/s</t>
  </si>
  <si>
    <t>232 Day/s</t>
  </si>
  <si>
    <t>1801 Day/s</t>
  </si>
  <si>
    <t>380 Day/s</t>
  </si>
  <si>
    <t>238 Day/s</t>
  </si>
  <si>
    <t>1200 Day/s</t>
  </si>
  <si>
    <t>1036 Day/s</t>
  </si>
  <si>
    <t>9 Month/s</t>
  </si>
  <si>
    <t>336 Day/s</t>
  </si>
  <si>
    <t>192 Day/s</t>
  </si>
  <si>
    <t>227 Day/s</t>
  </si>
  <si>
    <t>249 Day/s</t>
  </si>
  <si>
    <t>15 Month/s</t>
  </si>
  <si>
    <t>553 Day/s</t>
  </si>
  <si>
    <t>343 Day/s</t>
  </si>
  <si>
    <t>372 Day/s</t>
  </si>
  <si>
    <t>400 Day/s</t>
  </si>
  <si>
    <t>660 Day/s</t>
  </si>
  <si>
    <t>350 Day/s</t>
  </si>
  <si>
    <t>310 Day/s</t>
  </si>
  <si>
    <t>1096 Day/s</t>
  </si>
  <si>
    <t>912 Day/s</t>
  </si>
  <si>
    <t>1705 Day/s</t>
  </si>
  <si>
    <t>354 Day/s</t>
  </si>
  <si>
    <t>Vicky D. Galvan</t>
  </si>
  <si>
    <t>Angela Estribor Rodrigo</t>
  </si>
  <si>
    <t>DON PATRICK TIONGSON SALAMAT</t>
  </si>
  <si>
    <t>ESTEBAN FERNANDEZ CANONES, JR.</t>
  </si>
  <si>
    <t>KATHERINE J GUTIERREZ</t>
  </si>
  <si>
    <t>JHON ALBERT I. NUÑEZ</t>
  </si>
  <si>
    <t>Mario G Eje</t>
  </si>
  <si>
    <t>Percy Gonzales Salazar</t>
  </si>
  <si>
    <t>Tess b. Cruzado</t>
  </si>
  <si>
    <t>MARIELLE GRACE ANDRIN ROMAREZ</t>
  </si>
  <si>
    <t>Benazir Lim Alam</t>
  </si>
  <si>
    <t>Michael Andrew Q Frias</t>
  </si>
  <si>
    <t>Joy Abonitalla Adecer</t>
  </si>
  <si>
    <t>VVERONIDIA S. MARCELO SUAREZ MARCELO</t>
  </si>
  <si>
    <t>Jamael Naga Macasimbar</t>
  </si>
  <si>
    <t>NIEL CARO ROSALES</t>
  </si>
  <si>
    <t>Cheryl Samuel Conag</t>
  </si>
  <si>
    <t>Irene  Romero Arevalo</t>
  </si>
  <si>
    <t>Jezryl M. Lobaton</t>
  </si>
  <si>
    <t>KATE A. PARULAN</t>
  </si>
  <si>
    <t>Dominic Babaran Calimag</t>
  </si>
  <si>
    <t>Ma. Cecilia Magat -Ibarrientos</t>
  </si>
  <si>
    <t>SALVACION NOOT NARANJO</t>
  </si>
  <si>
    <t>GLENN H. TIANGHA</t>
  </si>
  <si>
    <t>Pedro F De Guzman</t>
  </si>
  <si>
    <t>Louie O Canlas</t>
  </si>
  <si>
    <t>Cherrylyn Estinar Malagday</t>
  </si>
  <si>
    <t>Jesse R. Quilantang</t>
  </si>
  <si>
    <t>Richie D. Diaz</t>
  </si>
  <si>
    <t>Luxmay P Aleria</t>
  </si>
  <si>
    <t>Mary Grace Palcon Gallardo</t>
  </si>
  <si>
    <t>REYNANTE B. INFANTE</t>
  </si>
  <si>
    <t>Joel B. Elloso</t>
  </si>
  <si>
    <t>LIZA SANGUENZA VILLAMOR</t>
  </si>
  <si>
    <t>Nessa Esporma Acolentaba</t>
  </si>
  <si>
    <t>Edhen Flores Aguila</t>
  </si>
  <si>
    <t>MILROSE  L OMADLE</t>
  </si>
  <si>
    <t>Nila A Tiago</t>
  </si>
  <si>
    <t>Ormil D.  Go</t>
  </si>
  <si>
    <t>randy paminiano lorenzo</t>
  </si>
  <si>
    <t>Gladys Angit Abarabar</t>
  </si>
  <si>
    <t>Poliver L  Tumaneng</t>
  </si>
  <si>
    <t>Eric Floreta Labastilla</t>
  </si>
  <si>
    <t>Hermosa G. Ramirez</t>
  </si>
  <si>
    <t>Jacob Gupana Racho</t>
  </si>
  <si>
    <t>Jay-R Palines Carpio</t>
  </si>
  <si>
    <t>Regie Policarpio Mercado</t>
  </si>
  <si>
    <t>ROSELLER CABATINGAN AMOR</t>
  </si>
  <si>
    <t>ZENITH ALINDOG AVILA</t>
  </si>
  <si>
    <t>CLEANTH REYES GOROSPE</t>
  </si>
  <si>
    <t>MEZACH Y BEDONA</t>
  </si>
  <si>
    <t>Carmilo E Monterona</t>
  </si>
  <si>
    <t>EDWARD A. ROA</t>
  </si>
  <si>
    <t>John Moses Bulahan Aposaga</t>
  </si>
  <si>
    <t>Dante Brutas Baclao</t>
  </si>
  <si>
    <t>nancy tayoto tayoto</t>
  </si>
  <si>
    <t>JOHN REY JERAO PEREZ</t>
  </si>
  <si>
    <t>Vivian M. Cuizon</t>
  </si>
  <si>
    <t>RODNEY LABRADOR NABALONA</t>
  </si>
  <si>
    <t>Joseph Barroso delos Reyes</t>
  </si>
  <si>
    <t>Vincent Jake E. Castillo</t>
  </si>
  <si>
    <t>MARY FE L. MONTANO</t>
  </si>
  <si>
    <t>Jimmy Pastorfile Carandang</t>
  </si>
  <si>
    <t>Gina Marzan Alberto</t>
  </si>
  <si>
    <t>EVY TINGSON SISA</t>
  </si>
  <si>
    <t>MARJORIE ALVAREZ DELA CRUZ</t>
  </si>
  <si>
    <t>Gerald Alday Pacanan</t>
  </si>
  <si>
    <t>Jingle Repollo Saloma</t>
  </si>
  <si>
    <t>ERLINDA F. MANIPON</t>
  </si>
  <si>
    <t>Reymar Constantino Razon</t>
  </si>
  <si>
    <t>Marvin Liboon</t>
  </si>
  <si>
    <t>GODWIN XAVIER F. NUÑEZ</t>
  </si>
  <si>
    <t>Georgette Ruga Imperial</t>
  </si>
  <si>
    <t>Ma. Nena T. Zapico</t>
  </si>
  <si>
    <t>Avel Villamor Nunez</t>
  </si>
  <si>
    <t>Noel D. Ejercito</t>
  </si>
  <si>
    <t>RESTY O. MACARILAY</t>
  </si>
  <si>
    <t>Jinky Mantile Dantay</t>
  </si>
  <si>
    <t>PRUDENCIO L VARELA</t>
  </si>
  <si>
    <t>Mary Grace  Bajar</t>
  </si>
  <si>
    <t>Jaybee Gumboc Riobuya</t>
  </si>
  <si>
    <t>Cesah Jane Pillodar Napalla</t>
  </si>
  <si>
    <t>MICHAEL D. MUNAR</t>
  </si>
  <si>
    <t>LOUIE C. FERNANDEZ</t>
  </si>
  <si>
    <t>Nemia Barradas Monzones</t>
  </si>
  <si>
    <t>RADNEY CARBONEL MIRANDA</t>
  </si>
  <si>
    <t>Mark Anthony Cuison Lopez</t>
  </si>
  <si>
    <t>Connie Beb Torralba</t>
  </si>
  <si>
    <t>Christina Solero Raymundo</t>
  </si>
  <si>
    <t>LIZA PAMA GUMBAN</t>
  </si>
  <si>
    <t>Ruel  G. Bantugan</t>
  </si>
  <si>
    <t>Mary Ann Vasquez Alvarez</t>
  </si>
  <si>
    <t>Teofilo, Jr. Rostata Gervacio</t>
  </si>
  <si>
    <t>PHILLIP C. ADVIENTO</t>
  </si>
  <si>
    <t>Aaron John Reyes Liwag (2nd Account)</t>
  </si>
  <si>
    <t>Mirasol Hortelano Suan</t>
  </si>
  <si>
    <t>MERLA ARAMBURO REVECHE</t>
  </si>
  <si>
    <t>FLERINE JAY RELATIVO SANDOT</t>
  </si>
  <si>
    <t>EDUARDO CADELIÑA SALA JR.</t>
  </si>
  <si>
    <t>MARIA LUCIA RANIN REQUEJO</t>
  </si>
  <si>
    <t>Angelica Santayana Asiao</t>
  </si>
  <si>
    <t>Priscilla A Hernandez</t>
  </si>
  <si>
    <t>Ritchie De La Cuesta Barrun</t>
  </si>
  <si>
    <t>Ian Luis C Aguila</t>
  </si>
  <si>
    <t>Maria Cristina Macarayan Dapal</t>
  </si>
  <si>
    <t>Joyce De Vera</t>
  </si>
  <si>
    <t>RENE (BOY) A. ANGELES</t>
  </si>
  <si>
    <t>Alan C. Santos</t>
  </si>
  <si>
    <t>Levi P. Baldonado</t>
  </si>
  <si>
    <t>John Patrick Lazaro</t>
  </si>
  <si>
    <t>Azucena O Gonzales</t>
  </si>
  <si>
    <t>Jayreen B Pabi</t>
  </si>
  <si>
    <t>Magdalena V. Almira</t>
  </si>
  <si>
    <t>Clark Benzon Lobo Casuco</t>
  </si>
  <si>
    <t>Susan Siacor Arsenio</t>
  </si>
  <si>
    <t>Jannes Detablan Cantones</t>
  </si>
  <si>
    <t>Emily B. Mazon</t>
  </si>
  <si>
    <t>RANILYN PASAYLO HAQUE</t>
  </si>
  <si>
    <t>ada bustamante diones</t>
  </si>
  <si>
    <t>Christopher Lacea Malayan</t>
  </si>
  <si>
    <t>Angel Shieldon C Agan</t>
  </si>
  <si>
    <t>Edward Miguel Juanito</t>
  </si>
  <si>
    <t>Leila  Clarete   De Guzman</t>
  </si>
  <si>
    <t>Lolita M. Jumalon</t>
  </si>
  <si>
    <t>Honorata C Bautista</t>
  </si>
  <si>
    <t>DANILO S. SANTA ANA</t>
  </si>
  <si>
    <t>Bobster A. Paraiso</t>
  </si>
  <si>
    <t>Antonette Mananes Legson</t>
  </si>
  <si>
    <t>Marilyn N. Ontolan</t>
  </si>
  <si>
    <t>EFREN A BANGAYAN</t>
  </si>
  <si>
    <t>Eustila Furog Evangelista</t>
  </si>
  <si>
    <t>ANGELA C JESALVA</t>
  </si>
  <si>
    <t>Fercilyn E Grospe</t>
  </si>
  <si>
    <t>REMEGIO GASCON DUYAN</t>
  </si>
  <si>
    <t>Judith D. Alde</t>
  </si>
  <si>
    <t>Rowena Gascon Abad</t>
  </si>
  <si>
    <t>HERMANDO MARASIGAN PESIGAN</t>
  </si>
  <si>
    <t>LEVY H. LAGUTIN, JR.</t>
  </si>
  <si>
    <t>Anselmo Baldoza Mano</t>
  </si>
  <si>
    <t>Glenda Labitigan Goti-ay</t>
  </si>
  <si>
    <t>SOFRONIO B. DACILLO, JR.</t>
  </si>
  <si>
    <t>Marlone Templeton Buen</t>
  </si>
  <si>
    <t>Joeven C Calasagsag</t>
  </si>
  <si>
    <t>RANDY DUENAS DE TORRES</t>
  </si>
  <si>
    <t>Maricel Baldapan Campugan</t>
  </si>
  <si>
    <t>Aleli Arconado Locsin</t>
  </si>
  <si>
    <t>EDSEL MONTERO CARAMONTE</t>
  </si>
  <si>
    <t>Wenefredo Evangelio Cagape</t>
  </si>
  <si>
    <t>ZALDY  J.  TRABUCON</t>
  </si>
  <si>
    <t>cipriano t cavite</t>
  </si>
  <si>
    <t>ROSELLER DIZON SASIS</t>
  </si>
  <si>
    <t>Reymund Condino Sequio</t>
  </si>
  <si>
    <t>Fleurdelis Caracut Quinto</t>
  </si>
  <si>
    <t>Cheryl Ann Galeon Ombina</t>
  </si>
  <si>
    <t>Remigio Lago Blanco</t>
  </si>
  <si>
    <t>Reynaldo Catubig Misa</t>
  </si>
  <si>
    <t>EMMANUEL OBINA</t>
  </si>
  <si>
    <t>Gracianito Lara Lucero</t>
  </si>
  <si>
    <t>Michelle Escalada Monteclaro</t>
  </si>
  <si>
    <t>Russell C Narte</t>
  </si>
  <si>
    <t>Shirley L De Guzman</t>
  </si>
  <si>
    <t>Ernesto Garcia Escoto</t>
  </si>
  <si>
    <t>Josephine L Mananquil</t>
  </si>
  <si>
    <t>Isagani J. Moso</t>
  </si>
  <si>
    <t>JOSE VICENTE RAYMUNDO MONTALLANA OPINION</t>
  </si>
  <si>
    <t>Bacilisa Cuento de Castro</t>
  </si>
  <si>
    <t>larry fabian dasalla</t>
  </si>
  <si>
    <t>NORMAN CORNELIO EBALLE</t>
  </si>
  <si>
    <t>VOLTAIRE S EGNORA, MD.</t>
  </si>
  <si>
    <t>Gregorio Reyes Wapelle Jr</t>
  </si>
  <si>
    <t>Joel D. Friginal</t>
  </si>
  <si>
    <t>Canuto, Jr Adalin Paluga</t>
  </si>
  <si>
    <t>Reynaldo J Santiago</t>
  </si>
  <si>
    <t>Nikkolo Marco Aurelio V. Cortes</t>
  </si>
  <si>
    <t>Rosalie  A. Pelle</t>
  </si>
  <si>
    <t>Almar Cagas Acevedo</t>
  </si>
  <si>
    <t>Jomar Alfaro Diama</t>
  </si>
  <si>
    <t>Rose Marie S Organo</t>
  </si>
  <si>
    <t>Vilma B. Ballan</t>
  </si>
  <si>
    <t>BAC SECRETARIAT, LGU-SANTIAGO CITY</t>
  </si>
  <si>
    <t>Donald Glenn M Lanzado</t>
  </si>
  <si>
    <t>Josephine  B. Sabando</t>
  </si>
  <si>
    <t>Roque I. Verzosa III</t>
  </si>
  <si>
    <t>Lucia Burdas Pentin</t>
  </si>
  <si>
    <t>Almond Garalde Leaño</t>
  </si>
  <si>
    <t>WILLIAM UBA VALDE</t>
  </si>
  <si>
    <t>Nymia T. Chavez</t>
  </si>
  <si>
    <t>RAY PAROJINOG VIRTUDEZ</t>
  </si>
  <si>
    <t>Carmen B. Cortes</t>
  </si>
  <si>
    <t>JOB ALSAGA FERRER</t>
  </si>
  <si>
    <t>Kris Kringle Tamayo Lopez</t>
  </si>
  <si>
    <t>Rosabella Senining Laurencio</t>
  </si>
  <si>
    <t>Margarita Vergara Dimaligalig</t>
  </si>
  <si>
    <t>FERNANDO SAGUISAG A. CABRERA</t>
  </si>
  <si>
    <t>Lenard Tabil</t>
  </si>
  <si>
    <t>REYNALDO C. RIVERA</t>
  </si>
  <si>
    <t>Sandae B. Lico</t>
  </si>
  <si>
    <t>Paul Laday Olanday</t>
  </si>
  <si>
    <t>Lerio Conmigo Arizala Jr.</t>
  </si>
  <si>
    <t>Elmer Gumpad Manzano</t>
  </si>
  <si>
    <t>Kirstene Gail M.  Ocampo</t>
  </si>
  <si>
    <t>SOTERO JR. FAVILA LOMIGO</t>
  </si>
  <si>
    <t>ROCHELLE LAMADORA GENORING</t>
  </si>
  <si>
    <t>Marcelo C. Gutierrez</t>
  </si>
  <si>
    <t>Ma. Twinkle G Mercader</t>
  </si>
  <si>
    <t>Joseph Villanueva Emboltorio</t>
  </si>
  <si>
    <t>Ethel Joy Domingo Invencion</t>
  </si>
  <si>
    <t>STEVE NICHOLS S. DIONALDO</t>
  </si>
  <si>
    <t>Jeffreylhada Muallil Noor</t>
  </si>
  <si>
    <t>Romeo A. Beboso</t>
  </si>
  <si>
    <t>Ceferino C. Oryan</t>
  </si>
  <si>
    <t>Maria Agnes Gonzales Tacadena</t>
  </si>
  <si>
    <t>Rommel Geraldizo Bendicion</t>
  </si>
  <si>
    <t>Aicelyn Madrid Diahan</t>
  </si>
  <si>
    <t>Noel Aguillon Salvan</t>
  </si>
  <si>
    <t>elsie C Agustin</t>
  </si>
  <si>
    <t>Mary Grace Garcia Soriano</t>
  </si>
  <si>
    <t>Nemesia Infante Gomez</t>
  </si>
  <si>
    <t>Franco Matias Legaspi Serafin</t>
  </si>
  <si>
    <t>Annette Francisco Virtudazo</t>
  </si>
  <si>
    <t>Lilibeth c. Locario</t>
  </si>
  <si>
    <t>Antonio, Jr. Sarigumba Acuña</t>
  </si>
  <si>
    <t>Desiree B. Macamay</t>
  </si>
  <si>
    <t>Nuepe Junior Guyon Manuel</t>
  </si>
  <si>
    <t>Darryl Christian Rigos</t>
  </si>
  <si>
    <t>ERLINDA DOMINGUEZ LANTIN</t>
  </si>
  <si>
    <t>Peter  S.  Sobrevega</t>
  </si>
  <si>
    <t>Romulo Junasa Galleto, Jr.</t>
  </si>
  <si>
    <t>Jocelyn Laayon Mauting</t>
  </si>
  <si>
    <t>Michael Angelo San Pedro BAC Secretariat</t>
  </si>
  <si>
    <t>JOCELYN A. FERNANDO, MPMG</t>
  </si>
  <si>
    <t>Joseph Aldrin De Silva Magtanong</t>
  </si>
  <si>
    <t>JOVITO VISTAL TOLARESA</t>
  </si>
  <si>
    <t>Gayuting T. Tumanding</t>
  </si>
  <si>
    <t>MANUEL QUERIJERO HERNANDEZ</t>
  </si>
  <si>
    <t>Freddie Uraga Villajuan</t>
  </si>
  <si>
    <t>Marian Carbonell Patosa</t>
  </si>
  <si>
    <t>Roberto Duarte Bibanco</t>
  </si>
  <si>
    <t>Jose Nolito Castor Tomulto</t>
  </si>
  <si>
    <t>Enrico Magboo Dalangin</t>
  </si>
  <si>
    <t>Richard Pandita Sanlocan</t>
  </si>
  <si>
    <t>Enelyn S. Binson</t>
  </si>
  <si>
    <t>ARCELI ALLONES TIMOGTIMOG</t>
  </si>
  <si>
    <t>Jose Ferdinand Laloy Gabrido</t>
  </si>
  <si>
    <t>SHEILA B DE LEON</t>
  </si>
  <si>
    <t>Xanthi Romeilla Jalon Vallicer</t>
  </si>
  <si>
    <t>Nestor Corpuz Guillermo</t>
  </si>
  <si>
    <t>Luzviminda S. Reyes</t>
  </si>
  <si>
    <t>Jerry  C.  Rodriguez</t>
  </si>
  <si>
    <t>Lauri Rose Salazar Coquia</t>
  </si>
  <si>
    <t>Melotina P. Cadiz</t>
  </si>
  <si>
    <t>Lurline Merencillo Tongco</t>
  </si>
  <si>
    <t>Elaine L. Abdurani</t>
  </si>
  <si>
    <t>Lunrey B. Bagor</t>
  </si>
  <si>
    <t>Andrew Ian Bulda Dormitorio</t>
  </si>
  <si>
    <t>Roseanne Venessa J Ratunil</t>
  </si>
  <si>
    <t>Jayna Fe Rabanes Modelo</t>
  </si>
  <si>
    <t>MICHELL FAJARDO PADOHINOG</t>
  </si>
  <si>
    <t>Joel Sampaga Columna</t>
  </si>
  <si>
    <t>JOWELA  GIMAY JOR</t>
  </si>
  <si>
    <t>Virgie N Bartonico</t>
  </si>
  <si>
    <t>JENNY TAMON CABALLERO</t>
  </si>
  <si>
    <t>Emmanuel Lorenzo Correa</t>
  </si>
  <si>
    <t>Bernalou Malsi Malaque</t>
  </si>
  <si>
    <t>ERNEL PRAVA MAYONGUE</t>
  </si>
  <si>
    <t>Abner Rabano</t>
  </si>
  <si>
    <t>Maria Salome Rafanan Abero</t>
  </si>
  <si>
    <t>Cipriano Grande Gardoque</t>
  </si>
  <si>
    <t>Bacsec Centers</t>
  </si>
  <si>
    <t>Merlin Paala</t>
  </si>
  <si>
    <t>charlemagne tupag noble</t>
  </si>
  <si>
    <t>Edralin B. Baingan</t>
  </si>
  <si>
    <t>Josephine Escol Avenido</t>
  </si>
  <si>
    <t>Ma. Evangeline P. Martinez</t>
  </si>
  <si>
    <t>Gregorio M Monreal</t>
  </si>
  <si>
    <t>Harvey C Jumawan</t>
  </si>
  <si>
    <t>Melanio B. De vera</t>
  </si>
  <si>
    <t>JAMES BENEDICT E. BAGSIC</t>
  </si>
  <si>
    <t>ROSELLER LUCAS DAMO</t>
  </si>
  <si>
    <t>Pedrito Mojica Serra</t>
  </si>
  <si>
    <t>Lani Pabalan Magno</t>
  </si>
  <si>
    <t>Melanie Calura Rufino</t>
  </si>
  <si>
    <t>Rolando Javier Garcia</t>
  </si>
  <si>
    <t>Haide D. Daclan</t>
  </si>
  <si>
    <t>Joeper Hamlag Mendoza</t>
  </si>
  <si>
    <t>Isabelito Francia Aguda</t>
  </si>
  <si>
    <t>MARICRIS S. SANTOS</t>
  </si>
  <si>
    <t>Angelita H Reazon</t>
  </si>
  <si>
    <t>Noli D. Padagdag</t>
  </si>
  <si>
    <t>Christopher M. Edjic</t>
  </si>
  <si>
    <t>Maricon Sumpio</t>
  </si>
  <si>
    <t>Jonathan Regachuelo Jaluague</t>
  </si>
  <si>
    <t>Wilma C. Obras</t>
  </si>
  <si>
    <t>IRISH A TORINO</t>
  </si>
  <si>
    <t>Jamaica B. Balubal</t>
  </si>
  <si>
    <t>James Robert Maruya Firman</t>
  </si>
  <si>
    <t>Erosbon Layugan Sabedo</t>
  </si>
  <si>
    <t>Elloisa Blanco Perez</t>
  </si>
  <si>
    <t>Jorge A. Albinda</t>
  </si>
  <si>
    <t>Cesar Vasallo Valondo</t>
  </si>
  <si>
    <t>Patrick A. Panaligan</t>
  </si>
  <si>
    <t>Norjanna M. Camaguin</t>
  </si>
  <si>
    <t>JULIUS EFREN CEPEDA CANAPI</t>
  </si>
  <si>
    <t>Ramil Mendez Taculod</t>
  </si>
  <si>
    <t>Judea Micah Dialco Carbajosa</t>
  </si>
  <si>
    <t>John Salvacion Sambajon</t>
  </si>
  <si>
    <t>Ma Christina Sorilla Segura</t>
  </si>
  <si>
    <t>Dominador A Bucalbos</t>
  </si>
  <si>
    <t>BAC SECRETARIAT STAFF</t>
  </si>
  <si>
    <t>ANINA RAMOS</t>
  </si>
  <si>
    <t>Redentor Curate</t>
  </si>
  <si>
    <t>Diego P Tan</t>
  </si>
  <si>
    <t>Niña Aniñon Asis</t>
  </si>
  <si>
    <t>CORAZON A. YAMIT</t>
  </si>
  <si>
    <t>Janice L Sta. Cruz</t>
  </si>
  <si>
    <t>Christopher D. Badayos</t>
  </si>
  <si>
    <t>Francis Alfred Calo Bokingo</t>
  </si>
  <si>
    <t xml:space="preserve">Lee  Anthony Arriesgado </t>
  </si>
  <si>
    <t>Ricardo A. Negado</t>
  </si>
  <si>
    <t>Anna Liza L. Dela Cruz</t>
  </si>
  <si>
    <t>EVA MACAHILIG JIMENEZ</t>
  </si>
  <si>
    <t>ANNE MARGARETT A. BORNASAL</t>
  </si>
  <si>
    <t>Celeste Ann Laure Capilla</t>
  </si>
  <si>
    <t>Rowena Arcon Plando</t>
  </si>
  <si>
    <t>Alma Dallapas Elvena</t>
  </si>
  <si>
    <t>JOSE , JR. PANUELOS TIAPON</t>
  </si>
  <si>
    <t>RADITO MALLARI ANORAN</t>
  </si>
  <si>
    <t>Allan C. Cauilan</t>
  </si>
  <si>
    <t>Samuel Albino Fuertes</t>
  </si>
  <si>
    <t>Virginia D. Balderas</t>
  </si>
  <si>
    <t>MARIA PAMELA TOLENTINO BACTOL</t>
  </si>
  <si>
    <t>John B Magbanua</t>
  </si>
  <si>
    <t>BERNARD MALINGTAY PEPE</t>
  </si>
  <si>
    <t>Ligaya M Antiola</t>
  </si>
  <si>
    <t>Marites A. Bermal</t>
  </si>
  <si>
    <t>Glaiza Dela Cruz-Pasion</t>
  </si>
  <si>
    <t>Manuel Melis Ignacio</t>
  </si>
  <si>
    <t>Mariz  Lapid  Onchengco</t>
  </si>
  <si>
    <t>Antonietta Alfante Nastor</t>
  </si>
  <si>
    <t>Merla A. Monje</t>
  </si>
  <si>
    <t>JONATHAN JOSE CERENO CALDERON</t>
  </si>
  <si>
    <t>Mitch Devibar Ramos</t>
  </si>
  <si>
    <t>Lucia Casim</t>
  </si>
  <si>
    <t>Magna Ramos Macalma</t>
  </si>
  <si>
    <t>Myra Cecilia Donila Grata</t>
  </si>
  <si>
    <t>Angelo Senin Bugarin</t>
  </si>
  <si>
    <t>Julius Caducano Bartolome</t>
  </si>
  <si>
    <t>Paul Michael M Cuadra</t>
  </si>
  <si>
    <t>Mr. Clarence Bolante Bunan</t>
  </si>
  <si>
    <t>ALJEAN SOON DELWESTE</t>
  </si>
  <si>
    <t>MERLINDA M. ANG</t>
  </si>
  <si>
    <t>Rodrigo C Rodrigo</t>
  </si>
  <si>
    <t>Jhenevy Monel Diamate</t>
  </si>
  <si>
    <t>Romeo Jr. S Yacan</t>
  </si>
  <si>
    <t>Wilson Garagan Viloria II</t>
  </si>
  <si>
    <t>Joy M Rivera</t>
  </si>
  <si>
    <t>Ma. Kristina Goylos Medalla</t>
  </si>
  <si>
    <t>Brgy. 09 Catbalogan</t>
  </si>
  <si>
    <t>Blesilda Virtucio Erejer</t>
  </si>
  <si>
    <t>Jonathan B. Guevarra</t>
  </si>
  <si>
    <t>Eutropio Simbajon Jayectin, M.M.</t>
  </si>
  <si>
    <t>Arnel B. Javier</t>
  </si>
  <si>
    <t>Vicente Fermin</t>
  </si>
  <si>
    <t>Kapelhoff Arcangel Quidang</t>
  </si>
  <si>
    <t>Arlene Verano Martinez</t>
  </si>
  <si>
    <t>LOUIE GRACE P. ALVIOR</t>
  </si>
  <si>
    <t>Hanz Cecilio Bernardo</t>
  </si>
  <si>
    <t>Royina Sison Argueza</t>
  </si>
  <si>
    <t>Dennis H. Dino</t>
  </si>
  <si>
    <t>Wilfredo M Letrodo</t>
  </si>
  <si>
    <t>Brian D. Lumague</t>
  </si>
  <si>
    <t>DORINA MELAD</t>
  </si>
  <si>
    <t>Jennifer Mindanao Cruz</t>
  </si>
  <si>
    <t>Gomer Liwanag Dado</t>
  </si>
  <si>
    <t>GERALDINE N. RANARA</t>
  </si>
  <si>
    <t>Samson Gavasan Gilo, Jr.</t>
  </si>
  <si>
    <t>CHARONE MICHAL GUERRERO DE CASTRO</t>
  </si>
  <si>
    <t>Nelson Cruz Dela Cruz</t>
  </si>
  <si>
    <t>Dominic Adriano</t>
  </si>
  <si>
    <t>LEILANI BACALE CASIMPAN</t>
  </si>
  <si>
    <t>Elton Gurro Panulaya</t>
  </si>
  <si>
    <t>Joseph S. Andrada</t>
  </si>
  <si>
    <t>Rachelle De Guzman Agpoon</t>
  </si>
  <si>
    <t>Catherine M.  Laza</t>
  </si>
  <si>
    <t>JESUS JONJIE ADELANTAR VENTURANZA</t>
  </si>
  <si>
    <t>Angelita Plaza Tuiza</t>
  </si>
  <si>
    <t>Eric Torres Tejada</t>
  </si>
  <si>
    <t>JOSEPH HERBON BUSA</t>
  </si>
  <si>
    <t>Demars Gonzaga Madroso</t>
  </si>
  <si>
    <t>Lourfe S. Rondina</t>
  </si>
  <si>
    <t>Consuelo L. Tubis</t>
  </si>
  <si>
    <t>Jeffrey C. Herrera</t>
  </si>
  <si>
    <t>ALMIRA PINOL LAPASARAN</t>
  </si>
  <si>
    <t>CHAVELLE FERRAREN ALONSO</t>
  </si>
  <si>
    <t>Allison Graza Nudo</t>
  </si>
  <si>
    <t>Aldren Galido Madelozo</t>
  </si>
  <si>
    <t>FRANK F. FANGED</t>
  </si>
  <si>
    <t>Maria Lourdes Galanida Roldan</t>
  </si>
  <si>
    <t>Elsie Lubguban</t>
  </si>
  <si>
    <t>FERNANDO MAGAYANES CARANDANG</t>
  </si>
  <si>
    <t>Ma. Victoria Tejedor</t>
  </si>
  <si>
    <t>Jay Legaspi Cabiles</t>
  </si>
  <si>
    <t>Paquito Joel Alferez Arocha</t>
  </si>
  <si>
    <t>Jocelyn Talanay Pantaleon</t>
  </si>
  <si>
    <t>CHATTLEYA G AMIT</t>
  </si>
  <si>
    <t>Edzrael L. Mohammad</t>
  </si>
  <si>
    <t>Laarni Vi Delos Reyes</t>
  </si>
  <si>
    <t>BAC ILOCOS SUR</t>
  </si>
  <si>
    <t>TEODORO A. QUINTANA, JR.</t>
  </si>
  <si>
    <t>Jianel Ugbog Masinadiong</t>
  </si>
  <si>
    <t>Roberto D Tallud</t>
  </si>
  <si>
    <t>Zelina G Dela Cruz</t>
  </si>
  <si>
    <t>Editha V. Aguinaldo, MPA</t>
  </si>
  <si>
    <t>RAYMUND M. DIAZ</t>
  </si>
  <si>
    <t>Lenie Morales Adriano</t>
  </si>
  <si>
    <t>Benson Empalmado</t>
  </si>
  <si>
    <t>Roberto Chu Tiu</t>
  </si>
  <si>
    <t>ROSE HABANA MARTINEZ</t>
  </si>
  <si>
    <t>Ailleen Melody Enguerra Alya-On</t>
  </si>
  <si>
    <t>EVELYN NALAUNAN DALISAY</t>
  </si>
  <si>
    <t>Celia M Perez</t>
  </si>
  <si>
    <t>Nadel S. Denapo</t>
  </si>
  <si>
    <t>Mirasol Macaranas Rosano</t>
  </si>
  <si>
    <t>ANDREA MAE ALEXIS DIMAYUGA</t>
  </si>
  <si>
    <t>MARTINA B. ROSALES</t>
  </si>
  <si>
    <t>Wilson C. Rosario</t>
  </si>
  <si>
    <t>Cecilia Notario Jumawan</t>
  </si>
  <si>
    <t>Gertrudes A Obedoza</t>
  </si>
  <si>
    <t>Ferazim R Dannug</t>
  </si>
  <si>
    <t>Arlene Sta.Rita Bonquin</t>
  </si>
  <si>
    <t>Michelle Retamar Roldan</t>
  </si>
  <si>
    <t>Marilou Sampaton Bernas</t>
  </si>
  <si>
    <t>Venus Contreras Decena</t>
  </si>
  <si>
    <t>Christopher Ortega Dalion</t>
  </si>
  <si>
    <t>Natalie T. Binayan</t>
  </si>
  <si>
    <t>BRIGETTE JOY PUNZALAN ILAGAN</t>
  </si>
  <si>
    <t>Rachelle Anne Sera Jose  Santos</t>
  </si>
  <si>
    <t>Julius C. Cerbo</t>
  </si>
  <si>
    <t>Anna Liza Ramirez Quirolgico</t>
  </si>
  <si>
    <t>Peter A Servito</t>
  </si>
  <si>
    <t>Ryan Anthony Agay Olalia</t>
  </si>
  <si>
    <t>OLIVER ORBIZO OLIVO</t>
  </si>
  <si>
    <t>Ma. Jonalyn Rollon Villar</t>
  </si>
  <si>
    <t>SILAHIS DECENA LAZO</t>
  </si>
  <si>
    <t>Antonio Cagdan Failoga</t>
  </si>
  <si>
    <t>Luis, Jr. Artieda Albacete</t>
  </si>
  <si>
    <t>Riza Ortez Muanag</t>
  </si>
  <si>
    <t>Dario Sarabusing Jr.</t>
  </si>
  <si>
    <t>Arlene Maunahan Avejero</t>
  </si>
  <si>
    <t>MARIA LOURDES PEREA TIANGCO</t>
  </si>
  <si>
    <t>Patrick Bayona Gimeno</t>
  </si>
  <si>
    <t>Ma. Rosa  D.  Del Rio</t>
  </si>
  <si>
    <t>Annabelle Pocopoco Dagani</t>
  </si>
  <si>
    <t>Jhonna Salve Janer Buenaflor</t>
  </si>
  <si>
    <t>Norma C. Sarigumba</t>
  </si>
  <si>
    <t>Princess Fabrienne Tonzo Panganiban</t>
  </si>
  <si>
    <t>GENEROSO P DORO</t>
  </si>
  <si>
    <t>Dencio A Pagbilao</t>
  </si>
  <si>
    <t>Ma. Annalyn S. Nolasco</t>
  </si>
  <si>
    <t>Julie Anne Canzon Valencia</t>
  </si>
  <si>
    <t>Cuajotor Toledo Albert</t>
  </si>
  <si>
    <t>VIOLA  P.  MONTILLA</t>
  </si>
  <si>
    <t>Vincent M Bayot</t>
  </si>
  <si>
    <t>Clemence  D.  Pobre</t>
  </si>
  <si>
    <t>Helen B. Olaer</t>
  </si>
  <si>
    <t>Edison Salawad Morales</t>
  </si>
  <si>
    <t>JEAN ALLEN PECHAYCO ALEJANDRO</t>
  </si>
  <si>
    <t>Michael Trasmil Ibisate</t>
  </si>
  <si>
    <t>KASIM AJALAL HASANIN</t>
  </si>
  <si>
    <t>GINA LEDESMA_R ROSALES</t>
  </si>
  <si>
    <t>Pedro F Caminero Jr.</t>
  </si>
  <si>
    <t>LAARNI PEREZ ALINSOD</t>
  </si>
  <si>
    <t>Ronnie D. Morante</t>
  </si>
  <si>
    <t>Lolito B. Aboy</t>
  </si>
  <si>
    <t>Glorina Capito Fernandez</t>
  </si>
  <si>
    <t>Irna Nadayag Mallari</t>
  </si>
  <si>
    <t>DIEGO EBRADA BAYONITO</t>
  </si>
  <si>
    <t>Marlon F. Rebabcos</t>
  </si>
  <si>
    <t>NESTOR MIKLAT IDRA</t>
  </si>
  <si>
    <t>Janine M. Balilia</t>
  </si>
  <si>
    <t>BERNARDO C. POJAS</t>
  </si>
  <si>
    <t>Benito Soriano Montano</t>
  </si>
  <si>
    <t>Perry N. Nava</t>
  </si>
  <si>
    <t>NIÑO BALISTOY SALVACION</t>
  </si>
  <si>
    <t>MARIA CORAZON RIVA VALDEMORO</t>
  </si>
  <si>
    <t>Arundale Gum-u Immoliap Bunnag</t>
  </si>
  <si>
    <t>RIZALYNE BARTOLOME ABELLO</t>
  </si>
  <si>
    <t>Marietta Maata Cortes</t>
  </si>
  <si>
    <t>Corazon C Dacudag</t>
  </si>
  <si>
    <t>Mary Allen Pedrano Cornites</t>
  </si>
  <si>
    <t>Vilma Capistrano Globio</t>
  </si>
  <si>
    <t>Robert Tuscano</t>
  </si>
  <si>
    <t>Erika Yvette Seraspi Reynoso</t>
  </si>
  <si>
    <t>JURRY JUANILLO BASALO</t>
  </si>
  <si>
    <t>Susan Dela Cruz</t>
  </si>
  <si>
    <t>Azor B Quijano</t>
  </si>
  <si>
    <t>Gerry G Jucar</t>
  </si>
  <si>
    <t>Ana Marie Balisbis Mirambel</t>
  </si>
  <si>
    <t>ROSALIE N. MORALDE</t>
  </si>
  <si>
    <t>Leonila Santiago De Jesus</t>
  </si>
  <si>
    <t>Tiburcio Jr. Tolentino Tabarrejo</t>
  </si>
  <si>
    <t>ROGELIO KENTILITISCA PANGAN</t>
  </si>
  <si>
    <t>AIZA ALEGRIA RUBEN</t>
  </si>
  <si>
    <t>Engr. DOMINADOR DOMINGO DIZON</t>
  </si>
  <si>
    <t>Marisa S. Jumalon</t>
  </si>
  <si>
    <t>JESSICA ACOLENTAVA OTIC</t>
  </si>
  <si>
    <t>Ladislao  Gumboc  Flores</t>
  </si>
  <si>
    <t>RAMIL A. CONDEZ</t>
  </si>
  <si>
    <t>Sergio De Guzman Ramirez</t>
  </si>
  <si>
    <t>Samson B. Quinito</t>
  </si>
  <si>
    <t>BABYLYN LAFORTEZA</t>
  </si>
  <si>
    <t>Teotimo M  Laguitao</t>
  </si>
  <si>
    <t>JESUS S. BOJA</t>
  </si>
  <si>
    <t>Romarico J. Deona</t>
  </si>
  <si>
    <t>Rodrhon Michael Espartero Melgar</t>
  </si>
  <si>
    <t>Editha Pascua Covita</t>
  </si>
  <si>
    <t>Rico L. Navarro</t>
  </si>
  <si>
    <t>Miladilla Santiago</t>
  </si>
  <si>
    <t>Sharmaine J. Vicente</t>
  </si>
  <si>
    <t>Roxan Joy Hachero Caparro</t>
  </si>
  <si>
    <t>Felicisimo Villarico Wenceslao Jr.</t>
  </si>
  <si>
    <t>MARCOS M. KUSAIN, JD, MPA</t>
  </si>
  <si>
    <t>Sio King Sy Aurea</t>
  </si>
  <si>
    <t>VICTOR PAULINO CAMITAN</t>
  </si>
  <si>
    <t>JULIE P. TABCAO</t>
  </si>
  <si>
    <t>Nida Avisado Santiago</t>
  </si>
  <si>
    <t>Araceli V Domagas</t>
  </si>
  <si>
    <t>Arnold Alba Perez</t>
  </si>
  <si>
    <t>KRISTEL  MAE C. CHAVEZ</t>
  </si>
  <si>
    <t>MERIAM GALLO RAMOS</t>
  </si>
  <si>
    <t>Lily Opano Tuiza</t>
  </si>
  <si>
    <t>Ma. Isabel N. Argueza</t>
  </si>
  <si>
    <t>Lyalin Alfaro Zapador</t>
  </si>
  <si>
    <t>Edsel Evangelista Espino</t>
  </si>
  <si>
    <t>Edmar Tenio Tambis</t>
  </si>
  <si>
    <t>NICEFORO S. LIBERATO</t>
  </si>
  <si>
    <t>RICHILO L. LACEDA</t>
  </si>
  <si>
    <t>Mellany Millano Amaranto</t>
  </si>
  <si>
    <t>Ma. Ruth Viñas Bandales</t>
  </si>
  <si>
    <t>Ma. Cristina L Garcia</t>
  </si>
  <si>
    <t>Marie Pat Nerona Navora</t>
  </si>
  <si>
    <t>Kristine Meneses Torres</t>
  </si>
  <si>
    <t>Elvie Villanueva Diaz</t>
  </si>
  <si>
    <t>Elvina M Dotimas</t>
  </si>
  <si>
    <t>Sherwin  V.  Gelacio</t>
  </si>
  <si>
    <t>Mario Jennifer Rosco Orion</t>
  </si>
  <si>
    <t>segrid sahagon dacanay</t>
  </si>
  <si>
    <t>Jonefe Gomez Ocasla</t>
  </si>
  <si>
    <t>MARY ANN C. BELEN</t>
  </si>
  <si>
    <t>Sharon Madamba Agbayani</t>
  </si>
  <si>
    <t>Donnalynn Waje Mercado</t>
  </si>
  <si>
    <t>Susana M Pardo</t>
  </si>
  <si>
    <t>Nonito Cervancia</t>
  </si>
  <si>
    <t>Jenelyn Capilitan Soria</t>
  </si>
  <si>
    <t>Joey Calimpusan Tonzo</t>
  </si>
  <si>
    <t>MA. LUZ MEDROSO DE LOS REYES</t>
  </si>
  <si>
    <t>HERIBERTO AROCENA TOMAS</t>
  </si>
  <si>
    <t>Natalie Tinao Caparas</t>
  </si>
  <si>
    <t>SIXTO BALITA</t>
  </si>
  <si>
    <t>DOMINGO PINTANG</t>
  </si>
  <si>
    <t>Jefferson Coruno</t>
  </si>
  <si>
    <t>Jovina Corrales Orias</t>
  </si>
  <si>
    <t>May Catherine H. Gaviola</t>
  </si>
  <si>
    <t>Alexander Tapanan Teves</t>
  </si>
  <si>
    <t>CLARO SENTINA SERVENTO</t>
  </si>
  <si>
    <t>Elma Seraphelle Magdaug Bulagao</t>
  </si>
  <si>
    <t>Ko-Jack Espinosa I Ibaño</t>
  </si>
  <si>
    <t>BENJAMIN N. LAURENCIANA</t>
  </si>
  <si>
    <t>Mary Grace Lamadora Villacote</t>
  </si>
  <si>
    <t>Michael Aquino Abar</t>
  </si>
  <si>
    <t>Alexander A Balmes</t>
  </si>
  <si>
    <t>RICHARD HOWITT LAW L. LAING</t>
  </si>
  <si>
    <t>Cynthia De Chavez Perez</t>
  </si>
  <si>
    <t>DORILYN C. DADOR</t>
  </si>
  <si>
    <t>Lilibeth G. Santiago</t>
  </si>
  <si>
    <t>Aubrey George Tamargo Corpuz</t>
  </si>
  <si>
    <t>Sukarno M Hadjinor</t>
  </si>
  <si>
    <t>Celestino D. Boldo</t>
  </si>
  <si>
    <t>Orea Attiwan</t>
  </si>
  <si>
    <t>Camille Tomas Ronquillo</t>
  </si>
  <si>
    <t>Ruel Priolo Padrequil</t>
  </si>
  <si>
    <t>Bernie C Malinao</t>
  </si>
  <si>
    <t>Lucylisa C. Pilapil</t>
  </si>
  <si>
    <t>Hurdy F Denosta</t>
  </si>
  <si>
    <t>Ma. Marites A Cabral</t>
  </si>
  <si>
    <t>LINELLA G. CUEVAS</t>
  </si>
  <si>
    <t>Mary Ann P Halili</t>
  </si>
  <si>
    <t>Delwin  Dalubajan  Dagook</t>
  </si>
  <si>
    <t>ALEXIS PETER BELLO DE LA CRUZ</t>
  </si>
  <si>
    <t>George uy So</t>
  </si>
  <si>
    <t>Ma. Isabel M Mirano</t>
  </si>
  <si>
    <t>Nazario Usi Benedicto</t>
  </si>
  <si>
    <t>Susan Diswe Costiniano</t>
  </si>
  <si>
    <t>Chinalyn Dakiwag Rivera</t>
  </si>
  <si>
    <t>Marina P. Cayabo</t>
  </si>
  <si>
    <t>REBECCA CALUAG LOPEZ</t>
  </si>
  <si>
    <t>Arvin S De Guzman</t>
  </si>
  <si>
    <t>FRANCISCO , JR. YGRUBAY LABRAGUE</t>
  </si>
  <si>
    <t>Melinda Devesa Lonceras</t>
  </si>
  <si>
    <t>Anacita  V. Barcelon</t>
  </si>
  <si>
    <t>Alvin B De Roxas</t>
  </si>
  <si>
    <t>Jay  Solima Subac</t>
  </si>
  <si>
    <t>LEAH BANARES TUBID</t>
  </si>
  <si>
    <t>Juanito M Quinto, Jr.</t>
  </si>
  <si>
    <t>FE MANGUIAT SANGALANG</t>
  </si>
  <si>
    <t xml:space="preserve">JULIET  P. LUCAS </t>
  </si>
  <si>
    <t>Leopoldo  C Sanchez Jr.</t>
  </si>
  <si>
    <t>Leizle B. Anongos</t>
  </si>
  <si>
    <t>Larina Esquibel Lopez</t>
  </si>
  <si>
    <t>Meriam Astronomo Arguil</t>
  </si>
  <si>
    <t>NOEL C. MANGKIKIS</t>
  </si>
  <si>
    <t>Jose B Abrenio Jr.</t>
  </si>
  <si>
    <t>Jan Mae Dayanghirang Llavore</t>
  </si>
  <si>
    <t>Rosario O. Cabrera</t>
  </si>
  <si>
    <t>Nolita Laberinto Acero</t>
  </si>
  <si>
    <t>JENNIPERL BALLOS JAVIER</t>
  </si>
  <si>
    <t>Flora R. Mallare</t>
  </si>
  <si>
    <t>Pacifico Digal Cabrido, Jr.</t>
  </si>
  <si>
    <t>Arsenio T. Cornites, Jr.</t>
  </si>
  <si>
    <t>Carmelita Seto Bangayan</t>
  </si>
  <si>
    <t>Josephine A. Ruedas</t>
  </si>
  <si>
    <t>Robert John Donesa</t>
  </si>
  <si>
    <t>Jocelyn Castro Ballesteros</t>
  </si>
  <si>
    <t>JEECHEL C. BARIBE</t>
  </si>
  <si>
    <t>Veronica Josol Baquial</t>
  </si>
  <si>
    <t>NOEL RYAN H. UY</t>
  </si>
  <si>
    <t>LANNIE MAE C DINGAL</t>
  </si>
  <si>
    <t>RUDY S DACULAN</t>
  </si>
  <si>
    <t>JERRY R CENTRO</t>
  </si>
  <si>
    <t>RUDYRICK SILVA</t>
  </si>
  <si>
    <t>MARIA GINA P SAZON</t>
  </si>
  <si>
    <t>Victorino Berguela Almario</t>
  </si>
  <si>
    <t>FLORELYN BUOT LACHARON</t>
  </si>
  <si>
    <t>ROMMEL G. ERPELO</t>
  </si>
  <si>
    <t>Ma Luz Buenaagua Francisco</t>
  </si>
  <si>
    <t>Jacqueline F Terrado</t>
  </si>
  <si>
    <t>Junje Abayon Draculan</t>
  </si>
  <si>
    <t>Wilfredo R Bartolini</t>
  </si>
  <si>
    <t>Teresa A. Macapanas</t>
  </si>
  <si>
    <t>Julie G Salvador</t>
  </si>
  <si>
    <t>Gilbert C. Colegado</t>
  </si>
  <si>
    <t>Myline A. Dilla</t>
  </si>
  <si>
    <t>DORIS JOY C. GARCIA</t>
  </si>
  <si>
    <t>Edgar Banzuela Balidoy</t>
  </si>
  <si>
    <t>Teresita Guillermo</t>
  </si>
  <si>
    <t>OLIVER PENUS</t>
  </si>
  <si>
    <t>Leonardo Tanginan Elle</t>
  </si>
  <si>
    <t>Rosario Y. Baldonado</t>
  </si>
  <si>
    <t>Gerardo Jr. Valdez Bocalan</t>
  </si>
  <si>
    <t>ELMER O LUNAS</t>
  </si>
  <si>
    <t>AICEL NECY F MARTINEZ</t>
  </si>
  <si>
    <t>EDUARDO C BERNAL</t>
  </si>
  <si>
    <t>Delberlyn V. Punzalan</t>
  </si>
  <si>
    <t>Nory Taberna Rivera</t>
  </si>
  <si>
    <t>Omar Sajot Alfaro</t>
  </si>
  <si>
    <t>Donna Belle Sajer Castillo</t>
  </si>
  <si>
    <t>Vincent A. Tan</t>
  </si>
  <si>
    <t>ROSEJOY TUAPEN MONTEJO</t>
  </si>
  <si>
    <t>Maredith H. Julve</t>
  </si>
  <si>
    <t>Emerson John Exclamado Fernandez</t>
  </si>
  <si>
    <t>Rolando  Secillano</t>
  </si>
  <si>
    <t>Raquel Gonzales De Jesus</t>
  </si>
  <si>
    <t>Dennis G Varon</t>
  </si>
  <si>
    <t>Andrew Lim Pagayatan</t>
  </si>
  <si>
    <t>Rodel Carmelo Mabination</t>
  </si>
  <si>
    <t>Jake Malnegro Maglahus</t>
  </si>
  <si>
    <t>Lilane Mejillano Nuñez</t>
  </si>
  <si>
    <t>ESTRELLA T. SAPURAS</t>
  </si>
  <si>
    <t>LUCY FE M ELLAR</t>
  </si>
  <si>
    <t>Pablo L Nabong</t>
  </si>
  <si>
    <t>LOURENCE C. BUENAVENTURA</t>
  </si>
  <si>
    <t>Abigail Tabadero Alemania</t>
  </si>
  <si>
    <t>Joan J. Sadaba</t>
  </si>
  <si>
    <t>Manulito S Rodriguez</t>
  </si>
  <si>
    <t>CEZARIO JOEL C ESPEJO</t>
  </si>
  <si>
    <t>Elmer Camit Treyes</t>
  </si>
  <si>
    <t>Arjean Villacorta Jumamoy</t>
  </si>
  <si>
    <t>Jocelyn Campaña Langbid</t>
  </si>
  <si>
    <t>Allan R. Guintapan</t>
  </si>
  <si>
    <t>Bienvenido Capilitan Barrera, Jr.</t>
  </si>
  <si>
    <t>Eden Rose V. Calo</t>
  </si>
  <si>
    <t>Lilian  Pacamalan  Uy</t>
  </si>
  <si>
    <t>ALADIN MABBORANG PASCUAL</t>
  </si>
  <si>
    <t>Edmer S. Polloso</t>
  </si>
  <si>
    <t>Geoffrey P. Villahermosa</t>
  </si>
  <si>
    <t>Edwin Vergel De Dios David</t>
  </si>
  <si>
    <t>Roderick A Ydel</t>
  </si>
  <si>
    <t>Herminia Marcos Osting</t>
  </si>
  <si>
    <t>MARY CRISTY  ACAIN  OCOL</t>
  </si>
  <si>
    <t>Helen P. Palma</t>
  </si>
  <si>
    <t>Monera Ferrer Pramis</t>
  </si>
  <si>
    <t>Gilmore Ray Lopez Saniel</t>
  </si>
  <si>
    <t>Robert M Valles</t>
  </si>
  <si>
    <t>MARIE ROSE G. BAL</t>
  </si>
  <si>
    <t>Maxelinda Dela Cruz Serrana</t>
  </si>
  <si>
    <t>Jorgen H. Buzon</t>
  </si>
  <si>
    <t>Freddie Sr. Francisco Gabo</t>
  </si>
  <si>
    <t>ENGR. JERICK D. ORLANES</t>
  </si>
  <si>
    <t>Ma. Wiena Lofranco Saguid</t>
  </si>
  <si>
    <t>Andro L. Colacion</t>
  </si>
  <si>
    <t>Merlina Tunggala Macararanga</t>
  </si>
  <si>
    <t>Rebecca Dampil Subillaga</t>
  </si>
  <si>
    <t>Marilyn Ulep Tolentino</t>
  </si>
  <si>
    <t>SHEILA FIEL LEONA</t>
  </si>
  <si>
    <t>Myra B. Eramis</t>
  </si>
  <si>
    <t>Cecille  Agpalo</t>
  </si>
  <si>
    <t>Levy H. Lagutin, Jr.</t>
  </si>
  <si>
    <t>Jennifer Ducusin Flores</t>
  </si>
  <si>
    <t>Jupalyn Laderas Benedicto</t>
  </si>
  <si>
    <t>Emelita I. Garcia</t>
  </si>
  <si>
    <t>Ruth Magno Milanio</t>
  </si>
  <si>
    <t>Jeffrey Justin T. Talisic</t>
  </si>
  <si>
    <t>Sharon  G.  Umbaad</t>
  </si>
  <si>
    <t>Danilo P Polestico</t>
  </si>
  <si>
    <t>SANDRA TORAYNO UDANG</t>
  </si>
  <si>
    <t>Andy Ralfh Villafuerte Conocono</t>
  </si>
  <si>
    <t>Apollo Gamboa Gariando</t>
  </si>
  <si>
    <t>Floyd Barcelona Jaron</t>
  </si>
  <si>
    <t>Linell Fulleros Montuerto</t>
  </si>
  <si>
    <t>Rosemarie Martinez Paguia</t>
  </si>
  <si>
    <t>Genelyn Hilario Sazon</t>
  </si>
  <si>
    <t>Vivienne P. Belizario</t>
  </si>
  <si>
    <t>Catherine C Padin</t>
  </si>
  <si>
    <t>Nilo Eduarte Diesta</t>
  </si>
  <si>
    <t>EnP Arlet E. Legaspi</t>
  </si>
  <si>
    <t>Hernadith Hinolan Casas</t>
  </si>
  <si>
    <t>Lucila D De Roxas</t>
  </si>
  <si>
    <t>Vina Liza Ruth Cabrera</t>
  </si>
  <si>
    <t>Milagros M. Perez</t>
  </si>
  <si>
    <t>FREDDIE C. BENDULO</t>
  </si>
  <si>
    <t>Ma. Teresa  D. Rodriguez</t>
  </si>
  <si>
    <t>Montano J. Alob</t>
  </si>
  <si>
    <t>Robert Pineda Lucero</t>
  </si>
  <si>
    <t>WILLY MENDOZA CORPUZ</t>
  </si>
  <si>
    <t>Virginia Punay</t>
  </si>
  <si>
    <t>HENY JANE VISEN JABONETE</t>
  </si>
  <si>
    <t>Eddie De Vera Cancino</t>
  </si>
  <si>
    <t>Lucil I Montermoso</t>
  </si>
  <si>
    <t>Maria Concepcion Salcedo Florida</t>
  </si>
  <si>
    <t>RUBY JANE C. CRUZ</t>
  </si>
  <si>
    <t>VIRGIN GANIR MALICAD</t>
  </si>
  <si>
    <t>Carlo Fernando G. Logarta</t>
  </si>
  <si>
    <t>Ruel Jr. Bayubay Masangcay</t>
  </si>
  <si>
    <t>REM BERYL YGOT VELOSO</t>
  </si>
  <si>
    <t>RENATO RUBEN CASIANO BRAGADO</t>
  </si>
  <si>
    <t>Ivanhoe Torrefiel Kangleon</t>
  </si>
  <si>
    <t>Armando L. Andres</t>
  </si>
  <si>
    <t>CLINIA C EUSORES</t>
  </si>
  <si>
    <t>Ariel Luistro Garcia</t>
  </si>
  <si>
    <t>EDWARD ALIGUYON CARIÑO</t>
  </si>
  <si>
    <t>Arjay Caballero Dimafelix</t>
  </si>
  <si>
    <t>JOHN CHRISTIAN MANAGAD SIOCO</t>
  </si>
  <si>
    <t>Erwin Mendoza Punzalan</t>
  </si>
  <si>
    <t>MARISA SISON LAGAR</t>
  </si>
  <si>
    <t>Francisco C Cabunoc</t>
  </si>
  <si>
    <t>Jessie P. dela Rosa</t>
  </si>
  <si>
    <t>Wulfranie Jr. M. Pascua</t>
  </si>
  <si>
    <t>Roxanne O. Valenzuela</t>
  </si>
  <si>
    <t>FERDINAND P. CAYETANO</t>
  </si>
  <si>
    <t>Florenda Inutan Carballo</t>
  </si>
  <si>
    <t>WARLITO M ABAYON JR.</t>
  </si>
  <si>
    <t>John Carl F Lodevico</t>
  </si>
  <si>
    <t>MARIA RUBIA</t>
  </si>
  <si>
    <t>RANDY R. LIGSANAN</t>
  </si>
  <si>
    <t>Cynthia Macenas Tumanut</t>
  </si>
  <si>
    <t>Victoria Carcamo Santos</t>
  </si>
  <si>
    <t>JOVYLYN P LUCAS</t>
  </si>
  <si>
    <t>Lorna L. Pacquing</t>
  </si>
  <si>
    <t>Zaldy Rodriguez Delmendo</t>
  </si>
  <si>
    <t>NATHANIEL B. GERTOS</t>
  </si>
  <si>
    <t>Ricardo C. Castillo</t>
  </si>
  <si>
    <t>Argie Cabunoc Aungon</t>
  </si>
  <si>
    <t>Marcial  M. Ilagan</t>
  </si>
  <si>
    <t>Rosario Corazon  Sison  Abara</t>
  </si>
  <si>
    <t>Glace L Osoteo</t>
  </si>
  <si>
    <t>Nerio D Fragata</t>
  </si>
  <si>
    <t>Vlademer Villalba Brit</t>
  </si>
  <si>
    <t>Jessa Bello Recto</t>
  </si>
  <si>
    <t>NORBERTO, JR ONES RUBI</t>
  </si>
  <si>
    <t>ATTY. AIKO ELENI NARIDA PALER</t>
  </si>
  <si>
    <t>MARINA C MATUGUINAS</t>
  </si>
  <si>
    <t>MELNER BONDAUG SAGARAY</t>
  </si>
  <si>
    <t>JORJAN BECKER FEDERISO</t>
  </si>
  <si>
    <t>LORETO GALVEZ NICOLAS</t>
  </si>
  <si>
    <t>Maria Alma O Almazan</t>
  </si>
  <si>
    <t>Elvie Quito</t>
  </si>
  <si>
    <t>Kristel Capundan Rosello</t>
  </si>
  <si>
    <t>Miriam C. Jabagat</t>
  </si>
  <si>
    <t>Marivic Torres Pagala</t>
  </si>
  <si>
    <t>Liberty Cepeda Omadio</t>
  </si>
  <si>
    <t>FIDELITO PANZO CENAS</t>
  </si>
  <si>
    <t>JOSE GARCIANO</t>
  </si>
  <si>
    <t>Annabelle Canonigo Husain</t>
  </si>
  <si>
    <t>Christine Grace Lapinig Tan</t>
  </si>
  <si>
    <t>Amorie Michele Marba Janubas</t>
  </si>
  <si>
    <t>Ruben M.  Villanueva</t>
  </si>
  <si>
    <t>CENON ARPIA PORTUGAL</t>
  </si>
  <si>
    <t>Christian Garganza Ortega</t>
  </si>
  <si>
    <t>Michael M Bacarisas</t>
  </si>
  <si>
    <t>Cynthia Cortes Gabayoyo</t>
  </si>
  <si>
    <t>RICO MESA</t>
  </si>
  <si>
    <t>Macario Perez Almario</t>
  </si>
  <si>
    <t>JENALYN  SANTANDER PONFERRADA</t>
  </si>
  <si>
    <t>Ivy C. Huertas</t>
  </si>
  <si>
    <t>JUNE IVY CIELOS MENDEZ</t>
  </si>
  <si>
    <t>Leopoldo S Escala</t>
  </si>
  <si>
    <t>REGNER MEL BALAGOT</t>
  </si>
  <si>
    <t>Jocelyn C. Jaramillo</t>
  </si>
  <si>
    <t>Noel P Baldueza</t>
  </si>
  <si>
    <t>Rene P Quezada</t>
  </si>
  <si>
    <t>Marfen Guinmapang Corvera</t>
  </si>
  <si>
    <t>REY GONZALES BAUTISTA</t>
  </si>
  <si>
    <t>Ma. Socorro C Tabang</t>
  </si>
  <si>
    <t>Catalina Jaylo</t>
  </si>
  <si>
    <t>KARLA MEI BASQUEZ TAGUBA</t>
  </si>
  <si>
    <t>Asuncion Asuncion Padre</t>
  </si>
  <si>
    <t>Federico III Daleno Rivero</t>
  </si>
  <si>
    <t>Lazaro Buluran Pascual</t>
  </si>
  <si>
    <t>MARY JANE MARCELLA ASAN</t>
  </si>
  <si>
    <t>Toni Marc L Dargantes</t>
  </si>
  <si>
    <t>EMERSON R LARUA</t>
  </si>
  <si>
    <t>NOEL AZARCON AGOR</t>
  </si>
  <si>
    <t>CHARLENE DE NAVA ALDEA</t>
  </si>
  <si>
    <t>MERVIN "BUDA" JUSI JUSI</t>
  </si>
  <si>
    <t>Cesarina Sico Macuha</t>
  </si>
  <si>
    <t>CLARIBEL L. REBUENO</t>
  </si>
  <si>
    <t>Rowena De la Vida Prado</t>
  </si>
  <si>
    <t>ROEL F FLAMIANO</t>
  </si>
  <si>
    <t>Illanora Gaspar Infante</t>
  </si>
  <si>
    <t>Nemesio H Davalos</t>
  </si>
  <si>
    <t>REINZ JEFFENZ K OMEGA</t>
  </si>
  <si>
    <t>Alexander M. Go</t>
  </si>
  <si>
    <t>JENNY F OASAY</t>
  </si>
  <si>
    <t>SHIRLEY SENA SIGUE</t>
  </si>
  <si>
    <t>Shiela May M. Noceda</t>
  </si>
  <si>
    <t>Azlek Owen B. Tan</t>
  </si>
  <si>
    <t>Fe Jennifer V. Yaranon</t>
  </si>
  <si>
    <t>Eleuterio Senador Calijan</t>
  </si>
  <si>
    <t>KAREN  M. MAGSALIN</t>
  </si>
  <si>
    <t>Cherry Rose Castillo Reyes</t>
  </si>
  <si>
    <t>AMALIA GENOVIA ATIENDA</t>
  </si>
  <si>
    <t>Marilu Nery Cardenas</t>
  </si>
  <si>
    <t>Dennis R Marquez</t>
  </si>
  <si>
    <t>ROSELLER LLAMOSO CANDELARIO</t>
  </si>
  <si>
    <t>Wee Villaver</t>
  </si>
  <si>
    <t>Edgardo  E.  Dancel</t>
  </si>
  <si>
    <t>Irene Sotomango</t>
  </si>
  <si>
    <t>Frencis Panganiban Tiu Rivera</t>
  </si>
  <si>
    <t>JENNALYN DEL ROSARIO GUERRA</t>
  </si>
  <si>
    <t>Gemema Paclibar Robles</t>
  </si>
  <si>
    <t>Restituto Busbos Bautista</t>
  </si>
  <si>
    <t>Anthony A. Ferrolino</t>
  </si>
  <si>
    <t>JED ARIES FAJARDO CASTRO</t>
  </si>
  <si>
    <t>Jerona M. Silagan</t>
  </si>
  <si>
    <t>Abner H Labaniego</t>
  </si>
  <si>
    <t>Atty. Raymundo Badang Bautista Jr.</t>
  </si>
  <si>
    <t>Merlyn M. Andalleon</t>
  </si>
  <si>
    <t>Florentino Rapliza Santos, Jr.</t>
  </si>
  <si>
    <t>Ma Ruby S Carmona</t>
  </si>
  <si>
    <t>Glenn A. Lamag</t>
  </si>
  <si>
    <t xml:space="preserve">ROWENA FLOR  M.  AGLUBAT </t>
  </si>
  <si>
    <t>JAYVEE BRYAN GALVEZ CARILLO</t>
  </si>
  <si>
    <t>MOHAMMAD NUR S. DAWAMI</t>
  </si>
  <si>
    <t>Melencia M. Novero</t>
  </si>
  <si>
    <t>Gloria L. Duga</t>
  </si>
  <si>
    <t>Tedler Jr. H. Depaynos</t>
  </si>
  <si>
    <t>Jonalyn Hernandez Villas</t>
  </si>
  <si>
    <t>EDEM D. ABONITALLA</t>
  </si>
  <si>
    <t>Vannesa Bianca Garcia</t>
  </si>
  <si>
    <t>Restituto Zapanta Balane</t>
  </si>
  <si>
    <t>Maximo G. Lomosbog</t>
  </si>
  <si>
    <t>Imelda Mariano Guillermo</t>
  </si>
  <si>
    <t>MARITES BERINGUELA DIONES</t>
  </si>
  <si>
    <t>ELSA IBERO VILLAMOR</t>
  </si>
  <si>
    <t>RONAMAE ROBIN CANOY</t>
  </si>
  <si>
    <t>James Escamillas Laredo</t>
  </si>
  <si>
    <t>RENE M FORMACION</t>
  </si>
  <si>
    <t>Fermin Baguio Dumayas</t>
  </si>
  <si>
    <t>Robert Batulayan Pedrosa</t>
  </si>
  <si>
    <t>FELIPA DE LEON SANTIAGO</t>
  </si>
  <si>
    <t>VICTORIA LAGUNA SUMALDE</t>
  </si>
  <si>
    <t>Zammuel Arellano Bernales</t>
  </si>
  <si>
    <t>Carmencita J de Guzman</t>
  </si>
  <si>
    <t>PABLITO MARTINES IGNACIO</t>
  </si>
  <si>
    <t>ALBERT GEÑOSO ADLAON</t>
  </si>
  <si>
    <t>Gilbert Bo Bolaños</t>
  </si>
  <si>
    <t>Antonio Mendoza Bautista</t>
  </si>
  <si>
    <t>Kathryn  Reyes</t>
  </si>
  <si>
    <t>Baivy Leen Mendoza Reyes</t>
  </si>
  <si>
    <t>ALICIA RENTILLO JUGADO</t>
  </si>
  <si>
    <t>Louela G. Glema</t>
  </si>
  <si>
    <t>Cristine Samulde Adigue</t>
  </si>
  <si>
    <t>Francorival Castanares Lorizo</t>
  </si>
  <si>
    <t>Sarah Jenn R. San Blas</t>
  </si>
  <si>
    <t>Jayson Barbara Florendo</t>
  </si>
  <si>
    <t>MARCELO JUANICH PADILLA</t>
  </si>
  <si>
    <t>GEMMA CARNECER MONGCAL</t>
  </si>
  <si>
    <t>Geraldine Anievas</t>
  </si>
  <si>
    <t>BRINALYN DE LA CRUZ LONTOC</t>
  </si>
  <si>
    <t>Zenaida Caperlac Lim - Alfonso</t>
  </si>
  <si>
    <t>Marlon R Cinense</t>
  </si>
  <si>
    <t>Merlita Mangalonzo Regonda</t>
  </si>
  <si>
    <t>Herbie B De Lemios</t>
  </si>
  <si>
    <t>Marigene De Claro Joaquin</t>
  </si>
  <si>
    <t>Evelyn Valenzuela Manuguid</t>
  </si>
  <si>
    <t>Ruben M. Ollete</t>
  </si>
  <si>
    <t>Michele Solon Mapalo</t>
  </si>
  <si>
    <t>Lea Ann M. Gamban</t>
  </si>
  <si>
    <t>Eugene Raro Luces</t>
  </si>
  <si>
    <t>Roy Brayan Malalad Malapote</t>
  </si>
  <si>
    <t>Annalyn Bueza Nicol</t>
  </si>
  <si>
    <t>Harvy B. Calabio</t>
  </si>
  <si>
    <t>Alexander L Ulep</t>
  </si>
  <si>
    <t>ROSEMARIE P. VISAYA</t>
  </si>
  <si>
    <t>Alien Belleza Empaces</t>
  </si>
  <si>
    <t>ROBERT ALBAY BUNDA</t>
  </si>
  <si>
    <t>Rosalyn Ruiz Ballad</t>
  </si>
  <si>
    <t>Jayson Pascual Galbis</t>
  </si>
  <si>
    <t>Fernando  Federis  Mira</t>
  </si>
  <si>
    <t>Karen Christine O. Onanad</t>
  </si>
  <si>
    <t>Homer G. Hubag</t>
  </si>
  <si>
    <t>Juneil L. Amarela</t>
  </si>
  <si>
    <t>Rowell M Ynzon</t>
  </si>
  <si>
    <t>Ryan Bayonas Dultra</t>
  </si>
  <si>
    <t>joahna grace pates vahey</t>
  </si>
  <si>
    <t>Meluchi D. Porol</t>
  </si>
  <si>
    <t>Jacinto A. Jaca</t>
  </si>
  <si>
    <t>Lourdes Espartero Guanzon</t>
  </si>
  <si>
    <t>MA. CECILIA REYES POTESTADES</t>
  </si>
  <si>
    <t>Rene E Maning</t>
  </si>
  <si>
    <t>Gilbert Cuaresma</t>
  </si>
  <si>
    <t>Ruby Rina Soco</t>
  </si>
  <si>
    <t>Norleto Bustamante</t>
  </si>
  <si>
    <t>Ariel A. Sotomayor</t>
  </si>
  <si>
    <t>SALVACION ANGALA OLEA</t>
  </si>
  <si>
    <t>LORENA C BELECINA</t>
  </si>
  <si>
    <t>Cesario R Bahalla</t>
  </si>
  <si>
    <t>Allan Rey Del Castillo Hiponia</t>
  </si>
  <si>
    <t>Leonides M.  Joson</t>
  </si>
  <si>
    <t>Eliazar Musa Firmalo</t>
  </si>
  <si>
    <t>Antonio Manlapig Cruz</t>
  </si>
  <si>
    <t>Jaypee Villanueva Patricio</t>
  </si>
  <si>
    <t>Ma. Hera Geneva Oberio Billena</t>
  </si>
  <si>
    <t>Joemarie Flores Geguiera</t>
  </si>
  <si>
    <t>ARLENE P MEDINA</t>
  </si>
  <si>
    <t>MICHAEL ANDREW QUIROGA FRIAS</t>
  </si>
  <si>
    <t>Detcyle Velasco</t>
  </si>
  <si>
    <t>Carlita Ricorte Tagalogon</t>
  </si>
  <si>
    <t>marites leonen morzo</t>
  </si>
  <si>
    <t>Cyndel Dy Olaguera</t>
  </si>
  <si>
    <t>Conrado C De Vera</t>
  </si>
  <si>
    <t>ROGELIO PURGATORIO DAÑO</t>
  </si>
  <si>
    <t>Merlina Bainco Bonalos</t>
  </si>
  <si>
    <t>Christian  Salcedo  Serrano</t>
  </si>
  <si>
    <t>Cecilio Tagala Sacorum</t>
  </si>
  <si>
    <t>Chito de Leon Riego de Dios</t>
  </si>
  <si>
    <t>SATUR CALUBANDI PAYANGDO</t>
  </si>
  <si>
    <t>Felicidad Andaya Manaois</t>
  </si>
  <si>
    <t>Warlie Balanay Agbunag</t>
  </si>
  <si>
    <t>Laudemir S. Salac</t>
  </si>
  <si>
    <t>Yolanda Cabana Estampa</t>
  </si>
  <si>
    <t>Margie Andres Romagos</t>
  </si>
  <si>
    <t>BAC Secretariat</t>
  </si>
  <si>
    <t>HILARION TACAISAN DUBRIA, JR.</t>
  </si>
  <si>
    <t>Leonardo Bo Bisa</t>
  </si>
  <si>
    <t>Graceli De Leon</t>
  </si>
  <si>
    <t>Elizabeth Fleetwood Ortega</t>
  </si>
  <si>
    <t>Marissa Dela Cruz Pagaduan</t>
  </si>
  <si>
    <t>EDNA B. LACSON</t>
  </si>
  <si>
    <t>Marichelle Ferrer</t>
  </si>
  <si>
    <t>Alejandro E.  Cortez</t>
  </si>
  <si>
    <t>Maricel Catubig Untalan</t>
  </si>
  <si>
    <t>Edwardford Najera Dagatan</t>
  </si>
  <si>
    <t>Joey Vincent Palao Rabanal - 1</t>
  </si>
  <si>
    <t>Agnes Badilla Martino</t>
  </si>
  <si>
    <t>ROSARIO GAOAT CALUYA</t>
  </si>
  <si>
    <t>Shykhen B. Yapac</t>
  </si>
  <si>
    <t>GERARDO DALINOC CLEMENTE</t>
  </si>
  <si>
    <t>May Grace Alvaro Palicdon</t>
  </si>
  <si>
    <t>Suzette Caparros Sarausa</t>
  </si>
  <si>
    <t>Shiela Narbarte Domondon</t>
  </si>
  <si>
    <t>Reynaldo Sumagaysay Belgira</t>
  </si>
  <si>
    <t>PROCESO M. KADAVERO</t>
  </si>
  <si>
    <t>Diana E Orcine</t>
  </si>
  <si>
    <t>Dr. Peter S. Sobrevega</t>
  </si>
  <si>
    <t>ENGR. GREGORIO VALENCIA BALUYUT</t>
  </si>
  <si>
    <t>Aldy B Novo</t>
  </si>
  <si>
    <t>Naomi Asendiente Bajao</t>
  </si>
  <si>
    <t>Giovanni Y. Tianero</t>
  </si>
  <si>
    <t>Marking Garcia Cruz</t>
  </si>
  <si>
    <t>REGIE BAES AGNO</t>
  </si>
  <si>
    <t>JOSE NIRO R NILLASCA</t>
  </si>
  <si>
    <t>ENGR. EPIFANIO CAGANDE BAGHUCAN</t>
  </si>
  <si>
    <t>Paulo F. Tagsip</t>
  </si>
  <si>
    <t>JOEL DALMACIA SUMAWANG</t>
  </si>
  <si>
    <t>Catherine Arguilles Bayron</t>
  </si>
  <si>
    <t>Franklin Tubiera Toledana</t>
  </si>
  <si>
    <t>elizabeth ardiente cabahug</t>
  </si>
  <si>
    <t>Daniel G Lacar</t>
  </si>
  <si>
    <t>Elena Maniwang Santillan</t>
  </si>
  <si>
    <t>Dennis Tono Ventilacion</t>
  </si>
  <si>
    <t>ZEA DAYANARA S LAVAREZ</t>
  </si>
  <si>
    <t>Roderick Trangia Songahid</t>
  </si>
  <si>
    <t>Gary S Velayo</t>
  </si>
  <si>
    <t>Leonardo Loñosa Guerrero</t>
  </si>
  <si>
    <t>Mario Jr. Amar Fetalver</t>
  </si>
  <si>
    <t>Michael M.Peñaflor</t>
  </si>
  <si>
    <t>Melissa Tabal Menisterio</t>
  </si>
  <si>
    <t>Renel M. Malacapo</t>
  </si>
  <si>
    <t>Charo R Arugay</t>
  </si>
  <si>
    <t>Lilioso Morgia Nunag</t>
  </si>
  <si>
    <t>Arlene N Nufuar</t>
  </si>
  <si>
    <t>Zotico L. Pastelero</t>
  </si>
  <si>
    <t>Rizza Villena Dalisay</t>
  </si>
  <si>
    <t>Saturnino Napa Magmanlac, Jr.</t>
  </si>
  <si>
    <t>Ma. Asherine Noscal Atienza</t>
  </si>
  <si>
    <t>Florita Cidro Cabato</t>
  </si>
  <si>
    <t>Rey Acerden Magbanua</t>
  </si>
  <si>
    <t>Reynaldo R Dalogdog</t>
  </si>
  <si>
    <t>Jannette L. Fronda</t>
  </si>
  <si>
    <t>Aaron Joshua L. Reyes</t>
  </si>
  <si>
    <t>Antoinette F. Fernandez</t>
  </si>
  <si>
    <t>Eric C Marcelino</t>
  </si>
  <si>
    <t>Fernando Cabasing Doinog Jr.</t>
  </si>
  <si>
    <t>Estrella Bacaling Abapo</t>
  </si>
  <si>
    <t>Engr. Joel Antonio</t>
  </si>
  <si>
    <t>Hilarry Amigable Singalivo</t>
  </si>
  <si>
    <t>GERMAN M. DELA CRUZ</t>
  </si>
  <si>
    <t>Geminina Callada Fernando</t>
  </si>
  <si>
    <t>CLARENCE C. MORALES</t>
  </si>
  <si>
    <t>Poliver Laurente Tumaneng</t>
  </si>
  <si>
    <t>Jahra Amiry Narciso</t>
  </si>
  <si>
    <t>DENNIS MARTILLANO JAMBALOS</t>
  </si>
  <si>
    <t>Jocelyn M Romero</t>
  </si>
  <si>
    <t>Vincent A Isip</t>
  </si>
  <si>
    <t>Maria Fe Able Ballescas</t>
  </si>
  <si>
    <t>ERIKA R. DURAN</t>
  </si>
  <si>
    <t>Vince Kyle Dizon Timbol</t>
  </si>
  <si>
    <t>Odessa Tomogdan Manligoy</t>
  </si>
  <si>
    <t>ELEODORA B. VERGARA</t>
  </si>
  <si>
    <t>Abegail Cuevas Tigas</t>
  </si>
  <si>
    <t>Enrique F. Guinhawa</t>
  </si>
  <si>
    <t>HERALDO B. PRESADO</t>
  </si>
  <si>
    <t>ROSALINDA TAPIA LONZAGA</t>
  </si>
  <si>
    <t>Anecito  A.  Baculi</t>
  </si>
  <si>
    <t>Ramil L. Caseda</t>
  </si>
  <si>
    <t>GERALD AL P MENDOZA</t>
  </si>
  <si>
    <t>Danilo Ragudo Rafanan</t>
  </si>
  <si>
    <t>Raymond Ian Quevedo Conde</t>
  </si>
  <si>
    <t>Ronald D. Elnar</t>
  </si>
  <si>
    <t>Jesus Rey Serna Cavalida</t>
  </si>
  <si>
    <t>Leticia Deza</t>
  </si>
  <si>
    <t>Eugenia Lizabeth G. Somera</t>
  </si>
  <si>
    <t>Mark Eduard Borda Peñas</t>
  </si>
  <si>
    <t>NIÑO ANTHONY L. MAGNO</t>
  </si>
  <si>
    <t>Anton Jade Cortezo</t>
  </si>
  <si>
    <t>Venus C. Solano</t>
  </si>
  <si>
    <t>Minda Untiveros</t>
  </si>
  <si>
    <t>Jerome Duenas Malapit</t>
  </si>
  <si>
    <t>Annabelle De Vera Quiñones</t>
  </si>
  <si>
    <t>EFREN  CANACO  VELASCO</t>
  </si>
  <si>
    <t>Marciano Ilagan Ilagan</t>
  </si>
  <si>
    <t>Dorivic G Espina</t>
  </si>
  <si>
    <t>Jose Ramirez Hainto Jr.</t>
  </si>
  <si>
    <t>Macinole Manalo Domopoy</t>
  </si>
  <si>
    <t>DANIEL, JR. ALBERTO BAUTISTA</t>
  </si>
  <si>
    <t>Catherine G. Macanip</t>
  </si>
  <si>
    <t>Mila Rodrin Creencia 2</t>
  </si>
  <si>
    <t>Joan DM Vendiola</t>
  </si>
  <si>
    <t>Norman S. Bautista</t>
  </si>
  <si>
    <t>ELAINE JUBAILYN MAGARANG MOCSANAT</t>
  </si>
  <si>
    <t>Aileen L Bonghanoy</t>
  </si>
  <si>
    <t>Marilou Doromal Diancin</t>
  </si>
  <si>
    <t>Rosemarie P. Palma</t>
  </si>
  <si>
    <t>Alexander G. Diez</t>
  </si>
  <si>
    <t>Dennis Policarpio Garcia</t>
  </si>
  <si>
    <t>FRANCIS E MAURICIO</t>
  </si>
  <si>
    <t>JANE MACATANGAY LUCE</t>
  </si>
  <si>
    <t>Ferdinand Fadriquelan Falceso</t>
  </si>
  <si>
    <t>ROBERTO S PAGAYUNAN</t>
  </si>
  <si>
    <t>PRIMA BASILITA JAMILA</t>
  </si>
  <si>
    <t>IMELDA MATIBAG ABARINTOS</t>
  </si>
  <si>
    <t>Aaron Espiritu Tedria</t>
  </si>
  <si>
    <t>Henedina F. Monteras</t>
  </si>
  <si>
    <t>David T. Raguindin</t>
  </si>
  <si>
    <t>ALVIN  L  ESTRADA.</t>
  </si>
  <si>
    <t>Narciso Santiago Mendiola Jr.</t>
  </si>
  <si>
    <t>Joven Marasigan Mogol</t>
  </si>
  <si>
    <t>Michael A. Piodena</t>
  </si>
  <si>
    <t>Leticia O. Clemente</t>
  </si>
  <si>
    <t>Rhandy D. Domingo</t>
  </si>
  <si>
    <t>EVELYN EVIDIENTES GUINTU</t>
  </si>
  <si>
    <t>Romeo Jr. Malco   Malacas</t>
  </si>
  <si>
    <t>Pedro D. Battung</t>
  </si>
  <si>
    <t>Eugene Barocan Damasco</t>
  </si>
  <si>
    <t>Manuel Bryan Laguda Villarante</t>
  </si>
  <si>
    <t>Florence Joseline Gredona</t>
  </si>
  <si>
    <t>Raul Tampus Lumbatan</t>
  </si>
  <si>
    <t>NIÑO L. SUSA</t>
  </si>
  <si>
    <t>Ida Pableo Reforsado</t>
  </si>
  <si>
    <t>MA. DIVINA  L.  FAMULARCANO</t>
  </si>
  <si>
    <t>Medilyn Cacabelos Fernandez</t>
  </si>
  <si>
    <t>Frazali  Sala Siega</t>
  </si>
  <si>
    <t>Juda C. Sediaco</t>
  </si>
  <si>
    <t>Ruth Glifonia Belmes</t>
  </si>
  <si>
    <t>lovella venteroso ramos</t>
  </si>
  <si>
    <t>Lilio Serviño Porcalla</t>
  </si>
  <si>
    <t>RENY ACERO CELESPARA</t>
  </si>
  <si>
    <t>ANGELINA RENDON DAET</t>
  </si>
  <si>
    <t>ROLAND MAYOL PEREZ</t>
  </si>
  <si>
    <t>Jacinto Guerta Ederosas</t>
  </si>
  <si>
    <t>Dante R. Grande</t>
  </si>
  <si>
    <t>Igmedio Santiago Casticon, CESE</t>
  </si>
  <si>
    <t>Jeremie Jay A. Ortiz</t>
  </si>
  <si>
    <t>Blesilda R. Domagas</t>
  </si>
  <si>
    <t>ARBEN P. BUSTILLO</t>
  </si>
  <si>
    <t>Freddie Remolado Sumangit</t>
  </si>
  <si>
    <t>Prechie Monton Rivera</t>
  </si>
  <si>
    <t>Krizza Mapalad Payonga</t>
  </si>
  <si>
    <t>Aris A. Arellano</t>
  </si>
  <si>
    <t>Nelson Miranda Bautista</t>
  </si>
  <si>
    <t>Arlene Radam Ureta</t>
  </si>
  <si>
    <t>Norman Casiple Ardina</t>
  </si>
  <si>
    <t>Hermie A Villa Jr.</t>
  </si>
  <si>
    <t>MAY MARQUEZ CASTILLO</t>
  </si>
  <si>
    <t>Mohamad Mamental Odin</t>
  </si>
  <si>
    <t>Carmela Panganiban Valencia</t>
  </si>
  <si>
    <t>Luzvi Delos Santos Dabuet</t>
  </si>
  <si>
    <t>KARLEEN R. DESTURA</t>
  </si>
  <si>
    <t>Abdul Rahman Coliling Palao</t>
  </si>
  <si>
    <t>CANDIDO ALFRED II AZARES BANCORO</t>
  </si>
  <si>
    <t>AGNES RITA DE LOS SANTOS BERNABE</t>
  </si>
  <si>
    <t>Dinah Joy Simora Alsola</t>
  </si>
  <si>
    <t>NERISSA MACANAS GELIG</t>
  </si>
  <si>
    <t>MOISES D. LABIAN, JR, PhD, CESO VI</t>
  </si>
  <si>
    <t>Mary Noreen A Antonio</t>
  </si>
  <si>
    <t>Anthony Ladiet Villanueva</t>
  </si>
  <si>
    <t>Reynaldo P.  Restar</t>
  </si>
  <si>
    <t>ARTEMIO P TORDECILLA</t>
  </si>
  <si>
    <t>Jessie Yanga Cabug</t>
  </si>
  <si>
    <t>Janice Sainz Collado</t>
  </si>
  <si>
    <t>NANCY CABALLERO</t>
  </si>
  <si>
    <t>Engr. Noel Galacgac Coloma</t>
  </si>
  <si>
    <t>Nick Longga Bio</t>
  </si>
  <si>
    <t>Amador M. Leaño, Jr.</t>
  </si>
  <si>
    <t>Kristine Joy Apostol Castillo</t>
  </si>
  <si>
    <t>Mary Rose Cambay Espelita</t>
  </si>
  <si>
    <t>Rowena M. Torreflores</t>
  </si>
  <si>
    <t>marcelino jr. viernes ramos</t>
  </si>
  <si>
    <t>Felicidad Aquino Rarang</t>
  </si>
  <si>
    <t>Jessica Foronda Eriguel</t>
  </si>
  <si>
    <t>Eileen C Argañoza</t>
  </si>
  <si>
    <t>Eddie Crisologo</t>
  </si>
  <si>
    <t>Judilyn Tampepe Natabio</t>
  </si>
  <si>
    <t>Ian Lemuel Bandoy Felix</t>
  </si>
  <si>
    <t>Rowena Heramis Peralta</t>
  </si>
  <si>
    <t>GEFFREY BACHAR CATULIN</t>
  </si>
  <si>
    <t>Cherryl Roque Diaz</t>
  </si>
  <si>
    <t>NORMA  S.  PERASOL</t>
  </si>
  <si>
    <t>Miguel Jr. D. Tolentino</t>
  </si>
  <si>
    <t>Arturo Magallon Palencia</t>
  </si>
  <si>
    <t>Wilson Merle Lopez</t>
  </si>
  <si>
    <t>Bienvenido Villaflores Aldaba Jr.</t>
  </si>
  <si>
    <t>JAMES REYES DOLOROSO</t>
  </si>
  <si>
    <t>Lolita Alvarez</t>
  </si>
  <si>
    <t>Ademar R de Castro</t>
  </si>
  <si>
    <t>Christopher Mabulay Rizo</t>
  </si>
  <si>
    <t>Shirley Gonzales Carino</t>
  </si>
  <si>
    <t>Francis Antonio Legaspi Flores</t>
  </si>
  <si>
    <t>Marilyn Lontoc</t>
  </si>
  <si>
    <t>AGNES A. FRANCISCO</t>
  </si>
  <si>
    <t>RIZZA VILLAROSA YADAO</t>
  </si>
  <si>
    <t>Richard Pornorlles Say-a</t>
  </si>
  <si>
    <t>Evelyn Grace A Aperocho</t>
  </si>
  <si>
    <t>Alvin P. Justo</t>
  </si>
  <si>
    <t>Leonard E. Marquez</t>
  </si>
  <si>
    <t>Isaac T. Bangcaya</t>
  </si>
  <si>
    <t>Jan Michael Clifford Bugtong</t>
  </si>
  <si>
    <t>Ana Lorraine Endaya Ellarina</t>
  </si>
  <si>
    <t>Carmina F. Jimenea</t>
  </si>
  <si>
    <t>Eunice Penaroyo Reginio</t>
  </si>
  <si>
    <t>MARVIN NAVA ALDE</t>
  </si>
  <si>
    <t>Judith  D.  Arago</t>
  </si>
  <si>
    <t>Leny Olitoquit Mayor</t>
  </si>
  <si>
    <t>Caroline Tubongbanua Bucita</t>
  </si>
  <si>
    <t>Sharon Obias Dancalan</t>
  </si>
  <si>
    <t>Jose Ryan F Galon</t>
  </si>
  <si>
    <t>Elisheba Pocong Sabandal</t>
  </si>
  <si>
    <t>Cecilio  Arinabo</t>
  </si>
  <si>
    <t>GONZALO P COCON</t>
  </si>
  <si>
    <t>Engr. Roberto M Digay</t>
  </si>
  <si>
    <t>RODEL PISCO SARMIENTO</t>
  </si>
  <si>
    <t>RAY-JAY LANZARROTE EMBOLTORIO</t>
  </si>
  <si>
    <t>Noel C. Mangkikis</t>
  </si>
  <si>
    <t>Gerardo Jr. V Viloria</t>
  </si>
  <si>
    <t>Acela B Bilbao</t>
  </si>
  <si>
    <t>Erlinda Responso Cadiente</t>
  </si>
  <si>
    <t>Edvil Urbiztondo Trillanes</t>
  </si>
  <si>
    <t>ANTONIO JR FREIRES FECUNDO</t>
  </si>
  <si>
    <t>Carla Francesca M. Guinto</t>
  </si>
  <si>
    <t>MA LOURDES BUNOTAN DANGGA</t>
  </si>
  <si>
    <t>Marieta Manayon Gaer</t>
  </si>
  <si>
    <t>Ma. Gloria Lisette Gay R Espinas</t>
  </si>
  <si>
    <t>ATTY. NICHOLAS S. MARASIGAN</t>
  </si>
  <si>
    <t>Ileen P. Vista</t>
  </si>
  <si>
    <t>Asaria P Cañal</t>
  </si>
  <si>
    <t>LILIBETH JAVIER DIONEZA</t>
  </si>
  <si>
    <t>DIOMEDES V BONALOS</t>
  </si>
  <si>
    <t>Lea Ordinario Abando</t>
  </si>
  <si>
    <t>Rommel Rekulin Cozo</t>
  </si>
  <si>
    <t>MARICHELLE D. FERRER</t>
  </si>
  <si>
    <t>Jerome Bardoquillo Ramirez</t>
  </si>
  <si>
    <t>JAMES CINO ESTOYA</t>
  </si>
  <si>
    <t>Dawnavi Lae Valle Lacsado</t>
  </si>
  <si>
    <t>Rusell Gattu Lozano</t>
  </si>
  <si>
    <t>MARJORIE SAMSON SAN JUAN</t>
  </si>
  <si>
    <t>Deniel Salvador Bentoy Morillo</t>
  </si>
  <si>
    <t>Pat Andrew B. Barrientos</t>
  </si>
  <si>
    <t>Reynante Bayungan Salazar Sr.</t>
  </si>
  <si>
    <t>Matildo Montebon Raman</t>
  </si>
  <si>
    <t>Elaine Lacsa Chavez</t>
  </si>
  <si>
    <t>Restituto De Belen Manlapig</t>
  </si>
  <si>
    <t>Carlos Seechung</t>
  </si>
  <si>
    <t>Diana D. Ermita</t>
  </si>
  <si>
    <t>Mario Jickey Castrodes Perang</t>
  </si>
  <si>
    <t>HELEN C. SILVA</t>
  </si>
  <si>
    <t>Reynaldo Carbungco Esteves</t>
  </si>
  <si>
    <t>Enrico Pabalan Santos</t>
  </si>
  <si>
    <t>JENNY C. SIGNEY</t>
  </si>
  <si>
    <t>Angelie de la Llave Intico</t>
  </si>
  <si>
    <t>PADILLA A. MACAWADIB</t>
  </si>
  <si>
    <t>Mary Dumangeng Baguilat</t>
  </si>
  <si>
    <t>ROXAN KASTINE MENDOZA LUMAPAS</t>
  </si>
  <si>
    <t>WILFREDO BRIAN COMING</t>
  </si>
  <si>
    <t>Julie Ann Dizon Malig</t>
  </si>
  <si>
    <t>Arnoldo A. Ramos Jr.</t>
  </si>
  <si>
    <t>ARIEL BUMAGAT CUENTAS</t>
  </si>
  <si>
    <t>JIMMY AMBROCIO FAMARANCO</t>
  </si>
  <si>
    <t>novenia viloria</t>
  </si>
  <si>
    <t>Roldan Andal Sarto</t>
  </si>
  <si>
    <t>Evangeline Balan Lorenzo</t>
  </si>
  <si>
    <t>Mary Grace L. Baarde</t>
  </si>
  <si>
    <t>Ruben Fabrigas</t>
  </si>
  <si>
    <t>Eddie Richard Roa Lagnada</t>
  </si>
  <si>
    <t>Ruel  Raquipiso Puno</t>
  </si>
  <si>
    <t>Juliet H. Melo</t>
  </si>
  <si>
    <t>WILSON RANADA SALEM</t>
  </si>
  <si>
    <t>Edwin Tortosa Torres Jr</t>
  </si>
  <si>
    <t>Renzo Iray De Leon</t>
  </si>
  <si>
    <t>Gelito A. Isidro</t>
  </si>
  <si>
    <t>Ma. Emelene P. Coquilla</t>
  </si>
  <si>
    <t>EMIL RODRIGUEZ GANADEN</t>
  </si>
  <si>
    <t>GERSO SOTOMAYOR GERALLA</t>
  </si>
  <si>
    <t>Ofelia Dimabuyo Napalit</t>
  </si>
  <si>
    <t>LGU TANGUB</t>
  </si>
  <si>
    <t>Raymond B. Mojares</t>
  </si>
  <si>
    <t>Teresita Bravo Guiang</t>
  </si>
  <si>
    <t>ROMIDA GAYANES NAAG</t>
  </si>
  <si>
    <t>Kevin Barcarse Sambrano</t>
  </si>
  <si>
    <t>Jonas A Tesoro</t>
  </si>
  <si>
    <t>Armando Naldoza Diamante</t>
  </si>
  <si>
    <t>Evelyn G Orcajada</t>
  </si>
  <si>
    <t>flor de amor tangonan delacruz</t>
  </si>
  <si>
    <t>Princess Carmela Villegas Arcillas</t>
  </si>
  <si>
    <t>FERNANDO ORACION</t>
  </si>
  <si>
    <t>June   C.  Caberoy</t>
  </si>
  <si>
    <t>Frank John  Bagato  Adornado</t>
  </si>
  <si>
    <t>Leah Bueno Apao</t>
  </si>
  <si>
    <t>Melinda R Abanilla</t>
  </si>
  <si>
    <t>NECESARIO B. DONAYRE</t>
  </si>
  <si>
    <t>KEREN JOYCE DAYOT POLICARPIO</t>
  </si>
  <si>
    <t>Kristine Gomez Contreras</t>
  </si>
  <si>
    <t>LENNIE M. MERCADO</t>
  </si>
  <si>
    <t>Ferdinand B Caberoy</t>
  </si>
  <si>
    <t>Princess dela Cruz</t>
  </si>
  <si>
    <t>VENERANDA  PARIL ORTONO</t>
  </si>
  <si>
    <t>Patricio Pilvera Reponte, Jr.</t>
  </si>
  <si>
    <t>ERNESTO N. ARCO</t>
  </si>
  <si>
    <t>Reynaldo  P.  Dela Questa</t>
  </si>
  <si>
    <t>Franco Paypa Sabayton</t>
  </si>
  <si>
    <t>Regina S. Valdez</t>
  </si>
  <si>
    <t>RODOLFO DE GUZMAN DE VERA</t>
  </si>
  <si>
    <t>Roger Sr. A Obra</t>
  </si>
  <si>
    <t>Aprile Fornis Ragas</t>
  </si>
  <si>
    <t>Tereso D Ubungin</t>
  </si>
  <si>
    <t>Lealyn Baoy Dy</t>
  </si>
  <si>
    <t>Marc P Salaguban</t>
  </si>
  <si>
    <t>HENRY REYES TURA</t>
  </si>
  <si>
    <t>AGNES I LUHA</t>
  </si>
  <si>
    <t>JOHN JOHN CASTILLO FAULVE</t>
  </si>
  <si>
    <t>CRISALDO T MERCADER</t>
  </si>
  <si>
    <t>Dan T Tayo</t>
  </si>
  <si>
    <t>GINA LACSARON SERVANO</t>
  </si>
  <si>
    <t>Eduardo Macabenta Pateña</t>
  </si>
  <si>
    <t>LEA C. BARASI</t>
  </si>
  <si>
    <t>SHEILA ERICA GUARDADO TUBERA</t>
  </si>
  <si>
    <t>Jhune M Rivera</t>
  </si>
  <si>
    <t>Rebecca Marcilla Agbay</t>
  </si>
  <si>
    <t>GINA GINTO VILLEGAS</t>
  </si>
  <si>
    <t>JEANNE V. BAUZON</t>
  </si>
  <si>
    <t>ELIZABETH FERNANDO CRUZ</t>
  </si>
  <si>
    <t>Judith Nomio</t>
  </si>
  <si>
    <t>Mansueto Ibale Diangco</t>
  </si>
  <si>
    <t>Joy  G. Pumanes</t>
  </si>
  <si>
    <t>Melany Trinanes</t>
  </si>
  <si>
    <t>EDISON TANALIGA GUTIERREZ</t>
  </si>
  <si>
    <t>Jesus, Jr. Urieta</t>
  </si>
  <si>
    <t>Clarisse Anne De Castro Salenga</t>
  </si>
  <si>
    <t>Rosmendo Jr C.  Bongocan</t>
  </si>
  <si>
    <t>Lymarie Alcantara Malicdem</t>
  </si>
  <si>
    <t>Haziel Joy Adriano</t>
  </si>
  <si>
    <t>Vanessa A Dela Torre</t>
  </si>
  <si>
    <t>Florence Joy R. Mallare-Abad</t>
  </si>
  <si>
    <t>Isabelita Matic Manalastas</t>
  </si>
  <si>
    <t>JOEY A GARCIA</t>
  </si>
  <si>
    <t>DARIO K WAYAGWAG</t>
  </si>
  <si>
    <t>ETHEL M. GOH</t>
  </si>
  <si>
    <t>Ivan Cruz</t>
  </si>
  <si>
    <t>Asther Jean Perfecio Saril</t>
  </si>
  <si>
    <t>Arsenio Macaspac Lasam</t>
  </si>
  <si>
    <t>GLENN O. NAGUIT</t>
  </si>
  <si>
    <t>Renato Santos Salas</t>
  </si>
  <si>
    <t>Chelsea Jillian  M.  Abeleda</t>
  </si>
  <si>
    <t>David B. Reyes, Jr.</t>
  </si>
  <si>
    <t>Jerry Grace G Danao</t>
  </si>
  <si>
    <t>Darmo Sumat Ganiban</t>
  </si>
  <si>
    <t>Edgar Bumanglag Llapitan</t>
  </si>
  <si>
    <t>merly m montenegro</t>
  </si>
  <si>
    <t>VALENTE MICLAT HALILI</t>
  </si>
  <si>
    <t>Rose M Villena</t>
  </si>
  <si>
    <t>CHARITO POBLETE CHAVEZ</t>
  </si>
  <si>
    <t>Khad Magalgalit Layag</t>
  </si>
  <si>
    <t>JUNREY RATILLA</t>
  </si>
  <si>
    <t>Rico Basilio Macabare</t>
  </si>
  <si>
    <t>Janeth Cabalida Vailoces</t>
  </si>
  <si>
    <t>Mr. Sharold B Magallones</t>
  </si>
  <si>
    <t>Cristina Amparo M Linan</t>
  </si>
  <si>
    <t>Roselma Catherine Garrote Cantos</t>
  </si>
  <si>
    <t>JASON  TIPAYNO BULASAO</t>
  </si>
  <si>
    <t>EDISON ALPARAN LORIAGA</t>
  </si>
  <si>
    <t>Fatima M. Ombawa</t>
  </si>
  <si>
    <t>NIKKI IVY IBAÑEZ BANTOG</t>
  </si>
  <si>
    <t>LOURDES MOJICA BABE</t>
  </si>
  <si>
    <t>Claudio  D.  Del Monte</t>
  </si>
  <si>
    <t>Janely Porras Ansoyon</t>
  </si>
  <si>
    <t>Joselyn P. Valdez</t>
  </si>
  <si>
    <t>Jacquiline Labrada Ocasla</t>
  </si>
  <si>
    <t>MELANIE GAMILDE GACUSAN</t>
  </si>
  <si>
    <t>JONEFE GOMEZ OCASLA</t>
  </si>
  <si>
    <t>Christma Joy Pereyra Rodriguez</t>
  </si>
  <si>
    <t>Verna Y. Rosario</t>
  </si>
  <si>
    <t>PAUL BANTUGAN CUARTERO</t>
  </si>
  <si>
    <t>Kemela Joy Salas Biñas</t>
  </si>
  <si>
    <t>Isidro Alabag Gumpad</t>
  </si>
  <si>
    <t>JENETTE GERONIMO GADO</t>
  </si>
  <si>
    <t>Anna Lou Elaba Roales</t>
  </si>
  <si>
    <t>Lelanie Alfaro Maturan</t>
  </si>
  <si>
    <t>Dexter S. Gaddi</t>
  </si>
  <si>
    <t>ADELFA RICO BELLO</t>
  </si>
  <si>
    <t>Ruth  R.  Batoon</t>
  </si>
  <si>
    <t>Marjune C. Vito</t>
  </si>
  <si>
    <t>Velasco Barcarse Mario</t>
  </si>
  <si>
    <t>Antoinette Pipo</t>
  </si>
  <si>
    <t>Rhodeliza De Villa Penarroyo</t>
  </si>
  <si>
    <t>Veronica Vergara De Jesus</t>
  </si>
  <si>
    <t>Joseph P Cuenco</t>
  </si>
  <si>
    <t>JEZREEL JOHN MANALO MATRE</t>
  </si>
  <si>
    <t>COLEEN C LOMOLJO</t>
  </si>
  <si>
    <t>EDMUND PAPEL SOMORAY</t>
  </si>
  <si>
    <t>Delmor De Vera Pascual</t>
  </si>
  <si>
    <t>Mary Nor Jontilla Gonzales</t>
  </si>
  <si>
    <t>Ignacio Subebe</t>
  </si>
  <si>
    <t>Edwin B Mendoza</t>
  </si>
  <si>
    <t>JUDITH BARRACA UNILONGO</t>
  </si>
  <si>
    <t>Jennita V Garcia</t>
  </si>
  <si>
    <t>Ivylea Cantago</t>
  </si>
  <si>
    <t>JURIS CARINA PALOMO LUGO</t>
  </si>
  <si>
    <t>Edison Mangulabnan Mina</t>
  </si>
  <si>
    <t>LEO ELOGADA DELOS SANTOS</t>
  </si>
  <si>
    <t>Neil Macaraeg</t>
  </si>
  <si>
    <t>Blesilda P. Makabali</t>
  </si>
  <si>
    <t>Dhom Lozano</t>
  </si>
  <si>
    <t>ANASTACIO MAMALIAS  BAHINTING</t>
  </si>
  <si>
    <t>Jackson L. Pasamic</t>
  </si>
  <si>
    <t>Gerard  Masalig Morales</t>
  </si>
  <si>
    <t>CLEOFE TUBA Polido</t>
  </si>
  <si>
    <t>Randy M. Lorin</t>
  </si>
  <si>
    <t>Pablo Villamonte Nicolita</t>
  </si>
  <si>
    <t>Rodrigo P Mazo</t>
  </si>
  <si>
    <t>Theresa B. Dela Pena</t>
  </si>
  <si>
    <t>Gaudioso Paredes Boiser</t>
  </si>
  <si>
    <t>MAJ GABRIEL D TAYKO (CE) PA</t>
  </si>
  <si>
    <t>Bienvenido Jr. Eclipse Siguan</t>
  </si>
  <si>
    <t>Janelle Dela Cruz</t>
  </si>
  <si>
    <t>Norberto C Abad, Jr.</t>
  </si>
  <si>
    <t>Marietta Abuan Graciano</t>
  </si>
  <si>
    <t>Nelly Reiza M De Ocampo</t>
  </si>
  <si>
    <t>Wanessah Charmie Fadri Fardiquela</t>
  </si>
  <si>
    <t>Maricel Duque Felipe</t>
  </si>
  <si>
    <t>Aprilla M Camilot</t>
  </si>
  <si>
    <t>Maria Theresa Sta. Cruz Sanz</t>
  </si>
  <si>
    <t>XYRAINE MAE S. MAGLASANG</t>
  </si>
  <si>
    <t>ROMEO S BUGNOT</t>
  </si>
  <si>
    <t>Giovanne Tan  Lim</t>
  </si>
  <si>
    <t>Verisima Sarigumba Calipusan</t>
  </si>
  <si>
    <t>Gonzalo Taguenca Pusta</t>
  </si>
  <si>
    <t>Donato Silvano Advincula</t>
  </si>
  <si>
    <t>Godofredo P Madariaga</t>
  </si>
  <si>
    <t>Noli P Apostol</t>
  </si>
  <si>
    <t>Marie Jeanne Abagatnan Jagonio</t>
  </si>
  <si>
    <t>AGOSTO BELINO BAOBAOEN</t>
  </si>
  <si>
    <t>Amancio S. Dongcoy</t>
  </si>
  <si>
    <t>EDDIEMAR AGANON</t>
  </si>
  <si>
    <t>Evelyn Larosa Cainglet</t>
  </si>
  <si>
    <t>Reynold Visaya</t>
  </si>
  <si>
    <t>Jamaica Gruesco Ebrada</t>
  </si>
  <si>
    <t>Teresita L. Vitug</t>
  </si>
  <si>
    <t>Christelyn A. Aguro</t>
  </si>
  <si>
    <t>Rommel Pacaoncis Masongsong</t>
  </si>
  <si>
    <t>Fernando De Guzman Cruz</t>
  </si>
  <si>
    <t>Mario V. Abad</t>
  </si>
  <si>
    <t>Romeo Emmanuel II C. Yarcia</t>
  </si>
  <si>
    <t>ELIZABETH M MUNDA</t>
  </si>
  <si>
    <t>Angelina R Villanoy</t>
  </si>
  <si>
    <t>ABNER VILLAFLOR DE LA CRUZ</t>
  </si>
  <si>
    <t>Wennie S. Angit</t>
  </si>
  <si>
    <t>Magdalina Makiling Bongales</t>
  </si>
  <si>
    <t>Josephine Gozon Madlangsakay</t>
  </si>
  <si>
    <t>Lina Paglicawan Faltado</t>
  </si>
  <si>
    <t>Norbert Villagracia Lim</t>
  </si>
  <si>
    <t>Rosel Montaus Miras</t>
  </si>
  <si>
    <t>Corazon A. Yamit Abao Yamit</t>
  </si>
  <si>
    <t>Freddie B. Caday</t>
  </si>
  <si>
    <t>RANDY R MALIWAT</t>
  </si>
  <si>
    <t>Kennedy Madronio Urbano</t>
  </si>
  <si>
    <t>RIZALDY L. MENDOZA</t>
  </si>
  <si>
    <t>Kim James Ferolino Sombilon</t>
  </si>
  <si>
    <t>john michael horario alvarez</t>
  </si>
  <si>
    <t>Edbert Piosca Soliven</t>
  </si>
  <si>
    <t>Noli U. Guiad</t>
  </si>
  <si>
    <t>Lilybeth Duldulao Sagmaquen</t>
  </si>
  <si>
    <t>Leda Penarubia Redoble</t>
  </si>
  <si>
    <t>Gilda Filoteo Lluisma</t>
  </si>
  <si>
    <t>Babe Charity S Enerio</t>
  </si>
  <si>
    <t>ALLAN P. RAMBANO</t>
  </si>
  <si>
    <t>CHARYMELLE O FORONDA</t>
  </si>
  <si>
    <t>Frisco Masibay Lahoy</t>
  </si>
  <si>
    <t>Fernando Boricano Mercene</t>
  </si>
  <si>
    <t>Mitos Villareal Royo</t>
  </si>
  <si>
    <t>Paterno O Hempeso</t>
  </si>
  <si>
    <t>Zenaida M Formentera</t>
  </si>
  <si>
    <t>Mia Marinelle Ramos Labuguen</t>
  </si>
  <si>
    <t>Ma. Emilyn Sweetie Leonor Protacio</t>
  </si>
  <si>
    <t>Maria Morena Santos</t>
  </si>
  <si>
    <t>Reynaldo Collado Floria</t>
  </si>
  <si>
    <t>Gloria S Dungo</t>
  </si>
  <si>
    <t>ALLEN  VILLUGA</t>
  </si>
  <si>
    <t>Eleuterio L Blasco</t>
  </si>
  <si>
    <t>PERSEUS B PANGALIMAN</t>
  </si>
  <si>
    <t>Corazon O. Julian</t>
  </si>
  <si>
    <t>Wilfredo F. Gundran</t>
  </si>
  <si>
    <t>VIOLETA V JAVAR</t>
  </si>
  <si>
    <t>Reniza L Abellera</t>
  </si>
  <si>
    <t>Neri Tadeo Beley</t>
  </si>
  <si>
    <t>Corazon Martinez Fronda</t>
  </si>
  <si>
    <t>Willbert D Hosme</t>
  </si>
  <si>
    <t>Eugene Tolentino Garcia</t>
  </si>
  <si>
    <t>Caryn Rose Dy Escobido</t>
  </si>
  <si>
    <t>Ma. Cecilia  A.  Cedro</t>
  </si>
  <si>
    <t>Carolina D Uy</t>
  </si>
  <si>
    <t>Pascual D. Espinosa IV</t>
  </si>
  <si>
    <t>Nim Rod Esguerra Bautista</t>
  </si>
  <si>
    <t>Irene Tabanda</t>
  </si>
  <si>
    <t>Sweet L. Malima</t>
  </si>
  <si>
    <t>Rebecca Enierga Valenzuela</t>
  </si>
  <si>
    <t>VIVIENNE GENEVIEVE CAASI AGUILOS</t>
  </si>
  <si>
    <t>Wayne Oresco Calibayan</t>
  </si>
  <si>
    <t>Claress Montojo</t>
  </si>
  <si>
    <t>Beverly Mae M Brebante</t>
  </si>
  <si>
    <t>ERVIN PAGE SALANG</t>
  </si>
  <si>
    <t>Elpidio Jr. D. Lucernas</t>
  </si>
  <si>
    <t>Emelita  Moya  Gutierrez</t>
  </si>
  <si>
    <t>Amalia Acay Ibarra</t>
  </si>
  <si>
    <t>Edelyn Arasan Soriano</t>
  </si>
  <si>
    <t>Marcus Andico Cupino</t>
  </si>
  <si>
    <t>Marissa M de la Cruz</t>
  </si>
  <si>
    <t>Oliver L Romero</t>
  </si>
  <si>
    <t>Reynaldo Manlupig Basco</t>
  </si>
  <si>
    <t>MARIA TERESA HOCSON MIRABUENO</t>
  </si>
  <si>
    <t>Leo Hernandez</t>
  </si>
  <si>
    <t>Chona M. Halili</t>
  </si>
  <si>
    <t>ALFREDO DANDO DELOS SANTOS</t>
  </si>
  <si>
    <t>Gladys Ann Bengco Punzalan</t>
  </si>
  <si>
    <t>Nelson Baptista Cabarrabang</t>
  </si>
  <si>
    <t>GINA R ASULA</t>
  </si>
  <si>
    <t>SALVADOR P ACEBUCHE</t>
  </si>
  <si>
    <t>NENA G. BANGGAT</t>
  </si>
  <si>
    <t>Samuel Cimeni Penales</t>
  </si>
  <si>
    <t>ROSEMARIE M. LAWAS</t>
  </si>
  <si>
    <t>Jenifer C. Alcain</t>
  </si>
  <si>
    <t>Mae Marie E Hernandez</t>
  </si>
  <si>
    <t>Engr. Arnulfo F. Tena</t>
  </si>
  <si>
    <t>Jovito Bron Coderis, Jr.</t>
  </si>
  <si>
    <t>Paul Brix P Advincula</t>
  </si>
  <si>
    <t>Renzjay Antonio Linsangan</t>
  </si>
  <si>
    <t>GIL GABRIEL HIDALGO BORDADO III</t>
  </si>
  <si>
    <t>Lito I Balarbar</t>
  </si>
  <si>
    <t>Ricardo Alvarado Sanchez</t>
  </si>
  <si>
    <t>JOCELYN MENOR TOMON</t>
  </si>
  <si>
    <t>ROSA DALAGUETE MANUEL</t>
  </si>
  <si>
    <t>Joan Dimatulac Gutierrez</t>
  </si>
  <si>
    <t>Jubeth Mico Gipatalagan</t>
  </si>
  <si>
    <t>Liza Roque Leaño</t>
  </si>
  <si>
    <t>Alex M Rendon</t>
  </si>
  <si>
    <t>Verlene Layaoen Melendez</t>
  </si>
  <si>
    <t>Honey Sahara Bautista Aleman</t>
  </si>
  <si>
    <t>Ferdinand P. Tumaliuan</t>
  </si>
  <si>
    <t>Maria Andrea Carvajal Tiong</t>
  </si>
  <si>
    <t>Christopher Dave Baldedara Musa</t>
  </si>
  <si>
    <t>ESTRELLA E. VINO</t>
  </si>
  <si>
    <t>Ma.  Erowena V Soriano</t>
  </si>
  <si>
    <t>Juvy  Fugnit  Paulican</t>
  </si>
  <si>
    <t>Cyril D. Valencerina</t>
  </si>
  <si>
    <t>BENIGNO BAUTISTA SALAZAR</t>
  </si>
  <si>
    <t>Elena Tayag Villa</t>
  </si>
  <si>
    <t>MARIO ABANTO TALLEDO</t>
  </si>
  <si>
    <t>Hanz Willbur Domondon Quebral</t>
  </si>
  <si>
    <t>Eva D. Bañares</t>
  </si>
  <si>
    <t>Flordeliza Aquino Ibaite</t>
  </si>
  <si>
    <t>Cliftone Kiteng Bangse-il</t>
  </si>
  <si>
    <t>LINA COLMINAS ZARCO</t>
  </si>
  <si>
    <t>Nida B Macam</t>
  </si>
  <si>
    <t>ABETH JOSE BUENTIPO BARBA</t>
  </si>
  <si>
    <t>Susan Marzan Casilang</t>
  </si>
  <si>
    <t>Eleanor K. Corpuz</t>
  </si>
  <si>
    <t>Renen P. Cayabyab</t>
  </si>
  <si>
    <t>Edgar S Ocampo</t>
  </si>
  <si>
    <t>Joanne Hoylar Garcia</t>
  </si>
  <si>
    <t>Ronie Niduaza</t>
  </si>
  <si>
    <t>Lucila G De Ocampo</t>
  </si>
  <si>
    <t>ROSLYN D RUIZ</t>
  </si>
  <si>
    <t>Roderick Casulla Macinas</t>
  </si>
  <si>
    <t xml:space="preserve">JEFFERSON  THOMPSON RODRIGUEZ </t>
  </si>
  <si>
    <t>JOMAR D. OLIVA</t>
  </si>
  <si>
    <t>Maricel S. Yu</t>
  </si>
  <si>
    <t>Lorna Colob Lustria</t>
  </si>
  <si>
    <t>VEMIE MONTEJO ESTOLOGA</t>
  </si>
  <si>
    <t>Marjorie G Diño</t>
  </si>
  <si>
    <t>Erlinda B. Benter</t>
  </si>
  <si>
    <t>Manuel Dacuma</t>
  </si>
  <si>
    <t>Jeraldo Cauguiran So</t>
  </si>
  <si>
    <t>Leonardo  Carandang  Villanueva</t>
  </si>
  <si>
    <t>Bonifacio Jr. Tablizo Balazon</t>
  </si>
  <si>
    <t>FRANK FALANGAN FANGED</t>
  </si>
  <si>
    <t>Hayria Gonsang Panalindang</t>
  </si>
  <si>
    <t>Khristel Jade De Ocampo Villanueva</t>
  </si>
  <si>
    <t>Anthony Balbuena Lozada</t>
  </si>
  <si>
    <t>Jephonie Ganibe Lumansoy</t>
  </si>
  <si>
    <t>Juliet Corregidor Custodio</t>
  </si>
  <si>
    <t>Audrey Rose J Delos Reyes</t>
  </si>
  <si>
    <t>CHARITY L HILARIA</t>
  </si>
  <si>
    <t>Melanie Alabat Jalover</t>
  </si>
  <si>
    <t>ME-ANN CABOG CENON</t>
  </si>
  <si>
    <t>Edna Leorna  G.  Macapugay</t>
  </si>
  <si>
    <t>Victoria Taguinod Padilla</t>
  </si>
  <si>
    <t>Ma. Luisa Tumala Dela Rosa</t>
  </si>
  <si>
    <t>Arnulfo Escultor Salazar Jr.</t>
  </si>
  <si>
    <t>Jessie Bagtang Addag</t>
  </si>
  <si>
    <t>Janice Benlot Aglanao</t>
  </si>
  <si>
    <t>PAMELA AMOR ACTUB RAMOS</t>
  </si>
  <si>
    <t>LAILA FUERTES DANAQUE</t>
  </si>
  <si>
    <t>Ciscil B. Montemayor</t>
  </si>
  <si>
    <t>Isidro Lopez Tapar</t>
  </si>
  <si>
    <t>Joseph Raphael De Guzman Francisco</t>
  </si>
  <si>
    <t>Sylvia P. Obera</t>
  </si>
  <si>
    <t>Lexter Gaite Alfonga</t>
  </si>
  <si>
    <t>MARIBEL A. CEREZO</t>
  </si>
  <si>
    <t>Christine Marie Cruz Crisostomo</t>
  </si>
  <si>
    <t>Imelda D. Baltazar</t>
  </si>
  <si>
    <t>Joy Melga Buendia Olazo</t>
  </si>
  <si>
    <t>Betty Lou Gornez</t>
  </si>
  <si>
    <t>Eduardo A. Sieras</t>
  </si>
  <si>
    <t>JERUFFABELLE ARZADON BAUYON</t>
  </si>
  <si>
    <t>Ramil L. Juliano</t>
  </si>
  <si>
    <t>Josafat Lindong Caipang</t>
  </si>
  <si>
    <t>LUCIO F. PEQUIRO</t>
  </si>
  <si>
    <t>MELANDRES V GUILLERMO</t>
  </si>
  <si>
    <t>Joan V. Cortero</t>
  </si>
  <si>
    <t>Teofilo B. Ferolin, Sr.</t>
  </si>
  <si>
    <t>Marcos M. Kusain, JD, MPA</t>
  </si>
  <si>
    <t>ARNEL USITA URGANAY</t>
  </si>
  <si>
    <t>MARY FAMILLE PORTILLO IPAW</t>
  </si>
  <si>
    <t>Norlan M De Las Alas</t>
  </si>
  <si>
    <t>Joseph R. Gayaman</t>
  </si>
  <si>
    <t>Felton Xenox T. Inting</t>
  </si>
  <si>
    <t>Eugenio T. Rosete</t>
  </si>
  <si>
    <t>Melinda D Deyto</t>
  </si>
  <si>
    <t>Julius Asuit Arcinas</t>
  </si>
  <si>
    <t>Nellie A Francisco</t>
  </si>
  <si>
    <t>Marilou A. Gecosala</t>
  </si>
  <si>
    <t>Anna Karla Mae Postor Grindulo</t>
  </si>
  <si>
    <t>Ruby Dedace Abriol</t>
  </si>
  <si>
    <t>KAREN KAY ANNE RECIDO</t>
  </si>
  <si>
    <t>Maria Lucia Sanchez</t>
  </si>
  <si>
    <t>Agnes Padro Tampico</t>
  </si>
  <si>
    <t>MARISSA PANLILIO ORTIZ</t>
  </si>
  <si>
    <t>Freddie Oben Tomines</t>
  </si>
  <si>
    <t>JOSE URVILLE DON DAGONDON MALIPER</t>
  </si>
  <si>
    <t>DOMINGO MIJORADA PACARDO</t>
  </si>
  <si>
    <t>JOSELITO T ARAO</t>
  </si>
  <si>
    <t>Victoria R. Del Rosario</t>
  </si>
  <si>
    <t>Benhur V. Malana</t>
  </si>
  <si>
    <t>Naomie Dahunan Zalsos</t>
  </si>
  <si>
    <t>ELMER GATOC SILAO</t>
  </si>
  <si>
    <t>Mario Galila Parreño</t>
  </si>
  <si>
    <t>Ghona Capecenio Abarca</t>
  </si>
  <si>
    <t>Armina B. Abad</t>
  </si>
  <si>
    <t>DENNIS  TUMULAK  BENAVIDES</t>
  </si>
  <si>
    <t>VIRGINIA NENENG MARTIN</t>
  </si>
  <si>
    <t>Vilmaflor T Salangsang</t>
  </si>
  <si>
    <t>Mercedita Delantar Villarubia</t>
  </si>
  <si>
    <t>RAUL PANELO GALI</t>
  </si>
  <si>
    <t>Joshua Abejero Adanza</t>
  </si>
  <si>
    <t>Espectacion Rafols</t>
  </si>
  <si>
    <t>Maria Rachel Panti Gonzales</t>
  </si>
  <si>
    <t>Ralph Martin Romero Roque</t>
  </si>
  <si>
    <t>Noel I Yatco</t>
  </si>
  <si>
    <t>Gene Eslava De Guzman</t>
  </si>
  <si>
    <t>Roderick Vergara</t>
  </si>
  <si>
    <t>Maria Viña Ocampo Navarro</t>
  </si>
  <si>
    <t>Laila M Robosa</t>
  </si>
  <si>
    <t>Diosdado B Ceniza</t>
  </si>
  <si>
    <t>Oscar Jr. E Perey</t>
  </si>
  <si>
    <t>Ma. Luisa C Tenedero</t>
  </si>
  <si>
    <t>Neil S. Lachica</t>
  </si>
  <si>
    <t>Reynaldo Ninon Manaog</t>
  </si>
  <si>
    <t>ADA VERONICA C. GRECIA</t>
  </si>
  <si>
    <t>Marissa G. Quijano</t>
  </si>
  <si>
    <t>OLIVER LAFAYOG TAULE</t>
  </si>
  <si>
    <t>Milagros A Agustin</t>
  </si>
  <si>
    <t>Erwin R Suficiencia</t>
  </si>
  <si>
    <t>Rowena A. Bañaga</t>
  </si>
  <si>
    <t>LEIZL RUPIN SALINAS</t>
  </si>
  <si>
    <t>Imelda D. Calinao</t>
  </si>
  <si>
    <t>ROGEL RODRIGUEZ APOSTOL</t>
  </si>
  <si>
    <t>Teresita O. Jasmin</t>
  </si>
  <si>
    <t>Procurement Management Unit DBP - Head Office</t>
  </si>
  <si>
    <t>LEYTE PROVINCIAL BAC</t>
  </si>
  <si>
    <t>Aniano III Bisnar Bacor</t>
  </si>
  <si>
    <t>LEONILYN MACATANGAY NOCHE</t>
  </si>
  <si>
    <t>Engr. Rodolfo Santos Nidoy, Jr.</t>
  </si>
  <si>
    <t>Queenzel Dela Cruz Obregon</t>
  </si>
  <si>
    <t>Roda Dolores Franco</t>
  </si>
  <si>
    <t>Jocelyn M. Dano</t>
  </si>
  <si>
    <t>abeguel chris acevedo opema</t>
  </si>
  <si>
    <t>Atilano Alinarte Abilay</t>
  </si>
  <si>
    <t>Teresita Maquiling De Veyra</t>
  </si>
  <si>
    <t>Marivie R. Manero-Fernandez</t>
  </si>
  <si>
    <t>Aida L Cerudo</t>
  </si>
  <si>
    <t>Reggie C Placido</t>
  </si>
  <si>
    <t>Lourvelyn Sicat Lacson</t>
  </si>
  <si>
    <t>Anjie P. Ytac</t>
  </si>
  <si>
    <t>Ma. Leticia C Salcedo</t>
  </si>
  <si>
    <t>Peter Hendrix Lisboa Alcantara</t>
  </si>
  <si>
    <t>Michael Angelo Agoto Samonte</t>
  </si>
  <si>
    <t>Genalyn M Montenegro</t>
  </si>
  <si>
    <t>Gypsy Jennsen Arquio</t>
  </si>
  <si>
    <t>Raniel Morales Panganiban</t>
  </si>
  <si>
    <t>Roxanne Lagnason Manoos</t>
  </si>
  <si>
    <t>Marlon Sibal Danao</t>
  </si>
  <si>
    <t>Aries C. Tang</t>
  </si>
  <si>
    <t>Roberto De Guzman Estrella</t>
  </si>
  <si>
    <t>Loribel Cagatan</t>
  </si>
  <si>
    <t>George Sacdalan Mendoza</t>
  </si>
  <si>
    <t>EVELYN ANDRES GAPERO</t>
  </si>
  <si>
    <t>Engr Renie R Albarina</t>
  </si>
  <si>
    <t>Mary Minchelle Payabyab Dela Rosa</t>
  </si>
  <si>
    <t>Arnold A. De Castro</t>
  </si>
  <si>
    <t>Rita Grace Alviar Pascua</t>
  </si>
  <si>
    <t>Corazon Parido Plameras</t>
  </si>
  <si>
    <t>Pedrito B. Abregana</t>
  </si>
  <si>
    <t>margie celemen africa</t>
  </si>
  <si>
    <t>Maria Liezl Clam Gutang</t>
  </si>
  <si>
    <t>FRANCISCO D. GUINAYON</t>
  </si>
  <si>
    <t>Ruby S Cortez</t>
  </si>
  <si>
    <t>Exuperia Sabalberino</t>
  </si>
  <si>
    <t>RAYMUND R. MATEO</t>
  </si>
  <si>
    <t>Mark D. Abayan</t>
  </si>
  <si>
    <t>Debielyn B. Santos</t>
  </si>
  <si>
    <t>Arnel Caparros Portales</t>
  </si>
  <si>
    <t>RAIMUNDA MATUOD LUMANTAS</t>
  </si>
  <si>
    <t>Jeffrey G. Apilado</t>
  </si>
  <si>
    <t>Adrian Magcamit Aguilar</t>
  </si>
  <si>
    <t>Aileene T Dagos</t>
  </si>
  <si>
    <t>Elmer O Macalma</t>
  </si>
  <si>
    <t>RUTH VINGCO SAJONIA</t>
  </si>
  <si>
    <t>Silvestre Jr. Villamor</t>
  </si>
  <si>
    <t>RONIEL MAMUAD INIEGO</t>
  </si>
  <si>
    <t>Nelia Marile Castillo</t>
  </si>
  <si>
    <t>Peachy Natividad E. Chatto</t>
  </si>
  <si>
    <t>Joel Atablanco</t>
  </si>
  <si>
    <t>Jelly Mangilaya Laurente</t>
  </si>
  <si>
    <t>Richard Cammayo Malayao</t>
  </si>
  <si>
    <t>Marichu Lachica Villa-real</t>
  </si>
  <si>
    <t>REYNALD V. SAMBRANO</t>
  </si>
  <si>
    <t>Doreen A. Lugo</t>
  </si>
  <si>
    <t>CLAUDIO L YUCOT</t>
  </si>
  <si>
    <t>Edito Suyom Macasait</t>
  </si>
  <si>
    <t>Divina Gracia Binuya</t>
  </si>
  <si>
    <t>Katherine B Ramos</t>
  </si>
  <si>
    <t>ORLANDO BACLIG NAVAL, SR.</t>
  </si>
  <si>
    <t>Mark Joton Paguirigan Ramirez</t>
  </si>
  <si>
    <t>Melvin B. Arevalo</t>
  </si>
  <si>
    <t>Jonalyn U. Sibucao</t>
  </si>
  <si>
    <t>Blessilda May S.  Angeles</t>
  </si>
  <si>
    <t>Heireyne Joy D. Apresto</t>
  </si>
  <si>
    <t>Jasmen Joguilon Pablo</t>
  </si>
  <si>
    <t>Shiela Rose Vicente Vicente</t>
  </si>
  <si>
    <t>Albert C. Villamor</t>
  </si>
  <si>
    <t>GILDA BORRE AJERO</t>
  </si>
  <si>
    <t>Sharon Victor Alita</t>
  </si>
  <si>
    <t>Amerhussien Basher Panganting</t>
  </si>
  <si>
    <t>Leslie A. Aguilar</t>
  </si>
  <si>
    <t>ESTELA FELINA BUCSIT MORALES</t>
  </si>
  <si>
    <t>Grace G Asis</t>
  </si>
  <si>
    <t>LEMUEL  BON  CAMACHO</t>
  </si>
  <si>
    <t>Peter Elvis Limpot Galleto</t>
  </si>
  <si>
    <t>crisanta barrocan bono</t>
  </si>
  <si>
    <t>Beatriz V. Bibat</t>
  </si>
  <si>
    <t>Juanita Maratas Borinaga</t>
  </si>
  <si>
    <t>KATHERINE BOGNOT GOMEZ</t>
  </si>
  <si>
    <t>Gloria P Bonalos</t>
  </si>
  <si>
    <t>Melissa R Saludes</t>
  </si>
  <si>
    <t>alfredo samson</t>
  </si>
  <si>
    <t>Luzviminda Bentulan Muyco</t>
  </si>
  <si>
    <t>Ma. Chona Roa Fabia</t>
  </si>
  <si>
    <t>Henjie Albete Ramirez</t>
  </si>
  <si>
    <t>Abner  R.  Formento</t>
  </si>
  <si>
    <t>Arnold  M.  Manalo</t>
  </si>
  <si>
    <t>Geremie Noble Tajada</t>
  </si>
  <si>
    <t>Hamza M. Boloto</t>
  </si>
  <si>
    <t>MARK XIST ALBERT A. BAELLO</t>
  </si>
  <si>
    <t>JANICE MAY ARCONES SERASPE</t>
  </si>
  <si>
    <t>DARREN DIONESIO SALMORIN</t>
  </si>
  <si>
    <t>Sheila Riva B. Soriaga</t>
  </si>
  <si>
    <t>Marcelino Jr. R. Bebanco</t>
  </si>
  <si>
    <t>Guillermo Alquiza Preglo</t>
  </si>
  <si>
    <t>ROY DOLINO BENDANILLO</t>
  </si>
  <si>
    <t>LIONEL ALOLON GALAGATE</t>
  </si>
  <si>
    <t>Ebenezer Presentacion Presentacion</t>
  </si>
  <si>
    <t>Romeo Avelino Tiri</t>
  </si>
  <si>
    <t>Romeo Dumadaug Palmares</t>
  </si>
  <si>
    <t>Alver P Lamoste, CPA</t>
  </si>
  <si>
    <t>JOEL A. ELUMBA</t>
  </si>
  <si>
    <t>Johnson Urlanda Bonifacio</t>
  </si>
  <si>
    <t>JHOANNA RATIFICAR YANGCO</t>
  </si>
  <si>
    <t>Vladimir Prado Torres</t>
  </si>
  <si>
    <t>EVANGELINE ESCALO DURUIN</t>
  </si>
  <si>
    <t>Erwin L. Tepace</t>
  </si>
  <si>
    <t>Florante Tomas Ruiz</t>
  </si>
  <si>
    <t>Duannie Chico Gonzales</t>
  </si>
  <si>
    <t>Criszen Baluyot BAUTISTA</t>
  </si>
  <si>
    <t>ROSALIN SIMPIA SUROPIA</t>
  </si>
  <si>
    <t>JENNIFER ROXAS MERCOLITA</t>
  </si>
  <si>
    <t>Roxan Yvonne Torrero Dayondon</t>
  </si>
  <si>
    <t>KARENTH PARAYAOAN PALACPAC</t>
  </si>
  <si>
    <t>MILDRED AUSA DELOS SANTOS</t>
  </si>
  <si>
    <t>Marivic Evea Dugtong</t>
  </si>
  <si>
    <t>ANDREA LACAMBRA FLORA</t>
  </si>
  <si>
    <t>CONSUELO R. GEDUSPAN</t>
  </si>
  <si>
    <t>ANTHONY  ARTHUR D. FERNANDEZ</t>
  </si>
  <si>
    <t>EMMA SALTIGA ROSALES</t>
  </si>
  <si>
    <t>Marlon Naoe Rimando</t>
  </si>
  <si>
    <t>Oscar  Dela Cruz Monsanto</t>
  </si>
  <si>
    <t>Bernard Sepe Magbanua</t>
  </si>
  <si>
    <t>Ronnie B. Besa</t>
  </si>
  <si>
    <t>Maria Fe Zafra Santos</t>
  </si>
  <si>
    <t>Jaime B Merquita Jr.</t>
  </si>
  <si>
    <t>ORLANDO LIBORES ROMERO</t>
  </si>
  <si>
    <t>Jerald M Sevilla</t>
  </si>
  <si>
    <t>Roberto Alngag Chulsi</t>
  </si>
  <si>
    <t>Donell Mark  Francisco Baranda</t>
  </si>
  <si>
    <t>Myla Dela Cruz Gepitan</t>
  </si>
  <si>
    <t>Reno C Salazar</t>
  </si>
  <si>
    <t>Jeffrey Celis Magadan</t>
  </si>
  <si>
    <t>REINA BLANCA D REMPILLO</t>
  </si>
  <si>
    <t>GENE T PANGILINAN</t>
  </si>
  <si>
    <t>Mary Ann Corpuz Lazo</t>
  </si>
  <si>
    <t>CRISABETH AVERGONZADO BAUTISTA</t>
  </si>
  <si>
    <t>ZALDY RADOMES PACAYRA</t>
  </si>
  <si>
    <t>arnulfo Acong Jalimao</t>
  </si>
  <si>
    <t>Loida Payen  Bolilan</t>
  </si>
  <si>
    <t>Ludivino Jone Egagamao</t>
  </si>
  <si>
    <t>MARGARITA LAGUADOR PLACINO</t>
  </si>
  <si>
    <t>Mila Creencia</t>
  </si>
  <si>
    <t>Ferlina D. Ventanilla</t>
  </si>
  <si>
    <t>NIRO ROTE NINIANO</t>
  </si>
  <si>
    <t>John David E Bonifacio</t>
  </si>
  <si>
    <t>Mercedes Inway Luto</t>
  </si>
  <si>
    <t>Niel Quejoy Maghanoy</t>
  </si>
  <si>
    <t>Nolly Adrian B. Gabule</t>
  </si>
  <si>
    <t>Jonathan S Reyes</t>
  </si>
  <si>
    <t>Clarito Blanche Cadiz</t>
  </si>
  <si>
    <t>MARIVIC CALABIO PRADO</t>
  </si>
  <si>
    <t>Perlita Senarillos Pabillaran</t>
  </si>
  <si>
    <t>Odessa Barba Tejada</t>
  </si>
  <si>
    <t>Oliver M. Canay</t>
  </si>
  <si>
    <t>Rene Cinco Lauro</t>
  </si>
  <si>
    <t>Danilo Anggot Taucan</t>
  </si>
  <si>
    <t>Gerconia Risane</t>
  </si>
  <si>
    <t>Jeffrey Ross Mendoza Navarro</t>
  </si>
  <si>
    <t>Rolando C. Lumboy</t>
  </si>
  <si>
    <t>Barangay I</t>
  </si>
  <si>
    <t>Ninez B. Regalado</t>
  </si>
  <si>
    <t>Maria Teresa Guerrero</t>
  </si>
  <si>
    <t>Edwin P. Marcelo</t>
  </si>
  <si>
    <t>Barangay Nangkaan Mataasnakahoy</t>
  </si>
  <si>
    <t>Alex P. Pana</t>
  </si>
  <si>
    <t>Juliet Zinampan Altura</t>
  </si>
  <si>
    <t>RESTITUTO N. RENDAJE</t>
  </si>
  <si>
    <t>Gessanth Jay Celestial Silva</t>
  </si>
  <si>
    <t>LEONIDA LLURAG VALDEZ</t>
  </si>
  <si>
    <t>Meralona R. Palasan</t>
  </si>
  <si>
    <t>Jocelyn D Melandres</t>
  </si>
  <si>
    <t>Eloisa Corpuz Lusung</t>
  </si>
  <si>
    <t>Maricel Iglesia Panistante</t>
  </si>
  <si>
    <t>TERESITA FELICIDAD SACAYLE LUCAGBO</t>
  </si>
  <si>
    <t>Romy Alusen Bucalen</t>
  </si>
  <si>
    <t>LENI ROCHA RIOFLORIDO</t>
  </si>
  <si>
    <t>Ramon Gamboa Burgos</t>
  </si>
  <si>
    <t>Shiedhe Kembuan Bangen</t>
  </si>
  <si>
    <t>Jesus Maureal Gloria</t>
  </si>
  <si>
    <t>Glonita Fresnido Gellido</t>
  </si>
  <si>
    <t>James Frawley Sacueza Savellano</t>
  </si>
  <si>
    <t>Lolita D Solis</t>
  </si>
  <si>
    <t>Angelo Aniar Sabaybay</t>
  </si>
  <si>
    <t>Chamberlain J. Babiera</t>
  </si>
  <si>
    <t>Laurence Bryan R. Malana</t>
  </si>
  <si>
    <t>Antonio Jr. P Ortacio</t>
  </si>
  <si>
    <t>Algen Grejalvo Rasco</t>
  </si>
  <si>
    <t>Ma.Gemma C. Lasala</t>
  </si>
  <si>
    <t>Luzviminda Sace Seño</t>
  </si>
  <si>
    <t>Emilson U. Jimenez</t>
  </si>
  <si>
    <t>JONATHAN R. HIJADA</t>
  </si>
  <si>
    <t>Edita Callos Reyes</t>
  </si>
  <si>
    <t>APRIL JOY L. VILLA</t>
  </si>
  <si>
    <t>Brenda R. Morales</t>
  </si>
  <si>
    <t>Enrique Nochebuena Mocling</t>
  </si>
  <si>
    <t>IMELDA NAVALTA CANUMAY</t>
  </si>
  <si>
    <t>Rolando F. Zapata</t>
  </si>
  <si>
    <t>Jasmin R. Rio</t>
  </si>
  <si>
    <t>Michelle Mahusay Nable</t>
  </si>
  <si>
    <t>ARMANDO E. SUETOS</t>
  </si>
  <si>
    <t>Ariel Dela Cruz de Borja</t>
  </si>
  <si>
    <t>Cleofe Claveria Lamadora</t>
  </si>
  <si>
    <t>Salem Torres Cervantes</t>
  </si>
  <si>
    <t>kethlyn franco villar</t>
  </si>
  <si>
    <t>Danna Marie B. Asentista</t>
  </si>
  <si>
    <t>Vivian Sesgundo Calabia</t>
  </si>
  <si>
    <t>Tessie Bocales Lingbanan</t>
  </si>
  <si>
    <t>Melinda Dizon</t>
  </si>
  <si>
    <t>PEREGRINA ERONICO CAROSUS</t>
  </si>
  <si>
    <t>BIDS And Awards Committee</t>
  </si>
  <si>
    <t>Cecilia O. Delos Reyes</t>
  </si>
  <si>
    <t>Diana Cantiga Balunan</t>
  </si>
  <si>
    <t>Wilfur Jr.  D Herrera</t>
  </si>
  <si>
    <t>Rey Pagayon Deatras</t>
  </si>
  <si>
    <t>Pia B Abengoza</t>
  </si>
  <si>
    <t>LETICIA PANAGUITON OSORIO</t>
  </si>
  <si>
    <t>ROY F DELA CRUZ</t>
  </si>
  <si>
    <t>Jeffin Dick M Vidal</t>
  </si>
  <si>
    <t>Nilo Morco Soria</t>
  </si>
  <si>
    <t>DELMA C FERNANDEZ</t>
  </si>
  <si>
    <t>JOWEL BAHIA RAMOS</t>
  </si>
  <si>
    <t>Amelita Quinsay Londonio</t>
  </si>
  <si>
    <t>Aldino Ariola Bazar</t>
  </si>
  <si>
    <t>Julieta C Romen</t>
  </si>
  <si>
    <t>Norlyn Payot Sundo</t>
  </si>
  <si>
    <t>Gerald B Alvaro</t>
  </si>
  <si>
    <t>ARIZA LOBRES BIHASA</t>
  </si>
  <si>
    <t>ESTELA  B  TUSE</t>
  </si>
  <si>
    <t>Levy H. Lagutin Jr.</t>
  </si>
  <si>
    <t>Francisco Escape Oliva, Jr.</t>
  </si>
  <si>
    <t>Catherine G. Santos</t>
  </si>
  <si>
    <t>Jever Catalan Vargas</t>
  </si>
  <si>
    <t>Lenyln M. Pagay</t>
  </si>
  <si>
    <t>RUEL B. CUBERO</t>
  </si>
  <si>
    <t>Christie Magdalene J Pedroza</t>
  </si>
  <si>
    <t>Arlene A Amen</t>
  </si>
  <si>
    <t>VANESSA JANE CEBALLOS LIM</t>
  </si>
  <si>
    <t>Leonilo Lota Laborte</t>
  </si>
  <si>
    <t>Ronnie Gecolea Sierva</t>
  </si>
  <si>
    <t>Rose Peraan Moncada</t>
  </si>
  <si>
    <t>Ma. Luz Salonga Reyes</t>
  </si>
  <si>
    <t>Ivan Nikko Cabrera Tormis</t>
  </si>
  <si>
    <t>Florenda Aninon Ricaplaza</t>
  </si>
  <si>
    <t>MA. CHRISTIE PADERNILLA DE LA RAMA</t>
  </si>
  <si>
    <t>EDGAR C. OLACO</t>
  </si>
  <si>
    <t>Rhodora Banusing Nuñal</t>
  </si>
  <si>
    <t>ORLANDO FESICO PAN</t>
  </si>
  <si>
    <t>LUZVIMINDA CHAN BAMBICO</t>
  </si>
  <si>
    <t>Danny Familaran Baladjay</t>
  </si>
  <si>
    <t>Rogel M De la Cuesta</t>
  </si>
  <si>
    <t>Francisco A  De Castro</t>
  </si>
  <si>
    <t>CELSO NASOL</t>
  </si>
  <si>
    <t>Francisco Lagdamen</t>
  </si>
  <si>
    <t>BERNARD EVANGELISTA</t>
  </si>
  <si>
    <t>Rowena  Luar Bohol</t>
  </si>
  <si>
    <t>Oliver Ted Castillo Orsolino</t>
  </si>
  <si>
    <t>BRENDO C. AUDIENCIA</t>
  </si>
  <si>
    <t>Rosalind Rosal Vasquez</t>
  </si>
  <si>
    <t>Ryan Chester G. Fong</t>
  </si>
  <si>
    <t>Marilou Lontoc Lascano</t>
  </si>
  <si>
    <t>Antonio Lucero Cañada</t>
  </si>
  <si>
    <t>Jocelyn Maalat Torda</t>
  </si>
  <si>
    <t>Violy Jane Jalandoni Flores</t>
  </si>
  <si>
    <t>DONNA M PADUA</t>
  </si>
  <si>
    <t>Mercidita Vega</t>
  </si>
  <si>
    <t>Maria Divina Concepcion Evangelista</t>
  </si>
  <si>
    <t>MARIELLE SANDRA GAVIOLA</t>
  </si>
  <si>
    <t>Sheila Mae T.  Toyorada</t>
  </si>
  <si>
    <t>Eric DM. Magpantay</t>
  </si>
  <si>
    <t>Dindo Bautista Gonzales</t>
  </si>
  <si>
    <t>Cleofe A Amores</t>
  </si>
  <si>
    <t>JULIETO DELOAG</t>
  </si>
  <si>
    <t>BENEDICTA BAYBADO BAUTISTA</t>
  </si>
  <si>
    <t>Francisco III Dacillo Booc</t>
  </si>
  <si>
    <t>Sharon Jane Antonis Dacuno</t>
  </si>
  <si>
    <t>Glyzl  A.  Tolentino</t>
  </si>
  <si>
    <t>JULIE ANN F. AMAR</t>
  </si>
  <si>
    <t>Elena Hastia Tunacao</t>
  </si>
  <si>
    <t>Sancho Jr.   S.  Oaminal</t>
  </si>
  <si>
    <t>ALVIN  PACULA  MAGTANGOB</t>
  </si>
  <si>
    <t>IRENEO L. SORIANO, JR.</t>
  </si>
  <si>
    <t>Ruby Anne M. Escandor</t>
  </si>
  <si>
    <t>JOSE L MANZANO</t>
  </si>
  <si>
    <t>Cecille Angeline 09171477690 Lipardo</t>
  </si>
  <si>
    <t>Noralyn Ibea Idica</t>
  </si>
  <si>
    <t>Rosalia Bardaje Crame</t>
  </si>
  <si>
    <t>Ralph Ceasar Balane Vallar</t>
  </si>
  <si>
    <t>Darius Brod Delalamon Pelismino</t>
  </si>
  <si>
    <t>AURORA CUDAL CUARESMA</t>
  </si>
  <si>
    <t>Vanessa Mendoza Aguilar</t>
  </si>
  <si>
    <t>Glamour Fe Nona Montano</t>
  </si>
  <si>
    <t>Virginia Jacob Cañaveras</t>
  </si>
  <si>
    <t>Janelle B Rosete</t>
  </si>
  <si>
    <t>estela altomera edma</t>
  </si>
  <si>
    <t>Jelenita D Limot</t>
  </si>
  <si>
    <t>HENRY JOHN U. MORADA</t>
  </si>
  <si>
    <t>Agnes Anib Montefolka</t>
  </si>
  <si>
    <t>Chona Terrayo Flores</t>
  </si>
  <si>
    <t>Celina L. Padchanan</t>
  </si>
  <si>
    <t>MICHAEL P DUQUEZ</t>
  </si>
  <si>
    <t>BENIGNO MATEO BONUS</t>
  </si>
  <si>
    <t>RUTRIFE  JAPAY MALIGRO</t>
  </si>
  <si>
    <t>ANNALIZA LAUREO GARCIA</t>
  </si>
  <si>
    <t>Agnes Lara Gabriel</t>
  </si>
  <si>
    <t>Sherlita Laguna Ogaya</t>
  </si>
  <si>
    <t>Ma. Teresa M Layug</t>
  </si>
  <si>
    <t>JERSON D. REYES</t>
  </si>
  <si>
    <t>BERNARDITHA BOLINA MILLETE</t>
  </si>
  <si>
    <t>Jane Clarish A. Amante</t>
  </si>
  <si>
    <t>Noryn B. Bagano</t>
  </si>
  <si>
    <t>WALTER L. RUIZO</t>
  </si>
  <si>
    <t>Michelle Supat Magbanua</t>
  </si>
  <si>
    <t>Judeth M. Madelo</t>
  </si>
  <si>
    <t>Ronel Mark Tinapao Suarez</t>
  </si>
  <si>
    <t>Ermintrude Diaz Gonzales</t>
  </si>
  <si>
    <t>Virgie N Bibat</t>
  </si>
  <si>
    <t>Julie Joy Bayoguing Divinagracia</t>
  </si>
  <si>
    <t>Debbyriza Taylan Hidalgo</t>
  </si>
  <si>
    <t>Franklin Aquino Salcedo</t>
  </si>
  <si>
    <t>Emily B Laigo</t>
  </si>
  <si>
    <t>Jahnson Salidaga Yap</t>
  </si>
  <si>
    <t>Jocelyn Diaz Sagang</t>
  </si>
  <si>
    <t>Cheryl Escoro Ortiz</t>
  </si>
  <si>
    <t>Leonora Gentica Lee</t>
  </si>
  <si>
    <t>ROMARICO M. CABELLON</t>
  </si>
  <si>
    <t>Mark Jayson R. Carabido</t>
  </si>
  <si>
    <t>Romualdo Salud Intia</t>
  </si>
  <si>
    <t>Erick Jeffen Orense Estrella</t>
  </si>
  <si>
    <t>Amador Baldos Diaz</t>
  </si>
  <si>
    <t>ALLEN M FORTES</t>
  </si>
  <si>
    <t>Chari Rose Mozol Apit</t>
  </si>
  <si>
    <t>Lolita Fabre Ismael</t>
  </si>
  <si>
    <t>Ray P. Mate</t>
  </si>
  <si>
    <t>David Calayeg Lumaang</t>
  </si>
  <si>
    <t>Oscar L Migar</t>
  </si>
  <si>
    <t>Maricris Cortez Faigao</t>
  </si>
  <si>
    <t>ZEZIEL N SELGA</t>
  </si>
  <si>
    <t>MARIANO  V. BARCELONA</t>
  </si>
  <si>
    <t>Renejene M. Umali</t>
  </si>
  <si>
    <t>Arnel Villamor Esller</t>
  </si>
  <si>
    <t>ROGELIO PAGAS LAQUINTA</t>
  </si>
  <si>
    <t>Edsel Sombito Rivera</t>
  </si>
  <si>
    <t>Ma. Soledad F Baquiran</t>
  </si>
  <si>
    <t>Jessie Povadora Saquilabon</t>
  </si>
  <si>
    <t>Eddie V Daday</t>
  </si>
  <si>
    <t>Irein E. Landicho</t>
  </si>
  <si>
    <t>emmanuel bendita juanitas</t>
  </si>
  <si>
    <t>Elmer G Canios</t>
  </si>
  <si>
    <t>Jennifer Sayson Teo</t>
  </si>
  <si>
    <t>Racel Ann Landicho Almodovar</t>
  </si>
  <si>
    <t>Jojie Corrine Flores Ayson</t>
  </si>
  <si>
    <t>Chona D. Derramas</t>
  </si>
  <si>
    <t>Yolanda T Egam</t>
  </si>
  <si>
    <t>Alexander M. Almario</t>
  </si>
  <si>
    <t>PATRICIA TAN MARA</t>
  </si>
  <si>
    <t>MONALINA GEBONGA BAINGAN</t>
  </si>
  <si>
    <t>Dominador N Castañeto Jr.</t>
  </si>
  <si>
    <t>Redan I Cognito</t>
  </si>
  <si>
    <t>MERCEDES M. ALFUERTE</t>
  </si>
  <si>
    <t>FELIPE C BETINOL</t>
  </si>
  <si>
    <t>Ray Anthony Punsalan delos Angeles</t>
  </si>
  <si>
    <t>Marissa de Guzman Bautista</t>
  </si>
  <si>
    <t>Letecia Arevalo Peñalosa</t>
  </si>
  <si>
    <t>Benjamin T. Manalili III</t>
  </si>
  <si>
    <t>Lucena Macalindong Garma</t>
  </si>
  <si>
    <t>RANNIER JOHN C. FAJARDO</t>
  </si>
  <si>
    <t>Hilario Yoshy Casem</t>
  </si>
  <si>
    <t>Michael  Mercado Caisip</t>
  </si>
  <si>
    <t>Allan G. Farnazo</t>
  </si>
  <si>
    <t>Rolito Gonzaga Daguipa</t>
  </si>
  <si>
    <t>Estrella H Guadalquiver</t>
  </si>
  <si>
    <t>Patricia Kaye Lorio Amate</t>
  </si>
  <si>
    <t>Consuelo Javier Cruz</t>
  </si>
  <si>
    <t>Bienvenido L Borra</t>
  </si>
  <si>
    <t>BAC Secretariat     Tel: 634-19-06</t>
  </si>
  <si>
    <t>Marc Louis B. Sampilo</t>
  </si>
  <si>
    <t>Christine Joy S. Aclan-Pacalang</t>
  </si>
  <si>
    <t>JENNY BEE HERBILLA RIVERA</t>
  </si>
  <si>
    <t>Antonia C. Ebio</t>
  </si>
  <si>
    <t>Jeziel Jordan C. Genita</t>
  </si>
  <si>
    <t>Mar P. Viernes</t>
  </si>
  <si>
    <t>Edward Doctor Carillo</t>
  </si>
  <si>
    <t>Celestino S Vengco</t>
  </si>
  <si>
    <t>Rosalyn S. Ferrer</t>
  </si>
  <si>
    <t>Marlon Salutan Dubla</t>
  </si>
  <si>
    <t>EVANGELINE DESPOJO TIBUNSAY</t>
  </si>
  <si>
    <t>Nemesio M. Frigillana</t>
  </si>
  <si>
    <t>Stanley B Uriarte</t>
  </si>
  <si>
    <t>Jane Beth Bolinas Besueña</t>
  </si>
  <si>
    <t>Noel A Sillan</t>
  </si>
  <si>
    <t>Arnold Lucaben Paleng</t>
  </si>
  <si>
    <t>Rex Lagrada</t>
  </si>
  <si>
    <t>Rosemary R. Juan</t>
  </si>
  <si>
    <t>Jeffrey Asuncion Rabanal</t>
  </si>
  <si>
    <t>Katherine Liwanag Pangilinan</t>
  </si>
  <si>
    <t>Anselmo L Sang Tian</t>
  </si>
  <si>
    <t>Cirilo Bantilan Salas</t>
  </si>
  <si>
    <t>ARNEL ESQUILONA SUAL</t>
  </si>
  <si>
    <t>Nenita Crisostomo Flores</t>
  </si>
  <si>
    <t>Ilyn S. Rio</t>
  </si>
  <si>
    <t>Ronald Merin</t>
  </si>
  <si>
    <t>Theresa David Buendia</t>
  </si>
  <si>
    <t>Julius Gali Estacio</t>
  </si>
  <si>
    <t>FRANCES JAMAIKA MATNAO SOLIVEN</t>
  </si>
  <si>
    <t>Rosalina Ecuan Bayaona</t>
  </si>
  <si>
    <t>Freddie Cañeda Sanchez</t>
  </si>
  <si>
    <t>Angel D. Pundao</t>
  </si>
  <si>
    <t>Sonny Miranda Naing</t>
  </si>
  <si>
    <t>Nobernia Ondos MAGPATOC</t>
  </si>
  <si>
    <t>EDLEY  CASAS ABARIDO</t>
  </si>
  <si>
    <t>Fe I Ramos</t>
  </si>
  <si>
    <t>MAY LYDIA REY LAGADIA</t>
  </si>
  <si>
    <t>ALICIA  A.   ESCAMILLA</t>
  </si>
  <si>
    <t>Sonia Tomas Pasian</t>
  </si>
  <si>
    <t>Aristotle M Calapre</t>
  </si>
  <si>
    <t>Lucio Berong Cortes</t>
  </si>
  <si>
    <t>RUEL ESTEPA BAUTISTA</t>
  </si>
  <si>
    <t>Zenaida Aborot Veniegas</t>
  </si>
  <si>
    <t>Cipriano Indencia Osunero</t>
  </si>
  <si>
    <t>Monica A. Tuguinay</t>
  </si>
  <si>
    <t>Jenilyn P. San Luis</t>
  </si>
  <si>
    <t>MARIA CONCEPCION ANTONIO DALERE</t>
  </si>
  <si>
    <t>NIDA ENCISO DEBIL</t>
  </si>
  <si>
    <t>REMELITO B ESTROLOGO</t>
  </si>
  <si>
    <t>rodrigo burio olano</t>
  </si>
  <si>
    <t>Leomar Jepollo Orsolino</t>
  </si>
  <si>
    <t>Renato Motao Sarikit</t>
  </si>
  <si>
    <t>Noel Jardeleza</t>
  </si>
  <si>
    <t>Rhodora Dela Peña Amador</t>
  </si>
  <si>
    <t>Michael E Pamado</t>
  </si>
  <si>
    <t>Liwayway De Guzman Pangilinan</t>
  </si>
  <si>
    <t>MILAGROS LELINA LIGOT PASCUA</t>
  </si>
  <si>
    <t>Juanito Gacanes Domingo</t>
  </si>
  <si>
    <t>Gloria Nismal Nismal</t>
  </si>
  <si>
    <t>Emma Fernandez Sotto</t>
  </si>
  <si>
    <t>Karla Shane Ramos Patega</t>
  </si>
  <si>
    <t>Miramar (Myra) S De Asis</t>
  </si>
  <si>
    <t>Rubygene E. Jauculan</t>
  </si>
  <si>
    <t>MARIA LIZA GENADA RULL</t>
  </si>
  <si>
    <t>Ma. Charissa V. Legaspi</t>
  </si>
  <si>
    <t>Mylene Talidong Mancao</t>
  </si>
  <si>
    <t>JOAN PACALIOGA ABEJUELA</t>
  </si>
  <si>
    <t>Rosalie Plaza Espinoza</t>
  </si>
  <si>
    <t>ANGELINA BOCTOT CARTAGENA</t>
  </si>
  <si>
    <t>Katherine Enriquez Perocillo</t>
  </si>
  <si>
    <t>NENA PALAYPAYON DOTE</t>
  </si>
  <si>
    <t>Aurora M. Monjardin</t>
  </si>
  <si>
    <t>Gen Anderson Gonzales Tanhueco</t>
  </si>
  <si>
    <t>Evelyn Bengco Sibal</t>
  </si>
  <si>
    <t>Nelson Moskito Merculio</t>
  </si>
  <si>
    <t>Levie Agcaoili Talub</t>
  </si>
  <si>
    <t>Danilo  Mira Omagtang</t>
  </si>
  <si>
    <t>RAQUEL DAROY ATIENZAR</t>
  </si>
  <si>
    <t>Consorcio Manlangit Ferrer</t>
  </si>
  <si>
    <t>ROLANDO A SAMSON</t>
  </si>
  <si>
    <t>Edmundo Alonzo Escape</t>
  </si>
  <si>
    <t>Reyvelino Benigno Apongol</t>
  </si>
  <si>
    <t>Baby Rose C. Bellon</t>
  </si>
  <si>
    <t>Marilen L Santiago</t>
  </si>
  <si>
    <t>Gilbert Dador Solidum</t>
  </si>
  <si>
    <t>ANNA MYLENE FERRER NATIVIDAD</t>
  </si>
  <si>
    <t>JAYCIBETH TUNAC RAMIREZ</t>
  </si>
  <si>
    <t>ANDREA A. FACUNLA</t>
  </si>
  <si>
    <t>Allen Mar P Antalan</t>
  </si>
  <si>
    <t>Edward Borgoños Isles</t>
  </si>
  <si>
    <t>Vicente Hotchkiss Pimentel, III</t>
  </si>
  <si>
    <t>J0evir S. Gentuli0</t>
  </si>
  <si>
    <t>ATTY. CHRISTY JOY S SOLLESTA</t>
  </si>
  <si>
    <t>Ricardo V Nuñez</t>
  </si>
  <si>
    <t>Eunice Pilapil Narbonita</t>
  </si>
  <si>
    <t>LITO LAPITAN</t>
  </si>
  <si>
    <t>Michael Imperial Fabros</t>
  </si>
  <si>
    <t>Roger Pabilona Aguacito</t>
  </si>
  <si>
    <t>Karen Rose Uy Flores</t>
  </si>
  <si>
    <t>Ma. Rita Fallorina Ongbit</t>
  </si>
  <si>
    <t>Arceli Magtanong Samson</t>
  </si>
  <si>
    <t>Dhalie Dicen Almirol</t>
  </si>
  <si>
    <t>ENGR. NELSON S. TUMALIUAN</t>
  </si>
  <si>
    <t>Princess Charmaine Maribujoc Ortiz</t>
  </si>
  <si>
    <t>Rosalinda Baring Ongue</t>
  </si>
  <si>
    <t>JOVANE DELA PENA LEGASPI</t>
  </si>
  <si>
    <t>Danish Jake Oliva Padernal</t>
  </si>
  <si>
    <t>CYNTHIA BACONGA PECORE</t>
  </si>
  <si>
    <t>BYRON PAMATONG PATAG</t>
  </si>
  <si>
    <t>Erlwin S. Andres</t>
  </si>
  <si>
    <t>LEO B CABUG</t>
  </si>
  <si>
    <t>Percival Ricafrente Taniegra</t>
  </si>
  <si>
    <t>National Telecommunications Commission</t>
  </si>
  <si>
    <t>Jefferson  Enobio</t>
  </si>
  <si>
    <t>Mercedita A. Flores</t>
  </si>
  <si>
    <t>FELMA M. DEZA</t>
  </si>
  <si>
    <t>Ivy M. Rillera</t>
  </si>
  <si>
    <t>LENY ROSALES GALOS</t>
  </si>
  <si>
    <t>Cezar Espinosa</t>
  </si>
  <si>
    <t>Arsenio Villarosa Pedrosa</t>
  </si>
  <si>
    <t>Cynthia Obispo Gatan</t>
  </si>
  <si>
    <t>MA.LEONORA DOREGO SIMERA</t>
  </si>
  <si>
    <t>Gorgonio S. Cabañero Jr.</t>
  </si>
  <si>
    <t>Jovelinda Llena Advincula</t>
  </si>
  <si>
    <t>Susan Habbiling</t>
  </si>
  <si>
    <t>CRISPIN AUSTRIA BATAC</t>
  </si>
  <si>
    <t>Jessie B Gaviola</t>
  </si>
  <si>
    <t>Mitchel E Zambrano</t>
  </si>
  <si>
    <t>Precila Gutierrez</t>
  </si>
  <si>
    <t>IRVIN CAYAON ROLLUQUI</t>
  </si>
  <si>
    <t>HILARIONA  E.  CORONADO</t>
  </si>
  <si>
    <t>John Paulo Telmo Purino</t>
  </si>
  <si>
    <t>ANNA LHE BOLIVAR TULIO</t>
  </si>
  <si>
    <t>Berna Degala</t>
  </si>
  <si>
    <t>Raquel Castillo</t>
  </si>
  <si>
    <t>Engr. Nashra Dalandangan Misquinan</t>
  </si>
  <si>
    <t>Marylee Bello Felisilda</t>
  </si>
  <si>
    <t>ANALISA FUASO GUILLARDE</t>
  </si>
  <si>
    <t>HERMIE IGNACIO</t>
  </si>
  <si>
    <t>EMILIO A. ABRUGENA</t>
  </si>
  <si>
    <t xml:space="preserve">ADELFA  LAGUMBAY COMETA </t>
  </si>
  <si>
    <t>Liza Panganiban Defeo</t>
  </si>
  <si>
    <t>Veronica  Ponce  Paradiang</t>
  </si>
  <si>
    <t>RENANTE B EBRADO</t>
  </si>
  <si>
    <t>Mary Jane Sison Lola</t>
  </si>
  <si>
    <t>Rudy Zamora Soliven</t>
  </si>
  <si>
    <t>RONALDO B. DALUPING</t>
  </si>
  <si>
    <t>Donnabel Manzano Justo</t>
  </si>
  <si>
    <t>LUCKY B. REMIGIO</t>
  </si>
  <si>
    <t>Penalin valle gapaz</t>
  </si>
  <si>
    <t>Emy Grace  Saulda  Pineda</t>
  </si>
  <si>
    <t>Jeric Capina Caguite</t>
  </si>
  <si>
    <t>Clark Wendell P Lising</t>
  </si>
  <si>
    <t>Ma. Cela Genio De Guzman</t>
  </si>
  <si>
    <t>Stanley Gayoma Superticioso</t>
  </si>
  <si>
    <t>Arra Jane Juridico</t>
  </si>
  <si>
    <t>Jeffrey B. Rafil</t>
  </si>
  <si>
    <t>ROSELYN ANN R. BAGASOL</t>
  </si>
  <si>
    <t>Vincent Ian Mejia Malijan</t>
  </si>
  <si>
    <t>Jasmine Deguito</t>
  </si>
  <si>
    <t>Amabe Amanse Dela Cruz</t>
  </si>
  <si>
    <t>MARIA ELIZA SANTANA SILLESA</t>
  </si>
  <si>
    <t>Evelyn Tapayan Bagolor</t>
  </si>
  <si>
    <t>Ray John Habig</t>
  </si>
  <si>
    <t>ANNA MARIE L. MUNDIN</t>
  </si>
  <si>
    <t>Felizardo A. Go</t>
  </si>
  <si>
    <t>MARLON SANALILA MORANTE</t>
  </si>
  <si>
    <t>GIL VALENCIA TIONGCO</t>
  </si>
  <si>
    <t>Arthur Navia Namia</t>
  </si>
  <si>
    <t>EDBOY A. KADUSALE</t>
  </si>
  <si>
    <t>JANICE QUESARA ANCHALES</t>
  </si>
  <si>
    <t>Rubelen Pulvera Pabecca</t>
  </si>
  <si>
    <t>ANTONIO M GEREMIAS</t>
  </si>
  <si>
    <t>Edwin Sapa Jomao-as</t>
  </si>
  <si>
    <t>Jordan Ravanzo Sipsip</t>
  </si>
  <si>
    <t>Tolentino Almedilla  Bellezas</t>
  </si>
  <si>
    <t>abdul dimakuta suma</t>
  </si>
  <si>
    <t>Christine Mercado Cainto</t>
  </si>
  <si>
    <t>michelle ramos salamat</t>
  </si>
  <si>
    <t>Michelle Bolo</t>
  </si>
  <si>
    <t>Marjorie Rosales</t>
  </si>
  <si>
    <t>NESTOR T TELIN</t>
  </si>
  <si>
    <t>Ernesto S. Suplido</t>
  </si>
  <si>
    <t>VICTOR ANANA ANOS</t>
  </si>
  <si>
    <t>ALBELLO M PADAYHAG</t>
  </si>
  <si>
    <t>JOVITA M. ESCASA</t>
  </si>
  <si>
    <t>Elisa Lucero Lite</t>
  </si>
  <si>
    <t>Ricardo M Abaya</t>
  </si>
  <si>
    <t>AMY LOVE ONGCOL ENCABO</t>
  </si>
  <si>
    <t>Shirney Gaid Larosa</t>
  </si>
  <si>
    <t>Anabelle T. Abana</t>
  </si>
  <si>
    <t>Robert A Santillano</t>
  </si>
  <si>
    <t>Joyce Ann Mae L Del Valle</t>
  </si>
  <si>
    <t>Andres R Avorque</t>
  </si>
  <si>
    <t>Philip P. Caneda</t>
  </si>
  <si>
    <t>Donald De la Cruz Landero</t>
  </si>
  <si>
    <t>Mary Rose Feliciano Ubiña</t>
  </si>
  <si>
    <t>Necitas V Perez</t>
  </si>
  <si>
    <t>GINA D. ABENIO</t>
  </si>
  <si>
    <t>Julius Luis Juanito</t>
  </si>
  <si>
    <t>Gilbert V. Eleazar</t>
  </si>
  <si>
    <t>Zaldy Omisol Dequito</t>
  </si>
  <si>
    <t>Teresita de la Torre Obin</t>
  </si>
  <si>
    <t>RAYMOORE A ARTATES</t>
  </si>
  <si>
    <t>Evelyn G Llamera</t>
  </si>
  <si>
    <t>Herbert Bodoso</t>
  </si>
  <si>
    <t>Alnardo Q Rotap</t>
  </si>
  <si>
    <t>Henry Bautista</t>
  </si>
  <si>
    <t>Mae Ann Olasiman Cutamora</t>
  </si>
  <si>
    <t>Ronalyn  A.  Tiano</t>
  </si>
  <si>
    <t>Amelita Marasigan</t>
  </si>
  <si>
    <t>Roger Mappala</t>
  </si>
  <si>
    <t>LAWRENCE CASTILLO ERCILLA</t>
  </si>
  <si>
    <t>JOSELITO  T  MAGAHIS</t>
  </si>
  <si>
    <t>RONNIE PANCHO BELARMINO</t>
  </si>
  <si>
    <t>Zaldy D Almoite</t>
  </si>
  <si>
    <t>Georgina Villahermosa Sindo</t>
  </si>
  <si>
    <t>Rey R. Fausto</t>
  </si>
  <si>
    <t>Filma Tulen Maghinay</t>
  </si>
  <si>
    <t>Epelita Mumar Andoy</t>
  </si>
  <si>
    <t>Elna Dingcong</t>
  </si>
  <si>
    <t>Myra Barruga Martinez</t>
  </si>
  <si>
    <t>Ferdinand So Omaña</t>
  </si>
  <si>
    <t>Helen Capuyan Suico</t>
  </si>
  <si>
    <t>Janine V. Baldovino</t>
  </si>
  <si>
    <t>Mildred Carlos</t>
  </si>
  <si>
    <t>Victor Alberca Asentista</t>
  </si>
  <si>
    <t>Albert Lee Basuel Cabanting</t>
  </si>
  <si>
    <t>MELCHOR JR. P. DEJANO</t>
  </si>
  <si>
    <t>Nadine Beira</t>
  </si>
  <si>
    <t>Jay Francis Ibanez Dela Victoria</t>
  </si>
  <si>
    <t>Rainerio Anisor Laganson</t>
  </si>
  <si>
    <t>EMA N RAFIL</t>
  </si>
  <si>
    <t>Junel Tantoy Mirontos</t>
  </si>
  <si>
    <t>Gil Banal Salen</t>
  </si>
  <si>
    <t>LCDR RAYMOND A ROLDAN PN</t>
  </si>
  <si>
    <t>Abner Escobar Guilambo</t>
  </si>
  <si>
    <t>Leo Tagalog Pardillo</t>
  </si>
  <si>
    <t>Rodrigo Arizala Jr.</t>
  </si>
  <si>
    <t>FRANCISCO I. CORPUZ, JR.</t>
  </si>
  <si>
    <t>ROLAND B MATIAS</t>
  </si>
  <si>
    <t>Katrine Natanauan Martinez</t>
  </si>
  <si>
    <t>MARIVIC BINAG CORTEZ</t>
  </si>
  <si>
    <t>Nenita Roña Andres</t>
  </si>
  <si>
    <t>Iñigo Lesaca Sugalan</t>
  </si>
  <si>
    <t>Gulbuddin Amil Tudon</t>
  </si>
  <si>
    <t>Rona Joy Ducut San Jose</t>
  </si>
  <si>
    <t>Irene Bea Faustino</t>
  </si>
  <si>
    <t>Miriam Dela Paz Mapatac</t>
  </si>
  <si>
    <t>Samsudin Salik</t>
  </si>
  <si>
    <t>Clarivel Ordonia Seguritan</t>
  </si>
  <si>
    <t>John Rey Arota Tomines</t>
  </si>
  <si>
    <t>Ely Garcillano Ramos</t>
  </si>
  <si>
    <t>Eny Bargo Ferriol</t>
  </si>
  <si>
    <t>RONA A ANSAGAY</t>
  </si>
  <si>
    <t>DOMINADOR VILLEZA FAJARDO</t>
  </si>
  <si>
    <t>MARY FE GRACE MERCADO BENITO</t>
  </si>
  <si>
    <t>Paulette Paulo Lagbas</t>
  </si>
  <si>
    <t>Ma. Elma Solangon Alapre</t>
  </si>
  <si>
    <t>ATTY. EDGARDO J. GIL</t>
  </si>
  <si>
    <t>HELEN M PORTE</t>
  </si>
  <si>
    <t>Miguel Abobo Gorgonio</t>
  </si>
  <si>
    <t>Julito  Sangco  Mandeoya</t>
  </si>
  <si>
    <t>ELMER CASTILLO ABENOJAR</t>
  </si>
  <si>
    <t>HARRY EMMANUEL ADDUN MABBAYAD</t>
  </si>
  <si>
    <t>Ma Divina Espinosa Sotto</t>
  </si>
  <si>
    <t>Letecia Misa Marron</t>
  </si>
  <si>
    <t>SHIELA B. BELEN</t>
  </si>
  <si>
    <t>Maynard Rosales Bantinan</t>
  </si>
  <si>
    <t>Reynaldo Cruz Quitalig</t>
  </si>
  <si>
    <t>Joanna Rose Medallada</t>
  </si>
  <si>
    <t>Gilmore P. Castillo</t>
  </si>
  <si>
    <t>Rodney Joy Villagracia Iyoy</t>
  </si>
  <si>
    <t>Felipe P Ogaco</t>
  </si>
  <si>
    <t>Alejo Jr. M Nunez</t>
  </si>
  <si>
    <t>Lalen Salagubang</t>
  </si>
  <si>
    <t>ALFRED JR DELOS REYES BUENCAMINO</t>
  </si>
  <si>
    <t>Emelita Delos Santos Mapanao</t>
  </si>
  <si>
    <t>SONIA R. DEL ROSARIO</t>
  </si>
  <si>
    <t>Lorna V. Gayla</t>
  </si>
  <si>
    <t>Cesar Sanoy Adapon</t>
  </si>
  <si>
    <t>Samuel Tuburlento Miralpes</t>
  </si>
  <si>
    <t>Melanie Puyong Narciso</t>
  </si>
  <si>
    <t>Nilo Salentes Arrevado</t>
  </si>
  <si>
    <t>Rodelio Aspa Bonto</t>
  </si>
  <si>
    <t>Aladin Calesterio Advincula</t>
  </si>
  <si>
    <t>MARIA THERESA LOZADA PITALLANO</t>
  </si>
  <si>
    <t>Marito M Sinadjan</t>
  </si>
  <si>
    <t>ANGELINA RALLOS SOLIANO</t>
  </si>
  <si>
    <t>Apolinario Bucayu Baggay</t>
  </si>
  <si>
    <t>Margie Moreno</t>
  </si>
  <si>
    <t>Danilo B. Solis</t>
  </si>
  <si>
    <t>Mary Joy B. Catangui</t>
  </si>
  <si>
    <t>Joel Guilao Bucao</t>
  </si>
  <si>
    <t>Anna Marie Palay Lagan</t>
  </si>
  <si>
    <t>Nestor Mendina Bufe</t>
  </si>
  <si>
    <t>Maricel Miguel dela Salde</t>
  </si>
  <si>
    <t>Manases G. Balauro</t>
  </si>
  <si>
    <t>Prospero Solidum Tolosa</t>
  </si>
  <si>
    <t>Rhoda Apalla Viterbo</t>
  </si>
  <si>
    <t>Engrid Gayacan</t>
  </si>
  <si>
    <t>Melchor O Quinto</t>
  </si>
  <si>
    <t>William Fernandez Bendal</t>
  </si>
  <si>
    <t>Elizabeth Valdemoro Cruz</t>
  </si>
  <si>
    <t>ANASTACIO H. NUÑEZ, III</t>
  </si>
  <si>
    <t>Rogel Canico Lopez</t>
  </si>
  <si>
    <t>Florian Agcopra Labiano</t>
  </si>
  <si>
    <t>ISAGANI ARBOLEDA JAENA</t>
  </si>
  <si>
    <t>Mercy Vargas</t>
  </si>
  <si>
    <t>antonio diaz lalik</t>
  </si>
  <si>
    <t>Maribel Lopez Bongar</t>
  </si>
  <si>
    <t>Stanley Castro Ramirez</t>
  </si>
  <si>
    <t>Rheajane Chu Saavedra</t>
  </si>
  <si>
    <t>Juliene Villanueva Godoy</t>
  </si>
  <si>
    <t>Evan Irish L Acas</t>
  </si>
  <si>
    <t>MARIVIC MENDOZA MANGANA</t>
  </si>
  <si>
    <t>Celeste Ala Berba</t>
  </si>
  <si>
    <t>james berlin H. escaner</t>
  </si>
  <si>
    <t>Hydelize Razote Aguinaldo</t>
  </si>
  <si>
    <t>Inocencio Cordero Mana-ay</t>
  </si>
  <si>
    <t>Richard Dean B. Dagpin</t>
  </si>
  <si>
    <t>Sonny Boy Bautista Berbano</t>
  </si>
  <si>
    <t>DANILO E. DALAGUIT</t>
  </si>
  <si>
    <t>Noemi San Miguel Yanga</t>
  </si>
  <si>
    <t>MONALIZA GUILLEN CALAMBRO</t>
  </si>
  <si>
    <t>Allan Dale Hechanova De Asis</t>
  </si>
  <si>
    <t>Lorna  M.  Basal</t>
  </si>
  <si>
    <t>CHARLIE RANIT SY</t>
  </si>
  <si>
    <t>Jonathan H Loresca</t>
  </si>
  <si>
    <t>William Chanco Lising</t>
  </si>
  <si>
    <t>Timmy Esquillo</t>
  </si>
  <si>
    <t>Eddie Dejino Borbe</t>
  </si>
  <si>
    <t>Datu Reymond Laban Russam</t>
  </si>
  <si>
    <t>Norjanah  M.  Solaiman</t>
  </si>
  <si>
    <t>Diane Co  Maquilan</t>
  </si>
  <si>
    <t>Derick D. Arago</t>
  </si>
  <si>
    <t>RODOLFO RAMIREZ</t>
  </si>
  <si>
    <t>Restituto Caronan Ramirez</t>
  </si>
  <si>
    <t>EMILIANA D. RUSTIA</t>
  </si>
  <si>
    <t>Flora May Sanchez Cabatana</t>
  </si>
  <si>
    <t>Roland Cuenca Grijalvo</t>
  </si>
  <si>
    <t>Marissa Catacutan Austria</t>
  </si>
  <si>
    <t>Rolando V. Miguel</t>
  </si>
  <si>
    <t>Rhoderick T. Haban</t>
  </si>
  <si>
    <t>Mariano Querubin Baylon Jr.</t>
  </si>
  <si>
    <t>Jessie Rose Sabindo Pascua</t>
  </si>
  <si>
    <t>Derrick  Perez  Amparo</t>
  </si>
  <si>
    <t>Ariel Rex M.  Lledo</t>
  </si>
  <si>
    <t>Jeanne  Magallanes</t>
  </si>
  <si>
    <t>Celso B. Bergado</t>
  </si>
  <si>
    <t>FEDERICO J. GOTICO III</t>
  </si>
  <si>
    <t>Marites F Ferrer</t>
  </si>
  <si>
    <t>EDNA QUINIO</t>
  </si>
  <si>
    <t>Ramon Alberto Tancio</t>
  </si>
  <si>
    <t>Teresita T. Lasutan</t>
  </si>
  <si>
    <t>Joseph Jay Tandog Baldoza</t>
  </si>
  <si>
    <t>LIBRADO DOMINGO DULAY</t>
  </si>
  <si>
    <t>Charito G Yulo</t>
  </si>
  <si>
    <t>REA AXALAN RAMOS</t>
  </si>
  <si>
    <t>Mary Grace A Dela Cruz</t>
  </si>
  <si>
    <t>Elmo B Canino</t>
  </si>
  <si>
    <t>Evyt Luz Noguerra Penera</t>
  </si>
  <si>
    <t>Alarico L Ramos</t>
  </si>
  <si>
    <t>Mark Chester Anthony Gariando Tamayo</t>
  </si>
  <si>
    <t>Irish B. Velasco</t>
  </si>
  <si>
    <t>PRIMILIN ANNE DELGADO MARIANO</t>
  </si>
  <si>
    <t>LT RAYMOND A ROLDAN PN</t>
  </si>
  <si>
    <t>Jenny Lopez Castro</t>
  </si>
  <si>
    <t>Celine  A.  Velasco</t>
  </si>
  <si>
    <t>Ronald Ares Rojas</t>
  </si>
  <si>
    <t>KRISTEL ANNE C. DELIGERO</t>
  </si>
  <si>
    <t>RONALD S. BARRAMEDA</t>
  </si>
  <si>
    <t>Mars Z Julian</t>
  </si>
  <si>
    <t>Venus Cocson Flojo</t>
  </si>
  <si>
    <t>MOISES L PECAYO</t>
  </si>
  <si>
    <t>Penida A. MISA</t>
  </si>
  <si>
    <t>Eric P Cabauatan</t>
  </si>
  <si>
    <t>JULIE Q. ECONAR</t>
  </si>
  <si>
    <t>HEVER A. BALANGAO</t>
  </si>
  <si>
    <t>Rhienna Jhean Marcial Arsenal</t>
  </si>
  <si>
    <t>ALLAN SABAS BARCENA</t>
  </si>
  <si>
    <t>Mark Alvin Hernandez Gatus</t>
  </si>
  <si>
    <t>Joel P Rosario</t>
  </si>
  <si>
    <t>Jose Felix Arsenal Pasay</t>
  </si>
  <si>
    <t>Fernando Rendon Uy</t>
  </si>
  <si>
    <t>Marites Mateo</t>
  </si>
  <si>
    <t>Ana Marie L. Tayag</t>
  </si>
  <si>
    <t>Maicel Bandol Esquivel</t>
  </si>
  <si>
    <t>Rosemary Terez Gepte</t>
  </si>
  <si>
    <t>Ronald C Gonzales</t>
  </si>
  <si>
    <t>Lea Echavez Sabaduquia</t>
  </si>
  <si>
    <t>Laarni Gomez Dizon</t>
  </si>
  <si>
    <t>PHET E CALINGASAN</t>
  </si>
  <si>
    <t>Joel Liban Dubla</t>
  </si>
  <si>
    <t>Anthony De Silva Clemente</t>
  </si>
  <si>
    <t>Warlito Yuson Suan</t>
  </si>
  <si>
    <t>MACAPANTAO REMPUNGAN MANAMBA</t>
  </si>
  <si>
    <t>Zandra Canon Pia</t>
  </si>
  <si>
    <t>Ederlyn Zaide Dolosa</t>
  </si>
  <si>
    <t>Glenn Infante Lansangan</t>
  </si>
  <si>
    <t>Alexander Z Plata</t>
  </si>
  <si>
    <t>Armont C Pecina</t>
  </si>
  <si>
    <t>PAZ COLLANTES CAGUIMBAL</t>
  </si>
  <si>
    <t>Estanislao V. Cayanan</t>
  </si>
  <si>
    <t>Eduardo M. Doria</t>
  </si>
  <si>
    <t>Ma. Macbeth Cabug</t>
  </si>
  <si>
    <t>GEMMA H TAMAGOS</t>
  </si>
  <si>
    <t>Marilou G Agustin</t>
  </si>
  <si>
    <t>JESSIE EMMANUEL TRINIDAD RICERRA</t>
  </si>
  <si>
    <t>MANUEL PARAYNO PARAYNO</t>
  </si>
  <si>
    <t>Marfel Nonato Casanova Solidum</t>
  </si>
  <si>
    <t>luzviminda lozande</t>
  </si>
  <si>
    <t>Lorenzo B Gahoy</t>
  </si>
  <si>
    <t>Gloria Barrameda Dalipe</t>
  </si>
  <si>
    <t>Edgar Bitolinamesa Dela Cruz</t>
  </si>
  <si>
    <t>Roberto P Bautista</t>
  </si>
  <si>
    <t>ELVIS R. CUIZON</t>
  </si>
  <si>
    <t>Editha Banayos Villamor</t>
  </si>
  <si>
    <t>ANALIZA  ALVAREZ  HORMILLOSA</t>
  </si>
  <si>
    <t>Abigail P Beltran</t>
  </si>
  <si>
    <t>Bernadette Manggol Sapungan</t>
  </si>
  <si>
    <t>Engr. Fernando B. Sarile Jr.</t>
  </si>
  <si>
    <t>Juluis Jamotillo Cabarubias</t>
  </si>
  <si>
    <t>ELDA GILO GATO</t>
  </si>
  <si>
    <t>Emiliano M.  Rabe</t>
  </si>
  <si>
    <t>Precious D Yco</t>
  </si>
  <si>
    <t>FAYE M. GONZALES</t>
  </si>
  <si>
    <t>Ronald Nacario Villanueva</t>
  </si>
  <si>
    <t>Rovic G. Pantua</t>
  </si>
  <si>
    <t>Lolito Pesidas Campos</t>
  </si>
  <si>
    <t>Kim Manalo Manuel</t>
  </si>
  <si>
    <t>JOSE CABASAGAN CHAN</t>
  </si>
  <si>
    <t>JAIME G. JALON</t>
  </si>
  <si>
    <t>Jigger S. Resuello</t>
  </si>
  <si>
    <t>Jose Alcantara Clarion, Jr.</t>
  </si>
  <si>
    <t>Reynaldo R Rosillo Jr.</t>
  </si>
  <si>
    <t>Mary Anne Garcia Tanazana</t>
  </si>
  <si>
    <t>Michelle A Supena</t>
  </si>
  <si>
    <t>Norbert C Sotoya II</t>
  </si>
  <si>
    <t>Nina Lacson Magat</t>
  </si>
  <si>
    <t>Marevis M. Cabil</t>
  </si>
  <si>
    <t>Ester C. Layam</t>
  </si>
  <si>
    <t>ROSAVILLA  COLANGCO  BALAZO</t>
  </si>
  <si>
    <t>Alfredo P. Pedrola</t>
  </si>
  <si>
    <t>Aileen Grace Garcia</t>
  </si>
  <si>
    <t>Jasmin J. Gunio</t>
  </si>
  <si>
    <t>Randy B Moredo</t>
  </si>
  <si>
    <t>Felyn Fille Paco</t>
  </si>
  <si>
    <t>Shirley Cua San Luis</t>
  </si>
  <si>
    <t>Marilou Tamayo Quitlong</t>
  </si>
  <si>
    <t>Fe S. Delostrico</t>
  </si>
  <si>
    <t>JOEL MERCADO MALIGAYA</t>
  </si>
  <si>
    <t>FELIX REBUSE BASAS</t>
  </si>
  <si>
    <t>Erma C. Silandron</t>
  </si>
  <si>
    <t>Mateo A. Lee, Jr.</t>
  </si>
  <si>
    <t>Maricel Vitasa Granada</t>
  </si>
  <si>
    <t>Jessa S. De Guzman</t>
  </si>
  <si>
    <t>Felicidad  Toquero</t>
  </si>
  <si>
    <t>ALWIN M. UY</t>
  </si>
  <si>
    <t>Jocelyn Mosqueda Abaya</t>
  </si>
  <si>
    <t>Ramon Jr. M. Villareal</t>
  </si>
  <si>
    <t>Dudeo C. Galeon</t>
  </si>
  <si>
    <t>Pamela Sosa</t>
  </si>
  <si>
    <t>ROMULO JR DISPO</t>
  </si>
  <si>
    <t>Jules Amiel  Angeles</t>
  </si>
  <si>
    <t>NOE MORALES HERMOSILLA</t>
  </si>
  <si>
    <t>Miguel S. Tecson</t>
  </si>
  <si>
    <t>Catherine Olmoguez Ureta</t>
  </si>
  <si>
    <t>Teresita C. Suralta</t>
  </si>
  <si>
    <t>Constancia  C.  Broñozo</t>
  </si>
  <si>
    <t>Maria Rizza Mae  R.  Mabaquiao</t>
  </si>
  <si>
    <t>Karen-May Cabrido Matibag</t>
  </si>
  <si>
    <t>Lilibeth Tayab Sabihon</t>
  </si>
  <si>
    <t>Wilfredo Ramos Ognilla</t>
  </si>
  <si>
    <t>Alma Sheril Desierto Buslotan</t>
  </si>
  <si>
    <t>Edward B. Romulo</t>
  </si>
  <si>
    <t>Grace S Villaroman</t>
  </si>
  <si>
    <t>Claudine P. Bernardo</t>
  </si>
  <si>
    <t>Tomas II A. Vasquez</t>
  </si>
  <si>
    <t>Maribel Castillo Botavara</t>
  </si>
  <si>
    <t>Ronalyn Cabungcag</t>
  </si>
  <si>
    <t>Baldomero Jr. R. Ranido</t>
  </si>
  <si>
    <t>Wilma Balinquit Baes</t>
  </si>
  <si>
    <t>ASHER ITHAMAR BAGOL ALLUNAR</t>
  </si>
  <si>
    <t>DOLORES JAVIER GOTICO</t>
  </si>
  <si>
    <t>EDITHA DIZA GAUDIA</t>
  </si>
  <si>
    <t>Abigail Madarang</t>
  </si>
  <si>
    <t>Orlando R Florida</t>
  </si>
  <si>
    <t>JOAN GRACE SUAZO BOLINGOT</t>
  </si>
  <si>
    <t>EMILY D UGAY</t>
  </si>
  <si>
    <t>EDITHA LOPEZ LARON</t>
  </si>
  <si>
    <t>Arsenio Yu Cabacaba</t>
  </si>
  <si>
    <t>Joel Santos</t>
  </si>
  <si>
    <t>Jaynorin S Kalilangan</t>
  </si>
  <si>
    <t>Jonathan J. Bayona</t>
  </si>
  <si>
    <t>joy ogarte rodriguez</t>
  </si>
  <si>
    <t>Cirio Dela Cruz Pangan</t>
  </si>
  <si>
    <t>Ruel D Hermosa</t>
  </si>
  <si>
    <t>MADELYN MINDANA GINETE</t>
  </si>
  <si>
    <t>Jun Pajarillo  Vana</t>
  </si>
  <si>
    <t>Roldan Roilo Daquigan</t>
  </si>
  <si>
    <t>Isedrito Poncardas Cañete</t>
  </si>
  <si>
    <t>Levie Pacuri Diaz</t>
  </si>
  <si>
    <t>SENEN PEREZ</t>
  </si>
  <si>
    <t>Ernesto Purulanan Sta Isabel</t>
  </si>
  <si>
    <t>Recel Tajaran Icawalo</t>
  </si>
  <si>
    <t>ERNESTO AQUINO MANEGDEG</t>
  </si>
  <si>
    <t>MARY GRACE MENGOTE</t>
  </si>
  <si>
    <t>Jenny Quimpan Puli</t>
  </si>
  <si>
    <t>Harvin Bob  P. Puno</t>
  </si>
  <si>
    <t>MARIE JANE ABING CLAVERO</t>
  </si>
  <si>
    <t>LUISA V CARBAJAL</t>
  </si>
  <si>
    <t>JHORRY SANICO CANTA</t>
  </si>
  <si>
    <t>Roel Galang Villanueva</t>
  </si>
  <si>
    <t>Melanie D. Calajate</t>
  </si>
  <si>
    <t xml:space="preserve">LIGAYA   UBALDE      </t>
  </si>
  <si>
    <t>Marife Moron Jabon</t>
  </si>
  <si>
    <t>Mary Loren Remegio Ladrillo</t>
  </si>
  <si>
    <t>Arlene Seno Padilla</t>
  </si>
  <si>
    <t>Jesse II R Initan</t>
  </si>
  <si>
    <t>Enjill Grace R. Subillaga</t>
  </si>
  <si>
    <t>Jaime Dapula Omaña</t>
  </si>
  <si>
    <t>SIXTO S. VALLEJERA</t>
  </si>
  <si>
    <t>Michael P Arayan</t>
  </si>
  <si>
    <t>Bien Solis Mercado</t>
  </si>
  <si>
    <t>Ruby E De Jong</t>
  </si>
  <si>
    <t>Mavic Azuran</t>
  </si>
  <si>
    <t>Allan L Mariano</t>
  </si>
  <si>
    <t>Mae Lyn Garcia Altarejos</t>
  </si>
  <si>
    <t>NIMFA  C.  LIM</t>
  </si>
  <si>
    <t>Liberty G. Capillo</t>
  </si>
  <si>
    <t>Gaudencio Quiaoit Orpiano, Jr</t>
  </si>
  <si>
    <t>Ellenietta H.M.V Gamolo</t>
  </si>
  <si>
    <t>Esmeralda Gonzales Aguilar</t>
  </si>
  <si>
    <t>Ma.Kriselda Madriaga Magallano</t>
  </si>
  <si>
    <t>LORNA CAYABYAB RODRIGUEZ</t>
  </si>
  <si>
    <t>Martin A Telan</t>
  </si>
  <si>
    <t>Sostenes M. Palero</t>
  </si>
  <si>
    <t>Cherry May Cabillar</t>
  </si>
  <si>
    <t>REINA MECHELLE ARANAN RENTUTAR</t>
  </si>
  <si>
    <t>Aaron Pama Raymundo</t>
  </si>
  <si>
    <t>Reinelyn T. Cabrera</t>
  </si>
  <si>
    <t>Julieta Ilama Sabdani</t>
  </si>
  <si>
    <t>Mila Jihan GIBA</t>
  </si>
  <si>
    <t>Cristina Rico Tabunda</t>
  </si>
  <si>
    <t>Ariel E Fangonilo</t>
  </si>
  <si>
    <t>Rodrigo V. Custodio</t>
  </si>
  <si>
    <t>Marvin T. Mosteiro</t>
  </si>
  <si>
    <t>BRUNO  VALMORIA  ORIOQUE</t>
  </si>
  <si>
    <t>Crystine S. Puertellano</t>
  </si>
  <si>
    <t>NELSON G. VILLACILLO</t>
  </si>
  <si>
    <t>Rosita Domingo Solitario</t>
  </si>
  <si>
    <t>RICARDO AGOR</t>
  </si>
  <si>
    <t>Melanie Obillo Manipon</t>
  </si>
  <si>
    <t>Marilyn Cruz Santella</t>
  </si>
  <si>
    <t>Julian Orcino Castro</t>
  </si>
  <si>
    <t>Emilou Walo</t>
  </si>
  <si>
    <t>ERNESTO MANGILIY NUNEZ JR.</t>
  </si>
  <si>
    <t>ARCELYN LEMON ESTOQUIA</t>
  </si>
  <si>
    <t>Arlene Sabino Relos</t>
  </si>
  <si>
    <t>Emerlita  Amorsolo Basuel</t>
  </si>
  <si>
    <t>Lynden Alipen Aracyang</t>
  </si>
  <si>
    <t>MARJORIE TENORIO GARCIA</t>
  </si>
  <si>
    <t>Elizabeth Dioco Sunga</t>
  </si>
  <si>
    <t>ULYSIS M. BRANDINO</t>
  </si>
  <si>
    <t>Diosdado, Jr. Seraspe Bernales</t>
  </si>
  <si>
    <t>Donato Panaligan</t>
  </si>
  <si>
    <t>BENEDICTA B. GAMATERO</t>
  </si>
  <si>
    <t>Rose C Aliño</t>
  </si>
  <si>
    <t>Arielyn L. Fernandez</t>
  </si>
  <si>
    <t>MARLOU BELLO ASUNCION</t>
  </si>
  <si>
    <t>ERWIN A CRUZADA</t>
  </si>
  <si>
    <t>artemio mengote maiso</t>
  </si>
  <si>
    <t>Marilyn G Efondo</t>
  </si>
  <si>
    <t>Nolan A Tocao</t>
  </si>
  <si>
    <t>Edmund Belaras</t>
  </si>
  <si>
    <t>Winston Rudio Julio</t>
  </si>
  <si>
    <t>Lovella Yu Fontanilla</t>
  </si>
  <si>
    <t>Edward Ibbay Salcedo</t>
  </si>
  <si>
    <t>Edmar Almarez Rieta</t>
  </si>
  <si>
    <t>Arlaine M De Vera</t>
  </si>
  <si>
    <t>lovely joy dampiganon baungali</t>
  </si>
  <si>
    <t>Eric G Limpin</t>
  </si>
  <si>
    <t>Juliet Franesa S Aton</t>
  </si>
  <si>
    <t>Ma. Glysa Frias Rico</t>
  </si>
  <si>
    <t>Lubelle B. Lumabas</t>
  </si>
  <si>
    <t>GENERO I BENTAYAO</t>
  </si>
  <si>
    <t>Estanly Pepito Ebo</t>
  </si>
  <si>
    <t>Remegio Lao Saniel</t>
  </si>
  <si>
    <t>EDGIE SIMON DIMALANTA</t>
  </si>
  <si>
    <t>Junrie Bonghanoy Beradio</t>
  </si>
  <si>
    <t>Paterno A Unajan</t>
  </si>
  <si>
    <t>DOMINGO PAREJA REGALARIO</t>
  </si>
  <si>
    <t>Earl Dompales Nalzaro</t>
  </si>
  <si>
    <t>Vanesa C. Cutanda</t>
  </si>
  <si>
    <t>Artemio Amilagan Archibido</t>
  </si>
  <si>
    <t>Jovel Caboteja Mose</t>
  </si>
  <si>
    <t>RHODORA PAYAO MAGNO</t>
  </si>
  <si>
    <t>Samira Guimba Pagayao</t>
  </si>
  <si>
    <t>Jaime B. Ulo</t>
  </si>
  <si>
    <t>Expedito Magluyan Villaruz</t>
  </si>
  <si>
    <t>daniel andaya ogana</t>
  </si>
  <si>
    <t>RICARDO DIZON SUMAYA</t>
  </si>
  <si>
    <t>Vicente Dellatan Alcoriza</t>
  </si>
  <si>
    <t>Juanito Marcial Madalogdog, Jr.</t>
  </si>
  <si>
    <t>Carlos L. Taguba</t>
  </si>
  <si>
    <t>ALFREDO AGAD GUITARTE</t>
  </si>
  <si>
    <t>Ma. Teresa I. Samson</t>
  </si>
  <si>
    <t>CHRISTIE ANN GELVEZON ORTIZ</t>
  </si>
  <si>
    <t>Jennyfer Villarias Parame</t>
  </si>
  <si>
    <t>ROSARIO BATUTO ROSETE</t>
  </si>
  <si>
    <t>Ramon Chito Mejia Terado</t>
  </si>
  <si>
    <t>Racquel Araña Catalan</t>
  </si>
  <si>
    <t>ANNIE JUMAWAN GALLO</t>
  </si>
  <si>
    <t>Edwina C. Carriedo</t>
  </si>
  <si>
    <t>CECILIO RAMOS BONIEL</t>
  </si>
  <si>
    <t>Nome R. Ricalde</t>
  </si>
  <si>
    <t>Benjamin Jr. Bertiz Javellana</t>
  </si>
  <si>
    <t>Juanito Marquez Ilagan</t>
  </si>
  <si>
    <t>Marilou DC Garcia</t>
  </si>
  <si>
    <t>YUSOP ARBISON WEE</t>
  </si>
  <si>
    <t>EDGARDO CARFIN MONSERATE</t>
  </si>
  <si>
    <t>Victorio J Jimenez</t>
  </si>
  <si>
    <t>Andrew Dullin Agunod</t>
  </si>
  <si>
    <t>Bryan G. Fortuno</t>
  </si>
  <si>
    <t>Jacquiline Lanutan Tagaca</t>
  </si>
  <si>
    <t>Danilo Rutaquio Almacen</t>
  </si>
  <si>
    <t>Remy O. Patente</t>
  </si>
  <si>
    <t>Renante B.  Corpuz</t>
  </si>
  <si>
    <t>Emily  Gamba  Dajay</t>
  </si>
  <si>
    <t>Paolo Crispino Casiñas Sucalit</t>
  </si>
  <si>
    <t>ALBERTO A JUBILO</t>
  </si>
  <si>
    <t>GLENN PAULINO GADIA</t>
  </si>
  <si>
    <t>Beverlyn P. Peralta</t>
  </si>
  <si>
    <t>ROMELYN GERALLA YEE</t>
  </si>
  <si>
    <t>Elaine Bumanghat Immotna</t>
  </si>
  <si>
    <t>Sharon Rose P. Portillo</t>
  </si>
  <si>
    <t>EDISON SALANO ORIAS</t>
  </si>
  <si>
    <t>Beverly O. Sabdani</t>
  </si>
  <si>
    <t>RODOLFO CAPIGON MORENO</t>
  </si>
  <si>
    <t>Maria Teresa Hilado Tapil</t>
  </si>
  <si>
    <t>Cesar Espino Petalino</t>
  </si>
  <si>
    <t>Scarlet Sualog Villanueva</t>
  </si>
  <si>
    <t>Judito Oposa Pegarro</t>
  </si>
  <si>
    <t>Hilario Pacardo Gorgonia</t>
  </si>
  <si>
    <t>Frances Josephine Mercado Acman</t>
  </si>
  <si>
    <t>Emily Ras Balmes</t>
  </si>
  <si>
    <t>JESUS S. PUNZALAN</t>
  </si>
  <si>
    <t>EMELITO M YURO</t>
  </si>
  <si>
    <t>Adriel S. Dacara</t>
  </si>
  <si>
    <t>Georgie  Lamparas Ruelan</t>
  </si>
  <si>
    <t>Domingo  G.  Jabien</t>
  </si>
  <si>
    <t>Angela Eduvala Dagsaan</t>
  </si>
  <si>
    <t>Rolinda Macario De Julian</t>
  </si>
  <si>
    <t>VICTOR M. MOYA</t>
  </si>
  <si>
    <t>JOANA E. LUZ</t>
  </si>
  <si>
    <t>Ma. Socorro Lacambra Domingo</t>
  </si>
  <si>
    <t>Randy Miranda Matibag</t>
  </si>
  <si>
    <t>RONIL BALLENER TUPAS</t>
  </si>
  <si>
    <t>Emmanuel Edquilang Gulay</t>
  </si>
  <si>
    <t>Marina Ingoy Balicoco</t>
  </si>
  <si>
    <t>Chona Maquirang Roda</t>
  </si>
  <si>
    <t>Noel A Tubac</t>
  </si>
  <si>
    <t>DAISY  LUCERO  DECENA</t>
  </si>
  <si>
    <t>Emilia Sales Quilet</t>
  </si>
  <si>
    <t>CHARLTON LIU UY</t>
  </si>
  <si>
    <t>LORETO LUCERO LORENZO</t>
  </si>
  <si>
    <t>RYAN  V.  MEDINA</t>
  </si>
  <si>
    <t>Leo F. Ferraris</t>
  </si>
  <si>
    <t>Maria Cleofe A. Pita</t>
  </si>
  <si>
    <t>Ruiz Lloyd Gonzales Magcamit</t>
  </si>
  <si>
    <t>Michelle Baguio Morillo</t>
  </si>
  <si>
    <t>Jonathan Ramos Viernes</t>
  </si>
  <si>
    <t>Rizaldy Colon Mercadal</t>
  </si>
  <si>
    <t>Marion Acolentaba Balasa</t>
  </si>
  <si>
    <t>Noel Donell Ynion Narida</t>
  </si>
  <si>
    <t>Hildegardes Daayata Dechos</t>
  </si>
  <si>
    <t>Jayson L. Alda</t>
  </si>
  <si>
    <t>JEFFREY MENDOZA AQUINO</t>
  </si>
  <si>
    <t>Lilybeth Delfin Langomez</t>
  </si>
  <si>
    <t>Rolando L. Policios</t>
  </si>
  <si>
    <t>Kristoffer Callangan Mangussad</t>
  </si>
  <si>
    <t>NEOPOLO JR. LACSON MANALOTO</t>
  </si>
  <si>
    <t>Florante Uy Zurbito</t>
  </si>
  <si>
    <t>Aubrey Rayman B. San Diego</t>
  </si>
  <si>
    <t>Belen Serenio Dela Peña</t>
  </si>
  <si>
    <t>Glenn L Enesio</t>
  </si>
  <si>
    <t>Daven O. Herodias</t>
  </si>
  <si>
    <t>Ria Kris O. Tibayan</t>
  </si>
  <si>
    <t>Nanette C Samaniego</t>
  </si>
  <si>
    <t>Rogelio Hufano</t>
  </si>
  <si>
    <t>Rodel  M. Gole</t>
  </si>
  <si>
    <t>CYRILL BULALACAO MOLINA</t>
  </si>
  <si>
    <t>Oscar M. Maribojoc Sr.</t>
  </si>
  <si>
    <t>Ronilo Capuno Garcia</t>
  </si>
  <si>
    <t>ANTONIO I ILAGAN</t>
  </si>
  <si>
    <t>Celso V. Labian</t>
  </si>
  <si>
    <t>Janet M Pasamba</t>
  </si>
  <si>
    <t>Tessie Guerrero Cabaning</t>
  </si>
  <si>
    <t>Bevs A Santino</t>
  </si>
  <si>
    <t>Leo Alejandro Uy Yap</t>
  </si>
  <si>
    <t>ARNOLD ESCAREZ BRITON</t>
  </si>
  <si>
    <t>ALBERTO Q. BEREDO</t>
  </si>
  <si>
    <t>Antonio T Chan</t>
  </si>
  <si>
    <t>CELSO A. MATIAS</t>
  </si>
  <si>
    <t>TEEJAY YOSHIUMI JUNATAS SAKUMA</t>
  </si>
  <si>
    <t>Leonilo Delos Santos Requinto</t>
  </si>
  <si>
    <t>Fermin F Sapuras</t>
  </si>
  <si>
    <t>TEOFILO I CALUYA</t>
  </si>
  <si>
    <t>Catherine Reyes Gano</t>
  </si>
  <si>
    <t>Rosarie R. Paras</t>
  </si>
  <si>
    <t>Fedencio Pateres Carreon</t>
  </si>
  <si>
    <t>Maila Escamillas</t>
  </si>
  <si>
    <t>Zaldy C Domalina</t>
  </si>
  <si>
    <t>Aser G Sadava</t>
  </si>
  <si>
    <t>Reynaldo Viduya Valenzuela</t>
  </si>
  <si>
    <t>JOSEPH C. BUSTAMANTE</t>
  </si>
  <si>
    <t>George D Suayan</t>
  </si>
  <si>
    <t>Sharmaine Joie B. Color</t>
  </si>
  <si>
    <t>Noreen Lagahit</t>
  </si>
  <si>
    <t>Merle Salazar Vital</t>
  </si>
  <si>
    <t>Arnold Villanueva Dao</t>
  </si>
  <si>
    <t>Nilsen Corpuz Pascua</t>
  </si>
  <si>
    <t>JOHN HORCASITAS GAMAD</t>
  </si>
  <si>
    <t>Romelo T. Abag</t>
  </si>
  <si>
    <t>JOANA MANATLAO LIMOS, M.D</t>
  </si>
  <si>
    <t>Jose, Jr. Ban-ao Balajo</t>
  </si>
  <si>
    <t>ROMER LOREZCA</t>
  </si>
  <si>
    <t>Amparo Suelto Dullente</t>
  </si>
  <si>
    <t>PERPETUA MACABABBAD ONATE</t>
  </si>
  <si>
    <t>Benito C. Procia</t>
  </si>
  <si>
    <t>Loida P Gacula</t>
  </si>
  <si>
    <t>Zenaida Sahagun</t>
  </si>
  <si>
    <t>Jed F. Fajarit</t>
  </si>
  <si>
    <t>Maria Fe Himalalo-an Evasco</t>
  </si>
  <si>
    <t>Giorja Jaya Pimentel Ty</t>
  </si>
  <si>
    <t>Pedro Arguelles</t>
  </si>
  <si>
    <t>FRITZIE FLORENOSOS JUSTOL</t>
  </si>
  <si>
    <t>ANGELITA BAUTISTA DAYEGO</t>
  </si>
  <si>
    <t>Melanie Esta Yalung</t>
  </si>
  <si>
    <t>TEODULO EDER</t>
  </si>
  <si>
    <t>JEANNE LAURICE CHUA</t>
  </si>
  <si>
    <t>Kris Anne Sudio Agtarap</t>
  </si>
  <si>
    <t>Jurupin Piting Pungutan</t>
  </si>
  <si>
    <t>Phibely Pudico Nisperos</t>
  </si>
  <si>
    <t>Kristelle Balboa Dimarucot</t>
  </si>
  <si>
    <t>Minalin Serbito Valeda</t>
  </si>
  <si>
    <t>JANE KULPO LIKIGAN</t>
  </si>
  <si>
    <t>JOSE TEPPANG GALACINAO</t>
  </si>
  <si>
    <t>LILIBETTE PACAL IGNACIO</t>
  </si>
  <si>
    <t>Maria Jessica Dulce Gumban</t>
  </si>
  <si>
    <t>Jaynalyn E Amparo</t>
  </si>
  <si>
    <t>JENNIFER  D. SIMBAJON</t>
  </si>
  <si>
    <t>Joann Joy Aseniero Vargas</t>
  </si>
  <si>
    <t>Imelda Movido Villa</t>
  </si>
  <si>
    <t>Vanessa Degolacion Arellano</t>
  </si>
  <si>
    <t>Gina Tañedo Argosino</t>
  </si>
  <si>
    <t>Criselda D. Bacatano</t>
  </si>
  <si>
    <t>EDGAR ALBULADOR LUMAUIG</t>
  </si>
  <si>
    <t>windy p. lat</t>
  </si>
  <si>
    <t>Rene C Mojado</t>
  </si>
  <si>
    <t>Madekine Pallazar</t>
  </si>
  <si>
    <t>Raul B. Jacela</t>
  </si>
  <si>
    <t>Raymundo Belen Cueto</t>
  </si>
  <si>
    <t>Maricel Balmes Recio</t>
  </si>
  <si>
    <t>Benedicto Cawag Bivas</t>
  </si>
  <si>
    <t>CARMELITA C VILLAMOR</t>
  </si>
  <si>
    <t>Ramon D Licup</t>
  </si>
  <si>
    <t>GODFREY ROSALINDA MUSONG</t>
  </si>
  <si>
    <t>Enrico S Lazaro</t>
  </si>
  <si>
    <t>Benhar Sulaiman Sali</t>
  </si>
  <si>
    <t>Michelle Mercado De Chavez</t>
  </si>
  <si>
    <t>RONNEL B GUNDOY</t>
  </si>
  <si>
    <t>Omar Cabauatan</t>
  </si>
  <si>
    <t>Laurence Joseph Reyes Tadiar</t>
  </si>
  <si>
    <t>Librado T. Olivares</t>
  </si>
  <si>
    <t>Cario Abag Baskial</t>
  </si>
  <si>
    <t>FERMIN ELOISA KATHLEEN BERBANO</t>
  </si>
  <si>
    <t>Elvie M. Ramos</t>
  </si>
  <si>
    <t>Maria Magnaye Matawaran</t>
  </si>
  <si>
    <t>Elsie Dofredo Alcala</t>
  </si>
  <si>
    <t>MARICHEL PUGOSA CORAZA</t>
  </si>
  <si>
    <t>MARIE CAROLYN B VERANO</t>
  </si>
  <si>
    <t>GENELYN DYANCO POPA</t>
  </si>
  <si>
    <t>LETECIA SUPERAL SATAIRAPAN</t>
  </si>
  <si>
    <t>MARC  BRYAN SIM CO</t>
  </si>
  <si>
    <t>Rex Aquiatan Agustin</t>
  </si>
  <si>
    <t>MARISE A. PONCE</t>
  </si>
  <si>
    <t>PRUDENCIO EGSAN NOCELO, JR.</t>
  </si>
  <si>
    <t>Arthur Basco Lontoc</t>
  </si>
  <si>
    <t>ZOSIMO AQUINO LIBERATO</t>
  </si>
  <si>
    <t>RENALYN BOLIVAR PARREÑO</t>
  </si>
  <si>
    <t>WILFREDO M. WAQUIZ</t>
  </si>
  <si>
    <t>Mark Joseph Roque Dampil</t>
  </si>
  <si>
    <t>Wencislao Jr. Calimlim Cagalitan</t>
  </si>
  <si>
    <t>Violeta O Garcia</t>
  </si>
  <si>
    <t>Ramil Custodio Martinez</t>
  </si>
  <si>
    <t>ODESSA T. MANLIGOY</t>
  </si>
  <si>
    <t>Daryl Baptista Daodaoang</t>
  </si>
  <si>
    <t>Elnora Toledo Lariza</t>
  </si>
  <si>
    <t>EDGAR L. MARTINEZ</t>
  </si>
  <si>
    <t>Guillermo Israel Modino</t>
  </si>
  <si>
    <t>Kris Millarez Lacanienta</t>
  </si>
  <si>
    <t>Melvin Ortega Cejas</t>
  </si>
  <si>
    <t>Victor Ariong Aglipay</t>
  </si>
  <si>
    <t>Camilo Claro Maglaya Pacquing</t>
  </si>
  <si>
    <t>MARIE JOY A. ALVIAR</t>
  </si>
  <si>
    <t>Liezel Cornitez Patron</t>
  </si>
  <si>
    <t>Morena Corcuera Mendoza</t>
  </si>
  <si>
    <t>Paul Francis Sarmiento Tomimbang</t>
  </si>
  <si>
    <t>Leonardo Andres Dayo</t>
  </si>
  <si>
    <t>ELLEN ECHIPARE GONZALES</t>
  </si>
  <si>
    <t>cleope bongcalon magale</t>
  </si>
  <si>
    <t>Jean Casalmer Salarda</t>
  </si>
  <si>
    <t>ADRIAN A AÑO</t>
  </si>
  <si>
    <t>Rizalyn Sara Bantug</t>
  </si>
  <si>
    <t>Norman B. Licong</t>
  </si>
  <si>
    <t>FRANCES SHANELLE GENERATO SALINAS</t>
  </si>
  <si>
    <t>LILIA DIAZ DE GUZMAN</t>
  </si>
  <si>
    <t>ALEXANDER VENTERO PIDOR</t>
  </si>
  <si>
    <t>Rene Sarmiento</t>
  </si>
  <si>
    <t>EDUARDO C ONG</t>
  </si>
  <si>
    <t>Ma. Felicidad Rebong Payba</t>
  </si>
  <si>
    <t>Charito Tinio Mertens</t>
  </si>
  <si>
    <t>JASMIN R LACUNA</t>
  </si>
  <si>
    <t>Jose arban dacoseo</t>
  </si>
  <si>
    <t>Myrna Rey</t>
  </si>
  <si>
    <t>Marivic Yorong Morales</t>
  </si>
  <si>
    <t>Angela H. Rivera</t>
  </si>
  <si>
    <t>Lara Mae Dente Pares</t>
  </si>
  <si>
    <t>Elizabeth M Dayot</t>
  </si>
  <si>
    <t>Timoteo Jr. Palahang Calunod</t>
  </si>
  <si>
    <t>Alicia  Fabro Vinluan</t>
  </si>
  <si>
    <t>RAL P CORNEJO</t>
  </si>
  <si>
    <t>Beatriz Dumapay Pascual</t>
  </si>
  <si>
    <t>PAOLO ANGELO ATIENZA MESINA</t>
  </si>
  <si>
    <t>LEO GAMMAD LIGGAYU</t>
  </si>
  <si>
    <t>TERESA M. ARCONCIL</t>
  </si>
  <si>
    <t>JOSEPH ALLEN LACSON SIMON</t>
  </si>
  <si>
    <t>Hilda bawa Alvarez</t>
  </si>
  <si>
    <t>Johna Paula Campilan Manzano</t>
  </si>
  <si>
    <t>GHECEL CATIBOS MAGDALES</t>
  </si>
  <si>
    <t>MARY ANN SARTORIO BAENA</t>
  </si>
  <si>
    <t>Mar Giovanni L. Cabingas</t>
  </si>
  <si>
    <t>Maria Juliana A. Toribio</t>
  </si>
  <si>
    <t>Mansueta enot Veluz</t>
  </si>
  <si>
    <t>LOURDES A. BUENAFE</t>
  </si>
  <si>
    <t>ALICIA NATIVIDAD MANAIG</t>
  </si>
  <si>
    <t>Mario Dauz</t>
  </si>
  <si>
    <t>JOHN NACINO MOSELINA</t>
  </si>
  <si>
    <t>Ely Cabusbusan Cabugsa</t>
  </si>
  <si>
    <t>Kenneth Simbajon Gabisay</t>
  </si>
  <si>
    <t>JOEY INDINO</t>
  </si>
  <si>
    <t>Roweiji F. Bautista</t>
  </si>
  <si>
    <t>Alison V. Senobio</t>
  </si>
  <si>
    <t>Bernardo T. Macauyam</t>
  </si>
  <si>
    <t>Genicar Nieva Barotilla</t>
  </si>
  <si>
    <t>Gemma Ladera Asi</t>
  </si>
  <si>
    <t>Beverly E Calud</t>
  </si>
  <si>
    <t>Joseph Clarence D Valero</t>
  </si>
  <si>
    <t>Christian Macasaquit Colindres</t>
  </si>
  <si>
    <t>Richard Angel M. Arboleda</t>
  </si>
  <si>
    <t>Elsa M. Martinez</t>
  </si>
  <si>
    <t>JUBERT  D.  TUTOR</t>
  </si>
  <si>
    <t>Rosana Bagalanon Butalid</t>
  </si>
  <si>
    <t>Mariecel E Cornejo</t>
  </si>
  <si>
    <t>Ma. Gianelli A Ecuacion</t>
  </si>
  <si>
    <t>Joey Vincent P. Rabanal</t>
  </si>
  <si>
    <t>Melchor Talosig Halog</t>
  </si>
  <si>
    <t>Benigno C Austero</t>
  </si>
  <si>
    <t>Joannarie V. Bantolo</t>
  </si>
  <si>
    <t>Evelyn C. Padayhag</t>
  </si>
  <si>
    <t>Jess Angelo Gabriel Usquisa</t>
  </si>
  <si>
    <t>Marito  Verzosa  Catorce</t>
  </si>
  <si>
    <t>Sylvia Maquilan Caratao</t>
  </si>
  <si>
    <t>Maria Celeste R. Dela Cruz</t>
  </si>
  <si>
    <t>Rowel Galo Panilawon</t>
  </si>
  <si>
    <t>Brenjune Bliss Gerong Calapre</t>
  </si>
  <si>
    <t>Mary Jean Garrido Demonteverde</t>
  </si>
  <si>
    <t>RHODORA VENTURA CABAL</t>
  </si>
  <si>
    <t>Ma. Yvonne  Domanais/ C Shalie  Coralde</t>
  </si>
  <si>
    <t>Roberto Maraño Balde</t>
  </si>
  <si>
    <t>Marino Merano Silagan Jr.</t>
  </si>
  <si>
    <t>Hercules Coyoca Castro</t>
  </si>
  <si>
    <t>Shiela Cueto Zulueta</t>
  </si>
  <si>
    <t>Marvin Francis U Apale</t>
  </si>
  <si>
    <t>Rommel S Santos</t>
  </si>
  <si>
    <t>RODNEY L. SOLANO</t>
  </si>
  <si>
    <t>roy panopio pole</t>
  </si>
  <si>
    <t>JUNE DE LEON ESPINOSA</t>
  </si>
  <si>
    <t>Glenn Anthony M. San Mateo</t>
  </si>
  <si>
    <t>CHRISTOPHER CATALINO REBUJIO</t>
  </si>
  <si>
    <t>ATTY. MARIA JONIKA GONZAGA ROMANO</t>
  </si>
  <si>
    <t>Mary Christine Joy Rendon</t>
  </si>
  <si>
    <t>ARNOLD VILLAREAL</t>
  </si>
  <si>
    <t>Giena G. Ramos</t>
  </si>
  <si>
    <t>Eugene Paul Gundaya</t>
  </si>
  <si>
    <t>Joan  Israel  Beo</t>
  </si>
  <si>
    <t>Beberly A Española</t>
  </si>
  <si>
    <t>Mary Jane B Chiyawan</t>
  </si>
  <si>
    <t>Ma. Theresa D. Jamero</t>
  </si>
  <si>
    <t>Leonito  De Leon Villanueva</t>
  </si>
  <si>
    <t>Salome D. Diel</t>
  </si>
  <si>
    <t>jennifer empleo rondina</t>
  </si>
  <si>
    <t>Marisa P Las</t>
  </si>
  <si>
    <t>Divina Agaser Miguel</t>
  </si>
  <si>
    <t>Luzviminda Mariano Calape</t>
  </si>
  <si>
    <t>Joma Lyn Payopilin Octaviano</t>
  </si>
  <si>
    <t>Joybeth Delfin Sabino</t>
  </si>
  <si>
    <t>Nimfa Mendoza Derada</t>
  </si>
  <si>
    <t>AGUSTIN JR. DEMETERIO PEDRANO</t>
  </si>
  <si>
    <t>Manuel M. Andes</t>
  </si>
  <si>
    <t>MARY GRACE YAMBOK GUAY</t>
  </si>
  <si>
    <t>Alger F Lamprea</t>
  </si>
  <si>
    <t>Herma Taghap Paragsa</t>
  </si>
  <si>
    <t>olga butin gamiao</t>
  </si>
  <si>
    <t>RICHELIZA JEAN C. CORDERO</t>
  </si>
  <si>
    <t>Marcelina Jumawan Oguis</t>
  </si>
  <si>
    <t>Tomas Posecion</t>
  </si>
  <si>
    <t>Nida Tallon Susa</t>
  </si>
  <si>
    <t>Marites Cueto Borbon</t>
  </si>
  <si>
    <t>Cynthia Faustino Delgado</t>
  </si>
  <si>
    <t>Florinda Z Babilonia</t>
  </si>
  <si>
    <t>Charles  C. Sokoken</t>
  </si>
  <si>
    <t>Ellyne Marie Kee Aligarbes</t>
  </si>
  <si>
    <t>SETTE HANNAH D. DAKULA</t>
  </si>
  <si>
    <t>Aureo Malagum Jauculan</t>
  </si>
  <si>
    <t>GRACE PONCE ARELLANO</t>
  </si>
  <si>
    <t>MONINA C.  MONTERMOSO</t>
  </si>
  <si>
    <t>JOEGIE BENEMERITO JIMENEZ</t>
  </si>
  <si>
    <t>ROSITA  ESTABELLO</t>
  </si>
  <si>
    <t>Rebecca Cequiña Remulta</t>
  </si>
  <si>
    <t>Lauren Christine B. La'O</t>
  </si>
  <si>
    <t>ZORAIDA CORTINA COLLERA</t>
  </si>
  <si>
    <t>Joan Oliver</t>
  </si>
  <si>
    <t>BAC Secretariat II</t>
  </si>
  <si>
    <t>Sheila Paraiso Estrellanes</t>
  </si>
  <si>
    <t>LODEVICO CODAL LUIS</t>
  </si>
  <si>
    <t>Rosanna Maratas Siega</t>
  </si>
  <si>
    <t>Shoraida Titiban Renabor</t>
  </si>
  <si>
    <t>RONALD I INSON</t>
  </si>
  <si>
    <t>JohnEryl Ramos Templonuevo</t>
  </si>
  <si>
    <t>Fritzie Mae Vasquez Valenzuela</t>
  </si>
  <si>
    <t>Cecile M. Dicen</t>
  </si>
  <si>
    <t>Jaime Estrera Dagsaan</t>
  </si>
  <si>
    <t>Rey Christian Pasana Nuñez</t>
  </si>
  <si>
    <t>Alberto Amabao Carillas</t>
  </si>
  <si>
    <t>Rhonalyn Santos Rivera</t>
  </si>
  <si>
    <t>Fe  Costelo Lutes</t>
  </si>
  <si>
    <t>Ryan Ibrado Bonghanoy</t>
  </si>
  <si>
    <t>Leah S Osorio</t>
  </si>
  <si>
    <t>Rryam Ansing Jaralve</t>
  </si>
  <si>
    <t>Maria Carol Gempis Hermosilla</t>
  </si>
  <si>
    <t>Danny Clamor Flores</t>
  </si>
  <si>
    <t>Joseph Dennis Albarracin Adlawan</t>
  </si>
  <si>
    <t>Desiderio Estillore Gudia Jr.</t>
  </si>
  <si>
    <t>PILAR RABINO VITTO</t>
  </si>
  <si>
    <t>Doris M. Malayao</t>
  </si>
  <si>
    <t>Jerry Binwag Rivera</t>
  </si>
  <si>
    <t>Epifania Sedan Belmis</t>
  </si>
  <si>
    <t>FREDERICK ORTEZA DELA CRUZ</t>
  </si>
  <si>
    <t>Gloria Española Amar</t>
  </si>
  <si>
    <t>ROGER ANGGOL BEN</t>
  </si>
  <si>
    <t>Joyce Daffon Perey</t>
  </si>
  <si>
    <t>RITO Lumahan Eloc</t>
  </si>
  <si>
    <t>SAMUEL GUMPAL LLANES</t>
  </si>
  <si>
    <t>MILAGROS BAGASIN</t>
  </si>
  <si>
    <t>NOEL RENDON BUSCA</t>
  </si>
  <si>
    <t>Gaudencia Averion Buensuceso</t>
  </si>
  <si>
    <t>Constante C. Sabalburo</t>
  </si>
  <si>
    <t>JAY ARH B. SOLVERO</t>
  </si>
  <si>
    <t>LIBRADO M LAWIG</t>
  </si>
  <si>
    <t>Danilo D. Pazcoguin</t>
  </si>
  <si>
    <t>Jennifer L. Luis</t>
  </si>
  <si>
    <t>ENGR. EDUARDO SALVADOR MANGOBA JR.</t>
  </si>
  <si>
    <t>Venn Wei Sipalay   Añonuevo</t>
  </si>
  <si>
    <t>Atty. Cipriano U. Asilo</t>
  </si>
  <si>
    <t>Riavida Macalolot Soriaga</t>
  </si>
  <si>
    <t>KAREEN A. ORDOÑA</t>
  </si>
  <si>
    <t>JOCELYN C SANTOCELDES</t>
  </si>
  <si>
    <t>Ruel Cole Armodia</t>
  </si>
  <si>
    <t>Bernadette Llacer Belleza</t>
  </si>
  <si>
    <t>SCHERJAN MOOSA C. IBRAHIM</t>
  </si>
  <si>
    <t>RODELITO PENSONA</t>
  </si>
  <si>
    <t>ANGELINA CAPISTRANO RIGOS</t>
  </si>
  <si>
    <t>Lelia Uriarte</t>
  </si>
  <si>
    <t>Marilyn T Inong</t>
  </si>
  <si>
    <t>Teogenes Taray Tambis</t>
  </si>
  <si>
    <t>Alfonso Pagaduan Mendoza</t>
  </si>
  <si>
    <t>Alvin Putulan Aceret</t>
  </si>
  <si>
    <t>Mary Grace B. Dulnuan</t>
  </si>
  <si>
    <t>Felicilda F Sano</t>
  </si>
  <si>
    <t>Nedencio T. Macles and Rebecca M. Gadayan</t>
  </si>
  <si>
    <t>Gloria Calunsag Patria</t>
  </si>
  <si>
    <t>Lea E Barcebal</t>
  </si>
  <si>
    <t>Candelaria Ubana Estremos</t>
  </si>
  <si>
    <t>George Anthony V Peña</t>
  </si>
  <si>
    <t>Erlinda S Pesado</t>
  </si>
  <si>
    <t>RANDE M. POLO</t>
  </si>
  <si>
    <t>Rose Claide I. Abe</t>
  </si>
  <si>
    <t>Margie P Alanunay</t>
  </si>
  <si>
    <t>Herma Aratan Seruela</t>
  </si>
  <si>
    <t>Jerrico A. Benzon</t>
  </si>
  <si>
    <t>Romer Pacpaco Regucera</t>
  </si>
  <si>
    <t>Simeon Dassun</t>
  </si>
  <si>
    <t>Connie S De Leon</t>
  </si>
  <si>
    <t>Maritez Galban</t>
  </si>
  <si>
    <t>Marestela C Soriano</t>
  </si>
  <si>
    <t>MOHAMMAD MAPANDI MACAANGCOS</t>
  </si>
  <si>
    <t>Noli T. Gandamon</t>
  </si>
  <si>
    <t>Crisanto Losande Rabina</t>
  </si>
  <si>
    <t>Noel V. Alcain</t>
  </si>
  <si>
    <t>Wilbert Eusebio Jose</t>
  </si>
  <si>
    <t>MA. THERESA REMOROFF BARROSO</t>
  </si>
  <si>
    <t>FRANCIS ELLORIMO</t>
  </si>
  <si>
    <t>Eliza Rendon Alamo</t>
  </si>
  <si>
    <t>WILSON NARVAIS CABRALES</t>
  </si>
  <si>
    <t>Brendhel P. Awa-ao</t>
  </si>
  <si>
    <t>VICTORIO FAJARDO CORPORAL</t>
  </si>
  <si>
    <t>ROSE LILIA Balonzo Biado</t>
  </si>
  <si>
    <t>Ma. Celyn Noya Padpad</t>
  </si>
  <si>
    <t>elma supas almario</t>
  </si>
  <si>
    <t>SEBASTIAN AMODIA SALCEDO</t>
  </si>
  <si>
    <t>Franco Asis Monjardin</t>
  </si>
  <si>
    <t>Ruel Robina Ragas</t>
  </si>
  <si>
    <t>Vincent Murillo Caang</t>
  </si>
  <si>
    <t>Luz S. Liloc</t>
  </si>
  <si>
    <t>MARIA ARRA PAZ G. SELLAR</t>
  </si>
  <si>
    <t>Helen Grace P. Hilario</t>
  </si>
  <si>
    <t>Renee  Salomon  Davad</t>
  </si>
  <si>
    <t>Josephine Tolentino Banay</t>
  </si>
  <si>
    <t>Ria C. Agbulos</t>
  </si>
  <si>
    <t>Raul Antonio B Soniega</t>
  </si>
  <si>
    <t>Fernando Espinoza Lopez</t>
  </si>
  <si>
    <t>Miguelito A. Ogania</t>
  </si>
  <si>
    <t>Joel Aculan Zartiga</t>
  </si>
  <si>
    <t>Armando I. Batiancila</t>
  </si>
  <si>
    <t>Felizardo  R.  Canama</t>
  </si>
  <si>
    <t>Ricardo Omamalin Calonge</t>
  </si>
  <si>
    <t>Thelma Ardon Escanillas</t>
  </si>
  <si>
    <t>Giovanni Gose Desabelle</t>
  </si>
  <si>
    <t>Marie Juvy Lalin Alera</t>
  </si>
  <si>
    <t>Dina V. Panganiban</t>
  </si>
  <si>
    <t>LEONIDO PAL-ING CATIEL</t>
  </si>
  <si>
    <t>Bill V. Segui</t>
  </si>
  <si>
    <t>Elmer Foronda Acoba</t>
  </si>
  <si>
    <t>George Bulaoro Menamen</t>
  </si>
  <si>
    <t>EDWARD SULIMA MAHINAY</t>
  </si>
  <si>
    <t>Ma. Liza Candelaria Ortiz</t>
  </si>
  <si>
    <t>GENE ACHAS BACULPO</t>
  </si>
  <si>
    <t>May Rose Dejaro  Denolang</t>
  </si>
  <si>
    <t>Ruel Lasona</t>
  </si>
  <si>
    <t>Janet A. Pumalo</t>
  </si>
  <si>
    <t>Shiela L. Lacbayo</t>
  </si>
  <si>
    <t>Rodita P Aban</t>
  </si>
  <si>
    <t>Kristina Omapas Racuya</t>
  </si>
  <si>
    <t>Randolph R Maguigad</t>
  </si>
  <si>
    <t>William  Alcarde  Calas</t>
  </si>
  <si>
    <t>ULDARICO ECIJA BADANGO</t>
  </si>
  <si>
    <t>Maria Cinderella B. Garcia</t>
  </si>
  <si>
    <t>Marilyn  Labrador Garcia</t>
  </si>
  <si>
    <t>Edgar M Mendoza</t>
  </si>
  <si>
    <t>Jose Jacinto B Antonio</t>
  </si>
  <si>
    <t>Emmanuel Cedric Martinez Ontong</t>
  </si>
  <si>
    <t>David Bonifacio</t>
  </si>
  <si>
    <t>ALMA PERANDOS BISNAR</t>
  </si>
  <si>
    <t>JANE SALVAME AHON</t>
  </si>
  <si>
    <t>Joan Margarette A Yap</t>
  </si>
  <si>
    <t>Nelson Bonifacio Villaluna</t>
  </si>
  <si>
    <t>Marsal Cajatol Chiong</t>
  </si>
  <si>
    <t>Michelle M Marcos</t>
  </si>
  <si>
    <t>Resette Hernandez Razon</t>
  </si>
  <si>
    <t>Jonathan Bajo Ramos</t>
  </si>
  <si>
    <t>RUDY ANGULO INSULAR</t>
  </si>
  <si>
    <t>Christine Bernadette Jimenez Biteño</t>
  </si>
  <si>
    <t>GEORGIE FRUGALIDAD CORNELIO</t>
  </si>
  <si>
    <t>Ana Suzette Limguis Moreño</t>
  </si>
  <si>
    <t>Mariane B. Tingchuy</t>
  </si>
  <si>
    <t>Abelardo Mostaza Guerina</t>
  </si>
  <si>
    <t>Francisco A. Genora</t>
  </si>
  <si>
    <t>Mary Ann G Garcia</t>
  </si>
  <si>
    <t>Elmera Zabate Ebrada</t>
  </si>
  <si>
    <t>Marivic Masbad Managbanag</t>
  </si>
  <si>
    <t>Mylene Alba</t>
  </si>
  <si>
    <t>MA. GLORIA GELI SORRERA</t>
  </si>
  <si>
    <t>JOEWELL ARLIGUE MONREAL</t>
  </si>
  <si>
    <t>Armilinda Areja Esquieres</t>
  </si>
  <si>
    <t>Annielyn N JAVIER</t>
  </si>
  <si>
    <t>GENARO M MERINO</t>
  </si>
  <si>
    <t>Maiden P. Cortez</t>
  </si>
  <si>
    <t>LEONARDO D AMORES</t>
  </si>
  <si>
    <t>Roger G. Liban</t>
  </si>
  <si>
    <t>Dennis Jan Gutierrez Quiambao</t>
  </si>
  <si>
    <t>Aldwin  Alcantara  Carandang</t>
  </si>
  <si>
    <t>Roberto R. Dingding</t>
  </si>
  <si>
    <t>Jesamine M. Mendi</t>
  </si>
  <si>
    <t>Ernesto Loyola Castillo</t>
  </si>
  <si>
    <t>NICOLE N/A SOBRIA</t>
  </si>
  <si>
    <t>Mariel B Lauigan</t>
  </si>
  <si>
    <t>Fatima Madonna Ubalde Jaynario</t>
  </si>
  <si>
    <t>Kim M. Moral</t>
  </si>
  <si>
    <t>MARL PHILIP YAMSUAN CACHERO</t>
  </si>
  <si>
    <t>Lourdes F Arinduque</t>
  </si>
  <si>
    <t>marcelino cabanilla torreon</t>
  </si>
  <si>
    <t>Eleanor C. Laylo</t>
  </si>
  <si>
    <t>Ofelia Escobarte Nacional</t>
  </si>
  <si>
    <t>ROBERT M. VALLES</t>
  </si>
  <si>
    <t>Romirose B. Padin</t>
  </si>
  <si>
    <t>Marivic Estopin Diaz</t>
  </si>
  <si>
    <t>Pedro Gemanga Taton</t>
  </si>
  <si>
    <t>PRECIOUS GAY ABRAU</t>
  </si>
  <si>
    <t>Hope Jaravata Relayson</t>
  </si>
  <si>
    <t>Luisito Escobas Alla</t>
  </si>
  <si>
    <t>Jenn Glaiza Gallego</t>
  </si>
  <si>
    <t>Gredalie Rivera Acopio</t>
  </si>
  <si>
    <t>Jezereel Esteban</t>
  </si>
  <si>
    <t>ASSEL PAGARAN MADANGUIT</t>
  </si>
  <si>
    <t>Felisa  Tolero  Edullantes</t>
  </si>
  <si>
    <t>VENUS ESCOBAR TORRES</t>
  </si>
  <si>
    <t>Mayo Resuma Pelagio</t>
  </si>
  <si>
    <t>Corazon Barrientos Pagayona</t>
  </si>
  <si>
    <t>Florencio Formaran Parcarey</t>
  </si>
  <si>
    <t>mary ann corpuz paguio</t>
  </si>
  <si>
    <t>Pilar Balbuena Quinico</t>
  </si>
  <si>
    <t>MA. NEOFITA S. TUAZON</t>
  </si>
  <si>
    <t>JOLEX LIMSIACO MONTECLARO</t>
  </si>
  <si>
    <t>Herminia Dorador Pelipil</t>
  </si>
  <si>
    <t>Arnel Gahator Otida</t>
  </si>
  <si>
    <t>IVY COSTALES VALENCIA</t>
  </si>
  <si>
    <t>Marito V. Catorce</t>
  </si>
  <si>
    <t>GREGORIO M ORDAS</t>
  </si>
  <si>
    <t>Camilo Ferreira</t>
  </si>
  <si>
    <t>Dane C Dizon</t>
  </si>
  <si>
    <t>Jimmy Callas Bejare</t>
  </si>
  <si>
    <t>Arnel M Ruz</t>
  </si>
  <si>
    <t>Rodelito La Fuente Dacup</t>
  </si>
  <si>
    <t>Diomedes Ortega Manaytay</t>
  </si>
  <si>
    <t>Evelyn Salomon Rivero</t>
  </si>
  <si>
    <t>SANNY  P  ABONALES</t>
  </si>
  <si>
    <t>Servando Lonzon Amparo Jr.</t>
  </si>
  <si>
    <t>Albert  Clarito  Calambro</t>
  </si>
  <si>
    <t>Ferdinand Oliva Concepcion</t>
  </si>
  <si>
    <t>Julian  Zafe Magtagnob</t>
  </si>
  <si>
    <t>Leah Kierulf De Paz</t>
  </si>
  <si>
    <t>Rom Josef Pastrana Manzano</t>
  </si>
  <si>
    <t>MERVYN OLAER DOCALLOS</t>
  </si>
  <si>
    <t>Maylen Zorilla Damasing</t>
  </si>
  <si>
    <t>Marilyn F. Chavez</t>
  </si>
  <si>
    <t>Ramon Bagares Alforque</t>
  </si>
  <si>
    <t>PRISCILLA SOTELO BATOR</t>
  </si>
  <si>
    <t>CLIFTON GARETH NGODCHO FANG-ASAN</t>
  </si>
  <si>
    <t>Rainero Elmer Dingal Gerzon</t>
  </si>
  <si>
    <t>ERNIE ARRIESGADO</t>
  </si>
  <si>
    <t>Renalin Serame</t>
  </si>
  <si>
    <t>Anna Mae B. Elemia</t>
  </si>
  <si>
    <t>Sofronia Ceniza Uy</t>
  </si>
  <si>
    <t>CRISTINE  CABATON QUILLAMOR</t>
  </si>
  <si>
    <t>Ireene Garcia Igot</t>
  </si>
  <si>
    <t>Richard Alana Ramos</t>
  </si>
  <si>
    <t>Carmelita Nudalo Wenceslao</t>
  </si>
  <si>
    <t>Christan  Espanol  Andrada</t>
  </si>
  <si>
    <t>Reynaldo V Pioquinto</t>
  </si>
  <si>
    <t>CHARRIE ANN SINGCO SALES</t>
  </si>
  <si>
    <t>Roderick Pascual Ramilo</t>
  </si>
  <si>
    <t>Laina Bayona Calubia</t>
  </si>
  <si>
    <t>Enrique Bondoc Gonzales</t>
  </si>
  <si>
    <t>HENRY C. DE GUZMAN</t>
  </si>
  <si>
    <t>MARIA CRISTIE VARGAS BALMADRID</t>
  </si>
  <si>
    <t>Floro M Butulan</t>
  </si>
  <si>
    <t>Aaron John Reyes Liwag</t>
  </si>
  <si>
    <t>Jose Tobias</t>
  </si>
  <si>
    <t>Ricarte De Guzman Tadeja</t>
  </si>
  <si>
    <t>MARISA SARZABA ALSOL</t>
  </si>
  <si>
    <t>Christine D. Batallones</t>
  </si>
  <si>
    <t>RAMON A. BELTRAN</t>
  </si>
  <si>
    <t>Felicidad F. De Guzman</t>
  </si>
  <si>
    <t>Jorge Olaer Madrona</t>
  </si>
  <si>
    <t>Nelly S Ibo</t>
  </si>
  <si>
    <t>HAIDEE PEÑAMANTE AVELLANO</t>
  </si>
  <si>
    <t>Erlie A. Mallari</t>
  </si>
  <si>
    <t>Jude Thaddeus G. Paat</t>
  </si>
  <si>
    <t>Nenita  S.  Palomo</t>
  </si>
  <si>
    <t>RICKY CRUIZ POCON</t>
  </si>
  <si>
    <t>IGNACIO S PANTI</t>
  </si>
  <si>
    <t>ARIEL LABINI MARCO</t>
  </si>
  <si>
    <t>Mark Nikko Badiola</t>
  </si>
  <si>
    <t>RAZY SUAYAN ONIL</t>
  </si>
  <si>
    <t>Eunice Faith Panganiban Castillo</t>
  </si>
  <si>
    <t>Luzminda Gumapac Machete</t>
  </si>
  <si>
    <t>Rosebella Padura Martinez</t>
  </si>
  <si>
    <t>Rosemia R. Alama-Saliwato</t>
  </si>
  <si>
    <t>Helen A. Cabarles</t>
  </si>
  <si>
    <t>Mae Valledor</t>
  </si>
  <si>
    <t>MA. BELEN POLIDO ACUESTA</t>
  </si>
  <si>
    <t>Edwin Francisco Argonza</t>
  </si>
  <si>
    <t>Arnaldo G Liansing</t>
  </si>
  <si>
    <t>Ma.  Hannah Hecita Dobrea</t>
  </si>
  <si>
    <t>Alimoden Aying Pangatungan</t>
  </si>
  <si>
    <t>Arlene salapayne asedilla</t>
  </si>
  <si>
    <t>Ivy Joy L. Castro</t>
  </si>
  <si>
    <t>WILBERTO O. CASTILLO</t>
  </si>
  <si>
    <t>Mary Edal Alviar</t>
  </si>
  <si>
    <t>Gregorio D Artieda</t>
  </si>
  <si>
    <t>CARPIO N. CAMITOC</t>
  </si>
  <si>
    <t>ERWIN A. ESPINAS</t>
  </si>
  <si>
    <t>Bryan Bayawa Maraon</t>
  </si>
  <si>
    <t>ROSMENDO CARDINEZ BONGOCAN, JR.</t>
  </si>
  <si>
    <t>Jocelle Anne Inza Cruz Laus</t>
  </si>
  <si>
    <t>DEBBIE HERRAS ESCURO</t>
  </si>
  <si>
    <t>ELEANOR YANTO CABANGON</t>
  </si>
  <si>
    <t>Sherl Dianne Soriano Estoque</t>
  </si>
  <si>
    <t>IMELDA RIVAS TABILLA</t>
  </si>
  <si>
    <t>Jovit  Villareal</t>
  </si>
  <si>
    <t>Roy Ian A Resplandor</t>
  </si>
  <si>
    <t>Ma. Teresita Salvoza Quejada</t>
  </si>
  <si>
    <t>LORENZO CAMBRONERO CALUCAB</t>
  </si>
  <si>
    <t>Nora Pinkihan Linglingon</t>
  </si>
  <si>
    <t>Jhuna C. Casillano</t>
  </si>
  <si>
    <t>Mryna Lumbreras</t>
  </si>
  <si>
    <t>Lourdes Pretencio Peñaflor</t>
  </si>
  <si>
    <t>Agravante B Rodrigo</t>
  </si>
  <si>
    <t>Reynaldo dela Cruz Monreal</t>
  </si>
  <si>
    <t>Consolacion Aquino</t>
  </si>
  <si>
    <t>Carol Zulueta Ramos</t>
  </si>
  <si>
    <t>HILARIO, JR. NAGUIT MALIWAT</t>
  </si>
  <si>
    <t>Roda Tunacao Casinillo</t>
  </si>
  <si>
    <t>Rodel Gullon Chavez</t>
  </si>
  <si>
    <t>Rhonna Regina  Puno</t>
  </si>
  <si>
    <t>Petronio  C.  Tolentino</t>
  </si>
  <si>
    <t>Ambrocio Zapata Azares</t>
  </si>
  <si>
    <t>Ma. Fe T Cayao</t>
  </si>
  <si>
    <t>GENELYN BUMILTAC</t>
  </si>
  <si>
    <t>Emma Linda Impang Arano</t>
  </si>
  <si>
    <t>Cherry Rafael Perez</t>
  </si>
  <si>
    <t>Aniceta Ganade Omapas</t>
  </si>
  <si>
    <t>Edgardo G Pamute</t>
  </si>
  <si>
    <t>KRISTINE AMECHACHURRA HONTIVEROS</t>
  </si>
  <si>
    <t>Pablo, Jr. M Magpily</t>
  </si>
  <si>
    <t>Christopher Bataller Villafria</t>
  </si>
  <si>
    <t>Leonardo Duran Recabo</t>
  </si>
  <si>
    <t>Rene Sobremonte</t>
  </si>
  <si>
    <t>EDGARDO A. VALDEZ</t>
  </si>
  <si>
    <t>Edna Egina Mazon</t>
  </si>
  <si>
    <t>JOSEPH A. BUNAN</t>
  </si>
  <si>
    <t>Edmar Pascua</t>
  </si>
  <si>
    <t>Linalyn Tolentino - Cueto</t>
  </si>
  <si>
    <t>SHEILAKIM M LUMABI</t>
  </si>
  <si>
    <t>Illuminada N Saburao</t>
  </si>
  <si>
    <t>Manuel T Barit</t>
  </si>
  <si>
    <t>Janine S. Zarate</t>
  </si>
  <si>
    <t>Montano R. Saborrido</t>
  </si>
  <si>
    <t>Leandro Antonio Bebita Capulso</t>
  </si>
  <si>
    <t>THEODORE MAZO ROJAS</t>
  </si>
  <si>
    <t>Vina Ventura Temanel</t>
  </si>
  <si>
    <t>Corazon Belleza Rivera</t>
  </si>
  <si>
    <t>Marinelle Marquez Rubico</t>
  </si>
  <si>
    <t>NANCY INAMAC UNIDAD</t>
  </si>
  <si>
    <t>George C. Benguinwa</t>
  </si>
  <si>
    <t>Ma. Vicenta To Malana</t>
  </si>
  <si>
    <t>Rodolfo Bitaga Gaboten</t>
  </si>
  <si>
    <t>Nora C. Pangilinan</t>
  </si>
  <si>
    <t>Mark Joseph Pitpit Dilan</t>
  </si>
  <si>
    <t>JENISA FUENTES BADILLA</t>
  </si>
  <si>
    <t>Agripina F Ceremones</t>
  </si>
  <si>
    <t>Irwin M Fonbuena</t>
  </si>
  <si>
    <t>JUANITO C. VALONES</t>
  </si>
  <si>
    <t>JESSON NIALA LABRADOR</t>
  </si>
  <si>
    <t>KRISTAL GAYLE G. PATNON</t>
  </si>
  <si>
    <t>MAR LOUIE V SALCEDO</t>
  </si>
  <si>
    <t>Felipe Listones Cabatana</t>
  </si>
  <si>
    <t>Mary Grace Liwag Capisonda</t>
  </si>
  <si>
    <t>Jerome Galaura Crudo</t>
  </si>
  <si>
    <t>Leomar Bayod Balod</t>
  </si>
  <si>
    <t>Gladys Bacwaden</t>
  </si>
  <si>
    <t>Allan Tafalla Orbita</t>
  </si>
  <si>
    <t>Kreenzel Joy Pagaduan</t>
  </si>
  <si>
    <t>Feoridin Jason Lazaga Elumbaring</t>
  </si>
  <si>
    <t>Judith Nobleza Delanda</t>
  </si>
  <si>
    <t>Ernani B. Añonuevo</t>
  </si>
  <si>
    <t>Mariel Nene Anghag</t>
  </si>
  <si>
    <t>FE C. NAHUMAN</t>
  </si>
  <si>
    <t>Prescilla Villar Libunao</t>
  </si>
  <si>
    <t>Maria Rosario Carranza Serrano</t>
  </si>
  <si>
    <t>Mary Ann A. Lazo</t>
  </si>
  <si>
    <t>Leah Magtanong</t>
  </si>
  <si>
    <t>Mary Grace Sta. Elena</t>
  </si>
  <si>
    <t>RUEL M. CURTOM</t>
  </si>
  <si>
    <t>Jose Mario C Viernes</t>
  </si>
  <si>
    <t>ELIZABETH TRINIDAD BELLO</t>
  </si>
  <si>
    <t>EYMARD CAPERIÑA ANGULO</t>
  </si>
  <si>
    <t>Bayani  Villanueva</t>
  </si>
  <si>
    <t>ABDULLAH GUYO ARAGON</t>
  </si>
  <si>
    <t>Mary Jofel C Santelices</t>
  </si>
  <si>
    <t>Arturo Casuela Dalumpines</t>
  </si>
  <si>
    <t>Sandy Kenneth C Ramonal</t>
  </si>
  <si>
    <t>Jan Carlo Bucayan Palugod</t>
  </si>
  <si>
    <t>Rose Andrea V. Milaor</t>
  </si>
  <si>
    <t>Maria Charisma Ferrer Lorenzo</t>
  </si>
  <si>
    <t>Carmelita S. Ramos</t>
  </si>
  <si>
    <t>Edison C Gascon</t>
  </si>
  <si>
    <t>Necerio Lazarte</t>
  </si>
  <si>
    <t>EDUARDO EBANA JAQUILMAC</t>
  </si>
  <si>
    <t>FELIX D. BANGCARAN</t>
  </si>
  <si>
    <t>LERMA TERONES RECILLO</t>
  </si>
  <si>
    <t>Russ N Billedo</t>
  </si>
  <si>
    <t>SHERLITA ARIÑO PALMA</t>
  </si>
  <si>
    <t>JOEL T. BEHIS</t>
  </si>
  <si>
    <t>DEMIA BILLONES DELORIA</t>
  </si>
  <si>
    <t>Narissa B Dado</t>
  </si>
  <si>
    <t>Rommel Aristotle Paraiso Varias</t>
  </si>
  <si>
    <t>Mamutur D Cariga</t>
  </si>
  <si>
    <t>Amadeo Jr. Ong Tan</t>
  </si>
  <si>
    <t>RACHELLE ALANO CRON</t>
  </si>
  <si>
    <t>marilou into cabeguin</t>
  </si>
  <si>
    <t>Licerio Camacho Patingo</t>
  </si>
  <si>
    <t>JAKE CYRIL N. SOLITE</t>
  </si>
  <si>
    <t>Al Rasheed Olivo Sapto</t>
  </si>
  <si>
    <t>Nehemia Pomeg-as</t>
  </si>
  <si>
    <t>Aurora Batoctoy</t>
  </si>
  <si>
    <t>Edwin Anchos Divina</t>
  </si>
  <si>
    <t>Gregorio Mamon Nobleza</t>
  </si>
  <si>
    <t>Joseph  Mangco  Soriano</t>
  </si>
  <si>
    <t>Mobarak Patungcal Pandi</t>
  </si>
  <si>
    <t>ADRIAN B. AMPONG</t>
  </si>
  <si>
    <t>ARLYN TABARRA</t>
  </si>
  <si>
    <t>Laica Datu Nayre</t>
  </si>
  <si>
    <t>Melanie Sergio Pili</t>
  </si>
  <si>
    <t>Rojedy Arroyo Castro</t>
  </si>
  <si>
    <t>Mokamad Musa Solaiman</t>
  </si>
  <si>
    <t>Ma. Erlin S. Mesias</t>
  </si>
  <si>
    <t>MARICRIS G. DIAZ</t>
  </si>
  <si>
    <t>Aida Abolais Macabinta</t>
  </si>
  <si>
    <t>Jessie Canama Paquibo</t>
  </si>
  <si>
    <t>Necil Gavela Aniñon</t>
  </si>
  <si>
    <t>Khristine Aquino Balagtas</t>
  </si>
  <si>
    <t>Jonas O. Berto</t>
  </si>
  <si>
    <t>Marnie O. Credo</t>
  </si>
  <si>
    <t>Mariza O Nallana</t>
  </si>
  <si>
    <t>Jesus Aggalot Rivera</t>
  </si>
  <si>
    <t>RONALD CAMBAREJAN SUMALINDAO</t>
  </si>
  <si>
    <t>Noriel G. Sanson</t>
  </si>
  <si>
    <t>Kenneth Medrano Ogbac</t>
  </si>
  <si>
    <t>ALEX ROMMEL VELARDE ROMANO</t>
  </si>
  <si>
    <t>EDSON III CASTRO TANDOC</t>
  </si>
  <si>
    <t>Glenn Centino Quinto</t>
  </si>
  <si>
    <t>Adelaida Tosing Diega</t>
  </si>
  <si>
    <t>Maximo H Salvatierra</t>
  </si>
  <si>
    <t>Triumpo Jr Neypes Cantillo</t>
  </si>
  <si>
    <t>Dolores Carig Tendero</t>
  </si>
  <si>
    <t>Edelina Baruso Espejo</t>
  </si>
  <si>
    <t>LOUIS SAGRADO BOLLOZOS</t>
  </si>
  <si>
    <t>Napoleon C Bascon</t>
  </si>
  <si>
    <t>Winilyn Nipales De Leon</t>
  </si>
  <si>
    <t>Baimona Batugan Macabago</t>
  </si>
  <si>
    <t>Rochelle Marie Pajarillo Bondad</t>
  </si>
  <si>
    <t>CIRILO BAUI AZURIN</t>
  </si>
  <si>
    <t>MARY GRACE BUCASAS OPON</t>
  </si>
  <si>
    <t>Glen Mary Fiecas Sim</t>
  </si>
  <si>
    <t>DELIA MACAYAN MERCADO</t>
  </si>
  <si>
    <t>Florante O. Enriquez</t>
  </si>
  <si>
    <t>Danny Fernandez Cadalso</t>
  </si>
  <si>
    <t>Rafael J Oreta</t>
  </si>
  <si>
    <t>Ma. Corazon V. Tadena</t>
  </si>
  <si>
    <t>Ivan Harold S Requiron</t>
  </si>
  <si>
    <t>Niño Azague Aballa</t>
  </si>
  <si>
    <t>gemma pugong Luglug</t>
  </si>
  <si>
    <t>Leonora Lumayag Ofredo</t>
  </si>
  <si>
    <t>Teresita Correa Faustino</t>
  </si>
  <si>
    <t>Wenefredo Jabay</t>
  </si>
  <si>
    <t>ALONA AGAS ASUNCION</t>
  </si>
  <si>
    <t>RONILO INTERO LAO</t>
  </si>
  <si>
    <t>Gemma Pugong Luglug</t>
  </si>
  <si>
    <t>JULIET BARING MONTEBON</t>
  </si>
  <si>
    <t>Alfredo L. Icalina</t>
  </si>
  <si>
    <t>miguel cosep baya</t>
  </si>
  <si>
    <t>Charlene P. Alonzo</t>
  </si>
  <si>
    <t>Albert Donato Martin</t>
  </si>
  <si>
    <t>Raygen P Sarno</t>
  </si>
  <si>
    <t>Cherie Gil Golong Tagana</t>
  </si>
  <si>
    <t>Aida Oarde Navarra</t>
  </si>
  <si>
    <t>Arsenia Morcoso Ordiales</t>
  </si>
  <si>
    <t>LORETA CAYABYAB MARIÑAS</t>
  </si>
  <si>
    <t>SSUPT LEONIDA G ROSALES</t>
  </si>
  <si>
    <t>Monalisa Jabonero Cuna</t>
  </si>
  <si>
    <t>Alfonso R Zara III</t>
  </si>
  <si>
    <t>Liza F Cariño</t>
  </si>
  <si>
    <t>SHANEE BALSOMO LASPIÑAS</t>
  </si>
  <si>
    <t>Karen Lisette Trinidad Molas</t>
  </si>
  <si>
    <t>Eloida L Samonte</t>
  </si>
  <si>
    <t>Fidencio Cañete Paranas Jr.</t>
  </si>
  <si>
    <t>Joycel Moncog Glori</t>
  </si>
  <si>
    <t>Helen M. Duran</t>
  </si>
  <si>
    <t>Philip P. Garcia</t>
  </si>
  <si>
    <t>Rosana Tee Rogando</t>
  </si>
  <si>
    <t>Carol S Coloma</t>
  </si>
  <si>
    <t>ALEX A. MERLIN</t>
  </si>
  <si>
    <t>Sherry P Villanueva</t>
  </si>
  <si>
    <t>Elizabeth Maligsa Molde</t>
  </si>
  <si>
    <t>SEAN ARCE ELAD</t>
  </si>
  <si>
    <t>Anna Mae Voloso Acopio</t>
  </si>
  <si>
    <t>EDELYN JIMENEZ IGLESIA</t>
  </si>
  <si>
    <t>JOHN REFUERZO PILOT</t>
  </si>
  <si>
    <t>Robert D Tamayo</t>
  </si>
  <si>
    <t>Mar Louie Valenzuela Salcedo</t>
  </si>
  <si>
    <t>MA. ANTONIA GATIL RAFALES</t>
  </si>
  <si>
    <t>Jaime S.J. Javellana</t>
  </si>
  <si>
    <t>Rosalie  Demontaño De Justo</t>
  </si>
  <si>
    <t>Larney F. Marasigan</t>
  </si>
  <si>
    <t>Nydia R. Magallon</t>
  </si>
  <si>
    <t>Liza Labog Enicola</t>
  </si>
  <si>
    <t>Sergio Martinez Brillantes</t>
  </si>
  <si>
    <t>Christian Noel D. Castillo</t>
  </si>
  <si>
    <t>Lorny Lizander Jesura Sanico</t>
  </si>
  <si>
    <t>Ariel Siano Ferrando</t>
  </si>
  <si>
    <t>Anabel Bantiad Velasco</t>
  </si>
  <si>
    <t>RUPERTO BATO YCO</t>
  </si>
  <si>
    <t>Virgilio Bullen Damasing</t>
  </si>
  <si>
    <t>Francisco Romy Chua Milado</t>
  </si>
  <si>
    <t>Teodoro Alo Jabahab</t>
  </si>
  <si>
    <t>DOWIE JOY RODIS</t>
  </si>
  <si>
    <t>Letecia D. Ragasa</t>
  </si>
  <si>
    <t>Engr. MARINA Y. ARCENAL</t>
  </si>
  <si>
    <t>Mary Melisande Jamoyot Andaya</t>
  </si>
  <si>
    <t>Dexter Jaime Quinan Cua</t>
  </si>
  <si>
    <t>Rodrigo S Baid</t>
  </si>
  <si>
    <t>Margarito Perez Dimailig</t>
  </si>
  <si>
    <t>juan sales daquioag</t>
  </si>
  <si>
    <t>Ridzkan A Hamie</t>
  </si>
  <si>
    <t>Ronnie B. Alarte</t>
  </si>
  <si>
    <t>DAISY R. BABAAN</t>
  </si>
  <si>
    <t>Wilfredo U. Salvador</t>
  </si>
  <si>
    <t>MARK WILLIAM BIGORNIA OSANA</t>
  </si>
  <si>
    <t>Marlon G. Maravilla</t>
  </si>
  <si>
    <t>Amelyn Quinio Martinez</t>
  </si>
  <si>
    <t>Procopio Jr. Comendador Rule</t>
  </si>
  <si>
    <t>Reinerio Boglosa</t>
  </si>
  <si>
    <t>Thea Joy Tabanao Conrada</t>
  </si>
  <si>
    <t>Marissa D Guadez</t>
  </si>
  <si>
    <t>Janet Mejia Washio</t>
  </si>
  <si>
    <t>Jacquelyn  Tanguilan  Orias</t>
  </si>
  <si>
    <t>Bernadette Sanchez Ragay</t>
  </si>
  <si>
    <t>Hazel G Solis</t>
  </si>
  <si>
    <t>JENELYN DALANGIN</t>
  </si>
  <si>
    <t>Cheenne Grace Luha Dela Peña</t>
  </si>
  <si>
    <t>Lou Wendell C San Jose</t>
  </si>
  <si>
    <t>ROWENA  VILLALUZ  RAMOS</t>
  </si>
  <si>
    <t>Elmerante Montero Pacsa</t>
  </si>
  <si>
    <t>Ruben Roxas Cauilan</t>
  </si>
  <si>
    <t>Allan  O.  Logarta</t>
  </si>
  <si>
    <t>Arlie Gonzales Villaruel</t>
  </si>
  <si>
    <t>Realyn Mae Bonilla Bernas</t>
  </si>
  <si>
    <t>Romelyn G. Estares</t>
  </si>
  <si>
    <t>Evelyn Fabular Arribal</t>
  </si>
  <si>
    <t>Atila S. Barre</t>
  </si>
  <si>
    <t>Arlene Salongcay</t>
  </si>
  <si>
    <t>Lynnette L. Vanzuela</t>
  </si>
  <si>
    <t>GREGORIO TURQUEZA</t>
  </si>
  <si>
    <t>Arlu Awacay Jucal</t>
  </si>
  <si>
    <t>Norielle Ann P. Vergara</t>
  </si>
  <si>
    <t>Carlo Niel P. Barangtay</t>
  </si>
  <si>
    <t>RUBY H. CANLAS</t>
  </si>
  <si>
    <t>Randolf B.  Dimal</t>
  </si>
  <si>
    <t>Conrado Bandoquillo Ragay</t>
  </si>
  <si>
    <t>Alma Bella Mater Gilo</t>
  </si>
  <si>
    <t>Cecilia E. Taguiam</t>
  </si>
  <si>
    <t>Maria Lourdes Atanacio Angeles</t>
  </si>
  <si>
    <t>Cayylord D. Niala</t>
  </si>
  <si>
    <t>Debbie A Rabi</t>
  </si>
  <si>
    <t>ANDREA JUNE G ALFAJARO</t>
  </si>
  <si>
    <t>Melanie Claire Pasion Singzon</t>
  </si>
  <si>
    <t>Jannette Rojas Raganit</t>
  </si>
  <si>
    <t>Ianna May Miralles</t>
  </si>
  <si>
    <t>Niño G. Mascareñas</t>
  </si>
  <si>
    <t>Miguel Sequio Gallego</t>
  </si>
  <si>
    <t>Jenelyn Drilon Lazare</t>
  </si>
  <si>
    <t>MARIA ELINOR F. HEMEDES</t>
  </si>
  <si>
    <t>MA. CATHERINA MENDOZA APOSTOL</t>
  </si>
  <si>
    <t>Cholie M. Roble</t>
  </si>
  <si>
    <t>MA. GINA LABASTIDA LESACA</t>
  </si>
  <si>
    <t>Christian George Bantilan Pal-ing</t>
  </si>
  <si>
    <t>Helen  Senosa  Esperancilla</t>
  </si>
  <si>
    <t>Rommel R Oira</t>
  </si>
  <si>
    <t>France Josephine Camua Bautista</t>
  </si>
  <si>
    <t>Rhea Valmadrid</t>
  </si>
  <si>
    <t>Daniel Mundo Orong</t>
  </si>
  <si>
    <t>Toni Rose E. Unciano</t>
  </si>
  <si>
    <t>Noelle Grace Bandonill Rillon</t>
  </si>
  <si>
    <t>Ruben P. Salac Jr.</t>
  </si>
  <si>
    <t>Jaybee Punzalan</t>
  </si>
  <si>
    <t>Flordelis Ceniza</t>
  </si>
  <si>
    <t>Vicente B. Calag</t>
  </si>
  <si>
    <t>Minrad Quinto Tigno</t>
  </si>
  <si>
    <t>Charlotte R. Zacarias</t>
  </si>
  <si>
    <t>Jessica R. Narit/ Julia Marie L. Abarca/ Erwin S. Aban</t>
  </si>
  <si>
    <t>Stephen Eric G. Castrodes</t>
  </si>
  <si>
    <t>ALEX HILARIO BALAAN</t>
  </si>
  <si>
    <t>MERLOBEL O. NAVALES</t>
  </si>
  <si>
    <t>Sunshine Rhina R Caunin</t>
  </si>
  <si>
    <t>DARA AUREA HENRIETTA A. VILLALOBOS</t>
  </si>
  <si>
    <t>Rosella Alojado Villegas</t>
  </si>
  <si>
    <t>Anna Michelle Icasiano Africa</t>
  </si>
  <si>
    <t>Erwin Carlos Cruz</t>
  </si>
  <si>
    <t>SIEGFREDO L. LOPEZ</t>
  </si>
  <si>
    <t>Loraine Del Rosario Delos Reyes</t>
  </si>
  <si>
    <t>Edna C. Padayao</t>
  </si>
  <si>
    <t>Gloria Alberto</t>
  </si>
  <si>
    <t>ROBERT C. MAMUYAC</t>
  </si>
  <si>
    <t>CARLOMAGNO DACQUEL ANIES</t>
  </si>
  <si>
    <t>Chona Lou C Fulinara</t>
  </si>
  <si>
    <t>LUZ  CUDAl DURANO</t>
  </si>
  <si>
    <t>HENRY B CALUDUCAN</t>
  </si>
  <si>
    <t>John Jose T Tabligan</t>
  </si>
  <si>
    <t>Cheldonne Prince Einreb Marquez</t>
  </si>
  <si>
    <t>Theresa Legaspi</t>
  </si>
  <si>
    <t>Joshua Mari Jareño</t>
  </si>
  <si>
    <t>Ma. Stineli B Magdadaro</t>
  </si>
  <si>
    <t>Allan  Carpiso</t>
  </si>
  <si>
    <t>Jessica Diokno Santos</t>
  </si>
  <si>
    <t>MICHELLE ZAMAR LIM</t>
  </si>
  <si>
    <t>Maita Marasigan Lazares</t>
  </si>
  <si>
    <t>Editha P. Conejos</t>
  </si>
  <si>
    <t>Jose F. Ycay IV</t>
  </si>
  <si>
    <t>Rodrigo Aquino Mangayao</t>
  </si>
  <si>
    <t>AIMER BARTOLOME CRUZ</t>
  </si>
  <si>
    <t>Sonny T. Villabert</t>
  </si>
  <si>
    <t>Darlene Sevilla Esmero</t>
  </si>
  <si>
    <t>Marlo L Gonzales</t>
  </si>
  <si>
    <t>Mayette Casaysayan</t>
  </si>
  <si>
    <t>Julita A. Santos</t>
  </si>
  <si>
    <t>REYLLAND EBALLE RENDAL</t>
  </si>
  <si>
    <t>Rhea G Aquino</t>
  </si>
  <si>
    <t>Francis Ian L Tan</t>
  </si>
  <si>
    <t>Ian Herodito Sy Gutierrez</t>
  </si>
  <si>
    <t>Lord Kristan Atienza Logmao</t>
  </si>
  <si>
    <t>Maureen P. Camilo</t>
  </si>
  <si>
    <t>Judith Domingo Unson</t>
  </si>
  <si>
    <t>Maria Lourdes E. Dwiggins</t>
  </si>
  <si>
    <t>Angelica B. Acoba</t>
  </si>
  <si>
    <t>Maria Donabella Atienza Tavora</t>
  </si>
  <si>
    <t>Myles M Sayre</t>
  </si>
  <si>
    <t>Marvin Jay R. Hapin</t>
  </si>
  <si>
    <t>CINSP JERICKSON PATRIARCA MIRAFLOR</t>
  </si>
  <si>
    <t>JULIUS B. UNDAR</t>
  </si>
  <si>
    <t>Rowena R. Roseos</t>
  </si>
  <si>
    <t>JACLYNN  A. Alvarado</t>
  </si>
  <si>
    <t>COMELEC Bids and Awards Committee</t>
  </si>
  <si>
    <t>Czarina Fe R. Sales R. Sales</t>
  </si>
  <si>
    <t>Jowie David Del Rosario</t>
  </si>
  <si>
    <t>Jimcel O. Besa</t>
  </si>
  <si>
    <t>Roderick I. Mendoza</t>
  </si>
  <si>
    <t>ROSEMARIE A. LARA</t>
  </si>
  <si>
    <t>ATHESA LASTIMOSA BAS</t>
  </si>
  <si>
    <t>Sheryll Quilloy Despues</t>
  </si>
  <si>
    <t>Noel  Alcabaza</t>
  </si>
  <si>
    <t>VERMEL GUEVARRA REYES</t>
  </si>
  <si>
    <t>Celestial Galivo Alag</t>
  </si>
  <si>
    <t>Clarence B Rimando</t>
  </si>
  <si>
    <t>Renz Michael Pabrua Salaguban</t>
  </si>
  <si>
    <t>Angelito Leccio Estrada</t>
  </si>
  <si>
    <t>Clifford Dofitas Hamoy</t>
  </si>
  <si>
    <t>Ray-Ann Sorilla</t>
  </si>
  <si>
    <t>Active</t>
  </si>
  <si>
    <t>Order</t>
  </si>
  <si>
    <t>16/06/2020</t>
  </si>
  <si>
    <t>15/06/2020</t>
  </si>
  <si>
    <t>14/06/2020</t>
  </si>
  <si>
    <t>13/06/2020</t>
  </si>
  <si>
    <t>12/06/2020</t>
  </si>
  <si>
    <t>11/06/2020</t>
  </si>
  <si>
    <t>10/06/2020</t>
  </si>
  <si>
    <t>09/06/2020</t>
  </si>
  <si>
    <t>08/06/2020</t>
  </si>
  <si>
    <t>07/06/2020</t>
  </si>
  <si>
    <t>06/06/2020</t>
  </si>
  <si>
    <t>05/06/2020</t>
  </si>
  <si>
    <t>04/06/2020</t>
  </si>
  <si>
    <t>03/06/2020</t>
  </si>
  <si>
    <t>02/06/2020</t>
  </si>
  <si>
    <t>01/06/2020</t>
  </si>
  <si>
    <t>31/05/2020</t>
  </si>
  <si>
    <t>30/05/2020</t>
  </si>
  <si>
    <t>29/05/2020</t>
  </si>
  <si>
    <t>28/05/2020</t>
  </si>
  <si>
    <t>27/05/2020</t>
  </si>
  <si>
    <t>26/05/2020</t>
  </si>
  <si>
    <t>25/05/2020</t>
  </si>
  <si>
    <t>23/05/2020</t>
  </si>
  <si>
    <t>24/05/2020</t>
  </si>
  <si>
    <t>22/05/2020</t>
  </si>
  <si>
    <t>21/05/2020</t>
  </si>
  <si>
    <t>20/05/2020</t>
  </si>
  <si>
    <t>19/05/2020</t>
  </si>
  <si>
    <t>15/05/2020</t>
  </si>
  <si>
    <t>16/05/2020</t>
  </si>
  <si>
    <t>18/05/2020</t>
  </si>
  <si>
    <t>14/05/2020</t>
  </si>
  <si>
    <t>13/05/2020</t>
  </si>
  <si>
    <t>12/05/2020</t>
  </si>
  <si>
    <t>11/05/2020</t>
  </si>
  <si>
    <t>07/05/2020</t>
  </si>
  <si>
    <t>08/05/2020</t>
  </si>
  <si>
    <t>09/05/2020</t>
  </si>
  <si>
    <t>01/05/2020</t>
  </si>
  <si>
    <t>30/04/2020</t>
  </si>
  <si>
    <t>05/05/2020</t>
  </si>
  <si>
    <t>06/05/2020</t>
  </si>
  <si>
    <t>29/04/2020</t>
  </si>
  <si>
    <t>28/04/2020</t>
  </si>
  <si>
    <t>27/04/2020</t>
  </si>
  <si>
    <t>24/04/2020</t>
  </si>
  <si>
    <t>23/04/2020</t>
  </si>
  <si>
    <t>22/04/2020</t>
  </si>
  <si>
    <t>17/04/2020</t>
  </si>
  <si>
    <t>14/04/2020</t>
  </si>
  <si>
    <t>13/04/2020</t>
  </si>
  <si>
    <t>15/04/2020</t>
  </si>
  <si>
    <t>16/04/2020</t>
  </si>
  <si>
    <t>09/04/2020</t>
  </si>
  <si>
    <t>07/04/2020</t>
  </si>
  <si>
    <t>01/04/2020</t>
  </si>
  <si>
    <t>31/03/2020</t>
  </si>
  <si>
    <t>02/04/2020</t>
  </si>
  <si>
    <t>05/04/2020</t>
  </si>
  <si>
    <t>27/03/2020</t>
  </si>
  <si>
    <t>06/04/2020</t>
  </si>
  <si>
    <t>26/03/2020</t>
  </si>
  <si>
    <t>30/03/2020</t>
  </si>
  <si>
    <t>25/03/2020</t>
  </si>
  <si>
    <t>20/03/2020</t>
  </si>
  <si>
    <t>23/03/2020</t>
  </si>
  <si>
    <t>24/03/2020</t>
  </si>
  <si>
    <t>18/03/2020</t>
  </si>
  <si>
    <t>19/03/2020</t>
  </si>
  <si>
    <t>17/03/2020</t>
  </si>
  <si>
    <t>16/03/2020</t>
  </si>
  <si>
    <t>14/03/2020</t>
  </si>
  <si>
    <t>13/03/2020</t>
  </si>
  <si>
    <t>12/03/2020</t>
  </si>
  <si>
    <t>11/03/2020</t>
  </si>
  <si>
    <t>10/03/2020</t>
  </si>
  <si>
    <t>09/03/2020</t>
  </si>
  <si>
    <t>08/03/2020</t>
  </si>
  <si>
    <t>07/03/2020</t>
  </si>
  <si>
    <t>06/03/2020</t>
  </si>
  <si>
    <t>05/03/2020</t>
  </si>
  <si>
    <t>04/03/2020</t>
  </si>
  <si>
    <t>03/03/2020</t>
  </si>
  <si>
    <t>02/03/2020</t>
  </si>
  <si>
    <t>29/02/2020</t>
  </si>
  <si>
    <t>28/02/2020</t>
  </si>
  <si>
    <t>27/02/2020</t>
  </si>
  <si>
    <t>26/02/2020</t>
  </si>
  <si>
    <t>25/02/2020</t>
  </si>
  <si>
    <t>24/02/2020</t>
  </si>
  <si>
    <t>22/02/2020</t>
  </si>
  <si>
    <t>21/02/2020</t>
  </si>
  <si>
    <t>20/02/2020</t>
  </si>
  <si>
    <t>19/02/2020</t>
  </si>
  <si>
    <t>17/02/2020</t>
  </si>
  <si>
    <t>18/02/2020</t>
  </si>
  <si>
    <t>15/02/2020</t>
  </si>
  <si>
    <t>14/02/2020</t>
  </si>
  <si>
    <t>10/02/2020</t>
  </si>
  <si>
    <t>07/02/2020</t>
  </si>
  <si>
    <t>11/02/2020</t>
  </si>
  <si>
    <t>12/02/2020</t>
  </si>
  <si>
    <t>03/02/2020</t>
  </si>
  <si>
    <t>06/02/2020</t>
  </si>
  <si>
    <t>13/02/2020</t>
  </si>
  <si>
    <t>01/02/2020</t>
  </si>
  <si>
    <t>28/01/2020</t>
  </si>
  <si>
    <t>29/01/2020</t>
  </si>
  <si>
    <t>30/01/2020</t>
  </si>
  <si>
    <t>31/01/2020</t>
  </si>
  <si>
    <t>24/01/2020</t>
  </si>
  <si>
    <t>21/01/2020</t>
  </si>
  <si>
    <t>28/11/2019</t>
  </si>
  <si>
    <t>13/12/2019</t>
  </si>
  <si>
    <t>08/02/2019</t>
  </si>
  <si>
    <t>08/01/2020</t>
  </si>
  <si>
    <t>23/10/2019</t>
  </si>
  <si>
    <t>06/12/2019</t>
  </si>
  <si>
    <t>13/01/2020</t>
  </si>
  <si>
    <t>16/01/2020</t>
  </si>
  <si>
    <t>31/10/2019</t>
  </si>
  <si>
    <t>18/11/2019</t>
  </si>
  <si>
    <t>20/12/2019</t>
  </si>
  <si>
    <t>18/01/2020</t>
  </si>
  <si>
    <t>16/06/2020 12:00 AM</t>
  </si>
  <si>
    <t>15/06/2020 12:00 AM</t>
  </si>
  <si>
    <t>15/06/2020 9:45 AM</t>
  </si>
  <si>
    <t>15/06/2020 7:08 PM</t>
  </si>
  <si>
    <t>14/06/2020 12:00 AM</t>
  </si>
  <si>
    <t>15/06/2020 1:10 PM</t>
  </si>
  <si>
    <t>13/06/2020 12:00 AM</t>
  </si>
  <si>
    <t>15/06/2020 4:55 PM</t>
  </si>
  <si>
    <t>15/06/2020 7:47 AM</t>
  </si>
  <si>
    <t>12/06/2020 12:00 AM</t>
  </si>
  <si>
    <t>15/06/2020 2:18 PM</t>
  </si>
  <si>
    <t>14/06/2020 10:31 AM</t>
  </si>
  <si>
    <t>15/06/2020 4:46 PM</t>
  </si>
  <si>
    <t>15/06/2020 4:29 PM</t>
  </si>
  <si>
    <t>14/06/2020 12:08 AM</t>
  </si>
  <si>
    <t>15/06/2020 10:45 AM</t>
  </si>
  <si>
    <t>12/06/2020 12:13 PM</t>
  </si>
  <si>
    <t>12/06/2020 12:21 PM</t>
  </si>
  <si>
    <t>15/06/2020 1:26 PM</t>
  </si>
  <si>
    <t>12/06/2020 5:57 PM</t>
  </si>
  <si>
    <t>11/06/2020 12:00 AM</t>
  </si>
  <si>
    <t>11/06/2020 10:50 AM</t>
  </si>
  <si>
    <t>15/06/2020 9:13 AM</t>
  </si>
  <si>
    <t>15/06/2020 9:11 AM</t>
  </si>
  <si>
    <t>15/06/2020 9:17 AM</t>
  </si>
  <si>
    <t>15/06/2020 9:16 AM</t>
  </si>
  <si>
    <t>15/06/2020 9:15 AM</t>
  </si>
  <si>
    <t>15/06/2020 9:21 AM</t>
  </si>
  <si>
    <t>15/06/2020 9:26 AM</t>
  </si>
  <si>
    <t>15/06/2020 9:32 AM</t>
  </si>
  <si>
    <t>15/06/2020 4:21 PM</t>
  </si>
  <si>
    <t>11/06/2020 9:11 AM</t>
  </si>
  <si>
    <t>11/06/2020 2:32 PM</t>
  </si>
  <si>
    <t>11/06/2020 8:24 AM</t>
  </si>
  <si>
    <t>11/06/2020 8:29 AM</t>
  </si>
  <si>
    <t>11/06/2020 10:31 AM</t>
  </si>
  <si>
    <t>15/06/2020 1:41 PM</t>
  </si>
  <si>
    <t>15/06/2020 12:05 PM</t>
  </si>
  <si>
    <t>11/06/2020 1:00 PM</t>
  </si>
  <si>
    <t>11/06/2020 5:27 PM</t>
  </si>
  <si>
    <t>15/06/2020 2:03 PM</t>
  </si>
  <si>
    <t>15/06/2020 5:00 PM</t>
  </si>
  <si>
    <t>14/06/2020 2:48 AM</t>
  </si>
  <si>
    <t>11/06/2020 12:16 PM</t>
  </si>
  <si>
    <t>11/06/2020 4:38 PM</t>
  </si>
  <si>
    <t>15/06/2020 6:42 PM</t>
  </si>
  <si>
    <t>15/06/2020 3:16 PM</t>
  </si>
  <si>
    <t>11/06/2020 8:18 PM</t>
  </si>
  <si>
    <t>10/06/2020 12:00 AM</t>
  </si>
  <si>
    <t>15/06/2020 3:37 PM</t>
  </si>
  <si>
    <t>15/06/2020 4:28 PM</t>
  </si>
  <si>
    <t>10/06/2020 1:45 PM</t>
  </si>
  <si>
    <t>10/06/2020 8:26 AM</t>
  </si>
  <si>
    <t>10/06/2020 1:37 PM</t>
  </si>
  <si>
    <t>10/06/2020 11:44 AM</t>
  </si>
  <si>
    <t>11/06/2020 9:29 AM</t>
  </si>
  <si>
    <t>11/06/2020 10:43 AM</t>
  </si>
  <si>
    <t>11/06/2020 10:47 AM</t>
  </si>
  <si>
    <t>15/06/2020 5:33 PM</t>
  </si>
  <si>
    <t>11/06/2020 10:49 AM</t>
  </si>
  <si>
    <t>13/06/2020 11:22 PM</t>
  </si>
  <si>
    <t>15/06/2020 1:51 PM</t>
  </si>
  <si>
    <t>14/06/2020 2:44 AM</t>
  </si>
  <si>
    <t>15/06/2020 1:52 PM</t>
  </si>
  <si>
    <t>15/06/2020 1:53 PM</t>
  </si>
  <si>
    <t>15/06/2020 1:54 PM</t>
  </si>
  <si>
    <t>10/06/2020 3:29 PM</t>
  </si>
  <si>
    <t>15/06/2020 1:56 PM</t>
  </si>
  <si>
    <t>10/06/2020 3:32 PM</t>
  </si>
  <si>
    <t>10/06/2020 3:37 PM</t>
  </si>
  <si>
    <t>13/06/2020 1:11 PM</t>
  </si>
  <si>
    <t>11/06/2020 4:36 PM</t>
  </si>
  <si>
    <t>14/06/2020 2:30 AM</t>
  </si>
  <si>
    <t>11/06/2020 11:56 AM</t>
  </si>
  <si>
    <t>10/06/2020 4:22 PM</t>
  </si>
  <si>
    <t>15/06/2020 8:14 PM</t>
  </si>
  <si>
    <t>13/06/2020 1:03 PM</t>
  </si>
  <si>
    <t>15/06/2020 8:12 PM</t>
  </si>
  <si>
    <t>11/06/2020 4:30 PM</t>
  </si>
  <si>
    <t>10/06/2020 2:23 PM</t>
  </si>
  <si>
    <t>10/06/2020 1:52 PM</t>
  </si>
  <si>
    <t>11/06/2020 9:53 PM</t>
  </si>
  <si>
    <t>09/06/2020 12:00 AM</t>
  </si>
  <si>
    <t>10/06/2020 6:55 AM</t>
  </si>
  <si>
    <t>11/06/2020 11:12 AM</t>
  </si>
  <si>
    <t>11/06/2020 11:16 AM</t>
  </si>
  <si>
    <t>11/06/2020 11:19 AM</t>
  </si>
  <si>
    <t>11/06/2020 11:08 AM</t>
  </si>
  <si>
    <t>11/06/2020 11:17 AM</t>
  </si>
  <si>
    <t>09/06/2020 4:21 PM</t>
  </si>
  <si>
    <t>13/06/2020 11:06 PM</t>
  </si>
  <si>
    <t>13/06/2020 11:30 PM</t>
  </si>
  <si>
    <t>09/06/2020 4:28 PM</t>
  </si>
  <si>
    <t>09/06/2020 9:57 PM</t>
  </si>
  <si>
    <t>11/06/2020 3:05 PM</t>
  </si>
  <si>
    <t>15/06/2020 2:08 PM</t>
  </si>
  <si>
    <t>15/06/2020 2:09 PM</t>
  </si>
  <si>
    <t>15/06/2020 2:10 PM</t>
  </si>
  <si>
    <t>15/06/2020 2:16 PM</t>
  </si>
  <si>
    <t>15/06/2020 11:58 AM</t>
  </si>
  <si>
    <t>15/06/2020 2:17 PM</t>
  </si>
  <si>
    <t>15/06/2020 2:19 PM</t>
  </si>
  <si>
    <t>15/06/2020 2:46 PM</t>
  </si>
  <si>
    <t>15/06/2020 2:21 PM</t>
  </si>
  <si>
    <t>15/06/2020 2:30 PM</t>
  </si>
  <si>
    <t>09/06/2020 8:15 PM</t>
  </si>
  <si>
    <t>09/06/2020 8:17 PM</t>
  </si>
  <si>
    <t>09/06/2020 8:19 PM</t>
  </si>
  <si>
    <t>11/06/2020 2:20 PM</t>
  </si>
  <si>
    <t>09/06/2020 8:20 PM</t>
  </si>
  <si>
    <t>11/06/2020 10:42 AM</t>
  </si>
  <si>
    <t>11/06/2020 6:35 PM</t>
  </si>
  <si>
    <t>11/06/2020 11:06 AM</t>
  </si>
  <si>
    <t>11/06/2020 10:54 AM</t>
  </si>
  <si>
    <t>15/06/2020 4:57 PM</t>
  </si>
  <si>
    <t>15/06/2020 3:53 PM</t>
  </si>
  <si>
    <t>09/06/2020 2:06 PM</t>
  </si>
  <si>
    <t>10/06/2020 8:29 AM</t>
  </si>
  <si>
    <t>15/06/2020 10:49 AM</t>
  </si>
  <si>
    <t>10/06/2020 8:30 AM</t>
  </si>
  <si>
    <t>10/06/2020 4:43 PM</t>
  </si>
  <si>
    <t>09/06/2020 1:50 PM</t>
  </si>
  <si>
    <t>09/06/2020 5:54 PM</t>
  </si>
  <si>
    <t>11/06/2020 2:43 PM</t>
  </si>
  <si>
    <t>10/06/2020 3:38 PM</t>
  </si>
  <si>
    <t>10/06/2020 3:42 PM</t>
  </si>
  <si>
    <t>10/06/2020 3:40 PM</t>
  </si>
  <si>
    <t>10/06/2020 3:45 PM</t>
  </si>
  <si>
    <t>10/06/2020 3:43 PM</t>
  </si>
  <si>
    <t>15/06/2020 7:26 PM</t>
  </si>
  <si>
    <t>09/06/2020 9:27 AM</t>
  </si>
  <si>
    <t>08/06/2020 12:00 AM</t>
  </si>
  <si>
    <t>10/06/2020 5:40 PM</t>
  </si>
  <si>
    <t>10/06/2020 6:42 PM</t>
  </si>
  <si>
    <t>10/06/2020 6:11 PM</t>
  </si>
  <si>
    <t>08/06/2020 3:33 PM</t>
  </si>
  <si>
    <t>08/06/2020 3:34 PM</t>
  </si>
  <si>
    <t>08/06/2020 3:31 PM</t>
  </si>
  <si>
    <t>08/06/2020 3:29 PM</t>
  </si>
  <si>
    <t>08/06/2020 3:35 PM</t>
  </si>
  <si>
    <t>08/06/2020 3:30 PM</t>
  </si>
  <si>
    <t>08/06/2020 3:27 PM</t>
  </si>
  <si>
    <t>10/06/2020 9:34 AM</t>
  </si>
  <si>
    <t>15/06/2020 4:26 PM</t>
  </si>
  <si>
    <t>15/06/2020 3:27 PM</t>
  </si>
  <si>
    <t>15/06/2020 3:28 PM</t>
  </si>
  <si>
    <t>08/06/2020 1:49 PM</t>
  </si>
  <si>
    <t>15/06/2020 3:25 PM</t>
  </si>
  <si>
    <t>15/06/2020 3:29 PM</t>
  </si>
  <si>
    <t>15/06/2020 3:30 PM</t>
  </si>
  <si>
    <t>15/06/2020 3:31 PM</t>
  </si>
  <si>
    <t>10/06/2020 2:43 PM</t>
  </si>
  <si>
    <t>15/06/2020 1:07 PM</t>
  </si>
  <si>
    <t>10/06/2020 12:02 PM</t>
  </si>
  <si>
    <t>15/06/2020 11:07 AM</t>
  </si>
  <si>
    <t>12/06/2020 5:32 PM</t>
  </si>
  <si>
    <t>08/06/2020 1:38 PM</t>
  </si>
  <si>
    <t>07/06/2020 12:00 AM</t>
  </si>
  <si>
    <t>08/06/2020 1:43 PM</t>
  </si>
  <si>
    <t>11/06/2020 4:48 PM</t>
  </si>
  <si>
    <t>13/06/2020 8:04 AM</t>
  </si>
  <si>
    <t>15/06/2020 11:00 AM</t>
  </si>
  <si>
    <t>08/06/2020 9:05 AM</t>
  </si>
  <si>
    <t>12/06/2020 5:34 PM</t>
  </si>
  <si>
    <t>06/06/2020 12:00 AM</t>
  </si>
  <si>
    <t>12/06/2020 5:30 PM</t>
  </si>
  <si>
    <t>15/06/2020 5:45 PM</t>
  </si>
  <si>
    <t>08/06/2020 3:19 PM</t>
  </si>
  <si>
    <t>15/06/2020 3:42 PM</t>
  </si>
  <si>
    <t>10/06/2020 6:06 PM</t>
  </si>
  <si>
    <t>15/06/2020 4:01 PM</t>
  </si>
  <si>
    <t>10/06/2020 4:39 PM</t>
  </si>
  <si>
    <t>15/06/2020 4:08 PM</t>
  </si>
  <si>
    <t>15/06/2020 4:10 PM</t>
  </si>
  <si>
    <t>15/06/2020 4:11 PM</t>
  </si>
  <si>
    <t>15/06/2020 4:07 PM</t>
  </si>
  <si>
    <t>15/06/2020 4:04 PM</t>
  </si>
  <si>
    <t>15/06/2020 4:12 PM</t>
  </si>
  <si>
    <t>15/06/2020 4:19 PM</t>
  </si>
  <si>
    <t>15/06/2020 4:20 PM</t>
  </si>
  <si>
    <t>09/06/2020 1:51 PM</t>
  </si>
  <si>
    <t>15/06/2020 4:15 PM</t>
  </si>
  <si>
    <t>15/06/2020 4:13 PM</t>
  </si>
  <si>
    <t>15/06/2020 4:16 PM</t>
  </si>
  <si>
    <t>15/06/2020 4:23 PM</t>
  </si>
  <si>
    <t>15/06/2020 4:22 PM</t>
  </si>
  <si>
    <t>15/06/2020 4:24 PM</t>
  </si>
  <si>
    <t>08/06/2020 5:22 PM</t>
  </si>
  <si>
    <t>08/06/2020 3:11 PM</t>
  </si>
  <si>
    <t>08/06/2020 5:30 PM</t>
  </si>
  <si>
    <t>15/06/2020 9:40 PM</t>
  </si>
  <si>
    <t>11/06/2020 1:34 PM</t>
  </si>
  <si>
    <t>10/06/2020 9:38 AM</t>
  </si>
  <si>
    <t>12/06/2020 7:10 PM</t>
  </si>
  <si>
    <t>09/06/2020 10:59 AM</t>
  </si>
  <si>
    <t>09/06/2020 11:02 AM</t>
  </si>
  <si>
    <t>09/06/2020 11:01 AM</t>
  </si>
  <si>
    <t>11/06/2020 2:10 PM</t>
  </si>
  <si>
    <t>10/06/2020 1:33 PM</t>
  </si>
  <si>
    <t>11/06/2020 10:11 AM</t>
  </si>
  <si>
    <t>11/06/2020 10:09 AM</t>
  </si>
  <si>
    <t>11/06/2020 10:13 AM</t>
  </si>
  <si>
    <t>11/06/2020 11:31 AM</t>
  </si>
  <si>
    <t>15/06/2020 8:49 AM</t>
  </si>
  <si>
    <t>11/06/2020 11:29 AM</t>
  </si>
  <si>
    <t>11/06/2020 10:16 AM</t>
  </si>
  <si>
    <t>09/06/2020 7:14 PM</t>
  </si>
  <si>
    <t>11/06/2020 10:18 AM</t>
  </si>
  <si>
    <t>11/06/2020 10:32 AM</t>
  </si>
  <si>
    <t>11/06/2020 10:30 AM</t>
  </si>
  <si>
    <t>09/06/2020 12:50 PM</t>
  </si>
  <si>
    <t>11/06/2020 10:38 AM</t>
  </si>
  <si>
    <t>05/06/2020 12:00 AM</t>
  </si>
  <si>
    <t>10/06/2020 3:23 PM</t>
  </si>
  <si>
    <t>10/06/2020 2:56 PM</t>
  </si>
  <si>
    <t>09/06/2020 8:32 AM</t>
  </si>
  <si>
    <t>05/06/2020 2:54 PM</t>
  </si>
  <si>
    <t>09/06/2020 8:01 PM</t>
  </si>
  <si>
    <t>15/06/2020 4:31 PM</t>
  </si>
  <si>
    <t>11/06/2020 8:23 AM</t>
  </si>
  <si>
    <t>05/06/2020 3:38 PM</t>
  </si>
  <si>
    <t>10/06/2020 2:45 PM</t>
  </si>
  <si>
    <t>08/06/2020 11:58 AM</t>
  </si>
  <si>
    <t>15/06/2020 7:58 PM</t>
  </si>
  <si>
    <t>10/06/2020 12:59 PM</t>
  </si>
  <si>
    <t>11/06/2020 1:52 PM</t>
  </si>
  <si>
    <t>05/06/2020 12:27 PM</t>
  </si>
  <si>
    <t>05/06/2020 8:46 AM</t>
  </si>
  <si>
    <t>11/06/2020 4:07 PM</t>
  </si>
  <si>
    <t>11/06/2020 4:52 PM</t>
  </si>
  <si>
    <t>11/06/2020 4:04 PM</t>
  </si>
  <si>
    <t>11/06/2020 1:41 PM</t>
  </si>
  <si>
    <t>10/06/2020 11:12 AM</t>
  </si>
  <si>
    <t>11/06/2020 1:43 PM</t>
  </si>
  <si>
    <t>09/06/2020 9:26 AM</t>
  </si>
  <si>
    <t>08/06/2020 6:11 PM</t>
  </si>
  <si>
    <t>10/06/2020 8:47 AM</t>
  </si>
  <si>
    <t>11/06/2020 3:01 PM</t>
  </si>
  <si>
    <t>11/06/2020 3:09 PM</t>
  </si>
  <si>
    <t>15/06/2020 8:11 AM</t>
  </si>
  <si>
    <t>15/06/2020 8:08 AM</t>
  </si>
  <si>
    <t>15/06/2020 8:13 AM</t>
  </si>
  <si>
    <t>15/06/2020 8:10 AM</t>
  </si>
  <si>
    <t>10/06/2020 9:32 AM</t>
  </si>
  <si>
    <t>15/06/2020 8:12 AM</t>
  </si>
  <si>
    <t>11/06/2020 3:21 PM</t>
  </si>
  <si>
    <t>15/06/2020 8:07 AM</t>
  </si>
  <si>
    <t>10/06/2020 4:40 PM</t>
  </si>
  <si>
    <t>11/06/2020 3:25 PM</t>
  </si>
  <si>
    <t>11/06/2020 9:26 AM</t>
  </si>
  <si>
    <t>07/06/2020 2:42 PM</t>
  </si>
  <si>
    <t>11/06/2020 3:58 PM</t>
  </si>
  <si>
    <t>15/06/2020 5:47 PM</t>
  </si>
  <si>
    <t>15/06/2020 5:42 PM</t>
  </si>
  <si>
    <t>10/06/2020 8:13 PM</t>
  </si>
  <si>
    <t>10/06/2020 4:42 PM</t>
  </si>
  <si>
    <t>04/06/2020 12:00 AM</t>
  </si>
  <si>
    <t>11/06/2020 4:00 PM</t>
  </si>
  <si>
    <t>04/06/2020 11:10 AM</t>
  </si>
  <si>
    <t>04/06/2020 11:12 AM</t>
  </si>
  <si>
    <t>11/06/2020 4:03 PM</t>
  </si>
  <si>
    <t>04/06/2020 7:28 AM</t>
  </si>
  <si>
    <t>09/06/2020 3:31 PM</t>
  </si>
  <si>
    <t>04/06/2020 9:31 AM</t>
  </si>
  <si>
    <t>09/06/2020 3:34 PM</t>
  </si>
  <si>
    <t>09/06/2020 3:40 PM</t>
  </si>
  <si>
    <t>09/06/2020 3:46 PM</t>
  </si>
  <si>
    <t>09/06/2020 3:42 PM</t>
  </si>
  <si>
    <t>09/06/2020 3:37 PM</t>
  </si>
  <si>
    <t>09/06/2020 3:49 PM</t>
  </si>
  <si>
    <t>09/06/2020 3:35 PM</t>
  </si>
  <si>
    <t>09/06/2020 3:41 PM</t>
  </si>
  <si>
    <t>09/06/2020 3:53 PM</t>
  </si>
  <si>
    <t>09/06/2020 3:52 PM</t>
  </si>
  <si>
    <t>10/06/2020 8:34 AM</t>
  </si>
  <si>
    <t>09/06/2020 3:50 PM</t>
  </si>
  <si>
    <t>09/06/2020 3:51 PM</t>
  </si>
  <si>
    <t>09/06/2020 3:56 PM</t>
  </si>
  <si>
    <t>09/06/2020 3:55 PM</t>
  </si>
  <si>
    <t>09/06/2020 3:57 PM</t>
  </si>
  <si>
    <t>09/06/2020 1:53 PM</t>
  </si>
  <si>
    <t>15/06/2020 12:43 PM</t>
  </si>
  <si>
    <t>09/06/2020 10:50 AM</t>
  </si>
  <si>
    <t>12/06/2020 6:49 PM</t>
  </si>
  <si>
    <t>09/06/2020 10:52 AM</t>
  </si>
  <si>
    <t>10/06/2020 2:09 PM</t>
  </si>
  <si>
    <t>10/06/2020 2:26 PM</t>
  </si>
  <si>
    <t>10/06/2020 2:28 PM</t>
  </si>
  <si>
    <t>10/06/2020 2:31 PM</t>
  </si>
  <si>
    <t>10/06/2020 2:25 PM</t>
  </si>
  <si>
    <t>10/06/2020 2:40 PM</t>
  </si>
  <si>
    <t>10/06/2020 2:32 PM</t>
  </si>
  <si>
    <t>10/06/2020 2:37 PM</t>
  </si>
  <si>
    <t>11/06/2020 12:54 PM</t>
  </si>
  <si>
    <t>08/06/2020 10:45 AM</t>
  </si>
  <si>
    <t>10/06/2020 2:46 PM</t>
  </si>
  <si>
    <t>09/06/2020 10:56 AM</t>
  </si>
  <si>
    <t>10/06/2020 2:48 PM</t>
  </si>
  <si>
    <t>10/06/2020 2:49 PM</t>
  </si>
  <si>
    <t>10/06/2020 2:50 PM</t>
  </si>
  <si>
    <t>04/06/2020 11:35 AM</t>
  </si>
  <si>
    <t>11/06/2020 12:56 PM</t>
  </si>
  <si>
    <t>10/06/2020 2:54 PM</t>
  </si>
  <si>
    <t>10/06/2020 2:53 PM</t>
  </si>
  <si>
    <t>04/06/2020 11:37 AM</t>
  </si>
  <si>
    <t>15/06/2020 11:56 AM</t>
  </si>
  <si>
    <t>15/06/2020 12:03 PM</t>
  </si>
  <si>
    <t>15/06/2020 12:15 PM</t>
  </si>
  <si>
    <t>08/06/2020 9:37 AM</t>
  </si>
  <si>
    <t>08/06/2020 9:12 AM</t>
  </si>
  <si>
    <t>13/06/2020 5:45 PM</t>
  </si>
  <si>
    <t>08/06/2020 9:47 AM</t>
  </si>
  <si>
    <t>08/06/2020 9:55 AM</t>
  </si>
  <si>
    <t>08/06/2020 10:11 AM</t>
  </si>
  <si>
    <t>08/06/2020 10:39 AM</t>
  </si>
  <si>
    <t>04/06/2020 4:26 PM</t>
  </si>
  <si>
    <t>08/06/2020 3:01 PM</t>
  </si>
  <si>
    <t>15/06/2020 1:48 PM</t>
  </si>
  <si>
    <t>09/06/2020 10:10 AM</t>
  </si>
  <si>
    <t>15/06/2020 1:21 PM</t>
  </si>
  <si>
    <t>15/06/2020 5:21 PM</t>
  </si>
  <si>
    <t>10/06/2020 8:58 AM</t>
  </si>
  <si>
    <t>15/06/2020 10:02 AM</t>
  </si>
  <si>
    <t>04/06/2020 4:00 PM</t>
  </si>
  <si>
    <t>08/06/2020 3:20 PM</t>
  </si>
  <si>
    <t>04/06/2020 1:32 PM</t>
  </si>
  <si>
    <t>15/06/2020 3:07 PM</t>
  </si>
  <si>
    <t>11/06/2020 3:45 PM</t>
  </si>
  <si>
    <t>15/06/2020 3:52 PM</t>
  </si>
  <si>
    <t>08/06/2020 4:16 PM</t>
  </si>
  <si>
    <t>10/06/2020 11:09 AM</t>
  </si>
  <si>
    <t>11/06/2020 1:48 PM</t>
  </si>
  <si>
    <t>08/06/2020 4:51 PM</t>
  </si>
  <si>
    <t>11/06/2020 1:49 PM</t>
  </si>
  <si>
    <t>11/06/2020 3:02 PM</t>
  </si>
  <si>
    <t>15/06/2020 5:53 PM</t>
  </si>
  <si>
    <t>10/06/2020 5:13 PM</t>
  </si>
  <si>
    <t>10/06/2020 2:42 PM</t>
  </si>
  <si>
    <t>11/06/2020 6:18 PM</t>
  </si>
  <si>
    <t>11/06/2020 6:27 PM</t>
  </si>
  <si>
    <t>11/06/2020 6:30 PM</t>
  </si>
  <si>
    <t>04/06/2020 8:51 AM</t>
  </si>
  <si>
    <t>15/06/2020 10:10 PM</t>
  </si>
  <si>
    <t>15/06/2020 10:11 PM</t>
  </si>
  <si>
    <t>11/06/2020 6:21 PM</t>
  </si>
  <si>
    <t>11/06/2020 6:39 PM</t>
  </si>
  <si>
    <t>11/06/2020 6:38 PM</t>
  </si>
  <si>
    <t>11/06/2020 6:33 PM</t>
  </si>
  <si>
    <t>11/06/2020 6:41 PM</t>
  </si>
  <si>
    <t>11/06/2020 6:47 PM</t>
  </si>
  <si>
    <t>11/06/2020 6:46 PM</t>
  </si>
  <si>
    <t>11/06/2020 6:49 PM</t>
  </si>
  <si>
    <t>11/06/2020 6:45 PM</t>
  </si>
  <si>
    <t>11/06/2020 6:48 PM</t>
  </si>
  <si>
    <t>07/06/2020 6:50 PM</t>
  </si>
  <si>
    <t>07/06/2020 6:53 PM</t>
  </si>
  <si>
    <t>11/06/2020 6:51 PM</t>
  </si>
  <si>
    <t>15/06/2020 3:26 PM</t>
  </si>
  <si>
    <t>05/06/2020 1:40 PM</t>
  </si>
  <si>
    <t>07/06/2020 7:01 PM</t>
  </si>
  <si>
    <t>11/06/2020 6:52 PM</t>
  </si>
  <si>
    <t>11/06/2020 6:50 PM</t>
  </si>
  <si>
    <t>11/06/2020 6:53 PM</t>
  </si>
  <si>
    <t>11/06/2020 3:13 PM</t>
  </si>
  <si>
    <t>07/06/2020 6:56 PM</t>
  </si>
  <si>
    <t>15/06/2020 8:40 AM</t>
  </si>
  <si>
    <t>06/06/2020 1:04 PM</t>
  </si>
  <si>
    <t>11/06/2020 6:55 PM</t>
  </si>
  <si>
    <t>11/06/2020 6:56 PM</t>
  </si>
  <si>
    <t>15/06/2020 8:41 AM</t>
  </si>
  <si>
    <t>05/06/2020 1:43 PM</t>
  </si>
  <si>
    <t>11/06/2020 6:58 PM</t>
  </si>
  <si>
    <t>04/06/2020 5:49 AM</t>
  </si>
  <si>
    <t>11/06/2020 6:57 PM</t>
  </si>
  <si>
    <t>11/06/2020 7:00 PM</t>
  </si>
  <si>
    <t>04/06/2020 9:07 PM</t>
  </si>
  <si>
    <t>11/06/2020 6:59 PM</t>
  </si>
  <si>
    <t>11/06/2020 10:08 PM</t>
  </si>
  <si>
    <t>07/06/2020 7:05 PM</t>
  </si>
  <si>
    <t>11/06/2020 10:07 PM</t>
  </si>
  <si>
    <t>11/06/2020 10:09 PM</t>
  </si>
  <si>
    <t>11/06/2020 10:10 PM</t>
  </si>
  <si>
    <t>11/06/2020 10:06 PM</t>
  </si>
  <si>
    <t>03/06/2020 12:00 AM</t>
  </si>
  <si>
    <t>13/06/2020 11:43 PM</t>
  </si>
  <si>
    <t>11/06/2020 4:57 PM</t>
  </si>
  <si>
    <t>11/06/2020 10:05 PM</t>
  </si>
  <si>
    <t>13/06/2020 11:29 PM</t>
  </si>
  <si>
    <t>12/06/2020 8:00 PM</t>
  </si>
  <si>
    <t>04/06/2020 4:51 PM</t>
  </si>
  <si>
    <t>05/06/2020 3:42 PM</t>
  </si>
  <si>
    <t>04/06/2020 4:53 PM</t>
  </si>
  <si>
    <t>05/06/2020 3:46 PM</t>
  </si>
  <si>
    <t>15/06/2020 4:51 PM</t>
  </si>
  <si>
    <t>15/06/2020 4:45 PM</t>
  </si>
  <si>
    <t>15/06/2020 4:48 PM</t>
  </si>
  <si>
    <t>15/06/2020 3:41 PM</t>
  </si>
  <si>
    <t>15/06/2020 3:43 PM</t>
  </si>
  <si>
    <t>15/06/2020 3:38 PM</t>
  </si>
  <si>
    <t>04/06/2020 3:47 PM</t>
  </si>
  <si>
    <t>11/06/2020 6:05 PM</t>
  </si>
  <si>
    <t>08/06/2020 10:19 PM</t>
  </si>
  <si>
    <t>08/06/2020 10:17 PM</t>
  </si>
  <si>
    <t>15/06/2020 12:41 PM</t>
  </si>
  <si>
    <t>11/06/2020 1:54 PM</t>
  </si>
  <si>
    <t>03/06/2020 12:39 PM</t>
  </si>
  <si>
    <t>11/06/2020 5:02 PM</t>
  </si>
  <si>
    <t>15/06/2020 10:41 AM</t>
  </si>
  <si>
    <t>15/06/2020 12:44 PM</t>
  </si>
  <si>
    <t>04/06/2020 1:33 PM</t>
  </si>
  <si>
    <t>11/06/2020 5:00 PM</t>
  </si>
  <si>
    <t>04/06/2020 4:34 PM</t>
  </si>
  <si>
    <t>15/06/2020 5:49 PM</t>
  </si>
  <si>
    <t>15/06/2020 3:12 PM</t>
  </si>
  <si>
    <t>15/06/2020 5:36 PM</t>
  </si>
  <si>
    <t>15/06/2020 4:58 PM</t>
  </si>
  <si>
    <t>11/06/2020 4:45 PM</t>
  </si>
  <si>
    <t>11/06/2020 1:40 PM</t>
  </si>
  <si>
    <t>15/06/2020 7:56 PM</t>
  </si>
  <si>
    <t>10/06/2020 2:02 PM</t>
  </si>
  <si>
    <t>10/06/2020 1:55 PM</t>
  </si>
  <si>
    <t>15/06/2020 4:06 PM</t>
  </si>
  <si>
    <t>04/06/2020 10:03 AM</t>
  </si>
  <si>
    <t>05/06/2020 3:50 PM</t>
  </si>
  <si>
    <t>15/06/2020 8:16 PM</t>
  </si>
  <si>
    <t>08/06/2020 4:49 PM</t>
  </si>
  <si>
    <t>10/06/2020 2:58 PM</t>
  </si>
  <si>
    <t>15/06/2020 1:09 PM</t>
  </si>
  <si>
    <t>15/06/2020 1:12 PM</t>
  </si>
  <si>
    <t>15/06/2020 9:41 AM</t>
  </si>
  <si>
    <t>15/06/2020 1:23 PM</t>
  </si>
  <si>
    <t>04/06/2020 12:32 PM</t>
  </si>
  <si>
    <t>03/06/2020 3:00 PM</t>
  </si>
  <si>
    <t>03/06/2020 1:59 PM</t>
  </si>
  <si>
    <t>10/06/2020 4:02 PM</t>
  </si>
  <si>
    <t>08/06/2020 11:26 AM</t>
  </si>
  <si>
    <t>15/06/2020 9:00 AM</t>
  </si>
  <si>
    <t>10/06/2020 4:04 PM</t>
  </si>
  <si>
    <t>15/06/2020 11:59 PM</t>
  </si>
  <si>
    <t>09/06/2020 5:04 PM</t>
  </si>
  <si>
    <t>15/06/2020 8:42 AM</t>
  </si>
  <si>
    <t>09/06/2020 8:40 AM</t>
  </si>
  <si>
    <t>10/06/2020 4:07 PM</t>
  </si>
  <si>
    <t>10/06/2020 4:09 PM</t>
  </si>
  <si>
    <t>15/06/2020 2:05 PM</t>
  </si>
  <si>
    <t>10/06/2020 4:14 PM</t>
  </si>
  <si>
    <t>10/06/2020 4:12 PM</t>
  </si>
  <si>
    <t>11/06/2020 12:35 PM</t>
  </si>
  <si>
    <t>10/06/2020 4:16 PM</t>
  </si>
  <si>
    <t>10/06/2020 4:21 PM</t>
  </si>
  <si>
    <t>10/06/2020 4:19 PM</t>
  </si>
  <si>
    <t>09/06/2020 11:07 AM</t>
  </si>
  <si>
    <t>13/06/2020 4:45 PM</t>
  </si>
  <si>
    <t>15/06/2020 2:29 PM</t>
  </si>
  <si>
    <t>13/06/2020 4:43 PM</t>
  </si>
  <si>
    <t>10/06/2020 4:24 PM</t>
  </si>
  <si>
    <t>15/06/2020 4:43 PM</t>
  </si>
  <si>
    <t>05/06/2020 5:05 PM</t>
  </si>
  <si>
    <t>15/06/2020 4:42 PM</t>
  </si>
  <si>
    <t>04/06/2020 7:52 AM</t>
  </si>
  <si>
    <t>15/06/2020 5:10 PM</t>
  </si>
  <si>
    <t>15/06/2020 4:41 PM</t>
  </si>
  <si>
    <t>04/06/2020 10:54 AM</t>
  </si>
  <si>
    <t>04/06/2020 8:03 AM</t>
  </si>
  <si>
    <t>04/06/2020 8:00 AM</t>
  </si>
  <si>
    <t>12/06/2020 6:52 PM</t>
  </si>
  <si>
    <t>13/06/2020 8:53 PM</t>
  </si>
  <si>
    <t>13/06/2020 4:57 PM</t>
  </si>
  <si>
    <t>15/06/2020 11:55 PM</t>
  </si>
  <si>
    <t>13/06/2020 8:40 PM</t>
  </si>
  <si>
    <t>09/06/2020 10:36 AM</t>
  </si>
  <si>
    <t>12/06/2020 6:55 PM</t>
  </si>
  <si>
    <t>02/06/2020 12:00 AM</t>
  </si>
  <si>
    <t>15/06/2020 2:59 PM</t>
  </si>
  <si>
    <t>08/06/2020 9:25 AM</t>
  </si>
  <si>
    <t>15/06/2020 8:31 AM</t>
  </si>
  <si>
    <t>15/06/2020 1:19 PM</t>
  </si>
  <si>
    <t>15/06/2020 1:18 PM</t>
  </si>
  <si>
    <t>08/06/2020 11:19 AM</t>
  </si>
  <si>
    <t>10/06/2020 4:38 PM</t>
  </si>
  <si>
    <t>10/06/2020 3:52 PM</t>
  </si>
  <si>
    <t>15/06/2020 10:19 AM</t>
  </si>
  <si>
    <t>02/06/2020 4:37 PM</t>
  </si>
  <si>
    <t>11/06/2020 8:51 AM</t>
  </si>
  <si>
    <t>11/06/2020 12:27 PM</t>
  </si>
  <si>
    <t>11/06/2020 12:20 PM</t>
  </si>
  <si>
    <t>11/06/2020 10:04 PM</t>
  </si>
  <si>
    <t>11/06/2020 10:03 PM</t>
  </si>
  <si>
    <t>11/06/2020 10:01 PM</t>
  </si>
  <si>
    <t>11/06/2020 10:02 PM</t>
  </si>
  <si>
    <t>11/06/2020 3:14 PM</t>
  </si>
  <si>
    <t>15/06/2020 10:30 PM</t>
  </si>
  <si>
    <t>15/06/2020 6:35 PM</t>
  </si>
  <si>
    <t>11/06/2020 9:56 AM</t>
  </si>
  <si>
    <t>03/06/2020 3:08 PM</t>
  </si>
  <si>
    <t>11/06/2020 10:00 PM</t>
  </si>
  <si>
    <t>11/06/2020 3:59 PM</t>
  </si>
  <si>
    <t>11/06/2020 4:13 PM</t>
  </si>
  <si>
    <t>03/06/2020 9:39 AM</t>
  </si>
  <si>
    <t>15/06/2020 12:09 PM</t>
  </si>
  <si>
    <t>11/06/2020 1:12 PM</t>
  </si>
  <si>
    <t>09/06/2020 1:28 PM</t>
  </si>
  <si>
    <t>09/06/2020 2:18 PM</t>
  </si>
  <si>
    <t>11/06/2020 2:07 PM</t>
  </si>
  <si>
    <t>03/06/2020 3:57 PM</t>
  </si>
  <si>
    <t>03/06/2020 3:54 PM</t>
  </si>
  <si>
    <t>15/06/2020 4:53 PM</t>
  </si>
  <si>
    <t>09/06/2020 1:20 PM</t>
  </si>
  <si>
    <t>14/06/2020 10:47 PM</t>
  </si>
  <si>
    <t>10/06/2020 3:31 PM</t>
  </si>
  <si>
    <t>09/06/2020 4:45 PM</t>
  </si>
  <si>
    <t>11/06/2020 9:22 AM</t>
  </si>
  <si>
    <t>15/06/2020 2:23 PM</t>
  </si>
  <si>
    <t>15/06/2020 2:25 PM</t>
  </si>
  <si>
    <t>03/06/2020 10:30 AM</t>
  </si>
  <si>
    <t>11/06/2020 9:33 AM</t>
  </si>
  <si>
    <t>15/06/2020 2:26 PM</t>
  </si>
  <si>
    <t>02/06/2020 11:30 AM</t>
  </si>
  <si>
    <t>15/06/2020 2:28 PM</t>
  </si>
  <si>
    <t>03/06/2020 2:45 PM</t>
  </si>
  <si>
    <t>11/06/2020 1:39 PM</t>
  </si>
  <si>
    <t>03/06/2020 10:05 PM</t>
  </si>
  <si>
    <t>10/06/2020 5:24 PM</t>
  </si>
  <si>
    <t>05/06/2020 5:11 PM</t>
  </si>
  <si>
    <t>11/06/2020 1:02 PM</t>
  </si>
  <si>
    <t>13/06/2020 1:47 PM</t>
  </si>
  <si>
    <t>10/06/2020 12:47 PM</t>
  </si>
  <si>
    <t>15/06/2020 8:15 PM</t>
  </si>
  <si>
    <t>10/06/2020 1:42 PM</t>
  </si>
  <si>
    <t>10/06/2020 2:24 PM</t>
  </si>
  <si>
    <t>11/06/2020 5:12 PM</t>
  </si>
  <si>
    <t>11/06/2020 5:09 PM</t>
  </si>
  <si>
    <t>15/06/2020 4:49 PM</t>
  </si>
  <si>
    <t>01/06/2020 12:00 AM</t>
  </si>
  <si>
    <t>15/06/2020 12:58 PM</t>
  </si>
  <si>
    <t>11/06/2020 5:20 PM</t>
  </si>
  <si>
    <t>11/06/2020 5:17 PM</t>
  </si>
  <si>
    <t>01/06/2020 3:02 PM</t>
  </si>
  <si>
    <t>08/06/2020 8:49 AM</t>
  </si>
  <si>
    <t>09/06/2020 9:42 AM</t>
  </si>
  <si>
    <t>05/06/2020 1:21 PM</t>
  </si>
  <si>
    <t>10/06/2020 3:13 PM</t>
  </si>
  <si>
    <t>11/06/2020 12:06 PM</t>
  </si>
  <si>
    <t>10/06/2020 2:16 PM</t>
  </si>
  <si>
    <t>09/06/2020 4:17 PM</t>
  </si>
  <si>
    <t>09/06/2020 4:10 PM</t>
  </si>
  <si>
    <t>08/06/2020 1:08 PM</t>
  </si>
  <si>
    <t>05/06/2020 1:49 PM</t>
  </si>
  <si>
    <t>10/06/2020 2:38 PM</t>
  </si>
  <si>
    <t>15/06/2020 8:23 PM</t>
  </si>
  <si>
    <t>15/06/2020 8:26 PM</t>
  </si>
  <si>
    <t>15/06/2020 4:47 PM</t>
  </si>
  <si>
    <t>15/06/2020 8:25 PM</t>
  </si>
  <si>
    <t>15/06/2020 4:44 PM</t>
  </si>
  <si>
    <t>15/06/2020 8:27 PM</t>
  </si>
  <si>
    <t>10/06/2020 5:24 AM</t>
  </si>
  <si>
    <t>12/06/2020 6:41 PM</t>
  </si>
  <si>
    <t>12/06/2020 6:32 PM</t>
  </si>
  <si>
    <t>12/06/2020 6:38 PM</t>
  </si>
  <si>
    <t>15/06/2020 8:33 AM</t>
  </si>
  <si>
    <t>08/06/2020 11:42 AM</t>
  </si>
  <si>
    <t>31/05/2020 12:00 AM</t>
  </si>
  <si>
    <t>11/06/2020 3:30 PM</t>
  </si>
  <si>
    <t>13/06/2020 5:36 PM</t>
  </si>
  <si>
    <t>15/06/2020 5:34 PM</t>
  </si>
  <si>
    <t>11/06/2020 2:13 PM</t>
  </si>
  <si>
    <t>10/06/2020 5:52 PM</t>
  </si>
  <si>
    <t>10/06/2020 5:46 PM</t>
  </si>
  <si>
    <t>09/06/2020 3:45 PM</t>
  </si>
  <si>
    <t>30/05/2020 12:00 AM</t>
  </si>
  <si>
    <t>04/06/2020 4:06 PM</t>
  </si>
  <si>
    <t>10/06/2020 3:55 PM</t>
  </si>
  <si>
    <t>10/06/2020 3:41 PM</t>
  </si>
  <si>
    <t>10/06/2020 3:53 PM</t>
  </si>
  <si>
    <t>10/06/2020 3:51 PM</t>
  </si>
  <si>
    <t>10/06/2020 3:39 PM</t>
  </si>
  <si>
    <t>10/06/2020 3:47 PM</t>
  </si>
  <si>
    <t>10/06/2020 3:36 PM</t>
  </si>
  <si>
    <t>10/06/2020 3:56 PM</t>
  </si>
  <si>
    <t>10/06/2020 3:34 PM</t>
  </si>
  <si>
    <t>10/06/2020 3:49 PM</t>
  </si>
  <si>
    <t>10/06/2020 3:46 PM</t>
  </si>
  <si>
    <t>10/06/2020 3:44 PM</t>
  </si>
  <si>
    <t>08/06/2020 1:42 PM</t>
  </si>
  <si>
    <t>04/06/2020 12:58 PM</t>
  </si>
  <si>
    <t>10/06/2020 11:03 AM</t>
  </si>
  <si>
    <t>10/06/2020 3:57 PM</t>
  </si>
  <si>
    <t>10/06/2020 11:47 AM</t>
  </si>
  <si>
    <t>10/06/2020 9:41 AM</t>
  </si>
  <si>
    <t>08/06/2020 1:41 PM</t>
  </si>
  <si>
    <t>10/06/2020 3:59 PM</t>
  </si>
  <si>
    <t>05/06/2020 4:21 PM</t>
  </si>
  <si>
    <t>11/06/2020 1:37 PM</t>
  </si>
  <si>
    <t>12/06/2020 6:57 PM</t>
  </si>
  <si>
    <t>12/06/2020 6:59 PM</t>
  </si>
  <si>
    <t>09/06/2020 9:47 AM</t>
  </si>
  <si>
    <t>15/06/2020 8:32 AM</t>
  </si>
  <si>
    <t>07/06/2020 1:46 PM</t>
  </si>
  <si>
    <t>07/06/2020 1:51 PM</t>
  </si>
  <si>
    <t>09/06/2020 9:48 AM</t>
  </si>
  <si>
    <t>07/06/2020 2:03 PM</t>
  </si>
  <si>
    <t>09/06/2020 9:51 AM</t>
  </si>
  <si>
    <t>10/06/2020 10:01 AM</t>
  </si>
  <si>
    <t>15/06/2020 8:24 AM</t>
  </si>
  <si>
    <t>10/06/2020 8:57 PM</t>
  </si>
  <si>
    <t>07/06/2020 1:58 PM</t>
  </si>
  <si>
    <t>11/06/2020 3:38 PM</t>
  </si>
  <si>
    <t>02/06/2020 4:40 PM</t>
  </si>
  <si>
    <t>02/06/2020 4:49 PM</t>
  </si>
  <si>
    <t>02/06/2020 4:39 PM</t>
  </si>
  <si>
    <t>02/06/2020 4:46 PM</t>
  </si>
  <si>
    <t>09/06/2020 8:37 AM</t>
  </si>
  <si>
    <t>02/06/2020 4:48 PM</t>
  </si>
  <si>
    <t>02/06/2020 4:45 PM</t>
  </si>
  <si>
    <t>07/06/2020 2:07 PM</t>
  </si>
  <si>
    <t>07/06/2020 2:12 PM</t>
  </si>
  <si>
    <t>01/06/2020 9:33 AM</t>
  </si>
  <si>
    <t>12/06/2020 8:51 PM</t>
  </si>
  <si>
    <t>15/06/2020 5:24 PM</t>
  </si>
  <si>
    <t>15/06/2020 5:25 PM</t>
  </si>
  <si>
    <t>15/06/2020 5:29 PM</t>
  </si>
  <si>
    <t>15/06/2020 7:42 AM</t>
  </si>
  <si>
    <t>05/06/2020 10:55 AM</t>
  </si>
  <si>
    <t>29/05/2020 12:00 AM</t>
  </si>
  <si>
    <t>15/06/2020 5:32 PM</t>
  </si>
  <si>
    <t>15/06/2020 5:31 PM</t>
  </si>
  <si>
    <t>14/06/2020 7:09 PM</t>
  </si>
  <si>
    <t>15/06/2020 5:26 PM</t>
  </si>
  <si>
    <t>14/06/2020 7:04 PM</t>
  </si>
  <si>
    <t>15/06/2020 4:14 PM</t>
  </si>
  <si>
    <t>09/06/2020 10:08 AM</t>
  </si>
  <si>
    <t>03/06/2020 2:34 PM</t>
  </si>
  <si>
    <t>11/06/2020 4:06 PM</t>
  </si>
  <si>
    <t>02/06/2020 9:19 AM</t>
  </si>
  <si>
    <t>11/06/2020 10:25 AM</t>
  </si>
  <si>
    <t>05/06/2020 3:13 PM</t>
  </si>
  <si>
    <t>10/06/2020 9:00 AM</t>
  </si>
  <si>
    <t>09/06/2020 10:13 AM</t>
  </si>
  <si>
    <t>10/06/2020 4:48 PM</t>
  </si>
  <si>
    <t>10/06/2020 4:50 PM</t>
  </si>
  <si>
    <t>11/06/2020 11:05 AM</t>
  </si>
  <si>
    <t>10/06/2020 4:49 PM</t>
  </si>
  <si>
    <t>10/06/2020 4:51 PM</t>
  </si>
  <si>
    <t>10/06/2020 2:03 PM</t>
  </si>
  <si>
    <t>10/06/2020 2:10 PM</t>
  </si>
  <si>
    <t>10/06/2020 2:06 PM</t>
  </si>
  <si>
    <t>10/06/2020 4:54 PM</t>
  </si>
  <si>
    <t>10/06/2020 2:04 PM</t>
  </si>
  <si>
    <t>10/06/2020 2:11 PM</t>
  </si>
  <si>
    <t>10/06/2020 4:56 PM</t>
  </si>
  <si>
    <t>10/06/2020 2:13 PM</t>
  </si>
  <si>
    <t>10/06/2020 4:01 PM</t>
  </si>
  <si>
    <t>01/06/2020 1:53 PM</t>
  </si>
  <si>
    <t>11/06/2020 7:15 AM</t>
  </si>
  <si>
    <t>13/06/2020 3:03 PM</t>
  </si>
  <si>
    <t>02/06/2020 4:28 PM</t>
  </si>
  <si>
    <t>10/06/2020 9:52 AM</t>
  </si>
  <si>
    <t>10/06/2020 9:57 AM</t>
  </si>
  <si>
    <t>10/06/2020 3:24 PM</t>
  </si>
  <si>
    <t>13/06/2020 3:10 PM</t>
  </si>
  <si>
    <t>11/06/2020 4:01 PM</t>
  </si>
  <si>
    <t>01/06/2020 3:21 PM</t>
  </si>
  <si>
    <t>04/06/2020 8:54 PM</t>
  </si>
  <si>
    <t>13/06/2020 3:08 PM</t>
  </si>
  <si>
    <t>08/06/2020 11:48 AM</t>
  </si>
  <si>
    <t>15/06/2020 10:08 AM</t>
  </si>
  <si>
    <t>03/06/2020 3:25 PM</t>
  </si>
  <si>
    <t>13/06/2020 3:21 PM</t>
  </si>
  <si>
    <t>13/06/2020 3:25 PM</t>
  </si>
  <si>
    <t>11/06/2020 11:34 PM</t>
  </si>
  <si>
    <t>08/06/2020 11:51 AM</t>
  </si>
  <si>
    <t>08/06/2020 4:59 PM</t>
  </si>
  <si>
    <t>09/06/2020 5:16 PM</t>
  </si>
  <si>
    <t>10/06/2020 4:35 PM</t>
  </si>
  <si>
    <t>08/06/2020 5:01 PM</t>
  </si>
  <si>
    <t>10/06/2020 5:55 PM</t>
  </si>
  <si>
    <t>11/06/2020 3:07 PM</t>
  </si>
  <si>
    <t>12/06/2020 1:06 PM</t>
  </si>
  <si>
    <t>11/06/2020 3:10 PM</t>
  </si>
  <si>
    <t>09/06/2020 6:58 PM</t>
  </si>
  <si>
    <t>11/06/2020 1:22 PM</t>
  </si>
  <si>
    <t>09/06/2020 10:24 AM</t>
  </si>
  <si>
    <t>09/06/2020 11:22 AM</t>
  </si>
  <si>
    <t>06/06/2020 12:04 PM</t>
  </si>
  <si>
    <t>06/06/2020 12:05 PM</t>
  </si>
  <si>
    <t>06/06/2020 12:09 PM</t>
  </si>
  <si>
    <t>06/06/2020 12:07 PM</t>
  </si>
  <si>
    <t>11/06/2020 11:27 AM</t>
  </si>
  <si>
    <t>09/06/2020 10:49 PM</t>
  </si>
  <si>
    <t>09/06/2020 11:00 PM</t>
  </si>
  <si>
    <t>09/06/2020 10:55 PM</t>
  </si>
  <si>
    <t>09/06/2020 10:58 PM</t>
  </si>
  <si>
    <t>11/06/2020 1:53 PM</t>
  </si>
  <si>
    <t>11/06/2020 1:58 PM</t>
  </si>
  <si>
    <t>11/06/2020 2:06 PM</t>
  </si>
  <si>
    <t>09/06/2020 10:52 PM</t>
  </si>
  <si>
    <t>08/06/2020 1:10 PM</t>
  </si>
  <si>
    <t>09/06/2020 9:11 PM</t>
  </si>
  <si>
    <t>09/06/2020 9:13 PM</t>
  </si>
  <si>
    <t>09/06/2020 9:18 PM</t>
  </si>
  <si>
    <t>09/06/2020 9:12 PM</t>
  </si>
  <si>
    <t>28/05/2020 12:00 AM</t>
  </si>
  <si>
    <t>09/06/2020 9:19 PM</t>
  </si>
  <si>
    <t>09/06/2020 9:20 PM</t>
  </si>
  <si>
    <t>09/06/2020 9:21 PM</t>
  </si>
  <si>
    <t>10/06/2020 6:44 PM</t>
  </si>
  <si>
    <t>08/06/2020 2:50 PM</t>
  </si>
  <si>
    <t>03/06/2020 3:11 PM</t>
  </si>
  <si>
    <t>04/06/2020 1:23 PM</t>
  </si>
  <si>
    <t>10/06/2020 4:26 PM</t>
  </si>
  <si>
    <t>08/06/2020 9:50 AM</t>
  </si>
  <si>
    <t>10/06/2020 4:23 PM</t>
  </si>
  <si>
    <t>04/06/2020 1:24 PM</t>
  </si>
  <si>
    <t>04/06/2020 1:26 PM</t>
  </si>
  <si>
    <t>03/06/2020 3:31 PM</t>
  </si>
  <si>
    <t>04/06/2020 1:28 PM</t>
  </si>
  <si>
    <t>10/06/2020 4:30 PM</t>
  </si>
  <si>
    <t>03/06/2020 3:28 PM</t>
  </si>
  <si>
    <t>09/06/2020 3:18 PM</t>
  </si>
  <si>
    <t>11/06/2020 9:34 AM</t>
  </si>
  <si>
    <t>09/06/2020 8:14 PM</t>
  </si>
  <si>
    <t>09/06/2020 9:49 AM</t>
  </si>
  <si>
    <t>09/06/2020 8:33 AM</t>
  </si>
  <si>
    <t>09/06/2020 3:17 PM</t>
  </si>
  <si>
    <t>05/06/2020 4:23 PM</t>
  </si>
  <si>
    <t>10/06/2020 3:19 PM</t>
  </si>
  <si>
    <t>04/06/2020 1:25 PM</t>
  </si>
  <si>
    <t>03/06/2020 3:23 PM</t>
  </si>
  <si>
    <t>11/06/2020 8:27 AM</t>
  </si>
  <si>
    <t>28/05/2020 8:53 AM</t>
  </si>
  <si>
    <t>09/06/2020 3:43 PM</t>
  </si>
  <si>
    <t>09/06/2020 3:54 PM</t>
  </si>
  <si>
    <t>01/06/2020 11:09 AM</t>
  </si>
  <si>
    <t>08/06/2020 4:17 PM</t>
  </si>
  <si>
    <t>03/06/2020 3:17 PM</t>
  </si>
  <si>
    <t>05/06/2020 4:33 PM</t>
  </si>
  <si>
    <t>05/06/2020 4:36 PM</t>
  </si>
  <si>
    <t>05/06/2020 4:37 PM</t>
  </si>
  <si>
    <t>03/06/2020 9:45 AM</t>
  </si>
  <si>
    <t>15/06/2020 12:17 PM</t>
  </si>
  <si>
    <t>15/06/2020 12:19 PM</t>
  </si>
  <si>
    <t>05/06/2020 4:39 PM</t>
  </si>
  <si>
    <t>08/06/2020 3:06 PM</t>
  </si>
  <si>
    <t>10/06/2020 12:44 PM</t>
  </si>
  <si>
    <t>08/06/2020 4:33 PM</t>
  </si>
  <si>
    <t>05/06/2020 2:58 PM</t>
  </si>
  <si>
    <t>09/06/2020 3:36 PM</t>
  </si>
  <si>
    <t>15/06/2020 2:07 PM</t>
  </si>
  <si>
    <t>03/06/2020 9:42 AM</t>
  </si>
  <si>
    <t>11/06/2020 11:53 AM</t>
  </si>
  <si>
    <t>02/06/2020 9:03 AM</t>
  </si>
  <si>
    <t>05/06/2020 4:26 PM</t>
  </si>
  <si>
    <t>05/06/2020 4:27 PM</t>
  </si>
  <si>
    <t>05/06/2020 4:25 PM</t>
  </si>
  <si>
    <t>03/06/2020 9:38 AM</t>
  </si>
  <si>
    <t>02/06/2020 4:47 PM</t>
  </si>
  <si>
    <t>11/06/2020 1:03 PM</t>
  </si>
  <si>
    <t>05/06/2020 2:14 PM</t>
  </si>
  <si>
    <t>11/06/2020 1:08 PM</t>
  </si>
  <si>
    <t>08/06/2020 4:34 PM</t>
  </si>
  <si>
    <t>11/06/2020 1:06 PM</t>
  </si>
  <si>
    <t>03/06/2020 5:40 PM</t>
  </si>
  <si>
    <t>05/06/2020 1:29 PM</t>
  </si>
  <si>
    <t>05/06/2020 4:15 PM</t>
  </si>
  <si>
    <t>09/06/2020 1:41 PM</t>
  </si>
  <si>
    <t>09/06/2020 4:56 PM</t>
  </si>
  <si>
    <t>09/06/2020 4:29 PM</t>
  </si>
  <si>
    <t>08/06/2020 9:40 PM</t>
  </si>
  <si>
    <t>30/05/2020 8:21 AM</t>
  </si>
  <si>
    <t>30/05/2020 8:18 AM</t>
  </si>
  <si>
    <t>27/05/2020 12:00 AM</t>
  </si>
  <si>
    <t>30/05/2020 8:27 AM</t>
  </si>
  <si>
    <t>30/05/2020 8:23 AM</t>
  </si>
  <si>
    <t>01/06/2020 9:51 AM</t>
  </si>
  <si>
    <t>15/06/2020 2:51 PM</t>
  </si>
  <si>
    <t>09/06/2020 5:49 PM</t>
  </si>
  <si>
    <t>08/06/2020 5:55 PM</t>
  </si>
  <si>
    <t>09/06/2020 2:24 PM</t>
  </si>
  <si>
    <t>05/06/2020 1:27 PM</t>
  </si>
  <si>
    <t>03/06/2020 3:19 PM</t>
  </si>
  <si>
    <t>28/05/2020 2:25 PM</t>
  </si>
  <si>
    <t>03/06/2020 11:52 AM</t>
  </si>
  <si>
    <t>28/05/2020 2:32 PM</t>
  </si>
  <si>
    <t>09/06/2020 1:35 PM</t>
  </si>
  <si>
    <t>15/06/2020 2:15 PM</t>
  </si>
  <si>
    <t>28/05/2020 2:31 PM</t>
  </si>
  <si>
    <t>05/06/2020 4:00 PM</t>
  </si>
  <si>
    <t>10/06/2020 9:14 AM</t>
  </si>
  <si>
    <t>10/06/2020 1:09 PM</t>
  </si>
  <si>
    <t>11/06/2020 9:44 AM</t>
  </si>
  <si>
    <t>10/06/2020 1:08 PM</t>
  </si>
  <si>
    <t>05/06/2020 4:42 PM</t>
  </si>
  <si>
    <t>05/06/2020 4:12 PM</t>
  </si>
  <si>
    <t>05/06/2020 3:57 PM</t>
  </si>
  <si>
    <t>08/06/2020 1:26 PM</t>
  </si>
  <si>
    <t>10/06/2020 4:31 PM</t>
  </si>
  <si>
    <t>08/06/2020 4:44 PM</t>
  </si>
  <si>
    <t>08/06/2020 2:31 PM</t>
  </si>
  <si>
    <t>08/06/2020 2:17 PM</t>
  </si>
  <si>
    <t>04/06/2020 2:49 PM</t>
  </si>
  <si>
    <t>11/06/2020 12:10 PM</t>
  </si>
  <si>
    <t>28/05/2020 2:52 PM</t>
  </si>
  <si>
    <t>04/06/2020 3:04 PM</t>
  </si>
  <si>
    <t>15/06/2020 8:22 AM</t>
  </si>
  <si>
    <t>05/06/2020 5:00 PM</t>
  </si>
  <si>
    <t>09/06/2020 12:48 PM</t>
  </si>
  <si>
    <t>10/06/2020 12:42 PM</t>
  </si>
  <si>
    <t>27/05/2020 2:52 PM</t>
  </si>
  <si>
    <t>10/06/2020 12:40 PM</t>
  </si>
  <si>
    <t>08/06/2020 4:20 PM</t>
  </si>
  <si>
    <t>10/06/2020 12:35 PM</t>
  </si>
  <si>
    <t>03/06/2020 6:19 PM</t>
  </si>
  <si>
    <t>06/06/2020 11:52 AM</t>
  </si>
  <si>
    <t>06/06/2020 11:54 AM</t>
  </si>
  <si>
    <t>08/06/2020 5:27 PM</t>
  </si>
  <si>
    <t>10/06/2020 12:38 PM</t>
  </si>
  <si>
    <t>06/06/2020 1:00 PM</t>
  </si>
  <si>
    <t>06/06/2020 11:55 AM</t>
  </si>
  <si>
    <t>10/06/2020 6:36 PM</t>
  </si>
  <si>
    <t>28/05/2020 12:15 AM</t>
  </si>
  <si>
    <t>08/06/2020 4:15 PM</t>
  </si>
  <si>
    <t>10/06/2020 2:18 PM</t>
  </si>
  <si>
    <t>26/05/2020 12:00 AM</t>
  </si>
  <si>
    <t>15/06/2020 1:39 PM</t>
  </si>
  <si>
    <t>26/05/2020 9:58 AM</t>
  </si>
  <si>
    <t>10/06/2020 1:20 PM</t>
  </si>
  <si>
    <t>06/06/2020 11:58 AM</t>
  </si>
  <si>
    <t>06/06/2020 11:57 AM</t>
  </si>
  <si>
    <t>10/06/2020 12:30 PM</t>
  </si>
  <si>
    <t>27/05/2020 9:49 PM</t>
  </si>
  <si>
    <t>06/06/2020 12:00 PM</t>
  </si>
  <si>
    <t>06/06/2020 12:01 PM</t>
  </si>
  <si>
    <t>06/06/2020 1:02 PM</t>
  </si>
  <si>
    <t>03/06/2020 12:53 PM</t>
  </si>
  <si>
    <t>05/06/2020 3:54 PM</t>
  </si>
  <si>
    <t>09/06/2020 1:26 PM</t>
  </si>
  <si>
    <t>27/05/2020 9:05 AM</t>
  </si>
  <si>
    <t>27/05/2020 9:10 AM</t>
  </si>
  <si>
    <t>10/06/2020 11:32 AM</t>
  </si>
  <si>
    <t>12/06/2020 12:41 PM</t>
  </si>
  <si>
    <t>12/06/2020 12:40 PM</t>
  </si>
  <si>
    <t>12/06/2020 12:39 PM</t>
  </si>
  <si>
    <t>09/06/2020 1:16 PM</t>
  </si>
  <si>
    <t>09/06/2020 1:09 PM</t>
  </si>
  <si>
    <t>09/06/2020 1:19 PM</t>
  </si>
  <si>
    <t>12/06/2020 12:42 PM</t>
  </si>
  <si>
    <t>12/06/2020 12:45 PM</t>
  </si>
  <si>
    <t>12/06/2020 12:46 PM</t>
  </si>
  <si>
    <t>12/06/2020 12:44 PM</t>
  </si>
  <si>
    <t>04/06/2020 1:51 PM</t>
  </si>
  <si>
    <t>12/06/2020 12:47 PM</t>
  </si>
  <si>
    <t>12/06/2020 12:48 PM</t>
  </si>
  <si>
    <t>12/06/2020 12:43 PM</t>
  </si>
  <si>
    <t>12/06/2020 12:50 PM</t>
  </si>
  <si>
    <t>10/06/2020 7:06 PM</t>
  </si>
  <si>
    <t>12/06/2020 12:49 PM</t>
  </si>
  <si>
    <t>25/05/2020 12:00 AM</t>
  </si>
  <si>
    <t>04/06/2020 1:29 PM</t>
  </si>
  <si>
    <t>12/06/2020 12:51 PM</t>
  </si>
  <si>
    <t>26/05/2020 11:35 AM</t>
  </si>
  <si>
    <t>15/06/2020 4:37 PM</t>
  </si>
  <si>
    <t>09/06/2020 3:08 PM</t>
  </si>
  <si>
    <t>15/06/2020 4:25 PM</t>
  </si>
  <si>
    <t>02/06/2020 1:38 PM</t>
  </si>
  <si>
    <t>15/06/2020 4:30 PM</t>
  </si>
  <si>
    <t>15/06/2020 4:33 PM</t>
  </si>
  <si>
    <t>11/06/2020 4:34 PM</t>
  </si>
  <si>
    <t>02/06/2020 10:21 AM</t>
  </si>
  <si>
    <t>05/06/2020 10:57 AM</t>
  </si>
  <si>
    <t>15/06/2020 4:35 PM</t>
  </si>
  <si>
    <t>02/06/2020 10:48 AM</t>
  </si>
  <si>
    <t>02/06/2020 10:41 AM</t>
  </si>
  <si>
    <t>09/06/2020 10:19 AM</t>
  </si>
  <si>
    <t>02/06/2020 10:44 AM</t>
  </si>
  <si>
    <t>02/06/2020 10:51 AM</t>
  </si>
  <si>
    <t>02/06/2020 10:46 AM</t>
  </si>
  <si>
    <t>04/06/2020 3:13 PM</t>
  </si>
  <si>
    <t>09/06/2020 9:28 AM</t>
  </si>
  <si>
    <t>09/06/2020 4:14 AM</t>
  </si>
  <si>
    <t>09/06/2020 4:20 AM</t>
  </si>
  <si>
    <t>23/05/2020 12:00 AM</t>
  </si>
  <si>
    <t>11/06/2020 9:07 PM</t>
  </si>
  <si>
    <t>02/06/2020 10:53 AM</t>
  </si>
  <si>
    <t>24/05/2020 12:00 AM</t>
  </si>
  <si>
    <t>09/06/2020 10:32 AM</t>
  </si>
  <si>
    <t>09/06/2020 10:29 AM</t>
  </si>
  <si>
    <t>09/06/2020 10:34 AM</t>
  </si>
  <si>
    <t>09/06/2020 10:26 AM</t>
  </si>
  <si>
    <t>09/06/2020 10:23 AM</t>
  </si>
  <si>
    <t>15/06/2020 5:11 PM</t>
  </si>
  <si>
    <t>15/06/2020 5:12 PM</t>
  </si>
  <si>
    <t>15/06/2020 5:14 PM</t>
  </si>
  <si>
    <t>04/06/2020 2:54 PM</t>
  </si>
  <si>
    <t>02/06/2020 3:48 PM</t>
  </si>
  <si>
    <t>15/06/2020 5:17 PM</t>
  </si>
  <si>
    <t>15/06/2020 5:15 PM</t>
  </si>
  <si>
    <t>04/06/2020 3:17 PM</t>
  </si>
  <si>
    <t>04/06/2020 5:22 PM</t>
  </si>
  <si>
    <t>09/06/2020 2:38 PM</t>
  </si>
  <si>
    <t>09/06/2020 10:24 PM</t>
  </si>
  <si>
    <t>15/06/2020 10:42 AM</t>
  </si>
  <si>
    <t>27/05/2020 8:34 AM</t>
  </si>
  <si>
    <t>03/06/2020 3:24 PM</t>
  </si>
  <si>
    <t>22/05/2020 12:00 AM</t>
  </si>
  <si>
    <t>15/06/2020 1:38 PM</t>
  </si>
  <si>
    <t>08/06/2020 7:16 PM</t>
  </si>
  <si>
    <t>08/06/2020 7:15 PM</t>
  </si>
  <si>
    <t>08/06/2020 7:12 PM</t>
  </si>
  <si>
    <t>08/06/2020 7:19 PM</t>
  </si>
  <si>
    <t>08/06/2020 6:34 PM</t>
  </si>
  <si>
    <t>08/06/2020 7:18 PM</t>
  </si>
  <si>
    <t>15/06/2020 9:10 PM</t>
  </si>
  <si>
    <t>14/06/2020 10:22 AM</t>
  </si>
  <si>
    <t>11/06/2020 11:13 AM</t>
  </si>
  <si>
    <t>28/05/2020 10:51 AM</t>
  </si>
  <si>
    <t>08/06/2020 6:33 PM</t>
  </si>
  <si>
    <t>05/06/2020 4:47 PM</t>
  </si>
  <si>
    <t>03/06/2020 11:09 AM</t>
  </si>
  <si>
    <t>09/06/2020 9:09 AM</t>
  </si>
  <si>
    <t>07/06/2020 4:37 PM</t>
  </si>
  <si>
    <t>09/06/2020 7:17 PM</t>
  </si>
  <si>
    <t>10/06/2020 11:28 AM</t>
  </si>
  <si>
    <t>12/06/2020 7:12 PM</t>
  </si>
  <si>
    <t>10/06/2020 11:30 AM</t>
  </si>
  <si>
    <t>10/06/2020 11:23 AM</t>
  </si>
  <si>
    <t>21/05/2020 12:00 AM</t>
  </si>
  <si>
    <t>02/06/2020 3:45 PM</t>
  </si>
  <si>
    <t>28/05/2020 1:51 PM</t>
  </si>
  <si>
    <t>09/06/2020 5:14 PM</t>
  </si>
  <si>
    <t>09/06/2020 5:15 PM</t>
  </si>
  <si>
    <t>21/05/2020 10:32 AM</t>
  </si>
  <si>
    <t>05/06/2020 3:05 PM</t>
  </si>
  <si>
    <t>21/05/2020 10:27 AM</t>
  </si>
  <si>
    <t>05/06/2020 3:01 PM</t>
  </si>
  <si>
    <t>21/05/2020 10:29 AM</t>
  </si>
  <si>
    <t>21/05/2020 10:23 AM</t>
  </si>
  <si>
    <t>05/06/2020 3:03 PM</t>
  </si>
  <si>
    <t>21/05/2020 10:37 AM</t>
  </si>
  <si>
    <t>21/05/2020 10:38 AM</t>
  </si>
  <si>
    <t>21/05/2020 10:33 AM</t>
  </si>
  <si>
    <t>21/05/2020 10:35 AM</t>
  </si>
  <si>
    <t>21/05/2020 10:20 AM</t>
  </si>
  <si>
    <t>21/05/2020 10:40 AM</t>
  </si>
  <si>
    <t>11/06/2020 8:47 PM</t>
  </si>
  <si>
    <t>02/06/2020 2:01 PM</t>
  </si>
  <si>
    <t>26/05/2020 3:00 PM</t>
  </si>
  <si>
    <t>21/05/2020 10:49 AM</t>
  </si>
  <si>
    <t>21/05/2020 10:43 AM</t>
  </si>
  <si>
    <t>21/05/2020 10:50 AM</t>
  </si>
  <si>
    <t>03/06/2020 5:29 PM</t>
  </si>
  <si>
    <t>10/06/2020 9:46 AM</t>
  </si>
  <si>
    <t>21/05/2020 10:41 AM</t>
  </si>
  <si>
    <t>11/06/2020 8:46 PM</t>
  </si>
  <si>
    <t>10/06/2020 9:40 AM</t>
  </si>
  <si>
    <t>03/06/2020 9:14 PM</t>
  </si>
  <si>
    <t>20/05/2020 12:00 AM</t>
  </si>
  <si>
    <t>10/06/2020 9:59 AM</t>
  </si>
  <si>
    <t>10/06/2020 11:26 AM</t>
  </si>
  <si>
    <t>10/06/2020 9:55 AM</t>
  </si>
  <si>
    <t>21/05/2020 10:45 AM</t>
  </si>
  <si>
    <t>08/06/2020 4:06 PM</t>
  </si>
  <si>
    <t>11/06/2020 8:38 PM</t>
  </si>
  <si>
    <t>09/06/2020 2:47 PM</t>
  </si>
  <si>
    <t>11/06/2020 8:50 PM</t>
  </si>
  <si>
    <t>11/06/2020 8:43 PM</t>
  </si>
  <si>
    <t>11/06/2020 8:39 PM</t>
  </si>
  <si>
    <t>02/06/2020 3:51 PM</t>
  </si>
  <si>
    <t>04/06/2020 1:30 PM</t>
  </si>
  <si>
    <t>11/06/2020 11:00 AM</t>
  </si>
  <si>
    <t>15/06/2020 3:45 PM</t>
  </si>
  <si>
    <t>19/05/2020 12:00 AM</t>
  </si>
  <si>
    <t>11/06/2020 2:00 PM</t>
  </si>
  <si>
    <t>11/06/2020 8:42 PM</t>
  </si>
  <si>
    <t>11/06/2020 8:36 PM</t>
  </si>
  <si>
    <t>03/06/2020 9:15 AM</t>
  </si>
  <si>
    <t>11/06/2020 8:40 PM</t>
  </si>
  <si>
    <t>11/06/2020 4:53 PM</t>
  </si>
  <si>
    <t>04/06/2020 8:45 AM</t>
  </si>
  <si>
    <t>13/06/2020 7:37 AM</t>
  </si>
  <si>
    <t>15/06/2020 8:54 AM</t>
  </si>
  <si>
    <t>16/05/2020 12:00 AM</t>
  </si>
  <si>
    <t>11/06/2020 9:59 AM</t>
  </si>
  <si>
    <t>10/06/2020 10:36 AM</t>
  </si>
  <si>
    <t>15/06/2020 10:49 PM</t>
  </si>
  <si>
    <t>03/06/2020 8:54 AM</t>
  </si>
  <si>
    <t>09/06/2020 1:05 PM</t>
  </si>
  <si>
    <t>11/06/2020 10:58 AM</t>
  </si>
  <si>
    <t>11/06/2020 11:02 AM</t>
  </si>
  <si>
    <t>14/05/2020 12:00 AM</t>
  </si>
  <si>
    <t>11/06/2020 10:34 AM</t>
  </si>
  <si>
    <t>29/05/2020 11:32 AM</t>
  </si>
  <si>
    <t>11/06/2020 11:42 AM</t>
  </si>
  <si>
    <t>11/06/2020 7:33 PM</t>
  </si>
  <si>
    <t>05/06/2020 7:51 PM</t>
  </si>
  <si>
    <t>01/06/2020 7:37 AM</t>
  </si>
  <si>
    <t>09/06/2020 7:09 PM</t>
  </si>
  <si>
    <t>11/06/2020 7:19 PM</t>
  </si>
  <si>
    <t>29/05/2020 11:34 AM</t>
  </si>
  <si>
    <t>27/05/2020 10:25 PM</t>
  </si>
  <si>
    <t>10/06/2020 2:00 PM</t>
  </si>
  <si>
    <t>09/06/2020 11:41 AM</t>
  </si>
  <si>
    <t>01/06/2020 2:45 PM</t>
  </si>
  <si>
    <t>10/06/2020 11:10 AM</t>
  </si>
  <si>
    <t>01/06/2020 2:44 PM</t>
  </si>
  <si>
    <t>09/06/2020 9:00 AM</t>
  </si>
  <si>
    <t>27/05/2020 2:42 PM</t>
  </si>
  <si>
    <t>29/05/2020 11:36 AM</t>
  </si>
  <si>
    <t>05/06/2020 3:19 PM</t>
  </si>
  <si>
    <t>09/06/2020 4:46 PM</t>
  </si>
  <si>
    <t>29/05/2020 11:39 AM</t>
  </si>
  <si>
    <t>08/06/2020 11:45 AM</t>
  </si>
  <si>
    <t>10/06/2020 3:05 PM</t>
  </si>
  <si>
    <t>27/05/2020 2:40 PM</t>
  </si>
  <si>
    <t>11/06/2020 5:31 PM</t>
  </si>
  <si>
    <t>11/06/2020 3:03 PM</t>
  </si>
  <si>
    <t>21/05/2020 9:18 AM</t>
  </si>
  <si>
    <t>03/06/2020 12:18 PM</t>
  </si>
  <si>
    <t>12/05/2020 12:00 AM</t>
  </si>
  <si>
    <t>11/06/2020 10:55 AM</t>
  </si>
  <si>
    <t>21/05/2020 9:15 AM</t>
  </si>
  <si>
    <t>04/06/2020 3:10 PM</t>
  </si>
  <si>
    <t>08/06/2020 11:47 AM</t>
  </si>
  <si>
    <t>20/05/2020 5:23 PM</t>
  </si>
  <si>
    <t>08/06/2020 7:06 PM</t>
  </si>
  <si>
    <t>05/06/2020 10:51 AM</t>
  </si>
  <si>
    <t>20/05/2020 5:15 PM</t>
  </si>
  <si>
    <t>20/05/2020 5:05 PM</t>
  </si>
  <si>
    <t>09/06/2020 2:12 PM</t>
  </si>
  <si>
    <t>15/06/2020 9:50 PM</t>
  </si>
  <si>
    <t>01/06/2020 8:05 AM</t>
  </si>
  <si>
    <t>29/05/2020 4:05 PM</t>
  </si>
  <si>
    <t>20/05/2020 5:28 PM</t>
  </si>
  <si>
    <t>28/05/2020 1:54 PM</t>
  </si>
  <si>
    <t>05/06/2020 10:48 AM</t>
  </si>
  <si>
    <t>10/06/2020 9:41 PM</t>
  </si>
  <si>
    <t>26/05/2020 3:46 PM</t>
  </si>
  <si>
    <t>09/06/2020 2:09 PM</t>
  </si>
  <si>
    <t>11/06/2020 10:19 AM</t>
  </si>
  <si>
    <t>11/06/2020 2:14 PM</t>
  </si>
  <si>
    <t>26/05/2020 3:49 PM</t>
  </si>
  <si>
    <t>19/05/2020 6:10 PM</t>
  </si>
  <si>
    <t>29/05/2020 4:43 PM</t>
  </si>
  <si>
    <t>24/05/2020 3:49 PM</t>
  </si>
  <si>
    <t>04/06/2020 3:29 PM</t>
  </si>
  <si>
    <t>22/05/2020 3:27 PM</t>
  </si>
  <si>
    <t>29/05/2020 4:38 PM</t>
  </si>
  <si>
    <t>22/05/2020 3:26 PM</t>
  </si>
  <si>
    <t>29/05/2020 4:36 PM</t>
  </si>
  <si>
    <t>29/05/2020 4:40 PM</t>
  </si>
  <si>
    <t>08/06/2020 3:07 PM</t>
  </si>
  <si>
    <t>15/05/2020 7:55 PM</t>
  </si>
  <si>
    <t>30/05/2020 2:13 PM</t>
  </si>
  <si>
    <t>06/05/2020 12:00 AM</t>
  </si>
  <si>
    <t>08/06/2020 9:43 AM</t>
  </si>
  <si>
    <t>08/06/2020 9:41 AM</t>
  </si>
  <si>
    <t>09/06/2020 2:07 PM</t>
  </si>
  <si>
    <t>22/05/2020 3:28 PM</t>
  </si>
  <si>
    <t>30/05/2020 2:10 PM</t>
  </si>
  <si>
    <t>08/06/2020 9:40 AM</t>
  </si>
  <si>
    <t>08/06/2020 9:38 AM</t>
  </si>
  <si>
    <t>08/06/2020 9:44 AM</t>
  </si>
  <si>
    <t>30/05/2020 2:16 PM</t>
  </si>
  <si>
    <t>12/06/2020 12:27 PM</t>
  </si>
  <si>
    <t>05/06/2020 8:08 AM</t>
  </si>
  <si>
    <t>15/06/2020 6:18 PM</t>
  </si>
  <si>
    <t>30/05/2020 2:28 PM</t>
  </si>
  <si>
    <t>11/06/2020 11:11 AM</t>
  </si>
  <si>
    <t>27/04/2020 12:00 AM</t>
  </si>
  <si>
    <t>30/05/2020 2:22 PM</t>
  </si>
  <si>
    <t>15/06/2020 6:15 PM</t>
  </si>
  <si>
    <t>30/05/2020 2:25 PM</t>
  </si>
  <si>
    <t>15/05/2020 2:42 PM</t>
  </si>
  <si>
    <t>30/05/2020 2:19 PM</t>
  </si>
  <si>
    <t>27/05/2020 9:50 AM</t>
  </si>
  <si>
    <t>27/05/2020 9:49 AM</t>
  </si>
  <si>
    <t>09/06/2020 4:03 PM</t>
  </si>
  <si>
    <t>27/05/2020 9:51 AM</t>
  </si>
  <si>
    <t>27/05/2020 9:48 AM</t>
  </si>
  <si>
    <t>29/05/2020 5:19 PM</t>
  </si>
  <si>
    <t>29/05/2020 5:18 PM</t>
  </si>
  <si>
    <t>27/05/2020 9:47 AM</t>
  </si>
  <si>
    <t>27/05/2020 9:44 AM</t>
  </si>
  <si>
    <t>27/05/2020 9:55 AM</t>
  </si>
  <si>
    <t>27/05/2020 9:35 AM</t>
  </si>
  <si>
    <t>09/06/2020 3:58 PM</t>
  </si>
  <si>
    <t>27/05/2020 9:33 AM</t>
  </si>
  <si>
    <t>29/05/2020 5:22 PM</t>
  </si>
  <si>
    <t>14/06/2020 7:59 AM</t>
  </si>
  <si>
    <t>27/05/2020 9:36 AM</t>
  </si>
  <si>
    <t>27/05/2020 9:34 AM</t>
  </si>
  <si>
    <t>03/06/2020 5:31 PM</t>
  </si>
  <si>
    <t>27/05/2020 9:54 AM</t>
  </si>
  <si>
    <t>11/06/2020 2:23 PM</t>
  </si>
  <si>
    <t>27/05/2020 9:43 AM</t>
  </si>
  <si>
    <t>27/05/2020 9:37 AM</t>
  </si>
  <si>
    <t>27/05/2020 9:38 AM</t>
  </si>
  <si>
    <t>14/04/2020 12:00 AM</t>
  </si>
  <si>
    <t>11/06/2020 1:51 PM</t>
  </si>
  <si>
    <t>27/05/2020 9:41 AM</t>
  </si>
  <si>
    <t>11/06/2020 10:48 AM</t>
  </si>
  <si>
    <t>11/06/2020 8:34 PM</t>
  </si>
  <si>
    <t>11/06/2020 2:05 PM</t>
  </si>
  <si>
    <t>29/05/2020 5:26 PM</t>
  </si>
  <si>
    <t>29/05/2020 3:25 PM</t>
  </si>
  <si>
    <t>03/06/2020 4:45 PM</t>
  </si>
  <si>
    <t>11/06/2020 8:29 PM</t>
  </si>
  <si>
    <t>09/04/2020 12:00 AM</t>
  </si>
  <si>
    <t>29/05/2020 3:20 PM</t>
  </si>
  <si>
    <t>17/05/2020 9:59 PM</t>
  </si>
  <si>
    <t>29/05/2020 3:22 PM</t>
  </si>
  <si>
    <t>11/06/2020 9:37 AM</t>
  </si>
  <si>
    <t>17/05/2020 9:54 PM</t>
  </si>
  <si>
    <t>17/05/2020 10:01 PM</t>
  </si>
  <si>
    <t>29/05/2020 3:34 PM</t>
  </si>
  <si>
    <t>26/05/2020 3:07 PM</t>
  </si>
  <si>
    <t>17/05/2020 9:48 PM</t>
  </si>
  <si>
    <t>04/06/2020 2:51 PM</t>
  </si>
  <si>
    <t>04/06/2020 2:50 PM</t>
  </si>
  <si>
    <t>15/06/2020 4:39 PM</t>
  </si>
  <si>
    <t>04/06/2020 2:48 PM</t>
  </si>
  <si>
    <t>04/06/2020 2:42 PM</t>
  </si>
  <si>
    <t>14/05/2020 10:43 AM</t>
  </si>
  <si>
    <t>17/05/2020 9:43 PM</t>
  </si>
  <si>
    <t>26/05/2020 1:40 PM</t>
  </si>
  <si>
    <t>06/04/2020 12:00 AM</t>
  </si>
  <si>
    <t>17/05/2020 9:40 PM</t>
  </si>
  <si>
    <t>17/05/2020 10:04 PM</t>
  </si>
  <si>
    <t>20/05/2020 4:49 PM</t>
  </si>
  <si>
    <t>26/05/2020 11:11 AM</t>
  </si>
  <si>
    <t>12/06/2020 12:26 PM</t>
  </si>
  <si>
    <t>12/06/2020 9:43 AM</t>
  </si>
  <si>
    <t>11/06/2020 6:32 AM</t>
  </si>
  <si>
    <t>27/05/2020 8:33 AM</t>
  </si>
  <si>
    <t>26/05/2020 11:15 AM</t>
  </si>
  <si>
    <t>26/05/2020 1:59 PM</t>
  </si>
  <si>
    <t>26/05/2020 2:12 PM</t>
  </si>
  <si>
    <t>26/05/2020 1:43 PM</t>
  </si>
  <si>
    <t>20/05/2020 9:02 AM</t>
  </si>
  <si>
    <t>03/06/2020 3:13 PM</t>
  </si>
  <si>
    <t>26/05/2020 1:50 PM</t>
  </si>
  <si>
    <t>03/06/2020 3:01 PM</t>
  </si>
  <si>
    <t>26/05/2020 1:56 PM</t>
  </si>
  <si>
    <t>11/06/2020 9:27 AM</t>
  </si>
  <si>
    <t>26/05/2020 1:29 PM</t>
  </si>
  <si>
    <t>26/05/2020 11:27 AM</t>
  </si>
  <si>
    <t>26/05/2020 1:45 PM</t>
  </si>
  <si>
    <t>09/06/2020 4:35 PM</t>
  </si>
  <si>
    <t>11/06/2020 6:04 AM</t>
  </si>
  <si>
    <t>26/05/2020 11:20 AM</t>
  </si>
  <si>
    <t>27/05/2020 7:56 AM</t>
  </si>
  <si>
    <t>11/06/2020 6:21 AM</t>
  </si>
  <si>
    <t>11/06/2020 6:15 AM</t>
  </si>
  <si>
    <t>11/06/2020 6:17 AM</t>
  </si>
  <si>
    <t>11/06/2020 6:12 AM</t>
  </si>
  <si>
    <t>05/06/2020 8:56 AM</t>
  </si>
  <si>
    <t>05/06/2020 8:53 AM</t>
  </si>
  <si>
    <t>05/06/2020 8:58 AM</t>
  </si>
  <si>
    <t>05/06/2020 8:51 AM</t>
  </si>
  <si>
    <t>20/05/2020 1:52 PM</t>
  </si>
  <si>
    <t>05/06/2020 8:43 AM</t>
  </si>
  <si>
    <t>11/06/2020 6:27 AM</t>
  </si>
  <si>
    <t>26/05/2020 11:31 AM</t>
  </si>
  <si>
    <t>26/05/2020 2:48 PM</t>
  </si>
  <si>
    <t>11/06/2020 6:23 AM</t>
  </si>
  <si>
    <t>11/06/2020 6:00 AM</t>
  </si>
  <si>
    <t>26/05/2020 12:21 PM</t>
  </si>
  <si>
    <t>26/05/2020 2:50 PM</t>
  </si>
  <si>
    <t>04/06/2020 3:42 PM</t>
  </si>
  <si>
    <t>06/05/2020 9:20 AM</t>
  </si>
  <si>
    <t>04/06/2020 2:43 PM</t>
  </si>
  <si>
    <t>06/05/2020 9:21 AM</t>
  </si>
  <si>
    <t>03/06/2020 2:19 PM</t>
  </si>
  <si>
    <t>10/06/2020 4:00 PM</t>
  </si>
  <si>
    <t>11/06/2020 6:47 AM</t>
  </si>
  <si>
    <t>08/06/2020 7:09 PM</t>
  </si>
  <si>
    <t>27/05/2020 2:44 PM</t>
  </si>
  <si>
    <t>03/06/2020 2:13 PM</t>
  </si>
  <si>
    <t>11/06/2020 6:46 AM</t>
  </si>
  <si>
    <t>06/05/2020 9:22 AM</t>
  </si>
  <si>
    <t>02/06/2020 11:05 PM</t>
  </si>
  <si>
    <t>10/06/2020 3:09 PM</t>
  </si>
  <si>
    <t>10/06/2020 1:57 PM</t>
  </si>
  <si>
    <t>15/06/2020 3:22 PM</t>
  </si>
  <si>
    <t>15/06/2020 11:46 AM</t>
  </si>
  <si>
    <t>08/06/2020 1:51 PM</t>
  </si>
  <si>
    <t>05/06/2020 11:33 AM</t>
  </si>
  <si>
    <t>13/05/2020 4:35 PM</t>
  </si>
  <si>
    <t>15/06/2020 3:20 PM</t>
  </si>
  <si>
    <t>09/06/2020 12:29 AM</t>
  </si>
  <si>
    <t>02/06/2020 10:52 PM</t>
  </si>
  <si>
    <t>09/06/2020 12:36 AM</t>
  </si>
  <si>
    <t>11/06/2020 7:53 PM</t>
  </si>
  <si>
    <t>11/06/2020 6:34 AM</t>
  </si>
  <si>
    <t>10/06/2020 12:46 PM</t>
  </si>
  <si>
    <t>02/06/2020 4:07 PM</t>
  </si>
  <si>
    <t>09/06/2020 12:38 AM</t>
  </si>
  <si>
    <t>10/06/2020 7:14 AM</t>
  </si>
  <si>
    <t>08/06/2020 1:21 PM</t>
  </si>
  <si>
    <t>10/06/2020 6:50 AM</t>
  </si>
  <si>
    <t>08/06/2020 1:37 PM</t>
  </si>
  <si>
    <t>08/06/2020 1:33 PM</t>
  </si>
  <si>
    <t>10/06/2020 7:18 AM</t>
  </si>
  <si>
    <t>10/06/2020 7:09 AM</t>
  </si>
  <si>
    <t>15/06/2020 4:32 PM</t>
  </si>
  <si>
    <t>11/06/2020 5:13 PM</t>
  </si>
  <si>
    <t>09/06/2020 12:49 AM</t>
  </si>
  <si>
    <t>15/06/2020 1:24 PM</t>
  </si>
  <si>
    <t>09/06/2020 4:16 PM</t>
  </si>
  <si>
    <t>08/06/2020 1:24 PM</t>
  </si>
  <si>
    <t>04/06/2020 2:18 PM</t>
  </si>
  <si>
    <t>15/06/2020 2:32 PM</t>
  </si>
  <si>
    <t>23/05/2020 9:25 PM</t>
  </si>
  <si>
    <t>03/06/2020 8:12 AM</t>
  </si>
  <si>
    <t>03/06/2020 8:58 PM</t>
  </si>
  <si>
    <t>06/05/2020 9:23 AM</t>
  </si>
  <si>
    <t>10/06/2020 6:43 AM</t>
  </si>
  <si>
    <t>10/06/2020 6:40 AM</t>
  </si>
  <si>
    <t>03/06/2020 11:58 PM</t>
  </si>
  <si>
    <t>02/06/2020 2:15 PM</t>
  </si>
  <si>
    <t>06/06/2020 5:55 AM</t>
  </si>
  <si>
    <t>15/06/2020 4:27 PM</t>
  </si>
  <si>
    <t>10/06/2020 7:02 AM</t>
  </si>
  <si>
    <t>03/06/2020 11:56 PM</t>
  </si>
  <si>
    <t>03/06/2020 11:57 PM</t>
  </si>
  <si>
    <t>03/06/2020 11:59 PM</t>
  </si>
  <si>
    <t>09/06/2020 8:35 AM</t>
  </si>
  <si>
    <t>08/06/2020 12:33 PM</t>
  </si>
  <si>
    <t>03/06/2020 4:22 PM</t>
  </si>
  <si>
    <t>08/06/2020 12:36 PM</t>
  </si>
  <si>
    <t>08/06/2020 12:39 PM</t>
  </si>
  <si>
    <t>03/06/2020 3:55 PM</t>
  </si>
  <si>
    <t>04/06/2020 12:05 AM</t>
  </si>
  <si>
    <t>04/06/2020 12:04 AM</t>
  </si>
  <si>
    <t>09/06/2020 8:31 AM</t>
  </si>
  <si>
    <t>06/06/2020 10:13 AM</t>
  </si>
  <si>
    <t>09/06/2020 8:38 AM</t>
  </si>
  <si>
    <t>10/06/2020 12:56 PM</t>
  </si>
  <si>
    <t>15/06/2020 3:56 PM</t>
  </si>
  <si>
    <t>15/06/2020 1:31 PM</t>
  </si>
  <si>
    <t>06/06/2020 10:29 AM</t>
  </si>
  <si>
    <t>06/06/2020 10:28 AM</t>
  </si>
  <si>
    <t>10/06/2020 8:50 PM</t>
  </si>
  <si>
    <t>20/04/2020 3:50 PM</t>
  </si>
  <si>
    <t>06/06/2020 10:24 AM</t>
  </si>
  <si>
    <t>06/06/2020 10:23 AM</t>
  </si>
  <si>
    <t>06/06/2020 10:20 AM</t>
  </si>
  <si>
    <t>29/05/2020 11:20 AM</t>
  </si>
  <si>
    <t>06/06/2020 10:19 AM</t>
  </si>
  <si>
    <t>20/04/2020 4:26 PM</t>
  </si>
  <si>
    <t>06/06/2020 10:22 AM</t>
  </si>
  <si>
    <t>06/06/2020 10:16 AM</t>
  </si>
  <si>
    <t>20/04/2020 4:07 PM</t>
  </si>
  <si>
    <t>06/06/2020 10:26 AM</t>
  </si>
  <si>
    <t>20/04/2020 4:16 PM</t>
  </si>
  <si>
    <t>06/06/2020 10:14 AM</t>
  </si>
  <si>
    <t>03/06/2020 4:56 PM</t>
  </si>
  <si>
    <t>03/06/2020 4:53 PM</t>
  </si>
  <si>
    <t>06/06/2020 10:21 AM</t>
  </si>
  <si>
    <t>20/04/2020 3:54 PM</t>
  </si>
  <si>
    <t>15/06/2020 1:34 PM</t>
  </si>
  <si>
    <t>12/06/2020 11:54 AM</t>
  </si>
  <si>
    <t>09/06/2020 7:11 PM</t>
  </si>
  <si>
    <t>31/05/2020 12:24 PM</t>
  </si>
  <si>
    <t>08/06/2020 2:26 PM</t>
  </si>
  <si>
    <t>08/06/2020 2:22 PM</t>
  </si>
  <si>
    <t>22/05/2020 9:56 PM</t>
  </si>
  <si>
    <t>03/06/2020 2:03 PM</t>
  </si>
  <si>
    <t>08/06/2020 2:24 PM</t>
  </si>
  <si>
    <t>22/05/2020 9:54 PM</t>
  </si>
  <si>
    <t>12/06/2020 11:56 AM</t>
  </si>
  <si>
    <t>22/05/2020 9:52 PM</t>
  </si>
  <si>
    <t>22/05/2020 9:55 PM</t>
  </si>
  <si>
    <t>09/06/2020 7:08 PM</t>
  </si>
  <si>
    <t>31/05/2020 12:27 PM</t>
  </si>
  <si>
    <t>18/05/2020 3:15 PM</t>
  </si>
  <si>
    <t>11/06/2020 9:52 AM</t>
  </si>
  <si>
    <t>15/06/2020 1:37 PM</t>
  </si>
  <si>
    <t>31/05/2020 12:34 PM</t>
  </si>
  <si>
    <t>12/06/2020 11:58 AM</t>
  </si>
  <si>
    <t>11/06/2020 9:43 AM</t>
  </si>
  <si>
    <t>03/06/2020 4:57 PM</t>
  </si>
  <si>
    <t>22/05/2020 10:00 PM</t>
  </si>
  <si>
    <t>12/06/2020 12:00 PM</t>
  </si>
  <si>
    <t>22/05/2020 9:59 PM</t>
  </si>
  <si>
    <t>22/05/2020 9:57 PM</t>
  </si>
  <si>
    <t>03/06/2020 5:01 PM</t>
  </si>
  <si>
    <t>08/06/2020 4:31 PM</t>
  </si>
  <si>
    <t>11/06/2020 10:06 AM</t>
  </si>
  <si>
    <t>11/06/2020 10:00 AM</t>
  </si>
  <si>
    <t>11/06/2020 10:01 AM</t>
  </si>
  <si>
    <t>08/06/2020 4:23 PM</t>
  </si>
  <si>
    <t>08/06/2020 9:07 AM</t>
  </si>
  <si>
    <t>11/06/2020 9:57 AM</t>
  </si>
  <si>
    <t>08/06/2020 9:15 AM</t>
  </si>
  <si>
    <t>10/06/2020 1:56 PM</t>
  </si>
  <si>
    <t>08/06/2020 11:52 AM</t>
  </si>
  <si>
    <t>08/06/2020 11:46 AM</t>
  </si>
  <si>
    <t>08/06/2020 11:50 AM</t>
  </si>
  <si>
    <t>08/06/2020 11:38 PM</t>
  </si>
  <si>
    <t>08/06/2020 11:49 AM</t>
  </si>
  <si>
    <t>10/06/2020 12:55 PM</t>
  </si>
  <si>
    <t>08/06/2020 11:39 PM</t>
  </si>
  <si>
    <t>20/04/2020 3:38 PM</t>
  </si>
  <si>
    <t>08/06/2020 4:37 PM</t>
  </si>
  <si>
    <t>08/06/2020 4:45 PM</t>
  </si>
  <si>
    <t>20/04/2020 3:32 PM</t>
  </si>
  <si>
    <t>08/06/2020 4:26 PM</t>
  </si>
  <si>
    <t>31/05/2020 12:31 PM</t>
  </si>
  <si>
    <t>20/04/2020 3:43 PM</t>
  </si>
  <si>
    <t>01/06/2020 1:47 PM</t>
  </si>
  <si>
    <t>08/06/2020 9:33 AM</t>
  </si>
  <si>
    <t>02/06/2020 2:53 PM</t>
  </si>
  <si>
    <t>03/06/2020 4:42 PM</t>
  </si>
  <si>
    <t>03/06/2020 5:00 PM</t>
  </si>
  <si>
    <t>03/06/2020 4:50 PM</t>
  </si>
  <si>
    <t>27/05/2020 8:32 AM</t>
  </si>
  <si>
    <t>01/06/2020 1:45 PM</t>
  </si>
  <si>
    <t>08/06/2020 11:40 PM</t>
  </si>
  <si>
    <t>05/06/2020 2:19 PM</t>
  </si>
  <si>
    <t>08/06/2020 9:28 AM</t>
  </si>
  <si>
    <t>08/06/2020 11:57 AM</t>
  </si>
  <si>
    <t>08/06/2020 12:00 PM</t>
  </si>
  <si>
    <t>08/06/2020 11:54 AM</t>
  </si>
  <si>
    <t>29/05/2020 4:27 PM</t>
  </si>
  <si>
    <t>08/06/2020 4:43 PM</t>
  </si>
  <si>
    <t>30/04/2020 9:10 AM</t>
  </si>
  <si>
    <t>08/06/2020 11:56 AM</t>
  </si>
  <si>
    <t>01/06/2020 9:53 PM</t>
  </si>
  <si>
    <t>05/05/2020 1:00 PM</t>
  </si>
  <si>
    <t>10/06/2020 9:36 AM</t>
  </si>
  <si>
    <t>10/06/2020 9:50 AM</t>
  </si>
  <si>
    <t>10/06/2020 8:59 AM</t>
  </si>
  <si>
    <t>10/06/2020 10:22 AM</t>
  </si>
  <si>
    <t>11/06/2020 9:16 AM</t>
  </si>
  <si>
    <t>03/06/2020 5:49 PM</t>
  </si>
  <si>
    <t>10/06/2020 10:08 AM</t>
  </si>
  <si>
    <t>15/06/2020 4:09 PM</t>
  </si>
  <si>
    <t>03/06/2020 1:22 PM</t>
  </si>
  <si>
    <t>01/06/2020 11:28 AM</t>
  </si>
  <si>
    <t>03/06/2020 1:24 PM</t>
  </si>
  <si>
    <t>15/06/2020 1:14 PM</t>
  </si>
  <si>
    <t>27/05/2020 10:56 AM</t>
  </si>
  <si>
    <t>03/06/2020 3:26 PM</t>
  </si>
  <si>
    <t>27/05/2020 11:16 AM</t>
  </si>
  <si>
    <t>03/06/2020 1:25 PM</t>
  </si>
  <si>
    <t>01/06/2020 10:20 PM</t>
  </si>
  <si>
    <t>27/05/2020 11:19 AM</t>
  </si>
  <si>
    <t>08/06/2020 1:52 PM</t>
  </si>
  <si>
    <t>07/06/2020 3:41 PM</t>
  </si>
  <si>
    <t>09/06/2020 12:23 PM</t>
  </si>
  <si>
    <t>26/05/2020 12:45 PM</t>
  </si>
  <si>
    <t>06/06/2020 8:08 AM</t>
  </si>
  <si>
    <t>07/06/2020 3:42 PM</t>
  </si>
  <si>
    <t>04/05/2020 1:55 PM</t>
  </si>
  <si>
    <t>28/05/2020 2:44 PM</t>
  </si>
  <si>
    <t>07/06/2020 3:39 PM</t>
  </si>
  <si>
    <t>11/06/2020 2:11 PM</t>
  </si>
  <si>
    <t>10/06/2020 12:53 PM</t>
  </si>
  <si>
    <t>21/05/2020 9:20 AM</t>
  </si>
  <si>
    <t>21/05/2020 9:19 AM</t>
  </si>
  <si>
    <t>13/05/2020 11:13 AM</t>
  </si>
  <si>
    <t>05/06/2020 3:12 PM</t>
  </si>
  <si>
    <t>06/06/2020 8:01 PM</t>
  </si>
  <si>
    <t>01/06/2020 4:28 PM</t>
  </si>
  <si>
    <t>01/06/2020 11:21 AM</t>
  </si>
  <si>
    <t>13/05/2020 11:12 AM</t>
  </si>
  <si>
    <t>21/05/2020 9:24 AM</t>
  </si>
  <si>
    <t>21/05/2020 8:17 AM</t>
  </si>
  <si>
    <t>21/05/2020 8:15 AM</t>
  </si>
  <si>
    <t>21/05/2020 9:22 AM</t>
  </si>
  <si>
    <t>21/05/2020 8:14 AM</t>
  </si>
  <si>
    <t>06/06/2020 8:04 PM</t>
  </si>
  <si>
    <t>13/05/2020 11:14 AM</t>
  </si>
  <si>
    <t>18/05/2020 8:53 PM</t>
  </si>
  <si>
    <t>09/06/2020 10:51 PM</t>
  </si>
  <si>
    <t>01/06/2020 11:18 AM</t>
  </si>
  <si>
    <t>06/06/2020 7:48 AM</t>
  </si>
  <si>
    <t>13/05/2020 10:59 AM</t>
  </si>
  <si>
    <t>03/06/2020 10:56 AM</t>
  </si>
  <si>
    <t>21/05/2020 9:23 AM</t>
  </si>
  <si>
    <t>13/05/2020 10:58 AM</t>
  </si>
  <si>
    <t>09/06/2020 6:46 AM</t>
  </si>
  <si>
    <t>01/06/2020 10:21 PM</t>
  </si>
  <si>
    <t>18/05/2020 12:06 PM</t>
  </si>
  <si>
    <t>06/06/2020 8:03 PM</t>
  </si>
  <si>
    <t>13/05/2020 12:40 PM</t>
  </si>
  <si>
    <t>13/05/2020 11:16 AM</t>
  </si>
  <si>
    <t>05/06/2020 10:54 AM</t>
  </si>
  <si>
    <t>03/06/2020 9:20 PM</t>
  </si>
  <si>
    <t>13/05/2020 11:17 AM</t>
  </si>
  <si>
    <t>05/06/2020 11:49 AM</t>
  </si>
  <si>
    <t>13/05/2020 11:10 AM</t>
  </si>
  <si>
    <t>13/05/2020 11:55 AM</t>
  </si>
  <si>
    <t>02/06/2020 2:55 PM</t>
  </si>
  <si>
    <t>06/06/2020 7:56 AM</t>
  </si>
  <si>
    <t>02/06/2020 3:01 PM</t>
  </si>
  <si>
    <t>29/05/2020 3:12 PM</t>
  </si>
  <si>
    <t>10/06/2020 11:35 AM</t>
  </si>
  <si>
    <t>06/06/2020 6:59 AM</t>
  </si>
  <si>
    <t>18/05/2020 12:05 PM</t>
  </si>
  <si>
    <t>01/06/2020 9:27 AM</t>
  </si>
  <si>
    <t>15/06/2020 4:05 PM</t>
  </si>
  <si>
    <t>15/06/2020 4:03 PM</t>
  </si>
  <si>
    <t>13/05/2020 10:56 AM</t>
  </si>
  <si>
    <t>10/06/2020 10:42 AM</t>
  </si>
  <si>
    <t>11/06/2020 8:32 AM</t>
  </si>
  <si>
    <t>03/06/2020 3:51 PM</t>
  </si>
  <si>
    <t>12/06/2020 8:40 PM</t>
  </si>
  <si>
    <t>02/06/2020 11:40 PM</t>
  </si>
  <si>
    <t>02/06/2020 11:32 PM</t>
  </si>
  <si>
    <t>08/06/2020 9:23 AM</t>
  </si>
  <si>
    <t>06/06/2020 5:30 AM</t>
  </si>
  <si>
    <t>02/06/2020 9:55 PM</t>
  </si>
  <si>
    <t>26/05/2020 12:36 PM</t>
  </si>
  <si>
    <t>15/06/2020 2:31 PM</t>
  </si>
  <si>
    <t>09/06/2020 4:37 PM</t>
  </si>
  <si>
    <t>15/06/2020 3:50 PM</t>
  </si>
  <si>
    <t>11/06/2020 4:32 PM</t>
  </si>
  <si>
    <t>05/06/2020 8:52 AM</t>
  </si>
  <si>
    <t>10/06/2020 10:09 AM</t>
  </si>
  <si>
    <t>05/06/2020 8:57 AM</t>
  </si>
  <si>
    <t>05/06/2020 8:55 AM</t>
  </si>
  <si>
    <t>05/06/2020 4:20 PM</t>
  </si>
  <si>
    <t>05/06/2020 8:59 AM</t>
  </si>
  <si>
    <t>05/06/2020 9:00 AM</t>
  </si>
  <si>
    <t>05/06/2020 9:07 AM</t>
  </si>
  <si>
    <t>05/06/2020 9:25 AM</t>
  </si>
  <si>
    <t>05/06/2020 9:26 AM</t>
  </si>
  <si>
    <t>05/06/2020 9:05 AM</t>
  </si>
  <si>
    <t>09/06/2020 8:22 AM</t>
  </si>
  <si>
    <t>09/06/2020 4:52 PM</t>
  </si>
  <si>
    <t>05/06/2020 9:23 AM</t>
  </si>
  <si>
    <t>05/06/2020 9:03 AM</t>
  </si>
  <si>
    <t>02/06/2020 4:27 PM</t>
  </si>
  <si>
    <t>05/06/2020 9:02 AM</t>
  </si>
  <si>
    <t>09/06/2020 9:09 PM</t>
  </si>
  <si>
    <t>09/06/2020 9:04 PM</t>
  </si>
  <si>
    <t>05/06/2020 9:06 AM</t>
  </si>
  <si>
    <t>09/06/2020 9:27 PM</t>
  </si>
  <si>
    <t>09/06/2020 9:22 PM</t>
  </si>
  <si>
    <t>15/06/2020 9:07 AM</t>
  </si>
  <si>
    <t>02/06/2020 4:32 PM</t>
  </si>
  <si>
    <t>21/05/2020 12:12 PM</t>
  </si>
  <si>
    <t>09/06/2020 9:32 PM</t>
  </si>
  <si>
    <t>09/06/2020 9:25 PM</t>
  </si>
  <si>
    <t>02/06/2020 4:43 PM</t>
  </si>
  <si>
    <t>04/06/2020 8:52 AM</t>
  </si>
  <si>
    <t>21/05/2020 12:32 PM</t>
  </si>
  <si>
    <t>15/06/2020 3:40 PM</t>
  </si>
  <si>
    <t>02/06/2020 4:38 PM</t>
  </si>
  <si>
    <t>21/05/2020 12:29 PM</t>
  </si>
  <si>
    <t>11/06/2020 4:26 PM</t>
  </si>
  <si>
    <t>21/05/2020 12:35 PM</t>
  </si>
  <si>
    <t>10/06/2020 12:49 PM</t>
  </si>
  <si>
    <t>09/06/2020 9:14 PM</t>
  </si>
  <si>
    <t>15/06/2020 3:47 PM</t>
  </si>
  <si>
    <t>10/06/2020 12:48 PM</t>
  </si>
  <si>
    <t>03/06/2020 5:05 PM</t>
  </si>
  <si>
    <t>15/06/2020 9:08 AM</t>
  </si>
  <si>
    <t>03/06/2020 1:14 PM</t>
  </si>
  <si>
    <t>09/06/2020 9:38 PM</t>
  </si>
  <si>
    <t>03/06/2020 1:16 PM</t>
  </si>
  <si>
    <t>03/06/2020 5:03 PM</t>
  </si>
  <si>
    <t>06/06/2020 6:21 AM</t>
  </si>
  <si>
    <t>09/06/2020 9:35 PM</t>
  </si>
  <si>
    <t>08/06/2020 10:30 PM</t>
  </si>
  <si>
    <t>10/06/2020 6:18 PM</t>
  </si>
  <si>
    <t>03/06/2020 1:17 PM</t>
  </si>
  <si>
    <t>19/05/2020 4:59 PM</t>
  </si>
  <si>
    <t>08/06/2020 4:40 PM</t>
  </si>
  <si>
    <t>26/05/2020 12:23 PM</t>
  </si>
  <si>
    <t>03/06/2020 1:20 PM</t>
  </si>
  <si>
    <t>08/06/2020 10:31 PM</t>
  </si>
  <si>
    <t>03/06/2020 8:42 PM</t>
  </si>
  <si>
    <t>03/06/2020 1:18 PM</t>
  </si>
  <si>
    <t>26/05/2020 12:31 PM</t>
  </si>
  <si>
    <t>10/06/2020 10:23 AM</t>
  </si>
  <si>
    <t>09/06/2020 2:08 PM</t>
  </si>
  <si>
    <t>12/06/2020 1:45 PM</t>
  </si>
  <si>
    <t>15/06/2020 3:44 PM</t>
  </si>
  <si>
    <t>11/06/2020 3:26 PM</t>
  </si>
  <si>
    <t>10/06/2020 8:41 AM</t>
  </si>
  <si>
    <t>12/06/2020 4:06 PM</t>
  </si>
  <si>
    <t>09/06/2020 10:49 AM</t>
  </si>
  <si>
    <t>03/06/2020 2:08 PM</t>
  </si>
  <si>
    <t>12/06/2020 4:12 PM</t>
  </si>
  <si>
    <t>12/06/2020 4:04 PM</t>
  </si>
  <si>
    <t>12/06/2020 4:08 PM</t>
  </si>
  <si>
    <t>03/06/2020 9:51 AM</t>
  </si>
  <si>
    <t>12/06/2020 4:03 PM</t>
  </si>
  <si>
    <t>05/06/2020 1:13 PM</t>
  </si>
  <si>
    <t>08/06/2020 3:58 PM</t>
  </si>
  <si>
    <t>10/06/2020 1:58 PM</t>
  </si>
  <si>
    <t>12/06/2020 4:10 PM</t>
  </si>
  <si>
    <t>12/06/2020 4:01 PM</t>
  </si>
  <si>
    <t>15/06/2020 11:50 AM</t>
  </si>
  <si>
    <t>10/06/2020 9:07 AM</t>
  </si>
  <si>
    <t>12/06/2020 4:05 PM</t>
  </si>
  <si>
    <t>10/06/2020 9:02 AM</t>
  </si>
  <si>
    <t>12/06/2020 4:00 PM</t>
  </si>
  <si>
    <t>09/06/2020 4:00 PM</t>
  </si>
  <si>
    <t>12/06/2020 3:59 PM</t>
  </si>
  <si>
    <t>12/06/2020 3:53 PM</t>
  </si>
  <si>
    <t>12/06/2020 3:48 PM</t>
  </si>
  <si>
    <t>12/06/2020 3:50 PM</t>
  </si>
  <si>
    <t>11/06/2020 3:15 PM</t>
  </si>
  <si>
    <t>05/06/2020 3:09 PM</t>
  </si>
  <si>
    <t>13/05/2020 11:01 AM</t>
  </si>
  <si>
    <t>12/06/2020 3:57 PM</t>
  </si>
  <si>
    <t>15/06/2020 5:04 PM</t>
  </si>
  <si>
    <t>12/06/2020 9:11 PM</t>
  </si>
  <si>
    <t>15/06/2020 5:03 PM</t>
  </si>
  <si>
    <t>12/06/2020 3:56 PM</t>
  </si>
  <si>
    <t>12/06/2020 3:58 PM</t>
  </si>
  <si>
    <t>12/06/2020 3:55 PM</t>
  </si>
  <si>
    <t>13/05/2020 11:03 AM</t>
  </si>
  <si>
    <t>04/06/2020 12:28 PM</t>
  </si>
  <si>
    <t>05/06/2020 3:16 PM</t>
  </si>
  <si>
    <t>10/06/2020 9:30 AM</t>
  </si>
  <si>
    <t>21/05/2020 8:23 AM</t>
  </si>
  <si>
    <t>15/06/2020 5:02 PM</t>
  </si>
  <si>
    <t>21/05/2020 8:21 AM</t>
  </si>
  <si>
    <t>08/06/2020 6:15 PM</t>
  </si>
  <si>
    <t>08/06/2020 4:04 PM</t>
  </si>
  <si>
    <t>11/06/2020 9:10 PM</t>
  </si>
  <si>
    <t>13/05/2020 11:04 AM</t>
  </si>
  <si>
    <t>27/05/2020 5:57 PM</t>
  </si>
  <si>
    <t>27/05/2020 7:10 PM</t>
  </si>
  <si>
    <t>12/06/2020 12:02 PM</t>
  </si>
  <si>
    <t>21/05/2020 8:20 AM</t>
  </si>
  <si>
    <t>11/06/2020 3:18 PM</t>
  </si>
  <si>
    <t>03/06/2020 9:47 AM</t>
  </si>
  <si>
    <t>11/06/2020 3:04 PM</t>
  </si>
  <si>
    <t>26/05/2020 4:26 PM</t>
  </si>
  <si>
    <t>01/06/2020 1:40 PM</t>
  </si>
  <si>
    <t>03/06/2020 9:41 AM</t>
  </si>
  <si>
    <t>04/06/2020 12:01 AM</t>
  </si>
  <si>
    <t>21/05/2020 8:19 AM</t>
  </si>
  <si>
    <t>22/05/2020 10:12 PM</t>
  </si>
  <si>
    <t>04/06/2020 12:03 AM</t>
  </si>
  <si>
    <t>11/06/2020 6:23 PM</t>
  </si>
  <si>
    <t>26/05/2020 4:31 PM</t>
  </si>
  <si>
    <t>10/06/2020 11:43 AM</t>
  </si>
  <si>
    <t>26/05/2020 4:30 PM</t>
  </si>
  <si>
    <t>11/06/2020 3:17 PM</t>
  </si>
  <si>
    <t>09/06/2020 7:48 AM</t>
  </si>
  <si>
    <t>02/06/2020 2:29 PM</t>
  </si>
  <si>
    <t>26/05/2020 4:29 PM</t>
  </si>
  <si>
    <t>18/05/2020 2:33 PM</t>
  </si>
  <si>
    <t>11/06/2020 10:44 AM</t>
  </si>
  <si>
    <t>04/06/2020 9:00 AM</t>
  </si>
  <si>
    <t>02/06/2020 2:27 PM</t>
  </si>
  <si>
    <t>29/05/2020 1:16 PM</t>
  </si>
  <si>
    <t>03/06/2020 3:48 PM</t>
  </si>
  <si>
    <t>26/05/2020 2:47 PM</t>
  </si>
  <si>
    <t>09/06/2020 2:34 PM</t>
  </si>
  <si>
    <t>05/06/2020 4:56 PM</t>
  </si>
  <si>
    <t>26/05/2020 4:28 PM</t>
  </si>
  <si>
    <t>10/06/2020 11:42 AM</t>
  </si>
  <si>
    <t>06/06/2020 8:16 AM</t>
  </si>
  <si>
    <t>09/06/2020 2:29 PM</t>
  </si>
  <si>
    <t>10/06/2020 12:02 AM</t>
  </si>
  <si>
    <t>05/06/2020 4:13 PM</t>
  </si>
  <si>
    <t>15/06/2020 8:36 PM</t>
  </si>
  <si>
    <t>09/06/2020 11:24 AM</t>
  </si>
  <si>
    <t>15/06/2020 9:10 AM</t>
  </si>
  <si>
    <t>02/06/2020 2:17 PM</t>
  </si>
  <si>
    <t>15/06/2020 10:09 AM</t>
  </si>
  <si>
    <t>05/06/2020 4:09 PM</t>
  </si>
  <si>
    <t>15/06/2020 9:09 AM</t>
  </si>
  <si>
    <t>15/06/2020 10:07 AM</t>
  </si>
  <si>
    <t>10/06/2020 6:00 PM</t>
  </si>
  <si>
    <t>03/06/2020 4:46 PM</t>
  </si>
  <si>
    <t>03/06/2020 4:51 PM</t>
  </si>
  <si>
    <t>05/05/2020 5:03 PM</t>
  </si>
  <si>
    <t>08/06/2020 6:12 PM</t>
  </si>
  <si>
    <t>10/06/2020 6:16 PM</t>
  </si>
  <si>
    <t>04/06/2020 5:12 PM</t>
  </si>
  <si>
    <t>10/06/2020 6:12 PM</t>
  </si>
  <si>
    <t>08/06/2020 6:07 PM</t>
  </si>
  <si>
    <t>06/06/2020 5:13 AM</t>
  </si>
  <si>
    <t>08/06/2020 4:13 PM</t>
  </si>
  <si>
    <t>03/06/2020 4:48 PM</t>
  </si>
  <si>
    <t>04/06/2020 5:16 PM</t>
  </si>
  <si>
    <t>05/06/2020 5:09 PM</t>
  </si>
  <si>
    <t>08/06/2020 4:14 PM</t>
  </si>
  <si>
    <t>10/06/2020 6:02 PM</t>
  </si>
  <si>
    <t>10/06/2020 6:04 PM</t>
  </si>
  <si>
    <t>04/06/2020 8:59 AM</t>
  </si>
  <si>
    <t>04/06/2020 8:57 AM</t>
  </si>
  <si>
    <t>15/06/2020 4:36 PM</t>
  </si>
  <si>
    <t>15/06/2020 4:34 PM</t>
  </si>
  <si>
    <t>15/06/2020 12:25 PM</t>
  </si>
  <si>
    <t>04/06/2020 12:20 PM</t>
  </si>
  <si>
    <t>09/06/2020 10:53 PM</t>
  </si>
  <si>
    <t>13/05/2020 10:55 AM</t>
  </si>
  <si>
    <t>09/06/2020 10:56 PM</t>
  </si>
  <si>
    <t>13/05/2020 10:53 AM</t>
  </si>
  <si>
    <t>08/06/2020 3:55 PM</t>
  </si>
  <si>
    <t>20/05/2020 8:49 PM</t>
  </si>
  <si>
    <t>01/06/2020 10:23 PM</t>
  </si>
  <si>
    <t>29/05/2020 4:06 PM</t>
  </si>
  <si>
    <t>01/06/2020 10:22 PM</t>
  </si>
  <si>
    <t>10/06/2020 8:42 AM</t>
  </si>
  <si>
    <t>15/05/2020 2:32 PM</t>
  </si>
  <si>
    <t>10/06/2020 8:52 AM</t>
  </si>
  <si>
    <t>08/06/2020 4:01 PM</t>
  </si>
  <si>
    <t>10/06/2020 8:45 AM</t>
  </si>
  <si>
    <t>02/06/2020 2:30 PM</t>
  </si>
  <si>
    <t>29/05/2020 4:03 PM</t>
  </si>
  <si>
    <t>11/06/2020 11:30 AM</t>
  </si>
  <si>
    <t>28/02/2020 2:06 PM</t>
  </si>
  <si>
    <t>11/06/2020 10:45 AM</t>
  </si>
  <si>
    <t>11/06/2020 3:23 PM</t>
  </si>
  <si>
    <t>15/06/2020 12:20 PM</t>
  </si>
  <si>
    <t>11/06/2020 2:19 PM</t>
  </si>
  <si>
    <t>11/06/2020 2:17 PM</t>
  </si>
  <si>
    <t>05/06/2020 2:56 PM</t>
  </si>
  <si>
    <t>11/06/2020 2:48 PM</t>
  </si>
  <si>
    <t>01/06/2020 10:35 PM</t>
  </si>
  <si>
    <t>11/06/2020 10:40 AM</t>
  </si>
  <si>
    <t>01/06/2020 10:34 PM</t>
  </si>
  <si>
    <t>01/06/2020 10:30 PM</t>
  </si>
  <si>
    <t>11/06/2020 2:56 PM</t>
  </si>
  <si>
    <t>01/06/2020 10:36 PM</t>
  </si>
  <si>
    <t>01/06/2020 10:29 PM</t>
  </si>
  <si>
    <t>11/06/2020 2:39 PM</t>
  </si>
  <si>
    <t>09/06/2020 1:25 PM</t>
  </si>
  <si>
    <t>10/06/2020 10:29 AM</t>
  </si>
  <si>
    <t>11/06/2020 12:08 PM</t>
  </si>
  <si>
    <t>28/05/2020 5:37 PM</t>
  </si>
  <si>
    <t>01/06/2020 10:28 PM</t>
  </si>
  <si>
    <t>01/06/2020 10:38 PM</t>
  </si>
  <si>
    <t>11/06/2020 6:01 PM</t>
  </si>
  <si>
    <t>21/05/2020 3:47 PM</t>
  </si>
  <si>
    <t>11/06/2020 2:36 PM</t>
  </si>
  <si>
    <t>01/06/2020 10:33 PM</t>
  </si>
  <si>
    <t>09/06/2020 3:48 PM</t>
  </si>
  <si>
    <t>01/06/2020 10:32 PM</t>
  </si>
  <si>
    <t>01/06/2020 10:39 PM</t>
  </si>
  <si>
    <t>26/05/2020 12:16 PM</t>
  </si>
  <si>
    <t>01/06/2020 10:40 PM</t>
  </si>
  <si>
    <t>15/06/2020 2:12 PM</t>
  </si>
  <si>
    <t>03/06/2020 11:37 AM</t>
  </si>
  <si>
    <t>01/06/2020 10:37 PM</t>
  </si>
  <si>
    <t>11/06/2020 10:35 AM</t>
  </si>
  <si>
    <t>09/06/2020 10:57 PM</t>
  </si>
  <si>
    <t>10/06/2020 7:26 PM</t>
  </si>
  <si>
    <t>04/06/2020 11:39 AM</t>
  </si>
  <si>
    <t>11/06/2020 11:32 AM</t>
  </si>
  <si>
    <t>10/06/2020 2:44 PM</t>
  </si>
  <si>
    <t>27/05/2020 9:08 AM</t>
  </si>
  <si>
    <t>01/06/2020 10:42 PM</t>
  </si>
  <si>
    <t>11/06/2020 6:07 PM</t>
  </si>
  <si>
    <t>11/06/2020 10:39 AM</t>
  </si>
  <si>
    <t>11/06/2020 12:43 PM</t>
  </si>
  <si>
    <t>11/06/2020 1:57 PM</t>
  </si>
  <si>
    <t>02/06/2020 4:03 PM</t>
  </si>
  <si>
    <t>10/06/2020 2:39 PM</t>
  </si>
  <si>
    <t>02/06/2020 3:59 PM</t>
  </si>
  <si>
    <t>27/05/2020 3:35 PM</t>
  </si>
  <si>
    <t>10/06/2020 2:41 PM</t>
  </si>
  <si>
    <t>02/06/2020 3:49 PM</t>
  </si>
  <si>
    <t>11/06/2020 6:19 PM</t>
  </si>
  <si>
    <t>02/06/2020 3:55 PM</t>
  </si>
  <si>
    <t>11/06/2020 5:26 PM</t>
  </si>
  <si>
    <t>29/05/2020 3:17 PM</t>
  </si>
  <si>
    <t>11/06/2020 5:37 PM</t>
  </si>
  <si>
    <t>02/06/2020 4:11 PM</t>
  </si>
  <si>
    <t>11/06/2020 8:15 AM</t>
  </si>
  <si>
    <t>05/06/2020 7:52 PM</t>
  </si>
  <si>
    <t>11/06/2020 5:59 PM</t>
  </si>
  <si>
    <t>10/06/2020 7:17 PM</t>
  </si>
  <si>
    <t>11/06/2020 5:39 PM</t>
  </si>
  <si>
    <t>06/06/2020 2:27 PM</t>
  </si>
  <si>
    <t>09/06/2020 2:27 PM</t>
  </si>
  <si>
    <t>01/06/2020 9:34 PM</t>
  </si>
  <si>
    <t>14/05/2020 6:17 PM</t>
  </si>
  <si>
    <t>05/06/2020 8:07 PM</t>
  </si>
  <si>
    <t>02/06/2020 10:54 AM</t>
  </si>
  <si>
    <t>11/06/2020 3:12 PM</t>
  </si>
  <si>
    <t>11/06/2020 11:54 AM</t>
  </si>
  <si>
    <t>19/06/2020 5:00 PM</t>
  </si>
  <si>
    <t>23/06/2020 5:00 PM</t>
  </si>
  <si>
    <t>24/06/2020 8:00 AM</t>
  </si>
  <si>
    <t>06/07/2020 8:00 AM</t>
  </si>
  <si>
    <t>06/07/2020 2:00 PM</t>
  </si>
  <si>
    <t>07/07/2020 1:00 PM</t>
  </si>
  <si>
    <t>23/06/2020 2:00 PM</t>
  </si>
  <si>
    <t>19/06/2020 1:00 AM</t>
  </si>
  <si>
    <t>08/07/2020 10:00 AM</t>
  </si>
  <si>
    <t>19/06/2020 9:00 AM</t>
  </si>
  <si>
    <t>23/06/2020 9:00 AM</t>
  </si>
  <si>
    <t>06/07/2020 10:00 AM</t>
  </si>
  <si>
    <t>07/07/2020 10:00 AM</t>
  </si>
  <si>
    <t>22/06/2020 1:30 PM</t>
  </si>
  <si>
    <t>19/06/2020 10:00 AM</t>
  </si>
  <si>
    <t>07/07/2020 9:00 AM</t>
  </si>
  <si>
    <t>23/06/2020 1:00 PM</t>
  </si>
  <si>
    <t>24/06/2020 1:00 AM</t>
  </si>
  <si>
    <t>24/06/2020 10:00 AM</t>
  </si>
  <si>
    <t>23/06/2020 9:30 AM</t>
  </si>
  <si>
    <t>06/07/2020 9:00 AM</t>
  </si>
  <si>
    <t>23/06/2020 9:15 AM</t>
  </si>
  <si>
    <t>23/06/2020 10:00 AM</t>
  </si>
  <si>
    <t>13/07/2020 10:00 AM</t>
  </si>
  <si>
    <t>23/06/2020 10:15 AM</t>
  </si>
  <si>
    <t>25/06/2020 1:00 AM</t>
  </si>
  <si>
    <t>24/06/2020 9:00 AM</t>
  </si>
  <si>
    <t>19/06/2020 1:30 PM</t>
  </si>
  <si>
    <t>22/06/2020 2:00 PM</t>
  </si>
  <si>
    <t>25/06/2020 9:00 AM</t>
  </si>
  <si>
    <t>19/06/2020 12:00 PM</t>
  </si>
  <si>
    <t>23/06/2020 1:00 AM</t>
  </si>
  <si>
    <t>18/06/2020 1:00 AM</t>
  </si>
  <si>
    <t>24/06/2020 2:00 PM</t>
  </si>
  <si>
    <t>23/06/2020 1:30 PM</t>
  </si>
  <si>
    <t>29/06/2020 5:00 PM</t>
  </si>
  <si>
    <t>09/07/2020 9:00 AM</t>
  </si>
  <si>
    <t>26/06/2020 10:00 AM</t>
  </si>
  <si>
    <t>08/07/2020 9:30 AM</t>
  </si>
  <si>
    <t>29/06/2020 1:00 PM</t>
  </si>
  <si>
    <t>25/06/2020 11:00 PM</t>
  </si>
  <si>
    <t>22/06/2020 12:00 PM</t>
  </si>
  <si>
    <t>19/06/2020 8:00 AM</t>
  </si>
  <si>
    <t>22/06/2020 1:12 PM</t>
  </si>
  <si>
    <t>25/06/2020 2:00 AM</t>
  </si>
  <si>
    <t>19/06/2020 2:00 PM</t>
  </si>
  <si>
    <t>19/06/2020 11:30 PM</t>
  </si>
  <si>
    <t>07/07/2020 1:00 AM</t>
  </si>
  <si>
    <t>22/06/2020 1:00 AM</t>
  </si>
  <si>
    <t>19/06/2020 12:00 AM</t>
  </si>
  <si>
    <t>03/07/2020 2:00 PM</t>
  </si>
  <si>
    <t>22/06/2020 9:00 AM</t>
  </si>
  <si>
    <t>07/07/2020 2:00 PM</t>
  </si>
  <si>
    <t>18/06/2020 5:00 PM</t>
  </si>
  <si>
    <t>19/06/2020 12:01 PM</t>
  </si>
  <si>
    <t>24/06/2020 1:10 AM</t>
  </si>
  <si>
    <t>06/07/2020 11:00 AM</t>
  </si>
  <si>
    <t>19/06/2020 4:00 PM</t>
  </si>
  <si>
    <t>01/07/2020 10:00 AM</t>
  </si>
  <si>
    <t>18/06/2020 9:00 AM</t>
  </si>
  <si>
    <t>23/06/2020 2:00 AM</t>
  </si>
  <si>
    <t>30/06/2020 2:00 PM</t>
  </si>
  <si>
    <t>25/06/2020 10:00 AM</t>
  </si>
  <si>
    <t>08/07/2020 11:30 AM</t>
  </si>
  <si>
    <t>24/06/2020 1:00 PM</t>
  </si>
  <si>
    <t>19/06/2020 1:00 PM</t>
  </si>
  <si>
    <t>24/06/2020 11:30 AM</t>
  </si>
  <si>
    <t>19/06/2020 3:00 PM</t>
  </si>
  <si>
    <t>08/07/2020 9:00 AM</t>
  </si>
  <si>
    <t>18/06/2020 10:00 AM</t>
  </si>
  <si>
    <t>19/06/2020 1:05 PM</t>
  </si>
  <si>
    <t>23/06/2020 4:00 PM</t>
  </si>
  <si>
    <t>19/06/2020 4:30 PM</t>
  </si>
  <si>
    <t>29/06/2020 2:00 PM</t>
  </si>
  <si>
    <t>18/06/2020 9:01 AM</t>
  </si>
  <si>
    <t>22/06/2020 10:00 AM</t>
  </si>
  <si>
    <t>22/06/2020 5:00 PM</t>
  </si>
  <si>
    <t>03/07/2020 1:00 PM</t>
  </si>
  <si>
    <t>18/06/2020 8:00 AM</t>
  </si>
  <si>
    <t>18/06/2020 9:09 AM</t>
  </si>
  <si>
    <t>23/06/2020 8:00 AM</t>
  </si>
  <si>
    <t>17/06/2020 9:00 AM</t>
  </si>
  <si>
    <t>26/06/2020 1:00 PM</t>
  </si>
  <si>
    <t>03/07/2020 10:00 AM</t>
  </si>
  <si>
    <t>30/06/2020 10:00 AM</t>
  </si>
  <si>
    <t>22/06/2020 1:00 PM</t>
  </si>
  <si>
    <t>03/07/2020 1:00 AM</t>
  </si>
  <si>
    <t>25/06/2020 2:00 PM</t>
  </si>
  <si>
    <t>30/06/2020 9:00 AM</t>
  </si>
  <si>
    <t>19/06/2020 8:59 AM</t>
  </si>
  <si>
    <t>23/06/2020 11:00 AM</t>
  </si>
  <si>
    <t>26/06/2020 1:00 AM</t>
  </si>
  <si>
    <t>25/06/2020 11:00 AM</t>
  </si>
  <si>
    <t>23/06/2020 12:00 AM</t>
  </si>
  <si>
    <t>08/07/2020 12:30 PM</t>
  </si>
  <si>
    <t>30/06/2020 11:00 AM</t>
  </si>
  <si>
    <t>29/06/2020 10:00 AM</t>
  </si>
  <si>
    <t>18/06/2020 9:45 AM</t>
  </si>
  <si>
    <t>19/06/2020 8:30 AM</t>
  </si>
  <si>
    <t>23/06/2020 12:00 PM</t>
  </si>
  <si>
    <t>01/07/2020 9:00 AM</t>
  </si>
  <si>
    <t>18/06/2020 9:59 AM</t>
  </si>
  <si>
    <t>19/06/2020 6:00 PM</t>
  </si>
  <si>
    <t>14/07/2020 10:00 AM</t>
  </si>
  <si>
    <t>22/06/2020 8:00 AM</t>
  </si>
  <si>
    <t>09/07/2020 9:30 AM</t>
  </si>
  <si>
    <t>29/06/2020 9:00 AM</t>
  </si>
  <si>
    <t>30/06/2020 1:00 AM</t>
  </si>
  <si>
    <t>03/07/2020 2:00 AM</t>
  </si>
  <si>
    <t>01/07/2020 1:00 AM</t>
  </si>
  <si>
    <t>19/06/2020 5:00 AM</t>
  </si>
  <si>
    <t>07/07/2020 12:00 PM</t>
  </si>
  <si>
    <t>07/07/2020 9:30 AM</t>
  </si>
  <si>
    <t>09/07/2020 10:00 AM</t>
  </si>
  <si>
    <t>13/07/2020 2:00 PM</t>
  </si>
  <si>
    <t>25/06/2020 1:00 PM</t>
  </si>
  <si>
    <t>19/06/2020 9:15 AM</t>
  </si>
  <si>
    <t>18/06/2020 12:00 PM</t>
  </si>
  <si>
    <t>25/06/2020 7:00 AM</t>
  </si>
  <si>
    <t>23/06/2020 8:59 AM</t>
  </si>
  <si>
    <t>08/07/2020 2:00 PM</t>
  </si>
  <si>
    <t>19/06/2020 5:05 PM</t>
  </si>
  <si>
    <t>19/06/2020 1:31 PM</t>
  </si>
  <si>
    <t>08/07/2020 10:30 AM</t>
  </si>
  <si>
    <t>06/07/2020 1:00 PM</t>
  </si>
  <si>
    <t>23/06/2020 11:15 AM</t>
  </si>
  <si>
    <t>26/06/2020 2:00 PM</t>
  </si>
  <si>
    <t>08/07/2020 8:00 AM</t>
  </si>
  <si>
    <t>09/07/2020 1:30 PM</t>
  </si>
  <si>
    <t>18/06/2020 4:30 PM</t>
  </si>
  <si>
    <t>23/06/2020 1:15 PM</t>
  </si>
  <si>
    <t>19/06/2020 7:00 AM</t>
  </si>
  <si>
    <t>13/07/2020 1:30 PM</t>
  </si>
  <si>
    <t>07/07/2020 1:30 PM</t>
  </si>
  <si>
    <t>25/06/2020 2:30 PM</t>
  </si>
  <si>
    <t>22/06/2020 4:00 PM</t>
  </si>
  <si>
    <t>19/06/2020 12:05 PM</t>
  </si>
  <si>
    <t>08/07/2020 1:00 AM</t>
  </si>
  <si>
    <t>07/07/2020 11:30 AM</t>
  </si>
  <si>
    <t>22/06/2020 11:00 AM</t>
  </si>
  <si>
    <t>06/07/2020 1:30 PM</t>
  </si>
  <si>
    <t>22/06/2020 12:30 PM</t>
  </si>
  <si>
    <t>22/06/2020 8:30 AM</t>
  </si>
  <si>
    <t>23/06/2020 2:06 PM</t>
  </si>
  <si>
    <t>02/07/2020 1:00 AM</t>
  </si>
  <si>
    <t>25/06/2020 5:00 PM</t>
  </si>
  <si>
    <t>17/06/2020 10:00 AM</t>
  </si>
  <si>
    <t>07/07/2020 10:30 AM</t>
  </si>
  <si>
    <t>07/07/2020 11:15 AM</t>
  </si>
  <si>
    <t>23/06/2020 2:15 PM</t>
  </si>
  <si>
    <t>19/06/2020 2:45 PM</t>
  </si>
  <si>
    <t>01/07/2020 5:00 PM</t>
  </si>
  <si>
    <t>23/06/2020 8:30 AM</t>
  </si>
  <si>
    <t>19/06/2020 2:00 AM</t>
  </si>
  <si>
    <t>17/06/2020 8:00 AM</t>
  </si>
  <si>
    <t>23/06/2020 7:00 AM</t>
  </si>
  <si>
    <t>25/06/2020 5:05 PM</t>
  </si>
  <si>
    <t>06/07/2020 1:00 AM</t>
  </si>
  <si>
    <t>06/07/2020 12:00 PM</t>
  </si>
  <si>
    <t>30/06/2020 3:00 PM</t>
  </si>
  <si>
    <t>18/06/2020 2:00 PM</t>
  </si>
  <si>
    <t>19/06/2020 10:30 AM</t>
  </si>
  <si>
    <t>25/06/2020 12:00 PM</t>
  </si>
  <si>
    <t>17/06/2020 1:00 AM</t>
  </si>
  <si>
    <t>22/06/2020 3:00 PM</t>
  </si>
  <si>
    <t>16/07/2020 9:30 AM</t>
  </si>
  <si>
    <t>23/06/2020 3:00 PM</t>
  </si>
  <si>
    <t>18/06/2020 2:00 AM</t>
  </si>
  <si>
    <t>10/07/2020 10:00 AM</t>
  </si>
  <si>
    <t>06/07/2020 5:00 PM</t>
  </si>
  <si>
    <t>19/06/2020 9:30 AM</t>
  </si>
  <si>
    <t>02/07/2020 8:00 AM</t>
  </si>
  <si>
    <t>17/06/2020 2:00 PM</t>
  </si>
  <si>
    <t>17/06/2020 12:00 PM</t>
  </si>
  <si>
    <t>23/06/2020 9:05 AM</t>
  </si>
  <si>
    <t>26/06/2020 9:00 AM</t>
  </si>
  <si>
    <t>18/06/2020 3:00 PM</t>
  </si>
  <si>
    <t>23/06/2020 1:12 AM</t>
  </si>
  <si>
    <t>24/06/2020 5:00 AM</t>
  </si>
  <si>
    <t>17/06/2020 3:00 PM</t>
  </si>
  <si>
    <t>26/06/2020 5:00 PM</t>
  </si>
  <si>
    <t>19/06/2020 8:00 PM</t>
  </si>
  <si>
    <t>22/06/2020 11:30 AM</t>
  </si>
  <si>
    <t>16/07/2020 1:00 PM</t>
  </si>
  <si>
    <t>22/07/2020 9:00 AM</t>
  </si>
  <si>
    <t>03/07/2020 9:00 AM</t>
  </si>
  <si>
    <t>08/07/2020 10:10 AM</t>
  </si>
  <si>
    <t>23/06/2020 2:30 PM</t>
  </si>
  <si>
    <t>18/06/2020 1:30 PM</t>
  </si>
  <si>
    <t>29/06/2020 1:00 AM</t>
  </si>
  <si>
    <t>19/06/2020 11:00 AM</t>
  </si>
  <si>
    <t>16/07/2020 12:00 PM</t>
  </si>
  <si>
    <t>26/06/2020 11:00 AM</t>
  </si>
  <si>
    <t>24/06/2020 5:00 PM</t>
  </si>
  <si>
    <t>24/06/2020 10:30 AM</t>
  </si>
  <si>
    <t>06/07/2020 1:30 AM</t>
  </si>
  <si>
    <t>02/07/2020 10:00 AM</t>
  </si>
  <si>
    <t>25/06/2020 4:00 PM</t>
  </si>
  <si>
    <t>08/07/2020 2:00 AM</t>
  </si>
  <si>
    <t>26/06/2020 4:00 PM</t>
  </si>
  <si>
    <t>03/08/2020 1:30 PM</t>
  </si>
  <si>
    <t>25/06/2020 9:30 AM</t>
  </si>
  <si>
    <t>18/06/2020 1:00 PM</t>
  </si>
  <si>
    <t>06/07/2020 8:59 AM</t>
  </si>
  <si>
    <t>06/07/2020 9:30 AM</t>
  </si>
  <si>
    <t>06/07/2020 10:30 AM</t>
  </si>
  <si>
    <t>18/06/2020 4:00 PM</t>
  </si>
  <si>
    <t>23/06/2020 10:30 AM</t>
  </si>
  <si>
    <t>24/06/2020 3:00 PM</t>
  </si>
  <si>
    <t>29/06/2020 2:02 PM</t>
  </si>
  <si>
    <t>30/06/2020 8:00 AM</t>
  </si>
  <si>
    <t>17/07/2020 1:00 AM</t>
  </si>
  <si>
    <t>19/06/2020 9:01 AM</t>
  </si>
  <si>
    <t>13/07/2020 1:00 PM</t>
  </si>
  <si>
    <t>24/06/2020 11:00 AM</t>
  </si>
  <si>
    <t>10/07/2020 9:00 AM</t>
  </si>
  <si>
    <t>18/06/2020 12:00 AM</t>
  </si>
  <si>
    <t>07/07/2020 2:00 AM</t>
  </si>
  <si>
    <t>03/07/2020 11:59 PM</t>
  </si>
  <si>
    <t>23/06/2020 9:45 AM</t>
  </si>
  <si>
    <t>17/06/2020 1:00 PM</t>
  </si>
  <si>
    <t>17/06/2020 5:00 PM</t>
  </si>
  <si>
    <t>15/07/2020 5:00 PM</t>
  </si>
  <si>
    <t>15/07/2020 10:00 AM</t>
  </si>
  <si>
    <t>30/06/2020 5:00 PM</t>
  </si>
  <si>
    <t>15/07/2020 2:01 PM</t>
  </si>
  <si>
    <t>14/07/2020 2:00 PM</t>
  </si>
  <si>
    <t>14/07/2020 9:00 AM</t>
  </si>
  <si>
    <t>23/07/2020 9:00 AM</t>
  </si>
  <si>
    <t>23/07/2020 10:00 AM</t>
  </si>
  <si>
    <t>30/06/2020 1:00 PM</t>
  </si>
  <si>
    <t>29/06/2020 4:00 PM</t>
  </si>
  <si>
    <t>18/06/2020 3:00 AM</t>
  </si>
  <si>
    <t>23/07/2020 1:00 PM</t>
  </si>
  <si>
    <t>29/06/2020 3:00 PM</t>
  </si>
  <si>
    <t>29/06/2020 11:00 AM</t>
  </si>
  <si>
    <t>23/07/2020 2:00 PM</t>
  </si>
  <si>
    <t>22/06/2020 7:00 AM</t>
  </si>
  <si>
    <t>26/06/2020 1:30 PM</t>
  </si>
  <si>
    <t>22/06/2020 9:30 AM</t>
  </si>
  <si>
    <t>23/06/2020 1:05 PM</t>
  </si>
  <si>
    <t>09/07/2020 1:00 PM</t>
  </si>
  <si>
    <t>18/06/2020 5:00 AM</t>
  </si>
  <si>
    <t>22/06/2020 1:01 AM</t>
  </si>
  <si>
    <t>18/06/2020 12:54 PM</t>
  </si>
  <si>
    <t>18/06/2020 1:36 PM</t>
  </si>
  <si>
    <t>22/06/2020 8:00 PM</t>
  </si>
  <si>
    <t>01/07/2020 1:00 PM</t>
  </si>
  <si>
    <t>22/06/2020 9:00 PM</t>
  </si>
  <si>
    <t>02/07/2020 3:00 PM</t>
  </si>
  <si>
    <t>16/06/2020 9:00 AM</t>
  </si>
  <si>
    <t>17/06/2020 5:00 AM</t>
  </si>
  <si>
    <t>29/06/2020 12:00 PM</t>
  </si>
  <si>
    <t>17/06/2020 11:00 AM</t>
  </si>
  <si>
    <t>16/06/2020 5:00 PM</t>
  </si>
  <si>
    <t>16/06/2020 10:00 AM</t>
  </si>
  <si>
    <t>16/06/2020 5:00 AM</t>
  </si>
  <si>
    <t>29/06/2020 8:00 AM</t>
  </si>
  <si>
    <t>16/06/2020 8:00 AM</t>
  </si>
  <si>
    <t>17/06/2020 6:00 AM</t>
  </si>
  <si>
    <t>16/06/2020 1:00 PM</t>
  </si>
  <si>
    <t>16/06/2020 3:00 PM</t>
  </si>
  <si>
    <t>02/07/2020 9:00 AM</t>
  </si>
  <si>
    <t>16/06/2020 1:00 AM</t>
  </si>
  <si>
    <t>17/06/2020 1:30 PM</t>
  </si>
  <si>
    <t>07/07/2020 8:30 AM</t>
  </si>
  <si>
    <t>01/07/2020 9:30 AM</t>
  </si>
  <si>
    <t>16/06/2020 9:30 AM</t>
  </si>
  <si>
    <t>02/07/2020 1:00 PM</t>
  </si>
  <si>
    <t>16/06/2020 9:15 AM</t>
  </si>
  <si>
    <t>01/07/2020 12:00 PM</t>
  </si>
  <si>
    <t>07/07/2020 11:00 PM</t>
  </si>
  <si>
    <t>16/06/2020 12:00 PM</t>
  </si>
  <si>
    <t>16/06/2020 11:00 AM</t>
  </si>
  <si>
    <t>16/06/2020 4:00 PM</t>
  </si>
  <si>
    <t>26/06/2020 8:00 AM</t>
  </si>
  <si>
    <t>24/06/2020 8:30 AM</t>
  </si>
  <si>
    <t>16/06/2020 9:45 AM</t>
  </si>
  <si>
    <t>17/06/2020 4:59 PM</t>
  </si>
  <si>
    <t>16/06/2020 2:00 PM</t>
  </si>
  <si>
    <t>17/06/2020 4:59 AM</t>
  </si>
  <si>
    <t>19/06/2020 11:59 PM</t>
  </si>
  <si>
    <t>03/07/2020 1:30 PM</t>
  </si>
  <si>
    <t>16/06/2020 6:00 PM</t>
  </si>
  <si>
    <t>18/06/2020 9:30 AM</t>
  </si>
  <si>
    <t>16/06/2020 10:30 AM</t>
  </si>
  <si>
    <t>02/07/2020 9:30 AM</t>
  </si>
  <si>
    <t>17/06/2020 4:00 PM</t>
  </si>
  <si>
    <t>26/06/2020 3:00 PM</t>
  </si>
  <si>
    <t>16/06/2020 8:30 AM</t>
  </si>
  <si>
    <t>01/07/2020 1:30 PM</t>
  </si>
  <si>
    <t>18/06/2020 1:45 PM</t>
  </si>
  <si>
    <t>02/07/2020 2:00 PM</t>
  </si>
  <si>
    <t>16/06/2020 1:30 PM</t>
  </si>
  <si>
    <t>01/07/2020 2:00 PM</t>
  </si>
  <si>
    <t>09/07/2020 2:00 PM</t>
  </si>
  <si>
    <t>25/06/2020 8:00 AM</t>
  </si>
  <si>
    <t>01/07/2020 8:30 AM</t>
  </si>
  <si>
    <t>01/07/2020 3:00 PM</t>
  </si>
  <si>
    <t>17/06/2020 12:55 PM</t>
  </si>
  <si>
    <t>19/06/2020 11:00 PM</t>
  </si>
  <si>
    <t>08/07/2020 8:30 AM</t>
  </si>
  <si>
    <t>30/06/2020 2:30 PM</t>
  </si>
  <si>
    <t>01/07/2020 11:00 PM</t>
  </si>
  <si>
    <t>16/06/2020 5:05 PM</t>
  </si>
  <si>
    <t>03/07/2020 8:30 AM</t>
  </si>
  <si>
    <t>03/07/2020 10:30 AM</t>
  </si>
  <si>
    <t>01/07/2020 11:00 AM</t>
  </si>
  <si>
    <t>22/06/2020 10:30 AM</t>
  </si>
  <si>
    <t>17/06/2020 4:30 PM</t>
  </si>
  <si>
    <t>16/06/2020 9:09 AM</t>
  </si>
  <si>
    <t>17/06/2020 3:00 AM</t>
  </si>
  <si>
    <t>03/07/2020 3:00 PM</t>
  </si>
  <si>
    <t>02/07/2020 9:45 AM</t>
  </si>
  <si>
    <t>01/07/2020 4:00 PM</t>
  </si>
  <si>
    <t>13/07/2020 1:00 AM</t>
  </si>
  <si>
    <t>03/07/2020 3:30 PM</t>
  </si>
  <si>
    <t>25/06/2020 11:30 AM</t>
  </si>
  <si>
    <t>02/07/2020 10:50 AM</t>
  </si>
  <si>
    <t>17/07/2020 10:00 AM</t>
  </si>
  <si>
    <t>22/06/2020 1:02 PM</t>
  </si>
  <si>
    <t>06/07/2020 3:00 PM</t>
  </si>
  <si>
    <t>19/06/2020 1:11 AM</t>
  </si>
  <si>
    <t>06/07/2020 8:30 AM</t>
  </si>
  <si>
    <t>18/06/2020 11:00 AM</t>
  </si>
  <si>
    <t>18/06/2020 2:30 PM</t>
  </si>
  <si>
    <t>02/07/2020 12:00 PM</t>
  </si>
  <si>
    <t>02/07/2020 2:30 PM</t>
  </si>
  <si>
    <t>30/06/2020 9:30 AM</t>
  </si>
  <si>
    <t>30/06/2020 10:15 AM</t>
  </si>
  <si>
    <t>30/06/2020 9:15 AM</t>
  </si>
  <si>
    <t>17/06/2020 10:30 AM</t>
  </si>
  <si>
    <t>03/07/2020 9:30 AM</t>
  </si>
  <si>
    <t>14/07/2020 1:30 PM</t>
  </si>
  <si>
    <t>26/06/2020 9:30 AM</t>
  </si>
  <si>
    <t>29/06/2020 11:30 AM</t>
  </si>
  <si>
    <t>18/06/2020 1:09 AM</t>
  </si>
  <si>
    <t>18/06/2020 1:10 AM</t>
  </si>
  <si>
    <t>18/06/2020 8:30 AM</t>
  </si>
  <si>
    <t>25/06/2020 1:30 PM</t>
  </si>
  <si>
    <t>29/06/2020 12:30 PM</t>
  </si>
  <si>
    <t>30/06/2020 8:30 AM</t>
  </si>
  <si>
    <t>25/06/2020 1:30 AM</t>
  </si>
  <si>
    <t>29/06/2020 10:30 AM</t>
  </si>
  <si>
    <t>16/06/2020 1:01 PM</t>
  </si>
  <si>
    <t>18/06/2020 10:30 AM</t>
  </si>
  <si>
    <t>17/06/2020 1:04 PM</t>
  </si>
  <si>
    <t>03/07/2020 11:00 AM</t>
  </si>
  <si>
    <t>18/06/2020 10:10 AM</t>
  </si>
  <si>
    <t>01/07/2020 11:59 PM</t>
  </si>
  <si>
    <t>07/07/2020 11:00 AM</t>
  </si>
  <si>
    <t>18/06/2020 11:30 AM</t>
  </si>
  <si>
    <t>01/07/2020 1:09 AM</t>
  </si>
  <si>
    <t>08/07/2020 11:00 AM</t>
  </si>
  <si>
    <t>06/07/2020 5:00 AM</t>
  </si>
  <si>
    <t>08/07/2020 1:00 PM</t>
  </si>
  <si>
    <t>16/06/2020 2:00 AM</t>
  </si>
  <si>
    <t>08/07/2020 3:00 PM</t>
  </si>
  <si>
    <t>09/07/2020 11:00 AM</t>
  </si>
  <si>
    <t>30/06/2020 12:00 PM</t>
  </si>
  <si>
    <t>23/06/2020 3:00 AM</t>
  </si>
  <si>
    <t>29/06/2020 1:30 PM</t>
  </si>
  <si>
    <t>30/06/2020 1:30 PM</t>
  </si>
  <si>
    <t>01/07/2020 8:00 AM</t>
  </si>
  <si>
    <t>30/06/2020 5:00 AM</t>
  </si>
  <si>
    <t>02/07/2020 10:30 AM</t>
  </si>
  <si>
    <t>16/06/2020 4:30 PM</t>
  </si>
  <si>
    <t>30/06/2020 2:05 PM</t>
  </si>
  <si>
    <t>30/06/2020 11:30 AM</t>
  </si>
  <si>
    <t>17/06/2020 2:30 PM</t>
  </si>
  <si>
    <t>02/07/2020 11:00 AM</t>
  </si>
  <si>
    <t>02/07/2020 1:30 PM</t>
  </si>
  <si>
    <t>17/06/2020 8:30 AM</t>
  </si>
  <si>
    <t>19/06/2020 9:31 AM</t>
  </si>
  <si>
    <t>19/06/2020 2:30 PM</t>
  </si>
  <si>
    <t>02/07/2020 12:30 PM</t>
  </si>
  <si>
    <t>01/07/2020 8:59 AM</t>
  </si>
  <si>
    <t>22/06/2020 1:30 AM</t>
  </si>
  <si>
    <t>17/06/2020 1:15 PM</t>
  </si>
  <si>
    <t>21/07/2020 9:00 AM</t>
  </si>
  <si>
    <t>21/07/2020 10:00 AM</t>
  </si>
  <si>
    <t>21/07/2020 1:00 PM</t>
  </si>
  <si>
    <t>21/07/2020 3:00 PM</t>
  </si>
  <si>
    <t>21/07/2020 2:00 PM</t>
  </si>
  <si>
    <t>18/06/2020 7:00 AM</t>
  </si>
  <si>
    <t>30/07/2020 9:00 AM</t>
  </si>
  <si>
    <t>30/06/2020 10:30 AM</t>
  </si>
  <si>
    <t>01/07/2020 8:50 AM</t>
  </si>
  <si>
    <t>01/07/2020 9:50 AM</t>
  </si>
  <si>
    <t>01/07/2020 10:50 AM</t>
  </si>
  <si>
    <t>17/07/2020 12:00 PM</t>
  </si>
  <si>
    <t>01/07/2020 1:50 PM</t>
  </si>
  <si>
    <t>01/07/2020 12:50 PM</t>
  </si>
  <si>
    <t>03/07/2020 3:00 AM</t>
  </si>
  <si>
    <t>06/07/2020 1:29 PM</t>
  </si>
  <si>
    <t>17/06/2020 10:45 AM</t>
  </si>
  <si>
    <t>25/06/2020 10:30 AM</t>
  </si>
  <si>
    <t>17/06/2020 9:30 AM</t>
  </si>
  <si>
    <t>30/06/2020 9:45 AM</t>
  </si>
  <si>
    <t>17/06/2020 11:30 AM</t>
  </si>
  <si>
    <t>29/06/2020 8:30 AM</t>
  </si>
  <si>
    <t>29/06/2020 9:15 AM</t>
  </si>
  <si>
    <t>17/06/2020 11:59 AM</t>
  </si>
  <si>
    <t>27/07/2020 2:00 PM</t>
  </si>
  <si>
    <t>16/06/2020 2:30 PM</t>
  </si>
  <si>
    <t>17/06/2020 2:06 PM</t>
  </si>
  <si>
    <t>16/06/2020 2:30 AM</t>
  </si>
  <si>
    <t>17/06/2020 12:00 AM</t>
  </si>
  <si>
    <t>17/06/2020 11:55 AM</t>
  </si>
  <si>
    <t>24/06/2020 1:30 PM</t>
  </si>
  <si>
    <t>16/06/2020 4:00 AM</t>
  </si>
  <si>
    <t>17/06/2020 7:00 PM</t>
  </si>
  <si>
    <t>17/06/2020 7:00 AM</t>
  </si>
  <si>
    <t>16/06/2020 7:00 AM</t>
  </si>
  <si>
    <t>16/06/2020 11:30 AM</t>
  </si>
  <si>
    <t>03/07/2020 5:00 PM</t>
  </si>
  <si>
    <t>10/07/2020 1:30 PM</t>
  </si>
  <si>
    <t>29/06/2020 1:45 PM</t>
  </si>
  <si>
    <t>29/06/2020 3:45 PM</t>
  </si>
  <si>
    <t>17/06/2020 2:00 AM</t>
  </si>
  <si>
    <t>18/06/2020 2:05 PM</t>
  </si>
  <si>
    <t>24/07/2020 10:00 AM</t>
  </si>
  <si>
    <t>30/06/2020 8:59 AM</t>
  </si>
  <si>
    <t>29/06/2020 10:05 AM</t>
  </si>
  <si>
    <t>29/06/2020 2:15 PM</t>
  </si>
  <si>
    <t>13/07/2020 12:00 PM</t>
  </si>
  <si>
    <t>30/06/2020 2:10 PM</t>
  </si>
  <si>
    <t>30/06/2020 1:59 PM</t>
  </si>
  <si>
    <t>30/06/2020 4:00 PM</t>
  </si>
  <si>
    <t>25/06/2020 8:30 AM</t>
  </si>
  <si>
    <t>26/06/2020 5:00 AM</t>
  </si>
  <si>
    <t>16/06/2020 1:05 PM</t>
  </si>
  <si>
    <t>29/06/2020 9:30 AM</t>
  </si>
  <si>
    <t>29/07/2020 9:00 AM</t>
  </si>
  <si>
    <t>29/06/2020 9:45 AM</t>
  </si>
  <si>
    <t>16/06/2020 8:59 AM</t>
  </si>
  <si>
    <t>16/06/2020 10:15 AM</t>
  </si>
  <si>
    <t>16/06/2020 2:06 PM</t>
  </si>
  <si>
    <t>16/06/2020 1:15 PM</t>
  </si>
  <si>
    <t>16/06/2020 11:15 AM</t>
  </si>
  <si>
    <t>16/06/2020 2:15 AM</t>
  </si>
  <si>
    <t>30/06/2020 1:45 PM</t>
  </si>
  <si>
    <t>17/06/2020 1:30 AM</t>
  </si>
  <si>
    <t>16/07/2020 10:00 AM</t>
  </si>
  <si>
    <t>29/06/2020 2:30 PM</t>
  </si>
  <si>
    <t>10/07/2020 5:00 PM</t>
  </si>
  <si>
    <t>16/06/2020 11:59 PM</t>
  </si>
  <si>
    <t>16/06/2020 6:16 AM</t>
  </si>
  <si>
    <t>23/06/2020 9:59 AM</t>
  </si>
  <si>
    <t>06/07/2020 2:00 AM</t>
  </si>
  <si>
    <t>29/06/2020 2:00 AM</t>
  </si>
  <si>
    <t>30/06/2020 2:00 AM</t>
  </si>
  <si>
    <t>30/06/2020 3:00 AM</t>
  </si>
  <si>
    <t>17/06/2020 2:32 PM</t>
  </si>
  <si>
    <t>29/07/2020 9:30 AM</t>
  </si>
  <si>
    <t>29/06/2020 8:45 AM</t>
  </si>
  <si>
    <t>29/06/2020 5:00 AM</t>
  </si>
  <si>
    <t>08/07/2020 12:00 PM</t>
  </si>
  <si>
    <t>29/06/2020 2:10 PM</t>
  </si>
  <si>
    <t>30/06/2020 8:45 AM</t>
  </si>
  <si>
    <t>17/06/2020 5:05 PM</t>
  </si>
  <si>
    <t>16/06/2020 8:00 PM</t>
  </si>
  <si>
    <t>30/06/2020 11:59 PM</t>
  </si>
  <si>
    <t>02/07/2020 8:30 AM</t>
  </si>
  <si>
    <t>16/06/2020 3:30 PM</t>
  </si>
  <si>
    <t>06/07/2020 4:00 PM</t>
  </si>
  <si>
    <t>26/06/2020 8:30 AM</t>
  </si>
  <si>
    <t>26/06/2020 10:30 AM</t>
  </si>
  <si>
    <t>22/06/2020 8:45 AM</t>
  </si>
  <si>
    <t>25/06/2020 3:00 PM</t>
  </si>
  <si>
    <t>09/07/2020 3:00 PM</t>
  </si>
  <si>
    <t>20/07/2020 10:00 AM</t>
  </si>
  <si>
    <t>24/06/2020 12:00 PM</t>
  </si>
  <si>
    <t>25/06/2020 1:59 PM</t>
  </si>
  <si>
    <t>07/07/2020 5:00 PM</t>
  </si>
  <si>
    <t>24/06/2020 9:59 AM</t>
  </si>
  <si>
    <t>26/06/2020 12:00 PM</t>
  </si>
  <si>
    <t>26/06/2020 2:30 PM</t>
  </si>
  <si>
    <t>25/06/2020 12:00 AM</t>
  </si>
  <si>
    <t>02/07/2020 5:00 PM</t>
  </si>
  <si>
    <t>20/07/2020 1:00 PM</t>
  </si>
  <si>
    <t>20/07/2020 2:00 PM</t>
  </si>
  <si>
    <t>20/07/2020 3:00 PM</t>
  </si>
  <si>
    <t>20/07/2020 9:00 AM</t>
  </si>
  <si>
    <t>25/06/2020 9:59 AM</t>
  </si>
  <si>
    <t>23/06/2020 11:30 AM</t>
  </si>
  <si>
    <t>24/06/2020 1:01 PM</t>
  </si>
  <si>
    <t>24/06/2020 9:30 AM</t>
  </si>
  <si>
    <t>24/06/2020 4:00 PM</t>
  </si>
  <si>
    <t>23/06/2020 10:01 AM</t>
  </si>
  <si>
    <t>24/06/2020 4:00 AM</t>
  </si>
  <si>
    <t>22/06/2020 2:30 PM</t>
  </si>
  <si>
    <t>25/06/2020 5:00 AM</t>
  </si>
  <si>
    <t>18/06/2020 6:00 PM</t>
  </si>
  <si>
    <t>23/06/2020 5:00 AM</t>
  </si>
  <si>
    <t>23/06/2020 9:01 AM</t>
  </si>
  <si>
    <t>22/06/2020 2:00 AM</t>
  </si>
  <si>
    <t>22/06/2020 3:30 PM</t>
  </si>
  <si>
    <t>23/06/2020 10:00 PM</t>
  </si>
  <si>
    <t>22/06/2020 12:00 AM</t>
  </si>
  <si>
    <t>18/06/2020 3:30 PM</t>
  </si>
  <si>
    <t>29/06/2020 1:12 PM</t>
  </si>
  <si>
    <t>22/06/2020 10:01 AM</t>
  </si>
  <si>
    <t>23/06/2020 2:30 AM</t>
  </si>
  <si>
    <t>23/06/2020 12:30 PM</t>
  </si>
  <si>
    <t>24/06/2020 8:59 AM</t>
  </si>
  <si>
    <t>23/06/2020 3:30 PM</t>
  </si>
  <si>
    <t>23/06/2020 10:45 AM</t>
  </si>
  <si>
    <t>23/06/2020 4:30 PM</t>
  </si>
  <si>
    <t>22/06/2020 12:55 PM</t>
  </si>
  <si>
    <t>23/06/2020 8:50 AM</t>
  </si>
  <si>
    <t>23/06/2020 1:59 PM</t>
  </si>
  <si>
    <t>16/06/2020 11:59 AM</t>
  </si>
  <si>
    <t>27/07/2020 5:00 PM</t>
  </si>
  <si>
    <t>23/06/2020 9:50 AM</t>
  </si>
  <si>
    <t>04/08/2020 10:00 AM</t>
  </si>
  <si>
    <t>23/06/2020 1:45 AM</t>
  </si>
  <si>
    <t>26/06/2020 11:30 AM</t>
  </si>
  <si>
    <t>23/06/2020 9:29 AM</t>
  </si>
  <si>
    <t>23/06/2020 1:45 PM</t>
  </si>
  <si>
    <t>22/06/2020 1:55 PM</t>
  </si>
  <si>
    <t>22/06/2020 9:59 AM</t>
  </si>
  <si>
    <t>22/06/2020 2:01 PM</t>
  </si>
  <si>
    <t>19/06/2020 10:00 PM</t>
  </si>
  <si>
    <t>23/06/2020 9:25 AM</t>
  </si>
  <si>
    <t>17/06/2020 10:01 AM</t>
  </si>
  <si>
    <t>16/06/2020 1:45 PM</t>
  </si>
  <si>
    <t>17/06/2020 12:30 PM</t>
  </si>
  <si>
    <t>16/06/2020 1:02 PM</t>
  </si>
  <si>
    <t>17/06/2020 8:59 AM</t>
  </si>
  <si>
    <t>16/07/2020 2:00 PM</t>
  </si>
  <si>
    <t>16/06/2020 9:59 AM</t>
  </si>
  <si>
    <t>02/07/2020 12:00 AM</t>
  </si>
  <si>
    <t>13/07/2020 9:00 AM</t>
  </si>
  <si>
    <t>17/06/2020 2:01 PM</t>
  </si>
  <si>
    <t>21/01/2021 10:00 AM</t>
  </si>
  <si>
    <t>31/12/2020 9:00 AM</t>
  </si>
  <si>
    <t>23/09/2020 1:00 AM</t>
  </si>
  <si>
    <t>01/07/2021 9:00 AM</t>
  </si>
  <si>
    <t>07/10/2020 10:00 AM</t>
  </si>
  <si>
    <t>30/07/2020 2:00 PM</t>
  </si>
  <si>
    <t>31/12/2020 1:00 AM</t>
  </si>
  <si>
    <t>06/07/2020 1:15 PM</t>
  </si>
  <si>
    <t>13/07/2020 1:05 PM</t>
  </si>
  <si>
    <t>17/07/2020 9:00 AM</t>
  </si>
  <si>
    <t>02/07/2020 1:15 PM</t>
  </si>
  <si>
    <t>18/06/2020 1:15 PM</t>
  </si>
  <si>
    <t>23/06/2020 2:01 PM</t>
  </si>
  <si>
    <t>05/10/2020 9:30 AM</t>
  </si>
  <si>
    <t>01/07/2020 1:15 PM</t>
  </si>
  <si>
    <t>24/06/2020 1:45 PM</t>
  </si>
  <si>
    <t>16/06/2020 2:01 PM</t>
  </si>
  <si>
    <t>22/06/2020 1:45 PM</t>
  </si>
  <si>
    <t>28/08/2020 10:00 AM</t>
  </si>
  <si>
    <t>22/06/2020 4:30 PM</t>
  </si>
  <si>
    <t>17/06/2020 2:45 PM</t>
  </si>
  <si>
    <t>17/06/2020 2:15 PM</t>
  </si>
  <si>
    <t>06/07/2020 1:45 PM</t>
  </si>
  <si>
    <t>08/07/2020 1:30 PM</t>
  </si>
  <si>
    <t>24/06/2020 1:15 PM</t>
  </si>
  <si>
    <t>01/09/2020 9:00 AM</t>
  </si>
  <si>
    <t>18/06/2020 2:02 PM</t>
  </si>
  <si>
    <t>22/07/2020 10:00 AM</t>
  </si>
  <si>
    <t>19/06/2020 2:01 PM</t>
  </si>
  <si>
    <t xml:space="preserve"> Supply and Deliver of Outdoor Air Quality Test Kit (Starter) Quantity: 9 kits Budget: P150,000 per kit Includes: Series 500 portable monitor, Particulate matter (PM) sensor (PM2.5/PM10), Two criteria pollutant gas sensors (NO2, O3), A combined temperature</t>
  </si>
  <si>
    <t xml:space="preserve"> INVITATION TO SUBMIT QUOTATION Quotation Issue Date: June 16, 2020 Quotation Closing Date:  June 23, 2020 Approved Budget for the Contract (ABC):  Php 851,500.00 Description of Goods and Quantity Required:  Procurement of Thirteen (13) Units High Speed Co</t>
  </si>
  <si>
    <t xml:space="preserve"> PROCUREMENT OF THE FOLLOWING SERVICES: DUMPING AND SPREADING OF ITEM 201 APPROX. 350.0 METERS A. MATERIALS     ITEM 201 B. LABOR FOR MORE DETAILS VISIT THE BARANGAY</t>
  </si>
  <si>
    <t xml:space="preserve"> PROCUREMENT OF THE FOLLOWING SERVICES: DUMPING AND SPREADING OF ITEM 201 APPROX. 250.0 METERS. A. MATERIALS     ITEM 201 B. LABOR FOR MORE DETAILS VISIT THE BARANGAY</t>
  </si>
  <si>
    <t xml:space="preserve"> The Ipil NHS wants to hire 2 Agency Security Guards with an ABC of 240,000.00 in a year.</t>
  </si>
  <si>
    <t xml:space="preserve"> Consulting Services for Cabacanan Small Reservoir Irrigation Project-Detailed Engineering</t>
  </si>
  <si>
    <t xml:space="preserve"> June 15, 2020 INVITATION TO BID  Reference No. 7031606 /Solicitation No.20-22 The City Government of Tagum invites interested Bidders/Suppliers to bid for the following: Name of Contract         :  SUPPLY AND INSTALLATION OF PANORAMIC/SCENIC ELEVATOR     </t>
  </si>
  <si>
    <t xml:space="preserve"> PROCUREMENT OF THE FOLLOWING SERVICES: DUMPING AND SPREADING OF ITEM 201 APPROX. 150.0 METERS A. MATERIALS     ITEM 201 B. LABOR C. HAULING FOR MORE DETAILS VISIT THE BARANGAY</t>
  </si>
  <si>
    <t xml:space="preserve"> Invitation to Bid for the Supply and Delivery of various Medicine for the use of Brgy. Talahib Payapa, Batangas City</t>
  </si>
  <si>
    <t xml:space="preserve"> Please see attached copy of Request for Quotation</t>
  </si>
  <si>
    <t xml:space="preserve"> INVITATION TO BID                                                                   ITB NO. 20-08 	The Lung Center of the Philippines (LCP), through its Bids and Awards Committee (BAC), invites eligible bidders to bid for the : “PROCUREMENT OF VARIOUS MED</t>
  </si>
  <si>
    <t xml:space="preserve"> The AGRICULTURAL TRAINING INSTITUTE-REGIONAL TRAINING CENTER (ATI-RTC) X, through the 2020 General Appropriations Act intends to apply the sum of Sixty Four Thousand Two Hundred Pesos (P 64,200.00) being the Approved Budget for the Contract (ABC) to payme</t>
  </si>
  <si>
    <t xml:space="preserve"> Republic of the Philippines Bangsamoro Autonomous Region in Muslim Mindanao Province of Maguindanao MUNICIPALITY OF DATU ABDULLAH SANGKI BIDS AND AWARDS COMMITTE   Talisawa, Datu Abdullah Sangki, Maguindanao   INVITATION TO BID The Local Government Unit o</t>
  </si>
  <si>
    <t xml:space="preserve"> PROCUREMENT OF THE FOLLOWING SERVICES: DUMPING AND SPREADING OF ITEM 201 APPROX. 1 KILOMETER. A. MATERIALS     ITEM 201 B. LABOR FOR MORE DETAILS VISIT THE BARANGAY</t>
  </si>
  <si>
    <t xml:space="preserve"> CNH-0320-032</t>
  </si>
  <si>
    <t xml:space="preserve"> Purchase of Office Supplies - 2nd Quarter - SHS</t>
  </si>
  <si>
    <t xml:space="preserve"> QTY   UNIT      DESCRIPTION  2       Set       Window Type, 2.5 HP Cooling Capacity, Power Supply:220V/60Hz Single Phase, 12 hr timer Function, wireless remote control panel includes installation material and labor</t>
  </si>
  <si>
    <t xml:space="preserve"> Republic of the Philippines Province of Iloilo  BIDS AND AWARDS COMMITTEE REQUEST FOR QUOTATION Quotation No. PPD-20-043 NP3(SV) Reference PR No. PPD-20-043 May 20, 2019 _________________________ _________________________ _________________________ (Suppli</t>
  </si>
  <si>
    <t xml:space="preserve"> Repair &amp; Construction of WWS, Bonnong-Taga, Pinukpuk</t>
  </si>
  <si>
    <t xml:space="preserve"> ALBAY 3RD DISTRICT ENGINEERING OFFICE																											 Paulog, Ligao City																											 																											 INVITATION TO BID																											 																											 The Department of Public Works and Highways</t>
  </si>
  <si>
    <t xml:space="preserve"> 1 set Broad Band 1 set Laptop 1 set Desk Top 1 Unit Photo Copier w/ scanner 1 Unit Digit Camera (DSLR) 4 pcs External Memory 2 pcs External Drive 2 Unit Desk Top Computer 1 Unit Laptop Computer 1 Unit Printer 1 Unit Laptop 2 Units Printer FX 2175  1 Units</t>
  </si>
  <si>
    <t xml:space="preserve"> The AGRICULTURAL TRAINING INSTITUTE-REGIONAL TRAINING CENTER (ATI-RTC) X, through the 2020 General Appropriations Act intends to apply the sum of Two Hundred Fifty One Thousand Pesos (P 251,000.00) being the Approved Budget for the Contract (ABC) to payme</t>
  </si>
  <si>
    <t xml:space="preserve"> 1 UNIT LAPTOP 15 1 PORTABLE PHOTO PRINTER 1 UNIT PRINTER 3N1 W/ADF PLS. SEE ATTACHED FILE.</t>
  </si>
  <si>
    <t xml:space="preserve"> Construction of WWS, Podpod-Paddig to ES Baclas, Apatan, Pinukpuk</t>
  </si>
  <si>
    <t xml:space="preserve"> In view of the two (2) failed public biddings, the Local Government Unit (LGU) Bids and Awards Committee (BAC) invites interested bidder/s to participate in the negotiation for the Completion of Day Center with an Approved Budget for the Contract (ABC) of</t>
  </si>
  <si>
    <t xml:space="preserve"> ALBAY 3RD DISTRICT ENGINEERING OFFICE																										 Paulog, Ligao City																										 																										 																										 INVITATION TO BID																										 																										 																					</t>
  </si>
  <si>
    <t xml:space="preserve"> TERMS OF REFERENCE 				                   For Petroleum RATIONALE: In compliance with Republic Act No. 9184 (R.A. 9184),as reiterated in Section 5 of its Implementing Rules and Regulations (IRR),procurement of general support services, including its non-p</t>
  </si>
  <si>
    <t xml:space="preserve"> The AGRICULTURAL TRAINING INSTITUTE-REGIONAL TRAINING CENTER (ATI-RTC) X, through the 2020 General Appropriations Act intends to apply the sum of Twenty Three Thousand Pesos (P 23,000.00) being the Approved Budget for the Contract (ABC) to payments under </t>
  </si>
  <si>
    <t xml:space="preserve"> The AGRICULTURAL TRAINING INSTITUTE-REGIONAL TRAINING CENTER (ATI-RTC) X, through the 2020 General Appropriations Act intends to apply the sum of Three Thousand Four Hundred Pesos (P 3,400.00) being the Approved Budget for the Contract (ABC) to payments u</t>
  </si>
  <si>
    <t xml:space="preserve"> Please quote your lowest price on the item/s in the line item.</t>
  </si>
  <si>
    <t xml:space="preserve"> Procurement of Male Condom</t>
  </si>
  <si>
    <t xml:space="preserve"> Procurement of Lynestrenol</t>
  </si>
  <si>
    <t xml:space="preserve"> 602 bottles of multivitamins with inositol 135 boxes of ferrous sulfate BAC Activity 1. Advertisement/Invitation to bid - June 15, 2020 2. Issuance of Bid Documents - June 16-23, 2020  3. Submission of Receipt of Bids - July 7, 2020 @ 1:00 PM 4. Opening o</t>
  </si>
  <si>
    <t xml:space="preserve"> Procurement of Personal Protective Equipment</t>
  </si>
  <si>
    <t xml:space="preserve"> Procurement of Medical Supplies Lot 1</t>
  </si>
  <si>
    <t xml:space="preserve"> Order/Download and fill up attach Request for Quotation and submit to the BAC Office on/before closing date</t>
  </si>
  <si>
    <t xml:space="preserve"> 357 pcs Cudgel (Batuta)</t>
  </si>
  <si>
    <t xml:space="preserve"> Republic of the Philippines PROVINCE OF SOUTHERN LEYTE Maasin City Invitation to Bid for the Reblocking of St. Bernard Municipal Road Barangay Himatagon, St. Bernard, Southern Leyte Contact ID # - 2020-07-07-040CW 1.	The Provincial Government of Southern </t>
  </si>
  <si>
    <t xml:space="preserve"> School Supplies</t>
  </si>
  <si>
    <t xml:space="preserve"> Republic of the Philippines PROVINCE OF SOUTHERN LEYTE Maasin City Invitation to Bid for the Completion/Concreting of Barangay Road Barangay Lumbog, Hinunangan, Southern Leyte Contact ID # - 2020-07-07-039CW 1.	The Provincial Government of Southern Leyte,</t>
  </si>
  <si>
    <t xml:space="preserve"> Republic of the Philippines PROVINCE OF SOUTHERN LEYTE Maasin City Invitation to Bid for the Construction of Magaupas River Control Barangay Magaupas, Liloan, Southern Leyte Contact ID # - 2020-07-07-037CW 1.	The Provincial Government of Southern Leyte, t</t>
  </si>
  <si>
    <t xml:space="preserve"> Please see attached copy of the Request For Quotation</t>
  </si>
  <si>
    <t xml:space="preserve"> Republic of the Philippines PROVINCE OF SOUTHERN LEYTE Maasin City Invitation to Bid for the Rehabilitation of Spring Development Project Barangay Mahayag, St. Bernard, Southern Leyte Contact ID # - 2020-07-07-035CW 1.	The Provincial Government of Souther</t>
  </si>
  <si>
    <t xml:space="preserve"> 1.	The Laguna State Polytechnic University Main Campus, through the LSPU-STF intends to apply the sum of Php2,000,000.00 being the Approved Budget for the Contract (ABC) to payments under the contract for the Procurement of Books for the University Librar</t>
  </si>
  <si>
    <t xml:space="preserve"> Republic of the Philippines PROVINCE OF SOUTHERN LEYTE Maasin City Invitation to Bid for the Construction of Cabul-anonan Seawall Barangay Cabul-anonan, Malitbog, Southern Leyte Contact ID # - 2020-07-07-036CW 1.	The Provincial Government of Southern Leyt</t>
  </si>
  <si>
    <t xml:space="preserve"> Source of Fund: CY 2020 BASIC EDUCATIONAL FACILITIES FUND Expected Completion Period: 120 calendar days upon receipt of NTP The Department of Education, Dagupan City Division, through its Bids and Awards Committee (BAC), now invites bids for the above men</t>
  </si>
  <si>
    <t xml:space="preserve"> Republic of the Philippines PROVINCE OF SOUTHERN LEYTE Maasin City Invitation to Bid for the Rehabilitation of Barangay Pandan Multi-Purpose Building Barangay Pandan, Liloan, Southern Leyte Contact ID # - 2020-07-07-034CW 1.	The Provincial Government of S</t>
  </si>
  <si>
    <t xml:space="preserve"> Republic of the Philippines PROVINCE OF SOUTHERN LEYTE Maasin City Invitation to Bid for the Construction of San Ramon CHB Canal Barangay San Ramon, Bontoc, Southern Leyte Contact ID # - 2020-07-07-038CW 1.	The Provincial Government of Southern Leyte, thr</t>
  </si>
  <si>
    <t xml:space="preserve"> Republic of the Philippines PROVINCE OF SOUTHERN LEYTE Maasin City Invitation to Bid for the Construction of Multi-Purpose Hall Barangay San Antonio, Tomas Oppus, Southern Leyte Contact ID # - 2020-07-07-031CW 1.	The Provincial Government of Southern Leyt</t>
  </si>
  <si>
    <t xml:space="preserve"> Republic of the Philippines PROVINCE OF SOUTHERN LEYTE Maasin City Invitation to Bid for the Fabrication &amp; Installation of PAIASO Shelves Capitol Site, Asuncion, Maasin City, Southern Leyte Contact ID # - 2020-07-07-041CW 1.	The Provincial Government of S</t>
  </si>
  <si>
    <t xml:space="preserve"> Republic of the Philippines Province of Agusan del Sur Municipality of Trento BIDS &amp; AWARDS COMMITTEE INVITATION TO BID  FOR THE PROVISION OF OUTDOOR FACILITIES (PHYSICAL ACTIVITY EQUIPMENT) AND CONSTRUCTION OF PERIMETER FENCE PHASE 2 - OUTDOOR FACILITIES</t>
  </si>
  <si>
    <t xml:space="preserve"> ONE LOT 1. C.I. Gate Valve #75 mm dia, F/F w/ steel Ring flange &amp; BNG 2. C.I Gate valve box cover #150mm dia 3. C.I. Tee #100mm dia x 75 mm dia, M/F 4. C.I. Sleeve Type coupling #100 mm dia x 178 mm for PVC 5. C.I. Transition coupling #100mm dia x 178mm m</t>
  </si>
  <si>
    <t xml:space="preserve"> One (1) Job Contract Furnishing Materials, Labor &amp; Equipment for Construction of Evacuation Center Phase 4</t>
  </si>
  <si>
    <t xml:space="preserve"> To purchase drone camera at Barangay Silangan II.</t>
  </si>
  <si>
    <t xml:space="preserve"> 1. The  Municipality  of   Laua-an,  Antique   intends  to  apply  the  sum   of One Hundred Ninety Nine Thousand Nine Hundred Seventy One Pesos &amp; 24/100 Only (Php199,971.24) being the Approved  Budget  for the  Contract  (ABC) to payments under the contr</t>
  </si>
  <si>
    <t xml:space="preserve"> Paint, Epoxy, Component A&amp;B: + 2 Items - Set compose of epoxy resin and catalyst NOTE: PLEASE SEE ATTACHED PRE-PR FOR THE COMPLETE DETAILED OF SPECS.</t>
  </si>
  <si>
    <t xml:space="preserve"> GEOTECHNICAL AND GEOLOGICAL SURVEY/ INVESTIGATIONS.</t>
  </si>
  <si>
    <t xml:space="preserve"> Republic of the Philippines PROVINCE OF SOUTHERN LEYTE Maasin City Invitation to Bid for the Concreting of Dagsa Barangay Road Barangay Dagsa, Sogod, Southern Leyte Contact ID # - 2020-07-07-047CW 1.	The Provincial Government of Southern Leyte, through th</t>
  </si>
  <si>
    <t xml:space="preserve"> 1. The  Municipality  of   Laua-an,  Antique   intends  to  apply  the  sum   of Four Hundred Ninety Nine Thousand Nine Hundred Ninety Nine Pesos &amp; 50/100 Only (Php499,999.50) being the Approved  Budget  for the  Contract  (ABC) to payments under the cont</t>
  </si>
  <si>
    <t xml:space="preserve"> Republic of the Philippines PROVINCE OF SOUTHERN LEYTE Maasin City Invitation to Bid for the Construction of Canopy of Covered Court Barangay Cantutang, Padre Burgos, Southern Leyte Contact ID # - 2020-07-07-030CW 1.	The Provincial Government of Southern </t>
  </si>
  <si>
    <t xml:space="preserve"> Concreting of Barangay Road including 1. Subgade Preparation 2. Aggregate Base Course 3. Cement and Pavement.</t>
  </si>
  <si>
    <t xml:space="preserve"> P.R. No. X11-20-04-194 - Supply and Delivery for the use of Ford Ranger Pick-up, H1-5972 (100803/ABB-7023), assigned at EMD. (Please see attached RFQ)</t>
  </si>
  <si>
    <t xml:space="preserve"> Republic of the Philippines PROVINCE OF SOUTHERN LEYTE Maasin City Invitation to Bid for the Concreting of Pandan Road Barangay Pandan, Sogod, Southern Leyte Contact ID # - 2020-07-07-048CW 1.	The Provincial Government of Southern Leyte, through the 20% E</t>
  </si>
  <si>
    <t xml:space="preserve"> Republic of the Philippines PROVINCE OF SOUTHERN LEYTE Maasin City Invitation to Bid for the Concreting of Soro-Soro-Hanginan Barangay Road Maasin City, Southern Leyte Contact ID # - 2020-07-07-046CW 1.	The Provincial Government of Southern Leyte, through</t>
  </si>
  <si>
    <t xml:space="preserve"> Republic of the Philippines PROVINCE OF SOUTHERN LEYTE Maasin City Invitation to Bid for the Construction of Ilihan Concrete Pavement Barangay Ilihan, Macrohon, Southern Leyte Contact ID # - 2020-07-07-049CW 1.	The Provincial Government of Southern Leyte,</t>
  </si>
  <si>
    <t xml:space="preserve"> ASSORTED CWN 76 KGS PORTLAND CEMENT 150 BAG 18 PCS 16 MM RSB 170.46 KGS #16 TIE WIRE 31 KGS 130-10MM ᴓ X 6M RSB 481 KGS 82-16MM ᴓ X 6M RSB 776.54 KGS FORM OIL 10 GAL SOLIGNUM 2 GAL 1/2" THK PLYWOOD 24 PCS 9' CORR GI SHEET 60 PCS RIDGE ROLL 5 PCS GUTTER 58</t>
  </si>
  <si>
    <t xml:space="preserve"> P.R. No. X4-20-03-137 - Supply and Delivery for the use in the Construction Division. (Please see attached RFQ)</t>
  </si>
  <si>
    <t xml:space="preserve"> 1. 1710(5) GROUTED RIPRAP(CLASS A) 192 CU.M 2. 1704(1) EMBANKMENT 369.60 CU.M 3. PROJECT BILLBOARD  1 EACH</t>
  </si>
  <si>
    <t xml:space="preserve"> P.R. No. X11-20-02-104 - Supply and Delivery for the repair and maintenance of Mitsubishi Montero, H1-7670 (B5-G363) assigned at COA. (Please see attached RFQ)</t>
  </si>
  <si>
    <t xml:space="preserve"> ART B OTHER GENERAL REQUIREMENTS B.5 PROJECT BILLBOARD/SIGNBOARD 1 LOT PART A EARTHWORK 801 REMOVAL OF STRUCTURES AND OBSTRUCTION 1 LUMPSUM 803(1)A EXCAVATION(CANAL EXCAVATION) 84 CU.M PART B PLAIN AND REINFORCED CONCRETE WORKS 900(1)A2 STRUCTURAL CONCRET</t>
  </si>
  <si>
    <t xml:space="preserve"> 1.	The Local Government Unit of Las Nieves, through the Budget for the Contract Approved by the Sanggunian (20% DF) intends to apply the sum of one hundred forty four thousand and twenty five pesos only (Php 144,025.00)  being the Approved Budget for the </t>
  </si>
  <si>
    <t xml:space="preserve"> 1.	The Local Government Unit of Las Nieves, through the Budget for the Contract Approved by the Sanggunian (20% DF) intends to apply the sum of one hundred eighty thousand pesos only (Php 180,000.00) for Lot 1 and seven thousand six hundred fifty pesos on</t>
  </si>
  <si>
    <t xml:space="preserve"> See attachment/s.</t>
  </si>
  <si>
    <t xml:space="preserve"> Provincial Health Office Agusan del Norte</t>
  </si>
  <si>
    <t xml:space="preserve"> 5 liters engine oil 1 pc oil filter 1 pc drain plug bolt 4 pcs tire (195X70R14) triangle 1 lot oil change 1 lot tire mounting 1 lot camber align</t>
  </si>
  <si>
    <t xml:space="preserve"> 1.	The Local Government Unit of Las Nieves, through the Budget for the Contract Approved by the Sanggunian (20% DF) intends to apply the sum of one hundred eighty thousand pesos only (Php 180,000.00) for Lot 1 and seven thousand six hundred and fifty peso</t>
  </si>
  <si>
    <t xml:space="preserve"> printing materiALS bOND :pAPER  500 PCS.</t>
  </si>
  <si>
    <t xml:space="preserve"> The AGRICULTURAL TRAINING INSTITUTE-REGIONAL TRAINING CENTER (ATI-RTC) X, through the 2020 General Appropriations Act intends to apply the sum of Five Hundred Seventeen thousand Six Hundred Pesos (P 517,600.00) being the Approved Budget for the Contract (</t>
  </si>
  <si>
    <t xml:space="preserve"> 103(3)a INDIVIDUAL REMOVAL OF TREES 30 EACH 102(2) SURPLUS COMMON EXCAVATION 4,500 CU.M B.5 PROJECT BILLBOARD/SIGNBOARD 1 EACH</t>
  </si>
  <si>
    <t xml:space="preserve"> 1.	The Local Government Unit of Las Nieves, through the Budget for the Contract Approved by the Sanggunian (20% DF) intends to apply the sum of one hundred forty two thousand six hundred and fifty pesos only (Php 142,650.00)  being the Approved Budget for</t>
  </si>
  <si>
    <t xml:space="preserve"> Sangguniang Panlalawigan Office Agusan del Norte</t>
  </si>
  <si>
    <t xml:space="preserve"> Republic of the Philippines PROVINCE OF ZAMBOANGA DEL SUR Municipality of Dimataling BIDS AND AWARD COMMITTEE Reference Number : PR-162-100-2020 Project Title/P.R. # : Purchase of 216 Half Sacks of Rice Approved Budget: Mayor's Office-I STYLE PEACE (MOOE </t>
  </si>
  <si>
    <t xml:space="preserve"> Republic of the Philippines Province of Agusan del Norte BIDS AND AWARDS COMMITTEE Capitol, Butuan City INVITATION TO BID (NEGOTIATED PROCUREMENT) NEGOTIATED PROCUREMENT OF MULTI-COMMODITY SOLAR TUNNEL DRYER OF PROVINCIAL AGRICULTURIST OFFICE, AGUSAN DEL </t>
  </si>
  <si>
    <t xml:space="preserve"> Cabadbaran District Hospital Agusan del Norte</t>
  </si>
  <si>
    <t xml:space="preserve"> PART B OTHER GENERAL REQUIREMENTS B.5 PROJECT BILLBOARD/SIGNBOARD 1 LOT PART A EARTHWORK 803(1)A EXCAVATION(COLUMN FTG., WALL FTG &amp; SEPTIC TANK) 32.18 CU.M PART B PLAIN AND REINFORCED CONCRETE WORKS 900(1)A2 STRUCTURAL CONCRETE (FOOTING-&amp; WALL FOOTING) 6.</t>
  </si>
  <si>
    <t xml:space="preserve"> 1.	The Local Government Unit of Las Nieves, through the Budget for the Contract Approved by the Sanggunian (20% DF) intends to apply the sum of one hundred nine thousand and one hundred pesos only (Php 109,100.00) for Lot 1, twelve thousand pesos only (Ph</t>
  </si>
  <si>
    <t xml:space="preserve"> wood,  good lumber pc.	Paint Brush, 2"	 1x2x5  pc.	Paint Brush, 4"	 gal.	Paint Thinner	 set	Paint Roller w/ Pan	 set	Electric Drill, HD (Makita)	 pc.	Carpenter Saw Irwin	 set	Electrician Set Tools	 pc.	Gun Tacker, HD	 box	Gun Tacker Staple Wire	 pc.	Liqui</t>
  </si>
  <si>
    <t xml:space="preserve"> Republic of the Philippines Province of Agusan del Norte BIDS AND AWARDS COMMITTEE Capitol, Butuan City INVITATION TO BID (NEGOTIATED PROCUREMENT) RENEGOTIATED PROCUREMENT OF TWO (2) UNITS BRAND NEW PICK-UP OF PROVINCIAL DISASTER RISK REDUCTION MANAGEMENT</t>
  </si>
  <si>
    <t xml:space="preserve"> To provide audio visual aid for classroom instruction</t>
  </si>
  <si>
    <t xml:space="preserve"> Republic of the Philippines Province of Agusan del Norte BIDS AND AWARDS COMMITTEE Capitol, Butuan City INVITATION TO BID (NEGOTIATED PROCUREMENT) NEGOTIATED PROCUREMENT OF ONE (1) UNIT BRAND NEW FOUR WHEEL DRIVE (FWD) TRACTOR OF PROVINCIAL AGRICULTURIST </t>
  </si>
  <si>
    <t xml:space="preserve"> INVITATION TO BID FOR  IMPROVEMENT OF MULTI-PURPOSE BUILDING - CARONOAN The Municipality of San Juan, through its Bids and Awards Committee (BAC), invites contractors to submit bids for the following Contract: Contract ID		:          	20-00044						 Contr</t>
  </si>
  <si>
    <t xml:space="preserve"> PRICE QUOTATION Ladies / Gentlemen: Please quote prices for the items listed below. This proposal is a request for quotation only and not an order. The terms / conditions shall be in accordance with the following: 1. This proposal shall be submitted to th</t>
  </si>
  <si>
    <t xml:space="preserve"> Republic of the Philippines													 City of San Carlos													 Negros Occidental													 													 INVITATION TO BID											FOR SALE	 			PURCHASE REQUEST NO: 1-20-03-0437				P 150.00	 Sealed bids for quotation of prices will be recei</t>
  </si>
  <si>
    <t xml:space="preserve"> Republic of the Philippines													 City of San Carlos													 Negros Occidental													 													 INVITATION TO BID											FOR SALE	 			PURCHASE REQUEST NO: 1-20-03-0429				P 150.00	 Sealed bids for quotation of prices will be recei</t>
  </si>
  <si>
    <t xml:space="preserve"> Republic of the Philippines Province of Agusan del Norte BIDS AND AWARDS COMMITTEE Capitol, Butuan City INVITATION TO BID (NEGOTIATED PROCUREMENT) RENEGOTIATED PROCUREMENT OF PORTABLE ANTHROPOMETRIC TOOL OF PROVINCIAL SOCIAL WELFARE AND DEVELOPMENT OFFICE</t>
  </si>
  <si>
    <t xml:space="preserve"> Republic of the Philippines Province of Agusan del Norte BIDS AND AWARDS COMMITTEE Capitol, Butuan City INVITATION TO BID (NEGOTIATED PROCUREMENT) RENEGOTIATED PROCUREMENT OF IT SUPPLIES OF PROVINCIAL DISASTER RISK REDUCTION MANAGEMENT OFFICE, AGUSAN DEL </t>
  </si>
  <si>
    <t xml:space="preserve"> 100(3)A INDIVIDUAL REMOVAL OF TREES 10 EACH 102(2)B SURPLUS COMMON EXCAVATION 1,312.50 CU.M 104(1)A EMBANKMENT 544.50 CU.M 300(1) GRAVEL SURFACE COURSE (UNCRUSHED) 445.20 CU.M B.9 MOBILIZATION/DEMOBILIZATION 1 LUMPSUM B.5 PROJECT BILLBOARD/SIGN BOARD 1 EA</t>
  </si>
  <si>
    <t xml:space="preserve"> NOTICE TO CONDUCT FOR  PROCUREMENT OF LOT # 3 AND LOT # 4 OF REPAIR AND MAINTENANCE MATERIALS FOR BALINGASAG WATER DISTRICT The Balingasag Water District , is conducting Negotiated Procurement ,under Two Failed Biddings for the procurement of  Repair and </t>
  </si>
  <si>
    <t xml:space="preserve"> Republic of the Philippines													 City of San Carlos													 Negros Occidental													 													 INVITATION TO BID											FOR SALE	 			PURCHASE REQUEST NO: 1-20-03-0497				P 150.00	 Sealed bids for quotation of prices will be recei</t>
  </si>
  <si>
    <t xml:space="preserve"> Republic of the Philippines													 City of San Carlos													 Negros Occidental													 										            		REBIDDING LOTS 1-3 &amp; 7	 INVITATION TO BID											FOR SALE	 			PURCHASE REQUEST NO: 1-20-01-0118				P 300.00	 Sealed bids for</t>
  </si>
  <si>
    <t xml:space="preserve"> Republic of the Philippines													 City of San Carlos													 Negros Occidental													 													 INVITATION TO BID											FOR SALE	 			PURCHASE REQUEST NO: 1-20-03-0482				P 150.00	 Sealed bids for quotation of prices will be recei</t>
  </si>
  <si>
    <t xml:space="preserve"> Republic of the Philippines													 City of San Carlos													 Negros Occidental													 													 INVITATION TO BID											FOR SALE	 			PURCHASE REQUEST NO: 1-20-02-0402				P 150.00	 Sealed bids for quotation of prices will be recei</t>
  </si>
  <si>
    <t xml:space="preserve"> Republic of the Philippines													 City of San Carlos													 Negros Occidental													 													 INVITATION TO BID											FOR SALE	 			PURCHASE REQUEST NO: 1-20-03-0473				P 150.00	 Sealed bids for quotation of prices will be recei</t>
  </si>
  <si>
    <t xml:space="preserve"> Republic of the Philippines													 City of San Carlos													 Negros Occidental													 													 INVITATION TO BID											FOR SALE	 			PURCHASE REQUEST NO: 1-20-03-0490				P 150.00	 Sealed bids for quotation of prices will be recei</t>
  </si>
  <si>
    <t xml:space="preserve"> 100(3)a Individual removal of trees 69 each 102(2)b Surplus Common Excavation 5,520 cu.m. B.5 Project Sign Board 1 each</t>
  </si>
  <si>
    <t xml:space="preserve"> Republic of the Philippines Province of Agusan del Norte BIDS AND AWARDS COMMITTEE Capitol, Butuan City Invitation to Bid for Installation of Fire Sprinkler, Fire Detection and Alarm System,  Nasipit District Hospital, Nasipit, Agusan del Norte (REBID) Th</t>
  </si>
  <si>
    <t xml:space="preserve"> ITEM NO.	ITEM &amp; DESCRIPTION	 BRAND	UOM	QTY. 1	Executive Chair		Unit	1 	Specs: W63X D62.5 X H 110-120CM Chrome Base Batterfly			 	Mechanism: 360 Degree Swivel, Adjustable seat Height,			 	Cock, Tilt: Color: Grey			 2	Computer Table 2.10M x .5M x .76M (Hard</t>
  </si>
  <si>
    <t xml:space="preserve"> Please see attached document.</t>
  </si>
  <si>
    <t xml:space="preserve"> Republic of the Philippines													 City of San Carlos													 Negros Occidental													 													 INVITATION TO BID											FOR SALE	 			PURCHASE REQUEST NO: 1-20-03-0489				P 150.00	 Sealed bids for quotation of prices will be recei</t>
  </si>
  <si>
    <t xml:space="preserve"> Republic of the Philippines Province of Agusan del Norte BIDS AND AWARDS COMMITTEE Capitol, Butuan City INVITATION TO BID (NEGOTIATED PROCUREMENT) RENEGOTIATED PROCUREMENT OF ONE (1) UNIT BRAND NEW AMBULANCE VAN TYPE OF PROVINCIAL DISASTER RISK REDUCTION </t>
  </si>
  <si>
    <t xml:space="preserve"> see attached documents</t>
  </si>
  <si>
    <t xml:space="preserve"> Republic of the Philippines Department of Education Region v SCHOOLS DIVISION OF SORSOGON Capitol Compound, Sorsogon City INVITATION TO BID FOR PROVISION OF SECURITY SERVICES FOR 2020 PROJECT NO.:	20-06-001 1.	The DepEd Schools Division Sorsogon Province,</t>
  </si>
  <si>
    <t xml:space="preserve"> Please see attached file.</t>
  </si>
  <si>
    <t xml:space="preserve"> Fabrication of Mechanical Coupling 150mm (6") to fit the outside diameter of the uPVC Pipe 150mm (6") and ASTM A-53 (6") B.I. Pipe to be used for the avoidance of the obstruction in connection with the waterline extension project from Hda. Daniel to Imban</t>
  </si>
  <si>
    <t xml:space="preserve"> 1.  POINT MOBILE      -                 9PCS Texas  instrument Cortex A8 Processor @1.6 GHz Windows Mobile Embedded 6.5 Pro 3G, GSM Capable GPS 1D Laser (Scanner) Integrated Bluetooth, Class II, Ver. 2.1 + EDR WLAN IEEE 802.11 a/b/g/n Li-on Battery 4,000m</t>
  </si>
  <si>
    <t xml:space="preserve"> Republic of the Philippines													 City of San Carlos													 Negros Occidental													 													 INVITATION TO BID											FOR SALE	 			PURCHASE REQUEST NO: 1-20-03-0487				P 150.00	 Sealed bids for quotation of prices will be recei</t>
  </si>
  <si>
    <t xml:space="preserve"> INVITATION TO BID The Provincial Government of Palawan through its Bids and Awards Committee (BAC) invites suppliers/manufacturers/ distributors/contractors to apply for eligibility and to bid for the hereunder project. Name of the Project       : Procure</t>
  </si>
  <si>
    <t xml:space="preserve"> NOTICE TO CONDUCT FOR NEGOTIATED PROCUREMENT  OF WATER METER CLUSTERING  The Balingasag Water District , is conducting Negotiated Procurement ,under Two Failed Biddings for the procurement of  Water Meter Clustering for NRW Reduction of Balingasag Water D</t>
  </si>
  <si>
    <t xml:space="preserve"> PCC through the BIDS &amp; AWARDS Committee intend to apply for 160,000 as the approved budget for the contract  (ABC) under Chest Freezer.  Goods shall be delivered 15 days after receipt of notice to proceed. Specifications: - 20 cu.ft. Solid Top Chest Freez</t>
  </si>
  <si>
    <t xml:space="preserve"> 1.	The Local Government Unit of Las Nieves, through the Budget for the Contract Approved by the Sanggunian (20% DF) intends to apply the sum of two hundred thousand pesos only (Php 200,000.00)  being the Approved Budget for the Contract (ABC) to payments </t>
  </si>
  <si>
    <t xml:space="preserve"> Republic of the Philippines Department of Education Region v SCHOOLS DIVISION OF SORSOGON Capitol Compound, Sorsogon City INVITATION TO BID FOR PURCHASE OF COMMON OFFICE SUPPLIES FOR F.Y. 2020 PROJECT NO.:	20-06-002 1.	The DepEd Schools Division Sorsogon </t>
  </si>
  <si>
    <t xml:space="preserve"> Representation Expenses</t>
  </si>
  <si>
    <t xml:space="preserve"> Republic of the Philippines													 City of San Carlos													 Negros Occidental													 													 INVITATION TO BID											FOR SALE	 			PURCHASE REQUEST NO: 1-20-03-0515				P 150.00	 Sealed bids for quotation of prices will be recei</t>
  </si>
  <si>
    <t xml:space="preserve"> Republic of the Philippines PROVINCE OF SOUTHERN LEYTE Maasin City Invitation to Bid for the Procurement of Vehicle Spare Parts &amp; Labor  Contract ID # 2020-07-07-332PG 1.	The Provincial Government of Southern Leyte through the OVG&amp; OSP Repair and Maintena</t>
  </si>
  <si>
    <t xml:space="preserve"> 20	pc	Genuine Ink Cartridge HP 680 (tri-color) for HP Deskjet 1115 20	pc	Genuine Ink Cartridge HP 680 (black) for HP Deskjet 1115 12	pc	Genuine Ink Cartridge HP 678 (tri-color) for HP Deskjet 3135 10	pc	Genuine Ink Cartridge HP 678 (black) for HP Deskjet </t>
  </si>
  <si>
    <t xml:space="preserve"> Installation of new steel pipelines that crosses the Imbang Bridge located at Brgy. E. Lopez, Silay City. 1. Fabrication and installation of steel pipe bracket supports - 40 units 2. Welding of steel ring flanges 6" diameter for B.I. steel pipe both ends </t>
  </si>
  <si>
    <t xml:space="preserve"> Republic of the Philippines													 City of San Carlos													 Negros Occidental													 													 INVITATION TO BID											FOR SALE	 			PURCHASE REQUEST NO: 1-20-03-0501				P 300.00	 Sealed bids for quotation of prices will be recei</t>
  </si>
  <si>
    <t xml:space="preserve"> 1.	The Local Government Unit of Las Nieves, through the Budget for the Contract Approved by the Sanggunian (20% DF) intends to apply the sum of one hundred thirty four thousand three hundred and fifty pesos only (Php 134,350.00) being the Approved Budget </t>
  </si>
  <si>
    <t xml:space="preserve"> Republic of the Philippines PROVINCE OF SOUTHERN LEYTE Maasin City Invitation to Bid for the Procurement of Vehicle Spare Parts   Contract ID # 2020-07-07-331PG 1.	The Provincial Government of Southern Leyte through the OSP Repair &amp; Maintenance – Transpor</t>
  </si>
  <si>
    <t xml:space="preserve"> 1.	The Local Government Unit of Las Nieves, through the Budget for the Contract Approved by the Sanggunian (20% DF) intends to apply the sum of one hundred twenty five thousand two hundred and eighty pesos only (Php 125,280.00) for Lot 1, one thousand eig</t>
  </si>
  <si>
    <t xml:space="preserve"> 1.	The Local Government Unit of Las Nieves, through the Budget for the Contract Approved by the Sanggunian (20% DF) intends to apply the sum of one hundred thirty six thousand one hundred and fifty pesos only (Php 136,150.00) for Lot 1 and twelve thousand</t>
  </si>
  <si>
    <t xml:space="preserve"> Republic of the Philippines PROVINCE OF SOUTHERN LEYTE Maasin City Invitation to Bid for the Procurement of Vehicle Spare Parts &amp; Labor  Contract ID # 2020-07-07-334PG 1.	The Provincial Government of Southern Leyte through the PDRRMO Repair and Maintenanc</t>
  </si>
  <si>
    <t xml:space="preserve"> 1.	The Local Government Unit of Las Nieves, through the Budget for the Contract Approved by the Sanggunian (20% DF) intends to apply the sum of one hundred thirty thousand nine hundred and eighty pesos only (Php 130,980.00) for Lot 1, eleven thousand and </t>
  </si>
  <si>
    <t xml:space="preserve"> Republic of the Philippines													 City of San Carlos													 Negros Occidental													 													 INVITATION TO BID											FOR SALE	 			PURCHASE REQUEST NO: 1-20-04-0526				P 150.00	 Sealed bids for quotation of prices will be recei</t>
  </si>
  <si>
    <t xml:space="preserve"> 1.	The Local Government Unit of Las Nieves, through the Budget for the Contract Approved by the Sanggunian (20% DF) intends to apply the sum of one hundred thirty six thousand one hundred and fifty pesos only (Php 136,150.00) for Lot 1 and twelve e thousa</t>
  </si>
  <si>
    <t xml:space="preserve"> Office Supplies , Equipment and consumables</t>
  </si>
  <si>
    <t xml:space="preserve"> Republic of the Philippines PROVINCE OF SOUTHERN LEYTE Maasin City Invitation to Bid for the Procurement of Catering Services &amp; Venue  Contract ID # 2020-07-07-333PG 1.	The Provincial Government of Southern Leyte through the PDRRMO Training expenses inten</t>
  </si>
  <si>
    <t xml:space="preserve"> 1.	The Local Government Unit of Las Nieves, through the Budget for the Contract Approved by the Sanggunian (1% LCPC) intends to apply the sum of one hundred forty five thousand and seven hundred pesos only (Php 145,700.00)  being the Approved Budget for t</t>
  </si>
  <si>
    <t xml:space="preserve"> 1.	The Local Government Unit of Las Nieves, through the Budget for the Contract Approved by the Sanggunian (20% DF) intends to apply the sum of one hundred forty five thousand nine hundred and twenty five pesos only (Php 145,925.00) being the Approved Bud</t>
  </si>
  <si>
    <t xml:space="preserve"> Republic of the Philippines													 City of San Carlos													 Negros Occidental													 													 INVITATION TO BID											FOR SALE	 			PURCHASE REQUEST NO: 1-20-03-0517				P 300.00	 Sealed bids for quotation of prices will be recei</t>
  </si>
  <si>
    <t xml:space="preserve"> Republic of the Philippines													 City of San Carlos													 Negros Occidental													 													 INVITATION TO BID											FOR SALE	 			PURCHASE REQUEST NO: 1-20-05-0586				P 300.00	 Sealed bids for quotation of prices will be recei</t>
  </si>
  <si>
    <t xml:space="preserve"> BIDS AND AWARDS COMMITTEE INVITATION TO SUBMIT PRICE QUOTATIONS SHOPPING No. 058-2020                                                                 The METRO ROXAS WATER DISTRICT (MRWD), through its Bids and Awards Committee (BAC), invites Manufacturers</t>
  </si>
  <si>
    <t xml:space="preserve"> BIDS AND AWARDS COMMITTEE INVITATION TO SUBMIT PRICE QUOTATIONS SHOPPING No. 057-2020                                                                 The METRO ROXAS WATER DISTRICT (MRWD), through its Bids and Awards Committee (BAC), invites Manufacturers</t>
  </si>
  <si>
    <t xml:space="preserve"> Republic of the Philippines													 City of San Carlos													 Negros Occidental													 													 INVITATION TO BID											FOR SALE	 			PURCHASE REQUEST NO: 1-20-05-0603				P 150.00	 Sealed bids for quotation of prices will be recei</t>
  </si>
  <si>
    <t xml:space="preserve"> Republic of the Philippines													 City of San Carlos													 Negros Occidental													 													 INVITATION TO BID											FOR SALE	 			PURCHASE REQUEST NO: 9-20-04-0533				P 150.00	 Sealed bids for quotation of prices will be recei</t>
  </si>
  <si>
    <t xml:space="preserve"> 1.	The Local Government Unit of Las Nieves, through the Budget for the Contract Approved by the Sanggunian (20% DF) intends to apply the sum of one hundred twenty four thousand and nine hundred and forty four pesos only (Php 124,944.00) for Lot 1, sixty o</t>
  </si>
  <si>
    <t xml:space="preserve"> Republic of the Philippines													 City of San Carlos													 Negros Occidental													 													 INVITATION TO BID											FOR SALE	 			PURCHASE REQUEST NO: 1-20-04-0551				P 150.00	 Sealed bids for quotation of prices will be recei</t>
  </si>
  <si>
    <t xml:space="preserve"> Republic of the Philippines													 City of San Carlos													 Negros Occidental													 													 INVITATION TO BID											FOR SALE	 			PURCHASE REQUEST NO: 4-20-06-0634				P 300.00	 Sealed bids for quotation of prices will be recei</t>
  </si>
  <si>
    <t xml:space="preserve"> Republic of the Philippines													 City of San Carlos													 Negros Occidental													 													 INVITATION TO BID											FOR SALE	 			PURCHASE REQUEST NO: 1-20-06-0631				P 150.00	 Sealed bids for quotation of prices will be recei</t>
  </si>
  <si>
    <t xml:space="preserve"> Republic of the Philippines													 City of San Carlos													 Negros Occidental													 													 INVITATION TO BID											FOR SALE	 			PURCHASE REQUEST NO: 18-20-04-0550				P 300.00	 Sealed bids for quotation of prices will be rece</t>
  </si>
  <si>
    <t xml:space="preserve"> Republic of the Philippines													 City of San Carlos													 Negros Occidental													 													 INVITATION TO BID											FOR SALE	 			PURCHASE REQUEST NO: 2-20-03-0492				P 150.00	 Sealed bids for quotation of prices will be recei</t>
  </si>
  <si>
    <t xml:space="preserve"> Republic of the Philippines													 City of San Carlos													 Negros Occidental													 													 INVITATION TO BID											FOR SALE	 			PURCHASE REQUEST NO: 1-20-04-0532				P 150.00	 Sealed bids for quotation of prices will be recei</t>
  </si>
  <si>
    <t xml:space="preserve"> Republic of the Philippines													 City of San Carlos													 Negros Occidental													 													 INVITATION TO BID											FOR SALE	 			PURCHASE REQUEST NO: 1-20-06-0649				P 150.00	 Sealed bids for quotation of prices will be recei</t>
  </si>
  <si>
    <t xml:space="preserve"> 20ID0070 	Construction of Multi-Purpose Building,Brgy. Bagong Lipunan, Carigara,Leyte   	Concrete and Masonry Works 	990,000.00	GAA CY 2020 	30 CD	1,000.00 To be eligible to bid for this Contract, a contractor must meet the following major requirements: (</t>
  </si>
  <si>
    <t xml:space="preserve"> Republic of the Philippines													 City of San Carlos													 Negros Occidental													 													 INVITATION TO BID											FOR SALE	 			PURCHASE REQUEST NO: 4-20-03-0461				P 150.00	 Sealed bids for quotation of prices will be recei</t>
  </si>
  <si>
    <t xml:space="preserve"> 1	2	drum	Chlorine granules 2	50	pks	Chlorine dioxide</t>
  </si>
  <si>
    <t xml:space="preserve"> BIDS AND AWARDS COMMITTEE INVITATION TO SUBMIT PRICE QUOTATIONS SHOPPING No. 055-2020                                                                 The METRO ROXAS WATER DISTRICT (MRWD), through its Bids and Awards Committee (BAC), invites Manufacturers</t>
  </si>
  <si>
    <t xml:space="preserve"> Republic of the Philippines													 City of San Carlos													 Negros Occidental													 													 INVITATION TO BID											FOR SALE	 			PURCHASE REQUEST NO: 1-20-06-0659				P 300.00	 Sealed bids for quotation of prices will be recei</t>
  </si>
  <si>
    <t xml:space="preserve"> Provision of labor, materials, equipment rentals and other incidentals needed for the Repair/Rehabilitation of Israel Type Greenhouse at Ilocos Norte Research &amp; Experiment Center, MMMSU Compound, Tabug, Batac City, Ilocos Norte  	 	Provision of labor, mat</t>
  </si>
  <si>
    <t xml:space="preserve"> Republic of the Philippines													 City of San Carlos													 Negros Occidental													 													 INVITATION TO BID											FOR SALE	 			PURCHASE REQUEST NO: 401-20-03-0453				P 500.00	 Sealed bids for quotation of prices will be rec</t>
  </si>
  <si>
    <t xml:space="preserve"> BIDS AND AWARDS COMMITTEE INVITATION TO SUBMIT PRICE QUOTATIONS SHOPPING No. 056-2020                                                                 The METRO ROXAS WATER DISTRICT (MRWD), through its Bids and Awards Committee (BAC), invites Manufacturers</t>
  </si>
  <si>
    <t xml:space="preserve"> Provision of labor, materials, equipment rentals and other incidentals needed for the Reconstruction of Screenhouse at DA-INREC, Dingras Station, Brgy. Cali, Dingras, Ilocos Norte  	 	Provision of labor, materials, equipment rentals and other incidentals </t>
  </si>
  <si>
    <t xml:space="preserve"> Republic of the Philippines													 City of San Carlos													 Negros Occidental													 													 INVITATION TO BID											FOR SALE	 			PURCHASE REQUEST NO: 1-20-06-0657				P 300.00	 Sealed bids for quotation of prices will be recei</t>
  </si>
  <si>
    <t xml:space="preserve"> Mits. FB L300/SJL-591 (DepEd) Motor Oil Oil Filter Fuel Filter Bell Crank Center Post Idler Arm Heater Plug Cylinder Head Gasket Valve Seal Shellac Silicon Gasket Halfmoon Coolant Heater Plug Pull Out Tail Light Assy Spotlight Switch Change Oil &amp; Clean Br</t>
  </si>
  <si>
    <t xml:space="preserve"> Provision of labor, materials, equipment rentals and other incidentals needed for the Rehabilitation &amp; Enhancement of Mango Seedling Nursery at DA-INREC, Dingras, Ilocos Norte  	 	Provision of labor, materials, equipment rentals and other incidentals need</t>
  </si>
  <si>
    <t xml:space="preserve"> Provision of labor, materials, equipment rentals and other incidentals needed for the Reconstruction of Screenhouse at DA-PREC, Sual, Pangasinan  	 	Provision of labor, materials, equipment rentals and other incidentals needed for the Reconstruction of Sc</t>
  </si>
  <si>
    <t xml:space="preserve"> Republic of the Philippines PROVINCE OF SOUTHERN LEYTE Maasin City Invitation to Bid for the Procurement of Vehicle Spare Parts &amp; Labor  Contract ID # 2020-07-07-338PG 1.	The Provincial Government of Southern Leyte through the PGO Repair and Maintenance –</t>
  </si>
  <si>
    <t xml:space="preserve"> Republic of the Philippines													 City of San Carlos													 Negros Occidental													 													 INVITATION TO BID											FOR SALE	 			PURCHASE REQUEST NO: 401-20-03-0494				P 300.00	 Sealed bids for quotation of prices will be rec</t>
  </si>
  <si>
    <t xml:space="preserve"> Republic of the Philippines					 PROVINCE OF SOUTHERN LEYTE					 Maasin City					 	Standard Form No.: SF-GOOD-60			 Project Reference No. 091	 	Revised on:  May 24, 2004			 Name of the Project:  _______	 	Standard Form Title:                              </t>
  </si>
  <si>
    <t xml:space="preserve"> Republic of the Philippines PROVINCE OF SOUTHERN LEYTE Maasin City Invitation to Bid for the Procurement of Various IT Equipment and Supplies  Contract ID # 2020-07-07-349PG 1.	The Provincial Government of Southern Leyte through the OVG–Information &amp; Comm</t>
  </si>
  <si>
    <t xml:space="preserve"> Republic of the Philippines					 PROVINCE OF SOUTHERN LEYTE					 Maasin City					 	Standard Form No.: SF-GOOD-60			 Project Reference No. 089	 	Revised on:  May 24, 2004			 Name of the Project:  _______	 	Standard Form Title:                              </t>
  </si>
  <si>
    <t xml:space="preserve"> Republic of the Philippines PROVINCE OF SOUTHERN LEYTE Maasin City Invitation to Bid for the Procurement of Various IT Equipment  Contract ID # 2020-07-07-348PG 1.	The Provincial Government of Southern Leyte through the ADMIN, PSAO– Information and Commun</t>
  </si>
  <si>
    <t xml:space="preserve"> Procurement of Office Supplies for the 2nd Quarter - JHS</t>
  </si>
  <si>
    <t xml:space="preserve"> INVITATION TO BID  PROCUREMENT OF MATERIALS AND EQUIPMENT FOR DISASTER PREPAREDNESS BARANGAY CANDANA-AY, AYUNGON, NEGROS ORIENTAL BID IDENTIFICATION NUMBER 2020-06-07 1.	Barangay Candana-ay, through the 70%  of 5% BDRRMC FUND intends to apply the sum of S</t>
  </si>
  <si>
    <t xml:space="preserve"> Republic of the Philippines					 PROVINCE OF SOUTHERN LEYTE					 Maasin City					 	Standard Form No.: SF-GOOD-60			 Project Reference No. 090	 	Revised on:  May 24, 2004			 Name of the Project:  _______	 	Standard Form Title:                              </t>
  </si>
  <si>
    <t xml:space="preserve"> for PHO use</t>
  </si>
  <si>
    <t xml:space="preserve"> Republic of the Philippines PROVINCE OF SOUTHERN LEYTE Maasin City Invitation to Bid for the Procurement of Various Office Supplies    Contract ID # 2020-07-07-340PG 1.	The Provincial Government of Southern Leyte through the SOYMPH Office Supplies  expens</t>
  </si>
  <si>
    <t xml:space="preserve"> Republic of the Philippines PROVINCE OF SOUTHERN LEYTE Maasin City Invitation to Bid for the Procurement of Engine Oil, Oil Filter &amp; Labor  Contract ID # 2020-07-07-345PG 1.	The Provincial Government of Southern Leyte through the PGO Repair and Maintenanc</t>
  </si>
  <si>
    <t xml:space="preserve"> Republic of the Philippines PROVINCE OF SOUTHERN LEYTE Maasin City Invitation to Bid for the Procurement of Vehicle Spare Parts  Contract ID # 2020-07-07-344PG 1.	The Provincial Government of Southern Leyte through the SDH Repair and Maintenance – Transpo</t>
  </si>
  <si>
    <t xml:space="preserve"> Republic of the Philippines PROVINCE OF SOUTHERN LEYTE Maasin City Invitation to Bid for the Procurement of Housekeeping Supplies  Contract ID # 2020-07-07-347PG 1.	The Provincial Government of Southern Leyte through the PDH Other Supplies &amp; Materials exp</t>
  </si>
  <si>
    <t xml:space="preserve"> Republic of the Philippines PROVINCE OF SOUTHERN LEYTE Maasin City Invitation to Bid for the Procurement of Medical/Hospital Equipment    Contract ID # 2020-07-07-342PG 1.	The Provincial Government of Southern Leyte through the ADH Medical Equipment expen</t>
  </si>
  <si>
    <t xml:space="preserve"> Republic of the Philippines PROVINCE OF SOUTHERN LEYTE Maasin City Invitation to Bid for the Procurement of Vehicle Spare Parts  Contract ID # 2020-07-07-346PG 1.	The Provincial Government of Southern Leyte through the OSP Repair and Maintenance – Transpo</t>
  </si>
  <si>
    <t xml:space="preserve"> Republic of the Philippines					 PROVINCE OF SOUTHERN LEYTE					 Maasin City					 	Standard Form No.: SF-GOOD-60			 Project Reference No. 097	 	Revised on:  May 24, 2004			 Name of the Project:  _______	 	Standard Form Title:                              </t>
  </si>
  <si>
    <t xml:space="preserve"> Republic of the Philippines PROVINCE OF SOUTHERN LEYTE Maasin City Invitation to Bid for the Procurement of Kitchen Equipment   Contract ID # 2020-07-07-339PG 1.	The Provincial Government of Southern Leyte through the SOYMPH Other Property, Plant and Equi</t>
  </si>
  <si>
    <t xml:space="preserve"> Republic of the Philippines PROVINCE OF SOUTHERN LEYTE Maasin City Invitation to Bid for the Procurement of Vehicle Spare Parts   Contract 2020-07-07-337PG  1.	The Provincial Government of Southern Leyte through the PEO’ENG Repairs and Maintenance – Trans</t>
  </si>
  <si>
    <t xml:space="preserve"> Republic of the Philippines					 PROVINCE OF SOUTHERN LEYTE					 Maasin City					 	Standard Form No.: SF-GOOD-60			 Project Reference No. 095	 	Revised on:  May 24, 2004			 Name of the Project:  _______	 	Standard Form Title:                              </t>
  </si>
  <si>
    <t xml:space="preserve"> Republic of the Philippines					 PROVINCE OF SOUTHERN LEYTE					 Maasin City					 	Standard Form No.: SF-GOOD-60			 Project Reference No. 094	 	Revised on:  May 24, 2004			 Name of the Project:  _______	 	Standard Form Title:                              </t>
  </si>
  <si>
    <t xml:space="preserve"> Republic of the Philippines					 PROVINCE OF SOUTHERN LEYTE					 Maasin City					 	Standard Form No.: SF-GOOD-60			 Project Reference No. 093	 	Revised on:  May 24, 2004			 Name of the Project:  _______	 	Standard Form Title:                              </t>
  </si>
  <si>
    <t xml:space="preserve"> Republic of the Philippines					 PROVINCE OF SOUTHERN LEYTE					 Maasin City					 	Standard Form No.: SF-GOOD-60			 Project Reference No. 106	 	Revised on:  May 24, 2004			 Name of the Project:  _______	 	Standard Form Title:                              </t>
  </si>
  <si>
    <t xml:space="preserve"> Republic of the Philippines					 PROVINCE OF SOUTHERN LEYTE					 Maasin City					 	Standard Form No.: SF-GOOD-60			 Project Reference No. 096	 	Revised on:  May 24, 2004			 Name of the Project:  _______	 	Standard Form Title:                              </t>
  </si>
  <si>
    <t xml:space="preserve"> Republic of the Philippines					 PROVINCE OF SOUTHERN LEYTE					 Maasin City					 	Standard Form No.: SF-GOOD-60			 Project Reference No. 105	 	Revised on:  May 24, 2004			 Name of the Project:  _______	 	Standard Form Title:                              </t>
  </si>
  <si>
    <t xml:space="preserve"> Republic of the Philippines					 PROVINCE OF SOUTHERN LEYTE					 Maasin City					 	Standard Form No.: SF-GOOD-60			 Project Reference No. 104	 	Revised on:  May 24, 2004			 Name of the Project:  _______	 	Standard Form Title:                              </t>
  </si>
  <si>
    <t xml:space="preserve"> Republic of the Philippines PROVINCE OF SOUTHERN LEYTE Maasin City Invitation to Bid for the Procurement of Vehicle Spare Parts  Contract ID # 2020-07-07-336PG 1.	The Provincial Government of Southern Leyte through the PENRMO Repair and Maintenance – Tran</t>
  </si>
  <si>
    <t xml:space="preserve"> Republic of the Philippines					 PROVINCE OF SOUTHERN LEYTE					 Maasin City					 	Standard Form No.: SF-GOOD-60			 Project Reference No. 103	 	Revised on:  May 24, 2004			 Name of the Project:  _______	 	Standard Form Title:                              </t>
  </si>
  <si>
    <t xml:space="preserve"> Republic of the Philippines					 PROVINCE OF SOUTHERN LEYTE					 Maasin City					 	Standard Form No.: SF-GOOD-60			 Project Reference No. 101	 	Revised on:  May 24, 2004			 Name of the Project:  _______	 	Standard Form Title:                              </t>
  </si>
  <si>
    <t xml:space="preserve"> Republic of the Philippines PROVINCE OF SOUTHERN LEYTE Maasin City Invitation to Bid for the Procurement of Electrical Supplies   Contract ID # 2020-07-07-335PG 1.	The Provincial Government of Southern Leyte through the PENRMO Repairs and Maintenance -Bui</t>
  </si>
  <si>
    <t xml:space="preserve"> Republic of the Philippines					 PROVINCE OF SOUTHERN LEYTE					 Maasin City					 	Standard Form No.: SF-GOOD-60			 Project Reference No. 098	 	Revised on:  May 24, 2004			 Name of the Project:  _______	 	Standard Form Title:                              </t>
  </si>
  <si>
    <t xml:space="preserve"> Republic of the Philippines					 PROVINCE OF SOUTHERN LEYTE					 Maasin City					 	Standard Form No.: SF-GOOD-60			 Project Reference No. 102	 	Revised on:  May 24, 2004			 Name of the Project:  _______	 	Standard Form Title:                              </t>
  </si>
  <si>
    <t xml:space="preserve"> Republic of the Philippines					 PROVINCE OF SOUTHERN LEYTE					 Maasin City					 	Standard Form No.: SF-GOOD-60			 Project Reference No. 100	 	Revised on:  May 24, 2004			 Name of the Project:  _______	 	Standard Form Title:                              </t>
  </si>
  <si>
    <t xml:space="preserve"> Republic of the Philippines					 PROVINCE OF SOUTHERN LEYTE					 Maasin City					 	Standard Form No.: SF-GOOD-60			 Project Reference No. 092	 	Revised on:  May 24, 2004			 Name of the Project:  _______	 	Standard Form Title:                              </t>
  </si>
  <si>
    <t xml:space="preserve"> Republic of the Philippines					 PROVINCE OF SOUTHERN LEYTE					 Maasin City					 	Standard Form No.: SF-GOOD-60			 Project Reference No. 099	 	Revised on:  May 24, 2004			 Name of the Project:  _______	 	Standard Form Title:                              </t>
  </si>
  <si>
    <t xml:space="preserve"> Republic of the Philippines PROVINCE OF SOUTHERN LEYTE Maasin City Invitation to Bid for the Procurement of IT and Office Equipment  Contract ID # 2020-07-07-058PG 1.	The Provincial Government of Southern Leyte through the PAIASO–Information &amp; Communicati</t>
  </si>
  <si>
    <t xml:space="preserve"> Republic of the Philippines  Department of Education  Region V  Division of Camarines Sur  RAGAY NATIONAL AGRICULTURAL AND FISHERIES SCHOOL  BIDS AND AWARDS COMMITTEE  Liboro, Ragay, Camarines Sur  RNAFS-2020-06-010 ATTENTION:  ALL INTERESTED BIDDERS  SUB</t>
  </si>
  <si>
    <t xml:space="preserve"> Republic of the Philippines  Department of Education  Region V  Division of Camarines Sur  RAGAY NATIONAL AGRICULTURAL AND FISHERIES SCHOOL  BIDS AND AWARDS COMMITTEE  Liboro, Ragay, Camarines Sur  RNAFS-2020-06-011 ATTENTION:  ALL INTERESTED BIDDERS  SUB</t>
  </si>
  <si>
    <t xml:space="preserve"> Republic of the Philippines PROVINCE OF SOUTHERN LEYTE Maasin City Invitation to Bid for the Procurement of Various Housekeeping Supplies  Contract ID # 2020-07-07-357PG 1.	The Provincial Government of Southern Leyte through the PLSO– Other Supplies and M</t>
  </si>
  <si>
    <t xml:space="preserve"> Republic of the Philippines PROVINCE OF AKLAN Kalibo -oOo- BIDS AND AWARDS COMMITTEE (BAC) INVITATION TO BID 1.	The Provincial   Government   of   Aklan, through   MOOE SEF CY 2020 intends   to   apply   the   sum   of  Seven Hundred Fifty Six Thousand Tw</t>
  </si>
  <si>
    <t xml:space="preserve"> ITB / BOQ</t>
  </si>
  <si>
    <t xml:space="preserve"> Republic of the Philippines PROVINCE OF AKLAN Kalibo -oOo- BIDS AND AWARDS COMMITTEE (BAC) INVITATION TO BID 1.	The Provincial   Government   of   Aklan, through   MOOE SEF CY 2020 intends   to   apply   the   sum   of  Nine Hundred Twenty Nine Thousand F</t>
  </si>
  <si>
    <t xml:space="preserve"> Republic of the Philippines PROVINCE OF AKLAN Kalibo -oOo- BIDS AND AWARDS COMMITTEE (BAC) INVITATION TO BID 1.	The Provincial   Government   of   Aklan, through   MOOE SEF CY 2020 intends   to   apply   the   sum   of  Nine Hundred Fourteen Thousand Eigh</t>
  </si>
  <si>
    <t xml:space="preserve"> Republic of the Philippines PROVINCE OF AKLAN Kalibo -oOo- BIDS AND AWARDS COMMITTEE (BAC) INVITATION TO BID 1.	The Provincial   Government   of   Aklan, through   MOOE SEF CY 2020 intends   to   apply   the   sum   Five Hundred Eighty Six Thousand Four H</t>
  </si>
  <si>
    <t xml:space="preserve"> Republic of the Philippines  Department of Education  Region V  Division of Camarines Sur  RAGAY NATIONAL AGRICULTURAL AND FISHERIES SCHOOL  BIDS AND AWARDS COMMITTEE  Liboro, Ragay, Camarines Sur  RNAFS-2020-06-009 ATTENTION:  ALL INTERESTED BIDDERS  SUB</t>
  </si>
  <si>
    <t xml:space="preserve"> Republic of the Philippines PROVINCE OF AKLAN Kalibo -oOo- BIDS AND AWARDS COMMITTEE (BAC) INVITATION TO BID 1.	The Provincial   Government   of   Aklan, through   MOOE SEF CY 2020 intends   to   apply   the   sum   of  Eight Hundred Six Thousand Seven Hu</t>
  </si>
  <si>
    <t xml:space="preserve"> Republic of the Philippines PROVINCE OF AKLAN Kalibo -oOo- BIDS AND AWARDS COMMITTEE (BAC) INVITATION TO BID 1.	The Provincial   Government   of   Aklan, through   20% IRA Development Fund CY 2019  intends   to   apply   the   sum   of  Four Hundred Ninet</t>
  </si>
  <si>
    <t xml:space="preserve"> Republic of the Philippines PROVINCE OF SOUTHERN LEYTE Maasin City Invitation to Bid for the Procurement of Various Housekeeping Supplies  Contract ID # 2020-07-07-356PG 1.	The Provincial Government of Southern Leyte through the OVG– Other Supplies and Ma</t>
  </si>
  <si>
    <t xml:space="preserve"> Republic of the Philippines PROVINCE OF SOUTHERN LEYTE Maasin City Invitation to Bid for the Procurement of 1 Unit Chest Type Freezer  Contract ID # 2020-07-07-353PG 1.	The Provincial Government of Southern Leyte through the ADH– Other Property, Platns an</t>
  </si>
  <si>
    <t xml:space="preserve"> Republic of the Philippines PROVINCE OF SOUTHERN LEYTE Maasin City Invitation to Bid for the Procurement of Catering Services                                           Contract ID # 2020-07-07-351PG 1.	The Provincial Government of Southern Leyte through t</t>
  </si>
  <si>
    <t xml:space="preserve"> Republic of the Philippines PROVINCE OF SOUTHERN LEYTE Maasin City Invitation to Bid for the Procurement of Various Office Supplies  Contract ID # 2020-07-07-352PG 1.	The Provincial Government of Southern Leyte through the PGO– Office Supplies Expenses in</t>
  </si>
  <si>
    <t xml:space="preserve"> Republic of the Philippines PROVINCE OF SOUTHERN LEYTE Maasin City Invitation to Bid for the Procurement of Greenhouse-Materials &amp; Installation  with complete Accessories &amp; Irrigation Facilities                                           Contract ID # 2020</t>
  </si>
  <si>
    <t xml:space="preserve"> Republic of the Philippines PROVINCE OF SOUTHERN LEYTE Maasin City Invitation to Bid for the Procurement of Office Supplies  Contract ID # 2020-07-07-355PG 1.	The Provincial Government of Southern Leyte through the PGO– Office Supplies Expenses intend to </t>
  </si>
  <si>
    <t xml:space="preserve"> a. 11 units - 3-in-1 Printer; Ink Tank Printer, can scan legal size paper b. 23 units - External Hard Drive, 2TB NOTE: The above RFO is a package. Please attach with your quote the following documents: 1. PhilGEPS Registration; 2. Mayor's Permit; 3. BIR R</t>
  </si>
  <si>
    <t xml:space="preserve"> CONCRETE PATHWAY Location: Zone 1, 5, 6 &amp; 7, Brgy. Udoc, Libmanan, Camarines Sur Project Description: I. Concrete Pathway L=142m  W=0.80m  Thk=0.10m                               II. Grouted Riprap                                   a. L=13.30m  H=0.40m   </t>
  </si>
  <si>
    <t xml:space="preserve"> Republic of the Philippines PROVINCE OF AKLAN Kalibo -oOo- BIDS AND AWARDS COMMITTEE (BAC) INVITATION TO BID 1.	The Provincial   Government   of   Aklan, through   20% IRA Development Fund CY 2019  intends   to   apply   the   sum   of  Five Hundred Seven</t>
  </si>
  <si>
    <t xml:space="preserve"> Repair and Rehabilitation of Guard House</t>
  </si>
  <si>
    <t xml:space="preserve"> COMMON OFFICE SUPPLIES</t>
  </si>
  <si>
    <t xml:space="preserve"> Concreting of 58.50 linear meter barangay road.</t>
  </si>
  <si>
    <t xml:space="preserve"> a. 20 units - RFID Reader b. 2 units - 15.6" Touch Screen Monitor c. 8 pcs. - TV Monitor Wall Bracket 40" fixed d. 8 units - USB Hub, 8 Ports e. 10 pcs. - USB Cable Extension, 5m f. 1 unit - 24 inches monitor NOTE: The above RFO is a package. Please attac</t>
  </si>
  <si>
    <t xml:space="preserve"> ground preparation and lay out.Concreting of pavement and installation of decorative cement tiles</t>
  </si>
  <si>
    <t xml:space="preserve"> Construction of Water Tank Flatform, Installation of Electric Water Pump</t>
  </si>
  <si>
    <t xml:space="preserve"> pcs	PVC pipe blue 1/2	400 pcs	Elbow PVC 1/2 blue	150 pcs	Tee PVC 1/2	25 pcs	Female Adapter PVC 1/2	200 pcs	Male Adapter PVC 1/2	150 pcs	Teplone (Big)	200 pcs	Solvent Cement 100 c. c.	100 pcs	PVC Faucet	500 pcs	Coupling 1/2 Blue	100 pcs	Elbow PVC 2" blue	3</t>
  </si>
  <si>
    <t xml:space="preserve"> Specifications can be viewed online by clicking the "Associated Components" section on this ITB. The Local Government Unit-Municipality of Malinao, Aklan through the Bids and Awards Committee, intends to apply the sum of One Hundred Thirty Three Thousand </t>
  </si>
  <si>
    <t xml:space="preserve"> See attached document</t>
  </si>
  <si>
    <t xml:space="preserve"> REPUBLIC OF THE PHILIPPINES Guimba Water District Danzalan St. Cor. Faigal St., Sta. Veronica Guimba, Nueva Ecija Request for Quotation for Supply and Delivery of  Chlorine Dosing Pump, Unit, Parts and Materials for Water Sanitation ABC: Two Hundred Ninet</t>
  </si>
  <si>
    <t xml:space="preserve"> Request for Quotation RFQ No.		SVP-009-2020 MR No.		10067 Requisition No. 	MLS-20-028 Posting Date:         	June 16, 2020 Deadline for Submission:		June 22, 2020 at 9:00 AM Opening Date:	June 22, 2020, 2020 at 10:00 AM TO:	Name of Supplier:______________</t>
  </si>
  <si>
    <t xml:space="preserve"> UNIT   DESCRIPTION AND QUANTITY ITEM 	              LOT PURCHASE	 UNIT   PUGON WITH 2 BURNERS, 24 INCHES	1 	  DIAMETER, LENGTH 9 FEET, WIDTH 3 FEET,	 	  HEIGHT 22 INCHES, CHIMNEY 9 FEET, FURNACE DIAMETER	 	  17 INCHES X 32 INCHES, HOLE IS 10 INCHES X 7 1/</t>
  </si>
  <si>
    <t xml:space="preserve"> Repair of ceilings 4storey 24 classrooms for high school building.</t>
  </si>
  <si>
    <t xml:space="preserve"> PROCUREMENT OF ONE (1) LOT EMERGENCY SUPPLIES AS PROTECTIVE MEASURE AGAINST COVID-19 AND COMPLIANCE TO THE NEW NORMAL 1.  ALCOHOL, 70% Ethyl, 500ml - 300 BOTTLES 	 2.  DISINFECTANT, 1/2 Gallon per container - 100 CONTAINERS		 3.  LIQUID HAND SOAP - 10 GAL</t>
  </si>
  <si>
    <t xml:space="preserve"> pack	cable tie 12" black	7 pcs	pdx clamp #14	2400 pcs	Plier	10 pcs	pdx clamp #12	500 pack	multi-tester sunwa (original)	5 pcs	aluminum ladder	3 pcs	Breaker Box 4 slot 	5 pcs	Circuit Breaker 20 ampere	4 pcs	Circuit Breaker 30 ampere	4 pcs	Circuit Breaker 6</t>
  </si>
  <si>
    <t xml:space="preserve"> Repair and rehabilitation of hand washing area and three seater comfort room</t>
  </si>
  <si>
    <t xml:space="preserve"> 1. pieces  Teflon 3/4"                                    500   P     15.00   P  7,500.00 2. pieces  Brass replacement Piece 1/2"         200   P    180.00  P  36,000.00   3. pieces  Brass water meter 1/2" w/tailpiece 100   P 1,200.00  P 120,000.00 4. pie</t>
  </si>
  <si>
    <t xml:space="preserve"> Repair and rehabilitation of hand washing area</t>
  </si>
  <si>
    <t xml:space="preserve"> Description Item	Qty	Specifications 1.	Rice	500 bags	R40, 5kg per bag 2.	Canned Corned Beef	500 pcs.	150g, 100% pure beef 3.	Chocolate Drink	250 pcs.	8-35g per envelope 4.	Powdered Milk	500 pcs.	150g 5.	Pancake	500 box	500g per box 6.	Canned Tuna	1000 pcs</t>
  </si>
  <si>
    <t xml:space="preserve"> INVITATION TO APPLY FOR ELIGIBILITY AND TO BID THE BIDS AND AWARD COMMITTEE OF THE MUNICIPALITY OF CAIBIRAN, BILIRAN IS INVITING ALL INTERESTED BIDDERS ON ITS FORTH COMING PUBLIC BIDDING FOR:   Project Title	                : Concrete Pavement of Access R</t>
  </si>
  <si>
    <t xml:space="preserve"> TITLE: PROCUREMENT OF FABRICATED CANOPY			 DEPARTMENT: GENERAL SERVICES OFFICE			 			 ITEM NO.	QTY	UNIT	ITEM DESCRIPTION 1	5	units	fabricated canopy 15x20 			 ABC: PHP. 192,500.00</t>
  </si>
  <si>
    <t xml:space="preserve"> Republic of the Philippines Province of Nueva Vizcaya BIDS AND AWARDS COMMITTEE (BAC-Goods) BAC OFFICE, Provincial Capitol, Bayombong, Nueva Vizcaya 	 REQUEST FOR QUOTATION (RFQ)  For the Procurement of Office Supplies (Battery, Alcohol, etc.) For the Pro</t>
  </si>
  <si>
    <t xml:space="preserve"> REQUEST FOR QUOTATION FOR THE SUPPLY AND DELIVERY PROCUREMENT OF VARIOUS GROCERY ITEMS Please quote your lowest price on the item/s listed below, subject to the General Conditions and stating the shortest time of delivery and submit your quotation duly si</t>
  </si>
  <si>
    <t xml:space="preserve"> SEE ATTACHED : REQUEST FOR QUOTATION (RFQ)</t>
  </si>
  <si>
    <t xml:space="preserve"> For Kalayaan 2020 Tarpaulin Printing</t>
  </si>
  <si>
    <t xml:space="preserve"> Purpose: Training after support under Corn Program different activities (Corn-Based Farming System; Financial Literacy; FSTP Phase 1, FSTP Phase 3 and FSTP Insertion). We are looking for a supplier that can provide the herein stated articles. Please quote</t>
  </si>
  <si>
    <t xml:space="preserve"> Republic of the Philippines DEPARTMENT OF PUBLIC WORKS AND HIGHWAYS CAMARINES SUR 1st DISTRICT ENGINEERING OFFICE REGIONAL OFFICE V Baras, Canaman, Camarines Sur INVITATION TO BID 		FOR 20GFD0009 – Supply and Delivery of Spare Parts and Materials for the </t>
  </si>
  <si>
    <t xml:space="preserve"> REQUEST FOR SUPPLIES AND MATERIALS NEEDED DIN PREVENTION OF THE										 	SPREAD OF COVID-19, PURSUANT TO DAR MC#15 S. 2020										 	FOR SANITIZING, CLEANING &amp; DISINFECTION										 1	SOAP BAR (ANTI BACTERIALS OR SULFUR SOAP)									300	PIECE 2	TISSU</t>
  </si>
  <si>
    <t xml:space="preserve"> Supply of Five Hundred Forty Five (545) cubic meter of common borrow with spreading on site.</t>
  </si>
  <si>
    <t xml:space="preserve"> Requesting for Quotation (RFQ) for PR No. 2005212  Interested suppliers are invited to submit Sealed Price Quotations for the above listed items. The Request for Quotation (RFQ) for may be obtained from Mr. Albert A. Camarillo City General Services Office</t>
  </si>
  <si>
    <t xml:space="preserve"> Republic of the Philippines								 PROVINCE OF CAGAYAN								 Tuguegarao City								 REQUEST FOR QUOTATION								 Company Name: 			Quotation No.					 Address:			Date					 TIN Number: 			PR No.					 Tel/Fax: 			Mode of Procurement: Shopping					 E-mail</t>
  </si>
  <si>
    <t xml:space="preserve"> see attached RFQ</t>
  </si>
  <si>
    <t xml:space="preserve"> 25 boxes - Laminating Film A4 size 100's/box.</t>
  </si>
  <si>
    <t xml:space="preserve"> Request for Quotation RFQ No.		SVP-010-2020 MR No.		11596 Requisition No. 	TSE-2020-037 Posting Date:         	June 16, 2020 Deadline for Submission:		June 22, 2020 at 9:00 AM Opening Date:	June 22, 2020, 2020 at 10:00 AM TO:	Name of Supplier:____________</t>
  </si>
  <si>
    <t xml:space="preserve"> TITLE: PROCUREMENT OF HOSPITAL/MEDICAL EQUIPMENT			 DEPARTMENT: PRIMARY CARE FACILITY			 			 ITEM NO.	QTY	UNIT	ITEM DESCRIPTION 1	2	unit	Lower extremity traction devices (supporting  slings, padding, traction strap) 2	20	pcs	Resistant straps or cravats 3	</t>
  </si>
  <si>
    <t xml:space="preserve"> 8 box  Losartan 50mg tab. 100bp 100bot Ascorbic Acid 100mg/5ml, 60ml syrup 160 bot cetirizine 1mg/ml ,60ml bot. 8 box captoril 25mg /tab 100bp 4 tube erythromycin eye ointment 5% ,5g 8 box erythromycin 500 mg tab 100bp 8 box ethambuto 400 mg tab 100bp 4 v</t>
  </si>
  <si>
    <t xml:space="preserve"> Description:  Interested providers are invited to submit you proposal for the Third Party Support for the Deployment of Microsoft System Center Configuration Manager (SCCM) ABC: Five Hundred Ninety-Three Thousand Six Hundred Pesos (Php593,600.00) 1. Pleas</t>
  </si>
  <si>
    <t xml:space="preserve"> Republic of the Philippines DEPARTMENT OF PUBLIC WORKS AND HIGHWAYS CAMARINES SUR 1st DISTRICT ENGINEERING OFFICE REGIONAL OFFICE V Baras, Canaman, Camarines Sur INVITATION TO BID 		FOR 20GFD0011 – Supply  of Fuel for Use of Various Sections for 2nd  Quar</t>
  </si>
  <si>
    <t xml:space="preserve"> INVITATION TO BID The DPWH Isabela 4th District Engineering Office through its Bids and Awards Committee (BAC), invites contractors to submit bids for the following Contract: Procurement ID / Contract ID			: 20BH0141 Contract Name/                        </t>
  </si>
  <si>
    <t xml:space="preserve"> Gentlemen:			 Please submit  your  lowest price quotation (including taxes and government discounts) on charged account basis, on the following supplies/materials/ equipment or labor for the account and official use of the Authority. This Request For Quot</t>
  </si>
  <si>
    <t xml:space="preserve"> 1. 45 pack Stringbeans 2. 9 kls Sweet Corn seeds 3. 40 pcs Seedling Tray 4. 45 pack Eggplant Seeds 5. 40 pack Ampalaya Seeds 6. 25 pack Okra Seeds 7. 20 pack Cauliflower Seeds 8. 6 pack Lettuce Seeds 9. 20 pack Squash Seeds 10. 20 pack Upland kangkong see</t>
  </si>
  <si>
    <t xml:space="preserve"> PLEASE SEE ATTACHED</t>
  </si>
  <si>
    <t xml:space="preserve"> Republic of the Philippines DEPARTMENT OF PUBLIC WORKS AND HIGHWAYS CAMARINES SUR 1st DISTRICT ENGINEERING OFFICE REGIONAL OFFICE V Baras, Canaman, Camarines Sur INVITATION TO BID 		FOR 20GFD0010 – Supply and Delivery of Office Equipment for use in Admini</t>
  </si>
  <si>
    <t xml:space="preserve"> Republic of the Philippines				 Province of Quezon 				 Municipality of Lucban				 				 Bill of Quantities				 Quantity	Unit	Articles/Description	Unit Price	Amount  1 	lot	installation of New aluminum partition		 		wall with panel glass, slidng door and	 </t>
  </si>
  <si>
    <t xml:space="preserve"> ARTICLE AND DESCRIPTION											 ITEM	QTY.	UNIT						CEILING 					UNIT PRICE		TOTAL  								PRICE							 															 				Office: Ospital ng Tondo				PR No. 206							 				Charge to: Other Supplies and Materials Expenses				OBR No. 100-2001-00353			</t>
  </si>
  <si>
    <t xml:space="preserve"> 400 pcs - PWD I.D. (2.5 inches x 3.5 inches) 475 pcs - PWD Booklet (18 pages inside; cover page; board paper 4.5 inches x 7 inches)</t>
  </si>
  <si>
    <t xml:space="preserve"> Plant Plant Plant Intercropping of Papaya, Eggplant, Sili-Panigang and Sili-Tari (2,625 sq.,.) Seedlings 200	pcs	Papaya, Sinta variety F1, seedling 45-50 day old 12	tray	Eggplant, Prolifica Variety F1, 128 seedlings/tray, seedling 18-25 12	tray	Sili, Inok</t>
  </si>
  <si>
    <t xml:space="preserve"> Republic of the Philippines Province of South Cotabato BIDS AND AWARDS COMMITTEE Salada Street, Poblacion Tupi, South Cotabato Tel. Fax No.: (083) 226-1045 INVITATION TO BID FOR THE SUPPLY AND DELIVERY OF CONSTRUCTION MATERIALS FOR THE CONSTRUCTION OF FIF</t>
  </si>
  <si>
    <t xml:space="preserve"> Republic of the Philippines				 Province of Quezon 				 Municipality of Lucban				 				 Bill of Quantities				 Quantity	Unit	Articles/Description	Unit Price	Amount  20 	BAG	portland cement		  3 	m3	sand	 	  2	m3	gravel	 	  12	pcs	12mm RSB	 	  6	pcs	10mm R</t>
  </si>
  <si>
    <t xml:space="preserve"> 3	bxs	Ballpen 50's/box black and blue 15	ream	Colored Paper, assorted colors 250's/ream 6	pcs	Correction Tape 8	sleeves	Manila Paper 11	pcs	Marker, permanent black broadtip type 10	pcs	Marker, permanent red broadtip type 10	pcs	Marker, permanent blue broa</t>
  </si>
  <si>
    <t xml:space="preserve"> Purchase of Construction Materials/ Temporary Reservoir at Tiwi, Loon</t>
  </si>
  <si>
    <t xml:space="preserve"> Description:  Interested providers are invited to submit proposal/quotation for the ADOBE CREATIVE CLOUD FOR TEAMS (CCT) SOFTWARE LICENSE SUBSCRIPTION MAINTENANCE AND SUPPORT SERVICES ABC: Three Hundred Thirty-Four Thousand Five Hundred Pesos (Php334,500.</t>
  </si>
  <si>
    <t xml:space="preserve"> 1   Set   Stainless Water Pressurized Tank (80 gals capacity, incl. guage) 1   Set   Electric Water Pump (Goulds, 1HP with Pressure Switch) 1   Set   Stainless Water Tank ( 2000L, with Floater) 4   Pcs   PPR Ball Valve (1 inch diameter) 3   Pcs   PPR Ball</t>
  </si>
  <si>
    <t xml:space="preserve"> ROAD CONCRETING (0.20m thick x 6.0m wide x 255m long)</t>
  </si>
  <si>
    <t xml:space="preserve"> Construction of Local Road/Bridge at Purok 5, Barangay San Jose, Bacon District, Sorsogon City</t>
  </si>
  <si>
    <t xml:space="preserve"> Procurement of One (1) set Desktop Computer with Printer and Complete Accessories for MCR Office of LGU - Laak, Davao De Oro with an ABC of Php. 110,000.00.</t>
  </si>
  <si>
    <t xml:space="preserve"> Republic of the Philippines									 PROVINCE OF CAGAYAN									 Municipality of Peñablanca									 									 REQUEST FOR QUOTATION									 									 Company Name: 			Quotation No.						 Address:			Date						 TIN Number: 			PR No.						 Tel/Fax: 			Mod</t>
  </si>
  <si>
    <t xml:space="preserve"> PROCUREMENT OF OFFICE EQUIPMENT FOR THE LOCAL GOVERNMENT UNIT COMPUTERIZATION PROGRAM</t>
  </si>
  <si>
    <t xml:space="preserve"> 360 pcs - Solo Parent I.D. size: 6cm x 9cm non-glossy 750 pcs - Family Access Card size: 4 inch x 10 inch board paper 2,500 pcs - ECCD Booklet 1 (fold coat cover colored, 20 pages black &amp; white) 2,500 pcs - ECCD Booklet 2 (fold coat cover colored, 20 page</t>
  </si>
  <si>
    <t xml:space="preserve"> PLEASE SEE ATTACHED INVITATION TO BID FOR THE PROJECT DESCRIPTION.</t>
  </si>
  <si>
    <t xml:space="preserve"> 1. 50 ltrs Microbial inoculant 2. 1500 pcs Empty Sacks 3. 300 kgs Molasses Purpose: Soid waste segration and reduction enhancement program waste to food project organic material recovery and fertilizer production/CAO</t>
  </si>
  <si>
    <t xml:space="preserve"> REQUEST TO SUBMIT PROPOSAL/QUOTATION														 (Shopping - Sec. 52.1 (b))														 								Date :						 														 														 Company / Store Name and Address														 														 	Please quote your lowest price on the items liste</t>
  </si>
  <si>
    <t xml:space="preserve"> Supply and delivery of the following: 18	roll	Barbed wire @ 30 kgs/roll			 36	roll	Hogwire, 9 eye #47			 10	kilo	"U" Nails, #2			 10	kilo	Tie Wire, gauge # 16			 Note:			 To be delivered at NSRRDC, Bagalupa, Labangan, Zamboanga del Sur</t>
  </si>
  <si>
    <t xml:space="preserve"> 1	pc	battery NS40 maintenance 1	set	sidemirror (big base) 2	pcs	headlight bulb (H4) 1	set 	wiper blade 14</t>
  </si>
  <si>
    <t xml:space="preserve"> REQUEST TO SUBMIT PROPOSAL/QUOTATION														 (Small Value Procurement - Sec. 53.9)														 								Date :						 														 														 Company / Store Name and Address														 														 	Please quote your lowest price on the </t>
  </si>
  <si>
    <t xml:space="preserve"> office supplies and equipments</t>
  </si>
  <si>
    <t xml:space="preserve"> Small Value Procurement</t>
  </si>
  <si>
    <t xml:space="preserve"> Adapter - 15 pcs	 EPSON , Ink 664 Black - 50 bottles	 EPSON , Ink 664 Cyan - 25 bottles	 EPSON , Ink 664 Magenta - 12 bottles	 EPSON , Ink 664 Yellow - 30 bottles	 EPSON , Ink 003 Black - 25 bottles	 EPSON , Ink 003 Cyan - 7 bottles	 EPSON , Ink 003 Magen</t>
  </si>
  <si>
    <t xml:space="preserve"> Municipality of San Juan, Siquijor						Project Reference No.: 				 						Name of Project: Procurement of Office Furniture &amp;				 						Fixtures for OSCA, MSWD CY 2020				 						Location of Project: Poblacion,San Juan, Siquijor				 Standard Form Number: SF</t>
  </si>
  <si>
    <t xml:space="preserve"> Two (2) pcs Timing Belt (R&amp;M Toyota Hilux Pick-up SHF 307) and 27 other LI</t>
  </si>
  <si>
    <t xml:space="preserve"> 2 pcs. Thermal Scanner</t>
  </si>
  <si>
    <t xml:space="preserve"> THREE THOUSAND (3,000) PIECES CUSTOMIZED DOT EXCITING BICOL FACE MASKS SPECIFICATIONS: •	 Fits snugly and covers from nose bridge to below the chin •	Thick, breathable fabric •	Full sublimation print •	Preferable with pocket/slit for filter COLOR: a)	Blac</t>
  </si>
  <si>
    <t xml:space="preserve"> PROCUREMENT OF ONE (1) LOT OFFICE EQUIPMENT 1.  Cabinet, Steel File, Vertical File 4 drawers	- 3 UNITS 	 2.  Cabinet, Open Shelves, steel,  5-layers, color: gray, gauge 18	- 10 UNITS ***nothing follows*** Request for Quotation (RFQ) Terms, Conditions, Pro</t>
  </si>
  <si>
    <t xml:space="preserve"> Requesting for Quotation (RFQ) for PR No. 2006043  Interested suppliers are invited to submit Sealed Price Quotations for the above listed items. The Request for Quotation (RFQ) for may be obtained from Mr. Albert A. Camarillo City General Services Office</t>
  </si>
  <si>
    <t xml:space="preserve"> Republic of the Philippines  Province of Nueva Ecija  Palayan City BIDS AND AWARDS COMMITTEE  REQUEST FOR QUOTATION  									Date: June 15, 2020 1.	LGU-Palayan City through its Bids and Awards Committee (BAC) invites registered suppliers to submit quotat</t>
  </si>
  <si>
    <t xml:space="preserve"> Premium Hog Starter Pellets, etc.- CEDU Animal- Swine Project Please see attached RFQ.</t>
  </si>
  <si>
    <t xml:space="preserve"> Procurement of Radio Base Transceiver and VHF Handheld Radio of DepEd Elementary - Laak North District, Laak, Davao De Oro with an ABC of Php. 60,000.00</t>
  </si>
  <si>
    <t xml:space="preserve"> 3RD INVITATION TO BID The Municipal Government of La Trinidad through the Bids and Awards Committee (BAC) invites contractors to bid for the hereunder project: Contract Reference No.: POW - 8751 - 2020 - LBS - 01 Name of Project: Improvement of FMR near S</t>
  </si>
  <si>
    <t xml:space="preserve"> Preparation of As-built Plan, Detailed Engineering Design, Specifications, and Bill of Quantities of Annex Building and Municipal Building electrical system</t>
  </si>
  <si>
    <t xml:space="preserve"> Requesting for Quotation (RFQ) for PR No. 2005198  Interested suppliers are invited to submit Sealed Price Quotations for the above listed items. The Request for Quotation (RFQ) for may be obtained from Mr. Albert A. Camarillo City General Services Office</t>
  </si>
  <si>
    <t xml:space="preserve"> The Local Government Unit of Amulung, Cagayan intends to purchase Supply and Delivery of 5,000 Liters Diesel for Ambulance through Alternative Mode of Procurement with an ABC of Php 175.000.00 Interested suppliers can avail of the Request for Quotation at</t>
  </si>
  <si>
    <t xml:space="preserve"> INVITATION TO APPLY FOR ELIGIBILITY AND TO BID The Municipal Government of   San Luis, Batangas, through its Bids and Awards Committee (BAC), invites contractors registered with and classified by the Philippine Contractors Accreditation Board (PCAB) to ap</t>
  </si>
  <si>
    <t xml:space="preserve"> Republic of the Philippines PROVINCE OF ZAMBOANGA DEL NORTE BIDS AND AWARDS COMMITTEE (BAC) BAC Conference Room, Capitol Building, Brgy. Estaka Tel. # (065) 212-6492 Telefax # (065) 212-6492 	                                                               </t>
  </si>
  <si>
    <t xml:space="preserve"> 50 gals. Disinfectant Concentrate 15 gals. All Purpose Cleaner</t>
  </si>
  <si>
    <t xml:space="preserve"> Download attached Request for Quotation (RFQ) and submit to: Anselmo Baldoza Maño City Procurement Officer City Government of Naga Trunk line (054) 2052980 local# 1070 Email: bac@naga.gov.ph/ cpo@naga.gov.ph 1. PhilGEPS Closing Date/Time will be basis for</t>
  </si>
  <si>
    <t xml:space="preserve"> JOB ORDER: To provide labor and materials for the printing of T-shirts with the following specifications: No.	Scope of Work	Quantity	Unit_Cost	ABC 	MTERIALS:   Cotton	200	300.00	60,000.00 	COLOR:       Navy Blue			 	PRINT: see attached sample			 No.	Terms</t>
  </si>
  <si>
    <t xml:space="preserve"> 11,666 Sachet Nutriblend (rice, sesame, monggo)</t>
  </si>
  <si>
    <t xml:space="preserve"> INVITATION TO BID FOR IMPROVEMENT OF PUBLIC MARKET 1.	The Municipal Government of Sta. Maria through the 20% Local Development Fund 2020 intends to apply the sum of One Million Five Hundred Thousand Pesos (₱1,500,000.00) being the Approved Budget for the </t>
  </si>
  <si>
    <t xml:space="preserve"> 1.	The AGRICULTURAL TRAINING INSTITUTE (ATI), through the 2020 GENERAL APPROPRIATIONS ACT (GAA) intends to apply the sum of TWELVE MILLION FOUR HUNDRED EIGHTY-FIVE THOUSAND ONE HUNDRED PESOS (PHP 12,485,100.00) being the Approved Budget for the Contract (</t>
  </si>
  <si>
    <t xml:space="preserve"> 5 units Office Table Malaysian Wood, Mahogany color Vinyl laminated, 48" x 28" 2 units Office Table Malaysian Wood, Mahogany Color Vinyl laminated, 48" x 28"</t>
  </si>
  <si>
    <t xml:space="preserve"> 50 pcs. Polo Shirts P35,000.00</t>
  </si>
  <si>
    <t xml:space="preserve"> 1. 3,000 ltrs Diesel Fuel Note: the price/s quoted by the supplier shall be valid for a period of seven (7) calendar days from the date of the quotation, and the item/s shall be delivered to the procuring entity regardless of an increase or decrease in th</t>
  </si>
  <si>
    <t xml:space="preserve"> Used in the office of the Municipal Mayor, this muncipality</t>
  </si>
  <si>
    <t xml:space="preserve"> Project: Renovation of Regional Director's Office Location: Camp Col Rafael C Rodriguez, Butuan City Approved Budget for the Contract (ABC): Php147,355.74 Duration: 60 Calendar Days</t>
  </si>
  <si>
    <t xml:space="preserve"> Republic of the Philippines								                     Department of Education								                  Region XI								                        DAVAO CITY NATIONAL HIGH SCHOOL 								                Davao City 								                     COMMITTEE ON </t>
  </si>
  <si>
    <t xml:space="preserve"> See Attached file</t>
  </si>
  <si>
    <t xml:space="preserve"> 1 pc. Table</t>
  </si>
  <si>
    <t xml:space="preserve"> items:    vehicle parts, electrical and body repair materials of motorpool equipments location: lgu motorpool, gutalac, zamboanga del norte approved budget for the contract: php710,000.00 opening of bids: july 8, 2020    2:00 pm submission of bids: on or </t>
  </si>
  <si>
    <t xml:space="preserve"> The Property Div.-OAS of the Supreme Court, through the Procurement Section, invites interested suppliers to quote for the price/s of the item/s listed in the attached document (PLEASE DOWNLOAD) Please also provide "Eligibility Documents, Annex A"</t>
  </si>
  <si>
    <t xml:space="preserve"> Requesting for Quotation (RFQ) for PR No. 2006087  Interested suppliers are invited to submit Sealed Price Quotations for the above listed items. The Request for Quotation (RFQ) for may be obtained from Mr. Albert A. Camarillo City General Services Office</t>
  </si>
  <si>
    <t xml:space="preserve"> Materials for the rehabilitation  of gutter and downspout of Basketball Court.</t>
  </si>
  <si>
    <t xml:space="preserve"> Thermal Paper, Coreless for Mobile Receipting Device Ziaplex Ziapos 900</t>
  </si>
  <si>
    <t xml:space="preserve"> Republic of the Philippines DEPARTMENT OF PUBLIC WORKS AND HIGHWAYS CAMARINES SUR 1st DISTRICT ENGINEERING OFFICE REGIONAL OFFICE V Baras, Canaman, Camarines Sur INVITATION TO BID 		FOR 20GFD0012 – Supply and Delivery of Customized Binder for use of  Vari</t>
  </si>
  <si>
    <t xml:space="preserve"> Supply and delivery of the following: 2	pack	EAZI-BREED CIDR Cattle Insert (Porgesterone)			 10	dose	Folligon			 10	dose	Folltropin V			 2	dose	Chorulon			 2	dose	Cystorelin</t>
  </si>
  <si>
    <t xml:space="preserve"> Republic of the Philippines Province of Eastern Samar Municipality of San Julian REQUEST FOR QUOTATION _______________________________ ______________________________ _______________________________ SIR/MADAME: 	Please quote your lowest price for the follo</t>
  </si>
  <si>
    <t xml:space="preserve"> 1 Length Angle Bar Cleat 50x50x4.5mm and 56 Line Items</t>
  </si>
  <si>
    <t xml:space="preserve"> Republic of Philippines								 City of Canlaon								 OFFICE OF THE BIDS AND AWARDS COMMITTEE								 REQUEST FOR SEALED QUOTATION								 								 								 				Date:	15-Jun-20			 				Quotation No.:	2020-06-0164			 				PR No.:	2020-06-165-B			 				Depar</t>
  </si>
  <si>
    <t xml:space="preserve"> Repair/Improvement of Multipurpose Bldg. (Health Center) of Barangay San Jose, Bacon District, Sorsogon City</t>
  </si>
  <si>
    <t xml:space="preserve"> REQUEST FOR QUOTATION Please quote your lowest price on the item/s listed below, subject to the conditions also listed below, stating the shortest time of delivery and submit your quotation duly signed by your representative not later than 5:00 P.M. of Ju</t>
  </si>
  <si>
    <t xml:space="preserve"> Requesting for Quotation (RFQ) for PR No. 2005193  Interested suppliers are invited to submit Sealed Price Quotations for the above listed items. The Request for Quotation (RFQ) for may be obtained from Mr. Albert A. Camarillo City General Services Office</t>
  </si>
  <si>
    <t xml:space="preserve"> REQUEST FOR QUOTATION (RFQ) Date: June 16, 2020 The Owner/Proprietor ____________________________ Borongan City Sir/Ma’am: Please quote your price for the items specified below, taking into consideration the following &amp; fill-up the above portion “The Owne</t>
  </si>
  <si>
    <t xml:space="preserve"> Republic of the Philippines Province of Iloilo  BIDS AND AWARDS COMMITTEE REQUEST FOR QUOTATION Quotation No.PEO-20-0676-NP (SV) Reference PR No. PEO-20-0676 June 11, 2020 ___________________________ ___________________________ ___________________________</t>
  </si>
  <si>
    <t xml:space="preserve"> TIRES #14 X 14 -16 PLY RATING - 2 SETS</t>
  </si>
  <si>
    <t xml:space="preserve"> The Bureau of Soils and Water Management (BSWM), through its Bids and Awards Committee (BAC), intend to hire catering services for the conduct of the “FY 2021 Budget Preparation and Consultation,” on   June 18, 2020, June 25, 2020 &amp; September 15, 2020 at </t>
  </si>
  <si>
    <t xml:space="preserve"> Used in the office of the municipal mayor, this municipality</t>
  </si>
  <si>
    <t xml:space="preserve"> l.	The MUNICIPALITY OF GUINAYANGAN, QUEZON, through  the  2020 C.O.    intends to apply the sum of  Sixty Two Thousand Two Hundred Fifty Pesos  (P 62,250.00) being the Approved Budget for the Contract (ABC) to payments under the contract for Supply and De</t>
  </si>
  <si>
    <t xml:space="preserve"> Uniforms for Fishery Law Enforcement Personnel 					 					 Short Sleeve with BFAR Logo (sublimation)			35	Piece	21,000.00 Dry fit texture					 Long Sleeve with BFAR Logo (sublimation) Dry fit texture			35	Piece	24,500.00 Tactical Shorts (for men)			65	Pie</t>
  </si>
  <si>
    <t xml:space="preserve"> Republic of Philippines								 City of Canlaon								 OFFICE OF THE BIDS AND AWARDS COMMITTEE								 REQUEST FOR SEALED QUOTATION								 								 								 				Date:	15-Jun-20			 				Quotation No.:	2020-06-0163			 				PR No.:	2020-06-166-B			 				Depar</t>
  </si>
  <si>
    <t xml:space="preserve"> Project: Extension and Improvement of Pastoral Office and Quarters Location: Camp Col Rafael C Rodriguez, Butuan City Approved Budget for the Contract (ABC): Php436,000.00</t>
  </si>
  <si>
    <t xml:space="preserve"> Repair and Maintenance of various Service Vehicle for use of Provincial Government of Tarlac LOT 1: Repair and Maintenance of (3) units Dental Bus LOT 2: Repair and Maintenance of Foton Gratour Midi Truck with CS No. GC1802; GC1806; GC1786; GC1823 LOT 3: </t>
  </si>
  <si>
    <t xml:space="preserve"> Republic of the Philippines 	 PROVINCE OF BUKIDNON 	 Municipality of Don Carlos                                     BIDS AND AWARDS COMMITTEE REQUEST FOR QUOTATION 									 							Date:  							RFQ No.											   		Name of Project:  									 							En</t>
  </si>
  <si>
    <t xml:space="preserve"> Purchase of Camera use in Office of Tourism &amp; Department of Agriculture</t>
  </si>
  <si>
    <t xml:space="preserve"> Republic of the Philippines PROVINCIAL GOVERNMENT OF EASTERN SAMAR Capitol Building, Borongan, Eastern Samar, 6800 Tel No. (055)-560-8312 E-mail Address: esamar.bac@gmail.com BIDS AND AWARDS COMMITTEE (BAC) INVITATION TO BID FOR CONCRETING OF CAROLINA – H</t>
  </si>
  <si>
    <t xml:space="preserve"> Clearing, grubbing, demolition of existing structure, excavation &amp; backfilling (L&gt;S) 9 cu.m gravel 3/4 13 bags cement 5 cu.m sand 23 pcs 10mm @RSB 7 pcs G.I Pipe #2  sch. 20 9 pcs 2x2x12 coco lumber 2 kg CW nails asstd. sizes 1 kg Tie wires 4 pcs 1/4 thk </t>
  </si>
  <si>
    <t xml:space="preserve"> ARTICLE AND DESCRIPTION											 ITEM	QTY.	UNIT						CEILING 					UNIT PRICE		TOTAL  								PRICE							 															 				Office: Universidad De Manila				PR No. 331							 				Charge to: Medical, Dental and Laboratory Supplies Expenses				OBR No. 1</t>
  </si>
  <si>
    <t xml:space="preserve"> Procurement of Three (3) units Generator and Four (4) units Grass Cutter for DepEd Elementary - Laak North District, Laak, Davao De Oro with an ABC of Php. 119,000.00.</t>
  </si>
  <si>
    <t xml:space="preserve"> Republic of the Philippines DEPARTMENT OF PUBLIC WORKS AND HIGHWAYS CAMARINES SUR 1st DISTRICT ENGINEERING OFFICE REGIONAL OFFICE V Baras, Canaman, Camarines Sur INVITATION TO BID 		FOR 20GFD0013 – Supply and Delivery of Electrical Supplies, Common Office</t>
  </si>
  <si>
    <t xml:space="preserve"> Invitation to Bid for Filling at ESSU Mini Park at ESSU Main Campus 1.	The Eastern Samar State University – Main Campus, through the FY 2020 Special Trust Fund intends to apply the sum of Six Million Three Hundred Five Thousand Five Hundred Fourteen Pesos</t>
  </si>
  <si>
    <t xml:space="preserve"> OFFICE OF THE BIDS AND AWARDS COMMITTEE Name of Procuring Entity:     LGU – BAYOMBONG      Request for Quotation No.: _____________________ Revised on:   ______________________________                                             Date:   __________________</t>
  </si>
  <si>
    <t xml:space="preserve"> Republic of the Philippines MINDANAO STATE UNIVERSITY AT NAAWAN 9023 Naawan, Misamis Oriental REQUEST FOR QUOTATION To whom it may concern: Please quote your lowest price/s on the lot or item/s listed below, subject to the General Conditions indicated her</t>
  </si>
  <si>
    <t xml:space="preserve"> 2ND INVITATION TO BID The Municipal Government of La Trinidad through the Bids and Awards Committee (BAC) invites contractors to bid for the hereunder project: Contract Reference No.: POW - 8751 - 2020 - PCO - 02 Name of Project: Construction of Box Culve</t>
  </si>
  <si>
    <t xml:space="preserve"> 18	pcs	2 1/2x 2 1/2 x 1/4 angle bar 4	pcs	1 1/2x 1 1/2x 1/4 angle bar 10	klg	welding rod 6	pcs	16mm round bar 8	pcs	turn buckle 2	gal.	red oxide</t>
  </si>
  <si>
    <t xml:space="preserve"> l.	The MUNICIPALITY OF GUINAYANGAN, QUEZON, through  the  2020 C.O.    intends to apply the sum of  Two Hundred Twelve Thousand Three Hundred Twenty  Pesos                   (P 212,320.00) being the Approved Budget for the Contract (ABC) to payments under</t>
  </si>
  <si>
    <t xml:space="preserve"> Item No.	Description	Qty.	Unit 1	Winning Bidder must provide a Fully Automated Chemiluminescent Microparticle Immuno Assay (CMIA) machine. Provide all necessary accessories needed for the machine to function like RV, Control, calibration, pre-trigger, buf</t>
  </si>
  <si>
    <t xml:space="preserve"> Requesting for Quotation (RFQ) for PR No. 2006055  Interested suppliers are invited to submit Sealed Price Quotations for the above listed items. The Request for Quotation (RFQ) for may be obtained from Mr. Albert A. Camarillo City General Services Office</t>
  </si>
  <si>
    <t xml:space="preserve"> 1,870 liters diesel location: sb legislative office, gutalac, zamboanga del norte approved budget for the contract: php68,000.00 opening of bids: june 25, 2020    2:00 pm submission of bids: on or before opening of bids non refundable fee for bidding docu</t>
  </si>
  <si>
    <t xml:space="preserve"> Requesting for Quotation (RFQ) for PR No. 2006045  Interested suppliers are invited to submit Sealed Price Quotations for the above listed items. The Request for Quotation (RFQ) for may be obtained from Mr. Albert A. Camarillo City General Services Office</t>
  </si>
  <si>
    <t xml:space="preserve"> 1	Unit	Smart TV 75", ABC 120,000.00/unit Resolution: 3840 x 2160, Display Format: 4K UHD 2160p, 75 inch				 Connectivity: Wifi and Internet 3 USB Ports 4 HDMI Ports				 Operating System: Android	 RFQ#06-0619</t>
  </si>
  <si>
    <t xml:space="preserve"> Republic of the Philippines Provincial Government of Aurora Bids and Awards Committee (BAC) BAC Office, Provincial Capitol Building, Baler, Aurora 3200, Philippines Standard Form Number: SF-INFR-05 Revised on: July 29, 2004 INVITATION TO BID The PROVINCIA</t>
  </si>
  <si>
    <t xml:space="preserve"> For use in Michigan Payloader L2-1335 assigned at Maint. Section</t>
  </si>
  <si>
    <t xml:space="preserve"> 1 Unit John deere Model 5075E MFWD OOS Tractor 75Hp 3 Cyl.Turbocharged,Direct Inj.,Rotary InjPump John Deere Engine,68liter fuel tank, Dual Clutch, Synchromesh Trans. (TSS) 9F/3R, Self Adj.Brakes,Hyd.Actuated,1800kgt Lift Cap 3-pt.Hitch Cat II. Power Stee</t>
  </si>
  <si>
    <t xml:space="preserve"> Black Ink HP Deskjet Ink Advantage - #680 Colored Ink HP Deskjet Ink Advantage - #680 Alcohol (70% Solution) Tissue (Cleene Premium - 9 rolls)</t>
  </si>
  <si>
    <t xml:space="preserve"> Description Please quote your price inclusive of VAT on the item/s listed below, subject to the Terms and conditions of the RFQ, and submit your quotation duly signed by your representative not later than June 23, 2020 at CGSO for Goods. Upon receipt of a</t>
  </si>
  <si>
    <t xml:space="preserve"> REQUEST FOR QUOTATION Labor for Replacement of Roofing and Ceiling Eaves of Whitehouse 1. The Cavite State University (CvSU) invites interested firms/suppliers to submit quotation for the project “Labor for Replacement of Roofing and Ceiling Eaves of Whit</t>
  </si>
  <si>
    <t xml:space="preserve"> Republic of the Philippines                                                   													 DEPARTMENT OF PUBLIC WORKS AND HIGHWAYS													 ZAMBOANGA DEL NORTE													 1ST DISTRICT ENGINEERING OFFICE													 REGIONAL OFFICE IX													 </t>
  </si>
  <si>
    <t xml:space="preserve"> Republic of the Philippines PROVINCIAL GOVERNMENT OF EASTERN SAMAR Capitol Building, Borongan, Eastern Samar, 6800 Tel No. (055)-560-8312 E-mail Address: esamar.bac@gmail.com BIDS AND AWARDS COMMITTEE (BAC) INVITATION TO BID FOR CONSTRUCTION OF MULTI-PURP</t>
  </si>
  <si>
    <t xml:space="preserve"> Materials to be used for construction and re painting of offices.</t>
  </si>
  <si>
    <t xml:space="preserve"> ARTICLE AND DESCRIPTION											 ITEM	QTY.	UNIT						CEILING 					UNIT PRICE		TOTAL  								PRICE							 															 				Office: Universidad De Manila				PR No. 330							 				Charge to: Drugs and Medicines Expenses				OBR No. 100-2002-00678							</t>
  </si>
  <si>
    <t xml:space="preserve"> Republic of the Philippines Province of Cotabato Municipality of Arakan Barangay Dallag BIDS AND AWARDS COMMITTEE REQUEST FOR QUOTATION Construction of Multi-purpose Building @ sitio Malli The Barangay Local Government Unit of Dallag is inviting intereste</t>
  </si>
  <si>
    <t xml:space="preserve"> To be used in the office of matalam police station</t>
  </si>
  <si>
    <t xml:space="preserve"> Road Work Ahead (T1-1) (50m) 1,800mm x 600mm	12	Pcs Road Work Ahead (T1-1) (100m) 1,800mm x 600mm	14	Pcs Road Work Ahead (T1-1) (150m) 1,800mm x 600mm	14	Pcs Road Work Ahead (T1-1) (200m) 1,800mm x 600mm	14	Pcs Bridge Work Ahead (T1-2) (50m) 1,800mm x 600</t>
  </si>
  <si>
    <t xml:space="preserve"> Republic of the Philippines Province of Nueva Vizcaya BIDS AND AWARDS COMMITTEE (BAC-Goods) BAC OFFICE, Provincial Capitol, Bayombong, Nueva Vizcaya 	 2ND REQUEST FOR QUOTATION (RFQ)  For the Procurement of Office Supplies (Carbon Film, Paper Multi-purpos</t>
  </si>
  <si>
    <t xml:space="preserve"> Labor</t>
  </si>
  <si>
    <t xml:space="preserve"> The City Government of Santiago invites interested parties to submit price quotation for the “SUPPLY AND DELIVERY OF VARIOUS EQUIPMENT FOR CANCER PREVENTION AND CONTROL PROGRAM USE“ City Hall, Santiago City, details as follows: ABC: Php 514,500.00 Contrac</t>
  </si>
  <si>
    <t xml:space="preserve"> 12 UNITS LAPTOP MIDRANGE</t>
  </si>
  <si>
    <t xml:space="preserve"> PR#20-02-0024 ABC 450,000.00 Please see attached Specifications, Terms, Reference and Scope of Work at the Associated Components. INSTRUCTIONS/ NOTES TO BIDDERS: 1.	Please indicate the following information in your bid: a) Company Name, Address, Tel/Fax n</t>
  </si>
  <si>
    <t xml:space="preserve"> Requesting for Quotation (RFQ) for PR No. 2005253  Interested suppliers are invited to submit Sealed Price Quotations for the above listed items. The Request for Quotation (RFQ) for may be obtained from Mr. Albert A. Camarillo City General Services Office</t>
  </si>
  <si>
    <t xml:space="preserve"> JOB ORDER: Labor services for the conduct of Complete Soil Analysis for samples collected from 45 sites   in three provinces  Brgy. Camanhagay, San Sebastian Samar, Brgy. Uban, Babatngon Leyte &amp; Brgy.  Manlabang Caibiran Biliran. No.	Scope of Work	Quantit</t>
  </si>
  <si>
    <t xml:space="preserve"> I - Concrete works - 10.55 cu.m II - Masonry works - 196.57 sq. m III - Ceiling works - 109.32 sq. m IV - Roofing works - 158 sq. m V - Painting works - 393.14 sq. m VI - Doors and Windows - 10.98 sq. m VII - Tiling works - 90.56 sq. m VIII - Electrical w</t>
  </si>
  <si>
    <t xml:space="preserve"> ARTICLE AND DESCRIPTION											 ITEM	QTY.	UNIT						CEILING 					UNIT PRICE		TOTAL  								PRICE							 															 				Office: Ospital ng Tondo				PR No. 197							 				Charge to: Office Supplies Expenses				OBR No. 100-2001-00344							 				ABC:</t>
  </si>
  <si>
    <t xml:space="preserve"> Please see attached Request for Quotation, Specifications and Scope of Work. Other document relative to this procurement is available at the BAC Secretariat.</t>
  </si>
  <si>
    <t xml:space="preserve"> Republic of the Philippines PROVINCE OF AKLAN Kalibo -oOo- BIDS AND AWARDS COMMITTEE (BAC) INVITATION TO BID 1.	The Provincial   Government   of   Aklan, through   MOOE SEF CY 2020 intends   to   apply   the   sum   Eight Hundred One Thousand Five Hundred</t>
  </si>
  <si>
    <t xml:space="preserve"> 1 pc amglobe crystal light 1/2 clear 6 mtrs #12 THW stranded wire 4 mtrs moldflex pipe # 1/2 32 pcs P.E pipe 1/2 SDR II 1 pc firefly bulb (18watts) 64 mtrs #10 THW stranded wire 1 pc poly junction box 4x4x WC 1 roll electrical tape (big) 1 mtr mecca tube </t>
  </si>
  <si>
    <t xml:space="preserve"> Republic of the Philippines Province of Cotabato Municipality of Arakan Barangay Dallag BIDS AND AWARDS COMMITTEE REQUEST FOR QUOTATION Purchase of Laptop  The Barangay Local Government Unit of Dallag is inviting interested suppliers to submit price quota</t>
  </si>
  <si>
    <t xml:space="preserve"> ARTICLE AND DESCRIPTION											 ITEM	QTY.	UNIT						CEILING 					UNIT PRICE		TOTAL  								PRICE							 															 				Office: Ospital ng Tondo				PR Nos. 205 &amp; 203							 				Charge to: Other Supplies and Materials Expenses				OBR No. 100-2001-0</t>
  </si>
  <si>
    <t xml:space="preserve"> Republic of the Philippines PROVINCE OF AKLAN Kalibo -oOo- BIDS AND AWARDS COMMITTEE (BAC) INVITATION TO BID 1.	The Provincial   Government   of   Aklan, through   MOOE SEF CY 2020 intends   to   apply   the   sum   Nine Hundred Sixty Seven Thousand Three</t>
  </si>
  <si>
    <t xml:space="preserve"> 20ID0071 	Construction/ Rehabilitation of Flood Mitigation Facilities within Major River Basins and Principal Rivers- Construction of Daguitan-Marabong River Flood Control, Brgy. Batug, Dulag, Leyte            	Flood Mitigation Structure –   165 Ln.m	19,7</t>
  </si>
  <si>
    <t xml:space="preserve"> REQUEST FOR QUOTATION Please quote your lowest price on the item/s listed below, subject to the conditions also listed below, stating the shortest time of delivery and submit your quotation duly signed by your representative not later than 5:00 P.M. of  J</t>
  </si>
  <si>
    <t xml:space="preserve"> REQUEST FOR QUOTATION Supply and Delivery of Materials for Replacement of Roofing and Ceiling Eaves of Whitehouse 1. The Cavite State University (CvSU) invites interested firms/suppliers to submit quotation for the project “Supply and Delivery of Material</t>
  </si>
  <si>
    <t xml:space="preserve"> IT Supplies for Various Offices</t>
  </si>
  <si>
    <t xml:space="preserve"> INVITATION TO BID FOR Procurement of Machinery &amp; Equipment for ESSU Can-Avid use PR#20-06-091   1.	The EASTERN SAMAR STATE UNIVERSITY, through the FY 2020 GAA, R.A No. 11465 intends to apply the sum of Three Million Pesos (Php3,000,000.00), [Lot Number On</t>
  </si>
  <si>
    <t xml:space="preserve"> REQUEST FOR QUOTATION					 					 					 P.R. Number   :	2020 -   Date              :	 Company Name	:  _____________________			 					 Address	: _________________________				 					              Please quote your price on the item/s listed below, subject to t</t>
  </si>
  <si>
    <t xml:space="preserve"> ITEMNO. 	ITEM  &amp; DESCRIPTION	QTY.	UOM 			 1	Commercial Rice	151	sack</t>
  </si>
  <si>
    <t xml:space="preserve"> Construction of Concrete Pathway L:100LM, t=0.10m W= 1.00m 1.Sub base and base Preparations II. PCCP Portland Cement Concrete Pavement B. Installation of $ unit Street Lights  NOTE: This project is intended for barangay sto.domingo the fund is from there </t>
  </si>
  <si>
    <t xml:space="preserve"> Republic of the Philippines Province of Eastern Samar Municipality of San Julian REQUEST FOR QUOTATION _____________________________ _____________________________ _____________________________ SIR/MADAME: 	Please quote your lowest price for the following </t>
  </si>
  <si>
    <t xml:space="preserve"> ARTICLE AND DESCRIPTION											 ITEM	QTY.	UNIT						CEILING 					UNIT PRICE		TOTAL  								PRICE							 															 				Office: Universidad De Manila				PR No. 359							 				Charge to: Textbooks and Instructional Materials Expenses				OBR No. 100</t>
  </si>
  <si>
    <t xml:space="preserve"> Bids and Awards Committee							 REQUEST FOR QUOTATION							         The City Government of Pagadian, through its Bids and Awards Committee (BAC), invites suppliers/manufacturers/distributors to bid for the hereunder supplies/goods, charged to TRUST FUND</t>
  </si>
  <si>
    <t xml:space="preserve"> 50 pcs Folding Bed 31 pcs Single Foam</t>
  </si>
  <si>
    <t xml:space="preserve"> 1	pcs.	30	CHB #4				 2	 sacks 	70	White Sand				 3	sacks	6	Gravel 3/4				 4	kilos	3	G.I. Wire #16				 5	pc.	1	Plywood ½" x4" x 8'				 6	kilo 	0.5	Concrete Nail 2"				 7	kilo	0.5	Concrete Nail 1 ½"				 8	pcs.	8	Lavatory Faucet				 9	pcs.	3	PVC Pipe Orange </t>
  </si>
  <si>
    <t xml:space="preserve"> Urea Complete Ammonium Phosphate</t>
  </si>
  <si>
    <t xml:space="preserve"> Republic of the Philippines Province of Cotabato Municipality of Arakan Barangay Kabalantian PBIDS AND AWARDS COMMITTEE INVITATION TO BID FOR   Ri Bid for Purchase of Rescue Vehicle Bonggo 1.	The Barangay Local Government Unit of Kabalantian, through the </t>
  </si>
  <si>
    <t xml:space="preserve"> FOR MODULAR REQUIREMENT</t>
  </si>
  <si>
    <t xml:space="preserve"> Purchase of Various Office Supplies  for SB Office</t>
  </si>
  <si>
    <t xml:space="preserve"> purchased and delivery of barangay uniforms</t>
  </si>
  <si>
    <t xml:space="preserve"> 1	60	bot	Alcohol (big)	 2	50	pcs	Mighty bond	 3	50	bot	Air freshner 320 ml	 4	120	doz	Tissue paper 	 5	40	pcs	Toilet deodorant	 6	30	bot	Muriatic acid	 7	24	sachet	Detergent powder 500g	 8	20	doz	Fabric conditioner	 9	30	bot	Hand sanitizer 100 ml.	 10	30	</t>
  </si>
  <si>
    <t xml:space="preserve"> Requesting for Quotation (RFQ) for PR No. 2006047  Interested suppliers are invited to submit Sealed Price Quotations for the above listed items. The Request for Quotation (RFQ) for may be obtained from Mr. Albert A. Camarillo City General Services Office</t>
  </si>
  <si>
    <t xml:space="preserve"> Republika ng Pilipinas BAYAN NG CORTES Surigao del Sur BIDS AND AWARDS COMMITTEE 						           June 16, 2020 INVITATION TO BID FOR    Construction of MRF &amp; Purchase of Plastic Bins 	The Local Government Unit of Cortes through LGU PR. No.  401-048 dated</t>
  </si>
  <si>
    <t xml:space="preserve"> Safety Cone with Accessories, Plastic, Good Quality A. Description: - Four sided signs for maximum visibility  - Perfect for highlighting hazardous areas - Cones Stand 900mm High - Constructed from die-cut multi flute  - Lightweight, Durable and Stackable</t>
  </si>
  <si>
    <t xml:space="preserve"> Doxitrin Wound Spray 86g Premoxil Powder Vetracin Premium Multivitamins Pidro Povidone iodine 100ml Scourex Powder Scourex Tab 100's Amobac Ciprotyl Tab Alcohol</t>
  </si>
  <si>
    <t xml:space="preserve"> Republic of the Philippines PROVINCIAL GOVERNMENT OF EASTERN SAMAR Capitol Building, Borongan, Eastern Samar, 6800 Tel No. (055)-560-8312 E-mail Address: esamar.bac@gmail.com BIDS AND AWARDS COMMITTEE (BAC) INVITATION TO BID FOR CONSTRUCTION OF TRIPLE BAR</t>
  </si>
  <si>
    <t xml:space="preserve"> See Line Item</t>
  </si>
  <si>
    <t xml:space="preserve"> Purchase and installation of 149 units sanitary toilets</t>
  </si>
  <si>
    <t xml:space="preserve"> Climate Proofed Concrete Road</t>
  </si>
  <si>
    <t xml:space="preserve"> Disinfection Cap</t>
  </si>
  <si>
    <t xml:space="preserve"> REPAIR AND IMPROVEMENT OF PLUMBING AND WATER PIPE LINES</t>
  </si>
  <si>
    <t xml:space="preserve"> Province of Iloilo Municipality of New Lucena    New Lucena, Iloilo 							         June 15, 2020    INVITATION TO BID FOR THE SUPPLY AND DELIVERY OF MATERIALS FOR CONSTRUCTION OF MULTI – PURPOSE HALL BRGY.BACLAYAN, NEW LUCENA, ILOILO 1.	The Municipality </t>
  </si>
  <si>
    <t xml:space="preserve"> CONCRETE PAVING (LENGHT = 80.0M, WIDTH =3.0M., THICKNESS = 0.20M.) WITH 05.0M. SHOULDER ON BOTH SIDES.</t>
  </si>
  <si>
    <t xml:space="preserve"> Uniform and Accesories for BSF and Traffic Enforcers.</t>
  </si>
  <si>
    <t xml:space="preserve"> LETTER OF INVITATION (Negotiated Procurement - Small Value Procurement) June 15, 2020 Dear Sir/Ma’am: Greetings! This is to invite you as our prospective bidder to submit proposal and participate for the project, “Upgrade, Integration and Relocation of Se</t>
  </si>
  <si>
    <t xml:space="preserve"> l.	The MUNICIPALITY OF GUINAYANGAN, QUEZON, through  the  2020 C.O.    intends to apply the sum of  One Hundred Twenty Four Thousand Eighty Two  Pesos                      (P 124,082.00) being the Approved Budget for the Contract (ABC) to payments under t</t>
  </si>
  <si>
    <t xml:space="preserve"> LGU-BAROBO		Project Reference Number			 Name of Procuring Entity		Supply &amp; Delivery of Office  Equipment			 					 			Barobo, Surigao del Sur		 Standard Form Number: SF-GOOD-60					 Revised on: May 24, 2004					 Standard Form Title: REQUEST FOR QUOTATION		</t>
  </si>
  <si>
    <t xml:space="preserve"> 20ID0072   	Construction of Anonang River Flood Control, Barangay Anonang,Burauen, Leyte   	Flood Mitigation Structure –  422.20 Ln.m 	19,600,000.01	GAA CY 2020 	164 CD	25,000.00 To be eligible to bid for this Contract, a contractor must meet the followin</t>
  </si>
  <si>
    <t xml:space="preserve"> City Government of La Carlota								          Standard Form Number: SF-GOOD-59 Revised on: May 24, 2004 Standard Form Title: REQUEST FOR QUOTATION 												Date: ______________											                             Quotation No.________ Company Name </t>
  </si>
  <si>
    <t xml:space="preserve"> 2 unit 2 tonner split type wall mounted inverter aircon with cooling load of 27,000 Btu/hr, 230V, 60Hz 3 phase inclusive of installation............etc Note: Indicate the brand, model and attach brochure offered    Please see and download attachment</t>
  </si>
  <si>
    <t xml:space="preserve"> Construction Materials.</t>
  </si>
  <si>
    <t xml:space="preserve"> 1. The Mindanao State University - Tawi-Tawi College of Technology and Oceanography (MSU-TCTO), through the GAA 2020, intends to apply the sum of One Hundred Forty-Six Thousand Two Hundred Twenty Pesos only (PhP 146,220.00) being Approved Budget of Contra</t>
  </si>
  <si>
    <t xml:space="preserve"> Requesting for Quotation (RFQ) for PR No. 2006050  Interested suppliers are invited to submit Sealed Price Quotations for the above listed items. The Request for Quotation (RFQ) for may be obtained from Mr. Albert A. Camarillo City General Services Office</t>
  </si>
  <si>
    <t xml:space="preserve"> PLEASE SEE ATTACHED REQUEST FOR QUOTATION FOR THE PROJECT DESCRIPTION.</t>
  </si>
  <si>
    <t xml:space="preserve"> Purchase of Various Janitorial Supplies  for SB &amp; VM Office</t>
  </si>
  <si>
    <t xml:space="preserve"> Republic of the Philippines Province of Cotabato Municipality of Arakan Barangay Allab PBIDS AND AWARDS COMMITTEE INVITATION TO BID FOR  Ri Bid For  Installation of Culvert 1.	The Barangay Local Government Unit of Allab, through the GENERAL  FUND  intends</t>
  </si>
  <si>
    <t xml:space="preserve"> A) 1 SET SIREN, sentry e-6 model, 124Db @10ft, 5 selectable alarm tones, made in USA, delivery and installation at the Municipal building. B) 3 SETS SIREN, blue and red light, attaching mechanism, control mechanism, microphone, length - 1.5 meters, rear r</t>
  </si>
  <si>
    <t xml:space="preserve"> Maintenance of St Lights</t>
  </si>
  <si>
    <t xml:space="preserve"> 3,875 sacks of  RICE at 25 kgs. per sack</t>
  </si>
  <si>
    <t xml:space="preserve"> 1.Repair and Improvement of Existing Damaged Structures both at Boundary Marker and Outpost (Including Signages/ Marker ) 2. Re-Painting Works Note: This project is intended for barangay sto.domingo , the fund is from their budget , for any information pl</t>
  </si>
  <si>
    <t xml:space="preserve"> School and Office Supplies and Consumables</t>
  </si>
  <si>
    <t xml:space="preserve"> CONSTRUCTION /INSTALLATION OF SLOPE PROTECTION OF ROAD TO PREVENT FLOOD SCOURING, BARANGAY CUYAPIAO, PATNONGON, ANTIQUE</t>
  </si>
  <si>
    <t xml:space="preserve"> o supply catering services in the conduct of Training on Corn Production Technology on the following date and location: No.	Scope of Work	Quantity	Unit_Cost	ABC 	BATCH 1			 	Venue and Schedule (20 participants + 5 RPs/ facilitators)			49,000.00 	Merida, L</t>
  </si>
  <si>
    <t xml:space="preserve"> Photographic Services for Barangay Personnel</t>
  </si>
  <si>
    <t xml:space="preserve"> Requesting for Quotation (RFQ) for PR No. 2005197  Interested suppliers are invited to submit Sealed Price Quotations for the above listed items. The Request for Quotation (RFQ) for may be obtained from Mr. Albert A. Camarillo City General Services Office</t>
  </si>
  <si>
    <t xml:space="preserve"> REQUEST FOR QUOTATION RFQ No. 2020-0239 The CITY GOVERNMENT OF CABANATUAN through its Bid and Awards Committee (BAC), will undertake Small Value Procurement for the SUPPLY AND DELIVERY OF OFFICE SUPPLIES in accordance with Section 53.9 of the Revised Impl</t>
  </si>
  <si>
    <t xml:space="preserve"> Drainage Constructed</t>
  </si>
  <si>
    <t xml:space="preserve"> Item No.	Description	Qty.	Unit 	Winning bidder must provide GEL INCUBATOR and GEL CENTRIFUGE or any machine needed for GEL CROSSMATCHING, reagent delivery and payment can be in quarterly basis or depends on the demand of the end-user. Technical assistance</t>
  </si>
  <si>
    <t xml:space="preserve"> 30	M³	SAND GRAVEL (BALASTRO) 240	PCS	4 ‘’ THK CHB 50	BAGS	CEMENT 6	M³	SAND 9	M³	GRAVEL 20	LENGTH	10 MM DEF BARS 3	KG	# 18 TIE WIRE</t>
  </si>
  <si>
    <t xml:space="preserve"> Republika ng Pilipinas BAYAN NG CORTES Surigao del Sur BIDS AND AWARDS COMMITTEE 						           June 16, 2020 INVITATION TO BID FOR    Purchase of Other Accessories and Supply and Repair of L300 Vehicle Services 	The Local Government Unit of Cortes thro</t>
  </si>
  <si>
    <t xml:space="preserve"> FOR OFFICE EQUIPMENT</t>
  </si>
  <si>
    <t xml:space="preserve"> Republic of the Philippines Province of Surigao del Norte Municipality of Claver BARANGAY CAGDIANAO INVITATION TO BID Name of Contract: PURCHASE OF FIRE FIGHTING EQUIPMENT Location: Brgy. Cagdianao, Claver, Surigao del Norte Project Description: Ten (10) </t>
  </si>
  <si>
    <t xml:space="preserve"> Office Supplies</t>
  </si>
  <si>
    <t xml:space="preserve"> PURCHASE OF MATERIALS FOR THE CONSTRUCTION OF WATER EXTRACTION FACILITIES, BARANGAY SAMALAGUE, PATNONGON, ANTIQUE</t>
  </si>
  <si>
    <t xml:space="preserve"> 1	2	units	Swivel Chair, Executive Type		 			*Primary Material-leatherette		 			Secondary Material-PU Leatherette;Finish-Glossy		 			*Dimension (mm); 640x730x1240		 			*Assembly: do it yourself (Comes with instruction manual)		 			*black high Quality leath</t>
  </si>
  <si>
    <t xml:space="preserve"> 200	Piece	T-SHIRT WITH PRINT, ABC 300.00/pc 		White w/ print (Please see attached)				 		Small - 30				 		Medium - 50				 		Large - 50				 		Extra Large - 30				 		Extra Extra Large - 20				 		Extra Extra Extra Large - 20				 RFQ#06-0620</t>
  </si>
  <si>
    <t xml:space="preserve"> Laboratory department Cooler with horizontal locking telescoping handle with two wheels (with drain plig, fish ruler, cool riser technology, 5 days ice retention,168 cans maximum 110 qrts,104 liters) folding bed heavy duty</t>
  </si>
  <si>
    <t xml:space="preserve"> Republic of the Philippines Province of Cotabato Municipality of Arakan Barangay Anapolon BIDS AND AWARDS COMMITTEE BIDS AND AWARDS COMMITTEE INVITATION TO BID FOR  Ri Bid ForSupply of Materials for Concrete Perimeter Fence of  Barangay Hall ( 80.00mx 60.</t>
  </si>
  <si>
    <t xml:space="preserve"> Item No.	Unit	ITEM &amp; DESCRIPTION	QTY. 			 1	set	4" Submersible Motor Pump	-1- 		 - 230volts single phase	 		 - 2HP/ 1.5 KW	 		 - Starting Capacitor Box	 		- steam pump SP4007</t>
  </si>
  <si>
    <t xml:space="preserve"> FOR SCHOOL ONLINE COMMUNICATION</t>
  </si>
  <si>
    <t xml:space="preserve"> 1800 L diesel</t>
  </si>
  <si>
    <t xml:space="preserve"> 1. Repair of Roofing and its Accessories 2. repair/ Improvement of Ceiling of Session Area &amp; Office only (with drop ceiling) 3. Tile Works/ Masonry Works (office, Porch, Toilet) 4.Replacement of Doors, Jambs &amp; Glass Windows 5. Repair/ Replacement of Steel</t>
  </si>
  <si>
    <t xml:space="preserve"> Invitation to Bid for  SUPPLY &amp; DELIVERY OF CONSTRUCTION MATERIALS FOR THE CONSTRUCTION OF SLAUGHTER HOUSE BLDG. @ BRGY. PILINTANGAN, WAO, LANAO DEL SUR ------------------------------------------------------------------------------------------------------</t>
  </si>
  <si>
    <t xml:space="preserve"> Republic ofthe Philippines Province ofNueva Vizcaya Municipality of Ambaguio BARANGAY AMMOWEG June 15, 2020 INVITATION TO APPLY FOR ELIGIBILITY AND TO BID The Barangay Local Government Unit of Ammoweg, Ambaguio, Nueva Vizcaya through the Bids and Awards C</t>
  </si>
  <si>
    <t xml:space="preserve"> office supplies</t>
  </si>
  <si>
    <t xml:space="preserve"> 06192020-086 NOTICE FOR NEGOTIATED PROCUREMENT Publication: June 16, 2020 Closing: June 19, 2020 Name of Project	Purchase of Computer Desktop and Monitor for SP Office Approved Budget for the Contract	 ₱60,000.00 Contract Period:	1 day Item No.	ITEM DESCR</t>
  </si>
  <si>
    <t xml:space="preserve"> SSS Dumaguete Branch Supply of Diesel Fuel covering the period July to December 2020 Specifications: 2,500 liters  Diesel or approved equal for automotive Euro 4 compliant Clean Air Act of 2014 compliant to sulfur content Water Content (%vol.): 0.1 maximu</t>
  </si>
  <si>
    <t xml:space="preserve"> Procurement of supply and delivery of food (40 pax per Batch)	 240	pax	 July 28, 2020 August 25, 2020 September 29, 2020 October  27, 2020 November 24, 2020 December 8, 2020	 AM Snacks Lunch PM Snacks 		Note: Food will be delivered on site.	 PR# 2020-944</t>
  </si>
  <si>
    <t xml:space="preserve"> 1       ROLL        TRAPAL 8FT.                            9,850.00          9,850.00 60     METERS    TRAPAL BAGA                            695.00         41,700.00 5       BOXES     STAPLE WIRE #1                          78.50             285.00 13   </t>
  </si>
  <si>
    <t xml:space="preserve"> Lot 1 	Supply and Delivery of the following items:					92,000.00 	25mm syringe filter			10	pack of 100	 	0.45 micron, non sterile					 	100/pack					 	HPLC Column, 150 mm, 5µm, 4.6 mm id			1	pc	 Lot 2	Supply and Delivery of the following items:					105,00</t>
  </si>
  <si>
    <t xml:space="preserve"> l.	The MUNICIPALITY OF GUINAYANGAN, QUEZON, through  the  2020 C.O.    intends to apply the sum of  Eighty Seven Thousand Pesos  (P 87,000.00) being the Approved Budget for the Contract (ABC) to payments under the contract for Supply and Delivery of Const</t>
  </si>
  <si>
    <t xml:space="preserve"> Invitation to ReBid for  PROCUREMENT OF BACKHOE FOR MENRO/SLF OPERATION ---------------------------------------------------------------------------------------------------------------- ITB NO. 2020I_18 1.The Office of the Municipal Environment &amp; Natural R</t>
  </si>
  <si>
    <t xml:space="preserve"> REQUEST FOR QUOTATION (RFQ) 											Date: June 16, 2020 The Owner/Proprietor _________________________ Borongan City Sir: Please quote your price for the items specified below, taking into consideration the following &amp; fill-up the above portion “The Ow</t>
  </si>
  <si>
    <t xml:space="preserve"> Supply and Delivery of Various Agricultural Supplies 200 sack Chicken Dung (45kg/sack)- 36,000.00 200 sack Coco Coir (30kg/sack)- 36,000.00 300 pcs sack (single; green)- 6,300.00 500 pcs Plastic (clear, s.22x38)- 4,750.00 1 pc Soil tester (PH &amp;  Moisture)</t>
  </si>
  <si>
    <t xml:space="preserve"> PACK IN 5 KGS/SACK PROPERLY LABELED</t>
  </si>
  <si>
    <t xml:space="preserve"> 500 pcs Chip board #30 10 rolls Book binding gold foil 2.5".........etc Please see and download the attachment</t>
  </si>
  <si>
    <t xml:space="preserve"> 365 sacks Noodles (BIHON) at 24 pack/sack 365 cases of Instant Noodles at 72 pieces per case 265 cases SARDINES (100 pcs./ case) 200 packs ECOBAG (size LARGE)</t>
  </si>
  <si>
    <t xml:space="preserve"> Number: 	Quantity: 	 1	300	bag		Vermicast (organic  fertilizer)	( Bag)		600.00	180,000.00 2	45	bag		AMMONIUM PHOSPHATE	16-20-0, 50kg/bag		1,300.00	58,500.00 3	30	bag		Chicken dung	50 kg/bag		300.00	9,000.00 4	50	bag		Urea (46-0-0)	50 kg/bag		1,000.00	50,0</t>
  </si>
  <si>
    <t xml:space="preserve"> Invitation to Bid “Acquisition of One (1) Unit Supply, Delivery and Installation of Gas Chromatography-Mass Spectrometry (GCMS)” 01.The National Bureau of Investigation, through the 2019 NBI Clearance Retention Fees pursuant to RA 10867 otherwise known as</t>
  </si>
  <si>
    <t xml:space="preserve"> Repair of Perimeter Fence at Samal South Elementary School @ Samal, Bataan 500 pcs - CHB #5 35 pcs - 12mm dia. Def Bar 30 pcs - 10mm dia. Def Bar 30 bags Cement 1 m/dt - Sand 2 m/dt - Gravel 3/8 1 kg - G.I Wire #18</t>
  </si>
  <si>
    <t xml:space="preserve"> Cement, Portland, 40 kgs./bag  Concrete Hollow Block - Machine Made 4"  Washed Sand  Washed Gravel  River Mixed  Floor Tiles, 0.50m x 0.50m (white)  Tiles, glazed, 0.30m x 0.30m (white)  Tiles, glazed, 0.40m x 0.40m (white)  Tile Grout Door, Wood Paneled </t>
  </si>
  <si>
    <t xml:space="preserve"> Republic of the Philippines Province of Nueva Vizcaya Municipality of Ambaguio BARANGAY AMMOWEG -00000- June 15, 2020 INVITATION TO APPLY FOR ELIGIBILITY AND TO BID The Barangay Local Government Unit of Ammoweg, Ambaguio, Nueva Vizcaya through the Bids an</t>
  </si>
  <si>
    <t xml:space="preserve"> LED Flood Light for Basketball Court</t>
  </si>
  <si>
    <t xml:space="preserve"> FOR MODULAR PURPOSES</t>
  </si>
  <si>
    <t xml:space="preserve"> Republic of the Philippines Province of Cotabato Municipality of Arakan Barangay Tumanding BIDS AND AWARDS COMMITTEE INVITATION TO BID FOR  Ri Bid For Construction of Multi-purpose Bldg. @ Sitio Side B 1.	The Barangay Government Unit of Tumanding, through</t>
  </si>
  <si>
    <t xml:space="preserve"> SUPPLY AND DELIVERY OF TIRES</t>
  </si>
  <si>
    <t xml:space="preserve"> Requesting for Quotation (RFQ) for PR No. 2005210  Interested suppliers are invited to submit Sealed Price Quotations for the above listed items. The Request for Quotation (RFQ) for may be obtained from Mr. Albert A. Camarillo City General Services Office</t>
  </si>
  <si>
    <t xml:space="preserve"> 1 unit Motorcycle, etc.</t>
  </si>
  <si>
    <t xml:space="preserve"> see attached document</t>
  </si>
  <si>
    <t xml:space="preserve"> By Contract.</t>
  </si>
  <si>
    <t xml:space="preserve"> Wreaths Flowers large  Wreaths Flowers medium</t>
  </si>
  <si>
    <t xml:space="preserve"> Bids and Awards Committee															 INVITATION TO BID/ REQUEST FOR QUOTATION															 															          The City Government of Pagadian, through its Bids and Awards Committee (BAC), invites suppliers/manufacturers/distributors to apply f</t>
  </si>
  <si>
    <t xml:space="preserve"> RFQ No. 20-06-057 - Procurement of Diesel Fuel and Lubricants for use of Service Vehicle and Heavy Equipment for the 1st &amp; and Quarter</t>
  </si>
  <si>
    <t xml:space="preserve"> Fabrication &amp; Intallation of five (5) units towing accessories, per BSP scope of works &amp; material specifications</t>
  </si>
  <si>
    <t xml:space="preserve"> School Signage Lighted Panaflex</t>
  </si>
  <si>
    <t xml:space="preserve"> Delivery and Supply of Construction Materials</t>
  </si>
  <si>
    <t xml:space="preserve"> Requesting for Quotation (RFQ) for PR No. 2005231  Interested suppliers are invited to submit Sealed Price Quotations for the above listed items. The Request for Quotation (RFQ) for may be obtained from Mr. Albert A. Camarillo City General Services Office</t>
  </si>
  <si>
    <t xml:space="preserve"> Republic of the Philippines BATANGAS STATE UNIVERSITY ARASOF-Nasugbu Nasugbu, Batangas Tel. Nos. (043) 416-0350loc 105 REQUEST FOR QUOTATION Purchase of Tools &amp; Equipments for Repair and Maintenance of BatStateU-ARASOF Nasugbu The Batangas State Universit</t>
  </si>
  <si>
    <t xml:space="preserve"> The BPDA-BARMM intends to apply the sum of Two Hundred Fifteen Thousand Pesos (Php 215,000.00) as Approved Budget for the Contract (ABC) for the procurement of Consultancy Services for the Hiring, Recruitment and Employee Assessment through Small Value Pr</t>
  </si>
  <si>
    <t xml:space="preserve"> 56 bags cement 5.5 cu.m gravel 3/4 3 cu.m sand 28 pcs 2x6x12 coco lumber 12 kgs CW nails (asstd. sizes) Labor</t>
  </si>
  <si>
    <t xml:space="preserve"> able Signs Of Brgy. Personnel</t>
  </si>
  <si>
    <t xml:space="preserve"> l.	The MUNICIPALITY OF GUINAYANGAN, QUEZON, through  the  2020 C.O.    intends to apply the sum of  One Hundred Sixty  Two Thousand Three Hundred Ten  Pesos                      (P 162,310.00) being the Approved Budget for the Contract (ABC) to payments u</t>
  </si>
  <si>
    <t xml:space="preserve"> Tube, LED Type, T8, 4ft., 18 watts; + 1 item - T8 LED, 18 watts - 36 watts T8 FL Replacement  - Lumen output   : 1800 Lumens - Color Temperature   : 6500 Daylight - Input Voltage   : 100-240 VAC, 60Hz - Life hours   : 10,000 Life Hours  - Lamp base    : G</t>
  </si>
  <si>
    <t xml:space="preserve"> Republic of the Philippines Province of Cotabato Municipality of Arakan Barangay Meocan BIDS AND AWARDS COMMITTEE INVITATION TO BID FOR  Ri Bid For Supply for Installation of P.E Pipes @ Upper Meocan 1.	The Barangay Local Government Unit of Meocan, throug</t>
  </si>
  <si>
    <t xml:space="preserve"> 2,201 pieces 4" X 8" x 16" Concrete Hollow Block 97 CU.M. washed GRAVEL 78 CU.M. washed SAND</t>
  </si>
  <si>
    <t xml:space="preserve"> REQUEST FOR QUOTATION RFQ No. 2020-0238 The CITY GOVERNMENT OF CABANATUAN through its Bid and Awards Committee (BAC), will undertake Small Value Procurement for the SUPPLY AND DELIVERY OF OFFICE SUPPLIES in accordance with Section 53.9 of the Revised Impl</t>
  </si>
  <si>
    <t xml:space="preserve"> Requesting for Quotation (RFQ) for PR No. 2005233  Interested suppliers are invited to submit Sealed Price Quotations for the above listed items. The Request for Quotation (RFQ) for may be obtained from Mr. Albert A. Camarillo City General Services Office</t>
  </si>
  <si>
    <t xml:space="preserve"> Republic of the Philippine Province of Davao de Oro  BIDS AND AWARDS COMMITTEE  Cabidianan, Nabunturan, Davao de Oro INVITATION TO SUBMIT QUOTATION FOR THE PROCUREMENT OF GOODS RECOMMENDED FOR SMALL VALUE PROCUREMENT PURSUANT TO SECTION 53.9 OF THE REVISE</t>
  </si>
  <si>
    <t xml:space="preserve"> INVITATION TO BID FOR THE PROPOSED BOX CULVERT AT PUBLIC PLAZA, BRGY. III, POBLACION, MUNICIPALITY OF HINIGARAN, NEGROS OCCIDENTAL 1.	The Local Government Unit of Hinigaran, through 20% Development Fund intends to apply the sum of  ₱ 2,999,526.55 being th</t>
  </si>
  <si>
    <t xml:space="preserve"> Construction of Fence</t>
  </si>
  <si>
    <t xml:space="preserve"> OPENING OF BIDS IN DSWD FO IX ZAMBOANGA CITY						 DELIVERY IN DSWD FO IX ZC						 PROCUREMENT FOR THE FF.						 						 3,000	BOOKLETS	          RECIPE/MENU BOOKLET				 		SPECIFICATION:				 		&gt;4 PAGES COLORED BACK TO BACK				 		&gt; THICK PAPER				 						 		</t>
  </si>
  <si>
    <t xml:space="preserve"> PR#20-06-0308 ABC 960,000.00 Poly Aluminum Chloride (PAC) 25kg. per bag Poly Aluminum Chloride, Food Grade Specs Drinking Water Treatment Properties: Lemon yellow fine powder use spray drying technology  Usage: The product is widely used for drinking wate</t>
  </si>
  <si>
    <t xml:space="preserve"> 65 Hectares Comprehensive Site Development under the Enhanced National Greening Program Cacao Component located at Brgy. Balaoi, Pagudpud, Ilocos Norte</t>
  </si>
  <si>
    <t xml:space="preserve"> Tarpaulin 3x4</t>
  </si>
  <si>
    <t xml:space="preserve"> The City Government of Santiago invites interested parties to submit price quotation for the “SUPPLY AND DELIVERY OF SANITARY PERMIT AND HEALTH ID FOR SANITARY REQUIREMENT“ City Hall, Santiago City, details as follows: ABC: Php 118,000.00 Contract Duratio</t>
  </si>
  <si>
    <t xml:space="preserve"> Procurement of supply and delivery of food (50 pax/batch) 300	pax	 July 1, 2020 August 5, 2020 September 2, 2020 October  7, 2020 November 4, 2020 December 2, 2020 		Note: Food will be delivered on site. PR# 2020-945</t>
  </si>
  <si>
    <t xml:space="preserve"> l.	The MUNICIPALITY OF GUINAYANGAN, QUEZON, through  the  2020 C.O.    intends to apply the sum of  Forty Six Thousand Six Hundred Ninety  Pesos   (P 46,690.00) being the Approved Budget for the Contract (ABC) to payments under the contract for Supply and</t>
  </si>
  <si>
    <t xml:space="preserve"> REQUEST FOR QUOTATION The Dr. Jose Fabella Memorial Hospital hereby invites interested suppliers to submit quotation for the supply and delivery of: Particular	Quantity	Unit Cost	Total Cost 1.Airpot, electric, with dispenser, 4 liters capacity	1 pc.	₱4,50</t>
  </si>
  <si>
    <t xml:space="preserve"> RFQ No. 20-06-058 - Purchase of Coring Bit for use in the QualityAssurance Section (Laboratory)</t>
  </si>
  <si>
    <t xml:space="preserve"> One (1) Lot Supply, Delivery &amp; Installation of the following items for Ford F-750 Armored Truck SFX 417: -One (1) unit Clutch Fan Assembly -One (1) unit Air Brake Compressor Assembly</t>
  </si>
  <si>
    <t xml:space="preserve"> The Bids and Awards Committee								 Province of Iloilo								 								      In connection with your Invitation to Bid No. PEO-20-0504 B (Rebid) scheduled on July 1, 2020, I/we proposed to furnish and deliver in conformity with the terms and conditions,</t>
  </si>
  <si>
    <t xml:space="preserve"> The National Center for Mental Health (NCMH) is inviting all Phil-GEPS registered to apply the Request for Quotation for the SUPPLY AND DELIVERY FOR IT EQUIPMENT AND DEVICES FOR VIDEO CONFERENCING AND LIVE STREAMING CY 2020 - LOT. (Complete Technical Pros</t>
  </si>
  <si>
    <t xml:space="preserve"> DESCRIPTION: 1.	 Cement  - 63 bags 2.	Gravel, washed, ¾  -  6 cu.m. 3.	Sand, washed  -  3 cu.m. 4.	RSB, 10mm dia  -  33 pcs. 5.	Tie wire, G.I, #16  -  1 kilo 6.	Handsaw blade, metal cutting  -  10 pcs 7.	Longspan, 20 ft  -  14 pcs 8.	Longspan, 10 ft  -  3</t>
  </si>
  <si>
    <t xml:space="preserve"> Republika ng Pilipinas BAYAN NG CORTES Surigao del Sur BIDS AND AWARDS COMMITTEE June 16, 2020 INVITATION TO BID FOR   Rehabilitation of Barangay Farm to Market Roads Osawan-Tigao to Burgos, Cortes Surigao del Sur 	The Local Government Unit of Cortes thro</t>
  </si>
  <si>
    <t xml:space="preserve"> 1 unit Laptop</t>
  </si>
  <si>
    <t xml:space="preserve"> 1 unit - Fabricated Wood Medicine Cabinet (2 columns; 7 layers with varnish and transparent 1/8 inch thick sliding glass) H=2.15m; L=1.35m; W=0.30m 1 unit - Fabricated Wood Medicine Cabinet (2 columns; 7 layers with varnish and transparent 1/8 inch thick </t>
  </si>
  <si>
    <t xml:space="preserve"> purchased and delivery of multivitamins and powdered milk</t>
  </si>
  <si>
    <t xml:space="preserve"> Construction Project of Drainage Canal along Diosdado Macapagal St.,at East Pob., Rizal, Zamboanga del Norte Phase I</t>
  </si>
  <si>
    <t xml:space="preserve"> INVITATION TO BID  Please quote your lowest price inclusive of VAT on the item/s listed below, subject to the Terms and Conditions of this RFQ, and submit your quotation duly signed by your representative not later than June 23, 2020 at 2 in the afternoon</t>
  </si>
  <si>
    <t xml:space="preserve"> INVITATION TO BID									 									 The LOCAL GOVERNMENT UNIT OF SINDANGAN, through its Bids and Awards Committee (BAC), hereby invites suppliers/manufacturers/ distributors/contractors to apply for eligibility and to bid for the hereunder project.						</t>
  </si>
  <si>
    <t xml:space="preserve"> Requesting for Quotation (RFQ) for PR No. 2006089  Interested suppliers are invited to submit Sealed Price Quotations for the above listed items. The Request for Quotation (RFQ) for may be obtained from Mr. Albert A. Camarillo City General Services Office</t>
  </si>
  <si>
    <t xml:space="preserve"> Concreting of Farm to Market Road Zone 6</t>
  </si>
  <si>
    <t xml:space="preserve"> 1	Diesel		1,564.40L 2	Premium 		1,281.78L</t>
  </si>
  <si>
    <t xml:space="preserve"> INVITATION TO BID Bid Reference No.  ____________ SUPPLY AND DELIVERY OF MEDICINES (CARI, ANTI RABIES, AND MASS CIRCUMCISION PROGRAM) (REBIDDING) Approved Budget for the Contract (ABC):  Php 638,980.10 1.	The Municipal Government Unit of Initao, Misamis O</t>
  </si>
  <si>
    <t xml:space="preserve"> PR#20-06-0309 ABC 119,400.00 1 box  COLILERT-18 Defects Coliforms/E. Coli or fecal coliforms Pack of 200/box 18 hours for results 15 months shelf life Snap packs for 100ml sample 2 boxes STERILE 51-WELL QUANTI TRAY Pack of 100/box 36 months shelf life fro</t>
  </si>
  <si>
    <t xml:space="preserve"> Concreting of Farm to Market Road Sitio Cabicalan  Zone 7</t>
  </si>
  <si>
    <t xml:space="preserve"> Republic of the Philippines Province of Cotabato Municipality of Arakan Barangay Napalico BIDS AND AWARDS COMMITTEE INVITATION TO BID FOR  Ri Bid For Installation of Water Tank 1.	The Barangay Local Government Unit of Napalico, through the GENERAL      FU</t>
  </si>
  <si>
    <t xml:space="preserve"> REQUEST FOR QUOTATION RFQ No. 2020-0237 The CITY GOVERNMENT OF CABANATUAN through its Bid and Awards Committee (BAC), will undertake Small Value Procurement for the SUPPLY AND DELIVERY OF OFFICE SUPPLIES in accordance with Section 53.9 of the Revised Impl</t>
  </si>
  <si>
    <t xml:space="preserve"> 19 set amglobe crystal light 1/2 clear 5 bxs #12 THW stranded wire 22 pcs bulb 18 watts 10 roll electrical tape (big) Labor</t>
  </si>
  <si>
    <t xml:space="preserve"> 10 bxs Amlodifine 5mg 3 bxs Amlodifine 10mg 10 bxs Losartan 50mg 3 bxs Losartan 100mg 20 tabs Catapres tab 16 bx B-Complex tab 1 bx Carridol 12.5mg 1 bx Gliclazide 80mg 100 tabs Rexidol tab 100 tabs Biogesic tab 4 bxs Mefenamic 500mg 2 bxs Metropolol 50mg</t>
  </si>
  <si>
    <t xml:space="preserve"> The City Government of Santiago invites interested parties to submit price quotation for the “SUPPLY AND DELIVERY OF TRAFFIC CITATION TICKET FOR THE IMPLEMENTATION OF CITY TRAFFIC ORDINANCES“ City Hall, Santiago City, details as follows: ABC: Php 82,500.0</t>
  </si>
  <si>
    <t xml:space="preserve"> Requesting for Quotation (RFQ) for PR No. 2006017  Interested suppliers are invited to submit Sealed Price Quotations for the above listed items. The Request for Quotation (RFQ) for may be obtained from Mr. Albert A. Camarillo City General Services Office</t>
  </si>
  <si>
    <t xml:space="preserve"> 20ID0073	Concreting of Poblacion District 9 to Brgy. Gamay FMR, Brgy. Gamay,Burauen, Leyte 	Concrete Paving for 2.06 Ln. Km. 	12,869,538.62	FMR FY 2020	65 CD	25,000.00 To be eligible to bid for this Contract, a contractor must meet the following major req</t>
  </si>
  <si>
    <t xml:space="preserve"> ABC = P95,200.00 Catering Services re: On-Site Training on Product Branding, Packaging  And Labelling for the Coco Coir Slipper Production of Maonon Upland  Planters Assn., Inc (MUPAI) on June 23-26, 2020 at Barangay Maonon,  Ligao, Albay DAY 1 – JUNE 23,</t>
  </si>
  <si>
    <t xml:space="preserve"> 3 unit Filing Cabinet, etc.</t>
  </si>
  <si>
    <t xml:space="preserve"> REPAIR AND OTHER OPERATING EXPENSES MOOE 2020 2ND QUARTER -51,470.00</t>
  </si>
  <si>
    <t xml:space="preserve"> The City Government of Santiago invites interested parties to submit price quotation for the “SUPPLY AND DELIVERY OF CONSTRUCTION MATERIALS FOR REPAIR OF TENTS“ City Hall, Santiago City, details as follows: ABC: Php 74,406.00 Contract Duration: 14 calenda</t>
  </si>
  <si>
    <t xml:space="preserve"> PURCHASE ORDER							 Calamba, Misamis Occidental							 Local Government Unit							 							 Supplier:        		 A.G. ANTON STORE 			P.O. No.:	 2020-04-124-D 	 					Date:	06/04/2020	 Address: 		Calamba, Misamis Occidental			Mode of Procurement:		SVP 				</t>
  </si>
  <si>
    <t xml:space="preserve"> Establishment protection and maintenance of coffee plantation to Upland communities to abate illegal logging as a means of promoting peace and order (program against Illegal Logging) Materials Seedlings Bamboo strikes Man power Plantation establishment st</t>
  </si>
  <si>
    <t xml:space="preserve"> PLEASE CONTACT BAC SECRETARIAT FO MORE DETAILS</t>
  </si>
  <si>
    <t xml:space="preserve"> 2ND REQUEST FOR PROPOSAL Pursuant to RA 9184, the Department of Human Settlements and Urban Development (DHSUD) located at the 8th Floor DHSUD Building Kalayaan Avenue cor. Mayaman Street, Diliman, Quezon City would like to request for proposal for the hi</t>
  </si>
  <si>
    <t xml:space="preserve"> The City Government of Santiago invites interested parties to submit price quotation for the “SUPPLY AND DELIVERY OF CONSTRUCTION MATERIALS FOR INSTALLATION OF CEILING AND OTHER ELECTRICAL JOBS“ City Hall, Santiago City, details as follows: ABC: Php 93,92</t>
  </si>
  <si>
    <t xml:space="preserve"> Job Description: -prepare relevant communications and maintain required office files - assist in gathering the information and survey, -will identify commercial strategies for transferring technologies to industry/technology adopter - assist in negotiatin</t>
  </si>
  <si>
    <t xml:space="preserve"> I Construction/Extension of Covered Court @ Barangay Nalneran  a) Project/Billboard/Sigh board - 1 lot  b) Excavation for struct ion - 19.19 cu.m  c) Concrete works - 5.65 cu.m  d) Reinforcing Steel bar - 1029.60 kgs  e) Roofing works - 101.00 sq.m II Con</t>
  </si>
  <si>
    <t xml:space="preserve"> Invitation to Bid “Acquisition of One (1) Lot Supply and Delivery of Various Security Equipment” 01.The National Bureau of Investigation, through the 2019 NBI Clearance Retention Fees pursuant to RA 10867 otherwise known as the NBI Reorganization and Mode</t>
  </si>
  <si>
    <t xml:space="preserve"> DESCRIPTION: 1.	Tire, 265/60/RM 18/110H  -  4 pcs</t>
  </si>
  <si>
    <t xml:space="preserve"> Various Office Equipment Supplies &amp; Consumables</t>
  </si>
  <si>
    <t xml:space="preserve"> materials for the Repair and Maintenance of Energy Structure</t>
  </si>
  <si>
    <t xml:space="preserve"> Number: 	Quantity: 	 1	10	bags		Complete Fertilizer			1,500.00	15,000.00 2	10	bags		Urea Fertilizer			1,400.00	14,000.00 3.	8	bags		Muriate of Potash			1,500.00	12,000.00 4.	5	bags		zinc sulfate			1,500.00	7,500.00 5.	80	bags		Organic Fortified Fertilizer</t>
  </si>
  <si>
    <t xml:space="preserve"> Invitation to Bid for  SUPPLY &amp; DELIVERY OF CONSTRUCTION MATERIALS FOR THE COMPLETION OF SECOND FLOOR OF WAO MUNICIPAL HALL, MUNICIPAL SITE, BRGY. WESTERN, WAO, LANAO DEL SUR --------------------------------------------------------------------------------</t>
  </si>
  <si>
    <t xml:space="preserve"> The Department of Education, Schools Division of Ilocos Sur, Bantay, Ilocos Sur is in need of suppliers for the Supply, Delivery and Installation of 75KVA Transformer including its Accessories. The submission of quotation  is not later than June 19, 2020,</t>
  </si>
  <si>
    <t xml:space="preserve"> 85 LENGTH 10 mm diameter X 6 meter DEF. BAR 23 LENGTH 12 mm diameter X 6 meter DEF BAR 5 pcs. 1.5 mm X 2" X 5" X 6.0 m C-purlins Rafter 14 pcs. 1.2 mm X 2" X 3" X 6.0 m Purlins 13 pcs. 1" X 6 m Flat BAr 31 pcs. double metal paring (joist) 10 pcs. double m</t>
  </si>
  <si>
    <t xml:space="preserve"> Republic of the Philippines PROVINCE OF SOUTHERN LEYTE Maasin City Invitation to Bid for the Procurement of IT and Office Equipment  Contract ID # 2020-07-07-358PG 1.	The Provincial Government of Southern Leyte through the PAIASO–Information &amp; Communicati</t>
  </si>
  <si>
    <t xml:space="preserve"> LGU-ALLEN, NORTHERN SAMAR                                               MUNICIPAL BIDS AND AWARDS COMMITTEE                                                                INVITATION TO BID 	The Municipal Government of Allen Northern Samar through its Bids</t>
  </si>
  <si>
    <t xml:space="preserve"> PLEASE SEE ATTACHED FILE FOR REFERENCE</t>
  </si>
  <si>
    <t xml:space="preserve"> The City Government of San Pedro, Laguna invites interested parties to quote for the following item/s as per request Sangguniang Panlungsod: Qty.	Unit of Issue	Item Description 		 40	sacks	Rice 1200	cans	Sardines (155g.) Forms can be obtained from the BAC</t>
  </si>
  <si>
    <t xml:space="preserve"> please download rfq and store furnish in the associated component</t>
  </si>
  <si>
    <t xml:space="preserve"> Please see attached PR for description</t>
  </si>
  <si>
    <t xml:space="preserve"> The City Government of Santiago invites interested parties to submit price quotation for the “SUPPLY AND DELIVERY OF VARIOUS EQUIPMENT FOR VARIOUS SECTION OF CHO“ City Hall, Santiago City, details as follows: ABC: Php 454,670.00 Contract Duration: 14 cale</t>
  </si>
  <si>
    <t xml:space="preserve"> Republic of the Philippines          City of Dumaguete Bids and Awards Committee INVITATION TO BID FOR PURCHASE REQUEST OF 10 PCS AUTO BULB 24 VOLTS (DOUBLE BIG) AND OTHER ITEMS 	The City of Dumaguete thru its BIDS AND AWARDS COMMITTEE (BAC), invites all </t>
  </si>
  <si>
    <t xml:space="preserve"> The City Government of Santiago invites interested parties to submit price quotation for the “SUPPLY AND DELIVERY OF VARIOUS WOODCRAFTS FOR EXECUTIVE LOUNGE USE“ City Hall, Santiago City, details as follows: ABC: Php 106,798.00 Contract Duration: 14 calen</t>
  </si>
  <si>
    <t xml:space="preserve"> REQUEST FOR QUOTATION Office Supplies Expenses (PCADG-5020301000-1061-2020) 1.	The Philippine National Police Community Affairs and Development Group, through its Bids and Awards Committee (BAC), will undertake a Small Value Procurement (SVP) for the proc</t>
  </si>
  <si>
    <t xml:space="preserve"> Requesting for Quotation (RFQ) for PR No. 2005284  Interested suppliers are invited to submit Sealed Price Quotations for the above listed items. The Request for Quotation (RFQ) for may be obtained from Mr. Albert A. Camarillo City General Services Office</t>
  </si>
  <si>
    <t xml:space="preserve"> ****see attached PR *****</t>
  </si>
  <si>
    <t xml:space="preserve"> STP at slaugther House</t>
  </si>
  <si>
    <t xml:space="preserve"> Republic of the Philippines Province of Misamis Occidental Municipality of Plaridel REQUEST FOR QUOTATION Shopping No._____________________ ________________________________ ________________________________ Sir/Madam: Please quote your lowest price on the </t>
  </si>
  <si>
    <t xml:space="preserve"> Purchase and Installation of CCTV and Solar Panel Lights for MDDRMC, Calasiao, Pangasinan</t>
  </si>
  <si>
    <t xml:space="preserve"> UNIVERSITY OF THE PHILIPPINES BAGUIO											 Governor Pack Road, Baguio City, Benguet, CAR											 VAT Reg. TIN: 000-864-006-00007											 Telephone No. 074.442.3484											 Email Address: spmo.upbaguio@up.edu.ph											 											 REQUEST</t>
  </si>
  <si>
    <t xml:space="preserve"> Requesting for Quotation (RFQ) for PR No. 2005160  Interested suppliers are invited to submit Sealed Price Quotations for the above listed items. The Request for Quotation (RFQ) for may be obtained from Mr. Albert A. Camarillo City General Services Office</t>
  </si>
  <si>
    <t xml:space="preserve"> POLE SITAO SQUASH AMPALAYA EGGPLANT TOMATO OKRA KANGKONG MARIGOLD SWEET BASIL UPO PECHAY  PEPPER</t>
  </si>
  <si>
    <t xml:space="preserve"> Procurement of Newspaper Subscription for July to December 2020 		Philippine Daily Inquirer 132	issue	Office of the Auditor 132	issue	Office of the Regional Executive Director 132	issue	Office of the Chief, Field Operations Division 132	issue	Soils Labora</t>
  </si>
  <si>
    <t xml:space="preserve"> Handheld Pneumatic Rock Drill Jack Hammer, hose connection: 19mm diameter; Bore diameter of 30-42mm, carbide tipped  Concrete Cutter with motor and accessories, 400mm dia., 7.5 hp, 20 liters water tank capacity Electric Drill with Hammer, 20mm dia. capaci</t>
  </si>
  <si>
    <t xml:space="preserve"> The City Government of Santiago invites interested parties to submit price quotation for the “SUPPLY AND DELIVERY OF BULB FOR MARKET OPERATION USE“ City Hall, Santiago City, details as follows: ABC: Php 72,000.00 Contract Duration: 14 calendar days Schedu</t>
  </si>
  <si>
    <t xml:space="preserve"> The City Government of Santiago invites interested parties to submit price quotation for the “SUPPLY AND DELIVERY OF EXTENSION ENERGY EFFECT CUSHION FOR ELECTRICAL POTENTIAL THERAPY EQUIPMENT“ City Hall, Santiago City, details as follows: ABC: Php 325,000</t>
  </si>
  <si>
    <t xml:space="preserve"> SCOPE OF WORKS       I. Demolition of Existing Structure               Quantity - 1 Lot     II. Excavation               Quantity - 0.78 cu. m     III. Concrete Works                  A. Wall Footing - 0.24 cu m                  B. Wall Beam - 0.24 cu m  </t>
  </si>
  <si>
    <t xml:space="preserve"> 1.	2	unit/s	Desktop Computer Intel core i7 License 2.	2	unit/s	Printer Laserjet Pro MFP 3.	1	box/es	Toner Cartridge CF280XC</t>
  </si>
  <si>
    <t xml:space="preserve"> 17	roll	1 x 1 x 4 ft x 20 m Chicken Wire 168	pcs	10 mm Ø x 6.0 m RSB 10	kls	Welding Rod 1	pcs	Cutting Disk 6	pcs	Paint Brush 400	pcs	Screw with Tox 4	gal	Latex Paint 2	pcs	Drill Bit</t>
  </si>
  <si>
    <t xml:space="preserve"> The National Center for Mental Health (NCMH) is inviting all Phil-GEPS registered to apply the Request for Quotation for the ANNUAL PREVENTIVE MAINTENANCE FOR VARIOUS MEDICAL EQUIPMENT CY 202. (Complete Technical Prospective Bidders are REQUIRED to downlo</t>
  </si>
  <si>
    <t xml:space="preserve"> Description: *Length: 10 meter *Kink protection *Can be coupled and uncoupled under pressure *Hose safety factor is more that 4:1 *Equipped with single coupling system on both ends to provide feasible and rapid handling *The single-coupling has a safety v</t>
  </si>
  <si>
    <t xml:space="preserve"> INVITATION TO BID  PROCUREMENT AND INSTALLATION OF AIR-CONDITIONING UNITS FOR THE OFFICES &amp; CLASSROOMS OF THE NFSTI - PPSC BAC IB NO.007 (G) 2020 1.	The Philippine Public Safety College through the General Appropriations Act of FY2020 , intends to apply t</t>
  </si>
  <si>
    <t xml:space="preserve"> Construction Project of Drainage Canal along Diosdado Macapagal St.,at East Pob., Rizal, Zamboanga del Norte Phase II</t>
  </si>
  <si>
    <t xml:space="preserve"> OPENING OF BIDS IN DSWD FO IX ZAMBOANGA CITY									 DELIVERY IN DSWD FO IX ZC									 PROCUREMENT FOR THE FF. 1 LOT PRINTING SERVICES									 									 50,000	copies	REPRODUCTION OF LBP PAYMENT SLIP							 25,000	copies	REPRODUCTION OF BLANK DSWD AUTH</t>
  </si>
  <si>
    <t xml:space="preserve"> Republic of the Philippines PROVINCE OF BUKIDNON Municipality of Sumilao INVITATION TO BID ITB NO. GS-2020-26 PROCUREMENT OF VARIOUS FRUITS SEEDLINGS FOR THE SUSTAINABLE LAND RESOURCE MANAGEMENT APPROACH (SLRMA) FOR AGRI-ENVIRONMENTAL DEVELOPMENT OF UPLAN</t>
  </si>
  <si>
    <t xml:space="preserve"> Requesting for Quotation (RFQ) for PR No. 2005265  Interested suppliers are invited to submit Sealed Price Quotations for the above listed items. The Request for Quotation (RFQ) for may be obtained from Mr. Albert A. Camarillo City General Services Office</t>
  </si>
  <si>
    <t xml:space="preserve"> Republic of the Philippines												 PROVINCE OF ZAMBOANGA SIBUGAY												 Municipality of Payao												 												 REQUEST FOR QUOTATION												 ALTERNATIVE METHODS OF PROCUREMENT THRU												 NEGOTIATED PROCUREMENT-SMALL VALUE (Sec.</t>
  </si>
  <si>
    <t xml:space="preserve"> Construction of Slope Protection</t>
  </si>
  <si>
    <t xml:space="preserve"> Invitation to Bid for  Completion of Climate Resilient Multi-Purpose Hall  @Brgy. Capalong, Real, Quezon 1.	The Municipal Government of Real, Quezon, through the 20% MDF CY2019 intends to apply the sum of One Million Two Hundred  Ninety Nine Thousand Two </t>
  </si>
  <si>
    <t xml:space="preserve"> Republic of the Philippines CRUZ NA LIGAS ELEMENTARY SCHOOL Quezon City REQUEST FOR QUOTATION “PURCHASE OF COVID-19 RESPONSE ITEMS” 1.	The CRUZ NA LIGAS Elementary School through its Bids and Awards Committee invites interested firms/supplier to submit qu</t>
  </si>
  <si>
    <t xml:space="preserve"> INVITATION TO APPLY FOR ELIGIBILITY AND TO BID THE BIDS AND AWARD COMMITTEE OF THE MUNICIPALITY OF CAIBIRAN, BILIRAN IS INVITING ALL INTERESTED BIDDERS ON ITS FORTH COMING PUBLIC BIDDING FOR:   Project Title	                : Improvement of Vice Mayor’s O</t>
  </si>
  <si>
    <t xml:space="preserve"> L=5.5LM;  W=7M, FLOORING EMBANKMENT=1M COL. SIZE= 10"X10"</t>
  </si>
  <si>
    <t xml:space="preserve"> REQUEST FOR QUOTATION Other Supplies &amp; Materials Expenses (PCADG-5020399000-1062-2020) 1.	The Philippine National Police Community Affairs and Development Group, through its Bidsand Awards Committee(BAC), will undertakea Small Value Procurement (SVP) for </t>
  </si>
  <si>
    <t xml:space="preserve"> Piston Ring, (STD)  Overhauling Gasket  Main Bearing  (STD)  Cone Rod Bearing (STD)  Thrust Washer (STR)  Crankshaft Assembly  Silicone Gasket  Sand Paper, #1000 grits  Plastic Gauge  Grinding Stick  Alternator Assembly  Radiator Assembly  Oil Pan Gasket </t>
  </si>
  <si>
    <t xml:space="preserve"> Republic of the Philippines Province of Compostela Valley Municipality of Monkayo -o0o- NEGOTIATED PROCUREMENT OF ADDITIONAL CCTV CAMERA AT MONCAST  The Municipality of Monkayo, through the TRUST FUND  intends to apply the sum of SIXTY THOUSAND PESOS ONLY</t>
  </si>
  <si>
    <t xml:space="preserve"> SOURCE OF FUNDS: IMPROVEMENT/REHABILITATION OF DRAINAGE SYSTEM BIDDING DATE &amp; TIME: JUNE 23, 2020- 1:00 P.M</t>
  </si>
  <si>
    <t xml:space="preserve"> PR#20-06-0317 ABC 140,400.00 INSTRUCTIONS/ NOTES TO BIDDERS: 1.	Please indicate the following information in your bid: a) Company Name, Address, Tel/Fax nos.; b)PhilGEPS Registration Certificate No. and date of validity; c) Bidder’s offer ( Technical Spec</t>
  </si>
  <si>
    <t xml:space="preserve"> please see attached document</t>
  </si>
  <si>
    <t xml:space="preserve"> 3,000 pcs cloth face mask</t>
  </si>
  <si>
    <t xml:space="preserve"> Pakyaw Labor Provision of Equipment</t>
  </si>
  <si>
    <t xml:space="preserve"> REQUEST FOR QUOTATION For Negotiated Procurement thru Small Value Procurement under Sec. 53.9 of the 2016 Revised IRR of RA 9184 Quotation No.:  2020-06-204 Date: June 15, 2020 PR No.: 20-06-212 PR Date: June 4, 2020 The Metropolitan Tuguegarao Water Dist</t>
  </si>
  <si>
    <t xml:space="preserve"> Procurement of supply and delivery of food (30 pax/Batch)	 180	pax	 July 8, 2020 August 12, 2020 September 9, 2020 October 14, 2020 November 11, 2020 December 9, 2020	 AM Snacks Lunch PM Snacks 		Note: Food will be delivered on site.	 PR# 2020-941</t>
  </si>
  <si>
    <t xml:space="preserve"> Request for Price Quotation</t>
  </si>
  <si>
    <t xml:space="preserve"> 1.	1	unit/s	Computer set with Accessories 			Specs: 			Processor: Intel Core i3 			Motherboard: Gigabyte/Asus 			Memory: 4GB Kingston 			HDD:500GB 			UPS: 650 VA 			AVR, Mouse, Keyboard 			LED Monitor 19" 2.	1	unit/s	Printer 3 in 1 3.	2	unit/s	LED 27 to 2</t>
  </si>
  <si>
    <t xml:space="preserve"> Requesting for Quotation (RFQ) for PR No. 2005270  Interested suppliers are invited to submit Sealed Price Quotations for the above listed items. The Request for Quotation (RFQ) for may be obtained from Mr. Albert A. Camarillo City General Services Office</t>
  </si>
  <si>
    <t xml:space="preserve"> Subgrade Preparation Portland Cement Conc, Pavement</t>
  </si>
  <si>
    <t xml:space="preserve"> The City Government of Santiago invites interested parties to submit price quotation for the “SUPPLY AND DELIVERY OF ELECTRICAL SUPPLIES FOR INSTALLATION OF OVERCURRENT PROTECTION AND UPGRADING TRANSFER SWITCH“ City Hall, Santiago City, details as follows</t>
  </si>
  <si>
    <t xml:space="preserve"> Purchase of Brochures, Leaflets and Learning Materials for Protection of Children Program</t>
  </si>
  <si>
    <t xml:space="preserve"> Construction Project (Construction/Improvement of Main MRF Building</t>
  </si>
  <si>
    <t xml:space="preserve"> Telephone Mobile Expenses</t>
  </si>
  <si>
    <t xml:space="preserve"> weighing scale, 120 kgs. capacity</t>
  </si>
  <si>
    <t xml:space="preserve"> see attach RFQ</t>
  </si>
  <si>
    <t xml:space="preserve"> 1. The Fortunato F. Halili National Agricultural School (FFHNAS), through the Bids and Awards Committee (BAC) invites bids for the procurement of PHOTOCOPYING MACHINE for Junior High School and Senior High School (for reproduction of learning materials fo</t>
  </si>
  <si>
    <t xml:space="preserve"> Item No.	Description	Qty.	Unit Winning Bidder must: 1.	Provide a Fully-Automated Chemiluminescent Microparticle Immuno Assay (CMIA) Technology for free, including its calibration, preventive and corrective maintenance.  2.	Provide all necessary accessorie</t>
  </si>
  <si>
    <t xml:space="preserve"> Please see attached Program of Works for Specifications</t>
  </si>
  <si>
    <t xml:space="preserve"> One (1) Job Contract for the Electrification (Installation of 25Kva, 760Vac Primary / 230Vac, Secondary, 60Hz, 1-Phase, OISC, Distribution Transformer and Construction of Streetlights)/Brgy. Gegacjac/P311,659.00</t>
  </si>
  <si>
    <t xml:space="preserve"> Labor and materials in the propagation of 20,000 quality bamboo seedlings at the Provincial Nursery Laoang Productivity Center, Barangay Laoang Tarlac City Materials Plastic pot (6x10x02black) Potting medium (garden Soil) Fertilizer (organic) Plastic Net </t>
  </si>
  <si>
    <t xml:space="preserve"> INVITATION TO QUOTE Date:  June 15, 2020 1.	The Provincial Government of Davao del Sur, through its Bids and Awards Committee (BAC), invites all interested bidders/suppliers to quote for the following goods under Alternative Methods of Procurement (Small </t>
  </si>
  <si>
    <t xml:space="preserve"> Republic of the Philippines										 			      DEPARTMENT OF PUBLIC WORKS AND HIGHWAYS							 				               ISABELA 1ST						 DISTRICT ENGINEERING OFFICE										 REGIONAL OFFICE II										 City of Ilagan, Isabela										 										 Procuring En</t>
  </si>
  <si>
    <t xml:space="preserve"> The City Government of Santiago invites interested parties to submit price quotation for the “SUPPLY AND DELIVERY OF MASTER ROLLS AND GR INK FOR GSO USE“ City Hall, Santiago City, details as follows: ABC: Php 110,000.00 Contract Duration: 14 calendar days</t>
  </si>
  <si>
    <t xml:space="preserve"> The City Government of Santiago invites interested parties to submit price quotation for the “SUPPLY AND DELIVERY OF OFFICE AND JANITORIAL SUPPLIES FOR BJMP USE“ City Hall, Santiago City, details as follows: ABC: Php 68,401.00 Contract Duration: 14 calend</t>
  </si>
  <si>
    <t xml:space="preserve"> REQUEST FOR QUOTATION Procurement of Printing &amp; Publication Expenses (PCADG-5029902000-1063-2020) 1.	The Philippine National Police Community Affairs and Development Group, through its Bidsand Awards Committee(BAC), will undertakea Small Value Procurement</t>
  </si>
  <si>
    <t xml:space="preserve"> T E R M S   A N D   C O N D I T I O N S •	LOCATION – 1.	The venue must be within the area of (Proposed: Mainit, Kitcharao, Jabonga, Tubod)  2.	Must have enough parking space for vehicle/s •	SESSION AREAS/ FUNCTION ROOMS - 1.	Free use of air conditioned fu</t>
  </si>
  <si>
    <t xml:space="preserve"> Municipality of Dumanjug, Cebu through the SB Resolution No. 2018-136 Series of 2018  intends to apply the sum of THREE  HUNDRED FIFTY-FIVE THOUSAND PESOS ONLY (Php 355,000.00) being the Approved Budget for the Contract (ABC) to payments under the contrac</t>
  </si>
  <si>
    <t xml:space="preserve"> The Bids and Awards Committee								 Province of Iloilo								 								      In connection with your Invitation to Bid No. PEO-20-0695 B  scheduled on June 23, 2020, I/we proposed to furnish and deliver in conformity with the terms and conditions, and s</t>
  </si>
  <si>
    <t xml:space="preserve"> Item No.	Unit	Description	Qty 1	pcs	Snare Drum	5 2	pcs	Trumpet	5 * * * * * * * * * * * * * * * * * * * * * * * * NOTHING FOLLOWS * * * * * * * * * * * * * * * * * * * * * * * *</t>
  </si>
  <si>
    <t xml:space="preserve"> Cement &amp; 48LI</t>
  </si>
  <si>
    <t xml:space="preserve"> Items Quantity / Units 1.flag for lamp post 60 pcs 3ftx6ft nylon (30 barangays) With ready layout and design PRICE QUOTATION/S SHOULD BE PRINTED ON COMPANY’S OFFICIAL LETTERHEAD TOGETHER WITH THE FOLLOWING DOCUMENTS; 1.Mayor’s/Business Permit 2.PhilGEPS R</t>
  </si>
  <si>
    <t xml:space="preserve"> Republic of the Philippines PROVINCE OF SOUTHERN LEYTE Maasin City Invitation to Bid for the Procurement of Logbook  Contract ID # 2020-07-07-359PG 1.	The Provincial Government of Southern Leyte through the PDH– Office Supplies Expenses intend to apply fo</t>
  </si>
  <si>
    <t xml:space="preserve"> INVITATION TO BID SUPPLY AND DELIVERY OF 1,591 BOXES ROUND MOIST CAKE FOR PABIRTHDAY NI LOLO UG LOLA (2ND QUARTER) 1.	The Local Government Unit of Cabadbaran City through the GENERAL FUND intends to apply the sum of ONE HUNDRED NINETY THOUSAND NINE HUNDRE</t>
  </si>
  <si>
    <t xml:space="preserve"> Republic of the Philippines Province of Pangasinan Municipality of Natividad BTO CALAPUGAN INVITATION TO BID FOR ( BARANGAY HALL DEEP WELL REHABILITATION AT PUROK 3  BARANGAY CALAPUGAN, NATIVIDAD, PANGASINAN) The [BTO CALAPUGAN], through the  20% Developm</t>
  </si>
  <si>
    <t xml:space="preserve"> Republika ng Pilipinas PAMAHALAANG LUNGSOD NG TACLOBAN (City Government of Tacloban) Kanhuraw Hill, Tacloban City 6500 Bids and Awards Committee INVITATION TO SUBMIT PRICE QUOTATIONS FOR THE NEGOTIATED PROCUREMENT (Small Value Procurement) OF ANIMAL FEEDS</t>
  </si>
  <si>
    <t xml:space="preserve"> 100	ream		Book Paper			Long, 70gsm, 216x330mm				 2	cart		Toner			for copier machine (Kyocera Mita) - ECOSYS M2540dn/L				 100	unit		Arch File Folder			Long large Lever with Ring Binder &amp; Metal Finger Pull (Black color, Heavy Duty)</t>
  </si>
  <si>
    <t xml:space="preserve"> I. SUBBASE @ BASE COURSE II. CONCRETE WORKS III. FORMWORKS</t>
  </si>
  <si>
    <t xml:space="preserve"> Name of Project		: Riprapping and Construction of Concrete Pavement at Luacan Waterpark Location		: Sitio Luacan,Brgy. Paraiso,Milagros,Masbate Brief Description	:I. Mobilization and Demobilization                                         II. Stone Masonry</t>
  </si>
  <si>
    <t xml:space="preserve"> 3 drum Ink, drum DR512, color- drum for Ineo+284</t>
  </si>
  <si>
    <t xml:space="preserve"> Repair of Perimeter Fence at EcoPark @ Samal, Bataan 4 rolls - Cyclone Wire 2x2x6 1 kg - G.I Wire #16</t>
  </si>
  <si>
    <t xml:space="preserve"> Detailed Estimate		 For the Declogging /Clearing of Canal		 at Barangay Asinan, Bugallon, Pangasinan		 		 ABC: 20,371.43		 A. Materials		 		 11	Laborer</t>
  </si>
  <si>
    <t xml:space="preserve"> 236A - Supply and Delivery Additional Apparatus in Biology Laboratory of SDSSU Tandag</t>
  </si>
  <si>
    <t xml:space="preserve"> Procurement of Various COD Working Uniform for 2020</t>
  </si>
  <si>
    <t xml:space="preserve"> Supply &amp; Installation of Airconditioning System A. 1-unit 4HP Wall Mounted Inverter Type Aircon B. Labor &amp; Materials for Aircon Installation of 1-unit Wall Mounted Type	1	lot</t>
  </si>
  <si>
    <t xml:space="preserve"> Procurement of supply and delivery of food for the conduct of DA-PA-Mas Monthly Assessment at OPA Conference Room, San Jose de Buenavista, Antique (45 pax / Batch)	 270	pax	 July 1, 2020 August 5, 2020 September 2, 2020 October 7, 2020 November 4, 2020 De</t>
  </si>
  <si>
    <t xml:space="preserve"> Requesting for Quotation (RFQ) for PR No. 2005254  Interested suppliers are invited to submit Sealed Price Quotations for the above listed items. The Request for Quotation (RFQ) for may be obtained from Mr. Albert A. Camarillo City General Services Office</t>
  </si>
  <si>
    <t xml:space="preserve"> The Local Government Unit of Barugo, through the General Fund intends to apply the sum of Fifty-Two Thousand Five Hundred Pesos (Php 52,500.00) being the Approved Budget for the Contract (ABC) to payment under the contract for the Procurement of Various M</t>
  </si>
  <si>
    <t xml:space="preserve"> The City Government of Santiago invites interested parties to submit price quotation for the “SUPPLY AND DELIVERY OF ELECTRICAL SUPPLIES FOR IMPROVEMENT OF MUSCOVADO BUILDING“ City Hall, Santiago City, details as follows: ABC: Php 365,276.00 Contract Dura</t>
  </si>
  <si>
    <t xml:space="preserve"> Requesting for Quotation (RFQ) for PR No. 2006044  Interested suppliers are invited to submit Sealed Price Quotations for the above listed items. The Request for Quotation (RFQ) for may be obtained from Mr. Albert A. Camarillo City General Services Office</t>
  </si>
  <si>
    <t xml:space="preserve"> PLEASE CONTACT BAC SECRETARIAT FOR MORE DETAILS</t>
  </si>
  <si>
    <t xml:space="preserve"> 1,500 pcs.	BAG TAGS Specifications: Material:  PVC, matte laminated Size:  3.4”  x  2.2” Thickness:  0.76 mm Feature:  with Class A rubber loop (white) Color:   3 colors Printing:  Digital full printing, front &amp; back       500 pcs   CERTIFICATE HOLDER Spe</t>
  </si>
  <si>
    <t xml:space="preserve"> Requesting for Quotation (RFQ) for PR No. 2005208  Interested suppliers are invited to submit Sealed Price Quotations for the above listed items. The Request for Quotation (RFQ) for may be obtained from Mr. Albert A. Camarillo City General Services Office</t>
  </si>
  <si>
    <t xml:space="preserve"> See attached Documents</t>
  </si>
  <si>
    <t xml:space="preserve"> 1.	2	unit/s	Aircondition - Floor Mounted/ Single Phase 2.	2	unit/s	Aircondition  2HP Window Type</t>
  </si>
  <si>
    <t xml:space="preserve"> 40 Reams Bond Paper (Long Subs. 20) 10 Reams Bond Paper ( short subs. 20) 40 Reams Bond Paper (A4 subs. 20) 50 pcs. folder (long) 2 dozens Sign Pen(0.05 black color) 5 pcs Stapler No. 35 Big (Heavy Duty) 5 pcs. Puncher (big) 4 pcs Toilet Brush 3 Boxes Pap</t>
  </si>
  <si>
    <t xml:space="preserve"> Items Quantity / Units 1.morgue refrigeration system 1 unit 6 corpses capacity 2,100w input power 1c-5c temperature 2,520 x 1,580 x 1,850 exterior size (wxdxh) 680kg weight -18c/-30c quantity compressor 6 doors PRICE QUOTATION/S SHOULD BE PRINTED ON COMPA</t>
  </si>
  <si>
    <t xml:space="preserve"> Invitation to Bid “Acquisition of One (1) Lot Health Care Services through Health Maintenance Organization” 01.The National Bureau of Investigation, through the 2019 NBI Clearance Retention Fees pursuant to RA 10867 otherwise known as the NBI Reorganizati</t>
  </si>
  <si>
    <t xml:space="preserve"> REQUEST FOR QUOTATION Procurement of Printing &amp; Publication Expenses (PCADG-5029902000-1064-2020) 1.	The Philippine National Police Community Affairs and Development Group, through its Bidsand Awards Committee(BAC), will undertakea Small Value Procurement</t>
  </si>
  <si>
    <t xml:space="preserve"> Please see attached PR for Specification</t>
  </si>
  <si>
    <t xml:space="preserve"> Construction of Niches</t>
  </si>
  <si>
    <t xml:space="preserve"> Republic of the Philippines PROVINCE OF BUKIDNON Municipality of Sumilao INVITATION TO BID ITB NO. GS-2020-27 PROCUREMENT OF CORN SEEDS &amp; FERTILIZERS FOR THE SUSTAINABLE LAND RESOURCE MANAGEMENT APPROACH (SLRMA) FOR AGRI-ENVIRONMENTAL DEVELOPMENT OF UPLAN</t>
  </si>
  <si>
    <t xml:space="preserve"> Republika ng Pilipinas PAMAHALAANG LUNGSOD NG TACLOBAN (City Government of Tacloban) Kanhuraw Hill, Tacloban City 6500 Bids and Awards Committee INVITATION TO SUBMIT PRICE QUOTATIONS FOR THE NEGOTIATED PROCUREMENT (Small Value Procurement) OF INDUSTRIAL M</t>
  </si>
  <si>
    <t xml:space="preserve"> REQUEST FOR QUOTATION (RFQ) The MEO  through the Bids and Awards Committee (BAC) of the Municipality of Banaybanay, Davao Oriental hereby notifies and invites you to submit your quotation/bid for the hereunder proposed project/request, viz:  CONSTRUCTION </t>
  </si>
  <si>
    <t xml:space="preserve"> The City Government of Santiago invites interested parties to submit price quotation for the “SUPPLY AND DELIVERY OF CONSTRUCTION MATERIALS FOR CONSTRUCTION OF MOTORPOOL GUARD HOUSE“ City Hall, Santiago City, details as follows: ABC: Php 186,602.80 Contra</t>
  </si>
  <si>
    <t xml:space="preserve"> Construction Project of Floating Seaweed Dryer II</t>
  </si>
  <si>
    <t xml:space="preserve"> Please see attached Program of Works for Specification</t>
  </si>
  <si>
    <t xml:space="preserve"> Republic of the Philippines					 PROVINCE OF SIQUIJOR					 BIDS &amp; AWARDS COMMITTEE					 Capitol Building, Siquijor, Siquijor					 					 Business Name:_____________________________				AD. No.: 436-06-2020	 Address:___________________________________				DAT</t>
  </si>
  <si>
    <t xml:space="preserve"> Reference No. PR # 20-03-0438 PRICE QUOTATION FORM (BID FORM) Sealed Bids shall be dropped in the BIDDERS BOX on or before 2:00 P.M.  June 19, 2020    placed at the office of the Chairman of the College BAC. Thereafter, the Bidder's Box shall be sealed un</t>
  </si>
  <si>
    <t xml:space="preserve"> Republic of the Philippines Cordillera Administrative Region MUNICIPAL GOVERNMENT OF MALIBCONG Province of Abra Project Title: CONSTRUCTION OF TWO STOREY MULTI-PURPOSE (MUNICIPAL ISOLATION) BUILDING POBLACION, MALIBCONG, ABRA 1.  The Municipal Government </t>
  </si>
  <si>
    <t xml:space="preserve"> 1	ID CARD 2.13" X 3.37" (ATM SIZE) W/ID HOLDER							100	PCS 2	ID CARD 3.5" X 4.5"  W/LANYARD					                         		100	PCS</t>
  </si>
  <si>
    <t xml:space="preserve"> Republic of the Philippines Province of Batangas Municipality of San Juan BIDS AND AWARDS COMMITTEE INVITATION TO APPLY FOR ELIGIBILITY AND TO BID THE LOCAL GOVERNMENT UNIT OF BRGY. PULANGBATO,  SAN JUAN, BATANGAS, through its Bids and Awards Committee (B</t>
  </si>
  <si>
    <t xml:space="preserve"> Specifications can be viewed online by clicking the "Associated Components" section on this ITB. The Local Government Unit-Municipality of Malinao, Aklan through the Bids and Awards Committee, intends to apply the sum of Five Hundred  Thousand  Pesos and </t>
  </si>
  <si>
    <t xml:space="preserve"> Requesting for Quotation (RFQ) for PR No. 2005237  Interested suppliers are invited to submit Sealed Price Quotations for the above listed items. The Request for Quotation (RFQ) for may be obtained from Mr. Albert A. Camarillo City General Services Office</t>
  </si>
  <si>
    <t xml:space="preserve"> School and Office Supplies</t>
  </si>
  <si>
    <t xml:space="preserve"> The Cagayan State University is pleased to invite you to quote your lowest price on the item/s attached herewith, stating the shortest time of delivery and submit your quotation duly signed by you, or by your authorized representative.</t>
  </si>
  <si>
    <t xml:space="preserve"> Requesting for Quotation (RFQ) for PR No. 2006011  Interested suppliers are invited to submit Sealed Price Quotations for the above listed items. The Request for Quotation (RFQ) for may be obtained from Mr. Albert A. Camarillo City General Services Office</t>
  </si>
  <si>
    <t xml:space="preserve"> *LARGE FORMAT PRINTER 36" MAX DOCUMENT WIDTH - 2400 x 1200 dpi Print Resolution for sharp text Documents, A1-Size print Speeds of 35 seconds, Wi-fi Enabled wireless printing (1 unit) *PROJECTOR - 5,500 Lumens, XGA 1024x768 Display Resolution, Aspect Ratio</t>
  </si>
  <si>
    <t xml:space="preserve"> For negotiated procurement as per Sec. 53.9 of Revised IRR or small value procurement: The Provincial Government of Laguna through its Bids and Awards Committee (BAC) invites suppliers/manufacturers/distributors/contractors to submit quotations for the he</t>
  </si>
  <si>
    <t xml:space="preserve"> 20	sack		Gestating			Mash				 20	sack		Grower			Mash				 10	sack		Lactating			Mash				 20	sack		Starter			Mash				 5	sack		Corn Bran			Yellow				 10	sack		Laying			Mash</t>
  </si>
  <si>
    <t xml:space="preserve"> Republic of the Philippines					 Province of Palawan					 MUNICIPALITY OF EL NIDO					 PR No. Name of Procuring Entity: Municipal Government of El Nido			RFQ No.	MDRRMO-200-2020	 Date:		 Office/End-User: MDRRMO					 Company Name					 Adress:					 Business</t>
  </si>
  <si>
    <t xml:space="preserve"> 06192020-087 NOTICE FOR NEGOTIATED PROCUREMENT Publication: June 16, 2020 Closing: June 19, 2020 Name of Project	Purchase of Real Property Tax Account Register Card for Treasurer’s Office use Approved Budget for the Contract	 ₱200,000.00 Contract Period:	</t>
  </si>
  <si>
    <t xml:space="preserve"> Republic of the Philippines													 City of San Carlos													 Negros Occidental													 													 INVITATION TO BID											FOR SALE	 			PURCHASE REQUEST NO: 1-20-06-0669				P 300.00	 Sealed bids for quotation of prices will be recei</t>
  </si>
  <si>
    <t xml:space="preserve"> REQUEST FOR QUOTATION Other Supplies &amp; Materials Expenses (PCADG-5020399000-1065-2020) 1.	The Philippine National Police Community Affairs and Development Group, through its Bidsand Awards Committee(BAC), will undertakea Small Value Procurement (SVP) for </t>
  </si>
  <si>
    <t xml:space="preserve"> l.	The MUNICIPALITY OF GUINAYANGAN, QUEZON, through  the  2020 C.O.    intends to apply the sum of  One Hundred Sixty Nine Thousand Four Hundred Ninety  Pesos                      (P 169,490.00) being the Approved Budget for the Contract (ABC) to payments</t>
  </si>
  <si>
    <t xml:space="preserve"> Please see attachment.</t>
  </si>
  <si>
    <t xml:space="preserve"> Republic of the Philippines Province of South Cotabato BIDS AND AWARDS COMMITTEE Capitol Compound Alunan Avenue, Koronadal City Tel. Fax No.: (083) 228-9951/228-8570 INVITATION TO BID FOR THE SUPPLY AND DELIVERY OF 7,000 BAGS CEMENT, PORTLAND, QUICK DRY &amp;</t>
  </si>
  <si>
    <t xml:space="preserve"> IMPROVEMENT OF MUNICIPAL IP HALL GROUND</t>
  </si>
  <si>
    <t xml:space="preserve"> Republic of the Philippines													 City of San Carlos													 Negros Occidental													 												REBIDDING LOT 3 ONLY	 INVITATION TO BID											FOR SALE	 			PURCHASE REQUEST NO: 1-19-09-1639				P 1,913.00	 Sealed bids for quotation o</t>
  </si>
  <si>
    <t xml:space="preserve"> Requesting for Quotation (RFQ) for PR No. 2006001  Interested suppliers are invited to submit Sealed Price Quotations for the above listed items. The Request for Quotation (RFQ) for may be obtained from Mr. Albert A. Camarillo City General Services Office</t>
  </si>
  <si>
    <t xml:space="preserve"> *A3 MACHINE - photocopier maximum monthly duty cycle: 50,000 copies introductory comsumables toner: 4,000 copiesdrum: 80,000 copies w/ embedded web server A3 digital monochrome multifunction (print, copy, scan)flatbed &amp; automatic document feeder for duple</t>
  </si>
  <si>
    <t xml:space="preserve"> INVITATION TO BID COMPLETION OF PAAGAN WATER SYSTEM PAAGAN, SANTOL, LA UNION 1.	The Municipal Government of Santol, La Union through the MDF-2020 intends to apply the sum of ONE MILLION FIVE HUNDRED THOUSAND PESOS (Php 1,500,000.00) being the Approved Bud</t>
  </si>
  <si>
    <t xml:space="preserve"> Post Cement, Banana Twine &amp; Bamboo Poles for LSA - FRIEND Organic Farm 800 posts Post Cement 10 rolls Banana Twine 300 poles Bamboo Poles for Trellis *Free Delivery on-site **Please see an attached document in ASSOCIATED COMPONENTS for RFQ</t>
  </si>
  <si>
    <t xml:space="preserve"> BIDS AND AWARDS COMMITTEE ATTENTION:		ALL INTERESTED BIDDERS 			 SUBJECT:	INVITATION TO BID –   Procurement of Communication Plan for 1 Year DATE:	June 15, 2020 - - - - - - - - - - - - - - - - - - - - - - - - - - - - - - - - - - - - - - - - - - - - - - - </t>
  </si>
  <si>
    <t xml:space="preserve"> REQUEST FOR QUOTATION (RFQ) Date: June 15, 2020 R.I.S. No.:	20-13-098 Gentlemen:			 Please submit your lowest price quotation (including taxes and government discounts) on charged account basis, on the following supplies/materials/ equipment or labor for </t>
  </si>
  <si>
    <t xml:space="preserve"> VARIOUS CONSTRUCTION MATERIALS.</t>
  </si>
  <si>
    <t xml:space="preserve"> Training Expense</t>
  </si>
  <si>
    <t xml:space="preserve"> INVITATION TO BID IB No. GS-2020 – 051-A Books, Maps and Other Publications for Distribution to all Barangays of Oriental Mindoro 1. The  Provincial  Government  of  Oriental  Mindoro  (PGOM)  through  the  General Fund  intends  to  apply  the  sum  of  </t>
  </si>
  <si>
    <t xml:space="preserve"> Construction Project of Pres. Elpidio Quirino Street</t>
  </si>
  <si>
    <t xml:space="preserve"> INVITATION TO BID FOR SUPPLY AND INSTALL OF BY-PASS POTABLE WATER PIPE LINE QUINANLIMAN, BRGY. POB. 1, REAL, QUEZON 1.	The Municipal Government of Real, Quezon, through the Economic Enterprise &amp; General Fund CY 2020  intends to apply the sum of Nine Hundr</t>
  </si>
  <si>
    <t xml:space="preserve"> INVITATION TO APPLY FOR ELIGIBILITY AND TO BID THE BIDS AND AWARD COMMITTEE OF THE MUNICIPALITY OF CAIBIRAN, BILIRAN IS INVITING ALL INTERESTED BIDDERS ON ITS FORTHCOMING PUBLIC BIDDING FOR: Project Title	: Acquisition of Air Conditioning Unit Delivery Pe</t>
  </si>
  <si>
    <t xml:space="preserve"> Republic of the Philippines Province of Leyte Municipality of Hilongos Barangay LAMAK REQUEST FOR QUOTATION  JUNE 15, 2020          Date               ______________________ _______________________ _______________________ _________________________________</t>
  </si>
  <si>
    <t xml:space="preserve"> Section I. Invitation to Bid Republic of the Philippines Province of Bukidnon MUNICIPALITY OF TALAKAG Invitation to Bid for Procurement of Diesoline (For LGU Use) 1.	The Municipality of Talakag through the General Fund, CY 2020 intends to apply the sum of</t>
  </si>
  <si>
    <t xml:space="preserve"> 200	sachet		Fabric Conditioner							 200	sachet		Detergent Powder							 5	kl		Chlorine							 20	gal		Muriatic Acid							 50	pcs		Toilet Brush							 20	pales		Floor wax							 100	pcs		Soft Broom							 100	pcs		Stick Broom							 30	pcs		Toilet Pump</t>
  </si>
  <si>
    <t xml:space="preserve"> Construction of 6.00mx2.00m Steel Gate (Double leaf) with service gate (1.00mx2.00m). Description of works includes :  Earthworks, Reinforced Concrete Works and Progress Photo</t>
  </si>
  <si>
    <t xml:space="preserve"> CADO - PESO - TVET TRAINING EXPENSES FOR SECURITY NC I</t>
  </si>
  <si>
    <t xml:space="preserve"> Please see attached PR for specification</t>
  </si>
  <si>
    <t xml:space="preserve"> Item No.	Qty. 	Unit	Item Description		Unit Price	Total Price 						 1	50	ream	PAPER, MULTICOPY, 80gsm, size: 210mm x 297mm			 2	50	ream	PAPER, MULTICOPY, 80gsm, size: 216mm x 330mm			 3	100	ream	PAPER, Multi-Purpose (COPY) Legal, 70 gsm			 4	30	pad	PAPER,</t>
  </si>
  <si>
    <t xml:space="preserve"> Procurement of supply and delivery of food fo the conduct of Rice Report Officers Monthly Meeting Review and Assessment at OPA, Conference Room, Bacolod City  (40 pax / Batch) 	 240	pax July 28, 2020 August 25, 2020 September 29, 2020 October  27, 2020 No</t>
  </si>
  <si>
    <t xml:space="preserve"> Republika ng Pilipinas PAMAHALAANG LUNGSOD NG TACLOBAN (City Government of Tacloban) Kanhuraw Hill, Tacloban City 6500 Bids and Awards Committee INVITATION TO SUBMIT PRICE QUOTATIONS FOR THE NEGOTIATED PROCUREMENT (Small Value Procurement) OF LIVE ANIMALS</t>
  </si>
  <si>
    <t xml:space="preserve"> Bid-Opening-June 25, 2020 at 2:00 P.m. at Municipal Conference Room</t>
  </si>
  <si>
    <t xml:space="preserve"> 1 UNIT STEEL CABINET, ETC.</t>
  </si>
  <si>
    <t xml:space="preserve"> Jetmatic pump-const of shallow wells</t>
  </si>
  <si>
    <t xml:space="preserve"> OPENING OF BIDS IN DSWD FO IX ZAMBOANGA CITY		 DELIVERY IN AVRC III, MAMPANG ZC		 PROCUREMENT FOR THE FF.	 	 		 50	PCS.	LIQUID DISPENSER (HIGH QUALITY ABS MATERIAL, NON-TOXIC , RUSTPROOF AND CORRUSION  RESISTANCE , LONG LIFE ; 2) VIEWING BODY ; MATERIALS:</t>
  </si>
  <si>
    <t xml:space="preserve"> June 15, 2020                                                                   	          Solicitation No.: RFQ2020-06-01 REQUEST FOR QUOTATION The Fertilizer and Pesticide Authority, through its Bids and Awards Committee (BAC), invites interested partie</t>
  </si>
  <si>
    <t xml:space="preserve"> B.9	Mobilization/Demobiliazation	lot	all	18,854.00 103(1)a	Structure Excavation (CommonSoil)	5.30	cu.m.	1,780.80 105(1)	Subgrade Preparation (Common Material)	312	sq.m.	5,460.00 201	Aggregate Base Coarse (100mm thk.)	31.20	cu.m.	38,073.36 311(1)a	PCC Pave</t>
  </si>
  <si>
    <t xml:space="preserve"> PB NO. 2020-036		 			Security Service for July 2020 to December 2020 1.	1	persons	OIC Security Guard x 18,796.54 x 6 months for 8 hours 2.	8	persons	Security Guards (Dayshift) x 17,796.54 x 6 months for 8 hours 2.	5	persons	Security Guards (Nightshift) x </t>
  </si>
  <si>
    <t xml:space="preserve"> Procurement of supply and delivery of food fr the conduct of DA Program Assessment &amp; Forum of City/Municipal Agricvulturists at Conference Room, OPA, Roxas City, Capiz (50 pax/Batch)	 300	pax	 July 15, 2020 August 19, 2020 September 16, 2020 October  21, </t>
  </si>
  <si>
    <t xml:space="preserve"> REQUEST FOR QUOTATION (RFQ) Date: June 15, 2020 R.I.S. No.:	20-83-069 Gentlemen:			 Please submit your lowest price quotation (including taxes and government discounts) on charged account basis, on the following supplies/materials/ equipment or labor for </t>
  </si>
  <si>
    <t xml:space="preserve"> 1.	The Municipality of Guinayangan, Quezon through the 2020 C.O. intends to apply the sum of One Million Five Hundred Thirty Six Thousand Pesos  (P 1,536,000.00) being the Approved Budget for the Contract (ABC) to payments under the contract for the Concr</t>
  </si>
  <si>
    <t xml:space="preserve"> BIDS AND AWARDS COMMITTEE ATTENTION:		ALL INTERESTED BIDDERS 			 SUBJECT:	INVITATION TO BID –   Procurement of Office Equipment DATE:	June 15, 2020 - - - - - - - - - - - - - - - - - - - - - - - - - - - - - - - - - - - - - - - - - - - - - - - - - - - - - -</t>
  </si>
  <si>
    <t xml:space="preserve"> PROCUREMENT OF SUPPLY AND INSTALLATION FOR THE REPLACEMENT OF VEHICLE TIRES 8 pieces VEHICLE TIRES, 195 R15 for Toyota Hi-Ace Commuter Vans with Plate nos. VK-4756 &amp; VK-4857 4 pieces VEHICLE TIRES, 205/65 R15 for Toyota Innova E with Plate no. SKE-945 2 p</t>
  </si>
  <si>
    <t xml:space="preserve"> Lot 1 PhP 5, 001.00 (See attached file or call for more details.)</t>
  </si>
  <si>
    <t xml:space="preserve"> LAPTOP COMPUTER 8GB DDR4 2400MHZ SDRAM OPERATING SYSTEM-INTEL CORE i7-7700HQ(2.8ghz) PROCESSOR WINDOWS 10 HOME GTX 1050-8GB GDD5-VRAM GRAPHICS 150W POWER ADAPTOR  9HRS. BATTERY LIFE SPEARKER WITH SMARTAMP TECHNOLOGY OPTICAL DRIVE 1TB-8GB+128GB SSD</t>
  </si>
  <si>
    <t xml:space="preserve"> Requesting for Quotation (RFQ) for PR No. 2004142  Interested suppliers are invited to submit Sealed Price Quotations for the above listed items. The Request for Quotation (RFQ) for may be obtained from Mr. Albert A. Camarillo City General Services Office</t>
  </si>
  <si>
    <t xml:space="preserve"> Republic of the Philippines Province of South Cotabato BIDS AND AWARDS COMMITTEE Capitol Compound Alunan Avenue, Koronadal City Tel. Fax No.: (083) 228-9951/228-8570 INVITATION TO BID FOR THE SUPPLY AND DELIVERY OF 5 DRUMS HYDRAULIC OIL, AW 68 &amp; ETC. 1.  </t>
  </si>
  <si>
    <t xml:space="preserve"> Qty.	UNIT	ITEM AND DESCRIPTION					 								TOTAL 1	unit	Entry Level File Server						  		• Processor(s): Intel Xeon E-2124 3.3GHz,						 		 8M cache, 4C/4T, turbo (71W)						 		• Memory: 8GB 2666MT/s DDR4 ECC UDIMM						 		• Storage Controller: PERC H330</t>
  </si>
  <si>
    <t xml:space="preserve"> Purchase of cellphone for brgy use..</t>
  </si>
  <si>
    <t xml:space="preserve"> Republic of the Philippines Province of Cotabato Municipality of Arakan Barangay Sumalili BIDS AND AWARDS COMMITTEE REQUEST FOR QUOTATION Purchase of Assorted Goods The Barangay Local Government Unit of Sumalili is inviting interested suppliers to submit </t>
  </si>
  <si>
    <t xml:space="preserve"> Job Description: -Maintenance of the nursery and area for herbs, spices and medicinal plants -Planting and propagation of herbs, spices and medicinal plants -process and follow-up documents</t>
  </si>
  <si>
    <t xml:space="preserve"> INVITATION TO BID IB No. GS-2020 – 052-A Construction Materials and Supplies for Provision of Cement and Painting Materials to Various Schools Provincewide 1. The  Provincial  Government  of  Oriental  Mindoro  (PGOM)  through  the  Special Education Fund</t>
  </si>
  <si>
    <t xml:space="preserve"> Republic of the Philippines Province of Leyte Municipality of Hilongos BARANGAY LAMAK INVITATION TO BID FOR THE PROCUREMENT OF OFFICE SUPPLIES.  1.  The Barangay Lamak, through the IRA intends to apply the sum THIRTY FIVE THOUSAND PESOS (₱ 35,000.00) bein</t>
  </si>
  <si>
    <t xml:space="preserve"> The San Jose City – Local Government Unit (SJC-LGU) through its Bids and Award Committee (BAC), will undertake an Alternative Method of Procurement through Negotiated Procurement for the item stated below, in accordance with Section 53.9 Small Value Procu</t>
  </si>
  <si>
    <t xml:space="preserve"> Republic of the Philippines PROVINCE OF SOUTHERN LEYTE Maasin City Invitation to Bid for the Procurement of Various Medicines and Vitamins  Contract ID # 2020-07-07-379PG 1.	The Provincial Government of Southern Leyte through the PHSO Donation Expenses in</t>
  </si>
  <si>
    <t xml:space="preserve"> 1 Unit Laptop * CPU: Intel Core i7 processor (10th Generation) * Hard Drive: 256GB Solid State Drive * RAM: 16GB * Display 3840x2400 resolution * Wireless: 802.1 1ac 2x2 Wifi and *OS: windows 10 Home Unit Cost: P 80,550.00 Total Amount: P 80,550.00 5 Unit</t>
  </si>
  <si>
    <t xml:space="preserve"> *CONFERENCE TABLE - w/o Chair, Size: 3x1.2x.8, Materials: Laminated Particle Board, Metal Table Leg, Rectangular Metal Grommet (1 pc) *Please see attached sample layout and canvass form.</t>
  </si>
  <si>
    <t xml:space="preserve"> 82 pcs graphicoat glassboard, 4ft x 8ft</t>
  </si>
  <si>
    <t xml:space="preserve"> Republika ng Pilipinas PAMAHALAANG LUNGSOD NG TACLOBAN (City Government of Tacloban) Kanhuraw Hill, Tacloban City 6500 Bids and Awards Committee INVITATION TO SUBMIT PRICE QUOTATIONS FOR THE NEGOTIATED PROCUREMENT (Small Value Procurement) OF FOOD STUFF (</t>
  </si>
  <si>
    <t xml:space="preserve"> CARLOS HILADO MEMORIAL STATE COLLEGE 		BIDS AND AWARDS COMMITTEE Talisay City, Negros Occidental Telefax Nos. (034) 712-8404 INVITATION TO BID  FOR THE PROCUREMENT OF COMMON JANITORIAL SUPPLIES AND OFFICE SUPPLIES FOR THE FOUR (4) CAMPUSES CHMSC 20-017-06</t>
  </si>
  <si>
    <t xml:space="preserve"> Repair of Daycare Center</t>
  </si>
  <si>
    <t xml:space="preserve"> Republic of the Philippines Province of Compostela Valley Municipality of Monkayo -o0o- NEGOTIATED PROCUREMENT OF MATERIALS FOR REPAIR AND MAINTENANCE OF PUMPING STATION FOR WATERWORKS OPERATION UNIT   The Municipality of Monkayo, through the TRUST FUND  </t>
  </si>
  <si>
    <t xml:space="preserve"> 1,530 LITERS DIESEL 250 LITERS GASOLINE  1 LOT LUBRICANTS</t>
  </si>
  <si>
    <t xml:space="preserve"> *MODEM - Globe, Prepaid Wifi/Modem w/ Free initial load/10 Gbdata allocation, With LTE Capable Sim (64 units) *MODEM - PLDT, Prepaid Wifi/Modem w/ Free initial load/10 Gbdata allocation up to 42Mbps, With LTE Capable Sim (22 units) *Please see attached ca</t>
  </si>
  <si>
    <t xml:space="preserve"> Qty.	UNIT	ITEM AND DESCRIPTION					APPROVED BUDGET COST	 							UNIT PRICE	TOTAL 20	BTLS	ALCOHOL (RUBBING 70% ISOPROPYL 500ML)					 68.48 	 1,369.60  30	POCUH	DETERGENT POWDER (ALL PURPOSE 1 KG)					 66.00 	 1,980.00  4	CANS	DISINFECTANT SPRAY (AEROSOL SC</t>
  </si>
  <si>
    <t xml:space="preserve"> 2	set		Seat Assembly							 1	unit		Radiator Assly			(4BA1)				 3	pcs		Fan Belt			(A-54)				 2	pcs		Fan Belt			(B-42)				 4	pcs		Glow plug			24 volts				 4	gal		Oil			#40 Diesel				 2	pcs		Oil Filter							 2	pcs		Cross Joint							 1	pc 		Fuel Filter				</t>
  </si>
  <si>
    <t xml:space="preserve"> PB NO. 2020-037		 			 1.	14	persons	Janitorial Service for July 2020 to December 2020 			14 Utility Worker x 17,325.03 x 6 months for 8 hrs. 			 	Deadline for Submission of Bids: July 7, 2020 10:00 am</t>
  </si>
  <si>
    <t xml:space="preserve"> Republic of the Philippines Province of South Cotabato BIDS AND AWARDS COMMITTEE Capitol Compound Alunan Avenue, Koronadal City Tel. Fax No.: (083) 228-9951/228-8570 INVITATION TO BID FOR THE SUPPLY AND DELIVERY OF 71 UNITS TELEVISION, LED, SMART TV 1.  T</t>
  </si>
  <si>
    <t xml:space="preserve"> Republic of the Philippines Province of Davao de Oro MUNICIPALITY OF MONTEVISTA BIDS AND AWARDS COMMITTEE 		 Reference No:  CB-2020-016 INVITATION TO BID FOR OFFICE SUPPLIES 1. 	The Municipality of  Montevista, Compostela Valley Province, through its  Gen</t>
  </si>
  <si>
    <t xml:space="preserve"> Requesting for Quotation (RFQ) for PR No. 2006027  Interested suppliers are invited to submit Sealed Price Quotations for the above listed items. The Request for Quotation (RFQ) for may be obtained from Mr. Albert A. Camarillo City General Services Office</t>
  </si>
  <si>
    <t xml:space="preserve"> 1. The Department of Agriculture – Regional Field Office – Cordillera Administrative Region (DA-RFO-CAR) intends to apply part of its CY 2020 General Appropriation Act (GAA) the total sum of Six Hundred Thousand Pesos (P6,000,000.00) being the Approved Bu</t>
  </si>
  <si>
    <t xml:space="preserve"> purchased and delivery of wooden cabinet</t>
  </si>
  <si>
    <t xml:space="preserve"> INVITATION TO BID IB No. GS-2020 – 041-A Furniture to be used/installed in the executive building 1. The  Provincial  Government  of  Oriental  Mindoro  (PGOM)  through  the  General Fund intends  to  apply  the  sum  of  Two Million Four Hundred Thirty T</t>
  </si>
  <si>
    <t xml:space="preserve"> Job Description: -Process and follow up documents related to the project -assist in the conduct of the study</t>
  </si>
  <si>
    <t xml:space="preserve"> RFQ (20-06-040) Various IT Supplies</t>
  </si>
  <si>
    <t xml:space="preserve"> RFQ (20-06-036) Various Drugs and Medicines</t>
  </si>
  <si>
    <t xml:space="preserve"> Prk. Pinya, Tagaytay, Josefina, ZDS</t>
  </si>
  <si>
    <t xml:space="preserve"> *DECIS - Active Ingredients (Deltamethrin) (15 liters) *SELECRON - Active Ingredients (Profenofos) (10 liters) *PENNANT - Active Ingredients (Phenthoate) (10 liters) *SUPER CARTAP - Active Ingredients (Cartap Hydrochloride), 500g/pack (15 liters) *LEYBAYC</t>
  </si>
  <si>
    <t xml:space="preserve"> please see attached request for quotation</t>
  </si>
  <si>
    <t xml:space="preserve"> INVITATION TO APPLY FOR ELIGIBILITY AND TO BID  One (1) Lot Information Technology   ITB No. 2020-06-003 P.R. No. 2020-06-173 1.	The Mines and Geosciences Bureau, through the General Appropriations Act (GAA) for CY 2020 intends to apply the sum correspond</t>
  </si>
  <si>
    <t xml:space="preserve"> 000008969		100	rolls	THERMAL TRANSFER LABEL  					 1.0 x 1.2					PhP	  61,750.00 			100	rolls	THERMAL TRANSFER LABEL 			199,500.00 					  5 X 4</t>
  </si>
  <si>
    <t xml:space="preserve"> 2 UNIT OFFICE TABLE SMALL 2 UNIT OFFICE TABLE BIG 1 UNIT COMPUTER TABLE</t>
  </si>
  <si>
    <t xml:space="preserve"> 30 packs FOLDER, legal size, tagboard, 100pcs/pack, kraft outside white inside 300 pieces CORRECTION TAPE, 5mm x 10mm 300 pieces SIGn PEN, blue, liquid/gel ink, 0.5mm needle tip 150 pieces SIGN PEN, liquid/gel ink, 0.5mm needle tip 2 boxes ENVELOPE, expan</t>
  </si>
  <si>
    <t xml:space="preserve"> INVITATION TO BID IB No. GS-2020 – 048-A Hospital/Medical Equipment for the use of Naujan Community Hospital 1. The  Provincial  Government  of  Oriental  Mindoro  (PGOM)  through  the  General Fund intends  to  apply  the  sum  of  Two Million Eight Hund</t>
  </si>
  <si>
    <t xml:space="preserve"> see attached price quotation form</t>
  </si>
  <si>
    <t xml:space="preserve"> 1. Materials and Equipment Rental for the Repair and Improvement of School Stage , Efraim Santibañez National High School, Brgy. Sto. Tomas, Passi City, Iloilo/LSB/P 139,460.00 Stock No. Unit Description Qty. 1 pcs angle bar 1/4" x 2" x 6m 30 2 pcs c-purl</t>
  </si>
  <si>
    <t xml:space="preserve"> UNIVERSITY OF THE PHILIPPINES BAGUIO																					 Governor Pack Road, Baguio City, Benguet, CAR																					 VAT Reg. TIN: 000-864-006-00007																					 Telefax No.: (074) 442-3484																					 email address:  spmo.upbagui</t>
  </si>
  <si>
    <t xml:space="preserve"> The ZAMBOANGA CITY STATE POLYTECHNIC COLLEGE through its Bids and Awards Committee (BAC) is inviting PHILGEPS registered suppliers to apply for eligibility and to submit bids for the items listed below: Upgrading of Fiber Line with Wi-Fi and Voice Over IP</t>
  </si>
  <si>
    <t xml:space="preserve"> Republic of the Philippines PROVINCE OF SOUTHERN LEYTE Maasin City Invitation to Bid for the Procurement of Survey Equipment  Contract ID # 2020-07-07-375PG 1.	The Provincial Government of Southern Leyte through the PEO – Technical and Scientific Equipmen</t>
  </si>
  <si>
    <t xml:space="preserve"> Barangay Tagaytay Hill, Josefina, ZDS</t>
  </si>
  <si>
    <t xml:space="preserve"> DEMOLITION OF CONCRETE LAYING OF CHB PLASTERING WORKS PLUMBING WORKS TILE WORKS FLOORING  DOORS AND PARTITION(ANALOK)</t>
  </si>
  <si>
    <t xml:space="preserve"> purchased and delivery of office table with chair</t>
  </si>
  <si>
    <t xml:space="preserve"> Improvement/Rehabilitation of President Bridge of Poblacion																																																																																																																																																																																																				</t>
  </si>
  <si>
    <t xml:space="preserve"> 1. The Mindanao State University - Tawi-Tawi College of Technology and Oceanography (MSU-TCTO), through the Trust Fund, intends to apply the sum of One Hundred Forty Thousand Pesos only (PhP 140,000.00) being Approved Budget of Contract to payments under </t>
  </si>
  <si>
    <t xml:space="preserve"> REQUEST FOR QUOTATION For Negotiated Procurement thru Small Value Procurement under Sec. 53.9 of the 2016 Revised IRR of RA 9184 Quotation No.:  2020-05-176 (2ND QUOTE) Date: June 15, 2020 PR No.: 20-05-169 PR Date: May 8, 2020 The Metropolitan Tuguegarao</t>
  </si>
  <si>
    <t xml:space="preserve"> I. Earthworks: 1.01 Structural Excavation : 4.62 cu.m., 1.02 : Structural Backfill: 2.47 cu.m.,                        1.03: Gravel Bedding: 0.66 cu.m. II. Masonry Works : 31.17 sq.m. III. Plastering : 62.34 sq.m. IV. Reinforcing Steel Bars : 616.37 kgs. </t>
  </si>
  <si>
    <t xml:space="preserve"> Water Soluble, Degreaser Industrial Typical Physical Properties Color    : Pink Odor     : Mild Solubility : Soluble in water Specific gravity : 1.5 Form : Liquid Features: Products rich foam which lifts dirt from surface Does not contain bio-stimulating </t>
  </si>
  <si>
    <t xml:space="preserve"> Republic of the Philippines Province of Misamis Occidental Municipality of Aloran INVITATION TO BID FOR THE IMPROVEMENT OF ALORAN WATER SUPPLY SYSTEM (BARANGAY OSPITAL-DULLAN) 				JUNE 15, 2020 1.	The Local Government Unit of Aloran, Misamis Occidental th</t>
  </si>
  <si>
    <t xml:space="preserve"> Invitation to Bid for  Rehabilitation of Extension/Satellite Office @ Brgy. Llavac, Real, Quezon 1.	The Municipal Government of Real, Quezon, through the General Fund -Continuing Legislative Appropriation 2015 intends to apply the sum of Three Hundred For</t>
  </si>
  <si>
    <t xml:space="preserve"> Republic of the Philippines Province of South Cotabato BIDS AND AWARDS COMMITTEE Capitol Compound Alunan Avenue, Koronadal City Tel. Fax No.: (083) 228-9951/228-8570 INVITATION TO BID FOR THE SUPPLY AND DELIVERY OF 1 UNIT X-RAY MACHINE 1.  The PROVINCIAL </t>
  </si>
  <si>
    <t xml:space="preserve"> 2	pc	Fillet gauge		 11	pc	Try square 300 mm long		 2	unit	Work bench w/ bench vice on 4 corners		 1	set	Belt tension gauge		 2	set	Box wrench metric size		 1	unit	Cooling system analyzer		 2	set	Socket wrench 		 2	set	Tire pressure gauge		 5	pc	Cover alls</t>
  </si>
  <si>
    <t xml:space="preserve"> Republic of the Philippines Province of Iloilo Municipality of Guimbal Rizal Street, Guimbal, Iloilo The Local Government Unit of Guimbal, Rizal Street, Guimbal, Iloilo, through its Bids and Award Committee (BAC), invites Contractors to submit bids for th</t>
  </si>
  <si>
    <t xml:space="preserve"> Unit 	Item Description	Quantity 		 ream	Bond Paper, A4, 80 gsm	236 ream	Bond Paper, Long, 80 gsm	3 bottle	Epson T664-1 Black Ink	13 bottle	Epson T664-2 Cyan Ink	9 bottle	Epson T664-3 Magenta Ink	8 bottle	Epson T664-4 Yellow Ink	8 piece	Flash Drive, 16 GB	</t>
  </si>
  <si>
    <t xml:space="preserve"> INVITATION TO BID IB No. GS-2020 – 046-A Agricultural Machinery and Equipment for subsidy/assistance to Local Government Units,  Other (Farmers Association/Cooperative) 1. The  Provincial  Government  of  Oriental  Mindoro  (PGOM)  through  the  General F</t>
  </si>
  <si>
    <t xml:space="preserve"> Republic of the Philippines Province of Compostela Valley Municipality of Monkayo -o0o- NEGOTIATED PROCUREMENT OF GLASS DOOR FOR MUNICIPAL HEALTH CENTER BUILDING The Municipality of Monkayo, through the TRUST FUND  intends to apply the sum of  NINETY THRE</t>
  </si>
  <si>
    <t xml:space="preserve"> 130 pages per minute print speed 300 x 360 dpi print resolution 3 rubber feed rollers with one 91) Ink cartridge One (1) Master roll and Pedestal/ Table With Exclusive Distributor Certificate</t>
  </si>
  <si>
    <t xml:space="preserve"> RESOLUTION ON PRIOR APPROVAL NO. 03-19                   Series of 2020 		 RESOLUTION RECOMMENDING THE USE OF ALTERNATIVE METHOD OF PROCUREMENT FOR  THE ACQUISITION OF GOODS AND SERVICES WHEREAS, various departments/offices submitted Purchase Requests wit</t>
  </si>
  <si>
    <t xml:space="preserve"> Pakyaw Labor and Provision of Equipment</t>
  </si>
  <si>
    <t xml:space="preserve"> Solar Generator Set 6000 watts with (6) 370 watts panel          - Solar Panel: 370W 36V mono solar panel *6 pcs          - DC Combiner: 4 in 1 out          - Controler: PWM 60A48V          - Inverter: 6000W 48V Pure sine wave          - Battery: 200Ah12V</t>
  </si>
  <si>
    <t xml:space="preserve"> TERMS AND CONDITIONS:						 1. All entries must be typewritten or legibly written. 					 2. Delivery period within _____3 days_______________________ upon receipt of the approved  funded Purchase Order (P.O.).   				 3. Warranty shall be for a minimum of </t>
  </si>
  <si>
    <t xml:space="preserve"> Section I. Invitation to Bid Republic of the Philippines Province of Bukidnon MUNICIPALITY OF TALAKAG Invitation to Bid for Procurement of Travelling Rice Mill  (For San Isidro Rice Farmer Association, BUB 2015) 1.	The Municipality of Talakag through the </t>
  </si>
  <si>
    <t xml:space="preserve"> NEGOTIATED PROCUREMENT-TWO FAILED BIDDINGS OF ONE (1) UNIT LAPTOP AND ONE (1) UNIT PROJECTOR FOR DCA AGRI-FARM TRAINING SCHOOL  In view of two (2) failed biddings, the Municipality of Remedios T. Romualdez, Agusan del Norte  Bids and Awards Committee (BAC</t>
  </si>
  <si>
    <t xml:space="preserve"> 1	TARPAULIN 1' X 2'							48	PCS 2	TARPAULIN 3' X 6'							20	PCS 3	TARPAULIN 3' X 6'							20	PCS</t>
  </si>
  <si>
    <t xml:space="preserve"> purchased and delivery of cctv</t>
  </si>
  <si>
    <t xml:space="preserve"> purchased and delivery of stand fan</t>
  </si>
  <si>
    <t xml:space="preserve"> 18 assembly Pen Light 18 watt LED lamp 1,081 bags Portland Cement type 1p 11 bags skin coat 98 bags tile adhesive cement 7 boxes 1/8 blind rivets at 1,000 pcs. per box 1 box welding rod stainless steel 1 box #14 THW Stranded 1 box #12 THW Stranded  1 box </t>
  </si>
  <si>
    <t xml:space="preserve"> purchased and delivery of gun</t>
  </si>
  <si>
    <t xml:space="preserve"> VARIOUS MEDICAL SUPPLIES</t>
  </si>
  <si>
    <t xml:space="preserve"> For Rosales Municipal Infirmary Unit use.</t>
  </si>
  <si>
    <t xml:space="preserve"> Repair / Improve  of Handwashing Facilities in Front of Canteen/ Fornt of Bldg. 3 &amp; 5 / Front of SSES and Front of Kinder</t>
  </si>
  <si>
    <t xml:space="preserve"> REQUEST FOR QOUTATION  CADO -PESO FOR TVET TRAINING EXPENSE  CAREGIVING NC II - Php 200,000.00</t>
  </si>
  <si>
    <t xml:space="preserve"> 1. The Local Government Unit of Magsaysay, Occidental Mindoro through the Annual Budget approved by Sanggunian intends to apply the sum of Fifty One Thousand Pesos (P51,000.00) being the Approved Budget for the Contract (ABC) to payment under the contract</t>
  </si>
  <si>
    <t xml:space="preserve"> Republic of the Philippines PROVINCE OF SOUTHERN LEYTE Maasin City Invitation to Bid for the Procurement of Various Catering Services  Contract ID # 2020-07-07-376PG 1.	The Provincial Government of Southern Leyte through the PGO – Other Maintenance and Op</t>
  </si>
  <si>
    <t xml:space="preserve"> Republic of Canlaon 											 City of Canlaon											 OFFICE OF THE BIDS AND AWARDS COMMITTEE											 REQUEST FOR SEALED QUOTATION											 											 					Date:	6/15/2020					 					Quotation No.:	2020-06-023					 					JO No.:	2020-06-024-D				</t>
  </si>
  <si>
    <t xml:space="preserve"> Floor Mop  Bathroom Tissue Roll Zonrox Powder Soap Walis Tambo Glade	   Pledge	  Lysol	  Joy Dishwashing 	  Domex	  Disinfectant  ( Gallon ) Welding rod G- Tect Black	  Bond Paper long	  Bond Paper  A4	  Led bulb	  Door knob Roller Brush Paint Brush Plast</t>
  </si>
  <si>
    <t xml:space="preserve"> Republic of the Philippines												 REGION IX      												 PROVINCE OF ZAMBOANGA DEL SUR												 Pagadian City     												 BIDS AND AWARDS COMMITTEE  												 Provincial Capitol, Pagadian City												 							 					 INVITATION FOR</t>
  </si>
  <si>
    <t xml:space="preserve"> INVITATION TO APPLY FOR ELIGIBILITY AND TO BID 	The local Government Unit of Can-avid, through is Bid and Awards Committee (BAC). Invites suppliers to apply for eligibility, to bid for the hereunder contract: Name of Contract:      CONCRETING OF BARANGAY </t>
  </si>
  <si>
    <t xml:space="preserve"> PARTICULARS Start-up stock of cattle fattening (at least 150-180 kilos) Php16,500/head 70 beneficiaries Supplement commercial grower feeds Php. 1530/2 sacks 70 beneficiaries Dewormer (oral Albendazol to be administered 1ml/10kg body live weight a total of</t>
  </si>
  <si>
    <t xml:space="preserve"> 1 unit - airconditioner split type,inverter, 2HP</t>
  </si>
  <si>
    <t xml:space="preserve"> CONSTRUCTION OF PROPER KALEO DRAINAGE</t>
  </si>
  <si>
    <t xml:space="preserve"> Republic of the Philippines Province of Cotabato Municipality of Arakan BIDS AND AWARDS COMMITTEE  RE BID FOR SUPPLY OF MEDICINE &amp; MEDICAL SUPPLIES FOR WALK IN CLIENT 1.	The Local Government Unit of Arakan, through the GENERAL  FUND  intends to apply the </t>
  </si>
  <si>
    <t xml:space="preserve"> 1. The  Municipality  of   Laua-an,  Antique   intends  to  apply  the  sum   of One Hundred Fifty Nine Thousand Nine Hundred Ninety Nine Pesos Only (Php159,999.00) being the Approved  Budget  for the  Contract  (ABC) to payments under the contract Purcha</t>
  </si>
  <si>
    <t xml:space="preserve"> SOIL BEARING CAPACITY TEST 2 BOREHOLES</t>
  </si>
  <si>
    <t xml:space="preserve"> PLEASE SEE ATTACHMENT FOR DETAILS</t>
  </si>
  <si>
    <t xml:space="preserve"> 3	unit		Mower			heavy duty, original				 100	pcs		Faucet							 10	gal		Red Tile Paint							 50	pcs		Dustpan							 1	box		C.W. Nails			2"				 10	rolls		Garden Hose							 40	pcs		Incarta			formica				 10	gal		White Enamel							 10	gal		White Latex					</t>
  </si>
  <si>
    <t xml:space="preserve"> Republic of the Philippines CITY OF BAIS BIDS AND AWARDS COMMITTEE INVITATION TO APPLY FOR ELIGIBILITY AND TO BID 	The City Government of Bais invites interested bidders to apply for eligibility and to bid for prevention and control of Deadly Dengue Carie</t>
  </si>
  <si>
    <t xml:space="preserve"> 1.The Local Government Unit of the Municipality of Magsaysay, through the 2020 Annual Budget approved by the Sanggunian intends to apply the sum of One Million Pesos (P 1,000,000.00) being the Approved Budget for the Contract (ABC) to payment under the  C</t>
  </si>
  <si>
    <t xml:space="preserve"> R/M Building</t>
  </si>
  <si>
    <t xml:space="preserve"> INVITATION TO BID IB No. GS-2020 – 071 Sporting Goods for distribution to Outstanding pupils and students in public and private schools in Oriental Mindoro 1. The  Provincial  Government  of  Oriental  Mindoro  (PGOM)  through  the  General Fund intends  </t>
  </si>
  <si>
    <t xml:space="preserve"> ITEM NO.	ITEM &amp; DESCRIPTION	 BRAND	UOM	QTY. 1	Bamboo		Pcs	250 2	Drum plastic (Blue)		Pcs	16 3	Nylon (# 200)		Kgs	10 4	Nylon (# 150)		Kgs	5 5	Nylon (# 50)		Rolls	2 6	Nipa		Pcs	500 7	Pisi (evelon # 25)		Rolls	2 8	Pisi (evelon # 8)		Rolls	10 9	Binders		Rolls</t>
  </si>
  <si>
    <t xml:space="preserve"> Republic of the Philippines PROVINCE OF SOUTHERN LEYTE Maasin City Invitation to Bid for the Procurement of Various Housekeeping Supplies  Contract ID # 2020-07-07-360PG 1.	The Provincial Government of Southern Leyte through the Admin– Other Supplies Expe</t>
  </si>
  <si>
    <t xml:space="preserve"> See attached file.....</t>
  </si>
  <si>
    <t xml:space="preserve"> Catering Services of; STOCK NO.	UNIT	ITEM DESCRIPTION				QTY 		Meals and Snacks				 1	pax	Snacks a.m				89 2	pax	Lunch				89 3	pax	Tarpaulin				2 		x-x-x-x-x-x-x-x-x				 Purpose / Remarks:		For use during the the Tree Planting Activities for NIA-KIMO.</t>
  </si>
  <si>
    <t xml:space="preserve"> Const. of Multi-purpose Hall at Brgy. Sta. Cruz  Contract ID No. MPP-2020-02  			 1.     	The Municipal Government of Veruela, by virtue of the AIP 2020 with the passage of SB Resolution No. 2019-151 is allocating funds for the “Const. of Multi-purpose Ha</t>
  </si>
  <si>
    <t xml:space="preserve"> Procurement is for Barangay Limama-an, Tambulig, ZDS</t>
  </si>
  <si>
    <t xml:space="preserve"> The Naga City School of Arts and Trades through the 2018 General Appropriation Act (GAA) intends to apply the sum of Eighty Two Thousand Six Hundred Sixteen pesos  and 10/100only (82,616.10) being the approved budget for the contract (ABC) to payments und</t>
  </si>
  <si>
    <t xml:space="preserve"> INVITATION TO BID IB No. GS-2020 – 072 Vehicle for use of Bulalacao Community Hospital (BCH) 1. The  Provincial  Government  of  Oriental  Mindoro  (PGOM)  through  the  General Fund intends  to  apply  the  sum  of  Two Million Five Hundred Thousand Peso</t>
  </si>
  <si>
    <t xml:space="preserve"> PURPOSE: FOR DES USE. NEW PURCHASE REQUEST. (3 OF 3) FOR THE MONTH OF MAY 2020 TO AUGUST 2020. Fax your Price Quotation at Tel. Fax#: 426-30-45 / 927-64-26 local 2561 or Email at bacveterans@gmail.com. Please indicate the brand name and complete specifica</t>
  </si>
  <si>
    <t xml:space="preserve"> 1.     Provision of Design Services  : Architectural Plan, Civil/Structural Plan, Electrical Plan, Sanitary/Plumbing Plan, Mechanical Plan, Electronic Plan (Duly Signed and sealed by the Registered Professional) 2. Design and Seismic Analysis 3. Preparati</t>
  </si>
  <si>
    <t xml:space="preserve"> 1.     	The Municipal Government of Veruela, by virtue of the AIP 2020 with the passage of SB Resolution No. 2019-151 is allocating  funds for the “Const. of Multi-purpose Hall at Brgy. Sisimon” amounting to PhP 4,500,000.00 (Four Million Five Hundred Tho</t>
  </si>
  <si>
    <t xml:space="preserve"> A=14m x 18m</t>
  </si>
  <si>
    <t xml:space="preserve"> Disinfectant - Sanitizer and Deodorizer, 20 liters</t>
  </si>
  <si>
    <t xml:space="preserve"> 30 pax Heavy Snacks</t>
  </si>
  <si>
    <t xml:space="preserve"> Republic of the Philippines CITY OF BAIS BIDS AND AWARDS COMMITTEE INVITATION TO APPLY FOR ELIGIBILITY AND TO BID 	The City Government of Bais invites interested bidders to apply for eligibility and to bid for essential care services of Philhealth Members</t>
  </si>
  <si>
    <t xml:space="preserve"> 2 units 3in1 Color Printer 1 unit Laptop (Interl Core i7 Processor, 4 GB DDR4 Memory, 1TB Hard Drive, 15.6" LED Display, DVD Writer, Windows MS 10, MS Office &amp; with extra External HDD)</t>
  </si>
  <si>
    <t xml:space="preserve"> Republic of the Philippines Bangsamoro Autonomous Region in Muslim Mindanao Provincial Government of Maguindanao BIDS AND AWARDS COMMITTEE REQUEST FOR QUOTATION The PROVINCIAL GOVERNMENT OF MAGUINDANAO – Office of the Provincial Governor invites all inter</t>
  </si>
  <si>
    <t xml:space="preserve"> Further information are provided in the Request For Quotation (RFQ).</t>
  </si>
  <si>
    <t xml:space="preserve"> Republic of the Philippines CITY OF BAIS BIDS AND AWARDS COMMITTEE INVITATION TO APPLY FOR ELIGIBILITY AND TO RE-BID 	The City Government of Bais invites interested bidders to apply for eligibility and to bid for use of the City Planning Development Offic</t>
  </si>
  <si>
    <t xml:space="preserve"> Item Qty. 	Unit	Item Description		 no. 						 1	50	piece	BROOM, soft (tambo)			 2	50	piece	BROOM, STICK (TING-TING), usable length: 760mm min			 3	50	bottle	CLEANER,TOILET BOWL AND URINAL, 900ml-1000ml cap			 4	50	can 	CLEANSER, SCOURING POWDER, 350g min.</t>
  </si>
  <si>
    <t xml:space="preserve"> Republic of the Philippines PROVINCE OF SOUTHERN LEYTE Maasin City Invitation to Bid for the Procurement of Various Machinery and Equipment  Contract ID # 2020-07-07-362PG 1.	The Provincial Government of Southern Leyte through the PESO– Other Machinery an</t>
  </si>
  <si>
    <t xml:space="preserve"> 1. Please see attached Request for Quotation Form for details 2. Please read the General Instructions to Bidders at the attached RFQ Form</t>
  </si>
  <si>
    <t xml:space="preserve"> B.9	Mobilization/Demobiliazation	lot	all	10,569.30 105(1)	Subgrade Preparation (Common Material)	336	sq.m.	6,216.00 201	Aggregate Base Coarse (100mm thk.)	34	cu.m.	48,273.20 311(1)a	PCC Pavement Plain-Conventional Method, 200mm thk	336	sq.m.	433,440.00 SP</t>
  </si>
  <si>
    <t xml:space="preserve"> 1.The Local Government Unit of the Municipality of Magsaysay, through funding from the Conditional Augmentation Fund for Municipal Initiated Projects (CAFMIP)  intends to apply the sum of Three Million Pesos Only (3,000,000.00) being the Approved Budget f</t>
  </si>
  <si>
    <t xml:space="preserve"> Republic of the Philippines Province of Leyte Municipality of Tunga REQUEST FOR QUOTATION FORM (RFQ) ______________ Date PROCUREMENT TERMS &amp; CONDITIONS 1.	The Total Approved Budget for the Contract (ABC) is One Hundred Thousand Pesos (P100,000.00) Only.  </t>
  </si>
  <si>
    <t xml:space="preserve"> Item No.  Description   Qty.   Unit 1 Laptop (with Licensed OS)                      3    units Specs : Windows 10 Inter Core i7-9750H Processor (12M Cache 4.5Ghz) NVIDEA GeForce RTX 2060 w/ 6GB GDDR6 16GB DDR4 2666 MHz RAM PCIE NVME 512GB M2 SSD+ 1TB 2.5</t>
  </si>
  <si>
    <t xml:space="preserve"> 1	ls	Assorted Biscuits, Juice &amp; Coffee 1	unit 	Two Burner Gas Stove 1560	pax	Meals (Breakfast,Lunch,Dinner) 		(for command center )for  May 16-31,2020 875	pax	Meals (Breakfast,Lunch,Dinner) 		(for opcen &amp; isolation facilities )for June 1-7,2020 100	bots	M</t>
  </si>
  <si>
    <t xml:space="preserve"> The following eligibility and technical documents as well as the Financial Proposal Form shall be submitted on or before June 23, 2020, 9:00 AM at the Barangay Hall of Lemu Norte, Enrile, Cagayan. Checklist on Technical documents including eligibility req</t>
  </si>
  <si>
    <t xml:space="preserve"> Installation of Deepwell</t>
  </si>
  <si>
    <t xml:space="preserve"> see  attached RFQ and Schedule of requirements</t>
  </si>
  <si>
    <t xml:space="preserve"> Please see attached RFQ</t>
  </si>
  <si>
    <t xml:space="preserve"> PURCHASE REQUEST							 Municipality of Pangil							 Pangil, Laguna							 Department: 	Office of the Engineering			PR No.___________		Date:	 Section:				SAI No.___________		Date:____________	 				ALOBS No._______		Date:____________	 Item no.	Qty	Unit	It</t>
  </si>
  <si>
    <t xml:space="preserve"> RESOLUTION RECOMMENDING THE USE OF ALTERNATIVE METHOD OF PROCUREMENT FOR  THE ACQUISITION OF GOODS AND SERVICES WHEREAS, various departments/offices submitted Purchase Requests with the following details: PR No.	Project Title	ABC	Department/ Office GF-20-</t>
  </si>
  <si>
    <t xml:space="preserve"> 1 storey building - 88m</t>
  </si>
  <si>
    <t xml:space="preserve"> Supply and Delivery of Supplies for the HRM Laboratory of SDSSU Tagbina Campus Please see attached  Request for Quotation (RFQ)</t>
  </si>
  <si>
    <t xml:space="preserve"> RFQ (20-06-039) Various IT Supplies</t>
  </si>
  <si>
    <t xml:space="preserve"> Republic of the Philippines Province of Batangas Municipality of San Juan BIDS AND AWARDS COMMITTEE INVITATION TO APPLY FOR ELIGIBILITY AND TO BID THE LOCAL GOVERNMENT UNIT OF BRGY. POCTOL,  SAN JUAN, BATANGAS, through its Bids and Awards Committee (BAC),</t>
  </si>
  <si>
    <t xml:space="preserve"> 1 	 6 	 set 	 Computer Set with Accessories 	 			  Intel Core i5 Processor 	 			 8 GB (2 x 4GB) DDR3 memory 	 			 Integrated Display 	 			 1TB SATA HDD 	 			 DVD-RW Drive 	 			 18.5" LED Monitor 	 			 ATX Tower Casing w/ Power Supply 	 			 Keyboard, Optic</t>
  </si>
  <si>
    <t xml:space="preserve"> Republic of the Philippines CITY OF BAIS BIDS AND AWARDS COMMITTEE INVITATION TO APPLY FOR ELIGIBILITY AND TO RE-BID 	The City Government of Bais invites interested bidders to apply for eligibility and to bid to be used for Incident Command System (ICS) o</t>
  </si>
  <si>
    <t xml:space="preserve"> 100 PCS TILES 60X60 80 PCS TILES 30X30 (FOR CR) 750 PCS HOLLOW BLOCKS #4 100 PCS CEMENT 20 PCS DEFORMED BAR 10MM 1 KLS TILE GROUT 1 KLS G.I. WIRE #16 1 SET PLAST DOOR WITH HAMBA (90CM) 50 L GOOD LUMBER 2X2X8 50 L GOOD LUMBER 1X2X8 10 KG CONCRETE NAIL #3 5</t>
  </si>
  <si>
    <t xml:space="preserve"> NO.	Item	QTY.	UNIT		 1	Diesel	1	Drum 2	Gasoline	1	Drum 3	VS1	2	Pcs.  4	WD40	2	Pcs.  5	Top 1 Engine Oil	6	Pcs.  6	2T Oil	6	Pcs.  	Note: Delivery to the Project Site</t>
  </si>
  <si>
    <t xml:space="preserve"> SEE ATTACHED BID DOCS</t>
  </si>
  <si>
    <t xml:space="preserve"> Rehabilitation/Improvement of Post-Harvest Facility (Warehouse-tiles and painting works &amp; Solar Dryer-plastering of surface.)</t>
  </si>
  <si>
    <t xml:space="preserve"> Purpose: To be used in the Advocacy Campaign on Back to Basics: Scientific and Sustainable Livestock and Poultry Production with Post-training support at Pagadian City   We are looking for a supplier that can provide the herein stated articles. Please quo</t>
  </si>
  <si>
    <t xml:space="preserve"> PURPOSE: FOR DES USE. NEW PURCHASE REQUEST.  (1 OF 3) FOR THE MONTH OF MAY 2020 TO AUGUST 2020. Fax your Price Quotation at Tel. Fax#: 426-30-45 / 927-64-26 local 2561 or Email at bacveterans@gmail.com. Please indicate the brand name and complete specific</t>
  </si>
  <si>
    <t xml:space="preserve"> PLEASE REFER TO REQUEST FOR QUOTATION.</t>
  </si>
  <si>
    <t xml:space="preserve"> Republic of the Philippines					 PROVINCE OF SOUTHERN LEYTE					 Maasin City					 	Standard Form No.: SF-GOOD-60			 Project Reference No. 108	 	Revised on:  May 24, 2004			 Name of the Project:  _______	 	Standard Form Title:                              </t>
  </si>
  <si>
    <t xml:space="preserve"> Republic of the Philippines DEPARTMENT OF PUBLIC WORKS AND HIGHWAYS ISABELA 1ST DISTRICT ENGINEERING OFFICE REGIONAL OFFICE II City of Ilagan, Isabela INVITATION TO BID The DPWH-lsabela lst District Engineering Office, City of Ilagan, lsabela, through the</t>
  </si>
  <si>
    <t xml:space="preserve"> 1 unit Power Saw (Large) "36" 1 unit Power Saw (Medium) "25"</t>
  </si>
  <si>
    <t xml:space="preserve"> CONSTRUCTION OF SIKLING FOOTBRIDGE BARANGAY LATANG</t>
  </si>
  <si>
    <t xml:space="preserve"> See attach RFQ.</t>
  </si>
  <si>
    <t xml:space="preserve"> 1	LOT	Speech Laboratory Equipment (25 seats)		 		"Product: Digital Speech/Language Laboratory Equipment (25 seats) Model: SL50NB Specifications:  1 unit control panel (switches for Phone and Microphones, REQ Technologies Broadcast Thrower, Speech Processo</t>
  </si>
  <si>
    <t xml:space="preserve"> Lenovo Ideapad S145-151KB (81VD008LPH+1TB Internal)15.6" Intel Core 3i-7020U 2.3GHz 4GB RAM 512GB SSD+ 1TB 2.5"</t>
  </si>
  <si>
    <t xml:space="preserve"> CARLOS HILADO MEMORIAL STATE COLLEGE 		BIDS AND AWARDS COMMITTEE Talisay City, Negros Occidental Telefax Nos. (034) 712-8404 INVITATION TO BID  FOR THE PROCUREMENT OF VARIOUS EQUIPMENT AND FURNITURE AND FIXTURES FOR INSTRUCTIONAL USE OF BSHM – TALISAY CAM</t>
  </si>
  <si>
    <t xml:space="preserve"> B.9	Mobilization/Demobiliazation	lot	all	13,211.60 103(1)a	Structure Excavation (Common Soil)	9.30	cu.m.	2,966.70 105(1)	Subgrade Preparation (Common Material)	260	sq.m.	4,563.00 201	Aggregate Base Coarse (100mm thk.)	26	cu.m.	48,360.00 311(1)a	PCC Paveme</t>
  </si>
  <si>
    <t xml:space="preserve"> Republic of the Philippines					 PROVINCE OF SOUTHERN LEYTE					 Maasin City					 	Standard Form No.: SF-GOOD-60			 Project Reference No. 110	 	Revised on:  May 24, 2004			 Name of the Project:  _______	 	Standard Form Title:                              </t>
  </si>
  <si>
    <t xml:space="preserve"> 525	pcs	BALLPEN, BLACK				17	8,662.50 348	piece	BALLPEN, BLUE				16.5	5,742.00 46	pcs	BALLPEN, Needle Point 0.5 mm (Black)				97.1	4,466.60 40	pcs	BALLPEN, Needle Point 0.5 mm (Blue)				97.5	3,900.00 20	piece	BALLPEN, pilot Hi-Techpoint V10 Grip (Black)		</t>
  </si>
  <si>
    <t xml:space="preserve"> Republic of the Philippines                       EASTERN VISAYAS STATE UNIVERSITY                                                                              Tacloban City                     										 BIDS AND AWARDS COMMITTEE INVITATION TO BID  SUPPL</t>
  </si>
  <si>
    <t xml:space="preserve"> PCC at CMU intend to apply an amount of 672,000 being the approved budget for the contract (ABC) under Skimmed Milk Powder for milk drinks with the following specifications:  96 bags Skimmed milk @ 25kg/bag MC= 3.6% - 3.9% Fat = 0.7% - 0.91% protein = 32%</t>
  </si>
  <si>
    <t xml:space="preserve"> Date:				Project Reference Number ______________	 Quotation No.  ________				Name of Project:	 				Location  of the Project _____________	 	                                                                                                                   </t>
  </si>
  <si>
    <t xml:space="preserve"> Republic of the Philippines City of Dapitan BIDS AND AWARDS COMMITTEE INVITATION TO BID June 15, 2020 	 The City Government of Dapitan, through its Bids and Awards Committee (BAC), invites interested parties to apply for eligibility and, if found eligible</t>
  </si>
  <si>
    <t xml:space="preserve"> 12,150 Pieces Vitamin C, 500g, Non-Acidic</t>
  </si>
  <si>
    <t xml:space="preserve"> cleaning and dismantling installation of floor tiles installation of sink installation of laboratory tables installation of cabinet shelves provision of water line provision of sanitary line innovation of electrical connections additional convenience outl</t>
  </si>
  <si>
    <t xml:space="preserve"> 11 units</t>
  </si>
  <si>
    <t xml:space="preserve"> PURPOSE: FOR DES USE. NEW PURCHASE REQUEST. FOR THE MONTH OF APRIL 2020 TO JUNE 2020 Fax your Price Quotation at Tel. Fax#: 426-30-45 / 927-64-26 local 2561 or Email at bacveterans@gmail.com. Please indicate the brand name and complete specifications.</t>
  </si>
  <si>
    <t xml:space="preserve"> Republic of the Philippines DEPARTMENT OF PUBLIC WORKS AND HIGHWAYS OFFICE OF THE DISTRICT ENGINEER Aklan District Engineering Office Toting Reyes St., Kalibo, Aklan Re-Invitation The Department of Public Works and Highways (DPWH), Aklan District Engineer</t>
  </si>
  <si>
    <t xml:space="preserve"> 240 boxes Continuous form, 2 ply, 280 x 241mm, 11 x 9 1/2 1000 sheets per box</t>
  </si>
  <si>
    <t xml:space="preserve"> Republic of the Philippines					 PROVINCE OF SOUTHERN LEYTE					 Maasin City					 	Standard Form No.: SF-GOOD-60			 Project Reference No. 	 	Revised on:  May 24, 2004			 Name of the Project:  _______	 	Standard Form Title:                                 </t>
  </si>
  <si>
    <t xml:space="preserve"> PURPOSE: FOR DES USE. NEW PURCHASE REQUEST. WITH SUPLEMENTAL APP 2020. FOR THE MONTH OF MAY 2020 TO AUGUST 2020 Fax your Price Quotation at Tel. Fax#: 426-30-45 / 927-64-26 local 2561 or Email at bacveterans@gmail.com. Please indicate the brand name and c</t>
  </si>
  <si>
    <t xml:space="preserve"> 30 boxes N95 Face mask 60 boxes Face mask 30 boxes Nitrile gloves (large) 30 boxes Gauze pad 10 packs Trauma dressing 10 packs Cotton balls 2 boxes Micropore tape 1 inch 1 box Povidone Iodine 120ml 1 box Blood glucose strips 1 box Glucometer strips 10 bot</t>
  </si>
  <si>
    <t xml:space="preserve"> Republic of the Philippines					 PROVINCE OF SOUTHERN LEYTE					 Maasin City					 	Standard Form No.: SF-GOOD-60			 Project Reference No. 109	 	Revised on:  May 24, 2004			 Name of the Project:  _______	 	Standard Form Title:                              </t>
  </si>
  <si>
    <t xml:space="preserve"> 1. 18 tube Chlorine (45Kg) 2. 1 pc. Telescopic Handle (24 ft.) 3. 1 roll Vacuum Hose (50 ft) 4. 1 pc. Vacuum Head 5. 1 pc. Nylon Brush (18 inches w/ handle) 6. 20 gal. Muriatic Acid 7. 7 kg. Chlorine Tablet</t>
  </si>
  <si>
    <t xml:space="preserve"> Republic of the Philippines					 PROVINCE OF SOUTHERN LEYTE					 Maasin City					 	Standard Form No.: SF-GOOD-60			 Project Reference No. 113	 	Revised on:  May 24, 2004			 Name of the Project:  _______	 	Standard Form Title:                              </t>
  </si>
  <si>
    <t xml:space="preserve"> Republic of the Philippines  BIDS AND AWARDS COMMITTEE FOR THE PROCUREMENT OF GOODS City of Puerto Princesa Barangay Sta. Monica INVITATION TO BID (Procurement of Goods) PR No. 2020-06-023 Date: June 11, 2020 Procuring/Funding Office/Department: Barangay </t>
  </si>
  <si>
    <t xml:space="preserve"> PLEASE SEE ATTACHMENT</t>
  </si>
  <si>
    <t xml:space="preserve"> Procurement of Cellular Load</t>
  </si>
  <si>
    <t xml:space="preserve"> Republic of the Philippines					 PROVINCE OF SOUTHERN LEYTE					 Maasin City					 	Standard Form No.: SF-GOOD-60			 Project Reference No. 112	 	Revised on:  May 24, 2004			 Name of the Project:  _______	 	Standard Form Title:                              </t>
  </si>
  <si>
    <t xml:space="preserve"> The Municipality of Bay, through the GOP – 20% Economic Development Fund (EDF) intends to apply the sum of Two Hundred Thousand Pesos Only (PHP 200,000.00) being the Approved Budget for the Contract (ABC) to payments under the contract for the Delivery of</t>
  </si>
  <si>
    <t xml:space="preserve"> 4.20m x 3.70m</t>
  </si>
  <si>
    <t xml:space="preserve"> 4,000 pcs printed ID 4,000 pcs ID Lace 4,000 pcs Id holder</t>
  </si>
  <si>
    <t xml:space="preserve"> Republic of the Philippines					 PROVINCE OF SOUTHERN LEYTE					 Maasin City					 	Standard Form No.: SF-GOOD-60			 Project Reference No. 111	 	Revised on:  May 24, 2004			 Name of the Project:  _______	 	Standard Form Title:                              </t>
  </si>
  <si>
    <t xml:space="preserve"> 4	unit		Tires			700x15 for SDD-161					                4	unit		Tires			195x14 for SHA-195					                4	unit		Tires			235x70x15 for SHJ-232					                4	unit		Tires			195x15 for A4K-734					                4	unit		Tires			195x15 for A4H-8</t>
  </si>
  <si>
    <t xml:space="preserve"> Procurement of materials for Proj Batang SES- Mahalin, Ingatan, Iligtas sa COVID 70% alcohol -500ml bottle                                                            9,600.00 Liquid hand soap 450ml                                                          </t>
  </si>
  <si>
    <t xml:space="preserve"> OFFICE SUPPLIES MOOE 2020 2ND QUARTER- 82,943</t>
  </si>
  <si>
    <t xml:space="preserve"> Republic of the Philippines							 Province of Iloilo							 MUNICIPALITY OF BINGAWAN							 							 							 REQUEST FOR QUOTATION							 							 Company Name: ______________________						Date: ___________________________	 Address: _______________________</t>
  </si>
  <si>
    <t xml:space="preserve"> Republic of the Philippines DEPARTMENT OF PUBLIC WORKS AND HIGHWAYS CAGAYAN 2ND DISTRICT ENGINEERING OFFICE Regional Office II Abulug, Cagayan June 15, 2020 INVITATION TO BID  The Cagayan 2nd District Engineering Office, Abulug, Cagayan, through its Bids </t>
  </si>
  <si>
    <t xml:space="preserve"> 12 sets HOSPITAL BED MANUAL (3 CRANKS) complete accessories with Bedside Table</t>
  </si>
  <si>
    <t xml:space="preserve"> 2	unit		Battery			9 plates for SDD161				 1	unit		Battery			11 plates for SHA-195				 1	unit		Battery			11 plates for SHJ-232				 1	unit		Battery			11 plates for A4K-734				 1	unit		Battery			11 plates for A4H-865				 1	unit		Battery			11 plates for A4H-8</t>
  </si>
  <si>
    <t xml:space="preserve"> MEDIA CONVERTER, CAMERA, FIBER OPTIC CABLE</t>
  </si>
  <si>
    <t xml:space="preserve"> Please quote your lowest price on item/s listed in the line item and submit your quotation duly signed by your authorized representative through email at bac.secretariat@pnu.edu.ph not later than June 22, 2020 @ 4PM. Note: 1. Delivery period within fiftee</t>
  </si>
  <si>
    <t xml:space="preserve"> INVITATION TO BID SUPPLY AND DELIVERY OF 1,709 SETS GROCERY PACKS FOR PA-BIRTHDAY NI LOLO UG LOLA  1.	The Local Government Unit of Cabadbaran City through the GENERAL FUND intends to apply the sum of EIGHT HUNDRED ELEVEN THOUSAND SEVEN HUNDRED SEVENTY-FIV</t>
  </si>
  <si>
    <t xml:space="preserve"> Provision of Repar and Maintenance of PENRO-Quezon Office Building for CY-2020 to include the following  listed below:     1 set     ROLL UP DOOR (GROUND FLOOR)                 SIZE: 480 X 280 (MOTORIZED)     1 set     HEAVY DUTY SWING DOOR TO 2nd FLOOR  </t>
  </si>
  <si>
    <t xml:space="preserve"> INVITATION TO BID SUPPLY AND DELIVERY OF FUEL (DIESEL &amp; GASOLINE) FOR THE CITY ENGINEER’S OFFICE  1.	The Local Government Unit of Cabadbaran City through the GENERAL FUND intends to apply the sum of THREE HUNDRED SEVENTY-FIVE THOUSAND NINE HUNDRED PESOS O</t>
  </si>
  <si>
    <t xml:space="preserve"> NOTICE OF NEGOTIATED PROCUREMENT (Small Value Procurement) PNOC Exploration Corporation (PNOC EC), through its 2020 Corporate Budget, has an Approved Budget for the Contract (ABC) of  Sixty Four Thousand Pesos (Php64,000.00), inclusive of all applicable t</t>
  </si>
  <si>
    <t xml:space="preserve"> STREETLIGHT SUPPLIES AND MATERIALS</t>
  </si>
  <si>
    <t xml:space="preserve"> SUPPLIES AND MATERIALS FOR IMPROVEMENT ROAD,SIDEWALK/PATHWAY &amp; REPLACEMENT MANHOLE COVER</t>
  </si>
  <si>
    <t xml:space="preserve"> Republic of the Philippines                                                           BIDS AND AWARDS COMMITTEE                                                                      Brgy. #5 DAVILA                                                           </t>
  </si>
  <si>
    <t xml:space="preserve"> 1	set		Laptop			with Accessories (14inch HD/FHD display powered by up to core i7 processor, has 2 memory slots, which are expandable up to 32GB and coupled with up to 1TB HDD/512GB SSD Storage)				 1	pc		External Hard Drive			1TB 2.5"HDD, USB 3.0 1 unit		</t>
  </si>
  <si>
    <t xml:space="preserve"> INVITATION TO APPLY FOR ELIGIBILITY AND BID								 								 The  Municipality  of  Maasin,  Iloilo,  through  its  Bids  and  Awards  Committee (BAC),  invites  suppliers/								 distributors/ contractors to apply for eligibility and to bid for the here</t>
  </si>
  <si>
    <t xml:space="preserve"> Unit 	Item Description	QTY 		  kls 	TIE WIRE	1  bdft 	LUMBER 2X2X10	15  pcs 	plywood	2  bags 	Cement	20  pcs 	hollow blocks	200  pcs 	Tapelon	3  lenth 	Round Bar 10mm	12  pcs 	Tiles	40  pcs 	Faucet	8  length 	Blue pipe	8  pcs 	Elbow	10  load 	sand &amp; grave</t>
  </si>
  <si>
    <t xml:space="preserve"> 80	packs	Garbage bag(small)		 58	packs	Garbage bag(medium)		 100	packs	Garbage bag(large)		 10	pcs	Doormat		 100	bottles	Toilet Bowl Cleaner		 100	boxes	Bath Soap Green/Blue		 12	packs	Detergent Soap Powder(big)		 100	cans	Insect killer		 15	pcs	Tornado M</t>
  </si>
  <si>
    <t xml:space="preserve"> 20HN0083 (Re-advertisement) -LP: Construction/Repair/ Rehabilitation/Improvement of  Various Infrastructure including Local Projects - Local Roads  and Bridges - Local Roads - Construction of Local Road,.Brgy.Sto. Nino Lamac, Consolacion, Cebu (Modified t</t>
  </si>
  <si>
    <t xml:space="preserve"> 20ID0074	Concreting of Sitio Diyo to Sitio Kapitugan Brgy. Libo FMR,Brgy. Libo,Carigara,Leyte  	Concrete Paving for 1.400 Ln. Km.	11,879,669.71	FMR FY 2020	86 CD	25,000.00 To be eligible to bid for this Contract, a contractor must meet the following major</t>
  </si>
  <si>
    <t xml:space="preserve"> June 15, 2020 INVITATION TO BID FOR CONCRETING OF FARM-TO-MARKET ROAD AT SITIO PULO, BRGY. KABULUSAN, MAGALLANES, CAVITE The Municipality of Magallanes, Cavite, through the Budget for the Contract approved by the DILG through Performance Challenge Fund (P</t>
  </si>
  <si>
    <t xml:space="preserve"> The Municipality of Limay, through its Bids and Awards Committee (BAC) invites registered contractors to apply for eligibility and if found eligible, to bid for the hereunder project/contract: Project/Contract:     CONSTRUCTION OF CONCRETE PEDESTAL FOR SO</t>
  </si>
  <si>
    <t xml:space="preserve"> Republic of the Philippines DEPARTMENT OF PUBLIC WORKS AND HIGHWAYS ILOILO 1st  DISTRICT ENGINEERING OFFICE Fort San Pedro Road, Iloilo City INVITATION TO BID FOR: 20GGF0016 – Procurement  of Global Navigation Satellite System (GNSS) Equipment (1 base, 2 </t>
  </si>
  <si>
    <t xml:space="preserve"> SOLID WASTE</t>
  </si>
  <si>
    <t xml:space="preserve"> 1 - 7 units Heavy Duty Printer/Scanner                 Specifications:                 Wi-Fi Direct, ADF and FAX Ready,                  All-in-One Ink Tank Printer, Multi-function printer with integrated ink tanks for fast, cost-effective and            </t>
  </si>
  <si>
    <t xml:space="preserve"> Unit 	Item Description	QTY 		 load	Gravel and Sand	3 sack	Cement	21 pc	Corrugated bar (8mm)	25 gal	Latex Paint (White)	15 gal	Enamel Paint (White)	15 can	Tinting Colors	70 pc	Paint Brush  # 4	5 kl.	Tie Wire	2  load 	  Sand &amp; Gravel	2  pax 	Labor Package	1</t>
  </si>
  <si>
    <t xml:space="preserve"> 130 pages per minute print speed, 300 x 360 dpi print resolution, rubber feed rollers, with one (1) ink cartridge, one (1) master roll and pedestal/table with exclusive distributor  certificate</t>
  </si>
  <si>
    <t xml:space="preserve"> Request for Quotation                                                                          Date   :   O6- 15-2020_                                                                          Quotation No. :2020-006-001_ 									 Mode of Proc.:	shopping_</t>
  </si>
  <si>
    <t xml:space="preserve"> 20ID0075	Repair/ Rehabilitation of Damaged Concrete Pavement along Dulag-Julita-Burauen Road, K0946+000-K0947+500 with exceptions 	Concrete Reblocking  For 0.135 Km.	1,411,491.00	Routine Maintenance CY 2020	60 CD	5,000.00 To be eligible to bid for this Co</t>
  </si>
  <si>
    <t xml:space="preserve"> Republic of the Philippines DEPARTMENT OF PUBLIC WORKS AND HIGHWAYS ILOILO 1st  DISTRICT ENGINEERING OFFICE Fort San Pedro Road, Iloilo City INVITATION TO BID FOR: 20GGF0015 – Procurement  of Spare parts for use in printer INEO+227 of Administrative Secti</t>
  </si>
  <si>
    <t xml:space="preserve"> RFQ-2020-169		 			 1.	50	units	DUAL-BAND WIFI Gigabit Router 			Broadcom 1.4GHz Dual-Core CPU, 5 Gigabit Ports, 			2167Mbps at 5GHZ + 1000Mbps at 2.4GHZ, 5 Gigabit Ports, 1 USB 3.0 			1 USB 2.0, 4 antennas, HomeCare, MU MIMO, Smart Connect, Beamforming, 	</t>
  </si>
  <si>
    <t xml:space="preserve"> Location: PSU Goa campus Bidding Fee: P 3,000.00 (Non-refundable) Schedule of activities: 1. Issuance and availability of Bid Documents: June 16, 2020 until 12:00 noon of July 7, 2020  (except week-ends &amp; Holidays at the BAC Secretariat Office, PSU-Goa ca</t>
  </si>
  <si>
    <t xml:space="preserve"> INVITATION TO BID INSTALLATION OF STREET LIGHTS IN PUROK 1 AND 3, BARANGAY MAHABA 1.	The Local Government Unit of Cabadbaran City through the PEACE &amp; ORDER FUND (EO 70 ELCAC IMPLEMENTATION) intends to apply the sum of NINE HUNDRED EIGTHY-EIGTH THOUSAND FO</t>
  </si>
  <si>
    <t xml:space="preserve"> Republic of the Philippines Province of Misamis Occidental Municipality of Plaridel INVITATION TO APPLY FOR ELIGIBILITY AND TO BID 	The Local Government Unit, LGU-Plaridel, Misamis Occidental, through its Bids and Awards Committee (BAC), invites suppliers</t>
  </si>
  <si>
    <t xml:space="preserve"> Republic of the Philippines Province of Agusan del Norte Municipality of Magallanes BIDS AND AWARDS COMMITTEE INVITATION TO BID The Municipality of Magallanes through its Bids and Awards Committee (BAC), invites potential and interested bidders to apply f</t>
  </si>
  <si>
    <t xml:space="preserve"> 1	set		Thermal Camera	Specs and Package				 						                                                 Image Sensor: Uncooled Vox Focal Plane Detector				 						Resolution: 300(H) x 400(V)				 						Optical Resolution: 1920(H) x 1080 (V), 2MP				 						Pixel </t>
  </si>
  <si>
    <t xml:space="preserve"> The Municipality of Limay, through its Bids and Awards Committee (BAC) invites registered contractors to apply for eligibility and if found eligible, to bid for the hereunder project/contract: Project/Contract:     REPAIR WORKS AT SAINT FRANCIS NATIONAL H</t>
  </si>
  <si>
    <t xml:space="preserve"> Republic of the Philippines BIDS AND AWARDS COMMITTEE Brgy. #5 DAVILA Pasuquin, Ilocos Norte REQUEST FOR QUOTATION ________________________                                                           DATE: _________________                     Name of Suppl</t>
  </si>
  <si>
    <t xml:space="preserve"> R/M FOR OFFICE BUILDING SUPPLIES AND MATERIALS</t>
  </si>
  <si>
    <t xml:space="preserve"> PURCHASE OF OFFICE SUPPLIES</t>
  </si>
  <si>
    <t xml:space="preserve"> EPSON PRINTER L120 EPSON L120 INK, BLACK EPSON L120 INK, MAGENTA EPSON L120 INK, CYAN EPSON L120 INK, YELLOW</t>
  </si>
  <si>
    <t xml:space="preserve"> The works consist of (a.) Occupational and Health Program, (b.) Surplus Common Excavation, (c.) Structural Excavation (d) Embankment from Roadway Excavation, (e.) Sub-grade Preparation (f.) Aggregate Sub-Base Course, (g.) Portland cements Concrete Pavemen</t>
  </si>
  <si>
    <t xml:space="preserve"> ITEM NO.	QTY.	UNIT	ITEMS &amp; DESCRIPTION	 				 1	1	unit	Aircondition Split Type Inverter 2.5HP	 			KV-24Wm-Arf 21B 2.5HP	 			Inverter Split Type aircon	 				 2	1	l.s	Installation</t>
  </si>
  <si>
    <t xml:space="preserve"> Unit 	Item Description	Quantity 		  pcs 	Culvert	4  length 	Stainless Pipe #2	2  Unit  	Electrical Motor	1  pcs 	Fabricated Aluminum Letters A4 size	25  pcs 	Tiles 12x12	24  bdft 	Lumber 2x2 8	80  bundle 	Lumber Stick	5  pcs 	Plywood ordinary	6  kls 	Comm</t>
  </si>
  <si>
    <t xml:space="preserve"> HMD-2020-02-0115 (Re-canvass) Early Warning Device for car color: bright red 2 set Hard Hat, Heavy Duty, color: white, adjustable size 10 piece range: 52-61 cm Heavy Duty Gloves, cowhide grain leather, rigger's 10 piece gloves Safety Clothing, Pants and R</t>
  </si>
  <si>
    <t xml:space="preserve"> purchase request</t>
  </si>
  <si>
    <t xml:space="preserve"> SUPPLIES AND MATERIALS FOR URBAN GREENING</t>
  </si>
  <si>
    <t xml:space="preserve"> 1.	22 tanks - Solane</t>
  </si>
  <si>
    <t xml:space="preserve"> The Local Government Unit-Municipality of Malinao, Aklan through the Bids and Awards Committee, intends to apply the sum of Eighty Eight Thousand Two Hundred Forty Four Pesos and 80/100 (Php88,244.80) as the Approved Budget for the Contract (ABC) to payme</t>
  </si>
  <si>
    <t xml:space="preserve"> RESOLUTION ON PRIOR APPROVAL NO. 06-61                   Series of 2020 	 RESOLUTION RECOMMENDING THE USE OF ALTERNATIVE METHOD OF PROCUREMENT FOR  THE ACQUISITION OF GOODS AND SERVICES WHEREAS, various departments/offices submitted Purchase Requests with</t>
  </si>
  <si>
    <t xml:space="preserve"> Republic of the Philippines Province of Zamboanga del Sur MUNICIPALITY OF LAKE WOOD BIDS AND AWARDS COMMITTEE Invitation to Bid for Procurement of Construction of 105 meters Dona Josefina H. Cerilles Ave. Phase 11 in this Municipality 1.	The Local Governm</t>
  </si>
  <si>
    <t xml:space="preserve"> Department of Education Region VI-Western Visayas Cadiz City Alimatoc Elementary School Invitation to Bid for the Repair of School Stage of Alimatoc Elementary School 1.	The Alimatoc Elementary School, through the School’s MOOE 2020  intends to apply the </t>
  </si>
  <si>
    <t xml:space="preserve"> 1.Barangay #6, Municipality of Amadeo through its AIP, intends to apply the sum of Php 49,500.00 being the Approved Budget Ceiling for the MAINTENANCE OF CCTV @ POBLACION #6, AMADEO, CAVITE 2. BAC of Barangay #6, Amadeo, Cavite now invites interested supp</t>
  </si>
  <si>
    <t xml:space="preserve"> Service Fees of Various Basketball Officials ( Referees, Table Officials, Barker,etc.) for 2019-2020 1st Inter-Barangay Basketball Tournament</t>
  </si>
  <si>
    <t xml:space="preserve"> Republic of the Philippines Province of Ilocos Norte Municipality of Paoay BARANGAY 12 SAN BLAS  BIDS AND AWARDS COMMITTEE INVITATION TO BID 2020-001 Invitation to bid for the Purchase of Materials for the Installation and Rehabilitation of street lightin</t>
  </si>
  <si>
    <t xml:space="preserve"> Lenovo Ideapad S145-151KB (81VD008LPH+ 1TB Internal) 15.6" Intel Core i3-7020U 2.3GHz 4GB RAM 512GB SSd+ 1TB 2.5"</t>
  </si>
  <si>
    <t xml:space="preserve"> PLEASE SEE ATTACHED DOCUMENT FOR DETAILS.</t>
  </si>
  <si>
    <t xml:space="preserve"> Republic of the Philippines PROVINCE OF SOUTHERN LEYTE Maasin City Invitation to Bid for the Procurement of Various Office Supplies  Contract ID # 2020-07-07-363PG 1.	The Provincial Government of Southern Leyte through the PAGSO– Office Supplies Expenses </t>
  </si>
  <si>
    <t xml:space="preserve"> PCC at CMU intend to apply an amount of 351,000 as the approved budget for the contract (ABC) under Premium Cocoa Powder for milk drinks with the following specifications: 27 Bags @ 25 kgs/bag MC = 4% fat = 20% - 22% Fineness = 99% Chocolate brown in colo</t>
  </si>
  <si>
    <t xml:space="preserve"> Republic of the Philippines Province of Pangasinan Bids and Awards Committee Municipality of Calasiao INVITATION TO BID  REPAIR/MAINTENANCE OF MACHINERIES AND EQUIPMENT AT CALASIAO, PANGASINAN 1.	The Municipality of Calasiao, through the Annual Budget 202</t>
  </si>
  <si>
    <t xml:space="preserve"> please see attached RFQ</t>
  </si>
  <si>
    <t xml:space="preserve"> RFQ2020-06-0918 Category	Item No.	QTY	Unit of Issue	Item Description	Stock No. / APP NO	Estimated Unit Cost	Estimated Cost Construction Materials and Supplies		150	piece	Doorknob, Heavy Duty		390	58,500.00 Total Cost :			58,500.00 ------------------------</t>
  </si>
  <si>
    <t xml:space="preserve"> REFER TO ATTACHED ITB NO. 010 OF 2020</t>
  </si>
  <si>
    <t xml:space="preserve"> Labor and materials for drilling 50 ft water well for the campus water system as per attached Request for Quotation.</t>
  </si>
  <si>
    <t xml:space="preserve"> R/M SPAREPART OF BARANGAY VEHICLES</t>
  </si>
  <si>
    <t xml:space="preserve"> RFQ (20-06-059) Various Laboratory Supplies and Reagents</t>
  </si>
  <si>
    <t xml:space="preserve"> PVC Pipe 2 "X 10"	2	 pcs PVC P. Trap 2"	7	 pcs PVC WYE 2"	1	 pc PVC Elbow 2" X 90°	5	 pcs PVC Clean out	1	 pc PVC Elbow 2" X 45°	3	 pcs PVC TEE 2"	3	 pcs PVC Pipe 4"X 10	5	 pcs PVC Elbow 4" x 90°	13	 pcs PVC Elbow 4" X 45°	5	 pcs PVC TEE 4" X 4"	2	 pcs PV</t>
  </si>
  <si>
    <t xml:space="preserve"> ITEM NO.	QTY.	UNIT	ITEMS &amp; DESCRIPTION	 				 1	2	units	Motorcycle (Supremo)	 			Specifications:	 			Frame: Backbone	 			TransmissionType: Manual 5-Speed Constant Mesh	 			Ignition Type: DC-CDI	 			Fuel Capacity (L): 14.3 liters	 			Engine Type: 4 stroke. </t>
  </si>
  <si>
    <t xml:space="preserve"> 1		bx			Bond Paper (Long)															45			 2		bx			Bond Paper (Short)															30			 3		bx			Bond Paper A3															40			 4		pcs			Folder (Long)															500			 5		pcs			Folder (Short)															100			 6		pcs			Brown Envelop (Long)		</t>
  </si>
  <si>
    <t xml:space="preserve"> FOR DISINFECTANT FOR NCOV PREVENTION OF THE VARIOUS OFFICES</t>
  </si>
  <si>
    <t xml:space="preserve"> REPUBLIC OF THE PHILIPPINES								 PROVINCE OF DAVAO DEL SUR								 MUNICIPALITY OF PADADA								 								 								 Standard Form Number : SF - GOOD -60								 Revised on: May 24, 2004								 Standard Form Tittle : REQUEST FOR QUOTATION						Date :		</t>
  </si>
  <si>
    <t xml:space="preserve"> Ink for Epson L1455, for three units Epson Printer 180 cart Cyan 180 cart Magenta 180 cart Yellow 180 cart Black -with free used of printers -see attached RFQ Form</t>
  </si>
  <si>
    <t xml:space="preserve"> RFQ2020-06-0917 Category	Item No.	QTY	Unit of Issue	Item Description	Stock No. / APP NO	Estimated Unit Cost	Estimated Cost Medical Supplies and Instrument		1000	box	Gloves, Clean Large Size, natural rubber latex, smooth surface, beaded cuff, high strength</t>
  </si>
  <si>
    <t xml:space="preserve"> PR No.   :					 Approved Budget for Contract (ABC)   :PHP 73,920.00					 QTY	UNIT	ITEM/S DESCRIPTION		UNIT PRICE	TOTAL PRICE 84	sample	Analysis of Water Samples*			 		Parameter: Hexavalent Chromium Cr(VI)			 		Sample Volume: 30-50 mL			 		Turn-around time</t>
  </si>
  <si>
    <t xml:space="preserve"> Food for working committee / researchers and staff Pack Meals (15 pax X 21 days x P 150.00 each) = P 47,250.00	15	pax Snacks (AM) (15 pax X 21 days X P 50.00 each) = P 15,750.00	15	pax Snacks (PM) (15 pax X 21 days X P 50.00 each) = P 15,750.00	15	pax</t>
  </si>
  <si>
    <t xml:space="preserve"> Republic of the Philippines Province of Guimaras OFFICE OF THE BIDS AND AWARDS COMMITTEE INVITATION TO BID FOR    SUPPLY AND DELIVERY OF OUTER TIRE WITH INNER TUBE AND FLAP Bid Ref. No. 2020-06-339 1.	The Province of Guimaras , through the Repair and Main</t>
  </si>
  <si>
    <t xml:space="preserve"> One (1) Job Contract Furnishing Materials</t>
  </si>
  <si>
    <t xml:space="preserve"> a) 80 pcs Water Meters</t>
  </si>
  <si>
    <t xml:space="preserve"> For use of Dagupan City National High School. (Wash Area)</t>
  </si>
  <si>
    <t xml:space="preserve"> Procurement of assorted navigation equipment under the Hybrid Trimaran Project as per attached Request for Quotation.</t>
  </si>
  <si>
    <t xml:space="preserve"> Supply and Delivery of 1 Lot Premium Rice and others</t>
  </si>
  <si>
    <t xml:space="preserve"> REFER TO ATTACHED ITB NO. 011 OF 2020</t>
  </si>
  <si>
    <t xml:space="preserve"> Republic of the Philippines Local Government Unit of Tinambac, Camarines Sur Municipal Compound, Binalay, Tinambac, Camarines Sur Standard Form Number: SF-GOOD-05 Revised on: July 28, 2004 INVITATION TO APPLY FOR ELIGIBILITY AND TO BID The Local Governmen</t>
  </si>
  <si>
    <t xml:space="preserve"> Rhode Island Native Red-Rooster (ready to breed) Philippine Native Chicken-hen(ready to lay) Muscovy Duck-Drake (ready to breed) Muscovy Duck-Hen (ready to lay) Purpose: Stocks for the Corn-Livestock Integration Project in Quirino Province. Please see att</t>
  </si>
  <si>
    <t xml:space="preserve"> Supply and Delivery of Supplies for the HRM Laboratory of SDSSU Tagbina Campus Please see attached Request for Quotation (RFQ)</t>
  </si>
  <si>
    <t xml:space="preserve"> please see the attached RFQ</t>
  </si>
  <si>
    <t xml:space="preserve"> Furnishing Security Services for 6 Security Guards for the period covering July 1, 2020 to December 31, 2020 with the following assignments: 1) PhilFIDA - Regional Office, Legazpi City - 2 security guards with 12 hours a day duty per guard 2) PhillFIDA - </t>
  </si>
  <si>
    <t xml:space="preserve"> REFER TO ATTACHED ITB NO. 012 OF 2020</t>
  </si>
  <si>
    <t xml:space="preserve"> SEEDS		 Ampalaya	100	sacks Eggplant	100	sacks Pepper (sili espada)	100	sacks Bell Pepper	100	sacks Upo	100	sacks Okra	100	sacks Pole Sitao	100	sacks Tomato	100	sacks Upland Kangkong	100	sacks Patola	100	sacks Pechay	100	sacks</t>
  </si>
  <si>
    <t xml:space="preserve"> Installation of 3-phase primary line extension with transformer and electrical accessories</t>
  </si>
  <si>
    <t xml:space="preserve"> 30	boxes	surgical facemask 120	pcs	reusable facemask 120	pcs	face shield 4	pcs	disinfecting fog machine  1	pc	portable sink 24	packs	germ protection soap 3x130grams 30	pcs	1x1x10 good lumber 5	rolls	plastic cover gauge no. 10 1	pc	tucker gun 15	rolls	pack</t>
  </si>
  <si>
    <t xml:space="preserve"> INVITATION TO APPLY FOR ELIGIBILITY AND TO BID FOR THE CONCRETING OF BURGOS – QUIRINO PROVINCIAL ROAD @ BURGOS, ISABELA DESCRIPTION OF WORK 101	(3) a2.  REMOVAL OF ACTUAL STRUCTURES/ OBSTRUCTION - 5429 SQ. M.	 105.  SUB GRADE PREPERATION - 8099 SQ. M.	 20</t>
  </si>
  <si>
    <t xml:space="preserve"> Stock No.:	Unit	Item Description				                    Quantity	Unit Cost	         Total Cost 1	pc.	IP Radio				                                                 4	         13,000.00 	 52,000.00  		     - Operating Frequency : 5150 - 5875 MHz						 		    </t>
  </si>
  <si>
    <t xml:space="preserve"> REQUEST FOR QUOTATION Date	:	June 11, 2020 Project Title	:	Two (2) Lots Supply and Delivery of Stock Office Supplies ITB No.             	:	SV20-06-003ILO Approved Budget for the Contract (ABC)	:	One Hundred Fifty Five Thousand Five Hundred Fifteen Pesos </t>
  </si>
  <si>
    <t xml:space="preserve"> delivery of equipment</t>
  </si>
  <si>
    <t xml:space="preserve"> OPERATING System: Windows 10 Processor Type: 3rd Generation Processor Base Frequency: 2.3 GHz Memory Capacity: 4 GB Memory Type: DDR4 Max Supported Memory: 32 GB Drive Configuration: 200 GB SSD + 1 TB HDD Dedicated Graphics: Yes Video Ports: 1xHDMI Audio </t>
  </si>
  <si>
    <t xml:space="preserve"> Republic of the Philippines Province of Davao Del Sur Municipality of Padada INVITATION TO BID June 15, 2020 PURCHASE OF VARIOUS SUPPLIES FOR THE BPAT’S OF LGU PADADA  1.	The Local Government Unit of Padada, Davao Del Sur, Chargeable against the Peace and</t>
  </si>
  <si>
    <t xml:space="preserve"> OTHER SUPPLIES AND MATERIALS EXPENSES</t>
  </si>
  <si>
    <t xml:space="preserve"> Republic of the Philippines PROVINCE OF SOUTHERN LEYTE Maasin City Invitation to Bid for the Procurement of Various IT Supplies   Contract ID # 2020-07-07-364PG 1.	The Provincial Government of Southern Leyte through the ADH – Other Supplies and Materials </t>
  </si>
  <si>
    <t xml:space="preserve"> Procurement of assorted CCTV equipment and accessories under the Hybrid Trimaran Project as per attached Request for Quotation.</t>
  </si>
  <si>
    <t xml:space="preserve"> RFQ (20-06-031) Various Information Technology Supplies</t>
  </si>
  <si>
    <t xml:space="preserve"> Republic of the Philippines Province of Nueva Vizcaya BIDS AND AWARDS COMMITTEE (BAC-Goods) BAC OFFICE, Provincial Capitol, Bayombong, Nueva Vizcaya 	 REQUEST FOR QUOTATION (RFQ)  For the Procurement 1 Lot Digital VHF Base Radio (20 units) For the Governo</t>
  </si>
  <si>
    <t xml:space="preserve"> 1.	The Local Government Unit of Baleno, Masbate, through the 2020 Economic Development Fund intends to apply the sum of Two Million Nine Hundred Fifty-nine Thousand Eight Hundred Forty-seven Pesos &amp; 63/100 (P 2,959,847.63 ) being the Approved Budget for t</t>
  </si>
  <si>
    <t xml:space="preserve"> Republic of the Philippines						 	Cordillera Administrative Region						 	Provincial Local Government Unit of Ifugao						 	BIDS AND AWARDS COMMITTEE ON GOODS						 	2nd Floor COA Bldg., Capitol Compound						 	Lagawe, Ifugao						 	Email Ad.: bacgoodsif</t>
  </si>
  <si>
    <t xml:space="preserve"> To provide materials for the Improvement of Poultry House for Native Chicken at DA-QES, Dungo, Aglipay, Quirino. Please see attached file.</t>
  </si>
  <si>
    <t xml:space="preserve"> Bonding Agent, 3 grams	8	tube Car Freshener 32 grams	10	can Clog Remover 500ml	2	gal Contact Cleaner 311 grams	6	pc First Aid Kit (high end)	2	set Glass Cleaner 22 oz	3	btl Multi Purpose Cleaner (high end)	3	can Rat Killer 100 grams	2	pouch Rugby 331ml	2	</t>
  </si>
  <si>
    <t xml:space="preserve"> Ficem board "1/4 Metal stud 25G Electrical moulding 3/4" Plywood 1/4 x 4 x 8 Single stranded wire # 12 Rivet 1/8 x 1/2 outlet two gang plate utility box junction box electrical tape White flat latex Gloss latex paint (beige) hanza yellow Light switch Maso</t>
  </si>
  <si>
    <t xml:space="preserve"> REQUEST FOR QUOTATION							 							 PR No.:	20-06-063		RFQ No.:		NIAREG9-06-2020-FUND501LFPS-077 (SH)		 PR. Date:	June 03, 2020		RFQ Date:		June 15, 2020		 End-User:	NIA-ZDN RSO		PhilGEPS Reference No.:				 ABC:	99,000.00		PhilGEPS Closing Date:		June 19</t>
  </si>
  <si>
    <t xml:space="preserve"> PLEASE SEE ATTACHED AND DOWNLOAD THE DOCUMENT</t>
  </si>
  <si>
    <t xml:space="preserve"> 10	 reams 	folder, tagboard, for legal size docs			 250	 pcs 	pencil, leadHB			 50	 pcs 	sign pen, black			 50	 pcs 	sign pen, blue			 10	 bot 	riso ink kz30			 10	 roll 	master roll kz30			 15	 bot 	epson L3110  ink 70 ml cyan			 15	 bot 	epson L3110  in</t>
  </si>
  <si>
    <t xml:space="preserve"> pcs	Flyers,on  "Free Range Chickens"			5000 	A4 size 3 folds C2s 80			 	back to back print full color			 pcs	Pamphlet			200 	8.5 x 11			 	14 pages inc. cover			 	C2s 80 inside			 	C2S 220 cover</t>
  </si>
  <si>
    <t xml:space="preserve"> FOOD GLOVES, CELLOPHANE N95 MASK LIQUID SOAP, 500ML</t>
  </si>
  <si>
    <t xml:space="preserve"> Republic of the Philippines Province of Camarines Norte MUNICIPALITY OF VINZONS BIDS AND AWARDS COMMITTEE (BAC) (Tel. # 446-63-09) INVITATION TO BID 	 Invitation to Bid for: REHABILITATION OF BREAKWATER PHASE I (SABANG)  1.	The Local Government Unit of Vi</t>
  </si>
  <si>
    <t xml:space="preserve"> 1.	Repair and rehabilitation of pole mast with additional guying, rust treatment, repainting, replacement of damaged guy clips, steps, and grounding (Agoo), 1 set 2.	Repair and rehabilitation of pole mast with additional guying, rust treatment, repainting</t>
  </si>
  <si>
    <t xml:space="preserve"> Republic of the Philippines PROVINCE OF SOUTHERN LEYTE Maasin City Invitation to Bid for the Procurement of Various Catering Services  Contract ID # 2020-07-07-365PG 1.	The Provincial Government of Southern Leyte through the OVG/OSP – Other Maintenance an</t>
  </si>
  <si>
    <t xml:space="preserve"> INVITATION TO APPLY FOR ELIGIBILITY AND TO BID FOR THE CONSTRUCTION OF EVACUATION CENTER (COMPLETION) @ MUNICIPAL COMPOUND, BURGOS, ISABELA DESCRIPTION OF WORK I.	GENERAL REQUIREMENTS - 1.00 lot	 II.	CEILING WORKS - 288.00 sq.m.	 III.	STEEL WORKS - 1.00 l</t>
  </si>
  <si>
    <t xml:space="preserve"> CULTURAL ACTIVITY OF BARANGAY SAN JAOQUIN</t>
  </si>
  <si>
    <t xml:space="preserve"> Republic of the Philippines												 REGION IX      												 PROVINCE OF ZAMBOANGA DEL SUR												 Pagadian City     												 BIDS AND AWARDS COMMITTEE  												 Provincial Capitol, Pagadian City												 												 INVITATION FOR </t>
  </si>
  <si>
    <t xml:space="preserve"> IMPROVEMENT OF BARANGAY ROAD LOACTED AT SUNRISE VILLAGE, STO. NIÑO , BALOLAO &amp; CALANASAN ROAD</t>
  </si>
  <si>
    <t xml:space="preserve"> Interested Suppliers are invited to submit Sealed Price Quotations for the above listed items. The Official Department of Health Drug Abuse Treatment and Rehabilitation Center Request for Quotation Forms may be obtained from Ms. SUSAN P. DELA CRUZ Head of</t>
  </si>
  <si>
    <t xml:space="preserve"> 11		GAL.	FLAT WALL ENAMEL 20		PC.	BABY ROLLER, FOAM # 4" 30		GAL.	QUICK DRY ENAMEL 10		GAL.	CAST 30		GAL.	FLAT LATEX 30		GAL.	SEMI-GLOSS LATEX 30		PC.	BABY ROLLER, COTTON # 4  20		PC.	PAINT BRUSH # 2 1/2 40		PC.	SAND PAPER # 120 5		KG	BORAL 5		SHEET	SAND </t>
  </si>
  <si>
    <t xml:space="preserve"> The DPWH-Regional Office I, through its Bids and Awards Committee (BAC), invites contractors to submit bids for the following Contract: Contract ID: 20A00021 Contract Name: Construction of By-Pass and Diversion Roads, Bauang-San Fernando-San Juan Bypass R</t>
  </si>
  <si>
    <t xml:space="preserve"> Inks ( for second-quarter consumption) HPCE Toner 85A - 2pcs HP 61 Black-10pcs HP 678 Black - 15pcs HP 678 Colored- 15pcs HP 704 Black - 9pcs HP 704 Colored - 9pcs Epson 664 Black - 3pcs BT6000 Black - 5pcs BT5000 Yellow - 2pcs BT5000 Cyan - 3pcs BT5000 M</t>
  </si>
  <si>
    <t xml:space="preserve"> Procurement of supply and delivery of arm sleeve and paddy boots 50	pair	Arm Sleeves 	 Paddy boots 10	pair	Size 9 15	pair	Size 10 10	pair	Size 11 PR# 2020-936</t>
  </si>
  <si>
    <t xml:space="preserve"> 35 trucks/loads screened mixed</t>
  </si>
  <si>
    <t xml:space="preserve"> OPENING OF BIDS IN DSWD FO IX ZAMBOANGA CITY	 DELIVERY IN DSWD FO IX ZC	 PROCUREMENT FOR THE FF.	 1 LOT SUPPLIES 24	can	AIR FRESHENER, aerosol, 280ml/150g min, in can, shrink wrapped, assorted scents 30	gal	"ALCOHOL, ethyl, 68%-70%, scented, 500 ml, color</t>
  </si>
  <si>
    <t xml:space="preserve"> Republic of the Philippines Province of Nueva Vizcaya BIDS AND AWARDS COMMITTEE (BAC-Goods) BAC OFFICE, Provincial Capitol, Bayombong, Nueva Vizcaya 	 REQUEST FOR QUOTATION (RFQ)  For the Procurement 1 unit ADF High Speed Scanner For the Governor’s Office</t>
  </si>
  <si>
    <t xml:space="preserve"> The DPWH-Regional Office I, through its Bids and Awards Committee (BAC), invites contractors to submit bids for the following Contract: Contract ID: 20A00070 Contract Name: Construction of By-pass and Diversion Roads, Laoag-San Nicolas Bypass Road (San Ni</t>
  </si>
  <si>
    <t xml:space="preserve"> Republic of the Philippines Province of Camarines Norte MUNICIPALITY OF VINZONS BIDS AND AWARDS COMMITTEE (BAC) (Tel. # 446-63-09) INVITATION TO BID 	 Invitation to Bid for: REHABILITATION OF PUBLIC MARKET – POBLACION I, VINZONS, CAM. NORTE  1.	The Local </t>
  </si>
  <si>
    <t xml:space="preserve"> Shopping. . .</t>
  </si>
  <si>
    <t xml:space="preserve"> 1	unit	Submersible Pump and Motor 		Motor: 20Hp, 230V, 3phase, 60hz 		Pump Model: S8S - 475 - 2 		Heavy Duty, Stainless Steel</t>
  </si>
  <si>
    <t xml:space="preserve"> RFQ (20-06-054) Oxygen</t>
  </si>
  <si>
    <t xml:space="preserve"> Republic of the Philippines Province of Ilocos Sur Office of the bids and awards committee MUNICIPALITY OF MAGSINGAL   INVITATION TO BID The LGU – MAGSINGAL, through the Bids and Awards Committee (BAC), invites PhilGEPS registered suppliers/contractors to</t>
  </si>
  <si>
    <t xml:space="preserve"> Please find attach quotation</t>
  </si>
  <si>
    <t xml:space="preserve"> We are looking for a supplier for Gabion, please see attached documents for the specification and complete description.  Please submit your original quotations on or before closing date in sealed envelope, and /or e-mailed together with your Business Perm</t>
  </si>
  <si>
    <t xml:space="preserve"> See attached RFQ</t>
  </si>
  <si>
    <t xml:space="preserve"> 1	lot job 	Repair &amp; Materials of COA Service Vehicle: 1.	2	piece	Tie Rod - Inner 2.	2	piece	Tie Rod - Outer 3.	2	piece	Upper Ball Joint 4.	2	piece	Lower Ball Joint 5.	4	piece	Upper Arm Bushing 6.	4	piece	Press Job 7.	2	piece	Stabilizer Link-Front 8.	2	pie</t>
  </si>
  <si>
    <t xml:space="preserve"> 1. PC Desktop, Processor: Intel Core 17 2600, 3.4Ghz, 8M cache, RAM memory total :8GB, Hard Drive: 2TB, OS: Windows 10, Monitor, 22 inch LCD DVD: recordable (with DVD playback &amp; burner software), Keyboard: Full size-US english, Pointing device: Optical mo</t>
  </si>
  <si>
    <t xml:space="preserve"> RESCUE VEHICLE Body Type- FX Type Wheelbase- 3,085 Engine Type- 4-Cylinder; 16 valve 2.4  Displacement -2,393cc Maximum Output- 147hp/ 3,400rpm Maximum Torque- 343 Nm/2,800rpm Transmission- MANUAL Fuel Type- Diesel Color- White With Blinker, Siren &amp; Ambul</t>
  </si>
  <si>
    <t xml:space="preserve"> Shopping . . . .</t>
  </si>
  <si>
    <t xml:space="preserve"> Republic of the Philippines Province of Nueva Vizcaya BIDS AND AWARDS COMMITTEE (BAC-Goods) BAC OFFICE, Provincial Capitol, Bayombong, Nueva Vizcaya 	 REQUEST FOR QUOTATION (RFQ)  For the Procurement of Desktop Computer, Laptop &amp; Scanner For the Nueva Viz</t>
  </si>
  <si>
    <t xml:space="preserve"> for office use</t>
  </si>
  <si>
    <t xml:space="preserve"> 1500	heads	Layer Chicks		 		***nothing follows***</t>
  </si>
  <si>
    <t xml:space="preserve"> Please see attached document...</t>
  </si>
  <si>
    <t xml:space="preserve"> Republic of the Philippines Province of Camarines Norte MUNICIPALITY OF VINZONS BIDS AND AWARDS COMMITTEE (BAC) (Tel. # 446-63-09) 	 INVITATION TO BID FOR: PURCHASE/DELIVERY OF 1 UNIT BACKHOE 1.	The Local Government Unit of Vinzons through the MDRRMF – CA</t>
  </si>
  <si>
    <t xml:space="preserve"> FOR WO-0620-001: SLOPE STABILIZATION PROJECT AT LAPAAN WATERSHED AREA REFER TO ATTACHED FILE.</t>
  </si>
  <si>
    <t xml:space="preserve"> MALIMPIN 04-2020 - construction of mini-park</t>
  </si>
  <si>
    <t xml:space="preserve"> 22 pieces Corrugated Steel Sheet 12 ft 4 pieces Corrugated Steel Sheet 10 ft 20 pieces Corrugated Steel Sheet 8 ft 16 pieces Hardiflex Sanipa 12x8 ft 12 pieces Ridge Roll 2 boxes Texscrew 3" 1 kilo Concrete Nail 3" 3 kilos CWN 3" 3 kilos CWN 2" 1 kilo CWN</t>
  </si>
  <si>
    <t xml:space="preserve"> delivery of 6set</t>
  </si>
  <si>
    <t xml:space="preserve"> INVITATION FOR SUBMISSION OF QUOTATION (SMALL VALUE PROCUREMENT) 	The local Government Unit of Can-avid, through is Bid and Awards Committee (BAC). Invites suppliers to apply for eligibility, to bid for the hereunder contract: Name of Contract:  	Maintena</t>
  </si>
  <si>
    <t xml:space="preserve"> CELEBRATION OF WOMEN'S MONTH 2020</t>
  </si>
  <si>
    <t xml:space="preserve"> INVITATION TO BID FOR THE INSTALLATION OF FIBER GLASS BOARD AND LIGHTING OF BASKETBALL COURT OF BARANGAY BAG-ONG KAUSWAGAN, TAMBULIG, ZAMBOANGA DEL SUR 1.	The BLGU  of Barangay Bag-ong Kauswagan, Tambulig Zamboanga del Sur now invites bid for INSTALLATION</t>
  </si>
  <si>
    <t xml:space="preserve"> •	Desktop Computer     -      4 Units         A6 7480; 3.0GHz; 8GB RAM; 1TB HDD         ATI RADEON; 700W PSU; 18.5” Led Monitor;         Keyboard, Mouse, Speaker    •	Printer Brother T710W   -    3 Units         Print/Scan/Copy        •	Uninterruptible Po</t>
  </si>
  <si>
    <t xml:space="preserve"> This project entails for the construction of 1m x 210m x 0.10m concrete pathway at Purok 1,4,6 at Brgy. Sta. Elena, Magallanes, Sorsogon.</t>
  </si>
  <si>
    <t xml:space="preserve"> Republic of the Philippines											 Province of Occidental Mindoro											 Mamburao, Occidental Mindoro											 REQUEST FOR QUOTATION											 Date of Posting:	June 18, 2020					Ref. No.		363-2020 RFQ			 						PR No.					 											 The Provin</t>
  </si>
  <si>
    <t xml:space="preserve"> Furnish of s units printer scanner/copier, long bond capable, 7 units printer, 1 unit printer A3 capable</t>
  </si>
  <si>
    <t xml:space="preserve"> Republic of the Philippines Province of Nueva Vizcaya BIDS AND AWARDS COMMITTEE (BAC-Goods) BAC OFFICE, Provincial Capitol, Bayombong, Nueva Vizcaya 	 2ND REQUEST FOR QUOTATION (RFQ)  For the Procurement of Desktop Computer, Laptop &amp; Scanner For Provincia</t>
  </si>
  <si>
    <t xml:space="preserve"> PURCHASE OF OFFICE SUPPLIES FOR THE USE OF BARANGAY STAFF</t>
  </si>
  <si>
    <t xml:space="preserve"> CONSTRUCTION MATERIALS</t>
  </si>
  <si>
    <t xml:space="preserve"> 431 Bags Cement 21 cu.m. Sand 42 cu.m. Gravel 485 pcs. 10mm Ø def. bars 40 pcs. Marine Plywood ¼” 2 pcs. Marine Plywood ½” 2000 bdft. 500-2” x 3” x 8’ Coco Lumber 20 kls. C.W. Nails #4” 3 kls. C.W. Nails #3” 5 kls. C.W. Nails #11/2” 30 kls. Tie Wire #16 1</t>
  </si>
  <si>
    <t xml:space="preserve"> UNIVERSITY OF THE PHILIPPINES MANILA The Health Sciences Center 8/F PGH Central Block Bldg,  Taft Avenue, Manila INVITATION TO BID PROPOSED RENOVATION OF CAMPUS PLANNING  DEVELOPMENT AND MAINTENANCE OFFICE UNIVERSITY OF THE PHILIPPINES MANILA 1.	The Unive</t>
  </si>
  <si>
    <t xml:space="preserve"> CELLULAR PHONE</t>
  </si>
  <si>
    <t xml:space="preserve"> TO BE USED FOR THE REPAIR OF 1 UNIT SENIOR HIGH SCHOOL PRINTER FOR THE PRINTING OF HAND-OUTS, DAILY LESSON LOGS, SCHOOL FORMS AND LEARNING MODULES FOR THE SHS STUDENTS.</t>
  </si>
  <si>
    <t xml:space="preserve"> 1.	The Local Government Unit of Baleno, Masbate, through the 2020 Economic Development Fund intends to apply the sum of One Million One Hundred Seventy-seven Thousand Two Hundred Ninety-six Pesos &amp; 74/100 (P 1,177,296.74 ) being the Approved Budget for th</t>
  </si>
  <si>
    <t xml:space="preserve"> 1	copy	Wireless information and power transfer, thoery and practice by Ng c2019 1	copy	Discrete mathematics with applications metric version by Epp c2020 1	copy	Professional andriod 4E by Meier c2018 1	copy	Essentials of contemporary management by Jones c</t>
  </si>
  <si>
    <t xml:space="preserve"> The Local  Government   Unit  of General  Santos  City, through  the  GENERAL FUND CY 2020  intends  to apply  the sum of three thousand nine hundred sixty and xx / 100 Pesos Only (3,960.00)   being  the Approved  Budget  for the Contract   (ABC) to payme</t>
  </si>
  <si>
    <t xml:space="preserve"> REQUEST FOR QUOTATION RFQ No. 2020-0236 The CITY GOVERNMENT OF CABANATUAN through its Bid and Awards Committee (BAC), will undertake Small Value Procurement for the SUPPLY AND DELIVERY OF OFFICE SUPPLIES in accordance with Section 53.9 of the Revised Impl</t>
  </si>
  <si>
    <t xml:space="preserve"> Standard Form Number: SF-GOOD-60                                                       Republic of the Philippines Standard Form Title: Request for                                                                                                       Taclo</t>
  </si>
  <si>
    <t xml:space="preserve"> PURCHASE OF RICE, CANNED GOOD AND NOODLES</t>
  </si>
  <si>
    <t xml:space="preserve"> INVITATION FOR SUBMISSION OF QUOTATION (SMALL VALUE PROCUREMENT) 	The local Government Unit of Can-avid, through is Bid and Awards Committee (BAC). Invites suppliers to apply for eligibility, to bid for the hereunder contract: Name of Contract:  	Purchase</t>
  </si>
  <si>
    <t xml:space="preserve"> Please quote your lowest price for the item: ABC:  75,000.00 1. Airconditioning Unit - 1 unit          Split-Type, Inverter, 2.5 HP    Includes delivery and installation</t>
  </si>
  <si>
    <t xml:space="preserve"> Republic of the Philippines Province of Nueva Vizcaya BIDS AND AWARDS COMMITTEE (BAC-Goods) BAC OFFICE, Provincial Capitol, Bayombong, Nueva Vizcaya 	 REQUEST FOR QUOTATION (RFQ)  For the Procurement of 3,420 pax Meals &amp; Snacks, etc. II For the Governor’s</t>
  </si>
  <si>
    <t xml:space="preserve"> SEE ATTACHED CANVASS</t>
  </si>
  <si>
    <t xml:space="preserve"> 1 unit photocopier PGO-BAC Goods &amp; Services</t>
  </si>
  <si>
    <t xml:space="preserve"> INVITATION TO BID No. DARRO V-4-2020 1.	The Department of Agrarian Reform Regional Office No. V (DARRO V) through the General Appropriations Act (GAA) 2020 intends to apply the amount of  EIGHT HUNDRED FORTY-FIVE THOUSAND PESOS (P 845,000.00), being the s</t>
  </si>
  <si>
    <t xml:space="preserve"> Small Value Procurement . . . .</t>
  </si>
  <si>
    <t xml:space="preserve"> Hydrogen Gas 75 tank For PAGASA TUGUEGARAO Upper Air Station  x-x-x-x-x-x-x-x-x-x-x-x-x-x-x-x-x Total ABC  (in PhP) 225,000.00</t>
  </si>
  <si>
    <t xml:space="preserve"> RFQ-2020-170		 			 1.	100	kls.	Odoriser 1.	146	gallon	Wipe out 			 	Deadline for Submission of Bids: June 22, 2020, 11:00 AM		 			PAYMENT TERM: 90 DAYS</t>
  </si>
  <si>
    <t xml:space="preserve"> Republic of the Philippines DEPARTMENT OF PUBLIC WORKS AND HIGHWAYS OFFICE OF THE DISTRICT ENGINEER Aklan District Engineering Office Toting Reyes St., Kalibo, Aklan The Department of Public Works and Highways (DPWH), Aklan District EngineeringOffice, Kal</t>
  </si>
  <si>
    <t xml:space="preserve"> For the Research.</t>
  </si>
  <si>
    <t xml:space="preserve"> Republic of the Philippines											 Province of Occidental Mindoro											 Mamburao, Occidental Mindoro											 REQUEST FOR QUOTATION											 Date of Posting:	June 15, 2020					Ref. No.		RN 364-2020			 						PR No.					 											 The Provinc</t>
  </si>
  <si>
    <t xml:space="preserve"> Please find attach file.</t>
  </si>
  <si>
    <t xml:space="preserve"> Construction Materials and Supplies</t>
  </si>
  <si>
    <t xml:space="preserve"> 1	load	Sand and Gravel	2	 10,000.00  2	sacks	Portland Cement	30	 10,500.00  3	pcs	Corrugated Bar, 10mm	15	 1,500.00  4	pcs	Corrugated Bar, 9mm	15	 1,500.00  5	kl	Grout	5	 500.00  6	pcs	Tiles 60x60	120	 21,000.00  7	pcs	Stone Bricks	50	 10,000.00  8	pcs	Ho</t>
  </si>
  <si>
    <t xml:space="preserve"> kshs is in need of Parchment paper with printing for Diploma</t>
  </si>
  <si>
    <t xml:space="preserve"> Detailed Estimate		 For the Construction of Drainage Line Canal		 at Nalbagan Street, Umanday, Bugallon, Pangasinan		 		 ABC: 50,000.00		 A. Materials		 		 435	pcs	4" CHB 30	bags	Portland Cement 6	cu.m	S1 21	pcs	10mm Ø x 6m RSB 3	kls	# 16 Tie Wire 16	bags</t>
  </si>
  <si>
    <t xml:space="preserve"> Republic of the Philippines											 Province of Occidental Mindoro											 Mamburao, Occidental Mindoro											 REQUEST FOR QUOTATION											 Date of Posting:	June 15, 2020					Ref. No.		RN 365-2020			 						PR No.					 											 The Provinc</t>
  </si>
  <si>
    <t xml:space="preserve"> attached</t>
  </si>
  <si>
    <t xml:space="preserve"> The SANGGUNIANG BARANGAY OF DARASA, TANAUAN CITY, BATANGAS, through the Barangay Operating Budget 2020 intends to apply the sum of Fifteen Thousand Pesos Only (Php 15,000.00) being the Approved Budget of the Contract (ABC) to payment under the Provision o</t>
  </si>
  <si>
    <t xml:space="preserve"> Contract Duration: The service maintenance contract shall commence on the date stipulated in the Notice to Proceed to be issued by Facilities Management and Engineering Department (FMED) and shall end on 31 December 2020 Bidders should have completed from</t>
  </si>
  <si>
    <t xml:space="preserve"> OFFICE SUPPLIES</t>
  </si>
  <si>
    <t xml:space="preserve"> The Local  Government   Unit  of General  Santos  City, through  the  GENERAL CY 2020  intends  to apply  the sum of twenty thousand and xx / 100 Pesos Only (20,000.00)   being  the Approved  Budget  for the Contract   (ABC) to payments  under  the  contr</t>
  </si>
  <si>
    <t xml:space="preserve"> One (1) lot office equipment  The complete list of activities: 1. Issuance of bid documents: June 16 to June 19, 2020 @ 09:00 A.M. 2. Bid Opening: June 19, 2020 @ June 10:00 A.M.</t>
  </si>
  <si>
    <t xml:space="preserve"> The Local Government Unit of Amulung, Cagayan intends to purchase Supply and Delivery of Medicine for 2nd Quarter Use through Alternative Mode of Procurement with an ABC of Php 199,950.00 Interested suppliers can avail of the Request for Quotation at the </t>
  </si>
  <si>
    <t xml:space="preserve"> PURCHASE OF RICE AND NOODLES</t>
  </si>
  <si>
    <t xml:space="preserve"> The PHILIPPINE SCIENCE HIGH SCHOOL SYSTEM - CALABARZON REGION CAMPUS (PSHS-CBZRC) intends to apply the sum of TWO HUNDRED FIFTEEN THOUSAND PESOS (Php215,000.00) being the Approved Budget for the Contract (ABC) to pay for the contract for the Project: SUPP</t>
  </si>
  <si>
    <t xml:space="preserve"> Procurement of Fuel Supply for the Government Vehicle Transportation Used Diesel/Gasoline - 3, 027 Liters TERM OF REFERENCE: 1. The procurement of products using the WPP index, the Bid Price shall be determined based on the prospective supplier's WPP ten </t>
  </si>
  <si>
    <t xml:space="preserve"> RFQ (20-06-052) Entera Nutrition - Pediatric POlymeric 400g 1-3 years old</t>
  </si>
  <si>
    <t xml:space="preserve"> PLEASE REFER ATTACHMENT</t>
  </si>
  <si>
    <t xml:space="preserve"> Juan Sumulong Elementary School ICT supply 2020-2021</t>
  </si>
  <si>
    <t xml:space="preserve"> 1 LOT LABOR SERVICES FOR HAULING ACTIVITY FROM SITIO BAGONG SILANG TO AREA 1 FOR WO-0620-001: SLOPE STABILIZATION PROJECT AT LAPAAN WATERSHED AREA  (REFER TO ATTACHED FILE)</t>
  </si>
  <si>
    <t xml:space="preserve"> The Local  Government   Unit  of General  Santos  City, through  the  GENERAL FUND CY 2020  intends  to apply  the sum of forty five thousand three hundred ninety and xx / 100 Pesos Only (45,390.00)   being  the Approved  Budget  for the Contract   (ABC) </t>
  </si>
  <si>
    <t xml:space="preserve"> PR No.   :					 Approved Budget for Contract (ABC)   :PHP  129,870.00					 QTY	UNIT	ITEM/S DESCRIPTION		UNIT PRICE	TOTAL PRICE 26	samples	Analysis of Wastewater Samples			 		parameters:			 		-color			 		-pH			 		-COD			 		-oil and grease			 		-TSS			 		-a</t>
  </si>
  <si>
    <t xml:space="preserve"> 12 PCS TIRES 195/70 R15C</t>
  </si>
  <si>
    <t xml:space="preserve"> 1.	The Local Government Unit of Baleno, Masbate, through the 2020 Local Disaster and Risk Reduction Fund intends to apply the sum of Six Hundred Ninety-two Thousand Seven Hundred Forty-six Pesos &amp; 69/100 (P692,746.69) being the Approved Budget for the Con</t>
  </si>
  <si>
    <t xml:space="preserve"> Republic of the Philippines Province of Zamboanga del Sur MUNICIPALITY OF LAKE WOOD BIDS AND AWARDS COMMITTEE Invitation to Bid for Procurement of Construction of Dagum-Tiwales Road (Road Opening) in this Municipality 1.	The Local Government Unit of Lake </t>
  </si>
  <si>
    <t xml:space="preserve"> 166 Bags Complete Fertilizer (14-14-14)</t>
  </si>
  <si>
    <t xml:space="preserve"> Republic of the Philippines Province of Guimaras OFFICE OF THE BIDS AND AWARDS COMMITTEE INVITATION TO BID FOR    SUPPLY AND DELIVERY OF LIVE ANIMALS AND FEEDS Bid Ref. No. 2020-06-335 1.	The Province of Guimaras , through the DOLE Kabuhayan Program (Vari</t>
  </si>
  <si>
    <t xml:space="preserve"> 3  unit Epson L3110 Printer 1  unit  Desktop Computer            Intel Core i5 9400F Coffee Lake up to 4.10 Ghz with Motherboard            1TB HDD            16GB RAM            GTX 1060 5G Video Card            24 inch Monitor            Generic Tower C</t>
  </si>
  <si>
    <t xml:space="preserve"> Tarpaulin	 1 pc Requirements:	 Size: 7” x 10”	 With eyelets on the corner	 8oz. print	 ****nothing follows****</t>
  </si>
  <si>
    <t xml:space="preserve"> JOB ORDER: Furnishing of labor, materials and equipment for the Proposed Construction of Market Fire Exit Stairs(additional) phase II at Legazpi City Public Market</t>
  </si>
  <si>
    <t xml:space="preserve"> REPUBLIC OF THE PHILIPPINES OFFICE OF BIDS AND AWARDS COMMITTEE 2ND FLOOR, ADMINISTRATION BUILDING ACCESS, EJC., MONTILLA, TACURONG CITY   INVITATION TO BID FOR MACHINERY &amp; EQUIPMENT OUTLAY FOR THE PURCHASE OF ONE UNIT NURSING SIMULATOR FOR THE USE OF COL</t>
  </si>
  <si>
    <t xml:space="preserve"> SEE ATTACHED</t>
  </si>
  <si>
    <t xml:space="preserve"> PURCHASE OF MEDICINES</t>
  </si>
  <si>
    <t xml:space="preserve"> Republic of the Philippines											 Province of Occidental Mindoro											 Mamburao, Occidental Mindoro											 REQUEST FOR QUOTATION											 Date of Posting:	June 15, 2020					Ref. No.		RN 366-2020			 						PR No.					 											 The Provinc</t>
  </si>
  <si>
    <t xml:space="preserve"> MATERIALS NEEDED FOR THE FABRICATION OF SPOOL, BEND CONNECTIONS AND EXPOSED STEEL PIPE IN CONNECTION WITH THE WATERLINE EXTENSION PROJECT FROM HDA. DANIEL TO IMBANG BRIDGE, BRGY. E. LOPEZ, SILAY CITY: 1. BI PIPE, 6`` DIAMETER, ASTM A-53, SEAMLESS, STANDAR</t>
  </si>
  <si>
    <t xml:space="preserve"> Engine Type : Single Cylinder, 4-Stroke, Air-Cooled Gasoline Engine Displacement : 124.00 cc (min.) Start System : Kick/ Electric Transmission : 4-Speed Manual</t>
  </si>
  <si>
    <t xml:space="preserve"> The Local  Government   Unit  of General  Santos  City, through  the  GENERAL FUND  CY 2020  intends  to apply  the sum of one hundred thirty two thousand five hundred and xx / 100 Pesos Only (132,500.00)   being  the Approved  Budget  for the Contract   </t>
  </si>
  <si>
    <t xml:space="preserve"> 1 LOT LABOR SERVICES FOR HAULING ACTIVITY FROM AREA 1 TO AREA 2 FOR WO-0620-001: SLOPE STABILIZATION PROJECT AT LAPAAN WATERSHED AREA (REFER TO ATTACHED FILE)</t>
  </si>
  <si>
    <t xml:space="preserve"> Sir/Madam:																																						 																																						 Please quote your government price/s including delivery charges, VAT or other applicable taxes, and other incidental expenses for the goods listed in Annex A.  Failure</t>
  </si>
  <si>
    <t xml:space="preserve"> PURCHASE</t>
  </si>
  <si>
    <t xml:space="preserve"> please download the ITB and its supporting documents in the associated component</t>
  </si>
  <si>
    <t xml:space="preserve"> 3000	heads	Broiler chicks		 16	bags	Broiler feed(booster)		 125	bags	Broiler feed(starter)		 115	bags	Broiler feed(finisher)		 2	kgs	Multi vitamins w/electrolytes		 2	kgs	Chlortetracycline w/ vit.A&amp;vit b12		 		***nothing follows***</t>
  </si>
  <si>
    <t xml:space="preserve"> 1.	Materials &amp; Equipment Rental for the Improvement of Agriculture Office, Brgy. Sablogon, Passi City, Iloilo, (P 83,910.39)		 Stock No.	Description	Unit	Qty. 1	D-1,0.90m x 2.10m Painted Wood Panel type Door (Swing Type), w/ Wood Door Jam, Heavy Duty Door</t>
  </si>
  <si>
    <t xml:space="preserve"> Republic of the Philippines											 Province of Occidental Mindoro											 Mamburao, Occidental Mindoro											 REQUEST FOR QUOTATION											 Date of Posting:	June 15, 2020					Ref. No.		RN 362-2020			 						PR No.		PS2020-022			 											 T</t>
  </si>
  <si>
    <t xml:space="preserve"> 1. POULTRY/RICE PRODUCTION OF DIMAAMPO NATIVE INHABITANTS ARB COOP AT BARANGAY GUILING, ALAMADA, COTABATO. 2. FARM INPUTS/FERTILIZERS FOR BANGILAN FA, KABACAN, COTABATO. 3. GENERATOR SET 4. ASSORTED FARM INPUTS/GARDEN TOOLS OF DIMAAMPO NATIVE INHABITANTS </t>
  </si>
  <si>
    <t xml:space="preserve"> 200	pcs	Seedling tray(128holes)		 2	pcs	pruning shear(heavy duty)		 25	pair	snap solution		 50	bottle	molasses		 3	can	eggplant seeds		 3	can	tomato seeds		 2	kilos	beans		 2	kilos	string beans		 2	kilos	raddish 		 2	can	 red pepper		 1	unit	impluse seale</t>
  </si>
  <si>
    <t xml:space="preserve"> Republic of the Philippines				Project Reference Number: 	G-20-0560                                           Province of Compostela Valley				Name of the Project	:  Supplies (isolation) MUNICIPALITY OF MONTEVISTA			Location of the Project	:           MEO</t>
  </si>
  <si>
    <t xml:space="preserve"> for stock pile</t>
  </si>
  <si>
    <t xml:space="preserve"> 1.	2	units	HIGH SPEED SEWING MACHINE 			Technical Specification: 			Application: light to medium weight	heavy weight 			Max. Sewing speed: 4,500 spm		4,000 spm 			Max. Stitch length: 5mm 			Needle bar stroke: 30.7mm		35mm 			Lift of presser foot: by hand </t>
  </si>
  <si>
    <t xml:space="preserve"> The Local  Government   Unit  of General  Santos  City, through  the  GENERAL FUND CY 2020  intends  to apply  the sum of ten thousand one hundred ninety seven and xx / 100 Pesos Only (10,197.00)   being  the Approved  Budget  for the Contract   (ABC) to </t>
  </si>
  <si>
    <t xml:space="preserve"> Please find attach quotation.</t>
  </si>
  <si>
    <t xml:space="preserve"> Const. of Vertical Garden</t>
  </si>
  <si>
    <t xml:space="preserve"> The Local  Government   Unit  of General  Santos  City, through  the  GENERAL FUND CY 2020  intends  to apply  the sum of seventy four thousand and xx / 100 Pesos Only (74,000.00)   being  the Approved  Budget  for the Contract   (ABC) to payments  under </t>
  </si>
  <si>
    <t xml:space="preserve"> 12   pieces   Alcohol Foot Pump</t>
  </si>
  <si>
    <t xml:space="preserve"> 1 LOT LABOR SERVICES FOR HAULING ACTIVITY FROM AREA 2 TO AREA 3 FOR WO-0620-001: SLOPE STABILIZATION PROJECT AT LAPAAN WATERSHED AREA (REFER TO ATTACHED FILE)</t>
  </si>
  <si>
    <t xml:space="preserve"> 1.	240	bag/s	Open Pollinated Variety (OPV) White Registered  			Corn Seeds 20kgs/bag 			Passed Quality Certification by BPI-NSQCS 			Date of Harvest not later than February 2020</t>
  </si>
  <si>
    <t xml:space="preserve"> Republic of the Philippines					 Province of Palawan					 MUNICIPALITY OF EL NIDO					 PR No.		 Name of Procuring Entity: Municipal Government of El Nido			RFQ No.		 Date:		 Office/End-User: MNAO					 Company Name					 Adress:					 Business Permit No.:			</t>
  </si>
  <si>
    <t xml:space="preserve"> The Local  Government   Unit  of General  Santos  City, through  the  GENERAL FUND CY 2020  intends  to apply  the sum of two hundred forty four thousand eight hundred and xx / 100 Pesos Only (244,800.00)   being  the Approved  Budget  for the Contract   </t>
  </si>
  <si>
    <t xml:space="preserve"> JOB ORDER: Furnishing of labor, materials and equipment for the Proposed road Concreting at Brgy. 15- Ilawod East, Legazpi City</t>
  </si>
  <si>
    <t xml:space="preserve"> 215	bags	Layer mash 1		 51	bags	Pre layer mash		 		***nothing follows***</t>
  </si>
  <si>
    <t xml:space="preserve"> Ozone 03 Generator Machine Air Purifier Deodorizer Sanitizer 220V 10G/24G/H Ozone   Air Volumes: 51-150mᶾ/h   Application area: 11-20m²   Installation: Portable   Type: Ozone Generator   Power Source: AC source   Noise: ≤45dB   Anion Density: 1000000pcs/m</t>
  </si>
  <si>
    <t xml:space="preserve"> Printer</t>
  </si>
  <si>
    <t xml:space="preserve"> Procurement of TLE Instructional Tools and Materials</t>
  </si>
  <si>
    <t xml:space="preserve"> The Bids and Awards Committee (BAC) of the Department of Public Works and Highways (DPWH), Ilocos Sur 1st District Engineering Office, Bantay, Ilocos Sur will conduct SMALL VALUE PROCUREMENT in accordance with Section 53.9 of the Revised Implementing Rule</t>
  </si>
  <si>
    <t xml:space="preserve"> 56	bags	Quail feeds		 500	heads	Layer quail		 		***nothing follows***</t>
  </si>
  <si>
    <t xml:space="preserve"> INVITATION FOR SUBMISSION OF QUOTATION (SMALL VALUE PROCUREMENT) 	The local Government Unit of Can-avid, through is Bid and Awards Committee (BAC). Invites suppliers to apply for eligibility, to bid for the hereunder contract: Name of Contract:  	Office S</t>
  </si>
  <si>
    <t xml:space="preserve"> Interested Suppliers may submit sealed quotations to the General Services Offices, Municipal Compound, Bgy. Poblacion, Narra, Palawan and Addressed to the BAC Chairman through BAC Secretariat.     Deadline of submission Three days starting from the public</t>
  </si>
  <si>
    <t xml:space="preserve"> P.R NO. 100-2020-03-0323 PURCHASE OF AGRICULTURAL MATERIALS USE FOR RE-FORESTATION</t>
  </si>
  <si>
    <t xml:space="preserve"> Supply and Delivery of various equipments The Metro Midsayap Water District (MMWD) gives notice that  quotations are invited for the Supply and Delivery of various equipments 1 UNIT - DIESEL WELDING GENERATOR			    SPECIFICATIONS:			  	-SILENT TYPE; AIR C</t>
  </si>
  <si>
    <t xml:space="preserve"> Please see attached Purchase Request of Supplies and Materials</t>
  </si>
  <si>
    <t xml:space="preserve"> Purchase of Laptop to be use by the Audit Team Member (Gen. M. Natividad/Palayan)</t>
  </si>
  <si>
    <t xml:space="preserve"> Republic of the Philippines City of Dapitan BIDS AND AWARDS COMMITTEE 						June 15, 2020 NOTICE FOR NEGOTIATED - SMALL VALUE PROCUREMENT 	The City Government of Dapitan through the Bids and Awards Committee (BAC) would like to inform PhilGEPS registered </t>
  </si>
  <si>
    <t xml:space="preserve"> 1	7	cu. m.	Fine Sand	 2	9	drum	Asphalt	 			***nothing follows***	 				 			1. For asphalt patching around poblacion	 				 APPROVED BUDGET FOR THE CONTRACT: PHP 162,800.00 LOCATION OF THE CONTRACT: BATARAZA, PALAWAN DURATION OF THE CONTRACT: 7 DAYS SCHEDULE</t>
  </si>
  <si>
    <t xml:space="preserve"> Rehabilitation of Deep well</t>
  </si>
  <si>
    <t xml:space="preserve"> JOB ORDER: Furnishing of labor, materials and equipment for the Proposed Rehabilitation of Drainage System at Brgy. 3-EM's Barrio East, Legazpi City</t>
  </si>
  <si>
    <t xml:space="preserve"> Interested suppliers are required to submit the following requirements: (1) valid Mayor’s/Business Permit; (2) PhilGEPS Registration Number; (3) Income/Business Tax Return; (4) Omnibus Sworn Statement; (5) Performance Security; (6) Registration Certificat</t>
  </si>
  <si>
    <t xml:space="preserve"> TO BE USED BY THE SHS TEACHERS AND STUDENTS FOR HAND WASHING UPON ENTERING THE SCHOOL PREMISES IN COMPLIANCE TO HEALTH PROTOCOL AMIDST COVID-19 PANDEMIC.</t>
  </si>
  <si>
    <t xml:space="preserve"> 77 piece Bulb, LED, 11 watts 131 piece Electric Fan, orbit type, ceiling, plastic blade</t>
  </si>
  <si>
    <t xml:space="preserve"> SUPPLY OF MATERIALS</t>
  </si>
  <si>
    <t xml:space="preserve"> 1	unit	Digital DO/ temperature meter: (preferably YSI), built-in barometer, connector waterproof with bayonet lock, 50 data sets (data memory), dimension 8.3cm width x 21.6cm length x 5.6cm depth. Power: 2 alkaline C-cells approx 400hrs, salinity range 0-</t>
  </si>
  <si>
    <t xml:space="preserve"> For specification details, please contact MR. JEFFERSON O. CORUNO at 09157584241 or email at psuprocurementunit@gmailcom or procurement@parsu.edu.ph</t>
  </si>
  <si>
    <t xml:space="preserve"> Republic of the Philippines PROVINCE OF ZAMBOANGA DEL SUR Municipality of Dimataling BIDS AND AWARD COMMITTEE Reference Number : DIM-INFRA-2020-09 Project Title/P.R. # : UPGRADING/INSTALLATION OF ISOLATION FACILITY Approved Budget: MHO (MOOE) Area of Deli</t>
  </si>
  <si>
    <t xml:space="preserve"> 300 bags Complete Fertilizer (14-14-14)</t>
  </si>
  <si>
    <t xml:space="preserve"> for MDRRM Office. Local Government Unit-Nabua, Camarines Sur</t>
  </si>
  <si>
    <t xml:space="preserve"> Request for Quotation City Agriculture Office CO - Other Machinery and Equipment P 74,155.00</t>
  </si>
  <si>
    <t xml:space="preserve"> PR No. 2020-079, 2020-080, 2020-081, 2020-082, 2020-083 RFQ No. 2020-053 ABC: Php 262,472.00 Request for Quotation (RFQ) with details of procurement is available for download. Or you may visit during office hours, look for Ms. Angelee M. Bernal, BAC Secre</t>
  </si>
  <si>
    <t xml:space="preserve"> for Maintenance of MDRRM Ambulance, Local Government Unit - Nabua, Camarines Sur</t>
  </si>
  <si>
    <t xml:space="preserve"> City Government of La Carlota								          Standard Form Number: SF-GOOD-59 Revised on: May 24, 2004 Standard Form Title: REQUEST FOR QUOTATION 												Date: ______________ 												Quotation No.________ Company Name Address 	Please quote your </t>
  </si>
  <si>
    <t xml:space="preserve"> 1 kit Glucose Pap SL 6x100ml + STD 1 kit Cholesterol SL 6x100ml + STD 1 kit Uric Acid SL 5x100ml + STD 2 kit CreatinineJaffe 4 x250ml 2 kit Triglycerides Mono 6x50ml + STD 1 kit ALT/SGPT 4x62.5ml 1 kit HDL Chol 3x80ml 1 box Elitrol Normal Control 1 box El</t>
  </si>
  <si>
    <t xml:space="preserve"> 1 unit 	Water bath/holding tank with thermometer and heater	 	  -Rectangular shape, L1M x W0.6M x H0.5M	 	  -made of stainless steel 304 materials , 3mm thick	 	  -removable inner platform, made of perforated sheet	 	  -hinge cover with gasket	 	  -electr</t>
  </si>
  <si>
    <t xml:space="preserve"> See attached for the request of quotation form.</t>
  </si>
  <si>
    <t xml:space="preserve"> 50 bot cleaner disinfectant &amp; 8 others</t>
  </si>
  <si>
    <t xml:space="preserve"> The Barangay Government of Altura Matanda, Tanauan City through the Bids and Awards Committee(BAC) invites Suppliers/Contractors to apply for the eligibility and if subsequently found eligible to bid for the supply of materials for the project described h</t>
  </si>
  <si>
    <t xml:space="preserve"> Description	Quantity	Unit GI Pipe Casing, 8” Ø Dia. (Sch.40)	17	Lengths GI Pipe Casing, 10” Ø Dia. (Sch 40)	5	Lengths Submersible Pump, 5 Hp. w/ Motor and Control Box	1	Set Panel Board, for 5 Hp	1	Set Submer Cable	90	M P.E Pipes, 3” Ø Dia. X 60m	9	Rolls</t>
  </si>
  <si>
    <t xml:space="preserve"> Heavy Duty Welding Machine (Bx1-500A Electrode  Holder(300amp)/ground Clamp(300amp)/pure copper welding cable (20mtrs)/ARC welding  helmet, oxygen/acetylene gauge welding Kit accessory with cylinder tank alum Power sparyer w/ induction motor 1.5hp (30m ho</t>
  </si>
  <si>
    <t xml:space="preserve"> Republic of the Philippines PROVINCE OF SOUTHERN LEYTE Maasin City Invitation to Bid for the Procurement of Window Blinds and Glass Sticker  Contract ID # 2020-07-07-366PG 1.	The Provincial Government of Southern Leyte through the OVG Other Supplies and M</t>
  </si>
  <si>
    <t xml:space="preserve"> 25 CU.M   READY MIXED AND AND GRAVEL</t>
  </si>
  <si>
    <t xml:space="preserve"> Construction of Deep well at Zone III Brgy, San Miguel</t>
  </si>
  <si>
    <t xml:space="preserve"> Item No.	Unit	Description	Qty 1	prs	Working Glove	1500 2	roll	Laminated Sack 10 x 16	20 3	roll	Nylon Rope 10 x 100 m	50 4	kl	Brown Sugar 1 kL	50 5	box	Sardinas	96 6	ea	Styro Bowl 10 s	1000 7	pcs	Mineral Water 500 ml	1000 8	pck	Biscuit 150 gms	500 9	ea	Duc</t>
  </si>
  <si>
    <t xml:space="preserve"> The Local  Government   Unit  of General  Santos  City, through  the  GENERAL FUND CY 2020  intends  to apply  the sum of four hundred fifty thousand and xx / 100 Pesos Only (450,000.00)   being  the Approved  Budget  for the Contract   (ABC) to payments </t>
  </si>
  <si>
    <t xml:space="preserve"> Other Supplies</t>
  </si>
  <si>
    <t xml:space="preserve"> 1 LOT FOR INSTALLATION OF GABIONS AND LOG-CUTTING ACTIVITY FOR WO-0620-001: SLOPE STABILIZATION PROJECT AT LAPAAN WATERSHED AREA (REFER TO ATTACHED FILE)</t>
  </si>
  <si>
    <t xml:space="preserve"> Invitation to Bid for the supply &amp; delivery of Goods &amp; Commodities for use of the Bureau of Jail Management &amp; Penology, Batangas City</t>
  </si>
  <si>
    <t xml:space="preserve"> Hatchery Equipments and paraphernalia 1. 	5	pcs.	a. Red liquid glass thermometer (6mmx300mm) 2. 	1	pc.	b. Portable D.O. Meter (Digital)		 			c. Weighing Scales 3.	1	pc.	c. 1 Digital weighing scale (5kg cap) 4.	1	pc.	c. 2 Weighing Scale (10kg cap) 5.	1	pc.</t>
  </si>
  <si>
    <t xml:space="preserve"> Hybrid Trimaran Vessel Classification as per attached Request for Quotation.</t>
  </si>
  <si>
    <t xml:space="preserve"> The Local  Government   Unit  of General  Santos  City, through  the  GENERAL FUND CY 2020  intends  to apply  the sum of five hundred forty one thousand one hundred and xx / 100 Pesos Only (541,100.00)   being  the Approved  Budget  for the Contract   (A</t>
  </si>
  <si>
    <t xml:space="preserve"> 70 bxs. Bond Paper (Long) sub.22 @ 5 reams/box 70 bxs. Bond Paper (Short) sub.22 @ 5 reams/box 150 pcs. Record book 300 leaves 150 pcs. Record book 500 leaves 1,000 pcs. Ball pen Blk @ 50/box 500 pcs. Ball pen Blue @ 50/box 200 pcs. Ball pen Red @ 50/box </t>
  </si>
  <si>
    <t xml:space="preserve"> June 15, 2020 REQUEST FOR QUOTATION (RFQ) CORRECTIVE MAINTENANCE SERVICE OF GENERATOR SET II (AKSA) 1.	The Batangas Medical Center hereinafter referred to as the “Purchaser” now request for submission of price proposal for the procurement of the aforesaid</t>
  </si>
  <si>
    <t xml:space="preserve"> SUPPLY &amp; DELIVERY OF INSERT WATER METER &amp; TAILPIECE GASKET</t>
  </si>
  <si>
    <t xml:space="preserve"> Republic of the Philippines Province of Batangas CITY OF STO. TOMAS INVITATION TO BID The City Government of Sto. Tomas, Batangas through its Bids and Awards Committee (BAC) invites accredited contractors registered with and classified by the Philippine C</t>
  </si>
  <si>
    <t xml:space="preserve"> Small Value Procurement . . .</t>
  </si>
  <si>
    <t xml:space="preserve"> INVITATION FOR SUBMISSION OF QUOTATION (SMALL VALUE PROCUREMENT) 	The local Government Unit of Can-avid, through is Bid and Awards Committee (BAC). Invites suppliers to apply for eligibility, to bid for the hereunder contract: Name of Contract:  	T-shirt </t>
  </si>
  <si>
    <t xml:space="preserve"> The National Mapping and Resource Information Authority, Bids and Awards Committee (NAMRIA BAC) invites interested SUPPLIERS/DEALERS &amp; CONTRACTORS for the following project/s: Procurement of ICT Resources for Geospatial Information and System Management U</t>
  </si>
  <si>
    <t xml:space="preserve"> Sala Set = 1 set Dinning Set (6-Seater) = 1 set Sofa = 1 set</t>
  </si>
  <si>
    <t xml:space="preserve"> 4 PCS Ordinary Plywood, 1/4" 25 pcs 2x2 bd. Ft Form Lumber 3 kg. Common Wire Nails, 3" 2 kg. Common WireNails, 2" 8 kg. Tie Wire, #16 138 bags Cement 9 cu.m Sand 16 cu.m Gravel 161 pc 12mmoDeformable Steel Bar 92 pc 10mmoDeformable Steel Bar 23 kg Tie Wir</t>
  </si>
  <si>
    <t xml:space="preserve"> Republic of the Philippines PROVINCE OF DAVAO ORIENTAL MUNICIPALITY OF SAN ISIDRO INVITATION TO BID FOR THE PROCUREMENT OF WORKS FOR THE CONST’N OF VAWC CRISIS CENTER INCL. MADAC DRUG TREATMENT CENTER AT BRGY BATOBATO, SAN ISIDRO, DAVAO ORIENTAL 1.	The Mu</t>
  </si>
  <si>
    <t xml:space="preserve"> 9 units Tab A 8.0 (2GB Ram, 32Gb ROM, Battery 5100mAh, OS Android 9.0 Pie &amp; Processor Quadcore 2.0GHz) T295 1 unit Tab A 8.0 w/ S Pen (3GB Ram, 32GB ROM, battery 4,200mAh, OS  Android 9.0 pie &amp; processor quad core 1.8GHz) SM-P205</t>
  </si>
  <si>
    <t xml:space="preserve"> 1. Heavy Duty Steel Folding Bed with Mattress 5 piece	6,250.00 2. Single Foam Mattress 3 piece	4,000.00 3. Fold-A-Mattress with Thin cotton 12 piece	2,150.00 4. Emergency Light 1 piece	1,950.00 5. Disinfectant Mat (for shoes) 3 piece	1,500.00 6. Electric </t>
  </si>
  <si>
    <t xml:space="preserve"> Invitation to Bid for the supply, delivery &amp; printing of Pamphlets, Letterheads &amp; Tarpaulins for use of different Offices of Batangas City Government.</t>
  </si>
  <si>
    <t xml:space="preserve"> JOB ORDER: Furnishing of labor, materials and equipment for the Proposed Rehabilitation/Improvement of School Facilities at Legazpi Port Elementary School Brgy. 31- Baybay, Legazpi City</t>
  </si>
  <si>
    <t xml:space="preserve"> For the maintenance of diff. offices of the Municipal Hall.</t>
  </si>
  <si>
    <t xml:space="preserve"> Please see attached PR for specifications</t>
  </si>
  <si>
    <t xml:space="preserve"> Item No.	Unit		Item Description		Quantity 					 1	pcs.		Water Meter 1/2"		                100 2	pcs.		Water Meter 1"		                           2 3	pcs.		Gate Valve with Magnetic Lock		100 4	pcs.		Saddle Clamp 4"x1/2"		          50 5	pcs.		Sadlle Clamp 2</t>
  </si>
  <si>
    <t xml:space="preserve"> Improvement / Upgrading of Pasalubong Center (Window Grilles, Door and Tables)</t>
  </si>
  <si>
    <t xml:space="preserve"> Republic of the Philippines Province of Cebu MUNICIPALITY OF BALAMBAN Balamban, Cebu REQUEST FOR QUOTATION The Municipality of Balamban, through its Bids and Awards Committtee (BAC), will undertake a Negotiated Procurement (Small Value Procurement) for ME</t>
  </si>
  <si>
    <t xml:space="preserve"> Metropolitan Manila Development Authority																																     BIDS AND AWARDS COMMITTEE																																 																																    REQUEST FOR QUOTATION																																 Small Value Procurement						</t>
  </si>
  <si>
    <t xml:space="preserve"> PURCHASE OF FUEL, OIL AND LUBRICANTS, CMO, CALBAYOG CITY</t>
  </si>
  <si>
    <t xml:space="preserve"> 1	2	unit	PRINTER	 			L3110 EPSON	 				 2	1	unit	LAPTOP 	 			Inspiron 5570	 			INTELCORE i5-8250 U	 			Ram-4GB_DDR4	 			HHD-118	 			Video Card Radion 530	 			15.6''/ DVD RW	 			windows 10	 				 APPROVED BUDGET FOR THE CONTRACT: PHP 50,000.00 LOCATION OF TH</t>
  </si>
  <si>
    <t xml:space="preserve"> Item No.	Unit	Description	Qty 1	pcs	Hardiflex 1/4x4x8	60 2	pcs	Metal furring 1x2x16	150 3	bxs	Blind Rivets 1/8	4 4	pcs	Drill bit 1/8	30 5	pcs	Metal stud 2x3x10	150 6	kgs	Concrete nail 2	3 7	pcs	Panel door 0.80x2.10	2 8	pcs	Door knob	6 9	prs	Door hinges LP</t>
  </si>
  <si>
    <t xml:space="preserve"> Republic of the Philippines PROVINCE OF DAVAO ORIENTAL MUNICIPALITY OF SAN ISIDRO INVITATION TO BID FOR THE PROCUREMENT OF WORKS FOR THE CONST’N OF 1 UNIT – 67.20 SQ.M. AND 3 UNITS – 25.5 SQ.M. MRF, SAN ISIDRO, DAVAO ORIENTAL 1.	The Mun. of San Isidro, Da</t>
  </si>
  <si>
    <t xml:space="preserve"> Brand New Tires ( 8 pcs. 10.00x20, 6 pcs. 11.00x20, 4 pcs. 8.25x20)</t>
  </si>
  <si>
    <t xml:space="preserve"> The National Mapping and Resource Information Authority, Bids and Awards Committee (NAMRIA BAC) invites interested SUPPLIERS/DEALERS &amp; CONTRACTORS for the following project/s: Upgrading of Staboardside Main Engine of BRP Hydrographer Ventura. Kindly conta</t>
  </si>
  <si>
    <t xml:space="preserve"> ITEM NO.	ITEM &amp; DESCRIPTION	 BRAND	UOM	QTY. 1	205/65 R15 Ecopia EP300 (Tire)			2 2	235/75 R15 (6FR) 697 Dueler (Tire)			2 3	135R14 R624 (Tire)			4</t>
  </si>
  <si>
    <t xml:space="preserve"> JANITORIAL SERVICES 1 person/unit July to December 2020 Cebu Mode of Procurement: Negotiated Procurement-Small Value Procurement Approved Budget for the Contract: Php108,000.00 Requirements: 1.	Business Permit/Mayor’s Permit 2.	Philgeps Registration Numbe</t>
  </si>
  <si>
    <t xml:space="preserve"> The AGRICULTURAL TRAINING INSTITUTE-REGIONAL TRAINING CENTER (ATI-RTC) X, through the 2020 General Appropriations Act intends to apply the sum of Eighteen  Thousand Pesos (P 18,000.00) being the Approved Budget for the Contract (ABC) to payments under the</t>
  </si>
  <si>
    <t xml:space="preserve"> Please see attached PR in Associated Components</t>
  </si>
  <si>
    <t xml:space="preserve"> The Local  Government   Unit  of General  Santos  City, through  the  GENERAL FUND CY 2020  intends  to apply  the sum of five hundred twenty four thousand eight hundred and xx / 100 Pesos Only (524,800.00)   being  the Approved  Budget  for the Contract </t>
  </si>
  <si>
    <t xml:space="preserve"> 60	ream	Bond Paper, (Good Quality, Long) 60	ream	Bond Paper (Good Quality, A4) 60	pcs	Expanding Envelope (Brown, Long) 12	cart	HP 680 (Black) 10	cart	HP 680 (Colored) 500	pc	Folder (White, Long) 100	pc	Folder (Green, Long) 3	gal	Alcohol 4	pcs	Dater 3	pcs	</t>
  </si>
  <si>
    <t xml:space="preserve"> INVITATION TO BID REPUBLIC OF THE PHILIPPINES CITY OF GOVERNMENT OF NAVOTAS BARANGAY SAN RAFAEL VILLAGE   BIDS AND AWARDS COMMITTEE 1.The Sangguniang BaraNGAY San Rafael Village, through its Bids and Awards Committee intends      to apply the sun of One H</t>
  </si>
  <si>
    <t xml:space="preserve"> MEALS AND SNACKS</t>
  </si>
  <si>
    <t xml:space="preserve"> Department of Education Region VI-Western Visayas Cadiz City Alimatoc Elementary School Invitation to Bid for the Repair and Maintenance of Faulty Electrical Wiring of Alimatoc Elementary School 1.	The Alimatoc Elementary School, through the School’s MOOE</t>
  </si>
  <si>
    <t xml:space="preserve"> 5	pc.	P-Trap 5	pc.	Flexible Hose, 1/2 x 1/2 x 1/8" 3	pc.	Angle Valve 3	pc.	Faucet (ordinary) 5	pc.	Faucet (lavatory) 5	set	Water Closet 1	gal.	Muriatic Acid 10	pc.	Teflon Tape (big) 1	1/2 lt.	Epoxy 1	pc.	Snake Wire Pipe Cleaner, 1/4 x 25' 2	bg.	Cement 6	p</t>
  </si>
  <si>
    <t xml:space="preserve"> 1	1	UNIT	Executive Chair	 				 			*Ergodynamic	 			*HBC 132-CUL	 			*Essential Leather/PU Leather	 				 				 2	4	UNIT	Computer Chair/Swivel Chair	 				 			*Ergodynamic Chair	 			*Black	 				 				 APPROVED BUDGET FOR THE CONTRACT: PHP 15,000.00 LOCATION OF</t>
  </si>
  <si>
    <t xml:space="preserve"> Please see attached file (RFQ-20-06-0459) for reference.</t>
  </si>
  <si>
    <t xml:space="preserve"> 1300 Pcs. 2020 Quadrivalent Inactivated Influenza Vaccine</t>
  </si>
  <si>
    <t xml:space="preserve"> Supply &amp; Delivery of D.I.S.T.C 2", 3" &amp; 4"</t>
  </si>
  <si>
    <t xml:space="preserve"> JOB ORDER: Furnishing of labor, materials and equipment for the Proposed Concrete Fence and Slope Protection at Lamba Elementary School, Brgy. 60- Lamba, Legazp City</t>
  </si>
  <si>
    <t xml:space="preserve"> Republic of the Philippines Cordillera Administrative Region Province of Kalinga B A L B A L A N BARANGAY POBLACION Invitation to Apply for Eligibility and to Bid for the PURCHASE AND DELIVERY OF IT EQUIPMENTS, POBLACION, BALBALAN 1.	The Local Government </t>
  </si>
  <si>
    <t xml:space="preserve"> MATERIALS/TOOLS/EQUIPMENT FOR THE IMPLEMENTATION OF LIVELIHOOD PROJECT OF MUSLIM CHRISTIAN REPAIR UMBRELLA ASSOCIATION SEE ATTACHED CANVASS FORM FOR THE DETAILS PROCUREMENT IS ON A LOT BASIS</t>
  </si>
  <si>
    <t xml:space="preserve"> 8 sack, Industrial Salt Ion Exchange Resin, high sodium chloride purity, large chunky crystal for water treatment use, 12.5 kilos/sack</t>
  </si>
  <si>
    <t xml:space="preserve"> Republic of the Philippines Province of Samar  Municipality of Jiabong INVITATION TO BID FOR  CONSTRUCTION OF MULTI-PURPOSE HALL BRGY CANTONGTONG, JIABONG SAMAR Jiab-2020-25A 1.	The Municipal Government of Jiabong, Samar, intends to apply the sum of ONE H</t>
  </si>
  <si>
    <t xml:space="preserve"> QUANTITY	UNIT	ARTICLES				 60	rolls	Adhesive Tape, Scotch Tape 1"				 30	reams	Bond Paper, Long, S-20, Good Quality				 50	reams	Bond Paper, Short, S-20, Good Quality				 10	reams	Bond Paper, Short, S-24, Good Quality				 20	reams	Colored Paper, Long, Neo</t>
  </si>
  <si>
    <t xml:space="preserve"> 375 bags cement , Portland 3 kgs CW Nails, Assorted 17 pcs RSB 16mm0 3 pcs RSB 12mm0 288 bdft Coco lumber 42 cu.m. Gravel 21 cu.m. Sand</t>
  </si>
  <si>
    <t xml:space="preserve"> 40	pcs	File Box w/cover (Green) 360	pcs	File Box w/cover (Red)</t>
  </si>
  <si>
    <t xml:space="preserve"> various electrical materials</t>
  </si>
  <si>
    <t xml:space="preserve"> Provision of :								 	SURVEY SERVICES FOR THE FOLLOWING LOTS:								 									 Lot 1 	LOT 3 - CSII-2020 (CC)							has. 	12.6945 	&gt;  Subdivision Survey of Collective CLOA located at Tinambac,								 		Camarines Sur 							 									 Lot 2 	LOT 4-CSII-</t>
  </si>
  <si>
    <t xml:space="preserve"> Item No.	Unit	Description	Qty 1	sets	Window Roller Blinds 120 x 180	5 2	pcs	THHN wire 12/7	5 3	rlls	THHN wire 14/7	3 4	rlls	Moldflex tube 1/2 in NULL	5 5	rlls	PVC junction box w/ cover	60 6	pcs	PVC utility box	30 7	pcs	Pinlight 4in NULL	50 8	pcs	LED bulb </t>
  </si>
  <si>
    <t xml:space="preserve"> 1.	a) Contract ID:       20GOF0010 b) Contract Name:  Supply and Delivery of Clearance Light (Amber) and Sixteen others for use of Drop Side Truck with DPWH No. H2-348/Property Plate No. DOQ-314 assigned at Maintenance Section, Quezon City I Engineering D</t>
  </si>
  <si>
    <t xml:space="preserve"> Window Type Aircon 2HP</t>
  </si>
  <si>
    <t xml:space="preserve"> PROCUREMENT OF LOGISTIC SUPPLIES FOR RABIES CONTROL PROGRAM OF THE MUNICIPAL AGRICULTURE OFFICE FOR THE 1ST QUARTER OF THE YEAR 2020</t>
  </si>
  <si>
    <t xml:space="preserve"> Small  Value Procurement . . . .</t>
  </si>
  <si>
    <t xml:space="preserve"> SULTAN KUDARAT STATE UNIVERSITY OFFICE OF BIDS AND AWARDS COMMITTEE 2ND FLOOR, ADMINISTRATION BUILDING ACCESS, EJC., MONTILLA, TACURONG CITY INVITATION TO BID FOR MACHINERY &amp; EQUIPMENT OUTLAY FOR THE PURCHASE OF VARIOUS EQUIPMENT FOR THE SCIENCE LABORATOR</t>
  </si>
  <si>
    <t xml:space="preserve"> Supply and Delivery of Customized Cabinet for the Accounting Department</t>
  </si>
  <si>
    <t xml:space="preserve"> 2.	a) Contract ID:       20GOF0011 b) Contract Name:  Supply and Delivery of Data Arch File Folder and one (1) other for use of various Sections at Quezon City I District Engineering Office. c) Contract Location: Quezon City d) Approved Budget for the Con</t>
  </si>
  <si>
    <t xml:space="preserve"> Supply and Delivery of Administrative Facilities and Equipment at NFA Laguna Provincial Office</t>
  </si>
  <si>
    <t xml:space="preserve"> Supply &amp; Delivery OF PLASTIC FITTINGS</t>
  </si>
  <si>
    <t xml:space="preserve"> QUANTITY	UNIT	ARTICLES				 2	units	File Cabinet, Lateral, Steel, 3-Drawer, Heavy Duty				 3	units	File Cabinet, Vertical, Steel, 4-Drawer, Heavy Duty				 2	units	Locker Cabinet, Metal, 15-Door (See attached sample)				 4	units	Rubber Boots Rack (See attac</t>
  </si>
  <si>
    <t xml:space="preserve"> Printing &amp; Publication Expenses</t>
  </si>
  <si>
    <t xml:space="preserve"> See attached Request for Quotation of Seedlings</t>
  </si>
  <si>
    <t xml:space="preserve"> PLease refer to the attached terms of reference. Download and send the attached RFQ to car.mountainprovince@dti.gov.ph to MBAEL F. BANGGAWAN, OIC-Provincial Director, DTI-Mountain Province</t>
  </si>
  <si>
    <t xml:space="preserve"> 1 unit 	UV-Vis spectrophotometer - Benchtop type, double-beam, Compact  	 	     (space saver), Wavelength range of 190nm-1100nm, Path length must	 	     be 1 cm, and/or changeable with 1-10cm path, must include at least 2 	 	     cuvettes and all necessar</t>
  </si>
  <si>
    <t xml:space="preserve"> 3 units - Rechargeable Megaphone 5 units Heavy Duty Rechargeable Flashlight 10 pcs Resucue Helmet 1 unit Infant CPR Mannequin 1 unit Child CPR Mannequin 3 units VHF Radio with License 13 pairs Knee Pads 13 pairs Elbow Pads 15 PCs Head Lamp 15 pcs Personal</t>
  </si>
  <si>
    <t xml:space="preserve"> Kindly refer to the attached RFQ</t>
  </si>
  <si>
    <t xml:space="preserve"> QUANTITY	UNIT	ARTICLES				 40	boxes	Bond Paper Sub 20 (70 GSM), Short  8.5" x 11", 5 reams/box				 50	boxes	Bond Paper Sub 20 (70 GSM), Long 8.5" x 13", 5 reams/box				 50	boxes	Bond Paper Sub 20 (70 GSM), A4 210mm x 297mm, 5 reams/box				 		*****END*****</t>
  </si>
  <si>
    <t xml:space="preserve"> CATERING SERVICES DURING SP SESSION/LEGISLATIVE ACTIVITIES, SPO, CALBAYOG CITY</t>
  </si>
  <si>
    <t xml:space="preserve"> Farm Inputs...diff vegetable seeds  for crop production under DAR ARBold program</t>
  </si>
  <si>
    <t xml:space="preserve"> Solar Streetlights w/stand Solar Panel 5V/35W (movable panel) Lamp: Nichia Led SMD, 3400 lumens equivalent to 68 watts Battery: 3.2V/ 26AH Life PO4 battery Charging Time: 4 hours Lighting Time: All night lighting 4 hours full power lighting and intelligen</t>
  </si>
  <si>
    <t xml:space="preserve"> 1	200	liter	Gasoline	 				 APPROVED BUDGET FOR THE CONTRACT: PHP 11,600.00 LOCATION OF THE CONTRACT: BATARAZA, PALAWAN DURATION OF THE CONTRACT: 7 DAYS SCHEDULE OF ACTIVITIES: POSTING AND ISSUANCE OF BIDS: JUNE 15-22, 2020 PRE-BID CONFERENCE : DEADLINE FO</t>
  </si>
  <si>
    <t xml:space="preserve"> Republic of the Philippines Province of Davao del Sur MUNICIPALITY OF STA.CRUZ INVITATION TO BID REHABILITATION / IMPROVEMENT OF POTABLE WATER SYSTEM – LEVEL II (ITB No. 06-INFRA-2020) 1.	The Local Government Unit of Sta. Cruz, Davao del Sur through the T</t>
  </si>
  <si>
    <t xml:space="preserve"> QUANTITY	UNIT	ARTICLES				 80	boxes	Losartan 50mg, 100's				 80	boxes	Atorvastatin 20mg, 100's				 80	boxes	Losartan 100mg, 100's				 80	trays	Amlodipine 5mg, 100's				 80	boxes	Amlodipine 10mg, 100's				 100	vials	Insulin 70/30				 100	boxes	Gliclazide 3</t>
  </si>
  <si>
    <t xml:space="preserve"> Construction Materials</t>
  </si>
  <si>
    <t xml:space="preserve"> Please see attached Request for Quotation (RFQ)</t>
  </si>
  <si>
    <t xml:space="preserve"> Municipality of Manay Invitation to Bid for Fencing of Municipal Baywalk 1.	The Municipality of Manay, through General Fund ( 20% Development Fund ) intends to apply the sum of One Million Five Hundred Pesos  (P 1,500,000.00)  being the Approved Budget fo</t>
  </si>
  <si>
    <t xml:space="preserve"> 1. WITHIN URDANETA CITY OR NEARBY TOWNS 2. FOR 125 PERSONNEL 3. SERVICES SHOULD BE DONE IN THE SCHOOLS DIVISION OFFICE FOR NOT MORE THAN 7 DAYS</t>
  </si>
  <si>
    <t xml:space="preserve"> Office supplies and equipment</t>
  </si>
  <si>
    <t xml:space="preserve"> 3.	a) Contract ID:       20GOF0012 b) Contract Name:  Supply and Delivery of L-Type Table with Partition and four (4) others for use of Construction Section at Quezon City I District Engineering Office. c) Contract Location: Quezon City d) Approved Budget</t>
  </si>
  <si>
    <t xml:space="preserve"> QUANTITY	UNIT	ARTICLES				 1200	bottles	Ferrous Sulfate with Folic Acid Tab, 100's				 750	boxes	Calcium Carbonate Tab, 100's				 		*****END*****</t>
  </si>
  <si>
    <t xml:space="preserve"> Use for Backhoe -UH-04</t>
  </si>
  <si>
    <t xml:space="preserve"> 1 pc. beam, 12 pcs. torque rod bushing, 1 pc. trunion assy., 2 pcs. trunion seat, 2 pcs. trunion oil seal, 4 pcs. torque rod bolt long, 16 pcs. torque rod bolt short, 32 pcs. trunion bolt, 8 pcs. u-bolt rear, 32 pcs. hub bolt, 2 pcs. trunion washer, 4 pcs</t>
  </si>
  <si>
    <t xml:space="preserve"> The City Government of San Pedro, Laguna invites interested parties to quote for the following item/s as per request GSO: Qty.	Unit of Issue	Item Description 		 5000	pcs	Garbage Bag (18.5 x 18.5 x 40 x 0.0012 - Biodegradeable) 75	gals	70% Isoprophyl Alcoh</t>
  </si>
  <si>
    <t xml:space="preserve"> INVITATION FOR SUBMISSION OF QUOTATION (SMALL VALUE PROCUREMENT) 	The local Government Unit of Can-avid, through is Bid and Awards Committee (BAC). Invites suppliers to apply for eligibility, to bid for the hereunder contract: Name of Contract:  	Catering</t>
  </si>
  <si>
    <t xml:space="preserve"> CONSTRUCTION OF LOCAL ACCESS ROAD @ BRGY. BAWOD, SAN ISIDRO, LEYTE. CONSTRUCTION OF 91.20M. X 6.0M X.20M CONCRETE PAVEMENT WITH REINFORCED CONCRETE CANAL AND COVER ON BOTH SIDES OF THE ROAD 5.0 UNITS 1.0M. X 1.0M. RCBC, 334.34 LN.M. CENTER ISLAND, 574.32 </t>
  </si>
  <si>
    <t xml:space="preserve"> Engine Oil Synthetic = 200 btls. Tire Block  = 50 btls.</t>
  </si>
  <si>
    <t xml:space="preserve"> 100 pcs, N95 Small For COVID-19 testing use</t>
  </si>
  <si>
    <t xml:space="preserve"> Strenghtening of Internet Connectivity for New Normal Classes</t>
  </si>
  <si>
    <t xml:space="preserve"> Purchase of  relief good</t>
  </si>
  <si>
    <t xml:space="preserve"> QUANTITY	UNIT	ARTICLES				 2	units	Printer				 		          L3110 or its equivalent				 		          All-in-One Printer (Print, Scan, Copy)				 		          Continuous Ink Support System				 		Desktop Computer				 1	unit	System Unit :				 		          Process</t>
  </si>
  <si>
    <t xml:space="preserve"> The DENR PENRO Zamboanga del Sur invites interested suppliers to submit quotation for Common Use Supplies with the following specifications: Specification Quantity Unit Bond Paper Sub.20,Long 200 Reams Bond Paper Sub.20,A4 50 Reams Folder Long 10 Reams Ex</t>
  </si>
  <si>
    <t xml:space="preserve"> RFQ (20-06-049) Various Supplies for Mechanical Ventilator Rental Use</t>
  </si>
  <si>
    <t xml:space="preserve"> 4.	a) Contract ID:       20GOF0013 b) Contract Name:  Supply and Delivery of Flat Latex Paint (White) for use in Maintenance of various National Roads within District I, II, V and VI, Q.C. c) Contract Location: Quezon City d) Approved Budget for the Contr</t>
  </si>
  <si>
    <t xml:space="preserve"> 5.	a) Contract ID:       20GOF0014 b) Contract Name:  Supply and Delivery of Cold Mix Asphalt for use in Maintenance/Rehabilitation and Improvement of National Roads in District I, II, V and VI, Q.C. c) Contract Location: Quezon City d) Approved Budget fo</t>
  </si>
  <si>
    <t xml:space="preserve"> 8 pcs. ASUS X550ZE Battery (replace/installation)		 4 pcs. ASUS X550ZEKeyboard (replace/installation)		 8 pcs. ASUS X550ZECharger (replace/installation) 		 1 pc.  17” ASUS ROG GL552V Carrying Pack</t>
  </si>
  <si>
    <t xml:space="preserve"> QUANTITY	UNIT	ARTICLES				 25	bags	Cement				 1	pc	Nylon Wire				 10	pcs	RSB 10mm				 25	pcs	Cutting Disc #4, Metal				 4	pcs	Drill Bit 1/4				 3	pcs	Drill Bit 3/16				 2	pcs	Drill Bit 1/8				 2	pcs	Pail				 100	pcs	Bolt &amp; Nut 3/8 x 1 1/4				 5	kgs	Weldin</t>
  </si>
  <si>
    <t xml:space="preserve"> SANGGUNIANG PANLUNGSOD 1 1 Unit/s Motorcycle, brand new, with complete accessories, with standard   tools, inclusive of LTO Registration and GSIS Comprehensive Insurance, with one (1) year warranty on parts and services, with the following Specifications:</t>
  </si>
  <si>
    <t xml:space="preserve"> LIQUID SOAP KIT                        10     UNITS</t>
  </si>
  <si>
    <t xml:space="preserve"> REQUEST FOR QUOTATION The Municipality of Balamban, through its Bids and Awards Committtee (BAC), will undertake a Negotiated Procurement (Small Value Procurement) for CONSTRUCTION MATERIALS OF COVERED COURT AT MENTERYONG DAAN PONDOL BALAMBAN CEBU   ( Mat</t>
  </si>
  <si>
    <t xml:space="preserve"> 1	1,000	PCS	REAL PROPERTY TAX ACCOUNT REGISTER	 				 APPROVED BUDGET FOR THE CONTRACT: PHP 30,000.00 LOCATION OF THE CONTRACT: BATARAZA, PALAWAN DURATION OF THE CONTRACT: 7 DAYS SCHEDULE OF ACTIVITIES: POSTING AND ISSUANCE OF BIDS: JUNE 15-22, 2020 PRE-BI</t>
  </si>
  <si>
    <t xml:space="preserve"> 1	20	kgs	Welding Rod 2	3	pcs	14" Cutting Disk 3	9	gals	Rust Converter 4	14	gals	Roof Paint 5	16	gals	Red Oxide Primer 6	9	gals	Paint Thinner 7	11	pcs	#120 Sand Paper 8	2	pails	Flat Latex 9	2	pails	Semi-Gloss Latex 10	3	pcs	9" Roller Brush w/ Tray 11	5	pcs</t>
  </si>
  <si>
    <t xml:space="preserve"> The Municipality of Baliwag, through its Bids and Awards Committee (BAC), invites contractors to apply for eligibility and to bid the here ender project: Name of Project	:	PURCHASE OF ONE YEAR SSL SUBSCRIPTION FOR 				THE MUNICIPALITY OF BALIWAG 	 Locatio</t>
  </si>
  <si>
    <t xml:space="preserve"> QUANTITY	UNIT	ARTICLES				 926	pcs	Hard Bound Cover				 		          Color: Blue				 		          Height: 3.5 inches				 		          Length: 16 inches				 		          Width: 9 inches				 		          Mechanism: 70mm				 		*****END*****</t>
  </si>
  <si>
    <t xml:space="preserve"> 1.	The OROQUIETA CITY WATER DISTRICT, through the Corporate Approved Budget 2020 intends to apply the sum of Eight Hundred Thousand Pesos &amp; 00/100 (Php 800,000.00) being the Approved Budget for the Contract (ABC) to payments under the contract for the sup</t>
  </si>
  <si>
    <t xml:space="preserve"> RFQ (20-06-053) Compressed Air</t>
  </si>
  <si>
    <t xml:space="preserve"> QUANTITY	UNIT	ARTICLES				 5	cu.m.	Sand				 150	pcs	CHB #4				 20	rolls	P.E Pipe Blue 3/4 150m				 20	pcs	Compression Coupling 3/4				 1	pc	Solvent 250cc				 40	pcs	KD 2 x 4 x 12				 50	pcs	KD 2 x 3 x 12				 100	pcs	KD 2 x 2 x 12				 40	pcs	KD 1 x 2 x 12	</t>
  </si>
  <si>
    <t xml:space="preserve"> 30 Rolls PE PIPE SDR9 # 1 1/2</t>
  </si>
  <si>
    <t xml:space="preserve"> WEBCAM - ANTI GLARE</t>
  </si>
  <si>
    <t xml:space="preserve"> I. GLASS AND ALUMINUM INSTALLATION (OFFICE PARTITION) II. IRON WORKS (CONSTRUCTION OF MPB KITCHEN-ROOF FRAMING, ROOFING , DOOR GRILLS, SECURITY GRILLS, MBP DOOR / WINDOW GRILLS. FIRE EXIT LADDER) III. MASONRY WORKS INCLUDING FORM WORKS (MBP-KITCHEN) BREAK</t>
  </si>
  <si>
    <t xml:space="preserve"> 1. FREE DELIVERY AT THE SCHOOLS DIVISION OFFICE 2. WITHIN URDANETA CITY OR NEARBY TOWNS 3. SHOULD BE DELIVERED ON OR BEFORE JUNE 26, 2020</t>
  </si>
  <si>
    <t xml:space="preserve"> 6.	a) Contract ID:       20GOF0015 b) Contract Name:  Supply and Delivery of Thermoplastic Paint White and One (1) other, to be used along various National Roads in District I, II, V and VI, Q.C. c) Contract Location: Quezon City d) Approved Budget for th</t>
  </si>
  <si>
    <t xml:space="preserve"> Republic of the Philippines Province of Davao Oriental CITY OF MATI REQUEST FOR QUOTATION 			 Date:	11 JUNE 2020 RFQ No.:	0796-2020 Name of Company: __________________________________________________________________________________________________________</t>
  </si>
  <si>
    <t xml:space="preserve"> PURCHASE OF DESKTOP COMPUTER AND CPU, CEO, CALBAYOG CITY</t>
  </si>
  <si>
    <t xml:space="preserve"> 7.	a) Contract ID:       20GOF0016 b) Contract Name:  Gender and Development (GAD) Activities in the observance of National Women’s Celebration and 18-Day End VAW Campaign c) Contract Location: Quezon City d) Approved Budget for the Contract (ABC): P 100,</t>
  </si>
  <si>
    <t xml:space="preserve"> 1. The Local Government Unit of Magsaysay, Occidental Mindoro through the Annual Budget approved by Sanggunian intends to apply the sum of Ninety Nine Thousand Nine-hundred Forty Five Pesos (P99,945.00) being the Approved Budget for the Contract (ABC) to </t>
  </si>
  <si>
    <t xml:space="preserve"> QUANTITY	UNIT	ARTICLES				 42	bags	Cement				 2.5	cu.m.	Sand				 5	cu.m.	Gravel				 100	pcs	RSB 12mm x 6.00mm				 10	pcs	Angle Bar 2" x 2" x 4.5mm				 15	kgs	Tie Wire # 16				 330	bd.ft.	Coco Lumber				 10	kgs	CWN, Assorted 				 10	pcs	Plywood, Ordinary 1</t>
  </si>
  <si>
    <t xml:space="preserve"> Provision of Food and Physical Arrangement of the Venue relative to the conduct of Mid-year Performance Assessment (MYPA) &amp; 2nd Sem Re-Planning Exercises and Year-end Performance Assessment (YEPA) &amp; Corplanning Exercises ABC = P 150,000.00 MYPA &amp; Re-Plann</t>
  </si>
  <si>
    <t xml:space="preserve"> FABRICATION OF SYMBOLIC GONG WITH 7" DIAMETER TO BE INSTALLED AT MUNICIPAL LOBBY. BAC ACTIVITIES: JUNE 23, 2020  - PURCHASE OF BID DOCS                            JUNE 26, 2020  - SUBMISSION OF BID DOCS</t>
  </si>
  <si>
    <t xml:space="preserve"> 1	3	sets	Computer - Intel Corei7 7700/i7  8700; ECS H11 m/ Gigabyte	 			H310; 4GB DDR4 Hyper-X, 18.5" Monitor, CPU CASE w/ 700	 			PSU, KB/Mouse  Micropack USB, Headset, Mouse pad,	 			Speaker Bosston, AVR Secure 500W with UPS	 2	3	units	Printer : T710W ;</t>
  </si>
  <si>
    <t xml:space="preserve"> BIDS AND AWARDS COMMITTEE REQUEST FOR QUOTATION United Coconut Planters Bank (UCPB) invites all interested suppliers, which are registered in the Philippine Government Electronic System (PhilGEPS), to submit their lowest price proposal/quotation for Print</t>
  </si>
  <si>
    <t xml:space="preserve"> Qty	Unit	Particulars	Unit Price	 20	pcs	Broom soft	 	 60	kl	Chlorine		 150	pck	Detergent powder (82g) 6pcs/pack		 75	can	Disinfectant spray (510ml)		 50	box	Disposable Face mask (3ply/50s)		 10	box	Disposable Gloves (100s)		 20	pcs	Dustpan Plastic		 160	p</t>
  </si>
  <si>
    <t xml:space="preserve"> Consulting Services for the Relocation, Topographic and Subdivision Survey of Various LGU Owned Lots</t>
  </si>
  <si>
    <t xml:space="preserve"> B.9	Mobilization/Demobiliazation	lot	all	21,13860 102(2)b	Roadway Excavation (Surplus Common)	103	cu.m.	17,407.00 105(1)	Subgrade Preparation (Common Material)	316	sq.m.	6,004.00 201	Aggregate Base Coarse (100mm thk.)	31.50	cu.m.	44,100.00 311(1)a	PCC Pav</t>
  </si>
  <si>
    <t xml:space="preserve"> Republic of the Philippines PROVINCE OF DAVAO ORIENTAL MUNICIPALITY OF SAN ISIDRO INVITATION TO BID FOR THE PROCUREMENT OF VCM&amp;S FOR THE REHABILITATION OF LOCAL ROAD AT KABAISANAN, PUROK PERLAS, BATOBATO, SAN ISIDRO,DAVAO ORIENTAL 1.	The Municipality of S</t>
  </si>
  <si>
    <t xml:space="preserve"> note: please see attach supporting rfq</t>
  </si>
  <si>
    <t xml:space="preserve"> Procurement of 1 Set Steel Water Tank for Slaughterhouse use</t>
  </si>
  <si>
    <t xml:space="preserve"> Republic of the Philippines Province of Davao Oriental CITY OF MATI REQUEST FOR QUOTATION 			 Date:	11 JUNE 2020 RFQ No.:	0795-2020 Name of Company: __________________________________________________________________________________________________________</t>
  </si>
  <si>
    <t xml:space="preserve"> Floor tiling of AVR and Head Teacher's Office</t>
  </si>
  <si>
    <t xml:space="preserve"> Construction of Mini-Library</t>
  </si>
  <si>
    <t xml:space="preserve"> To be used for baking, cooking and dressmaking during TLE classes; for ventilation of tle office</t>
  </si>
  <si>
    <t xml:space="preserve"> QUANTITY	UNIT	ARTICLES				 150	pcs	CHB #4				 6	pcs	Angle Bar 1/4 x 1				 30	pcs	RSB 2.2				 30	pcs	Plywood 1/4				 26	bags	Cement				 2	kgs	Concrete Nail #3				 1	kg	Welding Rod				 2	boxes	THHN #12				 7	pcs	Electrical Tape				 15	pcs	Louver Block				 1</t>
  </si>
  <si>
    <t xml:space="preserve"> PHILIPPINE DEPOSIT INSURANCE CORPORATION SSS MAKATI Building, 6782 Ayala Avenue corner V.A. Rufino Street, Makati City PROCUREMENT AND PROPERTY DEPARTMENT REQUEST FOR QUOTATION Supplier       The PDIC invites you to submit a quotation for the item/s state</t>
  </si>
  <si>
    <t xml:space="preserve"> 1. 400  pcs. Brass Adopter ISO 20mm 2. 100  pcs. Brass Adopter ISO 25mm 3. 100  pcs. Brass Adopter ISO 32mm 4. 200  pcs.  Brass Ball Valve w/ Lockwing 1/2" 5. 100  pcs.  Brass Corp. Stop 3/4 " 6.  100  pcs.  Brass Union Compression Type 32mm 7.  10   roll</t>
  </si>
  <si>
    <t xml:space="preserve"> Republic of the Philippines Province of Abra Municipality of Pilar  Invitation to Bid for Construction/Rehabilitation of Irrigation System 1.	The Municipality of Pilar, through the RA 7171 to apply the sum of Php4,000,000.00 being the Approved Budget for </t>
  </si>
  <si>
    <t xml:space="preserve"> The Local Government Unit of Isabel, Leyte through its Bids and Awards Committee (BAC), invites eligible philgeps supplier in the Philippines to supply the hereunder; Name of Project : Purchase of Various Construction Materials Location: Mayor's Office, I</t>
  </si>
  <si>
    <t xml:space="preserve"> QUANTITY	UNIT	ARTICLES				 		1.0 AIR CONDITIONING EQUIPMENT INCLUDING ELECTRICAL WORKS				 3	unit	Air-cooled Chiller, 200 TR 				 3	unit	Centrifugal End-Suction Pumps, 30HP 				 1	unit	Expansion Tank (1,500 liters)				 4	unit	AHU, 100 TR 				 1	unit	FCU-0</t>
  </si>
  <si>
    <t xml:space="preserve"> Use For Executive Order in Schedule Barangay ( Tarpaulin )</t>
  </si>
  <si>
    <t xml:space="preserve"> Republic of the Philippines Province of Zamboanga del Sur MUNICIPALITY OF LAKE WOOD BIDS AND AWARDS COMMITTEE Invitation to Bid for Procurement of Construction of Gender Sensitive Common C.R in this Municipality 1.	The Local Government Unit of Lake Wood, </t>
  </si>
  <si>
    <t xml:space="preserve"> 8 unit 	Automated rain guage	 	Components:	 	*One (1) unit tipping bucket with cable terminated via connector compatible	 	to datalogger	 	*One (1) unit solar panel (30 watts) with holder and brackets	 	*One(1) Controller Box Assembly inside shall store t</t>
  </si>
  <si>
    <t xml:space="preserve"> for administrative and office use 10 units pedestal filing cabinet/drawer 1 unit office table  10 units low back office swivel chair</t>
  </si>
  <si>
    <t xml:space="preserve"> Procurement of Various  Common-Use Office Supplies. Please refer to ABE for the specifications</t>
  </si>
  <si>
    <t xml:space="preserve"> Janitorial Service</t>
  </si>
  <si>
    <t xml:space="preserve"> CONSUMABLE</t>
  </si>
  <si>
    <t xml:space="preserve"> ANGLE BAR SQUARE BAR FLAT BAR</t>
  </si>
  <si>
    <t xml:space="preserve"> PURCHASE OF PROGESTIN SUBDERMAL IMPLANT (50 PCS), CHO, CALBAYOG CITY</t>
  </si>
  <si>
    <t xml:space="preserve"> 4 units Siren</t>
  </si>
  <si>
    <t xml:space="preserve"> REPAIR &amp; MAINTENANCE OF FISHPORT FACILITIES (A. PERIMETER FENCE) REPAIR &amp; MAINTENANCE OF FISHPORT FACILITIES (B. OLD PUBLIC MARKET BLDG.) EXPANSION OF MAGSAYSAY BOULEBARD</t>
  </si>
  <si>
    <t xml:space="preserve"> The AGRICULTURAL TRAINING INSTITUTE-REGIONAL TRAINING CENTER (ATI-RTC) X, through the 2020 General Appropriations Act intends to apply the sum of Sixty Eight Thousand Pesos (P 68,000.00) being the Approved Budget for the Contract (ABC) to payments under t</t>
  </si>
  <si>
    <t xml:space="preserve"> 1 lot labor &amp; materials for the construction of proposed workstation of OMA1 office</t>
  </si>
  <si>
    <t xml:space="preserve"> 1. The Local Government Unit of Magsaysay, Occidental Mindoro through the Annual Budget approved by Sanggunian intends to apply the sum of Fifty Two Thousand Five-hundred Pesos (P52,500.00) being the Approved Budget for the Contract (ABC) to payment under</t>
  </si>
  <si>
    <t xml:space="preserve"> TO BE USED BY THE SENIOR HIGH SCHOOL TEACHERS  IN THE PRINTING AND PREPARATION OF THEIR HAND-OUTS, DAILY LESSON LOGS, SCHOOL FORMS AND LEARNING MODULES FOR THE SHS STUDENTS.</t>
  </si>
  <si>
    <t xml:space="preserve"> 2	pcs	4k resolution HDMI cable - 10 meters		 4	pcs	4k resoulution HDMI cable - 5 meters		 3	pcs	OmniDirectional USB Conference Microphone for Desktop/Laptop Computers		 4	pcs	3.55 mm  Stereo Jack male to 6.35 mm (1/4 inch) male Stereo cable dual (L and R)</t>
  </si>
  <si>
    <t xml:space="preserve"> 1.	The Local Government Unit of Las Nieves, through the Budget for the Contract Approved by the Sanggunian (20% DF) intends to apply the sum of One Hundred Thirty eight Thousand Two Hundred Pesos (Php 138,200.00)  being the Approved Budget for the Contrac</t>
  </si>
  <si>
    <t xml:space="preserve"> Republic of the Philippines Province of Davao Oriental CITY OF MATI REQUEST FOR QUOTATION 			 Date:	11 JUNE 2020 RFQ No.:	0785-2020 Name of Company: __________________________________________________________________________________________________________</t>
  </si>
  <si>
    <t xml:space="preserve"> QUANTITY	UNIT	ARTICLES				 150	pcs	Longspan Rib Type 20'				 17	pcs	Ridgeroll				 30	pcs	Wall Flashing				 17	pcs	Gutter				 350	pcs	Gutter Rivets				 290	pcs	Plywood, 3/4 				 290	pcs	Plywood, 1/2 				 300	bd. ft.	Coco Lumber (form &amp; scaffolding)				 8	k</t>
  </si>
  <si>
    <t xml:space="preserve"> 3 piece, Brush Cutter, MultiColor  Engine type: air-cooled, two-stroke,single cylinder gasoline  Engine power: 1.45kw/6500-7000r/min  Displacement: 40.2cc Carburetor: float type Garsoline/2-cycle  Oil mixing ratio: 25:1  Idling speed: 2800-3200r/min  Fuel</t>
  </si>
  <si>
    <t xml:space="preserve"> 1	100	boxes	Tinapa		(425 grms)	 2	95	boxes	Beef Loaf		(425 grms)	 3	90	boxes	Lechon Paksiw	(210 grms)	 4	95	boxes	Corned Beef	(215 grms)</t>
  </si>
  <si>
    <t xml:space="preserve"> 10	bag	Hog Starter @ kg/bag 15	bag	Duck layer Pellet @ 50 kg/bag 17	bag	Corn grits @ 40 kg/bag 30	bag	Rice bran D1 @ 40kg/bag 2	bag	Soybean Oil meal @ 40kg/bag 80	bag	Copra meal 80	kg	Fishmeal 30	kg	Limestone Grits 4	kg	Salt 5	kg	Vitamin/Mineral Premix 6	</t>
  </si>
  <si>
    <t xml:space="preserve"> 1	2	boxes	1.0mm gel Impact (blue)	 2	5	boxes	BX-V7 Hi-Techpoint (black)/doz.	 3	10	doz	V5 Hi-Tech Point Roller Ballpen(blue)/doz.	 4	5	doz	V5 Hi-Tech Point Roller Ballpen(black)/doz.	 5	2	doz	G-Tech-C4 Roller Ballpen(black)/doz.	 6	15	doz	Refil G-Tec-C4 R</t>
  </si>
  <si>
    <t xml:space="preserve"> Republic of the Philippines Province of Albay Municipality of Sto. Domingo Bids and Awards Committee Request for Quotation: 06-03-2020 	 The LGU- Sto. Domingo, Albay through its Bids and Awards Committee (BAC) invites Suppliers/Manufacturer/Distributors f</t>
  </si>
  <si>
    <t xml:space="preserve"> Tarpaulin</t>
  </si>
  <si>
    <t xml:space="preserve"> Floor tiling of  clinic and guidance office</t>
  </si>
  <si>
    <t xml:space="preserve"> CIRCUIT BREAKER WITH ENCLOSURE 40AMPS PDX WIRE #12 SPECIAL OUTLET WITH ENCLOSURE PDX WIRE STAPLE FOR #12 ELECTRICAL TAPE DRILLL BIT MASON #5 RUBBER TAPE</t>
  </si>
  <si>
    <t xml:space="preserve"> Republic of the Philippines Province of Davao Oriental CITY OF MATI REQUEST FOR QUOTATION 			 Date:	11 JUNE 2020 RFQ No.:	0793-2020 Name of Company: __________________________________________________________________________________________________________</t>
  </si>
  <si>
    <t xml:space="preserve"> Bus Rental for Stranded Individual from Region V</t>
  </si>
  <si>
    <t xml:space="preserve"> Purchase of Second Hand Garbage Truck- Elf Truck (2019 Model)</t>
  </si>
  <si>
    <t xml:space="preserve"> TERMS AND CONDITIONS:						 1. All entries must be typewritten or legibly written. 					 2. Delivery period within ________3 days____________________ upon receipt  of the approved  funded Purchase Order (P.O.).   				 3. Warranty shall be for a minimum of</t>
  </si>
  <si>
    <t xml:space="preserve"> Supply and Delivery with Installation of Steel Racks for official use of CENRO Tagbilaran City	 	  Steel Rack	10	unit</t>
  </si>
  <si>
    <t xml:space="preserve"> CITY LIBRARY OFFICE 1 1 Lot LIBRARY ONLINE RESOURCES FOR THE DAVAO CITY LIBRARY AND INFORMATION CENTER Please see attached file/document on associated components or BAC website www.davaocityportal.com (BAC posting) for the complete descriptions, terms of </t>
  </si>
  <si>
    <t xml:space="preserve"> 2	units		DRONE CAMERA 			(with 2 extra batteries) 		Sensor	1" CMOS 			Effective Pixels: 20 million 		Lens	FOV: about 77  ̊ 			35 mm Format Equivalent: 28 mm 			Aperture: f/2.8-f/11 			Shooting Range: 1 m to ꚙ 		ISO Range	Video:  			100-6400 			Photo: 			1</t>
  </si>
  <si>
    <t xml:space="preserve"> The Municipality of Tanza, Cavite, through its Bids and Awards Committee (BAC), invites contractors registered with and classified by the Philippine Contractors Accreditation Board (PCAB) to apply for eligibility and if found eligible, to bid for the here</t>
  </si>
  <si>
    <t xml:space="preserve"> 39 unit 	Small smoke house - Height: 1 meter, Diameter 37.5 cm with 5 	 	     stainless steel trays and 4 tray holders, With glass view window,	 	     With thermostat; Stainless body, With stainless sliding firebed and	 	     firebed holder heat source, C</t>
  </si>
  <si>
    <t xml:space="preserve"> Republic of the Philippines PROVINCE OF SOUTHERN LEYTE Maasin City Invitation to Bid for the Procurement of Various Agricultural Supplies  Contract ID # 2020-07-07-367PG 1.	The Provincial Government of Southern Leyte through the PAGSO Other Maintenance an</t>
  </si>
  <si>
    <t xml:space="preserve"> Request for Quotation PVC Card w/ Hologram Stamp						4463	pcs YMCKT-K Color Ribbon Kit @ 375/roll						13	roll Top Coat @ 1000/roll						10	roll for the use of ODA, 9ID, PA</t>
  </si>
  <si>
    <t xml:space="preserve"> 1	10	BOTTLE	REFILL INK, L3110 PRINTER, BLACK		 2	3	BOTTLE	REFILL INK, L3110 PRINTER, CYAN		 3	3	BOTTLE	REFILL INK, L3110 PRINTER, MAGENTA		 4	3	BOTTLE	REFILL INK, L3110 PRINTER, YELLOW		 5	6	BOTTLE	REFILL INK, L220,L565 PRINTER, BLACK		 6	2	BOTTLE	REFILL </t>
  </si>
  <si>
    <t xml:space="preserve"> assorted drugs &amp; medicines</t>
  </si>
  <si>
    <t xml:space="preserve"> 1	1	Unit	Water Dispenser 			Hot and Cold 			Compressor Cooling 			Floor-Standing 			1 Year Warranty on Parts &amp; Service 2	1	Unit	Refrigerator 2 Door 			8.0 cu.ft. Two Door Top Freezer Refrigerator 			Inverter Linear Compressor 			Door Cooling 			Tempered G</t>
  </si>
  <si>
    <t xml:space="preserve"> Concreting of 71.0m x 5.0m. local access road (thickness=0.20m). Concrete curb and gutter and concrete canal with reinforced canal cover on both sides of the road including 1.0m. (1.0m x1.0m. x5.0m.) RCBC</t>
  </si>
  <si>
    <t xml:space="preserve"> I. Removal of Existing Structures II. Chipping of Concrete III. Concrete Works (Stairs &amp; Columns) IV. Masonry Works V. RSB VI. Plastering Works VII. Electrical Works VIII, Ceiling Works IX. Forms &amp; Scaffoldings X. Plumbing Works XI. Tile Works XII. Doors </t>
  </si>
  <si>
    <t xml:space="preserve"> Republic of the Philippines Province of Pangasinan MUNICIPALITY OF LINGAYEN BARANGAY MANIBOC Invitation to Bid    1. The Barangay Maniboc, through the Barangay  Development Fund CY 2020 intends to apply the sum of  One  Million Two Hundred Sixty Seven  Th</t>
  </si>
  <si>
    <t xml:space="preserve"> QTY		UNIT		DESCRIPTION LABORATORY EQUIPMENTS AND REAGENTS 1		Unit		Fully Automated Chemistry Analyzer 1		Unit		Automated Hematology Analyzer(3 Parts) 1		Unit		Electrolytes Analyzer 1		Unit		Digital Clinical Centrifuge 		 *Chemistry Analyzer* 1		Btl		Chole</t>
  </si>
  <si>
    <t xml:space="preserve"> CONSTRUCTION MATERIALS AND SUPPLIES</t>
  </si>
  <si>
    <t xml:space="preserve"> PROCUREMENT OF MATERIALS FOR THE CONSTRUCTION OF DRAINAGE SYSTEM AT LAPUAK PHASE - I				 ABC: 692,500.00				 				 46	cu.m	Gravel 2' dia.		 690	bags	Portland Cement		 547	pcs	12mm dia. X 6.0 deformed bar		 69	cu.m	Riversand		 2000	db.ft.	Form Lumber		 10	p</t>
  </si>
  <si>
    <t xml:space="preserve"> 120 pcs Led ecolum bulb 11 watts 25 pcs Amglobe crystal light 1/2 clear</t>
  </si>
  <si>
    <t xml:space="preserve"> SMART CARD 78PCS GLOBE CARDS 110PCS TM CARDS 59PCS</t>
  </si>
  <si>
    <t xml:space="preserve"> 1	unit	Cardiac Monitor (5 Parameters) 20	unit	Finger Pulse Oximeter Adult 3	unit	Finger Pulse Oximeter Pedia 1	unit	Laryngoscope Set (Fiber Optic Mac 0,00,1,2,3,4) 9	unit	LED Otoscope 15	unit	Desk or Table top Sphygmomanometer 48	unit	Sphygmomanometer (re</t>
  </si>
  <si>
    <t xml:space="preserve"> RFQ (20-06-057) Tolda and Sodium hypochlorite (sprayer decontamination)</t>
  </si>
  <si>
    <t xml:space="preserve"> PROJECT: DISSILTING OF CREEK FOR FLOOD PREVENTION LOCATION: BICOS, RIZAL, NUEVA ECIJA DESCRIPTION: L=200.0M, W=6.0M, H=3.0M SOURCE OF FUND: CALAMITY FUND ABC: PHP 150,000.00</t>
  </si>
  <si>
    <t xml:space="preserve"> 1 unit 	Dual-powered solar dryer</t>
  </si>
  <si>
    <t xml:space="preserve"> for Guiuan emergency Response  Team equipments and supplies 5 bxs gloves nono sterile 10 pcs face shield (original) 2 pcs scanner 5 gal. alcohol (3.6 liters) 5 bxs facemask white 1 pc foldable stretcher 1 pc box strap spine board 1 pc head immobilizer</t>
  </si>
  <si>
    <t xml:space="preserve"> Republic of the Philippines Province of Batangas Municipality of San Juan BIDS AND AWARDS COMMITTEE INVITATION TO APPLY FOR ELIGIBILITY AND TO BID THE LOCAL GOVERNMENT UNIT OF BRGY. SAMPIRO,  SAN JUAN, BATANGAS, through its Bids and Awards Committee (BAC)</t>
  </si>
  <si>
    <t xml:space="preserve"> Please quote your lowest price on the line items.</t>
  </si>
  <si>
    <t xml:space="preserve"> PLEASE SEE THE ATTACHMENT</t>
  </si>
  <si>
    <t xml:space="preserve"> 14 cavans Rice and 14 other LI</t>
  </si>
  <si>
    <t xml:space="preserve"> City Anti Drug Abuse Council CMO/ SPORTS DEV. DIVISION Please see attached file/document on associated components or BAC website www.davaocityportal.com (BAC posting) for the complete descriptions, terms of conditions and terms of references. Bidding will</t>
  </si>
  <si>
    <t xml:space="preserve"> Please quote your best price 150 boxes of Surgical Gloves (Size 7.5) 100 pcs\ box ABC 150,000.00 150 boxes of Surgical Gloves (Size 8) 100 pcs\ box ABC 150,000.00 Please email your quotation Please download canvass form</t>
  </si>
  <si>
    <t xml:space="preserve"> Republic of the Philippines PROVINCE OF SOUTHERN LEYTE Maasin City Invitation to Bid for the Procurement of Banana Cardava Plantlets  Contract ID # 2020-07-07-368PG 1.	The Provincial Government of Southern Leyte through the PAGSO - Other Maintenance and O</t>
  </si>
  <si>
    <t xml:space="preserve"> CTTMO PR # 2004-001 1 20 Gallon/s Adhesive, stikwel  2 100 Pack/s Calsomine, powder  3 100 Piece/s Paint Brush No.4  4 133 Piece/s Paint Roller Try  5 6 Roll/s Rope, nylon, no. 24 color yellow, 200mtrs  1. All quoted shall be inclusive of VAT. 2. Allquote</t>
  </si>
  <si>
    <t xml:space="preserve"> INVITATION TO APPLY FOR ELIGIBILITY AND TO BID The Barangay Council of San Ramon, Bula, Camarines Sur, through its Bids and Awards Committee (BAC), invites suppliers/ contractors to apply for eligibility and to bid for the hereunder projects: Name of Proj</t>
  </si>
  <si>
    <t xml:space="preserve"> Concreting of Local Road, Siempre Eterno, Paloyon Proper, Nabua, Camarines Sur</t>
  </si>
  <si>
    <t xml:space="preserve"> 1	7	bottle	Epson L3110 Refill Ink, black	 2	7	bottle	Epson L3110 Refill Ink, cyan	 3	7	bottle	Epson L3110 Refill Ink, magenta	 4	7	bottle	Epson L3110 Refill Ink, yellow	 5	2	units	External Hard Drive,1TB	 				 APPROVED BUDGET FOR THE CONTRACT: PHP 21,942.</t>
  </si>
  <si>
    <t xml:space="preserve"> 1 LOT 	Manila: 1.	Customer Service Training for 1 Batch on June 20-22, 2020 	Qualification  1.	Global leader in professional training; 2.	Trainers undergo a strict and standardized qualification program and training overseas and locally; 3.	Offers profess</t>
  </si>
  <si>
    <t xml:space="preserve"> Republic of the Philippines								 Province of Negros Occidental								 Municipality of La Castellana								 Bids and Awards Committee								 								 INVITATION TO APPLY FOR ELIGIBILITY AND TO BID								 								 Name of Project: 		PURCHASE OF MEDIC</t>
  </si>
  <si>
    <t xml:space="preserve"> NOTICE FOR NEGOTIATED PROCUREMENT Publication: June 16, 2020 Closing: June 19, 2020 Name of Project	Road Concreting at Barangay Paoa, Vigan City Approved Budget for the Contract	 ₱200,000.00 Contract Period:	6 days Item No.	SCOPE OF WORKS	QTY	UNIT	UNIT CO</t>
  </si>
  <si>
    <t xml:space="preserve"> 1. The Department of Agriculture – Regional Field Office – Cordillera Administrative Region (DA-RFO-CAR) intends to apply part of its CY 2020 General Appropriation Act (GAA) the total sum of Nine Hundred Ninety Four Thousand Four Hundred Ten Pesos (P994,4</t>
  </si>
  <si>
    <t xml:space="preserve"> Losartan 50mg Metoprolol 50mg Ascorbic Acid 500mg Multivitamins capsule Surgical Masks</t>
  </si>
  <si>
    <t xml:space="preserve"> 1 Set	Water Retort Chamber with Accessories 	 	(steam boiler and cooling tower)	 		 	A. Counter Pressure Retort ,2 - baskets capacity	 	  -  Horizontal type, Stainless Steel T304 type materials	 	  -  Dimensions: L220mm x Diameter 1200mm	 	  -  2" thick r</t>
  </si>
  <si>
    <t xml:space="preserve"> This project is by lot, partial bid is not accepted LOT JANITORIAL SERVICES 1 JANITORIAL SERVICES *Equivalent Monthly Rate(EMR)/Average Pay/Month (305.00 x 261/12)= 6633.75 *COLA (RB XIII-12) (15 x 261/12)=326.25, *Five day service leave rate (pro rated) </t>
  </si>
  <si>
    <t xml:space="preserve"> Republic of the Philippines PROVINCE OF SOUTHERN LEYTE Maasin City Invitation to Bid for the Procurement of Various Catering Services &amp; Training Materials  Contract ID # 2020-07-07-369PG 1.	The Provincial Government of Southern Leyte through the PAGSO – O</t>
  </si>
  <si>
    <t xml:space="preserve"> Please see attached Invitation to Bid (ITB) and Purchase Request (PR).</t>
  </si>
  <si>
    <t xml:space="preserve"> SULTAN KUDARAT STATE UNIVERSITY  OFFICE OF BIDS AND AWARDS COMMITTEE 2ND FLOOR, ADMINISTRATION BUILDING ACCESS, EJC MONTILLA, TACURONG CITY INVITATION TO BID FOR Machinery &amp; Equipment Outlay for the Purchase of Various Equipment for the use of Science Lab</t>
  </si>
  <si>
    <t xml:space="preserve"> 2BOX OF FOLDER, WHITE, LEGAL 10BOX OF PAPER FASTENER, PLASTIC 1PC OF PUNCHER, paper, heavy duty, with two hole guide 4BOX OF ERASER, PLASTIC/RUBBER, for pencil draft/writing 40UNIT OF Calculator, SCIENTIFIC 1PC OF In and Out filer 10PCS OF Staple # 35  25</t>
  </si>
  <si>
    <t xml:space="preserve"> Name of Project: CONS. AND IMPROVEMENT OF TABBAC FOOTRAIL					 Location: Sapid, Mankayan, Benguet					 Materials:					 Description		Qty.	Unit	Unit Cost	Amount 1x4x10 lumber forms		98.1	bd.ft	50.00	 4,905.23  Assorted common nails		9	kgs	95.00	855.00 port </t>
  </si>
  <si>
    <t xml:space="preserve"> TO BE USED BY THE SHS TEACHERS AND GRADE 11- MARRIOTT STUDENTS FOR THE PRESENTATION OF THEIR AUDIO-VISUAL MATERIALS.</t>
  </si>
  <si>
    <t xml:space="preserve"> OFFICE OF THE BIDS AND AWARDS COMMITTEE (BAC)                                                                                                     Notice No     : 2020-245                                                                                     </t>
  </si>
  <si>
    <t xml:space="preserve"> The detailed Bill of Materials is attached to the Bid Forms.</t>
  </si>
  <si>
    <t xml:space="preserve"> PROJECT:CONSTRUCTION OF SEPTIC VAULT FOR HEALTH CARE WASTE LOCATION: SAN GREGORIO, RIZAL, NUEVA ECIJA DESCRIPTION: 10 X 2 = 20.0 SQ.M. SOURCE OF FUND: 20% MUNICIPAL DEVELOPMENT FUND ABC: PHP 200,000.00</t>
  </si>
  <si>
    <t xml:space="preserve"> CITY HEALTH OFFICE -- Assorted Eye Glasses -- Please see attached file/document on associated components or BAC website www.davaocityportal.com (BAC posting) for the complete descriptions, terms of conditions and terms of references. Bidding will be condu</t>
  </si>
  <si>
    <t xml:space="preserve"> SNACKS</t>
  </si>
  <si>
    <t xml:space="preserve"> Republic of the Philippines Province of Abra Municipality of Pilar  Invitation to Bid for Construction of Flood Control 1.	The Municipality of Pilar, through the RA 7171 to apply the sum of Php25,000,000.00 being the Approved Budget for the Contract (ABC)</t>
  </si>
  <si>
    <t xml:space="preserve"> Concreting of Local Road, Dolorosa, Nabua, Camarines Sur</t>
  </si>
  <si>
    <t xml:space="preserve"> *PAINT - Acrytex Gloss (80 gallons) *PAINT - Acrytex Primer (50 gallons) *PAINT - Acrytex Reducer (30 gallons) *ROOFING - G.I. Corrugated Sheet 3' x 10', Ga. 24 (0.30mm thk) (200 sheets) *PLYWOOD (MARINE) - 4' x 8' x 5mm thk (200 sheets) *Please see attac</t>
  </si>
  <si>
    <t xml:space="preserve"> CSSDO 1 2320 Can/s Beef Loaf 150 grams per can  2 210 Sack/s Rice (50kls) per sack, Well-milled, Good Quality  Delivery Period : 15 Days Upon Receipt of Approved P.O. Please see attached file/document on associated components or BAC website www.davaocityp</t>
  </si>
  <si>
    <t xml:space="preserve"> Department of Public Works and Highways Contract ID:	20NA0070 Title: 		Concreting of Brgy. Sangay FMR, Buenavista, Agusan del Norte Location:		Buenavista, Agusan del Norte ___________________________________________________________________________________</t>
  </si>
  <si>
    <t xml:space="preserve"> Republic of the Philippines                   Department of Health	       CENTRAL OFFICE BIDS AND AWARDS COMMITTEE  PROCUREMENT OF TROCLOSENE SODIUM IB No. 2020- 176 1.	The Department of Health (DOH), through the General Appropriations Act of 2020 intends</t>
  </si>
  <si>
    <t xml:space="preserve"> Sir/Madam: Please quote your government price/s including delivery charges, VAT or other applicable taxes, and other incidental expenses for the goods listed in Annex A. Failure to indicate information could be basis for non - compliance. Also, furnish us</t>
  </si>
  <si>
    <t xml:space="preserve"> PROCUREMENT OF TOOLS AND EQUIPMENT FOR CITY ENGINEER'S OFFICE				 ABC: 1,188,509.64				 				 1	unit	Surveying Instrument		 1	unit	Road Concrete Cutter with 10 blades		 2	units	Welding Machine 500 ampere		 1	unit	Electric Bar Cutting Machine 32mm dia.		 1	</t>
  </si>
  <si>
    <t xml:space="preserve"> Please see attached Request for Quotation.</t>
  </si>
  <si>
    <t xml:space="preserve"> QUOTATION ON LABORATORY AND EQUIPMENT</t>
  </si>
  <si>
    <t xml:space="preserve"> 2 pcs 8 stack Variloop Antenna / VHF 1 pc RGB (50 Ohms) Coaxial Cable 1 set System Design and Installation -repeater set-up (frequency testing, tuning and others) -antenna set up -coaxial cable termination and installation 6 pcs PL259 Connector 1 set Copp</t>
  </si>
  <si>
    <t xml:space="preserve"> The Local Government Unit of Barugo, through the 20% Project Development Fund intends to apply the sum of Two Million Six Hundred Fifty Thousand Pesos (Php2,650,000.00)  being the Approved Budget for the Contract (ABC) to payments under the contract for P</t>
  </si>
  <si>
    <t xml:space="preserve"> INVITATION TO BID  Please quote your lowest price inclusive of VAT on the item/s listed below, subject to the Terms and Conditions of this RFQ, and submit your quotation duly signed by your representative not later than June 19, 2020 at 2 in the afternoon</t>
  </si>
  <si>
    <t xml:space="preserve"> 47	bags	Portland Cement 3	cu.m.	Sand (S1) 6	cu.m.	Gravel (G1) 141	pcs	10mmØ x 6m RSB 112	pcs	12mmØ x 6m RSB 11	kgs	#16 G.I. Tie Wire 8	pcs	6mm thk ordinary plywood 174.3	bd.ft.	2”x2”x10’ good lumber 5	kgs.	Assorted CW Nails</t>
  </si>
  <si>
    <t xml:space="preserve"> OFFICE OF THE BIDS AND AWARDS COMMITTEE (BAC)                                                                                                     Notice No     : 2020-246                                                                                     </t>
  </si>
  <si>
    <t xml:space="preserve"> REPUBLIC OF THE PHILIPPINES PROVINCE OF ORIENTAL MINDORO MUNICIPALITY OF GLORIA NOTICE OF REQUEST FOR QUOTATION The Municipality of Gloria through its Bids and Awards Committee (BAC) will undertake alternative mode of procurement, small value procurement </t>
  </si>
  <si>
    <t xml:space="preserve"> 14	unit 	Chest type freezer/chiller - Chest type, Two door, 18 cu ft, Inverter 1	unit 	Ice cream machine - 304 stainless steel blade with adjustable scrapers,  		     ABS Housing, Air cooled,  304 stainless steel inner bowl, Large opening:  		     Allows </t>
  </si>
  <si>
    <t xml:space="preserve"> 6	pairs	MAONG PANTS SIZE 28-30 6	pairs	MAONG PANTS SIZE 26-28 6	pairs	MAONG PANTS SIZE 24-26 6	pairs	MAONG PANTS SIZE 22-24 6	pairs	MAONG PANTS SIZE 20-22 6	pairs	MAONG PANTS (GARTERIZED SIZED 18-20) 6	pairs	MAONG PANTS (GARTERIZED SIZED 16-18) 6	pairs	MA</t>
  </si>
  <si>
    <t xml:space="preserve"> Procurement of Cattle Fattening Supplies</t>
  </si>
  <si>
    <t xml:space="preserve"> RFQ-2020-171		 			 1.	30	btls	Multivitamins 2.	30	btls	Antibiotics 			 	Deadline for Submission of Bids: June 22, 2020, 11:00 AM		 			PAYMENT TERM: 90 DAYS</t>
  </si>
  <si>
    <t xml:space="preserve"> Republic of the Philippines						 City Government of Davao						 						 INVITATION TO BID						 for Infrastructure Projects B13-2020						 						 The City Government of Davao now invites bidders for the project/s under B13-2020 as listed below.   The pros</t>
  </si>
  <si>
    <t xml:space="preserve"> CONSTRUCTION OF DEEP WELL, CONCRETE FLOORING AND COVER, INSTALLATION OF ELECTRIC PUMP &amp; PIPPINGS AND INSTALLATION OF 750.00 LINEAR METERS PIPELINES.</t>
  </si>
  <si>
    <t xml:space="preserve"> PROCUREMENT OF VARIOUS MACHINERIES AND EQUIPMENT FOR THE USE OF MDRRM OPERATION CENTER, TIGBAUAN, ILOILO.</t>
  </si>
  <si>
    <t xml:space="preserve"> Completion of Concreting of Local  Road, Inapatan to Angustia, Nabua, Camarines Sur</t>
  </si>
  <si>
    <t xml:space="preserve"> FABRICATION : I MASONRY AND METAL WORKS  BREAKDOWN OF EXPENDITURES :  I.  MATERIALS        -       P   71,185.00  II. LABOR              -            28,800.00                                     ______________      TOTAL              -       P    99,985.</t>
  </si>
  <si>
    <t xml:space="preserve"> INVITATION TO BID FOR  1.	The Municipal Government of Coron, Palawan, through the 2020 Annual Municipal Budget intends to apply the sum of One Million Nine Hundred Twenty Seven Thousand Eight Hundred Twenty S Pesos (PhP1,927,827.00) being the Approved Bud</t>
  </si>
  <si>
    <t xml:space="preserve"> Republic of the Philippines					 Province of Southern Leyte					 Municipality of Silago					 					 REQUEST FOR QUOTATION(RFQ)					 ______________________________________					                                           Date					 ____________________________</t>
  </si>
  <si>
    <t xml:space="preserve"> Republic of the Philippines                   Department of Health	       CENTRAL OFFICE BIDS AND AWARDS COMMITTEE  PROCUREMENT OF RED EVACUATED TUBE IB No. 2020- 189 1.	The Department of Health (DOH), through the General Appropriations Act of 2020 intend</t>
  </si>
  <si>
    <t xml:space="preserve"> Meatloaf, 150g 48's Sardines, 155g 100's Noodles 3 in 1 Coffee Corned beef</t>
  </si>
  <si>
    <t xml:space="preserve"> 1 Set Submersible Motor: 3HP, 1PH, 220 V, 3450 RPM, 60Hz, 14 inches diameter and Control Box 3HP including Pull Out and Install and Testing and Commissioning</t>
  </si>
  <si>
    <t xml:space="preserve"> INVITATION TO BID FOR THE SUPPLY, DELIVERY AND COMMISSIONING OF OPHTHALMIC ULTRASOUND A/B SCAN WITH UBM 1.  The Cagayan Valley Medical Center (CVMC), intends to apply the sum Three Million Pesos (Php   3,000,000.00 ) being the Approved Budget for the Cont</t>
  </si>
  <si>
    <t xml:space="preserve"> Republic of the Philippines Municipality of Tabuelan Invitation to Bid  The Philippine Government Electronic Procurement System Office – Procurement Service invites PhilGEPS registered suppliers to bid for the hereunder items Attached: Bidding will be con</t>
  </si>
  <si>
    <t xml:space="preserve"> See attach RFQ,.</t>
  </si>
  <si>
    <t xml:space="preserve"> BCCAD 1 1000 Piece/s Umbrella  Delivery Period : 30 Days Upon Receipt of Approved P.O. Please see attached file/document on associated components or BAC website www.davaocityportal.com (BAC posting) for the complete descriptions, terms of conditions and t</t>
  </si>
  <si>
    <t xml:space="preserve"> Republic of the Philippines PROVINCE OF SOUTHERN LEYTE Maasin City Invitation to Bid for the Procurement of Catering Services, Venue/Rental, Training Supplies &amp; Materials and Agricultural Supplies  Contract ID # 2020-07-07-370PG 1.	The Provincial Governme</t>
  </si>
  <si>
    <t xml:space="preserve"> NOTICE OF NEGOTIATED PROCUREMENT (Two Failed Biddings) TO ALL INTERESTED BIDDERS We are pleased to invite you in our negotiation conference for the project requirements requirement To hire contractor to provide materials, labor and equipment for six (6) I</t>
  </si>
  <si>
    <t xml:space="preserve"> OFFICE OF THE BIDS AND AWARDS COMMITTEE (BAC)                                                                                                     Notice No     : 2020-247                                                                                     </t>
  </si>
  <si>
    <t xml:space="preserve"> Materials Labor SCHEDULE OF BIDDING Advertisement/Posting – June 16-23, 2020 Issuance of Bid Documents – June 16-24, 2020 Submission and Opening of Bids – June 24, 2020 (Wednesday, 10:00 AM, General Services Office Conference Room, Municipal Compound, Nat</t>
  </si>
  <si>
    <t xml:space="preserve"> The Pasay City Government – General Services Office, through its Bids and Awards Committee, intends to apply the sum of Three Hundred Fifty Four Thousand Two Hundred Fifty Pesos (Php354,250.00) being the Approved Budget for the Contract (ABC) for the  pro</t>
  </si>
  <si>
    <t xml:space="preserve"> Invitation to Quote The Philippine Charity Sweepstakes Office thru the Procurement Division, General Services Dept. announces the purchase and procurement of the above listed item/s. All interested suppliers may secure the standard sealed quotation/canvas</t>
  </si>
  <si>
    <t xml:space="preserve"> Request for Quotation Cheese Cake 35x10s						65	pack Chocolate bar cake						65	pack Pansit canton						10	bx Rice 50kls						10	sack Juice in can 240ml x 24s						12	bx Coffee original 3 in 1						30	pack Corned Beef 175g x 48's						2	bx Mineral Water </t>
  </si>
  <si>
    <t xml:space="preserve"> Procurement of Sewing machines and Stainless Rack for Kitchen Utensils</t>
  </si>
  <si>
    <t xml:space="preserve"> 20   bot    brother toner (printer &amp; xerox) 50   cart   Epson 003 black 50   cart   Epson 003 cyan 50   cart   Epson 003 magenta 50   cart   Epson 003 yellow 8     pc     ballpen pilot 265 pc     ballpen HBW 100 pc     ballpen, black, retractable 100 pc, </t>
  </si>
  <si>
    <t xml:space="preserve"> Concreting of Local Road at Topas Proper, Nabua, Camarines Sur</t>
  </si>
  <si>
    <t xml:space="preserve"> Please quote your best price 250 boxes of Levothyroxine Thydin 12.5 mcg (100 pcs\ box) ABC 112,500.00 250 boxes of Levothyroxine Thydin 25 mcg (100 pcs\ box) ABC 137,500.00 150 boxes of Levothyroxine Thydin 50 mcg (100 pcs\ box) ABC 93,750.00 Please email</t>
  </si>
  <si>
    <t xml:space="preserve"> 1	Wireless Ink Tank Printer	2 units 	Specification:	 	    Automatic   Duplex	 	    Print, Scan, Copy, Fax up to A3+ with	 	   ADF Printer	 	     High Speed Duplex Printing	 	     Printspeed up to 32ppm/20ppm	 	     With a 35-sheet duplex ADF unit 	 	     </t>
  </si>
  <si>
    <t xml:space="preserve"> OFFICE OF THE BIDS AND AWARDS COMMITTEE (BAC)                                                                                                     Notice No     : 2020-248                                                                                     </t>
  </si>
  <si>
    <t xml:space="preserve"> 1 lot Additional 22 seaters for the existing H-Tech  "Hello-3" Digital Language Learning System A.22 units Students Unit Hello-3 Features 1.Digital flat switch panel. Spill proof. 2.Stereo sound reproduction and two track recording  L+R, L+L, R+R, LR+LR t</t>
  </si>
  <si>
    <t xml:space="preserve"> Republic of the Philippines CENTRAL BICOL STATE UNIVERSITY OF AGRICULTURE Impig, Sipocot, Camarines Sur 4408 Website: www.cbsua.edu.ph INVITATION TO BID     CBSUA-SIP-INFRA-01-2020 Design and Build of 3-Storey Solar Powered Gender-Neutral Student Dormitor</t>
  </si>
  <si>
    <t xml:space="preserve"> Please quote your lowest price on the item/s listed below, subject to the  General Conditions on this page, stating the shortest time of delivery and  submit your quotation duly signed by your representative not later than ten  (10) days upon receipt of t</t>
  </si>
  <si>
    <t xml:space="preserve"> NOTICE OF NEGOTIATED PROCUREMENT (Two Failed Biddings) TO ALL INTERESTED BIDDERS We are pleased to invite you in our negotiation conference for the project requirements “To hire contractor to provide materials, labor, and equipment for the “Additional App</t>
  </si>
  <si>
    <t xml:space="preserve"> PROCUREMENT OF MATERIALS FOR ELECTRICAL TRANSMISSION OF ROAD NETWORK AT BALOBO RESETTLEMENT PHASE-1				 ABC: 558,530.00				 				 1800	mtrs.	Wire ACSR #2		 610	mtrs.	Wire ACSR # 1/0		 3	pcs	Pole Top Pin		 3	pcs	Pin Insulator		 4	pcs	Suspension		 8	pcs	Mach</t>
  </si>
  <si>
    <t xml:space="preserve"> PURCHASE OF RDT DETECTION OF DEGUE NSI ANTIGEN &amp; 1GM AND 1gG ANTIBODIES COMBINED, CHO</t>
  </si>
  <si>
    <t xml:space="preserve"> Request for Expression of Interest (REOI)  for the  CONSULTANCY SERVICES FOR THE CONDUCT OF FEASIBILITY STUDY OF PROPOSED CONSTRUCTION OF BY-PASSES/DIVERSION ROADS, BANI-BOLINAO BYPASS ROAD (REGION I) 1.	The DPWH-Regional Office I through Preliminary Deta</t>
  </si>
  <si>
    <t xml:space="preserve"> PLEASE SEE ATTACHED COMPONENTS</t>
  </si>
  <si>
    <t xml:space="preserve"> INVITATION TO BID Project Name:	Construction of Multi-Purpose Building Name of Bidder:	 Address :	 ITB Number:	BUSO – 001-20 ABC	P 444,728.50 Project Duration	66 Calendar Days Please quote your lowest price on the item/s listed below, stating the shortest</t>
  </si>
  <si>
    <t xml:space="preserve"> INVITATION TO BID SUPPLY AND DELIVERY OF IT EQUIPMENT AND ACCESSORIES FOR THE CITY HEALTH OFFICE – 2ND BIDDING 1.	The Local Government Unit of Cabadbaran City through the GENERAL FUND intends to apply the sum of TWO HUNDRED FIFTY-FIVE THOUSAND FOUR HUNDRE</t>
  </si>
  <si>
    <t xml:space="preserve"> TO BE USED BY THE SCHOOL CLINIC FOR THE STUDENTS AND TEACHERS' HEALTH-RELATED NEEDS AND DURING MEDICAL EMERGENCY CASES.</t>
  </si>
  <si>
    <t xml:space="preserve"> .                               - Republic of the Philippines CITY OF MARIKINA SF-GOOD-05											Mkna-GSO-20-271                                Revised on: July 28, 2004				 														 	BIDS AND AWARDS COMMITTEE		 NOTICE OF PROPOSED PROCUREMENT The</t>
  </si>
  <si>
    <t xml:space="preserve"> see attached RFQ &amp; menu</t>
  </si>
  <si>
    <t xml:space="preserve"> June 15, 2020                                                                   	          Solicitation No.: RFQ2020-06-02 REQUEST FOR QUOTATION The Fertilizer and Pesticide Authority, through its Bids and Awards Committee (BAC), invites interested partie</t>
  </si>
  <si>
    <t xml:space="preserve"> electrical materials and supplies</t>
  </si>
  <si>
    <t xml:space="preserve"> 1	Unit 	Biology Table w/ End Sink, 10 Seaters 		Dimension: 		   3600mm L x 800mm W x 850mm H 		Table top: 		Molded resin top (acid resistant), one pc. 		Molded resin edge less and semi gloss finish. 		Base: Epoxy coated steel tubular base and frames with </t>
  </si>
  <si>
    <t xml:space="preserve"> Bond Paper Long(Cactus) Bond paper short (cactus) Computer Ink (Epson) Ballpen (Fabel Castel) Log Book (150 pages) Columnar (24c) Pentel Pen (Pilot) Folder Long (Assorted) Fastener  Correction Tape (joy) Staple Wire (big) Stapler (Big) Puncher (Big) Yello</t>
  </si>
  <si>
    <t xml:space="preserve"> Construction of Bridge ( Phase I &amp; Phase II) at Antipolo Old, Nabua, Camarines Sur</t>
  </si>
  <si>
    <t xml:space="preserve"> Supply and Delivery of Kitchen Supplies for HRM Laboratory of SDSSU Tagbina Campus Lot A- P 88,000.00 Lot B- P 25,300.00 Please see attached Request for Quotation (RFQ)</t>
  </si>
  <si>
    <t xml:space="preserve"> see attached associated component documents</t>
  </si>
  <si>
    <t xml:space="preserve"> 1,630 liters diesel</t>
  </si>
  <si>
    <t xml:space="preserve"> Republic of the Philippines Province of Bohol MUNICIPALITY OF DANAO INVITATION TO BID FOR  PROCUREMENT OF OFFICE SUPPLIES FOR LGU-DANAO, BOHOL 2ND QUARTER OF FY 2020 1.	The Municipality of Danao, Bohol, through the General Fund of the Local Government Uni</t>
  </si>
  <si>
    <t xml:space="preserve"> 1 unit Laptop Minimum Specifications:            Intel Core i5 Processor            RAM: 8gb, 32GB            Memory Type: DDR4            Memory Speed: 2400MHz, 2666MHz            Memory Expandable: Max 32gb            Memory Slots: 2 slots            St</t>
  </si>
  <si>
    <t xml:space="preserve"> This project entails labor and materials for the rehabilitation /construction of 4 units Purok Marker at Brgy. Binisitahan Norte, Magallanes, Sorsogon.</t>
  </si>
  <si>
    <t xml:space="preserve"> Republic of the Philippines Province of Quezon Municipality of Atimonan INVITATION FOR ELIGIBILITY AND TO BID 	The Local Government Unit of Atimonan thru the Bids and Awards Committee (BAC) invites interested suppliers/contractors to apply for eligibility</t>
  </si>
  <si>
    <t xml:space="preserve"> QUOTATION ON DRUGS AND MEDICINES</t>
  </si>
  <si>
    <t xml:space="preserve"> 5	 Pieces	With Side Drawers (1.2M) Materials: MDF Board Size: L120xW60x76HCM 2	 Pieces	With Side Drawers (1.4M) Material: MDF Board Size: L140xW70x76HCM 45	 Pieces	Executive Chair Material: Leatherette Chrome Leg Color: Black Leather 5	 Pieces	Senior Exec</t>
  </si>
  <si>
    <t xml:space="preserve"> 1  Vermicast    415    sacks</t>
  </si>
  <si>
    <t xml:space="preserve"> 550 bag portland cement 4.32 cum fine aggregate 4.83 cum coarse aggregate 114 pc 10mm dia x 6m RSB 7.30kg #16 GI tie wire 150 pc 4" CHB 280 pc 5" CHB 1 pc GI pipe 2 1/2 sched 40 6 pc C purlins 2 x 3 (1.2mm) 4 pc GI tubular 2x4 9 pc corr GI sheet 12' 5 kg </t>
  </si>
  <si>
    <t xml:space="preserve"> Diesel Consumption of Maasin LHIO Service Vehicle</t>
  </si>
  <si>
    <t xml:space="preserve"> Republic of the Philippines CITY OF BAIS BIDS AND AWARDS COMMITTEE NOTICE FOR NEGOTIATED PROCUREMENT (53.9) (SMALL VALUE PROCUREMENT) 	The City Government of Bais invites interested suppliers to apply for small value procurement for the supply and deliver</t>
  </si>
  <si>
    <t xml:space="preserve"> Name of  Procuring Entity : DPWH Isabela 4th DEO				 Request for Quotation /(PR No.)		:RFQ-2020-0010 (RE-ADVERTISED)	/	Various PR # Requested on				Date		:June 15, 2020		 Standard Form/Title: REQUEST FOR QUOTATION			 Office/End-User		:Isabela 4th DEO		 		</t>
  </si>
  <si>
    <t xml:space="preserve"> June 15, 2020 INVITATION TO BID  Reference No. 7046273 /Solicitation No.20-22 The City Government of Tagum invites interested Bidders/Suppliers to bid for the following: Name of Contract         :  CONSOLIDATED OFFICE SUPPLIES 2020 (2ND QUARTER)          </t>
  </si>
  <si>
    <t xml:space="preserve"> 6	pcs	Tarpaulin 2x3       1	pc	Tarpaulin 3x4</t>
  </si>
  <si>
    <t xml:space="preserve"> 20-10042</t>
  </si>
  <si>
    <t xml:space="preserve"> Please quote your lowest price on the items in the line item.</t>
  </si>
  <si>
    <t xml:space="preserve"> OFFICE SUPPLIES AND DEVICES</t>
  </si>
  <si>
    <t xml:space="preserve"> To our Suppliers, Request for Quotation forms are available at BAC Secretariat.</t>
  </si>
  <si>
    <t xml:space="preserve"> Republic of the Philippines CITY GOVERNMENT OF SAN FERNANDO City Hall Building, F. Ortega Highway Tel. No. (072)8886901, (072) 867-8100/Fax No. (072)8886907 Website: www.sanfernandocity.gov.ph Email: csflu_98@yahoo.com INVITATION TO BID FOR  CONSTRUCTION </t>
  </si>
  <si>
    <t xml:space="preserve"> PHILIPPINE INFORMATION AGENCY PIA Bldg, Visayas Avenue, Diliman Quezon City REQUEST FOR QUOTATION (RFQ) The Philippine Information Agency (PIA), through its Bids and Awards Committee (BAC), hereby invites all interested suppliers to quote their lowest pri</t>
  </si>
  <si>
    <t xml:space="preserve"> Please refer to attached RFQ and sample letterhead</t>
  </si>
  <si>
    <t xml:space="preserve"> Republic of the Philippines 	Province of Pangasinan 	Municipality of Infanta 	Barangay Poblacion 	BIDS AND AWARDS COMMITTEE 	 Invitation to Bid for CONCRETING OF ACCESS ROAD @ SAN ROQUE ST., POBLACION, INFANTA, PANGASINAN 1.	The BARANGAY POBLACION, INFANT</t>
  </si>
  <si>
    <t xml:space="preserve"> Quantity    Unit       Description 1              Pails      Quick Dry Enamel 1              Gallons  Paint Thinner 4              Pieces    Paint Brush No. 1 20            Pails       Latex Gloss 5              Pails       Latex Gloss (Red) 5            </t>
  </si>
  <si>
    <t xml:space="preserve"> Section I. Invitation to Bid   Republic of the Philippines CITY GOVERNMENT OF SAN FERNANDO City Hall Building, F. Ortega Highway Tel. No. (072)8886901, (072) 867-8100/Fax No. (072)8886907 Website: www.sanfernandocity.gov.ph Email: csflu_98@yahoo.com INVIT</t>
  </si>
  <si>
    <t xml:space="preserve"> BAC RESOLUTION NO. 316-2020 “A RESOLUTION RECOMMENDING “NEGOTIATED - SMALL VALUE PROCUREMENT” FOR THE VARIOUS PURCHASE REQUESTS (PR’s) FROM VARIOUS OFFICES OF THE CITY OF CABADBARAN” 	 NO.	PR NO.	END-USER	PARTICULARS	AMOUNT 1	1379	CGSO	PORTABLE PRESSURE W</t>
  </si>
  <si>
    <t xml:space="preserve"> To be used by the Principal, ADAS, Heads, Guidance Office, and Clinic for storing of school documents/reports and supplies; to be used by the office for printing documents; and to be used by the ADAS and LIS coordinator for storing softcopies of files</t>
  </si>
  <si>
    <t xml:space="preserve"> 1	20	sacks	Rice 2	6	case	Beef Loaf (72cans/case) 3	6	case	Coffee 3 in 1 (12bags/30pcs) 4	5	case	Corned beef 150grams(100cans) 5	7	case	Sardines (100cans/case</t>
  </si>
  <si>
    <t xml:space="preserve"> PURCHASE OF DESKTOP COMPUTER ETC., CHO, CALBAYOG CITY</t>
  </si>
  <si>
    <t xml:space="preserve"> INVITATION TO BID SUPPLY AND DELIVERY OF ONE (1) UNIT BRAND NEW GENERATOR SET FOR THE CITY HEALTH OFFICE – 2ND BIDDING 1.	The Local Government Unit of Cabadbaran City through the GENERAL FUND intends to apply the sum of FIVE HUNDRED THIRTY-TWO THOUSAND PE</t>
  </si>
  <si>
    <t xml:space="preserve"> Item No.	Quantity	Unit of Issue	Item Description SLP-1	         19.72	Cu.m.	               Excavation SLP-11	 4.788	Cu.m.  	       Concrete Post 704	         102.0	Sq. m.	       Masonry</t>
  </si>
  <si>
    <t xml:space="preserve"> Design and Build for the Construction of the Proposed Sewerage Treatment Plant of the Municipality of Coron. Invitation to Bid  1.The Municipal Government of Coron, Palawan, through the 2020 Annual Municipal Budget intends to apply the sum of FIFTEEN MILL</t>
  </si>
  <si>
    <t xml:space="preserve"> Request for Quotation Date:  June 15, 2020 Quotation No.: 2020-006-001               										Mode of Proc.: Shopping To all Eligible Suppliers: 	Please quote your lowest price include of VAT on the item/s below, subject to the Terms and Conditions of th</t>
  </si>
  <si>
    <t xml:space="preserve"> PLEASE QUOTE PER: ITEM					SUPPLIER/CONTRACTOR/CONSULTANT'S PROPOSAL BOX		 Item No.	QTY	Unit of Measure	ITEM DESCRIPTION                                                 (ITEM NAME &amp; TECHNICAL SPECIFICATIONS)	Approved Budget for the Contract (ABC)	FINANCIA</t>
  </si>
  <si>
    <t xml:space="preserve"> Republic of the Philippines SILAY CITY GOVERNMENT Zamora Street Silay City, Negros Occidental Telefax No. (034) 495-3746 	Control  Reference Number : GOODS#0121, ITB#0123,  PR#0364: SCG-2020 Name of the Project: Purchase of BIOMETRIC MACHINE to be use of </t>
  </si>
  <si>
    <t xml:space="preserve"> Supply and Delivery of Classmate Chair without Book Tray of SDSSU Tagbina Campus Please see attached Request for Quotation (RFQ)</t>
  </si>
  <si>
    <t xml:space="preserve"> Republic of the Philippines Province of South Cotabato BIDS AND AWARDS COMMITTEE City of Koronadal  (INF-ITB 20-003) INVITATION TO BID  PROJECT NAME/LOCATION/		          	          ABC/SOURCE OF FUND          PROJECT DURATION (BRIEF DESCRIPTION) 	 1.	Prov</t>
  </si>
  <si>
    <t xml:space="preserve"> 45 units - Periodic preventive maintenance of aircon units at DDB offices from July 2020 to December 2020 Scope of Services: 1. Monthly rotation for air filter cleaning and monitor cooling condition to avoid water dripping 2. Tabulate all electrical and c</t>
  </si>
  <si>
    <t xml:space="preserve"> Item No.	Quantity	Unit of Issue	Item Description 803 (1)	  7.01  	Cu.m.	                Structural Excavation 804	         33.04	Cu.m.	                Embankment 404     	301.28	Kgs.	                Reinforcing Steel Bars 405 (1)	3.11	        Cu.m.	      </t>
  </si>
  <si>
    <t xml:space="preserve"> Republic of the Philippines CITY GOVERNMENT OF SAN FERNANDO City Hall Building, F. Ortega Highway Tel. No. (072)8886901, (072) 867-8100/Fax No. (072)8886907 Website: www.sanfernandocity.gov.ph Email: csflu_98@yahoo.com INVITATION TO BID FOR  REHABILITATIO</t>
  </si>
  <si>
    <t xml:space="preserve"> The City Government of San Pedro, Laguna invites interested parties to quote for the following item/s as per request  SPUDMO: Qty.	Unit of Issue	Item Description 		 		Landscaping and Landscape Maintenance Supplies 4	rolls	Water Hose (½)(90mts.length) 4	pc</t>
  </si>
  <si>
    <t xml:space="preserve"> 1	Wooden Chairs, Pastel Color	35	 set  	Chair Dimension: Standard size (450x520x975mm)</t>
  </si>
  <si>
    <t xml:space="preserve"> TO BE USED BY THE SENIOR HIGH SCHOOL STUDENTS (GRADE 11&amp;12) IN THEIR HOUSEKEEPING TASKS SUCH AS CLEANING AND MAINTENANCE OF COMFORT ROOMS AND OTHER AREAS OF RESPONSIBILITY.</t>
  </si>
  <si>
    <t xml:space="preserve"> Please quote your lowest price on the SUPPLY AND DELIVERY OF OFFICE FURNITURE AND EQUIPMENT FOR HRM OFFICE  as specified below and submit your quotation duly signed by your representative not later than 2pm of  JUNE 19, 2020. 				 					 								    LEONOR</t>
  </si>
  <si>
    <t xml:space="preserve"> The Office of Associate Justice Carandang of the Supreme Court, through the Procurement Section, invites interested suppliers to quote for the price/s of the item/s listed in the attached document (PLEASE DOWNLOAD) Please also provide "Eligibility Documen</t>
  </si>
  <si>
    <t xml:space="preserve"> Purchase of materials for INSET 2020 to be used in the development of teaching and learning</t>
  </si>
  <si>
    <t xml:space="preserve"> 1	63	bots	Alcohol 70% (500ml) 2	140	cont.	Purified water (4ltrs/gal) 3	85	pouch	Detergent powder (1kl/plastic pouch) 4	60	pcs	Toilet Deodorizer 5	68	pcs	Waste basket plastic (asstd colors) 6	25	packs	Trash bag(470mm)18.5/10pcs/roll 7	25	packs	Toilet Tissu</t>
  </si>
  <si>
    <t xml:space="preserve"> Scope of Works: 1)  Electrical Works 1)  Please submit your quotation together with your eligibility requirements to the BAC Office, Ground Floor, Alonte Sports Arena, Brgy. Zapote., City of Binan, Laguna on June 22, 2020, on or before 10:00 AM.  Opening </t>
  </si>
  <si>
    <t xml:space="preserve"> RM Machinery Equip-ICT Equipment</t>
  </si>
  <si>
    <t xml:space="preserve"> SUBMERSIBLE PUMP “GRUNDFOS”SP 30-3  30 M3/hr rated cap. @ 50 meter TDH coupled with  SUBMERSIBLE MOTOR “Franklin”, 5hp, 440VAC, 3Phase with lead wire</t>
  </si>
  <si>
    <t xml:space="preserve"> 2,500 bags Portland Cement</t>
  </si>
  <si>
    <t xml:space="preserve"> Republic of the Philippines SILAY CITY GOVERNMENT Zamora Street Silay City, Negros Occidental Telefax No. (034) 495-3746 	Control  Reference Number : GOODS#0091, ITB#0092,  PR#0276: SCG-2020 Name of the Project: Purchase of Construction Materials for Cons</t>
  </si>
  <si>
    <t xml:space="preserve"> see ITB attached</t>
  </si>
  <si>
    <t xml:space="preserve"> 1) 1 unit - Tires 225/80/r  17.5 tubeless 2) 5 unit - Tires 8.25-16  14 pr with flaps &amp; tubes 3) 2 unit - Tires 7.50-16 LT with Flaps &amp; tubes 4) 5 unit - Tires 7.00 x 16 with flaps and tubes  For the use of Garbage compactors ad mini dumptrucks,City of Ta</t>
  </si>
  <si>
    <t xml:space="preserve"> Please see the attached document.</t>
  </si>
  <si>
    <t xml:space="preserve"> REQUEST FOR QUOTATION SHOPPING OF (3 in 1) PHOTOCOPIER/SCANNER/PRINTER, LAPTOP, HARD DRIVE,               					    FLASH DRIVE AND PRINTER     RFQ No. 2020-02-003 The Obando Water District (OWD), through its Bids and Awards Committee (BAC), invites reputa</t>
  </si>
  <si>
    <t xml:space="preserve"> Supply, Fabrication and Installation of Acrylic Counter Shields: 1 Lot I. Specifications : Supply, Fabrication, Installation of Acrylic Counter Shields for IPOPHL’s: 1. Receiving: ● Size : (H) 70 cm (W) 676 cm ● Thickness : 6mm ● Color : Clear ● with five</t>
  </si>
  <si>
    <t xml:space="preserve"> 3 Units 2.5HP Split Type AC, Installation Supplies and Labor</t>
  </si>
  <si>
    <t xml:space="preserve"> 1 unit Generator -model: diesel generator -rated frequency: 60 Hz -rated voltage: 220V -primer power: 7.5 KVA -surge power: 6.1 KVA -power factor: 1 -see attached RFQ Form for more details.</t>
  </si>
  <si>
    <t xml:space="preserve"> 1	95	BOXES	m/v Capsule 2	126	bots	Ferrous Syrup 250ml 3	130	bots	Salbu+Guia 250ml 4	120	bots	Aluminum Mag. 120ml 5	129	BOXES	Metoprolol 50mg 6	119	boxes	Dicyloverine 10mg 7	129	bots	PNSS 1 liter 8	138	bots	D5 IMB 500cc 9	130	bots	D5LR 1 liter 10	120	bots	</t>
  </si>
  <si>
    <t xml:space="preserve"> Please quote your best price 30 pcs of HP 680, Blk ABC 16,500.00 10 pcs of HP 680, Tricolor ABC 5,500.00 Please email your quotation Please download canvass form</t>
  </si>
  <si>
    <t xml:space="preserve"> Republic of the Philippines Province of Davao Oriental City of Mati BIDS &amp; AWARDS COMMITTEE INVITATION TO BID (REBID) Procurement of MEDICAL SUPPLIES for the Use of DOPH LUPON SOURCE OF FUND: GENERAL FUND [4421-200A-200-5-02-03-080] 1.	The Provincial Gove</t>
  </si>
  <si>
    <t xml:space="preserve"> 1	2	pcs	Plastic Socket 2 inches 2	2	set	Switch 1" Gang Flush Type 3	4	pcs	Utility Box 4	1	pc	Circuit Breaker 15A 5	3	pcs	Junction Box 6	1	box	Insulated Staple #1 7	2	set	3 Gang Outlet Flush Type 8	2	pcs	LED Bulb 11 watts 9	1	kl	Electrical Tape 10	2	pcs	Ba</t>
  </si>
  <si>
    <t xml:space="preserve"> Please submit your quotation for the following items on or before 5:00PM on Jun 26, 2020. ITEM D E S C R I P T I O N QTY. UNIT 1 Pipe, G.I. S-40 Std 1``Ø x 6m 27 pc 2 Steel, Flat Bar, ¾`` x ¼``, (20mm x 6mm) 27 pc 3 Steel, Matting, 2`` x 4.5mmØ 18 pc 4 We</t>
  </si>
  <si>
    <t xml:space="preserve"> INVITATION TO BID The MUNICIPALITY OF TABOGON through its Bids and Awards Committee (BAC), invites suppliers/manufacturers/distributors/contractors to apply eligibility and to bid for the hereunder project: Name of Project			: SUPPLY AND DELIVERY OF SUPPL</t>
  </si>
  <si>
    <t xml:space="preserve"> 1	Charging Counter	2	 pcs  	Costumized with, 3 layers, 3 drawers at both end of the counter, made of hardwoord, with tiles, ceramic top and fully painted		 	Height 1st layer: 1.5 ft		 	Height 2nd layer: 1 ft		 	Height 3rd layer: 1 ft		 	Footer: 0.5 ft		 	</t>
  </si>
  <si>
    <t xml:space="preserve"> Supply and Delivery of  One (1) Lot Construction Materials- 109,105.00 3 pc G.I. pipe, S40 Ø, 2" 24 pc C.G.I., 26x10 (pre-painted) 3 pc G.I. ridge rolls (pre-painted) 4 pc G.I. flushing (pre-painted) 16 pc Lumber, 2"x6"x10' 18 ps Lumber, 2"x4"x10' 45 pc L</t>
  </si>
  <si>
    <t xml:space="preserve"> Printing Services</t>
  </si>
  <si>
    <t xml:space="preserve"> Construction materials</t>
  </si>
  <si>
    <t xml:space="preserve"> Republic of the Philippines Province of South Cotabato BIDS AND AWARDS COMMITTEE City of Koronadal  (GOODS-ITB 20-004) INVITATION TO BID  PROJECT NAME/LOCATION/		          	          ABC/SOURCE OF FUND          PROJECT DURATION (BRIEF DESCRIPTION) 	 1.	Pr</t>
  </si>
  <si>
    <t xml:space="preserve"> Republic of the Philippines Province of Davao Oriental City of Mati BIDS &amp; AWARDS COMMITTEE INVITATION TO BID (REBID) LOT Procurement of MATERIALS for Use in Urban Greening and Landscaping of the TOURISM PREMISES SOURCE OF FUND: 20% LGDF [8000PA-300-1-07-</t>
  </si>
  <si>
    <t xml:space="preserve"> see attached Purchase request</t>
  </si>
  <si>
    <t xml:space="preserve"> Request for Quotation 72	pack	Cheese Cake 35x10s					 70	pack	Chocolate bar cake					 12	bx	Pansit canton					 12	sack	Rice 50kls					 12	bx	Juice in can 240ml x 24s					 30	pack	Coffee original 3 in 1					 2	bx	Corned Beef 175g x 48's					 5	bx	Mineral W</t>
  </si>
  <si>
    <t xml:space="preserve"> I. Excavation Works II. RSB III. Concrete Works IV.Forms and Scaffoldings SPL Construction Safety and Health</t>
  </si>
  <si>
    <t xml:space="preserve"> Provision of Catering Services good for 30 pax during the conduct of Video Tele Conference Meeting w Local Chief Executives on June 25,29 and July 1,6 and 7,2020 at DA-RFO 8,Tacloban City Scope of Work:  June 25,2020 A.M Snack: Spaghetti with Toasted Brea</t>
  </si>
  <si>
    <t xml:space="preserve"> INVITATION TO BID Please quote your lowest price inclusive of VAT on the item/s listed below, subject to the Terms and Conditions of this RFQ, and submit your quotation duly signed by your representative not later than June 23, 2020 at 2 in the afternoon </t>
  </si>
  <si>
    <t xml:space="preserve"> To be used for rewiring and replacement of damaged electrical materials in the school</t>
  </si>
  <si>
    <t xml:space="preserve"> Invitation to Submit Quotation Date:  June 15, 2020 Canvass/Quotation No.: 2020-06-064  	 To All Eligible Service Providers/Bidders I. Please quote your lowest price inclusive of VAT on the items/ listed below, subject to the Terms and Conditions of this </t>
  </si>
  <si>
    <t xml:space="preserve"> PURCHASE OF CONSTRUCTION MATERIALS FOR GULAYAN SA PAARALAN PERIMETER FENCE ( CEMENT, CHB #14, SAND, GRAVEL, G.I WIRE #16 AND THE LIKE</t>
  </si>
  <si>
    <t xml:space="preserve"> Ink 003 (Black) - 10 bottle Ink 003 (Yellow)-5 bottle Ink 003 (Cyan)-5 bottle Ink 003 (Magenta) -5 bottle Cartridge # 810 Black - 10 cart. Cartridge # 811 Colored - 8 cart.</t>
  </si>
  <si>
    <t xml:space="preserve"> Training Expense Projects, Program and Activities.</t>
  </si>
  <si>
    <t xml:space="preserve"> INVITATION TO BID (2nd Bidding) The MUNICIPALITY OF TABOGON through its Bids and Awards Committee (BAC), invites suppliers/manufacturers/distributors/contractors to apply eligibility and to bid for the hereunder project: Name of Project			: SUPPLY AND DEL</t>
  </si>
  <si>
    <t xml:space="preserve"> for installation and deliverey to DVTS Dumalag, Capiz</t>
  </si>
  <si>
    <t xml:space="preserve"> PLEASE SEE ATTACHED REQUEST FOR QUOTATION.</t>
  </si>
  <si>
    <t xml:space="preserve"> Supply and Delivery of : 1	250	mtrs	THW WIRE 38 mm2 2	4	sets	SECONDARY RACK 2P 3	2	rolls	ELECTRICAL TAPE (BIG) 			xxxxxxx</t>
  </si>
  <si>
    <t xml:space="preserve"> 250 bags Ammonium Sulfate 200 bags Complete (14-14-14) 50 liters Herbicide (Glyphosate 480g/liter with epicacy test on abaca 50 liters Insecticide (Cypermetrin 50g/liter with epicacy test on abaca Note:  Inclusive of delivery at the following location: He</t>
  </si>
  <si>
    <t xml:space="preserve"> You can submit your accomplished RFQ form  @ BAC Office, Bogo City Hall, Cayang, Bogo City, Cebu  or email us @ bogobacoffice2019@gmail.com / 	      bogocpdo@gmail.com Not later than the closing date.</t>
  </si>
  <si>
    <t xml:space="preserve"> 1.	The Compostela Water District, through the CWD GAA-2017 LOAN intends to apply the sum of Two Million Five Hundred Pesos (₱2,500,000.00) being the Approved Budget for the Contract (ABC) to payments under the contract for Supply, Delivery and Installatio</t>
  </si>
  <si>
    <t xml:space="preserve"> PCC at CMU invites suppliers for  20 tons of good quality Rice bran D2 with an ABC of 300,000. Suppliers must be a Philgeps registered with ANIMAL FEEDS, RICE MILL Category and so with its business permit. For more information, please visit the PCC at CMU</t>
  </si>
  <si>
    <t xml:space="preserve"> INSTALLATION OF STREETLIGHTS @ BRGY. LINAO, SAN ISIDRO, LEYTE</t>
  </si>
  <si>
    <t xml:space="preserve"> Item No.	Quantity	Unit of Issue	Item Description 1	             1		                         Construction of Reservoir</t>
  </si>
  <si>
    <t xml:space="preserve"> COVID !(  Medical supplies 1	box	KN95 Face Mask 2	box	Surgical Mask 3	box	Vinyl Gloves 4	can	Disinfectant Spray, 1L 5	gal.	Isoprophyl Alcoho l70%, Green Cross 6	unit	Knapsack Sprayer 7	gal.	Disinfectant Liquid Solution (Zonrox) 8	gal.	Handwashing Soap 9	s</t>
  </si>
  <si>
    <t xml:space="preserve"> Republic of the Philippines Province of Davao Oriental City of Mati BIDS &amp; AWARDS COMMITTEE INVITATION TO BID (REBID) Procurement of TIRES for Use in Mitsubishi Estrada of the Provincial Engineer’s Office SOURCE OF FUND: OLFP [1999Z4A-5-02-13-960-01] 1.	T</t>
  </si>
  <si>
    <t xml:space="preserve"> Republic of the Philippines			 Province of Negros Oriental			 Municipality of Amlan			 BIDS AND AWARDS COMMITTEE			 			 INVITATION TO BID			 			 The Municipality of Amlan, Negros Oriental invites all interested bidders/suppliers  to a competitive bidding </t>
  </si>
  <si>
    <t xml:space="preserve"> 4 units of Laptop Specifications: -I3-1005GI Processor -4 GB TAM -1 TB HDD -15.6" Screen -Windows 10</t>
  </si>
  <si>
    <t xml:space="preserve"> Please see attached Request for Quotation form for specifics.</t>
  </si>
  <si>
    <t xml:space="preserve"> AUTOMATED EXTERNAL DEFIBRILLATOR (AED) • 7 inch TFT monitor with colour display • Manual mode allows for individual adjustment of shock strength (100 J to 360 J for adults, 10 J to 100 J for children) • Automatically recognises child and adult electrodes </t>
  </si>
  <si>
    <t xml:space="preserve"> Republic of the Philippines Province of Southern Leyte Municipality of Silago BIDS AND AWARDS COMMITTEE INVITATION TO BID FOR  Supply and Delivery of  DENTAL EQUIPMENT/FACILITY 1.   The Local Government Unit of Silago, Province of Southern Leyte, through </t>
  </si>
  <si>
    <t xml:space="preserve"> Name of Procuring Entity:  LGU-WAO                               			Request for Quotation (P.R. No.): Revised on:							   	  Date:   June 15, 2020 Standard Form/Title:   REQUEST FOR QUOTATION           			Office/End-User: MENRO                           </t>
  </si>
  <si>
    <t xml:space="preserve"> see attached associated components.</t>
  </si>
  <si>
    <t xml:space="preserve"> ITB No. 2020 – 73 June 16, 2020 Republic of the Philippines Province of Davao Oriental CITY OF MATI INVITATION TO BID PROCUREMENT OF AIR-CONDITIONER (City Engineering Office) Name of Project 1.	The City Government of Mati, through the City Mayor’s Office </t>
  </si>
  <si>
    <t xml:space="preserve"> Materials</t>
  </si>
  <si>
    <t xml:space="preserve"> 1		Stainless School Name 10 inch	1	 24,000.00  2		Stainless School I.D.	1	 6,000.00  3	pack	Grout	3	 450.00  4	pc	Hollowblock # 4	130	 1,950.00  5	pc	RSB 10 mm	12	 2,520.00  6	cubic	Sand &amp; Gravel 	3	 3,900.00  7	kg	Tie Wire # 16	1	 65.62  8	pc	Tiles 40 x </t>
  </si>
  <si>
    <t xml:space="preserve"> REQUEST FOR QUOTATION       SHOPPING OF PORTABLE SOUND SYSTEM, SOUND SYSTEM, CAMERA,  REFRIGERATOR, TELEVISION &amp; ELECTRIC OVEN  RFQ No. 2020-02-004 The Obando Water District (OWD), through its Bids and Awards Committee (BAC), invites reputable supplier to</t>
  </si>
  <si>
    <t xml:space="preserve"> Republic of the Philippines City of Manila OFFICE OF THE CITY MAYOR BIDS AND AWARDS COMMITTEE INVITATION TO BID  The City Government of Manila, through the Special Education Fund FY 2020, intends to apply the following amounts for the following proposed p</t>
  </si>
  <si>
    <t xml:space="preserve"> Republic of the Philippines NATIONAL FOOD AUTHORITY Pawing, Palo, Leyte Region VIII INVITATION TO SUBMIT PRICE QUOTATION   PROCUREMENT OF   BRAND NEW ADMINISTRATIVE FACILITIES AND EQUIPMENT      FOR NFA EASTERN VISAYAS REGIONAL  OFFICE VIII AND NFA  PROVI</t>
  </si>
  <si>
    <t xml:space="preserve"> Republic of the Philippines Province of Batangas MUNICIPALITY OF ALITAGTAG BARANGAY STA. CRUZ INVITATION TO BID FOR INSTALLATION OF LED STREET LIGHTS ALONG NATIONAL ROAD AT STA. CRUZ, ALITAGTAG, BATANGAS  	The Barangay Sta. Cruz, Alitagtag, Batangas throu</t>
  </si>
  <si>
    <t xml:space="preserve"> DEPARTMENT OF PUBLIC WORKS AND HIGHWAYS Ifugao Second District Engineering Office Aguinaldo, Ifugao INVITATION TO BID The DPWH- Ifugao Second District Engineering Office Aguinaldo, Ifugao, through its Bids and Awards Committee (BAC), invites contractors t</t>
  </si>
  <si>
    <t xml:space="preserve"> PCC at CMU through the Bids and Awards Committee invites suppliers for 20 tons of good quality Copra Meal with an ABC of 300,000. Supplier possess the ANIMAL FEED Category of Philgeps registration and also the business permit. For more info please visit t</t>
  </si>
  <si>
    <t xml:space="preserve"> Republic of the Philippines Province of Davao Oriental City of Mati BIDS &amp; AWARDS COMMITTEE INVITATION TO BID Procurement of MEDICAL SUPPLIES for the Use of DOPH LUPON SOURCE OF FUND: GENERAL FUND [4421-200A-200-5-02-03-080-01] 1.	The Provincial Governmen</t>
  </si>
  <si>
    <t xml:space="preserve"> INVITATION TO BID FOR PROVISION OF MULTI-YEAR CONTRACT FOR THE HIRING OF SERVICE PROVIDER FOR PREVENTIVE MAINTENANCE OF THE PASSENGER ELEVATOR AT DSWD-CENTRAL OFFICE FOR CY 2020-2022 —  ITB NO. GOP/20-DSWD-041 — (PR NO. 01-20001-PR-2020-05-00030, 20200501</t>
  </si>
  <si>
    <t xml:space="preserve"> The Maintenance Division of the Supreme Court, through the Procurement Section, invites interested suppliers to quote for the price/s of the item/s listed in the attached document (PLEASE DOWNLOAD) Please also provide "Eligibility Documents, Annex A"</t>
  </si>
  <si>
    <t xml:space="preserve"> Please quote your best price 30 rolls of Tape Transparent 1inch ABC 600.00 50 pcs of Record Book, 500 pages ABC 7,500.00 5 packs of Folder with tab, Legal ABC 2,000.00 10 boxes of Clip Backfold 32mm, 1 1\4 inches ABC 350.00 15 boxes of Clip Backfold 25mm,</t>
  </si>
  <si>
    <t xml:space="preserve"> [Republic of the Philippines] Province of Pangasinan Municipality of Natividad INVITATION TO BID FOR TITLE: OTOP Production Bldg. Extension Completion Location: Brgy. San Maximo, Natividad, Pangasinan Approved Budget of the Contract: Php300,000.00 The [MU</t>
  </si>
  <si>
    <t xml:space="preserve"> ITEM	QTY.	UNIT		ARTICLE AND DESCRIPTION				CEILING 					UNIT PRICE		TOTAL  								PRICE							 															 				Office: Department of Tourism, Culture and Arts of Manila				PR No. 830							 				Charge to: Other Supplies and Materials Expenses				OBR </t>
  </si>
  <si>
    <t xml:space="preserve"> Dumping of Aggregates on the ground of TESDA MIMAROPA Provincial Training Center, Tawiran, Calapan City, Oriental Mindoro.</t>
  </si>
  <si>
    <t xml:space="preserve"> Clearing and grubbing, Structure Excavation, Safety and Health</t>
  </si>
  <si>
    <t xml:space="preserve"> Construction of Slope Protection at SO. Bancalan, Brgy Magahis. 1.	Bids received in excess of the ABC shall be automatically rejected at bid opening. 2.	Bidders should have completed a contract similar to the Project. The description of an eligible bidder</t>
  </si>
  <si>
    <t xml:space="preserve"> Item No.	Item and Description						Unit	Quantity 1		Monoblocks (cream)					pc	50 2		Water Dispenser (Standing, Hot and Cold)					pc	8</t>
  </si>
  <si>
    <t xml:space="preserve"> To All Eligible Suppliers ; Please quote your lowest price on the items listed below, subject to the General Condition stated herein and submit the same to the Office of the BAC-Secretariat on or before  July 01, 2020 at 10:00 o'clock in the morning. (SGD</t>
  </si>
  <si>
    <t xml:space="preserve"> REGION XII  Province of Cotabato  Municipality of Midsayap  BIDS &amp; AWARDS COMMITTEE  Tel. Nos. (064) 229-8018; 229-8650; 229-8450  INVITATION TO BID FOR   2020-060, COMPLETION OF COVERED COURT AT BARANGAY NALIN, MIDSAYAP, COTABATO    1.	The MUNICIPAL GOVE</t>
  </si>
  <si>
    <t xml:space="preserve"> Supply and Delivery of One (1) Lot Vegetable Seeds for Agricultural and Fishery Modernization Program of LGU-Coron. 1. The Municipal Government of Coron, through the 2020 Annual Municipal Budget intends to apply the sum of THREE HUNDRED FIFTY-ONE THOUSAND</t>
  </si>
  <si>
    <t xml:space="preserve"> PLEASE SEE ATTACHED REQUEST FOR QUOTATION</t>
  </si>
  <si>
    <t xml:space="preserve"> Construction of Steel Footbridge at Brgy. Acle, L10.00m , W1.20m 1.	Bids received in excess of the ABC shall be automatically rejected at bid opening. 2.	Bidders should have completed a contract similar to the Project. The description of an eligible bidde</t>
  </si>
  <si>
    <t xml:space="preserve"> Water System Fittings</t>
  </si>
  <si>
    <t xml:space="preserve"> 3	units	Refill of fire extinguisher - Dry chemical (10 lbs. capacity)       6 	units	Fire extinguisher - Dry chemical  		(10 lbs. capacity, brand new, with fire extinguisher holder)</t>
  </si>
  <si>
    <t xml:space="preserve"> Laboratory Supply Expense - Reagents for chemical test.</t>
  </si>
  <si>
    <t xml:space="preserve"> Invitation to Bid for the  CONSTRUCTION OF DRAINAGE CANAL  Kiblawan, Davao del Sur 1.The Local Government Unit of Kiblawan, through the 20% Local Government Development Fund 2020[ In the case of National Government Agencies, the General Appropriations Act</t>
  </si>
  <si>
    <t xml:space="preserve"> Republic of the Philippines								 Department of Health								 VICENTE SOTTO MEMORIAL MEDICAL CENTER								 B. Rodriguez St., Cebu City, 6000								 TELEFAX : 2532182/2540057								 			Email: vsmmc_procurement@yahoo.com					 (Establishment/Supplier)	</t>
  </si>
  <si>
    <t xml:space="preserve"> Please quote your lowest price on the CATERING SERVICES DURING THE MUNICIPAL DEVELOPMENT COUNCIL ANNUAL PLANNING CONFERENCE as specified below and submit your quotation duly signed by your representative not later than 2pm of  JUNE 19, 2020. 				 					 		</t>
  </si>
  <si>
    <t xml:space="preserve"> Item No.	Quantity	Unit of Issue	Item Description 1	24	Pcs.	10mm dia x 6m RSB Std. Def. Bar 2	26	Pcs.	12mm dia x 6m RSB Std. Def. Bar 3	6	Kgs.	#16 G.I. Wire  4	8	Pcs.	Hacksaw Blade 5	66	Bags 	40 kg. Portland Cement 6	4.5	Cu.m.	Washed Sand 7	7	Cu.m.	Washed </t>
  </si>
  <si>
    <t xml:space="preserve"> JOB ORDER: Provide Catering Services good for 30 pax during the conduct of DA-RFO 8 Program Level 2nd Quarter Assessment CY 2020 on June 22,23,&amp; 24, 2020 at DA-RFO 8, Tacloban City. No.	Scope of Work	Quantity	Unit_Cost	ABC 	Day 1			 	AM Snacks: Special Mo</t>
  </si>
  <si>
    <t xml:space="preserve"> Please quote your lowest price on the items on the line item.</t>
  </si>
  <si>
    <t xml:space="preserve"> Concreting of Barangay Road in Brgy. Rillo, L117.00m, W3.00m, T0.15m 1.	Bids received in excess of the ABC shall be automatically rejected at bid opening. 2.	Bidders should have completed a contract similar to the Project. The description of an eligible b</t>
  </si>
  <si>
    <t xml:space="preserve"> meals and snacks for the technical briefing in innovative family enterprise development</t>
  </si>
  <si>
    <t xml:space="preserve"> 350 X 20 pax X 10 days</t>
  </si>
  <si>
    <t xml:space="preserve"> Republic of the Philippines Province of Davao Oriental City of Mati BIDS &amp; AWARDS COMMITTEE INVITATION TO BID Procurement of 456 Bags NP Compound (Multi-Functional Fertilizer) in Support to Rice Farmers of the Province in the Rainfed Rice Areas SOURCE OF </t>
  </si>
  <si>
    <t xml:space="preserve"> Invitation to Bid for the Supply and Delivery of various Medicine for the use of Brgy. Banaba West, Batangas City</t>
  </si>
  <si>
    <t xml:space="preserve"> OFFICE SUPPLIES EXPENSE</t>
  </si>
  <si>
    <t xml:space="preserve"> Item No.	Quantity	Unit of Issue	Item Description 1032 (1)	834.4	            Sq. m.	Metal Painting  B.5 H 	2	            Each	Project Billboard B.7	       L.S.	            L.S	Occupational Safety and Health</t>
  </si>
  <si>
    <t xml:space="preserve"> REGION XII  Province of Cotabato  Municipality of Midsayap  BIDS &amp; AWARDS COMMITTEE  Tel. Nos. (064) 229-8018; 229-8650; 229-8450  INVITATION TO BID FOR   2020-061, CONSTRUCTION OF 2 UNITS WATER SYSTEM LEVEL II AT PUROK 5 AND 10,   MALAMOTE, MIDSAYAP, COT</t>
  </si>
  <si>
    <t xml:space="preserve"> 1.	The Municipality of Esperanza, intends to apply the sum of  Two Hundred Four Thousand Three Hundred One Pesos (Php204,301.00) being the Approved Budget for the Contract (ABC) to payments under the contract for Supply and Delivery of  Animal Feeds &amp; Vit</t>
  </si>
  <si>
    <t xml:space="preserve"> QTY. UNIT DESCRIPTION  1 PC TRANSMISSION ASSEMBLY</t>
  </si>
  <si>
    <t xml:space="preserve"> Rehabilitation of  Barangay Road in Brgy. Talon 1.	Bids received in excess of the ABC shall be automatically rejected at bid opening. 2.	Bidders should have completed a contract similar to the Project. The description of an eligible bidder is contained in</t>
  </si>
  <si>
    <t xml:space="preserve"> 1     UNIT         LAPTOP            1               47,541.92            47,541.92 1     UNIT         PRINTER          2               12,045.29             12,045.29                                                                                TOTAL: 5</t>
  </si>
  <si>
    <t xml:space="preserve"> To be used for repairing water system</t>
  </si>
  <si>
    <t xml:space="preserve"> Clearing and grubbing, Common excavation manual, Masonry works, Plastering, Installation of paving blocks,     Sub-grade preparation, Aggregate sub-base course, PCCP, COSH</t>
  </si>
  <si>
    <t xml:space="preserve"> INVITATION FOR PRICE QUOTATION Date:  15 June 2020 For The Repair And Repainting Of Runway, Taxiway and Apron Markings And Markers   At Virac Airport The Civil Aviation Authority of the Philippines (CAAP), Area Center V, Legazpi Airport intends to  apply </t>
  </si>
  <si>
    <t xml:space="preserve"> REQUEST FOR QUOTATION SHOPPING OF WASHABLE FACEMASK, ALCOHOL, VITAMIN C, ORAL ANTISEPTIC, WET WIPES AND MOPBUCKET  RFQ No. 2020-06-008 The Obando Water District (OWD), through its Bids and Awards Committee (BAC), invites reputable supplier to submit their</t>
  </si>
  <si>
    <t xml:space="preserve"> REQUEST FOR QUOTATION The Local Government of San Mateo, through its Bids and Awards Committee (BAC), invites suppliers, manufacturers, distributors, contractors registered with the BAC in the Local Government of San Mateo, to apply for eligibility and if</t>
  </si>
  <si>
    <t xml:space="preserve"> QTY	UNIT	DESCRIPTION 130	pcs	Ballpen, Retractable (Black) 70	pcs	Battery, size AA 106	ream	Bond Paper, Long 106	ream	Bond Paper, Medium 20	pcs	Brown envelope, long 20	pcs	Brown Envelope, medium 58	pcs	Correction Fluid 58	pcs	Dog Clip Long 52	pcs	Dog Clip,</t>
  </si>
  <si>
    <t xml:space="preserve"> Please see attached Request for Quotation</t>
  </si>
  <si>
    <t xml:space="preserve"> Pump &amp; Engine Set for LSA - MG Mantilla's Farm 1 set Pump &amp; Engine Set with complete accessories (air-cooled) *Free Delivery on-site **Please see an attached document in ASSOCIATED COMPONENTS for RFQ</t>
  </si>
  <si>
    <t xml:space="preserve"> Republic of the Philippines						 			Department of Health						 			Cagayan Valley Center for Health Development						 			Tuguegarao City, Cagayan						 									 						                                                         Request for Quoatation Number-</t>
  </si>
  <si>
    <t xml:space="preserve"> Please refer to the attached RFQ for more details.</t>
  </si>
  <si>
    <t xml:space="preserve"> 1 	 1 	 set 	 FRONT AXLE ( I-BEAM) ASSY. 	 			 INCLUSIVE THE FOLLOWING 	 			 A. BRAKE DRUM ( LH &amp; RH) 	 			 B. DRAG LINK 	 			 C. TIE ROD END ( LH &amp; RH) 	 			 D. WHEEL BEARINGS 	 			 E. WHEEL BRAKE CYLINDERS 	 			 F. BRAKES LINES &amp; FITTINGS 	  2 	 1 	 set</t>
  </si>
  <si>
    <t xml:space="preserve"> PROCUREMENT TERMS &amp; CONDITIONS					 1	The Total Approved Budget for the Contract (ABC) is Php 8,500.00.				 2	Price quotation should be inclusive of tax obligations.				 3	Delivery period is 10 calendar days from the receipt of NOA &amp; PO.				 4	If awarded </t>
  </si>
  <si>
    <t xml:space="preserve"> Invitation to Bid for the Supply and Delivery of various Medicine for the use of Brgy. Bucal, Batangas City</t>
  </si>
  <si>
    <t xml:space="preserve"> The AGRICULTURAL TRAINING INSTITUTE-REGIONAL TRAINING CENTER (ATI-RTC) X, through the 2020 General Appropriations Act intends to apply the sum of Twenty Seven Thousand Pesos (P 27,000.00) being the Approved Budget for the Contract (ABC) to payments under </t>
  </si>
  <si>
    <t xml:space="preserve"> Republic of the Philippines Province of Davao Oriental City of Mati BIDS &amp; AWARDS COMMITTEE INVITATION TO BID LOT Procurement of MATERIALS for Use in the Improvement of Potable Water System at Brgy. Bobonao, Baganga, Davao Oriental SOURCE OF FUND: 20% LGD</t>
  </si>
  <si>
    <t xml:space="preserve"> QTY.	UNIT	ARTICLES AND DESCRIPTION	 				 1	job	Termite Control 		 		Areas to be treated:		 		1. U-Shape Building 		 		2. Residents Dining		 		3. Kitchen Annex to Dining		 		4. New Warehouse/Storage Room		 		5. UNICEF Building		 		6. New Homelife Unit		 		</t>
  </si>
  <si>
    <t xml:space="preserve"> Riprapping</t>
  </si>
  <si>
    <t xml:space="preserve"> Materials for the Refurbishment of Study Park and Provision of Two(2) Handwashing Facilities</t>
  </si>
  <si>
    <t xml:space="preserve"> 100 sets Rapid Test Kit with red top tube collector</t>
  </si>
  <si>
    <t xml:space="preserve"> 1	200	pcs	12mm corrugated steel bar		 2	75	pcs	10mm corrugated steel bar		 3	70	pcs	9mm corrugated steel bar standard		 4	600	pcs	CHB 4''		 5	40	pcs	2x2x10 good lumber		 6	10	pcs	1/2 marine flywood		 7	20	kilos	tir wire no. 16		 8	15	kilos	common wire nai</t>
  </si>
  <si>
    <t xml:space="preserve"> PR No.   :					 Approved Budget for Contract (ABC)   :PHP 161,413.63					 QTY	UNIT	ITEM/S DESCRIPTION		UNIT PRICE	TOTAL PRICE 		 OTHER SUPPLIES AND MATERIALS EXPENSES	 40	boxes	25 watts Incandescent Light Bulbs		 2	pcs	Plastic Bags, Medium		 4	pcs	Field B</t>
  </si>
  <si>
    <t xml:space="preserve"> Supply and Delivery of Complete Set Fiber Glass Board for the Sports Activities of Lowland and Upland Barangays with an ABC of Php120,000.00 For further details, please refer to the attached Purchase Request in the associated components.</t>
  </si>
  <si>
    <t xml:space="preserve"> Republic of the Philippines PROVINCE OF SOUTHERN LEYTE Maasin City Invitation to Bid for the Procurement of Various Catering Services  Contract ID # 2020-07-07-371PG 1.	The Provincial Government of Southern Leyte through the PAGSO – Agricultural and Marin</t>
  </si>
  <si>
    <t xml:space="preserve"> 1 Set Computer Desktop with printer Specs: Corei7, h110 motherboard 8GB RAM DDR4, 1TB sata HDD + 240GB ssd DV drw, reader, casing w/ 700w psu 24" Monitpr, avr, speaker, keyboard mouse pad 1 Unit External drive 2TB USB 2.0 PLEASE SEE ATTACHED RFQ. QUOTE YO</t>
  </si>
  <si>
    <t xml:space="preserve"> Construction Supplies and Materials</t>
  </si>
  <si>
    <t xml:space="preserve"> REQUEST FOR PRICE QUOTATION ________________________	 (Name of External Provider) ________________________ (Address) ________________________ (Address) Please quote your lowest price on the item listed below, subject to the General Conditions on the latte</t>
  </si>
  <si>
    <t xml:space="preserve"> Concreting of Barangay Road of Brgy. Bayudbud L117.00m, W3.00m, T0.15m 1.	Bids received in excess of the ABC shall be automatically rejected at bid opening. 2.	Bidders should have completed a contract similar to the Project. The description of an eligible</t>
  </si>
  <si>
    <t xml:space="preserve"> Republic of the Philippines  PROVINCE OF SURIGAO DEL SUR  		MUNICIPALITY OF CARRASCAL	 Barangay Adlay INVITATION FOR BIDS The Barangay Adlay through its Bids and Awards Committee invites sealed bids from eligible supplier for Construction Materials with a</t>
  </si>
  <si>
    <t xml:space="preserve"> Title:Supply and Delivery for the City Disaster Risk Reduction and Management Office (CDRRMO) under P.R.No. 0999-2020-Subject to Ordering Agreement Arrangement-2nd bidding Total ABC: Php 2,014,700.00 For representative/s of interested bidders who wish to </t>
  </si>
  <si>
    <t xml:space="preserve"> Invitation to Bid for the Supply and Delivery of various Medicine for the use of Brgy. Balete, Batangas City</t>
  </si>
  <si>
    <t xml:space="preserve"> 4 bot.   Epson Ink BK 664 4 bot. Alcohol 500 ml. # bot Elmer's Glue 4 bot Pentel Pen Ink 10 reams Bond Paper Long 10 reams Bond Paper Short 6 reams Bond Paper a4 5 reams Construction Paper Long 12 pcs Pilot BP-S Fine Ballpen Black 12 pcs Pilot Bp-S Fine B</t>
  </si>
  <si>
    <t xml:space="preserve"> Republic of the Philippines Province of Davao Oriental City of Mati BIDS &amp; AWARDS COMMITTEE INVITATION TO BID LOT Procurement of MATERIALS for Use in the Construction of Multi-Purpose Building (Fabrication of Paving Blocks &amp; Installation of Tiles) at Siti</t>
  </si>
  <si>
    <t xml:space="preserve"> see attached file</t>
  </si>
  <si>
    <t xml:space="preserve"> 2 units split type inverter aircon</t>
  </si>
  <si>
    <t xml:space="preserve"> ROAD CONSTRUCTION WITH DRAINAGE CANAL AT PUROK 8A, BACACA, BARANGAY 19-B, POBLACION DISTRICT, DAVAO CITY ABC: 3,000,000.00 Location: Barangay 19-B, Davao City Fund Source: SARO-OSEC-19-0014429 Physical Target: Roads and Drainage</t>
  </si>
  <si>
    <t xml:space="preserve"> 1			steel truss	 2			roofing	 3			stair (grills)	 4			electricals	 5			sliding windows	 6			panel doors	 7	100	pcs	10mm	 8	1500	pcs	CHB #4	 9	100	bags	cement 	 10	50	kgs	tie wire #16	 11	4	load	sand</t>
  </si>
  <si>
    <t xml:space="preserve"> 2 Unitts Laptop (Intel corei5, 4GB DDR4, 1TB+2GB SSD, NVDMX2450 2GB, 14" Display, Wifi, Cam, Bluetooth, Windows 10 Home License 1 Set Printer Switch 4 Port 3 Meters USB Cable 2 Set External Hard Drive 1TB 3.0 PLEASE SEE ATTACHED RFQ. QUOTE YOUR PRICE AND </t>
  </si>
  <si>
    <t xml:space="preserve"> REQUEST FOR EXPRESSION OF INTEREST FOR THE  Procurement of Consultancy Services for the Philippine International Dive Expo (PHIDEX) Virtual Platform 1.	The Department of Tourism (DOT), through the General Appropriations Act 2020 intends to apply the sum o</t>
  </si>
  <si>
    <t xml:space="preserve"> Repair &amp; Maintenance of Other Structure</t>
  </si>
  <si>
    <t xml:space="preserve"> Republic of the Philippines CITY GOVERNMENT OF SAN FERNANDO City Hall Building, F. Ortega Highway Tel. No. (072)8886901, (072) 867-8100/Fax No. (072)8886907 Website: www.sanfernandocity.gov.ph Email: csflu_98@yahoo.com INVITATION TO BID FOR  CONTINUATION </t>
  </si>
  <si>
    <t xml:space="preserve"> 6" Sleeve Type Coupling, CI  - 3 pcs 2" Sleeve Type Coupling, CI - 13 pcs 2" Gate Valve, CI - 13 pcs 3" Sleeve Type Coupling, CI - 2 pcs 3" Gate Valve, CI - 7 pcs 2" Cap Plug, GI - 6 pcs 3" Angle Hydrant - 8 sets 2" Angle Hydrant - 5 sets 2" Coupling, GI </t>
  </si>
  <si>
    <t xml:space="preserve"> Rehabilitation of 10 Child Development Centers is funded thru the Early Childhood Care &amp; Development Council Grant. Please be guided by the following schedule: 1. Submission of Letter of Intent - June 25-26, 2020 2. Eligibility Screening - June 29, 2020 3</t>
  </si>
  <si>
    <t xml:space="preserve"> 7	Pcs	Retirement Ring (18k-Gold-10 grams) 		 		 		 		Requirements: 		1. Mayor’s/Business Permit 		2. PhilGEPS Registration Number 		3.  Income/Business Tax return 		4.  Omnibus Sworn Statement</t>
  </si>
  <si>
    <t xml:space="preserve"> 200	Box	Disposable Face mask ear loop, ABC 450.00/box RFQ#06-0625R</t>
  </si>
  <si>
    <t xml:space="preserve"> INVITATION FOR PRICE QUOTATION Date:  15 June 2020 For The Repair And Repainting Of Runway, Taxiway and Apron Markings And Markers   At Masbate Airport The Civil Aviation Authority of the Philippines (CAAP), Area Center V, Legazpi Airport intends to  appl</t>
  </si>
  <si>
    <t xml:space="preserve"> Rehabilitation of Barangay Road, Removal and Replacement of Damaged Concrete Pavement at brgy. Lumbangan 1.	Bids received in excess of the ABC shall be automatically rejected at bid opening. 2.	Bidders should have completed a contract similar to the Proje</t>
  </si>
  <si>
    <t xml:space="preserve"> 4 bxs M32 DILUENT 20L 3 bot M32 LYSE 500ml 1 bot M32 RINSE 20L 1 bot EZ Cleaner 1 bot Probe Cleanser 1 set B30 Control Set</t>
  </si>
  <si>
    <t xml:space="preserve"> PROCUREMENT OF TWO (2) UNITS FLOOR MOUNTED AIRCON, SB OFFICE, TIGBAUAN, ILOILO</t>
  </si>
  <si>
    <t xml:space="preserve"> 1	570	bags	NCC cement	 2	90	M3	washed sand	 3	70	M3	screened gravel	 4	8	pcs	2x6x20 c-purlins	 5	20	pcs	16mm corrugated steel bar</t>
  </si>
  <si>
    <t xml:space="preserve"> Contract ID: 20PL0104 Contract Name: Construction of Pinukpuk-Balbalan Road (Bal - Aba-Aba Section), Brgy. Ballayangon, Pinukpuk, Kalinga Contract Location: Pinukpuk, Kalinga Brief Description: Construction of 3,200m Road Gravelling Approved Budget for th</t>
  </si>
  <si>
    <t xml:space="preserve"> REQUEST FOR QUOTATION SHOPPING OF CONFERENCE TABLE WITH CLERICAL CHAIR, CLERICAL TABLE WITH CLERICAL CHAIR, CENTER TABLE, SOFA &amp; STEEL CABINET   RFQ No. 2020-06-009 The Obando Water District (OWD), through its Bids and Awards Committee (BAC), invites repu</t>
  </si>
  <si>
    <t xml:space="preserve"> 3 IN 1 PRINTER AND SCANNER WITH A4 PHTOCOPIER</t>
  </si>
  <si>
    <t xml:space="preserve"> Please see attached docs.</t>
  </si>
  <si>
    <t xml:space="preserve"> Republic of the Philippines CITY GOVERNMENT OF SAN FERNANDO City Hall Building, F. Ortega Highway Tel. No. (072)8886901, (072) 867-8100/Fax No. (072)8886907 Website: www.sanfernandocity.gov.ph Email: csflu_98@yahoo.com INVITATION TO BID FOR  ESTABLISHMENT</t>
  </si>
  <si>
    <t xml:space="preserve"> 8 Ream Bond Paper Short 10 Ream Bond Paper Long 5  U S A-4 3 Computer Ink 3 Computer Ink Colored 90 U S Folder Long 2 Record Book 500 pages 1 Record Book 300 pages 1 Pilot Pentel pen 30 pcs. Photo Copy</t>
  </si>
  <si>
    <t xml:space="preserve"> Chairs &amp; Tables for LSA - JRS Diversified Agri-Farm 45 pcs Monoblock Chairs 15 pcs Monoblock Tables *Free delivery at ATI-RTC 13, Los Angeles, Butuan City **Please see an attached document in ASSOCIATED COMPONENTS for the RFQ</t>
  </si>
  <si>
    <t xml:space="preserve"> 3 Units Laptop, intel core i7 8550U, 8GB DDR4 RAM, 2TB HDD, NVIDIA MX150 4GB GDDR5, 15.6" Full HD Display, Wifi, Cam, BT, Windows 10 Home License, free bag: lenovo wireless mouse, speaker fantech Gs202, Steel series mouse pad cleaner 1 Unit Printer 3in1 p</t>
  </si>
  <si>
    <t xml:space="preserve"> 1 572 pcs 4" x 8" x 16" CHB 2 95 bags 40kg Portland Cement 3 9 cu.m Crushed Sand 4 7 cu.m Crushed Gravel 3/4" dia 5 15 lgth 12mm dia x 6m def bars 6 110 lgth 10mm dia x 6m def bars 7 15 kls #16 Tie Wire 8 205 bd ft 2 x 3 x 10 Coco Lumber 9 11 lgth 1/4 x 2</t>
  </si>
  <si>
    <t xml:space="preserve"> Construction Supplies and Materials for LSA - MG Mantilla's Farm *Please refer to an attached RFQ for the items *Free delivery at Macalang, Buenavista **Please see an attached document in ASSOCIATED COMPONENTS for the RFQ</t>
  </si>
  <si>
    <t xml:space="preserve"> Concreting of Barangay Road in Brgy. Dalima, L117.00m, W3.00m, T0.15m 1.	Bids received in excess of the ABC shall be automatically rejected at bid opening. 2.	Bidders should have completed a contract similar to the Project. The description of an eligible </t>
  </si>
  <si>
    <t xml:space="preserve"> [Republic of the Philippines] Province of Pangasinan Municipality of Natividad INVITATION TO BID FOR TITLE: Construction of MRF Expansion Perimeter Fence Location: Brgy. Cacandongan, Natividad, Pangasinan Approved Budget of the Contract: Php300,000.00 The</t>
  </si>
  <si>
    <t xml:space="preserve"> Amoxicillin 500mg Capsule	2	boxes Amoxicillin LA 15% SC Inj Susp100 ml	1	bot Cephalexin 500mg Capsule	2	boxes Cephalexin 250mg/5ml Capsule 60ml	10	bots Diphenhydramine hydrochloride 50mg Capsule	1	box Trimethoprim Sulfadiazine 24% Inj 100ml	1	bot Marboflo</t>
  </si>
  <si>
    <t xml:space="preserve"> 1	1	unit	Roll-up Door 3.01m x 2.88 2	1	unit	Roll-up Door 2.50m x 2.88 3	1	unit	Roll-up Door 3.72m x 2.88</t>
  </si>
  <si>
    <t xml:space="preserve"> Clearing &amp; grubbing, Structure excavation, Stone masonry, Embankment fill, Removal of existing concrete pavement, Sub-grade preparation, Aggregate sub-base course, PCCP, RSB, Structural concrete, Construction Safety and Health</t>
  </si>
  <si>
    <t xml:space="preserve"> The Department of Trade and Industry Regional Office invites PhilGEPS registered supplier for the AUGMENTATION OF SSF FOR KALAMANSIG COFFEE INDUSTRY DEVELOPMENT COUNCIL, INC. FOR COFFEE PROCESSING _Reposting based on the attached Terms of Reference (TOR) </t>
  </si>
  <si>
    <t xml:space="preserve"> 4	box	Plastic Shoulder Length Gloves			 4	doz	Toilet - 2 ply			 1	doz	Isoprophyl Alcohol 500ml			 6	packs	Disposable Plastic Sheaths			 1	bot.	Mineral Oil 1000ml			 17	liters	Valbazen Suspension			 2	packs	Absorbent 300gms Cotton</t>
  </si>
  <si>
    <t xml:space="preserve"> 1	65	pcs	Duo Tone mats 2	25	pcs	Illustraton board 3	28	pcs	Cartolina 4	2	boxes	Pencil 5	6	meters	Paint Canvass</t>
  </si>
  <si>
    <t xml:space="preserve"> Contract ID: 20PL0116 Contract Name: Concreting of Sitio Turod to Sitio Burubur (Phase II) FMR, Brgy. Bulo, Tabuk City, Kalinga Contract Location: Tabuk City, Kalinga Brief Description: Construction of 579m x 6.1m x 0.20m thk PCCP Approved Budget for the </t>
  </si>
  <si>
    <t xml:space="preserve"> Rehabilitation</t>
  </si>
  <si>
    <t xml:space="preserve"> Republic of the Philippines PROVINCE OF SOUTHERN LEYTE Maasin City Invitation to Bid for the Procurement of Fuel, Oil and Lubricant  Contract ID # 2020-07-07-372PG 1.	The Provincial Government of Southern Leyte through the PAGSO – Fuel, Oil and Lubricants</t>
  </si>
  <si>
    <t xml:space="preserve"> Purchase of CCTV camera and payment for the services for barangay safety and security.</t>
  </si>
  <si>
    <t xml:space="preserve"> Evacuated Tubes - Gold Top with Gel Separator, 100/pack Multisampler Needle, Gauge 21, 100/box Multisampler Needle, Gauge 23, 100/box Pipette Tips, Blue Pipette Tips, Yellow Clear Test Tube, Glass, 100/box Scalp Vein Butterfly Needle Set, Gauge 25, 100/bo</t>
  </si>
  <si>
    <t xml:space="preserve"> Supply and Delivery of DRRM Information Signage to be installed at LGU Compound with an ABC of Php60,000.00 For further details, please refer to the attached Purchase Request in the associated components.</t>
  </si>
  <si>
    <t xml:space="preserve"> 1	40	pcs	12mm			 2	60	pcs	10mmvel			 3	12	m3	sand			 4	6	m3	gravel			 5	450	pcs	tiles 40 x 40			 6	150	pcs	tiles 20 x 20			 7	250	pcs	tiles 20 x 30			 8	1	set 	toilet and bowl			 9	2	sets	sliding doors			 10	1100	pcs	concrete hallow blocks			 11	30	pcs	2x</t>
  </si>
  <si>
    <t xml:space="preserve"> ITEM NO.	ITEM &amp; DESCRIPTION	 BRAND	UOM	QTY. 1	Aircon Floor Mounted 3 Tonner, cooling capacity 38,160, 		Unit	4 	Power input: 4080W, floor area 44-54 sq. m., with installation			 	Dehumidification, low noise air flow, fresh air switch w/ installation			 2	</t>
  </si>
  <si>
    <t xml:space="preserve"> Provision of 						 						 LEASE RENTAL of One (1) Airconditioning Unit 					unit	1 Inclusive of Installation (60 Feet)						 						 SPECIFICATIONS :						 &gt; 2.5 HP						 &gt; Split Type 						 &gt; Wall Mounted 						 						 Scope of Work :						 1. Supply of </t>
  </si>
  <si>
    <t xml:space="preserve"> For Covid Response</t>
  </si>
  <si>
    <t xml:space="preserve"> Please see attached Purchase Request (PR) for the specifications.</t>
  </si>
  <si>
    <t xml:space="preserve"> Rehabilitation of barangay road, removal of existing damaged PCC Pavement, Concreting of Pavement in brgy. Dalima 1.	Bids received in excess of the ABC shall be automatically rejected at bid opening. 2.	Bidders should have completed a contract similar to </t>
  </si>
  <si>
    <t xml:space="preserve"> 2 pcs Flower Stand</t>
  </si>
  <si>
    <t xml:space="preserve"> TYPE/MODEL: SINOTUK HOWO, T7 / A7 6 X 4, 10 WHEELER, DUMP TRUCK. ENGINE NO.: D10.38-40, 380HP, EURO 4 TRANSMISSION: HW19710 FRONT AXLE: HF9 REAR AXLE: HC16 COLOR: WHITE TIRES: 12.00R20, 11, STEEL TIRES INCLUDING ONE (1) SPARE TIRE DUMP: 5600*2300*1500mm F</t>
  </si>
  <si>
    <t xml:space="preserve"> Construction of 120m Sidewalk with Curbes and Gutter</t>
  </si>
  <si>
    <t xml:space="preserve"> ICT Equipment for LSA - JRS Diversified Agri-Farm 1 unit Projector 1 unit Laptop *Please refer to an attached RFQ for the specifications **Please see an attached document in ASSOCIATED COMPONENTS for the RFQ</t>
  </si>
  <si>
    <t xml:space="preserve"> This RPQ and PR composed of various Office Supplies such as alcohol, tissue, glue, staple wire, etc.</t>
  </si>
  <si>
    <t xml:space="preserve"> Concreting of Access Road at Brgy. Magahis (MRF) Area 321.00sqm, T0.15m 1.	Bids received in excess of the ABC shall be automatically rejected at bid opening. 2.	Bidders should have completed a contract similar to the Project. The description of an eligibl</t>
  </si>
  <si>
    <t xml:space="preserve"> INVITATION TO BID FOR Procurement of Various Medical Equipment for CY 2020 IB NO: 2020-020 The Western Visayas Medical Center, through Regular Agency Fund/SAA No. 2020-04-0846, in the amount of Twenty One Million Four Hundred Sixty Six Thousand Two Hundre</t>
  </si>
  <si>
    <t xml:space="preserve"> REQUEST FOR EXPRESSION OF INTEREST FOR DETAILED ENGINEERING  STUDY/DESIGN  OF WARAS  SRIP,  IRIGA CITY, CAMARINES SUR 1.	The National Irrigation Administration RO V, Naga City, through the GAA/FSDE CY 2019  intends to apply the sum of P 11,005,392.85  bei</t>
  </si>
  <si>
    <t xml:space="preserve"> Please see attached Request for Quotation (RFQ)..</t>
  </si>
  <si>
    <t xml:space="preserve"> INVITATION FOR PRICE QUOTATION Date:  15 June 2020 For The Provision Of Runway Markers And Markings At Bacon Airport The Civil Aviation Authority of the Philippines (CAAP), Area Center V, Legazpi Airport intends to apply the estimated amount   of  Eighty </t>
  </si>
  <si>
    <t xml:space="preserve"> Request for Quotation</t>
  </si>
  <si>
    <t xml:space="preserve"> Various Grocery Items for Distribution to Barangays  1.	Bids received in excess of the ABC shall be automatically rejected at bid opening. 2.	Bidders should have completed a contract similar to the Project. The description of an eligible bidder is contain</t>
  </si>
  <si>
    <t xml:space="preserve"> Republic of the Philippines PROVINCE OF SOUTHERN LEYTE Maasin City Invitation to Bid for the Procurement of Various Office Supplies  Contract ID # 2020-07-07-373PG 1.	The Provincial Government of Southern Leyte through the PAGSO Office Supplies Expenses i</t>
  </si>
  <si>
    <t xml:space="preserve"> 1			paints 2			ceiling 3			plastering 4			sliding windows 5			grills 6			tiles</t>
  </si>
  <si>
    <t xml:space="preserve"> 3 Units -Outdoor CCTV Cameras 3 Units -Public Adress Speakers 10 Rolls -CCTV Cables 10 Rolls -Flat Cords 10 Rolls -Speaker Wires 3 Sets -Arm Braket/Conduits</t>
  </si>
  <si>
    <t xml:space="preserve"> Hammer Mill for LSA - DAJ Diversified Farm 1 unit Hammer Mill (Electric Motor Driven &gt; 150 kg/hr Capacity) *Free Delivery at ATI-RTC 13, Los Angeles, Butuan City **Please see an attached document in ASSOCIATED COMPONENTS for the RFQ</t>
  </si>
  <si>
    <t xml:space="preserve"> Description   1     unit      Multi Function Copier</t>
  </si>
  <si>
    <t xml:space="preserve"> 10000	Piece	Specimen Bottle for Stool Screw Cap (Sterile), ABC 12.00/pc 10	Tube	Cream for Defibrillator, ABC 1,500.00/tube 60	Box	Gauze 2x2 Sterile 100pcs per box, ABC 500.00/box 100	Piece	Thoracostomy Tube Size 36, ABC 500.00/pc 29	Piece	Tracheostomy Tub</t>
  </si>
  <si>
    <t xml:space="preserve"> PART A 801 (3) REMOVAL OF STRUCTURES AND OBSTRUCTION 1,359.77 SQ.M (Existing longspan Metal Sheet, Purlins sag rods, struts and sway braces ITEM 1047 STRUCTURAL STEEL 1047(2)b ROOF TRUSS (Retrofitting and Lifting of Existing Steel Trusses and Provision of</t>
  </si>
  <si>
    <t xml:space="preserve"> National Power Corporation INVITATION TO BID PUBLIC BIDDING 2020-0125 1.	The NATIONAL POWER CORPORATION (NPC), through       its        approved       Corporate Budget of CY 2020 intends to apply   the   sum   of (Please see schedule below) being the Appr</t>
  </si>
  <si>
    <t xml:space="preserve"> PGM-BAC reserves the right to reject any or all quotations to waive formality therein and to accept offers as may be considered advantageous to the government. The BAC Chairperson Boac, Marinduque</t>
  </si>
  <si>
    <t xml:space="preserve"> INVITATION FOR PRICE QUOTATION Date:  15 June 2020 For The Provision Of Runway Markers And Markings At Bulan Airport The Civil Aviation Authority of the Philippines (CAAP), Area Center V, Legazpi Airport intends to apply the estimated amount   of  One Hun</t>
  </si>
  <si>
    <t xml:space="preserve"> Contract ID: 20PL0117 Contract Name: Construction/Concreting of the Tabuk City, Kalinga - Tuao, Cagayan Road via the Burayugan-San Francisco-Naruangan Section, Cagayan Road, Tabuk City, Kalinga Contract Location: Tabuk City, Kalinga Brief Description: Con</t>
  </si>
  <si>
    <t xml:space="preserve"> Removal of structure and obstruction, Structure excavation, Reinforcing steel bar, Structural concrete works, Masonry works w/ plastering, Electrical works, Roofing works, Installation of ACP</t>
  </si>
  <si>
    <t xml:space="preserve"> 1.	The Bureau of Fire Protection Caraga Regional Office, through the General Appropriation Act CY 2020 intends to apply the sum of Seven Million Three Hundred Twenty Thousand Nine Hundred Sixty-Eight Pesos and 20/100 (Php 7,320,968.20) being the Approved </t>
  </si>
  <si>
    <t xml:space="preserve"> RFQ No.: 2020-029__			`			                  Date: June 16 ,2020 Name of Company: _______________________________________________________________ Address: _______________________________________________________________________ Business Permit No.: ________</t>
  </si>
  <si>
    <t xml:space="preserve"> Five(5) reams Bond Paper Legal sub 20 and 20 other LI</t>
  </si>
  <si>
    <t xml:space="preserve"> Republic of the Philippines Provincial Government of Aurora Bids and Awards Committee (BAC) BAC Office, Provincial Capitol Building, Baler, Aurora 3200, Philippines Standard Form Number: SF---GOODS-05 Revised on: July 28, 2004 INVITATION TO BID The PROVIN</t>
  </si>
  <si>
    <t xml:space="preserve"> NOTICE IS HEREBY GIVEN that the National Food Authority Regional Office V, thru its Regional Procurement Committee (RPC) intends to procure thru Small Value Procurement for the Supply and Delivery of 5-Units Airconditioning Units (Rebidding).</t>
  </si>
  <si>
    <t xml:space="preserve"> PROVISION OF LABOR AND MATERIALS FOR THE CONSTRUCTION OF  CONCRETE STEP LADDERS AND HAND RAILINGS IN CAPE ENGAÑO, PALAUI ISLAND PROTECTED LANDSCAPE AND SEASCAPE (PIPLS), SAN  VICENTE, STA. ANA, CAGAYAN UNIT      ITEM DESCRIPTION   QUANTITY bag	CEMENT		250</t>
  </si>
  <si>
    <t xml:space="preserve"> Supply and delivery of 1 unit Heavy Duty Shredder to be used at the Office of the RTD for Research and Regulatory 1	unit	Heavy Duty Shredder		 		Feed Width: 260mm		 		Shred Capacity: A4 80gsm: A4 70gsm: 11-13 sheets		 		12 - 14 sheets		 		Shred Size: 2 x </t>
  </si>
  <si>
    <t xml:space="preserve"> Incubator for LSA - DAJ Diversified Farm 1 unit Incubator (Semi-Automatic), 150 eggs capacity/batch *Free delivery at ATI-RTC 13, Los Angeles, Butuan City **Please see an attached document in ASSOCIATED COMPONENTS for the RFQ</t>
  </si>
  <si>
    <t xml:space="preserve"> Republic of the Philippines PROVINCE OF SOUTHERN LEYTE Maasin City Invitation to Bid for the Procurement of Various Planting Materials and Fertilizers  Contract ID # 2020-07-07-374PG 1.	The Provincial Government of Southern Leyte through the PAGSO – Agric</t>
  </si>
  <si>
    <t xml:space="preserve"> I 1.00 LOT Demolition, Chipping and Polishing Works II 32.00 SQ.M Tile Works III 1.00 LOT Doors and Windows IV 10.00 SQ.M Painting Works V 1.00 LOT Plumbing, Sanitary Works and Accessories VI 1.00 LOT Electrical Works VII 1.00 CU.M Concrete and Masonry Wo</t>
  </si>
  <si>
    <t xml:space="preserve"> Republic of the Philippines Province of Antique Municipality of Valderrama OFFICE OF THE BIDS AND AWARDS COMMITTEE  			 INVITATION TO BID The Local Government Unit of Valderrama, Antique through its Bids and Awards Committee (BAC), invites suppliers to ap</t>
  </si>
  <si>
    <t xml:space="preserve"> 1	15	cu. M.	screened sand		 2	250	bags	northern cement		 3	500	pcs	concrete hollow blocks 4''		 4	30	kilos	sahara waterfroofing cement		 5	530	pcs	floor tiles 40 x 40		 6	160	pcs	staie tiles 30 x 40		 7	230	pcs	wall tiles for comfort room		 8	70	pcs	floor</t>
  </si>
  <si>
    <t xml:space="preserve"> 15,000 meters (50 rolls) HDPE (Sdr.11) - ½”Ø         P.E. Tube ½” (BLUE) with number per meter and with Property of NORZAGARAY WATER DISTRICT markings</t>
  </si>
  <si>
    <t xml:space="preserve"> To enhance teachers professional growth and prepare materials for Alternative learning mode</t>
  </si>
  <si>
    <t xml:space="preserve"> PURCHASE REQUEST											 											 											 Entity Name	BATA  ELEMENTARY SCHOOL II 						Fund Cluster				 											 Office / Section :	Division of Bacolod 			PR No.	:	   2020 - 06- 0014					 				Responsibility Center Code	:			Date	:	 06- 11-  20</t>
  </si>
  <si>
    <t xml:space="preserve"> Clearing and grubbing, Excavation, RSB, Structural concrete, Construction Safety and Health</t>
  </si>
  <si>
    <t xml:space="preserve"> I N V I T A T I O N   T O   B I D  The Visayas State University through its Bids and Awards Committee (BAC), invites suppliers/manufacturers/distributors to apply for eligibility and to bid for the hereunder project: Name of Project		 :  Supply and Delive</t>
  </si>
  <si>
    <t xml:space="preserve"> Thirty (30) rolls Laminated Sacks 10 x 12 and thirty eight (38) other L/I</t>
  </si>
  <si>
    <t xml:space="preserve"> SUPPLY &amp; DELIVERY OF OFFICE SUPPLIES 1.	The Local Government Unit of Kabacan, through the MOOE 2020 of various offices  intends to apply the sum of Six Hundred Fifty Seven Thousand Eight Hundred Twenty Nine &amp; 82/100 (P 657,829.82) being the Approved Budge</t>
  </si>
  <si>
    <t xml:space="preserve"> INVITATION TO BID  PURCHASE OF MEDICINE LGU-GIGMOTO, CATANDUANES 		 June 1, 2020 1.	The Municipal Government of Gigmoto, through CY 2020 General Fund intends to apply the sum of Seven Hundred Ninety Nine Thousand Nine Hundred Ninety Four Pesos (Php799,994</t>
  </si>
  <si>
    <t xml:space="preserve"> CONSTRUCTION/IMPROVEMENT/REHABILITATION</t>
  </si>
  <si>
    <t xml:space="preserve"> FM-LMSprc-02 Rev-0 	                                                                                                                                                                                                                        April 30, 2018     </t>
  </si>
  <si>
    <t xml:space="preserve"> Service Vehicles Engine: 2.8 Liter Diesel, 4 Cylinder in Line DOHC VAriable Nozzle Turbo with Front Mounted INtercooler 2,750cc - 2755cc, 171HP/3400rpm, 360Nm/1200-3405rpm, Direct Injection Common Rail, Fuel Tank: 55-65 Liters TRANSMISSION/SUSPENSION/BRAK</t>
  </si>
  <si>
    <t xml:space="preserve"> Please see attached RFQ, Technical Specifications, in Associated Components   Note. Sealed Canvass.Please attach in your quotation the following documents: Mayor's Permit, Philgeps Registration number and Membership. The Omnibus sworn statement is to be s</t>
  </si>
  <si>
    <t xml:space="preserve"> Standard Form Number: SF-GOOD-60 Revised on May 24, 2004                                                                                                                                                            Republic of the Philippines CARLOS HILADO M</t>
  </si>
  <si>
    <t xml:space="preserve"> SMART CELL CARDS 85PCS GLOBE CELL CARDS 68PCS TM CELL CARDS 47PCS</t>
  </si>
  <si>
    <t xml:space="preserve"> The DAR Provincial Agrarian Reform Office - Iloilo now invites bids for DAR-CARP Survey Project-Subdivision of New Lands (Agricultural) situated at 2nd, 3rd and 5th District of Iloilo Province involving 98.4681 Hectares. Please refer to the attached Invit</t>
  </si>
  <si>
    <t xml:space="preserve"> please see attached PR</t>
  </si>
  <si>
    <t xml:space="preserve"> Republic of the Philippines Province of Cotabato Municipality of Matalam BIDS AND AWARDS COMMITTEE INVITATION TO BID No. 11 s. 2020 SUPPLY &amp; DELIVERY OF THE TIRE FOR VARIOUS MUNICIPAL EQUIPMENT OF LGU 1.	The Local Government Unit (LGU) of Matalam, through</t>
  </si>
  <si>
    <t xml:space="preserve"> Two (2) ea Digital Camera 33mp 1080P 30FPS 8x and thirty seven (37) other L/I</t>
  </si>
  <si>
    <t xml:space="preserve"> National Power Corporation INVITATION TO BID PUBLIC BIDDING 2020-0126 1.	The NATIONAL POWER CORPORATION (NPC), through       its        approved       Corporate Budget of CY 2020 intends to apply   the   sum   of (Please see schedule below) being the Appr</t>
  </si>
  <si>
    <t xml:space="preserve"> 9 pieces HDPE (Sdr.11) - 8”Ø P.E. Tube 8”x6meters (BLUE) with free jointing of butt fusion</t>
  </si>
  <si>
    <t xml:space="preserve"> 5	Unit	3 in 1 Printer Continuous ink tank system, ABC 10,000.00/unit no re-setter needed w/ minimum 1 year warranty				 RFQ#06-0634</t>
  </si>
  <si>
    <t xml:space="preserve"> REQUEST FOR QUOTATION Printing Services of Tabloid in MinSCAT Main Campus The Mindoro State College of Agriculture and Technology (MinSCAT) through the Bids and Awards Committee invites interested firms/suppliers to submit quotation for the project “Print</t>
  </si>
  <si>
    <t xml:space="preserve"> Republic of the Philippines DEPARTMENT OF HEALTH TALISAY DISTRICT HOSPITAL        (DR. JACINTO VELEZ SR. MEMORIAL HOSPITAL) San Isidro, Talisay City, Cebu (032)273-8785  (032) 273-8785 tdh.canvass@gmail.com http://www.tdh.doh.gov.ph “A PHIC Accredited </t>
  </si>
  <si>
    <t xml:space="preserve"> Contract Period: July 1, 2020 - December 31, 2020</t>
  </si>
  <si>
    <t xml:space="preserve"> Advertisement/Posting of Invitation to Bid 16 June 2020 Issuance and Availability of Bid Documents 16 June to 06 July 2020 Pre-bid Conference 29 June 2020 10:00 AM Last Day of Written Clarification 02 July 2020 Last Day of Issuance of Bid Bulletin 06 July</t>
  </si>
  <si>
    <t xml:space="preserve"> Republic of the Philippines PROVINCE OF SOUTHERN LEYTE Maasin City Invitation to Bid for the Procurement of Various Housekeeping Supplies    Contract ID # 2020-07-07-377PG 1.	The Provincial Government of Southern Leyte through the PGO Other Supplies and M</t>
  </si>
  <si>
    <t xml:space="preserve"> Construction Supplies &amp; Materials for LSA - Basmayor Farm *Please refer to an attached RFQ for the items *Free Delivery at ATI-RTC 13, Los Angeles, Butuan City **Please see an attached document in ASSOCIATED COMPONENTS for the RFQ</t>
  </si>
  <si>
    <t xml:space="preserve"> Republic  of  the  Philippines  Province  of  Marinduque MUNICIPALITY  OF  GASAN INVITATION TO  BID  FOR THE IMPROVEMENT  OF SLAUGHTER HOUSE 1.	The Municipality of Gasan, through  20% Development Fund CY 2020, Public Market and Slaughter House intends to </t>
  </si>
  <si>
    <t xml:space="preserve"> QTY.    UNIT    DESCRIPTION 2         units    Aircondition (Window Type) 2.5HP</t>
  </si>
  <si>
    <t xml:space="preserve"> 500 pcs. class 100 uPVC 4"  fixed seal (BLUE) 50 pcs. class 100 uPVC 6" fixed seal (BLUE)</t>
  </si>
  <si>
    <t xml:space="preserve"> Plastic monobloc chairs with backrest (beige color)</t>
  </si>
  <si>
    <t xml:space="preserve"> Kindly download the attached Request for Quotation form for the details of this requirement. Thank you.</t>
  </si>
  <si>
    <t xml:space="preserve"> PHILIPPINE SCIENCE HIGH SCHOOL SYSTEM						"REQUEST FOR QUOTATION FORM &amp;  NOTICE (GOODS)"		 Office / Campus:			MAIN CAMPUS					 Address / Contact Details:			AGHAM ROAD, DILIMAN, QUEZON CITY					 								 						Quotation No.:	20-06-131	 	GENTELMEN:					Dat</t>
  </si>
  <si>
    <t xml:space="preserve"> Supply, Delivery and Installation of Window Blinds</t>
  </si>
  <si>
    <t xml:space="preserve"> Advertisement/Posting of Invitation to Bid 16 June 2020 Issuance and Availability of Bid Documents 16 June to 06 July 2020 Pre-bid Conference 29 June 2020, 2:00 PM Last Day of Written Clarification 02 July 2020 Last Day of Issuance of Bid Bulletin 06 July</t>
  </si>
  <si>
    <t xml:space="preserve"> 1	LOT	1.	Repair and re-piping of main and existing sewer line system at NPO building. a.	Dismantling and subsequent replace of main sanitary and branch pipeline. b.	Repair of leaking sanitary branch pipe. c.	Repair of damaged ceiling board d.	Syphoning of</t>
  </si>
  <si>
    <t xml:space="preserve"> INVITATION TO BID  PURCHASE OF AUTO SUPPLIES &amp; SPAREPARTS LGU-GIGMOTO, CATANDUANES 		 June 15, 2020 1.	The Municipal Government of Gigmoto, through CY 2020 General Fund intends to apply the sum of Three Hundred Forty Two Thousand Four Hundred Pesos (Php34</t>
  </si>
  <si>
    <t xml:space="preserve"> Republic of the Philippines Province of Cotabato Municipality of Matalam BIDS AND AWARDS COMMITTEE INVITATION TO BID No. 12 s. 2020 PURCHASE OF DIESEL FUEL FOR THE REHAB OF SITIO KULOG TO ARAKAN RAOD 1.	The Local Government Unit (LGU) of Matalam, through </t>
  </si>
  <si>
    <t xml:space="preserve"> PHILIPPINE SCIENCE HIGH SCHOOL SYSTEM						"REQUEST FOR QUOTATION FORM &amp;  NOTICE (GOODS)"		 Office / Campus:			MAIN CAMPUS					 Address / Contact Details:			AGHAM ROAD, DILIMAN, QUEZON CITY					 								 						Quotation No.:	20-06-133	 	GENTELMEN:					Dat</t>
  </si>
  <si>
    <t xml:space="preserve"> 1. Pull-out Vehicle 2. Check-up 3. Battery and Tire Replacement 4. Body repair and painting. 5. Under Chassis  repair. 6. Electrical repair and wiring. 7. Engine repair.</t>
  </si>
  <si>
    <t xml:space="preserve"> 1 unit MOTORCYCLE Engine Type : 4-Stroke, SOHC Displacement : 177 cc. Maximum Power : 12.74 HP @ 7,500 rpm Maximum Torque : 1.34 Kgf.m @ 4,500 rpm Transmission : 4-speed constant Fuel Tank : 12 Liters Cooling System : Air-cooled Electric Start With Free R</t>
  </si>
  <si>
    <t xml:space="preserve"> PHILIPPINE SCIENCE HIGH SCHOOL SYSTEM						"REQUEST FOR QUOTATION FORM &amp;  NOTICE (GOODS)"		 Office / Campus:			MAIN CAMPUS					 Address / Contact Details:			AGHAM ROAD, DILIMAN, QUEZON CITY					 								 						Quotation No.:	20-06-132	 	GENTELMEN:					Dat</t>
  </si>
  <si>
    <t xml:space="preserve"> Please download attached documents or visit our website @www.prc.gov.ph for more details.</t>
  </si>
  <si>
    <t xml:space="preserve"> PHILIPPINE SCIENCE HIGH SCHOOL SYSTEM						"REQUEST FOR QUOTATION FORM &amp;  NOTICE (GOODS)"		 Office / Campus:			MAIN CAMPUS					 Address / Contact Details:			AGHAM ROAD, DILIMAN, QUEZON CITY					 								 						Quotation No.:	20-06-135	 	GENTELMEN:					Dat</t>
  </si>
  <si>
    <t xml:space="preserve"> ELECTRICAL WORKS: #12 THHN Wire (Stranded) #14 THHN Wire (Stranded) 1/2"0 PVC Pipe 3/4" 0 Pvc Pipe 4 X 4 Junctiom Box With Cover Mecca Tube (Small) 1/2" 0 Plastic Clamp 3/4" 0 Plastic Clamp 2 Gang Outlet 2 Gang Switch 1 Gang Switch 3/4"0 Plastic Moulding </t>
  </si>
  <si>
    <t xml:space="preserve"> MARINE PLYWO D (3/4"), MARINE PLYWOOD (1/4"), MARINE PLYWOOD (1/2"), ORDINARY PLYWOOD (1/4"), 2"x2"x8' GEMILINA O, 1"x2"x8' GEMILINA , PREMIUM CEMENT, COMMON WOOD NAILS 3", COMMON WOOD NAILS 4", NEBRASKA ORDINARY PLYWOOD (1/4"), KITCHEN SINK, STAINLESS FA</t>
  </si>
  <si>
    <t xml:space="preserve"> Request for Quotation (RFQ) Request for Quotation No.: 2020-06-090-GS Date Published: June 15, 2020 Closing Date: June 19, 2020 at 10:00 AM, PST (refer to BAC Office Wall Clock) Opening of Quotation: June 19, 2020 at 10:30 AM, PST Title of the Projects: P</t>
  </si>
  <si>
    <t xml:space="preserve"> PHILIPPINE SCIENCE HIGH SCHOOL SYSTEM						"REQUEST FOR QUOTATION FORM &amp;  NOTICE (GOODS)"		 Office / Campus:			MAIN CAMPUS					 Address / Contact Details:			AGHAM ROAD, DILIMAN, QUEZON CITY					 								 						Quotation No.:	20-06-134	 	GENTELMEN:					Dat</t>
  </si>
  <si>
    <t xml:space="preserve"> PHILIPPINE SCIENCE HIGH SCHOOL SYSTEM						"REQUEST FOR QUOTATION FORM &amp;  NOTICE (GOODS)"		 Office / Campus:			MAIN CAMPUS					 Address / Contact Details:			AGHAM ROAD, DILIMAN, QUEZON CITY					 								 						Quotation No.:	20-06-136	 	GENTELMEN:					Dat</t>
  </si>
  <si>
    <t xml:space="preserve"> INVITATION TO BID 1.	The Tondo Medical Center (TMC), through the General Appropriations Act/HFEP intends to apply the sum of Five Million Eight Hundred Eighty Thousand Philippine Pesos (PhP 5,880,000.00) being the Approved Budget for the Contract (ABC) to</t>
  </si>
  <si>
    <t xml:space="preserve"> Republic of the Philippines Province of Cotabato Municipality of Matalam BIDS AND AWARDS COMMITTEE INVITATION TO BID No. 13 s. 2020 PURCHASE OF DIESEL FUEL FOR THE REHAB OF SITIO KULOG TO SITIO VALDEVIESO RAOD 1.	The Local Government Unit (LGU) of Matalam</t>
  </si>
  <si>
    <t xml:space="preserve"> Refer to Attached Annex “A” Price Quotation Form</t>
  </si>
  <si>
    <t xml:space="preserve"> 1.	The Local Government Unit of Kabacan, through the MOOE 2020 of various offices  intends to apply the sum of Six Hundred Sixty Four Thousand One Hundred Twenty Eight &amp; 54/100 Pesos (P 664,128.54) being the Approved Budget for the Contract (ABC) to payme</t>
  </si>
  <si>
    <t xml:space="preserve"> Supply and Delivery of UV Light for the Medical Section of BDH</t>
  </si>
  <si>
    <t xml:space="preserve"> 4" Tee Reducer, CI - 1 pc 4" x 3" Tee reducer, CI -  1 pc 4" x 2" Tee reducer, CI - 3 pcs 4" End Cap, CI - 3 pcs 4" Transition Coupling, CI - 1 pc 4" Sleeve Type Coupling, CI - 3 pcs 3" Sleeve Type Coupling, CI - 1 pc 3" End Cap, CI - 2 pcs 2" Sleeve Type</t>
  </si>
  <si>
    <t xml:space="preserve"> Please quote your best offer for the item described below, subject to the Terms and Conditions provided at the 2nd page portion of the attached request for quotation. 	Submit your quotation duly signed by you or your duly representative and copies of the </t>
  </si>
  <si>
    <t xml:space="preserve"> PLEASE SEE ATTACHED RPQ</t>
  </si>
  <si>
    <t xml:space="preserve"> Desktop Computer</t>
  </si>
  <si>
    <t xml:space="preserve"> Republic  of  the  Philippines  Province  of  Marinduque MUNICIPALITY  OF  GASAN INVITATION TO  BID  FOR THE CONSTRUCTION OF SECOND FLOOR FOOD COURT PHASE 2 1.	The Municipality of Gasan, through  20% Development Fund Continuing Appropriation,  Public Mark</t>
  </si>
  <si>
    <t xml:space="preserve"> PHILIPPINE SCIENCE HIGH SCHOOL SYSTEM						"REQUEST FOR QUOTATION FORM &amp;  NOTICE (GOODS)"		 Office / Campus:			MAIN CAMPUS					 Address / Contact Details:			AGHAM ROAD, DILIMAN, QUEZON CITY					 								 						Quotation No.:	20-06-140	 	GENTELMEN:					Dat</t>
  </si>
  <si>
    <t xml:space="preserve"> SUPPLY AND DELIVERY OF FISHING GEARS FOR THE USE OF AGTAS IN PALAUI ISLAND PROTECTED LANDSCAPE AND SEASCAPE (PIPLS) , SNA VICENTE, STA. ANA, CAGAYAN UNIT   ITEM DESCRIPTION  QUANTITY 	Mesh Net/Fish Net		 roll	# 4-Twine 030 mm-Depth 100-Length 100 Meters  </t>
  </si>
  <si>
    <t xml:space="preserve"> Request for Quotation (RFQ) Request for Quotation No.: 2020-06-088-GS Date Published: June 15, 2020 Closing Date: June 19, 2020 at 10:00 AM, PST (refer to BAC Office Wall Clock) Opening of Quotation: June 19, 2020 at 10:30 AM, PST Title of the Projects: P</t>
  </si>
  <si>
    <t xml:space="preserve"> PHILIPPINE SCIENCE HIGH SCHOOL SYSTEM						"REQUEST FOR QUOTATION FORM &amp;  NOTICE (GOODS)"		 Office / Campus:			MAIN CAMPUS					 Address / Contact Details:			AGHAM ROAD, DILIMAN, QUEZON CITY					 								 						Quotation No.:	20-06-139	 	GENTELMEN:					Dat</t>
  </si>
  <si>
    <t xml:space="preserve"> PHILIPPINE SCIENCE HIGH SCHOOL SYSTEM						"REQUEST FOR QUOTATION FORM &amp;  NOTICE (GOODS)"		 Office / Campus:			MAIN CAMPUS					 Address / Contact Details:			AGHAM ROAD, DILIMAN, QUEZON CITY					 								 						Quotation No.:	20-06-138	 	GENTELMEN:					Dat</t>
  </si>
  <si>
    <t xml:space="preserve"> unit	Floor Stand Water Dispenser Hot, warm and Cold with Storage		7 Unit	Black Office Chair		2 Unit	Wireless Multi Function Printer		1 pc	warding kit		1 unit	"4 Door 38 cu.ft. freezer,w/ 8 adjustable shelves,1,300 watts full  "		1 	"stainless steel ( body</t>
  </si>
  <si>
    <t xml:space="preserve"> PHILIPPINE SCIENCE HIGH SCHOOL SYSTEM						"REQUEST FOR QUOTATION FORM &amp;  NOTICE (GOODS)"		 Office / Campus:			MAIN CAMPUS					 Address / Contact Details:			AGHAM ROAD, DILIMAN, QUEZON CITY					 								 						Quotation No.:	20-06-137	 	GENTELMEN:					Dat</t>
  </si>
  <si>
    <t xml:space="preserve"> PHILIPPINE SCIENCE HIGH SCHOOL SYSTEM						"REQUEST FOR QUOTATION FORM &amp;  NOTICE (GOODS)"		 Office / Campus:			MAIN CAMPUS					 Address / Contact Details:			AGHAM ROAD, DILIMAN, QUEZON CITY					 								 						Quotation No.:	20-06-141	 	GENTELMEN:					Dat</t>
  </si>
  <si>
    <t xml:space="preserve"> 3 thermal scanner 90 box surgical facemask 4 PPE 92 faceshield 3 box alcohol 500 ml 1 foot tray 88 bottle spray 90 bottle zonrox 1 liter 90 pcs safeguard soap 90 pcs tide powder 1 box sign pen 18 box ballpen</t>
  </si>
  <si>
    <t xml:space="preserve"> Republic of the Philippines                CITY GOVERNMENT OF TACURONG Alunan Highway, Tacurong City Sultan Kudarat BIDS AND AWARDS COMMITTEE                  Tel nos. (064) 562-0128 / Telefax no. (064) 477 - 0138      www.tacurong.gov.ph                 </t>
  </si>
  <si>
    <t xml:space="preserve"> INVITATION TO BID (National Competitive Bidding) The BFAR XIII, through its Bids and Awards Committee (BAC), invites eligible suppliers to bid for the hereunder contracts: Project Title: Procurement of Fuel and Lubricants’ Fleet Card for Official use of B</t>
  </si>
  <si>
    <t xml:space="preserve"> Name of Contract: Construction of Flood Control, Barangay San Jose (Additional Allocation) IAC Classification: Small "B" for Flood Control PCAB Category "D" Duration: 120 Calendar Days Approved Budget for the Contract: Php 2,000,000.00 xxxxxxxxxxxxxxxxxx</t>
  </si>
  <si>
    <t xml:space="preserve"> 1.	The Philippine Science High School Central Luzon Campus through the GAA 2020  intends to apply the sum of Two Million Four Hundred Eighty Five Thousand Seven Hundred Eighty Five Pesos (PHP 2,485,785. 00) being the Approved Budget for the Contract (ABC)</t>
  </si>
  <si>
    <t xml:space="preserve"> PURCHASE OF FIXTURES TO BE USED AT THE VISITOR'S INFORMATION CENTER OF PALAUI ISLAND PROTECTED LANDSCAPE AND SEASCAPE (PIPLS) UNIT  ITEM DESCRIPTION   QUANTITY pc	table		3 set	sala set		1</t>
  </si>
  <si>
    <t xml:space="preserve"> PHILIPPINE CHILDREN'S MEDICAL CENTER						 Quezon Avenue, Quezon City						 Tel. No. 8588-9900 local 224/226						 						 REQUEST FOR QUOTATION						 No. RFQ-2020-236						 						 Date :						 						 Name of Supplier :						 						 Address :						 						 </t>
  </si>
  <si>
    <t xml:space="preserve"> PR NO. 0729 - 20                                                           Republic of the Philippines                 CITY GOVERNMENT OF TACURONG Alunan Highway, Tacurong City Sultan Kudarat BIDS AND AWARDS COMMITTEE                       Tel nos. (064) </t>
  </si>
  <si>
    <t xml:space="preserve"> oooOooo INVITATION TO BID FOR THE Procurement of Eco Solvent Printer  1.	The Municipality of Alabel, through the Annual Budget for CY 2020  intends to apply the sum of: Lot No. 	Description		                                    ABC	        Name/no. of cont</t>
  </si>
  <si>
    <t xml:space="preserve"> Request for Quotation (RFQ) Request for Quotation No.: 2020-05-085-GS Date Published: June 15, 2020 Closing Date: June 19,2020 at 10:00 AM, PST (refer to BAC Office Wall Clock) Opening of Quotation: June 19,2020 at 10:30 AM, PST Title of the Projects: Pro</t>
  </si>
  <si>
    <t xml:space="preserve"> 1900 pcs printing of Certificate for Day Care Recognition</t>
  </si>
  <si>
    <t xml:space="preserve"> PR NO. 0793 - 20                 Republic of the Philippines         CITY GOVERNMENT OF TACURONG Alunan Highway, Tacurong City Sultan Kudarat BIDS AND AWARDS COMMITTEE                  Tel nos. (064) 562-0128 / Telefax no. (064) 477 - 0138         www.tac</t>
  </si>
  <si>
    <t xml:space="preserve"> for office use 2 units computer desktop Specs: CPU intel pentium gold G5400 processor RAM 4GB DDR4 Memory HDD: 500GB Hard drive OpticalL DVD rewritable drive Video: Intel @ UHD Graphics 610 Keyboard: ISB Mouse: optical mouse Internal speaker Bios: R01-A2 </t>
  </si>
  <si>
    <t xml:space="preserve"> 1 set brother DCP-T710W Print-Copy-scan wireless printer with ADF Scanner ( BT - D60B/BT - 5000 CMY )</t>
  </si>
  <si>
    <t xml:space="preserve"> Quotation No.  20-06-012 To all eligible Suppliers: Please quote your lowest price inclusive of VAT on the item/s listed below, subject to the Terms and Condition of this RFQ, and submit your quotation duly signed by your representative not later than Jun</t>
  </si>
  <si>
    <t xml:space="preserve"> PHILIPPINE SCIENCE HIGH SCHOOL SYSTEM						"REQUEST FOR QUOTATION FORM &amp;  NOTICE (GOODS)"		 Office / Campus:			MAIN CAMPUS					 Address / Contact Details:			AGHAM ROAD, DILIMAN, QUEZON CITY					 								 						Quotation No.:	20-06-142	 	GENTELMEN:					Dat</t>
  </si>
  <si>
    <t xml:space="preserve"> Republic of the Philippines                                                        Province of Misamis Oriental                                                MUNICIPALITY OF KINOGUITAN                                           BIDS AND AWARDS COMMITTEE (</t>
  </si>
  <si>
    <t xml:space="preserve"> Republic of the Philippines         CITY GOVERNMENT OF TACURONG Alunan Highway, Tacurong City Sultan Kudarat BIDS AND AWARDS COMMITTEE                  Tel nos. (064) 562-0128 / Telefax no. (064) 477 - 0138         www.tacurong.gov.ph                     </t>
  </si>
  <si>
    <t xml:space="preserve"> PURCHASE OF COMMUNICATION GADGETS FOR PALAUI ISLAND PROTECTED LANDSCAPE AND SEASCAPE (PIPLS) PAMB UNIT ITEM DESCRIPTION  QUANTITY pc	Laptop (Intel Core i7, 8GB Memory, 1TB Hard Drive)		1 pc	Printer (Wi-Fi all-in-one ink tank printer)		1</t>
  </si>
  <si>
    <t xml:space="preserve"> PHILIPPINE SCIENCE HIGH SCHOOL SYSTEM						"REQUEST FOR QUOTATION FORM &amp;  NOTICE (GOODS)"		 Office / Campus:			MAIN CAMPUS					 Address / Contact Details:			AGHAM ROAD, DILIMAN, QUEZON CITY					 								 						Quotation No.:	20-06-143	 	GENTELMEN:					Dat</t>
  </si>
  <si>
    <t xml:space="preserve"> INVITATION TO BID FOR THE Procurement of Tires  1.	The Municipality of Alabel, through the Annual Budget for CY 2020  intends to apply the sum of: Lot No. 	Description		                                    ABC	        Name/no. of contract I.	Various Tires </t>
  </si>
  <si>
    <t xml:space="preserve"> Procurement of Infrastructure and Construction Supplies RFQ No. 411          Item No.	Description	Qty.	Unit 	MATERIALS:		 1	¼’’ Marine Plywood	15	Sheet 2	#1 Hardinails, (Flat Head)	5	Kgs 3	Quick Dry Enamel, White	7	Gal. 4	Epoxy Primer Paint	5	Gals 5	12’’ </t>
  </si>
  <si>
    <t xml:space="preserve"> PRICE QUOTATION Ladies / Gentlemen: 	Please quote prices for the items listed below. This proposal is a request for quotation only and not an order. The terms / conditions shall be in accordance with the following: 1.	This proposal shall be submitted to t</t>
  </si>
  <si>
    <t xml:space="preserve"> SEE ATTACHED BILL OF QUANTITIES.</t>
  </si>
  <si>
    <t xml:space="preserve"> Republic of the Philippines PROVINCE OF SOUTHERN LEYTE Maasin City Invitation to Bid for the Procurement of Various Food Stuff  Contract ID # 2020-07-07-378PG 1.	The Provincial Government of Southern Leyte through the PHSO – Other Maintenance and Operatin</t>
  </si>
  <si>
    <t xml:space="preserve"> 1 lot  ABC- 640,000.00 Components 1.   2,400 cans Canned Sardines in tomato sauce (155g)	 2.   3,200 pcs Instant Noodles, Chicken (70g)	 3.   3,200 pcs Instant Noodles, Beef (70g)	 4.   2,320 packs Instant Coffee Refill (25g)	 5.   1,600 pcs Laundry Soap </t>
  </si>
  <si>
    <t xml:space="preserve"> 4 sets CCTV cameras</t>
  </si>
  <si>
    <t xml:space="preserve"> Description   Republic of the Philippines BIDS AND AWARDS COMMITTEE FOR THE PROCUREMENT OF GOODS City of Puerto Princesa Barangay Sta. Monica INVITATION TO BID (Procurement of Goods) PR No. 2020-06-024 Date: June 15, 2020 Procuring/Funding Office/Departme</t>
  </si>
  <si>
    <t xml:space="preserve"> Please submit your quotation in a close and sealed envelop and mail in this address: Agricultural Training Institute Regional Training Center III Gov't Complex, San Ramon, Dinalupihan, Bataan C/O Supply Management Unit. or Email us on atiregion3@yahoo.com</t>
  </si>
  <si>
    <t xml:space="preserve"> dimension: W120xD70xH74cm laminated table topin duct nose edging for arm comfort powder coated metal frame modesty panel &amp; legs legs with wire management color gray</t>
  </si>
  <si>
    <t xml:space="preserve"> Republic of the Philippines PROVINCE OF SOUTHERN LEYTE Maasin City Invitation to Bid for the Procurement of Various Brand New Aircondition with Installation    Contract ID # 2020-07-07-341PG 1.	The Provincial Government of Southern Leyte through the SOYMP</t>
  </si>
  <si>
    <t xml:space="preserve"> 1.	The Philippine Science High School Central Luzon Campus through the GAA 2020  intends to apply the sum of One Million One Hundred Eighty Thousand Pesos (PHP 1,180,000.00) being the Approved Budget for the Contract (ABC) to payments under the contract f</t>
  </si>
  <si>
    <t xml:space="preserve"> Republic of the Philippines PROVINCE OF SOUTHERN LEYTE Maasin City Invitation to Bid for the Procurement of Battery (12 Volts 9 Plates) - SOYMPH  Contract ID # 2020-07-07-380PG 1.	The Provincial Government of Southern Leyte through the SOYMPH – Repair and</t>
  </si>
  <si>
    <t xml:space="preserve"> 20 pcs. lock wings 20 pcs. GI Elbow 1/2" 20 pcs. GI straight elbow 1/2" 20 pcs. nipple 1/2" x 12 20 pcs. Saddle clamp 2" 30 pcs. teflon 2 rolls PE black 1/2" x 150 10 can solvent cement neltex 40 pcs. PE Male Adaptor 20 set water meter</t>
  </si>
  <si>
    <t xml:space="preserve"> lot	Queen Size Bed (with Bedside Table and Carving Design)		1 	Varnish, Nails, Concrete Epoxy (1quart), bontite (1 quart), Tinting Color		 	(3Kinds of Color), Sand Paper 60pcs of 3 sizes, top coat paint		 	Labor		 lot	Devider (with Carving Design)		1 	Var</t>
  </si>
  <si>
    <t xml:space="preserve"> SEE ATTACHED INVITATION TO BID, BIDDING DOCUMENTS, CHECKLISTS, STANDARD BIDDING FORMS AND PLANS</t>
  </si>
  <si>
    <t xml:space="preserve"> Republic of the Philippines PROVINCE OF SOUTHERN LEYTE Maasin City Invitation to Bid for the Procurement of One (1) Unit Motor Service Vehicle  Contract ID # 2020-07-07-381PG 1.	The Provincial Government of Southern Leyte through the PHSO – Motor Vehicle </t>
  </si>
  <si>
    <t xml:space="preserve"> Construction/ Repair/ Rehabilitation/ Improvement of Various Infrastructure Including Local Projects - Rehabilitation of Multi-Purpose Hall, Baguio City Contract Location :	East Modernsite, Baguio City Approved Budget for the Contract :	Php980,000.00 Scop</t>
  </si>
  <si>
    <t xml:space="preserve"> Please see attached file (RFQ-20-06-0458) for reference.</t>
  </si>
  <si>
    <t xml:space="preserve"> Republic of the Philippines PROVINCE OF SOUTHERN LEYTE Maasin City Invitation to Bid for the Procurement of Various Catering Services, Venue &amp; Accommodation  Contract ID # 2020-07-07-382PG 1.	The Provincial Government of Southern Leyte through the PVET – </t>
  </si>
  <si>
    <t xml:space="preserve"> 1 LOT REPAIR AND MAINTENANCE OF VARIOUS AIRCONDITIONER CLEANING OF AIRCONDITIONER &amp; FREON CHARGING LOCATION: NHMFC HEAD OFFICE - MAKATI 2 UNITS CASSETE TYPE, AIRCON (ANNEX - G/FLR) 1 UNIT WALL MOUNTED, AIRCON (OVP-FAMG ROOM - G/FLR) 3 UNITS FLOOR MOUNTED,</t>
  </si>
  <si>
    <t xml:space="preserve"> Construction/ Repair/ Rehabilitation/ Improvement of Various Infrastructure Including Local Projects - Rehabilitation of Road at Purok 2 and 3, Brgy. Sta. Escolastica Village, Baguio City Contract Location :	Baguio City Approved Budget for the Contract :	</t>
  </si>
  <si>
    <t xml:space="preserve"> Please quote hereunder your lowest possible price for the Laptop. For more specifications and for the sample please see attached Request for Quotation form and sample. Original Request for Quotation form will be available for pick-up or download from Phil</t>
  </si>
  <si>
    <t xml:space="preserve"> Supplies and Materials</t>
  </si>
  <si>
    <t xml:space="preserve"> Construction/ Repair/ Rehabilitation/ Improvement of Various Infrastructure Including Local Projects – Rehabilitation of Road Teodora Alonzo, Baguio City Contract Location :	Baguio City Approved Budget for the Contract :	Php1,960,000.00 Scope of  work  :	</t>
  </si>
  <si>
    <t xml:space="preserve"> SOURCE DEVELOPMENT; PROVISION OF PUMP AND ITS ACCESSORIES; CONSTRUCTION OF POWER HOUSE</t>
  </si>
  <si>
    <t xml:space="preserve"> REQUEST FOR QUOTATION 							Date: June 9, 2020 							RFQ No.: 2020-22-06	 Name of Company: ________________________________________________________________________________ Address: ________________________________________________________________________</t>
  </si>
  <si>
    <t xml:space="preserve"> REQUEST FOR QUOTATION 							                                                                 Date: June 9, 2020 							                                                                 RFQ No.: 2020-21-06	 Name of Company: ________________________________</t>
  </si>
  <si>
    <t xml:space="preserve"> 200 pcs Certificates for Printing 200 pcs Token for Participants (Bag) 30   packs Envelope 4     pcs   Tarpaulin (2x5)</t>
  </si>
  <si>
    <t xml:space="preserve"> 2 unit Emergency Motorcycle with Storage Bin</t>
  </si>
  <si>
    <t xml:space="preserve"> 1. 150 pcs folder long 2. 20 box record book 3. 4 box ordinary Ballpen  4.4 box sign pen  5.10 pcs ducumentary file blue  6.2 pads Cashbook  blue  7. 30 pads yellow paper 8.2 pcs stapler # 35 9. 7 Ream bond paper  A4  10. 20 Ream Bond paper long  11. 18 R</t>
  </si>
  <si>
    <t xml:space="preserve"> Description I.	Metal Structures  1. Barangay Ada, TANAUAN, LEYTE through the bids and awards comm.) invites suppliers, distributors of construction materials for the project: Fabrication of 4-Units Waste Management Segregation  2. The bids and awards comm</t>
  </si>
  <si>
    <t xml:space="preserve"> Supply and delivery of the following items: 1,210 Liters Diesel Fuel 1 lot Lubricant (10% of Fuel)</t>
  </si>
  <si>
    <t xml:space="preserve"> Supply and Delivery of one (1) unit Projector and one (1) unit Laser Printer *See attached technical specifications</t>
  </si>
  <si>
    <t xml:space="preserve"> Quotation No. 2020-06-013 To all Eligible Supplier: Please quote your lowest price inclusive of VAT on the item/s listed below, subject to the Terms and Condition of this RFQ, and submit your quotation duly signed by your representative not later than Jun</t>
  </si>
  <si>
    <t xml:space="preserve"> 1 unit 3 (seater) Passenger E-Bike</t>
  </si>
  <si>
    <t xml:space="preserve"> Republic of the Philippines Province of South Cotabato Municipality of Sto. Niño BIDS AND AWARDS COMMITTEE (BAC) Invitation to Bid 1. The Local Government of Sto. Niño, through its Bids and Awards Committee (BAC) invites interested bidder to bid for the p</t>
  </si>
  <si>
    <t xml:space="preserve"> 2 lot Customized Mascot</t>
  </si>
  <si>
    <t xml:space="preserve"> Title: CONTINUATION OF IMPROVEMENT OF MULTI PURPOSE HALL ABC: 438,311.60 SCOPE OF WORKS: I.	EARTHWORKS, 17.50 cu.m. II.	CONCRETE WORKS, 16.53 cu.m. III.	MASONRY WORKS, 193.70 sq.m. IV.	PLASTERING WORKS, 293.96 sq.m. V.	INSTALLATION OF DOORS AND WINDOWS, 1</t>
  </si>
  <si>
    <t xml:space="preserve"> Section I. Invitation to Bid Republic of the Philippines Province of Davao Oriental Municipality of Boston Barangay Poblacion Bids and Awards Committee Invitation to Bid  for the  Procurement of Solar Street Lamp.  1.	The Barangay Government Unit of Pobla</t>
  </si>
  <si>
    <t xml:space="preserve"> Please see attached document for the specification.</t>
  </si>
  <si>
    <t xml:space="preserve"> Various seeds</t>
  </si>
  <si>
    <t xml:space="preserve"> Local Infrastructure Program – Renovation of PFVR Building, Department of Education Division Office, Brgy. Military Cut Off, Baguio City, Benguet Contract Location :	Baguio City Approved Budget for the Contract :	Php24,750,000.00 Scope of  work  :	Rehabil</t>
  </si>
  <si>
    <t xml:space="preserve"> Standard Form Number: SF-GOOD-60   Revised on: May 24, 2004 Standard Form Title: Request for Quotation Date: Quotation ______________________________ (name of Company) ______________________________ (address/Tel. #) Please quote your lowest price on the i</t>
  </si>
  <si>
    <t xml:space="preserve"> Description I.	Structure Excavation  1. Barangay Ada, TANAUAN, LEYTE through the bids and awards comm.) invites suppliers, distributors of construction materials for the project: Improvement of Designated Excavation Center  2. The bids and awards committe</t>
  </si>
  <si>
    <t xml:space="preserve"> REQUEST FOR QUOTATION 							                                                                        Date: June 9, 2020 							                                                                        RFQ No.: 2020-24-06	 Name of Company: __________________</t>
  </si>
  <si>
    <t xml:space="preserve"> REQUEST FOR QUOTATION 							Date: June 9, 2020 							RFQ No.: 2020-23-06	 Name of Company: ________________________________________________________________________________ Address: ________________________________________________________________________</t>
  </si>
  <si>
    <t xml:space="preserve"> INVITATION TO BID Project  No. 2020-03-215 The Department of Education (DepEd), Division of Panabo City, through the  Continuing Appropriations  for the Provision of Funds for the Procurement of Temporary Learning Spaces for Schools Affected by Earthquake</t>
  </si>
  <si>
    <t xml:space="preserve"> Procurement Educational Equipment/Support Instructional Equipment</t>
  </si>
  <si>
    <t xml:space="preserve"> Please submit price quotation as per attached RFQ</t>
  </si>
  <si>
    <t xml:space="preserve"> PLEASE SEE THE BAC SECRETARIAT</t>
  </si>
  <si>
    <t xml:space="preserve"> 1. 1 Unit Filing Cabinet</t>
  </si>
  <si>
    <t xml:space="preserve"> Please download the attached file for the purchase request, terms of reference and omnibus sworn statement form.</t>
  </si>
  <si>
    <t xml:space="preserve"> THE KAPITOLYO HIGH SCHOOL IS IN NEED OF MURIATIC ACID, LYSOL AND BAYGON.</t>
  </si>
  <si>
    <t xml:space="preserve"> REQUEST FOR QUOTATION 							Date: June 9, 2020 							RFQ No.: 2020-29-06	 Name of Company: ________________________________________________________________________________ Address: ________________________________________________________________________</t>
  </si>
  <si>
    <t xml:space="preserve"> Invitation to Bid  for  PROVSION OF 14 SECURITY SERVICES AT DPWH REGIONAL OFFICE NO. IV-A, EDSA, QUEZON CITY FOR   SIX (6) MONTHS  Contract ID No. 20GD00003 The Department of Public Works and Highways (DPWH), Regional Office No. IV-A thru its Bids and Awa</t>
  </si>
  <si>
    <t xml:space="preserve"> The SANGGUNIANG BARANGAY OF BARANGAY BANJO WEST, TANAUAN CITY, BATANGAS, through the Barangay Operating Budget 2020 intends to apply the sum of Ten Thousand Pesos Only (Php 10,000.00) being the Approved Budget of the Contract (ABC) to payment under the Pr</t>
  </si>
  <si>
    <t xml:space="preserve"> Description   Supplies and Deliveries of   Electrical  Materials Invitation to Apply for Eligibility and to Bid Republic of the Philippines City of Cagayan de Oro Barangay Bulua JUNE 29,2020 Date of Bidding Purchase Request : 20-5-54 ABC Php 500,000.00 Na</t>
  </si>
  <si>
    <t xml:space="preserve"> Improvement of Barangay Road to include:     1. Excavation    2. Drainage Riprap    3. Roadway Preparation    4. Concrete Pavement</t>
  </si>
  <si>
    <t xml:space="preserve"> Republic of the Philippines DEPARTMENT OF PUBLIC WORKS AND HIGHWAYS SULTAN KUDARAT 2ND DISTRICT ENGINEERING OFFICE REGION XII Lebak, Sultan Kudarat INVITATION TO BID FOR SUPPLY/DELIVERY OF DIESEL FUEL AND ENGINE OIL FOR USE OF SERVICE VEHICLE ASSIGNED AT </t>
  </si>
  <si>
    <t xml:space="preserve"> Republic of the Philippines DEPARTMENT OF PUBLIC WORKS AND HIGHWAYS SULTAN KUDARAT 2ND DISTRICT ENGINEERING OFFICE REGION XII Lebak, Sultan Kudarat INVITATION TO BID FOR SUPPLY/DELIVERY OF TIRE AND BATTERY FOR USE OF SERVICE VEHICLE ASSIGNED AT THE PLANNI</t>
  </si>
  <si>
    <t xml:space="preserve"> 5	amp	dexamethsone ampule 5	amp	diphenhydramine amp 5	amp	tranexamic amp 10	gals	alcohol 70% 100	pcs	face mask 5	boxes	ibuprofen 400mg tab 10	boxes	amoxicillin 500mg 11	boxes	celecoxib 200mg cap 50	boxes	azithromycin tab 5	boxes	cloxacillin 500mg cap 20	b</t>
  </si>
  <si>
    <t xml:space="preserve"> FOR CITY OF BALANGA NATIONAL HIGH SCHOOL OPERATIONS</t>
  </si>
  <si>
    <t xml:space="preserve"> Department of Public Works and Highways Contract ID	:	20MH0103 Contract Name	:	Concreting Local Road, Purok Narra, Brgy.Poblacion, Sultan Kudarat Contract Location	:	Lebak, Sultan Kudarat Department of Public Works and Highways Sultan Kudarat 2ndDistrict </t>
  </si>
  <si>
    <t xml:space="preserve"> The SANGGUNIANG BARANGAY OF BARANGAY BANJO WEST, TANAUAN CITY, BATANGAS, through the Barangay Operating Budget 2020 intends to apply the sum of Fifty Thousand Pesos Only (Php 50,000.00) being the Approved Budget of the Contract (ABC) to payment under the </t>
  </si>
  <si>
    <t xml:space="preserve"> please see attached</t>
  </si>
  <si>
    <t xml:space="preserve"> REQUEST FOR QUOTATION 							Date: June 9, 2020 							RFQ No.: 2020-31-06	 Name of Company: ________________________________________________________________________________ Address: ________________________________________________________________________</t>
  </si>
  <si>
    <t xml:space="preserve"> ACCESS ROAD</t>
  </si>
  <si>
    <t xml:space="preserve"> SCHOOL AND OFFICE SUPPLIES (INK AND OTHERS) ----------   PHP 10,700.00</t>
  </si>
  <si>
    <t xml:space="preserve"> THE KAPITOLYO HIGH SCHOOL IS IN NEED OF CANOPY/RETRACTABLE TENT, FOLDING BED, FIRST AID KIT AND HAND HELD RADIO FOR SDRR USE.</t>
  </si>
  <si>
    <t xml:space="preserve"> NAME OF PROJECTS: CONSTRUCTION OF MULTIPURPOSE HALL LOCATION: TALOY SUR, TUBA, BENGUET SCOPE OF WORK: INSTALLATION OF SIGNBOARD, STRUCTURAL EXCAVATION, CONSTRUCTION OF TIE BEAM NO. OF WORKING DAYS TO COMPLETE WORK: 9</t>
  </si>
  <si>
    <t xml:space="preserve"> Flue curing barn: Excavation works, Masonry works, Roofing works, Hangers, Door ventilation, Flue system, Construction safety and health</t>
  </si>
  <si>
    <t xml:space="preserve"> REPUBLIC OF THE PHILIPPINES CITY OF MANILA OFFICE OF THE BARANGAY COUNCIL INVITATION TO BID SUBMISSION AND OPENING OF BID WILL BE ON JUNE 23, 2020 AT 8 AM. THE BARANGAY 140 ZONE 12 DISTRICT 1 MANILA THROUGH ITS BID AND AWARDS COMMITTEE (BAC) INVITES ALL Q</t>
  </si>
  <si>
    <t xml:space="preserve"> 1. 1 unit Aircon</t>
  </si>
  <si>
    <t xml:space="preserve"> NAME OF PROJECT: CONSTRUCTION OF SEBIT-CAUCALAN WATER WORKS SYSTEM (PHASE 2) PROJECT LOCATION: CAUCALAN, TALOY SUR, TUBA, BENGUET PROJECT DESCRIPTION: BIILBOARD WITH STAND, STRUCTURE EXCAVATION, CONSTRUCTION OF WATER TANK (a. reinforced concrete works b. </t>
  </si>
  <si>
    <t xml:space="preserve"> Description: REHAB.OF BULUA BRGY.WATER SYSTEM, Barangay Bulua,Cagayan de Oro City.   Invitation to Apply for Eligibility and to Bid Republic of the Philippines City of Cagayan de Oro Barangay Bulua JUNE 29,2020 Date of Bidding Purchase Request : 20-06-55 </t>
  </si>
  <si>
    <t xml:space="preserve"> NAME OF PROJECT: IMPROVEMENT OF FARM TO MARKET ROAD AT PALINA  BALINSAWANG, TALOY SUR PROJECT LOCATION: PALINA, TALOY SUR, TUBA, BENGUET PROJECT DESCRIPTION: BILLBOARD, REMOVAL OF STRUCTURES AND OBSTRUCTIONS, SUBGRADE PREPARATION AND PORTLAND CEMENT CONCR</t>
  </si>
  <si>
    <t xml:space="preserve"> Department of Public Works and Highways Contract ID	:	20MH0085 Contract Name	:	Concreting of Upper Balayan to Kinadao, Barangay Badiangon, Palimbang, Sultan Kudarat Contract Location	:	Palimbang, Sultan Kudarat Department of Public Works and Highways Sult</t>
  </si>
  <si>
    <t xml:space="preserve"> 1. set generator</t>
  </si>
  <si>
    <t xml:space="preserve"> RCDG BRIDGE</t>
  </si>
  <si>
    <t xml:space="preserve"> 1.       01       lot     Construction/Installation of 20 units Solar Power Streetlights</t>
  </si>
  <si>
    <t xml:space="preserve"> Reference No. PR # 20-06-0736 PRICE QUOTATION FORM (BID FORM) Sealed Bids shall be dropped in the BIDDERS BOX on or before 2:00 P.M.  June 19, 2020    placed at the office of the Chairman of the College BAC. Thereafter, the Bidder's Box shall be sealed un</t>
  </si>
  <si>
    <t xml:space="preserve"> INDUSTRIAL TECHNOLOGY DEVELOPMENT INSTITUTE DOST Cmpd., Bicutan, Taguig City Telephone Nos. (02) 837-20-71 to 82 local 2221 E-mail Add.: itdi.admbac@gmail.com INVITATION TO BID June 15, 2020 Sir/Madam: Please quote your price for the item/items listed bel</t>
  </si>
  <si>
    <t xml:space="preserve"> For further information, please refer to: Mrs. Maria Flora T. Pandes or Mrs. Herbie B. De Lemios Department of Education-Division of Camarines Norte F. Pimentel Avenue, Barangay II, Daet, Camarines Norte Telephone number: 054-440-4464 Cellphone number: 09</t>
  </si>
  <si>
    <t xml:space="preserve"> School and office supplies (Bondpaper) ----------------------- Php 16,393.00</t>
  </si>
  <si>
    <t xml:space="preserve"> Please see attached file for the item to be purchased. For further information, please refer to: Mrs. Maria Flora T. Pandes or Mrs. Herbie B. De Lemios Department of Education-Division of Camarines Norte F. Pimentel Avenue, Barangay II, Daet, Camarines No</t>
  </si>
  <si>
    <t xml:space="preserve"> REQUEST FOR QUOTATION 							Date: June 15, 2020 							RFQ No.: 2020-32-06	 Name of Company: ________________________________________________________________________________ Address: _______________________________________________________________________</t>
  </si>
  <si>
    <t xml:space="preserve"> please see attached documents</t>
  </si>
  <si>
    <t xml:space="preserve"> REQUEST FOR QUOTATION 							Date: June 9, 2020 							RFQ No.: 2020-26-06	 Name of Company: ________________________________________________________________________________ Address: ________________________________________________________________________</t>
  </si>
  <si>
    <t xml:space="preserve"> ARTICLE AND DESCRIPTION							 											 ITEM	QTY.	UNIT						CEILING 			 								PRICE			 											 				Office: Sta. Ana Hospital				PR No. 604			 				Charge to: Other Supplies and Materials Expenses				OBR No. 100-2005-004290			 				ABC:  Php135,674.</t>
  </si>
  <si>
    <t xml:space="preserve"> REQUEST FOR QUOTATION 							Date: June 9, 2020 							RFQ No.: 2020-25-06	 Name of Company: ________________________________________________________________________________ Address: ________________________________________________________________________</t>
  </si>
  <si>
    <t xml:space="preserve"> 1. 12 pcs Prepaid Cards</t>
  </si>
  <si>
    <t xml:space="preserve"> Please download the attached file for the item to be purchased. For further information, please refer to: Mrs. Maria Flora T. Pandes or Mrs. Herbie B. De Lemios Department of Education-Division of Camarines Norte F. Pimentel Avenue, Barangay II, Daet, Cam</t>
  </si>
  <si>
    <t xml:space="preserve"> 1. 1 unit laptop computer</t>
  </si>
  <si>
    <t xml:space="preserve"> Republic of the Philippines Province of Camarines Sur MUNICIPALITY OF MINALABAC -o0o- Invitation to Bid for CONSTRUCTION OF SEAWALL WITH DRAINAGE CANAL &amp; EMBANKMENT at Salingogon, Minalabac, Camarines Sur 1. LGU-Minalabac, Camarines Sur, through Capital O</t>
  </si>
  <si>
    <t xml:space="preserve"> ARTICLE AND DESCRIPTION							 											 ITEM	QTY.	UNIT						CEILING 			 								PRICE			 											 				Office: Sta. Ana Hospital				PR No. 644			 				Charge to: Repairs and Maintenance - Building				OBR No. 100-2005-04294			 				                    a</t>
  </si>
  <si>
    <t xml:space="preserve"> Please be informed that additional specifications for the Supply and Installation of Street Light at Bislig City, which was inadvertently indicated and published in the PhilGEPS.  FROM 4” x 2” x 25ft. Hot-Dip Round Steel Tapered Lamp Post with single Curv</t>
  </si>
  <si>
    <t xml:space="preserve"> BIDS AND AWARDS COMMITTEE – HEAD OFFICE INVITATION TO BID 1.	The Bangko Sentral ng Pilipinas (BSP), through its Bids and Awards Committee (BAC) – Head (HO), invites Bidders to apply for eligibility and to bid for the hereunder requirement: Name of Require</t>
  </si>
  <si>
    <t xml:space="preserve"> Box sizes:  14 1/4 x 9 1/4 x 6 3/4- 3,000 pcs.  17'/4 x 13 1/4 x 8 1/2- 800 pcs. Single Wall w/o Print RSC (Regular Slotted Container); Glued Joints/Color Brown, Flute Thickness of 5/32; Flutes/Linear Foot-39+3</t>
  </si>
  <si>
    <t xml:space="preserve"> LGU Patnanungan, Quezon						Ref.		See other bid docs                                                                                            	 Name of Project	As shown                                                                                    </t>
  </si>
  <si>
    <t xml:space="preserve"> PURCHASE REQUEST					 Barangay : ZONE - 1			P. R. No.: 2020 -	19	 City/ Municipality : Pinamalayan			Date: 		 Provicne : Oriental Mindoro					 REQUISITION					 Item Number	Qty	Unit of Measurement	Item Description 	Estimated Unit Cost	Estimated Amount 1	95</t>
  </si>
  <si>
    <t xml:space="preserve"> REQUEST FOR QUOTATION 							Date: June 9, 2020 							RFQ No.: 2020-27-06	 Name of Company: ________________________________________________________________________________ Address: ________________________________________________________________________</t>
  </si>
  <si>
    <t xml:space="preserve"> Repair and school maintenance -------- Php 17, 606.00</t>
  </si>
  <si>
    <t xml:space="preserve"> Republic of the Philippines Province of Camarines Sur MUNICIPALITY OF MINALABAC -o0o- Invitation to Bid for ROAD CONCRETING (NEAR MALABOG CREEK, HAMORAON) at Hamoraon, Minalabac, Camarines Sur 1. LGU-Minalabac, Camarines Sur, through 20% EDF, CY 2020, int</t>
  </si>
  <si>
    <t xml:space="preserve"> see attached douments</t>
  </si>
  <si>
    <t xml:space="preserve"> Bond Paper 80 GSM  Paper sizes:  8 1/2 x 11- 500 reams 8 1/2 x 13- 300 reams 8 1/4 11 3/4 (A4)- 200 reams 8 1/2 x 14- 400 reams Substance 24 Color: Ultra White</t>
  </si>
  <si>
    <t xml:space="preserve"> Sir/Madam:																																		 																																		 Please quote your government price/s including delivery charges, VAT or other applicable taxes, and other incidental expenses for the goods listed in Annex A.  Failure to indi</t>
  </si>
  <si>
    <t xml:space="preserve"> Province of Cagayan BARANGAY UGAC NORTE Tuguegarao City INVITATION TO BID NAME OF PROJECT:  CONSTRUCTION OF MASONRY DRAINAGE STRUCTURE  along Bassig Street (Simangan Alley) REFERENCE NO.: PB-INF-19-005  DATE OF POSTING: June 16, 2020 1. The Barangay Counc</t>
  </si>
  <si>
    <t xml:space="preserve"> Procurement of other supplies and materials</t>
  </si>
  <si>
    <t xml:space="preserve"> Province of Cagayan BARANGAY UGAC NORTE Tuguegarao City INVITATION TO BID NAME OF PROJECT:  CONSTRUCTION OF MASONRY DRAINAGE STRUCTURE  along Bassig Street (Bangayan Alley) REFERENCE NO.: PB-INF-19-006  DATE OF POSTING: June 16, 2020 1. The Barangay Counc</t>
  </si>
  <si>
    <t xml:space="preserve"> REQUEST FOR QUOTATION 							Date: June 9, 2020 							RFQ No.: 2020-28-06	 Name of Company: ________________________________________________________________________________ Address: ________________________________________________________________________</t>
  </si>
  <si>
    <t xml:space="preserve"> INVITATION TO BID FOR REPAIR AND IMPROVEMENT OF PERIMETER FENCE, SEPARATOR WALL, MAIN GATE AND PEDESTRIAN GATE 1.	The Bureau of Jail Management and Penology Region -7  through the GAA Fiscal Year 2020 Repair and Maintenance of Other Structure tends to app</t>
  </si>
  <si>
    <t xml:space="preserve"> Invitation to Bid to all Supplier/Contractor duly accredited by the City Council of Manila to supply and deliver the following items provided hereunder, to wit; Item	 	Qty.	 	Unit	 	 	 	DESCRIPTION	  1	 	1	 	Unit	Aircon	 	 	 	 	 	 	  2	 	1	 	Set	Computer </t>
  </si>
  <si>
    <t xml:space="preserve"> Please see attached file for the item to be purchased. Labor Cost: 35% cost of materials (Php 52,610.55) Total Amount of Materials: Php 150,315.85 For further information, please refer to: Mrs. Maria Flora T. Pandes or Mrs. Herbie B. De Lemios Department </t>
  </si>
  <si>
    <t xml:space="preserve"> Republic of the Philippines Pangasinan State University Lingayen, Pangasinan INVITATION TO BID FOR THE MODERNIZATION OF INFORMATION TECHNOLOGY AND NETWORK COMMUNICATION LABORATORY FACILITY OF COLLEGE OF COMPUTING SCIENCES 1.	The Pangasinan State Universit</t>
  </si>
  <si>
    <t xml:space="preserve"> Medical supplies and equipments  - Php 16,815.oo</t>
  </si>
  <si>
    <t xml:space="preserve"> INSTALLATION OF CCTV CAMERAS</t>
  </si>
  <si>
    <t xml:space="preserve"> Furnishing of Construction Materials</t>
  </si>
  <si>
    <t xml:space="preserve"> Laptop Computer- 1 Unit Technical Specification:  • 2-in-1 laptop  • CPU: Intel Core i5 or i7 processor  • Graphics: Intel UHD Graphics  • RAM: 8GB  • Screen size and resolution: 13.3" diagonal MD IPS BrightView WLED-backlit mulfitouch-enabled edge-to edg</t>
  </si>
  <si>
    <t xml:space="preserve"> Graduation expense ------ Php 9,620.00</t>
  </si>
  <si>
    <t xml:space="preserve"> Repair and maintenance of sliding windows ------ Php 33,976.00</t>
  </si>
  <si>
    <t xml:space="preserve"> Laptop Computer- 1 Unit Technical Specification:  • CPU: Intel Core i5 or i7 processor  • RAM: 8GB  • Storage: 256 GB PCLe SSD  • Screen size: 15.6 inches, 1920 x 1080 pixels  • Operating System: Microsoft Windows 10  • Dimensions: 14.3 x 10.8 x 0.9 inche</t>
  </si>
  <si>
    <t xml:space="preserve"> The BARANGGAY INDUSTRIAL VALLEY COMPLEX, MARIKINA CITY,  through its Bids and Awards Committee (BAC), invites interested parties to apply for eligibility and to bid for the hereunder supplies contract: Name of Contract : Supply and Delivery of Office devi</t>
  </si>
  <si>
    <t xml:space="preserve"> -157- lot -Flu Vaccine</t>
  </si>
  <si>
    <t xml:space="preserve"> Republic of the Philippines Province of Iloilo Municipality of Pavia Invitation to Bid for the Purchase of  Brand New Motor Vehicle for the use of SB Office 1.	The Municipality of Pavia, Iloilo, through the General Fund Prior Year &amp; 2019 intends to apply </t>
  </si>
  <si>
    <t xml:space="preserve"> PUBLIC ADDRESS SYSTEM REPAIR</t>
  </si>
  <si>
    <t xml:space="preserve"> Purchase of Fuel, Oil and Lubricants for the 3rd Quarter ABC: Php 754,064.08 10,813 ltrs Diesel 1,950 ltrs Special Gasoline 100 ltrs Regular Gasoline 54 ltrs Oil 10 54 ltrs Oil 40 36 ltrs Gear Oil 140 9 ltrs Brake Fluid 9 Ltrs Coolant 5 ltrs 2T INVITATION</t>
  </si>
  <si>
    <t xml:space="preserve"> Procurement of Annual Subscription Renewal for the NWRB Managed Cloud Services and Web Hosting with Back-up Server and Maintenance. QUANTITY: 1 LOT BUDGET: Php 200,000.00 ----------------------------------- NOTE:  Interested bidders should fill-up the off</t>
  </si>
  <si>
    <t xml:space="preserve"> Repainting of Bridge</t>
  </si>
  <si>
    <t xml:space="preserve"> Republic of the Philippines Province of Iloilo Municipality of Pavia Invitation to Bid for the Improvement of School at Pagsanga-an Elementary School (Repair of Ceiling and Electrical Wiring in Library and Computer Room, Improvement of H.E. Room and Exten</t>
  </si>
  <si>
    <t xml:space="preserve"> SOLAR POWER SYSTEM INSTALLATION</t>
  </si>
  <si>
    <t xml:space="preserve"> Republic of the Philippines Department of Education CARAGA ADMINISTRATIVE REGION DIVISION OF CABADBARAN CITY CALAMBA NATIONAL HIGH SCHOOL Calamba, Cabadbaran City ___________________________________ Request for Quotation Date: June 15, 2020 Quotation No.:</t>
  </si>
  <si>
    <t xml:space="preserve"> MARAMAG WATER DISTRICT  Drilling of One (1) Production Well    1. The Maramag Water District, through the LWUA–MWD JSA Fund, intends to apply the sum of Two Million Five Hundred Thousand Pesos Only (P 2,500,000.00) being the Approved Budget for the Contra</t>
  </si>
  <si>
    <t xml:space="preserve"> Repair/Maintenance of Building</t>
  </si>
  <si>
    <t xml:space="preserve"> Purchase of IT Equipment The items to be delivered will be used in the Mayor's Office, Rural Health Unit, and the HR Office.</t>
  </si>
  <si>
    <t xml:space="preserve"> CTP Plate Gloss- 4,000 kgs. Size: 889 x 586 x .30</t>
  </si>
  <si>
    <t xml:space="preserve"> Building</t>
  </si>
  <si>
    <t xml:space="preserve"> Process Black Ink- 200 kgs.</t>
  </si>
  <si>
    <t xml:space="preserve"> Laptop Computer- 1 Unit Technical Specification:  • 13.3 inch Retina Display with integrated Touch ID sensor  • CPU: 1.1GHz quad core 10th Gen Intel Core i5 processor Turbo Boost up to 3.6GHz with 6MB L3 cache  • Graphics: Intel Iris Plus Graphics  • RAM:</t>
  </si>
  <si>
    <t xml:space="preserve"> Republic of the Philippines Province of Iloilo Municipality of Pavia Invitation to Bid for the Improvement of School at Pandac Elementary School (Extension of Covered Court, Roofing and Ceiling of Classrooms) 1.	The Municipality of Pavia, Iloilo, through </t>
  </si>
  <si>
    <t xml:space="preserve"> Item No.	Item/s and Description	Quantity	Unit	Unit Price LOT 1				 1	hollow blocks	276	pcs	 2	Cement	72	bags	 3	solvent 100cc	15	cans	 4	tee pipe 1/2	23	pcs	 5	porcelain sink	1	unit	 6	coupling traded 1/2	22	pcs.	 7	elbow 1/2	23	pcs.	 8	 plastic water fau</t>
  </si>
  <si>
    <t xml:space="preserve"> Republic of the Philippines Province of Quezon CITY GOVERNMENT OF TAYABAS INVITATION TO BID FOR PROJECT # 20-039 - PROCUREMENT OF ICT EQUIPMENT FOR TEACHING AND LEARNING PURPOSES – CITY SCHOOL DIVISION OFFICE. The City Government of Tayabas, through the S</t>
  </si>
  <si>
    <t xml:space="preserve"> Republic of the Philippines Province of Iloilo Municipality of Pavia Invitation to Bid for the Purchase of one (1) unit Fully Reconditioned Double Cab Fire Truck of the MDRRM Office 1.	The Municipality of Pavia, Iloilo, through the General Fund 2020 inten</t>
  </si>
  <si>
    <t xml:space="preserve"> the materials need are; Item No.	Item/s and Description	Quantity	Unit LOT 1			 1	fastener	2	box 2	legal  bond papers  sub 20/70gsm, 	515	reams 3	letter bond papers  sub 20/70gsm, 	244	reams 4	Ink for Epson Printer (black)	67	btl. 5	Ink for Epson Printer (</t>
  </si>
  <si>
    <t xml:space="preserve"> Republic of the Philippines Province of Quezon CITY GOVERNMENT OF TAYABAS INVITATION TO BID FOR PROJECT # 20-043 – PROCUREMENT OF MOTOR VEHICLE (RESCUE VEHICLE CUSTOMIZED PICK-UP) -LDRRMO. 1.	The City Government of Tayabas, through the General Fund Contin</t>
  </si>
  <si>
    <t xml:space="preserve"> Republic of the Philippines Province of Quezon CITY GOVERNMENT OF TAYABAS INVITATION TO BID FOR PROJECT # 20-047 – PROCUREMENT OF DISASTER RESPONSE AND RESCUE EQUIPMENT - LDRRMO. 1.	The City Government of Tayabas, through the General Fund Continuing 2020 </t>
  </si>
  <si>
    <t xml:space="preserve"> Item No.	Item/s and Description	Quantity	Unit 1	Thermal scanner	5	units 	Specs: one click usage, LCD screen, beeping		 	warning, long standby time and highly sensitive		 	infrared control		 2	Paracetamol Syrup 60ml.	6	btl. 3	Paracetamol tablet 500g.	25	pc</t>
  </si>
  <si>
    <t xml:space="preserve"> Republic of the Philippines Province of Iloilo Municipality of Pavia Invitation to Bid for the Catering Services for Various Activities of the HRM Office and Mayor’s Office 1.	The Municipality of Pavia, Iloilo, through the General Fund 2020 intends to app</t>
  </si>
  <si>
    <t xml:space="preserve"> Invitation to Bid for Construction of Footbridge at Brgy. Bularong, Margosatubig, ZDS. Source of Fund: General Fund (20% EDF) Non-refundable fee for bidding documents: 500.00</t>
  </si>
  <si>
    <t xml:space="preserve"> Item No.	Item/s and Description	Quantity	Unit 1	Grade three reading passage	2100	pcs. 	           English - 700pcs.		 	           Filipino - 700pcs.		 	           MTB - 700pcs.		 2	Grade three reading passage	1900	pcs. 	           English - 700pcs.		 	   </t>
  </si>
  <si>
    <t xml:space="preserve"> Purchase of Meals and Snacks for Orientation on Livelihood Assistance Grant (LAG) Implementation ABC: Php 5,000.00 1 Meal for 25 Pax 2 Snacks for 25 Pax</t>
  </si>
  <si>
    <t xml:space="preserve"> Republic of the Philippines Province of Quezon CITY GOVERNMENT OF TAYABAS INVITATION TO BID FOR PROJECT # 20-055 – PROCUREMENT OF RESPONSE / VEHICLE 4 WHEELER -LDRRMO. 1.	The City Government of Tayabas, through the General Fund Continuing 2020 intends to </t>
  </si>
  <si>
    <t xml:space="preserve"> Republic of the Philippines Province of Iloilo Municipality of Pavia Invitation to Bid for the Improvement of School at Aganan-Ungka Elementary School (Elevation of Classroom, Canteen and Pathways) 1.	The Municipality of Pavia, Iloilo, through the Special</t>
  </si>
  <si>
    <t xml:space="preserve"> The National Commission for Culture and the Arts (NCCA) through its Procurement Section intends to procure “Van Rental for Transportation Service of NCCA Employees” in accordance with Section 53.9 (Negotiated Procurement – Small Value Procurement) of the </t>
  </si>
  <si>
    <t xml:space="preserve"> Republic of the Philippines Province of Quezon CITY GOVERNMENT OF TAYABAS INVITATION TO BID FOR PROJECT # 20-053 - PROCUREMENT OF CCTV CAMERA WITH TV MONITOR SYSTEM AND NETWORK INFRASTRUCTURE – CITY SCHOOL DIVISION OFFICE The City Government of Tayabas, t</t>
  </si>
  <si>
    <t xml:space="preserve"> Republic of the Philippines Pangasinan State University Lingayen, Pangasinan INVITATION TO BID FOR THE UPGRADING OF ENGINEERING AND TECHNOLOGY LABORATORIES OF THE PANGASINAN STATE UNIVERSITY 1.	The Pangasinan State University, through the Fund 184 (Extern</t>
  </si>
  <si>
    <t xml:space="preserve"> Department of Education Region VI-Western Visayas Division of Cadiz City Alimatoc Elementary School SMALL VALUE PROCUREMENT OF HEAVY DUTY  PRINTER  WITH SCANNER 2019 1.	The Alimatoc Elementary School of Cadiz City, through the Schools MOOE Fund CY 2019  i</t>
  </si>
  <si>
    <t xml:space="preserve"> To support the procurement of Seventy (70) quarts Polyester Body Filler w/ Hardener and 17 other L/I for use in the 12th and 13th  PIP Inspection Scheduled Maintenance of C-130B aircraft Nr 4704.</t>
  </si>
  <si>
    <t xml:space="preserve"> To support the procurement of services for the updating of two (2) ea Flight Management System (FMS) Navigational Data Base for use of NC-212i aircraft Nrs 2119 and 2120.</t>
  </si>
  <si>
    <t xml:space="preserve"> 1. The BARANGAY GOVERNMENT OF SAPA PEQUEÑA, BURGOS, PANGASINAN through its Barangay Development Fund CY 2020 intends to apply an amount of One Hundred Fifty Thousand Pesos Only (Php150,000.00) being the Approved Budget for the Contract (ABC) for payment u</t>
  </si>
  <si>
    <t xml:space="preserve"> L = 37.00 l.m.</t>
  </si>
  <si>
    <t xml:space="preserve"> lined canal</t>
  </si>
  <si>
    <t xml:space="preserve"> Republic of the Philippines Province of Iloilo Municipality of Pavia Invitation to Bid for the Purchase of Furniture and Fixtures for Mayor’s Office and MENR Office 1.	The Municipality of Pavia, Iloilo, through the General Fund 2020 intends to apply the s</t>
  </si>
  <si>
    <t xml:space="preserve"> REPAIR, IMPROVEMENT, OF SCHOOL CLINIC, AND 3 (THREE) WATER &amp; SANITATION (WATSAN).</t>
  </si>
  <si>
    <t xml:space="preserve"> Republic of the Philippines Province of Agusan del Sur MUNICIPALITY OF PROSPERIDAD BIDS AND AWARDS COMMITTEE NOTICE FOR NEGOTIATED PROCUREMENT NO. 2020-054 The Municipal Government of PROSPERIDAD, Province of Agusan del Sur, through its Bids and Awards Co</t>
  </si>
  <si>
    <t xml:space="preserve"> SURIGAO STATE COLLEGE OF TECHNOLOGY Surigao City INVITATION TO BID FOR PROCUREMENT OF SECURITY SERVICES (1 YEAR CONTRACT)  1.	The Surigao State College of Technology, through the General Appropriations Act of 2020 intends to apply the sum of Five Million </t>
  </si>
  <si>
    <t xml:space="preserve"> Republic of the Philippines Province of Quezon CITY GOVERNMENT OF TAYABAS INVITATION TO BID FOR PROJECT # 20-049 - SUPPLY AND DELIVERY OF OTHER SUPPLIES AND MATERIALS (PERSONAL PROTECTIVE GEAR/EQUIPMENT FOR RESPONDERS &amp; VOLUNTEERS) - DRRMO. The City Gover</t>
  </si>
  <si>
    <t xml:space="preserve"> Republic of the Philippines Province of Quezon CITY GOVERNMENT OF TAYABAS INVITATION TO BID FOR PROJECT # 20-050 - PROCUREMENT OF DISASTER RESPONSE AND RESCUE EQUIPMENT (GENERATOR) - LDRRMO The City Government of Tayabas, through the General Fund Continui</t>
  </si>
  <si>
    <t xml:space="preserve"> INVITATION TO BID FOR THE PROCUREMENT OF FUEL FOR 3RD QUARTER OF 2020, SAN ISIDRO,DAVAO ORIENTAL 1.	The Municipality of San Isidro, through the AIP 2020 Fund intends to apply the sum of Php 600,000.00 being the Approved Budget for the Contract (ABC) to pa</t>
  </si>
  <si>
    <t xml:space="preserve"> To support the procurement of services for the updating of six (6) ea Global Positioning System (GPS) Navigational Data Base with PN: GPS-795 for use of C-130T aircraft Nrs 5011 and 5040.</t>
  </si>
  <si>
    <t xml:space="preserve"> 1	Computer w/ complete accessories		2	unit 	Specification:			 	Processor: Intel core i5 540 6 GHz			 	Motherboard: P7h55-M-LX			 	Memmory; 8GB ddr4			 	Graphics card: 2 GB ddr5 128 bit			 	Hard disk storage: 500 GB SATA 7200 RPM			 	DVD writer: DVD RW			 </t>
  </si>
  <si>
    <t xml:space="preserve"> 1. The BARANGAY GOVERNMENT OF SAPA PEQUEÑA, BURGOS, PANGASINAN through its Barangay Development Fund CY 2020 intends to apply an amount of One Hundred Nine Thousand Seven Hundred Twenty Pesos Only (Php109,720.00) being the Approved Budget for the Contract</t>
  </si>
  <si>
    <t xml:space="preserve"> OFFICE &amp; OTHER SUPPLIES IN VIEW OF COVID-19 PANDEMIC</t>
  </si>
  <si>
    <t xml:space="preserve"> 1. The PSHS-MRC now invites qualified suppliers/manufacturers/dealers to submit price quotations for the above item with the following specifications: SMART FUNCTION THERMAL IMAGING CAMERA  - Please see attached request for quotation. 2. Procurement will </t>
  </si>
  <si>
    <t xml:space="preserve"> To support the procurement of 500 ea Washer Sealing NAS1523-3Y and 6 other L/I for use during the Phase Maintenance Inspection Intermediate (PMI) of UH-1D Nr 8230, 8330 and 8392 at 205THW</t>
  </si>
  <si>
    <t xml:space="preserve"> CALUMPIT WATER DISTRICT      Serrano. St. Corazon, Calumpit, Bulacan      (044) 675-1453; 202-4235; 913-0079      Fax No. (044) 202-5125; 913-0080      (Name of the Procuring Entity)      Project Reference Number: ______________      Name of Project: ____</t>
  </si>
  <si>
    <t xml:space="preserve"> The Agricultural Training Institute Region IV-A (ATI Region IV-A) invites interested suppliers to submit quotations/ proposals for the hereunder requirement: Supply and Delivery of various Agricultural Tools, Materials and Inputs for Extension Initiatives</t>
  </si>
  <si>
    <t xml:space="preserve"> Republic of the Philippines Province of Quezon CITY GOVERNMENT OF TAYABAS INVITATION TO BID FOR PROJECT # 20-054 – PROCUREMENT OF K TO 12 LEARNING MATERIALS DEVELOPED BG LCCAD FOR DEPED - DRRMO. The City Government of Tayabas, through the 5% DRRM Fund 202</t>
  </si>
  <si>
    <t xml:space="preserve"> Mits. FB L300/SHG 273 (DepEd) Motor Oil Oil Filter Fuel Filter Gear Oil 90 &amp; 140 Center Post Bell Crank Idler Arm Tie Rod End Clutch Master Small Bearing Big Bearing Oil Seal Wheel Cylinder Cap Grease Cap Drain Plug Horn Wiper Blade w/ Handle Rear Door Lo</t>
  </si>
  <si>
    <t xml:space="preserve"> Reference No. PR # 20-06-0735 PRICE QUOTATION FORM (BID FORM) Sealed Bids shall be dropped in the BIDDERS BOX on or before 2:00 P.M.  June 19, 2020    placed at the office of the Chairman of the College BAC. Thereafter, the Bidder's Box shall be sealed un</t>
  </si>
  <si>
    <t xml:space="preserve"> Invitation to Bid for  Purchase of One (1) unit Ambulance for MDRRM use Source of Fund: Trust Fund (5% MDRRMF) Nonrefundable Fee for Bidding Documents: 5,000.00</t>
  </si>
  <si>
    <t xml:space="preserve"> BIDS AND AWARDS COMMITTEE – HEAD OFFICE INVITATION TO BID 1.	The Bangko Sentral ng Pilipinas (BSP), through its Bids and Awards Committee  – Head Office (BAC-HO), invites Bidders to apply for eligibility and to bid for the hereunder requirement: Name of R</t>
  </si>
  <si>
    <t xml:space="preserve"> SHS OFFICE &amp; OTHER SUPPLIES IN VIEW OF COVID-19 PANDEMIC.</t>
  </si>
  <si>
    <t xml:space="preserve"> supplies and equipment for covid</t>
  </si>
  <si>
    <t xml:space="preserve"> Description: Suzuki mini van Scrum cat eye 4x4 Manual transmission 12 valve Steering wheel All gauges working Body paint original 5 doors 600 cc Engine capacity Passenger capacity of 9 including driver Mags tires Fuel:Gas Accessories : fully loaded pionee</t>
  </si>
  <si>
    <t xml:space="preserve"> Republic of the Philippines Province of Agusan del Sur MUNICIPALITY OF PROSPERIDAD BIDS AND AWARDS COMMITTEE NOTICE FOR NEGOTIATED PROCUREMENT NO. 2020-055 The Municipal Government of PROSPERIDAD, Province of Agusan del Sur, through its Bids and Awards Co</t>
  </si>
  <si>
    <t xml:space="preserve"> Invitation to Bid for Purchase of Two (2) units Rescue Vehicle for the use of Emergency response Source of Fund: Trust Fund (5% MDRRMF) Nonrefundable fee for bidding douments: 10,000.00</t>
  </si>
  <si>
    <t xml:space="preserve"> Republic of the Philippines Province of Quezon CITY GOVERNMENT OF TAYABAS INVITATION TO BID FOR PROJECT # 20-071 - PROCUREMENT OF OFFICE EQUIPMENT 2ND QUARTER (VARIOUS OFFICES) - GSO The City Government of Tayabas, through the General  Fund 2020 intends t</t>
  </si>
  <si>
    <t xml:space="preserve"> The Agricultural Training Institute Region IV-A (ATI Region IV-A) invites interested suppliers to submit quotations/ proposals for the hereunder requirement: Supply and Delivery of various Training Supplies and Materials for the conduct of Extension Initi</t>
  </si>
  <si>
    <t xml:space="preserve"> Ten (10) Ea, Illustration Board (30"x40") and 24 Other line items.</t>
  </si>
  <si>
    <t xml:space="preserve"> CNH-0520-045</t>
  </si>
  <si>
    <t xml:space="preserve"> To support the procurement of 2 ea Connecting Link PN: 205-060-734-11 and 2 other L/I for use of Bell 412 nrs 36691 and 36693 assigned at 205THW.</t>
  </si>
  <si>
    <t xml:space="preserve"> Republic of the Philippines Province of Quezon CITY GOVERNMENT OF TAYABAS INVITATION TO BID FOR PROJECT # 20-072 - PROCUREMENT OF OFFICE EQUIPMENT – CITY CIVIL REGISTRY OFFICE. The City Government of Tayabas, through the General  Fund 2020 intends to appl</t>
  </si>
  <si>
    <t xml:space="preserve"> CONSTRUCTION OF SA-ONG COVERED DRAINAGE</t>
  </si>
  <si>
    <t xml:space="preserve"> -Prevention of COVID19 materials and supplies -Reproduction of learner's worksheets materials</t>
  </si>
  <si>
    <t xml:space="preserve"> 2000 pcs face mask</t>
  </si>
  <si>
    <t xml:space="preserve"> NBC-0620-170</t>
  </si>
  <si>
    <t xml:space="preserve"> The Agricultural Training Institute Region IV-A (ATI Region IV-A) invites interested suppliers to submit quotations/ proposals for the hereunder requirement: Supply and Delivery of various Agricultural Tools, Materials and Inputs for Adopt a Community - C</t>
  </si>
  <si>
    <t xml:space="preserve"> Please see attached Request for Quotation and Technical Specifications</t>
  </si>
  <si>
    <t xml:space="preserve"> Republic of the Philippines Province of Quezon CITY GOVERNMENT OF TAYABAS INVITATION TO RE-BID FOR PROJECT # 20-062 - PROCUREMENT OF IT EQUIPMENT 2ND QUARTER NON-DBM (VARIOUS OFFICES) - GSO The City Government of Tayabas, through the General  Fund 2020 in</t>
  </si>
  <si>
    <t xml:space="preserve"> Eight (8) Ea, Fuel Filter (Ambulance MO4288) and 162 Other line items.</t>
  </si>
  <si>
    <t xml:space="preserve"> Invitation to Bid for Installation of Basketball Goal/Ring with tempered glass board Spurce of Fund: General Fund (20% EDF) Nonrefundable fee for bid docs: 500.00</t>
  </si>
  <si>
    <t xml:space="preserve"> CONSTRUCTION OF PESKONG DRAINAGE</t>
  </si>
  <si>
    <t xml:space="preserve"> 1	1	job	Official Website Development and Website Hosting</t>
  </si>
  <si>
    <t xml:space="preserve"> Fifty (50) pcs, Flat bar 3/16 x 1 1/2 and 14 other line items.</t>
  </si>
  <si>
    <t xml:space="preserve"> The Agricultural Training Institute Region IV-A (ATI Region IV-A) invites interested suppliers to submit quotations/ proposals for the hereunder requirement: Supply and Delivery of various Training Supplies and Materials for the conduct of Training on Org</t>
  </si>
  <si>
    <t xml:space="preserve"> Republic of the Philippines Province of Quezon CITY GOVERNMENT OF TAYABAS INVITATION TO RE-BID FOR PROJECT # 20-073 - PROCUREMENT OF ROBOTIC KITS - CITY SCHOOL DIVISION OFFICE. The City Government of Tayabas, through the Special Education Fund 2020 intend</t>
  </si>
  <si>
    <t xml:space="preserve"> Republic of the Philippines Province of Quezon CITY GOVERNMENT OF TAYABAS INVITATION TO RE-BID FOR PROJECT # 20-070 - PROCUREMENT OF FURNITURE AND FIXTURES 2ND QUARTER (VARIOUS OFFICES) - GSO The City Government of Tayabas, through the General  Fund 2020 </t>
  </si>
  <si>
    <t xml:space="preserve"> 1. The BARANGAY GOVERNMENT OF PAPALLASEN, BURGOS, PANGASINAN through its SK Fund CY 2020 intends to apply an amount of Sixty Eight Thousand Nine Hundred Thirty Pesos Only (Php68,930.00) being the Approved Budget for the Contract (ABC) for payment under th</t>
  </si>
  <si>
    <t xml:space="preserve"> The Agricultural Training Institute Region IV-A (ATI Region IV-A) invites interested suppliers to submit quotations/ proposals for the hereunder requirement: Supply and Delivery of various Agricultural Inputs and Materials for Adopt a Community - Starter </t>
  </si>
  <si>
    <t xml:space="preserve"> Department of Education Region VI-Western Visayas Division of Cadiz City Alimatoc Elementary School SMALL VALUE PROCUREMENT OF 2 SETS 18X20 CANOPY  1.	The Alimatoc Elementary School of Cadiz City, through the Schools MOOE Fund CY 2020  intends to apply th</t>
  </si>
  <si>
    <t xml:space="preserve"> PROVISION OF TRANSPORT SERVICE TO DENR MIMAROPA EMPLOYEES Requirement No. 1: 1. No. of Passenger Van: 1 unit	  2. Exclusive of Driver, Fuel, Toll Fee, Parking Fee 3. Inclusive of Vehicle Maintenance and VAT Charges 4. Destination: Within Metro Manila Vici</t>
  </si>
  <si>
    <t xml:space="preserve"> Republic of the Philippines Office of the Municipal Mayor BIDS AND AWARDS COMMITTEE Pasuquin, Ilocos Norte REQUEST FOR QUOTATIONS  Purchase of Business Plates 1.	The LGU-PASUQUIN, through the GENERAL FUND CY 2020  intends to apply the sum of P 44,000.00 b</t>
  </si>
  <si>
    <t xml:space="preserve"> CONSTRUCTION OF SAFIANGON-CHALLOS FOOTBRIDGE</t>
  </si>
  <si>
    <t xml:space="preserve"> Republic of the Philippines Office of the Municipal Mayor BIDS AND AWARDS COMMITTEE Pasuquin, Ilocos Norte REQUEST FOR QUOTATIONS  Purchase of Spareparts for the Maintenace of Municipal Vehicle (Toyota Hilux PO1650) 1.	The LGU-PASUQUIN, through the GENERA</t>
  </si>
  <si>
    <t xml:space="preserve"> SUPPLIES AND MATERIALS FOR ANTI-VIRUS</t>
  </si>
  <si>
    <t xml:space="preserve"> PROCURMENT OF HARDWARE/SOFTWARE EQIPEMENTS FOR AUTOMATION OF PERMITS &amp; LICENSES (EASE OF DOING BUSINESS 1.	The Municipality of San Isidro, through the TRUST Fund 2019 Fund intends to apply the sum of Php 1,153,000.00 being the Approved Budget for the Cont</t>
  </si>
  <si>
    <t xml:space="preserve"> PROCUREMENT OF CONSTRUCTION MATERIALS AND SUPPLIES FOR CONSTRUCTION OF SPILLWAY (CONT.) MUN 2016 AT BRGY SAN VICENTE, MATALOM, LEYTE</t>
  </si>
  <si>
    <t xml:space="preserve"> 1. The BARANGAY GOVERNMENT OF TAMBACAN, BURGOS, PANGASINAN through its SK Fund CY 2020 intends to apply an amount of Sixty Three Thousand Seven Hundred Twenty Pesos Only (Php63,720.00) being the Approved Budget for the Contract (ABC) for payment under the</t>
  </si>
  <si>
    <t xml:space="preserve"> Two Hundred (200) rm, Bond paper (80GSM) A4 Size and 54 Other line items.</t>
  </si>
  <si>
    <t xml:space="preserve"> Republic of the Philippines Office of the Municipal Mayor BIDS AND AWARDS COMMITTEE Pasuquin, Ilocos Norte REQUEST FOR QUOTATIONS  Purchase of Furniture and Fixtures for Office Use 1.	The LGU-PASUQUIN, through the GENERAL FUND CY 2020  intends to apply th</t>
  </si>
  <si>
    <t xml:space="preserve"> Four Thousand Three hundred seventy three (4373) Pc, Misalette and 18 Other line items.</t>
  </si>
  <si>
    <t xml:space="preserve"> To support the procurement of 15 ea RF Power Transistor with PN: QSD2019-2 and two (2) other L/I for the repair of two (2) units VHF AM Aircraft Radio and two (2) units Dual Tach Indicator for use of UH-1H Aircraft Nrs 516, 926, 929 and 181</t>
  </si>
  <si>
    <t xml:space="preserve"> 1	1	unit	DSLR Camera 2	1	unit	Bluetooth DSLR Camera 3	1	unit	LED Ring Light Photo Studio Light with Tripod 4	1	unit	Universal Portable Digital Camera Camcorder Tripod 5	1	unit	Directional Lavalier Lapel Microphone for Smartphones &amp; DSLR Camera 6	1	unit	3-</t>
  </si>
  <si>
    <t xml:space="preserve"> Size : At least 8 x 8 Inches (round or square) Flavor : Preferably Mocha or Chocolate or other flavor for approval of TPB Dedication: “Happy Birthday from TPB Family” Breakdown: MONTH	QUANTITY April         	  16 May   	  8 June 	  15 July	          19 Au</t>
  </si>
  <si>
    <t xml:space="preserve"> Invitation to Bid for Concreting of tire path at Digon, Margosatubig, ZDS. Source of Fund: General Fund (20% EDF) Nonrefundable fee for bid docs: 500.00</t>
  </si>
  <si>
    <t xml:space="preserve"> Republic of the Philippines Office of the Municipal Mayor BIDS AND AWARDS COMMITTEE Pasuquin, Ilocos Norte REQUEST FOR QUOTATIONS  Purchase of tires for the maintenance of heavy equipment (Dumptruck) 1.	The LGU-PASUQUIN, through the GENERAL FUND CY 2020  </t>
  </si>
  <si>
    <t xml:space="preserve"> Invitation to Bid to all Supplier/Contractor duly accredited by the City Council of Manila to supply and deliver the following items provided hereunder, to wit; Item	 	Qty.	 	Unit	 	 	 	DESCRIPTION 1	 	22	 	Gals	Q.D.E. Paint Blue	 	 	  2	 	22	 	Gals	Traff</t>
  </si>
  <si>
    <t xml:space="preserve"> To support the procurement of 15 ea Ball Bearing Assembly with PN: 14900079-4 and two (2) other L/I for the repair of two (2) units Fuel Quantity Indicator, one (1) unit Voltage Regulator and one (1) unit Transmission Oil Pressure Indicator for use of UH-</t>
  </si>
  <si>
    <t xml:space="preserve"> The Agricultural Training Institute Region IV-A (ATI Region IV-A) invites interested suppliers to submit quotations/ proposals for the hereunder requirement: Supply and Delivery of Commercial chicks and Inputs for the Training on Organic Free Range Chicke</t>
  </si>
  <si>
    <t xml:space="preserve"> Republic of the Philippines Office of the Municipal Mayor BIDS AND AWARDS COMMITTEE Pasuquin, Ilocos Norte REQUEST FOR QUOTATIONS  Purchase of Toilet Bowls 1.	The LGU-PASUQUIN, through the GENERAL FUND CY 2020  intends to apply the sum of P 50,000.00 bein</t>
  </si>
  <si>
    <t xml:space="preserve"> PROCUREMENT OF CONSTRUCTION MATERIALS AND SUPPLIES FOR CONSTRUCTION OF SPILLWAY (CONT.) PROB ASST. 2015 AT BRGY SAN VICENTE, MATALOM, LEYTE</t>
  </si>
  <si>
    <t xml:space="preserve"> 1.     70        PIECE      ORBIT FAN 16" 2.     10        PIECE       RECHARGEABLE / SOLAR LAMP 3.      2         PIECE      OFFICE TABLE MELAMINE</t>
  </si>
  <si>
    <t xml:space="preserve"> Three hundred (300) Ea, Coffee Creamer 450g and 40 Other line items.</t>
  </si>
  <si>
    <t xml:space="preserve"> Item No.	Item/s and Description	Quantity	Unit	Unit Price LOT 1	Provision  of Labor for the improvement of handwashing	1		 	facilities.			 				 LOT 2	Provision  of Labor for the relocation of electrical connection			 	 to the school upgraded transformer.		</t>
  </si>
  <si>
    <t xml:space="preserve"> To support the procurement of five (5) ea Rubber Boot with PN: 204-076-410-1 and four (4) other L/I for use during Phase Maintenance of UH-1 Aircraft Nrs 8308, 305, and 853</t>
  </si>
  <si>
    <t xml:space="preserve"> Concreting of Road</t>
  </si>
  <si>
    <t xml:space="preserve"> 1.     72    VIAL    PURIFIED CHICK EMBRYOCELL RABIES VACCINE                           FOR HUMAN - 2.5I.U. LYOPHILIZED POWDER                           SOLUTION FOR INJECTION (IM/ID) (VAXIRAB) 2.      4     BOX    INSULIN SYRINGE 100's 3.      5     BOX </t>
  </si>
  <si>
    <t xml:space="preserve"> Republic of the Philippines															 Province of Benguet															 Municipality of Buguias															 BIDS AND AWARDS COMMITTEE															 															 			Purchase Request Number:				Date:								 			Name of the Project:				Quotation</t>
  </si>
  <si>
    <t xml:space="preserve"> PROCUREMENT OF CONSTRUCTION MATERIALS AND SUPPLIES FOR CONSTRUCTION OF SPILLWAY (CONT.) BRGY AIP  2016 &amp; 2017, AT BRGY SAN VICENTE, MATALOM, LEYTE</t>
  </si>
  <si>
    <t xml:space="preserve"> See Attachment!</t>
  </si>
  <si>
    <t xml:space="preserve"> Republic of the Philippines Office of the Punong Barangay BIDS AND AWARDS COMMITTEE Barangay #31 Carusikis, Pasuquin, Ilocos Norte REQUEST FOR QUOTATIONS  Purchase of Office Supplies 1.	The BARANGAY CARUSIKIS-PASUQUIN, through the GENERAL FUND CY 2020  in</t>
  </si>
  <si>
    <t xml:space="preserve"> Republic of the Philippines Office of the Municipal Mayor BIDS AND AWARDS COMMITTEE Pasuquin, Ilocos Norte REQUEST FOR QUOTATIONS  Purchase of Materials for the Construction of Wooden Cabinet/shelves 1.	The LGU-PASUQUIN, through the GENERAL FUND CY 2020  </t>
  </si>
  <si>
    <t xml:space="preserve"> To support for the procurement of one (1) ea Starter Generator with PN: 205-075-443-5007 for use of UH-1D Nr 8478.</t>
  </si>
  <si>
    <t xml:space="preserve"> Republic of the Philippines Office of the Municipal Mayor BIDS AND AWARDS COMMITTEE Pasuquin, Ilocos Norte REQUEST FOR QUOTATIONS  Purchase of Office Equipment for Office Use 1.	The LGU-PASUQUIN, through the GENERAL FUND CY 2020  intends to apply the sum </t>
  </si>
  <si>
    <t xml:space="preserve"> The Department of Environment and Natural Resources , PENRO Pampanga , through the government appropriation act intends to apply the sum of PhP 120,000being the Approved Budget for the Contract (ABC) to payments under the " Procurement of  ICT Equipment’ </t>
  </si>
  <si>
    <t xml:space="preserve"> See attachment!</t>
  </si>
  <si>
    <t xml:space="preserve"> Republic of the Philippines  Province of Misamis Oriental  Municipality of Sugbongcogon  REQUEST FOR QUOTATION Supply and Delivery of Various Supplies for Charter Day Celebration ITB NO. 100-20-06-300 1.	The Municipality of Sugbongcogon through its Bids a</t>
  </si>
  <si>
    <t xml:space="preserve"> Item No. Description Qty. Unit 1 Photocopier Machine (Konica Minolta Bizhub 223 Imaging Unit) 2 set    OPC Drum    Blade    Developer    Space Roller 2  Upper Fuser Roller  4   pcs. 3  Toner Tube TN211   6 pcs</t>
  </si>
  <si>
    <t xml:space="preserve"> 1.     100    PIECE    FOLDING BED</t>
  </si>
  <si>
    <t xml:space="preserve"> Republic of the Philippines																		 Province of Benguet																		 Municipality of Buguias																		 BIDS AND AWARDS COMMITTEE																		 																		 			Purchase Request Number:				Date:											 			Name of the Pro</t>
  </si>
  <si>
    <t xml:space="preserve"> Republic of the Philippines																	 Province of Benguet																	 Municipality of Buguias																	 BIDS AND AWARDS COMMITTEE																	 																	 			Purchase Request Number:				Date:										 			Name of the Project:	</t>
  </si>
  <si>
    <t xml:space="preserve"> School and Office Equipment/Supplies</t>
  </si>
  <si>
    <t xml:space="preserve"> The Agricultural Training Institute Region IV-A (ATI Region IV-A) invites interested suppliers to submit quotations/ proposals for the hereunder requirement: Provision of Meals and Snacks for the conduct of 3 days Refresher Course for Farmers (Tanay, Riza</t>
  </si>
  <si>
    <t xml:space="preserve"> PROJECT NAME: Rehabilitation along JSNR BTK – Toking – Lingadan – Naliskey – J207 Road PROJECT LOCATION: Sebang, Buguias, Benguet DURATION: 48 CD (Including mobilization and Curing) PROJECT Cost: PHP 500,000.00 SOURCE OF FUND: 70% DRRMF CY 2020 ITEM NO. D</t>
  </si>
  <si>
    <t xml:space="preserve"> The Agricultural Training Institute Region IV-A (ATI Region IV-A) invites interested suppliers to submit quotations/ proposals for the hereunder requirement: Provision of Food, Accommodation and function amenities for the conduct of Refresher Course for F</t>
  </si>
  <si>
    <t xml:space="preserve"> The Agricultural Training Institute Region IV-A (ATI Region IV-A) invites interested suppliers to submit quotations/ proposals for the hereunder requirement: Provision of Meals and Snacks for the conduct of Refresher Course for LFTs (Batch 1) 26 pax - Sep</t>
  </si>
  <si>
    <t xml:space="preserve"> Construction of Indigenous Peoples Education Center at the compound of Betwagan National High School in Betwagan, Sadanga, Mountain Province</t>
  </si>
  <si>
    <t xml:space="preserve"> Quantity		Unit Issue			Item Description 150			length			10mm Square bar 20			kilogram			Welding  Electrode (Ordinary) 20			length			 ¼ x 1” Angle bar 195			bag				 Cement 35			cubic				 Coarse Sand CONSTRUCTION OF THE FOLLOWING FACILITY: 1. PATHWAY 2. WIND</t>
  </si>
  <si>
    <t xml:space="preserve"> Supply and Delivery of meals, snacks, training supplies, materials and tarpaulin for the seminar-workshop on gender and development concepts, gender mainstreaming and gender analysis tools Meals and Snacks (lunch &amp; AM /PM) supplies and materials Tarpaulin</t>
  </si>
  <si>
    <t xml:space="preserve"> PLEASE JUST SEE BAC SECRETARIAT</t>
  </si>
  <si>
    <t xml:space="preserve"> PLEASE SEE BAC SECRETARIAT</t>
  </si>
  <si>
    <t xml:space="preserve"> Invitation to Bid to all Supplier/Contractor duly accredited by the City Council of Manila to supply and deliver the following items provided hereunder, to wit; Item	Qty.	 	Unit	 	 	 	DESCRIPTION 1	 	15	 	Pcs	Flashlight HD	 	 	 	  2	 	20	 	Pcs	Refill of F</t>
  </si>
  <si>
    <t xml:space="preserve"> Republic of the Philippines Office of the Punong Barangay BIDS AND AWARDS COMMITTEE Barangay #29 San Juan, Pasuquin, Ilocos Norte REQUEST FOR QUOTATIONS  Purchase of Office Supplies 1.	The BARANGAY SAN JUAN-PASUQUIN, through the GENERAL FUND CY 2020  inte</t>
  </si>
  <si>
    <t xml:space="preserve"> Republic of the Philippines Office of the Punong Barangay BIDS AND AWARDS COMMITTEE Barangay #23 Sta. Catalina, Pasuquin, Ilocos Norte REQUEST FOR QUOTATIONS  Purchase of Office Supplies 1.	The BARANGAY STA. CATALINA-PASUQUIN, through the GENERAL FUND CY </t>
  </si>
  <si>
    <t xml:space="preserve"> The Agricultural Training Institute Region IV-A (ATI Region IV-A) invites interested suppliers to submit quotations/ proposals for the hereunder requirement: Provision of Meals and Snacks for the conduct of 3 days Refresher Course for Farmers (Balayan, Ba</t>
  </si>
  <si>
    <t xml:space="preserve"> Republic of the Philippines Office of the Punong Barangay BIDS AND AWARDS COMMITTEE Barangay #29 San Juan, Pasuquin, Ilocos Norte REQUEST FOR QUOTATIONS  Purchase of Materials for the Installation of Streetlights and Slope Protection for Creek 1.	The BARA</t>
  </si>
  <si>
    <t xml:space="preserve"> PROCUREMENT OF THE CONSTRUCTION  OF DOH REGIONAL OFFICE VI BUILDING, PHASE 2 DOH-REGIONAL OFFICE VI BRGY. BOLONG OESTE, STA. BARBARA, ILOILO IB NO.2020-06-001I 1.	The Department of Health, through the Health Facilities Enhancement Program (HFEP) of the De</t>
  </si>
  <si>
    <t xml:space="preserve"> PROJECT NAME: Construction of Walkshed Bacasen – Wakit Elementary PROJECT LOCATION: Sebang, Buguias, Benguet DURATION: 7 CD (Including mobilization and Curing) PROJECT Cost: PHP 100,000.00 SOURCE OF FUND: 20% MDF CY 2020 ITEM NO. DESCRIPTION QTY UNIT I wa</t>
  </si>
  <si>
    <t xml:space="preserve"> ITEM OF WORKS: 1  GENERAL REQUIREMENTS 2  STRUCTURAL CONCRETE 3  STRUCTURAL STEEL 4  MASONRY WORKS 5  MOISTURE &amp; THERMAL PROTECTIONS 6  CARPENTRY WORKS 7  DOORS, WINDOWS &amp; PARTITIONS 8  IRON &amp; STAINLESS STEEL WORKS 9  ELECTRICAL WORKS 10  PLUMBING &amp; SANIT</t>
  </si>
  <si>
    <t xml:space="preserve"> 3/4 PLYWOOD 1/4 PLYWOOD 2 X 2 X 8 KD 1/2 X 2 X 8 KD ASSORTED NAILS STICKWELL</t>
  </si>
  <si>
    <t xml:space="preserve"> DESCRIPTION	UNIT	QTY 		 GENERAL REQUIREMENTS		 Mobilization/Temporary Structures, Utilities and Services/Demobilization	lot	1.00 Safety and Health	lot	1.00 Sub-total		 Gate Entrance		 Concrete Column and Forms		 Cement	bg	40.00 Steel Bars 10mm	pc	30.00 St</t>
  </si>
  <si>
    <t xml:space="preserve"> INVITATION TO BID The Philippine Children’s Medical Center, through GAA/HFEP (DOH) CY 2019 intends to apply the sum of Fourteen Million Seven Hundred Sixty Thousand Pesos (Php 14,760,000.00) being the Approved Budget for the Contract (ABC) to payment unde</t>
  </si>
  <si>
    <t xml:space="preserve"> School and office supplies/equipments</t>
  </si>
  <si>
    <t xml:space="preserve"> Republic of the Philippines Province of Davao de Oro MUNICIPALITY OF COMPOSTELA BIDS AND AWARDS COMMITTEE CP#: 0998-571-7569 INVITATION TO BID FOR  Purchase of One (1) unit Computer Server with Complete Accessories – MASSO ITB NO. 2020-06-028, BID NO. 001</t>
  </si>
  <si>
    <t xml:space="preserve"> Rehab. of Drainage Canal</t>
  </si>
  <si>
    <t xml:space="preserve"> Requested by: Dr. Ricardo B. Panganiban/City Health Office</t>
  </si>
  <si>
    <t xml:space="preserve"> Requested by: A D. Matillano/City Agriculture Office</t>
  </si>
  <si>
    <t xml:space="preserve"> Requested by: R B. Panganiban/CHO - Operation of Halfway Home Drop In Center</t>
  </si>
  <si>
    <t xml:space="preserve"> Republic of the Philippines Province of Northern Samar MUNICIPALITY OF LOPE DE VEGA Lope De Vega, Northern Samar Invitation to Bid CONSTRUCTION OF DAY CARE CENTER Barangay Cag-aguingay, Lope De Vega, Northern Samar  The Local Government Unit – Lope De Veg</t>
  </si>
  <si>
    <t xml:space="preserve"> Requested by: Atty. Anna Fatima R. Chavez/City Legal Office</t>
  </si>
  <si>
    <t xml:space="preserve"> Requested by: C G. Abogado, Jr./City Mayor's Office</t>
  </si>
  <si>
    <t xml:space="preserve"> Requested by: M J. Atienza/HRMO</t>
  </si>
  <si>
    <t xml:space="preserve"> Procurement of supplies intended for Junior and Senior High School</t>
  </si>
  <si>
    <t xml:space="preserve"> Premium Quick Dry Enamel, White,	12 gals Premium Quick Dry Enamel, Bright Green,	4 gals Premium Quick Dry Enamel, Cheese,	2 gals Premium Semi Gloss Latex, Gentle Touch,	19 gals Premium Latex, Cheese,	2 gals Premium Latex, Bright Green,	2 gals Premium Red </t>
  </si>
  <si>
    <t xml:space="preserve"> Republic of the Philippines Province of Northern Samar MUNICIPALITY OF LOPE DE VEGA Lope De Vega, Northern Samar Invitation to Bid CONSTRUCTION OF WATER SYSTEM FOR DOMESTIC USE Barangay Poblacion, Lope De Vega, Northern Samar  The Local Government Unit – </t>
  </si>
  <si>
    <t xml:space="preserve"> June 09, 2020 RE-INVITATION TO BID 1.	The Department of Public Works and Highways, Mindoro Occidental District Engineering Office, Mamburao, Occidental Mindoro, through the General Appropriations Act intends to apply the sum of the Approved Budget for the</t>
  </si>
  <si>
    <t xml:space="preserve"> Republic of the Philippines Province of Northern Samar MUNICIPALITY OF LOPE DE VEGA Lope De Vega, Northern Samar Invitation to Bid IMPROVEMENT OF WATER SYSTEM  Barangay Magsaysay and Poblacion (Purok 9 &amp; 10), Lope De Vega, Northern Samar  The Local Govern</t>
  </si>
  <si>
    <t xml:space="preserve"> Rehabilitation of Seawall</t>
  </si>
  <si>
    <t xml:space="preserve"> PLEASE SEE ATTACHED INVITATION TO BID</t>
  </si>
  <si>
    <t xml:space="preserve"> To provide electrical connection.</t>
  </si>
  <si>
    <t xml:space="preserve"> Republic of the Philippines Province of Pangasinan MUNICIPALITY OF POZORRUBIO -o0o- 					 INVITATION TO BID FOR  REBIDDING OF SUPPLY, DELIVERY &amp; INSTALLATION OF MATERIALS REQUIRED FOR THE INSTALLATION OF POWER SUPPLY 3-PHASE LINE TO POZORRUBIO MUSICAL WAT</t>
  </si>
  <si>
    <t xml:space="preserve"> Republic of the Philippines BIDS AND AWARDS COMMITTEE Province of Iloilo Invitation to Bid Purchase of DRUGS AND MEDICINES Bid No.RPT-20-0357-B  1. The Iloilo Provincial Government, through the 2020 GENERAL FUND intends to apply the sum of SIX HUNDRED NIN</t>
  </si>
  <si>
    <t xml:space="preserve"> Republic of the Philippines BIDS AND AWARDS COMMITTEE Province of Iloilo Invitation to Bid Purchase of LABORATORY SUPPLIES Bid No.RPT-20-0399-B  1. The Iloilo Provincial Government, through the 2020 GENERAL FUND intends to apply the sum of NINETY THOUSAND</t>
  </si>
  <si>
    <t xml:space="preserve"> Republic of the Philippines BIDS AND AWARDS COMMITTEE Province of Iloilo Invitation to Bid Purchase of LABORATORY SUPPLIES Bid No.RPT-20-0401-B  1. The Iloilo Provincial Government, through the 2020 GENERAL FUND intends to apply the sum of SIXTY-SIX THOUS</t>
  </si>
  <si>
    <t xml:space="preserve"> Requested by: E A. Tuibeo/City Agriculture Office</t>
  </si>
  <si>
    <t xml:space="preserve"> Republic of the Philippines BIDS AND AWARDS COMMITTEE Province of Iloilo Invitation to Bid Purchase of LABORATORY SUPPLIES Bid No.RPT-20-0398-B  1. The Iloilo Provincial Government, through the 2020 GENERAL FUND intends to apply the sum of FIFTY-TWO THOUS</t>
  </si>
  <si>
    <t xml:space="preserve"> Republic of the Philippines BIDS AND AWARDS COMMITTEE Province of Iloilo Invitation to Bid Purchase of LABORATORY SUPPLIES Bid No.RPT-20-0397-B  1. The Iloilo Provincial Government, through the 2020 GENERAL FUND intends to apply the sum of SEVEN HUNDRED S</t>
  </si>
  <si>
    <t xml:space="preserve"> Republic of the Philippines BIDS AND AWARDS COMMITTEE Province of Iloilo Invitation to Bid Purchase of DRUGS AND MEDICINES Bid No.RPT-20-0295-B  1. The Iloilo Provincial Government, through the 2020 GENERAL FUND intends to apply the sum of SEVEN HUNDRED T</t>
  </si>
  <si>
    <t xml:space="preserve"> Republic of the Philippines BIDS AND AWARDS COMMITTEE Province of Iloilo Invitation to Bid Purchase of MEDICAL SUPPLIES Bid No.RPT-20-0296-B  1. The Iloilo Provincial Government, through the 2020 GENERAL FUND intends to apply the sum of NINE HUNDRED FIFTY</t>
  </si>
  <si>
    <t xml:space="preserve"> INVITATION TO APPLY FOR ELIGIBILITY AND TO BID (IAEB)   The Municipality of Molave, Zamboanga del Sur, through its Bids and Awards Committee, invites suppliers/distributors to apply for eligibility and to bid for the hereunder project:   Name of Project  </t>
  </si>
  <si>
    <t xml:space="preserve"> Republic of the Philippines BIDS AND AWARDS COMMITTEE Province of Iloilo Invitation to Bid Purchase of LABORATORY SUPPLIES Bid No.RPT-20-0431-B  1. The Iloilo Provincial Government, through the 2020 GENERAL FUND intends to apply the sum of EIGHTY-SEVEN TH</t>
  </si>
  <si>
    <t xml:space="preserve"> AIMS AGRI VENTURES Zone 6, Tabuco, Naga City  	 BRIXTON CONSTRUCTION &amp; INDUSTRIAL  SUPPLY CORPORATION 142 Kamias Cor. Anonas Sts., Armon’s Bldg., 2nd Floor, East Kamias, Quezon City GRJC AGRI INDUSTRIAL MACHINERIES Nat’l Hi-way Corner Diversion Road  San </t>
  </si>
  <si>
    <t xml:space="preserve"> INVITATION TO BID FOR THE PROCUREMENT OF SUPPLY AND DELIVERY OF NINE (9) UNITS RICE COMBINE HARVESTER (REBID)   1.	The Department of Agriculture Regional Field Office (DA RFO) No. 6, through the General Appropriations Act of 2020 intends to apply the sum </t>
  </si>
  <si>
    <t xml:space="preserve"> Republic of the Philippines BIDS AND AWARDS COMMITTEE Province of Iloilo Invitation to Bid Purchase of LABORATORY SUPPLIES Bid No.RPT-20-0400-B  1. The Iloilo Provincial Government, through the 2020 GENERAL FUND intends to apply the sum of EIGHTY-SIX THOU</t>
  </si>
  <si>
    <t xml:space="preserve"> Requested by: J T. Ditona/CED - Motorpool</t>
  </si>
  <si>
    <t xml:space="preserve"> AJJ TRADING Batangas City JEDECO TRADING CORP.  16 Del Pilar St., Barangay III, Vigan City, Ilocos Sur ASIAN HYBRID SEED TECHNOLOGIES, INC.  Door 4, 267 Juna Subd., Q Blvd., Brgy., Bucan, Talomo District AND ALL INTERESTED SUPPLIERS/BIDDERS REQUEST TO SUB</t>
  </si>
  <si>
    <t xml:space="preserve"> Republic of the Philippines BIDS AND AWARDS COMMITTEE Province of Iloilo Invitation to Bid Purchase of LABORATORY SUPPLIES Bid No.RPT-20-0429-B  1. The Iloilo Provincial Government, through the 2020 GENERAL FUND intends to apply the sum of ONE HUNDRED NIN</t>
  </si>
  <si>
    <t xml:space="preserve"> SEMI-EXPENDABLE ICT EQUIPMENT (ODCOP-PHP58,500.00)</t>
  </si>
  <si>
    <t xml:space="preserve"> PB NO. 2020-035		 			 1.	1	lot	Proposed Asphalt overlay at Brgy. Sta. Ana, San Pablo City. 			By: Contract 			 	Deadline for Submission of Bids: July 6, 2020 1:00 pm</t>
  </si>
  <si>
    <t xml:space="preserve"> PRINTING &amp; PUBLICATION EXPENSE</t>
  </si>
  <si>
    <t xml:space="preserve"> FOR KLX MOTOR BRAKE PAD BRAKE SHOE CHAIN INTERIOR SPROCKET FRONT/ REAR TIRE FRONT/ REAR  FOR XRM MOTOR TIRE AND INTERIOR 2.7X17 BRAKE PAD BRAKE SHOE CHAIN  SPROCKET FRONT AND REAR  FOR XTC BRAKE PAD/SHOE CHAIN SPROCKET TIRE AND INTERIOR RADIATOR FOR HI-LU</t>
  </si>
  <si>
    <t xml:space="preserve"> R&amp;M Disaster Response &amp; Rescue Equip</t>
  </si>
  <si>
    <t xml:space="preserve"> Hardware &amp; Construction Supplies-Flat Latex</t>
  </si>
  <si>
    <t xml:space="preserve"> DESKTOP COMPUTER W/ COMPLETE ACCESS. PRINTER LQ310</t>
  </si>
  <si>
    <t xml:space="preserve"> Other Supplies &amp; Materials Expenses</t>
  </si>
  <si>
    <t xml:space="preserve"> DIESEL GASOLINE</t>
  </si>
  <si>
    <t xml:space="preserve"> INVITATION TO BID FOR SECURITY SERVICES 1. The Cebu Technological University, through the GAA intends to apply the sum of Nine Hundred Ninety-Five Thousand Pesos (Php995,000.00) being the Approved Budget for the Contract (ABC) to payments under the contra</t>
  </si>
  <si>
    <t xml:space="preserve"> Invitation to Bid for  Concreting &amp; Drainage Rehabilitation of J.M. Ceniza St., Looc, Mandaue City (21-2020) 1.	The City Government of Mandaue through the General Fund / Non-office (9999) Continuing Appropriation “Flood Control System” Approved by the San</t>
  </si>
  <si>
    <t xml:space="preserve"> Repair and Maintenance of Various Service Vehicles of Provincial Government of Tarlac LOT 1: Repair and Maintenance (PMS) of (4) units Toyota Hi Lux 4x4/Innova with CS No. VG 0727, A7N606, P5N4041 and VE 4878 LOT 2: Repair and Maintenace (PMS) of (4) unit</t>
  </si>
  <si>
    <t xml:space="preserve"> Lot 1:Repair and Maintenance of (1) unit Toyota Hilux FX with Plate no. SLF 463 Lot 2: Repair and Maintenance of (2) units Toyota Innova with CS no. VE 4878 and Plate no. SKX 466 and (1) unit Isuzu NHR Flexi Truck with CS no. CO 1538 Lot 3:Repair and Main</t>
  </si>
  <si>
    <t xml:space="preserve"> PB NO. 2020-034		 			 1.	100	UNITS	LAPTOP 			SPECIFICATIONS: 			ASUS TUF GAMING FX 505DT-AL182T 			SAND BLASTED FINISH-GUN METAL 			(COLOR/MAKE NAME: GOLD STEEL) 			DIMENSION: 36.0 X 26.2 X 2.50 2.60 CM 			14.17 X 10.31 X 0.98 1.02 INCHES 			PROCESSOR: AM</t>
  </si>
  <si>
    <t xml:space="preserve"> 1.       84      pcs      Tile 0.60 X 0.60M  2.       2        bags    Tile grout 3.       25      pcs.      12mm X 6M  RSB 4.       30      pcs        10mm X 6M  RSB 5.       2        T/L        Washed Sand 6.       1        T/L        Screened Gravel 7.</t>
  </si>
  <si>
    <t xml:space="preserve"> Repair and Maintenance of Various Service Vehicles of Provincial Government of Tarlac 1 Unit Toyota avanza with plate no. (SLF 169) 1 Unit Toyota  Hi-LUx with plate no. (SJP 929) 1 Unit Toyota  Hi-LUx with plate no. (SJL 587) 1 Unit Toyota  Hi-LUx with pl</t>
  </si>
  <si>
    <t xml:space="preserve"> Item 100-3 Individual Removal of Trees Item 100-4 Individual Removal of Big Trees Item 101 Removal of Actual Structures Item 102 Excavation Item 104 Common Embankment Item 511 Gabions and Mattresses Item 511-A Polyethylene Liner (PE) Sheets SPL-1 Construc</t>
  </si>
  <si>
    <t xml:space="preserve"> QTY	UNIT	ITEM DESCRIPTION 		  1,800.00 	pc/s	Non-Accountable Forms (Meter Reading Card)  105.00 	pad/s	Non-Accountable Forms (Meter Reading  Report - 100 leaves/pad in carbonized form</t>
  </si>
  <si>
    <t xml:space="preserve"> Republic of the Philippines Department of Education Region VI – Western Visayas DIVISION OF AKLAN Poblacion, Numancia, Aklan INVITATION TO BID Project No.: DepED-RO6-D1-2020QRF(REPAIR)-C1-018-2020 The Department of Education (DepED) Division of Aklan, thr</t>
  </si>
  <si>
    <t xml:space="preserve"> Repair and Maintenance of Aircon services of (3) units Toyota Avanza/Innova with plate no. SKX 520, SJL 512, SJ: 584 and (1) unit Hyundai Grand Starex with plate no. SKM 221</t>
  </si>
  <si>
    <t xml:space="preserve"> Procurement of Various Tires for the repair and maintenance of various trucks and Heavy Equipments used at the Provincial Equipment Pool Office Tire Assy 20.5x25 tubeless (pay loader) Tire assy 12-R22.5 16P Rib type, tubeless (BUS) Job Installation of Tir</t>
  </si>
  <si>
    <t xml:space="preserve"> Repair and Maintenance of Various Service Vehicles of Provincial Government of Tarlac</t>
  </si>
  <si>
    <t xml:space="preserve"> Republic of the Philippines Province of Bohol Municipality of Duero BIDS AND AWARDS COMMITTEE Section 1. INVITATION TO BID The Municipality of Duero, Bohol, through its Bids and Awards Committee (BAC), invites suppliers/manufacturers/distributors to apply</t>
  </si>
  <si>
    <t xml:space="preserve"> Republic of the Philippines BIDS AND AWARDS COMMITTEE Province of Iloilo Invitation to Bid PURCHASE OF DRUGS AND MEDICINES Bid No. SDH-20-0362-B 1. The Iloilo Provincial Government, through the GENERAL FUND 2020 intends to apply the sum of THREE HUNDRED F</t>
  </si>
  <si>
    <t xml:space="preserve"> Republic of the Philippines BIDS AND AWARDS COMMITTEE Province of Iloilo Invitation to Bid PURCHASE OF DRUGS AND MEDICINES Bid No. SDH-20-0363-B 1. The Iloilo Provincial Government, through the GENERAL FUND 2020 intends to apply the sum of TWO HUNDRED NIN</t>
  </si>
  <si>
    <t xml:space="preserve"> Republic of the Philippines BIDS AND AWARDS COMMITTEE Province of Iloilo Invitation to Bid PURCHASE OF OFFICE SUPPLIES Bid No. SDH-20-0273-B 1. The Iloilo Provincial Government, through the GENERAL FUND 2020 intends to apply the sum of TWENTY-NINE THOUSAN</t>
  </si>
  <si>
    <t xml:space="preserve"> Republic of the Philippines Province of Cebu Municipality of Cordova BIDS &amp; AWARDS COMMITTEE (032-236-6171) 			  	June 15, 2020 Request for quotation  The Municipality of Cordova, through its Bids and Awards Committee (BAC), is inviting all interested bid</t>
  </si>
  <si>
    <t xml:space="preserve"> Republic of the Philippines PROVINCE OF NUEVA VIZCAYA Invitation to Bid for the  REHAB./RESTORATION OF ARTC GREENHOUSE INSTALLATION OF NET COVER AND DRIP IRRIGATION (INST. OF NET COVER) Located at Prov’l. Nursery, Magsaysay, Bay., Nueva Vizcaya  1.	The Pr</t>
  </si>
  <si>
    <t xml:space="preserve"> Improvement of Women's Training Center</t>
  </si>
  <si>
    <t xml:space="preserve"> QTY	UNIT	ITEM DESCRIPTION 		  1.00 	unit	All-In-One Desktop Computer 		- Defective Hard Disk (for replacement) 		  1.00 	unit	Printer 		- for replacement of maintenance box 		- for ink pad resetting</t>
  </si>
  <si>
    <t xml:space="preserve"> PR. No. 69-2020 (MDRRMO) 1.	1	pc	Cooking pot (height 6”diameter) 2.	2	pc	Cooking pot (12” height 12” diameter) 3.	1	set	Knife Set (5pcs) 4.	1	pc	Wok (small) 12” diameter 5.	2	pc	Wok (big) 18” diameter 6.	2	pcs	Soup Laddle (stainless) 7.	2	pcs	Sanshi (fryi</t>
  </si>
  <si>
    <t xml:space="preserve"> Republic of the Philippines BIDS AND AWARDS COMMITTEE Province of Iloilo Invitation to Bid PURCHASE OF LABORATORY SUPPLIES Bid No. SDH-20-0444-B 1. The Iloilo Provincial Government, through the GENERAL FUND 2020 intends to apply the sum of SEVENTY-SEVEN T</t>
  </si>
  <si>
    <t xml:space="preserve"> Livestock Dispersal for Alliance of Cebu City Farmers Association</t>
  </si>
  <si>
    <t xml:space="preserve"> Republic of the Philippines BIDS AND AWARDS COMMITTEE Province of Iloilo Invitation to Bid PURCHASE OF LABORATORY SUPPLIES Bid No. SDH-20-0446-B 1. The Iloilo Provincial Government, through the GENERAL FUND 2020 intends to apply the sum of FOUR HUNDRED NI</t>
  </si>
  <si>
    <t xml:space="preserve"> delivery of motorcycle</t>
  </si>
  <si>
    <t xml:space="preserve"> Republic of the Philippines BIDS AND AWARDS COMMITTEE Province of Iloilo Invitation to Bid PURCHASE OF LABORATORY SUPPLIES Bid No. SDH-20-0445-B 1. The Iloilo Provincial Government, through the GENERAL FUND 2020 intends to apply the sum of ONE HUNDRED EIG</t>
  </si>
  <si>
    <t xml:space="preserve"> Republic of the Philippines BIDS AND AWARDS COMMITTEE Province of Iloilo Invitation to Bid PURCHASE OF HOUSEKEEPING SUPPLIES Bid No. SDH-20-0395-B 1. The Iloilo Provincial Government, through the GENERAL FUND 2020 intends to apply the sum of FOUR HUNDRED </t>
  </si>
  <si>
    <t xml:space="preserve"> 1. 5 rolls P.E. Pipe 1" Diameter 2. 20 PC P.E. Tee 1 x1/2 3. 20 PC P.E. Adaptor 1/2 4. 14 PC P.E. Coupling 1/2 5. 9 ROLLS P.E. Pipe 1 1/2 6. 1 PC Bell Reducer 6" x 4" 7. 10 PC P.E. Coupling 1 1/2</t>
  </si>
  <si>
    <t xml:space="preserve"> Republic of the Philippines BIDS AND AWARDS COMMITTEE Province of Iloilo Invitation to Bid Purchase of Water Supply Accessories Bid No. AGR-20-0668-B 1. The Iloilo Provincial Government, through the GENERAL FUND 2020 intends to apply the sum of THREE MILL</t>
  </si>
  <si>
    <t xml:space="preserve"> Republic of the Philippines BIDS AND AWARDS COMMITTEE Province of Iloilo Invitation to Bid PURCHASE OF MEDICAL SUPPLIES Bid No. SDH-20-0441-B 1. The Iloilo Provincial Government, through the GENERAL FUND 2020 intends to apply the sum of NINE HUNDRED THIRT</t>
  </si>
  <si>
    <t xml:space="preserve"> Republic of the Philippines PROVINCE OF NUEVA VIZCAYA Invitation to Bid for the  REHAB./RESTORATION OF ARTC GREENHOUSE INSTALLATION OF NET COVER AND DRIP IRRIGATION (INST. OF SOLAR PUMP IRRIGATION SYSTEM) Located at Prov’l. Nursery, Magsaysay, Bay., Nueva</t>
  </si>
  <si>
    <t xml:space="preserve"> see attachment</t>
  </si>
  <si>
    <t xml:space="preserve"> Republic of the Philippines BIDS AND AWARDS COMMITTEE Province of Iloilo Invitation to Bid PURCHASE OF LABORATORY SUPPLIES Bid No. SDH-20-0449-B 1. The Iloilo Provincial Government, through the GENERAL FUND 2020 intends to apply the sum of ONE HUNDRED EIG</t>
  </si>
  <si>
    <t xml:space="preserve"> Republic of the Philippines PROVINCE OF NUEVA VIZCAYA 2nd Invitation to Bid for the  CONSTRUCTION OF PANIKI UPPER TALLA, CORDON CIS Located at Cordon, Kasibu, Nueva Vizcaya  1.	The Provincial Government of Nueva Vizcaya, through the 2020 20% Development F</t>
  </si>
  <si>
    <t xml:space="preserve"> Please see attached Bill of Quantities and Invitation to Bid in the Philippine Bidding Documents</t>
  </si>
  <si>
    <t xml:space="preserve"> Republic of the Philippines PROVINCE OF NUEVA VIZCAYA Invitation to Bid for the  REHAB./RESTORATION OF ARTC GREENHOUSE INSTALLATION OF NET COVER AND DRIP IRRIGATION (INST. OF DRIP IRRIGATION SYSTEM) Located at Prov’l. Nursery, Magsaysay, Bay., Nueva Vizca</t>
  </si>
  <si>
    <t xml:space="preserve"> Republic of the Philippines PROVINCE OF NUEVA VIZCAYA Invitation to Bid for the  REHAB./RESTORATION OF ARTC GREENHOUSE INSTALLATION OF NET COVER AND DRIP IRRIGATION (CONST. OF ELEVATED CONC. WATER TANK) Located at Prov’l. Nursery, Magsaysay, Bay., Nueva V</t>
  </si>
  <si>
    <t xml:space="preserve"> Description 1     Unit       2.5 HP     Inverter</t>
  </si>
  <si>
    <t xml:space="preserve"> 1. 1 PC Submersible Pump w/ out Motor 5 Hp High Head</t>
  </si>
  <si>
    <t xml:space="preserve"> For complete specification, please see attached RFQ at the  associate components link or request....</t>
  </si>
  <si>
    <t xml:space="preserve"> ARTICLE AND DESCRIPTION											 ITEM	QTY.	UNIT						CEILING 					UNIT PRICE		TOTAL  								PRICE							 															 				Office: Universidad De Manila				PR No. 319							 				Charge to: Other Supplies and Materials Expenses				OBR No. 100-2002-006</t>
  </si>
  <si>
    <t xml:space="preserve"> 79 cartridges Toner, CF281A ******** nothing follows ********</t>
  </si>
  <si>
    <t xml:space="preserve"> Purchase of various supplies</t>
  </si>
  <si>
    <t xml:space="preserve"> PR-000008919	 18  pcs.		Flood light / Y2 Supervision LED IP65		 				   200W, 20000LM, 4000k, 90 Degrees PLEASE FAX YOUR QUOTATION ASAP, ATTENTION TO MR. FERDINAND M. COMPUESTO, PURCHASING MANAGER AT 85524345/88793664 OR EMAIL AT guerreroll@dfp.com.ph. YOU</t>
  </si>
  <si>
    <t xml:space="preserve"> Republic of the Philippines BIDS AND AWARDS COMMITTEE Province of Iloilo Invitation to Bid PURCHASE OF OFFICE SUPPLIES Bid No. SDH-20-0443-B 1. The Iloilo Provincial Government, through the GENERAL FUND 2020 intends to apply the sum of TWO HUNDRED SEVENTY</t>
  </si>
  <si>
    <t xml:space="preserve"> Republic of the Philippines PROVINCE OF NUEVA VIZCAYA 2nd Invitation to Bid for the  CONSTRUCTION OF UBUN-PAPAYA-DOMANG CIS Located at Kasibu, Nueva Vizcaya  1.	The Provincial Government of Nueva Vizcaya, through the 2020 20% Development Fund intends to a</t>
  </si>
  <si>
    <t xml:space="preserve"> Republic of the Philippines BIDS AND AWARDS COMMITTEE Province of Iloilo Invitation to Bid PURCHASE OF LABORATORY SUPPLIES Bid No. SDH-20-0448-B 1. The Iloilo Provincial Government, through the GENERAL FUND 2020 intends to apply the sum of FOUR HUNDRED FI</t>
  </si>
  <si>
    <t xml:space="preserve"> Battery Pack &amp; 9 L/I</t>
  </si>
  <si>
    <t xml:space="preserve"> Republic of the Philippines BIDS AND AWARDS COMMITTEE Province of Iloilo Invitation to Bid PURCHASE OF MEDICAL SUPPLIES Bid No. SDH-20-0442-B 1. The Iloilo Provincial Government, through the GENERAL FUND 2020 intends to apply the sum of NINE HUNDRED NINET</t>
  </si>
  <si>
    <t xml:space="preserve"> Republic of the Philippines PROVINCE OF NUEVA VIZCAYA Invitation to Bid for the  EXTENSION OF NVPH SLOPE PROTECTION Located at Almaguer North, Bambang, Nueva Vizcaya  1.	The Provincial Government of Nueva Vizcaya, through the PGSO (5-02-13-020) Land Impro</t>
  </si>
  <si>
    <t xml:space="preserve"> 8	unit	Car Dashboard Camera, for service vehicles 		 - high-end, 1080 full high definition recording 		 - at least 140 degree wide angle lens 		 - night recording 		 - at least 5 MP with CMOS censor 		 - at least 2.7" LCD screen and display 		 - seamless </t>
  </si>
  <si>
    <t xml:space="preserve"> see line item:</t>
  </si>
  <si>
    <t xml:space="preserve"> 12 Units Jetmatic Pump For water assistance program</t>
  </si>
  <si>
    <t xml:space="preserve"> Republic of the Philippines BIDS AND AWARDS COMMITTEE Province of Iloilo Invitation to Bid PURCHASE OF LABORATORY SUPPLIES Bid No. SDH-20-0447-B 1. The Iloilo Provincial Government, through the GENERAL FUND 2020 intends to apply the sum of FIVE HUNDRED EI</t>
  </si>
  <si>
    <t xml:space="preserve"> Please quote your lowest price on the Item/s below, subject to the terms and Conditions and Eligibility Requirements for the Suppliers, stating the shortest time of the delivery and submit your quotation duly signed by your representative not later than J</t>
  </si>
  <si>
    <t xml:space="preserve"> Supply &amp; delivery of: A. Chemical Detergent for Parts Washer @ Repair Kits 1. Chemical Detergent @ 20 Liters/Container/Pail        ------------------------------------------  8 pails Note: 1. Delivery of the items shall be at the Motorpool Compound,      </t>
  </si>
  <si>
    <t xml:space="preserve"> Furniture and Fixtures for utilization of the Office of the mayor/ Department of General Services</t>
  </si>
  <si>
    <t xml:space="preserve"> 85 pieces Battery for UPS ******** nothing follows ********</t>
  </si>
  <si>
    <t xml:space="preserve"> Supply &amp; Delivery of Construction Materials for the Improvement of OSCA Building at Sta. Cruz, Municipality of Bongabong, Oriental Mindoro</t>
  </si>
  <si>
    <t xml:space="preserve"> Republic of the Philippines										 Department of Public Works and Highways										 OFFICE OF THE DISTRICT ENGINEER										 Cagayan Third District Engineering Office										 Tuguegarao City										 Name of Procuring Entity: 			DPWH-Cagayan Third</t>
  </si>
  <si>
    <t xml:space="preserve"> Section I. Invitation to Bid Section II. Instructions to Bidders A.  General 1.	Scope of Bid 		 	1.1	The Procuring Entity as defined in the BDS, invites bids for the construction of Works, as described in Section VI- Specifications.  The name and identifi</t>
  </si>
  <si>
    <t xml:space="preserve"> 2.00 units Printing Machine (RISO) 2.00 units Multifunction Copier</t>
  </si>
  <si>
    <t xml:space="preserve"> Republic of the Philippines PROVINCE OF NUEVA VIZCAYA 2nd Invitation to Bid for the  CONSTRUCTION OF NAMANGEGAN ALLOY CIS PHASE III Located at Kasibu, Nueva Vizcaya  1.	The Provincial Government of Nueva Vizcaya, through the 2020 20% Development Fund inte</t>
  </si>
  <si>
    <t xml:space="preserve"> 1500 L diesel fuel</t>
  </si>
  <si>
    <t xml:space="preserve"> QTY	UNIT	ITEM DESCRIPTION 		  4.00 	page/s	AN ORDINANCE IMPOSING STRINGENT REGULATIONS AND MEASURES IN TIMES OF EPIDEMIC, PANDEMIC OR OTHER NATIONAL OR LOCAL-WIDE HEALTH EMERGENCIES, PROVIDING EXEMPTIONS AND PENALTIES THEREFOR AND FOR OTHER PURPOSES OF ST</t>
  </si>
  <si>
    <t xml:space="preserve"> INVITATION TO BID FOR THE PROCUREMENT OF SUPPLY AND DELIVERY OF EIGHT (8) UNITS RICE TRANSPLANTER (RIDE-ON) (REBID) 1.	The Department of Agriculture Regional Field Office (DA RFO) No. 6, through the General Appropriations Act of 2020 intends to apply the </t>
  </si>
  <si>
    <t xml:space="preserve"> Republic of the Philippines  Province of Leyte  MUNICIPALITY OF PALO NOTICE OF POSTING @ PHILGEPS WEBSITE	                                                                                                                                       June 15, 2020 </t>
  </si>
  <si>
    <t xml:space="preserve"> Please see attached.</t>
  </si>
  <si>
    <t xml:space="preserve"> CONCRETING &amp; RIPRAPPING</t>
  </si>
  <si>
    <t xml:space="preserve"> REPAIR</t>
  </si>
  <si>
    <t xml:space="preserve"> &gt; ONE JOB ORDER PUBLICATION OF PROVINCIAL ORDINANCES No. 16-24-03-20 An Ordinance Amending Sec. 6 of Provincial Ordinance No. 16-24-03-2020 -Curfew Hour 9:00 PM - 5:00 AM No. 16-27-04-2020 An Ordinance Requiring Government Institutions to Patronize Locall</t>
  </si>
  <si>
    <t xml:space="preserve"> I. Mobilization II. CSHP III. Road Preparation A. Equipment B. Materials IV. Portland Cement Concrete Pavement V. Equipment</t>
  </si>
  <si>
    <t xml:space="preserve"> I. Mobilization II. CSHP III. Road Preparation A. Equipment B. Materials IV. Portland Cement Concrete Pavement V. Equipment Labor</t>
  </si>
  <si>
    <t xml:space="preserve"> CONSTRUCTION OF 55 METERS CONCRETE CANAL AT PUROK SEGUIDILLA, BRGY. MAYPANGDAN, BORONGAN CITY, EASTERN SAMAR</t>
  </si>
  <si>
    <t xml:space="preserve"> PHILIPPINE BIDDING DOCUMENTS (As Harmonized with Development Partners) FOR ENHANCEMENT OF CACAO PRODUCTION THRU PROVISION OF ACCREDITED VARIETY OF CACAO GRAFTED PLANTING MATERIALS AND FERTILIZER SUBSIDY BIDDING Government of the Republic of the Philippine</t>
  </si>
  <si>
    <t xml:space="preserve"> PHILIPPINE BIDDING DOCUMENTS (As Harmonized with Development Partners) FOR ENHANCEMENT OF CACAO PRODUCTION THRU PROVISION OF ACCREDITED VARIETY OF CACAO BIDDING Government of the Republic of the Philippines TABLE OF CONTENTS SECTION I. INVITATION TO BID……</t>
  </si>
  <si>
    <t xml:space="preserve"> Thirty Five (35) bx 100% Pineapple Juice with A-C-E, 240ml 24s/box &amp; 49 other line items</t>
  </si>
  <si>
    <t xml:space="preserve"> This project entails purchase of office supplies for use in the COA Office.</t>
  </si>
  <si>
    <t xml:space="preserve"> 1	unit	Sound System 		 - microphone and speaker 		 - speaker system for frontline counters 		******** nothing follows ********</t>
  </si>
  <si>
    <t xml:space="preserve"> INVITATION TO BID FOR (GOODS &amp; SERVICES) 	     20GJC0193 – 8 units Desktop Computer etc. To be used in Planning and Design Section.                          (PR # 20-05-181) 1. 	      The DPWH, 2nd District Engineering Office,Labason,Zamboanga del Norte, </t>
  </si>
  <si>
    <t xml:space="preserve"> Rice, 29Sacks Sardines, 2boxes Noodles, 2boxes</t>
  </si>
  <si>
    <t xml:space="preserve"> Rice, 21sack</t>
  </si>
  <si>
    <t xml:space="preserve"> 3000-pcs. Medals, Gold Ordinary/Academic</t>
  </si>
  <si>
    <t xml:space="preserve"> Office Supply</t>
  </si>
  <si>
    <t xml:space="preserve"> PURCHASE OF JANITORIAL SUPPLIES</t>
  </si>
  <si>
    <t xml:space="preserve"> Rehabilitation of Perimeter Pavement of Covered Court</t>
  </si>
  <si>
    <t xml:space="preserve"> Repair &amp; Maintenance of Buildings</t>
  </si>
  <si>
    <t xml:space="preserve"> Republic of the Philippines							 Province of Lanao del Norte							 Municipality of Lala							 Office of the Municipal General Services							 				Date			 CANVASS							 							 							 	Sir/Madam:						 		Please quote your lowest price for the followi</t>
  </si>
  <si>
    <t xml:space="preserve"> Repair &amp; Maintenance - Motor Vehicle</t>
  </si>
  <si>
    <t xml:space="preserve"> Commercial Rice, 5 half sack Red Rice, 4 half Sack Malagkit Rice, 3 sacks Mongo, 3 sacks Brown Sugar, 2 sacks Iodized Salt, 2 sacks Bear Brand, 83kgs Oil, 4 doz Garlic, 10kgd  Tuna, 4case Teaspoon, 2doz Eggs, 12 trays</t>
  </si>
  <si>
    <t xml:space="preserve"> Washable Face Mask, 2000 pcs</t>
  </si>
  <si>
    <t xml:space="preserve"> INVITATION TO BID FOR (GOODS &amp; SERVICES)       20GJC0190 – 2 pcs. Oil Filter 3831236 etc. Item 1 to 4 to be use for preventive                              maintenance of Volvo Road Grader with code no. N1-2261, Item 5 to 12 use                           </t>
  </si>
  <si>
    <t xml:space="preserve"> 2 units Air-conditioning Unit Window Type 1.5HP 1 unit  Air-conditioning Unit 1HP Split Type with Installation (Inverter)</t>
  </si>
  <si>
    <t xml:space="preserve"> Invitation to Quote The Philippine Charity Sweepstakes Office thru the Procurement Division, General Services Dept. announces the purchase and procurement of the above listed item/s.  All interested suppliers may secure the standard sealed quotation/canva</t>
  </si>
  <si>
    <t xml:space="preserve"> Supply and delivery of 500 bags Granular Urea to be used in the Cassava Model Farm for CY 2020 500	bags	Granular Urea		 		Minimum Specifications:		 		Packaging: 50 kg/bag with inner plastic lining		 		Nitrogen (N): 45.08%		 		FPA-accredited dealer and FPA</t>
  </si>
  <si>
    <t xml:space="preserve"> 1500 kg Lean meat/liver/ribs/intestines/entrils 20 kg Bagnet 5 kg Ukilas 1500 kg Dressed chicken/liver/gizard Note: Daily delivery as needed within 30 days (June 2020) Please see and download the attachment</t>
  </si>
  <si>
    <t xml:space="preserve"> INVITATION TO BID FOR (GOODS &amp; SERVICES)       20GJC0192 – 1 unit Laptop. To be used for “work from home” of the resident auditor, this                          district. (PR # 20-03-191) 1.         The DPWH, 2nd District Engineering Office,Labason,Zamboa</t>
  </si>
  <si>
    <t xml:space="preserve"> Republic of the Philippines Province of Cotabato Municipality of Antipas BIDS AND AWARDS COMMITTEE 	 REQUEST FOR QUOTATION (RFQ) The Municipal Government of Antipas, through its Bids and Awards Committee (BAC), hereby invites interested suppliers to submi</t>
  </si>
  <si>
    <t xml:space="preserve"> 9,600 container	Procurement of 5 Gals Purified Drinking Water for CF- Iloilo 1.	pH	5-7 2.	TDS	&lt;10ppm (Total Dissolved Solids – TDS) 3.	Taste	No objectionable Taste 4.	Odor	No objectionable Odor 5.	Color	5 TCU (True Color Units) 6.	Turbidity	5 NTU ( Nephel</t>
  </si>
  <si>
    <t xml:space="preserve"> INVITATION TO BID FOR (GOODS &amp; SERVICES)       20GJC0191 – 100 liters UD Diesel Engine Oil Mega Multi 3 SAE 15W-40 etc. To be use in                           the preventive maintenance of UD Croner DT with code no. H3-6752 assigned                       </t>
  </si>
  <si>
    <t xml:space="preserve"> 1     unit     Dump box 1.20m x 2.90 with 4mm thl Steel Black Iron Plate and 2" x 3" x 1/4" Channel Bar including                   Baby Chassis 2" x 4" x 1/4"mm Channel Bar and accessories 1     unit     Assembly PTO with Complete Accessories</t>
  </si>
  <si>
    <t xml:space="preserve"> INVITATION TO BID FOR THE SUPPLY, DELIVERY, INSTALLATION AND COMMISSIONING OF ONE (1) UNIT ENT-HNS DIGITAL VIDEO STROBOSCOPE (IB NO. 2020-GOODS-014-01-0615) 1.	The ILOCOS TRAINING AND REGIONAL MEDICAL CENTER (ITRMC), through the GAA, FY 2020 (HFEP Fund), </t>
  </si>
  <si>
    <t xml:space="preserve"> 1	100	ALCOHOL, 70%,  500 ml 2	4	Ant-Virus INSTALLER 3	1	AVR (1000v) 4	24	Ballpen  BP-SF-B (Black) 5	11	Ballpen (Black) Press button 6	5	Ballpen (Blue) Press button 7	5	Ballpen (ordinary, black) 8	4	Ballpen 1423  0.5 black 9	1	Ballpen BP-S-F-B (Red) 10	12	</t>
  </si>
  <si>
    <t xml:space="preserve"> Supply and delivery of various agricultural inputs to be used in the Sorghum Technology Demonstration 250	bags	Organic Fertilizer		 		Minimum Specifications:		 		Packaging: 50 kg/bag with inner plastic lining		 		Total NPK = 1.5% minimum; C:N = 15.1		 		M</t>
  </si>
  <si>
    <t xml:space="preserve"> Republika ng Pilipinas PAMAHALAANG LUNGSOD NG TACLOBAN (City Government of Tacloban) Kanhuraw Hill, Tacloban City 6500 Tel. Nos.  325-4053 BIDS AND AWARDS COMMITTEE 	INVITATION TO SUBMIT PRICE QUOTATIONS 1st Posting BIDSTAC # SB 024-2020 (7041914). 	     </t>
  </si>
  <si>
    <t xml:space="preserve"> Supply and delivery of 2 units Mobile Electric Weighing Scale for Smal Ruminant and 1 unit Electric Weighing Scale with Cattle Squeezer to be used in monitoring and assessment of breeder stocks produced and maintained in the stations 2	unit	Mobile Electri</t>
  </si>
  <si>
    <t xml:space="preserve"> Portland Cement Gravel Gravel Rough Lumber 2x4x12 CWN Assorted Mixing Water</t>
  </si>
  <si>
    <t xml:space="preserve"> Supply and delivery of various vehicle parts and accessories for the RP vehicle SJB-258 under HVCDP 4	pcs	Tires		 1	pc 	Battery		 1	set	Seat Cover		 1	pc 	Steering Cover		 1	set	Floor Matting</t>
  </si>
  <si>
    <t xml:space="preserve"> Supply and delivery of 500 bags Granular Complete Fertilizer to be used by OPV white corn farmers, as package with the existing project on regular seed distribution for CY 2020 500	bags	Granular Complete Fertilizer		 		Minimum Specifications:		 		Packagin</t>
  </si>
  <si>
    <t xml:space="preserve"> Republika ng Pilipinas PAMAHALAANG LUNGSOD NG TACLOBAN (City Government of Tacloban) Kanhuraw Hill, Tacloban City 6500 Tel. Nos.  325-4053 BIDS AND AWARDS COMMITTEE 	INVITATION TO SUBMIT PRICE QUOTATIONS 1st Posting 	           The City Government of Tacl</t>
  </si>
  <si>
    <t xml:space="preserve"> Hiring of one (1) Research Assistant I for 3 months to assist in the Community-Based Participatory Action Research on Breeder Goat Production 1	1 person x 3 months 	Research Assistant I		 		1. Assists in the project monitoring and data collection needed t</t>
  </si>
  <si>
    <t xml:space="preserve"> Request for Quotation All interested suppliers are requested to submit their quotations on the items listed in the attached Request for Quotation.</t>
  </si>
  <si>
    <t xml:space="preserve"> Republika ng Pilipinas PAMAHALAANG LUNGSOD NG TACLOBAN (City Government of Tacloban) Kanhuraw Hill, Tacloban City 6500 Bids and Awards Committee INVITATION TO SUBMIT PRICE QUOTATIONS FOR THE NEGOTIATED PROCUREMENT (Small Value Procurement) OF AIRCONDITION</t>
  </si>
  <si>
    <t xml:space="preserve"> Supply and delivery of 501 reams Bond Paper (Legal) to be used in masterlisting of farmer beneficiary of the Rice Resiliency Project 501	reams	Bond Paper		 		   Legal (8.5 x 13)</t>
  </si>
  <si>
    <t xml:space="preserve"> Republic of the Philippines Municipality of Taytay Taytay, Palawan NOTICE TO BIDDERS Item # Qty Unit Description Amount 1.	1	unit 	SCANNER:                         Specs: Compact size and Footpring,                         - Powered via USB 3.0 bus powere</t>
  </si>
  <si>
    <t xml:space="preserve"> Procurement of Switch Hub, Router, Access Point and Web Camera (See attached Purchase Request for more detailed information.)</t>
  </si>
  <si>
    <t xml:space="preserve"> Republic of the Philippines Municipality of Taytay Taytay, Palawan NOTICE TO BIDDERS Item # Qty Unit Description Amount 1.    1    Lot    FUELS/FUEL ADDITIVES &amp; LUBRICANT &amp; ANTI-CORROSIVE The two envelope system of procurement shall be observed, Bidding d</t>
  </si>
  <si>
    <t xml:space="preserve"> SUPPLY OF ONE (1) UNIT PORTABLE GENERATOR AND TWO (2) UNITS PORTABLE AIRCON under PR No. KMT-2003-005B and ITB No. 2005-025-04R Please quote your lowest price on the item/s listed below, subject to the Terms and Conditions set forth hereunder, stating amo</t>
  </si>
  <si>
    <t xml:space="preserve"> 1	unit	COMPUTER LAPTOP	 		Windows 10Home, AMD Ryzen 7-3750H Processor	 		(2m Cache, up to 4.0 GHz 15.6 inch  Full  HD (1920x1080)	 		IPS Level Panel, 120 Hz NVDIA,  Geforece GTX 1650 with	 		4GB GDDR5, 8GB DDR4MHz RAM,  PCIE NVME 512 GB M.2	 		SSD Backlit</t>
  </si>
  <si>
    <t xml:space="preserve"> Please submit your quotation for the following items on or before 5:00PM on Jun 19, 2020. ITEM D E S C R I P T I O N QTY. UNIT  1 Chemicals, Palintest Free Chlorine, DPD1 Tablets (APO II) 9 box Specifications/Recommendations: a. Supplier must provide Mate</t>
  </si>
  <si>
    <t xml:space="preserve"> please see attached Invitation to Offer for Negotiated Procurement</t>
  </si>
  <si>
    <t xml:space="preserve"> 1	Amlodipine 10mg Tab (100tabs/box)	420	bxs. 2	Amoxicillin 125mg/5ml	144	btls. 3	Amoxicillin 250mg/5ml	144	btls. 4	Amoxicillin 500mg (100 caps/box)	140	bxs. 5	Amoxicillin Drops	150	btls. 6	Ascorbic Acid 500mg Tab (100 tabs/box)	200	bxs. 7	Ascorbic Acid Sy</t>
  </si>
  <si>
    <t xml:space="preserve"> Republic of the Philippines Municipality of Taytay Taytay, Palawan NOTICE TO BIDDERS Item # Qty Unit Description Amount 1. 1 Lot FUELS/FUEL ADDITIVES &amp; LUBRICANT &amp; ANTI-CORROSIVE 			 Bulldozer #03  1.	1	pc	Priming Pump 2.	5	pcs	Ripper Point  3.	5	pcs	Pin </t>
  </si>
  <si>
    <t xml:space="preserve"> Republika ng Pilipinas PAMAHALAANG LUNGSOD NG TACLOBAN (City Government of Tacloban) Kanhuraw Hill, Tacloban City 6500 Bids and Awards Committee INVITATION TO SUBMIT PRICE QUOTATIONS FOR THE NEGOTIATED PROCUREMENT (Small Value Procurement) OF MEDICAL SUPP</t>
  </si>
  <si>
    <t xml:space="preserve"> Republic of the Philippines Province of Cavite Municipality of Naic BIDS AND AWARDS COMMITTEE PB-2020-05-032 INVITATION TO  BID  INSTALLATION OF TEN (10) UNITS STREETLIGHTS  AT RHU COMPOUND, BRGY. HALANG NAIC, CAVITE 1.       The Municipal Government of N</t>
  </si>
  <si>
    <t xml:space="preserve"> I N V I T A T I O N  T O  B I D The Manila International Airport Authority, through its Bids and Awards Committee (BAC), invites interested parties to apply for eligibility and to bid for the hereunder service contract: 	 Name of Contract       :  	Supply</t>
  </si>
  <si>
    <t xml:space="preserve"> 1  unit  Printer  Specs: DCP-T710W             3-in-1 Print, Copy, Scan             Colour Inject MFC Printer up to 12/10 ppm ( ISO )             150 sheets default paper tray             Manual Feed Slot             20 sheets Auto Document Feeder        </t>
  </si>
  <si>
    <t xml:space="preserve"> INVITATION TO BID (GOODS) The Municipality of Sibonga, through the General Fund intends to apply the sum of One hundred thousand pesos only (100,000.00) being the Approved Budget for the Contract (ABC) to payment under the contract Re-Bidding for the Supp</t>
  </si>
  <si>
    <t xml:space="preserve"> Office Equipment Supplies and Consumables</t>
  </si>
  <si>
    <t xml:space="preserve"> INVITATION TO BID FOR  REHABILITATION OF MULTI-PURPOSE BUILDING - CAMINDOROAN The Municipality of San Juan, through its Bids and Awards Committee (BAC), invites contractors to submit bids for the following Contract: Contract ID		:          	20-00045						</t>
  </si>
  <si>
    <t xml:space="preserve"> INVITATION TO BID ITB No. 2020-30 1.	The Dr. Jose Fabella Memorial Hospital, through its Hospital Income intends to apply the amount of Twelve Million Three Hundred Seventy-Three Thousand Nine Hundred Ninety-Two Pesos (Php 12,373,992) being the Approved B</t>
  </si>
  <si>
    <t xml:space="preserve"> Republic of the Philippines DEPARTMENT OF PUBLIC WORKS AND HIGHWAYS DAVAO ORIENTAL FIRST DISTRICT ENGINEERING OFFICE REGION XI Lucod, Baganga, Davao Oriental INVITATION TO BID No. 2020-0009  1.	The Department of Public Works and Highways, Davao Oriental F</t>
  </si>
  <si>
    <t xml:space="preserve"> Concrete Cutter         -----------------------------------------------------------------------  2 units Specification: Concrete and Asphalt Floor Saw Cutter;  10 HP; 220V; 3600 rpm Cutting Speed w/  Spare Blade (Blades: Diamond Blade w/ Hard Bond, Asphal</t>
  </si>
  <si>
    <t xml:space="preserve"> Job Order: Labor and Materials for the repair of Airconditioning Units located at Livestock Banner Program, Feed Laboratory and BAC Secretariat Office 		Job Order: Labor and Materials for the repair of Airconditioning Units located at Livestock Banner Pro</t>
  </si>
  <si>
    <t xml:space="preserve"> PURCHASE OF OFFICE, OTHER SUPPLIES AND MATERIALS</t>
  </si>
  <si>
    <t xml:space="preserve"> Republic of the Philippines Department of Health	 CENTRAL OFFICE BIDS AND AWARDS COMMITTEE  INVITATION TO BID FOR THE  PROCUREMENT OF BEDAQUILINE FUMARATE IB NO. 2020-221 1.	The Department of Health (DOH), through the General Appropriations Act of 2020 in</t>
  </si>
  <si>
    <t xml:space="preserve"> Invitation to Bid for the Supply and Delivery of various Medicine for the use of Brgy. Soro-Soro Karsada, Batangas City</t>
  </si>
  <si>
    <t xml:space="preserve"> Invitation to Bid for the Supply and Delivery of various Office Supplies for the use of Brgy. Soro-Soro Karsada, Batangas City</t>
  </si>
  <si>
    <t xml:space="preserve"> 1. ALLEN WRENCH SET &amp; 23 OTHERS DELIVERY SITE:  BURIAS DPP (BURIAS ISLAND)                          SAN PASCUAL, MASBATE PLEASE SUBMIT REQUIREMENTS: 1.	MAYOR’S/BUSINESS PERMIT 2.	PhilGEPS REG. NUMBER/CERTIFICATE</t>
  </si>
  <si>
    <t xml:space="preserve"> Republic of the Philippines Municipality of Taytay Taytay, Palawan NOTICE TO BIDDERS Item # Qty Unit Description Amount 1. 400 meters Local Access Roads, So. Lake Danao, Bgy. Poblacion                      Width = 6.1M                      Thickness = 20m</t>
  </si>
  <si>
    <t xml:space="preserve"> units		Panasonic AirConditioner 2.5hp Inverter 			3</t>
  </si>
  <si>
    <t xml:space="preserve"> Barangay Begong</t>
  </si>
  <si>
    <t xml:space="preserve"> 1. ADJUSTABLE WRENCH, 12" LONG &amp; 6 OTHERS DELIVERY SITE:    CATANDUANES SUB STN (MARINAWA DPP)                             BATO, CATANDUANES  PLEASE SUBMIT REQUIREMENTS: 1	MAYOR’S/BUSINESS PERMIT 2	PhilGEPS REG. NUMBER/CERTIFICATE</t>
  </si>
  <si>
    <t xml:space="preserve"> Invitation to Bid for the Supply and Delivery of various Equipment for the use of Brgy. Cuta, Batangas City</t>
  </si>
  <si>
    <t xml:space="preserve"> Section I. Invitation to Bid Republic of the Philippines PROVINCE OF ZAMBOANGA SIBUGAY Capitol Building, Ipil Heights, Ipil, Zamboanga Sibugay INVITATION TO BID FOR  Drugs &amp; Medicines 1.	The Province of Zamboanga Sibugay, through the GF-BY 2020 intends to</t>
  </si>
  <si>
    <t xml:space="preserve"> Please refer to the attached document.</t>
  </si>
  <si>
    <t xml:space="preserve"> PURCHASE REQUEST			 LGU BUGALLON						 Agency / Procuring Entity						 						 	Department: 		Mayor's Office 		Date:	 						 	Section:				Date:	 						 STOCK 		UNIT	Description	QTY	UNIT COST	AMOUNT NO.						 	1	box	RJ45	4		 	2	UNIT	Uninterrupted Power Supp</t>
  </si>
  <si>
    <t xml:space="preserve"> LGU-AL-28-2020 REHABILITATION/IMPROVEMENT OF BARANGAY ROAD BRGY. MATAGNAO ABUYOG, LEYTE</t>
  </si>
  <si>
    <t xml:space="preserve"> REQUEST FOR QUOTATION (RFQ)							 							 							 June 11, 2020		 R.I.S. No.: 20-93-017		 							 						 GENTLEMEN:			 Please submit  your  lowest price quotation (including taxes and government discounts) on charged account basis, on the following suppl</t>
  </si>
  <si>
    <t xml:space="preserve"> INVITATION TO BID The City of Bayawan, through its Bids and Awards Committee (BAC), invites suppliers/manufacturers/distributors/contractors to bid for the hereunder projects: 	Lot No. I		ICT EQUIPMENT					 1	15	unit(s)	Gigabit Manage Switch					 			Enclo</t>
  </si>
  <si>
    <t xml:space="preserve"> Section I. Invitation to Bid Republic of the Philippines PROVINCE OF ZAMBOANGA SIBUGAY Capitol Building, Ipil Heights, Ipil, Zamboanga Sibugay INVITATION TO BID FOR  14 Units Printer 1.	The Province of Zamboanga Sibugay, through the General Fund BY 2020 i</t>
  </si>
  <si>
    <t xml:space="preserve"> Section I. Invitation to Bid Republic of the Philippines PROVINCE OF ZAMBOANGA SIBUGAY Capitol Building, Ipil Heights, Ipil, Zamboanga Sibugay INVITATION TO BID FOR  1 Unit Motorcycle 1.	The Province of Zamboanga Sibugay, through the GF BY-2020 intends to</t>
  </si>
  <si>
    <t xml:space="preserve"> LGU-AL-29-2020 CONSTRUCTION OF EVACUATION CENTER PHASE II BRGY. KIKILO ABUYOG, LEYTE</t>
  </si>
  <si>
    <t xml:space="preserve"> Straight Contract</t>
  </si>
  <si>
    <t xml:space="preserve"> Section I. Invitation to Bid Republic of the Philippines PROVINCE OF ZAMBOANGA SIBUGAY Capitol Building, Ipil Heights, Ipil, Zamboanga Sibugay INVITATION TO BID FOR LPG Refill (50kgs &amp; 11kg) 1.	The Province of Zamboanga Sibugay, through the GF-BY 2020 int</t>
  </si>
  <si>
    <t xml:space="preserve"> Supply of labor, materials and expertise for the repair of calibration of injection Pumps (Cummins)  SCOPE OF WORKS: 1.	Pull-down and dismantling of injection pumps/motors. 2.	Replacement of nozzle, injector nozzle, delivery valve, plunger, and other defe</t>
  </si>
  <si>
    <t xml:space="preserve"> 1. ABRASIVE SANDPAPER #150 &amp; 42 OTHERS DELIVERY SITE:  VIGA DPP                          VIGA, CATANDUANES PLEASE SUBMIT REQUIREMENTS: 1	MAYOR’S/BUSINESS PERMIT 2	PhilGEPS REG. NUMBER/CERTIFICATE</t>
  </si>
  <si>
    <t xml:space="preserve"> Invitation to Bid Barangay 895, Zone 99, District VI through its Bids and Awards Committee (BAC), invites all suppliers duly accredited and approved by the City Council of Manila to bid for the hereunder projects: 1  set  Closed Circuit Television (CCTV) </t>
  </si>
  <si>
    <t xml:space="preserve"> Section I. Invitation to Bid Republic of the Philippines PROVINCE OF ZAMBOANGA SIBUGAY Capitol Building, Ipil Heights, Ipil, Zamboanga Sibugay INVITATION TO BID FOR  Repair &amp; Maintenance of Aircondition 	 1.	The Province of Zamboanga Sibugay, through the </t>
  </si>
  <si>
    <t xml:space="preserve"> 165 m.t. Bituminous Concrete Surface Course (FD-Sandmix) 416 m.t. Bituminous Concrete Surface Course (FD) x-x-x-x-xx-x-x-x-x-x-x-x-x-x-x-x-xxxxxxxxxxxxxxxxxx</t>
  </si>
  <si>
    <t xml:space="preserve"> Section I. Invitation to Bid Republic of the Philippines PROVINCE OF ZAMBOANGA SIBUGAY Capitol Building, Ipil Heights, Ipil, Zamboanga Sibugay INVITATION TO BID FOR  Commercial Rice &amp; Sardines 1.	The Province of Zamboanga Sibugay, through the GF-BY 2020 i</t>
  </si>
  <si>
    <t xml:space="preserve"> REHABILITATION OF SOLAR DRYER BRGY. NEW VISAYAS, PANABO CITY  79.68 SQ.M OF CONCRETE SLAB NOTE: PLEASE ATTACHED LINK BELOW ON OHTER INFORMATION FOR MORE REFERENCE.</t>
  </si>
  <si>
    <t xml:space="preserve"> Package of Office Supplies and Devices</t>
  </si>
  <si>
    <t xml:space="preserve"> BLGU-ANIBONGON-01-2020 CONSTRUCTION OF TWO-STOREY EVACUATION CENTER PHASE III BRGY. ANIBONGON ABUYOG, LEYTE</t>
  </si>
  <si>
    <t xml:space="preserve"> Section I. Invitation to Bid Republic of the Philippines PROVINCE OF ZAMBOANGA SIBUGAY Capitol Building, Ipil Heights, Ipil, Zamboanga Sibugay INVITATION TO BID FOR  16 Units UPS 1.	The Province of Zamboanga Sibugay, through the General Fund BY 2020 inten</t>
  </si>
  <si>
    <t xml:space="preserve"> Repair/rewinding of various motors of Marinawa DPP  SCOPE OF WORKS: 1.	Dismantling of motors 2.	Transport/hauling of motors from plant site to electrical/machine shop 3.	Repair/rewinding 4.	Installation/Testing and commissioning 5.	Six (6) months warranty</t>
  </si>
  <si>
    <t xml:space="preserve"> Procurement of supply and delivery of Agricultural Supplies and Materials 5400	pc	Empty sacks (50 kg capacity) with seam at the opening end 30	Roll (200 meters/ roll)	Nylon line (for grass cutter), No. 9 (4.5 mm) PR# 2020-36</t>
  </si>
  <si>
    <t xml:space="preserve"> Section I. Invitation to Bid Republic of the Philippines PROVINCE OF ZAMBOANGA SIBUGAY Capitol Building, Ipil Heights, Ipil, Zamboanga Sibugay INVITATION TO BID FOR  1 Unit Floor Mounted Aircon 1.	The Province of Zamboanga Sibugay, through the GF-BY 2020 </t>
  </si>
  <si>
    <t xml:space="preserve"> 1	Neoprene Rubber Gasket with Single Ply (Nylon Ply) Size: 1/8”thick x 40” width	25	ft		 2	Neoprene Rubber Gasket with Single Ply (Nylon Ply) Size: ¼” thick x 40” width	25	ft		 3	Neoprene Rubber Gasket with Single Ply (Nylon Ply) Size: ½” thick x 40” widt</t>
  </si>
  <si>
    <t xml:space="preserve"> Section I. Invitation to Bid Republic of the Philippines PROVINCE OF ZAMBOANGA SIBUGAY Capitol Building, Ipil Heights, Ipil, Zamboanga Sibugay INVITATION TO BID FOR  1 Unit Risograph Machine Photocopier 1.	The Province of Zamboanga Sibugay, through the Ge</t>
  </si>
  <si>
    <t xml:space="preserve"> Invitation to Bid for the Supply and Delivery of various Office Supplies for the use of Brgy. Balagtas, Batangas City</t>
  </si>
  <si>
    <t xml:space="preserve"> The Government Service Insurance System (GSIS), through the GSIS Corporate Operating Budget for CY 2020, intends to apply the sum of Thirty Four Million Seven Hundred Fifty Thousand Pesos (Php34,750,000.00) being the Approved Budget for the Contract (ABC)</t>
  </si>
  <si>
    <t xml:space="preserve"> Semi Expendable Machinery &amp; Equip-Furniture &amp; Fixture</t>
  </si>
  <si>
    <t xml:space="preserve"> 1,400 bags Thermoplastic Paint (White) 25kg. 200 bags Thermoplastic Paint (Yellow) 25kg. x-x-xx-x-x-x-x-x-x-x-x-xx-x-xxxxxxxxxxxxxxxxx</t>
  </si>
  <si>
    <t xml:space="preserve"> Invitation to Bid for the Supply and Delivery of CCTV Camera for the use of Brgy. Balagtas, Batangas City</t>
  </si>
  <si>
    <t xml:space="preserve"> Small Flower Wreaths (small) Medium Flower Wreaths Large Flower Wreaths</t>
  </si>
  <si>
    <t xml:space="preserve"> Section I. Invitation to Bid Republic of the Philippines PROVINCE OF ZAMBOANGA SIBUGAY Capitol Building, Ipil Heights, Ipil, Zamboanga Sibugay INVITATION TO BID FOR  Assorted Tires, Batteries, Oil and Fuel Filter, and Other Supplies and Materials for the </t>
  </si>
  <si>
    <t xml:space="preserve"> Invitation to Bid for the Supply and Delivery of other Supplies and Materials for the use of Brgy. Balagtas, Batangas City</t>
  </si>
  <si>
    <t xml:space="preserve"> Section I. Invitation to Bid Republic of the Philippines PROVINCE OF ZAMBOANGA SIBUGAY Capitol Building, Ipil Heights, Ipil, Zamboanga Sibugay INVITATION TO BID FOR  Brass Cutter 1.	The Province of Zamboanga Sibugay, through the GF-BY 2020 intends to appl</t>
  </si>
  <si>
    <t xml:space="preserve"> PURCHASE REQUEST			 LGU BUGALLON						 Agency / Procuring Entity						 						 	Department: 		SB		Date:	 						 	Section:				Date:	 						 STOCK 		UNIT	Description	QTY	UNIT COST	AMOUNT NO.						 	1	box	KN 95 Face Mask	15		 	2	gal	Isopropyl Alcohol (Project</t>
  </si>
  <si>
    <t xml:space="preserve"> Organic Disinfectant Solution</t>
  </si>
  <si>
    <t xml:space="preserve"> Detailed Estimate		 For the Clearing of Barangay Road 		 at Barangay Portic, Bugallon, Pangasinan		 		 ABC: 30,000.00		 A. Materials		 		 8	Laborer</t>
  </si>
  <si>
    <t xml:space="preserve"> Section I. Invitation to Bid Republic of the Philippines PROVINCE OF ZAMBOANGA SIBUGAY Capitol Building, Ipil Heights, Ipil, Zamboanga Sibugay INVITATION TO BID FOR  3 Units Aircon, 3 Tons Inverter 1.	The Province of Zamboanga Sibugay, through the General</t>
  </si>
  <si>
    <t xml:space="preserve"> Photo Papers (for IATF Travel Pass and ID's)</t>
  </si>
  <si>
    <t xml:space="preserve"> Section I. Invitation to Bid Republic of the Philippines PROVINCE OF ZAMBOANGA SIBUGAY Capitol Building, Ipil Heights, Ipil, Zamboanga Sibugay INVITATION TO BID FOR  Catering Services for the Conduct of Legislative Sessions Hearings Consultations - Jul. 2</t>
  </si>
  <si>
    <t xml:space="preserve"> 1. The Government Service Insurance System (GSIS), through the GSIS Corporate Operating Budget for CY 2020, intends to apply the sum of Twenty Three Million Five Hundred Thousand Pesos (Php23,500,000.00) being the Approved Budget for the Contract (ABC) to</t>
  </si>
  <si>
    <t xml:space="preserve"> INVITATION TO BID/REQUEST FOR EXPRESSION OF INTEREST The Department of Public Works and Highways (DPWH) Lanao del Norte 1st District Engineering Office, through its Bids and Awards Committee (BAC), is inviting interested consultants/firms with technical e</t>
  </si>
  <si>
    <t xml:space="preserve"> MATERIALS 1 pc 8 channel Hikvision DVR 1080p 5 in 1 (2mp tp 5 mp) 8 pcs Hikvision Bullet/Dome CCTV Camera 1080p 2 roll RG-6Siamens wire 1 pc 20Acentralized power supply 1 pc 6TB Seagate hard drive 8 set VIDEO bALUN 8 PCS SQUARE BOX 1 PC MONITOR 1 PC 1.5 M</t>
  </si>
  <si>
    <t xml:space="preserve"> Invitation to Bid for the Supply and Delivery of  Xerox Machine for the use of Brgy. Sta. Rita Karsada, Batangas City</t>
  </si>
  <si>
    <t xml:space="preserve"> Odor Eliminator Solution</t>
  </si>
  <si>
    <t xml:space="preserve"> Toners (6235 code)</t>
  </si>
  <si>
    <t xml:space="preserve"> 50 vial anti-rabies vaccine</t>
  </si>
  <si>
    <t xml:space="preserve"> Republic of the Philippines Province of Cebu MUNICIPALITY OF BANTAYAN INVITATION TO BID FOR SUPPLY &amp; DELIVERY OF ICT &amp; OFFICE EQUIPMENT, SUPPLIES AND CONSUMABLES 1.	The Municipality of Bantayan, through the GENERAL FUND intends to apply the sum of Nine Hu</t>
  </si>
  <si>
    <t xml:space="preserve"> Various gauge of Medical Oxygen</t>
  </si>
  <si>
    <t xml:space="preserve"> The PHILIPPINE SCIENCE HIGH SCHOOL - MIMAROPA REGION CAMPUS (PSHS-MRC) intends to apply the sum of TWO HUNDRED FOUR THOUSAND PESOS (Php204,000.00) being the Approved Budget for the Contract (ABC) to pay for the contract for the Project:SUPPLY AND DELIVERY</t>
  </si>
  <si>
    <t xml:space="preserve"> Republic of the Philippines Province of Cebu MUNICIPALITY OF BANTAYAN INVITATION TO BID FOR SUPPLY &amp; DELIVERY OF LIMESTONES AND FUELS FOR ROAD OPENING AT BRGY. TAMIAO, BANTAYAN, CEBU 1.	The Municipality of Bantayan, through the GENERAL FUND intends to app</t>
  </si>
  <si>
    <t xml:space="preserve"> 55 pcs PPE 300 pcs hygeine kits 2 pcs 60 watts led bulb 2 pcs 35 watts UV lamp</t>
  </si>
  <si>
    <t xml:space="preserve"> INVITATION TO BID FOR THE CONTRACT ID: 20-06-085 Contract Name: PROCUREMENT OF POLYETHYLENE NET / SCREEN Approved Budget for the Contract (ABC) : Php 1,674,792.00 Cost of Bidding Documents: Php 5,000.00 1. The Department of Health - ZAMBONAGA PENINSULA - </t>
  </si>
  <si>
    <t xml:space="preserve"> INVITATION TO BID FOR THE CONTRACT ID: 20-06-084 Contract Name: SUPPLY, DELIVERY,INSTALLATION, TESTING AND COMMISSIONING OF VARIOUS MEDICAL EQUIPMENT Approved Budget for the Contract (ABC) : Php 10,840,000.00 Cost of Bidding Documents: Php 25,000.00 1. Th</t>
  </si>
  <si>
    <t xml:space="preserve"> Sticker Papers, A4 size / 50's per pack</t>
  </si>
  <si>
    <t xml:space="preserve"> Section I. Invitation to Bid Republic of the Philippines PROVINCE OF ZAMBOANGA SIBUGAY Capitol Building, Ipil Heights, Ipil, Zamboanga Sibugay INVITATION TO BID FOR  Agricultural Supplies 1.	The Province of Zamboanga Sibugay, through the General Fund BY 2</t>
  </si>
  <si>
    <t xml:space="preserve"> Procurement of 1 Unit Double Tank Thermoplastic Paint Preheater for Use in the Painting/Repainting of Thermoplastic Pavement Markings along Various National Roads of DPWH Iloilo 2nd DEO, Balabag, Dumangas, Iloilo</t>
  </si>
  <si>
    <t xml:space="preserve"> 170 ea Water Container (20 ltrs cap) &amp; 2 L/I</t>
  </si>
  <si>
    <t xml:space="preserve"> CONTRACT NO.: BNLSL-LCB-30-2020 LOCATION: Buli SIP, Bato, Leyte SCOPE OF WORK: Construction of Diversion Works, Canal, Farm Level and Drainage System APPROVED BUDGET FOR CONTRACT: Php 28,252,433.41 CONTRACT DURATION: 360 calendar days Bidding will be cond</t>
  </si>
  <si>
    <t xml:space="preserve"> Republic of the Philippines Department of Agriculture BUREAU OF PLANT INDUSTRY 692 San Andres Street Malate, Manila, Philippines E-mail Address: bpibac@yahoo.com Tel. No.: (02) 8526-7859, (02) 8691-0736 | Website: bpi.da.gov.ph SOLICITATION NO.: ITB PR NO</t>
  </si>
  <si>
    <t xml:space="preserve"> Procurement of On Ground Equipment and Survey Tools for the use of Planning and Design Section, DPWH Iloilo 2nd DEO, Balabag, Dumangas, Iloilo</t>
  </si>
  <si>
    <t xml:space="preserve"> A4 Size Advocacy Stickers "DISIPLINADO AKO" Laminated Water Proof</t>
  </si>
  <si>
    <t xml:space="preserve"> Various IV Fluids</t>
  </si>
  <si>
    <t xml:space="preserve"> CONTRACT NO.: BNLSL-LCB-31-2020 LOCATION: Bahay SIP, San Miguel, Leyte SCOPE OF WORK: Construction of Pump Works (Package I) APPROVED BUDGET FOR CONTRACT: Php 16,119,108.75 CONTRACT DURATION: 360 calendar days Bidding will be conducted in accordance with </t>
  </si>
  <si>
    <t xml:space="preserve"> for Crematorium Housing Structure</t>
  </si>
  <si>
    <t xml:space="preserve"> Benzalconium Chloride Solution (disinfectant)</t>
  </si>
  <si>
    <t xml:space="preserve"> for Milagrosa Homes Children Playground</t>
  </si>
  <si>
    <t xml:space="preserve"> 1 ea 35ft x 40ft Canvass Awning &amp; 5 L/I</t>
  </si>
  <si>
    <t xml:space="preserve"> Republic of the Philippines CITY OF PANABO Province of Davao del Norte BIDS AND AWARDS COMMITTEE -o0o- INVITATION TO BID  SUPPLY OF POLO SHIRT 1.	The City of Panabo, through CMO-PMP/OTHER SUPPLIES &amp; MATERIALS EXPENSES-LFP/PMP 2020 intends to apply the sum</t>
  </si>
  <si>
    <t xml:space="preserve"> to be installed to various locations within Carmona</t>
  </si>
  <si>
    <t xml:space="preserve"> CONTRACT NO.: BNLSL-LCB-31A-2020 LOCATION: Bahay SIP, San Miguel, Leyte SCOPE OF WORK: Construction of Canal, Farm Level, Drainage and Road System (Package II) APPROVED BUDGET FOR CONTRACT: Php 4,128,455.38 CONTRACT DURATION: 120 calendar days Bidding wil</t>
  </si>
  <si>
    <t xml:space="preserve"> For complete specification, please see attached rfq at the  associate components link or request....</t>
  </si>
  <si>
    <t xml:space="preserve"> Social Case Study Forms Barangay Certification Forms Certificate of Eligibility Forms Animal bite Treatment Center Screening Sheets</t>
  </si>
  <si>
    <t xml:space="preserve"> INVITATION TO BID 1.	The Tondo Medical Center (TMC), through the General Appropriations Act/HFEP intends to apply the sum of Fifteen Million Philippine Pesos (PhP 15,000,000.00) being the Approved Budget for the Contract (ABC) to payments under the contra</t>
  </si>
  <si>
    <t xml:space="preserve"> Real Property Tax Forms Business Tax Form Sheets Subsidiary Ledgers Market Stall Record Forms</t>
  </si>
  <si>
    <t xml:space="preserve"> Anti-Dengue Solution; 2.5ec a.i Delthamitrin 25% Dillution Chemical</t>
  </si>
  <si>
    <t xml:space="preserve"> Republic of the Philippines CITY OF PANABO Province of Davao del Norte BIDS AND AWARDS COMMITTEE -o0o- INVITATION TO BID  SUPPLY OF AIRCONDITIONER, 5TONNER 1.	The City of Panabo, through CPDO-1 UNIT AIRCONDITIONER (FLOOR MOUNTED) CAPITAL OUTLAY/CONT. 2019</t>
  </si>
  <si>
    <t xml:space="preserve"> REPUBLIC OF THE PHILIPPINES Province of CEBU MUNICIPALITY OF PINAMUNGAJAN                                    INVITATION TO BID FOR : 	                              IMPROVEMENT OF MUNICIPAL PLAZA 			(Supply of Painting Materials &amp; Supplies)     		 			     </t>
  </si>
  <si>
    <t xml:space="preserve"> Republic of the Philippines Department of Education Region VI – Western Visayas DIVISION OF AKLAN Numancia, Aklan 	 REQUEST FOR QUOTATION (RFQ) Project No: DepED-RO6-D1-COVIDSUPPLIES-046-2020 The Department of Education Division of Aklan, through its Bids</t>
  </si>
  <si>
    <t xml:space="preserve"> Republic of the Philippines Department of Education Region VI – Western Visayas DIVISION OF AKLAN Numancia, Aklan 	 REQUEST FOR QUOTATION (RFQ) Project No: DepED-RO6-D1-BRIGAD ESKWELA2020-045-2020 The Department of Education Division of Aklan, through its</t>
  </si>
  <si>
    <t xml:space="preserve"> REPUBLIC OF THE PHILIPPINES PROVINCE OF CEBU MUNICIPALITY OF PINAMUNGAJAN Invitation to Bid for:    SLOPE PROTECTION  (Purok Caimito, Brgy. Camugao) 1.  The MUNICIPALITY OF PINAMUNGAJAN, through the GENERAL FUND  intends to apply the sum of FOUR  HUNDRED </t>
  </si>
  <si>
    <t xml:space="preserve"> GI Pipe 4" sch. 40- 4pcs.  GI Pipe 2" sch. 40 - 8pcs GI Pipe 1 1/2" sch. 40- 4 pcs. GI Pipe 1" sch. 40- 2pcs.  Steel Plate 1/2" x 6" x 6" -2pcs Steel Plate 1/4" x 5" x5" - 8pcs.  Roller Wheel (HD)- 8pcs Machine Bolt 7/8" x 2" - 32 pcs.  Grinding Disc- 10 </t>
  </si>
  <si>
    <t xml:space="preserve"> Republic of the Philippines CITY OF PANABO Province of Davao del Norte BIDS AND AWARDS COMMITTEE -o0o- INVITATION TO BID  SUPPLY OF CONSOLIDATED OFFICE SUPPLIES FOR 2ND QUARTER CY 2020 (REBID) 1.	The City of Panabo, through VARIOUS OFFICES 2ND QUARTER MOO</t>
  </si>
  <si>
    <t xml:space="preserve"> REPUBLIC OF THE PHILIPPINES PROVINCE OF CEBU MUNICIPALITY OF PINAMUNGAJAN Invitation to Bid for:   PROVISION OF STREET LIGHTINGS (at Brgy. Pandacan) 1.The MUNICIPALITY OF PINAMUNGAJAN, through the GENERAL FUND  intends to apply the sum of THREE  HUNDRED T</t>
  </si>
  <si>
    <t xml:space="preserve"> INVITATION TO BID FOR Procurement of Infra [Road Concreting of F. Dagohoy Circumferential Road (J.A. Clarin St. – C. Darunday St.)] The City Government of Tagbilaran, through the Continuing Appropriation, intends to apply the sum of Twenty Four Million Fo</t>
  </si>
  <si>
    <t xml:space="preserve"> Various Dangerous Drugs</t>
  </si>
  <si>
    <t xml:space="preserve"> MUSIK LABAN</t>
  </si>
  <si>
    <t xml:space="preserve"> REQUEST FOR QUOTATION (RFQ) (Alternative Method – Shopping 52.1b) The Department of Education - Division of City Schools - City of San Jose del Monte, Bulacan (DepED - CSJDM), through its Bids and Awards Committee, intends to apply the sum of Php. 58,000.</t>
  </si>
  <si>
    <t xml:space="preserve"> REQUEST FOR QUOTATION Date: ____________ Name of Dealer: ____________ Address: ____________ GENTLEMEN: Please quote your lowest price and indicate shortest delivery date of articles herein below enumerated and return the same in SEALED ENVELOPE together w</t>
  </si>
  <si>
    <t xml:space="preserve"> HELP:HONING AND EDUCATING LEADERS OF POBLACION</t>
  </si>
  <si>
    <t xml:space="preserve"> Republic of the Philippines MUNICIPALITY OF PAGBILAO Province of Quezon REQUEST FOR QUOTATION The Municipality of Pagbilao, through its Bids and Awards Committee (BAC), will undertake alternative method of Procurement (Shopping 52.1b) for Supply and Deliv</t>
  </si>
  <si>
    <t xml:space="preserve"> SAMPIRO LIVELIHOOD FESTIVAL</t>
  </si>
  <si>
    <t xml:space="preserve"> GIVING IN FAMILY TOGETHER (GIFT)</t>
  </si>
  <si>
    <t xml:space="preserve"> INVITATION TO BID 1.	The Tondo Medical Center (TMC), through the General Appropriations Act/HFEP intends to apply the sum of Three Million Philippine Pesos (PhP 3,000,000.00) being the Approved Budget for the Contract (ABC) to payments under the contract </t>
  </si>
  <si>
    <t xml:space="preserve"> ENVIRONMENTAL AWARENESS AND EDUCATION REPUBLIC ACT 9512 OF 2008</t>
  </si>
  <si>
    <t xml:space="preserve"> Section I. Invitation to Bid Republic of the Philippines Province of Romblon  Invitation to Bid for the  Concrete Paving of Provincial Road to Public Cemetery (Additional Fund), Looc, Romblon June 15, 2020  1.	The Province of Romblon through the SP Res. N</t>
  </si>
  <si>
    <t xml:space="preserve"> Various Medical and Laboratory Supplies</t>
  </si>
  <si>
    <t xml:space="preserve"> EDUCATION SUMMIT</t>
  </si>
  <si>
    <t xml:space="preserve"> RFQ No. 2020-06-007 The Obando Water District (OWD), through its Bids and Awards Committee (BAC), invites reputable supplier to submit their quotation Shopping of 40 units of Monobloc Chair with an Approved Budget for the Contract (ABC) of Sixteen Thousan</t>
  </si>
  <si>
    <t xml:space="preserve"> General Cleaning of 22 Air-Conditioning units of SSS Bacoor Branch for the 3rd and 4th quarter of 2020 List of Requirements: 1. BIR 2303 2. Philgeps Registration Number/Certificate 3. Business/Mayor's Permit 4. Omnibus Sworn Statement 5. Accomplished RFQ/</t>
  </si>
  <si>
    <t xml:space="preserve"> FEELING PASKO SA POBLACION</t>
  </si>
  <si>
    <t xml:space="preserve"> 1 Lot CONSTRUCTION SUPPLIES AND MATERIALS</t>
  </si>
  <si>
    <t xml:space="preserve"> REQUEST FOR QUOTATION (RFQ) (Alternative Method – Shopping 52.1b) The Department of Education - Division of City Schools - City of San Jose del Monte, Bulacan (DepED - CSJDM), through its Bids and Awards Committee, intends to apply the sum of Php. 53,000.</t>
  </si>
  <si>
    <t xml:space="preserve"> CAREER DAY FOR POBLACION KIDS</t>
  </si>
  <si>
    <t xml:space="preserve"> Section I. Invitation to Bid Republic of the Philippines Province of Romblon  Invitation to Bid for the  Construction of Perimeter Fence (Phase I) for the Bureau of Jail Management and Penology (BJMP) Facility at Barangay Lonos (Sitio Wireless) Romblon, R</t>
  </si>
  <si>
    <t xml:space="preserve"> To print tarpaulin for school announcements</t>
  </si>
  <si>
    <t xml:space="preserve"> Procurement of Material for the Rehabilitation and Installation of Streetlights</t>
  </si>
  <si>
    <t xml:space="preserve"> Section I. Invitation to Bid Republic of the Philippines Province of Romblon  Invitation to Bid for the  Completion of Cajidiocan Sports Complex Concrete Bleacher Cajidiocan, Romblon June 15, 2020 1.	The Province of Romblon through the CY 2019 ADP REF. CO</t>
  </si>
  <si>
    <t xml:space="preserve"> Section I. Invitation to Bid Republic of the Philippines Province of Romblon  Invitation to Bid for the  Concrete Paving of Farm to Market Road, Gutivan, Cajidiocan, Romblon June 15, 2020  1.	The Province of Romblon through the ADP CY 2020 AIP Ref. Code 8</t>
  </si>
  <si>
    <t xml:space="preserve"> Section I. Invitation to Bid Republic of the Philippines Province of Romblon  Invitation to Bid for the  Repair of Sitio Tinap-an Bridge Brgy. Lanas, San Jose, Romblon June 15, 2020  1.	The Province of Romblon through the CY 2019 ADP Ref. Code 8000-1-01-0</t>
  </si>
  <si>
    <t xml:space="preserve"> Republic of the Philippines MUNICIPALITY OF CABUGAO Ilocos Sur Invitation to Bid for the Construction of Multi-Purpose Drying Pavement (MPDP) @ Brgy. Quezon, Cabugao, Ilocos Sur 1. The Local Government Unit of Cabugao, Ilocos Sur, through the R.A. 7171 th</t>
  </si>
  <si>
    <t xml:space="preserve"> Section I. Invitation to Bid Republic of the Philippines Province of Romblon  Invitation to Bid for the  Concrete Paving of Farm to Market Road, Cambalo, Cajidiocan, Romblon June 15, 2020  1.	The Province of Romblon through the ADP CY 2020 AIP Ref. Code 8</t>
  </si>
  <si>
    <t xml:space="preserve"> Section I. Invitation to Bid Republic of the Philippines Province of Romblon  Invitation to Bid for the  Construction of Maternity Half-Way House, San Jose District Hospital, Poblacion, San Jose, Romblon June 15, 2020 1.	The Province of Romblon through th</t>
  </si>
  <si>
    <t xml:space="preserve"> Section I. Invitation to Bid Republic of the Philippines Province of Romblon  Invitation to Bid for the  Repair of Sitio Sinongtan Bridge Brgy. Lanas, San Jose, Romblon June 15, 2020  1.	The Province of Romblon through the CY 2019 ADP Ref. Code 8000-1-01-</t>
  </si>
  <si>
    <t xml:space="preserve"> Section I. Invitation to Bid Republic of the Philippines Province of Romblon  Invitation to Bid for the  Concrete Paving of Poblacion-Jao-asan Provincial Road, Magdiwang, Romblon June 15, 2020  1.	The Province of Romblon through the ADP CY 2020 AIP Ref. C</t>
  </si>
  <si>
    <t xml:space="preserve"> Section I. Invitation to Bid Republic of the Philippines Province of Romblon  Invitation to Bid for the  Completion of Food Court    Poblacion, Cajidiocan, Romblon June 15, 2020  1.	The Province of Romblon through the ADP CY 2020 AIP Ref. Code 8000-1-01-0</t>
  </si>
  <si>
    <t xml:space="preserve"> DALOY NG KASAYSAYN POBLACION RIVER CRUISE</t>
  </si>
  <si>
    <t xml:space="preserve"> Purchase of Construction Supplies</t>
  </si>
  <si>
    <t xml:space="preserve"> 2 unit   2 HP  window type  AC</t>
  </si>
  <si>
    <t xml:space="preserve"> Republic of the Philippines MUNICIPALITY OF CABUGAO Ilocos Sur Invitation to Bid for the Construction of Multi-Purpose Drying Pavement (MPDP) @ Brgy. Bato, Cabugao, Ilocos Sur 1. The Local Government Unit of Cabugao, Ilocos Sur, through the R.A. 7171 thru</t>
  </si>
  <si>
    <t xml:space="preserve"> Provision of 160 pax Meals, Snacks and Accommodation for the conduct of Business Plan Preparation and Business Management Training in Region 1 		Meals, Snacks and Accommodation for 3 days		 		Batch 1 (Ilocos Norte); Php144,000.00		 				 		Menu:		 40	pax	D</t>
  </si>
  <si>
    <t xml:space="preserve"> The Municipality of Bindoy, through the Municipal Unutilized &amp; Realigned 20% DF – Revised) intends to apply the sum of Two Million Six Hundred Eighty Eight Thousand Two Hundred Forty Pesos (P 2,688,240.00) being the Approved Budget for the Contract (ABC) </t>
  </si>
  <si>
    <t xml:space="preserve"> REPAIR &amp; IMPROVEMENT OF ADMIN BUILDING</t>
  </si>
  <si>
    <t xml:space="preserve"> 5 ea RF-5800M HH Battery Pack &amp; 9 L/I</t>
  </si>
  <si>
    <t xml:space="preserve"> INVITATION TO APPLY FOR ELIGIBILITY AND TO BID THE BIDS AND AWARD COMMITTEE OF THE MUNICIPALITY OF CAIBIRAN, BILIRAN IS INVITING ALL INTERESTED BIDDERS ON ITS FORTH COMING PUBLIC BIDDING FOR:   Project Title	: Drainage Construction along General Luna St. </t>
  </si>
  <si>
    <t xml:space="preserve"> Purchase of Garden Tools and DRRM Materials</t>
  </si>
  <si>
    <t xml:space="preserve"> Republic of the Philippines MUNICIPALITY OF CABUGAO Ilocos Sur Invitation to Bid for the Construction of Multi-Purpose Building @ Brgy. Carusipan (Proper), Cabugao, Ilocos Sur 1. The Local Government Unit of Cabugao, Ilocos Sur, through the R.A. 7171 thru</t>
  </si>
  <si>
    <t xml:space="preserve"> Purchase of School Supplies</t>
  </si>
  <si>
    <t xml:space="preserve"> Invitation to Apply for Eligibility and to Bid Republic of the Philippines Municipality of  Roseller T. Lim Construction of Concrete Pavement at Public Market Area 									June  10, 2020 1.	The Municipality of Roseller T. Lim, through its 20% Economic De</t>
  </si>
  <si>
    <t xml:space="preserve"> Republic of the Philippines MUNICIPALITY OF CABUGAO Ilocos Sur Invitation to Bid for the Improvement of Water System @ Cabugao, Ilocos Sur 1. The Local Government Unit of Cabugao, Ilocos Sur, through the R.A. 7171 thru Appropriation Ordinance No. 2019-04 </t>
  </si>
  <si>
    <t xml:space="preserve"> Republic of the Philippines MUNICIPALITY OF CABUGAO Ilocos Sur Invitation to Bid for the Construction of Slope Protection @ Brgy. Quezon, Cabugao, Ilocos Sur 1. The Local Government Unit of Cabugao, Ilocos Sur, through the R.A. 7171 thru Appropriation Ord</t>
  </si>
  <si>
    <t xml:space="preserve"> Republic of the Philippines										 BIDS AND AWARDS COMMITTEE										 Baguio City										 (074) 300-6537/ (074)442-8795										 BID FORM										 CP No. 2020-38 Bidding										June 11, 2020 Circular Proposal No.										Date Prepared The City </t>
  </si>
  <si>
    <t xml:space="preserve"> Republic of the Philippines MUNICIPALITY OF CABUGAO Ilocos Sur Invitation to Bid for the Concreting of Farm to Market Road @ Brgy. Pug-os (Balay-oac), Cabugao, Ilocos Sur 1. The Local Government Unit of Cabugao, Ilocos Sur, through the R.A. 7171 thru Appr</t>
  </si>
  <si>
    <t xml:space="preserve"> Republic of the Philippines										 BIDS AND AWARDS COMMITTEE										 Baguio City										 (074) 300-6537/ (074)442-8795										 BID FORM										 CP No. 2020-37 Bidding										June 11, 2020 Circular Proposal No.										Date Prepared The City </t>
  </si>
  <si>
    <t xml:space="preserve"> Invitation to Apply for Eligibility and to Bid Republic of the Philippines Municipality of  Roseller T. Lim Concreting of Road at Ecopark – Phase II 									June  10, 2020 1.	The Municipality of Roseller T. Lim, through its 20% Economic Development Funds</t>
  </si>
  <si>
    <t xml:space="preserve"> 6 pcs. Tires/flap/tube/ 8.25x20 westlake</t>
  </si>
  <si>
    <t xml:space="preserve"> Please see attached file..</t>
  </si>
  <si>
    <t xml:space="preserve"> Republic of the Philippines MUNICIPALITY OF CABUGAO Ilocos Sur Invitation to Bid for the Concreting of Farm to Market Road @ Brgy. Pug-os (Inanama Sur), Cabugao, Ilocos Sur 1. The Local Government Unit of Cabugao, Ilocos Sur, through the R.A. 7171 thru Ap</t>
  </si>
  <si>
    <t xml:space="preserve"> Purchase of Janitorial Supplies</t>
  </si>
  <si>
    <t xml:space="preserve"> Republic of the Philippines MUNICIPALITY OF CABUGAO Ilocos Sur Invitation to Bid for the Concreting of Farm to Market Road @ Brgy. Pug-os (Inanama Norte), Cabugao, Ilocos Sur 1. The Local Government Unit of Cabugao, Ilocos Sur, through the R.A. 7171 thru </t>
  </si>
  <si>
    <t xml:space="preserve"> Acquisition of Laptop and Printer</t>
  </si>
  <si>
    <t xml:space="preserve"> Acquisition of Massage Therapy Machine</t>
  </si>
  <si>
    <t xml:space="preserve"> Procurement of Medicine and other Medical Supplies</t>
  </si>
  <si>
    <t xml:space="preserve"> Supplies and Materials for MV Repair and Maintenance</t>
  </si>
  <si>
    <t xml:space="preserve"> ITEM	QTY.	UNIT		ARTICLE AND DESCRIPTION				CEILING 					UNIT PRICE		TOTAL  								PRICE							 				Office: City Planning and Development Office				PR No. 424							 				Charge to: Office Supplies Expenses				OBR No. 100-2002-01339							 				ABC:  Php400</t>
  </si>
  <si>
    <t xml:space="preserve"> Acquisition of Additional CCTV</t>
  </si>
  <si>
    <t xml:space="preserve"> 1 lot JSTOR Archival Collection Subscription Inclusion: 24/7 Access Unlimited simultaneous usage Institutional Access (IP Based)/Remote Access Product training and orientation Marketing collaterals Usage Report On-call support from Solutions specialists F</t>
  </si>
  <si>
    <t xml:space="preserve"> Supply and Delivery of Other Common Office Supplies</t>
  </si>
  <si>
    <t xml:space="preserve"> Invitation to Apply for Eligibility and to Bid Republic of the Philippines Municipality of  Roseller T. Lim Concreting of Rerouting Road From Legislative to In Front of MSWD Office - Phase I 									June  10, 2020 1.	The Municipality of Roseller T. Lim, </t>
  </si>
  <si>
    <t xml:space="preserve"> Invitation to Apply for Eligibility and to Bid Republic of the Philippines Municipality of  Roseller T. Lim Concreting of Access Road to municipal Water Storage Area – Phase I 									June  10, 2020 1.	The Municipality of Roseller T. Lim, through its 20%</t>
  </si>
  <si>
    <t xml:space="preserve"> ITEM	QTY.	UNIT		ARTICLE AND DESCRIPTION				CEILING 					UNIT PRICE		TOTAL  								PRICE							 				Office: Office of the Mayor				PR No. 437							 				Charge to: Other Supplies and Materials Expenses				OBR No. 100-2003-01846							 				ABC:  Php309,745</t>
  </si>
  <si>
    <t xml:space="preserve"> Procurement of Office Supplies and Materials for CY 2020</t>
  </si>
  <si>
    <t xml:space="preserve"> ITEM	QTY.	UNIT		ARTICLE AND DESCRIPTION				CEILING 					UNIT PRICE		TOTAL  								PRICE							 				Office: Office of the Mayor				PR No. 438							 				Charge to: Other Supplies and Materials Expenses				OBR No. 100-2003-01847							 				ABC:  Php463,690</t>
  </si>
  <si>
    <t xml:space="preserve"> Waste Supplies and Materials</t>
  </si>
  <si>
    <t xml:space="preserve"> Procurement of Office Table and Chair</t>
  </si>
  <si>
    <t xml:space="preserve"> Acquisition of Documentation Camera</t>
  </si>
  <si>
    <t xml:space="preserve"> 1.	The Department of Trade and Industry, through the Integrated Natural Resources and Environmental Management Project – Livelihood Enhancement Support 2 (INREMP-LES 2) under Asian Development Bank (ADB) Funding intends to apply the sum of Ninety Thousand</t>
  </si>
  <si>
    <t xml:space="preserve"> Acquisition of Streetlights</t>
  </si>
  <si>
    <t xml:space="preserve"> Peace and Order Supplies and Consumables</t>
  </si>
  <si>
    <t xml:space="preserve"> 1.	The Department of Trade and Industry, through the Integrated Natural Resources and Environmental Management Project – Livelihood Enhancement Support 2 (INREMP-LES 2) under Asian Development Bank (ADB) Funding intends to apply the sum of Four Hundred Th</t>
  </si>
  <si>
    <t xml:space="preserve"> 1.	The Department of Trade and Industry, through the Integrated Natural Resources and Environmental Management Project – Livelihood Enhancement Support 2 (INREMP-LES 2) under Asian Development Bank (ADB) Funding intends to apply the sum of One Hundred Twe</t>
  </si>
  <si>
    <t xml:space="preserve"> 1.	The Department of Trade and Industry, through the Integrated Natural Resources and Environmental Management Project – Livelihood Enhancement Support 2 (INREMP-LES 2 ) under the Asian Development Bank (ADB) Funding intends to apply the sum of Six Hundre</t>
  </si>
  <si>
    <t xml:space="preserve"> 1.	The Department of Trade and Industry, through the Integrated Natural Resources and Environmental Management Project – Livelihood Enhancement Support 2 (INREMP-LES 2) under Asian Development Bank (ADB) Funding intends to apply the sum of Eighty Thousand</t>
  </si>
  <si>
    <t xml:space="preserve"> ITEM	QTY.	UNIT		ARTICLE AND DESCRIPTION				CEILING 					UNIT PRICE		TOTAL  								PRICE							 				Office: Department of Tourism, Culture and Arts of Manila				PR No. 714							 				Charge to: Other Supplies and Materials Expenses				OBR No. 100-2005-045</t>
  </si>
  <si>
    <t xml:space="preserve"> Procurement of Portable Toilet for Barangay South Triangle</t>
  </si>
  <si>
    <t xml:space="preserve"> 1.	The Department of Trade and Industry, through the Integrated Natural Resources and Environmental Management Project – Livelihood Enhancement Support 2 (INREMP-LES 2 ) under the Asian Development Bank (ADB) Funding intends to apply the sum of One Millio</t>
  </si>
  <si>
    <t xml:space="preserve"> Procurement of Drug Testing Kits</t>
  </si>
  <si>
    <t xml:space="preserve"> ITEM	QTY.	UNIT		ARTICLE AND DESCRIPTION				CEILING 					UNIT PRICE		TOTAL  								PRICE							 				Office: Department of Tourism, Culture and Arts of Manila				PR No. 713							 				Charge to: Other Supplies and Materials Expenses				OBR No. 100-2005-045</t>
  </si>
  <si>
    <t xml:space="preserve"> Embankment of Earth Dike at Sitio Liki Section</t>
  </si>
  <si>
    <t xml:space="preserve"> Section I. Invitation to Bid Republic of the Philippines Province of Romblon  Invitation to Bid for the  Repair/Rehabilitation of Main Building and Completion of Wards at Tablas Island District Hospital (TIDH) San Agustin, Romblon June 15, 2020 1.	The Pro</t>
  </si>
  <si>
    <t xml:space="preserve"> 1.	The Department of Trade and Industry, through the Integrated Natural Resources and Environmental Management Project – Livelihood Enhancement Support 2 (INREMP-LES 2 ) under the Asian Development Bank (ADB) Funding intends to apply the sum of Three Hund</t>
  </si>
  <si>
    <t xml:space="preserve"> Perfume Making Program</t>
  </si>
  <si>
    <t xml:space="preserve"> 1.	The Department of Trade and Industry, through the Integrated Natural Resources and Environmental Management Project – Livelihood Enhancement Support 2 (INREMP-LES 2) under Asian Development Bank (ADB) Funding intends to apply the sum of Seven Hundred N</t>
  </si>
  <si>
    <t xml:space="preserve"> Republic of the Philippines PROVINCE OF ZAMBALES IBA BIDS AND AWARD COMMITTEE Invitation to Bid for the Asphalt overlay of road in front of the Provincial Capitol including part of Iba-Sta. Barbara Road 1.	The Province of Zambales, through the 20% Economi</t>
  </si>
  <si>
    <t xml:space="preserve"> 1.	The Department of Trade and Industry, through the Integrated Natural Resources and Environmental Management Project – Livelihood Enhancement Support 2 (INREMP-LES 2) under Asian Development Bank (ADB) Funding intends to apply the sum of Three Hundred N</t>
  </si>
  <si>
    <t xml:space="preserve"> 1 UNIT WINDOW TYPE AIRCON 1.5 HP 1 UNIT FLOOR STANDING INVERTER AIRCON 3.5 HP</t>
  </si>
  <si>
    <t xml:space="preserve"> 1.	The Department of Trade and Industry, through the Integrated Natural Resources and Environmental Management Project – Livelihood Enhancement Support 2 (INREMP-LES 2) under Asian Development Bank (ADB) Funding intends to apply the sum of Two Hundred Eig</t>
  </si>
  <si>
    <t xml:space="preserve"> GI Pipe 2" schedule 40, 12pcs Epoxy Primer, 1gal Gloss Enamel, 1gal Roller brush, 2pcs Paint Thinner, 1gal Six Pack Care Exercise, 2pcs Sky Linker AB Glider Generator, 2pcs M7 Electric Treadmill, 1pc Indoor Upright Stationary wire, 2pcs COD 3in 1 Exercise</t>
  </si>
  <si>
    <t xml:space="preserve"> ITEM	QTY.	UNIT		ARTICLE AND DESCRIPTION				CEILING 					UNIT PRICE		TOTAL  								PRICE							 															 				Office: Department of Tourism, Culture and Arts of Manila				PR No. 716							 				Charge to: Office Supplies Expenses				OBR No. 100-2005-</t>
  </si>
  <si>
    <t xml:space="preserve"> Republic of the Philippines COMMISSION ON AUDIT Quezon City	REQUEST FOR QUOTATION Procurement And Property &amp; Supply Management Services, General Services Office	 Date Prepared: June 12, 2020 Supplier     :______________________ Address      :_____________</t>
  </si>
  <si>
    <t xml:space="preserve"> Water Pump 2Hp Gould Pump, 1box PE hose 1" 100m, 2roll PE 3/4 100m, 2roll PE hose 1/2 100m, 2roll PE coupling 1", 20pcs PE coupling 3/4, 20pcs PE coupling 1/2, 20pcs Reducer 3/4 1/2, 10pcs Reducer 1x1/2 10, 10pcs Coupling Reducer 1 x 3/4,  10pcs T 1x3/4 ,</t>
  </si>
  <si>
    <t xml:space="preserve"> 1	pc.	Epson Printer , L3110 1	pc.	External CD reader 1	pc.	Numeric keypad</t>
  </si>
  <si>
    <t xml:space="preserve"> See attach rfq</t>
  </si>
  <si>
    <t xml:space="preserve"> computer consumables</t>
  </si>
  <si>
    <t xml:space="preserve"> Nissan 10W DT/SHG-280 10.00 x 20 Rib Type Tire 10.00 x 20 Interior Tube 10.00 x 20 Lug Type Tire Labor Cost: Isuzu Firework / SGR-968 &amp; Man Rosenbauer FT Eng. 2D MF Battery Labor Cost: JCB Backhoe Loader Hydraulic Assy Menzi Muck Excavator Hydraulic Oil 6</t>
  </si>
  <si>
    <t xml:space="preserve"> 25 SETS OF DISINFECT SAFETY MAT 20 SETS OF ALCOHOL DISPENSING WITH PEDAL</t>
  </si>
  <si>
    <t xml:space="preserve"> Section I. Invitation to Re-Bid Republic of the Philippines Province of Romblon  Invitation to Bid for the  Riprapping of Provincial Road Poblacion, Sta. Fe, Romblon June 15, 2020  1.	The Province of Romblon through the SP Res. No. 09-2019-60 dated Septem</t>
  </si>
  <si>
    <t xml:space="preserve"> Garnite Tiles 60x60, 150pcs Sliding Window, 8sets Flatwall Nalcrete Paint White, 4Balde Gloss Nalcrete Paint White, 4Balde Panel Door, 3pcs Adhesive Cement, 20bags Cement, 20bags</t>
  </si>
  <si>
    <t xml:space="preserve"> Stone masonry of newly concreted barangay road.</t>
  </si>
  <si>
    <t xml:space="preserve"> Various Gardening Supplies  10 UNI Pruning Shears, 7, Japan Made  200 PC Bag plastic, black (FOR PLANT PROPAGATION 5" X 8")  50 PAK Compost Soil  31 PC Shovel  100 PC Water Sprinkler (rotary)  20 PC Rake for Gardening  2 UNI Wheel Barrow  -In accordance w</t>
  </si>
  <si>
    <t xml:space="preserve"> Republic of the Philippines Province of Northern Samar MUNICIPALITY OF BOBON -oo0oo- BIDS AND AWARDS COMMITTEE INVITATION TO APPLY FOR ELIGIBILITY AND TO BID The Municipal Government of Bobon, Northern Samar through its Bids and Awards Committee (BAC) inv</t>
  </si>
  <si>
    <t xml:space="preserve"> Nissan 10W DT/SHG-276 10.00 x 20 Rib Type Tire 10.00 x 20 Interior Tube 10.00 x 20 Lug Type Tire Labor Cost: 6W Isuzu DT/DT #12 3SM Battery Motor Oil Fuel Filter Oil Filter Air Filter Starter Switch Labor Cost:</t>
  </si>
  <si>
    <t xml:space="preserve"> 29 cu.m Boulders 14 sets 1m x 1m x 2m Gabions incl. Tie wires</t>
  </si>
  <si>
    <t xml:space="preserve"> Nissan 10W/SFY-352 10.00 x 20 Rib Type Tire 10.00 x 20 Interior Tube 10.00 x 20 Lug Type Tire Clutch Booster Assy Brake Fluids Labor Cost: Isuzu Manlift Room Truck/CS-0301 IC Regulator Bearing Fan Belt Oil Seal Check &amp; Repair Back Engine &amp; Main Engine Alt</t>
  </si>
  <si>
    <t xml:space="preserve"> 10W Nissan DT/SHG-279 10.00 x 20 Rib Eye Tire 10.00 x 20 Interior Tube 10.00 x 20 Lug Type Tire Labor Cost: 6W Nissan DT/SFY-351 8.25 x 20 Rib Eye Tire 8.25 x 20 Interior Tube 8.20 x 20 Lug Type Tire Labor Cost:</t>
  </si>
  <si>
    <t xml:space="preserve"> Nissan 10W DT/SFY-353 10.00 x 20 Lug Type Tire 10.00 x 20 Interior Tube Labor Cost: HBM Motor Grader/ BG 110T - 5 # 2 Motor Oil (Main &amp; Back) Labor Cost: Nissan DT/SFY-351 Side Mirror</t>
  </si>
  <si>
    <t xml:space="preserve"> Concreting of Barangay Road Station 2</t>
  </si>
  <si>
    <t xml:space="preserve"> Description Republic of the Philippines  City of Danao BIDS AND AWARDS COMMITTEE INVITATION TO APPLY FOR ELIGIBILITY AND TO BID INFRASTRUCTURE PROJECTS IN THE CITY OF DANAO Construction of Evacuation Center at Barangay Sabang, Danao City The City Governme</t>
  </si>
  <si>
    <t xml:space="preserve"> Isuzu Crosswind/SKP-997 (DepEd) Motor Oil Oil Filter Clutch Cover Clutch Disc Release Bearing Upper Balljoint Lower Balljoint Shock Absorber PMS, Change Oil Check/Repair Alternator Repair Underchassis Clean Brakes Isuzu Crosswind/SKP-969  Motor Oil Oil Fi</t>
  </si>
  <si>
    <t xml:space="preserve"> NOTICE TO BIDDERS 	The Department of Public Works and Highways (DPWH), Dinagat Islands District Engineering Office, will procure through SHOPPING METHOD from accredited &amp; eligible suppliers /manufacturers/ distributors/contractors the procurement for the </t>
  </si>
  <si>
    <t xml:space="preserve"> Republic of the Philippines Danao City BIDS AND AWARDS COMMITTEE 	 REQUEST FOR QUOTATION The Local Government of Danao City, through the City Mayors Office intends to apply the sum of Php114,000.00 being the Approved Budget for the Contract (ABC) to payme</t>
  </si>
  <si>
    <t xml:space="preserve"> 1.	The Department of Trade and Industry, through the Integrated Natural Resources and Environmental Management Project – Livelihood Enhancement Support 2 (INREMP-LES 2) under Asian Development Bank (ADB) Funding intends to apply the sum of Six Hundred Twe</t>
  </si>
  <si>
    <t xml:space="preserve"> 1.	The Department of Trade and Industry, through the Integrated Natural Resources and Environmental Management Project – Livelihood Enhancement Support 2 (INREMP-LES 2) under Asian Development Bank (ADB) Funding intends to apply the sum of Six Hundred Sev</t>
  </si>
  <si>
    <t xml:space="preserve"> 75 pieces 15 watts LED Bulb 45 pieces Receptacle Rubber 10 rolls Electrical Tape (big) 2 rolls  # 6 Duplex wire 6 box THHN H12 2 unit megaphone</t>
  </si>
  <si>
    <t xml:space="preserve"> THERMOGUN ALCOHOL</t>
  </si>
  <si>
    <t xml:space="preserve"> Republic of the Philippines Bangsamoro Autonomous Region in Muslim Mindanao Provincial Government of Maguindanao BIDS AND AWARDS COMMITTEE INVITATION TO BID FOR CONSTRUCTION OF PIGKALAGAN – MATENGEN ROAD 1. The Provincial Government of Maguindanao, throug</t>
  </si>
  <si>
    <t xml:space="preserve"> Office Supplies &amp; Consumables</t>
  </si>
  <si>
    <t xml:space="preserve"> Republic of the Philippines					 Province of Pangasinan 					 Municipality of Bolinao					 					 REQUEST FOR QUOTATION (RFQ)					 					 Company Name:  				Date:	15-Jun-20 					 Address:					 					       Please quote your lowest price on the item/s listed </t>
  </si>
  <si>
    <t xml:space="preserve"> 1.	The Department of Trade and Industry, through the Integrated Natural Resources and Environmental Management Project – Livelihood Enhancement Support 2 (INREMP-LES 2) under Asian Development Bank (ADB) Funding intends to apply the sum of Seven Hundred S</t>
  </si>
  <si>
    <t xml:space="preserve"> 1.	The Department of Trade and Industry, through the Integrated Natural Resources and Environmental Management Project – Livelihood Enhancement Support 2 (INREMP-LES 2 ) under the Asian Development Bank (ADB) Funding intends to apply the sum of Ninety Tho</t>
  </si>
  <si>
    <t xml:space="preserve"> 1.	The Department of Trade and Industry, through the Integrated Natural Resources and Environmental Management Project – Livelihood Enhancement Support 2 (INREMP-LES 2) under Asian Development Bank (ADB) Funding intends to apply the sum of One Million Thr</t>
  </si>
  <si>
    <t xml:space="preserve"> 1.	The Department of Trade and Industry, through the Integrated Natural Resources and Environmental Management Project – Livelihood Enhancement Support 2 (INREMP-LES 2 ) under the Asian Development Bank (ADB) Funding intends to apply the sum of One Hundre</t>
  </si>
  <si>
    <t xml:space="preserve"> 1.	The Department of Trade and Industry, through the Integrated Natural Resources and Environmental Management Project – Livelihood Enhancement Support 2 (INREMP-LES 2) under Asian Development Bank (ADB) Funding intends to apply the sum of Six Hundred Eig</t>
  </si>
  <si>
    <t xml:space="preserve"> 20 boxes Vicryl 1, Taper 12's  20 boxes Vicryl 2/0 Rapide, 12's  10 boxes 2/0 Cutting, 12's</t>
  </si>
  <si>
    <t xml:space="preserve"> TILING, WINDOWS, PAINTING, PLUMBING</t>
  </si>
  <si>
    <t xml:space="preserve"> Section I. Invitation to Re-Bid Republic of the Philippines Province of Romblon  Invitation to Bid for the  Slope/Shore Protection of Barangay Pandan, Sta. Fe, Romblon June 15, 2020  1.	The Province of Romblon through the PDRRMP CY 2020 Ref. Code 3000-1-0</t>
  </si>
  <si>
    <t xml:space="preserve"> -Paper, printer, inks and others for learner's worksheets -Disinfectant and protective materials to avoid the spread of virus</t>
  </si>
  <si>
    <t xml:space="preserve"> 400 pieces Cartolina (White) and others</t>
  </si>
  <si>
    <t xml:space="preserve"> Supply and Delivery of Generator</t>
  </si>
  <si>
    <t xml:space="preserve"> Section I. Invitation to Re-Bid Republic of the Philippines Province of Romblon  Invitation to Bid for the  Slope Protection at Sitio Bagulayag, Tubigon, Ferrol, Romblon June 15, 2020  1.	The Province of Romblon through the ADP CY 2020 AIP Ref. Code 8000-</t>
  </si>
  <si>
    <t xml:space="preserve"> Republic of the Philippines Bangsamoro Autonomous Region in Muslim Mindanao Provincial Government of Maguindanao BIDS AND AWARDS COMMITTEE INVITATION TO BID FOR CONCRETING OF REBUKEN ROAD – TESDA ROAD 1. The Provincial Government of Maguindanao, through t</t>
  </si>
  <si>
    <t xml:space="preserve"> - Paper, printer, and other learner supplies for worksheets reproduction - COVID19 prevention materials  - Medicines</t>
  </si>
  <si>
    <t xml:space="preserve"> Section I. Invitation to Re-Bid Republic of the Philippines Province of Romblon  Invitation to Bid for the  Completion of Educ’l Facilities (Completion of Stage) at Tampayan Elementary School Magdiwang, Romblon June 15, 2020  1.	The Province of Romblon th</t>
  </si>
  <si>
    <t xml:space="preserve"> Republic of the Philippines Bangsamoro Autonomous Region in Muslim Mindanao Provincial Government of Maguindanao BIDS AND AWARDS COMMITTEE INVITATION TO BID FOR CONSTRUCTION OF MAGNO – BRGY. RENTI ROAD 1. The Provincial Government of Maguindanao, through </t>
  </si>
  <si>
    <t xml:space="preserve"> Republic of the Philippines Bangsamoro Autonomous Region in Muslim Mindanao Provincial Government of Maguindanao BIDS AND AWARDS COMMITTEE INVITATION TO BID FOR CONSTRUCTION OF TUDOK - PALAO ROAD 1. The Provincial Government of Maguindanao, through the An</t>
  </si>
  <si>
    <t xml:space="preserve"> Cordless phone duo (2 sets)</t>
  </si>
  <si>
    <t xml:space="preserve"> Section I. Invitation to Re-Bid Republic of the Philippines Province of Romblon  Invitation to Bid for the  Site Development for Municipal Housing Project at Brgy. Poblacion San Agustin, Romblon June 15, 2020  1.	The Province of Romblon through the ADP CY</t>
  </si>
  <si>
    <t xml:space="preserve"> Section I. Invitation to Re-Bid Republic of the Philippines Province of Romblon  Invitation to Bid for the  Construction of River Walk/Promenade, Poblacion, Madiwang, Romblon June 15, 2020 1.	The Province of Romblon through the ADP CY 2020 AIP Ref. Code 8</t>
  </si>
  <si>
    <t xml:space="preserve"> The Department of Agriculture-RFO 3, invites interested suppliers to submit quotations/proposals for the hereunder requirement, to wit: 1	Unit	Upright Chiller, 11 cu.ft. Glass Door, Showcase Chiller with 7-level temperature control,double glass door with </t>
  </si>
  <si>
    <t xml:space="preserve"> Republic of the Philippines Bangsamoro Autonomous Region in Muslim Mindanao Provincial Government of Maguindanao BIDS AND AWARDS COMMITTEE INVITATION TO BID FOR OPENING/REHABILITATION OF FARM TO MARKET ROAD 1. The Provincial Government of Maguindanao, thr</t>
  </si>
  <si>
    <t xml:space="preserve"> Republic of the Philippines Province of Palawan Municipal Government of Quezon INVITATION FOR NEGOTIATED PROCUREMENT  PROCUREMENT OF OFFICE SUPPLIES FOR DIFFERENT OFFICES 1.	In view of three (3) failed public biddings, the Municipal Government of Quezon, </t>
  </si>
  <si>
    <t xml:space="preserve"> The Cotabato Irrigation Management Office, through its Bids and Awards Committee (BAC), intends to procure  the Supply and Delivery of Spare Part for Loader/Backhoe Case 480F  in accordance with Section 53.9 (Small Value Procurement) of the 2016 Revised I</t>
  </si>
  <si>
    <t xml:space="preserve"> BIDS AND AWARDS COMMITTEE – INFORMATION TECHNOLOGY INFRASTRUCTURE AND OTHER RELATED COMPONENTS INVITATION TO BID 1.	The Bangko Sentral ng Pilipinas (BSP), through its Bids and Awards Committee – Information Technology, Infrastructure and Other Related Com</t>
  </si>
  <si>
    <t xml:space="preserve"> Republic of the Philippines Bangsamoro Autonomous Region in Muslim Mindanao Provincial Government of Maguindanao BIDS AND AWARDS COMMITTEE INVITATION TO BID FOR CONSTRUCTION OF SENDITAN - SAMBOLAWAN ROAD 1. The Provincial Government of Maguindanao, throug</t>
  </si>
  <si>
    <t xml:space="preserve"> Section I. Invitation to Re-Bid Republic of the Philippines Province of Romblon  Invitation to Bid for the  Repair/Improvement of Brgy. Water System Bachawan, San Agustin, Romblon June 15, 2020  1.	The Province of Romblon through the ADP CY 2020 AIP Ref. </t>
  </si>
  <si>
    <t xml:space="preserve"> Description	Qty	Unit  Black Printer Ink	24	Bottle/s Blue Printer Ink	1	Bottle/s Bond Paper ( Long)	55	Reams Bond Paper (Short)	21	Reams Clear Book Long ( Violet)	1	Piece/s Construction Paper Long ( Asstd)	4	Reams Correction Tape	2	Piece/s Double Sided Tap</t>
  </si>
  <si>
    <t xml:space="preserve"> Invitation to Bid for CONSTRUCTION OF WATER SYSTEM LEVEL III WITH RESERVOIR AND DISTRIBUTION LINE CONNECT TO CENTRAL MAGUINDANAO INTEGRATED WATER SYSTEM 1.	The Municipality of Datu Piang, through the MPW-BARMM CY 2019 Water Supply System Project   intends</t>
  </si>
  <si>
    <t xml:space="preserve"> The Department of Agriculture-RFO 3, invites interested suppliers to submit quotations/proposals for the hereunder requirement, to wit: 20	Bottle	Potato Dextrose Agar , for isolation and enumeration of yeasts and molds from dairy and other food products (</t>
  </si>
  <si>
    <t xml:space="preserve"> 20 units Andorid Tablet, 10.1 Inches, 2GB/16GB			 Minimum Specifications:			 Atleast MediaTek Helio P22T Quad-core processor or Qualcomm			 Atleast PowerVR GE8320 GPU			 Atleast 2GB LPDDR4X RAM or Higher			 10.1-inch IPS LCD display, 1920×1200 resolution,</t>
  </si>
  <si>
    <t xml:space="preserve"> The Department of Agriculture-RFO 3, invites interested suppliers to submit quotations/proposals for the hereunder requirement, to wit:  	 	Hybrid Seeds 205	sachet	Tomato (190 seeds) Matures at 55-60 DAT,TYLCV tolerant with bigger fruits &amp; high yielding 1</t>
  </si>
  <si>
    <t xml:space="preserve"> Please quote your lowest price inclusive of VAT on the item/s listed below, subject to the Terms and Conditions of this RFQ, and submit your quotation duly signed by your representative not later than June 18, 2020 at Bids and Awards Committee of BFAR 8, </t>
  </si>
  <si>
    <t xml:space="preserve"> The Department of Agriculture-RFO 3, invites interested suppliers to submit quotations/proposals for the hereunder requirement, to wit:  	 	Vegetable Seeds 6	Pouch	Okra,OPV, 1kg/pouch 6	Pouch	Petchay, white stem, matures at 30-45 days,tolerant to Diamond </t>
  </si>
  <si>
    <t xml:space="preserve"> Republic of the Philippines Region 10 – Northern Mindanao Province of Lanao del Norte MUNICIPALITY OF BALO-I Email: mlgubaloi.ldn@gmail.com Office of the Bids and Awards Committee Invitation to Bid 1.The Local Government Unit of Balo-i, Lanao del Norte, t</t>
  </si>
  <si>
    <t xml:space="preserve"> Name of the Procuring Entity 					Project Reference No.                              				 					      Name of the Project:  Purchase of Tents and Materials for Repair of MDRRM Tents				 									 				              Location of the Project :Looc,Romblon					</t>
  </si>
  <si>
    <t xml:space="preserve"> Fabrication Works Delivery Works Installation Works Painting Works Clearing Works</t>
  </si>
  <si>
    <t xml:space="preserve"> The Department of Agriculture-RFO 3, invites interested suppliers to submit quotations/proposals for the hereunder requirement, to wit: 1500	Pieces	Seedling Tray (104 holes)  	 	   	 	   	 	Other Requirements  	 	Delivery Site: CLIARC UPLAND, Magalang Pam</t>
  </si>
  <si>
    <t xml:space="preserve"> Items Listed are Supplies and Instructional Materials to be used by Pangantucan National High School for the First Quarter.</t>
  </si>
  <si>
    <t xml:space="preserve"> The Cotabato Irrigation Management Office, through its Bids and Awards Committee (BAC), intends to procure  the Supply and Delivery of Spare Part for UD Nissan Dump Truck  in accordance with Section 53.9 (Small Value Procurement) of the 2016 Revised Imple</t>
  </si>
  <si>
    <t xml:space="preserve"> The Department of Agriculture-RFO 3, invites interested suppliers to submit quotations/proposals for the hereunder requirement, to wit:          180 	Pairs	 Boots, (Rubber Boots/Rain Boots Waterproof), made from rubber or Polyvinyl chloride (PVC)         </t>
  </si>
  <si>
    <t xml:space="preserve"> 1. materials 6	pcs. 	100mmx6.00m. G.I. pipe sched. 40		 10	pcs. 	12mmx6.00m.COTT. BARS		 58	BAGS	GRAND PORTLAND CEMENT		 35	CU.M.	SAND to include delivery		 7.0	CU.M.	# 3/4 GRAVEL to include delievry		 32	pcs. 	2X 1/4	ANGLE BAR (STANDARD)	 25	pcs. 	1X 1/4</t>
  </si>
  <si>
    <t xml:space="preserve"> Motorcycle 150i scooter Specifications: Engine type: 150cc(single cylinder 4 stroke SOHC, Liquid cooled Rear tire 100/80-14M/C46P Wheelbase 1,280mm Displacement 150cc Power 13hp Strat option:electric Bore X stroke:57.3x57.9mm</t>
  </si>
  <si>
    <t xml:space="preserve"> The Department of Agriculture-RFO 3, invites interested suppliers to submit quotations/proposals for the hereunder requirement, to wit:  	 	Installation of Automatic Transfer Switch of Genset for Backup Power System of Regional Crop Protection Center 1	Is</t>
  </si>
  <si>
    <t xml:space="preserve"> Invitation to Bid for CY 2020 QRF Repair &amp; Rehabilitation Program 1. The Department of Education – Division of Samar, through the General Appropriations Act ( GAA ) CY 2020 intends to apply the sum of Twenty Five Million Five Hundred Eighty Seven Thousand</t>
  </si>
  <si>
    <t xml:space="preserve"> Invitation to Bid for CY 2020 QRF Repair &amp; Rehabilitation Program 1.	The Department of Education – Division of Samar, through the General Appropriations Act ( GAA ) CY 2020 intends to apply the sum of Twenty Five Million Five Hundred Eighty Seven Thousand</t>
  </si>
  <si>
    <t xml:space="preserve"> The Department of Agriculture-RFO 3, invites interested suppliers to submit quotations/proposals for the hereunder requirement, to wit:  	 	OPV Seeds	 5	Can	Tomato (50 grams/can) Semi determinate, fruits matures at 55-60 DAS tolerant to heat and cracking	</t>
  </si>
  <si>
    <t xml:space="preserve"> (see Associated Components for details)</t>
  </si>
  <si>
    <t xml:space="preserve"> EDUCATIONAL SUPPLIES AND CONSUMABLES</t>
  </si>
  <si>
    <t xml:space="preserve"> Labor and materials</t>
  </si>
  <si>
    <t xml:space="preserve"> EDUCATIONAL SUPPLIES AND MATERIALS</t>
  </si>
  <si>
    <t xml:space="preserve"> ITEM #	QUANTITY			ITEM &amp; DESCRIPTION					 									 1	20	reams		Bond paper, S-20, 8.5x11"					 2	10	sets		Ink refill for Brother copier					 3	10	sets		Ink refill for Epson printer, T6641, T6642, T6643, T6644					 4	10	boxes		Ball pen, 25's, black					 5	</t>
  </si>
  <si>
    <t xml:space="preserve"> Supply and Delivery of Materials to be used in IT Equipment</t>
  </si>
  <si>
    <t xml:space="preserve"> Labor and Materials</t>
  </si>
  <si>
    <t xml:space="preserve"> see Purchase Request</t>
  </si>
  <si>
    <t xml:space="preserve"> Outdoor Projector White Screen Resolution : XGA Pixel Count: 1024 x 768 Aspect Ratio: 4:3 Lumens (Normal) : 5000 Lumens (Eco): 3800 VGA: 2 Composite: 1 Monitor Out: 1 (shared) HDMI: 2 (1 MHL) Audio in: 1 RCA/2 Mini USB A: 1 USB B: 1 LAN: 1 Wireless: Optio</t>
  </si>
  <si>
    <t xml:space="preserve"> RFQ -SUPPLY INSTALLATION AND ACTIVATION  OF THE  CCTV LINE FOR THE CITY DISASTER RISK REDUCTION MANAGEMENT OFFICE</t>
  </si>
  <si>
    <t xml:space="preserve"> ITEM #	QUANTITY			ITEM &amp; DESCRIPTION					 									 1	5	pcs		Scotch tape, 1", big, good quality					 2	5	pcs		White board marker, black					 3	5	pcs		Marker, permanent, black					 4	5	pcs		Masking tape, 1", big, good quality					 5	70	reams		Bond paper, S</t>
  </si>
  <si>
    <t xml:space="preserve"> ITEM #	QUANTITY			ITEM &amp; DESCRIPTION					 									 1	100	bottles		Ethyl alcohol, 70% solution with moisturizer, 500ml					 2	20	packs		Tissue paper, 3 ply, 12's					 3	40	bottles		Dishwashing liquid, 500ml					 4	20	pcs		Scour pad with sponge, large					</t>
  </si>
  <si>
    <t xml:space="preserve"> ITEM #	QUANTITY			ITEM &amp; DESCRIPTION					 									 1	66	pcs		Fire extinguisher refill and service charge					 				*****END****</t>
  </si>
  <si>
    <t xml:space="preserve"> RFQ-SUPPLY AND DELIVERY OF GENERAL MDSE- EMS DUTY VEST WITH REFLECTORIZED PRINT</t>
  </si>
  <si>
    <t xml:space="preserve"> 1	Unit	Laptop w/ Accessories:  Processor: Intel Core i5-8265U Processor (6M Cache, up to 3.90GHz Memory: 4GB DDR4-2400 DRAM (1x4GB) Storage: 1 TB 5400RPM SATA HDD Operating System: Windows 10 Battery: 3 cell Display: 14” diagonal FHD IPS micro edge WLED b</t>
  </si>
  <si>
    <t xml:space="preserve"> ITEM #	QUANTITY			ITEM &amp; DESCRIPTION					 									 1	40	reams		Bond paper, S-20, short					 2	100	reams		Bond paper, S-20,long					 3	10	boxes		Sign pen, 0.7, black, 12's, good quality					 4	5	boxes		Letter envelope w/o window, white, long, 500's					 5</t>
  </si>
  <si>
    <t xml:space="preserve"> Republic of the Philippines Province of Ilocos Norte MUNICIPALITY OF PINILI REQUEST FOR QUOTATION PIN2020-077 The Municipality of Pinili invites all interested registered suppliers to submit quotations for:   1 LOT  =	SUPPLY OF ONE (1) UNIT HEAVY DUTY COP</t>
  </si>
  <si>
    <t xml:space="preserve"> SUPPLY AND DELIVERY OF SEMI-EXPENDABLE ICT EQUIPMENT</t>
  </si>
  <si>
    <t xml:space="preserve"> 1.	The Department of Education, Schools Division Office of Albay, through the General Appropriations Act of 2019 or Continuing Appropriations intends to apply the sum of Nine Hundred Thirty Eight Thousand, Three Hundred Pesos (Php 938,300.00) being the Ap</t>
  </si>
  <si>
    <t xml:space="preserve"> ITEM #	QUANTITY			ITEM &amp; DESCRIPTION					 									 1	50	bottles		Liniment oil, 12ml					 2	50	bottles		Hydrogen peroxide, 500ml					 3	50	bottles		Povidone iodine 500ml					 4	10	pcs		Oxygen tank regulator					 5	50	pcs		Oxygen cannula adult					 6	50	pc</t>
  </si>
  <si>
    <t xml:space="preserve"> Please see ASSOCIATED COMPONENTS for details</t>
  </si>
  <si>
    <t xml:space="preserve"> Supply &amp; Delivery of other supplies and materials 01D Aux &amp; HES F24-2020 Kindly see attached file. Thank you!</t>
  </si>
  <si>
    <t xml:space="preserve"> for the distributions to the constituents of the Barangay 17 sacks    Rice 10 bags     Plastic bag</t>
  </si>
  <si>
    <t xml:space="preserve"> RFQ - SUPPLY DELIVERY AND INSTALLATION OF INVERTER 2 HP SPLIT TYPE AIRCONDITIONING UNIT FOR THE CITY HEALTH OFFICE</t>
  </si>
  <si>
    <t xml:space="preserve"> REQUEST FOR QUOTATION No. 2020-333                                                                                                                                 	   Request Reference Number: 100-20-06-281         Date: June 15, 2020 Pursuant to R.A. 918</t>
  </si>
  <si>
    <t xml:space="preserve"> REQUEST FOR QUOTATION No. 2020-323                                                                                                                                 	   Request Reference Number: 100-20-05-165         Date: June 15, 2020 Pursuant to R.A. 918</t>
  </si>
  <si>
    <t xml:space="preserve"> SUPPLY AND DELIVERY OF SEMI-EXPENDABLE OFFICE EQUIPMENTS</t>
  </si>
  <si>
    <t xml:space="preserve"> REQUEST FOR QUOTATION No. 2020-338                                                                                                                                 	   Request Reference Number: 100-20-05-243         Date: June 15, 2020 Pursuant to R.A. 918</t>
  </si>
  <si>
    <t xml:space="preserve"> Please see attached RFQ...</t>
  </si>
  <si>
    <t xml:space="preserve"> ITEM #	QUANTITY			ITEM &amp; DESCRIPTION					 									 1	5	units		Megaphone					 2	10	units		Flashlight, night shadow					 3	10	units		Fire extinguisher, dry chemical ABC, 10lbs					 				*****END*****</t>
  </si>
  <si>
    <t xml:space="preserve"> for the distribution to the constituents during Pandemic CORONA VIRUS 17 sacks Rice 10 bags   Plastic bag</t>
  </si>
  <si>
    <t xml:space="preserve"> ITEM #	QUANTITY			ITEM &amp; DESCRIPTION					 									 1	12	gal		Multi-purpose disinfectant					 2	1	pcs		Tornado mop, ZT 11 or its equivalent					 3	6	pcs		Trash bin w/ pedal, black, 22L capacity, slim					 4	12	canister		Air freshener spray 275ml					 5	12</t>
  </si>
  <si>
    <t xml:space="preserve"> ITEM #	QUANTITY			ITEM &amp; DESCRIPTION					 									 				Meals for launching Oplan Ligtas na Pamayanan:					 1	124	pax		Breakfast: Chicken, chopsuey, rice, bottled softdrinks 250ml					 2	48	pax		Merienda: Pancit, sandwich, bottled water					 3	48	pax		Lun</t>
  </si>
  <si>
    <t xml:space="preserve"> ITEM #	QUANTITY			ITEM &amp; DESCRIPTION					 									 1	20	rolls		Garbage bag, medium, 10's					 2	20	rolls		Garbage bag, large, 10's					 3	50	rolls		Garbage bag, 2XL, 10's					 4	50	rolls		Garbage bag, 3XL, 10's					 5	50	canister		Disinfectant spray, 340</t>
  </si>
  <si>
    <t xml:space="preserve"> REQUEST FOR QUOTATION No. 2020-343                                                                                                                                 	   Request Reference Number: 100-20-03-140         Date: June 15, 2020 Pursuant to R.A. 918</t>
  </si>
  <si>
    <t xml:space="preserve"> Provision of Security Services for eleven (11) Security Guards   within DENR-PENRO Quezon for six months starting July-December for CY-2020, distributed as follows:   1. PENR Office         - 3 Security Guards   2. CENRO Tayabas    - 2 Security Guards-   </t>
  </si>
  <si>
    <t xml:space="preserve"> INDUSTRIAL TECHNOLOGY DEVELOPMENT INSTITUTE DOST Cmpd., Bicutan, Taguig City Telephone Nos. (02) 837-20-71 to 82 local 2221 E-mail Add.: itdi.admbac@gmail.com INVITATION TO BID June 14, 2020 Sir/Madam: Please quote your price for the item/items listed bel</t>
  </si>
  <si>
    <t xml:space="preserve"> Republic of the Philippines Department of Education Region VI – Western Visayas DIVISION OF AKLAN Poblacion, Numancia, Aklan INVITATION TO BID Project No.: DepED-RO6-D1-2020QRF(REPAIR)-C2-019-2020 The Department of Education (DepED) Division of Aklan, thr</t>
  </si>
  <si>
    <t xml:space="preserve"> ITEM #	QUANTITY			ITEM &amp; DESCRIPTION					 									 				Food/meals					 									 				Day 1					 1	30	pax		Breakfast: Rice, beef tapa, fruits coffee					 2	30	pax		Snack AM: Spaghetti, toasted bread, bottled water 350ml					 3	30	pax		Lunch: Fried fish, t</t>
  </si>
  <si>
    <t xml:space="preserve"> ITEM #	QUANTITY			ITEM &amp; DESCRIPTION					 									 1	2	units		Power sprayer 3HP with complete accessories					 2	4	rolls		Hose, 100m					 				*****END*****</t>
  </si>
  <si>
    <t xml:space="preserve"> Procurement of various materials with installation of CCTV Fiber Optic</t>
  </si>
  <si>
    <t xml:space="preserve"> Supply and Delivery of 10pcs Water Resistant 2-way Radio with extra 2 pcs battery</t>
  </si>
  <si>
    <t xml:space="preserve"> ITEM #	QUANTITY			ITEM &amp; DESCRIPTION					 									 				Hygiene Supplies/Kit					 1	30	packs		  Shampoo, 8pcs, 15ml sachet					 2	30	packs		  Regular bath soap, 60g, 2pcs					 3	30	packs		  Laundry powder, 30g, 4pcs					 4	30	packs		  Alcohol, small, 1pc	</t>
  </si>
  <si>
    <t xml:space="preserve"> ITEM #	QUANTITY			ITEM &amp; DESCRIPTION					 									 				Printing of:					 1	10	reams		Prescription pad, 1/2 short					 2	5	reams		NTP lab request form, short					 3	20	reams		Prescription pad, 1/4 long					 4	30	reams		Clinical record, long					 5	3	reams</t>
  </si>
  <si>
    <t xml:space="preserve"> ITEM #	QUANTITY			ITEM &amp; DESCRIPTION					 									 1	2	units		Projector					 				Resolution — Native: XGA (1024 x 768)					 				Resolution — Maximum:  WUXGA (1920 x 1200)					 				Display Technology:  DLP					 				Video Standard Compatibility:   NTSC, PA</t>
  </si>
  <si>
    <t xml:space="preserve"> 1	Low Bed Truck Specifications: 1. Engine 1.1 19,688cc, V Type, 355hp 1.2 8 cylinder 1.3 7 Speed Manual Transmission 1.4 12 wheeler 2. Self-Loader Body and Cabin 2.1 Self Loader with sliding body 2.2 Non-skid heavy duty wood flooring with side mounted hoo</t>
  </si>
  <si>
    <t xml:space="preserve"> NATIONAL TRANSMISSION CORPORATION RESOURCE MANAGEMENT SERVICES GROUP TransCo Annex Bldg., Diliman, Quezon City Tel. No. 902-1521/Fax No. 914-6209 SUPPLIER’S TECHNICAL/PRICE QUOTATION FORM (NEGOTIATED PROCUREMENT: SMALL VALUE PROCUREMENT) REFERENCE NO.:  G</t>
  </si>
  <si>
    <t xml:space="preserve"> Republic of the Philippines Department of Education Region VI – Western Visayas DIVISION OF AKLAN Poblacion, Numancia, Aklan INVITATION TO BID Project No.: DepED-RO6-D1-2020QRF(REPAIR)-C4-021-2020 The Department of Education (DepED) Division of Aklan, thr</t>
  </si>
  <si>
    <t xml:space="preserve"> Republic of the Philippines Department of Education Region VI – Western Visayas DIVISION OF AKLAN Poblacion, Numancia, Aklan INVITATION TO BID Project No.: DepED-RO6-D1-2020QRF(REPAIR)-C3-020-2020 The Department of Education (DepED) Division of Aklan, thr</t>
  </si>
  <si>
    <t xml:space="preserve"> Republic of the Philippines PROVINCE OF NUEVA VIZCAYA Municipality of Aritao BIDS AND AWARDS COMMITTEE ITB-BONE SOUTH ES SLOPE PROTECTION-20-06-01 INVITATION TO BID FOR CONSTRUCTION OF SLOPE PROTECTION At Bone South Elementary School (Main), Bone South, A</t>
  </si>
  <si>
    <t xml:space="preserve"> Provision of Janitorial  Services for seven (7)  Utility men/women  within DENR-PENRO Quezon for six months starting July-December for CY-2020, distributed as follows:   1. PENR Office             -  3   2. CENRO Tayabas        -  1   3. CENRO Real       </t>
  </si>
  <si>
    <t xml:space="preserve"> Republic of the Philippines Department of Education Region VI – Western Visayas DIVISION OF AKLAN Poblacion, Numancia, Aklan INVITATION TO BID Project No.: DepED-RO6-D1-2020QRF(REPAIR)-C5-022-2020 The Department of Education (DepED) Division of Aklan, thr</t>
  </si>
  <si>
    <t xml:space="preserve"> Republic of the Philippines Department of Education Region VI – Western Visayas DIVISION OF AKLAN Poblacion, Numancia, Aklan INVITATION TO BID Project No.: DepED-RO6-D1-2020QRF(REPAIR)-C12-029-2020 The Department of Education (DepED) Division of Aklan, th</t>
  </si>
  <si>
    <t xml:space="preserve"> Republic of the Philippines Department of Education Region VI – Western Visayas DIVISION OF AKLAN Poblacion, Numancia, Aklan INVITATION TO BID Project No.: DepED-RO6-D1-2020QRF(REPAIR)-C10-027-2020 The Department of Education (DepED) Division of Aklan, th</t>
  </si>
  <si>
    <t xml:space="preserve"> Republic of the Philippines Department of Education Region VI – Western Visayas DIVISION OF AKLAN Poblacion, Numancia, Aklan INVITATION TO BID Project No.: DepED-RO6-D1-2020QRF(REPAIR)-C11-028-2020 The Department of Education (DepED) Division of Aklan, th</t>
  </si>
  <si>
    <t xml:space="preserve"> PURCHASE OF OFFICES SUPPLIES FOR THE REPRODUCTION OF IM'S IN PREPARATION FOR THE OPENING OF SCHOOL YEAR ON AUGUST 24, 2020, IN WHICH FACE-FACE INSTRUCTION IS WAIVED DUE TO COVID-19 PANDEMIC (BONDPAPER, STAPLER, STAPLE WIRE, INK)</t>
  </si>
  <si>
    <t xml:space="preserve"> SUPPLY AND DELIVERY OF VARIOUS ICT EQUIPMENT</t>
  </si>
  <si>
    <t xml:space="preserve"> Republic of the Philippines Department of Education Region VI – Western Visayas DIVISION OF AKLAN Poblacion, Numancia, Aklan INVITATION TO BID Project No.: DepED-RO6-D1-2020QRF(REPAIR)-C7-024-2020 The Department of Education (DepED) Division of Aklan, thr</t>
  </si>
  <si>
    <t xml:space="preserve"> Republic of the Philippines Department of Education Region VI – Western Visayas DIVISION OF AKLAN Poblacion, Numancia, Aklan INVITATION TO BID Project No.: DepED-RO6-D1-2020QRF(REPAIR)-C6-023-2020 The Department of Education (DepED) Division of Aklan, thr</t>
  </si>
  <si>
    <t xml:space="preserve"> Republic of the Philippines Department of Education Region VI – Western Visayas DIVISION OF AKLAN Poblacion, Numancia, Aklan INVITATION TO BID Project No.: DepED-RO6-D1-2020QRF(REPAIR)-C13-030-2020 The Department of Education (DepED) Division of Aklan, th</t>
  </si>
  <si>
    <t xml:space="preserve"> Republic of the Philippines Department of Education Region VI – Western Visayas DIVISION OF AKLAN Poblacion, Numancia, Aklan INVITATION TO BID Project No.: DepED-RO6-D1-2020QRF(REPAIR)-C8-025-2020 The Department of Education (DepED) Division of Aklan, thr</t>
  </si>
  <si>
    <t xml:space="preserve"> Republic of the Philippines Province of Surigao del Sur Municipality of Lanuza INVITATION TO BID  PROCUREMENT OF HARDWARE MATERIALS FOR CONSTRUCTION OF 83.95 LM. OPEN CANAL ALONG THE NATIONAL HIGHWAY AT ZONE II, LANUZA SURIGAO DEL SUR 1.	The Local Governm</t>
  </si>
  <si>
    <t xml:space="preserve"> Republic of the Philippines Department of Education Region VI – Western Visayas DIVISION OF AKLAN Poblacion, Numancia, Aklan INVITATION TO BID Project No.: DepED-RO6-D1-2020QRF(REPAIR)-C16-033-2020 The Department of Education (DepED) Division of Aklan, th</t>
  </si>
  <si>
    <t xml:space="preserve"> Republic of the Philippines Department of Education Region VI – Western Visayas DIVISION OF AKLAN Poblacion, Numancia, Aklan INVITATION TO BID Project No.: DepED-RO6-D1-2020QRF(REPAIR)-C15-032-2020 The Department of Education (DepED) Division of Aklan, th</t>
  </si>
  <si>
    <t xml:space="preserve"> Other machineries and Equipment/motor vehicle</t>
  </si>
  <si>
    <t xml:space="preserve"> Republic of the Philippines Department of Education Region VI – Western Visayas DIVISION OF AKLAN Poblacion, Numancia, Aklan INVITATION TO BID Project No.: DepED-RO6-D1-2020QRF(REPAIR)-C21-038-2020 The Department of Education (DepED) Division of Aklan, th</t>
  </si>
  <si>
    <t xml:space="preserve"> Republic of the Philippines Department of Education Region VI – Western Visayas DIVISION OF AKLAN Poblacion, Numancia, Aklan INVITATION TO BID Project No.: DepED-RO6-D1-2020QRF(REPAIR)-C20-037-2020 The Department of Education (DepED) Division of Aklan, th</t>
  </si>
  <si>
    <t xml:space="preserve"> Republic of the Philippines Department of Education Region VI – Western Visayas DIVISION OF AKLAN Poblacion, Numancia, Aklan INVITATION TO BID Project No.: DepED-RO6-D1-2020QRF(REPAIR)-C22-039-2020 The Department of Education (DepED) Division of Aklan, th</t>
  </si>
  <si>
    <t xml:space="preserve"> Republic of the Philippines Department of Education Region VI – Western Visayas DIVISION OF AKLAN Poblacion, Numancia, Aklan INVITATION TO BID Project No.: DepED-RO6-D1-2020QRF(REPAIR)-C17-034-2020 The Department of Education (DepED) Division of Aklan, th</t>
  </si>
  <si>
    <t xml:space="preserve"> Republic of the Philippines Department of Education Region VI – Western Visayas DIVISION OF AKLAN Poblacion, Numancia, Aklan INVITATION TO BID Project No.: DepED-RO6-D1-2020QRF(REPAIR)-C14-031-2020 The Department of Education (DepED) Division of Aklan, th</t>
  </si>
  <si>
    <t xml:space="preserve"> Supply and Delivery of Diesel at NIA PRIS, Peñablanca, Cagayan</t>
  </si>
  <si>
    <t xml:space="preserve"> Republic of the Philippines Department of Education Region VI – Western Visayas DIVISION OF AKLAN Poblacion, Numancia, Aklan INVITATION TO BID Project No.: DepED-RO6-D1-2020QRF(REPAIR)-C18-035-2020 The Department of Education (DepED) Division of Aklan, th</t>
  </si>
  <si>
    <t xml:space="preserve"> Republic of the Philippines Department of Education Region VI – Western Visayas DIVISION OF AKLAN Poblacion, Numancia, Aklan INVITATION TO BID Project No.: DepED-RO6-D1-2020QRF(REPAIR)-C9-026-2020 The Department of Education (DepED) Division of Aklan, thr</t>
  </si>
  <si>
    <t xml:space="preserve"> Republic of the Philippines Department of Education Region VI – Western Visayas DIVISION OF AKLAN Poblacion, Numancia, Aklan INVITATION TO BID Project No.: DepED-RO6-D1-2020QRF(REPAIR)-C19-036-2020 The Department of Education (DepED) Division of Aklan, th</t>
  </si>
  <si>
    <t xml:space="preserve"> NOTICE TO THE PUBLIC REQUEST FOR PROPOSAL Purchase Request No: PUR20-05-0391  The Philippine General Hospital hereby informs the public that it will be procuring the following item/s through Small Value Procurement:				 PUR20-05-0391 - DPPS							 							</t>
  </si>
  <si>
    <t xml:space="preserve"> Republic of the Philippines Department of Education Region VI – Western Visayas DIVISION OF AKLAN Poblacion, Numancia, Aklan INVITATION TO BID Project No.: DepED-RO6-D1-2020QRF(REPAIR)-C24-041-2020 The Department of Education (DepED) Division of Aklan, th</t>
  </si>
  <si>
    <t xml:space="preserve"> Republic of the Philippines Department of Education Region VI – Western Visayas DIVISION OF AKLAN Poblacion, Numancia, Aklan INVITATION TO BID Project No.: DepED-RO6-D1-2020QRF(REPAIR)-C26-043-2020 The Department of Education (DepED) Division of Aklan, th</t>
  </si>
  <si>
    <t xml:space="preserve"> SUPPLY AND DELIVERY OF SEMI-EXPENDABLE OFFICE EQUIPMENT</t>
  </si>
  <si>
    <t xml:space="preserve"> Republic of the Philippines Department of Education Region VI – Western Visayas DIVISION OF AKLAN Poblacion, Numancia, Aklan INVITATION TO BID Project No.: DepED-RO6-D1-2020QRF(REPAIR)-C25-042-2020 The Department of Education (DepED) Division of Aklan, th</t>
  </si>
  <si>
    <t xml:space="preserve"> Republic of the Philippines Province of Surigao del Sur Municipality of Lanuza INVITATION TO BID  PROCUREMENT OF HARDWARE MATERIALS FOR PROPOSED NURSERY ESTABLISHMENT 1.	The Local Government Unit of Lanuza, through the People’s Survival Fund Projects inte</t>
  </si>
  <si>
    <t xml:space="preserve"> Republic of the Philippines Province of Davao De Oro 		Municipality of Compostela BARANGAY SIOCON BIDS AND AWARDS COMMITTEE CP #: 09101906158 INVITATION FOR SMALL VALUE PROCUREMENT. 2020-07-008 SVP #008 1.	The Barangay Siocon through its Bids and Awards C</t>
  </si>
  <si>
    <t xml:space="preserve"> Republic of the Philippines Province of Davao De Oro 		Municipality of Compostela BARANGAY SIOCON BIDS AND AWARDS COMMITTEE CP #: 09101906158 INVITATION FOR SMALL VALUE PROCUREMENT. 2020-07-009 SVP #009 1.	The Barangay Siocon through its Bids and Awards C</t>
  </si>
  <si>
    <t xml:space="preserve"> Republic of the Philippines Province of Surigao del Sur Municipality of Lanuza INVITATION TO BID  PROCUREMENT OF HABAL-HABAL MINI SPAREPARTS STORE WITH CARWASH WELDING AND VULCANIZING SHOP AT BARANGAY MAMPI, LANUZA, SURIGAO DEL SUR  1.	The Local Governmen</t>
  </si>
  <si>
    <t xml:space="preserve"> For the use of RPHS Annex I, II &amp; ACHS Cabading. RPHS Annex II King Long Ambulance SLG 120 Repair of A/C system: 1 pc. filter drier 1 pc. fitting/crimping aircon repair: 1 lot pulldown evaporator for leak test, cleaning &amp; freon charging 1 lot flushing of </t>
  </si>
  <si>
    <t xml:space="preserve"> NOTICE TO THE PUBLIC REQUEST FOR PROPOSAL Purchase Request No: PUR20-06-0456 The Philippine General Hospital hereby informs the public that it will be procuring the following item/s through Small Value Procurement: 20 case Pre-disinfectant with tri-enzyma</t>
  </si>
  <si>
    <t xml:space="preserve"> For the use of City Health Office - Animal Bit Section 500 box insulin syringe 0.5cc 50U, g.29x1/2", 100's 15 box latex exam gloves, large, non-sterile, powder free, 100's 50 box latex exam gloves, medium, non-sterile, powder free, 100's 20 box latex exam</t>
  </si>
  <si>
    <t xml:space="preserve"> NOTICE TO THE PUBLIC REQUEST FOR PROPOSAL Purchase Request No: PUR20-03-0248 The Philippine General Hospital hereby informs the public that it will be procuring the following item/s through Small Value Procurement: 192 gallon   Alcohol, ethyl 70%  P 400.0</t>
  </si>
  <si>
    <t xml:space="preserve"> NOTICE TO THE PUBLIC REQUEST FOR QUOTATION Purchase Request No: PUR20-05-0443 The Philippine General Hospital hereby informs the public that it will be procuring the following item/s through SHOPPING 10,637 bottle Alcohol P 59.00 &gt; 68-72% ethanol (ethyl) </t>
  </si>
  <si>
    <t xml:space="preserve"> Republic of the Philippines Department of Education Region VI – Western Visayas DIVISION OF AKLAN Poblacion, Numancia, Aklan INVITATION TO BID Project No.: DepED-RO6-D1-2020QRF(REPAIR)-C23-040-2020 The Department of Education (DepED) Division of Aklan, th</t>
  </si>
  <si>
    <t xml:space="preserve"> Republic of the Philippines Department of Education Region VI – Western Visayas DIVISION OF AKLAN Poblacion, Numancia, Aklan INVITATION TO BID Project No.: DepED-RO6-D1-2020QRF(REPAIR)-C27-044-2020 The Department of Education (DepED) Division of Aklan, th</t>
  </si>
  <si>
    <t xml:space="preserve"> Republic of the Philippines						 Province of Cebu						 Municipality of Alcantara						 						 STATEMENT OF BUDGETARY REQUIREMENT						 						 Name of Project	 	        : Repairs and Maintenance of Fire Truck 				 Location		                : Poblacion Al</t>
  </si>
  <si>
    <t xml:space="preserve"> Name of Project : Furnishing of Construction Materials for Carol-an Dagyangaw SIP (CY 2019)  Location : Ayungon, Negros Oriental  Contract No. : NOSO-Goods-SIP-05-2020  Approved Budget for the Contract : 1,401,900.00  Estimated Contract Duration : 150 cal</t>
  </si>
  <si>
    <t xml:space="preserve"> Office: Gat Andres Bonifacio Memorial Medical Center 				PR No. 184		 				Charge to: Philhealth Trust Fund						 				ABC:  Php950,000.00						 										 										 1	20	units		LED Television 43"				Php	7,000.00	25,000.00 				Flat Screen						 				IPS Pan</t>
  </si>
  <si>
    <t xml:space="preserve"> Name of Project : Furnishing of Construction Materials for Carol-an Dagyangaw SIP  Location : Ayungon, Negros Oriental  Contract No. : NOSO-Goods-SIP-04-2020  Approved Budget for the Contract : P 1,183,800.00  Estimated Contract Duration : 150 calendar da</t>
  </si>
  <si>
    <t xml:space="preserve"> Republic of the Philippines																																																										 DEPARTMENT OF PUBLIC WORKS AND HIGHWAYS																																																										 OFFICE OF THE DISTRICT ENGINEER																																								</t>
  </si>
  <si>
    <t xml:space="preserve"> Office: Gat Andres Bonifacio Memorial Medical Center 				PR No. 169 				Charge to: Philhealth Trust Fund				 				ABC:  Php984,000.00				 								 								 1	1	unit		Digital Duplicators with Platen Cover				Php 				Inclusions:				 				One (1) Cartridge Ink</t>
  </si>
  <si>
    <t xml:space="preserve"> INVITATION TO BID 1. The University of the Philippines Manila through its Bids and Awards Committee I (BAC 1), invites suppliers/manufacturers/distributors/contractors to apply for eligibility and to bid for the hereunder project: Name of Project : Supply</t>
  </si>
  <si>
    <t xml:space="preserve"> Office: CTO and SAH				PR No. 218 and 128		 				Charge to: Printing and Publication Expenses				OBR No. 100-2001-00296 and 100-2001-00206		 				ABC:  Php410,720.00						 										 										 				CITY TREASURER'S OFFICE - PR No. 218						 1	100	pcs.		Gree</t>
  </si>
  <si>
    <t xml:space="preserve"> Office: Office of the Vice-Mayor 				PR No. 574		 				Charge to: Representation Expenses				OBR No. 100-2005-04112		 				ABC:  Php600,000.00						 										 										 1	2,000	 packs 		Breakfast				Php	7,000.00	300.00 				Choices of						 				 - arroz ca</t>
  </si>
  <si>
    <t xml:space="preserve"> Office: Gat Andres Bonifacio Memorial Medical Center 				PR No. 403		 				Charge to: Other Supplies and Materials Expenses				OBR No. 100-2002-01144		 				ABC:  Php89,080.00						 										 										 1	13	 pads 		OBR'S Form 5pcs./set,50 sets/pad, carbon</t>
  </si>
  <si>
    <t xml:space="preserve"> Office: Office of the Vice Mayor 				PR No. 573		 				Charge to: Office Supplies Expenses				OBR No. 100-2005-04111		 				ABC:  Php590,250.00						 										 										 1	10	box		Clip, Backfold 1" (32mm) pack				Php	7,000.00	59.00 2	10	box		Clip, Backfol</t>
  </si>
  <si>
    <t xml:space="preserve"> see attached bidding documents</t>
  </si>
  <si>
    <t xml:space="preserve"> 1,333.33	Bd.ft	200-2 x 4 x 10 Good Lumber 2,133.33	Bd.ft	160-4 x 4 x 10 Good Lumber 1600	Bd.ft	480-2 x 2 x 10 Good Lumber 1066.67	Bd.ft	200-2 x 4 x 8 Good Lumber 1200	Bd.ft	300-2 x 3 x 8 Good Lumber 833.33	Bd.ft	100-1 x 10 x 10 Good Lumber 75	Pcs	Hardifle</t>
  </si>
  <si>
    <t xml:space="preserve"> INVITATION TO BID FOR THE COMPLETION OF MULTI-PURPOSE HALL (CES), CAMBALO, CAJIDIOCAN, ROMBLON 1.	The Municipal Government of Cajidiocan, Romblon through the 20% MDF CY-2019 intends to apply the sum of FOUR HUNDRED NINETY-NINE THOUSAND, NINE HUNDRED NINET</t>
  </si>
  <si>
    <t xml:space="preserve"> Attached RFQs and Purchase Requests</t>
  </si>
  <si>
    <t xml:space="preserve"> Office: ONT, MHD, YDWB				PR No. 204,  180, 251		 				Charge to: Other Supplies and Materials Expenses				OBR No. 100-2001-00351, 100-2001-00321		 				ABC:  Php165,754.85				              100-2001-00451		 										 										 				OSPITAL NG TONDO - PR No</t>
  </si>
  <si>
    <t xml:space="preserve"> INVITATION TO BID 1. The University of the Philippines Manila through its Bids and Awards Committee I (BAC 1), invites suppliers/manufacturers/distributors/contractors to apply for eligibility and to bid for the hereunder project: Name of Project : MANNIN</t>
  </si>
  <si>
    <t xml:space="preserve"> Procurement (alcohol, liquid bleach, liquid hand soap,etc.)</t>
  </si>
  <si>
    <t xml:space="preserve"> Republic of the Philippines Danao City BIDS AND AWARDS COMMITTEE 	 REQUEST FOR QUOTATION The Local Government of Danao City, through the Sangguniang Panlungsod Office intends to apply the sum of Php65,990.00 being the Approved Budget for the Contract (ABC</t>
  </si>
  <si>
    <t xml:space="preserve"> Office: City Budget Office 				PR No. 115		 				Charge to: Office Supplies Expenses				OBR No. 100-2001-00184		 				ABC:  Php91,518.20						 										 										 1	4	pack		Battery, Drycell, AAA, 2pcs/pack				Php	7,000.00	77.70 2	10	pieces		Clear Folder, </t>
  </si>
  <si>
    <t xml:space="preserve"> Republic of the Philippines Danao City BIDS AND AWARDS COMMITTEE 	 REQUEST FOR QUOTATION The Local Government of Danao City, through the City Planning and Development Office intends to apply the sum of Php183,060.00 being the Approved Budget for the Contr</t>
  </si>
  <si>
    <t xml:space="preserve"> Republic of the Philippines Danao City BIDS AND AWARDS COMMITTEE 	 REQUEST FOR QUOTATION The Local Government of Danao City, through the CDRRMO intends to apply the sum of Php75,000.00 being the Approved Budget for the Contract (ABC) to payments under the</t>
  </si>
  <si>
    <t xml:space="preserve"> 618	Bags	Portland cement 62	Cu.m	Fine sand 42	Cu.m	Selected gravel 103	Pcs	12mmØ RSB 412	Pcs	10mmØ RSB 309	Sheets	Acrylic sheets 309	Length	2” x 3” x 1.5mm rectangular tube 206	Pcs	Turn buckle 6” 103	Length	12mm round tension rod 206	Kls	Welding rod 52	Pc</t>
  </si>
  <si>
    <t xml:space="preserve"> Office: City Budget Office 				PR No. 342		 				Charge to: Capital Outlay-Office Equipment				OBR No. 100-2002-00895		 				ABC:  Php80,000.00						 										 										 1	1	 unit 		Airconditioner, split type, HP2				Php	7,000.00	80,000.00</t>
  </si>
  <si>
    <t xml:space="preserve"> Republic of the Philippines Danao City BIDS AND AWARDS COMMITTEE 	 REQUEST FOR QUOTATION The Local Government of Danao City, through the 20% EDF/CPDO intends to apply the sum of Php78,947.00 being the Approved Budget for the Contract (ABC) to payments und</t>
  </si>
  <si>
    <t xml:space="preserve"> INVITATION TO BID 1. The University of the Philippines Manila through its Bids and Awards Committee I (BAC 1), invites suppliers/manufacturers/distributors/contractors to apply for eligibility and to bid for the hereunder project: Name of Project : SUPPLY</t>
  </si>
  <si>
    <t xml:space="preserve"> 1	Lot	Formworks and Scaffolding 13,050	Pcs	CHB 4”x8”x16” 750	Bags	Portland cement 75	Cu.m	Gravel  60	Cu.m	Sand 710	Length	10mm dia RSB 575	Length	12mm dia RSB</t>
  </si>
  <si>
    <t xml:space="preserve"> Republic of the Philippines Danao City BIDS AND AWARDS COMMITTEE 	 REQUEST FOR QUOTATION The Local Government of Danao City, through the CDRRMO intends to apply the sum of Php72,000.00 being the Approved Budget for the Contract (ABC) to payments under the</t>
  </si>
  <si>
    <t xml:space="preserve"> Republic of the Philippines Danao City BIDS AND AWARDS COMMITTEE 	 REQUEST FOR QUOTATION The Local Government of Danao City, through the CDRRMO intends to apply the sum of Php108,000.00 being the Approved Budget for the Contract (ABC) to payments under th</t>
  </si>
  <si>
    <t xml:space="preserve"> Republic of the Philippines Province of Palawan Municipality of Narra INVITATION TO BID 1.	The Municipal Government of Narra, through Bids and Awards Committee intends to apply the sum of TWO HUNDRED ELEVEN THOUSAND PESOS (PHP 211,000.00) being the Approv</t>
  </si>
  <si>
    <t xml:space="preserve"> 150	Pcs	2’x2’x2mm Square tube 125	Pcs	1’x1”x5mm Angle bar 130	Pcs	6mm Steel matting 100	Bags	Skim coat (Super white) 120	Gals	Flat wall latex 100	Gals	Quickdry latex 50	Gals	Red oxide 36	Gals	Quick dry enamel (black) 6	Gals	Paint thinner 11	Gals	Time out </t>
  </si>
  <si>
    <t xml:space="preserve"> Republic of the Philippines Danao City BIDS AND AWARDS COMMITTEE 	 REQUEST FOR QUOTATION The Local Government of Danao City, through the City Agriculture Services Office intends to apply the sum of Php74,295.00 being the Approved Budget for the Contract (</t>
  </si>
  <si>
    <t xml:space="preserve"> REPAIR/MAINTENANCE OF FLOOD CONTROL</t>
  </si>
  <si>
    <t xml:space="preserve"> INVITATION TO BID FOR THE REHABILITATION OF MULTI-PURPOSE HALL, LICO, CAJIDIOCAN, ROMBLON 1.	The Municipal Government of Cajidiocan, Romblon through the 20% MDF CY-2019 intends to apply the sum of EIGHT HUNDRED NINETY-NINE THOUSAND, NINE HUNDRED NINETY SI</t>
  </si>
  <si>
    <t xml:space="preserve"> Office: City Legal Office 				PR No. 293		 				Charge to: Office Supplies Expenses				OBR No. 100-2001-00500		 				ABC:  Php134,970.00						 										 										 1	25	pcs.		Ballpens, black				Php	7,000.00	15.00 2	12	pcs.		Ballpens, red						15.00 3	12	bx</t>
  </si>
  <si>
    <t xml:space="preserve"> 206	Pcs	G.I. Pipe 3” Ø sch 40 65	Gals	Flatwall latex  65	Gals	Semi – gloss latex 40	Gals	Red oxide 40	Gals	Quickdry metal paint (golden yellow) 40	Gals	Quickdry metal paint (black) 20	Pcs	Paint brush #2 20	Sets	Roller brush w/ tray 25	Gals	Paint thinner  </t>
  </si>
  <si>
    <t xml:space="preserve"> Republic of the Philippines Danao City BIDS AND AWARDS COMMITTEE 	 REQUEST FOR QUOTATION The Local Government of Danao City, through the Public Information Office intends to apply the sum of Php61,500.00 being the Approved Budget for the Contract (ABC) to</t>
  </si>
  <si>
    <t xml:space="preserve"> Republic of the Philippines Province of Palawan Municipality of Narra INVITATION TO BID 1.	The Municipal Government of Narra, through Bids and Awards Committee intends to apply the sum of TWO HUNDRED TWENTY-TWO THOUSAND ONE HUNDRED FIFTY PESOS (PHP 222,15</t>
  </si>
  <si>
    <t xml:space="preserve"> 4,000 packs or groceries</t>
  </si>
  <si>
    <t xml:space="preserve"> INVITATION TO BID FOR THE REHABILITATION OF MULTI-PURPOSE HALL LUMBANG ESTE, CAJIDIOCAN, ROMBLON 1.	The Municipal Government of Cajidiocan, Romblon through the 20% MDF CY-2019 intends to apply the sum of FOUR HUNDRED NINETY-NINE THOUSAND, NINE HUNDRED NIN</t>
  </si>
  <si>
    <t xml:space="preserve"> INVITATION TO BID FOR THE CONSTRUCTION FOR COCONUT PROCESSING CENTER FOR LIVELIHOOD PHASE II, LUMBANG ESTE, CAJIDIOCAN, ROMBLON 1.	The Municipal Government of Cajidiocan, Romblon through the 20% MDF CY-2019 intends to apply the sum of SIX HUNDRED NINETY-N</t>
  </si>
  <si>
    <t xml:space="preserve"> Republic of the Philippines Danao City BIDS AND AWARDS COMMITTEE 	 REQUEST FOR QUOTATION The Local Government of Danao City, through the CDRRMO intends to apply the sum of Php97,500.00 being the Approved Budget for the Contract (ABC) to payments under the</t>
  </si>
  <si>
    <t xml:space="preserve"> Installation of Steel Grills and Gate, Grade 1 Building, along Capulong St.</t>
  </si>
  <si>
    <t xml:space="preserve"> Republic of the Philippines Province of Palawan Municipality of Narra INVITATION TO BID 1.	The Municipal Government of Narra, through Bids and Awards Committee intends to apply the sum of TWO HUNDRED FORTY-THOUSAND SIX HUNDRED FORTY-FIVE PESOS AND 45/100 </t>
  </si>
  <si>
    <t xml:space="preserve"> Republic of the Philippines Province of Palawan Municipality of Narra INVITATION TO BID 1.	The Municipal Government of Narra, through Bids and Awards Committee intends to apply the sum of TWO HUNDRED SIXTEEN THOUSAND SIX HUNDRED NINETY-NINE PESOS (PHP 216</t>
  </si>
  <si>
    <t xml:space="preserve"> INVITATION TO BID 1. The University of the Philippines Manila through its Bids and Awards Committee I (BAC 1), invites suppliers/manufacturers/distributors/contractors to apply for eligibility and to bid for the hereunder project: Name of Project :  SUPPL</t>
  </si>
  <si>
    <t xml:space="preserve"> INVITATION TO BID FOR THE REHABILITATION OF MULTI-PURPOSE HALL LUMBANG WESTE, CAJIDIOCAN, ROMBLON 1.	The Municipal Government of Cajidiocan, Romblon through the 20% MDF CY-2019 intends to apply the sum of FOUR HUNDRED NINETY-NINE THOUSAND, NINE HUNDRED NI</t>
  </si>
  <si>
    <t xml:space="preserve"> INVITATION TO BID 1. The University of the Philippines Manila through its Bids and Awards Committee I (BAC 1), invites suppliers/manufacturers/distributors/contractors to apply for eligibility and to bid for the hereunder project: Name of Project :  COMPR</t>
  </si>
  <si>
    <t xml:space="preserve"> This project has the following terms and specifications: 3 seal with hole maximum of 4-5 color print for dehydrated mango size: 5 x 9 inch (WxH) capacity: 100g Please submit your quotation until June 17, 2020 at WPU-Procurement Office, San Juan, Aborlan, </t>
  </si>
  <si>
    <t xml:space="preserve"> Republic of the Philippines Province of Palawan Municipality of Narra INVITATION TO BID 1.	The Municipal Government of Narra, through Bids and Awards Committee intends to apply the sum of FIVE HUDRED FORTY-EIGHT THOUSAND EIGHT HUNDRED FIFTY-TWO PESOS AND </t>
  </si>
  <si>
    <t xml:space="preserve"> 5,000 packs of rice</t>
  </si>
  <si>
    <t xml:space="preserve"> Republic of the Philippines Province of Palawan Municipality of Narra INVITATION TO BID 1.	The Municipal Government of Narra, through Bids and Awards Committee intends to apply the sum of TWO HUNDRED FIFTEEN THOUSAND NINE HUNDRED FIFTEEN PESOS (PHP 215,91</t>
  </si>
  <si>
    <t xml:space="preserve"> Republic of the Philippines Danao City BIDS AND AWARDS COMMITTEE 	 REQUEST FOR QUOTATION The Local Government of Danao City, through the CMO/Traffic Office intends to apply the sum of Php54,710.00 being the Approved Budget for the Contract (ABC) to paymen</t>
  </si>
  <si>
    <t xml:space="preserve"> Republic of the Philippines Danao City BIDS AND AWARDS COMMITTEE 	 REQUEST FOR QUOTATION The Local Government of Danao City, through the City Agriculture Services Office intends to apply the sum of Php687,500.00 being the Approved Budget for the Contract </t>
  </si>
  <si>
    <t xml:space="preserve"> INVITATION TO BID FOR THE REHABILITATION OF CAMBICANG MULTI-PURPOSE HALL, MARIGONDON, CAJIDIOCAN, ROMBLON 1.	The Municipal Government of Cajidiocan, Romblon through the 20% MDF CY-2019 intends to apply the sum of FOUR HUNDRED NINETY-NINE THOUSAND, NINE HU</t>
  </si>
  <si>
    <t xml:space="preserve"> Republic of the Philippines Danao City BIDS AND AWARDS COMMITTEE 	 REQUEST FOR QUOTATION The Local Government of Danao City, through the BFP-Danao City intends to apply the sum of Php75,000.00 being the Approved Budget for the Contract (ABC) to payments u</t>
  </si>
  <si>
    <t xml:space="preserve"> pls see attached docs</t>
  </si>
  <si>
    <t xml:space="preserve"> Republic of the Philippines Danao City BIDS AND AWARDS COMMITTEE 	 REQUEST FOR QUOTATION The Local Government of Danao City, through the City Engineering Office intends to apply the sum of Php198,423.50 being the Approved Budget for the Contract (ABC) to </t>
  </si>
  <si>
    <t xml:space="preserve"> INVITATION TO BID FOR THE SUPPLY OF GASOLINE AND DIESEL THROUGH FLEET CARD TECHNOLOGY SYSTEM FOR TWO (2) YEARS UNDER ITB NO. PB20-01-015CORA-06 (REBIDDING) The Philippine Amusement and Gaming Corporation (PAGCOR) is inviting all interested bidders in its </t>
  </si>
  <si>
    <t xml:space="preserve"> INVITATION TO BID FOR THE IMPROVEMENT OF MULTI-PURPOSE HALL PHASE II- MUNICIPAL BUILDING, POBLACION, CAJIDIOCAN, ROMBLON 1.	The Municipal Government of Cajidiocan, Romblon through the 20% MDF CY-2019 intends to apply the sum of FOUR HUNDRED NINETY-NINE TH</t>
  </si>
  <si>
    <t xml:space="preserve"> Republic of the Philippines Danao City BIDS AND AWARDS COMMITTEE 	 REQUEST FOR QUOTATION The Local Government of Danao City, through the City Admin./Waterworks Division intends to apply the sum of Php247,334.00 being the Approved Budget for the Contract (</t>
  </si>
  <si>
    <t xml:space="preserve"> Republic of the Philippines Danao City BIDS AND AWARDS COMMITTEE 	 REQUEST FOR QUOTATION The Local Government of Danao City, through the CDRRMO intends to apply the sum of Php63,000.00 being the Approved Budget for the Contract (ABC) to payments under the</t>
  </si>
  <si>
    <t xml:space="preserve"> Republic of the Philippines Danao City BIDS AND AWARDS COMMITTEE 	 REQUEST FOR QUOTATION The Local Government of Danao City, through the CDRRMO intends to apply the sum of Php116,820.00 being the Approved Budget for the Contract (ABC) to payments under th</t>
  </si>
  <si>
    <t xml:space="preserve"> Republic of the Philippines Danao City BIDS AND AWARDS COMMITTEE 	 REQUEST FOR QUOTATION The Local Government of Danao City, through the CDRRMO intends to apply the sum of Php57,600.00 being the Approved Budget for the Contract (ABC) to payments under the</t>
  </si>
  <si>
    <t xml:space="preserve"> INVITATION TO BID FOR THE REHABILITATION OF WATER SUPPLY SYSTEM LUMBANG WESTE, CAJIDIOCAN, ROMBLON 1.	The Municipal Government of Cajidiocan, Romblon through the 20% MDF CY-2019 intends to apply the sum of FIVE HUNDRED NINETY-NINE THOUSAND, NINE HUNDRED N</t>
  </si>
  <si>
    <t xml:space="preserve"> INVITATION TO BID FOR THE CONSTRUCTION OF FMR-ILAYA MARIGONDON, CAJIDIOCAN, ROMBLON 1.	The Municipal Government of Cajidiocan, Romblon through the 20% MDF CY-2019 intends to apply the sum of SIX HUNDRED NINETY-NINE THOUSAND, NINE HUNDRED NINETY FIVE PESOS</t>
  </si>
  <si>
    <t xml:space="preserve"> Please see associated document. Please submit your quotation until June 18, 2020 at WPU-Procurement Office, San Juan, Aborlan, Palawan or email to us at wpu.proc@gmail.com</t>
  </si>
  <si>
    <t xml:space="preserve"> INVITATION TO BID FOR THE CONSTRUCTION OF FMR- SITIO SAED, TAGUILOS, CAJIDIOCAN, ROMBLON 1.	The Municipal Government of Cajidiocan, Romblon through the 20% MDF CY-2019 intends to apply the sum of SEVEN HUNDRED NINETY-NINE THOUSAND, NINE HUNDRED NINETY SIX</t>
  </si>
  <si>
    <t xml:space="preserve"> Republic of the Philippines Danao City BIDS AND AWARDS COMMITTEE 	 REQUEST FOR QUOTATION The Local Government of Danao City, through the CDRRMO intends to apply the sum of Php86,250.00 being the Approved Budget for the Contract (ABC) to payments under the</t>
  </si>
  <si>
    <t xml:space="preserve"> Republic of the Philippines Danao City BIDS AND AWARDS COMMITTEE 	 REQUEST FOR QUOTATION The Local Government of Danao City, through the City Admin./Waterworks Division intends to apply the sum of Php77,400.00 being the Approved Budget for the Contract (A</t>
  </si>
  <si>
    <t xml:space="preserve"> QTY	UNIT	ARTICLE / DESCRIPTION						 								 								 25	pk	18mm Screw Cap, 100pcs/pck						 		 Silver color open top metal cap, magnetic						 		 with 17.5mm blue PTFE / White Silicon Septa						 		 for 20ml headspace Vial Submit the following: (soft or</t>
  </si>
  <si>
    <t xml:space="preserve"> Republic of the Philippines Danao City BIDS AND AWARDS COMMITTEE 	 REQUEST FOR QUOTATION The Local Government of Danao City, through the 20% EDF Current Appropriation intends to apply the sum of Php307,565.00 being the Approved Budget for the Contract (AB</t>
  </si>
  <si>
    <t xml:space="preserve"> Republic of the Philippines Danao City BIDS AND AWARDS COMMITTEE 	 REQUEST FOR QUOTATION The Local Government of Danao City, through the City Health Services Office intends to apply the sum of Php390,000.00 being the Approved Budget for the Contract (ABC)</t>
  </si>
  <si>
    <t xml:space="preserve"> Republic of the Philippines Danao City BIDS AND AWARDS COMMITTEE 	 REQUEST FOR QUOTATION The Local Government of Danao City, through the City Admin./Waterworks Division intends to apply the sum of Php70,830.00 being the Approved Budget for the Contract (A</t>
  </si>
  <si>
    <t xml:space="preserve"> The Power Sector Assets and Liabilities Management (PSALM) Corporation is procuring the services of qualified service providers to undertake Sampling and Analysis of Transformer Oil from Five (5) units of Unserviceable Transformers stored at Ligao Stockya</t>
  </si>
  <si>
    <t xml:space="preserve"> Labor and Materials :    - For the repair and Installation of  Built In Cabinet at LEIPO Office, SecondFloor Left Wing,           New City Hall, AVL St., Zone 12A, Talisay City</t>
  </si>
  <si>
    <t xml:space="preserve"> Republic of the Philippines Danao City BIDS AND AWARDS COMMITTEE 	 REQUEST FOR QUOTATION The Local Government of Danao City, through the City Admin./Waterworks Division intends to apply the sum of Php75,000.00 being the Approved Budget for the Contract (A</t>
  </si>
  <si>
    <t xml:space="preserve"> Invitation to Bid for SUPPLY AND DELIVERY OF OFFICE EQUIPMENT  FOR MDRRM OFFICE The Municipal Government of Looc, Romblon, through the AO NO 021-2020 Supplemental Appropriation intends to apply the sum of Two Hundred Twenty-Three Thousand Pesos Only (P 22</t>
  </si>
  <si>
    <t xml:space="preserve"> Supply &amp; Delivery of Materials ABC:884,533.12 468 bot      ALCOHOL, 68-72% ethyl, 500 ml.  305 pc      BALLPEN, ordinary Black  255 pc       BALLPEN, ordinary Blue  1  tube       BALLPEN, Blue ink, retractable, 50 pcs/tube  1 tube	      BALLPEN, Black ink</t>
  </si>
  <si>
    <t xml:space="preserve"> Solicitation No:20GPF0011 Contract Name: Supply and delivery of Thermoplastic Paints and mixtures for repair and maintenance of Reflective Thermoplastic Pavement Markings along National Road by the Maintenance Section within DPWH-Benguet Second District E</t>
  </si>
  <si>
    <t xml:space="preserve"> 1.	The Bangko Sentral ng Pilipinas (BSP), through its Bids and Awards Committee –Information Technology, Infrastructure and Other Related Components (BAC-ITIO), invites bidders to apply for eligibility and to bid for the hereunder requirement: Name of Req</t>
  </si>
  <si>
    <t xml:space="preserve"> Republic of the Philippines PROVINCE OF NUEVA VIZCAYA Munici pality of Aritao BIDS AND AWARDS COMMITTEE               INVITATION TO BID FOR  PURCHASE/DELIVERY OF PLASTIC DENSIFIER/MELTER MACHINE FOR RESIDUAL WASTES 1.	The Municipality of Aritao, through i</t>
  </si>
  <si>
    <t xml:space="preserve"> Republic of the Philippines Danao City BIDS AND AWARDS COMMITTEE 	 REQUEST FOR QUOTATION The Local Government of Danao City, through the City Agriculture Services Office intends to apply the sum of Php75,000.00 being the Approved Budget for the Contract (</t>
  </si>
  <si>
    <t xml:space="preserve"> Republic of the Philippines  Barangay 373, Zone 38, District III, Manila Bids and Awards Committee INVITATION TO BID Barangay 373, Zone 38, District III, Manila through its Bids and Awards Committee (BAC), Invites all Suppliers Contractors to bid the here</t>
  </si>
  <si>
    <t xml:space="preserve"> QTY	UNIT	ARTICLE / DESCRIPTION						 								 								 		Hepa Filter, ACFHEPA						 		For Airclean PCR Workstation						 		099.997% efficient at 0.3 microns						 								 		Size:						 1	unit	305 x 610 x 76mm						 2	unit	305 x 457 x 76mm Submit the foll</t>
  </si>
  <si>
    <t xml:space="preserve"> Republic of the Philippines PROVINCE OF NUEVA VIZCAYA Munici pality of Aritao BIDS AND AWARDS COMMITTEE               INVITATION TO BID FOR  FURNISHING/DELIVERY OF ASSORTED MEDICINES AND SUPPLIES 1.	The Municipality of Aritao, through its 2020 General Fun</t>
  </si>
  <si>
    <t xml:space="preserve"> Republic of the Philippines Danao City BIDS AND AWARDS COMMITTEE 	 REQUEST FOR QUOTATION The Local Government of Danao City, through the City Admin./Waterworks Division intends to apply the sum of Php63,640.00 being the Approved Budget for the Contract (A</t>
  </si>
  <si>
    <t xml:space="preserve"> See attached necessary document.</t>
  </si>
  <si>
    <t xml:space="preserve"> INVITATION TO BID FOR PURCHASE OF OFFICE SUPPLIES LGU, CAJIDIOCAN, ROMBLON 1.	The Municipal Government of Cajidiocan, Romblon intends to apply the sum of ONE MILLION, NINETY-FIVE THOUSAND, FOUR HUNDRED SEVENTY SIX PESOS and 00/100 (P 1,095,476.00) being t</t>
  </si>
  <si>
    <t xml:space="preserve"> Appendix 60	 PURCHASE REQUEST 					 					 Entity Name: REBOKON AGRI. AND VOC. HIGH SCHOOL			Fund Cluster: REGULAR		 Office/Section : PRINCIPAL'S		PR No.: 2020-05-0012		Date: May 25, 2020	 OFFICE 		Responsibility Center Code : 100010000			 Stock/ Property </t>
  </si>
  <si>
    <t xml:space="preserve"> 1. The ENERGY REGULATORY COMMISSION (ERC), through the Government of the Philippines (GOP), intends to apply the sum of One Million Nine Hundred Sixteen Thousand Pesos (P1,916,000.00.), inclusive of all government taxes, and other fees and charges being t</t>
  </si>
  <si>
    <t xml:space="preserve"> Republic of the Philippines PROVINCE OF NUEVA VIZCAYA Munici pality of Aritao BIDS AND AWARDS COMMITTEE               INVITATION TO BID FOR  FURNISHING/DELIVERY OF FUEL, OIL &amp; LUBRICANTS 1.	The Municipality of Aritao, through its 2020 General Fund intends</t>
  </si>
  <si>
    <t xml:space="preserve"> 10		bag	Cement 1		cu m	Sand  1		cu m	Gravel 5		pcs	2x3x12 Coco Lumber 5		pcs	GI Pipe 2Ø S-40 10		pcs	RSB 10mm 15		pcs	RSB 9mm 9		pcs	MS Plate 8x8x1/4 36		pcs	M Bolt ½x7 2		kls	Tie Wire 2		pcs	Plywood 9		pcs	Insulator 1		pc	Eletrical Tape  9		pcs	LED Flood</t>
  </si>
  <si>
    <t xml:space="preserve"> Republic of the Philippines Central Visayas Region Province of Negros Oriental MUNICIPALITY OF SANTA CATALINA Bids and Awards Committee ITB NO.: 2020-06-02-013 INVITATION TO BID FOR THE SUPPLY AND DELIVERY OF TIRES 1.	The Municipality of Santa Catalina, N</t>
  </si>
  <si>
    <t xml:space="preserve"> Procurement of Automatic Traffic Classifier Please see attached Associated Component for the Request for Quotation (RFQ) Form.</t>
  </si>
  <si>
    <t xml:space="preserve"> 1. The ENERGY REGULATORY COMMISSION (ERC), through the Government of the Philippines (GOP), intends to apply the sum of Six Million Five Hundred Seventy-Two Thousand Five Hundred Pesos (PhP6,572,500.00) inclusive of all government taxes and other fees and</t>
  </si>
  <si>
    <t xml:space="preserve"> 1.Barangay Minantok East, Municipality of Amadeo through its GEN. FUND intends to apply the sum of Php 132,715 being the Approved Budget Ceiling for the INSTALLATION OF SOLAR STREETLIGHT @ BRGY. MINANTOK EAST, AMADEO, CAVITE Quotation received in excess o</t>
  </si>
  <si>
    <t xml:space="preserve"> Republic of the Philippines Department of Public Works and Highways OFFICE OF THE DISTRICT ENGINEER 		Camarines Sur 4th  District Engineering Office (Formerly: Camarines Sur 3rd DEO) REGION V Caraycayon, Tigaon, Camarines Sur Tel #(054) 881-0107 INVITATIO</t>
  </si>
  <si>
    <t xml:space="preserve"> Republic of the Philippines BIDS AND AWARDS COMMITTEE Municipality of Bulusan Reference Number: PG-20-06-011 June 15, 2020 REQUEST FOR QUOTATION The Local Government of Bulusan, through its Bids and Awards Committee (BAC), requests suppliers/manufacturers</t>
  </si>
  <si>
    <t xml:space="preserve"> Republic of the Philippines Central Visayas Region Province of Negros Oriental MUNICIPALITY OF SANTA CATALINA Bids and Awards Committee ITB NO.: 2020-06-02-014 INVITATION TO BID FOR THE SUPPLY AND DELIVERY OF MEDICAL EQUIPMENT 1.	The Municipality of Santa</t>
  </si>
  <si>
    <t xml:space="preserve"> Invitation to Bid for SUPPLY AND DELIVERY OF DISASTER EQUIPMENT The Municipal Government of Looc, Romblon, through the AO NO 018-2019 Regular intends to apply the sum of Two Hundred Fifty-Five Thousand Seven Hundred Eighty Pesos &amp; 07/100 Only (P 255,780.0</t>
  </si>
  <si>
    <t xml:space="preserve"> 2		pcs	Flash Door 2		pcs	Door Jamb 4		box	Loose Pin Hinges 4'  2		pcs	Door Knob 3		pcs	Window Casement 120x150 3		pail	Flat latex 2		pail	Gloss Latex 3		quart	Acry color 6		gal.	Roof Paint 2		pcs	Paint Roller 4" 2		pcs	Paint Brush 4" 1		gal.	Concrete Neut</t>
  </si>
  <si>
    <t xml:space="preserve"> PLEASE SEE THE ATTACHED FILE.</t>
  </si>
  <si>
    <t xml:space="preserve"> Republic of the Philippines Central Visayas Region Province of Negros Oriental MUNICIPALITY OF SANTA CATALINA Bids and Awards Committee ITB NO.: 2020-06-02-012 INVITATION TO BID FOR THE SUPPLY AND DELIVERY OF COMPUTER EQUIPMENT 1.	The Municipality of Sant</t>
  </si>
  <si>
    <t xml:space="preserve"> Republic of the Philippines Central Visayas Region Province of Negros Oriental MUNICIPALITY OF SANTA CATALINA Bids and Awards Committee 	ITB NO.: 2020-07-02-015 INVITATION TO BID FOR THE SUPPLY AND DELIVERY OF MOTORCYCLE VEHICLES 1.	The Municipality of Sa</t>
  </si>
  <si>
    <t xml:space="preserve"> 4		pail	Flat Latex 2		pail	Gloss Latex 4		pail	Flat Enamel 2		pail	QDE Gloss 2		gal	Galzing Putty 4		qrt	Acry Color 6		gal	Roof Paint 6		pcs	Paint roller 4		Pcs	Paint Brush 4" 2		Pcs	Paint Brush 2" 120		pcs	Good Lumber 2x2x12 38		pcs	Marine Plywood  1/4 1</t>
  </si>
  <si>
    <t xml:space="preserve"> concreting of line canal at sitio Mataguissi Barangay Capalalian, Pamplona, Cagayan</t>
  </si>
  <si>
    <t xml:space="preserve"> Reconstruction of Frontline Offices (Registrar, School Health Facility and Principal's Office) for health precautionary measures</t>
  </si>
  <si>
    <t xml:space="preserve"> SUPPLY AND DELIVERY OF CONSTRUCTION MATERIALS</t>
  </si>
  <si>
    <t xml:space="preserve"> Republic of the Philippines Central Visayas Region Province of Negros Oriental MUNICIPALITY OF SANTA CATALINA Bids and Awards Committee ITB NO.: 2020-07-02-016 INVITATION TO BID FOR THE SUPPLY AND DELIVERY OF OFFICE EQUIPMENT 1.	The Municipality of Santa </t>
  </si>
  <si>
    <t xml:space="preserve"> Invitation to Bid for SUPPLY AND DELIVERY OF IT EQUIPMENT FOR RHU The Municipal Government of Looc, Romblon, through the AO NO 021-2020 Supplemental Appropriation intends to apply the sum of Seventy-Five Thousand Pesos Only (P 75,000.00) being the Approve</t>
  </si>
  <si>
    <t xml:space="preserve"> See attached pertinent document.</t>
  </si>
  <si>
    <t xml:space="preserve"> The Cotabato Irrigation Management Office, through its Bids and Awards Committee (BAC), intends to procure  the Supply and Delivery of Spare Part for Hino Dump Truck  in accordance with Section 53.9 (Small Value Procurement) of the 2016 Revised Implementi</t>
  </si>
  <si>
    <t xml:space="preserve"> .40 mo. occupational safety and health prog 570 sq.m. scarifying of concrete pavement 114 cu.m. hauling of waste materials 760 sq.m. sub-grade preparation 76 cu.m. excavation 66.55 cu.m. aggregate base course 190 cu.m. stone masonry 760 sq.m. PCCP</t>
  </si>
  <si>
    <t xml:space="preserve"> Republic of the Philippines					 ISABELA STATE UNIVERSITY					 Roxas, Isabela	 				 CANVASS SHEET					 (Date)	 					 Name of Agency/ supplier							 Address		 			 Gentlemen:					 	Please quote your lowest price, tax included on the following item/s listed</t>
  </si>
  <si>
    <t xml:space="preserve"> .13 mo. CS and HP 133.50 sq.m. clearing and grubbing 106.80 cu.m. excavation 189.13 cu.m. stone masonry</t>
  </si>
  <si>
    <t xml:space="preserve"> UNIT          QTY. UNIT,          1 DESCRIPTION:  fx 4X2 2.4L   MANUAL TRANSMISSION  ENGINE/TRANSMISSION; MODEL:  2GD-FTV(LOW) TYPE: 2.4LDIESEL,  4-CYLINDER, 16-VALVE DOHC  VARIABLE NOZZLE TURBO WITH  FRONT MOUNTED INTERCOOLER  DISPLACEMENT CC: 2,393  MAX</t>
  </si>
  <si>
    <t xml:space="preserve"> 130		Pcs	Floor Tiles 60x60 4		Cu m	Sand 35		Bags	Cement 8		Bags	Adhesive 3		Bags	Grout 3		Bags	Twine 2		Roll	THHN Wire #12 2		Pcs	Moldflex 1/2 12		Pcs	Utility Box 6		Pcs	Plate 2 gang 6		pcs	Switch 12		Pcs	Junction box 6		Pcs	Circuit Breaker, 30Amp. 1		Pc	</t>
  </si>
  <si>
    <t xml:space="preserve"> REPUBLIC OF THE PHILIPPINES																																							 Province of Davao del Sur																																							 MUNICIPALITY OF SANTA CRUZ																																							 -- oOo --																																							 								</t>
  </si>
  <si>
    <t xml:space="preserve"> Invitation to Bid for SUPPLY AND DELIVERY OF MATERIALS FOR INSTALLATION  OF MUNICIPAL STREETLIGHTING SYSTEM The Municipal Government of Looc, Romblon, through the Appropriation Ordinance No. 018-2019 Regular intends to apply the sum of Four Hundred Fourte</t>
  </si>
  <si>
    <t xml:space="preserve"> Invitation to Bid for  Construction of Payocpoc Sur Slope Protection, Bauang, La Union 1.	The Provincial Government of La Union, through the RA7171 intends to apply the sum of ₱1,950,000.00 being the Approved Budget for the Contract (ABC) to payments unde</t>
  </si>
  <si>
    <t xml:space="preserve"> Invitation to Bid for  Construction of Ambaracao Farmers Multi-Purpose Center, Naguilian, La Union 1.	The Provincial Government of La Union, through the RA7171 intends to apply the sum of ₱2,925,000.00 being the Approved Budget for the Contract (ABC) to p</t>
  </si>
  <si>
    <t xml:space="preserve"> 1 month CS and HP 41 cu.m. excavation 67.61 cu.m. concrete class A 2753.47 kgs reinforcing steel 1 ls form works and false works 663.52 l.m. pre-painted rib type roof 900 sq.m. painting works (metal surfaces) 25,535.05 kgs structural steel (roof framing)</t>
  </si>
  <si>
    <t xml:space="preserve"> Installation of Water System of Capalalian Barangay Hall</t>
  </si>
  <si>
    <t xml:space="preserve"> Invitation to Bid for SUPPLY AND DELIVERY OF AIR CONDITIONER FOR SANGGUNIANG BAYAN OFFICE AND SESSION HALL The Municipal Government of Looc, Romblon, through the AO NO 021-2020 Supplemental Appropriation intends to apply the sum of One Hundred Fifty-Five </t>
  </si>
  <si>
    <t xml:space="preserve"> Invitation to Bid for  Improvement of Barangay I Farm to Market Road, San Fernando City, La Union 1.	The Provincial Government of La Union, through the RA7171 intends to apply the sum of ₱1,950,000.00 being the Approved Budget for the Contract (ABC) to pa</t>
  </si>
  <si>
    <t xml:space="preserve"> For Toyota Hilux 				 -Roller-up				 -Car alarm &amp; key less entry(powerlock)				 -step board				 -roof rail and carrier				 -leather seat cover				 -rear bumper				 -magwheels and tires</t>
  </si>
  <si>
    <t xml:space="preserve"> THE PROCURING ENTITY THROUGH ITS BIDS AND AWARDS COMMITTEE INVITES SUPPLIER TO QUOTE FOR THE HEREUNDER PROJECT/PROGRAM: ROAD REHABILITATION    ITEM    DESCRIPTION      ABC/UNIT	QTY  UNIT 1	   Various Construction Materials (Lumber):1 Lot. 	   45     pcs  </t>
  </si>
  <si>
    <t xml:space="preserve"> Invitation to Bid for  Retrofitting/Strengthening of Bridge 1 and Bridge 4, Caba and Naguilian, La Union 1.	The Provincial Government of La Union, through the Development Fund intends to apply the sum of ₱20,000,000.00 being the Approved Budget for the Co</t>
  </si>
  <si>
    <t xml:space="preserve"> Invitation to Bid for  Completion/Expansion of Vinegar Processing Center, Maragayap, Bacnotan, La Union 1.	The Provincial Government of La Union, through the RA7171 intends to apply the sum of ₱1,784,268.49 being the Approved Budget for the Contract (ABC)</t>
  </si>
  <si>
    <t xml:space="preserve"> 2028 bags 21-0-0 (ammonia)</t>
  </si>
  <si>
    <t xml:space="preserve"> Invitation to Bid for  Rehabilitation and Improvement of Pagbennecan - Tallaoen Road, Luna, La Union 1.	The Provincial Government of La Union, through the RA7171 intends to apply the sum of ₱1,950,000.00 being the Approved Budget for the Contract (ABC) to</t>
  </si>
  <si>
    <t xml:space="preserve"> Republic of the Philippines Province of Surigao del Sur MUNICIPALITY OF CANTILAN REQUEST FOR QUOTATION The Local Government Unit of Cantilan, Surigao del Sur, through its Bids and Awards Committee (BAC), will undertake a Small Value Procurement for the Su</t>
  </si>
  <si>
    <t xml:space="preserve"> 1 mo. CS and HP 101.17 sq.m. unglazed/glazed tiles (stainless letter) 58.76 sq.m. ceiling works 125.70 sq.m. structural steel (sidings cover and frame) 60 sq.m. painting works )metal surfaces/steel trusses)</t>
  </si>
  <si>
    <t xml:space="preserve"> The Cotabato Irrigation Management Office, through its Bids and Awards Committee (BAC), intends to procure  the Supply and Delivery of Spare Part for Mitsubishi Pajero Jeep    in accordance with Section 53.9 (Small Value Procurement) of the 2016 Revised I</t>
  </si>
  <si>
    <t xml:space="preserve"> 1. Procurement ID/Contract ID:	RFQ-006-2020 Contract Name:	PROCUREMENT OF MATERIALS FOR USE IN THE REPAINTING OF EDGELINE, CENTERLINE, BROKEN LINES, AND PEDESTRIAN LANES IN CONNECTION WITH THE REPAIR/MAINTENANCE OF NATIONAL ROADS AND BRIDGES (DISTRICTWIDE</t>
  </si>
  <si>
    <t xml:space="preserve"> REQUEST FOR QUOTATION ______________________ 													Date        _______________________________     Name of Dealer        _______________________________ 	          Address GENTLEMEN: 		Please quote your lowest price and indicate shortest delivery d</t>
  </si>
  <si>
    <t xml:space="preserve"> QTY	UNIT	ARTICLE / DESCRIPTION						 								 								 6	unit	Helium Gas Tank						 		Ultra high pure helium gas						 		Purity: 99.999%						 		Laboratory Grade						 		For Gas Chromatography Mass Spectrometry use						 		With Quality Certificate						 	</t>
  </si>
  <si>
    <t xml:space="preserve"> 200 pieces Administration Set Adult/Macroset 500 pieces Soluset 700 pieces IV Cannula G18</t>
  </si>
  <si>
    <t xml:space="preserve"> 1. Procurement ID/Contract ID:	SH-006-2020 Contract Name:	PROCUREMENT OF SPARE PARTS FOR USE OF MITSUBISHI STRADA PICK-UP WITH PLATE NUMBER 062008 ASSIGNED IN THE OFFICE OF THE ASSISTANT DISTRICT ENGINEER.	 Contract Location:	DPWH-CAPIZ 1ST DEO, KM. 1, RO</t>
  </si>
  <si>
    <t xml:space="preserve"> 2. Procurement ID/Contract ID:	RFQ-007-2020 Contract Name:	PROCUREMENT OF OFFICE SUPPLIES TO BE USED FOR DPWH, CAPIZ 1ST DEO COMPOUND. Contract Location:	DPWH-CAPIZ 1ST DEO, KM. 1, ROXAS CITY Brief Description:	PROCUREMENT OF UNIFORMS AND ACCESSORIES Appr</t>
  </si>
  <si>
    <t xml:space="preserve"> Construction, Installation and painting of teachers cubicle.</t>
  </si>
  <si>
    <t xml:space="preserve"> Republic of the Philippines Region XII Province of Cotabato BIDS AND AWARDS COMMITTEE Amas, Kidapawan City INVITATION TO BID FOR Procurement of Food and Accommodation for the conduct of various training activities of PDRRMO - Cotabato Province. (PB-20-294</t>
  </si>
  <si>
    <t xml:space="preserve"> Please quote using the attached RFQ form with your lowest possible price and email at IleenVista@dti.gov.ph not later than June 18, 2020, 10:00 AM.   For those who have not yet submitted their SUPPLIERS’ ACCREDITATION REQUIREMENTS, please attach photocopi</t>
  </si>
  <si>
    <t xml:space="preserve"> Invitation to Bid for SUPPLY AND DELIVERY OF MATERIALS FOR REPAIR  OF AGRICULTURE OFFICE The Municipal Government of Looc, Romblon, through the AO NO 021-2020 Supplemental Appropriation intends to apply the sum of One Hundred Twenty-Two Thousand Two Hundr</t>
  </si>
  <si>
    <t xml:space="preserve"> Republic of the Philippines Region XII Province of Cotabato BIDS AND AWARDS COMMITTEE Amas, Kidapawan City INVITATION TO BID FOR Supply &amp; Delivery of Basketball Boards with Ring to be given to various barangay recipients in the Province of Cotabato. (PB-2</t>
  </si>
  <si>
    <t xml:space="preserve"> Republic of the Philippines Region XII Province of Cotabato BIDS AND AWARDS COMMITTEE Amas, Kidapawan City INVITATION TO BID FOR Supply &amp; Delivery of Hardware Supplies to be given to various clients in municipalities of Matalam, Carmen, Kabacan &amp; Mlang, P</t>
  </si>
  <si>
    <t xml:space="preserve"> Market-disinfectant</t>
  </si>
  <si>
    <t xml:space="preserve"> Republic of the Philippines Region XII Province of Cotabato BIDS AND AWARDS COMMITTEE Amas, Kidapawan City INVITATION TO BID FOR Supply &amp; Delivery of Hardware Supplies for distribution to different barangay/recipients of the Province of Cotabato. (PB-20-3</t>
  </si>
  <si>
    <t xml:space="preserve"> INVITATION TO BID For The  SCHOOL EQUIPMENT  Public Bidding No. 014-SHS-2020 Funding Source: Government of the Philippines Through General Appropriations Act (GAA)  FY 2020. The procurement service invites PhilGEPS registered suppliers to bid for the Scho</t>
  </si>
  <si>
    <t xml:space="preserve"> Republic of the Philippines Region XII Province of Cotabato BIDS AND AWARDS COMMITTEE Amas, Kidapawan City INVITATION TO BID FOR Supply &amp; Delivery of Vibrating Screen for Asphalt Plant, Pag-asa, Mlang, Cotabato. (PB-20-320) 1.	The Provincial Government of</t>
  </si>
  <si>
    <t xml:space="preserve"> 2,085.76    LITERS   DIESEL</t>
  </si>
  <si>
    <t xml:space="preserve"> Republic of the Philippines Region XII Province of Cotabato BIDS AND AWARDS COMMITTEE Amas, Kidapawan City INVITATION TO BID FOR Supply &amp; Delivery of Forestry Seedlings for flood control and watershed protection on Ancestral Domain areas. (PB-20-296) 1.	T</t>
  </si>
  <si>
    <t xml:space="preserve"> Republic of the Philippines Region XII Province of Cotabato BIDS AND AWARDS COMMITTEE Amas, Kidapawan City INVITATION TO BID FOR Supply &amp; Delivery of Electrical Supplies for Asphalt Plant, Pag-asa, Mlang, Cotabato. (PB-20-319) 1.	The Provincial Government</t>
  </si>
  <si>
    <t xml:space="preserve"> Quantity		Unit Issue			Item Description 44			bags				cement 21			cubic				Screen Sand 12			length			C-Purlins 2x3x6 4			length			PE Pipe #4 20			sheet			Corrugated  GI Sheet 4x6 G24 4			kilo				Welding Rod (Special)	 2			length			Angular bar #1 4 			sheet</t>
  </si>
  <si>
    <t xml:space="preserve"> INVITATION TO BID For The  SCHOOL SUPPLIES  Public Bidding No. 012-SHS-2020 Funding Source: Government of the Philippines Through General Appropriations Act (GAA)  FY 2020. The procurement service invites PhilGEPS registered suppliers to bid for the Schoo</t>
  </si>
  <si>
    <t xml:space="preserve"> Republic of the Philippines Region XII Province of Cotabato BIDS AND AWARDS COMMITTEE Amas, Kidapawan City INVITATION TO BID FOR Supply &amp; Delivery of Emergency Go Bag to be given to high-risk learners in the province. (PB-20-295) 1.	The Provincial Governm</t>
  </si>
  <si>
    <t xml:space="preserve"> INVITATION TO BID For The  SCHOOL EQUIPMENT  Public Bidding No. 013-SHS-2020 Funding Source: Government of the Philippines Through General Appropriations Act (GAA)  FY 2020. The procurement service invites PhilGEPS registered suppliers to bid for the Scho</t>
  </si>
  <si>
    <t xml:space="preserve"> Republic of the Philippines Region XII Province of Cotabato BIDS AND AWARDS COMMITTEE Amas, Kidapawan City INVITATION TO BID FOR Supply &amp; Delivery of Hardware Supplies to be given to various clients in Aleosan and Pikit, Province of Cotabato. (PB-20-323) </t>
  </si>
  <si>
    <t xml:space="preserve"> INVITATION TO BID For The  SCHOOL EQUIPMENT  Public Bidding No. 015-SHS-2020 Funding Source: Government of the Philippines Through General Appropriations Act (GAA)  FY 2020. The procurement service invites PhilGEPS registered suppliers to bid for the Scho</t>
  </si>
  <si>
    <t xml:space="preserve"> Republic of the Philippines Region XII Province of Cotabato BIDS AND AWARDS COMMITTEE Amas, Kidapawan City INVITATION TO BID FOR Supply &amp; Delivery of Automotive Parts and Supplies for Motorpool shop of Provincial Engineer’s Office, Amas, Kidapawan City. (</t>
  </si>
  <si>
    <t xml:space="preserve"> Republic of the Philippines Region XII Province of Cotabato BIDS AND AWARDS COMMITTEE Amas, Kidapawan City INVITATION TO BID FOR Supply &amp; Delivery of Drone for Provincial Engineer’s Office, Amas, Kidapawan City. (PB-20-317) 1.	The Provincial Government of</t>
  </si>
  <si>
    <t xml:space="preserve"> Please see attached Purchase Request</t>
  </si>
  <si>
    <t xml:space="preserve"> INVITATION TO BID  ACQUISITION OF FORENSIC TOOLS AND EQUIPMENT  FOR CYBERCRIME DIVISION (CCD)  ____________ (ITB No. 2020-06-0001) 1.	The National Bureau of Investigation (NBI), through the Trust Account - PAGCOR Fund intends to apply the sum of Three Mil</t>
  </si>
  <si>
    <t xml:space="preserve"> Department of Agriculture BUREAU OF PLANT INDUSTRY  Baguio National Crop Research, Development and Production Support Center Division BPI-Compound , Guisad, Baguio City Tel. No. (074)445-9084-85 ____________________________________________________________</t>
  </si>
  <si>
    <t xml:space="preserve"> Construction Projects</t>
  </si>
  <si>
    <t xml:space="preserve"> Air Compressor: HD Coffee Brewer: 15Liters Capacity Coffee Maker: (Commercial Coffee Maker); Dimension: 12.5"x13.25"x16"  2000ml 250g Commercial Juice Dispenser Machine: Dimension: 320x445x680mm; Net  Weight: 20kg Double Jacketed Kettle: /Machine, 300L Ge</t>
  </si>
  <si>
    <t xml:space="preserve"> Please see attached ITB. ABC: 298,440.00</t>
  </si>
  <si>
    <t xml:space="preserve"> Polycarbonate Roof: Transparent 12ft Chlorine Granules: 50kg Powder Soap: 10kg Formaldehyde: - Steel Wall: - Flexible Hose: 1/2 PVC Tee: 1.5" Alcohol: 70% 500 ml Plankton net: 46 microns Air Stone: - Spatula: 6" Foot Brush: -</t>
  </si>
  <si>
    <t xml:space="preserve"> OFFICE OF THE BIDS AND AWARDS COMMITTEE (BAC) INVITATION TO BID FOR: 20-06-446 Consolidated Meals and Snacks of the Different Offices of LGU Alamada 3rd Quarter 2020 1.	The Local Government Unit of Alamada, through the MOOE 2020  intends to apply the sum </t>
  </si>
  <si>
    <t xml:space="preserve"> Republic of the Philippines Department of Health CENTRAL OFFICE BIDS AND AWARDS COMMITTEE 11 June 2020 REQUEST FOR QUOTATION PROCUREMENT OF VARIOUS ICT RFQ No. 2020-003 1.	The Department of Health (DOH), hereinafter referred to as “the Purchaser”, has a r</t>
  </si>
  <si>
    <t xml:space="preserve"> Republic of the Philippines DEPARTMENT OF PUBLIC WORKS AND HIGHWAYS QUIRINO DISTRICT ENGINEERING OFFICE REGIONAL OFFICE II Cabarroguis, Quirino Procuring Entity	:	DPWH - QDEO	P.R. No.	:	2020-06-069 &amp; 2020-06-074 Revised on	:		Date	:	06/04/2020 &amp; 06/09/202</t>
  </si>
  <si>
    <t xml:space="preserve"> 1.	The Bureau of Jail Management and Penology Regional Office CALABARZON (BJMPRO-CALABARZON) through the GAA2020   intends to apply the sum of Five  Million Five Hundred Thirty-Five Thousand Nine Hundred Pesos (Php 5,535,900.00) being the Approved Budget </t>
  </si>
  <si>
    <t xml:space="preserve"> Please see attached Request for Quotation for details.</t>
  </si>
  <si>
    <t xml:space="preserve"> Agricultural Training Institute Regional Training Center, MiMaRoPa (ATI-RTC-MiMaRoPa) invites interested bidders/suppliers to submit quotation/proposals for the here under requirement: Office Supplies and Consumables for FSTP Activities and ASI Admin cost</t>
  </si>
  <si>
    <t xml:space="preserve"> Republic of the Philippines DEPARTMENT OF PUBLIC WORKS AND HIGHWAYS  OFFICE OF THE DISTRICT ENGINEER Cavite 1 st  District Engineering Office   Brgy. De Ocampo, Trece Martires City    INVITATION TO BID    The Department of Public Works and Highways (DPWH)</t>
  </si>
  <si>
    <t xml:space="preserve"> Agricultural Training Institute Regional Training Center, MiMaRoPa (ATI-RTC-MiMaRoPa) invites interested bidders/suppliers to submit quotation/proposals for the here under requirement: ATI-RTC MIMAROPA FY 2020 Midyear and Planning Workshop ATI-RTC-MIMAROP</t>
  </si>
  <si>
    <t xml:space="preserve"> SectionI. Invitation to Bid Republic of the Philippines Province of Surigao del Sur Municipality of San Miguel BARANGAY POBLACION Invitation to Bid for the Supply and Delivery of DIESEL FUEL AND OIL LUBRICANTS FOR GRAVELLING OF FARM TO MARKET ROAD - PUROK</t>
  </si>
  <si>
    <t xml:space="preserve"> 1	unit	Laptop 		- Intel core I7 9300H 4.0GHz 		- 16 GB DDR4 RAM 		- 256 GB SSD + 1TB HDD 		- Windows 10 Home OS 		- NVIDIA GTX 1650 (4GB GDDRS)</t>
  </si>
  <si>
    <t xml:space="preserve"> Republic of the Philippines DEPARTMENT OF PUBLIC WORKS AND HIGHWAYS QUIRINO DISTRICT ENGINEERING OFFICE REGIONAL OFFICE II Cabarroguis, Quirino Procuring Entity	:	DPWH - QDEO	P.R. No.	:	2020-06-072 Revised on	:		Date	:	06/04/2020 Standard Form/Title	:	REQ</t>
  </si>
  <si>
    <t xml:space="preserve"> 4	boxes	Sardines (100/box,s/s) 5	boxes	Corn beef 220	cans	Liberty Meat (Assorted flavor) 375 gms 10	gantas	Mongo 10	gantas	White Beans 20	kgs	Red Onions 20	kgs	Chinese Cabbage 20	kgs	String beans 20	kgs	Carrots 20	kgs	Cabbage 20	kgs	Brocolli 20	kgs	Caulif</t>
  </si>
  <si>
    <t xml:space="preserve"> 1	UTP Cable CAT-6 Outdoor	UTP Cable CAT-6 Outdoor	1	Box	3,000.00 2	Crimping Tools	Crimping Tools	1	Piece	2,500.00 3	RJ45	RJ45 (Pass through hole design, Metal Shielded)	200	Piece	3,000.00 4	Gigabit Wi-Fi Router AC1900	Gigabit Wi-Fi Router AC1900 Max Strea</t>
  </si>
  <si>
    <t xml:space="preserve"> Palay Seeds: (Certified) 40kg/bag Seeds: (Registered) 20kg/bag</t>
  </si>
  <si>
    <t xml:space="preserve"> CNHS-JHS 10   piece   Tornado Mop (big)  1    unit     Balance Beam with Height Rod Physician Scale 10   piece   PC Headphone Microphone MIC A4 Tech  2    bndle   Rags, all cotton 32pcs per kilogram  2    piece   Disinfecting Foot Mat  2    piece   Wirele</t>
  </si>
  <si>
    <t xml:space="preserve"> The Barangay Government of Concepcion Pequeña, Naga City intends to apply for the sum of Two Hundred Ninety Seven Thousand One Hundred Pesos (Php 297,100.00) to payments under the contract for the proposed Drainage at Zone 2, Canuto Village, Concepcion Pe</t>
  </si>
  <si>
    <t xml:space="preserve"> 20 bags cement, 1 cu. m. sand, 1 cu. m. gravel, 80 kgs. 12mm dia. RSB, 1 kg. g.i. wire, 1 pc. 4 x 8 x 1/2 plywood 198 bags cement, 11 cu.m. sand, 22 cu.m. gravel 3/4, 119 bd.ft. form lumber, 5 kgs. asstd. C.W. nail</t>
  </si>
  <si>
    <t xml:space="preserve"> 1	1500	piece	Hollow Blocks	 2	60	piece	Corrugated Bar #10	 3	60	piece	Corrugated Bar #9	 4	150	bag	Cement	 5	5	kilo	Tie wire	 6	2	mini dum	Fine Sand	 7	60	piece	GI pipe 3/4	 8	50	piece	Faucet	 9	35	piece	GI joint 3/4	 10	40	piece	GI elbow 3/4	 11	30	piece</t>
  </si>
  <si>
    <t xml:space="preserve"> Installation of 1 unit single piston at least 24HP diesel engine 2,400RPM, input capacity approximate 6 to 8sack/hour at 50kg per sack, all steel heavy duty framing, with a feeder and return elevator with auto overload by pass, with cyclone dust/bran cole</t>
  </si>
  <si>
    <t xml:space="preserve"> 1 unit Laptop - 15.6 inch 114Hz IPS display Full HD resolution (1920x1080) intel core i7-9750H processor NVIDIA GeForce GTX 1650GB graphics 8Gb DDR4-2666 RAM 512 GBM.2 2280SSD storage Windows 10 Home Backlit keyboard</t>
  </si>
  <si>
    <t xml:space="preserve"> 1.     1,617      SACKS   RICE  (50/kls) APPROVED BUDGET FOR THE CONTRACT: PHP 3,557,400.00 LOCATION OF THE CONTRACT: BATARAZA, PALAWAN DURATION OF THE CONTRACT: 7 DAYS SCHEDULE OF ACTIVITIES: POSTING AND ISSUANCE OF BIDS: JUNE 13-17, 2020 PRE-BID CONFERE</t>
  </si>
  <si>
    <t xml:space="preserve"> 1 unit brand new komatsu D53 starter assy, 1 pail oil 40, 1 pc. epoxy, Labor 1 pc. radiator fan, 1 pc. oil filter, 4 ltrs. engine oil, 1 ltr. ATF, 1 set honda relay, 1 set fuse and relay box, electrical harness, Labor (electrical rehabilitation)</t>
  </si>
  <si>
    <t xml:space="preserve"> I. EXCAVATION AND DISPOSAL: A. LABOR: 1 Foreman 6 Laborers B. EQUIPMENT: 1 Unit Jackhammer Direct Cost 15% O. C. M. 10% Profit 5% V.A.T II. CONCRETE WORKS: Canal Dimension: L= 60m  W=0.4m  H=0.2m A. MATERIALS: 120 bags Portland Cement 8 cu.m. White Sand 1</t>
  </si>
  <si>
    <t xml:space="preserve"> SUPPLIES AND DELIVERY OF DRUGS AND MEDICINE AND VITAMINS FOR THE USED OF BARANGAY SAGAD</t>
  </si>
  <si>
    <t xml:space="preserve"> 1	15	gal	Paint gloss -latex - cream	 2	10	gal	Paint gloss - latex- green	 3	2	gal	Paint thinner	 4	5	pcs	Paint brush #2	 5	5	pcs	Paint brush #1	 6	5	pcs	Paint brush #3	 7	2	pcs	Roller brush with plate	 8	10	pcs	Marine Plyboard #1	 9	2	kilo	Nails #2	 10	2	</t>
  </si>
  <si>
    <t xml:space="preserve"> 4 gal oil coolant, 1 pail oil 10 1 pc. injector assylum, 1 pc. R/R ECD assylum (driver injector), 1 pc. silica gel, 1 pc. valve cover gasket, 4 pcs. oil seal 1 pc. tire 70/70/14, 1 pc. tire 80/90/14, 2 pail rev-x sae 40, 4 gal diesel engine oil turbo, 2 p</t>
  </si>
  <si>
    <t xml:space="preserve"> Purchase of School Purchase materials Php 2,000.00</t>
  </si>
  <si>
    <t xml:space="preserve"> PURCHASE OF SCHOOL GARDEN TOOLS AND OTHER MATERIALS Php 8,000.00 INCLUDES HAULING AND DELIVERY.</t>
  </si>
  <si>
    <t xml:space="preserve"> 100 Box Long White Folder (Sold by 50's) 100 Box Short White Folder (Sold by 50's) 50 Box Panda Crystal Ballpen Color Blue 50 Box Panda Crystal Ballpen Color Black 50 Box Erasing Whiteboard Marker Pen ( 1Box/10Pcs) Color Black 50 Box Erasing Whiteboard Ma</t>
  </si>
  <si>
    <t xml:space="preserve"> SUPPLIES AND DELIVERY OF OFFICE SUPPLIES FOR THE USED OF BARANGAY SAGAD</t>
  </si>
  <si>
    <t xml:space="preserve"> Purchase of School Forms and School ID's amounting Php 12,000.00</t>
  </si>
  <si>
    <t xml:space="preserve"> Item No. 	Description	UWM	QUANTITY	Unit Price (PhP)	Total Price (PhP) 1	Battery,Motolite,3SM	set	1		 2	Brake Fluid	liter	1		 3	Fuel Filter	pcs.	1		 4	Oil Filter	pcs.	1		 5	Synthetic Oil	liter	7		 6	Headlight bulb	pcs.	2		 7	wiper Blade	set 	1		 8	Air clea</t>
  </si>
  <si>
    <t xml:space="preserve"> Lot No.  Unit Item  Description/Particular   Quantity             No. Of Pax                  Unit Cost      Total Cost Lot No. 1 PSA-RSSO IX - Zamboanga City-Procurement                      Live-in participants-    2,500/pax    Php 645,000.00 of Caterin</t>
  </si>
  <si>
    <t xml:space="preserve"> The Barangay Government of Concepcion Pequeña, Naga City intends to apply for the sum of Five Hundred Twenty Thousand Three Hundred Pesos (Php 520,300.00) to payments under the contract for the proposed Drainage at Zone 2, Happy Homes to Outfall, Concepci</t>
  </si>
  <si>
    <t xml:space="preserve"> PURCHASE OF MEDICAL AND DENTAL SUPPLIES Php 3,780.00</t>
  </si>
  <si>
    <t xml:space="preserve"> Agusan National High School with its Bids nd Awards Commiittee (BAC) would like to request for RFQ for the Supply and Delivery of Covid-Response items/ Item	Quantity	Unit	Name of Article(s) &amp; Descriptions	Unit Price	Total	Remarks 1              	4	unit	Th</t>
  </si>
  <si>
    <t xml:space="preserve"> Please submit your quotation on or before June 17, 2020 at 9:00 A.M. Please see attached RFQ for terms and conditions.</t>
  </si>
  <si>
    <t xml:space="preserve"> Please submit your quotation on or before June 17, 2020 at 9:00 A.M. Please see attached RFQ for requirements and terms and conditions.</t>
  </si>
  <si>
    <t xml:space="preserve"> 1. The Total Approved Budget for the Contract (ABC) is Seven Hundred Fifty Thousand Pesos (Php 750,000.00). 2. Price quotation/s should be inclusive of tax obligations. 3. Evaluation of bids will be conducted either on a “per item” or “lot” basis. 4. Deli</t>
  </si>
  <si>
    <t xml:space="preserve"> PURCHASE OF OFFICE SUPPLIES INCLUDES PRINTER Php 26,000.00 INCLUDES DELIVERY AND HAULING</t>
  </si>
  <si>
    <t xml:space="preserve"> REHABILITATION OF SIXTEEN (16) UNITS CCTV CAMERAS AND REPLACEMENT OF VARIOUS MATERIALS AT BRGY. STA. ELENA, SAN PABLO CITY</t>
  </si>
  <si>
    <t xml:space="preserve"> Anti-flu vaccines @ least 6 months or more validity before expiry date (Quadrivalent Seasonal Flu/Influenza) 0.5 ml pre-filled syringe</t>
  </si>
  <si>
    <t xml:space="preserve"> Republic of the Philippines Province of Ilocos Sur Municipality of San Juan Barangay Lira OFFICE OF THE BIDS AND AWARDS COMMITTEE INVITATION TO APPLY FOR ELIGIBILITY AND TO BID The Barangay Lira,San Juan,Ilocos Sur through the Bids and Awards Committee(BA</t>
  </si>
  <si>
    <t xml:space="preserve"> PURCHASE OF SCHOOL SUPPLIES Php 48,300.00</t>
  </si>
  <si>
    <t xml:space="preserve"> REHABILITATION OF BASKETBALL COURT</t>
  </si>
  <si>
    <t xml:space="preserve"> Date: _________________ REQUEST FOR QUOTATION The City Government of Olongapo (CGO), through its Bids and Awards Committee, would like to undertake a Request for Quotation in accordance with RULE XVI Alternative Mode of Procurement, Section 52 (Shopping) </t>
  </si>
  <si>
    <t xml:space="preserve"> Republic of the Philippines Province of Palawan Municipality of Dumaran BIDS AND AWARDS COMMITTEE dum_bacsecretariat@yahoo.com REQUEST FOR QUOTATION (SUPPLY AND DELIVERY OF FUEL AND OIL FOR AGRICULTURE OFFICE USE) _______________________ _________________</t>
  </si>
  <si>
    <t xml:space="preserve"> Office aircon 1HP window type   (2 units)</t>
  </si>
  <si>
    <t xml:space="preserve"> Date:_________________	 RFQ No.:SPPF2020-PR.179			 Name of Company: _____________________________________ Address: _______________________________________________ Name of Store/Shop:_______________________________________________________ Address:_________</t>
  </si>
  <si>
    <t xml:space="preserve"> Sign pen 0.3 black	pc	200 Correction pen 12mL	pc	200 Flash drive 8GB	pc	200 Ballpen black	pc	200 Ballpen red	pc	100 Epson Inkbottle C13T664100 Black	Bottle	5 Epson Inkbottle C13T664200 Cyan	Bottle	5 Epson Inkbottle C13T664300 Magenta	Bottle	5 Epson Inkbot</t>
  </si>
  <si>
    <t xml:space="preserve"> Republic of the Philippines Province of Ilocos Sur Municipality of San Juan Barangay Lira OFFICE OF THE BIDS AND AWARDS COMMITTEE INVITATION TO APPLY FOR ELIGIBILITY AND TO BID The Barangay Lira,San Juan,Ilocos Sur through the Bids and Awards Committee (B</t>
  </si>
  <si>
    <t xml:space="preserve"> TITLE: SUPPLY AND INSTALLATION OF AIRCON 2.5HP INVERTER SPLIT TYPE  ABC: PHP116,000.00 SOURCE OF FUNDS: BRGY. IRA FUND SUPPLY AND INSTALLATION OF 2 UNITS AIRCON 2.5HP INVERTER SPLIT TYPE                                               x-x-x-x-x-x</t>
  </si>
  <si>
    <t xml:space="preserve"> (June-July 2020) Reproduction of Detailed Lesson Plan (Photocopy)</t>
  </si>
  <si>
    <t xml:space="preserve"> 15 gallons Chlorine Dioxide disinfectant 120 pieces Faceshield 100 cans Solbac Disinfectant spray 10 pieces Foot Mat Disinfectant 40 pieces Alcohol dispenser 2 rolls Plastic cover 30 pieces Plastic expanded envelope long with handle 50 reams Paper Multipu</t>
  </si>
  <si>
    <t xml:space="preserve"> Desktop Computer, Laptop Computer and Colored Printer</t>
  </si>
  <si>
    <t xml:space="preserve"> Please see attached Request for Quotation. Thank you.</t>
  </si>
  <si>
    <t xml:space="preserve"> Republika ng Pilipinas					 Department of Education					 Region XI					 Davao City					 Request for Quotation					 				Date:	 				PR No.:	000094 	Please quote your lowest price on the item/s listed below, subject to the General Conditions on the last page</t>
  </si>
  <si>
    <t xml:space="preserve"> 1 unit ID Printer Colored</t>
  </si>
  <si>
    <t xml:space="preserve"> Heavy duty mobile trash bins</t>
  </si>
  <si>
    <t xml:space="preserve"> Reproduction</t>
  </si>
  <si>
    <t xml:space="preserve"> Janitorial Supplies</t>
  </si>
  <si>
    <t xml:space="preserve"> 400 pax</t>
  </si>
  <si>
    <t xml:space="preserve"> Supplies and Materials for Barangay Traffic Enforcers</t>
  </si>
  <si>
    <t xml:space="preserve"> 1 LOT Subscription to a Video Conferencing and Online Meeting Software  -In accordance with the Technical Specifications  ABC: Php 615,000.00  NOTE: Please sign all pages of the Technical Specifications and submit it together with your quotation in a SEAL</t>
  </si>
  <si>
    <t xml:space="preserve"> Motorcycle with sidecar and Single Motorcycle</t>
  </si>
  <si>
    <t xml:space="preserve"> Angle Valve 2 Way 1/2 x 1/2 Angle Valve 1/2 Bidette Flexible Hose 1/2 x 1/2 Septic Tank Set Lavatory Ceramic HD P-Trap Complete Settings Faucets Goose Neck Teflon Tape Elastoseal Big Boral Semi-gloss Latex Paint Flat Wall Enamel Pain Paint Brush #2 Roller</t>
  </si>
  <si>
    <t xml:space="preserve"> Medical and Dental equipment</t>
  </si>
  <si>
    <t xml:space="preserve"> Cooling fan with cold air release</t>
  </si>
  <si>
    <t xml:space="preserve"> 2 unit CAMERA FILM X-A7 Mirrorless Camera with 15-45mm lens - BRAND NEW with ONE YEAR warranty. film introduces the X-A7, the latest addition to its X-series. This versatile mirrorless camera combines a stylish interior with stunning imaging.</t>
  </si>
  <si>
    <t xml:space="preserve"> 1   1 unit Computer Laptop Inter Core i7 8th gen or latest (2.30 GHz or higher) 8GB DDR4 RAM 1 TB HDD SATA 15.6" HD LED Display Intel HD Graphics Optical Disk Drive Pre-installed Windows 10 64-bit Operating System Free Mouse and Laptop Bag   2   2 unit Co</t>
  </si>
  <si>
    <t xml:space="preserve"> Republic of the Philippines Region 10 – Northern Mindanao Province of Lanao del Norte MUNICIPALITY OF BALO-I Email: mlgubaloi.ldn@gmail.com Office of the Bids and Awards Committee Invitation to Bid 1. The Local Government Unit of Balo-i, Lanao del Norte, </t>
  </si>
  <si>
    <t xml:space="preserve"> 1 150 PCS ATROPINE SULFATE 250MCG/ML AMPULE  2 135 PCS ADRENALINE AMPULE  3 1,000 PCS ALUMINUM + MAGNESIUM HYDROXIDE TABLET  4 86 BOT ASCORBIC ACID + ZINC DROPS 15ML  5 25 BOT ASCORBIC ACID + TAURINE + LYSINE SYRUP 60ML  6 36 BOT BUTAMIRATE CITRATE 7.5MG/</t>
  </si>
  <si>
    <t xml:space="preserve"> PG-2020-0021: Request for Quotation - Supply and Delivery of Asphalt Materials used in the Repair and Maintenance of National Roads within the 1st District of La Union Please see attached files for more information.</t>
  </si>
  <si>
    <t xml:space="preserve"> SECURITY SERVICES-PROVISION OF WATCHMAN FOR THE MONTH MARCH TO DECEMBER 2020 1 School Watchman of 12 HRS DUTY PER DAY FROM MARCH 1-DECEMBER 31, 2020(10 MONTHS)</t>
  </si>
  <si>
    <t xml:space="preserve"> DENR-ENVIRONMENTAL MANAGEMENT BUREAU Region 3 invites all eligible suppliers to quote the following: PROCUREMENT AND DELIVERY OF STORAGE DEVICES  PROCUREMENT AND DELIVERY OF STORAGE DEVICES  1. 128GB 2 in 19 Android mobile and computer U disk) Micro USB O</t>
  </si>
  <si>
    <t xml:space="preserve"> 1 10 m MESH WIRE 1"X1"  2 2 UNIT PLATFORM TROLLEY, DURABLE, 300KG CAP  3 7 ROLL ORCHID NET FOR SCREENHOUSE, BLACK, 5FTX40M  4 20 m GARDEN HOSE, HEAVY DUTY</t>
  </si>
  <si>
    <t xml:space="preserve"> Item I	-7.35 cu.m. Excavation works Item II	-7.025 cu.m. Concrete works Item III	-380 meters Installation of Electrical wirings Item IV	-7 sets Erection of Electrical post</t>
  </si>
  <si>
    <t xml:space="preserve"> Item I	-290 pcs. Excavation / Concreting of Concrete Post Item II	-1157.27 l.m. Installation of Barbed Wire</t>
  </si>
  <si>
    <t xml:space="preserve"> 1 2,300 LTRS DIESEL  2 485 LTRS GASOLINE</t>
  </si>
  <si>
    <t xml:space="preserve"> PURCHASE REQUEST														 														 NATIONAL IRRIGATION ADMINISTRATION														 Iloilo-Guimaras Irrigation Management Office														 Region VI, Brgy. Tacas, Jaro, Iloilo City														 														 Department		IGIMO										PR </t>
  </si>
  <si>
    <t xml:space="preserve"> DENR-ENVIRONMENTAL MANAGEMENT BUREAU Region 3 invites all eligible suppliers to quote the following: PROCUREMENT AND DELIVERY OF STORAGE RACK AND LOCKER Storage Rack 4ft x 28in x 7ft--- 10 units Locker, 6 doors---- 3 pcs Cabinet for PPE’s, steel storage w</t>
  </si>
  <si>
    <t xml:space="preserve"> PG-2020-0023: Request for Quotation - Furnishing and Delivery of Road Safety Devices for the Repair/Rehabilitation and Maintenance of Road Safety Devices for the 1st District of La Union Please see attached files for more information.</t>
  </si>
  <si>
    <t xml:space="preserve"> 1   1 UNIT MEDICAL CHART RACK WITH WHEELS (2 TIER) 37H X 23W X 13D 2   2 UNIT MEDICAL CHART RACK WITH WHEELS (3 TIER) 37H X 33W X 13D   Remarks : The aluminum whelled chart carriers are designed to provide a lightweight and easy to use medical chart cart </t>
  </si>
  <si>
    <t xml:space="preserve"> PG-2020-0022: Request for Quotation - Supply and Delivery of Hiking and Safety Shoes for use in the Maintenance Section within the First District of La Union Please see attached files for more information.</t>
  </si>
  <si>
    <t xml:space="preserve"> The National Irrigation Administration – Pangasinan IMO now invites bids for the CONSTRUCTION OF BAYAOAS SRIP – IRRIGATION FACILITIES (PHASE I) under FUND 501. The project is located at Aguilar, Pangasinan with the following description of work:	 I.	CONST</t>
  </si>
  <si>
    <t xml:space="preserve"> 20 rolls	Gauze roll 20 boxes	Teramycin eye ointment 50 boxes	IV-cañula G 18 50 boxes	IV-cañula G 20 20 boxes	1cc syringe 20 boxes	3cc syringe 50 boxes	Vita K ampoules 10 gallon	Betadine solution 145 boxes 	Chromic 20 (double arm) 100 boxes	Amoxicillin 250</t>
  </si>
  <si>
    <t xml:space="preserve"> 3 units - Core Switch 12 pairs - Patch Cord 12 pairs - SFP</t>
  </si>
  <si>
    <t xml:space="preserve"> 1 1 kg. 4" CW Nails  2 1 kg. 2½" CW Nails  3 1 kg. 1½" CW Nails  4 2 shts. 5mm thk. x 1.20m x 2.40m Marine Plywood, Type II with PS Markings  5 440 pcs. 0.60mm thk x 30mm x 75mm x 3.0m Metal Studs  6 160 pcs. 0.40mm thk x 19mm x 50mm x 5.0m Metal Furring </t>
  </si>
  <si>
    <t xml:space="preserve"> 2 Sets Desktop Specs: Processor: INTEL CORE i5 Mainboard: / V / SND / GLAN Video Card: 1GB Memory: 8GB Casing: 500WATTS CASING Keyboard Optical Mouse SSD: 128GB Harddrive: 1TB SATA CDRW / DVDRW: 24X SATA LIGHTSCRIBE Monitor: 18.5” LED Speakers UPS: APC 65</t>
  </si>
  <si>
    <t xml:space="preserve"> Repair/Maintenance of Municipal Vehicle (Backhoe) @ Samal, Bataan 1 pc - 3SM Battery</t>
  </si>
  <si>
    <t xml:space="preserve"> 2 units - 4K 55” UHD CCTV Display 1 unit - 32-ch NVR 1 unit - Data Cabinet Small 1 unit -8.0 mega Pixel (4K) IR Varifocal Bullet Camera</t>
  </si>
  <si>
    <t xml:space="preserve"> 1.	The Municipal Government of Burgos, Ilocos Norte, through the Nutrition Development Program, CY 2020 intends to apply the sum of PhP109,998.00 being the Approved Budget for the Contract (ABC) to payments under the contract for Purchase of Baby Cereals </t>
  </si>
  <si>
    <t xml:space="preserve"> Printing of Barangay Vehicle Sticker Signage @ Samal, Bataan 14 pcs - Barangay Vehicle Sticker Signage</t>
  </si>
  <si>
    <t xml:space="preserve"> Description  Section 1. Invitation to Bid Republic of the Philippines, Barangay Baluan, General Santos City, Invitation to Bid for the Improvement of Health Center at Baluan Proper. BAC-2020-003 1. The Barangay Council of Baluan, General Santos City hereb</t>
  </si>
  <si>
    <t xml:space="preserve"> 1.	The Municipal Government of Burgos, Ilocos Norte, through the 20% Economic Development Fund intends to apply the sum of PhP4,200,000.00 being the Approved Budget for the Contract (ABC) to payments under the contract for Concreting of Paayas-Bobon-Bayog</t>
  </si>
  <si>
    <t xml:space="preserve"> Rizo Ink Master  Bond Paper A4 ect.</t>
  </si>
  <si>
    <t xml:space="preserve"> Municipality of Sto. Tomas									 Barangay SAN PABLO									 									 									 INVITATION TO BID									 									 The Barangay Government of San Pablo, Sto. Tomas, Batangas through its Bids and Awards Committee ( BAC) 									 invites suppliers/de</t>
  </si>
  <si>
    <t xml:space="preserve"> DETAILED ESTIMATES: ITEM I EXCAVATION ITEM II CONCRETE WORKS ITEM III FORM WORKS</t>
  </si>
  <si>
    <t xml:space="preserve"> various</t>
  </si>
  <si>
    <t xml:space="preserve"> 7 Units Utility Cart Performance Specs: -To be Use in transporting food and wares in meals venues Technical Specs: -Versatile and durable utility cart -Holds up to 135kg -Textured surface for non-skid performance -Each shelf holds a full size dish rack or</t>
  </si>
  <si>
    <t xml:space="preserve"> Request for Quotation Date	               : June 11, 2020 Quotation No.             : 027- 2020 Mode of Procurement : Small Value Procurement 	 To all Eligible Suppliers: I.	Please quote your lowest price inclusive of VAT on the item/s listed below, subje</t>
  </si>
  <si>
    <t xml:space="preserve"> Contract ID:	20DL0214 Contract Name:	ORGANIZATIONAL OUTCOME 2 : PROTECT LIVES AND PROPERTIES AGAINST MAJOR FLOODS, FLOOD MANAGEMENT PROGRAM, CONSTRUCTION/ MAINTENANCE OF FLOOD MITIGATION STRUCTURES AND DRAINAGE SYSTEMS 6. CONSTRUCTION OF FLOOD CONTROL ALO</t>
  </si>
  <si>
    <t xml:space="preserve"> Contract ID:	20DL0213 Contract Name:	LOCAL PROGRAM, CONST. / REPAIR / REHAB. / IMPROVEMENT OF VARIOUS INFRASTRUCTURE INCLUDING LOCAL PROJECTS, NATIONAL ROADS AND BRIDGES, NATIONAL ROADS, CONSTRUCTION OF SLOPE PROTECTION ALONG OLD ZIGZAG ROAD, K0157+050 - </t>
  </si>
  <si>
    <t xml:space="preserve"> Contract ID:	20DL0211 Contract Name:	LOCAL PROGRAM, CONST. / REPAIR / REHAB. / IMPROVEMENT OF VARIOUS INFRASTRUCTURE INCLUDING LOCAL PROJECTS, NATIONAL ROADS AND BRIDGES, NATIONAL ROADS, CONSTRUCTION OF SLOPE PROTECTION ALONG DAANG MAHARLIKA (LZ), K0174+0</t>
  </si>
  <si>
    <t xml:space="preserve"> Request for Quotation Date	               : June 11, 2020 Quotation No.             : 025- 2020 Mode of Procurement : Small Value Procurement 	 To all Eligible Suppliers: I.	Please quote your lowest price inclusive of VAT on the item/s listed below, subje</t>
  </si>
  <si>
    <t xml:space="preserve"> Contract ID:	20DL0209 Contract Name:	LOCAL PROGRAM, CONST. / REPAIR / REHAB. / IMPROVEMENT OF VARIOUS INFRASTRUCTURE INCLUDING LOCAL PROJECTS, NATIONAL ROADS AND BRIDGES, NATIONAL ROADS, CONSTRUCTION OF SLOPE PROTECTION ALONG OLD ZIGZAG ROAD, K0153+450 - </t>
  </si>
  <si>
    <t xml:space="preserve"> Contract ID:	20DL0210 Contract Name:	LOCAL PROGRAM, CONST. / REPAIR / REHAB. / IMPROVEMENT OF VARIOUS INFRASTRUCTURE INCLUDING LOCAL PROJECTS, NATIONAL ROADS AND BRIDGES, NATIONAL ROADS, CONSTRUCTION OF SLOPE PROTECTION ALONG OLD ZIGZAG ROAD, K0154+150 - </t>
  </si>
  <si>
    <t xml:space="preserve"> Request for Quotation Date	               : June 11, 2020 Quotation No.             : 026- 2020 Mode of Procurement : Small Value Procurement 	 To all Eligible Suppliers: I.	Please quote your lowest price inclusive of VAT on the item/s listed below, subje</t>
  </si>
  <si>
    <t xml:space="preserve"> Contract ID:	20DL0212 Contract Name:	LOCAL PROGRAM, CONST. / REPAIR / REHAB. / IMPROVEMENT OF VARIOUS INFRASTRUCTURE INCLUDING LOCAL PROJECTS, NATIONAL ROADS AND BRIDGES, NATIONAL ROADS, CONSTRUCTION OF SLOPE PROTECTION ALONG OLD ZIGZAG ROAD, K0156+650 - </t>
  </si>
  <si>
    <t xml:space="preserve"> DETAILED ESTIMATES ITEM I DEMOLITION AND REMOVAL OF EXISTING STRUCTURES ITEM II CONCRETE WORKS ITEM III FORMS AND SCAFFOLDINGS ITEM IV ROOFING AND ROOF FRAMING</t>
  </si>
  <si>
    <t xml:space="preserve"> 20-10142</t>
  </si>
  <si>
    <t xml:space="preserve"> CELL CLEANER 120ML CELLPACK 20L/PK-30L E-CHECK (XS) L1; 1.5ML E-CHECK (XS) L2; 1.5ML E-CHECK (XS) L; 1.5ML STROMATOLYSER 4DL 5L/FFD-200A STROMATOLYSER 4DS 3 x 42ml/ FFS0800A SULFOLYSER 5L/ SLS-220A</t>
  </si>
  <si>
    <t xml:space="preserve"> PROCUREMENT OF VARIOUS OFFICE SUPPLIES ***Please see attached list of items and their minimum specifications. NOTES: 1. Price quotations must be valid for a period of thirty calendar days from the date of submission. 2. Price quotations, to be denominated</t>
  </si>
  <si>
    <t xml:space="preserve"> BIDS AND AWARDS COMMITTEE INVITATION TO SUBMIT PRICE QUOTATIONS SMALL VALUE PROCUREMENT No. 053-2020                                                                 The METRO ROXAS WATER DISTRICT (MRWD), through its Bids and Awards Committee (BAC), invite</t>
  </si>
  <si>
    <t xml:space="preserve"> 1 unit Laptop Computer</t>
  </si>
  <si>
    <t xml:space="preserve"> BUN LIQUID 625ML/KIT	1	SET CHEMISTRY CONTROL LEVEL 1 50ML/KIT	1	SET CHEMISTRY CONTROL LEVEL 2 50ML/KIT	1	SET TRIGLYCERIDES, GPO LIQUID 1000ML/KIT	1	SET URIC ACID LIQUID 1000ML/KIT	1	SET CHOLESTEROL LIQUID 1000ML/KIT	1	SET</t>
  </si>
  <si>
    <t xml:space="preserve"> Contract ID:	20DL0218 Contract Name:	C. CONVERGENCE AND SPECIAL SUPPORT PROGRAM 3. CONSTRUCTION / IMPROVEMENT OF ACCESS ROADS LEADING TO TRADES, INDUSTRIES, AND ECONOMIC ZONES 5. ACCESS ROADS IN SUPPORT OF HANDICRAFTS, FOODS, COCONUT PROCESSING, AND OTHER</t>
  </si>
  <si>
    <t xml:space="preserve"> 20-10144</t>
  </si>
  <si>
    <t xml:space="preserve"> 1.	The Capiz Provincial Government, through the GOP–2020 intends to apply the total amount Two Million Two Hundred Twenty Thousand Five Hundred Twenty-Five Pesos (Php 2,220,525.00) being the total Approved Budget for the Contract (ABC) to payments under t</t>
  </si>
  <si>
    <t xml:space="preserve"> Contract ID:	20DL0215 Contract Name:	ORGANIZATIONAL OUTCOME 2 : PROTECT LIVES AND PROPERTIES AGAINST MAJOR FLOODS, FLOOD MANAGEMENT PROGRAM, CONSTRUCTION/ MAINTENANCE OF FLOOD MITIGATION STRUCTURES AND DRAINAGE SYSTEMS 13. REHABILITATION OF FLOOD CONTROL </t>
  </si>
  <si>
    <t xml:space="preserve"> Contract ID:	20DL0219 Contract Name:	LOCAL PROGRAM, LOCAL INFRASTRUCTURE PROGRAM, BUILDINGS AND OTHER STRUCTURES, MULTIPURPOSE / FACILITIES 35. CONSTRUCTION OF NEW MUNICIPAL HALL, GUMACA QUEZON Contract Location:	GUMACA QUEZON Brief Description:		CONSTRUC</t>
  </si>
  <si>
    <t xml:space="preserve"> Contract ID:	20DL0208 Contract Name:	LOCAL PROGRAM, CONST. / REPAIR / REHAB. / IMPROVEMENT OF VARIOUS INFRASTRUCTURE INCLUDING LOCAL PROJECTS, NATIONAL ROADS AND BRIDGES, NATIONAL ROADS, CONSTRUCTION OF SLOPE PROTECTION ALONG DAANG MAHARLIKA (LZ), K0155+1</t>
  </si>
  <si>
    <t xml:space="preserve"> PG-2020-0024: Request for Quotation - Supply and Delivery of Various Oil and Lubricants for Use in the Operation of Various Service Vehicles and Equipments of DPWH-LUED I Office Please see attached files for more information.</t>
  </si>
  <si>
    <t xml:space="preserve"> 12 boxes	DELFIA Inducer (12 x 500 mL) General Conditions: 1. All entries must be typewritten or in print. 2. Price validity shall be for a period of 90 calendar days. 3. PhilGEPS Registration Certificate and Mayor’s Permit shall be attached upon submissio</t>
  </si>
  <si>
    <t xml:space="preserve"> Quantity	        Unit		          Description				Estimated Unit Price	                           Amount 2	                  kls		            Chlorine 				 250.00 	                          500.00  4	 	          gal               	Alcohol (70% Solution)		70</t>
  </si>
  <si>
    <t xml:space="preserve"> Catering Services under Natural Resources Conservation and Development Program - Protected Areas Development Management Activities Location: DENR-PENRO Mabini Superhighway, Digos City, Davao del Sur Approved Budget Cost: Php368,950.00 Source of Funds: GAA</t>
  </si>
  <si>
    <t xml:space="preserve"> REPUBLIC OF THE PHILIPPINES LGU-Tigaon, Camarines Sur Caraycayon, Tigaon, Camarines Sur -o0o- BIDS &amp; AWARDS COMMITTEE INVITATION TO BID CONSTRUCTION OF VARIOUS INFRA PROJECTS PROJECT ID NO. INFRA-20-003 1.	The Local Government Unit of Tigaon, Camarines Su</t>
  </si>
  <si>
    <t xml:space="preserve"> Contract ID:	20DL0217 Contract Name:	C. CONVERGENCE AND SPECIAL SUPPORT PROGRAM 1. CONSTRUCTION / IMPROVEMENT OF ACCESS ROADS LEADING TO DECLARED TOURISM DESTINATIONS 4. ACCESS ROAD LEADING TO LAMESANG BATO, CALAUAG, QUEZON Contract Location:	CALAUAG, QUE</t>
  </si>
  <si>
    <t xml:space="preserve"> Quantity	                     Unit		Description				Unit Price	                  Amount 2	                            pcs		Two- Way Radio 			 4,500.00 	                  9,000.00  			                               128 VHF/UHF Channels					 			             </t>
  </si>
  <si>
    <t xml:space="preserve"> 562 packs</t>
  </si>
  <si>
    <t xml:space="preserve"> Procurement of Supplies</t>
  </si>
  <si>
    <t xml:space="preserve"> *Please see attached RFQ</t>
  </si>
  <si>
    <t xml:space="preserve"> REPUBLIC OF THE PHILIPPINES LGU-Tigaon, Camarines Sur Caraycayon, Tigaon, Camarines Sur -o0o- BIDS &amp; AWARDS COMMITTEE INVITATION TO BID SUPPLY AND DELIVERY OF MATERIALS FOR THE CONSTRUCTION OF MATERIAL RECOVERY FACILITY  CARAYCAYON, TIGAON, CAMARINES SUR </t>
  </si>
  <si>
    <t xml:space="preserve"> Contract ID:	20DL0216 Contract Name:	CONVERGENCE AND SPECIAL SUPPORT PROGRAM, CONSTRUCTION / IMPROVEMENT OF VARIOUS INFRASTRUCTURE IN SUPPORT OF NATIONAL SECURITY 1. ACCESS ROAD LEADING TO 85TH INFANTRY BATTALION BRGY. VILLA PRINSIPE-SAN ISIDRO KANLURAN-M</t>
  </si>
  <si>
    <t xml:space="preserve"> The Barangay Government of Barangay HIDALGO, Tanauan City, Batangas through the Bids and Awards Committee (BAC) invites Suppliers/Contractors to apply for eligibility and if subsequently found eligible, to bid for the projects described hereunder, viz: Na</t>
  </si>
  <si>
    <t xml:space="preserve"> Quantity	Unit		Description				                       Estimated Unit Price	   Amount 4		set	Non-contact -Infrared Thermometer				 4,000.00 	                   16,000.00  			Beeping Warning , Long standby time					 			One key to measure temperature, Highly </t>
  </si>
  <si>
    <t xml:space="preserve"> 1	Anti Virus	For more than 2 users (Applicable in Window 7-10)	5	Piece	6,000.00 2	UPS	up to 50 mins. runtime	2	Unit	5,000.00 3	Ink Tank Printer	with ADF	1	Unit	15,000.00 4	Epson Ink C13T00V100(003)	Black Original65ml	10	Bottle	2,500.00 5	Epson Ink C13T00V</t>
  </si>
  <si>
    <t xml:space="preserve"> Finishing Wokrs of Brgy. Dilan Multi-Purpose Hall</t>
  </si>
  <si>
    <t xml:space="preserve"> Finishing Wokrs of Brgy. Imbalbalatong Multi-Purpose Hall</t>
  </si>
  <si>
    <t xml:space="preserve"> Republic of the Philippines								 Province of Negros Occidental								 Municipality of La Castellana								 Bids and Awards Committee								 								 INVITATION TO APPLY FOR ELIGIBILITY AND TO BID								 								 Name of Project: 		PROPOSED WATER TA</t>
  </si>
  <si>
    <t xml:space="preserve"> 1.	The National Irrigation Administration – Pangasinan IMO, through the General Appropriation Act of 2020 intends to apply the sum of TWELVE MILLION ONE HUNDRED SIXTY TWO THOUSAND ONE HUNDRED TWENTY SEVEN &amp; 67/100 PESOS (12,162,127.68) being the Approved </t>
  </si>
  <si>
    <t xml:space="preserve"> 4   pcs. 4'x8'x1/4" thick marine plywood 3   pcs. 4'x8'x1/4thick marine plywood 30 pcs. 2"x1/2"x8' good lumber 5   kilos assorted common nails 4   pcs.  Ga.#22x12' corr.GI sheets 1   kilo   Umbrella nails  1   can   Vulcaseal 8   pcs.  Amakan 10 bottles V</t>
  </si>
  <si>
    <t xml:space="preserve"> 18 pcs. Orbit fan/ceiling fan 16 inches diameter plastic blade</t>
  </si>
  <si>
    <t xml:space="preserve"> Procurement of Other Supplies</t>
  </si>
  <si>
    <t xml:space="preserve"> 1.	The National Irrigation Administration – Pangasinan IMO now invites bids for the CONSTRUCTION OF DUMOLOC SRIP – FIELD OFFICE under FUND 501. The project is located at Dumoloc, Pangasinan with the following description of work:	 I.	CONSTRUCTION OF FIELD</t>
  </si>
  <si>
    <t xml:space="preserve"> Repair of Office Building (Repair of IMEG Lounge)</t>
  </si>
  <si>
    <t xml:space="preserve"> Request for PCOO OGMPA HARD DRIVES  Please see attached RFQ form for more details Please submit your quotations through email to psu.pcoo@gmail.com</t>
  </si>
  <si>
    <t xml:space="preserve"> Please quote your lowest price on the item/s listed below, subject tot the General Conditions on the last page, stating the shortest time of delivery and submit your quotation duly signed by your representative. The warranty shall be for a period of six m</t>
  </si>
  <si>
    <t xml:space="preserve"> 100	bot	Alcohol 150	box	Bond Paper Q2, A4 70	box	Bond Paper F4 20	unit	Calculator 50	box	Carbon Paper black, blue 25	box	Coin Envelop # 8 500	pc	Disbursement voucher filer 200	pc	Expanded Envelop w/ rubber assrtd color 26	pc	Flash drive 32gb 20	unit	Heavy</t>
  </si>
  <si>
    <t xml:space="preserve"> * Please see attached RFQ</t>
  </si>
  <si>
    <t xml:space="preserve"> Supply and delivery of construction materials for the Installation of Street Light.</t>
  </si>
  <si>
    <t xml:space="preserve"> See attached document Download the RFQ at www.urs.edu.ph</t>
  </si>
  <si>
    <t xml:space="preserve"> 290	bxs	Pixma Canon ink refill (790) 3 colored 200	bxs	Pixma Canon ink refill (790) black 100	btls	HP laserjet 125A toner  115	btls	HP laserjet 85A toner</t>
  </si>
  <si>
    <t xml:space="preserve"> 60	rem	Letter Head Paper Stationary Long 50	rem	Letter Head Paper Stationary Short 50	pck	Salary Index 100pcs 20	box	Sharpener Mechanical heavy duty 50	pck	Subsidiary ledger (100)pcs 100	bxs	Push it note pad (4x8") 50	unit	Calculator 12 dig 100	btl	Glue (</t>
  </si>
  <si>
    <t xml:space="preserve"> ITEM NO.	UNIT		QTY		DESCRIPTION		 							 1	 bags 		381		Portland Cement (Type I)		 2	 cu.m 		42		 Gravel  		 3	 cu.m 		21		 Sand 		 4	 kgs 		8		 Asphalt Filter 		 5	 cu.m 		37		 Mixed Aggregates 		 INVITATION TO BID The Municipality of Sablayan through i</t>
  </si>
  <si>
    <t xml:space="preserve"> PLS SUBMIT PRICE QUOTATION AS PER ATTACHED RFQ</t>
  </si>
  <si>
    <t xml:space="preserve"> See the attached document for details Download the RFQ at www.urs.edu.ph</t>
  </si>
  <si>
    <t xml:space="preserve"> ITEM NO.	UNIT		QTY		DESCRIPTION		 							 1	 ltrs 		46020		Diesel		 2	 gals 		104		 Oil #10 		 3	 gals 		52		 Oil #40 		 4	 ltrs 		92		 ATF 		 INVITATION TO BID The Municipality of Sablayan through its Bids and Awards Committee (BAC) invites all intereste</t>
  </si>
  <si>
    <t xml:space="preserve"> 100	doz	Worx spealty paper long 100	bxs	Carbon Paper black 24/bxs 120	bxs	Paper Clip coated big 24/bx 120	bxs	Coin Envelop # 8 86	bxs	Documentary brown krft env.L 86	bxs	Documentary brown krft env.Short 100	doz	Expanded Env. Green w/ metal 100	doz	Expande</t>
  </si>
  <si>
    <t xml:space="preserve"> ITEM NO.	UNIT		QTY		DESCRIPTION		 							 1	 ltrs 		46270		Diesel		 2	 gal 		88		 Oil #10 		 3	 gal 		56		 Oil #40 		 4	 ltrs 		84		 ATF 		 INVITATION TO BID The Municipality of Sablayan through its Bids and Awards Committee (BAC) invites all interested c</t>
  </si>
  <si>
    <t xml:space="preserve"> PLS SUBMIT QUOTATION AS PER ATTACHED RFQ</t>
  </si>
  <si>
    <t xml:space="preserve"> as per attached RFQ</t>
  </si>
  <si>
    <t xml:space="preserve"> ITEM NO.	UNIT		QTY		DESCRIPTION		 							 1	 clip 		6		Nylon String		 2	 kgs. 		17		 CWN Assorted 		 3	 bd. Ft. 		375		 Form Lumber 		 4	 cu.m 		66		 Aggregates 		 5	 pcs. 		10		 Pinolic Board 1/2" 		 6	 bags 		220		 Cement 		 7	 cu.m 		34		 Mixed Aggrega</t>
  </si>
  <si>
    <t xml:space="preserve"> 25	unit	HP laser jet 85 A toner 25	unit	HP laser jet 12 A toner 25	unit	Toner Kyocera-100 25	unit	Toner Kyocera-1147 25	unit	Toner Kyocera-135 50	bot	Pixma Canon GI Refill ink BK 794 150	bot	Pixma Canon GI Refill ink (C,Y,M) 794</t>
  </si>
  <si>
    <t xml:space="preserve"> BIDS AND AWARDS COMMITTEE INVITATION TO SUBMIT PRICE QUOTATIONS SMALL VALUE PROCUREMENT No. 054-2020                                                                 The METRO ROXAS WATER DISTRICT (MRWD), through its Bids and Awards Committee (BAC), invite</t>
  </si>
  <si>
    <t xml:space="preserve"> Republic of the Philippines Province of Eastern Samar Municipality of Mercedes INVITATION TO BID FOR THE PROCUREMENT OF GOODS PROCUREMENT OF LDRRM IT EQUIPMENT  (1 LOT CCTV SUPPLY AND INSTALLATION) ITB NO. GOODS-2020-02-003  1.	The LOCAL GOVERNMENT  UNIT </t>
  </si>
  <si>
    <t xml:space="preserve"> ITEM NO.	UNIT		QTY		DESCRIPTION		 							 							 1	 unit 		1		 Aircon Split type 2.5 HP 		 					 Inverter w/ remote 		 							 REQUEST FOR QUOTATION							 Date of Posting:	June 12, 2020					Ref. No.	RN 134-2020 RFQ  						PR No.	8731-20-6-10-0062L 					</t>
  </si>
  <si>
    <t xml:space="preserve"> Carpentry Works, Painting works, plumbing work, etc</t>
  </si>
  <si>
    <t xml:space="preserve"> Name of Project	:	HIRING OF RESEARCH BOAT AND MOTOR LAUNCH FOR OFFICIAL USE OF TUBBATAHA                                 REEFS NATURAL PARK – MANAGEMENT OFFICE Destination	:	Puerto Princesa City to Tubbataha Reefs Natural Park, Cagayancillo, Palawan to Pu</t>
  </si>
  <si>
    <t xml:space="preserve"> Construction / Rehabilitation of Water Supply</t>
  </si>
  <si>
    <t xml:space="preserve"> Date:_________________	 RFQ No.:SPPF2020-PR.177			 Name of Company: ______________________________________________________________________ Address: _______________________________________________________________________________ Name of Store/Shop:________</t>
  </si>
  <si>
    <t xml:space="preserve"> Construction of Concrete Road</t>
  </si>
  <si>
    <t xml:space="preserve"> Name of Activity: 	Repair of Division Office (SDS and Supervisor Office) ABC: 	Php. 200,041.71 Specifications: 		See the attached request for quotation Duration	:		30 calendar days Interested Bidders are required to submit their valid and current DTI Busi</t>
  </si>
  <si>
    <t xml:space="preserve"> The San Jose City LGU, through its BAC, invites contractors registered and classified by the Philippine Contractors Accreditation Board(PCAB) to apply for eligibility and if found eligible, to bid for the hereunder contract: Name of Project: Improvement o</t>
  </si>
  <si>
    <t xml:space="preserve"> Rehabilitation/ Reconstruction of Roads with Slips, Slope Collapse, and Landslide – Quezon Hill Rd #1 – K0308+153 – K0308+175, K0308+428 – K0308+447 Contract Location :	Baguio City Approved Budget for the Contract :	Php8,330,000.00 Scope of  work  :	Rehab</t>
  </si>
  <si>
    <t xml:space="preserve"> Deliveries of Supplies and Materials for the Rehabilitation of Gymnasium Phase IV at Barangay Basiad, Sta. Elena Camarines Norte.</t>
  </si>
  <si>
    <t xml:space="preserve"> Contract Package 7: Preventive Maintenance: a. Abanao Ext. – Chainage 008 – Chainage 111 (SO5052LZ) b. Major Mane Rd. – Chainage 057 – Chainage 112 (SO0489LZ) c. Quezon Hill Drive – Chainage 000 – Chainage 075 (SO0503LZ) d. Quirino H-Way (Baguio-Bauang) –</t>
  </si>
  <si>
    <t xml:space="preserve"> The San Jose City LGU, through its BAC, invites contractors registered and classified by the Philippine Contractors Accreditation Board(PCAB) to apply for eligibility and if found eligible, to bid for the hereunder contract: Name of Project: Concreting of</t>
  </si>
  <si>
    <t xml:space="preserve"> Deliveries of Supplies and Materials of Multi-Purpose Solar Drier at Barangay Basiad Sta. Elena, Camarines Norte.</t>
  </si>
  <si>
    <t xml:space="preserve"> Grade 7 = 280 pages x 120 learners x.0.75 = 25,200 Grade 8 = 264 pages x 120 learners x 0.75 = 23,760 Grade 9 = 280 pages x 110 learners x 0.75 = 23,100 Grade 10 = 272 pages x 120 learners x 0.75 = 24,480                                              Total</t>
  </si>
  <si>
    <t xml:space="preserve"> Deliveries of supplies and materials for the rehabilitation of Fence ( Barangay Site) at Barangay Basiad, Sta. Elena, Camarines Norte.</t>
  </si>
  <si>
    <t xml:space="preserve"> Construction of Slope Protection- Stone Masonry and Retaining Wall</t>
  </si>
  <si>
    <t xml:space="preserve"> 2000 pieces  of PLASTIC ENVELOPE - EXPANDABLE BAG WITH HANDLE 2"X 11"X15"</t>
  </si>
  <si>
    <t xml:space="preserve"> 1 lot 2020-058, CONSTRUCTION OF MULTI-PURPOSE HALL AT PUROK 6, BARANGAY NALIN, MIDSAYAP, COTABATO</t>
  </si>
  <si>
    <t xml:space="preserve"> 1 lot 2020-057, COMPLETION OF COVERED COURT AT BARANGAY SAN ISIDRO, MIDSAYAP, COTABATO</t>
  </si>
  <si>
    <t xml:space="preserve"> The Sangguniang Barangay of  San Rafael Village, Navotas City through its Committee on Bids and Awards  is inviting prospective suppliers to give their lowest quotation for the following items.</t>
  </si>
  <si>
    <t xml:space="preserve"> INVITATION TO BID REPUBLIC OF THE PHILIPPINES CITY OF GOVERNMENT OF NAVOTAS BARANGAY SAN RAFAEL VILLAGE   BIDS AND AWARDS COMMITTEE 1.The Sangguniang BaraNGAY San Rafael Village, through its Bids and Awards Committee intends to  apply the sun of Eighty Th</t>
  </si>
  <si>
    <t xml:space="preserve"> Negotiated Procurement pursuant to Section 53.9 (Small Value Procurement) of the Revised Implementing Rules and Regulations (IRR) of Republic Act No. 9184 (RA 9184), which took effect on September 2, 2009. Sir/Madam:				      Please quote your government </t>
  </si>
  <si>
    <t xml:space="preserve"> INVITATION TO BID NO. UPRIIS-DI-CW-2020-04 1.The National Irrigation Administration - Upper Pampanga River Integrated Irrigation Systems (NIA-UPRIIS), Division I, Malayantoc, Sto. Domingo, Nueva Ecija, through the GAA CY 2020 project intends to apply the </t>
  </si>
  <si>
    <t xml:space="preserve"> INVITATION TO BID REPUBLIC OF THE PHILIPPINES CITY OF GOVERNMENT OF NAVOTAS BARANGAY SAN RAFAEL VILLAGE   BIDS AND AWARDS COMMITTEE 1.The Sangguniang BaraNGAY San Rafael Village, through its Bids and Awards Committee intends to  apply the sun of Two Hundr</t>
  </si>
  <si>
    <t xml:space="preserve"> 1 (one) Set of Public Address</t>
  </si>
  <si>
    <t xml:space="preserve"> The Agricultural Training Institute Region IV-A (ATI Region IV-A) invites interested suppliers to submit quotations/ proposals for the hereunder requirement: Supply and Delivery of Industrial Air Purifier for precautionary measure against bacteria and vir</t>
  </si>
  <si>
    <t xml:space="preserve"> Republic of the Philippines					 Province of Bohol					 Municipality of Ubay					 					 Request for Quotation					 					 Standard Form Number: SF-GOOD-60					  Revised on: May 24, 2004				Date: 	___________ Standard Form Title: Request for Quotation				Qu</t>
  </si>
  <si>
    <t xml:space="preserve"> 1.	For 30 years of age and below (Male and Female): a.	Physical Examination b.	Routine Urinalysis c.	Complete Blood Count with platelet count d.	Chest X-Ray (Plain) : Posterior-Anterior (PA) View e.	12-Lead Electrocardiogram (ECG) f.	Dental Examination g.</t>
  </si>
  <si>
    <t xml:space="preserve"> Supply and Delivery of Office Supplies</t>
  </si>
  <si>
    <t xml:space="preserve"> REQUEST FOR QUOTATION TERMS OF PAYMENT:   30 DAYS PRICE VALIDITY:        120 DAYS</t>
  </si>
  <si>
    <t xml:space="preserve"> Pls. See attached RFQ</t>
  </si>
  <si>
    <t xml:space="preserve"> Republic of the Philippines Department of Justice BUREAU OF CORRECTIONS SABLAYAN PRISON AND PENAL FARM Occidental Mindoro REQUEST FOR QUOTATION “SUPPLY &amp; DELIVERY OF VARIOUS MATERIALS FOR THE REPAIR OF SPPF BOUNDARY PERIMETER FENCE (1LOT)” Date:¬¬¬¬______</t>
  </si>
  <si>
    <t xml:space="preserve"> The Agricultural Training Institute Region IV-A (ATI Region IV-A) invites interested suppliers to submit quotations/ proposals for the hereunder requirement: Supply and Delivery of various construction supplies / materials and sprouting tray for Establish</t>
  </si>
  <si>
    <t xml:space="preserve"> Please send your lowest possible quotation for the Procurement of Paper Shredder. Due to the recent situation, you can forward your proposal and queries at clarisseannesalenga@dti.gov.ph until 17 June 2020, 10:00AM. For those who have not yet submitted th</t>
  </si>
  <si>
    <t xml:space="preserve"> Please quote your lowest price inclusive of VAT on the item/s listed below, subject to the Terms and Conditions of this RFQ, and submit your sealed quotation and other requirements duly signed by your representative not later than 10:00am of June 16, 2020</t>
  </si>
  <si>
    <t xml:space="preserve"> Contact Person  : Alain D. Casison- Mun. Engineer - 09302969658  Venue               : Datu Manlumidsa Conference Hall, 2nd floor Tubod Mun. Building,                            Poblacion, Tubod, S.D.N  Bid Openig        : June 22, 2020  Time             </t>
  </si>
  <si>
    <t xml:space="preserve"> The Agricultural Training Institute Region IV-A (ATI Region IV-A) invites interested suppliers to submit quotations/ proposals for the hereunder requirement: Provision of Meals and Snacks for the conduct of Seminar on Urban Agriculture with Starter Kits (</t>
  </si>
  <si>
    <t xml:space="preserve"> The Agricultural Training Institute Region IV-A (ATI Region IV-A) invites interested suppliers to submit quotations/ proposals for the hereunder requirement: Supply and Delivery of various Cookery / Kitchen Tools, Materials and Equipment for Meat Processi</t>
  </si>
  <si>
    <t xml:space="preserve"> INVITATION TO BID REPUBLIC OF THE PHILIPPINES CITY OF GOVERNMENT OF NAVOTAS BARANGAY SAN RAFAEL VILLAGE   BIDS AND AWARDS COMMITTEE 1.The Sangguniang BaraNGAY San Rafael Village, through its Bids and Awards Committee intends to  apply the sun of  Ninety-E</t>
  </si>
  <si>
    <t xml:space="preserve"> 10 pcs Oil filter BF 115-C415 2 pcs RACOR filter assembly 4 pcs RACOR filter element 53234 8 pcs Injector Assembly 1 pc Steering Assembly 20 pcs Spark Plug 4 pcs Control Cable 24ft Throttle and Shift 2 pcs Fuel Pump unit 2 pcs Fuel pump insulator 3 pcs Hi</t>
  </si>
  <si>
    <t xml:space="preserve"> 6 units Jetmatic Pump</t>
  </si>
  <si>
    <t xml:space="preserve"> The Agricultural Training Institute Region IV-A (ATI Region IV-A) invites interested suppliers to submit quotations/ proposals for the hereunder requirement: Supply and Delivery of various Agricultural Tools, Materials and Inputs for the conduct of Semina</t>
  </si>
  <si>
    <t xml:space="preserve"> NOTICE TO THE PUBLIC  REQUEST FOR QUOTATION AMP SVP NO: 20-06-0316A	              The University of the Philippines, Diliman (UPD) hereby informs the public that it will be procuring the following item/s through Small Value Procurement:   Lot No.	Item No.</t>
  </si>
  <si>
    <t xml:space="preserve"> Preventive Maintenance of Fire Suppression Systems: 1 Lot SPECIFICATIONS: I. Purpose: The procurement of contract for the preventive maintenance of fire suppression systems will ensure for the equipment is in good condition to achieve optimum performance </t>
  </si>
  <si>
    <t xml:space="preserve"> 1 unit 8way distribution box 1 pc.Circuit breaker 30A 2 pcs. Circuit breaker 20A 12 pcs LED bulb 30watts 10 pcs Rubber socket 5 pcs Tee socket 75 meters wire  3 pcs. Plug 2 rolls Electrical tape</t>
  </si>
  <si>
    <t xml:space="preserve"> The Agricultural Training Institute Region IV-A (ATI Region IV-A) invites interested suppliers to submit quotations/ proposals for the hereunder requirement: Supply and Delivery of BHAW Kit for hands-on demonstration Place of delivery: Agricultural Traini</t>
  </si>
  <si>
    <t xml:space="preserve"> 1 lot 2020-059, EXPANSION OF RURAL HEALTH UNIT(RHU) BUILDING, POBLACION 3, MIDSAYAP, COTABATO</t>
  </si>
  <si>
    <t xml:space="preserve"> Contact Person    : Alain D. Casison- Mun. Engineer -  09302969658  Venue                  : DatuManlumidssa Conference Hall, 2nd floor, Tubod Mun. Building                                Poblacion, Tubod, S.D.N.  Bid Opening         : June 22, 2020  Time</t>
  </si>
  <si>
    <t xml:space="preserve"> INVITATION TO BID REPUBLIC OF THE PHILIPPINES CITY OF GOVERNMENT OF NAVOTAS BARANGAY SAN RAFAEL VILLAGE  BIDS AND AWARDS COMMITTEE 1.The Sangguniang Barangay San Rafael, through its Bids and Awards Committee intends to  apply the sun of One Hundred Five T</t>
  </si>
  <si>
    <t xml:space="preserve"> Please see attached RFQ. You may also visit our website at www.jhmc.com for your more procurement opportunities. Thank you.</t>
  </si>
  <si>
    <t xml:space="preserve"> PM of Door Access Control and Biometrics System: 1 Lot I. Purpose: The procurement of contract for the preventive maintenance of door access control and biometrics system will ensure that the equipment is in good condition to achieve optimum performance a</t>
  </si>
  <si>
    <t xml:space="preserve"> NOTICE TO THE PUBLIC  REQUEST FOR QUOTATION AMP SVP NO: 20-06-0317B	              The University of the Philippines, Diliman (UPD) hereby informs the public that it will be procuring the following item/s through Small Value Procurement:   Qty/ Unit	Item D</t>
  </si>
  <si>
    <t xml:space="preserve"> Stock       Unit                Item Description                                                        Quantity 3                unit             Laptop with the following specs:                                       1                                    </t>
  </si>
  <si>
    <t xml:space="preserve"> The Agricultural Training Institute Region IV-A (ATI Region IV-A) invites interested suppliers to submit quotations/ proposals for the hereunder requirement: Establishment of ATIng Manukan Place: Agricultural Training Institute Region IV-A, Brgy. Lapidari</t>
  </si>
  <si>
    <t xml:space="preserve"> 100 pcs Plain R/N shirt (Unisex) - Color: Light Grey/Mint Blue  - Long Sleeves, Regular Fit - Cotton (Adult) - 1 color print, silkscreen</t>
  </si>
  <si>
    <t xml:space="preserve"> - 4 units Air pump (silent linear) Specifications: 60Hz; 0.15KGF/cubic meter; 80L/min; 72watts; 220v - 20 pcs Aquarium heater Specifications: Stainless steel heating rod; 500watts; submersible; with thermostat - 3 units Submersible pump Specifications: 1.</t>
  </si>
  <si>
    <t xml:space="preserve"> - 3 units VHF Radio (Kenwood-218A) Specifications per unit: 136-174 mhz; 200 channel; 65W; and with NTC permit. - 3 units Power Supply 20 AMPS - 3 units VHF Diamond Antenna F23 - 30 meters RG8 COAX - 15 pieces Amphenol Connectors - 3 pieces Antenna Pole S</t>
  </si>
  <si>
    <t xml:space="preserve"> NOTICE TO THE PUBLIC  REQUEST FOR QUOTATION AMP SVP NO: 20-06-0342	              The University of the Philippines, Diliman (UPD) hereby informs the public that it will be procuring the following item/s through Small Value Procurement:   Qty/Unit	Item Des</t>
  </si>
  <si>
    <t xml:space="preserve"> NOTICE TO THE PUBLIC  REQUEST FOR QUOTATION AMP SVP NO: 20-06-0114E	              The University of the Philippines, Diliman (UPD) hereby informs the public that it will be procuring the following item/s through Small Value Procurement:   Qty/Unit	Item De</t>
  </si>
  <si>
    <t xml:space="preserve"> INVITATION TO BID REPUBLIC OF THE PHILIPPINES CITY OF GOVERNMENT OF NAVOTAS BARANGAY SAN RAFAEL VILLAGE   BIDS AND AWARDS COMMITTEE 1.The Sangguniang BaraNGAY San Rafael Village, through its Bids and Awards Committee intends      to apply the sun of Eight</t>
  </si>
  <si>
    <t xml:space="preserve"> Liquid disinfectant cleaner - Concentrate (99% germs killer action) Liquid sanitizer for disinfection Toilet bowl cleaner Alcohol</t>
  </si>
  <si>
    <t xml:space="preserve"> NOTICE TO THE PUBLIC  REQUEST FOR QUOTATION AMP SVP NO: 20-06-0299A	              The University of the Philippines, Diliman (UPD) hereby informs the public that it will be procuring the following item/s through Small Value Procurement:   Qty/Unit	Item De</t>
  </si>
  <si>
    <t xml:space="preserve"> The Agricultural Training Institute Region IV-A (ATI Region IV-A) invites interested suppliers to submit quotations/ proposals for the hereunder requirement: Supply and Delivery of Weanlings and Heritage Chickens for the Implementaton of the Expanded Live</t>
  </si>
  <si>
    <t xml:space="preserve"> 1. 18 pcs. 2x2x10' Good Lumber 2. 6 pcs.   2x3x10' Good Lumber 3. 6 pcs.    2x4x10' Good Lumber 4. 8 pcs.   1/2"dia PVC Pipe (blue) 5. 10 pcs. 1/2" dia Assorted PVC Fittings 6. 8 pcs.   4'x8'x1/2" thick Marine Plywood 7. 2 cans  PVC Solvent Cement 8. 1 se</t>
  </si>
  <si>
    <t xml:space="preserve"> The National Commission for Culture and the Arts (NCCA) through its Procurement Section intends to procure “Monthly Building and Facility Disinfection and Sanitation” in accordance with Section 53.9 (Negotiated Procurement – Small Value Procurement) of th</t>
  </si>
  <si>
    <t xml:space="preserve"> ADDITIONAL CCTV CAMERAS FOR SAN VICENTE PILOT SCHOOL FOR PHILIPPINE CRAFTSMEN</t>
  </si>
  <si>
    <t xml:space="preserve"> 418 load cards</t>
  </si>
  <si>
    <t xml:space="preserve"> The Agricultural Training Institute Region IV-A (ATI Region IV-A) invites interested suppliers to submit quotations/ proposals for the hereunder requirement: Provision of Enhancement Support to LS (RTC-Based Urban Garden) Place: Agricultural Training Inst</t>
  </si>
  <si>
    <t xml:space="preserve"> NOTICE TO THE PUBLIC  REQUEST FOR QUOTATION AMP SVP NO: 20-06-0256B	              The University of the Philippines, Diliman (UPD) hereby informs the public that it will be procuring the following item/s through Small Value Procurement:   Qty/Unit	Item De</t>
  </si>
  <si>
    <t xml:space="preserve"> Aircon, 1HP   RTV Stainless Letters,   Malino Letters   Condenser Microphone Kit Studio   Mixer, with cables and guitar plug   Tripod, studio box  Microphone, wireless  Microphone, wired   Lapel   Green Screen, 3*3.6m/9.8*11.8ft   Studio Umbrella    Clip </t>
  </si>
  <si>
    <t xml:space="preserve"> The Agricultural Training Institute Region IV-A (ATI Region IV-A) invites interested suppliers to submit quotations/ proposals for the hereunder requirement: Supply and Delivery of Cattle for the Implementation of the YFFLTPF project Place of Delivery: Na</t>
  </si>
  <si>
    <t xml:space="preserve"> Van rental for DCP Monitoring</t>
  </si>
  <si>
    <t xml:space="preserve"> Please quote your lowest price inclusive of VAT on the item/s listed below, subject to the Terms and Conditions of this RFQ, and submit your quotation duly signed by your representative not later than 16 June 2020 at 306th Contracting Office, NSFA, Panaca</t>
  </si>
  <si>
    <t xml:space="preserve"> Description   Qty 1 lot    1 One (1) Year Subcription License  for Network Firewall Device SCOPE OF WORK:  &gt;Phone and Email support  &gt;Portal product updates  &gt;Version upgrades  &gt;Bug fixes  &gt;Knowledge Transfer   &gt;Assist in troubleshooting by the way of ass</t>
  </si>
  <si>
    <t xml:space="preserve"> Date:¬¬¬¬_________________	 RFQ No.:SPPF2020-PR.180			 Name of Company: ______________________________________________________________________ Address: _______________________________________________________________________________ Name of Store/Shop:____</t>
  </si>
  <si>
    <t xml:space="preserve"> The National Commission for Culture and the Arts (NCCA) through its Procurement Section intends to procure “Cloud Service” in accordance with Section 53.9 (Negotiated Procurement – Small Value Procurement) of the 2016 revised Implementing Rules and Regula</t>
  </si>
  <si>
    <t xml:space="preserve"> NOTICE TO THE PUBLIC  REQUEST FOR QUOTATION AMP SVP NO: 20-06-0324B	              The University of the Philippines, System (UPS) hereby informs the public that it will be procuring the following item/s through Small Value Procurement:   Lot No.	Item No.	</t>
  </si>
  <si>
    <t xml:space="preserve"> REHABILITATION OF THE SCHOOL FEEDING CENTER - Php 33, 860.00 30 sheets Corrugated G.I. sheet 3x12x0.4 - Php 15, 300.00 20 pcs. C purlins 2x3x20 - Php 8, 100.00 5 gal. Metal Primer - Php 2, 125.00 2 gal. Paint Thinner - Php 660.00 50 meters Heat Insulation</t>
  </si>
  <si>
    <t xml:space="preserve"> REPUBLIC OF THE PHILIPPINES CITY OF MANILA BARANGAY 225 ZONE 22 DISTRICT 2  BIDS AND AWARDS COMMITTEE INVITATION TO BID THE BARANGAY 225 ZONE 22 DISTRICT 2 MANILA, THROUGH IT'S BID AND AWARDS COMMITTEE (BAC) INVITES ALL SUPPLIERS WITH CERTIFICATE OF ACCRE</t>
  </si>
  <si>
    <t xml:space="preserve"> Republic of the Philippines Province of Pangasinan MUNICIPALITY OF AGNO THE BIDS AND AWARDS COMMITTEE Invitation to Bid for CONSTRUCTION OF BOX CULVERT AT BARANGAY PATAR 1.	The Municipality of Agno, Pangasinan, through the Annual Budget CY 2020 General Fu</t>
  </si>
  <si>
    <t xml:space="preserve"> THE KAPITOLYO HIGH SCHOOL IS IN NEED OF FOOT STOMP MAT WITH TRAY AND ALCOHOL DISPENSER WITH STABD FOOT PRESS FOR SCHOOL PROTECTION AND SAFETY.</t>
  </si>
  <si>
    <t xml:space="preserve"> THE KAPITOLYO HIGH SCHOOL IS IN NEED OF PAPERS FOR REPRODUCTION OF WORKSHEETS, SCHOOL FORMS AND EXAMINATIONS.</t>
  </si>
  <si>
    <t xml:space="preserve"> 6	pcs.	1/4" Marine plywood 24	pcs.	Metal Furring 128.34	sq.	1/4" thk Fixed Glass window  		on Alum. Frame 20.72	sq.	1/4" thk Swing Door Glass door  		on Alum. Frame  1	box	Blind rivets 1	kilo	Concrete Nails 1	pack	Sealant  16	pcs.	12 mm Square Bar 4	pcs.	</t>
  </si>
  <si>
    <t xml:space="preserve"> Republic of the Philippines Province of Pangasinan MUNICIPALITY OF AGNO THE BIDS AND AWARDS COMMITTEE Invitation to Bid for CONSTRUCTION OF PCCP AT SITIO BARSAK ROAD, BARANGAY GAYUSAN 1.	The Municipality of Agno, Pangasinan, through the Annual Budget CY 2</t>
  </si>
  <si>
    <t xml:space="preserve"> REPUBLIC OF THE PHILIPPINES CITY OF MANILA BARANGAY 241 ZONE 22 DISTRICT 2  BIDS AND AWARDS COMMITTEE  INVITATION TO BID THE BARANGAY 241 ZONE 22 DISTRICT 2 MANILA, THROUGH IT'S BID AND AWARDS COMMITTEE (BAC) INVITES ALL SUPPLIERS WITH CERTIFICATE OF ACCR</t>
  </si>
  <si>
    <t xml:space="preserve"> NOTICE TO THE PUBLIC  REQUEST FOR QUOTATION AMP SVP NO: 20-06-0333A	              The University of the Philippines, Diliman (UPD) hereby informs the public that it will be procuring the following item/s through Small Value Procurement:   Qty/Unit	Item De</t>
  </si>
  <si>
    <t xml:space="preserve"> 2 UNITS  WINDOW TYPE AIRCON 2.5 HP</t>
  </si>
  <si>
    <t xml:space="preserve"> Republic of the Philippines Province of Pangasinan MUNICIPALITY OF AGNO THE BIDS AND AWARDS COMMITTEE Invitation to Bid for CONSTRUCTION OF PUBLIC MARKET ROOFING, POBLACION EAST 1.	The Municipality of Agno, Pangasinan, through the Annual Budget CY 2020 Ge</t>
  </si>
  <si>
    <t xml:space="preserve"> Please see attached RFQ. You may also visit our website at www.jhmc.com.ph for more procurement opportunities. Thank you.</t>
  </si>
  <si>
    <t xml:space="preserve"> Sir/Madam: Please quote your government price/s including delivery charges, VAT or other applicable taxes, and other incidental expenses for the goods listed in Annex A. Failure to indicate information could be basis for non-compliance. Also, furnish us w</t>
  </si>
  <si>
    <t xml:space="preserve"> NOTICE TO THE PUBLIC  REQUEST FOR QUOTATION AMP SVP NO: 20-06-0271A	              The University of the Philippines, Diliman (UPD) hereby informs the public that it will be procuring the following item/s through Small Value Procurement:   Qty/Unit	Item De</t>
  </si>
  <si>
    <t xml:space="preserve"> Description  Section 1. Invitation to Bid Republic of the Philippines, Barangay Baluan, General Santos City, Invitation to Bid for the Riprapping of Drainage Canal at  Baluan Proper BAC-2020-004 1. The Barangay Council of Baluan, General Santos City hereb</t>
  </si>
  <si>
    <t xml:space="preserve"> Republic of the Philippines Province of Pangasinan MUNICIPALITY OF AGNO THE BIDS AND AWARDS COMMITTEE Invitation to Bid for CONSTRUCTION OF PCCP AT SITIO ARINAAR ROAD, BARANGAY MAGSAYSAY 1.	The Municipality of Agno, Pangasinan, through the Annual Budget C</t>
  </si>
  <si>
    <t xml:space="preserve"> NOTICE TO THE PUBLIC  REQUEST FOR QUOTATION AMP SVP NO: 20-06-0297B	              The University of the Philippines, Diliman (UPD) hereby informs the public that it will be procuring the following item/s through Small Value Procurement:   Qty/Unit	Item De</t>
  </si>
  <si>
    <t xml:space="preserve"> No.	"ITEM DESCRIPTION  (ITEM NAME &amp; TECHNICAL SPECIFICATIONS)"	QTY.	UNIT	UNIT COST	APPROVED BUDGET OF CONTRACT (ABC)	 						 1	20 ft. Container House	3	unit	₱234,000.00	 Php702,000.00 	 2	Sliding door - Fixed Glass	1	set	₱60,000.00	 Php60,000.00 	 3	Stair</t>
  </si>
  <si>
    <t xml:space="preserve"> Supply and delivery of Real Time Kinematics (RTK)  Survey Instruments</t>
  </si>
  <si>
    <t xml:space="preserve"> Procurement of 1 Lot Repair and Maintenance of Office Equipment (Desktop Computer) for the 3rd Quarter of 2020</t>
  </si>
  <si>
    <t xml:space="preserve"> Procurement of 1 Lot Repair and Maintenance of Office Equipment (Printers) for the 3rd Quarter of 2020</t>
  </si>
  <si>
    <t xml:space="preserve"> NOTICE TO THE PUBLIC  REQUEST FOR QUOTATION AMP SVP NO: 20-06-0310B	              The University of the Philippines, Diliman (UPD) hereby informs the public that it will be procuring the following item/s through Small Value Procurement:   Qty/Unit	Item De</t>
  </si>
  <si>
    <t xml:space="preserve"> Procurement of 1 Lot Repair and Maintenance of Office Equipment (Air-condition) for the 3rd Quarter of 2020</t>
  </si>
  <si>
    <t xml:space="preserve"> IMPROVEMENT OF HE BUILDING (REPLACEMENT AND REPAINTING OF CEILING AND ROOFING) - Php 22, 120.00 10 pcs. Plywood 1/4 - Php 4, 600.00 15 pcs. Good Lumber 2x2x8 - Php 2, 475.00 2 kg. nails #3 - Php 150.00 1 kg. nails #1 - Php 75.00 5 pcs. plain sheet 3x8x0.3</t>
  </si>
  <si>
    <t xml:space="preserve"> REPAIR, IMPROVEMENT OF 2 (TWO) STOCK ROOMS (REPAIR OF STEEL DOORS, STEEL WINDOWS, ELECTRICAL WIRES, CEILING &amp; ROOF).</t>
  </si>
  <si>
    <t xml:space="preserve"> Republic of the Philippines PROVINCE OF CAGAYAN MUNICIPALITY OF CLAVERIA INVITATION TO BID  									June 11, 2020 	The Local Government Unit of Claveria, Cagayan through the 20% Municipal Development Fund (2019 &amp; 2020 BIDA) would like to apply the sum of</t>
  </si>
  <si>
    <t xml:space="preserve"> No.	"ITEM DESCRIPTION  (ITEM NAME &amp; TECHNICAL SPECIFICATIONS)"	QTY.	UNIT	UNIT COST	APPROVED BUDGET OF CONTRACT (ABC)	 						 1	Conference Table	1	set	₱68,750.00	 Php68,750.00 	 2	6 seater Table with 6 mobile cabinet	1	set	₱123,125.00	 Php123,125.00 	 3	3 </t>
  </si>
  <si>
    <t xml:space="preserve"> REHABILITATION OF DRAINAGE IN FRONT OF GRADE 5 BLDG. 1 - 15 METERS - Php 12, 670.00 150 pcs. Hollow Blocks - Php 2, 400.00 5 bags Cement - Php 1, 250.00 1/4 cubic meter Gravel - Php 425.00 1/4 cubic meter Sand - Php 230.00 1 pc. 1/4 marine plywood - Php 4</t>
  </si>
  <si>
    <t xml:space="preserve"> see attached ITB</t>
  </si>
  <si>
    <t xml:space="preserve"> Purchase and delivery of Materials for the Repair and Maintenance of 11 heavy equipment used in the Municipality of Concepcion, Tarlac Approved Budget for the Contract : P 67,509.00 Source of Fund : MOOE 2020- Mun. Mayor's Office Deadline for submission, </t>
  </si>
  <si>
    <t xml:space="preserve"> REPAIR, IMPROVEMENT, OF WATER &amp; SANITATION (WATSAN) IN VIEW OF COVID-19 PANDEMIC.</t>
  </si>
  <si>
    <t xml:space="preserve"> Catering Services under Natural Resources Enforcement and Regulatory Enforcement Activities Location: DENR-PENRO Mabini Superhighway, Digos City, Davao del Sur Approved Budget Cost: Php 216,600.00 Source of Funds: GAA 2020 Delivery Period: 11 days Deadlin</t>
  </si>
  <si>
    <t xml:space="preserve"> N. Cement Gravel 4 Cubic meters Sand 3 Cubic meters 10 mm Deformed steel bar 12 mm Deformed steel bar 12 mm Deformed steel bar GI wire # 16 Phenolic board 3/4" Good lumber 2x2x8 Concrete Nail # 3 Common Nail # 2 L Bar 1/4x3 MS plate 20x60x11/2 Turnbuckle </t>
  </si>
  <si>
    <t xml:space="preserve"> Purchase of various batteries</t>
  </si>
  <si>
    <t xml:space="preserve"> REPAIR, IMPROVEMENT, OF HAND WASHING IN VIEW OF COVID-19 PANDEMIC FOR SHS BUDGET.</t>
  </si>
  <si>
    <t xml:space="preserve"> Purchase and delivery of 3 units Split type Airconditioner with Installation to be used in the Municipality of Concepcion, Tarlac Approed Budget for the Contract : P 174,000.00 Source of Fund : 5% Calamity Fund 2020 Deadline for submission, receipt and op</t>
  </si>
  <si>
    <t xml:space="preserve"> NOTICE TO THE PUBLIC  REQUEST FOR QUOTATION  AMP SVP NO: 20-06-0345	              The University of the Philippines, Diliman (UPD) hereby informs the public that it will be procuring the following item/s through Small Value Procurement:   Qty/Unit	Item De</t>
  </si>
  <si>
    <t xml:space="preserve"> Catering Services under Forest Development, Rehabilitation and Maintenance and Protection Activities Location: DENR-PENRO Mabini Superhighway, Digos City, Davao del Sur Approved Budget Cost: Php 147,600.00 Source of Funds: GAA 2020 Delivery Period: 18 day</t>
  </si>
  <si>
    <t xml:space="preserve"> 204 Smart Load cards @ 300 9 TnT Load cards @ 100 89 Globe Loadcards @ 300</t>
  </si>
  <si>
    <t xml:space="preserve"> Procurement of 1 Lot Repair and Maintenance of Office Equipment (Photocopier) for the 3rd Quarter of 2020</t>
  </si>
  <si>
    <t xml:space="preserve"> NOTICE TO THE PUBLIC  REQUEST FOR QUOTATION SVP NO: 20-06-0267A	              The University of the Philippines, Diliman (UPD) hereby informs the public that it will be procuring the following item/s through Small Value Procurement:   Qty/Unit	Item Descri</t>
  </si>
  <si>
    <t xml:space="preserve"> Invitation to Bid for the Repair of Multi-Purposed Building thru Repair and Water Collection for Environment Protection @ Brgy. Tongonan, Kananga, Leyte 1.	The Barangay Government of Tongonan, Kananga, Leyte, through its BIDS AND AWARDS COMMITTEE (BAC), t</t>
  </si>
  <si>
    <t xml:space="preserve"> 1	UPS	up to 50 mins. runtime	2	Unit	10,000.00 2	Monochrome Printer	Monochrome Printer	2	Unit	17,900.00 3	LaserJet Pro Printer	LaserJet Pro Printer	2	Unit	91,400.00 4	HP Ink 416A	Black Original	2	Piece	10,000.00 5	HP Ink 416A	Cyan Original	2	Piece	12,600.0</t>
  </si>
  <si>
    <t xml:space="preserve"> Republic of the Philippines Province of Samar Catbalogan City INVITATION FOR NEGOTIATED PROCUREMENT GOODS 2020-013(NP) Supply and Delivery of  2 units Tires and Starter Motor   The City Government of Catbalogan, through the CY 2020 City Engineering FUND i</t>
  </si>
  <si>
    <t xml:space="preserve"> see attached program of work</t>
  </si>
  <si>
    <t xml:space="preserve"> Republic of the Philippines Department of Justice BUREAU OF CORRECTIONS SABLAYAN PRISON AND PENAL FARM Occidental Mindoro REQUEST FOR QUOTATION “SUPPLY &amp; DELIVERY OF VARIOUS MATERIALS FOR THE REPAIR AND CONVERSION OF CSP VISITING AREA TO PREVENTIVE CELL (</t>
  </si>
  <si>
    <t xml:space="preserve"> PROCUREMENT OF EXTERNAL HARD DRIVE FOR LIS, LRMDS &amp; ICT ROOM - Php 15, 000.00 3 pcs External hard drive - Php 15, 000.00 WD External Hard Drive 2 TeraByte</t>
  </si>
  <si>
    <t xml:space="preserve"> 1	bottle 5% Acetic Acid (9500ml) 10	pieces Blade Holder #3 1	box	Bllod Urea Nitrogen 94 test/box 1	box	Blood Uric Acid 60 tests/box 1	box	Capillary Tubes, 10 vials/box 2	box	Chromic Suture 2/0 round, 12pcs/box 2	box	Chromic 3/0 round, 12pcs/box 1	box	Crea</t>
  </si>
  <si>
    <t xml:space="preserve"> PROCUREMENT OF SPORTS/PE AND MUSICAL INSTRUMENTS - Php 30, 000.00</t>
  </si>
  <si>
    <t xml:space="preserve"> REHABILITATION OF SCHOOL COMFORT ROOMS BLDG. 4, 5 &amp; 26 - Php 14, 047.00</t>
  </si>
  <si>
    <t xml:space="preserve"> NOTICE TO THE PUBLIC  REQUEST FOR QUOTATION                                                     AMP SVP NO: 20-06-0348	              The University of the Philippines, System (UPS) hereby informs the public that it will be procuring the following item/s t</t>
  </si>
  <si>
    <t xml:space="preserve"> PROCUREMENT OF TOILETRIES - Php 9,999.00</t>
  </si>
  <si>
    <t xml:space="preserve"> A. materials 2 sets panel door w/ jamb (0.80m)    Door knob &amp; Hinges 26 pcs. 1/4"thk ord. plywood 38 pcs. 2X2X10ft.Gemelina 14 kls. asstd. cw nails 2 sets 0.60X0.60m jealousy glass window 2 gals. Flat Enamel Paint 2 gals. Gloss Enamel Paint Labor Cost  Ph</t>
  </si>
  <si>
    <t xml:space="preserve"> Invitation to Bid for the Repair of Multi-Purpose Building (GYM) @ Brgy. Tongonan, Kananga, Leyte 1.	The Barangay Government of Tongonan, Kananga, Leyte, through its BIDS AND AWARDS COMMITTEE (BAC), through the DOE ER 1-94 intends to apply the sum of Thre</t>
  </si>
  <si>
    <t xml:space="preserve"> The Agricultural Training Institute Region IV-A (ATI Region IV-A) invites interested suppliers to submit quotations/ proposals for the hereunder requirement: Provision of Food, Accommodation and function amenities for the conduct of Regional Training of T</t>
  </si>
  <si>
    <t xml:space="preserve"> please see attached Request for Quotation for details</t>
  </si>
  <si>
    <t xml:space="preserve"> Please see attached Request for Quotation for complete details of the requirements</t>
  </si>
  <si>
    <t xml:space="preserve"> please find attached Request for Quotation for complete details of the requirements</t>
  </si>
  <si>
    <t xml:space="preserve"> Competency-Based Assessment Center *see attached Terms of Reference for complete details of the requirements Proposal/Quotation must be submitted together with the following documents: 1.	Company Profile; 2.	Valid Business permit; 3.	PhilGEPS No.; 4.	Omni</t>
  </si>
  <si>
    <t xml:space="preserve"> The Agricultural Training Institute Region IV-A (ATI Region IV-A) invites interested suppliers to submit quotations/ proposals for the hereunder requirement: Supply and Delivery of yellow corn seeds and complete fertilizer for FSTP TOT Place of delivery: </t>
  </si>
  <si>
    <t xml:space="preserve"> NOTICE TO THE PUBLIC  REQUEST FOR QUOTATION                                                     AMP SVP NO: 20-06-0344	              The University of the Philippines, Diliman (UPD) hereby informs the public that it will be procuring the following item/s </t>
  </si>
  <si>
    <t xml:space="preserve"> The Agricultural Training Institute Region IV-A (ATI Region IV-A) invites interested suppliers to submit quotations/ proposals for the hereunder requirement: Supply and Delivery of various Agricultural Tools, Materials and Inputs for the conduct of Broadc</t>
  </si>
  <si>
    <t xml:space="preserve"> Bidding will be conducted through open competitive bidding procedures using non-discretionary pass/fail criteria as specified in the Implementing Rules and Regulations Part A (IRR-A) of Republic Act 9184, otherwise known as the “Government Procurement Ref</t>
  </si>
  <si>
    <t xml:space="preserve"> 1.  SITE WORKS AND SIGNS 2.  CONCRETE WORKS</t>
  </si>
  <si>
    <t xml:space="preserve"> Republic of the Philippines Department of Health 		Center for Health Development-Bicol BICOL REGION GENERAL HOSPITAL AND GERIATRIC MEDICAL CENTER                                            Cabusao, Camarines Sur INVITATION TO BID  PROCUREMENT OF MEDICAL S</t>
  </si>
  <si>
    <t xml:space="preserve"> The Agricultural Training Institute Region IV-A (ATI Region IV-A) invites interested suppliers to submit quotations/ proposals for the hereunder requirement: Provision of Food, Accommodation and function amenities for the conduct of FSTP TOT 30 pax - July</t>
  </si>
  <si>
    <t xml:space="preserve"> The Agricultural Training Institute Region IV-A (ATI Region IV-A) invites interested suppliers to submit quotations/ proposals for the hereunder requirement: Supply and Delivery of various Agricultural Tools, Materials and Inputs for Collaborative Extensi</t>
  </si>
  <si>
    <t xml:space="preserve"> 1. The City Government of Calamba through the General Fund intends to apply the sum of Php 970,502.46 being the Approved Budget for the Contract (ABC) to payments under the contract for G-2020-311 Supply and Delivery of Office &amp; Janitorial Supplies, Offic</t>
  </si>
  <si>
    <t xml:space="preserve"> Please quote your lowest price on the item/s listed below,subject to the General Conditions on the last page, stating the shortest time of delivery and submit your quotation duly signed by your representative not later than in the return envelope attached</t>
  </si>
  <si>
    <t xml:space="preserve"> 1 LOT OF GIFT VOUCHER OF LIVELIHOOD KIT OF FISHING MATERIALS 23 Pieces Gift Vouchers Worth P 5,000 of Fishing Materials  Fishing Materials/Tools may contain any of the following per beneficiary:  •	40 kilos Capacity Ice Box  •	Fishing Net # 7 •	Fishing Ro</t>
  </si>
  <si>
    <t xml:space="preserve"> 1. The City Government of Calamba through the GAD Fund intends to apply the sum of Php 52,500.00 being the Approved Budget for the Contract (ABC) to payments under the contract for G-2020-332 Supply and Delivery of Meals &amp; Snacks, Gender and Development/C</t>
  </si>
  <si>
    <t xml:space="preserve"> 1. The City Government of Calamba through the General Fund intends to apply the sum of Php 997,500.00 being the Approved Budget for the Contract (ABC) to payments under the contract for G-2020-293 Supply and Delivery of Meals &amp; Snacks, Office of the City </t>
  </si>
  <si>
    <t xml:space="preserve"> construction materials for handwashing facility</t>
  </si>
  <si>
    <t xml:space="preserve"> Construction of Concrete Pathway</t>
  </si>
  <si>
    <t xml:space="preserve"> Republic of the Philippines Province of Iloilo Lemery Iloilo Invitation to Bid for Purchase of Information Technology Equipments 1.	The Municipality of Lemery, Iloilo, through the Purple Ribbon Fund   intends to apply the sum of  One Hundred Forty Nine Th</t>
  </si>
  <si>
    <t xml:space="preserve"> Request for Expression of Interest (REOI)  for the  LIDAR DATA MAPPING AND PARCELLARY/ UTILITIES, FACILITIES/ TOPOGRAPHIC SURVEY FOR THE PROPOSED CONSTRUCTION OF MISSING LINK/NEW ROADS, SAN MANUEL (PANGASINAN)- ITOGON (BENGUET) ROAD 1.	The DPWH-Regional O</t>
  </si>
  <si>
    <t xml:space="preserve"> Office Supplies, Electrical supplies and Water rehab Materials</t>
  </si>
  <si>
    <t xml:space="preserve"> Construction of open canal</t>
  </si>
  <si>
    <t xml:space="preserve"> REQUEST FOR EXPRESSION OF INTEREST (REOI) FOR  Contract ID No. 	20CSAD03 Contract Name/Location: Sub-surface Exploration of Bridges for FY 2021, Ilocos Sur 2nd LD 1.	The DPWH Ilocos Sur Second District Engineering Office through the PDE 2020 intends to ap</t>
  </si>
  <si>
    <t xml:space="preserve"> Construction of concrete pathway</t>
  </si>
  <si>
    <t xml:space="preserve"> Request for Expression of Interest (REOI)  for the  LIDAR DATA MAPPING AND PARCELLARY/ UTILITIES, FACILITIES/ TOPOGRAPHIC SURVEY FOR THE PROPOSED CONSTRUCTION OF MISSING LINK/NEW ROADS, BOLINAO-DASOL COASTAL ROAD, PANGASINAN 1.	The DPWH-Regional Office I </t>
  </si>
  <si>
    <t xml:space="preserve"> INVITATION TO BID 2020-CS-03 The Department of Public Works and Highways QUEZON III DISTRICT ENGINEERING OFFICE, Catanauan, Quezon, through the FY2020 PDE FUND intends to apply the amount of ₱ ₱2,500,000.00  being the Approved Budget for the Contract (ABC</t>
  </si>
  <si>
    <t xml:space="preserve"> PRINTER (ALL IN ONE), ET AL</t>
  </si>
  <si>
    <t xml:space="preserve"> 1 lot</t>
  </si>
  <si>
    <t xml:space="preserve"> Please submit bid based on the attached RFQ. If you are a new supplier please submit your Mayor's Permit, PhilGEPS Cert, Income Tax/Business Tax Return, Omnibus Sworn Statement.  If you have not renewed please submit updated copies of these documents.</t>
  </si>
  <si>
    <t xml:space="preserve"> Covered Court Improvement  Phase 2</t>
  </si>
  <si>
    <t xml:space="preserve"> Construction of covered drainage canal</t>
  </si>
  <si>
    <t xml:space="preserve"> Improvement of Covered Court Phase 2</t>
  </si>
  <si>
    <t xml:space="preserve"> Republic of the Philippines Province of Agusan del Norte Municipality of Remedios T. Romualdez BARANGAY TAGBONGABONG Invitation to Bid SUPPLY AND DELIVERY OF RAW MATERIALS/INGREDIENTS (FOODSTUFF) FOR THE LIVELIHOOD PROGRAM-MEAT PROCESSING OF SALAKNIB FARM</t>
  </si>
  <si>
    <t xml:space="preserve"> 1	Unit	Computer Desktop 		Processor: Core i5 or i7 		Hard Drive: at least 1TB 		Motherboard: Compatible with Processor and Memory, with built in a/v/gigabit LAN  		Optical Drive: DVD-RW 22x SATA(optional)ATX Casing with 600W Power Supply 		Monitor: at lea</t>
  </si>
  <si>
    <t xml:space="preserve"> Clip 3.5FEN STR 9MM, Yasargil Perm STD (for OR use)----------------- 2 qty ---------P17,200.00/pc Clip RT-ANG 7MM, Yasargil Perm STD (for OR use)--------------------2 qty ----------P17,900.00/pc Clip STR-9MM, Yasargil Temp STD (for OR use)----------------</t>
  </si>
  <si>
    <t xml:space="preserve"> Headset Duo, Noise Cancelling, USB Connectivity, Plug and Play Laptop Cooling pad 15 inches with 4-5 Built-in Fan; USB 2.0 Port; Adjustable Visual Angle</t>
  </si>
  <si>
    <t xml:space="preserve"> Availability of canvass until June 15, 2020; 8:00 - 12:00 noon Dropping of canvass will be on June 15, 2020, 12:00 noon The Mandaue City Government through its Bids and Awards Committee (BAC), invites eligible suppliers/ provide quote the lowest price on </t>
  </si>
  <si>
    <t xml:space="preserve"> June 09, 2020 INVITATION TO BID  The Department of Public Works and Highways, Mindoro Occidental District Engineering Office, Mamburao, Occidental Mindoro, through its Bids and Award Committee (BAC), invites contractors to submit bids for the following Co</t>
  </si>
  <si>
    <t xml:space="preserve"> 1. SECURITY PADLOCK  - Body Material: Solid Brass  - Shackle Material: Hardened Steel   - Size: 30mm  - No. of keys: 3 2. ELECTRIC/SECURITY METER SEAL  - Weather reisitant  - Plastic seal with a galvanized steel shackle  - Grey color with black imprint. S</t>
  </si>
  <si>
    <t xml:space="preserve"> ITB-2005-015  Civil Works for the Installation of Partition Wall &amp; Water Connections for Isolation Facilities ,  Annex Hospital Building New Rizal</t>
  </si>
  <si>
    <t xml:space="preserve"> 1. SECURITY PAPER (for Passed Report of Rating) Specifications: - 5 1/2 x 9 1/2 - Single ply, 4000's/box - TWO (2) COLOR PRINTING using imported CBBI, security check paper with UV printing continuous form  Security Features: * FIBRES - visible and invisib</t>
  </si>
  <si>
    <t xml:space="preserve"> Vitamin C Quantity: 9,000 Tabs/Caps ABC: P 90,000.00</t>
  </si>
  <si>
    <t xml:space="preserve"> See attached.</t>
  </si>
  <si>
    <t xml:space="preserve"> Republic of the Philippines Province of Cagayan Municipality of Aparri BARANGAY BULALA NORTE -oOo- BIDS AND AWARDS COMMITTEE 							                           June 10, 2020 	 RE-INVITATION TO APPLY FOR ELIGIBILITY AND TO BID The Barangay of BULALA NORTE, </t>
  </si>
  <si>
    <t xml:space="preserve"> Republic of the Philippines Province of Cagayan Municipality of Aparri BARANGAY CENTRO 4 -oOo- BIDS AND AWARDS COMMITTEE 								                           June 10, 2020 	 RE-INVITATION TO APPLY FOR ELIGIBILITY AND TO BID The Barangay of CENTRO 4, Municip</t>
  </si>
  <si>
    <t xml:space="preserve"> See attached</t>
  </si>
  <si>
    <t xml:space="preserve"> Intravenous Set, Adult, w/ Needle Air Vent, Universal Luer Lock End w/ Y-Type Injection Port-------------------------------------------7860 qty --------------P48.00/pc X-X-X-X-X-X-X-X-X-X-X-X-X-X-X-X-X-X PURPOSE: PURCHASE REQUEST FOR THE USE OF NURSING UN</t>
  </si>
  <si>
    <t xml:space="preserve"> Republic of the Philippines Province of Oriental Mindoro MUNICIPALITY OF NAUJAN BIDS &amp; AWARDS COMMITTEE INVITATION TO BID CONSTRUCTION OF MULTI- PURPOSE HALL AT BARANGAY SANTIAGO, NAUJAN, ORIENTAL MINDORO 1.	The Municipal Government of Naujan – Bids and A</t>
  </si>
  <si>
    <t xml:space="preserve"> UNIT	  DESCRIPTION		QUANTITY I.	FABRICATION OF MISTING TENT  -  7 UNITS		 pcs	Ball Valve with Thread		84 pcs	Misting Nozz;e 1/4"		56 pcs	Safety Breaker w/Housing 20 Amp		35 m	Garden Hose 1/2"		210 rolls	THHN # 3.5		7 pcs	Cable Tie		140 pcs	Electrical Tape</t>
  </si>
  <si>
    <t xml:space="preserve"> Thermal Paper MPT-II (20MM) for OTOREAD----------------------12 qty -------------P7,200.00/unit X-X-X-X-X-X-X-X-X-X-X-X-X-X-X-X-X-X PURPOSE; For the use of DORL-HNS Fax your Price Quotation at Tel. Fax#: 426-30-45 / 927-64-26 loc 2561 or Email at bacveter</t>
  </si>
  <si>
    <t xml:space="preserve"> ballpen-black plaque-small, med., large ink refill for epson 4 set colored neon paper A4 asst.color id holder record book special paper ribbon silk 2 1/1" frame plastic paper  cork board 4x6 file organizer expanding plastic 12 pockets and etc.............</t>
  </si>
  <si>
    <t xml:space="preserve"> Enteral Feeding Container w/ Tubing 600ml------------------------120 qty ------------P632.00/ea Codan Spike, Withdrawal Cannula----------------------------------120 qty ------------P119.00/ea Bowie and Dick Test Card, 120’s / Box--------------------------</t>
  </si>
  <si>
    <t xml:space="preserve"> Educational Materials and Supplies, electrical materials,</t>
  </si>
  <si>
    <t xml:space="preserve"> amlodipine 10mg/5mg aspirin 80mg/100s losartan 100mg metformin 600mg metropolol 50mg nefidifine 5mg/softgel stethoscope sphygo desk tape TB kit for children vit. B complex isoniacid striptomycin ethambutol sterile water for injection agents anti HV  agent</t>
  </si>
  <si>
    <t xml:space="preserve"> General Merchandise</t>
  </si>
  <si>
    <t xml:space="preserve"> brake pad brake shoe battery 3SM bolt w/knot cross joint center bolt combination wrench oil seal oil filter shock absorber socket wrench spring bushing tire 225x70x15 tire 195x70x15 tie rod end vice grips</t>
  </si>
  <si>
    <t xml:space="preserve"> SUBGRADE PREPARATION  A. Capacity and Quantity Computation Area =10x1000 = 10,000.00 sq.m. Grader &amp; Roller days = 10,000.00 sq. m. / 2,000 per day = 5 days B. Direct Cost  350 ltrs Fuel deisel for grader 350 ltrs Fuel deisiel for roller 30 ltrs Oil 40 AGG</t>
  </si>
  <si>
    <t xml:space="preserve"> PLEASE SEE ATTACHED FILE FOR YOUR REFERENCE.</t>
  </si>
  <si>
    <t xml:space="preserve"> BALLPEN BLACK, BLUE BROWN ENVELOP LONG ASST. COLO CARTOLINA CRAYONS DRAWING BOOK ERASER RUBBER FOLDER LONG, SHORT GLUE INK REFILL MANILA PAPER AND ETC......................................................</t>
  </si>
  <si>
    <t xml:space="preserve"> Catheter Suction Fr-14, Sterile Clear Firm Material, Fingertip Control, Disp.------------50000 qty --------P9.50/pc ############################ PURPOSE: For use of Nursing Unit / Centralization. (3 months consumption) Fax your Price Quotation at Tel. Fax</t>
  </si>
  <si>
    <t xml:space="preserve"> June 09, 2020 INVITATION TO BID 1.	The Department of Public Works and Highways, Mindoro Occidental District Engineering Office, Mamburao, Occidental Mindoro, through the General Appropriations Act intends to apply the sum of the Approved Budget for the Co</t>
  </si>
  <si>
    <t xml:space="preserve"> Catheter Urethral, Foley Design Rnd Tip, Latex (100% Silicon coated), Sterile, 2-way, Fr16-16, 5-15ml cap---------------------------------------------900 qty --------P25.00/pc Catheter Urethral, Foley Design Round Tip Latex (100% Silicon Coated), Sterile,</t>
  </si>
  <si>
    <t xml:space="preserve"> SUPPLY AND DELIVERY OF VARIOUS OFFICE SUPPLIES FOR OFFICIAL USE OF PENRO ORIENTAL MINDORO Delivery Period: within 30 days See Attached Request for Quotation for the items to be procured. Interested Supplier shall submit the filled-up RFQ Form together wit</t>
  </si>
  <si>
    <t xml:space="preserve"> Republic of the Philippines PROVINCE OF ZAMBOANGA SIBUGAY Municipality of Buug BIDS AND AWARDS COMMITTEE Invitation to Bid for Rehablitation/Maintenance of Manlin-Pamintayan &amp; Delmonte FMR 1.	The Local Government Unit of Buug, through the 20 % Development</t>
  </si>
  <si>
    <t xml:space="preserve"> Contract ID #					 :    20II0061 Contract Name				         :    Repair and Maintenance of Road Safety Facilities (Supply, Delivery and Installation of Danger, Hazard, Warning, Regulatory and Informative Signages) along Catarman Laoang Road, Laoang –Catubi</t>
  </si>
  <si>
    <t xml:space="preserve"> Item No.  Qty. units Description Brand Amount /Unit 1 5  UNIT/S BIOMETRIC FINGER SCANNERDisplay/SpeakerLCD Display: 3’’ TFT screenSpeaker: Voice Prompt (language can be selected)Technical Specifications CapacityFingerprint capacity: 3,000Log capacity: 100</t>
  </si>
  <si>
    <t xml:space="preserve"> Item No. Qty. units Description Brand Amount /Unit 1  2  UNIT/S OF CANVASS TENT WITH GALVANIZED STEEL POLE 3m  X  4m  X  7fT. 1  1  UNIT/S OF CANVASS TENT WITH GALVANIZED STEEL POLE 4m  X  8m  X  7fT.</t>
  </si>
  <si>
    <t xml:space="preserve"> DIESEL GASOLINE ATF OIL 10,40,30</t>
  </si>
  <si>
    <t xml:space="preserve"> T SHIRT W/ COLLAR AND PRINT XL-6 PCS L-26 PCS M-25 PCS S-18PCS T-SHIRT W/ OUT COLLAR W/PRINT XL-40PCS L-135PCS M-115PCS S-65PCS</t>
  </si>
  <si>
    <t xml:space="preserve"> Extension Tubing, Standard Bore, w/ Male Luer Lock, 48’ (121.92cm)------------868 qty ------P41,924.40/pc X-X-X-X-X-X-X-X-X-X-X-X-X-X-X-X-X-X PURPOSE: PURCHASE REQUEST FOR THE USE OF NURSING UNIT/CENTRALIZATION. (FOR 3 MONTHS CONSUMPTION) Fax your Price Q</t>
  </si>
  <si>
    <t xml:space="preserve"> The Government of the Philippines (GOP) has received a loan from World Bank towards the cost of Philippine Rural Development Project, and it intends to apply part of the proceeds of this Loan to payments for the procurement of PRDP Vehicle Tires intended </t>
  </si>
  <si>
    <t xml:space="preserve"> 20 sets Solar Lamp 60w 38mm dia GI s40 Bracket 50mm dia GI s40 Column With Anchorae Bar Stiffener And Concrete Footing Padestal @0.60m depth Labor included</t>
  </si>
  <si>
    <t xml:space="preserve"> Description Please quote your price inclusive of VAT on the item/s listed below, subject to the Terms and conditions of the RFQ, and submit your quotation duly signed by your representative not later than June 18, 2020 at CGSO for Goods. Upon receipt of a</t>
  </si>
  <si>
    <t xml:space="preserve"> INVITATION TO BID  for  Roofing of Existing Bleachers at Longos E/S, Calasiao, Pangasinan Solicitation No. PANG-2020-0778 1.	The Provincial Government of Pangasinan, through the School Board (PR#2020-02-1851) intends to apply the sum of One Million Five H</t>
  </si>
  <si>
    <t xml:space="preserve"> 1.	The Municipal Government of El Nido, through the General Fund intends to apply the sum of Two Hundred Sixty Thousand Pesos (₱ 260,000.00) being the Approved Budget for the Contract (ABC) to payments for the Procurement and Delivery of Nutritional Foods</t>
  </si>
  <si>
    <t xml:space="preserve"> Republic of the Philippines Province of Antique MUNICIPALITY OF SEBASTE OFFICE OF THE BIDS AND AWARDS COMMITTEE INVITATION TO BID ITB NO. 2020-01-010	 The Local Government Unit of Sebaste, Sebaste, Antique, Telephone No. (036) 278-2003, invites interested</t>
  </si>
  <si>
    <t xml:space="preserve"> INVITATION TO BID  for  Repair of One (1) unit, Three (3) Classroom School Building at Mangatarem II Central E/S, Mangatarem, Pangasinan Solicitation No. PANG-2020-0779 1.	The Provincial Government of Pangasinan, through the School Board (PR#2020-02-1849)</t>
  </si>
  <si>
    <t xml:space="preserve"> Republic of the Philippines Bangsamoro Autonomous Region in Muslim Mindanao  ISLAMIC CITY OF MARAWI OFFICE OF THE BIDS AND AWARDS COMMITTEE  City Hall, Brgy. Fort, Marawi City e-mail: padsmacawadib@yahoo.com  	  REQUEST FOR QUOTATION  SMALL VALUE PROCUREM</t>
  </si>
  <si>
    <t xml:space="preserve"> 1 5 PC/S PAIL - RUBBER 2 2 PC/S SHOVEL - HEAVY DUTY - (Wooden Handle) 3 5 PC/S CONSTRUCTION SAFETY HAT - 4 Yellows &amp; 1 White 4 15 PR/S CONSTRUCTION GLOVES - (ORANGE PALM) 5 1 UNIT/S PE EMPTY CONTAINER - 1m. Dia. (Blue) 6 15 MTR/S PE PIPE - 1/2'' dia SDR 1</t>
  </si>
  <si>
    <t xml:space="preserve"> 1.	The Municipal Government of El Nido, through the General Fund intends to apply the sum of  Three Hundred Fifty Six Thousand Four Hundred Ninety Pesos (₱ 356,490.00) being the Approved Budget for the Contract (ABC) to payments for the here under Procure</t>
  </si>
  <si>
    <t xml:space="preserve"> INVITATION TO BID  for  Supply and Delivery of Pre-Mix Asphalt and Emulsified Asphalt Solicitation No. PANG-2020-0782 1.	The Provincial Government of Pangasinan, through the Construction, Repair &amp; Maintenance of Various Roads and Bridges intends to apply </t>
  </si>
  <si>
    <t xml:space="preserve"> A Republic of the Philippines BIDS AND AWARDS COMMITTEE Dagupan City Invitation to Bid   for PROPOSED IMPROVEMENT/REHABILITATION OF THE CITY PEOPLE’S ASTRODOME (INTERIOR AND INCLUDING FAÇADE) AT BARANGAY TAPUAC, DAGUPAN CITY 1.	The City Government of Dagu</t>
  </si>
  <si>
    <t xml:space="preserve"> 1.	The Municipal Government of El Nido, through the General Fund intends to apply the sum of One Million One Hundred Eighty Two Thousand Six Hundred Pesos (₱ 1,182,600.00) being the Approved Budget for the Contract (ABC) to payments for the Procurement An</t>
  </si>
  <si>
    <t xml:space="preserve"> INVITATION TO BID  for  Construction of Covered Court at Gayusan Integrated School at Brgy. Gayusan, Agno, Pangasinan Solicitation No. PANG-2020-0780 1.	The Provincial Government of Pangasinan, through the School Board (PR#2020-02-1859) intends to apply t</t>
  </si>
  <si>
    <t xml:space="preserve"> PDX wire # 1.6 mm PDX wire # 2.0 mm socket, 13/4" SPST switch ,surface type Convenience outlet, duplex surface type Insulated staple 1" THHN wire # 2.0 mm2 THHN wire # 3.5 mm2 THHN wire # 5.5 mm2 Plastic moulding 3/4" T. W. Wire # 1.6 mm T. W. Wire # 2.0 </t>
  </si>
  <si>
    <t xml:space="preserve"> INVITATION TO SUBMIT PRICE QUOTATION The Nueva Ecija University of Science and Technology (NEUST) through the Bids and Awards Committee (BAC), hereby invites all interested supplier registered with the Philippine Government Electronic Procurement System (</t>
  </si>
  <si>
    <t xml:space="preserve"> 1.	The Municipal Government of El Nido, through the Trust Fund-Office of the Bldg. Official (OBO), and General Fund intends to apply the sum of One Million One Hundred Twenty Three Thousand Five Hundred Pesos (₱ 1,123,500.00) being the Approved Budget for</t>
  </si>
  <si>
    <t xml:space="preserve"> INVITATION TO BID  for  Construction of Breakwater for Storm Surge Mitigation at Lingayen, Pangasinan Solicitation No. PANG-2020-0318 1.	The Provincial Government of Pangasinan, through the Local Disaster Risk Reduction Management Fund (PR#2020-02-1858) i</t>
  </si>
  <si>
    <t xml:space="preserve"> Republic of the Philippines Province of Leyte BRGY. PINAMOPOAN, CAPOOCAN, LEYTE -oOo- BIDS AND AWARD COMMITTEE INVITATION TO BID  FOR THE PROCUREMENT OF SUPPLIES AND MATERIALS FOR THE CONSTRUCTION OF GARAGE 1.	The Brgy. Pinamopoan, Capoocan, Leyte, throug</t>
  </si>
  <si>
    <t xml:space="preserve"> TERMS AND CONDITIONS: 1. Bidders shall provide correct and accurate information required in this form. 2. Bidders may quote for any or all items. 3. Price quotation/s must be valid for a period of Thirty (30) calendar days from the date of submission. 4. </t>
  </si>
  <si>
    <t xml:space="preserve"> janitorial Supplies</t>
  </si>
  <si>
    <t xml:space="preserve"> INVITATION TO BID  for  Supply and Delivery of 160 MT Asphalt Pre-Mix and 8 drums Emulsified Asphalt at PGO, Lingayen, Pangasinan (for use in the Asphalting of School Ground at Libsong E/S and PSAT, Lingayen, Pangasinan) Solicitation No. PANG-2020-0783 1.</t>
  </si>
  <si>
    <t xml:space="preserve"> BARANGAY CENTRAL SIGNAL BIDS AND AWARDS COMMITTEE Central Signal Village, Taguig City Supply and Delivery of Brand New Tires RFQ-202001 Approved Budget for the Contract (ABC) : Php 50,000.00 Source of Fund: Budget 2020 1. 4 pcs -	205/65/15 Tire size 2. 8 </t>
  </si>
  <si>
    <t xml:space="preserve"> Procurement of Fluids</t>
  </si>
  <si>
    <t xml:space="preserve"> Procurement of IT Server</t>
  </si>
  <si>
    <t xml:space="preserve"> PURCHASE OF ONE(1) UNIT MINI-DUMP TRUCK SURPLUS ABC 850,000.00</t>
  </si>
  <si>
    <t xml:space="preserve"> INVITATION TO BID					 					 Purchase and Delivery of Medical, Dental and Laboratory Supplies					 ITB 2020-06-034(GOODS)					 					 1. The Municipality of Tuba, through the Budget for the contract approved by the Sangguniang Bayan for CY 2020 intends to </t>
  </si>
  <si>
    <t xml:space="preserve"> Tagumpay St</t>
  </si>
  <si>
    <t xml:space="preserve"> INVITATION TO BID  for  Supply and Delivery of 577 MT Asphalt Pre-Mix at PGO, Lingayen, Pangasinan (for use in the Repair/Maintenance of Various Provincial Roads and Bridges within the Province) Solicitation No. PANG-2020-0784 1.	The Provincial Government</t>
  </si>
  <si>
    <t xml:space="preserve"> INVITATION TO APPLY FOR ELIGIBILITY AND BID The Barangay of Magsaysay, Maasin, Iloilo, through its Bids and Awards Committee (BAC), invites suppliers/ distributors/ contractors to apply for eligibility and to bid for the hereunder project: Name of Project</t>
  </si>
  <si>
    <t xml:space="preserve"> Const of Deped</t>
  </si>
  <si>
    <t xml:space="preserve"> 1. 838 book Notebook, 80 leaves 2. 19 boxes Chalk, Colored 3. 19 sets Stamp, appreciation, assorted 4. 19 pcs Alphabet Chart 5. 19 pcs Number Chart 6. 19 pcs Parts of the Body Chart 7. 19 pcs Color Chart 8. 19 pcs Shapes Chart 9. 19 pcs Five Senses chart </t>
  </si>
  <si>
    <t xml:space="preserve"> Procurement of Niches</t>
  </si>
  <si>
    <t xml:space="preserve"> length-40.00m width-0.40m height-0.40m</t>
  </si>
  <si>
    <t xml:space="preserve"> replacement of defective pipes &amp; installation of new pipelines &amp; faucets</t>
  </si>
  <si>
    <t xml:space="preserve"> BIDS AND AWARDS COMMITTEE June 10, 2020					 REQUEST FOR QUOTATION 	 The Department of Agrarian Reform, San Jose, Occidental Mindoro, through Bids and Awards Committee (BAC), will undertake a Small Value Procurement for Purchase of Goods, in accordance wi</t>
  </si>
  <si>
    <t xml:space="preserve"> construction of multi purpose hall</t>
  </si>
  <si>
    <t xml:space="preserve"> Please quote us your lowest price inclusive of VAT on the items listed</t>
  </si>
  <si>
    <t xml:space="preserve"> INVITATION TO BID Purchase and Delivery of Automated External Defibrillator (AED) Complete Set ITB 2020-06-033 (GOODS) 1. 	The Municipality of Tuba, through the Budget for the contract approved by the Sangguniang Bayan for CY 2019 intends to apply the sum</t>
  </si>
  <si>
    <t xml:space="preserve"> length-60.00m width-0.60m thickness-0.10m rip-rapping length-15.00m height-1.00m</t>
  </si>
  <si>
    <t xml:space="preserve"> Calcium (equivalent to 500mg elemental calcium) as carbonate 100,040 tablet &amp; 3 other line items</t>
  </si>
  <si>
    <t xml:space="preserve"> Ink Printer with Continuous Ink System and Pigment Ink compatible</t>
  </si>
  <si>
    <t xml:space="preserve"> Amphterecin B (Lipid Complex) 50mg (as cholesteryl complex, colloidal dispersion), 13 vials &amp; 1 other line item</t>
  </si>
  <si>
    <t xml:space="preserve"> 1 pc -  * 8th generation core i5 * 500GB HDD * 8GB RAM * 2GB VRAM or higher * 256 SSD * Approximately 2.70 lbs * 13" HD Touch Screen * 1 yr warranty</t>
  </si>
  <si>
    <t xml:space="preserve"> Cypermethrin 5% EC, 1L, 40 btl &amp; 3 other line items</t>
  </si>
  <si>
    <t xml:space="preserve"> 1	INTERNET SERVICE		12	Mon 	 (Please see attached technical specifications)			 				 	(Please write Total amount in words) Total amount    			 				 	Please submit Omnibus Sworn Statement			 				 Any erasure, correction or alternation made by prospective Su</t>
  </si>
  <si>
    <t xml:space="preserve"> 200 reams   Long Bond Paper 70 gsm  100 reams   Short Bond Paper 70 gsm    67 reams   A-4 Bond Paper    70 gsm   2000 pcs.    Long Folder 14pts   1000 pcs.    Short Folder 14pts     200 bot.    Printer Ink Epsonn T-664</t>
  </si>
  <si>
    <t xml:space="preserve"> Republic of the Philippines Province of Nueva Vizcaya BIDS AND AWARDS COMMITTTEE (GOODS) BAC OFFICE, Provincial Capitol, Bayombong, Nueva Vizcaya 	 		Negotiated Procurement (2nd Failure of Bidding) REQUEST FOR QUOTATION (RFQ)  For the Procurement of Hospi</t>
  </si>
  <si>
    <t xml:space="preserve"> I - Mobilization/ Demobilization                    one                   lot II - Construction Safety and Health Program                       one                        lot III - Project Billboard                   one                      set IV - Prog</t>
  </si>
  <si>
    <t xml:space="preserve"> medicine</t>
  </si>
  <si>
    <t xml:space="preserve"> The TARLAC AGRICULTURAL UNIVERSITY, through its Bids and Awards Committee (BAC), invites all suppliers and dealers to submit sealed quotation for the “PURCHASE OF 75" LED TV, AIRCON, OFFICE TABLES AND CHAIRS". Prospective bidders are required to submit th</t>
  </si>
  <si>
    <t xml:space="preserve"> Procurement of One (1) unit Motorcycle ACTIVITY	SCHEDULE	VENUE 1. Issuance of Bid Document June 12, 2020-June 30, 2020 BAC Secretariat Office -MPDO 2. Pre-Bid Conference/ Supplemental Bid-  3. Submission of Bids	  June 30, 2020 @ 10:00 AM BAC Secretariat </t>
  </si>
  <si>
    <t xml:space="preserve"> Procurement of Construction Supplies and Materials</t>
  </si>
  <si>
    <t xml:space="preserve"> Trastuzumab 600mg/5ml (120mg/ml) SC, 26 vials</t>
  </si>
  <si>
    <t xml:space="preserve"> Description   3.5mm dual plug computer stereo headset - 15 units FOR ONLINE MEETINGS AND CONFERENCE DIMENSIONS Height x Width x Depth: 162 mm x 144 mm x 46 mm Weight: .074 Kg SYSTEM REQUIREMENTS  Works with Common calling applications across almost all pl</t>
  </si>
  <si>
    <t xml:space="preserve"> Improvement of Barangay Hall, 20% D.F.</t>
  </si>
  <si>
    <t xml:space="preserve"> Allopurinol 300mg, 8000 tablets &amp; 6 other line items</t>
  </si>
  <si>
    <t xml:space="preserve"> I - Drilling, Installation, Stockpiling Handling and Lifting of 6" dia. Casing BI pipes                      one                lot II - Progress Photograph          one              lot III - Project Billboard             one                      lot IV </t>
  </si>
  <si>
    <t xml:space="preserve"> The LGU of San Andres, Quezon is requesting Quotation for Construction Materials  of Vermi Beds with Vermi Shed at Barangay Poblacion, San Andres, Quezon.</t>
  </si>
  <si>
    <t xml:space="preserve"> SAFETY SHOES &amp; WORK PROTECTION SHOES</t>
  </si>
  <si>
    <t xml:space="preserve"> I - Mobilization/ Demobilization                  one                    lot II - Construction Safety and Health Program                         one                  lot III - Project Billboard                     one                 set IV - Progress Pho</t>
  </si>
  <si>
    <t xml:space="preserve"> Concreting of Farm-to Market Road w/ Drainage Canal, 20% D.F.</t>
  </si>
  <si>
    <t xml:space="preserve"> PROCUREMENT OF ONE (1) LOT SURVEY INSTRUMENT PARTS &amp; ACCESSORIES 1.  Pentax Total Station Battery, 	Pentax Serial No: 898322	- 2 UNITS		 2.  Pentax Total Station Battery, 	Pentax Serial No: 889120	- 2 UNITS 	 3.  Pentax Total Station Battery, 	Pentax Seri</t>
  </si>
  <si>
    <t xml:space="preserve"> TITLE: PROCUREMENT OF VARIOUS ITEMS/MATERIALS FOR BANTAY GUBAT			 DEPARTMENT: MUNICIPAL AGRICULTURE'S OFFICE			 			 ITEM NO.	QTY	UNIT	ITEM DESCRIPTION 1	31	pcs	T-shirt w/ collar 2	15	pcs	head flashlight 3	31	pair	rain coat 4	2	each	timmer line #300 5	31	p</t>
  </si>
  <si>
    <t xml:space="preserve"> INVITATION TO BID Bid Reference No.  ____________ SUPPLY AND DELIVERY OF FOGGING MACHINE (REBIDDING) Approved Budget for the Contract (ABC):  Php 260,000.00 1.	The Municipal Government Unit of Initao, Misamis Oriental intends to apply the sum of: Two Hund</t>
  </si>
  <si>
    <t xml:space="preserve"> 10 pcs, Acrylic Sandwich Board, Supply and Install - size: 2 ft (W) x 3.5 ft (H) - including Photo paper with print, bolt and nut (stainless)</t>
  </si>
  <si>
    <t xml:space="preserve"> Carboplatin 10mg/ml 45ml, 80 vial &amp; 4 other line items</t>
  </si>
  <si>
    <t xml:space="preserve"> Booster Pump   Vertical in-Line Multi Stages Stainless steel impeller and shaft. Rated to deliver 500gpm-600gpm max against 40M 950osi driven by 25hp electric motor, 230Volts, 3Phase, 60Hz, 3450 RPM. Motor Controller:   Simplex type controller rated to dr</t>
  </si>
  <si>
    <t xml:space="preserve"> PLEASE SEE ATTACHED FILE FOR QUOTATION</t>
  </si>
  <si>
    <t xml:space="preserve"> 15 packs IREX Toner Cyan Unit Cost: P 1,313.00 Total Cost: P 19,695.00 15 packs IREX Toner Yellow Unit Cost: P 1,313.00 Total Cost: P 19,695.00 10 packs IREX Toner Magenta Unit Cost: P 1,313.00 Total Cost: P 13,130.00 10 packs IREX Toner Black Unit Cost: </t>
  </si>
  <si>
    <t xml:space="preserve"> PROCUREMENT OF ASSORTED ITEMS FOR MEALS AND SNACKS DURING THE REGULAR MEETING OF THE MUNICIPAL OFFICIALS AND DEPUTY MAYORS</t>
  </si>
  <si>
    <t xml:space="preserve"> TITLE: PROCUREMENT OF VARIOUS ITEMS/MATERIALS FOR BANTAY DAGAT			 DEPARTMENT: MUNICIPAL AGRICULTURE'S OFFICE			 			 ITEM NO.	QTY	UNIT	ITEM DESCRIPTION 1	27	pcs	T-shirt w/ collar  2	3	pcs	flashlight big rechargeable 3	27	pair 	rain coat 4	27	each	lousy cap</t>
  </si>
  <si>
    <t xml:space="preserve"> Supply and Delivery</t>
  </si>
  <si>
    <t xml:space="preserve"> For municipal vehicle Toyota Pick-up with Plate No. A9C-656 use.</t>
  </si>
  <si>
    <t xml:space="preserve"> delivery of solar lights</t>
  </si>
  <si>
    <t xml:space="preserve"> 1.	The Local Government Unit (LGU) of Sta. Teresita , Cagayan, through the General Fund  intends to apply the sum of TWO HUNDRED FORTY THOUSAND &amp; 00/100  PESOS (P240,000.00) being the Approved Budget for the Contract (ABC) to payments under the contract f</t>
  </si>
  <si>
    <t xml:space="preserve"> Lay-outing, Printing and Mass Production of Posters Size: A1, 24 inches x 33.1 inches Full colored Printing C2S 220 AHD Posters - 192pcs. POPDEV Posters - 150pcs.</t>
  </si>
  <si>
    <t xml:space="preserve"> 1.	1	set/s	Computer- AMD A6 Processor, MotherBoard 			4GB DDR3, 500GB HDD, Casing w/ PSU DVDROM 			18.5" Monitor, AVR, Keyboard, Mouse Pad 2.	1	set/s	Computer- Core i5 Processor, MotherBoard 			4GB,  500GB HDD Casing w/ PSU 			18.5" Monitor, Keyboard, Mou</t>
  </si>
  <si>
    <t xml:space="preserve"> SPECIFICATIONS: 8 PCS TIRE FOR DUMP TRUCK (PHP48,000.00) SIZE: 700 - 16 LT TUBELESS NYLON MAXIMUM SINGLE LOAD - 1,320 KG 45 PCS TIRE FOR LOADER (PHP240,000.00) SIZE: 16.9 - 24 ORIGINAL WITH INTERIOR NYLON LOADER WHEEL TYPE MAXIMUM LOAD 7,826 KG MANUFACTUR</t>
  </si>
  <si>
    <t xml:space="preserve"> Frosted Sticker ( for Glasswall ) -1pc Aluminum Pipe ( 930 cm ) - 1pc Aluminum Pipe ( 480 cm ) - 2pcs Aluminum Pipe ( 460 cm ) - 5pcs Aluminum Pipe ( 400 cm ) - 1pc Aluminum Pipe ( 470 cm ) - 1pc curtain holder - 35pcs curtains ( 290 cm long and 150 cm wi</t>
  </si>
  <si>
    <t xml:space="preserve"> 73 drum - 200 L Silo Drum Material - Virgin polyethylene (P.E.)  -Resin compounded with Ultraviolet Stabilizers -Size: Top Outer Diameter (666mm), Bottom Outer Diameter (550mm), Height (873mm) -Drum volume: 200 liters -with  One (1) 2mm dia, fastening rop</t>
  </si>
  <si>
    <t xml:space="preserve"> Delivery of solar lights</t>
  </si>
  <si>
    <t xml:space="preserve"> Furnish of 6 units Laptop Computer, 15.6" Silver Intel Core I7 9750H16GB, DDR4 S12SSD 16GB x 1650 Windows 10</t>
  </si>
  <si>
    <t xml:space="preserve"> 182 lghts uPVC Pipes #100mm dia (4" dia) x 6m (S-10) x-x-x-x-x nothing follows x-x-x-x</t>
  </si>
  <si>
    <t xml:space="preserve"> The TARLAC AGRICULTURAL UNIVERSITY, through its Bids and Awards Committee (BAC), invites all suppliers and dealers to submit sealed quotation for the “PURCHASE OF MESH NETS TO BE USED IN THE CONSTRUCTION OF NETHOUSES FOR THE DA-ACEF PROJECT". Prospective </t>
  </si>
  <si>
    <t xml:space="preserve"> PLEASE SEE ATTACHED FILE FOR QUOTATION.</t>
  </si>
  <si>
    <t xml:space="preserve"> PROCUREMENT OF ONE HUNDRED SIXTY (160) BAGS OF RICE (25 KILOS)</t>
  </si>
  <si>
    <t xml:space="preserve"> 4000 liters Crude/Diesel Oil</t>
  </si>
  <si>
    <t xml:space="preserve"> Bleomycin (as sulfate) 15 IU, 50 vials &amp; 8 other line items</t>
  </si>
  <si>
    <t xml:space="preserve"> I - Mobilization/ Demobilization               one             lot II - Construction Safety and Health Program              one                 lot III - Project Billboard             one             lot IV - Progress Photograph                    one    </t>
  </si>
  <si>
    <t xml:space="preserve"> delivery of construction materials</t>
  </si>
  <si>
    <t xml:space="preserve"> 2 units Battery, MF 12 Volts 11 plates and others.</t>
  </si>
  <si>
    <t xml:space="preserve"> REQUEST FOR QUOTATION For Negotiated Procurement thru Small Value Procurement under Sec. 53.9 of the 2016 Revised IRR of RA 9184 Quotation No.:  2020-02-086 (3rd QUOTE) Date: June 11, 2020 PR No.: 20-02-085 PR Date: February 7, 2020 The Metropolitan Tugue</t>
  </si>
  <si>
    <t xml:space="preserve"> FURNISHING AND DELIVERY OF LABOR, MATERIALS AND EQUIPMENT FOR THE CONSTRUCTION OF MULTI-PURPOSE COVERED COURT PAHSE 2 AT BARANGAY, BACOLOD, JUBAN, SORSOGON</t>
  </si>
  <si>
    <t xml:space="preserve"> Procurement of Vegetable Seeds for the Vegetable Production and Demonstration Site - HVCDP of MAGRO Laak, Davao De Oro with an ABC of Php. 94,890.00.</t>
  </si>
  <si>
    <t xml:space="preserve"> 1 unit, Computer Table, (must have) - 1. printer stand - 2. speaker stand - 3. pull-out keyboard slot - 4. width of at least 15 1/2" and at least 23" length 7 unit, Computer Chairs - must have arm and back rest with pneumatic seat height adjustment</t>
  </si>
  <si>
    <t xml:space="preserve"> 1. 3 packs Purchase of Automated External Defibrillator (AED) - Php 3,500.00  - Batteries (Roll of 10) Product Code: BBZLAEDPBAT Weight: 1.00kg Manufacturers Part Number: 800-0807-01 Battery Standard-by Life: 5 years Battery Type: Lithium Capacity: Typica</t>
  </si>
  <si>
    <t xml:space="preserve"> Improvement of Executive Building</t>
  </si>
  <si>
    <t xml:space="preserve"> 23 LI</t>
  </si>
  <si>
    <t xml:space="preserve"> HAND DRYER- 4 units • 1150 watts rated power. • 500 watts motor power. • Carbon brush motor type. • Wire type heating. • Brushed stainless steel case material. • IPX1 waterproof. • Touch-free Infrared sensing type</t>
  </si>
  <si>
    <t xml:space="preserve"> TITLE: PROCUREMENT OF OFFICE SUPPLIES 			 DEPARTMENT: PRIMARY CA RE FACILITY			 			 ITEM NO.	QTY	UNIT	ITEM DESCRIPTION 1	50	pcs	Battery (AA) 2	50	pcs	Battery (AAA) 3	50	pcs	Battery (C-d2) 4	50	pcs	Battery (C-9v) 5	10	box	Ballpen HBW Matrix Oil(black,blue,</t>
  </si>
  <si>
    <t xml:space="preserve"> 1 UNIT 4D56 ENGINE WITH TRANSMISSION 1 UNIT RADIATOR 4 ROWS 1 UNIT COOLER (TURBO) 2 PCS ENGINE SUPPORT 2 PCS CABLE (SHIFTING)</t>
  </si>
  <si>
    <t xml:space="preserve"> Invitation to Bid for the Completion of Damilag Public Market (Construction of Waste Water Treatment Facilty) 1.	The Local Government Unit of Manolo Fortich, through the 20% Local Development Fund intends to apply the sum of FOUR MILLION FIVE HUNDRED THOU</t>
  </si>
  <si>
    <t xml:space="preserve"> Repair and maintenance of different airconditioning units in various offices in CGC</t>
  </si>
  <si>
    <t xml:space="preserve"> Supply and Delivery of various CI and Mechanical  Fittings for Potable Water The Metro Midsayap Water District (MMWD) gives notice that  quotations are invited for the Supply and Delivery of various CI and Mechanical  Fittings for Potable Water 8 PCS - 3"</t>
  </si>
  <si>
    <t xml:space="preserve"> Construction of New Road at Sitio Pakiling Barangay Baraka Norzagaray Bulacan</t>
  </si>
  <si>
    <t xml:space="preserve"> The Barangay Mungo, Tuao Cagayan through its 20% BARANGAY DEV'T Fund intends to apply the sum of             Php 99,668.44  being the Approved Budget for the Contract (ABC) to payments under the contract for  Installation of Street Lights (20 UNITS). Bids</t>
  </si>
  <si>
    <t xml:space="preserve"> 500    bottles  D5%LR 1000ml 1500  bottles  Plain NSS 1000ml</t>
  </si>
  <si>
    <t xml:space="preserve"> 1 9 REAM/S PAPER - BOND-SUBS.16,LONG (8 1/2"X13") 2 6 REAM/S PAPER - BOOK A4,210MMX297MM,MIN OF 70GSM 3 6 REAM/S PAPER - BOOK LEGAL,216MMX330MM(8-1/2"X13"),MIN OF 70GSM 4 5 ROLL/S TAPE - MASKING #1 5 10 PC/S BALLPEN - ORDINARY, BLACK 6 10 PC/S BALLPEN - O</t>
  </si>
  <si>
    <t xml:space="preserve"> 20 LI</t>
  </si>
  <si>
    <t xml:space="preserve"> Ampicillin sodium 1000mg + sulbactam 500mg, 3,400 vial &amp; 3 other line items</t>
  </si>
  <si>
    <t xml:space="preserve"> Item No. Qty. units Description Brand Amount /Unit 1  65  PIECE/S  BAG, BACK PACK, ADULT SIZE 2  65  PIECE/S FLASHLIGHT, RECHARGEABLE 3  65  PIECE/S VEST 4  65  PIECE/S WHISTLE FOR INTERESTED BIDDER, PLEASE SEE ATTACHED PDF RFQ FOR YOUR QUOTATION.</t>
  </si>
  <si>
    <t xml:space="preserve"> Abiraterone acetate 250mg, 120 tablets &amp; 3 other line items</t>
  </si>
  <si>
    <t xml:space="preserve"> FOR GOODS OFFERED Project Name:	Installation of Street Lighting System Location:	Brgy. Tagabakid, City of Mati, Davao Oriental Approved Budget:	P 999,087.75 Project Duration	39 Calendar Days ITB Number	TAGABAKID-2020-01 Please quote your lowest price on t</t>
  </si>
  <si>
    <t xml:space="preserve"> Purchase and delivery of janitorial supplies for City Public Market</t>
  </si>
  <si>
    <t xml:space="preserve"> Please see attached File</t>
  </si>
  <si>
    <t xml:space="preserve"> REQUEST FOR QUOTATION PROCUREMENT OF TECHNICAL SURVEY &amp; DRAFTING SERVICES  LGU-GIGMOTO June 9, 2020 1.	The Local Government Unit of Gigmoto, through the CY 2020 General Fund intends to apply the sum of Ninety Nine Thousand Pesos (P99,000.00) being the App</t>
  </si>
  <si>
    <t xml:space="preserve"> PROVISION OF WATCHMAN SERVICES FROM MARCH 1-DECEMBER 31, 2020</t>
  </si>
  <si>
    <t xml:space="preserve"> 1.	1	unit/s	Aircondition 1.5HP (Split Type) w/ Installation 2.	30	feet	Copper Tube</t>
  </si>
  <si>
    <t xml:space="preserve"> Clonazepam 2mg, 30 tablets &amp; 3 other line items</t>
  </si>
  <si>
    <t xml:space="preserve"> INVITATION TO BID KB-INFRA- 2020-06 The MUNICIPALITY OF KITAOTAO, through its Bids and Awards Committee (BAC), invites supplier’s manufacturers/contractors to apply for eligibility and to bid for hereunder project:   Project Name	          :  CONSTRUCTION</t>
  </si>
  <si>
    <t xml:space="preserve"> Purchase and delivery of tornado box fan to be used be different offices of the CGC</t>
  </si>
  <si>
    <t xml:space="preserve"> Printing of Gold Card ID's of Socialized Medical Health Care Program of the CGC</t>
  </si>
  <si>
    <t xml:space="preserve"> SUPPLY OF MATERIALS FOR - SCAFFOLDINGS - CONCRETE WORKS (Concrete Floor = 1.89 cu.m.) - PLASTERING WORKS (Interior Only = 43.62 sq.m.) - DOORS AND WINDOWS - ELECTRICAL WORKS (Rough-In Only) - PROJECT BILLBOARD</t>
  </si>
  <si>
    <t xml:space="preserve"> 1 1 BOX/S BALLPEN - ORDINARY,RED 50'S 2 5 BOX BALLPEN - BLACK ORDINARY 50'S 3 5 REAM/S PAPER - BOND COLORED LONG-YELLOW 4 5 REAM/S PAPER - BOND COLORED LONG-BLUE 5 10 REAM/S PAPER - BOND COLORED LONG-PINK 6 45 REAM/S PAPER - BOOK LEGAL,216MMX330MM(8-1/2"X</t>
  </si>
  <si>
    <t xml:space="preserve"> Repair and maintenance of dump truck assigned to CEPWD</t>
  </si>
  <si>
    <t xml:space="preserve"> 1. 1 SET PURCHASE OF MANNEQUINS FOR TRAINING - PHP 50,000.00 	Professional Adult Medium Skin CPR-AED Training Manikin 4-Pack (with CPR Monitor)  Product features Part Number: PP-AM-400M-MS Product description Professional Adult Medium Skin CPR-AED Traini</t>
  </si>
  <si>
    <t xml:space="preserve"> For repair and maintenance of various offices in this municipality.</t>
  </si>
  <si>
    <t xml:space="preserve"> Supply and Delivery of Construction Supplies and Materials for the Improvement of Barangay Health Station at Mabasa with an ABC of Php282,745.00 LOT 1. Billboard = 1,900.00 LOT 2. Miscellaneous Materials = 275,345.00 LOT 3. Equipment Rental = 5,500.00 For</t>
  </si>
  <si>
    <t xml:space="preserve"> Supply and delivery of Powder Activator to be used in the preparation of Silang Organiks (soil conditioner) for fast decomposition process</t>
  </si>
  <si>
    <t xml:space="preserve"> Purchase and delivery of equipment and consumables to be used by BPLS</t>
  </si>
  <si>
    <t xml:space="preserve"> Description The Bauan Technical High School, through the General Appropriations Act (GAA) FY 2020 intends to apply the sum of  Eighty –Five Thousand  Pesos (₱85,000.00) being the Approved Budget for the Contract (ABC) to payments under the contract Certif</t>
  </si>
  <si>
    <t xml:space="preserve"> Republic of the Philippines Municipality of Taytay Barangay Casian NOTICE TO BIDDERS 1.	CONCRETING OF ROAD ( Bgy. Proper) Item#	Description		QTY.		UNIT	 1.	Portland Cement		769		bags 2.	12mm dia.x6.0m RSB		72		pcs 3.	½”Ordinary Plywood		3		pcs 4.	2”x6”x 1</t>
  </si>
  <si>
    <t xml:space="preserve"> TO : ALL BIDDERS WHAT : Schedule for the bid; WHEN : July 2, 2020 @ 9:00 A.M. WHERE : Multi-Purpose Hall, 2nd Floor, Left Wing, Bogo City Hall, Cayang, Bogo City, Cebu Attention: All Bidders 1) You are required to bring Universal Serial Bus (USB) Flash Dr</t>
  </si>
  <si>
    <t xml:space="preserve"> NOTICE FOR NEGOTIATED PROCUREMENT (Small Value Procurement – Sec 53.9 of the Revised IRR of 9184) Reference No. 20-06-028TF Procuring Entity: MUNICIPALITY OF LILIW, LAGUNA Title: Supply and Delivery of Materials for the Repair and Maintenance of Truck MRF</t>
  </si>
  <si>
    <t xml:space="preserve"> 1	LAPTOP  Intel core i3-5005U processor with 3MB of cache, with 14-inch intel HD Graphics 5500, equipped with 64-bit windows 10 operating system. It runs at 2 GHz with 4gb of RAM and 1600 MHz of RAM speed, with DVD+/-RW USB-16 GB 		12 units  	1 year Warra</t>
  </si>
  <si>
    <t xml:space="preserve"> For the repair and maintenance of vehicle  Lot 1 Labor and materials Work details PMS - 140,000 km and check-up (engine check) Clean EGR/valve kit Replace brake fluid &amp; bleed system Replace clutch fluid Parts: Fuel filter element Fully synthetic oil 5W-30</t>
  </si>
  <si>
    <t xml:space="preserve"> INVITATION TO BID FOR THE Procurement of Various  Materials, Fuel and Lubricant for the Implementation of Road Rehabilitation Program  1.	The Municipality of Alabel, through the Annual Budget for CY 2020  intends to apply the sum of: Lot No. 	Description	</t>
  </si>
  <si>
    <t xml:space="preserve"> Bromocriptine mesilate 2.5mg, 350 tablets</t>
  </si>
  <si>
    <t xml:space="preserve"> Procurement of IT Devices for the Programmers used to fastract the Development of the IFSU Enterprise of the IFSU Enterprise Information System</t>
  </si>
  <si>
    <t xml:space="preserve"> Features:   16 Channels with Scan Functions   Output Power 5W (VHF) / 4W (UHF)   DTMF Enc. (PTT ID, Autodial)   Windows Programming and Tuning   Wide/Narrow Channel Bandwidth   VOX Ready   Battery Saver   Busy Channel Lockout   Time-out Timer   Low Batter</t>
  </si>
  <si>
    <t xml:space="preserve"> Please see BAC Chairman &amp; attached document</t>
  </si>
  <si>
    <t xml:space="preserve"> Supply and delivery of 3 units printer with scanner</t>
  </si>
  <si>
    <t xml:space="preserve"> REQUEST FOR QUOTATION The City Government of San Jose del Monte, through its Bids and Awards Committee (BAC) Invites Suppliers/Manufacturers/Distributors to Bid for hereunder procurement: RFQ No.	PR No.	PROJECT TITLE	Requesting Office	Approved Budget for </t>
  </si>
  <si>
    <t xml:space="preserve"> AIR CONDITIONER - Wallmounted - Split type - 1.5 HP - Inverter ***NOTE: Pls. supply/fill-in preferred Deliver Period, Warranty (if applicable) and Price Validity*** ABC: 69,000.00 Delivery Period: Delivery Site: On Site SUBMIT CERTIFIED TRUE COPY OF THE F</t>
  </si>
  <si>
    <t xml:space="preserve"> Supply and Delivery of Construction Supplies and Materials needed for the Improvement of Barangay Health Station at Belance with an ABC of Php320,812.29 LOT 1. Billboard = 1,900.00 LOT 2. Miscellaneous Materials = 277,112.29 LOT 3. Electrical Supplies = 2</t>
  </si>
  <si>
    <t xml:space="preserve"> 78 PCS FLU VACCINE</t>
  </si>
  <si>
    <t xml:space="preserve"> Provision of Vehicle Rentals ABC:472,500.00 	1 unit Vehicle Rentals -	105 days Travel -	June –December 2020 -	Region-Wide 	(during the conduct of validation, inspection, Post Qualification and Mass Distribution in relation to the implementation 		Of the P</t>
  </si>
  <si>
    <t xml:space="preserve"> NOTICE FOR NEGOTIATED PROCUREMENT (Small Value Procurement – Sec 53.9 of the Revised IRR of 9184) Reference No. 20-06-027TF Procuring Entity: MUNICIPALITY OF LILIW, LAGUNA Title: Supply and Delivery of Reagents used in Rural Health Unit Laboratory Area of</t>
  </si>
  <si>
    <t xml:space="preserve"> QTY   UNIT    DESCRIPTION 1       lot        Emission Test for 2 units Generator set</t>
  </si>
  <si>
    <t xml:space="preserve"> Installation of 4 units floor mounted inverter type airconditioning units at PCA bldg., 4th floor</t>
  </si>
  <si>
    <t xml:space="preserve"> Project Description: Type: Concrete                                            Drainage Length: 123 meters                                      Length: 120m (L=60m,R=60m) Width: 4 meters                                           Width=0.50m Thickness: 6"(</t>
  </si>
  <si>
    <t xml:space="preserve"> Please see attached Request for Quotation. ---------------------OPAG--------------------</t>
  </si>
  <si>
    <t xml:space="preserve"> Data file folder, long Envelope, 150lbs.,  long, 500's Envelope, brown, short, 500's Envelope, documentary long, 500's Folder, long, 100's Folder, short, 100's Glue, all purpose, 130g Liquid paper Paper clip, plastic coated, 32 mm Paper, bond, long,  80 g</t>
  </si>
  <si>
    <t xml:space="preserve"> INVITATION TO BID Bid Reference No. ____________ PURCHASE OF FUEL FOR THE SECOND QUARTER (BIDDING) Approved Budget for the Contract (ABC): Php 304,000.00 1. The Municipal Government Unit of Initao, Misamis Oriental intends to apply the sum of : Three Hund</t>
  </si>
  <si>
    <t xml:space="preserve"> Procurement of IT Equipment (SEF) 2 Unit Computer Desktop with Printer</t>
  </si>
  <si>
    <t xml:space="preserve"> Republic of the Philippines BIDS AND AWARDS COMMITTEE Bacolod City INVITATION TO BID FOR THE PURCHASE OF HIGH SPEED FULL COLOR INKJET PRINTER 1.	The City of Bacolod, through the Sangguniang Panlungsod 2019 intends to apply the sum of                      </t>
  </si>
  <si>
    <t xml:space="preserve"> Cetirizine 10mg, 22,500 tablets</t>
  </si>
  <si>
    <t xml:space="preserve"> INVITATION TO BID KB-INFRA- 2020-06 The MUNICIPALITY OF KITAOTAO, through its Bids and Awards Committee (BAC), invites supplier’s manufacturers/contractors to apply for eligibility and to bid for hereunder project: Project Name	  : CONSTRUCTION OF MULTIPU</t>
  </si>
  <si>
    <t xml:space="preserve"> Supply &amp; Delivery of Materials ABC:138,000.00 	100 bot Alcohol 80% Ethyl or Isopropyl Alcohol, 500ml 	100 boxes Face mask, 3 ply, 50 pcs/box 	Delivery period: 30 days 	Delivery site: DA-RFO 12, Koronadal City (GSO/RPDP) Note: Bidders must quote in all ite</t>
  </si>
  <si>
    <t xml:space="preserve"> PROCUREMENT OF 50 DRUMS OF CHLORINE GRANULES (CALCIUM HYPOCHLORITE) FOR WATER TREATMENT OF ACWD PUMPHOUSES TYPICAL PROPERTIES AND CHEMICAL ANALYSIS: - Available Chlorine (% by weight, min.) : 70 - Water, hydrate (%, min.) : 7.8 - PH : 9.4 (100 ppm water) </t>
  </si>
  <si>
    <t xml:space="preserve"> Supply and Delivery of Construction Supplies and Materials needed for the Improvement of Barangay Health Station at Bulala with an ABC of Php300,488.25 LOT 1. Billboard = 1,900.00 LOT 2. Miscellaneous Materials = 257,500.25 LOT 3. Electrical Supplies = 21</t>
  </si>
  <si>
    <t xml:space="preserve"> 1	Diesel 		7,460 L</t>
  </si>
  <si>
    <t xml:space="preserve"> Face Shield FACE SHIELD, full face shield, Anti-fog, Latex free, One size fits all, soft head foam, comfort stretch band, disposable</t>
  </si>
  <si>
    <t xml:space="preserve"> Republic of the Philippines                                                                   PROVINCE OF SAMAR                                                                    INVITATION TO BID                                                           </t>
  </si>
  <si>
    <t xml:space="preserve"> Operating System, Windows 10 Software, MS Office Proessional DVD, with playback &amp; burner softwar4 AVR CPU Case with PSU, with I/O ports, USB ports Graphics Hard Drive, 500 Gb, 7200 RPM Memory, 4 GB DDR4 2400 MHz Monitor, 18 - 20" wide, LCD Mother Board Pr</t>
  </si>
  <si>
    <t xml:space="preserve"> 350 bottles Multivitamins Syrup 60ml 350 bottles Ascorbic Acid Syrup 60ml 85 boxes Multivitamins Cap. 100pcs/box 85 boxes Ascorbic Acid Tab. 100pcs/box</t>
  </si>
  <si>
    <t xml:space="preserve"> Republic of the Philippines BIDS AND AWARDS COMMITTEE Bacolod City INVITATION TO BID FOR THE PURCHASE OF ONE MOTOR VEHICLE (AUV-BRAND NEW) FOR CITY MAYOR’S OFFICE USE 1.	The City of Bacolod, through the Sangguniang Panlungsod 2019 intends to apply the sum</t>
  </si>
  <si>
    <t xml:space="preserve"> Furnish of 1 set Desktop Computer (refer attachment for the specs)</t>
  </si>
  <si>
    <t xml:space="preserve"> 1 10 REAM/S PAPER - BOND,PG,LEGAL,216MMX330MM(8-1/2"X13") 70 GSM 2 11 REAM/S PAPER - BOND,PG,A4,210MMX297MM,70GSM. 3 70 PC/S NOTEBOOK - YARN 4 1 REAM/S PAPER - BOND COLORED LONG-YELLOW 5 1 PC/S USB FLASH DRIVE - 16 GB 6 149 PC/S BALLPEN - ORDINARY, BLACK</t>
  </si>
  <si>
    <t xml:space="preserve"> Supply &amp; Delivery of Tire/Spare Parts ABC:94,080.00 	4  pcs TIRE 265 x R16  for Ford Ranger 	4 pcs TIRE 265xR17 for Mitsubishi Strada 	Delivery period: 30 days 	Delivery site: DA-RFO 12, Koronadal City (GSO/RPDP) Note: Bidders must quote in all items (by </t>
  </si>
  <si>
    <t xml:space="preserve"> Japan used and reconditioned  Suzuki Multicab Passenger type  4x4</t>
  </si>
  <si>
    <t xml:space="preserve"> Republic of the Philippines                                                                   PROVINCE OF SAMAR                                                                   2nd  INVITATION TO BID                                                       </t>
  </si>
  <si>
    <t xml:space="preserve"> Procurement ID/Contract I.D.: 20CN0149 Contract Name: Retrofitting/Strengthening of Permanent Bridge – Aguang Br. (B03015LZ) Contract Location: along Baler – Casiguran Rd (Baler – Dinadiawan) Brief Description: Bridge Construction Approved Budget for the </t>
  </si>
  <si>
    <t xml:space="preserve"> OFFICE SUPPLIES ET AL</t>
  </si>
  <si>
    <t xml:space="preserve"> Republic of the Philippines Province of Occidental Mindoro Municipality of Sta. Cruz INVITATION TO BID The Municipality of Sta. Cruz, through its Bids and Awards Committee (BAC), invites qualified suppliers to bid for the implementation of hereunder progr</t>
  </si>
  <si>
    <t xml:space="preserve"> Republic of the Philippines Province of Camarines Sur BARANGAY MAANGAS       Municipality of Presentacion -o0o- Invitation to Bid for PURCHASE OF HARDWARE MATERIALS FOR BARANGAY ACCESS ROAD CONSTRUCTION. 1.	The BLGU of Maangas, Presentacion, Camarines Sur</t>
  </si>
  <si>
    <t xml:space="preserve"> INSTALLATION OF SOLAR STREETLIGHT-NAPNAPAN, PANTUKAN</t>
  </si>
  <si>
    <t xml:space="preserve"> TITLE: PROCUREMENT OF MEDICAL SUPPLIES			 DEPARTMENT: MUNICIPAL AGRICULTURE'S OFFICE			 			 ITEM NO.	QTY	UNIT	ITEM DESCRIPTION 1	20	bots	albendazole 2	100	vial	rabbies vaccine 3	1	box	gloves 4	5	ox	disposable syringes 5	1	box	racumin 6	15	bots	alcohol 7	1</t>
  </si>
  <si>
    <t xml:space="preserve"> Supply and Delivery of Construction Supplies and Materials needed for the Improvement of Barangay Health Station at New Gumiad with an ABC of Php339,158.66 LOT 1. Billboard = 1,900.00 LOT 2. Miscellaneous Materials = 320,758.66 LOT 3. Hauling of Materials</t>
  </si>
  <si>
    <t xml:space="preserve"> 2	SETS	13.6x24 BRAND NEW TIRE W/ TUBE AND FLAP 12	SETS	1200X20 BRAND NEW TIRE W/ TUBE AND FLAP 12	SETS	1000X20 BRAND NEW TIRE W/ TUBE AND FLAP 4	SETS	900X20 BRAND NEW TIRE W/ TUBE AND FLAP 10	SETS	825X20 BRAND NEW TIRE W/ TUBE AND FLAP 10	SETS	825X16 BRAN</t>
  </si>
  <si>
    <t xml:space="preserve"> Please contact BAC Secretariat for details</t>
  </si>
  <si>
    <t xml:space="preserve"> Bandage Gauze, 2”x10 Yards, Rolled, w/ Edging, Non Sterile---------------2400 qty --------------P12.50/roll Colostomy Bag, Disp. w/ 3 Layers, Plastic Size 3, Individual Wrapped, Box of 100’s-------------------------------------------36 qty ---------------</t>
  </si>
  <si>
    <t xml:space="preserve"> TITLE: CONSOLIDATION &amp; SUBDIVISION SURVEY SERVICES IN BRGY. POBLACION, SUAL, PANGASINAN			 DEPARTMENT: MAYOR'S OFFICE			 			 ITEM NO.	QTY	UNIT	ITEM DESCRIPTION 1	1	lot	Procurement Of Consolidation &amp;  			Subdivision Survey Services 			 			Lots: 			2-I-1,2-</t>
  </si>
  <si>
    <t xml:space="preserve"> Provision of Consultancy Services (July-December 2019) ABC:756,000.00 	1 pax  Administrative Offcer (July-December 2019)		180,000.00 TERMS OF REFERENCE (TOR) Job Title				:  ADMINSTRATIVE OFFICER  Official Station				: Regional Project Coordination Office</t>
  </si>
  <si>
    <t xml:space="preserve"> Tenor Reeds (Traditional), 4 box &amp; 10 other line items</t>
  </si>
  <si>
    <t xml:space="preserve"> The TARLAC AGRICULTURAL UNIVERSITY, through its Bids and Awards Committee (BAC), invites all suppliers and dealers to submit sealed quotation for the “PURCHASE AND DELIVERY OF FEMALE GOATS AND BUCKS". Prospective bidders are required to submit the followi</t>
  </si>
  <si>
    <t xml:space="preserve"> ITEM NO.	QUANTITY	UNIT	DESCRIPTION 1	68	pcs	Angle Bar, 1/4" x 2" x 2" x 6m 2	25	m	Assorted Sanding Paper 3	70	pcs	Assorted Paint Rollers/Brush 4	100	pcs	Bamboo Poles 5	3	box	Blind Rivets, 5/32 x 1" 6	10	box	Blind Rivets, 1/8 x 1" 7	45	pcs	C-Purlin, 2" x 4</t>
  </si>
  <si>
    <t xml:space="preserve"> Republic of the Philippines BIDS AND AWARDS COMMITTEE Bacolod City INVITATION TO BID FOR THE PURCHASE OF MOTOR VEHICLE FOR CITY ADMINISTRATOR'S OFFICE USE 1.	The City of Bacolod, through the Sangguniang Panlungsod 2019 intends to apply the sum of         </t>
  </si>
  <si>
    <t xml:space="preserve"> Republic of the Philippines BIDS AND AWARDS COMMITTEE Bacolod City INVITATION TO BID FOR THE PURCHASE OF BRAND NEW SERVICE VEHICLE FOR USE AS SERVICE VEHICLE OF PUBLIC WORK DIVISION, CEO 1.	The City of Bacolod, through the Sangguniang Panlungsod 2019 inte</t>
  </si>
  <si>
    <t xml:space="preserve"> PLEASE SEE ATTACHED RFQ.</t>
  </si>
  <si>
    <t xml:space="preserve"> Invitation to Bid The Municipal Government of Liliw, Laguna, through its Bids and Awards Committee (BAC), invites bidders top bid for the hereunder project: Name of Project: Supply and Delivery of Various Equipment for different offices in the Municipalit</t>
  </si>
  <si>
    <t xml:space="preserve"> Main and Con bearing Connecting rod Convertion main and conecting rod fitting Sleave Machining Valve Guide replace Valve ring insert</t>
  </si>
  <si>
    <t xml:space="preserve"> Republic of the Philippines                               CONCEPCION WATER DISTRICT San Jose, Concepcion, Tarlac Tel. No. (045) 923-0430 / 923-1576 / 628-2364 Email: concepcionwaterdistrict@yahoo.com Website: www.concepcionwaterdistrict.gov.ph Facebook: h</t>
  </si>
  <si>
    <t xml:space="preserve"> DESCRIPTION	QTY	UNIT	AMOUNT	TOTAL COST 1	7"    gong	33	PCS	 1,875.00 	 61,875.00  2	6"    gong	15	PCS	 1,354.00 	 20,310.00  3	5"    gong	19	PCS	 1,145.00 	 21,755.00  4	4"    gong	16	PCS	 833.00 	 13,328.00  5	3"   gong	98	PCS	 312.00 	 30,576.00  6	2.5"</t>
  </si>
  <si>
    <t xml:space="preserve"> SOURCE OF FUNDS: ANNUAL BUDGET CY 2020-- 20% DF BIDDING DATE &amp; TIME: JUNE 19, 2020- 1:00 P.M</t>
  </si>
  <si>
    <t xml:space="preserve"> Please see attached Request for Quotation. --------------------OPAG---------------------</t>
  </si>
  <si>
    <t xml:space="preserve"> Republic of the Philippines BIDS AND AWARDS COMMITTEE Bacolod City INVITATION TO BID FOR THE PURCHASE OF 4 WHEELER-TRUCK FOR SOCIO ECONOMIC ENTERPRISE UNIT-MARKETS USE 1.	The City of Bacolod, through the Sangguniang Panlungsod 2019 intends to apply the su</t>
  </si>
  <si>
    <t xml:space="preserve"> Per approved PR # 249 dated May 13, 2020 consisting of various drugs and medicines for use in the Mun. Heath Office.</t>
  </si>
  <si>
    <t xml:space="preserve"> REPUBLIC OF THE PHILIPPINES CITY GOVERNMENT OF OROQUIETA BIDS AND AWARD COMMITTEE City Hall , Oroquieta City                                                                                                                                                   </t>
  </si>
  <si>
    <t xml:space="preserve"> Description GENERAL ENGINEERING CONSTRUCTION Other Information The only authorized person to buy and drop bid documents is the bidder himself or his representative through a Special Power of Attorney (SPA), particularly stating therein the title of the pr</t>
  </si>
  <si>
    <t xml:space="preserve"> 142 VIALS ANTI-RABBIES VACCINE (VEROCELL)</t>
  </si>
  <si>
    <t xml:space="preserve"> Republic of the Philippines Province of Occidental Mindoro Municipality of Sta. Cruz INVITATION TO BID The Municipality of Sta. Cruz, through its Bids and Awards Committee (BAC), invites qualified contractors to bid for the construction of hereunder progr</t>
  </si>
  <si>
    <t xml:space="preserve"> SOURCE OF FUNDS: ANNUAL BUDGET CY 2020-- 20% DF BIDDING DATE &amp; TIME: JUNE 19, 2020- 3:00 P.M</t>
  </si>
  <si>
    <t xml:space="preserve"> Supply &amp; Delivery of Various Supplies ABC:50,050.00 8 pcs Bukag  9 pcs Winnower  350 pcs Empty Sacks 5 pcs Shovel 6 pcs Spade, HD 2 units Wooden seed shelves (H= 6ft, W=8ft, D= 18”) 	Delivery period: 30 days 	Delivery site: DA-Aroman RES, Carmen, Cotabato</t>
  </si>
  <si>
    <t xml:space="preserve"> 2 units Laptop</t>
  </si>
  <si>
    <t xml:space="preserve"> Glove (Black) for Officer, 40 ea &amp; 22 other line items</t>
  </si>
  <si>
    <t xml:space="preserve"> QUOTATION - SEALED CANVASS: Please submit the accomplished OFFICIAL CANVASS FORM before the closing date at PPMD 2nd flr. SSS Main Bldg., East Ave., Quezon City. Submit in Sealed Envelope address to Ms. HYDEE R. RAQUID – Department Manager III, Procuremen</t>
  </si>
  <si>
    <t xml:space="preserve"> unit	Pick up type Vehicle 4x4	1 	With engine displacement not exceeding	 	3000cc	 	Diesel fed	 	Number of Cylinder: 4	 	Number Valves: 16	 	Transmission Category: 6 Speed Automatic	 Purpose: Peace and Order Monitoring to all barangays in the Municipality </t>
  </si>
  <si>
    <t xml:space="preserve"> RFQ 2020-100 PROJECT		:	LBRDC MOST COMMONLY USED MATERIALS  IMPLEMENTOR		: 	LBP RESOURCES AND DEVELOPMENT CORPORATION OWNER			:	LAND BANK OF THE PHILIPPINES	 REQUEST FOR QUOTATION FOR	:	SUPPLY OF CONSTRUCTION MATERIALS    DATE / TIME OF SUBMISSION		:	ON O</t>
  </si>
  <si>
    <t xml:space="preserve"> Polyethylene Water storage Tank (2,000 L) 1 unit Angle bar 2"x2"x1/4"thk 34 pcs Cement 33 bags Sand 2 cu.m Gravel 4 cu.m 16mm dia RSB 40 pcs 10mm dia RSB 25 pcs GI wire #16 4 kgs GI plain sheet 2 pcs Plywood 1/2"thk 4 pcs Cocolumber 2"x3"x10' 8 pcs Assort</t>
  </si>
  <si>
    <t xml:space="preserve"> ITEM NO.	QUANTITY	UNIT	DESCRIPTION 			 1	5400	pcs	35x25x5.5cm (Barbell) Block Paver 2	2250	pcs	Cement (Paver) Tiles 3	45	pcs	30 x 30 x 2 cm (Cement Tiles) 4	35	pcs	60 x 60cm Ceramic Tiles 5	30	cu.m.	Earthfilling 6	25	pcs	Gravel 7	45	cu.m.	Sand 8	356	bags	</t>
  </si>
  <si>
    <t xml:space="preserve"> Supply &amp; Delivery of Agricultural  Equipment ABC:100,000.00 1 unit  Thresher (Complete Set)  	Delivery period: 30 days 	Delivery site: DA- AmasRES, Amas Kidapawan City Note: Bidders must quote in all items (by lot) in a Sealed Envelope  together with Mand</t>
  </si>
  <si>
    <t xml:space="preserve"> REMINDERS: (1) SUBMISSION OF REQUEST FOR QUOTATION SHALL BE ON A SEALED ENVELOPE. THE FLAP OF THE ENVELOPE MUST BE SIGNED. THE DETAILS THAT SHOULD BE REFLECTED IN THE ENVELOPE ARE THE FOLLOWING:  a) RQ NUMBER;  b) COMPANY NAME;  c) REQUESTING UNIT; and  d</t>
  </si>
  <si>
    <t xml:space="preserve"> Republic of the Philippines Province of Davao Oriental City of Mati BIDS &amp; AWARDS COMMITTEE INVITATION TO BID (REBID) Procurement of One (1) Unit CACAO GRINDER in Support to Cacao/Coffee Village Plantation Development Program SOURCE OF FUND: OLFP [1999(OC</t>
  </si>
  <si>
    <t xml:space="preserve"> Assorted Drugs &amp; Medicines</t>
  </si>
  <si>
    <t xml:space="preserve"> 1	Diesel 		7,940 L</t>
  </si>
  <si>
    <t xml:space="preserve"> I. SIGNBOARD II. LAY-OUT &amp; EXCAVATION III. STONE MASONRY WORKS</t>
  </si>
  <si>
    <t xml:space="preserve"> 33	UNIT		WINDOW TYPE AC CLEANING		 7	UNIT		FLOOR MOUNTED AC CLEANING		 4	UNIT		WALL MOUNTED AC CLEANING		 2	UNIT		WINDOW TYPE AC FOR FREON RECHARGING		 3	UNIT		WINDOW TYPE AC FOR REPAIR		 1	UNIT		FLOOR MOUNTED AC FOR FREON CHARGING		 1	UNIT		FLOOR MOUNTED</t>
  </si>
  <si>
    <t xml:space="preserve"> Supply &amp; Delivery of Laboratory Supplies ABC:57,000.00 	10  sacks Crack Corn  -	Yellow 	30 sacks Trigo/Wheat -	50 kgs/bag -	Big grains -	White in color and clean 	Delivery period: 30 days 	Delivery site: DA-RCPC, Tacurong City  Note: Bidders must quote in</t>
  </si>
  <si>
    <t xml:space="preserve"> Parathyroid (tc99m sestamibi) 20mci, 4 dose &amp; 3 other line items</t>
  </si>
  <si>
    <t xml:space="preserve"> 1.		3	 units 	of	16 Channel NVR4216-4KS2 2.		13	 units 	of	4MP IPC - b1b40 Bullet, 4MP 3.		3	 units 	of	4MP IR 30x PTZ ip Camera 4.		3	 units 	of	4TB WD Purple Hardisk 5.		4	 units 	of	AP Transceiver, Litebeam, M5, AP 6.		1	 unit 	of	AP Receiver, Litebeam</t>
  </si>
  <si>
    <t xml:space="preserve"> Pursuant to the Philippine Commission on Women Memorandum Circular No. 2020-003 dated 27 April 2020 re Adjustment and/or Implementation of the FY 2020 Gender and Development (GAD) Plan and Budget in view of the Corona Virus Disease 2019 Situation, the Dep</t>
  </si>
  <si>
    <t xml:space="preserve"> SOURCE OF FUNDS: ANNUAL BUDGET CY 2020 BIDDING DATE &amp; TIME: JUNE 19, 2020- 1:00 P.M</t>
  </si>
  <si>
    <t xml:space="preserve"> TITLE: PROCUREMENT OF SUPPLIES/MATERIALS FOR FABRICATING OF BILL BOARD FRAME AND OTHER MAINTENANCE			 DEPARTMENT: GENERAL SERVICES OFFICE			 			 ITEM NO.	QTY	UNIT	ITEM DESCRIPTION 1	6	pcs	3" G.I pipe sch40 2	12	pcs	1" G.I pipe sch41 3	1	pc	12mm RSB  4	1	p</t>
  </si>
  <si>
    <t xml:space="preserve"> Supply &amp; Delivery of IT Supplies ABC:55,500.00 1 pc Intel core i5-7500 1 pc motherboard, Ex-H110M-V Micro ATX 1 pc 8GB DDR4 2666 DIMM Desktop memory 1 pc 1TB green SATA 6.0 gb/3.5 in IHD 1 pc  22 in widescreen LCD monitor/DVi 1 pc  ATX Case with 700 power</t>
  </si>
  <si>
    <t xml:space="preserve"> Republic of the Philippines Province of Camarines Norte MUNICIPALITY OF VINZONS BIDS AND AWARDS COMMITTEE (BAC) (Tel. # 446-63-09) INVITATION TO BID 	 Invitation to Bid for: CONSTRUCTION OF TEMPORARY FACILITY WITH MATERIALS RECOVERY FACILITY – BRGY. MANGC</t>
  </si>
  <si>
    <t xml:space="preserve"> Supply &amp; Delivery of Cacao Seedlings ABC:510,000.00 34,000 pcs Cacao Seedlings -	Pencil size -	Graftable  -	Potted on 6” x 10” x.003 -	Polyethylene  black bag 	Delivery period: 30 days 	Delivery site: DA- Amas RES, Kidapawan City  Note: Bidders must quote</t>
  </si>
  <si>
    <t xml:space="preserve"> Standard Form No. 60						 Revised on May 24, 2004						 REQUEST FOR QUOTATION						 Provincial Government of Romblon						 						 				Date:        June 11, 2020		 				Quotation No.:    86-S		 						 To Our Valued Suppliers:						 						 	Please quote you</t>
  </si>
  <si>
    <t xml:space="preserve"> Republic of the Philippines Province of Camarines Norte MUNICIPALITY OF VINZONS BIDS AND AWARDS COMMITTEE (BAC) (Tel. # 446-63-09) 	 INVITATION TO BID FOR: Materials for the Installation of Solar Lights – Brgy. Sabang, Vinzons, Camarines Norte 1.	The Loca</t>
  </si>
  <si>
    <t xml:space="preserve"> 1 unit Infant Weighing Scale</t>
  </si>
  <si>
    <t xml:space="preserve"> 1.	The Brgy. Capayawan, Municipality of Botolan, through the Barangay Fund intends to apply the sum of P 360,688.00 being the Approved Budget for the Contract (ABC) to payments under the contract for Concreting of Capayawan Alley Road (Phase II), Botolan,</t>
  </si>
  <si>
    <t xml:space="preserve"> SOURCE OF FUNDS: ANNUAL BUDGET CY 2020 BIDDING DATE &amp; TIME: JUNE 19, 2020- 3:00 P.M</t>
  </si>
  <si>
    <t xml:space="preserve"> CALIBRATION OF SURVEY INSTRUMENT: SOKKIA GRS2, REAL TIME KINEMATIC (RTK) GLOBAL NAVIGATION SATELLITE SYSTEM (GNSS) RECEIVER</t>
  </si>
  <si>
    <t xml:space="preserve"> INVITATION TO BID IB No. 01-2020 PURCHASE OF VARIOUS CONSTRUCTION MATERIALS AND SUPPLY FOR THE PROPOSED CONSTRUCTION OF LINING CANAL APPROXIMATELY 100m 1.	The Barangay Cabolo-an Sur, Oton, Iloilo, through 20% Development, intends to apply the sum of One H</t>
  </si>
  <si>
    <t xml:space="preserve"> I. SIGNBOARD II. REMOVAL OF DILAPIDATED FLOOR TILES (FITS CENTER) III. REMOVAL OF DILAPIDATED FLOOR TILES (DRRMO OFFICE) IV. REMOVAL OF DILAPIDATED FLOOR TILES (SB OFFICE) V. REMOVAL OF DILAPIDATED FLOOR TILES (MAYOR'S OFFICE) VI. REMOVAL OF DILAPIDATED F</t>
  </si>
  <si>
    <t xml:space="preserve"> MAINTAINING A WATER LILY FREE AT THE SURGE POOL AREA, WHOLE YEAR ROUND WITHIN THE WHOLE BODY OF WATER</t>
  </si>
  <si>
    <t xml:space="preserve"> Oxygen, Medical (STD), 3000 cyl</t>
  </si>
  <si>
    <t xml:space="preserve"> WRENCH, TORQUE S-WRENCH TORQUE</t>
  </si>
  <si>
    <t xml:space="preserve"> 1	Name of Project: IMPROVEMENT OF KAMANTUKOB-NAKAWA WWS					 	Location:Guinaoang, Mankayan, Benguet					 	Materials:					 	Description		Qty.	Unit	Unit Cost	Amount 	port land cement		25	bags	314.00	 7,850.00  	sand		1.5	cu m	 2,024.00 	 3,036.00  	gravel		</t>
  </si>
  <si>
    <t xml:space="preserve"> JANITORIAL SERVICES TO HANDLE CLEANING NEEDS AND SANITIZING THE SURFACE OF THE BFAR-NMC OFFICE ON JULY 1-DECEMBER 31, 2020			 			 Janitors BFAR NMC Main:			 Training Hall/Male Dormitory	2	pesonnel	 Admin Office/Female Dormitory	1	pesonnel	 Multi-Purpose C</t>
  </si>
  <si>
    <t xml:space="preserve"> RFQ 2020-101 PROJECT		:	LBRDC MOST COMMONLY USED MATERIALS  IMPLEMENTOR		: 	LBP RESOURCES AND DEVELOPMENT CORPORATION OWNER			:	LAND BANK OF THE PHILIPPINES	 REQUEST FOR QUOTATION FOR	:	SUPPLY OF GLASS &amp; STAINLESS MATERIALS    DATE / TIME OF SUBMISSION		:</t>
  </si>
  <si>
    <t xml:space="preserve"> 4 piece 265-60-18-A/T Tire</t>
  </si>
  <si>
    <t xml:space="preserve"> Supply &amp; Delivery of Laboratory Supplies ABC: 327,000.00 	2 tube Avian Influenza Virus H5N1 Antigen 	2 tube Avian Influenza Virus H5N2 Antigen 	2 tube Avian Influenza Virus H7N1 Antigen 	1 bot EIA Equine Infections Anemia (Coggins Test kit) 	7 kit CAE Tes</t>
  </si>
  <si>
    <t xml:space="preserve"> Provincial Governor's Office Agusan del Norte</t>
  </si>
  <si>
    <t xml:space="preserve"> Provincial Engineer's Office Agusan del Norte</t>
  </si>
  <si>
    <t xml:space="preserve"> June 11, 2020     REQUEST FOR QUOTATION     TO ALL INTERESTED SUPPLIERS:     The PHILIPPINE INSTITUTE OF VOLCANOLOGY AND SEISMOLOGY (PHIVOLCS) hereby invites all interested suppliers to quote their lowest price on the item/s listed below, subject to the c</t>
  </si>
  <si>
    <t xml:space="preserve"> Supply &amp; Delivery of Planting Materials ABC:542,000.00 	542,000 pcs  Cassava Planting Materials   -	Good quality planting materials -	Free from pest &amp; diseases -	Mature stalks  -	With at least 30 viable node/stalk -	Diameter : 1.5m -	Lakan/Rayong Variety </t>
  </si>
  <si>
    <t xml:space="preserve"> TO SUPPLY HYDRAULIC OIL FOR THE DREDGING MACHINE CONSUMPTION</t>
  </si>
  <si>
    <t xml:space="preserve"> I. SIGNBOARD II. FACADE PAINTING AND FINISHING III.FACADE EAVES CEILING IV. CONCRETING OF FLOORING V. SENIOR &amp; PWD HOLDING AREA VI. CONCRETING &amp; MASONRY WORKS VII. STEEL WORKS VIII. FORM &amp; SCAFFOLDING IX. DOORS &amp; WINDOWS X. TRUSS AND ROOFING WORKS XI. CAR</t>
  </si>
  <si>
    <t xml:space="preserve"> BIDS AND AWARDS COMMITTEE REQUEST FOR QUOTATION The UCPB invites all interested suppliers, which are registered in the Philippine Government Electronic Procurement System (PhilGEPS), to submit their lowest price proposal/quotation for the replacement of a</t>
  </si>
  <si>
    <t xml:space="preserve"> 2  units  - Incubator (Automatic) with 250 eggs capacity per unit.  Requirements:   2020 PhilGeps Registration, Business Permit, Mayors Permit, Tax Clearance and Notarized Omnibus                         Sworn Statement of Business Transactions.</t>
  </si>
  <si>
    <t xml:space="preserve"> Republic of the Philippines Province of Camarines Norte MUNICIPALITY OF VINZONS BIDS AND AWARDS COMMITTEE (BAC) (Tel. # 446-63-09) 	 INVITATION TO BID FOR: Hardware Materials for the Construction of Low Cost Housing Phase II – Gawad Kalinga 1.	The Local G</t>
  </si>
  <si>
    <t xml:space="preserve"> REPAIR AND RECONDITIONING OF SLURRY PUMP ROTOR OF THE DREDGING MACHINE</t>
  </si>
  <si>
    <t xml:space="preserve"> Aciclovir 800mg, 1,500 tablets &amp; 6 other line items</t>
  </si>
  <si>
    <t xml:space="preserve"> VACUUM INDUSTRIAL, 230 VOLTS POWER SUPPLY, WET &amp; SUPPLY</t>
  </si>
  <si>
    <t xml:space="preserve"> FABRICATION AND INSTALLATION OF WOODEN CABINET AT NEW DREDGING OFFICE AND OTHER ACTIVITIES</t>
  </si>
  <si>
    <t xml:space="preserve"> Supply, Delivery, Testing, Integration, Training and  Commissioning of News Production Editing System with  Complete Accessories for the Mindanao Media Hub of the  People’s Television Network, Inc. (PTNI)  (Negotiated Procurement: Two Failed Biddings)</t>
  </si>
  <si>
    <t xml:space="preserve"> 1.	2,993	liter/s	Diesel Fuel</t>
  </si>
  <si>
    <t xml:space="preserve"> Ascorbic acid 500mg, 100,000 tablets</t>
  </si>
  <si>
    <t xml:space="preserve"> DESCRIPTION OF WORK QTY UNIT Installation of Shed Roofing 5.94 sq.m. Materials: 2" x 3" Rectangular Tube 4 lngth Welding Rod 1 kg Roofing Sheet (Rib Type) 4 sheets Roofing Insulator 6 mts Gutter 3.3 mts Down Spout 1 lot Red Oxide 1 quart Enamel (Brown) 1 </t>
  </si>
  <si>
    <t xml:space="preserve"> Service Vehicle				1	unit &gt; Brand New					 &gt; Sports Utility Vehicle					 &gt; Engine Displacement : 1898cc (minimum)					 &gt; Engine Type : 4-cylinder, Diesel-fed, with turbo intercooler					 &gt; Power : 150 PS 					 &gt; Torque : 350 N-m					 &gt; Fuel System : CRDI	</t>
  </si>
  <si>
    <t xml:space="preserve"> 1.		G.I Pipe sch.40X1”ØX6m 		44 pcs  2.		Reinforce Steel Bar, 10mm dia. (80pcs) 		296 kg  3.		Welding Rod 		20 kg  4.		Tie Wire #16 		1 roll  5.		Steel Cutting Disc #4 		15 pcs  6.		Hacksaw Blade 		5 pcs  7.		Stone Chalk 		3 pcs  8.		Portland Cement 		11 </t>
  </si>
  <si>
    <t xml:space="preserve"> TO SUPPLY DIESEL &amp; 1 OTHER ITEM</t>
  </si>
  <si>
    <t xml:space="preserve"> Republic of the Philippines					 DEPARTMENT OF PUBLIC WORKS AND HIGHWAYS					 BUTUAN CITY DISTRICT ENGINEERING OFFICE					 REGIONAL OFFICE XIII					 Butuan City, Agusan del Norte					   Tel. Nos. 342-5331  Fax No. 225-2022					 					Page 1 of 3 Name of Pr</t>
  </si>
  <si>
    <t xml:space="preserve"> see attached documents. email contact person if unable to download.</t>
  </si>
  <si>
    <t xml:space="preserve"> Republic of the Philippines Municipality of Taytay Barangay Casian NOTICE TO BIDDERS 1.	CONCRETING OF ROAD ( Construction of MPP) So. Amianan Rd. Item#	Description			QTY.		UNIT	 1.	Portland Cement			762		bags 2.	12mm dia.x6.0m RSB		        118		pcs 3.	½”O</t>
  </si>
  <si>
    <t xml:space="preserve"> Mortar and Pestle, Marble Type Material, Heavy Duty, Size Big (250ml)------------8 qty ------P450.00/ea X-X-X-X-X-X-X-X-X-X-X-X-X-X-X-X-X-X PURPOSE; For the use of Nursing Unit / Centralization(for DRM) (for 3 months consumption) Fax your Price Quotation </t>
  </si>
  <si>
    <t xml:space="preserve"> Atorvastatin calcium 20mg, 2,500 tablets &amp; 2 other line items</t>
  </si>
  <si>
    <t xml:space="preserve"> UNIT	  DESCRIPTION		QUANTITY SPL-1	INSTALLATION OF HOSPITAL LIFT ELEVATOR		 	Qty. = 1.00 lot		 I.	Materials		 lot	Hospital Lift Elevator 2 tons Capacity with		1 	75KW motor incl. mechanical and electrical		 	installation incl. accessories &amp; fittings		 II.</t>
  </si>
  <si>
    <t xml:space="preserve"> 1.  6,000 pcs.  - IEC Materials (Printing Trifold -A4 Size) 2.  300   pcs.   - Corporate Foldable Fans  3.  100   pcs    - Customized ATI garden gloves Requirements:   2020 PhilGeps Registration, Business Permit, Mayors Permit, Tax Clearance and Notarized</t>
  </si>
  <si>
    <t xml:space="preserve"> covid protection and blended learning supplies</t>
  </si>
  <si>
    <t xml:space="preserve"> TITLE: PROCUREMENT OF OFFICE SUPPLIES AND EQUIPMENT			 DEPARTMENT: SANGGUNIANG BAYAN (OFFICE OF ABC PRESIDENT)			 			 ITEM NO.	QTY	UNIT	ITEM DESCRIPTION 1	25	rms	Couppon Bond A4 2	25	rms	bond paper long 3	15	cart	Epson ink black 4	7	set 	Epson ink CYM 5	1</t>
  </si>
  <si>
    <t xml:space="preserve"> Billboard; Clearing and Excavation; Reinforcing Steel Bars; Concrete Works; Installation of 1/2 “ dia G.I. Pipe Sch. 40 and HDPP Pipe; Construction of Pump House and Upgrading of Water Pump; Electrical Permit/Processing Fee; Electrical Works; Construction</t>
  </si>
  <si>
    <t xml:space="preserve"> INSTALLATION OF SOLAR STREETLIGHTS AT RICAFRENTE COMPOUND,  POBLACION, ROSARIO, CAVITE MATERIALS: 	25pcs.		Solar Powered Lightning Fixture, 10 Watts Led Lamp 	13pcs.		GI Pipe 2”0 	  8pcs		GI Pipe 1 ½”0 	10pcs.		RSB #9 	  3pcs.		Tie Wire #16 	  4pcs.		Weld</t>
  </si>
  <si>
    <t xml:space="preserve"> I Removal of Existing Canal &amp; Excavation : A. Labor: 1 Foreman 6 Laborers B. Equipment: 1 Unit Jackhammer II C.H.B Laying Plastering and Canal Cover: Canal Dimension L= 37 m, W = 0.6 m (Outside ) , H = 0.6 m A. Mayterials: 105 bags Portland Cement 7 cu.m.</t>
  </si>
  <si>
    <t xml:space="preserve"> 5 UNITS OF AIR CONDITION</t>
  </si>
  <si>
    <t xml:space="preserve"> Request for Quotation City Agriculture Office CO - Breeding Stocks P310,000.00</t>
  </si>
  <si>
    <t xml:space="preserve"> 114 reams Multipurpose, Copy Paper 70gsm A4 145 reams Multipurpose, Copy 70gsm Legal 1 pack Tagboard Folder, A4 2 packs Tagboard Folder, Legal 17 pieces Sign pen, blue 17 pieces Sign pen, black 2 tubes Brother Toner, DCP 2540DW 14 pieces Thermal Scanner 1</t>
  </si>
  <si>
    <t xml:space="preserve"> Construction/ Concreting of Provincial Roads, Highways and Bridges (Panhutungan Feeder Road Slope Protection) Municipality of Placer, Surigao del Norte Name of Contract:	Construction/ Concreting of Provincial Roads, Highways and Bridges (Panhutungan Feede</t>
  </si>
  <si>
    <t xml:space="preserve"> 1.	1	unit/s	Motorcycle XRM-125 FI latest</t>
  </si>
  <si>
    <t xml:space="preserve"> Request for Quotation: RFQ-2006-536  1.  3 units Steel Cabinet  2.  1 set Office Curtain</t>
  </si>
  <si>
    <t xml:space="preserve"> Top Loading, Hot and Cold Standing Water Dispenser  4     Pls. submit your quotation thru email:  mi_lynsn@yahoo.com x-x-x-x-x-x-x-x-x-x-x-x-x-x-x-x-x Total ABC  (in PhP)  24,000.00</t>
  </si>
  <si>
    <t xml:space="preserve"> Canal Dimension L = 90.00m, W = 0.40m , H = 0.40 Canal Cover L = 90.00m, W = 0/60m , thk = 0.10 Pathway L = 90.00m , W = 2.0m , thk = 0.10 I . Costruction of Canal Lining with Concrete Cover A. Materials : 1,000 pcs CHB #4 220 bags Portland Cement 15 cu.m</t>
  </si>
  <si>
    <t xml:space="preserve"> PURCHASE REQUEST NO. 2020-11-0002								 								 Barangay:	Lower Baluran				Province:	Zamboanga Sibugay		 Municipality:	Imelda				Date:	6/11/2020		 								 								 								 QTY	   UNIT OF 	        ITEM			        ESTIMATED 	      ESTIMATED	 	MEASUREMEN</t>
  </si>
  <si>
    <t xml:space="preserve"> Republic of the Philippines Province of Batanes	 MUNICIPALITY OF BASCO               		INVITATION TO BID FOR THE PROCUREMENT OF MATERIALS FOR REPAIR AND MAINTENANCE OF SCHOOL BUILDINGS 1.	The Municipal Local Government Unit of Basco, through the General F</t>
  </si>
  <si>
    <t xml:space="preserve"> PROJECT TITLE:	VARIOUS HARDWARE, ELECTRICAL &amp; INDUSTRIAL SUPPLIES		  					        INSTRUCTIONS:	__√_	ADDITIONAL INSTRUCTIONS ATTACHED 			___	NO ADDITIONAL INSTRUCTIONS 1.	Fax / Email / Submit your quote or regret (with reasons thereof) using the PNOC issu</t>
  </si>
  <si>
    <t xml:space="preserve"> To All Eligible Suppliers/Contractors: Please quote your lowest price inclusive of VAT on the items listed in the RFQ Form (please see and download attachment in the Associated Components), subject to the Terms and Conditions of this Request for Quotation</t>
  </si>
  <si>
    <t xml:space="preserve"> The Mabitac Water District, through the Siniloan Water District (SIWADI) BAC intends to apply the sum of PhP 870,000.00 being ABC to payment under the contract for the Drilling of one (1) Exploratoryh/Production Well. We now invites sealed Bids from prosp</t>
  </si>
  <si>
    <t xml:space="preserve"> 1 22 REAM/S PAPER - BOND,PG,A4,210MMX297MM,70GSM. 2 22 REAM/S PAPER - BOND,PG,LEGAL,216MMX330MM(8-1/2"X13") 70 GSM 3 3 BOX BALLPEN - BLACK ORDINARY 50'S 4 25 PC/S CORRECTION TAPE - W/ CASE 5 3 PACKS PAPER - PHOTO A4 SIZE 200GMS 20'S/PACK 6 10 BOX/S WIRE -</t>
  </si>
  <si>
    <t xml:space="preserve"> Item no.	Qty	Unit	Item Description's			Est. Unit	Estimated 						Cost	Cost 							 1	5	piece	       Trash Bin (Big)				 2	18	piece  	Trash Bin (Medium)				 3	10	gallon	Zonrox				 4	12	dozen	Detergent Powder				 5	10	roll	       Garbage Bag (Big)				 6	24	</t>
  </si>
  <si>
    <t xml:space="preserve"> (see Associated Component for details)</t>
  </si>
  <si>
    <t xml:space="preserve"> Velcro Cuff Obese Size 70 x 15cm., Tubes Black---------------30 qty -------------------P2,629.00/ea ############################ PURPOSE: For use of Nursing Unit / Centralization. (3 months consumption) Fax your Price Quotation at Tel. Fax#: 426-30-45 / 9</t>
  </si>
  <si>
    <t xml:space="preserve"> RFQ 2020-102 PROJECT		:	LBRDC MOST COMMONLY USED MATERIALS  IMPLEMENTOR		: 	LBP RESOURCES AND DEVELOPMENT CORPORATION OWNER			:	LAND BANK OF THE PHILIPPINES	 REQUEST FOR QUOTATION FOR	:	SUPPLY OF ELECTRICAL MATERIALS    DATE / TIME OF SUBMISSION		:	ON OR </t>
  </si>
  <si>
    <t xml:space="preserve"> ITEM	QTY.	UNIT 	COMMODITY &amp; DESCRIPTION			 1	41	 Bottle 	 Alcohol  70% 			 2	30	 Pcs 	         Broom Stick 			 3	14	 Pack 	 Detergent Powder 			 4	2	 Box 	         Gloves(L) 			 5	15	 Gallon 	 Liquid Disinfectant(Gallon) 			 6	25	 Gallon 	 Alcohol Isoprop</t>
  </si>
  <si>
    <t xml:space="preserve"> TITLE: PROCUREMENT OF OFFICE SUPPLIES			 DEPARTMENT: PNP-SUAL			 			 ITEM NO.	QTY	UNIT	ITEM DESCRIPTION 1	30	rms	bond paper a4 2	60	rms	long bond paper 3	10	bxs	colored fastener 4	2	bxs	paper clip big 5	24	pcs	pentel pen 6	50	pcs	folder long brown 7	500	p</t>
  </si>
  <si>
    <t xml:space="preserve"> items:    1 pcs double swing glass door free installation    5 pcs. swivel chairs location: economic enterprise office, gutalac, zamboanga del norte approved budget for the contract: php62,000.00 opening of bids: june 17, 2020    2:00 pm submission of bid</t>
  </si>
  <si>
    <t xml:space="preserve"> 1 lot ABC:       84,000.00 Components: "1. Batino’s Food Products 2. Calingayan Rural Improvement Club 3. Cynthia’s Food Products 4. Datsimas Food Products 5. David Menor Mendrata Mushroom Farm 6. Grace Bernadette Food Products 7. JGC Food Products 8. JL </t>
  </si>
  <si>
    <t xml:space="preserve"> Please quote your lowest price inclusive of VAT on the item/s listed below, subject to the Terms and Conditions of this RFQ, and submit your quotation duly signed by your representative not later than  June 18,  2020  at Bids and Awards Committee Katipuna</t>
  </si>
  <si>
    <t xml:space="preserve"> 1.	2,000	liter/s	Diesel Fuel</t>
  </si>
  <si>
    <t xml:space="preserve"> Republic of the Philippines Province of Davao De Oro 		Municipality of Compostela BARANGAY SIOCON BIDS AND AWARDS COMMITTEE CP #: 09101906158 INVITATION TO BID NO. 2020-07-001 BID #001 1.	The Barangay Siocon through its Bids and Awards Committee invites S</t>
  </si>
  <si>
    <t xml:space="preserve"> INVITATION TO BID FOR  SUPPLY AND DELIVERY OF ONE (1) UNIT RING NET (2nd Publication) 1.	The Local Government Unit of Laoang, through the Trust Fund ( intends to apply the sum of Two Million Five Hundred Thousand (Php2, 500,000.00) being the Approved Budg</t>
  </si>
  <si>
    <t xml:space="preserve"> Republic of the Philippines PROVINCE OF SAMAR Catbalogan -o0o- REQUEST FOR EXPRESSION OF INTEREST FOR THE PROCUREMENT OF INDEPENDENT CONSULTANT FOR THE CONSULTANCY SERVICES FOR THE FORMULATION OF FEASIBILITY STUDY AND ENVIRONMENTAL IMPACT ASSESSMENT, AND </t>
  </si>
  <si>
    <t xml:space="preserve"> The Barangay Government of Barangay Tagpopongan  through the 20% Devt Funds  intends to apply the sum of Four Hundred Twenty Two Thousand Five Hundred Forty Two Pesos Only (PhP422,542.00) for the Supply and Delivery of Materials for the Improvement of Wat</t>
  </si>
  <si>
    <t xml:space="preserve"> WDR Ir Dome Camera Network units 13 * 7mm-35mm 5x Zoom * Lens 5x Zoom 8MP 8MP WDR IR Mini Bullet Network Camera units 19 * 1/1.8" 8Megapixel progressive scan CMOS * H. 265&amp;H.264 dual-stream encoding * 25/30 fps @ 8MP (3840x2160) * WDR (120dB), Day/Night (</t>
  </si>
  <si>
    <t xml:space="preserve"> Activities	Schedule 1. First Day of Issuance of Bid Documents: June 15, 2020 2. Last day of Issuance of Bid Documents: June 23, 2020 @ 2:00 PM 3. Last day of Submission and Opening of Bids: June 23, 2020 @ 2:00 PM</t>
  </si>
  <si>
    <t xml:space="preserve"> •	Multi-parameter Water Quality Probe   -   1 pc.    •	Hydrochloric Acid (Non-fuming)   - 1 bot    •	Magnesium chloride   -   1 bot    •	Sodium acetate         -   1 bot    *	Sodium carbonate     -   1 bot    •	N-1(1-Napthyl) Ethylenediamine dihychloride </t>
  </si>
  <si>
    <t xml:space="preserve"> Republic of the Philippines BOHOL ISLAND STATE UNIVERSITY Main Campus, Tagbilaran City INVITATION TO BID FOR SUPPLY AND DELIVERY OF PRINTING SUPPLIES FOR DIFFERENT DEPARTMENTS (NON-PS) (PR NO. 2020-06-0560) 1.	The Bohol Island State University – Main Camp</t>
  </si>
  <si>
    <t xml:space="preserve"> INVITATION TO BID BAC-IB NO. 2020-31 	 The Research Institute for Tropical Medicine (RITM) through its Bids and Awards Committee (BAC) invites legally, technically and financially capable PhilGEPS registered contractors with valid and appropriate PCAB Lic</t>
  </si>
  <si>
    <t xml:space="preserve"> Supply &amp; Delivery of  Various Laboratory Supplies ABC:230,100.00 	20  packs Filter paper, 125 mm, Whatman Grade 2, 110/pack 	3 units micropipette stand, carousel type, rotatable for six micropipette 	4 pairs safety shoes, size 6, 7, 8.5 &amp; 12 	4 units Sevi</t>
  </si>
  <si>
    <t xml:space="preserve"> INVITATION TO BID IB No. 03, S. 2020 The Municipality of General Nakar, Quezon through the Approved  Purchase Request amounting to One Million One Hundred Seventy Thousand Eight Hundred and Sixty Five Pesos (PhP1,170,865.00) being the Approved Budget for </t>
  </si>
  <si>
    <t xml:space="preserve"> INVITATION TO BID FOR  REPAIR OF FARMERS TRAINING CENTER - CACANDONGAN The Municipality of San Juan, through its Bids and Awards Committee (BAC), invites contractors to submit bids for the following Contract: Contract ID		:          	20-00043						 Contra</t>
  </si>
  <si>
    <t xml:space="preserve"> TITLE: PROCUREMENT OF OFFICE EQUIPMENT			 DEPARTMENT: PNP-SUAL			 			 ITEM NO.	QTY	UNIT	ITEM DESCRIPTION 1	3	units	CCTV camera 2	7	units	Monitor for CCTV 3	1	unit	Water dispenser 4	4	units	stand fan 5	1	unit	electric stove 6	2	units	folding bed 			 ABC: P</t>
  </si>
  <si>
    <t xml:space="preserve"> Procurement of Fertilizers and Seeds						 Purchase Requested by the City Agriculture's Office, Tabaco City						 						 To Interested Suppliers, Manufacturers and Distributors,						 						 Please quote your lowest price/s on the lot or item/s  below, su</t>
  </si>
  <si>
    <t xml:space="preserve"> 7	unit  'LED TV 40" width Ports Input: HDMI, VGA USB 2.0/3.0 Warranty Type: Local Supplier Warranty 40	unit  "WEBCAM 16 megapixels Computer interface: USB 2.0/3.0 System Requirements: Windows XP / Vista / 7 / 8 / 8.1 / 10"		 40	unit  "HEADSET Has micropho</t>
  </si>
  <si>
    <t xml:space="preserve"> 10 units	WIRELESS AP -	3x3 MIMO technology -	2.4GHz (450Mbps) / 5GHz (1300Mbps) -	Gigabit, 802.3af -	Indoor/outdoor (weather resistant) -	2x 10/100/1000 ethernet</t>
  </si>
  <si>
    <t xml:space="preserve"> 1.		Transit Mixer (5 cu.m) – 18 days		1 unit  2.		Concrete Vibrator – 18 days 		1 unit 3.		Concrete Cutter – 18 days 		1 unit 4.		Water Pump – 18 days 		1 unit 5.		One Unit Bagger Mixer – 2 days 		1 unit</t>
  </si>
  <si>
    <t xml:space="preserve"> REQUEST FOR QUOTATION No. 2020-035 1.	The Municipality of Cabiao, Nueva Ecija, through its Bids and Awards Committee (BAC), invites suppliers/manufacturers/distributors to bid if found eligible, to bid for the Materials in Upgrading of Barangay Road, Brgy</t>
  </si>
  <si>
    <t xml:space="preserve"> 500 booklets traffic violation receipts (triplicate carbonized) - 72,500.00</t>
  </si>
  <si>
    <t xml:space="preserve"> 1 1 PC/S USB FLASH DRIVE - 16 GB 2 4 PACK STICKER PAPER - 8.5 X 13, 10PCS/PACK 3 10 PC/S RECORD BOOK - 300 PAGES,SMALL DIMENSION 4 30 PC/S BALLPEN - ORDINARY, BLACK 5 3 REAM/S PAPER - BOND,PG,LEGAL,216MMX330MM(8-1/2"X13") 70 GSM 6 3 REAM/S PAPER - BOND,PG</t>
  </si>
  <si>
    <t xml:space="preserve"> INVITATION TO BID FOR THE PROCUREMENT OF Medical Equipment 1.	The Local Government Unit of Buug, through the General  Fund  intends to apply the sum of  Six Hundred Eighty Thousand Pesos only ( 680,000.00) being the Approved Budget for the Contract (ABC) </t>
  </si>
  <si>
    <t xml:space="preserve"> Procurement of Seeds						 Purchase Requested by the City Agriculture's Office, Tabaco City						 						 To Interested Suppliers, Manufacturers and Distributors,						 						 Please quote your lowest price/s on the lot or item/s  below, subject to Terms a</t>
  </si>
  <si>
    <t xml:space="preserve"> 30 box alcohol 2  box  Folder short 5 box Panda ballpen assorted colors 10s 5 box rubber bond 32 pcs. signpen assorted color 35 pcs. correction tape 32 rms. bondpaper long 32 rms. bondpaper short 30 pcs.bondpaper A4 3 pcs. calculator 20 roll/10s record bo</t>
  </si>
  <si>
    <t xml:space="preserve"> Procurement of Airconditioning Unit					 Purchase Requested by the City Mayor's Office, Tabaco City					 					 To Interested Suppliers, Manufacturers and Distributors,					 					 Please quote your lowest price/s on the lot or item/s  below, subject to Ter</t>
  </si>
  <si>
    <t xml:space="preserve"> UNIT	  DESCRIPTION		QUANTITY 			 			 201	Aggregate Base Course 		 	Qty.= 520  cu.m		 			 	I - MATERIALS		 cu.m	Crushed Gravel (G-1)		520</t>
  </si>
  <si>
    <t xml:space="preserve"> Project Title: 	 REPAIR AND IMPROVEMENT OF ELECTRICAL SYSTEM AT MASUNURIN BUILDING 1&amp;2  					  Location: 	BAGO OSHIRO, MINTAL, DAVAO CITY					 Approved Budget for the Contract (ABC):		₱822,800.00				 						  ITEM NO. 	SCOPE OF WORKS	Specific Inclusions (b</t>
  </si>
  <si>
    <t xml:space="preserve"> please see attached bid docs...</t>
  </si>
  <si>
    <t xml:space="preserve"> REQUEST FOR QUOTATION Supply and Delivery of Office Supplies in MinSCAT Bongabong Campus The Mindoro State College of Agriculture and Technology (MinSCAT) through the Bids and Awards Committee invites interested firms/suppliers to submit quotation for the</t>
  </si>
  <si>
    <t xml:space="preserve"> INVITATION TO BID FOR  “Supply and Delivery of One (1) lot Sealed Lead Acid Battery” 1.	The Philippine Institute of Volcanology and Seismology, through the GAA 2020 intends to apply the sum of Three Million Two Hundred Thousand Pesos Only (₱3,200,000.00) </t>
  </si>
  <si>
    <t xml:space="preserve"> Republic of the Philippines DEPARTMENT OF HEALTH DR. JOSE RIZAL MEMORIAL HOSPITAL Lawaan, Dapitan City Telefax; (065) 213-6421 Website: www.djrmh.doh.gov.ph Email: dohdjrmh@gmail.com BIDS AND AWARDS COMMITTEE INVITATION TO BID PROCUREMENT OF MEDICAL/SURGI</t>
  </si>
  <si>
    <t xml:space="preserve"> Republic of the Philippines PROVINCE OF SAMAR Catbalogan -o0o- REQUEST FOR EXPRESSION OF INTEREST FOR THE PROCUREMENT OF INDEPENDENT CONSULTANT FOR THE CONSULTANCY SERVICES FOR THE FORMULATION OF MASTER DEVELOPMENT PLANS FOR BRGY. MERCEDES RECLAMATION PRO</t>
  </si>
  <si>
    <t xml:space="preserve"> 1.  250 heads - Chicken (Rhode Island Red) 3 months old,  Ratio: 40 Males &amp; 210 Females vaccinated  with NCD                         and without any abnormalities. Requirements:    2020 PhilGeps Registration, Business Permit, Mayors Permit, Tax Clearance,</t>
  </si>
  <si>
    <t xml:space="preserve"> 45 bags cement 3.5 cu.m. Sand 2.5 cu.m. Gravel 53 pcs 10mm0 RSB 18 pcs 12mm0 RSB 360 pcs CHB 4" 6 kgs #16 G.I. Tire wire 5 pcs O. Plywood 1/4" 120 bdft Coco lumber 3 kgs Assorted CW Nail 16 pcs G.I. Corr Roof Sheet 10" 3 pcs G. I. Gutter 8' 4 pcs G.I. End</t>
  </si>
  <si>
    <t xml:space="preserve"> See attached document.</t>
  </si>
  <si>
    <t xml:space="preserve"> REQUEST FOR QUOTATION The Local Government Unit of General Santos City thru its Bids and Awards Committee invites interested suppliers for N20-06-073-REPAIRS AND MAINTENANCE OF PATROL VEHICLES amounting to P 884,804.00 Please visit or call Bids and Awards</t>
  </si>
  <si>
    <t xml:space="preserve"> LIWAD is in need of PVC Riser Pipe &amp; Stainless Steel Connector for its operation. Specification are stated in the RFQ form attached to this post.</t>
  </si>
  <si>
    <t xml:space="preserve"> 1  unit PRESSURE COOKER, large capacity pressure, 20l minimum capacity 1 unit RICE COOKER, 15 cups  1 unit WASHING MACHINE, wash &amp; spin, 7kg minimum capacity, single tub, top open 1 unit STOVE, heavy duty double burner</t>
  </si>
  <si>
    <t xml:space="preserve"> Qty	Unit	Item Description	 			 100	pc	Alcohol, ethyl, 68%-70%, scented, 500ml	 1000	ream	Paper, Multi-purpose (copy), Legal, 70 gsm	 40	pack	Toilet Tissue paper, 2ply, 12rolls per pack	 100	pouch	Detergent Powder, all purpose, 1kg	 50	pc	Disinfectant Spra</t>
  </si>
  <si>
    <t xml:space="preserve"> Materials (Hardware/Construction)</t>
  </si>
  <si>
    <t xml:space="preserve"> Desktop Computer Please see attached Request for Quotation (RFQ)</t>
  </si>
  <si>
    <t xml:space="preserve"> Item No.	ITEM AND DESCRIPTION	QTY	Unit of Issue	UNIT PRICE 1	Bond Paper A3	2	 box	 2	Bond Paper A4	80	 box	 3	Folder (A4)	10	box	 4	Folder (long)	20	 box	 5	Staple Wire Copper # 35	12	box	 6	Staple Wire Copper # 10	8	 box	 7	Stapler #10	1	 pc	 8	Stapler #</t>
  </si>
  <si>
    <t xml:space="preserve"> Request for Quotation City Agriculture Office CO - Vehicles (MOtor) P 151,652.50</t>
  </si>
  <si>
    <t xml:space="preserve"> TITLE: PROCUREMENT OF OFFICE SUPPLIES AND EQUIPMENT			 DEPARTMENT: SANGGUNIANG BAYAN (OFFICE OF SKF PRESIDENT)			 			 ITEM NO.	QTY	UNIT	ITEM DESCRIPTION 1	15	rms	coupon bond A4 2	15	rms	bond paper long 3	11	cart	HP black ink 4	15	pcs	HP ink colored 5	100	</t>
  </si>
  <si>
    <t xml:space="preserve"> Supply, delivery and installation of 24 units steel rack for ACA records Center</t>
  </si>
  <si>
    <t xml:space="preserve"> Republic of the Philippines Dagupan City BIDS AND AWARDS COMMITTEE INVITATION TO BID For the Procurement of Three (3) Units Brand New Motorcycle (PR no.: 2020-00784-024) 1.	The City Government of Dagupan, through the 2017 Approved CONTINUING APPROPRIATION</t>
  </si>
  <si>
    <t xml:space="preserve"> 1	5	Roll	Electrical Wire, roll 2.00mm squared THHN Copper Wire (150m/box) 2	100	Piece	LED tube, T8 2-18 watts, T8 LED light in industrial tyoe with mirror aluminum reflector-Fixture and light 3	50	Piece	Electrical conduit, Conduit Pipe 20mm. dia. EMT pipe</t>
  </si>
  <si>
    <t xml:space="preserve"> Bidding will be conducted through open competitive bidding procedures as specified in the Implementing Rules and Regulation (IRR) of Republic Act No. 9184 (R.A. 9184), otherwise known as the Government Procurement Reform Act.</t>
  </si>
  <si>
    <t xml:space="preserve"> General cleaning of split type and window type ACUs of offices of J. Lantion (Rm 202) J, Gaerlan (rm 302) J. Legaspi (rm 402) vacant (rm 502) Requirements: 1  2020 Mayors Permit 2,  Philgeps Reg 3.  BIR Reg,  (Form 2303)</t>
  </si>
  <si>
    <t xml:space="preserve"> INVITATION TO BID FOR CIVIL WORKS June 10, 2020 1.	The Department of Public Works and Highways (DPWH), Bukidnon Second District Engineering Office, Pinamaloy, Don Carlos, Bukidnon through its Bids and Awards Committee BAC, invites contractors to submit bi</t>
  </si>
  <si>
    <t xml:space="preserve"> Car Rental/ Service Vehicle</t>
  </si>
  <si>
    <t xml:space="preserve"> Procurement ID/Contract ID:	20PI0096 Contract Name:	Maintenance, Repair and Rehabilitation of Infrastructure Facilities and Other Related Activities - Flood Control and Drainage Systems, Structures and Related Facilities: 2. Calacaban Bridge Abutment Supp</t>
  </si>
  <si>
    <t xml:space="preserve"> 45 unit of Alcohol dispenser for the classrooms of Dagupan City National High School</t>
  </si>
  <si>
    <t xml:space="preserve"> 1.	To reproduce sufficient materials for students 2.	To gauge the CIS pupils’ mastery of the different competencies in the different subject areas ;</t>
  </si>
  <si>
    <t xml:space="preserve"> Name of Project: BACK STREET DRAINAGE CANAL					 	Location: Poblacion, Mankayan, Benguet					 	Materials:					 	Description		Qty.	Unit	Unit Cost	Amount 	10mm diam. RSB(grade 40)		577.20	kgs	39.65	 22,886.57  	#16 GI Tie wire		9	kgs	80.00	720.00 	stone bou</t>
  </si>
  <si>
    <t xml:space="preserve"> Supply &amp; Delivery of Various Laboratory Chemicals ABC:92,090.00 	1 bot. Sulfuric acid, 96%, 2.5 L, AR 	2 bot. Formaldeyde, 1 gallon, AR 	1 bot. Isopropyl alcohol, 1 gallon, AR 	2 bot. Cobalt (II) nitrate hexahydrate 500 g, AR 	4 bot. Nitric acid 69% 2.5L,</t>
  </si>
  <si>
    <t xml:space="preserve"> MOBILIZATION/ DEMOBILIZATION											 OCCUPATIONAL SAFETY &amp; HEALTH PROGRAM											 SCALDING TANK , FURNACE AND CHIMNEY											 BLOOD COLLECTING SINK/ TROUGH											 HOG RESTRAINER											 ELECTRIC HOG STUNNER											 CLEARING OF UNNECESSA</t>
  </si>
  <si>
    <t xml:space="preserve"> details at the agri office</t>
  </si>
  <si>
    <t xml:space="preserve"> 7	unit  'PRINTER Printer Type: Print, Scan, Copy Copy Quality: Colour / Black-and-White; Draft / Standard Maximum Copy Size: A4, Letter Max Copy Resolution: 300 x 300 dpi Maximum Copies from Standalone: 20 copies Php 56,000.00</t>
  </si>
  <si>
    <t xml:space="preserve"> STRUCTURE EXCAVATION (COMMON SOIL) STRUCTURAL CONCRETE FOR FOOTING TIE BEAM, COLUMN, SUSPENDED SLAB, GIRDER/BEAM (CLASS A) I BEAM STRUCTURAL STEEL PURLINS PREPAINTED METAL SHEET(RIB TYPE, SHORT/LONG SPAN, BELOW 0.47/ABOVE 0.47 THK) REINFORCING STEEL OF RE</t>
  </si>
  <si>
    <t xml:space="preserve"> Name of Project:LOWER PROPER COLALO GRAVELING					 Location:Colalo, Mankayan, Benguet					 Materials:					 Description		Qty.	Unit	Unit Cost	Amount mountain crushed gravel(Nayak source)		72	cu m	 1,245.00 	 89,640.00  				Total:	89, 640.00</t>
  </si>
  <si>
    <t xml:space="preserve"> Procurement of canned sardines for augmentation support to LGUs to respond to the impact of COVID-19 CANNED SARDINES - 1,200 boxes -in tomato sauce, not spicy, not in easy-open can -155 grams, 100 pcs/box - Certified Halal Product - With nutritional infor</t>
  </si>
  <si>
    <t xml:space="preserve"> details at the BAC and RHU</t>
  </si>
  <si>
    <t xml:space="preserve"> REQUEST FOR QUOTATION Procurement of Goods [Office Supplies] The   City Government of Tagbilaran, through its Bids and Awards Committee (BAC) intends to apply the sum of Two Hundred Twenty-NineThousand Three Hundred Fifty-Seven (P229,357.00) pesos onlybei</t>
  </si>
  <si>
    <t xml:space="preserve"> Supply &amp; Delivery  of Proficiency Testing &amp; Certified Reference Materials ABC:77,000.00 	1  set Soil Proficiency Testing (PT) materials 		For pH, organic matter, NPK analysis, 500ml container, 5 containers 	    Specs:  -	PT materials must come from an int</t>
  </si>
  <si>
    <t xml:space="preserve"> INSTALLATION OF RCPC AT CONTROLLED DUMPSITE LOCATED AT AGOS, BATO, CAM. SUR</t>
  </si>
  <si>
    <t xml:space="preserve"> Please see attached Request for Quotation (RFQ). For more details/concerns, please email us through BAC.SDOBenguet@gmail.com.</t>
  </si>
  <si>
    <t xml:space="preserve"> 25 set DISINFECTING RUG WITH TRAY, 16" x 22", with removable and washable mat, durable tray 75 piece PVC DOOR MAT, interlocking PVC, 12" x 12" 75 piece WOOVEN FOOT RAG, 12" x 22" minimum dimension</t>
  </si>
  <si>
    <t xml:space="preserve"> Procurement of canned corned beef for augmentation support to LGUs to respond to the impact of COVID-19 CANNED CORNED BEEF - 2,500 boxes - 150 grams, 48pcs/box - Not spicy, not in easy open can - Certified Halal Product - With nutritional information in t</t>
  </si>
  <si>
    <t xml:space="preserve"> PROCUREMENT OF 2,500 PC FACE MASK</t>
  </si>
  <si>
    <t xml:space="preserve"> REPUBLIC OF THE PHILIPPINES CITY OF MANILA OFFICE OF THE BARANGAY COUNCIL INVITATION TO BID SUBMISSION AND OPENING OF BID WILL BE ON JUNE 19, 2020 AT 8 AM  THE BARANGAY 54 ZONE 4 DISTRICT 1 MANILA THROUGH ITS BID AND AWARDS COMMITTEE (BAC) INVITES ALL QUA</t>
  </si>
  <si>
    <t xml:space="preserve"> METRO BANGUED WATER DISTRICT					 Bangued, Abra					 					 PURCHASE REQUEST					 					 DIVISION: 	COMMERCIAL				 PR No.     : 	20-06-068				 DATE       : 	10-Jun-20				 					 Item No.	Description	Quantity	Unit	 Unit Cost 	 Amount  					 1	COMPUTER CPU	1	u</t>
  </si>
  <si>
    <t xml:space="preserve"> Supply &amp; Delivery  of Various Supplies ABC:51,000.00 	5  boxes U-Nail  	20 bags Cement 	2 rolls Barb wire 	8 bags  Salt 	5 pcs  Claw Hammer, HD 	5 pcs Hand Saw, high Quality 	1 roll 1” Rope @ 200 meter/roll 	1 roll 1.5” Rope @ 200 meter/roll 	Delivery per</t>
  </si>
  <si>
    <t xml:space="preserve"> The National Telecommunications Commission (NTC) hereby invites prospective Supplier to submit their Price Quotation for Project: Procurement of eScan Corporate Edition (with Hybrid Network Support) - 2 years license. ABC - Php216,000.00 Kindly submit the</t>
  </si>
  <si>
    <t xml:space="preserve"> The Energy Regulatory Commission (ERC), through the General Appropriations Act of 2020 intends to apply the sum of Two Hundred Thousand Pesos (PhP200,000.00), being the approved budget for the contract of the Statistical Analysis System (SAS) License, wit</t>
  </si>
  <si>
    <t xml:space="preserve"> Additional Installation of 3 units of Solar Panel Street Lights with Installation</t>
  </si>
  <si>
    <t xml:space="preserve"> The City Government of Santiago invites interested parties to submit price quotation for the “SUPPLY AND DELIVERY OF DIFFERENTIAL ASS’Y (SURPLUS)FOR DUMP TRUCK“ City Hall, Santiago City, details as follows: ABC: Php 370,000.00 Contract Duration: 14 calend</t>
  </si>
  <si>
    <t xml:space="preserve"> Supply &amp; Delivery of Microtubes ABC:73,400.00 	4 packs 0.5ml Microtubes conical bottom RNA’se &amp; DNA’se free (1,000 pcs/pack) 	4 packs 0.2ml Microtubes conical bottom RNA’se &amp; DNA’se free (1,000 pcs/pack) 	10 packs 1.5ml Microtubes conical bottom RNA’se &amp; </t>
  </si>
  <si>
    <t xml:space="preserve"> details at the GSO</t>
  </si>
  <si>
    <t xml:space="preserve"> The Agricultural Training Institute (ATI) invites interested suppliers to submit quotation/proposals for the hereunder requirements: Provision of Catering Services to be served during the CY 2020 Partnerships and Accreditation Division (PAD) Mid-year Revi</t>
  </si>
  <si>
    <t xml:space="preserve"> Cleaning of indoor and outdoor ACUs in the office of the Presiding Justice, Room 301, 3rd Floor, Main Building Requirements: 1.  2020 Mayors permit 2.  Philgeps reg. 3.  BIR Reg, (form 2303)</t>
  </si>
  <si>
    <t xml:space="preserve"> REPUBLIC OF THE PHILIPPINES CITY OF MANILA OFFICE OF THE BARANGAY COUNCIL INVITATION TO BID SUBMISSION AND OPENING OF BID WILL BE ON JUNE 19, 2020 AT 8 AM  THE BARANGAY 104 ZONE 8 DISTRICT 1 MANILA THROUGH ITS BID AND AWARDS COMMITTEE (BAC) INVITES ALL QU</t>
  </si>
  <si>
    <t xml:space="preserve"> Republic of the Philippines							     Department of Agriculture							    BUREAU OF FISHERIES AND AQUATIC RESOURCES VII							 BIDS AND AWARDS COMMITTEE (BAC) OFFICE							         Arellano Blvd., Cebu City							        Tel.No.:(032) 260-6398    E-mail:</t>
  </si>
  <si>
    <t xml:space="preserve"> INVITATION  TO BID: The Barangay  Gonzales, Tubao, La Union through the Bids and Awards Committee (BAC) invites suppliers/ manufactures/distributors/contractors to apply for the eligibility and to bid for the hereunder  project: Name of  Project:        S</t>
  </si>
  <si>
    <t xml:space="preserve"> CONSTRUCTION OF CORE HOUSING UNITS FOR BATO RESETTLEMENT PROJECT (PHASE 1) AT MASOLI, BATO, CAM. SUR</t>
  </si>
  <si>
    <t xml:space="preserve"> Invitation to Apply for Eligibility and to Bid The Barangay Government of Barangay Dumantay, Batangas City intends to apply the sum of Three Hundred Fifty Thousand Pesos Only (Php 350,000.00) broken down as follow: ITEM Brief Description SUB-ABC Lot 1 PUR</t>
  </si>
  <si>
    <t xml:space="preserve"> Request for Quotation City Agriculture Office CO - Technical &amp; Scientific Equipment P 90,000.00</t>
  </si>
  <si>
    <t xml:space="preserve"> 1 1 PC/S INK - EPSON - CYAN T6642 2 1 PC/S INK - EPSON - MAGENTA T6643 3 1 PC/S INK - EPSON - YELLOW T6644 4 5 PC/S PEN - SIGN C4-BLACK 5 15 REAM/S PAPER - BOND,PG,A4,210MMX297MM,70GSM. 6 15 REAM/S PAPER - BOND,PG,LEGAL,216MMX330MM(8-1/2"X13") 70 GSM 7 50</t>
  </si>
  <si>
    <t xml:space="preserve"> To purchase office supplies for Barangay Oranbo, Pasig City</t>
  </si>
  <si>
    <t xml:space="preserve"> Supply &amp; Delivery of  other Supplies ABC:92,858.00 	4 pcs Storage Box (S) 	5 pcs Nigo/Kalalaw (round) 	5 pcs Syche /garab 	5 pcs meter stick , yellow (1 meter) 	2 pcs beach umbrella HD 	10 pair Arm sleeve, long 	10 pcs Fishing hat UV protecting sun hat fo</t>
  </si>
  <si>
    <t xml:space="preserve"> Supply &amp;  Delivery of Various Rice Seeds ABC:403,200.00 	72  bags Rice Seeds, Lowland (Inbred) NSIC RC 400 	72 bags  Rice Seeds, Lowland (Inbred) NSIC RC 160 	72  bags Rice Seeds, Lowland (Inbred) NSIC RC 216 	72 bags  Rice Seeds, Lowland (Inbred) NSIC RC</t>
  </si>
  <si>
    <t xml:space="preserve"> The TARLAC AGRICULTURAL UNIVERSITY, through its Bids and Awards Committee (BAC), invites all suppliers and dealers to submit sealed quotation for the “SUPPLY AND DELIVERY OF LABORATORY SUPPLIES". Prospective bidders are required to submit the following: &gt;</t>
  </si>
  <si>
    <t xml:space="preserve"> Purchase of Drugs and Medicines</t>
  </si>
  <si>
    <t xml:space="preserve"> Construction of Stockroom for ballot boxes</t>
  </si>
  <si>
    <t xml:space="preserve"> The Agricultural Training Institute (ATI) invites interested suppliers to submit quotation/proposals for the hereunder requirements: Supply and Delivery of Assistant Director's supplies. Budget for the Contract = PHP 53,263.90 For more details, please dow</t>
  </si>
  <si>
    <t xml:space="preserve"> BIDS AND AWARDS COMMITTEE ATTENTION:		ALL INTERESTED BIDDERS 			 SUBJECT:	INVITATION TO BID –   Procurement of RF Explorer Combo Spectrum Analyzer for Electronics Engineering Laboratory DATE:	June 10, 2020 - - - - - - - - - - - - - - - - - - - - - - - - -</t>
  </si>
  <si>
    <t xml:space="preserve"> INVITATION TO BID FOR  COMPRESSED AIR (RE-BID) ITB No. 2020-MS-101 The Jose R. Reyes Memorial Medical Center, through the General Appropriations Act 2020 intends to apply the sum of One Million Seven Hundred Nineteen Thousand Six Hundred  Twenty Pesos (Ph</t>
  </si>
  <si>
    <t xml:space="preserve"> General cleaning of split type 3TR floor mounted ACUs installed in the CA Auditorium - 12 units Requirements 1.  2020 Mayors Permit 2.  Philgeps reg. 3.  BIR reg (Form no 2303)</t>
  </si>
  <si>
    <t xml:space="preserve"> Construction of  concrete footbridge phase 1</t>
  </si>
  <si>
    <t xml:space="preserve"> The Agricultural Training Institute (ATI) invites interested suppliers to submit quotation/proposals for the hereunder requirements: Supply and delivery of training tables and chairs for Training Hall 3, Left Wing. Budget for the Contract = PHP 369,000.00</t>
  </si>
  <si>
    <t xml:space="preserve"> Procurement of Various Medicines</t>
  </si>
  <si>
    <t xml:space="preserve"> BIDS AND AWARDS COMMITTEE ATTENTION:		ALL INTERESTED BIDDERS 			 SUBJECT:	INVITATION TO BID –   Programmable Function Generator for Electronics Engineering Laboratory DATE:	June 10, 2020 - - - - - - - - - - - - - - - - - - - - - - - - - - - - - - - - - - </t>
  </si>
  <si>
    <t xml:space="preserve"> Construction of concrete footbridge (phase 1)</t>
  </si>
  <si>
    <t xml:space="preserve"> General cleaning of indoor and outdoor ACUs in the office of Justice Ramon Garcia, Room No 405, Main Building Requirements: 1.  2020 Mayors permit 2,  BIR reg. (form 2303) 3,  Philgeps reg</t>
  </si>
  <si>
    <t xml:space="preserve"> Xerox Machine</t>
  </si>
  <si>
    <t xml:space="preserve"> Supply &amp; Delivery of Steel Cabinet ABC:60,000.00 	12 units Steel Cabinet -	3 drawers, white or off white w/ lock keys 	 Delivery period :  30  days  Delivery site: DA-RFO 12, Koronadal City (HRMS)	 Note: Bidders must quote in all items (by lot) in a Seale</t>
  </si>
  <si>
    <t xml:space="preserve"> GENTLEMEN:				NOTE: 			 Please submit  your  lowest price quotation (including taxes and government discounts) on charged account basis, on the following supplies/materials/ equipment or labor for the account and official use of the Authority. This Reques</t>
  </si>
  <si>
    <t xml:space="preserve"> Name of Project: REHAB AND CONSTRUCTION OF AMBABAG WWS					 Location: Guinaong, Mankayan, Benguet					 Materials:					 Description		Qty.	Unit	Unit Cost	Amount 10mm diam.RSB		60	pcs	167.00	 10,020.00  # 16 G.I Tie wire		17	kgs	110.00	 1,870.00  port land c</t>
  </si>
  <si>
    <t xml:space="preserve"> The Agricultural Training Institute (ATI) invites interested suppliers to submit quotation/proposals for the hereunder requirements: Supply and delivery of printers for official use of ATI Directorate and AFU-OD Offices. Budget for the Contract = PHP 145,</t>
  </si>
  <si>
    <t xml:space="preserve"> Hydraulic Oil-10 Hydraulic Oil-40</t>
  </si>
  <si>
    <t xml:space="preserve"> Republic of the Philippines PROVINCE OF SAMAR Catbalogan -o0o- Standard Form Number: SF-INFRA-05 Revised on: July 29, 2004 INVITATION TO  BID The Provincial Government of Samar, through its Bids and Awards Committee (BAC), invites contractors registered w</t>
  </si>
  <si>
    <t xml:space="preserve"> Hydraulic Hose Rubber Caution</t>
  </si>
  <si>
    <t xml:space="preserve"> BIDS AND AWARDS COMMITTEE ATTENTION:		ALL INTERESTED BIDDERS 			 SUBJECT:	INVITATION TO BID –   Procurement of Materials to be used for the 13rh World Skills ASEAN Competition 2020, Singapore DATE:	June 10, 2020 - - - - - - - - - - - - - - - - - - - - - -</t>
  </si>
  <si>
    <t xml:space="preserve"> BIDS AND AWARDS COMMITTEE ATTENTION:		ALL INTERESTED BIDDERS 			 SUBJECT:	INVITATION TO BID –   Certification Audit for ISO 9001:2015 (Quality Management System) DATE:	June 10, 2020 - - - - - - - - - - - - - - - - - - - - - - - - - - - - - - - - - - - - -</t>
  </si>
  <si>
    <t xml:space="preserve"> The Iligan City Government Bids and Awards Committee (BAC), invites contractors registered by the Philippine Contractors Accreditation Board (PCAB) to bid for the hereunder contract: Name of Project	: Well Drilling Works/Exploration of New Production Well</t>
  </si>
  <si>
    <t xml:space="preserve"> 478	bxs 	Face Mask, Surgical, 3-Ply, 50s/box, good quality 		Php__________		Php___________ 		x-x-x-Nothing Follows-x-x-x								 to be used by the Pag-IBIG Fund Employees as PPE against  COVID19</t>
  </si>
  <si>
    <t xml:space="preserve"> See attached file for reference.</t>
  </si>
  <si>
    <t xml:space="preserve"> Please quote your lowest price on the item(s)  listed below, subject to the Terms and Condition Stated												 below and submit your quotation duly signed by your representative not later than 10:30 A.M. of  June 22, 												 2020, at the return e</t>
  </si>
  <si>
    <t xml:space="preserve"> Materials (Hardware/ Construction)</t>
  </si>
  <si>
    <t xml:space="preserve"> The Property Div.-OAS of the Supreme Court, through the Procurement Section, invites interested suppliers to quote for the price/s of the item/s listed in the attached document (PLEASE DOWNLOAD) Please also provide "Eligibility Documents, Annex A" For mor</t>
  </si>
  <si>
    <t xml:space="preserve"> BIDS AND AWARDS COMMITTEE ATTENTION:		ALL INTERESTED BIDDERS 			 SUBJECT:	INVITATION TO BID –   Procurement of Variable Power Supply for Electronics Engineering Laboratory Use DATE:	June 10, 2020 - - - - - - - - - - - - - - - - - - - - - - - - - - - - - -</t>
  </si>
  <si>
    <t xml:space="preserve"> Procurement of Modular Partition with table &amp; Counter Top (8 set) Specifications:     42 mm thickness    Aluminum Endtrims Table Top    - Using Particle Board Laminated finish top with PVC edging    - With Provision of (1) one Grommet    - 25mm Thickness</t>
  </si>
  <si>
    <t xml:space="preserve"> Repair/rehabilitation of pathway</t>
  </si>
  <si>
    <t xml:space="preserve"> IMPROVEMENT / BEAUTIFICATION PHASE II OF SCHOOL STAGE</t>
  </si>
  <si>
    <t xml:space="preserve"> POROPOSED CONSTRUCTION OF CANAL AT BRGY II-B, SAN PABLO CITY</t>
  </si>
  <si>
    <t xml:space="preserve"> Hiring of Individual Consultant for the Development of Demographic Dividend Estimate (see attached Term of Reference) Please attach quotation with the ff: 1.	Curriculum Vitae (CV) 2.	PhilGEPS Certification/Registration Number (Snap Shot of Certificate) AB</t>
  </si>
  <si>
    <t xml:space="preserve"> LOT 1: Installation of Additional Surveillance Cameras and upgrading of existing cabling system with the following items and specifications 1. 16 Channel DVR/NVR ----------------------------------------------- 1 pc  -16+4 IP, 4K/8MP 1080P realtime record </t>
  </si>
  <si>
    <t xml:space="preserve"> Cleaning of indoor and outdoor ACUs in the office of Justice Fernanda Peralta, Room 302, main bldg. Requirements: 1.  2020 Mayors Permit 2.  BIR reg. (form 2303) 3, Philgeps reg.</t>
  </si>
  <si>
    <t xml:space="preserve"> Please download PDF @ associated components for information</t>
  </si>
  <si>
    <t xml:space="preserve"> Various Construction Materials (please download Associated Components for the details)</t>
  </si>
  <si>
    <t xml:space="preserve"> 1	1	unit/s	Aircon 2.5HP (Split Type)</t>
  </si>
  <si>
    <t xml:space="preserve"> BIDS AND AWARDS COMMITTEE ATTENTION:		ALL INTERESTED BIDDERS 			 SUBJECT:	INVITATION TO BID –   Procurement of Analogue Electronics System Lab Kit for Electronics Engineering Laboratory DATE:	June 10, 2020 - - - - - - - - - - - - - - - - - - - - - - - - -</t>
  </si>
  <si>
    <t xml:space="preserve"> Furnitures and Fixtures</t>
  </si>
  <si>
    <t xml:space="preserve"> Please download PDF @ associated components for more information</t>
  </si>
  <si>
    <t xml:space="preserve"> 1. 47 bags Hog grower pellets 2. 10 bags Corn bran Purpose: Use for livestock in City Farmstead Talay/City Agriculture Office</t>
  </si>
  <si>
    <t xml:space="preserve"> Four Wheel Drive 2.0 L BI Turbo Diesel 1,996 to 2,000 Engine Displacement 10 Speed Automatic Transmission Customized Equipment: Rain Gutter	 Hood Guard	 Head Light Cover	 Tail Guard Cover	 Hard Deck Cover Automatic	 Tow Hitch with Pin, Clip and Tow Ball	 </t>
  </si>
  <si>
    <t xml:space="preserve"> 520 pcs of Medical PPE Suits</t>
  </si>
  <si>
    <t xml:space="preserve"> 1.	The PhilHealth Regional Office VIII, through the Corporate Budget for COB 2020  intends to apply the sum of One Million Pesos (P1,000,000.00) being the Approved Budget for the Contract (ABC) to payments under the contract for PROCUREMENT OF GENUINE HP </t>
  </si>
  <si>
    <t xml:space="preserve"> Printing of IEC Materials (Folded Fan, Raincoat and Umbrella) Details : 1.Folded Fan (1500 pcs.) 2. Raincoat (500 pcs.) 3. Umbrella (500 pcs.) •	Please see attached sample. •	Amount quoted shall be inclusive of tax/taxes. •	Bidder shall bring sample IEC M</t>
  </si>
  <si>
    <t xml:space="preserve"> Republic of the Philippines					 DEPARTMENT OF PUBLIC WORKS AND HIGHWAYS					 BUTUAN CITY DISTRICT ENGINEERING OFFICE					 REGIONAL OFFICE XIII					 Butuan City, Agusan del Norte					   Tel. Nos. 342-5331  Fax No. 225-2022					 Name of Procuring Entity: D</t>
  </si>
  <si>
    <t xml:space="preserve"> Rubber Shoes  -    15 Pairs</t>
  </si>
  <si>
    <t xml:space="preserve"> Sir/Madam:				      Please quote your government price/s including delivery charges, VAT or other applicable taxes, and other incidental expenses for the item/s listed in Annex A.  Also, furnish us with descriptive brochures, catalogues, literatures and/o</t>
  </si>
  <si>
    <t xml:space="preserve"> Inventory / Common Electrical Equipment</t>
  </si>
  <si>
    <t xml:space="preserve"> The Municipality of Limay, through its Bids and Awards Committee (BAC) invites registered suppliers to apply for eligibility and if found eligible, to bid for the hereunder project/contract: Project/Contract:     PROCUREMENT OF ONE (1) UNIT LIFTING PLATFO</t>
  </si>
  <si>
    <t xml:space="preserve"> Please download associated components.</t>
  </si>
  <si>
    <t xml:space="preserve"> Drying Oven Please see attached Request for Quotation (RFQ)</t>
  </si>
  <si>
    <t xml:space="preserve"> A.	REPAIR/ RECONDITIONING AND IMPROVEMENT OF SLIDING DOOR Heavy Duty Door Roller  Sliding Door Track/ Railing With Clamp  Angle Bar  Round Bar Welding Rod Cutting Disk #4 Grinding Disk #4 QDE  Paint Thinner Paint Brush #2 Baby Roller Welded Wire Mesh #8 B</t>
  </si>
  <si>
    <t xml:space="preserve"> INVITATION TO BID NO. 2020-07-002 BID #002 1.	The Barangay Siocon through its Bids and Awards Committee invites Suppliers/Manufacturers/Distributors to apply For Eligibility and to Bid for the Supply and Delivery of the following: No.	PR No.	Particulars	A</t>
  </si>
  <si>
    <t xml:space="preserve"> Q   3.00 X 9.00  27m2</t>
  </si>
  <si>
    <t xml:space="preserve"> Value Seat Ring Value Guide Overhauling Gasket Compressor Ring Con Rod Bearing Main Bearing Comp Shop Bearing Velamoid Gasket Celastic Piston Ring</t>
  </si>
  <si>
    <t xml:space="preserve"> Security Services    CSC Regional Office, San Gabriel, Tug. City                      3 Security Guards, 3 shifts, 7 days a week, Monday to Sunday                                Cagayan/Batanes Field Office , Carig Sur, Tuguegarao City                    </t>
  </si>
  <si>
    <t xml:space="preserve"> Inventory Office Equipment and Accessories</t>
  </si>
  <si>
    <t xml:space="preserve"> I.T. Consumables</t>
  </si>
  <si>
    <t xml:space="preserve"> REQUEST FOR QUOTATION 				                                            Quotation No/PR No. 80                                                                                                  Date: June 12, 2020 To all Eligible Suppliers: I.  Please quote y</t>
  </si>
  <si>
    <t xml:space="preserve"> The Government of the Philippines (GOP) has received a loan from World Bank towards the cost of Philippine Rural Development Project, and it intends to apply part of the proceeds of this Loan to payments for the procurement of labor, materials and spare p</t>
  </si>
  <si>
    <t xml:space="preserve"> DESKTOP COMPUTER INK</t>
  </si>
  <si>
    <t xml:space="preserve"> INVITATION FOR SUBMISSION OF QUOTATION (SMALL VALUE PROCUREMENT) 	The local Government Unit of Can-avid, through is Bid and Awards Committee (BAC). Invites suppliers to apply for eligibility, to bid for the hereunder contract: Name of Contract:     Repair</t>
  </si>
  <si>
    <t xml:space="preserve"> Straight contract</t>
  </si>
  <si>
    <t xml:space="preserve"> Fuel (Gasoline)</t>
  </si>
  <si>
    <t xml:space="preserve"> ITEM NO.	QTY.	UNIT	ITEMS &amp; DESCRIPTION	 				 1	100	reams	Bond paper A4 Size	 2	20	reams	Bond paper Legal size	 3	60	reams	Bond paper A3 size	 4	8	pairs	Rainboots	 5	8	pcs	Raincoat	 6	60	bots	Printer Ink L120 B, M, C, Y- 15@	 7	60	bots	Printer Ink L1130 B,</t>
  </si>
  <si>
    <t xml:space="preserve"> Printer Consumables</t>
  </si>
  <si>
    <t xml:space="preserve"> The City Government of Santiago invites interested parties to submit price quotation for the “SUPPLY AND DELIVERY OF VEHICLE PARTS AND ACCESSORIES FOR VARIOUS GOVERNMENT VEHICLES“ City Hall, Santiago City, details as follows: ABC: Php 93,260.00 Contract D</t>
  </si>
  <si>
    <t xml:space="preserve"> 2 Pcs	Large Utility overall apparel cloth 	 2 Pcs	Medium utility overall apparel cloth  10 Pairs Rubber gardening gloves (4L, 4M, 2S ) elbow length	 5 Pairs Rubber laundry gloves  s7 elbow length 	 5 Pairs Large fabric gloves	 40 Rolls Medium black  garba</t>
  </si>
  <si>
    <t xml:space="preserve"> Additional wall, flooring, roofing and roof framing and electrical works</t>
  </si>
  <si>
    <t xml:space="preserve"> Procurement of IT Equipment</t>
  </si>
  <si>
    <t xml:space="preserve"> Const. of 4 lane km. concrete road including 3,280 linear meter of lined canal</t>
  </si>
  <si>
    <t xml:space="preserve"> ITEM NO.	QTY.	UNIT	ITEMS &amp; DESCRIPTION	 				 1	1	package	GIS- Based Family Health &amp; Nutrition	 			Information System	 			 - formulate diagrams, create application wireframe	 			design initial user interface, create initial mockup	 			create initial module</t>
  </si>
  <si>
    <t xml:space="preserve"> 1.		Transit Mixer (5 cu.m) – 26 days		1 unit  2.		Concrete Vibrator – 26 days 		1 unit 3.		Concrete Cutter – 26 days 		1 unit 4.		Water Pump – 26 days 		1 unit 5.		One Unit Bagger Mixer – 6 days 		1 unit</t>
  </si>
  <si>
    <t xml:space="preserve"> Delivered on site</t>
  </si>
  <si>
    <t xml:space="preserve"> Electrical &amp; Plumbing Supplies</t>
  </si>
  <si>
    <t xml:space="preserve"> The City Government of Santiago invites interested parties to submit price quotation for the “SUPPLY AND DELIVERY OF ORGANIC DEODORIZER FOR SLAUGHTERHOUSE USE“ City Hall, Santiago City, details as follows: ABC: Php 176,000.00 Contract Duration: 14 calenda</t>
  </si>
  <si>
    <t xml:space="preserve"> Republic of the Philippines					 DEPARTMENT OF PUBLIC WORKS AND HIGHWAYS					 BUTUAN CITY DISTRICT ENGINEERING OFFICE					 REGIONAL OFFICE XIII					 Butuan City, Agusan del Norte					   Tel. Nos. 342-5331  Fax No. 225-2022					 					Page 1 of 2 Name of Pr</t>
  </si>
  <si>
    <t xml:space="preserve"> The Environmental Management Bureau 10 through the (SAA No. MOOE-20-04-053 and charged from EMB Central Office’s allotment under 310200100001000) intends to apply the sum of [One Million Eight Hundred Thousand Pesos and Zero Centavo (Php 1,800,000.00) bei</t>
  </si>
  <si>
    <t xml:space="preserve"> 164	sacks	Rice for consumption of AFP</t>
  </si>
  <si>
    <t xml:space="preserve"> Supply &amp; Delivery of  Agri marine and Supplies ABC:95,200.00 	10  bags Granular Complete Fertilizer (14-14-14) 50 kgs/bag 	10 bags Granular Urea Fertilizer (21-0-0) 50 kgs/bag 	15 pair HD Rubber Boots  	4 sets Garden Tools (Wheel barrow, Shovel, Rake, Gra</t>
  </si>
  <si>
    <t xml:space="preserve"> Supply &amp; Delivery of Gasoline Rice Paddy Field Weeder ABC:62,500.00 	1 unit  Gasoline Rice Paddy Field Weeder 	    Specs: -	Engine: rated power: 1.46 KW/42.7cc -	Rated speed: 6500 r/min -	Overall Dimension (L*W*H*) -	1550 x 200 x 400mm, 1550 x 550 x 400mm</t>
  </si>
  <si>
    <t xml:space="preserve"> 1	unit	Conference Table with Seater 1	unit	55" LED TV 20	pcs	Chair</t>
  </si>
  <si>
    <t xml:space="preserve"> Please download associated components</t>
  </si>
  <si>
    <t xml:space="preserve"> ITEM NO.	QTY.	UNIT	ITEMS &amp; DESCRIPTION	 				 1	1	unit	Laptop A-315-556 ITB/4gb 115.6	 			Win10 Thin &amp; Light	 				 2	1	unit	Printer L-5190WiFi All-in One ink tank	 			Printer w/ ADF: High Yield ink bottles, spill free	 			Error free refilling, Print scan, </t>
  </si>
  <si>
    <t xml:space="preserve"> MEALS -  LUNCH AND 2 SNACKS (AM/PM)  20 Pax       Day 1- Lunch &amp; AM/PM Snacks: (Rice, Fried Chicken, Fish Paksiw, Veggie Mix,Fresh fruits,water)                                  AM Snacks-Banana Cake &amp; 1 Ltr. Water /PM Snacks -Cup cakes 	 20 Pax 	Day 2- L</t>
  </si>
  <si>
    <t xml:space="preserve"> INVITATION TO APPLY FOR ELIGIBILITY AND TO BID The Municipal Government of Piñan, through its Bids and Awards Committee (BAC), invites contractors registered with and classified by the Philippine Contractors Accreditation Board (PCAB) to apply for eligibi</t>
  </si>
  <si>
    <t xml:space="preserve"> Republic of the Philippines Dagupan City BIDS AND AWARDS COMMITTEE INVITATION TO BID For the Procurement of One (1) Unit Brand New Vacuum Excavation Truck (PR no.: 2020-00729-051) 1.	The City Government of Dagupan, through the 2017 &amp; 2019 Approved CONTINU</t>
  </si>
  <si>
    <t xml:space="preserve"> Supply &amp; Delivery of  Office Equipment ABC:76,000.00 	2  units Metal Office Desk -	Size: 0.4626 cm -	Materials: Heavy Gauge cold-rolled steel plate -	Color: classic  grey, two-tone option with one keyboard tray, 6 drawers 	 	2  units Office Chair -	Dimens</t>
  </si>
  <si>
    <t xml:space="preserve"> OPA-CROPS-NC-2020-0279 PR2020-0390 REQUEST FOR QUOTATION FOR THE PROCUREMENT OF LABOR AND MATERIALS FOR THE CONSTRUCTION OF PERIMETER FENCE AT THE PROPOSED CALATRAVA PLANT NURSERY, CALATRAVA, CARMEN, BOHOL COST OF CANVASS: P 500.00</t>
  </si>
  <si>
    <t xml:space="preserve"> Supply and delivery of 1 Lot vehicle parts and accessories, etc.</t>
  </si>
  <si>
    <t xml:space="preserve"> Completion of Livelihood Center at Municipal Agri. Office, District III, San Miguel, Catanduanes. Scope of Works: Demolition (roof/roof framings, ceiling, beams) &amp; Chipping of Concrete Column, Concrete Works, Rebar Works, Forms/False Works &amp; Electrical Wo</t>
  </si>
  <si>
    <t xml:space="preserve"> 1	6TB Internal Hard Drive 3.5" 7200RPM 6GB/s 256MB Cache (For Data Storage Server)	16 unit</t>
  </si>
  <si>
    <t xml:space="preserve"> 15,000 Pcs Potting Bags 3x3x10 bottom folded	 10 Bottles	Pesticide per latter	 15 Pcs Scalpel w/ blade stainless steel # 14	 5 rolls Parafilm Grafting Tape 	 25 pairs Rain boots size 8- 8pairs sizs 7 – 8pairs size 6 - 	 25 pcs Knee length rain coats free </t>
  </si>
  <si>
    <t xml:space="preserve"> Supply &amp; Delivery of  Purified Drinking Water ABC:84,000.00 	2,800 gal  Purified Drinking Water 		 Delivery period :  February – December 2020 Delivery site: DA- RFO 12, Koronadal City (GSO) Note: Bidders must quote in all items (by lot) in a Sealed Envel</t>
  </si>
  <si>
    <t xml:space="preserve"> Two units Pick-Up Type Vehicle not exceeding 3000cc engine displacement, diesel-fed, and 4 cylinder</t>
  </si>
  <si>
    <t xml:space="preserve"> The City Government of Santiago invites interested parties to submit price quotation for the “SUPPLY AND DELIVERY OF CONSTRUCTION MATERIALS FOR BILLBOARD ADVERTISEMENT“ City Hall, Santiago City, details as follows: ABC: Php 78,393.00 Contract Duration: 14</t>
  </si>
  <si>
    <t xml:space="preserve"> 65	pcs	1/4 Marine Plywood 88	pcs	2 x 3 x 12 Lumber 5	kls	1"CWNails 5	kls	2"CWNails 5	kls	3"CWNails 6	kls	3"Concrete Nail 2	pcs	5/32 Drill Bit 1	unit	Emergency Light 11	pcs	CFL 18 watts 1	pcs	Padlock (big) 13	gals	Flat Wall Enamel Paint 3	pcs	7"Roller Brus</t>
  </si>
  <si>
    <t xml:space="preserve"> Republic of the Philippines PROVINCE OF DINAGAT ISLANDS Municipality of Basilisa -oOo- Invitation to Bid COUNTERPART FOR THE CONSTRUCTION OF BASILISA TOURISM INN The Municipality of Basilisa, through the 20 % Municipal Development Fund (MDF) 2020 intends </t>
  </si>
  <si>
    <t xml:space="preserve"> Republic of the Philippines PROVINCE OF DINAGAT ISLANDS Municipality of Basilisa -oOo- Invitation to Bid EMBANKMENT/EARTFILLING OF SITE FOR NATIONAL LINE AGENCY BUILDING The Municipality of Basilisa, through the 20 % Municipal Development Fund (MDF) 2013 </t>
  </si>
  <si>
    <t xml:space="preserve"> Please see attached RFQ.</t>
  </si>
  <si>
    <t xml:space="preserve"> please see attached file</t>
  </si>
  <si>
    <t xml:space="preserve"> Philgeps: Procurement of Disinfectant Mats / Foot baths for the Office of the Solicitor General  ITEM: Disinfectant Mats / Foot baths Specifications: Disinfectant Mats / Foot baths * Size: Medium * Heavy Duty Tray * Rubber Coil Matting * Disinfecting Gran</t>
  </si>
  <si>
    <t xml:space="preserve"> Supply &amp; Delivery of  Materials for (repair &amp; maintenance of farm Machineries) ABC:105,900.00 	2 units Power Sprayer  (1.5 HP) beld driven  	2 units  Grass Cutter 2 in 1 Blade &amp; nylon attachment 43cc 2 stroke engine 	6  pcs Tire for farm machinery 	2 pcs </t>
  </si>
  <si>
    <t xml:space="preserve"> The Procuring Entity now invite bid for the Procurement of Motorcylce of PENRO Albay &amp; CENRO Guinobatan, pursuant to RA 9184, with  the following speficiations to wit; 2-Units Motorcycle Engine type -  Air cooled, 4-stroke, SOHC, 2-valve Cylinder layout –</t>
  </si>
  <si>
    <t xml:space="preserve"> Procurement of Installation of Floor tiles</t>
  </si>
  <si>
    <t xml:space="preserve"> Adolescent Health and Development (AHD) Film Festival Virtual Awarding Running Time: Maximum of 3 hours Pre- Production: (Contractor Client): A.	Scriptwriting B.	Story board Concept C.	Sourcing and Briefing of Talents D.	Posters and Photos and Clips E.	In</t>
  </si>
  <si>
    <t xml:space="preserve"> 1	Wooden Riffle Dummy M1 Garand or M14 Riffle	430 pcs 2	ROTC Swords with Carabao Head and scabbared	50 sets</t>
  </si>
  <si>
    <t xml:space="preserve"> 1.		Transit Mixer (5 cu.m) – 18 days		1 unit 	 2.		Concrete Vibrator – 18 days 		1 unit	 3.		Concrete Cutter – 18 days 		1 unit	 4.		Water Pump – 18 days 		1 unit	 5.		One Unit Bagger Mixer – 2 days 		1 unit</t>
  </si>
  <si>
    <t xml:space="preserve"> PCC at CMU through the BIDS and AWARDS Committee intend to apply the sum of 600,000 being the Approved Budget for the Contract (ABC) to payments under the contract Female nNative Carabao.  BIDs received in excess of the ABC shall be automatically rejected</t>
  </si>
  <si>
    <t xml:space="preserve"> OPA-CROPS-NC-2020-0280 PR2020-0391 REQUEST FOR QUOTATION FOR THE PROCUREMENT OF LABOR AND MATERIALS FOR THE CONSTRUCTION OF PERIMETER FENCE AT THE NEWLY OPENED BALILIHAN PROVINCIAL NURSERY COST OF CANVASS: P 500.00</t>
  </si>
  <si>
    <t xml:space="preserve"> 1	Glazed Tile 60x60cm	115 pcs 2	Tile Adhesive 25kg/Bag	6 bag 3	Tile Gout 2kg/bag	8 bag 4	Brass Nosing	2 pc 5	3.5mm2 wire thhn/thwn permalite type	150 m 6	Flex hose 20mm dia (electrical)	20 m 7	Plastic Molding # 1"	15 pc 8	2 gang Plate with cover (Plastic </t>
  </si>
  <si>
    <t xml:space="preserve"> Procurement of 1 Lot Surveying Services for Government Real Properties Titling</t>
  </si>
  <si>
    <t xml:space="preserve"> Republic of the Philippines PROVINCE OF ZAMBOANGA SIBUGAY Municipality of Buug BIDS AND AWARDS COMMITTEE Procurement of Office Supplies ( 1st and 2nd quarter of 2020) 1. The Local Government Unit of Buug ,Buug, Zamboanga Sibugay, through the General Fund </t>
  </si>
  <si>
    <t xml:space="preserve"> Fuel, Additives, Lubricants &amp; Anti-corrosive</t>
  </si>
  <si>
    <t xml:space="preserve"> INVITATION TO APPLY FOR ELIGIBILITY AND TO BID FOR THE SCIENCE RESEARCH FACILITY UNDER DESIGN AND BUILD SCHEME (REBIDDING) 1.The  Philippine Science High School-Bicol Region Campus, through the GAA 2020 intends to apply the sum of  FOUR MILLION EIGHT HUND</t>
  </si>
  <si>
    <t xml:space="preserve"> The City Government of Santiago invites interested parties to submit price quotation for the “SUPPLY AND DELIVERY OF VEHICLE PARTS AND ACCESSORIES FOR VARIOUS VEHICLE“ City Hall, Santiago City, details as follows: ABC: Php 93,260.00 Contract Duration: 14 </t>
  </si>
  <si>
    <t xml:space="preserve"> Unit 	Item Description	Quantity 		 Unit 	Single Function Ink Tank Colored Printer	3 Unit 	UPS 720 VA	4 Unit 	EcoTank All-in-One Ink Tank Printer with scanner	2 Set	Heavy Duty USB Keyboard and Mouse	10 Unit 	Professional Video Capture Card HDMI to USB Vide</t>
  </si>
  <si>
    <t xml:space="preserve"> Supply &amp; Delivery of other Supplies ABC:102,500.00 	31 pcs budding knife (Batanggas made) 	2000 pcs budding tape, 30 x 40 x .001 	5 pcs lopper  	10 pcs Pruning  shear with handle 	70 pcs mono block chair, high quality 	1 unit wooden seed shelves, H= 6 ft.</t>
  </si>
  <si>
    <t xml:space="preserve"> Republic of the Philippines Dagupan City BIDS AND AWARDS COMMITTEE INVITATION TO BID For the Procurement of One (1) Unit Brand New 6-Wheeler Water Truck (PR no.: 2020-00730-051) 1.	The City Government of Dagupan, through the 2019 Approved CONTINUING APPRO</t>
  </si>
  <si>
    <t xml:space="preserve"> Supply &amp; Delivery of ICT Equipment (Line 1 -2) ABC:489,000.00 	LINE ITEM # 1: (ICT Equipment)					399,000.00 	1 unit  Gigabit Router -	Firewall throughput-950 Mbps -	VPN Throughput -200 Mbps -	Concurrent sessions-50,000 -	New sessions (per second)-500 -	F</t>
  </si>
  <si>
    <t xml:space="preserve"> The East Avenue Medical Center through its Hospital Bids and Awards Committee (BAC) through the General Appropriations Act and /or Hospital Income, invites suppliers / manufacturers / distributors for the bidding of the following project for CY 2020. Inte</t>
  </si>
  <si>
    <t xml:space="preserve"> See attached specifications</t>
  </si>
  <si>
    <t xml:space="preserve"> ITEM NO.	QTY.	UNIT	ITEMS &amp; DESCRIPTION	 				 1	10	units	Mechanical Bed w/ Side rails	 			IV Pole and Table</t>
  </si>
  <si>
    <t xml:space="preserve"> Section I. Invitation to Bid INVITATION TO BID  DA8-Goods-2020-40 (PR No. RICE 20-05-12-0686) 1.	The Department of Agriculture-Regional Field Office No. 8, through the RICE 2020 intends to apply the sum of One Million Six Hundred Thousand Pesos Only (P1,6</t>
  </si>
  <si>
    <t xml:space="preserve"> OPA-CROPS-NC-2020-0281 PR2020-0392 REQUEST FOR QUOTATION FOR THE PROCUREMENT OF LABOR AND MATERIALS TO BE USED FOR THE CONSTRUCTION/REPAIR OF PERIMETER FENCE OF MACAAS NURSERY FOR FARM SECURITY PURPOSES COST OF CANVASS: P 500.00</t>
  </si>
  <si>
    <t xml:space="preserve"> 59 packs</t>
  </si>
  <si>
    <t xml:space="preserve"> REPAIR &amp; MAINTENACE ICT EQUIP</t>
  </si>
  <si>
    <t xml:space="preserve"> INVITATION TO BID BID REFERENCE NO.: 2020-13 “SUPPLY, DELIVERY, AND INSTALLATION OF ENTERPRISE DATABASE MANAGEMENT SOFTWARE FOR LINUX PLATFORM” The Bureau of Fisheries and Aquatic Resources (BFAR) of the Department of Agriculture, through the General Appr</t>
  </si>
  <si>
    <t xml:space="preserve"> 20GDQ0014  Purchasing of Various Office Equipments for use in Cavite 3rd DEO (2nd Quarter )</t>
  </si>
  <si>
    <t xml:space="preserve"> REQUEST FOR PRICE QUOTATION Please quote your lowest price on the item/s listed below, subject to the General Conditions and stating the shortest time of delivery and submit  your  PRICE  QUOTATION duly  signed  by  your representative not later than two </t>
  </si>
  <si>
    <t xml:space="preserve"> The City Government of Santiago invites interested parties to submit price quotation for the “SUPPLY AND DELIVERY OF VARIOUS MATERIALS FOR ULS LASER CUTLER“ City Hall, Santiago City, details as follows: ABC: Php 160,510.00 Contract Duration: 14 calendar d</t>
  </si>
  <si>
    <t xml:space="preserve"> ITB No. 2020-12-EFS June 12, 2020 Republic of the Philippines Province of Davao Oriental CITY OF MATI INVITATION TO BID CONSTRUCTION / IMPROVEMENT OF GOVERNMENT BUILDINGS: Repair/Rehab &amp; Improvement of Government Building Name of Project 1.	The City Gover</t>
  </si>
  <si>
    <t xml:space="preserve"> 1	A3 PRINTER AND SCANNER	2 UNIT 	Printer Type: Print, Scan, Copy, Fax with ADF	 	PRINTING TECHNOLOGY	 	Print Method: PrecisionCoreTM Printhead	 	Minimum Ink Droplet Volume: 2.8 pl	 	Print Direction: Bi-directional printing, Uni-	 	directional printing	 	N</t>
  </si>
  <si>
    <t xml:space="preserve"> LOT 1: Tobtobob PIS &amp; Alfonso Lista, Ifugao Pumpset 	1. Pump set ------------------------------------ 3 Sets 		GENERAL: 		-Centrifugal Pump, Single Stage, Self Priming, 3-Inch Diameter 		-V-Belt Driven by Diesel Engine mounted on a Common Steel Base 		-Sk</t>
  </si>
  <si>
    <t xml:space="preserve"> PLEASE SEE ATTACHED DOCUMENTS...</t>
  </si>
  <si>
    <t xml:space="preserve"> 20GDQ0015 Purchasing of Various Office Supplies for use in Cavite 3rd DEO (2nd Quarter )</t>
  </si>
  <si>
    <t xml:space="preserve"> Republic of the Philippines Province of Albay Municipality of Sto. Domingo Bids and Awards Committee Request for Quotation: 06-02-2020 	 The LGU- Sto. Domingo, Albay through its Bids and Awards Committee (BAC) invites Suppliers/Manufacturer/Distributors f</t>
  </si>
  <si>
    <t xml:space="preserve"> OPV-NC-2020-0293 REQUEST FOR QUOTATION FOR THE PROCUREMENT OF ANIMAL SUPPLEMENTS FOR LIVESTOCK DISEASE PREVENTION &amp; CONTROL PROGRAM COST OF CANVASS: P 500.00</t>
  </si>
  <si>
    <t xml:space="preserve"> 118     Pcs.     Anti-Influenza 0.5ML (Pre-Filled)</t>
  </si>
  <si>
    <t xml:space="preserve"> Repair/Improvement of Office at Municipal Agri. Office, District III, San Miguel, Cat'nes. Scope of Works: Concrete Works, Masonry Works, Rebar Works, Forms/False Works, Cement Plastered Finish, Windows &amp; Electrical Works (installation/repair). Source of </t>
  </si>
  <si>
    <t xml:space="preserve"> Const. of 1.12 lane km. concrete road including 590 linear meter of lined canal</t>
  </si>
  <si>
    <t xml:space="preserve"> Supply &amp; Delivery of Steel Cabinet ABC:64,000.00 	16  units Steel Cabinet  -	3 drawers -	White Delivery period :  30 days Delivery site: DA- RFO 12, Koronadal City (Rice Program) Note: Bidders must quote in all items (by lot) in a Sealed Envelope  togethe</t>
  </si>
  <si>
    <t xml:space="preserve"> PHO-NC-2020-108 PR2020-154 REQUEST FOR QUOTATION FOR THE PROCUREMENT OF AIRCON, STEEL CABINET, OFFICE COMPUTER SET, AND FOOD CONVEYOR FOR THE USE IN ADMINISTRATIVE, OR, &amp; DIETITICS, CONG. SIMEON G. TORIBIO MEMORIAL HOSITAL, CARMEN, BOHOL COST OF CANVASS: </t>
  </si>
  <si>
    <t xml:space="preserve"> ITEM NO.	QTY.	UNIT	ITEMS &amp; DESCRIPTION	 				 1	700	pcs	Abdominal Pack/Laparatomy sponge 12x8x12x1	 2	19	gals	Avtivated Glutareldehyde Solution long life w/ neutralizer	 3	20	pcs	Arm sling, medium	 4	40	pcs	Arm sling, large	 5	20	pcs	Arm sling, small	 6	40</t>
  </si>
  <si>
    <t xml:space="preserve"> INVITATION TO BID BID REFERENCE NO.: 2020-14 “SUPPLY AND DELIVERY OF BFAR COMPUTER HARDWARE FOR THE OFFICE PRODUCTIVITY PROJECT” The Bureau of Fisheries and Aquatic Resources (BFAR) of the Department of Agriculture, through the General Appropriations Act </t>
  </si>
  <si>
    <t xml:space="preserve"> Procurement of Tent</t>
  </si>
  <si>
    <t xml:space="preserve"> REQUEST FOR QUOTATION The Local Government Unit of General Santos City thru its Bids and Awards Committee invites interested suppliers for N20-06-077 PURCHASE OF SPARE PARTSamounting to P 57,770.00 Please visit or call Bids and Awards Committee office for</t>
  </si>
  <si>
    <t xml:space="preserve"> Cleaning indoor and outdoor CPUs in the Office of Justice Japar Dimaampao,  room 402, Main Bldg. Requirements: 1.  2020 Mayors Permit 2.  BIR Reg. 3,  Philgeps Reg.</t>
  </si>
  <si>
    <t xml:space="preserve"> Republic of the Philippines Province of Cagayan Municipality of Camalaniugan Barangay Minanga June 11, 2020 INVITATION TO BID  FOR THE FURNISHING &amp; DELIVERY OF VARIOUS  MATERIALS FOR THE CONCRETING OF BARANGAY ROAD AT MINANGA, CAMALANIUGAN, CAGAYAN - 1ST </t>
  </si>
  <si>
    <t xml:space="preserve"> Procurement of 1 Lot construction mateirias and supplies</t>
  </si>
  <si>
    <t xml:space="preserve"> Supply &amp; Delivery of  Rotary Weeder ABC:70,000.00	 	1 unit Rotary weeder  -	Compact tiller  -	Displacement : 63 cm (9.9) cu in) -	Net power (SAEJ1349) *1: 3.6 kW @ 3,600 rpm -	Maximum net torgue (SAE J1349): 10.3N-m @ 2,500 rpm -	Compression ratio: 8.5:1 </t>
  </si>
  <si>
    <t xml:space="preserve"> INVITATION TO QUOTE Date:  June 11, 2020 1.	The Provincial Government of Davao del Sur, through its Bids and Awards Committee (BAC), invites all interested bidders/suppliers to quote for the following goods under Alternative Methods of Procurement (Small </t>
  </si>
  <si>
    <t xml:space="preserve"> TITLE: PROCUREMENT OF OFFICE EQUIPMENT FOR BANTAY DAGAT QUARTERS			 DEPARTMENT: MUNICIPAL AGRICULTURE'S OFFICE			 			 ITEM NO.	QTY	UNIT	ITEM DESCRIPTION 1	1	unit	LED TV 32 inches 2	1	unit	no frost refrigerator 8 cuft. 			 ABC: PHP. 60,000.00</t>
  </si>
  <si>
    <t xml:space="preserve"> PACCO-NC-2020-0315 REQUEST FOR QUOTATION FOR THE PROCUREMENT OF A3 10 MEGAPIXEL BOOK SCANNER, 4 LINE IP PHONE WITH DISPLAY, AND BIOMETRIC FACE FACIAL RECOGNITION THAT SHALL SERVE AS MAINTENANCE TO AGING DESKTOP SYSTEMS RUNNING ON e-NGAS and FiTTSys CLIENT</t>
  </si>
  <si>
    <t xml:space="preserve"> 1	lot	Labor and materials for the Re-installation of Five (5) units 2.5HP,						Php_________		Php_________ 		Wall Mounted aircon including the following scope of works:								 		 - Complete Piping								 		 - Freon and Bracket Recharging								 							</t>
  </si>
  <si>
    <t xml:space="preserve"> Supply and Delivery of Furniture for Gymnasium Male and Female CR of SDSSU Cantilan Please see attached Request for Quotation (RFQ)</t>
  </si>
  <si>
    <t xml:space="preserve"> PROCUREMENT OF HANDHELD RADIO</t>
  </si>
  <si>
    <t xml:space="preserve"> 20	Box	FACE MASK 50PC/BOX (3 PLY)		 2	Box	Amoxicillin ( 500mg, 100 capsules/box)		 10	Bot	Sodium Chloride for irrigation 1 L, 0.9 %		 10	Bot	Sodium Chloride for injection1 L, 0.9 %		 40	Bot	Alcohol,70% 500 ml.		 4	Box	Adhesive bandage strip,sterilized .1"</t>
  </si>
  <si>
    <t xml:space="preserve"> INVITATION TO BID  (SEC PB No. 2020-011) The Securities and Exchange Commission (SEC), through the authorized appropriations under the FY 2020 Revised Corporation Code (RCC) intends to apply the sum of Three Million Seventy Thousand Pesos (Php3,070,000.00</t>
  </si>
  <si>
    <t xml:space="preserve"> INVITATION TO BID FOR THE PROCUREMENT OF SUPPLY &amp; DELIVERY OF FARM INPUTS (TYPHOON URSULA)      1.	The Department of Agriculture Regional Field Office 6 through the General Appropriations Act (GAA) of 2020 intends to apply the sum of One Million One Hundr</t>
  </si>
  <si>
    <t xml:space="preserve"> The City Government of Tagum, through its Bids and Awards Committee (BAC) hereby invites all interested PhilGEPS registered suppliers to submit bids for the procurement of goods. Bids received in excess of the ABC shall be automatically rejected at bid op</t>
  </si>
  <si>
    <t xml:space="preserve"> Procurement of 1 Lot battery MF (Nissan Pathfinder SDP 285), etc.</t>
  </si>
  <si>
    <t xml:space="preserve"> Laboratory Equipment for the Rehabilitation of BSA/BTVTE Building at BPSU Abucay Campus. See attached bidding documents.</t>
  </si>
  <si>
    <t xml:space="preserve"> Supply &amp; Delivery of Agricultural Supplies ABC:327,500.00 	300 packs Ampalaya, Meztiza  variety F1 Variety, 10 seeds/pack 	300 packs Eggplant Seeds, Fortuner F1 Variety, 300 seeds/pack 	300 packs Pole Sitao Seeds, Mariposa Variety, 100 seeds/pack 	300 pac</t>
  </si>
  <si>
    <t xml:space="preserve"> Procurement of 1 Lot Wound Spray, etc.</t>
  </si>
  <si>
    <t xml:space="preserve"> Supply &amp; Delivery of other Supplies ABC:240,000.00	 	1,500  pcs Sublimation Print ID Sling with Side Release and Hook -	1 inch width -	Da Logo Seal -	ID Cases for standard size and ARTA -	3.5” x 5” size 	Delivery period: 30 calendar Days after receipt of </t>
  </si>
  <si>
    <t xml:space="preserve"> Procurement of 1 Lot Pre-Anesthetic, etc.</t>
  </si>
  <si>
    <t xml:space="preserve"> Procurement of Various Office Supplies and Devices for the use at the Provincial Planning and Development Office, New Capitol Compound, Tagbilaran City ABC: P51,025.00 Cost of Canvas: P150.00</t>
  </si>
  <si>
    <t xml:space="preserve"> 500	Rms.	Bond Paper A4 80GSM 		 200	Rolls	Duck Tape 2” 		 35	Boxes	Staple Wire size 23/24</t>
  </si>
  <si>
    <t xml:space="preserve"> 1.		298	Bags 	Cement 2.		58	Length 	16mm ᶲ x 6m Rebars 3.		80	Length	16mmᶲ x 7m Rebars 4.		35	Length	12mmᶲ x 6 m Rebars  5.		310	Length	10mm ᶲ x 6m Rebars 6.		49	Kls. 	#16 Tie Wire 7.		1,500	Pcs. 	4”x8”x16” Concrete Hollow Block 8.		30	Pcs.	10mm thk x 4’x</t>
  </si>
  <si>
    <t xml:space="preserve"> INVITATION TO BID BID REFERENCE NO.: 2020-15 “SUPPLY AND DELIVERY OF BFAR VIDEO/PHOTO EQUIPMENT FOR THE OFFICE PRODUCTIVITY PROJECT” The Bureau of Fisheries and Aquatic Resources (BFAR) of the Department of Agriculture, through the General Appropriations </t>
  </si>
  <si>
    <t xml:space="preserve"> Provision of Vehicle Rentals	ABC:153,000.00 	1 unit Vehicle Rentals -	34 days Travel -	June –December 2020 -	Region-Wide -	Payment shall be made after the conduct of Activity 	(during the conduct of  the Farm Inspection and evaluation, site validation of </t>
  </si>
  <si>
    <t xml:space="preserve"> The Department of Agriculture invites interested suppliers to submit quotations/proposals for the hereunder requirement: IT Supplies (2nd Quarter FY 2020) 			 8	Cart	HP Toner 202A - Black	Php36,000.00		 3	Cart	HP Toner 202A - Cyan	Php15,000.00		 3	Cart	HP</t>
  </si>
  <si>
    <t xml:space="preserve"> Various Office Supplies for Offices Items are indicated in the Bid Docs</t>
  </si>
  <si>
    <t xml:space="preserve"> 556 packs Battery, Dry Cell, AAA ( 2 pcs. per blister pack)</t>
  </si>
  <si>
    <t xml:space="preserve"> 2 Lots Adobe Creative Cloud Complete  Unit Cost: P 39,000.00  Total Price: P 78,000.00  19 Lots Windows 10 Pro (64 Bit)  Unit Cost: P 11,500.00  Total Price: P 218, 500.00    Total Price: P 296,500.00</t>
  </si>
  <si>
    <t xml:space="preserve"> Please download and then print the attached Invitation to Bid (ITB) for more details and for your reference. To view this attachment, just click “ORDER” opposite the ASSOCIATED COMPONENTS. TOTAL APPROVED BUDGET FOR THE CONTRACT (ABC): ₱8,075,000.00</t>
  </si>
  <si>
    <t xml:space="preserve"> Request for Quotation  (NEGOTIATED PROCUREMENT AFTER TWO-FAILED BIDDINGS) RFQ 2020-TFB-007  (MEDICAL &amp; LABORATORY SUPPLIES) The Department of Health – CENTER FOR HEALTH DEVELOPMENT IV-A (CALABARZON) through its Bids and Awards Committee (BAC), invites Phi</t>
  </si>
  <si>
    <t xml:space="preserve"> Section I. Invitation to Bid INVITATION TO BID  DA8-Goods-2020-41 (PR No. HVCDP 20-04-28-0551) 1.	The Department of Agriculture-Regional Field Office No. 8, through the HVCDP-2020 intends to apply the sum of Four Million Five Hundred Twenty-Two Thousand E</t>
  </si>
  <si>
    <t xml:space="preserve"> Please submit quotation for the above requirement. For inquiry/clarifications, please send email to the undersigned (ruby08abriol@gmail.com) Thank you.</t>
  </si>
  <si>
    <t xml:space="preserve"> REQUEST FOR QUOTATION The Local Government Unit of General Santos City thru its Bids and Awards Committee invites interested suppliers for S20-06-049-PURCHASE OF DIESOLINE AND GASOLINE  amounting to P 281,200.00 Please visit or call Bids and Awards Commit</t>
  </si>
  <si>
    <t xml:space="preserve"> Concrete Works: 62.96cu.m. Steel Rebar Works: 4,302.70 kg. Masonry Works:  6.40sq.m. Plastering Works:  6.40sq.m. Culvert Layout Works: Lump sum Formworks and Scaffoldings: Lump sum Earth Works and Fills: 239.75cu.m. Site Works: Lump sum</t>
  </si>
  <si>
    <t xml:space="preserve"> Procurement of 1 Lot vehicle repair and maintenance</t>
  </si>
  <si>
    <t xml:space="preserve"> Procurement of 1 Lot Kitchenwares</t>
  </si>
  <si>
    <t xml:space="preserve"> Cleaning of indoor and outdoor ACUs in the Office of Justice Ramon Bato, Jr. Room 304, Main Bldg. Requirements 1.  2020 Mayors Permit 2.  Philgeps Registration 3,  BIR registration (form2303)</t>
  </si>
  <si>
    <t xml:space="preserve"> Purchase of Peace and Order Supplies and Equipment's</t>
  </si>
  <si>
    <t xml:space="preserve"> for use during the Charter day of the City Government of Laoag</t>
  </si>
  <si>
    <t xml:space="preserve"> INVITATION TO BID (SEC PB No. 2020-012) The Securities and Exchange Commission (SEC), through the authorized appropriations under the FY 2020 Revised Corporation Code (RCC) intends to apply the sum of Five Million Pesos (Php5,000,000.00) being the Approve</t>
  </si>
  <si>
    <t xml:space="preserve"> 1.	1	bots	Paint Spray 2.	4	rolls	Automotive Wire #14 3.	20	pcs	Flange Bolt 6mx25 4.	20	pcs	Flange Bolt 8mmx25 5.	40	pcs	Metric CP/washer 6mm 6.	40	pcs	Metric CP/washer 8mm 7.	100	pcs	Blind Revits 3/16x3/4 8.	100	pcs	Blind Revits 3/32x3/4 9.	100	pcs	G.I Pl</t>
  </si>
  <si>
    <t xml:space="preserve"> Republic of the Philippines Province of Samar BIDS AND AWARD COMMITTEE Negotiated Procurement Health Information Technology Provider Solicitation No. 60011042020 			            Source of Fund. Trust Fund Approved Budget for the Contract:  PhP234,000.00   </t>
  </si>
  <si>
    <t xml:space="preserve"> Purchase of Furniture's and Fixtures</t>
  </si>
  <si>
    <t xml:space="preserve"> ITB No. 2020-09 (SHORT OF AWARD) 1.	The SUGAR REGULATORY ADMINISTRATION, through the SRA SIDA 2017/18/19 GAA re-budgeted to 2020 Budget intends to apply the sum of Seventeen Million One Hundred Thousand Pesos (₱17,100,000.00) being the total Approved Budg</t>
  </si>
  <si>
    <t xml:space="preserve"> Please submit quotation for the repair and maintenance of the above PRA Vehicle. For inquiry/clarificaations, please send email to the undersigned : ruby08abriol@gmail.com thank you.</t>
  </si>
  <si>
    <t xml:space="preserve"> Lunch 40 pax Steamwd rice, fish fillet with creamy dory sauce and bottled drinks</t>
  </si>
  <si>
    <t xml:space="preserve"> Republic of the Philippines GENERAL SANTOS CITY WATER DISTRICT E. Fernandez Street, Barangay Lagao, General Santos Telephone No.: 552-3824; Telefax No.: 553-4960 Email Address: gscwdprocurement@yahoo.com REQUEST FOR QUOTATION RFQ #: 3-0620-021 DATE: 6/11/</t>
  </si>
  <si>
    <t xml:space="preserve"> Procurement of Mono bloc Chair for the use at the Provincial General Services Office, New Capitol Compound, Tagbilaran City ABC: P745,000. Cost of Canvas: P400.00</t>
  </si>
  <si>
    <t xml:space="preserve"> Republic of the Philippines Department of Public Works and Highways Pampanga 3rd District Engineering Office San Francisco Street, Brgy. Pampang, Angeles City Region III Telephone Nos. (045) 323-5782 / 887-5249 DPWH-INFR-04-2016 INVITATION TO BID The Depa</t>
  </si>
  <si>
    <t xml:space="preserve"> 50 ea Flaglets Philippine flag &amp; 19 Others</t>
  </si>
  <si>
    <t xml:space="preserve"> Procurement of 1 Lot Rabies Vaccine, etc.</t>
  </si>
  <si>
    <t xml:space="preserve"> Acrylic Dividers with Installation (See attached pictures) Specifications: FOR 2ND FLOOR 1-set 40" x 39", 3/16 clear acrylic with stand 1-set 49" x 12" X 40", 1/8 clear acrylic 1-set 48" x 12" X 40", 1/8 clear acrylic FOR 1ST FLOOR Admin/ HR, 1/8 clear ac</t>
  </si>
  <si>
    <t xml:space="preserve"> Procurement of Tire</t>
  </si>
  <si>
    <t xml:space="preserve"> SOUND SYSTEM ACCESSORIES 3	SETS	SHURE DYNAMIC MICROPHONE WITH MICROPHONE STAND 3	SETS	MICROPHONE CORD, 15 METER EACH WITH MICROPHONE                              JACK MALE AND FEMALE 1	SET	SHURE PROFESSIONAL WIRELESS MICROPHONE WITH RECEIVER AND STAND 2	S</t>
  </si>
  <si>
    <t xml:space="preserve"> REQUEST FOR QUOTATION The Local Government Unit of General Santos City thru its Bids and Awards Committee invites interested suppliers for (2FB)N20-06-035 PURCHASE OF HORMONES ANTAGONISTS MEDICINES  amounting to P 238,500.00 Please visit or call Bids and </t>
  </si>
  <si>
    <t xml:space="preserve"> 2,000 pcs. - Printing of Tarpaulin for Tricycle with singlet to promote Family Planning Scope of Work: SIZE:  Height: 36 inches/ 3ft               Width: 24 inches/ 2ft (See Attached Ready to Print Layout) Vat Inclusive Please attach quotation with the ff</t>
  </si>
  <si>
    <t xml:space="preserve"> REQUEST FOR QUOTATION The Local Government Unit of General Santos City thru its Bids and Awards Committee invites interested suppliers for (2FB)N20-06-034 FURNITURES AND FIXTURES  amounting to P 95,911.00 Please visit or call Bids and Awards Committee off</t>
  </si>
  <si>
    <t xml:space="preserve"> Republic of the Philippines Province of Samar BIDS AND AWARD COMMITTEE Negotiated Procurement HEALTH INFORMATION TECHNOLOGY PROVIDER  Solicitation No. 60011052020 			            Source of Fund. Trust Fund Approved Budget for the Contract:  PhP195,000.00  </t>
  </si>
  <si>
    <t xml:space="preserve"> Please download and then print the attached Invitation to Bid (ITB) for more details and for your reference. To view this attachment, just click “ORDER” opposite the ASSOCIATED COMPONENTS. TOTAL APPROVED BUDGET FOR THE CONTRACT (ABC): ₱13,776,000.00</t>
  </si>
  <si>
    <t xml:space="preserve"> 20PA0134 : CONCRETING OF BARANGAY TABACDA FMR, Barangay Tabacda, Tubo, Abra Contract Location:                    Barangay Tabacda, Tubo, Abra Brief Description:                     Concreting of Road using PCCP (Unreinforced, 0.20m thk. 14 days) The DPWH</t>
  </si>
  <si>
    <t xml:space="preserve"> XENON LAMP, 300WATTS NOTE: PLEASE ATTACH THE FOLLOWING DOCUMENTS: 1.	TAX CLEARANCE 2.	MAYOR’S PERMIT 3.	SEC CERT. / DTI PERMIT 4.	FOR 50,000 AND ABOVE , PHILGEPS CERTIFICATE</t>
  </si>
  <si>
    <t xml:space="preserve"> Republic of the Philippines GENERAL SANTOS CITY WATER DISTRICT E. Fernandez Street, Barangay Lagao General Santos Telephone No.: 552-3824; Telefax No.: 553-4960 Email Address: gscwdprocurement@yahoo.com REQUEST FOR QUOTATION RFQ #: 3-0620-022 DATE: 6/11/2</t>
  </si>
  <si>
    <t xml:space="preserve"> Name of Project	:	PURCHASE OF COMPLETE SET DESKTOP AND LAPTOP COMPUTERS FOR OFFICIAL USE OF                                 DENR PALAWAN Place of Delivery	:	PENRO Office, Bgy. Sta. Monica, Puerto Princesa City Brief Description	:	Supply and Delivery of: 	</t>
  </si>
  <si>
    <t xml:space="preserve"> Supply and delivery of 1 lot vehicle parts and accessories, etc.</t>
  </si>
  <si>
    <t xml:space="preserve"> INVITATION TO BID BID REFERENCE NO.: 2020-16 “SUPPLY AND DELIVERY OF UNMANNED AERIAL VEHICLE (UAV) “DRONE” AND ACCESSORIES” The Bureau of Fisheries and Aquatic Resources (BFAR) of the Department of Agriculture, through the General Appropriations Act for 2</t>
  </si>
  <si>
    <t xml:space="preserve"> Cleaning of indoor and outdoor ACUs in the office of Acting Presiding Justice Remedios Fernando, Room 404, Main Bldg. Requirements: 1.  2020 Mayors Permit 2,  BIR Reg (Form 2303) 3.  Philgeps reg</t>
  </si>
  <si>
    <t xml:space="preserve"> Fertilizer/Pesticide 1	595	bags	Vermicast (40kls/bag) 2	65	bags	Urea 45-0-0 (50kls/bag) 3	65	bags	Complete Fertilizer 14-14-14 			(50kls/bag) 			 			Note:  			San Dionisio II, Nagtipunan 			575 bags Vermicast 			57 bags Urea (45-0-0) 			57 bags 14-14-14 	</t>
  </si>
  <si>
    <t xml:space="preserve"> I - Mobilization/ Demobilization       one          lot II - Construction Safety and Health Program                     one              lot III - Project Billboard                  one              lot IV - Progress Photograph                  one       </t>
  </si>
  <si>
    <t xml:space="preserve"> Republic of the Philippines Province of Samar BIDS AND AWARD COMMITTEE Negotiated Procurement Health Information Technology Provider  Solicitation No. 60011062020 			            Source of Fund. Trust Fund Approved Budget for the Contract:  PhP65,000.00   </t>
  </si>
  <si>
    <t xml:space="preserve"> _______________________ _______________________ _______________________ _______________________ _______________________ The Sugar Regulatory Administration (SRA) Bids and Awards Committee (BAC) intends to procure 800 Booklets Shipping Permit under the SRA</t>
  </si>
  <si>
    <t xml:space="preserve"> 5 UNITS STEEL FILING CABINET (LATERAL WITH THREE DRAWERS)</t>
  </si>
  <si>
    <t xml:space="preserve"> Please quote your best price 2,548 pcs of T-Shirt without collar ABC 891,800.00 Specifications: With print in front only (full color) Heat press printing Cotton polyester fabric Assorted Sizes: XS- 148 S-500 M-600 L-400 XL- 400 XXL- 300 XXXL-100 XXXXL- 10</t>
  </si>
  <si>
    <t xml:space="preserve"> REQUEST FOR QUOTATION (RFQ)  SUPPLY AND DELIVERY OF ELECTRICAL CONDUCTIVITY AND PH (MICRO-SENSOR) UNIT RFQ NO. EMB-ERLSD-ERS-SHOPPING-0018-3-3-2020(6th)   1.	The Department of Environment and Natural Resources – Environmental Management Bureau (DENR-EMB) </t>
  </si>
  <si>
    <t xml:space="preserve"> Project Billboard ---------------------- 1x Lot -------------------------- 5,744.07 Canalization Works 	A. Common Excavation ----------- 18.18 cu.m ---------------------- 2,897.71 	B. Manual Backfill &amp; Compaction- 15.15 cu.m ---------------------- 2,012.3</t>
  </si>
  <si>
    <t xml:space="preserve"> Republic of the Philippines   Municipality of Sual BIDS AND AWARDS COMMITTEE Sual, Pangasinan   Invitation to Bid for Improvement of Ramp, Building, Canopy &amp; Pavement at PCF Caoayan, Sual, Pangasinan 1.	The Municipal Government of Sual, Pangasinan, throug</t>
  </si>
  <si>
    <t xml:space="preserve"> -Compressor for 5 Tonner Air Conditioning Unit (ACU), Ceiling Mounted -Control Board for 5 Tonner Air Conditioning Unit (AVU), Ceiling Mounted</t>
  </si>
  <si>
    <t xml:space="preserve"> DEPARTMENT OF PUBLIC WORKS AND HIGHWAYS										 LAS PINAS-MUNTINLUPA DISTRICT ENGINEERING OFFICE										 							Date:		June 17, 2020	 						RFQ No.:			2020-06-006 (SHOP)	 						Office/End-user:			Maintenance Section	 REQUEST FOR QUOTATION										 CO</t>
  </si>
  <si>
    <t xml:space="preserve"> Please see the attached file.</t>
  </si>
  <si>
    <t xml:space="preserve"> PAPER SUPPLIES 1.	PAPER, MULTCOPY, 80gsm, Legal, Size 216mm x 330mm 2.	PAPER, MULTI-PURPOSE, A4, 70gsm 3.	CONTINOUS FORM, 1PLY, 280 X 241mm</t>
  </si>
  <si>
    <t xml:space="preserve"> Republic of the Philippines Province of Compostela Valley Municipality of Monkayo -o0o- INVITATION TO BID FOR THE PROCUREMENT OF FUEL FOR MOBILIZATION OF VARIOUS OFFICES  The Municipality of Monkayo, through the GENERL FUND intends to apply the sum of ONE</t>
  </si>
  <si>
    <t xml:space="preserve"> Republic of the Philippines Province of Agusan del Norte Municipality of Remedios T. Romualdez Invitation to Bid SUPPLY AND DELIVERY OF DRUGS AND MEDICINES 1. The Municipality of Remedios T. Romualdez, Agusan del Norte, through the General Funds/PFPR inte</t>
  </si>
  <si>
    <t xml:space="preserve"> DEPARTMENT OF PUBLIC WORKS AND HIGHWAYS										 LAS PINAS-MUNTINLUPA DISTRICT ENGINEERING OFFICE										 							Date:		June 17, 2020	 						RFQ No.:			2020-06-005 (SHOP)	 						Office/End-user:			Planning &amp; Design Section	 REQUEST FOR QUOTATION							</t>
  </si>
  <si>
    <t xml:space="preserve"> Republic of the Philippines DEPARTMENT OF PUBLIC WORKS AND HIGHWAYS LAGUNA II DISTRICT ENGINEERING OFFICE REGIONAL OFFICE IV-A Brgy. Bambang, Los Baños, Laguna Invitation to Bid No. 2020 - 09 The Department of Public Works and Highways- Laguna II District</t>
  </si>
  <si>
    <t xml:space="preserve"> 2,040 pcs. - Printing of Progestin Sub-Dermal Implant (PSI) Box Sticker Label Project Specification/Details: 	Size: 125mm x 50mm 	Font: Akrobat 	Font Size:  •	(NOT FOR SALE) #36  •	(POPCOM and Philippine Government Property) #21 	Type of Sticker: Glos</t>
  </si>
  <si>
    <t xml:space="preserve"> BIDS AND AWARD COMMITTEE				 	                         INFRA 20-22A DEVELOPMENT FUND Standard Form Number: SF-INFR-O5                                                                 Improvement of School Classrooms at Various Schools for Quarantine Facili</t>
  </si>
  <si>
    <t xml:space="preserve"> The National Telecommunications Commission hereby invites prospective Suppliers to submit their Price Quotation for the Project: Procurement of Heavy Duty Scanner for Different Branch and Regional Offices pf National Telecommunications Commission. ABC - P</t>
  </si>
  <si>
    <t xml:space="preserve"> 5 BOX LAN Cable CAT5e 5 BOX LAN Cable CAT6 ( Please see attached specifications) 10 UNITS WALL SOCKET PLATE, RJ45 4 PORT Specifications: Compatible with: CAT5e/CAT6 Color: White; Type:Wall Socket Size: 3.4inch x 3.4inch /86mm x 86 mm No. of Ports: 4</t>
  </si>
  <si>
    <t xml:space="preserve"> Please download and then print the attached Invitation to Bid (ITB) for more details and for your reference. To view this attachment, just click “ORDER” opposite the ASSOCIATED COMPONENTS. TOTAL APPROVED BUDGET FOR THE CONTRACT (ABC): ₱931,550.00</t>
  </si>
  <si>
    <t xml:space="preserve"> Procurement of 1 Lot IT Equipment, etc.</t>
  </si>
  <si>
    <t xml:space="preserve"> DEPARTMENT OF PUBLIC WORKS AND HIGHWAYS										 LAS PINAS-MUNTINLUPA DISTRICT ENGINEERING OFFICE										 							Date:		June 17, 2020	 						RFQ No.:			2020-06-004 (SHOP)	 						Office/End-user:			Maintenance Section	 REQUEST FOR QUOTATION										 CO</t>
  </si>
  <si>
    <t xml:space="preserve"> Republic of the Philippines Province of Davao de Oro Municipality of Monkayo -o0o- INVITATION TO BID FOR THE PROCUREMENT OF FUEL FOR MAYOR’S OFFICE USE  The Municipality of Monkayo, through the GENERL FUND intends to apply the sum of SIX HUNDRED NINETY ON</t>
  </si>
  <si>
    <t xml:space="preserve"> Technical Assistance in the Preparation for QMS 1st year Surveillance (Consultancy Fee)  Total Price: P 280,000.00</t>
  </si>
  <si>
    <t xml:space="preserve"> Gentlemen : Please furnish us with your quotation on or before June 15, 2020 for the supply, delivery and installation of sunscreen rollershade for SSS Kalookan Branch Office. End User: SSS Kalookan Branch Total Approved Budget for the Contract: Php530,42</t>
  </si>
  <si>
    <t xml:space="preserve"> INVITATION TO BID FOR PROCUREMENT OF BIOMETRIC 1.	The Local Government Unit of Josefina, through the 2020 Extra Ordinary Expenses intends to apply the sum of ONE HUNDRED FOURTEEN THOUSAND PESOS (Php 114,000.00) being the Approved Budget for the Contract (</t>
  </si>
  <si>
    <t xml:space="preserve"> Republic of the Philippines DEPARTMENT OF PUBLIC WORKS AND HIGHWAYS LA UNION 2ND DISTRICT ENGINEERING OFFICE REGIONAL OFFICE I Natividad, Naguilian, La Union INVITATION FOR ELIGIBILITY SCREENING AND TO BID (For Small Value Procurement) SEALED BIDS, subjec</t>
  </si>
  <si>
    <t xml:space="preserve"> DESIGN AND BUILD FOR THE CONSTRUCTION OF 2-STOREY PASSENGER TERMINAL BUILDING AT MALATAPAY, BARANGAY MALUAY, ZAMBOANGUITA, NEGROS ORIENTAL</t>
  </si>
  <si>
    <t xml:space="preserve"> NOTICE OF SHORT LIST AND REQUEST FOR PROPOSALS (RFP) for 20CSPA001 : DETAILED ENGINEERING DESIGN OF ABRA COLISEUM AND CONVENTION CENTER, La Paz, Abra The DPWH-Abra District Engineering Office reserves the right to accept or reject any bid and to annul the</t>
  </si>
  <si>
    <t xml:space="preserve"> Procurement of 1 Lot (3 units) Air Conditioner</t>
  </si>
  <si>
    <t xml:space="preserve"> DEPARTMENT OF PUBLIC WORKS AND HIGHWAYS										 LAS PINAS-MUNTINLUPA DISTRICT ENGINEERING OFFICE										 							Date:		June 17, 2020	 						RFQ No.:			2020-06-007 (SHOP)	 						Office/End-user:			Maintenance Section	 REQUEST FOR QUOTATION										 CO</t>
  </si>
  <si>
    <t xml:space="preserve"> VARIOUS OFFICE SUPPLIES: 24	box	CLIP, backfold, all metal, 		clamping: 19mm (-1mm) 24	box	CLIP, backfold, all metal, 		clamping: 19mm (-1mm) 24	box	CLIP, backfold, all metal, 		clamping: 19mm (-1mm) 24	box	CLIP, backfold, all metal, 		clamping: 19mm (-1mm</t>
  </si>
  <si>
    <t xml:space="preserve"> COMPUTER SET PURCHASED</t>
  </si>
  <si>
    <t xml:space="preserve"> INFRASTRUCTURE WORKS FOR THE CONSTRUCTION OF LINE CANAL AT BARANGAY CALANGO, ZAMBOANGUITA, NEGROS ORIENTAL</t>
  </si>
  <si>
    <t xml:space="preserve"> DEPARTMENT OF PUBLIC WORKS AND HIGHWAYS										 LAS PINAS-MUNTINLUPA DISTRICT ENGINEERING OFFICE										 							Date:		June 17, 2020	 						RFQ No.:			2020-06-008 (SHOP)	 						Office/End-user:			Maintenance Section	 REQUEST FOR QUOTATION										 CO</t>
  </si>
  <si>
    <t xml:space="preserve"> Republic of the Philippines BIDS AND AWARDS COMMITTEE Municipality of Irosin Reference Number: BAC-0043-2020								 June 11, 2020 REQUEST FOR QUOTATION The Local Government Unit of Irosin, through its Bids &amp; Awards Committee (BAC), requests suppliers/man</t>
  </si>
  <si>
    <t xml:space="preserve"> "ROBOTICS KIT (complete with core and expansion sets) Specifications: (or equivalent) Display: 178×128 pixel Monochrome LCD Main Processor: TI Sitara AM1808 (ARM926EJ-S core) @300 MHz Main Memory: 64 MB RAM 16 MB Flash microSDHC Slot USB Host Port  WiFi O</t>
  </si>
  <si>
    <t xml:space="preserve"> BIDS AND AWARD COMMITTEE				 	                         INFRA 20-25A GENERAL FUND Standard Form Number: SF-INFR-O5                                                                 Renovation of Market Offices  Revised on: July 29, 2004   	Poblacion, Lapu-La</t>
  </si>
  <si>
    <t xml:space="preserve"> Please refer to the attached Request for Quotation. Thank you.</t>
  </si>
  <si>
    <t xml:space="preserve"> INVITATION TO BID FOR PROCUREMENT OF MEDICINE AND MEDICAL SUPPLIES 1.	The Local Government Unit of Josefina, through the GAD 2020 intends to apply the sum of TWO HUNDRED FORTY NINE THOUSAND FIFTY SIX PESOS &amp; 50/100 CENTAVOS (249,056.50) being the Approved</t>
  </si>
  <si>
    <t xml:space="preserve"> VARIOUS TONERS: 6	bottle	INK for Epson L565 color Black 3	bottle	INK for Epson L565 color Cyan 3	bottle	INK for Epson L565 color Magenta 3	bottle	INK for Epson L565 color Yellow 15	bottle	INK, for stamp pad, purple or violet 2	cart		TONER CART, HP Laser 2</t>
  </si>
  <si>
    <t xml:space="preserve"> 50 HP Submersible Pump and Motor -	4” Discharge Line -	3 phase, 460 – 480 VAC -	TDH – 300 ft, Flow 100 m3 / hr Submersible Cable for Deepwell -	30 mm2, UL 83, 460-480V / 60OC</t>
  </si>
  <si>
    <t xml:space="preserve"> SEE ATTACHED DOCUMENT.</t>
  </si>
  <si>
    <t xml:space="preserve"> INVITATION FOR SUBMISSION OF QUOTATION (SMALL VALUE PROCUREMENT) 	The local Government Unit of Can-avid, through is Bid and Awards Committee (BAC). Invites suppliers to apply for eligibility, to bid for the hereunder contract: Name of Contract:     Procur</t>
  </si>
  <si>
    <t xml:space="preserve"> Please submit a bid based on the attached RFQ. If you are a new supplier please submit your Mayor's Permit, PhilGEPS Cert, Income Tax/Business Tax Return, Omnibus Sworn Statement.  If you have not renewed please submit updated copies of these documents.</t>
  </si>
  <si>
    <t xml:space="preserve"> The work includes plastering of interior and exterior wall, replacement of wooden grills to steel grills, replacement of door and 2 roof sheets as per approved plan and POW.</t>
  </si>
  <si>
    <t xml:space="preserve"> 250	length	Good Lumber, S4S (2"x2"x12")</t>
  </si>
  <si>
    <t xml:space="preserve"> The Technical Education and Skills Development Authority (TESDA), through the TESDA, through the Bids and Awards Committee, will undertake a Small Value Procurement for the “Procurement of Computer Set to be used in the preparation for Skills Competition”</t>
  </si>
  <si>
    <t xml:space="preserve"> Hauling of four (4) sets of Motor Controls from Stage 2, Pula, Sto. Tomas to Stage 1 Pumping Station, Camp 6 Weight:: ±600.0 kgs / set Height: 2.05 meters Length: 1.10 meters / Width: 0.81 meters Hauling of two (2) sets Peerless Horizontal Split Case Boos</t>
  </si>
  <si>
    <t xml:space="preserve"> 16 LI</t>
  </si>
  <si>
    <t xml:space="preserve"> 50	pcs	Gypsum Screw (Wood) # 2       2	sheets	Marine Plywood 3/4"       2	pcs	Drawer Lock       8	pcs	Butterfly Hinges 1 x 3        2	pcs	Barell Bolt 2 x 3       1	pack	Wood Glue ( Stikwell)       0.25	kilo	Common Nails 2"       1	qtr	Flatwall Enamel     </t>
  </si>
  <si>
    <t xml:space="preserve"> INVITATION TO BID The Department of Public Works and Highways (DPWH) Camarines Sur 5th, District Engineering Office, Camarines Sur, through its Bids and Awards Committee (BAC), invites contractors to submit bids for the following contract(s):   Contract I</t>
  </si>
  <si>
    <t xml:space="preserve"> 1 5 PC/S PAIL - RUBBER 2 1 PC/S SHOVEL - HEAVY DUTY - (Wooden Handle) 3 5 PC/S CONSTRUCTION SAFETY HAT - 4 Yellows &amp; 1 White 4 5 PC/S CONSTRUCTION RAINCOATS - . - Size:L 5 1 PAIR/S CONSTRUCTION BOOTS - Steel Toe - High Cut Brown, Size:10 6 1 UNIT/S PE EMP</t>
  </si>
  <si>
    <t xml:space="preserve"> 93 Pax Board and Lodging for 1 full day with the following inclusions:    - 3 buffet meals with 2 snacks daily to start     - AM snacks  on the 1st day and to end with Breakfast on the last day.       - Snacks with free flowing coffee, tea, chocolate drin</t>
  </si>
  <si>
    <t xml:space="preserve"> Republic of the Philippines Province of Batangas Municipality of San Juan BIDS AND AWARDS COMMITTEE NEGOTIATED PROCUREMENT THE LOCAL GOVERNMENT UNIT OF SAN JUAN, BATANGAS, through its Bids and Awards Committee (BAC), invites registered PhilGEPS suppliers/</t>
  </si>
  <si>
    <t xml:space="preserve"> 1 LOT SUPPLY AND DELIVERY OF VARIOUS MATERIALS (Please see attached RFQ for the complete description and quantity of each item) a) Union ,size  1/2" GI  Approx weight 0:19 kg b) GI weldable Coupling 2" Dia General Conditions: 1. Bidders must secure a copy</t>
  </si>
  <si>
    <t xml:space="preserve"> DUPLICATOR MACHINE- 1 UNIT Specifications: Speed: at least 100ppm PC connectivity: standard Ink: 800ml Master: 200 cuts</t>
  </si>
  <si>
    <t xml:space="preserve"> PCC at CMU through the BIDS &amp; AWARDS Committee  intend to apply  for  Php 512,500 as an Approved Budget for the Contract (ABC)  under Pet Bottles which shall be delivered within 15 days after receipt of notice to proceed. Specifications: a. 50,000 Pcs - 1</t>
  </si>
  <si>
    <t xml:space="preserve"> INVITATION TO BID The Department of Public Works and Highways (DPWH) Camarines Sur 5th, District Engineering Office, Camarines Sur, through its Bids and Awards Committee (BAC), invites contractors to submit bids for the following contract(s): Contract ID </t>
  </si>
  <si>
    <t xml:space="preserve"> Republic of the Philippines Province of Compostela Valley Municipality of Monkayo -o0o- INVITATION TO BID FOR THE PROCUREMENT OF MATERIALS FOR CONSTRUCTION OF GOAT HOUSE  The Municipality of Monkayo, through the GENERL FUND intends to apply the sum of ONE</t>
  </si>
  <si>
    <t xml:space="preserve"> BIDS AND AWARD COMMITTEE				 	                         INFRA 20-26A DEVELOPMENT FUND Standard Form Number: SF-INFR-O5                                                                 Construction of Barangay Buaya Health Center (Phase I)  Revised on: July </t>
  </si>
  <si>
    <t xml:space="preserve"> The Municipality of Limay, through its Bids and Awards Committee (BAC) invites registered contractors to apply for eligibility and if found eligible, to bid for the hereunder project/contract: Project/Contract:     SUPPLY AND INSTALLATION OF HAND WASH Loc</t>
  </si>
  <si>
    <t xml:space="preserve"> Republic of the Philippines REGION IX PROVINCE OF ZAMBOANGA DEL SUR Pagadian City Provincial Capitol, Pagadian City INVITATION TO APPLY FOR ELIGIBILITY AND TO BID The Provincial Government of Zamboanga del Sur, through its Bids and Awards Committee (BAC),</t>
  </si>
  <si>
    <t xml:space="preserve"> Please download and then print the attached Invitation to Bid (ITB) for more details and for your reference. To view this attachment, just click “ORDER” opposite the ASSOCIATED COMPONENTS. TOTAL APPROVED BUDGET FOR THE CONTRACT (ABC): ₱14,430,000.00</t>
  </si>
  <si>
    <t xml:space="preserve"> assorted office supplies, materials &amp; equipment</t>
  </si>
  <si>
    <t xml:space="preserve"> INVITATION  FOR NEGOTIATED PROCUREMENT  (goods) NAME OF PROJECT:  PURCHASE AND DELIVERY OF ANIMAL FEEDS AND VETERINARY MEDICINES 1.	In view of the two (2) failed public biddings, the Local Government Unit of  Tuao, Cagayan Bids and Awards Committee (BAC) </t>
  </si>
  <si>
    <t xml:space="preserve"> A.	REPAIR/ RECONDITIONING AND IMPROVEMENT OF SLIDING DOOR Heavy Duty Door Roller (2 Wheel, 300kg Cap) Sliding Door Track/ Railing With Clamp (6mm) Angle Bar (1”X1”X1/4”) Angle Bar (2”X2”X1/4”) Wire Mesh 1cm (6ftx20ft) Round Bar(10mm) Welding Rod Small Wel</t>
  </si>
  <si>
    <t xml:space="preserve"> Media Platform: TV Length of Ad Spots: 30 seconder Frequency: Three (3) Spots per day, Daily Coverage: Zamboanga City Please use the attached RFQ form when submitting your quotation.</t>
  </si>
  <si>
    <t xml:space="preserve"> VARIOUS COMMON USE OFFICE SUPPLIES FOR REGIONAL OFFICE USE</t>
  </si>
  <si>
    <t xml:space="preserve"> OPA-HVCDP-NC-2020-0320 REQUEST FOR QUOTATION FOR THE PROCUREMENT OF CHAINSAW FOR USE AS PRUNING EQUIPMENT IN THE REHABILITATION OF EXISTING MANGO AND CACAO TREES TO IMPROVE QUALITY OF HARVEST AND INCREASE PRODUCTION YIELD COST OF CANVASS: P 100.00</t>
  </si>
  <si>
    <t xml:space="preserve"> Republic of the Philippines Province of Agusan del Norte Municipality of Remedios T. Romualdez BARANGAY TAGBONGABONG Invitation to Bid SUPPLY AND DELIVERY OF FOOD PROCESSING EQUIPMENT FOR THE LIVELIHOOD PROGRAM-MEAT PROCESSING OF SALAKNIB FARMERS ASSOCIAT</t>
  </si>
  <si>
    <t xml:space="preserve"> Republic of the Philippines Region XII Province of Cotabato Municipality of Aleosan  INVITATION TO BID FOR THE Supply and Delivery of Construction Materials and Supplies for the Improvement of Multi-Purpose Building June 12, 2020 1.	The Local Government U</t>
  </si>
  <si>
    <t xml:space="preserve"> PAINTING WORKS (MASONRY PAINTING) PAINTING WORKS (METAL PAINTING) ELECTRICAL ROUGHING-IN, WIRING AND ACCESSORIES FORM WORKS AND FALSE WORK OCCUPATIONAL SAFETY AND HEALTH PROGRAM</t>
  </si>
  <si>
    <t xml:space="preserve"> INVITATION TO BID FOR THE PROCUREMENT OF SUPPLY &amp; DELIVERY OF FARM INPUTS (TYPHOON URSULA)      1.	The Department of Agriculture Regional Field Office 6 through the General Appropriations Act (GAA) of 2020 intends to apply the sum of One Million Five Hund</t>
  </si>
  <si>
    <t xml:space="preserve"> Republic of the Philippines Province of Pangasinan Municipality of Sual Barangay Caoayan Invitation to Bid for the Construction of Brgy. Road at Sitio Dating Daan At Barangay Caoayan Sual, Pangasinan 1.	The Barangay Council of Caoayan,through the Barangay</t>
  </si>
  <si>
    <t xml:space="preserve"> 20 tank (big) / 20 tank (small)</t>
  </si>
  <si>
    <t xml:space="preserve"> 184 LI</t>
  </si>
  <si>
    <t xml:space="preserve"> 37 pax Board and Lodging for 1 full day with the following inclusions:    - 3 buffet meals with 2 snacks daily to start     - AM snacks  on the 1st day and to end with Breakfast on the last day.       - Snacks with free flowing coffee, tea, chocolate drin</t>
  </si>
  <si>
    <t xml:space="preserve"> Republic of the Philippines GENERAL SANTOS CITY WATER DISTRICT E. Fernandez Street, Barangay Lagao General Santos Telephone No.: 552-3824; Telefax No.: 553-4960 Email Address: gscwdprocurement@yahoo.com REQUEST FOR QUOTATION RFQ #: 3-0620-023 DATE: 6/11/2</t>
  </si>
  <si>
    <t xml:space="preserve"> Republic of the Philippines PROVINCE OF ZAMBOANGA DEL SUR Municipality of Dimataling BIDS AND AWARD COMMITTEE Reference Number : PR-132-100-2020 Date: May 18, 2020 Project Title/P.R. # : PURCHASE OF MEALS AND SNACKS Approved Budget of the Contract : Php 1</t>
  </si>
  <si>
    <t xml:space="preserve"> Section I. Invitation to Bid INVITATION TO BID  DA8-Goods-2020-42 (PR No. CORN 20-05-29-0164) 1.	The Department of Agriculture-Regional Field Office No. 8, through the CORN 2020-C.O intends to apply the sum of Three Million Five Hundred thousand Pesos Onl</t>
  </si>
  <si>
    <t xml:space="preserve"> Please download and then print the attached Invitation to Bid (ITB) for more details and for your reference. To view this attachment, just click “ORDER” opposite the ASSOCIATED COMPONENTS. TOTAL APPROVED BUDGET FOR THE CONTRACT (ABC): ₱788,400.00</t>
  </si>
  <si>
    <t xml:space="preserve"> PR. No. 256-06-2020 	Republic of the Philippines Region XII Province of Cotabato Municipality of Aleosan  OFFICE OF BIDS AND AWARDS COMMITTEE REQUEST FOR QUOTATION __________________________ Name of Company __________________________ Address 	The Local Go</t>
  </si>
  <si>
    <t xml:space="preserve"> Republic of the Philippines GENERAL SANTOS CITY WATER DISTRICT E. Fernandez Street, Barangay Lagao General Santos Telephone No.: 552-3824; Telefax No.: 553-4960 Email Address: gscwdprocurement@yahoo.com REQUEST FOR QUOTATION RFQ #: 3-0620-024 DATE: 6/11/2</t>
  </si>
  <si>
    <t xml:space="preserve"> PR No.: 0620-017 Office: MALAYBALAY CITY WATER DISTRICT MCWD Procurement of Services ABC: 75,000.00 Date: 6/12/2020 Standard Form Number: SF-GOOD-60 Revised on May 24, 2004 Standard Form Title: Request for Quotation Company Name:_______________________ Ad</t>
  </si>
  <si>
    <t xml:space="preserve"> Item Description	Quantity/ Unit	Unit Cost	Total Cost CLASS 150 MM 0 UPVC PIPE X 6 MTS	12 PCS		 100MM 0 C.I ELBOW 45 DEG. /MM	4 PCS		 150MM 0 C.I GATE VALVE /MM	1 PC		 150MM 0 C.I STC	    2PCS</t>
  </si>
  <si>
    <t xml:space="preserve"> No.	QTY.	UNIT	ITEM DESCRIPTION 1	1	6 man-month	Assisting Professional (AP) for Enterprise Development (EnDev) under the Forestland Management Project (FMP) of Nueva Vizcaya for CY 2020.</t>
  </si>
  <si>
    <t xml:space="preserve"> Media Platform: TV Length of Program: 30 Minutes Frequency: Weekly Type of Program: Live  Others: Local TV - 5 Ad Spots, Daily Cable TV - 5 Ad Spots, Daily FM Radio - 5 Ad Spots, Daily Facebook Live - 5 Ad Spots, Daily TV Program simulcast: Local TV, Cabl</t>
  </si>
  <si>
    <t xml:space="preserve"> Please download and then print the attached Invitation to Bid (ITB) for more details and for your reference. To view this attachment, just click “ORDER” opposite the ASSOCIATED COMPONENTS. TOTAL APPROVED BUDGET FOR THE CONTRACT (ABC): ₱165,000.00</t>
  </si>
  <si>
    <t xml:space="preserve"> Supply and Delivery of Acrylic Counter Shield ABC- 65,000.00 1.	Please quote your lowest price based on the attached specifications per Terms of Reference 2.	Submitted quotations must be duly signed by the vendor’s authorized representative and must be se</t>
  </si>
  <si>
    <t xml:space="preserve"> 100 bags of Adult 2 Floater Pellets for Tilapia Breeders &amp; Fingerlings @ LPFFH, Brgy. Libongao, Kananga, Leyte. w-w-w-w-w-w-w-w-w-w-w-w-w-w-w-w-w-w-w-w-w-w-w-w-w-w-w</t>
  </si>
  <si>
    <t xml:space="preserve"> The Procuring Entity: LGU-INOPACAN, LEYTE Project Reference Number: MTO-100-300-03-05 Name of Project: PURCHASE OF BUSINESS PLATES/ STICKERS Location of Project: POBLACION, INOPACAN, LEYTE Standard Form Number: SF-GOOD-60 Standard Form Title: REQUEST FOR </t>
  </si>
  <si>
    <t xml:space="preserve"> LCWD-2020-050 dtd. 06-10-20 Various Fittings     LCWD Warehouse INVITATION TO BID FOR VARIOUS FITTINGS PR No. &amp; Date : 2020-056, 2020-058 and 2020-059 dated June 1, 2020 Reference No. &amp; Date : __________ 		 1.	The LEGAZPI CITY WATER DISTRICT, through the </t>
  </si>
  <si>
    <t xml:space="preserve"> DOCUMENTARY REQUIREMENTS FOR SMALL VALUE PROCUREMENT All interested suppliers /service providers shall submit the following documents in a folder marked “(Project Name and SVP Number)”: a.	Duly accomplished and signed Price Quotation, inclusive of all tax</t>
  </si>
  <si>
    <t xml:space="preserve"> Please refer to the attached Request for Quotation.</t>
  </si>
  <si>
    <t xml:space="preserve"> Purchase of Furniture’s and Fixtures for Various Offices Items to Bid are indicated on the Bid Docs</t>
  </si>
  <si>
    <t xml:space="preserve"> The BAC of Urdaneta City announces that the above infrastructure project shall be procured through Alternative Method of Procurement as per Section 53.9 for Small Value Procurement under Negotiated Procurement of the Revised IRR of RA No. 9184.  Brief Des</t>
  </si>
  <si>
    <t xml:space="preserve"> PR. No.  	Republic of the Philippines Region XII Province of Cotabato Municipality of Aleosan  OFFICE OF BIDS AND AWARDS COMMITTEE REQUEST FOR QUOTATION __________________________ Name of Company __________________________ Address 	The Local Government Un</t>
  </si>
  <si>
    <t xml:space="preserve"> TERMS and CONDITIONS:	 	 1	All entries must be typewritten or legibly written 2	Delivery period within 15 days upon receipt of the approved funded 	Purchase Order (P.O.) 3	Warranty shall be for a minimum of three (3) months for supplies &amp; materials       </t>
  </si>
  <si>
    <t xml:space="preserve"> 1	Lot	Various Office Supplies  for 2nd Qtr - 4th Qtr CY 2020</t>
  </si>
  <si>
    <t xml:space="preserve"> Supply, delivery and installation of Airconditioning Units</t>
  </si>
  <si>
    <t xml:space="preserve"> Office Supplies and Devices</t>
  </si>
  <si>
    <t xml:space="preserve"> Section I. Invitation to Bid Republic of the Philippines Province of Surigao del Sur Municipality of San Miguel BARANGAY TINA INVITATION TO BID FOR THE SUPPLY OF FUEL &amp; OIL LUBRICANTS. 1.	The Barangay Local Government Unit of Tina (BLGU-Tina)through the 2</t>
  </si>
  <si>
    <t xml:space="preserve"> Please download and then print the attached Invitation to Bid (ITB) for more details and for your reference. To view this attachment, just click “ORDER” opposite the ASSOCIATED COMPONENTS. TOTAL APPROVED BUDGET FOR THE CONTRACT (ABC): ₱7,787,827.00</t>
  </si>
  <si>
    <t xml:space="preserve"> Republic of the Philippines GENERAL SANTOS CITY WATER DISTRICT E. Fernandez Street, Barangay Lagao General Santos Telephone No.: 552-3824; Telefax No.: 553-4960 Email Address: gscwdprocurement@yahoo.com REQUEST FOR QUOTATION RFQ #: 3-0620-025 DATE: 6/11/2</t>
  </si>
  <si>
    <t xml:space="preserve"> Republic of the Philippines Province of Compostela Valley Municipality of Monkayo -o0o- INVITATION TO BID FOR THE PROCUREMENT OF MATERIALS FOR REPAIR AND MAINTENANCE OF STREETLIGHTS  The Municipality of Monkayo, through the GENERL FUND intends to apply th</t>
  </si>
  <si>
    <t xml:space="preserve"> Purchase of IT Equipment for Various Offices Items to Bid are included on the Bid Docs</t>
  </si>
  <si>
    <t xml:space="preserve"> Please download and then print the attached Invitation to Bid (ITB) for more details and for your reference. To view this attachment, just click “ORDER” opposite the ASSOCIATED COMPONENTS. TOTAL APPROVED BUDGET FOR THE CONTRACT (ABC): ₱8,840,000.00</t>
  </si>
  <si>
    <t xml:space="preserve"> The Central Bicol State University of Agriculture (CBSUA) announces that the aforesaid project will be procured through the Alternative Mode of Negotiated Procurement specified in Section 53.9 (Small Value Procurement) of the 2016 Revised Implementing Rul</t>
  </si>
  <si>
    <t xml:space="preserve"> 90 packs adult diaper/ 1,400 sachet adult milk, 90 cans biscuit/ 90 pcs. bath soap</t>
  </si>
  <si>
    <t xml:space="preserve"> For Backhoe/ Loader, JCB 3CX, &amp; #1* 1   set   Packing seal, backhoe sise, boom up 2   set   Packing seal, backhoe sise, boom down 3   set   Hydraulic pressure hose with fittings 4   pc    Fuel Injector*  2   pc    Cross bearing, upper and lower* For Toyot</t>
  </si>
  <si>
    <t xml:space="preserve"> Republic of the Philippines   Municipality of Sual BIDS AND AWARDS COMMITTEE Sual, Pangasinan   Invitation to Bid for Construction of Two (2) Units Potable Water Supply System Level 3 Baybay Norte &amp; Baybay Sur, Sual, Pangasinan 1.	The Municipal Government</t>
  </si>
  <si>
    <t xml:space="preserve"> One unit printer</t>
  </si>
  <si>
    <t xml:space="preserve"> Unit	Item Description		Qty 	Estimated 				                        Unit Cost Transfer of serviceable units from Lynzee's Bldg., J.P. Rosales Ave. to AB Calo Bldg., J.C. Aquino Ave., Butuan City			 Scope of Work:			 &gt; Labor and materials for re-installation</t>
  </si>
  <si>
    <t xml:space="preserve"> 1. The [Local Government Unit of Inopacan, Leyte], through the [Installation of Budgeting and Accounting System, IT Equipment and Software under Capital Outlay of the Municipal Budget Office and Municipal Accounting Office in the 2020 General Fund Supplem</t>
  </si>
  <si>
    <t xml:space="preserve"> 3,257.14 ltrs. Diesel fuel</t>
  </si>
  <si>
    <t xml:space="preserve"> INVITATION FOR SUBMISSION OF QUOTATION (SMALL VALUE PROCUREMENT) 	The local Government Unit of Can-avid, through is Bid and Awards Committee (BAC). Invites suppliers to apply for eligibility, to bid for the hereunder contract: Name of Contract:    Purchas</t>
  </si>
  <si>
    <t xml:space="preserve"> Procurement for HP Toner Cartridges *Original and brand new cartridges only *HP CF226A (HP26A), black *HP 740A-black, 741A-cyan, 742A-yellow, 743A-magenta *quantities specified in the attached RFQ *incomplete bids will not be accepted  *Bids should be sub</t>
  </si>
  <si>
    <t xml:space="preserve"> The Municipal Government of Pilar, through the 20% Development Fund intends to apply the sum of Two Million Two Hundred Forty Nine Thousand Nine Hundred Twenty Four &amp; 25/100 Pesos (P/2,249, 924.25) being the Approved Budget for the Contract (ABC) to payme</t>
  </si>
  <si>
    <t xml:space="preserve"> The National Telecommunications Commission (NTC) hereby invites prospective supplier to submit their Price Quotation for the Project: Procurement of Inkjet Printers, CISS, All in One, Print / Scan / Copy / WIFI Kindly check the attached RFQ for Specificat</t>
  </si>
  <si>
    <t xml:space="preserve"> Various Office Supplies</t>
  </si>
  <si>
    <t xml:space="preserve"> Republic of the Philippines City of Cadiz Bids and Awards Committee BID FORM 							 Atty. Reggie C. Placido Chairman  Bids and Awards Committee Sir: 	 	After having carefully read and accepted the conditions in the Invitation to Bid, I/We quote you on th</t>
  </si>
  <si>
    <t xml:space="preserve"> 10 pails Oil 10/ 5 pails oil 40</t>
  </si>
  <si>
    <t xml:space="preserve"> DESCRIPTION LOCAL GOVERNMENT UNIT - MUNICIPALITY OF BACOLOR INVITATION TO APPLY FOR ELIGIBILITY AND TO BID The Local Government Unit - Municipality of Bacolor, Bacolor, Pampanga, through the Bids and Award Committee (BAC), invites contractors to apply for</t>
  </si>
  <si>
    <t xml:space="preserve"> INVITATION TO BID The Surigao del Sur 1st District Engineering Office, Tandag City, through its Bids and Awards Committee (BAC), invites contractors to submit bids for the following Contract: CONTRACT ID	:	20NH0089(RE-AD) CONTRACT NAME	:	Construction/ Reh</t>
  </si>
  <si>
    <t xml:space="preserve"> please see attached document...</t>
  </si>
  <si>
    <t xml:space="preserve"> Please download and then print the attached Invitation to Bid (ITB) for more details and for your reference. To view this attachment, just click “ORDER” opposite the ASSOCIATED COMPONENTS. TOTAL APPROVED BUDGET FOR THE CONTRACT (ABC): ₱392,400.00</t>
  </si>
  <si>
    <t xml:space="preserve"> The Municipality of Limay, through its Bids and Awards Committee (BAC) invites registered contractors to apply for eligibility and if found eligible, to bid for the hereunder project/contract: Project/Contract:   CONSTRUCTION OF THREE (3) STOREY, NINE (9)</t>
  </si>
  <si>
    <t xml:space="preserve"> 1	unit	Design services for Digital Marketing on Facebook	 72,000.00  		Qualifications/ Eligibility:	 		1. With Bachelor's degree in Industrial design, advertising arts , visual communications or any course similar to the foregoing fields	 		"2. With at le</t>
  </si>
  <si>
    <t xml:space="preserve"> Construction of  Rainwater collector per Municipality</t>
  </si>
  <si>
    <t xml:space="preserve"> The Technical Education and Skills Development Authority (TESDA), through the TESDA-PTC Sindangan, Zamboanga del Norte will undertake a Small Value Procurement for the “Procurement of Computer set to be used in the preparation for Skills Competition”, in </t>
  </si>
  <si>
    <t xml:space="preserve"> Supply, delivery and installation of 1 set Submersible Pump.</t>
  </si>
  <si>
    <t xml:space="preserve"> CONSTRUCTION/CONCRETING OF PROVINCIAL ROADS, HIGHWAYS AND BRIDGES (PATAG-SAN MATEO ROAD) Municipality of Burgos, Surigao del Norte Brief Description: 	 The project will involve the Construction/ Concreting of Provincial Roads, Highways and Bridges (Patag-</t>
  </si>
  <si>
    <t xml:space="preserve"> 1.    11776    LITERS    DIESEL  APPROVED BUDGET FOR THE CONTRACT: PHP 482, 816.00 LOCATION OF THE CONTRACT: BATARAZA, PALAWAN DURATION OF THE CONTRACT: 7 DAYS SCHEDULE OF ACTIVITIES: POSTING AND ISSUANCE OF BIDS: JUNE 11-23, 2020 PRE-BID CONFERENCE : DEA</t>
  </si>
  <si>
    <t xml:space="preserve"> June 11, 2020 	 1.	The Provincial Government of Davao del Sur, through its Special Bids and Awards Committee (SBAC), invites all potential bidders/contractors to participate to bid for the following project: Bids received in excess of the ABC shall be aut</t>
  </si>
  <si>
    <t xml:space="preserve"> Supply and Delivery of: 25 units External Hard Drive 1TB (USB 3.1 Gen 1 and USB 3.0, USB 2.0 backwards-compatible), shockproof material 2 units External Hard Drive 8TB (USB 3.0, USB 2.0 backwards-compatible), supports Window 7 or higher, or Mac OS X 10.10</t>
  </si>
  <si>
    <t xml:space="preserve"> VARIOUS ICT EQUIPMENTS FOR DARRO 02</t>
  </si>
  <si>
    <t xml:space="preserve"> For Concreting of Interior Road at Brgy. Pangaoan.</t>
  </si>
  <si>
    <t xml:space="preserve"> I - Hauling of materials from Tagbakin to Calumayin by boat rental             one          lot II - Construction Safety and Health Program                    one                 lot III - Project Billboard               one                     lot IV - P</t>
  </si>
  <si>
    <t xml:space="preserve"> Repair &amp; Maintenance Barangay Service Patrol</t>
  </si>
  <si>
    <t xml:space="preserve"> 2 pcs. 21 plates / 2 pcs. 17 plates / 1 pc. 15 plates</t>
  </si>
  <si>
    <t xml:space="preserve"> Invitation to Bid and Bidding Documents</t>
  </si>
  <si>
    <t xml:space="preserve"> For construction of Storage Room at Brgy. Zone II.</t>
  </si>
  <si>
    <t xml:space="preserve"> Please download and then print the attached Invitation to Bid (ITB) for more details and for your reference. To view this attachment, just click “ORDER” opposite the ASSOCIATED COMPONENTS. TOTAL APPROVED BUDGET FOR THE CONTRACT (ABC): ₱999,971.00</t>
  </si>
  <si>
    <t xml:space="preserve"> June 11, 2020 1.	The Provincial Government of Davao del Sur, through its Special Bids and Awards Committee (SBAC), invites all potential bidders/contractors to apply to bid for the following project. Bids submitted in excess of the ABC shall be automatica</t>
  </si>
  <si>
    <t xml:space="preserve"> 10     Units     VARIABLE FREQUENCY DRIVES 30HP 230V 3PH SPECS: Variable Frequency Drives								 Applicable Motor Output: 22kw/30Hp, 230v, 3ph								 Rated Output Capacity ( heavy duty application) : 34kva 								 Rated Output Current ( heavy duty appl</t>
  </si>
  <si>
    <t xml:space="preserve"> Office Supplies Expenses</t>
  </si>
  <si>
    <t xml:space="preserve"> The Municipal Government of Luna, Isabela through its Bids and Awards Committee (BAC) invites all prospective bidders to apply and bid for the hereunder project: Name of Project: PROCUREMENT OF ONE (1) UNIT BRAND NEW DUPLICATING MACHINE WITH PROVISION OF </t>
  </si>
  <si>
    <t xml:space="preserve"> Request for Proposal  The Bureau of Fisheries and Aquatic Resources Regional Office No. 5 (BFAR RO 5), Fabrica, Bula, Camarines Sur is requesting from prospective suppliers to submit written proposal for the Labor and Materials for the Fabrication and Ins</t>
  </si>
  <si>
    <t xml:space="preserve"> Republic of the Philippines BIDS AND AWARDS COMMITTEE Cadiz City      BID DOCUMENTS for the CONSTRUCTION OF CITY FIRE HYDRANTS &amp; ACCESSORIES @ CITY PROPER, CADIZ CITY (1) BIDS AND AWARDS COMMITTEE  Cadiz City   INVITATION TO BID/REQUEST FOR EXPRESSION OF </t>
  </si>
  <si>
    <t xml:space="preserve"> 1 unit Travel Pump Assy.</t>
  </si>
  <si>
    <t xml:space="preserve"> I.	INTRODUCTION Marcopper Mining Corporation (MMC) is a Philippine mining company incorporated in 1964 wherein Canada-based Placer Dome, Inc. has a 39.9% shareholding.  Placer Dome acquired that interest after an association with the exploration of the mi</t>
  </si>
  <si>
    <t xml:space="preserve"> Construction of Rainwater Collector</t>
  </si>
  <si>
    <t xml:space="preserve"> 1.  10,714.28    LITERS   DIESEL APPROVED BUDGET FOR THE CONTRACT: PHP 599,999.68 LOCATION OF THE CONTRACT: BATARAZA, PALAWAN DURATION OF THE CONTRACT: 7 DAYS SCHEDULE OF ACTIVITIES: POSTING AND ISSUANCE OF BIDS: JUNE 11-23, 2020 PRE-BID CONFERENCE : DEAD</t>
  </si>
  <si>
    <t xml:space="preserve"> 92  Tanks  Liquefied Petroleum Gas, (LPG)                  50 kgs. contents only w-w-w-w-w-w-w-w-w-w-w-w-w-w-w-w-w</t>
  </si>
  <si>
    <t xml:space="preserve"> CONCRETING OF BAYATAKAN ROAD PHASE II Municipality of Dapa, Surigao del Norte Brief Description:    The project has the following scope of works: Construction survey and staking, Project Billboard, Occupational Safety and Health Program, Mobilization/Demo</t>
  </si>
  <si>
    <t xml:space="preserve"> PURCHASE OF 165 PCS FLU VACCINE WITH ADMINISTRATION</t>
  </si>
  <si>
    <t xml:space="preserve"> Shipping Cartons	 Size: 235mm x 104mm x 160mm  	Can withstand 10 carton high</t>
  </si>
  <si>
    <t xml:space="preserve"> INVITATION FOR SUBMISSION OF QUOTATION (SMALL VALUE PROCUREMENT) 	The local Government Unit of Can-avid, through is Bid and Awards Committee (BAC). Invites suppliers to apply for eligibility, to bid for the hereunder contract: Name of Contract:    Caterin</t>
  </si>
  <si>
    <t xml:space="preserve"> 1 unit 3HP Submersible Pump/ assorted sizes of pipes /assorted sizes of coupling</t>
  </si>
  <si>
    <t xml:space="preserve"> REQUEST FOR QUOTATION PROJECT TITLE:	TISSUE PAPER, PAPER TOWEL AND FACIAL TISSUE INSTRUCTIONS:	 ___	ADDITIONAL INSTRUCTIONS ATTACHED 			         ___	NO ADDITIONAL INSTRUCTIONS 1.	Fax / Email / Submit your quote or regret (with reasons thereof) using the P</t>
  </si>
  <si>
    <t xml:space="preserve"> 200     Pcs.     Electical Tape 500     Pcs.     Rubber Tape 3/4</t>
  </si>
  <si>
    <t xml:space="preserve"> 400     Pcs.     GI PIPE 1/2"Ø X 6 MTRS HEAVY GAUGE PIPE  SPECS: PNS - 26 STANDARD Outside Diameter               :          21.3 mm Mass                                  :          7.662 kg Wall Thickness                  :          2.80 mm Length       </t>
  </si>
  <si>
    <t xml:space="preserve"> Media Platform: AM Length of Ads Spots: 30 - 35 seconder Frequency: Six (6) Spots per Day, Daily Coverage: Zamboanga City, Zamboanga del Sur, Sibugay Province, Zamboanga del Norte, Basilan, Sulu, Tawi-Tawi,                 Sultan Kudarat, and Saranggani P</t>
  </si>
  <si>
    <t xml:space="preserve"> Republic of the Philippines BIDS AND AWARDS COMMITTEE Cadiz City      BID DOCUMENTS for the CONSTRUCTION OF ONE (1) STOREY, 1-CLASSROOM SCHOOL BUILDING @ SAN ANDRES ELEMENTARY SCHOOL, BRGY. BANQUEROHAN, CADIZ CITY (1) BIDS AND AWARDS COMMITTEE  Cadiz City</t>
  </si>
  <si>
    <t xml:space="preserve"> COPIER MACHINE SPECIFICATIONS: WITH DUPLEX DOCUMENT FEEDER, FAX FUNCTIONALITY, DUPLEX UNIT WITH ADDITIONAL PAPER TRAYS AND STAND, PAPER SIZE PRINTING - A4-A3 SIZE</t>
  </si>
  <si>
    <t xml:space="preserve"> GALVANIZED STEEL CABLE WIRE</t>
  </si>
  <si>
    <t xml:space="preserve"> Procurement for various Audio Visual Equipment *Subdivided into four (4) lots  -Lot 1 External Capture Card - ABC: 50,000.00  -Lot 2 Television Screen - ABC: 74,000.00  -Lot 3 Media Streaming Module - ABC: 13,000.00  -Lot 4 Desktop Computer (Mini PC Form </t>
  </si>
  <si>
    <t xml:space="preserve"> 6  units  Airconditioner 1HP, window type, non-inverter  4  unit   Airconditioner 2HP, window type, non-inverter  w-w-w-w-w-w-w-w-w-w-w-w-w-w-w-w-w-w-w-w-w-w</t>
  </si>
  <si>
    <t xml:space="preserve"> REPUBLIC OF THE PHILIPPINES																																		 	PROVINCE OF ZAMBOANGA DEL NORTE																																		 	MUNICIPALITY OF PRES. MANUEL A. ROXAS																																		 	BIDS AND AWARDS COMMITTEE																											</t>
  </si>
  <si>
    <t xml:space="preserve"> Republic of the Philippines GENERAL SANTOS CITY WATER DISTRICT E. Fernandez Street, Barangay Lagao General Santos Telephone No.: 552-3824; Telefax No.: 553-4960 Email Address: gscwdprocurement@yahoo.com REQUEST FOR QUOTATION RFQ #: 3-0620-026 DATE: 6/11/2</t>
  </si>
  <si>
    <t xml:space="preserve"> CONSTRUCTION OF MULTI PURPOSE BUILDING (WAREHOUSE) AT SIARGAO DISTRICT HOSPITAL Municipality of Dapa, Surigao del Norte Brief Description:    The project has the following scope of works: General Requirements, Earthworks, Concrete Works, Reinforcing Steel</t>
  </si>
  <si>
    <t xml:space="preserve"> Media Platform: FM Length of Ad Spots: 30 seconder Frequency: Ten (10) Spots per Day, Daily Coverage: Zamboanga City  Please use the attached RFQ form when submitting your quotation.</t>
  </si>
  <si>
    <t xml:space="preserve"> To supply and deliver at Project site Diayo Maria Auro, Aurora 4 units Hapa net (3m width x 5m length x 1.5m depth) 10 rolls B-net (double width, black) size 32 10 rolls PE knotted net (size 17) 400 x 12 x 200 x MD 20 rolls PE rope 7mm diameter 3 rolls PE</t>
  </si>
  <si>
    <t xml:space="preserve"> 1.     4,000   LITERS   DIESEL APPROVED BUDGET FOR THE CONTRACT: PHP 220,000.00 LOCATION OF THE CONTRACT: BATARAZA, PALAWAN DURATION OF THE CONTRACT: 7 DAYS SCHEDULE OF ACTIVITIES: POSTING AND ISSUANCE OF BIDS: JUNE 11-23, 2020 PRE-BID CONFERENCE : DEADLI</t>
  </si>
  <si>
    <t xml:space="preserve"> INVITATION TO BID    SUPPLY AND DELIVERY OF THIRTY FOUR (34) UNITS BRAND NEW TRACTOR WITH IMPLEMENTS 1.	The Sugar Regulatory Administration through the 2018 and 2019 General Appropriations Act (GAA) Continuing Budget intends to apply the sum of One Hundre</t>
  </si>
  <si>
    <t xml:space="preserve"> 1	50	Boxes.	Sodium Ascorbate 500mg tab 2	50	Boxes.	Vitamin B Complex tab 3	50	Boxes.	Paracetamol 500mg tab 4	50	Boxes.	Multivitamins + Iron Capsule 5	20	Boxes.	Symdex tablet 6	30	Boxes.	Metformin 500mg tab 7	50	Boxes.	Losartan 50mg tab 8	40	Boxes.	Amoxici</t>
  </si>
  <si>
    <t xml:space="preserve"> REPUBLIC OF THE PHILIPPINES																															 	PROVINCE OF ZAMBOANGA DEL NORTE																															 	MUNICIPALITY OF PRES. MANUEL A. ROXAS																															 	BIDS AND AWARDS COMMITTEE																															 				</t>
  </si>
  <si>
    <t xml:space="preserve"> Republic of the Philippines Province of Ilocos Sur Municipality of San Juan Barangay Sunggiam OFFICE OF THE BIDS AND AWARDS COMMITTEE INVITATION TO APPLY FOR ELIGIBILITY AND TO BID The Barangay Sunggiam,Sa Juan,Ilocos Sur through the Bids And Awards Commi</t>
  </si>
  <si>
    <t xml:space="preserve"> Bandwidth : FM Length of Program : 30 minutes Frequency : Weekly Type of Program : Live Coverage : Zamboanga del Sur Please use the attached RFQ form when submitting your quotation.</t>
  </si>
  <si>
    <t xml:space="preserve"> June 11, 2020 REQUEST FOR QUOTATION Supply/Delivery of Office Equipment for RIM Quarter &amp;  RO V Conference Room  of  NIA RO V, Naga City  PR No.: 20-05-068 Quotation/Bid No. F501-RO-049-20 The MANAGER BODEGA GLASSWARE Elias Angeles, Naga City  Sir; Please</t>
  </si>
  <si>
    <t xml:space="preserve"> Section I. Invitation to Bid Republic of the Philippines PROVINCE OF CAGAYAN Municipality of Peñablanca PROVINCIAL BIDS AND AWARDS COMMITTEE INVITATION TO BID FOR  Supply, Delivery and Installation of 4 Units High Volume Low Speed Fan 1.	The Provincial Go</t>
  </si>
  <si>
    <t xml:space="preserve"> REPUBLIC OF THE PHILIPPINES																																			 	PROVINCE OF ZAMBOANGA DEL NORTE																																			 	MUNICIPALITY OF PRES. MANUEL A. ROXAS																																			 	BIDS AND AWARDS COMMITTEE																								</t>
  </si>
  <si>
    <t xml:space="preserve"> Production/Printing OF 2019 NAPOLCOM Annual Report *Quantity: 450 copies *Size: 8.5"x 11" *No. of pages: 56 pages (Excluding the flyleaf + cover) *Stock: Cover-C2S 220; Inside: C2S 100           : Envelop - C2S 180 with design           : Others - encoded</t>
  </si>
  <si>
    <t xml:space="preserve"> assorted construction materials, pipes &amp; fittings</t>
  </si>
  <si>
    <t xml:space="preserve"> Bandwidth : FM Length of Program : 30 minutes Frequency : Weekly Type of Program : Live Please use the attached RFQ form when submitting your quotation.</t>
  </si>
  <si>
    <t xml:space="preserve"> 386	pcs	Granite Tiles 60x60 50	pcs	Cement Type 1 12	pcs	Colorproof 1 M x 14 feet 20	bags	Adhesive 8	pcs	Hardiflex 3/16 10	pcs	Angle Bar 1x1x20 10	cum	Find Sand 300	pcs	CHB #4 1	pcs	Hacksaw Blade</t>
  </si>
  <si>
    <t xml:space="preserve"> Purchase of 1 set 3hp Submersible Pump and Accessories  for Barangay Sambulawan Please bid documents for details and specifications.</t>
  </si>
  <si>
    <t xml:space="preserve"> Section I. Invitation to Bid Republic of the Philippines PROVINCE OF CAGAYAN Municipality of Peñablanca PROVINCIAL BIDS AND AWARDS COMMITTEE INVITATION TO BID FOR   Supply and Delivery of Two (2) Units Brand New Mini Bus, 4x2 M/T Diesel 1.	The Provincial </t>
  </si>
  <si>
    <t xml:space="preserve"> Section I. Invitation to Bid Republic of the Philippines PROVINCE OF CAGAYAN Municipality of Peñablanca PROVINCIAL BIDS AND AWARDS COMMITTEE INVITATION TO BID FOR  Procurement of 313, 150 Liters Diesel Fuel 1.	The Provincial Government of Cagayan, through</t>
  </si>
  <si>
    <t xml:space="preserve"> Republic of the Philippines PROVINCE OF ZAMBOANGA SIBUGAY Municipality of Roseller T. Lim    INVITATION TO BID 						June 08, 2020 	 To All Interested Bidders: Notice is hereby served that sealed bid be received for public bidding under the harmonious pro</t>
  </si>
  <si>
    <t xml:space="preserve"> 1   unit   Refrigerator w/ Inverter, (two doors), H.D. - 8.4 cu. ft. - digital inverter compressor - adaptive defrost control - easy slide-out shelf - Moist Fresh Zone - 12 hours cool pack - prebble blue 2   units  Stand Fan, H.D. - 16" inch stand Fan - P</t>
  </si>
  <si>
    <t xml:space="preserve"> portland cement/ washed sand/ washed gravel, Tie wire/ hacksaw blade/ red lead paint/ curing compound</t>
  </si>
  <si>
    <t xml:space="preserve"> PURCHASE OF EQUIPMENT FOR EVACUATION CENTER</t>
  </si>
  <si>
    <t xml:space="preserve"> For Government Vehicle use</t>
  </si>
  <si>
    <t xml:space="preserve"> 1.	The Municipality of Impasugong, through the 20% DF – Rehabilitation of Multi-Purpose Halls – Capitan Bayong – Barangay Proper Phase 2 intends to apply the sum of Two Million Five Hundred Thousand Pesos (PhP 2,500,000.00) being the Approved Budget for t</t>
  </si>
  <si>
    <t xml:space="preserve"> please see attached file...</t>
  </si>
  <si>
    <t xml:space="preserve"> INVITATION FOR PRICE QUOTATION Date:  11 June 2020 For The REPAIR AND MAINTENANCE OF CCTV SYSTEM AT  LEGAZPI AIRPORT – 2ND SVP The Civil Aviation Authority of the Philippines (CAAP) intends to apply the estimated amount   of   Two Hundred Ninety Nine Thou</t>
  </si>
  <si>
    <t xml:space="preserve"> SUPPLIES/EQUIPMENT FOR PREPAREDNESS, MITIGATION &amp; REPSONSE PURPOSES</t>
  </si>
  <si>
    <t xml:space="preserve"> INVITATION FOR SUBMISSION OF QUOTATION (SMALL VALUE PROCUREMENT) 	The local Government Unit of Can-avid, through is Bid and Awards Committee (BAC). Invites suppliers to apply for eligibility, to bid for the hereunder contract: Name of Contract:    Procure</t>
  </si>
  <si>
    <t xml:space="preserve"> RFQ-GS-20200605-01 Interested Suppliers are invited to submit  Price Quotation for the above listed item. The official LANDBANK Request for Quotation Form may be obtained from MS. NADZ ILETO (email address: iletonadia25@gmail.com).  The deadline for the s</t>
  </si>
  <si>
    <t xml:space="preserve"> 40    Pcs.     SEKO Injection Valve  Specs: for SEKO Metering/dosing pumps</t>
  </si>
  <si>
    <t xml:space="preserve"> DESKTOP COMPUTER i5 INTEL PROCESSOR</t>
  </si>
  <si>
    <t xml:space="preserve"> Please see attached document for the details.</t>
  </si>
  <si>
    <t xml:space="preserve"> Purchase of construction materials and supplies for Barangay Tubajon</t>
  </si>
  <si>
    <t xml:space="preserve"> INVITATION TO REBID THE SUPPLY AND DELIVERY OF MATERIALS FOR REPLACEMENT AND EXPANSION OF PIPELINES 1.	The Balingasag Water District, through the Balingasag Water District Fund of 2020 intends to apply the following being the Approved Budget for the Contr</t>
  </si>
  <si>
    <t xml:space="preserve"> Section I. Invitation to Bid Republic of the Philippines PROVINCE OF CAGAYAN Municipality of Peñablanca PROVINCIAL BIDS AND AWARDS COMMITTEE INVITATION TO BID FOR  Supply and Delivery of One (1) Unit Brand New Big Bus, 6 Wheeler, Completely Build Unit (CB</t>
  </si>
  <si>
    <t xml:space="preserve"> INVITATION TO QUOTE Date:  June 11, 2020 1.	The Provincial Government of Davao del Sur, through its Bids and Awards Committee (BAC), invites all interested bidders/suppliers to quote for the following goods under Alternative Methods of Procurement ([Shopp</t>
  </si>
  <si>
    <t xml:space="preserve"> Qty.	UNIT	ITEM AND DESCRIPTION					APPROVED BUDGET COST	 							UNIT PRICE	TOTAL 15	btl.	 Alcohol 70%					68.48	 1,027.20  2	piece	 Flash Drive 64GB USB Version					825.00	 1,650.00  1	box	Carbon Paper for Manual Typewriter,in box black					 715.00 	 715.</t>
  </si>
  <si>
    <t xml:space="preserve"> Renewal of Adobe Creative Cloud Subscription *All apps subscription *Duration: 17 months (August 1, 2020 to December 31, 2021) *Warranty: 17 months *Bids should be submitted using a two-factor security procedure consisting of an archive format compression</t>
  </si>
  <si>
    <t xml:space="preserve"> Rehabilitation of Multi Purpose Building Cost of Bidding Documents: Php 5,000.00					 Source of Funds: GAA FY 2020  The significant times and deadlines of procurement activities are shown below: 1. Issuance of Bidding Documents	Deadline: June 15 – 29, 202</t>
  </si>
  <si>
    <t xml:space="preserve"> Please refer to the attached Bid Documents for more details.</t>
  </si>
  <si>
    <t xml:space="preserve"> 1  set  Visitors Table, 4 seaters with chair 1  set   Office Table with typing desk 1  unit  High back Office Chair - Leather 1  unit  Executive Table - 140cm x 70cm with 3 drawers 1  unit  Executive Chair-Leather Swivel w-w-w-w-w-w-w-w-w-w-w-w-w-w-w-w-w-</t>
  </si>
  <si>
    <t xml:space="preserve"> Package I	 Abra        1. Bucay BHS	              1,980,000.00        2. San Miguel BHS	      500,000.00        3. Talogtog BHS	              500,000.00  Package II	 Abra       1. Luba RHU	                       1,000,000.00       2. Manabo RHU	          </t>
  </si>
  <si>
    <t xml:space="preserve"> Supply and Delivery of Office Equipment &amp; I.T. Equipment.</t>
  </si>
  <si>
    <t xml:space="preserve"> Office Equipment Parts and Accessories</t>
  </si>
  <si>
    <t xml:space="preserve"> PLEASE SEE ATTACHED FILE OF INVITATION TO BID</t>
  </si>
  <si>
    <t xml:space="preserve"> 20 units Alcohol Sprayer Wall Mounted 1000ml capacity, Automatic Sensor</t>
  </si>
  <si>
    <t xml:space="preserve"> RFQ-GS-20200605-02 Interested Suppliers are invited to submit  Price Quotation for the above listed item. The official LANDBANK Request for Quotation Form may be obtained from MS. NADZ ILETO (email address: iletonadia25@gmail.com).  The deadline for the s</t>
  </si>
  <si>
    <t xml:space="preserve"> CONCRETING OF ROAD AND CONSTRUCTION OF DRAINAGE CANAL Z-2</t>
  </si>
  <si>
    <t xml:space="preserve"> 1	1	Lot	Supply and Delivery of  I.T. Equipment  			Item Description: 	1	Unit	Printer (with A3) On demand ink jet 360 nozzles Black, 59 nozzles each colour Bi directional printing, Uni directional printing 5760 x 1440 dpi Maximum Resolution Approx. 30 ppm </t>
  </si>
  <si>
    <t xml:space="preserve"> Plastic School Tablet Armchair  Please see attached Request for Quotation (RFQ)</t>
  </si>
  <si>
    <t xml:space="preserve"> Please quote your lowest price on the item/s listed below, subject to the General Conditions on 						 the last page, stating the shortest time of delivery and submit your quotation duly signed by your 						 representative not later than   ______________</t>
  </si>
  <si>
    <t xml:space="preserve"> Qty.	UNIT	ITEM AND DESCRIPTION					 APPROVED BUDGET COST	 UNIT PRICE	TOTAL 15	botls	Alcohol (70% Rubbing Alcohol)					68.48	 1,027.20  2	boxes	Carbon Film (Polyvethylene long/Legal size)					369.18	 738.36  50	pieces	Chair (Monoblock w/o armrest Color Whi</t>
  </si>
  <si>
    <t xml:space="preserve"> portland cement/ coarse aggreagates/ fine aggreagates/ 16mm dia dsb/ 12mm dia, dsb/ Cw nails/ hacksaw blade</t>
  </si>
  <si>
    <t xml:space="preserve"> Republic of the Philippines								 Province of Ilocos Norte								 Municipality of Paoay								 								 REQUEST FOR QUOTATION								 								 					Date:		6/12/2020	 					Qoutation No:		2020-116	 THE MANAGER				 				 								 								 								        </t>
  </si>
  <si>
    <t xml:space="preserve"> BRAND NEW, 4 X 2 - 6 WHEELER (EURO 4) TRUCK CHASSIS Engine: NO4C-UV (EURO 4) 150 PS (ISO NET) DIESEL Cycle cylinder, vertical in line, turbo charge and inner cooled overhead valve, water cooled, direct injection, electronic control common rail type Transm</t>
  </si>
  <si>
    <t xml:space="preserve"> Construction of Multi Purpose Building 		 Cost of Bidding Documents: Php 25,000.00					 Source of Funds: GAA FY 2020 The significant times and deadlines of procurement activities are shown below: 1. Issuance of Bidding Documents	Deadline: June 15 – 29, 20</t>
  </si>
  <si>
    <t xml:space="preserve"> Wheel Tire  265/65 R16					4	 pcs  2SM Battery					1	 pc  Wiper Blade  16⅟₂" 					1	 pc  Wiper Blade 24"					1	 pc  x-x-x-x-x-x</t>
  </si>
  <si>
    <t xml:space="preserve"> Construction of 1 unit Rainwater Collector System</t>
  </si>
  <si>
    <t xml:space="preserve"> Clutch Assembly, A/C Compressor					1	 l. s.  A/C   O-Ring					6	 pcs  Freon Refregerant  134A					1	 pc  PAG Oil					1	 pc  Solution  141					1	 pc  Replace Compressor and Clutch Assembly (Services-Labor) 					1	 l. s.  Fulldown Condenser (Services-Labor</t>
  </si>
  <si>
    <t xml:space="preserve"> OFFICE SUPPLIES FOR SCHOOL LEARNING ASSESSMENT PROGRAM</t>
  </si>
  <si>
    <t xml:space="preserve"> 3,000   bots.   PLAIN NSS 1 LITER 1,000   bots.   D5 LRS 1 LITER 3,000   bots.   PLAIN LRS 1 LITER 1,000   bots.   D5 0.3% NaCl 500ML 1,000   bots.   D5 0.3% NaCl 1 LITER w-w-w-w-w-w-w-w-w-w-w-w-w-w-w-w</t>
  </si>
  <si>
    <t xml:space="preserve"> REHABILITATION OF EXISTING MUNICIPAL ROADS @ Barangays San Jose and Salvacion, Panganiban, Catanduanes</t>
  </si>
  <si>
    <t xml:space="preserve"> 4 pcs. Tubeless Tires (205/65R15) for Toyota Innova plate #080110-TP Specifications: . Lightning Groove . Wide Straight groove . Extra Powerful Profile . Multiple Powerful Shoulder . 5 Pitch Tread Pattern w-w-w-w-w-w-w-w-w-w-w</t>
  </si>
  <si>
    <t xml:space="preserve"> DESCRIPTION  35,000 SHEETS (35 BOXES, 1000 SHEETS  PER BOX) STATEMENT OF ACCOUNT  WHITE COPY WITH BACK PRINT TWO COLORS PRINT 8½  X  6½  CONTINUOUS FORM *Please use the attached Request for Quotation Form *please submit PhilGEPS Registration Certificate</t>
  </si>
  <si>
    <t xml:space="preserve"> Republic of the Philippines Province of Pangasinan Municipality of Sual Barangay Caoayan Invitation to Bid for the Construction of Waiting Shed At Barangay Caoayan Sual, Pangasinan 1.	The Barangay Council of Caoayan,through the Barangay Fund 2020 intends </t>
  </si>
  <si>
    <t xml:space="preserve"> Republic of the Philippines								 Province of Ilocos Norte								 Municipality of Paoay								 								 REQUEST FOR QUOTATION								 								 					Date:		6/12/2020	 					Qoutation No:		2020-118	 THE MANAGER				 				 								 								 								        </t>
  </si>
  <si>
    <t xml:space="preserve"> COMPLETION OF INSTALLATION OF STREETLIGHTING SYSTEM @ BANGQUEROHAN AREA</t>
  </si>
  <si>
    <t xml:space="preserve"> Split Type 2.5 Hp. Aircondition with accessories</t>
  </si>
  <si>
    <t xml:space="preserve"> Flood Control 	 	 		 		 Cost of Bidding Documents: Php 5,000.00					 Source of Funds: Maintenance Fund 101 CY 2020 The significant times and deadlines of procurement activities are shown below: 1. Issuance of Bidding Documents	Deadline: June 15 – 29, 2020</t>
  </si>
  <si>
    <t xml:space="preserve"> Development of spring source, Construction of Intake Box, Construction of 250 cu.m. Concrete ground reservoir (2-ea) and Pipeline Distribution</t>
  </si>
  <si>
    <t xml:space="preserve"> Bondpaper, A4, 80 gsm	80 reams Bondpaper, long, 80 gsm		20 reams		 Laid Paper, Letter sized,  Brilliant White	3 boxes Binder Clip, 32 mm	15 boxes Binder Clip, 19 mm	15 boxes Binder Clip, 51 mm	5 boxes Paper Clips (small)		15 boxes		 Sign pen, Black, .05	2</t>
  </si>
  <si>
    <t xml:space="preserve"> Other Supplies and Materials</t>
  </si>
  <si>
    <t xml:space="preserve"> L120 PRINT ONLY</t>
  </si>
  <si>
    <t xml:space="preserve"> 1.	250		pcs.		Plastic Envelope w/ handle		 2.	2500		pcs.		Notebooks		 3.	500		pcs.		Pencil		 4.	750		pcs.		Ballpen		 5.	250		pcs.		Sharpener		 6.	250		pcs.		Ruler		 7.	250		pcs.		Eraser		 8.	250		pcs.		Pad Paper (Grade 1-4)		 9.	250		bxs.		Crayola #16		 1</t>
  </si>
  <si>
    <t xml:space="preserve"> Road Safety Devices  			 		 Cost of Bidding Documents: Php 5,000.00					 Source of Funds: GAA 101 Maintenance Fund CY 2020 The significant times and deadlines of procurement activities are shown below: 1. Issuance of Bidding Documents	Deadline: June 15 – </t>
  </si>
  <si>
    <t xml:space="preserve"> IMPROVEMENT OF PANGANIBAN MUNICIPAL WATER SYSTEM of Barangays Sta. Ana, Burabod, Mabini, San Miguel, San Jose, San Nicolas, and Burabod, Panganiban, Catanduanes</t>
  </si>
  <si>
    <t xml:space="preserve"> please see attached file For further information, please refer to: Ms. Sofia Banta Telefax No. 837-8113 loc 318 / 837-2071 loc 2293 Email address: chiebanta@gmail.com For further information, please refer to: Mr. Marlon Balitaon Telefax No. 837-8113 loc 3</t>
  </si>
  <si>
    <t xml:space="preserve"> 1 set Dining Table with Chair - 4 chairs with cushion - wooden (MDF) 1 set Office Table with fixed steel cabinet 1 pc Office Chair-High Back (Adjustable, with arm rest) 1 pc Plastic Rectangular Table</t>
  </si>
  <si>
    <t xml:space="preserve"> INVITATION TO BID The Department of Public Works and Highways-National Capital Region-Metro Manila 3rd District Engineering Office, through its Bids and Awards Committee (BAC), invites contractors to apply to bid for the following contract/s:     Contract</t>
  </si>
  <si>
    <t xml:space="preserve"> 20CSE008: Consulting Services for the Conduct of Feasibility Study of the Proposed Coron-Culion Bridge, Palawan</t>
  </si>
  <si>
    <t xml:space="preserve"> Food Supplies</t>
  </si>
  <si>
    <t xml:space="preserve"> REQUEST FOR EXPRESSION OF INTEREST FOR  Consulting Services for the Preparation of Environmental Impact Statement and  Facilitation of ECC Application for the Modernization Plan of  Gov. Celestino Gallares Memorial Hospital Project located in Cortes, Boho</t>
  </si>
  <si>
    <t xml:space="preserve"> RFQ-GS-20200323-02 Interested Suppliers are invited to submit Price Quotation for the above listed item. The official LANDBANK Request for Quotation Form may be obtained from MS. ANJ EMETERIO ILETO (tel no. 8-4057233-34, email address: mqemeterio@gmail.co</t>
  </si>
  <si>
    <t xml:space="preserve"> Procurement of Services - Psychological Assessment: 1 Lot (Individual rate times the actual number of Job applicants per level/position) I. DESCRIPTIONS: A. Psychological Testing Center/Service Provider should meet the following requirements: 1. Service P</t>
  </si>
  <si>
    <t xml:space="preserve"> REPAIR AND MAINTENANCE OF THE OCDRO5 BUILDING</t>
  </si>
  <si>
    <t xml:space="preserve"> Repair of OCDRO5 Generator- FG Wilson</t>
  </si>
  <si>
    <t xml:space="preserve"> Republic of the Philippines Province of Dinagat Islands Municipality of Basilisa BARANGAY VILLA PANTINOPLE -oOo- BIDS AND AWARDS COMMITTEE -oOo- INVITATION TO APPLY FOR ELIGIBILITY AND TO BID The Barangay Villa Pantinople, Municipality of Basilisa, Provin</t>
  </si>
  <si>
    <t xml:space="preserve"> Consolidated I.T. Consumables</t>
  </si>
  <si>
    <t xml:space="preserve"> Sorghum Seeds 10 bags @ 50 lbs/bag Delivery Site: Murtha Station San Jose, Occidental Mindoro - 5 bags Palawan Research &amp; Experiment Station, Puerto Princesa City, Palawan - 5 bags Please see attached and download RFQ # 20-1097-1. Submit your Sign and Sea</t>
  </si>
  <si>
    <t xml:space="preserve"> Supply and Delivery of Computer Tablet: 16 units I. PURPOSE: The procurement of tablet computer will replace existing equipment used by IPOPHL management committee members pursuant to existing IT policy on Computer Allocation Policy Guidelines and Standar</t>
  </si>
  <si>
    <t xml:space="preserve"> Procurement for Professional Video Conferencing Platform Subscription *period covered is six (6) months - July - December 2020 *Can accommodate up to one hundred (100) concurrent meeting participants *Bundled with webinar feature up to five hundred(500) p</t>
  </si>
  <si>
    <t xml:space="preserve"> Please see attached Request for Quotation with Annex 'A' for complete listing.</t>
  </si>
  <si>
    <t xml:space="preserve"> 1. The City Government of Calamba through the GAD Fund intends to apply the sum of Php 396,000.00 being the Approved Budget for the Contract (ABC) to payments under the contract for G-2020-268 Supply and Delivery of Laying Cages for Egg Production, Gender</t>
  </si>
  <si>
    <t xml:space="preserve"> 1. The City Government of Calamba through the Trust Fund intends to apply the sum of Php 299,997.94 being the Approved Budget for the Contract (ABC) to payments under the contract for I-2020-015 Improvement of City Health Office, Barangay VII/City of Cala</t>
  </si>
  <si>
    <t xml:space="preserve"> 1. The City Government of Calamba through the General Fund intends to apply the sum of Php 128,040.00 being the Approved Budget for the Contract (ABC) to payments under the contract for G-2020-346 Supply and Installation of Airconditioning Unit, Office of</t>
  </si>
  <si>
    <t xml:space="preserve"> 1. The City Government of Calamba through the Trust Fund intends to apply the sum of Php 967,192.80 being the Approved Budget for the Contract (ABC) to payments under the contract for G-2020-345 Supply and Delivery of Assorted Supplies, Publoc Order and S</t>
  </si>
  <si>
    <t xml:space="preserve"> 1. The City Government of Calamba through the Special Education Fund intends to apply the sum of Php 61,506.00 being the Approved Budget for the Contract (ABC) to payments under the contract for G-2020-344 Supply and Delivery of Surveillance Camera, City </t>
  </si>
  <si>
    <t xml:space="preserve"> 1. The City Government of Calamba through the GAD Fund intends to apply the sum of Php 61,362.00 being the Approved Budget for the Contract (ABC) to payments under the contract for G-2020-341 Supply and Delivery of Customized Pin Badge Buttons &amp; Glass Pla</t>
  </si>
  <si>
    <t xml:space="preserve"> Please see attache RFQ for the specs.</t>
  </si>
  <si>
    <t xml:space="preserve"> REQUEST FOR EXPRESSION OF INTEREST FOR  Consulting Services for the Conduct of Geotechnical (Soil) Investigation for the Construction of Proposed 6-Storey New Buildings for the Modernization Plan of Gov. Celestino Gallares Memorial Hospital Project locate</t>
  </si>
  <si>
    <t xml:space="preserve"> HYDRAULIC EXCAVATOR - CRAWLER TYPE   - 2 units  Engine Rated Power         135/2050 kw/rpm   Bucket Capacity               1.0 cu.m.   Boom Length                    5680 mm   Arm Length                      2710 mm   10 WHEELER DUMPTRUCK - 6 X4          </t>
  </si>
  <si>
    <t xml:space="preserve"> labor for the construction of 8.0m x 12.0m Two Storey Multipurpose Building Phase 2 (to include tiling, painting, construction of plant box, installation of 2 PVC door, steel railing at 1st floor of the building)</t>
  </si>
  <si>
    <t xml:space="preserve"> REQUEST FOR EXPRESSION OF INTEREST REOI2020-C02 1.	The Department of Public Works and Highway-Isabela 3rd District Engineering Office     through the PDE 2020 intends to apply the Approved Budget for the Contract (ABC) to payment under the following contr</t>
  </si>
  <si>
    <t xml:space="preserve"> Quantity       Unit of Issue       Item Description    150	        bxs	          D5 LR 1L x 12's      5          	bxs	          D5 0.3 Nacl 1L X 12's      5	                bxs              D5 0.3 Nacl 500ml X 24's     70	        bxs	          PNSS 1L x 1</t>
  </si>
  <si>
    <t xml:space="preserve"> 1	lot	Purchase of Office Supplies and ICT Semi-Expendable Supplies not available in PS-DBM:		 		 		Ink for Brother HL-L8360CDW:				 2	cart	TN-456BK (Approx. 6,500 page yield) Black				 3	cart	TN-451BK (Approx. 3,000 page yield) Black				 3	cart	TN-451C (A</t>
  </si>
  <si>
    <t xml:space="preserve"> we are improving our 2nd floor to become an efficient quarantine facility cum evacuation center for this pandemic materials needed 6 sets 1.25x1.20m sliding windows 6 sets 1.20x1.20m tubular windo grills 3 bags tile grout 111 kgs 10mm dia dsb 106.6 kgs 12</t>
  </si>
  <si>
    <t xml:space="preserve"> REQUEST FOR QUOTATION Bid Ref. No 20200611-28 The ILOILO STATE COLLEGE OF FISHERIES MAIN TIWI CAMPUS, through its Bids and Awards Committee (BAC), invites eligible suppliers to submit quotation for the following project: Name of Project: REPOSTING: PURCHA</t>
  </si>
  <si>
    <t xml:space="preserve"> Quantity       Unit of Issue       Item Description    100	       amps	          Amikacin 250mg/ml   1000	       vials	          Ampicillin 250mg   1000	       vials	          Ampicillin 500mg    500	       vials	          ATS 500     20	       amps	     </t>
  </si>
  <si>
    <t xml:space="preserve"> REQUEST FOR EXPRESSION OF INTEREST (REI) FOR THE 20CSJ002 - CONSULTING SERVICES FOR THE SUB-SURFACE EXPLORATION THRU CALYX DRILLING AND LABORATORY WORKS/ANALYSIS FOR WIDENING OF FIVE BRIDGES FOR SULU 2ND, BARMM 1.	The Department of Public Works and Highwa</t>
  </si>
  <si>
    <t xml:space="preserve"> REQUEST FOR EXPRESSION OF INTEREST REOI2020-C03 1.	The Department of Public Works and Highway-Isabela 3rd District Engineering Office     through the PDE 2020 intends to apply the Approved Budget for the Contract (ABC) to payment under the following contr</t>
  </si>
  <si>
    <t xml:space="preserve"> INSTRUCTION TO BIDDERS (ITB) A. General 1. Scope of Bid 1.1 The Procuring Entity, as defined in the BDS, invites bids for the construction of the Works under the proposed Contract, as described in the BDS. The name and ID of the Contract are stated in the</t>
  </si>
  <si>
    <t xml:space="preserve"> Republic of the Philippines COMMISSION ON ELECTIONS Intramuros, M a n i l a REQUEST FOR QUOTATION      For Supply and Delivery of Mefenamic Acid, Co-Amoxiclav, and Atorvastatin for Clinic Use (BAC Reference No. SVP 2020-055-MEDS) End-user: Health Services</t>
  </si>
  <si>
    <t xml:space="preserve"> Procurement of 1 Lot Fuel, Oil and Lubricant Expenses for the 3rd Quarter of 2020</t>
  </si>
  <si>
    <t xml:space="preserve"> 1.	The Department of Public Works and Highway-Isabela 3rd District Engineering Office     through the PDE 2020 intends to apply the Approved Budget for the Contract (ABC) to payment under the following contract for: Contract ID No.	: 20CSBG004 Contract Na</t>
  </si>
  <si>
    <t xml:space="preserve"> INVITATION TO BID The Department of Public Works and Highways (DPWH), Cavite 3rd District Engineering Office, Carmona, Cavite through its Bids and Awards Committee (BAC), invites contractors to submit bids for the following Contract: 3. Contract I.D. No.:</t>
  </si>
  <si>
    <t xml:space="preserve"> INVITATION TO BID The Department of Public Works and Highways (DPWH), Cavite 3rd District Engineering Office, Carmona, Cavite through its Bids and Awards Committee (BAC), invites contractors to submit bids for the following Contract: 1. Contract I.D. No.:</t>
  </si>
  <si>
    <t xml:space="preserve"> INVITATION TO BID The Department of Public Works and Highways (DPWH), Cavite 3rd District Engineering Office, Carmona, Cavite through its Bids and Awards Committee (BAC), invites contractors to submit bids for the following Contract:     4. Contract I.D. </t>
  </si>
  <si>
    <t xml:space="preserve"> Republic of the Philippines COMMISSION ON ELECTIONS M a n i l a REQUES FOR QUOTATION For Supply and Delivery of Prepaid Cards for use of Finance Services Department Personnel who are on Work From Home Arrangement  (BAC Reference No. SVP 2020-054-PC) End-u</t>
  </si>
  <si>
    <t xml:space="preserve"> 1700 pcs. CHB 4" thk 186 bags Portland Cement 18 cu.m. washed Sand 12 cu.m washed gravel 178 pcs. 10mm dia. x 6.0m RSB 45 pcs. 12mm dia. 6.0m RSB 20 pcs. 2''x2''x12' form lumber 6 pcs. 1/2'' thk phenolic board 15 pcs. hacksaw blade 10 kls. #16 tie wire 8 </t>
  </si>
  <si>
    <t xml:space="preserve"> INVITATION TO BID The Department of Public Works and Highways (DPWH), Cavite 3rd District Engineering Office, Carmona, Cavite through its Bids and Awards Committee (BAC), invites contractors to submit bids for the following Contract: 2. Contract I.D. No.:</t>
  </si>
  <si>
    <t xml:space="preserve"> Procurement of 1 Lot Various Office Supplies for the 3rd Quarter of 2020</t>
  </si>
  <si>
    <t xml:space="preserve"> Procurement of 1 Lot Rehabilitation Supplies for the 3rd Quarter of 2020</t>
  </si>
  <si>
    <t xml:space="preserve"> REQUEST FOR EXPRESSION OF INTEREST (REI) FOR THE 20CSJ003 - CONSULTING SERVICES FOR THE SUB-SURFACE EXPLORATION THRU CALYX DRILLING AND LABORATORY WORKS/ANALYSIS FOR REPLACEMENT OF NINE (9) BRIDGES FOR SULU 1ST BARMM 1.	The Department of Public Works and </t>
  </si>
  <si>
    <t xml:space="preserve"> INVITATION TO BID The Department of Public Works and Highways (DPWH), Cavite 3rd District Engineering Office, Carmona, Cavite through its Bids and Awards Committee (BAC), invites contractors to submit bids for the following Contract: 5. Contract I.D. No.:</t>
  </si>
  <si>
    <t xml:space="preserve"> Quantity      Unit of Issue      Item Description     180	       btls	        Alcohol 70% Isopropyl 500ml      10	       pcs	        Bulb with Airflo Control 1891       5	       pcs     	Latex Bulb Adult 1840       5	       pcs	        Velcro Cuff Adult 1</t>
  </si>
  <si>
    <t xml:space="preserve"> Republic of the Philippines Province of Masbate Municipality of Mandaon BIDS AND AWARD COMMITTEE INVITATION TO APPLY FOR ELIGIBILITY AND TO BID The Local Government Unit of Mandaon, through the ANNUAL BUDGET 2020   intends to apply for the sum of Php 590,</t>
  </si>
  <si>
    <t xml:space="preserve"> REQUEST FOR QUOTATION (RFQ) (Alternative Method – Shopping 52.1b) The Department of Education - Division of City Schools - City of San Jose del Monte, Bulacan (DepED - CSJDM), through its Bids and Awards Committee, intends to apply the sum of Php. 125,350</t>
  </si>
  <si>
    <t xml:space="preserve"> 20E00084 - LIP - Construction of Odiongan By-pass Road (Phase 4), Odiongan, Romblon</t>
  </si>
  <si>
    <t xml:space="preserve"> Republic of the Philippines COMMISSION ON ELECTIONS Intramuros, M a n i l a REQUEST FOR QUOTATION      For Supply and Delivery of Various Electrical and Plumbing Supplies for use in the Repair/Replacement of Electrical and Plumbing Fixtures at COMELEC Off</t>
  </si>
  <si>
    <t xml:space="preserve"> Republic of the Philippines COMMISSION ON ELECTIONS Intramuros, M a n i l a REQUEST FOR QUOTATION      For Supply and Delivery of Time Card for use of Leave Section  (BAC Reference No. SVP 2020-057-TC) End-user: General Services Division (20-03-0385) 1.Th</t>
  </si>
  <si>
    <t xml:space="preserve"> Procurement of 1 Lot Military Supplies (Ammunition) for the 3rd Quarter of 2020</t>
  </si>
  <si>
    <t xml:space="preserve"> Procurement of 1 Lot Various Drugs and Medicines for the 3rd Quarter of 2020</t>
  </si>
  <si>
    <t xml:space="preserve"> REQUEST FOR QUOTATION The National Meat Inspection Service (NMIS) through the Bids and Awards Committee (BAC) is inviting interested parties to submit proposal/quotation for the here under project: Name of Project:    	Supply and Delivery of KN95 Face Mas</t>
  </si>
  <si>
    <t xml:space="preserve"> INVITATION TO BID The Department of Public Works and Highways (DPWH), Cavite 3rd District Engineering Office, Carmona, Cavite through its Bids and Awards Committee (BAC), invites contractors to submit bids for the following Contract: 6. Contract I.D. No.:</t>
  </si>
  <si>
    <t xml:space="preserve"> Procurement of 1 Lot Printing and Publication for the 3rd Quarter of 2020</t>
  </si>
  <si>
    <t xml:space="preserve"> REQUEST FOR QUOTATION The National Meat Inspection Service (NMIS) through the Bids and Awards Committee (BAC) is inviting interested parties to submit proposal/quotation for the here under project: Name of Project:    	Supply and Delivery of Laboratory Su</t>
  </si>
  <si>
    <t xml:space="preserve"> schedule opening of bids</t>
  </si>
  <si>
    <t xml:space="preserve"> Supply and Delivery of Office Supplies for City Budget Office</t>
  </si>
  <si>
    <t xml:space="preserve"> 1 unit water pump 1.5 Hp 1 unit stainless pressure tank 82 gal. 1 pc. 3'' dia. G.I Pipe s40 4 rolls P.E pipe 1'' dia. 1 unit 1'' dia. foot valve 1 unit check valve 1 unit pressure gauge 12 pcs. 1'' dia. Union patente 12 pcs. 1'' dia. Elbow 6 pcs. 1'' dia.</t>
  </si>
  <si>
    <t xml:space="preserve"> ITEM	DESCRIPTION	QUANTITY	UNIT 1	Portland Cement	1,900	bags 2	Sand	130	cu.m. 3	Gravel (3/4” Ø)	340	cu.m. 4	RSB – 10 mm Ø	2,000	pcs. 5	4’ x 8’ x ½” Marine Plywood	100	pcs 6	2” x “ x 12’ Form Lumber	1,600	bd.ft 7	CWN 4” 	50	kgs. 8	CWN 3”	50	kgs. 9	CWN 2 ½”	</t>
  </si>
  <si>
    <t xml:space="preserve"> 1.	The Dangerous Drugs Board, through the General Appropriation Act of 2020  intends to apply the sum of Four Million Pesos (Php 4,000,000.00) being the Approved Budget for the Contract (ABC) to payments under the contract for the Development and Deployme</t>
  </si>
  <si>
    <t xml:space="preserve"> CCTV Camera w/ installation * 8 channels * 6 cameras * 16'' monitor</t>
  </si>
  <si>
    <t xml:space="preserve"> ITEM	DESCRIPTION	QUANTITY	UNIT 	Civil Works - Construction of Construction of Canal Structures, Temporary Access Road, Supply &amp; Installation of Steel Pipe Siphon:		 A.	Temporary Works Facilities, Mobilization &amp; Demobilization &amp; Temporary Access Road		 1	T</t>
  </si>
  <si>
    <t xml:space="preserve"> 1.	The De Guzman Barangay Council, through the Barangay Fund CY 2020 intends to apply the sum of ONE HUNDRED THOUSAND PESOS (P100,000.00) being the Approved Budget for the Contract (ABC) to payments under the contract. Bids received in excess of the ABC s</t>
  </si>
  <si>
    <t xml:space="preserve"> SUPPLIES FOR UPDATING OF COMPUTER UNITS IN PREPARATION FOR BLENDED LEARNING APPROACH FOR THE OPENING SCHOOL YEAR 2020-2021</t>
  </si>
  <si>
    <t xml:space="preserve"> Invitation to Bid The Barangay Calanutian, Municipality of San Nicolas Pangasinan through its Bids and Award Committee(BAC), invites contractors registered with and classfied by the Philgeps to apply for the eligibility and if found eligible, to bid for t</t>
  </si>
  <si>
    <t xml:space="preserve"> For Road Protection of the Barangay.</t>
  </si>
  <si>
    <t xml:space="preserve"> Kinder   18 pages x 100 learners x Php0.75=Php 1,350 Grade1   210 pages  x 140 learners x Php0.75= Php 22,050 Grade2  245 pages x130 learners x Php 0.75 = Php23,887.50 Grade 3 264 pages x 130 learners x Php 0.75=Php 25, 740 Grade 4  272 pages x 80 learner</t>
  </si>
  <si>
    <t xml:space="preserve"> supply and delivery of Spare Parts with labor for the repair and maintenance of service vehicle</t>
  </si>
  <si>
    <t xml:space="preserve"> Description CITY GOVERNMENT OF DIGOS INVITATION TO BID The City Government of Digos thru the Bids and Awards Committee (BAC) invited interested suppliers/contractors to apply for eligibility screening and if subsequently found eligible to bid for the proc</t>
  </si>
  <si>
    <t xml:space="preserve"> Supply and Delivery of Office Supplies for City Mayor's Office</t>
  </si>
  <si>
    <t xml:space="preserve"> 1.	The Cabanaetan Barangay Council, through the Barangay Fund CY 2020 intends to apply the sum of Seventy Thousand Pesos PhP70,000.00 being the Approved Budget for the Contract (ABC) to payments under the contract for the supply and delivery of various co</t>
  </si>
  <si>
    <t xml:space="preserve"> Items 8-channel DVR with 1080 Full HD Recording &amp; 2 TB Hard Drive  (8) 32” SMART TV  (1) WIRES AND OTHER ACCESSORIES Please indicate the brand of the product and other specifications. Interested Supplier/s is/are requested to visit the school.</t>
  </si>
  <si>
    <t xml:space="preserve"> PLEASE SEE ATTACHED COMPONENT</t>
  </si>
  <si>
    <t xml:space="preserve"> ITEM	DESCRIPTION	QUANTITY	UNIT 	A.	Temporary Works Facilities, Mobilization &amp; Demobilization		 1	Temporary Works Facilities	1.00	ls 2	Mobilization/Demobilization	1.00	ls 	B.	Construction of Canal Bench Flume		 1	Common Excavation	1,858.59	cu.m 2	Barrow w/</t>
  </si>
  <si>
    <t xml:space="preserve"> REPUBLIC OF THE PHILIPPINES  CITY OF MANILA BARANGAY 216 ZONE 20 DISTRICT 2  BIDS AND AWARDS COMMITTEE  INVITATION TO BID  THE BARANGAY 216 ZONE 20 DISTRICT 2 MANILA, THROUGH IT'S BID AND AWARDS COMMITTEE (BAC) INVITES ALL SUPPLIERS WITH CERTIFICATE OF AC</t>
  </si>
  <si>
    <t xml:space="preserve"> Republic of the Philippines Pangasinan State University Lingayen, Pangasinan INVITATION TO BID FOR THE PROCUREMENT AND INSTALLATION OF RADIO STATION EQUIPMENT 1.	The Pangasinan State University, through the Fund 164 (Income) intends to apply the sum of Th</t>
  </si>
  <si>
    <t xml:space="preserve"> The Philippine Nuclear Research Institute (PNRI), through the Bids and Awards Committee (BAC), invites interested bidders to bid for hereunder project:  Name of Project	Procurement of One (1) Lot Cremation Equipment for Small Animals and One (1) Lot Indiv</t>
  </si>
  <si>
    <t xml:space="preserve"> Name of the Procuring Entity					"Project Reference Number Name of the Project Location of the Project"					 PHILIPPINE PORTS AUTHORITY, PMO MO/C										 Standard Form Number: SF-GOOD-60										 Revised on: May 24, 2004										 Standard Form Title: </t>
  </si>
  <si>
    <t xml:space="preserve"> REPUBLIC OF THE PHILIPPINES CITY OF MANILA BARANGAY 216 ZONE 20 DISTRICT 2  BIDS AND AWARDS COMMITTEE INVITATION TO BID THE BARANGAY 216 ZONE 20 DISTRICT 2 MANILA, THROUGH IT'S BID AND AWARDS COMMITTEE (BAC) INVITES  ALL SUPPLIERS WITH CERTIFICATE OF ACCR</t>
  </si>
  <si>
    <t xml:space="preserve"> PLEASE ATTACHED COMPONENTS</t>
  </si>
  <si>
    <t xml:space="preserve"> Republic of the Philippines Pangasinan State University Lingayen, Pangasinan INVITATION TO BID FOR THE PROCUREMENT AND INSTALLATION OF VARIOUS AIRCONDITION UNITS FOR THE DIFFERENT CAMPUSES OF THE UNIVERSITY 1.	The Pangasinan State University, through the </t>
  </si>
  <si>
    <t xml:space="preserve"> To provide Labor and materials for the Additional Construction of Multi Purpose Hall - Brgy. Buao Opening of Bids - June 29, 2020, 10:00AM, venue: Engineer's Office Other Information: Letter of Intent must be accompanied by a new TAX CLEARANCE.</t>
  </si>
  <si>
    <t xml:space="preserve"> Procurement for ICT Supplies and Peripherals *The project is divided into two lots:  -Lot 1 USB C adapter ABC:50,000.00  -Lot 2 Computer Monitor ABC: 40,000.00 *Please refer to the attached TOR for other details and specifications *Quotations/Bids can be </t>
  </si>
  <si>
    <t xml:space="preserve"> Republic of the Philippines Pangasinan State University Lingayen, Pangasinan INVITATION TO BID FOR THE ONE (1) YEAR SUBSCRIPTION OF ELECTRONIC BOOKS FOR THE UNIVERSITY 1.	The Pangasinan State University, through the Fund 164 (Income) intends to apply the </t>
  </si>
  <si>
    <t xml:space="preserve"> Republic of the Philippines																						 Province of Batangas																						 MUNICIPALITY OF ALITAGTAG																						 																						 REQUEST FOR SMALL VALUE PROCUREMENT																						 																						 										</t>
  </si>
  <si>
    <t xml:space="preserve"> REPUBLIC OF THE PHILIPPINES CITY OF MANILA BARANGAY 245 ZONE 22 DISTRICT 2  BIDS AND AWARDS COMMITTEE INVITATION TO BID THE BARANGAY 245 ZONE 22 DISTRICT 2 MANILA, THROUGH IT'S BID AND AWARDS COMMITTEE (BAC) INVITES ALL SUPPLIERS WITH CERTIFICATE OF ACCRE</t>
  </si>
  <si>
    <t xml:space="preserve"> as per BSP Technical Specifications and Terms of Reference</t>
  </si>
  <si>
    <t xml:space="preserve"> To provide Labor and materials for the Repair of Brgy. Hall - Brgy. Carmona Opening of Bids - June 29, 2020, 10:00AM, venue: Engineer's Office Other Information: Letter of Intent must be accompanied by a new TAX CLEARANCE.</t>
  </si>
  <si>
    <t xml:space="preserve"> To provide Labor and materials for the Repair and Improvement of Multi-Purpose Hall - Brgy. San Jose Pre-bid Conference: July 1, 2020 @ 9:00AM, venue: Engineer's Office Opening of Bids - July 13, 2020, 10:00AM Other Information: Letter of Intent must be a</t>
  </si>
  <si>
    <t xml:space="preserve"> To provide Labor and materials for the Renovation of Multi-purpose pavement - Brgy. Ngoso Opening of Bids - June 29, 2020, 10:00AM, venue: Engineer's Office Other Information: Letter of Intent must be accompanied by a new TAX CLEARANCE.</t>
  </si>
  <si>
    <t xml:space="preserve"> 20M00182 - Construction / Rehabilitation of Damawato Bridge</t>
  </si>
  <si>
    <t xml:space="preserve"> Procurement for various Computer Software *the project is subdivided into three lots  -LOT 1 Vision Mixer and Switcher Software (VMSS), ABC: 50,000.00  -LOT 2 Printer Management Software ABC:40,000.00  -LOT 3 Video Editing Software ABC: 65,000.00 *Quotati</t>
  </si>
  <si>
    <t xml:space="preserve"> To provide Labor and materials for the Repair of Street Light - Brgy. Carmona Opening of Bids - June 29, 2020, 10:00AM, venue: Engineer's Office Other Information: Letter of Intent must be accompanied by a new TAX CLEARANCE.</t>
  </si>
  <si>
    <t xml:space="preserve"> Pathwalk scope of work: 1. Cleaning and grubbing 2. Backfilling and compaction 3. Gravel bedding 4. Formworks 5. Rebar works 6. Concreting works</t>
  </si>
  <si>
    <t xml:space="preserve"> 20M00180 - Construction of Tulunan Public Cemetery</t>
  </si>
  <si>
    <t xml:space="preserve"> 20M00179 - Completion/Rehabilitation of MPB</t>
  </si>
  <si>
    <t xml:space="preserve"> Items and Description               Procurement of Various Boots 1.	Rice Paddy Boots (8”), heavy duty, rubberized thigh high length 2.	Rubber Boots for Women (Size 9”) heavy duty 3.	Rubber Boots for Women (Size 6”) heavy duty 4.	Rubber Boots for Men  (Siz</t>
  </si>
  <si>
    <t xml:space="preserve"> PARTICULARS	Unit Cost Supply, Delivery, Installation and Configuration of Various ICT Equipment, Office Equipment and Computer Software in Support to Operations and Research Division	 1) Twenty (20) Units Desktop Computer (Windows OS) 	Intel Core i3-9300</t>
  </si>
  <si>
    <t xml:space="preserve"> 20M00181 - Construction/Completion/Rehabilitation of MPB</t>
  </si>
  <si>
    <t xml:space="preserve"> 1 LOT ABC:    200,000.00 COMPONENTS:  - 20 pcs Stainless Mixing Bowl, 28 cm diameter; durable  - 20 pcs Stainless Tray, 40x030x2cm  - 20 pcs Spatula, length 21.7 cm/8.54; random color  - 20 pcs Blender, Aluminum alloy w/scrub surface; size: 17.7 x 9.1 x 9</t>
  </si>
  <si>
    <t xml:space="preserve"> See attached files.</t>
  </si>
  <si>
    <t xml:space="preserve"> The Bureau of Fisheries and Aquatic Resources (BFAR) of the Department of Agriculture, through the General Appropriations Act for 2020 intends to apply the sum of THIRTY TWO MILLION FIVE HUNDRED SEVENTY SEVEN EIGHT HUNDRED SEVENTY TWO AND 70/100 (Php 32,5</t>
  </si>
  <si>
    <t xml:space="preserve"> 1 LOT ABC :  200,000.00 Components:    - 780 cans Canned Sardines in tomato sauce (155g)  - 800 pcs Instant Noodles, Chicken (70g)  - 800 pcs. Instant Noodles, Beef (70g)  - 600 packs Instant Coffee Reffill (25g)   - 600 pcs. Laundry Soap Bar (380 g)  - 6</t>
  </si>
  <si>
    <t xml:space="preserve"> 20GM00146 – Provision of 4x4 Pick UP Type Service Vehicle for the Engineer for July 1-15, 2020   (Equipment Rental Only)</t>
  </si>
  <si>
    <t xml:space="preserve"> 20GM00148 – Rental of Service Vehicle for Road Slope and Survey Investigation Activities for DPWH Projects (1-Unit 4x4 Pick-Up) (July 1-15, 2020) (Equipment Rental Only)</t>
  </si>
  <si>
    <t xml:space="preserve"> 20GM00149 – Provision of 4X4 Pick Up Type Service Vehicle for the Engineer for July 1-15, 2020  (Equipment Rental Only)</t>
  </si>
  <si>
    <t xml:space="preserve"> Invitation to Bid for Improvement of Water System (Phase 2), Brgy.Lim-ao, Kananga, Leyte 1.	The Barangay Government of Lim-ao, Kananga, Leyte, through its BIDS AND AWARDS COMMITTEE (BAC),through the DOE ER 1-94 Fund intends to apply the sum of Six Million</t>
  </si>
  <si>
    <t xml:space="preserve"> CARPENTRY WORKS MASONRY WORKS STEEL WORKS DOORS AND WINDOWS ROOFING WORKS</t>
  </si>
  <si>
    <t xml:space="preserve"> Republic of the Philippines										 BIDS AND AWARDS COMMITTEE										 Province of Iloilo										 										 INVITATION TO BID										 Purchase and Delivery of Construction Materials for the Construction of Water System in Brgy. Poblacion Zone 1, T</t>
  </si>
  <si>
    <t xml:space="preserve"> 20GM00147 – Rental of Service Vehicle Chargeable to CY 2020 Annual Maintenance Work Program (AMWP) for Inspection and Supervision of Routine / Periodic Maintenance for Roads and Bridge Projects (July 1-15, 2020) (Equipment Rental Only)</t>
  </si>
  <si>
    <t xml:space="preserve"> The Municipal Government of Aloguinsan invites prospective bidders to bid for the project Supply and Delivery of Family Planning Commodities Source of Fund: General Fund FY 2020 ABC: Php 350,000.00 The complete schedule of activities will be as follows: 1</t>
  </si>
  <si>
    <t xml:space="preserve"> Renovation of Electrical Distribution Lines -SHS</t>
  </si>
  <si>
    <t xml:space="preserve"> Item No.		QTY			UNIT			ITEM &amp; DESCRIPTION																	 																									 		Construction of Municipal Hall Compound Perimeter Fence/Gates &amp; Installation 																							 		of slidingwindows &amp; re-painting of Municipal Hall Buildings.					</t>
  </si>
  <si>
    <t xml:space="preserve"> Republic of the Philippines Province of Ilocos Sur Municipality of Magsingal INVITATION TO BID FOR THE CONSTRUCTION OF WATER RESERVOIR OF BRGY. MACATCATUD, MAGSINGAL, I. SUR. 1. The Brgy. Macatcatud Magsingal, I. Sur intend to apple the sum of Two Hundred</t>
  </si>
  <si>
    <t xml:space="preserve"> IB 2020-07-007 PVSV Procurement of Passenger Van Service Vehicle  2020-07</t>
  </si>
  <si>
    <t xml:space="preserve"> Invitation to Bid for Construction of Multi-Purpose Pavement, Brgy.Lim-ao, Kananga, Leyte 1.	The Barangay Government of Lim-ao, Kananga, Leyte, through its BIDS AND AWARDS COMMITTEE (BAC),through the DOE ER 1-94 Fund intends to apply the sum of Four Milli</t>
  </si>
  <si>
    <t xml:space="preserve"> 20GM00150 – Rental of Service Vehicle for Roads and Bridges Investigation Activities for DPWH Projects (July 1-15, 2020) (Equipment Rental Only)</t>
  </si>
  <si>
    <t xml:space="preserve"> Republic of the Philippines Local Government Unit of General Santos City BIDS AND AWARDS COMMITTEE City Hall, General Santos City INVITATION TO APPLY FOR ELIGIBILITY AND TO BID FOR 20CW-GSC-022 ESTABLISHMENT OF ORGANIC TRADING POST CITY OF GENERAL SANTOS </t>
  </si>
  <si>
    <t xml:space="preserve"> The Municipal Government of Aloguinsan invites prospective bidders to bid for the project Supply and Delivery of Medicines &amp; Psychotropic Drugs. Source of Fund: GEN. FUND FY 2020 ABC: Php 1,659,930.00 The complete schedule of activities will be as follows</t>
  </si>
  <si>
    <t xml:space="preserve"> The Municipal Government of Aloguinsan invites prospective bidders to bid for the project Supply and Delivery of Medical Supplies. Source of Fund: GEN. FUND FY 2020 ABC: Php 262,480.00 The complete schedule of activities will be as follows: 1. Submission </t>
  </si>
  <si>
    <t xml:space="preserve"> Republic of the Philippines										 BIDS AND AWARDS COMMITTEE										 Province of Iloilo										 										 INVITATION TO BID										 Purchase and Delivery of Construction Materials for the Construction of Elevated Concrete Water Tank in Brgy. Iga</t>
  </si>
  <si>
    <t xml:space="preserve"> Scope of Work: A. AMPHITHEATER CLEACHER   I. Steel Works   II. Carpentry Works B. PWD RAMP OF MUNICIPAL BUILDING   I. Earth Works   II. Concrete Works (Footing, Column, Beam, Slab)   III. Form Works   IV. Steel Works C. TRANSFORMER PEDESTAL PAD   I. Earth</t>
  </si>
  <si>
    <t xml:space="preserve"> Request for Quotation for the Procurement of 2 Units Egg Incubator with Hatcher to be distributed to Farmer Associations in Ubay, Bohol in support to the Poultry Production in the Province under PEAF sub-program 1.	The Department of Agriculture-Regional F</t>
  </si>
  <si>
    <t xml:space="preserve"> INVITATION TO BID Land Survey and Mapping Projects 1.	The DAR-IV-A, Quezon II Provincial Office, through its Bids and Awards Committee (BAC), invites interested Bidders/GE Contractors to apply for Eligibility and Shortlisting and if subsequently found eli</t>
  </si>
  <si>
    <t xml:space="preserve"> Request for Quotation for the Procurement of Seedling Tray to be used for the Vegetable Production Project in Negros Oriental 1.	The Department of Agriculture-Regional Field Office 7 (DA-RFO 7), through the General Appropriations Act of CY 2020)  intends </t>
  </si>
  <si>
    <t xml:space="preserve"> Installation and Implementation of Pre-Developed and customized Application Systems-Phase II NOTE: To all suppliers bid documents and BAC Resolution 2020-029 are available at BAC Office and LGU website.</t>
  </si>
  <si>
    <t xml:space="preserve"> Request for Quotation for the Procurement of 1 Unit Generator to be used as Alternative and Emergency Power Supply Source for a Continuous Operations of Livestock Projects at NORDC Siaton, Negros Oriental 1.	The Department of Agriculture-Regional Field Of</t>
  </si>
  <si>
    <t xml:space="preserve"> INVITATION TO BID FOR  SUPPLY &amp; DELIVERY OF VARIOUS MEDICINES (3rd QUARTER) FOR USE IN  MUNICIPAL HEALTH OFFICE VILLASIS, PANGASINAN 	 		 1.	The Local Government of Villasis, Pangasinan, through General Fund , intends to apply the sum of Four hundred Nine</t>
  </si>
  <si>
    <t xml:space="preserve"> Republic of the Philippines Province of Cagayan Municipality of Baggao INVITATION TO BID FOR THE PROCUREMENT OF GOODS The Barangay Ibulo, Baggao, Cagayan, through the 20% BDF CY 2020 intends to apply the sum of Ninety Seven Thousand Four Hundred Eighteen </t>
  </si>
  <si>
    <t xml:space="preserve"> Scope of Work: A. STAIR RAILING, WOODEN STEPS, TABLES &amp; CHAIRS   I. Steel Works   II. Carpentry and Joinery Works   III. Electrical Fixtures B. GENERAL REQUIREMENTS</t>
  </si>
  <si>
    <t xml:space="preserve"> TERMS AND CONDITIONS: •	The details listed below are the end-user’s minimum specifications/requirements and must be complied on a pass/fail basis. •	Suppliers/Bidders shall provide correct and accurate information required in this form •	Prices must be qu</t>
  </si>
  <si>
    <t xml:space="preserve"> Multiple Long Line etc. NOTE:To all suppliers bid documents  and BAC Resolution  2020-029 are available at BAC Office and LGU website.</t>
  </si>
  <si>
    <t xml:space="preserve"> 78 heads CZ Dominant ready to lay pullet 38 heads Rooster (minimum of 2.5 kg) meat type</t>
  </si>
  <si>
    <t xml:space="preserve"> Pakyaw Labor etc. NOTE:To all bidders bid documents and BAC Resolution 2020-029 are available at BAC Office and LGU website.</t>
  </si>
  <si>
    <t xml:space="preserve"> Construction of MPP at Lower Collog, Junction, Pinukpuk</t>
  </si>
  <si>
    <t xml:space="preserve"> INVITATION TO BID IB No. 14 S. 2020 The Municipality of General Nakar, Quezon through the Approved Appropriation Ordinance No. 2019-29  appropriating funds for the Annual Budget CY 2020 intends to apply the sum of Seven Hundred Fifty Thousand Pesos (PhP75</t>
  </si>
  <si>
    <t xml:space="preserve"> INVITATION TO BID IB No. 12 S. 2020 The Municipality of General Nakar, Quezon through the Approved Appropriation Ordinance No. 2018-38 appropriating funds for the Annual Budget CY 2019 intends to apply the sum of Five Hundred Thousand Pesos (PhP500,000.00</t>
  </si>
  <si>
    <t xml:space="preserve"> INVITATION TO BID IB No. 15 S. 2020 The Municipality of General Nakar, Quezon through the Approved Appropriation Ordinance No. 2019-29  appropriating funds for the Annual Budget CY 2020 intends to apply the sum of Five Hundred Thousand Pesos (PhP500,000.0</t>
  </si>
  <si>
    <t xml:space="preserve"> City Government of Manila INVITATION TO BID  NO. 2020-06-46A Procurement of one (1) lot Laboratory Examinations and Diagnostic  Procedures Send Out for 2020 1.	The City Government of Manila, through the General Fund CY 2020 – Other Maintenance and Operati</t>
  </si>
  <si>
    <t xml:space="preserve"> INVITATION TO BID IB No. 13 S. 2020 The Municipality of General Nakar, Quezon through the Approved Appropriation Ordinance No. 2019-29  appropriating funds for the Annual Budget CY 2020 intends to apply the sum of One Million Pesos (PhP1,000,000.00) being</t>
  </si>
  <si>
    <t xml:space="preserve"> Invitation to Bid for Construction of School Building Digman Elementary School at Digman Bacoor City, Cavite (Repost) 1.	The City Government of Bacoor, Cavite, through the APP 2019 - Annex C (LSB 2019) intends to apply the sum of SIX MILLION EIGHT HUNDRED</t>
  </si>
  <si>
    <t xml:space="preserve"> Invitation to Bid for Upgrading of Electrical Installation at Talaba Elementary School (Repost) 1.	The City Government of Bacoor, Cavite, through the SPP 2018(S)-LSB-01 (SEF 2018) intends to apply the sum of ONE MILLION TWO HUNDRED THOUSAND PESOS AND ZERO</t>
  </si>
  <si>
    <t xml:space="preserve"> various goods and supplies</t>
  </si>
  <si>
    <t xml:space="preserve"> 1.	1 unit brand new PICK UP VEHICLE  Color Black customized with emergency equipment and  apparatus (emergency siren with speakers, Flood lights, strobe lights, emergency medical kit, rescue towing rope (2500kg towing capacity), overhead carrier, two-way </t>
  </si>
  <si>
    <t xml:space="preserve"> Invitation to Bid for the Poblacion – Dicklum Water System – Phase I 1.	The Local Government Unit of Manolo Fortich, through the Special Trust Fund intends to apply the sum of TWELVE MILLION NINETY THREE THOUSAND FIVE HUNDRED NINETY SIX PESOS (PhP 12,093,</t>
  </si>
  <si>
    <t xml:space="preserve"> Republic of the Philippines Province of Batangas Municipality of San Juan BIDS AND AWARDS COMMITTEE INVITATION TO BID THE LOCAL GOVERNMENT UNIT OF SAN JUAN, BATANGAS, through its Bids and Awards Committee (BAC), invites registered PhilGEPS suppliers/distr</t>
  </si>
  <si>
    <t xml:space="preserve"> Invitation to Bid for Construction of Dome Shape Gymnasium for Senior High School - at San Nicolas 3 (Greenvalley) City of Bacoor (Repost) 1.	The City Government of Bacoor, Cavite, through the SPP 2019 (S) - LSB -02 SEF Supplemental #2 intends to apply th</t>
  </si>
  <si>
    <t xml:space="preserve"> Republic of the Philippines Province of Leyte BRGY. POBLACION ZONE 1, CAPOOCAN, LEYTE -oOo- BIDS AND AWARD COMMITTEE INVITATION TO BID  FOR THE PROCUREMENT OF CCTV 1.	The Brgy. Poblacion Zone I Capoocan, Leyte, through the 20% Development Funds of 2020 in</t>
  </si>
  <si>
    <t xml:space="preserve"> INVITATION TO BID  SUPPLY AND DELIVERY OF CONSTRUCTION MATERIALS FOR THE CONSTRUCTION OF CONCRETE BRIDGE LOCATED AT PUROK 2, SITIO SUPON, ALEGRIA, SAN FRANCISCO, AGUSAN DEL SUR 1.	The LGU BARANGAY ALEGRIA OF SAN FRANCISCO, AGUSAN DEL SUR, through the BIDS</t>
  </si>
  <si>
    <t xml:space="preserve"> Republic of the Philippines Province of Cagayan Municipality of Baggao INVITATION TO BID FOR THE PROCUREMENT OF GOODS The Barangay San Jose, Baggao, Cagayan, through the Provincial Assistance CY 2018 intends to apply the sum of  Two Hundred Eighty Eight T</t>
  </si>
  <si>
    <t xml:space="preserve"> INVITATION TO BID The Municipal Government of San Narciso, Quezon through its Bids and Award Committee (BAC), invites registered suppliers with DTI, Mayor’s Permit and PhilGEPS, if found eligible, to bid or the hereunder contract: Name of Contract : 	Supp</t>
  </si>
  <si>
    <t xml:space="preserve"> Installation of Ceiling</t>
  </si>
  <si>
    <t xml:space="preserve"> Republic of the Philippines Province of Cagayan Municipality of Baggao INVITATION TO BID FOR THE PROCUREMENT OF GOODS The Barangay San Jose, Baggao, Cagayan, through the 20% Barangay Development Fund CY 2019 intends to apply the sum of  One Hundred Six Th</t>
  </si>
  <si>
    <t xml:space="preserve"> Republic of the Philippines Province of Cagayan Municipality of Baggao INVITATION TO BID FOR THE PROCUREMENT OF GOODS The Barangay Asinga-Via, Baggao, Cagayan, through the 20% BDF CY 2020 intends to apply the sum of Two Hundred Forty Nine Thousand Three H</t>
  </si>
  <si>
    <t xml:space="preserve"> SUPPLY AND DELIVERY OF VARIOUS OFFICE SUPPLIES FOR OFFICIAL USE OF CENRO SOCORRO Delivery Period: within 30 days See Attached Request for Quotation for the items to be procured. Interested Supplier shall submit the filled-up RFQ Form together with a copy </t>
  </si>
  <si>
    <t xml:space="preserve"> Invitation to Bid  For the Installation of Street Lighting System at Brgy. Punong, Lapuz, Iloilo City 1.	The City of Iloilo, through the 20% Development Fund, CY2019 intends to apply the sum of Five Hundred Thousand Pesos (Php 500,000.00) being the Approv</t>
  </si>
  <si>
    <t xml:space="preserve"> Invitation to Bid  For the Construction/Rehabilitation of Existing Drainage System at Brgy. Loboc, lapuz, Iloilo City 1.	The City of Iloilo, through the 20% Development Fund, CY2019 intends to apply the sum of Five Hundred Thousand Pesos (Php 500,000.00) </t>
  </si>
  <si>
    <t xml:space="preserve"> INVITATION TO BID The Municipal Government of San Narciso, Quezon through its Bids and Award Committee (BAC), invites registered suppliers with DTI, Mayor’s Permit and PhilGEPS, if found eligible, to bid or the hereunder contract: Name of Contract : 	Inst</t>
  </si>
  <si>
    <t xml:space="preserve"> Republic of the Philippines City of Cagayan de Oro BIDS AND AWARDS COMMITTEE  INVITATION TO BID  FOR  Supply and Delivery of One (1) Unit Dropside Truck; PR No. 20-1367 dated 01 April 2020; SN 127 - 2020 1.	The City Government of Cagayan de Oro, through G</t>
  </si>
  <si>
    <t xml:space="preserve"> Invitation to Bid  For the Fabrication and Installation of Grills in Classrooms of Four (4) Storey Building at Fort San Pedro National High School, Iloilo City 1.	The City of Iloilo, through the SEF, CY2018 intends to apply the sum of Six Hundred Sixty Th</t>
  </si>
  <si>
    <t xml:space="preserve"> Invitation to Bid  For the Installation of Street Lighting System at Brgy. Ingore, Lapaz, Iloilo City 1.	The City of Iloilo, through the 20% Development Fund, CY2019 intends to apply the sum of Eight Hundred Thousand Pesos (Php 800,000.00) being the Appro</t>
  </si>
  <si>
    <t xml:space="preserve"> Invitation to Bid  For the Rehabilitation/Construction of Public Alley at Brgy. Concepcion, City Proper, Iloilo City 1.	The City of Iloilo, through the 20% Development Fund, CY2019 intends to apply the sum of Seven Hundred Fifty Thousand Pesos (Php 750,00</t>
  </si>
  <si>
    <t xml:space="preserve"> Invitation to Bid  For the Construction of Three (3) Storey 6 Classroom with Demolition at A. Mirasol Elementary School, mandurriao, Iloilo City 1.	The City of Iloilo, through the 20% Development Fund, CY2019 intends to apply the sum of Twenty One Million</t>
  </si>
  <si>
    <t xml:space="preserve"> To Provide Security Services for Silay City Water District (St. Francis Villa Rosario Pumping Station) for the period July 1 to December 31, 2020 1. ONE (1) GUARD AT ST. FRANCIS VILLA ROSARIO (SFVR) PUMPING STATION 2. SCHEDULE OF DUTY: - 12 HOURS SHIFT - </t>
  </si>
  <si>
    <t xml:space="preserve"> Invitation to Bid  For the Completion of Two (2) Storey Building Six (6) Classrooms at Uswag San Isidro Elementary School, Jaro, Iloilo City 1.	The City of Iloilo, through the SEF Capital Outlay SB No. 1, CY2018 intends to apply the sum of Four Million Fi</t>
  </si>
  <si>
    <t xml:space="preserve"> Invitation to Bid  For the Construction/Rehabilitation of Existing Drainage System at Brgy. Tabuc Suba, Jaro, Iloilo City 1.	The City of Iloilo, through the 20% ADF, CY2019 intends to apply the sum of Two Million Five Hundred Thousand Pesos (Php 2,500,000</t>
  </si>
  <si>
    <t xml:space="preserve"> Invitation to Bid  For the Construction of Two (2) Storey Eight (8) Classrooms Building at N.J. Elementary School, Lapaz, Iloilo City 1.	The City of Iloilo, through the SEF Capital Outlay, CY2019 intends to apply the sum of Nineteen Million Pesos (Php 19,</t>
  </si>
  <si>
    <t xml:space="preserve"> BIDS AND AWARDS COMMITTEE REQUEST FOR QUOTATION The Local Government Unit of Labason, Z.N., invites all interested registered supplier to submit quotation for the Purchase of One (1) Unit 1.5 HP Air Condition for DILG Office: Approved Budget for the Contr</t>
  </si>
  <si>
    <t xml:space="preserve"> Invitation to Bid  For the Construction/Rehabilitation of Existing Drainage System at Brgy. Don Esteban, Lapuz, Iloilo City 1.	The City of Iloilo, through the 20% Development Fund, CY2019 intends to apply the sum of One Million Pesos (Php 1,000,000.00) be</t>
  </si>
  <si>
    <t xml:space="preserve"> Invitation to Bid  For the Construction/Rehabilitation/Repair/Widening of Roads at Brgy. Tabuc Suba (Urban Poor Village Petals Ville) Jaro, Iloilo City 1.	The City of Iloilo, through the 20% Development Fund, CY2020 intends to apply the sum of Three Milli</t>
  </si>
  <si>
    <t xml:space="preserve"> BIDS AND AWARDS COMMITTEE REQUEST FOR QUOTATION The Local Government Unit of Labason, Z.N., invites all interested registered supplier to submit quotation for the Purchase of IT Equipments for HRMO: Approved Budget for the Contract (ABC):  33,000.00 Sourc</t>
  </si>
  <si>
    <t xml:space="preserve"> Invitation to Bid  For the Construction/Rehabilitation/Repair/Widening of Roads at ICAG Road, Molo, Iloilo City 1.	The City of Iloilo, through the 20% Development Fund, CY2020 intends to apply the sum of Two Million Pesos (Php 2,000,000.00) being the Appr</t>
  </si>
  <si>
    <t xml:space="preserve"> Invitation to Bid  For the Rehabilitation of All Gabaldon Building at Iloilo Central Elementary School, City Proper, Iloilo City 1.	The City of Iloilo, through the SEF Capital Outlay SB No. 2, CY2019 intends to apply the sum of Seven Million Pesos (Php 7,</t>
  </si>
  <si>
    <t xml:space="preserve"> Invitation to Bid  For the Construction of ICARE Center at Time Square Gaisano, Gaisano Time Square Center Compound, B. Aquino Ave. Mandurriao, Iloilo City 1.	The City of Iloilo, through the General Fund SB No. 3, CY2019 intends to apply the sum of Thirty</t>
  </si>
  <si>
    <t xml:space="preserve"> To Provide Security Services for Silay City Water District (Office) for the period July 1 to December 31, 2020 1. THREE (3) GUARDS AT SICIWA OFFICE. 2. SCHEDULE OF DUTY: - EVERY 8 HOURS SHIFT - 24 HOURS &amp; 7 DAYS A WEEK Other Information: Please Indicate i</t>
  </si>
  <si>
    <t xml:space="preserve"> Invitation to Bid  For the Construction/Rehabilitation of Existing Drainage System at Brgy. San Isidro, Lapaz, Iloilo City 1.	The City of Iloilo, through the 20% Development Fund, CY2019 intends to apply the sum of One Million Pesos (Php 1,000,000.00) bei</t>
  </si>
  <si>
    <t xml:space="preserve"> Republic of the Philippines Province of Ilocos Norte MUNICIPALITY OF PIDDIG BARANGAY ANAO INVITATION TO BID FOR Supply and Delivery of Construction Supplies and Materials for the various projects of Brgy. Anao 1. The Barangay Council of Anao through the  </t>
  </si>
  <si>
    <t xml:space="preserve"> To Provide Security Services for Silay City Water District (Bon-Bon Pumping Station) for the period July 1 to December 31, 2020 1. ONE (1) GUARD AT BON-BON PUMPING STATION 2. SCHEDULE OF DUTY: - 12 HOURS SHIFT - FROM 6PM TO 6AM THE NEXT DAY Other Informat</t>
  </si>
  <si>
    <t xml:space="preserve"> To Provide Security Services for Silay City Water District (NHA 1/Yolanda Pumping Station) for the period July 1 to December 31, 2020 1. ONE (1) GUARD AT NHA 1/YOLANDA PUMPING STATION 2. SCHEDULE OF DUTY: - 12 HOURS SHIFT - FROM 6PM TO 6AM THE NEXT DAY Ot</t>
  </si>
  <si>
    <t xml:space="preserve"> Invitation to Bid  For the Construction/Rehabilitation/Repair/Widening of Roads at Brgy. Claudio Castilla, EL-98, Jaro, Iloilo City 1.	The City of Iloilo, through the 20% Development Fund, CY2020 intends to apply the sum of Two Million Seven Hundred Sixty</t>
  </si>
  <si>
    <t xml:space="preserve"> Republic of the Philippines City of Cagayan de Oro BIDS AND AWARDS COMMITTEE Invitation to Bid  for Completion of City Hospital - Lumbia (Phase II); SN 128 - 2020 ` 1.	The City Government of Cagayan de Oro, through the Current Appropriation, Annual Budget</t>
  </si>
  <si>
    <t xml:space="preserve"> Republic of the Philippines						 DEPARTMENT OF PUBLIC WORKS AND HIGHWAYS						 OFFICE OF THE DISTRICT ENGINEER						 BENGUET 1ST DISTRICT ENGINEERING OFFICE						 Wangal, La Trinidad, Benguet						 DPWH - Benguet 1st District Engineering Office			P.R. No</t>
  </si>
  <si>
    <t xml:space="preserve"> City Government of Manila INVITATION TO BID NO. 2020-06-51A Procurement of Thirty-One (31) Air Conditioning Units 1.	The City Government of Manila, through the General Fund CY 2020 – Office Equipment intends to apply the sum of Two Million Four Hundred Fi</t>
  </si>
  <si>
    <t xml:space="preserve"> Republic of the Philippines Province of Negros Occidental Bids &amp; Awards Committee Bacolod City INVITATION TO BID  The Provincial Government of Negros Occidental through its Bids and Awards Committee [BAC] invites interested bidders to apply for eligibilit</t>
  </si>
  <si>
    <t xml:space="preserve"> [BLGU-Brgy. Ward I-SAN ANTONIO, N. SAMAR] Invitation to Bid for [ INFRASTRUCTURE PROJECTS –Improvement Multipurpose Building] 1.	The [BLGU-Brgy. Ward I-SAN ANTONIO], through the [GENERAL FUND]  intends to apply the sum of [THREE HUNDRED THOUSAND PESOS ONL</t>
  </si>
  <si>
    <t xml:space="preserve"> PLEASE SEE ATTACHED ITB.</t>
  </si>
  <si>
    <t xml:space="preserve"> ANNEX A” 		 Price Quotation Form Date:____________________ The BAC Chairperson PMMA Complex, San Narciso, Zambales Sir/Madam: After having carefully read and accepted the terms and conditions in the Request for Quotation, hereunder is our quotation/s for </t>
  </si>
  <si>
    <t xml:space="preserve"> Invitation to Bid  For the Repair of Classrooms at Sambag Elementary School, Jaro, Iloilo City 1.	The City of Iloilo, through the SEF Capital Outlay SB No. 1, CY2018 intends to apply the sum of Three Million Four Hundred Thousand Pesos (Php 3,400,000.00) </t>
  </si>
  <si>
    <t xml:space="preserve"> INVITATION TO BID Improvement of Canal Service Roads 1.	 The NIA-MARIIS Division II, through the GAA CY  2019  intends to apply the sum of Two Million Two Thousand Five Hundred Eighty Three Pesos &amp; Seventy Six  Centavos (₱2,002,583.76) being the Approved </t>
  </si>
  <si>
    <t xml:space="preserve"> PR No: 	 20-05-0116 	 Date: May 29, 2020 	 Office/Section:		HRAS		 Responsibility Center Code 			 							 Stock/	Unit	Item  Description 		 Quantity 	 Unit Cost 	 Total Cost 	 Property No.							 		Hand Soap		 10.00 	 550.00 	 5,500.00 	 		Disinfectant		 3</t>
  </si>
  <si>
    <t xml:space="preserve"> City Government of Manila INVITATION TO BID NO. 2020-06-55A Procurement of Various I.T. Equipment 1.	The City Government of Manila, through the General Fund CY 2020 – Information &amp; Communication Technology Equipment (Capital Outlay) intends to apply the s</t>
  </si>
  <si>
    <t xml:space="preserve"> Republic of the Philippines DEPARTMENT OF PUBLIC WORKS AND HIGHWAYS 		OFFICE OF THE DISTRICT ENGINEER Albay 3rd District Engineering Office Paulog, Ligao City INVITATION/REQUEST FOR SUBMISSION OF PRICE QUOTATIONS The Bids and Awards Committee (BAC) of the</t>
  </si>
  <si>
    <t xml:space="preserve"> PB NO. 2020-033		 			 1.	1	lot	Proposed Additional Floor and its completion of Dormitory Type Hotel at Brgy. San Jose, San Pablo City. 			By: Contract 			 	Deadline for Submission of Bids: July 1, 2020 10:00 am</t>
  </si>
  <si>
    <t xml:space="preserve"> City Government of Manila INVITATION TO BID NO. 2020-06-56A Procurement of Food and Drinks 1.	The City Government of Manila, through the General Fund CY 2020 – Extraordinary &amp; Miscellaneous Expenses intends to apply the sum of Two Million Pesos Only (Php2</t>
  </si>
  <si>
    <t xml:space="preserve"> Republic of the Philippines PROVINCE OF SOUTHERN LEYTE Municipality of San Juan BIDS AND AWARD COMMITTEE INVITATION TO BID FOR  Supply and Delivery of DOLE KABUHAYAN PROGRAM for Native Children and Egg Production The Municipality of San Juan through the D</t>
  </si>
  <si>
    <t xml:space="preserve"> SCOPE OF WORK IN EACH BARANGAY: I. STRUCTURE EXCAVATION 1.15 CU.M. II. CONCRETE WORKS 0.96 CU.M. III. INSTALLATION OF STEEL POST &amp; SOLAR LIGHTS  5 UNITS IV. PAINTING WORKS 1 LOT</t>
  </si>
  <si>
    <t xml:space="preserve"> INVITATION TO BID Improvement of Canal Service Roads 1.	 The NIA-MARIIS Division II, through the GAA CY  2019  intends to apply the sum of Two Million Seven Hundred Forty Thousand Five Hundred Fifteen Pesos &amp; Sixty Four  Centavos (₱2,745,515.64) being the</t>
  </si>
  <si>
    <t xml:space="preserve"> ITEM NO.                        DESCRIPTION                         UNIT     QUANTITY SPL 1         Mobilization &amp; Demobilization                         lot          1.00 SPL 2         Construction Safety and Health Program         lot          1.00 SPL </t>
  </si>
  <si>
    <t xml:space="preserve"> OPENING OF BIDS IN DSWD FO IX ZAMBOANGA CITY		 DELIVERY IN DSWD-AVRC III MAMPANG, ZAMBOANGA CITY		 PROCUREMENT FOR THE FF.:		 		 1	UNIT	SPHYGMOMANOMETER (POTABLE WITH WHEEELS) 1	UNIT	BP APPARATUS (ANEROID) 1	UNIT	STETHOSCOPE, GOOD QUALITY 2	UNIT	THERMO SC</t>
  </si>
  <si>
    <t xml:space="preserve"> Lot 2 Organic Fertilizer (50kg/bag) - 100 bag Urea (50kg/bag) - 40 bag Complete Fertilizer (50kg/bag) - 30 bag 0-0-60 (50 kg/bag) - 10 bag Pesticide (1L) - 10 liter Herbicide (1L) - 10 liter Fungicide (10pcs/pack) - 10 pack Sack (50kg capacity, netted) - </t>
  </si>
  <si>
    <t xml:space="preserve"> City Government of Manila INVITATION TO BID NO. 2020-06-65A Procurement of Various Office Supplies 1.	The City Government of Manila, through the General Fund CY 2020 – Office Supplies Expenses intends to apply the sum of Two Million Three Hundred Seven Th</t>
  </si>
  <si>
    <t xml:space="preserve"> 16 sacks rice 9000 packs milk choco powder Purpose: Supplemental feeding program for undernourished preschool children ABC: Php 110,400.00 Bid Opening: June 16, 2020 @ 9:00 AM New Municipal Building - BPLO Ground Floor Poblacion, Rosario, Agusan del Sur F</t>
  </si>
  <si>
    <t xml:space="preserve"> REQUEST FOR EXPRESSION OF INTEREST (REI) FOR CONDUCT OF RELOCATION SURVEY OF ROAD-RIGHT-OF-WAY (RROW) OF MUNICIPALITIES OF KINOGUITAN, BALINGOAN AND TALISAYAN, ALL BARANGAYS ALONG BUTUAN-CAGAYAN DE ORO-ILIGAN ROAD (BCIR) WITHIN MUNICIPALITIES OF KINOGUITA</t>
  </si>
  <si>
    <t xml:space="preserve"> 1. The  Municipality  of   Laua-an,  Antique   intends  to  apply  the  sum   of One Million Two Hundred Thousand Two Hundred Forty Eight Pesos Only (Php1,200,248.00) being the Approved  Budget  for the  Contract  (ABC) to payments under the contract Purc</t>
  </si>
  <si>
    <t xml:space="preserve"> Repair and Maintenance of Breastfeeding Room for Lactating Mothers</t>
  </si>
  <si>
    <t xml:space="preserve"> CONTRACT NO.: BNLSL-LCB-05A-2019 LOCATION: Labiranan CIP, Dulag, Leyte SCOPE OF WORK: Construction of Canal System APPROVED BUDGET FOR CONTRACT: Php 1,208,392.19 CONTRACT DURATION: 60 calendar days Bidding will be conducted in accordance with relevant pro</t>
  </si>
  <si>
    <t xml:space="preserve"> 1 UNIT AMBULANCE  PHILIPPINE BIDDING DOCUMENTS Procurement of GOODS Government of the Republic of the Philippines Third Edition October 2009   Preface These Philippine Bidding Documents (PBDs) for the procurement of Goods through Competitive Bidding have </t>
  </si>
  <si>
    <t xml:space="preserve"> Lot 4 Organic Fertilizer (50kg/bag) - 100 bag Urea (50kg/bag) - 40 bag Complete Fertilizer (50kg/bag) - 30 bag 0-0-60 (50 kg/bag) - 10 bag Pesticide (1L) - 10 liter Herbicide (1L) - 10 liter Fungicide (10pcs/pack) - 10 pack Sack (50kg capacity, netted) - </t>
  </si>
  <si>
    <t xml:space="preserve"> Construction of Flood Control Project (Gabion Type) Along Paliwan River at Brgy. Guinbanga-an &amp; Jaguiquican, structure excavation, Gabion, Filter Cloth, Mobilization/Demobilization, Project Billboard, Occupational Safety and Health Program</t>
  </si>
  <si>
    <t xml:space="preserve"> Republic of the Philippines Province of Iloilo  BIDS AND AWARDS COMMITTEE REQUEST FOR QUOTATION Quotation No.PROS-20-0387-NP (SV) Reference PR No. PROS-20-0387 March 19, 2020 ______________________________ ______________________________ __________________</t>
  </si>
  <si>
    <t xml:space="preserve"> 200       pcs        PPE Suit with Hood             179,000.00                                                       Tota:    179,000.00</t>
  </si>
  <si>
    <t xml:space="preserve"> Total Security Antivirus  • 5 devices for 2 years  • Blocks viruses, cryptolockers &amp; other threats • Protects payments, with bank-grade encryption  • Secures passwords &amp; images of personal documents  • Encrypts data you send &amp; receive online – VPN  • Stop</t>
  </si>
  <si>
    <t xml:space="preserve"> Approved By: REYNALDO VIVIT BAC CHAIRMAN</t>
  </si>
  <si>
    <t xml:space="preserve"> INVITATION TO APPLY FOR ELIGIBILITY AND TO BID The Local Government Unit-Barangay Salog, Sorsogon City throught its Bids and Awards Committee (BAC), invites suppliers registered with and classified by the Department of Trade and Industry(DTI), to bid for </t>
  </si>
  <si>
    <t xml:space="preserve"> Compact Disc Recordable Compact Disc Rewritable Continous Forms, 11 x 14 7/8 - 3 Ply Ink, HP 678, Black Ink, HP 678, Colored Ink, Rizograph Ink, Toner for Xerox Machine Master Roll Stencil for Rizograph (100 cuts) Ink, "790 Canon Pixma, BK Ink, "790 Canon</t>
  </si>
  <si>
    <t xml:space="preserve"> I. Well Development II. Electrical Works</t>
  </si>
  <si>
    <t xml:space="preserve"> 300.0     BAGS      PORTLAND CEMENT 34.O       CU.M      SAND 6.0         CU.M      GRAVEL 20.0       PCS.       10MM DEF. BARS 4.0         KGS.       #16 TIE WIRE</t>
  </si>
  <si>
    <t xml:space="preserve"> Republic of the Philippines PROVINCE OF SAMAR Municipality of Pinabacdao Invitation to Bid Repair of Brgy. Mambog Multi-purpose School Building (District Office) Pinabacdao Samar 1. The LOCAL GOVERMENT UNIT of Pinabacdao Samar, through the FY 2020 Budget </t>
  </si>
  <si>
    <t xml:space="preserve"> Procurement of Hygiene and Sanitation Supplies</t>
  </si>
  <si>
    <t xml:space="preserve"> 2nd bidding 2 UNITS MOTORCYCLE 125CC</t>
  </si>
  <si>
    <t xml:space="preserve"> Invitation To Bid The Barangay Pinagbobongof Tabaco City through the Bids and Awards Committee (BAC) invites suppliers to bid for the hereunder contract: Name of Contract: Procurement of Materials for the Rehabilitation of Barangay Roads Location: Pinagbo</t>
  </si>
  <si>
    <t xml:space="preserve"> Paper, Pilot Bond Paper Long, Subst. 20  Paper, Hard Copy, Long, Subst. 20 Paper, Hard Copy, Short, Subst. 20 Paper, Pilot Bond Paper Short, Subst. 20</t>
  </si>
  <si>
    <t xml:space="preserve"> Republic of the Philippines Province of Masbate Municipality of Monreal BARANGAY FAMOSA BIDS AND AWARDS COMMITTEE INVITATION TO BID  									June 11, 2020 	The Barangay Local Government Unit of Famosa, Monreal, Masbate through its Bids and Awards Committ</t>
  </si>
  <si>
    <t xml:space="preserve"> INVITATION TO BID FOR  THE PROCUREMENT FOR THE SUPPLY, DELIVERY, INSTALLATION, TESTING AND COMMISSIONING OF TWO (2) UNITS OF PUMPING EQUIPMENT FOR THE IGACOS WATER DISTRICT’S WATER SUPPLY SYSTEM AND IMRPOVEMENT PROJECT  1.	The Igacos Water District Water </t>
  </si>
  <si>
    <t xml:space="preserve"> --------Qty.-----------Unit--------------ITEM/S DESCRIPTION ---------24------------gal---------------Epoxy primer gray ---------28------------gal---------------QDE international red ----------8------------gal---------------Lacquer thinner ----------4-----</t>
  </si>
  <si>
    <t xml:space="preserve"> REQUEST FOR QUOTATION										 SUPPLY AND DELIVERY OF  ICT EQUIPMENT										 SMALL VALUE 										 										 INSTRUCTION:									              	 1	1.	Supplies are required to read the instructions and fill all the blanks properly.								 2	2.	The s</t>
  </si>
  <si>
    <t xml:space="preserve"> Job Order of 9 units Sliding Window 1.) 4 units Fabrication and Installation of 1/4 thk. Bronze Glass Sliding Window 1 Anodized FD 100 Analok Aluminum Frame 1.25 m x 2.56 m. 4-Sliding Glass Panel 2.) 2 units Fabrication and Installation of 1/4 thk. Bronze</t>
  </si>
  <si>
    <t xml:space="preserve"> Supply and Delivery of IT Equipments</t>
  </si>
  <si>
    <t xml:space="preserve"> ------Qty.---------Unit-----------ITEM/S DESCRIPTION -------2-----------pcs------------Level Bar 4ft (Stanley) -------2-----------pcs------------Level Bar 2ft (Stanley) -------2-----------pcs------------Claw Hammer, Forged (Stanley) -------2-----------pcs</t>
  </si>
  <si>
    <t xml:space="preserve"> 2ND BIDDING CONCRETE FENCING FOR EVACUATION CENTER  Materials: 100 pcs. 10mm dia. DSB 10 kgs. Tie wire 50 bags Portland Cement 1500 pcs. 4" CHB</t>
  </si>
  <si>
    <t xml:space="preserve"> REQUEST FOR QUOTATION										 SUPPLY AND DELIVERY OF LED SMART TV										 SMALL VALUE PROCUREMENT										 										 INSTRUCTION:										               	1.	Supplies are required to read the instructions and fill all the blanks properly.								 	2</t>
  </si>
  <si>
    <t xml:space="preserve"> SUPPLY AND DELIVERY OF BRAND NEW SERVICE VEHICLES, INCLUDING PREVENTIVE MAINTENANCE SERVICE (2 LOTS) LOT 1: SUPPLY AND DELIVERY OF ONE (1) BRAND NEW SERVICE VEHICLE (21 SEATER VAN) WITH PREVENTIVE MAINTENANCE SERVICE LOT 2: SUPPLY AND DELIVERY OF ONE (1) </t>
  </si>
  <si>
    <t xml:space="preserve"> Procurement of Civil Works-Construction of 2 storey building to accommodate PUIs/PUMs</t>
  </si>
  <si>
    <t xml:space="preserve"> 5 pcs, Tire 195R 15C (106/104R) for Toyota Ambulance SLG-722</t>
  </si>
  <si>
    <t xml:space="preserve"> --------Qty.---------Unit-----------ITEM/S DESCRIPTION ---------1-----------tins-----------Roofshield Baguio Green ---------2-----------tins-----------Semi Gloss latex Asean Green --------16-----------tins-----------Semi Gloss Latex Cool Water ---------4-</t>
  </si>
  <si>
    <t xml:space="preserve"> SUPPLY AND DELIVERY OF BRAND NEW MOTORCYCLE WITH SINGLE PASSENGER SIDE CAR - Order of payment for Bid Docs will be available at GSD-Head Office @ 10th Floor Makati City Hall Bldg. 2.  Look for Mr. Reden Villanueva. - A complete set of Bidding Documents wi</t>
  </si>
  <si>
    <t xml:space="preserve"> 3        tank         Oxygen Regulator          4,500.00         13,500.00 3        tank         Oxygen tank                 18,550.00        56,650.00 2        boxes       Face Mask N95                2,800.00          5,600.00 15      boxes       Face M</t>
  </si>
  <si>
    <t xml:space="preserve"> REQUEST FOR QUOTATION										 SUPPLY AND DELIVERY OF  FILLING CABINET AND SOFA SET										 SMALL VALUE PROCUREMENT										 										 INSTRUCTION:										               	1.	Supplies are required to read the instructions and fill all the blanks pro</t>
  </si>
  <si>
    <t xml:space="preserve"> Electrode, Bronze NOTE: SEE ATTACHED PRE-PR &amp; RFQ FOR THE COMPLETE SPECS.</t>
  </si>
  <si>
    <t xml:space="preserve"> Republic of the Philippines CITY OF BAIS BIDS AND AWARDS COMMITTEE INVITATION TO APPLY FOR ELIGIBILITY AND TO BID 	The City Government of Bais invites interested bidders to apply for eligibility and to bid for Distribution to patients in various barangays</t>
  </si>
  <si>
    <t xml:space="preserve"> SUPPLY AND DELIVERY OF GROCERY SUPPLIES FOR VARIOUS OFFICES OF THE CITY GOVERNMENT OF MAKATI - Order of payment for Bid Docs will be available at GSD-Head Office @ 10th Floor Makati City Hall Bldg. 2.  Look for Mr. Reden Villanueva. - A complete set of Bi</t>
  </si>
  <si>
    <t xml:space="preserve"> Supply of office supplies and  consumables for Simata National High School</t>
  </si>
  <si>
    <t xml:space="preserve"> --------Qty.---------Unit----------ITEM/S DESCRIPTION ---------2-----------pcs----------Jack Hammer Bit ---------2-----------set----------Submersible Pump 1HP ---------1-----------pcs----------Pipe Cutter --------20-----------pcs----------Water Stop Seala</t>
  </si>
  <si>
    <t xml:space="preserve"> SUPPLY AND DELIVERY OF VARIOUS INSTRUMENTS/EQUIPMENT FOR MAKATI HEALTH DEPARTMENT - Order of payment for Bid Docs will be available at GSD-Head Office @ 10th Floor Makati City Hall Bldg. 2.  Look for Mr. Reden Villanueva. - A complete set of Bidding Docum</t>
  </si>
  <si>
    <t xml:space="preserve"> Republic of the Philippines BIDS AND AWARDS COMMITTEE 9017 Población, El Salvador City Misamis Oriental  Email: bac.elsalvadorcity@gmail.com INVITATION TO BID for the PROCUREMENT OF MATERIALS FOR CONSTRUCTION/REHAB OF WWS PROGRAMS FOR SAN FRANCISCO DE ASI</t>
  </si>
  <si>
    <t xml:space="preserve"> SUPPLY AND DELIVERY OF JANITORIAL AND CLEANING SUPPLIES FOR VARIOUS DEPARTMENTS/OFFICES IN THE CITY GOVERNMENT OF MAKATI - Order of payment for Bid Docs will be available at GSD-Head Office @ 10th Floor Makati City Hall Bldg. 2.  Look for Mr. Reden Villan</t>
  </si>
  <si>
    <t xml:space="preserve"> units		Panasonic AirConditioner 1.5hp Inverter 						3</t>
  </si>
  <si>
    <t xml:space="preserve"> Republic of the Philippines DEPARTMENT OF HEALTH DR. JOSE RIZAL MEMORIAL HOSPITAL Lawaan, Dapitan City Telefax; (065) 213-6421 Website: www.djrmh.doh.gov.ph Email: dohdjrmh@gmail.com BIDS AND AWARDS COMMITTEE INVITATION TO BID PROCUREMENT OF DRUGS AND MED</t>
  </si>
  <si>
    <t xml:space="preserve"> SUPPLY AND DELIVERY OF APPLIANCES AND OTHER EQUIPMENT FOR VARIOUS DEPARTMENTS/OFFICES OF THE CITY GOVERNMENT OF MAKATI  - Order of payment for Bid Docs will be available at GSD-Head Office @ 10th Floor Makati City Hall Bldg. 2.  Look for Mr. Reden Villanu</t>
  </si>
  <si>
    <t xml:space="preserve"> --------Qty.---------Unit---------ITEM/S DESCRIPTION ----------------------------------Waterproofing and Painting Works --------15----------tins----------Roofguard baguio green ---------1----------tins----------Semi gloss latex asean green ---------2-----</t>
  </si>
  <si>
    <t xml:space="preserve"> PURCHASE OF MICRONUTRIENT POWDER FOR COMPREHENSIVE NUTRITION PROGRAM - Order of payment for Bid Docs will be available at GSD-Head Office @ 10th Floor Makati City Hall Bldg. 2.  Look for Mr. Reden Villanueva. - A complete set of Bidding Documents will be </t>
  </si>
  <si>
    <t xml:space="preserve"> PLEASE SEE ATTACHED DOCUMENTS</t>
  </si>
  <si>
    <t xml:space="preserve"> Republic of the Philippines CITY OF BAIS BIDS AND AWARDS COMMITTEE INVITATION TO APPLY FOR ELIGIBILITY AND TO BID 	The City Government of Bais invites interested bidders to apply for eligibility and to bid to provide essential non-communicable disease pre</t>
  </si>
  <si>
    <t xml:space="preserve"> The Barangay Barancuag, Tuao Cagayan through its Supplemental Fund intends to apply the sum of Php 130,000.00  being the Approved Budget for the Contract (ABC) to payments under the contract for Purchased of Motorcycle. Bids received in excess of the ABC </t>
  </si>
  <si>
    <t xml:space="preserve"> The MUNICIPALITY OF CALINTAAN, through the 20% Local Development Fund intends to apply the sum of One Million One Hundred  Fifty Thousand Pesos Only (Php1,150,000.00) being the Approved Budget for the Contract (ABC) to payment  under the contract for the </t>
  </si>
  <si>
    <t xml:space="preserve"> Diesel fuel		ltrs	1378</t>
  </si>
  <si>
    <t xml:space="preserve"> Submission of RFQ = June 18, 2020, 9:00am at Municipal Hall, Casiguran, Sorsogon</t>
  </si>
  <si>
    <t xml:space="preserve"> QTY	UNIT	ITEM DESCRIPTION 		  7,140.00 	cu.m.	Compacted Solid Waste (Garbage) Hauling &amp; Disposal to Contractor's Disposal Site</t>
  </si>
  <si>
    <t xml:space="preserve"> The Barangay Cagumitan, Tuao Cagayan through its 20% Barangay Dev’t fund intends to apply the sum of Php 146,420.00 being the Approved Budget for the Contract (ABC) to payments under the contract for Procurement of Materials for the Improvement of Multi-P</t>
  </si>
  <si>
    <t xml:space="preserve"> Heavy Duty Storage Tub Black (Large) 2 pcs Heavy Duty Storage Tub Black (Medium) 2 pcs Heavy Duty Storage Tub Black (Small) 2 pcs Total Amount: P 10,000.00</t>
  </si>
  <si>
    <t xml:space="preserve"> OUTSOURCING OF IMAGING SERVICES FOR VULNERABLE GROUPS THROUGH AN ORDERING AGREEMENT - Order of payment for Bid Docs will be available at GSD-Head Office @ 10th Floor Makati City Hall Bldg. 2.  Look for Mr. Reden Villanueva. - A complete set of Bidding Doc</t>
  </si>
  <si>
    <t xml:space="preserve"> Republic of Philippines								 City of Canlaon								 OFFICE OF THE BIDS AND AWARDS COMMITTEE								 REQUEST FOR SEALED QUOTATION								 								 								 				Date:	10-Jun-20			 				Quotation No.:	2020-06-0160			 				PR No.:	2020-06-161-B			 				Depar</t>
  </si>
  <si>
    <t xml:space="preserve"> Courier Services for PSO Bukidnon 12months (1year) PR NO. 2020-06-037.</t>
  </si>
  <si>
    <t xml:space="preserve"> 2.	Procurement ID/Contract I.D.: 20CN0151 A.	Repair/Maintenance of Pingit Creek Revetment 2 &amp; 3 Flood Control, Brgy. Pingit, Baler, Aurora B.	Repair/Maintenance of Cabatangan River Revetment 2 Flood Control, Brgy. Dikildit, Maria Aurora, Aurora Brief Desc</t>
  </si>
  <si>
    <t xml:space="preserve"> -------Qty.---------Unit----------ITEM/S DESCRIPTION -------13-----------gal----------Liquid Solution Concentrate Disinfectant ---------------------------------100% organic, non toxic, golden brown liquid</t>
  </si>
  <si>
    <t xml:space="preserve"> SUPPLY AND DELIVERY OF OFFICE EQUIPMENT AND SUPPLIES FOR VARIOUS DEPARTMENTS/OFFICES OF THE CITY GOVERNMENT OF MAKATI  - Order of payment for Bid Docs will be available at GSD-Head Office @ 10th Floor Makati City Hall Bldg. 2.  Look for Mr. Reden Villanue</t>
  </si>
  <si>
    <t xml:space="preserve"> Rental (Van for Hire) For the Month of August  * for Cotabato City                   (2 Van x 1 trip x Php 5,000.00) * for north cotabato areas        (2Van x 2 Trips  x Php 5,000.00) * for S.K  areas                           ( 2 Van x 2 Trips x Php 5,00</t>
  </si>
  <si>
    <t xml:space="preserve"> Republic of the Philippines CITY OF BAIS BIDS AND AWARDS COMMITTEE INVITATION TO APPLY FOR ELIGIBILITY AND TO BID 	The City Government of Bais invites interested bidders to apply for eligibility and to bid to be used as Assistive Devices to given to Perso</t>
  </si>
  <si>
    <t xml:space="preserve"> Republic of the Philippines CITY OF BAIS BIDS AND AWARDS COMMITTEE INVITATION TO APPLY FOR ELIGIBILITY AND TO BID 	The City Government of Bais invites interested bidders to apply for eligibility and to bid to be used at the Evacuation Center during Calami</t>
  </si>
  <si>
    <t xml:space="preserve"> Contract ID No. :	20CSPH01 Project:	Geotechnical Investigation for Slope Protection Projects along Various Road Sections in Mountain Province for FY 2020 Location:	Various Road Section in Mountain Province Objectives:	To provide important data necessary i</t>
  </si>
  <si>
    <t xml:space="preserve"> Procurement ID/Contract I.D.: 20CN0150 Contract Name: Construction of Multi-Purpose Building Contract Location: Brgy. Dibaraybay, Dinalungan, Aurora Brief Description: Civil, Mechanical, Electrical, and Sanitary/Plumbing Works; Earthworks, Plain and Reinf</t>
  </si>
  <si>
    <t xml:space="preserve"> INVITATION TO APPLY FOR ELIGIBILITY AND TO BID The Municipality of San Pablo Province of Zamboanga del Sur, through its Bids and Awards Committee (BAC), invites all interested suppliers/manufacturers/distributors/contractors to apply for eligibility and t</t>
  </si>
  <si>
    <t xml:space="preserve"> Diesel fuel		ltrs	5442</t>
  </si>
  <si>
    <t xml:space="preserve"> QTY	UNIT	ITEM DESCRIPTION 		  1.00 	lot	Clearing  99.87 	cu.m.	Grouted Riprap</t>
  </si>
  <si>
    <t xml:space="preserve"> OUTSOURCING OF BASIC CLINICAL AND DIAGNOSTIC LABORATORY SUPPLIES AND SERVICES THROUGH AN ORDERING AGREEMENT  - Order of payment for Bid Docs will be available at GSD-Head Office @ 10th Floor Makati City Hall Bldg. 2.  Look for Mr. Reden Villanueva. - A co</t>
  </si>
  <si>
    <t xml:space="preserve"> The Provincial Government of Laguna through its Bids and Awards Committee (BAC) invites suppliers/manufacturers/distributors/contractors to submit quotations for the hereunder project:  Name of Project	:	IV Fluids for LPH-Gen. J. Cailles Memorial District</t>
  </si>
  <si>
    <t xml:space="preserve"> 120 bot. Ink Bottle, C13T00V100, black 60 bot. Ink Bottle,  C13T00V100, Cyan, etc.       x-x-x-x-x</t>
  </si>
  <si>
    <t xml:space="preserve"> The Provincial Government of Laguna through its Bids and Awards Committee (BAC) invites suppliers/manufacturers/distributors/contractors to submit quotations for the hereunder project:  Name of Project	:	Medicines for Laguna Chest Center Location	:	Sta. C</t>
  </si>
  <si>
    <t xml:space="preserve"> Procurement of Deep Well Hand Pumps Materials for Zones 3, 5 &amp; 6 of Barangay Banaoang, Sta. Barbara, Pangasinan. List of Materials: 1.) 3 x Units Jetmatic Hand Pump 2.) 33 x Pcs GI Pipe 1 &amp; 1/2 Schedule 40 3.) 33 x Pcs GI Coupling 1 &amp; 1/2 Schedule 40 4.) </t>
  </si>
  <si>
    <t xml:space="preserve"> --------Qty.---------Unit----------ITEM/S DESCRIPTION ---------1-----------set-----------Vacuum Pump 1HP HQ ---------1-----------set-----------Oxy Acetylene w/ Welding &amp; Cutting Outfit ---------1-----------set-----------Oxy Acetylene Tank (Filled) -------</t>
  </si>
  <si>
    <t xml:space="preserve"> The Provincial Government of Laguna through its Bids and Awards Committee (BAC) invites suppliers/manufacturers/distributors/contractors to submit quotations for the hereunder project:  Name of Project	:	Drugs and Medicines for LPH-Luisiana District Hospi</t>
  </si>
  <si>
    <t xml:space="preserve"> Republic of Philippines								 City of Canlaon								 OFFICE OF THE BIDS AND AWARDS COMMITTEE								 REQUEST FOR SEALED QUOTATION								 								 								 				Date:	10-Jun-20			 				Quotation No.:	2020-06-0162			 				PR No.:	2020-06-162-B			 				Depar</t>
  </si>
  <si>
    <t xml:space="preserve"> CONTRACT NO.: MPBRIS-LCB-08A-2019 LOCATION: Mainit RIS, Alangalang, Leyte SCOPE OF WORK: Construction of Canal System APPROVED BUDGET FOR CONTRACT: Php 1,642,033.01 CONTRACT DURATION: 150 calendar days Bidding will be conducted in accordance with relevant</t>
  </si>
  <si>
    <t xml:space="preserve"> The Barangay Dagupan, Tuao Cagayan through its Supplemental Fund intends to apply the sum of  Php 300,000.00  being the Approved Budget for the Contract (ABC) to payments under the contract for  PURCHASED OF MULTI-CAB/BARANGAY PATROL CAR. Bids received in</t>
  </si>
  <si>
    <t xml:space="preserve"> SCOPE OF WORKS IN EACH BARANGAY: I. EXCAVATION WORKS   29.40 CU.M. II. CONCRETE WORKS 5.08 CU.M. III. MASONRY WORKS 81.60 SQ.M.</t>
  </si>
  <si>
    <t xml:space="preserve"> Diesel fuel		ltrs	1875</t>
  </si>
  <si>
    <t xml:space="preserve"> 139 bags  Complete Fertilizer (14-14-14) 140 bags  Ammonium Phosphate (16-20-0) 140 bags  Urea (46-20-0) 44   bags  17-0-17 35   bags  Certified Rice Seeds (222) 42   kg       Molluscicides (pellet) 46   liter    Herbicide (post emergent) Place of Deliver</t>
  </si>
  <si>
    <t xml:space="preserve"> Procurement ID/Contract I.D.: 20CN0152 Contract Name: Repair/Rehabilitation of Slope Protection along National Roads Contract Location: A. Castañeda – Ma. Aurora San Luis Road, K0226+375, K0202+850, Dimasalang Bridge Brief Description: Earthworks, Bridge </t>
  </si>
  <si>
    <t xml:space="preserve"> The MUNICIPALITY OF CALINTAAN, through the 20% Local Development Fund intends to apply the sum of One Million Three Hundred Thousand Pesos Only (Php1,300,000.00) being the Approved Budget for the Contract (ABC) to payment  under the contract for the Const</t>
  </si>
  <si>
    <t xml:space="preserve"> Standard Form Number: SF-INFR-05 Revised on:  July 29, 2004 INVITATION TO APPLY FOR ELIGIBILITY AND TO BID The LGU of  Barangay I, Mataasnakahoy, Batangas, through its Bids and Award Committee (BAC), invites contractors/suppliers registered with PHILGEPS </t>
  </si>
  <si>
    <t xml:space="preserve"> Location : Legazpi City, Albay Scope of Work : Concreting of 396.00 l.m. PCCP with Slope Protection Please be reminded that upon dropping of bids, the contractor’s authorized representative must present any but not limited to the following documents: 1.	A</t>
  </si>
  <si>
    <t xml:space="preserve"> concreting of pathway    L 1300m    W 0.50m      Th  0.075m</t>
  </si>
  <si>
    <t xml:space="preserve"> UNIT COST                           TOTAL COST EMERGENCY LIGHT LED       60 UNIT                4,900.00                               294,000.00 EXIT LIGHT SIGNAGE LED    40 UNIT                4,700.00                               188,000.00           </t>
  </si>
  <si>
    <t xml:space="preserve"> Laptop with complete accessories		Unit	1 Specification:						 Core i7 7th gen 7700 HQ Quad Core 3.80 ghz			 Max speed (2.80 ghz base speed) 8 Gb			 Ram DDR4, 512Gb ssd+1Tb HDD			 Nvidia GEFORCE GTX 1050 GDDRS 4Gb			 Dedicated + Intel HD 630, 14” Full HD		</t>
  </si>
  <si>
    <t xml:space="preserve"> Standard Form Number: SF-INFR-05 Revised on:  July 29, 2004 INVITATION TO APPLY FOR ELIGIBILITY AND TO BID The LGU of  Barangay Nangkaan, Mataasnakahoy, Batangas, through its Bids and Award Committee (BAC), invites contractors/suppliers registered with PH</t>
  </si>
  <si>
    <t xml:space="preserve"> 3 bot. Chlorhexidine, 5g/bot., etc.           x-x-x-x-x</t>
  </si>
  <si>
    <t xml:space="preserve"> 120 pcs. 15mm Dry Type Cast Iron Metal Water Meter</t>
  </si>
  <si>
    <t xml:space="preserve"> REQUEST FOR QUOTATION (OPEN CANVASS) Police Regional Office 2 through its Bids and Awards Committee (BAC) invites supplier/manufacturers/distributors/contractors to quote the lowest government price for the hereunder project: Name of the Project	Supply an</t>
  </si>
  <si>
    <t xml:space="preserve"> THE NATIONAL IRRIGATION ADMINISTRATION-SCIMO, THROUGH THE FUND 501 HAS THE APPROVED BUDGET FOR THE CONTRACT (ABC) AMOUNTING FOUR HUNDRED SIXTEEN THOUSAND FIVE HUNDRED FIFTEEN PESOS ONLY (416,515.00). QUOTATION RECEIVED IN EXCESS OF THE ABC SHALL BE AUTOMA</t>
  </si>
  <si>
    <t xml:space="preserve"> Installation of Street Light (Solar)</t>
  </si>
  <si>
    <t xml:space="preserve"> INVITATION TO BID  for the SUPPLY AND DELIVERY OF  CONSTRUCTION MATERIALS FOR WATER SYSTEM PROJECT 1. The BARANGAY SAN JOAQUIN of Capoocan, Leyte, through its FINANCIAL ASSISTANCE FROM PROVINCE OF LEYTE intends to apply the sum of SIXTY EIGHT THOUSAND TWO</t>
  </si>
  <si>
    <t xml:space="preserve"> 4	rolls	Masking Tape 24mmx54.8m 2	boxes	Staple Wire #35 300	pcs.	Ballpen (blue) 200	pcs.	Ballpen (black) 65	reams	Bookpaper sub24 or 80gsm legal size 65	reams	Bookpaper sub24 or 80gsm A4 size 175	pcs.	Ordinary Note Book (spiral 40 leaves) 20	bottles	Refil</t>
  </si>
  <si>
    <t xml:space="preserve"> (Procurement Of Goods) INVITATION TO BID FOR  ONE (1) UNIT BRGY.RESCUE VEHICLE (BONGGO DOUBL CAB) 1.	The Barangay Local Government of Baganian, Tabina, Zamboanga del Sur through the  20% Development Fund for the year 2012-2018 intends to apply the sum of </t>
  </si>
  <si>
    <t xml:space="preserve"> QTY	UNIT	ITEM DESCRIPTION 		  1.00 	lot	Clearing  406.00 	cu.m.	Grouted Riprap</t>
  </si>
  <si>
    <t xml:space="preserve"> 30 CANS RED GOLD TOMATO@25GRAMS 100 PACK/SACHET SWEET PEPPER 30 CANS SQUASH SUPREMA 25GRAMS 200 KLS. MONGGO SUPER YIELD 30 CANS AMPALAYA MESTIZA 50GRAMS 20 CANS WATER MELON BULILIT SWEET 16 (100GRAMS) 100 CANS BULILIT MEGA C</t>
  </si>
  <si>
    <t xml:space="preserve"> Republic of the Philippines Office of the Municipal Mayor BIDS AND AWARDS COMMITTEE Burgos, Ilocos Sur INVITATION TO BID The Municipal Government of Burgos, Ilocos Sur, through its Bids and Awards Committee (BAC) invites bids for the hereunder contract: 	</t>
  </si>
  <si>
    <t xml:space="preserve"> Procurement of Diesel for Light and Heavy Equipment</t>
  </si>
  <si>
    <t xml:space="preserve"> Laboratory &amp; Diagnostics Examinations for 83 personnel: Chest X-Ray (11x14) Fasting Blood sugar Total Cholesterol / HDL/LDL Blood Urea Nitrogen Blood Uric Acid Creatinine Triglycerides SGPT/SGOT CBC Urinalysis Eye Examination ECG</t>
  </si>
  <si>
    <t xml:space="preserve"> QTY	UNIT	ITEM DESCRIPTION 		  2.00 	set/s	Installation of Main Service  Entrance  146.00 	set/s	Purchase and Installation of Street Lights 		 		Note: Street Lights 		Brgy. Aguila - 2 set/s 		Brgy. Banaybanay I - 33 set/s 		Brgy. Banaybanay II - 3 set/s 		</t>
  </si>
  <si>
    <t xml:space="preserve"> QTY	UNIT	ITEM DESCRIPTION 		  1.00 	l.s.	Cutting of Trees and Vegetation  1.00 	l.s.	Hauling of Materials  370.00 	sq.m.	Concrete Works</t>
  </si>
  <si>
    <t xml:space="preserve"> Republic of the Philippines Province of Batangas Municipality of San Juan BIDS AND AWARDS COMMITTEE INVITATION TO APPLY FOR ELIGIBILITY AND TO BID THE LOCAL GOVERNMENT UNIT OF BRGY. PALINGOWAK,  SAN JUAN, BATANGAS, through its Bids and Awards Committee (B</t>
  </si>
  <si>
    <t xml:space="preserve"> 1.) 3 PIECES OF (MK1175 FOR KYOCERA ECOSYS M2640idw/L) (DRUM) (PRU/FS) 2.) 1 PIECE OF MK-590 (FOR KYOCERA FS-C2126MFP) (COA) 3.) 1 PIECE OF KYOCERA - MAINTENANCE KIT 4109 (4105 DRUM) FOR KYOCERA TASKALFA 1800 (PDS)</t>
  </si>
  <si>
    <t xml:space="preserve"> Specs: 54  pcs   Angle bar 1/4 x 1 1/2 54  pcs   Flat bar 1/4 x 1 1/2 10  kgs  Small welding rod 1   pc    Grinding disk #4 2   gals.  Sphero laquer black 2   gals  Acrylic thinner 1   pc    Baby roller cotton 1   pc   Paint tray</t>
  </si>
  <si>
    <t xml:space="preserve"> PLEASE SEE ATTACHED DOCUMENT/S. THANK YOU.</t>
  </si>
  <si>
    <t xml:space="preserve"> I. REPAIR OF BASKETBALL BOARD 2 UNITS II. INSTALLATION OF BASKETBALL COURT LIGHTS 14. SETS III. REPAIR OF BASKETBALL STEEL FRAME 2 UNITS IV. PAINTING WORKS 1 LOT V. FORM WORKS/SCAFFOLDING 1 LOT</t>
  </si>
  <si>
    <t xml:space="preserve"> 11	 piece 	TONER CARTRIDGE, HP laserjet M1212nf MFP "85A" 60	 bottle 	Epson refill, original (Black 003) 40	 bottle 	Epson refill (colour M 003) 40	 bottle 	Epson refill (colour C 003) 35	 bottle 	Epson refill  (colour Y 003) 45	 bottle 	ALCOHOL, 70%, eth</t>
  </si>
  <si>
    <t xml:space="preserve"> 1. 2 pcs Wheel Rim, WIL 15.0-20.0 for Doosen Backhoe No. 6 DX 140W (CEO) Purpose: For the the replacement of defective wheel RIM of Doosan backhoe No.6DX 140W (CEO), Dumaguete City/CEO</t>
  </si>
  <si>
    <t xml:space="preserve"> Multi-Purpose Hall, Farm to Market Road w/ drainage Canal, Flood Control Canal, Farm to Market Road</t>
  </si>
  <si>
    <t xml:space="preserve"> Additional Internet Service/Connection to PSA RSSO MIMAROPA For 24 Months Contract Period Internet Service/Connection       Up to 50 Mbps Unlimited Date       Secure Management Data Wifi       With Business Landline       24/7 Enterprise Aftersales Suppor</t>
  </si>
  <si>
    <t xml:space="preserve"> REQUEST FOR QUOTATION (RFQ) The MDRRMO  through the Bids and Awards Committee (BAC) of the Municipality of Banaybanay, Davao Oriental hereby notifies and invites you to submit your quotation/bid for the hereunder proposed project/request, viz: SLEEPING GE</t>
  </si>
  <si>
    <t xml:space="preserve"> Construction of Multi-Purpose Hall is funded thru the 2020 20% AIP DF Please be guided by the following schedule: 1. Submission of Letter of Intent - June 22-23, 2020 2. Eligibility Screening - June 25, 2020 3. Issuance and Availability of Bidding Documen</t>
  </si>
  <si>
    <t xml:space="preserve"> OFFICE SUPPLIES FOR SCHOOL MODULES AND OTHER REPORTS NEEDED.</t>
  </si>
  <si>
    <t xml:space="preserve"> Supply and Delivery of Second Quarter Various Office Supplies with an ABC of Php307,341.95 arranged in three (3) lots: LOT 1. Common Office Supplies/Consumables LOT 2. Computer Supplies LOT 3. Janitorial/Electrical/Housekeeping Supplies For further detail</t>
  </si>
  <si>
    <t xml:space="preserve"> INVITATION TO BID FOR THE PURCHASE OF OFFICE ACCESSORIES AND SUPPLIES UNDER SEF  2ND BID OPENING 1.	The Local Government Unit of Manolo Fortich, through the Special Education Fund  intends to apply the sum of Five Hundred Five Thousand Eight Hundred Thirt</t>
  </si>
  <si>
    <t xml:space="preserve"> 1	Dissolved  Oxygen Meter (DO Meter)							1	unit	58,000.00 2	PH meter							1	unit	39,000.00 3	Refractometer							2	units	25,500.00 4	Field Thermometer							1	unit	2,500.00 5	Siegeweck Refter							3	units	4,000.00 										 	xxxxxxxxxxxxxxxx nothing </t>
  </si>
  <si>
    <t xml:space="preserve"> The Municipality of President Roxas (MPR), through the 2020 Special Education Fund (SEF), intends to apply the sum of Three Hundred Eighty Thousand Pesos (Php 380,000.00) being the Approved Budget for the Contract (ABC) to payments under the contract for </t>
  </si>
  <si>
    <t xml:space="preserve"> 1 UNIT GRASSCUTTER - . - TD40 - w/ complete accessories and tools</t>
  </si>
  <si>
    <t xml:space="preserve"> 800	Piece	Disposable Cover All (XL-XXL), ABC 495.00/pc 1200	Piece	Disposable Cover All Regular(Small,Medium,Large), ABC 495.00/pc RFQ#06-0616</t>
  </si>
  <si>
    <t xml:space="preserve"> SUBMERSIBLE PUMP SET							1	unit	75,000.00  - 1 HP,1 x 230 VAC, 60 HZ									  - 3-inch Diameter to fit into a 4-inch uPVC borehole that Can									 Deliver 8 Gallons Per minute of Clear Fresh Water to a Head of									 180 feet. The pump shall come w</t>
  </si>
  <si>
    <t xml:space="preserve"> Desktop PC 8gb RAM or Higher 1TB HD or Higher 2GB Video Card of Hiogher i7 Processor or Higher  HDMI Ready 25'' Widescreen HDMI supported Led Monitor UPS Speaker</t>
  </si>
  <si>
    <t xml:space="preserve"> Purchase of supplies and materials for the maintenance of barangay vehicles.</t>
  </si>
  <si>
    <t xml:space="preserve"> Purchase of supplies and materials for the repair and maintenance of Barangay Security Cameras.</t>
  </si>
  <si>
    <t xml:space="preserve"> BIDS AND AWARDS COMMITTEE ATTENTION:		ALL INTERESTED BIDDERS 			 SUBJECT:	INVITATION TO BID –   Procurement of IT Equipment DATE:	June 9, 2020 - - - - - - - - - - - - - - - - - - - - - - - - - - - - - - - - - - - - - - - - - - - - - - - - - - - - - - - - </t>
  </si>
  <si>
    <t xml:space="preserve"> Diesel Fuel							1	lot	7,500.00 Unleaded gasoline							1	lot	46,200.00 									 Term &amp; Conditions									 1.price Qoutation Should bew Made in liters.									 2. Fuel Escalation Clause:									  - If the Price goes up, Volume Goes down.									  - </t>
  </si>
  <si>
    <t xml:space="preserve"> PLEASE SEE ATTACHED FILE FOR RFQ.</t>
  </si>
  <si>
    <t xml:space="preserve"> BIDS AND AWARDS COMMITTEE								 REQUEST FOR QUOTATION								 RFQ2020-06-024								 June 9, 2020								 The Civil Service Commission-National capital Region, through its Bids and Awards Committee (BAC), hereby invites all interested suppliers/distribu</t>
  </si>
  <si>
    <t xml:space="preserve"> PROCUREMENT OF G SUITE SOFTWARE LICENSES UPGRADE FOR THE OFFICIAL EMAIL OF THE BUREAU OF THE TREASURY DESCRIPTION This project calls for the upgrade of 100 software licenses from G Suite Basic to G Suite Business for the Bureau of the Treasury domain. AGE</t>
  </si>
  <si>
    <t xml:space="preserve"> Please see attached documents</t>
  </si>
  <si>
    <t xml:space="preserve"> Available upon request xxxxxxxxxxxxxxxxxxxxx</t>
  </si>
  <si>
    <t xml:space="preserve"> Procurement of Various Office and IT Equipment of Different Offices - LGU Laak, Davao De Oro with an ABC of Php. 251,271.00.</t>
  </si>
  <si>
    <t xml:space="preserve"> DENR-PENRO Davao de Oro Province INVITATION TO BID FOR THE PURCHASE OF ONE (1) 4X4 PICK-UP VEHICLE; 1.	The DENR-PENRO Davao de Oro, through the Department of Budget &amp; Management (GAA) intends to apply the sum of One Million Five Hundred Thousand Pesos P (</t>
  </si>
  <si>
    <t xml:space="preserve"> Supply and Delivery of Medical, Laboratory and Birthing Facility Supplies for the 1st and 2nd Quarter 2020 with an ABC of Php350,000.00 arranged in five (5) lots: LOT 1. Medicines (MOOE) = Php196,852.00 LOT 2. Laboratory Supplies (MOOE) = Php100,317.50 LO</t>
  </si>
  <si>
    <t xml:space="preserve"> 1	2	rolls	PDX NM 1.6mm #14 Wire. 2	1	roll	PDX NM 2.0mm #12 Wire . 3	25	m     PDX NM 2.6mm #10  4	2	rolls	THHN 2.0mm2 #14 Wire  5	1	rolls	THHN 3.5mm2 #12 Wire  6	50	meters	THHN 5.5mm2 #10  7	25	meters	THHN 8mm2 #8 Wire  8	5	set	3 Gang Universal Convenience</t>
  </si>
  <si>
    <t xml:space="preserve"> 2,000 pcs Seedling tray (100 holes) Class A 1,500 pcs PE Bag (11" x 11" x 18") 10 rolls Plastic mulch Note: Please attach legal documents and updated PhilGEPS Certificate, failure to submit your bid documents will not be considered for the opening by the </t>
  </si>
  <si>
    <t xml:space="preserve"> 1	Cellcards 300 Globe							80	pcs	330.00 2	Cellcards 300 Smart							20	pcs	330.00 3	Cellcards 300 TM							35	pcs	330.00 4	Cellcards 500 Globe							60	pcs	530.00 										 										 	xxxxxxxxxxxxxxxx nothing follows xxxxxxxxxxxxxxxxxxxxxxxx									 </t>
  </si>
  <si>
    <t xml:space="preserve"> Republic of the Philippines COMMISSION ON AUDIT Quezon City	REQUEST FOR QUOTATION Procurement And Property &amp; Supply Management Services, General Services Office	 Date Prepared: June 8, 2020 Supplier     :______________________ Address      :______________</t>
  </si>
  <si>
    <t xml:space="preserve"> Flooring of some portion Fabrication &amp; Installation of Steel Matting Concrete Fence around Covered Court</t>
  </si>
  <si>
    <t xml:space="preserve"> to Furnish labor and Materials For the Repair CCTV System at Kagawasan						 Area And NOCC-Hotel in the amount of............................						 1. NOCC-Hotel						 2 units 20 watts regulated Centralized Supply						 16pcs 2Amps Regulated Power Supply	</t>
  </si>
  <si>
    <t xml:space="preserve"> PLEASE SEE ATTACHED FILE FOR REFERENCE.</t>
  </si>
  <si>
    <t xml:space="preserve"> June 10, 2020 INVITATION TO BID FOR PURCHASE OF IT EQUIPMENT FOR LDRRM GIS MAPPING The Municipality of Magallanes, Cavite, through the Budget for the Contract approved by the Sangguniang Bayan intends to apply the sum of Two Hundred Seventy Nine Thousand </t>
  </si>
  <si>
    <t xml:space="preserve"> REQUEST FOR QUOTATION (RFQ) The MDRRMO  through the Bids and Awards Committee (BAC) of the Municipality of Banaybanay, Davao Oriental hereby notifies and invites you to submit your quotation/bid for the hereunder proposed project/request, viz: TO BE USED </t>
  </si>
  <si>
    <t xml:space="preserve"> pls see attached RFQ</t>
  </si>
  <si>
    <t xml:space="preserve"> Please quote your lowest price on the item(s) listed below, subject to the Terms and Conditions stated below and submit your quotation duly signed by your representative not later than 2:00 P.M. of ________________ in the return envelope attached herewith</t>
  </si>
  <si>
    <t xml:space="preserve"> Items Quantity / Units 1.firewoods 90 t/l 2.calcium hypochlorite 5 drums PRICE QUOTATION/S SHOULD BE PRINTED ON COMPANY’S OFFICIAL LETTERHEAD TOGETHER WITH THE FOLLOWING DOCUMENTS; 1.Mayor’s/Business Permit 2.PhilGEPS Registration Number 3.Income/Business</t>
  </si>
  <si>
    <t xml:space="preserve"> 1 set DESKTOP COMPUTER CORE i5 PROCESSOR COMPATIBLE MOTHERBOARD 4 GB DDR4 RAM MEMORIES 1 TB HDD/DVDRW ATX CASING W/ PSU 19" LED MONITOR KEYBOARD MOUSE 2 unit CPU CORE i5 PROCESSOR COMPATIBLE MOTHERBOARD 4 GB DDR4 RAM MEMORIES 1TB HDD/DVDRW ATX CASING W/ P</t>
  </si>
  <si>
    <t xml:space="preserve"> 1	Amlodipine 10mg, tabs, 100's							6	boxes	300.00 2	Ampicillin Na 250 mg, vial							100	vials	25.00 3	Ampicillin Na 500 mg, vial							25	vials	28.00 4	Hydralazine HCl 20mg/ml, 1ml amp (for pregnant)						20	amps	150.00 5	Calcium Gluconate 10mg/ 10ml a</t>
  </si>
  <si>
    <t xml:space="preserve"> Please see associated components for details.</t>
  </si>
  <si>
    <t xml:space="preserve"> 7 pcs Drum for Brother DR3355 7 pcs Drum for Brother HL-6400DW 3 pcs Toner for Brother TN3350 2 pcs Toner for Brother HL-L6400DW</t>
  </si>
  <si>
    <t xml:space="preserve"> Desktop Computer							6	Sets	35,000.00 intel Core  o5 7400 3.50Ghz Processor									 Gigabyte Mother Board w/ Solid Capacitor									 8 GB DDR4 memory (2Pcs 4GB)									 500GB Seagate SATA hard Disk Drive									 CPU Casing w/ three 5.25 Drivee Bays </t>
  </si>
  <si>
    <t xml:space="preserve"> Republika ng Pilipinas PAMAHALAANG LUNGSOD NG TACLOBAN (City Government of Tacloban) Kanhuraw Hill, Tacloban City 6500 BIDS AND AWARDS COMMITTEE INVITATION TO BID  REF #040-06-2020 (JUNE 11, 2020) PR# 2020-181 DATED 02-10-2020 7038486 The Procuring Entity</t>
  </si>
  <si>
    <t xml:space="preserve"> Republic of the Philippines DEPARTMENT OF PUBLIC WORKS AND HIGHWAYS CAMARINES SUR 1st DISTRICT ENGINEERING OFFICE REGIONAL OFFICE V Baras, Canaman, Camarines Sur INVITATION TO BID 		FOR 20GFD0007 – Supply and Delivery of Materials for Repair and Maintenan</t>
  </si>
  <si>
    <t xml:space="preserve"> 1	AIRCON (Floor Mounted )							2	unit 	90,000.00 	Specs:									 	Heavy Duty, Highly Efficient Compressor and Fan									 	Motor, Soft Touch Control Panel, R22 Refrigerant.									 	Capacity(Hp) 4.0									 	Power Input (W) 3,400									 	Rated Curr</t>
  </si>
  <si>
    <t xml:space="preserve"> Electronic Components        Tubular LED Lamps    20 pcs    ST8V-0.6m-9W-865-EM    9W-6500K-800lm    220-240V -50/60Hz</t>
  </si>
  <si>
    <t xml:space="preserve"> Corazon Locsin Montelibano Memorial Regional Hospital, through its Bids and Awards Committee, intends to procure MICROBIAL INOCULANT HW 2101 (FOR THE WASTE WATER INFLUENT PRETREATMENT USE), which will be undertaken in accordance with Section 53.9 of the R</t>
  </si>
  <si>
    <t xml:space="preserve"> SOIL/ GEOTECHNICAL INVESTIGATION FOR THE PROPOSED CONSTRUCTION OF VARIOUS FLOOD CONTROL PROJECTS AND PROPOSED CONSTRUCTION OF BUILDING PROJECT WITHIN 5TH AND 6TH DISTRICT OF PANGASINAN</t>
  </si>
  <si>
    <t xml:space="preserve"> 88 kgs Bactericide/Fungicide Note: Please attach legal documents and updated PhilGEPS Certificate, failure to submit your bid documents will not be considered for the opening by the BAC. Please refer to RA 9184-GPPB Revised IRR Series of 2016 Appendix 8: </t>
  </si>
  <si>
    <t xml:space="preserve"> INVITATION TO BID FOR THE SUPPLY AND DELIVERY OF PIPELINE MATERIALS FOR THE 3rd Quarter and 4th Quarter Operation and Maintenance Requirement @ PS 9 Compound, Sito Maag, Penaplata, Samal District IGaCoS under Purchase Order No. 2020 -03- 097 1.	The IGaCoS</t>
  </si>
  <si>
    <t xml:space="preserve"> See attachment</t>
  </si>
  <si>
    <t xml:space="preserve"> Available upon request xxxxxxxxxxxxxxxxxx</t>
  </si>
  <si>
    <t xml:space="preserve"> Qty.	UNIT	ITEM AND DESCRIPTION					 								 1	UNIT	Multimedia Projector					 	 		• Short Throw, 3LCD Projector 						 		• White and Color Brightness at 3,400lm						 		• WXGA Resolution, Multi-PC projection and Moderator Function						 		• HDMI Connectiv</t>
  </si>
  <si>
    <t xml:space="preserve"> RFQ No. 2020-00__  										Date___________ REQUEST FOR QUOTATION Supply and Delivery of 1 unit of Photocopier Machine of Community eCenter  The Municipal Government of Pinamalayan hereinafter referred to as “the Purchaser”, through its Bids and Awards C</t>
  </si>
  <si>
    <t xml:space="preserve"> ITEMNO. 	ITEM  &amp; DESCRIPTION	QTY.	UOM 			 1	Solar Powered LED Streetlights (100w)	20	units 	Specification:		 	LED Power:   100w		 	Voltage:          DC 6.4v		 	CCT:                6500k/P65		 	With:               Remote Control</t>
  </si>
  <si>
    <t xml:space="preserve"> Republic of the Philippines DEPARTMENT OF PUBLIC WORKS AND HIGHWAYS CAMARINES SUR 1st DISTRICT ENGINEERING OFFICE REGIONAL OFFICE V Baras, Canaman, Camarines Sur INVITATION TO BID 		FOR 20GFD0008 – Supply and Delivery of Materials for the Repair and Maint</t>
  </si>
  <si>
    <t xml:space="preserve"> Portable 3D Printer</t>
  </si>
  <si>
    <t xml:space="preserve"> Extension of Main Roofing Finishing of Walls &amp; Columns Construction of Comfort Room  Painting of Walls, Columns &amp; CR</t>
  </si>
  <si>
    <t xml:space="preserve"> June 10, 2020 INVITATION TO BID FOR REHABILITATION/IMPROVEMENT OF THE MUNICIPAL BUILDING, MAGALLANES, CAVITE The Municipality of Magallanes, Cavite, through the Budget for the Contract approved by the Sangguniang Bayan intends to apply the sum of Three Hu</t>
  </si>
  <si>
    <t xml:space="preserve"> REPAIR &amp; IMPROVEMENT OF SCHOOL PATHWAY FOR SENIOR HS 2ND PHASE</t>
  </si>
  <si>
    <t xml:space="preserve"> 1	Syringes, Disposable (assorted)							250	bxs	800.00 2	X-ray Envelope,Size 14x17							500	pcs	12.60 										 										 	xxxxxxxxxxxxxxxx nothing follows xxxxxxxxxxxxxxxxxxxxxxxx									 Project Name:		for Hospital Needs							 Place of Delivery:		G</t>
  </si>
  <si>
    <t xml:space="preserve"> INVITATION TO BID FOR  Procurement of Drugs and Medicines 1.	The Ospital ng Palawan, through its Trust Fund for CY 2020 intends to apply the sum of Five Million Seven Hundred Thirty-Eight Seven Hundred Thirty-Two Pesos and Fifty Cents (5,738,732.50) being</t>
  </si>
  <si>
    <t xml:space="preserve"> Supply and Delivery of  Registered Rice Seeds (Dry Season 2020 and Wet Season 2020) NSIC Rc19 (10kg/bag) 20bags NSIC Rc31 (10kg/bag) 20bags NSIC Rc516 (10kg/bag) 20bags NSIC Rc512 (10kg/bag) 20bags NSIC Rc27 (10kg/bag) 20bags  Total  Number of Bags = 100 </t>
  </si>
  <si>
    <t xml:space="preserve"> 1 unit Hammer Mill Specifications: 300 kilos per hour capacity 3hp Electric motor with three (3) different screen Note: Please attach legal documents and updated PhilGEPS Certificate, failure to submit your bid documents will not be considered for the ope</t>
  </si>
  <si>
    <t xml:space="preserve"> Qty	Unit	PARTICULARS	PTTC ABC (P)	Unit Cost (P)	Total Cost (P) 40	cans	DISINFECTANT SPRAY Net weight: 510g (18oz)	28,000.00		 20	gallons	BLEACHING CHEMICALS	5,000.00		 20	gallons	LIQUID HANDWASH SOAP	8,000.00		 50	pack	TRASH BAG BLACK 10 pcs per pack, MED</t>
  </si>
  <si>
    <t xml:space="preserve"> (Procurement Of Goods) INVITATION TO BID FOR  ONE (1) UNIT BRGY.GARBAGE VEHICLE (BONGGO SINLGE CAB) 1.	The Barangay Local Government of Baganian, Tabina, Zamboanga del Sur through the  20% Development Fund for the year 2012-2018 intends to apply the sum o</t>
  </si>
  <si>
    <t xml:space="preserve"> Landbank  Consolacion Branch Minor Repair Works G/F Consolacion Government Center Poblacion Oriental, Consolacion, Cebu Item/Scope of Works/QTY/UNIT/UNIT COST/TOTAL COST Part I I.	SITE WORKS a.	Chipping of existing wall tiles at Male and Female CR includi</t>
  </si>
  <si>
    <t xml:space="preserve"> Corazon Locsin Montelibano Memorial Regional Hospital, through its Bids and Awards Committee, intends to procure SUPPLY AND INSTALLATION OF 1-UNIT SPLIT WALL MOUNTED INVERTER TYPE AIRCONDITIONER FOR LABORATORY CLINICAL CHEMISTRY, which will be undertaken </t>
  </si>
  <si>
    <t xml:space="preserve"> PLS SEE ATTACHED FILE</t>
  </si>
  <si>
    <t xml:space="preserve"> REQUEST FOR QUOTATION The City Government of Malolos, through its BIDS and AWARDS COMMITTEE (BAC) Invites Suppliers/Manufacturers/Distributors to Bid for hereunder procurement:  PR No. : GSO-2020-05-748 Name of Project : PURCHASE OF EQUIPMENT FOR MEDIA &amp; </t>
  </si>
  <si>
    <t xml:space="preserve"> Specifications 1	Renewal of Fortinet License for FG500D i.	1 Year ii.	SN: FGT5HD3917800371 Expires on 2019/09/21 iii.	SN: FG5H1E5818901721 Expires on 2019/07/15 Includes: i.	FORTICARE 1.	Hardware Return and Replace 2.	Firmware Upgrades 3.	24x7 Enhanced Su</t>
  </si>
  <si>
    <t xml:space="preserve"> Republic of the Philippines Province of Leyte Municipality of Hilongos BARANGAY PA-A REQUEST FOR QUOTATION _____________ Date  _______________________ _______________________  ______________________                                Please quote your lowest </t>
  </si>
  <si>
    <t xml:space="preserve"> Items and Description Procurement of  Gas Heating Refill 1.Acetylene  gas high  grade  refill 2.Acetylene  gas, high purity,      instrument grade 3.Petroleum Gas (refill)/11 kilos 4.Petroleum Gas (refill)/50 kilos 5.LPG Tank Refill, 11 kgs/tank 6.LPG Tan</t>
  </si>
  <si>
    <t xml:space="preserve"> June 10, 2020 INVITATION TO BID FOR CONCRETING OF FARM-TO-MARKET ROAD AT SITIO KAY-APAS, BRGY. MEDINA, MAGALLANES, CAVITE The Municipality of Magallanes, Cavite, through the Budget for the Contract approved by the Sangguniang Bayan intends to apply the su</t>
  </si>
  <si>
    <t xml:space="preserve"> a.CONTRACT  ID : ANTIPOLO-01JULY2020-02 b. NAME OF PROJECT : Repair/Rehabilitation Works of Three (3) Storey Six (6) Rooms PLED Building at San Isidro National High School Brgy San Isidro, Antipolo City c. LOCATION : Brgy San Isidro, Antipolo City d. BRIE</t>
  </si>
  <si>
    <t xml:space="preserve"> 73 bags NSIC Rc480 Certified Seeds 40kilograms per bag Note: Please attach legal documents and updated PhilGEPS Certificate, failure to submit your bid documents will not be considered for the opening by the BAC.</t>
  </si>
  <si>
    <t xml:space="preserve"> One Hundred Fifty (150) ea Archfile Eco Gray A4 &amp; 19 other line items</t>
  </si>
  <si>
    <t xml:space="preserve"> A. materials 8 pcs. 24"x 0.50m culvert 12 bags Portland cement 1 cu.m. Mixed sand &amp; gravel 3 kls. asst. cw nails 10 pcs. 2x2x10ft. Coco Lumber B. Labor Cost 1 lot Well Excavation for a depth of 20 mtrs or water table is attain  P 78,240.00</t>
  </si>
  <si>
    <t xml:space="preserve"> Title:Supply and Delivery for the City Disaster Risk Reduction and Management Office (CDRRMO) under P.R.No. 0693-2020-Subject to Ordering Agreement Arrangement Total ABC: Php 699,660.00</t>
  </si>
  <si>
    <t xml:space="preserve"> Invitation to Bid for the   CONSTRUCTION OF DRAINAGE CANAL along Magbanua Street The MUNICIPALITY OF ISULAN, through the MDRRM Fund 2020  intends to apply the sum of ONE MILLION FIVE HUNDRED NINE THOUSAND ONE HUNDRED FIFTY-FOUR PESOS AND 91/100 ONLY (PHP </t>
  </si>
  <si>
    <t xml:space="preserve"> Mobile Phone</t>
  </si>
  <si>
    <t xml:space="preserve"> a.CONTRACT  ID : ANTIPOLO-01JULY2020-01 b. NAME OF PROJECT : Construction of Stone Masonry Riverwall Along Creek at Antipolo Hills Subdivision, Brgy. San Luis, Antipolo City c. LOCATION : Brgy. San Luis, Antipolo City  d. BRIEF DESCRIPTION : Construction </t>
  </si>
  <si>
    <t xml:space="preserve"> Republic of the Philippines Province of South Cotabato BIDS AND AWARDS COMMITTEE City of Koronadal  INF-ITB 20-028 INVITATION TO BID  1.	The Provincial Government of South Cotabato, through the PEO-8751 CA-2020-78-GF intends to apply the sum of          ₱</t>
  </si>
  <si>
    <t xml:space="preserve"> See attached associated component.</t>
  </si>
  <si>
    <t xml:space="preserve"> Eco bag with ATI-CAR logo, made of quality cloth, 4"W x 14"Lx17"H		4122	Piece Disposable face mask, 50's		70	Box Alcohol, 500 ml, 68% - 70%		178	Bottle Thermo gun, LCD display digital		5	Piece Epson L3110 Ink, Black		3	Bottle Epson L3110 Ink, Cyan		3	Bott</t>
  </si>
  <si>
    <t xml:space="preserve"> The MUNICIPALITY OF CALINTAAN, through the 20% Local Development Fund intends to apply the sum of Five Hundred Twenty Thousand Pesos Only (Php520,000.00) being the Approved Budget for the Contract (ABC) to payment  under the contract for the Improvement o</t>
  </si>
  <si>
    <t xml:space="preserve"> Republic of the Philippines Province of Ilocos Sur MUNICIPALITY OF MAGSINGAL Office of the Bids and Awards    Committee   INVITATION TO BID The LGU – MAGSINGAL, through the Bids and Awards Committee (BAC), invites PhilGEPS registered suppliers/contractors</t>
  </si>
  <si>
    <t xml:space="preserve"> a.CONTRACT  ID : ANTIPOLO-01JULY2020-04 b. NAME OF PROJECT : Concreting of Road 1 and Construction of Drainage Canal at Bayugo-Padi Heights Subd., Brgy. San Luis, Antipolo City c. LOCATION : Brgy. San Luis, Antipolo City d. BRIEF DESCRIPTION : Concreting </t>
  </si>
  <si>
    <t xml:space="preserve"> The Department of Agriculture-RFO 3, invites interested suppliers to submit quotations/proposals for the hereunder requirement, to wit: 249	sack	RICE  R  NSIC  RC 160 	 		25 kg 	 		locally produced	 		free from weevil, stone &amp; impurities	 		well filled	 	</t>
  </si>
  <si>
    <t xml:space="preserve"> a.CONTRACT  ID : ANTIPOLO-01JULY2020-03 b. NAME OF PROJECT : Construction of Stone Masonry Riverwall (Portion) Along Labahan Creek at Palemon Street, Crestview Subdivision, Brgy. Cupang, Antipolo City c. LOCATION : Brgy. Cupang, Antipolo City d. BRIEF DES</t>
  </si>
  <si>
    <t xml:space="preserve"> PLEASE SEE PURCHASE REQUEST AND REQUEST FOR QUOTATION FOR SPECIFICATIONS</t>
  </si>
  <si>
    <t xml:space="preserve"> Biometrix Attendance							4	unit	12,500.00 Standalone Fingerprint reader with Network Capability (RFID Acces)									  - 500 Fingerprint Templates Capacity									  -  500 RFID Card Capacity									  - 50,000 transaction logs Capacity									  - Netw</t>
  </si>
  <si>
    <t xml:space="preserve"> Procurement of supply and delivery of Training Supplies 360		Notebook 360		I.D. Holder with sling 360		Ballpen 360		Plastic Envelope with holder 		List of Trainings:  		1.	Retirement Planning Seminar Training Supplies- 30 Notebook I.D. Holder with sling B</t>
  </si>
  <si>
    <t xml:space="preserve"> Supply of construction Supplies</t>
  </si>
  <si>
    <t xml:space="preserve"> HOUSEKEEPING SUPPLIES							1	lot	 1	Air Freshener, 320ml							30	can	239.00 2	Antibacterial Soap, 20g							50	doz	180.00 3	Broom, soft (TAMBO)weight, 200g min tiger grass							25	piece	180.00 4	Broom, stick (TING-TING),  usable length: 760mm min						</t>
  </si>
  <si>
    <t xml:space="preserve"> a.CONTRACT  ID : ANTIPOLO-01JULY2020-05 b. NAME OF PROJECT : Concreting of Ilang-Ilang St. at Bermuda Heights Subd., Brgy. San Luis, Antipolo City c. LOCATION : Brgy. San Luis, Antipolo City d. BRIEF DESCRIPTION : Concreting of Road e. MAJOR ITEM OF WORKS</t>
  </si>
  <si>
    <t xml:space="preserve"> 1	unit	pH Meter	 	- pH range: 0-14; MV Range: +1999.9	 	- Temperature Range: - 5 to 1050C: Accuracy: + 0.002	 	- Resolution: MV:0.1; Temp.: 0.1 0C up to 99.9 0C; pH:0.1/0.01/0.001	 	- Temperature compensation: Automatic	 	- Up to three point calibration	 </t>
  </si>
  <si>
    <t xml:space="preserve"> Drugs and Medicines</t>
  </si>
  <si>
    <t xml:space="preserve"> QUANTITY	UNIT	ARTICLES				 8610	bags	Cement				 700	cu.m	Sand				 560	cu.m	Gravel				 81270	pcs	CHB #4				 420	pcs	Plywood, Ordinary, 1/2 x 4 x 8 				 32340	bd.ft	Cocolumber, 2 x 3 x 12				 9590	pcs	RSB Std. 10mm x 6m  				 4760	pcs	RSB Std. 8mm x 6m 				</t>
  </si>
  <si>
    <t xml:space="preserve"> 1.	13     UNITS    	3 IN 1 PRINTER Specification: Function: print, scan, print Print type: inkjet printer With CISS Kit with accessories and ADF(Automatic Document Feeder) 2.	3 SETS DESKTOP COMPUTER WITH PRINTER intel core i3-4170 processor 1150, Processo</t>
  </si>
  <si>
    <t xml:space="preserve"> Tablet and SSD 500GB SATA</t>
  </si>
  <si>
    <t xml:space="preserve"> One (1) Unit Computer Desktop w/ complete accessories</t>
  </si>
  <si>
    <t xml:space="preserve"> In relation to the proclamation of the President no. 929 and 922 the Municipality of Bindoy thru the Office of the Disaster Risk Reduction and Management will purchase 100 Covid19 Test Kits (Rapid Diagnostic Test).</t>
  </si>
  <si>
    <t xml:space="preserve"> Grills for shs bldg. 1</t>
  </si>
  <si>
    <t xml:space="preserve"> 15 units 26 watt LED Street Light, Installed in a 15ft Steel Pole with arm, hot-dipped galvanized, mounted on a galvanized stud w/ Bolt and stable concrete pedestal. -nothing follows- Other Information</t>
  </si>
  <si>
    <t xml:space="preserve"> 1 50 SACK RICE - well-milled 2 18 KLS. ONION - . 3 37 KILOS COOKING OIL - . 4 13 KILOS GARLIC - . 5 28 KILOS MONGGO - . 6 62 KILOS BROWN SUGAR - . 7 20 KILOS DRIED FISH-DILI PINIKAS - . 8 165 PACKS COFFEE-25GRMS - . 9 279 CAN SARDINES - . 10 225 PCS NOODL</t>
  </si>
  <si>
    <t xml:space="preserve"> DESCRIPTION BARANGAY GOVERNMENT OF KAPATAGAN INVITATION TO BID The Barangay Government of Kapatagan Thru the bids and awards Committee (BAC) invite interested Suppliers/Constructor to Apply for eligibility screening and if subsequently found to bid for th</t>
  </si>
  <si>
    <t xml:space="preserve"> Alcohol</t>
  </si>
  <si>
    <t xml:space="preserve"> a.CONTRACT  ID : ANTIPOLO-01JULY2020-06 b. NAME OF PROJECT : Repair/ Improvement of Two(2) Storey, Four(4) Classrooms AUS-AID Building at Old Boso-Boso Elementary School, Sitio Boso-Boso Brgy. San Jose, Antipolo City c. LOCATION : Brgy. San Jose, Antipolo</t>
  </si>
  <si>
    <t xml:space="preserve"> Republic of the Philippines Province of Romblon Municipality of Odiongan Bids &amp; Awards Committee Odiongan, Romblon INVITATION TO BID  The Municipal Government of Odiongan through its Bids and Awards Committee [BAC] invites interested bidders to apply for </t>
  </si>
  <si>
    <t xml:space="preserve"> Order/download attached Invitation to Bid and print-out Abstract of Bids from Philgeps.</t>
  </si>
  <si>
    <t xml:space="preserve"> ***Please see attached</t>
  </si>
  <si>
    <t xml:space="preserve"> Supply and Delivery of Instructional Materials and Laboratory Supplies</t>
  </si>
  <si>
    <t xml:space="preserve"> Description   Republic of the Philippines Province of Oriental Mindoro MUNICIPALITY OF NAUJAN BARANGAY ARANGIN BIDS AND AWARDS COMMITTEE INVITATION TO BID SUPPLY AND DELIVERY OF MATERIALS TO BE USED FOR THE INSTALLATION OF STREET LIGHTS IN DIFFERENT SITIO</t>
  </si>
  <si>
    <t xml:space="preserve"> The Department of Agriculture-RFO 3, invites interested suppliers to submit quotations/proposals for the hereunder requirement, to wit: 30	can	Air freshener, 280ml/can various scent expiration date 2023	 50	bar	White Bar Soap (anti-bacterial, fungi and vi</t>
  </si>
  <si>
    <t xml:space="preserve"> HIV Test Kits</t>
  </si>
  <si>
    <t xml:space="preserve"> 2 set Tire w/Interior No. 12.5/80-18 2 set Tire w/Interior No. 16.9-28 xxxxxxxxxxxxxxxxxxxxxxxxxxxxxxxxxx</t>
  </si>
  <si>
    <t xml:space="preserve"> a.CONTRACT  ID : ANTIPOLO-01JULY2020-07 b. NAME OF PROJECT : Repair/ Repainting of Covered Court and Rewiring of School Building at Brgy. Sta. Cruz and Brgy. San Isidro, Antipolo City (2020 – Package 19) a. Repair/ Repainting of 17.0 m x 30.0 m Ynares Mul</t>
  </si>
  <si>
    <t xml:space="preserve"> 2	pcs	Stapler (heavy duty) 15	pcs	felt paper (assorted color)  25	packs	colored linen paper (10's) thick  4	pcs	stapler with remover (35mm) 10	pcs	scissors (big) 50	pcs	signing pen (0.7)  2	box	white board marker black (fine) 6	box	ballpen  8	pcs	record b</t>
  </si>
  <si>
    <t xml:space="preserve"> Municipality of Indang, Cavite</t>
  </si>
  <si>
    <t xml:space="preserve"> QUANTITY	UNIT	ARTICLES				 60	pcs	CCL 2 x 4 x 12				 8	pcs	CCL 4 x 4 x 10				 40	pcs	GI Corrugated 12ft				 30	kilos	CWN 1 1/2, 2, 3 and Umbrella Nail				 20	kilos	CWN 4				 500	pcs	CHB 4				 5	cu.m	Sand				 3	cu.m	Gravel				 2	rolls	Insulation Double, 10</t>
  </si>
  <si>
    <t xml:space="preserve"> INVITATION TO BID FOR THE SUPPLY AND DELIVERY OF PLUMBING FIXTURE &amp; FITTING MATERIALS FOR THE  3rd and 4th Quarter Operation and Maintenance Requirement  @ PS 9 Compound, Sito Maag, Penaplata, Samal District IGaCoS under Purchase Order No. 2020 -03- 094 1</t>
  </si>
  <si>
    <t xml:space="preserve"> 30 heads Piglets (12-15 kls.) 30 bags   Starter Feeds 30 bags   Grower Feeds 30 bags   Finisher Feeds Place of Delivery: DAR Provincial Office, San Fermin, Cauayan City, Isabela</t>
  </si>
  <si>
    <t xml:space="preserve"> FABRICATION OF SCHOOL WINDOW GRILLS FOR SENIOR HS</t>
  </si>
  <si>
    <t xml:space="preserve"> Republic of the Philippines          City of Dumaguete Bids and Awards Committee INVITATION TO BID FOR PURCHASE REQUEST OF 35 CU.M COARSE AGGREGATES (2” MAX. SIZE) AND OTHER ITEMS 	The City of Dumaguete thru its BIDS AND AWARDS COMMITTEE (BAC), invites al</t>
  </si>
  <si>
    <t xml:space="preserve"> 1. Construction of Footbridge (Phase II) at Alegria, Barcelona, Sorsogon     Description: Completion of footbridge 2. Improvement of Health Center at Alegria, Barcelona, Sorsogon     Description: Extension of 3m. x 6m. health center</t>
  </si>
  <si>
    <t xml:space="preserve"> a.CONTRACT  ID : ANTIPOLO-01JULY2020-09 b. NAME OF PROJECT : Improvement/ Replacement/ Repair/ Repainting at Various Schools, Brgy. Cupang, Antipolo City  (2020 – Package 20) a. Improvement of Portion of Perimeter Fence and Replacement of Steel Gate at Cu</t>
  </si>
  <si>
    <t xml:space="preserve"> a.CONTRACT  ID : ANTIPOLO-01JULY2020-10 b. NAME OF PROJECT : Improvement of Covered Pathwalk at Bagong Nayon II Elementary School, Brgy. San Isidro, Antipolo City c. LOCATION : Brgy. San Isidro, Antipolo City d. BRIEF DESCRIPTION : Improvement of Covered </t>
  </si>
  <si>
    <t xml:space="preserve"> a.CONTRACT  ID : ANTIPOLO-01JULY2020-08 b. NAME OF PROJECT : Repair/Repainting of School Canteen at Bagong Nayon II National Highschool - Annex, Brgy. San Isidro, Antipolo City c. LOCATION : Brgy. San Isidro, Antipolo City d. BRIEF DESCRIPTION : Repair/Re</t>
  </si>
  <si>
    <t xml:space="preserve"> labor and materials</t>
  </si>
  <si>
    <t xml:space="preserve"> Unit 	Item Description	Quantity 		 	Repair of Perimeter Fence Supply	 bags	Cement	12 cu.m	Sand	1 cu.m	Gravel	1 pc	Corr. Round Bar #9mm	10 pc	Concrete Hollow Blocks	200 	Repaint of Roofs &amp; Facia Board Supply	 gal	Roof Paint (Baguio Green)	7 pc	Paint Brush </t>
  </si>
  <si>
    <t xml:space="preserve"> 1.) 2	 pcs. 	of	Joint Assy. LWR Ball 2.) 2	 pcs. 	of	Joint Set, FR UPR Ball 3.) 1	 pc. 	of	Link Assy. FR STABIL (Part # 48810-0K010) 4.) 1	 pc. 	of	Link Assy. FR STABIL (Part # 48820-0K030) 5.) 1	 pc. 	of	Link Assy. Power STE 6.) 1	 pc. 	of	Shaft Assy, Pr</t>
  </si>
  <si>
    <t xml:space="preserve"> Construction of 20 span perimeter fence.</t>
  </si>
  <si>
    <t xml:space="preserve"> QUANTITY	UNIT	ARTICLES				 300	pcs	Texscrew Metal 2"				 60	pcs	Metal Furring				 50	pcs	Wall Angle				 20	pcs	Carrying Channel				 4	boxes	Blind Rivets 5/32 x 1/2 and 1/8 x 1/2				 1	box	Blind Rivets 1/8 x 1				 10	pcs	Drill Bit 5/32 and 1/8				 20	pcs	M</t>
  </si>
  <si>
    <t xml:space="preserve"> The Department of Agriculture-RFO 3, invites interested suppliers to submit quotations/proposals for the hereunder requirement, to wit: 70	ream	Bond Paper (subs 24, 80gsm, 210mmx297mm, A4)	 70	ream	Bond Paper (subs 24, 80gsm, F4, Legal)	 20	ream	Bond Pape</t>
  </si>
  <si>
    <t xml:space="preserve"> Six (6) bxs Water, Mineral (350mlx35) &amp; 40 other line items</t>
  </si>
  <si>
    <t xml:space="preserve"> Procurement of transparent double top tables to be placed at various areas in the Currency Operations Division</t>
  </si>
  <si>
    <t xml:space="preserve"> Waterworks Materials to be used for raw materials for Organic Production</t>
  </si>
  <si>
    <t xml:space="preserve"> Log Book Caculator Folder/Clip Pentel Pen Bond Paper A-4 Correction Tape Illustration Board Disbursement Voucher Ballpen Stipple wire</t>
  </si>
  <si>
    <t xml:space="preserve"> QUANTITY	UNIT	ARTICLES				 4	pcs	Loudspeaker, 2way powered, 15" TC series 2000w peak 1000w RMS				 4	sets	Signal Cable 15m XLR M/F 				 2	sets	Dual Wireless Microphone				 2	pcs	12 Channel Mixer with DSP Effects				 2	pcs	Speaker Stand, Fully Adjustable (</t>
  </si>
  <si>
    <t xml:space="preserve"> The Roxas City Government, through the GOP-2020 intends to apply the total amount of Nine Hundred Seventy-One Thousand One Hundred Nine Pesos (Php 971,109.00) being the Aggregate Approved Budget for the Contract (ABC) to payments under the contract for Pu</t>
  </si>
  <si>
    <t xml:space="preserve"> Improvement of Multi-Purpose Building - Guiamlong, Caramoran, Catanduanes Improvement of Multi-Purpose Building - Datag West, Caramoran, Catanduanes Extension of Multi-Purpose Building - Camburo, Caramoran, Catanduanes</t>
  </si>
  <si>
    <t xml:space="preserve"> NLPRSD-2020-05-0274 (re-canvass) Repair/Rehabilitation of Baguio Radar Perimeter Fence 1 Lot Pls. submit your quotation thru email: mi_lynsn@yahoo.com x-x-x-x-x-x-x-x-x-x-x-x-x-x-x-x-x Total ABC (in PhP) 231,423.49</t>
  </si>
  <si>
    <t xml:space="preserve"> 1. The Department of Environment and Natural Resources (DENR)–PENRO, Aurora has an Approved Budget from the Integrated Protected Area Fund (IPAF) (PA-RIA) of Aurora Memorial National Park (AMNP) with Fund Code 401 for the Contract (ABC) amounting to Ninet</t>
  </si>
  <si>
    <t xml:space="preserve"> I. Mobilization II. Drilling III. CSHP IV. Plumbing Works Labor</t>
  </si>
  <si>
    <t xml:space="preserve"> The MUNICIPALITY OF CALINTAAN, through the 20% Local Development Fund intends to apply the sum of Two Hundred Thousand Pesos Only (Php200,000.00) being the Approved Budget for the Contract (ABC) to payment  under the contract for the Improvement of Public</t>
  </si>
  <si>
    <t xml:space="preserve"> a.CONTRACT  ID : ANTIPOLO-01JULY2020-11 b. NAME OF PROJECT : Construction of Covered Pathwalk  and Repair/ Improvement of Sitio Hall at Brgy. San Jose, Antipolo City (2020 – Package 21) a. Construction of  Covered Pathwalk at Sen. L. Sumulong Circle (Besi</t>
  </si>
  <si>
    <t xml:space="preserve"> Activity: 5 days BLOODLETTING ACTIVITY Schedule and Venue: June 24, 2020 - Bindoy RHU                                June 25, 2020 - Tinaogan BHS                                July 8, 2020    - Bindoy RHU                                July 9, 2020    - </t>
  </si>
  <si>
    <t xml:space="preserve"> QUANTITY	UNIT	ARTICLES				 1	unit	Pressure Tank, 120 gal.				 1	unit	Shallow Water Pump 1.5hp				 1	pc	Pressure Switch				 1	pc	Pressure Gauge				 2	pcs	Teflon Tape				 2	units	Water Pump, 120 gal., 1.5hp, including accessories				 		*****END*****</t>
  </si>
  <si>
    <t xml:space="preserve"> Republic of the Philippines PROVINCE OF ZAMBOANGA DEL NORTE BIDS AND AWARDS COMMITTEE (BAC) BAC Conference Room, Capitol Building, Dipolog City Tel. # (065) 212-6492 Telefax # (065) 212-6492                                                                 </t>
  </si>
  <si>
    <t xml:space="preserve"> Repair of embankment stoned masonry protection and re-construction of reinforced concrete slab.</t>
  </si>
  <si>
    <t xml:space="preserve"> Description   Republic of the Philippines Province of Oriental Mindoro MUNICIPALITY OF NAUJAN BARANGAY ARANGIN BIDS AND AWARDS COMMITTEE INVITATION TO BID SUPPLY AND DELIVERY OF MATERIALS TO BE USED IN CONCRETING OF BARANGAY ROAD, SITIO 2, BARANGAY ARANGI</t>
  </si>
  <si>
    <t xml:space="preserve"> 41 PCS. 1 TB EXTERNAL HARD DRIVE</t>
  </si>
  <si>
    <t xml:space="preserve"> Contract ID No.	: 20K00349     Contract Name	: Const. of By-Pass and Diversion Road Jct. CDO Talakag Road/ Macapagal Drive-Upper Carmen-Patag-Jct. BCIR/ Kauswagan, Cagayan de Oro City     Contract Location	: Cagayan de Oro City     Scope of Work	: Const. </t>
  </si>
  <si>
    <t xml:space="preserve"> Invitation to Bid for the   CONSTRUCTION OF DRAINAGE CANAL along Panes-Laud Street The MUNICIPALITY OF ISULAN, through the MDRRM Fund 2020  intends to apply the sum of ONE MILLION FOUR HUNDRED TWENTY THOUSAND SIX HUNDRED EIGHTY-SIX PESOS AND 77/100 ONLY (</t>
  </si>
  <si>
    <t xml:space="preserve"> Computer Equipment Supplies and Consumables</t>
  </si>
  <si>
    <t xml:space="preserve"> Construction of 200 sq. meters solar dryer, 10 meters x 20 meters with a thickness of 0.15 meters class "A" concrete mixture semi smoothed finished dryer.</t>
  </si>
  <si>
    <t xml:space="preserve"> Corazon Locsin Montelibano Memorial Regional Hospital, through its Bids and Awards Committee, intends to procure HOSPITAL WATER FILTRATION USE, which will be undertaken in accordance with Section 53.9 of the Revised Implementing Rules and Regulations of R</t>
  </si>
  <si>
    <t xml:space="preserve"> a.CONTRACT  ID : ANTIPOLO-01JULY2020-12 b. NAME OF PROJECT : Construction of Bleacher, Canopy and Perimeter Fence at Sierra Vista Subdivision, Brgy. Cupang, Antipolo City c. LOCATION : Brgy. Cupang, Antipolo City d. BRIEF DESCRIPTION : Construction of Ble</t>
  </si>
  <si>
    <t xml:space="preserve"> Republic of the Philippines BIDS AND AWARDS COMMITTEE 9017 Población, El Salvador City Misamis Oriental  Email: bac.elsalvadorcity@gmail.com INVITATION TO BID for the PROCUREMENT OF SUBMERSIBLE PUMP AND ACCESSORIES FOR CONSTRUCTION/REHAB OF WWS PROGRAMS F</t>
  </si>
  <si>
    <t xml:space="preserve"> Republic of the Philippines Province of Davao del Norte BARANGAY VISAYAN VILLAGE, TAGUM CITY BIDS AND AWARDS COMMITTEE                                                                                                                                         </t>
  </si>
  <si>
    <t xml:space="preserve"> 1.	The Department of Environment and Natural Resources – Environmental Management Bureau Regional office No. 2 (DENR-EMB-RO2) hereinafter referred to as the “Purchaser” now requests for submission of price quotations for the procurement of the aforesaid i</t>
  </si>
  <si>
    <t xml:space="preserve"> Republic of the Philippines          City of Dumaguete Bids and Awards Committee INVITATION TO BID FOR THE PURCHASE OF 2,485 CU.M. LOOSE EARTH SOIL AND OTHER ITEMS 	The City of Dumaguete thru its BIDS AND AWARDS COMMITTEE (BAC), invites all interested man</t>
  </si>
  <si>
    <t xml:space="preserve"> Republic of the Philippines Province of Negros Occidental Municipality of Ilog Invitation to bid for sale  Amount 500 Purchase of materials for the construction of Drainage Canal, Purok Kapitan Andres-Mabini, Barangay I, Pob. Ilog, Neg. Occ</t>
  </si>
  <si>
    <t xml:space="preserve"> Feeds to be used for raw materials for Organic Production</t>
  </si>
  <si>
    <t xml:space="preserve"> Please download and view the associated component PDF document for the complete details/specs of the item(s).</t>
  </si>
  <si>
    <t xml:space="preserve"> units	Pocket Colorimeter II Chlorine Dioxide			2	 75,000.00 	 150,000.00  	Specifications					 	Case Style: D					 	Detector: Silicin Detector					 	Dimensions (H x W x D): 155 mm x 61 mm x 35mm					 	Weight: 0.51 lbs (0.23 kg)					 	Display: LCD, backlit</t>
  </si>
  <si>
    <t xml:space="preserve"> a.CONTRACT  ID : ANTIPOLO-01JULY2020-13 b. NAME OF PROJECT : Construction of Foundation of Niches at City Public Cemetery No. 2, Sto. Niño St., Barangay San Jose, Antipolo  City c. LOCATION : Barangay San Jose, Antipolo  City d. BRIEF DESCRIPTION : Constr</t>
  </si>
  <si>
    <t xml:space="preserve"> QUANTITY	UNIT	ARTICLES				 10	gallons	Paint, Quick Dry Enamel				 10	gallons	Paint, Gloss Latex White				 10	gallons	Paint, Flat Latex White				 2	pcs	Paint Thinner				 4	pcs	Paint Roller Tray				 4	pcs	Paint Brush #4				 4	pcs	Paint Brush #3				 4	pcs	Pa</t>
  </si>
  <si>
    <t xml:space="preserve"> The Provincial Government of Samar invites all interested registered suppliers to submit in person or authorized representative quotation for-			 1.	4	pack 	Black Ink Pack Standard 2.	2	pack	Cyan Ink Pack Standard 3.	2	pack	Magenta Ink Pack Standard 4.	2	</t>
  </si>
  <si>
    <t xml:space="preserve"> Contract ID No.	: 20K00350     Contract Name	: Const. of By-Pass and Diversion Roads Cagayan de Oro Diversion Road, (Jct. Balubal Sayre Highway-Pueblo de Oro, CDO-Old Airport Road Diversion Road (Pueblo de Oro/ Jct. CDO-Old Airport Road), Phase II, Packag</t>
  </si>
  <si>
    <t xml:space="preserve"> QUANTITY	UNIT	ARTICLES				 27	tins	Paint, Latex Flat White Gloss				 25	tins	Paint, Latex Red Maroon				 25	tins	Paint, Latex Dark Green Gloss				 25	tins	Paint, QDE White Gloss				 23	tins	Paint, QDE Flat White Gloss				 24	tins	Paint, QDE Red Gloss				 </t>
  </si>
  <si>
    <t xml:space="preserve"> Livestocks for communal garden</t>
  </si>
  <si>
    <t xml:space="preserve"> Republic of the Philippines          City of Dumaguete Bids and Awards Committee INVITATION TO BID FOR PURCHASE REQUEST OF 45 CU.M CONCRETE PREMIX (3000 PSI @ 28 DAYS) CF: 9 BAGS/CU.M 	The City of Dumaguete thru its BIDS AND AWARDS COMMITTEE (BAC), invite</t>
  </si>
  <si>
    <t xml:space="preserve"> Request for Quotation for the Procurement of Other Supplies to be used in the ILD Office of the Division Chief and Laboratories 1.	The Department of Agriculture-Regional Field Office 7 (DA-RFO 7), through the General Appropriations Act of CY 2020)  intend</t>
  </si>
  <si>
    <t xml:space="preserve"> a.CONTRACT  ID : ANTIPOLO-01JULY2020-14 b. NAME OF PROJECT : Construction of Drainage System Phase III at Maguey Road, Barangay San Isidro, Antipolo City c. LOCATION : Barangay San Isidro, Antipolo City d. BRIEF DESCRIPTION : Construction of Drainage Syst</t>
  </si>
  <si>
    <t xml:space="preserve"> PROJECT REFERENCE NO. CWD 24-2020 INVITATION TO BID FOR  Outsourcing of Ten (10) Personnel  to Perform the Distribution of Water Bills  within the Service Areas of the District (Rebidding) Item No.	Item Description	Qty.	Unit	Total Amount 1	Outsourcing of </t>
  </si>
  <si>
    <t xml:space="preserve"> Supply and Delivery of Technical and Scientific Equipment</t>
  </si>
  <si>
    <t xml:space="preserve"> QUANTITY	UNIT	ARTICLES				 118	pcs	RSB 16mm				 100	pcs	RSB 12mm				 45	pcs	RSB 10mm				 1	roll	GI Wire				 110	bags	Cement				 10	cu.m	Sand				 15	cu.m	Gravel				 12	pcs	Plywood 1/2				 55	pcs	Good Lumber 2 x 3 x 10				 6	kgs	CWN #3				 5	kgs	CWN #2				 </t>
  </si>
  <si>
    <t xml:space="preserve"> CENRO MOBO HONDA XR150L Motorcycle  - 2 UNIT Technical Specification: Engine Type: Single Cylender, 4-Stroke, Air-cooled OHC Displacement : 150cc Fuel Tank Size 12 Liters No. of Strokes 4- stroke Bore X stroke : 57.3 mm x 57.8 mm Kick and starter Start op</t>
  </si>
  <si>
    <t xml:space="preserve"> Specifications: Engine: F6A No. of Cylinders: 3 No. of CC: 660CC Tire Size: 12" Battery Size: NS40</t>
  </si>
  <si>
    <t xml:space="preserve"> Office Equipment parts and accessories</t>
  </si>
  <si>
    <t xml:space="preserve"> QUANTITY	UNIT	ARTICLES				 25	tins	Paint, Latex Flat White Gloss				 23	tins	Paint, Latex Red Maroon				 23	tins	Paint, Latex Dark Green Gloss				 23	tins	Paint, QDE White Gloss				 21	tins	Paint, QDE Flat White Gloss				 22	tins	Paint, QDE Red Gloss				 </t>
  </si>
  <si>
    <t xml:space="preserve"> QUANTITY	UNIT	ARTICLES				 8	units	Printer				 		          L3110 or its Equivalent				 		          All in One Printer (Print, Scan, Copy)				 		          400DPL Print 				 		          Color Ink System : Continuous Ink Support System				 		          Deskto</t>
  </si>
  <si>
    <t xml:space="preserve"> Procurement of dehumidifier in order to reduce relative humidity and dew point inside the Cash Vault are.</t>
  </si>
  <si>
    <t xml:space="preserve"> Rubber Gloves etc.  NOTE: To all suppliers bid documents and BAC Resolution 2020-029 are available at BAC Office and LGU website.</t>
  </si>
  <si>
    <t xml:space="preserve"> Bid-Opening-June 30, 2020 at 2:00 p.m. at Municipal Conference Room</t>
  </si>
  <si>
    <t xml:space="preserve"> Republic of the Philippines Province of Bulacan -o0o- Municipality of Calumpit Barangay Iba O’este Invitation to bid for the Maintenance and Rehabilitation of CCTV Fiber Optic System  Iba O'este, Calumpit, Bulacan Barangay Iba O’este, through the General </t>
  </si>
  <si>
    <t xml:space="preserve"> Specifications: Engine: 4D32 No. of Cylinders: 4 Tire Size: 7.00x16 Battery Size: 2 pcs. 2SM Load Capacity: 5 Cubic Meters (more or less)</t>
  </si>
  <si>
    <t xml:space="preserve"> Corazon Locsin Montelibano Memorial Regional Hospital, through its Bids and Awards Committee, intends to procure SUPPLY AND INSTALLATION OF 1-UNIT 1.5 HP SPLIT WALL MOUNTED INVERTER TYPE AIRCONDITIONER FOR LABORATORY HISTOPATHOLOGY ROOM, GROUND FLOOR PAYW</t>
  </si>
  <si>
    <t xml:space="preserve"> Republic of the Philippines Province of Negros Occidental  Municipality of Ilog Invitation to bid for sale Amount: Php 5,000 Purchase of Multi-Purpose Vehicle for the use of Ilog Rural Health Unit. Ilog, Negros Occidental MULTI-PURPOSE VEHICLE (Four Wheel</t>
  </si>
  <si>
    <t xml:space="preserve"> Contract ID No.	: 20K00351     Contract Name	: Const. of By-Pass and Diversion Roads, Claveria-Balingoan By-Pass Road, (Kabangasan-Mapua Section), Misamis Oriental     Contract Location	: Misamis Oriental     Scope of Work	: Const. of Conc. Road     Appro</t>
  </si>
  <si>
    <t xml:space="preserve"> Freight &amp; Handling of various Documents</t>
  </si>
  <si>
    <t xml:space="preserve"> Battery for Isuzu Crosswind, model 2013              1 unit                 6,200</t>
  </si>
  <si>
    <t xml:space="preserve"> African Night Crawlers</t>
  </si>
  <si>
    <t xml:space="preserve"> 1.	2     UNIT     OVEN 4 PLATE 2.	4     UNIT     LPG TANK W/ CONTENT 3.	4     UNIT     ELECTRIC MIXER 4.	2     UNIT     STAINLESS STEEL TABLES(Processing Area) 5.	2     UNIT     STAINLESS STEEL TABLES(Packaging Area) 6.	2     UNIT     IMPULSE SEALER(FS 30</t>
  </si>
  <si>
    <t xml:space="preserve"> a.CONTRACT  ID : ANTIPOLO-01JULY2020-15 b. NAME OF PROJECT : Construction of Drainage System Phase IV at Maguey Road, Barangay San Luis, Antipolo City c. LOCATION : Barangay San Luis, Antipolo City d. BRIEF DESCRIPTION : Construction of Drainage System e.</t>
  </si>
  <si>
    <t xml:space="preserve"> 1 1 Unit EC500 Chemiclave Chemical Sterilizer 120V 60Hz, 8 amps, 8" Chamber Dimension WxDxH, in (cm) 16.5 (42) x 23 (58.4) x 14 (35.6) Chamber Dimensions Dia. X D, in (cm) 8 (20.3) x 1.25 (33.7) watts 800, Operating Weight lbs(kg) 59 (26.8)</t>
  </si>
  <si>
    <t xml:space="preserve"> Construction Materials for Repair of Antipolo Elem. School       Php  66,465</t>
  </si>
  <si>
    <t xml:space="preserve"> QUANTITY	UNIT	ARTICLES				 2500	pcs	Student Handbook				 		          Size : 8.5" x 5.5"				 		          Cover : Colored, Glossy				 		          Inside Pages : Black Print, Plain Paper				 		*****END*****				 		(See attached sample)</t>
  </si>
  <si>
    <t xml:space="preserve"> Concreting of 161.4m x 5m x 0.15m Barangay Road</t>
  </si>
  <si>
    <t xml:space="preserve"> REQUEST FOR QUOTATION For Negotiated Procurement thru Small Value Procurement under Sec. 53.9 of the 2016 Revised IRR of RA 9184 Quotation No.:  2020-05-174 (2ND QUOTE) Date: June 10, 2020 PR No.: 20-05-170 PR Date: May 8, 2020 The Metropolitan Tuguegarao</t>
  </si>
  <si>
    <t xml:space="preserve"> One Hundred Ninety (190) btl Air Freshener, Cool Air 320MU12 &amp; 19 other line items</t>
  </si>
  <si>
    <t xml:space="preserve"> P.R. No. X1-20-03-187 - Supply and Delivery for the Replacement of two (2) defective units at Information and Communication Technology Unit-Command Center, Network Room. End-user: Command Center Staffs. (Please see attached RFQ)</t>
  </si>
  <si>
    <t xml:space="preserve"> a.CONTRACT  ID : ANTIPOLO-01JULY2020-16 b. NAME OF PROJECT : Repair/ Repainting of Various School Buildings at Brgy. Sta. Cruz, Antipolo City (2020 – Package 22) a. Repair/ Repainting of Two (2) Storey, Four (4) Rooms PLED School Building 3 at Antipolo Na</t>
  </si>
  <si>
    <t xml:space="preserve"> 1,200 heads - Muscovy Duck (2 months old) with the ratio of 10 females and 2 males                       properly cared with good health and no signs of any physical abnormalities.  Requirements:  2020 PhilGeps Registration, Business Permit, Mayors Permit</t>
  </si>
  <si>
    <t xml:space="preserve"> The Roxas City Government, through the GOP-2020 intends to apply the Aggregate amount of Two Hundred Thirty Four Thousand One Hundred Sixty Pesos (PhP 234,160.00) being the Aggregate Approved Budget for the Contract (ABC) to payments under the contract fo</t>
  </si>
  <si>
    <t xml:space="preserve"> Location				: Opol, Misamis Oriental	 Total Approved Budget for the  Contract (ABC)	: Nine Hundred Ninety Nine Thousand Nine Hundred Ninety Eight Pesos and 80/100 Only (Php 999,998.80) Delivery Period				: 30 Calendar Days</t>
  </si>
  <si>
    <t xml:space="preserve"> QUANTITY	UNIT	ARTICLES				 1	unit	Multi - Purpose Vehicle				 		          4 Cylinders, SOHC 16V				 		          1590cc (1.6L) - displacement				 		          91HP @ 5750 rpm - max output				 		          127Nm @ 4500rpm max. torque				 		          5 speed m</t>
  </si>
  <si>
    <t xml:space="preserve"> NOTICE OF PROCUREMENT OF GOODS THROUGH ALTERNATIVE METHOD OF PROCUREMENT Notice is given that the Department of Public Works and Highways, Guimaras Engineering District, San Miguel, Jordan, Guimaras, through its Bids and Awards Committee (BAC), will procu</t>
  </si>
  <si>
    <t xml:space="preserve"> Republic of the Philippines Province of Negros Occidental  Municipality of Ilog Invitation to bid for sale Amount Php 1000 Purchase of materials for the construction of drainage canal, Barangay Dancalan, Ilog, neg. Occ.</t>
  </si>
  <si>
    <t xml:space="preserve"> Thirty Seven (37) btl  Ink Refill, BT6000BK, Cap 6000 pages* &amp; 16 other line items</t>
  </si>
  <si>
    <t xml:space="preserve"> Purchase of 165 pails paint and 1,000 sacks cement.</t>
  </si>
  <si>
    <t xml:space="preserve"> Procurement of 10 unit printer</t>
  </si>
  <si>
    <t xml:space="preserve"> TERMS and CONDITIONS:    The following documents must be included in the submitted quotation: 1. Eligibility Requirements:   a. PhilGeps Registration Certificate   b. Mayor's Permit   c. DTI Business Registration/SEC/CDA   d. Latest Income business tax re</t>
  </si>
  <si>
    <t xml:space="preserve"> 1,000 liters Gasoline Premium</t>
  </si>
  <si>
    <t xml:space="preserve"> QUANTITY	UNIT	ARTICLES				 20	pcs	KD 2 x 4 x 12				 30	pcs	KD 2 x 3 x 12				 30	pcs	KD 2 x 2 x 12				 60	pcs	Liston Wood 1/2 x 2 x 12				 100	pcs	PVC Clamp, Orange, 1/2				 1	liter	Vulcaseal				 20	pcs	LED Bulb 15W				 2	pcs	PVC O - Tee 3 x 2				 9	kilos	</t>
  </si>
  <si>
    <t xml:space="preserve"> a.CONTRACT  ID : ANTIPOLO-01JULY2020-17 b. NAME OF PROJECT : Repair/ Repainting of Two (2) Storey, Six (6) Rooms Pled School Building 4 at Antipolo National High School, Brgy. Sta. Cruz, Antipolo City c. LOCATION : Brgy. Sta. Cruz, Antipolo City d. BRIEF </t>
  </si>
  <si>
    <t xml:space="preserve"> Republic of the Philippines Province of Bulacan -o0o- Municipality of Calumpit Barangay Iba O’este Invitation to bid for the Maintenance and Rehabilitation of Public Address System in Iba O'este, Calumpit, Bulacan Barangay Iba O’este, through the General </t>
  </si>
  <si>
    <t xml:space="preserve"> Concreting of 2.00m, 0.20m thk Barangay Road.</t>
  </si>
  <si>
    <t xml:space="preserve"> Republic of the Philippines Province of Negros Occidental Municipality of Ilog Invitation to bid for sale Amount:Php 1000</t>
  </si>
  <si>
    <t xml:space="preserve"> 1. The Department of Environment and Natural Resources (DENR)–PENRO, Aurora has an Approved Budget from the Integrated Protected Area Fund (IPAF) (PA-RIA) of Aurora Memorial National Park (AMNP) with Fund Code 401 for the Contract (ABC) amounting to Sixty</t>
  </si>
  <si>
    <t xml:space="preserve"> 2,000 liters Kerosene</t>
  </si>
  <si>
    <t xml:space="preserve"> Republic of the Philippines  Province of Negros Occidental Municipality of Ilog Invitation to bid for sale Amount:Php 1000 Purchase of materials for the road concreting, Purok Santan, BRgy. Vista Alegre, Ilog, Neg. Occ.</t>
  </si>
  <si>
    <t xml:space="preserve"> 3,000 liters Gasoline, Regular</t>
  </si>
  <si>
    <t xml:space="preserve"> I. EXCAVATION II. MASONRY WORKS a) MATERIALS b) LABOR c) EQUIPMENT RENTAL III. STEEL COVER a) MATERIALS b) LABOR c) EQUIPMENT RENTAL</t>
  </si>
  <si>
    <t xml:space="preserve"> a.CONTRACT  ID : ANTIPOLO-01JULY2020-18 b. NAME OF PROJECT : Repair/ Improvement of Two (2) Storey Six(6) Classrooms Sumulong Building at San Juan National High School, Brgy. San Juan, Antipolo City c. LOCATION : Brgy. San Juan, Antipolo City d. BRIEF DES</t>
  </si>
  <si>
    <t xml:space="preserve"> QUANTITY	UNIT	ARTICLES				 1	pc	Plug-in C/B 100amp				 4	pcs	Plug-in C/B 60amp				 2	pcs	Plug-in C/B 20amp				 30	meters	THHN #10				 50	meters	THHN 3.5 (12)				 30	meters	THHN #14				 4	pcs	Switch, Single WD511				 2	pcs	Plate Cover				 2	pcs	J-Box with </t>
  </si>
  <si>
    <t xml:space="preserve"> Subgrade Preparation, Aggregate Sub-base Course, PCCP Concrete Class ‘A’, Reinforcing Steel Bar, Forms and Scaffoldings Excavation for Structure</t>
  </si>
  <si>
    <t xml:space="preserve"> a.CONTRACT  ID : ANTIPOLO-01JULY2020-19 b. NAME OF PROJECT : Construction of Material Recovery Facility (MRF) at Brgy. Calawis, Antipolo City c. LOCATION : Brgy. Calawis, Antipolo City d. BRIEF DESCRIPTION : Construction of Material Recovery Facility (MRF</t>
  </si>
  <si>
    <t xml:space="preserve"> QUANTITY	UNIT	ARTICLES				 30	boxes	Co-Amoxiclav 625mg tab, 100's				 20	boxes	Cefuroxime 500mg tab, 100's				 15	boxes	Cifrofloxacin 500mg caps, 100's				 5	boxes	Clindamycin 300mg tab, 100's				 5	boxes	Clarithromycin 500mg, 100's				 15	boxes	Cefixime </t>
  </si>
  <si>
    <t xml:space="preserve"> 60	Cans	Open Pollinated Variety Pechay; 100 grams /can 	 		Maturity: 30-40 days after sowing	 		Color: Dark Green and petioles	 		Season: Year round	 		Expected Yield: 1.5 kg/sq/m	 		Fast growing uniform maturity; with long succulent and tender petioles	 </t>
  </si>
  <si>
    <t xml:space="preserve"> PLEASE DOWNLOAD THE ATTACHMENT/S FOR REFERENCE. Important Notes and Conditions: You can submit your quotation ON or BEFORE JUNE 17, 2020 at 01:00 PM with the photocopy of the following legal documents: a. Mayor’s / Business Permit  b. PhilGEPS Registratio</t>
  </si>
  <si>
    <t xml:space="preserve"> Invitation to Bid for the Supply and Delivery of various Medicine for the use of Brgy. San Antonio Isla Verde, Batangas City</t>
  </si>
  <si>
    <t xml:space="preserve"> The Bids and Awards Committee (BAC) of the BARANGAY BURABOD Castilla, Sorsogon invites qualified contractor’s to bid for the project: The Procurement process of the afore-mentioned projects will be conducted by this Bids and Awards Committee (BAC) in acco</t>
  </si>
  <si>
    <t xml:space="preserve"> To control the dust level and maintain the cleanliness of air in the cash vault. These will be placed at cages 1,2 and 4 of the cash vault.</t>
  </si>
  <si>
    <t xml:space="preserve"> Purchase of 20 units seafood stall.</t>
  </si>
  <si>
    <t xml:space="preserve"> 30	pcs	Square bar, 10mm 6	pcs	G.I. Pipe (S-40), 2" x 20' 5	kgs	Welding Rod 6	liters	Epoxy Primer 6	liters	Epoxy Reducer 1	pc	Cut-off Blade 2	liters	Metal Primer 2	pcs	Paint Brush, 2" 12	pcs	PVC Wire Moulding, 1" 2	pcs	PVC Pipe Orange, 1/2" 7	pcs	Junction </t>
  </si>
  <si>
    <t xml:space="preserve"> QUANTITY	UNIT	ARTICLES				 10	sets	Double Deck Bed with Foam				 		Double Deck Bed Size : 30 x 30 x 75 				 		Foam Size : 2 x 30 x 75				 		(See attached sample)				 1	unit	Massage Bed, Portable (Foldable)				 		(See attached sample)				 1	unit	Sewing Mac</t>
  </si>
  <si>
    <t xml:space="preserve"> Invitation to Bid for the Supply and Delivery of Handheld Radio for the use of Brgy. Mahabang Dahilig, Batangas City</t>
  </si>
  <si>
    <t xml:space="preserve"> Republic of the Philippines Province of Leyte Municipality of Hilongos BARANGAY LUNANG REQUEST FOR QUOTATION _____________ Date  _______________________ _______________________  ______________________                                Please quote your lowes</t>
  </si>
  <si>
    <t xml:space="preserve"> 10,000 liters Automotive Diesel</t>
  </si>
  <si>
    <t xml:space="preserve"> Please see attached RFQ for more details. For concern / query, you may contact us through BAC.SDOBenguet@gmail.com from Mondays to Fridays (8AM to 5PM) except on Holidays.</t>
  </si>
  <si>
    <t xml:space="preserve"> Republic of the Philippines PROVINCE OF NORTHERN SAMAR BIDS AND AWARDS COMMITTEE Catarman Purchase of 6 units Multicab and 3 Units Prisoner’s Van Province of Northern Samar NS-06-11-20 1.	The Provincial Government of Northern Samar, through the SP Ordinan</t>
  </si>
  <si>
    <t xml:space="preserve"> Republic of the Philippines          City of Dumaguete Bids and Awards Committee INVITATION TO BID FOR PURCHASE REQUEST OF 10 LGTHS DEFORMED STEEL BAR (16MMØ X 6.0M) AND OTHER ITEMS 	The City of Dumaguete thru its BIDS AND AWARDS COMMITTEE (BAC), invites </t>
  </si>
  <si>
    <t xml:space="preserve"> Concreting of 320 meters length; 5 meters in width; 0.20 meters in thickness with one (1) line 910 mm dia. RCPC class "A" concrete mixtures.</t>
  </si>
  <si>
    <t xml:space="preserve"> a.CONTRACT  ID : ANTIPOLO-01JULY2020-21 b. NAME OF PROJECT : Improvement of Drainage Canal at Dela Paz St. (Portion), Brgy. Dela Paz, Antipolo City c. LOCATION : Brgy. Dela Paz, Antipolo City d. BRIEF DESCRIPTION : Improvement of Drainage Canal e. MAJOR I</t>
  </si>
  <si>
    <t xml:space="preserve"> 20CSHN08 -Appraisal Services for Road-Right-of-Way Acquisition – Road Widening - Secondary Roads - Terminal Bldg. Access Road - Chainage 000 - Chainage 1295, Lapu-Lapu City  Scope of Work		:	Appraisal Services</t>
  </si>
  <si>
    <t xml:space="preserve"> Republic of the Philippines Province of Negros Occidental Municipality of Ilog Invitation to bid for sale Amount:Php500  Purchase of materials for the concrete pavement BRgy. Balicotoc, Ilog, Neg. Occ.</t>
  </si>
  <si>
    <t xml:space="preserve"> Please quote your lowest price on the items listed below, subject to the General Conditions, stating the shortest time of delivery and submit your quotation duly signed by your representative.			 			 Instructions:			 a)  Official copy of the Request for Q</t>
  </si>
  <si>
    <t xml:space="preserve"> Sub grade Preparation, Aggregate Sub-base Course</t>
  </si>
  <si>
    <t xml:space="preserve"> a.CONTRACT  ID : ANTIPOLO-01JULY2020-20 b. NAME OF PROJECT : Dismantling / Transfer / Erection of Elevated Steel Tank from San Juan Water Service Multi - Purpose Cooperative (SJWSMC), Sitio Buntong Palay, Brgy. San Juan to Kaysakat National High School, B</t>
  </si>
  <si>
    <t xml:space="preserve"> 1	Set	Clutch disc					 1	Set	Clutch cover					 1	Pc	Release bearing					 4	Pcs	Transmission oil					 1	Set	Pull down transmission to replace clutch kit					 1	pc	Misc./Shop materials</t>
  </si>
  <si>
    <t xml:space="preserve"> INVITATION TO BID 	 The Department of Public Works and Highways-Cebu 4th District Engineering Office, through its Bids and Awards Committee (BAC), invites contractors to submit bids for the Contract: 1.	Contract ID 		:	20HG0174 Contract Name           :  </t>
  </si>
  <si>
    <t xml:space="preserve"> Medical Supplies and Laboratory Equipment of Antipolo ES     Php  22,900</t>
  </si>
  <si>
    <t xml:space="preserve"> 1.	     459     bags     40kg. Portland Cement 2.	     13       cu.m.    Washed Sand (338 sacks) 3.	      9        cu.m.     Washed Gravel (234 sacks) 4.	     2,745  pcs.        4”CHB 5.	     123     pcs.        10mmØ x 6m RSB 6.	     36       pcs.       </t>
  </si>
  <si>
    <t xml:space="preserve"> INVITATION TO BID 	 The Department of Public Works and Highways-Cebu 4th District Engineering Office, through its Bids and Awards Committee (BAC), invites contractors to submit bids for the Contract: 1.	Contract ID 		:	20HG0175 Contract Name           :  </t>
  </si>
  <si>
    <t xml:space="preserve"> REQUEST FOR QUOTATION 	The Caraga State University-Cabadbaran Campus, through its Bids and Awards Committee (BAC), will undertake a Negotiated Procurement (Small Value Procurement) for the project: PROVISION OF THE CONTRACT FOR TARPAULIN PRINTING SERVICES</t>
  </si>
  <si>
    <t xml:space="preserve"> Concreting of 200 meters length and 370 meters concrete pathway, 2 meters in width, 0.15 meter in thickness "class A".</t>
  </si>
  <si>
    <t xml:space="preserve"> For: HI1-2203, Ford Fiera  1 pc. Tires (6.40 x 13; 8PR Miler Type) w/ Tube For: H2-228, Servicing Machine Battery 12V; 13P (3SM Type) For: H3-6120, Dump Truck Tires (10 x 20; 18PR Lug Type) w/ Tube &amp; Flap For: H3-6482, Dump Truck Tire Rim 20”, Heavy Duty </t>
  </si>
  <si>
    <t xml:space="preserve"> ITEM #	QUANTITY			ITEM &amp; DESCRIPTION					 									 1	213	bags		Cement					 2	21	cu.m		Gravel					 3	17	cu.m		Sand					 4	468	pcs		CHB #4					 5	90	pcs		RSB 12mm					 6	45	pcs		RSB 10mm					 7	15	kgs		GI Wire #16					 8	90	pcs		CCL 2x3x12					 9	30	kgs		C</t>
  </si>
  <si>
    <t xml:space="preserve"> 1.  145 bags  - Feeds (crack Corn)  2.   68   bags  - Feeds (Layer Pellet)  Requirements:   2020 PhilGeps Registration, Business Permit, Mayors Permit, Tax Clearance, Notarized Omnibus                          Sworn Statement of Business Transactions.</t>
  </si>
  <si>
    <t xml:space="preserve"> 1 set coring machine PEO</t>
  </si>
  <si>
    <t xml:space="preserve"> 200	Piece	Data File Ledger 9x16(April-July 2020), ABC 300.00/pc 16  9 inches width inches length 9 holder				 RFQ#06-0614</t>
  </si>
  <si>
    <t xml:space="preserve"> Procurement of additional units to meet the demands during simultaneous pre-loading of withdrawal transactions and verification sessions, and in regular verification activity where cancelled notes are transported to the vault.</t>
  </si>
  <si>
    <t xml:space="preserve"> 20CSHN09 -Appraisal Services for Road-Right-of-Way Acquisition – Road Widening - Secondary Roads - Consolacion-Tayud-Liloan  Road - Chainage 1920 - Chainage 2823, Consolacion, Cebu Scope of Work		:	Appraisal Services</t>
  </si>
  <si>
    <t xml:space="preserve"> CONSTRUCTION PROJECT</t>
  </si>
  <si>
    <t xml:space="preserve"> REQUEST FOR QUOTATION										 										 RFQ No.		NP 53.6			Date				19-Dec-19	 PR Reference		100-19-12-042.1			Implementing Office				CMO	 Closing Date and Time					27-Dec-19					 Designated Places of Submission (Bid Box Designated Locations)					1. BAC</t>
  </si>
  <si>
    <t xml:space="preserve"> Republic of the Philippines Province of Iloilo Municipality of Ajuy BIDS AND AWARD COMMITTEE INVITATION TO APPLY FOR ELIGIBILITY AND TO BID 	The Local Government of Ajuy, Iloilo invites Accredited Supplier to apply for eligibility and to bid for the Purch</t>
  </si>
  <si>
    <t xml:space="preserve"> Philippine Flag for Independence Day Celebration</t>
  </si>
  <si>
    <t xml:space="preserve"> 1 lot Supply and Delivery of Construction Supplies 1. -11- pcs R.C.Pipes, 0.46m x1m (18" dia.) 2. -6-   pcs.R.C. Pipes, 0.61m x 1m (24" dia.) 3. -8-   pcs. R.C. Pipes, 0.76m x 1m (30" dia.) 4. -8-   pcs. R.C. Pipes, 1.22m x 1m (48" dia.)</t>
  </si>
  <si>
    <t xml:space="preserve"> (Section I) Republic of the Philippines Department of Health CENTER FOR HEALTH DEVELOPMENT MIMAROPA Q.M.M.C. Compound, Project 4, Quezon City INVITATION TO BID  RE – BIDDING FOR THE COMPLETION OF ROXAS RURAL HEALTH UNIT (TB DOTS AND BIRTHING FACILITY) &amp; S</t>
  </si>
  <si>
    <t xml:space="preserve"> ITEM #	QUANTITY			ITEM &amp; DESCRIPTION					 									 1	1	pc		RSC Pipe 2"					 2	1	pc		Entrance Cap 2"					 3	6	pcs		C-Clamp, Metal Clamp 2"					 4	2	pcs		PVC Pipe 1 1/2					 5	3	pcs		PVC Short Elbow 1 1/2					 6	1	pc		NEMA 3R Enclosure for 150 AT CB Bolt-o</t>
  </si>
  <si>
    <t xml:space="preserve"> Title:Procurement of 3 unit Computer Desktop,etc. under P.R.No. 2173-2020-5% City Disaster Risk Reduction and Management Fund(Continuing). Total ABC: Php 2,100,000.00 For representative/s of interested bidders who wish to attend the Pre-Bidding Conference</t>
  </si>
  <si>
    <t xml:space="preserve"> Republic of the Philippines Province of South Cotabato BIDS AND AWARDS COMMITTEE City of Koronadal  INF-ITB 20-029 INVITATION TO BID  1.	The Provincial Government of South Cotabato, through the PEO-8751 20% LDF (8.5.1) intends to apply the sum of         </t>
  </si>
  <si>
    <t xml:space="preserve"> Invitation to Bid for the Supply and Delivery of various Equipment for the use of Brgy. Poblacion 14, Batangas City</t>
  </si>
  <si>
    <t xml:space="preserve"> Electrical System &amp; Lighting Components</t>
  </si>
  <si>
    <t xml:space="preserve"> 1	10	 pcs 	Carbon Steel Plate 10m x 150 x 6 meter 2	100	 kg 	welding electrode E-6013 2.5 dia wip weld 3	50	 kg 	welding electrode E-6011 3.2 dia wip weld 4	40	 kg 	welding electrode E-7018 2.5 dia wip weld 5	50	 pcs 	grinding disc 4" dia x 5/8 tyrolit 6	</t>
  </si>
  <si>
    <t xml:space="preserve"> Construction of 22m River Control</t>
  </si>
  <si>
    <t xml:space="preserve"> Brgy. Calbani Maripipi Biliran Vertical Project</t>
  </si>
  <si>
    <t xml:space="preserve"> Republic of the Philippines Province of South Cotabato BIDS AND AWARDS COMMITTEE City of Koronadal  INF-ITB 20-030 INVITATION TO BID  1.	The Provincial Government of South Cotabato, through the 1011-PGO Staff-P/P 1-07-04-990-8.D.1-M/BDP-Brgy Facilities, C</t>
  </si>
  <si>
    <t xml:space="preserve"> Invitation to Bid for the Supply and Delivery of CCTV Camera for the use of Brgy. Poblacion 14, Batangas City</t>
  </si>
  <si>
    <t xml:space="preserve"> 1 unit	Vacuum Machine (Stand Type 485 Mml Brwn)	 	        ABC: Php 72,000.00/unit		 			 			 1 unit	Chiller/Freezer 4 Door, 1 Comp (Stand Up)	 	        ABC: Php 120,000.00/unit		 			 			 1 unit	Milling Machine: Capacity: 30-60kg/hr 	        ABC: Php 64,000</t>
  </si>
  <si>
    <t xml:space="preserve"> REQUEST FOR QUOTATION 	The Caraga State University-Cabadbaran Campus, through its Bids and Awards Committee (BAC), will undertake a Negotiated Procurement (Small Value Procurement) for the project: PROVISION OF THE CONTRACT FOR GASOLINE AND DIESEL SUPPLY </t>
  </si>
  <si>
    <t xml:space="preserve"> Corazon Locsin Montelibano Memorial Regional Hospital, through its Bids and Awards Committee, intends to procure MATERIALS FOR ENGINEERING FACILITIES MANAGEMENT STOCKS FOR PLUMBING MAINTENANCE USE, which will be undertaken in accordance with Section 53.9 </t>
  </si>
  <si>
    <t xml:space="preserve"> Republic of the Philippines												 Province of South Cotabato												 BIDS AND AWARDS COMMITTEE												 Capitol Compound Alunan Avenue, Koronadal City												 Tel. No. (083)228-9951												 												 REQUEST FOR QUOTATION										</t>
  </si>
  <si>
    <t xml:space="preserve"> 6 boxes urine strips(4 parameters) 20 tubes capillary tubes 5 boxes blood lancet 2 boxes hematology stain 20 boxes surgical mask 20 boxes nitrile gloves (large) 2 boxes applicator stick 200 pcs specimen cups 2 gallon lysol disinfectant concentrate 10 bott</t>
  </si>
  <si>
    <t xml:space="preserve"> NOTICE OF NEGOTIATED PROCUREMENT (Small Value Procurement) Project:	Purchase of One (1) set CCTV/Digital Video Recorder 8 Channels, 230V (Complete set w/ Installation) (for the installation of CCTV at Umingan Community Hospital) 		(PR#2020-02-0917) Locati</t>
  </si>
  <si>
    <t xml:space="preserve"> rapid testing kit supplies</t>
  </si>
  <si>
    <t xml:space="preserve"> REQUEST FOR QUOTATION 				 							Date:        June 1, 2020 							RFQ No.    DGPD20-003 							PR NO.      PD2003-12-084     To All Eligible Suppliers  Please quote your lowest price inclusive of VAT on the item/s listed below, subject to the Terms and C</t>
  </si>
  <si>
    <t xml:space="preserve"> Concreting of 160 meters length; 5 meters in width; 0.20 meters in thickness class "A" concrete mixtures.</t>
  </si>
  <si>
    <t xml:space="preserve"> Republic of the Philippines CITY OF LAPU-LAPU BIDS AND AWARDS COMMITTEE Invitation to Bid FOR THE PROCUREMENT of 10 UNITS ALL-IN-ONE PERSONAL COMPUTER The City of Lapu-Lapu through the CAPITAL OUTLAY FUND 3324-1-07-05-030-20s1  intends to apply the sum of</t>
  </si>
  <si>
    <t xml:space="preserve"> ROTARY COMPOSTER MACHINE</t>
  </si>
  <si>
    <t xml:space="preserve"> Location : Legazpi City, Albay Scope of Work : Concreting of 0.189 Km PCCP with 175.68 l.m. Lined Canal Please be reminded that upon dropping of bids, the contractor’s authorized representative must present any but not limited to the following documents: </t>
  </si>
  <si>
    <t xml:space="preserve"> Fabrication and Installation of 70 LM GI Pipe Guardrails</t>
  </si>
  <si>
    <t xml:space="preserve"> SECURITY PLANT COMPLEX       Department of General Services       Procurement Division    3rd REQUEST FOR QUOTATION 1.	The Bangko Sentral ng Pilipinas requests quotations for the hereunder requirement: Name of the Requirement/Brief Description	:  	Supply </t>
  </si>
  <si>
    <t xml:space="preserve"> Procurement of coin counting machine in order to improve the efficiency of the COD in counting and sorting coins.</t>
  </si>
  <si>
    <t xml:space="preserve"> Concreting of 210 meters length; 5 meters in width; 0.15 meters in thickness class "A" concrete mixtures.</t>
  </si>
  <si>
    <t xml:space="preserve"> 1 Unit Aircon-Inverter 3 Tonner</t>
  </si>
  <si>
    <t xml:space="preserve"> ITEM #	QUANTITY			ITEM &amp; DESCRIPTION					 									 1	1	unit		Filing Cabinet, Lateral, 2-Drawer, Gray					 2	3	units		Filing Cabinet, Lateral, 3-Drawer, Gray					 3	2	units		Filing Cabinet, Lateral, 4-Drawer, Gray					 4	1	unit		Tall Cabinet, Glass Window</t>
  </si>
  <si>
    <t xml:space="preserve"> Republic of the Philippines Province of Masbate MUNICIPALITY OF CATAINGAN BARANGAY DIVISORIA   			                                                                                              JUNE  11, 2020 INVITATION TO APPLY FOR ELIGIBILITY AND TO BID T</t>
  </si>
  <si>
    <t xml:space="preserve"> NOTICE OF NEGOTIATED PROCUREMENT (Small Value Procurement) Project:	Purchase of 275 pcs. Iopamidol 300mg/50ml 		(PR#2020-03-2813) Location: 	Pangasinan Provincial Hospital 	        San Carlos City, Pangasinan Approved Budget for 	 the Contract (ABC):	P 46</t>
  </si>
  <si>
    <t xml:space="preserve"> Corazon Locsin Montelibano Memorial Regional Hospital, through its Bids and Awards Committee, intends to procure ENGINEERING FACILITIES MANAGEMENT STOCKS FOR ELECTRICAL MAINTENANCE USE, which will be undertaken in accordance with Section 53.9 of the Revis</t>
  </si>
  <si>
    <t xml:space="preserve"> Republic of the Philippines Province of Albay Municipality of Rapu-Rapu Barangay Dap-Dap INVITATION TO BID FOR THE CONSTRUCTION OF FOOTBRIDGE – PUROK 1 1.	The Barangay Local Government Unit of Dap-Dap, Rapu-Rapu, Albay, through the Budget for the Contract</t>
  </si>
  <si>
    <t xml:space="preserve"> 1. Sodium Dichloro-isocyanurate or Troclosene, 67mg  effervescent tablet to be used for water purification (free avialable box chlorine 40mg), 100 tablets/box, at least 18 months expiry upon delivery 200 boxes @ 700.00/box</t>
  </si>
  <si>
    <t xml:space="preserve"> To provide meals and snacks during the conduct of 10th World Bank Implementation Support Mission</t>
  </si>
  <si>
    <t xml:space="preserve"> SPCL-I  -  Project Billboard    32.00   sq.ft. I -           Breaking of Existing Pavement   740.00    sq.m. II -          Embankment/Backfilling and Compaction   149.00  cu.m. III -         P.C.C.P. @ 0.127m thick   192 sq.m. Invitation to Bid  EMBANKMEN</t>
  </si>
  <si>
    <t xml:space="preserve"> Office supplies      Php   18,800</t>
  </si>
  <si>
    <t xml:space="preserve"> 434	vials	Inactivated Quadrivalent Influenza Vaccine</t>
  </si>
  <si>
    <t xml:space="preserve"> Republic of the Philippines City of Cadiz OFFICE OF THE CITY MAYOR DESIGN AND BUILD COMMITTEE CONCEPTUAL DESIGN Project Title	:  	Installation of Automatic Fire Sprinkler System (with Automatic Fire Detection, Automatic Fire Alarm, Water Tank, Pump House </t>
  </si>
  <si>
    <t xml:space="preserve"> Quantity	Unit	Item and Description 20	Unit	Aluminum cages W=18 x L=18 x H=36 15	Unit	Aluminum cages W=18 x L=18 x H=24 15	Unit	Aluminum cages W=18 x L=18 x H=18 		***nothing follows***</t>
  </si>
  <si>
    <t xml:space="preserve"> 30 pcs. 2x3x10 coc lumber 225 bags cement 30 cu.m. gravel 20 cu.m. sand SI</t>
  </si>
  <si>
    <t xml:space="preserve"> 500 Heads FREE RANGE CHICKEN LAYER TYPE</t>
  </si>
  <si>
    <t xml:space="preserve"> ITEM #	QUANTITY			ITEM &amp; DESCRIPTION					 									 1	100	packs		Battery, "AA", 2's					 2	100	packs		Battery, "AAA", 2's					 3	30	boxes		Correction Tape, 10 meters, 12's					 4	50	boxes		Sign Pen, Black, 0.5, 12's, Good Quality					 5	20	boxes		Marker, </t>
  </si>
  <si>
    <t xml:space="preserve"> Concreting of 130 meters length; 2 meters in width; 0.15 meters in thickness class "A" concrete mixtures.</t>
  </si>
  <si>
    <t xml:space="preserve"> Brgy. Trabugan Maripipi, Biliran Vertical project</t>
  </si>
  <si>
    <t xml:space="preserve"> Ascorbic Acid (Vitamin C), 500mg tablet, blister pack box of 100s = 344 box @ 250.00</t>
  </si>
  <si>
    <t xml:space="preserve"> Retrofitting of Mauhang Bridge</t>
  </si>
  <si>
    <t xml:space="preserve"> Republic of the Philippines Province of Masbate MUNICIPALITY OF CATAINGAN BARANGAY CHIMENEA   			                                                                                               June 11, 2020 INVITATION TO APPLY FOR ELIGIBILITY AND TO BID Th</t>
  </si>
  <si>
    <t xml:space="preserve"> Typhoid Fever Rapid Test Kit, 1gG and 1gM, at least 90% sensitivity and specificity, 25-30s/box, at least 18 months expiry upon delivery 40 kits @ 7,500.00</t>
  </si>
  <si>
    <t xml:space="preserve"> Concreting of 250 meters length; 3.6 meters in width; 0.15 meters in thickness class "A" concrete mixtures.</t>
  </si>
  <si>
    <t xml:space="preserve"> Place of Delivery: Tabuk City, Kalinga Delivery Period: Within 30 days upon receipt of PO/NTP NO	ITEM AND DESCRIPTION	QTY	UNIT 1	Pechay Seeds (flowering)	15	Kilos 2	Sitaw (string beans)	15	Kilos 3	Sitting beans	10	Kilos 4	Okra	                 5	Kilos 5	A</t>
  </si>
  <si>
    <t xml:space="preserve"> PROFESSIONAL WEBCAM, MICROPHONE AND MICROPHONE STAND FOR LIVE STREAM BROADCAST (Please see the description in the attached RFQ)</t>
  </si>
  <si>
    <t xml:space="preserve"> Disinfectant, Aerosol, 500ml	10	can Hand Sanitizing Gel (1000ml/bottle)	20	bottle Isopropyl Alcohol (500ml/bottle)	20	bottle Hand Sanitizing Spray (500ml/bottle)	24	bottle Bleaching Liquid Cleaner (1gal/bottle)	5	bottle Door Mat	10	pc Foot Mat Disinfectan</t>
  </si>
  <si>
    <t xml:space="preserve"> June 11, 2020 INVITATION TO BID The Barangay Lam-an of Ozamiz City, through its Bids and Awards Committee (BAC), invites suppliers/contractors to apply for eligibility and to bid for the hereunder projects: Item No.	1 Name of Project/Description &amp; Locatio</t>
  </si>
  <si>
    <t xml:space="preserve"> l.	The MUNICIPALITY OF GUINAYANGAN, QUEZON, through  the  2020 MOOE    intends to apply the sum of  One Hundred Eighty Nine Thousand Eighty Pesos  (P 189,080.00) being the Approved Budget for the Contract (ABC) to payments under the contract for Supply an</t>
  </si>
  <si>
    <t xml:space="preserve"> construction of 5.50m x 7.50m stage</t>
  </si>
  <si>
    <t xml:space="preserve"> 1. HDMI Cable, cable length: 5 meters, male to male, braided cable, Audio Return Channel	3	pcs	300.00 2. HDMI Cable, Cable length: 30 meters, male to male, braided cable, Audio Return Channel	= 2	pcs	@ 1,500.00 3. M.2 SSD, Storage: 1TB, Sequential Read/Wr</t>
  </si>
  <si>
    <t xml:space="preserve"> ITEM #	QUANTITY			ITEM &amp; DESCRIPTION					 									 1	20	bottles		Toilet Bowl Cleaner 500ml					 2	20	packs		Detergent Powder, 1000 grams					 3	50	bottles		Dishwashing Liquid 250ml					 4	30	canisters		Disinfectant Spray, 340 grams					 5	20	packs		Garba</t>
  </si>
  <si>
    <t xml:space="preserve"> 2,000 Liters Premium Gasoline</t>
  </si>
  <si>
    <t xml:space="preserve"> 1. Reproduction of flyers on STH and WASH, one page, colored =	12,000	copies @ 	8.00 2. Reproduction of deworming consent form, A4 size, 70GSM, one page only, black and white	= 30,000	copies @v	0.80 3. Reproduction of Healthcare Waste Manual, A4 size; Bin</t>
  </si>
  <si>
    <t xml:space="preserve"> This project entails purchase of medical supplies for use of frontliners during Covid-19 emergency response implementation of LGU-Magallanes, Sorsogon.</t>
  </si>
  <si>
    <t xml:space="preserve"> 14cs Floorwax, Complete 5L (2pcs/cs)</t>
  </si>
  <si>
    <t xml:space="preserve"> Republic of the Philippines DEPARTMENT OF PUBLIC WORKS AND HIGHWAYS PANGASINAN 1ST DISTRICT ENGINEERING OFFICE REGIONAL OFFICE I Alaminos City, Pangasinan Name of Procuring Entity :  DPWH 1ST Pangasinan Engineering District	Request for Quotation No. :	RFQ</t>
  </si>
  <si>
    <t xml:space="preserve"> The procurement service invites PHILGEPS registered suppliers to quote of the uploaded canvass sheet located at the associated components.</t>
  </si>
  <si>
    <t xml:space="preserve"> 8,000 Liters Diesel Fuel</t>
  </si>
  <si>
    <t xml:space="preserve"> 1	16	 pc 	spark plug  4k engine	 2	12	 pc 	glow plug 4DR5 engine 22.5 v	 3	5	 pc 	filler gauge	 4	5	 gln 	engine oil gasoline	 5	8	 gln 	engine oil diesoline	 6	2	 pc 	valve cover gasket 4DR5	 7	12	 pc 	valve cover knot w/ rubber 4k	 8	4	 pc 	carburetor 4</t>
  </si>
  <si>
    <t xml:space="preserve"> Procurement of transparent office desk to comply with existing bank rules prescribing transparent office desk for the head of the Currency Operations Division</t>
  </si>
  <si>
    <t xml:space="preserve"> LOCAL GOVERNMENT UNIT OF NAGUILIAN , ISABELA INVITATION TO BID FOR the SUPPLY AND DELIVERY OF CONSTRUCTION MATERIALS OF VARIOUS INFRA-PROJECTS:      1. Repainting of Curb at Center Island at Barangay Quezon/Roxas, Naguilian, Isabela      2. Repainting of </t>
  </si>
  <si>
    <t xml:space="preserve"> Compressor Motor (Model: NH152 NXBT: LRA: 91 amperes: Volts: 208-230)	1	pc Capacitor (440 VAC; 60-65 micro FARAD)	2	pc Tank (R-22) Freon with disposable tank (13.6 kilos)	1	pc Filter Drier (3/8” dig, out 3/8 dig, in)	1	pc Silver  Rod	 6	pc Oxygen and Acet</t>
  </si>
  <si>
    <t xml:space="preserve"> Republic of the Philippines PROVINCE OF AGUSAN DEL SUR Bids and Awards Committee Gov. Democrito O. Plaza Government Center, Prosperidad Invitation to Bid for Concreting of NRJ (Rosario) Poblacion-Novele-Sta. Cruz Circumferential Road 1.	The Provincial Gov</t>
  </si>
  <si>
    <t xml:space="preserve"> LOCAL GOVERNMENT UNIT OF NAGUILIAN , ISABELA INVITATION TO BID FOR the SUPPLY AND DELIVERY OF CONSTRUCTION MATERIALS FOR THE CONCRETING OF ROADWAY IN-FRONT OF COMMERCIAL STALLS ALONG PROVINCIAL ROAD AT BARANGAY ROXAS, NAGUILIAN, ISABELA       1.	The Local</t>
  </si>
  <si>
    <t xml:space="preserve"> Organic Fertilizers, 50kgs per bag Inorganic Fertilizers, granular, 50kgs per bag</t>
  </si>
  <si>
    <t xml:space="preserve"> Republic of the Philippines Province of Ilocos Sur Vigan City INVITATION TO BID FOR  Tobacco Farmers/Cooperatives' Farm Mechanization and Post-Harvest Facility Assistance Project 1.	The Provincial Government of Ilocos Sur, through the CY 2020 Appropriatio</t>
  </si>
  <si>
    <t xml:space="preserve"> Rehabilitation of Multi-Purpose Hall (phase 2), located at Barangay Mallorga, Talalora, Samar The Barangay Victory Of Talalora, Samar through its Bids and Awards Committee (BAC), invites interested bidders to apply for eligibility and to bid for the hereu</t>
  </si>
  <si>
    <t xml:space="preserve"> Section I. Invitation to Bid Republic of the Philippines Province of Misamis Oriental  Municipality of Salay INVITATION TO BID FOR Procurement of RICE  1.	The Local Government Unit of Salay, through the Provincial  fund 2020]  intends to apply the sum of </t>
  </si>
  <si>
    <t xml:space="preserve"> ITEM I. Structure Excavation ITEM II. Forms and Falseworks ITEM III. Grouted Riprap ITEM IV. Reinforcing Steel ITEM V. Concrete Works</t>
  </si>
  <si>
    <t xml:space="preserve"> Concreting of 0.44 lm. @ Sitio Cagbalod Road San Jose, Pilar</t>
  </si>
  <si>
    <t xml:space="preserve"> Republic of the Philippines Cordillera Administrative Region Province of Kalinga Municipality of Rizal BIDS AND AWARDS COMMITTEE INVITATION TO BID The Local Government Unit of Rizal, through its Bids and Awards Committee , invites contractors to submit bi</t>
  </si>
  <si>
    <t xml:space="preserve"> Construction of Dike with a total length of 79.00 l.m. dimension are 0.60 x 1.00 m. Rubble concrete class "B" thickness was 0.40m. Footing dimension 0.70 x 1.00m.</t>
  </si>
  <si>
    <t xml:space="preserve"> Publication of CSC Resolution No. 2000359, PRIME-HRM: Revised Guidelines on the 					 Conferment of HR Recognition and Award					 Ad Size: 9 x 37.7 					 Ad Type/Location: Classified					 Frequency: Once					 APPROVED BUDGET FOR THE CONTRACT:   Php52,920.</t>
  </si>
  <si>
    <t xml:space="preserve"> To purchase educational supplies &amp; materials for barangay Oranbo, Pasig City</t>
  </si>
  <si>
    <t xml:space="preserve"> Reconstruction/Upgrading of 1.191 km./2.382 lane km. of road along Salvador H. Escudero III Diversion Road; and Construction of 0.289 km./0.52 lane kilometer road</t>
  </si>
  <si>
    <t xml:space="preserve"> Republic of the Philippines Province of Camarines Norte Municipality of Talisay Office of the Bids and Awards Committee (BAC)                                                                                                                        INVITATION</t>
  </si>
  <si>
    <t xml:space="preserve"> Construction of Poblacion Drainage System (Magsaysay Street) Poblacion, Libungan, Cotabato</t>
  </si>
  <si>
    <t xml:space="preserve"> Republic of the Philippines PROVINCE OF AGUSAN DEL SUR Bids and Awards Committee Gov. Democrito O. Plaza Government Center, Prosperidad Invitation to Bid for Concreting of NRJ (Bayugan City) Sta. Teresita-Mt. Carmel-Osmeña Circumferential Road 1.	The Prov</t>
  </si>
  <si>
    <t xml:space="preserve"> Republic of the Philippines PROVINCE OF AGUSAN DEL SUR Bids and Awards Committee Gov. Democrito O. Plaza Government Center, Prosperidad Invitation to Bid for Construction of Outpatient Department Building for Non-COVID-19 Patients 1.	The Provincial Govern</t>
  </si>
  <si>
    <t xml:space="preserve"> Office supplies, Other office supplies and semi-expandable supplies</t>
  </si>
  <si>
    <t xml:space="preserve"> Republic of the Philippines PROVINCE OF AGUSAN DEL SUR Bids and Awards Committee Gov. Democrito O. Plaza Government Center, Prosperidad Invitation to Bid for Concreting of NRJ (Sibagat) San Vicente-Esperanza Road 1.	The Provincial Government of Agusan del</t>
  </si>
  <si>
    <t xml:space="preserve"> ITEM I. Demolition of Damage Gutter ITEM II. Structure Excavation ITEM III. Forms and Falseworks ITEM IV. Grouted Riprap ITEM V. Reinforcing Steel ITEM VI. Concrete Works</t>
  </si>
  <si>
    <t xml:space="preserve"> The works includes: construction of 40.0 In.m. concrete canal and plastering of   230In.m. existing canal. It also includes installation and replacement of 24”dia.   RCPC with grouted riprap headwalls, complete as per approved plans &amp; POW,</t>
  </si>
  <si>
    <t xml:space="preserve"> Republic of the Philippines PROVINCE OF AGUSAN DEL SUR Bids and Awards Committee Gov. Democrito O. Plaza Government Center, Prosperidad Invitation to Bid for Rehabilitation/Improvement of EMCH Building Phase II for Non-COVID-19 Patients 1.	The Provincial </t>
  </si>
  <si>
    <t xml:space="preserve"> Item No. Qty. units Description Brand Amount /Unit 1  1  UNIT/S PHOTOCOPIER, DIGITAL W/ ARDF FOR INTERESTED BIDDER, PLEASE SEE ATTACHED PDF RFQ FOR YOUR QUOTATION.</t>
  </si>
  <si>
    <t xml:space="preserve"> 120 pcs. 32 GB USB Place of Delivery: DAR Provincial Office San Fermin, Cauayan City, Isabela</t>
  </si>
  <si>
    <t xml:space="preserve"> Republic of the Philippines Province of Lanao del Norte Municipality of Tubod OFFICE OF THE BIDS AND AWARDS COMMITTEE INVITATION TO BID CONSTRUCTION AND INSTALLATION OF MUNICIPAL SOLAR STREET LIGHTING Poblacion, Tubod, Lanao del Norte  (ITB-2020-JDL-004) </t>
  </si>
  <si>
    <t xml:space="preserve"> INVITATION TO BID (CW-06-2020-018) The Department of Public Works and Highways (DPWH)-Batangas IV District Engineering Office, Marawoy, Lipa City, Batangas, through its Bids and Awards Committee (BAC), invites contractors to bid for the contract listed be</t>
  </si>
  <si>
    <t xml:space="preserve"> BIO-STIMULANT FOLIAR FERTILIZER, LIQUID, 250ML PER BOTTLE GUARANTEED ANALYSIS: Macronutrients: Nitrogen (N) ............................................ 5.83% Phosphorus (P2O5) .................................. 3.85% Potassium (K2O) .....................</t>
  </si>
  <si>
    <t xml:space="preserve"> Republic of the Philippines PROVINCE OF AGUSAN DEL SUR Bids and Awards Committee Gov. Democrito O. Plaza Government Center, Prosperidad Invitation to Bid for Improvement of All Nurses Station 1.	The Provincial Government of Agusan del Sur through the Gene</t>
  </si>
  <si>
    <t xml:space="preserve"> Item No. Qty. units Description Brand Amount / Unit 1  375  PAX MEALS AND SNACKS MEAL and SNACKS2 Meals and 2 snacks with overflowing coffeeDay 1:Am Snack: Baked spaghetti with sliced bread and drinksLunch: Rice, beef steak, Garlic chicken, beef Sinigang,</t>
  </si>
  <si>
    <t xml:space="preserve"> QUANTITY	UNIT	ARTICLES				 2	units	Dump Truck				 		Engine : N04C-UV, diesel, 4 cycle, vertical 4 cylinder, Euro 4,				 		              electronic control common rail type				 		No. of Wheels : 6				 		GVW : 8,500kg				 		Load Capacity : 7.0 cu.m				 		Tr</t>
  </si>
  <si>
    <t xml:space="preserve"> Republic of the Philippines Province of Davao De Oro  Municipality of Monkayo Barangay Banlag OFFICE OF THE BAC CHAIRMAN =O0O= INVITATION TO  BID   FOR: PROCUREMENT OF HARDWARE MATERIALS OF THE PROJECT  REHABILITATION                           	OF  WATER </t>
  </si>
  <si>
    <t xml:space="preserve"> Republic of the Philippines BIDS AND AWARDS COMMITTEE Cadiz City      BID DOCUMENTS for the COMPLETION OF SEA WALL @ BRGY. PROPER, BRGY. CADIZ VIEJO, CADIZ CITY (1) BIDS AND AWARDS COMMITTEE  Cadiz City   INVITATION TO BID/REQUEST FOR EXPRESSION OF INTERE</t>
  </si>
  <si>
    <t xml:space="preserve"> QUANTITY	UNIT	ARTICLES				 33	units	Knapsack Sprayer, Semi Stainless, 16 ltrs capacity				 7	sets	Hand Tractor (Corbilla Type), Heavy Duty,  9HP Motor Diesel Engine				 		          Including :				 		          Cage Wheel and Plow, Belt, Pulley, Gear Oil an</t>
  </si>
  <si>
    <t xml:space="preserve"> IMPROVEMENT OF WATER SYSTEM 1.   The Barangay Council of Libertad, Nabas, Aklan through its local budget approved by the Sanggunian, intends to apply the sum of One Hundred Ten Thousand Pesos and 00/100 only (P 110,000.00), being the Approved Budget for t</t>
  </si>
  <si>
    <t xml:space="preserve"> QUANTITY	UNIT	ARTICLES				 		Desktop Computer				 25	units	System Unit :				 		          Proccessor : i5 - 9400F Coffee Lake Refresh				 		          Motherboard : H310M Pro - M2 Plus				 		          RAM : 8GB				 		          HDD : 1 TB				 		          SSD</t>
  </si>
  <si>
    <t xml:space="preserve"> Civil works that include concrete work</t>
  </si>
  <si>
    <t xml:space="preserve"> 10 gal Paint Latex Enemel (white) and 36 others L/I</t>
  </si>
  <si>
    <t xml:space="preserve"> 5 pcs Starting Capacitor (Compressor) 500mf and 6 others L/I</t>
  </si>
  <si>
    <t xml:space="preserve"> CONSTRUCTION OF PERIMETER FENCE AT SAN NICOLAS ELEMENTARY SCHOOL</t>
  </si>
  <si>
    <t xml:space="preserve"> June 10, 2020 	 INVITATION TO BID Reference No. 7039188 / Solicitation No. 2020/06/052 	The City Government of Tagum invites interested Bidders/Suppliers to submit for eligibility and to bid for the following: 9 UNITS LAPTOP COMPUTER  	 								153,000.00</t>
  </si>
  <si>
    <t xml:space="preserve"> A.	OVERVIEW The Philippine Health Insurance Corporation is issuing this Terms of Reference (T.O.R) expressly providing for the technical requirements relative to the conduct of NEGOTIATED BIDDING FOR THE LEASE OF OFFICE SPACE FOR PHILHEALTH REGIONAL OFFIC</t>
  </si>
  <si>
    <t xml:space="preserve"> The Department of Agriculture invites interested suppliers to submit quotations/proposals for the hereunder requirement: FOLDABLE FAN WITH PRINT "MASAGANANG ANI, MATAAS NA KITAAND PLANT, PLANT, PLANT 	 		 4000	Pcs	-	Specification: Size: 10 inches Material</t>
  </si>
  <si>
    <t xml:space="preserve"> QUANTITY	UNIT	ARTICLES				 0.324	sq.meter	Wall Partition D60 (Aluminum &amp; Glass, 0.27 x 1.2m)				 1.068	sq.meter	Wall Partition D60 (Aluminum &amp; Glass, 0.89 x 1.2m)				 1.08	sq.meter	Wall Partition D60 (Aluminum &amp; Glass, 0.90 x 1.2m)				 1.224	sq.meter	Wall</t>
  </si>
  <si>
    <t xml:space="preserve"> QUANTITY	UNIT	ARTICLES				 1	unit	Passenger Van				 		          1GD - FTV				 		          2.8 Diesel A/T				 		          4 cylinders, in-line type 16V DOHC with VNT and Intercooler				 		          176ps / 3400rpm - max output				 		          450 Nm / 1600</t>
  </si>
  <si>
    <t xml:space="preserve"> Supply and Delivery of Construction Materials</t>
  </si>
  <si>
    <t xml:space="preserve"> Book Paper ,A4 80 gsm - 300 reams	 Book Paper, Legal 80 gsm - 300 reams	 Signpen, Blue 0.5,My Gel - 300 pcs	 Signpen, Blue 0.7, My Gel - 250 pcs	 Signpen, Black 0.5, My Gel - 200 pcs	 Signpen, Black 0.7,My Gel - 150 pcs	 Ballpen, black, Titus - 250 pcs	 B</t>
  </si>
  <si>
    <t xml:space="preserve"> Title:Procurement of 1 Pakyaw Remote Sensing Services for Groundwater Availability Exploration(GEO-Resistivity Survey) under 0700-2020-OCA-Support to Quality Corn Development(Trust Fund). Total ABC: Php 100,000.00 (INSTRUCTION AS TO THE REQUIRED FORM: For</t>
  </si>
  <si>
    <t xml:space="preserve"> The Roxas City Government, through the GOP-2020 intends to apply the  amount of Ninety-nine Thousand Nine Hundred Ninety-two Pesos (PhP 99,992.00) being the Approved Budget for the Contract (ABC) to payments under the contract for Public Bidding for the S</t>
  </si>
  <si>
    <t xml:space="preserve"> INSTALLATION OF ELECTRICAL LINES</t>
  </si>
  <si>
    <t xml:space="preserve"> CONSTRUCTION OF DRAINAGE CANAL AT BARANGAY SAN AGUSTIN, SAN SIMON, PAMPANGA</t>
  </si>
  <si>
    <t xml:space="preserve"> QUANTITY	UNIT	ARTICLES				 100	sacks	Commercial Rice				 25	boxes	Corned Beef, 155 grams, 48's				 200	pcs	Toothbrush				 200	pcs	Toothpaste, Sachet				 25	boxes	Bottled Water, 500ml, 24's				 		*****END*****</t>
  </si>
  <si>
    <t xml:space="preserve"> QUANTITY	UNIT	ARTICLES				 2	per/meter	Venetian Blinds (39mm x 98.5mm)				 3	per/meter	Venetian Blinds (38.25mm x 98mm)				 1	per/meter	Venetian Blinds (87mm x 52mm)				 2	per/meter	Venetian Blinds (71.5mm x 52mm)				 1	per/meter	Venetian Blinds (87mm x 5</t>
  </si>
  <si>
    <t xml:space="preserve"> QUANTITY	UNIT	ARTICLES				 100	packs	Spoon, Disposable, 20's				 100	packs	Fork, Disposable, 20's				 100	packs	Sando Bag, Plastic, Large, 100's				 100	bundles	Sando Bag, Plastic, Medium, 100's				 100	packs	Cup, Disposable, 50's				 100	packs	Cup, Paper</t>
  </si>
  <si>
    <t xml:space="preserve"> Kindly see and download attachments</t>
  </si>
  <si>
    <t xml:space="preserve"> QUANTITY	UNIT	ARTICLES				 		ALTERNATIVE LEARNING SYSTEM (ALS)				 1830	pieces	Binder Notebook				 1830	pieces	Back Pack Bag, Customized (See attached design)				 1830	pieces	Pen, Red				 1830	pieces	Pen, Black				 1830	pads	Intermediate Pad Paper				 		*</t>
  </si>
  <si>
    <t xml:space="preserve"> Republic of the Philippines Province of Pangasinan Bids and Awards Committee Municipality of Calasiao INVITATION TO BID  PURCHASE AND INSTALLATION OF 2 UNITS WALL MOUNTED AND 1 UNIT FLOOR MOUNTED AIR CONDITIONED AND ACCESSORIES, CALASIAO, PANGASINAN 1.	Th</t>
  </si>
  <si>
    <t xml:space="preserve"> 30 watts Solar Streetlights, w/ built-in lithium battery 15' fabricated and pre-painted G.I. pipe pole #3 1'x 1' x 1m Base</t>
  </si>
  <si>
    <t xml:space="preserve"> FOR THE USE OF STA. CRUZ HIGH INTEGRATED JUNIOR HS Surgical Mask (Disposable) Washable facemask N95/KN95 Mask Thermal Gun Tissue Paper Face Shield Medical Gloves Cleaning Bleach Disinfectant Spray Alcohol Detergent Powder Detergent Bar PAPER, Multi-Purpos</t>
  </si>
  <si>
    <t xml:space="preserve"> FOR THE USE OF STA. CRUZ HIGH INTEGRATED SR HS Surgical Mask Washable facemask N95/KN95 Mask Thermal Gun Tissue Paper Face Shield Medical Gloves Cleaning Bleach Disinfectant Spray Alcohol Detergent Powder Detergent Bar PAPER, Multi-Purpose (COPY) Legal, 8</t>
  </si>
  <si>
    <t xml:space="preserve"> QUANTITY	UNIT	ARTICLES				 300	packs	BREAKFAST :				 		          Egg with Hotdog and Rice				 		          Skinless Longganisa and Rice				 		          Dried Fish with Tomato and Rice				 		          Egg with Tuyo and Rice				 		          Tocino with Rice	</t>
  </si>
  <si>
    <t xml:space="preserve"> Handwash,500 ML - 30 pcs	 detergent powder - 20 dozens	 Deodorant Cake - 60 pcs	 Zonrox 1 Lt - 50 bottles	 Dishwashing Liquid - 60 bottles	 Airfreshner - 30 bottles	 Sponge - 20 pcs	 Scouring Pad - 15 pcs	 Rugs - 10 kilos	 Paper Plate - 500 pcs	 Paper Cup</t>
  </si>
  <si>
    <t xml:space="preserve"> Purchase of Medical Supplies and Vitamins for Emergency and Disaster Response Use</t>
  </si>
  <si>
    <t xml:space="preserve"> Republic of the Philippines PROVINCE OF SIQUIJOR Capitol, Bldg., Pulangyuta, Siquijor, Siquijor INVITATION TO BID FOR Supply and Delivery of 2 units Mechanical Ventilator, Digital 1.	The Province of Siquijor, through the IPHO Medical Equipment Non-Office </t>
  </si>
  <si>
    <t xml:space="preserve"> Item No. Qty. units Description Brand Amount /Unit 1  100  PIECE/S BUTTON PINMaterial: Metal 2  40  PIECE/S PLAQUE 12" 3  50  PIECE/S TOKEN, MUGwith print 4  1  PIECE/S TROPHY 36"- with engraved writings 5  1  PIECE/S TROPHY, 16"- with engraved writings 6</t>
  </si>
  <si>
    <t xml:space="preserve"> QUANTITY	UNIT	ARTICLES				 4	pcs	Coco Post 4 x 4 x 8				 8	pcs	Coco Lumber 2 x 3 x 10				 40	pcs	Bamboo Sena, Whole				 2	kilos	CN# 3				 2	kilos	CN# 2				 50	rolls	Nylon Cord #90				 4	rolls	Net Nylon, Double, 1" x 6"				 2	units	Submersible Pump, 15 wat</t>
  </si>
  <si>
    <t xml:space="preserve"> QUANTITY	UNIT	ARTICLES				 25	boxes	Coffee, Sachet 3-in-1				 100	boxes	Ziplock Plastic Bag				 1000	pcs	Pail with Cover, Plastic, 5L				 1000	pcs	Whistle, Plastic				 200	pcs	Laundry Bar Soap				 30	packs	Toilet Paper, 2 Ply				 50	boxes	Alcohol, 75ml, 2</t>
  </si>
  <si>
    <t xml:space="preserve"> QUANTITY	UNIT	ARTICLES				 		For CGSO Backhoe Loader (Sinomach 630 A)				 1	set	Planetary Gear Assy.				 		*****END*****</t>
  </si>
  <si>
    <t xml:space="preserve"> 1	SPECS:						1	unit 	Elf Double Cab Cargo Type							 	Engine: 4jb1							 	Fuel: Diesel							 	Seating Capacity: 5 persons							 	Tire size: Front: 15" rear: 13"							 	Battery: 6sm							 	Color: White							 	Inclusion:							 	1. With One (1) Spar</t>
  </si>
  <si>
    <t xml:space="preserve"> Republic of the Philippines									 DEPARTMENT OF PUBLIC WORKS &amp; HIGHWAYS									 CAMARINES SUR 3RD   									 DISTRICT ENGINEERING OFFICE									 Regional Office V									 Baras, Canaman									 									 Name of Procuring Entry: DPWH-Cam. Sur III	</t>
  </si>
  <si>
    <t xml:space="preserve"> Description Please quote the best price(s) of the item(s) listed in page two (2) hereof under the following terms and conditions: 1. The price quotations shall be listed opposite the pertinent items enumerated. 2. The quotation/proposal shall be submitted</t>
  </si>
  <si>
    <t xml:space="preserve"> Item I-A - General Requirements (Mob./Demob.)  1.00  lot Item I-B - General Requirements (Proj. Signboard &amp; BM)  2.88  sq.m. Item II-A - Earthworks @ Site (Excavation/Backfilling)  19.44  cu.m. Item II-B - Earthworks @ Site (Filling Materials @ G-Floor)  </t>
  </si>
  <si>
    <t xml:space="preserve"> 2 units Gang Chair (5 Seaters) 1 unit Executive Table 1 unit Junior Executive Chair 4 units Computer Table</t>
  </si>
  <si>
    <t xml:space="preserve"> Republic of the Philippines												 City of San Carlos												 Negros Occidental												 												 			INVITATION TO BID							FOR SALE	 			PURCHASE REQUEST NO: 9-20-05-0601			P 1,800.00	 Sealed bids for quotation of prices will be received </t>
  </si>
  <si>
    <t xml:space="preserve"> 4 pcs, Blood Pressure Apparatus - professional blood pressure monitor - compact and light weight - backlight LCD display - motion stop function - dual measurement mode - irregular pulse indicator - rechargeable battery - power saving auto power off - meas</t>
  </si>
  <si>
    <t xml:space="preserve"> *Please see attached Purchase Request All particulars relative to the procurement process and contract implementation shall be governed by the pertinent provision of R.A 9184 and its Revised Implementing Rules and Regulations. Quotation Forms are now avai</t>
  </si>
  <si>
    <t xml:space="preserve"> Republic of the Philippines Region XII Province of Cotabato Municipality of Makilala OFFICE OF THE BIDS AND AWARD COMMITTEE REQUEST FOR QUOTATION (Shopping) Date: 	June 11, 2020 Shopping #: 2020-06-102 The MUNICIPALITY OF MAKILALA through its Bids and Awa</t>
  </si>
  <si>
    <t xml:space="preserve"> Improvement of Barangay Road to include:1.Roadway Preparation :2.Concrete Pavement</t>
  </si>
  <si>
    <t xml:space="preserve"> 1       10 BOX STERILE STRIPS 2       10 PC INTRA OCCULAR LENS IOL 16.50 3       10 PC IOL POWER 18.50 4       10 PC IOL POWER 17.50 5       10 PC IOL POWER 19.50 6       10 PC IOL POWER 20.50 7       10 PC IOL POWER 21.50 8       5 PC IOL POWER 23 9     </t>
  </si>
  <si>
    <t xml:space="preserve"> 11 pcs. Netbook              Specification: Pocessor - Atom              RAM - 2 GB, HDD - 320 GB Place of Delivery: Department of Agrarian Reform Provincial Office, Cabatuan Road, San Fermin, Cauayan City, Isabela.</t>
  </si>
  <si>
    <t xml:space="preserve"> CONSTRUCTION OF PERIMETER FENCE AT SAN MIGUEL ELEMENTARY SCHOOL</t>
  </si>
  <si>
    <t xml:space="preserve"> INVITATION TO BID FOR THE FURNISHING OF LABOR AND MATERIALS FOR THE CONSTRUCTION OF WATER SYSTEMOF BARANGAY 8 POBLACION, TIGBAUAN, ILOILO</t>
  </si>
  <si>
    <t xml:space="preserve"> Item No. Qty. units Description Brand Amount /Unit 1  2  PIECE/S BATTERY 12 VOLTS,17 PLATES 2  1  PIECE/S CLUTCH DISCASSEMBLY 3  1  PIECE/S CLUTCH PRESSUREPLATE ASSEMBLY 4  1  PIECE/S RELEASE BEARING 5  6  PIECE/S TIREWITH TUBE &amp; FLAP 7.50-16</t>
  </si>
  <si>
    <t xml:space="preserve"> QTY.	Unit 	Item Description 		 135	pcs	Electrical Tape 147	pcs	CFL Bulb 23W 10	pcs	LED Square w/ adaptor , 8" x 8" 4	box	AWG #8 THHN, 150m/box 15	pcs	Circuit Breaker w/ Enclosure, Single Phase,20A,Plug-in Type 3	pcs	Circuit Breaker w/ Enclosure, Single Ph</t>
  </si>
  <si>
    <t xml:space="preserve"> Pls. quote the items listed below: 1. Engine Oil - 20 pails 2. ATF Oil  -  14 pails 3. Brake Fluid  -  60 ltrs. 4. SAE 40  -  4 gals. 5. Hydraulic Oil # 10  -  4 ltrs. 6. Gear Oil # 90  -  2 pails 7. Coolant  -  10 ltrs. 8. ATF Fluid  -  10 ltrs. 9. Oil F</t>
  </si>
  <si>
    <t xml:space="preserve"> Invitation to Bid for  INFRA 2K20-39 CONSTRUCTION OF DAGUM-MATALANG ROAD Lakewood, Zamboanga del Sur June 10, 2020 1.	The Provincial Government of Zamboanga del Sur, through the Capital Outlay CY 2020 intends to apply the sum of Nineteen Million Five Hund</t>
  </si>
  <si>
    <t xml:space="preserve"> Republic of the Philippines Region XII Province of Cotabato Municipality of Makilala OFFICE OF THE BIDS AND AWARD COMMITTEE REQUEST FOR QUOTATION (Shopping) Date: 	June 11, 2020 Shopping #: 2020-06-099 The MUNICIPALITY OF MAKILALA through its Bids and Awa</t>
  </si>
  <si>
    <t xml:space="preserve"> Republic of the Philippines   Province of Sarangani  Municipality of Alabel    Invitation to Bid for the Completion of Meat Processing Project 1.The Municipality of Alabel, through the Annual Budget for CY 2019[ In the case of National Government Agencies</t>
  </si>
  <si>
    <t xml:space="preserve"> Meals Day 1 100 pax Sinigang na baboy, chopsuey &amp; rice AM Snacks 100 pax Cheese burger &amp; 80z Coke PM Snacks 100 pax Puto Pao &amp; juice Meals Day 2 100 pax Beef Steak, pinakbet &amp; rice AM Snacks 100 pax Macaroni salad &amp; 80z coke PM Snacks 100 pax Malagkit &amp; M</t>
  </si>
  <si>
    <t xml:space="preserve"> Desilting of River with a total length of 601 l.m. total area of river to be dessilted 9,854.19m &amp; total volume of 4,622.06 cu.m. height of cmt 0.48m.</t>
  </si>
  <si>
    <t xml:space="preserve"> Item No. Qty. units Description Brand Amount /Unit 1  2  PIECE/S BATTERY 12 VOLTS,17 PLATES 2  1  PIECE/S CLUTCH BOOSTER ASSY, GENUINE 3  1  PIECE/S CLUTCH MASTER ASSYGENUINE 4  6  PIECE/S TIRE8.25X20 WITH TUBE &amp; FLAP</t>
  </si>
  <si>
    <t xml:space="preserve"> For more information pls contact: ENGR. RAQUEL R. ESTRADA Municipal Engineer LGU Mabini, Pangasinan 09569900851</t>
  </si>
  <si>
    <t xml:space="preserve"> REQUEST FOR QUOTATION 						 Procurement of Goods - SUPPLY AND DELIVERY OF MATERIALS FOR FABRICATION OF COFFINS						 						 The Davao Prison and Penal Farm, through its Bids and Awards Committee (BAC) intends to  apply						 the sum of TWO HUNDRED SIXTY-</t>
  </si>
  <si>
    <t xml:space="preserve"> 1 3 BOX/S CLIP - PAPER-VINYL COATED ( BIG ) 2 15 PC/S CORRECTION TAPE - W/ CASE 3 36 PC/S BALLPEN - ORDINARY, BLACK 4 2 BTL/S GLUE - 130G 5 2 ROLL/S TAPE - TRANSPARENT 24MM (1") WIDTH USABLE LENGHT OF 50M 6 1 BOX/S FASTENER - PAPER, PLASTIC, 50 SETS/BOX 7</t>
  </si>
  <si>
    <t xml:space="preserve"> FOR SALE	 Lot 	Amount 1	P 150.00 2	P 300.00 3	P 300.00 4	P 150.00 5	P 150.00 6	P 150.00 7	P 150.00 8	P 150.00 9	P 1,500.00 Republic of the Philippines												 City of San Carlos												 Negros Occidental												 												 			INVITATION TO B</t>
  </si>
  <si>
    <t xml:space="preserve"> 303	cases	Powdered Milk 700kg x 12 125	bags.	Biscuit Cracker 24g x 15 3622	kls.	Brown Sugar (1/2 kl)</t>
  </si>
  <si>
    <t xml:space="preserve"> 1     4 sets Branded Desktop Computer Includes: - Printer: L5190 with 1 set extra ink - Core i5 3.2 GHz 8th Gen or latest - Memory: 8GB DDR4 RAM, 1TB Hard Drive - Video Card: GT730 2GB - 22.5" Wide LED Monitor - Keyboard and Mouse - Windows10 Pro 64bit, A</t>
  </si>
  <si>
    <t xml:space="preserve"> Equipment.</t>
  </si>
  <si>
    <t xml:space="preserve"> 5040 pcs Rimo Blend 6840 pcs Rimo Curls</t>
  </si>
  <si>
    <t xml:space="preserve"> QUANTITY	UNIT	ARTICLES				 		GRADE 3				 5220	pieces	Back Pack Bag, Customized (See attached design)				 5220	pads	Pad Paper (Grade 3)				 20880	pieces	Writing Notebook 				 5220	pieces	Pen, Red				 5220	pieces	Pen, Black				 		***END***</t>
  </si>
  <si>
    <t xml:space="preserve"> 1	1	Lot	Supply and Delivery of I.T. Equipment 			Item Description: 	2	Units.	LAPTOP/NOTEBOOK  Processor	Intel Core i7 9th Gen Memory		8GB DDR4 RAM Graphics	4GB Discrete Graphics Display		15.6 inch FHD (1920x1080) LED 144 Hz Storage		1 TB HDD + 256 SSD OS	</t>
  </si>
  <si>
    <t xml:space="preserve"> Wooden Office Table and product display shelves</t>
  </si>
  <si>
    <t xml:space="preserve"> 1,400 Vials Cefuroxime 750mg. IM/IV</t>
  </si>
  <si>
    <t xml:space="preserve"> Please submit your quotation for the following items on or before 5:00PM on Jun 16, 2020. ITEM D E S C R I P T I O N QTY. UNIT UNIT COST TOTAL COST 1 Electrical, Wire, THHN Copper Wire, 2.0mm² (#14 AWG), Stranded 150 mtr 2 Electrical, Wire, THHN Copper Wi</t>
  </si>
  <si>
    <t xml:space="preserve"> Education-PAULINO R. REOMERO		 1	20	pcs	1/4" Marine Plywood 4' x 8', class AAA	 2	1	pcs	3/4"thk Marine plywood 4' x 8'	 3	1	pcs	 Clear glass 5mm thk x 1m x 1.5m	 4	3	pairs	Loose pin hinges, 3 x 4, stanley	 5	6	gal	Premium Wood Primer	 6	7	gal	Premium wate</t>
  </si>
  <si>
    <t xml:space="preserve"> The Department of Agriculture invites interested suppliers to submit quotations/proposals for the hereunder requirement: DATA CENTER SERVICES: Network Facility Maintenance (PACU and UPS) 	 1	lot	One (1)-Year Network Facility Maintenance (PACU and UPS)	685</t>
  </si>
  <si>
    <t xml:space="preserve"> KSHS IS IN NEED OF EPSON 003  INK AND BROTHER BT 5000 INK</t>
  </si>
  <si>
    <t xml:space="preserve"> WIFI Internet Connection installed @ the Training &amp; Production Center</t>
  </si>
  <si>
    <t xml:space="preserve"> Broadcast Airtime</t>
  </si>
  <si>
    <t xml:space="preserve"> The Municipality of Limay, through its Bids and Awards Committee (BAC) invites registered contractors to apply for eligibility and if found eligible, to bid for the hereunder project/contract: Project/Contract:     CONSTRUCTION OF GUARD HOUSE AND REPLACEM</t>
  </si>
  <si>
    <t xml:space="preserve"> 1 4 pcs. 2" x 3" x 12' Lawaan Lumber or Approved Equivalent 2 4 pcs. 2" x 2" x 8' Lawaan Lumber or Approved Equivalent 3 4 pcs. 1" x 2" x 8' Lawaan Lumber or Approved Equivalent 4 250 pcs. 2" x 2" x 10' Coco Lumber 5 170 pcs. 2" x 3" x 10' Coco Lumber 6 9</t>
  </si>
  <si>
    <t xml:space="preserve"> IMPROVEMENT OF ROAD AT THE BOUNDARY OF PUROK 21 AND PUROK 22, BAGUIO CITY</t>
  </si>
  <si>
    <t xml:space="preserve"> REQUEST FOR QUOTATION 					 Procurement of Goods - SUPPLY AND DELIVERY OF 4 UNITS HEAVY DUTY GRASS CUTTER					 					 The Davao Prison and Penal Farm, through its Bids and Awards Committee (BAC) intends to  apply					 the sum of SIXTY THOUSAND  PESOS ONLY </t>
  </si>
  <si>
    <t xml:space="preserve"> QUANTITY	UNIT	ARTICLES				 		GRADE 4				 5640	pieces	Back Pack Bag, Customized (See attached design)				 5640	pads	Pad Paper (Grade 4)				 22560	pieces	Composition Notebook 				 5640	pieces	Pen, Red				 5640	pieces	Pen, Black				 		***END***</t>
  </si>
  <si>
    <t xml:space="preserve"> Please submit your quotation for the following items on or before 5:00PM on Jun 16, 2020. ITEM D E S C R I P T I O N QTY. UNIT  1 Tie Rod End, LH &amp; RH (HiAce) 1 set 2 Rack End, LH / RH (Orig) (HiAce) 1 set 3 Assembly, Suspension Arm, Lower, LH / RH 1 set </t>
  </si>
  <si>
    <t xml:space="preserve"> 1000 pcs Medals -with layout -fiber glass (back to back) 400 pcs Certificate Holder -4A</t>
  </si>
  <si>
    <t xml:space="preserve"> please download the ITB and its other supporting documents in the associated component</t>
  </si>
  <si>
    <t xml:space="preserve"> The Roxas City Government, through the GOP-2020 intends to apply the total amount of One Hundred Seventy-Two Thousand Pesos (PhP 172,000.00) being the Approved Budget for the Contract (ABC) to payments under the contract for Public Bidding for the Supply </t>
  </si>
  <si>
    <t xml:space="preserve"> RFQ-2020-165		 			 1.	10	reams	Bond Paper Long (Hard Copy) 2.	10	reams	Bond Paper Short (Hard Copy) 3.	100	pcs.	Brown Envelope Long 4.	100	pcs.	Brown Envelope Short 5.	100	pcs.	File Folder Long 6.	100	pcs.	File Folder Short 7.	30	pcs.	Expanded Envelope w/</t>
  </si>
  <si>
    <t xml:space="preserve"> Corazon Locsin Montelibano Memorial Regional Hospital, through its Bids and Awards Committee, intends to procure DRUGS &amp; MEDICINES (PR#20-06-70448), which will be undertaken in accordance with Section 53.9 of the Revised Implementing Rules and Regulations</t>
  </si>
  <si>
    <t xml:space="preserve"> REPUBLIC OF THE PHILIPPINES  DEPARTMENT OF SOCIAL WELFARE AND DEVELOPMENT MIMAROPA REGION 1680 F. T Benitez cor Malvar Sts. Malate, Manila INVITATION TO BID FOR SUPPLY AND DELIVERY OF FOOD ITEMS (NUTRIPACKS) FOR THE IMPLEMENTATION OF SUPPLEMENTARY FEEDING</t>
  </si>
  <si>
    <t xml:space="preserve"> Construction of concrete revetment with a total length of 80 l.m. footing of 1.00 x 2.63, rubble thickness of 0.30m &amp; headwall of 0.50 x 0.60 m.</t>
  </si>
  <si>
    <t xml:space="preserve"> Reconstruction of box culvert from double barrel to singke barrel box culvert. Construction of slope protection with total length of 40 l.m.</t>
  </si>
  <si>
    <t xml:space="preserve"> QUANTITY	UNIT	ARTICLES				 		GRADE 6				 6150	pieces	Back Pack Bag, Customized (See attached design)				 6150	pads	Intermediate Pad Paper				 24600	pieces	Composition Notebook 				 6150	pieces	Pen, Red				 6150	pieces	Pen, Black				 		***END***</t>
  </si>
  <si>
    <t xml:space="preserve"> QUANTITY	UNIT	ARTICLES				 		GRADE 5				 6130	pieces	Back Pack Bag, Customized (See attached design)				 6130	pads	Intermediate Pad Paper				 24520	pieces	Composition Notebook 				 6130	pieces	Pen, Red				 6130	pieces	Pen, Black				 		***END***</t>
  </si>
  <si>
    <t xml:space="preserve"> CONSTRUCTION OF 4 UNITS COLUMNS WITH FOOTING COMPLETE ROOF FRAMING AND ROOFING SYSTEM INIDICATED IN THE PLAN WITH FASCIA BOARD.</t>
  </si>
  <si>
    <t xml:space="preserve"> Hiring of Consultancy Services (1 Chauffer ) - 6 months</t>
  </si>
  <si>
    <t xml:space="preserve"> REQUEST FOR QUOTATION											 											 RFQ No.		SVP 20-0693				Date				10/06/2020	 PR Reference		100-20-05-028				Implementing Office				CENRO	 Closing Date and Time						June 18, 2020 @ 5:00 P.M					 Designated Places of Submission (Bid Box Designa</t>
  </si>
  <si>
    <t xml:space="preserve"> ITEM: 150 bags Cement Portland ( for staggered delivery) PURPOSE: "FOR LEAKAGE CONTROL DIVISION. CHARGE TO CAPEX 203-09 TRANSMISSION &amp; DISTRIBUTION MAINS,  B.) MAINLINE LEAKAGE REPAIR"		 ABC: PHP 50,457.00 DELIVERY SCHEDULE: 10  CALENDAR DAYS</t>
  </si>
  <si>
    <t xml:space="preserve"> 1	40	kg	1" CW Nails				 2	140	kg	2" CW Nails				 3	175	kg	3" CW Nails				 4	200	kg	4" CW Nails				 5	80	kg	2.5" Umbrella Nails				 6	215	shts	4mm x 1.2m x 2.4m Ordinary Plywood				 7	68	pcs	50mm Heavy Duty Padlock				 8	68	pcs	Heavy Duty Hasplock Big				 </t>
  </si>
  <si>
    <t xml:space="preserve"> Project consist of clearing &amp; grubbing with an area of 2,468.13 m2. Creek excavation volume of 1,914 m3. It includes the hauling and proper disposal of excavated materials. Construction safety and health during the work.</t>
  </si>
  <si>
    <t xml:space="preserve"> Improvement of Hanging Bridge to include :1. Installation of Steel Plate &amp; Painting</t>
  </si>
  <si>
    <t xml:space="preserve"> QUANTITY	UNIT	ARTICLES				 		GRADE 2				 6350	pieces	Back Pack Bag, Customized (See attached design)				 6350	pads	Pad Paper (Grade 2)				 6350	pieces	Pencil #2				 6350	packs	Crayons, Single				 25400	pieces	Writing Notebook				 		***END***</t>
  </si>
  <si>
    <t xml:space="preserve"> Interested bidders are requested to be pre-qualified to bid fr the supply of materials to be delivered onsite.</t>
  </si>
  <si>
    <t xml:space="preserve"> 1    lot    Improvement of Multi-purpose Pavement (Goal and Chairs</t>
  </si>
  <si>
    <t xml:space="preserve"> 1	LOT	Supply, delivery and installation of equipment, instruments and software for the research project entitled “Improving Productivity of Philippine Carabao Mango through Introduction of Smart Farming Technologies in Plant Water Relation Manipulation”		</t>
  </si>
  <si>
    <t xml:space="preserve"> A.	OVERVIEW The Philippine Health Insurance Corporation is providing  this Terms of Reference (T.O.R) explicitly stipulating the space and technical requirements relative to the conduct of NEGOTIATED BIDDING FOR THE LEASE OF OFFICE SPACE FOR PHILHEALTH RE</t>
  </si>
  <si>
    <t xml:space="preserve"> QUANTITY	UNIT	ARTICLES				 		KINDER				 5600	pieces	Back Pack Bag, Customized (See attached design)				 5600	pieces	Pencil, Jumbo, Black				 5600	packs	Crayons, So Big				 5600	pads	Pad Paper (Grade 1)				 		***END***</t>
  </si>
  <si>
    <t xml:space="preserve"> Procurement of Office Supplies</t>
  </si>
  <si>
    <t xml:space="preserve"> Computational Fluid Mechanics and Dynamics for Scientists, 2019, 1 copy							 Power System Energy Storage Technologies, 2019, 1 copy							 Combined Heat and Power, 2019, 1 copy							 Bird Strike in Aviation: Statistics, Analysis, and Management, 2019, </t>
  </si>
  <si>
    <t xml:space="preserve"> Please submit your quotation for the following items on or before 5:00PM on Jun 16, 2020. ITEM D E S C R I P T I O N QTY. UNIT  1 Steel, RSB, 8mm 24 pc 2 Steel, RSB, 10mm 177 pc 3 Steel, RSB, 12mm 219 pc 4 C-Purlins, 2`` x 3`` x 6m, 1.2mm 39 pc 5 C-Purlin</t>
  </si>
  <si>
    <t xml:space="preserve"> 6 Box Applicator Stick 6" Long, 1000s/Box 10 Bot Cargille Immersion Oil Type A, 30cc/Bot. for Microscope 500 Pc. Blood Transfusion Set 50 Box Disp. Blood Lancet with Plastic Cover 200s 20 Box Disp. Plastic Test Tube, Plain with Clot Activator, Red Top 5ml</t>
  </si>
  <si>
    <t xml:space="preserve"> Contract ID No. :	20CSPH02 Project:	Geotechnical Investigation for Slope Protection Projects along Various Road Sections and Construction of Bridge in Mountain Province for FY 2021 Location:	Various Road Section in Mountain Province Objectives:	Geotechnic</t>
  </si>
  <si>
    <t xml:space="preserve"> QUANTITY	UNIT	ARTICLES				 		JUNIOR / SENIOR HIGH SCHOOL				 14200	pcs	Binder Notebook				 		*****END*****</t>
  </si>
  <si>
    <t xml:space="preserve"> QUANTITY	UNIT	ARTICLES				 		JUNIOR / SENIOR HIGH SCHOOL				 15000	pieces	Back Pack Bag, Customized (See attached design)				 14200	pieces	Pen, Red				 14200	pieces	Pen, Black				 		***END***</t>
  </si>
  <si>
    <t xml:space="preserve"> ONE (1) UNIT 3 TONER FLOOR MOUNTED INVERTER AIR CONDITION WITH ACCESSORIES INCLUDING POWER SUPPLY AND INSTALLATION.</t>
  </si>
  <si>
    <t xml:space="preserve"> 1.	The Carmona Water District hereinafter referred to as the “Purchaser” now requests for submission of price proposal for the procurement of the aforesaid item described in the Technical Specifications. 2.	A set of technical specifications are provided i</t>
  </si>
  <si>
    <t xml:space="preserve"> REQUEST FOR QUOTATION 						 Procurement of Goods - SUPPLY AND DELIVERY OF DPPF AGRO-INDUSTRY VARIOUS FARM INPUTS FOR THE 3RD AND 4TH QUARTER OF 2020						 						 The Davao Prison and Penal Farm, through its Bids and Awards Committee (BAC) intends to  app</t>
  </si>
  <si>
    <t xml:space="preserve"> unit	1	Steel Portable/ Movable Smoke House, Vertical Offset Charcoal Smoker, 50.2'' H x 43.3'' W x 21'' D Cooking Area :1890 square inches Cooking Area Width 22.5'' Cooking Area Depth 14''	 unit	1	"Electric Food Meat Slicer 10""inch MEAT SLICER Semi-Autom</t>
  </si>
  <si>
    <t xml:space="preserve"> Accommodation (2 days) 2 Guest Meals Day 1 165 pax Rice, fish, meat, vegetable, soft drinks Snack AM 165 pax Pancake, juice in can Snacks PM 165 pax Bakery bread, juice in can Meals Day 2 165 pax Rice, Meat, vegetable, juice Snacks AM 165 pax Salad, fruit</t>
  </si>
  <si>
    <t xml:space="preserve"> P.R. No. X1-20-04-192 - Supply and Delivery for the use of DPWH X ARD Conference Room. (Please see attached RFQ)</t>
  </si>
  <si>
    <t xml:space="preserve"> QUANTITY	UNIT	ARTICLES				 		GRADE 1				 6500	pieces	Back Pack Bag, Customized (See attached design)				 6500	pads	Pad Paper (Grade 1)				 6500	pieces	Pencil #2				 6500	packs	Crayons, Single				 26000	pieces	Writing Notebook				 		***END***</t>
  </si>
  <si>
    <t xml:space="preserve"> •	Handheld Radio    -    23 Units         Frequency Range – VHF:136-173.995MHz         Memory Channel – 128 Channels         Working Voltage – DC7.4V (Li-ion Battery)         Antenna Impedance - 50Ω    •	Megaphone     -      1 Pc.         50w, 3.5mm AUX  </t>
  </si>
  <si>
    <t xml:space="preserve"> RFQ-2020-166		 			 1.	1750	cycle	Trust Pills 2.	1,000	vials	DMPA Injectables (Lyndavel) 			 	Deadline for Submission of Bids: June 17, 2020, 11:00 AM		 			PAYMENT TERM: 90 DAYS</t>
  </si>
  <si>
    <t xml:space="preserve"> The Municipality of San Quintin Abra now invites bids for the CONSTRUCTION OF FARM TO MARKET ROAD AT ZONE II; ITEM DESCRIPTION UNIT QUANTITY 100(1) CLEARING &amp; GRUBBING with STRIPPING sq.m. 650.00 102(2)a. ROADWAY EXCAVATION (SURPLUS COMMON) cu.m. 320.00 1</t>
  </si>
  <si>
    <t xml:space="preserve"> 1.	The OFFICE OF CIVIL DEFENSE, through the OCD Quick Response Fund 2019 – Capital Outlay (Continuing Appropriation), intends to apply the sum of Twenty Three Million, One Hundred Seventy Four Thousand, Thirty Three and 92/100 Pesos (PHP23,174,033.92), be</t>
  </si>
  <si>
    <t xml:space="preserve"> The Roxas City Government, through the GOP-2020 intends to apply the total amount of Six Million Eight Hundred Seventy Five Thousand Pesos (PhP 6,875,000.00) being the Approved Budget for the Contract (ABC) to payments under the contract for Public Biddin</t>
  </si>
  <si>
    <t xml:space="preserve"> Procurement of Food Supplies</t>
  </si>
  <si>
    <t xml:space="preserve"> FUEL STORAGE TANK CALIBRATION 35KL Scope of works: 1. Carry out calibration work in accordance with API Manual of Petroleum Management 2. Measurement of cylindrical tanks by means of dry strapping method or any latest      acceptable method or technology </t>
  </si>
  <si>
    <t xml:space="preserve"> The Department of Education, Division of Butuan City, Through its Bids and Awards Committee, Requests for Supply and Delivery of Medical Supplies, Equipment and Office Equipment for Utilization of the Program Support Fund (PSF) for te Various Activities u</t>
  </si>
  <si>
    <t xml:space="preserve"> 23 pair "Safety shoes, steel toe cap, Regulations: S3 SRC, EN ISO 20345:2011 Size: 7 (6 pcs), 8 (9 pcs), 9 (6 pcs), 10 (1 pc), 11 (1 pc)" 100 piece Ear muffs, SNR: 31 db minimum 50 piece Safety goggles, clear, anti-mist/anti-fog, with side shields only, E</t>
  </si>
  <si>
    <t xml:space="preserve"> - VARIOUS ROADS OF PINGKIAN 3 - APO STREET (MARCOS COMPOUND) - CELEBRITY VILLE STREETS - LEMAVILLE STREET - VIRGINIA STREET</t>
  </si>
  <si>
    <t xml:space="preserve"> 85	sets	-	HLS-250-L-100 100W W/ Cree Chips					 		        Led Streetlight Fixture 5000K CCT with Photocell,					 		        Socket, Link Part and L-Type Aluminum Bracket					 			****Nothing Follows****</t>
  </si>
  <si>
    <t xml:space="preserve"> 1 10 PC/S CLEAR BOOK - LONG-40 SHEETS 2 2 ROLL/S DOUBLE SIDED TAPE - #2 3 15 PC/S FOLDER - LONG-PLASTIC THICK PINK 4 10 PC/S PEN - SIGN PEN BLACK-NO.0.3 5 10 PC/S PEN - SIGN PEN BLACK-0.4 6 4 PC/S MAGAZINE RACK - FOLDABLE BLUE-115mmx270mmx325mm</t>
  </si>
  <si>
    <t xml:space="preserve"> The Roxas City Government, through the GOP-2020 intends to apply the total amount of One Hundred Seventy Thousand One Hundred Fifty Pesos (Php 170,150.00) being the Aggregate Approved Budget for the Contract (ABC) to payments under the contract for Public</t>
  </si>
  <si>
    <t xml:space="preserve"> CID No. 20IC0076:  Const. of Rain Water Collection System (RWCS) at Twenty Two (22) Various School Locations in Alangalang, Babatngon, San Miguel, Sta. Fe, Tanauan, Tolosa and Palo, Leyte;  ABC: P4,378,687.50; 90 CD ACTIVITY	TIME	PLACE 1.  Issuance/Downlo</t>
  </si>
  <si>
    <t xml:space="preserve"> 1 Unit Motorcycle engine type- air cooled 4 stroke, SOHC, 2 valve  cylinder arrangement- single cylinder displacement- 125cm3 bone and stroke- 52.4mmx 57.9mm compression ratio- 9.5:1 maximum horsepower- 7.0kW (9.5PS) 800r/min maximum torque- 9.6N-m (1.0kg</t>
  </si>
  <si>
    <t xml:space="preserve"> Please submit your quotation for the following items on or before 5:00PM on Jun 16, 2020. ITEM D E S C R I P T I O N QTY. UNIT  1 Cement, Type 1 (Portland) 1,600 bag Awarding is in LUMP-SUM basis, however, the supplier is required to indicate its bid pric</t>
  </si>
  <si>
    <t xml:space="preserve"> Corazon Locsin Montelibano Memorial Regional Hospital, through its Bids and Awards Committee, intends to procure NUTRITION &amp; DIETETICS SUPPLIES (PR#20-06-70560), which will be undertaken in accordance with Section 53.9 of the Revised Implementing Rules an</t>
  </si>
  <si>
    <t xml:space="preserve"> 1 set 50" TV w/ cable</t>
  </si>
  <si>
    <t xml:space="preserve"> I.	INTRODUCTION: The Philippine Health Insurance Corporation (PHIC), a Government Owned and Controlled Corporation, formed by virtue of Republic No. 7875, also known as the National Health Insurance Act of 1995, an act instituting a National Health Insura</t>
  </si>
  <si>
    <t xml:space="preserve"> Republic of the Philippines Province of Abra MUNICIPALITY OF LUBA Invitation to Bid for  PROCUREMENT OF COMMON-USED OFFICE SUPPLIES Contract Number: 2020-21 1.	The MUNICIPALITY OF LUBA, through the GENERAL FUND intends to apply the sum of Php. 750,000.00 </t>
  </si>
  <si>
    <t xml:space="preserve"> Republic of the Philippines PROVINCE OF BATANGAS Municipality of Lian OFFICE OF BIDS AND AWARDS COMMITTEE INVITATION TO BID 	The Municipal Government of Lian, Batangas through its Bids and Awards Committee (BAC) now calls for the submission of Letters of </t>
  </si>
  <si>
    <t xml:space="preserve"> 2	Set	Computer Set, ABC 45,000.00/set 		Specifications:				 		Processor Core: I5 7TH GEN				 		Graphics Card:  N/A				 		Memory: 4GB				 		Hard Drive Capacity: 1TB HDD				 		Operating System: Windows 10 PRO GENUINE				 		Monitor: 19"				 		w/ minumum 1 ye</t>
  </si>
  <si>
    <t xml:space="preserve"> INVITATION TO BID FOR THE FURNISHING OF LABOR AND MATERIALS FOR THE CONSTRUCTION/REHABILITATION OF LOCAL ROAD OF BARANGAY BAGUINGIN, TIGBAUAN, ILOILO</t>
  </si>
  <si>
    <t xml:space="preserve"> Invitation to Bid for INFRA 2K20-41 REHAB. &amp; IMPROVEMENT OF ZAMBO. DEL SUR PROVINCIAL COLLEGE June 10, 2020 1.	The Provincial Government of Zamboanga del Sur, through the Supplemental Budget No. 1 CY 2020 and Capital Outlay CY 2020 intends to apply the su</t>
  </si>
  <si>
    <t xml:space="preserve"> 1. The Municipality of San Quintin, Abra now invites bids for the Purchase and installation of Solar Power System with a technical SPEC: • Model Type :SOLAR 5000TLM • Rating :5Kw • Topology : Transformerless  • Number of Independent MPPT : 2 • Maximum Inp</t>
  </si>
  <si>
    <t xml:space="preserve"> 2,970bags -	Cement					 255 	m³	-	Riversand					 340 	m³	-	Gravel					 			****Nothing Follows****</t>
  </si>
  <si>
    <t xml:space="preserve"> 1	1	Lot	Supply and Delivery of Office Supplies ₱15,782.29 			Item Description: 	100	Pcs	Sign Pen, Black liquid/gel ink, 0.5mm needle tip 	100	Pcs	SIGN PEN, BLUE, liquid/gel ink, 0.5mm needle tip 	3	Bottles	STAMP PAD INK, purple or violet 	10	Ream	PAPER, M</t>
  </si>
  <si>
    <t xml:space="preserve"> Republic of the Philippines Department of Trade and Industry – Romblon Provincial Office Ground Floor LFH Building, JP Laurel St., Dapawan, Odiongan, Romblon 5505                                 REQUEST FOR QUOTATION (RFQ) Fabrication, Installation, Suppl</t>
  </si>
  <si>
    <t xml:space="preserve"> The Municipality of Limay, through its Bids and Awards Committee (BAC) invites registered contractors to apply for eligibility and if found eligible, to bid for the hereunder project/contract: Project/Contract:    CONSTRUCTION OF SECOND FLOOR OF EXISTING </t>
  </si>
  <si>
    <t xml:space="preserve"> Please submit your quotation based on attached RFQ, terms and Conditions.</t>
  </si>
  <si>
    <t xml:space="preserve"> 2 pcs. paper shredder 3 units desktop computer - Processor - intel, RAM - 2 GB, Screen size - 15" Place of Delivery: Department of Agrarian Reform Provincial Office, Cabatuan Road, San Fermin, Cauayan City, Isabela</t>
  </si>
  <si>
    <t xml:space="preserve"> PLEASE REFER TO THE ATTACHEMENT</t>
  </si>
  <si>
    <t xml:space="preserve"> 1 Function Hall 1 room Accommodation (1 guest) Meals 200 pax Rice, Meat, Vegetable, Fruits Snack AM 200 pax Banana Q, Pineapple juice in can Snack PM 200 pax Pancit, Minute Maid</t>
  </si>
  <si>
    <t xml:space="preserve"> Republika ng Pilipinas		 	National Irrigation Administration		 	(Pambansang Pangasiwaan ng Patubig)		 	Region XI, Davao City		 			 			 			 			 			 Please quote your lowest price on the items listed below, subject to the General Conditions, stating the sho</t>
  </si>
  <si>
    <t xml:space="preserve"> Republic of the Philippines BATANGAS STATE UNIVERSITY ARASOF-Nasugbu Nasugbu, Batangas Tel. Nos. (043) 416-0350loc 105 REQUEST FOR QUOTATION Purchase of CONAHS Books for BatStateU-ARASOF Nasugbu The Batangas State University (BatState U) through the Bids </t>
  </si>
  <si>
    <t xml:space="preserve"> 10	Unit	Bio metric, ABC 15,000.00/unit 		Fingerprint capacity = 3,200 (1:N) or better				 		Record Capacity = 80,000 or better				 		Communication = TCP/IP,RS232/485, USB(host &amp; client)				 		Software = ZKTeco attendance management				 RFQ#06-0604</t>
  </si>
  <si>
    <t xml:space="preserve"> Installation of Glass Panel Windows at the Finance and SBM Office for preventing the spread of COVID19.</t>
  </si>
  <si>
    <t xml:space="preserve"> Repair/Maintenance of Bridge Revetment</t>
  </si>
  <si>
    <t xml:space="preserve"> Republic of the Philippines Municipality of Kalayaan Province of Palawan BIDS and AWARDS COMMITTEE PUBLIC BIDDING HIRING OF MOTOR LAUNCH INTENDED FOR MOBILIZATION OF CONSTRUCTION MATERIALS FOR CONSTRUCTION OF WOMEN’S CRISIS UNIT (TRANSIENT HOUSE) PHASE II</t>
  </si>
  <si>
    <t xml:space="preserve"> The Roxas City Government, through the GOP-2020 intends to apply the total amount of Seventy Thousand Pesos (PhP 70,000.00) being the Approved Budget for the Contract (ABC) to payments under the contract for Public Bidding for the Supply and Delivery of D</t>
  </si>
  <si>
    <t xml:space="preserve"> Female 250-300 kls.</t>
  </si>
  <si>
    <t xml:space="preserve"> QTY UNIT DESCRIPTION 1	Unit	Laptop				 		Specification				 		- OS :  Windows 10				 		- Processor : i76700HQ Turbo				 		- 4GB GDDR5				 		- Memory RAM : 8-16 GB				 		- Storage : 1 TB 2.5 inch 5400 RPN				 		- Display : 14 - 15.6 inch HD				 		- Optical </t>
  </si>
  <si>
    <t xml:space="preserve"> Corazon Locsin Montelibano Memorial Regional Hospital, through its Bids and Awards Committee, intends to procure NUTRITION &amp; DIETETICS SUPPLIES (PR#20-06-70561), which will be undertaken in accordance with Section 53.9 of the Revised Implementing Rules an</t>
  </si>
  <si>
    <t xml:space="preserve"> LOT 1 SCHOOL AND OFFICE SUPPLIES AND OTHER ITEMS- Php 71, 274.61</t>
  </si>
  <si>
    <t xml:space="preserve"> Lot 1	1	unit	ABC=708,400.00 			"Stereomicroscopic with camera system:                  A. Stereoscope 			     - Zoom Ratio: 7.5:1 			     - Zoom Range: 0.67x - 5x 			     - Magnification: 13.4x - 100x 			     - Eyepiece: 20x, Field no. 12.5 			     - Eyep</t>
  </si>
  <si>
    <t xml:space="preserve"> Please submit your quotation for the following items on or before 5:00PM on June 16, 2020. RENTAL FOR 3.0cu.m WHEEL LOADER AS ADDITIONAL EQUIPMENT Purpose: Used for river dredging activity at Campo Uno 1 unit of Wheel Loader for 32hrs x 4,197.00/ hour = P</t>
  </si>
  <si>
    <t xml:space="preserve"> June 10, 2020 REQUEST FOR QUOTATION (RFQ) MEALS OF PERSONNEL AT THE COVID WARD AND QUARANTINE AREA FOR THE PERIOD OF JUNE 23 – JULY 7, 2020 1.	The Batangas Medical Center hereinafter referred to as the “Purchaser” now request for submission of price propo</t>
  </si>
  <si>
    <t xml:space="preserve"> DESIGN AND PRINTING OF MARKETING TOOLS (BROCHURE/ TABLE AND WALL CALENDAR/ PAPER BAGS/BUSINESS CARDS)</t>
  </si>
  <si>
    <t xml:space="preserve"> Project Reference Number-2020-001 							Location of the Project – Tuguegarao City 						 REQUEST FOR QUOTATION 							Date: June 10, 2020 Sir/Madam: Please quote your lowest price on the items listed below and submit the signed RFQ with supporting docume</t>
  </si>
  <si>
    <t xml:space="preserve"> 4 Units Window Type Aircon 1.0 HP</t>
  </si>
  <si>
    <t xml:space="preserve"> MAINTENANCE OF BRAKE RUNNER PLATE OF GENERATING UNIT</t>
  </si>
  <si>
    <t xml:space="preserve"> 1 set Injection pump, CAM plate assy. 5 pcs Rubber cup, brake, wheel cylinder 2 pcs Rubber cup, secondary cylinder clutch 1 pc Timing belt, 4D56, set 1 pc IC, 12V, alternator</t>
  </si>
  <si>
    <t xml:space="preserve"> 1	1	Lot	Supply and Delivery of Office Supplies ₱207,359.38 			Item Description: 	10	Pcs	CLEARBOOK, 20 transparent pockets, for A4 size 	10	Pcs	CLEARBOOK, 20 transparent pockets, for LEGAL size 	100	Pcs	SIGN PEN, BLACK, liquid/gel ink, 0.5mm needle tip 	10</t>
  </si>
  <si>
    <t xml:space="preserve"> 1.          1 A/C         Complete Annual Inspection of RP- 2200 2.           1  pc.        Air Filter Element (P/N BA-6108 3.           1  pc.        Oil Filter ( P/N CH48110-1 ) 4.           1  pc.        ELT P/N AK-451 ( Re- Certification ) 5.         </t>
  </si>
  <si>
    <t xml:space="preserve"> Submit price quotation not later than June 15, 2020 at BAC Secretariate Office Imbatug, Baungon, Bukidnon</t>
  </si>
  <si>
    <t xml:space="preserve"> 1.  900 heads  - Chicks Hubbard 2 to 3 months old fully vaccinated with NCD and without any abnormalities. Requirements:  2020 PhilGeps Registration, Business Permit, Mayors Permit, Tax clearance, BAI Certification and                          Notarized O</t>
  </si>
  <si>
    <t xml:space="preserve"> Republic of the Philippines Municipality of Kalayaan Province of Palawan BIDS and AWARDS COMMITTEE PUBLIC BIDDING SUPPLY AND DELIVERY OF FOOD SUPPLIES AND MATERIALS FOR 2ND QUARTER FOOD SUBSIDY 1.	The Municipality of Kalayaan, through the SPSM Fund  inten</t>
  </si>
  <si>
    <t xml:space="preserve"> Supply and Delivery of 10 units of Stanchion with Retractable Belt Barrier for SSS Lipa Branch Please refer to the attached canvass and technical specifications. Please submit your quotation together with Mayor's Permit, PhilGEPS Registration Number, BIR </t>
  </si>
  <si>
    <t xml:space="preserve"> The Local Government Unit-Municipality of Malinao, Aklan through the Bids and Awards Committee, intends to apply the sum of Ninety Eight Thousand  Pesos and 00/100 (Php98,000.00) as the Approved Budget for the Contract (ABC) to payments under the contract</t>
  </si>
  <si>
    <t xml:space="preserve"> Brgy. Ermita Maripipi Biliran VERTICAL PROJECT</t>
  </si>
  <si>
    <t xml:space="preserve"> INVITATION TO BID  1.The Local Government Unit of Barbaza, Antique now invites bids for the Supply and Delivery of Spare Parts for LGU Vehicles &amp; Heavy Equipment.  Description			:	PURCHASE OF SPARE PARTS 					(LGU Vehicles &amp; Heavy Equipments) Approved Bud</t>
  </si>
  <si>
    <t xml:space="preserve"> Republic of the Philippines Province of Abra MUNICIPALITY OF LUBA Invitation to Bid for  PROCUREMENT OF OFFICE EQUIPMENT Contract Number: 2020-22 1.	The MUNICIPALITY OF LUBA, through the GENERAL FUND intends to apply the sum of Php. 240,000.00 being the A</t>
  </si>
  <si>
    <t xml:space="preserve"> Republic of the Philippines DEPARTMENTOF SOCIAL WELFARE AND DEVELOPMENT Regional  Office No. 10, Masterson Avenue, Upper Carmen, Cagayan de Oro City INVITATION TO BID FOR REBIDDING OF SECURITY SERVICES FOR DSWD REGION 10 OFFICE, CENTERS AND SUB OFFICES 20</t>
  </si>
  <si>
    <t xml:space="preserve"> Specifications can be viewed online by clicking the "Associated Components" section on this ITB. The Local Government Unit-Municipality of Malinao, Aklan through the Bids and Awards Committee, intends to apply the sum of Six Hundred Ninety Four Thousand F</t>
  </si>
  <si>
    <t xml:space="preserve"> ITEM: 45   Pcs   Drum Size Styrofoam 2       Rolls    V-Net 750   Rolls   Ukay-Ukay Rope 22mm 90     Sacs    Cement 15    Kgs    Mono Nylon 450   Pcs    Habong (palwa with lukay, buli)</t>
  </si>
  <si>
    <t xml:space="preserve"> Download attachment in the Associated Components. For further information, please refer to: Atty. VIRGILIO B. GALEON- Head, BAC Secretariat BAC Office Government Center Bldg. A J. P. Rizal Blvd., Market Area  City of Santa Rosa, Laguna 4026 Telephone Numb</t>
  </si>
  <si>
    <t xml:space="preserve"> 450 pax AM Snack: Bottled water and fudgee bar 450 pax Lunch: Rice with chicken curry and fried fish, bottled water &amp; fudgee bar 450 pax AM Snack: Bottled water &amp; fudgee bar</t>
  </si>
  <si>
    <t xml:space="preserve"> Republic of the Philippines Municipality of Kalayaan Province of Palawan BIDS and AWARDS COMMITTEE PUBLIC BIDDING SUPPLY AND DELIVERY OF ASSORTED SUPPLIES AND MATERIALS INTENDED FOR DRYDOCKING OF M/L QUEEN SEAGULL 1.	The Municipality of Kalayaan, through </t>
  </si>
  <si>
    <t xml:space="preserve"> TEN (10) DAYS MAINTENANCE TO CONTINUOUS PREVENTIVE MAINTENANCE FOR GENERATING UNIT NO. 2 AND ITS RELATED AUXILIARIES (48 MAINTENANCE HELPERS)</t>
  </si>
  <si>
    <t xml:space="preserve"> 1 LOT  ABC: 771,000.00 1. 70% Dark Chocolate (Wynn's Food Products)	 2. Ground Coffee (Tirad Pass Food Processors Association)	 3. Ground Coffee (D.C. Parilla Food Products Manufacturing)	 4. Ground Coffee (Kinmarin Coffee Growers Association)	 5. Ground </t>
  </si>
  <si>
    <t xml:space="preserve"> Republic of the Philippines PROVINCE OF ALBAY 				   Municipality of Rapu-Rapu                                                          Barangay Poblacion Invitation to Bid for  Purchase of Drugs and Medicines 1.	The Barangay Local Government Units of Pob</t>
  </si>
  <si>
    <t xml:space="preserve"> Republic of the Philippines Municipality of Kalayaan Province of Palawan BIDS and AWARDS COMMITTEE PUBLIC BIDDING SUPPLY AND DELIVERY OF GASOLINE,OIL AND LUBRICANTS FOR THE PRE-POSITIONING AND OPERATIONS OF TRANSPORT ASSETS OF MDRRM  1.	The Municipality o</t>
  </si>
  <si>
    <t xml:space="preserve"> Fabrication &amp; Installation of 2 units Sidecars</t>
  </si>
  <si>
    <t xml:space="preserve"> 20 pcs Ballpen - black 50 pcs Ballpen - blue 30 pcs Brown envelop long 5 btls Ink T6641 - Black 1 btl Ink T6642 - cyan 1 btl Ink T6643 - magenta 1 btl Ink T6644 - yellow 2 pcs Flash drive (8gb) 10 pcs Folder long 1 pc Modem 8 box Paper fastener (plastic c</t>
  </si>
  <si>
    <t xml:space="preserve"> Republic of the Philippines					 Department of Public Works and Highways					 OFFICE OF THE DISTRICT ENGINEER					 Cagayan de Oro City 1st District Engineering Office					 10th RES Compound, Bulua, Cagayan de Oro City					 					 PURCHASE REQUEST					 				</t>
  </si>
  <si>
    <t xml:space="preserve"> KSHS IS IN NEED OF DUPLO INK AND DUPLO MASTER ROLLS FOR OUR RESO MACHINE</t>
  </si>
  <si>
    <t xml:space="preserve"> FIFTEEN (15) DAYS IN MAINTENANCE ACTIVITIES FOR GENERATING UNIT NO. 3 AND ITS RELATED AUXILIARIES (19 MECHANICAL &amp; ELECTRICAL HELPERS)</t>
  </si>
  <si>
    <t xml:space="preserve"> 3in1 Printer with Black Ink Computer Set Extension Wire</t>
  </si>
  <si>
    <t xml:space="preserve"> National Power Corporation INVITATION TO BID PUBLIC BIDDING 2020-0113 1.	The NATIONAL POWER CORPORATION (NPC), through       its        approved       Corporate Budget of CY 2020 intends to apply   the   sum   of (Please see schedule below) being the Appr</t>
  </si>
  <si>
    <t xml:space="preserve"> Variety of : vermicast 14x14x14 urea 16-20 EMAS &amp; Fortified Organic fertilizers</t>
  </si>
  <si>
    <t xml:space="preserve"> INVITATION TO BID  1.The Local Government Unit of Barbaza, Antique now invites bids for the Supply and Delivery of Ten (10) units Executive Swivel Chairs to be used in the Office of the Sangguniang Bayan. Description			:	PURCHASE OF SWIVEL CHAIRS Approved</t>
  </si>
  <si>
    <t xml:space="preserve"> Qty	Unit	Unit of Issue 		Youth Summit 108	cover	Snacks (a.m.) (Siopao&amp; Zest-O) 108	Cover	Lunch (Ampalaya/Fried Chicken/Pork Steak/Rice/Water 108	Cover	Snacks (p.m.) (Torta&amp; C2) 		Children’s Month Celebration (Nov. 2020) 290	Cover	Snacks (a.m.) (Moron &amp; C2</t>
  </si>
  <si>
    <t xml:space="preserve"> 7 pcs Signage (3x5 with post and concrete base) 8 pcs Signage (3x4 with post and concrete base) 7 pcs Signage (2x4 with post and concrete base) 8 pcs Signage (3x3 with post and concrete base)</t>
  </si>
  <si>
    <t xml:space="preserve"> The Local  Government   Unit  of General  Santos  City, through  the  GENERAL FUND CY 2020  intends  to apply  the sum of three hundred twenty five thousand nine hundred and xx / 100 Pesos Only (325,900.00)   being  the Approved  Budget  for the Contract </t>
  </si>
  <si>
    <t xml:space="preserve"> 2,000	Piece	N95- Regular Size, ABC 130.00/pc RFQ#06-0610</t>
  </si>
  <si>
    <t xml:space="preserve"> 1 Unit Photocopy Machine Specifications: 3 in 1 Printer/Copier/Scanner</t>
  </si>
  <si>
    <t xml:space="preserve"> 1 unit Printer L565</t>
  </si>
  <si>
    <t xml:space="preserve"> Request for Quotation for the Procurement of Office Supplies to be used in the DA SAAD Implementation in Region 7 1.	The Department of Agriculture-Regional Field Office 7 (DA-RFO 7), through the General Appropriations Act of CY 2019 (continuing)  intends </t>
  </si>
  <si>
    <t xml:space="preserve"> The BIWAD BAC invites suppliers to quote for the   Supply and Installation of one (1) unit 50KVA Generator Set of Poblacion, Pumping Station I. Generator set    - 1 unit 50 KVA Diesel Generator Set, 3 phase (silent type)    - 1 roll wire    -  1 LS Testin</t>
  </si>
  <si>
    <t xml:space="preserve"> The FMBO-Checks Disbursement Division, of the Supreme Court, through the Procurement Section, invites interested suppliers to quote for the price/s of the item/s listed in the attached document (PLEASE DOWNLOAD) Please also provide "Eligibility Documents,</t>
  </si>
  <si>
    <t xml:space="preserve"> 60 persons 1 meal &amp; 2 snacks        Menu:                            Lunch: Rice, beef menudo, pancit canton guisado, special chopsuey, sotanghon soap, softdrinks, desert             Snacks: Meat bread, juice</t>
  </si>
  <si>
    <t xml:space="preserve"> PR No. 20030903 – Supply and Delivery of Two (2) unitsTruck Dropside 6 Wheeler 1.	The Provincial Government of Camarines Norte, through the GF-Capital Outlay CY 2020intends to apply the sum of Three Million Six Hundred Thousand Pesos (P3,600,000.00) being</t>
  </si>
  <si>
    <t xml:space="preserve"> 25 dozen panty assorted size 25 dozen brief assorted design 5p pair pillowcase medium 50 pcs mosquito net family 50 pcs blanket family 50 pcs bath towel 50 pcs pillow medium</t>
  </si>
  <si>
    <t xml:space="preserve"> 125	Piece	Autoclavable Biohazard Bag, ABC 100.00/pc 25	Piece	Cautery Tip Extended Needle Electrode 6", ABC 550.00/pc 50	Piece	Central Venus Pressure Catheter, ABC 200.00/pc 25	Piece	Cervix Brush, Cervical Cell Sample, ABC 15.50/pc 200	Piece	Chart Holder, </t>
  </si>
  <si>
    <t xml:space="preserve"> 1 unit Water dispenser</t>
  </si>
  <si>
    <t xml:space="preserve"> 1     250 BAG COMPLETE FERTILIZER (14-14-14) 2     250 BAG MURIATE OF POTASH (0-0-60)</t>
  </si>
  <si>
    <t xml:space="preserve"> The Local  Government   Unit  of General  Santos  City, through  the  GENERAL FUND CY 2020  intends  to apply  the sum of seven hundred sixty four thousand eighty and xx / 100 Pesos Only (764,080.00)   being  the Approved  Budget  for the Contract   (ABC)</t>
  </si>
  <si>
    <t xml:space="preserve"> 20 pcs BR APP with Stethoscope</t>
  </si>
  <si>
    <t xml:space="preserve"> Completion of Barangay Site, Talaguton Road</t>
  </si>
  <si>
    <t xml:space="preserve"> Republic of the Philippines				 Province of Quezon 				 Municipality of Lucban				 				 Bill of Quantities				 Quantity	Unit	Articles/Description	Unit Price	Amount 				 32	PCS	THERMOMETER	 	  32	PCS	SPHYGMAMOMETER	 	  32	PCS	WEIGHING SCALE	 	  32	PCS	GLUC</t>
  </si>
  <si>
    <t xml:space="preserve"> 10   Box   Carbamazepine 200 mg. /Tab. (100/box) 10   Box   Chlorpromazine 100 mg tab (100/box) 10   Box   Clozapine 100 mg/tab (100 tabs/box) 10   Box   Diphenhydramine 50 mg/ Cap. (100/box) 4     Box   Haloperidol , 5 mg tab (100/box) 2     Amp   Halope</t>
  </si>
  <si>
    <t xml:space="preserve"> 1     1,000 GAL PAINT WHITE GLOSS LATEX</t>
  </si>
  <si>
    <t xml:space="preserve"> The Local  Government   Unit  of General  Santos  City, through  the  GENERAL FUND CY 2020  intends  to apply  the sum of seven hundred thirty thousand four hundred forty one and xx / 100 Pesos Only (730,441.00)   being  the Approved  Budget  for the Cont</t>
  </si>
  <si>
    <t xml:space="preserve"> Relief assistance for the children of Indigenous People (IP) of Puerto Princesa City, Palawan affected during the ECQ due to COVID-19 on 19 June 2020  85 pieces/bags RELIEF GOODS PACKAGE (rice, canned goods, milk, noodles, vitamins, etc.)</t>
  </si>
  <si>
    <t xml:space="preserve"> 1 set Brakeshoe, LH-RH 4 pcs Bushing, shock absorber 4 pcs Bushing, front suspension 2 pcs Cross bearing 2 pcs Front suspension parts, ball joint 4 pcs Glow plug, 12V</t>
  </si>
  <si>
    <t xml:space="preserve"> REPAIR/MAINTENANCE OF DPWH BUILDINGS Contract Location:                   a.) Multi-Purpose Building, Zone 7, Bangued, Abra                                               b.) Canteen, Zone 7, Bangued, Abra  Brief Description:                    Repair/Main</t>
  </si>
  <si>
    <t xml:space="preserve"> Installation of Hand Washing Facilities and COVID19 Safety Signagages to prevent the spread of COVID19</t>
  </si>
  <si>
    <t xml:space="preserve"> 1.   30  bags   - Chick Grower Crumble  2.   30  bags   - Layer - Pellets  3.   80  bags   - Crack Corn Medium Requirements:  2020 PhilGeps Registration, Business Permit, Mayors Permit, Tax Clearance, Notarized Omnibus                         Sworn Statem</t>
  </si>
  <si>
    <t xml:space="preserve"> REQUEST FOR QUOTATION (RFQ) Date: June 11, 2020  The Owner/Proprietor _________________ Borongan City Sir: Please quote your price for the items specified below, taking into consideration the following: Name of Project: Repair of T.H.E Building at ESSU Ma</t>
  </si>
  <si>
    <t xml:space="preserve"> Mattress     90 pcs</t>
  </si>
  <si>
    <t xml:space="preserve"> Republic of the Philippines          City of Dumaguete Bids and Awards Committee INVITATION TO BID FOR PURCHASE REQUEST OF 52 BAGS PORTLAND CEMENT 40 KGS AND OTHER ITEMS 	The City of Dumaguete thru its BIDS AND AWARDS COMMITTEE (BAC), invites all interest</t>
  </si>
  <si>
    <t xml:space="preserve"> One (1) set Video recording equipment minimum specification  1)	Digital video camera for video recording  •	Image Sensor: CMOS 8 Mega Pixel Sensor •	Video Resolution: 2880*2160/24fps, 2560*1440/30fps, 1920*1080/60fps, 1920*1080/30fps, 1280*720/60fps, 1280</t>
  </si>
  <si>
    <t xml:space="preserve"> Republic of the Philippines						EDP-G		 		Government of Ormoc City						P.R. No.:  	201496	 		BIDS AND AWARDS COMMITTEE						Quotation No.: 	204403-6122	 		Ormoc City						PhilGEPs No.: 		 										 Standard Form Title:			REQUEST FOR QUOTATION							 		</t>
  </si>
  <si>
    <t xml:space="preserve"> INVITATION TO NEGOTIATE  FOR THE PURCHASE OF CUSTOMIZED  SCHOOL BAGS The Municipality of Isulan, through the 2020 GENERAL FUND  intends to apply the sum of NINE HUNDRED NINETY-NINE THOUSAND NINE HUNDRED PESOS(P 999,900.00) being the Approved Budget for th</t>
  </si>
  <si>
    <t xml:space="preserve"> Republic of the Philippines DEPARTMENT OF PUBLIC WORKS AND HIGHWAYS LANAO DEL NORTE 1st  DISTRICT ENGINEERING OFFICE REGION X 0054 Seminary Drive, Del Carmen, Iligan City INVITATION TO BID FOR THE PROCUREMENT OF GOODS/SUPPLIES FOR THE   FOLLOWING PROJECT </t>
  </si>
  <si>
    <t xml:space="preserve"> 1     1 pcs RCPC Molder (Inner) 18" Diameter 2     2 pcs RCPC Molder (Inner) 24" Diameter 3     2 pcs RCPC Molder (Inner) 48" Diameter 4     2 pcs RCPC Bottom Ring 60" Diameter 5     2 set RCPC Molder 36" Diameter 6     1 set RCPC Molder 72" Diameter 7   </t>
  </si>
  <si>
    <t xml:space="preserve"> Republic of the Philippines PROVINCE OF ALBAY 				   Municipality of Rapu-Rapu                                                          Barangay Poblacion Invitation to Bid for  Maintenance &amp; Improvement of Day Care Center 1.	The Barangay Local Government</t>
  </si>
  <si>
    <t xml:space="preserve"> REQUEST FOR QUOTATION (RFQ)							 							 					June 08, 2020		 					R.I.S. No.: 20-83-102		 							 GENTLEMEN:			 Please submit  your  lowest price quotation (including taxes and government discounts) on charged account basis, on the following supplies/m</t>
  </si>
  <si>
    <t xml:space="preserve"> Water Source (spring); Installation of Water Pumping System 1- (Pumping Station 1.6m x 1.6m); Installation of Transformer with complete accessories; Construction of One (1) Intake box; Installation of Pipes and Fittings; Installation of Overhead Tank (con</t>
  </si>
  <si>
    <t xml:space="preserve"> 1.         140     pcs   Metal stod 2 x10 2.         50        pcs   Hardi flex 4 x8 3.          3         pcs   1/8 x 1/2 blind Rivets 4.          10       pcs   1/8 Drill bit 5            10      pcs    C Parlins 3 x 20 6.           8        pcs     Roo</t>
  </si>
  <si>
    <t xml:space="preserve"> The Local  Government   Unit  of General  Santos  City, through  the  GENERAL FUND CY 2020  intends  to apply  the sum of three hundred twenty two thousand four hundred and xx / 100 Pesos Only (322,400.00)   being  the Approved  Budget  for the Contract  </t>
  </si>
  <si>
    <t xml:space="preserve"> INVITATION TO BID  1.The Local Government Unit of Barbaza, Antique now invites bids for the Supply and Delivery of IT Equipments to be used in the Office of the Municipal Assessor. Description			:	PURCHASE OF IT EQUIPMENTS Approved Budget for the Contract</t>
  </si>
  <si>
    <t xml:space="preserve"> Specifications can be viewed online by clicking the "Associated Components" section on this ITB. The Local Government Unit-Municipality of Malinao, Aklan through the Bids and Awards Committee, intends to apply the sum of Two Hundred Ninety Eight Thousand </t>
  </si>
  <si>
    <t xml:space="preserve"> Procurement of various parts and accessories for the maintenance of PV-30 bill counting machines of the Currency Operations</t>
  </si>
  <si>
    <t xml:space="preserve"> P.R. No. X2-20-03-181 - Supply and Delivery for the use in the Supply and Property Management Section. (Please see attached RFQ)</t>
  </si>
  <si>
    <t xml:space="preserve"> Subgrade Preparation, Aggregate Sub-base Course Portland Cement Concrete Pavement (PCCP) Embankment</t>
  </si>
  <si>
    <t xml:space="preserve"> Republic of the Philippines						CAO		 		Government of Ormoc City						P.R. No.:  	201464	 		BIDS AND AWARDS COMMITTEE						Quotation No.: 	204399-6120	 		Ormoc City						PhilGEPs No.: 		 										 Standard Form Title:			REQUEST FOR QUOTATION							 				</t>
  </si>
  <si>
    <t xml:space="preserve"> •	Split Type Airconditioner (Inverter)    -    2 Units         KSW-18R5CA         2.0HP     •	Window Type Airconditioner (Non Inverter)   -    2 Units         CW-SC184EPH         2.0HP</t>
  </si>
  <si>
    <t xml:space="preserve"> Portable Booth for Rapid Testing  4 units</t>
  </si>
  <si>
    <t xml:space="preserve"> REQUEST FOR QUOTATION (RFQ) Date: June 11, 2020  The Owner/Proprietor _________________ Borongan City Sir: Please quote your price for the items specified below, taking into consideration the following: Name of Project: Repair of Comfort Room in College o</t>
  </si>
  <si>
    <t xml:space="preserve"> ITEM NO.	QTY	UNIT	ARTICLES	UNIT	TOTAL 				PRICE	 PR NO. 20-06-586			 1	1	Lot	Topographic – Relocation Survey	85,400.00	85,400.00 2	1	Lot	SOIL TEST/ GEOTECHNICAL INVESTIGATION WORKS	477,808.00	477,808.00 			•	6  Boreholes at 30.0 meter depth (±4,000 sq. m.</t>
  </si>
  <si>
    <t xml:space="preserve"> INVITATION TO BID The City of Bayawan, through its Bids and Awards Committee (BAC), invites suppliers/manufacturers/distributors/contractors to bid for the hereunder projects: Lot No. I		Integrated Water Supply (Pipes)		 			 1	2000		160mmØ x 6m UPVC Pipe,</t>
  </si>
  <si>
    <t xml:space="preserve"> for Processing/payment of ROW Claims re: lots affected by the construction of Cauayan Bypass Road including RROW</t>
  </si>
  <si>
    <t xml:space="preserve"> 10 galoon Herbicide - round up (4Gal) 5 jar Insecticide - Agita 100 liters Deodorizer - Anti-pollutant</t>
  </si>
  <si>
    <t xml:space="preserve"> Diagnostic and Statistical Manual of Mental Disorders, 5th Edition, 1 pc. DSM-5 5th Edition [Paperback] by American Psychiatric Association; (May 27, 2013); ISBN-13: 978-0890425558</t>
  </si>
  <si>
    <t xml:space="preserve"> 1	UNIT	Car Vehicle 	 	Grade:1.3 J,Transmission:5-Speed M/T 	 	DIMENSION AND WEIGHT 	 	  Overall LengthxWidthx height-4,190mmx1,660mmx1,695mm 	 	Wheelbase-2,655mm, Tread *Front/Rear-1,425mm*1,435mm 	 	Min.Ground Clearance * Without Axle-200mm 	 	Min. Groun</t>
  </si>
  <si>
    <t xml:space="preserve"> 300 pax AM Snack: Bottled water and Pancit 300 pax Lunch: Rice with pork adobo, pinakbet, bottled water and cloud nine 300 pax PM Snack: Bottled water and croissant</t>
  </si>
  <si>
    <t xml:space="preserve"> Republic of the Philippines Province of Davao Oriental CITY OF MATI REQUEST FOR QUOTATION 			 Date:	09 JUNE 2020 RFQ No.:	0780-2020 Name of Company: __________________________________________________________________________________________________________</t>
  </si>
  <si>
    <t xml:space="preserve"> 1 2 PC/S INK - EPSON - BLACK T6641 2 2 BTL/S INK - EPSON (CYAN) T6642 3 2 BTL/S INK - EPSON (MAGENTA) T6643 4 2 PC/S INK - EPSON - YELLOW T6644 5 1 BTL/S INK - EPSON 003 (BLACK) 6 1 BTL/S INK - EPSON 003 (CYAN) 7 1 BTL/S INK - EPSON 003 (MAGENTA) 8 1 BTL/</t>
  </si>
  <si>
    <t xml:space="preserve"> Water Source (drilling); Installation of Water Pumping System 1- (Pumping Station 1.6m x 1.6m), (Well Drilling 8dia. Borehole x 90m depth); Installation of Overhead Tank (concrete) (3.0x3.0x3.0)M – 3MHT.; Installation of 1 Transformer with complete access</t>
  </si>
  <si>
    <t xml:space="preserve"> Lot 1 Repair and Maintenance School Buildings and other items- Php 11,200.00</t>
  </si>
  <si>
    <t xml:space="preserve"> TALLY GENICOM CARTRIDGE RIBBON 6800/6600 extended UFE inclusive of freight charges</t>
  </si>
  <si>
    <t xml:space="preserve"> Large Tent  10 units</t>
  </si>
  <si>
    <t xml:space="preserve"> Republic of the Philippines City of Cadiz BIDS AND AWARDS COMMITTEE INVITATION TO BID FOR  “Construction/Repair/Improvement of Multi-Purpose Center/BDRRCC @ Brgy. Zone 6, Cadiz City” 	 1.	The Bids &amp; Awards Committee  through the CY 2017 &amp; 2019 IRA ADP-CDA</t>
  </si>
  <si>
    <t xml:space="preserve"> Republic of the Philippines						CAO		 		Government of Ormoc City						P.R. No.:  	201553	 		BIDS AND AWARDS COMMITTEE						Quotation No.: 	204397-6119	 		Ormoc City						PhilGEPs No.: 		 										 Standard Form Title:			REQUEST FOR QUOTATION							 				</t>
  </si>
  <si>
    <t xml:space="preserve"> QTY UNITS PARTICULARS 60	gals.	Flat wall enamel (white ) 60	gals.	Quick dry enamel (white) 2	gals.	Quick dry enamel (Royal blue) 60	gals.	Semi Gloss Latex (White) 60	gals.	Flat latex (white) 100	gals.	Roofshield casa blue 30	gals.	Paint Thinner  6	pcs.	Pa</t>
  </si>
  <si>
    <t xml:space="preserve"> I. Mobilization II. Demolition III. CSHP IV. Line Canal (L=82.4) V. Steel Grating VI. Equipment Labor</t>
  </si>
  <si>
    <t xml:space="preserve"> Construction of Retaining Wall</t>
  </si>
  <si>
    <t xml:space="preserve"> Republic of the Philippines				 Province of Quezon 				 Municipality of Lucban				 				 Bill of Quantities				 Quantity	Unit	Articles/Description	Unit Price	Amount 				 1	UNINT	LAPTOP	 	  		INTEL CORE i5, 8TH GEN.	 	  		4 RAM, 1 TERA, 15.6 MONITOR	 	  		W</t>
  </si>
  <si>
    <t xml:space="preserve"> Poblacion Maripipi, Biliran Horizontal Project</t>
  </si>
  <si>
    <t xml:space="preserve"> I.	WORKSCOPE Based on the requirements of SEC Public Reference Unit (PRU), below are the scopes of work which Service Provider will provide: 1.	Five (5) units of printer with speed of at least 75 ppm, A4 images, to be deployed as primary printer 2.	Seven </t>
  </si>
  <si>
    <t xml:space="preserve"> 1	2	 pcs 	Carbon steel pipe gauge 80 x 6" x 6 meters 2	40	 kg 	welding electrode E-6011 3.2 dia wip weld 3	40	 kg 	welding electrode E - 7018 2.5 dia wip weld 4	30	 pcs 	cutting disc 4" x 1/8 tyrolit</t>
  </si>
  <si>
    <t xml:space="preserve"> Republic of the Philippines						CPDO		 		Government of Ormoc City						P.R. No.:  	200774	 		BIDS AND AWARDS COMMITTEE						Quotation No.: 	204395-6118	 		Ormoc City						PhilGEPs No.: 		 										 Standard Form Title:			REQUEST FOR QUOTATION							 			</t>
  </si>
  <si>
    <t xml:space="preserve"> REQUEST FOR QUOTATION (RFQ)							 							 							 June 01, 2020		 R.I.S. No.: 20-52-009		 						 GENTLEMEN:			 Please submit  your  lowest price quotation (including taxes and government discounts) on charged account basis, on the following supplies/mate</t>
  </si>
  <si>
    <t xml:space="preserve"> National Power Corporation INVITATION TO BID PUBLIC BIDDING 2020-0106 1.	The NATIONAL POWER CORPORATION (NPC), through       its        approved       Corporate Budget of CY 2020 intends to apply   the   sum   of (Please see schedule below) being the Appr</t>
  </si>
  <si>
    <t xml:space="preserve"> A) REQUEST FOR QUOTATION Camera Lenses 1. 2 units  A. Telephoto Zoom Lens a.1) Specifications: Focal Length [mm]: 70-200 Maximum Aperture: F/2.8 Minimum Aperture: F/22 Minimum Object Distance [m]: 0.95 Maximum Magnification Ratio: 1:6.1 Filter Size [mm]: </t>
  </si>
  <si>
    <t xml:space="preserve"> REQUEST FOR EXPRESSION OF INTEREST (REI) CONSULTING SERVICES FOR THE CONDUCT OF GEOTECHNICAL AND GEOLOGICAL SURVEY/INVESTIGATION FOR THE PROPOSED FLOOD CONTROL PROJECTS WITH 3RD CONGRESSIONAL DISTRICT OF PANGASINAN 1.	The Department of Public Works and Hi</t>
  </si>
  <si>
    <t xml:space="preserve"> Republic of the Philippines Province of Davao Oriental CITY OF MATI REQUEST FOR QUOTATION 			 Date:	09 JUNE 2020 RFQ No.:	0777-2020 Name of Company: __________________________________________________________________________________________________________</t>
  </si>
  <si>
    <t xml:space="preserve"> REQUEST FOR QUOTATION Negotiated Procurement _Small Value Procurement (Sec. 53.9)  Fire Extinguishers, refill only The PHILHEALTH REGIONAL OFFICE XII, through the Corporate Operating Budget 2020 intends to   apply the sum of Fifty Four Thousand Seven Hund</t>
  </si>
  <si>
    <t xml:space="preserve"> Procurement of Emergency Lights, LED</t>
  </si>
  <si>
    <t xml:space="preserve"> Water Source (spring); Installation of Overhead Tank (concrete) (2.5x2.5x2.5)M – 3MHT; Installation of Pipes and Fittings</t>
  </si>
  <si>
    <t xml:space="preserve"> The BIWAD BAC invites suppliers for the Supply and installation of Read and Bill Software including five(5) sets of Handheld Read and Bill Gadgets with portable Bluetooth Printer for Binalonan Water District. I. SOFTWARE  1 lot Read and Bill Software  1 l</t>
  </si>
  <si>
    <t xml:space="preserve"> INVITATION TO BID FOR Construction of Reinforced Concrete Slope Protection for CY 2020 1. The Department of Education, Butuan City Division, through the GAA FY 2020 intends to apply the sum of Php 3,820,757.90 RCS-2020-001 (Lot 1), and Php 3,408,125.05 RC</t>
  </si>
  <si>
    <t xml:space="preserve"> Republic of the Philippines										 OFFICE OF THE DISTRICT ENGINEER										 Cagayan Third District Engineering Office										 Tuguegarao City										 Name of Procuring Entity: 			DPWH-Cagayan Third Engineering Office				Request For Quotation(PR NO</t>
  </si>
  <si>
    <t xml:space="preserve"> Water Source (drilling); Installation of Water Pumping System 1- (Pumping Station 1.6m x 1.6m), Installation of Overhead Tank (concrete) (2.5x2.5x2.5)M – 3MHT.; Installation of 1 Transformer with complete accessories; Installation of Pipes and Fittings</t>
  </si>
  <si>
    <t xml:space="preserve"> To be used in undertaking maintenance activities above elevated areas of the branch. This provides security and safety to the concerned personnel while executing the said activities.</t>
  </si>
  <si>
    <t xml:space="preserve"> REQUEST FOR QUOTATION Supply and Delivery of Agricultural Equipment for OVRPE-CHED-IDIG Project 1. The Cavite State University (CvSU) invites interested firms/suppliers to submit quotation for the project “Supply and Delivery of Agricultural Equipment for</t>
  </si>
  <si>
    <t xml:space="preserve"> 1. TV 50" LED Flat display with remote control, units, 10</t>
  </si>
  <si>
    <t xml:space="preserve"> Republic of the Philippines						SP		 		Government of Ormoc City						P.R. No.:  	201558	 		BIDS AND AWARDS COMMITTEE						Quotation No.: 	204393-6117	 		Ormoc City						PhilGEPs No.: 		 										 Standard Form Title:			REQUEST FOR QUOTATION							 					</t>
  </si>
  <si>
    <t xml:space="preserve"> Please see attached in the associated components for the Official Bid Form</t>
  </si>
  <si>
    <t xml:space="preserve"> INVITATION TO BID  The Local Government Unit of Barbaza, Antique, now invites interested contractors with a minimum experience of 5 years in implementing similar/related sub-projects to bid for the hereunder subproject: Name of Project	:	CONSTRUCTION OF S</t>
  </si>
  <si>
    <t xml:space="preserve"> Purchase of Medicine</t>
  </si>
  <si>
    <t xml:space="preserve"> Purchase and Delivery  of 3-Unit Aircondition Units (with Installation)</t>
  </si>
  <si>
    <t xml:space="preserve"> See line Item</t>
  </si>
  <si>
    <t xml:space="preserve"> Purchase of 1 unit Solvent recovery unit, 10 l/h. 230 V, 50-60 Hz, 2 units Heavy duty universal core drilling machine, three speeds motor 230 zv, 50-60 Hz, 6 pcs Coring 100mmx200mm Bit, 6 pcs Coring Bit 100mmx400mm, 1 unit Vibration hammer for soil and as</t>
  </si>
  <si>
    <t xml:space="preserve"> P.R. No. X7-20-02-047 - Supply and Delivery for field use in the conduct of various Planning Applications Surveys for Road and Bridge Information Application (RBIA), Planning and Design Division, 1st qtr. (Please see attached RFQ)</t>
  </si>
  <si>
    <t xml:space="preserve"> 4 units Trash Bins, Transparent, as per BSP's specifications.</t>
  </si>
  <si>
    <t xml:space="preserve"> REQUEST FOR QUOTATION (RFQ) Date: June 11, 2020  The Owner/Proprietor _________________ Borongan City Sir: Please quote your price for the items specified below, taking into consideration the following: Name of Project: Repair of Nursing Building at ESSU </t>
  </si>
  <si>
    <t xml:space="preserve"> 1 Unit Rescue Van Diesel Engine Type: 4 cylinder Engine Euro 4: 2494cc 5 speed manual transmission Republic of the Philippines Province of Batangas MUNICIPALITY OF MALVAR Office of the Municipal Mayor SECTION I INVITATION TO BID  FOR ACQUISITION OF MOTOR </t>
  </si>
  <si>
    <t xml:space="preserve"> INVITATION TO BID No. IB-2020-VI-30-01 The Municipality of Sibalom through its Bids &amp; Awards Committee (BAC), invites bidders/contractors to apply for eligibility and to bid for the hereunder project: Project           	 		:	RE-EGENTS (DIAGNOSTIC LABORATO</t>
  </si>
  <si>
    <t xml:space="preserve"> 150    Pcs   Acetylcysteine 600 mg sachet 150    Pcs   Acetylcysteine 200 mg sachet 3    Box   Al-MgOH tab. (200/100) 100/box 72   Bot   Amoxycillin 250 mg/5 susp.60ml./bot.flav. w/ box 18   Box   Amoxycillin 500 mg cap. Blister 100/box 10   Box   Amlodep</t>
  </si>
  <si>
    <t xml:space="preserve"> "OFFICE VAULTS                                             1unit  * 1 Digital Vault with 3 Layer Drawer  *Size: W4G''D62''H134cm" ABC= Php 25,500</t>
  </si>
  <si>
    <t xml:space="preserve"> Title:Procurement of 650 Pad Traffic Citation Ticket under P.R.No. 2041-2020-Enforcement of Traffic Laws Total ABC: Php 113,750.00 (INSTRUCTION AS TO THE REQUIRED FORM: For your price quotation, please use the attached Request for Quotation (RFQ) Form and</t>
  </si>
  <si>
    <t xml:space="preserve"> Installation of CFS, 1 Layer on Span 1,2,4 of Main Member 1 - 4; Span of Main Member 1 - 3; Installation of CFP on Span 1 – 4 of Main Member 1 - 4</t>
  </si>
  <si>
    <t xml:space="preserve"> Printing of the Updated Central Visayas Regional Development Plan 2017-2022 Paper size: 8.5 x 11 inches Process: color offset, full color Binding: Smythe sewn, perfect bind Stock Cover: C2S 140 lbs with matte lamination and spot UV. Inside: Matte 70lbs Nu</t>
  </si>
  <si>
    <t xml:space="preserve"> Item no.	Qty	Unit	Item Description's			Est. Unit	Estimated 						Cost	Cost 							 1	1	unit	Floor Mounted Aircon				 2	1	LS	Labor and Installation				 							 			Materials for Installation				 			Breaker				 			Coppertube				 			Rubber Insolation				 			P</t>
  </si>
  <si>
    <t xml:space="preserve"> The University of the Philippines Baguio, through the Corporate Budget for the contract approved by the governing Board intends to apply the sum of One Million One Hundred Thousand Pesos (PhP 1,100,000.00) being the Approved Budget for the Contract (ABC) </t>
  </si>
  <si>
    <t xml:space="preserve"> Republic of the Philippines DEPARTMENT OF PUBLIC WORKS AND HIGHWAYS SARANGANI DISTRICT ENGINEERING OFFICE REGIONAL OFFICE XII Sarangani District Engineering Office Alabel Sarangani Province 	 DIRECT CONTRACTING The Department of Public Works and Highways-</t>
  </si>
  <si>
    <t xml:space="preserve"> P.R. No. X7-20-02-124 - Supply and Delivery for the field use of Road Right of Way, Planning and Design Division. (Please see attached RFQ)</t>
  </si>
  <si>
    <t xml:space="preserve"> Republic of the Philippines          City of Dumaguete Bids and Awards Committee INVITATION TO BID FOR PURCHASE REQUEST OF 298 PCS CERAMIC FLOOR TILES 400MM X 400MM AND OTHER ITEMS 	The City of Dumaguete thru its BIDS AND AWARDS COMMITTEE (BAC), invites a</t>
  </si>
  <si>
    <t xml:space="preserve"> Republic of the Philippines						SP		 		Government of Ormoc City						P.R. No.:  	201565	 		BIDS AND AWARDS COMMITTEE						Quotation No.: 	204391-6116	 		Ormoc City						PhilGEPs No.: 		 										 Standard Form Title:			REQUEST FOR QUOTATION							 					</t>
  </si>
  <si>
    <t xml:space="preserve"> ITEM DESCRIPTION / SPECIFICATION 2 Units   Mobilization of drilling unit &amp; all accessories 	 2 Units   Preparation of site and setting-up all	 2 Units   Drilling &amp; Installation of 40ft. 10”ø steel pipe as well protective casing. 2 Units   Drilling &amp; Insta</t>
  </si>
  <si>
    <t xml:space="preserve"> 495 BAG/S PORTLAND CEMENT - with delivery at Municipal Warehouse - Type 1</t>
  </si>
  <si>
    <t xml:space="preserve"> Chariot Vehicle</t>
  </si>
  <si>
    <t xml:space="preserve"> 18	Sacks	Wheat Cereals 140	packs	Brown sugar, 500g 130	packs	Milk, 700g</t>
  </si>
  <si>
    <t xml:space="preserve"> REQUEST FOR QUOTATION (RFQ) Date: June 11, 2020  The Owner/Proprietor _________________ Borongan City Sir: Please quote your price for the items specified below, taking into consideration the following: Name of Project: Repair of Library Building at ESSU </t>
  </si>
  <si>
    <t xml:space="preserve"> Republic of the Philippines BIDS AND AWARDS COMMITTEE Cadiz City      BID DOCUMENTS for the CONCRETING OF ROAD ALLEY @ SO. CAPAYAS, BRGY. SICABA, CADIZ CITY (1) BIDS AND AWARDS COMMITTEE  Cadiz City   INVITATION TO BID/REQUEST FOR EXPRESSION OF INTEREST T</t>
  </si>
  <si>
    <t xml:space="preserve"> Request for Quotation for the Procurement of Chemical and Filtering Supplies to be used in Metarhizium Production 1.	The Department of Agriculture-Regional Field Office 7 (DA-RFO 7), through the General Appropriations Act of CY 2020  intends to apply the </t>
  </si>
  <si>
    <t xml:space="preserve"> Republic of the Philippines						CHO		 		Government of Ormoc City						P.R. No.:  	201396	 		BIDS AND AWARDS COMMITTEE						Quotation No.: 	204387-6114	 		Ormoc City						PhilGEPs No.: 		 										 Standard Form Title:			REQUEST FOR QUOTATION							 				</t>
  </si>
  <si>
    <t xml:space="preserve"> Purchase and Delivery of Various Combi-Roller Blinds with installations</t>
  </si>
  <si>
    <t xml:space="preserve"> 01	1	unit	Photocopier Specs: *20 copies per minute *A3 Max. Scanning &amp; Printing Area *Memory 256 MB *1x250 sheet cassette tray and 1x100 sheets by pass tray *Auto back to back printing *Nothing Follows* You are hereby invited to quote your price on the ar</t>
  </si>
  <si>
    <t xml:space="preserve"> The Local  Government   Unit  of General  Santos  City, through  the  GENERAL FUND CY 2020  intends  to apply  the sum of one hundred nineteen thousand seven hundred sixty five and xx / 100 Pesos Only (119,765.00)   being  the Approved  Budget  for the Co</t>
  </si>
  <si>
    <t xml:space="preserve"> The Roxas City Government, through the GOP-2020 intends to apply the amount of One Million Three Hundred Twenty Thousand Pesos (PhP 1,320,000.00) being the Approved Budget for the Contract (ABC) to payments under the contract for Public Bidding for the Su</t>
  </si>
  <si>
    <t xml:space="preserve"> Fittings</t>
  </si>
  <si>
    <t xml:space="preserve"> RISO CV3230 MASTER COPY 4 BOTTLES RISO CV3230 INK 4 BOTTLES XEROX MACHINE INEO 3350 INK BLACK 6 BOTTLES XEROX MACHINE INEO 3350 INK MAGENTA   2 BOTTLES XEROX MACHINE INEO 3350 INK CYAN  2 BOTTLES XEROX MACHINE INEO 3350 INK YELLOW 2 BOTTLES 1 UNIT TRANSFE</t>
  </si>
  <si>
    <t xml:space="preserve"> QTY./UNIT OF ISSUE/ITEM DESCRIPTION 1 set PRINTER 3in1 *Xerox *Print *Scan 1 set LAPTOP *Intel Core i5-10210u *4GB of DDR4 System Memory-Upfraded up to 20GB of DDR4 *256GB NVMe SSD + 1TB 2.5-inch 5400 RPM *15.6" *NVIDIA DeForce MX230 with 2GB of dedicated</t>
  </si>
  <si>
    <t xml:space="preserve"> Brief Description of the Project		 Quantity	Unit	Item Description 1.00	unit	Rescue Equipment (Manlift)</t>
  </si>
  <si>
    <t xml:space="preserve"> Purchase of Medical Equipment Maripipi, Biliran</t>
  </si>
  <si>
    <t xml:space="preserve"> REQUEST FOR QUOTATION (RFQ) Date: June 11, 2020  The Owner/Proprietor _________________ Borongan City Sir: Please quote your price for the items specified below, taking into consideration the following: Name of Project: Repair of Engineering Building at E</t>
  </si>
  <si>
    <t xml:space="preserve"> INVITATION TO BID Bid No. B-82-2020 (*REBIDDING) 1.	The Provincial Government of Negros Oriental now invites bids for the rebidding of the following requirements, viz: 	Project Name:	Source of Fund:	ABC: Project Name 1	Four (4) Lots Construction Materials</t>
  </si>
  <si>
    <t xml:space="preserve"> 2149	bags	Urea Fertilizer 2329	bags	Complete Fertilizer 6840	bags	Chicken Manure (50kg/bag) 96	pcs	Insecticide 80	pcs	Fungicide ----------------------------------------------------------------------------------------------------------------------------- B</t>
  </si>
  <si>
    <t xml:space="preserve"> The Local Government Unit of Bula is inviting interested PhilGEPS accredited contractors/ suppliers to apply for eligibility and to submit complete bid for the PPLY AND DELIVERY OF MOTOR POOL AND CONSTRUCTION TOOLS under the MMO-GENERAL SERVICES ADMINSTRA</t>
  </si>
  <si>
    <t xml:space="preserve"> Republic of the Philippines Department of Public Works and Highways AGUSAN DEL NORTE DISTRICT ENGINEERING OFFICE REGIONAL OFFICE XIII J. P. Rosales Avenue, Butuan City INVITATION TO BID  The Department of Public Works and Highways Agusan del Norte Distric</t>
  </si>
  <si>
    <t xml:space="preserve"> INVITATION TO BID  1.The Local Government Unit of Barbaza, Antique now invites bids for the Supply and Delivery of Office Equipment (one Unit Split Type Air Conditioning Unit) to be used in the Office of the Municipal Planning &amp; Development Coordinator. D</t>
  </si>
  <si>
    <t xml:space="preserve"> INVITATION TO BID PROVISION OF MEALS AND DRINKING WATER FOR PROJECT SAGIP BATANG SOLVENT (PSBS)  Bid Ref. No. 2020-18 1.	The Philippine Drug Enforcement Agency (PDEA), thru its Bids and Awards Committee (BAC), intends to apply the following sum being the </t>
  </si>
  <si>
    <t xml:space="preserve"> Republic of the Philippines BIDS AND AWARDS COMMITTEE Cadiz City      BID DOCUMENTS for the CONSTRUCTION OF CONCRETE WATER TANK @ BURGOS ELEMENTARY SCHOOL, BRGY. BURGOS, CADIZ CITY (1) BIDS AND AWARDS COMMITTEE  Cadiz City   INVITATION TO BID/REQUEST FOR </t>
  </si>
  <si>
    <t xml:space="preserve"> INVITATION TO BID 1.	Provincial Government of Misamis Oriental, intends to apply the sum stated below being the Approved Budget for the Contract (ABC) to payments under the contract: for the supply and Delivery of Goods. Bids received in excess of the ABC</t>
  </si>
  <si>
    <t xml:space="preserve"> Republic of the Philippines						CHO		 		Government of Ormoc City						P.R. No.:  	201345	 		BIDS AND AWARDS COMMITTEE						Quotation No.: 	204389-6115	 		Ormoc City						PhilGEPs No.: 		 										 Standard Form Title:			REQUEST FOR QUOTATION							 				</t>
  </si>
  <si>
    <t xml:space="preserve"> Republic of the Philippines CITY OF IRIGA BIDS AND AWARDS COMMITTEE May 29, 2020 REQUEST FOR QUOTATION 1. The City of Iriga through the Bids and Awards Committee (BAC) now invites contractors, registered with and classified by the Philippine Contractors A</t>
  </si>
  <si>
    <t xml:space="preserve"> Republic of the Philippines BIDS AND AWARDS COMMITTEE Cadiz City      BID DOCUMENTS for the INSTALLATION OF MOTOR PUMP &amp; WATER SUPPLY PIPELINES @ YEE-ON ELEMENTARY SCHOOL, BRGY. CABAHUG, CADIZ CITY (1) BIDS AND AWARDS COMMITTEE  Cadiz City   INVITATION TO</t>
  </si>
  <si>
    <t xml:space="preserve"> The Local  Government   Unit  of General  Santos  City, through  the  GENERAL FUND CY 2020  intends  to apply  the sum of five hundred thirteen thousand five hundred forty five and xx / 100 Pesos Only (513,545.00)   being  the Approved  Budget  for the Co</t>
  </si>
  <si>
    <t xml:space="preserve"> supplies &amp; materials for fabrication of fiberglass reinforced plastic fish tanks &amp; boats</t>
  </si>
  <si>
    <t xml:space="preserve"> Brief Description of the Project			 Quantity	Unit	Item Description	 		COMMON OFFICE SUPPLIES:	 95	bottle	Alcohol 70% 500ml	 17	bxs.	Ballpen,Pilot- Black	 1	bxs.	Ballpen,Pilot- red	 5	bxs.	Ballpen, Pilot-Blue	 1	bxs.	Ballpen, Pilot-Red	 2	box	Ballpen, Pand</t>
  </si>
  <si>
    <t xml:space="preserve"> 467	bags	Portland Cement	 50	cu.m.	Screened Gravel	 25	cu.m.	Washed Sand	 150	pcs	Deformed Bars, 10mm x 6m	 5	pcs	Deformed Bars, 16mm x 6m	 20	pcs	C-Purlins, 1.2mm x 2" x 4" x 20'	 6	pcs	C-Purlins, 1.2mm x 2" x 3" x 20'	 2	pcs	Flat Bar, 1/4" x 1" x 1" x 2</t>
  </si>
  <si>
    <t xml:space="preserve"> Republic of the Philippines          City of Dumaguete Bids and Awards Committee INVITATION TO BID FOR PURCHASE REQUEST OF 5 CU.M SAND STD. AND SPECS AND OTHER ITEMS 	The City of Dumaguete thru its BIDS AND AWARDS COMMITTEE (BAC), invites all interested m</t>
  </si>
  <si>
    <t xml:space="preserve"> P.R. No. X7-20-02-091 -  Supply and Delivery for the use in the Conduct of Bridge Condition Inspection on July 6-10, 2020. (Pantar Br. &amp; Balo-I Steel Br., LDN 1st) Planning and Design Division. (Please see attached RFQ)</t>
  </si>
  <si>
    <t xml:space="preserve"> RFQ-2020-167		 			 1.	58	gallons	Alcohol (Isoprophyl 70%) 2.	8	boxes	Blood Lancet 200"s 3.	1,024	pcs.	Face Mask (cloth, washable) 4.	100	pcs.	N95 mask 5.	360	pcs.	Goggles 6.	56	boxes	Latex Examination Gloves (L,M) 7.	6	boxes	Sterile Gloves 8.	16	rolls	Pla</t>
  </si>
  <si>
    <t xml:space="preserve"> Republic of the Philippines						GSD		 		Government of Ormoc City						P.R. No.:  	201576	 		BIDS AND AWARDS COMMITTEE						Quotation No.: 	204381-6111	 		Ormoc City						PhilGEPs No.: 		 										 Standard Form Title:			REQUEST FOR QUOTATION							 				</t>
  </si>
  <si>
    <t xml:space="preserve"> assorted construction supplies &amp; materials</t>
  </si>
  <si>
    <t xml:space="preserve"> 1 lot 2020-055, CONSTRUCTION OF DAY CARE CENTER HALL AT LOMOPOG, MIDSAYAP, COTABATO</t>
  </si>
  <si>
    <t xml:space="preserve"> COATING, STAINLESS STEEL 316L Features: * 100% Stainless Steel Filter - designed for the most demanding service to protect against rust and corrosion * Coats in a single pass on most surfaces * Dries quickly to an attractive top - coat finish that resist </t>
  </si>
  <si>
    <t xml:space="preserve"> Purchase and Delivery of Various Electrical Materials</t>
  </si>
  <si>
    <t xml:space="preserve"> Republic of the Philippines Province of Palawan Municipality of Dumaran BIDS AND AWARDS COMMITTEE dum_bacsecretariat@yahoo.com REQUEST FOR QUOTATION (SUPPLY AND DELIVERY OF DIESEL FOR AMBULANCE) _______________________ _______________________ ____________</t>
  </si>
  <si>
    <t xml:space="preserve"> 1.	The Municipal Government of Burgos, Ilocos Norte, through the General Fund intends to apply the sum of PhP2,000,000.00 being the Approved Budget for the Contract (ABC) to payments under the contract for Rehabilitation of Municipal Streets (L. Garcia St</t>
  </si>
  <si>
    <t xml:space="preserve"> Brief Description of the Project			 Quantity	Unit	Item Description	 1.00	lot	Construction &amp; Occupational Health	 1.00	lot	Mobilization	 16.00	cu.m.	Excavation Works	 58.44	cu.m.	Concrete Works	 1.00	lot	Formworks &amp; scaffolds (rental)	 113.76	lm.	Roofing/T</t>
  </si>
  <si>
    <t xml:space="preserve"> PLEASE SEE ATTACHED QUOTATION.</t>
  </si>
  <si>
    <t xml:space="preserve"> Republic of the Philippines ISABELA STATE UNIVERSITY Cabagan, Isabela INVITATION TO APPLY FOR ELIGIBILITY AND TO BID The Isabela State University, through its Bids and Awards Committee is inviting all qualified bidders to apply for eligibility and to bid </t>
  </si>
  <si>
    <t xml:space="preserve"> 1.	The Municipal Government of Burgos, Ilocos Norte, through the 20% Development Fund 2020 intends to apply the sum of PhP1,032,269.20 being the Approved Budget for the Contract (ABC) to payments under the contract for Rehabilitation of Municipal Streets </t>
  </si>
  <si>
    <t xml:space="preserve"> The Philippine Carabao Center at USM through its Bids and Awards Committee (BAC) invites PhilGEPS registered suppliers to apply to bid for the Supply and Delivery of Fuels/Fuel Additives &amp; Lubricants &amp; Anti-Corrosive. Diesel 5500 ltrs Gasoline 350 ltrs Lu</t>
  </si>
  <si>
    <t xml:space="preserve"> Please see attached file (RFQ-20-06-0449) for reference.</t>
  </si>
  <si>
    <t xml:space="preserve"> ITEM	QTY.	UNIT		ARTICLE AND DESCRIPTION				CEILING 			UNIT PRICE		TOTAL  								PRICE					 													 				Office: Manila Traffic and Parking Bureau				PR No. 282					 				Charge to: Other Supplies and Materials Expenses				OBR No. 100-2001-00504					 </t>
  </si>
  <si>
    <t xml:space="preserve"> Manpower Requirement			 I	I.1 SEC-Head Office	Janitor	13	Immediately upon  contract implementation 		Hauler	15	 		Electrician	1	 		Telephone Technician	1	 		Carpenter/Plumber	1	 		Driver	2	 		Supervisor	1	 	I.2  SEC-Legazpi Ext. Office	Janitors  	2	 	I.3 </t>
  </si>
  <si>
    <t xml:space="preserve"> IV. GENERAL CONDITIONS							 								 	1. All quotations must be duly signed by the duly authorized representative.							 	2. All quotations shall be considered as fixed prices and not subject to price escalation during the contract implementation.					</t>
  </si>
  <si>
    <t xml:space="preserve"> Republic of the Philippines Province of Palawan Municipality of Dumaran BIDS AND AWARDS COMMITTEE dum_bacsecretariat@yahoo.com REQUEST FOR QUOTATION (SUPPLY AND DELIVERY OF DIESEL FOR MDRRM RESCUE BOATS- BANTAY DUMARAN) _______________________ ___________</t>
  </si>
  <si>
    <t xml:space="preserve"> Brief Description of the Project		 Quantity	Unit	Item Description 1.00	lot	Construction &amp; Occupational Health 1.00	lot	Mobilization 280.00	cu.m.	Excavation Works 84.00	cu.m.	Stone Masonry</t>
  </si>
  <si>
    <t xml:space="preserve"> Republic of the Philippines													 BUTUAN CITY WATER DISTRICT													 Gov. Jose A. Rosales Avenue, Butuan City													 Tel. Nos. 143 (Hotline) 342-3145/46 (Bayantel)													 Fax No. 341-4298													 				REQUEST FOR PRICE QUOTATIO</t>
  </si>
  <si>
    <t xml:space="preserve"> 60,000	pcs	Cacao seedlings, grafted 1,440	pcs	Calamansi, budded 2,200	pcs	Black pepper seedlings 560	        pcs	Pomelo, budded 400	        kg	Corn Seeds, 1kg foil bag 20	        bag	Pechay 80	        can	Ampalaya 120	        bag	Pole Sitao 160	        ca</t>
  </si>
  <si>
    <t xml:space="preserve"> Purchase of Food Assistance !5 Barangay's Maripipi, Biliran</t>
  </si>
  <si>
    <t xml:space="preserve"> Republic of the Philippines Province of Eastern Samar Municipality of Guiuan Invitation to Bid  for  SUPPLY AND DELIVERY OF MATERIALS FOR PROPOSED BRGY. ROAD CONCRETING AT SITIO CABCAO, BRGY. BUCAO, GUIUAN, EASTERN SAMAR Barangay Bucao of Guiuan,  through</t>
  </si>
  <si>
    <t xml:space="preserve"> Purchase and Delivery of Fruit Tree Seedlings</t>
  </si>
  <si>
    <t xml:space="preserve"> P.R. No. X7-20-04-190 - Supply and Delivery for the use in the Repair and Maintenance of 2008/Hillux 3.0L 4x4 DSL M/T-BM-008/EMD 100/TEMP 100810, Planning and Design Division. (Please see attached RFQ)</t>
  </si>
  <si>
    <t xml:space="preserve"> REQUEST FOR QUOTATION (RFQ) Supply and Delivery of Personalized of CFO Anniversary Polo Shirt The Commission on Filipinos Overseas invites PhilGEPS registered supplier to apply for the eligibility and to quote the lowest price for the Supply and Delivery </t>
  </si>
  <si>
    <t xml:space="preserve"> Please read attached Terms of Reference</t>
  </si>
  <si>
    <t xml:space="preserve"> 1.	The Municipal Government of Burgos, Ilocos Norte, through the 20% Development Fund  intends to apply the sum of PhP2,000,000.00 being the Approved Budget for the Contract (ABC) to payments under the contract for Construction of Flood Control Dike (Biny</t>
  </si>
  <si>
    <t xml:space="preserve"> 1.	The Municipal Government of Burgos, Ilocos Norte, through the 20% Development Fund 2020 intends to apply the sum of PhP1,000,000.00 being the Approved Budget for the Contract (ABC) to payments under the contract for Rehabilitation of Drainage Canals (E</t>
  </si>
  <si>
    <t xml:space="preserve"> 1	unit	Refrigerator (inverter type), side by side ( 912x1780x738, whd) 4	unit	Freezer (Chest type/vertical) 6	unit	Split type aircon inverter 1Hp, AH-XS10UF 2	unit	Dehumidifier</t>
  </si>
  <si>
    <t xml:space="preserve"> The Local  Government   Unit  of General  Santos  City, through  the  GENERAL FUND CY 2020  intends  to apply  the sum of seventy thousand four hundred thirty and 30 / 100 Pesos Only (70,430.30)   being  the Approved  Budget  for the Contract   (ABC) to p</t>
  </si>
  <si>
    <t xml:space="preserve"> Office/Section : 		PR No.:  20-06-0124           		Date:	June 3, 2020 Maintenance		Responsibility Center Code : _________			 Stock/ Property No.	Unit 	Item Description	Quantity	Unit Cost	Total Cost 					 					 	m.t.	Asphalt Plant Mix Hot (Furnished)	 54.9</t>
  </si>
  <si>
    <t xml:space="preserve"> ARTICLE AND DESCRIPTION										 ITEM	QTY.	UNIT						CEILING 			UNIT PRICE			TOTAL  								PRICE						 				Office: Office of the City Accountant				P.R. No. 364						 				Charge to: Office Supplies Expenses				OBR. No. 100-2002-01002						 				 ABC:  Ph</t>
  </si>
  <si>
    <t xml:space="preserve"> 01	Tire, Outer Casing w/ Inner Tube and 12.00 Flap #10.00 - 20,							7	sets	17,000.00 	   20 Ply (India Made), for SINOTRUK HOWO SERIES									 	   POWERTRUCK 290 Dump Truck, DT - 70									 02	  Tire Air Gauge -, for E. Pool							1	pc.	4,500.00 03	El</t>
  </si>
  <si>
    <t xml:space="preserve"> Structural Concrete (ramp &amp; concrete bleacher), Structural Concrete (Columns @ Roof Deck Stair) 20.68Mpa, 28 days, Structural Concrete (Suspended Slab) 20.68Mpa, 28 days (roof deck), Structural Concrete (Beams/Girders) 20.68Mpa, 28 days (roof deck), Reinf</t>
  </si>
  <si>
    <t xml:space="preserve"> Republic of the Philippines BOHOL ISLAND STATE UNIVERSITY Main Campus, Tagbilaran City INVITATION TO BID FOR PR NO. 2020-02-0384-MAIN-SUPPLY AND DELIVERY OF CHEQUE PAPER FOR REGISTRAR’S OFFICE 1.	The Bohol Island State University – Main Campus, Tagbilaran</t>
  </si>
  <si>
    <t xml:space="preserve"> Republic of the Philippines Province of Albay Municipality of Rapu-Rapu Barangay Sta. Barbara INVITATION TO BID FOR THE IMPROVEMENT/REHABILITATION OF WATER SYSTEM 1.	The Barangay Local Government Unit of Sta. Barbara, Rapu-Rapu, Albay, through the Budget </t>
  </si>
  <si>
    <t xml:space="preserve"> Construction of 21 – Unit Multi-Purpose Shed (W=2.0m, L=4.1m, H=2.4m)</t>
  </si>
  <si>
    <t xml:space="preserve"> Republic of the Philippines Department of Health CENTRAL OFFICE BIDS AND AWARDS COMMITTEE Name of the Procuring Entity:  Department of Health Name of the Project: PROCUREMENT OF VARIOUS GOODS SVP No. 2020-028 _____________________________                 </t>
  </si>
  <si>
    <t xml:space="preserve"> Office/Section : 		PR No.:  20-06-0126           		Date:	June 3, 2020 Maintenance		Responsibility Center Code : _________			 Stock/ Property No.	Unit 	Item Description	Quantity	Unit Cost	Total Cost 					 					 	kg.	Tie Wire	 98.38 	 80.00 	 7,870.40  	kg.</t>
  </si>
  <si>
    <t xml:space="preserve"> One hundred twenty (120) number of days Equipment Rental/Lease of Surveying instrument for relocation, subdivision and segregation survey of One hundred eighty two (182) hectares located in Pasil, Balbalan, Pinukpuk, Rizal and Tabuk City, Province of Kali</t>
  </si>
  <si>
    <t xml:space="preserve"> 1 lot 2020-056, CONSTRUCTION OF COVERED COURT AT SITIO BULOD, BARANGAY TUGAL, MIDSAYAP, COTABATO</t>
  </si>
  <si>
    <t xml:space="preserve"> ITEM NO.	UNIT	ITEMS &amp; DESCRIPTION/S		QTY	UNIT	UNIT PRICE 1	unit	Solar inverter, 6 KVA, 48V output with		1	 unit 	 		maximum 10A limited current				 		(ABC Php 80,000.00)				 2	unit	Digital temperature and humidity recorder,		1	unit	 		TDK0302 Model 40 0 C</t>
  </si>
  <si>
    <t xml:space="preserve"> 15 units desktop computer PEO</t>
  </si>
  <si>
    <t xml:space="preserve"> Invitation to Bid for  INFRA 2K20-46 REHABILITATION OF POB. LAKEWOOD – BAKING – DAGUM ROAD Lakewood, Zamboanga del Sur June 10, 2020 1.	The Provincial Government of Zamboanga del Sur, through the CONTINUING CAPITAL OUTLAY CY 2019 (SUPPLEMENTAL BUDGET #4 C</t>
  </si>
  <si>
    <t xml:space="preserve"> REQUEST FOR QUOTATION										 SUPPLY AND DELIVERY OF OFFICE SUPPLIES										 SHOPPING										 										 INSTRUCTION:										               	1.	Supplies are required to read the instructions and fill all the blanks properly.								 	2.	The suppli</t>
  </si>
  <si>
    <t xml:space="preserve"> Lot 1 (Note: Failure of Bidding)									 1	Portland Cement							2	bags	260.00 2	10mm Ø x 6.0m DSB							7.40	kgs.	50.50 3	#16 G.I. Tie Wire							0.50	kgs.	70.00 4	8' x 8' Tarpaulin (w/ print &amp; eyelet)							1	sht	1,050.00 5	Assorted CW Nails							1	kg</t>
  </si>
  <si>
    <t xml:space="preserve"> 1	10	 pcs 	Compact Steering Wheel 2	5	 pcs 	Multi-tester Sanwa 3	2	 unit 	Battery charger ( panther 12-24 volts) 4	20	 set 	Park light ,signal lightd, stop light 5	100	 pcs 	Alligator clip small 6	2	 box 	Flasher 7	2	 pcs 	Steerng gear box 8	10	 roll 	Tap</t>
  </si>
  <si>
    <t xml:space="preserve"> Construction of 210 – Unit  Apartment Type Niches</t>
  </si>
  <si>
    <t xml:space="preserve"> Office/Section : 		PR No.:  20-06-0125           		Date:	June 3, 2020 Maintenance		Responsibility Center Code : _________			 Stock/ Property No.	Unit 	Item Description	Quantity	Unit Cost	Total Cost 					 					 	cu.m.	Aggregate Base Course	 1,086.95 	 460.</t>
  </si>
  <si>
    <t xml:space="preserve"> Location:  Pullaan ABC: Php 2,300,000.00 Cost of Bid Docs: 5,000.00 The Procurement Schedules are as following: 1. Deadline of buying of Bid Docs: June 24, 2020 @ 5:00 PM 2. Deadline for submission of Bid Docs: June 25, 2020 @ 9:00 AM 3. Opening of Bids: </t>
  </si>
  <si>
    <t xml:space="preserve"> Date: June 10, 2020 The MANAGER		Quotation/Bid No. COB-CS-149-20 BONINGS’ TRADING  General Luna St., Naga City	Purpose: Supply/Delivery of Office Supplies and Materials for use of NIA-CAMSUR IMO Office, Naga City (REBID). 	 REQUEST FOR QUOTATION Please qu</t>
  </si>
  <si>
    <t xml:space="preserve"> P.R. No. X7-20-04-191 - Supply and Delivery for tge in Maintenance Montero with plate no. B5G-549, Planning and Design Division. (Please see attached RFQ)</t>
  </si>
  <si>
    <t xml:space="preserve"> Republic of the Philippines BOHOL ISLAND STATE UNIVERSITY Main Campus, Tagbilaran City INVITATION TO BID FOR PR NO. 2020-02-0293-MAIN-SUPPLY, DELIVERY AND INSTALLATION OF LABORATORY EQUIPMENT FOR GARMENTS TECHNOLOGY INSTRUCTION FOR THE COLLEGE OF TEACHER </t>
  </si>
  <si>
    <t xml:space="preserve"> ITEM DESCRIPTION			QTY.	UNIT	APPROVED BUDGET FOR THE CONTRACT (in Peso)			Compliance with the Technical Specification (please check)		OFFER	 										REMARKS      (Price/Others)	 								YES	NO		 Portland Cement			65	bag				[  ]	[  ]		 Washed Sand			6	cu</t>
  </si>
  <si>
    <t xml:space="preserve"> Republic of the Philippines PROVINCE OF ZAMBOANGA SIBUGAY Municipality of Mabuhay Barangay Kauswagan OFFICE OF THE BAC CHAIRMAN INVITATION TO BID                                                                                                              </t>
  </si>
  <si>
    <t xml:space="preserve"> Date: June 10, 2020 The MANAGER		Quotation/Bid No. COB-CS-151-20 NEW PRIMART AUTO SUPPLY Dinaga, Naga City	Purpose: Supply/Delivery of Spare Parts and Tools for use at NIA-THIRIS, Sta. Lucia, Magarao, Camarines Sur  	 REQUEST FOR QUOTATION Please quote yo</t>
  </si>
  <si>
    <t xml:space="preserve"> Republic of the Philippines  Province of Eastern Samar  Municipality of Guiuan    Invitation to Bid for   SUPPLY AND DELIVERY OF 3 UNITS AIR CONDITION 3TR (FLOOR MOUNTED), GUIUAN E. SAMAR 1.	The Local Government Unit of Guiuan through the Capital Outlay  </t>
  </si>
  <si>
    <t xml:space="preserve"> CONSTRUCTION OF 125.00 L.M. DRAINAGE CANAL AND 120. L.M. PERIMETER FENCE</t>
  </si>
  <si>
    <t xml:space="preserve"> 1 unit Satellite Market @ Sitio Sunrise 1.5m flr. area</t>
  </si>
  <si>
    <t xml:space="preserve"> The Philippine Crop Insurance Corporation is inviting interested suppliers to send quotation for the "Supply and Delivery of Anti-Virus Software" described in Annex A of the Request for Quotation. Please order/download Associated Components for the comple</t>
  </si>
  <si>
    <t xml:space="preserve"> Republic of the Philippines Department of Health CENTRAL OFFICE BIDS AND AWARDS COMMITTEE Name of the Procuring Entity:  Department of Health Name of the Project: PROCUREMENT OF VEHICLE TOOLS AND EQUIPMENT SVP No. 2020-036 _____________________________   </t>
  </si>
  <si>
    <t xml:space="preserve"> Pakyaw Labor etc.  NOTE:To all suppliers bid documents  and  BAC Resolution 2020-029 are available at BAC Office and LGU website.</t>
  </si>
  <si>
    <t xml:space="preserve"> 200,000   pcs  Washable Face Mask --------------------------------------------------------------------------------------------------------------------------- Bids received in excess of the ABC shall be automatically rejected during the bid opening. The bi</t>
  </si>
  <si>
    <t xml:space="preserve"> 5 pcs 7.50 x 154x14 PR tires with flap &amp; tube, rough PEO</t>
  </si>
  <si>
    <t xml:space="preserve"> PL - NB BALDO 1 unit Generator (Dynamo 10 KVA) _ Kubato Diesel Engine, RT 140 14Hp, water cooled, direct injection, with tools, manual, stub shaft coupled with dynamo 2 units Heavy duty distribution transformer (20 KVA) rewiring and installation</t>
  </si>
  <si>
    <t xml:space="preserve"> Republic of the Philippines  Department of Education Region IV – A (CALABARZON) Division of Calamba City CAMP VICENTE LIM INTEGRATED SCHOOL Mayapa, Calamba City 												 REQUEST FOR QUOTATION Date	:  JUNE 08, 2020 RFQ No.: 2020-06-0016 PR No.	:  2020-</t>
  </si>
  <si>
    <t xml:space="preserve"> Date: June 10, 2020 The MANAGER		Quotation/Bid No. F501-CS-152-20 JENJAINA CONSTRUCTION &amp; SUPPLY Zone 1, Baras, Canaman, Camarines Sur	Purpose: Supply/Delivery of Construction Materials for use of NIA-THIRIS for SAN FRANCISCO PIS (FAW), Canaman, Camarines</t>
  </si>
  <si>
    <t xml:space="preserve"> For installation of structured cabling system at the new office of Mindanao Station at City Tourism Office, City Hall Complex, Cagayan de oro City Requirements: 1.  Philgeps Registration 2.  BIR Registration (Form 2303) 3.  2020 Mayors permit See attached</t>
  </si>
  <si>
    <t xml:space="preserve"> Republic of the Philippines                   Department of Health	       CENTRAL OFFICE BIDS AND AWARDS COMMITTEE  INVITATION TO BID FOR THE  PROCUREMENT FOR THE RENEWAL OF DOH BLADE CHASSIS AND BLADE SERVERS MAINTENANCE AGREEMENT – REBID  IB NO. 2020-04</t>
  </si>
  <si>
    <t xml:space="preserve"> Republic of the Philippines Province of Albay Municipality of Rapu-Rapu Barangay Sta. Barbara INVITATION TO BID FOR THE CONSTRUCTION OF SEAWALL (PHASE II) 1.	The Barangay Local Government Unit of Sta. Barbara, Rapu-Rapu, Albay, through the Budget for the </t>
  </si>
  <si>
    <t xml:space="preserve"> Republic of the Philippines Department of Health CENTRAL OFFICE BIDS AND AWARDS COMMITTEE Name of the Procuring Entity:  Department of Health Name of the Project: PROCUREMENT OF VEHICLE ELECTRICAL AND MECHANICAL TOOLS  SVP No. 2020-037 ___________________</t>
  </si>
  <si>
    <t xml:space="preserve"> INVITATION TO BID No. IB-2020-VI-30-02 The Municipality of Sibalom through its Bids &amp; Awards Committee (BAC), invites bidders/contractors to apply for eligibility and to bid for the hereunder project: Project           	 		:	Construction Materials (Tordes</t>
  </si>
  <si>
    <t xml:space="preserve"> The Local  Government   Unit  of General  Santos  City, through  the  GENERAL FUND CY 2020  intends  to apply  the sum of one hundred sixty one thousand and xx / 100 Pesos Only (161,000.00)   being  the Approved  Budget  for the Contract   (ABC) to paymen</t>
  </si>
  <si>
    <t xml:space="preserve"> 1.  63  heads Piglets - 2 months old (Duroc/Landrace)  fully vaccinated , healthy piglets &amp; without any abnormalities Requirements:   2020 PhilGeps Registration, Business Permit, Mayors Permit, BAI Certification, Tax Clearance and                         </t>
  </si>
  <si>
    <t xml:space="preserve"> 01	Corner Lamp 12V, for TOYOTA Hi Lux 3L SCN-614							2	pcs.	1,800.00 02	Hydraulic Assembly, for TOYOTA Hi Lux 3L SCN-614							1	pc.	18,000.00 03	Cylinder Head Gasket, for NISSAN Frontier SGK-959							1	pc.	3,500.00 04	Brake Master Assembly, for NISSAN</t>
  </si>
  <si>
    <t xml:space="preserve"> 1 lot Supply and Delivery of Various IT Equipment   ABC: 312,424.12  Breakdown: 2 unit laptops 13.3" maximum Display, touch screen; i7; wt: 1.27kg; latest Office Suite with license keycard 1 unit Desktop core: 8 minimum;threads: 8 minimum; monitor 24" LED</t>
  </si>
  <si>
    <t xml:space="preserve"> INVITATION TO BID No. IB-2020-VI-30-03 The Municipality of Sibalom through its Bids &amp; Awards Committee (BAC), invites bidders/contractors to apply for eligibility and to bid for the hereunder project: Project           	 	:	 Farm to Market Road (Various B</t>
  </si>
  <si>
    <t xml:space="preserve"> Location:  Montabion/Abinuan/ Caba/Pob. South/Tungngod ABC: Php 1,140,000.00 Cost of Bid Docs: 5,000.00 The Procurement Schedules are as following: 1. Deadline of buying of Bid Docs: June 24, 2020 @ 5:00 PM 2. Deadline for submission of Bid Docs: June 25,</t>
  </si>
  <si>
    <t xml:space="preserve"> P.R. No. X7-20-03-184 - Supply and Delivery for the use of Axle Load Survey and Traffic Survey of the Planning and Design Division. (Please see attached RFQ)</t>
  </si>
  <si>
    <t xml:space="preserve"> Republic of the Philippines BOHOL ISLAND STATE UNIVERSITY Main Campus, Tagbilaran City INVITATION TO BID FOR PR NO. 2020-02-0192-MAIN-SUPPLY AND DELIVERY OF AUDIO AND VISUAL EQUIPMENT (TV SETS) FOR INSTRUCTIONAL PURPOSES OF CTAS 1.	The Bohol Island State </t>
  </si>
  <si>
    <t xml:space="preserve"> 250m Sidewalk &amp; Gutter</t>
  </si>
  <si>
    <t xml:space="preserve"> Republic of the Philippines Province of Southern Leyte Municipality of Tomas Oppus Invitation to Bid  PROCUREMENT OF MATERIALS FOR THE CONSTRUCTION OF MULTI-PURPOSE BLDG./EVACUATION CENTER 1.	The Barangay Government of San Isidro, Tomas Oppus, Southern Le</t>
  </si>
  <si>
    <t xml:space="preserve"> 1.	The Carmona Water District hereinafter referred to as the “Purchaser” now requests for submission of price quotation for the procurement of the aforesaid item described in the Technical Specifications. 2.	A set of technical specifications are provided </t>
  </si>
  <si>
    <t xml:space="preserve"> Republic of the Philippines Region XII Province of Cotabato Municipality of Makilala OFFICE OF THE BIDS AND AWARD COMMITTEE REQUEST FOR QUOTATION (Shopping) Date: 	June 11, 2020 Shopping #: 2020-06-103 The MUNICIPALITY OF MAKILALA through its Bids and Awa</t>
  </si>
  <si>
    <t xml:space="preserve"> Portable Multimedia Trolley Speaker</t>
  </si>
  <si>
    <t xml:space="preserve"> INVITATION TO BID No. IB-2020-VI-30-04 The Municipality of Sibalom through its Bids &amp; Awards Committee (BAC), invites bidders/contractors to apply for eligibility and to bid for the hereunder project: Project           	 	:	 Traffic Sign with Stand (SITMO</t>
  </si>
  <si>
    <t xml:space="preserve"> Invitation to Bid for  INFRA 2K20-49 CONCRETING OF BINUAY TO BALUNO ROAD SECTION Dimataling, Zamboanga del Sur June 10, 2020 1.	The Provincial Government of Zamboanga del Sur, through the 20% EDF CY 2020 intends to apply the sum of Nineteen Million Five H</t>
  </si>
  <si>
    <t xml:space="preserve"> The Local  Government   Unit  of General  Santos  City, through  the  GENERAL FUND CY 2020  intends  to apply  the sum of three hundred forty two thousand three hundred seventy two and xx / 100 Pesos Only (342,372.00)   being  the Approved  Budget  for th</t>
  </si>
  <si>
    <t xml:space="preserve"> PLEASE SEE ATTACHED ASSOCIATED COMPONENT</t>
  </si>
  <si>
    <t xml:space="preserve"> Republic of the Philippines CITY GOVERNMENT OF LA CARLOTA BIDS AND AWARDS COMMITTEE OFFICE TEL. NO.  735-1370                                                                                                      	               	         INVITATION TO BID </t>
  </si>
  <si>
    <t xml:space="preserve"> REPAIR/REPAINTING OF OFFICE Supply of labor, materials and technical expertise for the repair/repainting of Office and Operator’s Quarter Scope of Works: 1. Mobilization of materials and equipment 2. Dismantling of dilapidated roofs, trusses and ceiling b</t>
  </si>
  <si>
    <t xml:space="preserve"> I. SUB-GRADE PREPARATION II. PCCP (L = 130m; W = 0.60m; t = 0.10m) A) MATERIALS B) LABOR C) EQUIPMENT RENTAL</t>
  </si>
  <si>
    <t xml:space="preserve"> 1	Monitor 22" (Motorpool &amp; Construction Div.)							2	units	8,000.00 2	Printer 3-n-1, continuous ink system (Motorpool/Public Works)							2.00	units	14,950.00 3	UPS 650V (with built-in automatic voltage regulator)							3	units	3,000.00 4	Mouse w/ pad (m</t>
  </si>
  <si>
    <t xml:space="preserve"> Date: June 10, 2020 The MANAGER		Quotation/Bid No. F501-CS-154-20 WILLPRINT GRAPHICS CENTRE INC. Concepcion, Naga City	Purpose: Supply/Delivery of Advertising Materials for use of Institutional Unit NIA-CSIMO, Naga City 	 REQUEST FOR QUOTATION Please quot</t>
  </si>
  <si>
    <t xml:space="preserve"> Lot 1									 1	Wash Sand							15	cu.m.	750.00 2	 Gravel, Passing 2" Ø sieve							27	cu.m.	850.00 3	Aggregate Base Course (10%=Shrinkage)							17	cu.m.	650.00 										 4	Portland Cement							238	bags	260.00 	Lot 3									 5	Assorted CW Nails 					</t>
  </si>
  <si>
    <t xml:space="preserve"> This project  entails on bus hiring (sweeper team) for use during Covid-19 pandemic emergency response of LGU-Magallanes.</t>
  </si>
  <si>
    <t xml:space="preserve"> Date: June 10, 2020 The MANAGER		Quotation/Bid No. F501-CS-153-20 JENJAINA CONSTRUCTION &amp; SUPPLY Zone 1, Baras, Canaman, Camarines Sur	Purpose: Supply/Delivery of Construction Materials for use of NIA-THIRIS for SAN NICOLAS PIS (FAW), Canaman, Camarines S</t>
  </si>
  <si>
    <t xml:space="preserve"> Republic of the Philippines BOHOL ISLAND STATE UNIVERSITY Main Campus, Tagbilaran City INVITATION TO BID FOR PR NO. 2020-02-0190-MAIN-SUPPLY AND DELIVERY OF HOTEL HOUSEKEEPING INSTRUCTIONAL AND LABORATORY MATERIALS FOR THE COLLEGE OF BUSINESS ARTS AND SCI</t>
  </si>
  <si>
    <t xml:space="preserve"> as per BSP Technical Specifications</t>
  </si>
  <si>
    <t xml:space="preserve"> P.R. No. X11-19-11-609 - Supply and Delivery for the repair and maintenance of Mitsubishi Montero, H1-N/A (B5G 491) assigned at EMD. (Please see attached RFQ)</t>
  </si>
  <si>
    <t xml:space="preserve"> Location:  Cudog/Pob. West/Banga/Pob. North ABC: Php 1,200,000.00 Cost of Bid Docs: 5,000.00 The Procurement Schedules are as following: 1. Deadline of buying of Bid Docs: June 24, 2020 @ 5:00 PM 2. Deadline for submission of Bid Docs: June 25, 2020 @ 9:0</t>
  </si>
  <si>
    <t xml:space="preserve"> Location:  Burnay/Cudog/Montabiong/Pob. North/Buyabuyan ABC: Php 1,100,000.00 Cost of Bid Docs: 5,000.00 The Procurement Schedules are as following: 1. Deadline of buying of Bid Docs: June 24, 2020 @ 5:00 PM 2. Deadline for submission of Bid Docs: June 25</t>
  </si>
  <si>
    <t xml:space="preserve"> REQUEST FOR QUOTATION The Municipal Government of Magsaysay, Palawan, through its Bids and Awards Committee (BAC), will undertake a Small Value Procurement for the “Office Equipment for Isolation Unit” in accordance with Section 53.9 of the Implementing R</t>
  </si>
  <si>
    <t xml:space="preserve"> INVITATION TO BID The City of Bayawan, through its Bids and Awards Committee (BAC), invites suppliers/manufacturers/distributors/contractors to bid for the hereunder projects: 	Lot No. I		Tarpaulin Printing					 1	1	lot	"Labor and Materials ( Tarpaulin Pr</t>
  </si>
  <si>
    <t xml:space="preserve"> Republic of the Philippines					 PROVINCE OF SIQUIJOR					 BIDS &amp; AWARDS COMMITTEE					 Capitol Building, Siquijor, Siquijor					 					 Business Name:_____________________________				AD. No.: 419-06-2020	 Address:___________________________________				DAT</t>
  </si>
  <si>
    <t xml:space="preserve"> 120m concrete pavement</t>
  </si>
  <si>
    <t xml:space="preserve"> INVITATION TO BID No. IB-2020-VI-30-05 The Municipality of Sibalom through its Bids &amp; Awards Committee (BAC), invites bidders/contractors to apply for eligibility and to bid for the hereunder project: Project           	 	:	 Construction of Barangay Healt</t>
  </si>
  <si>
    <t xml:space="preserve"> ITEM	ITEM  DESCRIPTION	QTY	UNIT NO.			 1	Piglets (45 - 65 days)	24	heads</t>
  </si>
  <si>
    <t xml:space="preserve"> 1	4	 unit 	Acer Nitro 5 Ar Asus goal, core i7 dd4 8 gb, HDD 1 tb, 15 inches 2	4	 unit 	Led Smart TV , samsung 65 inches 3840 x 2160 3	1	 unit 	Digital Video Camera, panasonic AG-AC 120 /3" type  3 mos sensor 1920 x 1080 full HD</t>
  </si>
  <si>
    <t xml:space="preserve"> Facilities for Engineer, Other General Requirements, Earthworks, Subbase and Base Course, Surface Courses, Drainage and slope Protection Structures, Miscellaneous Structures</t>
  </si>
  <si>
    <t xml:space="preserve"> SEALED BID NO.:HBAC-A2-2020-06-0724 DATE:       11 June  2020 Gentlemen:	 		 	Please quote your price for item/s indicated below. Price quoted is final, and without condition and inclusive of all taxes. Bid Proposal should be submitted in sealed envelope,</t>
  </si>
  <si>
    <t xml:space="preserve"> 4 units diamond core, drill bit PEO</t>
  </si>
  <si>
    <t xml:space="preserve"> We are looking for a supplier of vehicle battery (9 plates) for more details please see attached request for quotation. Please submit your original quotations on or before closing date in a sealed envelope and or/ e-mailed together with your Business Perm</t>
  </si>
  <si>
    <t xml:space="preserve"> ITEM No. 	DESCRIPTION	UNIT	QUANTITY 1	Antimicrobial, Enrofloxacin injectable 2.5% (Baytril) 50ml expiration date not earlier than 2021	bottle	10 2	Zoletil 50 General Anesthesia (5ml) expiration date not earlier than 2021	bottle	6 3	Alfafer Forte (IronDext</t>
  </si>
  <si>
    <t xml:space="preserve"> INVITATION TO BID INSTALLATION OF TWO (2) UNITS ARTESIAN WELL FOR IRRIGATION SYSTEM (LABOR SERVICES) – 2ND BIDDING 1.	The Local Government Unit of Cabadbaran City through the GENERAL FUND intends to apply the sum of TWO HUNDRED THOUSAND PESOS ONLY (P 200,</t>
  </si>
  <si>
    <t xml:space="preserve"> Republic of the Philippines Region XII Province of Cotabato Municipality of Makilala OFFICE OF THE BIDS AND AWARD COMMITTEE REQUEST FOR QUOTATION (Shopping) 									 Date: June 11, 2020 Shopping#:2020-03-002 The MUNICIPALITY OF MAKILALA through its Bids </t>
  </si>
  <si>
    <t xml:space="preserve"> Purchase of office and school supplies</t>
  </si>
  <si>
    <t xml:space="preserve"> Republika ng Pilipinas PAMAHALAANG LUNGSOD NG TACLOBAN (City Government of Tacloban) Kanhuraw Hill, Tacloban City 6500 BIDS AND AWARDS COMMITTEE INVITATION TO BID  REF #041-06-2020 (JUNE 11, 2020) PR# 2020-647 DATED 05-28-2020 7040183 The Procuring Entity</t>
  </si>
  <si>
    <t xml:space="preserve"> 1	Unit	LAPTOP 		Display :      Retina display  16inch LED-backlit display with IPS technology; 2560‑by‑1600 native resolution at 227 pixels per inch with support for millions of colors  Supported scaled resolutions:    1680 by 1050    1440 by 900    1024 </t>
  </si>
  <si>
    <t xml:space="preserve"> Procurement of Three Hundred Fifty (350) ea Brass Sheet 0.5 mm 4x8 &amp; Six (6) Line Items</t>
  </si>
  <si>
    <t xml:space="preserve"> 375 BAG/S PORTLAND CEMENT - with delivery at Municipal Warehouse - Type 1</t>
  </si>
  <si>
    <t xml:space="preserve"> The Local  Government   Unit  of General  Santos  City, through  the  GENERAL FUND CY 2020  intends  to apply  the sum of nine hundred seventy thousand and xx / 100 Pesos Only (970,000.00)   being  the Approved  Budget  for the Contract   (ABC) to payment</t>
  </si>
  <si>
    <t xml:space="preserve"> 1	Automotive Diesel Fuel							1	lot	484,799.83 	Terms &amp; conditions:									 	    1. The supplier shall start to serve within three (3) days upon receipt of the advice									 	           from the project engineer until the project is completed.								</t>
  </si>
  <si>
    <t xml:space="preserve"> CONSTRUCTION OF SLOPE PROTECTION</t>
  </si>
  <si>
    <t xml:space="preserve"> Project Description: Construction of 1m x 1.0m x 980m Long Drainage Canal with units of 1x1x7m Box Culvert Item No. - Description				Percent of Total	Unit	Quantity 						 						 I		STANDARD BILLBOARD		0.07%	Each	1.00 II		REMOVAL OF EXISTING STRUCTURE		7.7</t>
  </si>
  <si>
    <t xml:space="preserve"> Cylinders: 4-cylinders, L type Valve Mechanism: 16-valve DOHC Displacement: 2,982cc Maximum output: 136/3,400 Ps/Rpm Maximum torque: 300/1,200-2,400 Nm/Rpm Bore &amp; stroke: 92.0 x 103.0 mm Fuel system: Common-rail type Emission standard: Euro 4 Overall leng</t>
  </si>
  <si>
    <t xml:space="preserve"> Complete line of pasteurization, Homogenization equipment with rated capacity of 3,500 liters per day 	Provision of Warehouse/area where milk pouches can be stored 	Provision of area where additional equipment may be installed 	Plant must have license-to-</t>
  </si>
  <si>
    <t xml:space="preserve"> 1	Piston Repair Kit S4881152	1	pcs 2	Neck Repair Kit S4881152	1	pcs 3	Repair Kit S4880730	4	pcs 4	Repair Kit S4881007	1	pcs 5	Neck Repair Kit S4891005	1	pcs 6	Neck Repair Kit S4890960	1	pcs 7	Neck Repair Kit S4890900	2	pcs 8	Repair Kit S4880830	2	pcs 9	Re</t>
  </si>
  <si>
    <t xml:space="preserve"> The Local  Government   Unit  of General  Santos  City, through  the  GENERAL FUND CY 2020  intends  to apply  the sum of three hundred seventy four thousand eight hundred twenty and xx / 100 Pesos Only (374,820.00)   being  the Approved  Budget  for the </t>
  </si>
  <si>
    <t xml:space="preserve"> Area = 648 sq. m., 324m L</t>
  </si>
  <si>
    <t xml:space="preserve"> Portable label printer   1 Unit Standalone handheld model that can print font Sizes 6 Dimensions (W x D x H) 110 x 170 x 66 mm Weight 0.41kg Tape Type: LK Tape Cartridges Width 6, 9, 12, 18 mm Vertical Printing Yes Mirror Printing Vee Barcode Printing Yes</t>
  </si>
  <si>
    <t xml:space="preserve"> INVITATION TO BID No. IB-2020-VI-30-06 The Municipality of Sibalom through its Bids &amp; Awards Committee (BAC), invites bidders/contractors to apply for eligibility and to bid for the hereunder project: Project           	 	:	 Construction of Barangay Healt</t>
  </si>
  <si>
    <t xml:space="preserve"> Procurement of Multifunction Inkjet Printer 7 pc Multifunction Inkjet Printer Print Resolution of 5,760 x 1,440 dpi Print speed of 133 ppm mono, 15 ppm Print speed of up to 9.2 ipm mono, 4.5 Copy speed of 5 secs/copy (B&amp;W), 10 Scan resolution of up to 600</t>
  </si>
  <si>
    <t xml:space="preserve"> Supply and Delivery of the following materials: 1.) ANGLE BAR, 2``X2``X1/4`` - 45 pcs. 2.) FLAT BAR, 3``X1/4``,STD - 15 pcs. 3.) ROUND BAR, 1/2`` DIAMETER, PLAIN - 25 pcs. 4.) BOLTS &amp; NUTS W/ PLAIN &amp; LOCK WASHER, 1/2``X 2``,US - 170 sets 5.) BOLTS &amp; NUTS </t>
  </si>
  <si>
    <t xml:space="preserve"> INVITATION TO BID INSTALLATION OF STREET LIGHTS ALONG SANGHAN - ANTONIO LUNA PROVINCIAL ROAD IN BARANGAY SANGHAN, CABADBARAN CITY - 2ND BIDDING 1.	The Local Government Unit of Cabadbaran City through the PEACE &amp; ORDER FUND under EO 70 ELCAC IMPLEMENTATION</t>
  </si>
  <si>
    <t xml:space="preserve"> LOT 1									 01	Track Shoe Bolt w/ Nut, for BIG YELLOW YC230LC-8							200	pcs.	290.00 	Backhoe EX-11									 										 										 										 	Note:									 	1.0 The interested supplier must see the Provincial Engineer's									 	      Office thru t</t>
  </si>
  <si>
    <t xml:space="preserve"> Republic of the Philippines Province of Pangasinan BIDS AND AWARDS COMMITTEE Municipality of Calasiao INVITATION TO BID FOR  CONSTRUCTION OF LAUNDRY AREA WITH PLACENTA PIT, VAULT SLAB AND DRAINAGE OF BIRTHING AND NEW CALASIAO MUNICIPAL HEALTH CLINIC, AT C</t>
  </si>
  <si>
    <t xml:space="preserve"> Procurement of One (1) Lot Meals Only</t>
  </si>
  <si>
    <t xml:space="preserve"> Republic of the Philippines WESTERN PHILIPPINES UNIVERSITY          A STRONG PARTNER FOR SUSTAINABLE DEVELOPMENT BIDS AND AWARDS COMMITTEE Invitation to Bid for Supply, Delivery and Installation of Digital Speech Laboratory The Western Philippines Univers</t>
  </si>
  <si>
    <t xml:space="preserve"> INVITATION TO BID No. IB-2020-VI-30-07 The Municipality of Sibalom through its Bids &amp; Awards Committee (BAC), invites bidders/contractors to apply for eligibility and to bid for the hereunder project: Project           	 	:	 Construction of Barangay Healt</t>
  </si>
  <si>
    <t xml:space="preserve"> Republic of the Philippines Department of Health Central Luzon Center for Health Development Talavera General Hospital Talavera, Nueva Ecija    ISO QMS Certified INVITATION TO BID  Re-Bidding of Supply and Delivery of One (1) Lot Various Engineering and M</t>
  </si>
  <si>
    <t xml:space="preserve"> Facilities for Engineer, Other General Requirements, Earthworks, Subbase and Base Course, Surface Courses, Drainage and Slope Protection Structures, Miscellaneous Structures</t>
  </si>
  <si>
    <t xml:space="preserve"> Invitation to Bid for  INFRA 2K20-50 CONCRETING OF ROAD FROM JOSEFINA TO BALINTAWAK, MARGOSATUBIG (PHASE I) Margosatubig, Zamboanga del Sur June 10, 2020 1.	The Provincial Government of Zamboanga del Sur, through the 20% EDF CY 2020 intends to apply the s</t>
  </si>
  <si>
    <t xml:space="preserve"> BROADCAST TRANSMITTERS (150W) with CONSOLE AND PERIPHERALS.  Broadcast must be audible to nearby towns of Laoag City and whole of Laoag City as well.</t>
  </si>
  <si>
    <t xml:space="preserve"> 1	30	pcs	2"x2"x12' lumber		 2	30	pcs	2"x4"x12' lumber		 3	20	pcs	2"x3"x12' lumber		 4	10	pcs	1/2"x10"x8' Cenepa hardiflex		 5	6	pcs	#50 pre coated spanish flashing		 6	12	pcs	#50 pre coated spanish type gutter		 7	16	pcs	1/4" thick marine plywood		 8	2	kg</t>
  </si>
  <si>
    <t xml:space="preserve"> Republic of the Philippines Region XII Province of Cotabato Municipality of Makilala OFFICE OF THE BIDS AND AWARD COMMITTEE REQUEST FOR QUOTATION (Small Value Procurement) Date: June 11, 2020 SVP # 2020-03-002 The MUNICIPALITY OF MAKILALA through its Bids</t>
  </si>
  <si>
    <t xml:space="preserve"> Request for Quotation for the Procurement of 20 Units Knapsack Sprayer Stainless Steel to be used for the Management and Control of Fall Armyworm (FAW) Infestation 1.	The Department of Agriculture-Regional Field Office 7 (DA-RFO 7), through the General Ap</t>
  </si>
  <si>
    <t xml:space="preserve"> 1 set CCTV PEO</t>
  </si>
  <si>
    <t xml:space="preserve"> 70% Isopropyl Alcohol  - 1 liter 		70	bottle Chlorine		   	                        20	kilo Disinfectant Spray - 340 ml			20	bottle Disposable Gloves - 50pcs			10	box Liquid Disinfectant - 1 liter			26	piece Liquid Handwashing Soap-200ml		70	bottle 3 ply S</t>
  </si>
  <si>
    <t xml:space="preserve"> Republic of the Philippines MUNICIPALITY OF BUENAVISTA INVITATION TO BID FOR SUPPLY AND DELIVERY OF MATERIALS FOR IMPROVEMENT OF YOOK HEALTH CENTER   1.	The Local Government Unit of Buenavista, Marinduque through the fund from 20 Development Fund CY 2020 </t>
  </si>
  <si>
    <t xml:space="preserve"> 1. The total approved budget for the contract for the SUPPLY AND DELIVERY OF ASSORTED uPVC PIPES is PhP 207,000.00 2. Price quotations must include all taxes, duties, and/or levies payable and must be valid for 30 days. 3. Suppliers must specify the BRAND</t>
  </si>
  <si>
    <t xml:space="preserve"> Location: LGU-Lagawe ABC: Php 310,632.00 Cost of Bid Docs: 500.00 The Procurement Schedules are as following: 1. Deadline of buying of Bid Docs: June 24, 2020 @ 5:00 PM 2. Deadline for submission of Bid Docs: June 25, 2020 @ 9:00 AM 3. Opening of Bids: Ju</t>
  </si>
  <si>
    <t xml:space="preserve"> BAC RESOLUTION NO. 312-2020 “A RESOLUTION DECLARING FAILURE OF BIDDING AND RECOMMEND FOR ALTERNATIVE MODE OF PROCUREMENT” WHEREAS, the Bids and Awards Committee (BAC) thru the Secretariat published in PhilGEPS and in any conspicuous places the purchase of</t>
  </si>
  <si>
    <t xml:space="preserve"> 30 units Fabrication of Light trap Note: Please attach legal documents and updated PhilGEPS Certificate, failure to submit your bid documents will not be considered for the opening by the BAC. Please refer to RA 9184-GPPB Revised IRR Series of 2016 Append</t>
  </si>
  <si>
    <t xml:space="preserve"> Construction of Flood Control Structures along Zapote River and its Tributaries</t>
  </si>
  <si>
    <t xml:space="preserve"> Kindly see attached documents</t>
  </si>
  <si>
    <t xml:space="preserve"> 60ft TOWER from the Roof Deck, Monopole Sectional, G.I. sched. 40, 3 Guying Points. Can withstand 120kph to 150kph max. wind speed.</t>
  </si>
  <si>
    <t xml:space="preserve"> Standard Form Number: SF-GOOD-60 Revised on: May 24, 2004 Standard Form Title: Request for Quotation Republic of the Philippines Provincial Government of South Cotabato BIDS AND AWARDS COMMITTEE Capitol Compound, Alunan Avenue, City of Koronadal Tel. No. </t>
  </si>
  <si>
    <t xml:space="preserve"> Lot 1- Various Const. Materials									 1	Portland Cement 							476	bags	260.00 										 										 	Lot 2- Various Const. Materials									 1	Washed Sand							50	cu.m.	750.00 2	Aggregate Base Course							91	cu.m.	650.00 3	Gravel							52	cu.m.	850</t>
  </si>
  <si>
    <t xml:space="preserve"> The Department of Agriculture-RFO 3, invites interested suppliers to submit quotations/proposals for the hereunder requirement, to wit: 6	unit	GEOTAGGING DEVICE	 		Android	 		Nano SIM, Singe SIM, Dual SIM, Dual Standby	 		Octa-core	 		2x2.27 GHz Cortez - </t>
  </si>
  <si>
    <t xml:space="preserve"> 30 pcs hp ink 680 black 25 pcs hp ink 680 colored 15 pcs canon pixma ink, 57 color 20 pcs canon pixma ink,  47 black 10 pcs EPSON ink for L360 black 10 cart Toner Cartridge 79A</t>
  </si>
  <si>
    <t xml:space="preserve"> Establishment of Water System and Repair &amp; Improvement of Entrance Gate &amp; Guard House for JRMSU-Tampilisan Campus</t>
  </si>
  <si>
    <t xml:space="preserve"> LOT 1									 1	Diesel For E. POOL							1		165,000.00 2	Gasoline, Unleaded , for E. Pool							1		12,000.00 										 	Terms and Condition									 	For Diesel and ( Unleaded) Gasoline Fuels									 	1. These Items Shall be stocked at the Gasoline Sta</t>
  </si>
  <si>
    <t xml:space="preserve"> We are looking for a supplier for repair and maintenance materials of BWD Vehicle , for more details please see attached request for quotation. Please submit your original quotations on or before closing date in a sealed envelope, and or e-mailed together</t>
  </si>
  <si>
    <t xml:space="preserve"> The Local  Government   Unit  of General  Santos  City, through  the  GENERAL FUND CY 2020  intends  to apply  the sum of eight hundred four thousand twenty three and 44 / 100 Pesos Only (804,023.44)   being  the Approved  Budget  for the Contract   (ABC)</t>
  </si>
  <si>
    <t xml:space="preserve"> Lot 1: Construction Materials									 1	Portland Cement							43	bags	250.00 2	12 mmø x 6.0m def. bars (5.34kgs/L)							160.20	kgs	45.00 3	10 mmø x 6.0m def. bars (3.72kgs/L)							234.36	kgs	45.00 4	#16 G.I. tie wire							8	kgs	85.00 5	Angular Bar, 6m</t>
  </si>
  <si>
    <t xml:space="preserve"> Procurement of furnitures for use in various offices, DPWH, Negros Occidental 3rd District Engineering Office, Kabankalan City. 1.	The DPWH Negros Occidental 3rd District Engineering Office, Kabankalan City through the FY 2020 EAO intends to apply the sum</t>
  </si>
  <si>
    <t xml:space="preserve"> BIDS AND AWARDS COMMITTEE-B REQUEST FOR QUOTATION (SMALL VALUE PROCUREMENT) RFQ NO. 2020-06-069    The Rizal Medical Center through its Bids and Awards Committee-B (BAC-B), hereby invites all interested suppliers or distributors registered with the Philip</t>
  </si>
  <si>
    <t xml:space="preserve"> 1	Unit 	PROJECTOR 		Projection System :    3LCD Technology, RGB liquid crystal shutter 		LCD Panel :    0.55 inch with MLA (D10) 		Image :     		Colour Light Output :    3,600 Lumen- 2,235 Lumen (economy) In accordance with IDMS15.4 		White Light Output :</t>
  </si>
  <si>
    <t xml:space="preserve"> Republic of the Philippines						GSD		 		Government of Ormoc City						P.R. No.:  	201518	 		BIDS AND AWARDS COMMITTEE						Quotation No.: 	204385-6113	 		Ormoc City						PhilGEPs No.: 		 										 Standard Form Title:			REQUEST FOR QUOTATION							 				</t>
  </si>
  <si>
    <t xml:space="preserve"> Demolition of existing wall and window, structure excavation, concrete works with reinforcement  for footing, wall footing, column and concrete pouring for slab, masonry works for right side-window, rear side, installation of structural steel for roof fra</t>
  </si>
  <si>
    <t xml:space="preserve"> Republic of the Philippines Province of Lanao del Norte Municipality of Tubod OFFICE OF THE BIDS AND AWARDS COMMITTEE INVITATION TO BID CONSTRUCTION/CONCRETING OF 270 LN. M. LOCAL ACCESS ROAD   Purok 5, TCES, Poblacion, Tubod, Lanao del Norte  (ITB-2020-J</t>
  </si>
  <si>
    <t xml:space="preserve"> Request for Quotation for the Procurement of Agricultural Supplies to be used in Metarhizium Production 1.	The Department of Agriculture-Regional Field Office 7 (DA-RFO 7), through the General Appropriations Act of CY 2020  intends to apply the sum of One</t>
  </si>
  <si>
    <t xml:space="preserve"> Surplus Common Excavation, Structure Excavation (Common Soil), Embankment from Roadway Excavation, Subgrade Preparation (Common Material), Aggregate Sub-base Course, (20 cm. thk.), Portland Cement Concrete Pavement (unreinforced, 0.15m thick, 14 days), Co</t>
  </si>
  <si>
    <t xml:space="preserve"> Please download ITB in the Associated Components</t>
  </si>
  <si>
    <t xml:space="preserve"> To All Eligible Suppliers; Please quote your lowest price on the item listed below subject to the General Conditions stated herein and submit the same to the Office of the BAC-Secretariat on or before June 23, 2020 at 10:00 o'clock in the morning. (SGD) W</t>
  </si>
  <si>
    <t xml:space="preserve"> The Local  Government   Unit  of General  Santos  City, through  the  GENERAL FUND CY 2020  intends  to apply  the sum of two hundred forty one thousand four hundred forty and xx / 100 Pesos Only (241,440.00)   being  the Approved  Budget  for the Contrac</t>
  </si>
  <si>
    <t xml:space="preserve"> Project Description: Construction of 380m x 6m Item No. - Description				Percent of Total	Unit	Quantity 						 						 I	BILLBOARDS/SIGNAGES			0.07%	lot	1.00 II	 CLEARING AND GRUBBING 			2.99%	sq.m	2,660.00 III	 EMBANKMENT 			22.85%	cu.m	2,432.00 IV	 AGGRE</t>
  </si>
  <si>
    <t xml:space="preserve"> INVITATION TO BID No. IB-2020-VI-30-08 The Municipality of Sibalom through its Bids &amp; Awards Committee (BAC), invites bidders/contractors to apply for eligibility and to bid for the hereunder project: Project           	 	:	 Construction of Barangay Healt</t>
  </si>
  <si>
    <t xml:space="preserve"> The Government of the Philippines (GOP) has received a loan from World Bank towards the cost of Philippine Rural Development Project, and it intends to apply part of the proceeds of this Loan to payments for the procurement of Consumables/Ink/Toner Intend</t>
  </si>
  <si>
    <t xml:space="preserve"> Republic of the Philippines Province of Misamis Oriental Municipality of Lugait -oOo- INVITATION TO BID FOR THE PROCUREMENT OF 1-UNIT BRAND NEW GOVERNMENT VEHICLE (AMBULANCE TYPE) FOR THE USE OF LOCAL GOVERNMMENT UNIT OF LUGAIT, MISAMIS ORIENTAL. The Muni</t>
  </si>
  <si>
    <t xml:space="preserve"> Smartphone, Realme 6, storage: 128gb, RAM: 8gb, Display Android Smartphone</t>
  </si>
  <si>
    <t xml:space="preserve"> Three Wheels (Swivel) Trailer type Platform Trolley: Dimension; Depth:75cm; Length:90cm; Height: 30 cm Weighing Scale: Digital; High Precision balance; Food Grade; Capacity &amp; Graduation: 150g x 0.001g Stock Pot: Stainless Steel; 41 quarts</t>
  </si>
  <si>
    <t xml:space="preserve"> 40	pcs	SOLID STATE DRIVE (SSD)  		Desired Technical Specification  		Interface : SATA 6 Gb/ s Interface  		Capacity: 250Gb 		Sequencial Read: 550 MB/ s 		Sequencial Write: 520 MB/ s 		Random Read read up to IOPS: 95K 		Random Write read up to IOPS: 81K 		</t>
  </si>
  <si>
    <t xml:space="preserve"> TO PURCHASE SOLAR PANEL TO BE USE AS  ELECTRICITY SOURCE OF BRGY. MULTIPURPOSE HALL..</t>
  </si>
  <si>
    <t xml:space="preserve"> PROCUREMENT OF TWO (2) UNITS MOTORCYCLE FOR ENFORCEMENT. OFF ROAD SPORTS MOTORCYCLE ENGINE TYPE: AIR COOLED, 4-STROKE, SOHC, 2-VALVE ENGINE DISPLACEMENT NOT EXCEEDING 200 CC TIRE SIZE: 80/90-21, 110/80-18 WITH COMPLETE ACCESSORIES WITH LTO REGISTRATION WI</t>
  </si>
  <si>
    <t xml:space="preserve"> NEGOTIATED PROCUREMENT TWO FAILED BIDDING TITLE: PROCUREMENT OF BUS LOCATION: SUAL, PANGASINAN Technical Specifications:         Over all length: 11260 Over all width: 2550 Over all height: 3670 Engine position: rear engine Wheel base: 5590 Engine type: d</t>
  </si>
  <si>
    <t xml:space="preserve"> REQUEST FOR QUOTATIONS Supply and Delivery of Office Supplies and Computer Supplies for BUGS Registrar’s Office The Bicol University, through the Corporate Budget for the contract approved by the Board of Regents intends to apply the sum of One Hundred Fi</t>
  </si>
  <si>
    <t xml:space="preserve"> Supply of Labor and Materials for Rehabilitation / Restoration of Kalayaan Hall Exterior</t>
  </si>
  <si>
    <t xml:space="preserve"> Name of Contract: Concreting of Pal-ew-Sto. Niño Road, Barangay Pal-ew (Additional Allocation) and Concreting of Sto. Niño-Pal-ew Road, Barangay Sto. Niño (Additional Allocation) IAC Classification: Small "B" for Roads PCAB Category "D" Duration: 90 Calen</t>
  </si>
  <si>
    <t xml:space="preserve"> The Local Government Unit (LGU) of Bamban, Tarlac, through its Bids and Awards Committee (BAC), will undertake Shopping Procurement for the "FURNISHING AND DELIVERY OF CONSTRUCTION MATERIALS”, in accordance with Section 52.1(b) of the Implementing Rules a</t>
  </si>
  <si>
    <t xml:space="preserve"> Description   Section I Republic of the Philippines Province of Sarangani Municipality of Maitum OFFICE OF BIDS AND AWARDS COMMITTEE Invitation to Bid for Vehicle Parts for Repair and Maintenance of Light Vehicle 1. The Local Government of Maitum, through</t>
  </si>
  <si>
    <t xml:space="preserve"> Republic of the Philippines Province of Cagayan Municipality of Sta. Praxedes BIDS AND AWARDS COMMITTEE	 Invitation to Bid Supply and Delivery of Construction Materials for the Slope Protection @ Star Village Barangay Cadongdongan ITB – Goods – 2020 -06-0</t>
  </si>
  <si>
    <t xml:space="preserve"> 1	Tire  Outer Casing with inner Tube and Flap # 10.00 -20							7	sets	17,000.00 	20 ply LT, HOWO PowerTruck 290 Dumptruck DT-63									 										 										 	Note:									 	1.0 The interested supplier must see the Provincial Engineer's									 	     </t>
  </si>
  <si>
    <t xml:space="preserve"> Item No.	Qty	Unit	Article / Description 1	1	lot	"Internet Installation  - ladderized pole ranging 100ft.or more depending on the requirement of the location for 28 public schools - WIFI ready (Labor and Materials and Maintenance after sales included)"</t>
  </si>
  <si>
    <t xml:space="preserve"> Request for Quotation for the Procurement of Agricultural Supplies to be used in Trichogramma Production 1.	The Department of Agriculture-Regional Field Office 7 (DA-RFO 7), through the General Appropriations Act of CY 2020  intends to apply the sum of Fi</t>
  </si>
  <si>
    <t xml:space="preserve"> Lot 1 Various Const. Materials									 1	Sand							10	cu.m.	550.00 2	Gravel							9.50	cu.m.	650.00 3	Boulders (30-70 kg.)							72	cu.m.	600.00 	Lot 2 Const. Materials									 4	Portland Cement							116	bags	260.00 	Lot 3 Various Const. Materials				</t>
  </si>
  <si>
    <t xml:space="preserve"> CCTV with 5 HD infrared/waterproof camera heavy duty wire and 42'' Led TV Monitor</t>
  </si>
  <si>
    <t xml:space="preserve"> QUOTATION FORM For Negotiated Procurement due to Two-Failed Bidding Registered Name  of Establishment:		Date: Mode of Procurement:	June 10, 2020 Negotiated Procurement (Two-Failed Bidding) Address: 		Quotation No.	TFB-2020-004Recanvass Contact No.		PR No.</t>
  </si>
  <si>
    <t xml:space="preserve"> NEGOTIATED PROCUREMENT TWO FAILED BIDDING TITLE: PROCUREMENT OF RESCUE TRUCK LOCATION: SUAL, PANGASINAN Technical Specifications: (4x4 Truck) Specifications: Type: 5 ton Mass: 9990 kg Length: 8.43m Width: 2.46m Height: 3.07m Engine: 240hp (180kw) Transmis</t>
  </si>
  <si>
    <t xml:space="preserve"> 1.	The Local Government Unit (LGU) of Aroroy, through its Supplemental Budget No. 05 - 2020 to apply the sum of Php 2,000,000.00 being the Approved Budget for the Contract (ABC) to payments under the contract for Supply and Delivery of Supplies/Materials </t>
  </si>
  <si>
    <t xml:space="preserve"> Construction of Multipurpose Building with a floor area of 7.00m x8.00m consist of the following scope of works;Plastering Works; Painting works for all elevation including parapet walls and ceiling; Fabrication and installation of Doors and Windows; as p</t>
  </si>
  <si>
    <t xml:space="preserve"> I. STRUCTURE EXCAVATION, MANUAL				 II. STRUCTURE BACKFILL, MANUAL				 III. CLASS A CONCRETE				 IV. RUBBLE MASONRY				 V. 2" DIAMETER PERFORATED PIPE W/ END CUP				 VI. FILTER DRAIN				 VII. REINFORCING STEEL BARS				 FURNISHING &amp; STOCKPILING				 CUT, BE</t>
  </si>
  <si>
    <t xml:space="preserve"> Notice for Negotiated Procurement 4,167 liters   Diesel Fuel</t>
  </si>
  <si>
    <t xml:space="preserve"> Republic of the Philippines Province of Samar  Municipality of Jiabong INVITATION TO BID FOR  CONSTRUCTION  OF PERIMETER FENCE OF NATIONAL CHILD DEVELOPMENT CENTER Jiab-2020-20A 1.	The Municipal Government of Jiabong, Samar, intends to apply the sum of ON</t>
  </si>
  <si>
    <t xml:space="preserve"> INVITATION TO BID No. IB-2020-VI-30-10 The Municipality of Sibalom through its Bids &amp; Awards Committee (BAC), invites bidders/contractors to apply for eligibility and to bid for the hereunder project: Project           	 		:	Construction Materials (Egana </t>
  </si>
  <si>
    <t xml:space="preserve"> Republic of the Philippines Province of Misamis Oriental Municipality of Lugait -oOo- PROCUREMENT OF OFFICE FURNITURE ADDITIONAL (OFFICE TABLES, CABINET &amp; CHAIRS), DELIVERY AND INSTALLATION FOR THE USE OF LOCAL GOVERNMMENT UNIT OF LUGAIT, MISAMIS ORIENTAL</t>
  </si>
  <si>
    <t xml:space="preserve"> QUOTATION FORM For Negotiated Procurement due to Two-Failed Bidding Registered Name  of Establishment:		Date: Mode of Procurement:	June 10, 2020 Negotiated Procurement (Two-Failed Bidding) Address: 		Quotation No.	TFB-2020-003Recanvass Contact No.		PR No.</t>
  </si>
  <si>
    <t xml:space="preserve"> 1.	The Local Government Unit of Aroroy, through its Annual Budget (20% DF)  intends to apply the sum of Php 500,000.00 being the Approved Budget for the Contract (ABC) to payments under the contract for Expansion of Pier at Brgy. Amotag.  Bids received in</t>
  </si>
  <si>
    <t xml:space="preserve"> Procurement of Services and Provision of One Hundred Twenty-Five (125) Units Brand New Multi-Function Printers (MFP) for the Printing and Photocopying Requirements of Various OP Offices for FY 2020</t>
  </si>
  <si>
    <t xml:space="preserve"> Gift Set in Plastic Pouch of  1 Alcohol, 1 Hand Sanitizer and 1 Liquid Hand Soap; 100 ml each in plastic bottles; with customized labels on pouch and bottles.</t>
  </si>
  <si>
    <t xml:space="preserve"> Supply &amp; Delivery: 10,000 pcs. Plastic, transparent, 40 Height × 40 Length</t>
  </si>
  <si>
    <t xml:space="preserve"> Project Description: Re-Blocking of 6 x 538m Las Navas Municipal Road Item No. - Description				Percent of Total	Unit	Quantity 						 						 I	BILLBOARDS/SIGNAGES			0.07%	lot	1.00 II	 Removal of Existing Structure 			11.52%	sq.m	3,228.00 III	 BASE PREPARA</t>
  </si>
  <si>
    <t xml:space="preserve"> Invitation to Bid for QRF2020-RVI-022-ILOILO-B1-L1 ITB No. 007 The Department of Education (DepED) Schools Division of Iloilo, through the CY 2020 Quick Response Fund (QRF), intends to apply the sum Five Million Eighty Eight Thousand Eight Hundred Twenty </t>
  </si>
  <si>
    <t xml:space="preserve"> Republic of the Philippines Province of Davao Oriental City of Mati BIDS &amp; AWARDS COMMITTEE INVITATION TO BID LOT Procurement of AIR CONDITIONERS for the Use of DOPH Gov. Generoso SOURCE OF FUND: GF-CAPITAL OUTLAY [4421-4-300-5-02-13-050] 1.	The Provincia</t>
  </si>
  <si>
    <t xml:space="preserve"> The Department of Education, Schools Division of Puerto Princesa Bids and Awards Committee through the FY 2020  General Appropriation Act intends to apply the sum of One Million Seven Hundred Seventy Seven Thousand Six Hundred Thirteen Pesos and 88/100 On</t>
  </si>
  <si>
    <t xml:space="preserve"> 122 pcs - 110 mm diameter  uPVC, Class 150, S80 10 pcs - 90 mm diameter  uPVC, Class 150, S80 11 rolls - 75 mm diameter ( 2 1/2" ) HDPE Pipe SDR 11 with free 5 kg of Pipe disinfectant as per specification below: Chlorine granule Chemical name: Sodium Dich</t>
  </si>
  <si>
    <t xml:space="preserve"> supply and delivery of one unit Dosing Pump with accessories, EMEC, K CL PLUS (Constant Dosing System with level control)</t>
  </si>
  <si>
    <t xml:space="preserve"> Name of Contract: Concreting of Road Leading to Jacinto Aguilar M/S Barangay Tugas, Concreting of Road Leading to Buyao-Tugas and Concreting of Road Sito Canlibot, Barangay Tugas IAC Classification: Small "B" for Roads PCAB Category "D" Duration: 90 Calen</t>
  </si>
  <si>
    <t xml:space="preserve"> Invitation to Bid for QRF2020-RVI-022-ILOILO-B1-L2 ITB No. 008 The Department of Education (DepED) Schools Division of Iloilo, through the CY 2020 Quick Response Fund (QRF), intends to apply the sum Five Million One Hundred Sixty Two Thousand Four Hundred</t>
  </si>
  <si>
    <t xml:space="preserve"> Republic of the Philippines PROVINCE OF ALBAY 				   Municipality of Rapu-Rapu Invitation to Bid for  Local Access Road in Poblacion to Guadalupe  1.	The Local Government Units of Rapu-Rapu, Albay through the Approved 2019 LGSF-Assistance to the Municipal</t>
  </si>
  <si>
    <t xml:space="preserve"> see associated component</t>
  </si>
  <si>
    <t xml:space="preserve"> CONCRETING OF BARANGAY GUINGUINABANG FMR Contract Location:                     Barangay Guinguinabang, Lacub, Abra Brief Description:                     Concreting of Road using PCCP (Unreinforced, 0.20m thk.) The DPWH-Abra District Engineering Office r</t>
  </si>
  <si>
    <t xml:space="preserve"> QUOTATION - OPEN CANVASS: Please accomplish the official canvass form ASAP, sign and send immediately thru email (pmd@sss.gov.ph, bansilea@sss.gov.ph) CANVASS FORM &amp; SPECIFICATIONS: Click on the Associated Components to download the official canvass form </t>
  </si>
  <si>
    <t xml:space="preserve"> See Attached Documents</t>
  </si>
  <si>
    <t xml:space="preserve"> Republic of the Philippines PROVINCE OF SURIGAO DEL SUR MUNICIPALITY OF CARRASCAL OFFICE OF MUNICIPAL BIDS AND AWARDS COMMITTEE The Local Government Unit of Carrascal invites all interested and qualified bidders for offers to supply on the Bid forms: 		  </t>
  </si>
  <si>
    <t xml:space="preserve"> Republika ng Pilipinas								 NATIONAL IRRIGATION ADMINISTRATION								 Pambansang Pangasiwaan ng Patubig								 Negros Occidental Irrigation Management Office								 Celis St. Bago City, Negros Occidental								 (034) 461-0494, (034) 454-2033							</t>
  </si>
  <si>
    <t xml:space="preserve"> Republic of the Philippines Province of South Cotabato City of Koronadal BIDS AND AWARDS COMMITTEE INVITATION TO BID FOR THE  Procurement for the Supply and Delivery of 11,653 Sets Educational School Supplies for Public School Grades 4-6 Students of the C</t>
  </si>
  <si>
    <t xml:space="preserve"> Notice for Negotiated Procurement  10 units Hospital Beds 2 cranks with foam &amp; IV Stand</t>
  </si>
  <si>
    <t xml:space="preserve"> Item No.	Qty	Unit	Article / Description 1	30	units	"LAPTOP  - CPU: Ryzen 5 - RAM: 4GB - 8GB - SSD: 240 - 256GB - HDD: 500GB - 1TB - WINDOWS 10 - MS Office - Wifi Ready - MONITOR RES: 1920 x 1080P (FHD)"</t>
  </si>
  <si>
    <t xml:space="preserve"> TO PURCHASE MINI DUMP TRUCK AS TO BE USE FOR THE COLLECTION OF GARBAGE AT BRGY. MUZON I.</t>
  </si>
  <si>
    <t xml:space="preserve"> QUOTATION FORM For Negotiated Procurement due to Two-Failed Bidding Registered Name  of Establishment:		Date: Mode of Procurement:	June 10, 2020 Negotiated Procurement (Two-Failed Bidding) Address: 		Quotation No.	TFB-2020-005 Contact No.		PR No. 	EP-19-1</t>
  </si>
  <si>
    <t xml:space="preserve"> Republic of the Philippines Department of Health Cagayan Valley Center for Health Development BATANES GENERAL HOSPITAL Basco, Batanes E-mail Address: bataneshospital@gmail.com INVITATION TO BID ITB NO. 2020-06 Supply &amp; Delivery of Various Medicines 1. The</t>
  </si>
  <si>
    <t xml:space="preserve"> Supply and Delivery of 70 bags Okra Seeds- 1 kilo, 70 bags Sitao Seeds- 1 kilo, 45 bags Pechay seeds- 1 kilo, 45 bags Radish Seeds- 1 kilo, 70 cans Eggplant Seeds- 50 grams, 115 bag Complete Fertilizer, etc.....</t>
  </si>
  <si>
    <t xml:space="preserve"> 1	Diamond Cutting Disc 18”Ø (For Concrete Cutting)	6	pcs		 	Note: 1.	VAT Inclusive 2.	FOB MNWD, Naga City 3.	Partial Delivery shall not be accepted	 	 		 	Documentary Requirements to submit: 1.	Mayor’s/Business Permit 2.	Philgeps Registration Number 3.	In</t>
  </si>
  <si>
    <t xml:space="preserve"> 1. CABINET FILING STEEL, 3-DRAWERS IN POWDER COATED METAL BODY &amp; 5 OTHERS DELIVERY SITE:     OM-BOD OFFICE                             PEÑAFRANCIA, DARAGA, ALBAY PLEASE SUBMIT REQUIREMENTS: 1	MAYOR’S/BUSINESS PERMIT 2	PhilGEPS REG. NUMBER/CERTIFICATE</t>
  </si>
  <si>
    <t xml:space="preserve"> Republic of the Philippines Province of Davao Oriental City of Mati BIDS &amp; AWARDS COMMITTEE INVITATION TO BID LOT Procurement of MATERIALS for Use in the Construction of Staff House at Tourism Complex, Brgy. Don Martin Marundan, City of Mati, Davao Orient</t>
  </si>
  <si>
    <t xml:space="preserve"> DESCRIPTION: 101 REMOVAL OF STRUCTURES AND OBSTRUCTION 105 SUBGRADE PREPARATION 201 AGGRAGATE BASE COURSE 311 PCC PAVEMENT, PLAIN  SPL -1 WARNING &amp; HAZARD SIGNS INCLUDING BOLLARDS SPL- 2 HEALTH AND SAFETY SPL-3 BILLBOARD (4 X8 TARPAULIN ON 2 X3 WOODEN FRA</t>
  </si>
  <si>
    <t xml:space="preserve"> Invitation to Bid for QRF2020-RVI-022-ILOILO-B1-L4 ITB No. 010 The Department of Education (DepED) Schools Division of Iloilo, through the CY 2020 Quick Response Fund (QRF), intends to apply the sum Three Million Six Hundred Ninety Thousand Nine Hundred T</t>
  </si>
  <si>
    <t xml:space="preserve"> General cleaning of split type 10TR ACUs floor mounted installed at the 3rd floor Session Hall, Centennial Building  Requirements: 1.  2020 Mayors Permit 2.  BIR Registration 3.  Philgeps Registration</t>
  </si>
  <si>
    <t xml:space="preserve"> Construction of Multipurpose Building with a floor area of 7.00m x8.00m consist of the following scope of works: Masonry works for Septic Vault; Concrete Works for Slab, Sidewalk and Septic Vault(Slab); Plastering Works for all elevation  including Parape</t>
  </si>
  <si>
    <t xml:space="preserve"> 1 unit HP Laserjet Printer Pro 200 color 3 units canon pixma MX 532 wireless all in one printer</t>
  </si>
  <si>
    <t xml:space="preserve"> PCCP (new)</t>
  </si>
  <si>
    <t xml:space="preserve"> NEGOTIATED PROCUREMENT TWO FAILED BIDDING TITLE: PROCUREMENT OF UTILITY TRUCK (WING VAN) LOCATION: SUAL, PANGASINAN ABC=2,200,000.00 Specification: No. of Cylinders: 6 Body Type: Aluminum (wing van) Fuel type: Diesel Net capacity: 4000 Transmission: Manua</t>
  </si>
  <si>
    <t xml:space="preserve"> Item No.	Qty	Unit	Article / Description 1	600	pax	Meals (Lunch)</t>
  </si>
  <si>
    <t xml:space="preserve"> Fabrication of Classroom (Container Van)</t>
  </si>
  <si>
    <t xml:space="preserve"> Republic of the Philippines Province of South Cotabato City of Koronadal BIDS AND AWARDS COMMITTEE INVITATION TO BID FOR THE  Procurement for the Supply and Delivery of 11,100 Sets Educational School Supplies for Public School Grades 1-3 Students of the C</t>
  </si>
  <si>
    <t xml:space="preserve"> General Cleaning of split type and window type ACUs in the Office of Justice Perez (Rm 203), Rm 303 (vacant) justice Paredes (Rm 403), Justice Martin (Rm 503), Annex I Bldg 1,  2020 Mayors Permit 2,  BIR Registration 3.  Philgeps Registration</t>
  </si>
  <si>
    <t xml:space="preserve"> CONCRETING OF BARANGAY NAGCANASAN FMR Contract Location:                    Barangay Nagcanasan, Pilar, Abra Brief Description:                     Concreting of Road using PCCP (Unreinforced, 0.20m thk. 14 days) The DPWH-Abra District Engineering Office </t>
  </si>
  <si>
    <t xml:space="preserve"> 1. The total approved budget for the contract for the SUPPLY AND DELIVERY OF SUBMERSIBLE PUMP, MOTOR, THERMAL OVERLOAD RELAY AND #10 Submersible Cable, 3C is PhP 112,100.00 2. Price quotations must include all taxes, duties, and/or levies payable and must</t>
  </si>
  <si>
    <t xml:space="preserve"> Request for Quotation (RFQ)</t>
  </si>
  <si>
    <t xml:space="preserve"> Invitation to Bid for QRF2020-RVI-022-ILOILO-B1-L6 ITB No. 012 The Department of Education (DepED) Schools Division of Iloilo, through the CY 2020 Quick Response Fund (QRF), intends to apply the sum Four Million Two Hundred Forty Three Thousand Eight Hund</t>
  </si>
  <si>
    <t xml:space="preserve"> Republic of the Philippines Province of Davao Oriental City of Mati BIDS &amp; AWARDS COMMITTEE INVITATION TO BID LOT Procurement of MATERIALS for Use of Brgy. Sto. Rosario, San Isidro, Davao Oriental SOURCE OF FUND: PGO [1999Z4-B-5-02-14-030] 1.	The Provinci</t>
  </si>
  <si>
    <t xml:space="preserve"> Republic of the Philippines Province of Davao Oriental City of Mati BIDS &amp; AWARDS COMMITTEE INVITATION TO BID LOT Procurement of MATERIALS for Use of Brgy. Lucatan, Tarragona, Davao Oriental SOURCE OF FUND: PGO [1999Z4-B-5-02-14-030] 1.	The Provincial Gov</t>
  </si>
  <si>
    <t xml:space="preserve"> INVITATION TO BID (GOODS) The Municipality of Sibonga, through the Trust Fund intends to apply the sum of Four hundred ninety-nine thousand nine hundred pesos only (499,900.00) being the Approved Budget for the Contract (ABC) to payment under the contract</t>
  </si>
  <si>
    <t xml:space="preserve"> Republic of the Philippines DEPARTMENT OF PUBLIC WORKS AND HIGHWAYS ILOILO CITY DISTRICT ENGINEERING OFFICE REGION VI Fort San Pedro Road, Iloilo City Name of Procuring Entity:   DPWH-ILOILO CITY DISTRICT ENGINEERING OFFICE Request for Quotation (PR No): </t>
  </si>
  <si>
    <t xml:space="preserve"> Supply and Delivery of 5,600 pcs. Jumbo Yellow Pencil with Eraser, 97,250 pcs. Yellow Pencil with Eraser, 93,000 pcs. Ballpen 1.0mm, 27,400 pcs. Pentel pen Black, and 13,600 pcs. Colored Paper 20's assorted</t>
  </si>
  <si>
    <t xml:space="preserve"> Republic of the Philippines Department of Public Works and Highways REGIONAL OFFICE VIII Baras, Palo, Leyte INVITATION TO BID June 10, 2020 1.	The DPWH Regional Office VIII, Baras, Palo, Leyte through its Bids and Awards Committee (BAC), invites contracto</t>
  </si>
  <si>
    <t xml:space="preserve"> 1.  25  bags  - Pre-starter Pellets 2.  81  bags  - Starter Pellets 3.  138 bags - Grower Pellets Requirements:   2020 PhilGeps Registration, Business Permit, Mayors Permit, Tax Clearance, Notarized Omnibus                          Sworn Statement of Busi</t>
  </si>
  <si>
    <t xml:space="preserve"> INVITATION TO BID (GOODS) The Municipality of Sibonga, through the General Fund intends to apply the sum of Six hundred seventy-seven thousand eight hundred seventy-five pesos only (677,875.00) being the Approved Budget for the Contract (ABC) to payment u</t>
  </si>
  <si>
    <t xml:space="preserve"> 18000  Liters	Diesel	47.15	848,700.00 2500    Liters	Unleaded Regular	56.35	140,875.00 Conditions:  1. Total Cost is  based on current average pump price for Diesel and Unleaded Gasolinein Gasoline Station along JASA, Layac, Sta Isabel, and San Ramon   2.</t>
  </si>
  <si>
    <t xml:space="preserve"> Republic of the Philippines Province of Samar  Municipality of Jiabong INVITATION TO BID FOR  REPAIR OF BARANGAY HALL (BRGY LULUGAYAN) Jiab-2020-21A 1.	The Municipal Government of Jiabong, Samar, intends to apply the sum of ONE HUNDRED FIFTY THOUSAND  PES</t>
  </si>
  <si>
    <t xml:space="preserve"> Republic of the Philippines				 Province of Lanao del Norte				 Municipality of Lala				 Office of the Municipal General Services				 				                                                                                        ____________ 				            </t>
  </si>
  <si>
    <t xml:space="preserve"> Supply and Delivery of 4,550 pcs. Small Bag- Back Pack Color:  Orange bag with side pocket net and logo, 9,050 pcs.  Medium Bag- Back Pack, Color:  Blue bag with side pocket net and logo, 8,650 pcs. Large bag-  Back Pack Color:  Mint Green with front pock</t>
  </si>
  <si>
    <t xml:space="preserve"> Please see attached Invitation to Bid for details.</t>
  </si>
  <si>
    <t xml:space="preserve"> Republic of the Philippines     Province of South Cotabato     City of Koronadal     BIDS AND AWARDS COMMITTEE INVITATION TO BID FOR THE  Procurement for the Supply and Delivery of One Unit Mobile Patrol Vehicle with Complete Accessories, City of Koronada</t>
  </si>
  <si>
    <t xml:space="preserve"> Republic of the Philippines Cordillera Administrative Region Provincial Local Government Unit of Ifugao BIDS AND AWARDS COMMITTEE 2nd Floor COA Bldg., Capitol Compound Lagawe, Ifugao Email Ad.: bacgoodsifugao13@gmail.com INVITATION TO BID OFFICE EQUIPMENT</t>
  </si>
  <si>
    <t xml:space="preserve"> Republic of the Philippines Cordillera Administrative Region Provincial Local Government Unit of Ifugao BIDS AND AWARDS COMMITTEE 2nd Floor COA Bldg., Capitol Compound Lagawe, Ifugao Email Ad.: bacgoodsifugao13@gmail.com INVITATION TO BID HEAVY EQUIPMENTS</t>
  </si>
  <si>
    <t xml:space="preserve"> Invitation to Bid for QRF2020-RVI-022-ILOILO-B1-L8 ITB No. 014 The Department of Education (DepED) Schools Division of Iloilo, throtyugh the CY 2020 Quick Response Fund (QRF), intends to apply the sum Five Million Nine Hundred Fifty Eight Thousand Eight H</t>
  </si>
  <si>
    <t xml:space="preserve"> 50 pcs - 160 mm diameter uPVC, Class 150, S80 50 pcs - 110 mm diameter uPVC, Class 150, S80 with free 5 kg of Pipe disinfectant as per specification below: Chlorine granule Chemical name: Sodium DichloroisocyanurateGanules Concentration: 60% - 65% Granule</t>
  </si>
  <si>
    <t xml:space="preserve"> 1. The Department of Agriculture – Regional Field Office – Cordillera Administrative Region (DA-RFO-CAR) intends to apply part of its CY 2020 General Appropriation Act (GAA) the total sum of Three Million Three Hundred Ninety Five Thousand Four Hundred Pe</t>
  </si>
  <si>
    <t xml:space="preserve"> Hiring of Assisting Professional for establishment of 2 hectares PBMA and conduct of Baseline Data Assessment  see attached files for the details.</t>
  </si>
  <si>
    <t xml:space="preserve"> 1. The Department of Agriculture – Regional Field Office – Cordillera Administrative Region (DA-RFO-CAR) intends to apply part of its CY 2020 General Appropriation Act (GAA) the total sum of Seven Million Five Hundred Sixty Nine Thousand Pesos (P7,569,000</t>
  </si>
  <si>
    <t xml:space="preserve"> Invitation to Bid for QRF2020-RVI-022-ILOILO-B1-L5 ITB No. 011 The Department of Education (DepED) Schools Division of Iloilo, through the CY 2020 Quick Response Fund (QRF), intends to apply the sum Four Million Three Hundred Thirty Seven Thousand Seven H</t>
  </si>
  <si>
    <t xml:space="preserve"> Republic of the Philippines Province of Davao Oriental City of Mati BIDS &amp; AWARDS COMMITTEE INVITATION TO BID Procurement of 2,500 Kilos RED PEANUT WITH SHELL in Support to Rice Farmers of the Province (Planting of Peanut after Rice Cropping Season) SOURC</t>
  </si>
  <si>
    <t xml:space="preserve"> OPENING OF BIDS IN ZAMBOANGA CITY DELIVERY IN ZAMBOANGA CITY PROCUREMENT OF THE FOLLOWING: 50 GALLOON ALCOHOL 70%  4 LIT. 320 BOX SURGICAL FACE MASK (50 PCS) 30 BOX SURGICAL GLOVES (ASSORTED) ****************************************** PURPOSE: FOR THE USE</t>
  </si>
  <si>
    <t xml:space="preserve"> Invitation to Bid for QRF2020-RVI-022-ILOILO-B1-L7 ITB No. 013 The Department of Education (DepED) Schools Division of Iloilo, through the CY 2020 Quick Response Fund (QRF), intends to apply the sum Six Million Five Hundred Ninety Thousand Four Hundred Tw</t>
  </si>
  <si>
    <t xml:space="preserve"> Construction of single storey 8.00 x 18.00 m. (144.00 sq.m.) Barangay Multi purpose building with amenities</t>
  </si>
  <si>
    <t xml:space="preserve"> P.R. No. X11-20-02-084 - Supply and Delivery for the use in Equipment Management Division Office. (Please see attached RFQ)</t>
  </si>
  <si>
    <t xml:space="preserve"> Republic of the Philippines Cordillera Administrative Region Provincial Local Government Unit of Ifugao BIDS AND AWARDS COMMITTEE 2nd Floor COA Bldg., Capitol Compound Lagawe, Ifugao Email Ad.: bacgoodsifugao13@gmail.com INVITATION TO BID IT EQUIPMENT Pub</t>
  </si>
  <si>
    <t xml:space="preserve"> Republic of the Philippines Province of Davao Oriental City of Mati BIDS &amp; AWARDS COMMITTEE INVITATION TO BID LOT Procurement of MATERIALS for Use of Brgy. Taguibo, City of Mati, Davao Oriental SOURCE OF FUND: PGO [1999Z4-B-5-02-14-030] 1.	The Provincial </t>
  </si>
  <si>
    <t xml:space="preserve"> The items attached is one portable data filer. Please attached your price quotation on items you are interested.</t>
  </si>
  <si>
    <t xml:space="preserve"> Republic of the Philippines Province of South Cotabato City of Koronadal BIDS AND AWARDS COMMITTEE INVITATION TO BID FOR THE  Procurement for the Supply and Delivery of 3,700 Pieces School Bags for Public School Grade – 1 Pupils of the City 1.	The City Go</t>
  </si>
  <si>
    <t xml:space="preserve"> Republic of the Philippines 	CITY OF SAN PEDRO Province of Laguna BIDS AND AWARDS COMMITTEE INVITATION TO APPLY FOR ELIGIBILITY AND TO BID PR NO. 0224 1.	The City Government of San Pedro, Laguna through the 2020 Budget Approved by the Sangguniang Panglung</t>
  </si>
  <si>
    <t xml:space="preserve"> Republic of the Philippines Cordillera Administrative Region Provincial Local Government Unit of Ifugao BIDS AND AWARDS COMMITTEE 2nd Floor COA Bldg., Capitol Compound Lagawe, Ifugao Email Ad.: bacgoodsifugao13@gmail.com INVITATION TO BID Two (2) units Br</t>
  </si>
  <si>
    <t xml:space="preserve"> Republic of the Philippines     Province of South Cotabato     City of Koronadal     BIDS AND AWARDS COMMITTEE INVITATION TO BID FOR THE  Procurement for the Supply and Delivery of One (1) Unit Four Wheeled Vehicle (Pick-Up) for CSU Operations, City of Ko</t>
  </si>
  <si>
    <t xml:space="preserve"> 1. The Department of Agriculture – Regional Field Office – Cordillera Administrative Region (DA-RFO-CAR) intends to apply part of its CY 2020 General Appropriation Act (GAA) the total sum of Two Million Seven Hundred Eighty Four Thousand Seventeen Pesos a</t>
  </si>
  <si>
    <t xml:space="preserve"> Republic of the Philippines Province of Davao Oriental City of Mati BIDS &amp; AWARDS COMMITTEE INVITATION TO BID Procurement of 200 Pieces Toilet Bowl for Use of Various Household in Different Municipalities of Davao Oriental SOURCE OF FUND: GAD FUND [7999-P</t>
  </si>
  <si>
    <t xml:space="preserve"> Republic of the Philippines     Province of South Cotabato     City of Koronadal     BIDS AND AWARDS COMMITTEE INVITATION TO BID FOR THE  Procurement for the Supply and Delivery of One (1) Unit Six (6) Wheeler Reconditioned Water Truck for CENRO, City of </t>
  </si>
  <si>
    <t xml:space="preserve"> INVITATION TO APPLY FOR ELIGIBILITY AND TO BID The Municipality of Silang, Cavite, through its Bids and Awards Committee (BAC), invites suppliers/ manufacturers/ distributors/ contractors to apply for eligibility and to bid for the projects: Supply and De</t>
  </si>
  <si>
    <t xml:space="preserve"> 1.	The Tondo Medical Center (TMC), through the General Appropriations Act/HFEP intends to apply the sum of Sixteen Million Philippine Pesos (PhP 16,000,000.00) being the Approved Budget for the Contract (ABC) to payments under the contract for the Procure</t>
  </si>
  <si>
    <t xml:space="preserve"> Invitation to Bid for QRF2020-RVI-022-ILOILO-B1-L9 ITB No. 015 The Department of Education (DepED) Schools Division of Iloilo, through the CY 2020 Quick Response Fund (QRF), intends to apply the sum Five Million One Hundred Thirty One Thousand Seven Hundr</t>
  </si>
  <si>
    <t xml:space="preserve"> 1. The Department of Agriculture – Regional Field Office – Cordillera Administrative Region (DA-RFO-CAR) intends to apply part of its CY 2020 General Appropriation Act (GAA) the total sum of Seven Million Four Hundred Fifty Eight Thousand Eight Hundred Fo</t>
  </si>
  <si>
    <t xml:space="preserve"> Invitation to Bid for QRF2020-RVI-022-ILOILO-B1-L3 ITB No. 009 The Department of Education (DepED) Schools Division of Iloilo, through the CY 2020 Quick Response Fund (QRF), intends to apply the sum Four Million Seven Hundred Thirty Two Thousand Six Hundr</t>
  </si>
  <si>
    <t xml:space="preserve"> 50 pcs. HP 680 Black 50 pcs. HP 680 Tri-color 20 pcs. HP 85A 50 pcs. LX310</t>
  </si>
  <si>
    <t xml:space="preserve"> Supply and Delivery of 47,900 pcs. Composition Notebook (80 leaves) 46 gsm, 155,000 pcs.  Spiral Notebook (80 leaves 46 GSM), 42,750 pcs.  Writing Pad 80 leaves, 68,500 Inter.  Writing Pad 80 leaves,  13,600 pcs. Bond Paper (Short) 80 GMS 50pcs/ sheets, 8</t>
  </si>
  <si>
    <t xml:space="preserve"> SEE ATTACHED RFQ 2020-06-016</t>
  </si>
  <si>
    <t xml:space="preserve"> Invitation to Bid for QRF2020-RVI-022-ILOILO-B1-L12 ITB No. 018 The Department of Education (DepED) Schools Division of Iloilo, through the CY 2020 Quick Response Fund (QRF), intends to apply the sum Three Million Three Hundred Eighteen Thousand Three Hun</t>
  </si>
  <si>
    <t xml:space="preserve"> 110 pcs tee 1/2 60 pcs pvc blue pipe 1/2 4 rolls black pipe 2 40 pcs sadol clam 2x1 50 pcs reducer 1x1/2 60 pcs pvc coupling 1x 1/2 110 pcs pvc elbow 1/2 80 pcs faucet 30 pcs teflon tape 1 75 pcs p male adapter 65 pcs pvc orange #2 55 pcs elbow #2 x 90 20</t>
  </si>
  <si>
    <t xml:space="preserve"> REQUEST FOR QUOTATION (RFQ) The Philippine Ports Authority, PMO- Zamboanga del Norte, through its Bids and Awards Committee will undertake Negotiated Procurement – Sec.53.9 Small Value Procurement for the SUPPLY AND DELIVERY OF WIRINGS AND CABLES FOR GENE</t>
  </si>
  <si>
    <t xml:space="preserve"> 1. The Department of Agriculture – Regional Field Office – Cordillera Administrative Region (DA-RFO-CAR) intends to apply part of its CY 2020 General Appropriation Act (GAA) the total sum of One Million Fifty Nine Thousand Six Hundred Pesos (P1,059,600.00</t>
  </si>
  <si>
    <t xml:space="preserve"> NOTICE OF PROCUREMENT June 11, 2020 Notice is hereby given that the Department of Public Works and Highways (DPWH)-Metro Manila 3rd District Engineering Office is undertaking the following project, to wit; CID No. 19CSOD26- Procurement for the Conduct of </t>
  </si>
  <si>
    <t xml:space="preserve"> 1.	The Tondo Medical Center (TMC), through the General Appropriations Act/HFEP intends to apply the sum of Eleven Million Eight Hundred Forty Five Thousand Two Hundred Sixty Philippine Pesos (PhP 11,845,260.00) being the Approved Budget for the Contract (</t>
  </si>
  <si>
    <t xml:space="preserve"> Invitation to Bid for QRF2020-RVI-022-ILOILO-B1-L11 ITB No. 017 The Department of Education (DepED) Schools Division of Iloilo, through the CY 2020 Quick Response Fund (QRF), intends to apply the sum Five Million Twenty Thousand Six Hundred Eighty Six Pes</t>
  </si>
  <si>
    <t xml:space="preserve"> Republic of the Philippines Cordillera Administrative Region Provincial Local Government Unit of Ifugao BIDS AND AWARDS COMMITTEE 2nd Floor COA Bldg., Capitol Compound Lagawe, Ifugao Email Ad.: bacgoodsifugao13@gmail.com INVITATION TO BID COMPUTER SERVER </t>
  </si>
  <si>
    <t xml:space="preserve"> Supply and Delivery of 8,650 pcs. Plastic Protractor 10cm 180, 21,200 pcs. ID Lace and Holder (Personalized), 54,800 pcs. Plastic Envelope Long, 27,400 pcs. Colored Plastic Expanded Envelope, 2,400 pcs. Calculator, 22,250 pcs. Plastic Pencil Sharpener 2 -</t>
  </si>
  <si>
    <t xml:space="preserve"> 1. The Department of Agriculture – Regional Field Office – Cordillera Administrative Region (DA-RFO-CAR) intends to apply part of its CY 2020 General Appropriation Act (GAA) the total sum of Six Million Nine Hundred Sixteen Thousand Three Hundred Fifty Pe</t>
  </si>
  <si>
    <t xml:space="preserve"> Download attachment in the Associated Components. For further information, please refer to: Atty. VIRGILIO B. GALEON Head, BAC Secretariat BAC Office Government Center Bldg. A J. P. Rizal Blvd., Market Area  City of Santa Rosa, Laguna 4026 Telephone Numbe</t>
  </si>
  <si>
    <t xml:space="preserve"> Invitation to Bid for QRF2020-RVI-022-ILOILO-B1-L13 ITB No. 019 The Department of Education (DepED) Schools Division of Iloilo, through the CY 2020 Quick Response Fund (QRF), intends to apply the sum Four Million One Hundred Fifty One Thousand Six Hundred</t>
  </si>
  <si>
    <t xml:space="preserve"> 1. The Department of Agriculture – Regional Field Office – Cordillera Administrative Region (DA-RFO-CAR) intends to apply part of its CY 2020 General Appropriation Act (GAA) the total sum of Twenty Four Million One Hundred Ninety Seven Thousand Three Hund</t>
  </si>
  <si>
    <t xml:space="preserve"> Invitation to Bid for QRF2020-RVI-022-ILOILO-B1-L10 ITB No. 016 The Department of Education (DepED) Schools Division of Iloilo, through the CY 2020 Quick Response Fund (QRF), intends to apply the sum Six Million One Hundred Sixty Five Thousand Two Hundred</t>
  </si>
  <si>
    <t xml:space="preserve"> Invitation to Bid for QRF2020-RVI-022-ILOILO-B1-L15 ITB No. 021 The Department of Education (DepED) Schools Division of Iloilo, through the CY 2020 Quick Response Fund (QRF), intends to apply the sum Six Million Two Hundred Fifty Six Thousand One Hundred </t>
  </si>
  <si>
    <t xml:space="preserve"> Republic of the Philippines  Department of Education Region IV – A (CALABARZON) Division of Calamba City CAMP VICENTE LIM INTEGRATED SCHOOL Mayapa, Calamba City 												 REQUEST FOR QUOTATION Date	:  JUNE 10, 2020 RFQ No.: 2020-06-0017 PR No.	:  2020-</t>
  </si>
  <si>
    <t xml:space="preserve"> Invitation to Bid for QRF2020-RVI-022-ILOILO-B1-L14 ITB No. 020 The Department of Education (DepED) Schools Division of Iloilo, through the CY 2020 Quick Response Fund (QRF), intends to apply the sum Six Million Two Hundred Sixty Thousand Three Hundred Th</t>
  </si>
  <si>
    <t xml:space="preserve"> 133 pcs Cellular phones Cards TNT 35  pcs Cellular phones Cards Smart 35  pcs Cellular phones Cards Globe 7    pcs Cellular phones Cards TM</t>
  </si>
  <si>
    <t xml:space="preserve"> Cleaning of indoor and outdoor  ACUs in the office of Justice Leagogo, Room 303, Main Bldg. Requirements: 1.  2020 Mayors Permit 2,  BIR Registration 3,  Philgeps registration</t>
  </si>
  <si>
    <t xml:space="preserve"> 1. The Department of Agriculture – Regional Field Office – Cordillera Administrative Region (DA-RFO-CAR) intends to apply part of its CY 2020 General Appropriation Act (GAA) the total sum of Two Million Two Hundred Sixty Eight Thousand Five Hundred Pesos </t>
  </si>
  <si>
    <t xml:space="preserve"> The Philippine National Police (PNP) Health Service (HS) invites all PhilGEPS-accredited suppliers to apply for eligibility and to bid for the Procurement of Other Supplies &amp; Materials. Approved Budget for Contract: Php6,883,593.75 Bid Documents shall be </t>
  </si>
  <si>
    <t xml:space="preserve"> Item Description	Quantity Scanning speed:    25 pages per min. (50 images per                                minimum) Max. paper size:   Legal (8.5”X14”) Also scans:           Credit cards, driving licences Colour mode:       Colour, greyscale, black and </t>
  </si>
  <si>
    <t xml:space="preserve"> NOTICE OF PROCUREMENT June 11, 2020 Notice is hereby given that the Department of Public Works and Highways (DPWH)-Metro Manila 3rd District Engineering Office is undertaking the following project, to wit; CID No. 19CSOD28- Procurement for the Conduct of </t>
  </si>
  <si>
    <t xml:space="preserve"> Invitation to Bid for QRF2020-RVI-022-ILOILO-B1-L18 ITB No. 024 The Department of Education (DepED) Schools Division of Iloilo, through the CY 2020 Quick Response Fund (QRF), intends to apply the sum Five Million One Hundred Twenty Eight Thousand Six HUnd</t>
  </si>
  <si>
    <t xml:space="preserve"> 1. The Department of Agriculture – Regional Field Office – Cordillera Administrative Region (DA-RFO-CAR) intends to apply part of its CY 2020 General Appropriation Act (GAA) the total sum of One Million Nine Hundred Ninety Six Thousand Four Hundred Pesos </t>
  </si>
  <si>
    <t xml:space="preserve"> PROPOSED REPAIR, MAINTENANCE , REHABILITATION OF LINE CANAL AT BRGY. III-C, SAN PABLO CITY</t>
  </si>
  <si>
    <t xml:space="preserve"> Invitation to Bid for QRF2020-RVI-022-ILOILO-B1-L17 ITB No. 023 The Department of Education (DepED) Schools Division of Iloilo, through the CY 2020 Quick Response Fund (QRF), intends to apply the sum Five Million Five Hundred Eighty Six Thousand Two Hundr</t>
  </si>
  <si>
    <t xml:space="preserve"> Invitation to Bid for QRF2020-RVI-022-ILOILO-B1-L20 ITB No. 026 The Department of Education (DepED) Schools Division of Iloilo, through the CY 2020 Quick Response Fund (QRF), intends to apply the sum Three Million Ninety Six Thousand Eight Hundred Fifty P</t>
  </si>
  <si>
    <t xml:space="preserve"> Invitation to Bid for QRF2020-RVI-022-ILOILO-B1-L16 ITB No. 022 The Department of Education (DepED) Schools Division of Iloilo, through the CY 2020 Quick Response Fund (QRF), intends to apply the sum Five Million Nine Hundred Forty Six Thousand Fifty Two </t>
  </si>
  <si>
    <t xml:space="preserve"> Invitation to Bid for QRF2020-RVI-022-ILOILO-B1-L19 ITB No. 025 The Department of Education (DepED) Schools Division of Iloilo, through the CY 2020 Quick Response Fund (QRF), intends to apply the sum Five Million Six Thousand Four Hundred Ninety Eight Pes</t>
  </si>
  <si>
    <t xml:space="preserve"> Republic of the Philippines                   Department of Health	       CENTRAL OFFICE BIDS AND AWARDS COMMITTEE  INVITATION TO BID FOR THE  PROCUREMENT OF EXTERNAL HARD DISK IB NO. 2020-206 1.	The Department of Health (DOH), through the General Appropr</t>
  </si>
  <si>
    <t xml:space="preserve"> Invitation to Bid for QRF2020-RVI-022-ILOILO-B1-L22 ITB No. 028 The Department of Education (DepED) Schools Division of Iloilo, through the CY 2020 Quick Response Fund (QRF), intends to apply the sum Three Million Eight Hundred Eighty Thousand Four Hundre</t>
  </si>
  <si>
    <t xml:space="preserve"> NOTICE OF PROCUREMENT June 11, 2020 Notice is hereby given that the Department of Public Works and Highways (DPWH)-Metro Manila 3rd District Engineering Office is undertaking the following project, to wit; CID No. 19CSOD27- Procurement for the Conduct of </t>
  </si>
  <si>
    <t xml:space="preserve"> Invitation to Bid for QRF2020-RVI-022-ILOILO-B1-L23 ITB No. 029 The Department of Education (DepED) Schools Division of Iloilo, through the CY 2020 Quick Response Fund (QRF), intends to apply the sum Three Million Four Hundred Ninety Five Thousand Four Hu</t>
  </si>
  <si>
    <t xml:space="preserve"> NOTICE OF PROCUREMENT June 11, 2020 Notice is hereby given that the Department of Public Works and Highways (DPWH)-Metro Manila 3rd District Engineering Office is undertaking the following project, to wit; CID No. 19CSOD29- Procurement for the Conduct of </t>
  </si>
  <si>
    <t xml:space="preserve"> Invitation to Bid for QRF2020-RVI-022-ILOILO-B1-L21 ITB No. 027 The Department of Education (DepED) Schools Division of Iloilo, through the CY 2020 Quick Response Fund (QRF), intends to apply the sum Three Million Two Hundred Forty Thousand Twenty Seven P</t>
  </si>
  <si>
    <t xml:space="preserve"> Item Description	Quantity Mobile Smartphone with freebies each Size Dimensions 149.9 x 70.4 x 7.8 mm Weight 157 g Type Type Smartphone, Camera Phone , Selfie Phone , Waterproof Phone , Bezel-less Phone Shape Bar	 Basic OS Android OS ver One UI (Android 9.</t>
  </si>
  <si>
    <t xml:space="preserve"> The Philippine National Police (PNP) Health Service (HS) invites all PhilGEPS-accredited suppliers to apply for eligibility and to bid for the Procurement of Medical, Dental &amp; Laboratory Supplies. Approved Budget for Contract: Php4,550,000.00 Bid Document</t>
  </si>
  <si>
    <t xml:space="preserve"> NOTICE OF PROCUREMENT June 11, 2020 Notice is hereby given that the Department of Public Works and Highways (DPWH)-Metro Manila 3rd District Engineering Office is undertaking the following project, to wit; 5.	CID No. 19CSOD30- Procurement for the Conduct </t>
  </si>
  <si>
    <t xml:space="preserve"> INVITATION TO BID PB 2020-06-08 1.  The Local Government Unit of Abulug, Cagayan through Special Education Fund 2020 intends to apply the sum of THREE HUNDRED TWENTY FIVE THOUSAND PESOS (P 325,000.00) being the Approved Budget for the Contract (ABC) to pa</t>
  </si>
  <si>
    <t xml:space="preserve"> DepEd, Division of Sorsogon										 Standard Form Number: SF-GOOD-60										 Revised on: May 24, 2004										 REQUEST FOR QUOTATION										 										 						Date:		June 10, 2020		 						Quotation No.:		20-06-075-_____		 										 										 					</t>
  </si>
  <si>
    <t xml:space="preserve"> The Philippine National Police (PNP) Health Service (HS) invites all PhilGEPS-accredited suppliers to apply for eligibility and to bid for the Other General Services. Approved Budget for Contract: Php301,750.00 Bid Documents shall be available at the HS B</t>
  </si>
  <si>
    <t xml:space="preserve"> Refer to RFQ</t>
  </si>
  <si>
    <t xml:space="preserve"> Item Description	Quantity Anti Virus     Multi Device (10 Computers) (or                          equivalent/better)	3 pcs Anti Virus     Single Device (or equivalent/better)	46 pcs MS Office (Latest)	35 pcs</t>
  </si>
  <si>
    <t xml:space="preserve"> Disinfectant Alcohol Lysol ect.</t>
  </si>
  <si>
    <t xml:space="preserve"> NOTICE OF PROCUREMENT June 11, 2020 Notice is hereby given that the Department of Public Works and Highways (DPWH)-Metro Manila 3rd District Engineering Office is undertaking the following project, to wit; CID No. 19CSOD31- Procurement for the Conduct of </t>
  </si>
  <si>
    <t xml:space="preserve"> Sir/Ma'am: Please quote your lowest possible prices for the articles described in the attached document.</t>
  </si>
  <si>
    <t xml:space="preserve"> The Philippine National Police (PNP) Health Service (HS) invites all PhilGEPS-accredited suppliers to apply for eligibility and to bid for the Other General Services. Approved Budget for Contract: Php201,166.66 Bid Documents shall be available at the HS B</t>
  </si>
  <si>
    <t xml:space="preserve"> To payment for the Purchase of Tanod Uniform &amp; Supplies delivered to Brgy. Sto. Niño Sur,     Arevalo, Iloilo City     Sources of Funds: AB 2020       Date of Public Bidding: June 18, 2020 @ 2:00 P.M. at Brgy. Hall</t>
  </si>
  <si>
    <t xml:space="preserve"> PURCHASE REQUEST					 Barangay : ZONE - 1			P. R. No.: 2020 -017-06		 City/ Municipality : Pinamalayan			Date: 		 Provicne : Oriental Mindoro					 REQUISITION					 Item Number	Qty	Unit of Measurement	Item Description 	Estimated Unit Cost	Estimated Amount </t>
  </si>
  <si>
    <t xml:space="preserve"> Item Description	Quantity Laptop Intel Core i7-8565U processor 14.0” LED display or better 8GB DDR4 1TB HDD 512GB PCIE NVIDIA GeForce MX110 2GD5 Windows 10 Home at least 1 year Warranty	1 unit Laptop Intel Core i5-8265U processor 15.6” LED display or bett</t>
  </si>
  <si>
    <t xml:space="preserve"> To payment for the Purchase of Desktop Computer &amp; Other Supplies delivered at Brgy. Bolilao Mand, Iloilo City.        Sources of Funds: ABYIP 2020        Date of Public Bidding: June 19, 2020 @ 10:00 A.M. at Brgy. Hall</t>
  </si>
  <si>
    <t xml:space="preserve"> REQUEST FOR QUOTATION PROJECT TITLE:	OFFICE EQUIPMENT AND ACCESSORIES INSTRUCTIONS:	 ___	ADDITIONAL INSTRUCTIONS ATTACHED                   	         ___	NO ADDITIONAL INSTRUCTIONS 1.	Fax / Email / Submit your quote or regret (with reasons thereof) using </t>
  </si>
  <si>
    <t xml:space="preserve"> Item Description	Quantity 8 Channel indoor IR wired CCTV 2 Megapixel System (day/night mode) Colored Two (2)4TB 	1 Lot 8 Channel outdoor IR wireless CCTV 5 Megapixel System (day/night mode) Colored Two (2)4TB	 Other Materials (Wires and Connectors) and La</t>
  </si>
  <si>
    <t xml:space="preserve"> NOTICE OF PROCUREMENT June 11, 2020 Notice is hereby given that the Department of Public Works and Highways (DPWH)-Metro Manila 3rd District Engineering Office is undertaking the following project, to wit; CID No. 19CSOD33- Procurement for the Conduct of </t>
  </si>
  <si>
    <t xml:space="preserve"> To payment for the Purchase of Aircon w/Installation delivered to Brgy. Sto. Niño Sur Arevalo, Iloilo City.       Sources of Funds : AB 2020       Date of Public Bidding: June 18, 2020 @ 10:00 A.m. at Brgy. Hall</t>
  </si>
  <si>
    <t xml:space="preserve"> 1.	The Development Bank of the Philippines (DBP), through the Corporate Budget for CY 2020 intends to apply the sum of Two Million Five Hundred Thousand Pesos (Php2,500,000.00) inclusive of taxes/VAT being the Approved Budget for the Contract (ABC) to pay</t>
  </si>
  <si>
    <t xml:space="preserve"> 712 box Powdered Milk drink for pregnant Purpose: Milk feeding for undernourished pregnant mothers ABC: Php 149,876.00 Bid Opening: June 16, 2020 @ 10:00 AM New Municipal Building - BAC Office Poblacion, Rosario, Agusan del Sur Fund Source: GF Delivery Pe</t>
  </si>
  <si>
    <t xml:space="preserve"> NOTICE OF PROCUREMENT June 11, 2020 Notice is hereby given that the Department of Public Works and Highways (DPWH)-Metro Manila 3rd District Engineering Office is undertaking the following project, to wit; CID No. 19CSOD32- Procurement for the Conduct of </t>
  </si>
  <si>
    <t xml:space="preserve"> Installation of Vanishing Blinds</t>
  </si>
  <si>
    <t xml:space="preserve"> Republic of the Philippines Department of Education Region VI- Western Visayas  DIVISION OF AKLAN District of Ibajay West IBAJAY CENTRAL SCHOOL Ibajay, Aklan REQUEST FOR QUOTATION (RFQ) Project No: DepED-RO6 – OTHER SUPPLIES – 001-2020 The Department of E</t>
  </si>
  <si>
    <t xml:space="preserve"> The Philippine National Police (PNP) Health Service (HS) invites all PhilGEPS-accredited suppliers to apply for eligibility and to bid for the Other General Services. Approved Budget for Contract: Php100,583.34 Bid Documents shall be available at the HS B</t>
  </si>
  <si>
    <t xml:space="preserve"> Sir/Ma'am: Please quote your possible lowest prices for the articles described in the attached document.</t>
  </si>
  <si>
    <t xml:space="preserve"> Epoetin beta (recombinant erythropoietin) 5000IU/0.3ml, 730 pre-filled syringe</t>
  </si>
  <si>
    <t xml:space="preserve"> Republic of the Philippines PROVINCE OF LEYTE Burauen, Leyte INVITATION TO BID   REHABILITATION OF LEVEL II WATER SYSTEM OF BARANGAY ANONANG WITH PROVISION FOR LEVEL III BURAUEN, LEYTE (RE-BIDDING) The Municipality of Burauen, through the Bids and Awards </t>
  </si>
  <si>
    <t xml:space="preserve"> Republic of the Philippines PROVINCE OF LEYTE Burauen, Leyte INVITATION TO BID   PROCUREMENT OF ONE (1) UNIT MULTI-CAB FOR ENGINEERING OFFICE LGU- BURAUEN, LEYTE The Municipality of Burauen, through the Bids and Awards Committee (BAC) invites contractors </t>
  </si>
  <si>
    <t xml:space="preserve"> Invitation to Bid  SUPPLY AND DELIVERY OF MATERIALS AND LABOR FOR THE IMPROVEMENT/REHABILITATION OF PUBLIC MARKET 1.	The Local Government Unit of Padre Burgos, through the Municipal Development Fund, intends to apply the sum of Nine Hundred Ninety Nine Th</t>
  </si>
  <si>
    <t xml:space="preserve"> Civil Works</t>
  </si>
  <si>
    <t xml:space="preserve"> Republic of the Philippines PROVINCE OF LEYTE Burauen, Leyte INVITATION TO BID   PROCUREMENT OF MEDICINES AND SUPPLY FOR RURAL HEALTH UNIT BURAUEN, LEYTE The Municipality of Burauen, through the Bids and Awards Committee (BAC) invites contractors / suppli</t>
  </si>
  <si>
    <t xml:space="preserve"> Item			Quantity			Unit of			Item Description														 No.						Issue																	 1			5			Gal			Viroguard disinfectant														 2			2			Set			knapsack sprayer														 3			2			Boxes			Disposable gloves</t>
  </si>
  <si>
    <t xml:space="preserve"> Republic of the Philippines DEPARTMENT OF PUBLIC WORKS AND HIGHWAYS CAMARINES SUR 2ND DISTRICT ENGINEERING OFFICE Regional Office V Baras, Canaman, Camarines Sur INVITATION TO BID  FOR   20GFE0011 – SUPPLY OF MATERIALS FOR EROSION CONTROL, TRAFFIC SERVICE</t>
  </si>
  <si>
    <t xml:space="preserve"> To purchase supplies &amp; materials printing &amp; binding for Barangay Kalawaan, Pasig City</t>
  </si>
  <si>
    <t xml:space="preserve"> National Power Corporation INVITATION TO BID PUBLIC BIDDING 2020-0114 1.	The NATIONAL POWER CORPORATION (NPC), through       its        approved       Corporate Budget of CY 2020 intends to apply   the   sum   of (Please see schedule below) being the Appr</t>
  </si>
  <si>
    <t xml:space="preserve"> Sir/Ma'am: Please quote your lowest possible price for the article described in the attached document.</t>
  </si>
  <si>
    <t xml:space="preserve"> unit	Plastic Shredder Machine	1 		 	Specs:	 	Heavy duty plastic recycling shredder Machine	 	Height-1500mm, width-600mm, length-1000mm	 	Frame-6mmx50mmx500mm, angle bar w/ 3mm mild steel (MS) plate sliding cover	 	Shredding component-12mm MS Plate blade, </t>
  </si>
  <si>
    <t xml:space="preserve"> Republic of the Philippines PROVINCE OF ZAMBALES IBA BIDS AND AWARDS COMMITTEE Invitation to Bid for the Supply and Delivery of Office Equipment (Lot 1), ICT Equipment (Lot 2), Furnitures and Fixtures (Lot 3) and MOOE (Lot 4) 1.	The Provincial Government </t>
  </si>
  <si>
    <t xml:space="preserve"> Invitation to Bid  SUPPLY AND DELIVERY OF MATERIALS AND LABOR FOR THE CONSTRUCTION/IMPROVEMENT/REHABILITATION OF LOCAL ACCESS ROAD IN BRGY. DUHAT 1.	The Local Government Unit of Padre Burgos, through the Municipal Development Fund, intends to apply the su</t>
  </si>
  <si>
    <t xml:space="preserve"> 1. The Department of Agriculture – Regional Field Office – Cordillera Administrative Region (DA-RFO-CAR) intends to apply part of its CY 2020 General Appropriation Act (GAA) the total sum of One Million Five Hundred Twenty Nine Thousand Nine Hundred Eight</t>
  </si>
  <si>
    <t xml:space="preserve"> PROVISION OF NEW ELECTRICAL INSTALLATION AT BISLIG AIRPORT PTB A. Materials B. Labor</t>
  </si>
  <si>
    <t xml:space="preserve"> 1 lot Rewinding of 1 unit 36.90 KVA Genset and Replacement of End Bearing &amp; 2 L/I</t>
  </si>
  <si>
    <t xml:space="preserve"> To purchase motor vehicle spare parts for the vehicles of Barangay Kalawaan, Pasig City</t>
  </si>
  <si>
    <t xml:space="preserve"> Folder Clear Slide long, 100 piece &amp; 16 other line items</t>
  </si>
  <si>
    <t xml:space="preserve"> NOTE: ALL ITEMS SHOULD BE DELIVERED IN ONE PACKAGE           ITEMS AND ESTIMATED AMOUNT ARE INCLUDED 25		REAMS	Bond Paper 70 GSM (LONG)			 195.00 	 4,875.00  25		REAMS	Bond Paper 70 GSM (short)				 165.00 	 4,125.00  5		BOTTLES	EPSON INK L365 (black)				 </t>
  </si>
  <si>
    <t xml:space="preserve"> Electrode, Cast Iron Special Features: * Suitable for welding of cast iron to steel * Can be use for grey cast iron and malleable cast iron * Low ampere. Eliminate excessive heat build-up * Easily machinable weld deposit * Excellent penetration * Tensile </t>
  </si>
  <si>
    <t xml:space="preserve"> Supply and Delivery of Kyocera Toner TK-8349</t>
  </si>
  <si>
    <t xml:space="preserve"> 10 ea Axial Flow Fan &amp; 16 L/I</t>
  </si>
  <si>
    <t xml:space="preserve"> DIESEL, FUEL   5,000 LITER</t>
  </si>
  <si>
    <t xml:space="preserve"> to purchase various supplies &amp; materials for installation of street lights in Barangay Kalawaan, Pasig City</t>
  </si>
  <si>
    <t xml:space="preserve"> To purchase various supplies &amp; materials for uniform of Barangay Kalawaan, Pasig City</t>
  </si>
  <si>
    <t xml:space="preserve"> Rehabilitation of Public Market (36.m x 10.8m)</t>
  </si>
  <si>
    <t xml:space="preserve"> Bids and Awards Committee                                                                    INVITATION TO BID           REPAIR AND REHABILITATION OF CLASSROOMS IN VARIOUS SCHOOL SITES IN THE DIVISION OF                        QUEZON, CLUSTER NOS. 1-10 UN</t>
  </si>
  <si>
    <t xml:space="preserve"> 458 pk Biscuit, 10s &amp; 13 L/I</t>
  </si>
  <si>
    <t xml:space="preserve"> Sterilization Card, Virus Blocker with Sodium Chlorite and Chlorine Dioxide, 1333 pcs</t>
  </si>
  <si>
    <t xml:space="preserve"> Supply and Delivery of Inventory Common Supplies</t>
  </si>
  <si>
    <t xml:space="preserve"> Automatic Emergency Light, 2-3W high power LED, 16 set &amp; 2 other line items</t>
  </si>
  <si>
    <t xml:space="preserve"> To purchase various supplies &amp; materials for Urban Greening of Barangay Kalawaan, Pasig City</t>
  </si>
  <si>
    <t xml:space="preserve"> Repair and rehabilitation of HR Room</t>
  </si>
  <si>
    <t xml:space="preserve"> June 10, 2020 NOTICE FOR SMALL VALUE PROCUREMENT The Metro Manila 1 District Engineering Office-National Capital Region, Department of Public Works and Highways through the Bids and Awards Committee, invites bidders to apply for the Small Value Procuremen</t>
  </si>
  <si>
    <t xml:space="preserve"> Part B		Other General Requirements	 B.5	Lot	Project Billboard/Signboard	2 Part III		Civil/Electrical Works	 Part A		Earthworks	 803 (1) a	Cu.m	Structure Excavation – Common Soil (Stage)	29.32 804 (1) a	Cu.m	Embankment from Structure Excavation (Stage)	20.</t>
  </si>
  <si>
    <t xml:space="preserve"> Printer Scanner and Developer, Color, High Speed of Paper NOTE: PLEASE SEE ATTACHED PRE-PR FOR THE COMPLETE DETAILED OF SPECIFICATIONS.</t>
  </si>
  <si>
    <t xml:space="preserve"> The Metro Kalibo Water District, through the Bids and Awards Committee (BAC), will undertake Negotiated Procurement (Small Value Procurement) for the SUPPLY AND DELIVERY OF VARIOUS WATER SERVICE CONNECTION MATERIALS FOR REPAIR/MAINTENANCE OF DISTRIBUTION </t>
  </si>
  <si>
    <t xml:space="preserve"> To purchase various supplies &amp; materials for rehabilitation of Multi Purpose Hall of Barangay Kalawaan, Pasig City</t>
  </si>
  <si>
    <t xml:space="preserve"> Supply &amp; Delivery of Drugs, Medicines and Laboratory Supplies</t>
  </si>
  <si>
    <t xml:space="preserve"> INVITATION TO BID FOR THE SUPPLY AND DELIVERY OF FURNITURE &amp; FIXTURE 1.	The Barangay Poblacion, City Muntinlupa, through its approved Budget for 2020, intends to apply the sum of Seven Hundred Forty Thousand Pesos (P740.000.00) being the Approved Budget f</t>
  </si>
  <si>
    <t xml:space="preserve"> June 10, 2020 REQUEST FOR QUOTATION Rental of Digital Duplicator Rent to Own The Mabolo National High School, Division of Cebu City Through its Bids and Awards Committe, invites interested bidders to submit quotations for Rental of Digital Duplicator, for</t>
  </si>
  <si>
    <t xml:space="preserve"> NOTE: ALL ITEMS MUST BE DELIVERED IN ONE PACKAGE           LIST OF ITEMS AND ESTIMATED AMOUNT ARE INCLUDED 64		lnts	12mm x 6.0m Square Bar			 260.93 	 16,699.52  5		kgs	Welding Rod (6013)				 105.00 	 525.00  1		gal	Primer, Red Oxide				 550.00 	 550.00  </t>
  </si>
  <si>
    <t xml:space="preserve"> SEE ATTACHED DOCUMENT</t>
  </si>
  <si>
    <t xml:space="preserve"> Republic of the Philippines PROVINCE OF LEYTE Burauen, Leyte INVITATION TO BID   SUPPLY &amp; INSTALLATION OF CCTV CAMERA FOR PUBLIC MARKET, DIST 9, BURAUEN BUS TERMINAL, DISTRICT II, STO NIÑO ST, COR. STA ANA, BURAUEN SPORT COMPLEX BURAUEN, LEYTE The Municip</t>
  </si>
  <si>
    <t xml:space="preserve"> Plastic Pail (16 liter capacity), 50 pcs &amp; 12 other line items</t>
  </si>
  <si>
    <t xml:space="preserve"> Part B		Other General Requirements	 B.5	Each	Project Billboard/Signboard	2 B.9	L.S	Mobilization/Demobilization	1 Part C		Earthworks	 102 (1)	cu.m	Roadway Excavation (Unsuitable)	3,070.40 Project Description: Excavation of Roadway w/ 3,070.40 cu.m 1.	The L</t>
  </si>
  <si>
    <t xml:space="preserve"> ~Purchase of 143 boxes of Sodium Ascorbate 500mg.</t>
  </si>
  <si>
    <t xml:space="preserve"> Republic of the Philippines City of Manila OFFICE OF THE CITY MAYOR BIDS AND AWARDS COMMITTEE INVITATION TO BID  The City Government of Manila, through the Capital Outlay FY 2020, intends to apply the following amount for the following proposed project: 1</t>
  </si>
  <si>
    <t xml:space="preserve"> Construction of Material Recovery Facility &amp; Vermi Compost Box with the following proposed works:  Item No.               Description	                Unit 		Quantity     1		  Footing				      CU.M.		  0.64     2		  Columns				       CU.M.	  1.05     3		  </t>
  </si>
  <si>
    <t xml:space="preserve"> Republic of the Philippines PROVINCE OF CAGAYAN Municipality of Peñablanca PROVINCIAL BIDS AND AWARDS COMMITTEE INVITATION FOR NEGOTIATED PROCUREMENT DUE TO TWO FAILED BIDDINGS Design, Layout and Setup of Audio/Video production Floor Inclusive of Customiz</t>
  </si>
  <si>
    <t xml:space="preserve"> Republic of the Philippines PROVINCE OF LEYTE Burauen, Leyte INVITATION TO BID   PURCHASE OF IN-ORGANIC FERTILIZER FOR RICE ENHANCEMENT PROGRAM (NEGOTIATED PROCUREMENT) The Municipality of Burauen, through the Bids and Awards Committee (BAC) invites contr</t>
  </si>
  <si>
    <t xml:space="preserve"> DESCRIPTION PROCUREMENT AND DELIVERY OF 901 BAGS OF GM HYBRID YELLOW CORN SEEDS @ 9KG/ BAG Minimum Specifications: - Herbicide-resistant - Must be an NSIC approved GMCn variety. (Reference: Seed     Catalogue) - Variety adoptable to both low and high elev</t>
  </si>
  <si>
    <t xml:space="preserve"> NOTE: ALL ITEMS MUST BE DELIVERED IN ONE PACKAGE                 LIST OF ITEMS AND ESTIMATED COST ARE INCLUDED 7		pcs.	GI pipe (sched 20×2in×6m)				 1,030.00 	 7,210.00  14		pcs.	Deformed bar( 9mmØ×6m)				 105.00 	 1,470.00  35		 lengths	C-purlin (2in×3in</t>
  </si>
  <si>
    <t xml:space="preserve"> Duct Tape (Blue, 2 " thick, 50 pcs &amp; 15 other line items</t>
  </si>
  <si>
    <t xml:space="preserve"> NOTE: ITEM AND ITS PARTS SHOULD BE DELIVERED IN ONE PACKAGE           ESTIMATED COST OF ITEM ALSO INCLUDED 1	Unit		STEEL CABINET (4 DRAWERS)				 8,000.00 	 8,000.00</t>
  </si>
  <si>
    <t xml:space="preserve"> INVITATION TO BID  1.	The National Printing Office, through the Revolving Fund 2020 intends to apply the sum of ₱2,000,000.00 being the Approved Budget for the Contract (ABC) to payment under the contract for the Procurement of Supply &amp; Delivery of White </t>
  </si>
  <si>
    <t xml:space="preserve"> NOTE: ALL ITEMS MUST BE DELIVERED IN ONE PACKAGE           LIST OF ITEMS AND ESTIMATED COST ARE INCLUDED 10		PCS.	RUGS				                       100.00 	 1,000.00  20		BOTTLES	ZONROX 500 ml.				 22.00 	 440.00  8		gallons	ALCOHOL  ( 70% Ethyl)			550.00 	 </t>
  </si>
  <si>
    <t xml:space="preserve"> Aminophylline (Thephylline ethylenediamine) 25mg/ml, 10ml, 70 ampule &amp; 9 other line items</t>
  </si>
  <si>
    <t xml:space="preserve"> Amlodipine 5 mg, 4 boxes &amp; 14 other line items</t>
  </si>
  <si>
    <t xml:space="preserve"> SCOPE OF WORKS:        I. Hauling of Surface Materials       II. Spreading of Surface Materials 1. Materials (Free) 2. Requirement Equipment          *2 units- Dump truck - Municipal Equipment          *1 unit-  Back hoe - Municipal Equipment          *1 </t>
  </si>
  <si>
    <t xml:space="preserve"> Improvement / Construction</t>
  </si>
  <si>
    <t xml:space="preserve"> Azithromycin 500mg (As Base/As Dihydrate/As Monohydrate), 6,010 tablets &amp; 1 other line items</t>
  </si>
  <si>
    <t xml:space="preserve"> Leuprorelin acetate 11.25mg, 60 vial &amp; 1 other line item</t>
  </si>
  <si>
    <t xml:space="preserve"> 1.	The Municipality of Esperanza, Masbate through the Appropriation Ordinance No. 6, series of 2019 under the Office of the Municipal Agriculturist (MAGO) intends to apply the sum of  Two Hundred Fifty Nine Thousand Pesos (₱259,000.00) being the Approved </t>
  </si>
  <si>
    <t xml:space="preserve"> Various Supplies</t>
  </si>
  <si>
    <t xml:space="preserve"> Contract ID: 20-DO-0083 Contract Name: Repair/Maintenance of Flood Control &amp; Drainage Structures along Manila East Road, Halayhayin Bridge, Pililla, Rizal Contract Location	: Pililla, Rizal Brief Description	: Repair/Maintenance of Flood Control &amp; Drainag</t>
  </si>
  <si>
    <t xml:space="preserve"> Provision of Field Office for the Engineer (Rental Basis); Permits and Clearances; Project Billboard/Signboard; Occupational Safety and Health Program; Mobilization/Demobilization; Removal of Structures and Obstruction; Structure Excavation (Common Soil);</t>
  </si>
  <si>
    <t xml:space="preserve"> Provision of Field Office for the Engineer (Rental Basis); Permits and Clearances; Project Billboard/Signboard; Occupational Safety and Health Program; Mobilization/Demobilization; Structure Excavation (Common Soil) – Catch Basin); Structural Concrete, Co</t>
  </si>
  <si>
    <t xml:space="preserve"> 1. The total approved budget for the contract for the SUPPLY AND DELIVERY OF SUBMERSIBLE MOTOR 7.5HP is PhP 65,000.00 2. Price quotations must include all taxes, duties, and/or levies payable and must be valid for 30 days. 3. Suppliers must specify the BR</t>
  </si>
  <si>
    <t xml:space="preserve"> Sir/Ma'am: Please quote your lowesy possible price for the article described in the attached document.</t>
  </si>
  <si>
    <t xml:space="preserve"> Provision of Field Office for the Engineer (Rental Basis); Permits and Clearances; Project Billboard/Signboard; Occupational Safety and Health Program; Mobilization/Demobilization; Clearing and Grubbing; Structure Excavation (Common Soil); Embankment from</t>
  </si>
  <si>
    <t xml:space="preserve"> NOTE: ALL ITEMS MUST BE DELIVERED IN ONE PACKAGE           LIST OF ITEMS AND ESTIMATED COST ARE INCLUDED 15		REAMS	Bond Paper 70 GSM (LONG)				 195.00 	 2,925.00  15		REAMS	Bond Paper 70 GSM (SHORT)				 165.00 	 2,475.00  12		PCS.	ballpen (blue)				      </t>
  </si>
  <si>
    <t xml:space="preserve"> Reagent (Rapid Test) Syphillis RPR 40T, 10 boxes &amp; 1 other line item</t>
  </si>
  <si>
    <t xml:space="preserve"> Actin 2mlx10, 5 boxes &amp; 3 other line items</t>
  </si>
  <si>
    <t xml:space="preserve"> For the use of Antipolo City Hospital System. 200 pcs. Industrial Wall Fan 24", Heavy Duty</t>
  </si>
  <si>
    <t xml:space="preserve"> PROCUREMENT OF WATER MATERIALS PIPES AND FITTINGS FOR CONSTRUCTION OF WATER SYSTEM ONLY</t>
  </si>
  <si>
    <t xml:space="preserve"> Section I.  REQUEST FOR EXPRESSION OF INTEREST CONSULTING SERVICES  FOR THE PREPARATION OF DETAILED  ARCHITECTURAL AND ENGINEERING DESIGN FOR THE PROPOSED CONSTRUCTION OF A MULTI-PURPOSE BUILDING  (BARANGAY HALL AND FIRE AND RESCUE BRIGADE HEADQUARTERS)  </t>
  </si>
  <si>
    <t xml:space="preserve"> INVITATION TO BID A.	The Department of Public Works and Highways-Metro Manila 1 District Engineering Office, Westbank Road, Manggahan Floodway, Rosario, Pasig City through its Bids and Awards Committee (BAC), invites contractors to submit bids for the fol</t>
  </si>
  <si>
    <t xml:space="preserve"> NOTE: ALL ITEMS MUST BE DELIVERED IN ONE PACKAGE           LIST OF ITEMS AND ESTIMATED COST ARE INCLUDED 59		pcs.	Silver Rod				                                     24.00 	 1,416.00  20		pcs.	Bronze Rod				                             50.00 	 1,000.00  2	</t>
  </si>
  <si>
    <t xml:space="preserve"> Improvement and Istallation of 2 pcs Culvert Purok 3</t>
  </si>
  <si>
    <t xml:space="preserve"> Various Consumables for Drinking Fountain  80 UNI Water Filter Cartridge, 4 stages, 220V  9 SET *UV Lamp Sterilizer with Control Module, for drinking fountain  -In accordance with the Technical Specifications  ABC: Php 195,962.80  NOTE: Please sign all pa</t>
  </si>
  <si>
    <t xml:space="preserve"> D5 Normosol M 1L, 1,000 btl &amp; 2 other line items</t>
  </si>
  <si>
    <t xml:space="preserve"> PROCUREMENT OF WATER MATERIALS PIPES &amp; FITTINGS FOR CONSTRUCTION OF WATER SYSTEM ONLY</t>
  </si>
  <si>
    <t xml:space="preserve"> 1. The total approved budget for the contract for the SUPPLY AND DELIVERY OF VARIOUS WATER CONNECTION MATERIALS is PhP 360,440.00 2. Price quotations must include all taxes, duties, and/or levies payable and must be valid for 30 days. 3. Suppliers must sp</t>
  </si>
  <si>
    <t xml:space="preserve"> DESCRIPTION PROCUREMENT AND DELIVERY OF 834 BAGS OF GM HYBRID YELLOW CORN SEEDS FOR HIGH ELEVATION CORN AREAS @ 9KG/ BAG GM Hybrid Yellow Corn Seeds for High Elevation Corn Areas of Davao City @ 9 kilograms/ bag Farmer's preferred varieties:  NSIC 2019 GM</t>
  </si>
  <si>
    <t xml:space="preserve"> Epoetin beta (recombinant erythropoietin) 5000IU/0.3ml, 330 pre-filled syringe &amp; 1 other line item</t>
  </si>
  <si>
    <t xml:space="preserve"> Contract Name:	Completion of Motorpool- Bulanao Campus Contract ID Number:	IB_CivilWorks_2020-06-034 Location of the Contract:	KSU Main Campus, National Highway, Purok 6, Bulanao, Tabuk City, Kalinga Lot and Reference:	Two Lots - Completion of Motorpool- </t>
  </si>
  <si>
    <t xml:space="preserve"> 1. The total approved budget for the contract for the SSUPPLY AND DELIVERY OF VARIOUS G.I. FITTINGS is PhP 91,000.00 2. Price quotations must include all taxes, duties, and/or levies payable and must be valid for 30 days. 3. Suppliers must specify the BRA</t>
  </si>
  <si>
    <t xml:space="preserve"> NOTE: ALL ITEMS MUST BE DELIVERED IN ONE PACKAGE           LIST OF ITEMS AND ESTIMATED COST ARE INCLUDED 5		REAMS	Bond Paper 70 GSM (LONG)				 195.00 	 975.00  3		REAMS	Bond Paper 70 GSM (SHORT)				 175.00 	 525.00  66		PCS.	FOLDER (LONG-ORDINARY WHITE)		</t>
  </si>
  <si>
    <t xml:space="preserve"> 1. The total approved budget for the contract for the SUPPLY AND DELIVERY OF VARIOUS CI FITTINGS AND uPVC BEND is PhP 128,150.00 2. Price quotations must include all taxes, duties, and/or levies payable and must be valid for 30 days. 3. Suppliers must spe</t>
  </si>
  <si>
    <t xml:space="preserve"> Republic of the Philippines Province of Isabela LOCAL GOVERNMENT UNIT OF BENITO SOLIVEN INVITATION TO BID FOR THE PROCUREMENT OF MEDICINES AND MEDICAL SUPPLIES – 2ND QUARTER (GAD FUND) 1.	The Municipal Government of Benito Soliven, intends to apply the su</t>
  </si>
  <si>
    <t xml:space="preserve"> Repair, improvement, of Students' comfort room &amp; hand washing.</t>
  </si>
  <si>
    <t xml:space="preserve"> Construction of CVO Outpost Phase II, Barangay Nupolan, Josefina, ZDS</t>
  </si>
  <si>
    <t xml:space="preserve"> Rice Sardines, tuna, meat loaf Noodles Alcohol Soap Medicine</t>
  </si>
  <si>
    <t xml:space="preserve"> Necessary supplies for Office, Computer and Maintenance divided into 3 lots.  ***Kindly see attached file for reference</t>
  </si>
  <si>
    <t xml:space="preserve"> DESCRIPTION	UNIT	QTY LOT 1: PROCUREMENT OF PRINTER FOR DIFFERENT SCHOOLS Printer (L5190)	UNIT 	22 Specifications: Compact integrated tank design High yield ink bottles Spill-free, error-free refilling Print, scan, copy, fax with ADF Wi-Fi, Wi-Fi Direct Bo</t>
  </si>
  <si>
    <t xml:space="preserve"> 12 units integrated solar streetlights</t>
  </si>
  <si>
    <t xml:space="preserve"> Bevacizumab 400mg</t>
  </si>
  <si>
    <t xml:space="preserve"> DTaP + IPV + Hib 0.5ml, 100 pre-filled syringe &amp; 5 other line items</t>
  </si>
  <si>
    <t xml:space="preserve"> Amiodarone hydrochloride 200mg, 200 tablets &amp; 1 other line item</t>
  </si>
  <si>
    <t xml:space="preserve"> The Department of Agriculture-RFO 3, invites interested suppliers/ bidders to submit bid proposal(s) for the hereunder requirement, to wit: QUANTITY UNIT Item No. Description 1 lot I Permits &amp; Clearance 177 cu.m II Earth Works &amp; Dismantling 1 ls III Tools</t>
  </si>
  <si>
    <t xml:space="preserve"> 0.9% Sodium chloride 50ml, 3,100 bottle &amp; 3 other line items</t>
  </si>
  <si>
    <t xml:space="preserve"> Repair, improvement, re-laying of pipe, replacement of faucet, gate valve, ball valve  &amp; check valve on the whole campus. Repair of the motor pump, and install new pressure tank w/fittings.</t>
  </si>
  <si>
    <t xml:space="preserve"> Various Lights and Lighting Fixtures  50  SET Emergency Fluorescent Fixtures 36W 230V  450  SET Electronic T5 fixture, slim, 21w,220V,WW  -In accordance with the Technical Specifications  ABC: Php 192,000.00  NOTE: Please sign all pages of the Technical S</t>
  </si>
  <si>
    <t xml:space="preserve"> REQUEST FOR QUOTATION The Department of Budget and Management Regional Office VI, through its Bids and Awards Committee, intends to undertake Shopping for the procurement of 2nd quarter common-use supplies, in accordance with Section 52 of the Revised Imp</t>
  </si>
  <si>
    <t xml:space="preserve"> Under the Supreme Court decision with GR Nos 171947-48, dated December 19, 2008, was tasked the DENR to lead in the rehabilitation, clean up and preservation of Manila Bay, top restore and maintain its water SB level. The DENR-PENRO Laguna identified rive</t>
  </si>
  <si>
    <t xml:space="preserve"> 1.	The Davao del Norte State College through the Internally Generated Income, Tuition Fee  intends to apply the sum of Five Million Pesos Only (Php 5,000,000.00) being the Approved Budget for the Contract (ABC) to payment under the contract for the Purcha</t>
  </si>
  <si>
    <t xml:space="preserve"> Irinotecan hydrochloride 100mg/5ml, 35 vial &amp; 4 other line items</t>
  </si>
  <si>
    <t xml:space="preserve"> Necessary supplies for Risograph machine and its maintenance ***kindly see attached file for reference</t>
  </si>
  <si>
    <t xml:space="preserve"> REQUEST FOR QUOTATION TO: ALL BIDDERS/SUPPLIERS The Games and Amusements Board (GAB) through its Bids and Awards Committee (BAC) will undertake a Small Value Procurement in accordance with Section 53.9 of the 2016 Revised Implementing Rules and Regulation</t>
  </si>
  <si>
    <t xml:space="preserve"> Essential ink supply for a printer ***kindly see attached file for Reference</t>
  </si>
  <si>
    <t xml:space="preserve"> One (1) Lot Preventive Maintenance of Integrated Electronic Security System for BSP Head Office 2020, as per BSP Terms of Reference and Service Level Agreement Contract Duration: Duration shall start from the date stipulated in the Notice to Proceed to be</t>
  </si>
  <si>
    <t xml:space="preserve"> 14 boxes Chlorpromazine 200mg tablet (100'S) 3 boxes Olanzapine 10mg tablet (100'S) 5 box Biperidin Hcl 20mg tablet  (100'S) 50 amp Fluphenazine ampule 5 box Risperidone 2mg ABC:  Php 75,310.00 Source of Fund:  GoP/GF</t>
  </si>
  <si>
    <t xml:space="preserve"> Republic of the Philippines Province of Isabela LOCAL GOVERNMENT UNIT OF BENITO SOLIVEN INVITATION TO BID FOR THE PROCUREMENT OF MEDICINES AND MEDICAL SUPPLIES – 2ND QUARTER (GENERAL FUND) 1.	The Municipal Government of Benito Soliven, intends to apply th</t>
  </si>
  <si>
    <t xml:space="preserve"> NAME OF THE PROJECT: Improvement of Visitor’s Center- (Ogod)  LOCATION OF THE PROJECT:  Ogod, Donsol, Sorsogon  PROJECT REFERENCE NO.:  INFRA-PB-2020-010  Approved Budget for the Contract: ₱1,000,000.00  Source of Fund: A.O. No. 6, s-2020 BRIEF DESCRIPTIO</t>
  </si>
  <si>
    <t xml:space="preserve"> Pls see attached REI.</t>
  </si>
  <si>
    <t xml:space="preserve"> NAME OF THE PROJECT: Improvement of New Public Building  LOCATION OF THE PROJECT: Market Site, Donsol, Sorsogon  PROJECT REFERENCE NO.:  INFRA-PB-2020-013  Approved Budget for the Contract: ₱2,000,000.00  Source of Fund: A.O. No. 07, s-2020 BRIEF DESCRIPT</t>
  </si>
  <si>
    <t xml:space="preserve"> NAME OF THE PROJECT: Improvement of Tourism Building (Governor’s Guest House)  LOCATION OF THE PROJECT:  Tourism Compound, Dancalan, Donsol, Sorsogon  PROJECT REFERENCE NO.:  INFRA-PB-2020-011  Approved Budget for the Contract: ₱1,000,000.00  Source of Fu</t>
  </si>
  <si>
    <t xml:space="preserve"> Necessary supplies for out Disaster Risk Reduction Management Team ***kindly see attached file for Reference</t>
  </si>
  <si>
    <t xml:space="preserve"> NAME OF THE PROJECT: Construction of Perimeter Fence  LOCATION OF THE PROJECT: Donsol Community College- Tres Marias, Donsol, Sorsogon  PROJECT REFERENCE NO.:  INFRA-PB-2020-012  Approved Budget for the Contract: ₱1,500,000.00  Source of Fund: 20%  MCDF 2</t>
  </si>
  <si>
    <t xml:space="preserve"> General Support Services- Rental of Equipment Amount - 84,750.00</t>
  </si>
  <si>
    <t xml:space="preserve"> NAME OF THE PROJECT: Installation of Street Lights  LOCATION OF THE PROJECT: Donsol Community College to Tres Marias, Donsol, Sorsogon  PROJECT REFERENCE NO.:  INFRA-PB-2020-014  Approved Budget for the Contract: ₱2,800,000.00  Source of Fund: MCDF 2019 B</t>
  </si>
  <si>
    <t xml:space="preserve"> Procurement of Acetylcisteine</t>
  </si>
  <si>
    <t xml:space="preserve"> Section I. Notice of Eligibility and Short Listing 09 June 2020 Mr. Jose Victor Gaite Chief Finance Officer EON (Events Organizer Network), Inc. 8F OPL Building, 100 C. Palanca St., Legaspi Village, Makati City Dear Mr. Gaite: 1.	The Department of Health </t>
  </si>
  <si>
    <t xml:space="preserve"> Procurement of Blood Typing Sera</t>
  </si>
  <si>
    <t xml:space="preserve"> The Municipal Government of Aloguinsan invites prospective bidders to bid for the project Supply and Delivery of Pipes and Fittings for LGU Run Water System Source of Fund: 20% Development Fund ABC: Php 779,850.00 The complete schedule of activities will </t>
  </si>
  <si>
    <t xml:space="preserve"> Papsmear</t>
  </si>
  <si>
    <t xml:space="preserve"> SEE ATTACH RFQ</t>
  </si>
  <si>
    <t xml:space="preserve"> Republic of the Philippines                   Department of Health	       CENTRAL OFFICE BIDS AND AWARDS COMMITTEE  INVITATION TO BID FOR  PROCUREMENT FOR THE EXPANSION OF EXISTING SOLID STATE DRIVE (SSD) IB NO. 2020-222 1.	The Department of Health (DOH),</t>
  </si>
  <si>
    <t xml:space="preserve"> Bale Angeleno</t>
  </si>
  <si>
    <t xml:space="preserve"> I. To be Installed to the following branches (Please see attached files @ Associated Components) LAGUNA BINAN BRANCH- Old National Highway, Brgy. Canlalay Binan, Laguna CABUYAO BRACH- Don Onofre Bldg., F. Bailon St. Brgy. Sala Cabuyao, Laguna CALAMBA BRAN</t>
  </si>
  <si>
    <t xml:space="preserve"> Procurement of Amikacn</t>
  </si>
  <si>
    <t xml:space="preserve"> Please quote your lowest price on the items listed below, subject to the General Conditions, stating the shortest time of delivery and submit your quotation duly signed by your representative.		 		 Instructions:		 a)  Download the OFFICIAL BID FORM (Reque</t>
  </si>
  <si>
    <t xml:space="preserve"> The DENR-PENRO Davao del Sur, through its Bids and Awards Committee (BAC), invites contractors to submit bids for the following Contract: Contract Name      :    Establishment of 1,000 cu.m Gabions                                    Contract Location :   </t>
  </si>
  <si>
    <t xml:space="preserve"> ITEM NO.	DESCRIPTION	UNIT	QTY LOT 1	BOND PAPER A4	 REAMS 	9,856 	Specifications: Multi-Purpose Copy Paper  	8 ¼” * 11 ¾” 	SUBS 20/70 GSM</t>
  </si>
  <si>
    <t xml:space="preserve"> REPUBLIC OF THE PHILIPPINES  CITY OF MANILA BARANGAY 227 ZONE 21 DISTRICT 2 MANILA OFFICE OF THE BID AWARDS COMMITTEE BIDS &amp; AWARDS COMMITTEE INVITATION TO BID THE BARANGAY 227 ZONE 21 DISTRICT 2 TONDO,MANILA THROUGH ITS BID &amp; AWARDS COMMITTEE (BAC) INVIT</t>
  </si>
  <si>
    <t xml:space="preserve"> Flu vaccine  w/ medical personnel for the application of the vaccine+ Medical examination by a doctor.</t>
  </si>
  <si>
    <t xml:space="preserve"> Request for Expression of Interest (REOI)  for the  CONSULTANCY SERVICES FOR THE CONDUCT OF FEASIBILITY STUDY OF PROPOSED CONSTRUCTION OF MISSING LINKS AND NEW ROADS NAGUILIAN-BAGULIN (LA UNION) - KAPANGAN (BENGUET) ROAD (REGION I) 1.	The DPWH-Regional Of</t>
  </si>
  <si>
    <t xml:space="preserve"> Spl-1 Excavation  Spl-2 Concrete Works Spl-3 Iron Works Spl-4 Electrical Works</t>
  </si>
  <si>
    <t xml:space="preserve"> THE PROCURING ENTITY THROUGH ITS BIDS AND AWARDS COMMITTEE INVITES SUPPLIER TO QUOTE FOR THE HEREUNDER PROJECT PROGRAM: ELECTRIFICATION PROJECTS -20% EDF 2019 ITEMS	DESCRIPTION	ABC/UNIT	QTY	UNIT 1	Various Electrical Materials (Electrical): 1 Lot. 	3     R</t>
  </si>
  <si>
    <t xml:space="preserve"> 0.9% Sodium chloride 50ml, 5,050 btls &amp; 2 other line items</t>
  </si>
  <si>
    <t xml:space="preserve"> OFFICE EQUIPMENT 1 unit SMART TV 65"</t>
  </si>
  <si>
    <t xml:space="preserve"> Republic of the Philippines Province of Iloilo BIDS AND AWARDS COMMITTEE INVITATION TO BID Purchase of Office Furniture and Fixtures Bid No. AGR-20-0339-B 1. The Iloilo Provincial Government, through the   General Fund CY 2020 intends to apply the sum of </t>
  </si>
  <si>
    <t xml:space="preserve"> INVITATION TO BID The Local Government unit of Barangay Alapang through the Bids and Awards Committee(BAC) invites contractors to bid for the hereunder projects: A. Contract reference No.:	                        POW-1041-2020-ALA-01B Name of Project:	   </t>
  </si>
  <si>
    <t xml:space="preserve"> Republic of the Philippines MUNICIPALITY OF BOLINAO Province of Pangasinan PROPOSED ROAD OPENING AT PUROK 5 TO SITIO SICUPET, CATUNGI, BOLINAO, PANGASINAN 1.	The LOCAL GOVERNMENT UNIT OF BOLINAO, PANGASINAN through the 20% Development Fundintends to apply</t>
  </si>
  <si>
    <t xml:space="preserve"> Republic of the Philippines Province of Iloilo BIDS AND AWARDS COMMITTEE INVITATION TO BID Purchase of Agricultural Seeds and Materials Bid No. AGR-20-0349-B 1. The Iloilo Provincial Government, through the    General Fund 2020 intends to apply the sum of</t>
  </si>
  <si>
    <t xml:space="preserve"> Republic of the Philippines Province of Iloilo BIDS AND AWARDS COMMITTEE INVITATION TO BID Purchase of Janitorial Supplies Bid No. AGR-20-0610-B 1. The Iloilo Provincial Government, through the    General Fund 2020 intends to apply the sum of SEVENTY THOU</t>
  </si>
  <si>
    <t xml:space="preserve"> Republic of the Philippines Province of Iloilo BIDS AND AWARDS COMMITTEE INVITATION TO BID Purchase of Agricultural Seeds and Supplies Bid No. AGR-20-0581-B 1. The Iloilo Provincial Government, through the    General Fund 2020 intends to apply the sum of </t>
  </si>
  <si>
    <t xml:space="preserve"> BID TENDER								 The Bids and Awards Committee								 Province of Iloilo								 								      In connection with your Invitation to Bid No. PEN-20-0312-B scheduled on June 17,2020, I/We proposed to furnish and deliver in conformity with the Terms and </t>
  </si>
  <si>
    <t xml:space="preserve"> 1.	The Provincial Government of Ilocos Norte, through the General Fund  intends to apply the sum of Two Million Five Hundred Thousand Pesos                                  (Php 2,500,000.00               ) being the Approved Budget for the Contract (ABC)</t>
  </si>
  <si>
    <t xml:space="preserve"> 1. The Barangay Government of Bagontaas, Valencia City, Bukidnon through its 2020 20% LDF, intends to apply the following sum of One hundred forty three thousand nine hundred eighty &amp; 32/100 (P143,980.32) @ P-11a, Bagontaas, Valencia City, Bukidnon.  Bids</t>
  </si>
  <si>
    <t xml:space="preserve"> 1.	The Provincial Government of Ilocos Norte, through the General Fund  intends to apply the sum of Eighteen Million Pesos            (Php  18,000,000.00                        ) being the Approved Budget for the Contract (ABC) to payments under the contr</t>
  </si>
  <si>
    <t xml:space="preserve"> Invitation to Bid No. 2020-01 Republic of the Philippines Batangas City Invitation to Bid for the Purchase of Medical Equipment for the use of Barangay Mahabang Dahilig, Batangas City. The Barangay Government through the Office of the Brgy. Chairman inten</t>
  </si>
  <si>
    <t xml:space="preserve"> FOR CID CHIEF USE 1,510 pcs   DVD-R</t>
  </si>
  <si>
    <t xml:space="preserve"> BID TENDER								 The Bids and Awards Committee								 Province of Iloilo								 								      In connection with your Invitation to Bid No. PEN-20-0130-B scheduled on June 17,2020, I/We proposed to furnish and deliver in conformity with the Terms and </t>
  </si>
  <si>
    <t xml:space="preserve"> ITEM I. Lay-out &amp; Drilling Works ITEM II. Reinforcing Steel ITEM III. Formworks ITEM IV. Concrete Works ITEM V. Painting Works ITEM VI. Welding Works (Road Signages) ABC: PHP 115,000.00</t>
  </si>
  <si>
    <t xml:space="preserve"> Republic of the Philippines Province of Iloilo  BIDS AND AWARDS COMMITTEE REQUEST FOR QUOTATION Quotation No. PEN-20-0488-NP (SV) Reference PR No. PEN-20-0488 June 2, 2020 __________________________ __________________________ __________________________  (</t>
  </si>
  <si>
    <t xml:space="preserve"> Office Supplies for the following departments: SB Office DRR/MENRO Engineering Accounting Mayor's Office Local Civil Registry DILG MSWDO Schedule of Activities: ACTIVITIES | SCHEDULE Posting | June 10-17, 2020 Issuance &amp; Availability of Bid Documents | Ju</t>
  </si>
  <si>
    <t xml:space="preserve"> Procurement of Three (3) years Security Services of PFDA-Iloilo Fish Port Complex and its premises.</t>
  </si>
  <si>
    <t xml:space="preserve"> Republic of the Philippines DEPARTMENT OF PUBLIC WORKS AND HIGHWAYS OFFICE OF THE DISTRICT ENGINEER Cavite II District Engineering Office Brgy. Mangas II, Alfonso, Cavite INVITATION TO BID The Department of Public Works and Highways (DPWH) Cavite II Distr</t>
  </si>
  <si>
    <t xml:space="preserve"> PROCUREMENT OF HEAVY EQUIPMENT &amp; TRUCK</t>
  </si>
  <si>
    <t xml:space="preserve"> 1.	The Provincial Government of Batanes, through the Provincial Appropriations Ordinance No. 03 series of 2019 (20% Development Fund) intends to apply the sum of Two Hundred Ninety-Three Thousand Seven Hundred Thirty Pesos Only (₱ 293,730.00), being the A</t>
  </si>
  <si>
    <t xml:space="preserve"> Republic of the Philippines Province of Bukidnon MUNICIPALITY OF PANGANTUCAN TIN 099-000-631-170 OFFICE OF THE MUNICIPAL MAYOR Bids and Awards Committee (BAC) Cell # 09261024636  Email us: munpangantucanbukidnon@yahoo.com  or visit www.philgeps.net REQUES</t>
  </si>
  <si>
    <t xml:space="preserve"> Purchasing of Collapsible Tent Covers 10 Big 10 Small</t>
  </si>
  <si>
    <t xml:space="preserve"> INVITATION TO BID IB No. GS-2020 – 070 Office Supplies and Devices/Other Supplies for use of PGOM Office Supplies 3rd Quarter Based on the  Consolidated Annual Procurement Plan for the year 2020 1. The  Provincial  Government  of  Oriental  Mindoro  (PGOM</t>
  </si>
  <si>
    <t xml:space="preserve"> Republic of the Philippines Province of Iloilo BIDS AND AWARDS COMMITTEE INVITATION TO BID Purchase of Construction Supplies and Materials Bid No. AGR-20-0594-B 1. The Iloilo Provincial Government, through the    General Fund 2020 intends to apply the sum</t>
  </si>
  <si>
    <t xml:space="preserve"> Republic of the Philippines Province of Iloilo BIDS AND AWARDS COMMITTEE INVITATION TO BID Purchase of Office Equipment Bid No.GOV-20-0477-B 1. The Iloilo Provincial Government, through the 2020 GENERAL FUND intends to apply the sum of ONE HUNDRED SIXTY F</t>
  </si>
  <si>
    <t xml:space="preserve"> TERMS OF REFERENCE PREVENTIVE MAINTENANCE OF AIRCONDITIONING UNITS I. THE PROJECT One (1) lot Supply of Labor, Tools, Materials, Chemicals and Equipment for the Two (2) years Preventive Maintenance of Air Conditioning Units (ACUs) and components at LANDBA</t>
  </si>
  <si>
    <t xml:space="preserve"> Republic of the Philippines Province of Guimaras OFFICE OF THE BIDS AND AWARDS COMMITTEE INVITATION TO BID FOR    SUPPLY AND DELIVERY OF DRUGS AND MEDICINES Bid Ref. No. 2020-01-051 Re-bid 1.	The Province of Guimaras , through the Revolving Fund  intends </t>
  </si>
  <si>
    <t xml:space="preserve"> 1.	The Provincial Government of Batanes, through the Provincial Appropriations Ordinance No. 03 series of 2019 (20% Development Fund) intends to apply the sum of Eight-Three Thousand Two Hundred Thirty Pesos Only (₱ 83,230.00), being the Approved Budget f</t>
  </si>
  <si>
    <t xml:space="preserve"> 1.	The Provincial Government of Batanes, through the Provincial Appropriations Ordinance No. 03 series of 2019 (20% Development Fund) intends to apply the sum of One Million Two Hundred Ninety Thousand Six Hundred Fifty-Five Pesos and 08/100 Only (₱ 1,290</t>
  </si>
  <si>
    <t xml:space="preserve"> 1.	The Provincial Government of Batanes, through the Provincial Appropriations Ordinance No. 03 series of 2019 (20% Development Fund) intends to apply the sum of One Hundred Ninety-Four Thousand Eight Hundred Sixty-Three Pesos Only (₱ 194,863.00), being t</t>
  </si>
  <si>
    <t xml:space="preserve"> INVITATION TO BID FOR  CONSTRUCTION OF FLOOD CONTROL - DARDARAT The Municipality of San Juan, through its Bids and Awards Committee (BAC), invites contractors to submit bids for the following Contract: Contract ID		:          	20-00042						 Contract Name</t>
  </si>
  <si>
    <t xml:space="preserve"> 1.	The Provincial Government of Batanes, through the Provincial Appropriations Ordinance No. 03 series of 2019 (20% Development Fund) intends to apply the sum of Seven Hundred Seventy-Five Thousand Eighty Pesos Only (₱ 775,080.00), being the Approved Budg</t>
  </si>
  <si>
    <t xml:space="preserve"> 1.	The Provincial Government of Batanes, through the Provincial Appropriations Ordinance No. 03 series of 2019 (20% Development Fund) intends to apply the sum of One Hundred Forty-Five Thousand Pesos Only (₱ 145,000.00), being the Approved Budget for the </t>
  </si>
  <si>
    <t xml:space="preserve"> Republic of the Philippines Province of Laguna Municipality of Paete Tel. Nos. (049) 501-6490-101, (049) 557-0001  Invitation to Bid for  Invitation to Bid for Local Access Road, Concreting of C.M. Recto, C. Cajumban St., C. Mila., and A. Caguin Sr. St. B</t>
  </si>
  <si>
    <t xml:space="preserve"> 1.	The Provincial Government of Batanes, through the Provincial Appropriations Ordinance No. 03 series of 2019 (20% Development Fund) intends to apply the sum of Seven Hundred Eighteen Thousand Ninety Pesos Only (₱ 718,090.00), being the Approved Budget f</t>
  </si>
  <si>
    <t xml:space="preserve"> Please quote your lowest price on the item(s)  listed below, subject to the Terms and Condition Stated												 below and submit your quotation duly signed by your representative not later than 10:30 A.M. of  June 16, 												 2020, at the return e</t>
  </si>
  <si>
    <t xml:space="preserve"> 1.	The Provincial Government of Batanes, through the Provincial Appropriations Ordinance No. 03 series of 2019 (20% Development Fund) intends to apply the sum of Two Hundred Sixteen Thousand (₱ 216,000.00), being the Approved Budget for the Contract (ABC)</t>
  </si>
  <si>
    <t xml:space="preserve"> Description Please quote your price inclusive of VAT on the item/s listed below, subject to the Terms and conditions of the RFQ, and submit your quotation duly signed by your representative not later than June 16, 2020 at CGSO for Goods. Upon receipt of a</t>
  </si>
  <si>
    <t xml:space="preserve"> 1.	The Provincial Government of Batanes, through the Provincial Appropriations Ordinance No. 03 series of 2019 (20% Development Fund) intends to apply the sum of One Hundred Thirty-Four Thousand Seven Hundred Eighty-Five Pesos Only (₱ 134,785.00), being t</t>
  </si>
  <si>
    <t xml:space="preserve"> Republic of the Philippines Province of Laguna Municipality of Paete Tel. Nos. (049) 501-6490-101, (049) 557-0001  Invitation to Bid for  Invitation to Bid for Improvement of Drainage Canal at San Rafael St., Kapt Aguinaldo St., &amp; E. Cagayan St., Barangay</t>
  </si>
  <si>
    <t xml:space="preserve"> 1.	The Provincial Government of Batanes, through the DOST R02 Funded Project under 20% Development Fund intends to apply the sum of Eight Hundred Thousand Pesos Only (₱ 800,000.00), being the Approved Budget for the Contract (ABC) to payments under the co</t>
  </si>
  <si>
    <t xml:space="preserve"> Republic of the Philippines Province of Southern Leyte Municipality of San Juan BIDS AND AWARDS COMMITTEE INVITATION TO BID 								Date:	January 10, 2020						                Contract no:    MSJ-2020-17 The LGU of the Municipality of San Juan, Southern L</t>
  </si>
  <si>
    <t xml:space="preserve"> a. CONTRACT ID: RIZAL-30JUNE2020-9 b. NAME OF PROJECT: Construction of 2-storey, 10-rooms Ynares School Building Don Jose Ynares Sr. Mem. School, Brgy. San Carlos, Binangonan, Rizal c. LOCATION: Brgy. San Carlos, Binangonan, Rizal d. BRIEF DESCRIPTION: Co</t>
  </si>
  <si>
    <t xml:space="preserve"> Republic of the Philippines Province of Guimaras OFFICE OF THE BIDS AND AWARDS COMMITTEE INVITATION TO BID FOR    SUPPLY AND DELIVERY OF FARM TOOLS EQUIPMENT Bid Ref. No. 2020-06-324 1.	The Province of Guimaras , through the 2020 20% DF- Support to Agrofo</t>
  </si>
  <si>
    <t xml:space="preserve"> Republic of the Philippines Province of Guimaras OFFICE OF THE BIDS AND AWARDS COMMITTEE Invitation to Bid for  One Job Supply of Materials and  Labor for the Improvement of Covered GYM at Rev-San Lorenzo NHS (Construction of Stage Phase I), San Lorenzo w</t>
  </si>
  <si>
    <t xml:space="preserve"> a. CONTRACT ID: RIZAL-30JUNE2020-8 b. NAME OF PROJECT: Construction/Provision of Wash Facilities (Water, Sanitation &amp; Hygiene) at Bangad Elem. School, Brgy. Bangad, Binangonan, Rizal c. LOCATION: Brgy. Bangad, Binangonan, Rizal  d. BRIEF DESCRIPTION: Wash</t>
  </si>
  <si>
    <t xml:space="preserve"> a. CONTRACT ID: RIZAL-30JUNE2020-7 b. NAME OF PROJECT: Construction/Provision of Wash Facilities (Water, Sanitation &amp; Hygiene) at Casimiro A. Ynares Sr. Elem. School, Brgy. Mambog, Binangonan, Rizal c. LOCATION: Brgy. Mambog, Binangonan, Rizal d. BRIEF DE</t>
  </si>
  <si>
    <t xml:space="preserve"> Republic of the Philippines Province of Guimaras OFFICE OF THE BIDS AND AWARDS COMMITTEE INVITATION TO BID FOR    SUPPLY AND DELIVERY OF MATERIALS FOR WATER SAMPLING AND ANALYSIS Bid Ref. No. 2020-06-325 1.	The Province of Guimaras , through the 2020 SPP </t>
  </si>
  <si>
    <t xml:space="preserve"> a. CONTRACT ID: RIZAL-30JUNE2020-5 b. NAME OF PROJECT: Improvement of School building, Concreting of Ground &amp; Construction of Gate at Darangan Elem. School, Brgy. Darangan, Binangonan, Rizal c. LOCATION: Brgy. Darangan, Binangonan, Rizal d. BRIEF DESCRIPT</t>
  </si>
  <si>
    <t xml:space="preserve"> a. CONTRACT ID: RIZAL-30JUNE2020-2 b. NAME OF PROJECT: Improvement (Provision of Tiles) of School Buildings at San Vicente Elem. School, Brgy. San Vicente, Angono, Rizal c. LOCATION: Brgy. San Vicente, Angono, Rizal  d. BRIEF DESCRIPTION: Improvement of S</t>
  </si>
  <si>
    <t xml:space="preserve"> a. CONTRACT ID: RIZAL-30JUNE2020-3 b. NAME OF PROJECT: Repainting/Improvement of Ynares Multi-Purpose Covered Court &amp; Const. of Comfort Room at Rainbow Village 1, Brgy. Kalayaan, Angono, Rizal c. LOCATION: Brgy. Kalayaan, Angono, Rizal d. BRIEF DESCRIPTIO</t>
  </si>
  <si>
    <t xml:space="preserve"> a. CONTRACT ID: RIZAL-30JUNE2020-11 b. NAME OF PROJECT: Construction of 4-storey, 8-rooms Ynares School Building at Rosario Ocampo Elem. School, Brgy. San Juan, Taytay, Rizal c. LOCATION: Brgy. San Juan, Taytay, Rizal  d. BRIEF DESCRIPTION: Construction o</t>
  </si>
  <si>
    <t xml:space="preserve"> 1.	The Provincial Government of Batanes, through the Provincial Appropriations Ordinance No. 03 series of 2019 (20% Development Fund) intends to apply the sum of Three Hundred Fifty-Six Thousand Seven Hundred Fifteen Pesos Only (₱ 356,715.00), being the A</t>
  </si>
  <si>
    <t xml:space="preserve"> a. CONTRACT ID: RIZAL-30JUNE2020-4 b. NAME OF PROJECT: Improvement / Construction of Stone Masonry for Slope Protection and Concreting of Creek bed, Brgy. Malakaban, Binangonan, Rizal c. LOCATION: Brgy. Malakaban, Binangonan, Rizal d. BRIEF DESCRIPTION: S</t>
  </si>
  <si>
    <t xml:space="preserve"> a. CONTRACT ID: RIZAL-30JUNE2020-6 b. NAME OF PROJECT: Improvement/Repair of Ynares Multi-Purpose Covered Court, Brgy. Pilapila, Binangonan, Rizal c. LOCATION: Brgy. Pilapila, Binangonan, Rizal d. BRIEF DESCRIPTION: Improvement of Ynares Multi-Purpose Cov</t>
  </si>
  <si>
    <t xml:space="preserve"> 1.	The Provincial Government of Batanes, through the Provincial Appropriations Ordinance No. 03 series of 2019 (20% Development Fund) intends to apply the sum of Three Hundred Forty-Two Thousand Three Hundred Thirty Pesos Only (₱ 342,330.00), being the Ap</t>
  </si>
  <si>
    <t xml:space="preserve"> a. CONTRACT ID: RIZAL-30JUNE2020-12 b. NAME OF PROJECT: Replacement of CHB Wall &amp; Steel Matting Fence at Rotary Day Care Center Southville 9 Phase 1, Brgy. Pinugay, Baras, Rizal c. LOCATION: Brgy. Pinugay, Baras, Rizal d. BRIEF DESCRIPTION: Replacement of</t>
  </si>
  <si>
    <t xml:space="preserve"> a. CONTRACT ID: RIZAL-30JUNE2020-1 b. NAME OF PROJECT: Repair/Improvement of Ynares Multi-Purpose Covered Court &amp; Repair of Comfort Room at Brgy. San Jose, Brgy. Dalig &amp; Brgy. Mayamot, Antipolo City a)  Repair/Improvement of Ynares Multi-Purpose Covered C</t>
  </si>
  <si>
    <t xml:space="preserve"> a. CONTRACT ID: RIZAL-30JUNE2020-14 b. NAME OF PROJECT: Construction of 2-storey, 8-rooms Ynares School Building at Looc Elem. School, Brgy. Looc, Cardona, Rizal c. LOCATION: Brgy. Looc, Cardona, Rizal d. BRIEF DESCRIPTION: Construction of Ynares School B</t>
  </si>
  <si>
    <t xml:space="preserve"> 1.	The Provincial Government of Batanes, through the Provincial Appropriations Ordinance No. 03 series of 2019 (20% Development Fund) intends to apply the sum of Six Hundred Ten Thousand Nine Hundred Sixty-Five Pesos Only (₱ 610,965.00), being the Approve</t>
  </si>
  <si>
    <t xml:space="preserve"> a. CONTRACT ID: RIZAL-30JUNE2020-13 b. NAME OF PROJECT: Construction of Perimeter Fence of Rural Health Unit at Southville 9 Phase 2, Brgy. Pinugay, Baras, Rizal c. LOCATION: Brgy. Pinugay, Baras, Rizal d. BRIEF DESCRIPTION: Construction of Perimeter Fenc</t>
  </si>
  <si>
    <t xml:space="preserve"> Back-up of databases, applications and electronic file wrappers</t>
  </si>
  <si>
    <t xml:space="preserve"> a. CONTRACT ID: RIZAL-30JUNE2020-24 b. NAME OF PROJECT: Construction of 2-storey, 6-rooms Ynares School Building at Abuyod Elem. School, Brgy. Dalig, Teresa, Rizal c. LOCATION: Brgy. Dalig, Teresa, Rizal  d. BRIEF DESCRIPTION: Construction of Ynares Schoo</t>
  </si>
  <si>
    <t xml:space="preserve"> a. CONTRACT ID: RIZAL-30JUNE2020-16 b. NAME OF PROJECT: Rehabilitation / Concreting of Bayanihan Street, Brgy. 3rd District, Jalajala, Rizal c. LOCATION: Brgy. 3rd District, Jalajala, Rizal d. BRIEF DESCRIPTION: Road improvement. e. MAJOR ITEM OF WORK: PC</t>
  </si>
  <si>
    <t xml:space="preserve"> a. CONTRACT ID: RIZAL-30JUNE2020-15 b. NAME OF PROJECT: Rehabilitation / Improvement of Road at Sitio Pinagkitran, Brgy. Boor, Cardona, Rizal c. LOCATION: Brgy. Boor, Cardona, Rizal d. BRIEF DESCRIPTION: Road improvement. e. MAJOR ITEM OF WORK: Stone Maso</t>
  </si>
  <si>
    <t xml:space="preserve"> a. CONTRACT ID: RIZAL-30JUNE2020-23 b. NAME OF PROJECT: Repair of Various Ynares School Building at Tanay National High School, Brgy. Plaza Aldea, Tanay, Rizal c. LOCATION: Brgy. Plaza Aldea, Tanay, Rizal d. BRIEF DESCRIPTION: Repair of Various Ynares Sch</t>
  </si>
  <si>
    <t xml:space="preserve"> a. CONTRACT ID: RIZAL-30JUNE2020-20 b. NAME OF PROJECT: Concreting (portion) of Road at Pililla GK Village, Pililla, Rizal c. LOCATION: Pililla, Rizal d. BRIEF DESCRIPTION: Road improvement.  e. MAJOR ITEM OF WORK: PCC Pavement (Plain) – Conventional Meth</t>
  </si>
  <si>
    <t xml:space="preserve"> a. CONTRACT ID: RIZAL-30JUNE2020-10 b. NAME OF PROJECT: Improvement / Concreting of Burbank Street (Area 10 &amp; 11) at Brookside Hills Subd., Brgy. San Isidro, Cainta, Rizal c. LOCATION: Brgy. San Isidro, Cainta, Rizal d. BRIEF DESCRIPTION: Road improvement</t>
  </si>
  <si>
    <t xml:space="preserve"> a. CONTRACT ID: RIZAL-30JUNE2020-22 b. NAME OF PROJECT: Concreting / Construction of Drainage Canal of Road at Daang Tubo East, Brgy. Guitnang Bayan I, San Mateo, Rizal c. LOCATION: Brgy. Guitnang Bayan I, San Mateo, Rizal d. BRIEF DESCRIPTION: Constructi</t>
  </si>
  <si>
    <t xml:space="preserve"> a. CONTRACT ID: RIZAL-30JUNE2020-25 b. NAME OF PROJECT: Installation of Electrical Lighting System of Ynares Multi-Purpose Covered Courts at Brgy. Dalig, Teresa, Rizal a)  Installation of Electrical Lighting System of Ynares Multi-Purpose Covered Court at</t>
  </si>
  <si>
    <t xml:space="preserve"> a. CONTRACT ID: RIZAL-30JUNE2020-21 b. NAME OF PROJECT: Const. of Ynares Stage at Phase 2 Eastwood Greenview Subd. , Brgy. San Isidro, Rodriguez, Rizal c. LOCATION: Brgy. San Isidro, Rodriguez, Rizal d. BRIEF DESCRIPTION: Const. of Ynares Stage e. MAJOR I</t>
  </si>
  <si>
    <t xml:space="preserve"> a. CONTRACT ID: RIZAL-30JUNE2020-18 b. NAME OF PROJECT: Asphalt Overlaying/Concrete Reblocking (portion) of Serafin Reyes St., Brgy. Punta, Jalajala, Rizal c. LOCATION: Brgy. Punta, Jalajala, Rizal d. BRIEF DESCRIPTION: Road improvement. e. MAJOR ITEM OF </t>
  </si>
  <si>
    <t xml:space="preserve"> PLEASE SEE ATTACHED DOCUMENTS.</t>
  </si>
  <si>
    <t xml:space="preserve"> a. CONTRACT ID: RIZAL-30JUNE2020-19 b. NAME OF PROJECT: Construction of 2-Units Artesian Well, Brgy. Bagumbong, Jalajala, Rizal c. LOCATION: Brgy. Bagumbong, Jalajala, Rizal d. BRIEF DESCRIPTION: Construction Artesian Well. e. MAJOR ITEM OF WORK: Drilling</t>
  </si>
  <si>
    <t xml:space="preserve"> Cellcards for EVSU-TC Key Officials for the month of April-June 2020 19 pcs. SMART300 21 pcs. TALK 'N TEXT300 78 pcs. GLOBE300</t>
  </si>
  <si>
    <t xml:space="preserve"> Republic of the Philippines Province of Leyte Municipality of Palo INVITATION TO BID FOR  Supply/Delivery of Materials for the Repair/Replacement Installation of LED Street Lights along the National Highway at  Brgy. Salvacion, San Miguel, Cavite East, Ca</t>
  </si>
  <si>
    <t xml:space="preserve"> Supply and Delivery of ICT Equipment (CCTV, Biometrics &amp; Network Printer including installation  for use of the District Office), Roxas, Palawan</t>
  </si>
  <si>
    <t xml:space="preserve"> Invitation to Bid SUPPLY AND DELIVERY OF TWO (2) UNITS BRAND NEW OFFICE VEHICLES UNDER PR NO. 13799 (Rebid) 1. The Metro Iloilo Water District through the Corporate Fund of 2020 intends to apply the sum of Two Million Five Hundred Thousand Pesos (P 2,500,</t>
  </si>
  <si>
    <t xml:space="preserve"> a. CONTRACT ID: RIZAL-30JUNE2020-17 b. NAME OF PROJECT: Asphalt Overlaying of A. Kalaw St., Sitio Sambungan, Brgy. Bagumbong, Jalajala, Rizal c. LOCATION: Brgy. Bagumbong, Jalajala, Rizal d. BRIEF DESCRIPTION: Road improvement. e. MAJOR ITEM OF WORK: Bitu</t>
  </si>
  <si>
    <t xml:space="preserve"> Republic of the Philippines Province of Bohol Municipality of Getafe Bids and Awards Committee Poblacion, Getafe, Bohol Telephone No. (038) 514-9048 REQUEST FOR QUOTATION RFQ NO. 1. The Municipality of Getafe, Bohol through its Bids and Awards Committee (</t>
  </si>
  <si>
    <t xml:space="preserve"> The purpose of procuring one (1) lot firewall software subscription support is to enable IPOPHL to protect its employees, network and information assets against known and advanced persistent cyber-attacks proliferating the Internet.</t>
  </si>
  <si>
    <t xml:space="preserve"> Republic of the Philippines Province of Zamboanga del Norte City of Dipolog BARANGAY PUNTA INVITATION TO APPLY FOR ELIGIBILITY TO BID The Barangay Govvernment Unit of Punta, Dipolog City, Zamboanga del Norte through its Bids and Award Committee (BAC) invi</t>
  </si>
  <si>
    <t xml:space="preserve"> Republic of the Philippines BIDS AND AWARDS COMMITTEE Province of Iloilo Invitation to Bid Purchase of Printing and Publication Materials Bid No. COO-20-0650-B 1. The Iloilo Provincial Government, through the GENERAL FUND 2020 intends to apply the sum of </t>
  </si>
  <si>
    <t xml:space="preserve"> Office use.</t>
  </si>
  <si>
    <t xml:space="preserve"> SUPPLY AND DELIVERY OF LABORATORY SUPPLIES FOR RHU LABORATORY The Local Government Unit of Mauban through the GENERAL FUND-4411/5-02-03-080 (03), 2020 intends to		 apply the sum of Six Hundred Forty Nine Thousand Four Hundred Thirty Pesos (Php 649,430.00)</t>
  </si>
  <si>
    <t xml:space="preserve"> For Administrative Support Program.</t>
  </si>
  <si>
    <t xml:space="preserve"> Use in Cebu City Medical Center-College of Nursing.</t>
  </si>
  <si>
    <t xml:space="preserve"> INVITATION TO BID (517-2020) Procurement of Construction Materials for the Concreting of Perimeter Fence at new PNP building The LGU Surallah through the Bids and Awards Committee (BAC) is inviting suppliers to bid for the supply and delivery of GOODS/INF</t>
  </si>
  <si>
    <t xml:space="preserve"> 20CSHN05 -Geotechnical/Sub-Surface Soil Investigation at  (1) Jagobiao Creek, Brgy. Nangka, Consolacion, Cebu,  (2) Jagobiao Creek, Brgy. Poblacion Oriental, Consolacion, Cebu &amp; (3) Cordova-RoRo Port, Brgy. Poblacion,  Cordova, Cebu Scope of Work		:	Geote</t>
  </si>
  <si>
    <t xml:space="preserve"> Stock No.     Unit     Item Description                                                  Quantity                               Speakers Microphone and Digital Mixer                               with the following Criteria:                               </t>
  </si>
  <si>
    <t xml:space="preserve"> INVITATION TO BID (512-2020) Procurement of Construction Materials for the Construction of Perimeter Niches, Brgy. Dajay, Surallah The LGU Surallah through the Bids and Awards Committee (BAC) is inviting suppliers to bid for the supply and delivery of GOO</t>
  </si>
  <si>
    <t xml:space="preserve"> Scope of Work		:	Geotechnical/Sub-Surface Soil Investigation</t>
  </si>
  <si>
    <t xml:space="preserve"> 20CSHN06 -Geotechnical/Sub-Surface Soil Investigation at  (1) Cansaga River, Brgy. Cansaga, (2) Cansaga River along Garing-Danglag-Polog Road &amp; (3) Cansaga River along Polog-Pulpogan-Cansaga Road, all in Consolacion, Cebu Scope of Work		:	Geotechnical/Sub</t>
  </si>
  <si>
    <t xml:space="preserve"> PNOC Exploration Corporation (PNOC EC), through its 2020 Corporate Budget, has an Approved Budget for the Contract (ABC) of Two Million One Hundred Thousand Pesos (PhP2,100,000.00), inclusive of all applicable taxes and other charges for the Rental of 50T</t>
  </si>
  <si>
    <t xml:space="preserve"> CONSTRUCTION OF MASONRY WALL IN ENVERGA BLVD., BARANGAY SADSARAN (NEAR GAT-UBAN PARK), MAUBAN, QUEZON. 1.	The Local Government Unit of Mauban  through the 20% DEVELOPMENT FUND(DF)-8751/1-07-03-990, 2020 intends to apply the sum of Five Hundred Ninety Seve</t>
  </si>
  <si>
    <t xml:space="preserve"> Invitation to Bid No. 2020-001 Republic of the Philippines Batangas City Invitation to Bid for the Purchase of Various Medicines for the use of Barangay Dalig, Batangas City. The Barangay Government through the Office of the Brgy. Chairman intends to appl</t>
  </si>
  <si>
    <t xml:space="preserve"> CONSTRUCTION OF SIDE WALK WITH BENCHES AND STREETLIGHTS IN ENVERGA BLVD., Barangay Sadsaran (GAT-UBAN TO REGIDOR ST.) MAUBAN, QUEZON. 1.	The Local Government Unit of Mauban  through the 20% DEVELOPMENT FUND (DF)-8751/1-07-03-010, 2020 intends to apply the</t>
  </si>
  <si>
    <t xml:space="preserve"> Procurement of various construction materials for use in the Repair and Maintenance of National Roads and Bridges within the district, DPWH, Negros Occidental 3rd District Engineering Office, Kabankalan City. 1.	The DPWH Negros Occidental 3rd District Eng</t>
  </si>
  <si>
    <t xml:space="preserve"> 20CSHN07 -Parcellary Survey for the Widening of Canduman-Cebu North Road, K0012+193 - K0013+195, Mandaue City, Cebu Scope of Work		:	Parcellary Survey for the Widening</t>
  </si>
  <si>
    <t xml:space="preserve"> Brgy. Government of Ginatilan BIDS AND AWARD COMMITTEE Brgy. Ginatilan, Kidapawan City INVITATIONS TO PAKYAW CONTRACT GROUPS Date: June 10, 2020 PL#:PL 2020-06-001 	The City of Kidapawan is inviting Pakyaw Contract Groups to apply for the various items in</t>
  </si>
  <si>
    <t xml:space="preserve"> LGU-BINUANGAN would like to invite all interested bidders/suppliers to supply and the delivery for the Purchase of Drugs and Medicines for the Health Office with an ABC of Sixty Two Thousand Forty Five Pesos Only (62,045.00).</t>
  </si>
  <si>
    <t xml:space="preserve"> Republic of the Philippines Region XII Province of Cotabato City of Kidapawan Brgy. Ginatilan OFFICE OF THE BIDS AND AWARD COMMITTEE June 10, 2020 INVITATION TO BID FOR  Supply and delivery of Plumbing Materials for the Proposed Replacement of Old and Bro</t>
  </si>
  <si>
    <t xml:space="preserve"> Supply/ Delivery of Drugs, Medicines, Medical, Dental &amp; Laboratory Supplies &amp; Micro Nutrient Supplementation particulary, Lot 2 &amp; 3 Please see attached Document for Lot 2 &amp; Lot 3 only</t>
  </si>
  <si>
    <t xml:space="preserve"> See attached document, print Bid Notice Abstract and download ITB No. GOODS-20-104.</t>
  </si>
  <si>
    <t xml:space="preserve"> BID TENDER								 The Bids and Awards Committee								 Province of Iloilo								 								      In connection with your Invitation to Bid No. CLI-20-0355-B scheduled on June 17, 2020, I/We proposed to furnish and deliver in conformity with the Terms and</t>
  </si>
  <si>
    <t xml:space="preserve"> See attached document, print Bid Notice Abstract and download ITB No. GOODS-20-107.</t>
  </si>
  <si>
    <t xml:space="preserve"> See attached document, print Bid Notice Abstract and download ITB No. GOODS-20-103.</t>
  </si>
  <si>
    <t xml:space="preserve"> See attached document, print Bid Notice Abstract and download ITB No. GOODS-20-105.</t>
  </si>
  <si>
    <t xml:space="preserve"> Republic of the Philippines Province of Iloilo BIDS AND AWARDS COMMITTEE INVITATION TO BID Purchase of Agricultural Supplies and Materials Bid No. AGR-20-0346-B 1. The Iloilo Provincial Government, through the    General Fund 2020 intends to apply the sum</t>
  </si>
  <si>
    <t xml:space="preserve"> Republic of the Philippies DEPARTMENT OF PUBLIC WORKS AND HIGHWAYS DAVAO ORIENTAL FIRST DISTRICT ENGINEERING OFFICE REGION XI Lucod, Baganga, Davao Oriental RE-INVITATION TO BID No. 2020-0008  1.The Department of Public Works and Highways, Davao Oriental </t>
  </si>
  <si>
    <t xml:space="preserve"> I. 	EARTHWORKS 		 a. 	Site Preparation 	                      1	lot  b. 	Excavation/ Demolation 	              1	lot  c. 	Hauling 	                                      1    	lot  			 II. 	CONCRETE WORKS (Conc. Drainage) 		 1	CHB 5" 	                     </t>
  </si>
  <si>
    <t xml:space="preserve"> Republic of the Philippines Province of Iloilo BIDS AND AWARDS COMMITTEE INVITATION TO BID Purchase of Animal Feeds Bid No. AGR-20-0348-B 1. The Iloilo Provincial Government, through the   General Fund CY 2020 intends to apply the sum of THREE HUNDRED FOU</t>
  </si>
  <si>
    <t xml:space="preserve"> UPS Battery 7.8Ah  4 unit Normal Voltage 12v,; Dimensions 15.1 x 6.5 x 10mm.; Terminal Type Faston F1; Construction AGM; Weight 2.6kg; Flame Resistant: Yes; Eurobat Classification 6 to 9 years; Operating Temperature Range 15 - +50°C UPS Battery 4.5Ah  8 u</t>
  </si>
  <si>
    <t xml:space="preserve"> Republic of the Philippines MUNICIPALITY OF ORION Province of Bataan Bids and Awards Committee Secretariat Office, 2nd Floor Municipal Building, San Vicente, Orion, Bataan Telephone No. 244-9611 local 101 20ITB-G-02-00033 Invitation to Bid Supply, Install</t>
  </si>
  <si>
    <t xml:space="preserve"> Republic of the Philippines CITY GOVERNMENT OF SAN FERNANDO Barangay Parian Email: brgy_parian_csflu@yahoo.com. INVITATION TO BID FOR  Construction of Drainage Canal Purok 1, Barangay Parian, City of San Fernando 1.	The Barangay Parian, through the Barang</t>
  </si>
  <si>
    <t xml:space="preserve"> See attached document, print Bid Notice Abstract and download ITB No. GOODS-20-106.</t>
  </si>
  <si>
    <t xml:space="preserve"> Calcium Hypocholoride, 40kg/drum  5 Drum Algae Control, Mero 185 Anti Algae  12 Bot Pls. submit your quotation thru email:  mi_lynsn@yahoo.com x-x-x-x-x-x-x-x-x-x-x-x-x-x-x-x-x Total ABC  (in PhP) 38,000.00</t>
  </si>
  <si>
    <t xml:space="preserve"> Republic of the Philippines DEPARTMENT OF PUBLIC WORKS &amp; HIGHWAYS Region X Office of the Regional Director Bulua, Cagayan de Oro City REQUEST FOR PROPOSAL June 03, 2020 The President Development Bank of the Philippines (DBP) Puyat Avenue corner Makati Ave</t>
  </si>
  <si>
    <t xml:space="preserve"> Republic of the Philippines DEPARTMENT OF HEALTH WESTERN VISAYAS Center for Health Development INVITATION TO BID FOR THE  Rebidding of Supplies for Water Purification and Testing,  IB No. SB-2020-006 1.	The Department of Health – WV CHD, through the GOP –</t>
  </si>
  <si>
    <t xml:space="preserve"> The Local  Government   Unit  of General  Santos  City, through  the  GENERAL FUND CY 2020  intends  to apply  the sum of seventy four thousand five hundred ninety six and xx / 100 Pesos Only (74,596.00)   being  the Approved  Budget  for the Contract   (</t>
  </si>
  <si>
    <t xml:space="preserve"> Republic of the Philippines Province of Davao De Oro MUNICIPALITY OF COMPOSTELA BIDS AND AWARDS COMMITTEE CP#: 0998-571-7569 INVITATION TO BID FOR  Procurement of Hardware Materials for Improvement of Bridges along Purok 9 to Purok 6 Mangayon ITB NO. 2020</t>
  </si>
  <si>
    <t xml:space="preserve"> REQUEST FOR QUOTATION Procurement of Goods [Submersible Pumpset] The   City Government of Tagbilaran, through its Bids and Awards Committee (BAC) intends to apply the sum of One Hundred Twenty-Five Thousand (P125,000.00) pesos onlybeing the Approved Budge</t>
  </si>
  <si>
    <t xml:space="preserve"> Republic of the Philippines DEPARTMENT OF PUBLIC WORKS AND HIGHWAYS DAVAO ORIENTAL FIRST DISTRICT ENGINEERING OFFICE REGION XI Lucod, Baganga, Davao Oriental RE-INVITATION TO BID No. 2020-0008  1.	The Department of Public Works and Highways, Davao Orienta</t>
  </si>
  <si>
    <t xml:space="preserve"> The Local  Government   Unit  of General  Santos  City, through  the  GENERAL FUND CY 2020  intends  to apply  the sum of two hundred thousand and xx / 100 Pesos Only (200,000.00)   being  the Approved  Budget  for the Contract   (ABC) to payments  under </t>
  </si>
  <si>
    <t xml:space="preserve"> Supply Delivery of Food Packs to be distributed to the families of PWD in the Municipality during COVD-19 situation. For further details, please refer to the attached Purchase Request in the associated components.</t>
  </si>
  <si>
    <t xml:space="preserve"> Republic of the Philippines DEPARTMENT OF HEALTH WESTERN VISAYAS Center for Health Development INVITATION TO BID FOR THE  Rebidding of Laboratory Supplies for STI, HIV and AIDS Program,  IB No. SB-2020-012 1.	The Department of Health – WV CHD, through the</t>
  </si>
  <si>
    <t xml:space="preserve"> REQUEST FOR QUOTATION Procurement of Goods [All Interior Upholstery] The   City Government of Tagbilaran, through its Bids and Awards Committee (BAC) intends to apply the sum of Sixty Thousand (P60,000.00) pesos onlybeing the Approved Budget for the Contr</t>
  </si>
  <si>
    <t xml:space="preserve"> PROCUREMENT OF OFFICE SUPPLIES</t>
  </si>
  <si>
    <t xml:space="preserve"> Purchase and Delivery of Drugs and Medical Supplies for 2nd Quarter 2020</t>
  </si>
  <si>
    <t xml:space="preserve"> PROCUREMENT OF OFFICE EQUIPMENT</t>
  </si>
  <si>
    <t xml:space="preserve"> REQUEST FOR QUOTATION Procurement of Goods [Colored Copier/Printer/Scanner/Banner] The   City Government of Tagbilaran, through its Bids and Awards Committee (BAC) intends to apply the sum of Two Hundred Fifty Thousand (P250,000.00) pesos onlybeing the Ap</t>
  </si>
  <si>
    <t xml:space="preserve"> REQUEST FOR QUOTATION Procurement of Goods [Tools for Transportation and Motorpool Use] The   City Government of Tagbilaran, through its Bids and Awards Committee (BAC) intends to apply the sum of One Hundred Thirty-Two Thousand Two Hundred Fifty-Four (P1</t>
  </si>
  <si>
    <t xml:space="preserve"> Republic of the Philippines DEPARTMENT OF HEALTH WESTERN VISAYAS Center for Health Development INVITATION TO BID FOR THE  Rebidding of TB Drugs,  IB No. SB-2020-009 1.	The Department of Health – WV CHD, through the NTP CONAP 2019 fund  intends to apply th</t>
  </si>
  <si>
    <t xml:space="preserve"> PROCUREMENT OF FOOD SUPPLIES</t>
  </si>
  <si>
    <t xml:space="preserve"> FINANCIAL PROPOSAL																								 NEGOTIATED PROCUREMENT																								 DUE TO TWO-FAILED BIDDINGS																								 																								 	Company Name 			:																				 	Address                			:																				 	</t>
  </si>
  <si>
    <t xml:space="preserve"> Republic of the Philippines CITY GOVERNMENT OF ORMOC  2nd /F New Ormoc City Hall Bldg.,Ormoc City Tel # (053) 255-2054 &amp; 560-8050 Local # 1126, 1127 &amp; 1123   33-________________________ INVITATION TO BID         The City Government of Ormoc, through the B</t>
  </si>
  <si>
    <t xml:space="preserve"> PROCUREMENT OF FURNITURE AND FIXTURES</t>
  </si>
  <si>
    <t xml:space="preserve"> 34-________________________ INVITATION TO BID         The City Government of Ormoc, through the Bids and Awards Committee (BAC), invites contractors registered with and classified by the Philippine Contractors Accreditation Board (PCAB) to bid for the her</t>
  </si>
  <si>
    <t xml:space="preserve"> 1.	The West Visayas State University Medical Center, through its Use of Income Fund 2020 intends to apply  the sum of  TWO MILLION FORTY ONE THOUSAND NINE HUNDRED SIXTY PESOS (PhP 2,041,960.00) ONLY being the Approved Budget for the Contract (ABC) to paym</t>
  </si>
  <si>
    <t xml:space="preserve"> Republic of the Philippines CITY GOVERNMENT OF ORMOC  2nd /F New Ormoc City Hall Bldg.,Ormoc City Tel # (053) 255-2054 &amp; 560-8050 Local # 1126, 1127 &amp; 1123	      35-________________________ INVITATION TO BID         The City Government of Ormoc, through t</t>
  </si>
  <si>
    <t xml:space="preserve"> CONSTRUCTION OF SOU LAST PHASE</t>
  </si>
  <si>
    <t xml:space="preserve"> PROJECT:PURCHASE OF MEDICINES, 2ND &amp; 3RD QUARTER 2020 LOCATION: RHU-RIZAL, NUEVA ECIJA SOURCE OF FUND: GENERAL FUND ABC: PHP 600,000.00</t>
  </si>
  <si>
    <t xml:space="preserve"> PROCUREMENT OF OTHER SUPPLIES</t>
  </si>
  <si>
    <t xml:space="preserve"> Lagundi Capsule 600mg, 100/box	                                      160	box Lagundi Syrup 300mg/5, 60ml 	                                              800	bot Salbutamol Syrup, 2mg/5ml , 60ml 	                                      300	bot Salbutamol 2mg/</t>
  </si>
  <si>
    <t xml:space="preserve"> Republic of the Philippines Province of Masbate Municipality of Monreal BARANGAY MOROCBOROCAN BIDS AND AWARDS COMMITTEE INVITATION TO BID  									June 9, 2020 	The Barangay Local Government Unit of Morocborocan, Monreal, Masbate through its Bids and Awa</t>
  </si>
  <si>
    <t xml:space="preserve"> ITEM           DESCRIPTION         QUANTITY           UNIT 1	FURNISHING OF LABOR AND MATERIALS FOR THE INSTALLATION OF DISTRIBUTION LINE AT ZONE 1, BARANGAY BARAS, CANAMAN, CAMARINES SUR           1 LOT																					 																						 								</t>
  </si>
  <si>
    <t xml:space="preserve"> INVITATION TO BID The Northern Negros State College of Science and Technology at Old Sagay, Sagay City, Negros Occidental through its Bids and Awards Committee (BAC), invites bidders to apply for eligibility and if found eligible, to bid for the hereunder</t>
  </si>
  <si>
    <t xml:space="preserve"> RENTAL OF MOTOR VEHICLE</t>
  </si>
  <si>
    <t xml:space="preserve"> 182 Concrete Blocks to cover 140 meters (distance)</t>
  </si>
  <si>
    <t xml:space="preserve"> PROCUREMENT OF TRAINING SUPPLIES</t>
  </si>
  <si>
    <t xml:space="preserve"> ARMED FORCES OF THE PHILIPPINES PHILIPPINE AIR FORCE OFFICE OF THE PAF BIDS AND AWARDS COMMITTEE Colonel Jesus Villamor Air Base, Pasay City Invitation to Bid The Armed Forces of the Philippines, through the PAF Bids and Awards Committee (PAFBAC), invites</t>
  </si>
  <si>
    <t xml:space="preserve"> CONSTRUCTIONS OF SOU PHASE 1</t>
  </si>
  <si>
    <t xml:space="preserve"> - CONCRETE PIPES - SAND GRAVEL - CEMENT -  PLYWOOD</t>
  </si>
  <si>
    <t xml:space="preserve"> Republic of the Philippines PROVINCE OF SAMAR Municipality of Pinabacdao Invitation to Bid Concreting of Pathwalk at Core Shelter Project(Pabahay) Pinabacdao Samar 1. The LOCAL GOVERMENT UNIT of Pinabacdao Samar, through the FY 2020 Budget intends to appl</t>
  </si>
  <si>
    <t xml:space="preserve"> Republic of the Philippines Province of Batangas MUNICIPALITY OF MALVAR Office of the Municipal Mayor SECTION I INVITATION TO BID  FOR IMPROVEMENT OF MULTI-PURPOSE BUILDING AT BARANGAY SAN ISIDRO, MALVAR, BATANGAS 1.	The Municipality of Malvar, through th</t>
  </si>
  <si>
    <t xml:space="preserve"> Municipality of Looc INVITATION TO BID FOR Supply/Installation of Isolation Facility Accessories 1.	The Municipality of Looc, through the Bayanihan Grant intends to apply the sum of Php 1,020,000.00 being the Approved Budget for the Contract (ABC) to paym</t>
  </si>
  <si>
    <t xml:space="preserve"> Republic of the Philippines Province of Batangas MUNICIPALITY OF MALVAR Office of the Municipal Mayor SECTION I INVITATION TO BID FOR CONSTRUCTION OF DRAINAGE SYSTEM AT BARANGAY SAN PIOQUINTO, MALVAR BATANGAS 1. The Municipality of Malvar, through the Sup</t>
  </si>
  <si>
    <t xml:space="preserve"> Republic of the Philippines Province of Batangas MUNICIPALITY OF MALVAR Office of the Municipal Mayor SECTION I INVITATION TO BID FOR IMPROVEMENT OF SENIOR CITIZENS BUILDING AT BARANGAY SANTIAGO, MALVAR BATANGAS 1. The Municipality of Malvar, through the </t>
  </si>
  <si>
    <t xml:space="preserve"> Republic of the Philippines Province of Batangas MUNICIPALITY OF MALVAR Office of the Municipal Mayor SECTION I INVITATION TO BID FOR IMPROVEMENT OF MULTI-PURPOSE GYMNASIUM AT BARANGAY SAN JUAN, MALVAR BATANGAS 1. The Municipality of Malvar, through the S</t>
  </si>
  <si>
    <t xml:space="preserve"> 1. The CITY GOVERNMENT OF CALAMBA through the Special Education Fund intends to apply the sum of PHP 17,979,300.00 being the Approved Budget for the Contract (ABC) to payments under the contract for: G-2020-209 Supply and Installation of CCTV Various Scho</t>
  </si>
  <si>
    <t xml:space="preserve"> Republic of the Philippines Province of Batangas MUNICIPALITY OF MALVAR Office of the Municipal Mayor SECTION I INVITATION TO BID FOR CONSTRUCTION/IMPROVEMENT OF MULTI-PURPOSE BUILDING AT BARANGAY BAGONG POOK, MALVAR BATANGAS 1. The Municipality of Malvar</t>
  </si>
  <si>
    <t xml:space="preserve"> 1. The CITY GOVERNMENT OF CALAMBA through the General Fund intends to apply the sum of PHP 1,500,000.00 being the Approved Budget for the Contract (ABC) to payments under the contract for: G-2020-277 Supply and Delivery of Nebulizer Office of the City May</t>
  </si>
  <si>
    <t xml:space="preserve"> Republic of the Philippines Province of Batangas MUNICIPALITY OF MALVAR Office of the Municipal Mayor SECTION I INVITATION TO BID FOR IMPROVEMENT OF MULTI-PURPOSE GYMNASIUM AT BARANGAY SAN GREGORIO, MALVAR BATANGAS 1. The Municipality of Malvar, through t</t>
  </si>
  <si>
    <t xml:space="preserve"> 1. The CITY GOVERNMENT OF CALAMBA through the General Fund intends to apply the sum of PHP 1,416,798.00 being the Approved Budget for the Contract (ABC) to payments under the contract for: G-2020-200 Supply and Installation of Dry Container Van with Pedes</t>
  </si>
  <si>
    <t xml:space="preserve"> 1. The CITY GOVERNMENT OF CALAMBA through the GAD Fund intends to apply the sum of PHP 1,756,560.00 being the Approved Budget for the Contract (ABC) to payments under the contract for: G-2020-284 Supply and Delivery of Agricultural Inputs: Broiler Product</t>
  </si>
  <si>
    <t xml:space="preserve"> 1. The CITY GOVERNMENT OF CALAMBA through the General Fund intends to apply the sum of PHP 1,162,660.80 being the Approved Budget for the Contract (ABC) to payments under the contract for: G-2020-324 Supply and Delivery of Rabies Vaccine City Health Servi</t>
  </si>
  <si>
    <t xml:space="preserve"> QTY.    UNIT        DESCRIPTION 4         LENGTH    G.I. PIPE #3 12       LENGTH    G.I. PIPE # 1 1/4 4         LENGTH    G.I. PIPE #1/2 100     SHEETS    G.I. SHEET 26X10' 10       KGS         WELDING ELECTRODE (ORDINARY)</t>
  </si>
  <si>
    <t xml:space="preserve"> 1. The CITY GOVERNMENT OF CALAMBA through the General Fund intends to apply the sum of PHP 1,416,000.00 being the Approved Budget for the Contract (ABC) to payments under the contract for: G-2020-278 Supply and Delivery of Hearing Aid Office of the City M</t>
  </si>
  <si>
    <t xml:space="preserve"> 1. The CITY GOVERNMENT OF CALAMBA through the General Fund intends to apply the sum of PHP 1,344,000.00 being the Approved Budget for the Contract (ABC) to payments under the contract for: G-2020-279 Supply and Delivery of Monoblock Chairs Office of the C</t>
  </si>
  <si>
    <t xml:space="preserve"> Republic of the Philippines Province of Batangas MUNICIPALITY OF MALVAR Office of the Municipal Mayor SECTION I INVITATION TO BID  FOR CONSTRUCTION OF CANAL AT BARANGAY SANTIAGO, MALVAR, BATANGAS 1. The Municipality of Malvar, through the Supplemental Bud</t>
  </si>
  <si>
    <t xml:space="preserve"> 1. The CITY GOVERNMENT OF CALAMBA through the General Fund intends to apply the sum of PHP 2,042,872.49 being the Approved Budget for the Contract (ABC) to payments under the contract for: I-2020-008 Construction of Two Storey Canteen Bldg. with Roof Deck</t>
  </si>
  <si>
    <t xml:space="preserve"> 1. The CITY GOVERNMENT OF CALAMBA through the General Fund intends to apply the sum of PHP 4,998,830.71 being the Approved Budget for the Contract (ABC) to payments under the contract for: I-2020-010 Construction of Retaining Wall Barangay Barandal (Calam</t>
  </si>
  <si>
    <t xml:space="preserve"> Republic of the Philippines Province of Batangas MUNICIPALITY OF MALVAR Office of the Municipal Mayor SECTION I INVITATION TO BID  FOR IMPROVEMENT OF MULTI-PURPOSE BUILDING AT BARANGAY SAN JUAN, MALVAR, BATANGAS 1.	The Municipality of Malvar, through the </t>
  </si>
  <si>
    <t xml:space="preserve"> Proc of Ampicillin Sulbactam</t>
  </si>
  <si>
    <t xml:space="preserve"> 1. The CITY GOVERNMENT OF CALAMBA through the Special Education Fund intends to apply the sum of PHP 1,996,597.32 being the Approved Budget for the Contract (ABC) to payments under the contract for: Construction of Drainage Facility, E. Barretto Sr. ES Ba</t>
  </si>
  <si>
    <t xml:space="preserve"> 1   UNIT   15 KVA TRANSFORMER</t>
  </si>
  <si>
    <t xml:space="preserve"> Project Billboard/Signboard; Occupational Safety and Health Program; Mobilization/Demobilization; Structure Excavation (Common Soil); Gravel Fill; Structural Concrete (Footings and Slab on Fill) Class A, 28 days; Structural Concrete (Columns) Class A, 28 </t>
  </si>
  <si>
    <t xml:space="preserve"> Provision of Combined Field Office, Laboratory and Living Quarters Building for the Engineer (Rental Basis); Miscellaneous Survey and Staking; Project Billboard / Signboard; Occupational Safety and Health Program; Traffic Management; Mobilization/Demobili</t>
  </si>
  <si>
    <t xml:space="preserve"> Proc of Cautery Pen etc</t>
  </si>
  <si>
    <t xml:space="preserve"> Item	Qty.	A R T I C L E S				 1		ELECTRICAL SUPPLIES				 2	2 rolls	Electrical wire 5.5 mm				 3	2 rolls	Electrical wire 2.0 mm				 4	2 rolls	Electrical wire 3.5 mm				 5	154 pcs	Bulb LED				 6	100 pcs	Rubber socket				 7	3 pcs	Breaker 40AMP				 8	3 pcs	Br</t>
  </si>
  <si>
    <t xml:space="preserve"> Procurement involves efforts to quantify medicines requirements, selecting appropriate procurement methods, prequalifying suppliers and products.</t>
  </si>
  <si>
    <t xml:space="preserve"> Item No.	Unit	Qty.	Description of Articles 1	unit	1	Aircon 			2.5 HP 			Window Type 			Good Quality</t>
  </si>
  <si>
    <t xml:space="preserve"> LGU-Camachile, Gabaldon, Nueva Ecija				     	Contract reference number:							    				                   Name of the Contract: Installation of Solar Lights Standard Form Number: SF-GOOD-05				     	Location of the Contract: Brgy.Camachile, Gabaldon, Nuev</t>
  </si>
  <si>
    <t xml:space="preserve"> TO ALL BIDDERS: Interested bidders may obtain further information from the LBGU Barangay Cabalanggan at the address given below. The Local Barangay Government Unit of Barangay Cabalanggan serves the right to accept or reject any bid, declares failure of b</t>
  </si>
  <si>
    <t xml:space="preserve"> INVITATION TO BID Sealed proposal in ink typewritten one (1) copy will be received fro bonafide contractors on June 22, 2020 at 10:00 AM at Barangay Hall, Barangay A. PASCUAL, this city on which date, time and place the bid will publicly opened in the pre</t>
  </si>
  <si>
    <t xml:space="preserve"> I. Price Quotation Form (Please see attached file @ Associated Components). II. Payment upon 100% completion of project. III. A penalty of one-tenth of one percent (0.001) of the total value of the product(s)/goods purchased shall be deducted for each day</t>
  </si>
  <si>
    <t xml:space="preserve"> Spareparts-Various Spareparts</t>
  </si>
  <si>
    <t xml:space="preserve"> TO THE BIDDERS: Interested bidders may obtain further information from the LBGU Barangay Cabalanggan at the address given below. The Local Barangay Government Unit of Barangay Cabalanggan serves the right to accept or reject any bid, declares failure of b</t>
  </si>
  <si>
    <t xml:space="preserve"> 34 pcs .40mm x 12' Corr. G.I. Sheets 34 pcs .40mm x 10' Corr. G.I. Sheets 10 kgs Umbrella Nails 2 kgs. Concrete Nails 3 kgs. Hardi Nails 10 pcs. Standard Gutter 8 pcs. Standard Ridge Roll 10 pcs. 1/2" x 12" Hardi Sanepa 1 lit. Roof Sealant 10 bags 4" dia.</t>
  </si>
  <si>
    <t xml:space="preserve"> INVITATION TO APPLY FOR ELIGIBILITY AND TO BID THE BIDS AND AWARD COMMITTEE OF BRGY. PALANAY, MUNICIPALITY OF CAIBIRAN, BILIRAN IS INVITING ALL INTERESTED BIDDERS ON ITS FORTH COMING PUBLIC BIDDING FOR: Project Title	: Improvement of Barangay Hall Period </t>
  </si>
  <si>
    <t xml:space="preserve"> 1	Window Type Aircon	                                                5	unit  	1.5 hp		 	w/ remote control		 	energy saving plug		 	4 way air flow cooling		 	easy access filter		 	24hr electronic off timer		 	one year warranty		 2	Split type aircon        </t>
  </si>
  <si>
    <t xml:space="preserve"> 3	unit	DC Drill					 25	pcs	Miultimeter Digital					 5	unit	Clamp meter					 15	unit	Hydrometer (battery)					 5	units	Battery cell tester					 8	pcs	PV module 5 units mono crystaline 5 units poly 100watts					 8	pcs	Battery deep cycle fpr PV 120 AH 12V		</t>
  </si>
  <si>
    <t xml:space="preserve"> Item No.	Unit	Qty.	Description of Articles 1	bags	180	Portland Cement 2	cu.m	10	Sand (Washed) 3	cu.m	20	Gravel (Fine) 4	lgth	175	12mm dia x 6.0m DSB  5	lgth	105	10mm dia x 6.0m DSB  6	lgth	10	3" dia x 3.0 m uPVC Pipe, Orange S-500 7	kgs	25	#16 G.I. Tie Wi</t>
  </si>
  <si>
    <t xml:space="preserve"> Republic of the Philippines  Province of La Union  Municipality of Bacnotan  Bids and Awards Committee  INVITATION TO BID FOR  Supply and Delivery of Furniture and Fixture for Bacnotan Farmer’s Agri-Tourism Center  1.	The Municipality of Bacnotan, through</t>
  </si>
  <si>
    <t xml:space="preserve"> Republic of the Philippines Province of Nueva Vizcaya BIDS AND AWARDS COMMITTEE (BAC-Goods) BAC OFFICE, Provincial Capitol, Bayombong, Nueva Vizcaya 	 REQUEST FOR QUOTATION (RFQ)  For the Procurement of Xerox Machine &amp; Air-Conditioning Units For the Diadi</t>
  </si>
  <si>
    <t xml:space="preserve"> BID TENDER	 								 The Bids and Awards Committee							 Province of Iloilo							 								      In connection with your Invitation to Bid No. ISC-20-0468-B scheduled on June 17, 2020, I/we proposed to furnish and deliver in conformity with the terms and</t>
  </si>
  <si>
    <t xml:space="preserve"> Fuel-Diesel Fuel</t>
  </si>
  <si>
    <t xml:space="preserve"> Republic of the Philippines Province of Iloilo  BIDS AND AWARDS COMMITTEE REQUEST FOR QUOTATION Quotation No. GSO-20-0576-NP(SV) Reference PR No. GSO-20-0576 June 8, 2020 __________________________________ __________________________________ ______________</t>
  </si>
  <si>
    <t xml:space="preserve"> Office Equipment-Aircon w/complete Accessories</t>
  </si>
  <si>
    <t xml:space="preserve"> 1	Articaine 4% Dental anesthetic carpule 	50	box 2	Dental needles g30 short - 100's 	55	box 3	Netrile examination gloves - powder free - 100's small	72	box 4	Netrile examination gloves - powdered - 100's medium	36	box 5	Disposable earloop facemask - 2ply </t>
  </si>
  <si>
    <t xml:space="preserve"> INVITATION TO BID CONSTRUCTION OF ROAD SHOULDERING Name of Procuring Entity: BLGU- WILSON Source of fund:	20% PDF 2020 Approved Budget for the Contract:	NINETY NINE THOUSAND EIGHT HUNDRED FIFTEEN PESOS AND 60/100   (Php 99,815.60) only. Contract Name:	CON</t>
  </si>
  <si>
    <t xml:space="preserve"> This project entails labor and materials for the Construction of 1m x120m x 0.10m concrete pathway at Purok 1 &amp; 3, Salvacion, Magallanes, Sorsogon.</t>
  </si>
  <si>
    <t xml:space="preserve"> Republic of the Philippines BIDS AND AWARDS COMMITTEE Province of Iloilo Invitation to Bid Purchase of  COMPUTER PARTS &amp; ACCESSORIES For Bid No. JCH-20-0171-B 1. The Iloilo Provincial Government, through the  GENERAL FUND 2020 intends to apply the sum of </t>
  </si>
  <si>
    <t xml:space="preserve"> Procurement of Housekeeping Supplies</t>
  </si>
  <si>
    <t xml:space="preserve"> Republic of the Philippines BIDS AND AWARDS COMMITTEE Province of Iloilo Invitation to Bid Purchase of  MEDICAL SUPPLIES Bid No. JCH-20-0226-B 1. The Iloilo Provincial Government, through the GENERAL FUND 2020 intends to apply the sum of TWO HUNDRED EIGHT</t>
  </si>
  <si>
    <t xml:space="preserve"> Republic of the Philippines  Province of La Union  Municipality of Bacnotan  Bids and Awards Committee  INVITATION TO BID FOR  Supply and Delivery of Drugs and Medicines  1.	The Municipality of Bacnotan, through the General Fund intends to apply the sum o</t>
  </si>
  <si>
    <t xml:space="preserve"> Republic of the Philippines Province of Iloilo  BIDS AND AWARDS COMMITTEE REQUEST FOR QUOTATION Quotation No. GSO-20-0498-NP(SV) Reference PR No. GSO-20-0498 June 8, 2020 ____________________________________ ____________________________________ __________</t>
  </si>
  <si>
    <t xml:space="preserve"> PAPALLASEN 01-2020 - Repair &amp; impvt. of perimeter fence &amp; installation of gate</t>
  </si>
  <si>
    <t xml:space="preserve"> SUPPLY OF LABOR, TOOLS AND MATERIALSNOTE: (FOR JOB ORDER) NOTE: REQUEST FOR QUOTATION SHALL BE THRU EMAIL DUE TO COVID 19.   YOU CAN DROP YOUR QUOTATIONS AT OUR BID BOX SITUATED IN FRONT OF OUR MAINGATE GUARDHOUSE – AGUS 6/7 HPPC.</t>
  </si>
  <si>
    <t xml:space="preserve"> 2.00 units Project Billboard 506.87 cu.m Surplus Common Excavation 3,960.00 sq.m  Subgrade Preparation 740.03 cu.m Aggregate Sub Base Course  2,475.00 Portland Cement Concrete Pavement 87.00  cu.m Stone Masonry (Grouted Riprap) Equipment Needed: Backhoe,R</t>
  </si>
  <si>
    <t xml:space="preserve"> Republic of the Philippines BIDS AND AWARDS COMMITTEE Province of Iloilo Invitation to Bid Purchase of Defibrillator  Bid No. FRT-19-1689-B(REBID) 1. The Iloilo Provincial Government, through the SUPPLEMENTAL BUDGET #2, 2017 intends to apply the sum of ON</t>
  </si>
  <si>
    <t xml:space="preserve"> Republic of the Philippines  Province of La Union  Municipality of Bacnotan  Bids and Awards Committee  INVITATION TO BID FOR  Supply and Delivery of Various Information and Communication Technology Equipment  1.	The Municipality of Bacnotan, through the </t>
  </si>
  <si>
    <t xml:space="preserve"> PURCHASE OF 300 PCS BRASS WATER METER 1/2 WITH CALIBRATION CERTIFICATE AND GASKET AND TAILPIECE</t>
  </si>
  <si>
    <t xml:space="preserve"> ABATEMENT FOR AGUS 6 &amp; 7 HEPC NOTE: (FOR JOB ORDER) REQUEST FOR QUOTATION SHALL BE THRU EMAIL DUE TO COVID 19.   YOU CAN DROP YOUR QUOTATIONS AT OUR BID BOX SITUATED IN FRONT OF OUR MAINGATE GUARDHOUSE – AGUS 6/7 HPPC.</t>
  </si>
  <si>
    <t xml:space="preserve"> Specifications YMCK Full Color with Resin Black, 500 Prints	3 sets Retransfer Film, 1500 Prints	1 set Interested Suppliers should submit the following together with the quotation: 1. Valid Mayor's/Business Permit 2. PhilGEPS Registration Number</t>
  </si>
  <si>
    <t xml:space="preserve"> PAPALLASEN 02-2020 - Repair &amp; impvt. of multi-purpose hall</t>
  </si>
  <si>
    <t xml:space="preserve"> ENVIRONMENTAL SIGNAGES, MATERIALS AND LABOR NOTE: (FOR JOB ORDER) REQUEST FOR QUOTATION SHALL BE THRU EMAIL DUE TO COVID 19.   YOU CAN DROP YOUR QUOTATIONS AT OUR BID BOX SITUATED IN FRONT OF OUR MAINGATE GUARDHOUSE – AGUS 6/7 HPPC.</t>
  </si>
  <si>
    <t xml:space="preserve"> Republic of the Philippines Province of Bohol MUNICIPALITY OF TUBIGON INVITATION TO BID FOR Supply and Delivery of Construction Materials for Grouted Riprap @ Masungil, Pinayagan Sur, Tubigon, Bohol (Re-Bid) 1. The Local Government Unit of Tubigon, Bohol,</t>
  </si>
  <si>
    <t xml:space="preserve"> Construction and Rehabilitation of Drainage System</t>
  </si>
  <si>
    <t xml:space="preserve"> The City Government of Ligao through its Bids and Awards Committee (BAC), now invites bids for the herein project: Name of Contract        :  Upgrading of Paulba-Maburi Road (Phase III) Location                       : Paulba,  Ligao City Brief Descriptio</t>
  </si>
  <si>
    <t xml:space="preserve"> SUPPLY OF MATERIALS FOR THE REPAIR &amp; MAINTENANCE OF MOTOR VEHICLES REPAIR &amp; INSTALLATION &amp; MAINTENANCE AND SUPPLY OF MATERIALS FOR SJA 587</t>
  </si>
  <si>
    <t xml:space="preserve"> Republic of the Philippines BIDS AND AWARDS COMMITTEE Province of Iloilo Invitation to Bid Purchase of Medical Equipment Bid No. DDH-19-2097-B 1. The Iloilo Provincial Government, through the 20% IRA OF 2018 intends to apply the sum of ONE HUNDRED EIGHTY </t>
  </si>
  <si>
    <t xml:space="preserve"> ATI-CAR Staff Activities  for Second Semester 2020			 Meals and snacks 			 Breakfast 			 AM snack			 Lunch 			 PM snack 			 Dinner  			 			   			 			 Tentative schedule of activities for 2nd Sem 2020:		No. of days	No. of Pax 1. MANCOM Meetings -  Ist Mond</t>
  </si>
  <si>
    <t xml:space="preserve"> Republic of the Philippines                   PROVINCE OF BUKIDNON                   Municipality of Don Carlos                                        BIDS AND AWARDS COMMITTEE       REQUEST FOR QUOTATION   									 						                                </t>
  </si>
  <si>
    <t xml:space="preserve"> Construction of Drainage Canal (0.60m x 0.60m x170.0m), Open Drainage Canal with Cantilliver beam (0.15m x 0.10m) &amp; Column (0.10m x 0.20m) every 3.0meters</t>
  </si>
  <si>
    <t xml:space="preserve"> SUPPLY AND DELIVERY OF THE FOLLOWING: ITEM NO.       DESCRIPTION                                                           UNIT            QUANTITY      I              REINFORCED CONCRETE BOX CULVERT (RCBC)            cum                5.94      II      </t>
  </si>
  <si>
    <t xml:space="preserve"> Furnishing of labor, materials and equipment for the Provision of Water Supply System from sitio Camagong to Barangay Oma-Oma</t>
  </si>
  <si>
    <t xml:space="preserve"> Equipment for Banana Tissue Culture Laboratory Kindly see attached file. Thank you!</t>
  </si>
  <si>
    <t xml:space="preserve"> Republic of the Philippines BIDS AND AWARDS COMMITTEE Province of Iloilo Invitation to Bid Purchase of DENTAL SUPPLIES Bid No. RTH-20-0183-B(RE-BID) 1. The Iloilo Provincial Government, through the  GENERAL FUND  2020 intends to apply the sum of  EIGHTY T</t>
  </si>
  <si>
    <t xml:space="preserve"> Procurement of Training Supplies</t>
  </si>
  <si>
    <t xml:space="preserve"> ITEM NO.                DESCRIPTION                            QUANTITY           UNIT 100                        CLEARING  AND GRUBBING            180                  SQ.M 105                        SUB-GRADE PREPARATION             900                 </t>
  </si>
  <si>
    <t xml:space="preserve"> Republic of the Philippines BIDS AND AWARDS COMMITTEE Province of Iloilo Invitation to Bid Purchase of  DUPLICATOR MACHINE Bid No. JCH-20-0225-B 1. The Iloilo Provincial Government, through the Supplemental Budget No. 2 2019 intends to apply the sum of ON</t>
  </si>
  <si>
    <t xml:space="preserve"> Rental of Motor Vehicles</t>
  </si>
  <si>
    <t xml:space="preserve"> 1 unit                                Submersible Deep Well Pump rated to deliver                                          18lps at 80m TDH. All stainless stell construction.                                          Complete with cable guard. Coupled to  </t>
  </si>
  <si>
    <t xml:space="preserve"> PORTABLE EXTRA-ORAL AEROSOL EVACUATOR		1	UNIT   -power requirements: 1200w			   -AC 220V-240V 50/60Hz			   -temperature: atleast 40°C			   -1 year warranty			   -with english  operating manual			   -2 weeks testing  and commissioning				 UVC (ULTRAVIOLET </t>
  </si>
  <si>
    <t xml:space="preserve"> Contract ID: 20PL0112 Contract Name: Package 2: A.) Repair/Maintenance of Kintoy Kasabaan Flood Control, Bulanao, Tabuk City, Kalinga, B.) Repair/Maintenance of Wakki Creek Flood Control, Sagpat, Bulanao, Tabuk City, Kalinga, C.) Repair Maintenance of Ta-</t>
  </si>
  <si>
    <t xml:space="preserve"> Republic of the Phillippines BIDS AND AWARDS COMMITTEE FOR THE PROCUREMENT OF GOODS City of Puerto Princesa  Barangay Inagawan Invitation To Bid ( Procurement of Goods ) The scheduled of Bidding Activities should be as follows : 1. Publication Posting of </t>
  </si>
  <si>
    <t xml:space="preserve"> Construction of Seventy (70) Spans-Concrete Fence Please call Engr. Richard Pablo at 0926-395-9865  for more information regarding the ITB posted.  Kindly see attached file. Thank you!</t>
  </si>
  <si>
    <t xml:space="preserve"> Proficiency Testing Samples 1 bottle - Minerals PT 1 bottle - Solids PT 1 bottle - Wastewater Coliforms PT</t>
  </si>
  <si>
    <t xml:space="preserve"> Improvement of Barangay Multi-Purpose Hall (Extension of Health Center)</t>
  </si>
  <si>
    <t xml:space="preserve"> Concreting Project at Rafael Lacson Street (Slaughter House Road) Liloy, Zamboanga del Norte amounting                     P 2,300,000.00  190 meters Length 0.20 m thickness 6.10 m width 150 calendar days to complete the project</t>
  </si>
  <si>
    <t xml:space="preserve"> INVITATION TO BID The Iligan City Government Bids and Awards Committee (BAC), through General Fund 2020, intends to apply the sum of P 1,493,425.00 being the Approved Budget for the Contract (ABC) to payments under the Contract for Procurement of Medical </t>
  </si>
  <si>
    <t xml:space="preserve"> 3	Procurement ID/Contract ID		20LC0154 	Contract Name		Tanglaw Bridge 2 (B00187MN) along Tagum －Panabo Circumferential Road 	Contract Location		Braulio E. Dujali, Davao del Norte 	Brief Description		Widening of Bridge 	Approved Budget for the Contract ( A</t>
  </si>
  <si>
    <t xml:space="preserve"> NEGOTIATED PROCUREMENT 											 June 8, 2020 1.	The Provincial Government of Davao Occidental, through its Bids and Awards Committee (BAC), invites all potential bidders/suppliers to apply to bid for the following goods: Bids received in excess of the </t>
  </si>
  <si>
    <t xml:space="preserve"> Concreting of Pathway (0.10m x 1.00m x 3650.0m) Zone 5A and Zone 5B</t>
  </si>
  <si>
    <t xml:space="preserve"> Standard Form Number: SFGOOD60 Revised on: May 24, 2004 Standard Form Title: Request for Quotation Date:  June 9, 2020 Quotation No. 20-06-0326 Purchase Request No. 20-01-111 __________________________ Company Name ___________________________ Address Plea</t>
  </si>
  <si>
    <t xml:space="preserve"> SUPPLY AND DELIVERY OF THE FOLLOWING: ITEM NO.      DESCRIPTION                                            UNIT         QUANTITY     I              DEMOLITION AND CHEEPING WORKS            lot               108.00     II             CONCRETE WORKS        </t>
  </si>
  <si>
    <t xml:space="preserve"> HEPA FILTER AIR PURIFIER			2	UNIT   -power : 220V - 240V 50/60Hz			   -fan speed: atleast 4 fan speed			   -area coverage: atleast 50 sqm			   -can filter atleast 0.3 microns			   -purification levels:			   -pre-filter			   -carbon filter			   -true Hepa </t>
  </si>
  <si>
    <t xml:space="preserve"> Contract ID: 20PL0113 Contract Name: Concreting of Brgy. Sandara FMR, Brgy. Sandara, Rizal, Kalinga Contract Location: Rizal, Kalinga Brief Description: Construction of 600m x 5.0m x 0.20m thk PCCP Approved Budget for the Contract (ABC): PhP 11,937,445.31</t>
  </si>
  <si>
    <t xml:space="preserve"> PHILIPPINE BIDDING DOCUMENTS (As Harmonized with Development Partners) Procurement for  Re Bidding - Rehabilitation of Apolinario dela Cruz Waterworks System Improvement of Main Water Source and Intake Box, Installation of additional pipelines and fitting</t>
  </si>
  <si>
    <t xml:space="preserve"> 4 	Procurement ID/Contract ID		20LC0155 	Contract Name		Tanglaw Bridge 2 (B00187MN) along Tagum －Panabo Circumferential Road 	Contract Location		Braulio E. Dujali, Davao del Norte 	Brief Description		Widening of Bridge 	Approved Budget for the Contract ( </t>
  </si>
  <si>
    <t xml:space="preserve"> 1	10	pcs	CI Saddle Clamp 2 x 1 2	75	pcs	CI Saddle Clamp 2 x 3/4 3	15	pcs	CI Saddle Clamp 2 1/2 x 1 4	15	pcs	CI Saddle Clamp 2 1/2 x 3/4 5	30	pcs	CI Saddle Clamp 3 x 1 6	120	pcs	CI Saddle Clamp 3 x 3/4 7	10	pcs	CI Saddle Clamp 4 x 1 8	132	pcs	CI Saddle Cla</t>
  </si>
  <si>
    <t xml:space="preserve"> see details attached with pow</t>
  </si>
  <si>
    <t xml:space="preserve"> Republic of the Philippines BIDS AND AWARDS COMMITTEE Province of Iloilo Invitation to Bid Purchase of LABORATORY SUPPLIES Bid No. JCH-20-0172-B 1. The Iloilo Provincial Government, through the GENERAL FUND 2020 intends to apply the sum of FIFTY  THOUSAND</t>
  </si>
  <si>
    <t xml:space="preserve"> INVITATION TO BID NO. INFRA-2020-04 									 1.	The Municipal Government of Hungduan, Ifugao, through the 20% Municipal Development Fund intends to apply the sum of One Million Six Hundred Thirty Six Thousand Six Hundred Fourteen Pesos &amp; Seventy Four Cen</t>
  </si>
  <si>
    <t xml:space="preserve"> RJO - Supply labor, tools and materials for the repair &amp; replacement of Damaged parts of Mitsubishi Adventure SHP-804 of Agus 4 HE Plant for the following scope of works: NOTE: SEE ATTACHED PRE-PR FOR THE COMPLETE DETAILED SCOPE OF WORKS.</t>
  </si>
  <si>
    <t xml:space="preserve"> Republic of the Philippines BIDS AND AWARDS COMMITTEE Province of Iloilo Invitation to Bid Purchase of  LABORATORY REAGENTS For Bid No. JCH-20-0175-B 1. The Iloilo Provincial Government, through the  GENERAL FUND 2020 intends to apply the sum of ONE HUNDR</t>
  </si>
  <si>
    <t xml:space="preserve"> UTILITY VEHICLES 82 hp, Double Cab SPECIFICATIONS: Body Type: Double Cab Overall Length mm: 4850 Overall Width mm: 1700 Overall Height mm: 1950 Cargo Dimensions Length m: 2.0 Width m: 1.5 Height m: .360 Wheel Base mm: 2990 Tracks (Front/Rear) mm : 1460/13</t>
  </si>
  <si>
    <t xml:space="preserve"> Contract ID: 20PL0114 Contract Name: Concreting of Brgy. Ballayangon FMR, Brgy. Ballayangon, Pinukpuk, Kalinga Contract Location: Pinukpuk, Kalinga Brief Description: Construction of 810m x 5.0m x 0.20m thk PCCP Approved Budget for the Contract (ABC): PhP</t>
  </si>
  <si>
    <t xml:space="preserve"> Repair of Motor Vehicles</t>
  </si>
  <si>
    <t xml:space="preserve"> This project entails labor and materials for the construction of concrete pathway (0.10mx 1.0m x 244m) at Purok 1,2,3,4, Sitio Sta. Lourdes, Behia, Magallanes, Sorosogon.</t>
  </si>
  <si>
    <t xml:space="preserve"> REQUEST FOR QUOTATION (In accordance with Section 53.9 of Revised-IRR of RA 9184) 	The Municipal Government of Paracale, Camarines Norte invited all legitimate contractors/suppliers to submit quotation for the hereunder list Goods and/or Services on or be</t>
  </si>
  <si>
    <t xml:space="preserve"> 1.	Bids received in excess of the ABC shall be automatically rejected during the Bid Opening. Interested Bidders may obtain further information from PN BAC in the given address below from 8:00 AM to 5:00 PM, Monday to Friday. 2.	Issuance of Bidding Docume</t>
  </si>
  <si>
    <t xml:space="preserve"> Republic of the Philippines								 Province of Cebu								 Municipality of Alcantara								 								 								 								 Standard Form Number:			SF-INFR-05					 Revised on:								 								 INVITATION TO APPLY FOR ELIGIBILITY AND TO BID								 								 </t>
  </si>
  <si>
    <t xml:space="preserve"> SUPPLY AND DELIVERY OF THE FOLLOWING ITEM NO.       DESCRIPTION                                          UNIT       QUANTITY      I              STEEL GATE                                             sqm            11.02      II             STEEL FENCE   </t>
  </si>
  <si>
    <t xml:space="preserve"> Office of the Municipal Mayor	1	unit ID Card Printer Machine, Dye Sublimation, 300dpi, full		 color printing		 		 Refrigerator, 2 doors, 8 cubic feet, digital, inverter	1	unit 		 CCTV, 8 cameras, 16 DVR channels, 32" LED TV, 6 TB HDD	1	unit 		 Office of t</t>
  </si>
  <si>
    <t xml:space="preserve"> Repair of Office Equipment</t>
  </si>
  <si>
    <t xml:space="preserve"> Request for Quotation for Clerical Table</t>
  </si>
  <si>
    <t xml:space="preserve"> PAINT, ANAMEL, STEEL; Assorted Color: + 2 ITEMS</t>
  </si>
  <si>
    <t xml:space="preserve"> 2,377   liters   Auto Diesel Fuel 1,946   liters   Extra Gasoline</t>
  </si>
  <si>
    <t xml:space="preserve"> Repair and Maintenance of Motor Vehicle</t>
  </si>
  <si>
    <t xml:space="preserve"> The Bids and Awards Committee								 Province of Iloilo								 								      In connection with your Invitation to Bid No. PEO-20-0665-B  scheduled on June 19, 2020, I/we proposed to furnish and deliver in conformity with the terms and conditions, and s</t>
  </si>
  <si>
    <t xml:space="preserve"> Office supplies Procurement</t>
  </si>
  <si>
    <t xml:space="preserve"> Republic of the Philippines SILAY CITY GOVERNMENT Zamora Street Silay City, Negros Occidental Telefax No. (034) 495-3746 	Control  Reference Number : GOODS#0111, ITB#0113,  PR#0222: SCG-2020 Name of the Project: Purchase of Electrical Materials and Suppli</t>
  </si>
  <si>
    <t xml:space="preserve"> REQUEST FOR  QUOTATION STOCK NO.   UNIT    ITEM DESCRIPTION         QTY. 01                liters   DIESEL                           1,080 x-x-x-x-x-x-NOTHING FOLLOWS-x-x-x-x-x- SGD. FRANCISCO I. CORPUZ, JR. BAC CHAIRMAN</t>
  </si>
  <si>
    <t xml:space="preserve"> 2,852     liters     Auto Diesel Fuel</t>
  </si>
  <si>
    <t xml:space="preserve"> SUPPLY AND DELIVERY OF THE FOLLOWING: ITEM NO.       DESCRIPTION                                                              UNIT          QUANTITY     I                PORTLAND CEMENT, TYPE 1 @ 40 KLS. PER BAG              BAGS            1,110     II  </t>
  </si>
  <si>
    <t xml:space="preserve"> SEE ATTACHED FORM TO BID</t>
  </si>
  <si>
    <t xml:space="preserve"> PR NO 2020-05-010 Purchase of Diesel and Lubricants for use at the Planning and Design Section DPWH-MPSDEO, DENR Compound, Paracelis, Mountain Province</t>
  </si>
  <si>
    <t xml:space="preserve"> 1. DEODORIZER.........................................................280 CARBOY Specifications: 100% Biodegradable from Plant Extract 1:200 Dilution Ratio Odor Eliminator Natural Disinfectant Organic Product NOTE: Please be informed that the City Governm</t>
  </si>
  <si>
    <t xml:space="preserve"> Office Supplies for Treasury Department LGU Cabagan Cabagan, Isabela</t>
  </si>
  <si>
    <t xml:space="preserve"> EQUIPMENT</t>
  </si>
  <si>
    <t xml:space="preserve"> 1	12	Sheets	1/4" thick Marine Plywood 2	150	Bd.Ft.	 2" x 2" x 12' Good lumber 3	160	Bd.Ft.	 2" x 2" x 10' Good lumber 4	55	Bd.Ft.	 2" x 2" x 8' Good lumber 5	10	kgs	  #2 1/2" CWN 6	3	kgs	  #1" CWN 7	12	bd.ft.	1'' x 3'' x 6' good lumber 8	12	bd.ft.	1'' x 3</t>
  </si>
  <si>
    <t xml:space="preserve"> Office of the Municipal Mayor		 Laptop Computer, Intel Core i7 or higher, GTX 1050 or higher, 8GB RAM	1	unit or higher, 120GB SSD+ 1TB HDD (7200 RPM), Win10 64bit		 		 Desktop Computer, Intel Core i7 or higher, GTX 1070 or higher, 16GB	1	unit RAM, 500GB S</t>
  </si>
  <si>
    <t xml:space="preserve"> Construction/ Rehabilitation of Kitchen and Improvement of Main Day Care Center</t>
  </si>
  <si>
    <t xml:space="preserve"> Department of Public Works and Highways (DPWH) Contract ID: 20IB0142 Contract Name: Construction of Shelves Commission on Audit Office ESDEO-DPWH Location of the Contract: Brgy. Alang-Alang, Borongan City, Eastern Samar Republic of the Philippines DEPARTM</t>
  </si>
  <si>
    <t xml:space="preserve"> Republic of the Philippines BANGSAMORO AUTONOMOUS REGION IN MUSLIM MINDANAO Province of Maguindanao Municipality of Pandag INVITATION TO BID PROCUREMENT OF CONSTRUCTION MATERIALS, SUPPLIES AND RENTAL OF EQUIPMENTS FOR THE ROAD MAINTENANCE OF BRGY. KABULIN</t>
  </si>
  <si>
    <t xml:space="preserve"> REQUEST FOR QUOTATION STOCK NO.   UNIT      ITEM DESCRIPTION         QTY. 01                 pc        Long sleeve with Print       20 02                 pc        Pants                               20 03                 pc        Hat                    </t>
  </si>
  <si>
    <t xml:space="preserve"> The Department of Trade and Industry - Rizal invites all interested parties to submit their quotation/proposal for the goods listed per line item below for 60 Starter Kit Packages for Sari-Sari Store through the Implementation of Negosyo Cerbisyo sa Baran</t>
  </si>
  <si>
    <t xml:space="preserve"> Specifications Item No.	Description	Quantity	Unit 	ROAD COMPONENTS		 	PART A – OTHER GENERAL REQUIREMENTS		 A.1.4(1)	Provision of Progress Photograps	610.00	each B.5	Project Billboard/Signboard	2.00	each B.7	Occupational Safety &amp; Health Program	all	l.s. B</t>
  </si>
  <si>
    <t xml:space="preserve"> 1 LOT, Periodic Service Maintenance of Airconditioning Units ABC: 97,000.00 (January to December budget) Location: Local Health Insurance Office - Tandag City Minimum specification: &gt; With special provision for minor repairs and periodic check-ups &gt; Must </t>
  </si>
  <si>
    <t xml:space="preserve"> see attached RFQ.</t>
  </si>
  <si>
    <t xml:space="preserve"> ITEM NO.                DESCRIPTION                              QUANTITY           UNIT 100                         CLEARING AND GRUBBING             180                 SQ.M 105                         SUB-GRADE PREPARATION             900              </t>
  </si>
  <si>
    <t xml:space="preserve"> 1	1	box	UTP Cable Outdoor CAT 6 Blue Color thick	 2	1	pack	Cable Tie (100/pack)	 3	1	box	RJ 45	 4	30	boxes	Continous Paper 1 Ply 11x9 1/2 Size	 5	100	pcs	Ribbon refill LX310	 6	10	pcs	Ribbon Cartridge LX310	 7	15	pcs	PVC Binder # 2	 8	20	pcs	PVC Binder # </t>
  </si>
  <si>
    <t xml:space="preserve"> 70% Solution Isopropyl/Ethyl Rubbing Alcohol (Antiseptic Disinfectant) 70% Solution Isopropyl/Ethyl Rubbing Alcohol (Antiseptic Disinfectant) 500ml Facial Tissue, 2ply Toilet Tissue, 2ply Disinfectant Spray, (340g) Powder Detergent Soap, (880g/pack) Toile</t>
  </si>
  <si>
    <t xml:space="preserve"> Republic of the Philippines SILAY CITY GOVERNMENT Zamora Street Silay City, Negros Occidental Telefax No. (034) 495-3746 	Control  Reference Number : GOODS#0113, ITB#0115  PR#0257: SCG-2020 Name of the Project: Purchase of Construction Materials and Elect</t>
  </si>
  <si>
    <t xml:space="preserve"> 1	86	pcs	Round Post 8"x18'	 2	84	pcs	Harwood 2"x8"x10'	 3	122	pcs	Hardwood 2"x12"x10'	 4	88	pcs	Hardwood 2"x6"x8'	 5	174	pcs	Machine Bolt 5/8"x12"	 6	31	kgs	C.W. Nails 4"	 7	18	kgs	C.W. Nails 2 1/2"	 8	6	kgs	Concrete Nails 4"</t>
  </si>
  <si>
    <t xml:space="preserve"> (Day 1)		 1	350	pax	Breakfast : Corned Beef, Rice, Bottled Water 350ml		 2	470	pax	Lunch: Chicken Curry, Rice, Softdrinks 200ml		 3	350	pax	Dinner: Fried Chicken, Rice, Soft drinks 200ml		 			Date: May 5, 2020		 			Venue: City Health Office		 			(Day 2)		</t>
  </si>
  <si>
    <t xml:space="preserve"> Republic of the Philippines  Office of the Municipal Mayor BIDS AND AWARDS COMMITTEE Sual, Pangasinan Invitation to Bid for PROCUREMENT OF MEDICAL SUPPLIES Sual, Pangasinan 1.	The Municipal Government of Sual, Pangasinan, through the Local Fund - 2020 int</t>
  </si>
  <si>
    <t xml:space="preserve"> 923      pcs       Prepaid Load Card (Globe 100) 922      pcs       Prepaid Load Card (SMART 100)</t>
  </si>
  <si>
    <t xml:space="preserve"> REQUEST OF QUOTATION STOCK NO.    UNIT       ITEM DESCRIPTION                        QTY. 01                  PC        Cignus 818 Base Radio 60w VHF 02                  PC        HANDHELD RADIO, Cignus UV-88                                   watts IP57 w</t>
  </si>
  <si>
    <t xml:space="preserve"> Republic of the Philippines Province of Misamis Oriental Local Government Unit of Claveria INVITATION TO BID FOR  Supply and  Delivery  of Materials  for the Construction  of 3 Phase Line at Hinaplanan Cassava Dryer &amp;  Installation  of Secondary Metering </t>
  </si>
  <si>
    <t xml:space="preserve"> INVITATION TO BID June 9, 2020 1.	The Provincial Government of Davao Occidental, through its Bids and Awards Committee (BAC), invites all suppliers to apply to bid for the following goods: Bids received in excess of the ABC shall be automatically rejected</t>
  </si>
  <si>
    <t xml:space="preserve"> Republic of the Philippines Province of Zamboanga del Sur MUNICIPALITY OF LAKE WOOD BIDS AND AWARDS COMMITTEE Invitation to Bid for Procurement of Construction/Improvement of Lake Wood Ecological Park and Materials Recovery Facility in this Municipality 1</t>
  </si>
  <si>
    <t xml:space="preserve"> Item No.	Description	Unit	Quantity 1	MOTORCYCLE	UNIT	1 			 	SPECIFICATIONS:		 			 	DISPLACEMENT: 124.10 cm (7.57cubic inches)		 	ENGINE TYPE: single cylinder, four stroke		 	POWER: 9.67 HP (7.1 kw)@ 800 RPM		 	TORQUE: 9.36 Nm (1.0 kgf.m or 6.9 ft.lbs)@ 65</t>
  </si>
  <si>
    <t xml:space="preserve"> Request for Quotation of Vehicle Parts &amp; Accessories</t>
  </si>
  <si>
    <t xml:space="preserve"> Repair of IT Equipment and Software</t>
  </si>
  <si>
    <t xml:space="preserve"> Procurement of Chicken Breeder, Chicken Booster Crumble and Chicken Starter Crumble for the use at the Office of the Provincial Veterinarian, New Capitol Building, Tagbilaran City ABC: P636,625.00 Cost of Bid Documents: P5,000.00 Advertisement Period: Jun</t>
  </si>
  <si>
    <t xml:space="preserve"> Republic of the Philippines DR. EMILIO B. ESPINOSA, SR. MEMORIAL STATE COLLEGE  OF AGRICULTURE AND TECHNOLOGY (Masbate State College) http:www.debesmscat.edu.ph Cabitan, Mandaon, Masbate Sir/Madam; The DEBESMSCAT invites suppliers to submit quotations or </t>
  </si>
  <si>
    <t xml:space="preserve"> SEE ATTACHED DOCUMENTS</t>
  </si>
  <si>
    <t xml:space="preserve"> 750 pcs. CHB 4"x8"x16' 63 bags Portland Cement 7 cu.m. Fine Aggregates 3 cu.m. Coarse Aggregates 80 length 10mm x 6.0 mtrs 8 kls. #16 tie wire</t>
  </si>
  <si>
    <t xml:space="preserve"> NOTICE OF PROCUREMENT OF GOODS THROUGH ALTERNATIVE METHOD OF PROCUREMENT (AMP-06-2020-007) 	Notice is hereby given that the Department of Public Works and Highways, Batangas IV District Engineering Office, Marawoy, Lipa City will conduct Small Value Procu</t>
  </si>
  <si>
    <t xml:space="preserve"> Republic of the Philippines BANGSAMORO AUTONOMOUS REGION IN MUSLIM MINDANAO Province of Maguindanao Municipality of Pandag INVITATION TO BID PROCUREMENT OF CONSTRUCTION MATERIALS FOR REHABILITATION/RENOVATION OF SCHOOL BUILDINGS (ITB No. 13-Goods-2020) Th</t>
  </si>
  <si>
    <t xml:space="preserve"> 1 UNIT PHOTOCOPYING MACHINE Document feeder 4GB or higher Memory Capacity 300GB or higher Hard Disk capacity Paper size: Maximum: A3, Minimum: A5 2 cassette trays paper tray capacity with Document handling application</t>
  </si>
  <si>
    <t xml:space="preserve"> Republic of the Philippines Province of Misamis Oriental Local Government Unit of Claveria INVITATION TO BID FOR  Supply and  Delivery  of Materials  for Transformer  Installation  (Water System)  at  Sitio Janopolan, Poblacion ,  Barangay Rizal &amp; Luna Th</t>
  </si>
  <si>
    <t xml:space="preserve"> Republic of the Philippines BANGSAMORO AUTONOMOUS REGION IN MUSLIM MINDANAO Province of Maguindanao Municipality of Pandag INVITATION TO BID PROCUREMENT OF SCHOOL LEARNING MATERIALS (ITB No. 14-Goods-2020) The Local Government Unit of Pandag, Maguindanao </t>
  </si>
  <si>
    <t xml:space="preserve"> Billboard; Structure Excavation; Reinforcing Steel Bar; Structural Concrete; Backfilling;  Safety and Health;  Equipment Requirement: One bagger mixer; Dump Truck; bar bender, backhoe;  Safety shoes; safety helmet; safety gloves; reflectorized vest  20w.d</t>
  </si>
  <si>
    <t xml:space="preserve"> 38     pcs     1/4 x 4 x 8 Marine Plywood  80     pcs     2 x 2 x 8 Good Lumber 15     kls     Assorted Common Nails 6      gals     Flatwall Enamel Paint 3      gals     paint Thinner 1      pc       7" Roller Brush w/ Tray 27    mtrs    12/2 PDX Copper </t>
  </si>
  <si>
    <t xml:space="preserve"> May we invite you to submit quotation for the above-mentioned requirements of Philippine Reclamation Authority (PRA). Please fill up the attached quotation form and submit the same with the complete requirements indicated in the said form. You can send it</t>
  </si>
  <si>
    <t xml:space="preserve"> 4	units	Fabricated Fiberglass Bouys 		Specs: 		4ft diameter, red color, circular with traigulate base 		with MPA BAGO CITY 		3/8 Galvanized Chain, 500 kgs. Concrete Anchor 8	units	Marker Bouys 		Specs: 		8 length Bamboo Pole, 8 mtrs, Rope 		8 pcs. 1 Ft. C</t>
  </si>
  <si>
    <t xml:space="preserve"> REPUBLIC OF THE PHILIPPINES  CITY OF ILOILO BIDS AND AWARDS COMMITTEE Office of the BAC Secretariat, 7th Floor, Iloilo City Hall, Plaza Libertad, Iloilo City 5000 Philippines Tel No.:  033-333-111 loc. 730		E-mail: bac.iloilocity@gmail.com REQUEST FOR QUO</t>
  </si>
  <si>
    <t xml:space="preserve"> 150 pcs. CHB 4"x8"x16' 27 bags Portland Cement 2.5 cu.m. Fine Aggregates 3 cu.m. Coarse Aggregates 71 length 10mm x 6.0 mtrs 5 kls. #16 tie wire 53.33 bd.ft. 20 pcs. 2"x2"x8' coco lumber 5 kls. #4 CWNails</t>
  </si>
  <si>
    <t xml:space="preserve"> Please see attached</t>
  </si>
  <si>
    <t xml:space="preserve"> Republic of the Philippines Office of the Municipal Mayor BIDS AND AWARDS COMMITTEE Sual, Pangasinan Invitation to Bid for PROCUREMENT OF FISHING BOATS  (BANGKA PARA SA MANGINGISDA) Sual, Pangasinan 1.	The Municipal Government of Sual, Pangasinan, through</t>
  </si>
  <si>
    <t xml:space="preserve"> 1) 25 bags 40kg Portland Cement 2) 87 bags Crushed Sand 3) 130 pcs 16x16 Floor Tiles 4) 145 bags Gravel 5) 10 bags Tile Grout 6) 190 lm Spandrell 6" 7) 50 lgth Double Furring 8) 20 lgth 2" Wall Anglel 9) 10 shts  MPW 1/4" thk 10) 20 lgth Carrying Channel </t>
  </si>
  <si>
    <t xml:space="preserve"> see attached Purchase Request</t>
  </si>
  <si>
    <t xml:space="preserve"> Improvement of Barangay Road to include:1. Roadway Preparation</t>
  </si>
  <si>
    <t xml:space="preserve"> INDUSTRIAL TECHNOLOGY DEVELOPMENT INSTITUTE DOST Cmpd., Bicutan, Taguig City Telephone Nos. (02) 837-20-71 to 82 local 2221 E-mail Add.: itdi.admbac@gmail.com INVITATION TO BID June 9, 2020 Sir/Madam: Please quote your price for the item/items listed belo</t>
  </si>
  <si>
    <t xml:space="preserve"> I. SMARTPHONES X 5</t>
  </si>
  <si>
    <t xml:space="preserve"> Republic of the Philippines  Province of La Union  Municipality of Bacnotan  Bids and Awards Committee  INVITATION TO BID FOR  COMPUTERIZATION OF INTEGRATED FINANCIAL MANAGEMENT INFORMATION AND OPERATIONS LINKED WITH REVENUE SYSTEM  1.	The Municipality of</t>
  </si>
  <si>
    <t xml:space="preserve"> 1	2	PCS	GI PIPE 3" X 6M (SCH. 20) 2	5	PCS	CUTTING DISK 4" 3	1	GAL	RED OXIDE PRIMER 4	1	BOX	WELDING ROD 6013(5KLS/BOX) 5	40	BD. FT	10 PCS - 2X2X12' GEMELINA WOOD 6	600	BD. FT	180 PCS - 2X2X10' GEMELINA WOOD 7	200	BD.FT	40 PCS - 2X3X10' GEMELINA WOOD 8	80	B</t>
  </si>
  <si>
    <t xml:space="preserve"> Replacement of Evaporator Fan (Quantity of 1) Preventive Maintenance and Calibration Compatible with Thermo Scientific Revco Bloodbank Refrigerator (Single Door)  H2O-U-Pack, Universal Kit (Quantity of 1) Compatible with Sartorius Water Distiller 1 Prefil</t>
  </si>
  <si>
    <t xml:space="preserve"> INVITATION TO BID NO. INFR-2020-10 									Date: June 10, 2020 1.	The Government of the Philippines (GOP) has received a Loan and administered by the International Fund for Agricultural Development (IFAD) through Loan No. 2000001773 toward the cost of th</t>
  </si>
  <si>
    <t xml:space="preserve"> NOTICE OF PROCUREMENT OF GOODS THROUGH ALTERNATIVE METHOD OF PROCUREMENT (AMP-06-2020-007) Notice is hereby given that the Department of Public Works and Highways, Batangas IV District Engineering Office, Marawoy, Lipa City will conduct Small Value Procur</t>
  </si>
  <si>
    <t xml:space="preserve"> LOT - I Aggregates 70	cu.m.	Item 201 		Total of Lot - I  P45,500.00 		 		LOT - II  Hardware 630	bags	Portland Cement  20	lgths	GA # 16 2" x 4" C-Purlins 10	lgths	12mm dia DSB 		Total of Lot - II  P185,400.00 		GRAND TOTAL AMOUNT  P230,900.00</t>
  </si>
  <si>
    <t xml:space="preserve"> INVITATION TO BID ITB 2020 - _29_ 1.	The Dr. Jose Fabella Memorial Hospital, through General Appropriations Act 2020 (GAA 2020) intends to apply the amount of Seven Million Three Hundred Twenty One Thousand One Hundred Fifty Pesos (Php 7,321,150.00) being</t>
  </si>
  <si>
    <t xml:space="preserve"> Republic of the Philippines          City of Dumaguete Bids and Awards Committee INVITATION TO BID FOR JOB ORDER OF 1 UNIT FLOOR MOUNTED AIRCON 	The City of Dumaguete thru its BIDS AND AWARDS COMMITTEE (BAC), invites all interested manufacturers, supplier</t>
  </si>
  <si>
    <t xml:space="preserve"> Republic of the Philippines BANGSAMORO AUTONOMOUS REGION IN MUSLIM MINDANAO Province of Maguindanao Municipality of Pandag INVITATION TO BID PROCUREMENT OF WELFARE GOODS (ITB No. 15-Goods-2020) The Local Government Unit of Pandag, Maguindanao through the </t>
  </si>
  <si>
    <t xml:space="preserve"> 13 pcs. Tables (good quality) 51 pcs. Chairs (good quality)</t>
  </si>
  <si>
    <t xml:space="preserve"> Purchase and Rehabilitation of CCTV camera of Barangay Sumilang</t>
  </si>
  <si>
    <t xml:space="preserve"> Republic of the Philippines Province of  Romblon Municipality of  Magdiwang Barangay Silum -oOo- INVITATION TO BID COMPLETION OF BARANGAY CLINIC (PABAHAY)-PHASE 1 Project ID No.001-2020                                                                      </t>
  </si>
  <si>
    <t xml:space="preserve"> 1.	The Municipality of Impasugong, through the 8-90-00 (2016 &amp; below) 20% - Purchase of Post Harvest Facilities intends to apply the sum Four Hundred Thirty Thousand Pesos (PhP 430,000.00) being the Approved Budget for the Contract (ABC) to payments under</t>
  </si>
  <si>
    <t xml:space="preserve"> Section I. Invitation to Bid Republic of the Philippines Province of Misamis Oriental  Municipality of Salay INVITATION TO BID FOR Procurement of materials for Construction of MPB (Temporary shelter for CICL &amp; VAWC Cases and Rehabilitation Center) Phase I</t>
  </si>
  <si>
    <t xml:space="preserve"> Rescue Supplies and Materials</t>
  </si>
  <si>
    <t xml:space="preserve"> 3 unit Printer 4 in 1; continuous ink; L5190 3 unit Netbook PC</t>
  </si>
  <si>
    <t xml:space="preserve"> NOTICE OF PROCUREMENT OF GOODS THROUGH ALTERNATIVE METHOD OF PROCUREMENT (AMP-06-2020-008) 	Notice is hereby given that the Department of Public Works and Highways, Batangas IV District Engineering Office, Marawoy, Lipa City will conduct Shopping on _____</t>
  </si>
  <si>
    <t xml:space="preserve"> INVITATION TO BID The Police Community Affairs and Development Group (PCADG), through its Bids and Awards Committee (BAC), invites all PhilGeps registered suppliers to bid pursuant to the Revised Implementing Rules and Regulations (IRR) of Republic Act (R</t>
  </si>
  <si>
    <t xml:space="preserve"> 3884	pax	Unifast Labor Charges 175	pax	Non-Unofast Labor Charges 		GRAND TOTAL AMOUNT  P791,505.00</t>
  </si>
  <si>
    <t xml:space="preserve"> Office of the Municipal Mayor	 1	Office Chairs, Ergodynamic Design	10 2	Filing Steel Cabinet with vault, 3 layers	1 3	Sofa with coffee table and side table, Hard wood with cushion	1 4	Oconference Table, Customized, arrangeable U-Shape, hard wood	7 		 	Off</t>
  </si>
  <si>
    <t xml:space="preserve"> Construction of Six (6) unit Purok Markers Using Stainless Steel and Rehabilitation of existing Welcome Marker</t>
  </si>
  <si>
    <t xml:space="preserve"> PROPOSED CONSTRUCTION OF FABRICATED MOVABLE BENCHES, BASKETBALL POST, BOARD AND RING AT BRGY. III-C, SAN PABLO CITY</t>
  </si>
  <si>
    <t xml:space="preserve"> Billboard; Clearing and Site preparation; Excavation; Reinforcing Steel Bars; Concrete Works; Safety and Health; Equipment Requirement:  Safety shoes; safety helmet; safety gloves; reflectorized vest; speed cutter; bar bender; dumptruck; 24 w.d.</t>
  </si>
  <si>
    <t xml:space="preserve"> Vitamin C</t>
  </si>
  <si>
    <t xml:space="preserve"> June 9, 2020 REQUEST FOR QUOTATION (RFQ) ANNUAL PREVENTIVE MAINTENANCE WITH ONE TIME CHANGE OIL OF GENERATOR SET 1 &amp; 2 (QUARTERLY) 1.	The Batangas Medical Center hereinafter referred to as the “Purchaser” now request for submission of price proposal for t</t>
  </si>
  <si>
    <t xml:space="preserve"> ITEM(S) TO BE SUPPLIED/SERVED/INSTALLED WITH TERMS AND SPECIFICATIONS:				 QTY	UNIT 	ITEM(S)	                                                                 UNIT PRICE	TOTAL PRICE 15	btls	Alcohol ethyl 70% 500ml		 3	btls	stamp pad ink (purple or violet)	</t>
  </si>
  <si>
    <t xml:space="preserve"> LOT - I Auto Diesel 40,000	liters	Auto Diesel 		Total of Lot - I  P1,760,000.00 		 		LOT - II Premium Gasoline 10,000	liters	Premium Gasoline 		Total of Lot - II  P540,000.00 		GRAND TOTAL AMOUNT  P2,300,000.00</t>
  </si>
  <si>
    <t xml:space="preserve"> 200 Unit Cost       500"bottle/tablet"Vitamin C, Ascorbic Acid, atleast 500mg/Tablet, atleast 100 Tablets per                                    Box/Bottle (Generic or Branded)				 150 Unit Cost       500 PieceHand Soap - 500 ML with Pump Dispenser, Anti-</t>
  </si>
  <si>
    <t xml:space="preserve"> I. PHOTOCOPYING MACHINE (3-in-1)</t>
  </si>
  <si>
    <t xml:space="preserve"> INVITATION TO BID LGU-El Salvador City, Misamis Oriental through its BAC, invites interested bidders to apply for eligibility and if found eligible to bid for the contract: 1.	Contract ID No.	:	ITB No. 2020-06-049 Name of Project	:	Confrimatory Drilling (</t>
  </si>
  <si>
    <t xml:space="preserve"> FURNISHING AND DELIVERY OF MOBILE/DESKTOP APPLICATION AND IT EQUIPMENT FOR THE JUBAN WATER SYSTEM READ AND BILL SYSTEM</t>
  </si>
  <si>
    <t xml:space="preserve"> Construction Project</t>
  </si>
  <si>
    <t xml:space="preserve"> 1	Catering Services for Youth Development Program (60 pax per day)	1	lot	95,000.00				 Day 1 	Lunch: Cooked rice, fried chicken, bam-I, lechon                                                           Dessert: gulaman                                      </t>
  </si>
  <si>
    <t xml:space="preserve"> OFFICE: MAYOR'S OFFICE PURPOSE: FOR MOBILIZATION AND MAINTENANCE OF THE GOVERNMENT VEHICLES ABC: 339,300.00 5700 LITER CRUDE/DIESEL OIL 400 LITER GASOLINE SPECIAL 125 LITER GASOLINE REGULAR 25 LITER 2T 30 LITER COOLANT 35 LITER BRAKEFLUID 40 LITER OIL 10</t>
  </si>
  <si>
    <t xml:space="preserve"> 200	reams	Bond paper long 200	reams	Bond paper short 200	pcs	Sign pen black (pilot) 200	pcs	Ballpen black TI MS TM, Doodle fine (0.5) 10	bxs	Pencil #3 12's/bx 10	bxs	Pentel pen black 12's/bx 10	bxs	Pentel Pen blue 12's/bx 1	bx 	White board marker balck 25</t>
  </si>
  <si>
    <t xml:space="preserve"> 220	Box	3 Ply Surgical Disposable Face mask w/ nose bar, ABC 800.00/box 		Specification:elastic 3 pleats,spun bonded polypropylene				 		material,&gt;97% bacteria filtration efficiency(BFF)				 		17.5cmX9.5cm(For adult use),Latex free				 RFQ#06-0596R</t>
  </si>
  <si>
    <t xml:space="preserve"> INVITATION TO BID NO. INFR-2020-11 									Date: June 10, 2020 1.	The Government of the Philippines (GOP) has received a Loan and administered by the International Fund for Agricultural Development (IFAD) through Loan No. 2000001773 toward the cost of th</t>
  </si>
  <si>
    <t xml:space="preserve"> FURNISHING AND DELIVERY OF COMPUTER SUPPLIES AND IT EQUIPMENT 1ST &amp; 2ND QUARTER</t>
  </si>
  <si>
    <t xml:space="preserve"> Billboard; Demolition of existing dilapidated canal; Construction of Canal; Construction of Protection Wall; Safety and Health; Equipment Requirement: safety shoes; safety helmet; safety gloves; reflectorized vest; Dumptruck/cargo Truck; bagger concrete m</t>
  </si>
  <si>
    <t xml:space="preserve"> I. COOKING EQUIPMENT</t>
  </si>
  <si>
    <t xml:space="preserve"> To provide labor for the establishment of 15 hectares purestand B. Humidicola in support to Forage and Pasture Development Project at DA-QES, Dungo, Aglipay, Quirino. Please see attached file.</t>
  </si>
  <si>
    <t xml:space="preserve"> Procurement of Various Office and Janitorial Supplies for the use at the Provincial Accounting Office, New Capitol Building, Tagbilaran City ABC: P76,324.43 Cost of Canvas: P150.00</t>
  </si>
  <si>
    <t xml:space="preserve"> Sir/Madam: Please quote your government price/s including delivery charges, VAT or other applicable taxes, and other incidental expenses for the goods listed in Annex A.  Failure to indicate information could be basis for non - compliance. Also, furnish u</t>
  </si>
  <si>
    <t xml:space="preserve"> Purchase of antenna repeater.</t>
  </si>
  <si>
    <t xml:space="preserve"> PR#20-06-0290 ABC 411,675.00 129 pcs.  GI Nipple 1”Ø x 6”, Sch. 40. ASTM, w/ 9 thread 83 pcs.    GI Nipple ½”Ø x 30”, Sch. 40, ASTM w/ 9 thread 315 pcs.  GI Nipple ½”Ø x 12”, Sch. 40, ASTM w/ 9 thread 30 pcs.    GI Nipple ½”Ø x 8”, Sch. 40, ASTM, w/ 9 thr</t>
  </si>
  <si>
    <t xml:space="preserve"> Republic of the Philippines																		 Province of Bohol																		 Municipality of Buenavista																		 																		 Barangay Panghagban																	 INVITATION TO APPLY FOR ELIGIBILITY AND TO BID																		 							</t>
  </si>
  <si>
    <t xml:space="preserve"> Republic of the Philippines BARANGAY SAN AGUSTIN Ibaan, Batangas INVITATION TO BID The Barangay Government of San Agustin, Ibaan, Batangas through its Bids and Awards Committee (BAC), invites contractors registered with and classified by the Philippine Co</t>
  </si>
  <si>
    <t xml:space="preserve"> I. ECO-BOTTLE</t>
  </si>
  <si>
    <t xml:space="preserve"> 1.	The Municipality of Impasugong, through the 20% DF – Rehabilitation of Multi-Purpose Halls – Hagpa – Kiudto Phase 2 intends to apply the sum of One Million Five Hundred Thousand Pesos (PhP 1,500,000.00) being the Approved Budget for the Contract (ABC) </t>
  </si>
  <si>
    <t xml:space="preserve"> I. CHAIRS</t>
  </si>
  <si>
    <t xml:space="preserve"> Section I. Invitation to Bid Republic of the Philippines Province of Misamis Oriental  Municipality of Salay INVITATION TO BID FOR Procurement of materials for Installation of Ili-ilihon Water System Distribution Pipes 1.	The Local Government Unit of Sala</t>
  </si>
  <si>
    <t xml:space="preserve"> I. KITCHEN UTENSILS</t>
  </si>
  <si>
    <t xml:space="preserve"> 2	Unit	2.5HP Window Type Aircondition(Manual type), ABC 40,000.00/unit 		Minimum Requirements:				 		&gt;with atleast 5 Air Filter system for hospital bacteria,				 		viruses &amp; moldes.				 		&gt;Lowest Non-Inverters Energy Saving feature, automatic				 		off sy</t>
  </si>
  <si>
    <t xml:space="preserve"> I. SUPPLIES</t>
  </si>
  <si>
    <t xml:space="preserve"> Please see attached bidding documents.</t>
  </si>
  <si>
    <t xml:space="preserve"> INVITATION TO BID									 									 The Barangay Langon, Municipality of Tungawan, Province of Zamboanga Sibugay,  through its Bids and Awards Committee 									 Committee (BAC), invites suppliers/ manufacturers/ distributors / contractors to apply for </t>
  </si>
  <si>
    <t xml:space="preserve"> GEOTECHNICAL SUB SURFACE EXPLORATION: PACKAGE No. 2020-01, MLANG AND TULUNAN, NORTH COTABATO</t>
  </si>
  <si>
    <t xml:space="preserve"> 6 Wheeler Dumptruck</t>
  </si>
  <si>
    <t xml:space="preserve"> For internet connection, commuter supplies and others</t>
  </si>
  <si>
    <t xml:space="preserve"> Republic of the Philippines										 DEPARTMENT OF EDUCATION										 Region VI - Western Visayas										 DIVISION OF NEGROS OCCIDENTAL										 Cottage Road Bacolod City										 										 REQUEST FOR QUOTATION (RFQ) FOR GOODS										 										</t>
  </si>
  <si>
    <t xml:space="preserve"> Republic of the Philippines Province of Iloilo Municipality of Lemery Invitation to Bid 1.	The Barangay  Marapal,  Lemery, Iloilo, through  General Fund  intends to apply the sum of Two Hundred Twenty Thousand  Pesos ( P220,000.00 ) being the Approved  Bu</t>
  </si>
  <si>
    <t xml:space="preserve"> INVITATION TO BID LGU-El Salvador City, Misamis Oriental through its BAC, invites interested bidders to apply for eligibility and if found eligible to bid for the contract: 1.	Contract ID No.	:	ITB No. 2020-06-050/Project ID No. 20-018-20% Name of Project</t>
  </si>
  <si>
    <t xml:space="preserve"> LOT - I Aggregates 10	cu.m.	Mixing Sand 10	cu.m.	3/4" Crushed Aggregates 		Total of Lot - I  P27,200.00</t>
  </si>
  <si>
    <t xml:space="preserve"> This project entails purchase of medical supplies during Covid-19 pandemic for use of MHO-KGU,Magallanes, Sorsogon</t>
  </si>
  <si>
    <t xml:space="preserve"> Republic of the Philippines Province of Eastern Samar Municipality of Mercedes OFFICE OF THE BIDS AND AWARDS COMMITTEE (BAC) INVITATION TO BID # INFRA-2020-006  Invitation to Bid for the Proposed Municipal Building Front Yard Landscaping (Phase 1) &amp; Rehab</t>
  </si>
  <si>
    <t xml:space="preserve"> Improvement to include: 1.installation of intake box 2.installation of transmission of intake box</t>
  </si>
  <si>
    <t xml:space="preserve"> ARTICLE AND DESCRIPTION											 ITEM	QTY.	UNIT						CEILING 					UNIT PRICE		TOTAL  								PRICE							 															 				Office: Universidad De Manila				PR No. 476							 				Charge to: Other Supplies and Materials Expenses				OBR No. 100-2003-021</t>
  </si>
  <si>
    <t xml:space="preserve"> 1.	The Municipality of Impasugong, through the 8-90-00 (2016 &amp; below) 20% - Purchase of Post Harvest Facilities intends to apply the sum Five Hundred Seventy Thousand Pesos (PhP 570,000.00) being the Approved Budget for the Contract (ABC) to payments unde</t>
  </si>
  <si>
    <t xml:space="preserve"> 1 unit Mini Dump Truck &amp; 1 unit Mobile Crusher Machine</t>
  </si>
  <si>
    <t xml:space="preserve"> Republic of the Philippines MUNICIPALITY OF BUENAVISTA INVITATION TO BID FOR CONCRETING OF SIHI – DAAT FMR  1.	The Local Government Unit of Buenavista, Marinduque through the fund from the 20% DF CY 2020 intends to apply the sum of Nine Hundred Ninety Nin</t>
  </si>
  <si>
    <t xml:space="preserve"> Section I. Invitation to Bid Republic of the Philippines Province of Misamis Oriental  Municipality of Salay INVITATION TO BID FOR Procurement of 16,000 liters of Diesel 1.	The Local Government Unit of Salay, through the Trust &amp; General Fund   intends to </t>
  </si>
  <si>
    <t xml:space="preserve"> Republic of the Philippines Province of Pangasinan Municipality of Natividad BTO CALAPUGAN INVITATION TO BID FOR ( REHABILITATION OF MULTI-PURPOSE  BRGY. HALL PHASE 2) The [BTO CALAPUGAN], through the  20% Development Fund  intends to apply the sum of [ON</t>
  </si>
  <si>
    <t xml:space="preserve"> 20 unit Megaphone; SR-106, Rechargeable &amp; Battery operated, 40 - 60 watts  1 unit Portable Public Address System, ZLX-15D, 500w Amp; 2 way Speaker System, USB Function, Active 1 unit Portable Public Address System, ZLX15D, 500w Amp; 2 way Speaker System, </t>
  </si>
  <si>
    <t xml:space="preserve"> ITEM        DESCRIPTION                                 QTY.            UNIT   I.           Const. of Bleacher                           10                m</t>
  </si>
  <si>
    <t xml:space="preserve"> Republic of the Philippines Province of Albay Municipality of Rapu-Rapu Barangay Buhatan INVITATION TO BID FOR Office Supplies  Purchase of Generator Set 1.	The Barangay Local Government Unit of Buhatan, Rapu-Rapu, Albay, through the Budget of the contrac</t>
  </si>
  <si>
    <t xml:space="preserve"> Invitation to Bid 									June 10, 2020 	 1.	 The Municipal Government of Tinoc through the Bids and Awards Committee advertised an Invitation to bid for the Purchase of One (1) Unit Mini Dump Truck   funded under the LGSF – Other Financial Assistance of</t>
  </si>
  <si>
    <t xml:space="preserve"> Republic of the Philippines Province of Albay Municipality of Rapu-Rapu Barangay Buhatan INVITATION TO BID FOR Purchase of Motorboat Service 1.	The Barangay Local Government Unit of Buhatan, Rapu-Rapu, Albay, through the Budget of the contract approved by</t>
  </si>
  <si>
    <t xml:space="preserve"> SECURITY PLANT COMPLEX  DEPARTMENT OF GENERAL SERVICES  Procurement Division REQUEST FOR QUOTATION 1. The Bangko Sentral ng Pilipinas requests quotations for the hereunder requirement: Name of the Requirement/Brief Description: Two (2) lots Calibration of</t>
  </si>
  <si>
    <t xml:space="preserve"> INVITATION TO BID									 									 The Barangay Batungan, Municipality of Tungawan, Province of Zamboanga Sibugay,  through its Bids and Awards Committee 									 Committee (BAC), invites suppliers/ manufacturers/ distributors / contractors to apply fo</t>
  </si>
  <si>
    <t xml:space="preserve"> Republic of the Philippines Province of Zamboanga del Sur MUNICIPALITY OF LAKE WOOD BIDS AND AWARDS COMMITTEE Invitation to Bid for Procurement of Construction/Installation of Solar Type Street Lighting System in this Municipality 1.	The Local Government </t>
  </si>
  <si>
    <t xml:space="preserve"> Republic of the Philippines Province of Samar MUNICIPALITY OF MARABUT INVITATION to BID for  RELOCATION OF THREE LOCAL HEROES MONUMENT  	 1.	The Municipal Government of Marabut, through its 20% Development Fund intends to apply the sum of Four Hundred Tho</t>
  </si>
  <si>
    <t xml:space="preserve"> Please quote your lowest price on the item(s)  listed below, subject to the Terms and Condition Stated												 below and submit your quotation duly signed by your representative not later than 10:30 A.M. of  June 19, 												 2020, at the return e</t>
  </si>
  <si>
    <t xml:space="preserve"> Photo Copier Machine Specification: Scanner Integrated Copy/Print Speed: A4: Max 16RPM A:3 Max 9RPM Print System: Electrophotograph Laser Gradation: 256 Paper Input Capacity: Standard 250 Sheets Cassette (A5-a3, 64-157 g/m2) Optional: 100 Sheets bypass (A</t>
  </si>
  <si>
    <t xml:space="preserve"> Purchase of Sea Ambulance</t>
  </si>
  <si>
    <t xml:space="preserve"> Procurement of One (1) unit Service Vehicle  Pick-up ACTIVITY	SCHEDULE	VENUE 1. Issuance of Bid Document June 10, 2020-June 30, 2020 BAC Secretariat Office -MPDO 2. Pre-Bid Conference/ Supplemental Bid- June 17, 2020 @ Tourism Office @ 1:30 PM	 3. Submiss</t>
  </si>
  <si>
    <t xml:space="preserve"> Republic of the Philippines Province of Leyte Municipality of Hilongos INVITATION TO RE-BID FOR THE PURCHASE OF FUEL, OIL AND LUBRICANTS 1.  The Local Government Unit of Hilongos, through GENERAL FUND-CURRENT APPROPRIATION intends to apply the sum ONE MIL</t>
  </si>
  <si>
    <t xml:space="preserve"> Billboard; Structural Excavation; Reinforcing Steel Bars; Structural Concrete; Grouted Riprap;  Equipment Requirement: Bar Cutter; Bar Bender; Concrete Mixer; Dumptruck; Safety shoes; safety helmet; safety gloves; reflectorized vest; 14 w.d.</t>
  </si>
  <si>
    <t xml:space="preserve"> Republic of the Philippines Province of Davao de Oro MUNICIPALITY OF COMPOSTELA BIDS AND AWARDS COMMITTEE CP#: 0998-571-7569 INVITATION TO BID FOR  Procurement for the Supply, Delivery and Installation of Window Blinds and Office Furniture and Fixtures fo</t>
  </si>
  <si>
    <t xml:space="preserve"> ITEM NO.	ITEM AND DESCRIPTION			QTY	UNIT 	Common Office Supplies				 1	Correctional tape, 6 meters			90	pc 2	Bond paper A4- 20/70 gsm			700	rms 3	Bond paper short, 20/70 gsm			700	rms 4	Bond paper long, 20/70 gsm			700	rms 5	Ballpen-Black and Blue			90	bo</t>
  </si>
  <si>
    <t xml:space="preserve"> Republic of the Philippines MUNICIPALITY OF BUENAVISTA INVITATION TO BID FOR CONCRETING OF MALBOG – HAYNON FMR  1.	The Local Government Unit of Buenavista, Marinduque through the fund from the 20% DF CY 2020 intends to apply the sum of Nine Hundred Ninety</t>
  </si>
  <si>
    <t xml:space="preserve"> Republic of the Philippines Province of Camarines Sur MUNICIPALITY OF LAGONOY BIDS AND AWARDS COMMITTEE INVITATION TO BID/REQUEST FOR EXPRESSION OF INTEREST The Municipal Government of Lagonoy through its Bids and Awards Committee (BAC) invites suppliers/</t>
  </si>
  <si>
    <t xml:space="preserve"> The length of the road is seventy two (72) meters. The pavement width is five (5) meters while the pavement thickness is  fifteen hundredths (0.15) meter.</t>
  </si>
  <si>
    <t xml:space="preserve"> Republic of the Philippines DEPARTMENT OF PUBLIC WORKS AND HIGHWAYS BATANGAS III DISTRICT ENGINEERING OFFICE REGIONAL OFFICE IV-A J. Gonzales St., Barangay 4, Tanauan City RE-INVITATION TO BID (CW-2020-035) The DPWH–Batangas III District Engineering Offic</t>
  </si>
  <si>
    <t xml:space="preserve"> SCOPE OF WORK &amp; TECHNICAL SPECIFICATIONS GENERAL CONDITIONS                All works to be undertaken shall be in accordance with the plans and working drawings. It includes the furnishing of all materials, labor and equipment with supervision necessary f</t>
  </si>
  <si>
    <t xml:space="preserve"> 1	Unit	Electric Autopsy Saw, ABC 190,000.00/unit 		&gt;Heavy Duty,well balanced,light weight,user friendly,				 		power switch is located on end part of the saw,includes				 		large and small section blades and bone dust collector				 		&gt;able to attach to bo</t>
  </si>
  <si>
    <t xml:space="preserve"> Catering Services good for 75 pax in connection with the continuing Crafting of the propose Provincial Omnibus Revenue Code on June 17, 2020 in Palo, Leyte. Inclusion: Venue Rentals, Use of Projector with screen, Sound System, Microphone &amp; Podium, 8 x 4 T</t>
  </si>
  <si>
    <t xml:space="preserve"> Replacement of Main PCB (Quantity of 1) Replacement of NV RAM Compatible with RC4 Thermo Scientific Refrigerated Centrifuge (8 placer) NOTE: ALL NEW SUPPLIER ARE REQUIRED TO SUBMIT THE FOLLOWING DOCUMENT. 1. DTI Registration 2. SEC Registration 3. Current</t>
  </si>
  <si>
    <t xml:space="preserve"> LOT - I Aggregates 10	cu.m.	Mixing Sand 10	cu.m.	3/4" Crushed Aggregates 		Total of Lot - I  P24,700.00</t>
  </si>
  <si>
    <t xml:space="preserve"> Contract ID: 20PK0070 Contract Name: Repair/Maintenance of DPWH Building, Quality Assurance Section Office Building, P-6, Bulanao, Tabuk City, Kalinga   Contract Location: P-6, Bulanao, Tabuk City, Kalinga Brief Description: Repair and Maintenance of Buil</t>
  </si>
  <si>
    <t xml:space="preserve"> ITB No. 2020-11-EFS June 10, 2020 Republic of the Philippines Province of Davao Oriental CITY OF MATI INVITATION TO BID IMPROVEMENT OF THE GUANG-GUANG MANGROVE PARK Name of Project 1.	The City Government of Mati, through the Trust Fund Account (from the D</t>
  </si>
  <si>
    <t xml:space="preserve"> 1	Labor and Materials for Windows 	2	unit	30,000.00	 	Repair (69"x118")				 2	Labor and Materials for Windows 	1	unit	20,000.00	 	Repair (69"x155 1/2")				 GRAND TOTAL	50,000.00</t>
  </si>
  <si>
    <t xml:space="preserve"> INVITATION TO BID NO. INFRA-2020-09 									 1.	The Municipal Government of Hungduan, Ifugao, through the 20% Municipal Development Fund intends to apply the sum of One Million Two Hundred Fifty Five Thousand Eight Hundred Seventeen Pesos &amp; Sixty Four Ce</t>
  </si>
  <si>
    <t xml:space="preserve"> Procurement of One (1) unit Brand New MPV ACTIVITY	SCHEDULE	VENUE 1. Issuance of Bid Document June 10, 2020-June 30, 2020 BAC Secretariat Office -MPDO 2. Pre-Bid Conference/ Supplemental Bid- June 17, 2020 @ Tourism Office @ 1:30 PM	 3. Submission of Bids</t>
  </si>
  <si>
    <t xml:space="preserve"> Republic of the Philippines Province of Palawan  Municipal Government of Cuyo BIDS AND AWARDS COMMITTEE Email Address: baccuyopalawan@gmail.com INVITATION TO BID FOR “SUPPLY AND DELIVERY OF ASSORTED MEDICINES FOR MUNICIPAL HEALTH OFFICE OF CUYO”   1.	The </t>
  </si>
  <si>
    <t xml:space="preserve"> Purchase of Supplies Please be guided by the following schedules: 1. Submission of Letter of Intent - June 11,2020 2. Issuance and Availability of Bidding Documents - June 15-16,2020 3. Opening of Bids - June 18, 2020</t>
  </si>
  <si>
    <t xml:space="preserve"> Republic of the Philippines											 DEPARTMENT OF EDUCATION											 Region VI - Western Visayas											 DIVISION OF NEGROS OCCIDENTAL											 Cottage Road Bacolod City											 											 REQUEST FOR QUOTATION (RFQ) FOR GOODS											 			</t>
  </si>
  <si>
    <t xml:space="preserve"> 1 set Diesel Tractor L5018 KRX193 Rotary Tiller Specifications: Model: KRX193 Dimensions: Width (mm) 2153 Depth (mm) 893 Height (mm) 1033 Weight with Joint: Kg. 464 Blade Type: Flange Number of Blade: pcs. 36 Tilling Width: mm 1863 Blade Shaft: PTO 540 rp</t>
  </si>
  <si>
    <t xml:space="preserve"> Concreting of Jct. Recodo Road to Sitio Panorama, Cawayan, Masbate</t>
  </si>
  <si>
    <t xml:space="preserve"> 4	Unit	5KVA Uninterruptible power supply, ABC 30,000.00/unit RFQ#06-0599</t>
  </si>
  <si>
    <t xml:space="preserve"> Purchase of 3 sets Desktop Computer</t>
  </si>
  <si>
    <t xml:space="preserve"> Republic of the Philippines Province of Albay Municipality of Rapu-Rapu Barangay Bilbao INVITATION TO BID FOR THE 20% EDF CY 2020 PROJECTS 1.	The Barangay Local Government Unit of Bilbao, Rapu-Rapu, Albay, through the Budget for the Contract Approved by t</t>
  </si>
  <si>
    <t xml:space="preserve"> Installation of Solar LED Street Light at Barangay Salingcomot, Baganga, Davao Oriental.</t>
  </si>
  <si>
    <t xml:space="preserve"> All prospective bidders are invited to bid on the above items. The Sangguniang Barangay of Tanza reserves the right to accept or reject any bid, to annul the bidding process, and to reject all bids at any time prior to contract award, without thereby incu</t>
  </si>
  <si>
    <t xml:space="preserve"> 1.) RC pipe, 350mm dia x 1.00m = 8 piece 2.) Cement, portland, 40kg = 105 bag 3.) Sand, fine = 8 cubic meter 4.) Screened gravel, 3/4" = 7 cubic meter 5.) RSB, 10mm dia x 6.00m = 40 piece 6.) RSB, 12mm dia x 6.00m = 31 piece 7.) Tie wire, #16 = 6 kilo 8.)</t>
  </si>
  <si>
    <t xml:space="preserve"> Lot I - Aggregates &amp; Masonry Products: 10	cu.m.	Mixing Sand 10	cu.m.	3/4" Crushed Aggregates 		Total of Lot - I P27,200.00</t>
  </si>
  <si>
    <t xml:space="preserve"> Purchase of foot baths for various office entrances</t>
  </si>
  <si>
    <t xml:space="preserve"> Republic of the Philippines BANGSAMORO AUTONOMOUS REGION IN MUSLIM MINDANAO Province of Maguindanao Municipality of Pandag INVITATION TO BID PROCUREMENT OF OFFICE SUPPLIES AND MATERIALS (ITB No. 17-Goods-2020) The Local Government Unit of Pandag, Maguinda</t>
  </si>
  <si>
    <t xml:space="preserve"> Supply and Delivery of 1000 Amperes Circuit Breaker for MCC2, FOB Masbate</t>
  </si>
  <si>
    <t xml:space="preserve"> Invitation to Bid 									June 10, 2020 	 1.	 The Municipal Government of Tinoc through the Bids and Awards Committee advertised an Invitation to bid for the Purchase of One (1) Unit Wheeled Backhoe   funded under the Year 2020 Annual Budget – 20% Local </t>
  </si>
  <si>
    <t xml:space="preserve"> RFQ PR No 2020-05-016 Purchase of Office Supplies for Use at the Construction Section DPWH-MPSDEO, DENR Compound, Paracelis, Mountain Province</t>
  </si>
  <si>
    <t xml:space="preserve"> Rehabilitation of Barangay Road from Diversion Road to Sitio Paopagon, Barangay Salingcomot, Baganga, Davao Oriental.</t>
  </si>
  <si>
    <t xml:space="preserve"> Republic of the Philippines																	 DEPARTMENT OF EDUCATION																	 Region VI - Western Visayas																	 DIVISION OF NEGROS OCCIDENTAL																	 Cottage Road Bacolod City																	 																	 REQUEST FOR QUOT</t>
  </si>
  <si>
    <t xml:space="preserve"> Rehabilitation of Barangay Road from Proper San Victor to Sitio Heni, Barangay San Victor, Baganga, Davao Oriental</t>
  </si>
  <si>
    <t xml:space="preserve"> Improvement of Day Care Center</t>
  </si>
  <si>
    <t xml:space="preserve"> Contract ID No.	:20GII0009 Contract Name	:Repair and Maintenance of Defective Roadways under D.O. 41 s2016 along Catarman-Laoang Road and Rawis-Catubig Road Contract Location:Northern Samar Second District Brief Description of Goods to be Procured:Use as </t>
  </si>
  <si>
    <t xml:space="preserve"> Laptop 15.6" (Core i7 / 8 gb ram DDR 4 Windows 10 / 1 TB HDD)</t>
  </si>
  <si>
    <t xml:space="preserve"> The road length is one hundred forty two  (142) meters. The pavement width is three and a half (3.5) meters while the pavement thickness is fifteen hundredths (0.15) meter.</t>
  </si>
  <si>
    <t xml:space="preserve"> LOT I - Aggregates &amp; Masonry Products 50	bags	Portland Cement (40kg./bag) 		Total of Lot - I  P14,000.00</t>
  </si>
  <si>
    <t xml:space="preserve"> Republic of the Philippines Province of Albay Municipality of Rapu-Rapu Barangay Hamorawon INVITATION TO BID FOR THE CONSTRUCTION OF PATHWALK (PUROK 1) 1.	The Barangay Local Government Unit of Hamorawon, Rapu-Rapu, Albay, through the Budget for the Contra</t>
  </si>
  <si>
    <t xml:space="preserve"> PR#20-06-0292 ABC 345,005.00 25 pcs.   GI Pipe 1”Ø x 6m, ASTM S-40 (wt. 12 kgs.) 198 pcs. GI Pipe ½”Ø x 6m, ASTM S-40 (wt. 7.62 kgs.) 40 pcs.   PVC Sanitary Pipe 50mm (2”)Ø x 10’, S-1000 w/ hub 25 pairs  Construction Gloves 15 pcs.  Reflectorized Vest Siz</t>
  </si>
  <si>
    <t xml:space="preserve"> INVITATION TO BID FOR (Procurement of Goods; Supply and Delivery of Materials for use in the repair/maintenance of various national roads and bridges within the  jurisdiction of MMIDEO, NCR, DPWH, Rosario, Pasig City  	The Metro Manila 1st District Engine</t>
  </si>
  <si>
    <t xml:space="preserve"> Laboratory and Dental Supplies</t>
  </si>
  <si>
    <t xml:space="preserve"> Supply and delivery of various office supplies for use at LSB (Elementary)</t>
  </si>
  <si>
    <t xml:space="preserve"> Republic of the Philippines                                                       Province of Zamboanga del Norte                                                          MUNICIPALITY OF MANUKAN 	                                                           </t>
  </si>
  <si>
    <t xml:space="preserve"> Installation of Solar LED Street Light at Barangay San Isidro, Baganga, Davao Oriental.</t>
  </si>
  <si>
    <t xml:space="preserve"> Lot I-Aggregates &amp; Masonry Products 80	bags	Portland Cement (40kg./bag) 10	cu.m	Mixing Sand 5	cu.m	Mixing Gravel (Crack Stone) 		Total of Lot - I P42,100.00</t>
  </si>
  <si>
    <t xml:space="preserve"> 30 cylinders Gas Chlorine, 99% purity Approved Budget Cost: ₱10,500.00 / tank x x x x x This is a two (2) envelope system: Envelope “A” to contain the following; among others: A.) A refundable bid bond in the form of cash, Manager's or Cashier's check equ</t>
  </si>
  <si>
    <t xml:space="preserve"> (385.85 sq. ft.)  12-panels    Korean Combi Blinds (Marie Khaki)  Location                      : BICOL UNIVERSITY POLANGUI CAMPUS, POLANGUI, ALBAY    Approved Budget For the Contract	: 96,462.50 Delivery Period		: 7 days 1.	The BICOL UNIVERSITY POLANGUI </t>
  </si>
  <si>
    <t xml:space="preserve"> 50	ream	                   PAPER, MULTICOPY, 80gsm, size: 210mm x 297mm	 50	ream	                   PAPER, MULTICOPY, 80gsm, size: 216mm x 330mm	 100	ream	                   PAPER, Multi-Purpose (COPY) Legal, 70 gsm	 30	pad	                   PAPER, PAD, </t>
  </si>
  <si>
    <t xml:space="preserve"> Republic of the Philippines Province of Agusan del Norte Municipality of Nasipit Invitation to Bid for Improvement of Public Bus Terminal (Building), Brgy. Triangulo 1. The Local Government Unit of Nasipit, through the 20% MDF 2020 intends to apply the su</t>
  </si>
  <si>
    <t xml:space="preserve"> Republic of the Philippines																			 DEPARTMENT OF EDUCATION																			 Region VI - Western Visayas																			 DIVISION OF NEGROS OCCIDENTAL																			 Cottage Road Bacolod City																			 																			 REQU</t>
  </si>
  <si>
    <t xml:space="preserve"> Republic of the Philippines  DEPARTMENT OF PUBLIC WORKS AND HIGHWAYS MISAMIS ORIENTAL 2nd DISTRICT ENGINEERING OFFICE Region X Balase Street, El Salvador City   INVITATION TO BID FOR The Department of Public Works and Highways Misamis Oriental 2nd Distric</t>
  </si>
  <si>
    <t xml:space="preserve"> All prospective bidders are invited to bid on the above items. The Sangguniang Barangay of Tanza  reserves the right to accept or reject any bid, to annul the bidding process, and to reject all bids at any time prior to contract award, without thereby inc</t>
  </si>
  <si>
    <t xml:space="preserve"> Construction of 2 units Single Detached Commercial Hometel at Sunrise Boulevard, Barangay Dapnan, Baganga, Davao Oriental.</t>
  </si>
  <si>
    <t xml:space="preserve"> Parts and labor for the repair of Garbage Truck (RLU-889)</t>
  </si>
  <si>
    <t xml:space="preserve"> Republic of the Philippines Province of Leyte Municipality of Palompon Palompon, Leyte  								  BIDS AND AWARDS COMMITTEE		RPQ No.	2020-1606-024	   						Date	10-June-2020	   						PR No.	20-03-676-139	  						Date	3/3/2020	 To: 	 	Origin	 	   	 			   	</t>
  </si>
  <si>
    <t xml:space="preserve"> 1 unit PVC ID Card Printer (ADM Division)</t>
  </si>
  <si>
    <t xml:space="preserve"> for Psychiatric Medications</t>
  </si>
  <si>
    <t xml:space="preserve"> 1,500	 bags	Certified Palay Seeds 	40kgs/bag	 		Note:  Date Harvest is not earlier than January 1, 2020 		Requested Varieties are: 		PSB Rc 10, NSIC Rc: 222, 216, 226, 238 and Recenty 		good quality varieties 		GRAND TOTAL AMOUNT   P2,280,000.00</t>
  </si>
  <si>
    <t xml:space="preserve"> Republic of the Philippines PROVINCE OF LANAO DEL NORTE MUNICIPALITY OF LALA Office of the Municipal General Services                                                                                                               _________________          </t>
  </si>
  <si>
    <t xml:space="preserve"> Republic of the Philippines City of Manila BIDS AND AWARDS COMMITTEE Description: 15   sacks   Rice 495  kilo     Chicken 3    packs   Sando Plastic bag REQUESTING OFFICER/END USER :  Barangay 848, Zone 92,  District 6, Manila APPROVED BUDGET FOR THE CONT</t>
  </si>
  <si>
    <t xml:space="preserve"> Request for Quotation City Agriculture Office Construction Material and Inventory P 151,565.06</t>
  </si>
  <si>
    <t xml:space="preserve"> 5	bxs	Cholesterol Fuji Chem 10	bxs	Triglycerides Fuji Chem 20	bxs	Sodium Pottasium 1	bx 	UF II Search Sed 1	bx	UF II Search Bac 1	bx	UF II Pac Bac 1	bx	UF II Pac Sed 3,000	pcs	Specimen cup w/ cover sterile 5	bxs	UF II Sheath 		GRAND TOTAL AMOUNT  P271,085</t>
  </si>
  <si>
    <t xml:space="preserve"> Materials for the concrete paving of road at Sitio Balococ East Brgy. Cacayasen, Burgos, Pang.</t>
  </si>
  <si>
    <t xml:space="preserve"> INVITATION TO BID FOR Procurement of Goods; Supply and Delivery of One (1) Unit Portable  Weigh-In-Motion (WIM) Axle Weigher Set for use of Anti-Truck  Overloading Mobile Enforcers (ATOME) of MMIDEO, NCR, DPWH,  Rosario, Pasig City  	The Metro Manila 1st </t>
  </si>
  <si>
    <t xml:space="preserve"> qty        unit of issue          est unit cost          total est cost 1.   PEP BAG (3x3x8 in)               30,000      pcs                    0.90                    27,000.00 2. PEP BAG ( (4x4x12 in)            30,000       pcs                   2.00 </t>
  </si>
  <si>
    <t xml:space="preserve"> The Local  Government   Unit  of General  Santos  City, through  the  GENERAL FUND CY 2020  intends  to apply  the sum of seventy nine thousand fifty and xx / 100 Pesos Only (79,050.00)   being  the Approved  Budget  for the Contract   (ABC) to payments  </t>
  </si>
  <si>
    <t xml:space="preserve"> A) REQUEST FOR QUOTATION 1. 1 unit DSLR CAMERA with 18-105mm Kit Lens Specifications: Sensor: 24.2MP APS-C CMOS 4, 23.5 x 15.6mm Image Processor: EXPEED 4 AF points: 11-point AF, 1 cross-type ISO range: 100 to 25,600 Max image size: 6,000 x 4,000px Meteri</t>
  </si>
  <si>
    <t xml:space="preserve"> Chlorine Dioxide (BugBUST)</t>
  </si>
  <si>
    <t xml:space="preserve"> 3,500	bags	Certified Palay Seeds 	40 kgs/bag	 		Note: Date of Harvest not earlier than Mar 1, 2020 		Requested Varieties are: PSB Rc 10; NSIC Rc 222, 		216, 226, 238 and recently released good quality 		varities 		GRAND TOTA AMOUNT  P5,320,000.00</t>
  </si>
  <si>
    <t xml:space="preserve"> SUPPLY AND DELIVERY OF 2 UNITS MOTORCYCLE USE AT ENGINEERING OFFICE AS SERVICE FOR INSPECTION OF PROJECTS, MAUBAN, QUEZON. The Local Government Unit of Mauban through the TRUST FUND-ENGINEERING OFFICE, 2020 intends to apply the sum of Two hundred seventee</t>
  </si>
  <si>
    <t xml:space="preserve"> LOT - III Lumber 150	pcs.	2" x 2" x 10' R/L  		Total of Lot - III P 33,600. 00</t>
  </si>
  <si>
    <t xml:space="preserve"> The Local  Government   Unit  of General  Santos  City, through  the  GENERAL FUND CY 2020  intends  to apply  the sum of one hundred forty eight thousand two hundred twenty and xx / 100 Pesos Only (148,220.00)   being  the Approved  Budget  for the Contr</t>
  </si>
  <si>
    <t xml:space="preserve"> Rehabilitation of Barangay Road from Sitio Cabanbanan, Barangay Dapnan to Sitio Lapaz &amp; Sitio Calinaban, Barangay San Isidro, Baganga, Davao Oriental</t>
  </si>
  <si>
    <t xml:space="preserve"> REQUEST FOR QUOTATION RFQ No. 2020-0230 The CITY GOVERNMENT OF CABANATUAN through its Bid and Awards Committee (BAC), will undertake Small Value Procurement for the SUPPLY AND DELIVERY OF OFFICE SUPPLIES in accordance with Section 53.9 of the Revised Impl</t>
  </si>
  <si>
    <t xml:space="preserve"> Request for Quotation for the Procurement of Prepaid Cellphone Cards to be used for Encoding of RCM Interview, ME &amp; L, Farming Monitor, Research Trial Implementation and Communication purpose for RCM Activities in the province of Negros Oriental CY 2020 1</t>
  </si>
  <si>
    <t xml:space="preserve"> Scope of Works: *Layout *Structural Excavation and Clearing *Filling and Compaction *Concrete Works *Masonry Works, Roof Framing Works *Ceiling *Roofing Works *Doors *Windows *Sanitary Works, Septic Tank *Painting *Window Grills *Electrical *Hauling</t>
  </si>
  <si>
    <t xml:space="preserve"> 83	sets	PNP Pexilized Field Service Uniform 83	pcs	Tactical Boots 		GRAND TOTAL AMOUNT  P630,800.00</t>
  </si>
  <si>
    <t xml:space="preserve"> Republic of the Philippines Province of Oriental Mindoro MUNICIPALITY OF NAUJAN BIDS AND AWARDS COMMITTEE INVITATION TO BID SUPPLY AND DELIVERY OF ICT EQUIPMENT AND FURNITURE &amp; FIXTURES TO BE USED IN DIFFERENT OFFICES, NAUJAN, ORIENTAL MINDORO 1.	The Muni</t>
  </si>
  <si>
    <t xml:space="preserve"> Bids and Awards Committee							 INVITATION TO BID/ REQUEST FOR QUOTATION							 							          The City Government of Pagadian, through its Bids and Awards Committee (BAC), invites suppliers/manufacturers/distributors to apply for eligibility and if fo</t>
  </si>
  <si>
    <t xml:space="preserve"> 1     Unit     Repair of Franklin Submersible Motor 75hp, 3 phase, 380/469V                  8"Ø (Spare of Sto. Niño Pumping Station)                  Scope of Work:                  a.  Check-up, overhaul and rewind                  b.  Replace o-rings, </t>
  </si>
  <si>
    <t xml:space="preserve"> Invitation to Bid All prospective bidders are invited to bid on the above items. The Sangguniang Barangay of Mercado reserves the right to accept or reject any bid, to annul the bidding process, and to reject all bids at any time prior to contract award, </t>
  </si>
  <si>
    <t xml:space="preserve"> Please see attached bidding documents for details.</t>
  </si>
  <si>
    <t xml:space="preserve"> Scope of Works *Lay-Out *Base Preparation *Portland Cement Concrete Pavement *Labor *Equipment Rental *Contingencies</t>
  </si>
  <si>
    <t xml:space="preserve"> Republic of the Philippines Province of Albay Municipality of Rapu-Rapu Barangay Galicia INVITATION TO BID FOR THE FENCING OF MULTI-PURPOSE HALL 1.	The Barangay Local Government Unit of Galicia, Rapu-Rapu, Albay, through the Budget for the Contract Approv</t>
  </si>
  <si>
    <t xml:space="preserve"> 150	bxs	Clean gloves large 10	bxs	NGT FR. 18 10's/box 50	btls	Hydrogen peroxide 500ml 1000	pcs	Soluset 50	packs	Blood set 10's/pack 20	bxs	Syringe 50ml 50's /box 50	packs	Adult diaper large 10's/pack 50	packs	Boufant cap 100's/pack 50	bxs	Disposable syrin</t>
  </si>
  <si>
    <t xml:space="preserve"> The Municipality of Pola, Oriental Mindoro hereby invites interested parties to participate in the public auction of various unserviceable properties, scrap and waste materials and various motor vehicles, as indicated below Item No.	Item Description and L</t>
  </si>
  <si>
    <t xml:space="preserve"> Repair of Building 1, Repair of Building 2, Repair of Gazebo and Wooden Trellis, Repainting of Gate, Electrical Works (Bldg 1, 2 and Gazebo), Construction of Pumphouse, Installation of Water Tanks, Temporary Facilities, Project Billboard, Mobilization/Dem</t>
  </si>
  <si>
    <t xml:space="preserve"> Package 1: Various MPP, Taggay &amp; Ballayangon, Pinukpuk</t>
  </si>
  <si>
    <t xml:space="preserve"> Republic of the Philippines Province of Bukidnon MUNICIPALITY OF LIBONA   INVITATION TO BID 	The Local Government Unit of libona, through its Bids and Awards Committee (BAC) invites Suppliers/manufacturers/distributors/contractors with to apply for eligib</t>
  </si>
  <si>
    <t xml:space="preserve"> Republic of the Philippines Province of Cotabato Municipality of Antipas BIDS AND AWARDS COMMITTEE INVITATION TO BID FOR Supply and Installation of Streetlights 1.	The Municipal Government of Antipas, through the Budget approved by the Sanggunian intends </t>
  </si>
  <si>
    <t xml:space="preserve"> Scope of Works *Clearing and Grubbing *Sub-Grade Preparation *Aggregate Sub-Base Course *Aggregate Base Course *Portland Cement Concrete Pavement *Stoned Masonry Canal *Contingencies</t>
  </si>
  <si>
    <t xml:space="preserve"> LOT - I Aggregates 10	cu.m.	Washed Sand 6	cu.m.	3/4" Crushed Rock 		Total of Lot - I  P18,700.00 		LOT - III Lumber 50	pcs	2" x 2" x 10' R/L 30	pcs	1" x 2" x 10' R/L 		Total of Lot - III  P11,050.00</t>
  </si>
  <si>
    <t xml:space="preserve"> Road Opening at Ikog Buaya, Sitio Nonocan, Barangay Dapnan Phase III, Baganga, Davao Oriental</t>
  </si>
  <si>
    <t xml:space="preserve"> TRAINING PACKAGE OF SECURITY, BODY GUARD AND TRAFFIC ENFORCER OF MAUBAN, QUEZON The Local Government Unit of Mauban through the GENERAL FUND, 1011/5-02-02-010, 2020 intends to apply the sum of Two hundred ninety two thousand pesos (Php 292,000.00) being t</t>
  </si>
  <si>
    <t xml:space="preserve"> Package 2: Various Concrete Pathway, Taggay &amp; Limos, Pinukpuk</t>
  </si>
  <si>
    <t xml:space="preserve"> Temporary Facilities, Project Billboard, Construction Safety and Health, Mobilization/Demobilization, Clearing and Grubbing, Roadway Excavation (Surplus Soft Rock for Disposal), Foundation Fill, Pipe Culvert and Drain Excavation, Embankment from Road Exca</t>
  </si>
  <si>
    <t xml:space="preserve"> The Local  Government   Unit  of General  Santos  City, through  the  GENERAL FUND  intends  to apply  the sum of one hundred forty five thousand and xx / 100 Pesos Only (145,000.00)   being  the Approved  Budget  for the Contract   (ABC) to payments  und</t>
  </si>
  <si>
    <t xml:space="preserve"> LOT - I Aggregates  70	bags	Portland Cement (40kg./bag) 35	cu.m.	Mixing Sand 40	cu.m.	3/4" Crushed Aggregates 5	shts	3/4" Ordinary Plywood 50	pcs	2  x 2 x 12 Gemelina R/L 		Total of Lot - I  P124,625.00</t>
  </si>
  <si>
    <t xml:space="preserve"> Republic of the Philippines Province of Misamis Occidental Municipality of Plaridel INVITATION TO APPLY FOR ELIGIBILITY AND TO BID 	 	The Local Government Unit, LGU-Plaridel, Misamis Occidental, through its Bids and Awards Committee (BAC), invites supplie</t>
  </si>
  <si>
    <t xml:space="preserve"> CLEANING / CLEARING OF WATERLILIES</t>
  </si>
  <si>
    <t xml:space="preserve"> LOT - I Aggregates 30	cu.m.	Washed Fine Aggregates 20	cu.m.	3/4" Crushed Aggregates 33	cu.m.	Item 201 		Total of Lot - I  P83,050.00 		LOT - III  Lumber 67	pcs	2" x 2" x 12' R/L 		Total of Lot - III  P13,400.00 		 		LOT - IV  Painting 10	gals	Zinc Chromat</t>
  </si>
  <si>
    <t xml:space="preserve"> per attached BSP specifications for delivery to BSP Batac Branch, City of Batac, Ilocos Norte</t>
  </si>
  <si>
    <t xml:space="preserve"> Republic of the Philippines BANGSAMORO AUTONOMOUS REGION IN MUSLIM MINDANAO Province of Maguindanao Municipality of Pandag INVITATION TO BID PROCUREMENT OF RESCUE MATERIALS AND EQUIPMENT (ITB No. 18-Goods-2020) The Local Government Unit of Pandag, Maguind</t>
  </si>
  <si>
    <t xml:space="preserve"> Scope of Works: *Clearing and Grubbing *Structural Excavation *Filling and Compaction, Concrete Works *Forms and Scaffolding *Masonry Works *Septic Tank *Windows *Doors *Corrugated Metal Roofing *Ceiling *Plumbing Works *Roof Framing Works *Painting Works</t>
  </si>
  <si>
    <t xml:space="preserve"> The Local  Government   Unit  of General  Santos  City, through  the  GENERAL FUND CY 2020  intends  to apply  the sum of five hundred seventy four thousand thirty and 50 / 100 Pesos Only (574,030.50)   being  the Approved  Budget  for the Contract   (ABC</t>
  </si>
  <si>
    <t xml:space="preserve"> CONSTRUCTION OF EVACUATION CENTER</t>
  </si>
  <si>
    <t xml:space="preserve"> Supply and Delivery of; STOCK NO.	UNIT	ITEM DESCRIPTION				QTY 1	box	Bond paper, Legal size				10 2	box	Bond paper, A4 size				30 3	box	Bond paper, A3 size				25 4	pcs	Epson Refill Ink - Black				50 5	pcs	Epson Refill Ink - Magenta				30 6	pcs	Epson Refil</t>
  </si>
  <si>
    <t xml:space="preserve"> Triglyceride Liquid 2x125ml                   1               box Uriscan Test Strips                                5               box Cholesterol Liquid, 2x125ml                   1               box Creatinine Liquid, 2x125ml                    1     </t>
  </si>
  <si>
    <t xml:space="preserve"> 50	piece	        BROOM, soft (tambo)	 50	piece	        BROOM, STICK (TING-TING), usable length: 760mm min	 50	bottle	CLEANER,TOILET BOWL AND URINAL, 900ml-1000ml cap	 50	can 	        CLEANSER, SCOURING POWDER, 350g min./can	 50	pack	        DETERGENT POWD</t>
  </si>
  <si>
    <t xml:space="preserve"> 1,400 pieces 1/2” Ball Valve / Stop Cock Ball Type-Lock Wing (Threaded) (please see complete specifications below) Approved Budget Cost: ₱400.00 / pc 15 pieces 3/4” Ball Valve / Stop Cock Ball Type-Lock Wing (Threaded) (please see complete specifications </t>
  </si>
  <si>
    <t xml:space="preserve"> Please see attached Invitation to Bid</t>
  </si>
  <si>
    <t xml:space="preserve"> A) REQUEST FOR QUOTATION 1. 62 pcs ¾” x 4’ x 8’ – Marine Plywood 2. 20 pcs ¼” x 4’ x 8’ – Narra Plywood 3. 5 kg 2” CWN nail 4. 3 kg 3” CWN nail 5. 2 kg 4” CWN nail 6. 3 kg 1” Fin. nail 7. 4 kg 2” Fin nail 8. 4 kg 1 ½’ Fin nail 9. 4 ltrs Wood glue Noted: D</t>
  </si>
  <si>
    <t xml:space="preserve"> 15 pcs  CI CHECK VALVE 4"dia. F/F (Specs. : Flange Type)  8  pcs. CI TEE 4 x 4 F/F 15 pcs. DI GATE VALVE 4" F/F WITH BNG ABC : Php 295,000.00</t>
  </si>
  <si>
    <t xml:space="preserve"> NAME OF PROJECT: FABRICATION OF ELEVATED WATER TANK LOCATION: BRGY. MAILHI, BAYBAY CITY, LEYTE SOURCE OF FUND: IRA DETAILED ESTIMATES  MATERIALS AND LABOR</t>
  </si>
  <si>
    <t xml:space="preserve"> False Works and Forms, Concrete Slab, Masonry Works, Carpentry Works, Glass Works, and Fabricated Materials, Reflected Ceiling, Electrical Works, Tile Works (CR), Painting Works, Riprap (Class A) – Slope Protection, Lined Canal (0.80 x 0.90m), Storm Drain</t>
  </si>
  <si>
    <t xml:space="preserve"> purchase aircon</t>
  </si>
  <si>
    <t xml:space="preserve"> SUPPLY AND DELIVERY OF MATERIALS FOR IMPROVEMENT OF MULTI-PURPOSE HALL IN BARANGAY BATO, MAUBAN, QUEZON. 1.	The Local Government Unit of Mauban through the 20% DEVELOPMENT FUND (DF)-8751/1-07-10-030, 2020 intends to apply the sum of Two hundred sixty seve</t>
  </si>
  <si>
    <t xml:space="preserve"> per BSP specifications for delivery to BSP Batac Branch, City of Batac, Ilocos Norte</t>
  </si>
  <si>
    <t xml:space="preserve"> SENIOR'S WALKATHON 2020</t>
  </si>
  <si>
    <t xml:space="preserve"> Republic of the Philippines Province of Northern Samar LOCAL GOVERNMENT UNIT CAPUL, NORTHERN SAMAR BID AND AWARDS COMMITTEE INVITATION TO BID 2020-06-001 GD The LOCAL GOVERNMENT UNIT OF CAPUL NORTHERN SAMAR through its BIDS AND AWARDS COMMITTEE (BAC), inv</t>
  </si>
  <si>
    <t xml:space="preserve"> Rehabilitation of potable water system</t>
  </si>
  <si>
    <t xml:space="preserve"> INVITATION TO BID NO. INFRA-2020-03 									 1.	The Municipal Government of Hungduan, Ifugao, through the 20% Municipal Development Fund intends to apply the sum of Five Hundred Seventy Six Thousand Sixty Two Pesos &amp; Eleven Centavos (₱576,062.11) being t</t>
  </si>
  <si>
    <t xml:space="preserve"> Request for Quotation for the Procurement of Office Supplies to be used at AMAD Office 1.	The Department of Agriculture-Regional Field Office 7 (DA-RFO 7), through the General Appropriations Act of CY 2020)  intends to apply the sum of Sixty Seven Thousan</t>
  </si>
  <si>
    <t xml:space="preserve"> Republic of the Philippines 				 						City of Manila				 						BARANGAY 174, ZONE 15, DISTRICT II				 						BIDS AND AWARDS COMMITTEE				 										 										June 10, 2020 										D A T E 						INVITATION TO BID 				 										 BARANGAY 174, ZONE 15, </t>
  </si>
  <si>
    <t xml:space="preserve"> REQUEST FOR QUOTATION The Dagupan City Water District through its Bids and Awards Committee (BAC) invites qualified bidders/contractors to send letter of quotation for the following: Name of Project:  Strengthening of Existing 100MMØ PVC pipe Distribution</t>
  </si>
  <si>
    <t xml:space="preserve"> Republic of the Philippines 				 						City of Manila				 						BARANGAY 309, ZONE 30, DISTRICT III				 						BIDS AND AWARDS COMMITTEE				 										 										June 10, 2020 										D A T E 						INVITATION TO BID 				 										 BARANGAY 309, ZONE 30,</t>
  </si>
  <si>
    <t xml:space="preserve"> Air Freshener, 280 ml can, lemon	75	can Air Freshener,gel	17	pack Alcohol, 500ml, 70% ethanol	181	bottle Ballpen (Blue)	24	piece Ballpen (Black)	228	piece Ballpen (Red)	28	piece Battery, dry cell, AA	46	packet Battery, dry cell, AAA	15	packet Bleach disin</t>
  </si>
  <si>
    <t xml:space="preserve"> Republic of the Philippines 				 						City of Manila				 						BARANGAY 170, ZONE 15, DISTRICT II				 						BIDS AND AWARDS COMMITTEE				 										 										June 10, 2020 										D A T E 						INVITATION TO BID 				 										 BARANGAY 170, ZONE 15, </t>
  </si>
  <si>
    <t xml:space="preserve"> 10	bottle	INK, EPSON 664, Black	 5	bottle	INK, EPSON 664, Yellow	 5	bottle	INK, EPSON 664, Magenta	 5	bottle	INK, EPSON 664, Cyan	 10	bottle	INK, EPSON 003, Black	 5	bottle	INK, EPSON 003, Yellow	 5	bottle	INK, EPSON 003, Magenta	 5	bottle	INK, EPSON 003,</t>
  </si>
  <si>
    <t xml:space="preserve"> This project entails purchase of medical supplies for use during Covid-19 pandemic of MHO-LGU, Magallanes, Sorsogon.</t>
  </si>
  <si>
    <t xml:space="preserve"> Republic of the Philippines 				 						City of Manila				 						BARANGAY 171, ZONE 15, DISTRICT II				 						BIDS AND AWARDS COMMITTEE				 										 										June 10, 2020 										D A T E 						INVITATION TO BID 				 										 BARANGAY 171, ZONE 15, </t>
  </si>
  <si>
    <t xml:space="preserve"> PNOC Exploration Corporation (PNOC EC), through its 2020 Corporate Budget, has an Approved Budget for the Contract (ABC) of Three Million Two Hundred Seventy Thousand Pesos (PhP3,270,000.00), inclusive of all applicable taxes and other charges for the Var</t>
  </si>
  <si>
    <t xml:space="preserve"> Toyota Hilux 4x2</t>
  </si>
  <si>
    <t xml:space="preserve"> 1 unit Split Type Aircondition, 2.5 HP 11.77kj/h, 1740 W</t>
  </si>
  <si>
    <t xml:space="preserve"> 20	piece 	Empty bottle for alcohol, 350-500ml	 1	box	        Paracetamol	 1	box	        Mefinamic acid	 1	box	        Loperamide, antihistamine	 1	box	        Loperamide</t>
  </si>
  <si>
    <t xml:space="preserve"> June 9, 2020 REQUEST FOR QUOTATION (RFQ) ANNUAL PEST CONTROL 1.	The Batangas Medical Center hereinafter referred to as the “Purchaser” now request for submission of price proposal for the procurement of the aforesaid item described in the Technical Specif</t>
  </si>
  <si>
    <t xml:space="preserve"> Republic of the Philippines						 Department of Education						 Region IX, Zamboanga Peninsula						 DIVISION OF ZAMBOANGA DEL SUR						 TUKURAN TECHNICAL VOCATIONAL HIGH SCHOOL						 Tukuran, Zamboanga del Sur						 						 Bids and Awards Committee						</t>
  </si>
  <si>
    <t xml:space="preserve"> Republic of the Philippines BANGSAMORO AUTONOMOUS REGION IN MUSLIM MINDANAO Province of Maguindanao Municipality of Pandag INVITATION TO BID PROCUREMENT OF OFFICE MATERIALS AND SUPPLIES (ITB No. 20-Goods-2020) The Local Government Unit of Pandag, Maguinda</t>
  </si>
  <si>
    <t xml:space="preserve"> BARANGAY DAY</t>
  </si>
  <si>
    <t xml:space="preserve"> 5	book	       RECORD BOOK, 300 PAGES, size: 214mm x 278mm min	 3	roll	       TAPE, TRANSPARENT, width: 24mm (±1mm)	 2	pack	       FOLDER, TAGBOARD, for A4 size documents	 1	pack	       FOLDER, TAGBOARD, for legal size documents	 10	piece	       CLEARBOOK,</t>
  </si>
  <si>
    <t xml:space="preserve"> 2 units Rescue Passenger Van 2.2L Diesel MT Length: 4,260mm- 4300mm Width:1,695mm- 1700mm Height: 1,895mm wheelbase: 2,350mm curb weight: 1,140kg- 1,200kg engine: 2.2L E4 Compliant fuel tank capacity: 55L Suspension Front Independent Wishbone and coil sta</t>
  </si>
  <si>
    <t xml:space="preserve"> Invitation to Bid for the Supply and Delivery of various Medicine for the use of Brgy. Sta. Clara, Batangas City</t>
  </si>
  <si>
    <t xml:space="preserve"> ITEM NO.	ITEM AND DESCRIPTION			QTY	UNIT 1	Electrical wirings (drop wire) No. 6 for Surung SUSIMO Building			50	Linear meter 2	Electrical wirings (drop wire) No. 6 for PITA SUSIMO Building			125	Linear meter 3	Electrical wirings (drop wire) No. 6 for Cal-</t>
  </si>
  <si>
    <t xml:space="preserve"> scope of works:  I.) Removalof Dilapidated Roofing Sheets, G.I. Pipe and Breaking of Damage CHB Wall,  II.) Clearing/ Excavation of Sludge, Lagoon and Canal (Manual), III.) Installation of Pressurized Pump,  IV.) Concrete and Masonry Works,  V.) Roof and </t>
  </si>
  <si>
    <t xml:space="preserve"> 6	Unit	Router	 2	Unit	UTP cable	 6	Unit	Switch Hub 8 port	 1	Unit	RJ 45	 1	Unit	Crimping tool</t>
  </si>
  <si>
    <t xml:space="preserve"> 72 boxes	3-ply Surgical Masks (Medical Grade) 24 gallons	70% Isopropyl Alcohol 50 kgs	Ariel Powder- Antibacterial 80 cans	Lysol Disinfectant, 510g 75 bottles	Hand Wash/Soap (Liquid or Gel) 500mL 60 cans	Air Freshener 510g 96 pcs	Albatross 50g 80 bottles	D</t>
  </si>
  <si>
    <t xml:space="preserve"> Republic of the Philippines BANGSAMORO AUTONOMOUS REGION IN MUSLIM MINDANAO Province of Maguindanao Municipality of Pandag INVITATION TO BID PROCUREMENT OF OFFICE SUPPLIES (ITB No. 19-Goods-2020) The Local Government Unit of Pandag, Maguindanao through th</t>
  </si>
  <si>
    <t xml:space="preserve"> Republic of the Philippines						 Province of Negros Occidental						 Municipality of La Castellana						 Bids and Awards Committee						 						 INVITATION TO APPLY FOR ELIGIBILITY AND TO BID						 						 Name of Project: 		WIDENING OF MUNICIPAL STREETS 	</t>
  </si>
  <si>
    <t xml:space="preserve"> Concreting of Roads (Shoulders), Along Highway Road, Caritan Centro, Tuguegarao City</t>
  </si>
  <si>
    <t xml:space="preserve"> INVITATION TO BID June 8, 2020 The Eastern Visayas Regional Medical Center, through its Bids and Awards Committee (BAC A) invites suppliers/manufacturers/distributors to bid for the hereunder project:  Item/Description	Approved Budget for the Contract (AB</t>
  </si>
  <si>
    <t xml:space="preserve"> 5	cart 	        INK CART, EPSON C13T664100 (T6641), Black	 3	cart 	        INK CART, EPSON C13T664200 (T6642), Cyan	 3	cart 	        INK CART, EPSON C13T664300 (T6643), Magenta	 3	cart  	INK CART, EPSON C13T664400 (T6644), Yellow	 1	cart 	        INK CART</t>
  </si>
  <si>
    <t xml:space="preserve"> SAYAWAN SA KALYE</t>
  </si>
  <si>
    <t xml:space="preserve"> KOLAMBUGAN WATER DISTRICT					                                        ( GOVERNMENT OWNED AND CONTROLLED CORPORATION )					                                           Cabili Street, Poblacion, Kolambugan Lanao del Norte 920               					              </t>
  </si>
  <si>
    <t xml:space="preserve"> Republic of the Philippines BANGSAMORO AUTONOMOUS REGION IN MUSLIM MINDANAO Province of Maguindanao Municipality of Pandag INVITATION TO BID PROCUREMENT OF OFFICE MATERIALS AND SUPPLIES (ITB No. 21-Goods-2020) The Local Government Unit of Pandag, Maguinda</t>
  </si>
  <si>
    <t xml:space="preserve"> Construction of Masonry Drainage Structure, Along Highway Road, Caritan Centro, Tuguegarao City</t>
  </si>
  <si>
    <t xml:space="preserve"> Concreting of 0.15m x 4m x 67 meters road at Sitio Elib. NOTE: Barangay construction Project of Barangay Talaguton in this Municipality CONTACT PERSON: VICENTE A. MARUYA III Punong Barangay Barangay Talaguton Municipality of Don Marcelino Province of Dava</t>
  </si>
  <si>
    <t xml:space="preserve"> 10	piece	        BROOM, STICK (TING-TING), usable length: 760mm min	 10	can	        CLEANER,TOILET BOWL AND URINAL, 900ml-1000ml cap	 10	pouch	DETERGENT POWDER, all purpose, 1kg	 10	piece	        DUST PAN, non-rigid plastic, w/ detachable handle	 10	roll	</t>
  </si>
  <si>
    <t xml:space="preserve"> 1000 pcs. T-Shirts with Print 313 pcs. Polo Shirts with Print</t>
  </si>
  <si>
    <t xml:space="preserve"> Republic of the Philippines								 Province of Negros Occidental								 Municipality of La Castellana								 Bids and Awards Committee								 								 INVITATION TO APPLY FOR ELIGIBILITY AND TO BID								 								 Name of Project: 		SUPPORT TO ECO-TO</t>
  </si>
  <si>
    <t xml:space="preserve"> 3 units	Foot Operated Alcohol Dispenser Stand 2 units	Hand Dryer •	Touch Free Sensing Type •	Waterproof</t>
  </si>
  <si>
    <t xml:space="preserve"> BARANGAY DAY PARADE</t>
  </si>
  <si>
    <t xml:space="preserve"> PASEO NG MGA BANDA</t>
  </si>
  <si>
    <t xml:space="preserve"> ADDITIONAL CCTV at PANSOL PROPER AND KAINGIN 1</t>
  </si>
  <si>
    <t xml:space="preserve"> KAINANG BAYAN</t>
  </si>
  <si>
    <t xml:space="preserve"> TERMS and CONDITIONS:					 1. All entries must be typewritten or legibly written.					 2. Delivery period within Fifteen (15) working days upon receipt of the approved funded Purchase (P.O.). Administrative penalties pursuant to Sec. 69 of the Revised IRR</t>
  </si>
  <si>
    <t xml:space="preserve"> Benguet First District Engineering Office La Trinidad, Benguet June 8, 2020 INVITATION TO BID The Benguet First District Engineering Office, through its Bids and Awards Committee (BAC), invites contractors to submit bids for the following Contract: Contra</t>
  </si>
  <si>
    <t xml:space="preserve"> WASTE MANAGEMENT MATERIALS</t>
  </si>
  <si>
    <t xml:space="preserve"> Concreting of Local Roads with 130m (Item 311) Length, 0.20m thickness, 5.00m width and 1.00m shouldering on both sides. Scope of Works: Item 102 - Surplus Common Excavation Item 103(6) - Pipe Culvert and Drain Excavation Item 200 - Aggregates Sub-base Co</t>
  </si>
  <si>
    <t xml:space="preserve"> Construction of Masonry Drainage Structure, Along Reyno Street, Caritan Centro, Tuguegarao City</t>
  </si>
  <si>
    <t xml:space="preserve"> Construction of Multi-Purpose Building, Centro 10, Tuguegarao City, Cagayan</t>
  </si>
  <si>
    <t xml:space="preserve"> PLEASE DOWNLOAD THE ATTACHMENT/S FOR REFERENCE. Important Notes and Conditions: You can submit your quotation ON or BEFORE JUNE 10, 2020 at 01:00 PM with the photocopy of the following legal documents: a. Mayor’s / Business Permit  b. PhilGEPS Registratio</t>
  </si>
  <si>
    <t xml:space="preserve"> CONSTRUCTION OF APAYAO LIVELIHOOD TRAINING CENTER</t>
  </si>
  <si>
    <t xml:space="preserve"> INVITATION TO BID The Department of Public Works and Highways Ilocos Norte Second District Engineering Office , through its Bids and Awards Committee (BAC) for Goods, invites suppliers to submit bids for the following Contract: Contract ID: 20GAB0003 Cont</t>
  </si>
  <si>
    <t xml:space="preserve"> to purchase of medals used for completion ceremony</t>
  </si>
  <si>
    <t xml:space="preserve"> Republic of the Philippines City of Tacloban Barangay 109-A, V&amp;G Subdivision INVITATION TO BID FOR THE PROCUREMENT AND INSTALLATION OF 32 UNITS CCTV CAMERA FOR (8) PUROK OF BARANGAY 109-A, V&amp;G SUBDIVISION, TACLOBAN CITY  1. The Barangay 109-A, V&amp;G Subdivi</t>
  </si>
  <si>
    <t xml:space="preserve"> Improvement/Rehabilitation of Barangay Bita Norte Child Development Center</t>
  </si>
  <si>
    <t xml:space="preserve"> 25 Bags Portland Cement 3 cu.mRider Washed Sand  325pcs4” thk chb 25pcs 9mm0x6m deformed bars 4kgs #16 gi tie wire 6 shts 1/4 x 4x8 marine plywood 32	bdft	4-2 x 6 x 8 Good Lumber	 50 bdft 15-2x2x10 goo lumber 1 kg # 3 concrete nails 1 kg # cwn 0.5 kg #2 1</t>
  </si>
  <si>
    <t xml:space="preserve"> Republic of the Philippines Province of Oriental Mindoro MUNICIPALITY OF NAUJAN BIDS AND AWARDS COMMITTEE INVITATION TO BID SUPPLY &amp; DELIVERY OF MATERIALS TO BE USED IN THE REHABILITATION OF EVACUATION CENTER IN DIFFERENT BARANGAYS, NAUJAN, ORIENTAL MINDO</t>
  </si>
  <si>
    <t xml:space="preserve"> Republic of the Philippines DEPARTMENT OF PUBLIC WORKS AND HIGHWAYS SURIGAO DEL NORTE 1st  DISTRICT ENGINEERING OFFICE REGIONAL OFFICE XIII 			       Dapa, Siargao Island, Surigao del Norte INVITATION TO BID The Department of Public Works and Highways Sur</t>
  </si>
  <si>
    <t xml:space="preserve"> Province of Benguet-CAR Municipality of Mankayan  BIDS AND AWARDS COMMITTEE INVITATION TO APPLY FOR ELIGIBILITY AND TO BID JUNE 9, 2020 	The Municipal Government of Mankayan, through its Bids and Awards Committee, invites PhilGEPS registered supplier for </t>
  </si>
  <si>
    <t xml:space="preserve"> NEGOTIATED PROCUREMENT  FOR THE Fabrication and Delivery of  Prisoner’s Vehicle (PR-2020-9999-0185) 1.	  In view of the two (2) failed biddings, the City Government of Mandaue invites interested bidders to participate in the negotiation for Fabrication an</t>
  </si>
  <si>
    <t xml:space="preserve"> office Equipment, Computer Set and Printer Machine with Scanner</t>
  </si>
  <si>
    <t xml:space="preserve"> Republic of the Philippines                   Department of Health	       CENTRAL OFFICE BIDS AND AWARDS COMMITTEE  INVITATION TO BID FOR THE PROCUREMENT OF LAN ADAPTER TYPE-C IB NO. 2020-220 1.	The Department of Health (DOH), through the General Appropri</t>
  </si>
  <si>
    <t xml:space="preserve"> Republic of the Philippines          City of Dumaguete Bids and Awards Committee INVITATION TO BID FOR PURCHASE REQUEST OF 10 LGTHS DEFORMED STEEL BARS (16MMØ X 6.0M) AND OTHER ITEMS 	The City of Dumaguete thru its BIDS AND AWARDS COMMITTEE (BAC), invites</t>
  </si>
  <si>
    <t xml:space="preserve"> Republic of the Philippines CITY OF PANABO Province of Davao del Norte BIDS AND AWARDS COMMITTEE -o0o- REQUEST FOR QUOTATION 1.	 The City of Panabo, through CHO-MED., DEN., &amp; LAB. SUPPLIES /LFP – VOLUNTARILY BLOOD PROGRAM intends to apply the sum of One H</t>
  </si>
  <si>
    <t xml:space="preserve"> RFQ (20-06-010) Various Drugs and Medicines</t>
  </si>
  <si>
    <t xml:space="preserve"> Provision of consultancy services of Physician for  Pag-IBIG Fund - SSWM for the period of six (6)  months effective upon assumption to duty</t>
  </si>
  <si>
    <t xml:space="preserve"> WO - Supply, delivery and installation of LED Type High Bay Lights Assembly for the Upgrading of Power Cavern High Bay Lighting System of Agus 4 HE Plant. NOTE: PLEASE SEE ATTACHED PRE-PR FOR THE COMPLETE DETAILED OF SPECS.</t>
  </si>
  <si>
    <t xml:space="preserve"> RFQ (20-06-029) Various Medical Supplies</t>
  </si>
  <si>
    <t xml:space="preserve"> INVITATION TO  BID The Municipality of San Nicolas, Pangasinan through its Bids and Awards Committee (BAC), invites contractors registered with and classified by the Philippine Contractors Accreditation Board (PCAB) to apply for eligibility and if found e</t>
  </si>
  <si>
    <t xml:space="preserve"> A) REQUEST FOR QUOTATION 1. 500 pcs Dwarf Santan medium size 2. 50 pcs Macky 6ft. 3. 25 pcs Kamuning 5ft. 4. 25 pcs Eugenia 5ft. 5. 25 pcs Pandakaki 5ft. 6. 25 pcs Pokiantea (Topiary) medium size 7. 40 pcs Picara big size 8. 25 pcs Golden Seplira big size</t>
  </si>
  <si>
    <t xml:space="preserve"> Invitation to Bid for the Supply and Delivery of various Medicine for the use of Brgy. Sampaga, Batangas City</t>
  </si>
  <si>
    <t xml:space="preserve"> RFQ (20-06-028) Enteral Nutrition-Semi Elemental Nutrition 227 g Modular protein Formula</t>
  </si>
  <si>
    <t xml:space="preserve"> The Local  Government   Unit  of General  Santos  City, through  the  GENERAL FUND CY 2020  intends  to apply  the sum of nine hundred eleven thousand and xx / 100 Pesos Only (911,000.00)   being  the Approved  Budget  for the Contract   (ABC) to payments</t>
  </si>
  <si>
    <t xml:space="preserve"> CONSTRUCTION/REHABILITATION OF WATER SUPPLY/SEPTAGE AND SEWERAGE/RAIN WATER COLLECTORS</t>
  </si>
  <si>
    <t xml:space="preserve"> Invitation to Bid for the Supply and Delivery of CCTV Camera for the use of Brgy. Sampaga, Batangas City</t>
  </si>
  <si>
    <t xml:space="preserve"> Fixed glass Analogue, Sliding doors and Hanging Cabinet.</t>
  </si>
  <si>
    <t xml:space="preserve"> Continuation of Brgy. Health Station</t>
  </si>
  <si>
    <t xml:space="preserve"> Republic of the Philippines CITY OF PANABO Province of Davao del Norte BIDS AND AWARDS COMMITTEE -o0o- REQUEST FOR QUOTATION 1.	 The City of Panabo, through CHO-DRUGS &amp; MEDICINES /LFP – MATERNAL &amp; CHILD HEALTH PROGRAM intends to apply the sum of Twelve Th</t>
  </si>
  <si>
    <t xml:space="preserve"> The Local  Government   Unit  of General  Santos  City, through  the  GEERAL FUND CY 2020  intends  to apply  the sum of two hundred thirty two thousand three hundred twenty and xx / 100 Pesos Only (232,320.00)   being  the Approved  Budget  for the Contr</t>
  </si>
  <si>
    <t xml:space="preserve"> RFQ (20-06-023) Opthalmology Supplies</t>
  </si>
  <si>
    <t xml:space="preserve"> A) REQUEST FOR QUOTATION 1. 560 pcs Ceramic floor tiles, 30 x 60cm 2. 330 pcs Wall tiles (polish) 30 x 60cm 3. 2 pcs Shower hose stainless 4. 1 bag Portland Cement, 40 kg/bag 5.3 pcs Tile cutting wheel / disc 4”Ø 6. 2 bags Tile grout gray, 2 kg/bag 7. 2 b</t>
  </si>
  <si>
    <t xml:space="preserve"> Republic of the Philippines BANGSAMORO AUTONOMOUS REGION IN MUSLIM MINDANAO Province of Maguindanao Municipality of Pandag INVITATION TO BID PROCUREMENT OF CATERING SERVICES IN PANDAG MUNICIPALITY (ITB No. 23-Goods-2020) The Local Government Unit of Panda</t>
  </si>
  <si>
    <t xml:space="preserve"> Republic of the Philippines CITY OF PANABO Province of Davao del Norte BIDS AND AWARDS COMMITTEE -o0o- REQUEST FOR QUOTATION 1.	 The City of Panabo, through CHO-MEDICAL, DENTAL &amp; LABORATORY SUPPLIES (LAB SEC.) /MOOE intends to apply the sum of Seventy-Six</t>
  </si>
  <si>
    <t xml:space="preserve"> INVITATION TO BID NO. INFRA-2020-08 									 1.	The Municipal Government of Hungduan, Ifugao, through the 20% Municipal Development Fund intends to apply the sum of One Million One Hundred Fifty Thousand Four Hundred Sixty Two Pesos &amp; Forty Two Centavos </t>
  </si>
  <si>
    <t xml:space="preserve"> Republic of the Philippines BANGSAMORO AUTONOMOUS REGION IN MUSLIM MINDANAO Province of Maguindanao Municipality of Pandag INVITATION TO BID PROCUREMENT OF TEST KITS FOR COVID-19 (ITB No. 24-Goods-2020) The Local Government Unit of Pandag, Maguindanao thr</t>
  </si>
  <si>
    <t xml:space="preserve"> Procurement of Maintenance and Support Service Agreement for existing AFP-RSBS Firewall/VPN Appliance ( Fortigate 300D) Please refer/download the Associated Components for additional details RFQ SUBMISSION: NOT LATER THAN 3:00 P.M.  16 JUNE 2020 For inqui</t>
  </si>
  <si>
    <t xml:space="preserve"> IMPROVEMENT OF STREET LIGHTS  BRGY. CABUGAO, BACUAG, SDN				MODE OF IMPLEMENTATION:BY ADMIN 	 APPROPRIATION=PHOP P  150,000.00			SOURCE OF FUND= 20% MDF 2020 PHYSICAL TARGET= 50 LIGHTS 				NO. OF CALENDAR DAYS= 31 C.D.  COST OF MATERIALS = P 110,542.00 MA</t>
  </si>
  <si>
    <t xml:space="preserve"> RFQ (20-05-097) Various Laboratory Reagents</t>
  </si>
  <si>
    <t xml:space="preserve"> Glass panel power coated aluminum frame including two (2) swing glass door 1-unit   Glass panel H 2.95 x 10.0 m aluminum framing (powder coated) 1/4"clear glass             Two (2) unit glass door 0.8 x 2.10 m (swing type) 1-unit   Glass panel H 2.10 x 5.</t>
  </si>
  <si>
    <t xml:space="preserve"> The Local  Government   Unit  of General  Santos  City, through  the  GENERAL FUND CY 2020  intends  to apply  the sum of two hundred six thousand five hundred two and xx / 100 Pesos Only (206,502.00)   being  the Approved  Budget  for the Contract   (ABC</t>
  </si>
  <si>
    <t xml:space="preserve"> Republic of the Philippines Province of Bukidnon MUNICIPALITY OF LIBONA Barangay Government Unit of Pongol INVITATION TO BID 	The Barangay Government Unit of Pongol, through its Bids and Awards Committee (BAC) invites Suppliers/manufacturers/distributors/</t>
  </si>
  <si>
    <t xml:space="preserve"> 1. 40	units	 Hospital Bed 3 cranks panel type Complete set w/ 6” Bed Mattress, side rails, IV Pole size: 2160mm x 1000mm x 500mm Standard Configuration: Double Protection Screw System Luxurious Silent Castors Aluminum Alloy Guardrails Double Protection Sc</t>
  </si>
  <si>
    <t xml:space="preserve"> 1	The Municipality of Pola, Province of Oriental Mindoro through its  General Fund  (Special Purpose Appropriation 20% MDF (SB#2, 2019) intends to apply the sum of One Million Three Hundred Ninety-Seven Thousand One Hundred Eighteen  pesos and 54/100 only</t>
  </si>
  <si>
    <t xml:space="preserve"> Continuation of Barangay Health Station</t>
  </si>
  <si>
    <t xml:space="preserve"> The Local  Government   Unit  of General  Santos  City, through  the  GENERAL FUND CY 2020  intends  to apply  the sum of twenty nine thousand twenty one and 45 / 100 Pesos Only (29,021.45)   being  the Approved  Budget  for the Contract   (ABC) to paymen</t>
  </si>
  <si>
    <t xml:space="preserve"> INVITATION TO BID NO. INFRA-2020-05 									 1.	The Municipal Government of Hungduan, Ifugao, through the 20% Municipal Development Fund intends to apply the sum of Five Hundred Seventy Thousand Two Hundred Seventy Four Pesos &amp; Fifty Seven Centavos (₱572</t>
  </si>
  <si>
    <t xml:space="preserve"> INVITATION TO BID Sealed proposal in ink typewritten one (1) copy will be received fro bonafide contractors on June 23, 2020 at 2:00 PM at Barangay Hall, Barangay Abar 1st, this city on which date, time and place the bid will publicly opened in the presen</t>
  </si>
  <si>
    <t xml:space="preserve"> Republic of the Philippines PROVINCE OF BUKDINON Malaybalay City OFFICE OF THE PROVINCIAL GOVERNOR Bids and Awards Committee INVITATION TO BID FOR THE “SUPPLY AND DELIVERY OF ONE LOT OFFICE SUPPLIES” ITB No. 2020-152 June 8, 2020 1.	The Provincial Governm</t>
  </si>
  <si>
    <t xml:space="preserve"> Please quote your lowest price on the items / listed below starting the shortest time of delivery and submit your quotation duly signed by your representative not later than June 16, 2020. REA A. RAMOS BAC Secretary CONDITION: 	 1.	All entries must be typ</t>
  </si>
  <si>
    <t xml:space="preserve"> INVITATION TO BID FOR THE PROCUREMENT OF VARIOUS AGRICULTURAL INPUTS AND POST-HARVEST FACILITIES FOR TECHNOLOGY DEMONSTRATION AND POST-HARVEST PROJECTS IMPLEMENTATION UNDER THE NATIONAL FISHERIES PROGRAM FOR CY 2020 (2ND BIDDING) Invitation to Bid No. 202</t>
  </si>
  <si>
    <t xml:space="preserve"> 1    unit     4 x 8 Project Information Signage 1     lot     Construction Health &amp; Safety Equipments 13.0 cu.m.  Excavation 26.4 cu.m.  Stone/Boulders Works</t>
  </si>
  <si>
    <t xml:space="preserve"> Electrical Materials for Barangay Alitaya Mangaldan,Pangasinan</t>
  </si>
  <si>
    <t xml:space="preserve"> 1.	1		set		Computer w/ Printer		 2.	1		unit		Office Table		 3.	1		unit		Office Chair		 4.	100		pcs.		Monobloc Chair		 5.	20		pcs.		Kiddie Chair		 6.	6		pcs.		Kiddie Table		 7.	1		unit		Steel Cabinet		 8.	1		set		Projector w/ screen		 9.	2		unit		Televisio</t>
  </si>
  <si>
    <t xml:space="preserve"> 1	bx	Rapid chem glucose reagent 5x100ml 1	bx	Uric acid reagent 5x 100 ml 1	bx	Urea U.V reagent 2x 125ml 1	bx	Creatinine reagent 4x 100ml 1	bx	Total  cholesterol reagent 5x 100ml 1	bx	Triglycerides reagent 5x 100ml 1	bx	HDL cholesterol ppt 4x25ml 1	bx	SGOT</t>
  </si>
  <si>
    <t xml:space="preserve"> 4 cubic sand 4 cubic gravel 24 pcs. 16mm dif. bar 25 pcs. 10mm dif. bar 10 kilos tie wire 20 bags of cement 4 coco lumber 4 pcs. fenolic board 130 pcs. CHB #4 4 kilos nail # 3 3 kilos nail #2 2 kilos nail #4</t>
  </si>
  <si>
    <t xml:space="preserve"> 1	LOT	Laboratory Equipment Set for Food Processing laboratory		 2	Unit 	heavy duty stove		 2	Unit 	50 kg LPG tank		 2	Unit 	vacuum sealer		 1	Unit 	food procesor (2.1 L) (750 w)		 3	pcs	chef knife		 3	pcs	knife sharpening/honing rod		 3	pcs	paring knife		</t>
  </si>
  <si>
    <t xml:space="preserve"> Labor and Materials for Construction of 18 units Streetlights</t>
  </si>
  <si>
    <t xml:space="preserve"> Republic of the Philippines MELENCIO CASTELO ELEMENTARY SCHOOL Quezon City REQUEST FOR QUOTATION “CONSTRUCTION OF CONNECTING BRIDGE FROM MATHAY TO NCR BUILDING 3RD FLOOR” 1.	The Melencio Castelo Elementary School through its Bids and Awards Committee invi</t>
  </si>
  <si>
    <t xml:space="preserve"> INVITATION FOR NEGOTIATED PROCUREMENT  DUE TO TWO- FAILED BIDDINGS ITB  No. 074-NP - 2020 1.	The City Government of Surigao, through its Bids and Awards Committee (BAC) intends to procure Siganid Fingelings (buras) and feeds for Siganid Production (DOLE-D</t>
  </si>
  <si>
    <t xml:space="preserve"> Republic of the Philippines Department of Education Region VIII SCHOOLS DIVISION OF TACLOBAN CITY Tacloban City INVITATION TO BID Project No.: CY 2020_QRF (REPAIR)-Lot 1 1. The Department of Education (DepED) Division of Tacloban City, through the General</t>
  </si>
  <si>
    <t xml:space="preserve"> to comply Book Requirements by CHED request</t>
  </si>
  <si>
    <t xml:space="preserve"> Republic of the Philippines Municipality of Taytay Taytay, Palawan NOTICE TO BIDDERS Item # Qty Unit Description Amount 1. 3 Units Transformer 15KVA, Single Phase 2. 1 Unit   Power Transformer 25 KVA - ISO Standard - Secondary Voltage (220 Volts - 230 Vol</t>
  </si>
  <si>
    <t xml:space="preserve"> Republic of the Philippines          City of Dumaguete Bids and Awards Committee INVITATION TO BID FOR PURCHASE REQUEST OF 36 CU.M COARSE AGGREGATES (2” MAX. SIZE) AND OTHER ITEMS 	The City of Dumaguete thru its BIDS AND AWARDS COMMITTEE (BAC), invites al</t>
  </si>
  <si>
    <t xml:space="preserve"> 1	LOT	Audio Visual Supplies and Equipments		 4	Unit 	Dual electronic Lu 43pb 3 way Indoor Outdoor Studio Speakers in black with swivel brackets		 2	Unit 	AV-702B 750 watts X 2 Karaoke Amplifier		 1	Unit 	DVD Player (usb port, CD to USB Recording, progress</t>
  </si>
  <si>
    <t xml:space="preserve"> Please see Request for Quotation/Bid form attached to Associated Components.</t>
  </si>
  <si>
    <t xml:space="preserve"> 575 bags Portland cement 42 cu.m Sand 61 cu.m Gravel 120 cu.m Red cinder w/ binder 69 kls Tie wire #16 551 pcs 16mm dia D/B 611 pcs 10mm dia D/B 20 pcs 20mm dia D/B 198 pcs 12mm dia D/B 120 pcs 1 1/2" dia GI pipe s-40 252 pcs 1 1/2" dia GI scaffolding cla</t>
  </si>
  <si>
    <t xml:space="preserve"> 1 60 KILOS BROWN SUGAR - . 2 40 KILOS DRIED FISH-DILI PINIKAS - . 3 160 CAN SARDINES - . 4 50 BOT/S SOY SAUCE - . 5 60 KILOS COOKING OIL - . 6 80 CAN/S CORNED BEEF - 160 GRMS. 7 300 PCS NOODLES - . 8 25 SACK RICE - well-milled 9 12 PCK/S SALT - 250 GRMS-I</t>
  </si>
  <si>
    <t xml:space="preserve"> SEE ATTACHED DOCUMENTS...</t>
  </si>
  <si>
    <t xml:space="preserve"> 1. 50,000		pcs	Thermal Printed Card (design to be provided) 				Process: Retransfer 	Printing: YMCKO Finish: Overlay Gloss / Laminated Size: ISO CR80 85.60 x 53.98 mm Protocol: ISO 14443A Thickness: 0.88mm 13.56MHz MIFARE Classic 1K PVC Card body material</t>
  </si>
  <si>
    <t xml:space="preserve"> Republic of the Philippines PROVINCE OF BUKDINON Malaybalay City OFFICE OF THE PROVINCIAL GOVERNOR Bids and Awards Committee INVITATION TO BID FOR THE “SUPPLY AND DELIVERY OF ONE LOT KITCHEN WARES AND APPLIANCES” ITB No. 2020-153 June 8, 2020 1.	The Provi</t>
  </si>
  <si>
    <t xml:space="preserve"> Repair of C.R.</t>
  </si>
  <si>
    <t xml:space="preserve"> Republic of the Philippines										 Cordillera Administrative Region										 Provincial Government of Kalinga										 										 BIDS AND AWARDS COMMITTEE										 										 Invitation to Bid										 										 1.	The Provincial Government of KA</t>
  </si>
  <si>
    <t xml:space="preserve"> Republic of the Philippines                   Department of Health	       CENTRAL OFFICE BIDS AND AWARDS COMMITTEE  INVITATION TO BID FOR THE  PROCUREMENT OF VARIOUS USB FLASH DRIVE  IB NO. 2020-210 1.	The Department of Health (DOH), through the General A</t>
  </si>
  <si>
    <t xml:space="preserve"> 1	LOT	Agricultural Equipment and Laboratory Supplies		 500	pcs	black plastic pots (small)		 500	pcs	black plastic pots (medium)		 500	pcs	black plastic pots (large)		 1000	pcs	seedling bags (3x3x10)		 1000	pcs	seedling bags(2.5x2.5x8)		 1000	pcs	seedling </t>
  </si>
  <si>
    <t xml:space="preserve"> Republic of the Philippines DEPARTMENT OF PUBLIC WORKS AND HIGHWAYS LAGUNA II DISTRICT ENGINEERING OFFICE REGIONAL OFFICE IV-A Brgy. Bambang, Los Baños, Laguna Invitation to Bid No. 2020 - 08 The Department of Public Works and Highways- Laguna II District</t>
  </si>
  <si>
    <t xml:space="preserve"> INVITATION TO BID NO. INFRA-2020-06 									 1.	The Municipal Government of Hungduan, Ifugao, through the 20% Municipal Development Fund intends to apply the sum of Six Hundred Sixty Eight Thousand Five Hundred Forty Five Pesos &amp; Ten Centavos (₱668,545.1</t>
  </si>
  <si>
    <t xml:space="preserve"> The MUNICIPALITY OF PAMPLONA through the Bids and Awards Committee (BAC), invites suppliers/bidders to apply for eligibility and to bid for the supply of construction materials for the following project: Name of Project	: Purchase of One (1) Lot Brand New</t>
  </si>
  <si>
    <t xml:space="preserve"> passenger type multicab 6 seaters gasoline engine transmission 4x2 with brgy. logo sticker</t>
  </si>
  <si>
    <t xml:space="preserve"> 1. FUEL FILTER &amp; 10 OTHERS Note: item # 1-4 intended for 90kw Cummins genset DELIVERY SITE:   CALAGUAS DPP                           Brgy. Banocboc, Vinzons, Camarines Norte PLEASE SUBMIT REQUIREMENTS: 1.	MAYOR’S/BUSINESS PERMIT 2.	PhilGEPS REG. NUMBER/CE</t>
  </si>
  <si>
    <t xml:space="preserve"> Republic of the Philippines          City of Dumaguete Bids and Awards Committee INVITATION TO BID FOR PURCHASE REQUEST OF 11 LGTHS DEFORMED STEEL BAR (16MMØ X 6.0M) AND OTHER ITEMS 	The City of Dumaguete thru its BIDS AND AWARDS COMMITTEE (BAC), invites </t>
  </si>
  <si>
    <t xml:space="preserve"> Republic of the Philippines Province of Bukidnon MUNICIPALITY OF LIBONA Barangay Government Unit of Capihan INVITATION TO BID 	The Barangay Government Unit of Capihan, through its Bids and Awards Committee (BAC) invites Suppliers/manufacturers/distributor</t>
  </si>
  <si>
    <t xml:space="preserve"> Cadaver Holding Area</t>
  </si>
  <si>
    <t xml:space="preserve"> Republic of the Philippines Municipality of Taytay Taytay, Palawan NOTICE TO BIDDERS Item # Qty Unit Description Amount 1. 7 units Desktop Computer: Specs: Processor: CPU @ 2.20ghz, Installed RAM: 4.00 GB, System Type: 64 Bit Operating System x64 based pr</t>
  </si>
  <si>
    <t xml:space="preserve"> Purchase of 1,380 rounds ammunition for 9mm pistol and 1,380 rounds ammunition for 5.56mm (M16) Rifle</t>
  </si>
  <si>
    <t xml:space="preserve"> 1 UNIT GANG CHAIR - 4 SEATERS - STAINLESS</t>
  </si>
  <si>
    <t xml:space="preserve"> 1	LOT	Laboratory Equipment Set for Plant and Animal Analysis Laboratories		 1	mg	Bavistin (100 mg)		 1	mg	Hgel 2 (100 mg)		 4	pairs	rubberized gloves		 2	box	face mask		 2	pcs	scalpel handle # 3		 2	pcs	scalpel handle # 4		 2	box	scalpel blade # 10		 2	bo</t>
  </si>
  <si>
    <t xml:space="preserve"> 3/4 marine plywood 1/4x1x1x6m Angle Bar Welding Rod Bolt 3/6 x 1l nuts and washers 60x60 tiles Counter sink Faucet HDPE Pipe 1/2 Compression type threaded coupling 1/2 Epoxy (1ltr) epoxy primer PVC Pipe 1/2 PVC Threaded Elbow 1/2 PVC Elbow 1/2 PVC Tee 1/2</t>
  </si>
  <si>
    <t xml:space="preserve"> OFFICE OF THE BIDS AND AWARDS COMMITTEE (BAC)                                                                                                   Notice No    : 2020-243                                                                                        </t>
  </si>
  <si>
    <t xml:space="preserve"> Retaining Wall</t>
  </si>
  <si>
    <t xml:space="preserve"> Republic of the Philippines Office of the Punong Barangay BIDS AND AWARDS COMMITTEE Lucaban, Burgos, Ilocos Sur INVITATION TO BID The Barangay Government of Lucaban, Burgos, Ilocos Sur, through its Bids and Awards Committee (BAC) invites bids for the here</t>
  </si>
  <si>
    <t xml:space="preserve"> Passenger Van Engine: 1GD ftv, 4 cylinders in line 16 valve DOHC Diplacement: 2,755 Emission Standard: Euro 4 Seating Capacity:15 Over All LxWxH: 5,265x1,950x1990 Transmission: 6 speed manual Power Features: Window, Door Retract Steering System: Variable </t>
  </si>
  <si>
    <t xml:space="preserve"> INVITATION TO BID NO. INFRA-2020-07 									 1.	The Municipal Government of Hungduan, Ifugao, through the 20% Municipal Development Fund intends to apply the sum of Nine Hundred Fifty Four Thousand Eight Hundred Sixty Five Pesos &amp; Ninety Seven Centavos (</t>
  </si>
  <si>
    <t xml:space="preserve"> Section I. Invitation to Bid   INVITATION TO BID FOR  Supply and Delivery of 6x6 Saddam Truck Rescue Vehicle (Surplus) 1.	The Local Government Unit of Lambayong, through the MDRRM Expenses Fund intends to apply the sum of Two Million Four Hundred Fifty Th</t>
  </si>
  <si>
    <t xml:space="preserve"> Book Requirements by CHED request</t>
  </si>
  <si>
    <t xml:space="preserve"> PLEASE SEE ATTACHE REQUEST FOR QUOTATION IN THE ASSOCIATED COMPONENTS</t>
  </si>
  <si>
    <t xml:space="preserve"> 1.	The Local Government Unit of Enrile through the Local Government Support Fund-AM 2019 intends to apply the sum of Five Million pesos (Php 5,000,000.00) being the Approved Budget for the Contract (ABC) to payments under the contract for the Concreting o</t>
  </si>
  <si>
    <t xml:space="preserve"> GOOD COMMODITIES</t>
  </si>
  <si>
    <t xml:space="preserve"> Lot 1 Description: 6 Licensed Male Guards: Single Shift; Monday - Sunday (7 days a week) for nine months (9     months) (August 2020 - April 2021)   a) The bidder/agency should provided two (2) duly NTC registered handheld radios with two (2) extra batter</t>
  </si>
  <si>
    <t xml:space="preserve"> Please submit your quotations based on RFQ terms &amp; conditions</t>
  </si>
  <si>
    <t xml:space="preserve"> office divider</t>
  </si>
  <si>
    <t xml:space="preserve"> Republic of the Philippines          City of Dumaguete Bids and Awards Committee INVITATION TO BID FOR PURCHASE REQUEST OF 30 CU.M COARSE AGGREGATES (2” MAX. SIZE) AND OTHER ITEMS 	The City of Dumaguete thru its BIDS AND AWARDS COMMITTEE (BAC), invites al</t>
  </si>
  <si>
    <t xml:space="preserve"> SEE ATTACHED INVITATION TO BID, CHECKLISTS, BIDDING DOCUMENTS, STANDARD BIDDING FORMS AND PLANS</t>
  </si>
  <si>
    <t xml:space="preserve"> 1. The Provincial Government of Davao Del Norte, through 20% DF CY 2020 and Trust Fund (NHA), intends to apply the sum of Forty Four Million Six Hundred Twenty Four Thousand One Hundred Thirty Two and 95/100 Pesos (Php 44,624,132.95) and being the Approve</t>
  </si>
  <si>
    <t xml:space="preserve"> 148 BAGS PORTLAND CEMENT 11 CUM RIVER WASHED SAND 11 CUM GRAVEL CLASS A 6 CUM 3/4 GRAVEL CHOCKER 2 CUM GRAVEL CLASS B 95 PCS 16MM X 6M DEFORMED BARS 97 PCS 12MM X6M DEFORMED BARS 150 PCS 100 MM X 6M DEFORMED BARS 35 PCS 9MM X 6M DFORMED BARS 16 KGS #16 GI</t>
  </si>
  <si>
    <t xml:space="preserve"> OFFICE OF THE BIDS AND AWARDS COMMITTEE (BAC)                                                                                                   Notice No    : 2020-244                                                                                        </t>
  </si>
  <si>
    <t xml:space="preserve"> Please submit your quotation for the following items on or before 5:00PM on Jun 22, 2020. ITEM D E S C R I P T I O N QTY. UNIT  1 Radio Transceiver, Handset Radio 3 unit Technical Specification Requirements: Portable handhel radio; water resistant, shock </t>
  </si>
  <si>
    <t xml:space="preserve"> REPUBLIC OF THE PHILIPPINES		 			                   PROVINCE OF SIQUIJOR		 					 			                MUNICIPALITY OF SIQUIJOR		 			                 REQUEST FOR QUOTATION		 					 			                                                                       Date</t>
  </si>
  <si>
    <t xml:space="preserve"> Request for Quotation for the Procurement of Branded Smart TV to be used in SAAD presentation of reports, meetings, orientation, consultations and other related activities 1.	The Department of Agriculture-Regional Field Office 7 (DA-RFO 7), through the Ge</t>
  </si>
  <si>
    <t xml:space="preserve"> 113 bags Portland cement 11 cu.m Sand 11.5 cu.m Gravel 120 pcs 10mm dia D/B 1000 pcs CHB #4" 14 kls Tie wire #16 1 pc Hacksaw blade 56 pcs Sahara cment 50 pcs 12mm dia D/B 8 pcs Corr. GI sheet G.24 x 8' 2 units Door (1.80m x 0.70m) 2 pcs Pail flush bowl 8</t>
  </si>
  <si>
    <t xml:space="preserve"> 1. 4	Unit	Inkjet printer with built-in Continuous Ink System Print Method: On-demand ink jet, Bi-directional printing, Uni-directional printing, 5760 x 1440 dpi Max resolution, Micro Piezo™ print head Nozzle Configuration 180 Nozzles Black, 59 Nozzles per</t>
  </si>
  <si>
    <t xml:space="preserve"> REQUEST FOR QUOTATION The Local Government Unit of Molave, through its Bids and Awards Committee, will undertake a Small Value Procurement for the Purchase of Various Construction Materials and Supplies to be Used for the Expansion of School Canteen at MR</t>
  </si>
  <si>
    <t xml:space="preserve"> INVITATION TO BID FOR  GENERAL SUPPORT SERVICES  (Security Services Requirement of MMIDEO, NCR, DPWH, Rosario, Pasig City) 	The Metro Manila 1st District Engineering Office, through the GAA 2020 intends to apply the sum of FOUR MILLION THREE HUNDRED THIRT</t>
  </si>
  <si>
    <t xml:space="preserve"> Local Government of Valencia Catarata Street, Poblacion, Valencia City,  Bukidnon, Philippines Philippine access (088) 828-5430 Contract Reference No. 10-2020 06/09/2020 INVITATION TO BID FOR THE PROPOSED CONSTRUCTION OF MULTI-PURPOSE BUILDING PHASE I AT </t>
  </si>
  <si>
    <t xml:space="preserve"> Republic of the Philippines Municipality of Taytay Taytay, Palawan NOTICE TO BIDDERS Item # Qty Unit Description Amount 1. 1 unit Brand New Vehicle (VAN) Specification: Transmission and chassis: Transmission: 6-speed MANUAL, Suspension Front/Rear: McPhers</t>
  </si>
  <si>
    <t xml:space="preserve"> 1.	10		unit		Refill of Fire Extinguisher 2.	1		set		CCTV Camera &amp; Access.</t>
  </si>
  <si>
    <t xml:space="preserve"> Republic of the Philippines MUNICIPALITY OF BUENAVISTA INVITATION TO BID FOR CONSTRUCTION OF LIVELIHOOD &amp; ENTERPRENEUR CENTER  1.	The Local Government Unit of Buenavista, Marinduque through the fund from the 20% DF CY 2020 intends to apply the sum of Six </t>
  </si>
  <si>
    <t xml:space="preserve"> 12 Lngths 1/4x2x6m Angle Bar 19 Lnghts 1/4x1x6m.Angle Bar 24 Lnghts 1.2mmx50mmx75mmx6mC-Purlins 18 Pcs 100mm0x6m deformed Bars 8 Pcs 4osteel cutting Desc. 8 Kgs Welding Electrodes #12 2 Gals Metal ”Primer Paint (Red) 4 8ttles Paint Thinner 2 Pcs 2 1/2”Pai</t>
  </si>
  <si>
    <t xml:space="preserve"> INVITATION TO BID The DPWH Zamboanga del Sur 2nd District Engineering Office, Poblacion, Guipos, Zamboanga del Sur, through its Bids and Awards Committee (BAC), invites contractors to submit bids for the following Contract: Contract ID	:	20JG0051 - rebid </t>
  </si>
  <si>
    <t xml:space="preserve"> REQUEST  FOR  QUOTATION (RE - ISSUANCE) 																							 Small Value Procurement																							 																							 																							 	Company Name 																						 	Address                			:																			 											</t>
  </si>
  <si>
    <t xml:space="preserve"> 1.	The DENR PENRO (CENRO Casiguran) has a new approved Work and Financial Plan under the activity on the demarcation of legislated Protected Areas to include the fabrication and installation of One Hundred Thirty-One (131) Signages of AMRO River Protected</t>
  </si>
  <si>
    <t xml:space="preserve"> INVITATION TO BID FOR  GENERAL SUPPORT SERVICES  (Janitorial Services Requirement of MMIDEO, NCR, DPWH, Rosario, Pasig City) 	The Metro Manila 1st District Engineering Office, through the GAA 2020 intends to apply the sum of TWO MILLION EIGHT HUNDRED EIGH</t>
  </si>
  <si>
    <t xml:space="preserve"> Republic of the Philippines          City of Dumaguete Bids and Awards Committee INVITATION TO BID FOR PURCHASE REQUEST OF 24 CU.M SAND (STD. SPECS) AND OTHER ITEMS 	The City of Dumaguete thru its BIDS AND AWARDS COMMITTEE (BAC), invites all interested ma</t>
  </si>
  <si>
    <t xml:space="preserve"> Item No.	Scope of Work	 		 403	REINFORCING STEEL	 900	REINFORCE CONCRETE	 414	FORMS &amp; FALSEWORKS	 704	MASONRY WORKS	 103(1)a	Structure Excavation	 1027	PLASTERING WORKS	 1010	WINDOW	 500(1)	ROOFING WORKS	 ITEM B.5:	PROJECT BILLBOARD</t>
  </si>
  <si>
    <t xml:space="preserve"> INVITATION TO BID SUPPLY AND DELIVERY OF ONE (1) UNIT PASSENGER VAN VEHICLE (PV)    The Pag-IBIG Fund Corporate Headquarters, through its Bids and Awards Committee – Goods and Services (BAC-GS) intends to apply the sum of Two Million Six Hundred Thousand </t>
  </si>
  <si>
    <t xml:space="preserve"> Name of the Procuring Entity: UNIVERSITY OF NORTHERN PHILIPPINES 	Project Reference Number: 20-02-14-061 										Name of the Project:	 Standard Form Number: SF-GOOD-60						Location of the Project: UNP Vigan City Revised on: May 24, 2004 Standard Form T</t>
  </si>
  <si>
    <t xml:space="preserve"> Please submit your quotation for the following items on or before 5:00PM on Jun 22, 2020. ITEM D E S C R I P T I O N QTY. UNIT  1 Piston Ring, STD (4 Wheels) 1 set 2 Liner, Cylinder (Finish) (4 Wheels) 1 set 3 Gasket, Overhauling (4 Wheels) 1 set 4 Bearin</t>
  </si>
  <si>
    <t xml:space="preserve"> Civil works that include concrete works</t>
  </si>
  <si>
    <t xml:space="preserve"> Republic of the Philippines PROVINCE OF ZAMBOANGA DEL SUR Municipality of Dumalinao BIDS AND AWARDS COMMITTEE INVITATION TO APPLY FOR ELIGIBILITY AND TO BID The Local Government Unit of Dumalinao, Zamboanga del Sur, through its Bids and Awards Committee (</t>
  </si>
  <si>
    <t xml:space="preserve"> 1	Brake Pad 1	Bushing Pad 	Labor</t>
  </si>
  <si>
    <t xml:space="preserve"> Improvement of Almeida Farmers Multi-purpose Pavement</t>
  </si>
  <si>
    <t xml:space="preserve"> Provision of Labor, Materials and Equipment for the Installation of Olyset Net to various Hospital, Provincial Jail &amp; Leyte Sports Development Center, Province of Leyte in accordance with the plan and specifications: LEYTE SPORTS DEVELOPMENT CENTER Doors </t>
  </si>
  <si>
    <t xml:space="preserve"> RFQ and Notice of Procurement for PR No. 2020-06-0008 - Procurement of Thermal Scanners, Batteries and Foot Pedal Activated Alcohol Dispenser for use in the DPWH Regional Office No. III.</t>
  </si>
  <si>
    <t xml:space="preserve"> Republic of the Philippines Province of Albay Municipality of Rapu-Rapu Barangay Tinocawan INVITATION TO BID FOR THE  REHABILITATION OF WATER SYSTEM 1.	The Barangay Local Government Unit of Tinocawan, Rapu-Rapu, Albay, through the Budget for the Contract </t>
  </si>
  <si>
    <t xml:space="preserve"> Republic of the Philippines DEPARTMENT OF PUBLIC WORKS AND HIGHWAYS Region VII   South Road Properties (SRP), Cebu City                                        Contract ID	 : 20H00061 Contract Name  : Cluster Project: Construction of Rain Water Supply/Sept</t>
  </si>
  <si>
    <t xml:space="preserve"> Construction of Butubut Sur Civic Center</t>
  </si>
  <si>
    <t xml:space="preserve"> 2 sets Multistage Submersible Motor with the following specifications: I. General Requirements: Rating	:	30	Hp Nominal Voltage	:	460	V Number of Phase	:	3	 Frequency	:	60	Hz Standard Diameter	:	6	Inches Lead Wire / Cables	:	Plug-in or Detachable Rotor Spl</t>
  </si>
  <si>
    <t xml:space="preserve"> APPROVED BUDGET***************************************P606,540.00 1. 780 PIECE BALLPEN, RED  Specifications: Please see attached specifications 2. 2340 PIECE BALLPEN, BLUE Specifications: Please see attached specifications 3. 1620 PIECEBALLPEN, BLACK Spec</t>
  </si>
  <si>
    <t xml:space="preserve"> 1	pc    Ball Joint Lower Labor</t>
  </si>
  <si>
    <t xml:space="preserve"> Please submit your quotation for the following items on or before 5:00PM on Jun 22, 2020. ITEM D E S C R I P T I O N QTY. UNIT 1 Electrical, Wire, THHN Copper Wire, 100mm² (4/0 AWG) , Stranded (300m/reel) 150 mtr 2 Electrical, Eye Terminal, 100mm3 3 pc Aw</t>
  </si>
  <si>
    <t xml:space="preserve"> Request for Quotation (Negotiated Procurement-Sec. 53.1 of RIRR of RA 9184)                                                                             The Iligan City Government Bids and Awards Committee(BAC) Posted Request for Quotation for the Supply a</t>
  </si>
  <si>
    <t xml:space="preserve"> Republic of the Philippines Municipality of Taytay Taytay, Palawan NOTICE TO BIDDERS Item # Qty Unit Description Amount 1. 1 lot Construction Materials and Supplies The two envelope system of procurement shall be observed, Bidding documents shall be avail</t>
  </si>
  <si>
    <t xml:space="preserve"> Invitation to Bid for Construction of Two (2) Storey Men’s Dormitory Building at ESSU Salcedo Campus Re-Bidding 1.	The Eastern Samar State University – Main Campus, through the FY 2020 GAA, R.A 11465 intends to apply the sum of Eighteen Million Two Hundre</t>
  </si>
  <si>
    <t xml:space="preserve"> VALANCE BOARD.371X20X30 VALANCE BOARD.165X20X30 THHNS WIRE #12 CIRCUIT BREAKER 30AMP. ELECTRICAL TAPE FLEXIBLE HOSE 3/4 G.I WIRE NO.18</t>
  </si>
  <si>
    <t xml:space="preserve"> Improvement of Bet-ang Farmers Multi-purpose Pavement</t>
  </si>
  <si>
    <t xml:space="preserve"> INVITATION TO BID The Provincial Government of Occidental Mindoro through its Bids and Awards Committee (BAC) invites all interested contractors to apply for eligibility and to bid for the following projects: Reference No.	Name of Project	Location	Brief D</t>
  </si>
  <si>
    <t xml:space="preserve"> 1. ANGLE BAR 1/2x2x20 &amp; 20 OTHERS DELIVERY SITE :  MASBATE MINI GRID OFFICE                           PINAMARBUHAN, MOBO, MASBATE PLEASE SUBMIT REQUIREMENTS: 1.	MAYOR’S/BUSINESS PERMIT 2.	PhilGEPS REG. NUMBER/CERTIFICATE</t>
  </si>
  <si>
    <t xml:space="preserve"> Item No.	Scope of Work	 		 403	REINFORCING STEEL	 900	REINFORCE CONCRETE	 414	FORMS &amp; FALSEWORKS	 704	MASONRY WORKS	 103(1)a	Structure Excavation	 1027	PLASTERING WORKS	 1010	WINDOW	 SPL	TILE WORKS	 ITEM B.5:	PROJECT BILLBOARD</t>
  </si>
  <si>
    <t xml:space="preserve"> Section I. Invitation to Bid     Republic of the Philippines Province of La union Municipality of Bacnotan INVITATION TO BID The Local Government of Bacnotan through its Bids and Awards Committee (BAC) invites contractors to submit bids for the following </t>
  </si>
  <si>
    <t xml:space="preserve"> Item No.	Scope of Work	 		 405	MASONRYWORKS	 707	REINFORCING STEEL	 300	REINFORCING CONCRETE	 1027	PLASTERING WORKS	 1010	DOORS	 1009	WINDOWS	 1003	CEILINGS	 1102	ELECTRICAL WORKS	 SPL	TILING WORKS	 1032	PAINT WORKS	 B.5:	PROJECT BILLBOARD</t>
  </si>
  <si>
    <t xml:space="preserve"> PROJECT:INSTALLATION OF GLASS PANELS FOR WINDOW TRANSACTION LOCATION: LGU-RIZAL, NUEVA ECIJA DESCRIPTION: INSTALLATION OF GLASS PANELS FOR WINDOW TRANSACTION SOURCE OF FUND: GENERAL FUND ABC: PHP 70,000.00</t>
  </si>
  <si>
    <t xml:space="preserve"> Purchase of Drug &amp; Medicines use of Brgy ibabang Dupay, Lucena</t>
  </si>
  <si>
    <t xml:space="preserve"> Republic of the Philippines Province of Kalinga TABUK CITY OHS COMMITTEE ON BIDS AND AWARDS INVITATION TO BID FOR THE PROCUREMENT OF MEDICAL/SURGICAL/LABORATORY/XRAY/ULTRASOUND SUPPLIES 1. The PROVINCIAL GOVERNMENT OF KALINGA, through the General Fund Ann</t>
  </si>
  <si>
    <t xml:space="preserve"> Improvement of Bet-ang Farmers Multi-purpose Building</t>
  </si>
  <si>
    <t xml:space="preserve"> Procurement of assorted construction supplies for the repair of different building and facilities of ASU Main as per attched Request for Quotation.</t>
  </si>
  <si>
    <t xml:space="preserve"> Improvement of Sector 07 Camiling Farm to Market Road</t>
  </si>
  <si>
    <t xml:space="preserve"> 1.) Coco lumber, 2" x 3" x 12' = 70 piece 2.) Nylon, #80 = 10 clip 3.) CWN, 4" = 10 kilo 4.) CWN, 3" = 10 kilo 5.) CWN, 2 1/2" 5 kilo 6.) Cement, portland, 40kg = 12 bag 7.) Graded grave, 1" = 2 cubic meter 8.) Washed sand - 1 cubic meter 9.) RSB, 10mm x </t>
  </si>
  <si>
    <t xml:space="preserve"> 1	25	pcs	Dust Masks	 2	25	pair	Boots (rubber)	 3	5	pair	Steel soled/toe shoe	 4	25	pcs	Goggles (clear)	 5	25	pcs	Hard hats	 6	25	pcs	Waste picking sticks	 7	25	pcs	Sacks (plastic garbage sack)	 8	8	pcs	Shovels	 9	25	pair	Gloves (rubber  padded )</t>
  </si>
  <si>
    <t xml:space="preserve"> Item No.	Qty	Unit	Article / Description 1	542	bags	Portland Cement 2	330	lengths	10mm X 6m DRB STD (grade 40) 3	121	length	8mm X 6m DRB STD (grade 40) 4	51	kgs	G.I No. 16 Tie Wire 5	22	kgs	N-55 Electrode Welding Rod 6	4	pcs	Cutting Disc 7	150	pcs	Metal Sc</t>
  </si>
  <si>
    <t xml:space="preserve"> Title:Procurement of Information Technology and Accessories under P.R.Nos. 1593-2020(Sangguniang Panlungsod) and 1637-2020(Sangguniang Panlungsod-Augmentation for Legislative  Services)-1Lot Total ABC: Php 61,700.00 (INSTRUCTION AS TO THE REQUIRED FORM: F</t>
  </si>
  <si>
    <t xml:space="preserve"> Republic of the Philippines Province of Albay Municipality of Rapu-Rapu Barangay Tinocawan INVITATION TO BID FOR THE REHABILITATION OF MULTI-PURPOSE BUILDING 1.	The Barangay Local Government Unit of Tinocawan, Rapu-Rapu, Albay, through the Budget for the </t>
  </si>
  <si>
    <t xml:space="preserve"> Improvement of Pa-o Farmers Multi-purpose Building</t>
  </si>
  <si>
    <t xml:space="preserve"> REPUBLIC OF THE PHILIPPINES CITY OF MANILA OFFICE OF THE BARANGAY BIDS AND AWARDS COMMITTEE INVITATION TO BID - IT Equipment &amp; Software REQUESTING OFFICER/END USER: Barangay 706 Zone 77 District 5 Approved Budget for Contract (ABC) Php 100,000.00 SOURCE O</t>
  </si>
  <si>
    <t xml:space="preserve"> 1	1	unit	Fire extinguisher</t>
  </si>
  <si>
    <t xml:space="preserve"> Formworks &amp; Scaffolding                          LS              LS    Demolition of Existing Roofing  Roof Framing &amp; Roof Beams                      LS              LS  Reinforced Concrete Footing   (at Stage -1st floor &amp; 2nd floor)                cu.m  </t>
  </si>
  <si>
    <t xml:space="preserve"> Cuttings Napier 500 Kl Callandra Seeds 1/2 Kl Indigofera Seeds 1/2 Kl Rhizoni Seeds 1/2 Kl Acid Ipil-Ipil 3/4 Heads Upgraded Goat 20 * 5 Months Old * 15-18k * 60-75% Breed Anglo Nubian Heads Breeder Goat 2 * 75% Anglo Nubian * Aged 5-6 Months Old * 18 to </t>
  </si>
  <si>
    <t xml:space="preserve"> UNIT                QUANTITY                   DESCRIPTION LITERS                 600                         PREMIUM LITERS                  3,777                      DIESEL</t>
  </si>
  <si>
    <t xml:space="preserve"> 1	5	pcs	Marking pens	 2	2	pcs	White boards/blackboards	 3	3	pcs	Whiteboard erasers	 4	1	roll	Brown paper(easel sheet)	 5	2	roll	1" masking tape	 6	1	set	Waste classification gallery</t>
  </si>
  <si>
    <t xml:space="preserve"> 1	unit	Unit	Laptop			 				14"LED			 				ITB HDD			 				8GB Memory			 				Intel Core i5			 	1		Unit	Projector Screen			 				Product details of LCD Portable Tripod Projector Screen 70" x 70" Pressed rust proof metal coating with roast paint and ABS cap Size</t>
  </si>
  <si>
    <t xml:space="preserve"> 1 unit Laptop computer 1 unit Biometric 1 unit Smart TV 1 unit Netbook computer</t>
  </si>
  <si>
    <t xml:space="preserve"> REPAIR &amp; MAINTENANCE MOTOR VEHICLE</t>
  </si>
  <si>
    <t xml:space="preserve"> REQUEST  FOR  QUOTATION (RE-ISSUANCE) 																							 Small Value Procurement																							 																							 																							 	Company Name 																						 	Address                			:																			 													</t>
  </si>
  <si>
    <t xml:space="preserve"> Improvement of Sector 4&amp;5 Bungol Farm to Market Road</t>
  </si>
  <si>
    <t xml:space="preserve"> Republic of the Philippines Province of Kalinga TABUK CITY OHS COMMITTEE ON BIDS AND AWARDS INVITATION TO BID FOR THE PROCUREMENT OF DRUGS AND MEDICINES (DANGEROUS DRUGS) 1. The PROVINCIAL GOVERNMENT OF KALINGA, through the General Fund Annual Budget 2020</t>
  </si>
  <si>
    <t xml:space="preserve"> I. MOBILIZATION/DEMOLIBILIZATION.SIGNAGE II. CARPENTRY WORKS III. MASONRY WORKS</t>
  </si>
  <si>
    <t xml:space="preserve"> RFQ-2020-162		 			 1.	2	kilos	High Land Kangkong Seed 2.	2	kilos	Labanos Seed 3.	2	kilos	Okra Seed 4.	2	kilos	Pechay Seed 5.	2	kilos	Mustasa Seed 6.	20000	pcs.	Agri Bag (5x5x10) 7.	192	liters	Organic Fertilize 8.	24	liters	Insect Repellant 			 	Deadline f</t>
  </si>
  <si>
    <t xml:space="preserve"> I. STRUCTURE EXCAVATION 8.83 CU.M. II. CONCRETE WORKS 8.83 CU.M. III. INSTALLATION OF  POST &amp; SOLAR LIGHTS 46 UNITS IV. PAINTING WORKS 1 LOT</t>
  </si>
  <si>
    <t xml:space="preserve"> Local Government of Valencia Catarata Street, Poblacion, Valencia City,  Bukidnon, Philippines Philippine access (088) 828-5430 Contract Reference No. 2020-09 RE-BID 06/09/2020 INVITATION TO BID FOR THE SUPPLY AND DELIVERY OF 2 UNITS BRANDNEW UTILITY VAN </t>
  </si>
  <si>
    <t xml:space="preserve"> To provide back-up UPS for the CCTV operations</t>
  </si>
  <si>
    <t xml:space="preserve"> 2020-100 Clearing and Widening of Road Brgy Diaz</t>
  </si>
  <si>
    <t xml:space="preserve"> 1	pcs	Spirit level (1.2 m, Yellow, 0.5 mm/m) HD	5 2	pcs	Hack saw, HD	5 3	sets	Pliers, 9" (electrician, long nose, side cutter)	12 4	sets	Screwdrivers, HD	12 5	sets	Combination Wrenches -open  &amp; box ( 6mm-14)	12 6	pcs	Wire stripper, HD	12 7	pcs	Magnetic Co</t>
  </si>
  <si>
    <t xml:space="preserve"> To provide labor and materials for the production of Steel Frame tent , 2.0m x 4.0m and 4.0m x 4.0m</t>
  </si>
  <si>
    <t xml:space="preserve"> 1 Bags Red Beads 21 2 Bags Blue Beads 21 3 Bags Yellow Beads 21 4 Bags Black Beads 21 5 Bags Green Beads 21 6 Bags White Beads 21 7 Bags Orange Beads 21 8 Boxes Bead Needles 15 9 Dozens Buttons 25 10 Rolls Magic Tape 9 11 Rolls White Thread 80 12 Pcs Scis</t>
  </si>
  <si>
    <t xml:space="preserve"> REQUEST  FOR  QUOTATION 																							 NEGOTIATED PROCUREMENT 																							 (TWO FAILED QUOTATION - SVP) 																							 																							 																							 	Company Name 																						 	Address              </t>
  </si>
  <si>
    <t xml:space="preserve"> The Local Government Unit of Barugo, through the Department of Labor and Employment Integrated Livelihood and Emergency Employment Program (DILEEP) 2019 intends to apply the sum of Eight Hundred Eleven Thousand Pesos only (Php811,000.00) being the Approve</t>
  </si>
  <si>
    <t xml:space="preserve"> TELEPHONE MOBILE EXPENSE</t>
  </si>
  <si>
    <t xml:space="preserve"> Republic of the Philippines Batangas City Invitation to Apply for Eligibility and to Bid The Barangay Government of Barangay Mahabang Parang, Batangas City intends to apply the sum of One Hundred Sixty Thousand Pesos Only (Php 160,000.00) broken down as f</t>
  </si>
  <si>
    <t xml:space="preserve"> 1 unit Audio recorder 1 unit Electric pot 1.5L 2 units Lapel mic 2 units Microphone 1 unit Rice cooker (10 cups) 2 units Water dispenser  1 unit Camera</t>
  </si>
  <si>
    <t xml:space="preserve"> Improvement of Sector 7 Calungbuyan Farm to Market Road</t>
  </si>
  <si>
    <t xml:space="preserve"> 3 units Executive chairs 1 unit Steel cabinet - 3 drawers (small)</t>
  </si>
  <si>
    <t xml:space="preserve"> Republic of the Philippines Province of La union Municipality of Bacnotan INVITATION TO BID The Local Government of  Bacnotan through its Bids and Awards Committee (BAC) invites contractors to submit bids for the following contract. Contract Name: Improve</t>
  </si>
  <si>
    <t xml:space="preserve"> Lot 1 - IT Equipments Lot 2 - Furniture and Fixtures</t>
  </si>
  <si>
    <t xml:space="preserve"> QTY	UNIT	DESCRIPTION	Unit Price	TOTAL 				 		OFFICE OF THE MUNICIPAL MAYOR (REPAIR AND MAINTENANCE OF MUNICIPAL VEHICLE NISSAN URVAN OV 9314)		 1	unit	Perform wheel alignment, Replace wheel bearing Front LH side, Replace Stabilizer link assembly, Machine </t>
  </si>
  <si>
    <t xml:space="preserve"> Construction of Teacher Education Building (General Requirements, Mobilization &amp; Demobilization, Demolition, Excavation, Filling, Concrete &amp; Masonry Works, Column Footings, Tie Beam &amp; Wall Footing, Columns (grand to roof deck) Second Floor Beam, Ground Fl</t>
  </si>
  <si>
    <t xml:space="preserve"> Republic of the Philippines Province of Negros Occidental MUNICIPALITY OF HINOBA-AN Brgy. Council of Culipapa Bids and Awards Committee INVITATION TO BID The Barangay Council of Culipapa, Municipality of  Hinoba-an, Negros Occidental through its Bids and </t>
  </si>
  <si>
    <t xml:space="preserve"> Invitation to Bid The National Housing Authority (NHA), through the Corporate Budget approved by the NHA Board for CY 2020 intends to apply the sum of the Approved Budget for the Contract (ABC) to payments for the following contract: Ref. No. 2020-010	 PR</t>
  </si>
  <si>
    <t xml:space="preserve"> Various Construction Materials</t>
  </si>
  <si>
    <t xml:space="preserve"> Republic of the Philippines DEPARTMENT OF PUBLIC WORKS AND HIGHWAYS ILOILO 4TH  DISTRICT ENGINEERING OFFICE REGIONAL OFFICE VI Bolong Este, Sta. Barbara, Iloilo INVITATION   TO   BID   FOR   THE   INSTALLATION OF NOZZLE DIESEL INJECTOR AND DIAGNOSTIC SYST</t>
  </si>
  <si>
    <t xml:space="preserve"> INVITATION TO BID 1. The PHILIPPINE TEXTILE RESEARCH INSTITUTE (PTRI), through the PCIEERD-GIA Project “Development of Inkjet CMYK Digital Printing Inks from Philippine Natural Dyes” intends to apply the sum of ONE MILLION SIX HUNDRED PESOS (Php1,600,000.</t>
  </si>
  <si>
    <t xml:space="preserve"> This LGU would like to request for quotation of tires with tube and flap 750x16 for Road Roller via Small Value Procurement (SVP).</t>
  </si>
  <si>
    <t xml:space="preserve"> Improvement of Cemetery Road</t>
  </si>
  <si>
    <t xml:space="preserve"> Construction of Pa-o Farmers Multi-purpose Pavement</t>
  </si>
  <si>
    <t xml:space="preserve"> Procurement ID/Contract ID: 20CSAH01  Contract Name /Contract Location: Conduct of Soil Exploration and/or Geotechnical Investigation for Various Bridge Projects in the 2nd and 4th Legislative Districts of Pangasinan --------------------------------------</t>
  </si>
  <si>
    <t xml:space="preserve"> Republic of the Philippines DEPARTMENT OF HEALTH WESTERN VISAYAS Center for Health Development INVITATION TO BID FOR THE  Procurement of Disinfectants,  IB No. SB-2020-020 1.	The Department of Health – WV CHD, through the SAA-2020-03-0345 fund  intends to</t>
  </si>
  <si>
    <t xml:space="preserve"> DEMOLITION OF UNNECESSARY STRUCTURES, CONCRETE AND MASONRY WORKS, FORM WORKS AND SCAFFOLDING WORKS, TILES, METAL AND ROOFING WORKS, SANITARY AND PLUMBING WORKS, CEILING AND CARPENTRY WORKS, DOORS AND WINDOWS, ELECTRICAL AND PAINTING WORKS.</t>
  </si>
  <si>
    <t xml:space="preserve"> 1 unit AVR (220V fuse 5A) 6 units UPS (600 VA) 1 unit Printer L3110 1 unit Printer L360 2 pcs Mouse wireless 1 pc Anti-virus 1 unit CPU</t>
  </si>
  <si>
    <t xml:space="preserve"> INVITATION TO BID FOR THE REBIDDING ON THE PROVISION OF LABOR, MATERIALS, EQUIPMENT AND OTHER INCIDENTALS NEEDED FOR THE REHABILITATION OF BUNGAD DIVERSION DAM (DD) AT BRGY. ANGSET, CARASI, ILOCOS NORTE 1.	The Department of Agriculture Regional Field Offi</t>
  </si>
  <si>
    <t xml:space="preserve"> 1 20 PC/S RIBBON- CARTRIDGE - LQ310+ DOT MATRIX 2 10 REAM/S PAPER - BOOK LEGAL,216MMX330MM(8-1/2"X13"),MIN OF 70GSM 3 10 REAM/S PAPER - BOOK A4,210MMX297MM,MIN OF 70GSM 4 15 REAM/S PAPER - BOOK SUBS.20 SHORT ( 8 1/2"X11" ) 5 8 BOX/S COMPUTER FORMS - 4 PLY</t>
  </si>
  <si>
    <t xml:space="preserve"> INVITATION TO BID (Rebid) Procurement of Construction Materials for the Construction of Multi-Purpose Building The LGU Surallah through the Bids and Awards Committee (BAC) is inviting suppliers to bid for the supply and delivery of GOODS/INFRASTRUCTURE/SE</t>
  </si>
  <si>
    <t xml:space="preserve"> Catering Services and accommodation during the Creation of Enterprise Operations Manual 3 Newly approved I-REAP SPs on October 2020 (tentative)</t>
  </si>
  <si>
    <t xml:space="preserve"> Request for Expression of Interest (REOI) for the CONSULTANCY SERVICES FOR THE CONDUCT OF FEASIBILITY STUDY OF PROPOSED CONSTRUCTION OF MISSING LINKS AND NEW ROADS CERVANTES (ILOCOS SUR) - BESAO-SAGADA (MT. PROVINCE) ROAD VIA LAYLAYA (REGION I) 1. The DPW</t>
  </si>
  <si>
    <t xml:space="preserve"> 1.	The Local Government Unit of Mabini, Pangasinan, through the 20% Development Fund CY 2020 intends to apply the sum of Four Hundred Thousand Pesos (PhP400,000.00) being the Approved Budget for the Contract (ABC) to payments under the contract for the Co</t>
  </si>
  <si>
    <t xml:space="preserve"> 116 bags cement 13 cu.m. Gravel 7 cu.m. Sand 4 pcs 12mm0 RSB 384 Bdft Coco lumber 3 kgs Assorted CW Nail</t>
  </si>
  <si>
    <t xml:space="preserve"> REQUEST  FOR  QUOTATION 																							 Small Value Procurement																							 																							 																							 	Company Name 																						 	Address                			:																			 																					 		 	P</t>
  </si>
  <si>
    <t xml:space="preserve"> The Local Government Unit – Quinapondan, Eastern Samar, through its Bids &amp; Awards Committee (BAC ), intends to apply the sum of On Hundred Sixty six Thousand One Hundred Sixty five Pesos and 12/100 (Php166,165.12) under the approved Appropriation Ordinanc</t>
  </si>
  <si>
    <t xml:space="preserve"> Republic of the Philippines Province of Albay Municipality of Rapu-Rapu Barangay Sagrada INVITATION TO BID FOR THE CONSTRUCTION OF PATHWAY 1.	The Barangay Local Government Unit of Sagrada, Rapu-Rapu, Albay, through the Budget for the Contract Approved by </t>
  </si>
  <si>
    <t xml:space="preserve"> Republic of the Philippines Department of Health Central Luzon Center for Health Development Talavera General Hospital Talavera, Nueva Ecija   ISO QMS Certified INVITATION FOR NEGOTIATION Negotiation of Supply &amp; Delivery of Various Drugs &amp; Medicine for Ja</t>
  </si>
  <si>
    <t xml:space="preserve"> Republic of the Philippines DEPARTMENT OF HEALTH WESTERN VISAYAS Center for Health Development INVITATION TO BID FOR THE  Procurement of N95 Mask,  IB No. SB-2020-021 1.	The Department of Health – WV CHD, through the NTP CONAP 2019 fund  intends to apply </t>
  </si>
  <si>
    <t xml:space="preserve"> INVITATION TO BID FOR THE REBIDDING ON THE PROVISION OF LABOR, MATERIALS, EQUIPMENT AND OTHER INCIDENTALS NEEDED FOR THE REHABILITATION/IMPROVEMENT OF BIMOYAYONG DIVERSION DAM (DD) AT BRGY. VIRBIRA, CARASI, ILOCOS NORTE 1.	The Department of Agriculture Re</t>
  </si>
  <si>
    <t xml:space="preserve"> REQUEST  FOR  QUOTATION 																							 NEGOTIATED PROCUREMENT 																							 (TWO FAILED QUOTATION - SVP) 																							 																							 	Company Name 																						 	Address                			:																		</t>
  </si>
  <si>
    <t xml:space="preserve"> Section I. Invitation to Bid     Republic of the Philippines Province of La union Municipality of Bacnotan INVITATION TO BID The Local Government of  Bacnotan through its Bids and Awards Committee (BAC) invites contractors to submit bids for the following</t>
  </si>
  <si>
    <t xml:space="preserve"> INVITATION TO BID FOR THE REBIDDING ON THE PROVISION OF LABOR, MATERIALS, EQUIPMENT AND OTHER INCIDENTALS NEEDED FOR THE REHABILITATION/IMPROVEMENT OF PIMENTEL SMALL WATER IMPOUNDING PROJECT (SWIP) CANAL LINING AT BRGY. PIMENTEL, BATAC CITY, ILOCOS NORTE </t>
  </si>
  <si>
    <t xml:space="preserve"> Republic of the Philippines Province of La union Municipality of Bacnotan INVITATION TO BID The Local Government of Bacnotan through its Bids and Awards Committee (BAC) invites contractors to submit bids for the following contract. Contract Name: Improvem</t>
  </si>
  <si>
    <t xml:space="preserve"> 1 roll PE pipe no. 3 1 roll PE pipe no. 2 1/2 1 roll PE pipe no. 2 1 roll PE pipe #1 1/2 1 pc PE Pipe # 1/2 3 pcs Saddle clamp 3 x 1/2 3 pcs Saddle clamp 2 1/2 x 1/2 3 pcs Saddle clamp 2 x 1/2 3 pcs Saddle clamp 1 1/2 x 1/2 3 pcs Elbow, PE pipe #3 3 pcs E</t>
  </si>
  <si>
    <t xml:space="preserve"> I.  MOBILIZATION/DEMOBILIZATION II. FORM WORKS III. MASONRY WORKS</t>
  </si>
  <si>
    <t xml:space="preserve"> TO ALL QUALIFIED SUPPLIERS: The Philippine Information Agency - Region 12 would like you to provide the following: 7 LAPTOPS (For documents, graphics) Intel Core i5 2x4GB RAM 1TB+256GB SSD  MX150 2GB Win10  HDMI , USB3.0 , Bluetooth , Card Reader , Camera</t>
  </si>
  <si>
    <t xml:space="preserve"> Item No.	Qty	Unit	Article / Description 1	15	reams	Paper, Multi Purpose Copy (Legal, 70 gsm, 216mm x 330mm) 2	15	reams	Paper, Multi-Purpose Copy (A4, 70 gsm, 210mm x 297mm) 3	24	bottle	Ink refill, T6641, Black</t>
  </si>
  <si>
    <t xml:space="preserve"> REQUEST  FOR  QUOTATION																							 NEGOTIATED PROCUREMENT 																							 (TWO FAILED QUOTATION - SHOPPING) 																							 																							 																							 	Company Name 																						 	Address          </t>
  </si>
  <si>
    <t xml:space="preserve"> Republic of the Philippines Province of Iloilo BIDS AND AWARDS COMMITTEE INVITATION TO BID Purchase of Diesel Fuel Bid No. GOV-20-0593-B 1. The Iloilo Provincial Government, through the 2020 General Fund intends to apply the sum of ONE MILLION FIVE HUNDRE</t>
  </si>
  <si>
    <t xml:space="preserve"> *FIBER OPTIC CABLES FOR HI-WAY, AND LONG DISTANCE.</t>
  </si>
  <si>
    <t xml:space="preserve"> 1 roll Automotive wire 2 pcs Brake light, isuzu forward 2 pcs Auto bulb, 24V (box) 10 pcs Battery clamp 4 pcs Bolt w/ nut 12mm HT 3 pcs Center bolt, 1/2 x10", high tensile 2 pcs Center bolt, 1/2 x 10", high tensile 1 pc Center bolt, 9/16 x 10", high tensi</t>
  </si>
  <si>
    <t xml:space="preserve"> 1.	The Local Government Unit of Mabini, Pangasinan, through the 20% Development Fund CY 2020 intends to apply the sum of TWO MILLION SIX HUNDRED THOUSAND PESOS (PhP2,600,000.00) being the Approved Budget for the Contract (ABC) to payments under the contra</t>
  </si>
  <si>
    <t xml:space="preserve"> INVITATION TO BID FOR THE REBIDDING ON THE PROVISION OF LABOR, MATERIALS, EQUIPMENT AND OTHER INCIDENTALS NEEDED FOR THE IMPROVEMENT OF TANGAOAN SMALL WATER IMPOUNDING PROJECT (SWIP) CANAL LINING AT BRGY. TANGAOAN, PIDDIG, ILOCOS NORTE 1.	The Department o</t>
  </si>
  <si>
    <t xml:space="preserve"> Republic of the Philippines Province of Albay Municipality of Rapu-Rapu Barangay Sagrada INVITATION TO BID FOR THE INSTALLATION OF SOLAR POWERED STREET LIGHTS 1.	The Barangay Local Government Unit of Sagrada, Rapu-Rapu, Albay, through the Budget for the C</t>
  </si>
  <si>
    <t xml:space="preserve"> June 9, 2020 1.	The Provincial Government of Davao del Sur, through its Special Bids and Awards Committee (SBAC), invites all potential bidders/contractors to apply to bid for the following project. Bids submitted in excess of the ABC shall be automatical</t>
  </si>
  <si>
    <t xml:space="preserve"> Mist Blower</t>
  </si>
  <si>
    <t xml:space="preserve"> INVITATION TO BID FOR  Procurement of Sound System 1.	The Local Government Unit  of Don Victoriano,  Don Victoriano, Misamis  Occidental through the  Bids and Awards Committee BAC intends to apply the sum of   Four Hundred Thousand Pesos  (P 400,000.00)  </t>
  </si>
  <si>
    <t xml:space="preserve"> 95 bags cement 116 pcs RSB 10mm0 2 pcs RSB 9mm0 17 bdft Coco lumber 2 kgs CW Nails Assorted 5 kgs CW Nails Assorted 870 pcs CHB 4" 5 cu.m. Gravel 7 cu.m. Sand</t>
  </si>
  <si>
    <t xml:space="preserve"> Please see attached Purchase request for reference.</t>
  </si>
  <si>
    <t xml:space="preserve"> 2020-053, CONCRETING OF BARANGAY ROAD AT PUROK 3-PUROK 5, LAGUMBINGAN, MIDSAYAP, COTABATO</t>
  </si>
  <si>
    <t xml:space="preserve"> SCOPE OF WORK IN EACH BARANGAY: I. BASE COURSE AGGREGATES 18.90 CU.M. II. CONCRETE WORKS  128.31 CU.M.</t>
  </si>
  <si>
    <t xml:space="preserve"> RFQ-2020-163		 			ELECTRICAL 1.	40	meters	Electrical Wire 22mm²THNN 2.	140	meters	Electrical Wire 80mm²THNN 3.	16	pcs.	Solderless Connector 4/0 4.	4	pcs.	Secondary Rock 3-pole w/spool insulator Heavy duty 5.	8	pcs.	Machine Bolt 5/8 x 14 w/square washer 6.</t>
  </si>
  <si>
    <t xml:space="preserve"> 1	44	pax	Hotel Room Accommodation with Full board meals  for 3 days</t>
  </si>
  <si>
    <t xml:space="preserve"> Republic of the Philippines									 REGION IX      									 PROVINCE OF ZAMBOANGA DEL SUR									 Pagadian City     									 BIDS AND AWARDS COMMITTEE  									 Provincial Capitol, Pagadian City									 									 INVITATION FOR SUBMISSION OF QUOTATI</t>
  </si>
  <si>
    <t xml:space="preserve"> ITEM	ITEM  DESCRIPTION	QTY	UNIT NO.			 1	Monoblock Chair	80</t>
  </si>
  <si>
    <t xml:space="preserve"> Republic of the Philippines Department of Education Region VIII SCHOOLS DIVISION OF TACLOBAN CITY Tacloban City INVITATION TO BID Project No.: CY 2020_QRF (REPAIR)-Lot 2 1. The Department of Education (DepED) Division of Tacloban City, through the General</t>
  </si>
  <si>
    <t xml:space="preserve"> ITEMS OF WORK: I. EARTHWORKS AND MOBILIZATION ......................................................1.00 Lot II. FORMWORKS......................................................1.00 Lot III. CONCRETE AND MASONRY WORKS.......................................</t>
  </si>
  <si>
    <t xml:space="preserve"> The Department of Agriculture-RFO 3, invites interested suppliers to submit quotations/proposals for the hereunder requirement, to wit: SUPPLY AND DELIVERY OF:	 			 2	pcs	VOLUMENTRIC FLASK, 2L	 		- Capacity: 2000mL; height: 357mm;	 		- Outer diameter: 158</t>
  </si>
  <si>
    <t xml:space="preserve"> INVITATION TO BID FOR THE REBIDDING ON THE PROVISION OF LABOR, MATERIALS, EQUIPMENT AND OTHER INCIDENTALS NEEDED FOR THE REHABILITATION/IMPROVEMENT OF SARICAO SMALL WATER IMPOUNDING PROJECT (SWIP) AT BRGY. SARICAO, VINTAR, ILOCOS NORTE 1.	The Department o</t>
  </si>
  <si>
    <t xml:space="preserve"> Republic of the Philippines DEPARTMENT OF PUBLIC WORKS AND HIGHWAYS ILOILO 4TH  DISTRICT ENGINEERING OFFICE REGIONAL OFFICE VI Bolong Este, Sta. Barbara, Iloilo INVITATION   TO   BID   FOR   THE   SUPPLY/DELIVERY OF OIL FILTERS, TIRES AND OIL &amp; LUBRICANTS</t>
  </si>
  <si>
    <t xml:space="preserve"> Please see attached Purchase Request for reference</t>
  </si>
  <si>
    <t xml:space="preserve"> Republic of the Philippines          City of Dumaguete Bids and Awards Committee INVITATION TO BID FOR PURCHASE REQUEST OF 14 LGTHS DEFORMED STEEL BAR (16MMØ X 6.0M) AND OTHER ITEMS 	The City of Dumaguete thru its BIDS AND AWARDS COMMITTEE (BAC), invites </t>
  </si>
  <si>
    <t xml:space="preserve"> To provide electric hand dryers in all comfort rooms of the branch</t>
  </si>
  <si>
    <t xml:space="preserve"> 8 units 30watts Solar light Street lamp installed in 3"0 c 6.0m G.I Pipe (sch 40) ans stable concrete pedestal</t>
  </si>
  <si>
    <t xml:space="preserve"> The Department of Agriculture-RFO 3, invites interested suppliers to submit quotations/proposals for the hereunder requirement, to wit: 55	box	Surgical Face Mask, 3 ply, 50 pcs/box	 5	box	Surgical Gloves, 100 pcs/box	 3	set	Foot operated hand sanitizer	 1</t>
  </si>
  <si>
    <t xml:space="preserve"> LOT 1									 1	Unleaded Gasoline 							1	lot	6,160.00 										 	Terms &amp; Condition:									 	1. the Supplier shall part to Serve Within Three  (3) Days upon 									 	receipt of the advice from the Engineer until the project									 	is Completed		</t>
  </si>
  <si>
    <t xml:space="preserve"> Republic of the Philippines									 DEPARTMENT OF PUBLIC WORKS AND HIGHWAYS									 REGIONAL OFFICE NO. IV-A									 EDSA, Quezon City									 Name of Procuring Entity :				Request for Quotation (P.R. No.):				2020-03-0007	 Revised on		:					Date:	Jun</t>
  </si>
  <si>
    <t xml:space="preserve"> See attached ITB No. GOODS-20-108 and print Bid Notice Abstract</t>
  </si>
  <si>
    <t xml:space="preserve"> Invitation to Bid For   Supply and Delivery of 11,360 bundles Clear Plastic Jacket for Savings, Signature Card  and 10,400 reams Whitewove Paper Mimeo 1.	The LAND BANK OF THE PHILIPPINES (LANDBANK), through its Corporate Budget for the contract approved b</t>
  </si>
  <si>
    <t xml:space="preserve"> The Local Government Unit – Quinapondan, Eastern Samar, through its Bids &amp; Awards Committee (BAC ), intends to apply the sum of One Hundred Fifty Five Thousand Four Hundred Sixty One Pesos and 76/100 (Php155,461.76) under the approved Appropriation Ordina</t>
  </si>
  <si>
    <t xml:space="preserve"> Smoke Emission Testing of 1x560kw Volvo genset Parameters : 1	Nitrogen Oxide (NOx) 2	Carbon Monoxide (CO) 3	Sulfur Oxide (Sox) 4	Particulate Matter (PM) 5	Sulfur Dioxide(SO2) Scope of Works: 1.	Perform Source Emission Monitoring to determine compliance to</t>
  </si>
  <si>
    <t xml:space="preserve"> 1 lot 2020-052, CONCRETING OF ROAD FROM PUROK 5-PUROK 9, SAN ISIDRO, MIDSAYAP, COTABATO</t>
  </si>
  <si>
    <t xml:space="preserve"> Item No.	Qty	Unit	Article / Description 1	10	reams	Bookpaper, A4, 70 gsm, Subs.20 2	5	reams	Bookpaper, Legal, 70gsm, Subs.20 3	4	bots.	Epson Ink, L3310 4	4	bots.	Epson Ink, L360 5	5	pcs	Ring Binder, 1 inch. 6	1	pc	Manual Dater, 8-digits</t>
  </si>
  <si>
    <t xml:space="preserve"> City Government of La Carlota								          Standard Form Number: SF-GOOD-59 Revised on: May 24, 2004 Standard Form Title: REQUEST FOR QUOTATION 												Date: ______________												              Quotation No.________ Company Name Address 	Pleas</t>
  </si>
  <si>
    <t xml:space="preserve"> Republic of the Philippines Province of Oriental Mindoro Municipality of Bulalacao Invitation to Bid for   IMPROVEMENT OF BULALACAO BAY PARK FOR URBAN GREENING/EXPANSION OF FISH LANDING PORT            June 1, 2020 1.	The Municipality of Bulalacao, throug</t>
  </si>
  <si>
    <t xml:space="preserve"> CONSTRUCTION OF PERIMETER FENCE WITH PERGOLA OF EARLY CHILDHOOD CARE AND DEVELOPMENT CENTER AT POBLACION ZONE II, JAVIER LEYTE. TERMS AND CONDITIONS : 1.	Supply and Delivery of  Labor and Materials for the Construction of Perimeter Fence with Pergola of E</t>
  </si>
  <si>
    <t xml:space="preserve"> 1 lot 2020-054, CONCRETING OF BARANGAY ROAD FROM BARANGAY HALL TO PUROK 6, MALAMOTE, MIDSAYAP, COTABATO</t>
  </si>
  <si>
    <t xml:space="preserve"> Republic of the Philippines Province of Iloilo Municipality of Lemery Invitation to Bid 1.	The Barangay  Velasco,  Lemery, Iloilo, through  General Fund  intends to apply the sum of One Hundred Fifty Three Thousand Three Hundred Pesos ( P153,300.00 ) bein</t>
  </si>
  <si>
    <t xml:space="preserve"> ITEM	ITEM  DESCRIPTION	QTY	UNIT NO.			 1	Rental of Equipment (includes fuel, oil and operator) BACKHOE	4	days</t>
  </si>
  <si>
    <t xml:space="preserve"> Republic of the Philippines Office of the Punong Barangay BIDS AND AWARDS COMMITTEE Dirdirig Burgos, Ilocos Sur INVITATION TO BID The Barangay Government of Dirdirig, Burgos, Ilocos Sur, through its Bids and Awards Committee (BAC) invites bids for the her</t>
  </si>
  <si>
    <t xml:space="preserve"> I N V I T A T I O N   T O   B I D  The Visayas State University (VSU) through its Bids and Awards Committee (BAC) invites contractors to bid for the hereunder project: Name of Project 	:  Completion of Covered Court of VSU Isabel (INFRA-20-05) Location		:</t>
  </si>
  <si>
    <t xml:space="preserve"> Item No.	Qty	Unit	Article / Description 1	20	bottles	EPSON L3110 Ink 003 - Black 2	20	bottles	EPSON L3110 Ink 003 - Yellow 3	20	bottles	EPSON L3110 Ink 003 - Cyan 4	20	bottles	EPSON L3110 Ink 003 - Magenta</t>
  </si>
  <si>
    <t xml:space="preserve"> PROCUREMENT OF CONSTRUCTION MATERIALS AND SUPPLIES</t>
  </si>
  <si>
    <t xml:space="preserve"> Purchase of materials and supplies for the repair and maintenance of transportation equipment.</t>
  </si>
  <si>
    <t xml:space="preserve"> LGU-BINUANGAN would like to invite all interested bidders/suppliers to supply and the delivery of Construction Materials for the Rehabilitation of Movable Stage with an ABC of Fifty Nine Thousand Pesos Only (59,000.00).</t>
  </si>
  <si>
    <t xml:space="preserve"> The Department of Agriculture-RFO 3, invites interested suppliers to submit quotations/proposals for the hereunder requirement, to wit: 		MEALS &amp; SNACKS	 		July 2, 2020	 25	pax	AM Snacks - Nilagang Saging, Mani at Itlog, Buko Juice	 25	pax	Lunch - Rice, P</t>
  </si>
  <si>
    <t xml:space="preserve"> Republic of the Philippines                   Department of Health	       CENTRAL OFFICE BIDS AND AWARDS COMMITTEE  INVITATION TO BID FOR THE PROCUREMENT OF LINK LOAD BALANCER IB NO. 2020-219 1.	The Department of Health (DOH), through the General Appropri</t>
  </si>
  <si>
    <t xml:space="preserve"> Republic of the Philippines          City of Dumaguete Bids and Awards Committee INVITATION TO BID FOR PURCHASE REQUEST OF 304 BAGS PORTLAND CEMENT (40 KGS/BAG) AND OTHER ITEMS 	The City of Dumaguete thru its BIDS AND AWARDS COMMITTEE (BAC), invites all i</t>
  </si>
  <si>
    <t xml:space="preserve"> For recabling of CCTV Perimeter Backbone</t>
  </si>
  <si>
    <t xml:space="preserve"> Republic of the Philippines Department of Education Region VIII SCHOOLS DIVISION OF TACLOBAN CITY Tacloban City INVITATION TO BID Project No.: CY 2020_QRF (REPAIR)-Lot 3 1. The Department of Education (DepED) Division of Tacloban City, through the General</t>
  </si>
  <si>
    <t xml:space="preserve"> Please submit your quotation for the following items on or before 5:00PM on Jun 22, 2020. ITEM D E S C R I P T I O N QTY. UNIT  1 Computer, Laptop 2 unit Technical Specification Requirements: Operating System : Windows 10 Home Processor : Intel Core i7-10</t>
  </si>
  <si>
    <t xml:space="preserve"> 1 unit Submersible pump assembly 5HP (multi-stage) w/ pull-out &amp; installation - good quality 1 unit Panel board 5HP &amp; accessories including installation &amp; repair of submersible pump</t>
  </si>
  <si>
    <t xml:space="preserve"> Republic of the Philippines BARANGAY PALINDAN Ibaan, Batangas INVITATION TO BID The Barangay Government of Palindan, Ibaan, Batangas through its Bids and Awards Committee (BAC), invites contractors registered with and classified by the Philippine Contract</t>
  </si>
  <si>
    <t xml:space="preserve"> Contract ID: 20PL0115 Contract Name: Upgrading/Improvement of Local Road from Employees Village-Upper CARAA Ground-NIA Access Road, Bulanao, Tabuk City, Kalinga Contract Location: Tabuk City, Kalinga Brief Description: Construction of 210m x 6.1m x 0.23m </t>
  </si>
  <si>
    <t xml:space="preserve"> EXECUTIVE TABLE TOP GLASS 34X60X1/4 ALLWOOD MULTI PURPOSE SIDE TABLE  VARNISH FINISH 19X46 SIDE TABLE TOP GLASS 19X46X1/4 EXECUTIVE CHAIR, LEATHER COMBI BLINDS 71X65 COMBI BLINDS 71X53</t>
  </si>
  <si>
    <t xml:space="preserve"> Republic of the Philippines  Province of Cebu Municipality of Boljoon INVITATION TO BID FOR the purchase of IT Supplies 1.	The Municipality of Boljoon, through the PHILHEALTH Capitation in the amount of Seventy One  thousand Nine hundred Eighty nine pesos</t>
  </si>
  <si>
    <t xml:space="preserve"> PROJECT: PURCHASE OF ASSISTED DEVICE LOCATION:RIZAL, NUEVA ECIJA SOURCE OF FUND: GENERAL FUND ABC: PHP 100,000.00</t>
  </si>
  <si>
    <t xml:space="preserve"> Republic of the Philippines Municipality of Taytay Taytay, Palawan NOTICE TO BIDDERS Item # Qty Unit Description Amount 1.	30	set	Seaweeds Paraphernalias                                               1 roll rope #20                                        </t>
  </si>
  <si>
    <t xml:space="preserve"> Procurement of various Medical Equipment.</t>
  </si>
  <si>
    <t xml:space="preserve"> Please submit your quotation for the following items on or before 5:00PM on Jun 22, 2020. ITEM D E S C R I P T I O N QTY. UNIT UNIT COST TOTAL COST 1 Lab. Accs, Free Standing Electrode Stand with Swivel Arm, 01X081600 1 pc 2 Lab. Accs, General Purpose Pla</t>
  </si>
  <si>
    <t xml:space="preserve"> Item No.	Qty	Unit	Article / Description 1	20	reams	PAPER, MULTICOPY, 80gsm, size :Legal (216mm x 330mm ) 2	30	reams	PAPER, MULTICOPY, 80gsm, size: A4 (210mm x 297mm)</t>
  </si>
  <si>
    <t xml:space="preserve"> Item No.	Qty	Unit	Article / Description 1	33	reams	PAPER, MULTICOPY, 80gsm, size: A4 (210mm x 297mm)</t>
  </si>
  <si>
    <t xml:space="preserve"> Construction of 0.20m X 4.00m X 90.00m  Climate Proofed Concrete Pavement to  include demolition of existing structure,  embankment, concrete works (includes  rectification of concrete steps-one side), and  masonry worksi</t>
  </si>
  <si>
    <t xml:space="preserve"> PURCHASE OF 3 UNITS AIRCONDITION</t>
  </si>
  <si>
    <t xml:space="preserve"> Name of Project:      1. Construction of Road Rehabilitation - KM 5 Sarmiento  Location:                      Brgy, Cabinuangan, New Bataan, Davao De Oro Brief Description:      PR# MEO-300-2020-02-020                    Item  No.	Quantity	Unit of Issue	I</t>
  </si>
  <si>
    <t xml:space="preserve"> The Department of Agriculture-RFO 3, invites interested suppliers to submit quotations/proposals for the hereunder requirement, to wit: 400	pc	Trigger Sprayer, 1.5 liters capacity	 			 400	pc	Hand Trowel, heavy duty	 			 400	pc	Seedling Tray, 140 holes	 	</t>
  </si>
  <si>
    <t xml:space="preserve"> The Department of Agriculture-RFO 3, invites interested suppliers to submit quotations/proposals for the hereunder requirement, to wit: 		MEALS &amp; SNACKS	 		August 6, 2020	 25	pax	AM Snacks - Nilagang Saging, Mani at Itlog, Buko Juice	 25	pax	Lunch - Rice,</t>
  </si>
  <si>
    <t xml:space="preserve"> 3 pcs 12V battery, disposable, 11 plates 2 pcs Fuel filter cartridge, 4D56/mil. jeep 2 pcs Oil filter cartridge, 4D56/mil. jeep 1 pc Fuel filter cartridge, Foton ambulance 1 pc Oil filter cartridge, Foton ambulance</t>
  </si>
  <si>
    <t xml:space="preserve"> Installation of Solar LED Street Light at Barangay Dapnan, Baganga, Davao Oriental</t>
  </si>
  <si>
    <t xml:space="preserve"> INVITATION TO BID  for the following Projects: Construction/Rehabilitation of Water Supply/Rain Water Collector, Office of the Governor, Office of the Vice-Governor, GSO Building of the Provincial Capitol, Provincial Police Office Building, Municipal Poli</t>
  </si>
  <si>
    <t xml:space="preserve"> 1.	The Human Rights Violations Victims’ Memorial Commission, through the 2019 General Appropriations Act, intends to apply the sum of Three Million Five Hundred Thousand Pesos Only (Php 3,500,000.00) being the Approved Budget for the Contract (ABC) to pay</t>
  </si>
  <si>
    <t xml:space="preserve"> Republic of the Philippines          City of Dumaguete Bids and Awards Committee INVITATION TO BID FOR PURCHASE REQUEST OF 43 CU.M CONCRETE PREMIX (3000 PSI @ 28 DAYS) CF: 9 BAGS/CU.M 	The City of Dumaguete thru its BIDS AND AWARDS COMMITTEE (BAC), invite</t>
  </si>
  <si>
    <t xml:space="preserve"> Please see attached RFQ for the full description of the item and for terms and conditions. Please submit your quotation on or before the closing date.</t>
  </si>
  <si>
    <t xml:space="preserve"> Billboard; Excavation (Slope &amp; Foundation); Construction of Slope Protection; PCCP;  Safety &amp; Health (Construction Health and safety Requirement); Equipment Requirement: backhoe; bar cutter; bar bender; one bagger mixer; concrete vibrator; water truck(160</t>
  </si>
  <si>
    <t xml:space="preserve"> Republic of the Philippines Department of Education Region VIII SCHOOLS DIVISION OF TACLOBAN CITY Tacloban City INVITATION TO BID Project No.: CY 2020_QRF (REPAIR)-Lot 4 1. The Department of Education (DepED) Division of Tacloban City, through the General</t>
  </si>
  <si>
    <t xml:space="preserve"> Billboard; Excavation Works; RSB Works; Structural Concrete Class A; PCC Pavement (Plain); Steel Grating; Painting Works (Masonry painting); Safety &amp; Health (Construction Health and safety Requirement); Equipment Requirement:  payloader; backhoe; batching</t>
  </si>
  <si>
    <t xml:space="preserve"> LGU-BINUANGAN would like to invite all interested bidders/suppliers to supply and the delivery for the Purchase of Construction Materials for the Improvement/Rehabilitation of Water System at LGU-Binuangan, Misamis Oriental with an ABC of Eighty Four Thou</t>
  </si>
  <si>
    <t xml:space="preserve"> PROCUREMENT OF CONSTRUCTION MATERIALS AND SUPPLY FOR CONCRETING OF PRES GARCIA BRGY ROAD PHASE iv ONLY</t>
  </si>
  <si>
    <t xml:space="preserve"> UNIT	  DESCRIPTION		                  QUANTITY 	50 KVA TRANSFORMER		 I	ELECTRICAL WORKS		 A.	 Supply and Installations of Electrical Overhead Secondary Wire Suspension &amp; Service Entrance		 pcs	RSC Pipe 2 1/2"Ø		                2 pcs	Entrance Cap 2 1/2Ø		 </t>
  </si>
  <si>
    <t xml:space="preserve"> See attached documents, print Bid Notice Abstract and download ITB No. GOODS-20-109.</t>
  </si>
  <si>
    <t xml:space="preserve"> Please submit your quotation for the following items on or before 5:00PM on Jun 22, 2020. ITEM D E S C R I P T I O N QTY. UNIT  1 Lab. Accs, Crucible Tong (Metal) 2 pc 2 Lab. Accs, Laboratory Wrapping Film, 4`` x 125 ft. 1 roll 3 Magnetic Stir Bar, PTFE -</t>
  </si>
  <si>
    <t xml:space="preserve"> PR2020-05-015 - Purchase and delivery of Vehicle Parts and Accessories for use of various vehicles assigned at the Maintenance Section, This Office</t>
  </si>
  <si>
    <t xml:space="preserve"> Name of Project:      1. Construction of Drainage Canal, C.M. Recto Street  Location:                      Brgy, Cabinuangan, New Bataan, Davao De Oro Brief Description:      PR# MEO-300-2020-02-021                    Item  No.	Quantity	Unit of Issue	Item</t>
  </si>
  <si>
    <t xml:space="preserve"> 1 unit Electric fan (rota air) 1 unit Refrigerator 1 unit Projector</t>
  </si>
  <si>
    <t xml:space="preserve"> Please submit your quotation for the following items on or before 5:00PM on Jun 22, 2020. ITEM D E S C R I P T I O N QTY. UNIT 1 Lab. Accs, Filter Paper, 11cm (10 circles/pack) (retention rating: 8um) (for Oil &amp; Grease analysis) 1 pack 2 Lab. Accs, Filter</t>
  </si>
  <si>
    <t xml:space="preserve"> 1.) Plywood, ordinary, 3/8" = 2 sheet 2.) Coco lumber, 2" x 2" x 10' (6 piece) = 20 board feet 3.) CWN, assorted = 4 kilo 4.) Plywood, marine, 3/8" = 2 sheet 5.) Good lumber, 2" x 2" x 10' (6 piece) = 20 board feet 6.) Hinge, 3" = 8 piece 7.) Concrete nai</t>
  </si>
  <si>
    <t xml:space="preserve"> The Department of Agriculture-RFO 3, invites interested suppliers to submit quotations/proposals for the hereunder requirement, to wit: 4	unit	Knapsack Sprayer with Battery	 		Specifications:	 		Body: Plastic	 		Capacity: 16 liters	 		AMTEC Tested	 			 1	</t>
  </si>
  <si>
    <t xml:space="preserve"> Republic of the Philippines DEPARTMENT OF PUBLIC WORKS AND HIGHWAYS MISAMIS ORIENTAL 2nd DISTRICT ENGINEERING OFFICE Region X Balase Street, El Salvador City INVITATION TO BID FOR The Department of Public Works and Highways Misamis Oriental 2nd District E</t>
  </si>
  <si>
    <t xml:space="preserve"> TWO (2) pieces EXHAUST FAN ----(27,995.00 X 2) ---------- P 55,990.00 **Fan Diameter: 38" **Fan weight: 59kg **Max Speed: 450rpm **Sound at Max Speed: 60dBA **Volume: 32,000 m3h **Dimensions: 1060x400x1060mm FOUR (4) pieces INDUSTRIAL FAN----(19,780.00 x </t>
  </si>
  <si>
    <t xml:space="preserve"> CONCRETING OF BARANGAY TUBTUBA FMR Contract Location:                     Barangay Tubtuba, Tubo, Abra Brief Description:                     Concreting of Roads using PCCP (Unreinforced, 0.20m thk., 14 days) The DPWH-Abra District Engineering Office rese</t>
  </si>
  <si>
    <t xml:space="preserve"> The Zamboanga State College of Marine Sciences and Technology (ZSCMST), through its Bids and Awards Committee, is inviting PhilGEPS registered suppliers to submit its best quotation on the item/s listed below, subject to the terms and conditions below sta</t>
  </si>
  <si>
    <t xml:space="preserve"> Structure Excavation; Embankment; Structural Concrete for Fooling and Slab on Fill; Structural Concrete for Fooling Tie Beam, Girder/Beam; Reinforcing Steel of Reinforced Concrete Structures; Formworks and Falseworks; catch Basin (Concrete/CHB); Plumbing </t>
  </si>
  <si>
    <t xml:space="preserve"> Construction of Concrete “Mabuhay Silvino  Lubos” Signage to include earthworks and  concrete works (footing, pedestal, slab on  grade, concrete signage).</t>
  </si>
  <si>
    <t xml:space="preserve"> The Department of Agriculture-RFO 3, invites interested suppliers to submit quotations/proposals for the hereunder requirement, to wit: 1	roll	Garden Hose with nozzle, 100ft long x 1/2"; 3ply heavy duty construction; bursting pressure of 300PSI; special i</t>
  </si>
  <si>
    <t xml:space="preserve"> 20 boxes N95 mask 3 pcs Oxygen holder 3 pcs Oxygen tank w/ regulator 30 pcs Torniquet 3 unit Wheel chair 3 units BP w/ stand 5 unit Nebulizer pulmo aid</t>
  </si>
  <si>
    <t xml:space="preserve"> Construction of 1 unit Multi-Purpose Pavement (0.10 x 17 x 28 M) at Sitio Obian 2, Barangay San Victor, Baganga, Davao Oriental.</t>
  </si>
  <si>
    <t xml:space="preserve"> CONCRETING OF BARANGAY ALANGTIN FMR Contract Location:                     Barangay Alangtin, Tubo, Abra Brief Description:                     Concreting of Roads using PCCP (Unreinforced, 0.28m thk., 14 days) The DPWH-Abra District Engineering Office re</t>
  </si>
  <si>
    <t xml:space="preserve"> Republic of the Philippines Municipality of Taytay Taytay, Palawan NOTICE TO BIDDERS Item # Qty Unit Description Amount 1.	50	 units   Pumpboat Engine:                                                                                      Specs:ME68 Gasolin</t>
  </si>
  <si>
    <t xml:space="preserve"> 265 bags Portland cement 14 cu.m Sand 21 cu.m Gravel</t>
  </si>
  <si>
    <t xml:space="preserve"> Republic of the Philippines Province of South Cotabato BIDS AND AWARDS COMMITTEE Salada Street, Poblacion Tupi, South Cotabato Tel. Fax No.: (083) 226-1045 INVITATION TO BID FOR THE SUPPLY AND DELIVERY OF ONE (1) UNIT UTILITY VEHICLE (PICK UP) 1.	The Muni</t>
  </si>
  <si>
    <t xml:space="preserve"> See attached document, print Bid Notice Abstract and download ITB No. GOODS-20-111.</t>
  </si>
  <si>
    <t xml:space="preserve"> TWO (2) UNITS LARGE FORMAT A3 PRINTER -----( 52,640.00 X 2 )------ P 105,280.00 **Maximum Print Resolution: 5760x1140 dpi **Size: 13" **Nozzle Configuration: 180 nozzles x 8 **Media Feeding: roll or cut sheets **Ink Type: Pigment Based **Ink Pallete: 8 co</t>
  </si>
  <si>
    <t xml:space="preserve"> Construction of PDAO Office Extension Building at Municipal Complex, Baganga, Davao Oriental.</t>
  </si>
  <si>
    <t xml:space="preserve"> Replacement of Roofing panels of legislative  building, replacement of 5 units steel  windows to aluminum sliding windows and  converting of roofing to concrete slab of ABC  Building.</t>
  </si>
  <si>
    <t xml:space="preserve"> Republic of the Philippines Province of Agusan del Norte Municipality of Nasipit Invitation to Bid for the Improvement of Public Bus Terminal (Road Concreting of the Rear Portion of Bus Terminal) and Construction of Public Bus Terminal Drainage System, Br</t>
  </si>
  <si>
    <t xml:space="preserve"> The Municipal Government of Magsaysay, Palawan, through its Bids and Awards Committee (BAC), will undertake a Small Value Procurement for the “Office Devices for Isolation Unit” in accordance with Section 53.9 of the Implementing Rules and Regulations of </t>
  </si>
  <si>
    <t xml:space="preserve"> In line with the Provisions of R.A. 9184, otherwise known as Government Procurement Reform Act. Barangay 378, Zone 38, District III, Invites you to bid in relation to the procurement and delivery of the Barangay Information Transaction System (BITS), spec</t>
  </si>
  <si>
    <t xml:space="preserve"> GO-2020-0149 Rebidding INVITATION TO BID FOR THE PROCUREMENT OF FUEL (DIESEL) FOR USE AT THE OFFICE OF THE GOVERNOR AND ITS SATELLITE OFFICES INCLUDING IN THE DELIVERY OF ALL MEDICINES TO ALL HOSPITALS IN THE PROVINCE OF BOHOL ABC: P 1,185,332.59 COST OF </t>
  </si>
  <si>
    <t xml:space="preserve"> 580 pcs Drug testing kits</t>
  </si>
  <si>
    <t xml:space="preserve"> Republic of the Philippines Department of Education Region VIII SCHOOLS DIVISION OF TACLOBAN CITY Tacloban City INVITATION TO BID Project No.: CY 2020_QRF (REPAIR)-Lot 5 1. The Department of Education (DepED) Division of Tacloban City, through the General</t>
  </si>
  <si>
    <t xml:space="preserve"> UNIT	  DESCRIPTION		QUANTITY 105	Subgrade Preparation		 	A = 345m x 5m		 	Qty.= 1794 sq.m		 I- Equipment Rental:			 	1 Road Grader  for 6 hours		 	1 Road Roller    for 6 hours		 			 II- Labor:			 	1 Foreman  for 0.5 day(s)		 	2 Laborers  for 0.5 day(s)		 </t>
  </si>
  <si>
    <t xml:space="preserve"> Republic of the Philippines PROVINCE OF LANAO DEL NORTE MUNICIPALITY OF LALA Office of the Municipal General Services                                                                                         _________________                                </t>
  </si>
  <si>
    <t xml:space="preserve"> Republic of the Philippines Municipality of Taytay Taytay, Palawan NOTICE TO BIDDERS Item # Qty Unit Description Amount 1.	691	bags  Cement  2.	21	kgs	CW Nails #4 3.	16	kgs 	CW Nails #3 4.	10	kgs 	CW Nails #2.5  5.	4	rolls 	Nylon #100 6.	583	pcs 	RSB 10mm</t>
  </si>
  <si>
    <t xml:space="preserve"> See attached document, print Bid Notice Abstract and download ITB No. GOODS-20-110.</t>
  </si>
  <si>
    <t xml:space="preserve"> 1. FIRE EXTINGUISHER CONTAINS ABC, DRY CHEM     100LBS, MONO AMMONIUM PHOSPHATE     WITH WHEEL 2. LADDER, ELECTRICIAN, EXTENDABLE     AT LEAST 32 FT, FIBERGLASS, 300LBS LOAD CAP DELIVERY SITE: OM-BOD OFFICE                          PEÑAFRANCIA, DARAGA, AL</t>
  </si>
  <si>
    <t xml:space="preserve"> 40 PCS One step rapid test</t>
  </si>
  <si>
    <t xml:space="preserve"> E-Billboard and Bulletin Board Maintenance</t>
  </si>
  <si>
    <t xml:space="preserve"> INVITATION TO BID FOR PROCUREMENT OF JANITORIAL SERVICES 2020 FOR NORSU CAMPUSES Project Reference No.: GOOD2020-02-01 1. The Negros Oriental State University (NORSU) Campuses and the Bids and Awards Committee (BAC), through General Appropriation and Allo</t>
  </si>
  <si>
    <t xml:space="preserve"> Municipality of Danao			  Name of the Procuring Entity	 Standard Form Number: SF-GOOD-60 Revised on: May 24, 2004 Standard Form Title: Request for Quotation REQUEST FOR QUOTATION Date: June 10, 2020 ___________________________________________ COMPANY NAME</t>
  </si>
  <si>
    <t xml:space="preserve"> Construction of Monreal Municipal Port</t>
  </si>
  <si>
    <t xml:space="preserve"> Barangay Road Opening:  - From NHJ Sitio Tuajon, Barangay Dapnan to Sitio Kasukan, Barangay San Victor  - From Barangay Site Saoquigue to Diversion Road.  - From Proposed Cemetery, Barangay Salingcomot  - At Ikog Buaya, Sitio Nonocan, Barangay Dapnan Phas</t>
  </si>
  <si>
    <t xml:space="preserve"> 2020-06-00115 Construction Materials and Supplies 5 piece Wooden Float (4 x 6 inches) 1 unit Bagger Mixer             *Type: Air-cooled, 4-cycle single cylinder side value,                gasoline engine             *Continuous output:4.0Kw/3600rpm(5.5HP/</t>
  </si>
  <si>
    <t xml:space="preserve"> See associated components for complete details</t>
  </si>
  <si>
    <t xml:space="preserve"> CONTRACT NO.: BNLSL-LCB-24-2020 LOCATION: Montebello SIP, Kananga, Leyte SCOPE OF WORK: Construction of Diversion Works, Canal, Farm Level and Road System APPROVED BUDGET FOR CONTRACT: Php 18,834,953.01 CONTRACT DURATION: 360 calendar days Bidding will be</t>
  </si>
  <si>
    <t xml:space="preserve"> INVITATION TO SUBMIT PRICE QUOTATION The Nueva Ecija University of Science and Technology (NEUST) through the Bids and Awards Committee (BAC), hereby invites all interested contractors registered with the Philippine Government Electronic Procurement Syste</t>
  </si>
  <si>
    <t xml:space="preserve"> The Department of Agriculture-RFO 3, invites interested suppliers to submit quotations/proposals for the hereunder requirement, to wit: 		Solvents	 73	btl	ALCOHOL, ethyl, 68%-70%, scented, 500ml (-5ml)	 			 		Films	 6	roll	ACETATE, thickness: 0.075mm min </t>
  </si>
  <si>
    <t xml:space="preserve"> 46 pcs. - 3" dia. UPVC Pipe 1 set - 4x8 Tarpaulin with Frame Signboard</t>
  </si>
  <si>
    <t xml:space="preserve"> Republic of the Philippines Municipality of Taytay Taytay, Palawan NOTICE TO BIDDERS Item # Qty Unit Description Amount 1.	1	pc	Radiator  2.	2	pcs	Rubber Patch (50 mm) 3.	2	pcs	Rubber Patch (65 mm) 4.	2	pcs	Vulcanizing Solution  5.	1	pc	Tire Guage (Brass)</t>
  </si>
  <si>
    <t xml:space="preserve"> The DENR-Provincial Environment and Natural Resources Office (PENRO) Zamboanga del Sur, through its Bids and Awards Committee, invites interested LGUs, People's Organizations (PO's), Non-Government Organization (NGO's), and Cooperatives to participate in </t>
  </si>
  <si>
    <t xml:space="preserve"> CMUPRES LC RAZALO		 1	1	Unit	Digital Duplicator	 			Print Speed: At least 130ppm and up	 			Paper feed table capacity: At least 1000 sheets and up	 			Paper weight: 45 - 210 gsm	 			Power consumption: max 220 W	 			Power: 160 W, TEC: 2.23 KWh	 			Heavy du</t>
  </si>
  <si>
    <t xml:space="preserve"> The Department of Agriculture-RFO 3, invites interested suppliers to submit quotations/proposals for the hereunder requirement, to wit: ITEM NO.	QTY.	UNIT	ITEMS &amp; DESCRIPTION		UNIT PRICE	TOTAL AMOUNT	BRAND/MODEL 							 	3	box	VerifyTMDisposal Biological </t>
  </si>
  <si>
    <t xml:space="preserve"> PHO-2020-037 Rebidding INVITATION TO BID FOR THE PROCUREMENT OF LAPTOPS, DESKTOP COMPUTERS, EXTERNAL HARD DRIVE, PRINTER, UPS, HANDHELD RADIO, HANDHELD BARCODE READER KIT, AND DSLR CAMERA WITH LENS TO BE USED IN THE OFFICE IT OPERATIONS (ADMIN, WARD, LABO</t>
  </si>
  <si>
    <t xml:space="preserve"> Republic of the Philippines PROVINCE OF ZAMBOANGA DEL NORTE Municipality of Godod BARANGAY SIORAN INVITATION TO BID FOR PROPOSED SPRING DEVELOPMENT REHABILITATION Sioran, Godod, Zamboanga del Norte 1.	The Barangay Local Government Unit of Sioran, Godod, Z</t>
  </si>
  <si>
    <t xml:space="preserve"> Procurement of One (1) unit Brand New Van (for Mobile Blood Donation).</t>
  </si>
  <si>
    <t xml:space="preserve"> Republic of the Philippines Department of Health Central Luzon Center for Health Development Talavera General Hospital Talavera, Nueva Ecija   ISO QMS Certified INVITATION TO BID  SUPPLY AND DELIVERY OF ONE (1) LOT HEALTH MANAGEMENT SYSTEM WITH STRUCTURED</t>
  </si>
  <si>
    <t xml:space="preserve"> REQUEST FOR EXPRESSION OF INTEREST (REI)  FOR THE (20CSNH03) Consulting Services for the Conduct of Soil Exploration And/Or Geotechnical Investigation in Preparation of the Preliminary &amp; Detailed Engineering of Proposed Various FY 2021 Regular Infrastruct</t>
  </si>
  <si>
    <t xml:space="preserve"> Republic of the Philippines Department of Education Region VIII SCHOOLS DIVISION OF TACLOBAN CITY Tacloban City INVITATION TO BID Project No.: CY 2020_QRF (REPAIR)-Lot 6 1. The Department of Education (DepED) Division of Tacloban City, through the General</t>
  </si>
  <si>
    <t xml:space="preserve"> Republic of the Philippines              CITY GOVERNMENT OF TACURONG Alunan Highway, Tacurong City Sultan Kudarat BIDS AND AWARDS COMMITTEE              Tel nos.(064) 562-0128 / Telefax no. (064) 477-0138     www.tacurong.gov.ph      REQUEST FOR QUOTATION</t>
  </si>
  <si>
    <t xml:space="preserve"> Republic of the Philippines OFFICE OF THE PUNONG BARANGAY Barangay BASIRANG Province of Misamis Occidental INVITATION TO BID The Office of the Punong Barangay of Barangay BASIRANG through its Bids and Awards Committee [BAC], invites supplier/s registered </t>
  </si>
  <si>
    <t xml:space="preserve"> CONTRACT NO.: BNLSL-LCB-28-2020 LOCATION: Cambalading SIP, Albuera, Leyte SCOPE OF WORK: Construction of Diversion Works, Canal and Farm Level System (Package I)  APPROVED BUDGET FOR CONTRACT: Php 17,805,795.61 CONTRACT DURATION: 360 calendar days Bidding</t>
  </si>
  <si>
    <t xml:space="preserve"> 4 pcs Tire, tubeless 195 R15 2 pcs Tire, tubeless 235/75 R15</t>
  </si>
  <si>
    <t xml:space="preserve"> 241 - Supply and Delivery of Medical and Dental supplies for SDSSU Tandag Campus</t>
  </si>
  <si>
    <t xml:space="preserve"> The Department of Agriculture-RFO 3, invites interested suppliers to submit quotations/proposals for the hereunder requirement, to wit: 		Solvents	 130	btl	ALCOHOL, ethyl, 68%-70%, scented, 500 mL (-5mL)	 		Films	 1	roll	ACETATE, thickness: 0.075mm min (g</t>
  </si>
  <si>
    <t xml:space="preserve"> 2020-06-00118 Construction Materials and Supplies 2	tank	Plastic Overhead tank 2 tons 2	unit	Stainless Sink (Single) 5	kg	Welding Rod E6013 4	piece	Angle Bar 3/16 dia. x 2" 6	piece	Marine Plywood 3/4" 2	piece	Reducer 3/4-1/2 10	piece	Elbow 1/2" 90 degree </t>
  </si>
  <si>
    <t xml:space="preserve"> 243 - Supply and Delivery of Office Supplies (STF) for SDSSU Tandag Campus</t>
  </si>
  <si>
    <t xml:space="preserve"> 3	Units	LAPTOP 	Processor	Intel Core i7-9750H processor (12MB-Smart Cache,2.6 GHz with Turbo Boost up to 4.5GHz,DDR4) 	Memory	8 GB of DDR4 system memory upgradable to 32 GB using two soDIMM 	Video card	NVIDIA GeForce GTX 1660 Ti with 6GB of dedicated GDDR</t>
  </si>
  <si>
    <t xml:space="preserve"> Republic of the Philippines CITY OF PANABO Province of Davao del Norte BIDS AND AWARDS COMMITTEE -o0o- INVITATION TO BID  SUPPLY OF LAPTOP WITH COMPLETE ACCESSORIES &amp; 3 IN 1 PRINTER (REBID) 1.	The City of Panabo, through CAGRO / ICT EQUIPMENT-TRUST FUND-0</t>
  </si>
  <si>
    <t xml:space="preserve"> CONTRACT NO.: BNLSL-LCB-28A-2020 LOCATION: Cambalading SIP, Albuera, Leyte SCOPE OF WORK: Construction of Supplementary Dam APPROVED BUDGET FOR CONTRACT: Php 5,859,258.63 CONTRACT DURATION: 180 calendar days Bidding will be conducted in accordance with re</t>
  </si>
  <si>
    <t xml:space="preserve"> 1	25	pcs	knife, budding, STAINLESS HD 2	12	pcs	bolo,  STAINLESS HD 3	5	pcs	basin, rubberized 4	10	pcs	broomstick 5	25	pcs	pail, 12 liters 6	5	pcs	saw, pruning HD 7	5	pcs	shear,hedge HD 8	5	pcs	kitchen, knife, stainless HD 9	5	pcs	cutter, HD 10	5	pcs	plier</t>
  </si>
  <si>
    <t xml:space="preserve"> RE-INVITATION TO BID The DPWH-Regional Office No. III,  through  its  Bids  and  Awards  Committee  (BAC),  invites contractors to submit bids for the Contract below: Procurement ID/Contract ID:    20C00046 Contract Name:      Construction of the DENR – E</t>
  </si>
  <si>
    <t xml:space="preserve"> INVITATION TO BID FOR Procurement of Security Manpower Services FY 2020 for NORSU Campuses Project Reference No.: GOOD2020-03-03 1. The Negros Oriental State University (NORSU) Campuses and the Bids and Awards Committee (BAC), through General Appropriatio</t>
  </si>
  <si>
    <t xml:space="preserve"> Allopurinol 300mg caps 100's	30	box Aluminum Magnesium 200mg tab 500's	50	box Amlodipine 10mg tablet 100's	70	box Amoxicillin 500mg capsule 100's	200	box Anti-fungal ointment	70	tubes Anti-Scabies Ointment	50	tubes Ascorbic Acid	1000	box Aspirin 80mg tabs</t>
  </si>
  <si>
    <t xml:space="preserve"> PEO-2020-0065 &amp; 2020-0082 Rebidding INVITATION TO BID FOR THE PROCUREMENT OF AGGREGATE SUBBASE COURSE (ANAPOG) FOR MANUAL PATCHING, MANUAL REPAIR OF UNPAVED SURFACE AND ROAD RESURFACING ROAD OF PMD II SET 1 AND 2 ABC: P 2,842,000.00 COST OF BID DOCUMENTS:</t>
  </si>
  <si>
    <t xml:space="preserve"> PHILIPPINE TEXTILE RESEARCH INSTITUTE								 General Santos Avenue, Bicutan, Taguig City								 Telephone No. 8372071 Local 2373 &amp; 2366; Telefax No. 8370744								 								 Request for Quotation								 								 							Date	09-Jun-2020 							Quotation</t>
  </si>
  <si>
    <t xml:space="preserve"> Construction of Masonry Drainage Structure, Along Del Rosario Street, Centro 06, Tuguegarao City, Cagayan</t>
  </si>
  <si>
    <t xml:space="preserve"> 2 set - Heavy Duty Tent</t>
  </si>
  <si>
    <t xml:space="preserve"> •	Laptop      -    3 Units         AMD Ryzen 5-3500U 2.10GHz         8GB DDR4 m.2 NVMe SSD Storage   •	Laptop      -    1 Unit         Intel core i7         8GB memory         1Tb HDD+256GB SSD Storage         Nvidia 940MX 2GB         15.6 Full HD Display</t>
  </si>
  <si>
    <t xml:space="preserve"> Rehabilitation of of Sunrise Boulevard, Barangay Dapnan, Baganga, Davao Oriental</t>
  </si>
  <si>
    <t xml:space="preserve"> 1	1	Unit	Hydraulic Hot stamping Machine 			1 Power: 380V 50HZ 			2 Stamping area 400 * 600mm 			3 Table area: 520 * 800mm 			4 Heating power: 6400W 			5 Motor power : 3700W 			6 Maximum pressure: 60T 			7 Bronzing thickness &lt; 75mm 			8 Stamping temperatur</t>
  </si>
  <si>
    <t xml:space="preserve"> Supply and Delivery of Four (4) Units Motorcycle- DRR Rescue Vehicle With the Following Specifications: Engine Type: not exceeding 200cc Displacement: not exceeding 200cc Seating Capacity: 1 driver plus 8 passengers Type of Fuel: Gasoline Additional Appar</t>
  </si>
  <si>
    <t xml:space="preserve"> Provision of Labor, Materials and Equipment for the Repair of Two Units Modular Steel Tent at Prov'l. Engineering's Office, Tacloban City. SCOPE OF WORK: * Metal Structures - - - - - -&gt; 1.00 lot * Repair of Roofing Sheets-&gt;  1.00 lot w-w-w-w-w-w-w-w-w-w-w</t>
  </si>
  <si>
    <t xml:space="preserve"> Republic of the Philippines Department of Health ZAMBOANGA PENINSULA-CENTER FOR HEALTH DEVELOPMENT  Upper Calarian, Zamboanga City 7000 Phone: (062) 983-0314, (062) 983-0146, Fax: (062) 991-3380 Email: dohchdzp@yahoo.com, Web: www.doh.gov.ph Standard Form</t>
  </si>
  <si>
    <t xml:space="preserve"> Specs: 1,000 cycles   Pills 150    cycles   Lynestrenol 2,500 vials     DMPA 2,500 bxs/4s  Condom 50      btls      Alcohol 70% 500ml 20      pcs    Cotton 400grms 15   bxs/100s Syringe 5cc 50   pcs   Elastic bandage 4     bxs/24s Transparent micropore 1/</t>
  </si>
  <si>
    <t xml:space="preserve"> Republic of the Philippines CITY OF PANABO Province of Davao del Norte BIDS AND AWARDS COMMITTEE -o0o- INVITATION TO BID  SUPPLY OF UNDERWATER CAMERA WITH COMPLETE ACCESSORIES (REBID) 1.	The City of Panabo, through CAGRO / TECHNICAL &amp; SCIENTIFIC EQUIPMENT</t>
  </si>
  <si>
    <t xml:space="preserve"> Name of Project: Concreting of Farm to Market Road Location: Purok 2, Brgy Naya, Pura, Tarlac ABC: Php 500,000.00</t>
  </si>
  <si>
    <t xml:space="preserve"> INVITATION TO BID Bid No. B-81-2020  1.	The Provincial Government of Negros Oriental, through Source of Fund: 1) SP Res.#1115-2019 AO #72,Series of 2019,20% DF CY 2020; 2) SP Res.#846-2018 (20% DF,AIP 2019); 3) SP Res.#1076-2017  AO 57 Series of 2017 20 %</t>
  </si>
  <si>
    <t xml:space="preserve"> 1 unit Butt Fusion machine     GENERATOR SET / GASOLINE              Rated watts: 6,500         Surge watts: 7,000         Fuel tank capacity: 6.6 gallon         Electric starting system         Overhead value engage w/ AVR alternator         Hydraulic pr</t>
  </si>
  <si>
    <t xml:space="preserve"> Specs: 30  pcs  BP apparatus with stethoscope (aneroid) 30  pcs  Digital thermometer 800 kits  Pregnancy test kit 100  bxs/100s  Terumo syringe with needle 3ml 25 bxs/100s  Terumo syringe with needle 1ml (tuberculin) 250  btls   Alcohol 70% 500ml 50  pcs </t>
  </si>
  <si>
    <t xml:space="preserve"> Republic of the Philippines Municipality of Taytay Taytay, Palawan NOTICE TO BIDDERS Item # Qty Unit Description Amount 1.	1	unit	Word Cabinet w/glass Slide 2.	10	pcs 	Monoblock Chairs (Green) 3.	2	pcs 	Executive Chair w/arm 4.	3	pcs 	Visitor Chair 5.	1	p</t>
  </si>
  <si>
    <t xml:space="preserve"> For the general supplies of various Cebu City Government Offices.</t>
  </si>
  <si>
    <t xml:space="preserve"> INVITATION TO BID The DPWH-Regional Office No. III,  through  its  Bids  and  Awards  Committee  (BAC),  invites contractors to submit bids for the Contract below: Procurement ID/Contract ID:    20C00047 Contract Name:      Rehabilitation/Restoration of D</t>
  </si>
  <si>
    <t xml:space="preserve"> INVITATION FOR PRICE QUOTATION Date:  10 June 2020 For The Repair And Repainting Of Runway, Taxiway and Apron Markings Including Distance To-Go Markers And Stopway Markers At Legazpi Airport The Civil Aviation Authority of the Philippines (CAAP), Area Cen</t>
  </si>
  <si>
    <t xml:space="preserve"> BIDS AND AWARDS COMMITTEE REQUEST FOR QUOTATION United Coconut Planters Bank (UCPB) invites all interested suppliers, which are registered in the Philippine Government Electronic System (PhilGEPS), to submit their lowest price proposal/quotation for suppl</t>
  </si>
  <si>
    <t xml:space="preserve"> water meter, 1/2 Dia. Ball Valve (PVC with Tread), Ball Valve (PVC without Tread), PE Male Adaptor, PE Female Adaptor, PE MAle Elbow, PE female Elbow, RE Elbow, 2x1 1/2 PE Tee, 1 1/2 x 1 PE Tee, 1 1/2 PEE Coupling, 2 PE Coupling, 1 1/2 hose, 1/2 PVC Pipe,</t>
  </si>
  <si>
    <t xml:space="preserve"> Project: PURCHASE AND DELIVERY OF IT EQUIPMENT AND ACCESSORIES Location: Laurel, Batangas ABC: PHP 329,000.00 Advertisement	June 10-17, 2019	 Pre-bid Conference	-	 Submission of Letter of Intent	June 10-18, 2020	 Issuance of Bid Documents	June 10-18, 2020</t>
  </si>
  <si>
    <t xml:space="preserve"> Republic of the Philippines CITY OF PANABO Province of Davao del Norte BIDS AND AWARDS COMMITTEE -o0o- INVITATION TO BID  SUPPLY OF COMPUTER DESKTOP W/ COMPLETE ACCESSORIES &amp; PRINTER W/ SCANNER (REBID) 1.	The City of Panabo, through CAGRO / ICT EQUIPMENT-</t>
  </si>
  <si>
    <t xml:space="preserve"> REPUBLIC OF THE PHILIPPINES CITY OF MANILA OFFICE OF THE BARANGAY BIDS AND AWARDS COMMITTEE INVITATION TO BID - Motorcycle w/ Sidecar  REQUESTING OFFICER/END USER: Barangay 793 Zone 86 District 5 Approved Budget for Contract (ABC) Php 180,000.00 SOURCE OF</t>
  </si>
  <si>
    <t xml:space="preserve"> LOCAL GOVERNMENT UNIT OF NAGUILIAN , ISABELA INVITATION TO BID FOR the SUPPLY AND DELIVERY OF CONSTRUCTION MATERIALS FOR THE CONSTRUCTION OF DRAINAGE CANAL ALONG PROVINCIAL ROAD AT BARANGAY ROXAS INFRONT OF COMMERCIAL STALLS. 1.	The Local Government Unit </t>
  </si>
  <si>
    <t xml:space="preserve"> Republic of the Philippines Province of Davao del Sur MUNICIPALITY OF MATANAO -oOo- INVITATION TO BID The Local Government Unit of Matanao, Davao del Sur, through its Bids and Awards Committee (BAC), invites interested suppliers/distributors to apply for </t>
  </si>
  <si>
    <t xml:space="preserve"> Procurement of toner, drums, developing unit and spare parts for use of Photocopier Develop Ineo +221, Plotter and Comcolor GD7330 of DPWH, Iloilo 2nd DEO, Balabag, Dumangas, Iloilo</t>
  </si>
  <si>
    <t xml:space="preserve"> Republic of the Philippines CITY OF PANABO Province of Davao del Norte BIDS AND AWARDS COMMITTEE -o0o- INVITATION TO BID  SUPPLY OF COMBI BLINDS (REBID) 1.	The City of Panabo, through SPO/FURNITURE &amp; FIXTURES 2020-CAPITAL OUTLAY 2020 intends to apply the </t>
  </si>
  <si>
    <t xml:space="preserve"> Republic of the Philippines CITY OF PANABO Province of Davao del Norte BIDS AND AWARDS COMMITTEE -o0o- INVITATION TO BID  SUPPLY OF DRONE WITH COMPLETE ACCESSORIES (REBID) 1.	The City of Panabo, through CAGRO / TECHNICAL &amp; SCIENTIFIC EQUIPMENT-TRUST FUND-</t>
  </si>
  <si>
    <t xml:space="preserve"> 1	5	units	Soil moisture and ph meter, 3in1 2	5	units	Wheel Barrow, HD 3	1	unit	Comb-tooth harrow 4	1	unit	Hand tractor 5	5	units	Knapsack sprayer 6	5	units	Hand sprayer, 500 ml 7	1	unit	Power sprayer 8	2	units	Grass cutter 9	5	units	Overhead sprinkler 10	</t>
  </si>
  <si>
    <t xml:space="preserve"> CVM - MP Condino		 1	10	Unit	Steel Cabinet, heavy duty 4 -drawers	 2	4	Unit	Office Steel rack Open Steel shelves filing cabinet, 5 layers	 4	15	Unit	Executive Chair	 5	2	Unit	L Shape Sofa set, modern and simple design, leather with center table	 6	4	Set	S</t>
  </si>
  <si>
    <t xml:space="preserve"> BIDS AND AWARDS COMMITTEE REQUEST FOR QUOTATION 	The  Barangay Unit of Patawag, Labason, ZN., Invites all interested registered supplier to submit quotation for the Purchase of Construction Materials for  Carpentry Works at Barangay Hall Phase -  I Patawa</t>
  </si>
  <si>
    <t xml:space="preserve"> Specs: 100  exam  Bacteriological Examination</t>
  </si>
  <si>
    <t xml:space="preserve"> Supply and delivery of office supplies and equipments</t>
  </si>
  <si>
    <t xml:space="preserve"> Supply of Labor and materials for the installation of toilet cubicles of the councils comfort rooms</t>
  </si>
  <si>
    <t xml:space="preserve"> I N V I T A T I O N   T O   B I D  The Visayas State University (VSU) through its Bids and Awards Committee (BAC) invites contractors to bid for the hereunder project: Name of Project 	:  Completion of Covered Court of VSU Villaba (INFRA-20-06) Location		</t>
  </si>
  <si>
    <t xml:space="preserve"> Section I. Invitation to Bid Republic of the Philippines PROVINCE OF CAGAYAN Municipality of Peñablanca PROVINCIAL BIDS AND AWARDS COMMITTEE INVITATION TO BID FOR  Supply and Delivery of 40 Units Brand New Customized Police Patrol Vehicle 1.	The Provincia</t>
  </si>
  <si>
    <t xml:space="preserve"> 15 books Bookbinding - hardbound</t>
  </si>
  <si>
    <t xml:space="preserve"> 1. PUMP CENTRIFUGAL, STAINLESS STEEL, SHAFT IN MECHANICAL SEAL, SIZE: 100MM x 80MM, SUCTION AND      DISCHARGE PUMP 2. HYDRAULIC PRESS HEAVY  DUTY, 10 TON, H FRAME WITH TURBO AIR HYDRAULIC PUMP , SINGLE ACTING      CYLINDER WITH HOSE ASSY. DELIVERY SITE: </t>
  </si>
  <si>
    <t xml:space="preserve"> MAIN DOCUMENTS</t>
  </si>
  <si>
    <t xml:space="preserve"> REQUEST FOR EXPRESSION OF INTEREST (REI)  FOR THE (20CSNH04) Consulting Services for the Conduct of Soil Exploration And/Or Geotechnical Investigation in Preparation of the Preliminary &amp; Detailed Engineering of Proposed Various FY 2021 Regular Infrastruct</t>
  </si>
  <si>
    <t xml:space="preserve"> Republic of the Philippines CITY OF PANABO Province of Davao del Norte BIDS AND AWARDS COMMITTEE -o0o- INVITATION TO BID  SUPPLY OF MOBILE FORAGE COLLECTOR CAB (REBID) 1.	The City of Panabo, through CAGRO/ AGRICULTURAL &amp; FORESTRY EQUIPMENT-TRUST FUND 03-C</t>
  </si>
  <si>
    <t xml:space="preserve"> Name of Project: Concreting of Farm to Market Road Location: Purok 1, Brgy. Balite, Pura, Tarlac ABC: Php 500,000.00</t>
  </si>
  <si>
    <t xml:space="preserve"> 1	25	pcs	petri dish	 2	25	pcs	Calculator, latest edision	 3	5	unit	Puncher	 4	100	pcs	Seedling tray with different holes	 5	10	m	Agri bag/plastics	 6	1000	pcs	PE bag with different sizes	 7	10	sacks	Growing media (50kg)	 8	1	bot	Rooting hormone	 9	25	pcs	</t>
  </si>
  <si>
    <t xml:space="preserve"> INVITATION FOR PRICE QUOTATION Date:  10 June 2020 For The Repair And Maintenance Of Distribution Transformers/High Voltage Cutouts For 2 Feeder Switchyards At Legazpi Airport The Civil Aviation Authority of the Philippines (CAAP), Area Center V, Legazpi </t>
  </si>
  <si>
    <t xml:space="preserve"> UNIVERSITY OF THE PHILIPPINES MANILA The Health Sciences Center 8/F PGH Central Block Bldg,  Taft Avenue, Manila INVITATION TO BID PROPOSED OFFICE FOR DISASTER SIMULATION CENTER 2ND  FLOOR, JUAQUIN  GONZALES COMPOUND UNIVERSITY OF THE PHILIPPINES MANILA 1</t>
  </si>
  <si>
    <t xml:space="preserve"> PHILIPPINE BIDDING DOCUMENTS (As Harmonized with Development Partners) Procurement for  IMPROVEMENT OF SHELTER FOR YOUTH OFFENDER &amp; CRISIS CENTER BRGY. TINAMNAN LUCBAN, QUEZON BIDDING Government of the Republic of the Philippines Fourth Edition   Preface </t>
  </si>
  <si>
    <t xml:space="preserve"> The Department of Agriculture-RFO 3, invites interested suppliers to submit quotations/proposals for the hereunder requirement, to wit: ITEM NO.	QTY.	UNIT	ITEMS &amp; DESCRIPTION		UNIT PRICE	TOTAL AMOUNT	BRAND/MODEL 							 	5	box	Tips filtered(1000ul) steril</t>
  </si>
  <si>
    <t xml:space="preserve"> Cover All, Gloves, Face MAsk, Face Shield, Boots, Thermal Scanner, Thermometer, Oxygen Tank with Regulator, Canula-Adult, Canula-Children, BP Apparatus</t>
  </si>
  <si>
    <t xml:space="preserve"> Republic of the Philippines Department of Health REGION 1 MEDICAL CENTER Arellano Street, Dagupan City BAC Office Tel No.: (075) 523-18-65 Telefax: (075) 523-41-03 r1mcsbac2012@gmail.com Invitation to Bid for the R1MC Tubular Slatch Wind Pressure Support </t>
  </si>
  <si>
    <t xml:space="preserve"> Invitation to Bid for REPAIR OF CAS SCHOOL BUILDING AT NORSU BAYAWAN-STA. CATALINA CAMPUS INFRA2020-06-04 1. The Negros Oriental State University (NORSU), through the SPECIAL TRUST FUND (STF) intends to apply the sum Two Million Five Hundred Thousand Peso</t>
  </si>
  <si>
    <t xml:space="preserve"> COMPLETION OF BUILDING, REHABILITATION OF DOMESTIC WATER SUPPLY, CONSTRUCTION OF FOOTHPATH AND REPAIR &amp; CONSTRUCTION OF FOOTHBRIDGE PROJECT COMPONENT: 1. REPAIR OF DEPYANG I AT DALIPEY, TACADANG (PHP430,500.00). 2. COMPLETION AND IMPROVEMENT OF SADDLE CHI</t>
  </si>
  <si>
    <t xml:space="preserve"> BIDS AND AWARDS COMMITTEE REQUEST FOR QUOTATION 	The Barangay Unit of Patawag, Labason, ZN., Invites all interested registered supplier to submit quotation for the Purchase of Construction Materials for  Contrete/Masonry Works at Barangay Hall  Phase – I </t>
  </si>
  <si>
    <t xml:space="preserve"> Republic of the Philippines								 Province of Negros Occidental								 Municipality of La Castellana								 Bids and Awards Committee								 								 INVITATION TO APPLY FOR ELIGIBILITY AND TO BID								 								 Name of Project: 		REPAIR OF HANGING</t>
  </si>
  <si>
    <t xml:space="preserve"> 1 unit laptop 14 inches</t>
  </si>
  <si>
    <t xml:space="preserve"> 5,024 liters of fuel</t>
  </si>
  <si>
    <t xml:space="preserve"> Republic of the Philippines CITY OF PANABO Province of Davao del Norte BIDS AND AWARDS COMMITTEE -o0o- REQUEST FOR QUOTATION 1.	 The City of Panabo, through CAGRO – AGRICULTURAL INDUCE FOR DIST. /CALAMITY FUND 2018 intends to apply the sum of Three Hundre</t>
  </si>
  <si>
    <t xml:space="preserve"> REPUBLIC OF THE PHILIPPINES CITY OF MANILA OFFICE OF THE BARANGAY BIDS AND AWARDS COMMITTEE INVITATION TO BID 1 set - Additional CCTV Camera 40 units - Refill Fire Extinguisher 10 units - Fire Extinguisher 3 units - Two Way Radio 1 unit - Ladder REQUESTIN</t>
  </si>
  <si>
    <t xml:space="preserve"> SUPPLY, DELIVERY AND INSTALLATION OF ONE (1) UNIT FIRE ALARM AT NFA-OCM PROVINCIAL OFFICE LABANGAN COMPOUND AND ONE (1) UNIT AT NAWACO COMPOUND; SUPPLY, DELIVERY AND INSTALLATION OF TEN (10) UNITS SMOKE DETECTOR AT NFA PROVICIAL OFFICE; AND GENERAL SERVIC</t>
  </si>
  <si>
    <t xml:space="preserve"> Republic of the Philippines Province of Davao del Sur MUNICIPALITY OF MATANAO -oOo- INVITATION TO BID The Local Government Unit of Matanao, Davao del Sur, through its Bids and Awards Committee (BAC), invites interested ISO certified suppliers/distributors</t>
  </si>
  <si>
    <t xml:space="preserve"> The National Telecommunications Commission (NTC) hereby invites prospective Supplier to submit their Price Quotation on the following project: a. Procurement of Labor Works for the Repainting of Lobby and Hallway (1st to 4th floor), Repair of Annex Buildi</t>
  </si>
  <si>
    <t xml:space="preserve"> DRINKS AND BEVERAGES  1	90	cases	Canned Juice Drink- Pineapple, Orange, Four                                Seasons (240 ml x 24) 2	100	cases	Flavored Juice w/ GCE &amp; L-carnitine (330ml x 24) 3	20	cases	Ready-to-Drink Tonic Food Drink (24 x 250ml) GROCERIE</t>
  </si>
  <si>
    <t xml:space="preserve"> OPENING OF BIDS IN DSWD FO IX ZAMBOANGA CITY					 DELIVERY IN DSWD FO IX ZAMBOANGA CITY					 PROCUREMENT FOR THE FF.: 					 330	BOX	SURGICAL FACE MASK			 ********************************************	 FOR THE PANTAWID PAMILYA PROGRAM STAFF ASSIGNED IN THE </t>
  </si>
  <si>
    <t xml:space="preserve"> BIDS AND AWARDS COMMITTEE REQUEST FOR QUOTATION 	The Local Government Unit of Labason, ZN.,invites all interested registered supplier to submit quotation for the Purchase of Construction Materials for Doors and Windows at Barangay Hall Phase – I  Patawag,</t>
  </si>
  <si>
    <t xml:space="preserve"> Repair/Maintenance of DPWH Building</t>
  </si>
  <si>
    <t xml:space="preserve"> Republic of the Philippines DEPARTMENT OF PUBLIC WORKS AND HIGHWAYS REGIONAL OFFICE II Tuguegarao City, Cagayan  INVITATION TO BID The DPWH Regional Office No. 2 through the Bids and Awards Committee (BAC) invite contractors to bid for the project  :  Con</t>
  </si>
  <si>
    <t xml:space="preserve"> Republic of the Philippines CITY GOVERNMENT OF SAN FERNANDO City Hall Building, F. Ortega Highway Tel. No. (072)8886901, (072) 867-8100/Fax No. (072)8886907 Website: www.sanfernandocity.gov.ph Email: csflu_98@yahoo.com INVITATION TO BID FOR  Procurement o</t>
  </si>
  <si>
    <t xml:space="preserve"> RGMO - Sudaria		 1	107	Unit	Harrow (Bearing Oil Type, Tire: 700 x 15, 9 	 			blade, Shafting 2 1/2, Blade Size 24", Frame 	 			118" &amp; 131"	 2	1	Unit	Disc Plow (standard size)</t>
  </si>
  <si>
    <t xml:space="preserve"> LOCAL GOVERNMENT UNIT OF NAGUILIAN , ISABELA INVITATION TO BID FOR the SUPPLY AND DELIVERY OF PAINTING MATERIALS FOR BARANGAY QUIRINO MULTI-PURPOSE HALL. 1.	The Local Government Unit of Naguilian, Isabela, through the 20% Development Fund intends to apply</t>
  </si>
  <si>
    <t xml:space="preserve"> REQUEST FOR EXPRESSION OF INTEREST (REI)  FOR THE (20CSNH05) Consulting Services for the Conduct of Soil Exploration And/Or Geotechnical Investigation in Preparation of the Preliminary &amp; Detailed Engineering of Proposed Various FY 2021 Regular Infrastruct</t>
  </si>
  <si>
    <t xml:space="preserve"> BIDS AND AWARDS COMMITTEE REQUEST FOR QUOTATION The Barangay Unit of Patawag, Labason, ZN., Invites all interested registered supplier to submit quotation for the Purchase of Construction Materials for Roofing Works at Barangay Hall Phase - I Patawag, Lab</t>
  </si>
  <si>
    <t xml:space="preserve"> 2 btls Glass cleaner 4 btls Alcohol 70% 500ml 5 btls Toilet bowl cleaner 10 packs Bathroom tissue 2 ply 4/pack 10 bulb Bulb 9 watts 12 cards Talk n text card 300 12 cards Globe card 300 5 pcs Doormat plastic 3 pcs Broom soft 1 pc Dish drainer w/ 2 drawers</t>
  </si>
  <si>
    <t xml:space="preserve"> Republic of the Philippines Municipality of Taytay Taytay, Palawan NOTICE TO BIDDERS Item # Qty Unit Description Amount 1.   1    Unit   Const. Of Multi-Purpose Hall The two envelope system of procurement shall be observed, Bidding documents shall be avai</t>
  </si>
  <si>
    <t xml:space="preserve"> INVITATION TO BID FOR SUPPLY AND DELIVERY OF DOCUMENT SCANNERS FOR DSWD CENTRAL OFFICE —  ITB NO. GOP/20-DSWD-037 — (PR NO. 01-20001-PR-2020-03-00300) 1. The Department of Social Welfare and Development (DSWD), through the DSWD Funds, intends to apply the</t>
  </si>
  <si>
    <t xml:space="preserve"> 1	1	set	Portable speaker with microphone	 2	1	unit	Camera phone	 3	1	Unit	White/black board	 4	1	pair	Scissor, HD	 5	1	pc	Stapler, HD	 6	1	pc	Puncher, HD	 7	5	pc	Calculators latest edition	 8	10	pcs	Marking pen (permanent)	 9	10	pcs	Marking pen (White boa</t>
  </si>
  <si>
    <t xml:space="preserve"> Republic of the Philippines Province of Ilocos Norte MUNICIPALITY OF CURRIMAO INVITATION TO BID FOR  PURCHASE OF CELLCARDS 1.	The Municipality of Currimao intends to apply the sum of [Two Hundred Six Thousand Pesos (P206,000.00)] being the Approved Budget</t>
  </si>
  <si>
    <t xml:space="preserve"> BIDS AND AWARDS COMMITTEE REQUEST FOR QUOTATION 	The Barangay  Unit of Patawag, Labason, ZN., Invites all interested registered supplier to submit quotation for the Purchase of Construction Materials for  Plumbing Works, at Barangay Hall Phase – I Patawag</t>
  </si>
  <si>
    <t xml:space="preserve"> For office use.</t>
  </si>
  <si>
    <t xml:space="preserve"> Republic of the Philippines CITY GOVERNMENT OF SAN FERNANDO City Hall Building, F. Ortega Highway Tel. No. (072)8886901, (072) 867-8100/Fax No. (072)8886907 Website: www.sanfernandocity.gov.ph Email: csflu_98@yahoo.com INVITATION TO BID FOR  Procurement a</t>
  </si>
  <si>
    <t xml:space="preserve"> 1	1	unit	Ceiling Helicopter Fan (24 ft diameter, variable speed)</t>
  </si>
  <si>
    <t xml:space="preserve"> 1.	The Local Government Unit of Las Nieves, through the Budget for the Contract approved by the Sanggunian (MDRRMF-TF) intends to apply the sum of two million two hundred and fifty thousand pesos only (Php 2,250,000.00), being the Approved Budget for the </t>
  </si>
  <si>
    <t xml:space="preserve"> Procurement of office furnitures for the use of DPWH, Iloilo 2nd DEO, Balabag, Dumangas, Iloilo</t>
  </si>
  <si>
    <t xml:space="preserve"> 150	REAM	PAPER, multicopy, A4, Substance 20 200	REAM 	PAPER, multicopy, Legal, Substance 20 10	PIECE	PUNCHER, heavy duty with two hole guide  50	BOOK	RECORD BOOK, 500 pages size 214 mm x 278 mm 30	PACK 	Folder Brown-Long, 100pcs/pack 30	BOX	Ballpen, (Blac</t>
  </si>
  <si>
    <t xml:space="preserve"> Republic of the Philippines DEPARTMENT OF PUBLIC WORKS AND HIGHWAYS CAGAYAN 2ND DISTRICT ENGINEERING OFFICE Regional Office II Abulug, Cagayan June 9, 2020 INVITATION TO BID  The Cagayan 2nd District Engineering Office, Abulug, Cagayan, through its Bids a</t>
  </si>
  <si>
    <t xml:space="preserve"> 1.) Cement, portland, 40kg = 301 bag 2.) Plastering sand = 19 cubic meter</t>
  </si>
  <si>
    <t xml:space="preserve"> REQUEST FOR EXPRESSION OF INTEREST REOI2020-C01 1.	The Department of Public Works and Highway-Isabela 3rd District Engineering Office     through the PDE 2020 intends to apply the Approved Budget for the Contract (ABC) to payment under the following contr</t>
  </si>
  <si>
    <t xml:space="preserve"> Concreting of 200m x 5m x 0.20m roadway w/.5 shoulder both sides demolition of existing PCCP thick with the following proposed work:  Item No.			Description				          Unit 		   Quantity     A.1.1	Provision of Field for the Engineer (rental basis)	   mo</t>
  </si>
  <si>
    <t xml:space="preserve"> 1	1	unit	LCD/Overhead projector (see attached picture)		 2	1	unit	Laptop (please see pecs and picture)</t>
  </si>
  <si>
    <t xml:space="preserve"> The Philippine Rural Development Project- Regional Project Coordination Office XI hereunder referred to as the End-User now requests interested applicants to submit Expression of Interest for the Hiring of the following PRDP-RPCO XI personnel for the peri</t>
  </si>
  <si>
    <t xml:space="preserve"> Invitation to Bid Design and Build of Single - storey Administration Building for Dipaculao Water District, Dipaculao, Aurora 1.	The Dipaculao Water District intends to apply the sum of Seven Hundred Eighty-Nine Thousand Pesos (P789,000.00) being the tota</t>
  </si>
  <si>
    <t xml:space="preserve"> 1.	The Local Government Unit of Las Nieves, through the Budget for the Contract approved by the Sanggunian (MDRRMF-TF) intends to apply the sum of one million and nine hundred thousand pesos only (Php 1,900,000.00), being the Approved Budget for the Contr</t>
  </si>
  <si>
    <t xml:space="preserve"> INVITATION TO BID FOR THE Supply, Delivery, Installation and Commissioning of Air-Conditioning System for the Bureau of Quarantine PUBLIC BIDDING NO. 20-020-5 FUNDING SOURCE: General Appropriations Act of 2017 1.	The PROCUREMENT SERVICE invites PhilGEPS r</t>
  </si>
  <si>
    <t xml:space="preserve"> Republic of the Philippines Municipality of Taytay Taytay, Palawan NOTICE TO BIDDERS Item # Qty Unit Description Amount 1. 1 Unit Const. Of Multi-Purpose Hall The two envelope system of procurement shall be observed, Bidding documents shall be available a</t>
  </si>
  <si>
    <t xml:space="preserve"> Republic of the Philippines PROVINCE OF BUKDINON Malaybalay City OFFICE OF THE PROVINCIAL GOVERNOR Bids and Awards Committee INVITATION TO BID FOR THE “SUPPLY AND DELIVERY OF ONE LOT HOUSEKEEPING SUPPLIES” ITB No. 2020-149 June 9, 2020 1.	The Provincial G</t>
  </si>
  <si>
    <t xml:space="preserve"> Project No.: QRF2020-B1-NS-REPAIR-L1 The Department of Education (DepED) Division of Northern Samar, through the 2020 Government Appropriations Act (GAA), intends to apply the sum of Two Million Two Hundred Nineteen Thousand One Hundred Seven Pesos and 39</t>
  </si>
  <si>
    <t xml:space="preserve"> Procurement of One (1) Unit Android Electronic Total Station Specification:  Android 5.1 Operating System  1000m Reflector less/5000m Reflector  1”/2” Angle Accuracy  Automatic Graph Drawing  Complete with surveying Programs  5.0 inch capacitive Tou</t>
  </si>
  <si>
    <t xml:space="preserve"> 1.	The Local Government Unit of Las Nieves, through the Budget for the Contract approved by the Sanggunian (20% DF) intends to apply the sum of one million and five hundred thousand pesos only (Php 1,500,000.00) being the Approved Budget for the Contract </t>
  </si>
  <si>
    <t xml:space="preserve"> Procurement of ABG Cassette/Cartridge with the Provision of ABG Analyzer Machine (Tie-Up)</t>
  </si>
  <si>
    <t xml:space="preserve"> Sec VI - TECHNICAL SPECIFICATIONS A.	GENERAL PROVISIONS AND REQUIREMENTS 1.	GENERAL These specifications cover the requirements for the Repair of Perimeter Fence (section only), in NFA Siquijor as stipulated in the plans which will form part of the contra</t>
  </si>
  <si>
    <t xml:space="preserve"> ITEM NO.	DESCRIPTION					Unit	     Qty. I	Project Sign Board					pc.	       1 II	Deep Well Drilling					m	      12 III	Pump( 2Hp )					       Set	       1 IV	Pipelines fittings and appurtenances		LS	       1 V	Elevated Stainless Steel Tank			Cu.m       10</t>
  </si>
  <si>
    <t xml:space="preserve"> Republic of the Philippines   CITY GOVERNMENT OF SAN FERNANDO   City Hall Building, F. Ortega Highway   Tel. No. (072)8886901, (072) 867-8100/Fax No. (072)8886907   Website: www.sanfernandocity.gov.ph   Email: csflu_98@yahoo.com      INVITATION TO BID FOR</t>
  </si>
  <si>
    <t xml:space="preserve"> The PHILIPPINE SCIENCE HIGH SCHOOL SOUTHERN MINDANAO CAMPUS through the General Appropriations Act (GAA) of 2020 intends to apply the sum of Two Million Three Hundred Seventy Five Thousand (P2,375,000.00) Pesos being the Approved Budget for the Contract (</t>
  </si>
  <si>
    <t xml:space="preserve"> INVITATION TO BID The DPWH-Bataan 2nd District Engineering Office, through its Bids and Awards Committee (BAC), invites contractors to submit bids for the following Contract: Contract ID	:	20CB0065 Contract Name	:	Concreting of Sitio Kinaragan to Sitio Ba</t>
  </si>
  <si>
    <t xml:space="preserve"> Purchase of Supplies for the Rehabilitation of Court</t>
  </si>
  <si>
    <t xml:space="preserve"> pcks	eggplant seeds	10 pcks	pepper seeds	10 pcks	okra seeds	10 pcks	squash seeds	10 pcks	ampalaya seeds	10 pcks	pipino seeds	10 pkcs	pechay seeds	5</t>
  </si>
  <si>
    <t xml:space="preserve"> All-Weather Waterproof, with 4K Gimbal Camera, Payload Release System for Search and Rescue, Land and Take-Off in the  Water, Mapping Drone to include Mapping Software Optical Sensor Type / Size: ½.3” CMOS Valid Pixels: 14MP Recording Media: Micro SD Card</t>
  </si>
  <si>
    <t xml:space="preserve"> 1. The Department of Agriculture – Regional Field Office – Cordillera Administrative Region (DA-RFO-CAR) intends to apply part of its CY 2020 General Appropriation Act (GAA) the total sum of Eight Million Five Thousand Pesos (P8,005,000.00) being the Appr</t>
  </si>
  <si>
    <t xml:space="preserve"> The Bids and Awards Committee (BAC) of Luis Uychiat Elementary School invites interested bidders 0f 2020  Learning Modules Reproduction Reproduction of Learning Modules Months Covered: August-December 2020 Approved Budget Contract: 68,350.00 Pre-Bid Confe</t>
  </si>
  <si>
    <t xml:space="preserve"> Project No.: QRF2020-B1-NS-REPAIR-L2 The Department of Education (DepED) Division of Northern Samar, through the 2020 Government Appropriations Act (GAA), intends to apply the sum of One Million Six Hundred Eighty-Eight Thousand Three Hundred Seventy-Six </t>
  </si>
  <si>
    <t xml:space="preserve"> Republic of the Philippines City of Makati Metro Manila BARANGAY SAN ISIDRO BIDS AND AWARDS COMMITTEE Date: 9 June 2020 INVITATION TO BID The Bids and Awards Committee of Barangay San Isidro, Makati City, Metro Manila is inviting all interested parties to</t>
  </si>
  <si>
    <t xml:space="preserve"> Project No.: QRF2020-B1-NS-REPAIR-L3 The Department of Education (DepED) Division of Northern Samar, through the 2020 Government Appropriations Act (GAA), intends to apply the sum of One Million Fifteen Thousand Seven Hundred Five Pesos and 36/100 Centavo</t>
  </si>
  <si>
    <t xml:space="preserve"> 1.	The Cadiz East Elementary School II of Cadiz City, through the Schools MOOE Fund CY 2020  intends to apply the sum of Four Thousand, Nine Hundred Pesos (Php 4,900.00) being the Approved Budget for the Contract (ABC) to payments under the contract for I</t>
  </si>
  <si>
    <t xml:space="preserve"> Republic of the Philippines Municipality of Taytay Taytay, Palawan NOTICE TO BIDDERS Item # Qty Unit Description Amount 1.	24	pcs 	Tires Intended for 3 Hi-lux  2.	16	pcs 	Tires Intended for 2 Commuter Ambulance 3.	6	pcs 	Tires 7.50 RIG LT 10 PLY Intended </t>
  </si>
  <si>
    <t xml:space="preserve"> INVITATION TO BID The DPWH-Bataan 2nd District Engineering Office, through its Bids and Awards Committee (BAC), invites contractors to submit bids for the following Contract: Contract ID	:	20CB0068 Contract Name	:	Concreting of Brgy. Balagtas to Roman Sup</t>
  </si>
  <si>
    <t xml:space="preserve"> Republic of the Philippines Municipality of Taytay Taytay, Palawan NOTICE TO BIDDERS Item # Qty Unit Description Amount 1.    1    Lot   Office Equipment  The two envelope system of procurement shall be observed, Bidding documents shall be available at BA</t>
  </si>
  <si>
    <t xml:space="preserve"> INVITATION TO BID The DPWH-Bataan 2nd District Engineering Office, through its Bids and Awards Committee (BAC), invites contractors to submit bids for the following Contract: Contract ID	:	20CB0067 Contract Name	:	Concreting of Brgy. Alangan Farm-to-Marke</t>
  </si>
  <si>
    <t xml:space="preserve"> 2 units ladder, folded, aluminum HD, 16ft</t>
  </si>
  <si>
    <t xml:space="preserve"> Supply, Delivery, Installation, Testing and Commissioning of Two (2) Units Synchronizing Unit Module for the Two (2) Units Doosan Electric Generators.</t>
  </si>
  <si>
    <t xml:space="preserve"> INVITATION TO BID FOR SUPPLY AND DELIVERY OF 1,796 UNITS 15MM Ø MULTI JET BRASS WATER METER 1. The Tanay Water District, through the 2020 Corporate Operating Budget intends to apply the sum of Two Million Six Hundred Ninety Four Thousand Pesos (₱2,694,000</t>
  </si>
  <si>
    <t xml:space="preserve"> INVITATION TO BID The DPWH-Bataan 2nd District Engineering Office, through its Bids and Awards Committee (BAC), invites contractors to submit bids for the following Contract: Contract ID	:	20CB0070 Contract Name	:	Repair/Maintenance of DWPH Building, Main</t>
  </si>
  <si>
    <t xml:space="preserve"> Please see attached file . . . .</t>
  </si>
  <si>
    <t xml:space="preserve"> 2x4 Mini dump Truck Dimensions: Wheelbase 3200, Front Overhang 1230 Ring Overhang 1360, Wheel Track Front Axie 1530 Wheel track rear axie 1584,Chassis length 5780 Approach angle 29, Departure angle 23 Maximum driving speed (Km/H 74) Maximum gradiability 1</t>
  </si>
  <si>
    <t xml:space="preserve"> a)	Signboard b)	Occupational safety &amp; health program c)	Formworks  d)	Reinforcing steel bars e)	Steel and tinsmithry works f)	Structural concrete g)	Pathway preparation h)	Masonry &amp; plumbing works i)	Painting works j)	G.I. pipe railings k)	Septic tank l)	</t>
  </si>
  <si>
    <t xml:space="preserve"> INVITATION TO BID The DPWH-Bataan 2nd District Engineering Office, through its Bids and Awards Committee (BAC), invites contractors to submit bids for the following Contract: Contract ID	:	20CB0069 Contract Name	:	Concreting of Purok 6, Brgy. Gen. Lim Far</t>
  </si>
  <si>
    <t xml:space="preserve"> 2 units ladder, aluminum, HD folded, 16ft</t>
  </si>
  <si>
    <t xml:space="preserve"> 1.	The Local Government Unit of Las Nieves, through the General Appropriations Act (BUB/GPB) intends to apply the sum of four hundred ninety eight thousand pesos only (Php 498,000.00), being the Approved Budget for the Contract (ABC) to payments under the</t>
  </si>
  <si>
    <t xml:space="preserve"> a)	Signboard b)	Occupational safety &amp; health program c)	Forms and scaffoldings  d)	Reinforcing steel bars e)	Steel and tinsmithry works f)	Structural concrete g)	Plastering works h)	Masonry works i)	Painting works j)	G.I. pipe railings k)	Handlaid rock em</t>
  </si>
  <si>
    <t xml:space="preserve"> INVITATION TO BID The DPWH-Bataan 2nd District Engineering Office, through its Bids and Awards Committee (BAC), invites contractors to submit bids for the following Contract: Contract ID	:	20CB0066 Contract Name	:	Concreting of Brgy. Ibis Farm-to-Market R</t>
  </si>
  <si>
    <t xml:space="preserve"> Project No.: QRF2020-B1-NS-REPAIR-L4 The Department of Education (DepED) Division of Northern Samar, through the 2020 Government Appropriations Act (GAA), intends to apply the sum of One Million Five Hundred Thirty-Three Thousand Nine Hundred Eight Pesos </t>
  </si>
  <si>
    <t xml:space="preserve"> a)	Signboard b)	Occupational safety &amp; health program c)	Structure excavation d)	Gravel bedding e)	Formworks f)	Reinforcing steel bars g)	Structural concrete h)	Manual hauling of materials</t>
  </si>
  <si>
    <t xml:space="preserve"> Republic of the Philippines Province of Laguna MUNICIPALITY OF LUISIANA INVITATION TO BID 1. The Municipal Government of Luisiana, Laguna intends to apply the sum of Four Hundred Thousand Pesos (Php 400,000.00) being the Approved Budget for the Contract (</t>
  </si>
  <si>
    <t xml:space="preserve"> INVITATION TO BID  SUPPLY AND DELIVERY OF IT EQUIPMENT UNDER PB 20-02-14A 1.	The Philippine Rice Research Institute, through the 2020 Regular Trust Fund Budget intends to apply the sum of ONE MILLION EIGHT HUNDRED FIFTY THOUSAND PESOS AND 00/100 ONLY (PhP</t>
  </si>
  <si>
    <t xml:space="preserve"> The Barangay Government of Sipac-Almacen, through the Annual Budget 2020 duly approved by the Sangguniang Panlungsod intends to apply the sum of One Hundred Fifty Thousand Pesos (P 150,000.00) being the Approved Budget for the Contract (ABC) to payment fo</t>
  </si>
  <si>
    <t xml:space="preserve"> materials</t>
  </si>
  <si>
    <t xml:space="preserve"> The National Irrigation Administration-Regional Office XII, through the GAA Fund CY2019 intends to apply the sum of EIGHT MILLION PESOS (P 8,000,000.00) being the Approved Budget for the Contract (ABC) to payments under the contract for NIA12-R.O.-GOODS-2</t>
  </si>
  <si>
    <t xml:space="preserve"> Project No.: QRF2020-B1-NS-REPAIR-L6 The Department of Education (DepED) Division of Northern Samar, through the 2020 Government Appropriations Act (GAA), intends to apply the sum of One Million Six Hundred Seventy-Nine Thousand Seven Hundred Eighty-Four </t>
  </si>
  <si>
    <t xml:space="preserve"> The BARANGAY LISON VALLEY, through its BIDS AND AWARDS COMMITTEE (BAC) invites suppliers/manufacturers/distributors to apply for eligibility and to bid for the hereunder project: Name of Project: CONSTRUCTION OF MULTI-PURPOSE HALL Location: Barangay Lison</t>
  </si>
  <si>
    <t xml:space="preserve"> Republic of the Philippines WESTERN PHILIPPINES UNIVERSITY          A STRONG PARTNER FOR SUSTAINABLE DEVELOPMENT BIDS AND AWARDS COMMITTEE Invitation to Bid for Supply, Delivery and Installation of equipment for the DA-ACEF indigenous fruits project The W</t>
  </si>
  <si>
    <t xml:space="preserve"> INVITATION TO BID  SUPPLY AND DELIVERY OF IT EQUIPMENT  UNDER PB 20-02-15A (FOR BRANCH STATION) 1.	The Philippine Rice Research Institute, through the 2020 Capital Outlay Fund Budget intends to apply the sum of THREE MILLION SIX HUNDRED EIGHTY THOUSAND PE</t>
  </si>
  <si>
    <t xml:space="preserve"> Project No.: QRF2020-B1-NS-REPAIR-L5 The Department of Education (DepED) Division of Northern Samar, through the 2020 Government Appropriations Act (GAA), intends to apply the sum of One Million Eight Hundred Seventy-Three Thousand Four Hundred Eighty Pes</t>
  </si>
  <si>
    <t xml:space="preserve"> Project No.: QRF2020-B1-NS-REPAIR-L7 The Department of Education (DepED) Division of Northern Samar, through the 2020 Government Appropriations Act (GAA), intends to apply the sum of One Million Two Hundred Forty-Eight Thousand One Hundred Seventy-Seven P</t>
  </si>
  <si>
    <t xml:space="preserve"> The BARANGAY GUBAC, through its BIDS AND AWARDS COMMITTEE (BAC) invites suppliers/manufacturers/distributors to apply for eligibility and to bid for the hereunder project: Name of Project: CONSTRUCTION OF STAGE Location: Barangay Gubac, Pagadian City Proj</t>
  </si>
  <si>
    <t xml:space="preserve"> a)	Signboard b)	Occupational safety &amp; health program c)	Formworks  d)	Structural excavation e)	Grouted riprap f)	Concrete pathway (class “a”) g)	G.I. pipe railings h)	Carpentry and tinsmithry works i)	Structural concrete j)	Steel works k)	Septic tank l)	R</t>
  </si>
  <si>
    <t xml:space="preserve"> The BARANGAY LISON VALLEY, through its BIDS AND AWARDS COMMITTEE (BAC) invites suppliers/manufacturers/distributors to apply for eligibility and to bid for the hereunder project: Name of Project: CONSTRUCTION OF SOLAR DRYER Location: Barangay Lison Valley</t>
  </si>
  <si>
    <t xml:space="preserve"> Republic of the Philippines BIDS AND AWARDS COMMITTEE Municipality of Bulusan Reference Number: PS-20-06-003 June 10, 2020 REQUEST FOR QUOTATION The Local Government of Bulusan, through its Bids and Awards Committee (BAC), requests suppliers/manufacturers</t>
  </si>
  <si>
    <t xml:space="preserve"> Republic of the Philippines WESTERN PHILIPPINES UNIVERSITY          A STRONG PARTNER FOR SUSTAINABLE DEVELOPMENT BIDS AND AWARDS COMMITTEE Invitation to Bid for Supply and Delivery of Materials and Equipment for DA-ACEF Mango Project The Western Philippin</t>
  </si>
  <si>
    <t xml:space="preserve"> REQUEST FOR QUOTATIONS The Civil Aviation Authority of the Philippines – Area VIII, through its Canvass and Contract Committee will conduct a SMALL VALUE PROCUREMENT under Section 53.9 of the 2016 Revised IRR of RA 9184 and cordially invites all intereste</t>
  </si>
  <si>
    <t xml:space="preserve"> TIRE, TUBELESS, R17 for toyota Hi-Lux; + 1Item Tire Outer Casing, All Terrain Black, Tubeless 265 x 70 x R17 Steel Belted M+S</t>
  </si>
  <si>
    <t xml:space="preserve"> OPENING OF BIDS IN DSWD FO IX ZAMBOANGA CITY						 DELIVERY IN DSWD-SWAD-IPIL, ZAMBOANGA SIBUGAY						 PROCUREMENT FOR THE FF.:						 						 17	BOX	BALL PEN, BLACK, 0.5mm 50 PCS. /BOX				 	REAM	BOND PAPER A4, S-20				 230	REAM	BOND PAPER LONG S-20				 200</t>
  </si>
  <si>
    <t xml:space="preserve"> Republic of the Philippines DEPARTMENT OF PUBLIC WORKS AND HIGHWAYS SULTAN KUDARAT 1ST DISTRICT ENGINEERING OFFICE REGIONAL OFFICE XII Isulan, Sultan K INVITATION TO BID The Department of Public Works and Highways, Sultan Kudarat 1st District Engineering </t>
  </si>
  <si>
    <t xml:space="preserve"> The Barangay Government of Sipac-Almacen, through the Annual Budget 2020 duly approved by the Sangguniang Panlungsod intends to apply the sum of One Hundred Eighty Thousand Pesos (P 180,000.00) being the Approved Budget for the Contract (ABC) to payment f</t>
  </si>
  <si>
    <t xml:space="preserve"> Republic of the Philippines CITY GOVERNMENT OF SAN FERNANDO City Hall Building, F. Ortega Highway Tel. No. (072)8886901, (072) 867-8100/Fax No. (072)8886907 Website: www.sanfernandocity.gov.ph Email: csflu_98@yahoo.com INVITATION TO BID FOR  PROCUREMENT F</t>
  </si>
  <si>
    <t xml:space="preserve"> Project No.: QRF2020-B1-NS-REPAIR-L8 The Department of Education (DepED) Division of Northern Samar, through the 2020 Government Appropriations Act (GAA), intends to apply the sum of One Million Two Hundred Sixty-Four Thousand Two Hundred Ninety-Nine Peso</t>
  </si>
  <si>
    <t xml:space="preserve"> Invitation to Bid Upgrading of Bungdor Road (Road Opening) ITB – Infra – 2020 – 06-001 1.	The Local Government Unit of Barangay Sicul, Sta. Praxedes, through the Provincial Development Fund intends to apply the sum of Three Hundred Ninety Nine Thousand Th</t>
  </si>
  <si>
    <t xml:space="preserve"> Contract ID:	20DL0204 Contract Name:	REPAIR/MAINTENANCE OF DRAINAGE ALONG QUEZON-ALABAT-PEREZ ROAD, KM.022+050-KM.022+097 (RIGHT SIDE) Contract Location:	ALABAT, QUEZON Brief Description:		REPAIR/MAINTENANCE OF DRAINAGE STRUCTURES Approved Budget for the </t>
  </si>
  <si>
    <t xml:space="preserve"> Contract ID:	20DL0203 Contract Name:	REPAIR/MAINTENANCE OF FLOOD CONTROL &amp; DRAINAGE STRUCTURES ALONG BAYOD BRIDGE, TALABA-SUMMIT-PANAON ROAD, KM.180+728, ATIMONAN, QUEZON 	 Contract Location:	ATIMONAN, QUEZON Brief Description:		REPAIR/MAINTENANCE OF FLOO</t>
  </si>
  <si>
    <t xml:space="preserve"> Republic of the Philippines WESTERN PHILIPPINES UNIVERSITY          A STRONG PARTNER FOR SUSTAINABLE DEVELOPMENT BIDS AND AWARDS COMMITTEE Invitation to Bid for Supply and Delivery of Customized Polo Shirt and Sling Bag  The Western Philippines University</t>
  </si>
  <si>
    <t xml:space="preserve"> Item of works includes: -Concrete Footpath -Structural Concrete -Excavation -Railings -Manual Hauling</t>
  </si>
  <si>
    <t xml:space="preserve"> Contract ID:	20DL0205 Contract Name:	A)	REPAIR/MAINTENANCE OF DILG BUILDING, PNP – STORAGE ROOM/BARRACKS BUILDING, GUMACA, QUEZON 	 B)	REPAIR/MAINTENANCE OF DPWH BUILDING, DPWH SUB OFFICE (FIELD ENGR. OFFICE), BRGY. LAGYO, GUMACA, QUEZON C)	REPAIR/MAINTEN</t>
  </si>
  <si>
    <t xml:space="preserve"> Item	Quantity	Unit	Description					 1	1		pcs.	TENT					 2	7		pcs.	TROMPA W/ ACCESORIES					 3	4		roll.	SPEAKER WIRE					 4	2		pcs.	CAMERA					 5	2		roll.	CCTV WIRE					 6	1		pc.	AVR					 7	1		pc.	DVR 16 CHANNEL</t>
  </si>
  <si>
    <t xml:space="preserve"> The Barangay Government of Sipac-Almacen, through the Annual Budget 2020 duly approved by the Sangguniang Panlungsod intends to apply the sum of Two Hundred Fifty Thousand Pesos (P 250,000.00) being the Approved Budget for the Contract (ABC) to payment fo</t>
  </si>
  <si>
    <t xml:space="preserve"> Project No.: QRF2020-B1-NS-REPAIR-L9 The Department of Education (DepED) Division of Northern Samar, through the 2020 Government Appropriations Act (GAA), intends to apply the sum of Two Million Seven Hundred Sixty-Seven Thousand Five Hundred Eight Pesos </t>
  </si>
  <si>
    <t xml:space="preserve"> Project No.: QRF2020-B1-NS-REPAIR-L11 The Department of Education (DepED) Division of Northern Samar, through the 2020 Government Appropriations Act (GAA), intends to apply the sum of One Million Seven Hundred Fifty-Four Thousand Eight Hundred Nineteen Pe</t>
  </si>
  <si>
    <t xml:space="preserve"> Project No.: QRF2020-B1-NS-REPAIR-L10 The Department of Education (DepED) Division of Northern Samar, through the 2020 Government Appropriations Act (GAA), intends to apply the sum of Two Million Ninety-Three Thousand Ninety-Six Pesos and 36/100 Centavos </t>
  </si>
  <si>
    <t xml:space="preserve"> Sir/ Ma'am: Please quote your lowest possible prices for the articles described in the attached document.</t>
  </si>
  <si>
    <t xml:space="preserve"> Sir/Ma'am: Please quote your lowest possible price for the articles described in the attached document.</t>
  </si>
  <si>
    <t xml:space="preserve"> MALE ( 25-50 YEARS OLD) PHYSICALLY AND MENTALLY FIT MUST BE RESIDING NEAR  THE WORK STATION preferably with experience</t>
  </si>
  <si>
    <t xml:space="preserve"> Procurement of Anti-COVID 19 Materials &amp; Supplies 30 pcs Manual Chemical Sprayer 120 gallons Alcohol 70% isoprophyl</t>
  </si>
  <si>
    <t xml:space="preserve"> INVITATION TO BID FOR Procurement and Installation of Three (3) units Window type Aircondition (2 hp) and Five (5) units Floor Standing Aircondition (3 toner) for MDRRMC/OPCEN Building 1.	The Municipality of San Jose, through the 2020 Annual Budget under </t>
  </si>
  <si>
    <t xml:space="preserve"> Republic of the Philippines DEPARTMENT OF PUBLIC WORKS AND HIGHWAYS LAGUNA I  DISTRICT ENGINEERING OFFICE REGIONAL OFFICE NO. IV-A Santa Cruz, Laguna 									June 8, 2020 NOTICE OF PROCUREMENT THROUGH ALTERNATIVE METHOD 	Notice is given that the DPWH-Lag</t>
  </si>
  <si>
    <t xml:space="preserve"> Contract ID:	20DL0207 Contract Name:	CONSTRUCTION/REHABILITATION OF WATER SUPPLY/SEPTAGE AND SEWERAGE/RAIN WATER COLLECTORS - RAIN WATER COLLECTORS IN PUBLIC FACILITIES - REGION IV-A  A. COMETA ELEMENTARY SCHOOL, BRGY. COMETA, QUEZON, QUEZON B. GUMUBAT EL</t>
  </si>
  <si>
    <t xml:space="preserve"> Contract ID:	20DL0206 Contract Name:	71X-SPECIAL MAINTENANCE H. PLACING NEW TRAFFIC SIGNS ALONG DAANG MAHARLIKA, K0159+000 - K0181+000 Contract Location:	ATIMONAN, QUEZON Brief Description:		PLACING NEW TRAFFIC SIGNS Approved Budget for the Contract (ABC)</t>
  </si>
  <si>
    <t xml:space="preserve"> BARANGAY BANAWE, Pamplona Negros Oriental through the Bids and Awards Committee (BAC), invites suppliers/bidders to apply for eligibility and to bid for the supply of construction materials for the following project: Name of Project	: materials for the Gr</t>
  </si>
  <si>
    <t xml:space="preserve"> BARANGAY BANAWE, Pamplona Negros Oriental through the Bids and Awards Committee (BAC), invites suppliers/bidders to apply for eligibility and to bid for the supply of construction materials for the following project: Name of Project	: materials for the Ro</t>
  </si>
  <si>
    <t xml:space="preserve"> Rehabilitation of drainage system</t>
  </si>
  <si>
    <t xml:space="preserve"> Installation of Glass Barriers 2 Glass wall partition with analok frame 3mx2m 1 Glass wall partition with analok frame 2mx2m 54 table top glass 2 glass door</t>
  </si>
  <si>
    <t xml:space="preserve"> BARANGAY BANAWE, Pamplona Negros Oriental through the Bids and Awards Committee (BAC), invites suppliers/bidders to apply for eligibility and to bid for the supply of construction materials for the following project: Name of Project	: materials for the Im</t>
  </si>
  <si>
    <t xml:space="preserve"> Project No.: QRF2020-B1-NS-REPAIR-L12 The Department of Education (DepED) Division of Northern Samar, through the 2020 Government Appropriations Act (GAA), intends to apply the sum of Two Million Three Hundred Thirty-Five Thousand Eight Hundred Fifty-Nine</t>
  </si>
  <si>
    <t xml:space="preserve"> INVITATION TO BID FOR Procurement of IT Equipment 1.	The Municipality of San Jose, through the 2020 Annual Budget under 5% DRRM Calamity Fund   intends to apply the sum of Five Hundred Seventy Nine Thousand Pesos Only (₱ 579,000.00) being the Approved Bud</t>
  </si>
  <si>
    <t xml:space="preserve"> Item	Quantity	Unit	Description 1	6	pcs.	LED 2	1	pcs.	360 CAMERA  3	2	pcs.	MONITOR 4	3	roll.	CCTV WIRE 5	2	pcs.	AVR  6	10	pcs.	POWER SUPPLY (ADAPTOR) 7	5	pcs.	CCTV CAMERA</t>
  </si>
  <si>
    <t xml:space="preserve"> 1.) Celecoxib, 200mg, capsule, 100's = 10 box			 2.) Aluminum hydroxide + Magnesium hyroxide + Simethicone tablet, 100's = 10 box			 3.) Cefalexin 500mg, capsule, 100's = 30 box 4.) Cefalexin, 250mg/5ml, suspension, 60ml = 144 bottle			 5.) Cefalexin, 100</t>
  </si>
  <si>
    <t xml:space="preserve"> YMCKT COLOR RIBBON 500 PRINTS</t>
  </si>
  <si>
    <t xml:space="preserve"> Lubricating Oil, SAE 5W-30, engine, synthetic Packaging: 20 Ltrs/pail</t>
  </si>
  <si>
    <t xml:space="preserve"> INVITATION TO BID FOR Purchase of Stickers for Tricycle (4 inches x 7 inches) 1.	The Municipality of San Jose, through the 2020 Annual Budget under General Fund of Sangguniang Bayan Office   intends to apply the sum of Three Hundred Sixty Five Thousand Pe</t>
  </si>
  <si>
    <t xml:space="preserve"> The Barangay Government of Sipac-Almacen, through the Annual Budget 2020 duly approved by the Sangguniang Panlungsod intends to apply the sum of Seventy Five Thousand Pesos (P 75,000.00) being the Approved Budget for the Contract (ABC) to payment for the </t>
  </si>
  <si>
    <t xml:space="preserve"> Contract Reference Number: ITB#2020-038; PR# 2020-02-0506 Name of the Contract: DRAINAGE IMPROVEMENT (RIPRAP), GEGONCILLO VILLAGE, BRGY. BALINTAWAK (STRAIGHT CONTRACT LABOR &amp; MATERIALS) Location of the Contract: ESCALANTE GOVERNMENT CENTER Standard Form N</t>
  </si>
  <si>
    <t xml:space="preserve"> Office Supplies Consumables</t>
  </si>
  <si>
    <t xml:space="preserve"> INVITATION TO BID FOR Purchase of Stickers for Tricycle (4 inches x 12 inches) 1.	The Municipality of San Jose, through the 2020 Annual Budget under General Fund of Sangguniang Bayan Office   intends to apply the sum of Four Hundred Fifty One Thousand Fiv</t>
  </si>
  <si>
    <t xml:space="preserve"> Republic of the Philippines Office of the Municipal mayor BIDS AND AWARDS COMMITTEE Pasuquin, Ilocos Norte INVITATION TO BID FOR  Purchase of Disaster Paraphernalia’s, Equipment and Uniforms 1.	The LGU-PASUQUIN, through the CALAMITY FUND CY2020, intends t</t>
  </si>
  <si>
    <t xml:space="preserve"> Supply and delivery of various communication equipment as support for the establishment of the Learning Sites for Agriculture of ATI Bicol.</t>
  </si>
  <si>
    <t xml:space="preserve"> INVITATION TO BID FOR Purchase of Various Office Supplies for LGU of San Jose (2nd Quarter) 1.	The Municipality of San Jose, through the 2020 Annual Budget (General Fund) under the Office Supplies Expenses of the Local Government Unit of San Jose   intend</t>
  </si>
  <si>
    <t xml:space="preserve"> Republic of the Philippines Office of the Municipal mayor BIDS AND AWARDS COMMITTEE Pasuquin, Ilocos Norte INVITATION TO BID FOR  Purchase of Fertilizer  1.	The LGU-PASUQUIN, through the VIRGINIA TOBACCO EXCISE TAXES R.A. 7171        (FY 2016)  intends to</t>
  </si>
  <si>
    <t xml:space="preserve"> Project No.: QRF2020-B1-NS-REPAIR-L13 The Department of Education (DepED) Division of Northern Samar, through the 2020 Government Appropriations Act (GAA), intends to apply the sum of One Million Two Hundred Thirty Eight Thousand Three Hundred Twenty Nine</t>
  </si>
  <si>
    <t xml:space="preserve"> SUPPLY AND DELIVERY OF MATERIALS AND LABOR FOR THE IMPROVEMENT/ REHABILITATION OF LOCAL PORT 1.	The Local Government Unit of Padre Burgos, through the Municipal Development Fund, intends to apply the sum of Nine Hundred Ninety Nine Thousand Six Hundred Si</t>
  </si>
  <si>
    <t xml:space="preserve"> SUPPLY AND DELIVERY OF MATERIALS AND LABOR FOR THE CONSTRUCTION/IMPROVEMENT OF WATER FILTRATION AND TREATMENT FACILITY 1.	The Local Government Unit of Padre Burgos, through the Municipal Development Fund, intends to apply the sum of Nine Hundred Ninety Ni</t>
  </si>
  <si>
    <t xml:space="preserve"> Republic of the Philippines Office of the Municipal mayor BIDS AND AWARDS COMMITTEE Pasuquin, Ilocos Norte INVITATION TO BID FOR  Purchase of Insecticide  1.	The LGU-PASUQUIN, through the VIRGINIA TOBACCO EXCISE TAXES R.A. 7171        (FY 2016)  intends t</t>
  </si>
  <si>
    <t xml:space="preserve"> INVITATION TO BID FOR  Procurement of Information and Communication Technology Equipment  1.	The Local Government Unit  of Don Victoriano,  Don Victoriano, Misamis  Occidental through the  Bids and Awards Committee BAC intends to apply the sum of   Five H</t>
  </si>
  <si>
    <t xml:space="preserve"> BIDS AND AWARDS COMMITTEE: Item #	 Qty	   Unit	                   Item Description	  Unit Cost	      Total Cost 0001	60	gals	Latex Paint		 0002	10	gals	Floor Paint/Power Floor		 0003	11	shts	3/4 x 4 x 8		 0004	2	kgs	1 1/2 Fishing Nails		 0005	1	ltr	Stikwe</t>
  </si>
  <si>
    <t xml:space="preserve"> Project No.: QRF2020-B1-NS-REPAIR-L15 The Department of Education (DepED) Division of Northern Samar, through the 2020 Government Appropriations Act (GAA), intends to apply the sum of One Million Two Hundred Fifty Nine Thousand Two Hundred Ninety Three Pe</t>
  </si>
  <si>
    <t xml:space="preserve"> REQUEST FOR EXPRESSION OF INTEREST FOR THE Procurement of Consultancy Services for the “Implementation of the 2020 PhilHealth Client Awareness and Satisfaction Survey” 1.	The Philippine Council for Health Research and Development (PCHRD), through the 2019</t>
  </si>
  <si>
    <t xml:space="preserve"> Item	Qty.	A R T I C L E S				 1		OTHER PROPERTY PLANT &amp; EQUIPMENT				 2	1 lot	CCTV camera (12) w/IR siamese wire				 3		UTP wire F&amp;M connector, balun				 4		power supply, bracket				 5	1 set	Public Address System				 6		(trompa w/driver, amplifier				 7		</t>
  </si>
  <si>
    <t xml:space="preserve"> BIDS AND AWARDS COMMITTEE: Item #	 Qty	   Unit	                   Item Description	  Unit Cost	      Total Cost 0001	60	sacks	Rice		 			x-x-x-x Nothing Follows x-x-x-x		 ROY D. CARALDE                            WINNY C. WAYCO, CE, EnP	                   </t>
  </si>
  <si>
    <t xml:space="preserve"> Republic of the Philippines Office of the Municipal mayor BIDS AND AWARDS COMMITTEE Pasuquin, Ilocos Norte INVITATION TO BID FOR  Installation of CCTV 1.	The LGU-PASUQUIN, through the GENERAL FUND CY2020, intends to apply the sum of P 603,090.00 being the</t>
  </si>
  <si>
    <t xml:space="preserve"> Project No.: QRF2020-B1-NS-REPAIR-L18 The Department of Education (DepED) Division of Northern Samar, through the 2020 Government Appropriations Act (GAA), intends to apply the sum of One Million Twenty Thousand Seven Hundred Seventy Three Pesos and 28/10</t>
  </si>
  <si>
    <t xml:space="preserve"> Project No.: QRF2020-B1-NS-REPAIR-L14 The Department of Education (DepED) Division of Northern Samar, through the 2020 Government Appropriations Act (GAA), intends to apply the sum of One Million Eight Hundred Twenty-Eight Thousand Eight Hundred Fifty-Fou</t>
  </si>
  <si>
    <t xml:space="preserve"> ITEM NO.	UNIT		QTY		DESCRIPTION		 							 					PHILHEALTH PCB		 							 1	 pcs 		14		 BP Apparatus 		 							 2	 pcs 		7		 Treatment/Medicine Cart 		 							 3	 tank 		9		 Oxygen refill 50lbs 		 							 							 4	 unit 		1		 Steam Sterilzer Autoclave, 16.</t>
  </si>
  <si>
    <t xml:space="preserve"> •Repair and Rehabilitation of School Building [Marcos Pimentel ES, Labo (5)] - ₱ 1,564,875.35 •Construction of Concrete Slab on Covered Court and Improvement of School Fence (F. Baldovino ES, Daet) - ₱ 456,176.41 Please download the attached bidding docum</t>
  </si>
  <si>
    <t xml:space="preserve"> ITEM NO.	UNIT		QTY		DESCRIPTION		 							 					PHILHEALTH PCB		 					 CAPITAL OUTLAY 		 1	 unit 		1		 Television 65 inch KD-65X7007E 		 					 TYPE:  		 					 TV type: LCD 		 					 Screen size: 65 inches 		 					 Resolution: 3840 x 2160 		 					 SPECS: 		 </t>
  </si>
  <si>
    <t xml:space="preserve"> The Metro Kalibo Water District, through the Bids and Awards Committee (BAC), will undertake Negotiated Procurement (Small Value Procurement) for the SUPPLY AND DELIVERY OF VARIOUS WATER SERVICE CONNECTION MATERIALS FOR INTERCONNECTION AND ACTIVATION OF B</t>
  </si>
  <si>
    <t xml:space="preserve"> Supply and delivery of 9 units of powered portable audio system as support for the establishment of the Learning Sites for Agriculture of ATI Bicol.</t>
  </si>
  <si>
    <t xml:space="preserve"> REQUEST FOR QUOTATIONS 	The Philippine Council for Health Research and Development (PCHRD), through its Bids and Awards Committee (BAC), requests PhilGEPS registered suppliers to submit quotations for the supply and delivery of Various Cameras and Accesso</t>
  </si>
  <si>
    <t xml:space="preserve"> Project No.: QRF2020-B1-NS-REPAIR-L17 The Department of Education (DepED) Division of Northern Samar, through the 2020 Government Appropriations Act (GAA), intends to apply the sum of Three Million Three Hundred Fifty Four Thousand Eighty Nine Pesos and 7</t>
  </si>
  <si>
    <t xml:space="preserve"> PROCUREMENT OF THE FOLLOWING SERVICES: MOTORCYCLE: FRAME WITH BACKBONE FRONT TIRE 3.00 x 17 IGNITION TYPE DC-CDI ENGINE TYPE 4 STROKE, SINGLE OVERHEAD CAMSHAFT, BORE x STROKE 1 CYLINDER, DISPLACEMENT 176.6 cc, FRONT SUSPENSION TELESCOPIC FORK FUEL CAPACIT</t>
  </si>
  <si>
    <t xml:space="preserve"> Procurement  and Delivery of School/Office Supplies and Materials for January to March 2020 to QUEZON CENTRAL ELEMENTARY SCHOOL, Quezon I District, Poblacion, Quezon, Bukidnon.</t>
  </si>
  <si>
    <t xml:space="preserve"> ITEM NO.	UNIT		QTY		DESCRIPTION		 							 1	 serve 		250		Snacks Set A (sandwich &amp; water)		 2	 serve 		500		 Snacks Set B (sandwich, noodles &amp; water) 		 3	 serve 		300		 Meals Set A (rice, meat, water) 		 4	 serve 		250		 Meals Set B (meat, veg., fruits &amp;</t>
  </si>
  <si>
    <t xml:space="preserve"> Project No.: QRF2020-B1-NS-REPAIR-L16 The Department of Education (DepED) Division of Northern Samar, through the 2020 Government Appropriations Act (GAA), intends to apply the sum of One Million Five Hundred Twenty Three Thousand One Hundred Eighty Six P</t>
  </si>
  <si>
    <t xml:space="preserve"> The DPWH Nueva Ecija 1st DEO, through its Bids and Awards Committee (BAC), invites contractors to submit bids for the following contract:			 				 	20CE0209: Construction of Multi-Purpose Building, Brgy. Abar 1st, City of San Jose, Nueva Ecija			 				 				</t>
  </si>
  <si>
    <t xml:space="preserve"> Location of Project: Alawihao National High School, Alawihao, Daet, Camarines Norte Please download the attached bidding document for more info about the project. For further information, please refer to: Mrs. Maria Flora T. Pandes or Mrs. Herbie B. De Le</t>
  </si>
  <si>
    <t xml:space="preserve"> Please download the attached bidding document for more info about the project. For further information, please refer to: Mrs. Maria Flora T. Pandes or Mrs. Herbie B. De Lemios Department of Education-Division of Camarines Norte F. Pimentel Avenue, Baranga</t>
  </si>
  <si>
    <t xml:space="preserve"> Concreting of deckslab.laying of stone masonry at both sides of culvert approach and graveling of road.</t>
  </si>
  <si>
    <t xml:space="preserve"> Washable Face Masks</t>
  </si>
  <si>
    <t xml:space="preserve"> Project No.: QRF2020-B1-NS-REPAIR-L21 The Department of Education (DepED) Division of Northern Samar, through the 2020 Government Appropriations Act (GAA), intends to apply the sum of One Million Eight Hundred Sixty-Eight Thousand Ninety-Six Pesos and 49/</t>
  </si>
  <si>
    <t xml:space="preserve"> Project No.: QRF2020-B1-NS-REPAIR-L22 The Department of Education (DepED) Division of Northern Samar, through the 2020 Government Appropriations Act (GAA), intends to apply the sum of One Million Two Hundred Twelve Thousand One Hundred Ninty Three Pesos a</t>
  </si>
  <si>
    <t xml:space="preserve"> Project No.: QRF2020-B1-NS-REPAIR-L25 The Department of Education (DepED) Division of Northern Samar, through the 2020 Government Appropriations Act (GAA), intends to apply the sum of One Million Eight Hundred Ninety Three Thousand Nine Hundred Thirty Nin</t>
  </si>
  <si>
    <t xml:space="preserve"> Supply and delivery of various food processing equipment as support for the establishment of the Learning Sites for Agriculture of ATI Bicol in Carolina, Naga City.  Approved Budget of the Contract includes delivery charges and other expenses that may be </t>
  </si>
  <si>
    <t xml:space="preserve"> Project No.: QRF2020-B1-NS-REPAIR-L19 The Department of Education (DepED) Division of Northern Samar, through the 2020 Government Appropriations Act (GAA), intends to apply the sum of One Million Eight Hundred Forty Thousand Six Hundred Fifty Pesos and 82</t>
  </si>
  <si>
    <t xml:space="preserve"> Concreting of 43.00 In.m., 0.15m thick, 4.00m width roadway Brgy Road</t>
  </si>
  <si>
    <t xml:space="preserve"> Republic of the Philippines Province of Iloilo MUNICIPALITY OF BINGAWAN Office of the Bids and Awards Committee INVITATION TO BID PURCHASE OF MATERIALS FOR THE CONSTRUCTION/REHABILITATION OF EVACUATION CENTER Name of Project The Local Government Unit of B</t>
  </si>
  <si>
    <t xml:space="preserve"> Project No.: QRF2020-B1-NS-REPAIR-L24 The Department of Education (DepED) Division of Northern Samar, through the 2020 Government Appropriations Act (GAA), intends to apply the sum of One Million Four Hundred Five Thousand Two Hundred Sixty One Pesos and </t>
  </si>
  <si>
    <t xml:space="preserve"> MAINTENANCE AND SERVICING OF BAGGAGE HANDLING SYSTEM FOR BHS USE DOMESTIC AND INTERNATIONAL QUARTERLY SERVICING SCOPE: 1. MANPOWER STANDBY SUPPORT CALL COMMITMENT FOR 24 HRS PER 7 DAYS 2. 1 PERSON MECHANICAL AND 1 PERSON FOR ELCTRICAL 3. 1 TIME PREVENTIVE</t>
  </si>
  <si>
    <t xml:space="preserve"> Project No.: QRF2020-B1-NS-REPAIR-L20 The Department of Education (DepED) Division of Northern Samar, through the 2020 Government Appropriations Act (GAA), intends to apply the sum of One Million Seven Hundred Forty Four Thousand Seven Hundred Thirty Two </t>
  </si>
  <si>
    <t xml:space="preserve"> PROCUREMENT OF CLUTCH PRESSURE PLATE ASSEMBLY FOR EUROTRAC YTO X1204 FORD TRACTOR UTILIZED FOR GRASSCUTTING AND VEGETATION CONTROL ACTIVITIES NOTE: CLOSING DATE OF ADVERTISEMENT  IS ON JUNE 15,2020 @ 12:00 NN. OPENING OF BIDDING DOCUMENTS   IS ON JUNE 15 </t>
  </si>
  <si>
    <t xml:space="preserve"> Supply of materials &amp; rental of concrete mixer for the Concreting of Barangay road</t>
  </si>
  <si>
    <t xml:space="preserve"> Supply and delivery of various hardware and construction materials as support for the establishment of the Learning Sites for Agriculture of ATI Bicol in Anislag, Daraga, Albay. Approved Budget of the Contract includes delivery charges and other expenses </t>
  </si>
  <si>
    <t xml:space="preserve"> Supply of materials for the Construction of Lined Canal</t>
  </si>
  <si>
    <t xml:space="preserve"> Provision of labor and materials for the construction of tree nursery in Delicia’s Farm, Bagawang, Pandan, Catanduanes.</t>
  </si>
  <si>
    <t xml:space="preserve"> 803(1)a	Structure Excavation (Common Soil)	20	cu.m.	10,740.00 804(1)a	Embarkment from Excavation	40	cu.m.	9,200.00 900(1)	Structural Concrete	19	cu.m.	133,380.00 902(1)	Reinforcing Steel	1,540.85	kgs	100,155.25 903(2)	Form works and False Works	30	sq.m.	2</t>
  </si>
  <si>
    <t xml:space="preserve"> Supply and delivery of various food processing equipment as support for the establishment of the Learning Sites for Agriculture of ATI Bicol in Casiguran, Sorsogon.  Approved Budget of the Contract includes delivery charges and other expenses that may be </t>
  </si>
  <si>
    <t xml:space="preserve"> PROCUREMENT OF AIRCON SPAREPARTS FOR MAINTENANCE OF ACUs (FLOOR/CEILING) MOUNTED AT PTB NOTE: CLOSING DATE OF ADVERTISEMENT  IS ON JUNE 15,2020 @ 12:00 NN. OPENING OF BIDDING DOCUMENTS   IS ON JUNE 15 ,2020 @ 01:30 PM. ////NOTHING FOLLOWS\\\\\</t>
  </si>
  <si>
    <t xml:space="preserve"> Contract Name: 20GKF0029-Purchase of Various Janitorial Office Supply for use in DPWH-Lanao del Norte 2nd DEO Contract Location: Iligan City Brief Description of Goods to be Procured: various cleaning reagents and accessories (see attached RFQ/specificati</t>
  </si>
  <si>
    <t xml:space="preserve"> Package of Office Equipment 2	Sets	Computer with Printer 10	Pcs	CCTV Camera 7	Roll	UTP Wire 2	Unit	DVR 16 Channel 2	Pcs	Connector</t>
  </si>
  <si>
    <t xml:space="preserve"> Project No.: QRF2020-B1-NS-REPAIR-L23 The Department of Education (DepED) Division of Northern Samar, through the 2020 Government Appropriations Act (GAA), intends to apply the sum of One Million Seven Hundred Twenty Nine Thousand Nine Hundred Sixty Five </t>
  </si>
  <si>
    <t xml:space="preserve"> PURCHASE OF ROUND UP FOR VCU AND MAINTENANCE USE NOTE: CLOSING DATE OF ADVERTISEMENT  IS ON JUNE 15,2020 @ 12:00 NN. OPENING OF BIDDING DOCUMENTS   IS ON JUNE 15 ,2020 @ 01:30 PM. ////NOTHING FOLLOWS\\\\\</t>
  </si>
  <si>
    <t xml:space="preserve"> B.9	Mobilization/Demobilization	1	lot	15,853.95 103(1)	Structure Excavation	51	cu.m.	14,790.00 511	Gabions	102	cu.m.	417,853.20 SPL 	Project Billboard	lot	All	1,502.85 	Equipment Needed: (Minimum) Dumptruck (10cu.m.)		1 unit Backhoe (0.80cu.m.)		1 unit Ca</t>
  </si>
  <si>
    <t xml:space="preserve"> CLEARING, EXCAVATION, FORMWORKS AND REINFORCED CONCRETE WORKS</t>
  </si>
  <si>
    <t xml:space="preserve"> Republic of the Philippines Province of Ilocos Norte MUNICIPALITY OF ADAMS BIDS AND AWARDS COMMITTEE Cp nos.:09085535686, 09323141379, 09563902358  email address : mannegdege@yahoo.com                   June 09, 2020  INVITATION TO BID PURCHASE OF VARIOUS</t>
  </si>
  <si>
    <t xml:space="preserve"> Contract Name: 20GKF0030-Purchase of Various Office Supply for use in DPWH-Lanao del Norte 2nd DEO Contract Location: Iligan City Brief Description of Goods to be Procured: various office supplies (see attached RFQ/specification) Approved Budget for the C</t>
  </si>
  <si>
    <t xml:space="preserve"> Contract Name: 20GKF0031-Purchase of Materials for Regravelling of Shoulders along Linamon-Zamboanga Road K1570+000-K1573+000. Contract Location: Lanao del Norte Brief Description of Goods to be Procured: Aggregate Base Course = 414 cu.m. Approved Budget </t>
  </si>
  <si>
    <t xml:space="preserve"> Procurement of one set multi-purpose shredder/chipper/grinder machine as support for the establishment of School for Practical Agriculture in Pamorangon, Daet, Cam. Norte. Approved Budget of the Contract includes delivery charges and other expenses that m</t>
  </si>
  <si>
    <t xml:space="preserve"> Republic of the Philippines Province of Ilocos Norte MUNICIPALITY OF ADAMS BIDS AND AWARDS COMMITTEE Cp nos.:09085535686, 0932314137, 09563902358  email address : mannegdege@yahoo.com JUNE 09, 2020 INVITATION TO BID CONSTRUCTION OF SLOPE PROTECTION 1.	The</t>
  </si>
  <si>
    <t xml:space="preserve"> Contract Name: 20GKF0032- Purchase of Materials for Regravelling of Shoulders along Linamon-Zamboanga Road K1561+000-K1564+000. Contract Location: Lanao del Norte Brief Description of Goods to be Procured: Aggregate Base Course = 414 cu.m. Approved Budget</t>
  </si>
  <si>
    <t xml:space="preserve"> Contract Name: 20GKF0034-Purchase of Materials for Regravelling of RoadShoulders along LDNICR (Magsaysay-Tubod Section) K1588+000- K1591+600. Contract Location: Lanao del Norte Brief Description of Goods to be Procured: Aggregate Base Course = 368 cu.m. A</t>
  </si>
  <si>
    <t xml:space="preserve"> MUNICIPALITY OF HINABANGAN Hinabangan, Samar Invitation to Bid for  Improvement of Water System Transmission Line  (Diversion Road) 1.	The Municipal Government of Hinabangan, through the 20% Development Fund CY 2020 intends to apply the sum of ONE MILLION</t>
  </si>
  <si>
    <t xml:space="preserve"> 1.	The Local Government Unit (LGU) of Esperanza, through the Appropriation Ordinance No. 6, series of 2019 under the Office of the Municipal Disaster Risk Reduction and Management Council (MDRRM Office) intends to apply the sum of Three Hundred Ninety Nin</t>
  </si>
  <si>
    <t xml:space="preserve"> Contract Name: 20GKF0033-Purchase of Materials for Regravelling of Road Shoulders along Tubod-Ganassi Road K1590+000-K1595+000. Contract Location: Lanao del Norte Brief Description of Goods to be Procured: Aggregate Base Course = 333 cu.m. Approved Budget</t>
  </si>
  <si>
    <t xml:space="preserve"> Section I. Invitation to Bid Republic of the Philippines Province of Davao del Norte Municipality of Talaingod 10 June, 2020 INVITATION TO BID FOR PURCHASE OF CONSTRUCTION MATERIALS (Construction of Warehouse for Potable Water System-Phase I) 1.	The Local</t>
  </si>
  <si>
    <t xml:space="preserve"> Contract Name: 20GKF0036-Purchase of Materials for Regravelling of Shoulders along Linamon-Zamboanga Road K1590+000-K1593+000. Contract Location: Lanao del Norte Brief Description of Goods to be Procured: Aggregate Base Course = 414 cu.m. Approved Budget </t>
  </si>
  <si>
    <t xml:space="preserve"> Section I. Invitation to Bid Republic of the Philippines Province of Davao del Norte Municipality of Talaingod 10 June, 2020 INVITATION TO BID FOR 	DIESOLINE (FUEL) 1.	The Local Government Unit of Talaingod, Davao del Norte intends to apply the sum of Thr</t>
  </si>
  <si>
    <t xml:space="preserve"> 103(1)a	Structure Excavation	18	cu.m.	7,308.00 900(1)	Structural Concrete	13.60	cu.m.	95,798.40 902(1)	Reinforcing Steel	148.00	kgs	10,360.00 1047(2)a	Structural Steel	1	lot	385,033.60 SPL 	Project Billboard	lot	All	1,500.00 	Equipment Needed: (Minimum) W</t>
  </si>
  <si>
    <t xml:space="preserve"> Contract Name: 20GKF0037-Purchase of Materials for Regravelling of Shoulders along Linamon-Zamboanga Road K1585+000-K1588+000. Contract Location: Lanao del Norte Brief Description of Goods to be Procured: Aggregate Base Course = 414 cu.m. Approved Budget </t>
  </si>
  <si>
    <t xml:space="preserve"> MUNICIPALITY OF HINABANGAN Hinabangan, Samar Invitation to Bid for  Repair &amp; Maintenance of Conduit Pipelines 1.	The Municipal Government of Hinabangan, through the MOOE CY 2020 (Mayor’s Office) intends to apply the sum of SIX HUNDRED THIRTY ONE THOUSAND </t>
  </si>
  <si>
    <t xml:space="preserve"> Supply and Delivery of Customized Gift Certificates for DTI Pangkabuhayan sa Pagbangon at Ginhawa (DTI-PBG) 1.	The Department of Trade and Industry Region IV-A, through the General Appropriations Act intends to apply the sum of  Twelve Million Four Hundre</t>
  </si>
  <si>
    <t xml:space="preserve"> Contract Name: 20GKF0035-Purchase of Materials for Regravelling of Road Shoulders along Tubod-Ganassi Road K1600+000-K1605+000. Contract Location: Lanao del Norte Brief Description of Goods to be Procured: Aggregate Base Course = 333 cu.m. Approved Budget</t>
  </si>
  <si>
    <t xml:space="preserve"> Contract Name: 20GKF0038-Purchase of Materials for Regravelling of Road Shoulders along Tubod-Ganassi Road K1605+000-K1610+000. Contract Location: Lanao del Norte Brief Description of Goods to be Procured: Aggregate Base Course = 333 cu.m. Approved Budget</t>
  </si>
  <si>
    <t xml:space="preserve"> General Specification 1. Fuel Based on Actual Pump Rate per Liter 2. Supplier must be within the locality (Tagum City) 3. With wide parking area for vehicles (during refilling of fuel) Posting date: June 10, 2020 Closing Date June 16, 2020</t>
  </si>
  <si>
    <t xml:space="preserve"> Republic of the Philippines Province of Ilocos Norte MUNICIPALITY OF ADAMS BIDS AND AWARDS COMMITTEE Cp nos.:09085535686, 0932314137, 09563902358  email address : mannegdege@yahoo.com JUNE 09, 2020 INVITATION TO BID CONSTRUCTION OF ROADS 1.	The Municipal </t>
  </si>
  <si>
    <t xml:space="preserve"> Invitation to Bid The Barangay Malilion, Municipality of San Nicolas Pangasinan through its Bids and Award Committee(BAC), invites contractors registered with and classfied by the Philgeps to apply for the eligibility and if found eligible, to bid for the</t>
  </si>
  <si>
    <t xml:space="preserve"> Cement, Portland	840	bags Sand, S &amp; W	50	cu.m. Gravel, 3/4" - 1"	100	cu.m. 16Ø x 6.0 RSB, Deformed	30	pcs. 25pcs. 2" x 6" x 12' Coco Lumber	300	BF 8pcs. 2" x 2" x 12' Coco Lumber	32	BF 1pc. 3" x 4" x 10' Apitong	10	BF 1/4" x 2" x 8' Flat Moulding	2	pcs. 3</t>
  </si>
  <si>
    <t xml:space="preserve"> Republic of the Philippines Region XII Province of Cotabato BIDS AND AWARDS COMMITTEE Amas, Kidapawan City INVITATION TO BID FOR Supply &amp; Delivery of Medical Supplies &amp; Medicines for Arakan Valley District Hospital, Antipas, Cotabato. (PB-20-212) 1.	The P</t>
  </si>
  <si>
    <t xml:space="preserve"> Section I. Invitation to Bid Republic of the Philippines Province of Davao del Norte MUNICIPALITY OF TALAINGOD 								10 June, 2020 Invitation to Bid for CONSTRUCTION OF MULTI-PURPOSE CENTERS (@Purok 3, Tagulayan Palma Gil &amp; Sitio Salawao, Sto. Niño,Tala</t>
  </si>
  <si>
    <t xml:space="preserve"> OFFICE OF THE BIDS AND AWARDS COMMITTEE INVITATION TO BID NO. 90-20 Name of Project: Procurement of Hardware Materials used for Road Concreting of Brgy. Street @ Brgy. San Roque, Socorro, SDN Source of Funds: 20% Development Fund The Municipality of Socor</t>
  </si>
  <si>
    <t xml:space="preserve"> Please see attached Request for Quotation and Terms and Conditions</t>
  </si>
  <si>
    <t xml:space="preserve"> Semi-Integrated Solar Street Lamp 	35	unit (Lamp + Battery + Controller + Solar Panel)		  - Lamp : 80 Led Beads, 220 Lumens/Watts		 &gt; 3,000 Lumen, &gt; 50,000 Hrs, 6000k Color Temp.,		  - Charge Controller: MPPT, 10A Charge 		 Current, Intellegent Led Power </t>
  </si>
  <si>
    <t xml:space="preserve"> JOSE B. LINGAD MEMORIAL REGIONAL HOSPITAL City of San Fernando, Pampanga Tel. No. (045) 961-3921 Date: June 10, 2020 No. 2020 – 06 - 183-S REQUEST FOR QUOTATION (Name of Agency) (Address) Sir/Madam: Please quote your lowest price on the item/s listed belo</t>
  </si>
  <si>
    <t xml:space="preserve"> Contract Name: 20GKF0040-Purchase of Materials for Regravelling of Shoulders along Linamon-Zamboanga Road K1576+000-K1579+000. Contract Location: Lanao del Norte Brief Description of Goods to be Procured: Aggregate Base Course = 414 cu.m. Approved Budget </t>
  </si>
  <si>
    <t xml:space="preserve"> OFFICE OF THE BIDS AND AWARDS COMMITTEE INVITATION TO BID NO. 91-20 Name of Project: Procurement of Aggregates used for Road Concreting of Brgy. Street @ Brgy. San Roque, Socorro, SDN Source of Funds: 20% Development Fund The Municipality of Socorro throu</t>
  </si>
  <si>
    <t xml:space="preserve"> 801	Removal &amp; Relocation of Structures (63mmØ HDPE Pipes	720	ln.m.	47,520.00 803(1)	Structure Excavation (Common Soil)	108	cu.m.	48,168.00 804(1)	Embankment From Structure Excavation	108	cu.m.	24,084.00 900(1)	Structural Concrete, Class “A”	1.75	cu.m.	11,</t>
  </si>
  <si>
    <t xml:space="preserve"> INVITATION TO BID PROCUREMENT OF VARIOUS MEDICAL EQUIPMENT CY 2020 PUBLIC BIDDING NO. VMC-2020-026 1.	The Valenzuela Medical Center (VMC), through the General Appropriations Act CY 2020/Income Fund intends to apply the sum of Philippine Currency: Forty Fi</t>
  </si>
  <si>
    <t xml:space="preserve"> Republic of the Philippines Province of Batangas MUNICIPALITY OF LOBO Invitation to Bid for the PURCHASE OF GENERATOR SET TO BE INSTALLED AT NEW PUBLIC MARKET, BARANGAY POBLACION, LOBO, BATANGAS Contract ID No. 3-01-001-20-076 			 1.The Municipal Governme</t>
  </si>
  <si>
    <t xml:space="preserve"> Contract Name: 20GKF0039-Purchase of Materials for Regravelling of Road Shoulders along Tubod-Ganassi Road K1605+000-K1610+000. Contract Location: Lanao del Norte Brief Description of Goods to be Procured: Aggregate Base Course = 333 cu.m. Approved Budget</t>
  </si>
  <si>
    <t xml:space="preserve"> Republic of the Philippines Region XII Province of Cotabato BIDS AND AWARDS COMMITTEE Amas, Kidapawan City INVITATION TO BID FOR Supply &amp; Delivery of IV Fluids for Mlang District Hospital, Mlang, Cotabato. (PB-20-304) 1.	The Provincial Government of Cotab</t>
  </si>
  <si>
    <t xml:space="preserve"> JOSE B. LINGAD MEMORIAL REGIONAL HOSPITAL City of San Fernando, Pampanga Tel. No. (045) 961-3921 Date: June 10, 2020 No. 2020 – 06 - 184-S REQUEST FOR QUOTATION (Name of Agency) (Address) Sir/Madam: Please quote your lowest price on the item/s listed belo</t>
  </si>
  <si>
    <t xml:space="preserve"> Republic of the Philippines Region XII Province of Cotabato BIDS AND AWARDS COMMITTEE Amas, Kidapawan City INVITATION TO BID FOR Supply &amp; Delivery of Medical Supplies for Mlang District Hospital, Mlang, Cotabato. (PB-20-303) 1.	The Provincial Government o</t>
  </si>
  <si>
    <t xml:space="preserve"> Republic of the Philippines Region XII Province of Cotabato BIDS AND AWARDS COMMITTEE Amas, Kidapawan City INVITATION TO BID FOR Supply &amp; Delivery of Brochures to be distributed to walk-in clients (farmers) of the Office of Provincial Agriculturist, Amas,</t>
  </si>
  <si>
    <t xml:space="preserve"> Republic of the Philippines Region XII Province of Cotabato BIDS AND AWARDS COMMITTEE Amas, Kidapawan City INVITATION TO BID FOR Supply &amp; Delivery of Office Equipment for the Office of the Provincial Veterinarian, Amas, Kidapawan City. (PB-20-306) 1.	The </t>
  </si>
  <si>
    <t xml:space="preserve"> Section I. Invitation to Bid Republic of the Philippines Province of Davao del Norte MUNICIPALITY OF TALAINGOD 								10 June , 2020 Invitation to Bid for CONSTRUCTION OF SCHOOL FENCING (PHASE II) (@Sto. Niño Central Elementary School, Talaingod, DdN 1.	</t>
  </si>
  <si>
    <t xml:space="preserve"> 2" GRAVEL	5.67	m3 1" Gravel	0.94	m3 Portland Cement 40 kg Type I	61	Bags 3/4" Gravel	5.78	m3 Sand	7.22	m3 Ordinary Plywood (4' x 8' x 1/2") 	2	pcs 2" x 2" x 12' Cocolumber 	10	pcs Common wire nails (Assorted Size)	5	kgs 16 mmØ x 6 mtr RSB	12	pcs 12 mmØ x </t>
  </si>
  <si>
    <t xml:space="preserve"> Contract ID No. 20OH0148 Contract Name : Local  Program - Construction/Repair/Rehabilitation/Improvement  of  various   Infrastructure including Local Projects-Buildings and other Structures-Multi-Purpose/facilities-Construction of Various Multi-Purpose B</t>
  </si>
  <si>
    <t xml:space="preserve"> Republic of the Philippines Region XII Province of Cotabato BIDS AND AWARDS COMMITTEE Amas, Kidapawan City INVITATION TO BID FOR Supply &amp; Delivery of Laptop Computers for the Office of the Vice Governor and the Sangguniang Panlalawigan, Amas, Kidapawan Ci</t>
  </si>
  <si>
    <t xml:space="preserve"> Republic of the Philippines Region XII Province of Cotabato BIDS AND AWARDS COMMITTEE Amas, Kidapawan City INVITATION TO BID FOR Supply &amp; Delivery of Relief Supplies for distribution to E-CLIP beneficiaries . (PB-20-311) 1.	The Provincial Government of Co</t>
  </si>
  <si>
    <t xml:space="preserve"> Republic of the Philippines Region XII Province of Cotabato BIDS AND AWARDS COMMITTEE Amas, Kidapawan City INVITATION TO BID FOR Supply &amp; Delivery of Veterinary Equipment for the Office of the Provincial Veterinarian, Amas, Kidapawan City. (PB-20-305) 1.	</t>
  </si>
  <si>
    <t xml:space="preserve"> Republic of the Philippines Region XII Province of Cotabato BIDS AND AWARDS COMMITTEE Amas, Kidapawan City INVITATION TO BID FOR Supply &amp; Delivery of Laboratory Reagents for Mlang District Hospital, Mlang, Cotabato. (PB-20-309) 1.	The Provincial Governmen</t>
  </si>
  <si>
    <t xml:space="preserve"> Republic of the Philippines Region XII Province of Cotabato BIDS AND AWARDS COMMITTEE Amas, Kidapawan City INVITATION TO BID FOR Supply &amp; Delivery of Hardware Supplies for distribution to different barangay/recipients of the province . (PB-20-312) 1.	The </t>
  </si>
  <si>
    <t xml:space="preserve"> Invitation to Bid for Construction/Rehabilitation of Local Roads, Poblacion,Mogpog, Marinduque 1.	The Municipal Government of Mogpog, through the 2020Annual Investment Fundintends to apply the sum of ONE MILLION SEVEN HUNDRED SEVENTY NINE THOUSAND SIX HUN</t>
  </si>
  <si>
    <t xml:space="preserve"> ATTACHED</t>
  </si>
  <si>
    <t xml:space="preserve"> Republic of the Philippines Province of Agusan del Sur MUNICIPALITY OF PROSPERIDAD BARANGAY LA CARIDAD BIDS AND AWARDS COMMITTEE NOTICE FOR NEGOTIATED PROCUREMENT (TWO FAILED BIDDING) NO. 2020-011 The Barangay Government of La Caridad, Prosperidad, Agusan</t>
  </si>
  <si>
    <t xml:space="preserve"> Republic of the Philippines Region XII Province of Cotabato BIDS AND AWARDS COMMITTEE Amas, Kidapawan City INVITATION TO BID FOR Supply &amp; Delivery of Various Agricultural Supplies for the Office of Provincial Agriculturist, Amas, Kidapawan City. (PB-20-30</t>
  </si>
  <si>
    <t xml:space="preserve"> Contract ID No. 20OH0102 Re-ads Contract Name :  Local Program-Local  Infrastructure  Program-Buildings  and other Structures - Multi-Purpose/Facilities-Construction of Multi-Purpose Building Villamor Air Base, Pasay City Contract Location: Pasay City	 Sc</t>
  </si>
  <si>
    <t xml:space="preserve"> Contract ID No. 20OH0149 Contract Name : Local Program-Local Infrastructure Program-Buildings and other Structures-  Multipurpose / Facilities - Construction of Multi-purpose Building and Facilities, Pres. Corazon C. Aquino Senior High School, Baseco Port</t>
  </si>
  <si>
    <t xml:space="preserve"> Republic of the Philippines Region XII Province of Cotabato BIDS AND AWARDS COMMITTEE Amas, Kidapawan City INVITATION TO BID FOR Supply &amp; Delivery of IT &amp; Office Equipment for the Provincial Human Resource Management Office, Amas, Kidapawan City. (PB-20-3</t>
  </si>
  <si>
    <t xml:space="preserve"> Republic of the Philippines													 City of San Carlos													 Negros Occidental													 									                  			REBIDDING	 INVITATION TO BID											FOR SALE	 			PURCHASE REQUEST NO: 1-20-02-0376				P 150.00	 Sealed bids for quotat</t>
  </si>
  <si>
    <t xml:space="preserve"> Republic of the Philippines													 City of San Carlos													 Negros Occidental													 										                  		REBIDDING	 INVITATION TO BID											FOR SALE	 			PURCHASE REQUEST NO: 1-20-02-0341				P 150.00	 Sealed bids for quotat</t>
  </si>
  <si>
    <t xml:space="preserve"> Republic of the Philippines Region XII Province of Cotabato BIDS AND AWARDS COMMITTEE Amas, Kidapawan City INVITATION TO BID FOR Supply of Diesel Fuel for the use of various activities and official vehicles of the Office of the Vice Governor and Sanggunia</t>
  </si>
  <si>
    <t xml:space="preserve"> Contract ID No. 20OH0150 Contract Name :  Renovation of Planning Service Offices, DPWH Head Office, Bonifacio Drive, Port Area, Manila Contract Location: Manila City	 Scope of Work: Renovation of Office Building Source of Fund and Year: GAA 2020  Approved</t>
  </si>
  <si>
    <t xml:space="preserve"> Republic of the Philippines													 City of San Carlos													 Negros Occidental													 													 INVITATION TO BID											FOR SALE	 			PURCHASE REQUEST NO: 1-20-03-0447				P 150.00	 Sealed bids for quotation of prices will be recei</t>
  </si>
  <si>
    <t xml:space="preserve"> Republic of the Philippines													 City of San Carlos													 Negros Occidental													 													 INVITATION TO BID											FOR SALE	 			PURCHASE REQUEST NO: 1-20-03-0462				P 150.00	 Sealed bids for quotation of prices will be recei</t>
  </si>
  <si>
    <t xml:space="preserve"> Republic of the Philippines													 City of San Carlos													 Negros Occidental													 													 INVITATION TO BID											FOR SALE	 			PURCHASE REQUEST NO: 1-20-03-0439				P 300.00	 Sealed bids for quotation of prices will be recei</t>
  </si>
  <si>
    <t xml:space="preserve"> Republic of the Philippines													 City of San Carlos													 Negros Occidental													 													 INVITATION TO BID											FOR SALE	 			PURCHASE REQUEST NO: 1-20-03-0435				P 150.00	 Sealed bids for quotation of prices will be recei</t>
  </si>
  <si>
    <t xml:space="preserve"> Contract ID No. 20OH0151 Contract Name :  Proposed Construction/Rehabilitation of Water Supply/Septage and Sewerage/Rainwater                            Collector-Rainwater Collector System at: 1)	Aurora A. Quezon E/S San Andres cor. Vasquez, Malate, Mani</t>
  </si>
  <si>
    <t xml:space="preserve"> Republic of the Philippines													 City of San Carlos													 Negros Occidental													 													 INVITATION TO BID											FOR SALE	 			PURCHASE REQUEST NO: 1-20-03-0446				P 150.00	 Sealed bids for quotation of prices will be recei</t>
  </si>
  <si>
    <t xml:space="preserve"> Republic of the Philippines													 City of San Carlos													 Negros Occidental													 													 INVITATION TO BID											FOR SALE	 			PURCHASE REQUEST NO: 1-20-03-0436				P 300.00	 Sealed bids for quotation of prices will be recei</t>
  </si>
  <si>
    <t xml:space="preserve"> Republic of the Philippines													 City of San Carlos													 Negros Occidental													 										                     		REBIDDING	 INVITATION TO BID											FOR SALE	 			PURCHASE REQUEST NO: 9-20-02-0384				P 150.00	 Sealed bids for quo</t>
  </si>
  <si>
    <t xml:space="preserve"> For Shortlisted Consultants only.</t>
  </si>
  <si>
    <t xml:space="preserve"> Republic of the Philippines													 City of San Carlos													 Negros Occidental													 									                  			REBIDDING	 INVITATION TO BID											FOR SALE	 			PURCHASE REQUEST NO: 1-20-02-0393				P 150.00	 Sealed bids for quotat</t>
  </si>
  <si>
    <t xml:space="preserve"> Republic of the Philippines													 City of San Carlos													 Negros Occidental													 													 INVITATION TO BID											FOR SALE	 			PURCHASE REQUEST NO: 1-20-03-0426				P 693.00	 Sealed bids for quotation of prices will be recei</t>
  </si>
  <si>
    <t xml:space="preserve"> Republic of the Philippines													 City of San Carlos													 Negros Occidental													 													 INVITATION TO BID											FOR SALE	 			PURCHASE REQUEST NO: 1-20-03-0418				P 500.00	 Sealed bids for quotation of prices will be recei</t>
  </si>
  <si>
    <t xml:space="preserve"> Republic of the Philippines													 City of San Carlos													 Negros Occidental													 													 INVITATION TO BID											FOR SALE	 			PURCHASE REQUEST NO: 18-20-03-0431				P 998.00	 Sealed bids for quotation of prices will be rece</t>
  </si>
  <si>
    <t xml:space="preserve"> Republic of the Philippines PROVINCE OF SAMAR Municipality of Pinabacdao Invitation to Bid Repair of Brgy. Botoc Health Station and Installation of Facilities Pinabacdao Samar 1. The LOCAL GOVERMENT UNIT of Pinabacdao Samar, through the FY 2020 Budget int</t>
  </si>
  <si>
    <t xml:space="preserve"> Republic of the Philippines													 City of San Carlos													 Negros Occidental													 													 INVITATION TO BID											FOR SALE	 			PURCHASE REQUEST NO: 1-20-03-0438				P 150.00	 Sealed bids for quotation of prices will be recei</t>
  </si>
  <si>
    <t xml:space="preserve"> Republic of the Philippines Region XII Province of Cotabato CITY OF KIDAPAWAN BIDS AND AWARDS COMMITTEE Invitation to Bid 						  		          Date: June 09, 2020 1.	The City Government of Kidapawan, through the 20% EDF CY 2020 Appropriation Ordinance 20-0</t>
  </si>
  <si>
    <t xml:space="preserve"> Republic of the Philippines CITY OF TACURONGAlong National Highway &amp; City S OFFICE OF THE CITY MAYOR INVITATION TO BID FOR  INSTALLATION OF SOLAR STREET LIGHTS (Contract ID No: 2020-CW-017) The City Government of Tacurong, through Locally Funded Projects </t>
  </si>
  <si>
    <t xml:space="preserve"> Republic of the Philippines Region XII Province of Cotabato CITY OF KIDAPAWAN BIDS AND AWARDS COMMITTEE Invitation to Bid 						  		             Date: June 09, 2020 1.	The City Government of Kidapawan, through the 20% EDF CY 2020 Appropriation Ordinance 2</t>
  </si>
  <si>
    <t xml:space="preserve"> Republic of the Philippines Region XII Province of Cotabato City of Kidapawan OFFICE OF THE BIDS AND AWARD COMMITTEE June 9, 2020 INVITATION TO BID FOR  SUPPLY AND DELIVERY OF WITHDRAWAL SLIP BOOKLET FOR THE CDRRMO, KIDAPAWAN CITY The CITY GOVERNMENT OF K</t>
  </si>
  <si>
    <t xml:space="preserve"> Republic of the Philippines Province of Agusan del Sur Municipality of Trento BIDS &amp; AWARDS COMMITTEE INVITATION TO BID  FOR THE REPAIR, REPAINT DESTROYED PORTION OF PUBLIC MARKET BUILDING 1.	The Municipality of Trento, through the 5% GAD intends to apply</t>
  </si>
  <si>
    <t xml:space="preserve"> REQUEST FOR EXPRESSION OF INTEREST (EOI) For the PROCUREMENT of CONSULTING SERVICES for the FORMULATION of SIMPLIFIED FEASIBILITY STUDY &amp; BASIC DESIGN for the POTABLE WATER SYSTEM in the CITY of EL SALVADOR 1.	The Local Government Unit of El Salvador City</t>
  </si>
  <si>
    <t xml:space="preserve"> INVITATION TO BID: BID REFERENCE NO. 2020-68 “(REPOSTING) PROCUREMENT OF TWO (2) UNITS MULTI-PURPOSE VEHICLE” The DA-Bureau of Fisheries and Aquatic Resources Region VII, through the General Appropriations Act (GAA) FY 2020 intends to apply the sum of TWO</t>
  </si>
  <si>
    <t xml:space="preserve"> Republic of the Philippines Region XII Province of Cotabato CITY OF KIDAPAWAN BIDS AND AWARDS COMMITTEE Invitation to Bid 						  		             Date: June 9, 2020 1.	The City Government of Kidapawan, through the Trust Fund (Department of Agriculture Acco</t>
  </si>
  <si>
    <t xml:space="preserve"> INVITATION TO BID BID REFERENCE NO. 2020-67 “(REPOSTING) PROCUREMENT OF VARIOUS MATERIALS FOR FABRICATION OF 8 UNITS (22FT) MOTORIZED FRP BOAT UNDER SAAD 2020 FOR COASTAL MUNICIPALITY OF BOHOL” The DA-Bureau of Fisheries and Aquatic Resources Region VII, </t>
  </si>
  <si>
    <t xml:space="preserve"> INVITATION TO BID: BID REFERENCE NO. 2020-64 “(REPOSTING) PROCUREMENT OF TEN (10) UNITS 20HP MARINE ENGINE (DIESEL) WITH COMPLETE ACCESSORIES FOR CEBU PROVINCE” The DA-Bureau of Fisheries and Aquatic Resources Region VII, through the General Appropriation</t>
  </si>
  <si>
    <t xml:space="preserve"> Procurement of Mental Drugs Lot 2</t>
  </si>
  <si>
    <t xml:space="preserve"> Surgical Face Mask/Disposable - 500 pieces Alcohol - 30 gallons Sanitizer - 20 bottles Liquid Hand Soap - 100 bottles Thermal Scanner - 5 units Digital Thermometer - 5 pieces Surgical Gloves - 5 boxes Tissue Paper 12's- 10 Rolls  Vitamin C Supplement - 10</t>
  </si>
  <si>
    <t xml:space="preserve"> 1 unit Bottle and Glass Crusher Grinding Capacity: 500-1,000kg/hr Prime Mover: 10-14 HP Diesel Engine Horizontal Blades: Approx. 26 pcs, high impact steel blades Rotor Diameter: 215mm Hopper Dimension: Approx. 22" x 18" Perforation Screen Size: Approx. 5/</t>
  </si>
  <si>
    <t xml:space="preserve"> INVITATION TO BID: BID REFERENCE NO. 2020-66 “(REPOSTING) PROCUREMENT OF FIFTEEN (15) UNITS 7HP MARINE ENGINE (GASOLINE FED) WITH COMPLETE ACCESSORIES UNDER TARGET 2020 FOR COASTAL MUNICIPALITY OF BOHOL” The DA-Bureau of Fisheries and Aquatic Resources Re</t>
  </si>
  <si>
    <t xml:space="preserve"> Procurement of Mental Drugs Lot 1</t>
  </si>
  <si>
    <t xml:space="preserve"> 103(1)A STRUCTURE EXCAVATION 178.56 CU.M 506 STONE MASONRY 99.58 CU.M 104(1) EMBANKMENT 48 CU.M B.5 PROJECT BILLBOARD 1 EACH</t>
  </si>
  <si>
    <t xml:space="preserve"> INVITATION TO BID: BID REFERENCE NO. 2020-63 “(REPOSTING) PROCUREMENT OF NINETY (90) UNITS 7.5HP MARINE ENGINE (DIESEL) WITH COMPLETE ACCESSORIES FOR CEBU PROVINCE” The DA-Bureau of Fisheries and Aquatic Resources Region VII, through the General Appropria</t>
  </si>
  <si>
    <t xml:space="preserve"> INVITATION TO BID: BID REFERENCE NO. 2020-65 “(REPOSTING) PROCUREMENT OF EIGHT (8) UNITS 7HP MARINE ENGINE (GASOLINE FED) WITH COMPLETE ACCESSORIES UNDER SAAD 2020 FOR COASTAL MUNICIPALITY OF BOHOL” The DA-Bureau of Fisheries and Aquatic Resources Region </t>
  </si>
  <si>
    <t xml:space="preserve"> Invitation to Bid for the Supply and Delivery of various Medicine for the use of Brgy. Poblacion 21, Batangas City.</t>
  </si>
  <si>
    <t xml:space="preserve"> Procurement of Mental Drugs Lot 3</t>
  </si>
  <si>
    <t xml:space="preserve"> Diesel Fuel etc. NOTE:To all suppliers bid documents and BAC Resolution 2020-029 are available at  BAC Office and LGU website.</t>
  </si>
  <si>
    <t xml:space="preserve"> Hose Bibb Faucet 1/2" dia etc. NOTE:To all suppliers bid documents and BAC Resolution 2020-029 are available at  BAC Office and LGU website.</t>
  </si>
  <si>
    <t xml:space="preserve"> 1 bag Portland cement 228.00 2 Kgs. 42-12mm Ø X 6m RSB 223.86 3 Kgs. 174-10mm Ø X 6m RSB 643.80 4 Kgs #16 Tie Wire 16.00 5 Kgs. Asstd CW Nails 29.00 6 Gal. solignum 1.00 7 Pcs. 9’pre-painted corr G1 sheet 22.00 8 Kgs. Twisted roof nail 6.00 9 L Vulcaseal </t>
  </si>
  <si>
    <t xml:space="preserve"> G.I. Pipe S-40 etc. NOTE:To all suppliers bid documents and BAC Resolution  2020-029 are available at BAC Office and LGU website.</t>
  </si>
  <si>
    <t xml:space="preserve"> Republic of the Philippines Province of Cebu Municipality of Cordova BIDS AND AWARDS COMMITTEE (BAC) (032-236-6171) INVITATION TO BID  The Municipality of Cordova, through its Bids and Awards Committee (BAC) intends to apply  the sum of Eighty Million Sev</t>
  </si>
  <si>
    <t xml:space="preserve"> The Local  Government   Unit  of General  Santos  City, through  the  GENERAL FUND CY 2020  intends  to apply  the sum of two hundred twenty two thousand eight hundred ten and xx / 100 Pesos Only (222,810.00)   being  the Approved  Budget  for the Contrac</t>
  </si>
  <si>
    <t xml:space="preserve"> Contract ID: 			200003	 Contract Name: 	Purchase of One  (1) Unit  Heavy Equipment  for use at DPWH-Bataan 1st   District Engineering Office  (DEO) Contract Location: 		Orani,Bataan                  Approved Budget for the Contract (ABC):  Php 6,800,000.0</t>
  </si>
  <si>
    <t xml:space="preserve"> The Local  Government   Unit  of General  Santos  City, through  the  GENERAL FUND  CY 2020  intends  to apply  the sum of nine hundred sixty seven thousand and xx / 100 Pesos Only (967,000.00)   being  the Approved  Budget  for the Contract   (ABC) to pa</t>
  </si>
  <si>
    <t xml:space="preserve"> Portland Cement etc. NOTE:To all suppliers bid documents and BAC Resolution  2020-029 are available at BAC Office and LGU website.</t>
  </si>
  <si>
    <t xml:space="preserve"> Methyl Eugenol etc. NOTE:To all suppliers bid documents and BAC Resolution 2020-029 are available at  BAC Office and LGU website.</t>
  </si>
  <si>
    <t xml:space="preserve"> Procurement of Mental Drugs Lot 5</t>
  </si>
  <si>
    <t xml:space="preserve"> The Local  Government   Unit  of General  Santos  City, through  the  GENERAL FUND  intends  to apply  the sum of one hundred fifty five thousand and xx / 100 Pesos Only (155,000.00)   being  the Approved  Budget  for the Contract   (ABC) to payments  und</t>
  </si>
  <si>
    <t xml:space="preserve"> 20F00124 - Maintenance, Repair and Rehabilitation of Infrastructure Facilities and Other Related Activities – Maintenance Repair and Rehabilitation of Infrastructure Facilities – Flood Control and Drainage Systems Structures and Related Facilities: Repair</t>
  </si>
  <si>
    <t xml:space="preserve"> The Local  Government   Unit  of General  Santos  City, through  the  GENERAL FUND  intends  to apply  the sum of eight thousand four hundred and xx / 100 Pesos Only (8,400.00)   being  the Approved  Budget  for the Contract   (ABC) to payments  under  th</t>
  </si>
  <si>
    <t xml:space="preserve"> The Local  Government   Unit  of General  Santos  City, through  the  CY 2020  intends  to apply  the sum of seventy eight thousand seven hundred fifty and xx / 100 Pesos Only (78,750.00)   being  the Approved  Budget  for the Contract   (ABC) to payments</t>
  </si>
  <si>
    <t xml:space="preserve"> Procurement of Mental Drugs Lot 4</t>
  </si>
  <si>
    <t xml:space="preserve"> 1 bags Portland Cement 229.00 2 kgs 215-10mm Ø X 6m RSB 795.50 3 kgs #16 G.I Tie wire 24.00 4 kgs Assorted CWN 63.00 5 pcs 1/2" x 4'x8' Ordinary Plywood 22.00 6 kgs 44-16mm Ø X 6m RSB 369.33 7 pcs CHB 4" X 8" X 16" 1,003.00 8 bags Water Proofing Compound(</t>
  </si>
  <si>
    <t xml:space="preserve"> The Local  Government   Unit  of General  Santos  City, through  the  GENERAL FUND CY 2020  intends  to apply  the sum of four hundred forty thousand and xx / 100 Pesos Only (440,000.00)   being  the Approved  Budget  for the Contract   (ABC) to payments </t>
  </si>
  <si>
    <t xml:space="preserve"> The Local  Government   Unit  of General  Santos  City, through  the  GENERAL FUND CY 2020  intends  to apply  the sum of seven hundred ninety four thousand fifty and 60 / 100 Pesos Only (794,050.60)   being  the Approved  Budget  for the Contract   (ABC)</t>
  </si>
  <si>
    <t xml:space="preserve"> Supply and delivery of various construction materials for Various Projects LOT 5</t>
  </si>
  <si>
    <t xml:space="preserve"> REQUEST FOR QUOTATION      	Please quote your lowest price on the project listed below, subject to the Terms of Reference hereto attached.  Submit your quotation duly signed by your representative not later than 10:00 a.m. on 24 June 2020 to this address:</t>
  </si>
  <si>
    <t xml:space="preserve"> The Local  Government   Unit  of General  Santos  City, through  the  GENERAL FUND CY 2020  intends  to apply  the sum of four million six hundred eighty thousand seven hundred and xx / 100 Pesos Only (4,680,700.00)   being  the Approved  Budget  for the </t>
  </si>
  <si>
    <t xml:space="preserve"> The Local  Government   Unit  of General  Santos  City, through  the  GENERALF FUND CY 2020  intends  to apply  the sum of seven hundred thirty thousand eight hundred eighty six and 47 / 100 Pesos Only (730,886.47)   being  the Approved  Budget  for the C</t>
  </si>
  <si>
    <t xml:space="preserve"> The Local  Government   Unit  of General  Santos  City, through  the  GENERAL FUND CY 2020  intends  to apply  the sum of six hundred three thousand nine hundred and xx / 100 Pesos Only (603,900.00)   being  the Approved  Budget  for the Contract   (ABC) </t>
  </si>
  <si>
    <t xml:space="preserve"> The Local  Government   Unit  of General  Santos  City, through  the  DEPED SEF CY 2020  intends  to apply  the sum of two million eight hundred thousand and xx / 100 Pesos Only (2,800,000.00)   being  the Approved  Budget  for the Contract   (ABC) to pay</t>
  </si>
  <si>
    <t xml:space="preserve"> Procurement of Mental Drugs Lot 6</t>
  </si>
  <si>
    <t xml:space="preserve"> Republic of the Philippines Region XII Province of Cotabato CITY OF KIDAPAWAN BIDS AND AWARDS COMMITTEE Invitation to Bid 						  		             Date: June 09, 2020 1.	The City Government of Kidapawan, through the Local Disaster Risk Reduction Management </t>
  </si>
  <si>
    <t xml:space="preserve"> Procurement of Mental Drugs Lot 7</t>
  </si>
  <si>
    <t xml:space="preserve"> Supply and Installation of Additional 3-units Air Conditioning Units at Construction Division DPWH RO-V, (PR No. 20-02-038 dated 2/19/2020), DPWH Regional Office No. V, Rawis, Legazpi City</t>
  </si>
  <si>
    <t xml:space="preserve"> Procurement of Space Spray (cyphenothrin 5%,BTL)</t>
  </si>
  <si>
    <t xml:space="preserve"> The Local  Government   Unit  of General  Santos  City, through  the  GENERAL FUND CY 2020  intends  to apply  the sum of one million five hundred eighty thousand and xx / 100 Pesos Only (1,580,000.00)   being  the Approved  Budget  for the Contract   (AB</t>
  </si>
  <si>
    <t xml:space="preserve"> 1. PORTLAND CEMENT 49 BAGS 2. WATER PROOFING COMPOUND 49 BAGS 3. 80-12MM DIA X 6M RSB 426.4 KGS 4. 30-10MM DIA X 6M RSB 111 KGS 5. #16 TIE WIRE 9 KGS 6. ASSORTED CWN NAILS 8 KGS 7. FORM OIL 1 LIT 8. ½” X 4’ X 8’ ORDINARY PLYWOOD 30 PCS 9. 2” X 6M DIA G.I.</t>
  </si>
  <si>
    <t xml:space="preserve"> B.5 PROJECT BILLBOARD/SIGNBOARD 1 EACH 101(3)B3 REMOVAL OF ACTUAL STRUCTURES/OBSTRUCTIONS 1,200.20 SQ.M 103(1) STRUCTURE EXCAVATION 17.64 CU.M 300(1) AGGREGATE SURFACE COURSE(UNCRUSHED) 188.60 CU.M 311(1)A PORTLAND CEMENT CONCRETE PAVEMENT 1,109.40 CU.M</t>
  </si>
  <si>
    <t xml:space="preserve"> U-bolt etc. NOTE:To all suppliers bid documents and BAC Resolution 2020-029 are available at BAC Office and LGU website.</t>
  </si>
  <si>
    <t xml:space="preserve"> The Local  Government   Unit  of General  Santos  City, through  the  GENERAL FUND CY 2020  intends  to apply  the sum of one million one hundred seventy two thousand five hundred and xx / 100 Pesos Only (1,172,500.00)   being  the Approved  Budget  for t</t>
  </si>
  <si>
    <t xml:space="preserve"> The Local  Government   Unit  of General  Santos  City, through  the  DEPED SEF CY 2020  intends  to apply  the sum of two million four hundred twenty nine thousand eight hundred ninety six and xx / 100 Pesos Only (2,429,896.00)   being  the Approved  Bud</t>
  </si>
  <si>
    <t xml:space="preserve"> Bearing etc. NOTE:To all suppliers bid documents and BAC Resolution No. 2020-029  are available at BAC Office and LGU website.</t>
  </si>
  <si>
    <t xml:space="preserve"> Republic of the Philippines Region XII Province of Cotabato City of Kidapawan OFFICE OF THE BIDS AND AWARD COMMITTEE June 9, 2020 INVITATION TO BID FOR  SUPPLY AND DELIVERY OF GROCERY ITEMS AND PERISHABLE GOODS FOR THE USE OF KIDAPAWAN CITY HOSPITAL The C</t>
  </si>
  <si>
    <t xml:space="preserve"> 800(1) CLEARING &amp; GRUBBING 250 SQ.M 803(1) STRUCTURE EXCAVATION 120 CU.M 505(5) GROUTED RIPRAP (CLASS A) 253.13 CU.M 900(1)B4 PLAIN AND REINFORCED CONCRETE WORKS 52.32 104(1) EMBANKMENT 48 CU.M SPL INSTALLATION OF BAILEY BRIDGE(PANEL LUMBER ACCESSORIES &amp; </t>
  </si>
  <si>
    <t xml:space="preserve"> Republic of the Philippines Region XII Province of Cotabato City of Kidapawan OFFICE OF THE BIDS AND AWARD COMMITTEE June 9, 2020 INVITATION TO BID FOR  SUPPLY AND DELIVERY OF OFFICE AND JANITORIAL SUPPLIES FOR THE USE OF THE CPDC AND KIDAPAWAN CITY POLIC</t>
  </si>
  <si>
    <t xml:space="preserve"> Republic of the Philippines Region XII Province of Cotabato City of Kidapawan OFFICE OF THE BIDS AND AWARD COMMITTEE June 9, 2020 INVITATION TO BID FOR  SUPPLY AND DELIVERY OF PLUMBING MATERIALS FOR THE PROPOSED INSTALLATION OF WATERLINES AT SITIO RIVERSI</t>
  </si>
  <si>
    <t xml:space="preserve"> Republic of the Philippines PROVINCE OF MISAMIS OCCIDENTAL Municipality of Clarin ooOoo INVITATION TO APPLY FOR ELIGIBILITY AND TO BID (IAEB) The Municipal Government of Clarin, Province of Misamis Occidental, through its Bid and Award Committee (BAC) inv</t>
  </si>
  <si>
    <t xml:space="preserve"> Republic of the Philippines Region XII Province of Cotabato CITY OF KIDAPAWAN BIDS AND AWARDS COMMITTEE Invitation to Bid 						  		            Date: June 09, 2020 1.	The City Government of Kidapawan, through the Local Disaster Risk Reduction Management F</t>
  </si>
  <si>
    <t xml:space="preserve"> INVITATION TO BID FOR  IMPROVEMENT OF MULTI-PURPOSE DRYING PAVEMENT - CAMANGAAN The Municipality of San Juan, through its Bids and Awards Committee (BAC), invites contractors to submit bids for the following Contract: Contract ID		:          	20-00040				</t>
  </si>
  <si>
    <t xml:space="preserve"> Republic of the Philippines												 City of San Carlos												 Negros Occidental												 												 INVITATION TO BID												 			CONSIGNMENT REQUEST NO : 9-19-10-0005						 												 Sealed bids for quotation of prices will be receive</t>
  </si>
  <si>
    <t xml:space="preserve"> Republic of the Philippines						 City Government of Davao						 						 INVITATION TO BID						 for Infrastructure Projects B12-2020						 						 The City Government of Davao now invites bidders for the project/s under B12-2020 as listed below.   The pros</t>
  </si>
  <si>
    <t xml:space="preserve"> B.5 PROJECT BILLBOARD/SIGN BOARD 1 EACH 803(1)A EXCAVATION 132 CU.M 900(1)A2 STRUCTURAL CONCRETE *WALL FOOTING 15.50 CU.M 900(1)B2 STRUCTURAL CONCRETE *SLAB ON FILL 57.60 CU.M 1046(2)A CHB NON LOAD BEARING (*INCLUDING REINFORCING STEEL) 668 SQ.M 1027(1) C</t>
  </si>
  <si>
    <t xml:space="preserve"> Project Description: 1.  Relocation of escape ladder, plumbing works &amp; electrical works (SB Office) 2.  Repair of roofing, ceiling (portion) of the following offices:      a. Agriculture Office      b. Budget Office      c. DILG Office      d. Hallway, Co</t>
  </si>
  <si>
    <t xml:space="preserve"> Republic of the Philippines Province of Cebu Municipality of Cordova BIDS AND AWARDS COMMITTEE (BAC) (032-236-6171) INVITATION TO BID  The Municipality of Cordova, through its Bids and Awards Committee (BAC) intends to apply  the sum of One Hundred Sixty-</t>
  </si>
  <si>
    <t xml:space="preserve"> Purchasing of Monobloc Tables and Chairs for Barangay Maharlika operations and occasions.</t>
  </si>
  <si>
    <t xml:space="preserve"> Supply and Delivery of Additional Global Navigation Satellite System assigned at PDD (PR No. 20-03-074 dated 3/09/2020), DPWH Regional Office No. V, Rawis, Legazpi City</t>
  </si>
  <si>
    <t xml:space="preserve"> Republic of the Philippines													 City of San Carlos													 Negros Occidental													 													 INVITATION TO BID											FOR SALE	 			PURCHASE REQUEST NO: 1-20-02-0400				P 150.00	 Sealed bids for quotation of prices will be recei</t>
  </si>
  <si>
    <t xml:space="preserve"> Item I	-31.84 cu.m. Concrete works Item II	-59.08 sq.m. Masonry works Item III	-117 sq.m. Trusses and Roofing Item IV	-6.75 cu.m. Septic Tank Item V	-1 lot Plumbing works and Water supply Item VI	-1 lot Electrical works Item VII	-1 lot Carpentry works and</t>
  </si>
  <si>
    <t xml:space="preserve"> Name of  Project/Contract	:	CONSTRUCTION OF STANDARD DAYCARE CENTER BUILDING WITH COMPLETE FACILITIES Location				:	ALIMIT,  Kasibu, Nueva Vizcaya Brief Description			:	1. Reinforced concrete beams, columns and slabs 					2. Installation of CHB 					3. St</t>
  </si>
  <si>
    <t xml:space="preserve"> Republic of the Philippines													 City of San Carlos													 Negros Occidental													 													 INVITATION TO BID										FOR SALE	 			PURCHASE REQUEST NO: 1-20-02-0381			P 150.00	 Sealed bids for quotation of prices will be receive</t>
  </si>
  <si>
    <t xml:space="preserve"> BIDS AND AWARDS COMMITTEE  INVITATION TO BID The DEPARTMENT OF HEALTH – CENTRAL VISAYAS CENTER for HEALTH DEVELOPMENT (DOH CV CHD), through its Bids and Awards Committee (BAC), invites suppliers to bid for the hereunder projects: BAC NO. 2020 - E06 Item #</t>
  </si>
  <si>
    <t xml:space="preserve"> INVITATION TO BID SUPPLY AND DELIVERY OF DESKTOP COMPUTER AND OTHER EQUIPMENT  1.	The NATIONAL DAIRY AUTHORITY through the PL480 FUNDS intends to apply the sum of PESOS: ONE MILLION NINE HUNDRED TWENTY FIVE THOUSAND FIVE HUNDRED (P1,925,500.00) ONLY on th</t>
  </si>
  <si>
    <t xml:space="preserve"> Republic of the Philippines													 City of San Carlos													 Negros Occidental													 													 INVITATION TO BID											FOR SALE	 			PURCHASE REQUEST NO: 1-20-02-0382				P 150.00	 Sealed bids for quotation of prices will be recei</t>
  </si>
  <si>
    <t xml:space="preserve"> Republic of the Philippines Bangsamoro Autonomous Region in Muslim Mindanao Provincial Government of Maguindanao BIDS AND AWARDS COMMITTEE Buluan, Maguindanao INVITATION TO BID FOR SUPPLY AND DELIVERY OF 4X4 PICK-UP 1.	The Provincial Government of Maguind</t>
  </si>
  <si>
    <t xml:space="preserve"> Concrete Paving along River Park 100LM NOTE:To all bidders bid documents and BAC Resolution 2020-029 are available at BAC Office and LGU website.</t>
  </si>
  <si>
    <t xml:space="preserve"> Republic of the Philippines													 City of San Carlos													 Negros Occidental													 									                    			REBIDDING	 INVITATION TO BID											FOR SALE	 			PURCHASE REQUEST NO: 1-20-02-0343				P 300.00	 Sealed bids for quot</t>
  </si>
  <si>
    <t xml:space="preserve"> Republic of the Philippines Province of Cavite City of General Trias BARANGAY MANGGAHAN Invitation to Bid for  Project Reference No. B-19-20-002– ROAD REBLOCKING AND CONSTRUCTION OF DRAINAGE CANAL WITH COVER AT BARANGAY MANGGAHAN, CITY OF GENERAL TRIAS, C</t>
  </si>
  <si>
    <t xml:space="preserve"> 2 COMFORT ROOMS &amp; KITCHEN SINK Item No.	Quantity	Unit	Description 			MASONRY WORKS 	14	pieces	60x60 Tiles double polish  	164	pieces	30x30 Wall Tiles  	40	pieces	30x30 Floor Tiles  	4	pieces	Aluminum Tile trim 	9	pieces	Plastic Tile trim 	22	pieces	10mm D</t>
  </si>
  <si>
    <t xml:space="preserve"> INVITATION TO BID FOR PROCUREMENT OF DENTAL DIGITAL PANORAMIC X-RAY WITH COMPLETE ACCESORRIES AND INSTALLATION IB No. 2020-06-29 (12) 1.	The Adela Serra Ty Memorial Medical Center, through HFEP CY 2019  intends to apply the sum of Two Million Pesos Only (</t>
  </si>
  <si>
    <t xml:space="preserve"> WATER &amp; SANITATION 1 (ELEVATED FLOORING, WITH ROOFING &amp; 10 FAUCET) Item No.	Quantity	Unit	Description 			MASONRY WORKS 	36	pieces	60x60 Tiles double polish  	12	pieces	10mm Deformed steel bar 	2	pieces	Plywood 1/4 	10	pieces	Good Lumber 2x2x8 	250	pieces	</t>
  </si>
  <si>
    <t xml:space="preserve"> Republic of the Philippines													 City of San Carlos													 Negros Occidental													 													 INVITATION TO BID											FOR SALE	 			PURCHASE REQUEST NO: 1-20-02-0394				P 150.00	 Sealed bids for quotation of prices will be recei</t>
  </si>
  <si>
    <t xml:space="preserve"> INVITATION TO BID GS 2020-006-020              FABRICATION AND SUPPLY OF FIBER GLASS MOTORIZED MOTORBOAT AND NON-MOTORIZED MOTORBOAT(SIBID-SIBID) 1.	The City Government of Sorsogon, through the Tanging Program under the 10 Pts. Agenda Other Purpose Funds </t>
  </si>
  <si>
    <t xml:space="preserve"> Republic of the Philippines													 City of San Carlos													 Negros Occidental													 													 INVITATION TO BID											FOR SALE	 			PURCHASE REQUEST NO : 1-20-02-0320				P 150.00	 Sealed bids for quotation of prices will be rece</t>
  </si>
  <si>
    <t xml:space="preserve"> Name of  Project/Contract	:	IMPROVEMENT OF FMR-EDRALIN-ATAN ROAD Location				:	ANTUTOT,  Kasibu, Nueva Vizcaya Brief Description			:	1. 0.15M thick aggregate base coarse 					2. Construction of 0.15m x 5.0m x 45m PCCP and 0.15m x 445m concrete tirepath 		</t>
  </si>
  <si>
    <t xml:space="preserve"> Republic of the Philippines													 City of San Carlos													 Negros Occidental													 													 INVITATION TO BID											FOR SALE	 			PURCHASE REQUEST NO: 1-20-03-0444				P 150.00	 													 Sealed bids for quotation of prices</t>
  </si>
  <si>
    <t xml:space="preserve"> this project consist of delivery of materials and construction projects</t>
  </si>
  <si>
    <t xml:space="preserve"> Republic of the Philippines Province of Southern Leyte MUNICIPALITY OF SAINT BERNARD BIDS AND AWARDS COMMITTEE INVITATION TO RE-BID FOR SUPPLY AND DELIVERY OF ONE (1) UNIT 6-WHEELER 4 x 4, 6 CUBIC METER DUMPTRUCK BAC-SBSL-MENRO-2020-10A 1.	The Municipalit</t>
  </si>
  <si>
    <t xml:space="preserve"> Name of  Project/Contract	:	IMPROVEMENT OF ANDELUCIA FMR Location				:	BINOGAWAN,  Kasibu, Nueva Vizcaya Brief Description			:	1. Road Opening 					2. Installation of 18” RCPC 					 Approved Budget  for the Contract (ABC)		:	P 678,730.75 Source of Fund			</t>
  </si>
  <si>
    <t xml:space="preserve"> Name of  Project/Contract	:	IMPROVEMENT OF LOWER SISI-MANTAE-LIMAN ROAD Location				:	PUDI,  Kasibu, Nueva Vizcaya Brief Description			:	1.Excavation for Structure 					2. Aggregate base coarse 					3. Installation of 24” and 36” RCPC with Stone Masonry H</t>
  </si>
  <si>
    <t xml:space="preserve"> Name of  Project/Contract	:	CONCRETINGOF FMR (KAKIDUGEN-CATARAWAN) Location				:	KAKIDUGEN,  Kasibu, Nueva Vizcaya Brief Description			:	1. Excavation for Structure 					2. 0.15m x 5m x 255m aggregate base coarse 					3. Construction of 0.15m x 5.0m x 255</t>
  </si>
  <si>
    <t xml:space="preserve"> Construction of Multi – Purpose Pavement and delivery of construction materials</t>
  </si>
  <si>
    <t xml:space="preserve"> Republic of the Philippines													 City of San Carlos													 Negros Occidental													 													 INVITATION TO BID											FOR SALE	 			PURCHASE REQUEST NO: 1-20-02-0375				P 150.00	 Sealed bids for quotation of prices will be recei</t>
  </si>
  <si>
    <t xml:space="preserve"> Republic of the Philippines													 City of San Carlos													 Negros Occidental													 													 INVITATION TO BID											FOR SALE	 			PURCHASE REQUEST NO: 1-20-03-0499				P 568.00	 Sealed bids for quotation of prices will be recei</t>
  </si>
  <si>
    <t xml:space="preserve"> Republic of the Philippines													 City of San Carlos													 Negros Occidental													 													 INVITATION TO BID											FOR SALE	 			PURCHASE REQUEST NO: 1-20-03-0516				P 150.00	 Sealed bids for quotation of prices will be recei</t>
  </si>
  <si>
    <t xml:space="preserve"> Item I	-92.16 sq.m. Ceiling works Item II	-65 l.m. Fencing works Item III	-101.71 sq.m. Tileworks Item IV	-16.46 sq.m. Glassworks Item V	-736.47 sq.m. Paintworks Item VI	-130.35 l.m. Installation of Fascia board Item VII	-6 units Installation of Doors Ite</t>
  </si>
  <si>
    <t xml:space="preserve"> Name of  Project/Contract	:	COMPLETION OF STANDARD BIRTHING CLINIC - ALIMIT Location				:	ALIMIT,  Kasibu, Nueva Vizcaya Brief Description			:	1. Construction of Reinforced Concrete Slabs 					2. Installation of 4” CHB 					3. 20mm thick plastering works </t>
  </si>
  <si>
    <t xml:space="preserve"> Republic of the Philippines													 City of San Carlos													 Negros Occidental													 													 INVITATION TO BID											FOR SALE	 			PURCHASE REQUEST NO: 1-20-03-0511				P 300.00	 Sealed bids for quotation of prices will be recei</t>
  </si>
  <si>
    <t xml:space="preserve"> Republic of the Philippines													 City of San Carlos													 Negros Occidental													 													 INVITATION TO BID											FOR SALE	 			PURCHASE REQUEST NO: 1-20-05-0581				P 300.00	 Sealed bids for quotation of prices will be recei</t>
  </si>
  <si>
    <t xml:space="preserve"> Republic of the Philippines													 City of San Carlos													 Negros Occidental													 													 INVITATION TO BID											FOR SALE	 			PURCHASE REQUEST NO: 1-20-02-0392				P 150.00	 Sealed bids for quotation of prices will be recei</t>
  </si>
  <si>
    <t xml:space="preserve"> 1 unit - Submersible Pump Model SP5A-26 1 1/2" NPT 4" Φ capable to deliver 7 cu.m against 120 meter TDH 1 unit - 5HP Electric Motor  single phase 230volt, 4" dia. 1 unit - 5HP Electric Control Box 1 assy. - DOL Controller for 5HP Submersible Motor single </t>
  </si>
  <si>
    <t xml:space="preserve"> Republic of the Philippines													 City of San Carlos													 Negros Occidental													 													 INVITATION TO BID											FOR SALE	 			PURCHASE REQUEST NO: 1-20-03-0433				P 150.00	 Sealed bids for quotation of prices will be recei</t>
  </si>
  <si>
    <t xml:space="preserve"> Name of  Project/Contract	:	CONSTRUCTION OF DAYCARE CENTER Location				:	CAPISAAN,  Kasibu, Nueva Vizcaya Brief Description			:	1. Construction of 15.50m x 8.50m one storey building (Phase II) 					2. Excavation works for the exterior wall footing. 					3</t>
  </si>
  <si>
    <t xml:space="preserve"> Republic of the Philippines													 City of San Carlos													 Negros Occidental													 													 INVITATION TO BID											FOR SALE	 			PURCHASE REQUEST NO: 1-20-03-0432				P 150.00	 Sealed bids for quotation of prices will be recei</t>
  </si>
  <si>
    <t xml:space="preserve"> CITY GOVERNMENT OF ZAMBOANGA		Purchase Request No.:	100-20-01-0186/January 8, 2020 Bids and Awards Committee  Villalobos St., Zamboanga City		Office of the:	CHO 		Amount:	P 1,452,000.00 SF-GOOD-60	 REQUEST FOR QUOTATION (53.1 “Two Failed Biddings”)       </t>
  </si>
  <si>
    <t xml:space="preserve"> CITY GOVERNMENT OF ZAMBOANGA		Purchase Request No.:	100-20-03-0770/March 10, 2020 Bids and Awards Committee  Villalobos St., Zamboanga City		Office of the:	CGSO-CITY ACCOUNTANT 		Amount:	P 140,600.00 SF-GOOD-60 REQUEST FOR QUOTATION (53.9 Small Value Proc</t>
  </si>
  <si>
    <t xml:space="preserve"> CITY GOVERNMENT OF ZAMBOANGA		Purchase Request No.:	100-20-02-0615/February 24, 2020 Bids and Awards Committee  Villalobos St., Zamboanga City		Office of the:	CGSO-STOCKS 		Amount:	P 978,325.00 SF-GOOD-60 REQUEST FOR QUOTATION (53.9 Small Value Procuremen</t>
  </si>
  <si>
    <t xml:space="preserve"> CITY GOVERNMENT OF ZAMBOANGA		Purchase Request No.:	100-20-03-0695/March 5, 2020 Bids and Awards Committee  Villalobos St., Zamboanga City		Office of the:	CGSO-STOCKS 		Amount:	P 443,700.00 SF-GOOD-60 REQUEST FOR QUOTATION (53.9 Small Value Procurement)  </t>
  </si>
  <si>
    <t xml:space="preserve"> CITY GOVERNMENT OF ZAMBOANGA		Purchase Request No.:	100-20-03-0755/March 10, 2020 Bids and Awards Committee  Villalobos St., Zamboanga City		Office of the:	CGSO-STOCKS 		Amount:	P 298,674.00 SF-GOOD-60 REQUEST FOR QUOTATION (53.9 Small Value Procurement) </t>
  </si>
  <si>
    <t xml:space="preserve"> CITY GOVERNMENT OF ZAMBOANGA		Purchase Request No.:	100-20-02-0594/February 21, 2020 Bids and Awards Committee  Villalobos St., Zamboanga City		Office of the:	CGSO-CITY AGRICULTURIST 		Amount:	P 300,000.00 SF-GOOD-60 REQUEST FOR QUOTATION (53.9 Small Valu</t>
  </si>
  <si>
    <t xml:space="preserve"> CITY GOVERNMENT OF ZAMBOANGA		Purchase Request No.:	100-20-03-0739/March 9, 2020 Bids and Awards Committee  Villalobos St., Zamboanga City		Office of the:	CGSO-STOCKS 		Amount:	P 147,247.00 SF-GOOD-60 REQUEST FOR QUOTATION (53.9 Small Value Procurement)  </t>
  </si>
  <si>
    <t xml:space="preserve"> CITY GOVERNMENT OF ZAMBOANGA		Purchase Request No.:	100-20-02-0625/February 27, 2020 Bids and Awards Committee  Villalobos St., Zamboanga City		Office of the:	CGSO-RTC BRANCH 12 		Amount:	P 112,000.00 SF-GOOD-60 REQUEST FOR QUOTATION (53.9 Small Value Pro</t>
  </si>
  <si>
    <t xml:space="preserve"> CITY GOVERNMENT OF ZAMBOANGA		Purchase Request No.:	100-20-03-0742/March 9, 2020 Bids and Awards Committee  Villalobos St., Zamboanga City		Office of the:	CGSO-STOCKS 		Amount:	P 224,000.00 SF-GOOD-60 REQUEST FOR QUOTATION (53.9 Small Value Procurement)  </t>
  </si>
  <si>
    <t xml:space="preserve"> CITY GOVERNMENT OF ZAMBOANGA		Purchase Request No.:	100-20-03-0743/March 9, 2020 Bids and Awards Committee  Villalobos St., Zamboanga City		Office of the:	CGSO-STOCKS 		Amount:	P 81,285.00 SF-GOOD-60 REQUEST FOR QUOTATION (53.9 Small Value Procurement)   </t>
  </si>
  <si>
    <t xml:space="preserve"> CITY GOVERNMENT OF ZAMBOANGA		Purchase Request No.:	100-20-03-0693/March 5, 2020 Bids and Awards Committee  Villalobos St., Zamboanga City		Office of the:	CGSO-STOCKS 		Amount:	P 600,119.00 SF-GOOD-60 REQUEST FOR QUOTATION (53.9 Small Value Procurement)  </t>
  </si>
  <si>
    <t xml:space="preserve"> CITY GOVERNMENT OF ZAMBOANGA		Purchase Request No.:	100-20-03-0696/March 6, 2020 Bids and Awards Committee  Villalobos St., Zamboanga City		Office of the:	CGSO-STOCKS 		Amount:	P 241,491.00 SF-GOOD-60 REQUEST FOR QUOTATION (53.9 Small Value Procurement)  </t>
  </si>
  <si>
    <t xml:space="preserve"> CITY GOVERNMENT OF ZAMBOANGA		Purchase Request No.:	100-20-02-0426-1/February 18, 2020 Bids and Awards Committee  Villalobos St., Zamboanga City		Office of the:	CGSO-CEO 		Amount:	P 160,000.00 SF-GOOD-60	 REQUEST FOR QUOTATION (53.9 Small Value Procuremen</t>
  </si>
  <si>
    <t xml:space="preserve"> Republic of the Philippines Province of Iloilo  BIDS AND AWARDS COMMITTEE REQUEST FOR QUOTATION Quotation No.GOV-20-0331-NP (SV) Reference PR No. GOV-20-0331 June 5, 2020 _______________________ _______________________ (Supplier’s Name and Office Address)</t>
  </si>
  <si>
    <t xml:space="preserve"> Republic of the Philippines													 City of San Carlos													 Negros Occidental													 													 INVITATION TO BID											FOR SALE	 			PURCHASE REQUEST NO: 4-20-02-0304				P 150.00	 Sealed bids for quotation of prices will be recei</t>
  </si>
  <si>
    <t xml:space="preserve"> Republic of the Philippines													 City of San Carlos													 Negros Occidental													 													 INVITATION TO BID											FOR SALE	 			PURCHASE REQUEST NO: 4-20-02-0377				P 150.00	 Sealed bids for quotation of prices will be recei</t>
  </si>
  <si>
    <t xml:space="preserve"> CITY GOVERNMENT OF ZAMBOANGA		Purchase Request No.:	100-20-03-0661/March 2, 2020 Bids and Awards Committee  Villalobos St., Zamboanga City		Office of the:	CGSO-OSSP-LIBRARY 		Amount:	P 53,824.00 SF-GOOD-60	 REQUEST FOR QUOTATION (53.9 Small Value Procurem</t>
  </si>
  <si>
    <t xml:space="preserve"> Item No. | Description | Unit | Quantity SPL I | Excavation / Disposal | cu m | 2.88 SPL II | Concrete Works / Forms | cu m | 1.71 SPL III | Pole Works | pcs | 10 SPL IV | Construction Healty &amp; Safety | set | 1 Other Information Activities Schedule: 1. Is</t>
  </si>
  <si>
    <t xml:space="preserve"> Important Notice for Bidders: 1. Bid documents will be available to prospective bidder upon payment of a non-refundable amount of Five Thousand Pesos Only (P 5,000.00) to the Basilan State College Cashier 2. All bidders are required to post a Bid Security</t>
  </si>
  <si>
    <t xml:space="preserve"> CITY GOVERNMENT OF ZAMBOANGA		Purchase Request No.:	100-20-03-0763/March 10, 2020 Bids and Awards Committee  Villalobos St., Zamboanga City		Office of the:	CGSO-CHO 		Amount:	P 152,752.00 SF-GOOD-60	 REQUEST FOR QUOTATION (53.9 Small Value Procurement)   </t>
  </si>
  <si>
    <t xml:space="preserve"> City Government of Manila INVITATION TO BID NO. 2020-06-82 Procurement of Various Manila Aide Uniform, Supplies and Materials 1.	The City Government of Manila, through the General Fund CY 2020 - Other Supplies and Materials Expenses intends to apply the s</t>
  </si>
  <si>
    <t xml:space="preserve"> Republic of the Philippines													 City of San Carlos													 Negros Occidental													 													 INVITATION TO BID											FOR SALE	 			PURCHASE REQUEST NO: 9-20-02-0364				P 150.00	 Sealed bids for quotation of prices will be recei</t>
  </si>
  <si>
    <t xml:space="preserve"> CITY GOVERNMENT OF ZAMBOANGA		Purchase Request No.:	100-20-01-0204/January 13, 2020 Bids and Awards Committee  Villalobos St., Zamboanga City		Office of the:	CGSO-CMO 		Amount:	P 300,000.00 SF-GOOD-60	 REQUEST FOR QUOTATION (53.9 Small Value Procurement) </t>
  </si>
  <si>
    <t xml:space="preserve"> Republic of the Philippines													 City of San Carlos													 Negros Occidental													 													 INVITATION TO BID											FOR SALE	 			PURCHASE REQUEST NO: 4-20-02-0285				P 150.00	 Sealed bids for quotation of prices will be recei</t>
  </si>
  <si>
    <t xml:space="preserve"> Republic of the Philippines Province of Davao Oriental City of Mati BIDS &amp; AWARDS COMMITTEE INVITATION TO BID ONE LOT Publication of the Approved Provincial Ordinance (Approved Schedule of Market Values) for Three Consecutive Publications with Affidavit o</t>
  </si>
  <si>
    <t xml:space="preserve"> Lot No.	Unit	Item Description/Particular	Quantity     No. of Pax	   Unit Cost	Total  Cost Lot  No. 1	pax	PSA-RSSO IX - Zamboanga City- Procurement of  Catering Services  (Lunch with AM and PM Snacks) Live-out for 6 days  in the conduct of the  4th Level  </t>
  </si>
  <si>
    <t xml:space="preserve"> LEASE SEE ATTACHED REQUEST FOR  QUOTATION IN THE  ASSOCIATED  COMPONENTS</t>
  </si>
  <si>
    <t xml:space="preserve"> 1 - GONGS, Kalsa and Pinsak = 19 sets 2 - SOLIBAO, Solibao and Kimbal = 19 sets Note: made of carabao, cow or deer skin, good quality</t>
  </si>
  <si>
    <t xml:space="preserve"> Republic of the Philippines Province of Eastern Samar City of Borongan -0- BIDS AND AWARDS COMMITTEE ------------------------------------------------------------------------------------------ Invitation to Bid for CONSTRUCTION OF LOOM RIVER FRONT PARK AT </t>
  </si>
  <si>
    <t xml:space="preserve"> PROJECT: PROCUREMENT OF 26 UNITS MOTOR CYCLE W/ SIDECAR LOCATION: RIZAL, NUEVA ECIJA DESCRIPTION: 26 UNITS MOTOR CYCLE W/ SIDECAR SOURCE OF FUND: GENERAL FUND ABC: PHP 2,000,000.00</t>
  </si>
  <si>
    <t xml:space="preserve"> Republic of the Philippines Department of Health 	ADELA SERRA TY MEMORIAL MEDICAL CENTER	 		Capitol Hills, Tandag City, Surigao del Sur Telefax No. 086-211-4306, E-mail add: astmmc_hbac@yahoo.com.ph INVITATION TO BID FOR PROCUREMENT OF FULLY AUTOMATED DIG</t>
  </si>
  <si>
    <t xml:space="preserve"> City Government of Manila INVITATION TO BID NO. 2020-06-78 Procurement of Various Airconditioning Units and Supplies &amp; Materials for Installation 1.	The City Government of Manila, through the Philhealth Trust Fund CY 2020  intends to apply the sum of Two </t>
  </si>
  <si>
    <t xml:space="preserve"> City Government of Manila INVITATION TO BID NO. 2020-06-75 Procurement of Two (2) Units Bed Passenger Elevator including Installation, Testing  Commissioning, Civil Works, Dismantling and Preventive Maintenance  1.	The City Government of Manila, through t</t>
  </si>
  <si>
    <t xml:space="preserve"> Item 105	-400 sq.m. Sub-grade Preparation Item 202	-80 cu.m. Crushed Aggregate Base Course Item 311	-80 cu.m. Portland Cement Concrete Pavement Item V	-2 units SPL-Billboard</t>
  </si>
  <si>
    <t xml:space="preserve"> City Government of Manila INVITATION TO BID  NO. 2020-06-88 Procurement of Various Vehicle Spare Parts 1.	The City Government of Manila, through the General Fund CY 2020 – Other Supplies and Materials Expenses intends to apply the sum of One Million Three</t>
  </si>
  <si>
    <t xml:space="preserve"> City Government of Manila INVITATION TO BID  NO. 2020-06-76 Procurement of Asphalt, Bitumul and Thermoplastic Lane Marking 1.	The City Government of Manila, through the General Fund CY 2020 – Repairs and Maintenance – Infrastructure Assets intends to appl</t>
  </si>
  <si>
    <t xml:space="preserve"> City Government of Manila INVITATION TO BID  NO. 2020-06-63A Rental of Heavy Equipment 1.	The City Government of Manila, through the General Fund CY 2020 – Rent Expenses intends to apply the sum of Two Million Five Hundred  Thousand Pesos Only (Php2,500,0</t>
  </si>
  <si>
    <t xml:space="preserve"> City Government of Manila INVITATION TO BID  NO. 2020-06-53A Preventive Maintenance Services for Various Hospital and Medical Equipment 1.	The City Government of Manila, through the General Fund CY 2020 – Repairs and Maintenance – Machinery and Equipment </t>
  </si>
  <si>
    <t xml:space="preserve"> City Government of Manila INVITATION TO BID  NO. 2020-06-81 Procurement of Various Construction Supplies and Materials 1.	The City Government of Manila, through the General Fund CY 2020 – Repairs and Maintenance – Infrastructure Assets &amp; Repairs and Maint</t>
  </si>
  <si>
    <t xml:space="preserve"> (see bidding documents in the associated component for further project details)</t>
  </si>
  <si>
    <t xml:space="preserve"> City Government of Manila INVITATION TO BID  NO. 2020-06-79 Procurement of Various Electrical Supplies and Materials 1.	The City Government of Manila, through the General Fund CY 2020 – Other Supplies and Materials Expenses intends to apply the sum of Two</t>
  </si>
  <si>
    <t xml:space="preserve"> Please see attached purchase request</t>
  </si>
  <si>
    <t xml:space="preserve"> Asepto Syringe 50ml													20	pc Adult Diaper large 10's												20	pack Examination Gloves Medium 50's								         		20	box Disposable Syringe 10ml 100's											10	box Elastic Bandage 3" 12's												6	pcs Elastic Bandage 4" 12's							</t>
  </si>
  <si>
    <t xml:space="preserve"> Diazepam 10mg/2mL ampule										20	amp Ephedrine 50mg/ml amp											10	amp Haloperidol 50mg ampule											10	amp Ketamine 50mg													5	vial Morphine Sulfate 10mg ampule 										10	amp Nalbuphine 10mg												10	amp Phenytoin 50mg							</t>
  </si>
  <si>
    <t xml:space="preserve"> PROJECT NAME: PROPOSED CONSTRUCTION OF CONCRETE PERIMETER FENCE LOCATION: KINAN-OAN ELEMENTARY SCHOOL, KINAN-OA, TRINIDAD, BOHOL OWNER'S NAME: DEP-ED - KES TOTAL LENGTH: 55 METERS PROJECT COST: 200,000</t>
  </si>
  <si>
    <t xml:space="preserve"> Republic of the Philippines DR. EMILIO B. ESPINOSA, SR. MEMORIAL STATE COLLEGE  OF AGRICULTURE AND TECHNOLOGY (Masbate State College) BIDS AND AWARDS COMMITTEE http:www.debesmscat.edu.ph INVITATION TO BID FOR THE SUPPLY AND DELIVERY OF  EQUIPMENT, SUPPLIE</t>
  </si>
  <si>
    <t xml:space="preserve"> Republic of the Philippines DR. EMILIO B. ESPINOSA, SR. MEMORIAL STATE COLLEGE  OF AGRICULTURE AND TECHNOLOGY (Masbate State College) BIDS AND AWARDS COMMITTEE http:www.debesmscat.edu.ph INVITATION TO BID FOR THE SUPPLY, DELIVERY AND INSTALLATION OF OFFIC</t>
  </si>
  <si>
    <t xml:space="preserve"> Activated Charcoal sachet 100 g	                                                                 40	sachet Amikacin 125mg/ml/2ml	                                                                        100	amp Amiodarone 150mg ampule 3ml	                  </t>
  </si>
  <si>
    <t xml:space="preserve"> Disp. Syringe 1 cc 100's/box									30	box Disp. Syringe 3 cc 100's/box									30	box Disp. Syringe 5 cc 100's/box									30	box Digital Thermometer 											25	pc ECG Paper  112MM x 2, 5's										10	box Surgical Facemask 50's										40	box Facem</t>
  </si>
  <si>
    <t xml:space="preserve"> Bathroom Soap 70g, asst. scent									50	pc Bleaching Solution 1/2 gal.										48	gal Broom/Walis Tambo											20	pc Bulb, LED, 12 watts, 180-265 volts								40	pc Chlorine													2	kg Detergent Bar 140g											100	bar Detergent Powder 500g</t>
  </si>
  <si>
    <t xml:space="preserve"> Construction of Bank Protection at Abowok, Junction, Pinukpuk</t>
  </si>
  <si>
    <t xml:space="preserve"> Package 1: Various MPP, Junction &amp; Katabbogan</t>
  </si>
  <si>
    <t xml:space="preserve"> City Government of Manila INVITATION TO BID  NO. 2020-06-83 Procurement of Various Supplies and Materials 1.	The City Government of Manila, through the General Fund CY 2020 – Other Supplies and Materials Expenses  intends to apply the sum of  Five Million</t>
  </si>
  <si>
    <t xml:space="preserve"> Republic of the Philippines BARANGAY SABANG OFFICE OF THE PUNONG BARANGAY BIDS AND AWARDS COMMITTEE INVITATION TO BID The Barangay Government of BARANGAY SABANG through its Bids and Awards Committee (BAC), invites suppliers/manufacturers/distributors to b</t>
  </si>
  <si>
    <t xml:space="preserve"> City Government of Manila INVITATION TO BID  NO. 2020-06-80 Procurement of one (1) lot Molecular Laboratory Set Up 1.	The City Government of Manila, through the General Fund CY 2020 – Medical Equipment-Capital Outlay   intends to apply the sum of  Fourtee</t>
  </si>
  <si>
    <t xml:space="preserve"> Request for Quotation RFQ No.		SVP-007-2020 Posting Date:         	June 9, 2020 Deadline for Submission:		June 16, 2020 at 9:00 AM Opening Date:	June 16, 2020 at 10:00 AM TO:	Name of Supplier: _______________________ 	Address: ____________________________</t>
  </si>
  <si>
    <t xml:space="preserve"> INVITATION TO BID The LGU-North,Poblacion ,Gabaldon,Nueva Ecija through its Bids and Awards Committee (BAC), invites suppliers/manufacturers/distributors/contractors to apply for eligibility and if found eligible, to bid for the hereunder contract: Name o</t>
  </si>
  <si>
    <t xml:space="preserve"> REQUEST FOR QUOTATION In view of the two(2)failed biddings,the Barangay South Poblacion,Gabaldon,Nueva Ecija through its Bids and Awards Committee(BAC) invites PhilGEPS registered,authorized seller and dealer of construction materials and supplies to appl</t>
  </si>
  <si>
    <t xml:space="preserve"> The Barangay Local Government Unit of Sinapaoan Santa Fe, Nueva Vizcaya, through its Bids &amp; Awards Committee invites contractors to bid for the following project: Contract Name:  Improvement of Multi-Purpose Building Contract Location: Sinapaoan, Santa Fe</t>
  </si>
  <si>
    <t xml:space="preserve"> BIDS AND AWARDS COMMITTEE  FDA-BAC Ref. NO. ITB No. 2020-003-CSL INVITATION TO BIDS 1.       The Food and Drug Administration (FDA), through the FDA MOOE Fund of 2020 intends to apply the sum of Three Million Nine Hundred Thirty-Seven Thousand Two Hundred</t>
  </si>
  <si>
    <t xml:space="preserve"> Republic of the Philippines							 DEPARTMENT OF PUBLIC WORKS AND HIGHWAYS							 CAGAYAN 2ND							 DISTRICT ENGINEERING OFFICE							 Regional Office II							 Abulug, Cagayan							 							 							 Procuring Entity:		DPWH-Cagayan 2nd DEO	P.R. No.:			20</t>
  </si>
  <si>
    <t xml:space="preserve"> REPUBLIC OF THE PHILIPPINES CITY OF MANILA OFFICE OF THE BARANGAY COUNCIL INVITATION TO BID SUBMISSION AND OPENING OF BID WILL BE ON JUNE 16, 2020 @ 8:00 AM. THE BARANGAY 64 ZONE 6 DISTRICT 1 MANILA THROUGH ITS BID AND AWARDS COMMITTEE ( BAC ) INVITES ALL</t>
  </si>
  <si>
    <t xml:space="preserve"> REPUBLIC OF THE PHILIPPINES CITY OF MANILA OFFICE OF THE BARANGAY COUNCIL INVITATION TO BID SUBMISSION AND OPENING OF BID WILL BE ON JUNE 16, 2020 @ 8:00 AM. THE BARANGAY 74 ZONE 6 DISTRICT 1 MANILA, THROUGH ITS BID AND AWARDS COMMITTEE ( BAC ) INVITES AL</t>
  </si>
  <si>
    <t xml:space="preserve"> Request for Quotation RFQ No.		SVP-006-2020 MR No.		02606 Requisition No. 	OD-19-110 Posting Date:         	June 9, 2020 Deadline for Submission:		June 16, 2020 at 9:00 AM Opening Date:	June 16, 2020 at 10:00 AM TO:	Name of Supplier: _____________________</t>
  </si>
  <si>
    <t xml:space="preserve"> Request for Quotation RFQ No.	SVP-008-2020 MR No.	10904 Requisition No.	ADM# 03-012020 Posting Date:	June 9, 2020 Deadline for Submission:	June 16, 2020 at 9:00 AM Opening Date:	June 16, 2020 at 10:00 AM TO:	Name of Supplier:  	 Address:  	 Contact No.:  </t>
  </si>
  <si>
    <t xml:space="preserve"> The Barangay Local Government Unit of Sinapaoan Santa Fe, Nueva Vizcaya, through its Bids &amp; Awards Committee invites contractors to bid for the following project: Contract Name:  Construction of Covered Pathway and Canopy Contract Location: Sinapaoan, San</t>
  </si>
  <si>
    <t xml:space="preserve"> The Barangay Local Government Unit of Baracbac Santa Fe, Nueva Vizcaya, through its Bids &amp; Awards Committee invites contractors to bid for the following project: Contract Name:  Construction of Line Canal Contract Location: Baracbac, Santa Fe, Nueva Vizca</t>
  </si>
  <si>
    <t xml:space="preserve"> BIDS AND AWARDS COMMITTEE  FDA-BAC Ref. No. ITB No. 2020-002-CSL INVITATION TO BIDS SUPPLY AND DELIVERY OF VARIOUS LABORATORY STANDARDS, REAGENTS AND MEDIA FOR ALABANG TESTING AND QUALITY ASSURANCE LABORATORY (ATQAL) AND CEBU TESTING AND QUALITY ASSURANCE</t>
  </si>
  <si>
    <t xml:space="preserve"> Office Supplies-Bond Paper Short,Bond Paper Long,Mosquito Killer,etc....</t>
  </si>
  <si>
    <t xml:space="preserve"> Road Concreting - 360 length                            2.5 width</t>
  </si>
  <si>
    <t xml:space="preserve"> 1 pieces 3”Ø Gate Valve, Flanged type with Companion flanges, and BNG (please see complete specifications below) Approved Budget Cost: ₱16,400.00 / pc 1 piece 2”Ø Gate Valve, Flanged type with combi-flanges, sealing ring and bolts &amp;nuts (please see comple</t>
  </si>
  <si>
    <t xml:space="preserve"> RFQ</t>
  </si>
  <si>
    <t xml:space="preserve"> Pls. see attached RFQ</t>
  </si>
  <si>
    <t xml:space="preserve"> Minimum Requirement (Criteria) 1-unit Dozer (140 HP)	  1-unit Dumptruck (175HP-4cu.m)	  1-unit Backhoe EX 270 DX (1 cu.m) 1-unit Loader (1.5 cu.m)	  1-unit Truck-Tractor with Trailer 1-unit Tamping Rammers	               	 Completion of the Works is requi</t>
  </si>
  <si>
    <t xml:space="preserve"> Republic of the Philippines Cordillera Administrative Region Mountain Province MUNICIPALITY OF TADIAN OFFICE OF THE BIDS AND AWARDS COMMITTEE Invitation to Bid for   REHABILITATION OF CAGUBATAN DOMESTIC DOMESTIC WATER SYSTEM Date: June 9, 2020 1.	The Muni</t>
  </si>
  <si>
    <t xml:space="preserve"> The LOCAL BARANGAY GOVERNMENT UNIT of Barangay Naguiddayan, intends to apply the sum above-stated being the Approved Budget for the Contract (ABC) to payments under the contract for (Concreting &amp; Widening of Barangay Road), specified hereunder: MATERIALS </t>
  </si>
  <si>
    <t xml:space="preserve"> Retractable ballpen, 84 black, 84 blue 168 pcs Sign pen Hi-tecpoint V.5 0.5, 72 black, 72 blue 144 pcs White board marker, blue, black, red 60 pcs Correction tape, 8 m. 60 pcs Envelope, mailing, legal, 10 pcs/pack, L9.5", W4.2" 50 pck Record book, shiny 3</t>
  </si>
  <si>
    <t xml:space="preserve"> Construction Materials &amp; Supplies-2x3x16 Lumber,2x4x6 Lumber,Hollow Block No.4,etc...</t>
  </si>
  <si>
    <t xml:space="preserve"> Republic of the Philippines BULACAN STATE UNIVERSITY City of Malolos, Bulacan ________________________________________ INVITATION TO BID FOR   Re-Bidding Supply and Delivery of Ground Penetrating Radar (BulSU-BAC-G-2020-14) The BULACAN STATE UNIVERSITY (B</t>
  </si>
  <si>
    <t xml:space="preserve"> Republic of the Philippines MUNICIPALITY OF KAPALONG Province of Davao del Norte 	o0o	 INVITATION TO BID 	 Supply &amp; Delivery of Other Supplies 1.	The Local Government Unit of Kapalong, through the General Fund  intends to apply the sum of Three Hundred Ei</t>
  </si>
  <si>
    <t xml:space="preserve"> Installation of Comfort Room Roofing Walling</t>
  </si>
  <si>
    <t xml:space="preserve"> Republic of the Philippines Province of Batanes	 MUNICIPALITY OF BASCO               		INVITATION TO BID FOR THE PROCUREMENT OF SUBMERSIBLE PUMPS WITH CAPACITOR 1.	The Municipal Local Government Unit of Basco, through the General Fund  intends to apply th</t>
  </si>
  <si>
    <t xml:space="preserve"> The LOCAL BARANGAY GOVERNMENT UNIT of Barangay V, intends to apply the sum above-stated being the Approved Budget for the Contract (ABC) to payments under the contract for Construction of Drainage Canal, specified hereunder: MATERIALS COST      -     106,</t>
  </si>
  <si>
    <t xml:space="preserve"> The Barangay Local Government of Depase, Municipality of Bayog, Zamboanga del Sur thru its Bids and Awards Committee (BAC) invites all interested bidders for the “CONSTRUCTION OF EVACUATION CENTER (PHASE III)”  with project location at Barangay Depase,  B</t>
  </si>
  <si>
    <t xml:space="preserve"> Republic of the Philippines Province of Southern Leyte Municipality of Tomas Oppus Invitation to Bid  PROCUREMENT OF MATERIALS FOR THE CONSTRUCTION OF  COMMUNITY LEARNING CENTER 1.	The Barangay Local Government Unit, Hinagtikan, Tomas Oppus, Southern Leyt</t>
  </si>
  <si>
    <t xml:space="preserve"> Republic of the Philippines CITY OF MALABON Metro Manila BIDS AND AWARDS COMMITTEE I N V I T A T I O N    T O    B I D SUPPLY AND DELIVERY OF MOBILE CARS FOR THE  PHILIPINE NATIONAL POLICE - MALABON 1.	The City Government of Malabon, through the Trust Fun</t>
  </si>
  <si>
    <t xml:space="preserve"> Ink Cart HP 96 Black 6 cart Ink Cart, 932 XL Black 8 cart Ink Cart, 933 XL Cyan 8 cart Ink Cart, 933 XL Magenta 8 cart Ink Cart, 933 XL Yellow 8 cart Laserjet Print HP 80A 3 cart Laserjet Print HP 55A 2 cart HP 711 Black 1 cart HP 711 Cyan 1 cart HP 711 M</t>
  </si>
  <si>
    <t xml:space="preserve"> Republic of the Philippines MUNICIPALITY OF KAPALONG Province of Davao del Norte 	o0o	 INVITATION TO BID 	 Supply &amp; Delivery of Materials for the Repair and Maintenance of Other Transportation Equipment  1.	The Local Government Unit of Kapalong, through t</t>
  </si>
  <si>
    <t xml:space="preserve"> Republic of the Philippines MUNICIPALITY OF KAPALONG Province of Davao del Norte 	o0o	 INVITATION TO BID 	 Supply &amp; Delivery of Various Medicine 1.	The Local Government Unit of Kapalong, through the General Fund  intends to apply the sum of Two Hundred Tw</t>
  </si>
  <si>
    <t xml:space="preserve"> 1 LOT</t>
  </si>
  <si>
    <t xml:space="preserve"> DRRM Supplies and Materials</t>
  </si>
  <si>
    <t xml:space="preserve"> Republic of the Philippines MUNICIPALITY OF CATARMAN Province of Northern Samar 	-ooOoo- BIDS &amp; AWARDS COMMITTEE INVITATION TO BID 	The Local Government of Catarman, Northern Samar invites interested parties/contractors to Apply for Eligibility and to Bid</t>
  </si>
  <si>
    <t xml:space="preserve"> please see attached PR.....</t>
  </si>
  <si>
    <t xml:space="preserve"> INVITATION TO BID  PROCUREMENT OF RESCUE ROPES FOR BASIC ROPE RESCUE SKILLS                                                                                                                                              PPSC BAC IB NO.005 (G) 2020 1.	The Phi</t>
  </si>
  <si>
    <t xml:space="preserve"> Republic of the Philippines MUNICIPALITY OF KAPALONG Province of Davao del Norte 	o0o	 INVITATION TO BID 	 Supply &amp; Delivery of Other Supplies 1.	The Local Government Unit of Kapalong, through the General Fund  intends to apply the sum of Nine Hundred For</t>
  </si>
  <si>
    <t xml:space="preserve"> 1.	The Local Government Unit of Tubigon, Bohol, through the budget for the contract approved by the Sangguniang Bayan (20% Development Fund) intends to apply the sum of One Million Four Hundred Sixty-One Thousand Four Hundred Ninety-Seven and 96/100 Pesos</t>
  </si>
  <si>
    <t xml:space="preserve"> 1. The Mindanao State University - Tawi-Tawi College of Technology and Oceanography (MSU-TCTO), through the Trust Fund, intends to apply the sum of Three Hundred Ninety-Eight Thousand Pesos only (PhP 398,000.00) being Approved Budget of Contract to paymen</t>
  </si>
  <si>
    <t xml:space="preserve"> Republic of the Philippines MUNICIPALITY OF KAPALONG Province of Davao del Norte 	o0o	 INVITATION TO BID 	 Supply &amp; Delivery of Materials for the Fabrication of Water Tanker w/ Trailer –Brgy. Maniki, Kapalong   1.	The Local Government Unit of Kapalong, th</t>
  </si>
  <si>
    <t xml:space="preserve"> Republic of the Philippines MUNICIPALITY OF KAPALONG Province of Davao del Norte 	o0o	 INVITATION TO BID 	 Supply &amp; Delivery of Animal/Zoological Supplies  1.	The Local Government Unit of Kapalong, through the General Fund  intends to apply the sum of Fiv</t>
  </si>
  <si>
    <t xml:space="preserve"> Republic of the Philippines Province of Batanes	 MUNICIPALITY OF BASCO               		INVITATION TO BID FOR THE PROCUREMENT OF OFFICE SUPPLIES (Batch 2) 1.	The Municipal Local Government Unit of Basco, through the General Fund intends to apply the sum of</t>
  </si>
  <si>
    <t xml:space="preserve"> 1.	The Local Government Unit of Tubigon, Bohol, through the budget for the contract approved by the Sangguniang Bayan (20% Development Fund) intends to apply the sum of One Million One Hundred Seventy-Nine Thousand Three Hundred Thirty-Five Pesos (P1,179,</t>
  </si>
  <si>
    <t xml:space="preserve"> 11 pax x 2 snacks x 30 days 11 pax x 2 meals x 30 days</t>
  </si>
  <si>
    <t xml:space="preserve"> P H I L I P P I N E   A R M Y OFFICE OF THE PHILIPPINE ARMY SPECIAL BIDS AND AWARDS COMMITTEE Fort Andres Bonifacio, Metro Manila Invitation to Bid The Armed Forces of the Philippines, through the Philippine Army Special Bids and Awards Committee (PASBAC)</t>
  </si>
  <si>
    <t xml:space="preserve"> Invitation to Bid for Construction of Nutripack Center at Brgy. San Roque, Oras, Eastern Samar 1.	The Local Government Unit of Oras, through the General Appropriations Act of 2020 intends to apply the sum of Six Hundred Ninety Four Thousand One Hundred Ei</t>
  </si>
  <si>
    <t xml:space="preserve"> Republic of the Philippines MUNICIPALITY OF KAPALONG Province of Davao del Norte 	o0o	 INVITATION TO BID 	 Supply &amp; Delivery of Materials for the Construction of Adolescent Health Center at Brgy. Maniki, Kapalong  1.	The Local Government Unit of Kapalong,</t>
  </si>
  <si>
    <t xml:space="preserve"> Republic of the Philippines			 Province of Guimaras			 Municipality of Jordan			 BIDS AWARDS COMMITTEE			 			  			8-Jun-20 			 Invitation of Bid No.20-034 ( Re-bid)			 			 Sealed bids, in triplicate subject to the coordination herein below specified will </t>
  </si>
  <si>
    <t xml:space="preserve"> Republic of the Philippines			 Province of Guimaras			 Municipality of Jordan			 BIDS AWARDS COMMITTEE			 			  			8-Jun-20 			 Invitation of Bid No.20-033 (Re-bid)			 			 Sealed bids, in triplicate subject to the coordination herein below specified will b</t>
  </si>
  <si>
    <t xml:space="preserve"> 1. The  Municipality  of   Laua-an,  Antique   intends  to  apply  the  sum   of Two Hundred Thousand Pesos Only (Php200,000.00) being the Approved  Budget  for the  Contract  (ABC) to payments under the contract Purchase of Fuel for the use of MDRRMO. Bi</t>
  </si>
  <si>
    <t xml:space="preserve"> See Phil. Bidding Documents, Bill of Quantities and Checklist hereto attached.</t>
  </si>
  <si>
    <t xml:space="preserve"> Republic of the Philippines													 City of San Carlos													 Negros Occidental													 													 INVITATION TO BID											FOR SALE	 			PURCHASE REQUEST NO: 9-20-03-0503				P 973.00	 Sealed bids for quotation of prices will be recei</t>
  </si>
  <si>
    <t xml:space="preserve"> Republic of the Philippines Province of Cotabato Municipality of Arakan Barangay Anapolon BIDS AND AWARDS COMMITTEE BIDS AND AWARDS COMMITTEE INVITATION TO BID FOR  Supply of Materials for Concrete Perimeter Fence of Barangay Hall ( 80.00mx 60.00m) 1.	The</t>
  </si>
  <si>
    <t xml:space="preserve"> Network Connection for Municipal Court and 4P's Office</t>
  </si>
  <si>
    <t xml:space="preserve"> 1. Billboard/signboard 2. Item 300-PCCP 3. SPL 01- Constn of 1-unit 3 Barrel Box Culvert 4. SPL 02- Constn of 2-units Single Barrel Box Culvert 5. Item 500-RCPC 6. Item 506- Stone masonry 7. Item 200- gravel fill/aggts subbase</t>
  </si>
  <si>
    <t xml:space="preserve"> Republic of the Philippines MUNICIPALITY OF KAPALONG Province of Davao del Norte 	o0o	 INVITATION TO BID 	 Supply &amp; Delivery of Materials for the Improvement of Water System at Prk. 2, Taguango, Brgy. Sua-on, Kapalong, Davao del Norte 1.	The Local Governm</t>
  </si>
  <si>
    <t xml:space="preserve"> Republic of the Philippines													 City of San Carlos													 Negros Occidental													 													 INVITATION TO BID											FOR SALE	 			PURCHASE REQUEST NO: 9-20-04-0552				P 300.00	 Sealed bids for quotation of prices will be recei</t>
  </si>
  <si>
    <t xml:space="preserve"> LED Tube T18, 16W (20pcs/box) 5 box LED Bulb, 18W 25 pcs LED Bulb 12 W 25 pcs LED Bulb, 10 W 25 pcs LED Bulb, 9 W 25 pcs LED Bulb, 7 W 25 pcs Globe Lamp 16W 10 pcs Pls. submit your quotation thru email:  mi_lynsn@yahoo.com x-x-x-x-x-x-x-x-x-x-x-x-x-x-x-x-</t>
  </si>
  <si>
    <t xml:space="preserve"> Republic of the Philippines Province of Batanes	 MUNICIPALITY OF BASCO               		INVITATION TO BID FOR THE PROCUREMENT OF PRINTER AND DESKTOP COMPUTER OF THE BASCO CENTRAL SCHOOL 1.	The Municipal Local Government Unit of Basco, through the Trust Fun</t>
  </si>
  <si>
    <t xml:space="preserve"> ARTICLE AND DESCRIPTION										 ITEM	QTY.	UNIT						CEILING 			UNIT PRICE			TOTAL  								PRICE						 				Office: Veterinary Inspection Board				P.R. No. 365						 				Charge to: Other Supplies and Materials Expenses				OBR. No. 100-2002-00782						 		</t>
  </si>
  <si>
    <t xml:space="preserve"> The Barangay Cagumitan, through its 10% BARANGAY DEV'T FUND intends to apply the sum Php 80,000.00 being the Approved Budget for the Contract (ABC) to payments under the contract to PURCHASED MOTOR CYCLE WITH SIDECAR. Bids received in excess of the ABC sh</t>
  </si>
  <si>
    <t xml:space="preserve"> Republic of the Philippines													 City of San Carlos													 Negros Occidental													 													 INVITATION TO BID											FOR SALE	 			PURCHASE REQUEST NO: 9-20-05-0571				P 600.00	 Sealed bids for quotation of prices will be recei</t>
  </si>
  <si>
    <t xml:space="preserve"> Republic of the Philippines Province of Batanes	 MUNICIPALITY OF BASCO               		INVITATION TO BID FOR THE PROCUREMENT OF STREETLIGHTS AND ACCESSORIES 1.	The Municipal Local Government Unit of Basco, through the General Fund (UTF) intends to apply t</t>
  </si>
  <si>
    <t xml:space="preserve"> [Republic of the Philippines] Province of Pangasinan Municipality of Natividad INVITATION TO BID FOR TITLE: Purchase of Five (5) units Floor Standing Air Conditioner Unit Including Installation Location: Brgy. Poblacion East, Natividad, Pangasinan Approve</t>
  </si>
  <si>
    <t xml:space="preserve"> Republic of the Philippines MUNICIPALITY OF KAPALONG Province of Davao del Norte 	o0o	 INVITATION TO BID 	 Supply &amp; Delivery of Materials for Proposed Closure and Rehabilitation of Open Dumpsite at Banate Capungagan, Kapalong, Davao del Norte 1.	The Local</t>
  </si>
  <si>
    <t xml:space="preserve"> Republic of the Philippines													 City of San Carlos													 Negros Occidental													 										                  		REBIDDING	 INVITATION TO BID											FOR SALE	 			PURCHASE REQUEST NO: 221-20-02-0336				P 500.00	 Sealed bids for quot</t>
  </si>
  <si>
    <t xml:space="preserve"> Republic of the Philippines Province of Zamboanga del Sur MUNICIPALITY OF LAKE WOOD BIDS AND AWARDS COMMITTEE Invitation to Bid for Procurement of Construction/ of 1.2 K.M Pakong Road Gravelling with 36”ᴓ RCCP installation in this Municipality 1.	The Loca</t>
  </si>
  <si>
    <t xml:space="preserve"> MULTIVITAMINS, drops with taurine and CGF 30ml/bottle MULTIVITAMINS, syrup with taurine and CGF 120ml/bottle</t>
  </si>
  <si>
    <t xml:space="preserve"> Construction/Rehabilitation of River Control at Brgy. Punta, Libagon, So. Leyte</t>
  </si>
  <si>
    <t xml:space="preserve"> The Barangay Cagumitan, Tuao Cagayan through its 10% SK fund intends to apply the sum of Php 80,000.00 being the Approved Budget for the Contract (ABC) to payments under the contract for purchased FIBER GLASS BOARD WITH BASKETBALL WITH RING . Bids receive</t>
  </si>
  <si>
    <t xml:space="preserve"> 1	Pick-up Type Vehicle Not exceeding 3000cc engine displacement, diesel-fed 4 cylinders Manual Freedom White(Pearl White)/Silver Mettalic/Attitude Black Mica(Midnight Black) 2	Asian Utility Vehicle Not exceeding 2500cc engine displacement, diesel-fed and </t>
  </si>
  <si>
    <t xml:space="preserve"> Republic of the Philippines Province of Batanes	 MUNICIPALITY OF BASCO               		INVITATION TO BID FOR THE PROCUREMENT OF SUPPLIES, MATERIALS AND EQUIPMENT OF THE MDRRMO 1.	The Municipal Local Government Unit of Basco, through the General Fund  inte</t>
  </si>
  <si>
    <t xml:space="preserve"> Improvement of One (1) Unit two (2) storey-12.0m x 35.0m rural health unit (installation of x-ray protective screen, lead glass viewing window, dental &amp; dark room counter &amp; improvement of right portion of roofing and application of waterproofing paint at </t>
  </si>
  <si>
    <t xml:space="preserve"> Republic of the Philippines			 Province of Guimaras			 Municipality of Jordan			 BIDS AWARDS COMMITTEE			 			  			8-Jun-20 			 Invitation of Bid No.20-035 (Re-bid)			 			 Sealed bids, in triplicate subject to the coordination herein below specified will b</t>
  </si>
  <si>
    <t xml:space="preserve"> 1. The  Municipality  of   Laua-an,  Antique   intends  to  apply  the  sum   of One Hundred Thousand Pesos Only (Php100,000.00) being the Approved  Budget  for the  Contract  (ABC) to payments under the contract Purchase of Equipment for Coastal Resource</t>
  </si>
  <si>
    <t xml:space="preserve"> Republic of the Philippines													 City of San Carlos													 Negros Occidental													 													 INVITATION TO BID											FOR SALE	 			PURCHASE REQUEST NO: 9-20-05-0610				P 150.00	 Sealed bids for quotation of prices will be recei</t>
  </si>
  <si>
    <t xml:space="preserve"> Republic of the Philippines													 City of San Carlos													 Negros Occidental													 													 INVITATION TO BID											FOR SALE	 			PURCHASE REQUEST NO: 9-20-05-0604				P 819.00	 Sealed bids for quotation of prices will be recei</t>
  </si>
  <si>
    <t xml:space="preserve"> Installation of 21 Solar Streetlights 150 watts Lamp Beads 300pcs 5730 Solar Panel Polysilicon                   6 V 28 w Size Lamp 660x510x125mm Lumena  12000 LM Battery   2400 mah Charging   5-6 hours Hours       charge peak sunlight Working    12 - 15 </t>
  </si>
  <si>
    <t xml:space="preserve"> Republic of the Philippines MUNICIPALITY OF KAPALONG Province of Davao del Norte 	o0o	 INVITATION TO BID 	 Supply &amp; Delivery One (1) unit Mini Hydraulic Excavator 1.	The Local Government Unit of Kapalong, through the MDRRM Fund   intends to apply the sum </t>
  </si>
  <si>
    <t xml:space="preserve"> Bay Food, rice-mongo-sesame blend 30g for 6-23 months old undernourished children</t>
  </si>
  <si>
    <t xml:space="preserve"> 201 Aggregate Base Course 311 Portland Cement Concrete Pavement</t>
  </si>
  <si>
    <t xml:space="preserve"> Purchase of RESCUE SUPPLIES AND EQUIPMENT</t>
  </si>
  <si>
    <t xml:space="preserve"> Republic of the Philippines			 Province of Guimaras			 Municipality of Jordan			 BIDS AWARDS COMMITTEE			 			  			8-Jun-20 			 Invitation of Bid No.20-036			 			 Sealed bids, in triplicate subject to the coordination herein below specified will be receive</t>
  </si>
  <si>
    <t xml:space="preserve"> ITB No. 2020-08 (SHORT OF AWARD) 1.	The SUGAR REGULATORY ADMINISTRATION, through the SRA Corporate Operating Budget 2020 intends to apply the sum of One Million Three Hundred Fifty Thousand Pesos (₱1,350,000.00) being the total Approved Budget for the Con</t>
  </si>
  <si>
    <t xml:space="preserve"> Date: June 08, 2020 1.	The Provincial Government of Davao del Sur, through its Bids and Awards Committee (BAC), invites all potential bidders / suppliers to apply to bid for the following goods. Bids received in excess of the ABC shall be automatically re</t>
  </si>
  <si>
    <t xml:space="preserve"> Invitation to Bid for the Supply and Delivery of various Medicine for the use of Brgy. San Agapito Isla Verde, Batangas City</t>
  </si>
  <si>
    <t xml:space="preserve"> THE OFFICE OF THE BIDS AND AWARDS COMMITTEE, SAN CARLOS CITY IS IN NEED OF SUPPLY/DELIVERY OF PROCUREMENT OF THE FOLLOWING EMERGENCY EVACUATION EQUIPMENT: 100 UNIT FAMILY MODULAR TENT SPECS: MEASURING 1.5 X 1.5 METERS, CAN ACCOMMODATE 5-7 PERSONS, TOP OPE</t>
  </si>
  <si>
    <t xml:space="preserve"> Republic of the Philippines			 Province of Guimaras			 Municipality of Jordan			 BIDS AWARDS COMMITTEE			 			  			8-Jun-20 			 Invitation of Bid No.20-040			 			 Sealed bids, in triplicate subject to the coordination herein below specified will be receive</t>
  </si>
  <si>
    <t xml:space="preserve"> Republic of the Philippines PROVINCE OF ZAMBOANGA SIBUGAY Municipality of Roseller T. Lim OFFICE OF THE BAC CHAIRMAN Barangay Calula INVITATION TO BID 						June 08, 2020 To All Interested Bidders: Notice is hereby served that sealed bid be received for p</t>
  </si>
  <si>
    <t xml:space="preserve"> INVITATION TO BID Project Name:	Installation of Additional Streetlights Project Location:	Brgy. Mayo, City of Mati, Davao Oriental Name of Bidder:	 Address :	 ITB Number:	Mayo – 03-20 ABC	P 300,000.00 Please quote your lowest price on the item/s listed be</t>
  </si>
  <si>
    <t xml:space="preserve"> IT Equipments</t>
  </si>
  <si>
    <t xml:space="preserve"> INVITATION TO BID Bid No. B-79-2020 (*REBIDDING) 1.	The Provincial Government of Negros Oriental, through Responsibility Center: 8918-021(19), intends to apply the sum of Five Million Three Hundred Ninety Thousand Pesos (Php 5,390,000.00) being the Approv</t>
  </si>
  <si>
    <t xml:space="preserve"> Republic of the Philippines Province of Sarangani BIDS AND AWARD COMMITTEE Municipality of Maasim INVITATION TO APPLY FOR ELIGIBILITY AND TO BID 	 	The Municipal Government of Maasim invites suppliers to apply for eligibility and to bid for the supply and</t>
  </si>
  <si>
    <t xml:space="preserve"> Republic of the Philippines Province of Batanes	 MUNICIPALITY OF BASCO               		INVITATION TO BID FOR THE PROCUREMENT OF FUEL, OIL AND LUBRICANT OF THE MDRRMO 1.	The Municipal Local Government Unit of Basco, through the General Fund  intends to app</t>
  </si>
  <si>
    <t xml:space="preserve"> Republic of the Philippines													 City of San Carlos													 Negros Occidental													 										                 		REBIDDING	 INVITATION TO BID											FOR SALE	 			PURCHASE REQUEST NO: 401-20-01-0227				P 950.00	 Sealed bids for quota</t>
  </si>
  <si>
    <t xml:space="preserve"> Republic of the Philippines			 Province of Guimaras			 Municipality of Jordan			 BIDS AWARDS COMMITTEE			 			  			8-Jun-20 			 Invitation of Bid No.20-037			 			 Sealed bids, in triplicate subject to the coordination herein below specified will be receive</t>
  </si>
  <si>
    <t xml:space="preserve"> Republic of the Philippines					 Province of Misamis Oriental					 MUNICIPALITY OF VILLANUEVA					 REQUEST FOR QUOTATION					 Quotation No. 2020- ____________					 					                             			Date		 					 					 					 Sir:					 	Please quote your </t>
  </si>
  <si>
    <t xml:space="preserve"> Concreting of Pathways at Different Barangays, San Pascual, Masbate</t>
  </si>
  <si>
    <t xml:space="preserve"> 1	Passenger Van Not exceeding 3000cc engine displacement, diesel-fed and 4 cylinders</t>
  </si>
  <si>
    <t xml:space="preserve"> Surgical brush with betadine soap									50	pc Smack Gown													24	pc Cotton Strand Suture 											5	pc Chromic 0, round												72	pc Chromic 0, cutting												72	pc Chromic 2-0, round with round needle									600	pc Chromic 2-0, cuttin</t>
  </si>
  <si>
    <t xml:space="preserve"> RFQ-GS-20200603-02 Interested Suppliers are invited to submit Sealed Price Quotation for the above listed item. The official LANDBANK Request for Quotation Form may be obtained from MS. LUBELLE LUMABAS, 25th Floor, Procurement Department, LANDBANK Plaza B</t>
  </si>
  <si>
    <t xml:space="preserve"> 1. The  Municipality  of   Laua-an,  Antique   intends  to  apply  the  sum   of One Hundred Eleven Thousand Five Hundred Pesos Only (Php111,500.00) being the Approved  Budget  for the  Contract  (ABC) to payments under the contract Purchase of Office Equ</t>
  </si>
  <si>
    <t xml:space="preserve"> Construction of Sanitary Landfill- Cell 3 at Nabanngan, Payawan, Lamut, Ifugao Please see attached documents</t>
  </si>
  <si>
    <t xml:space="preserve"> 1	Pail (Standard)							5	pcs	100.00 2	Rag 1.5 ft x 2.5 ft							5	pcs	50.00 3	Broom stick							4	pcs	60.00 4	Broom (tambo)							5	pcs	120.00 5	Bolo							3	pcs	750.00 6	Sickle							3	pcs	500.00 7	Disposable Gloves Large							3	box	250.00 8	Digging ba</t>
  </si>
  <si>
    <t xml:space="preserve"> FOR GOODS OFFERED Project Name:	CONSTRUCTION OF EVACUATION CENTER Location:	Purok 8 (Sitio Magasa), Brgy. Lanca, City of Mati, Davao Oriental Approved Budget:	P 999,764.22 Project Duration	46 Calendar Days ITB Number	LANCA-2020-01 Pre-bidding Conference	J</t>
  </si>
  <si>
    <t xml:space="preserve"> [Republic of the Philippines] Province of Pangasinan Municipality of Natividad INVITATION TO BID FOR TITLE: Construction/Improvement/Widening of Box Culvert at Purok 4 in Brgy. San Miguel Project Cost: P1,500,000.00 The [MUNICIPALITY OF NATIVIDAD], throug</t>
  </si>
  <si>
    <t xml:space="preserve"> Republic of the Philippines Province of Batanes	 MUNICIPALITY OF BASCO               		INVITATION TO BID FOR THE PROCUREMENT OF FOOD ITEMS FOR THE ELDERLY GENERAL ASSEMBLY AND ELDERLY WEEK CELEBRATION 1.	The Municipal Local Government Unit of Basco, throu</t>
  </si>
  <si>
    <t xml:space="preserve"> Supply and delivery of the following: 1. 300 pcs. Chairs (Plastic) 2. 2 units Filling Cabinet (Metal) 3. 10 sets Office Tables with Chairs 4. 1 set Sofa bed (6" Disclaimer) 5. 2 pcs. Office Chairs</t>
  </si>
  <si>
    <t xml:space="preserve"> 1	MINI 4WD FARM TRACTOR SPECIFICATIONS: &gt; with rated power 36-40 horsepower, vertical, three to four (3-4) cylinders, 4 stroke cycles, direct injection, natural aspirated diesel engine, minimum PTO horsepower is 85% of the maximum rated horsepower, PTO sp</t>
  </si>
  <si>
    <t xml:space="preserve"> PURCHASE OF SUPPLIES &amp; MATERIALS FOR THE REPLACEMENT/INSTALLATION OF MARKER BUOY (P.E. ROPE, CYLINDRICAL FOAM, ROUNDED FOAM, NYLON)</t>
  </si>
  <si>
    <t xml:space="preserve"> Purchased Construction Materials for Construction of Storage Facility</t>
  </si>
  <si>
    <t xml:space="preserve"> Description   SITE CLEARING AND GRUBBING Removal of Vegetations STRUCTURAL EXCAVATION Waster Disposal and Backfill Foundation fill Reinforcing steel Structural Concrete, Class A Pipe Culverts, 575 mm dia. RCCP Stone Masonry Units Warning and Hazard Signs </t>
  </si>
  <si>
    <t xml:space="preserve"> See attached file.......</t>
  </si>
  <si>
    <t xml:space="preserve"> Supplemental Bid Bulletin for the Procurement of Managed Internet Service (MIS) for one (1) year under the Free Wifi for All Program in Region VI (Iloilo, Aklan, Antique, Guimaras, Negros Occidental) This Supplemental/Bid Bulletin is issued to move the da</t>
  </si>
  <si>
    <t xml:space="preserve"> Republic of the Philippines Province of Batangas Municipality of San Juan BIDS AND AWARDS COMMITTEE INVITATION TO APPLY FOR ELIGIBILITY AND TO BID THE LOCAL GOVERNMENT UNIT OF BRGY. LAIYA IBABAO,  SAN JUAN, BATANGAS, through its Bids and Awards Committee </t>
  </si>
  <si>
    <t xml:space="preserve"> SUPPLY OF 64,000.00 LITERS OF DIESEL FUEL.</t>
  </si>
  <si>
    <t xml:space="preserve"> Supply and Delivery of Various Electrical and Plumbing Materials (Pampanga Branch) *Please see attached Canvass Form. **Be guided accordingly on the second page of the Canvass Form. ***Kindly see the following attached documents: - Bill of Quantities (BOQ</t>
  </si>
  <si>
    <t xml:space="preserve"> 1.	The Municipality of Impasugong, through the GF – Agricultural Support &amp; Services – OM &amp; OE intends to apply the sum Four Hundred Thousand Pesos (PhP400,000.00) being the Approved Budget for the Contract (ABC) to payments under the contract for PRNo.20-</t>
  </si>
  <si>
    <t xml:space="preserve"> 1	Ballpen, good quality-blue,black,red							30	pcs	25.00 2	Book Paper, long subs 20 good quality							100.00	rms	240.00 3	Book Paper, short subs 20 good quality							50	rms	220.00 4	Book Paper long subs. 20							50	rms	210.00 5	Calculator 12 digits			</t>
  </si>
  <si>
    <t xml:space="preserve"> Bids and Awards Committee REQUEST FOR QUOTATION (RFQ) 20-06-113 The Philippine Coconut Authority (PCA), through its Bids and Awards Committee (BAC), as duly authorized to conduct Small Value Procurement (SVP) for the items stated below, in accordance with</t>
  </si>
  <si>
    <t xml:space="preserve"> LGU – Sierra Bullones     					  Contractor Reference Number 	                                                                                                 	                                                    								         Name of the Contract 	 			</t>
  </si>
  <si>
    <t xml:space="preserve"> Supply of labor and parts for the repair of barangay service</t>
  </si>
  <si>
    <t xml:space="preserve"> 4 Pcs. Document Scanner with the following specifications: Scan Speed: 30 ppm or higher Document type: Plain Paper Maximum Paper Size: 8.5 in x 14 in Feeder Capacity: 50 sheets or more Documents Feeder: Manual, Automatic Optical Resolution: 600 dpi by 600</t>
  </si>
  <si>
    <t xml:space="preserve"> - SUPPLY OF DIESEL &amp; GASOLINE (FUEL)</t>
  </si>
  <si>
    <t xml:space="preserve"> 1.	a)  Contract ID:	20OF0312 b)  Contract Name:	Repair of Hallways and Ceiling at the South Wing Annex Building from the Second to the Fourth Floors, including Aluminum Swing Door Enclosures at the East and West Stairwells HREP Compound, Brgy. Batasan Hil</t>
  </si>
  <si>
    <t xml:space="preserve"> 1	120	boxs	Face Mask				 2	50	pcs	Cannula Adult-25, Child -25				 3	25	gals	Lysol				 4	10	pcs	Pulse Oximeter				 5	10	pcs	BP Apparatus				 6	10	gals	Betadine 1 gal				 7	4	tubes Plaster				 8	60	gals	 Alcohol 70%				 9	10	pcs	Oxygen Regulator				 10 	15	</t>
  </si>
  <si>
    <t xml:space="preserve"> The City Government of Ligao through its Bids and Awards Committee (BAC), now invites bids for the herein project: Name of Contract        :  Construction of Slope Protection Location                       : Buga, Nabonton,  Ligao City Brief Description  </t>
  </si>
  <si>
    <t xml:space="preserve"> The City Government of Ligao through its Bids and Awards Committee (BAC), now invites bids for the herein project: Name of Contract        :  Repair of Heritage Building Extension Location                       : Dunao,  Ligao City Brief Description      </t>
  </si>
  <si>
    <t xml:space="preserve"> Republic of the Philippines Province of Batanes	 MUNICIPALITY OF BASCO               		INVITATION TO BID FOR THE PROCUREMENT OF OFFICE SUPPLIES 1.	The Municipal Local Government Unit of Basco, through the General Fund  intends to apply the sum of Three Hu</t>
  </si>
  <si>
    <t xml:space="preserve"> 3.	a)  Contract ID:	20OF0314 b)  Contract Name:	Repair/Repainting of Exterior Walls and Doors of House Members Offices in the North and Batasan Complex, Brgy. Batasan Hills, Q.C. c)  Contract Location:	Quezon City d)  Scope of Work:	Repair/Re-Painting of </t>
  </si>
  <si>
    <t xml:space="preserve"> Adult Diaper (Large)												145	pc Asepto syringe 50ml												50	pc Colostomy Bag 250mm x 150mm									10	pc Disposable Needles 20											102	pc E.T. Tube 3.5													10	pc E.T. Tube 4.5													10	pc E.T. Tube 5													10	pc E.T.</t>
  </si>
  <si>
    <t xml:space="preserve"> Purchase of Computer set and Accessories</t>
  </si>
  <si>
    <t xml:space="preserve"> The Barangay Malalinta, Tuao Cagayan through its 20% Barangay Dev’t fund intends to apply the sum of Php 74,976.90 being the Approved Budget for the Contract (ABC) to payments under the contract for Construction of Comfort Room . Bids received in excess o</t>
  </si>
  <si>
    <t xml:space="preserve"> 1	Diesel 		2274.58 L</t>
  </si>
  <si>
    <t xml:space="preserve"> - HARDWARE SUPPLIES &amp; MATERIALS - FOR EVACUATION CENTER REMOVABLE PARTITIONS WITH AMENITIES, PHASE 1</t>
  </si>
  <si>
    <t xml:space="preserve"> 2.	a)  Contract ID:	20OF0313 b)  Contract Name:	Repair and Re-Painting of HREP Perimeter Fence Batasan Complex, Brgy. Batasan Hills, Q.C. c)  Contract Location:	Quezon City d)  Scope of Work:	Repair and Re-Painting of Building  e)  Approved Budget for the</t>
  </si>
  <si>
    <t xml:space="preserve"> Personal Protective Equipment  and supplies for covid 19</t>
  </si>
  <si>
    <t xml:space="preserve"> 1 TONER For Samsung M3310ND Laser Printer MLT-D205L/SEE 8 cart. Php 5,500.00 (For OCOH, E.R., Dietary Unit) 2 TONER For Brother MFC-L5900DW Laser Printer TN-3428 10 cart. Php 4,700.00 (For OCOH, Supply Unit) 3 Ribbon Cartridge Black for EPSON LX-300 10 ca</t>
  </si>
  <si>
    <t xml:space="preserve"> Republic of the Philippines CITY OF BAIS BIDS AND AWARDS COMMITTEE INVITATION TO APPLY FOR ELIGIBILITY AND TO BID 	The City Government of Bais invites interested bidders to apply for eligibility and to bid for use in Waste Management and Environmental San</t>
  </si>
  <si>
    <t xml:space="preserve"> Republic of the Philippines Province of Zamboanga del Sur MUNICIPALITY OF LAKE WOOD BIDS AND AWARDS COMMITTEE Invitation to Bid for Procurement of Diesel  use for all Government Vehicle in this Municipality 1.	The Local Government Unit of Lake Wood, Zambo</t>
  </si>
  <si>
    <t xml:space="preserve"> At Purok 7, Maragang, Tigbao, ZDS</t>
  </si>
  <si>
    <t xml:space="preserve"> City Government of Manila INVITATION TO BID NO. 2020-06-74 Procurement of Food and Drinks 1.	The City Government of Manila, through the General Fund CY 2020 – Representation Expenses intends to apply the sum of Four Million Six Hundred Eighty Thousand Pes</t>
  </si>
  <si>
    <t xml:space="preserve"> Republic of the Philippines Cordillera Administrative Region PROVINCIAL GOVERNMENT OF ABRA Bangued Invitation to Bid for  IMPROVEMENT OF TOURISM INFRASTRUCTURE - PARKS 1.	The Provincial Government of Abra, through the Budget for the Contract Approved by t</t>
  </si>
  <si>
    <t xml:space="preserve"> Republic of the Philippines Province of Batangas Municipality of San Juan BIDS AND AWARDS COMMITTEE INVITATION TO APPLY FOR ELIGIBILITY AND TO BID THE LOCAL GOVERNMENT UNIT OF BRGY. SAPANGAN,  SAN JUAN, BATANGAS, through its Bids and Awards Committee (BAC</t>
  </si>
  <si>
    <t xml:space="preserve"> - HARDWARE SUPPLIES &amp; MATERIALS - FOR CONSTRUCTION OF 20 SETS EGG MACHINE</t>
  </si>
  <si>
    <t xml:space="preserve"> INVITATION TO BID FOR  Supplies &amp; Delivery of  Materials   CONSTRUCTION OF 20 SETS SOLAR STREET LIGHTS Piaz ,  Villasis, Pangasinan 1.	The Local Government of  Piaz, Villasis,  Pangasinan, intends to apply the sum  of (P188,551.25)  being the Approved Bud</t>
  </si>
  <si>
    <t xml:space="preserve"> 4.0 HP Floor Mounted Aircon Standard. Indoor-kfm-36EOA Outdoor-kfm-36lHOA with Installation and Accessories.</t>
  </si>
  <si>
    <t xml:space="preserve"> 3 units Dosing Pump (metering pump), with the following specifications: Type Beta BT5b 1008, 6.8 LPH at 10 bars, 230V, single phase, 60Hz, solenoid driven IP65 with the following accessories: - Foot valve strainer - Injection valve, 1/2” NP - Discharge tu</t>
  </si>
  <si>
    <t xml:space="preserve"> The Barangay Malalinta, Tuao Cagayan through its Provincial Aid fund intends to apply the sum of Php 73.385.00 being the Approved Budget for the Contract (ABC) to payments under the contract for Procurement of Materials for Installation of the Solar Stree</t>
  </si>
  <si>
    <t xml:space="preserve"> 5.	a)  Contract ID:	20OF0316 b)  Contract Name:	Construction/Rehabilitation of Water Supply/Septage and Sewerage/Rain Water Collectors-Rain Water Collectors in Public Facilities, Q.C. c)  Contract Location:	Quezon City d)  Scope of Work:	Construction/Reha</t>
  </si>
  <si>
    <t xml:space="preserve"> Republic of the Philippines Province of Negros Oriental MUNICIPALITY OF BACONG Barangay Tubod INVITATION TO BID Improvement of Multi-purpose Hall,  Tubod Bacong, Negros Oriental RFQ 2020-01 1.	The Barangay Tubod through the Brgy Fund  intends to apply the</t>
  </si>
  <si>
    <t xml:space="preserve"> 4.	a)  Contract ID:	20OF0315 b)  Contract Name:	General Repair and Rehabilitation of the Main Building Roofing HREP Compound, Batasan Road, Brgy. Batasan Hills, Q.C.  c)  Contract Location:	Quezon City d)  Scope of Work:	General Repair and Rehabilitation </t>
  </si>
  <si>
    <t xml:space="preserve"> DRRM COMMAND CENTER/CCTV CONTROL BUILDING - COMPLETION</t>
  </si>
  <si>
    <t xml:space="preserve"> INVITATION TO BID  PROCUREMENT OF FOUR (4) UNITS GENERATOR SET FOR THE PPSC HEAD OFFICE AND NPC SILANG PPSC BAC IB NO.006 (G) 2020 1.	The Philippine Public Safety College through the General Appropriations Act of FY2020 , intends to apply the sum indicate</t>
  </si>
  <si>
    <t xml:space="preserve"> 1	galloon	Alcohol, Isopropyl	20 2	box	Fastener, Plastic	35 3	ream	Bondpaper A4	200 4	ream	Bondpaper Long	120 5	piece	Plastic Envelope Long	500 6	piece	Clipboard,Plastic	50 7	liter	Bleach	20 8	piece	Thermal Scanner	10 9	piece	Handwash Soap	200 10	bottle	Sp</t>
  </si>
  <si>
    <t xml:space="preserve"> Construction of Livelihood Center for DSWD Clients ( OFW, Solo Parent, PWDs, Women, &amp; AMMA-Phase 4 Please see attached documents</t>
  </si>
  <si>
    <t xml:space="preserve"> ANNUAL INTERNET CONNECTION.SUBSCRIPTION FIBER INTERNET CONNECTION  SPEED: UP TO 45MBPS LOCATION/SITE:  MASBATE PRES MINI GRID OFFICE                           PINAMARBUHAN, MOBO, MASBATE PLEASE SUBMIT REQUIREMENTS: 1	MAYOR’S/BUSINESS PERMIT 2	PhilGEPS REG</t>
  </si>
  <si>
    <t xml:space="preserve"> The Municipal Government of San Mariano, Isabela intends to apply the sum of Two Million Four Hundred Ninety Nine Thousand Six Hundred Sixty Eight pesos and Fifty-Three Centavos Only. (Php2,499,668.53) being the Approved Budget for the Contract (ABC) char</t>
  </si>
  <si>
    <t xml:space="preserve"> 3 UNITS AIRCON 1HP WINDOW TYPE.</t>
  </si>
  <si>
    <t xml:space="preserve"> SUPPLY AND DELIVERY OF GEO-TAGGING DEVICE FOR OFFICIAL USE OF DENR TARLAC</t>
  </si>
  <si>
    <t xml:space="preserve"> The Local Government Unit of Santa Fe, Nueva Vizcaya, through its Bids &amp; Awards Committee invites contractors to bid for the following project: Contract Name: 	CONSTRUCTION OF FARMHOUSE AND TRAINING CENTER PHASE II Contract Location: Baliling, Santa Fe, N</t>
  </si>
  <si>
    <t xml:space="preserve"> Republic of the Philippines Cordillera Administrative Region PROVINCIAL GOVERNMENT OF ABRA Bangued Invitation to Bid for  REHABILITATION AND IMPROVEMENT OF  POBLACION LICUAN-DOMINGLAY ROAD 1.	The Provincial Government of Abra, through the Budget for the C</t>
  </si>
  <si>
    <t xml:space="preserve"> Republic of the Philippines Province of Iloilo MUNICIPALITY OF CARLES INVITATION TO BID 1.0 The Municipal Government of Carles, Province of Iloilo through its GRANT by DOH-HFEP CY 2019 intends to apply the sum of One Million Seven Hundred Thousand Pesos O</t>
  </si>
  <si>
    <t xml:space="preserve"> Washed Gravel Washed Sand Portland Cement 12mm RSB 10mm RSB Cut off Disk 14 Tie Wire #16 3/8”x4”x8 ord. Plywood  2”x2”x8 coco lumber 2”x3”x12 coco lumber Bamboo poles 4” common nails 3” common nails  2-1/2 common nails 1” ½ common nails 1” ¼ G.I Pipe Sche</t>
  </si>
  <si>
    <t xml:space="preserve"> Republic of the Philippines Province of Davao Oriental CITY OF MATI REQUEST FOR QUOTATION 			 Date:	04 JUNE 2020 RFQ No.:	0761-2020 Name of Company: __________________________________________________________________________________________________________</t>
  </si>
  <si>
    <t xml:space="preserve"> INVITATION TO BID June 5, 2020            Contract ID Number	:  20GIA004 P.R. Number		:  2020-05-0052 dated May 26, 2020 (GOODS) A B C			:  P 1,730,000.00 Contract Location	:  Naval, Province of Biliran Brief Description	:  Procurement of Instant Cold Mix</t>
  </si>
  <si>
    <t xml:space="preserve"> The Municipality of Gen. Mariano Alvarez, Cavite, through its Bids and Awards Committee (BAC), invites suppliers / manufacturers /distributors /contractors to apply for eligibility and to bid for the hereunder project:									 									 									 Name of</t>
  </si>
  <si>
    <t xml:space="preserve"> Republic of the Philippines PROVINCE OF SAMAR Municipality of Pinabacdao Invitation to Bid Repair of Brgy.Mambog Baily Bridge Pinabacdao Samar 1. The LOCAL GOVERMENT UNIT of PInabacdao Samar, through the FY 2020 Budget intends to apply the sum of Six Hund</t>
  </si>
  <si>
    <t xml:space="preserve"> See lines item</t>
  </si>
  <si>
    <t xml:space="preserve"> SUPPLY AND DELIVERY OF MOTORCYCLE FOR OFFICIAL USE OF DENR TARLAC</t>
  </si>
  <si>
    <t xml:space="preserve"> Purchase of construction materials for the concreting of barangay Fatima pavement around Fatima Market.</t>
  </si>
  <si>
    <t xml:space="preserve"> Disp. Syringe 1 cc 100's/box	                            30	box Disp. Syringe 3 cc 100's/box	                            30	box Disp. Syringe 5 cc 100's/box	                            30	box Digital Thermometer	                                           </t>
  </si>
  <si>
    <t xml:space="preserve"> INVITATION TO BID  1.	The CITY GOVERNMENT OF CAUAYAN, ISABELA through the 2020 GENERAL FUND intends to apply the sum of ONE MILLION EIGHT HUNDRED TEN THOUSAND PESOS (PHP1,810,000.00) being the Approved Budget for the Contract (ABC) to payments under the c</t>
  </si>
  <si>
    <t xml:space="preserve"> W=6M; L=10LM; CONSTRUCT CEILING AND SIX (6) ROOMS</t>
  </si>
  <si>
    <t xml:space="preserve"> a. OTHER GENERAL REQUIREMENTS &gt; Project Billboard (Materials, Labor) 3 each &gt; Occupational Safety &amp; Health b. SUBBASE AND BASE COURSES &gt; Aggregate Subbase Course (Material, Equipment &amp; Labor) - 98.15 cu.m. c. SURFACE COURSES &gt; Portland Cement Concrete Pav</t>
  </si>
  <si>
    <t xml:space="preserve"> Republic of the Philippines																		 Province of Bohol																		 Municipality of Buenavista																		 																		 INVITATION TO APPLY FOR ELIGIBILITY AND TO BID																		 																		 The Barangay Local Govern</t>
  </si>
  <si>
    <t xml:space="preserve"> Department of Public Works and Highways  Regional Office VI, Fort San Pedro, Iloilo City INVITATION TO BID  The Department of Public Works and Highways, Regional Office VI, through its Bids and Awards Committee (BAC), invites suppliers to submit bids for </t>
  </si>
  <si>
    <t xml:space="preserve"> Anti Rabies Vaccines 10's dose									423	vials Disposable Syringe 3ml 100's/box								5	boxes</t>
  </si>
  <si>
    <t xml:space="preserve"> 1 Piece Minitower Server with the following specifications: Intel Xeon E-2124 3.3 GHz 4C/4T Turbo, 71 W, 8 M Cache Memory, 8 GB DDR4 ECC UDIMM, 2666 MT/s Network Controller: On board Broadcom 5720 Dual Port 1 GB LOM Storage control, PERC H330 Raid Conroll</t>
  </si>
  <si>
    <t xml:space="preserve"> OFFICE CUBICLE AND OFFICE EQUIPMENT</t>
  </si>
  <si>
    <t xml:space="preserve"> Republic of the Philippines Province of Batangas MUNICIPALITY OF ALITAGTAG BARANGAY MUZON II INVITATION TO BID FOR CONSTRUCTION/CONCRETING OF 15.00X32.00M MULTI PURPOSE PAVEMENT (0.05 Thk) AT MUZON II, ALITAGTAG,BATANGAS  	The Barangay Muzon II, Alitagtag</t>
  </si>
  <si>
    <t xml:space="preserve"> N-COVID Disinfection, Protection and Temperature scanning of employee and students</t>
  </si>
  <si>
    <t xml:space="preserve"> The Municipal Government of San Mariano, Isabela intends to apply the sum of Thirteen Million Five Hundred Twenty Six Thousand Five Hundred Seventy Pesos and 05/100 (Php13,526,570.05) being the Approved Budget for the Contract (ABC) chargeable against CY </t>
  </si>
  <si>
    <t xml:space="preserve"> Meals and Snacks for Post Disaster (COVID-19) Monitoring and Evaluation Activity for PNP Key Personnel - June 12-13, 2020</t>
  </si>
  <si>
    <t xml:space="preserve"> SUPPLY AND INSTALLATION OF AGISOFT SOFTWARE FOR OFFICIAL USE OF DENR TARLAC</t>
  </si>
  <si>
    <t xml:space="preserve"> PURCHASE OF OFFICE SUPPLIES AND MATERIALS (1ST AND 2ND QUARTER)</t>
  </si>
  <si>
    <t xml:space="preserve"> INVITATION TO BID The City Vigan, through its Bids and Awards Committee (BAC), invites suppliers/manufacturers/distributors/contractors to apply for eligibility and to bid for the hereunder project: Name of Project:	Procurement of Post Processing Software</t>
  </si>
  <si>
    <t xml:space="preserve"> Please see attached TOR, Tech. Specs. &amp; RFQ for details</t>
  </si>
  <si>
    <t xml:space="preserve"> Procurement of Infrastructure Projects 1. Construction of Material Recovery Facility @ Trading Post, Mabatobato, Lamut, Ifugao 2. Extension of Trading Post Building @ Mabatobato, Lamut, Ifugao Please see attached documents</t>
  </si>
  <si>
    <t xml:space="preserve"> Republic of the Philippines Province of Bukidnon MUNICIPALITY OF TALAKAG  	 INVITATION TO SUBMIT QUOTATION FOR THE PROCUREMENT OF GOODS RECOMMENDED FOR SMALL VALUE PROCUREMENT PURSUANT TO SECTION 53.9 OF THE REVISED IMPLEMENTING RULES AND REGULATION OF R.</t>
  </si>
  <si>
    <t xml:space="preserve"> 1 UNIT WINDOW TYPE 1.5 HP 2 UNITS WINDOW TYPE 2.5 HP</t>
  </si>
  <si>
    <t xml:space="preserve"> a. OTHER GENERAL REQUIREMENTS &gt; Project Billboard (Materials, Labor) 3 each &gt; Occupational Safety &amp; Health - 1 lot b. EARTHWORKS &gt; Clearing &amp; Grubbing (w/ Stripping) (Equipment, Labor) - 1 lot c. SUBBASE AND BASE COURSES &gt; Aggregate Subbase Course (Materi</t>
  </si>
  <si>
    <t xml:space="preserve"> ACTIVITIES	SCHEDULE 1.	Issuance of Bid Documents	June 15, 2020 2.	Pre-Bid conference	 3.	Opening of Bids	June 19, 2020, 9:00 A.M. 4.	Bid Evaluation	June 19, 2020, 2020 5.	Post-qualification	June 23, 2020, 2020 6.	Notice of Award	June 26, 2020</t>
  </si>
  <si>
    <t xml:space="preserve"> Republic of the Philippines Province of Capiz Municipality of Tapaz INVITATION TO RE-BID  Procurement of Four (4) units Motorcycle, Tapaz, Capiz 1. 	The Municipality of Tapaz, through the 5% MDRRMF Fund 2020 intends to apply the sum of Two Hundred Thirty-</t>
  </si>
  <si>
    <t xml:space="preserve"> Reshaping &amp; compaction, including trimming of road side slopes of Katipunan Barangay Road networks.</t>
  </si>
  <si>
    <t xml:space="preserve"> a. OTHER GENERAL REQUIREMENTS &gt; Project Billboard (Materials, Labor) 3 each &gt; Occupational Safety &amp; Health b. SUBBASE AND BASE COURSES &gt; Aggregate Subbase Course (Material, Equipment &amp; Labor) - 60.28 cu.m. c. SURFACE COURSES &gt; Portland Cement Concrete Pav</t>
  </si>
  <si>
    <t xml:space="preserve"> 2 Pieces Server  Rack Shelf Specifications: Cantilevered tray steel (black color) Heavy Duty up to 30 ponds weight capacity 19 inches width x 14 inches depth For screw mounting Prices must be VAT inclusive. Contact Telefax 8725-90-39, Tel 8726-73-02, Ms G</t>
  </si>
  <si>
    <t xml:space="preserve"> Meals for Enhancement Training for BPAT - June 11-12, 2020</t>
  </si>
  <si>
    <t xml:space="preserve"> INVITATION TO BID The City Vigan, through its Bids and Awards Committee (BAC), invites suppliers/manufacturers/distributors/contractors to apply for eligibility and to bid for the hereunder project: Name of Project:	Procurement of Personal Watercrafts wit</t>
  </si>
  <si>
    <t xml:space="preserve"> Brief Description of the Project				 Quantity	Unit	Item Description		  1.00 	unit	Passenger Van (converted into an ambulance		 		   and fitted with necessary medical equipment		 		   and apparatus)		 		Specifications:		 		Engine:		 		·         not exceddi</t>
  </si>
  <si>
    <t xml:space="preserve"> Republic of the Philippines Province of Batanes	 MUNICIPALITY OF BASCO               		INVITATION TO BID FOR THE PROCUREMENT OF HDPE PIPE (SDR 9) 1.	The Municipal Local Government Unit of Basco, through the General Fund  intends to apply the sum of One Hu</t>
  </si>
  <si>
    <t xml:space="preserve"> Republic of the Philippines Province of Davao Oriental CITY OF MATI REQUEST FOR QUOTATION 			 Date:	04 JUNE 2020 RFQ No.:	0763-2020 Name of Company: __________________________________________________________________________________________________________</t>
  </si>
  <si>
    <t xml:space="preserve"> SUPPLY AND DELIVERY OF DRONE &amp; IPAD MINI FOR OFFICIAL USE OF DENR TARLAC</t>
  </si>
  <si>
    <t xml:space="preserve"> Invitation to Bid for the  SUPPLY AND DELIVERY OF STARTER KITS FOR DOLE DRESSMAKING, BAKING &amp; SMALL MOTOR ENGINE SERVICE (SMES) PROGRAM 1.	The LGU-RAMON, ISABELA, through the Budget for the contract approved by the Sanggunian intends to apply the sum of P</t>
  </si>
  <si>
    <t xml:space="preserve"> 1 LOT ELECTRO-MECHANICAL INSTALLATION OF STAGE 1 Mobilization/General Requirements/Site Clean up Concreting Works Booster Pump Pad Piping Support Motor Controller Pad Welding Works Installation and Fabrication of Piping Supports Installation and Fabricati</t>
  </si>
  <si>
    <t xml:space="preserve"> Section 1. INVITATION to BID (IB) No. 2020-012 The Municipality of Cabiao, Nueva Ecija, through its Bids and Awards Committee (BAC), invites suppliers/manufacturers/distributors to apply for eligibility and to bid if found eligible, to bid for the followi</t>
  </si>
  <si>
    <t xml:space="preserve"> Republic of the Philippines Province of Davao Oriental CITY OF MATI REQUEST FOR QUOTATION 			 Date:	04 JUNE 2020 RFQ No.:	0759-2020 Name of Company: __________________________________________________________________________________________________________</t>
  </si>
  <si>
    <t xml:space="preserve"> INVITATION TO BID The City Vigan, through its Bids and Awards Committee (BAC), invites suppliers/manufacturers/distributors/contractors to apply for eligibility and to bid for the hereunder project: Name of Project:	Procurement of Aerial Vehicle (Drone) f</t>
  </si>
  <si>
    <t xml:space="preserve"> Republic of the Philippines PROVINCE OF CAVITE City of General Trias INVITATION TO BID PROJECT REFERENCE NO. GOODS-PB-2020-043 PROJECT TITLE/ DESCRIPTION : GOODS-PB-2020-043- PURCHASE OF MEDICAL WHEELCHAIRS, CRUTCHES, CANES AND NEBULIZERS FOR DISTRIBUTION</t>
  </si>
  <si>
    <t xml:space="preserve"> Republic of the Philippines Province of Batanes	 MUNICIPALITY OF BASCO               		INVITATION TO BID FOR THE PROCUREMENT OF MATERIALS FOR THE ROAD OPENING AT MARINE SANCTUARY 1.	The Municipal Local Government Unit of Basco, through the General Fund (U</t>
  </si>
  <si>
    <t xml:space="preserve"> Number: 	Quantity: 	 1	90	sets		Garden Tool Set	(Gardening Trowel, Small hand Rake, Sprinklers, Prunning Shears, Bolo)		1,000.00	90,000.00 2	8	bags/packs	Organic fertilizer	not less than 5% each of N,P,K, 50 kg/bag		1,200.00	9,600.00 No.	TermsAndCondition</t>
  </si>
  <si>
    <t xml:space="preserve"> The Municipal Government of San Mariano, Isabela intends to apply the sum of Nine Hundred Ninety Nine Thousand Nine Hundred Ninety-Six Pesos and Eighty-Four Centavos (Php999,996.84) being the Approved Budget for the Contract (ABC) chargeable against CY 20</t>
  </si>
  <si>
    <t xml:space="preserve"> Construction of Bridge to Memorial Park - Phase II @ Mabatobato, Lamut, Ifugao Please see attached documents</t>
  </si>
  <si>
    <t xml:space="preserve"> Purchase of 2 units desktop computer and 1 unit printer</t>
  </si>
  <si>
    <t xml:space="preserve"> Republic of the Philippines Province of Batanes	 MUNICIPALITY OF BASCO               		INVITATION TO BID FOR THE PROCUREMENT OF MATERIALS FOR THE CONSTRUCTION OF MATERIAL RECOVERY FACILITY (MRF) 1.	The Municipal Local Government Unit of Basco, through the</t>
  </si>
  <si>
    <t xml:space="preserve"> materials for the Construction of Line Canal</t>
  </si>
  <si>
    <t xml:space="preserve"> JUNE 8, 2020 INVITATION TO BID Name of Project: SUPPLY AND DELIVERY OF LIMESTONE FOR REHABILITATION OF BARANGAY ROADS OF 16 BARANGAYS  BALINTAWAK,EAST KIBAWE, GUTAPOL, KIORAO, LABUAGON, MARAPANGE,MASCARIÑAS, NATULONGAN, NEW KIDAPAWAN, OLD KIBAWE, PALMA, R</t>
  </si>
  <si>
    <t xml:space="preserve"> Purchase of Catering Services</t>
  </si>
  <si>
    <t xml:space="preserve"> Republic of the Philippines Province of Quezon MUNICIPALITY OF POLILLO ***** INVITATION TO BID FOR  SUPPLY AND DELIVERY OF ONE (1) UNIT MINI DUMPTRUCK (BRAND NEW) AND (1) UNIT MINI PAYLOADER (BRAND NEW) OF LGU POLILLO 1.	The Municipality of Polillo, throu</t>
  </si>
  <si>
    <t xml:space="preserve"> Portland Cement Coco Lumber 2x4x12 Sand Gravel Common Nails #3</t>
  </si>
  <si>
    <t xml:space="preserve"> 18 pieces of window roller blinds double with  pleats of various sizes with a total of 432.01 sq.ft. using the best fabric</t>
  </si>
  <si>
    <t xml:space="preserve"> 1		Set		Tire, 23.5 x 25, 18/20 PR, Tube Type 	 1		Pc		Tire, 23.1 x 26, 12 PR Tubeless, Non directional 34		Set		Tire, 12 x 20, Tube Type, Super Lug, (Cross Lug) 18 PR 13		Set		Tire, 11 x 20, Tube Type, Super Lug (Cross Lug) 18 PR 4		Set		Battery, Low Main</t>
  </si>
  <si>
    <t xml:space="preserve"> Republic of the Philippines  Province of Cotabato Municipality of Antipas Barangay Kiyaab OFFICE OF THE BIDS &amp; AWARD COMMITTEE Invitation to Bid for Construction Of 1-Unit Tribal Hall 1.	The Barangay Government of Kiyaab through the Trust Fund intends to </t>
  </si>
  <si>
    <t xml:space="preserve"> Barangay Maragang, Tigbao, ZDS</t>
  </si>
  <si>
    <t xml:space="preserve"> Procurement of Infrastructure Projects 1. Constn. of Interconnector of Buildings @ Public Market, Pob. West, Lamut, Ifugao 2. Constn. of Entrance/ Exit gate at Trading Post, Mabatobato, Lamut, Ifugao 3. Constn. of Vault for Special Wastes 4. Constn. of Co</t>
  </si>
  <si>
    <t xml:space="preserve"> materials for the Concreting of Barangay Road</t>
  </si>
  <si>
    <t xml:space="preserve"> materials for the Rehabilitation of Street Lights</t>
  </si>
  <si>
    <t xml:space="preserve"> Republic of the Philippines DEPARTMENT OF PUBLIC WORKS AND HIGHWAYS PANGASINAN 1ST DISTRICT ENGINEERING OFFICE REGIONAL OFFICE I Alaminos City, Pangasinan INVITATION TO BID FOR 20GAG0001- Furnishing of Materials for the Completion of DPWH Main Building, D</t>
  </si>
  <si>
    <t xml:space="preserve"> 1.	The Municipality of Consolacion, through the GF - 20% EDF intends to apply the sum of Three Million Five Hundred Thousand Pesos (P 3,500,000.00) being the Approved Budget for the Contract (ABC) to payments under the contract for Construction/Installati</t>
  </si>
  <si>
    <t xml:space="preserve"> Republic of the Philippines DEPARTMENT OF PUBLIC WORKS AND HIGHWAYS PANGASINAN 1ST DISTRICT ENGINEERING OFFICE REGIONAL OFFICE I Alaminos City, Pangasinan INVITATION TO BID FOR 20GAG0002- Provision of Office Equipment and Accessories for the use of office</t>
  </si>
  <si>
    <t xml:space="preserve"> Purchase of 2 units motor vehicle</t>
  </si>
  <si>
    <t xml:space="preserve"> 38	         bags	Portland Cement	 3 1/4	cu.m.	Sand, S-1	 3 3/4	cu.m.	Gravel, Crushed	 31	        pcs.	        4" Concrete Hollow Block	 33	        pcs.	       16mm Ø x 6m Reinforced Steel Bar	 28	        pcs.	       12mm Ø x 6m Reinforced Steel Bar	 37	  </t>
  </si>
  <si>
    <t xml:space="preserve"> Windows 10 AMD RYZEN 5 1tb HDD/256GB S5D AMD PADEON VEGA GRAPHICS MOUSE ATTACH</t>
  </si>
  <si>
    <t xml:space="preserve"> FOR NFA REGIONAL OFFICE 02</t>
  </si>
  <si>
    <t xml:space="preserve"> Republic of the Philippines DEPARTMENT OF PUBLIC WORKS AND HIGHWAYS PANGASINAN 1ST DISTRICT ENGINEERING OFFICE REGIONAL OFFICE I Alaminos City, Pangasinan INVITATION TO BID FOR 20GAG0003- Furnishing of Materials, Furniture and Equipment  for the Completio</t>
  </si>
  <si>
    <t xml:space="preserve"> 1.	The Municipality of Consolacion, through the GF - 20% intends to apply the sum of One Million Three Hundred Sixty-Six Thousand Nine Hundred Sixty-Three Pesos and 34/100 (P 1,366,963.34) being the Approved Budget for the Contract (ABC) to payments under</t>
  </si>
  <si>
    <t xml:space="preserve"> Reproduction of Learners Materials Supplies of Ink for Modules</t>
  </si>
  <si>
    <t xml:space="preserve"> To  : 																					Address : 																					Date  : 				May 9,2020																	Subject  : 				Request for Quotations																																					1)	The Provincial Local Government Unit of Ifugao have allocated the following funds</t>
  </si>
  <si>
    <t xml:space="preserve"> The Municipal Government of San Mariano, Isabela intends to apply the sum of One Million Thirty-Eight Thousand Four Hundred Ninety-Nine Pesos and Eighty-Four Pesos (Php1,038,499.84) being the Approved Budget for the Contract (ABC) chargeable against CY 20</t>
  </si>
  <si>
    <t xml:space="preserve"> gasoline supplies for lawn mower</t>
  </si>
  <si>
    <t xml:space="preserve"> Republic of the Philippines Province of Davao Oriental CITY OF MATI REQUEST FOR QUOTATION 			 Date:	04 JUNE 2020 RFQ No.:	0764-2020 Name of Company: __________________________________________________________________________________________________________</t>
  </si>
  <si>
    <t xml:space="preserve"> Tire, 11R/22.5, 16-ply (manufacturing date:  2019/2020) for delivery to BSP Batac Branch, City of Batac, Ilocos Norte</t>
  </si>
  <si>
    <t xml:space="preserve"> Republic of the Philippines Province of Davao Oriental CITY OF MATI REQUEST FOR QUOTATION 			 Date:	04 JUNE 2020 RFQ No.:	0769-2020 Name of Company: __________________________________________________________________________________________________________</t>
  </si>
  <si>
    <t xml:space="preserve"> Invitation to Bid for the Rehabilitation of Solar Streetlights, Cory Aquino Boulevard, Camarines Norte 1.	TheProvincial Government of Camarines Norte, through the General Fund 2020intends to apply the sum of Four MillionEight Hundred Sixty-One Thousand Fi</t>
  </si>
  <si>
    <t xml:space="preserve"> Invitation to Bid for the Construction/Improvement of Barangay Road (Phase II), Brgy. Tabas, Paracale, Camarines Norte 1.	TheProvincial Government of Camarines Norte, through the Performance Challenge Fund CY 2020intends to apply the sum of Four MillionFi</t>
  </si>
  <si>
    <t xml:space="preserve"> I.    CONCRETE AND MASONRY WORKS              -         5.375  CU.M.</t>
  </si>
  <si>
    <t xml:space="preserve"> Section I. Invitation to Bid INVITATION TO BID: BID REFERENCE NO.: 2020-014 Supply and Delivery of Various Fingerlings  The Bureau of Fisheries and Aquatic Resources-12 (BFAR-12) of the Department of Agriculture, through the General Appropriations Act for</t>
  </si>
  <si>
    <t xml:space="preserve"> Invitation to Bid for the Construction of Potable Water System, Brgy. Kanapawan, Labo, Camarines Norte 1.	TheProvincial Government of Camarines Norte, through the 20% Development Fund 2019intends to apply the sum of Four MillionNine Hundred Eighty-Eight T</t>
  </si>
  <si>
    <t xml:space="preserve"> Medical Supplies and Materials Ethyl Alcohol 70% 500 ml/bot - 150 pcs Zonrox bleach 1 liter/bot - 30 pcs Lysol disinfectant spray 340 ml/canister - 30 pcs Face mask 50pcs/box (surgical) - 2 boxes Face mask (washable) - 400 pcs Hand Soap (bar) - 200 pcs No</t>
  </si>
  <si>
    <t xml:space="preserve"> INVITATION TO BID FOR Procurement of Reference Books (Lot 1-7) 	          The CAMARINES SUR POLYTECHNIC COLLEGES, through the College Income intends to apply the sum of the following listed below being the Approved Budget for the Contract (ABC) to payment</t>
  </si>
  <si>
    <t xml:space="preserve"> 2 PCS. tIRES # 540/65R 34 REAR 2 PCS TIRE # 440/65r 24 FRONT 12 PCS OIL SEAL BEARING 12 PCS BEARING # 6310 1 PC CLUTCH CABLE 1M 1 PC. OIL FILTER 1 PC FUEL FILTER 1 PC AIR  CLEANER</t>
  </si>
  <si>
    <t xml:space="preserve"> Invitation to Bid No. 2020-002 Republic of the Philippines Batangas City Invitation to Bid for the Purchase of Office Equipment for the use of Barangay Concepcion, Batangas City. The Barangay Government through the Office of the Brgy. Chairman intends to </t>
  </si>
  <si>
    <t xml:space="preserve"> Please refer to the attached Request for Quotation</t>
  </si>
  <si>
    <t xml:space="preserve"> SOLID WASTE MANAGEMENT (1ST QUARTER TO 3RD QUARTER)</t>
  </si>
  <si>
    <t xml:space="preserve"> Republic of the Philippines DEPARTMENT OF AGRICULTURE PHILIPPINE RURAL DEVELOPMENT PROJECT PROVINCE OF DAVAO ORIENTAL CITY OF MATI INVITATION TO QUOTE (ITQ) SUPPLY AND DELIVERY OF BRAND NEW HAULING TRUCK (6 WHEELERS) (IN SUPPORT TO FRESH GREEN CARDAVA TRA</t>
  </si>
  <si>
    <t xml:space="preserve"> PHOTOCOPYING SERVICES FOR OM-BOD FOR LETTER/A4 &amp; LEGAL SIZES REDUCER/ENLARGER MONTHLY BASIS LOCATION/SITE: OM BOD OFFICE                          PEÑAFRANCIA, DARAGA, ALBAY PLEASE SUBMIT REQUIREMENTS: 1	MAYOR’S/BUSINESS PERMIT 2	PhilGEPS REG. NUMBER/CERTI</t>
  </si>
  <si>
    <t xml:space="preserve"> Invitation to Bid for Construction/Improvement of Drainage System of Libertad Public Market  Libertad, Antique The Local Government of Libertad, Antique, through the MDF 2020 intends to apply the sum of One Million Three Hundred Thousand Pesos (PhP 1,300,</t>
  </si>
  <si>
    <t xml:space="preserve"> Establishment of Integrated Farming System at Sitio Guingab, Masipi West, Cabagan, Isabela LGU Cabagan Cabagan, Isabela</t>
  </si>
  <si>
    <t xml:space="preserve"> Replacement of Multi-Purpose Roof</t>
  </si>
  <si>
    <t xml:space="preserve"> 1.	The National Irrigation Administration Interim Albay-Catanduanes IMO, Tuburan, Ligao City, through the GAA/SIP CY 2020 intends to apply the sum of P941,747.59 being the Approved Budget for the Contract (ABC) to STA. ISABEL CIP, Bato, Catanduanes under </t>
  </si>
  <si>
    <t xml:space="preserve"> REQUEST FOR QUOTATION The National Telecommunications Commission (NTC), through its Bids and Awards Committee (BAC), will undertake Negotiated Procurement – Small Value Procurement for the project “Procurement of Two (2) Air Conditioning Units for NTC Reg</t>
  </si>
  <si>
    <t xml:space="preserve"> Qpathway area     68.50 x 2.00       137.00 sq.m</t>
  </si>
  <si>
    <t xml:space="preserve"> Republic of the Philippines Province of Ilocos Sur MUNICIPALITY OF MAGSINGAL Office of the Bids and Awards    Committee INVITATION TO BID FOR THE PROVISION OF POTABLE WATER SUPPLY FOR TOBACCO FARMERS OF SITIO SARAGCAO, MAAS-ASIN, MAGSINGAL, ILOCOS SUR The</t>
  </si>
  <si>
    <t xml:space="preserve"> CONTINUATION OF CONSTRUCTION OF THE MULTI PURPOSE BUILDING AT ST. JOSEPH SUBDIVISION, SAN ANTONIO San Antonio, Mexico, Pampanga BAC Activities Schedule 1. Submission of Request for Expression of Interest and Eligibility Requirements	June 9-16, 2020 2.  Pr</t>
  </si>
  <si>
    <t xml:space="preserve"> Construction of Rainwater Collection System (Polyethylene Tank – Vertical)</t>
  </si>
  <si>
    <t xml:space="preserve"> BIDS AND AWARDS COMMITTEE (BAC) Email address: bacregion2@yahoo.com Telefax No.: (078) 304-0560 CP Nos.: 09173190220 INVITATION TO BID ITB No.: 2020-06-20 The Department of Agriculture – Regional Field Office No. 02 (DA-RFO 02) through its Bids and Awards</t>
  </si>
  <si>
    <t xml:space="preserve"> Reinforced Concrete Revetment</t>
  </si>
  <si>
    <t xml:space="preserve"> 1  1,490   bts.   Ascorbic Acid with zinc syrup 60ml    58.00      86,420.00 2  125      bxs.  Vitamins = Iron Food Supplement Capsule (Multiron)   400.00    50,000.00 3  432      bts.   Paracetamol 250mg/5ml 60ml   60.00    25,920.00 4  20        bxs.  P</t>
  </si>
  <si>
    <t xml:space="preserve"> SUPPLY AND DELIVERY OF DRUM WASHER WITH SOAP DISPENSER WITH 200L STORAGE TANK</t>
  </si>
  <si>
    <t xml:space="preserve"> MUNICIPALITY OF ABRA DE ILOG Name of Procuring Entity						                Contract Reference Number Goods No.11-2020 Name of Contract: Supply and Delivery of Materials for the  Construction and Upgrading of Potable Water System    Location: Abra de Ilog,</t>
  </si>
  <si>
    <t xml:space="preserve"> INVITATION TO BID The City of Bayawan, through its Bids and Awards Committee (BAC), invites suppliers/manufacturers/distributors/contractors to bid for the hereunder projects: 	Lot No. I		Materials, labor, fuel and equipment needed for the development of </t>
  </si>
  <si>
    <t xml:space="preserve"> Procurement ID/Contract ID:	20PI0092 Contract Name:	Local Infrastructure Program - Water Management Facilities - Water Supply: Construction/ Rehabilitation/ Improvement of Waterworks, Brgy. Bontoc Ili, Poblacion and Calutit, Bontoc, Mountain Province Cont</t>
  </si>
  <si>
    <t xml:space="preserve"> 15,000	Ltr	Fuel, Diesel 1,300	Ltr	Fuel, Gasoline, Special 100   	Ltr	Oil, Diesel Engine 15W40 20    	Pail	Oil, Hydraulic VG 68 60    	Ltr	Oil, Hydraulic SAE 30 120   	Ltr	Oil, Hydraulic SAE 10 14    	Ltr	Oil, 2T 25    	Ltr	Oil, Gasoline Engine 20W50 25   </t>
  </si>
  <si>
    <t xml:space="preserve"> JUNE 8, 2020 INVITATION TO BID Name of Project: SUPPLY &amp; DELIVERY OF LIMESTONE FOR THE MAINTENANCE OF PROVINCIAL ROADS &amp; BRIDGES (MACHINE GRADING, REGRAVELLING SAND, GRAVEL&amp; LIMESTONE)  Approved Budget of the Contract: P 1,501,500.00 ITEM: 2,730	cu.m.	Lim</t>
  </si>
  <si>
    <t xml:space="preserve"> Construction of pathway sitio peña</t>
  </si>
  <si>
    <t xml:space="preserve"> Republic of the Philippines Province of Zambales MUNICIPALITY OF MASINLOC OFFICE OF THE BIDS AND AWARDS COMMITTEE INVITATION TO BID The Municipality of Masinloc, Province of Zambales, through its Bids and Awards Committee (BAC), invites suppliers/Manufact</t>
  </si>
  <si>
    <t xml:space="preserve"> AIRCONDITIONING UNIT INVERTER SPLIT TYPE 1.5HP</t>
  </si>
  <si>
    <t xml:space="preserve"> Republic of the Philippines Province of Davao de Oro MUNICIPALITY OF COMPOSTELA BIDS AND AWARDS COMMITTEE CP#: 0998-571-7569 INVITATION TO BID FOR  Re-bid: Procurement of Spare Parts for Construction and Heavy Equipment (1st Qtr) – MOTORPOOL ITB NO. 2020-</t>
  </si>
  <si>
    <t xml:space="preserve"> 3/4 Marine Plywood 1/4 4x1x1x6m Angle Bar Welding Rod Bolt 3/16x1 w/ nuts and washers 60x60 tiles Counter Sink Faucet HDPE Pipe 1/2 Compression Type Threaded Coupling 1/2 Epoxy (1ltr) Epoxy Primer PVC Pipe 1/2 PVC Threaded Elbow 1/2 PVC Elbow 1/2 PVC Tee </t>
  </si>
  <si>
    <t xml:space="preserve"> JOB  ORDER: Consultancy services for the conduct of the Project “RAPID MARKETING APPRAISAL FOR YELLOW AND WHITE CORN FOR BILIRAN AND LEYTE PROVINCES” for 2 Months (August to September 2020) No.	Scope of Work	Quantity	Unit_Cost	ABC 	Qualification:	1	400,00</t>
  </si>
  <si>
    <t xml:space="preserve"> 17 bags cement 2   cu.m gravel 1   cu.m sand 22 pcs   RSB 10mm 22 pcs   RSB 9mm 5 1/2    kg #16 tie wire 3  pcs  ordinary plywood 1/4" thk 108 bd.ft coco lumber 3  kg  cw nails, assorted 11 pcs G.I pipe 2" sch 40, 6m length 3   kg  welding rod 600 lm #6 s</t>
  </si>
  <si>
    <t xml:space="preserve"> Qbrgy road 4.00 x 34.00 136.00 m2</t>
  </si>
  <si>
    <t xml:space="preserve"> BIDS AND AWARDS COMMITTEE (BAC) Email address: bacregion2@yahoo.com Telefax No.: (078) 304-0560 CP Nos.: 09173190220 INVITATION TO BID ITB No.: 2020-06-21 The Department of Agriculture – Regional Field Office No. 02 (DA-RFO 02) through its Bids and Awards</t>
  </si>
  <si>
    <t xml:space="preserve"> MUNICIPALITY OF ABRA DE ILOG Name of Procuring Entity							 Contract Reference Number Goods No.14-2020 Name of Contract: Supply and Delivery of Medicines    Location:  LGU, ADIOM Republic of the Philippines Province of Occidental Mindoro Municipality of </t>
  </si>
  <si>
    <t xml:space="preserve"> A Republic of the Philippines BIDS AND AWARDS COMMITTEE Dagupan City Invitation to Bid   for PROPOSED CONCRETING OF PAVEMENT AND COVERED DRAINAGE AT DIVISION OFFICE, BRGY. POBLACION OESTE, DAGUPAN CITY 1.	The City Government of Dagupan, through the CONTIN</t>
  </si>
  <si>
    <t xml:space="preserve"> 1 Lot Job Order for the Provision of Materials, Labor and equipment for the construction of Septic Vault Php 348,283.43 &gt; See Attached estimate, Plan, Scope of Works and Bill of Quantities &gt;Within 30 Calendar Days xxxxxxxx For use in the hospital's Waste </t>
  </si>
  <si>
    <t xml:space="preserve"> City Government of Manila INVITATION TO BID NO. 2020-06-87 Procurement of Various I.T. and Office Equipment 1.	The City Government of Manila, through the Capital Outlay-Operating Expenses CY 2020 for Peace and Order intends to apply the sum of Two Million</t>
  </si>
  <si>
    <t xml:space="preserve"> Invitation to Bid Supply and Delivery of Office Supplies, 1 Lot, for the Utilization of Pantawid Pamilya staff in RPMO, POO1, POO2, POO3, POO4 and its municipalities for the 1st Quarter CY 2020 1.	The Department of Social Welfare and Development, Field Of</t>
  </si>
  <si>
    <t xml:space="preserve"> Municipality of Dolores, Quezon INVITATION TO BID FOR THE LOCAL PROGRAM, LOCAL INFRASTRUCTURE PROGRAM, CONSTRUCTION OF MULTI PURPOSE BUILDING-PHASE 1 (MUNICIPAL HALL) AT DOLORES, QUEZON The LGU, through  the General Fund  (Office of the Mayor)–intends to </t>
  </si>
  <si>
    <t xml:space="preserve"> Procurement ID/Contract ID:	20PI0093 Contract Name:	Local Infrastructure Program - Local Roads and Bridges, Local Bridges, Construction/ Rehabilitation/ Improvement of Various Footbridges, Brgy. Betwagan, Sadanga, Mountain Province Contract Location:	Sada</t>
  </si>
  <si>
    <t xml:space="preserve"> Provision of Labor, Materials and Equipment for the Installation of Solar Streetlights in Brgy. Jurao, Julita, Leyte in accordance with the plan and specifications: SCOPE OF WORKS: * Structure Excavation - - - - - - - - - - - - -&gt;  7.20 cu.m * Reinforced </t>
  </si>
  <si>
    <t xml:space="preserve"> JUNE 8, 2020 INVITATION TO BID Name of Project: SUPPLY &amp; DELIVERY OF SAND &amp; GRAVEL FOR THE MAINTENANCE OF PROVINCIAL ROADS &amp; BRIDGES (MACHINE GRADING, REGRAVELLING SAND, GRAVEL&amp; LIMESTONE) Approved Budget of the Contract: P 1,029,000.00 ITEM: 735	cu.m.	Sa</t>
  </si>
  <si>
    <t xml:space="preserve"> Construction of drainage canal P-1,2 &amp; 4</t>
  </si>
  <si>
    <t xml:space="preserve"> MUNICIPALITY OF ABRA DE ILOG Name of Procuring Entity							 Contract Reference Number Goods No.15-2020 Name of Contract: Supply and Delivery of  Materials for the Construction of Day Care Center Poblacion    Location:  Abra de Ilog, Occ. Mindoro Republic</t>
  </si>
  <si>
    <t xml:space="preserve"> Republic of the Philippines	 	DEPARTMENT OF PUBLIC WORKS AND HIGHWAYS	 	ILOILO 3RD	 	DISTRICT ENGINEERING OFFICE	 	REGIONAL OFFICE VI	 	Barotac Viejo, Iloilo	 INVITATION TO BID FOR  1.	Contract Name:	20GGH0023 – Purchase of Ten Thousand (10,000) Liters Di</t>
  </si>
  <si>
    <t xml:space="preserve"> REQUEST FOR QUOTATION The National Telecommunications Commission (NTC), through its Bids and Awards Committee (BAC), will undertake Negotiated Procurement – Two Failed Biddings for the project “Six (6) Months Lease Contract of Office Space for NTC Pagadia</t>
  </si>
  <si>
    <t xml:space="preserve"> LGU - Padre Burgos, Southern Leyte INVITATION TO BID FOR  Procurement of Backhoe Track Shoe Type Padre Burgos, Southern Leyte 1.	The LGU Padre Burgos, Southern Leyte through the 20% EDF , CY 2020  intends to apply the sum of Three Million Sixty Seven Thou</t>
  </si>
  <si>
    <t xml:space="preserve"> MUNICIPALITY OF ABRA DE ILOG Name of Procuring Entity							 Contract Reference Number Goods No.16-2020 Name of Contract: Supply and Delivery of  Materials for the Construction of Aluyan Fence    Location:  Abra de Ilog, Occ. Mindoro Republic of the Phili</t>
  </si>
  <si>
    <t xml:space="preserve"> Invitation to Bid for Road Rehabilitation of General Fullon Street to Zaldivar Street  Libertad, Antique The Local Government of Libertad, Antique, through the MDF 2020 intends to apply the sum of Three Million Pesos (PhP 3,000,000.00) being the Approved </t>
  </si>
  <si>
    <t xml:space="preserve"> Republic of the Philippines Province of Davao de Oro MUNICIPALITY OF COMPOSTELA BIDS AND AWARDS COMMITTEE CP#: 0998-571-7569 INVITATION TO BID FOR  Re-bid: Procurement of Various Supplies and Equipment (1st Qtr) – MOTORPOOL ITB NO. 2020-06-026, BID NO. 00</t>
  </si>
  <si>
    <t xml:space="preserve"> MUNICIPALITY OF ABRA DE ILOG Name of Procuring Entity						 Contract Reference Number Goods No.17-2020 Name of Contract: Supply and Delivery of Materials for the  Repair and Maintenance of Public Building and  Other Structures   Location:  LGU, ADIOM Repu</t>
  </si>
  <si>
    <t xml:space="preserve"> 1. The [Local Government Unit of Inopacan, Leyte], through the [2020 Continuing Appropriations for Other Structures from the 2019 Unobligated Balances under Capital Outlay of the Local General Services in the approved 2019 General Fund Annual Budget and 2</t>
  </si>
  <si>
    <t xml:space="preserve"> Name of Project: Provision of Sixteen (16) Sets Solar Streetlight Location: Brgy Estipona, Pura, Tarlac ABC: Php 787,500.50 Specification: 16 sets LED Solar Light 150 V SMD, Warm White Model: SSL 150W-WW Specification: Light Output: 150W Solar Panel:250W </t>
  </si>
  <si>
    <t xml:space="preserve"> JUNE 8, 2020 INVITATION TO BID Name of Project: SUPPLY AND DELIVERY OF FUEL FOR REHABILITATION OF BARANGAY ROADS OF 16 BARANGAYS   Approved Budget of the Contract: P 786,500.00 ITEM: 14,300	liters	Fuel  (for road grader) 		 The conduct of Bid for SUPPLY A</t>
  </si>
  <si>
    <t xml:space="preserve"> MUNICIPALITY OF ABRA DE ILOG Name of Procuring Entity						 Contract Reference Number Goods No.18-2020 Name of Contract: Supply and Delivery of Materials for the  Construction of RMG Office   Location:  LGU, ADIOM Republic of the Philippines Province of O</t>
  </si>
  <si>
    <t xml:space="preserve"> Qpathway area  67.10 x 0.90    60.39 sq.m</t>
  </si>
  <si>
    <t xml:space="preserve"> Invitation to Bid for the Contract Package for the Concreting of Farm to Market Road with Stone Masonry, Barangay Pudoc West, Tagudin, Ilocos Sur 1.	The Local Government Unit of Tagudin, Ilocos Sur, thru its Bids and Awards Committee intends to apply the </t>
  </si>
  <si>
    <t xml:space="preserve"> JUNE 8, 2020 INVITATION TO BID Name of Project: SUPPLY &amp; DELIVERY OF DIESEL FOR ROAD ROLLER AND ROAD GRADER FOR THE MAINTENANCE OF PROVINCIAL ROADS &amp; BRIDGES (MACHINE GRADING, REGRAVELLING SAND, GRAVEL&amp; LIMESTONE)  Approved Budget of the Contract: 322,850</t>
  </si>
  <si>
    <t xml:space="preserve"> Procurement ID/Contract ID:	20PI0094 Contract Name:	Maintenance, Repair and Rehabilitation of Infrastructure Facilities and Other Related Activities - Public Buildings: Repair/Maintenance of: 1. DPWH Building Old DE's Quarters, Caluttit, Bontoc, Mountain </t>
  </si>
  <si>
    <t xml:space="preserve"> INVITATION TO BID The Barangay Government of Brgy. Mapula through its Bids and Awards Committee (BAC) invites all PhilGEPS registered suppliers to apply to bid for the  REHABILITATION OF BARANGAY WATER SUPPLY SYSTEM.</t>
  </si>
  <si>
    <t xml:space="preserve"> Item No.	Unit	DESCRIPTION				Qty 						 1	Pcs	Stamp Pad				2 2	Box	White Envelop Long				2 3	Pcs	Double Sided Tape''				10 4	Pcs	Lever Arc File				10 5	Pack	Photopaper				5 6	Pack	Special Paper				5 7	Pcs	Stapler Heavy Duty				2 8	Box	Staple Wire for Heav</t>
  </si>
  <si>
    <t xml:space="preserve"> Republic of the Philippines Province of Pangasinan Municipality of Lingayen BARANGAY BALOCOC INVITATION TO BID  The Barangay Balococ, through the Barangay Development Fund  CY-2020       intends to apply the sum of   Five  Hundred Two  Thousand Six Hundre</t>
  </si>
  <si>
    <t xml:space="preserve"> REQUEST FOR QUOTATION The National Telecommunications Commission (NTC), through its Bids and Awards Committee (BAC), will undertake a Negotiated Procurement - Small Value Procurement for the “Supply and Delivery of Two (2) Units Brand New Mobile Phones to</t>
  </si>
  <si>
    <t xml:space="preserve"> Number: 	Quantity: 	Unit	PPMP_Code	PPMP_Code1	PPMP_Code2	PPMP_Remarks	Articles	Specifications	StockNo	Unit_Cost	Estimated_Cost 1.	20	bags		Hog Starter	Crumble		1,600.00	32,000.00 2.	27	bags		hog grower			1,450.00	39,150.00 3.	20	bag		Hog Lactating pellets</t>
  </si>
  <si>
    <t xml:space="preserve"> Improvement of Administration Office</t>
  </si>
  <si>
    <t xml:space="preserve"> 1.	The Municipality of Consolacion, through the GF - 20% intends to apply the sum of One Million Four Hundred Seventy-Five Thousand Seven Hundred Seventy-Four Pesos and 96/100 (P 1,475,774.96) being the Approved Budget for the Contract (ABC) to payments u</t>
  </si>
  <si>
    <t xml:space="preserve"> This project is located at barangay Nueva Era,Cabatuan,Isabela			 			 I.	CLEARING AND GRUBBING	8,050.00	sq.m. II.	SUBGRADE PREPARATION	8,050.00	sq.m. III.	AGGREGATE SUB-BASE COARSE	1,207.50	cu.m. IV.	AGGREGATE BASE COARSE	966.00	cu.m. V.	PORTLAND CEMENT C</t>
  </si>
  <si>
    <t xml:space="preserve"> Item No.	Unit	DESCRIPTION				Qty 						 1	Pcs	Pentel Pen (Black &amp; Blue)				3 2	Pcs	HighLighter				1 3	Doz.	Folder long				12 4	Doz.	Folder Short				6 5	Pcs	Correction Tape				6 6	Ream	Construction Paper				1 7	Pcs	Sign Pen (Uni-ball Gel Impact 1.0) refill</t>
  </si>
  <si>
    <t xml:space="preserve"> PURCHASE &amp; DELIVERY OF MOTORCYCLE FOR MUN. TREASURY OFFICE &amp;  MUN. AGRICULTURE OFFICE</t>
  </si>
  <si>
    <t xml:space="preserve"> https://drive.google.com/file/d/1fGbwW-yO84fRNebF27-RxpbnI9SLawdz/view?usp=drivesdk</t>
  </si>
  <si>
    <t xml:space="preserve"> Procurement ID/Contract ID:	20PI0095 Contract Name:	Concreting of Brgy. Agawa FMR, Brgy. Agawa, Besao, Mountain Province Contract Location:	Besao, Mountain Province Brief Description:	Road concreting Approved Budget for the Contract (ABC):	Php 11,939,999.</t>
  </si>
  <si>
    <t xml:space="preserve"> Portland Cement 9mm dia. RSB Tie Wire #16 Common Nails (Assorted) CHB 4"x8"x16' Sand Gravel</t>
  </si>
  <si>
    <t xml:space="preserve"> MUNICIPALITY OF ABRA DE ILOG Name of Procuring Entity						 Contract Reference Number Goods No. 21-2020 Name of Contract: Supply and Delivery of Materials for the  Construction of Local Access Road    Location:  Sitio, Rayusan, Brgy. Armado, ADIOM Republi</t>
  </si>
  <si>
    <t xml:space="preserve"> The LOCAL GOVERNMENT UNIT OF MAGDALENA, through the General Fund this 2020 to apply the sum of Two Hundred Thousand Sixty Six Pesos (P 200,066.00) being the Approved Budget for the Contract (ABC) for payments under the contract for the Procurement of Drug</t>
  </si>
  <si>
    <t xml:space="preserve"> Department of Public Works and Highways Contract ID:	20NA0069 Title: 		Concreting of Brgy. Guinabsan FMR, Buenavista, Agusan del Norte Location:		Buenavista, Agusan del Norte ________________________________________________________________________________</t>
  </si>
  <si>
    <t xml:space="preserve"> PLEASE REFER  ATTACHMENT</t>
  </si>
  <si>
    <t xml:space="preserve"> Please see attached Invitation for Negotiation</t>
  </si>
  <si>
    <t xml:space="preserve"> MUNICIPALITY OF ABRA DE ILOG Name of Procuring Entity						 Contract Reference Number Goods No.19-2020 Name of Contract: Supply and Delivery of Materials for the  Construction of Local Access Road    Location:  Sitio, Sto. Tomas , ADIOM Republic of the Ph</t>
  </si>
  <si>
    <t xml:space="preserve"> MUNICIPALITY OF ABRA DE ILOG Name of Procuring Entity						 Contract Reference Number Goods No. 20-2020 Name of Contract: Supply and Delivery of Materials for the  Construction of Local Access Road    Location:  Sitio, Kalinyawan, Brgy. San Vicente, ADIOM</t>
  </si>
  <si>
    <t xml:space="preserve"> https://drive.google.com/file/d/1AJphcvo9ZCylnFOt6KVNDq2FMP6jCdDN/view?usp=drivesdk</t>
  </si>
  <si>
    <t xml:space="preserve"> Number: 	Quantity: 	 1	20	sack		COPRA MEAL			1,000.00	20,000.00 2	20	sack		Fish Meal			1,000.00	20,000.00 3	100	kilo		Rice bran			20.00	2,000.00 4	20	sack		Soybean meal	50 kg/bag		1,000.00	20,000.00 No.	TermsAndConditions 1	Winning bidder must follow the </t>
  </si>
  <si>
    <t xml:space="preserve"> Republic of the Philippines Province of Davao de Oro MUNICIPALITY OF COMPOSTELA BIDS AND AWARDS COMMITTEE CP#: 0998-571-7569 INVITATION TO BID FOR  Procurement of Hardware Materials for Rehabilitation of Roads and Bridges P-1 Poblacion (SB# 01 CY 2020 - 2</t>
  </si>
  <si>
    <t xml:space="preserve"> MUNICIPALITY OF ABRA DE ILOG Name of Procuring Entity						 Contract Reference Number Goods No. 23-2020 Name of Contract: Supply and Delivery of Materials                FOR THE Maint. of Water System Location:  LGU, ADIOM Republic of the Philippines Prov</t>
  </si>
  <si>
    <t xml:space="preserve"> Republic of the Philippines Province of Pangasinan Municipality of Bugallon OFFICE OF THE BIDS AND AWARDS COMMITTEE INVITATION TO BID The Barangay Magtaking of the Municipality of Bugallon, Pangasinan, through its Bids and Awards Committee (BAC), invites </t>
  </si>
  <si>
    <t xml:space="preserve"> MUNICIPALITY OF ABRA DE ILOG Name of Procuring Entity						 Contract Reference Number Goods No. 22-2020 Name of Contract: Supply and Delivery of Materials for the  Construction of Local Access Road    Location:  Sitio, Amazona, Brgy. Lumangbayan, ADIOM Re</t>
  </si>
  <si>
    <t xml:space="preserve"> Republic of the Philippines Province of Guimaras Municipality of Jordan  Invitation to Bid for Concreting of Barangay Roads at Balingasag, Sinapsapan, Jordan, Guimaras Invitation to Bid No. 20-038 (Re-bid) 1.	The Municipal Government of Jordan, through th</t>
  </si>
  <si>
    <t xml:space="preserve"> Item No.	Unit	DESCRIPTION				Qty 						 1	Pcs	Glade Cargel				15 2	Pcs	Alcohol				15 3	Pcs	Tissue Paper				25 4	Pcs	Dustpan				3 5	Pcs	Air Freshener				3 6	Pcs	Air Deodorizer				20 7	Pcs	Broom				6 8	Pcs	Floor Mop				5</t>
  </si>
  <si>
    <t xml:space="preserve"> Republic of the Philippines						 Province of Bohol						 Municipality of Batuan						 Barangay Poblacion Sur						 						 ABSTRACT OF BID/BILL OF QUANTITIES						 ____________________________						 ____________________________						 _____________________</t>
  </si>
  <si>
    <t xml:space="preserve"> Mobile Aerial Platform GVW (kg) 6775 Engine Model: 4B2-115C50 Euro4   Net Weight (kg) 5775     Drive size 4*2     Max speed: 95kmh     Platform Specs: Max lift: 12m Max crane     Weight 100kg., Basket Max weight 200kg     Power: 90Kw     Displacement: 5.5</t>
  </si>
  <si>
    <t xml:space="preserve"> Republic of the Philippines																		 Province of Bohol																		 Municipality of Buenavista																		 																		 Barangay Cambuhat																		 INVITATION TO APPLY FOR ELIGIBILITY AND TO BID																		 								</t>
  </si>
  <si>
    <t xml:space="preserve"> Supply of Chicken re: - 2,400 heads pullet, native, 1.2 - 1.5 kg. body weight, 4 -5 months old -    600 heads rooster, native, 1.2 - 1.5 kg. body weight, 4 - 5 months old Note: inclusive of transportation and delivery costs on site. to be delivered as soo</t>
  </si>
  <si>
    <t xml:space="preserve"> FILTER ELEMENT NO. 152 x 262 DUPLEX FILTER</t>
  </si>
  <si>
    <t xml:space="preserve"> various agricultural machinery and equipment</t>
  </si>
  <si>
    <t xml:space="preserve"> Request for Quotation for the Procurement of Boltless Steel Rack of the Department of Education Regional Office VI</t>
  </si>
  <si>
    <t xml:space="preserve"> Hiring of 1 blue guard for Lumbia Central School effective July to November 2020 *20 years old and above preferably male *with good moral character * good in oral and written communication</t>
  </si>
  <si>
    <t xml:space="preserve"> Portland Cement Coco Lumber 2"x4"x12' Mixing Water Sand Gravel Common Nails (Assorted)</t>
  </si>
  <si>
    <t xml:space="preserve"> Republic of the Philippines Province of Pangasinan BIDS AND AWARDS COMMITTEE Municipality of Calasiao INVITATION TO BID FOR  REPAIR OF GOVERNMENT FACILITIES FOR USE DURING THE OPERATION OF COVID 19 PANDEMIC AT CALASIAO, PANGASINAN 1.	The Municipality of C</t>
  </si>
  <si>
    <t xml:space="preserve"> Republic of the Philippines Batangas City Invitation to Apply for Eligibility and to Bid The Barangay Government of Barangay Dela Paz Pulot Aplaya, Batangas City intends to apply the sum of One Hundred Thirty Four Thousand Seven Hundred Pesos Only (Php 13</t>
  </si>
  <si>
    <t xml:space="preserve"> CLEARING OF TREES NEAR 13.8KV LINE AT PULANGI IV HEP</t>
  </si>
  <si>
    <t xml:space="preserve"> To repair Fire Station Building at Calbayog Airport, Calbayog City, Western Samar.</t>
  </si>
  <si>
    <t xml:space="preserve"> Specifications: 1293.33 bd.ft. 388 pcs-2” x 2” x 10’ Coco Lumber; 970.67 bd.ft. 364 pcs-2” x 2” x 8’ Coco Lumber; 110 bd.ft. 22 pcs-2” x 3” x 10’ Coco Lumber; 440 bd.ft. 66 pcs-2” x 4” x 10’ Coco Lumber; 44 bd.ft. 11 pcs-2” x 4” x 6’ Coco Lumber; 160 bd.f</t>
  </si>
  <si>
    <t xml:space="preserve"> 1,249 Box	Disposable Face mask Ear loop 50 pcs/box, ABC 800.00/box RFQ#06-0589</t>
  </si>
  <si>
    <t xml:space="preserve"> MUNICIPALITY OF ABRA DE ILOG Name of Procuring Entity						                Contract Reference Number Infra No. 01-2020 Name of Contract:  Construction and Development of Auxiliary Source Water      Location: Brgy. Tibag, Abra de Ilog, Occ. Mindoro Republi</t>
  </si>
  <si>
    <t xml:space="preserve"> One (1) Unit Mini Dump-Truck</t>
  </si>
  <si>
    <t xml:space="preserve"> Engine Specification		 Type		2.8L Diesel, 4 Cylinder, In line 16V, DOHC, Turbo charged Engine Technology	Direct Injection Common Rail Diesel (d-4D) Displacement		  2.755cc   Max Output		  176ps/3,4000rpm   Max Torque		  420nm/1,400-2,600rpm   Fuel Tank Ca</t>
  </si>
  <si>
    <t xml:space="preserve"> 1.	The MUNICIPALITY OF GUINAYANGAN, QUEZON, through  the  2020 MOOE  intends to apply the sum of  One Hundred Forty Two Thousand One Hundred Eighty Pesos                 (P 142,180.00) being the Approved Budget for the Contract (ABC) to payments under the</t>
  </si>
  <si>
    <t xml:space="preserve"> The ZAMBOANGA CITY STATE POLYTECHNIC COLLEGE through its Bids and Awards Committee (BAC) is inviting PHILGEPS registered suppliers to apply for eligibility and to submit bids for the items listed below: 1	Faucet, brass, ½” dia.	60	Pcs. 2	Short nipple, 3”,</t>
  </si>
  <si>
    <t xml:space="preserve"> The Local Government Unit of Barugo, through the 20% Project Development Fund (PDF)  intends to apply the sum of Three Hundred Fifty Thousand Pesos only (Php350,000.00) being the Approved Budget for the Contract (ABC) to payments under the contract for Pr</t>
  </si>
  <si>
    <t xml:space="preserve"> MUNICIPALITY OF ABRA DE ILOG Name of Procuring Entity						                Contract Reference Number Infra No. 02-2020 Name of Contract:  Upgrading and Improvement of Kuli-kuli Road 3      Location: Brgy. Armado, Abra de Ilog, Occ. Mindoro Republic of the</t>
  </si>
  <si>
    <t xml:space="preserve"> The CAGAYAN STATE UNIVERSITY through the GAA FY 2020 intends to apply the sum Five Million Four Hundred Twenty-Eight Thousand Eight Hundred Pesos(P 5,428,800.00), being the Approved Budget for the Contract (ABC) to payments under the contract for “REPAIR </t>
  </si>
  <si>
    <t xml:space="preserve"> Municipality of Dolores, Quezon INVITATION TO BID FOR CONSTRUCTION OF 1 CLASSROOM AND 1 COMPUTER LABORATORY AT BUNGOY ELEMENTARY SCHOOL  The LGU, through  the General  Fund ( 20% DF)–intends to apply the sum of  Two Million Six Hundred  Thousand  Pesos (P</t>
  </si>
  <si>
    <t xml:space="preserve"> The ZAMBOANGA CITY STATE POLYTECHNIC COLLEGE through its Bids and Awards Committee (BAC) is inviting PHILGEPS registered suppliers to apply for eligibility and to submit bids for the items listed below: 1	1.5 HP water pump, 1.1KW, 220V, H Max 60M, 3450rpm</t>
  </si>
  <si>
    <t xml:space="preserve"> INVITATION TO BID  1.	The CITY GOVERNMENT OF CAUAYAN, ISABELA through the 2020 GENERAL FUND intends to apply the sum of ONE MILLION THREE HUNDRED THOUSAND PESOS (Php 1,300,000.00) being the Approved Budget for the Contract (ABC) to payments under the cont</t>
  </si>
  <si>
    <t xml:space="preserve"> INVITATION TO BID The Department of Public Works and Highways - Pampanga 1st District Engineering Office, through its Bids and Awards Committee (BAC), invites contractors to submit bids for the following Contract: 1.	 Procurement ID/Contract ID	:	20CG0140</t>
  </si>
  <si>
    <t xml:space="preserve"> 1.	Purchase Request No.: PDS 2020-05-0001 Name:  	Purchase of Common Office Supplies and Devices for use of Planning and Design Section  Location:	Masbate 3rd District Engineering Office Description of Project/Scope of works:   250		ream		Paper, Multicopy</t>
  </si>
  <si>
    <t xml:space="preserve"> Province of Guimaras			 Municipality of Jordan			 BIDS AWARDS COMMITTEE			 			  			8-Jun-20 			 Invitation of Bid No.20-039			 			 Sealed bids, in triplicate subject to the coordination herein below specified will be received in the			 Property Division o</t>
  </si>
  <si>
    <t xml:space="preserve"> ITEM: 1 lot  Installation/Erection of 60ft Antenna Pole Tin-ao Sub-office PURPOSE: FOR TIN-AO SUB-OFFICE LONG RANGE WIFI ANTENNA.	 ABC: PHP 60,000.00 DELIVERY SCHEDULE: 10 CALENDAR DAYS</t>
  </si>
  <si>
    <t xml:space="preserve"> 1 unit Ambulance Vehicle</t>
  </si>
  <si>
    <t xml:space="preserve"> To repair and maintenance of perimeter fence at Calbayog Airport, Calbayog City, Western Samar</t>
  </si>
  <si>
    <t xml:space="preserve"> Republic of the Philippines CITY OF MALABON Metro Manila BIDS AND AWARDS COMMITTEE I N V I T A T I O N    T O    B I D SUPPLY AND DELIVERY OF VARIOUS PRINTED FORMS, STICKERS AND  TIN PLATES FOR THE PROJECT “REGISTRATION AND FRANCHISING  OF TRICYCLES, PEDI</t>
  </si>
  <si>
    <t xml:space="preserve"> Section I. Invitation to Bid   Republic of the Philippines CITY GOVERNMENT OF SAN FERNANDO Barangay I Email: barangayone@rocketmail.com.ph INVITATION TO BID FOR  Installation and Distribution of Water System  Multi-Purpose Hall, Barangay I, City of San Fe</t>
  </si>
  <si>
    <t xml:space="preserve"> To repair &amp; maintenance of security fence &amp; gate at Calbayog Airport, Calbayog City, Western Samar</t>
  </si>
  <si>
    <t xml:space="preserve"> Republic of the Philippines Province of Pangasinan Bids and Awards Committee Municipality of Calasiao INVITATION TO BID  PURCHASE OF HYGIENE AND SANITARY PACK FOR WOMEN ATCALASIAO, PANGASINAN 1.	The Municipality of Calasiao, through the General Fund inten</t>
  </si>
  <si>
    <t xml:space="preserve"> Please see attached Bidding Document in the Associated Components. Thank you very much</t>
  </si>
  <si>
    <t xml:space="preserve"> The University of the Philippines Manila (UPM), through its Bids and Awards Committee 1, intends to procure for the Annual Preventive Maintenance Services for Bosch Plena Voice Alarm and Public Address System Equipment for the Public Assistance and Auxili</t>
  </si>
  <si>
    <t xml:space="preserve"> Please download pDf @ associated components for more information</t>
  </si>
  <si>
    <t xml:space="preserve"> Republic of the Philippines Province of Antique Municipality of Caluya Barangay Semirara INVITATION TO BID FOR PROCUREMENT OF 9 UNITS BRAND NEW MOTORBIKES FOR BARANGAY OFFICIALS OF BARANGAY SEMIRARA, CALUYA, ANTIQUE  1.	The Local Government Unit Semirara,</t>
  </si>
  <si>
    <t xml:space="preserve"> To repair &amp; maintenance of Passenger Terminal Building at Calbayog Airport, Calbayog City, Western Samar.</t>
  </si>
  <si>
    <t xml:space="preserve"> Purchase of 3 Units Aircon to be used by Vice Mayors Office 3 Units Split Type Aircon Inverter with 10 year Warranty on compressor and 1 Year Warranty on parts and serrvice</t>
  </si>
  <si>
    <t xml:space="preserve"> INVITATION TO BID PROCUREMENT OF VARIOUS GOODS IB NO. 2020-06-30 (05) 1.	The Department of Health Cagayan Valley Center for Health Development, through the GOP-General Appropriations Act 2020 intends to apply the lump sum of One Million Two Hundred Fifty </t>
  </si>
  <si>
    <t xml:space="preserve"> Province of Davao de Oro MUNICIPALITY OF COMPOSTELA BIDS AND AWARDS COMMITTEE CP#: 0998-571-7569 INVITATION TO BID FOR  Procurement of Hardware Materials for Concreting of Road from Purok 1 Provincial Road to Community Activity Center of Brgy. Mangayon - </t>
  </si>
  <si>
    <t xml:space="preserve"> 106 bags of Cement 7 cu.m. of Sand (Albay) 10 cu.m. of Gravel Including Forms and Hauling Please see attached illustration for reference</t>
  </si>
  <si>
    <t xml:space="preserve"> Construction of 160.00 meters concrete road</t>
  </si>
  <si>
    <t xml:space="preserve"> 2	units	ALL IN ONE COMPUTER			 40,000.00   	 	Specifications: 			    		23.8 inch Monitor, 7700HQ, 16GB RAM, 240G SSD, DDR4, 1920x1080 HD Graphics, Windows 10,  Includes: USB Mouse*1, USB Keyboard*1, BUILT-IN Stereo SPEAKER AVR 			 					 					 		          </t>
  </si>
  <si>
    <t xml:space="preserve"> Please submit your quotation for the following items on or before 5:00PM on Jun 24, 2020. ITEM D E S C R I P T I O N QTY. UNIT  1 Automatic Weather Station 1 unit Technical Specification Requirements: Operating Temperature: -40 to 150F (-40° to +65°C); No</t>
  </si>
  <si>
    <t xml:space="preserve"> l.	The MUNICIPALITY OF GUINAYANGAN, QUEZON, through the  2020  MDF   intends to apply the sum of  One Hundred Forty Six Thousand Seven Hundred Fourteen  Pesos                                  (P 146,714.00) being the Approved Budget for the Contract (ABC)</t>
  </si>
  <si>
    <t xml:space="preserve"> Republic of the Philippines Province of Pangasinan Bids and Awards Committee Municipality of Calasiao INVITATION TO BID  PURCHASE OF FAMILY PLANNING SUPPLIES, MEDICINES AND VITAMINS AT CALASIAO, PANGASINAN 1.	The Municipality of Calasiao, through the Gene</t>
  </si>
  <si>
    <t xml:space="preserve"> Program of Works includes the ff. Structure Excavation Unsuitable 261 cu.m. Embankment from Borrow 261 cu.m. Gravel Fill 1.584 cu.m. Structural Concrete Class A, 28 days 46.44 cu.m. Reinforcing Steel (Deformed), Grade 40 2,773.39 kgs Reinforcing Steel (De</t>
  </si>
  <si>
    <t xml:space="preserve"> Supply and Delivery of the following:					 							 1		HP Q5949A Toner Cartridge				3	pcs 2		HP CB436A Toner Cartridge				3	pcs 3		HP C4844A #10, Black Ink Cartridge				3	pcs 4		HP GT5820 (GT51) Black Ink Cartridge				5	pcs 5		EPSON T137193 Ink Cartridge		</t>
  </si>
  <si>
    <t xml:space="preserve"> To repair &amp; repaint runway markers/markings at Calbayog Airport, Calbayog City, Western Samar.</t>
  </si>
  <si>
    <t xml:space="preserve"> Item No.	Scope of Work	Quantity	Unit	Total Estimated Cost I	Excavation and Lay Out	1 lot	 II	Forms and Scaffolding	480	Bd.ft.	 III	Concrete and Masonry Works	170	Bags	 IV	Steel/Roofing Works	84	pcs	 				657,018.63</t>
  </si>
  <si>
    <t xml:space="preserve"> Republic of the Philippines					 DEPARTMENT OF PUBLIC WORKS AND HIGHWAYS					 BUTUAN CITY					 DISTRICT ENGINEERING OFFICE					 REGIONAL OFFICE XIII					 Butuan City, Agusan del Norte					 	                                      Tel. Nos. 342-5331  Fax No.</t>
  </si>
  <si>
    <t xml:space="preserve"> Republic of the Philippines CITY GOVERNMENT OF SAN FERNANDO Barangay Camansi INVITATION TO BID FOR  Improvement of Multi-Purpose Hall Barangay Camansi, City of San Fernando 1.	The Barangay Camansi, through the Barangay Fund  intends to apply the sum of on</t>
  </si>
  <si>
    <t xml:space="preserve"> 1 10 Bags Hog Starter (50kgs) 2 36 Bags Hog Grower (50kgs) 3 10 Bags Hog Lactation (50kgs) 4 13 Bags Hog Breeder (50kgs) 5 10 Bags Chicken Layer Crumble (50kgs)</t>
  </si>
  <si>
    <t xml:space="preserve"> REQUEST FOR EXPRESSION OF INTEREST (REOI) FOR CONSULTING SERVICES  19CSK00053 – Consulting Services for the Conduct of Soil Testing/Exploration for Bridge Projects - Geotechnical Investigation - Construction of Pigsuotan Bridge, Brgy. Mandulog, Iligan Cit</t>
  </si>
  <si>
    <t xml:space="preserve"> Number: 	Quantity: 	 1	5	rolls		Chicken Ranged Net (height 12 ft., 100 meters long per roll, color green)		4,500.00	22,500.00 2	15	rolls		Hog wires 4 ft. height		2,200.00	33,000.00 3	2	rolls		Nylon Black net (fine mesh)		4,250.00	8,500.00 4	3	rolls		Nylon</t>
  </si>
  <si>
    <t xml:space="preserve"> Section I. Invitation to Bid Republic of the Philippines Province of Surigao del Sur Municipality of San Miguel BARANGAY Umalag INVITATION TO BID FOR THE SUPPLY AND DELIVERY OF HARDWARE MATERIALS FOR CONSTRUCTION OF PUBLIC MARKET 1.	The BarangayLocal Gove</t>
  </si>
  <si>
    <t xml:space="preserve"> SEE ATTACHED RFQ</t>
  </si>
  <si>
    <t xml:space="preserve"> 1.	The Municipality of Impasugong, through the 20% Rubber Plantation Project/Oil Palm Project intends to apply the sum Two Million Five Hundred Thousand Pesos (PhP 2,500,000.00) being the Approved Budget for the Contract (ABC) to payments under the contra</t>
  </si>
  <si>
    <t xml:space="preserve"> Rehab./Improvement of Multi-Purpose Hall P-3</t>
  </si>
  <si>
    <t xml:space="preserve"> Republic of the Philippines					 DEPARTMENT OF PUBLIC WORKS AND HIGHWAYS					 BUTUAN CITY DISTRICT ENGINEERING OFFICE					 REGIONAL OFFICE XIII					 Butuan City, Agusan del Norte					   Tel. Nos. 342-5331  Fax No. 225-2022					 					 Name of Procuring Ent</t>
  </si>
  <si>
    <t xml:space="preserve"> The Municipal Government of Luna, Isabela through its Bids and Awards Committee (BAC) invites contractors registered by the Philippine Contractors Accreditation Board (PCAB) to apply and bid for the hereunder project: Name of Project: UPGRADING (EARTH TO </t>
  </si>
  <si>
    <t xml:space="preserve"> RFQ-GS-20200521-01 Interested Suppliers are invited to submit Price Quotation for the above listed item. The official LANDBANK Request for Quotation Form may be obtained from MS. NADZ ILETO, you may email her at nadiaileto_25@yahoo.com The deadline for th</t>
  </si>
  <si>
    <t xml:space="preserve"> Qstreet lights        25 units</t>
  </si>
  <si>
    <t xml:space="preserve"> Invitation to Bid for the Supply and Delivery of various Medicine for the use of Brgy. Pinamucan Proper, Batangas City</t>
  </si>
  <si>
    <t xml:space="preserve"> INVITATION TO APPLY FOR ELIGIBILITY AND TO BID The Barangay Camaya-an Local Government Unit of Loboc, Bohol through its Bids and Awards Committee (BAC), invites interested eligible and accredited supplier/manufacturer/service providers to apply for eligib</t>
  </si>
  <si>
    <t xml:space="preserve"> Rehabilitation of Barangay Road</t>
  </si>
  <si>
    <t xml:space="preserve"> Special Paper(off white 185 gsm) 10's Short - 80 packs Plastic Envelope-Long - 567 pieces Parchment Paper - 70 packs Frame(Black/Wood) - 3 pieces Medals with DedEd Seal Diameter Size: 6cm Weight: 30g-GOLD - 150 pieces Medals with DedEd Seal Diameter Size:</t>
  </si>
  <si>
    <t xml:space="preserve"> REQUEST TO SUBMIT PROPOSAL FOR SUPPLY, DELIVERY AND INSTALLATION OF (LOT 1) AIRCONDITIONER AND (LOT 2) REFRIGERATOR FOR USE UNDER 2020 RICE PROGRAM AT APPROVED BUDGET FOR THE CONTRACT AMOUNTING TO THREE HUNDRED EIGHTY NINE THOUSAND PESOS (PHP389,000.00) P</t>
  </si>
  <si>
    <t xml:space="preserve"> Portland Cement 40kg, 165bags Gravel, 13cu.m. Sand, 15cu.m. 16mm dia. X 6.0 rebar std.,10 pcs 12mm dia. X 6.0 rebar std., 45pcs 10mm dia. X 6.0 rebar std., 55pcs CWNails #3, #4, #2, 10kg Concrete Nails #2, 3kg CHB 4", 350pcs 0.40m x 0.40m tiles, glazed wh</t>
  </si>
  <si>
    <t xml:space="preserve"> 1	set	"Laboratory Water Still/Automatic Distillation water capacity: 8 H/hr Cooling water consumption (max): 80 Lt/hr Cooling water output temperature: 50 degrees Celsius Heater type: stainless steel tube resistance Safety measure: water level control wit</t>
  </si>
  <si>
    <t xml:space="preserve"> 2	btls	Manganese sulfate analytical grade 50g anhydrous			 37,500.00  4	btls	Alkaline iodide reagent solution for dissolved oxygen (500ml bottle)			 2,500.00  2	btls	Concentrated sulfuric acid analytical grade 1 liter bottle			 15,000.00  2	btls	Concentra</t>
  </si>
  <si>
    <t xml:space="preserve"> Cleaning supplies for the maintenance of Bgy. building facilities</t>
  </si>
  <si>
    <t xml:space="preserve"> NOTICE FOR NEGOTIATED PROCUREMENT FOR THE SUPPLY AND DELIVERY OF CONSTRUCTION MATERIALS (GOODS-2020-007)  The Puerto Princesa City Water District (PPCWD) invites suppliers that are technically, legally and financially capable to enter into a contract with</t>
  </si>
  <si>
    <t xml:space="preserve"> To repair water system at Calbayog Airport, Calbayog City, Western Samar.</t>
  </si>
  <si>
    <t xml:space="preserve"> 120	pcs.	    0.60"Ø x 1.0m RCPC 450	pcs.	    4" CHB 42	bags	    Portland Cement 4	cu.m.	Crushed Sand 2	cu.m.	Gravel, Crushed Stone, 3/4" 24	lngth	    10mmØ x 6.0m RSB, deformed 1	pcs.	    Hacksaw Blade 3	kgs.	    #16 G.I. Wire</t>
  </si>
  <si>
    <t xml:space="preserve"> FOR SALE	 TOTAL ABC: P 1,941,293.00	 Lot	Amount per BAC 1	P 150.00 2	P 300.00 3	P 150.00 4	P 150.00 5	P 300.00 6	P 300.00 7	P 300.00 8	P 300.00 9	P 150.00 10	P 300.00 11	P 300.00 12	P 150.00 13	P 150.00 14	P 300.00 15	P 150.00 16	P 300.00 17	P 150.00 18	P</t>
  </si>
  <si>
    <t xml:space="preserve"> Construction of 179.52 meters concrete road</t>
  </si>
  <si>
    <t xml:space="preserve"> Invitation to Bid for the Supply and Delivery of various Medicine for the use of Brgy. San Andres, Batangas City</t>
  </si>
  <si>
    <t xml:space="preserve"> REQUEST FOR EXPRESSION OF INTEREST (REOI) FOR CONSULTING SERVICES  19CSK00054 – Consulting Services for the Conduct of Soil Testing/Exploration for Bridge Projects - Geotechnical Investigation - Construction of Concrete Bridge, Magsaysay-Butuan City Coast</t>
  </si>
  <si>
    <t xml:space="preserve"> qspillway riprap  18.50m x 3.00m     55.50m2</t>
  </si>
  <si>
    <t xml:space="preserve"> REQUEST FOR EXPRESSION OF INTEREST (REOI) FOR CONSULTING SERVICES  19CSK00055 – Consulting Services for the Conduct of Soil Testing/Exploration for Bridge Projects - Geotechnical Investigation - Construction of Concrete Bridge, Impasug-ong Bdry. Bukidnon </t>
  </si>
  <si>
    <t xml:space="preserve"> Republic of the Philippines Province of Davao de Oro MUNICIPALITY OF COMPOSTELA BIDS AND AWARDS COMMITTEE CP#: 0998-571-7569 INVITATION TO BID FOR  Procurement of Hardware Materials for Concreting of Ondap Street to Bayubay Street, Poblacion (75 L.M.) (SB</t>
  </si>
  <si>
    <t xml:space="preserve"> 12	units	Desktop Computer, Desktop PC Intel Core i7 Memory 8GB, Hard Disk 1 TB, Video Card SDDr4 2GB, Monitor 21.5", Motherboard Chipset H310, Power Supply 500w, Mouse, Keyboard and AVR			 52,500.00  3	units	Desktop PC set specifications CPU Intel Core i7</t>
  </si>
  <si>
    <t xml:space="preserve"> TERMS OF REFERENCE  HIGHLY TECHNICAL CONSULTANT  Vice President for Administration, Research and Development of the City College of San Jose del Monte           A.	TYPE OF CONTRACT: Individual Contract for Highly Technical Consultant  B.	PROJECT DESCRIPTI</t>
  </si>
  <si>
    <t xml:space="preserve"> ITEM NO.	PARTICULARS	 UNIT 	QTY 1	Roadpod VT Plus A	unit	 3.00  			 2	Road "O" Tubes (30M/Roll)                                                                                                                            	roll	 4.00  			 3	Figure 8 Road Cle</t>
  </si>
  <si>
    <t xml:space="preserve"> 500	sets	Supply and Delivery of nine hundred (900) sets galvanized metal layer cage with forty-eight (48) heads of pullets ready to lay in every set. To thirty (30) MIC Farmers Associations in the Municipality of Leyte subject to its terms and conditions.</t>
  </si>
  <si>
    <t xml:space="preserve"> Supply of labor and materials on the conduct of Preventive Maintenance Services to BSP Motor and Armored Vehicle. Please see attachment for details.</t>
  </si>
  <si>
    <t xml:space="preserve"> Item No.	Scope of Work	Quantity	Unit	Total Estimated Cost 1	Steel and Welding Works	8.00	units	 				 				 				 				211,945.77</t>
  </si>
  <si>
    <t xml:space="preserve"> Republic of the Philippines												 City of San Carlos												 Negros Occidental												 												 			INVITATION TO BID							FOR SALE	 			PURCHASE REQUEST NO: 1-20-03-0520			P 1,000.00	 Sealed bids for quotation of prices will be received </t>
  </si>
  <si>
    <t xml:space="preserve"> 1.	The Municipality of Consolacion, through the GF - 20% intends to apply the sum of Two Hundred Fifty-Three Thousand Four Hundred Fifty-Eight Pesos (P 253,458.00) being the Approved Budget for the Contract (ABC) to payments under the contract for Repair/</t>
  </si>
  <si>
    <t xml:space="preserve"> Approved Budget for the Contract: Php 3,647,420.00 Estimated Budget Contract Duration/ Delivery Period: 30 Calendar Days SCHEDULE of ACTIVITIES 1. Issuance of Bid Documents: June 9 – 29, 2020 before bid opening 2. Pre-bid Conference: June 16, 2020, 09:00 </t>
  </si>
  <si>
    <t xml:space="preserve"> Const. of Two Storey Building (Dimension:  22.50m x 9.40m) made of concrete, masonry works, C- Joist suspended slabs, steel &amp; galva iron roofing sheets complete with ceilings, hanger &amp; nailers, paintings, plumbing &amp; sanitary fixtures, doors &amp; windows with</t>
  </si>
  <si>
    <t xml:space="preserve"> Republic of the Philippines												 City of San Carlos												 Negros Occidental												 												 			INVITATION TO BID							FOR SALE	 			PURCHASE REQUEST NO: 18-20-04-0549			P 1,956.00	 Sealed bids for quotation of prices will be received</t>
  </si>
  <si>
    <t xml:space="preserve"> REQUEST FOR EXPRESSION OF INTEREST (REOI) FOR CONSULTING SERVICES  19CSK00056 – Consulting Services for the Conduct of Soil Testing/Exploration for Bridge Projects - Geotechnical Investigation - Construction of Bridge, Cagayan de Oro Diversion Road, Jct. </t>
  </si>
  <si>
    <t xml:space="preserve"> q   30 sq.m</t>
  </si>
  <si>
    <t xml:space="preserve"> 20GID0016	Supply and Delivery of Reflectorized Traffic Paints for use in Repainting of Bridges, Guardrails and Headwall within the 2nd District of Leyte  Supply and Delivery of the Following: 120 pails Reflectorized Traffic Paint -White 20 pails- Reflecto</t>
  </si>
  <si>
    <t xml:space="preserve"> Republic of the Philippines												 City of San Carlos												 Negros Occidental												 												 			INVITATION TO BID							FOR SALE	 			PURCHASE REQUEST NO: 31-20-02-0344			P 3,000.00	 Sealed bids for quotation of prices will be received</t>
  </si>
  <si>
    <t xml:space="preserve"> 6	PC	MOTHERBOARD FM2+ SOCKET DDR3 3	PC	PROCESSOR AMD FM2+ SOCKET 5	PC	RAM DDR3 4GB 1600 MHZ OR UP 3	PC	HARD DISK DRIVE 1TB 6	PC	POWER SUPPLY 750W 2	PC	MONITOR 19.5” 5	PC	MOUSE AND KEYBOARD USB TYPE 5	PC	AVR 5	PC	UPS 650VA 6	PC	SYSTEM FAN</t>
  </si>
  <si>
    <t xml:space="preserve"> 1,166	Bags	Hog grower Pellets (50 kilos) 3,080	Bags	Hog Gestating Mash (50 kilos) 1,166	Bags	Hog Lactating Mash (50 kilos) 330	Bags	Piglet Booster (24 kilos) 3,916	Bags	Pre Starter (25 kilos) TERMS &amp; CONDITIONS: 1. The Supplier has a capacity to deliver t</t>
  </si>
  <si>
    <t xml:space="preserve"> The Municipal Government of Bayog, Zamboanga del Sur thru its Bids and Awards Committee (BAC) invites all interested bidders for the “SUPPLY AND DELIVERY OF EMERGENCY AND RESCUE EQUIPMENT FOR FLOOD AND EARTHQUAKE” for preparedness and operations of the Mu</t>
  </si>
  <si>
    <t xml:space="preserve"> TERMS OF REFERENCE  HIGHLY TECHNICAL CONSULTANT  Vice President for Student and Extension Services of the City College of San Jose del Monte           A.	TYPE OF CONTRACT: Individual Contract for Highly Technical Consultant  B.	PROJECT DESCRIPTION OR CONT</t>
  </si>
  <si>
    <t xml:space="preserve"> - see Terms of Reference</t>
  </si>
  <si>
    <t xml:space="preserve"> Republic of the Philippines OFFICE OF THE PUNONG BARANGAY Barangay LOCSOON Province of Misamis Occidental INVITATION TO BID The Office of the Punong Barangay of Barangay Locsoon through its Bids and Awards Committee [BAC], invites supplier/s registered wi</t>
  </si>
  <si>
    <t xml:space="preserve"> Republic of the Philippines Dagupan City BIDS AND AWARDS COMMITTEE INVITATION TO BID For the Procurement of Drugs and Medicines for CHO use (PR no.: 2020-00615-014) 1.	The City Government of Dagupan, through the 2020 Approved ANNUAL BUDGET intends to appl</t>
  </si>
  <si>
    <t xml:space="preserve"> The  Sangguniang Barangay  VILLA BOTA , through its Bids and Awards Committee (BAC), invites suppliers/manufacturers/distributors/contractors to apply for eligibility and to bid for the hereunder project: Name of Project	:  REHABILITATION  OF STREET LIGHT</t>
  </si>
  <si>
    <t xml:space="preserve"> Trash Bins for Waste Segregation Projects</t>
  </si>
  <si>
    <t xml:space="preserve"> TERMS OF REFERENCE  HIGHLY TECHNICAL CONSULTANT  Vice President for Academic Affairs of the City College of San Jose del Monte           A.	TYPE OF CONTRACT: Individual Contract for Highly Technical Consultant  B.	PROJECT DESCRIPTION OR CONTENT AND BACKGR</t>
  </si>
  <si>
    <t xml:space="preserve"> Request for Quotation				Date:	 				Quotation No.:	 2020-06-034-june  Company Name 					 					 Address					 					 	Please quote your lowest price on the items listed below, subject to the General Conditions ln the last				 page stating the shortest time o</t>
  </si>
  <si>
    <t xml:space="preserve"> supplies for Barangay Eco-aide and clean-up drive</t>
  </si>
  <si>
    <t xml:space="preserve"> Republic of the Philippines Province of Isabela Municipality of Jones INVITATION TO BID FOR THE Supply and Delivery of Various Disaster Response and Rescue Equipment Solicitation No. Goods-2020-12 	The Municipality of Jones, Isabela, through the General F</t>
  </si>
  <si>
    <t xml:space="preserve"> TERMS OF REFERENCE  HIGHLY TECHNICAL CONSULTANT  Program Head for Entrepreneurship  of the City College Of San Jose Del Monte           A.	TYPE OF CONTRACT: Individual Contract for Highly Technical Consultant  B.	PROJECT DESCRIPTION OR CONTENT AND BACKGRO</t>
  </si>
  <si>
    <t xml:space="preserve"> INVITATION TO BID  1.	The CITY GOVERNMENT OF CAUAYAN, ISABELA through the 2020 GENERAL FUND intends to apply the sum of FOUR MILLION PESOS (Php 4,000,000.00) being the Approved Budget for the Contract (ABC) to payments under the contract for the Supply an</t>
  </si>
  <si>
    <t xml:space="preserve"> TERMS OF REFERENCE  HIGHLY TECHNICAL CONSULTANT  Publications and Media Affairs Specialist  of the City Government of San Jose Del Monte        A.	TYPE OF CONTRACT: Individual Contract for Highly Technical Consultant  B.	PROJECT DESCRIPTION OR CONTENT AND</t>
  </si>
  <si>
    <t xml:space="preserve"> CONSTRUCTION MATERIALS AND SUPPLIES MATERIALS: Marine Plywood ¼” 14 pcs., Lumber Wood (2” x 2” x 10 50 pcs., Corneza 10 pcs., Asst. CWN (1”, 2”, 3”,4” 9 kgs., Angle Bar(3/16”x 1 ½” x 6m) 20 pcs., Spandrell (#30) 3’ x 8’ 20 pcs., Blind Rivets (3/6 x ½”) 4</t>
  </si>
  <si>
    <t xml:space="preserve"> Laptops for Blended Learning</t>
  </si>
  <si>
    <t xml:space="preserve"> Contract ID No. 20GSK00010 - Supply and Installation for Air Conditioning Units for use in the Planning and Design Division (RROW), 1st Quarter. (Please see attached ITB)</t>
  </si>
  <si>
    <t xml:space="preserve"> TERMS OF REFERENCE  HIGHLY TECHNICAL CONSULTANT  Program Head for Criminology  of the City College Of San Jose Del Monte             A.	TYPE OF CONTRACT: Individual Contract for Highly Technical Consultant  B.	PROJECT DESCRIPTION OR CONTENT AND BACKGROUND</t>
  </si>
  <si>
    <t xml:space="preserve"> SECTION I. INVITATION TO BID FOR THE PROPOSED RENOVATION AND IMPROVEMENTS OF BOARDWALK AND WAINTING SHED 1. 	The DENR PENRO CEBU through the IPAF-RIA of PA OIWS intends to apply the sum of Three Million Two Hundred Seven Thousand Pesos (P3,207,000.00) bei</t>
  </si>
  <si>
    <t xml:space="preserve"> Qkpbhall    55.90 sq.m</t>
  </si>
  <si>
    <t xml:space="preserve"> INVITATION TO BID PROCUREMENT OF VARIOUS PHARMACEUTICALS  ITB No. 2020-03-003 1.	The NORTHERN MINDANAO MEDICAL CENTER (NMMC), through the General Appropriations Act 2020 intends to apply the sum of One Hundred Sixty Nine Million Seven Hundred Sixty Six Th</t>
  </si>
  <si>
    <t xml:space="preserve"> Republic of the Philippines Province of Guimaras Municipality of Sibunag INVITATION TO BID FOR  Bid No. 2020-015 – Materials for Development of M unicipal Cemetery The Municipality of Sibunag  through the 2020 20% DF   (Development of Mun icipal Cemetery,</t>
  </si>
  <si>
    <t xml:space="preserve"> Republic of the Philippines PROVINCE OF SAMAR Municipality of Pinabacdao Invitation to Bid Repair of Brgy.Mambog Baily Bridge Pinabacdao Samar 1. The LOCAL GOVERMENT UNIT of PInabacdao Samar, through the FY 2020 Budget intends to apply the sum of Five Hun</t>
  </si>
  <si>
    <t xml:space="preserve"> Construction of 3,077 ln.m. Water Supply System</t>
  </si>
  <si>
    <t xml:space="preserve"> Program of Works  includes the ff: Ceiling Works 142.8 sqm Tile Works 112.38 sqm Painting Works 528.12 sqm Electrical Works lumpsum Miscellanous Works lumpsum Septic Vault  Excavation For Structure 5.40 cu.m Concrete Works 0.90 cu.m. Masonry Works 13.50 s</t>
  </si>
  <si>
    <t xml:space="preserve"> Temporary Facilities, Project Billboard, Construction Safety and Health, Mobilization/Demobilization, Clearing and Grubbing, Roadway Excavation (Common), Foundation Fill, Pipe Culvert and Drain Excavation, Embankment from Road Excavation, Subgrade Prepara</t>
  </si>
  <si>
    <t xml:space="preserve"> Republic of the Philippines					 DEPARTMENT OF PUBLIC WORKS AND HIGHWAYS					 BUTUAN CITY DISTRICT ENGINEERING OFFICE					 REGIONAL OFFICE XIII					 Butuan City, Agusan del Norte					   Tel. Nos. 342-5331  Fax No. 225-2022					 					Page 1 of 6 Name of Pr</t>
  </si>
  <si>
    <t xml:space="preserve"> City Government of Manila INVITATION TO BID NO. 2020-06-77 Procurement of Various MTPB Uniforms, Supplies and Materials 1.	The City Government of Manila, through the TRUSTFUND CY 2020 (2-01-01-020-OVR-25%) intends to apply the sum of Eight Million Three H</t>
  </si>
  <si>
    <t xml:space="preserve"> Construction of Field Office for the Engineer, Project Billboard, Occupational Safety and Health Program, Traffic Management, Mobilization/Demobilization, Clearing and Grubbing, Roadway Excavation (Common), Foundation Fill, Pipe Culvert and Drain Excavati</t>
  </si>
  <si>
    <t xml:space="preserve"> Contract ID No. 20GSK00012 - Supply and Installation of Office Furnitures &amp; Fixtures for use in the Road Right of Way New Office, Planning and Design Division. (Please see attached ITB)</t>
  </si>
  <si>
    <t xml:space="preserve"> BIDS AND AWARDS COMMITTEE INVITATION TO BID No. 026-2020 The METRO ROXAS WATER DISTRICT (MRWD), through its Bids and Awards Committee (BAC), invites Janitorial Agencies/Janitorial Service Providers to apply for eligibility and to bid for the hereunder pro</t>
  </si>
  <si>
    <t xml:space="preserve"> safety kits and supplies for BPSOs</t>
  </si>
  <si>
    <t xml:space="preserve"> 5	pcs	Handheld Radio Antenna, Motorola GP2000 15	pcs	Handheld Radio Battery Pack, ICOM IC-V88 10	pcs	Handheld Radio Battery Pack, Motorola GP2000 15	pcs	Handheld Radio Charger, ICOM IC-V88 5	pcs	Handheld Radio Charger, Motorola GP2000</t>
  </si>
  <si>
    <t xml:space="preserve"> TERMS OF REFERENCE  HIGHLY TECHNICAL CONSULTANT  Public Private Partnership (PPP) Specialist  of the City Government Of San Jose Del Monte           A.	TYPE OF CONTRACT: Individual Contract for Highly Technical Consultant  B.	PROJECT DESCRIPTION OR CONTEN</t>
  </si>
  <si>
    <t xml:space="preserve"> DETERGENT POWDER-57g, 12 sachets	 DOORMAT, Rubberized/meter		8	pcs FEATHER DUSTER, anti-static		4	pcs GLASS CLEANER, glass &amp; multi-surface 500ml		5	units GLOVES, electrical, rubber		4	pcs GLOVES, RUBBER, inner cotton lining, sizes: medium &amp; large		10	pair</t>
  </si>
  <si>
    <t xml:space="preserve"> Republic of the Philippines Province of Pangasinan Municipality of Lingayen BARANGAY ALIWEKWEK INVITATION TO BID  The Barangay Aliwekwek, through the Barangay Development Fund  CY-2020       intends to apply the sum of     Two   Hundred  Fifty Thousand Pe</t>
  </si>
  <si>
    <t xml:space="preserve"> TERMS OF REFERENCE  HIGHLY TECHNICAL CONSULTANT  Information Technology Specialist  of the City Government Of San Jose Del Monte            A.	TYPE OF CONTRACT: Individual Contract for Highly Technical Consultant  B.	PROJECT DESCRIPTION OR CONTENT AND BAC</t>
  </si>
  <si>
    <t xml:space="preserve"> qstreet names   40 units qsignage            1 unit</t>
  </si>
  <si>
    <t xml:space="preserve"> Contract ID No. 20GSK00011 - Supply and Delivery of Office Supplies for the use in the Planning and Design Division for 2nd quarter, 2020. (Please see attached ITB)</t>
  </si>
  <si>
    <t xml:space="preserve"> TERMS OF REFERENCE  HIGHLY TECHNICAL CONSULTANT  Research and Development Specialist  of the City Government Of San Jose Del Monte            A.	TYPE OF CONTRACT: Individual Contract for Highly Technical Consultant  B.	PROJECT DESCRIPTION OR CONTENT AND B</t>
  </si>
  <si>
    <t xml:space="preserve"> Concreting of Roads - Cluster I Area A. Valeroso Road, Barangay Caduldulaoan B. Marquez Road, Barangay Botbotones C. Antonio Road, Barangay San Vicente D. Antimano Road (Gap), Barangay Pinpinas</t>
  </si>
  <si>
    <t xml:space="preserve"> Construction of Field Office for the Engineer, Provision of Furnitures/Fixtures, Equipment and Appliances for the Field Office of the Engineer, Construction Survey and Staking, Project Billboard, Occupational Safety and Health Program, Traffic Management,</t>
  </si>
  <si>
    <t xml:space="preserve"> TERMS OF REFERENCE  HIGHLY TECHNICAL CONSULTANT  Design and Architectural Project Specialist  of the City Government of San Jose Del Monte            A.	TYPE OF CONTRACT: Individual Contract for Highly Technical Consultant  B.	PROJECT DESCRIPTION OR CONTE</t>
  </si>
  <si>
    <t xml:space="preserve"> The  Sangguniang Barangay  LAGUNA , through its Bids and Awards Committee (BAC), invites suppliers/manufacturers/distributors/contractors to apply for eligibility and to bid for the hereunder project: Name of Project	:  REHABILITATION  OF MULTI – PURPOSE </t>
  </si>
  <si>
    <t xml:space="preserve"> 6	pcs	Swivel Chairs 				 		•Leather type without leg supporter, •Thick cushion				 		•Black textillen mesh, •Comportable Seat &amp; Back				 		•Maximum weight capacity: 100kg, •Tilt Lock Mechanism				 		•Chromed Steel Base and PP Casters				 		•Pneumatic Seat</t>
  </si>
  <si>
    <t xml:space="preserve"> Alcohol, 70% w/ pump, ltr Alcohol stand dispenser Liquid hand soap Soap Tissue paper Foot bath Thermometer/thermal scanner Zonrox bleach Portable power spray, pressure washer Lysol Surgical gloves  Rolling trash bin Chainsaw, portable  Brown envelope, leg</t>
  </si>
  <si>
    <t xml:space="preserve"> TERMS OF REFERENCE  HIGHLY TECHNICAL CONSULTANT  Public Relations Specialist  of the City Government Of San Jose Del Monte            A.	TYPE OF CONTRACT: Individual Contract for Highly Technical Consultant  B.	PROJECT DESCRIPTION OR CONTENT AND BACKGROUN</t>
  </si>
  <si>
    <t xml:space="preserve"> ALBAY 3RD DISTRICT ENGINEERING OFFICE																											 Paulog, Ligao City																											 																											 																											 INVITATION TO BID																											 																											 															</t>
  </si>
  <si>
    <t xml:space="preserve"> Submission of Quotation on a sealed envelope submit it to  UPLB BAC Secretariat SPMO Rambutan, Road. Telephone No. (049) 544-0382 or email at bacsec.rq@gmail.com</t>
  </si>
  <si>
    <t xml:space="preserve"> Concreting of Roads - Cluster II Area A. Villegas Road, Barangay Pilpila B. Espino Road, Barangay Vargas C. Esteban Road, Barangay Vargas D. Road #11, Barangay Sta. Ines East E. Road #5, Barangay Sta. Ines East</t>
  </si>
  <si>
    <t xml:space="preserve"> OPENING OF BIDS IN DSWD FO IX ZC, DELIVERY IN HOME FOR THE ELDERLY TALON-TALON ZC PROCUREMENT FOR THE FF. 2 UNIT LAUNDRY DRYER MACHINE , MANUAL TYPE 8kg 2 UNIT WASHING MACHINE , CAPACITY RANGE 6kh-15kg, INDUCTION MOTOR , INPUT VOLTAGE 100v-240v **********</t>
  </si>
  <si>
    <t xml:space="preserve"> Repair/Maintenance and Replacement of various cctv cameras</t>
  </si>
  <si>
    <t xml:space="preserve"> INVITATION TO BID  1.	The CITY GOVERNMENT OF CAUAYAN, ISABELA through the 2020 GENERAL FUND intends to apply the sum of FOUR MILLION FIVE HUNDRED THOUSAND PESOS (Php 4,500,000.00) being the Approved Budget for the Contract (ABC) to payments under the cont</t>
  </si>
  <si>
    <t xml:space="preserve"> Additional cameras for various streets of Bgy. Mariana</t>
  </si>
  <si>
    <t xml:space="preserve"> Brief Description/Specification: “SUPPLY AND DELIVERY OF VARIOUS FIRST AID SUPPLIES AND MATERIALS” for preparedness and operations of the Municipal Disaster Risk Reduction &amp; Management Office in the Municipal Government of Bayog, Zamboanga del Sur.   Appr</t>
  </si>
  <si>
    <t xml:space="preserve"> Republic  of  the  Philippines  Province  of  Marinduque MUNICIPALITY  OF  GASAN INVITATION TO BID FOR THE INSTALLATION OF FIBER GLASS WINDOW ON  PUBLIC MARKET TOWER 1.	The Municipality of Gasan, through 20% Development Fund Continuing Appropriation inten</t>
  </si>
  <si>
    <t xml:space="preserve"> CONSTRUCTION MATERIALS AND SUPPLIES MATERIALS: 2” X2” X ¼” Angle Bar 50 pcs., 2” x3” x 1.5mm C. Purlins 38 pcs., 2” x 10” x1.5mm Channel(Facia) 8 pcs., 0.5mm x 1.0m Long Span Prepainted Rob Type( 4.20m) 28 pcs., Speial Gutter ( pre-painted) 14 pcs., Ridge</t>
  </si>
  <si>
    <t xml:space="preserve"> TERMS OF REFERENCE  HIGHLY TECHNICAL CONSULTANT  Strategic Communication Specialist  of the City Government Of San Jose Del Monte            A.	TYPE OF CONTRACT: Individual Contract for Highly Technical Consultant  B.	PROJECT DESCRIPTION OR CONTENT AND BA</t>
  </si>
  <si>
    <t xml:space="preserve"> Republic of the Philippines DEPARTMENT OF AGRARIAN REFORM Sarangani Province REQUEST FOR QUOTATION The Department of Agrarian Reform (DAR), through its Bids and Awards Committee (BAC), will undertake procurement of Vehicle Repairs and Materials/Parts for </t>
  </si>
  <si>
    <t xml:space="preserve"> ALBAY 3RD DISTRICT ENGINEERING OFFICE																										 Paulog, Ligao City																										 																										 INVITATION TO BID																										 																										 The DPWH - Albay 3rd District Engineering Office</t>
  </si>
  <si>
    <t xml:space="preserve"> Supply of labor and parts for the repair and maintenance of barangay service patrols</t>
  </si>
  <si>
    <t xml:space="preserve"> 1 unit Back Hoe (wheel type excavator) see attach specification</t>
  </si>
  <si>
    <t xml:space="preserve"> BOOTS, rubber sizes 7, 8, 9 &amp; 10		7	pairs water proof, inner elastic gore, fabric lining			 HELMET,for safety		6	pcs BEDDING SET, inludes: pillow cases, fitted sheet &amp; flat sheet		9	sets BED MATTRESS, soft, single n(2"x36"x75") with cover		5	sets CUPS,dis</t>
  </si>
  <si>
    <t xml:space="preserve"> REQUEST FOR QUOTATION Local Government Unit of Guinobatan invites eligible Suppliers to submit Proposals specific named contract: Repair of Nissan Ambulance SJH 115 (Repair and Maint. - Transportation Equipment) Procurement will be conducted through Negot</t>
  </si>
  <si>
    <t xml:space="preserve"> TERMS OF REFERENCE  HIGHLY TECHNICAL CONSULTANT  Traffic Management Operational Policy Specialist     of the City Government of San Jose Del Monte            A.	TYPE OF CONTRACT: Individual Contract for Highly Technical Consultant  B.	PROJECT DESCRIPTION </t>
  </si>
  <si>
    <t xml:space="preserve"> Local Government Unit of Cordon, Isabela Invitation to Bid for Construction of Multi-Purpose Hall located  at LGU-Cordon, Isabela. 1.	The Local Government Unit, through the Provincial  Fund intends to apply the sum of Five Million Pesos          (P5,000,0</t>
  </si>
  <si>
    <t xml:space="preserve"> Const. of Two Storey  Building (Dimension:  22.50m x 9.40m) made of concrete masonry works, C- Joist suspended slabs, steel &amp; galva iron roofing sheets complete with ceilings, hanger &amp; nailers, paintings, plumbing &amp; sanitary fixtures, doors &amp; windows with</t>
  </si>
  <si>
    <t xml:space="preserve"> TERMS OF REFERENCE  HIGHLY TECHNICAL CONSULTANT  Medical Officer at the Ospital ng Lungsod ng San Jose del Monte           A.	TYPE OF CONTRACT: Individual Contract for Highly Technical Consultant  B.	PROJECT DESCRIPTION OR CONTENT AND BACKGROUND  The Loca</t>
  </si>
  <si>
    <t xml:space="preserve"> Concreting of Roads - Cluster III Area A. Road #12, St. Anthony Subd., Barangay Pob. East B. Sagun Road, Barangay Pob. West C. Morales St. Extension (Gap), Barangay Pob. West D. Road #11, Barangay Pob. West</t>
  </si>
  <si>
    <t xml:space="preserve"> 10 units Hypochlorinator Capacity:  5 liters per hour (lph) @ 100 psi (6 units) Brand: ___________ Model: ___________ Inclusion: Product Brochure 10  liters per hour (lph) @ 100 psi (4 units) Brand:___________ Model:___________ Inclusion: Product Brochure</t>
  </si>
  <si>
    <t xml:space="preserve"> Program of Works includes the ff: Excavation for Structure 2.88 cu.m Structural Concrete 3.35 cu.m Reinforcing Steel (deformed) Grade 40 135.92 kgs Forms and Falseworks lumpsum Steel Trash Trap lumpsum Mobilization/Demobilization lump sum Project Billboar</t>
  </si>
  <si>
    <t xml:space="preserve"> 1	Pick-Up 4x4 1. Automatic transmission 2. 2.0 - 3.0 cc Engine displacement 3. Bedliner 4. Leather seat cover 5. Towing hitch</t>
  </si>
  <si>
    <t xml:space="preserve"> INVITATION TO BID CONSTRUCTION OF VARIOUS INFRASTRUCTURE PROJECTS FOR THE CITY OF NAVOTAS UNDER LGSF The City Government of Navotas, through its Bids and Awards Committee, will hold a Public Bidding for the CONSTRUCTION OF VARIOUS INFRASTRUCTURE PROJECTS </t>
  </si>
  <si>
    <t xml:space="preserve"> Procurement of Medical &amp; Laboratory Supplies						 Purchase Requested by the City Health Unit, Tabaco City						 						 To Interested Suppliers, Manufacturers and Distributors,						 						 Please quote your lowest price/s on the lot or item/s  below, sub</t>
  </si>
  <si>
    <t xml:space="preserve"> 1	set	Compact Threading Machine 		Specifications: 		* 1/2"-2 NPT,230 V, 50/60 Hz 		* atleast 115 lb or 52.3 kg. 		Pipe capacity: atleast 1/8" - 2" (3mm-50mm) 		Bolt capacity: atleast 1/4" - 2" (6mm - 50mm) 		 		Special Features: 		Heavy Duty performance 	</t>
  </si>
  <si>
    <t xml:space="preserve"> Supplies and equipment for Barangay Dental Clinic</t>
  </si>
  <si>
    <t xml:space="preserve"> SURIGAO STATE COLLEGE OF TECHNOLOGY Surigao City INVITATION TO BID FOR IMPROVEMENT OF BUILDINGS AND ESTATES/PLANNING OFFICE 1.	The Surigao State College of Technology, through the Corporate Budget for the Contract Approved by the Governing Boards intends </t>
  </si>
  <si>
    <t xml:space="preserve"> The Municipality of Baliwag, through its Bids and Awards Committee (BAC), invites contractors to apply for eligibility and to bid the here ender project: Name of Project	:	ICT EQUIPMENT FOR EODB ONE STOP SHOP 	 Location		:	BALIWAG, BULACAN	 Brief Descript</t>
  </si>
  <si>
    <t xml:space="preserve"> Republic of the Philippines PROVINCE OF BUKDINON Malaybalay City OFFICE OF THE PROVINCIAL GOVERNOR Bids and Awards Committee INVITATION TO BID FOR THE “SUPPLY AND DELIVERY OF ONE LOT CONSUMABLES &amp; I.T SUPPLIES” ITB No. 2020-151 June 8, 2020 1.	The Provinc</t>
  </si>
  <si>
    <t xml:space="preserve"> 288	bot	Aluminum Magnesium SUSP 60 ml 200	box	Aluminum Hydroxide + Magnesium Hydroxide 720	bot	Ambroxol 6mg/ml DROPS 15ml 2880	bot	Ambroxol 15mg/ml SYRUP 60ml 500	box	Ambroxol 30mg TAB 100s 300	box	Amlodipine 5mg TAB 100s 500	box	Amoxicillin 500mg CAP 100</t>
  </si>
  <si>
    <t xml:space="preserve"> INVITATION TO BID (RE-BID) The Provincial Government of Palawan through its Bids and Awards Committee (BAC) invites suppliers/manufacturers/ distributors/contractors to apply for eligibility and to bid for the hereunder project. Name of the Project       </t>
  </si>
  <si>
    <t xml:space="preserve"> 1.	174	BAGS PORTLAND CEMENT				 2.	72	PCS. 12MM DIA. DSB				 3.	27.25	KGS. No.16 TIE WIRE				 4.	208	PCS. 10MM DIA. DSB				 5.	30	PCS. 16MM DIA. DSB				 6.	5	SHTS. 1/2" THK. MARINE PLYWOOD				 7.	540	BDFT. 2 X 3 X 12 COCO LUMBER (90)				 8.	280	BDFT. 2 X </t>
  </si>
  <si>
    <t xml:space="preserve"> Construction of Masonry Drainage along Sampaguita Street (Panacal Village), Caggay-Tanza, Tuguegarao City</t>
  </si>
  <si>
    <t xml:space="preserve"> INVITATION TO BID Date: June 08, 2020 1.	The Provincial Government of Davao del Sur, through its Bids and Awards Committee (BAC), invites all potential bidders/suppliers to apply to bid for the following goods. Bids received in excess of the ABC shall be </t>
  </si>
  <si>
    <t xml:space="preserve"> Republic of the Philippines Province of Leyte MUNICIPALITY OF CAPOOCAN -oOo- CAPOOCAN BIDS AND AWARD COMMITTEE INVITATION TO BID  for SUPPLY AND DELIVERY OF 3 UNITS MOTOR VEHICLES 1.	The MUNICIPALITY of Capoocan, Leyte, through the MO GENERAL FUND, MDRRM </t>
  </si>
  <si>
    <t xml:space="preserve"> CONSTRUCTION MATERIALS AND SUPPLIES MATERIALS: Drop Wire 480 meters, Lamp Holders 15 sets, Led Lamp Bulb  watts 15 pcs., G.I. Pipe 3” SCH 40 15 pcs., G.I Pipe 1 ½” SCH 20 6 pcs., THHN Wire# 14 24 meters, THHN #10 24 meters, Electrical Tape 12 rolls, Coirc</t>
  </si>
  <si>
    <t xml:space="preserve"> 10	pcs	Adaptor, S/A, Bullet 37T, Viton 15	pcs	Bearing bracket with bearing 10	pcs	Cartridge bullet valve, S/A, doube ball 10	pcs	Ceramic Weight 100	mtrs	Chemical hose, 3/16 5	pcs	Cycle timer, 5 sec, 24v-115v-230v, 50/60 Hz 15	pcs	Diaphragm 10	pcs	Foot Val</t>
  </si>
  <si>
    <t xml:space="preserve"> 330	Heads	GILT 		1. Grand Parent Stocks 		2. Parent Stocks 22	Heads	Boar 		1. Grand Parent Stocks 		2. Terminal lines 		3. A.I. Trained TERMS AND CONDITIONS: 1. The Supplier has a capacity to deliver the required Gilts and Boars needed by the project. 2. </t>
  </si>
  <si>
    <t xml:space="preserve"> 1000	vials	AMPICILLIN 250mg 1000	vials	AMPICILLIN 500mg 2000	vials	AMPICILLIN + SULBACTAM Na 750mg 1000	amps	BUPIVACAINE 0.5% HEAVY 4ml Sol. 2000	vials	CEFAZOLIN 1g 1000	vials	CEFTAZIDIME 1g 2000	vials	CEFTRIAXONE 1g 5000	vials	CEFUROXIME 750mg 500	amps	C</t>
  </si>
  <si>
    <t xml:space="preserve"> TERMS OF REFERENCE  HIGHLY TECHNICAL CONSULTANT  Medical Specialist at the Ospital ng Lungsod ng San Jose del Monte A.	TYPE OF CONTRACT: Individual Contract for Highly Technical Consultant  B.	PROJECT DESCRIPTION OR CONTENT AND BACKGROUND  The Local Chief</t>
  </si>
  <si>
    <t xml:space="preserve"> SPECIFICATION: &gt; Hybrid Solar Inverter (5KVA with Built-in MPPT Charge Controller, 48 vdc Input Voltage, 60A, 220-250VAC Pure Sine Wave Output &gt; Monocrystalline 335 watts Solar PV Modules (14 units) &gt; 4mm2/6mm2 DC Solar Cables &gt; 4.69lWp railing kit and ac</t>
  </si>
  <si>
    <t xml:space="preserve"> Invitation to Bid for the  PROCUREMENT OF VEHICLE Kiblawan, Davao del Sur 1.The Local Government Unit of Kiblawan, through the 2020 Peace and Order Fund[ In the case of National Government Agencies, the General Appropriations Act and/or continuing appropr</t>
  </si>
  <si>
    <t xml:space="preserve"> Construction of Three (3) Phase Primary Distribution Line for Tuguegarao City Slaughter House (Ipil-Ipil Street, Capatan, Tuguegarao City)</t>
  </si>
  <si>
    <t xml:space="preserve"> 900	BAGS	Chicken Layer Grower Crumble (50 kilos) 300	BAGS	Chicken Pre-Layer Crumble (50 kilos) 1500	BAGS	Chicken Layer 1 Crumble (50 kilos Terms and Conditions: a. Feeds delivered should be in good condition. b. Feeds should be delivered at thirty (30) Fa</t>
  </si>
  <si>
    <t xml:space="preserve"> TERMS OF REFERENCE  HIGHLY TECHNICAL CONSULTANT  Physical Medicine and Rehabilitation Specialist of the Ospital ng Lungsod ng San Jose del Monte           A.	TYPE OF CONTRACT: Individual Contract for Highly Technical Consultant  B.	PROJECT DESCRIPTION OR </t>
  </si>
  <si>
    <t xml:space="preserve"> INVITATION TO BID FOR THE    CONTRACT ID: 19-10-208 REBID  Contract Name: SUPPLY, DELIVERY, TESTING AND COMMISSIONING OF BRAND NEW AMBULANCE (TYPE I)   Approved Budget for the Contract (ABC) : Php  82,500,000.00       Cost of Bidding Documents: Php 50,000</t>
  </si>
  <si>
    <t xml:space="preserve"> Please see attached RFQ # 20-1101 Submit the HARDCOPY of your SIGNED and SEALED quotation together with your UPDATED ELIGIBILITY requirement on or before the closing date of this opportunity. For more information, please contact Ma'am Coleta Quindong, APC</t>
  </si>
  <si>
    <t xml:space="preserve"> Meals and snack			 Breakfast (20 pax x 2 days x 25 batches)		1500	Servings AM snack (20 pax x 3 days x 25 batches)		1500	Servings Lunch  (20 pax x 3 days x 25 batches)		1500	Servings PM snack  (20 pax x 3 days x 25 batches)		1500	Servings Dinner  (20 pax </t>
  </si>
  <si>
    <t xml:space="preserve"> Invitation to Bid Republic of the Philippines City of Olongapo -0- BIDS AND AWARDS COMMITTEE BAC Office 3rd Floor  Olongapo City Hall  Web: www.olongapocity.gov.ph INVITATION TO BID FOR  OC-63(JLGMH-17) 20 GD  PROCUREMENT FOR THE SUPPLY AND DELIVERY OF ME</t>
  </si>
  <si>
    <t xml:space="preserve"> The work covered under this contract shall include the following: 1. Construction of 5.20m vehicular gate 2. improvement of dryer house (painting and improvement of roof framing system) 3. provision of concrete ramp/approach 4. 200mm thick concrete paveme</t>
  </si>
  <si>
    <t xml:space="preserve"> TERMS OF REFERENCE  HIGHLY TECHNICAL CONSULTANT  Strategic Iniatives and Special Projects Specialist of the City Government of San Jose del Monte           A.	TYPE OF CONTRACT: Individual Contract for Highly Technical Consultant  B.	PROJECT DESCRIPTION OR</t>
  </si>
  <si>
    <t xml:space="preserve"> 2 Units Electric Tricycle with Accessories Only suppliers duly registered and accredited with Barangay Council of Malanday may be allowed to participate in the submission of eligibility requirements. Complete sets of Eligibility Requirements and Bid Docum</t>
  </si>
  <si>
    <t xml:space="preserve"> TERMS OF REFERENCE  HIGHLY TECHNICAL CONSULTANT  Career and Development Specialist of the City Government of San Jose del Monte           A.	TYPE OF CONTRACT: Individual Contract for Highly Technical Consultant  B.	PROJECT DESCRIPTION OR CONTENT AND BACKG</t>
  </si>
  <si>
    <t xml:space="preserve"> 12	Days	Van Rental ( P 4,900/day for 1 van)  		(for the month of July 2020) 12    Days	Van Rental ( P 4,900/day for 1 van)  		(for the month of September 2020) 12	Days	Van Rental ( P 4,900/day for 1 van)  		(for the month of September 2020) 		Specificatio</t>
  </si>
  <si>
    <t xml:space="preserve"> Republic of the Philippines PROVINCE OF BUKDINON Malaybalay City OFFICE OF THE PROVINCIAL GOVERNOR Bids and Awards Committee INVITATION TO BID FOR THE “SUPPLY AND DELIVERY OF ONE LOT CONSTRUCTION MATERIALS &amp; ELECTRICAL SUPPLIES FOR VARIOUS OFFICES” ITB No</t>
  </si>
  <si>
    <t xml:space="preserve"> Improvement of Pallua Elementary School Gymnasium (Pallua Elementary School, Pallua Sur)</t>
  </si>
  <si>
    <t xml:space="preserve"> 500	units	Heavy Duty Utility Bed with the following specifications: -2020 all new model-hHigh  Density -Rigid-Military grade Camp AId Regular Utility Bed -3 Folds Utility Bed -Oxford Polyester Fabric  -Black PVC Coated Fabric density 6x6 275g/m2 -PVC Late</t>
  </si>
  <si>
    <t xml:space="preserve"> qcctv   1 set</t>
  </si>
  <si>
    <t xml:space="preserve"> Supply and Delivery of 60 heads Female Carabao: Specifications: 1 Must not be younger than 18 month not older than 200 kilograms 2. Must be apparently healthy and free from physical deformities 3. Vaccinated against hemosep and have been dewormed 4.Subjec</t>
  </si>
  <si>
    <t xml:space="preserve"> TERMS OF REFERENCE  HIGHLY TECHNICAL CONSULTANT  Program Policy Specialist for the City Arts, Culture and Economic Tourism Concerns  of the City Government of San Jose del Monte           A.	TYPE OF CONTRACT: Individual Contract for Highly Technical Consu</t>
  </si>
  <si>
    <t xml:space="preserve"> Invitation to Bid Republic of the Philippines City of Olongapo -0- BIDS AND AWARDS COMMITTEE BAC Office 3rd Floor  Olongapo City Hall  Web: www.olongapocity.gov.ph INVITATION TO BID FOR  OC-65(DRRMO-06) 20 GD  PROCUREMENT FOR THE SUPPLY AND DELIVERY OF RE</t>
  </si>
  <si>
    <t xml:space="preserve"> INVITATION TO BID  1.	The CITY GOVERNMENT OF CAUAYAN, ISABELA through the 2020 GENERAL FUND intends to apply the sum of ONE MILLION THREE HUNDRED EIGHTY THOUSAND PESOS (Php 1,380,000.00) being the Approved Budget for the Contract (ABC) to payments under t</t>
  </si>
  <si>
    <t xml:space="preserve"> Invitation to Bid Republic of the Philippines City of Olongapo -0- BIDS AND AWARDS COMMITTEE BAC Office 3rd Floor  Olongapo City Hall  Web: www.olongapocity.gov.ph INVITATION TO BID FOR  OC-64(DRRMO-05) 20 GD PROCUREMENT FOR THE SUPPLY AND DELIVERY OF BAS</t>
  </si>
  <si>
    <t xml:space="preserve"> Provision of Labor, Materials and Equipment for the Construction of 2 units Makeshift Laundry Room at Leyte Academic Center Gym, Brgy. Pawing, Palo, Leyte in accordance with the plan and specifications: SCOPE OF WORK : * Clearing &amp; Grubbing (with Strippin</t>
  </si>
  <si>
    <t xml:space="preserve"> INVITATION TO QUOTE Date:  June 08, 2020 1.	The Provincial Government of Davao del Sur, through its Bids and Awards Committee (BAC), invites all interested bidders/suppliers to quote for the following goods under Alternative Methods of Procurement (Small </t>
  </si>
  <si>
    <t xml:space="preserve"> PLC &amp; pneumatic controlled with adjustable pouch holder for pouch height &amp; width adjustment, automatic                  pouch dispenser fill, seal &amp; discharge, with optional date stamp on seal area No pouch – no fill/ no seal, no open pouch – no fill/ no </t>
  </si>
  <si>
    <t xml:space="preserve"> 1.	1,526	BAGS PORTLAND CEMENT			 2.	45	PCS. 16MM DIA. DSB			 3.	10	PCS. 12MM DIA. DSB				 4.	840	BDFT 2 X 6 X 12 COCO LUMBER (70)			 5.	32	BDFT 2 X 4 X 8 COCO LUMBER (6)				 6.	15	PCS. SANDVICK HACKSAW BLADE				 7.	10	KGS. No. 2 1/2 CWN				 PURPOSE: FOR C</t>
  </si>
  <si>
    <t xml:space="preserve"> TERMS OF REFERENCE  HIGHLY TECHNICAL CONSULTANT  Local Economic Enterprise Specialist of the City Government of San Jose del Monte           A.	TYPE OF CONTRACT: Individual Contract for Highly Technical Consultant  B.	PROJECT DESCRIPTION OR CONTENT AND BA</t>
  </si>
  <si>
    <t xml:space="preserve"> OPENING OF BIDS IN DSWD FO IX ZAMBOANGA CITY		 DELIVERY IN DSWD FO IX ZAMBOANGA CITY		 PROCUREMENT FOR THE FF.:		 		 50	UNIT	RESOLUTION TONER CARTRIDGE RTC-510A 		COMPATIBLE WITH HP COLOR LASER JETPRO 		****************************************** 		PURPOSE</t>
  </si>
  <si>
    <t xml:space="preserve"> INVITATION TO BID  No. 2020-015 The Department of Public Works and Highways -Davao del Norte District Engineering Office, Tagum City, Davao del Norte, through its Bids and Awards Committee (BAC), invites contractors to submit bids for the following Contra</t>
  </si>
  <si>
    <t xml:space="preserve"> VALENZUELA MEDICAL CENTER									 Padrigal St., Karuhatan, Valenzuela City									 Telephone No. 294-6711									 									 PURCHASE REQUEST									 									 Office		Medical Division	 	PR. No.				Date:	June 1, 2020 Division		Physical Medicine and Reh</t>
  </si>
  <si>
    <t xml:space="preserve"> 60 bags Complete fertilizer (14-14-14) 30 bags Urea (46-0-0) 60 bags Muriate of Potash (0-0-60) 30 liters Post-emergence Herbicide (glyphosate) 30 liters Pre-emergence Herbicide (carfentrazone, pendimethalin &amp; glyphosate) Note: Please attach legal documen</t>
  </si>
  <si>
    <t xml:space="preserve"> TERMS OF REFERENCE  HIGHLY TECHNICAL CONSULTANT  Manpower Development and Technical-Vocational Education Specialist  of the City Government of San Jose del Monte           A.	TYPE OF CONTRACT: Individual Contract for Highly Technical Consultant  B.	PROJEC</t>
  </si>
  <si>
    <t xml:space="preserve"> TERMS OF REFERENCE  HIGHLY TECHNICAL CONSULTANT  Medical Technologist of the City Veterinary Office           A.	TYPE OF CONTRACT: Individual Contract for Highly Technical Consultant  B.	PROJECT DESCRIPTION OR CONTENT AND BACKGROUND  The Local Chief Execu</t>
  </si>
  <si>
    <t xml:space="preserve"> CONSTRUCTION OF MATERIALS AND SUPPLIES MATERIALS: Drop Wire 510 meters, Lamp Holders 16 sets, Led Lamp Bulb 20 watts 16 pcs., G.I. Pipe 3” SCH 40 16 pcs., G.I Pipe 1 ½” SCH 20 4 pcs., THHN Wire# 14 28 meters, THHN #10 28 meters, Electrical Tape 8 rolls, C</t>
  </si>
  <si>
    <t xml:space="preserve"> ITEM NO                     DESCRIPTION                            QUANTITY        UNIT 105 (1)                       SUB-GRADE PREPARATION          900                SQ.M 201                             AGGREGATE BASE COURSE         157.5             CU</t>
  </si>
  <si>
    <t xml:space="preserve"> TERMS OF REFERENCE  HIGHLY TECHNICAL CONSULTANT  Building Code Specialist of the City Government of San Jose del Monte           A.	TYPE OF CONTRACT: Individual Contract for Highly Technical Consultant  B.	PROJECT DESCRIPTION OR CONTENT AND BACKGROUND  Th</t>
  </si>
  <si>
    <t xml:space="preserve"> 1.	The Municipality of Guinayangan, Quezon through the 2020 C.O. intends to apply the sum of One Million Five Hundred Twelve Thousand Pesos  (P 1,512,000.00) being the Approved Budget for the Contract (ABC) to payments under the contract for the Concretin</t>
  </si>
  <si>
    <t xml:space="preserve"> TERMS OF REFERENCE  HIGHLY TECHNICAL CONSULTANT  Design And Architectural Project Specialist  of the City Government of San Jose Del Monte            A.	TYPE OF CONTRACT: Individual Contract for Highly Technical Consultant  B.	PROJECT DESCRIPTION OR CONTE</t>
  </si>
  <si>
    <t xml:space="preserve"> Republic of the Philippines Province of Oriental Mindoro MUNICIPALITY OF NAUJAN BIDS AND AWARDS COMMITTEE INVITATION TO BID SUPPLY AND DELIVERY OF OFFICE, JANITORIAL AND OTHER SUPPLIES TO BE USED IN DIFFERENT OFFICES, NAUJAN, ORIENTAL MINDORO 1.	The Munic</t>
  </si>
  <si>
    <t xml:space="preserve"> Republic of the Philippines Province of Davao de Oro MUNICIPALITY OF COMPOSTELA BIDS AND AWARDS COMMITTEE CP#: 0998-571-7569 INVITATION TO BID FOR  Procurement of Hardware Materials for Concreting of Road from Provincial Road to the New Barangay Hall of B</t>
  </si>
  <si>
    <t xml:space="preserve"> Const. of Two Storey Building (Dimension:  11.80m x 7.00m) made of concrete, masonry works, steel &amp; galva iron roofing sheets complete with ceilings, hanger &amp; nailers, paintings, plumbing &amp; sanitary fixtures, doors &amp; windows with grills, railings, signage</t>
  </si>
  <si>
    <t xml:space="preserve"> INVITATION FOR NEGOTIATED PROCUREMENT Negotiated Procurement – Two Failed Biddings Reference No. NIAREG9-0226-2020-RESTOCISCY2020-024 (NP 53.1) Dear Sir/Ma’am: 1.	In view of the two (2) failed public biddings conducted for the project entitled: “Repair of</t>
  </si>
  <si>
    <t xml:space="preserve"> Vaccine, Rabies, Vero Cell Purified, 2.5IU/0.5ml vial +diluent,   Serum, anti-rabies (equine) 200IU/ml, 5ml vial Prospective Bidders must have completed a contract similar to the project with the amount of at least 50% of the ABC. Bidding will be conducte</t>
  </si>
  <si>
    <t xml:space="preserve"> Program of Works includes the ff. Site Clearing and Lay out Lumpsum Excavation for Structure 27 cu.m Grouted Riprap 77.85 sq.m Miscellaneous Works lumpsum Project Billboard</t>
  </si>
  <si>
    <t xml:space="preserve"> Invitation to Bid for the CONSTRUCTION OF JIABONG FIRE STATION  1.	The Bureau of Fire Protection Region 8, through the Special Accounts in the General Fund SAGF 2020 intends to apply the sum of Seven Million Three Hundred Twenty Thousand Nine Hundred Sixt</t>
  </si>
  <si>
    <t xml:space="preserve"> CONCRETING OF BARANGAY BUDAC TO BARANGAY GADDANI FMR Contract Location:                      Barangay Budac and Barangay Gaddani, Tayum, Abra Brief Description:                     Concreting of Roads using PCCP (Unreinforced,                             </t>
  </si>
  <si>
    <t xml:space="preserve"> 1	Brake Fluid							15	liters	348.80 2	Diesel Fuel							4,500	liters	57.00 3	Gasoline							400	liters	65.40 4	Gear oil							14	liters	327.00 5	Grease Lubricant							7	liters	348.80 6	Motor Oil HD-40							20	liters	316.10 										 Project Name:		for</t>
  </si>
  <si>
    <t xml:space="preserve"> 4 units IP Radio (Rocket 5AC Prism Gen 2) 2 units IP Radio (Nanobeam NBE-5AC-Gen2 5GHz AC Long Range) 4 units Antenna (Rocket Dish Antenna RD5G34) 2 units Wireless Dual Band Gigabit Router (AC1200) 2 boxes UTP Cable CAT5E (For outdoor) 2 units UPS 1.5 KW </t>
  </si>
  <si>
    <t xml:space="preserve"> 1. 6,680 LTRS. DIESEL FUEL PURPOSE: FOR CONCRETING OF 260 MTRS CONCRETE PAVEMENT ALONG DINASAN TO LIPAY BARANGAY ROAD, JOSE DALMAN, ZAMBOANGA DEL NORTE. The complete schedule of activities is listed, as follows:							 							 		Activities			        Sched</t>
  </si>
  <si>
    <t xml:space="preserve"> Republic of the Philippines Region XII Province of Cotabato Municipality of Makilala  OFFICE OF THE BIDS AND AWARD COMMITTEE INVITATION TO BID N0. 2020-003 (RE-BIDDING)            The Municipality of Makilala, through the TRUST FUND under DAR_MINSAAD   in</t>
  </si>
  <si>
    <t xml:space="preserve"> 1,250 packs Bio-N Concentrate, 200g/pack Note: Please attach legal documents and updated PhilGEPS Certificate, failure to submit your bid documents will not be considered for the opening by the BAC. Please refer to RA 9184-GPPB Revised IRR Series of 2016 </t>
  </si>
  <si>
    <t xml:space="preserve"> 1	Preventive maintenance and calibration of Labconco, PCR Enclosure			1	Lot	52,780.00 	Scope of work:					 	a. Cleaning of internal and external chamber 					 	b. Supple and replacement of HEPA and Dust Filter					 	c. Replacement of daylight					 	d. Dis</t>
  </si>
  <si>
    <t xml:space="preserve"> 30 bags Hybrid Sorghum Seeds (11kgs/bag) Note: Please attach legal documents and updated PhilGEPS Certificate, failure to submit your bid documents will not be considered for the opening by the BAC. Please refer to RA 9184-GPPB Revised IRR Series of 2016 </t>
  </si>
  <si>
    <t xml:space="preserve"> CONSTRUCTION MATERIALS AND SUPPLIES MATERIALS: Drop Wire 1,350 meters, Lamp Holders 47 sets, Led Lamp Bulb 45 watts 40 pcs., G.I. Pipe 3” SCH 40 45 pcs., G.I Pipe 1 ½” SCH 20 14 pcs., THHN Wire# 14 48 meters, THHN #10 48 meters, Electrical Tape 14 rolls, </t>
  </si>
  <si>
    <t xml:space="preserve"> Material: PET/Foil/Nylon/PE Size: 100mm(W) x 150mm(L) x 64mm TBG Construction: Stand up pouch Printing: 6  colors Other specifications: Delivered to Kim’s Milk Processing Plant in Los Amigos</t>
  </si>
  <si>
    <t xml:space="preserve"> Diesel,  Umleaded Prospective Bidders must have completed a contract similar to the project with the amount of at least 50% of the ABC. Bidding will be conducted through open competitive bidding procedures using a non-discretionary “pass/fail” criterion a</t>
  </si>
  <si>
    <t xml:space="preserve"> Const. of Two Storey Building (Total Floor Area:  161.00 sq.m.) with 11.5m x 1.50m Balcony made of concrete, masonry works, C- Joist suspended slabs, steel &amp; galva iron roofing sheets complete with ceilings,  hanger &amp; nailers, paintings, plumbing &amp; sanita</t>
  </si>
  <si>
    <t xml:space="preserve"> Contract ID: 20PK0069 Contract Name: Cluster 1 - Repair and Rehabilitation of Infrastructure Facilities and Other Related Activities - Flood Control and Drainage Systems, Structures and Related Facilities, Mabilong and Dangoy, Lubuagan, Kalinga   Contract</t>
  </si>
  <si>
    <t xml:space="preserve"> INVITATION FOR NEGOTIATED PROCUREMENT Negotiated Procurement – Two Failed Biddings Reference No. NIAREG9-0219-2020-FSDECY2013-2014-021 (NP 53.1)  Dear Sir/Ma’am: 1.	In view of the two (2) failed public biddings conducted for the project entitled: “Supply </t>
  </si>
  <si>
    <t xml:space="preserve"> 1	Repair of Laboratory Table top (Black Raven 12mm x 760mm x 3050mm			2	Piece	51,160.00 	Scope: Cleaning and levelling of existing table, cutting and replacement of black raven table top					 						 	Total					51,160.00</t>
  </si>
  <si>
    <t xml:space="preserve"> INVATATION TO BID   CONSTRUCTION OF 2-STOREY MUNICIPAL MULTI-PURPOSE BUILDING Identification No. BARMM-SUL-06-SIA-03-20 June 4, 2020 The Municipality of Siasi, Province of Sulu, implementing  partner of the Development Bank of the Philippine (DBP) now inv</t>
  </si>
  <si>
    <t xml:space="preserve"> OPENING OF BIDS IN DSWD FO IX ZAMBOANGA CITY		 DELIVERY IN DSWD-T ISABELA CITY, BASILAN PROVINCE		 PROCUREMENT FOR THE FF.:		 		 2	PCS.	FLASH DRIVE, 16gb CAPACITY 30	REAM	PAPER, MULTI-PURPOSE (COPY) LEGAL SIZE , 70gsm, 216mm X 330mm, SUB 20 30	REAM	PAPER,</t>
  </si>
  <si>
    <t xml:space="preserve"> Const. of Two Storey Building (Dimension:  8.50m x 6.20m) made of concrete, masonry works, C- Joist suspended  slabs, steel, &amp; galva iron roofing sheets complete with ceilings, hanger, fie exit ladder, signages &amp; electrical systems including demolition of</t>
  </si>
  <si>
    <t xml:space="preserve"> Provision of Labor, Materials and Equipment for the Rehabilitation &amp; Improvement of one (1) unit Two-Classroom School Building at Lourdes Elementary School in Brgy. Lourdes, Pastrana, Leyte in accordance with the plan and specifications: SCOPE OF WORK: * </t>
  </si>
  <si>
    <t xml:space="preserve"> 1. The LGU-Bakun, Benguet, through the 2020 20% MDF, intends to apply the sum of   P 749,996.11 being the Approved Budget for the Contract (ABC) to payments under the contract Various Infrastructure Projects under Cluster H-2020, Dalipey, Bakun, Benguet (</t>
  </si>
  <si>
    <t xml:space="preserve"> Republic of the Philippines Province of Davao de Oro MUNICIPALITY OF COMPOSTELA BIDS AND AWARDS COMMITTEE CP#: 0998-571-7569 INVITATION TO BID FOR  Procurement of Supply, Delivery and Installation of Glass Works for Improvement of Government Buildings – (</t>
  </si>
  <si>
    <t xml:space="preserve"> REQUEST FOR EXPRESSION OF INTEREST (REI) Consulting Services for the Conduct of Sub-surface Soil Exploration and Geotechnical Investigation for the Construction of various Buildings and Other Structures in Tarlac. 1.	The Department of Public Works and Hig</t>
  </si>
  <si>
    <t xml:space="preserve"> INVITATION TO BID The DPWH Cebu 3rd District Engineering Office through its Bids and Awards Committee (BAC) for Goods, invites suppliers to submit bids for the following Contract:             Contract ID: 20GHF0005            Contract Name: Supply and Del</t>
  </si>
  <si>
    <t xml:space="preserve"> 1. The LGU-Bakun, Benguet, through the 2020 20% MDF intends to apply the sum of   P 1,699,347.45 being the Approved Budget for the Contract (ABC) to payments under the contract Various Infrastructure Projects under Cluster I-2020, Kayapa, Bakun, Benguet (</t>
  </si>
  <si>
    <t xml:space="preserve"> 1. The LGU-Bakun, Benguet, through the 2020 20% MDF, intends to apply the sum of   P 399,961.54 being the Approved Budget for the Contract (ABC) to payments under the contract for the Concreting along Ingaan-Cagam-is FMR, Gambang, Bakun, Benguet/Contract </t>
  </si>
  <si>
    <t xml:space="preserve"> Republic of the Philippines Province of Oriental Mindoro MUNICIPALITY OF NAUJAN BIDS AND AWARDS COMMITTEE INVITATION TO BID SUPPLY AND DELIVERY OF MATERIALS TO BE USED IN THE INSTALLATION/ REHABILITATION OF WATER SYSTEM LEVEL II &amp; III IN DIFFERENT BARANGA</t>
  </si>
  <si>
    <t xml:space="preserve"> INVITATION TO BID FOR Procurement of Hospital Engineering &amp; Facilities Management Unit (HEMU) Supplies and ICT Equipment IB NO: 2020-019 The Western Visayas Medical Center, through Internally Generated Income and FY 2020 GAA, in the amount of Three Millio</t>
  </si>
  <si>
    <t xml:space="preserve"> Republic of the Philippines Province of Misamis Occidental MUNICIPALITY OF CALAMBA   INVITATION TO BID FOR THE CONCRETING OF IMAN STREET- BARANGAY MAGCAMIGUING 	June 9, 2020 1.	The Local Government Unit of Calamba, Misamis Occidental, through the 20% Deve</t>
  </si>
  <si>
    <t xml:space="preserve"> PLEASE QUOTE US YOUR LOWEST BID FOR THE FOLLOWING: REPAIR/REHABILITATION OF ACCOUNTING OFFICE</t>
  </si>
  <si>
    <t xml:space="preserve"> 1. The LGU-Bakun, Benguet, through the 2020 20% MDF, intends to apply the sum of   P 399,737.69 being the Approved Budget for the Contract (ABC) to payments under the contract for the Improvement of Liwang-Bolbolo FMR, Gambang, Bakun, Benguet/Contract Num</t>
  </si>
  <si>
    <t xml:space="preserve"> Invitation to Bid for the CONSTRUCTION OF PADRE BURGOS FIRE STATION  1.	The Bureau of Fire Protection Region 8, through the Special Accounts in the General Fund SAGF 2020 intends to apply the sum of Seven Million Three Hundred Twenty Thousand Nine Hundred</t>
  </si>
  <si>
    <t xml:space="preserve"> Installation of Tourism Information System Expected Output: 	Automated filing &amp; reporting system 	Automated counting of daily arrivals With the following disaggregation: •	Sex •	Age •	Nationality •	Address •	Accommodation •	Length of Stay</t>
  </si>
  <si>
    <t xml:space="preserve"> https://drive.google.com/file/d/1I_8XdRSbLBVGRKzArqIijGHoMkT8Y1dn/view?usp=drivesdk</t>
  </si>
  <si>
    <t xml:space="preserve"> PR NO. 0749 - 20                                                           Republic of the Philippines                 CITY GOVERNMENT OF TACURONG Alunan Highway, Tacurong City Sultan Kudarat BIDS AND AWARDS COMMITTEE                       Tel nos. (064) </t>
  </si>
  <si>
    <t xml:space="preserve"> Concreting of Road with following description of works re:  Portland Cement Concrete Pavement (1,101.00 sq.m. @ 0.20m thk.) including subgrade and aggregate base course preparation and compaction.</t>
  </si>
  <si>
    <t xml:space="preserve"> PR NO. 0670 - 20                 Republic of the Philippines         CITY GOVERNMENT OF TACURONG Alunan Highway, Tacurong City Sultan Kudarat BIDS AND AWARDS COMMITTEE                  Tel nos. (064) 562-0128 / Telefax no. (064) 477 - 0138         www.tac</t>
  </si>
  <si>
    <t xml:space="preserve"> Concreting of Road with following description of works re:  Portland Cement Concrete Pavement (1,113.00 sq.m. @ 0.20m thk.) including subgrade and aggregate base course preparation and compaction.</t>
  </si>
  <si>
    <t xml:space="preserve"> RFQ-GS-20200603-01 Interested Suppliers are invited to submit Price Quotation for the above listed item. The official LANDBANK Request for Quotation Form may be obtained from MS. ARVIE ESTRELLA, you may email her at  avestrella08@gmail.com. The deadline f</t>
  </si>
  <si>
    <t xml:space="preserve"> PR NO. 0741 - 20                                                           Republic of the Philippines                 CITY GOVERNMENT OF TACURONG Alunan Highway, Tacurong City Sultan Kudarat BIDS AND AWARDS COMMITTEE                       Tel nos. (064) </t>
  </si>
  <si>
    <t xml:space="preserve"> https://drive.google.com/file/d/1Wx6gqQUw4MNckdXd60MNwCAGJpHR-3yF/view?usp=drivesdk</t>
  </si>
  <si>
    <t xml:space="preserve"> (1) 1 unit Submersible Motor, 15 hp, 3 phase, 230vac, 60hz (2) 1 unit Submersible Deep Well Pump, Discharge Capacity = 12 LPS at 90 Total dynamic head (3) 65 meters Submersible Cable #4/3C (AWG) (4) 1 set Manual Transfer Switch (MTS), Control - 200 amp., </t>
  </si>
  <si>
    <t xml:space="preserve"> Invitation to Bid for the CONSTRUCTION OF PINABACDAO FIRE STATION 1. The Bureau of Fire Protection Region 8, through the Special Accounts in the General Fund SAGF 2020 intends to apply the sum of Seven Million Three Hundred Twenty Thousand Nine Hundred Si</t>
  </si>
  <si>
    <t xml:space="preserve"> INVITATION TO SUBMIT PRICE QOUTATION FOR THE REPLACEMENT OF ROOF AND CONTINOUS RIDGE VENT COVER OF GID SABLAYAN WAREHOUSE, STO. NIÑO SABLAYAN OCCIDENTAL MINDORO 1.	The NATIONAL FOOD AUTHORITY, Mamburao Provincial Office, through the Provincial Procurement</t>
  </si>
  <si>
    <t xml:space="preserve"> PR NO. 0750 - 20                                                           Republic of the Philippines                 CITY GOVERNMENT OF TACURONG Alunan Highway, Tacurong City Sultan Kudarat BIDS AND AWARDS COMMITTEE                       Tel nos. (064) </t>
  </si>
  <si>
    <t xml:space="preserve"> 1. The LGU-Bakun, Benguet, through the 2020 20% MDF, intends to apply the sum of   P 999,993.97 being the Approved Budget for the Contract (ABC) to payments under the contract Various Infrastructure Projects under Cluster B-2020, Kayapa, Bakun, Benguet ( </t>
  </si>
  <si>
    <t xml:space="preserve"> Program of Works includes: Excavation For Structure 9.152 cu.m Masonry Works 50.60 sqm Concrete Works 13.56 cum Roof Framing and roofing 73.80 qm Electrical Works lumpsum Project Billboard</t>
  </si>
  <si>
    <t xml:space="preserve"> Republic of the Philippines  Province of Bukidnon  MUNICIPALITY OF KALILANGAN    Bids and Award Committee (BAC)  INVITATION TO BID FOR  Goods 2020-06-016 The Local Government Unit – Kalilangan, Bukidnon through the BIDS AND AWARDS COMMITTEE (BAC) now invi</t>
  </si>
  <si>
    <t xml:space="preserve"> Construction of Slope Protection with following description of works re:  Grouted Riprap, Class A (Total Volume:  120.66 cu.m.) including individual Removal of Trees, Structure Excavation, Embankment &amp; Concrete Sealing, 150mm thk.</t>
  </si>
  <si>
    <t xml:space="preserve"> Revised on: July 28, 2004                                            INVITATION TO APPLY FOR ELIGIBILITY AND TO BID                        The Local Government Unit of Catanauan, Quezon, through its Bids and Awards Committee (BAC), invites suppliers/manuf</t>
  </si>
  <si>
    <t xml:space="preserve"> 1. The LGU-Bakun, Benguet, through the 2020 20% MDF, intends to apply the sum of   P 249,957.62 being the Approved Budget for the Contract (ABC) to payments under the contract for the Construction of Lower Sipitan Flood Control, Dalipey, Bakun, Benguet/Co</t>
  </si>
  <si>
    <t xml:space="preserve"> Provision of Labor, Materials and Equipment for the Installation of Solar Street Lights @ Brgy. San Roque, Alang-alang, Leyte in accordance with the plan and specifications: SCOPE OF WORK: * Structure Excavation - - - &gt;  7.56 cu.m * Reinforced Concrete - </t>
  </si>
  <si>
    <t xml:space="preserve"> Concreting of Road with following description of works re:  Portland Cement Concrete Pavement (492.00 sq.m. @ 0.20m thk.) including removal of existing PCCP (reblocking), roadway excavation, subgrade and aggregate base course preparation and compaction.</t>
  </si>
  <si>
    <t xml:space="preserve"> This project is own by the Barangay Government of Lower Bag-ong Tudela, Josefina, Zamboanga del Sur which they have to repair their streetlights inorder to maintain the safety of their constituents.</t>
  </si>
  <si>
    <t xml:space="preserve"> Republic of the Philippines								 Province of Benguet								 Municipality of Buguias								 BIDS AND AWARDS COMMITTEE								 								 			Purchase Request Number:				Date:	 			Name of the Project:				Quotation No:	 			Location of the Project:				OBR #</t>
  </si>
  <si>
    <t xml:space="preserve"> OPENING OF BIDS IN DSWD FO IX, ZAMBOANGA CITY		 DELIVERY IN DSWD HOME FOR WOMEN MAMPANG ZAMBOANGA CITY		 PROCUREMENT FOR THE FF.:		 		 1	UNIT 	TEMPORARY FENCE SHIELD 		FENCE 1.8m X 2.4m, 32 X 1.5mm WITH PAINT 		********************************** 		PURPOSE</t>
  </si>
  <si>
    <t xml:space="preserve"> Const. of Stage with dressing room (Dimension: 8.0m x 7.00) complete with Reinf. Concrete column, masonry works, steel trusses &amp; coloroof g.i. sheet, rib- type roofing, paintings, doors, windows, ceiling, tileworks, sanitary/ plumbing and electrical syste</t>
  </si>
  <si>
    <t xml:space="preserve"> Republic of the Philippines Cordillera Administrative Region Provincial Local Government Unit of Ifugao BIDS AND AWARDS COMMITTEE - INFRA 3rd Floor PEO Bldg., Capitol Compound Lagawe, Ifugao Email Ad.: bacifugao@gmail.com INVITATION TO BID  		NCB Publicat</t>
  </si>
  <si>
    <t xml:space="preserve"> ITEMS OF WORK I. CLEARING AND GRUBBING II. INTAKE TANK III. TRANSMISSION PIPELINE IV. CABLE INSTALLATION V. PROJECT BILLBOARD</t>
  </si>
  <si>
    <t xml:space="preserve"> Description   Republic of the Philippines Province of Benguet Municipality of Buguias BIDS AND AWARDS COMMITTEE Purchase Request Number: Date: Name of the Project: Quotation No: Location of the Project: OBR #: REQUEST FOR QUOTATION Sir/Madam: Please quote</t>
  </si>
  <si>
    <t xml:space="preserve"> Please refer to attached ITB</t>
  </si>
  <si>
    <t xml:space="preserve"> ITEMS OF WORK: I. DEMOLITION (SLABS, WALLS) ......................................................28.50 CU.M. II. EXCAVATION WORKS (MANUAL) ......................................................95.00 CU.M. III. HAULING AND DISPOSAL OF DEMOLISHED AND EXCAV</t>
  </si>
  <si>
    <t xml:space="preserve"> Const. of Three Storey Building (Dimension: 36m x 9.40m) made of concrete, masonry works, steel &amp; galva iron roofing sheets complete with ceilings, hanger &amp; nailers, paintings, plumbing &amp; sanitary fixtures, doors &amp; windows with grills, railings, fire exit</t>
  </si>
  <si>
    <t xml:space="preserve"> Republic of the Philippines Province of Benguet Municipality of Buguias BIDS AND AWARDS COMMITTEE Purchase Request Number: Date: Name of the Project: Quotation No: Location of the Project: OBR #: REQUEST FOR QUOTATION Sir/Madam: Please quote your price of</t>
  </si>
  <si>
    <t xml:space="preserve"> INVITATION TO BID FOR SUPPLY AND DELIVERY OF HDPE PIPES AND COMPRESSION FITTINGS 1. The Tanay Water District, through the Corporate Budget for the contract approved by the governing Boards intends to apply the sum of One Million One Hundred Seventy Two Th</t>
  </si>
  <si>
    <t xml:space="preserve"> Const. of Two Storey Building (Dimension: 31.50m x 9.40m) made of concrete, masonry works, C- Joist suspended slabs, steel &amp; galva iron roofing sheets complete with ceilings, hanger &amp; nailers, paintings, plumbing &amp; sanitary fixtures, doors &amp; windows with </t>
  </si>
  <si>
    <t xml:space="preserve"> Repair and Maintenance of Lined Canal</t>
  </si>
  <si>
    <t xml:space="preserve"> ITEMS OF WORK CLEARING AND GRUBBING INTAKE TANK TRANSMISSION PIPELINE RESERVOIR TANKS PROJECTS BILLBOARD</t>
  </si>
  <si>
    <t xml:space="preserve"> 1 unit Collapsible Tent (3m x 6m)</t>
  </si>
  <si>
    <t xml:space="preserve"> Republic of the Philippines DEPARTMENT OF PUBLIC WORKS AND HIGHWAYS REGIONAL OFFICE VIII Baras, Palo, Leyte    INVITATION TO BID No. 2020-06-001 June 8, 2020 1.	The Department of Public Works and Highways Regional Office VIII, Baras, Palo, Leyte, through </t>
  </si>
  <si>
    <t xml:space="preserve"> Const. of Two Storey Four Classroom Building (Dimension:  22.50m x 9.40m) made of concrete, masonry works, C- Joist suspended slabs, steel &amp; galva iron roofing sheets complete with ceilings, hanger &amp; nailers, paintings, plumbing &amp; sanitary fixtures, doors</t>
  </si>
  <si>
    <t xml:space="preserve"> PROJECT NAME: Construction of Naybo Child Development Center (Phase II)  PROJECT LOCATION:  Poblacion, Buguias, Benguet DURATION:  68 CD (Including mobilization and Curing) PROJECT Cost:  PHP 400,000.00 SOURCE OF FUND: Supplemental Budget CY 2020 ITEM NO.</t>
  </si>
  <si>
    <t xml:space="preserve"> Const. of Two Storey Four Classroom Bldg. at Talisay ES, Brgy. Talisay, Calaca, Batangas</t>
  </si>
  <si>
    <t xml:space="preserve"> City Government of Manila INVITATION TO BID  NO. 2020-06-86 Procurement of Various Airconditioning units and Supplies and Materials for Installation 1.	The City Government of Manila, through the Philhealth Fund intends to apply the sum of Four Million Thr</t>
  </si>
  <si>
    <t xml:space="preserve"> Republic of the Philippines									 Province of Benguet									 Municipality of Buguias									 BIDS AND AWARDS COMMITTEE									 									 			Purchase Request Number:				Date:		 			Name of the Project:				Quotation No:		 			Location of the Project:		</t>
  </si>
  <si>
    <t xml:space="preserve"> PROJECT NAME: Construction of Livestock Auction Center (Phase II)  PROJECT LOCATION:  Abatan, Buguias, Benguet DURATION:  191 CD (Including mobilization and Curing) PROJECT Cost:  PHP 2,635,385.80 SOURCE OF FUND: 20% MDF CY 2020 ITEM NO.	DESCRIPTION						</t>
  </si>
  <si>
    <t xml:space="preserve"> PROJECT NAME: Improvement of Laduan Elementary School PROJECT LOCATION:  Lengaoan, Buguias, Benguet DURATION:  44 CD (Including mobilization and Curing) PROJECT Cost:  PHP 290,000.00 SOURCE OF FUND: 20% MDF CY 2020 ITEM NO.	DESCRIPTION							 QTY  	   	UN</t>
  </si>
  <si>
    <t xml:space="preserve"> Section II. Instructions to Bidders A.  General 1.	Scope of Bid 		 	1.1	The Procuring Entity as defined in the BDS, invites bids for the construction of Works, as described in Section VI- Specifications.  The name and identification number of the Contract</t>
  </si>
  <si>
    <t xml:space="preserve"> PROJECT NAME: Improvement of Gusadan – Lusong Pathway PROJECT LOCATION:  Buyacaoan, Buguias, Benguet DURATION:  37 CD (Including mobilization and Curing) PROJECT Cost:  PHP 100,000.00 SOURCE OF FUND: 20% MDF CY 2020 ITEM NO.	DESCRIPTION							 QTY  	   	U</t>
  </si>
  <si>
    <t xml:space="preserve"> Const. of Two (2) units Communal Toilet (Floor Area:  CR #1- 18.12 sqm; CR #2 22.06 sq.m.) made of concrete, masonry works, steel &amp; galva iron roofing sheets complete with ceilings, hanger &amp; nailers, paintings, plumbing, &amp; sanitary fixtures, doors &amp; windo</t>
  </si>
  <si>
    <t xml:space="preserve"> Please download the attached file (Associated Components) for the Bid Document.</t>
  </si>
  <si>
    <t xml:space="preserve"> Municipality of ATIMONAN, QUEZON Standard From Number SF-INFRA-05 Revised on July 28, 2004 INVITATION TO BID The Municipal Government of ATIMONAN, QUEZON, through its Bids and Awards Committee (BAC), invites Contractors to apply for Eligibility and to Bid</t>
  </si>
  <si>
    <t xml:space="preserve"> REQUEST FOR EXPRESSION OF INTEREST (REI) FOR CONSULTING SERVICES FOR THE DESIGN REVIEW/CONSTRUCTION SUPERVISION OF THE AMBAL-SIMUAY RIVER AND RIO GRANDE DE MINDANAO RIVER FLOOD CONTROL PROJECTS PACKAGE 1 AND PACKAGE 2 1.	The Department of Public Works and</t>
  </si>
  <si>
    <t xml:space="preserve"> CONCRETING OF 6" THK X 15.00M X 30.00M FLOOR SLAB</t>
  </si>
  <si>
    <t xml:space="preserve"> Const. of Two Storey "ALS" Building (Dimension:  19.05m x 9.15m) made of concrete, masonry works, C-Joist suspended slabs, steel &amp; galva iron roofing sheets complete with  ceilings, hanger &amp; nailers, paintings, plumbing &amp; sanitary fixtures, doors &amp; window</t>
  </si>
  <si>
    <t xml:space="preserve"> Republic of the Philippines BARANGAY SAN LUCAS OFFICE OF THE PUNONG BARANGAY BIDS AND AWARDS COMMITTEE INVITATION TO BID The Barangay Government of BARANGAY SAN LUCAS through its Bids and Awards Committee (BAC), invites suppliers/manufacturers/distributor</t>
  </si>
  <si>
    <t xml:space="preserve"> 2020-049 REHABILITATION OF BUREAU OF FIRE PROTECTION (BFP) BUILDING AT MUNICIPAL HALL COMPOUND, MIDSAYAP, COTABATO</t>
  </si>
  <si>
    <t xml:space="preserve"> Republic of the Philippines Province of Davao del Sur Municipality of Matanao BARANGAY LOWER MARBER INVITATION TO BID The Barangay Government of Lower Marber, Matanao, Davao del Sur through its Bids and Awards Committee (BAC), invites suppliers/manufactur</t>
  </si>
  <si>
    <t xml:space="preserve"> Municipality of Looc INVITATION TO BID FOR Purchase for Risk Communication and Hygiene Kits 1.	The Municipality of Looc, through the Bayanihan Grant intends to apply the sum of Php 1,850,504.00 being the Approved Budget for the Contract (ABC) to payments </t>
  </si>
  <si>
    <t xml:space="preserve"> 320.00 ft - DRILLING AND WELL DEVELOPMENT 4.8 cu.m. - STRUCTURE EXCAVATION 3.84 cu.m. - EMBANKMENT 1.2 cu.m. - CONCRETE WORKS 1.00 lot - STEEL WORKS 1.00 lot - RESERVOIR 60.35 cu.m. - TRENCH EXCAVATION 445.00 l.m. - PIPELINES AND FITTINGS 1.00 lot - ELECT</t>
  </si>
  <si>
    <t xml:space="preserve"> CONCRETING OF FMR-BRGY. BAKIAD PSHIDA, Brgy. Bakiad, Labo, Cams. Norte</t>
  </si>
  <si>
    <t xml:space="preserve"> CONCRETING OF FMR-BRGY. BAKIAD P3, Brgy. Bakiad, Labo, Cams. Norte</t>
  </si>
  <si>
    <t xml:space="preserve"> BIDS AND AWARDS COMMITTEE MUNICIPALITY OF BALETE THE MUNICIPALITY OF BALETE  THRU BIDS AND AWARDS COMMITTEE INVITES ALL SUPPLIERS/BIDDERS/CONTRACTORS TO APPLY FOR ELIGIBILITY SCREENING AND IF SUBSEQUENTLY FOUND ELIGIBLE FOR THE PROCUREMENT REQUEST FOR THE</t>
  </si>
  <si>
    <t xml:space="preserve"> CONCRETING OF FMR-BRGY. STA CRUZ Brgy. Sta. Cruz, Labo, Cams. Norte</t>
  </si>
  <si>
    <t xml:space="preserve"> 1.00 LOT - PROJECT BILLBOARD 5250.00 SQ.M. - CLEARING AND GRUBBING 2478.00 CU.M. - COMMON EXCAVATION 3000.00 SQ.M. - SUBGRADE PREPARATION 1.00 UNIT - CSPMC CABINET</t>
  </si>
  <si>
    <t xml:space="preserve"> Description I.	Reinforced Concrete  II.	Masonry Works III.	Railings  IV.	Doors and Windows  V.	Ceramic / Unglazed Tiles  VI.	Electrical Works VII.	Painting  1. Barangay Solano, TANAUAN, LEYTE through the bids and awards comm.) invites suppliers, distribut</t>
  </si>
  <si>
    <t xml:space="preserve"> I. DISMANTLING OF DILAPIDATED PUMP &amp; ACCESSORIES II. REPLACEMENT/INSTALLATION</t>
  </si>
  <si>
    <t xml:space="preserve"> 1	1	unit	Laptop Computer	 			Specification:	 			Intel Core i5-10210U 1.60GHz	 			(4C/8T, up to 4.20GHz)	 			4GB DRR4 2666MHz Memory	 			(1x4GB, 2 slot, 16GB Max)	 			128GB m.2 NVMe SSD + 1TB HDD storage	 			14" FHD IPS Micro-Edge Touch Display	 			360 Deg</t>
  </si>
  <si>
    <t xml:space="preserve"> INVITATION TO BID MUNICIPALITY OF BALETE THE MUNICIPALITY OF BALETE THRU BIDS AND AWARDS COMMITTEE INVITES ALL SUPPLIERS/BIDDERS/CONTRACTORS TO APPLY FOR ELIGIBILITY SCREENING AND IF SUBSEQUENTLY FOUND ELIGIBLE FOR THE PROCUREMENT REQUEST FOR THE PROJECT </t>
  </si>
  <si>
    <t xml:space="preserve"> CONCRETING OF FMR-BRGY. MASALONG Dumpsite, Brgy. Masalong, Labo, Cams. Norte</t>
  </si>
  <si>
    <t xml:space="preserve"> Homebased Monitoring Drone 1 unit DJI MAVIC 2 PRO DRONE Specifications: - Hasseblad Camera - 20MP 1" CMOS Sensor - Adjustable Aperture - 10-bit HDR Video - Up to 31M Flight Time - Omni Directional Object Sensing 1 unit DJ MAVIC 2 FLY MORE KIT Specificatio</t>
  </si>
  <si>
    <t xml:space="preserve"> CONCRETING OF 6" THK. X 15.MM X 30.00MM FLOOR SLAB</t>
  </si>
  <si>
    <t xml:space="preserve"> The DPWH-North Manila District Engineering Office, through its Bids and Awards Committee (BAC) invites contractors to submit bids for the following Contract: 1.	  Contract I.D. No. 20OE0198   Contract Name: MOOE – Maintenance, Repair and Rehabilitation of</t>
  </si>
  <si>
    <t xml:space="preserve"> Description   The Barangay Government of Barangay 03 Poblacion, Batangas City intends to apply the sum of Eighty Nine Thousand Nine Hundred Ninety Nine Pesos and Eighty Centavos (P 89,999.80) broken down as follow: ITEM Brief Description SUB-ABC Lot 1 Pur</t>
  </si>
  <si>
    <t xml:space="preserve"> 2020-039, CONSTRUCTION OF BAILEY BRIDGE CONNECTING PUROK 4 AND PUROK 5, POBLACION 5, MIDSAYAP, COTABATO</t>
  </si>
  <si>
    <t xml:space="preserve"> RENOVATION OF LABO MUNICIPAL MUSEUM Municipal Museum, Labo, Cams. Norte</t>
  </si>
  <si>
    <t xml:space="preserve"> Provision of Field Office for the Engineer (Rental Basis); Project Billboard/Sign Board; Occupational Safety &amp; Health Program; Mobilization/Demobilization; Clearing &amp; Grubbing; Surplus Common Excavation; Structure Excavation, Soft Rock; Embankment from Bo</t>
  </si>
  <si>
    <t xml:space="preserve"> Provision of Combined Field Office, Laboratory and Living Quarters Building for the Engineer (Rental Basis); Project Billboard/Signboard; Occupational Safety and Health Program; Traffic Management; Mobilization/Demobilization; Clearing and Grubbing (w/ st</t>
  </si>
  <si>
    <t xml:space="preserve"> BIDS AND AWARDS COMMITTEE MUNICIPALITY OF BALETE THE MUNICIPALITY OF BALETE THRU BIDS AND AWARDS COMMITTE INVITES ALL SUPPLIERS/BIDDERS/CONTRACTORS TO APPLY FOR ELIGIBILITY SCREENING AND IF SUBSEQUENTLY FOUND ELIGIBLE FOR THE PROCUREMENT REQUEST FOR THE P</t>
  </si>
  <si>
    <t xml:space="preserve"> MUNICIPALTIY OF BALETE BIDS AND AWARDS COMMITTEE THE MUNICIPALITY OF BALETE THRU BIDS AND AWARDS COMMITTE INVITES ALL SUPPLIERS/BIDDERS/CONTRACTORS TO APPLY FOR ELIGIBILITY SCREENING AND IF SUBSEQUETLY FOUND ELIGIBLE FOR THE PROCUREMENT REQUEST FOR THE PR</t>
  </si>
  <si>
    <t xml:space="preserve"> 2020-036, CONSTRUCTION OF STEEL BRIDGE AT SITIO PANGPANG, PUROK 4, BARANGAY UPPER GLAD 1, MIDSAYAP, COTABATO</t>
  </si>
  <si>
    <t xml:space="preserve"> Republic of the Philippines  Department of  Science and Technology  Regional Office No. IX  Pettit Barracks,   Zamboanga  City Tel. Nos. (062) 992-1114; (062) 991-1024 INVITATION TO BID SUPPLY AND DELIVERY OF SUPPLY AND DELIVERY OF CALIBRATION AND RECERTI</t>
  </si>
  <si>
    <t xml:space="preserve"> 2020-051, SUPPLY AND DELIVERY OF ELECTRONIC DEVICES AND EQUIPMENT FOR EXPLOSIVE ORDNANCE DISPOSAL (EOD) UNIT AT LGU MIDSAYAP, COTABATO</t>
  </si>
  <si>
    <t xml:space="preserve"> The DPWH-North Manila District Engineering Office, through its Bids and Awards Committee (BAC) invites contractors to submit bids for the following Contract: 2.	  Contract I.D. No. 20OE0199   Contract Name: MOOE – Maintenance, Repair and Rehabilitation of</t>
  </si>
  <si>
    <t xml:space="preserve"> National Power Corporation INVITATION TO BID PUBLIC BIDDING 2020-0094 1.	National Power Corporation (NPC) has received financing from the European Union administered by World Bank toward the cost of the Access to Sustainable Energy Project (ASEP), Philipp</t>
  </si>
  <si>
    <t xml:space="preserve"> The DPWH-North Manila District Engineering Office, through its Bids and Awards Committee (BAC) invites contractors to submit bids for the following Contract: 3.	Contract I.D. No. 20OE0200   Contract Name: MOOE – Maintenance, Repair and Rehabilitation of I</t>
  </si>
  <si>
    <t xml:space="preserve"> 2020-050, CONSTRUCTION OF BOX CULVERT AT PUROK 3, MILAYA, MIDSAYAP, COTABATO</t>
  </si>
  <si>
    <t xml:space="preserve"> The DPWH-North Manila District Engineering Office, through its Bids and Awards Committee (BAC) invites contractors to submit bids for the following Contract: 4.	 Contract I.D. No. 20OE0201   Contract Name: Construction / Rehabilitation of Water Supply / S</t>
  </si>
  <si>
    <t xml:space="preserve"> PARTICULARS	QTY	UOM Agricultural Supplies	 	  Polybag (6x10x.003) 1000pcs/ream	65	ream Polybag (6x8x.003) 100pcs/pack, 5 pack/ream, with holes	240	ream Polybags (7x11x.025), 1000pcs/ream	10	ream Polypropylene bag, (4x5x.003) 1000pcs/ream	8	ream Polypropyl</t>
  </si>
  <si>
    <t xml:space="preserve"> BIDS AND AWARDS COMMITTEE MUNICIPALITY OF BALETE THE MUNICIPALITY OF BALETE THRU BIDS AND AWARDS COMMITTEE INVITES ALL SUPPLIERS/BIDDERS/CONTRACTORS TO APPLY FOR ELIGIBILITY SCREENING AND IF SUBSEQUENTLY FOUND ELIGIBLE FOR THE PROCUREMENT REQUEST FOR THE </t>
  </si>
  <si>
    <t xml:space="preserve"> Republic of the Philippines  Barangay 494, Zone 49, District IV, Manila Bids and Awards Committee INVITATION TO BID Barangay 494, Zone 49, District IV, Manila through its Bids and Awards Committee (BAC), Invites all Suppliers Contractors to bid the here u</t>
  </si>
  <si>
    <t xml:space="preserve"> Purchase of Materials, Tools &amp; Equipment use for Routine Maintenance along Various Road Sections</t>
  </si>
  <si>
    <t xml:space="preserve"> Fuel &amp; Lubricants of  Service Vehicle for Supervision/Implementation of Regular Infra Projects</t>
  </si>
  <si>
    <t xml:space="preserve"> PURCHASE OF SUPPLIES AND MATERIALS FOR THE ASPHALTING OF KAMAMA HOA PHASE 1 AND 2</t>
  </si>
  <si>
    <t xml:space="preserve"> Purchase of Asphalt Cement 60/70 for Various Bridges along Various Road Sections</t>
  </si>
  <si>
    <t xml:space="preserve"> Various Production Equipment and Accessories 3 UNI Video Lights, Portable, LED with battery pack (NP-970/960) 1 UNI Powered Studio Monitors 1 UNI USB MIDI Controller 1 PC	6-Inch Clamp On Microphone Pop Filter with Flexible Gooseneck and Metal Stabilizing </t>
  </si>
  <si>
    <t xml:space="preserve"> Repair of One(1) Building</t>
  </si>
  <si>
    <t xml:space="preserve"> Project Billboard/Sign Board; Occupational Safety and Health Program; Mobilization/Demobilization; Subgrade Preparation (Common Material); Aggregate Subbase Course (0.15m thick); Portland Cement Concrete Pavement (Unreinforced), (0.20m thick, 14 days).</t>
  </si>
  <si>
    <t xml:space="preserve"> Cluster 15- Sewerage and Waste Water Facility and Boardwalk, Puerto Galera, Oriental Mindoro  15.1 Construction of Boardwalk and Sewage Treatment Plant Phase 2 at Sabang Beach, Puerto Galera, Oriental Mindoro 15.2 Construction of Boardwalk and Sewage Trea</t>
  </si>
  <si>
    <t xml:space="preserve"> 30 PCS. 4MP Night Color Technology POE Bullet with Varifocal-IP Network Security Camera with Accessories 30 pcs. Waterproof Survillence Outdoor Junction Box(Camera Terminal) 1 unit 32 Channel Network Video Recorder 2U SATA ( 8sata ports up 10TB HD capacit</t>
  </si>
  <si>
    <t xml:space="preserve"> STOCK NO.		ITEM DESCRIPTION		QTY.	UNIT 1	)	Alcohol, Isopropyl, 70% Solution, 330ml, Spray 		94	bottles 2	)	Anti-virus Software, Licensed, 5 Devices		2	lic. 3	)	Ballpen, 0.5mm, Ball Needle Point, Black 		24	pieces 4	)	Ballpen, 1 Box, Black		1	box 5	)	Ballp</t>
  </si>
  <si>
    <t xml:space="preserve"> Purchase of Materials for Act. # 122 Crack and Joint Sealing of Concrete Pavement - Maintenance Section</t>
  </si>
  <si>
    <t xml:space="preserve"> -KAMAMA HOA PHASE 2 -MARCOS COMPOUND ALLEY -7TH STREET ALLEY -PINGKIAN 1 CENTRAL A -SAN MIGUEL STREET</t>
  </si>
  <si>
    <t xml:space="preserve"> - VARIOUS ALLEY AT PINGKIAN 2 -VARIOUS ROADS AT NAWASA (SAMAKA HOA) -PINGKIAN 1 CENTRAL B -TEACHERS VILLAGE ROQUE 1 -CALUMPANG/ G. ROQUE STREETS -NARANGHITA EXTENSION</t>
  </si>
  <si>
    <t xml:space="preserve"> Repainting of Centerline</t>
  </si>
  <si>
    <t xml:space="preserve"> construction of stage @ Barangay Tucalana, Lal-lo, Cagayan</t>
  </si>
  <si>
    <t xml:space="preserve"> Concreting of 20x30x.01mtr floor with CHB 4" on perimeter under slab 0.4x 0.15mtr wall footing</t>
  </si>
  <si>
    <t xml:space="preserve"> The DPWH – Bulacan First District Engineering Office, through its Bids and Awards Committee (BAC), invites contractors to submit bids for the following Contract: Contract ID: 20CC0244 Contract Name: Construction of two storey six classroom – Lolomboy Elem</t>
  </si>
  <si>
    <t xml:space="preserve"> Road Safety Devices</t>
  </si>
  <si>
    <t xml:space="preserve"> 34  -  pcs.   - Tire  10.00 x 20</t>
  </si>
  <si>
    <t xml:space="preserve"> The DPWH – Bulacan First District Engineering Office, through its Bids and Awards Committee (BAC), invites contractors to submit bids for the following Contract: Contract ID: 20CC0245 Contract Name: Construction of two storey six classroom – Guiguinto Cen</t>
  </si>
  <si>
    <t xml:space="preserve"> The DPWH – Bulacan First District Engineering Office, through its Bids and Awards Committee (BAC), invites contractors to submit bids for the following Contract: Contract ID: 20CC0250 Contract Name: Construction of three storey twelve classroom – Bungahan</t>
  </si>
  <si>
    <t xml:space="preserve"> For Road Protection in Sitio Can-Anyong</t>
  </si>
  <si>
    <t xml:space="preserve"> Thermoplastic Pavement Markings</t>
  </si>
  <si>
    <t xml:space="preserve"> The DPWH – Bulacan First District Engineering Office, through its Bids and Awards Committee (BAC), invites contractors to submit bids for the following Contract: Contract ID: 20CC0249 Contract Name: Construction of four storey eight classroom – Lolomboy N</t>
  </si>
  <si>
    <t xml:space="preserve"> Invitation to Bid for Rehabilitation and Construction of Barangay Street Lights, Brgy.Lim-ao, Kananga, Leyte 1.	The Barangay Government of Lim-ao, Kananga, Leyte, through its BIDS AND AWARDS COMMITTEE (BAC),through the DOE ER 1-94 funds intends to apply t</t>
  </si>
  <si>
    <t xml:space="preserve"> NOTICE OF NEGOTIATED PROCUREMENT (Small Value Procurement-Individual Consultant) DSWD NNP No. 20-GOP-SVC-002-A “Hiring of Writer/Technical Editor for the 2019 DSWD Annual Report” (PR No. 01-20001-PR-2020-02-00197) 1. The Department of Social Welfare and D</t>
  </si>
  <si>
    <t xml:space="preserve"> The DPWH – Bulacan First District Engineering Office, through its Bids and Awards Committee (BAC), invites contractors to submit bids for the following Contract: Contract ID: 20CC0248 Contract Name: Construction of three storey nine classroom – Tikay Elem</t>
  </si>
  <si>
    <t xml:space="preserve"> 4x4 Mini-Dump Truck for Hauling of Solid Waste with the following Specifications: Cabin:					1880mm extended cab,LHD, A/C  Vehicle Main Dimensions:		Overall dimensions (LxWxH)mm5995x2350x3450 Wheel base:  			(mm)3360Wheel track (front/rear) (mm)1160/1475 </t>
  </si>
  <si>
    <t xml:space="preserve"> The DPWH – Bulacan First District Engineering Office, through its Bids and Awards Committee (BAC), invites contractors to submit bids for the following Contract: Contract ID: 20CC0247 Contract Name: Construction of three storey nine classroom – Longos Ele</t>
  </si>
  <si>
    <t xml:space="preserve"> The DPWH – Bulacan First District Engineering Office, through its Bids and Awards Committee (BAC), invites contractors to submit bids for the following Contract: Contract ID: 20CC0251 Contract Name: Construction of three storey nine classroom – Bulihan Na</t>
  </si>
  <si>
    <t xml:space="preserve"> RFQ&gt;&gt;&gt; Cell Cards | ABC=PhP104,440.00 Please download RFQ for complete specification. SDO personnel communication allowance from January to June 2020.</t>
  </si>
  <si>
    <t xml:space="preserve"> Province of Cagayan BARANGAY UGAC NORTE  Tuguegarao City 	INVITATION TO BID  NAME OF PROJECT:  SUPPLY, DELIVERY &amp; INSTALLATION OF EMERGENCY PAGING SYSTEM  REFERENCE NO.: PB-G-001-2020 DATE OF POSTING: June 9, 2020 1.	The Barangay Council of Barangay Ugac </t>
  </si>
  <si>
    <t xml:space="preserve"> 310 bags Apo Cement 55 cu.m washed gravel 35 cu.m washed sand 36 pcs. coco lumber 2x8x12 24 pcs. 16mmx6.0m S.B 10 kls. Ord. nail 3'' 15 kls tire wire</t>
  </si>
  <si>
    <t xml:space="preserve"> The DPWH – Bulacan First District Engineering Office, through its Bids and Awards Committee (BAC), invites contractors to submit bids for the following Contract: Contract ID: 20CC0246 Contract Name: Construction of three storey nine classroom – Pres. Cora</t>
  </si>
  <si>
    <t xml:space="preserve"> 12 pcs. 2'' dia. X 6.0m G.I Pipe S40 4 pcs. 1 1/2'' dia. X 6.0m G.I Pipe S40 8 pcs. 2'' dia. Coupling 10 pcs. 1'' dia. X 6.0m G.I Pipe S40 4 pcs. 1 1/2'' dia. Coupling 9 pcs. 1'' dia. Coupling 4 pcs. 1 1/2'' dia. Union Patente 3 pcs. 1'' dia. Union Patent</t>
  </si>
  <si>
    <t xml:space="preserve"> The DPWH – Bulacan First District Engineering Office, through its Bids and Awards Committee (BAC), invites contractors to submit bids for the following Contract: Contract ID: 20CC0252 Contract Name: Concreting of Brgy. Catacte FMR Contract Location: Brgy.</t>
  </si>
  <si>
    <t xml:space="preserve"> Republic of the Philippines DEPARTMENT OF PUBLIC WORKS AND HIGHWAYS BATANGAS III DISTRICT ENGINEERING OFFICE REGIONAL OFFICE IV-A J. Gonzales St., Barangay 4, Tanauan City INVITATION TO BID (CW-2020-034) The DPWH–Batangas III District Engineering Office, </t>
  </si>
  <si>
    <t xml:space="preserve"> REPUBLIC OF THE PHILIPPINES CITY OF MANILA OFFICE OF THE BARANGAY BIDS AND AWARDS COMMITTEE INVITATION TO BID 1 unit Motorcycle - 130,000 1 unit Xerox Machine - 100,000 1 unit Printer - 30,000 8 units Megaphone - 49,096 10 units Fire Extinguisher - 30,000</t>
  </si>
  <si>
    <t xml:space="preserve"> REPUBLIC OF THE PHILIPPINES CITY OF MANILA OFFICE OF THE BARANGAY BIDS AND AWARDS COMMITTEE INVITATION TO BID Office Supplies - 75,000 Peace and Order supplies - 100,000 Clean and Green Supplies -181,600 REQUESTING OFFICER/END USER: Barangay 700 Zone 77 D</t>
  </si>
  <si>
    <t xml:space="preserve"> The DPWH – Bulacan First District Engineering Office, through its Bids and Awards Committee (BAC), invites contractors to submit bids for the following Contract: Contract ID: 20CC0254 Contract Name: Concreting of Brgy. Siling Bata to Brgy. Cacarong Matand</t>
  </si>
  <si>
    <t xml:space="preserve"> 5 roll plastic pipe 1 1/2 (black) 4 roll plastic pipe 1'' (black) 2 roll plastic pipe 1/2 (black) 8 pcs. jetmatic pump 12 pcs. G.I pipe 1 1/4 Sch. 40 6 pcs. T sachet G.I 1' 1/2 10 pcs. T sachet G.I 1'' 10 pcs. T sachet G.I 1 1/2'' 12 pcs. coupling G.I 1 1</t>
  </si>
  <si>
    <t xml:space="preserve"> 500 UNITS GO BAG N95 Mask Flashlight First Aid Kits Radio Transistor Sleeping Bag Cangoods  MineralWater Bisquits Toiletries</t>
  </si>
  <si>
    <t xml:space="preserve"> The Local Government Unit of Santa Fe, Nueva Vizcaya, through its Bids &amp; Awards Committee invites contractors to bid for the following project: Contract Name: ESTABLISHMENT OF ISOLATION AREA Contract Location: Forest Park, Santa Fe, Nueva Vizcaya Approve </t>
  </si>
  <si>
    <t xml:space="preserve"> Procurement of Computed Radiography Laser Imaging System(HFEP)</t>
  </si>
  <si>
    <t xml:space="preserve"> Procurement of Ultrasound (HFEP)</t>
  </si>
  <si>
    <t xml:space="preserve"> Utility Vehicle for LDRRMC Use with the Following Specifications: Engine Model:		2 GD-FTV (low) Engine Type:		2.4diesel, 4-cylinder, 16 valve DOHC Variable, Nozzle Turbo with front Mounted Intercooler Displacement:		2,389 cc Max Output: 			hm/rpm 147/3,40</t>
  </si>
  <si>
    <t xml:space="preserve"> REPUBLIC OF THE PHILIPPINES PROVINCE OF EASTERN SAMAR MUNICIPALITY OF LAWAAN REQUEST FOR QUOTATION PR No.: RFQ No.: PR Date: PhilGEPS Reference No. : End-User : Closing Date: ABC:650,000.00 Time: Sir/Madam: Please quote your lowest price on the items/s li</t>
  </si>
  <si>
    <t xml:space="preserve"> 1   pc   PROJECTOR w/ PROJECTOR SCREEN WUXGA 1920*1200 Native Resolution 6000 hour  lamp file (typical)   15000:1 Contrast Ratio 2.8kg (6.2lb.)                         Native Widescreen Direct Power On                      PC Free Presentations Horizontal</t>
  </si>
  <si>
    <t xml:space="preserve"> Supply and Delivery of Medical Equipment for Community Hospital</t>
  </si>
  <si>
    <t xml:space="preserve"> Pick-up Utility Vehicle for LDRRMC Use with the following Specifications: Engine Model:				4JJ1-TCX Engine Type:	4-cylinder In-line Blue Power Diesel w/ Turbo intercooler Displacement:				2,999cc Maximum Power	PS(kW)@rpm:	177(130)@3,600 Maximum Torque	N-m</t>
  </si>
  <si>
    <t xml:space="preserve"> Invitation to Bid for: UPGRADING OF ELECTRICAL SYSTEM, PHASE I 1.	The Municipal Government of Placer, through the Budget approved by the Sanggunian - 20% EDF CY2020 intends to apply the sum of Five Million pesos (P5,000,000.00) being the Approved Budget f</t>
  </si>
  <si>
    <t xml:space="preserve"> The Municipal Government of Atok, Benguet now invites bids for MDF CLUSTER 12-2020 PROJECTS AT PAOAY, ATOK, BENGUET with the following Clustered Projects: 1.	CONSTRUCTION OF PAVEMENT ALONG GUEWENG-SALAT ROAD WITH AN ABC OF P500,000.00; AND 2.	CONSTRUCTION</t>
  </si>
  <si>
    <t xml:space="preserve"> The DPWH – Bulacan First District Engineering Office, through its Bids and Awards Committee (BAC), invites contractors to submit bids for the following Contract: Contract ID: 20CC0253 Contract Name: Concreting of Brgy. Tanawan to Brgy. Poblacion FMR Contr</t>
  </si>
  <si>
    <t xml:space="preserve"> The Municipal Government of Atok, Benguet now invites bids for MDF CLUSTER 11-2020 PROJECT: REHABILITATION OF IRRIGATION CANAL AT CASDAN, NAGUEY, ATOK, BENGUET with the following Scope of Works: SPL. 1.	INSTALLATION OF BILLBOARD/TARPAULIN	 I.	EXCAVATION/S</t>
  </si>
  <si>
    <t xml:space="preserve"> Item	Qty	Unit of	Item Description		Estimated	Estimated Number		Measurement			Unit Cost	Amount 1	1	         lot	       I- Concreting &amp; Masonry Works			 2	20	         bags	        Portland Cement			 3	5	        cu.m.	Sand and Gravel (Good Mixed)			 4	15	   </t>
  </si>
  <si>
    <t xml:space="preserve"> Invitation to Bid for: CONSTRUCTION OF INTEGRATED TERMINAL 1.	The Municipal Government of Placer, through the Budget approved by the respective Sanggunian - through DBP loan intends to apply the sum of Twenty Five Million pesos (P25,000,000.00) being the </t>
  </si>
  <si>
    <t xml:space="preserve"> IB 2020-06-005 PORL Procurement of Operating Room Light 2020-05</t>
  </si>
  <si>
    <t xml:space="preserve"> Supply and Delivery of Plastic Melter for City ENRO</t>
  </si>
  <si>
    <t xml:space="preserve"> 2.	The Municipal Government of Atok, Benguet now invites bids for MDRRMF CLUSTER 3-2020 PROJECT: REHABILITATION OF KM. 288-BETAC-WAGI ROAD AT ABIANG, ATOK, BENGUET with the following Scope of Works: 102.		EXCAVATION 104.		EMBANKMENT 405.		STRUCTURAL CONCR</t>
  </si>
  <si>
    <t xml:space="preserve"> Two-Storey School Building</t>
  </si>
  <si>
    <t xml:space="preserve"> Republic of the Philippines Province of Northern Samar MUNICIPALITY OF LOPE DE VEGA Lope De Vega, Northern Samar Invitation to Bid IMPROVEMENT OF MUNICIPAL PARK Barangay Poblacion, Lope De Vega, Northern Samar  The Local Government Unit – Lope De Vega, No</t>
  </si>
  <si>
    <t xml:space="preserve"> IB 2020-06-006 PSS Procurement of Steam Sterilizer 2020-06</t>
  </si>
  <si>
    <t xml:space="preserve"> 1.	The Human Rights Violations Victims’ Memorial Commission, through the 2019 General Appropriations Act, intends to apply the sum of One Million Four-Hundred Thirty Thousand Pesos Only (Php 1,430,000.00)) being the Approved Budget for the Contract (ABC) </t>
  </si>
  <si>
    <t xml:space="preserve"> INVITATION TO BID FOR THE Supply and Delivery of  Heavy Duty Lorry Truck (Water Tanker) (PR-2020-9999-0720) 1.	The City Government of Mandaue, through the General Fund – 9999-10705080  (Heavy Equipment) Approved by the Sanggunian intends to apply the sum </t>
  </si>
  <si>
    <t xml:space="preserve"> Two-Storey School Building (Training Center with Lodging Rooms)</t>
  </si>
  <si>
    <t xml:space="preserve"> Republic of the Philippines Province of Northern Samar MUNICIPALITY OF LOPE DE VEGA Lope De Vega, Northern Samar Invitation to Bid CONSTRUCTION OF SLOPE PROTECTION AND COMPLETION OF EVACUATION CENTER Barangay Osmena, Lope De Vega, Northern Samar  The Loca</t>
  </si>
  <si>
    <t xml:space="preserve"> Republic of the Philippines Province of Iloilo  Municipality of Pototan BIDS AND AWARDS COMMITTEE INVITATION TO BID 1.	The Municipality of Pototan, through the Gen Fund‘‘ intends to apply the sum of (213,200.00) being the Approved Budget for the Contract </t>
  </si>
  <si>
    <t xml:space="preserve"> For Awuyon Community Municipal Hospital use.</t>
  </si>
  <si>
    <t xml:space="preserve"> PROCUREMENT OF FURNITURE &amp; FIXTURES &amp; OTHER EQUIPMENT 1.	The Municipal Government of Placer, through the Budget for the contract approved by the respective Sanggunian-  General Fund CY 2020 intends to apply the sum of One Million Four Hundred Thirty Thous</t>
  </si>
  <si>
    <t xml:space="preserve"> Upgrading of Primary/Secondary Lines, Transformers and provision of Gen-Set with Housing</t>
  </si>
  <si>
    <t xml:space="preserve"> BID PROPOSAL MESS FOODSTUFF						 AUGUST TO DEC 2020						 						 LOT .G COLD CUTS						 						 MONTHS						 ITEMS/DESCRIPTION	QTY 	UNIT	Unit Price	Total Price	Unit Price	Total Price 	 5 months					 Burger Patties,80 pcs	160	box		 -   		 -    Hotdog jumbo</t>
  </si>
  <si>
    <t xml:space="preserve"> Two-Storey School Building (Research Office)</t>
  </si>
  <si>
    <t xml:space="preserve"> INVITATION TO BID FOR:  PROCUREMENT OF IT &amp; OTHER OFFICE EQUIPMENT 1.	The Municipal Government of Placer, through the Budgte for the contract approved by the respective Sanggunian-  General Fund CY 2020 intends to apply the sum of Two Million One Hundred </t>
  </si>
  <si>
    <t xml:space="preserve"> BID PROPOSAL MESS FOODSTUFF						 AUGUST TO DEC 2020						 LOT.E GROCERIES						 						 MONTHS						 ITEMS/DESCRIPTION	QTY 	UNIT	Unit Price	Total Price	Unit Price	Total Price 	 5 months					 GROCERIES						 All Around Sarsa, 320 gm	 500 	btl.		 -   		 -  </t>
  </si>
  <si>
    <t xml:space="preserve"> BID PROPOSAL MESS FOODSTUFF						 AUGUST TO DEC 2020						 LOT .F VEGETABLES,LEGUMES &amp; DESSERT						 						 MONTHS						 ITEMS/DESCRIPTION	QTY 	UNIT	Unit Price	Total Price	Unit Price	Total Price 	 5 months					 Ampalaya	320	kg.		 -   		 -    Ampalaya leav</t>
  </si>
  <si>
    <t xml:space="preserve"> BID PROPOSAL MESS FOODSTUFF						 AUGUST TO DEC 2020						 LOT D.DRIED &amp; FRESH FISH						 						 MONTHS						 ITEMS/DESCRIPTION	QTY 	UNIT	Unit Price	Total Price	Unit Price	Total Price 	 5 months					 						 Bangus,cleaned 2 pcs/kg	1300	kgs		 -   		 -    G</t>
  </si>
  <si>
    <t xml:space="preserve"> BID PROPOSAL MESS FOODSTUFF						 AUGUST TO DEC 2020						 LOT B. MEAT 						 						 MONTHS						 ITEMS/DESCRIPTION	QTY 	UNIT	Unit Price	Total Price	Unit Price	Total Price 	 5 months					 Beef Sirloin (cut as requested)	3000	kgs		 -   		 -    Pork liempo	</t>
  </si>
  <si>
    <t xml:space="preserve"> ACQUISITION OF 55 UNITS LAPTOPS		 		 		 UNIT	ITEM/DESRIPTION	QUANTITY pcs	Laptops	55 	Core i5 ( latest gen)	 	8gb RAM	 	256GB SSD	 	ITB HDD	 	Intel UHD Graphics 620 Nvidia MX130 GDDR5 2 G	 	Windows 10 Pro 64bit	 	Ports:	 	1 USB type C 3.1 Gen 1 with Power</t>
  </si>
  <si>
    <t xml:space="preserve"> Republic of the Philippines Province of Northern Samar MUNICIPALITY OF LOPE DE VEGA -oo0oo- BIDS AND AWARDS COMMITTEE INVITATION TO BID  The Bids and Awards Committee of the Municipality of Lope de Vega hereby invites accredited business entities to bid f</t>
  </si>
  <si>
    <t xml:space="preserve"> BID PROPOSAL MESS FOODSTUFF						 AUGUST TO DEC 2020						 LOT C. POULTRY						 						 MONTHS						 ITEMS/DESCRIPTION	QTY 	UNIT	Unit Price	Total Price	Unit Price	Total Price 	 5 months					 Chicken Breast ( less neck)	3000	kgs		 -   		 -    Chicken Legs (</t>
  </si>
  <si>
    <t xml:space="preserve"> For replace of various damaged parts of Municipal Vehicles.</t>
  </si>
  <si>
    <t xml:space="preserve"> BID PROPOSAL MESS FOODSTUFF						 AUGUST TO DEC 2020						 						 LOT A. RICE						 						 MONTHS						 ITEMS/DESCRIPTION	QTY 	UNIT	Unit Price	Total Price	Unit Price	Total Price 	 5 months					 Rice; Semi-laon/Commercial 50 kg (long grain)	1000	sacks		 - </t>
  </si>
  <si>
    <t xml:space="preserve"> For distribution to farmers.</t>
  </si>
  <si>
    <t xml:space="preserve"> Food Supplies Assistance to Military and MPOC Members.</t>
  </si>
  <si>
    <t xml:space="preserve"> Installation of CCTV camera in strategic locations</t>
  </si>
  <si>
    <t xml:space="preserve"> Invitation to Bid for the Construction of Multi-Purpose Building (Phase III), Brgy. Cubi-Cubi 1.	The Local Government Unit of Nasipit, through the 20% MDF 2020 intends to apply the sum of Nine Hundred Ninety-Nine Thousand Nine Hundred Fifty-One Pesos and </t>
  </si>
  <si>
    <t xml:space="preserve"> Invitation to Bid for the Road Concreting (NRJ Camagong-Resettlement Site) Barangay Road, Brgy. Camagong The Local Government Unit of Nasipit, through the 20% MDF 2020 intends to apply the sum of One Million Nine Hundred Thousand Pesos (Php 1,900,000.00) </t>
  </si>
  <si>
    <t xml:space="preserve"> TO SUSTAIN AND MANAGE THE TRANSPORTATION EQUIPMENT USE IN THE BARANGAY</t>
  </si>
  <si>
    <t xml:space="preserve"> Republic of the Philippines Region XII Province of Cotabato Municipality of Makilala  OFFICE OF THE BIDS AND AWARD COMMITTEE INVITATION TO BID N0. 2020-007            The Municipality of Makilala, through the Municipal Disaster Risk Reduction Management O</t>
  </si>
  <si>
    <t xml:space="preserve"> Acquisition of materials, vehicles, equipment that are necessary for reducing and managing disaster risk</t>
  </si>
  <si>
    <t xml:space="preserve"> TO MANAGE AND SUSTAIN REPAIRS AND MAINTENANCE OF OFFICE BUILDING AND OTHER STRUCTURES</t>
  </si>
  <si>
    <t xml:space="preserve"> Description of Works to be Done Part A. Civil Works.......................................92.77% Part B. General Item &amp; Other Requirements......7.23% ...................................................................100% Item/Description.................</t>
  </si>
  <si>
    <t xml:space="preserve"> TO MANAGE &amp; SUSTAIN THE MACHINERY AND OTHER EQUIPMENT IN THE BARANGAY</t>
  </si>
  <si>
    <t xml:space="preserve"> 4 cylinder, turbo-intercooler, common-rail direct injection, blue power diesel engine, passenger van body type,  Displacement: 2.8-3.0 liters Max power PS/RPM: 72kw (98hp)/3400 Max torque (Nm/Rpm): 220N.m/1700 Emission standard: EURO 4 Brakes: service: dr</t>
  </si>
  <si>
    <t xml:space="preserve"> BIDS AND AWARDS COMMITTEE INVITATION TO BID The DEPARTMENT OF HEALTH – CENTRAL VISAYAS CENTER for HEALTH DEVELOPMENT (DOH – CV CHD), through its Bids and Awards Committee (BAC), invites contractors to bid for the hereunder projects: BAC NO. 2020-I01 	 NAM</t>
  </si>
  <si>
    <t xml:space="preserve"> Brief Description of the Project: Pipelaying of 6”Ø, 4”Ø &amp; 3”Ø uPVC Pipes S10 and installation of 9 G.I. Pipe S-40/super “A” Drainage Crossing A.	Additional Guidelines to be followed in line with the COVID-19 measures, are as follows: a.	Number of partici</t>
  </si>
  <si>
    <t xml:space="preserve"> Republic of the Philippines PROVINCE OF SOUTHERN LEYTE Municipality of San Juan BIDS AND AWARD COMMITTEE INVITATION TO BID FOR  Procurement of Surveying Equipment The Municipality of San Juan through the General Fund intends to apply the sum of Four Hundr</t>
  </si>
  <si>
    <t xml:space="preserve"> Republic of the Philippines Region XII Province of Cotabato Municipality of Makilala  OFFICE OF THE BIDS AND AWARD COMMITTEE INVITATION TO BID N0. 2020-008            The Municipality of Makilala, through the Municipal Environment and Natural Resources Of</t>
  </si>
  <si>
    <t xml:space="preserve"> Republic of the Philippines Region XII Province of Cotabato Municipality of Makilala  OFFICE OF THE BIDS AND AWARD COMMITTEE INVITATION TO BID N0. 2020-006            The Municipality of Makilala, through the Sangguniang Bayan   intends to apply the sum o</t>
  </si>
  <si>
    <t xml:space="preserve"> ROAD IMPROVEMENT: SEE PROGRAM OF WORKS, DRAWINGS AND BILL OF QUANTITIES UPON PAYMENT OF BIDDING DOCUMENTS</t>
  </si>
  <si>
    <t xml:space="preserve"> Republic of the Philippines Cordillera Administrative Region Province of Abra Bangued INVITATION TO BID FOR THE SUPPLY AND DELIVERY OF BACKYARD GARDENING SUPPLIES AND ASSORTED VEGETABLE SEEDS 1.	The PROVINCIAL GOVERNMENT OF ABRA through the Budget for the</t>
  </si>
  <si>
    <t xml:space="preserve"> CONSTRUCTION OF EVACUATION CENTER PHASE III</t>
  </si>
  <si>
    <t xml:space="preserve"> Republic of the Philippines Province of Davao de Oro BIDS AND AWARDS COMMITTEE Cabidianan, Nabunturan, Davao de Oro ITB No. 20-020 June 03, 2020 INVITATION TO BID  FOR  THE Procurement of 1,100 pcs. Utility plastic box (20 ltrs.) “16x7x10 ½ “ 1.	The Provi</t>
  </si>
  <si>
    <t xml:space="preserve"> Republic of the Philippines Province of Davao de Oro BIDS AND AWARDS COMMITTEE Cabidianan, Nabunturan, Davao de Oro ITB No. 20-020 June 03, 2020 INVITATION TO BID  FOR  THE Procurement of various office supplies 1.	The Provincial Government of Davao de Or</t>
  </si>
  <si>
    <t xml:space="preserve"> Republic of the Philippines Province of Davao de Oro BIDS AND AWARDS COMMITTE Cabidianan, Nabunturan, Davao de Oro ITB No. 20-021 June 03, 2020 INVITATION TO BID  FOR  THE Procurement of spareparts (heavy equipment) 1.	The Provincial Government of Davao d</t>
  </si>
  <si>
    <t xml:space="preserve"> Republic of the Philippines Province of Davao de Oro BIDS AND AWARDS COMMITTEE Cabidianan, Nabunturan, Davao de Oro ITB No. 20-020 June 03, 2020 INVITATION TO BID  FOR  THE Procurement of food supplies (meals and snacks)within Davao de Oro 1.	The Provinci</t>
  </si>
  <si>
    <t xml:space="preserve"> Republic of the Philippines Province of Davao de Oro BIDS AND AWARDS COMMITTEE Cabidianan, Nabunturan, Davao de Oro ITB No. 20-020 June 03, 2020 INVITATION TO BID  FOR  THE Procurement of spareparts (heavy equipment) 1.	The Provincial Government of Davao </t>
  </si>
  <si>
    <t xml:space="preserve"> INVITATION TO BID FOR THE INSTALLATION / REHABILITATION OF STREETLIGHTING SYSTEM &amp; PATHWAY (PLAZA AND AROUND THE CHURCH &amp; NATIONAL HIWAY FROM TUMAGBOK BRIDGE TO SAPA BRIDGE), POBLACION, MIAGAO    1.	The Municipality of Miagao through the Budget for the Co</t>
  </si>
  <si>
    <t xml:space="preserve"> Republic of the Philippines Province of Davao de Oro BIDS AND AWARDS COMMITTEE Cabidianan, Nabunturan, Davao de Oro ITB No. 20-020 June 03, 2020 INVITATION TO BID  FOR  THE Procurement of 2 packages DSLR camera lens &amp;  1 unit DSLR camera with complete acc</t>
  </si>
  <si>
    <t xml:space="preserve"> Republic of the Philippines Province of Davao de Oro BIDS AND AWARDS COMMITTEE Cabidianan, Nabunturan, Davao de Oro ITB No. 20-020 June 03, 2020 INVITATION TO BID  FOR  THE Procurement of official receipt and sticker 1.	The Provincial Government of Davao </t>
  </si>
  <si>
    <t xml:space="preserve"> 5 pcs4 x 3/4" saddle clamp 11 pcs 3 x 3/4" saddle clamp 4 pcs 2 1/2" x 3/4" saddle clamp 38 pcs 3/4 x 3" G.I. Nipple 19 pcs 1 x 3/4" G.I. Bell reducer 19 pcs 3/4" service cock 51 pcs 1 x3" G.I. Nipple 15 pcs 1" dia. G.I. Pipe 100 pcs 3/4 x 10 thread tape </t>
  </si>
  <si>
    <t xml:space="preserve"> IMPROVEMENT/ UPGRADING OF BONTOC- MAINIT ROAD FUND COURCE: DILG (CMGP) TYPES OF WORK TO BE DONE: Provision of field office for the engineer (rental basis) Provision of furniture, equipment and appliances Provision of 4x4 pick-up type service vehicle for t</t>
  </si>
  <si>
    <t xml:space="preserve"> Republic of the Philippines  Province of Bukidnon  MUNICIPALITY OF KALILANGAN    Bids and Award Committee (BAC)  INVITATION TO BID FOR  Infra 2020-06-009 The Local Government Unit – Kalilangan, Bukidnon through the BIDS AND AWARDS COMMITTEE (BAC) now invi</t>
  </si>
  <si>
    <t xml:space="preserve"> Republic of the Philippines Province of Iloilo  Municipality of Pototan BIDS AND AWARDS COMMITTEE INVITATION TO BID 1.	The Municipality of Pototan, through the IRA Fund‘‘ intends to apply the sum of (519,989.28) being the Approved Budget for the Contract </t>
  </si>
  <si>
    <t xml:space="preserve"> Republic of the Philippines Province of Davao de Oro BIDS AND AWARDS COMMITTE Cabidianan, Nabunturan, Davao de Oro ITB No. 20-021 June 03, 2020 INVITATION TO BID  FOR  THE Procurement of food supplies (meals and snacks)within Davao de Oro 1.	The Provincia</t>
  </si>
  <si>
    <t xml:space="preserve"> Republic of the Philippines Province of Iloilo  Municipality of Pototan BIDS AND AWARDS COMMITTEE INVITATION TO BID 1.	The Municipality of Pototan, through the Trust Fund‘‘ intends to apply the sum of (1,264,000.00) being the Approved Budget for the Contr</t>
  </si>
  <si>
    <t xml:space="preserve"> IMPROVEMENT/ UPGRADING OF SADSADAN- CUBA ROAD FUND SOURCE: DILG (CMGP) TYPES OF WORK TO BE DONE: Provision of field office for the engineer (rental basis) Provision of furniture, equipment and appliances Provision of 4x4 pick-up type service vehicle for t</t>
  </si>
  <si>
    <t xml:space="preserve"> Republic of the Philippines Province of Iloilo  Municipality of Pototan BIDS AND AWARDS COMMITTEE INVITATION TO BID 1.	The Municipality of Pototan, through the TrustFund‘‘ intends to apply the sum of (317,310.00) being the Approved Budget for the Contract</t>
  </si>
  <si>
    <t xml:space="preserve"> 6,480 pcs   Rice-Mongo food blend 6,480 pcs Rice-mongo BIMO Curls</t>
  </si>
  <si>
    <t xml:space="preserve"> IMPROVEMENT/ UPGRADING OF MAMAGA- SACLIT ROAD FUND SOURCE: DILG (CMGP) TYPES OF WORK TO BE DONE: Provision of field office for the engineer (rental basis) Provision of furniture, equipment and appliances Provision of 4x4 pick-up type service vehicle for t</t>
  </si>
  <si>
    <t xml:space="preserve"> Republic of the Philippines Department of Public Works and Highways DAVAO ORIENTAL FIRST DISTRICT ENGINEERING OFFICE REGION XI Lucod, Baganga, Davao Oriental INVITATION TO BID ITB No. 2020-035 1.	The Department of Public Works and Highways Davao Oriental </t>
  </si>
  <si>
    <t xml:space="preserve"> IMPROVEMENT/ UPGRADING OF ABATAN- BAGNEN ROAD FUND SOURCE: DILG (CMGP) TYPES OF WORK TO BE DONE: Provision of field office for the engineer (rental basis) Provision of furniture, equipment and appliances Provision of 4x4 pick-up type service vehicle for t</t>
  </si>
  <si>
    <t xml:space="preserve"> SEE ATTACHED BID DOCUMENTS FOR COMPLETE DETAILS</t>
  </si>
  <si>
    <t xml:space="preserve"> Republic of the Philippines  Province of Bukidnon  MUNICIPALITY OF KALILANGAN    Bids and Award Committee (BAC)  INVITATION TO BID FOR  Infra 2020-06-005 The Local Government Unit – Kalilangan, Bukidnon through the BIDS AND AWARDS COMMITTEE (BAC) now invi</t>
  </si>
  <si>
    <t xml:space="preserve"> Republic of the Philippines Region XII Province of Cotabato Municipality of Makilala  OFFICE OF THE BIDS AND AWARD COMMITTEE INVITATION TO BID N0. 2020-013            The Municipality of Makilala, through the  Municipal Government-20% EDF  intends to appl</t>
  </si>
  <si>
    <t xml:space="preserve"> Republic of the Philippines  Province of Bukidnon  MUNICIPALITY OF KALILANGAN    Bids and Award Committee (BAC)  INVITATION TO BID FOR  Infra 2020-06-007 The Local Government Unit – Kalilangan, Bukidnon through the BIDS AND AWARDS COMMITTEE (BAC) now invi</t>
  </si>
  <si>
    <t xml:space="preserve"> Republic of the Philippines  Province of Bukidnon  MUNICIPALITY OF KALILANGAN    Bids and Award Committee (BAC)  INVITATION TO BID FOR  Infra 2020-06-006 The Local Government Unit – Kalilangan, Bukidnon through the BIDS AND AWARDS COMMITTEE (BAC) now invi</t>
  </si>
  <si>
    <t xml:space="preserve"> INVITATION TO BID NO. 2020-06-0013 PROCUREMENT OF ELECTRICAL SUPPLIES AND EQUIPMENT OF CAPSU SIGMA SATELLITE COLLEGE 1.	The Capiz State University, through the Special Trust Fund - 2020 intends to apply the sum of One Million Two Hundred Sixty-Seven Thous</t>
  </si>
  <si>
    <t xml:space="preserve"> INVITATION TO BID  CONCRETING OF INACBAN BARANGAY ROAD, AYUNGON, NEGROS ORIENTAL BID IDENTIFICATION NUMBER 2020-06-21 1.	The Municipality of Ayungon, through the 20% LDF 2020 Supplemental Budget intends to apply the sum of Two Million Pesos (Php 2,000,000</t>
  </si>
  <si>
    <t xml:space="preserve"> Republic of the Philippines Province of Iloilo  Municipality of Pototan BIDS AND AWARDS COMMITTEE INVITATION TO BID 1.	The Municipality of Pototan, through the IRA Fund‘‘ intends to apply the sum of (2,500,000.00) being the Approved Budget for the Contrac</t>
  </si>
  <si>
    <t xml:space="preserve"> Republic of the Philippines Province of Cotabato Municipality of Makilala OFFICE OF THE BIDS &amp; AWARDS COMMITTEE INVITATION TO BID #2020-010 The Municipality of Makilala, funded by the Municipal Government applies for the Construction of Five (5) Units Mul</t>
  </si>
  <si>
    <t xml:space="preserve"> 13		Pcs	LED Lamp 7		Pcs	GI Pipe 2ø S-40 2		Pcs	GI pipe 1ø S-40 600		Mtr	Service Drop Wire #6 52		Pcs	MS Bolt 1/2 x 6 13		Pcs	MS Plate 8x8x1/4 13		Pcs	Spool Insulator 20		Pcs	RSB 9mm 26		Pcs	RSB 10mm 2		Pcs	Plywood 1/4 (M) 15		Pcs	Coco Lumber 2x3x12 3		Kls</t>
  </si>
  <si>
    <t xml:space="preserve"> Republic of the Philippines Province of Cotabato Municipality of Makilala OFFICE OF THE BIDS &amp; AWARDS COMMITTEE INVITATION TO BID #2020-012 The Municipality of Makilala, funded by the Municipal Government applies for the Construction of 1- Storey Evacuati</t>
  </si>
  <si>
    <t xml:space="preserve"> Republic of the Philippines Province of Iloilo  Municipality of Pototan BIDS AND AWARDS COMMITTEE INVITATION TO BID 1.	The Municipality of Pototan, through the IRA Fund‘‘ intends to apply the sum of (376,800.00) being the Approved Budget for the Contract </t>
  </si>
  <si>
    <t xml:space="preserve"> Republic of the Philippines Province of Cotabato Municipality of Makilala OFFICE OF THE BIDS &amp; AWARDS COMMITTEE INVITATION TO BID #2020-011 The Municipality of Makilala, funded by the Municipal Government applies for the Construction of Five (5) Units Mul</t>
  </si>
  <si>
    <t xml:space="preserve"> INVITATION TO BID  CONCRETING OF KILABAN BARANGAY ROAD, AYUNGON, NEGROS ORIENTAL BID IDENTIFICATION NUMBER 2020-06-22 1.	The Municipality of Ayungon, through the 20% LDF 2020 Supplemental Budget intends to apply the sum of Two Million Pesos (Php 2,000,000</t>
  </si>
  <si>
    <t xml:space="preserve"> INVITATION TO BID  CONCRETING OF JANDALAMANON BARANGAY ROAD, AYUNGON, NEGROS ORIENTAL BID IDENTIFICATION NUMBER 2020-06-20 1.	The Municipality of Ayungon, through the 20% LDF 2020 Supplemental Budget intends to apply the sum of Two Million Pesos (Php 2,00</t>
  </si>
  <si>
    <t xml:space="preserve"> 220		Pcs	60x60 Floor Tiles 19		Pcs	Tile Adhesive 5		Pcs	Tile Grout	 25		Pcs	Marine Plywood 1/4 105		Pcs	Good Lumber 2x2x12 5		Kls	CWN 2"	 10		Kls	CWN 3"	 2		Kls	CWN 1½"	 3		Kls	Concrete Nail 37		Pcs	Coco Lumber 2x3x12 120		bags	Cement	 8		cu m	Sand	 92		P</t>
  </si>
  <si>
    <t xml:space="preserve"> INVITATION TO BID 1.	The Tondo Medical Center (TMC), through the General Appropriations Act/HFEP intends to apply the sum of Nine Million Four Hundred Sixty Thousand Philippine Pesos (PhP 9,460,000.00) being the Approved Budget for the Contract (ABC) to p</t>
  </si>
  <si>
    <t xml:space="preserve"> INVITATION TO BID  ROAD CONCRETING OF MUNICIPAL CEMETERY ACCESS ROAD AT AYUNGON, NEGROS ORIENTAL BID IDENTIFICATION NUMBER 2020-06-25 1.	The Municipality of Ayungon, through the 20% LDF 2020 Supplemental Budget intends to apply the sum of Two Million Peso</t>
  </si>
  <si>
    <t xml:space="preserve"> INVITATION TO BID 1.	The Tondo Medical Center (TMC), through the General Appropriations Act/HFEP intends to apply the sum of Eight Million Fifty Thousand Philippine Pesos (PhP 8,050,000.00) being the Approved Budget for the Contract (ABC) to payments unde</t>
  </si>
  <si>
    <t xml:space="preserve"> INVITATION TO BID FOR THE  LAYOUT AND PRINTING OF VARIOUS MANUALS IB NO. 2020-183 1.	The Department of Health (DOH), through the General Appropriations Act of 2020 intends to apply the sum of Three Million Nine Hundred Thirty Nine Thousand Five Hundred Ph</t>
  </si>
  <si>
    <t xml:space="preserve"> INVITATION TO BID ITB  No. 073-Brgy - 2020 The City Government of Surigao, through its Bids and Awards Committee (BAC), invites suppliers to bid for the following: Name of Contract	:  Purchase &amp; Delivery of Const. Materials &amp; Supplies for the  			   proje</t>
  </si>
  <si>
    <t xml:space="preserve"> INVITATION TO BID ITB  No. 072-Brgy - 2020 The City Government of Surigao, through its Bids and Awards Committee (BAC), invites suppliers to bid for the following: Name of Contract	:  Purchase &amp; Delivery of Const. Materials &amp; Supplies for the  			   proje</t>
  </si>
  <si>
    <t xml:space="preserve"> 4 pcs. Gold Ring 18K</t>
  </si>
  <si>
    <t xml:space="preserve"> 1. The National Irrigation Administration (NIA), Regional Irrigation Office No.7, through the Lined Project 2020 intends to apply the sum of Eleven Million Three Hundred Sixty Five Thousand Seventy Eight Pesos and 85/100 (P 11,365,078.85) being the Approv</t>
  </si>
  <si>
    <t xml:space="preserve"> Installation of Decorative Cement Tiles</t>
  </si>
  <si>
    <t xml:space="preserve"> Republic of the Philippines Province of Cotabato Municipality of Makilala OFFICE OF THE BIDS &amp; AWARDS COMMITTEE INVITATION TO BID #2020-009 The Municipality of Makilala, funded by the DILG-AM applies for the Local Road Upgrading (Improvement of Bato Road)</t>
  </si>
  <si>
    <t xml:space="preserve"> INVITATION TO BID  CONCRETING OF SITIO KANLUKDUHAN, BARANGAY GOMENTOC, BARANGAY ROAD, AYUNGON, NEGROS ORIENTAL BID IDENTIFICATION NUMBER 2020-06-23 1.	The Municipality of Ayungon, through the 20% LDF 2020 Supplemental Budget intends to apply the sum of Tw</t>
  </si>
  <si>
    <t xml:space="preserve"> 1. The MLGU-Pasil, now invites bids for the INSTALLATION OF WINDOW BLINDS AT MP Bldg (Mayor's Office, Vice Mayor's Office &amp; SB Office). The project is located at Amdala, Guinaang, Pasil, Province of Kalinga. The following are the Item of Works;					 					</t>
  </si>
  <si>
    <t xml:space="preserve"> INVITATION TO BID  CONCRETING OF TAMBO BARANGAY ROAD, AYUNGON, NEGROS ORIENTAL BID IDENTIFICATION NUMBER 2020-06-24 1.	The Municipality of Ayungon, through the 20% LDF 2020 Supplemental Budget intends to apply the sum of Two Million Pesos (Php 2,000,000.0</t>
  </si>
  <si>
    <t xml:space="preserve"> INVITATION TO BID GS 2020-006-019              PROCUREMENT  OF VARIOUS   FERTILIZERS 1.	The City Government of Sorsogon, through the Tanging Program under the 10 Pts. Agenda Other Purpose Funds CY 2020  intends to apply the sum of Two Million Five  Hundre</t>
  </si>
  <si>
    <t xml:space="preserve"> Republic of the Philippines Province of Cotabato Municipality of Makilala OFFICE OF THE BIDS &amp; AWARDS COMMITTEE INVITATION TO BID #2020-014 The Municipality of Makilala, funded by the Municipal Government applies for the Construction of Temporary Office, </t>
  </si>
  <si>
    <t xml:space="preserve"> INVITATION TO BID  IMPROVEMENT/REBLOCKING/SHOULDER/CANAL OF MUNICIPAL STREET- KAPITANA TIRAY STREET, DEGUIT STREET, TABURAZA STREET, ENARDECIDO STREET AND VILLANUEVA STREET, BRGY. POBLACION, AYUNGON, NEGROS ORIENTAL BID IDENTIFICATION NUMBER 2020-06-27 1.</t>
  </si>
  <si>
    <t xml:space="preserve"> INVITATION TO BID  CONCRETING OF LAMIGAN (ABURAO SECTION) BARANGAY ROAD AT AYUNGON, NEGROS ORIENTAL BID IDENTIFICATION NUMBER 2020-06-26 1.	The Municipality of Ayungon, through the 20% LDF 2020 Supplemental Budget intends to apply the sum of Seven Hundred</t>
  </si>
  <si>
    <t xml:space="preserve"> INVITATION TO BID ITB  No. 071-Brgy - 2020 The City Government of Surigao, through its Bids and Awards Committee (BAC), invites suppliers to bid for the following: Name of Contract	:  Purchase &amp; Delivery of Const. Materials &amp; Supplies for the  			   proje</t>
  </si>
  <si>
    <t xml:space="preserve"> 1. The National Irrigation Administration (NIA), Regional Irrigation Office No.7, through the Lined Project 2020 intends to apply the sum of Thirteen Million Two Hundred Sixty Four Thousand Seven Hundred Thirty Pesos and 68/100 (P 13,264,730.68) being the</t>
  </si>
  <si>
    <t xml:space="preserve"> PR # 086-020 INVITATION TO BID (GOODS) The Municipality of Sibonga, through the General Fund intends to apply the sum of Five hundred ninety-nine thousand four hundred fifty pesos only (599,450.00) being the Approved Budget for the Contract (ABC) to payme</t>
  </si>
  <si>
    <t xml:space="preserve"> 2 Motor Chariots with cover</t>
  </si>
  <si>
    <t xml:space="preserve"> X X X X X X X X X X STRAIGHT CONTRACT FOR THE COMPLETION OF TB DOTS X X X X X X X X X X X X X I. TILE WORKS II. ELECTRICAL WORKS III. CEILING WORKS IV. DOORS AND WINDOWS V. PLUMBING AND PIPES FITTINGS VI. PAINTING WORKS VII. PERIMETER PATHWALK VIII. X-RAY</t>
  </si>
  <si>
    <t xml:space="preserve"> 1000 copies NEWSLETTER PRINTING (Tanyag Vol. 2) (newsletter type: size 9x12 paper C25, colored print)  Glossy; full color in all pages; 14 pages</t>
  </si>
  <si>
    <t xml:space="preserve"> Republic of the Philippines										 Province of Bohol										 Municipality of Buenavista										 										 Barangay Anonang										 INVITATION TO APPLY FOR ELIGIBILITY AND TO BID										 										 The Barangay Local Government Unit of  CATIGBI</t>
  </si>
  <si>
    <t xml:space="preserve"> SEE ATTACHED AT THE BACK OF INVITATION TO BID</t>
  </si>
  <si>
    <t xml:space="preserve"> PR # 214-020 INVITATION TO BID (GOODS) The Municipality of Sibonga, through the Trust Fund intends to apply the sum of Five hundred eleven thousand seven hundred fifty-seven &amp; 80/100 pesos only (511,757.80) being the Approved Budget for the Contract (ABC)</t>
  </si>
  <si>
    <t xml:space="preserve"> Republic of the Philippines Province of Siquijor Municipality of Maria INVITATION TO BID FOR Procurement of Dog Trap in Support to Dog Termination Program – Maria, Siquijor / MAR-00033G-2020 1.	The LGU – Municipality of Maria, through the Capital Outlay i</t>
  </si>
  <si>
    <t xml:space="preserve"> 152 bags Portland Cement 62 cu.m Boulders 24 cu.m Fine Sand 24 cu.m Gravel</t>
  </si>
  <si>
    <t xml:space="preserve"> 200 pax MEALS &amp; SNACKS (Meals: lechon baboy, chicken bbq, saefoods, vegetables, rice, fruits and drinks; Snacks: kakanin, burger and drink/water</t>
  </si>
  <si>
    <t xml:space="preserve"> Please see attached Request For Quotation (RFQ) form/or Terms Of Reference (TOR) for complete specifications.</t>
  </si>
  <si>
    <t xml:space="preserve"> PURCHASE OFFICE AND SCHOOL SUPPLIES</t>
  </si>
  <si>
    <t xml:space="preserve"> Republic of the Philippines Province of Cavite City of General Trias BARANGAY MANGGAHAN Invitation to Bid for  Project Reference No. B-19-20-001– CONSTRUCTION OF ROAD AT VILLA RAY ROAD, BARANGAY MANGGAHAN, CITY OF GENERAL TRIAS, CAVITE 1.	The City Governm</t>
  </si>
  <si>
    <t xml:space="preserve"> Construction of Multi-Purpose Building</t>
  </si>
  <si>
    <t xml:space="preserve"> PR # 085 -020 INVITATION TO BID (INFRA) The Municipality of Sibonga through the Trust Fund intends to apply the sum of Two hundred ninety-six thousand eight hundred sixty-four &amp; 68/100 pesos only (296,864.68) being the Approved Budget for the Contract (AB</t>
  </si>
  <si>
    <t xml:space="preserve"> Construction/Installation of Street Lights</t>
  </si>
  <si>
    <t xml:space="preserve"> PR # 178 -020 INVITATION TO BID (INFRA) The Municipality of Sibonga through the General Fund intends to apply the sum of Eight hundred forty-three thousand ninety-nine &amp; 4/100 pesos only (843,099.04) being the Approved Budget for the Contract (ABC) to pay</t>
  </si>
  <si>
    <t xml:space="preserve"> Republic of the Philippines CITY OF BAIS BIDS AND AWARDS COMMITTEE INVITATION TO APPLY FOR ELIGIBILITY AND TO BID 	The City Government of Bais invites interested bidders to apply for eligibility and to bid to be used for monitoring, inspection and supervi</t>
  </si>
  <si>
    <t xml:space="preserve"> Republic of the Philippines Department of Education Region V SCHOOLS DIVISION OFFICE OF CAMARINES SUR 	 INVITATION TO BID Project No.: 2020-06-01 The Department of Education (DepED) Schools Division Office of Camarines Sur, through the CY 2020 QUICK RESPO</t>
  </si>
  <si>
    <t xml:space="preserve"> The Local Government Unit-Municipality of Malinao, Aklan through the 20% Development Fund, intends to apply the sum of Seven Hundred Fifty Four Thousand Two Hundred Sixteen Pesos and 00/100 (Php754,216.00) as the Approved Budget for the Contract (ABC) to </t>
  </si>
  <si>
    <t xml:space="preserve"> 2,545.45 liters DIESEL 151.51  liters GASOLINE</t>
  </si>
  <si>
    <t xml:space="preserve"> The Local Government Unit-Municipality of Malinao, Aklan through the 20% Development Fund, intends to apply the sum of One Hundred Nineteen Thousand Four Hundred Forty Eight Pesos and 50/100 (Php119,448.50) as the Approved Budget for the Contract (ABC) to</t>
  </si>
  <si>
    <t xml:space="preserve"> Republic of the Philippines CITY OF BAIS BIDS AND AWARDS COMMITTEE INVITATION TO APPLY FOR ELIGIBILITY AND TO BID 	The City Government of Bais invites interested bidders to apply for eligibility and to bid for use in the operation &amp; maintenance of various</t>
  </si>
  <si>
    <t xml:space="preserve"> INVITATION TO BID FOR Procurement of Machineries, Equipment, Furniture’s and Fixtures for the University use at ESSU Main Campus  1.	The EASTERN SAMAR STATE UNIVERSITY, through the FY 2020 GAA, R.A No. 11465 intends to apply the sum of Nine Million Five H</t>
  </si>
  <si>
    <t xml:space="preserve"> REQUEST FOR QUOTATION										 										 RFQ No.		  NP/PB 20-0658		Date				  June 8, 2020		 PR Reference		  300-19-05-016		Implementing Office				  CDRRMO		 Pre-Bid Conference and Time				  June 16, 2020 (10:00 A. M.)						 Closing Date and Time				  Ju</t>
  </si>
  <si>
    <t xml:space="preserve"> The LOCAL GOVERNMENT UNIT OF MAGDALENA, through the 2019 LGSF-AM Program thru Notice of ADA (NADAI) No. 02-101254-09-2019 &amp; counterpart of the Municipality of Magdalena as per OBR No. 100-2003-164 to apply the sum of Six Million Seven Hundred Twenty Seven</t>
  </si>
  <si>
    <t xml:space="preserve"> 1	DDC Battery Replacement for infilex GC/GD/AZ/CM 		22	set 	model no. 83170639-001			 	Industrial Ethernet replacement for CMS Console A and B, GS line (fiber optic converter)		3	set 	DDC Replacement for CP-CTO-1-1, CP-PTB-2-2 and CP-ADM_1-1		3	set 	Infle</t>
  </si>
  <si>
    <t xml:space="preserve"> SUPPLIES FOR TEACHERS 6 4 2020</t>
  </si>
  <si>
    <t xml:space="preserve"> Republic of the Philippines CITY OF BAIS BIDS AND AWARDS COMMITTEE INVITATION TO APPLY FOR ELIGIBILITY AND TO BID 	The City Government of Bais invites interested bidders to apply for eligibility and to bid for pre-disaster programs and activities and rapi</t>
  </si>
  <si>
    <t xml:space="preserve"> Republic of the Philippines CITY OF BAIS BIDS AND AWARDS COMMITTEE INVITATION TO APPLY FOR ELIGIBILITY AND TO BID 	The City Government of Bais invites interested bidders to apply for eligibility and to bid for implementation of various Farm to Market Road</t>
  </si>
  <si>
    <t xml:space="preserve"> PHILIPPINE BIDDING DOCUMENTS (As Harmonized with Development Partners) Procurement for  CONSTRUCTION OF SANITARY LANDFILL FACILITY, CELL 2 BRGY. KALYAAT LUCBAN, QUEZON BIDDING Government of the Republic of the Philippines Fourth Edition   Preface These Ph</t>
  </si>
  <si>
    <t xml:space="preserve"> The Local Government Unit-Municipality of Malinao, Aklan through the 20% Development Fund, intends to apply the sum of Two Hundred Ninety Eight Thousand Six Hundred Ninety Pesos and 00/100 (Php298,690.00) as the Approved Budget for the Contract (ABC) to p</t>
  </si>
  <si>
    <t xml:space="preserve"> Republic of the Philippines CITY OF BAIS BIDS AND AWARDS COMMITTEE INVITATION TO APPLY FOR ELIGIBILITY AND TO BID 	The City Government of Bais invites interested bidders to apply for eligibility and to bid for use in the replacement of worn-out tires of F</t>
  </si>
  <si>
    <t xml:space="preserve"> Republic of the Philippines							 PROVINCE OF ZAMBOANGA SIBUGAY							 Municipality of Talusan							 -7012-							 							 							 MUNICIPAL BIDS AND AWARDS  COMMITTEE							 REQUEST FOR QUOTATION							 SMALL VALUE PROCUREMENT							 NOTICE TO THE PUBL</t>
  </si>
  <si>
    <t xml:space="preserve"> 37	 PCS 	LED BULB 15W 4	 PCS 	RENEWABLE FUSE 600A 20	 PCS 	JUNCTION BOX 2	 PCS 	FLOOD LIGHT 50W 80	 PCS 	ELECTRICAL MOULDING 15mmX10mmX2.44meters 70	 PCS 	BLANK PLATE 10	 SACHET 	NO MORE NAILS 30	 PCS 	ORANGE PIPE 1/2 25	 PCS 	SWITCH BOX 3	 PCS 	RUBBER TA</t>
  </si>
  <si>
    <t xml:space="preserve"> EPSON PRINTER AND INK</t>
  </si>
  <si>
    <t xml:space="preserve"> INVITATION TO BID The Municipal Government of Gumaca, through its Bids and Awards Committee (BAC), invites suppliers/ manufacturers/ distributors/ contractors, to bid for the hereunder contract: Name of Contract		:	PURCHASE OF EMERGENCY RESPONSE VEHICLE L</t>
  </si>
  <si>
    <t xml:space="preserve"> REQUEST FOR QUOTATION											 											 RFQ No.		NP-PB 20-0659				Date				5-Jun-20	 PR Reference		100-19-10-029				Implementing Office				DA	 Pre-bid Date and Time						6/16/2020@10:AM					 Closing Date and Time						6/30/2020@10:AM					 Designated P</t>
  </si>
  <si>
    <t xml:space="preserve"> Straight Contract for Improvement of Multi-purpose Hall (Stage) See attached link/Url under OTHER INFORMATION BOX</t>
  </si>
  <si>
    <t xml:space="preserve"> Straight Contract for Concrete Pavement  See attached link/Url under OTHER INFORMATION BOX</t>
  </si>
  <si>
    <t xml:space="preserve"> Straight Contract for Water Project See attached link/Url under OTHER INFORMATION BOX</t>
  </si>
  <si>
    <t xml:space="preserve"> Straight Contract for Installation of Street Lights See attached link/Url under OTHER INFORMATION BOX</t>
  </si>
  <si>
    <t xml:space="preserve"> Straight Contract for Construction of Footwalk See attached link/Url under OTHER INFORMATION BOX</t>
  </si>
  <si>
    <t xml:space="preserve"> INVITATION TO BID The City Government of Pasay, through its Bids and Awards Committee (BAC) invites suppliers/manufacturers/distributors/contractors to apply and submit sealed bids for the supply and delivery of the following: Proposed Construction of Fou</t>
  </si>
  <si>
    <t xml:space="preserve"> Straight Contract for Improvement of Plaza See attached link/Url under OTHER INFORMATION BOX</t>
  </si>
  <si>
    <t xml:space="preserve"> BROTHER PRINTER &amp; INK</t>
  </si>
  <si>
    <t xml:space="preserve"> INVITATION TO BID      20-074 Name of Project	:	Termite/Pest Control Services for the Facilities of LPH-Luisiana District Hospital, LPH-Bay District Hospital, LPH-Nagcarlan District Hospital, LPH-San Pablo City District Hospital, LPH-Dr. J.P. Rizal Memori</t>
  </si>
  <si>
    <t xml:space="preserve"> Review Plan and Prepare the Following: Identifying the issues, potentials and furture development needs and spatial requirement of the city. Assess the Situation using both technical and participatory methods *Accomplishment of current CLUP Based on Key r</t>
  </si>
  <si>
    <t xml:space="preserve"> Straight Contract for Installation of Street Lights  See attached link/Url under OTHER INFORMATION BOX</t>
  </si>
  <si>
    <t xml:space="preserve"> 2 unit Aircon 3TR Standard Floor Mounted 1 unit Aircon 2.0 HP Inverter Wall Mounted 1 unit Aircon 2.0 HP Standard Wall Mounted</t>
  </si>
  <si>
    <t xml:space="preserve"> Republic of the Philippines  Province of Bukidnon  MUNICIPALITY OF KALILANGAN    Bids and Award Committee (BAC)  INVITATION TO BID FOR  Goods 2020-06-011 The Local Government Unit – Kalilangan, Bukidnon through the BIDS AND AWARDS COMMITTEE (BAC) now invi</t>
  </si>
  <si>
    <t xml:space="preserve"> Straight Contract for Installation of Street Lights (Phase 1) See attached link under OTHER INFORMATION BOX</t>
  </si>
  <si>
    <t xml:space="preserve"> Various Furniture's &amp; Information Technology Equipment  See attached link under OTHER INFORMATION BOX</t>
  </si>
  <si>
    <t xml:space="preserve"> Various Information Technology Equipment See attached link under OTHER INFORMATION BOX</t>
  </si>
  <si>
    <t xml:space="preserve"> SUPPLY OF LABOR, TOOLS, APPARATUS/EQUIPMENT AND LABORATORY EQUIPMENT FOR THE SOIL BORING/SOIL EXPLORATION/ANALYSIS OF THE SITE</t>
  </si>
  <si>
    <t xml:space="preserve"> 50.00 box Amoxicillin 500mg capsule		 50.00 box Amoxicillin 250mg capsule		 5.00 box Aluminum Magnesium Tablet		 25.00 box Ambroxol 30g		 50.00 bot. Amoxicillin 125mg suspension		 50.00 bot Amoxicillin 250mg capsule		 25.00 bot. Amoxicillin Drops 100mg		 </t>
  </si>
  <si>
    <t xml:space="preserve"> INVITATION TO BID     20-077 Name of Project	:	Laboratory Supplies for LPH-Majayjay District Hospital No Balance Billing (NBB) Location	:	Majayjay, Laguna  Brief Description	:	Various Laboratory Supplies  Approved Budget For the Contract	:	999,976.00 Deli</t>
  </si>
  <si>
    <t xml:space="preserve"> Straight Contract for Improvement of Covered Court See attached link/Url under OTHER INFORMATION BOX</t>
  </si>
  <si>
    <t xml:space="preserve"> TO PROCURE SUPPLIES &amp; MATERIALS TO MAINTAIN CLEANLINESS IN THE AREA OF RESPONSIBILITY</t>
  </si>
  <si>
    <t xml:space="preserve"> 286 PCS OF 15 WTTS BULB 1 ROLL OF #6 SERVICE DROP WIRE 10 PCS OF ELECTRICAL TAPE(SMALL) 2 ROLL OF #12 BARRED WIRE 25KG/ROLL(110/ROLL) 6 PC OF BAMBOO POLES 1 ROLL OF NYLON ROPE#30 2 PCS OF SHOVEL 210 PCS OF 2"X2"X12' COCO LUMBER 6 KGS OF ASSORTED SIZES CWN</t>
  </si>
  <si>
    <t xml:space="preserve"> INVITATION TO BID      20-076 Name of Project	:	Organic Fertilizer and Assorted Vegetable Seeds for Distribution to Households in the Province of Laguna as Food Security Measure for COVID-19 Pandemic  Location	:	Sta. Cruz, Laguna  Brief Description	:	Orga</t>
  </si>
  <si>
    <t xml:space="preserve"> INVITATION TO BID     20-075 Name of Project	:	Medicines for LPH-San Pablo City District Hospital Location	:	San Pablo City  Brief Description	:	Various Medicines  Approved Budget For the Contract	:	1,517,485.10 Delivery Period 	:	10 Calendar Days The Pro</t>
  </si>
  <si>
    <t xml:space="preserve"> Various Agricultural &amp; Marine Supplies See attached link under OTHER INFORMATION BOX</t>
  </si>
  <si>
    <t xml:space="preserve"> INVITATION TO BID    	NO	PROJECT DESCRIPTION / LOCATION	BRIEF DESCRIPTION	APPROVED BUDGET FOR THE CONTRACT	CONTRACT DURATION (CALENDAR  DAYS) PGL INFRA 20-056	01	Rehabilitation/Improvement of 32 Classroom School Building Rear Exterior, PGMNHS, Sta. Cruz, </t>
  </si>
  <si>
    <t xml:space="preserve"> 1.	The Department of Public Works and Highways Regional Office XI, Davao City, through its Bids and Awards Committee (BAC), invites bidders to submit bids for the Infra project funded under FY 2020 RA 11465 Regular 2020 CURRENT, to wit: Contract ID 	:	20L</t>
  </si>
  <si>
    <t xml:space="preserve"> PB NO. 2020-032		 			 1.	1	lot	Proposed Construction of Fence at Animal Pound Office, Brgy. San Gregorio, San Pablo City. 			By: Contract 			 	Deadline for Submission of Bids: June 29, 2020 1:00 pm</t>
  </si>
  <si>
    <t xml:space="preserve"> Invitation to Bid 2020-004 SUPPLY AND DELIVERY OF ONE HUNDRED FIFTY (150) UNITS SMART TELEVISION The Government of the Philippines, through the Department of Education, Division of Surigao del Sur, intends to apply the sum of Two Million Two Hundred Forty</t>
  </si>
  <si>
    <t xml:space="preserve"> Invitation to Bid 2020-005 The Government of the Philippines, through the Department of Education, Division of Surigao del Sur, intends to apply the sum of Two Million One Hundred Sixty Four Thousand (Php 2,164,000.00) being the Approved Budget for the Co</t>
  </si>
  <si>
    <t xml:space="preserve"> PLEASE SEE ATTACHED ASSOCIATED COMPONENTS &amp; DOWNLOAD THE BIDDING DOCUMENTS THROUGH THE LINK BELOW</t>
  </si>
  <si>
    <t xml:space="preserve"> Removal of Existing Structures  Structure Excavation  Embankment (from Borrow) Structural Concrete  Reinforcing Steel Formworks and Falseworks Carpentry and Joinery Works Doors and Windows (w/Grills) Prepainted Metal Sheets Tileworks Cement Plaster Finish</t>
  </si>
  <si>
    <t xml:space="preserve"> Republic of the Philippines						 Province of Misamis Oriental						 MUNICIPALITY OF VILLANUEVA						 REQUEST FOR QUOTATION						 Quotation No. 2020- ____________						 ________________________						                                                        </t>
  </si>
  <si>
    <t xml:space="preserve"> BRGY ANNUAL BUDGET Opening of bids    June 16, 2020 at 2:00PM</t>
  </si>
  <si>
    <t xml:space="preserve"> PB NO. 2020-031		 			 1.	1	lot	Proposed Construction of City Veterinary Office at Brgy. San Gregorio, San Pablo City. 			By: Contract 			 	Deadline for Submission of Bids: June 29, 2020 10:00 am</t>
  </si>
  <si>
    <t xml:space="preserve"> CONTRACT ID:	19GL00107; P.R. No. 2020-03-039 DATED 03/17/2020 CONTRACT LOCATION: EQUIPMENT MANAGEMENT DIVISION, DPWH R.O XI, PANACAN, DAVAO CITY CONTRACT DESCRIPTION: PROCUREMENT OF VARIOUS PARTS, FOR USE IN THE CORRECTIVE PREVENTIVE  MAINTENANCE OF VARIO</t>
  </si>
  <si>
    <t xml:space="preserve"> REQUEST FOR QUOTATION											 											 RFQ No.		SVP 20-0661				Date				5-Jun-20	 PR Reference		100-20-05-017				Implementing Office				CSWDO	 Closing Date and Time											 Designated Places of Submission (Bid Box Designated Locations)					1. BAC </t>
  </si>
  <si>
    <t xml:space="preserve"> CONTRACT ID:	19GL00108; P.R. No. 2020-03-035 DATED 03/06/2020; P.R. No. 2020-03-036 DATED 03/06/2020; P.R. No. 2020-05-047 DATED 05/05/2020; P.R. No. 2020-05-048 DATED 05/05/2020; P.R. No. 2020-05-049 DATED 05/05/2020; P.R. No. 2020-05-050 DATED 05/05/202</t>
  </si>
  <si>
    <t xml:space="preserve"> REQUEST FOR QUOTATION														 														 RFQ No.		NP-PB 20-0649				Date				June 01, 2020				 PR Reference		100-20-02-017				Implementing Office				CHO				 Closing Date and Time					June 07, 2020		,5PM							 Designated Places of Submission (Bid </t>
  </si>
  <si>
    <t xml:space="preserve"> Negotiated Procurement No. 2020-14 (GAS) NOTICE FOR NEGOTIATED PROCUREMENT The Department of Agriculture, Western Visayas, Iloilo City invites all suppliers/distributors to participate in the NEGOTIATION for the Procurement of Supply &amp; Delivery of Various</t>
  </si>
  <si>
    <t xml:space="preserve"> PLEASE SEE ATTACHED ASSOCIATED COMPONENTS AND DOWNLOAD THE BIDDING DOCUMENTS THROUGH THE LINK BELOW</t>
  </si>
  <si>
    <t xml:space="preserve"> 100 BAGS  HYDRIDE LIME  2HAS 4 BAGS 14-14-14/ HAS    4 BAGS 46-0-0 80 BAGS FISH FEEDS STARTER 150 BAGS FISH FEED GROWER 100 BAGS FISH FEED FINISHER</t>
  </si>
  <si>
    <t xml:space="preserve"> Please see attached associated components and download the bidding documents through the link below</t>
  </si>
  <si>
    <t xml:space="preserve"> CONTRACT ID: 19GL00109; P.R. No. 2020-05-052 DATED 05/05/2020 CONTRACT LOCATION: EQUIPMENT MANAGEMENT DIVISION, DPWH R.O XI, PANACAN, DAVAO CITY CONTRACT DESCRIPTION: PROCUREMENT OF ONE (1) JOB ORDER: LABOR &amp; MATERIALS, FOR THE GENERAL REPAIR OF CONTROL P</t>
  </si>
  <si>
    <t xml:space="preserve"> Section I. Invitation to Bid Republic of the Philippines PROVINCE OF ZAMBOANGA SIBUGAY Capitol Building, Ipil Heights, Ipil, Zamboanga Sibugay INVITATION TO BID FOR  1 Unit Newborn Hearing Screening Machine 1.	The Province of Zamboanga Sibugay, through th</t>
  </si>
  <si>
    <t xml:space="preserve"> Section I. Invitation to Bid Republic of the Philippines PROVINCE OF ZAMBOANGA SIBUGAY Capitol Building, Ipil Heights, Ipil, Zamboanga Sibugay INVITATION TO BID (REBID) FOR  Diesel, gas, and lubricants 1.	The Province of Zamboanga Sibugay, through the Gen</t>
  </si>
  <si>
    <t xml:space="preserve"> 1.	The Western Visayas Medical Center, through the Regular Fund and Collection of Income, intends to apply the sum of PhP 1,500,000.00 Philippine Currency being the Approved Budget for the Contract (ABC) to payments under the contract for IB No. GS 2020-0</t>
  </si>
  <si>
    <t xml:space="preserve"> 2 units Water Tank Truck (4 cubic) A. Detailed Specification Driver Form: 4 x 2; Side of Driving: Left B.Dimension Wheelbase 3360mm Overall Dimension 6080 x 2020 x 2400 mm Cargo Body Internal 3300 x 1680 x 1080 mm Front/Near Suspension Length 1095/1625 mm</t>
  </si>
  <si>
    <t xml:space="preserve"> Purchase of Rapid Diagnostic Test Kit</t>
  </si>
  <si>
    <t xml:space="preserve"> Republic of the Philippines							 PROVINCE OF ZAMBOANGA SIBUGAY							 Municipality of Talusan							 -7012-							 OFFICE OF THE BAC CHAIRMAN							 							 INVITATION TO BID							 							 NOTICE TO THE PUBLIC:							 							 	Notice is hereby served t</t>
  </si>
  <si>
    <t xml:space="preserve"> 50 BAGS HYDRIDE LIME  2 BAGS 14-14-14 2 BAGS 46-0-0 40 BAGS FISH FEED STARTER 75 BAGS FISH FEED GROWER 50 BAGS FISHFEED FINISHER</t>
  </si>
  <si>
    <t xml:space="preserve"> Republic of the Philippines Province of Bukidnon Barangay San Vicente Ferrer MUNICIPALITY OF KALILANGAN Bids and Awards Committee (BAC) INVITATION TO BID FOR SVF Goods 2020-01-005 	 The Barangay Government Unit –Barangay SVF, Kalilangan, Bukidnon through </t>
  </si>
  <si>
    <t xml:space="preserve"> INVITATION TO BID FOR THE PROCUREMENT OF SUPPLY &amp; DELIVERY OF BANANA PLANTLET      1.	The Department of Agriculture Regional Field Office 6 through the General Appropriations Act (GAA) of 2020 intends to apply the sum of One Million Eight Hundred Twenty E</t>
  </si>
  <si>
    <t xml:space="preserve"> Prospective bidders should have experience in undertaking a similar project within the last two (2) years within an amount of at least 50% of the proposed project for bidding. The Eligibility Check/Screening as well as the Preliminary Examination of Bids </t>
  </si>
  <si>
    <t xml:space="preserve"> Republic of the Philippines Department of Health	 CENTRAL OFFICE BIDS AND AWARDS COMMITTEE  INVITATION TO BID FOR THE SUPPLY, DELIVERY, TESTING AND COMMISSIONING OF BRAND NEW MOBILE DENTAL VEHICLE IB NO. 2020-144 1.	The Department of Health (DOH), through</t>
  </si>
  <si>
    <t xml:space="preserve"> Section I. Invitation to Bid Republic of the Philippines PROVINCE OF ZAMBOANGA SIBUGAY Capitol Building, Ipil Heights, Ipil, Zamboanga Sibugay INVITATION TO BID FOR  Medical Equipment 1.	The Province of Zamboanga Sibugay, through the 20% DF, 2019 intends </t>
  </si>
  <si>
    <t xml:space="preserve"> A. CONSTRUCTION OF R.C. FOOTBRIDGE I. Excavation II. Reinforced Concrete III. Railings IV. Embankment and Aggregate Base Course V. P.C.C.P 504: Riprap &amp; Grouted Riprap B. Extension of River Control I. Excavation II. Rubber Concrete Foundation 504: Riprap </t>
  </si>
  <si>
    <t xml:space="preserve"> Republic of the Philippines Province of Siquijor Municipality of Maria Barangay Pisong-A INVITATION TO BID FOR Procurement of Solar Lamp in Support to Youth Development– Pisong-A, Maria, Siquijor / PIA-0003G-2020 1.	The BLGU –Pisong A,  Maria, through the</t>
  </si>
  <si>
    <t xml:space="preserve"> Section I. Invitation to Bid Republic of the Philippines PROVINCE OF ZAMBOANGA SIBUGAY Capitol Building, Ipil Heights, Ipil, Zamboanga Sibugay INVITATION TO BID FOR  2 Units Service Vehicle 1.	The Province of Zamboanga Sibugay, through the GF-SB#1, BY 202</t>
  </si>
  <si>
    <t xml:space="preserve"> The Department of Agriculture-RFO 3, invites interested suppliers to submit quotations/proposals for the hereunder requirement, to wit: ITEM NO.	QTY.	UNIT	ITEMS &amp; DESCRIPTION		UNIT PRICE	TOTAL AMOUNT	BRAND/MODEL 							 			COMPUTER SUPPLIES AND OTHER MATE</t>
  </si>
  <si>
    <t xml:space="preserve"> Republic of the Philippines Province of Oriental Mindoro MUNICIPALITY OF NAUJAN BIDS AND AWARDS COMMITTEE INVITATION TO BID SUPPLY AND DELIVERY OF ONE (1) UNIT AMBULANCE TO BE USED IN THE MUNICIPAL HEALTH OFFICE, NAUJAN, ORIENTAL MINDORO 1. 	The Municipal</t>
  </si>
  <si>
    <t xml:space="preserve"> Section I. Invitation to Bid Republic of the Philippines PROVINCE OF ZAMBOANGA SIBUGAY Capitol Building, Ipil Heights, Ipil, Zamboanga Sibugay INVITATION TO BID FOR  Provision of Security Services 1.	The Province of Zamboanga Sibugay, through the GF-BY 20</t>
  </si>
  <si>
    <t xml:space="preserve"> Republic of the Philippines Province of Davao De Oro MUNICIPALITY OF COMPOSTELA BIDS AND AWARDS COMMITTEE (BAC) Invitation to Bid for Rehabilitation of Water System of Barangay Maparat (ITB NO. 2020-06-025 - BID NO. 001) 1.	The Municipality of Compostela,</t>
  </si>
  <si>
    <t xml:space="preserve"> INVITATION TO BID FOR THE FABRICATION AND DELIVERY OF FIBERGLASS REINFORCED PLASTIC MOTORIZED FISHING BOAT 1. The Bureau of Fisheries and Aquatic Resources-Regional Fisheries Office I (BFAR RFO I), through the General Appropriation Act of 2020 (GAA 2020) </t>
  </si>
  <si>
    <t xml:space="preserve"> Concreting of Road at Sitio Obbog, Sta. Maria Norte, Binalonan, Pangasinan (49m x 6m x 0.2m)</t>
  </si>
  <si>
    <t xml:space="preserve"> 2    units      Window type aircon, 1.5 HP non-inverter</t>
  </si>
  <si>
    <t xml:space="preserve"> I N V I T A T I O N  T O  B I D The Manila International Airport Authority, through its Bids and Awards Committee (BAC), invites interested parties to apply for eligibility and to bid for the hereunder service contract: 	 Name of Contract       :  	Purcha</t>
  </si>
  <si>
    <t xml:space="preserve"> Invitation to Bid 1.	The Commission on Higher Education (CHED), through the General Appropriations Act Fiscal Year 2019 intends to apply the sum of Five Hundred Sixty Four Thousand Six Hundred Fifty Pesos (PHP 564,650.00) being the Approved Budget for the</t>
  </si>
  <si>
    <t xml:space="preserve"> Republic of the Philippines Province of Oriental Mindoro MUNICIPALITY OF NAUJAN BIDS &amp; AWARDS COMMITTEE INVITATION TO BID CONSTRUCTION OF EVACUATION CENTER AT BARANGAY SAN ANDRES, NAUJAN, ORIENTAL MINDORO 1.	The Municipal Government of Naujan – Bids and A</t>
  </si>
  <si>
    <t xml:space="preserve"> Republic of the Philippines Province of Oriental Mindoro MUNICIPALITY OF NAUJAN BIDS &amp; AWARDS COMMITTEE INVITATION TO BID CONSTRUCTION OF EVACUATION CENTER AT BARANGAY MALVAR, NAUJAN, ORIENTAL MINDORO 1.	The Municipal Government of Naujan – Bids and Award</t>
  </si>
  <si>
    <t xml:space="preserve"> For research.</t>
  </si>
  <si>
    <t xml:space="preserve"> BIDS &amp; AWARDS COMMITTEE  INVITATION TO BID  REPUBLIC OF THE PHILIPPINES  CITY OF GOVERNMENT OF NAVOTAS  BARANGAY NBBS KAUNLARAN  BIDS AND AWARDS COMMITTEE  1. The Sangguniang Barangay of NBBS-Kaunlaran, through its Bids and Awards Committee intends to app</t>
  </si>
  <si>
    <t xml:space="preserve"> Republic of the Philippines MUNICIPALITY OF ECHAGUE Province of Isabela INVITATION TO BID FOR  THE PROCUREMENT OF  TIRES 1.	The Local Government Unit , through  the  GENERAL   FUND  Of  2020   intends to apply the sum of  FOUR  MILLION NINE HUNDRED EIGHTY</t>
  </si>
  <si>
    <t xml:space="preserve"> For both campuses</t>
  </si>
  <si>
    <t xml:space="preserve"> INVITATION TO BID FOR SLOPE PROTECTION PROJECT,  BRGY. CAGBANG, MIAGAO, ILOILO 1.	The Municipality of Miagao through the Budget for the Contract Approved by the Sanggunian, Trust Fund – Provincial Aid,  Budget Year 2020 intends to apply the sum of P 3,780</t>
  </si>
  <si>
    <t xml:space="preserve"> Republic of the Philippines BIDS AND AWARDS COMMITTEE Province of Pangasinan Municipality of Infanta INVITATION TO BID FOR PURCHASE OF ONE (1) UNIT DUMP TRUCK  FOR THE MUNICIPALITY OF INFANTA, PANGASINAN 1.	The Municipality of Infanta, Pangasinan, through</t>
  </si>
  <si>
    <t xml:space="preserve"> For procurement office.</t>
  </si>
  <si>
    <t xml:space="preserve"> INVITATION TO BID  The Technical Education and Skills Development Authority (TESDA), through the General Appropriations Act (GAA) CY 2020 intends to apply the sum of Nine Million Eight Hundred Seventy-Four Thousand Two Hundred Ninety-Two Pesos (Php 9,874,</t>
  </si>
  <si>
    <t xml:space="preserve"> INVITATION TO BID FOR THE CONCRETING OF BARANGAY ROAD AND  CONSTRUCTION OF OVERFLOW, BRGY. PARO-ON,  MIAGAO, ILOILO 1.	The Municipality of Miagao through the Budget for the Contract Approved by the Sanggunian, Trust Fund – Provincial Aid,  Budget Year 202</t>
  </si>
  <si>
    <t xml:space="preserve"> STREETLIGHTS Location:Palangon, Libmanan Camarines Sur Appropriarion: PHP 390,000.00 Source of Fund: 20% EDF 2020 Description: Solar Streetlights with Post I- Excavation Works Estimated Quantity = 4.86 cu.m 4.86 cu. m Soil Excavation II - Concrete Works E</t>
  </si>
  <si>
    <t xml:space="preserve"> BIDS &amp; AWARDS COMMITTEE  INVITATION TO BID  REPUBLIC OF THE PHILIPPINES  CITY OF GOVERNMENT OF NAVOTAS  BARANGAY NBBS KAUNLARAN  BIDS AND AWARDS COMMITTEE  1. The Sangguniang Barangay of NBBS - Kaunlaran, through its Bids and Awards Committee intends to a</t>
  </si>
  <si>
    <t xml:space="preserve"> SUPPLY, DELIVERY AND INSTALLATION OF ICT EQUIPMENT FOR MONITORING OF PROJECT MITHI (20-03-142) 1.	Department of Science and Technology – MIMAROPA (DOST-MIMAROPA), through its Bids and Awards Committee (BAC) invites all prospective bidders to bid for the p</t>
  </si>
  <si>
    <t xml:space="preserve"> INVITATION TO BID FOR THE CONSTRUCTION OF RIVERBANK PROTECTION,  BRGY. FRANTILLA,  MIAGAO, ILOILO 1.	The Municipality of Miagao through the Budget for the Contract Approved by the Sanggunian, Trust Fund – Provincial Aid,  Budget Year 2020 intends to apply</t>
  </si>
  <si>
    <t xml:space="preserve"> REQUEST FOR EXPRESSION OF INTEREST (REOI) FOR GEOTECHNICAL INVESTIGATION FOR THE WIDENING OF PERMANENT BRIDGE, UYONG BRIDGE (BO0061LZ) ALONG GOV. J.J. LINAO ROAD, PILAR, BATAAN 1.	The Department of Public Works and Highways, Bataan 2nd District Engineerin</t>
  </si>
  <si>
    <t xml:space="preserve"> REQUEST FOR EXPRESSION OF INTEREST (REOI) FOR GEOTECHNICAL INVESTIGATION FOR THE WIDENING OF PERMANENT BRIDGES ALONG ROMAN EXPRESSWAY, MARIVELES SECTION, MARIVELES, BATAAN 1.	The Department of Public Works and Highways, Bataan 2nd District Engineering Off</t>
  </si>
  <si>
    <t xml:space="preserve"> REQUEST FOR EXPRESSION OF INTEREST (REOI) FOR GEOTECHNICAL INVESTIGATION FOR THE WIDENING OF PERMANENT BRIDGE, CULVO BRIDGE (BO0065LZ) ALONG GOV. J.J. LINAO ROAD, BALANGA CITY, BATAAN 1.	The Department of Public Works and Highways, Bataan 2nd District Eng</t>
  </si>
  <si>
    <t xml:space="preserve"> REQUEST FOR EXPRESSION OF INTEREST (REOI) FOR GEOTECHNICAL INVESTIGATION FOR THE WIDENING OF PERMANENT BRIDGE, BINUKAWAN BRIDGE (BO0066LZ) ALONG GOV. J.J. LINAO ROAD, BAGAC, BATAAN 1.	The Department of Public Works and Highways, Bataan 2nd District Engine</t>
  </si>
  <si>
    <t xml:space="preserve"> I.  Electrical Works Labor OCMP/CP/VAT</t>
  </si>
  <si>
    <t xml:space="preserve"> Republic of the Philippines Province of Northern Samar MUNICIPALITY OF VICTORIA -o0o- INVITATION TO BID FOR THE SUPPLY AND DELIVERY OF TWO (2) UNITS MOTORCYCLE Contract No. LGU-PI-2020-06-13PB 1.	The Local Government Unit of Victoria, Northern Samar, thro</t>
  </si>
  <si>
    <t xml:space="preserve"> Republic of the Philippines Province of Kalinga TABUK CITY OHS COMMITTEE ON BIDS AND AWARDS INVITATION TO BID FOR THE PROCUREMENT OF PHARMACY SUPPLIES 1. The PROVINCIAL GOVERNMENT OF KALINGA, through the General Fund Annual Budget 2020 Intends to apply th</t>
  </si>
  <si>
    <t xml:space="preserve"> Republic of the Philippines Province of Quezon CITY GOVERNMENT OF TAYABAS INVITATION TO RE-BID FOR PROJECT # 19 – 171–PROCUREMENT OF Acquisition of Road Right-of-Way (RROW) for East Road/West Road/ Government Center (PARCELLARY SURVEY FOR EAST ROAD) –Offi</t>
  </si>
  <si>
    <t xml:space="preserve"> For Bayombong Campus</t>
  </si>
  <si>
    <t xml:space="preserve"> For the University</t>
  </si>
  <si>
    <t xml:space="preserve"> Delivery and supply of Construction Materials for the project of Additional Improvement of Covered Court of Barangay Puntod, Cagayan de Oro City</t>
  </si>
  <si>
    <t xml:space="preserve"> INVITATION TO BID PROCUREMENT OF VARIOUS COVID-19 MEDICAL EQUIPMENT CY 2020 PUBLIC BIDDING NO. VMC-2020-028 1.	The Valenzuela Medical Center (VMC), through the General Appropriations Act CY 2020, intends to apply the sum of Philippine Currency: FOURTEEN M</t>
  </si>
  <si>
    <t xml:space="preserve"> INVITATION TO BID The University of the Philippines Manila – School of Health Sciences through its Bids and Awards Committee, invites contractors/contractual services agencies duly registered and licensed to operate business under the laws of the Philippi</t>
  </si>
  <si>
    <t xml:space="preserve"> INVITATION TO BID FOR PROCUREMENT OF SECURITY SERVICES      1. The Department of Agriculture Regional Field Office IX, through the GAA 2020 intends to apply the sum of  FIVE MILLION FOUR HUNDRED SIXTY  THREE  THOUSAND SEVEN HUNDRED FORTY ONE PESOS AND  NI</t>
  </si>
  <si>
    <t xml:space="preserve"> Republic of the Philippines PROVINCE OF ZAMBOANGA DEL NORTE Municipality of Sibutad BARANGAY LIBAY BIDS AND AWARD COMMITTEE _________________ ______________________      Name of Supplier _______________________ Address Invitation to Bid 	The Local Governm</t>
  </si>
  <si>
    <t xml:space="preserve"> Republic of the Philippines Province of Kalinga TABUK CITY OHS COMMITTEE ON BIDS AND AWARDS INVITATION TO BID FOR THE PROCUREMENT OF DRUGS AND MEDICINES 1. The PROVINCIAL GOVERNMENT OF KALINGA, through the General Fund Annual Budget 2020 Intends to apply </t>
  </si>
  <si>
    <t xml:space="preserve"> Removal/Transfer of Cyclone Fence, Preparation of existing CHB fence for plastering and Chipping /Excavation works, concrete works (column, foundation &amp; horizontal stiffener) and painting works</t>
  </si>
  <si>
    <t xml:space="preserve"> Republic of the Philippines Province of Kalinga TABUK CITY OHS COMMITTEE ON BIDS AND AWARDS INVITATION TO BID FOR THE PROCUREMENT OF O.B. KITS 1. The PROVINCIAL GOVERNMENT OF KALINGA, through the General Fund Annual Budget 2020 Intends to apply the sum of</t>
  </si>
  <si>
    <t xml:space="preserve"> Republic of the Philippines Province of Northern Samar MUNICIPALITY OF VICTORIA -o0o- INVITATION TO BID FOR THE SUPPLY AND DELIVERY OF OFFICE FURNITURE AND FIXTURES Contract No. LGU-PI-2020-06-14PB 1.	The Local Government Unit of Victoria, Northern Samar,</t>
  </si>
  <si>
    <t xml:space="preserve"> -</t>
  </si>
  <si>
    <t xml:space="preserve"> Republic of the Philippines  Barangay 590, Zone 58, District VI, Manila Bids and Awards Committee INVITATION TO BID Barangay 590, Zone 58, District VI, Manila through its Bids and Awards Committee (BAC), Invites all Suppliers Contractors to bid the here u</t>
  </si>
  <si>
    <t xml:space="preserve"> Republic of the Philippines Municipality of Infanta Barangay Potol BIDS AND AWARDS COMMITTEE Infanta, Pangasinan INVITATION TO BID FOR PURCHASE OF ICT EQUIPMENT FOR BRGY. POTOL, INFANTA, PANGASINAN 1.	The Barangay Potol, Infanta, Pangasinan - BAC, through</t>
  </si>
  <si>
    <t xml:space="preserve"> Procurement of Vehicle and Accessories</t>
  </si>
  <si>
    <t xml:space="preserve"> Republic of the Philippines PROVINCIAL GOVERNMENT OF EASTERN SAMAR Capitol Building, Borongan, Eastern Samar, 6800 Tel No. (055)-560-8312 E-mail Address: esamar.bac@gmail.com BIDS AND AWARDS COMMITTEE (BAC) INVITATION TO BID FOR CONSTRUCTION/IMPROVEMENT O</t>
  </si>
  <si>
    <t xml:space="preserve"> Republic of the Philippines PROVINCIAL GOVERNMENT OF EASTERN SAMAR Capitol Building, Borongan, Eastern Samar, 6800 Tel No. (055)-560-8312 E-mail Address: esamar.bac@gmail.com BIDS AND AWARDS COMMITTEE (BAC) INVITATION TO BID FOR CONSTRUCTION OF BUABUA – B</t>
  </si>
  <si>
    <t xml:space="preserve"> INVITATION TO BID  1.	The National Printing Office, through the Revolving Fund 2020 intends to apply the sum of Php8,000,000.00 being the Approved Budget for the Contract (ABC) to payments under the contract for the Procurement of Supply and Delivery of 2</t>
  </si>
  <si>
    <t xml:space="preserve"> Republic of the Philippines PROVINCIAL GOVERNMENT OF EASTERN SAMAR Capitol Building, Borongan, Eastern Samar, 6800 Tel No. (055)-560-8312 E-mail Address: esamar.bac@gmail.com BIDS AND AWARDS COMMITTEE (BAC) INVITATION TO BID FOR CONCRETING OF HOLLYWOOD TO</t>
  </si>
  <si>
    <t xml:space="preserve"> Republic of the Philippines PROVINCIAL GOVERNMENT OF EASTERN SAMAR Capitol Building, Borongan, Eastern Samar, 6800 Tel No. (055)-560-8312 E-mail Address: esamar.bac@gmail.com BIDS AND AWARDS COMMITTEE (BAC) INVITATION TO BID FOR THE  PROCUREMENT OF CONSTR</t>
  </si>
  <si>
    <t xml:space="preserve"> INVITATION TO BID  1.	The National Printing Office, through the Revolving Fund 2020 intends to apply the sum of ₱1,275,000.00 being the Approved Budget for the Contract (ABC) to payments under the contract for the Procurement of Supply, Delivery and Insta</t>
  </si>
  <si>
    <t xml:space="preserve"> INVITATION TO BID IB No. 2020-22 PURCHASE OF VARIOUS OFFICE SUPPLIES 1ST AND 2ND Quarter 2020 1.	The Local Government Unit of Oton, through Various Office Supplies - MOOE intends to apply the sum of One Million Three Hundred Twenty Thousand Six Hundred Si</t>
  </si>
  <si>
    <t xml:space="preserve"> REPUBLIC OF THE PHILIPPINES PROVINCE OF EASTERN SAMAR MUNICIPALITY OF LAWAAN REQUEST FOR QUOTATION PR No.: RFQ No.: PR Date: PhilGEPS Reference No. : End-User : Closing Date: ABC:76,000.00 Time: Sir/Madam: Please quote your lowest price on the items/s lis</t>
  </si>
  <si>
    <t xml:space="preserve"> Republic of the Philippines Province of Pangasinan Municipality of Infanta Barangay Potol BIDS AND AWARDS COMMITTEE INVITATION TO BID FOR SUPPLY AND DELIVERY OF MATERIALS AND SUPPLIES AND DRILLING FOR THE PROVISION OF POTABLE WATER SYSTEM, PUROK 3, BRGY. </t>
  </si>
  <si>
    <t xml:space="preserve"> ITEM NO. QTY UNIT DESCRIPTION 1.00 238.00 BAGS PORTLAND CEMENT PREMIUM 2.00 19.29 CU.M. WASHED SAND 3.00 17.15 CU.M. 3/4" CRUSHED GRAVEL 4.00 36.00 LNGTH 16MMØX6M RSB 5.00 76.00 LNGTH 12MMØX6M RSB 6.00 173.00 LNGTH 10MMØX6M RSB 7.00 40.00 KGS. TIE WIRE #1</t>
  </si>
  <si>
    <t xml:space="preserve"> Republic of the Philippines PROVINCIAL GOVERNMENT OF EASTERN SAMAR Capitol Building, Borongan, Eastern Samar, 6800 Tel No. (055)-560-8312 E-mail Address: esamar.bac@gmail.com BIDS AND AWARDS COMMITTEE (BAC) INVITATION TO BID FOR ROAD CONCRETING OF MACAANG</t>
  </si>
  <si>
    <t xml:space="preserve"> SUPPLIES AND MATERIALS NEEDED FOR THE BARANGAY ROAD CONCRETING</t>
  </si>
  <si>
    <t xml:space="preserve"> INVITATION TO BID The Cauayan City Water District intends to apply the sum of TWENTY ONE MILLION FOUR HUNDRED SIX THOUSAND SEVEN HUNDRED THIRTY THREE AND 83/100 PESOS (₱21,406,733.83) being the Approved Budget for the Contract (ABC) to payment under the c</t>
  </si>
  <si>
    <t xml:space="preserve"> Republic of the Philippines PROVINCIAL GOVERNMENT OF EASTERN SAMAR Capitol Building, Borongan, Eastern Samar, 6800 Tel No. (055)-560-8312 E-mail Address: esamar.bac@gmail.com BIDS AND AWARDS COMMITTEE (BAC) INVITATION TO BID FOR REPAIR/REHABILITATION OF S</t>
  </si>
  <si>
    <t xml:space="preserve"> Republic of the Philippines Department of Health Cagayan Valley Center for Health Development BATANES GENERAL HOSPITAL Basco, Batanes E-mail Address: bataneshospital@gmail.com REQUEST FOR PROPOSAL RFP NO. 2020-03 Supply &amp; Delivery of Various Medicines 1.	</t>
  </si>
  <si>
    <t xml:space="preserve"> Republic of the Philippines PROVINCIAL GOVERNMENT OF EASTERN SAMAR Capitol Building, Borongan, Eastern Samar, 6800 Tel No. (055)-560-8312 E-mail Address: esamar.bac@gmail.com BIDS AND AWARDS COMMITTEE (BAC) INVITATION TO BID FOR CONCRETING OF BARANGAY ROA</t>
  </si>
  <si>
    <t xml:space="preserve"> 1.	The Department of Agriculture (DA) – Central Office, through the GAA CY 2020 intends to apply the sum of Six Million One Hundred Eighty Seven Thousand Five Hundred Pesos (PhP6,187,500.00) being the Approved Budget for the Contract (ABC) to payments und</t>
  </si>
  <si>
    <t xml:space="preserve"> 1.	The Department of Agriculture (DA) – Central Office, through the GAA CY2020 intends to apply the sum of Seven Million Twenty-Two Thousand Six Hundred Seventy-Nine Pesos and 51/100 (PhP7,022,679.51) being the Approved Budget for the Contract (ABC) to pa</t>
  </si>
  <si>
    <t xml:space="preserve"> 1.	The Department of Agriculture (DA) – Central Office, PhilFIDA, PCAF and FDC, through the GAA CY2020 intends to apply the sum of Fifteen Million Nine Hundred Fourteen Thousand Two Hundred Ninety-Two Pesos and 30/100 (PhP15,914,292.30) being the Approved</t>
  </si>
  <si>
    <t xml:space="preserve"> Republic of the Philippines PROVINCIAL GOVERNMENT OF EASTERN SAMAR Capitol Building, Borongan, Eastern Samar, 6800 Tel No. (055)-560-8312 E-mail Address: esamar.bac@gmail.com BIDS AND AWARDS COMMITTEE (BAC) INVITATION TO BID FOR CONSTRUCTION OF BRGY. ROAD</t>
  </si>
  <si>
    <t xml:space="preserve"> INVITATION TO BID (CW 2020-006-015)   The CITY GOVERNMENT OF SORSOGON, through its Bids and Awards Committee (BAC), invites suppliers/contractors to apply for eligibility and to bid for the hereunder project:  Name of Project		:	CONSTRUCTION/IMPROVEMENT O</t>
  </si>
  <si>
    <t xml:space="preserve"> 1.	The Department of Agriculture (DA) – Central Office, through the GAA CY 2020 intends to apply the sum One Million One Hundred Sixty-Two Thousand Nine Hundred Seventy-Five Pesos (PhP1,162,975.00) being the Approved Budget for the Contract (ABC) to payme</t>
  </si>
  <si>
    <t xml:space="preserve"> The Local government Unit of Jipapad, Eastern Samar through the 5% DRRM Fund (2019) intends to apply the sum of One Hundred Fifty Thousand Pesos (150,000.00) being the Approved Budget for the Contract (ABC) as payment under the contract for the Purchase o</t>
  </si>
  <si>
    <t xml:space="preserve"> The Barangay Bagong Sirang through its Bids and Awards Committee (BAC) invites suppliers to apply for the stated project below: Name of Project	: CONSTRUCTION OF PATHWAY AT ZONE 7 Location		: ZONE 7 BAGONG SIRANG, PILI, CAMARINES SUR  Project Reference No</t>
  </si>
  <si>
    <t xml:space="preserve"> Republic of the Philippines Department of Health	 CENTRAL OFFICE BIDS AND AWARDS COMMITTEE  INVITATION TO BID FOR THE  HIRING OF A SERVICE PROVIDER PARTICULARLY MEDIA AGENCY TO DEVELOP A MEDIA PLAN AND PROCURE MEDIA PLACEMENTS TO AMPLIFY THE DOH COVID-19 </t>
  </si>
  <si>
    <t xml:space="preserve"> Republic of the Philippines PROVINCE OF BUKIDNON Municipality of Don Carlos BIDS AND AWARDS COMMITTEE Invitation to Bid for the Supply &amp; Delivery of Various Construction Materials intended for Construction of Senior Citizen Building - Phase 2 (Complete Bi</t>
  </si>
  <si>
    <t xml:space="preserve"> The Barangay Bagong Sirang through its Bids and Awards Committee (BAC) invites suppliers to apply for the stated project below: Name of Project	: CONSTRUCTION OF DRAINAGE CANAL AT ZONE 6  Location		: ZONE 6 BAGONG SIRANG, PILI, CAMARINES SUR  Project Refe</t>
  </si>
  <si>
    <t xml:space="preserve"> INVITATION TO BID (CW 2020-006-017)   The CITY GOVERNMENT OF SORSOGON, through its Bids and Awards Committee (BAC), invites suppliers/contractors to apply for eligibility and to bid for the hereunder project:  Name of Project		:	CONSTRUCTION/IMPROVEMENT O</t>
  </si>
  <si>
    <t xml:space="preserve"> BIDS AND AWARDS COMMITTEE INVITATION TO BID The Barangay of Tanong, through its Committee on Bids &amp; Awards, hereby invites all interested parties to submit sealed bid for the hereunder project: Name of Project: Purchase of Office Equipment Brief Descripti</t>
  </si>
  <si>
    <t xml:space="preserve"> Republic of the Philippines CITY GOVERNMENT OF SAN FERNANDO Barangay Poro INVITATION TO BID FOR  Expansion of Barangay Teen Center Barangay Poro, City of San Fernando 1.	The Barangay Poro, through the Barangay Fund intends to apply the sum of two hundred </t>
  </si>
  <si>
    <t xml:space="preserve"> for bagong silang 3 labo camarines norte.. their council agreed to implement the project of construction of pathway with the following materials... 297 bags portland cement 30 cu.m. item 201 33 cu.m crushed gravel 20 cu.m. washed sand 106.6 kgs 12mm dia d</t>
  </si>
  <si>
    <t xml:space="preserve"> INVITATION TO BID  PROCUREMENT  OF ONE  (1) UNIT  BRAND NEW NON- REFRIGERATED CLOSE MEAT DELIVERY VAN    GS 2020 -006-018 1.	The City Government of Sorsogon    intends to apply the sum of   One   Million   Seven  Hundred      Thousand      Pesos (P 1,700,</t>
  </si>
  <si>
    <t xml:space="preserve"> INVITATION TO BID  PROCUREMENT  OF TWO (2) UNITS  BRAND NEW MEDICAL AMBULANCE   GS 2020-006-021 1.	The City Government of Sorsogon    intends to apply the sum of   Four   Million   Four Hundred      Thousand      Pesos (P 4,400,000.00) being the Approved </t>
  </si>
  <si>
    <t xml:space="preserve"> INVITATION TO BID PROCUREMENT OF SERVICE PROVIDER FOR THE PHASE II OF ENHANCED FARMLAND GEOGRAPHIC INFORMATION SYSTEM (FGIS DIGITIZATION OF PARCELLARY MAPS AND FARMLAND DATABASE DEVELOPMENT)  ITB NO. BS-003-2020 1.	The National Irrigation Administration (</t>
  </si>
  <si>
    <t xml:space="preserve"> It includes: 107,520.00 Liters of Diesel and 32, 192.00 liters of Premium (Ron 91)</t>
  </si>
  <si>
    <t xml:space="preserve"> Republic of the Philippines Province of Pangasinan Municipality of Infanta Barangay Bamban BIDS AND AWARDS COMMITTEE INVITATION TO BID FOR:  SUPPLY, DELIVERY, FABRICATION and INSTALLATION OF MATERIALS FOR THE CONSTRUCTION OF 6 UNITS SOLAR STREETLIGHTS @ S</t>
  </si>
  <si>
    <t xml:space="preserve"> Supply and Delivery of Computer Paper Continuous Forms for the Regional Payroll Services Unit of the Department of Education, Regional Office VI (Rebid) Item No. Qty. Unit Description 1 350 Box Computer Paper Continuous Form, 14 7/8"x11"; carbonless 4 ply</t>
  </si>
  <si>
    <t xml:space="preserve"> Republic of the Philippines Province of Surigao del Sur Municipality of Tago ----oo0oo---- Invitation to Bid Supply and Delivery of Various Brand New Heavy Equipments and Brand New Six (6) Wheelers Dump truck Project ID No. TAG-SDS-051-2020 The Local Gove</t>
  </si>
  <si>
    <t xml:space="preserve"> Invitation to Bid for  Improvement/Widening of Balecbec-Basca Farm to Market Road, Naguilian, La Union 1.	The Provincial Government of La Union, through the RA7171 intends to apply the sum of ₱3,900,000.00 being the Approved Budget for the Contract (ABC) </t>
  </si>
  <si>
    <t xml:space="preserve"> 12 units touch screen cellular phones 6 units keypad phones 3 handheld radio</t>
  </si>
  <si>
    <t xml:space="preserve"> Invitation to Bid for  Construction of Dallangayan Este Creek Slope Protection, San Fernando City, La Union 1.	The Provincial Government of La Union, through the RA7171 intends to apply the sum of ₱1,950,000.00 being the Approved Budget for the Contract (</t>
  </si>
  <si>
    <t xml:space="preserve"> Invitation to Bid for  Improvement of Naguilian-San Fernando Road, Naguilian, La Union 1.	The Provincial Government of La Union, through the RA7171 intends to apply the sum of ₱9,750,000.00 being the Approved Budget for the Contract (ABC) to payments unde</t>
  </si>
  <si>
    <t xml:space="preserve"> Republic of the Philippines  Province of Nueva Ecija City Government of Palayan INVITATION TO BID FOR THE PURCHASE OF FURNITURE 1.	The City Government of Palayan, through the General Fund 2020 intends to apply the sum of (Php518,000.00) being the Approved</t>
  </si>
  <si>
    <t xml:space="preserve"> Invitation to Bid for  Rehabilitation and Improvement of Sapilang Road, Bacnotan, La Union 1.	The Provincial Government of La Union, through the RA7171 intends to apply the sum of ₱3,899,991.84 being the Approved Budget for the Contract (ABC) to payments </t>
  </si>
  <si>
    <t xml:space="preserve"> Invitation to Bid for  Construction of Farmers Multi-Purpose Center, Juan Cartas, Caba, La Union 1.	The Provincial Government of La Union, through the RA7171 intends to apply the sum of ₱3,900,000.00 being the Approved Budget for the Contract (ABC) to pay</t>
  </si>
  <si>
    <t xml:space="preserve"> 1. The Local government Unit of Jipapad, Eastern Samar through the 5% DRRM Fund (2020) intends to apply the sum of Three Hundred Thousand Pesos (300,000.00) being the Approved Budget for the Contract (ABC) as payment under the contract for the Purchase of</t>
  </si>
  <si>
    <t xml:space="preserve"> RE - INVITATION TO BID The Local Government Unit of Jasaan, Jasaan, Misamis Oriental, through the General Fund intends to apply the sum of Five Million Pesos and 00/100 (P 5,000,000.00) being the Approved Budget for the Contract (ABC) to payments under th</t>
  </si>
  <si>
    <t xml:space="preserve"> Materials for Senior Citizen House</t>
  </si>
  <si>
    <t xml:space="preserve"> Invitation to Bid for  Improvement of Rimos #4  Road, Luna, La Union 1.	The Provincial Government of La Union, through the RA7171 intends to apply the sum of ₱1,462,500.00 being the Approved Budget for the Contract (ABC) to payments under the contract for</t>
  </si>
  <si>
    <t xml:space="preserve"> Invitation to Bid for  Rehabilitation and Improvement of Biday-Mameltac-Saoay-Dallangayan Road, San Fernando City, La Union 1.	The Provincial Government of La Union, through the RA7171 intends to apply the sum of ₱3,900,000.00 being the Approved Budget fo</t>
  </si>
  <si>
    <t xml:space="preserve"> INVITATION TO BID The Local Government Unit of Jasaan, Jasaan, Misamis Oriental, through the 20% DF intends to apply the sum of Five Million Pesos and 00/100 (P 5,000,000.00) being the Approved Budget for the Contract (ABC) to payments under the contract </t>
  </si>
  <si>
    <t xml:space="preserve"> • 	15 units Evaporation Kettle for coco sap cooking/processing         Brand New kettle •	Double-jacketed closed evaporation kettle using 3mm thick stainless steel plate •	One Hundred (100) liters capacity •	Type 304 with one (1) vacuum pump driven by 200</t>
  </si>
  <si>
    <t xml:space="preserve"> INVITATION TO BID (for the Procurement of Goods)           1.	The City Government of Puerto Princesa (CGPP), through Appropriation Ordinance No. 6-2019 (Supplemental Budget No. 3 for CY 2019/Fund Source: Borrowings – Loan at Land Bank of the Philippines) </t>
  </si>
  <si>
    <t xml:space="preserve"> Invitation to Bid for  Rehabilitation of Lingsat Farm to Market Road (Hufano Street), San Fernando City, La Union 1.	The Provincial Government of La Union, through the RA7171 intends to apply the sum of ₱3,900,000.00 being the Approved Budget for the Cont</t>
  </si>
  <si>
    <t xml:space="preserve"> Earthworks,  Subbase And Base Course,  Surface Course,  Drainage &amp; Slope Protection Structures, Miscellaneous</t>
  </si>
  <si>
    <t xml:space="preserve"> Republic of the Philippines Province of Surigao del Sur Municipality of Tago ---ooo0ooo--- Invitation to Bid REHABILITAITON OF TAGO TOWN HALL Project ID No. TAG-SDS-053-2020 The Local Government Unit of Tago, Surigao del Sur invites sealed Bids from eligi</t>
  </si>
  <si>
    <t xml:space="preserve"> General Rqmts., Pathwalk, Access ramp with railings, Access stairs with railings</t>
  </si>
  <si>
    <t xml:space="preserve"> Republic of the Philippines Province of Isabela LOCAL GOVERNMENT UNIT OF BENITO SOLIVEN INVITATION TO BID FOR THE CONCRETING OF YEBAN NORTE-PUNIT ROAD (530 METERS) 1.	The Municipal Government of Benito Soliven, intends to apply the sum of Two Million Four</t>
  </si>
  <si>
    <t xml:space="preserve"> General Requirements, Demolition Works, Earthworks, Structural Works, Architectural Works, Electrical , Plumbing</t>
  </si>
  <si>
    <t xml:space="preserve"> ITB NO. 2020-0012 Design, Supply, Fabrication of Mounting Brackets and Installation and Testing of Antenna Panels for the Zamboanga Transmitter Station of the People’s Television Network Inc. (PTNI)</t>
  </si>
  <si>
    <t xml:space="preserve"> INVITATION TO BID FOR THE SUPPLY AND DELIVERY OF SCHOOL SUPPLIES AND EQUIPMENT  1.	The Municipality of Salcedo, through the Special Education Fund  intends to apply the sum of Three Hundred Thirteen Thousand Eight Hundred Eighteen Pesos only ( Php 313,818</t>
  </si>
  <si>
    <t xml:space="preserve"> 10     pcs     Office Table    1     unit    Gang Chair, 3 seater Stainless    1     unit     Steel Cabinet 2 drawer horizontal    1     unit     Inkjet Printer (3 in 1)</t>
  </si>
  <si>
    <t xml:space="preserve"> Ceiling Works, Windows, Doors, Plastering, Painting Works, Floor Topping, Tile Works, Electrical</t>
  </si>
  <si>
    <t xml:space="preserve"> Republic of the Philippines Province of Isabela LOCAL GOVERNMENT UNIT OF BENITO SOLIVEN INVITATION TO BID FOR THE COMPLETION OF COVERED COURT (ROOFING WORKS) AT BARANGAY GOMEZ 1.	The Barangay Government of Gomez thru the Bids and Awards Committee of the M</t>
  </si>
  <si>
    <t xml:space="preserve"> INVITATION TO BID FOR THE Supply and Delivery of 1-unit Passenger Van for Bicol University 1. The BICOL UNIVERSITY, through the Corporate Budget for the contract approved by the Board of Regents intends to apply the sum of Two Million One Hundred Eighty-S</t>
  </si>
  <si>
    <t xml:space="preserve"> Republic of the Philippines Province of Isabela LOCAL GOVERNMENT UNIT OF BENITO SOLIVEN INVITATION TO BID FOR THE CONSTRUCTION OF DOUBLE BARREL REINFORCED CONCRETE BOX CULVERT PHASE I AT BARANGAY PLACER 1.	The Barangay Government of Placer thru the Bids a</t>
  </si>
  <si>
    <t xml:space="preserve"> The NATIONAL FOOD AUTHORITY (NFA) Regional Office VI intends to apply the sum of Twenty Nine Million Seven Hundred Sixty Two Thousand One Hundred Twelve Pesos and 77/100 (Php 29,762,112.77) inclusive of VAT from its Corporate Operating Budget as the Appro</t>
  </si>
  <si>
    <t xml:space="preserve"> Republic of the Philipines Province of Camarines Sur Municipality of Del Gallego BIDS AND AWARDS COMMITTEE INVITATION TO BID FOR CONSTRUCTION OF MULTI-PURPOSE BUILDING WITH WHARF AND LANDING AREA The Local Government Unit of Del Gallego, Camarines Sur, th</t>
  </si>
  <si>
    <t xml:space="preserve"> Republic of the Philippines BIDS AND AWARDS COMMITTEE Cadiz City      BID DOCUMENTS for the CONSTRUCTION OF GENDER SENSITIVE EVACUATION CENTER (PHASE II) @ BRGY. PROPER, BRGY. CABAHUG, CADIZ CITY (1) BIDS AND AWARDS COMMITTEE  Cadiz City   INVITATION TO B</t>
  </si>
  <si>
    <t xml:space="preserve"> MG-PLM20-015..REPLACEMENT OF POWERHOUSE STATION BATTERIES ABC : P4,000,000.00 PLACE OF DELIVERY : PULANGI IV HEP WAREHOUSE MARAMAG, BUKIDNON AMOUNT OF BID DOCUMENTS : P 5,000.00</t>
  </si>
  <si>
    <t xml:space="preserve"> Republic of the Philippines Province of Cagayan MUNICIPALITY OF BALLESTEROS Barangay Sta. Cruz INVITATION TO BID FOR  Procurement of Various Materials for the Installation of Solar Street Lights 1.	The Barangay Government of Sta. Cruz through the 20% Deve</t>
  </si>
  <si>
    <t xml:space="preserve"> Description  Republic of the Philippines  Province of Leyte  Municipality of Mahaplag -ooOOoo- INVITATION TO BID Procurement of construction materials for Completion of one unit two (2) Classroom Makeshift Building Hilusig National High School  1. The Loc</t>
  </si>
  <si>
    <t xml:space="preserve"> MG-A5M20-001..AG4 SUPPLY, DELIVERY, INST., COMMISSIONING OF OIL-WATER SEPARATOR AT SUMP PIT ABC  : P 8,600,000.00 PLACE OF DELIVERY : AGUS 4 HEP WAREHOUSE BALOI-, LANAO DEL NORTE AMOUNT OF BID DOCUMENTS : P 10,000.00</t>
  </si>
  <si>
    <t xml:space="preserve"> INVITATION TO BID FOR THE Supply and Delivery of 1-unit Sports Utility Vehicle for Bicol University 1. The BICOL UNIVERSITY, through the Corporate Budget for the contract approved by the Board of Regents intends to apply the sum of One Million Seven Hundr</t>
  </si>
  <si>
    <t xml:space="preserve"> ADDITIONAL SCHOOL AND OFFICE SUPPLIES SHS</t>
  </si>
  <si>
    <t xml:space="preserve"> MG-ADM20-005..REPLACEMENT OF EXISTING STREET LIGHTING INSIDE NPC MINGEN MRC ABC : P 3,000,000.00 PLACE OF DELIVERY :  MINGEN CENTRAL WAREHOUSE DITUCALAN, ILIGAN CITY AMOUNT OF BID DOCUMENTS : P 3,000.00</t>
  </si>
  <si>
    <t xml:space="preserve"> INSTALLATION OF WASTE MANAGEMENT FACILITY FOR SCHOOL</t>
  </si>
  <si>
    <t xml:space="preserve"> Chlorine					266	 kg  Zonrox					465	 gal  Disposable Face Mask					60	 box  Rubber Gloves					67	 pcs  Hand Sanitizer (500 ml)					184	 bottle  Alcohol (1 gallon)					230	 gals  Sprayer					7	 unit  Foot Bath					10	 unit  Utility  Drum (200 ml)					10	 </t>
  </si>
  <si>
    <t xml:space="preserve"> MEALS FOR TEAM SUPERVISION FOR VISITORS AND TEACHERS</t>
  </si>
  <si>
    <t xml:space="preserve"> Republic of the Philippines PROVINCE OF PAMPANGA City of San Fernando INVITATION TO BID NO. 2020-18 IG - BAC INVITATION TO BID FOR PURCHASE REQUEST NO. 20-1417 and 20-0554 The Provincial Government of Pampanga (“Province”) intends to apply the following s</t>
  </si>
  <si>
    <t xml:space="preserve"> REPAINTING OF SCHOOL GROUND SHS FOR SCHOOL BEAUTIFICATION</t>
  </si>
  <si>
    <t xml:space="preserve"> Republic of the Philippines BIDS AND AWARDS COMMITTEE Cadiz City      BID DOCUMENTS for the CONSTRUCTION OF BREAKWATER @ SO. CANDUMONG, BRGY. SICABA, CADIZ CITY (1) BIDS AND AWARDS COMMITTEE  Cadiz City   INVITATION TO BID/REQUEST FOR EXPRESSION OF INTERE</t>
  </si>
  <si>
    <t xml:space="preserve"> Medical Oxygen: 1800 PSI</t>
  </si>
  <si>
    <t xml:space="preserve"> Republic of the Philippines BIDS AND AWARDS COMMITTEE Province of Pangasinan Municipality of Infanta INVITATION TO BID FOR PURCHASE OF TWO (2) UNITS MOTORCYCLE FOR THE OPERATION OF THE OFFICE OF THE IWWS, INFANTA, PANGASINAN 1.	The Municipality of Infanta</t>
  </si>
  <si>
    <t xml:space="preserve"> INVITATION TO BID PUBLIC BIDDING NO.: 2005021 FUNDING SOURCE: GOVERNMENT OF THE PHILIPPINES THROUGH GENERAL APPROPRIATIONS ACT  (GAA) FY 2020 The Department of Science and Technology (DOST-CAR), through its Bids and Awards Committee  (BAC),  invites  bidd</t>
  </si>
  <si>
    <t xml:space="preserve"> Please see attached file for reference.</t>
  </si>
  <si>
    <t xml:space="preserve"> 130 "Unit(s)" "100-watts LED Street Light -" "100-265 volts, 12,000 lumens, IP65 Bridgelux Chips Meanwell Driver, Daylight, size: 725x285x82mm no arm and photo switch" 70 "Piece(s)" "Photo Control Switch -" "" 2 "Roll(s)" "#6 Service Drop Wire -" "" *****</t>
  </si>
  <si>
    <t xml:space="preserve"> Location of the Project: Municipality of San Dionisio, Iloilo Approved Budget for the Contract: P1,250,000.00 Funding Source: MDRRM FUND, CY 2020 Specifications:           2.2 Diesel Engine, 5 speed Mandual Transmission           Euro-4 Diesel engine; Ste</t>
  </si>
  <si>
    <t xml:space="preserve"> Concreting of barangay road @ brgy San Antonio, Lal-lo, Cagayan</t>
  </si>
  <si>
    <t xml:space="preserve"> Location of the Project: Brgy. Mandu-awak, San Dionisio, Iloilo Approved Budget for the Contract: P920,000.00 Funding Source: 20% Devel;opment Fund, CY 2019 Contract Duration: 40 Calendar Days Physical Target: 60 ln.m. Bid Opening: June 24, 2020 at 10:00 </t>
  </si>
  <si>
    <t xml:space="preserve"> Republic of the Philippines Province of Albay Municipality of Tiwi OFFICE OF THE BIDS AND AWARDS COMMITTEE CP#0917-851-2315 Invitation to Bid for the IMPROVEMENT OF ROADWAY &amp; SLOPE PROTECTION &amp; DRAINAGE 1.	The Local Government Unit of Tiwi, Albay, through</t>
  </si>
  <si>
    <t xml:space="preserve"> I. SITE PREPARATION (REMOVAL OF EXST ROOF) -- 4% II. REPAIR OF ROOF/ROOF FRAMING -- 53.64% III. REPAIR OF CEILING -- 22.08% IV. PAINTING - 12.69% V. SCAFFOLDINGS -- 7.60% -- LS</t>
  </si>
  <si>
    <t xml:space="preserve"> Location of the Project: Brgy. Dugman-Pangi Road, San Dionisio, Iloilo Approved Budget for the Contract: P1,550,000.00 Funding Source: 20% Development Fund, CY 2019 Contract Duration: 90 Calendar Days Physical Target: 155 ln.m. Bid Opening: June 24, 2020 </t>
  </si>
  <si>
    <t xml:space="preserve"> I. SITE PREPARATION - 9.79% -- LS II. AGGREGATE BASE COURSE (ITEM 201) - 1.79% - 3.2 III. P.C.C.P (ITEM 311) - 11.96%  IV. GOUTED RIPRAP (ITEM 504) /RUB CONC. - 16.87% V. FOOTBRIDGE -- 41.25% VI. FORMS/SCAFFOLDINGS -- 18.35% -- LS DIRECT COST LABOR---34.2</t>
  </si>
  <si>
    <t xml:space="preserve"> Contract for the Concreting of Road Section at Purok 6. Rd. A (Sitjar Area) 300m, Brgy. Tibal - Og The Municipality of Santo Tomas, through MDF CY 2020 intends to apply the sum of P’ 2,497,407.01 being the Approved Budget for the Contract (ABC) to payment</t>
  </si>
  <si>
    <t xml:space="preserve"> Republic of the Philippines Province of Albay Municipality of Tiwi OFFICE OF THE BIDS AND AWARDS COMMITTEE CP#0917-851-2315 INVITATION TO BID  PROCUREMENT OF MATERIALS FOR THE INTEGRATED COMMUNITY FOOD PRODUCTION (ICFP) PROJECT 1.	The Local Government Uni</t>
  </si>
  <si>
    <t xml:space="preserve"> Section I. Invitation to Bid Republic of the Philippines Province of Davao del Norte MUNICIPALITY OF TALAINGOD 								7 June, 2020 Invitation to Bid for ROAD CONCRETING (@Purok 6, Fortu Area, Sto. Niño Crossing Opao-Junction Provincial Road, Palma Gil, T</t>
  </si>
  <si>
    <t xml:space="preserve"> Republic of the Philippines Province of Albay Municipality of Tiwi OFFICE OF THE BIDS AND AWARDS COMMITTEE CP#0917-851-2315 INVITATION TO BID  PROCUREMENT OF ONE (1) UNIT AMBULANCE 1.	The Local Government Unit of Tiwi, Albay, through General Fund (SB#1) o</t>
  </si>
  <si>
    <t xml:space="preserve"> ITB NO. 2020-0013 Supply, Delivery, Installation, Testing, Commissioning and Training of Six (6) Units of Audio Processors for the Manila, Zamboanga, Guimaras, Naga, and Cotabato Transmitter Stations of the People`s Television Network, Inc. (PTNI)</t>
  </si>
  <si>
    <t xml:space="preserve"> Republic of the Philippines PROVINCE OF QUIRINO Cabarroguis -oOo- BIDS AND AWARDS COMMITTEE INVITATION TO BID FOR  Completion of Hanging Footbridge Contract No. PB-CW-2020-024 							June 6, 2020 1.	The Bids and Awards Committee (BAC) of the Provincial Go</t>
  </si>
  <si>
    <t xml:space="preserve"> ITB NO. 2020-0011 Provision of Security  Services of People’s Television Network, Inc. Manila Office and its Provincial Station</t>
  </si>
  <si>
    <t xml:space="preserve"> Section I. Invitation to Bid Republic of the Philippines Province of Davao del Norte Municipality of Talaingod 7 June, 2020 INVITATION TO BID FOR PURCHASE OF VEHICLE (VAN) (MMO-BAC &amp; GSO)) 1.	The Local Government Unit of Talaingod, Davao del Norte intends</t>
  </si>
  <si>
    <t xml:space="preserve"> Republic of the Philippines PROVINCE OF QUIRINO Cabarroguis -oOo- BIDS AND AWARDS COMMITTEE INVITATION TO BID FOR  Completion of Hanging Footbridge Contract No. PB-CW-2020-022 							June 6, 2020 1.	The Bids and Awards Committee (BAC) of the Provincial Go</t>
  </si>
  <si>
    <t xml:space="preserve"> INVITATION TO BID  (Public Bidding) The BFAR 08, through its Bids and Awards Committee (BAC), invites eligible suppliers to bid for the hereunder contract:	 NAME OF CONTRACT: 20-05-0545 Supply and Delivery of Materials for Intensive Tilapia Farming in Pon</t>
  </si>
  <si>
    <t xml:space="preserve"> 1.	The Capiz Provincial Government, through the GOP–2020 intends to apply the total amount of Seven Hundred Fifty-Nine Thousand Six Hundred Pesos (Php759,600.00) being the total aggregated Approved Budget for the Contract (ABC) to payments under the contr</t>
  </si>
  <si>
    <t xml:space="preserve"> Republic of the Philippines PROVINCE OF QUIRINO Cabarroguis -oOo- BIDS AND AWARDS COMMITTEE INVITATION TO BID FOR  Completion of Hanging Footbridge Contract No. PB-CW-2020-023 							June 6, 2020 1.	The Bids and Awards Committee (BAC) of the Provincial Go</t>
  </si>
  <si>
    <t xml:space="preserve"> Republic of the Philippines Province of Cebu MUNICIPALITY OF DAANBANTAYAN BARANGAY POBLACION Bids and Awards Committee INVITATION TO BID PROCUREMENT OF MATERIALS FOR CONSTRUCTION/ERECTION OF ELECTRICAL POST 1. The Barangay Goverment of Poblacion,Daanbanta</t>
  </si>
  <si>
    <t xml:space="preserve"> Republic of the Philippines PROVINCE OF QUIRINO Cabarroguis -oOo- BIDS AND AWARDS COMMITTEE INVITATION TO BID FOR  Completion of Hanging Footbridge Contract No. PB-CW-2020-021 							June 6, 2020 1.	The Bids and Awards Committee (BAC) of the Provincial Go</t>
  </si>
  <si>
    <t xml:space="preserve"> Republic of the Philippines Province of Albay Municipality of Tiwi BIDS AND AWARDS COMMITTEE Invitation to Bid for the CHILD DEVELOPMENT CENTER FENCING &amp; WATER TANK &amp; SITE DEVELOPMENT 1.	The Local Government Unit of Tiwi, Albay, through General Fund (SB N</t>
  </si>
  <si>
    <t xml:space="preserve"> INVITATION TO BID (Public Bidding) The BFAR 08, through its Bids and Awards Committee (BAC), invites eligible suppliers to bid for the hereunder contract:	 NAME OF CONTRACT: 20-05-0550 Supply and Delivery of Materials for Aquaponics with Intensive Tilapia</t>
  </si>
  <si>
    <t xml:space="preserve"> INVITATION TO BID IB NO. CW 2020 – 084 Construction  of Gabion at Sitio Tagascan, Brgy. San Vicente, Roxas, Oriental Mindoro 1.  The Provincial Government of Oriental Mindoro (PGOM) through the General Fund – 5% Calamity Fund 2019 intends to apply the sum</t>
  </si>
  <si>
    <t xml:space="preserve"> 1.	The Capiz Provincial Government, through the GOP–2020 intends to apply the total amount One Million Four Hundred Forty-One Thousand Five Hundred Pesos (Php 1,441,500.00) being the total Approved Budget for the Contract (ABC) to payments under the contr</t>
  </si>
  <si>
    <t xml:space="preserve"> INVITATION TO BID IB NO. CW 2020 – 083 Construction of Slope Protection at Brgy. Waygan Spillway, Mansalay Oriental Mindoro 1.  The Provincial Government of Oriental Mindoro (PGOM) through the General Fund – 5% Calamity Fund 2019 intends to apply the sum </t>
  </si>
  <si>
    <t xml:space="preserve"> Rehabilitation of Road</t>
  </si>
  <si>
    <t xml:space="preserve"> INVITATION TO BID IB NO. CW 2020 – 081 Concreting of Pili – Banilad Road, Pinamalayan, Oriental Mindoro 1.  The Provincial Government of Oriental Mindoro (PGOM) through the 20% Development Fund 2019 intends to apply the sum of Five Million Nine Hundred Th</t>
  </si>
  <si>
    <t xml:space="preserve"> INVITATION TO BID IB NO. CW 2020 – 085 Concreting of Road at Brgy. Batong Dalig, Socorro, Oriental Mindoro 1.  The Provincial Government of Oriental Mindoro (PGOM) through the 20% Development Fund CA 2019 intends to apply the sum of One Million Six Hundre</t>
  </si>
  <si>
    <t xml:space="preserve"> INVITATION TO BID IB NO. CW 2020 – 087 Construction of Water System at Panikian, Naujan, Oriental Mindoro 1.  The Provincial Government of Oriental Mindoro (PGOM) through the 20% Development Fund CA 2019 intends to apply the sum of One Million Four Hundre</t>
  </si>
  <si>
    <t xml:space="preserve"> INVITATION TO BID IB NO. CW 2020 – 082 Construction of Bridge at Sta. Maria, Mansalay, Oriental Mindoro 1.  The Provincial Government of Oriental Mindoro (PGOM) through the 20% Development Fund CA 2019 intends to apply the sum of One Million Nine Hundred </t>
  </si>
  <si>
    <t xml:space="preserve"> building</t>
  </si>
  <si>
    <t xml:space="preserve"> Construction of Drainage</t>
  </si>
  <si>
    <t xml:space="preserve"> Procurement of Two (2) units Rescue Vehicle for Barangays of LGU Laak, Davao De Oro with an ABC if Php. 3,200,000.00. Specification: *Engine: Model: 2GD-FTV(low), Type: 2.4L Diesel, 4-Cylinder, 16-valve DOHC, Variable Nozzle Turbo w/ front Mounted interco</t>
  </si>
  <si>
    <t xml:space="preserve"> INVITATION TO BID IB NO. CW 2020 – 086 Concreting of Road Section at Brgy. Sta. Rosa II, Binaybay, Baco, Oriental Mindoro 1.  The Provincial Government of Oriental Mindoro (PGOM) through the 20% Development Fund CA 2019 intends to apply the sum of One Mil</t>
  </si>
  <si>
    <t xml:space="preserve"> Acquasition of construction materials for improvement of Barangay Multi Purpose Hall Taguihon, Baclayon, Bohol Bill of materials:   INSTALLATION OF DOOR AND WINDOWS 1.  1 set   - Fixed glass window 1 w/ aluminum frame (1.12mx1.00m with opening) 2.  2 sets</t>
  </si>
  <si>
    <t xml:space="preserve"> SEE SPECS</t>
  </si>
  <si>
    <t xml:space="preserve"> Republic of the Philippines DR. EMILIO B. ESPINOSA, SR. MEMORIAL STATE COLLEGE  OF AGRICULTURE AND TECHNOLOGY (Masbate State College) BIDS AND AWARDS COMMITTEE http:www.debesmscat.edu.ph Cabitan, Mandaon, Masbate Invitation to Bid for the  Construction of</t>
  </si>
  <si>
    <t xml:space="preserve"> Construction of Concrete/Timber Footbridge, Width=2.40m, Length= 40.00m 1. 84.00 LM Columns (Pre-Vast) 2. 10.00 cu.m Capping, Girder and Transom 3. 9,226.67 bd. ft Plank Floor and Running Board 4. 60.00 bd.ft Stone Masonry 5. 3,367.50 bd.ft Railguard and </t>
  </si>
  <si>
    <t xml:space="preserve"> DRAINAGE SYSTEM</t>
  </si>
  <si>
    <t xml:space="preserve"> INVITATION TO BID The City Government of Pasay, through its Bids and Awards Committee (BAC) invites suppliers/manufacturers/distributors/contractors to apply and submit sealed bids for the supply and delivery of the following: Proposed supply and delivery</t>
  </si>
  <si>
    <t xml:space="preserve"> 1. The Barangay AGUITING, KANANGA, Leyte through SUPPLEMENTAL #1 2019 intends to apply the sum of THREE HUNDRED THOUSAND PESOS ONLY (PhP300,000.00) being the Approved Budget for the Contract (ABC) to payments under the contract for the CONSTRUCTION OF DRA</t>
  </si>
  <si>
    <t xml:space="preserve"> INVITATION TO BID IB NO. CW 2020 – 088 Installation of Automatic Fire Suppression System at Oriental Mindoro Southern District Hospital, Roxas, Oriental Mindoro 1.  The Provincial Government of Oriental Mindoro (PGOM) through the General Fund CA 2018 inte</t>
  </si>
  <si>
    <t xml:space="preserve"> MUST HAVE AN DENR ENVIRONMENTAL COMPLIANCE CERTIFICATE FOR SANITARY LANDFILL</t>
  </si>
  <si>
    <t xml:space="preserve"> 14 Heads Cow</t>
  </si>
  <si>
    <t xml:space="preserve"> Description   Republic of the Philippines Province of Oriental Mindoro MUNICIPALITY OF NAUJAN BARANGAY SAN JOSE BIDS AND AWARDS COMMITTEE INVITATION TO BID SUPPLY AND DELIVERY OF MATERIALS TO BE USED FOR THE INSTALLATION OF STREET LIGHTS IN DIFFERENT SITI</t>
  </si>
  <si>
    <t xml:space="preserve"> Patuloy (Bottom- Fixed Gillnet)</t>
  </si>
  <si>
    <t xml:space="preserve"> Contract Labor and Materials for the Concreting of Toribio Suan Street, Laac (Pob.), Laak, Davao De Oro with an ABC of Php. 1,428,263.51.</t>
  </si>
  <si>
    <t xml:space="preserve"> Procurement of Seven (7) units Rescue Vehicle for Barangays of LGU Laak, Davao De Oro with an ABC of Php. 11,200,000.00. Specification: *Engine: Model: 2GD-FTV(low), Type: 2.4L Diesel, 4-Cylinder, 16-valve DOHC, Variable Nozzle Turbo w/ front Mounted inte</t>
  </si>
  <si>
    <t xml:space="preserve"> Description Republic of the Philippines Province of Oriental Mindoro MUNICIPALITY OF NAUJAN BARANGAY SAN JOSE BIDS AND AWARDS COMMITTEE INVITATION TO BID SUPPLY AND DELIVERY OF MATERIALS TO BE USED IN REHABILITATION OF HEALTH CENTER, SITIO SIMBAHAN, BARAN</t>
  </si>
  <si>
    <t xml:space="preserve"> Tarpaulin Printing</t>
  </si>
  <si>
    <t xml:space="preserve"> Procurement of One (1) Brand New Emergency Vehicle (DOH Standard Ambulance) of LGU Laak, Davao De Oro with an ABC of Php. 2,600,000.00. Specification: - 2.5 L In-line, 4 Cylinder DOHC 16, Turbo Charge Diesel Engine (Valve Variable), 120-130 PS (Max Power)</t>
  </si>
  <si>
    <t xml:space="preserve"> Contract Labor and Materials for the Construction of Concrete Pavement of Public Night Market Stalls at Laac (Pob.), Laak, Davao De Oro with an ABC of Php. 809,306.17.</t>
  </si>
  <si>
    <t xml:space="preserve"> Gasoline, Oil &amp; Lubricants</t>
  </si>
  <si>
    <t xml:space="preserve"> Medicine Kit</t>
  </si>
  <si>
    <t xml:space="preserve"> SUPPLY, DELIVERY AND INSTALLATION OF TYPHOON-RESILIENT VERTICAL INDOOR FARMING SYSTEM AT ASCOT BAZAL CAMPUS</t>
  </si>
  <si>
    <t xml:space="preserve"> INVITATION TO APPLY FOR ELIGIBILITY AND BID The Barangay of Daja, Maasin, Iloilo, through its Bids and Awards Committee (BAC), invites suppliers/ distributors/ contractors to apply for eligibility and to bid for the hereunder project: Name of Project : Re</t>
  </si>
  <si>
    <t xml:space="preserve"> See attached main document.</t>
  </si>
  <si>
    <t xml:space="preserve"> Pregnant Cattle/Breedable Hiefer</t>
  </si>
  <si>
    <t xml:space="preserve"> Republic of the Philippines Cordillera Administrative Region Province of Kalinga B A L B A L A N Invitation to Apply for Eligibility and to Bid for the CONTINUATION FOR THE IMROVEMENT OF DRAINAGE CANAL, BALBALAN CENTRAL SCHOOL, POBLACION, BALBALAN, KALING</t>
  </si>
  <si>
    <t xml:space="preserve"> PANEL 900 WATS INVERTER 7500 WATTS RATING 2X7500 WATTS PANEL MOUNTING &amp; ACCESSORIES DC SURGE PROTECTION AC CIRCUIT BREAKER PV POWER CABLES OTHER INST. MATERIALS</t>
  </si>
  <si>
    <t xml:space="preserve"> Purchased 1 unit Motor Vehicle for Disaster &amp; Emergency</t>
  </si>
  <si>
    <t xml:space="preserve"> INVITATION TO APPLY FOR ELIGIBILITY AND BID The Barangay of Pispis, Maasin, Iloilo, through its Bids and Awards Committee (BAC), invites suppliers/ distributors/ contractors to apply for eligibility and to bid for the hereunder project: Name of Project : </t>
  </si>
  <si>
    <t xml:space="preserve"> Dengue Test Kit (NS1)</t>
  </si>
  <si>
    <t xml:space="preserve"> Procurement of Seven (7) units Steel Goal with Ring &amp; Board and Complete Accessories for Barangay Langtud, Melale, Sto. Niño, Mangloy, Kidawa and Datu Ampunan - Laak, Davao De Oro with an ABC of Php. 2,100,000.00.</t>
  </si>
  <si>
    <t xml:space="preserve"> Republic of the Philippines PROVINCE OF NUEVA VIZCAYA Invitation to Bid for the  CONSTRUCTION/IMPROVEMENT OF PUROK 2 BONE SOUTH FTMR Located at Aritao, Nueva Vizcaya  1.	The Provincial Government of Nueva Vizcaya, through the 2020 20% Development Fund int</t>
  </si>
  <si>
    <t xml:space="preserve"> PROCUREMENT, SUPPLY AND DELIVERY OF 5.56MM AMMUNITIONS (SS109)</t>
  </si>
  <si>
    <t xml:space="preserve"> Republic of the Philippines PROVINCE OF NUEVA VIZCAYA Invitation to Bid for the  CONSTRUCTION/IMPROVEMENT OF SITIO CAINO FTMR Located at Banila, Dupax del Sur, Nueva Vizcaya  1.	The Provincial Government of Nueva Vizcaya, through the 2020 20% Development </t>
  </si>
  <si>
    <t xml:space="preserve"> Name of Project: Purchase of three (3) sets Sand Separator/ Filter bag housing for Pura Water System Pumping Station Location: Brgy Singat, Nilasin 2nd and Poblacion 3, Pura, Tarlac ABC: Php 1,600,000.00 5 units SAND SEPARATOR/ FILTER BAG HOUSING Filter b</t>
  </si>
  <si>
    <t xml:space="preserve"> Republic of the Philippines Province of Compostela Valley Municipality of Monkayo -o0o- INVITATION TO BID FOR THE PROCUREMENT OF DRUGS &amp; MEDICINES FOR MUNICIPAL HEALTH CENTER VARIOUS PROGRAM-1st SEMESTER The Municipality of Monkayo, through the GENERAL FU</t>
  </si>
  <si>
    <t xml:space="preserve"> PROCUREMENT, SUPPLY AND DELIVERY OF 9MM AMMUNITIONS</t>
  </si>
  <si>
    <t xml:space="preserve"> Republic of the Philippines PROVINCE OF NUEVA VIZCAYA Invitation to Bid for the  CONSTRUCTION/IMPROVEMENT OF NEW BENAY WANGYEON FTMR Located at Malasin, Dupax del Norte, Nueva Vizcaya  1.	The Provincial Government of Nueva Vizcaya, through the 2020 20% De</t>
  </si>
  <si>
    <t xml:space="preserve"> Description of Work to be Done: - Excavations - Backfilling and Compaction - R.C. Foundation and Pedestal - Reinforcing Steel for Foundation and Pedestal - Formworks - Project Sign Board (COA) - Project Sign Board (ASCOT) - Complete Streetlight LED Light </t>
  </si>
  <si>
    <t xml:space="preserve"> Construction of 9 units  Streetlights</t>
  </si>
  <si>
    <t xml:space="preserve"> Name of Project: Purchase of One (1) Set Sand Separator/ Filter bag housing for Pura Water System Pumping Station  Location: Brgy Estipona, Pura, Tarlac ABC: Php 640,000.00 2 units SAND SEPARATOR/ FILTER BAG HOUSING Filter bag housing : Single PR# : SBF-0</t>
  </si>
  <si>
    <t xml:space="preserve"> PROCUREMENT, SUPPLY AND DELIVERY OF 5.56MM AMMUNITIONS (M193)</t>
  </si>
  <si>
    <t xml:space="preserve"> PROCUREMENT, SUPPLY AND DELIVERY OF 30 ROUNDS MAGAZINE FOR 5.56MM</t>
  </si>
  <si>
    <t xml:space="preserve"> Stock	ITEM DESCRIPTION	QTY	UNIT No.			 			 A.	 General Requirements		 	1. Permits (Building Permits, Occupancy Permit, ECC, DOLE 	1	lot 	    and  other Local Permits required)		 	2. Mobilization/Demobilization	1	lot 	3. Temporary Facilities	1	lot 	4. Phot</t>
  </si>
  <si>
    <t xml:space="preserve"> Invitation to Bid for the Construction of 1 Unit 3 Classroom Bldg at Gaboc Elementary School 1.	The Local Government Unit of Manolo Fortich, through the Special Education Fund intends to apply the sum of FOUR MILLION THREE HUNDRED THOUSAND PESOS (PhP 4,30</t>
  </si>
  <si>
    <t xml:space="preserve"> INVITATION TO BID FOR  CY 2020 ENHANCED NATIONAL GREENING PROGRAM- HAULING OF SEEDLINGS UNDER MECHANIZED AND MODENIZED FOREST NURSERY DENR-ENGP-MMFN-HAULING-2020-001 1.	The Department of Environment and Natural Resources, Regional Office No. 5, Rawis, Leg</t>
  </si>
  <si>
    <t xml:space="preserve"> Name of Project:Site Development of Bancasi Rotunda JCT BCI Highway and DOP Avenue-2nd Bidding Location: Barangay Bancasi,Butuan City Duration:200 calendar days Total ABC: Php 9,900,954.74 For representative/s of interested bidders who wish to attend the </t>
  </si>
  <si>
    <t xml:space="preserve"> Title:Procurement of 1,000 Vial Rabies Vaccine(10 Dose/Vial),etc. under P.R.No. 1408-2020-Office of the City Veterinarian-2nd Bidding Total ABC: Php 1,595,798.00 For representative/s of interested bidders who wish to attend the Pre-Bidding Conference, ple</t>
  </si>
  <si>
    <t xml:space="preserve"> Republic of the Philippines PROVINCE OF NUEVA VIZCAYA Invitation to Bid for the  CONSTRUCTION OF CUTAR FARMERS ASSOCIATION CIS Located at Aritao, Nueva Vizcaya  1.	The Provincial Government of Nueva Vizcaya, through the 2020 20% Development Fund intends t</t>
  </si>
  <si>
    <t xml:space="preserve"> vaccination of 150 women and children</t>
  </si>
  <si>
    <t xml:space="preserve"> Republic of the Philippines PROVINCE OF NUEVA VIZCAYA Invitation to Bid for the  CONSTRUCTION OF MAGA-AD BAKIR CIS Located at Bagabag, Nueva Vizcaya  1.	The Provincial Government of Nueva Vizcaya, through the 2020 20% Development Fund intends to apply the</t>
  </si>
  <si>
    <t xml:space="preserve"> Procurement and delivery of materials for the Concreting of Sitio Bahay Farm to Market Road</t>
  </si>
  <si>
    <t xml:space="preserve"> Republic of the Philippines PROVINCE OF NUEVA VIZCAYA Invitation to Bid for the  CONSTRUCTION OF HUKHUKYONG PIS Located at Labang, Ambaguio, Nueva Vizcaya  1.	The Provincial Government of Nueva Vizcaya, through the 2020 20% Development Fund intends to app</t>
  </si>
  <si>
    <t xml:space="preserve"> Procurement and delivery of materials for the Construction of Multipurpose Gym at Sitio Boundary Damayan, Sapian, Capiz</t>
  </si>
  <si>
    <t xml:space="preserve"> BEST AND FINAL OFFER for the One (1) Lot Supply and Delivery Five Hundred Sixty-Seven Thousand Nine Hundred (567,900) tablets of Sevelamer Carbonate, 800mg Reference:  BFO No. 20-001 Source of Fund:   Corporate Operating Budget (COB) The National Kidney a</t>
  </si>
  <si>
    <t xml:space="preserve"> Republic of the Philippines PROVINCE OF NUEVA VIZCAYA Invitation to Bid for the  CONSTRUCTION OF LANTAP-BAKIR CIS Located at Bagabag, Nueva Vizcaya  1.	The Provincial Government of Nueva Vizcaya, through the 2020 20% Development Fund intends to apply the </t>
  </si>
  <si>
    <t xml:space="preserve"> Civil work that include concrete works</t>
  </si>
  <si>
    <t xml:space="preserve"> Republic of the Philippines LOCAL GOVERNMENT UNIT OF GINGOOG BIDS AND AWARDS COMMITTEE Gingoog City INVITATION TO BID 1.	The Local Government Unit of Gingoog City, through the Budget for the contract approved by the Sangguniang Panlungsod, intends to appl</t>
  </si>
  <si>
    <t xml:space="preserve"> 4 ROLLS PE PIPE 1'' Ø 3 ROLLS PE PIPE 2 2 1/2'' Ø  5 ROLLS PE PIPE 3/4'' Ø</t>
  </si>
  <si>
    <t xml:space="preserve"> INVITATION TO APPLY FOR ELIGIBILITY AND TO BID The Municipal Government of Piñan, Zamboanga del Norte through its Bids and Awards Committee (BAC), invites legitimate suppliers/dealers  to apply for eligibility and if found eligible, to bid for the hereund</t>
  </si>
  <si>
    <t xml:space="preserve"> Republic of the Philippines PROVINCE OF NUEVA VIZCAYA Invitation to Bid for the  CONSTRUCTION OF VISTAHILL CIS Located at Bayombong, Nueva Vizcaya  1.	The Provincial Government of Nueva Vizcaya, through the 2020 20% Development Fund intends to apply the s</t>
  </si>
  <si>
    <t xml:space="preserve"> Republic of the Philippines PROVINCE OF NUEVA VIZCAYA Invitation to Bid for the  CONSTRUCTION OF BALONG CIS Located at Labang, Ambaguio, Nueva Vizcaya  1.	The Provincial Government of Nueva Vizcaya, through the 2020 20% Development Fund intends to apply t</t>
  </si>
  <si>
    <t xml:space="preserve"> Please see attached RFQ. You may also visit our website (www.jhmc.com.ph) for more procurement opportunities. Thank you.</t>
  </si>
  <si>
    <t xml:space="preserve"> Meals and Snacks</t>
  </si>
  <si>
    <t xml:space="preserve"> Procurement and delicery of materials for the Construction of Multipurpose Gym at Sitio Boundary Damayan, Sapian, Capiz</t>
  </si>
  <si>
    <t xml:space="preserve"> Republic of the Philippines PROVINCE OF NUEVA VIZCAYA Invitation to Bid for the  CONSTRUCTION/IMPROVEMENT OF KAKIDUGUEN FTMR Located at Kasibu, Nueva Vizcaya  1.	The Provincial Government of Nueva Vizcaya, through the 2020 20% Development Fund intends to </t>
  </si>
  <si>
    <t xml:space="preserve"> Stainless Steel  Compression Sprayer</t>
  </si>
  <si>
    <t xml:space="preserve"> Rain Water Collector 	 			 	 Cost of Bidding Documents: Php 5,000.00					 Source of Funds: SR2020-03-0039459 The significant times and deadlines of procurement activities are shown below: 1. Issuance of Bidding Documents	Deadline: June 8 – June 24, 2020, </t>
  </si>
  <si>
    <t xml:space="preserve"> General Requirements, Occupational Safety and Health Program, Site Clearing and Layout, Excavation and Backfilling, Embankment, Reinforcing Steel (Grade 40), Structural Concrete (21Mpa), Masonry Works, Plastering Works, Stainless Railings, Roofing and roo</t>
  </si>
  <si>
    <t xml:space="preserve"> 530 pcs - Smart prepiad cards, 300s 93 pcs - TNT prepaid cards, 300 65 pcs - GLOBE prepaid cards, 300s 32 pcs - TM prepaid cards, 300s</t>
  </si>
  <si>
    <t xml:space="preserve"> Completion of Multi-Purpose Building</t>
  </si>
  <si>
    <t xml:space="preserve"> Civil work that include concrete work</t>
  </si>
  <si>
    <t xml:space="preserve"> Completion of 2 Storey MPB with Common Toilet and Pantry</t>
  </si>
  <si>
    <t xml:space="preserve"> Construction of Concrete Road:  Length= 5,280.00m; Width= 5.00m; Thickness= 0.23m; Area= 28,230.424 sq.m. Double Barrel: 3x3x12, Single Barrel: 3x3x10</t>
  </si>
  <si>
    <t xml:space="preserve"> Republic of the Philippines                                                     PROVINCE OF SAMAR                                                        2nd INVITATION TO BID                                               Supply of Electrical Equipment 1) </t>
  </si>
  <si>
    <t xml:space="preserve"> Republic of the Philippines                                                     PROVINCE OF SAMAR                                                         INVITATION TO BID                                                       Supply of Fishing Gears 1) Th</t>
  </si>
  <si>
    <t xml:space="preserve"> MULTIPLE OFFICES -- Assorted Motorcycles -- Please see attached file/document on associated components or BAC website www.davaocityportal.com (BAC posting) for the complete descriptions, terms of conditions and terms of references. Bidding will be conduct</t>
  </si>
  <si>
    <t xml:space="preserve"> 1   Unit   CARGO TRUCK                 *(6 Wheeler Dump Truck) – 5.5 – 6 Cu.m. Capacity - Diesel, four strike direct injection engine - Maximum Output: 120 HP – 160 HP - Rotation Speed: 2500 RPM – 2800 RPM - Euro II Emission Standard - 4 Cylinders with wa</t>
  </si>
  <si>
    <t xml:space="preserve"> Republic of the Philippines CENTRAL BICOL STATE UNIVERSITY OF AGRICULTURE-SIPOCOT 	Impig, Sipocot, Camarines Sur INVITATION TO BID FOR SUPPLY AND DELIVERY OF ONE (1) UNIT PASSENGER VAN 1.	The CENTRAL BICOL STATE UNIVERSITY OF AGRICULTURE (CBSUA) - SIPOCOT</t>
  </si>
  <si>
    <t xml:space="preserve"> CONSTRACTION OF WATER SYSTEM</t>
  </si>
  <si>
    <t xml:space="preserve"> Republic of the Philippines LOCAL GOVERNMENT UNIT OF GINGOOG BIDS AND AWARDS COMMITTEE Gingoog City 	INVITATION TO BID	 PURCHASE OF TRUCK SCALE FOR THE RECORDS OF SANITARY LANDFILL UNDER P.R. NO. 80-20-03-038 (CHARGED TO: 20% DEVELOPMENT FUND 2017 (SOLID </t>
  </si>
  <si>
    <t xml:space="preserve"> Republic of the Philippines				 Province of Lanao del Norte				 Municipality of Lala				 Office of the Municipal General Services	 			                                                                                      _______________ 				               </t>
  </si>
  <si>
    <t xml:space="preserve"> CMO/CIPD  1 1 Set DSLR Camera with Versatile Camera Lens  EOS RP (RF24-240mm f/4-6.3 IS USM) 26.2 MP Full-Frame Mirrorless Interchanged Lens Camera 0.05 secs focusing time 4,779 selectable focus positions EV-5 focusing limit Eye Detection AF (One Shot &amp; S</t>
  </si>
  <si>
    <t xml:space="preserve"> CENRO - GEN ADMIN  1 1 Unit/s RADIO REPEATER, STATION, with PTT Mic, with complete accessories, with one (1) year warranty on parts and on-site services, with NTC permit and license Specification: * Frequency Range : VHFI : 136-174 MHz * RF Power output: </t>
  </si>
  <si>
    <t xml:space="preserve"> Republic of the Philippines Province of Negros Occidental CITY OF TALISAY INVITATION TO BID  FOR THE Purchase of Eight (8) units of Assault Rifle   For the use of Talisay PNP of the   City of Talisay 1.	The City of Talisay, through the PNP Capital Outlay </t>
  </si>
  <si>
    <t xml:space="preserve"> Description   Republic of the Philippines Province of Quezon Municipality of San Francisco BIDS &amp; AWARDS COMMITTEE INVITATION TO APPLY FOR ELIGIBILITY AND TO BID The Municipality of San Francisco through 20% Development  Fund intends to apply the sum of O</t>
  </si>
  <si>
    <t xml:space="preserve"> INVITATION TO RE-BID FOR THE  SUPPLY AND DELIVERY OF GIS DESKTOP SOFTWARE PR No. 27611-001  1.	The Metropolitan Cebu Water District, through the Corporate Budget of 2020 intends to apply the sum of: PR No.	Description	Qty.	Unit Price	Approved Budget  for </t>
  </si>
  <si>
    <t xml:space="preserve"> Republic of the Philippines BIDS AND AWARDS COMMITTEE 9017 Población, El Salvador City Misamis Oriental  Email: bac.elsalvadorcity@gmail.com INVITATION TO BID for the PROCUREMENT OF CONSTRUCTION MATERIALS FOR ROAD MAINTENANCE  	 The LGU-El Salvador City, </t>
  </si>
  <si>
    <t xml:space="preserve"> INVITATION TO RE-BID FOR THE  SUPPLY, DELIVERY, AND INSTALLATION OF LOCAL AREA NETWORK (LAN) STRUCTURED CABLING IN THE NEW MSSD BUILDING, TALAMBAN, CEBU CITY PR No. 27608-001 1.	The Metropolitan Cebu Water District, through the Corporate Budget of 2020 in</t>
  </si>
  <si>
    <t xml:space="preserve"> CITY AGRI OFFICE CPDO  -- Assorted Chairs and Tables -- Please see attached file/document on associated components or BAC website www.davaocityportal.com (BAC posting) for the complete descriptions, terms of conditions and terms of references. Bidding wil</t>
  </si>
  <si>
    <t xml:space="preserve"> INVITATION TO RE-BID FOR THE  SUPPLY, DELIVERY, AND INSTALLATION OF FIRE SUPRESSION SYSTEM PR No. 27388-001 1.	The Metropolitan Cebu Water District, through the Corporate Budget of 2020 intends to apply the sum of: PR No.	Description	Qty.	Unit Price	Appro</t>
  </si>
  <si>
    <t xml:space="preserve"> INVITATION TO RE-BID FOR THE  SUPPLY AND DELIVERY OF COMPUTER NOTEBOOK PR Nos. 27619-001 to 27619-003 1.	The Metropolitan Cebu Water District, through the Corporate Budget of 2020 intends to apply the sum of: PR No.	Description	Qty.	Unit Price	Approved Bu</t>
  </si>
  <si>
    <t xml:space="preserve"> MULTIPLE OFFICES -- Assorted Airconditioners and airconditioning system -- Please see attached file/document on associated components or BAC website www.davaocityportal.com (BAC posting) for the complete descriptions, terms of conditions and terms of refe</t>
  </si>
  <si>
    <t xml:space="preserve"> Republic of the Philippines Province of Camarines Sur MUNICIPALITY OF PAMPLONA BIDS AND AWARDS COMMITTEE Poblacion, Pamplona, Camarines Sur 4416 Invitation to Bid for Construction of Bleachers and Multi-Purpose Hall (TESDA, Senior Citizen Building and oth</t>
  </si>
  <si>
    <t xml:space="preserve"> INVITATION TO BID June 4, 2020 The Eastern Visayas Regional Medical Center, through its Bids and Awards Committee (BAC A) invites suppliers/manufacturers/distributors to bid for the hereunder project:  Item/Description	Approved Budget for the Contract (AB</t>
  </si>
  <si>
    <t xml:space="preserve"> Republic of the Philippines DEPARTMENT OF PUBLIC WORKS AND HIGHWAYS OFFICE OF THE REGIONAL DIRECTOR Regional Office No. IV-A EDSA, Quezon City          REQUEST FOR EXPRESSION OF INTEREST (REI) FOR CONSULTING SERVICES     The Department of Public Works and</t>
  </si>
  <si>
    <t xml:space="preserve"> MULTIPLE OFFICES -- Assorted Computer Equipment -- Please see attached file/document on associated components or BAC website www.davaocityportal.com (BAC posting) for the complete descriptions, terms of conditions and terms of references. Bidding will be </t>
  </si>
  <si>
    <t xml:space="preserve"> CONSTRUCTION MATERIALS FOR THE REHABILITATION/IMPROVEMENT OF COMFORT ROOM SUPPLIES AND MATERIALS Water Clossets w/ Accessories 2 units, Urinal 1 unit, PVC-Door (.60m) 2 units, CHB 4” 500 pcs., Cement 44 bags, Mixed Aggregates 4 cu.m., PVC Blue 1/2”Ø 19 pc</t>
  </si>
  <si>
    <t xml:space="preserve"> Materials for the Improvement of Manpower Development Center ( Sports Center) Pob. Ilaud, Zarraga, Iloilo</t>
  </si>
  <si>
    <t xml:space="preserve"> SANGGUNIANG PANLUNGSOD  1 100 Piece/s T-Shirt, 1st Class Honey Comb, Short Sleeves with Collar, Color Combination, with Embroidered Logo, following prescribed design. (Coun. Abellera)  2 80 Piece/s T-Shirt, Polydex, with Collar and Sleeves, SUBLIMATION, t</t>
  </si>
  <si>
    <t xml:space="preserve"> CITY HEALTH OFFICE CITY AGRICULTURIST OFFICE -- Assorted Medical supplies and materials -- Please see attached file/document on associated components or BAC website www.davaocityportal.com (BAC posting) for the complete descriptions, terms of conditions a</t>
  </si>
  <si>
    <t xml:space="preserve"> Construction of road</t>
  </si>
  <si>
    <t xml:space="preserve"> CITY AGRICULTURIST OFFICE   1 250 piece/s Market Bouys, 12" diameter styrofoam ball Delivery Period : 15 Days Upon Receipt of Approved P.O. Please see attached file/document on associated components or BAC website www.davaocityportal.com (BAC posting) for</t>
  </si>
  <si>
    <t xml:space="preserve"> CITY AGRICULTURIST OFFICE -- Assorted Fertilizer, Fungicide, Herbicide, Insecticide --- Please see attached file/document on associated components or BAC website www.davaocityportal.com (BAC posting) for the complete descriptions, terms of conditions and </t>
  </si>
  <si>
    <t xml:space="preserve"> Item Description                     Quantity                Unit of Use Printer Multi-Function Inkjet         2                            Unit Laptop: X409UA HT731T, Core     4                            Unit i3/4GB/1TB HDD,NO OS/14"</t>
  </si>
  <si>
    <t xml:space="preserve"> * CITY TREASURER'S OFFICE  1 20 Piece/s Printer Head for Epson LQ 2190  Delivery Period : 30 Days Upon Receipt of Approved P.O. Please see attached file/document on associated components or BAC website www.davaocityportal.com (BAC posting) for the complet</t>
  </si>
  <si>
    <t xml:space="preserve"> Construction of Concrete Road Length= 2,882.838m, Width= variable, Thickness= 0.23m, Area= 4,800.271 sq.m. Approach Bridge: Length= 496.479m, Width= 6.7m, Thickness= 0.28m, Area= 3,326.409 sq.m.</t>
  </si>
  <si>
    <t xml:space="preserve"> Acquisition of IT Equipments for Department of Education Items: 1. 5 units Desktop Computers     Specifications:        Core i3        8GB DDR4        1 TB HDD SATA        Casing/Power Supply 650 watts        USB Keyboard &amp; Mouse        18.5 LED Monitor  </t>
  </si>
  <si>
    <t xml:space="preserve"> CITY AGRICULTURIST OFFICE -- Assorted Seeds and Seedlings -- Please see attached file/document on associated components or BAC website www.davaocityportal.com (BAC posting) for the complete descriptions, terms of conditions and terms of references. Biddin</t>
  </si>
  <si>
    <t xml:space="preserve"> Construction of Concrete Road Length= 5,689.80m, Width= variable, Thickness= 0.23m, Area= 19,117.45 sq.m. (including flare) Drainage (Culvert Pipes 60" dia &amp; 36" dia) Length= 9.00 ln.m. &amp; 24.00 ln.m.</t>
  </si>
  <si>
    <t xml:space="preserve"> CMO-PSSCC  1 3 unit/s Flash ligth w/ metal body, 4 double AA batteries, rechargeable Delivery Period : 15 Days Upon Receipt of Approved P.O. Please see attached file/document on associated components or BAC website www.davaocityportal.com (BAC posting) fo</t>
  </si>
  <si>
    <t xml:space="preserve"> SUPPLY AND DELIVERY OF FABRICATED RECYCLABLE BINS - Order of payment for Bid Docs will be available at GSD-Head Office @ 10th Floor Makati City Hall Bldg. 2.  Look for Mr. Reden Villanueva. - A  complete set of Bidding Documents will be available from day</t>
  </si>
  <si>
    <t xml:space="preserve"> Davao City Treatment &amp; Rehabilitation Center -- Assorted Grocery Items -- Please see attached file/document on associated components or BAC website www.davaocityportal.com (BAC posting) for the complete descriptions, terms of conditions and terms of refer</t>
  </si>
  <si>
    <t xml:space="preserve"> Concreting of Road: Width= 5m, thickness= 0.23m, total length= 1.580 Km/3.160 Lane-Km Construction of Box Culvert, Drainage and Provision of Hazard Markers and Reflectorized Pavement Markings</t>
  </si>
  <si>
    <t xml:space="preserve"> ITEMS OF WORK INCLUDES: - MANUAL HAULING OF MATERIALS FROM ROADSIDE TO JOBSITE - SITE PREPARATION, CLEARING, &amp; LEVELING - EXCAVATION - REINFORCING STEEL BAR - FORMWORKS - STRUCTURAL CONCRETE - 4" THICK CHB WITH REBARS - PLASTERING WORKS - PLUMBING WORKS -</t>
  </si>
  <si>
    <t xml:space="preserve"> Construction of Concrete Road: Length= 3,323.529m, Width= Variable, Thickness= 0.23m, Area= 13,404.97 sq.m. Drainage (CHB 4" Line Canal) Length= 345.93m, Width= Variable, Height= 1.00m</t>
  </si>
  <si>
    <t xml:space="preserve"> CITY ENGINEER'S OFFICE -- Assorted Mechanical parts -- Please see attached file/document on associated components or BAC website www.davaocityportal.com (BAC posting) for the complete descriptions, terms of conditions and terms of references. Bidding will</t>
  </si>
  <si>
    <t xml:space="preserve"> The BAC is conducting the public bidding for this Contract pursuant to GPPB Circular 06-2019 dated July 17, 2019 (Guidelines on the Implementation of Early Procurement Activities) in relation to the provisions of the Republic Act 9184 and its Implementing</t>
  </si>
  <si>
    <t xml:space="preserve"> Republic of the Philippines				 Province of Lanao del Norte				 Municipality of Lala				 Office of the Municipal General Services				 				_________________________ 				Date CANVASS				 				 				 	Sir/Madam:			 		Please quote your lowest price for the foll</t>
  </si>
  <si>
    <t xml:space="preserve"> Republic of the Philippines City of Dapitan BIDS AND AWARDS COMMITTEE INVITATION TO BID June 04, 2020 	 The City Government of Dapitan, through its Bids and Awards Committee (BAC), invites interested parties to apply for eligibility and, if found eligible</t>
  </si>
  <si>
    <t xml:space="preserve"> Tablet Specs. -WiFi Ready -3G or 4G -7" Display Screen (1024 x 600) -Camera -GPS Chip (not assisted GPS through the Net) -at least Dual Core Processor or Higher -Android 4.1 or Higher -USB (to connect with the computer) -Li-ion 4000 Mah Battery (1200 hrs.</t>
  </si>
  <si>
    <t xml:space="preserve"> INVITATION TO APPLY FOR ELIGIBILITY TO BID The Local Government Unit of Matag-ob, through its Bids and Awards Committee (BAC), invites Suppliers /Manufacturers/Distributors/ Contractors to apply for eligibility and to bid for the hereunder projects. Name </t>
  </si>
  <si>
    <t xml:space="preserve"> 1 UNIT LAPTOP  1 UNIT PROJECTOR WITH SCREEN 1 SALA SET</t>
  </si>
  <si>
    <t xml:space="preserve"> Republic of the Philippines Province of Negros Occidental MUNICIPALITY OF HINOBA-AN Bids and Awards Committee E-mail: municipality_hinobaan@yahoo.com INVITATION TO BID The Municipality of  Hinoba-an, Negros Occidental through its Bids and Awards Committee</t>
  </si>
  <si>
    <t xml:space="preserve"> REPAIR OF VARIOUS MEDICAL EQUIPMENT (2 LOTS) LOT 1: REPAIR OF MEDICAL EQUIPMENT (ULTRASOUND MACHINE – HITACHI F37) LOT 2: REPAIR OF MEDICAL EQUIPMENT (INFANT INCUBATOR – WEYER VITA) - Order of payment for Bid Docs will be available at GSD-Head Office @ 10</t>
  </si>
  <si>
    <t xml:space="preserve"> INVITATION TO BID SUPPLY &amp; DELIVERY OF AIRCONDITIONING UNIT Reference No.: GDS-20-054 The MUNICIPAL GOVERNMENT OF DARAGA, through the Municipal Annual Budget, intends to apply the sum of Two Hundred Eighty Three Thousand Pesos (P283,000.00)  being the App</t>
  </si>
  <si>
    <t xml:space="preserve"> SUPPLY AND DELIVERY OF MEDICAL EQUIPMENT ACCESSORIES FOR INFUSION PUMPS (JMS AND TERUMO BATTERIES) - Order of payment for Bid Docs will be available at GSD-Head Office @ 10th Floor Makati City Hall Bldg. 2.  Look for Mr. Reden Villanueva. - A  complete se</t>
  </si>
  <si>
    <t xml:space="preserve"> SUPPLY, DELIVERY AND INSTALLATION OF FURNITURE AND FIXTURES FOR THE CITY CIVIL REGISTRATION OFFICE - Order of payment for Bid Docs will be available at GSD-Head Office @ 10th Floor Makati City Hall Bldg. 2.  Look for Mr. Reden Villanueva. - A  complete se</t>
  </si>
  <si>
    <t xml:space="preserve"> (LOT.) Project Informative Billboard and Temporary Facilities (LOT.) Heavy Equipment Mobilization and Demobilization (SQ.M.) Clearing and Grubbing (with Stripping) (CU.M.) Roadway Excavation (CU.M.) Embankment (SQ.U.) Sub-grade Preparation (CU.M.) Aggrega</t>
  </si>
  <si>
    <t xml:space="preserve"> SUPPLY, DELIVERY AND INSTALLATION OF LABORATORY INFORMATION SYSTEM (LIS) FOR OSPITAL NG MAKATI  - Order of payment for Bid Docs will be available at GSD-Head Office @ 10th Floor Makati City Hall Bldg. 2.  Look for Mr. Reden Villanueva. - A  complete set o</t>
  </si>
  <si>
    <t xml:space="preserve"> (LOT.) Project Informative Billboard and Temporary Facilities (LOT.) Heavy Equipment Mobilization and Demobilization (SQ.M.) Clearing and Grubbing (with Stripping) (CU.M) Roadway Excavation (CU.M.) Embankment (SQ.M.) Sub-grade Preparation (CU.M.) Aggregat</t>
  </si>
  <si>
    <t xml:space="preserve"> Republic of the Philippines          City of Dumaguete Bids and Awards Committee INVITATION TO BID FOR PURCHASE REQUEST OF 20 BOX IBUPROFEN 400MG TABLET AND OTHER ITEMS 	The City of Dumaguete thru its BIDS AND AWARDS COMMITTEE (BAC), invites all intereste</t>
  </si>
  <si>
    <t xml:space="preserve"> SUPPLY AND DELIVERY OF CRAWLER EXCAVATOR - Order of payment for Bid Docs will be available at GSD-Head Office @ 10th Floor Makati City Hall Bldg. 2.  Look for Mr. Reden Villanueva. - A  complete set of Bidding Documents will be available from day of posti</t>
  </si>
  <si>
    <t xml:space="preserve"> SUPPLY AND INSTALLATION OF CCTV CAMERA IN ADMIN AND ACADEMIC BUILDING - Order of payment for Bid Docs will be available at GSD-Head Office @ 10th Floor Makati City Hall Bldg. 2.  Look for Mr. Reden Villanueva. - A  complete set of Bidding Documents will b</t>
  </si>
  <si>
    <t xml:space="preserve"> INVITATION TO BID The LOCAL GOVERNMENT UNIT OF SANTO TOMAS,  through its Bids and Awards Committee (BAC), invites suppliers/ manufacturers/distributors/ contractors to apply for eligibility and to bid for the hereunder projects to be undertaken on  June 2</t>
  </si>
  <si>
    <t xml:space="preserve"> SUPPLY AND DELIVERY OF MEDICAL, DENTAL AND LABORATORY SUPPLIES FOR VARIOUS DEPARTMENTS/OFFICES OF THE CITY GOVERNMENT OF MAKATI - Order of payment for Bid Docs will be available at GSD-Head Office @ 10th Floor Makati City Hall Bldg. 2.  Look for Mr. Reden</t>
  </si>
  <si>
    <t xml:space="preserve"> SUPPLY, DELIVERY AND INSTALLATION OF DESKTOP AND LAPTOP COMPUTERS FOR VARIOUS OFFICES/DEPARTMENTS OF CITY GOVERNMENT OF MAKATI - Order of payment for Bid Docs will be available at GSD-Head Office @ 10th Floor Makati City Hall Bldg. 2.  Look for Mr. Reden </t>
  </si>
  <si>
    <t xml:space="preserve"> 1.) 	 1 	 - Unit 	 - Motor Vehicle (Passenger Van) 			 			Engine: 2.80 Diesel Manual Transmission, 4 cylinders 			Displacement: 2.755cc 			Maximum Output: 176/3,400 			Fuel Tank Capacity: 70L 			Emission Standard: EURO 4 			Tires: 235/65 R16 			Seating Ca</t>
  </si>
  <si>
    <t xml:space="preserve"> Description 1. Name of Project: Procurement of 2 (Two) Units Motorcycle for Early Warning and Monitoring Location: Bugasong, Antique Brief Description: 2 Units Motor Cycle, LTO Registered in the name of Municipality of Bugasong Engine Type: 4 Stroke Singl</t>
  </si>
  <si>
    <t xml:space="preserve"> SUPPLY AND DELIVERY OF STENOGRAPH MACHINES - Order of payment for Bid Docs will be available at GSD-Head Office @ 10th Floor Makati City Hall Bldg. 2.  Look for Mr. Reden Villanueva. - A  complete set of Bidding Documents will be available from day of pos</t>
  </si>
  <si>
    <t xml:space="preserve"> DESIGN, LAYOUT AND PRINTING OF MAKATI TOURIST MAPS - Order of payment for Bid Docs will be available at GSD-Head Office @ 10th Floor Makati City Hall Bldg. 2.  Look for Mr. Reden Villanueva. - A  complete set of Bidding Documents will be available from da</t>
  </si>
  <si>
    <t xml:space="preserve"> Construction of 1.995 lane km. concrete road</t>
  </si>
  <si>
    <t xml:space="preserve"> 1 LOT Equipment and Facilities for the Rehabilitation of Old Engineering Building Item Description: ( Please see the Official Bidding Form for the full specification of each items) [2 UNITS] Wireless spectrometer with Fiber Optic Cable Accessory Concepts </t>
  </si>
  <si>
    <t xml:space="preserve"> CONSTRUCTION MATERIALS AND SUPPLIES MATERIALS: Drop Wire 1, 440 meters, Lamp Holders 48 sets, Led Lamp Bulb 25 watts 48 pcs., G.I. pipe 3” SCH 40 48 pcs. G.I. Pipe 1 ½” SCH 20 13 pcs., THNN Wire #14 48 meters, THNN Wire #10 44 meters, Electrical Tape 12 r</t>
  </si>
  <si>
    <t xml:space="preserve"> SUPPLY AND DELIVERY OF MATERIALS, TOOLS AND PPES FOR VARIOUS PROJECTS OF EEMO,DEPW AND GSD - Order of payment for Bid Docs will be available at GSD-Head Office @ 10th Floor Makati City Hall Bldg. 2.  Look for Mr. Reden Villanueva. - A  complete set of Bid</t>
  </si>
  <si>
    <t xml:space="preserve"> Republic of the Philippines          City of Dumaguete Bids and Awards Committee INVITATION TO BID FOR PURCHASE REQUEST OF 185 BAGS PORTLAND CEMENT (40 KGS/BAG) AND OTHER ITEMS 	The City of Dumaguete thru its BIDS AND AWARDS COMMITTEE (BAC), invites all i</t>
  </si>
  <si>
    <t xml:space="preserve"> 1	 1.00 	unit	Fabrication of Informative Signs, 3mm thk Aluminum Sheet rectangular shape, 450mm x 750mm incl. Printing w/ 3m Sticker Coated (Ormoc) 2	 3.00 	length	 1-1/2" x 1/4" THK Flat Bar, 6m long (Baybay) 3	 3.00 	length	2" dia. G.i Pipe , Schedule 4</t>
  </si>
  <si>
    <t xml:space="preserve"> (SET) RAM PUMP AND PRE-FABRICATED MATERIALS (SET) IMPOUNDING TANK (4M X 1M X 0.80M) (SET)  DIVERSION PIPELINE AND BYPASS (50M AND 60M) (SETS) CATCHMENT TANK (1.20M X 1.2M X 1M) (SET) DRIVE PIPE AND SUPPORT STAND (SETS) RAM PUMP FOUNDATION AND SAFETY COVER</t>
  </si>
  <si>
    <t xml:space="preserve"> 1.	The LGU - CORELLA, BOHOL, through the budget approved by the Sanggunian per Municipal Ordinance No. 2019-15 under 20% development fund intends to apply the sum of PHP 1,658,802.91 being the Approved Budget for the Contract (ABC) to payments under the c</t>
  </si>
  <si>
    <t xml:space="preserve"> PRINTING OF MATERIALS AND FORMS FOR VARIOUS DEPARTMENTS - Order of payment for Bid Docs will be available at GSD-Head Office @ 10th Floor Makati City Hall Bldg. 2.  Look for Mr. Reden Villanueva. - A  complete set of Bidding Documents will be available fr</t>
  </si>
  <si>
    <t xml:space="preserve"> PRINTING OF MAKATI ANNUAL REPORTS 2019 WITH DOCUMENTARY ENVELOPE - Order of payment for Bid Docs will be available at GSD-Head Office @ 10th Floor Makati City Hall Bldg. 2.  Look for Mr. Reden Villanueva. - A  complete set of Bidding Documents will be ava</t>
  </si>
  <si>
    <t xml:space="preserve"> Construction of Bridge: Length= 45.00m Road: Length= 207.00 ln.m., Width= 6.70 m., Area= 1,386.90 sq.m.</t>
  </si>
  <si>
    <t xml:space="preserve"> CONCRETE WORKS AND ELECTRICAL WORKS MATERIALS: QTY.  UNIT   PARTICULARS 20 SETS 8" AMGLOBE (HALF CLEAR) W/1-1/2 " ADAPTOR 2000 MTRS.  3.5 MM TW WIRE 20  PCS. ELECTRICAL TAPE 10 ROLLS RUBBER TAPE 10 PCS. 1 1/2" G.I. PIPE 20 LENGTHS 10MM RSB 20 PCS. 11W LED</t>
  </si>
  <si>
    <t xml:space="preserve"> Republic of the Philippines Province of Leyte MUNICIPALITY OF HILONGOS Invitation to Bid  1.	The  Local Government Unit of Hilongos  through its Bids and Awards Committee (BAC), hereby invites Domestic Contractors registered with and classified by the Phi</t>
  </si>
  <si>
    <t xml:space="preserve"> PURCHASE OF SUPPLIES AND MATERIALS FOR ACTIVITIES/PROGRAMS OF VARIOUS OFFICES/DEPARTMENTS OF THE CITY GOVERNMENT OF MAKATI - Order of payment for Bid Docs will be available at GSD-Head Office @ 10th Floor Makati City Hall Bldg. 2.  Look for Mr. Reden Vill</t>
  </si>
  <si>
    <t xml:space="preserve"> 5 UNIT OF GARBAGE BIN USE FOR GARBAGE COLLECTION</t>
  </si>
  <si>
    <t xml:space="preserve"> CONSTRUCTION MATERIALS AND SUPPLIES MATERIALS: Drop Wire 1230 meters, Lamp Holders 40 sets, Led Lamp Bulb 25 watts 40 pcs., G.I. Pipe 3” SCH 40 40 pcs., G.I Pipe 1 ½” SCH 20 15 pcs., THHN Wire# 14 50 meters, THHN #10 55 meters, Electrical Tape 20 rolls, C</t>
  </si>
  <si>
    <t xml:space="preserve"> SUPPLY AND DELIVERY OF MEALS FOR ACTIVITIES OF VARIOUS DEPARTMENTS/OFFICES OF THE CITY GOVERNMENT OF MAKATI - Order of payment for Bid Docs will be available at GSD-Head Office @ 10th Floor Makati City Hall Bldg. 2.  Look for Mr. Reden Villanueva. - A  co</t>
  </si>
  <si>
    <t xml:space="preserve"> Construction (Completion) of Multi-Purpose Building (360.00 sq.m.) includes repainting of existing structure, replacement of stage flooring, fence (front only), repair/replacement of damage roofing and gutter, construction of stage roofing</t>
  </si>
  <si>
    <t xml:space="preserve"> Department of Public Works and Highways (DPWH) Contract ID: 20G00098 Contract Name: Construction of Revetment at Sibalom Bridge (Abutment B Downstream and Upstream) Pangpang, Sibalom, Antique Location of the Contract: Sibalom, Antique --------------------</t>
  </si>
  <si>
    <t xml:space="preserve"> Republic of the Philippines LOCAL GOVERNMENT UNIT OF GINGOOG BIDS AND AWARDS COMMITTEE Gingoog City 	INVITATION TO BID	 PURCHASE OF DAIRY STOCKS UNDER P.R. NO. 50-20-05-042 (CHARGED TO: 20&amp; DF DAIRY PRODUCTION (DAIRY STOCKS, HF X JERSEY, PREGNANT)) 1.	The</t>
  </si>
  <si>
    <t xml:space="preserve"> Republic of the Philippines DEPARTMENT OF PUBLIC WORKS AND HIGHWAYS BATANGAS II  DISTRICT ENGINEERING OFFICE REGIONAL OFFICE IV-A Kumintang Ilaya, Batangas City INVITATION TO BID For Repair and Maintenance of Road Safety Facilities 1.	The Department of Pu</t>
  </si>
  <si>
    <t xml:space="preserve"> Republic of the Philippines          City of Dumaguete Bids and Awards Committee INVITATION TO BID FOR PURCHASE REQUEST OF 476 BAGS PORTLAND CEMENT (40 KGS/BAG) AND OTHER ITEMS 	The City of Dumaguete thru its BIDS AND AWARDS COMMITTEE (BAC), invites all i</t>
  </si>
  <si>
    <t xml:space="preserve"> SUPPLY AND DELIVERY OF FOOD SUPPLIES FOR FOOD ASSISTANCE AND NUTRI-BATA PROJECTS (2 LOTS) LOT 1: SUPPLY AND DELIVERY OF COMMERCIAL RICE LOT 2: SUPPLY AND DELIVERY OF OTHER FOOD SUPPLIES (EGGS-MONGGO) - Order of payment for Bid Docs will be available at GS</t>
  </si>
  <si>
    <t xml:space="preserve"> SUPPLY AND DELIVERY OF BIRTHDAY CAKES FOR THE CITY EMPLOYEES THROUGH ORDERING AGREEMENT - Order of payment for Bid Docs will be available at GSD-Head Office @ 10th Floor Makati City Hall Bldg. 2.  Look for Mr. Reden Villanueva. - A  complete set of Biddin</t>
  </si>
  <si>
    <t xml:space="preserve"> Republic of the Philippines DEPARTMENT OF PUBLIC WORKS AND HIGHWAYS OFFICE OF THE REGIONAL DIRECTOR Region VII                                                                                                                        South Road Properties (SR</t>
  </si>
  <si>
    <t xml:space="preserve"> Civil Works that include concrete work</t>
  </si>
  <si>
    <t xml:space="preserve"> UNIVERSITY OF THE PHILIPPINES MANILA The Health Sciences Center 8/F PGH Central Block Bldg,  Taft Avenue, Manila INVITATION TO BID PROPOSED REHABILITATION AND RENOVATION OF  REMAINING BASIC SCIENCE LABORATORIES SALCEDO HALL, COLLEGE OF MEDICINE UNIVERSITY</t>
  </si>
  <si>
    <t xml:space="preserve"> Medical, Dental, &amp; Laboratory Supplies</t>
  </si>
  <si>
    <t xml:space="preserve"> SUPPLY AND DELIVERY OF COMMERCIAL RICE FOR MAKATI CITY JAIL - Order of payment for Bid Docs will be available at GSD-Head Office @ 10th Floor Makati City Hall Bldg. 2.  Look for Mr. Reden Villanueva. - A  complete set of Bidding Documents will be availabl</t>
  </si>
  <si>
    <t xml:space="preserve"> Republic of the Philippines Province of Bohol Municipality of Ubay INVITATION TO BID FOR PURCHASE OF DELIVERY VAN VEHICLE FOR NUTRITION  FEEDING PROGRAM 1.	1. The Municipality of Ubay, through the Annual Budget 2020 (Capital Outlay) intends to apply the s</t>
  </si>
  <si>
    <t xml:space="preserve"> PROPOSED CONSTRUCTION OF COLUMBARIUM COMPLEX LOCATED AT KALAYAAN AVENUE CORNER N. GARCIA STREET, BARANGAY VALENZUELA, MAKATI CITY - Order of payment for Bid Docs will be available at GSD-Head Office @ 10th Floor Makati City Hall Bldg. 2.  Look for Mr. Red</t>
  </si>
  <si>
    <t xml:space="preserve"> 100 REAMS BOND PAPER LONG 75 REAMS Bond paper short 125 pcs. folder long 100 pcs. folder short 100 pcs. colored folder long 50 pcs. expandered folder long hard bond 100 pcs. each envelope long and short 25 boxes fastener 100 pcs.ballpen black, 50 pcs. red</t>
  </si>
  <si>
    <t xml:space="preserve"> Republic of the Philippines          City of Dumaguete Bids and Awards Committee INVITATION TO BID FOR PURCHASE REQUEST OF 450 BOTS OIL-BASED MOSQUITO REPELLANT LOTION WITH CITRONELLA AND OTHER ITEMS 	The City of Dumaguete thru its BIDS AND AWARDS COMMITT</t>
  </si>
  <si>
    <t xml:space="preserve"> INVITATION TO BID  Supply and Delivery of Poultry Feeds for use under Livestock and Poultry Program 	The Department of Agriculture Regional Field Office No. 5, through the General Appropriation Act   for CY 2020-Livestock intends to apply the sum of One M</t>
  </si>
  <si>
    <t xml:space="preserve"> INVITATION TO BID  Supply and Delivery of (9,375) Nine Thousand Three Hundred Seventy-Five Heads Free Ranged Chicken and (1,768) One Thousand Seven Hundred Sixty-Eight Heads Ducks for use under Livestock and Poultry Program 	The Department of Agriculture </t>
  </si>
  <si>
    <t xml:space="preserve"> Installation of 4,000 liters Rainwater Collector</t>
  </si>
  <si>
    <t xml:space="preserve"> Republic of the Philippines          City of Dumaguete Bids and Awards Committee INVITATION TO BID FOR PURCHASE REQUEST OF 16 CU.M SAND (STD. SPECS) AND OTHER ITEMS 	The City of Dumaguete thru its BIDS AND AWARDS COMMITTEE (BAC), invites all interested ma</t>
  </si>
  <si>
    <t xml:space="preserve"> Republic of the Philippines LOCAL GOVERNMENT UNIT OF GINGOOG BIDS AND AWARDS COMMITTEE Gingoog City 	INVITATION TO BID	 PURCHASE OF CONSTRUCTION MATERIALS AND SUPPLIES FOR FENCING @ BARANGAY LUNOTAN, GINGOOG CITY UNDER P.R. NO. 20-20-02-044 (CHARGED TO: 2</t>
  </si>
  <si>
    <t xml:space="preserve"> Invitation to Bid for the  CONSTRUCTION OF MULTI-PURPOSE HALL/EVACUATION CENTER-PHASE V AT BUGALLON PROPER, RAMON, ISABELA 1.	The LGU-RAMON, ISABELA, through the Budget for the contract approved by the Sanggunian intends to apply the sum of P15,000,000.00</t>
  </si>
  <si>
    <t xml:space="preserve"> RE-INVITATION TO BID  The Department of Public Works and Highways – Cordillera Administrative Region, through its Bids and Awards Committee (BAC) for Goods, invites suppliers to submit bids for the contract below: Contract ID No.:	20GP00033 Contract Name:</t>
  </si>
  <si>
    <t xml:space="preserve"> BATCH 1 Item 	Quantity	Unit of	Item Description	 No.		Issue		 1	480	bag	Bt Corn Seeds P3774YHR	 2	480	liter	Organic Foliar Fertilizer (11-3-4)	 3	960	bag	Complete Fertilizer (14-14-14)	 4	720	bag	Urea (46-0-0)	 5	300	liter	Glyphosate Herbicide	 BATCH 2 It</t>
  </si>
  <si>
    <t xml:space="preserve"> Medical, Dental &amp; Supplies</t>
  </si>
  <si>
    <t xml:space="preserve"> Republic of the Philippines          City of Dumaguete Bids and Awards Committee INVITATION TO BID FOR PURCHASE REQUEST OF 7 CU.M SAND STD. SPECS AND OTHER ITEMS 	The City of Dumaguete thru its BIDS AND AWARDS COMMITTEE (BAC), invites all interested manuf</t>
  </si>
  <si>
    <t xml:space="preserve"> 1.	The Capiz Provincial Government, through the GOP CY-2020 intends to apply the total amount of Nine Million Eight Hundred Thousand Pesos (Php 9,800,000.00) being the Approved Budget for the Contract (ABC).  Bids received in excess of the ABC shall be au</t>
  </si>
  <si>
    <t xml:space="preserve"> NOTICE OF PROCUREMENT June 5, 2020 Notice is hereby given that the Department of Public Works and Highways (DPWH) Dinagat Islands District Engineering Office is undertaking the procurement of (20CSNE0001) CONSULTING SERVICES FOR THE CONDUCT OF SOIL EXPLOR</t>
  </si>
  <si>
    <t xml:space="preserve"> LOCAL GOVERNMENT UNIT OF NAGUILIAN , ISABELA INVITATION TO BID FOR the SUPPLY AND DELIVERY OF CONSTRUCTION MATERIALS FOR THE REHABILITATION OF WATER SYSTEM AT EVACUATION CENTER (NAGUILIAN CENTRAL SCHOOL) 1.	The Local Government Unit of Naguilian, Isabela,</t>
  </si>
  <si>
    <t xml:space="preserve"> Republic of the Philippines          City of Dumaguete Bids and Awards Committee INVITATION TO BID FOR PURCHASE REQUEST OF 96 BAGS PORTLAND CEMENT TYPE 1 40 KGS AND OTHER ITEMS 	The City of Dumaguete thru its BIDS AND AWARDS COMMITTEE (BAC), invites all i</t>
  </si>
  <si>
    <t xml:space="preserve"> Supply and Delivery: 37,760 Liters of Diesel</t>
  </si>
  <si>
    <t xml:space="preserve"> Republic of the Philippines City of Iriga Main City Hall Building, Sta. Cruz Sur Telefax No. (054) 299-1933 OFFICE OF THE BIDS AND AWARDS COMMITTEE May 29, 2020 INVITATION TO BID The City of Iriga, through its Bids and Awards Committee (BAC) hereby invite</t>
  </si>
  <si>
    <t xml:space="preserve"> Acquisition of bills of materials for construction/fabrication of block tienda Fabrication and Installation of Block Tienda		 Rectangular Tube, 1.5mm x 2" x 3" (B.I)	343	pcs. Cement Fiber Board, 1/2" x 4' x 8' 	180	sheets Marine Plywood, 1/4" x 4' x 8'	24</t>
  </si>
  <si>
    <t xml:space="preserve"> 32 Rolls - 2"dia.x60m HDPE Pipe, SDR-17 1 Pc - 6" dia. x 2"dia. Saddle Clamp 1 Pc - 2" dia. Male Adaptor, Comp. Type 32 Pcs - 2" dia. Coupling, Comp. Type</t>
  </si>
  <si>
    <t xml:space="preserve"> INVITATION TO BID FOR CW-APAYAO-LARIP-02-2020 1.	The National Irrigation Administration – Cordillera Administrative Region (NIA-CAR), through the General Appropriations Act (GAA) 2020 intends to apply the sum Fifty Five Million One Hundred Sixty Seven Tho</t>
  </si>
  <si>
    <t xml:space="preserve"> DESCRIPTION LOCAL GOVERNMENT UNIT - MUNICIPALITY OF BACOLOR INVITATION TO APPLY FOR ELIGIBILITY AND TO BID The Local Government Unit - Municipality of Bacolor, Bacolor, Pampanga, through the Bids and Award Committee (BAC), invites contractors/suppliers to</t>
  </si>
  <si>
    <t xml:space="preserve"> Supply and Delivery: 27,660 Liters of Diesel</t>
  </si>
  <si>
    <t xml:space="preserve"> INVITATION TO BID FOR CW-KALINGA-UCRIS-03-2020 1.	The National Irrigation Administration – Cordillera Administrative Region (NIA-CAR), through the General Appropriations Act (GAA) 2020 intends to apply the sum Sixteen Million Three Hundred  Thousand Nine </t>
  </si>
  <si>
    <t xml:space="preserve"> Republic of the Philippines          City of Dumaguete Bids and Awards Committee INVITATION TO BID FOR PURCHASE REQUEST OF 8 GALS LATEX PAINT FLAT WHITE AND OTHER ITEMS 	The City of Dumaguete thru its BIDS AND AWARDS COMMITTEE (BAC), invites all intereste</t>
  </si>
  <si>
    <t xml:space="preserve"> PLUMBING WORKS</t>
  </si>
  <si>
    <t xml:space="preserve"> CONCRETING OF BARANGAY GACAB FMR Contract Location:                    Barangay Gacab, Malibcong, Abra Brief Description:                     Concreting of Roads using PCCP (Unreinforced, 0.20m thk.,) The DPWH-Abra District Engineering Office reserves the</t>
  </si>
  <si>
    <t xml:space="preserve"> Supply of Security Services for 36 guards (12 hours) duty for 5 months to be rendered at Municipal Hall, Public Market and Old Mun. Bldg. Compound</t>
  </si>
  <si>
    <t xml:space="preserve"> NOTICE TO BIDDERS The Department of Public Works and Highways (DPWH), through the Bids and Awards Committee (BAC) of the DPWH - Dinagat Islands District Engineering Office, San Jose, Dinagat Islands hereby notifies the following suppliers / bidders classi</t>
  </si>
  <si>
    <t xml:space="preserve"> Line Item No. 1 iBest Tilapia size 32	100,000 	Pcs Saline Tilapia SR (Sex reversed) size 17	30,000	Pcs iBest Tilapia size 14	  3,000	Pcs SR Tilapia Fingerlings size 17	10,000	Pcs SR Tilapia Fingerlings size 20	226,000	Pcs Line Item No. 2 Other Species (BW</t>
  </si>
  <si>
    <t xml:space="preserve"> Improvement of Multipurposed Building at Brgy, Antipolo, Rizal, Laguna</t>
  </si>
  <si>
    <t xml:space="preserve"> INVITATION TO BID FOR CW-APAYAO-LARIP-01-2020 1.	The National Irrigation Administration – Cordillera Administrative Region (NIA-CAR), through the General Appropriations Act (GAA) 2020 intends to apply the sum Fifty Million Two Hundred Ninety Five Thousand</t>
  </si>
  <si>
    <t xml:space="preserve"> CONCRETING OF BARANGAY PACQUED FMR Contract Location:                    Barangay Pacqued, Malibcong, Abra Brief Description:                     Concreting of Roads using PCCP (Unreinforced, 0.20m thk.,) The DPWH-Abra District Engineering Office reserves</t>
  </si>
  <si>
    <t xml:space="preserve"> Republic of the Philippines 	CITY OF SAN PEDRO Province of Laguna BIDS AND AWARDS COMMITTEE INVITATION TO APPLY FOR ELIGIBILITY AND TO BID PR NO. 0390 1.	The City Government of San Pedro, Laguna through the 2020 Budget Approved by the Sangguniang Panglung</t>
  </si>
  <si>
    <t xml:space="preserve"> Republic of the Philippines Province of Ilocos Norte Municipality of Burgos BARANGAY POBLACION INVITATION TO BID FOR  Purchase of Motor Vehicle 1.	The Barangay Government of Poblacion, Burgos, Ilocos Norte, through the CY, 2019 and 2018 Supplemental Budge</t>
  </si>
  <si>
    <t xml:space="preserve"> Acquisition of Construction materials: Formworks			 Marine Plywood, 1/4" x 4' x 8'	2	sheets	 9pcs.-2" x 2" x 10' Mahogany Lumber	30	bd.ft.	  CWN #4	1	kg.	  CWN #2-1/2	1	kg.	   	 Concrete Works			 Portland Cement	18	pcs.	   Sand (Fine Sand)	1.5	pcs.	  Grav</t>
  </si>
  <si>
    <t xml:space="preserve"> 1.)	2	  - pcs 	 - Oil Filter 2.)	1	  - set 	 - Pitpit Horn 3.)    12	  - meter 	 - Auto Wire 4.)	1	 - roll	 - Electrical Tape 5.)	10	 - ft.	 - Battery Cable 6.)	4	 - pcs	 - Battery terminal 7.)	1	 - pcs	 - Ignition Switch 8.)	2	 - pcs	 - Side Mirror 9.)	1</t>
  </si>
  <si>
    <t xml:space="preserve"> Republic of the Philippines Province of Eastern Samar Municipality of Mercedes OFFICE OF THE BIDS AND AWARDS COMMITTEE (BAC) INVITATION TO BID FOR THE PROCUREMENT OF ASSORTED GOODS AS FOOD ASSISTANCE TO SENIOR CITIZENS INVITATION TO BID NO. GOODS-2020-06-</t>
  </si>
  <si>
    <t xml:space="preserve"> 1 - NETWORK VIDEO RECORDER 16CH 2 - HARD DRIVE 14 - IP BULLET CAMERA 10 - POE SWITCH PORTS 1 - LEC TV 32'' 1 - AVR 500W  1 - CIRCUIT BREAKER 1 - AC SURGE PROTECTOR 1 GROUND ROD 5/8'' X4 FEET 9 - METAL PULL BOX 6X8X8 50 - RJ45 CONNECTORS 25 - SERVICE DROP </t>
  </si>
  <si>
    <t xml:space="preserve"> Republic of the Philippines DEPARTMENT OF PUBLIC WORKS AND HIGHWAYS ILOILO 1st  DISTRICT ENGINEERING OFFICE REGIONAL OFFICE VI Fort San Pedro, Iloilo City INVITATION TO BID  The Department of Public Works and Highways, Iloilo 1st District Engineering Offi</t>
  </si>
  <si>
    <t xml:space="preserve"> Lot 1  LCD Projector 5 Sets • 3LCD Technology, RGB liquid crystal shutter • White and Colour Brightness at 3,300lm • SVGA resolution, 800 x 600, 4:3 • High contrast ratio of 15,000:1 • Horizontal keystone slider • 10,000 hours lamp life in eco-mode • Opti</t>
  </si>
  <si>
    <t xml:space="preserve"> Contract ID: 20PK0066 Contract Name: Repair / Maintenance of DPWH Building, Area Parts and Component Building, P-6, Bulanao, Tabuk City, Kalinga   Contract Location: P-6, Bulanao, Tabuk City, Kalinga Brief Description: Repair and Maintenance of Building A</t>
  </si>
  <si>
    <t xml:space="preserve"> REQUEST FOR EXPRESSION OF INTEREST (REI) FOR 20CSCE001-CONSULTING SERVICES FOR THE CONDUCT OF SOIL/GEOTECHNICAL INVESTIGATION FOR THE PROPOSED CONSTRUCTION OF VARIOUS MULTI-PURPOSE AND SCHOOL BUILDING PROJECTS WITHIN THE 1st AND 2nd LEGISLATIVE DISTRICT O</t>
  </si>
  <si>
    <t xml:space="preserve"> Contract ID: 20PK0068 Contract Name: Repair/Maintenance of DPWH Building, Adiministrative/Main Building, P-6 Bulanao, Tabuk City, Kalinga   Contract Location: P-6, Bulanao, Tabuk City, Kalinga Brief Description: Repair and Maintenance of Building Approved</t>
  </si>
  <si>
    <t xml:space="preserve"> Photocopier, Heavy Duty 4 Sets • Print, copy, scan functions • Auto-duplex printing • Borderless printing up A5 to A3 • ADF Capability with reverting feeder • Scan to USB/ USB Printing • Ethernet (LAN) • Copy/Print Speed (A4): 23 ppm; Duplex: 17 ppm • Cop</t>
  </si>
  <si>
    <t xml:space="preserve"> Contract ID: 20PK0067 Contract Name: Repair/Maintenance of DPWH BUILDING, AES Office-Repair Bay and Planning Office, P-6 Bulanao, Tabuk City, Kalinga   Contract Location: P-6, Bulanao, Tabuk City, Kalinga Brief Description: Repair and Maintenance of Build</t>
  </si>
  <si>
    <t xml:space="preserve"> INVITATION TO BID 1.	The Bangko Sentral ng Pilipinas (BSP), through its Bids and Awards Committee-Security Plant Complex (BAC-SPC), invites Bidders to apply for eligibility and to bid for the hereunder requirement: Name of Requirement/Brief Description:	 </t>
  </si>
  <si>
    <t xml:space="preserve"> QUARTERLY PREVENTIVE MAINTENANCE OF 194 MOTORVEHICLES 1.	The Bureau of Fire Protection Region 8, through the General Appropriations Act CY 2020 intends to apply the sum of One Million Nine Hundred Forty Thousand Pesos (₱1,940,000.00) being the Approved Bu</t>
  </si>
  <si>
    <t xml:space="preserve"> Republic of the Philippines   Province of Sarangani  Municipality of Alabel    Invitation to Bid for the Installation of 120 Watts Solar Lights within Poblacion Area 1.The Municipality of Alabel, through the SARO-OSEC-19-0024229[ In the case of National G</t>
  </si>
  <si>
    <t xml:space="preserve"> REQUEST FOR QUOTATION PROCUREMENT OF THREE (3) UNITS WATER PURIFIER WITH SOLAR BATTERY  AND 100 PIECES FILTER (Negotiated Procurement-Two Failed Biddings) Reference No: 2020-06-008 Sir/Madam: The Municipal Government of Lal-lo through the Bids and Awards </t>
  </si>
  <si>
    <t xml:space="preserve"> 50 UNITS REFILL OF FIRE EXTINGUISHER 20 UNITS PURCHASE OF HANDHELD RADIO</t>
  </si>
  <si>
    <t xml:space="preserve"> Republic of the Philippines Province of South Cotabato Municipality of Sto. Niño BIDS AND AWARDS COMMITTEE (BAC) Invitation to Bid 1.	The Local Government of Sto. Niño, through its Bids and Awards Committee (BAC) invites contractors registered and classif</t>
  </si>
  <si>
    <t xml:space="preserve"> 5 LI</t>
  </si>
  <si>
    <t xml:space="preserve"> % of total             Unit            Quantity I. DECLOGGING                                                            51.59                cu.m.             318.00 II. WASTE DISPOSAL                                                    31.53             </t>
  </si>
  <si>
    <t xml:space="preserve"> Item SPL-1: Mobilization/Demobilization Item SPL-2: Sign Board/Billboard Item 103: Structure excavation (mechanical) Item 104: Embankment Item 201: Aggregate Surface Item 311: Concrete works with steel Item 500: Pipe culverts dia (24"dia.) Item 505: Grout</t>
  </si>
  <si>
    <t xml:space="preserve"> NOTICE TO THE PUBLIC REQUEST FOR PROPOSAL Purchase Request No: PUR20-05-0433 The Philippine General Hospital hereby informs the public that it will be procuring the following item/s through Small Value Procurement:		 2,000 pcs Disposable Stretcher Cover  </t>
  </si>
  <si>
    <t xml:space="preserve"> 2,220,000 pcs each</t>
  </si>
  <si>
    <t xml:space="preserve"> Rebid: Supply and Delivery of Drugs and Medicines for City Health Office-3rd Quarter</t>
  </si>
  <si>
    <t xml:space="preserve"> REQUEST FOR EXPRESSION OF INTEREST (REI) FOR 20CSCE002-CONSULTING SERVICES FOR THE CONDUCT OF SOIL/GEOTECHNICAL INVESTIGATION FOR THE PROPOSED CONSTRUCTION/REHABILITATION OF VARIOUS FLOOD CONTROL AND BRIDGE PROJECTS WITHIN THE 1st AND 2nd LEGISLATIVE DIST</t>
  </si>
  <si>
    <t xml:space="preserve"> Procurement Of Five (5) Units Brand New Hauling Truck Package 1:	Three (3) Units Brand New Hauling Truck (Six Wheeler Drop-Side Body Type) DELIVERY TERM: 60 Calendar days Package 2:	Two(2) Units Brand New Hauling Truck (4WD Double Cab) DELIVERY TERM: 60 C</t>
  </si>
  <si>
    <t xml:space="preserve"> Procurement of One (1) Unit 45 hp  4WD Farm Tractor With Disc Plow. DELIVERY TERM: 45 Calendar days FOR MORE DETAILS KINDLY DOWNLOAD ASSOCIATED COMPONENTS</t>
  </si>
  <si>
    <t xml:space="preserve"> Republic of the Philippines 	CITY OF SAN PEDRO Province of Laguna BIDS AND AWARDS COMMITTEE INVITATION TO APPLY FOR ELIGIBILITY AND TO BID PR NO. 0406 1.	The City Government of San Pedro, Laguna through the 2020 Budget Approved by the Sangguniang Panglung</t>
  </si>
  <si>
    <t xml:space="preserve"> Provide Labor, Materials and Equipment for the Construction of Feed Mill Facility Location: DARCES Manambulan, Tugbok District, Davao City Note: Plans and Designs could be downloaded at the DA Website at davao.da.gov.ph or see BAC Secretariat office. FOR </t>
  </si>
  <si>
    <t xml:space="preserve"> Republic of the Philippines Department of Health Cagayan Valley Center for Health Development BATANES GENERAL HOSPITAL Basco, Batanes E-mail Address: bataneshospital@gmail.com INVITATION TO BID ITB NO. 2020-05 Procurement of Calibration Services 1.	The De</t>
  </si>
  <si>
    <t xml:space="preserve"> 1.) Glicdlazide, 30mg, tablet, 100's = 40 box 2.) Metformin, 500mg, tablet, 100's = 100 box 3.) Losartan, 50mg, tablet, 100's = 350 box 4.) Losartan, 100mg, tablet, 100's = 50 box 5.) Enalapril, 10mg, tablet, 100's = 10 box 6.) Metoprolol, 50mg, tablet, 1</t>
  </si>
  <si>
    <t xml:space="preserve"> INVITATION TO BID FOR THE PROCUREMENT OF  OFFICE AND JANITORIAL SUPPLIES  1.	The Municipal Government of Lal-lo, through the General Fund of 2020 intends to apply the sum of Seven Hundred Ninety Thousand Pesos (Php 790,000.00) being the Approved Budget fo</t>
  </si>
  <si>
    <t xml:space="preserve"> INVITATION TO BID FOR THE PROCUREMENT OF  11 UNITS LAPTOP 1.	The Municipal Government of Lal-lo, through the General Fund of 2020 intends to apply the sum of Five Hundred Seventy Thousand Pesos (Php 570,000.00) being the Approved Budget for the Contract (</t>
  </si>
  <si>
    <t xml:space="preserve"> Invitation to Bid for the Construction of Evacuation Center 1.	The Municipal Government of Lal-lo, through the Performance Challenge Fund (PCF) intends to apply the sum of Two Million Three Hundred Thousand Pesos (Php2,300,000.00) being the Approved Budge</t>
  </si>
  <si>
    <t xml:space="preserve"> Rebid: Supply and Delivery of Various Drugs and Medicines for Community Hospital- 3rd Quarter (GF-2020)</t>
  </si>
  <si>
    <t xml:space="preserve"> Rebid: Supply and Delivery of Various Drugs and Medicines including Anti-rabies Vaccines for Community Hospital- 3rd Quarter (GAD-2020)</t>
  </si>
  <si>
    <t xml:space="preserve"> BIDS AND AWARDS COMMITTEE-SECURITY PLANT COMPLEX 05 June 2020 INVITATION FOR NEGOTIATION 	 Name of Requirement/ Brief Description: One (1) Lot Supply and Installation of New Process Lines at the Gold Refinery, BSP, Quezon City, as per BSP Scope of Work an</t>
  </si>
  <si>
    <t xml:space="preserve"> Supply and Delivery of Medical, Dental and Laboratory Supplies for City Health Office</t>
  </si>
  <si>
    <t xml:space="preserve"> Supply and Delivery of Medical and Laboratory Supplies for Community Hospital- GF 2020</t>
  </si>
  <si>
    <t xml:space="preserve"> Contract ID: 20PF0066 Contract Name: Repair and Maintenance of Road Safety Facilities Brief Description: Traffic Engineering and Management System Approved Budget for the Contract (ABC): PhP 4,971,000.00 Source of Funds: FY 2020 GAA AMWP Contract Duration</t>
  </si>
  <si>
    <t xml:space="preserve"> Concreting of Alley RoadC</t>
  </si>
  <si>
    <t xml:space="preserve"> Concreting of Alley Road</t>
  </si>
  <si>
    <t xml:space="preserve"> Supply, Delivery and Installation of Digital X-Ray Machine for Community Hospital</t>
  </si>
  <si>
    <t xml:space="preserve"> Labor and Materials for the Concreting of Road (Bypass Road) at Brgy. Sta Rita - Brgy. San Francisco, Concepcion, Tarlac Approved Budget for the Contract : P 4,997,378.79 Source of Fund : 20% EDF 2020 The contract to be performed by the successful bidder </t>
  </si>
  <si>
    <t xml:space="preserve"> Republic of the Philippines											 	Office of the Municipal Mayor											 	BIDS AND AWARDS COMMITTEE											 	Binmaley, Pangasinan											 												 	Invitation to Bid											 	 for 											 	Completion of Multi-Purpose/Evacuation Ce</t>
  </si>
  <si>
    <t xml:space="preserve"> REQUEST FOR EXPRESSION OF INTEREST (REI) 1.	The Department of Public Works and Highways, Surigao del Sur 2nd District Engineering Office, Bislig City through PDE 2020, intends to apply the sum of Php 1,200,000.00 inclusive of 5% contingency being the Appr</t>
  </si>
  <si>
    <t xml:space="preserve"> Supply and Delivery of Medical and Laboratory Supplies for Community Hospital- GAD 2020</t>
  </si>
  <si>
    <t xml:space="preserve"> REQUEST FOR EXPRESSION OF INTEREST (REI) 1.	The Department of Public Works and Highways, Surigao del Sur 2nd District Engineering Office, Bislig City through PDE 2020, intends to apply the sum of Php 600,000.00 inclusive of 5% contingency being the Approv</t>
  </si>
  <si>
    <t xml:space="preserve"> Republic of the Philippines BANGSAMORO AUTONOMOUS REGION IN MUSLIM MINDANAO Province  of  Lanao  del  Sur INVITATION TO BID  The Provincial Government of  Lanao del Sur through its  Bids and Awards Committee (BAC) invites accredited  suppliers  for the pr</t>
  </si>
  <si>
    <t xml:space="preserve"> Purchase of Lot for Multi-purpose Activity Center in Barangay Manhanip, Malinao, Aklan</t>
  </si>
  <si>
    <t xml:space="preserve"> Republic of the Philippines Province of Ilocos Norte Municipality of Burgos BARANGAY POBLACION INVITATION TO BID FOR  PROCUREMENT OF HANDHELD RADIO 1.	The Barangay Government of Poblacion, Burgos, Ilocos Norte, through the CY 2018 and 2019, Supplemental B</t>
  </si>
  <si>
    <t xml:space="preserve"> Republic of the Philippines DEPARTMENT OF PUBLIC WORKS AND HIGHWAYS OFFICE OF THE DISTRICT ENGINEER Aklan District Engineering Office Toting Reyes St., Kalibo, Aklan The Department of Public Works and Highways (DPWH), Aklan District Engineering Office, Ka</t>
  </si>
  <si>
    <t xml:space="preserve"> Republic of the Philippines DEPARTMENT OF SCIENCE AND TECHNOLOGY PHILIPPINE SCIENCE HIGH SCHOOL - SOCCSKSARGEN REGION CAMPUS Bids and Awards Committee INVITATION TO BID FOR THE PROCUREMENT OF 50 LAPTOP COMPUTERS 1.	The Philippine Science High School SOCCS</t>
  </si>
  <si>
    <t xml:space="preserve"> INVITATION TO BID 2020-CS-01 The Department of Public Works and Highways QUEZON III DISTRICT ENGINEERING OFFICE, Catanauan, Quezon, through the FY2020 PDE FUND intends to apply the amount of ₱ ₱2,500,000.00  being the Approved Budget for the Contract (ABC</t>
  </si>
  <si>
    <t xml:space="preserve"> Description: 1.Super Carry Van 2. Yr. Model 2018 3. 5 doors 4. Passenger capacity-9 including driver 5. Milleage Reaching-not to exceed 8,000 Kms. 6. Fully loaded- Pioneer car stereo and 4 speakers - Aricon front and rear - heavy tinted 7. Engine-0.8 Lite</t>
  </si>
  <si>
    <t xml:space="preserve"> INVITATION TO BID 2020-CS-02 The Department of Public Works and Highways QUEZON III DISTRICT ENGINEERING OFFICE, Catanauan, Quezon, through the FY2020 PDE FUND intends to apply the amount of ₱ ₱6,000,000.00  being the Approved Budget for the Contract (ABC</t>
  </si>
  <si>
    <t xml:space="preserve"> 1.	The Philippine Institute for Development Studies (PIDS), through the 2020 Corporate Operating Budget intends to apply the sum of Two Million Four Hundred Thousand Pesos &amp; 00/100 (PHP2,400,000.00), being the Approved Budget for the Contract (ABC) to pay</t>
  </si>
  <si>
    <t xml:space="preserve"> 1.	The Department of Agrarian Reform, hereinafter called “Procuring Entity”, has received financing (hereinafter called “funds”) from the Government of the Philippines (GOP) through the General Appropriations Act of 2020 hereinafter called the “Funding So</t>
  </si>
  <si>
    <t xml:space="preserve"> Republic of the Philippines Municipality of Palompon  Barangay Cangmoya BIDS AND AWARD COMMITTEE Palompon. Leyte INVITATION TO APPLY FOR ELIGIBILITY AND TO BID N0. 2020-2406-001                                                                              </t>
  </si>
  <si>
    <t xml:space="preserve"> Republic of the Philippines Municipality of Palompon  Barangay Cambinoy BIDS AND AWARD COMMITTEE Palompon. Leyte INVITATION TO APPLY FOR ELIGIBILITY AND TO BID N0. 2020-2406-001                                                                              </t>
  </si>
  <si>
    <t xml:space="preserve"> Republic of the Philippines Province of Oriental Mindoro MUNICIPALITY OF NAUJAN BIDS &amp; AWARDS COMMITTEE INVITATION TO BID CONCRETING OF ROAD FROM SITIO MADAO, MOTODERAZO TO SAN AGUSTIN, NAUJAN, ORIENTAL MINDORO 1.	The Municipal Government of Naujan – Bids</t>
  </si>
  <si>
    <t xml:space="preserve"> Improvement/Construction of Old Public Market Building (Fish &amp; Chicken Section 25 Stalls)</t>
  </si>
  <si>
    <t xml:space="preserve"> Republic of the Philippines Municipality of Palompon  Barangay Cruz BIDS AND AWARD COMMITTEE Palompon. Leyte INVITATION TO APPLY FOR ELIGIBILITY AND TO BID N0. 2020-2406-001                                                                                  </t>
  </si>
  <si>
    <t xml:space="preserve"> PLEASE SEE ATTACHED BID DOCUMENTS FOR COMPLETE DETAILS</t>
  </si>
  <si>
    <t xml:space="preserve"> REPUBLIC OF THE PHILIPPINES PROVINCE OF CEBU MUNICIPALITY OF PINAMUNGAJAN Invitation to Bid for : CONSTRUCTION OF DRAINAGE &amp; PROVISION OF COVER 					(at Brgy. Pandacan) 	 1. The MUNICIPALITY OF PINAMUNGAJAN, through the GENERAL FUND  intends to apply the </t>
  </si>
  <si>
    <t xml:space="preserve"> REPUBLIC OF THE PHILIPPINES PROVINCE OF CEBU MUNICIPALITY OF PINAMUNGAJAN Invitation to Bid for : BARANGAY  ROAD CONCRETING AT GUIMBAWIAN 						 1. The MUNICIPALITY OF PINAMUNGAJAN, through the GENERAL FUND  intends to apply the sum of ONE MILLION FIVE  H</t>
  </si>
  <si>
    <t xml:space="preserve"> Republika ng Pilipinas BAYAN NG CORTES Surigao del Sur BIDS AND AWARDS COMMITTEE June 5, 2020 INVITATION TO BID FOR Equipment to be use in the Computerization Program (RPTAS) Phase 1    The Local Government Unit of Cortes through LGU PR. No.  101-186 date</t>
  </si>
  <si>
    <t xml:space="preserve"> REPUBLIC OF THE PHILIPPINES PROVINCE OF CEBU MUNICIPALITY OF PINAMUNGAJAN Invitation to Bid for:  CONSTRUCTION OF PUBLIC CEMETERY 			      Purok Sambag, Pandacan, Pinamungajan, Cebu 1.	The MUNICIPALITY OF PINAMUNGAJAN, through the GENERAL FUND  intends to</t>
  </si>
  <si>
    <t xml:space="preserve"> REPUBLIKA NG PILIPINAS KALAKHANG MAYNILA LUNGSOD NG NAVOTAS Pamahaalaang Barangay ng Navotas West H. MONROY ST. NAVOTAS WEST, NAVOTAS CITY Invitation to Bid UPGRADING OF ALLEY WITH IMPROVEMENT OF DRAINAGE CANAL  Int. Davila St., (Near Totoy Bidang Res.) b</t>
  </si>
  <si>
    <t xml:space="preserve"> Temporary Facility 1 LS Mobilization/Demobilization 1 LS Surplus common excavation 2,570.60 cu.m. Embankment 663.80 cu.m. Sub Grade Preparation 3,850.00 sq.m. Aggregate Sub-Base Course 412.5 cu.m. Portland Cement Concrete Pavement 2,750 sq.m.</t>
  </si>
  <si>
    <t xml:space="preserve"> REPAINTING OF SCHOOL GROUND AND OTHER FACILITY FOR SCHOOL MAINTAINANCE</t>
  </si>
  <si>
    <t xml:space="preserve"> 1.	The Provincial Government of Ilocos Norte, through the RA 7171 Fund  intends to apply the sum of Fifteen Million Pesos   (Php 15,000,000.00                ) being the Approved Budget for the Contract (ABC) to payments under the contract for Procurement</t>
  </si>
  <si>
    <t xml:space="preserve"> Republic of the Philippines Municipality of Palompon  Barangay Mabini BIDS AND AWARD COMMITTEE Palompon. Leyte INVITATION TO APPLY FOR ELIGIBILITY AND TO BID N0. 2020-2406-001                                                                                </t>
  </si>
  <si>
    <t xml:space="preserve"> The City Government of Naga, through the Other Supplies and Materials Account of various offices, intends to apply the sum of One Million Ninety Three Thousand Six Hundred  Eighty Four (P 1,093,684.00) Pesos being the Approved Budget for the Contract (ABC</t>
  </si>
  <si>
    <t xml:space="preserve"> 1.	The Provincial Government of Ilocos Norte, through the RA 7171 Fund  intends to apply the sum of Ten Million Five Hundred Twenty Thousand Pesos                     (Php  10,520,000.00                    ) being the Approved Budget for the Contract (ABC</t>
  </si>
  <si>
    <t xml:space="preserve"> Republic of the Philippines Province of Negros Occidental City of Sagay BIDS AND AWARDS COMMITTEE Tel. No. 4540196, Telefax 4880187 www.sagay-city.com.ph bacsagaycity@yahoo.com INVITATION TO BID The City of Sagay, through its Bids and Awards Committee (BA</t>
  </si>
  <si>
    <t xml:space="preserve"> Republic of the Philippines PROVINCE OF NUEVA VIZCAYA Invitation to Bid for the  IMPROVEMENT OF CORDON  FTMR PHASE II Located at Purok 1, Cordon, Kasibu, Nueva Vizcaya  1.	The Provincial Government of Nueva Vizcaya, through the 2020 20% Development Fund i</t>
  </si>
  <si>
    <t xml:space="preserve"> Republic of the Philippines PROVINCE OF NUEVA VIZCAYA Invitation to Bid for the  CONST./IMPROVEMENT OF PUROK 5, BULIWAO FTMR Located at Quezon, Nueva Vizcaya  1.	The Provincial Government of Nueva Vizcaya, through the 2020 20% Development Fund intends to </t>
  </si>
  <si>
    <t xml:space="preserve"> Republic of the Philippines PROVINCE OF NUEVA VIZCAYA Invitation to Bid for the  IMPROVEMENT OF PUROK 5, BUSILAC FTMR Located at Busilac, Bayombong, Nueva Vizcaya  1.	The Provincial Government of Nueva Vizcaya, through the 2020 20% Development Fund intend</t>
  </si>
  <si>
    <t xml:space="preserve"> Procurement ID/Contract ID:	20PI0082 Contract Name:	Local Program - Local Roads and Bridges, Local Roads, Construction/ Rehabilitation/ Improvement of Local Road, Brgy. Ankileng, Sagada, Mountain Province Contract Location:	Sagada, Mountain Province Brief</t>
  </si>
  <si>
    <t xml:space="preserve"> Procurement ID/Contract ID:	20PI0076 Contract Name:	Local Infrastructure Program - Water Management Facilities - Water Supply, Construction of Waterworks Phase I, Mainit and Guina-ang, Bontoc, Mountain Province Contract Location:	Bontoc, Mountain Province</t>
  </si>
  <si>
    <t xml:space="preserve"> Procurement ID/Contract ID:	20PI0087 Contract Name:	Replacement of Concrete Pavement along 1. Mt. Province - Ilocos via Tue Road, K0402+000 - K0417+000 (I.S.), 2. Mt. Province - Ilocos via Kayan Road, K0395+872 - K0395+926, K0397+200 - K0397+231.8 Contrac</t>
  </si>
  <si>
    <t xml:space="preserve"> Republic of the Philippines PROVINCE OF NUEVA VIZCAYA Invitation to Bid for the  CONSTRUCTION OF BENAY WANGYEON CIS Located at Malasin, Dupax del Norte, Nueva Vizcaya  1.	The Provincial Government of Nueva Vizcaya, through the 2020 20% Development Fund in</t>
  </si>
  <si>
    <t xml:space="preserve"> Republic of the Philippines PROVINCE OF NUEVA VIZCAYA Invitation to Bid for the  CONSTRUCTION/IMPROVEMENT OF TADYOKONG-TUPLAC FTMR Located at Dulli, Ambaguio, Nueva Vizcaya  1.	The Provincial Government of Nueva Vizcaya, through the 2020 20% Development F</t>
  </si>
  <si>
    <t xml:space="preserve"> Republic of the Philippines PROVINCE OF NUEVA VIZCAYA Invitation to Bid for the  CONSTRUCTION/IMPROVEMENT OF UPPER BALANGUBUNG  FTMR PHASE II Located at Watwat, Kasibu, Nueva Vizcaya  1.	The Provincial Government of Nueva Vizcaya, through the 2020 20% Dev</t>
  </si>
  <si>
    <t xml:space="preserve"> Republic of the Philippines PROVINCE OF NUEVA VIZCAYA Invitation to Bid for the  CONSTRUCTION/IMPROVEMENT OF DACLIG-MANGGIYENG MOTOR TRAIL FTMR Located at Daclig, Ambaguio, Nueva Vizcaya  1.	The Provincial Government of Nueva Vizcaya, through the 2020 20%</t>
  </si>
  <si>
    <t xml:space="preserve"> Procurement ID/Contract ID:	20PI0090 Contract Name:	Convergence and Special Support Program - Construction/ Improvement of Access Roads leading to Declared Tourism Destinations, Bontoc - Mainit - Sagada Road leading to Guina-ang Rice Terraces, Mainit Hots</t>
  </si>
  <si>
    <t xml:space="preserve"> Procurement ID/Contract ID:	20PI0089 Contract Name:	Maintenance, Repair and Rehabilitation of Infrastructure Facilities and Other Related Activities - Public Buildings: Repair/Maintenance of: 2. DPWH Building Caluttit, Bontoc, Mountain Province a. BOE Mai</t>
  </si>
  <si>
    <t xml:space="preserve"> Republic of the Philippines PROVINCE OF NUEVA VIZCAYA Invitation to Bid for the  CONSTRUCTION OF SAN JUAN CIS Located at San Juan, Solano, Nueva Vizcaya  1.	The Provincial Government of Nueva Vizcaya, through the 2020 20% Development Fund intends to apply</t>
  </si>
  <si>
    <t xml:space="preserve"> Republic of the Philippines PROVINCE OF NUEVA VIZCAYA Invitation to Bid for the  CONSTRUCTION/IMPROVEMENT OF TIBLAC-LABBI FTMR Located at Tiblac, Ambaguio, Nueva Vizcaya  1.	The Provincial Government of Nueva Vizcaya, through the 2020 20% Development Fund</t>
  </si>
  <si>
    <t xml:space="preserve"> Republic of the Philippines PROVINCE OF NUEVA VIZCAYA Invitation to Bid for the  CONSTRUCTION/IMPROVEMENT OF SAN LEONARDO FTMR Located at San Leonardo, Bambang, Nueva Vizcaya  1.	The Provincial Government of Nueva Vizcaya, through the 2020 20% Development</t>
  </si>
  <si>
    <t xml:space="preserve"> Procurement ID/Contract ID:	20PI0091 Contract Name:	Construction/Rehabilitation of Water Supply/Septage and Sewerage/Rain Water Collectors - Rain Water Collectors in Public Facilities: Rain Water Collectors in Public Facilities - CAR Contract Location:	1.</t>
  </si>
  <si>
    <t xml:space="preserve"> 112 SACKS OF RICE</t>
  </si>
  <si>
    <t xml:space="preserve"> Republic of the Philippines PROVINCE OF SOUTHERN LEYTE Municipality of San Juan BIDS AND AWARD COMMITTEE INVITATION TO BID FOR  Supply and Delivery of Medicines The Municipality of San Juan through the General Fund intends to apply the sum of Six Hundred </t>
  </si>
  <si>
    <t xml:space="preserve"> CAGAYAN DE ORO CITY 1ST DISTRICT ENGINEERING OFFICE REGIONAL OFFICE X 	10th RES Compound, Bulua, Cagayan de Oro City 	 INVITATION TO BID The Department of Public Works and Highways – Cagayan de Oro City 1st District Engineering Office, through its Bids an</t>
  </si>
  <si>
    <t xml:space="preserve"> Procurement of Various Materials for the Construction of Amogad Elem. School - Datu Davao, Laak, Davao De Oro with an ABC of Php. 65,000.00.</t>
  </si>
  <si>
    <t xml:space="preserve"> Republic of the Philippines PROVINCE OF NUEVA VIZCAYA Invitation to Bid for the  CONSTRUCTION OF BUENAVISTA CIS Located at Buenavista, Bayombong, Nueva Vizcaya  1.	The Provincial Government of Nueva Vizcaya, through the 2020 20% Development Fund intends t</t>
  </si>
  <si>
    <t xml:space="preserve"> Procurement ID/Contract ID:	20PI0088 Contract Name:	Maintenance, Repair and Rehabilitation of Infrastructure Facilities and Other Related Activities - Flood Control and Drainage Systems, Structures and Related Facilities: Repair/Maintenance of: 1. Drainag</t>
  </si>
  <si>
    <t xml:space="preserve"> 20 SACKS RICE 400 HYGIENE KITS AND FOOD PACKS</t>
  </si>
  <si>
    <t xml:space="preserve"> REPUBLIKA NG PILIPINAS KALAKHANG MAYNILA LUNGSOD NG NAVOTAS Pamahaalaang Barangay ng Navotas West H. MONROY ST. NAVOTAS WEST, NAVOTAS CITY Invitation to Bid UPGRADING OF ALLEY WITH IMPROVEMENT OF DRAINAGE CANAL  Int. Davila St. (Near Echol) Brgy. Navotas </t>
  </si>
  <si>
    <t xml:space="preserve"> 52 CS NOODLES 25 CS SARDINES 22 PACKS PLASTIC BAGS MEALS AND SNACKS CARGO TRUCK RENTALS</t>
  </si>
  <si>
    <t xml:space="preserve"> Republic of the Philippines Province of Negros Occidental Municipality of Pontevedra BIDS AND AWARDS COMMITTEE INVITATION TO BID  (infrastructure) 	The Municipality of Pontevedra, Negros Occidental through its Bids and Awards Committee (BAC), invites all </t>
  </si>
  <si>
    <t xml:space="preserve"> 78 SACKS RICE 28.5 CS NOODLES 15 CS SARDINES 5 DOZEN MIKKI 2 KGS DRIED FISH 5.5 SACKS BROWN SUGAR 370 KGS FISH 44.5 KGS NATIVE COFFEE 1 SACK SALT 10 KGS COOKING OIL 3 DOZ HANDSOAP 6 BOT BLEACH 2 KGS ONIONS 22 PACKS PLASTIC BAGS MEALS AND SNACKS CARGO TRUC</t>
  </si>
  <si>
    <t xml:space="preserve"> ITEM	QTY	Unit of 	DESCRIPTION NO		Issue	 1	100	bxs	Amlodipine 10 mg tab 100' 2	288	bots	Ascorbic Acid syr 60 mL 3	300	bxs	Ascorbic Acid 500 mg tab 100' 4	201	bxs	B-Complex tab 100' 5	11	bxs	Celecoxib 200 mg cap 100' 6	144	bots	Lagundi syrup 60 mL 7	100	bx</t>
  </si>
  <si>
    <t xml:space="preserve"> Republic of the Philippines	 Department of Science and Technology PHILIPPINE SCIENCE HIGH SCHOOL – ZAMBOANGA PENINSULA REGION CAMPUS Cogon, Dipolog City INVITATION TO BID FOR THE CONSTRUCTION OF DORMITORY BUILDING III (MALE) REBID Design and Build  APPROV</t>
  </si>
  <si>
    <t xml:space="preserve"> INVITATION TO BID FOR SUPPLY AND DELIVERY OF VARIOUS WATER SERVICE CONNECTION MATERIALS FOR 2ND QUARTER PROCUREMENT OF CY 2020 1.	The METRO KALIBO WATER DISTRICT, through the Corporate Budget for the contract approved by the governing Boards for the year </t>
  </si>
  <si>
    <t xml:space="preserve"> 6 CS SARDINES 25 CS NOODLES 24 SACKS SALT 100 PACKS MSG 7 SACKS SUGAR MEALS AND SNACKS CARGO TRUCK RENTALS</t>
  </si>
  <si>
    <t xml:space="preserve"> Name of Contract: Construction of Tanjay City Adolescent Friendly Health Service Center at Barangay Sta. Cruz Viejo IAC Classification: Small "B" for Buildings PCAB Category "D" Duration: 120 C.D. Approved Budget for the Contract: Php 1,118,704.62 xxxxxxx</t>
  </si>
  <si>
    <t xml:space="preserve"> Republic of the Philippines Department of Public Works and Highways OFFICE OF THE DISTRICT ENGINEER 		Camarines Sur 4th  District Engineering Office (Formerly; Camarines Sur 3rd DEO) Caraycayon, Tigaon, Camarines Sur Tel. #(054)881-01-07 INVITATION TO BID</t>
  </si>
  <si>
    <t xml:space="preserve"> 100	set 	Personal Protective Equipment			 50	set 	Washable Personal Protective Equipment			 320	gal.	Alcohol 70% solution			 200	bots.	Hand Sanitizer x 500ml			 500	packs	Alcogel			 400	boxes	Surgical Face Mask x 50s			 250	pcs.	N95 Mask			 70	bxs.	Latex </t>
  </si>
  <si>
    <t xml:space="preserve"> 60 SACKS RICE MEALS AND SNACKS HYGIENE KITS CARGO TRUCK RENTALS</t>
  </si>
  <si>
    <t xml:space="preserve"> SUBSCRIPTION OF INTERNET CONNECTIVITY FOR THE PERIOD  JUNE TO DECEMBER 2020 Item Description INTERNET SUBSCRIPTION Connection Type: Fiber Optics             Must be leased-line, enterprise or corporate Bandwidth: can reach up to 300mbps CIR (guaranteed sp</t>
  </si>
  <si>
    <t xml:space="preserve"> CONSTRUCTION OF 0.4M X 3M TANOD OUTPOST AT BRGY. HINABANGAN, MONDRAGON</t>
  </si>
  <si>
    <t xml:space="preserve"> Item No.	Item Description 	Quantity	Unit PROJECT BILLBOARD ITEM B.5:	Project Billboard / Signboard	          1.00 	pc Occupational Safety and Health Program ITEM B.7:	Occupational Safety and Health Program	          1.00 	L.S.  Check Dam A (Rubble Masonry</t>
  </si>
  <si>
    <t xml:space="preserve"> VEHICLE REPAIR</t>
  </si>
  <si>
    <t xml:space="preserve"> 1.	The MUNICIPALITY OF GUINAYANGAN, QUEZON, through  the  Special Education Fund (SEF) intends to apply the sum of  Fifty Two Thousand Pesos (P 52,000.00) being the Approved Budget for the Contract (ABC) to payments under the contract for Supply and Deliv</t>
  </si>
  <si>
    <t xml:space="preserve"> ITEM NO.	DESCRIPTION	QUANTITY	UNIT 			 PROJECT BILLBOARD  ITEM B.5:	Project Billboard / Signboard	          1.00 	pc Occupational Safety and Health Program ITEM B.7:	Occupational 	          1.00 	L.S. Check Dam A (Rubble Masonry) ITEM 100 (1):	Clearing an</t>
  </si>
  <si>
    <t xml:space="preserve"> Republic of the Philippines Province of Eastern Samar  Municipality of Llorente Invitation to Bid for Supply and Delivery of Assorted Medicines 1.	The Local Government of Llorente, through the Budget Approved by the Respective Sanggunian intends to apply </t>
  </si>
  <si>
    <t xml:space="preserve"> Supplies &amp; Devices</t>
  </si>
  <si>
    <t xml:space="preserve"> 1.	The MUNICIPALITY OF GUINAYANGAN, QUEZON, through  the  2020 MOOE  intends to apply the sum of  One Hundred Ninety Two Thousand Four Hundred Forty  Pesos                 (P 192,440.00) being the Approved Budget for the Contract (ABC) to payments under t</t>
  </si>
  <si>
    <t xml:space="preserve"> 1.	The OCCIDENTAL MINDORO STATE COLLEGE (OMSC), through the Special Trust Fund intend to apply the sum of Two Million Three Hundred Eighty-Three Thousand Six Hundred Seventy Seven Pesos Only (Php2,383,677.00) being the Approved Budget for the Contract (AB</t>
  </si>
  <si>
    <t xml:space="preserve"> Republic of the Philippines Province of Eastern Samar  Municipality of Llorente Invitation to Bid for Supply and Delivery of Assorted Other Supplies and Materials 1.	The Local Government of Llorente, through the Budget Approved by the Respective Sanggunia</t>
  </si>
  <si>
    <t xml:space="preserve"> INVITATION TO BID Date: June 04, 2020 1.	The Provincial Government of Davao del Sur, through its Bids and Awards Committee (BAC), invites all potential bidders/suppliers to apply to bid for the following goods. Bids received in excess of the ABC shall be </t>
  </si>
  <si>
    <t xml:space="preserve"> Republic of the Philippines Department of Health Center for Health Development-Bicol BICOL REGION GENERAL HOSPITAL AND GERIATRIC MEDICAL CENTER                                             Cabusao, Camarines Sur INVITATION TO BID  PROCUREMENT OF DRUGS AND </t>
  </si>
  <si>
    <t xml:space="preserve"> ITEM NO.	ITEM DESCRIPTION	QUANTITY	UNIT PROJECT BILLBOARD			 ITEM B.5:	Project Billboard / Signboard	1.00	pc Occupational Safety and Health Program ITEM B.7:	Occupational Safety and Health Program	1.00	L.S. Check Dam A (Rubble Masonry)		 ITEM 100 (1):	Cle</t>
  </si>
  <si>
    <t xml:space="preserve"> 1.	The MUNICIPALITY OF GUINAYANGAN, QUEZON, through  the  2020 MOOE  intends to apply the sum of  Seventy Five Thousand Six Hundred  Pesos (P 75,600.00) being the Approved Budget for the Contract (ABC) to payments under the contract for Supply and Deliver</t>
  </si>
  <si>
    <t xml:space="preserve"> INVITATION TO BID FOR THE SUPPLY, DELIVERY, INSTALLATION AND COMMISSIONING OF ONE (1) UNIT FULLY AUTOMATED SYSTEM FOR COAGULATION 1.	The Eversley Childs Sanitarium and General Hospital, through HFEP 2020 GAA, intends to apply the sum of Seven Million Five</t>
  </si>
  <si>
    <t xml:space="preserve"> 1	MATERIALS FOR COVERED COURT PHASE III		 	CARMEN WEST CENTRAL ELEMENTARY SCHOOL		 			 	SCOPE OF WORKS:		 	Column/Footing/Steel Girt/Steel Truss Fabrication/Roofing Installation		 	10mm dia. def. bars	 25 	pcs. 	#16 tie wire	 10 	kgs. 	River sand (approve</t>
  </si>
  <si>
    <t xml:space="preserve"> 1.	The MUNICIPALITY OF GUINAYANGAN, QUEZON, through its Bids and Awards Committee (BAC), will undertake a Negotiated Procurement – Two Failed Bidding for the Supply and Delivery of Food Processing Tools &amp; Equipment for use by the Municipal Agriculture Off</t>
  </si>
  <si>
    <t xml:space="preserve"> Bids received in excess of the ABC shall be automatically rejected during the bid opening. The bidders should have completed, within two (2) years from the date of submission and receipt of bids, at least one contract that is similar to the Project. The d</t>
  </si>
  <si>
    <t xml:space="preserve"> 1	MATERIALS FOR COVERED COURT		 	CARMEN EAST CENTRAL ELEMENTARY SCHOOL		 	POBLACION SUR, CARMEN, BOHOL		 	Item 2.   Footing to Concrete Column		 	        2.1 Concrete Works		 	Portland Cement, type 1	93	bags 	River Sand, good quality (approved source)	7	c</t>
  </si>
  <si>
    <t xml:space="preserve"> see attached</t>
  </si>
  <si>
    <t xml:space="preserve"> 1.	The MUNICIPALITY OF GUINAYANGAN, QUEZON, through its Bids and Awards Committee (BAC), will undertake a Negotiated Procurement – Two Failed Biddings for the Supply and Delivery of Food Processing Tools &amp; Equipment for use by the Municipal Agriculture Of</t>
  </si>
  <si>
    <t xml:space="preserve"> FURNISHING AND DELIVERY OF LABOR, MATERIALS AND EQUIPMENT FOR THE CONSTRUCTION OF SANITARY LANDFILL FACILITY (SLF) PERIMETER ACCESS ROAD</t>
  </si>
  <si>
    <t xml:space="preserve"> Construction of Climate Resilient Flood control project Continuing 2018 Conrazon, Bansud Oriental Mindoro</t>
  </si>
  <si>
    <t xml:space="preserve"> 5 units</t>
  </si>
  <si>
    <t xml:space="preserve"> Item No.	Item Description	Quantity	Unit PROJECT BILLBOARD ITEM B.5:	Project Billboard / Signboard	        1.00 	pc Occupational Safety and Health Program ITEM B.7:	Occupational Safety and Health Program	        1.00 	L.S. INTAKE TANK (1.0m x 1.0m x 1.0 m </t>
  </si>
  <si>
    <t xml:space="preserve"> PR. No. 65-2020 (MDRRMO) 1	10	unit	Matress Single 4”thick 2	20	pc	Bed Sheet 80 x 90” 3	20	pc	Pillow 4	20	pc	Pillow Case 5	20	pc	Blanket  6	20	panels	window curtain 7	7	sets	curtain rod with lock &amp; hook  8	6	unit	wall fan 9	2	sets	Double Deck Bed Frame (si</t>
  </si>
  <si>
    <t xml:space="preserve"> ITEM NO.	DESCRIPTION	QUANTITY	UNIT 			  PROJECT BILLBOARD   ITEM B.5:	Project Billboard / Signboard	          1.00 	pc Occupational Safety and Health Program ITEM B.7:	Occupational Safety and Health Program	          1.00 	L.S. Check Dam A (Rubble Masonry</t>
  </si>
  <si>
    <t xml:space="preserve"> Waterworks Materials for the construction of Shallow Well Pump</t>
  </si>
  <si>
    <t xml:space="preserve"> Gentlemen : Please furnish us with your quotation on or before June 8, 2020 for the supply and delivery of the following item/s: 	 15 units	TIRE (185-14-8) Specifications: •Diameter - 185 •Rim - 14 •Ply - 8 “Including wheel alignment” End Users: SSS Dilim</t>
  </si>
  <si>
    <t xml:space="preserve"> INVITATION TO BID 1.	The Cabagan Water District (CWD) has an approved Program of Work amounting to P 3,904,104.00 from the CWD Corporate Operating Budget Approved by the Board of Directors for the Drilling of Two(2) Production Wells. 2.	The CABAGAN WATER </t>
  </si>
  <si>
    <t xml:space="preserve"> Republic of the Philippines DEPARTMENT OF PUBLIC WORKS AND HIGHWAYS NUEVA VIZCAYA 2ND DISTRICT ENGINEERING OFFICE REGIONAL OFFICE II Dupaxdel Norte, Nueva Vizcaya INVITATION TO BID The Department of Public Works and Highways – Nueva Vizcaya Second Distric</t>
  </si>
  <si>
    <t xml:space="preserve"> 150 set of 150watts integrated white  Solar Street lights</t>
  </si>
  <si>
    <t xml:space="preserve"> Republic of the Philippines Province of Oriental Mindoro MUNICIPALITY OF NAUJAN BIDS AND AWARDS COMMITTEE INVITATION TO BID SUPPLY AND DELIVERY OF MATERIALS TO BE USED IN THE IMPROVEMENT/ REHABILITATION OF DRAINAGE CANAL IN DIFFERENT BARANGAYS, NAUJAN, OR</t>
  </si>
  <si>
    <t xml:space="preserve"> PR. No. 64-2020 (MDRRMO) 1.	4	pcs	Tire 195/70R15 2.	1	pc	3SM Battery 3.	1	pc	BALDWIN FILTERS BF-5587 fuel 4.	4	pcs	Tire 185R14</t>
  </si>
  <si>
    <t xml:space="preserve"> Description INVITATION TO BID / REQUEST FOR EXPRESSION OF INTEREST The Municipality of Allacapan, through its Bids and Awards Committee (BAC), invites suppliers/distributors/contractors to apply for eligibility and to bid for the hereunder project: Name o</t>
  </si>
  <si>
    <t xml:space="preserve"> See Attach  Associete Documents</t>
  </si>
  <si>
    <t xml:space="preserve"> 1	1,700	PCS	            CHB #4		          25.00	42,500.00 2	120	        PCS	            10MM DIA RSB		250.00	30,000.00 3	40	        PCS	            9MM DIA RSB		200.00	8,000.00 4	16	        CU.M	            SAND		1,800.00	28,800.00 5	4	        CU.M	GRAVEL</t>
  </si>
  <si>
    <t xml:space="preserve"> For the use of Information Management Service 																																					 				 Appliances 																																					  1 				 Smart TV, LED, UHD, 60 inches with wall bracket, 																														 1 				 unit 			 				 tilting </t>
  </si>
  <si>
    <t xml:space="preserve"> Purchase of Supplies to be officially used in connection with the Alternative Home School Program of the Municipality of Guimbal, Iloilo</t>
  </si>
  <si>
    <t xml:space="preserve"> INVITATION TO BID FOR CIVIL WORKS June 03, 2020 1.	The Department of Public Works and Highways (DPWH), Bukidnon Second District Engineering Office, Pinamaloy, Don Carlos, Bukidnon through its Bids and Awards Committee BAC, invites contractors to submit bi</t>
  </si>
  <si>
    <t xml:space="preserve"> Hauling Vehicle Air-conditioning System,Dual Sun Visor, Power Window,Adjustable Seats Engine Type: Four Cylinder,In-line, Water  Cooling,Gasoline Engine - Euro 4 Displacement 1,498cc/ 1.5L Fuel Tank Capacity : 50 Liters Transmission Gear / Drive Train 5-S</t>
  </si>
  <si>
    <t xml:space="preserve"> Republic of the Philippines Province of Agusan del Norte  CITY OF CABADBARAN     BIDS AND AWARDS COMMITTEE                	 BIDS AND AWARDS COMMITTEE INVITATION TO BID CONSTRUCTION OF DAY CARE CENTER AT BARANGAY SITE (PERPETUAL SUCCOR) 1.	The Local Govern</t>
  </si>
  <si>
    <t xml:space="preserve"> 1	LABOR AND MATERIALS FOR THE CONSTRUCTION		 	OF CONCRETE PERIMETER FENCE		 	AT VALLEHERMOSO HIGH SCHOOL		 	VALLEHERMOSO, CARMEN, BOHOL		 	SCOPE OF WORKS:		 	Item I: Earth Works		 	           Manual Excavation		 	           Footing (7 units) &amp; Zocalo		 	I</t>
  </si>
  <si>
    <t xml:space="preserve"> MEDICINE SUPPLIES</t>
  </si>
  <si>
    <t xml:space="preserve"> Republic of the Philippines SILAY CITY GOVERNMENT Zamora Street Silay City, Negros Occidental Telefax No. (034) 495-3746 	Control  Reference Number : GOODS#0109, ITB#0110,  PR#0343: SCG-2020 Name of the Project: Purchase of Laptop to be used of the Secret</t>
  </si>
  <si>
    <t xml:space="preserve"> l.	The MUNICIPALITY OF GUINAYANGAN, QUEZON, through  the  2020 C.O.  intends to apply the sum of  Forty One Thousand Three Hundred Sixty Two  Pesos  (P 41,362.00) being the Approved Budget for the Contract (ABC) to payments under the contract for Supply a</t>
  </si>
  <si>
    <t xml:space="preserve"> Republic of the Philippines SILAY CITY GOVERNMENT Zamora Street Silay City, Negros Occidental Telefax No. (034) 495-3746 	Control  Reference Number : GOODS#0112, ITB#0114,  PR#0253: SCG-2020 Name of the Project: Purchase of Construction Materials and Supp</t>
  </si>
  <si>
    <t xml:space="preserve"> Republic of the Philippines Province of Compostela Valley Municipality of Monkayo -o0o- INVITATION TO BID FOR THE PROCUREMENT OF RICE FOR PEACE &amp; ORDER OPERATION  The Municipality of Monkayo, through the GENERL FUND intends to apply the sum of EIGHT HUNDR</t>
  </si>
  <si>
    <t xml:space="preserve"> Republic of the Philippines PROVINCE OF ZAMBOANGA SIBUGAY Municipality of Roseller T. Lim    INVITATION TO BID 						June 03, 2020 	 To All Interested Bidders: Notice is hereby served that sealed bid be received for public bidding under the harmonious pro</t>
  </si>
  <si>
    <t xml:space="preserve"> Republic of the Philippines				 Municipality of Roseller T. Lim				 OFFICE OF MUNICIPAL MAYOR				 Zamboanga Sibugay Province				 				 				 INVITATION TO PAKYAW GROUP				 				            The Municipality or Roseller T. Lim thru its Municipal Mayor, is invi</t>
  </si>
  <si>
    <t xml:space="preserve"> 40 SACKS RICE MEALS AND SNACKS CARGO TRUCK RENTALS HYGIENE KITS</t>
  </si>
  <si>
    <t xml:space="preserve"> ITEM NO.	DESCRIPTION	QUANTITY	UNIT 			 PROJECT BILLBOARD  ITEM B.5:	Project Billboard / Signboard	          1.00 	pc Occupational Safety and Health Program ITEM B.7:	Occupational Safety and Health Program	          1.00 	L.S. INTAKE TANK (1.0m x 1.0m x 1.</t>
  </si>
  <si>
    <t xml:space="preserve"> Republic of the Philippines DEPARTMENT OF PUBLIC WORKS AND HIGHWAYS CAGAYAN THIRD DISTRICT ENGINEERING OFFICE REGION II Tuguegarao City The DPWH-CAGAYAN THIRD DISTRICT ENGINEERING OFFICE, through the GAA FY-2020 (DA) intends to apply the sum of P11,940,00</t>
  </si>
  <si>
    <t xml:space="preserve"> See Attach Associete Document</t>
  </si>
  <si>
    <t xml:space="preserve"> Construction Projects-Concreting of Access Road to Evacuation Center Phase 1, Brgy. Awasian, Tandag City</t>
  </si>
  <si>
    <t xml:space="preserve"> Procurement of Supplies use for MSWDO/Senior Citizen</t>
  </si>
  <si>
    <t xml:space="preserve"> CONSTRUCTION OF WATER SUPPLY</t>
  </si>
  <si>
    <t xml:space="preserve"> 3,000 ltrs. Diesel</t>
  </si>
  <si>
    <t xml:space="preserve"> 1	16	UNITS	One (1) set burner w/Gasul Tank and Accessories	 			Gasul/Fuel Tank	 			 -11kgs.	 			 -12.1 Tare Wt	  			 -LPG regulator-Model; ic-318	 			Burner	 			 -single burner	 			 -Icook-Model; ic-223	 			 -Gross Wt:5.8kg	 			 -Net Wt: 5kg	 			 -Dimensi</t>
  </si>
  <si>
    <t xml:space="preserve"> Republic of the Philippines Province of Sorsogon                                            Municipality of Irosin                                        BIDS &amp; AWARDS COMMITTEE CONSTRUCTION OF SLOPE PROTECTION-SAN JULIAN  TABLE OF CONTENTS SECTION I. INV</t>
  </si>
  <si>
    <t xml:space="preserve"> Procurement of Supplies use for MSWDO/Disable</t>
  </si>
  <si>
    <t xml:space="preserve"> Description Republic of the Philippines PROVINCE OF ZAMBONAGA DEL NORTE Barangay Tiniguiban Municipality of Leon B. Postigo INVITATION TO BID (003)  June 05, 2020   Municipality of Leon B. Postigo, Zamboanga del Norte invites qualified bidders to apply fo</t>
  </si>
  <si>
    <t xml:space="preserve"> Republic of the Philippines DEPARTMENT OF PUBLIC WORKS AND HIGHWAYS CAGAYAN THIRD DISTRICT ENGINEERING OFFICE REGION II Tuguegarao City The DPWH-CAGAYAN THIRD DISTRICT ENGINEERING OFFICE, through the GAA FY-2020 (DA) intends to apply the sum of P35,820,00</t>
  </si>
  <si>
    <t xml:space="preserve"> Invitation to Bid for the Procurement of Various Live Animals   The Agricultural Training Institute (ATI). through the 2017 General Appropriations Act intends to apply the sum of Two Million Seven Hundred Twenty Thousand Pesos (PhP 2,720,000.00) being the</t>
  </si>
  <si>
    <t xml:space="preserve"> 1 Unit Brand New 12 seater Van Vehicle Specification: - Model Type: 2.5 L. 4 in line DOHC 16 valves - Variable Turbo Charged ( VGS) - Diesel (YD5DDTI) - Bore X Stroke / Displacement / Compression - Ratio: 89mmx100mm / 2488cc /151 - Maximum Torque: 356 1/1</t>
  </si>
  <si>
    <t xml:space="preserve"> 1	12	pc	Rescue Uniform- Tactical Pants	 	       1,850.00 	     22,200.00  2	12	pc	Rescue Uniform- T- Shirt w/ Color	 	           850.00 	     10,200.00  3	1	pc	Chain Block 5 tons	 	     21,500.00 	     21,500.00  4	12	pc	Rescue Uniform-Jacket	 	       2,1</t>
  </si>
  <si>
    <t xml:space="preserve"> The Municipality of Bay, Laguna through the GOP/General Fund intends to apply the sum of Three Hundred Eighty Nine Thousand Nine Hundred Thirty Pesos Only (Php, 389,930.00) being the Approved Budget for the Contract (ABC) to payments under the contract fo</t>
  </si>
  <si>
    <t xml:space="preserve"> 2,100 PCS 4" CHB 36 PCS 9MM RSB 50 PCS 10MM RSB 98 BAGS PORTLAND CEMENT 8 KLS TIE WIRE 4 CU.M RIVER SAND 8 CU.M MIXED AGGREGATES</t>
  </si>
  <si>
    <t xml:space="preserve"> Republic of the Philippines Province of Misamis Oriental Municipality of Initao Invitation to Bid  CONCRETING OF FARM-TO-MARKET ROAD (TUBIGAN) 1.	The Municipal Government of Initao, Misamis Oriental, through its General Fund 2019, intends to apply the sum</t>
  </si>
  <si>
    <t xml:space="preserve"> 41 SACKS RICE 20 CS NOODLES 50 PACKS PLASTIC BAGS MEALS AND SNACKS CARGO TRUCK RENTALS</t>
  </si>
  <si>
    <t xml:space="preserve"> Republic of the Philippines Province of Oriental Mindoro MUNICIPALITY OF NAUJAN 	 BIDS &amp; AWARDS COMMITTEE INVITATION TO BID CONCRETING OF ROADS IN DIFFERENT BARANGAYS, NAUJAN, ORIENTAL MINDORO 1.	The Municipal Government of Naujan – Bids and Awards Commit</t>
  </si>
  <si>
    <t xml:space="preserve"> Procurement of Supplies use for MSWDO</t>
  </si>
  <si>
    <t xml:space="preserve"> ITEM I	PROVISION OF PROJECT BILLBOARD			 	20	Bd.ft	5 – 2’ x 3” x 8’ Good Lumber		55.00	1,100.00 	0.5	Kg	CWN #3		95.00	47.50 	32	Sq.ft	4ft x 8ft Tarpaulin		25.00	800.00 ITEM II	CONCRETE PAVEMENT			 	65	Cu.m	Gravel		1,500.00	97,500.00 	46	Cu.m	Sand		1,800.0</t>
  </si>
  <si>
    <t xml:space="preserve"> ITEM III.	COLUMN AND FOOTING	 	 	   	24	PCS	12mm Dia RSB	 	              350.00 	          8,400.00   	18	PCS	10mm Dia RSB	 	              250.00 	          4,500.00   	5	KGS	Tie Wire	 	                 90.00 	              450.00   	3	CU.M	Sand	 	       </t>
  </si>
  <si>
    <t xml:space="preserve"> Reinforcing Steel (12mm O x 6m) Reinforcing Steel (10mm O x 6m) Choker (Selected Aggregates) Glass Beads Chlorinated Rubber Ref. Traffic Paint (White) Thermoplastic Paint White Thermoplastic Paint Yellow Lumber Thermoplastic Epoxy Primer LPG (50 kg) LPG (</t>
  </si>
  <si>
    <t xml:space="preserve"> 1	751	bags	Portland Cement	 	320.00	240,320.00 2	41.6	cu.m.	Sand	 	1,800.00	74,880.00 3	83.2	cu.m.	Gravel	 	1,800.00	149,760.00 4	45,000	Gallons	Water	 	0.50	22,500.00 5	20	cu.m.	Base Preparation	 	1,700.00	34,000.00 6	50	I.m.	Formworks	 	300.00	15,000.00</t>
  </si>
  <si>
    <t xml:space="preserve"> Description Republic of the Philippines PROVINCE OF ZAMBONAGA DEL NORTE Municipality of Leon B. Postigo INVITATION TO BID (2020-05-065)  June 04, 2020   Municipality of Leon B. Postigo, Zamboanga del Norte invites qualified bidders to apply for prequalifi</t>
  </si>
  <si>
    <t xml:space="preserve"> The Municipality of Bay, through the GOP – 20% Economic Development Fund (EDF) intends to apply the sum of Two Million Two Hundred Thirty Six Eight Hundred Eighty Two Pesos and Sixty Centavos (PHP 2,236,882.62) being the Approved Budget for the Contract (</t>
  </si>
  <si>
    <t xml:space="preserve"> ITEM	ITEM  DESCRIPTION	QTY	UNIT NO.			 1	Partition with 1 set -Glass 115" x 215" clear glass with 1 3/4" x 3" Aluminum frame (Analok) Fix, Slide/ Slide, Fix w/ transom	1	set</t>
  </si>
  <si>
    <t xml:space="preserve"> Solar Streetlights</t>
  </si>
  <si>
    <t xml:space="preserve"> INVITATION TO BID FOR  “Supply and Delivery of Five (5) sets High Availability Firewall Appliance (2 paired units)” 1.	The Philippine Institute of Volcanology and Seismology, through the GAA 2020 intends to apply the sum of One Million Seven Hundred Fifty</t>
  </si>
  <si>
    <t xml:space="preserve"> Opening of Farm to Market Road Barangay Rizal, Santa, Ilocos Sur</t>
  </si>
  <si>
    <t xml:space="preserve"> Republic of the Philippines Province of Iloilo Municipality of Lambunao Office of the Bids &amp; Awards Committee INVITATION TO BID/ REQUEST FOR PRICE QUOTATION Name of Project: Purchase of Materials for the Const. of Water Shield Toilet Location: Brgy. Jayub</t>
  </si>
  <si>
    <t xml:space="preserve"> 1	240	PCS	10MM DIA RSB		250.00	60,000.00 2	80	PCS	12MM DIA RSB (VERTICALS)		350.00	28,000.00 3	100	BAGS	PORTLAND CEMENT		300.00	30,000.00 4	10	CU.M	SAND		1,800.00	18,000.00 5	13	CU.M	GRAVEL CHOKER		1,500.00	19,500.00 6	20	SHTS	MARINE PLYWOOD ½”		1,250.00	</t>
  </si>
  <si>
    <t xml:space="preserve"> Brief Description: Farm to Market Road SPECS: Length of FTMR : 108.00 mts.  width: 3.00 mts. thickness: 20 cm. The significant times and deadlines of procurement activities are shown below:  Activities	Schedule 1. Receipt of LOIs from Prospective Bidders	</t>
  </si>
  <si>
    <t xml:space="preserve"> Improvement/ Rehabilitation of Public Market Santa, Ilocos Sur</t>
  </si>
  <si>
    <t xml:space="preserve"> Construction of Line Canal Mabilbila, Santa, Ilocos Su</t>
  </si>
  <si>
    <t xml:space="preserve"> ITEM I.	TILE INSTALLATION 	 	 	 	   	IA. LOBBY	 	 	 	 	   	170	pcs	TILES .60 X .60	 	       250.00 	    42,500.00   	5	cu.m	FINISHING SAND	 	   2,500.00 	    12,500.00   	60	bags	PORTLAND CEMENT	 	       300.00 	    18,000.00   	10	kgs	TILE GROUT	 	      </t>
  </si>
  <si>
    <t xml:space="preserve"> The Department of Agriculture-RFO 3, invites interested suppliers to submit quotations/proposals for the hereunder requirement, to wit: 2	unit	GEOTAGGING	 		Qualcomm Snapdragon	 		675 octa - core chip	 		6GB RAM 128GB internal	 		storage 6.7 inch FHD+	 		</t>
  </si>
  <si>
    <t xml:space="preserve"> 5,500 ltrs. Diesel</t>
  </si>
  <si>
    <t xml:space="preserve"> Republic of the Philippines DEPARTMENT OF PUBLIC WORKS AND HIGHWAYS CAGAYAN THIRD DISTRICT ENGINEERING OFFICE REGION II Tuguegarao City The DPWH-CAGAYAN THIRD DISTRICT ENGINEERING OFFICE, through the GAA FY-2020 intends to apply the sum of P2,969,999.99 b</t>
  </si>
  <si>
    <t xml:space="preserve"> Republic of the Philippines DEPARTMENT OF PUBLIC WORKS AND HIGHWAYS CAGAYAN THIRD DISTRICT ENGINEERING OFFICE REGION II Tuguegarao City The DPWH-CAGAYAN THIRD DISTRICT ENGINEERING OFFICE, through the GAA FY-2020 intends to apply the sum of P9,950,000.00 b</t>
  </si>
  <si>
    <t xml:space="preserve"> The DPWH, Negros Occidental 3rd District Engineering Office, Kabankalan City, Negros Occidental, through its Bids and Awards Committee (BAC), invites contractors to submit bids for the following contract: 1. Contract ID		:	20GM0073 Contract Name	:	Concret</t>
  </si>
  <si>
    <t xml:space="preserve"> Republic of the Philippines Department of Public Works and Highways AGUSAN DEL NORTE DISTRICT ENGINEERING OFFICE  REGIONAL OFFICE XIII  J. P. Rosales Avenue, Butuan City    INVITATION TO BID    The Department of Public Works and Highways Agusan del Norte </t>
  </si>
  <si>
    <t xml:space="preserve"> The Municipality of Limay, through its Bids and Awards Committee (BAC) invites registered contractors to apply for eligibility and if found eligible, to bid for the hereunder project/contract: Project/Contract:   REPAINTING OF ROOF, INTERIOR &amp; EXTERIOR CE</t>
  </si>
  <si>
    <t xml:space="preserve"> Republic of the Philippines DEPARTMENT OF PUBLIC WORKS AND HIGHWAYS CAGAYAN THIRD DISTRICT ENGINEERING OFFICE REGION II Tuguegarao City The DPWH-CAGAYAN THIRD DISTRICT ENGINEERING OFFICE, through the GAA FY-2020 (AMWP) intends to apply the sum of P1,000,0</t>
  </si>
  <si>
    <t xml:space="preserve"> Republic of the Philippines DEPARTMENT OF PUBLIC WORKS AND HIGHWAYS CAGAYAN THIRD DISTRICT ENGINEERING OFFICE REGION II Tuguegarao City The DPWH-CAGAYAN THIRD DISTRICT ENGINEERING OFFICE, through the GAA FY-2020 (MOOE) intends to apply the sum of P1,000,0</t>
  </si>
  <si>
    <t xml:space="preserve"> Republic of the Philippines DEPARTMENT OF PUBLIC WORKS AND HIGHWAYS CAGAYAN THIRD DISTRICT ENGINEERING OFFICE REGION II Tuguegarao City The DPWH-CAGAYAN THIRD DISTRICT ENGINEERING OFFICE, through the GAA FY-2020 (MOOE) intends to apply the sum of P500,000</t>
  </si>
  <si>
    <t xml:space="preserve"> public biding</t>
  </si>
  <si>
    <t xml:space="preserve"> The DPWH, Negros Occidental 3rd District Engineering Office, Kabankalan City, Negros Occidental, through its Bids and Awards Committee (BAC), invites contractors to submit bids for the following contract: 1. Contract ID		:	20GM0077 Contract Name	:	Concret</t>
  </si>
  <si>
    <t xml:space="preserve"> INVITATION TO BID The City Government of Ozamiz, through its Bids and Awards Committee (BAC), invites contractors registered with and classified by the Philippine Contractors Accreditation Board (PCAB) to apply for eligibility and to bid for the hereunder</t>
  </si>
  <si>
    <t xml:space="preserve"> INVITATION TO BID The MUNICIPALITY OF BANI, through its Bids and Awards Committee (BAC), invites suppliers/contractors to bid for the following: Name of Project	:Procurement of Farm Equipment	 Project Location	:Bani, Pangasinan Project Description :	100 u</t>
  </si>
  <si>
    <t xml:space="preserve"> The Works consist of 1. Project Billboard 2. Excavation 3. Concrete Line Canal 4. Grouted Riprap</t>
  </si>
  <si>
    <t xml:space="preserve"> Republic of the Philippines DEPARTMENT OF PUBLIC WORKS AND HIGHWAYS CAGAYAN THIRD DISTRICT ENGINEERING OFFICE REGION II Tuguegarao City The DPWH-CAGAYAN THIRD DISTRICT ENGINEERING OFFICE, through the GAA FY-2020 (MOOE) intends to apply the sum of P250,000</t>
  </si>
  <si>
    <t xml:space="preserve"> Republic of the Philippines DEPARTMENT OF PUBLIC WORKS AND HIGHWAYS CAGAYAN THIRD DISTRICT ENGINEERING OFFICE REGION II Tuguegarao City The DPWH-CAGAYAN THIRD DISTRICT ENGINEERING OFFICE, through the GAA FY-2020 (MOOE) intends to apply the sum of P400,000</t>
  </si>
  <si>
    <t xml:space="preserve"> Republic of the Philippines DEPARTMENT OF PUBLIC WORKS AND HIGHWAYS CAGAYAN THIRD DISTRICT ENGINEERING OFFICE REGION II Tuguegarao City The DPWH-CAGAYAN THIRD DISTRICT ENGINEERING OFFICE, through the GAA FY-2020 (MOOE) intends to apply the sum of P300,000</t>
  </si>
  <si>
    <t xml:space="preserve"> The DPWH, Negros Occidental 3rd District Engineering Office, Kabankalan City, Negros Occidental, through its Bids and Awards Committee (BAC), invites contractors to submit bids for the following contract: 1. Contract ID		:	20GM0079 Contract Name	:	Concret</t>
  </si>
  <si>
    <t xml:space="preserve"> Description Republic of the Philippines PROVINCE OF ZAMBONAGA DEL NORTE Municipality of Leon B. Postigo INVITATION TO BID (2020-05-066)  June 04, 2020   Municipality of Leon B. Postigo, Zamboanga del Norte invites qualified bidders to apply for prequalifi</t>
  </si>
  <si>
    <t xml:space="preserve"> The Works consist of 1. Project Billboard 2. Manual Excavation and Backfilling 3. Installation of light post Lot 1. Installation of Street Lighting at Barangay Son-ok II, Pintuyan, Southern Leyte (Php200,000.00) Lot 2. Installation of Street Lighting at P</t>
  </si>
  <si>
    <t xml:space="preserve"> Republic of the Philippines MUNICIPALITY OF PANIQUI Province of Tarlac 	Solicitation No.: I-2020-013 Name of the Project      : Construction of New Public Market (Site Development – Embankment) Location of the Project : Burgos St., Brgy. Tablang, Paniqui,</t>
  </si>
  <si>
    <t xml:space="preserve"> Republic of the Philippines MUNICIPALITY OF PANIQUI Province of Tarlac 	Solicitation No.: I-2020-012 Name of the Project      : Construction of New Public Market (Site Development – Drainage System) Location of the Project : Burgos St., Brgy. Tablang, Pan</t>
  </si>
  <si>
    <t xml:space="preserve"> The DPWH, Negros Occidental 3rd District Engineering Office, Kabankalan City, Negros Occidental, through its Bids and Awards Committee (BAC), invites contractors to submit bids for the following contract: 1. Contract ID		:	20GM0078 Contract Name	:	Concret</t>
  </si>
  <si>
    <t xml:space="preserve"> Republic of the Philippines Province of Iloilo Municipality of Lambunao Office of the Bids &amp; Awards Committee INVITATION TO BID Name of Project: Purchase of Materials for the Const. of Drainage Canal Location: Brgy. Cunarom,  Lambunao, Iloilo ABC: Php 172</t>
  </si>
  <si>
    <t xml:space="preserve"> ITEM I.	WALLING	 	 	   	900	PCS	CHB #4	 	             25.00 	       22,500.00   	40	PCS	10mm Dia RSB	 	           200.00 	         8,000.00   	6	CU.M	Sand (Approved Source)	 	       1,500.00 	         9,000.00   	4	KGS	Tie Wire	 	             90.00 	     </t>
  </si>
  <si>
    <t xml:space="preserve"> INVITATION TO BID CATERING SERVICES FOR RESPONSE OPERATION 1.	The Local Government Unit of Cabadbaran City through the DRRMF intends to apply the sum of ONE HUNDRED NINETY-FOUR THOUSAND NINE HUNDRED FORTY PESOS ONLY (P 194,940.00) being the Approved Budge</t>
  </si>
  <si>
    <t xml:space="preserve"> Republic of the Philippines MUNICIPALITY OF PANIQUI Province of Tarlac 	Solicitation No.: I-2020-014 Name of the Project      : Construction of New Public Market (Main Building 1) Location of the Project : Burgos St., Brgy. Tablang, Paniqui, Tarlac INVITA</t>
  </si>
  <si>
    <t xml:space="preserve"> 1	134	feet	Well Drilling of 6"Ø bore hole	 	    1,000.00 	   134,000.00      2      1      unit    Submersible pump, model                    72,500.00        72,500.00                           18GS10412, 1HP, 230 Volts                          Single Ph</t>
  </si>
  <si>
    <t xml:space="preserve"> The Works consist of 1. Project Billboard 2. Demolition and Clearing 3. Excavation 4. Installation of Pipe Culvert 5. Backfilling works 6. Masonry works 7. Concreting works</t>
  </si>
  <si>
    <t xml:space="preserve"> STRUCTURE EXCAVATION FORMWORKS &amp; SCAFFOLDINGS REINFORCED CONCRETE REINFORCING STEEL BARS MASONRY WORKS STEEL WORKS CARPENTRY WORKS ROOFING ELECTRICAL WORKS</t>
  </si>
  <si>
    <t xml:space="preserve"> PLEASE SEE ATTACHED BIDDING DOCUMENTS</t>
  </si>
  <si>
    <t xml:space="preserve"> INVITATION TO BID FOR  “Supply and Delivery of Twenty (20) units Solar Charge Controllers/Regulators” 1.	The Philippine Institute of Volcanology and Seismology, through the GAA 2020 intends to apply the sum of Six Hundred Twenty Thousand Pesos Only (₱620,</t>
  </si>
  <si>
    <t xml:space="preserve"> ITEM III	COLUMN/FOOTING			 	III - A	COLUMN 1, 4.0m x .40m x .40m (2)			 	1.50	Cu.m	Gravel		1,500.00	2,250.00 	12	Bags	Portland Cement		300.00	3,600.00 	1	Cu.m	Sand		1,800.00	1,800.00 	16	Length	20mm Ø RSB		600.00	9,600.00 	16	Length	10mm Ø RSB		300.00	4,8</t>
  </si>
  <si>
    <t xml:space="preserve"> I	PROVISION OF 1 UNIT BILLBOARD (2.4M X 2.4M)	 	 	   	12	bd.ft.	2" x 3" x 12ft Good Lumber	1	           50.00 	                    600.00   	12	bd.ft.	2" x 3" x 8ft Good Lumber	1	           50.00 	                    600.00   	2	pcs 	Marine Plywood 1/4"	1</t>
  </si>
  <si>
    <t xml:space="preserve"> INVITATION TO BID SUPPLY AND DELIVERY OF VARIOUS VEGETABLE SEEDS FOR HOME-BASED GARDENING PROJECT 1.	The Local Government Unit of Cabadbaran City through the GENERAL FUND intends to apply the sum of THREE HUNDRED THOUSAND PESOS ONLY (P 300,000.00) being t</t>
  </si>
  <si>
    <t xml:space="preserve"> The DPWH, Negros Occidental 3rd District Engineering Office, Kabankalan City, Negros Occidental, through its Bids and Awards Committee (BAC), invites contractors to submit bids for the following contract: 1. Contract ID		:	20GM0075 Contract Name	:	Concret</t>
  </si>
  <si>
    <t xml:space="preserve"> INVITATION FOR NEGOTIATED PROCUREMENT BAC-NP NO. 2020-05 	The Research Institute for Tropical Medicine (RITM) through its Bids and Awards Committee (BAC) invites technically, legally and financially capable PHILGEPS-registered suppliers/manufacturers to a</t>
  </si>
  <si>
    <t xml:space="preserve"> Republic of the Philippines City of Dapitan BIDS AND AWARDS COMMITTEE 	 						 June 04, 2020 NOTICE FOR NEGOTIATED PROCUREMENT – TWO FAILED BIDDINGS 	The City Government of Dapitan through the Bids and Awards Committee (BAC) would like to inform PhilGEPS </t>
  </si>
  <si>
    <t xml:space="preserve"> INVITATION TO BID The Surigao del Sur 1st District Engineering Office, Tandag City, through its Bids and Awards Committee (BAC), invites contractors to submit bids for the following Contract: CONTRACT ID	:	20NH0081 (RE-AD) CONTRACT NAME	:	Rehabilitation o</t>
  </si>
  <si>
    <t xml:space="preserve"> Republic of the Philippines City of Dapitan BIDS AND AWARDS COMMITTEE 						June 04, 2020 NOTICE FOR NEGOTIATED - SMALL VALUE PROCUREMENT 	The City Government of Dapitan through the Bids and Awards Committee (BAC) would like to inform PhilGEPS registered </t>
  </si>
  <si>
    <t xml:space="preserve"> Republic of the Philippines          City of Dumaguete Bids and Awards Committee INVITATION TO BID FOR PURCHASE REQUEST OF 12 BAGS PORTLAND CEMENT 40 KGS 	The City of Dumaguete thru its BIDS AND AWARDS COMMITTEE (BAC), invites all interested manufacturers</t>
  </si>
  <si>
    <t xml:space="preserve"> ITEM: 50 cu.m Washed Sand 50 cu.m Washed Gravel 3/4 50 cu.m Crushed Gravel 3/4 20 cu.m Backfill Materials PURPOSE: RPP NO. 20-05-05-021-FOR REPLENISHMENT OF STOCKS. ( FOR STAGGERD DELIVERY)	 ABC: PHP 152,500.00 DELIVERY SCHEDULE: 10 CALENDAR DAYS</t>
  </si>
  <si>
    <t xml:space="preserve"> INVITATION TO BID CATERING SERVICES FOR COMMUNITY-BASED ORIENTATION PROGRAM 1.	The Local Government Unit of Cabadbaran City through the DRRMF intends to apply the sum of ONE HUNDRED NINETY-EIGHT THOUSAND THREE HUNDRED SIXTY PESOS ONLY (P 198,360.00) being</t>
  </si>
  <si>
    <t xml:space="preserve"> INVITATION TO BID SUPPLY AND DELIVERY OF CUSTOMIZED UNIFORM (SWEAT SHIRT) W/ PRINT FOR CVOS 1.	The Local Government Unit of Cabadbaran City through the PEACE &amp; ORDER FUND intends to apply the sum of THREE HUNDRED THOUSAND PESOS ONLY (P 300,000.00) being t</t>
  </si>
  <si>
    <t xml:space="preserve"> Supply of labor, materials and rental of equipment</t>
  </si>
  <si>
    <t xml:space="preserve"> Invitation to Bid for the Procurement of Various Animal Feeds   The Agricultural Training Institute (ATI), through the 2020 General Appropriations Act intends to apply the sum of One Million Thirty-Two Thousand Nine Hundred Pesos (PhP 1,032,900.00) being </t>
  </si>
  <si>
    <t xml:space="preserve"> INVITATION TO BID SUPPLY AND DELIVERY OF CUSTOMIZED UNIFORM (POLO SHIRT W/ PRINT) FOR CVOS 1.	The Local Government Unit of Cabadbaran City through the PEACE &amp; ORDER FUND intends to apply the sum of TWO HUNDRED SEVENTY-SEVEN THOUSAND SEVEN HUNDRED FIFTY PE</t>
  </si>
  <si>
    <t xml:space="preserve"> Republic of the Philippines PROVINCE OF SURIGAO DEL NORTE MUNICIPALITY OF DEL CARMEN INVITATION TO BID The Local Government Unit of the Municipality of Del Carmen, Province of Surigao del Norte, through its Bids and Awards Committee (BAC), invites contrac</t>
  </si>
  <si>
    <t xml:space="preserve"> The DPWH, Negros Occidental 3rd District Engineering Office, Kabankalan City, Negros Occidental, through its Bids and Awards Committee (BAC), invites contractors to submit bids for the following contract: 1. Contract ID		:	20GM0074 Contract Name	:	Concret</t>
  </si>
  <si>
    <t xml:space="preserve"> Medical Supplies for CVAC Operation LGU Cabagan Cabagan, Isabela</t>
  </si>
  <si>
    <t xml:space="preserve"> Republic of the Philippines PROVINCE OF SAMAR Catbalogan -o0o- REQUEST FOR EXPRESSION OF INTEREST FOR THE PROCUREMENT OF INDEPENDENT CONSULTANT FOR THE CONSULTANCY SERVICES FOR SAMAR URBAN DEVELOPMENT PLAN, CATBALOGAN, CITY 1.	The Provincial Government of</t>
  </si>
  <si>
    <t xml:space="preserve"> Procurement of Supplies use for MTCO/ Tourism</t>
  </si>
  <si>
    <t xml:space="preserve"> The Municipality of Limay, through its Bids and Awards Committee (BAC) invites registered contractors to apply for eligibility and if found eligible, to bid for the hereunder project/contract: Project/Contract:     REHABILITATION OF TENNIS COURT AT BALUYO</t>
  </si>
  <si>
    <t xml:space="preserve"> ITEM II.	MASONRY/REINFORCEMENT/PLASTERING	 	 	   	720	pcs	CHB #4	 	              25.00 	         18,000.00   	6	cu.m	FINISHING SAND	 	        2,500.00 	         15,000.00   	60	bags	PORTLAND CEMENT	 	           295.00 	         17,700.00   	100	pcs	10MM Ø</t>
  </si>
  <si>
    <t xml:space="preserve"> The DPWH, Negros Occidental 3rd District Engineering Office, Kabankalan City, Negros Occidental, through its Bids and Awards Committee (BAC), invites contractors to submit bids for the following contract: 1. Contract ID		:	20GM0076 Contract Name	:	Concret</t>
  </si>
  <si>
    <t xml:space="preserve"> Republic of the Philippines  Province of Nueva Ecija City Government of Palayan INVITATION TO BID FOR THE CONSTRUCTION OF 5 UNITS MULTI-PURPOSE BUILDINGS 1.	The City Government of Palayan, through the General Fund intends to apply the sum of (Php25,000,00</t>
  </si>
  <si>
    <t xml:space="preserve"> Ethyl Alcohol, 70%, gallon, 30bottles Disposable Nitrile/Latex gloves, powder free, medium size, 100/box, 80boxes Disposable Nitrile/Latex gloves, powder free, small size, 100/box, 10boxes Disposable Nitrile/Latex gloves, powder free, large size, 100/box,</t>
  </si>
  <si>
    <t xml:space="preserve"> Republic of the Philippines          City of Dumaguete Bids and Awards Committee INVITATION TO BID FOR PURCHASE REQUEST OF 23 CU.M CONCRETE PREMIX (3000 PSI @ 28 DAYS) CF: 9 BAGS/CU.M 	The City of Dumaguete thru its BIDS AND AWARDS COMMITTEE (BAC), invite</t>
  </si>
  <si>
    <t xml:space="preserve"> Procurement of Cell cards use for MSWDO</t>
  </si>
  <si>
    <t xml:space="preserve"> INVITATION TO BID CATERING SERVICES FOR POST DISASTER INTERVENTION PROGRAM 1.	The Local Government Unit of Cabadbaran City through the PEACE &amp; ORDER FUND intends to apply the sum of TWO HUNDRED NINETY-NINE THOUSAND TWO HUNDRED EIGHTY PESOS ONLY (P 299,280</t>
  </si>
  <si>
    <t xml:space="preserve"> REQUEST FOR EXPRESSION OF INTEREST (REI) FOR CONSULTING SERVICES FOR THE STRUCTURAL ASSESSMENT AND DETAILED ENGINEERING DESIGN FOR THE RETROFITTING OF PUBLIC BUILDINGS (“THE BIG ONE” PHASE III - CONTRACT PACKAGES 1 TO 8) 1.	The Department of Public Works </t>
  </si>
  <si>
    <t xml:space="preserve"> Laboratory Supplies for RHU LGU Cabagan Cabagan, Isabela</t>
  </si>
  <si>
    <t xml:space="preserve"> Procurement of Supplies use for MSWDO/LCPC</t>
  </si>
  <si>
    <t xml:space="preserve"> 1.	The OCCIDENTAL MINDORO STATE COLLEGE (OMSC), through the Special Trust Fund intend to apply the sum of Three Million One Hundred Fifty-Three Thousand Nine Hundred Thirty Two Pesos Only (Php3,153,932.00) being the Approved Budget for the Contract (ABC) </t>
  </si>
  <si>
    <t xml:space="preserve"> Procurement of Security Services	2 12 months contract starting	 July 2020-June 2021	 	 Includes the following:	 Compliant to Technical Specification stated on Section VII of the Bidding Document	 Compliant to requirements stated on Section VI of the Biddi</t>
  </si>
  <si>
    <t xml:space="preserve"> INSTALLATION OF CCTV CAMERAS FOR “ BALIK PROBINSYA BAGONG PAG -ASA PROGRAM” AT  BRGY TACUB, KAUSWAGAN, LANAO DEL NORTE</t>
  </si>
  <si>
    <t xml:space="preserve"> FUND SOURCE: 20% PDF 2020 `TYPES OF WORK TO BE DONE: Project billboard/ signboard/ occupational safety and health program/ reinforcing steel bars/ structural concrete (class A)/ formworks and falseworks/ masonry works (100mm thk CHB)/ steel window casemen</t>
  </si>
  <si>
    <t xml:space="preserve"> Republic of the Philippines PROVINCE OF CAMARINES SUR BIDS AND AWARDS COMMITTEE 									    	                      ITB No.032-06-2020 INVITATION TO BID 	The Provincial Government of Camarines Sur (PGCS) through its Bids and Awards Committee (BAC) invites</t>
  </si>
  <si>
    <t xml:space="preserve"> Construction Project of Establishment of Breastfeeding Cubicle</t>
  </si>
  <si>
    <t xml:space="preserve"> INVITATION TO BID CATERING SERVICES FOR RESPONSE OPERATION 1.	The Local Government Unit of Cabadbaran City through the PEACE &amp; ORDER FUND intends to apply the sum of FOUR HUNDRED NINETY-EIGHT THOUSAND EIGHT HUNDRED PESOS ONLY (P 498,800.00) being the Appr</t>
  </si>
  <si>
    <t xml:space="preserve"> INVITATION TO BID CATERING SERVICES FOR HEALTH EMERGENCY MONITORING 1.	The Local Government Unit of Cabadbaran City through the PEACE &amp; ORDER FUND intends to apply the sum of ONE HUNDRED NINETY-EIGHT THOUSAND THREE HUNDRED PESOS ONLY (P 198,360.00) being </t>
  </si>
  <si>
    <t xml:space="preserve"> Republic of the Philippines City Government of Cotabato BIDS AND AWARDS COMMITTEE Cotabato City INVITATION FOR NEGOTIATED PROCUREMENT Projects: 	I. Provisions of Barangay Health Station at Barangay RH-2, Cotabato City II. Provisions of Lying-Inns for Stra</t>
  </si>
  <si>
    <t xml:space="preserve"> DELIVERY PERIOD: 15 CALENDAR DAY DELIVERY POINT: NPC -OBC WAREHOUSE, DILIMAN, QUEZON CITY BID PRICE VALIDITY: 120 CALENDAR DAYS TERMS OF PAYMENT: 30 CALENDAR DAYS</t>
  </si>
  <si>
    <t xml:space="preserve"> Piglets Hog Starter Hog Grower Hog Finisher Dewormer (Injectable Ivermection, 10 ml/bottle -3 ml/cycle for 2 heads (.3 bottle/cycle Vitamin B. Complaex (Injectable BEXAN SP20 ml/bottle)-8 ml/cycle for 2 heads (08 bottle/cycle)</t>
  </si>
  <si>
    <t xml:space="preserve"> BLGU-GUINTAGBUCAN-AL-01-2020 PURCHASE 200WATTS 220V FLOOD LIGHT</t>
  </si>
  <si>
    <t xml:space="preserve"> Fund Source: 20% PDF 2020` Types of Work to be done: project billboard/ signboard/ occupational safety and health program/ roadway excavation (unclassified)/ structure excavation (soft rock)/ overhaul/ grouted riprap (class A)</t>
  </si>
  <si>
    <t xml:space="preserve"> Invitation to Bid CONSTRUCTION OF GUITABAYAG BRIDGE (Gomez to Villaflor) Solicitation No. Infra-2020-05 The Municipality of San Isidro, Isabela, through the Trust Fund for FY 2020, intends to apply the sum of Four Million Nine Hundred Forty-Seven Thousand</t>
  </si>
  <si>
    <t xml:space="preserve"> Fund Source: 20% PDF 2020 Types of Work to be Done: project billboard/ signboard/ occupational safety and health program/ removal of structures and obstruction/ structure excavation (manual excavation common soil)/ structure concrete/ structure concrete (</t>
  </si>
  <si>
    <t xml:space="preserve"> Procurement of Office Supplies use for COA office</t>
  </si>
  <si>
    <t xml:space="preserve"> 20 W Solar Panel 5w LED Buld 10A Solar Charge Controller, Weatherproof, Dush Till Dawn 16ah Solar Battery  2"Post with Padestal 6" AMCO Globe</t>
  </si>
  <si>
    <t xml:space="preserve"> PLEASE SEE ATTACHED REQUEST FOR QUOTATION AND INVITATION TO APPLY FOR ELIGIBILITY AND TO BID</t>
  </si>
  <si>
    <t xml:space="preserve"> PLEASE SEE ATTACHED RFQ AND ITB</t>
  </si>
  <si>
    <t xml:space="preserve"> Quotation No.20-03-269 REBID = Calcium Hypochlorite (Chlorine Granules); Sodium Hypochlorite (Bleach Solution); Antibacterial handsoap (135g); 70% Ethyl Alcohol</t>
  </si>
  <si>
    <t xml:space="preserve"> Procurement of Rice Duck Production (SAAD Project</t>
  </si>
  <si>
    <t xml:space="preserve"> Provision of 1 Unit Four Wheeled Farm Tractor for the Municipal Agriculturist Office, Municipality of Bongabong, Oriental Mindoro.</t>
  </si>
  <si>
    <t xml:space="preserve"> Republic of the Philippines Province of Nueva Vizcaya Municipality of Solano -o0o- INVITATION TO BID FOR Supply &amp; Delivery of Laboratory Reagents for Hematology Analyzer   (SOLANO 056-2020) 1.	The Local Government Unit of Solano, Nueva Vizcaya through the</t>
  </si>
  <si>
    <t xml:space="preserve"> SEE ATTACHED BIDDING DOCS, PLANS AND CHECKLIST</t>
  </si>
  <si>
    <t xml:space="preserve"> Brief Description: covered box drainage Drainage Length: 41.00 mts. width: 1.00 mt The significant times and deadlines of procurement activities are shown below:  Activities	Schedule 1. Receipt of LOIs from Prospective Bidders	June 05-11, 2020 2. Issuance</t>
  </si>
  <si>
    <t xml:space="preserve"> Republic of the Philippines Province of Bohol Municipality of Maribojoc Barangay Pagnitoan BIDS AND AWARDS COMMITTEE INVITATION TO BID  (Re-bidding) The Barangay Pagnitoan of the Municipality of Maribojoc, Bohol invites duly interested Suppliers /Contract</t>
  </si>
  <si>
    <t xml:space="preserve"> Concreting/Improvement of Roxas Barangay Road Municipality of Mainit, Surigao del Norte Brief Description:	The project will involve the Concreting/Improvement of Roxas Barangay Road with the following scope of works: General Requirements, Clearing, Surplu</t>
  </si>
  <si>
    <t xml:space="preserve"> Republic of the Philippines Office of the Barangay Chairman BIDS AND AWARDS COMMITTEE Baquioen, Sual, Pangasinan INVITATION TO BID FOR THE PROCUREMENT OF OFFICE EQUIPMENT   1.	The Barangay Baquioen through its Bids and Awards Committee, intends to apply t</t>
  </si>
  <si>
    <t xml:space="preserve"> MAINTENANCE OF CORE LOCAL ROADS AT ATOK CIS SERVICE ROAD ATOK, FLORA, APAYAO</t>
  </si>
  <si>
    <t xml:space="preserve"> Acquisition of multifilament net &amp; accessories for Agriculture Office Items: 1.  18 bundles - Multifilament net 210/2x25kx200md 2.  6 rolls        - P.e. Rope (3 mm) 3.  6 kls.         - lead sinker no. 2 4.  2 packs      - rubber floats 5.  18 spool     </t>
  </si>
  <si>
    <t xml:space="preserve"> REPUBLIC OF THE PHILIPPINES DEPARTMENT OF PUBLIC WORKS AND HIGHWAYS OFFICE OF THE DISTRICT ENGINEER CAVITE 1ST DISTRICT ENGINEERING OFFICE BRGY. DE OCAMPO, TRECE MARTIRES CITY, CAVITE INVITATION TO BID FOR PURCHASING OF CONSTRUCTION MATERIALS FOR THE ASPH</t>
  </si>
  <si>
    <t xml:space="preserve"> REPUBLIC OF THE PHILIPPINES DEPARTMENT OF PUBLIC WORKS AND HIGHWAYS OFFICE OF THE DISTRICT ENGINEER CAVITE 1ST DISTRICT ENGINEERING OFFICE BRGY. DE OCAMPO, TRECE MARTIRES CITY, CAVITE INVITATION TO BID FOR PURCHASING OF THERMOPLASTIC PAINT MATERIALS FOR T</t>
  </si>
  <si>
    <t xml:space="preserve"> Supply &amp; Delivery of 1 Unit of Payloader for the MENRO, Municipality of Bongabong, Oriental Mindoro</t>
  </si>
  <si>
    <t xml:space="preserve"> PLEASE SEE ATTACHED ITB AND RFQ</t>
  </si>
  <si>
    <t xml:space="preserve"> Invitation to Bid CONSTRUCTION OF GUITABAYAG BRIDGE (Gomez to Nagbukel) Solicitation No. Infra-2020-06 The Municipality of San Isidro, Isabela, through the Trust Fund for FY 2020, intends to apply the sum of Four Million Nine Hundred Forty-Five Thousand T</t>
  </si>
  <si>
    <t xml:space="preserve"> Medical and Lab Supplies LGU Cabagan Cabagan, Isabela</t>
  </si>
  <si>
    <t xml:space="preserve"> FUND SOURCE: 20% PDF 2020 TYPES OF WORK TO BE DONE: Project billboard/ signboard/ occupational safety and health program/ clearing and grubbing/ reinforcing steel bar/ structural concrete class A (minor structure)/ structure excavation (unclassified)/ 65m</t>
  </si>
  <si>
    <t xml:space="preserve"> Scope of Works: -	Construction of 1 unit – 1 storey open Multipurpose Building with a dimension of 9.0m x 10.0m and construction of 34.92 ln.m. concrete lined canal with fabricated removable steel cover. BILL OF QUANTITIES I             Layout and Excavat</t>
  </si>
  <si>
    <t xml:space="preserve"> PROCUREMENT OF 205 HEADS OF LIVE DOE &amp; 7 HEADS OF LIVE BUCK</t>
  </si>
  <si>
    <t xml:space="preserve"> Other General Requirements, Earthworks, Plain and Reinforced Concrete Works, Finishing and Other Civil Works</t>
  </si>
  <si>
    <t xml:space="preserve"> QTY	UNIT	ITEM DESCRIPTION 		 		OFFICE SUPLIES  25.00 	pack	Acetate A4  7.00 	roll	Adding Machine ribbon  3.00 	roll	Adding Machine tape  1.00 	pcs	All Purpose Glue Stick  438.00 	pcs	Ballpen black, Ordinary  30.00 	pcs	Ballpen blue, Ordinary  3.00 	pcs	Ba</t>
  </si>
  <si>
    <t xml:space="preserve"> PROCUREMENT OF 1,225 HEADS OF LIVE NATIVE CHICKEN (HEN) &amp; 245 HEADS OF LIVE COCKEREL (MALE CHICKEN)</t>
  </si>
  <si>
    <t xml:space="preserve"> 1 unit - Mini-Dump Truck, Brand New &amp; Branded and not a discountinued model</t>
  </si>
  <si>
    <t xml:space="preserve"> REPUBLIC OF THE PHILIPPINES DEPARTMENT OF PUBLIC WORKS AND HIGHWAYS OFFICE OF THE DISTRICT ENGINEER CAVITE 1ST DISTRICT ENGINEERING OFFICE BRGY. DE OCAMPO, TRECE MARTIRES CITY, CAVITE INVITATION TO BID FOR PURCHASING OF CONSTRUCTION MATERIALS FOR THE REPA</t>
  </si>
  <si>
    <t xml:space="preserve"> Republic of the Philippines	 PROVINCE OF IFUGAO	 Municipality of Asipulo	 BIDS AND AWARDS COMMITTEE	 INVITATION TO BID	 	 GOODS	 	 The Municipal Government of Asipulo, through the Mun. General Fund intends	  to apply the sum indicated in the table below, </t>
  </si>
  <si>
    <t xml:space="preserve"> item no, unit qty description 1.   11 roll 2" diax60m PE Pipe sdr 11 2.  10 pcs 2"dia PE Pipe Connector 3.  1 pc 2" dia PE Female Connector 4.  1 pc 2" dia PE elbow 5.  25 roll tapelone tape big</t>
  </si>
  <si>
    <t xml:space="preserve"> Supply and Delivery of Fitting &amp; Valves (Lot #1), Fuel &amp; Diesel (Lot #2), Chlorine Granules (Lot #3) and Chlorine Test Kit (Lot #4) for the use of Brooke’s Point Water System Office, Brooke’s Point, Palawan Lot #1 Fitting &amp; Valves: 1,711,781.00 Lot #2 Fue</t>
  </si>
  <si>
    <t xml:space="preserve"> Diesel Fuel Gasoline (Extra) Fuel Engine Oil SAE No 10W-30 Grease Synthetic Oil SAE 10 Oil SAE 140</t>
  </si>
  <si>
    <t xml:space="preserve"> Stock	ITEM DESCRIPTION	QTY	UNIT No.			 1	HOUSEHOLD-LEVEL DATA MANAGEMENT SYSTEM	1	system 	Project Components and Detailed Requirements:		 	1. Cloud Service		 	- Highly secured infrastructure, at least Level 1 PCI DSS		 	- SSL compliant for data encryption</t>
  </si>
  <si>
    <t xml:space="preserve"> HANDLING SERVICES FOR A TOTAL OF 8,006,307 BAG MOVES FOR NCR AND BATANES WAREHOUSES</t>
  </si>
  <si>
    <t xml:space="preserve"> Specifications: Type: 2.4 liter Diesel, 4 cylinder, 16 valves; Transmission Category: 6 Speed Manual w/ easy select 4wd; Displacement: 2.442 cc; Maximum Output: 179 hp@ 3.500 rpm; Max Torque (nm): 430 Nm@ 2.500 rpm; Fuel Type: Diesel with 75 L capacity; W</t>
  </si>
  <si>
    <t xml:space="preserve"> Waterworks Materials for the Improvement of Water System (14 Barangays)</t>
  </si>
  <si>
    <t xml:space="preserve"> REPUBLIKA NG PILIPINAS KALAKHANG MAYNILA LUNGSOD NG NAVOTAS Pamahaalaang Barangay ng Navotas West H. MONROY ST. NAVOTAS WEST, NAVOTAS CITY Invitation to Bid PROCUREMENT OF MEDICAL EQUIPMENT 1. The Brgy. Government of Navotas West, through the 2020 Annual </t>
  </si>
  <si>
    <t xml:space="preserve"> INVITATION TO BID FOR THE SUPPLY, DELIVERY, INSTALLATION AND COMMISSIONING OF PERIPHERAL MAGNETIC STIMULATOR 1.  The Cagayan Valley Medical Center (CVMC), intends to apply the sum Three Million Pesos (Php   3,000,000.00 ) being the Approved Budget for the</t>
  </si>
  <si>
    <t xml:space="preserve"> Supply And Delivery of Materials (Lot #1), Good Lumber (Lot #2), Fuel (Lot #3) Drainage Structure (Lot #4) and Labor (Lot #5) for Proposed Road Concreting from National Highway Sta. 00+015 to Sta. 00+246m leading to Maasin Nat’l. Highway, Barangay Maasin,</t>
  </si>
  <si>
    <t xml:space="preserve"> Invitation to Bid for the           REHABILITATION/ IMPROVEMENT OF ISULAN     INTEGRATED PUBLIC TERMINAL The MUNICIPALITY OF ISULAN, through the 20% Development Fund 2020  intends to apply the sum of  ONE MILLION SIX HUNDRED THIRTY-THREE THOUSAND FIVE HUN</t>
  </si>
  <si>
    <t xml:space="preserve"> PROCUREMENT OF 14 HEADS OF LIVE CARABAO/COW</t>
  </si>
  <si>
    <t xml:space="preserve"> Supply and delivery of Materials (Lot #1), Good Lumber (Lot #2), Fuel (Lot #3) Drainage Structure (Lot #4) and Labor (Lot #5) for Proposed Road Concreting from National Highway sta. 00+350 to Sta. 00+760m leading to Kilala Elementary School, Barangay Mali</t>
  </si>
  <si>
    <t xml:space="preserve"> QTY	UNIT	ITEM DESCRIPTION 		  4.00 	kit	Drum Kit Cartridge, DCSV 2060  Fuji Xerox  1.00 	kit	Drum Kit Cartridge (DC 2420)  5.00 	kit	Drum Kit Cartridge (DC 2320)  1.00 	kit	Drum Kit Canon iR1024 Copier  1.00 	kit	Drum Kit Canon S1810 Copier  15.00 	cart	D</t>
  </si>
  <si>
    <t xml:space="preserve"> QTY	UNIT	ITEM DESCRIPTION 		 		JANITORIAL SUPPLIES  114.00 	btl	5 in 1 hand sanitizer, 250ml  5.00 	can	Air Freshener, concentrate  40.00 	can	Air Freshener, 320ml assorted scents  2.00 	unit	Aluminum Ladder  40.00 	pack	Battery, size AA, Alkaline, 4pcs/p</t>
  </si>
  <si>
    <t xml:space="preserve"> Province of Zamboanga Sibugay				Project Reference Number MUNICIPAL GOVERNMENT OF TITAY				Name of the Project:     Barangay Dalangin Muslim					Location of the Project: Dalangin Muslim  Titay, ZS 	 Standard Form Number:	 Revised on : July 29, 2004 INVITA</t>
  </si>
  <si>
    <t xml:space="preserve"> Construction of Slope Protection along Magsaysay-Paco Road Municipality of Mainit, Surigao del Norte Brief Description:	The project will involve the following scope of works: Grouted Riprap, Structural Concrete, Stone Masonry and Metal Guardrails with Con</t>
  </si>
  <si>
    <t xml:space="preserve"> Republic  of the Philippines Municipality of Gubat Sorsogon BIDS AND AWARDS COMMITTEE CONSTRUCTION OF WATER SYSTEM, SITIO DALINGDING, BRGY. RIZAL, GUBAT, SORSOGON In view of the two (2) failed biddings, Local Government Unit of Gubat through its Bids and </t>
  </si>
  <si>
    <t xml:space="preserve"> Supply &amp; Delivery of Vegetable Seeds for the Community Based Vegetable Gardening of the Municipal Agriculturist's Office, Municipality of  Bongabong, Oriental Mindoro.</t>
  </si>
  <si>
    <t xml:space="preserve"> INVITATION TO BID FOR THE PURCHASE OF TWENTY (20) UNITS BRAND NEW SINGLE MOTORCYCLE The Municipality of Isulan, through the GENERAL FUND 2020  intends to apply the sum of ONE MILLION ONE HUNDRED FORTY THOUSAND PESOS (P 1,140,000.00) being the Approved Bud</t>
  </si>
  <si>
    <t xml:space="preserve"> Long Sleeve w/ DPWH Logo (Burda) 2 Color Caps Neon Orange/Blue w/ DPWH Working Gloves Rain Coat Rubber Boots Bolo Knife Face Masks</t>
  </si>
  <si>
    <t xml:space="preserve"> SEE ATTACHED BIDDING DOCS PLANS AND CHECKLIST</t>
  </si>
  <si>
    <t xml:space="preserve"> REPUBLIKA NG PILIPINAS KALAKHANG MAYNILA LUNGSOD NG NAVOTAS Pamahaalaang Barangay ng Navotas West H. MONROY ST. NAVOTAS WEST, NAVOTAS CITY Invitation to Bid PROCUREMENT OF COASTAL CLEAN UP DRIVE SUPPLIES. 1. The Brgy. Government of Navotas West, through t</t>
  </si>
  <si>
    <t xml:space="preserve"> Supply and Delivery of Materials (Lot #1), Good Lumber (Lot #2) Fuel (Lot #3) and Labor (Lot #4) for Proposed Road Concreting from National Highway Sta. 00+400 to Sta. 00+990m leading to Tagpirara Elementary School, Barangay Saraza, Brooke’s Point, Palawa</t>
  </si>
  <si>
    <t xml:space="preserve"> REQUEST FOR QUOTATION For Above Php 50,000.00 to Php 500,000.00 Date: June 5, 2020 Procurement Title: Supply, Delivery, Installation &amp; Testing of Engine Radiator for 50 kva Gen Set  Approved Budget for the Contract (ABC): Php 75,000.00 Name of Company	: _</t>
  </si>
  <si>
    <t xml:space="preserve"> REPUBLIC OF THE PHILIPPINES DEPARTMENT OF PUBLIC WORKS AND HIGHWAYS OFFICE OF THE DISTRICT ENGINEER CAVITE 1ST DISTRICT ENGINEERING OFFICE BRGY. DE OCAMPO, TRECE MARTIRES CITY, CAVITE INVITATION TO BID FOR PURCHASING OF HEAVY EQUIPMENT FOR THE USE OF THE </t>
  </si>
  <si>
    <t xml:space="preserve"> RIPRAPPING OF LESSEB BARANGAY ROAD (LAWLAWITAN SECTION) FUND SOURCE: 20% PDF 2020 TYPES OF WORK TO BE DONE: Project billboard/ signboard/ occupational safety and health program/ structure excavation (common soil)/ grouted riprap (class A) IMPROVEMENT OF B</t>
  </si>
  <si>
    <t xml:space="preserve"> REPAIR AND MAINTENANCE OF ROAD</t>
  </si>
  <si>
    <t xml:space="preserve"> Specifications: 2 pcs. Plain sheet #16.3 (4x8); 3 pcs. Plain sheet #14; 5 pcs. Steel Plate #2.5 mm; 2 length Channel Bolt # 3x16x3x20; 4 length Channel Bar #3/14x4x20; 2 length Angle Bar #3/16x20; 1 length Square Bar #1/2; 2 length Flat Bar # (5mm) 2x20; </t>
  </si>
  <si>
    <t xml:space="preserve"> The Municipality of Limay, through its Bids and Awards Committee (BAC) invites registered contractors to apply for eligibility and if found eligible, to bid for the hereunder project/contract: Project/Contract:    CONSTRUCTION OF KITCHEN FOR FEEDING AREA </t>
  </si>
  <si>
    <t xml:space="preserve"> Item No.	Unit	DESCRIPTION				Qty 						 1		To Hire Auto-Mechanic for the Repair of the				 		Government Vehicle (Ambulance)</t>
  </si>
  <si>
    <t xml:space="preserve"> The Department of Agriculture-RFO 3, invites interested suppliers to submit quotations/proposals for the hereunder requirement, to wit: 		Meals and Snack	 			 30	pax	AM snacks: Filipino Meryenda &amp; Drinks	 30	pax	Lunch (Meal: Rice, Fish/Chicken, Beef/Pork,</t>
  </si>
  <si>
    <t xml:space="preserve"> Office Supplies for barangay Use</t>
  </si>
  <si>
    <t xml:space="preserve"> SUPPLY &amp; DELIVERY OF THE FOLLOWING: Lot 1	2 Units Printer and 1 Unit Laptop/Notebook Computer for the Municipal Budget Office  Lot 2 2 Units Printer, 2 Units Desktop Computer  and 1 Unit Tablet for the (BPLO)</t>
  </si>
  <si>
    <t xml:space="preserve"> LOCAL GOVERNMENT UNIT OF NAGUILIAN, ISABELA Invitation to Bid for the COMPLETION OF NAGUILIAN COMMUNITY CENTER 1.	The Local Government Unit of Naguilian, Isabela, through the Provincial Government of Isabela  intends to apply the sum of Five Million Pesos</t>
  </si>
  <si>
    <t xml:space="preserve"> Supply &amp; Delivery of Drugs &amp; Medicines for Municipal Health Office (1st Semester), Municipality of Bongabong, Oriental Mindoro.</t>
  </si>
  <si>
    <t xml:space="preserve"> Republic  of the Philippines Municipality of Gubat Sorsogon BIDS AND AWARDS COMMITTEE CONSTRUCTION OF SLAUGHTERHOUSE (ADDITIONAL FUND), BRGY. SAN IGNACIO, GUBAT, SORSOGON In view of the two (2) failed biddings, Local Government Unit of Gubat through its B</t>
  </si>
  <si>
    <t xml:space="preserve"> REPUBLIKA NG PILIPINAS KALAKHANG MAYNILA LUNGSOD NG NAVOTAS Pamahaalaang Barangay ng Navotas West H. MONROY ST. NAVOTAS WEST, NAVOTAS CITY Invitation to Bid PROCUREMENT OF STOCK PILE 1. The Brgy. Government of Navotas West, through the 2020 Annual Budget </t>
  </si>
  <si>
    <t xml:space="preserve"> REHABILITATION OF MAIN ELECTRIC LINE OF MUNICIPAL HALL BUILDING FLORA, APAYAO</t>
  </si>
  <si>
    <t xml:space="preserve"> Republic of the Philippines  Province of Nueva Ecija City Government of Palayan INVITATION TO BID FOR THE SUPPLY, DELIVERY AND INSTALLATION OF STREET LIGHTS 1.	The City Government of Palayan, through the TRUST FUND intends to apply the sum of (Php3,500,00</t>
  </si>
  <si>
    <t xml:space="preserve"> SELECTIVE REPLACEMENT OF CONCRETE PAVEMENT</t>
  </si>
  <si>
    <t xml:space="preserve"> Republic of the Philippines     Province  of Surigao del Sur   TAGBINA, SURIGAO DEL SUR    BIDS AND AWARDS COMMITTEE INVITATION TO BID FOR THE  Construction of Market Tiendas LOCATION:  Brgy.  Poblacion, Tagbina, Surigao del Sur The municipality of Tagbin</t>
  </si>
  <si>
    <t xml:space="preserve"> CONSTRUCTION OF MRF, POBLACION EAST, FLORA, APAYAO</t>
  </si>
  <si>
    <t xml:space="preserve"> Item No.	Unit	DESCRIPTION				Qty 						 1	Unit	Desktop Computer				1 		AMD Athlon 200 GE				 		4GB SSD SATA				 		18.5 LED Monitor				 		USB Keyboard/Mouse				 		220vac AVR</t>
  </si>
  <si>
    <t xml:space="preserve"> Other General Requirements, Civil, Mechanical, Electrical and Sanitary/Plumbing Works</t>
  </si>
  <si>
    <t xml:space="preserve"> INVITATION TO BID FOR THE SUPPLY AND DELIVERY OF LAPAROSCOPIC/VATS HAND INSTRUMENTS 1.  The Cagayan Valley Medical Center (CVMC), intends to apply the sum Four Million Pesos (Php   4,000,000.00 ) being the Approved Budget for the Contract (ABC) to payment</t>
  </si>
  <si>
    <t xml:space="preserve"> REPUBLIKA NG PILIPINAS KALAKHANG MAYNILA LUNGSOD NG NAVOTAS Pamahaalaang Barangay ng Navotas West H. MONROY ST. NAVOTAS WEST, NAVOTAS CITY Invitation to Bid PROCUREMENT OF BABY KITS FOR NEW BORN BABIES. 1. The Brgy. Government of Navotas West, through the</t>
  </si>
  <si>
    <t xml:space="preserve"> The Bids and Awards Committee								 Province of Iloilo								 								      In connection with your Invitation to Bid No. PEO-20-0663-B  scheduled on June 17, 2020, I/we proposed to furnish and deliver in conformity with the terms and conditions, and s</t>
  </si>
  <si>
    <t xml:space="preserve"> 2 units Diesel Engine 3 units Power spray set 4 unit pump accessory set 22 rolls 1 1/2" 0 Irrigation hose 20 rolls 1 1/4" 0 Irrigation  Hose 8 rolls 3/4" 0 pressurized garden hose 6 units Depolinator 6 units Grass cutter 2       bags electric knapsack spr</t>
  </si>
  <si>
    <t xml:space="preserve"> I 1.00 SQ.M Railings and Trellis II 7.00 CU.M Floor Finish III 12.00 CU.M Excavation Works IV 25.00 CU.M Stone Masonry Works V 1.00 UNIT Historical Marker</t>
  </si>
  <si>
    <t xml:space="preserve"> IMPROVEMENT OF SUMEY-ANG- SADSADAN ROAD, BAUKO FUND SOURCE; 20% PDF 2020 TYPES OF WORK TO BE DONE: Project billboard/ signboard/ occupational safety and health program/ structure excavation (common soil)/ aggregate base course/ PCCP/ grouted riprap (class</t>
  </si>
  <si>
    <t xml:space="preserve"> ITEM I CONCRETE &amp; MASONRY WORKS ITEM II DOORS &amp; WINDOWS ITEM III FINISHING &amp; PAINTING WORKS ITEM IV CARPENTRY &amp; JOINERY WORKS (CEILING WORKS)</t>
  </si>
  <si>
    <t xml:space="preserve"> INVITATION TO BID 2020-GS-02 The Department of Public Works and Highways QUEZON III DISTRICT ENGINEERING OFFICE, Catanauan, Quezon, through the FY2020 EAO Fund intends to apply the amount of ₱ 1,766,064.60 being the Approved Budget for the Contract (ABC) </t>
  </si>
  <si>
    <t xml:space="preserve"> The Bids and Awards Committee								 Province of Iloilo								 								      In connection with your Invitation to Bid No. PEO-20-0667-B  scheduled on June 17, 2020, I/we proposed to furnish and deliver in conformity with the terms and conditions, and s</t>
  </si>
  <si>
    <t xml:space="preserve"> Invitation to Bid The National Housing Authority (NHA), through the Corporate Budget approved by the NHA Board for CY 2020 intends to apply the sum of the Approved Budget for the Contract (ABC) to payments for the following contract: Ref. No. 2020-S001	 P</t>
  </si>
  <si>
    <t xml:space="preserve"> CONSTRUCTION OF PLAZA DRAINAGE, LESEB, BAUKO FUND SOURCE: 20% PDF 2020 TYPES OF WORK TO BE DONE: Project billboard/ signboard/ occupational safety and health program/ structure excavation/ concrete (gutter and pathway)/ metal frames and grating/ reinforci</t>
  </si>
  <si>
    <t xml:space="preserve"> Republic of the Philippines Province of Surigao del Sur MUNICIPALITY OF TAGBINA BARANGAY TAGONGON BIDS AND AWARDS COMMITTEE (BAC) INVITATION TO BID SUPPLY AND DELIVERY OF HARDWARE MATERIALS FOR THE CONSTRUCTION OF PUBLIC COMFORT ROOM, TAGONGON, TAGBINA, S</t>
  </si>
  <si>
    <t xml:space="preserve"> Republic of the Philippines										 Province of Bohol										 Municipality of Buenavista										 										 Barangay Anonang										 INVITATION TO APPLY FOR ELIGIBILITY AND TO BID										 										 The Barangay Local Government Unit of  Eastern</t>
  </si>
  <si>
    <t xml:space="preserve"> Supply &amp; Delivery of Medical Supplies for Municipal Health Office (1st Semester), Municipality of Bongabong, Oriental Mindoro.</t>
  </si>
  <si>
    <t xml:space="preserve"> Republic of the Philippines 	Province of Agusan del Sur	 MUNICIPALITY OF SAN FRANCISCO OFFICE OF THE BIDS AND AWARDS COMMITTEE (BAC) INVITATION TO BID MUNICIPAL ROAD CONCRETING ALONG LADGADAN ROAD, BARANGAY LADGADAN, SFADS The Municipal Government of San </t>
  </si>
  <si>
    <t xml:space="preserve"> Supply &amp; Delivery of Construction Materials for the Holding Pen Extension (Slaughterhouse), Bongabong, Oriental Mindoro.</t>
  </si>
  <si>
    <t xml:space="preserve"> Sukol River Night Lights at Poblacion, Bongabong, Oriental Mindoro</t>
  </si>
  <si>
    <t xml:space="preserve"> Invitation to Bid The National Housing Authority (NHA), through the Corporate Budget approved by the NHA Board for CY 2020 intends to apply the sum of the Approved Budget for the Contract (ABC) to payments for the following contract: Ref. No. 2020-S002	 P</t>
  </si>
  <si>
    <t xml:space="preserve"> Pre-bid Conference @ BAC Conference Room, GSO, 1st floor, New Capitol Blg, Pigcarangan, Tubod,LDN on June 18, 2020 @ 10:00 AM Deadline for Submission of Eligibility requirements and bidding documents for bid opening (all bids must be placed in a sealed en</t>
  </si>
  <si>
    <t xml:space="preserve"> Republic of the Philippines Department of Health SOUTHERN ISABELA MEDICAL CENTER Hospital Bids and Awards Committee  Brgy. Rosario, Santiago City Philippines ITB NO. 2020-06-010 INVITATION TO BID  FOR THE SUPPLY AND DELIVERY OF VARIOUS MEDICAL SUPPLIES 1.</t>
  </si>
  <si>
    <t xml:space="preserve"> Republic of the Philippines 	Province of Agusan del Sur	 MUNICIPALITY OF SAN FRANCISCO OFFICE OF THE BIDS AND AWARDS COMMITTEE (BAC) INVITATION TO BID CONSTRUCTION OF SOLID WASTE SEGREGATION FACILITY AT DUMPSITE , SITIO DAMILAG, BARANGAY PISAAN, SFADS The</t>
  </si>
  <si>
    <t xml:space="preserve"> Republic of the Philippines Department of Health SOUTHERN ISABELA MEDICAL CENTER Hospital Bids and Awards Committee Brgy. Rosario, Santiago City Philippines ITB NO. 2020-06-011 INVITATION TO BID  FOR THE SUPPLY AND DELIVERY OF VARIOUS DRUGS AND MEDICINES </t>
  </si>
  <si>
    <t xml:space="preserve"> National Power Corporation INVITATION TO BID PUBLIC BIDDING 2020-0098 1.	The NATIONAL POWER CORPORATION (NPC), through       its        approved       Corporate Budget of CY 2020 intends to apply   the   sum   of (Please see schedule below) being the Appr</t>
  </si>
  <si>
    <t xml:space="preserve"> Republic of the Philippines 	Province of Agusan del Sur	 MUNICIPALITY OF SAN FRANCISCO OFFICE OF THE BIDS AND AWARDS COMMITTEE (BAC) INVITATION TO BID SUPPLY AND DELIVERY OF TWO (2) UNITS MOTOR VEHICLE (PATROL CAR), PNP, SFADS The Municipal Government of </t>
  </si>
  <si>
    <t xml:space="preserve"> Supply &amp; Delivery of Construction Materials for the Improvement of School Workshop (BBCS) at BBII, Bongabong, Oriental Mindoro.</t>
  </si>
  <si>
    <t xml:space="preserve"> 16-20-0  : 4,300 bags 10-18-24 : 1,700 bags</t>
  </si>
  <si>
    <t xml:space="preserve"> Republic of the Philippines Province of Davao Oriental BIDS &amp; AWARDS COMMITTEE City of Mati INVITATION TO BID  Contract No.: CW20-19 The Provincial Government of Davao Oriental through its Bids and Awards Committee (BAC), invites licensed contractors to b</t>
  </si>
  <si>
    <t xml:space="preserve"> 1.	The Barangay Council of Baragay Buntun, through the 20% Development Fund for Calendar Year 2020, intends to apply the sum of Seven Hundred Thirty Four Thousand One Hundred Thirty Six Pesos and Eighty Four Centavos (PhP 734,136.84), being the Approved B</t>
  </si>
  <si>
    <t xml:space="preserve"> Republic of the Philippines RIZAL PROVINCIAL GOVERNMENT Antipolo City INVITATION TO BID  PURCHASE OF MEDICAL SUPPLIES The Rizal Provincial Government, through the General Fund intends to apply the sum of ₱15,338,000.00 as the Approved Budget for the Contr</t>
  </si>
  <si>
    <t xml:space="preserve"> BUILDING CONSTRUCTION (SINGLE STOREY BIRTHING FACILITY)</t>
  </si>
  <si>
    <t xml:space="preserve"> I.	GENERAL REQUIREMENTS     A. Sign Board        B. Temporary Facility II.	DIVERSION WORKS III.	CANALIZATION IV.	CANAL STRUCTURES</t>
  </si>
  <si>
    <t xml:space="preserve"> I.	MOB./DEMOB. II.	GENERAL REQUIREMENTS     A. Sign Board        B. Temporary Facility III.	DIVERSION WORKS IV.	CANALIZATION V.	CANAL STRUCTURES</t>
  </si>
  <si>
    <t xml:space="preserve"> PHILIPPINE SCIENCE HIGH SCHOOL SYSTEM						"REQUEST FOR QUOTATION FORM &amp;  NOTICE (GOODS)"		 Office / Campus:			MAIN CAMPUS					 Address / Contact Details:			AGHAM ROAD, DILIMAN, QUEZON CITY					 								 						Quotation No.:	20-04-122	 	GENTELMEN:					Dat</t>
  </si>
  <si>
    <t xml:space="preserve"> PHILIPPINE SCIENCE HIGH SCHOOL SYSTEM						"REQUEST FOR QUOTATION FORM &amp;  NOTICE (GOODS)"		 Office / Campus:			MAIN CAMPUS					 Address / Contact Details:			AGHAM ROAD, DILIMAN, QUEZON CITY					 								 						Quotation No.:	20-06-120	 	GENTELMEN:					Dat</t>
  </si>
  <si>
    <t xml:space="preserve"> PHILIPPINE SCIENCE HIGH SCHOOL SYSTEM						"REQUEST FOR QUOTATION FORM &amp;  NOTICE (GOODS)"		 Office / Campus:			MAIN CAMPUS					 Address / Contact Details:			AGHAM ROAD, DILIMAN, QUEZON CITY					 								 						Quotation No.:	20-06-125	 	GENTELMEN:					Dat</t>
  </si>
  <si>
    <t xml:space="preserve"> PHILIPPINE SCIENCE HIGH SCHOOL SYSTEM						"REQUEST FOR QUOTATION FORM &amp;  NOTICE (GOODS)"		 Office / Campus:			MAIN CAMPUS					 Address / Contact Details:			AGHAM ROAD, DILIMAN, QUEZON CITY					 								 						Quotation No.:	20-06-121	 	GENTELMEN:					Dat</t>
  </si>
  <si>
    <t xml:space="preserve"> Solid waste machineries -	Pulverizer Machine -	Bottle Crusher Machine -	Manual Paving Block Machine for Mold -	Waste Mixer Includes delivery, installation and training</t>
  </si>
  <si>
    <t xml:space="preserve"> PHILIPPINE SCIENCE HIGH SCHOOL SYSTEM						"REQUEST FOR QUOTATION FORM &amp;  NOTICE (GOODS)"		 Office / Campus:			MAIN CAMPUS					 Address / Contact Details:			AGHAM ROAD, DILIMAN, QUEZON CITY					 								 						Quotation No.:	20-06-123	 	GENTELMEN:					Dat</t>
  </si>
  <si>
    <t xml:space="preserve"> Republic of the Philippines Province of Davao Oriental City of Mati BIDS &amp; AWARDS COMMITTEE INVITATION TO BID LOT Procurement of SPAREPARTS for the Use of Light and Heavy Equipment SOURCE OF FUND: 20% LGDF [8000A-300-1-07-03-010-17-12] 1.	The Provincial G</t>
  </si>
  <si>
    <t xml:space="preserve"> PHILIPPINE SCIENCE HIGH SCHOOL SYSTEM						"REQUEST FOR QUOTATION FORM &amp;  NOTICE (GOODS)"		 Office / Campus:			MAIN CAMPUS					 Address / Contact Details:			AGHAM ROAD, DILIMAN, QUEZON CITY					 								 						Quotation No.:	20-06-124	 	GENTELMEN:					Dat</t>
  </si>
  <si>
    <t xml:space="preserve"> PHILIPPINE SCIENCE HIGH SCHOOL SYSTEM						"REQUEST FOR QUOTATION FORM &amp;  NOTICE (GOODS)"		 Office / Campus:			MAIN CAMPUS					 Address / Contact Details:			AGHAM ROAD, DILIMAN, QUEZON CITY					 								 						Quotation No.:	20-06-119	 	GENTELMEN:					Dat</t>
  </si>
  <si>
    <t xml:space="preserve"> 1.	The Barangay Council of Baragay Buntun, through the 20% Development Fund for Calendar Year 2020, intends to apply the sum of  One Hundred Eighty Three Thousand Five Hundred Thirty Three Pesos and Ninety Six Centavos (PhP183,533.96), being the Approved </t>
  </si>
  <si>
    <t xml:space="preserve"> I.	General Requirements     A. Sign Board        B. Temporary Facility II.	Canalization</t>
  </si>
  <si>
    <t xml:space="preserve"> The Local Government Unit of Tangcal, Lanao del Norte invites contractors to submit bids for the Rehabilitation of Box Culvert for 60 Calendar Days. NOTE: Download attached document(s) for more details</t>
  </si>
  <si>
    <t xml:space="preserve"> INVITATION TO APPLY FOR ELIGIBILITY AND TO  BID The Municipality of Mutia through its Bids and  Awards Committee Invites  contractors to apply for eligibility and to bid for the project reflected hereunder; NAME OF PROJECT	:  Procurement of Furniture &amp; Fi</t>
  </si>
  <si>
    <t xml:space="preserve"> ITEM NO.	DESCRIPTION	 Qty 	Statement of Compliance 	Procurement and delivery of Mungbean, Peanut and Watermelon seeds under  HVCDP 2020		 1	Mungbean	250 bags	 Bidders must state here either “Comply” or “Not Comply” against each of the individual parameter</t>
  </si>
  <si>
    <t xml:space="preserve"> The Local Government Unit of Tangcal, Lanao del Norte invites contractors to submit bids for the Rehabilitation of Road from Poblacion to Bubong for 90 Calendar Days. NOTE: Download attached document(s) for more details</t>
  </si>
  <si>
    <t xml:space="preserve"> The National Food Authority (NFA) Southern Tagalog Region intends to apply the sum of Ninety Three Million Nine Hundred Sixty Nine Thousand Eight Hunded Seventy Five Pesos (P93,969,875.00) inclusive of VAT from its Corporate Operating Budget as the Approv</t>
  </si>
  <si>
    <t xml:space="preserve"> Contract Period: The contract shall commence on the date stipulated in the Notice to Proceed to be issued by the Administrative Services Department (ASD), to end 31 December 2020. Please see attachment in the Associated Components for the complete set of </t>
  </si>
  <si>
    <t xml:space="preserve"> The Government of the Philippines (GOP) has received a Loan from the World Bank towards the cost of Philippine Rural Development Project and intends to apply part of the proceeds of this loan to payments under the contract for the Construction of Chocolat</t>
  </si>
  <si>
    <t xml:space="preserve"> TO CONSTRUCT STONE MASONRY SLOPE PROTECTION AND PCCP</t>
  </si>
  <si>
    <t xml:space="preserve"> INVITATION TO APPLY FOR ELIGIBILITY AND TO  BID The Municipality of Mutia through its Bids and  Awards Committee Invites  contractors to apply for eligibility and to bid for the project reflected hereunder; NAME OF PROJECT	:  Improvement of Municipal Plaz</t>
  </si>
  <si>
    <t xml:space="preserve"> TO CONSTRUCT STONE MASONRY SLOPE PROTECTION CONCRETE CANAL AND PCCP</t>
  </si>
  <si>
    <t xml:space="preserve"> Department of Public Works and Highways (DPWH) Contract ID: 20MB0153 Contract Name:  Construction/Rehabilitation of Water Supply/Septage and Sewerage/Rain Water Collectors Contract Location: a)	Blagan Elementary School, Brgy. San Jose, General Santos City</t>
  </si>
  <si>
    <t xml:space="preserve"> INVITATION TO BID The Department of Public Works and Highways (DPWH), Cavite 3rd District Engineering Office, Carmona, Cavite through its Bids and Awards Committee (BAC), invites contractors to submit bids for the following Contract: 4. Contract I.D. No.:</t>
  </si>
  <si>
    <t xml:space="preserve"> DESCRIPTION Item No.	PROCUREMENT AND DELIVERY OF VARIOUS LABORATORY SUPPLIES FOR THE 2nd  QUARTER OF CY 2020 UNDER ILD 	QTY (unit) 1	L-tryptophan, AR, 25g/bot.	2 bots. 2	Ammonium Acetate, AR, 500g/bot.	2 bots. 3	Acetonitrile, HPLC Grade, 4L/bot.	2 bots. 4</t>
  </si>
  <si>
    <t xml:space="preserve"> ITEM NO.	DESCRIPTION	   Qty	Statement of Compliance 	Assorted Lowland  Vegetable Seeds		 1	Hybrid Ampalaya @ 50g/can	800 cans	 2	Hybrid Squash @ 50g/can	800 cans	 3	Hybrid Cucumber @ 50g/can	800 cans	 4	OP Upo @ 50g/can	750 cans	 5	Hybrid Eggplant @ 50g/c</t>
  </si>
  <si>
    <t xml:space="preserve"> Republic of the Philippines Province of Camarines Sur MUNICIPALITY OF MINALABAC -o0o- Invitation to Bid for PURCHASE OF 2 UNITS STAINLESS WATER LORRY TRUCK 1. LGU-Minalabac, Camarines Sur, through its 5% DRRM Fund, CY 2020 intends to apply the sum of Five</t>
  </si>
  <si>
    <t xml:space="preserve"> 1.	The Municipality of Consolacion, through the Financial Assistance from the Municipality and from the Provincial Capitol intends to apply the sum of Four Hundred Eighty Thousand Pesos (P 480,000.00) being the Approved Budget for the Contract (ABC) to pa</t>
  </si>
  <si>
    <t xml:space="preserve"> RENOVATION OF MAYOR'S OFFICE AND CONSTRUCTION OF SORTING STATION, SIKATUNA, BOHOL</t>
  </si>
  <si>
    <t xml:space="preserve"> The Department of Agriculture-RFO 3, invites interested suppliers to submit quotations/proposals for the hereunder requirement, to wit: 490	PCS	HEAVY DUTY FOLDABLE PLASTIC CRATES 		 		Specification: 		Outside Dimension 		600x400x310mm 		23.60x15.75x12in. </t>
  </si>
  <si>
    <t xml:space="preserve"> Republic of the Philippines DEPARTMENT OF PUBLIC WORKS AND HIGHWAYS SULTAN KUDARAT 2ND DISTRICT ENGINEERING OFFICE REGION XII Lebak, Sultan Kudarat INVITATION TO BID FOR SUPPLY/DELIVERY OF THERMOPLASTIC PAINTS FOR THE REPAIR/MAINTENANCE OF NATIONAL ROAD &amp;</t>
  </si>
  <si>
    <t xml:space="preserve"> Republic of the Philippines DEPARTMENT OF PUBLIC WORKS AND HIGHWAYS SULTAN KUDARAT 2ND DISTRICT ENGINEERING OFFICE REGION XII Lebak, Sultan Kudarat INVITATION TO BID FOR SUPPLY/DELIVERY OF  ASPHALT COLD MIX FOR THE REPAIR/MAINTENANCE OF NATIONAL ROADS &amp; B</t>
  </si>
  <si>
    <t xml:space="preserve"> TO PROVIDE FLU VACCINE TO 160 individual person</t>
  </si>
  <si>
    <t xml:space="preserve"> (see bidding documents associated component for further project details)</t>
  </si>
  <si>
    <t xml:space="preserve"> Section I. Invitation to Bid   INVITATION TO BID FOR  Supply and Delivery of Robotics (LSB) 1.	The Local Government Unit of Lambayong, through the SEF Expenses Fund intends to apply the sum of Two Million Five Hundred Thousand Pesos (PhP2,500,000.00) bein</t>
  </si>
  <si>
    <t xml:space="preserve"> Invitation to Bid for  LOWER SIBUGUEY II RIS EXTENSION PROJECT PACKAGE 2 CY 2017 REMAINING WORKS Imelda, Zamboanga Sibugay 1.	The National Irrigation Administration – Zamboanga Sibugay Irrigation Management Office, Region 9, through the LINEPROGRAMS-EXTEN</t>
  </si>
  <si>
    <t xml:space="preserve"> JOSE B. LINGAD MEMORIAL REGIONAL HOSPITAL City of San Fernando, Pampanga Tel. No. (045) 961-3921 Date: June 05, 2020 No. 2020 – 06 - 182-S REQUEST FOR QUOTATION (Name of Agency) (Address) Sir/Madam: Please quote your lowest price on the item/s listed belo</t>
  </si>
  <si>
    <t xml:space="preserve"> REPUBLIC OF THE PHILIPPINES CALUMPIT WATER DISTRICT BIDS AND AWARDS COMMITTEE Records/BAC Room., CWD Bldg., M. Serrano St.,Corazon, Calumpit, Bulacan Tel. Nos. 044- 913 0079/ Telefax: 202 5125 INVITATION TO BID FOR Supply of Equipment, Installation and Co</t>
  </si>
  <si>
    <t xml:space="preserve"> Contract ID:	20LG0113 (Readvertise) Contract Name:			Repair/Maintenance of Mati Flood Control, Brgy Central, City of Mati, Davao Oriental Contract Location:	Brgy Central, City of Mati, Davao Oriental Brief Description:	Repair/ Maintenance of Flood Control</t>
  </si>
  <si>
    <t xml:space="preserve"> JOSE B. LINGAD MEMORIAL REGIONAL HOSPITAL City of San Fernando, Pampanga Tel. No. (045) 961-3921 Date: June 05, 2020 No. 2020 – 06 - 181-S REQUEST FOR QUOTATION (Name of Agency) (Address) Sir/Madam: Please quote your lowest price on the item/s listed belo</t>
  </si>
  <si>
    <t xml:space="preserve"> 1.	The Municipality of Consolacion, through the General Fund intends to apply the sum of Three Hundred Twenty-One Thousand Thirty Pesos (P 321,030.00) being the Approved Budget for the Contract (ABC) to payments under the contract for Procurement of Medic</t>
  </si>
  <si>
    <t xml:space="preserve"> Republic of the Philippines DEPARTMENT OF PUBLIC WORKS AND HIGHWAYS CAMARINES NORTE  DISTRICT ENGINEERING OFFICE REGIONAL OFFICE V Daet, Camarines Norte INVITATION TO BID (Re-Advertisement) The Department of Public Works and Highways, Camarines Norte Dist</t>
  </si>
  <si>
    <t xml:space="preserve"> Student ID JHS FOR STUDENTS</t>
  </si>
  <si>
    <t xml:space="preserve"> Student ID SHS FOR STUDENTS</t>
  </si>
  <si>
    <t xml:space="preserve"> Republic of the Philippines DEPARTMENT OF PUBLIC WORKS AND HIGHWAYS SULTAN KUDARAT 2ND DISTRICT ENGINEERING OFFICE REGION XII Lebak, Sultan Kudarat INVITATION TO BID FOR SUPPLY/DELIVERY OF  ROAD SIGN FOR THE MAINTENANCE/IMPROVEMENT OF NATIONAL ROAD, SULTA</t>
  </si>
  <si>
    <t xml:space="preserve"> OFFICE OF THE BIDS AND AWARDS COMMITTEE (BAC) INVITATION TO BID FOR THE 20-05-399 Construction of Water System at Maracabac, Guiling, Alamada, Cotabato 1.	The Local Government Unit of Alamada, through the Supplemental Budget No. 1 CY 2020 CO (1-07-03-040)</t>
  </si>
  <si>
    <t xml:space="preserve"> SOLICITATION NO.: ITB PR NO. 0177-20BAC  INVITATION TO BID FOR THE PROCUREMENT FOR THE SUPPLY AND DELIVERY OF MYCOTOXIN SUPPLIES FOR USE IN LABORATORIES OF PLANT PRODUCT SAFETY SERVICES DIVISION (PPSSD) 1.	The Bureau of Plant Industry (BPI), through the Q</t>
  </si>
  <si>
    <t xml:space="preserve"> Republic of the Philippines DEPARTMENT OF PUBLIC WORKS AND HIGHWAYS SULTAN KUDARAT 2ND DISTRICT ENGINEERING OFFICE REGION XII Lebak, Sultan Kudarat INVITATION TO BID FOR SUPPLY/DELIVERY OF ROAD SAFETY FACILITIES FOR THE MAINTENANCE/IMPROVEMENT OF NATIONAL</t>
  </si>
  <si>
    <t xml:space="preserve"> INSTALLATION OF CR SHS FOR WINS</t>
  </si>
  <si>
    <t xml:space="preserve"> SOLICITATION NO.: ITB PR NO. 0204-20BAC  INVITATION TO BID FOR THE PROCUREMENT FOR THE SUPPLY AND DELIVERY OF LC, HPLC CONSUMABLES FOR USE IN LABORATORIES OF PLANT PRODUCT SAFETY SERVICES DIVISION (PPSSD) 1.	The Bureau of Plant Industry (BPI), through the</t>
  </si>
  <si>
    <t xml:space="preserve"> MATERIALS FOR INTRAMURALS FOR EVENTS USED</t>
  </si>
  <si>
    <t xml:space="preserve"> Department of Agriculture		 BUREAU OF PLANT INDUSTRY 692 San Andres Street Malate, Manila, Philippines E-mail Address: bpibac@yahoo.com Tel. No.: (02) 8526-7859, (02) 8691-0736 | Website: bpi.da.gov.ph SOLICITATION NO.: ITB PR NO. 0499-20BAC  INVITATION T</t>
  </si>
  <si>
    <t xml:space="preserve"> ADDITIONAL SCHOOL AND OFFICE SUPPLIES FOR STUDENTS</t>
  </si>
  <si>
    <t xml:space="preserve"> Invitation to Bid for  LOWER SIBUGUEY I RIS EXTENSION PROJECT PACKAGE 3 CY 2016 REMAINING WORKS Diplahan, Zamboanga Sibugay 1.	The National Irrigation Administration – Zamboanga Sibugay Irrigation Management Office, Region 9, through the LINEPROGRAMS-EXTE</t>
  </si>
  <si>
    <t xml:space="preserve"> OFFICE OF THE BIDS AND AWARDS COMMITTEE (BAC) INVITATION TO BID FOR: 20-06-443 Purchase of 8 in 1 Assorted Vegetables Seeds for Sustainable Integrated Natural Garden (SUSING) Livelihood Program-Livelihood Seeds Distribution for Alamada Constituents 1.	The</t>
  </si>
  <si>
    <t xml:space="preserve"> Department of Agriculture		 BUREAU OF PLANT INDUSTRY 692 San Andres Street Malate, Manila, Philippines E-mail Address: bpibac@yahoo.com Tel. No.: (02) 8526-7859, (02) 8691-0736 | Website: bpi.da.gov.ph SOLICITATION NO.: ITB PR NO. 0697-20BAC  INVITATION T</t>
  </si>
  <si>
    <t xml:space="preserve"> Republic of the Philippines Province of Ilocos Sur Municipality of Quirino, Ilocos Sur Invitation to Bid for the Continuation/Improvement of Kendongay FMR, Poblacion, Quirino, Ilocos Sur 1.	The Municipality of Quirino, Ilocos Sur, through the RA 7171 FY 2</t>
  </si>
  <si>
    <t xml:space="preserve"> Department of Agriculture		 BUREAU OF PLANT INDUSTRY 692 San Andres Street Malate, Manila, Philippines E-mail Address: bpibac@yahoo.com Tel. No.: (02) 8526-7859, (02) 8691-0736 | Website: bpi.da.gov.ph SOLICITATION NO.: ITB PR NO. 0698-20BAC  INVITATION T</t>
  </si>
  <si>
    <t xml:space="preserve"> Department of Agriculture		 BUREAU OF PLANT INDUSTRY 692 San Andres Street Malate, Manila, Philippines E-mail Address: bpibac@yahoo.com Tel. No.: (02) 8526-7859, (02) 8691-0736 | Website: bpi.da.gov.ph SOLICITATION NO.: ITB PR NO. 0694-20BAC  INVITATION T</t>
  </si>
  <si>
    <t xml:space="preserve"> Department of Agriculture		 BUREAU OF PLANT INDUSTRY 692 San Andres Street Malate, Manila, Philippines E-mail Address: bpibac@yahoo.com Tel. No.: (02) 8526-7859, (02) 8691-0736 | Website: bpi.da.gov.ph SOLICITATION NO.: ITB PR NO. 0952-20BAC  INVITATION T</t>
  </si>
  <si>
    <t xml:space="preserve"> Department of Agriculture		 BUREAU OF PLANT INDUSTRY 692 San Andres Street Malate, Manila, Philippines E-mail Address: bpibac@yahoo.com Tel. No.: (02) 8526-7859, (02) 8691-0736 | Website: bpi.da.gov.ph SOLICITATION NO.: ITB PR NO. 0774-20BAC  INVITATION T</t>
  </si>
  <si>
    <t xml:space="preserve"> Department of Agriculture		 BUREAU OF PLANT INDUSTRY 692 San Andres Street Malate, Manila, Philippines E-mail Address: bpibac@yahoo.com Tel. No.: (02) 8526-7859, (02) 8691-0736 | Website: bpi.da.gov.ph SOLICITATION NO.: ITB PR NO. 3310-19BAC  INVITATION T</t>
  </si>
  <si>
    <t xml:space="preserve"> Department of Agriculture		 BUREAU OF PLANT INDUSTRY 692 San Andres Street Malate, Manila, Philippines E-mail Address: bpibac@yahoo.com Tel. No.: (02) 8526-7859, (02) 8691-0736 | Website: bpi.da.gov.ph SOLICITATION NO.: ITB PR NO. 0772-20BAC  INVITATION T</t>
  </si>
  <si>
    <t xml:space="preserve"> REPAIR OF DOORS FOR SHS FOR SCHOOL MAINTAINACE</t>
  </si>
  <si>
    <t xml:space="preserve"> Department of Agriculture		 BUREAU OF PLANT INDUSTRY 692 San Andres Street Malate, Manila, Philippines E-mail Address: bpibac@yahoo.com Tel. No.: (02) 8526-7859, (02) 8691-0736 | Website: bpi.da.gov.ph SOLICITATION NO.: ITB PR NO. 0691-20BAC  INVITATION T</t>
  </si>
  <si>
    <t xml:space="preserve"> Invitation to Bid for the supply, delivery &amp; installation of various materials for the restoration of Wireless Antennas and additional CCTV Surveillance Cameras at different Barangay of Batangas City</t>
  </si>
  <si>
    <t xml:space="preserve"> Invitation to Bid for the supply, delivery &amp; installation of various airconditioning units for use of different offices of Batangas City Government</t>
  </si>
  <si>
    <t xml:space="preserve"> Invitation to Bid for the supply &amp; delivery of Various School Supplies for use of Dep. Ed., Division of Batangas City</t>
  </si>
  <si>
    <t xml:space="preserve"> Republic of the Philippines DEPARTMENT OF PUBLIC WORKS AND HIGHWAYS OFFICE OF THE REGIONAL DIRECTOR Regional Office No. IV-A EDSA, Quezon City June 03, 2020 SUBJECT : NOTICE OF SHORT LIST AND REQUEST FOR PROPOSALS (RFP) FoR CONTRACT ID NO. 20CSD001: CONSU</t>
  </si>
  <si>
    <t xml:space="preserve"> Department of Agriculture		 BUREAU OF PLANT INDUSTRY 692 San Andres Street Malate, Manila, Philippines E-mail Address: bpibac@yahoo.com Tel. No.: (02) 8526-7859, (02) 8691-0736 | Website: bpi.da.gov.ph SOLICITATION NO.: ITB PR NO. 0604-20BAC  INVITATION T</t>
  </si>
  <si>
    <t xml:space="preserve"> Description Republic of the Philippines PROVINCE OF ZAMBONAGA DEL NORTE Municipality of Leon B. Postigo INVITATION TO BID (2020-05-070) June 04, 2020   Municipality of Leon B. Postigo, Zamboanga del Norte invites qualified bidders to apply for prequalific</t>
  </si>
  <si>
    <t xml:space="preserve"> Republic of the Philippines PROVINCE OF PAMPANGA City of San Fernando INVITATION TO BID NO. 2020-16 IG - BAC INVITATION TO BID FOR PURCHASE REQUEST NO. 20-0554 and 20-0620 The Provincial Government of Pampanga (“Province”) intends to apply the following s</t>
  </si>
  <si>
    <t xml:space="preserve"> Description Republic of the Philippines PROVINCE OF ZAMBONAGA DEL NORTE Municipality of Leon B. Postigo INVITATION TO BID (2020-05-069) June 04, 2020   Municipality of Leon B. Postigo, Zamboanga del Norte invites qualified bidders to apply for prequalific</t>
  </si>
  <si>
    <t xml:space="preserve"> Description Republic of the Philippines PROVINCE OF ZAMBONAGA DEL NORTE Municipality of Leon B. Postigo INVITATION TO BID (2020-05-068) June 04, 2020   Municipality of Leon B. Postigo, Zamboanga del Norte invites qualified bidders to apply for prequalific</t>
  </si>
  <si>
    <t xml:space="preserve"> Description Republic of the Philippines PROVINCE OF ZAMBONAGA DEL NORTE Municipality of Leon B. Postigo INVITATION TO BID (2020-05-065) June 04, 2020   Municipality of Leon B. Postigo, Zamboanga del Norte invites qualified bidders to apply for prequalific</t>
  </si>
  <si>
    <t xml:space="preserve"> Description Republic of the Philippines PROVINCE OF ZAMBONAGA DEL NORTE Municipality of Leon B. Postigo INVITATION TO BID (2020-05-066) June 04, 2020   Municipality of Leon B. Postigo, Zamboanga del Norte invites qualified bidders to apply for prequalific</t>
  </si>
  <si>
    <t xml:space="preserve"> Description Republic of the Philippines PROVINCE OF ZAMBONAGA DEL NORTE Municipality of Leon B. Postigo INVITATION TO BID (2020-05-064) June 04, 2020   Municipality of Leon B. Postigo, Zamboanga del Norte invites qualified bidders to apply for prequalific</t>
  </si>
  <si>
    <t xml:space="preserve"> Description Republic of the Philippines PROVINCE OF ZAMBONAGA DEL NORTE Municipality of Leon B. Postigo INVITATION TO BID (2020-05-072) June 04, 2020   Municipality of Leon B. Postigo, Zamboanga del Norte invites qualified bidders to apply for prequalific</t>
  </si>
  <si>
    <t xml:space="preserve"> Description Republic of the Philippines PROVINCE OF ZAMBONAGA DEL NORTE Municipality of Leon B. Postigo INVITATION TO BID (2020-05-061) June 04, 2020   Municipality of Leon B. Postigo, Zamboanga del Norte invites qualified bidders to apply for prequalific</t>
  </si>
  <si>
    <t xml:space="preserve"> Description Republic of the Philippines PROVINCE OF ZAMBONAGA DEL NORTE Municipality of Leon B. Postigo INVITATION TO BID (2020-05-063) June 04, 2020   Municipality of Leon B. Postigo, Zamboanga del Norte invites qualified bidders to apply for prequalific</t>
  </si>
  <si>
    <t xml:space="preserve"> Description Republic of the Philippines PROVINCE OF ZAMBONAGA DEL NORTE Municipality of Leon B. Postigo INVITATION TO BID (2020-05-071) June 04, 2020   Municipality of Leon B. Postigo, Zamboanga del Norte invites qualified bidders to apply for prequalific</t>
  </si>
  <si>
    <t xml:space="preserve"> CONCRETING OF ROAD AT DOÑA PILAR, SASA, DAVAO CITY ITEM			DESCRIPTION 100(2)		CLEARING AND GRUBBING 101(1)		REMOVAL OF STRUCTURES AND OBSTRUCTION 102(2)		SURPLUS COMMON EXCAVATION 103(3)		FOUNDATION FILL 105(1)		SUBGRADE PREPARATION 201			AGGREGATE BASE C</t>
  </si>
  <si>
    <t xml:space="preserve"> Department of Agriculture		 BUREAU OF PLANT INDUSTRY 692 San Andres Street Malate, Manila, Philippines E-mail Address: bpibac@yahoo.com Tel. No.: (02) 8526-7859, (02) 8691-0736 | Website: bpi.da.gov.ph SOLICITATION NO.: ITB PR NO. 0605-20BAC  INVITATION T</t>
  </si>
  <si>
    <t xml:space="preserve"> Description Republic of the Philippines PROVINCE OF ZAMBONAGA DEL NORTE Municipality of Leon B. Postigo INVITATION TO BID (2020-05-067) June 04, 2020   Municipality of Leon B. Postigo, Zamboanga del Norte invites qualified bidders to apply for prequalific</t>
  </si>
  <si>
    <t xml:space="preserve"> Description Republic of the Philippines PROVINCE OF ZAMBONAGA DEL NORTE Municipality of Leon B. Postigo INVITATION TO BID (2020-05-079) June 04, 2020   Municipality of Leon B. Postigo, Zamboanga del Norte invites qualified bidders to apply for prequalific</t>
  </si>
  <si>
    <t xml:space="preserve"> Description Republic of the Philippines PROVINCE OF ZAMBONAGA DEL NORTE Municipality of Leon B. Postigo INVITATION TO BID (2020-05-060) June 04, 2020   Municipality of Leon B. Postigo, Zamboanga del Norte invites qualified bidders to apply for prequalific</t>
  </si>
  <si>
    <t xml:space="preserve"> Invitation to Bid for the supply &amp; delivery of One unit Corn Harvester w/trailer &amp; One unit Tractor for use of the City Veterinary &amp; Agricultural Services Office, Batangas City</t>
  </si>
  <si>
    <t xml:space="preserve"> REQUEST FOR EXPRESSION OF INTEREST (REI) FOR THE CONSULTING SERVICES FOR THE PREPARATION OF FEASIBILITY STUDIES OF NATIONAL SEPTAGE AND SEWERAGE MANAGEMENT PROGRAM  (OLONGAPO CITY AND ILIGAN CITY) 1.	The Department of Public Works and Highways, through th</t>
  </si>
  <si>
    <t xml:space="preserve"> Description Republic of the Philippines PROVINCE OF ZAMBONAGA DEL NORTE Municipality of Leon B. Postigo INVITATION TO BID (2020-05-076) June 04, 2020   Municipality of Leon B. Postigo, Zamboanga del Norte invites qualified bidders to apply for prequalific</t>
  </si>
  <si>
    <t xml:space="preserve"> Description Republic of the Philippines PROVINCE OF ZAMBONAGA DEL NORTE Municipality of Leon B. Postigo INVITATION TO BID (2020-05-075) June 04, 2020   Municipality of Leon B. Postigo, Zamboanga del Norte invites qualified bidders to apply for prequalific</t>
  </si>
  <si>
    <t xml:space="preserve"> 102 Roadway Excavation  104 Embankment  201 Aggregate Base Course  311 Portland Cement Concrete Pavement</t>
  </si>
  <si>
    <t xml:space="preserve"> ITEM			DESCRIPTION 101(1)		REMOVAL OF STRUCTURES AND OBSTRUCTIONS 102(2)		SURPLUS COMMON EXCAVATION 103(3)		FOUNDATION FILL 201.00		AGGREGATE BASE COURSE 311(1)		PCC PAVEMENT, PLAIN 404			REINFORCING STEEL 405(1)		STRUCTURAL CONCRETE, CLASS A 500.00		PIPE</t>
  </si>
  <si>
    <t xml:space="preserve"> Description Republic of the Philippines PROVINCE OF ZAMBONAGA DEL NORTE Municipality of Leon B. Postigo INVITATION TO BID (2020-05-077) June 04, 2020   Municipality of Leon B. Postigo, Zamboanga del Norte invites qualified bidders to apply for prequalific</t>
  </si>
  <si>
    <t xml:space="preserve"> Description Republic of the Philippines PROVINCE OF ZAMBONAGA DEL NORTE Municipality of Leon B. Postigo INVITATION TO BID (2020-05-078) June 04, 2020   Municipality of Leon B. Postigo, Zamboanga del Norte invites qualified bidders to apply for prequalific</t>
  </si>
  <si>
    <t xml:space="preserve"> Description Republic of the Philippines PROVINCE OF ZAMBONAGA DEL NORTE Municipality of Leon B. Postigo INVITATION TO BID (2020-05-080) June 04, 2020   Municipality of Leon B. Postigo, Zamboanga del Norte invites qualified bidders to apply for prequalific</t>
  </si>
  <si>
    <t xml:space="preserve"> Description Republic of the Philippines PROVINCE OF ZAMBONAGA DEL NORTE Municipality of Leon B. Postigo INVITATION TO BID (2020-05-073) June 04, 2020   Municipality of Leon B. Postigo, Zamboanga del Norte invites qualified bidders to apply for prequalific</t>
  </si>
  <si>
    <t xml:space="preserve"> Description Republic of the Philippines PROVINCE OF ZAMBONAGA DEL NORTE Municipality of Leon B. Postigo INVITATION TO BID (2020-05-074) June 04, 2020   Municipality of Leon B. Postigo, Zamboanga del Norte invites qualified bidders to apply for prequalific</t>
  </si>
  <si>
    <t xml:space="preserve"> Description Republic of the Philippines PROVINCE OF ZAMBONAGA DEL NORTE Municipality of Leon B. Postigo INVITATION TO BID (2020-05-081) June 04, 2020   Municipality of Leon B. Postigo, Zamboanga del Norte invites qualified bidders to apply for prequalific</t>
  </si>
  <si>
    <t xml:space="preserve"> Description Republic of the Philippines PROVINCE OF ZAMBONAGA DEL NORTE Municipality of Leon B. Postigo INVITATION TO BID (2020-05-083) June 04, 2020   Municipality of Leon B. Postigo, Zamboanga del Norte invites qualified bidders to apply for prequalific</t>
  </si>
  <si>
    <t xml:space="preserve"> Description Republic of the Philippines PROVINCE OF ZAMBONAGA DEL NORTE Municipality of Leon B. Postigo INVITATION TO BID (2020-05-095) June 04, 2020   Municipality of Leon B. Postigo, Zamboanga del Norte invites qualified bidders to apply for prequalific</t>
  </si>
  <si>
    <t xml:space="preserve"> Description Republic of the Philippines PROVINCE OF ZAMBONAGA DEL NORTE Municipality of Leon B. Postigo INVITATION TO BID (2020-05-082) June 04, 2020   Municipality of Leon B. Postigo, Zamboanga del Norte invites qualified bidders to apply for prequalific</t>
  </si>
  <si>
    <t xml:space="preserve"> Description Republic of the Philippines PROVINCE OF ZAMBONAGA DEL NORTE Municipality of Leon B. Postigo INVITATION TO BID (2020-05-094) June 04, 2020   Municipality of Leon B. Postigo, Zamboanga del Norte invites qualified bidders to apply for prequalific</t>
  </si>
  <si>
    <t xml:space="preserve"> Description Republic of the Philippines PROVINCE OF ZAMBONAGA DEL NORTE Municipality of Leon B. Postigo INVITATION TO BID (2020-05-098) June 04, 2020   Municipality of Leon B. Postigo, Zamboanga del Norte invites qualified bidders to apply for prequalific</t>
  </si>
  <si>
    <t xml:space="preserve"> Description Republic of the Philippines PROVINCE OF ZAMBONAGA DEL NORTE Municipality of Leon B. Postigo INVITATION TO BID (2020-05-099) June 04, 2020   Municipality of Leon B. Postigo, Zamboanga del Norte invites qualified bidders to apply for prequalific</t>
  </si>
  <si>
    <t xml:space="preserve"> Description Republic of the Philippines PROVINCE OF ZAMBONAGA DEL NORTE Municipality of Leon B. Postigo INVITATION TO BID (2020-05-096) June 04, 2020   Municipality of Leon B. Postigo, Zamboanga del Norte invites qualified bidders to apply for prequalific</t>
  </si>
  <si>
    <t xml:space="preserve"> Description Republic of the Philippines PROVINCE OF ZAMBONAGA DEL NORTE Municipality of Leon B. Postigo INVITATION TO BID (2020-05-097) June 04, 2020   Municipality of Leon B. Postigo, Zamboanga del Norte invites qualified bidders to apply for prequalific</t>
  </si>
  <si>
    <t xml:space="preserve"> INVITATION TO BID FOR  ESTABLISHMENT OF THREE (3) UNITS OF SMALL WATER IMPOUNDING SYSTEM (SWIS) AT BRGY. SAN ROQUE, BULALACAO, ORIENTAL MINDORO 1.	The DENR PENRO – Oriental Mindoro, through the RA 11465, GAA 2020 intends to apply the sum of Three Million </t>
  </si>
  <si>
    <t xml:space="preserve"> Republic of the Philippines Province of Sarangani Municipality of Malapatan INVITATION TO BID  	 2020-B1-04-010        PROCUREMENT OF HYBRID WHITE CORN SEEDS, MALAPATAN SARANGANI PROVINCE   1.	The Local Government Unit of Malapatan, through the GENERAL FU</t>
  </si>
  <si>
    <t xml:space="preserve"> Description Republic of the Philippines PROVINCE OF ZAMBONAGA DEL NORTE Municipality of Leon B. Postigo INVITATION TO BID (2020-05-092)  May 06, 2020   Municipality of Leon B. Postigo, Zamboanga del Norte invites qualified bidders to apply for prequalific</t>
  </si>
  <si>
    <t xml:space="preserve"> INVITATION TO BID FOR THE SUPPLY, DELIVERY, INSTALLATION AND COMMISSIONING OF ONE (1) UNIT FULLY AUTOMATED CLINICAL CHEMISTRY ANALYZER 1.	The Eversley Childs Sanitarium and General Hospital, through HFEP 2020 GAA, intends to apply the sum of Five Million </t>
  </si>
  <si>
    <t xml:space="preserve"> Improvement of Day Care Centerr, Brgy. Balabago, Alimodian Iloil;o</t>
  </si>
  <si>
    <t xml:space="preserve"> Description Republic of the Philippines PROVINCE OF ZAMBONAGA DEL NORTE Municipality of Leon B. Postigo INVITATION TO BID (2020-05-106)  May 06, 2020   Municipality of Leon B. Postigo, Zamboanga del Norte invites qualified bidders to apply for prequalific</t>
  </si>
  <si>
    <t xml:space="preserve"> Description Republic of the Philippines PROVINCE OF ZAMBONAGA DEL NORTE Municipality of Leon B. Postigo INVITATION TO BID (2020-05-105)  May 06, 2020   Municipality of Leon B. Postigo, Zamboanga del Norte invites qualified bidders to apply for prequalific</t>
  </si>
  <si>
    <t xml:space="preserve"> Description Republic of the Philippines PROVINCE OF ZAMBONAGA DEL NORTE Municipality of Leon B. Postigo INVITATION TO BID (2020-04-051)  May 06, 2020   Municipality of Leon B. Postigo, Zamboanga del Norte invites qualified bidders to apply for prequalific</t>
  </si>
  <si>
    <t xml:space="preserve"> Republic of the Philippines Province of Sarangani Municipality of Malapatan INVITATION TO BID  	 2020-B2-02 ESTABLISHMENT OF MULTI-COMMODITY DRYING PAVEMENT AT SITIO KITULAG, BRGY. KINAM &amp; SITIO BOLOLKALON, BRGY. LUN PADIDU, MALAPATAN SARANGANI PROVINCE  </t>
  </si>
  <si>
    <t xml:space="preserve"> 1,425 liters - Diesel 1,175 liters - Gasoline 64 liters - Motor Oil</t>
  </si>
  <si>
    <t xml:space="preserve"> Improvement of Multi-Purpose Pavement at Brgy. Ulay-Bugang, Alimodian Iloilo</t>
  </si>
  <si>
    <t xml:space="preserve"> Description Republic of the Philippines PROVINCE OF ZAMBONAGA DEL NORTE Municipality of Leon B. Postigo INVITATION TO BID (2020-05-123)  June 04, 2020   Municipality of Leon B. Postigo, Zamboanga del Norte invites qualified bidders to apply for prequalifi</t>
  </si>
  <si>
    <t xml:space="preserve"> Description Republic of the Philippines PROVINCE OF ZAMBONAGA DEL NORTE Municipality of Leon B. Postigo INVITATION TO BID (2020-05-119)  June 04, 2020   Municipality of Leon B. Postigo, Zamboanga del Norte invites qualified bidders to apply for prequalifi</t>
  </si>
  <si>
    <t xml:space="preserve"> Description Republic of the Philippines PROVINCE OF ZAMBONAGA DEL NORTE Municipality of Leon B. Postigo INVITATION TO BID (2020-05-114)  June 04, 2020   Municipality of Leon B. Postigo, Zamboanga del Norte invites qualified bidders to apply for prequalifi</t>
  </si>
  <si>
    <t xml:space="preserve"> Description Republic of the Philippines PROVINCE OF ZAMBONAGA DEL NORTE Municipality of Leon B. Postigo INVITATION TO BID (2020-05-093)  May 06, 2020   Municipality of Leon B. Postigo, Zamboanga del Norte invites qualified bidders to apply for prequalific</t>
  </si>
  <si>
    <t xml:space="preserve"> Description Republic of the Philippines PROVINCE OF ZAMBONAGA DEL NORTE Municipality of Leon B. Postigo INVITATION TO BID (2020-05-132)  June 04, 2020   Municipality of Leon B. Postigo, Zamboanga del Norte invites qualified bidders to apply for prequalifi</t>
  </si>
  <si>
    <t xml:space="preserve"> Diesel - 1,534 liters Gasoline - 400 liters</t>
  </si>
  <si>
    <t xml:space="preserve"> Unleaded - 280 liters Diesel - 269 liters 		 Unleaded Gasoline - 500 liters Diesel - 300 liters 		 Diesel - 1,250 liters Gasoline - 950 liters 		 Diesel - 1,507 liters Gasoline - 2,547 liters Fully Synthetic Engine Oil - Diesel - 40 liters 2T Oil - 40 lit</t>
  </si>
  <si>
    <t xml:space="preserve"> Description Republic of the Philippines PROVINCE OF ZAMBONAGA DEL NORTE Municipality of Leon B. Postigo INVITATION TO BID (2020-03-036)  May 06, 2020   Municipality of Leon B. Postigo, Zamboanga del Norte invites qualified bidders to apply for prequalific</t>
  </si>
  <si>
    <t xml:space="preserve"> Steel Cabinet, 4 Drawers - 1 unit 	 Office Steel Cabinet - 4 units 	 Office Table (70 x 160)(Wood)- 1 pc Office Table (60x120)(Wood) - 1 pc Office Table (50x80)(Wood) - 2 pcs Swivel Chair - 3 pcs  	 Wardrobe Type Cabinet w/ Mirror 26x25 - 1 unit 5 Layer W</t>
  </si>
  <si>
    <t xml:space="preserve"> Procurement of Stethoscope, Adult</t>
  </si>
  <si>
    <t xml:space="preserve"> Description Republic of the Philippines PROVINCE OF ZAMBONAGA DEL NORTE Municipality of Leon B. Postigo INVITATION TO BID (2020-05-125)  June 04, 2020   Municipality of Leon B. Postigo, Zamboanga del Norte invites qualified bidders to apply for prequalifi</t>
  </si>
  <si>
    <t xml:space="preserve"> Description Republic of the Philippines PROVINCE OF ZAMBONAGA DEL NORTE Municipality of Leon B. Postigo INVITATION TO BID (2020-05-117)  June 04, 2020   Municipality of Leon B. Postigo, Zamboanga del Norte invites qualified bidders to apply for prequalifi</t>
  </si>
  <si>
    <t xml:space="preserve"> STACK EMISSION TESTING SCOPE OF WORKS: 1. TESTING OF IN-STACK CONCENTRATIONS OF SULFUR DIOXIDE (SO2),NITROGEN DIOXIDE(NO2) AND CARBON MONOXIDE(CO)      OF 1 UNIT 270K W AND ONE (1) UNIT 250K W GEENRATOR SET FOR THREE (3) RUNS PER UNIT. 2. TESTING OF IN-ST</t>
  </si>
  <si>
    <t xml:space="preserve"> Compact Bulb 15 watts - 40 pcs Door Knob, Heavy Duty - 10 pcs Fluorescent Tube 40W - 10 pcs Fluorescent Tube 20W - 10 pcs Freon No. 410A - 2 kls G.I. Pipe 1/2ø - 6 pcs Lavatory Faucet, Gooseneck - 6 pcs Trolley/Push Cart, 4 Layers, Fabricated - 1 pc Weldi</t>
  </si>
  <si>
    <t xml:space="preserve"> Description Republic of the Philippines PROVINCE OF ZAMBONAGA DEL NORTE Municipality of Leon B. Postigo INVITATION TO BID (2020-05-115)  June 04, 2020   Municipality of Leon B. Postigo, Zamboanga del Norte invites qualified bidders to apply for prequalifi</t>
  </si>
  <si>
    <t xml:space="preserve"> 2,600 liters - Diesel 1,064 liters - ULG 100 liters - Delo Gold 16 liters  - Brake Fluid</t>
  </si>
  <si>
    <t xml:space="preserve"> Procurement of BHS Package</t>
  </si>
  <si>
    <t xml:space="preserve"> Description Republic of the Philippines PROVINCE OF ZAMBONAGA DEL NORTE Municipality of Leon B. Postigo INVITATION TO BID (2020-05-088)  June 04, 2020   Municipality of Leon B. Postigo, Zamboanga del Norte invites qualified bidders to apply for prequalifi</t>
  </si>
  <si>
    <t xml:space="preserve"> Description Republic of the Philippines PROVINCE OF ZAMBONAGA DEL NORTE Municipality of Leon B. Postigo INVITATION TO BID (2020-05-133)  May 06, 2020   Municipality of Leon B. Postigo, Zamboanga del Norte invites qualified bidders to apply for prequalific</t>
  </si>
  <si>
    <t xml:space="preserve"> Tires 205/65 R15 - 5 pcs 235/65 R17 - 5 pcs 235/75 R15 - pcs 195/70 R15 - 5 pcs 225/70 R17 - 4 pcs Clutch Operating Assembly - 1 pc Bendix Drive CBD-1N - 1 pc Carbon Brush JHTSX-37 - 1 pc Caliper Kit Piston - 2 pcs Brake Pad - 1 set Caliper Rubber - 1 set</t>
  </si>
  <si>
    <t xml:space="preserve"> IA. Name of Project:   Riprapping of Sitio Sala River (Php1,500,000.00)       Location	     	:   Sitio Sala, Brgy. San Antonio, Kalayaan, Laguna       Brief Description	:   I.Temporary Facilities;                                     II. Site Preparation/E</t>
  </si>
  <si>
    <t xml:space="preserve"> Description Republic of the Philippines PROVINCE OF ZAMBONAGA DEL NORTE Municipality of Leon B. Postigo INVITATION TO BID (2020-05-120)  June 04, 2020   Municipality of Leon B. Postigo, Zamboanga del Norte invites qualified bidders to apply for prequalifi</t>
  </si>
  <si>
    <t xml:space="preserve"> Procurement of ER Lights Ceiling Mounted</t>
  </si>
  <si>
    <t xml:space="preserve"> Description Republic of the Philippines PROVINCE OF ZAMBONAGA DEL NORTE Municipality of Leon B. Postigo INVITATION TO BID (2020-05-116)  May 06, 2020   Municipality of Leon B. Postigo, Zamboanga del Norte invites qualified bidders to apply for prequalific</t>
  </si>
  <si>
    <t xml:space="preserve"> Activated Charcoal - 3 pcs Acetylcysteine 100mg - 75 pcs - 15 vials Aminophylline 25mg/ml 10ml - 30 amp Ambroxol Syrup 60ml - 50 bots Amiodarone 150mg am - 300 tabs Amoxicillin 500mg - 2,100 caps Ampicillin 500mg - 300 caps Ampicillin 1gm - 150 vials Ampi</t>
  </si>
  <si>
    <t xml:space="preserve"> Procurement of Medical Equipment Lot 1</t>
  </si>
  <si>
    <t xml:space="preserve"> Diesel Fuel - 1,265 liters</t>
  </si>
  <si>
    <t xml:space="preserve"> Procurement of Hematology Analyzer (3 Differential Parts)</t>
  </si>
  <si>
    <t xml:space="preserve"> Procurement of Digital X-Ray with CR System</t>
  </si>
  <si>
    <t xml:space="preserve"> Scope of Work 510.00 sq.m Lay-out &amp; Stacking 195.00 cu,m. Earthworks 48.00 cu.m Concrete and Masonry Works 2.00 unit BasketBall Stand and Ring</t>
  </si>
  <si>
    <t xml:space="preserve"> Procurement of Medical Equipment Lot 2</t>
  </si>
  <si>
    <t xml:space="preserve"> Procurement of Compressor Upgrade for Mechanical Ventilator</t>
  </si>
  <si>
    <t xml:space="preserve"> Description Republic of the Philippines PROVINCE OF ZAMBONAGA DEL NORTE Municipality of Leon B. Postigo INVITATION TO BID (2020-05-104)  June 04, 2020   Municipality of Leon B. Postigo, Zamboanga del Norte invites qualified bidders to apply for prequalifi</t>
  </si>
  <si>
    <t xml:space="preserve"> Description Republic of the Philippines PROVINCE OF ZAMBONAGA DEL NORTE Municipality of Leon B. Postigo INVITATION TO BID (2020-05-131)  June 04, 2020   Municipality of Leon B. Postigo, Zamboanga del Norte invites qualified bidders to apply for prequalifi</t>
  </si>
  <si>
    <t xml:space="preserve"> Description Republic of the Philippines PROVINCE OF ZAMBONAGA DEL NORTE Municipality of Leon B. Postigo INVITATION TO BID (2020-05-128)  June 04, 2020   Municipality of Leon B. Postigo, Zamboanga del Norte invites qualified bidders to apply for prequalifi</t>
  </si>
  <si>
    <t xml:space="preserve"> Description Republic of the Philippines PROVINCE OF ZAMBONAGA DEL NORTE Municipality of Leon B. Postigo INVITATION TO BID (2020-05-101)  June 04, 2020   Municipality of Leon B. Postigo, Zamboanga del Norte invites qualified bidders to apply for prequalifi</t>
  </si>
  <si>
    <t xml:space="preserve"> Description Republic of the Philippines PROVINCE OF ZAMBONAGA DEL NORTE Municipality of Leon B. Postigo INVITATION TO BID (2020-05-103)  June 04, 2020   Municipality of Leon B. Postigo, Zamboanga del Norte invites qualified bidders to apply for prequalifi</t>
  </si>
  <si>
    <t xml:space="preserve"> I.Site Preparation/Removal and Disposal of PCCP; II. Aggregate Base Course (0.10m thk);  III.Portland Cement Concrete Pavement (0.15m thk)</t>
  </si>
  <si>
    <t xml:space="preserve"> Description Republic of the Philippines PROVINCE OF ZAMBONAGA DEL NORTE Municipality of Leon B. Postigo INVITATION TO BID (2020-05-102)  June 04, 2020   Municipality of Leon B. Postigo, Zamboanga del Norte invites qualified bidders to apply for prequalifi</t>
  </si>
  <si>
    <t xml:space="preserve"> Procurement of Fetal Doppler</t>
  </si>
  <si>
    <t xml:space="preserve"> Description Republic of the Philippines PROVINCE OF ZAMBONAGA DEL NORTE Municipality of Leon B. Postigo INVITATION TO BID (2020-05-127)  June 04, 2020   Municipality of Leon B. Postigo, Zamboanga del Norte invites qualified bidders to apply for prequalifi</t>
  </si>
  <si>
    <t xml:space="preserve"> Diesel - 1,500 liters</t>
  </si>
  <si>
    <t xml:space="preserve"> MOTORCYCLEXR150 3 units Spec:EngineTransmission5-Speed,StasterKick/electric,enginedisplacement(cc) 149,2 enginepower(kW/rpm)9,4/7.750,max torque(Nm/rpm)13/6.500,engine(cylinder)1 ignitionCDIbattery,system(volt)12,enginetypeOHRaircooled,strokecycle4 Compre</t>
  </si>
  <si>
    <t xml:space="preserve"> Description Republic of the Philippines PROVINCE OF ZAMBONAGA DEL NORTE Municipality of Leon B. Postigo INVITATION TO BID (2020-05-130)  June 04, 2020   Municipality of Leon B. Postigo, Zamboanga del Norte invites qualified bidders to apply for prequalifi</t>
  </si>
  <si>
    <t xml:space="preserve"> Program of Work 78.00 cu.m Excavation 50.16 cu.m Grouted Riprap 13.68 cu.m Concrete</t>
  </si>
  <si>
    <t xml:space="preserve"> Medical Oxygen Tanks, 50lbs (refill) - 30 tanks</t>
  </si>
  <si>
    <t xml:space="preserve"> Description Republic of the Philippines PROVINCE OF ZAMBONAGA DEL NORTE Municipality of Leon B. Postigo INVITATION TO BID (2020-05-084)  June 04, 2020   Municipality of Leon B. Postigo, Zamboanga del Norte invites qualified bidders to apply for prequalifi</t>
  </si>
  <si>
    <t xml:space="preserve"> Diesel - 500 liters Gasoline - 50 liters Delo Gold - 5 gals</t>
  </si>
  <si>
    <t xml:space="preserve"> Description Republic of the Philippines PROVINCE OF ZAMBONAGA DEL NORTE Municipality of Leon B. Postigo INVITATION TO BID (2020-05-109)  June 04, 2020   Municipality of Leon B. Postigo, Zamboanga del Norte invites qualified bidders to apply for prequalifi</t>
  </si>
  <si>
    <t xml:space="preserve"> Description Republic of the Philippines PROVINCE OF ZAMBONAGA DEL NORTE Municipality of Leon B. Postigo INVITATION TO BID (2020-05-100)  June 04, 2020   Municipality of Leon B. Postigo, Zamboanga del Norte invites qualified bidders to apply for prequalifi</t>
  </si>
  <si>
    <t xml:space="preserve"> Description Republic of the Philippines PROVINCE OF ZAMBONAGA DEL NORTE Municipality of Leon B. Postigo INVITATION TO BID (2020-05-062  June 04, 2020   Municipality of Leon B. Postigo, Zamboanga del Norte invites qualified bidders to apply for prequalific</t>
  </si>
  <si>
    <t xml:space="preserve"> Wheelchair (Heavy Duty) - 32	units Foldable Wheeled Walker - 6	units   	 					 Wheelchair (Heavy Duty) - 23	units Foldable Walker with Seat (for children) - 5	units</t>
  </si>
  <si>
    <t xml:space="preserve"> Description Republic of the Philippines PROVINCE OF ZAMBONAGA DEL NORTE Municipality of Leon B. Postigo INVITATION TO BID (2020-05-091)  June 04, 2020   Municipality of Leon B. Postigo, Zamboanga del Norte invites qualified bidders to apply for prequalifi</t>
  </si>
  <si>
    <t xml:space="preserve"> BIDS AND AWARDS COMMITTEE INVITATION FOR NEGOTIATED PROCUREMENT (TWO FAILED BIDDINGS) IB No. 2020-053/RJP SUPPLY AND DELIVERY OF 1900 UNITS FERMENTATION CRATES SET In view of the two (2) failed bidding, the Department of Agriculture, Regional Field Office</t>
  </si>
  <si>
    <t xml:space="preserve"> Description Republic of the Philippines PROVINCE OF ZAMBONAGA DEL NORTE Municipality of Leon B. Postigo INVITATION TO BID (2020-05-112)  June 04, 2020   Municipality of Leon B. Postigo, Zamboanga del Norte invites qualified bidders to apply for prequalifi</t>
  </si>
  <si>
    <t xml:space="preserve"> Description Republic of the Philippines PROVINCE OF ZAMBONAGA DEL NORTE Municipality of Leon B. Postigo INVITATION TO BID (2020-05-124)  June 04, 2020   Municipality of Leon B. Postigo, Zamboanga del Norte invites qualified bidders to apply for prequalifi</t>
  </si>
  <si>
    <t xml:space="preserve"> Procurement of Newborn Screening Hearing Test</t>
  </si>
  <si>
    <t xml:space="preserve"> Republic of the Philippines Province of Sarangani Municipality of Malapatan INVITATION TO BID  	 2020-B1-05-012        PROCUREMENT OF MULTI-PURPOSE VEHICLE OF MUNICIPAL MAYOR’S OFFICE, MALAPATAN SARANGANI PROVINCE   1.	The Local Government Unit of Malapat</t>
  </si>
  <si>
    <t xml:space="preserve"> Procurement of Microscope Binocular</t>
  </si>
  <si>
    <t xml:space="preserve"> Description Republic of the Philippines PROVINCE OF ZAMBONAGA DEL NORTE Municipality of Leon B. Postigo INVITATION TO BID (2020-05-110)  June 04, 2020   Municipality of Leon B. Postigo, Zamboanga del Norte invites qualified bidders to apply for prequalifi</t>
  </si>
  <si>
    <t xml:space="preserve"> Purchase of IT &amp; Office Equipment (For Planning &amp; Design Section- five (5) sets Desktop Computer (For Designer), four (4) units Laptop Computer       two (2) units (For Administrative Use) &amp; two (2) units (For Designer), three (3)     units UPS, twelve In</t>
  </si>
  <si>
    <t xml:space="preserve"> Procurement of Medical Equipment Lot 3</t>
  </si>
  <si>
    <t xml:space="preserve"> Republic of the Philippines Province of Sarangani Municipality of Malapatan INVITATION TO BID  	 2020-B2-05-013 CONSTRUCTION OF MNHS SITE-B DRAINAGE SYSTEM AT MNHS SITE-B SCHOOL SITE, BRGY. POBLACION, MALAPATAN SARANGANI PROVINCE  1.	The Local Government </t>
  </si>
  <si>
    <t xml:space="preserve"> Republic of the Philippines Province of Sarangani Municipality of Malapatan INVITATION TO BID  	 2020-B1-04-011        PROCUREMENT OF UREA AND TRIPLE 14 (14-14-14) FERTILIZERS, MALAPATAN SARANGANI PROVINCE   1.	The Local Government Unit of Malapatan, thro</t>
  </si>
  <si>
    <t xml:space="preserve"> Invitation to Bid for the supply &amp; delivery of Various Maintenance Materials for use of different Barangay of Batangas City</t>
  </si>
  <si>
    <t xml:space="preserve"> Description Republic of the Philippines PROVINCE OF ZAMBONAGA DEL NORTE Municipality of Leon B. Postigo INVITATION TO BID (2020-05-121)  June 04, 2020   Municipality of Leon B. Postigo, Zamboanga del Norte invites qualified bidders to apply for prequalifi</t>
  </si>
  <si>
    <t xml:space="preserve"> Procurement of Medical Equipment Lot 4</t>
  </si>
  <si>
    <t xml:space="preserve"> 500 pax Snacks Bottled Mineral Water, Bottled Flavored Green Tea, Four Season Juice, Fruit Juice, Chicken Sandwich, Burger, Linguini, Pancit Canton, Lasagna, Sotanghon Canton Lunch Rice, Buffalo Wings, Kaldereta, Humba, Talong Bake, Laing, Fish Fillet, Sh</t>
  </si>
  <si>
    <t xml:space="preserve"> Gasoline - 456 liters Diesel - 480 liters 												 Unleaded - 280 liters Diesel - 269 liters</t>
  </si>
  <si>
    <t xml:space="preserve"> Diesel - 3,000 liters ULG - 1,080 liters Delo Gold - 100 liters Brake Fluid - 32 liters</t>
  </si>
  <si>
    <t xml:space="preserve"> Procurement of Physical Therapy Equipment Set</t>
  </si>
  <si>
    <t xml:space="preserve"> Procurement of Oxygen Concentrators (6lpm)</t>
  </si>
  <si>
    <t xml:space="preserve"> Description Republic of the Philippines PROVINCE OF ZAMBONAGA DEL NORTE Municipality of Leon B. Postigo INVITATION TO BID (2020-05-087)  June 04, 2020   Municipality of Leon B. Postigo, Zamboanga del Norte invites qualified bidders to apply for prequalifi</t>
  </si>
  <si>
    <t xml:space="preserve"> Procurement of Reagent Refrigerator for Pharmaceutical Use</t>
  </si>
  <si>
    <t xml:space="preserve"> Republic of the Philippines Province of Surigao del Sur Municipality of Tago Barangay Umbay ---ooo0ooo--- Invitation to Bid Purchase of Various Construction Materials Project ID No. UMB-TAG-SDS-01-2020 The Local Government Unit of Brgy. Umbay, Tago, Surig</t>
  </si>
  <si>
    <t xml:space="preserve"> Description Republic of the Philippines PROVINCE OF ZAMBONAGA DEL NORTE Municipality of Leon B. Postigo INVITATION TO BID (2020-05-089)  June 04, 2020   Municipality of Leon B. Postigo, Zamboanga del Norte invites qualified bidders to apply for prequalifi</t>
  </si>
  <si>
    <t xml:space="preserve"> Description Republic of the Philippines PROVINCE OF ZAMBONAGA DEL NORTE Municipality of Leon B. Postigo INVITATION TO BID (2020-05-090)  June 04, 2020   Municipality of Leon B. Postigo, Zamboanga del Norte invites qualified bidders to apply for prequalifi</t>
  </si>
  <si>
    <t xml:space="preserve"> Description Republic of the Philippines PROVINCE OF ZAMBONAGA DEL NORTE Municipality of Leon B. Postigo INVITATION TO BID (2020-05-108)  June 04, 2020   Municipality of Leon B. Postigo, Zamboanga del Norte invites qualified bidders to apply for prequalifi</t>
  </si>
  <si>
    <t xml:space="preserve"> Republic of the Philippines DEPARTMENT OF PUBLIC WORKS AND HIGHWAYS SARANGANI  DISTRICT ENGINEERING OFFICE REGIONAL OFFICE XII Alabel, Sarangani Province INVITATION TO BID  for The DPWH-Sarangani District Engineering Office, Alabel Sarangani Province, thr</t>
  </si>
  <si>
    <t xml:space="preserve"> Description Republic of the Philippines PROVINCE OF ZAMBONAGA DEL NORTE Municipality of Leon B. Postigo INVITATION TO BID (2020-05-086)  June 04, 2020   Municipality of Leon B. Postigo, Zamboanga del Norte invites qualified bidders to apply for prequalifi</t>
  </si>
  <si>
    <t xml:space="preserve"> Republic of the Philippines City of Cagayan de Oro BIDS AND AWARDS COMMITTEE  INVITATION TO BID  FOR  Supply and Delivery of Various Medical, Dental and Laboratory Supplies (Lot No. 1 to Lot No. 5); PR No. 20-1165 dated 06 April 2020; SN 122-2020 1.	The C</t>
  </si>
  <si>
    <t xml:space="preserve"> PB NO. 2020-029		 			 1.	1	lot	Proposed Installation of Streetlights (30 units Solar) at Brgy. San Cristobal, San Pablo City. 			By: Contract 			 	Deadline for Submission of Bids: June 25, 2020 10:00 am</t>
  </si>
  <si>
    <t xml:space="preserve"> Invitation to Bid  For the Rehabilitation/Construction of Roads at Brgy. San Juan, Molo, Iloilo City 1.	The City of Iloilo, through the 20% Development Fund, CY2019 intends to apply the sum of One Million Pesos (Php 1,000,000.00) being the Approved Budget</t>
  </si>
  <si>
    <t xml:space="preserve"> Description Republic of the Philippines PROVINCE OF ZAMBONAGA DEL NORTE Municipality of Leon B. Postigo INVITATION TO BID (2020-05-107)  June 04, 2020   Municipality of Leon B. Postigo, Zamboanga del Norte invites qualified bidders to apply for prequalifi</t>
  </si>
  <si>
    <t xml:space="preserve"> 56		sets		LED SOLAR STREET LIGHT, 120W with Automatic Switch  						(Supply and Installation) 					 					Specification: 	 					Solar Panel: 150W (monocrystalline) 					 					Luminous Flux: 12,000 lumens 					Battery: Lithium Battery 					Visual Angle: 120</t>
  </si>
  <si>
    <t xml:space="preserve"> Republic of the Philippines Province of Sarangani Municipality of Malapatan INVITATION TO BID  	 2020-B1-03-007        PROCUREMENT OF ONE (1) UNIT FIRETRUCK FORWARD FTR SINGLE CAB FOR BUREAU OF FIRE PROTECTION, MALAPATAN, SARANGANI PROVINCE 1.	The Local G</t>
  </si>
  <si>
    <t xml:space="preserve"> PB NO. 2020-030		 			 1.	1	lot	Proposed Asphalt overlay at Brgy. San Juan, San Pablo City. 			By: Contract 			 	Deadline for Submission of Bids: June 25, 2020 1:00 pm</t>
  </si>
  <si>
    <t xml:space="preserve"> Invitation to Bid  For the Construction/Rehabilitation of Existing Drainage System at Brgy. Tacas, Jaro, Iloilo City 1.	The City of Iloilo, through the 20% Development Fund, CY2019 intends to apply the sum of One Million Five Hundred Thousand Pesos (Php 1</t>
  </si>
  <si>
    <t xml:space="preserve"> Office Table - 1 unit      Material: MDF						      Color: Wenge, Cherry or Mahogany						      Dimension: L63"xW31.5"xH30"						 Secretarial Table - 1 unit Vertical Filing Cabinet 2D - 1 unit      2-Drawer vertical filing cabinet with ant-tilted lock/KD </t>
  </si>
  <si>
    <t xml:space="preserve"> Description Republic of the Philippines PROVINCE OF ZAMBONAGA DEL NORTE Municipality of Leon B. Postigo INVITATION TO BID (2020-05-111)  June 04, 2020   Municipality of Leon B. Postigo, Zamboanga del Norte invites qualified bidders to apply for prequalifi</t>
  </si>
  <si>
    <t xml:space="preserve"> Invitation to Bid  For the Construction of Learning Resource Center for Classes at Jaro II Elementary School, Jaro, Iloilo City 1.	The City of Iloilo, through the SEF, CY2019 intends to apply the sum of Five Million Pesos (Php 5,000,000.00) being the Appr</t>
  </si>
  <si>
    <t xml:space="preserve"> Invitation to Bid  For the Construction/Rehabilitation of Existing Drainage System at Brgy. San Vicente, Jaro, Iloilo City 1.	The City of Iloilo, through the 20% Development Fund, CY2019 intends to apply the sum of Three Million Pesos (Php 3,000,000.00) b</t>
  </si>
  <si>
    <t xml:space="preserve"> Republic of the Philippines City of Cagayan de Oro BIDS AND AWARDS COMMITTEE  INVITATION TO BID  FOR  Supply and Delivery of Various Medical, Dental and Laboratory Supplies (Lot No. 1 and Lot No. 9); PR No. 20-0946 dated 30 March 2020; SN 96a - 2020 1.	Th</t>
  </si>
  <si>
    <t xml:space="preserve"> Invitation to Bid  For the Rehabilitation/Construction of Roads at Brgy. Dulonan, Arevalo, Iloilo City 1.	The City of Iloilo, through the 20% Development Fund, CY2019 intends to apply the sum of Two Million Pesos (Php 2,000,000.00) being the Approved Budg</t>
  </si>
  <si>
    <t xml:space="preserve"> Description Republic of the Philippines PROVINCE OF ZAMBONAGA DEL NORTE Municipality of Leon B. Postigo INVITATION TO BID (2020-05-129)  June 04, 2020   Municipality of Leon B. Postigo, Zamboanga del Norte invites qualified bidders to apply for prequalifi</t>
  </si>
  <si>
    <t xml:space="preserve"> Republic of the Philippines City of Cagayan de Oro BIDS AND AWARDS COMMITTEE  INVITATION TO BID  FOR  Supply and Delivery of One (1) Unit Basic Life Support (BLS) Ambulance Vehicle; PR No. 20-1182 dated 24 January 2020; SN 124 - 2020 1.	The City Governmen</t>
  </si>
  <si>
    <t xml:space="preserve"> L-Shape Sofa - 1 set Executive Swivel Chair - 1 unit</t>
  </si>
  <si>
    <t xml:space="preserve"> Republic of the Philippines City of Cagayan de Oro BIDS AND AWARDS COMMITTEE Invitation to Bid  for Construction and Operation of Sanitary Landfill (Pagalungan); SN 125 - 2020 ` 1.	The City Government of Cagayan de Oro, through the Current Appropriation, </t>
  </si>
  <si>
    <t xml:space="preserve"> Speaker Trump 500wts - 1set Amplifier - 1 pc Microphone - 1 pc Speaker Wire - 20 meters Wireless Buzzer - 1 pc Laptop - 2 units      (Intel Celenon N3060 2.4 OH2)      Intel HD Graphics 400      4GD DDR3L - 1600 SDMM (1x4GB)      19" Diagonal HD SVA Brigh</t>
  </si>
  <si>
    <t xml:space="preserve"> Invitation to Bid  For the Rehabilitation/Construction of Roads at Brgy. Calaparan, Arevalo, Iloilo City 1.	The City of Iloilo, through the 20% Development Fund, CY2019 intends to apply the sum of Two Million Pesos (Php 2,000,000.00) being the Approved Bu</t>
  </si>
  <si>
    <t xml:space="preserve"> 1	Fittings Pullbox with Bus Bar: 20x40x80 cm with cable terminal 3-250 mm2, 3-50mm2 and 3-14 mm2 Thhn Cu. Wire 2	Cable Cutter Heavy Duty 3	CHB 4" 4	Common Wire Nails (#3) 5	Concrete Nail #1 6	Cutting Disc Masonry 7	CW Nail 2" 8	Electrical liquidated Metal</t>
  </si>
  <si>
    <t xml:space="preserve"> Republic of the Philippines City of Cagayan de Oro BIDS AND AWARDS COMMITTEE  	 INVITATION TO BID  FOR  Supply and Delivery of Circuit Breakers and Other Items; PR No. 20-1244 dated 04 May 2020; SN 121 - 2020 1.	The City Government of Cagayan de Oro, thro</t>
  </si>
  <si>
    <t xml:space="preserve"> Republic of the Philippines Province of Sarangani Municipality of Malapatan INVITATION TO BID  	 2020-B1-04 PROCUREMENT OF MATERIALS FOR PROPOSED EXPANSION OF WATER SYSTEM AT SITIO ASPANG- MALYANG, BRGY. POBLACION, MALAPATAN, SARANGANI PROVINCE 1.	The Loc</t>
  </si>
  <si>
    <t xml:space="preserve"> Description Republic of the Philippines PROVINCE OF ZAMBONAGA DEL NORTE Municipality of Leon B. Postigo INVITATION TO BID (2020-05-126)  June 04, 2020   Municipality of Leon B. Postigo, Zamboanga del Norte invites qualified bidders to apply for prequalifi</t>
  </si>
  <si>
    <t xml:space="preserve"> Invitation to Bid  For the Construction of Two (2) Storey Two (2) Classroom Building at Jaro I Elementary School, Jaro, Iloilo City 1.	The City of Iloilo, through the SEF CY2019 intends to apply the sum of Five Million Pesos (Php 5,000,000.00) being the A</t>
  </si>
  <si>
    <t xml:space="preserve"> Hospital Bed Linen - 25 pcs Specifications:      -White, Cotton, Fitted (with Garter), Thick      -Size: 2.5 meters length x 1.4 meters width</t>
  </si>
  <si>
    <t xml:space="preserve"> ILOCOS NORTE IST DISTRICT ENGINEERING OFFICE Airport Ave. Brgy. Cavit, Laoag City, Ilocos Norte INVITATION TO BID The DPWH-Ilocos Norte 1st District Engineering Office, through its Bids and Awards Committee (BAC), invites contractors to submit bids for th</t>
  </si>
  <si>
    <t xml:space="preserve"> Invitation to Bid  For the Completion of Classroom at Esteban Juntado Sr. Memorial Elementary School, Calumpang, Molo, Iloilo City 1.	The City of Iloilo, through the Capital Outlay SEF, CY2018 intends to apply the sum of Two Million Pesos (Php 2,000,000.0</t>
  </si>
  <si>
    <t xml:space="preserve"> please download bidding documents</t>
  </si>
  <si>
    <t xml:space="preserve"> Ballpen @16.5 - 6 pcs Battery AA - 3 pcs Cartificate Holder A4 (Plastic) - 12 pcs Correction Tape, Big - 3 pcs Coupon Long S-20 - 3 reams Coupon Short S-20 - 3 reams Coupon A4 S-20	 - 1 ream Envelope Expanded Long w/ Garter - 3 pcs Folder Cream Long, 14 p</t>
  </si>
  <si>
    <t xml:space="preserve"> Republic of the Philippines Province of Palawan Municipality of Busuanga INVITATION TO BID FOR SUPPLY &amp; DELIVERY OF EQUIPMENT'S 1.	The Municipal Government of Busuanga, through the General Fund &amp; Capital Outlay intends to apply the sum of Seven Hundred Fo</t>
  </si>
  <si>
    <t xml:space="preserve"> Republic of the Philippines Province of Sarangani Municipality of Malapatan INVITATION TO BID  	 2020-B1-03-009 PROCUREMENT OF RESCUE/ EXTRICATION EQUIPMENT OF MDRRMO, MALAPATAN, SARANGANI PROVINCE 1.	The Local Government Unit of Malapatan, through the MD</t>
  </si>
  <si>
    <t xml:space="preserve"> Mop with Handle - 5 pcs Liquid Sosa - 5 liters Muriatic Acid - 5	liters Disinfectant and Bleaching Solution - 6 gals Powdered Soap Cleanser, Big 500g - 20 packs Laundry Soap Powder 500g/pack	 - 20	packs Detergent Bar - 20 packs Benzalkonium Chloride Disin</t>
  </si>
  <si>
    <t xml:space="preserve"> INVITATION TO BID FOR THE SUPPLY AND DELIVERY OF MEDICAL DEVICES AND SUPPLIES   1.	The City of Iloilo, through the Trust Fund intends to apply the sum of One Million Eight Hundred Fifty-Nine Thousand Two Hundred Sixty-Five Pesos (P1,859,265.00) being the </t>
  </si>
  <si>
    <t xml:space="preserve"> 1	Air Freshener - 3 pcs			 2	Ballpen (fine point-black) - 1 bxs			 3	Brown Envelope (Short) - 50 pcs			 4	Brown Envelope (Long) - 30 pcs			 5	Calculator, 12 Digits Two Way Power (Big) - 2 pcs			 6	Correction Tape (Big) - 15 pcs			 7	Data File Box - 10 pcs</t>
  </si>
  <si>
    <t xml:space="preserve"> Description Republic of the Philippines PROVINCE OF ZAMBONAGA DEL NORTE Municipality of Leon B. Postigo INVITATION TO BID (2020-05-122)  June 04, 2020   Municipality of Leon B. Postigo, Zamboanga del Norte invites qualified bidders to apply for prequalifi</t>
  </si>
  <si>
    <t xml:space="preserve"> Description Republic of the Philippines PROVINCE OF ZAMBONAGA DEL NORTE Municipality of Leon B. Postigo INVITATION TO BID (2020-05-085)  June 04, 2020   Municipality of Leon B. Postigo, Zamboanga del Norte invites qualified bidders to apply for prequalifi</t>
  </si>
  <si>
    <t xml:space="preserve"> Contract ID:      20HL0109 Contract Name: Repair/Maintenance of DPWH Building, Office Building Contract Location:  Malabuhan,  Siaton, Negros Oriental Scope of Works:  Repair/Maintenance of DPWH Building Source of Fund and year:  FY 2020 GAA, RA 11465 App</t>
  </si>
  <si>
    <t xml:space="preserve"> INVITATION TO BID The Municipal Government of La Trinidad through the Bids and Awards Committee (BAC) invites contractors to bid for the hereunder project: Contract Reference No.: POW - 8751 - 2020 - PCO - 04 Name of Project: Construction of Drainage Cana</t>
  </si>
  <si>
    <t xml:space="preserve"> a. CONTRACT ID: RIZAL-23JUNE2020-2 b. NAME OF PROJECT: Repair/Repainting/Improvement of Ynares Multi-Purpose Covered Court / Stage / Multi-Purpose Buildings &amp; Movable Bleacher at Angono &amp; Binangonan, Rizal              a)  Repair/Repainting/Improvement of</t>
  </si>
  <si>
    <t xml:space="preserve"> PROCUREMENT OF LABOR AND MATERIALS FOR INSTALLATION AND REHABILITATION OF TRANSMISSION AND DISTRIBUTION LINES IN VARIOUS LOCATIONS (4 LOTS) ***Kindly see attached Bidding Documents and Bill of Quantities for the Technical Specifications and Conditions of </t>
  </si>
  <si>
    <t xml:space="preserve"> a. CONTRACT ID: RIZAL-23JUNE2020-13 b. NAME OF PROJECT: Repair/Repainting of Ynares School Buildings &amp; Improvement of Ynares Multi-Purpose Covered Court at Evangelista Elem. School, Brgy. Evangelista, Baras, Rizal c. LOCATION: Brgy. Evangelista, Baras, Ri</t>
  </si>
  <si>
    <t xml:space="preserve"> INVITATION TO BID The Municipal Government of La Trinidad through the Bids and Awards Committee (BAC) invites contractors to bid for the hereunder project: Contract Reference No.: POW - 8751 - 2020 - AMB - 02 Name of Project: Improvement of FMR at Upper A</t>
  </si>
  <si>
    <t xml:space="preserve"> Description Republic of the Philippines PROVINCE OF ZAMBONAGA DEL NORTE Municipality of Leon B. Postigo INVITATION TO BID (2020-05-118)  June 04, 2020   Municipality of Leon B. Postigo, Zamboanga del Norte invites qualified bidders to apply for prequalifi</t>
  </si>
  <si>
    <t xml:space="preserve"> INVITATION TO BID The Municipal Government of La Trinidad through the Bids and Awards Committee (BAC) invites contractors to bid for the hereunder project: Contract Reference No.: POW - 8751 - 2020 - PUG - 03 Name of Project: Construction of Flood Control</t>
  </si>
  <si>
    <t xml:space="preserve"> a. CONTRACT ID: RIZAL-23JUNE2020-11 b. NAME OF PROJECT: Asphalt Overlaying/Concrete Reblocking (portion) of A. Mabini St., Brgy. Sto. Niňo, Cainta, Rizal c. LOCATION: Brgy. Sto. Niňo, Cainta, Rizal d. BRIEF DESCRIPTION: Road improvement. e. MAJOR ITEM OF </t>
  </si>
  <si>
    <t xml:space="preserve"> a. CONTRACT ID: RIZAL-23JUNE2020-7 b. NAME OF PROJECT: Construction of 2-storey, 6-rooms Ynares School Building at Ithan Elem. School, Brgy. Ithan, Binangonan, Rizal c. LOCATION: Brgy. Ithan, Binangonan, Rizal d. BRIEF DESCRIPTION: Construction of Ynares </t>
  </si>
  <si>
    <t xml:space="preserve"> a. CONTRACT ID: RIZAL-23JUNE2020-1 b. NAME OF PROJECT: Asphalt Overlaying of Roads at Angono &amp; Cardona, Rizal a)  Asphalt Overlaying of E. Dela Paz Street, Brgy. San Pedro, Angono b)  Asphalt Overlaying of Ampucao Road (portion), Brgy. Iglesia, Cardona c.</t>
  </si>
  <si>
    <t xml:space="preserve"> a. CONTRACT ID: RIZAL-23JUNE2020-12 b. NAME OF PROJECT: Asphalt Overlaying of C. Cruz St., Brgy. Sto. Niňo, Cainta, Rizal c. LOCATION: Brgy. Sto. Niňo, Cainta, Rizal d. BRIEF DESCRIPTION: Road improvement. e. MAJOR ITEM OF WORK: Bituminous Concrete Surfac</t>
  </si>
  <si>
    <t xml:space="preserve"> a. CONTRACT ID: RIZAL-23JUNE2020-9 b. NAME OF PROJECT: Construction of 2-storey, 6-rooms Ynares School Building at Kalinawan Elem. School, Brgy. Kalinawan, Binangonan, Rizal c. LOCATION: Brgy. Kalinawan, Binangonan, Rizal d. BRIEF DESCRIPTION: Constructio</t>
  </si>
  <si>
    <t xml:space="preserve"> INVITATION TO BID The Municipal Government of La Trinidad through the Bids and Awards Committee (BAC) invites contractors to bid for the hereunder project: Contract Reference No.: POW - 8751 - 2020 - BTG - 01 Name of Project: Improvement of Drainage Canal</t>
  </si>
  <si>
    <t xml:space="preserve"> a. CONTRACT ID: RIZAL-23JUNE2020-15 b. NAME OF PROJECT: Construction of Drainage Canal at I.D. Julian Street, Brgy. Iglesia, Cardona, Rizal c. LOCATION: Brgy. Iglesia, Cardona, Rizal d. BRIEF DESCRIPTION: Construction of Drainage Canal. e. MAJOR ITEM OF W</t>
  </si>
  <si>
    <t xml:space="preserve"> a. CONTRACT ID: RIZAL-23JUNE2020-5 b. NAME OF PROJECT: Improvement/Repair of Ynares Multi-Purpose Covered Court at Mahabang Parang National High School, San Juan Heights, Brgy. Mahabang Parang, Binangonan, Rizal c. LOCATION: Brgy. Mahabang Parang, Binango</t>
  </si>
  <si>
    <t xml:space="preserve"> a. CONTRACT ID: RIZAL-23JUNE2020-6 b. NAME OF PROJECT: Construction/Provision of Wash Facilities (Water, Sanitation &amp; Hygiene) at Lunsad Elem.School, Brgy. Lunsad, Binangonan, Rizal c. LOCATION: Brgy. Lunsad, Binangonan, Rizal d. BRIEF DESCRIPTION: Wash F</t>
  </si>
  <si>
    <t xml:space="preserve"> a. CONTRACT ID: RIZAL-23JUNE2020-14 b. NAME OF PROJECT: Repair of Roofing / Ceiling of Brgy.Hall Main and Repair of Flooring of Ynares Multi-Purpose Covered Court at Sitio Cinco, Brgy. Pinugay, Baras, Rizal c. LOCATION: Brgy. Pinugay, Baras, Rizal d. BRIE</t>
  </si>
  <si>
    <t xml:space="preserve"> a. CONTRACT ID: RIZAL-23JUNE2020-8 b. NAME OF PROJECT: Construction/Provision of Wash Facilities (Water, Sanitation &amp; Hygiene) at Libid Elem.School, Brgy. Libid, Binangonan, Rizal c. LOCATION: Brgy. Libid, Binangonan, Rizal d. BRIEF DESCRIPTION: Wash Faci</t>
  </si>
  <si>
    <t xml:space="preserve"> a. CONTRACT ID: RIZAL-23JUNE2020-3 b. NAME OF PROJECT: Improvement/Repair of Ynares Multi-Purpose Covered Court, Brgy. Tabon, Binangonan, Rizal c. LOCATION: Brgy. Tabon, Binangonan, Rizal d. BRIEF DESCRIPTION: Improvement of Ynares Multi-Purpose Covered C</t>
  </si>
  <si>
    <t xml:space="preserve"> a. CONTRACT ID: RIZAL-23JUNE2020-10 b. NAME OF PROJECT: Concreting of Road at Saint Pancratius Street, Park Place Village, Brgy. San Isidro, Cainta, Rizal c. LOCATION: Brgy. San Isidro, Cainta, Rizal  d. BRIEF DESCRIPTION:  Road improvement. e. MAJOR ITEM</t>
  </si>
  <si>
    <t xml:space="preserve"> a. CONTRACT ID: RIZAL-23JUNE2020-4 b. NAME OF PROJECT: Repair/Improvement of Stage &amp; Construction of School Signage at Brgy. Janosa, Binangonan, Rizal a)  Repair/Improvement of Stage at Brgy. Janosa b)  Construction of School Signage at Janosa Elementary </t>
  </si>
  <si>
    <t xml:space="preserve"> a. CONTRACT ID: RIZAL-23JUNE2020-16 b. NAME OF PROJECT: Repair/Improvement of Ynares Multi-Purpose Building &amp; Installation of Electrical Lighting System of Ynares Multi-Purpose Covered Court at Brgy. Balibago &amp; Brgy. Looc, Cardona, Rizal a)  Repair/Improv</t>
  </si>
  <si>
    <t xml:space="preserve"> a. CONTRACT ID: RIZAL-23JUNE2020-21 b. NAME OF PROJECT: Concreting (portion) of Rambo Feeder Road, Brgy. Halayhayin, Pililla, Rizal c. LOCATION: Brgy. Halayhayin, Pililla, Rizal d. BRIEF DESCRIPTION: Road improvement. e. MAJOR ITEM OF WORK: PCC Pavement (</t>
  </si>
  <si>
    <t xml:space="preserve"> a. CONTRACT ID: RIZAL-23JUNE2020-18 b. NAME OF PROJECT: Asphalt Overlaying/Concrete Reblocking (portion) of Segundo Pillas St., Brgy. Punta, Jalajala, Rizal c. LOCATION: Brgy. Punta, Jalajala, Rizal d. BRIEF DESCRIPTION: Road improvement. e. MAJOR ITEM OF</t>
  </si>
  <si>
    <t xml:space="preserve"> a. CONTRACT ID: RIZAL-23JUNE2020-26 b. NAME OF PROJECT: Construction/Provision of Wash Facilities (Water, Sanitation &amp; Hygiene) at Eastwood Residences, Brgy. San Isidro, Rodriguez, Rizal a)  Construction/Provision of Wash Facilities (Water, Sanitation &amp; H</t>
  </si>
  <si>
    <t xml:space="preserve"> a. CONTRACT ID: RIZAL-23JUNE2020-24 b. NAME OF PROJECT: Repair/Repainting 2-Units 1-Storey Multi-Purpose Building (Health Center / Day Care Center), Brgy. Imatong, Pililla, Rizal c. LOCATION: Brgy. Imatong, Pililla, Rizal d. BRIEF DESCRIPTION: Improvement</t>
  </si>
  <si>
    <t xml:space="preserve"> a. CONTRACT ID: RIZAL-23JUNE2020-31 b. NAME OF PROJECT: Asphalt Overlaying of L. Cerrero St., Brgy. Macamot, Binangonan, Rizal		 c. LOCATION: Brgy. Macamot, Binangonan, Rizal d. BRIEF DESCRIPTION: Road improvement. e. MAJOR ITEM OF WORK: Bituminous Concre</t>
  </si>
  <si>
    <t xml:space="preserve"> a. CONTRACT ID: RIZAL-23JUNE2020-17 b. NAME OF PROJECT: Construction of 2-storey, 4-rooms Ynares School Building at Mariano C. San Juan Elem. School, Brgy. San Roque, Cardona, Rizal c. LOCATION: Brgy. San Roque, Cardona, Rizal d. BRIEF DESCRIPTION: Constr</t>
  </si>
  <si>
    <t xml:space="preserve"> a. CONTRACT ID: RIZAL-23JUNE2020-30 b. NAME OF PROJECT: Construction/Provision of Wash Facilities (Water, Sanitation &amp; Hygiene) at Bagumbayan Elem.School, Brgy. Bagumbayan, Teresa, Rizal c. LOCATION: d. BRIEF DESCRIPTION: Wash Facilities e. MAJOR ITEM OF </t>
  </si>
  <si>
    <t xml:space="preserve"> a. CONTRACT ID: RIZAL-23JUNE2020-22 b. NAME OF PROJECT: Asphalt Overlaying and Concrete Reblocking (portion) of A. Luna St., Brgy. Quisao, Pililla, Rizal c. LOCATION: Brgy. Quisao, Pililla, Rizal d. BRIEF DESCRIPTION: Road improvement. e. MAJOR ITEM OF WO</t>
  </si>
  <si>
    <t xml:space="preserve"> a. CONTRACT ID: RIZAL-23JUNE2020-28 b. NAME OF PROJECT: Construction of 2-storey, 8-rooms Ynares School Building at Patiis Elem. School, Brgy. Malanday, San Mateo, Rizal c. LOCATION: Brgy. Malanday, San Mateo, Rizal d. BRIEF DESCRIPTION: Construction of Y</t>
  </si>
  <si>
    <t xml:space="preserve"> a. CONTRACT ID: RIZAL-23JUNE2020-29 b. NAME OF PROJECT: Construction of 4-storey, 8-rooms Ynares School Building at Wawa Elem. School, Brgy. Wawa, Tanay, Rizal c. LOCATION: Brgy. Wawa, Tanay, Rizal d. BRIEF DESCRIPTION: Construction of Ynares School Build</t>
  </si>
  <si>
    <t xml:space="preserve"> a. CONTRACT ID: RIZAL-23JUNE2020-20 b. NAME OF PROJECT: Rehabilitation of Feeder Road at Sitio Calasiao, Brgy. Bagumbayan, Pililla, Rizal c. LOCATION: Brgy. Bagumbayan, Pililla, Rizal d. BRIEF DESCRIPTION: Road improvement. e. MAJOR ITEM OF WORK: Bitumino</t>
  </si>
  <si>
    <t xml:space="preserve"> a. CONTRACT ID: RIZAL-23JUNE2020-27 b. NAME OF PROJECT: Construction of Ynares Stage &amp; Improvement of Ynares Multi-Prpose Covered Court at Southville 8C Phase 1K, Kasiglahan Village, Brgy. San Jose, Rodriguez, Rizal c. LOCATION: Brgy. San Jose, Rodriguez,</t>
  </si>
  <si>
    <t xml:space="preserve"> a. CONTRACT ID: RIZAL-23JUNE2020-25 b. NAME OF PROJECT: Improvement of School Fence/Construction of School Arc &amp; Repair of Gate &amp; Artesian Well at Brgy. Bagumbayan &amp; Brgy. Hulo, Pililla, Rizal a)  Improvement of School Fence at Matagbak Elem. School, Brgy</t>
  </si>
  <si>
    <t xml:space="preserve"> a. CONTRACT ID: RIZAL-23JUNE2020-23 b. NAME OF PROJECT: Aspahlt Overlaying of San Antonio Road, Brgy. Quisao, Pililla, Rizal c. LOCATION: Brgy. Quisao, Pililla, Rizal d. BRIEF DESCRIPTION: Road improvement. e. MAJOR ITEM OF WORK: Bituminous Concrete Surfa</t>
  </si>
  <si>
    <t xml:space="preserve"> Republic of the Philippines DEPARTMENT OF PUBLIC WORKS AND HIGHWAYS  MINDORO OCCIDENTAL DISTRICT ENGINEERING OFFICE Regional Office IV-B Mamburao, Occidental Mindoro NOTICE OF ELIGIBILITY May 27, 2020 MS. ROWENA SARREAL SANTOS TERMS CONCRETE TESTING # 19 </t>
  </si>
  <si>
    <t xml:space="preserve"> a. CONTRACT ID: RIZAL-23JUNE2020-19 b. NAME OF PROJECT: Improvement / Rehabiltation of E. Pillas Street (portion), Brgy. Punta, Jalajala, Rizal c. LOCATION: Brgy. Punta, Jalajala, Rizal d. BRIEF DESCRIPTION: Road improvement. e. MAJOR ITEM OF WORK: PCC Pa</t>
  </si>
  <si>
    <t xml:space="preserve"> Procurement ID/Contract I.D.: 20CN0142 Contract Name: Construction/Rehabilitation of Water Supply/Septage and Sewerage/Rain Water Collector Systems Brief Description: Civil, Mechanical, Electrical and Sanitary/Plumbing Works; Earthworks, Plain and Reinfor</t>
  </si>
  <si>
    <t xml:space="preserve"> 1.	The Department of Public Works and Highways Regional Office XI, Davao City, through its Bids and Awards Committee (BAC), invites bidders to submit bids for the Infra projects funded under GAA FY 2020, to wit: Contract ID 	:	20L00028 Contract Name/Locat</t>
  </si>
  <si>
    <t xml:space="preserve"> 1.	The Department of Public Works and Highways Regional Office XI, Davao City, through its Bids and Awards Committee (BAC), invites bidders to submit bids for the Infra projects funded under GAA FY 2020, to wit: Contract ID 	:	20L00152 Contract Name/Locat</t>
  </si>
  <si>
    <t xml:space="preserve"> HYDRAULIC OIL	 	 	 HYDRAULIC OIL HYPLUS	 HYDRAULIC OIL, TURBINE OIL T68	 	 HIGH QUALITY ANTI WEAR HYDRAULIC OIL FORTIFIES WITH AN EFFECTIVE ADDITIVE PACKAGE FOR HYDRAULIC SYSTEMS OPERATING UNDER A WIDE RANGE OF TEMPERATURE	 OPERATIONS. COMPATBLE WITH THE </t>
  </si>
  <si>
    <t xml:space="preserve"> Republic of the Philippines Department of Public Works and Highways Cotabato 1st District Engineering Office Region XII Villarica, Midsayap, Cotabato INVITATION TO BID The DPWH-Cotabato 1st District Engineering Office through its Bids and Awards Committee</t>
  </si>
  <si>
    <t xml:space="preserve"> 1.	The Department of Public Works and Highways Regional Office XI, Davao City, through its Bids and Awards Committee (BAC), invites bidders to submit bids for the Infra projects funded under GAA FY 2020, to wit: Contract ID 	:	20L00150 Contract Name/Locat</t>
  </si>
  <si>
    <t xml:space="preserve"> Republic of the Philippines Province of South Cotabato BIDS AND AWARDS COMMITTEE City of Koronadal  INF-ITB 20-026 INVITATION TO BID  1.	The Provincial Government of South Cotabato, through the PEMO-8731 CA-2020-70-GF intends to apply the sum of          </t>
  </si>
  <si>
    <t xml:space="preserve"> INVITATION TO APPLY FOR ELIGIBILITY AND BID The Barangay of Dagami, Maasin, Iloilo, through its Bids and Awards Committee (BAC), invites suppliers/ distributors/ contractors to apply for eligibility and to bid for the hereunder project: Name of Project : </t>
  </si>
  <si>
    <t xml:space="preserve"> 1		un		Brand New Vehicle, Van type 15 pax capacity, Diesel Engine, 					4v cylinder with no less than 2,950cc displacement, Maximum 					output at least 135PS at 3,400 RPM, Common Rail, Turbo 					charge Intercooler, with tank capacity of no less than 70 </t>
  </si>
  <si>
    <t xml:space="preserve"> 1.	The Department of Public Works and Highways Regional Office XI, Davao City, through its Bids and Awards Committee (BAC), invites bidders to submit bids for the Infra projects funded under GAA FY 2020, to wit: Contract ID 	:	20L00151 Contract Name/Locat</t>
  </si>
  <si>
    <t xml:space="preserve"> LABOR AND MATERIALS FOR THE EVACUATION CENTER AND DISASTER RISK REDUCTION-RELATED EQUIPMENT AT POBLACION,BADIAN,CEBU FOR DETAILS PLS. CONTACT: MA.LUISA L. QUILESTINO BAC SECRETARIAT TEL.NO.(032) 475-9118</t>
  </si>
  <si>
    <t xml:space="preserve"> 1.	The Department of Public Works and Highways Regional Office XI, Davao City, through its Bids and Awards Committee (BAC), invites bidders to submit bids for the Infra projects funded under GAA FY 2020, to wit: Contract ID 	:	20L00154 Contract Name/Locat</t>
  </si>
  <si>
    <t xml:space="preserve"> Republic of the Philippines Province of South Cotabato BIDS AND AWARDS COMMITTEE City of Koronadal  INF-ITB 20-024 INVITATION TO BID  1.	The Provincial Government of South Cotabato, through the PEO-8751 20% LDF (8.1.4) intends to apply the sum of         </t>
  </si>
  <si>
    <t xml:space="preserve"> Republic of the Philippines Province of South Cotabato BIDS AND AWARDS COMMITTEE City of Koronadal  INF-ITB 20-025 INVITATION TO BID  1.	The Provincial Government of South Cotabato, through the PEO-8751 20% LDF (8.3.1) intends to apply the sum of         </t>
  </si>
  <si>
    <t xml:space="preserve"> Republic of the Philippines Department of Public Works and Highways Cotabato 1st District Engineering Office Region XII Villarica, Midsayap, Cotabato INVITATION TO BID The DPWH-Cotabato 1ST District Engineering Office through its Bids and Awards Committee</t>
  </si>
  <si>
    <t xml:space="preserve"> Republic of the Philippines Province of Pangasinan Municipality of Infanta Barangay Bayambang BIDS AND AWARDS COMMITTEE INVITATION TO BID FOR: PURCHASE OF ONE (1) UNIT MOTOR VEHICLE, BRGY. BAYAMBANG, INFANTA, PANGASINAN 1.	The Bayambang Barangay Council, </t>
  </si>
  <si>
    <t xml:space="preserve"> Local Government Unit, Moalboal, Cebu	          Contract Reference No. :			                                                                            	         Name of Contract: Purchase of Ink Toner Standard Form:  SF-GOODS-05			          Location of th</t>
  </si>
  <si>
    <t xml:space="preserve"> Local Government Unit, Moalboal, Cebu	          Contract Reference No. :			                                                                               Name of Contract: Requirement of X-ray License to Operate Standard Form:  SF-GOODS-05			          Loc</t>
  </si>
  <si>
    <t xml:space="preserve"> Republic of the Philippines PROVINCE OF PAMPANGA City of San Fernando INVITATION TO BID NO. 2020-16 IG-BAC INVITATION TO BID FOR PURCHASE REQUEST NO. 20-1204, 20-0842, 20-0910, 20-0906, 20-0905 and 20-0904 The Provincial Government of Pampanga (“Province”</t>
  </si>
  <si>
    <t xml:space="preserve"> VARIOUS OFFICE/SCHOOL EQUIPMENT</t>
  </si>
  <si>
    <t xml:space="preserve"> Provision of Field Office for Engineer (Rental Basis) Project Billboard Occupational Safety and Health Program Traffic Management Mobilization/Demobilization Subgrade Preparation Aggregate Base Course (150mm thk) PCC Pavement (Plain) - Conventional Method</t>
  </si>
  <si>
    <t xml:space="preserve"> Furniture's and Fixtures   to be used  in different offices in LGU Bansud</t>
  </si>
  <si>
    <t xml:space="preserve"> Republic of the Philippines Province of South Cotabato BIDS AND AWARDS COMMITTEE City of Koronadal  INF-ITB 20-027 INVITATION TO BID  1.	The Provincial Government of South Cotabato, through the PEO-8751 P/P-CMGP-5-02-13-030  intends to apply the sum of ₱ </t>
  </si>
  <si>
    <t xml:space="preserve"> Supply and delivery of various laboratory and radiology supplies and materials for Ospital Ning Capas</t>
  </si>
  <si>
    <t xml:space="preserve"> Laptop  Desktop Printer External Hard drives</t>
  </si>
  <si>
    <t xml:space="preserve"> PROJECT DESCRIPTION I- Earthwork - 311.73cu.m. II- Formworks and Scaffolds - 3,000.00 bd.ft. III- Reinforced Concrete Works - 54.74 cu.m. IV - MAsonry Works (includes septic tank)- 104.00 sq.m. V - Roofing works - 196.00 sq.m. VI- Doors and Windows - 7.27</t>
  </si>
  <si>
    <t xml:space="preserve"> Local Government Unit, Moalboal, Cebu	          Contract Reference No. :			                                                                           Name of Contract: Purchase of Electrical Materials for  									Streetlighting Standard Form:  SF-GOODS-</t>
  </si>
  <si>
    <t xml:space="preserve"> 1.	The Department of Education – Division of Southern Leyte, through the General Appropriations Act (GAA) CY 2020 intends to apply the sum of One Million Seven Hundred Twenty-seven Thousand Five Hundred Twenty-two Pesos and Fifty-four Centavos Only (Php 1</t>
  </si>
  <si>
    <t xml:space="preserve"> The ZAMBOANGA CITY STATE POLYTECHNIC COLLEGE through its Bids and Awards Committee (BAC) is inviting PHILGEPS registered suppliers to apply for eligibility and to submit bids for the items listed below: 1.	Cement, Portland, 40kgs./bag (1800 bags) 2.	Sand,</t>
  </si>
  <si>
    <t xml:space="preserve"> Republic of the Philippines Province of Agusan del Norte Municipality of Magallanes BIDS AND AWARDS COMMITTEE INVITATION TO BID The Barangay Guiasan, Municipality of Magallanes through its Bids and Awards Committee (BAC), invites potential and interested </t>
  </si>
  <si>
    <t xml:space="preserve"> Supply and delivery of various laboratory and radiology supplies and materials</t>
  </si>
  <si>
    <t xml:space="preserve"> Supply and Delivery of Airconditioning Unit</t>
  </si>
  <si>
    <t xml:space="preserve"> VILLAPAGASA, BANSUD NATIONAL HIGH SCHOOL</t>
  </si>
  <si>
    <t xml:space="preserve"> Supply and delivery of various drugs and medicines and, laboratory and dental supplies and materials for Rural Health Units of Capas, Tarlac</t>
  </si>
  <si>
    <t xml:space="preserve"> 10 SACKS SUGAR 30 CASES NOODLES 10 CASES SARDINES 150 KGS NATIVE COFFEE 20 PACKS PLASTIC BAGS MEALS AND SNACKS CAR RENTALS 500 PCS HANDSOAP</t>
  </si>
  <si>
    <t xml:space="preserve"> 1.	  12	-box	- 2.0mm2 THHN/TWHN-2 copper lead free Wire (150m/box, black color)	  - 3,500.00 2.	 4	-box	- 2.0mm2THHN/TWHN-2 copper Lead free Wire (150m/box, blue/white color)- 3,500.00 3.	 4	-box	- 2.0mm2THHN/TWHN-2 copper lead free Wire (150m/box,green/y</t>
  </si>
  <si>
    <t xml:space="preserve"> Republic of the Philippines Province of zamboanga Sibugay Municipality of Olutanga 7014 JUNE 3, 2020 NOTICE TO THE PUBLIC INVITIATION TO APPLY FOR ELIGIBILITY AND TO BID All interested bidders are invited to Pre-qualify and participate in sealed bidding f</t>
  </si>
  <si>
    <t xml:space="preserve"> PROCUREMENT OF GROCERY ITEMS, VIAND AND VEGETABLES, MNAO OF LGU-MAPANAS, NORTHERN SAMAR</t>
  </si>
  <si>
    <t xml:space="preserve"> Republic of the Philippines DEPARTMENT OF PUBLIC WORKS AND HIGHWAYS ANTIQUE  DISTRICT ENGINEERING OFFICE REGIONAL OFFICE VI San Jose, Antique INVITATION TO BID  The Department of Public Works and Highways, Antique District Engineering Office, San Jose, An</t>
  </si>
  <si>
    <t xml:space="preserve"> Republic of the Philippines  City of Canlaon Office of the Bids and Awards Committee  INVITATION TO BID FOR the Procurement of one unit Motorcycle The Local Government of Canlaon City, through Resolution No. 148, Ordinance  51, s. 2019- Continuing Appropr</t>
  </si>
  <si>
    <t xml:space="preserve"> 38 pcs Tablet, 8.0 Pie, 4-core, 32GB, 5100mAh 38 pcs Power Bank 10050mAh Lithium 2.4A/2 USB Output Powerbank 2 pcs Laptop Core i7 Core i7-9750H (2.6GHZ), 8GB, 1TB+128 M.2 SSD, 15.6FHD IPS, 4GB NO OOD, Win 10 Wifi, Cam, BT w/Trial Operating System and Anti</t>
  </si>
  <si>
    <t xml:space="preserve"> 24 SACKS RICE 15 CASES NOODLES 20 PACKS PLASTIC BAGS MEALS AND SNACKS CAR RENTALS</t>
  </si>
  <si>
    <t xml:space="preserve"> DESCRIPTION: Republic of the Philippines Province of Cebu MUNICIPALITY OF MEDELLIN  DRAFT TERMS OF REFERENCE (TOR) FOR THE PROPOSED CONSULTANCY SERVICES FOR CLUP &amp; CDP FORMULATION   I.	RATIONALE/BACKGROUND Medellin is a 2nd class municipality in the Provi</t>
  </si>
  <si>
    <t xml:space="preserve"> I. Reservoir Structure Excavation Concrete Works Rebar Works Fomworks &amp; Scaffoldings II. Deep Well Structure Excavation RCPC Fittings III. Pipe &amp; Fittings Clearing &amp; Grubbing Structure Excavation Backfilling &amp; Tamping Pipe Lay-out IV. Tapstand Solar Pump </t>
  </si>
  <si>
    <t xml:space="preserve"> NOTICE TO THE PUBLIC  REQUEST FOR QUOTATION AMP SVP NO: 20-06-0278A	              The University of the Philippines, Diliman (UPD) hereby informs the public that it will be procuring the following item/s through Small Value Procurement:   Qty/Unit	Item De</t>
  </si>
  <si>
    <t xml:space="preserve"> Procurement of Construction Materials for the Fabrication of Cadaver Niches Php 329,475.00</t>
  </si>
  <si>
    <t xml:space="preserve"> CITY MAYOR'S OFFICE -- 1 Lot Supply, deliver and installation of Testing and Server -- Terms and Conditions: 1. The supplier shall supply, deliver, install, test and make operational the Server Infrastructure and related accessories/equipment within 60 ca</t>
  </si>
  <si>
    <t xml:space="preserve"> Republic of the Philippines Province of Ilocos Norte Municipality of Paoay BIDS AND AWARDS COMMITTEE INVITATION TO BID 2020-012 Invitation to Bid for the Purchase of commonly used medical, dental and laboratory supplies to be use at the Rural Health Unit </t>
  </si>
  <si>
    <t xml:space="preserve"> 120 SACKS RICE 20 CASES NOODLES 50 SETS HYGIENE KIT MEALS ANCAR RENTALS CAR RENTALS</t>
  </si>
  <si>
    <t xml:space="preserve"> 1.   2  - units  - Slightly Used 4x2 Toyota Hi-Lux               - 1,500,000.00                         Model: 2017 0r 2018</t>
  </si>
  <si>
    <t xml:space="preserve"> METRO SIQUIJOR WATER DISTRICT BIDS &amp; AWARDS COMMITTEE Siquijor, Siquijor The Metro Siquijor Water District (MSWD) through the Bids &amp; Awards Committee (BAC) will be undertaking the here procurement of the hereunder project: Name of Project: Procurement of </t>
  </si>
  <si>
    <t xml:space="preserve"> I. GENERAL REQUIREMENTS II SITE PREPARATION/EXCAVATION WORKS III. FOUNDATION EXCAVATION  IV. CONCRETE WORKS A. FOUNDATION B COLUMN C ZOCALO D CONCRETE FLOORING V MASONRY WORKS VI STEEL ROOF BEAM FABRICATION/INSTALLATION VII. STEEL WORKS /ROOF FRAMING VIII</t>
  </si>
  <si>
    <t xml:space="preserve"> Republic of the Philippines Province of Ilocos Norte Municipality of Paoay BIDS AND AWARDS COMMITTEE INVITATION TO BID 2020-013 Invitation to Bid for the Purchase of commonly used drugs and medicines to be use at the Rural Health Unit 1.	The Municipal Gov</t>
  </si>
  <si>
    <t xml:space="preserve"> PROVINCIAL GOVERNMENT OF ISABELA Invitation to Bid for  Construction  of Rattan Processing Center Facility, Phase 1, Cabisera 10, City of Ilagan, Isabela  1.	The Provincial Government of Isabela, through the 2019-Re-programming intends to apply the sum of</t>
  </si>
  <si>
    <t xml:space="preserve"> 9 CASES SARDINES 35 CASES NOODLES 9 SACKS SUGAR 50 KGS NATIVE COFFEE 15 SACKS SALT 37 PACKS PLASTIC BAGS MEALS AND SNACK CAR RENTALS</t>
  </si>
  <si>
    <t xml:space="preserve"> INVITATION TO BID FOR THE SUPPLY AND DELIVERY OF MUSICAL INSTRUMENTS   1.	The City of Iloilo, through the Capital Outlay intends to apply the sum of Two Million Ninety-Nine Thousand Pesos (P2,099,000.00) being the Approved Budget for the Contract (ABC) to</t>
  </si>
  <si>
    <t xml:space="preserve"> All items and descriptions are specified in the attached PR and RFQ, and posted in the associated component of ITB in the PhilGEPS Website.</t>
  </si>
  <si>
    <t xml:space="preserve"> LOCATED AT POBLACION, BANSUD OR. MDO BY CONTRACT (LABOR, MATERIALS, EQUIPMENT)</t>
  </si>
  <si>
    <t xml:space="preserve"> Construction Of Multi-Purpose Building ,Covered Court - 18.00mm x 10.00; 2-5.00m per span; with Floor Area - 180.00m2; Removed and Replace existing slab; 0.40m elevation from NGL; with PWD Ramp and Railings (Painted Finish); Painted Plaster Finish at colu</t>
  </si>
  <si>
    <t xml:space="preserve"> Republic of the Philippines            Province of Isabela          MUNICIPALITY OF AURORA              -o0o-      INVITATION TO BID FOR THE CONSTRUCTION OF FLOOD CONTROL STONE MASONRY AT BANNAGAO, AURORA, ISABELA 1.	The Local Government Unit of Aurora, t</t>
  </si>
  <si>
    <t xml:space="preserve"> CTTMO  Traffic Uniform General Office Attire (GOA) Made to Order (see attached design)   Please see attached file/document on associated components or BAC website www.davaocityportal.com (BAC posting) for the complete descriptions, terms of conditions and</t>
  </si>
  <si>
    <t xml:space="preserve"> Republic of the Philippines            Province of Isabela          MUNICIPALITY OF AURORA              -o0o-      INVITATION TO BID FOR THE CONSTRUCTION OF OPEN DRAINAGE AT KALABAZA, SAN PEDRO-SAN PABLO, SAN ANDRES, BAGONG TANZA, SAN RAFAEL AND STA. RITA</t>
  </si>
  <si>
    <t xml:space="preserve"> PROVINCIAL GOVERNMENT OF ISABELA Invitation to Bid for  Construction  of Slope Protection at KM 8+945 to KM 8+969, Ilagan &amp; Divilacan, Isabela  1.	The Provincial Government of Isabela, through the EDF-AB-2020 intends to apply the sum of Four Million Nine </t>
  </si>
  <si>
    <t xml:space="preserve"> 1.	272 	- bags		- Portland Cement			- 285.00 2.	 36 		- lenghts	- 20mmØx 6.0 DSB			- 630.00 3.	142		- lenghts	-16mmØx 6.0 DSB			- 410.00 4.	331		- lengths	- 12mmØx6.0 DSB			- 218.00 5.	 57		- lengths	- 10mmØx6.0 DSB			- 155.00 6.	  9		-  pcs.	- Hacksaw Bl</t>
  </si>
  <si>
    <t xml:space="preserve"> MUSEO DABAWENYO  1 1 Unit/s Vehicles, Brand new, 4 x 2, manual Transmission with Aircon, Four Wheels, Three (3) Doors, Single cab, Pick-up, Hilux 2.4L, 4 x 2 FX-HSPU MT w/ REAR AC Type at least 2.4L Diesel, 4-cylinder, 16 valve DOHC Variable Nozzle Turbo </t>
  </si>
  <si>
    <t xml:space="preserve"> Various Food and Non Food Supplies, Equipment and Office Supplies</t>
  </si>
  <si>
    <t xml:space="preserve"> CMO/PSSCC  1 2 Units Airconditioner (split type) floor mounted inverter 5TR with 20ft. Pipe run installation with platform/bracket, circuit breaker, PVC drain hose, power connection with 1 year warranty of all parts and services, 5 years warranty on compr</t>
  </si>
  <si>
    <t xml:space="preserve"> Republic of the Philippines Province of Misamis Oriental Local Government Unit of Claveria Invitation to Bid for  Procurement for the  construction of  multi-purpose  building at Sitio Daruca, Poblacion The Local Government Unit of Claveria, through the b</t>
  </si>
  <si>
    <t xml:space="preserve"> *  CMO/CENTRAL 911 1 2 Unit/s RESCUE UTILITY TRAILER  Specifications: Dimensions:     Overall Length: 520 cm     Overall Width: 210 cm     Overall Height: 240 cm Chassis: Customized Steel C Channel Bar Frame, A Frame, Hor. Members Body Frame: Square Tube </t>
  </si>
  <si>
    <t xml:space="preserve"> PROVINCIAL GOVERNMENT OF ISABELA Invitation to Bid for  Construction  of Slope Protection at KM 10+860 to KM 10+990, Ilagan &amp; Divilacan, Isabela  1.	The Provincial Government of Isabela, through the EDF-AB-2020 intends to apply the sum of Nine Hundred Fiv</t>
  </si>
  <si>
    <t xml:space="preserve"> 8 CS SARDINES 8 CS NOODLES 5 CS DETERGENT BAR 2 SACKS SUGAR 10 KGS COFFEE 1 CS TOOTHPASTE 10 PACKS PLASTIC BAGS MEALS AND SNACKS CAR RENTALS</t>
  </si>
  <si>
    <t xml:space="preserve"> New Brgy. Road Construction to include: 1. Gravelling and levelling of road surface, 2. Excavation, 3. Grouted Riprap</t>
  </si>
  <si>
    <t xml:space="preserve"> Concrete of Drainage System Concrete box culvert=107 L.m RCPC= 200L.m. w/manhole</t>
  </si>
  <si>
    <t xml:space="preserve"> The work includes construction of concrete ground cylindrical reservoir (3, gals. capacity) with complete pipe fittings and accessories including control box with steel cover and painted as per approved plans and specs.</t>
  </si>
  <si>
    <t xml:space="preserve"> Excavation Gravel Fill Structural Concrete Masonry Roofing Plumbing Doors And Windows Tiles Painting Hardware Materials</t>
  </si>
  <si>
    <t xml:space="preserve"> CITY MAYOR'S OFFICE  1 1 Lot Plastic Tables and Chairs for various barangays and City Offices 3010 Piece/s  Monoblock, Original Plastic Chair, White, heavy duty, good quality      3 Months Warranty  515 Piece/s    Monoblock, Original Plastic Table, 32x32,</t>
  </si>
  <si>
    <t xml:space="preserve"> Improvement of Barangay Road to include: 1. Roadway Preparation, 2. Concrete Pavement</t>
  </si>
  <si>
    <t xml:space="preserve"> CITY ENGINEER'S OFFICE &gt;&gt;&gt;   Please see attached file/document on associated components or BAC website www.davaocityportal.com (BAC posting) for the complete descriptions, terms of conditions and terms of references.   Bidding will be conducted through op</t>
  </si>
  <si>
    <t xml:space="preserve"> Invitation to Bid for ROAD CONCRETING AT POBLACION, PASACAO, CAM. SUR 1.	The Local Government Unit of Pasacao, through the Twenty Percent (20%) Local Development Fund CY 2020  intends to apply the sum of One million Four Hundred Ninety Nine Thousand Nine </t>
  </si>
  <si>
    <t xml:space="preserve"> I. Mobilization II. CSHP III. Project Billboard IV. Masonry Works V. Roof Framing VI. Plumbing Works VII. Carpentry Works VIII. Forms and Scaffolding IX. Electrical X. Windows XI. Painting Works Labor</t>
  </si>
  <si>
    <t xml:space="preserve"> Republic of the Philippines                                                              Municipality of Tagoloan                                                      PROVINCE OF MISAMIS ORIENTAL                                                            </t>
  </si>
  <si>
    <t xml:space="preserve"> Department of Education Region VI-Western Visayas Division of Cadiz City Mabini National High School INVITATION TO BID FOR THE PROCUREMENT OF MATERIALS FOR OFFICE SUPPLIES OF MNHS-SHS 2020 1.	The Mabini National High School  of Cadiz City, through the Sch</t>
  </si>
  <si>
    <t xml:space="preserve"> Water Source (Drilling); Installation of Water Pumping System 1- (Pumping Station 1.6m x 1.6m); Installation of Ground Tank Concrete Reservoir – (3.0x3.0x3.5)M, Installation of 1 – electrical post with accessories; Installation of Pipes and Fittings</t>
  </si>
  <si>
    <t xml:space="preserve"> CITY HEALTH OFFICE  1 6 Unit/s Bed, steel frame with mattress, Bed size: single, Mattress Size: 36" x 75", durable, good quality  2 60 Unit/s Bench, individual seater, made of fiber/steel, 4-seater, durable, good quality  3 10 Unit/s Dining Set, 6-seater,</t>
  </si>
  <si>
    <t xml:space="preserve"> The Bids and Awards Committee (BAC) of the BARANGAY BUENAVISTA Castilla, Sorsogon invites qualified contractor’s to bid for the project: The Procurement process of the afore-mentioned projects will be conducted by this Bids and Awards Committee (BAC) in a</t>
  </si>
  <si>
    <t xml:space="preserve"> PROVINCIAL GOVERNMENT OF ISABELA Invitation to Bid for  Construction  of Nanaguan Bridge, Brgy. Nanaguan, City of Ilagan, Isabela  1.	The Provincial Government of Isabela, through the EDF-2019 Re-programing intends to apply the sum of Five Million Eight H</t>
  </si>
  <si>
    <t xml:space="preserve"> Barangay  Conrazon, Bansud Oriental Mindoro Concreting of 70L.m Road,width=4m,thickness=200mm (8 inch) installation of RCPC, Road shoulder Slope Protection woth 1m road shoulder bothsides</t>
  </si>
  <si>
    <t xml:space="preserve"> CEO/MOTORPOOL DIVISION &gt;&gt;   Please see attached file/document on associated components or BAC website www.davaocityportal.com (BAC posting) for the complete descriptions, terms of conditions and terms of references.   Bidding will be conducted through ope</t>
  </si>
  <si>
    <t xml:space="preserve"> Water Source (Drilling); Installation of Water Pumping System 1- (Pumping Station 1.6m x 1.6m) Well drilling 90m depth; Installation of Overhead Tank (Concrete) (2.5x2.5x2.5)M – 8MHT, Installation of 1 – Transformer w/complete accessories; Installation of</t>
  </si>
  <si>
    <t xml:space="preserve"> Located at Villa Pag-asa, Bansud Oriental Mindoro Construction and Rehabilitation of Climate Resilient Roads and Bridges</t>
  </si>
  <si>
    <t xml:space="preserve"> Water Source (Drilling); Installation of Water Pumping System 1- (Submersible Pump) Installation of Steel Tank – 4000 Liter Capacity; Installation of Pipes and Fittings</t>
  </si>
  <si>
    <t xml:space="preserve"> Completion of 2 storey Academic Building. This includes, Painting works, Network Cabling, Generator Sets and Power House, Air-condition Units, Firehose Cabinets, Fire Extinguisher, Concrete Cladding and Accent Wall and Electrical Wall</t>
  </si>
  <si>
    <t xml:space="preserve"> 1	LOT	Supply, Delivery and Installation of Furniture and Fixtures for the Completion of 2-Storey Academic Building 2 at BPSU Abucay Campus					 		[14 UNITS] Faculty Workstations with Mobile Pedestal					 		Full fabric partition 1200mm height aluminum in p</t>
  </si>
  <si>
    <t xml:space="preserve"> INVITATION TO BID PROCUREMENT OF CONSTRUCTION MATERIALS FOR CONCREING OF MUNICIPAL ROAD AT NGILEB, ALFONSO LISTA, IFUGAO 1.	The Local Government Unit Alfonso Lista, Ifugao through the 20% Development Fund 2020 intends to apply the sum of One Million Three</t>
  </si>
  <si>
    <t xml:space="preserve"> Republic of the Philippines PROVINCE OF QUIRINO Cabarroguis -oOo- BIDS AND AWARDS COMMITTEE INVITATION TO BID FOR  Rehabilitation of Rizal – Villa Pascua Road Contract No. PB-CW-2020-017 							June 4, 2020 1.	The Bids and Awards Committee (BAC) of the Pr</t>
  </si>
  <si>
    <t xml:space="preserve"> Construction Safety and Health Masonry Works (Plastering) Tile Works Electrical Works Painting Works Steel Works</t>
  </si>
  <si>
    <t xml:space="preserve"> 2nd INVITATION TO APPLY FOR ELIGIBILITY AND TO BID (IAEB)   The Municipality of Molave, Zamboanga del Sur, through its Bids and Awards Committee, invites suppliers/distributors to apply for eligibility and to bid for the rebidding of the hereunder project</t>
  </si>
  <si>
    <t xml:space="preserve"> Republic of the Philippines                                                              Municipality of Tagoloan                                                        PROVINCE OF MISAMIS ORIENTAL                                                          </t>
  </si>
  <si>
    <t xml:space="preserve"> 1.	 20	- Bots.		- Ambroxol 15mg/5ml, syrup 60ml		- 27.00 2.	 20	- bots		- Ambroxol 30mg/5ml, syrup 60ml		- 27.00 3.	 50	- bots		- Amoxicillin 100/ml,10ml			- 22.00 4.	200	- vial		- Ampicillin 500mg tab 100’s			- 30.00 5.	1,000	- tab		- Ascorbic Acid 500mg</t>
  </si>
  <si>
    <t xml:space="preserve"> 100-Gals.-Alcohol</t>
  </si>
  <si>
    <t xml:space="preserve"> CENRO-GEN ADMIN &gt;&gt;&gt;&gt;   Please see attached file/document on associated components or BAC website www.davaocityportal.com (BAC posting) for the complete descriptions, terms of conditions and terms of references.   Bidding will be conducted through open com</t>
  </si>
  <si>
    <t xml:space="preserve"> CSSDO  1 2516 Piece/s Gift check Certificate worth P 1,000.00 (High School Students)  2 224 Piece/s Gift check Certificate worth P 700.00 (Elementary Students) * To purchase school supplies and school uniforms   Please see attached file/document on associ</t>
  </si>
  <si>
    <t xml:space="preserve"> 500-pax-Meals</t>
  </si>
  <si>
    <t xml:space="preserve"> DEPARTMENT OF PUBLIC WORKS AND HIGHWAYS Contract ID:	20CSGB01 Contract Name:	CONDUCT OF GEOTECHNICAL INVESTIGATION FOR FY 2021 INFRASTRUCTURE PROJECTS  Contract Location: PROVINCE OF ANTIQUE ________________________________________ ANTIQUE DISTRICT ENGINE</t>
  </si>
  <si>
    <t xml:space="preserve"> Davao City Treatment &amp; Rehabilitation Center &gt;&gt;&gt;   Please see attached file/document on associated components or BAC website www.davaocityportal.com (BAC posting) for the complete descriptions, terms of conditions and terms of references.   Bidding will b</t>
  </si>
  <si>
    <t xml:space="preserve"> Republic of the Philippines PROVINCE OF QUIRINO Cabarroguis -oOo- BIDS AND AWARDS COMMITTEE INVITATION TO BID FOR  Rehabilitation of Diffun – Liwayway - Sitio Pallutan Road Contract No. PB-CW-2020-018 							June 4, 2020 1.	The Bids and Awards Committee (</t>
  </si>
  <si>
    <t xml:space="preserve"> 900 SACKS OF RICE 70 CS NOODLES 35 CS SARDINES 85 PACKS SANDO BAG MEALS AND SNACK CARGO TRUCK RENTALS 15 GALS DISINFECTANTS</t>
  </si>
  <si>
    <t xml:space="preserve"> Concreting of Additional 2 lanes (2 into 4 lanes, 280mm thk.) – existing width 6.70, with additional 2 lanes total width 13.40 Roadway Excavation - Common Surplus Excavation Construction of Slope Protection (Grouted Riprap) Construction of Concrete Lined </t>
  </si>
  <si>
    <t xml:space="preserve"> Republic of the Philippines PROVINCE OF QUIRINO Cabarroguis -oOo- BIDS AND AWARDS COMMITTEE INVITATION TO BID FOR  Improvement of Processing Center of Quirino Coffee Enterprise Contract No. PB-CW-2020-020 							June 4, 2020 1.	The Bids and Awards Committ</t>
  </si>
  <si>
    <t xml:space="preserve"> Republic of the Philippines PROVINCE OF QUIRINO Cabarroguis -oOo- BIDS AND AWARDS COMMITTEE INVITATION TO BID FOR  Rehabilitation of Maria Clara-San Isidro Road Contract No. PB-CW-2020-016 							June 4, 2020 1.	The Bids and Awards Committee (BAC) of the </t>
  </si>
  <si>
    <t xml:space="preserve"> Republic of the Philippines                                                  PROVINCE OF MISAMIS ORIENTAL                                                         Municipality of Tagoloan                                                           INVITATION</t>
  </si>
  <si>
    <t xml:space="preserve"> Installation of Water Pumping System 1- (Pumping Station 1.6mx1.6m) Well Drilling 8”Ø 90m depth; 1-15KVA Transformer, 1-Electrical post with accessories; 1-3HP submersible pump w/accessories</t>
  </si>
  <si>
    <t xml:space="preserve"> Activities	Schedule 1. First Day of Issuance of Bid Documents: June 4, 2020 2. Last day of Issuance of Bid Documents: June 16, 2020 @ 2:00 PM 3. Last day of Submission and Opening of Bids: June 16, 2020 @ 2:00 PM</t>
  </si>
  <si>
    <t xml:space="preserve"> Opening with graveling (width = 6.00m., thk. = 200mm) Roadway Excavation - Common Surplus Excavation - Surplus Rock Excavation (Soft) Construction of Minor Drainage Structures</t>
  </si>
  <si>
    <t xml:space="preserve"> Procurement of Office Supplies use for PMTO office.</t>
  </si>
  <si>
    <t xml:space="preserve"> Construction of covered court, three 3 bay only. Thus includes floor Slab (16m x 30m) and painting works (on steel, masonry and concrete)</t>
  </si>
  <si>
    <t xml:space="preserve"> SANGGUNIANG PANLUNGSOD &gt;&gt;&gt;&gt;   Please see attached file/document on associated components or BAC website www.davaocityportal.com (BAC posting) for the complete descriptions, terms of conditions and terms of references.   Bidding will be conducted through o</t>
  </si>
  <si>
    <t xml:space="preserve"> Water Source (Drilling); Installation of Water Pumping System 1- (Pumping Station 1.6m x 1.6m); Installation of Overhead Tank (Concrete) (2.5x2.5x2.5)M – 8MHT, Installation of 1 – Transformer w/complete accessories; Installation of Pipes and Fittings</t>
  </si>
  <si>
    <t xml:space="preserve"> Contract ID			:	20EG0091					 Contract Name  			:	Repair and Maintenance of Road Safety Facilities along National Roads					 Contract Location			:	K0000+000 - K0000+579.20, Puerto Princesa South Road (S00040PW) and K0000+017.50-					 				K0000+162, Puerto</t>
  </si>
  <si>
    <t xml:space="preserve"> Asphalt Overlay (width = 13.40m., thk. = 50mm) Application of Reflectorized Thermoplastic Pavement Markings Installation of Pavement Stud Markers</t>
  </si>
  <si>
    <t xml:space="preserve"> SANGGUNIANG PANLUNGSOD 1 31,127 Liter/s Diesel 5 2 24,070 Liter/s Gasoline Period of Delivery: Third (3rd) Quarter 2020 Terms and Condition: * Gasoline Station must be along Monteverde Ave. and Ramon Magsaysay Street., Davao City All quoted prices shall b</t>
  </si>
  <si>
    <t xml:space="preserve"> Republic of the Philippines Province of Cagayan Municipality of Piat -o0o- OFFICE OF THE BIDS AND AWARDS COMMITTEE (BAC) “INVITATION TO BID FOR CONSTRUCTION OF REITAINING WALL AT BAUNG, PIAT, CAGAYAN” The Local Government Unit of Piat through the CY2020 M</t>
  </si>
  <si>
    <t xml:space="preserve"> Construction of Stone Masonry Retaining Wall Roadway Excavation - Common Surplus Excavation - Surplus Rock Excavation (Soft) Construction of Concrete Lined Canal</t>
  </si>
  <si>
    <t xml:space="preserve"> Scope of Work		:	This project covers the Asphalt Overlay along intermittent  					sections of Mactan Circumferential Road</t>
  </si>
  <si>
    <t xml:space="preserve"> Republic of the Philippines PROVINCE OF QUIRINO Cabarroguis -oOo- BIDS AND AWARDS COMMITTEE INVITATION TO BID FOR  Improvement of Processing Center of Quirino Banana Enterprise Contract No. PB-CW-2020-019 							June 4, 2020 1.	The Bids and Awards Committ</t>
  </si>
  <si>
    <t xml:space="preserve"> 1	LOT	Lecture Rooms Equipment (see attached bidding form for items included in the lot) 1	LOT	Agricultural and Biosystems Engineering Processing Equipment and Instruments (see attached bidding form for items included in the lot) 1	LOT	Agricultural and Bio</t>
  </si>
  <si>
    <t xml:space="preserve"> INVITATION TO BID  for  Supply and Delivery of One (1) unit Brand New 6 x 4 x 10-Wheeler, 32 ft. Truck Chassis Mounted with 32 x 8 x 8 footer Wing Van Body, with 33,000kgs. G.V.M. Rating, 420 PS, Diesel Turbo Charged Intercooled, 4 Cycle Vertical, 6 Cylin</t>
  </si>
  <si>
    <t xml:space="preserve"> 1	unit	Ambulance with Municipal &amp; DRR LOGO   		  Specifications:  		Model     1 GD-FTV  		Engine Technology  4 Cylinders, In line Type  		Type    16 Valve DOHC  		Displacement  cc     2.755  		Maximum Output Ps/Rpm 176/3,400  		Maximum Torque Nm/Rpm 420/1</t>
  </si>
  <si>
    <t xml:space="preserve"> 400 PACKS RELIEF GOODS</t>
  </si>
  <si>
    <t xml:space="preserve"> Asphalt Overlay (width = 6.70m., thk. = 50mm) Application of Reflectorized Thermoplastic Pavement Markings Installation of Pavement Stud Markers</t>
  </si>
  <si>
    <t xml:space="preserve"> Concreting (width = 6.10m., thk. = 230mm) Roadway Excavation - Embankment from Borrow (Common Soil) Construction of Slope Protection (Grouted Riprap) Construction of Concrete Lined Canal and Other Minor Drainage Structures Application of Reflectorized The</t>
  </si>
  <si>
    <t xml:space="preserve"> Construction of complete Mini Gym including electrical &amp; painting works</t>
  </si>
  <si>
    <t xml:space="preserve"> Sangguniang Panlungsod  1 8818 Liters Diesel  2 9749 Liters Gasoline  Period of Delivery: Third (3rd) Quarter 2020 TERMS and CONDITION Gasoline Station must be along Mintal National Highway   Please see attached file/document on associated components or B</t>
  </si>
  <si>
    <t xml:space="preserve"> 110	bags	 40 kg. Portland Cement 11	cu.m. Crushed Sand 12	cu.m. 3/4 " dia. crushed Gravel 112	lgth.	10 mm.dia.x 6.0 m. def. std. bar 16	kls.	# 16 Tie Wire 5	pcs.	100 mm Ø x 0.40 m.  G.I. Nipple 5	pcs.	100 mm Ø x 0.20 m.  G.I. Nipple 5	pcs.	100 mm Ø x 45 °</t>
  </si>
  <si>
    <t xml:space="preserve"> Installation of Gabions and mattresses</t>
  </si>
  <si>
    <t xml:space="preserve"> VICE MAYOR  1 20,000 Liter/s Diesel  2 9,446 Liter/s Gasoline Period of Delivery: Third (3rd) Quarter 2020 Terms and Condition: Gasoline Station must be along Mc Arthur Highway Matina, Davao City and not more than 2.0 kilometers from City Hall and SP Buil</t>
  </si>
  <si>
    <t xml:space="preserve"> SANGGUNIANG PANLUNGSOD  1 28,454 Liter/s Diesel  2 18,207 Liter/s Gasoline Period of Delivery: Third (3rd) Quarter 2020 Terms and Condition: Gasoline Station must be along Mc Arthur Highway Matina, Davao City and not more than 2.0 kilometers from City Hal</t>
  </si>
  <si>
    <t xml:space="preserve"> Scope of Work		:	This project covers epoxy coating on cracks and protection at bridge columns</t>
  </si>
  <si>
    <t xml:space="preserve"> Reblocking</t>
  </si>
  <si>
    <t xml:space="preserve"> Construction of covered court with stage and dressing room. This includes painting works on stage, electrical works on stage and covered court</t>
  </si>
  <si>
    <t xml:space="preserve"> Construction of complete covered court with court slab, painting works (on steel, masonry and concrete), electrical works, movable type basketball goal w/fiber glass board and rubberized basketball court (use exterior pain)</t>
  </si>
  <si>
    <t xml:space="preserve"> 80 SACKS RICE MEALS AND SNACKS CARGO TRUCK RENTALS REAGENTS/HYGIENE KITS</t>
  </si>
  <si>
    <t xml:space="preserve"> Republic of the Philippines Province of Misamis Occidental MUNICIPALITY OF CALAMBA INVITATION TO BID FOR PROCUREMENT OF MATERIALS FOR TEMPORARY HOLDING FACILITY  	June 4, 2020 1.	The Municipality of Calamba, Misamis Occidental, through the BGCM  intends t</t>
  </si>
  <si>
    <t xml:space="preserve"> Construction of Multi-Purpose Building., (Municipal Gym) 3rd Phase, Including Structural Steel Works, Roofing Works, Masonry Works, Reinforced Concrete Works, Plumbing Works with Septic Vault and Electrical Works</t>
  </si>
  <si>
    <t xml:space="preserve"> Completion of Multi-Purpose Building (Stage) with reinforced concrete, cement plaster finish, finishing hardware, painting masonry, structural steel (roofing), and electrical works.</t>
  </si>
  <si>
    <t xml:space="preserve"> School Forms SHS for teachers use</t>
  </si>
  <si>
    <t xml:space="preserve"> Republic of the Philippines Province of Eastern Samar Municipality of Mercedes BARANGAY SUNG-AN OFFICE OF THE BIDS AND AWARDS COMMITTEE (BAC) INVITATION TO BID # 2020-002  Invitation to Bid for the Proposed Continuing Construction of Cultural Stage 1.	The</t>
  </si>
  <si>
    <t xml:space="preserve"> 35 SACKS RICE 50 KGS DRIED FISH 20 CS NOODLES MEALS AND SNACKS CARGO TRUCK RENTALS</t>
  </si>
  <si>
    <t xml:space="preserve"> Improvement NNCHS Gym with cement plaster finish, painting works, court wood tiles, construction of rooms w/doors and windows, waterlines, electrical works, repair of fascia frame and roof w/ reflective insulation and transformer</t>
  </si>
  <si>
    <t xml:space="preserve"> PURCHASE OF BRGY. AMBULANCE VEHICLE</t>
  </si>
  <si>
    <t xml:space="preserve"> Republic of the Philippines Province of South Cotabato BIDS AND AWARDS COMMITTEE Salada Street, Poblacion Tupi, South Cotabato Tel. Fax No.: (083) 226-1045 INVITATION TO BID FOR THE SUPPLY AND DELIVERY OF ONE (1) UNIT AMBULANCE WITH COMPLETE ACCESSORIES (</t>
  </si>
  <si>
    <t xml:space="preserve"> Construction of 2 Storey Building (Health Center) and Completion of Nutrition Center</t>
  </si>
  <si>
    <t xml:space="preserve"> Construction of complete two (2) storey multi-purpose building (Legislative Building)</t>
  </si>
  <si>
    <t xml:space="preserve"> Construction of Multi-Purpose Building (Stage and Bleacher (1-3.2m x 12m) with reinforced concrete, cement plaster finish, finishing hardware, painting masonry and electrical works</t>
  </si>
  <si>
    <t xml:space="preserve"> Local Government Unit, Moalboal, Cebu	          Contract Reference No. :			                                                                            	         Name of Contract: Repair of Gov’t Vehicle with Plate  									No. : SJC 540 Standard Form:  S</t>
  </si>
  <si>
    <t xml:space="preserve"> INVITATION TO BID FOR  SUPPLY &amp; DELIVERY OF VARIOUS CONSTRUCTION MATERIALS FOR THE DEVELOPMENT OF VILLASIS ECO PARK RESORT AND EVACUATION CENTER COMPLEX CONSTRUCTION OF STEEL FENCE  BRGY. UNZAD, VILLASIS, PANGASINAN 1.	The Local Government of Villasis, Pa</t>
  </si>
  <si>
    <t xml:space="preserve"> Concreting of Brgy. Hall,Brgy. Coline-Alimodian Iloilo</t>
  </si>
  <si>
    <t xml:space="preserve"> Construction of Mini Gym,Brgy. Tugaslon,Alimodian Iloilo</t>
  </si>
  <si>
    <t xml:space="preserve"> 1. FB BODY VAN W/ DUAL AIRCON	……………………………………………………. 5 units Performance &amp; Safety:  	  Dimensions:				 Overall Length: 4260mm				 Overall Width: 1695mm				 Overall Height: 1895mm				 Wheelbase:2350mm				 Tread Front/Rear: 1440/1380mm				 Ground Clearance: </t>
  </si>
  <si>
    <t xml:space="preserve"> Student ID SHS for students use</t>
  </si>
  <si>
    <t xml:space="preserve"> Republic of the Philippines Province of Eastern Samar Municipality of Mercedes BARANGAY SUNG-AN OFFICE OF THE BIDS AND AWARDS COMMITTEE (BAC) INVITATION TO BID # 2020-001  Invitation to Bid for the Proposed Water Pipe Expansion 1.	The BLGU – SUNG-AN, MERC</t>
  </si>
  <si>
    <t xml:space="preserve"> Construction of complete MPB (Barangay Health Station). Including plumbing works w/fixtures, tile works, painting works, railings and electrical works</t>
  </si>
  <si>
    <t xml:space="preserve"> INVITATION TO BID FOR  SUPPLY &amp; DELIVERY OF VARIOUS CONSTRUCTION MATERIALS FOR THE CONSTRUCTION OF DRAINAGE SYSTEM   BRGY. CARAMUTAN, VILLASIS, PANGASINAN 1.	The Local Government of Villasis, Pangasinan, thru 20% devt Fund, intends to apply the sum of Thr</t>
  </si>
  <si>
    <t xml:space="preserve"> Construction of MPB (Health Center) Including earthworks, reinforced concrete works, masonry works, roofing works, tile works, doors and windows, plumbing works w/septic vault and electrical works. No painting works</t>
  </si>
  <si>
    <t xml:space="preserve"> Improvement of Multi-Purpose Pavement,Brgy. Ban-ag, Alimodian Iloilo</t>
  </si>
  <si>
    <t xml:space="preserve"> INVITATION TO BID FOR  SUPPLY &amp; DELIVERY OF VARIOUS CONSTRUCTION MATERIALS FOR THE CONST. OF MULTI-PURPOSE HALL (RENOVATION OF BRGY. HEALTH CENTER)  BRGY. CAPULAAN, VILLASIS, PANGASINAN 1.	The Local Government of Villasis, Pangasinan, thru 20% dev’t fund,</t>
  </si>
  <si>
    <t xml:space="preserve"> Improvement of Multi-Purpose Building (Stage and Bleacher) with reinforced concrete, cement plaster finish, finishing hardware, painting masonry and electrical works</t>
  </si>
  <si>
    <t xml:space="preserve"> Republic of the Philippines PROVINCE OF SIQUIJOR Capitol, Bldg., Pulangyuta, Siquijor, Siquijor INVITATION TO BID FOR Supply and Delivery of Various Medical Supplies 1.	The Province of Siquijor, through the IPHO Non-Office Bayanihan Grant to Prov. 200-502</t>
  </si>
  <si>
    <t xml:space="preserve"> INVITATION TO BID (CW-06-2020-017) The Department of Public Works and Highways (DPWH)-Batangas IV District Engineering Office, Marawoy, Lipa City, Batangas, through its Bids and Awards Committee (BAC), invites contractors to bid for the contract listed be</t>
  </si>
  <si>
    <t xml:space="preserve"> Rehabilitation of Multi-Purpose Building: plumbing fixtures, ddors, glass and glazing, toilet tiles (floor and wall), including railings and ceiling works, and complete painting works (interior and exterior) and electrical works</t>
  </si>
  <si>
    <t xml:space="preserve"> Local Government Unit, Moalboal, Cebu	          Contract Reference No. :			                                                                            	         Name of Contract: Biologics for Veterinary Outreach 									Program Standard Form:  SF-GOODS-</t>
  </si>
  <si>
    <t xml:space="preserve"> INVITATION TO BID FOR  SUPPLY &amp; DELIVERY OF VARIOUS CONSTRUCTION MATERIALS FOR THE CONSTRUCTION OF MULTI-PURPOSE HALL (PHASE I)  POBLACION ZONE III, VILLASIS, PANGASINAN 1.	The Local Government of Villasis, Pangasinan, thru 20% dev’t fund, intends to appl</t>
  </si>
  <si>
    <t xml:space="preserve"> Concreting of Kawayan St. (from Sampaguita Ave. - Gumamela St.)</t>
  </si>
  <si>
    <t xml:space="preserve"> PHILIPPINE BIDDING DOCUMENTS (As Harmonized with Development Partners) Procurement for  CONSTRUCTION OF LOCAL ACCESS ROAD TO SANITARY LANDFILL BRGY. KALYAAT LUCBAN, QUEZON BIDDING Government of the Republic of the Philippines Fourth Edition   Preface Thes</t>
  </si>
  <si>
    <t xml:space="preserve"> INVITATION TO BID FOR THE REBIDDING ON THE PROVISION OF LABOR, MATERIALS, EQUIPMENT AND OTHER INCIDENTALS NEEDED FOR THE IMPROVEMENT OF TAGUIPORO GRANDE DIVERSION DAM (DD) AT BRGY. TAGUIPORO GRANDE, BANGUI, ILOCOS NORTE 1.	The Department of Agriculture Re</t>
  </si>
  <si>
    <t xml:space="preserve"> INVITATION TO BID FOR  SUPPLY &amp; DELIVERY OF VARIOUS CONST. MATERIALS FOR THE DEVELOPMENT OF VILLASIS ECO PARK RESORT &amp; EVACUATION CENTER COMPLEX CONST. OF CHB FENCE, ACCESS ROAD TO RHU, RETAINING WALL, DRAINAGE SYSTEM  BRGY. UNZAD, VILLASIS, PANGASINAN 1.</t>
  </si>
  <si>
    <t xml:space="preserve"> Improvement of MPB (Brgy. Hall) with painting works (including Site Development)</t>
  </si>
  <si>
    <t xml:space="preserve"> INVITATION TO BID FOR THE REBIDDING ON THE PROVISION OF LABOR, MATERIALS, EQUIPMENT AND OTHER INCIDENTALS NEEDED FOR THE IMPROVEMENT OF BARCELONA DIVERSION DAM INTAKE STRUCTURE AND CANAL LINING AT BRGY. BARCELONA, SOLSONA, ILOCOS NORTE 1.	The Department o</t>
  </si>
  <si>
    <t xml:space="preserve"> Republic of the Philippines Region XII Province of Cotabato Municipality of Aleosan  INVITATION TO BID FOR THE Supply and Delivery of Construction Materials for the Construction of 3 units Solar Dryer June 4, 2020 1.	The Local Government Unit of Aleosan t</t>
  </si>
  <si>
    <t xml:space="preserve"> 1. 30,000 pack - Powdered Milk Drink (300 grams) (Fortified Filled Milk, With Vitamins, A, C, D, Iron and Zinc)</t>
  </si>
  <si>
    <t xml:space="preserve"> Construction of Structural Concretes, Roof Framing and Roofing</t>
  </si>
  <si>
    <t xml:space="preserve"> INVITATION TO BID FOR  SUPPLY &amp; DELIVERY OF VARIOUS CONSTRUCTION MATERIALS FOR THE CONCRETING OF FARM TO MARKET ROAD LIBTONG ROAD 1  BRGY. CARAMUTAN, VILLASIS, PANGASINAN 1.	The Local Government of Villasis, Pangasinan, thru TET 2016, intends to apply the</t>
  </si>
  <si>
    <t xml:space="preserve"> Concreting of Molave St. (from Lawaan St. - Kawayan St.)</t>
  </si>
  <si>
    <t xml:space="preserve"> 1. The Municipal Government of Sta. Cruz, through its General Fund intends to apply the sum of One Million Nine Hundred Ninety Nine Thousand Nine Hundred Seventy-Nine Pesos and 56/100 (P1,999,979.56) being the Approved Budget for the Contract (ABC) to pay</t>
  </si>
  <si>
    <t xml:space="preserve"> Concreting (width = 6.10m., thk. = 280mm) Concreting (width = 5.00m., thk. = 230mm) Roadway Excavation - Common Surplus Excavation Construction and Removal of Minor Drainage Structures</t>
  </si>
  <si>
    <t xml:space="preserve"> Republic of the Philippines PROVINCE OF NORTHERN SAMAR BIDS AND AWARDS COMMITTEE Catarman Contracting of Security Services (Blue Guards) for Twelve Months Province of Northern Samar NS-06-04-20 1.	The Provincial Government of Northern Samar, through the S</t>
  </si>
  <si>
    <t xml:space="preserve"> 16-20-0	2,650	bags 		 Insecticides (100ml)	1,500	bottles 		 Fungicides (500 g)	943	packs</t>
  </si>
  <si>
    <t xml:space="preserve"> Rehabilitation of 7.0m x 24.0m senior citizen with concrete works, roofing sheets &amp; accessories, painting &amp; plastering and steel works</t>
  </si>
  <si>
    <t xml:space="preserve"> CID No. 20IC0063:  Const. of Hospital Building, Schistosomiasis Control and Research Institute, Palo, Leyte;  ABC: P16,660,000.00; 164 CD ACTIVITY	TIME	PLACE 1.  Issuance/Downloading of       Bidding Documents	June 3 – 23, 2020	Hard copies at BAC Secretar</t>
  </si>
  <si>
    <t xml:space="preserve"> Contract ID		:	20GM0071 Contract Name	:	Concreting of Sitio Batbat to Sitio Tis-an, Brgy. Isio FMR, Brgy. Isio, Cauayan, Negros Occidental Location of the Contract:    	Brgy. Isio Cauayan, Negros Occidental ________________________________________________</t>
  </si>
  <si>
    <t xml:space="preserve"> Republic of the Philippines DEPARTMENT OF AGRICULTURE Regional Field Office IX Zamboanga Peninsula 		 INVITATION TO BID  ITB NO. 05-0013-20 SUPPLY AND DELIVERY OF HAULING TRUCK LOT 1: TWO (2) UNITS HAULING TRUCK (ALUMINUM VAN TYPE) LOT 2: ONE (1) UNIT HAU</t>
  </si>
  <si>
    <t xml:space="preserve"> Construction of covered court two (2) bay only, painting works (on steel, masonry and concrete), electrical works and construction and stage (6m x 12m) w/electrical and painting works (On steel Masonry and Concrete)</t>
  </si>
  <si>
    <t xml:space="preserve"> Concreting (width = 5.00m., thk. = 230mm) Roadway Excavation - Common Surplus Excavation Construction of Minor Drainage Structures</t>
  </si>
  <si>
    <t xml:space="preserve"> Consultancy Services for the Geotechnical Investigation for Bridge &amp; Flood Control Projects</t>
  </si>
  <si>
    <t xml:space="preserve"> INVITATION TO BID FOR  SUPPLY &amp; DELIVERY OF VARIOUS CONSTRUCTION MATERIALS FOR THE CONCRETING OF FARM TO MARKET ROAD CONNECTING LIBTONG ROAD 1&amp;2  BRGY. CARAMUTAN, VILLASIS, PANGASINAN 1.	The Local Government of Villasis, Pangasinan, thru TET 2016, intends</t>
  </si>
  <si>
    <t xml:space="preserve"> Bond Paper Subs. 20 (A4)- 9 reams Bond Paper Subs. 20 (Long) - 8 reams Pentelpen (Black, Broad) - 12 pcs Pencil - 2 boxes Epson L3110 Ink (Black) - 3 bots Epson L3110 Ink (Cyan) - 3 bots Epson L3110 Ink (Magenta) - 3 bots Epson L3110 Ink (Yellow) - 3 bots</t>
  </si>
  <si>
    <t xml:space="preserve"> CONSTRUCTION OF SLOPE PROTECTION OF CAMATAGAN PUBLIC TOILET, SABANGAN FUND SOURCE: 20% PDF 2020 TYPES OF WORK TO BE DONE: Project billboard/ signboard/ occupational safety and health program/ structure excavation (common soil)/ grouted riprap (class A) CO</t>
  </si>
  <si>
    <t xml:space="preserve"> Contract ID		:	20GM0072 Contract Name	:	Concreting of Sitio Banman, Brgy. Locotan FMR, Brgy. Locotan, Kabankalan City, Negros Occidental Location of the Contract:    	Brgy. Locotan, Kabankalan City, Negros Occidental ______________________________________</t>
  </si>
  <si>
    <t xml:space="preserve"> PROCUREMENT OF SERVICES FOR THE ONE (1) LOT – EVENT ORGANIZING</t>
  </si>
  <si>
    <t xml:space="preserve"> Concreting (width = 5.00m., thk. = 230mm) Roadway Excavation - Common Surplus Excavation - Embankment from Borrow (Common Soil) Construction of Single Barrel Box Culvert Construction of Minor Drainage Structures</t>
  </si>
  <si>
    <t xml:space="preserve"> LAUNDRY SERVICES 7830 KILOS JULY - DECEMBER 2020 -------------------------------------------------------------------------------------------------------------------------- Bids received in excess of the ABC shall be automatically rejected during the bid o</t>
  </si>
  <si>
    <t xml:space="preserve"> RENTAL OF TRANSPORT SERVICES FOR THE HAULING OF DILAPIDATED VEHICLES FROM MAKATI CITY TO CALAMBA, LAGUNA - Order of payment for Bid Docs will be available at GSD-Head Office @ 10th Floor Makati City Hall Bldg. 2.  Look for Mr. Reden Villanueva. - A  compl</t>
  </si>
  <si>
    <t xml:space="preserve"> Printer Consumables and I.T. Supplies/ Equipments</t>
  </si>
  <si>
    <t xml:space="preserve"> Supply of Materials for REHABILITATION OF WATER SYSTEM (CONS. OF RESERVOIR) 1.	The Barangay Can-angay  Inopacan Leyte  through the CY 2020 20% DEVELOPMENT FUND  intends to apply the sum  TWO HUNDRED TWENTY SEVEN THOUSAND  SEVEN HUNDRED FORTY FIVE PESOS . </t>
  </si>
  <si>
    <t xml:space="preserve"> INVITATION TO BID FOR THE REBIDDING ON THE PROVISION OF LABOR, MATERIALS, EQUIPMENT AND OTHER INCIDENTALS NEEDED FOR THE REHABILITATION OF SAN CRISTOBAL SMALL WATER IMPOUNDING PROJECT (SWIP) CANAL LINING AT BRGY. SAN CRISTOBAL, SARRAT, ILOCOS NORTE 1.	The</t>
  </si>
  <si>
    <t xml:space="preserve"> 3-pcs-Bal valve 1" 20-meters-Braided hose 1" 6-pcs-G.I Nipple 1" X 6 1-roll-PE Hose 1 1/2 3-pcs-PVC Tank 2 cu.m</t>
  </si>
  <si>
    <t xml:space="preserve"> Clearing and Grubbing Structure Excavation  Embankment (from Borrow) Structural Concrete  Reinforcing Steel Formworks and Falseworks Plumbing Works 6mm Plywood on Metal Frame Ceiling  Cement Plaster Finish  Painting Works (Masonry Painting) Painting Works</t>
  </si>
  <si>
    <t xml:space="preserve"> Invitation to Rebid for the Supply &amp; Delivery of Materials for the  Rehabilitation &amp; Improvement of Children’s Youth Park 1.	The Municipal Government of Puerto Galera, through the LGU - Gender &amp; Development (GAD) Fund Continuing Appropriation intends to a</t>
  </si>
  <si>
    <t xml:space="preserve"> Republic of the Philippines Province of Bataan MUNICIPALITY OF ORION Bids and Awards Committee 20ITB-INF-02-00032 Invitation to Bid for Labor and Materials for the Perimeter Fence of the New Rural Health Unit at Sitio Pag-asa, Brgy. Wawa, Orion, Bataan 1.</t>
  </si>
  <si>
    <t xml:space="preserve"> Invitation to Rebid for the Construction of Multi-Purpose Hall 1.	The Municipal Government of Puerto Galera, through the LGU – Gender and Development (GAD) Fund Continuing Appropriation intends to apply the sum of One Million Four Hundred Ninety-Nine Thou</t>
  </si>
  <si>
    <t xml:space="preserve"> Consultancy Services for the Geotechnical Investigation for the Construction of Multi-Purpose Building</t>
  </si>
  <si>
    <t xml:space="preserve"> ALBAY 3RD DISTRICT ENGINEERING OFFICE																											 Paulog, Ligao City																											 																											 INVITATION TO BID																											 																											 The DPWH - Albay 3rd District Engineering O</t>
  </si>
  <si>
    <t xml:space="preserve"> INVITATION TO BID FOR THE REBIDDING ON THE PROVISION OF LABOR, MATERIALS, EQUIPMENT AND OTHER INCIDENTALS NEEDED FOR THE REHABILITATION OF IRRIGATION CANAL OF SALBANG DIVERSION DAM (DD) AT BRGY. SALBANG, PAOAY, ILOCOS NORTE 1.	The Department of Agricultur</t>
  </si>
  <si>
    <t xml:space="preserve"> VARIOUS MEDICINES AND LABORATORY SUPPLIES</t>
  </si>
  <si>
    <t xml:space="preserve"> Republic of the Philippines Cordillera Administrative Region Provincial Local Government Unit of Ifugao BIDS AND AWARDS COMMITTEE 2nd Floor COA Bldg., Capitol Compound Lagawe, Ifugao Email Ad.: bacgoodsifugao13@gmail.com INVITATION TO BID COMMON OFFICE SU</t>
  </si>
  <si>
    <t xml:space="preserve"> Item No.	Unit	DESCRIPTION				Qty 						 1	Unit	Brand New Garbage Compactor				1 		6 Cylinder Diesel Engine				 		Euro 4				 		180/190 Hp				 		4x2 Manual Transmission				 		Power Steering				 		All Drum Type Hydraulic Break System				 		Front &amp; Rear Multi</t>
  </si>
  <si>
    <t xml:space="preserve"> Life Vest</t>
  </si>
  <si>
    <t xml:space="preserve"> Rabies Vaccine</t>
  </si>
  <si>
    <t xml:space="preserve"> INVITATION TO BID FOR THE REBIDDING ON THE PROVISION OF LABOR, MATERIALS, EQUIPMENT AND OTHER INCIDENTALS NEEDED FOR THE IMPROVEMENT OF MANUGOS SMALL SCALE IRRIGATION SYSTEM AT BRGY. PATIACAN, QUIRINO, ILOCOS SUR 1.	The Department of Agriculture Regional </t>
  </si>
  <si>
    <t xml:space="preserve"> Republic of the Philippines DEPARTMENT OF PUBLIC WORKS AND HIGHWAYS ZAMBOANGA DEL NORTE  1ST DISTRICT ENGINEERING OFFICE REGIONAL OFFICE IX Sta. Isabel, Dipolog City INVITATION TO BID The  DPWH ZN 1st District Engineering Office , through its Bids and Awa</t>
  </si>
  <si>
    <t xml:space="preserve"> Invitation to Rebid for the Supply &amp; Delivery of Materials for the  Rehabilitation of Drainage Canal 1.	The Municipal Government of Puerto Galera, through the LGU - Gender &amp; Development (GAD) Fund Continuing Appropriation intends to apply the sum of Six H</t>
  </si>
  <si>
    <t xml:space="preserve"> INVITATION TO BID FOR THE REBIDDING ON THE PROVISION OF LABOR, MATERIALS, EQUIPMENT AND OTHER INCIDENTALS NEEDED FOR THE REHABILITATION OF IRRIGATION CANAL OF SAN AGUSTIN DIVERSION DAM (DD) AT BRGY. SAN AGUSTIN, PAOAY, ILOCOS NORTE 1.	The Department of Ag</t>
  </si>
  <si>
    <t xml:space="preserve"> Concreting (width = 4.00m., thk. = 230mm) Roadway Excavation - Common Surplus Excavation Construction of Concrete Lined Canal and Other Minor Drainage Structures Installation of Metal Guardrails Including Concrete Post</t>
  </si>
  <si>
    <t xml:space="preserve"> Opening with gravelling (width = 6.00m., thk. = 200mm) Roadway Excavation - Common Surplus Excavation Construction of Minor Drainage Structures</t>
  </si>
  <si>
    <t xml:space="preserve"> SUPPLY AND DELIVERY OF SCHOOL SHOES (LEATHER) FOR DISTRIBUTION TO ALL PUBLIC ELEMENTARY AND SECONDARY SCHOOLS IN MAKATI CITY - Order of payment for Bid Docs will be available at GSD-Head Office @ 10th Floor Makati City Hall Bldg. 2.  Look for Mr. Reden Vi</t>
  </si>
  <si>
    <t xml:space="preserve"> BOHOL ISLAND STATE UNIVERSITY Main Campus, Tagbilaran City INVITATION TO BID FOR PR NO. 2020-02-0267-MAIN-SUPPLY AND DELIVERY OF COSMETOLOGY EQUIPMENT FOR THE COSMETOLOGY TECHNOLOGY LABORATORY OF CTAS 1.	The Bohol Island State University – Main Campus, Ta</t>
  </si>
  <si>
    <t xml:space="preserve"> I N V I T A T I O N  T O  B I D The Manila International Airport Authority, through its Bids and Awards Committee (BAC), invites interested parties to apply for eligibility and to bid for the hereunder service contract: 	 Name of Contract       :  	Replac</t>
  </si>
  <si>
    <t xml:space="preserve"> Copier Machine</t>
  </si>
  <si>
    <t xml:space="preserve"> DIETARY SERVICES 460 PAX JULY TO DECEMBER 2020 ---------------------------------------------------------------------------------------------------------------------------- Bids received in excess of the ABC shall be automatically rejected during the bid o</t>
  </si>
  <si>
    <t xml:space="preserve"> Procurement of supply and delivery of tires 4	pcs	Exterior tires 265/70 R 16 (plain) 4	pcs	Exterior tires 265/60 R 18 (efficient crip) PR# 2020-901</t>
  </si>
  <si>
    <t xml:space="preserve"> Item Number	Description	Unit	Quantity 			 1	Ultimate ULV Knapsack Power Nebulizer	Unit	1 Ultimate ULV Knapsack Power Nebulizer Engine: Type: TK65-AS00 (E-0) Mono-cylindric, forced air cooled, two stroke engine Bore x stroke: 48.5mm x 35mm Piston Displacem</t>
  </si>
  <si>
    <t xml:space="preserve"> Fuel (Diesel)</t>
  </si>
  <si>
    <t xml:space="preserve"> Facilities for Engineer, Other General Requirements, Civil, Mechanical, Electrical and Sanitary/Plumbing Works, Earthwork, Plain and Reinforced Concrete Work, Finishing and Other Civil Works</t>
  </si>
  <si>
    <t xml:space="preserve"> Item No.	Description	Unit	Quantity 	Proposed Farm to Market Road Concreting A.1.1(6)	Provision of Combined Field Office, Laboratory and Living Quarters (Rental Basis)	mo/s	2.00 b.5.	Project Billboard / Signboard	unit/s	2.00 B.7.(1)	Occupational Safety and</t>
  </si>
  <si>
    <t xml:space="preserve"> INVITATION TO BID The DPWH Isabela 4th District Engineering Office through its Bids and Awards Committee (BAC), invites contractors to submit bids for the following Contract: Procurement ID / Contract ID			: 20BH0135 Contract Name/                        </t>
  </si>
  <si>
    <t xml:space="preserve"> CID No. 20IC00731:  1. Repair/Maint. of DPWH Bldg, Field Office &amp; Lab. Bldg, Leyte 1 DEO, Pawing, Palo, Leyte;  2. Repair/Maint. of DENR Bldg, LRA, Gov. Center, Palo, Leyte; Total ABC: P2,940,000.00; 144 CD ACTIVITY	TIME	PLACE 1.  Issuance/Downloading of </t>
  </si>
  <si>
    <t xml:space="preserve"> JANITORIAL SERVICES 48 PAX JULY TO DECEMBER 2020 -------------------------------------------------------------------------------------------------------------------------- Bids received in excess of the ABC shall be automatically rejected during the bid o</t>
  </si>
  <si>
    <t xml:space="preserve"> Republic of the Philippines City of Manila OFFICE OF THE CITY MAYOR BIDS AND AWARDS COMMITTEE INVITATION TO BID  The City Government of Manila, through the Capital Outlay FY 2019 - Continuing Appropriations, intends to apply the following amount for the f</t>
  </si>
  <si>
    <t xml:space="preserve"> INVITATION TO BID FOR Procurement of FUEL for LGU use (2nd quarter 2020) 1.	The Local Government Unit of Jimenez, Misamis Occidental  through the General Fund intends to apply the sum of Seven Hundred Fifteen Thousand Four Hundred Thirty One Pesos Only ( </t>
  </si>
  <si>
    <t xml:space="preserve"> CID No. 20IC0074:  Repair/Maint. of Paran Creek, Flood Control, Brgy. District III, Babatngon, Leyte;  ABC: P3,920,000.00; 66 CD ACTIVITY	TIME	PLACE 1.  Issuance/Downloading of       Bidding Documents	June 3 – 23, 2020	Hard copies at BAC Secretariat; DPWH</t>
  </si>
  <si>
    <t xml:space="preserve"> SUPPLY AND DELIVERY OF SCHOOL BAGS FOR DISTRIBUTION TO SPED AND KINDER PUPILS OF ALL PUBLIC ELEMENTARY SCHOOLS IN MAKATI CITY - Order of payment for Bid Docs will be available at GSD-Head Office @ 10th Floor Makati City Hall Bldg. 2.  Look for Mr. Reden V</t>
  </si>
  <si>
    <t xml:space="preserve"> SURIGAO STATE COLLEGE OF TECHNOLOGY Surigao City INVITATION TO BID FOR PRINTING OF COLLEGE YEARBOOK SY 2019-2020 INCLUDING PHOTOGRAPHY  1.	The Surigao State College of Technology, through the Corporate Budget for the Contract Approved by the Governing Boa</t>
  </si>
  <si>
    <t xml:space="preserve"> INVITATION TO BID The DPWH Isabela 4th District Engineering Office through its Bids and Awards Committee (BAC), invites contractors to submit bids for the following Contract: Procurement ID / Contract ID			: 20BH0136 Contract Name/                        </t>
  </si>
  <si>
    <t xml:space="preserve"> Republic of the Philippines BIDS AND AWARDS COMMITTEE Cadiz City      BID DOCUMENTS for the CONSTRUCTION OF POWERHOUSE @ CDRRMC, BRGY. ZONE 3, CADIZ CITY (1) BIDS AND AWARDS COMMITTEE  Cadiz City   INVITATION TO BID/REQUEST FOR EXPRESSION OF INTEREST The </t>
  </si>
  <si>
    <t xml:space="preserve"> CID No. 20IC0075:  Repair/Maint. of Cavite East Drainage System, Palo, Leyte;  ABC: P4,900,000.00; 93 CD ACTIVITY	TIME	PLACE 1.  Issuance/Downloading of       Bidding Documents	June 3 – 23, 2020	Hard copies at BAC Secretariat; DPWH, Leyte 1st District Eng</t>
  </si>
  <si>
    <t xml:space="preserve"> 28	btl	air freshener (automatic spray) 114	btl	alcohol, 70% 2	 pc 	adoptor 311	 pc 	ballpen, blk,(HBW) 227	 pc 	ballpen, blue,(HBW) 141	 pc 	ballpen, black (faber castle) 128	 pc 	ballpen, blue (faber castle) 4	 pc 	ballpen, red, (faber castle) 30	 pc 	ba</t>
  </si>
  <si>
    <t xml:space="preserve"> The Local Government Unit of Aglipay through 20% Municipal Development Fund (MDF) CY 2020  intends to apply the sum of One Million Five Hundred Forty Seven Thousand One Hundred Sixty Seven Pesos and 68/100 (Php 1, 547,167.68) being the Approved Budget for</t>
  </si>
  <si>
    <t xml:space="preserve"> Item Number	Description	Unit	Quantity 			 1	Desktop PC with Windows 7 Professional (OS) and Office	Units	2 2	Desktop PC with Windows Server 2008 R2 (OS) and Office	Units	2 3	Router -24 Port 10/100MBPS	Units	2 4	Patch Panel 24 Port	Units	2 5	Laptop with Wi</t>
  </si>
  <si>
    <t xml:space="preserve"> Department of Public Works and Highways Contract ID:	20NA0066 Title: 		Concreting of Brgy. Calamba FMR, Cabadbaran City, Agusan del Norte Location:		Cabadbaran City, Agusan del Norte ________________________________________________________________________</t>
  </si>
  <si>
    <t xml:space="preserve"> Items of works to be done includes: -Site preparation, clearing &amp; leveling -Excavation -Reinforcing steel -Formworks -Structural concrete (includes widening block &amp; canal) -Fabrication and installation of G.I. pipe handrails -Backfill/ embankment -Grouted</t>
  </si>
  <si>
    <t xml:space="preserve"> INVITATION TO BID FOR THE CONSTRUCTION OF DRAINAGE SYSTEM AT DON JUAN BAYVIEW SUBDIVISION, BRGY. SUCAT, MUNTINLUPA CITY (*RE-POSTED) 1.	The City Government of Muntinlupa, through its duly-approved Supplemental Budget for 2019 intends to apply the sum of T</t>
  </si>
  <si>
    <t xml:space="preserve"> Construction of Water Collector System</t>
  </si>
  <si>
    <t xml:space="preserve"> LGU-El Salvador City, Misamis Oriental through its BAC, invites interested bidders to apply for eligibility and if found eligible to bid for the contract: 1.	Contract ID No.	:	ITB No. 2020-05-039 Name of Project	:	Procurement of Medicine (Re-bidding) for </t>
  </si>
  <si>
    <t xml:space="preserve"> 1. 1 unit - Brand New Ambulance Vehicle DOH Standard compliance inclusive of vehicle, accessories and consumables COLOR: White ENGINE: 2.5-3.0 (DSL) 4 CYLINDER DOHC 16V (EURO 4) DISPLACEMENT : 2,400 – 2,800CC MAX TORQUE: 420 Nm@1,400-2,000 rpm DIRECT INJE</t>
  </si>
  <si>
    <t xml:space="preserve"> ITEMS OF WORK INCLUDES: FORMWORKS, REINFORCING STEEL WORKS, CONCRETE WORKS, STEEL TRUSS WORKS, TINSMITHRY WORKS, MANUAL HAULING</t>
  </si>
  <si>
    <t xml:space="preserve"> TO SUPPY AND DELIVERY OF MATERIALS FOR THE COMPLETION OF ONE STOP SHOP(TOURISM BUILDING) PART A</t>
  </si>
  <si>
    <t xml:space="preserve"> SUPPLY AND DELIVERY OF RAINCOAT JACKETS WITH HOODIE FOR DISTRIBUTION TO ALL PUBLIC SECONDARY SCHOOLS IN MAKATI CITY - Order of payment for Bid Docs will be available at GSD-Head Office @ 10th Floor Makati City Hall Bldg. 2.  Look for Mr. Reden Villanueva.</t>
  </si>
  <si>
    <t xml:space="preserve"> INVITATION TO BID The DPWH Isabela 4th District Engineering Office through its Bids and Awards Committee (BAC), invites contractors to submit bids for the following Contract: Procurement ID / Contract ID			: 20BH0137 Contract Name/                        </t>
  </si>
  <si>
    <t xml:space="preserve"> Road Concreting</t>
  </si>
  <si>
    <t xml:space="preserve"> CIVIL WORKS 1	Cement Portland – 40kg 2	Gravel – 3/4 inch 3	Sand – White 4	Bar Deformed – 10mm diameter x 6m 5	Bar Deformed – 12mm diameter x 6m 6	Bar Steel – 16mm 7	Wire G.I. Tie – Gauge #16 8	Bare Copper Wire – 2mm (squared) 9	Lumber Coco – 2” x 4” x 12’</t>
  </si>
  <si>
    <t xml:space="preserve"> INVITATION TO BID FOR THE REHABILITATION OF DRAINAGE SYSTEM ALONG ST. FRANCIS STREET, JPA SUBDIVISION, TUNASAN, MUNTINLUPA CITY (*RE-POSTED) 1.	The City Government of Muntinlupa, through its duly-approved Executive Budget for 2020 intends to apply the sum</t>
  </si>
  <si>
    <t xml:space="preserve"> Facilities for the Engineer, Other General Requirements, Earthwork, Subbase and Base Course, Surface Course, Drainage and Slope Protection Structures, Miscellaneous Structures</t>
  </si>
  <si>
    <t xml:space="preserve"> The Department of Public Works and Highways – Cordillera Administrative Region, through its Bids and Awards Committee (BAC) for Goods, invites suppliers to submit bids for the contract below: Contract ID No.:	20GP00062 Contract Name:	Purchase of Heavy Equ</t>
  </si>
  <si>
    <t xml:space="preserve"> Work Description: Grouted Riprap for Slope protection		 1	m3	33.12	LAYOUT, STAKING &amp; EXCAVATION FOR FOOTING		 64,040.06 					 2	m3	161.52	GROUTED RIPRAP		 627,300.00 					 3			SPECIAL ITEM		 3.1			Temporary Facility ( Material &amp; Workers Shed)		25,000.00 3</t>
  </si>
  <si>
    <t xml:space="preserve"> SUPPLY AND DELIVERY OF RAINCOAT AND RAIN BOOT SETS FOR DISTRIBUTION TO KINDER PUPILS OF ALL PUBLIC ELEMENTARY SCHOOLS IN MAKATI CITY - Order of payment for Bid Docs will be available at GSD-Head Office @ 10th Floor Makati City Hall Bldg. 2.  Look for Mr. </t>
  </si>
  <si>
    <t xml:space="preserve"> Republic of the Philippines BIDS AND AWARD COMMITTEE Province of Batangas INVITATION TO BID The Provincial Government of Batangas, through its Bids and Awards Committee (BAC) invites all accredited suppliers, distributors and manufacturers to bid on the f</t>
  </si>
  <si>
    <t xml:space="preserve"> Vehicle Spare Parts</t>
  </si>
  <si>
    <t xml:space="preserve"> a.	Clearing and Base Preparation: 1	12 cu.m Base Course Gravel	 b.	Concrete Pavement: 1	160 bags Cement	 2	21 cu.m  Gravel	 3	11 cu.m Sand	 4	1 kl. 3”CW Nail	 5	20 pcs. 2”x 4”x 10” form lumber	 c.	Cross Drainage/Box Culvert 1	19 bags Cement 	 2	46 pcs. 10</t>
  </si>
  <si>
    <t xml:space="preserve"> SUPPLY AND DELIVERY OF DENTAL AND HYGIENE KITS FOR DISTRIBUTION TO ALL PUBLIC ELEMENTARY SCHOOLS IN MAKATI CITY - Order of payment for Bid Docs will be available at GSD-Head Office @ 10th Floor Makati City Hall Bldg. 2.  Look for Mr. Reden Villanueva. - A</t>
  </si>
  <si>
    <t xml:space="preserve"> INVITATION TO BID The DPWH Isabela 4th District Engineering Office through its Bids and Awards Committee (BAC), invites contractors to submit bids for the following Contract: Procurement ID / Contract ID			: 20BH0138 Contract Name/                        </t>
  </si>
  <si>
    <t xml:space="preserve"> Republic of the Philippines PROVINCE OF PAMPANGA City of San Fernando INVITATION TO BID NO. 2020-17 MEDIC-BAC INVITATION TO BID FOR PURCHASE REQUEST NO. 20-0843 The Provincial Government of Pampanga (“Province”) intends to apply the following sums from th</t>
  </si>
  <si>
    <t xml:space="preserve"> Drilling Machine</t>
  </si>
  <si>
    <t xml:space="preserve"> The Barangay Battung Tuao Cagayan through its 20% Development Fund intends to apply the sum of                  Php 86,009.10 being the Approved Budget for the Contract (ABC) to payments under the contract for Construction of Barangay Outpost. Bids receiv</t>
  </si>
  <si>
    <t xml:space="preserve"> INVITATION TO BID FOR  CONSTRUCTION OF FLOOD CONTROL - PANDAYAN The Municipality of San Juan, through its Bids and Awards Committee (BAC), invites contractors to submit bids for the following Contract: Contract ID		:          	20-00037						 Contract Name</t>
  </si>
  <si>
    <t xml:space="preserve"> SUPPLY AND DELIVERY OF VARIOUS SUPPLIES FOR BUILDING MAINTENANCE AT MAKATI CITY HALL COMPOUND - Order of payment for Bid Docs will be available at GSD-Head Office @ 10th Floor Makati City Hall Bldg. 2.  Look for Mr. Reden Villanueva. - A  complete set of </t>
  </si>
  <si>
    <t xml:space="preserve"> TO SUPPLY AND DELIVERY OF MATERIALS FOR THE COMPLETION OF ONE STOP SHOP IN ITS AMENITIES (GROUND FLOOR/PARTIAL 2ND FLOOR) PART B</t>
  </si>
  <si>
    <t xml:space="preserve"> REPAIR AND MAINTENANCE OF MOTOR VEHICLES INCLUDING PARTS AND SUPPLY OF TIRES AND BATTERIES FOR USE BY DIFFERENT DEPARTMENTS/OFFICES OF THE CITY GOVERNMENT OF MAKATI FOR 2020 - Order of payment for Bid Docs will be available at GSD-Head Office @ 10th Floor</t>
  </si>
  <si>
    <t xml:space="preserve"> SECURITY SERVICES AT VARIOUS MAKATI CITY PUBLIC BUILDINGS UNDER CLUSTER I FOR 2020 - Order of payment for Bid Docs will be available at GSD-Head Office @ 10th Floor Makati City Hall Bldg. 2.  Look for Mr. Reden Villanueva. - A  complete set of Bidding Doc</t>
  </si>
  <si>
    <t xml:space="preserve"> ITEMS OF WORK INCLUDES: Site preparation/clearing/base preparation, concrete footpath, formworks, structural concrete, structure excavation (solid rock), structure excavation (loose rock), railings, manual hauling</t>
  </si>
  <si>
    <t xml:space="preserve"> Procurement of Alcohol and Tissue  for Supplies of MVMO - Laak, Davao De Oro with an ABC of Php. 68,330.00.</t>
  </si>
  <si>
    <t xml:space="preserve"> Construction of Reception/Guardhouse Building (Phase I)</t>
  </si>
  <si>
    <t xml:space="preserve"> Republic of the Philippines Cordillera Administrative Region Province of Kalinga B A L B A L A N MUNICIPALITY OF BALBALAN Invitation to Apply for Eligibility and to Bid for the COMPLETION OF BUAYA BARANGAY HEALTH CLINIC, MAPITPITA,BUAYA, BALBALAN, KALINGA</t>
  </si>
  <si>
    <t xml:space="preserve"> Renovation of MDRRMO Building</t>
  </si>
  <si>
    <t xml:space="preserve"> SUPPLY AND INSTALLATION OF ELECTRO MECHANICAL GREASE DISPENSERS WITH GREASE SERVICE PACKS AT MAKATI CITY HALL BUILDING I, II UNIVERSITY OF MAKATI AND MAKATI CENTRAL POLICE STATION - Order of payment for Bid Docs will be available at GSD-Head Office @ 10th</t>
  </si>
  <si>
    <t xml:space="preserve"> Concreting of Open Space</t>
  </si>
  <si>
    <t xml:space="preserve"> Supply, Delivery and Installation of Submersible Pump, Pipes, Valves and Fittings and Electrical Supplies</t>
  </si>
  <si>
    <t xml:space="preserve"> INVITATION TO BID The DPWH Isabela 4th District Engineering Office through its Bids and Awards Committee (BAC), invites contractors to submit bids for the following Contract: Procurement ID / Contract ID			: 20BH0139 Contract Name/                        </t>
  </si>
  <si>
    <t xml:space="preserve"> ` Republic of the Philippines DEPARTMENT OF PUBLIC WORKS AND HIGHWAYS LAGUNA I  DISTRICT ENGINEERING OFFICE REGIONAL OFFICE NO. IV-A 	Santa Cruz, Laguna	            Invitation to Bid The Department of Public Works and Highways- Laguna I District Engineeri</t>
  </si>
  <si>
    <t xml:space="preserve"> SUBSCRIPTION OF OFFICE PRODUCTIVITY SUITE WITH MAIL MIGRATION SERVICE FOR ONE (1) YEAR - Order of payment for Bid Docs will be available at GSD-Head Office @ 10th Floor Makati City Hall Bldg. 2.  Look for Mr. Reden Villanueva. - A  complete set of Bidding</t>
  </si>
  <si>
    <t xml:space="preserve"> Invitation to Bid for Installation of Streetlights  No. 2020-006 1. The Barangay Mabini Homesite, through the Annual Budget 2020(General Fund) Approved by the Sanggunian intends to apply the sum of Two Hundred Twenty Thousand Pesos  (Php 220,000.00 ) bein</t>
  </si>
  <si>
    <t xml:space="preserve"> Items of Work to be done includes: -Manual hauling of materials from roadside to jobsite -Site preparation, clearing &amp; leveling -Excavation includes chipping of rock/boulders and removal of existing riprap -Formworks -Fabrication and installation of G.I. </t>
  </si>
  <si>
    <t xml:space="preserve"> OUTSOURCING OF LAUNDRY SERVICES FOR THE YEAR 2020 - Order of payment for Bid Docs will be available at GSD-Head Office @ 10th Floor Makati City Hall Bldg. 2.  Look for Mr. Reden Villanueva. - A  complete set of Bidding Documents will be available from day</t>
  </si>
  <si>
    <t xml:space="preserve"> 1 pc – Projector (see attached specifications)            nothing follows</t>
  </si>
  <si>
    <t xml:space="preserve"> 2626 pcs Polo Shirt 2440 pcs T-shirt 2533 pcs Bath Soap 2533 pcs Roll on 7599 pcs Towel</t>
  </si>
  <si>
    <t xml:space="preserve"> RENTAL OF MECHANICAL VENTILATORS AND BI-BAP FOR OSPITAL NG MAKATI 2020 (PEDIA AND ADULT) - Order of payment for Bid Docs will be available at GSD-Head Office @ 10th Floor Makati City Hall Bldg. 2.  Look for Mr. Reden Villanueva. - A  complete set of Biddi</t>
  </si>
  <si>
    <t xml:space="preserve"> Business Registration Plate Acrylic, size: Dimension 6 inches by 8 inches, thickness 2.5mm Digital UV Reverse Print</t>
  </si>
  <si>
    <t xml:space="preserve"> Invitation to Bid for Improvement Of Multi Purpose Hall  No. 2020-007 1. The Barangay Mabini Homesite, through the Annual Budget 2020(General Fund) Approved by the Sanggunian intends to apply the sum of Five Hundred Sixty Thousand Two Hundred Fifteen Peso</t>
  </si>
  <si>
    <t xml:space="preserve"> Republika ng Pilipinas PAMAHALAANG LUNGSOD NG TACLOBAN (City Government of Tacloban) Kanhuraw Hill, Tacloban City 6500 BIDS AND AWARDS COMMITTEE INVITATION TO BID  REF #039-06-2020 (JUNE 04, 2020) PR# 2020-634 DATED 05-26-2020 PR# 2020-635 DATED 05-26-202</t>
  </si>
  <si>
    <t xml:space="preserve"> PREVENTIVE MAINTENANCE SERVICES FOR VARIOUS MEDICAL AND LABORATORY EQUIPMENT OF OSPITAL NG MAKATI (3 LOTS) LOT 1: PREVENTIVE MAINTENANCE OF DIFFERENT MEDICAL EQUIPMENT OF CSR-OR FOR 2020 (STEAM STERILIZER – MATACHANA) LOT 2: PREVENTIVE MAINTENANCE OF DIFF</t>
  </si>
  <si>
    <t xml:space="preserve"> Quantity       Unit of Issue       Item Description      1                   lot               Supply of materials, labor and equipment NAME OF PROJECT/LOCATION -  Construction of temporary stall at Bauan Public Market, Bauan, Batangas CONTRACT REF. NO. –</t>
  </si>
  <si>
    <t xml:space="preserve"> Republic of the Philippines Cordillera Administrative Region Province of Kalinga B A L B A L A N MUNICIPALITY OF BALBALAN Invitation to Apply for Eligibility and to Bid for the CONTINUATION OF LIGAYAN-CUBIIL ACCESS ROAD, BALANTOY-POSWOY, BALBALAN, KALINGA</t>
  </si>
  <si>
    <t xml:space="preserve"> REPAIR AND MAINTENANCE SERVICES FOR VARIOUS MEDICAL, DENTAL AND LABORATORY EQUIPMENT OF MAKATI HEALTH DEPARTMENT - Order of payment for Bid Docs will be available at GSD-Head Office @ 10th Floor Makati City Hall Bldg. 2.  Look for Mr. Reden Villanueva. - </t>
  </si>
  <si>
    <t xml:space="preserve"> Kindly refer to the attached Bidding Documents. Thank you.</t>
  </si>
  <si>
    <t xml:space="preserve"> INVITATION TO BID The Iligan City Government Bids and Awards Committee (BAC), through 2019 20% Development Fund intends to apply the sum of P 2,376,000.00 being the Approved Budget for the Contract (ABC) to payments under the Contract for Supply and Deliv</t>
  </si>
  <si>
    <t xml:space="preserve"> Fabrication of 2,250 units Artificial Coral Reef</t>
  </si>
  <si>
    <t xml:space="preserve"> INVITATION TO BID 2020-GS-01 The Department of Public Works and Highways QUEZON III DISTRICT ENGINEERING OFFICE, Catanauan, Quezon, through the FY2020 (EAO FUND) intends to apply the amount of ₱ 1,800,000.00 being the Approved Budget for the Contract (ABC</t>
  </si>
  <si>
    <t xml:space="preserve"> SUPPLY AND DELIVERY OF MEDICAL EQUIPMENT ACCESSORIES (SOLARIS PATIENT MONITOR ACCESSORIES – FETAL MONITOR FETALGUARD LITE) - Order of payment for Bid Docs will be available at GSD-Head Office @ 10th Floor Makati City Hall Bldg. 2.  Look for Mr. Reden Vill</t>
  </si>
  <si>
    <t xml:space="preserve"> INVITATION TO BID The Iligan City Government Bids and Awards Committee (BAC), through GENERAL FUND intends to apply the sum of  P 17,674,460.73 being the Approved Budget for the Contract (ABC) to payments under the Contract for Supply and Delivery of Dies</t>
  </si>
  <si>
    <t xml:space="preserve"> SUPPLY AND DELIVERY OF SUPPLIES AND MATERIALS FOR REPAIR AND MAINTENANCE OF DAMAGED/DILAPIDATED ROADS, STREET PAVEMENTS, SIDEWALKS, MANHOLES/COVER AND STREET LIGHTS, DECLOGGING AND DESILTING OF CANALS AND DRAINING SYSTEM, AND PUBLIC ASSISTANCE AND OTHER G</t>
  </si>
  <si>
    <t xml:space="preserve"> INVITATION TO BID The DPWH Isabela 4th District Engineering Office through its Bids and Awards Committee (BAC), invites contractors to submit bids for the following Contract: Procurement ID / Contract ID			: 20BH0140 Contract Name/                        </t>
  </si>
  <si>
    <t xml:space="preserve"> Procurement of Sanitary Landfill Services for the Disposal of the Municipality’s Residual Wastes 180 DAYS - 1 LOT</t>
  </si>
  <si>
    <t xml:space="preserve"> INVITATION TO BID 1)	The DPWH- Davao City District Engineering Office through its Bids and Awards Committee (BAC), invites contractors to submit bids for the following contract; 1. Procurement ID /          Contract ID No.	:	20LB0236     Contract Name	:	C</t>
  </si>
  <si>
    <t xml:space="preserve"> SUPPLY AND DELIVERY OF MEDICAL SUPPLIES (3 WAY STOPCOCK WITH TUBING LUER LOCK – YANKAUER SUCTION SET) THROUGH ORDERING AGREEMENT - Order of payment for Bid Docs will be available at GSD-Head Office @ 10th Floor Makati City Hall Bldg. 2.  Look for Mr. Rede</t>
  </si>
  <si>
    <t xml:space="preserve"> INVITATION TO APPLY FOR ELIGIBILITY AND TO BID (IAEB)   The Municipality of Molave, Zamboanga del Sur, through its Bids and Awards Committee, invites suppliers/distributors to apply for eligibility and to bid for the rebidding of the hereunder project:   </t>
  </si>
  <si>
    <t xml:space="preserve"> Procurement of Aircon  2 Hp (Split type including installation</t>
  </si>
  <si>
    <t xml:space="preserve"> Quantity       Unit of Issue       Item Description      1                   lot               Supply of materials, labor and equipment NAME OF PROJECT/LOCATION -  Installation of transformer for waterworks system at Barangay San Agustin, Bauan, Batangas </t>
  </si>
  <si>
    <t xml:space="preserve"> The Municipality of Baliwag, through its Bids and Awards Committee (BAC), invites contractors to apply for eligibility and to bid the here ender project: Name of Project	:	WIRELESS INTERNET CONNECTION FOR VARIOUS 				SCHOOL OF BALIWAG NORTH DISTRICT 	 Loc</t>
  </si>
  <si>
    <t xml:space="preserve"> Soil Investigation</t>
  </si>
  <si>
    <t xml:space="preserve"> Quantity       Unit of Issue       Item Description      1                   lot               Supply of materials, labor and equipment NAME OF PROJECT/LOCATION -  Construction of road at Barangay Aplaya, Bauan, Batangas CONTRACT REF. NO. – BInfr-2020-06 </t>
  </si>
  <si>
    <t xml:space="preserve"> SPLIT TYPE AIRCONDITIONER 	2.5HP Inverter 	Cooling Capacity of 4,320-23,400 kj/h 	Power Consumption 230-2,350 W 	Energy Efficiency Ratio: 18.8-10.5 kj/H-Hr 	Auto Swing Mode 	Two (2)-Hour Timer Off 	Dry Function 	Inclusive of installation at NFA In</t>
  </si>
  <si>
    <t xml:space="preserve"> Contract ID: 20GKK0024 Contract Name: Supply and Delivery of Consumable Supplies to be used for Kyocera Printers at BAC, Supply, Cash Unit, Construction, PDS and Maintenance Section Contract Location: DPWH-MOFDEO, Gingoog City Brief Description of Goods t</t>
  </si>
  <si>
    <t xml:space="preserve"> INVITATION TO BID FOR THE SUPPLY &amp; DELIVERY OF ONE (1) UNIT OF SERVICE VEHICLE TO BE USED BY MUNTINLUPA CITY TECHNICAL INSTITUTE (*RE-POSTED) 1.	The City Government of Muntinlupa, through its duly-approved Executive Budget for 2020 intends to apply the su</t>
  </si>
  <si>
    <t xml:space="preserve"> See attached main document</t>
  </si>
  <si>
    <t xml:space="preserve"> CCTV CAMERA 	HD Resolution 	Four (4)-Channel Recorder with a memory capacity of 1TB 	Inclusive of installation at NFA FLGC III Warehouse in Brgy. Sibulan, Polillo, Quezon which will need around    200 meters of coaxial wire, testing and user training (</t>
  </si>
  <si>
    <t xml:space="preserve"> 23 heads Cow (2-3 yrs old) female 200-300 kls. 20 heads Carabao (2-3 yrs old) Hybrid 200-250 kls. 110 heads Goat (19 male - 91 female) 5-6 months</t>
  </si>
  <si>
    <t xml:space="preserve"> INVITATION TO BID FOR THE  PURCHASE OF BOOKS, GUIDES, AND INSTRUCTIONAL MATERIALS – CITY SCHOOLS DIVISION 1.	The City Government of Bacoor, Cavite, through the General Fund Year 2020 intends to apply the sum of TWO MILLION PESOS AND ZERO CENTAVO (PhP2,000</t>
  </si>
  <si>
    <t xml:space="preserve"> INVITATION TO BID FOR THE  PURCHASE OF TABLES AND CHAIRS FOR VARIOUS SCHOOLS – CITY SCHOOLS DIVISION 1.	The City Government of Bacoor, Cavite, through the General Fund Year 2020 intends to apply the sum of FOUR MILLION PESOS AND ZERO CENTAVO (PhP4,000,000</t>
  </si>
  <si>
    <t xml:space="preserve"> ITB No. 2020-07 (SHORT OF AWARD) 1.	The SUGAR REGULATORY ADMINISTRATION, through the SRA Corporate Operating Budget 2020 intends to apply the sum of Thirteen Million Nine Hundred Thousand Pesos (₱13,900,000.00) being the total Approved Budget for the Cont</t>
  </si>
  <si>
    <t xml:space="preserve"> PROJECT:	CONSTRUCTION OF AGCAOILI - BALUTOC DRAINAGE CANAL				 Location : 	POBLACION, BALBALAN, KALINGA PROVINCE				 ABC:	PhP100,000.00				 FUND:	2020 PDP				 					 					 BILL OF QUANTITIES					 ITEM NO.	 DESCRIPTION	QTY	Unit	Unit Price	Amount I	GENERAL R</t>
  </si>
  <si>
    <t xml:space="preserve"> INVITATION TO BID FOR THE SUPPLY &amp; DELIVERY OF ICT EQUIPMENT FOR USE OF VARIOUS OFFICES (*RE-POSTED) 1.	The City Government of Muntinlupa, through its duly-approved Executive Budget for 2020 intends to apply the sum of Two Million Ninety Nine Thousand Eig</t>
  </si>
  <si>
    <t xml:space="preserve"> Please see attached bid Documents</t>
  </si>
  <si>
    <t xml:space="preserve"> Quantity       Unit of Issue       Item Description      1                   lot               Supply of materials, labor and equipment NAME OF PROJECT/LOCATION -  General Improvement of Bauan Public Market Phase II, Bauan, Batangas CONTRACT REF. NO. – BI</t>
  </si>
  <si>
    <t xml:space="preserve"> SUPPLY AND DELIVERY OF 6W 4X2 DUMP TRUCK SPECIFICATION Engine: 4 cylinder,Natural aspirated,water cooled,diesel,105HP Piston Displacement: at least 3.6liter Transmission: Manual 5 speed forward/1 reverse Operation weight: at least 4 tons Dump Capacity: at</t>
  </si>
  <si>
    <t xml:space="preserve"> Contract ID: 20GKK0025 Contract Name: Supply, Delivery and Installation of Regulatory Signs along GCVR Contract Location: DPWH-MOFDEO, Gingoog City Brief Description of Goods to be procured: Fabrication and Installation of Regulatory Signs Approved Budget</t>
  </si>
  <si>
    <t xml:space="preserve"> INVITATION TO BID The Guimaras District Engineering Office, through its Bids and Awards Committee (BAC), invites contractors to submit bids for the following Contract: Contract ID:	20GE0105 Contract Name: Road Widening – at Specific Locations along Rizal </t>
  </si>
  <si>
    <t xml:space="preserve"> ITEMS OF WORK INCLUDES: Site preparation/clearing/base preparation, concrete footpath, formworks, structural concrete, excavation, railings, manual hauling</t>
  </si>
  <si>
    <t xml:space="preserve"> INVITATION TO BID FOR THE  PROCUREMENT OF EXTRICATION TOOLS AND EQUIPMENT – BDRRMO 1.	The City Government of Bacoor, Cavite, through the General Fund Year 2020 intends to apply the sum of FOUR MILLION NINE HUNDRED THIRTY FIVE THOUSAND FIVE HUNDRED FIFTY T</t>
  </si>
  <si>
    <t xml:space="preserve"> INVITATION TO BID FOR THE SUPPLY &amp; DELIVERY OF VARIOUS CONSTRUCTION MATERIALS FOR MAINTENANCE DIVISION NEEDED FOR VARIOUS REPAIRS IN CITY HALL AND OTHER GOVERNMENT BUILDINGS TO BE USED BY ENGINEERING DEPARTMENT 1.	The City Government of Muntinlupa, throug</t>
  </si>
  <si>
    <t xml:space="preserve"> INVITATION TO BID FOR THE SUPPLY AND DELIVERY OF ONE HUNDRED THIRTEEN (113) UNITS PUMP AND ENGINE SET 1.	The Department of Agriculture Regional Field Office 1 (DA RFO-1), through the GAA FY 2019 intends to apply the sum of Ten Million Two Hundred Three Th</t>
  </si>
  <si>
    <t xml:space="preserve"> INVITATION TO BID FOR THE  PROCUREMENT OF VEHICLES TO BE USED FOR MITIGATION, PREPAREDNESS, RESCUE, AND EMERGENCY RESPONSE OPERATIONS – BDRRMO 1.	The City Government of Bacoor, Cavite, through the General Fund Year 2020 intends to apply the sum of NINE MI</t>
  </si>
  <si>
    <t xml:space="preserve"> INVITATION TO BID FOR DELIVERY OF 2 IN 1 COMPUTER MONITOR FOR GRADES I-III OF DASOL DISTRICT 1.	The MUNICIPALITY OF DASOL, PANGASINAN-BAC through the MUNICIPAL FUND intends to apply the sum of ONE MILLION ONE HUNDRED SIXTY THOUSAND PESOS (PhP 1,160,000.00</t>
  </si>
  <si>
    <t xml:space="preserve"> Item I Installation of PVC Pipe Item II Mobilization</t>
  </si>
  <si>
    <t xml:space="preserve"> Contract ID: 20GKK0026 Contract Name: Supply, Delivery and Replacement/Installation of Pavement Studs Contract Location: DPWH-MOFDEO, Gingoog City Brief Description of Goods to be procured: 360º Reflective Cat’s Eye Highway Glass Road Stud Approved Budget</t>
  </si>
  <si>
    <t xml:space="preserve"> Concreting of road with a total length of 100 linear meters, width of 4 meters wide and a thickness of 0.20 meter thick. with shouldering at 0.50-meter-wide at both sides.</t>
  </si>
  <si>
    <t xml:space="preserve"> INVITATION TO BID FOR THE SUPPLY &amp; DELIVERY OF ONE (1) UNIT OF SERVICE VEHICLE TO BE USED BY TRAINING DIVISION OF DRRM OFFICE (*RE-POSTED) 1.	The City Government of Muntinlupa, through its duly-approved Special Trust Fund for 2018 intends to apply the sum</t>
  </si>
  <si>
    <t xml:space="preserve"> Republic of the Philippines CITY GOVERNMENT OF ANTIPOLO Antipolo City INVITATION TO BID For the Supply &amp; Delivery of Construction Materials The City Government of Antipolo, through the General Fund intends to apply the sum of P 1,324,200.00 being the Appr</t>
  </si>
  <si>
    <t xml:space="preserve"> INVITATION TO BID FOR THE PURCHASE OF ONE (1) UNIT RP VEHICLE DUMPTRUCK The Municipality of Manapla, through the 20% MDF 2018 &amp; SB Resolution # 001 (2020)  intends to apply the sum of  Php. 2,300,000.00  being the Approved Budget for the Contract (ABC) to</t>
  </si>
  <si>
    <t xml:space="preserve"> Contract ID: 20GKK0028 Contract Name: Supply and Delivery of Asphalt Pen. Grade 60/70 to be used for Act. 122 - Cracks and Joint Sealing of Concrete Pavement along BCIR Contract Location: DPWH-MOFDEO, Gingoog City Brief Description of Goods to be procured</t>
  </si>
  <si>
    <t xml:space="preserve"> Please see and download attachments</t>
  </si>
  <si>
    <t xml:space="preserve"> 1.	The Development Bank of the Philippines, through the Corporate Budget approved by the Board for CY 2020 intends to apply the sum of Three Million One Hundred Thousand Pesos (Php3,100,000.00) being the Approved Budget for the Contract (ABC) inclusive of</t>
  </si>
  <si>
    <t xml:space="preserve"> INVITATION TO APPLY FOR ELIGIBILITY AND TO BID The local Government Unit of Taft, through is Bid and Awards Committee (BAC). Invites suppliers to apply for eligibility, to bid for the hereunder contract: Name of Contract: Proposed Land Development of Ceme</t>
  </si>
  <si>
    <t xml:space="preserve"> Kindly provide your quotations on the listed item/s below: Please see attached RFQ for more details. For quotations sent through email, please make sure that documents are scanned or photographed legibly and can be printed clearly.</t>
  </si>
  <si>
    <t xml:space="preserve"> Item I Detour/Access Road Item II Structure Excavation  Item III Pre Cast Concrete Regular Pile (Type IV frunish &amp; Driven) Pier &amp; Abutment Item IV Superstructure RC works (Girder, Diaphragm, Slab, Guard Rails, Post, Wingwall Item V Embankment (Approach A </t>
  </si>
  <si>
    <t xml:space="preserve"> Supply and Delivery of the following items 270	box	Paracetamol 500mg/tab 55	box	Lagundi 600mg/tab 200	bottles	Diphenhydramine12.5mg/5 ml syr, 60ml 60	box	Ranitidine 150mg/tab 100	box	Salbutamol + Guiafenesin cap 300	bots.	Multivitamins drops 30	box	Diphen</t>
  </si>
  <si>
    <t xml:space="preserve"> Public Bidding of Category Laboratory Equipment</t>
  </si>
  <si>
    <t xml:space="preserve"> Procurement of Cardiac Monitor and Cardiac Defibrillator (HFEP)</t>
  </si>
  <si>
    <t xml:space="preserve"> Procurement of Fetal Monitor (HFEP)</t>
  </si>
  <si>
    <t xml:space="preserve"> Construction of pedestal/B.I Poles/ Excavation and Back filling/Installation of LED LIGHTS/Testing</t>
  </si>
  <si>
    <t xml:space="preserve"> Republic of the Philippines DEPARTMENT OF PUBLIC WORKS AND HIGHWAYS LAGUNA I  DISTRICT ENGINEERING OFFICE REGIONAL OFFICE NO. IV-A 	Santa Cruz, Laguna	            Invitation to Bid The Department of Public Works and Highways- Laguna I District Engineering</t>
  </si>
  <si>
    <t xml:space="preserve"> INVITATION TO BID The Department of Public Works and Highways (DPWH), Laguna III District Engineering Office San Pablo City Region IV-A, through its Bids and Awards Committee (BAC), invites Contractors to submit bids for the following Contract: Contract I</t>
  </si>
  <si>
    <t xml:space="preserve"> Contract ID: 20GKK0027 Contract Name: Supply and Delivery of Grasscutter/BrushCutter to be used by Maintenance Roadside Worker for Vegetation Control along BCIR and GCVR Contract Location: DPWH-MOFDEO, Gingoog City Brief Description of Goods to be procure</t>
  </si>
  <si>
    <t xml:space="preserve"> Other General Requirements, Earthwork, Plain and Reinforced Concrete Work, Finishing and Other Civil Works, Electrical Works</t>
  </si>
  <si>
    <t xml:space="preserve"> Medical Supplies</t>
  </si>
  <si>
    <t xml:space="preserve"> INVITATION TO BID FOR THE CONSTRUCTION OF FISH PALA-PALA The Municipality of Manapla, through the  MDF 2020  intends to apply the sum of  Php. 2,479,610.33  being the Approved Budget for the Contract (ABC) to payments under the contract for  Construction </t>
  </si>
  <si>
    <t xml:space="preserve"> INVITATION TO BID FOR THE  PROCUREMENT OF VEHICLES TO BE USED FOR MITIGATION, PREPAREDNESS, RESCUE, AND EMERGENCY RESPONSE OPERATIONS – BDRRMO 1.	The City Government of Bacoor, Cavite, through the General Fund Year 2020 intends to apply the sum of TEN MIL</t>
  </si>
  <si>
    <t xml:space="preserve"> Contract ID: 20GKK0029 Contract Name: Supply and Delivery of Sand to be used for Asphalting Works along BCIR Contract Location: DPWH-MOFDEO, Gingoog City Brief Description of Goods to be procured: Sand Approved Budget for the Contract (ABC): PhP 180,000.0</t>
  </si>
  <si>
    <t xml:space="preserve"> INVITATION TO BID FOR THE SUPPLY &amp; DELIVERY OF COAGULATION REAGENT TIE – UP TO BE USED AT OSPITAL NG MUNTINLUPA (*RE-POSTED) 1.	The City Government of Muntinlupa, through its duly-approved Executive Budget for 2020 intends to apply the sum of Nine Hundred</t>
  </si>
  <si>
    <t xml:space="preserve"> INVITATION TO BID The Guimaras District Engineering Office, through its Bids and Awards Committee (BAC), invites contractors to submit bids for the following Contract: Contract ID:	20GE0106 Contract Name: Construction of Concrete Road – Sta. Teresa – Espi</t>
  </si>
  <si>
    <t xml:space="preserve"> INVITATION TO BID FOR THE  PROCUREMENT OF  ONE (1) SERVICE VEHICLE - HUDRD 1.	The City Government of Bacoor, Cavite, through the General Fund Year 2020 intends to apply the sum of ONE MILLION FOR HUNDRED THOUSAND PESOS AND ZERO CENTAVO (PhP1,400,000.00) b</t>
  </si>
  <si>
    <t xml:space="preserve"> Public Bidding of Disinfection Machine</t>
  </si>
  <si>
    <t xml:space="preserve"> Concreting of Road at Landmark 2, Sasa 101(1) REMOVAL OF STRUCTURES AND OBSTRUCTION 105(1) SUBGRADE PREPARATION 201 AGGREGATE BASE COURSE 311(1) PCC PAVEMENT, PLAIN SPL-2 WARNING AND HAZARD SIGNS SPL-3 CONSTRUCTION HEALTH AND SAFETY SPL-4 BILLBOARD</t>
  </si>
  <si>
    <t xml:space="preserve"> INVITATION TO BID FOR THE SUPPLY, DELIVERY &amp; INSTALLATION OF AIRCONDITIONERS TO BE USED AT OSPITAL NG MUNTINLUPA (*RE-POSTED) 1.	The City Government of Muntinlupa, through its duly-approved Executive Budget for 2020 intends to apply the sum of One Million</t>
  </si>
  <si>
    <t xml:space="preserve"> INVITATION TO APPLY FOR ELIGIBILITY AND TO BID The Municipality of Alcoy, Cebu, through its Bids and Awards Committee (BAC), invites suppliers/manufacturers/distributors/contractors to apply for eligibility and to bid for the hereunder projects: 	Particul</t>
  </si>
  <si>
    <t xml:space="preserve"> Construction of pedestal/B. I Poles/Excavation and Backfilling/Installation of LED LIGHTS/ Testing</t>
  </si>
  <si>
    <t xml:space="preserve"> Items of Works Includes: a) Improvement of Child Development Center located at Balakbak, Kapangan -Replacement of damaged window glasses -Ceiling Works -Painting Works (3 coats) b)Improvement of Child Development Center located at Central, Kapangan -Remov</t>
  </si>
  <si>
    <t xml:space="preserve"> Public Bidding of Office Equipment</t>
  </si>
  <si>
    <t xml:space="preserve"> Please see attached Invitation to Bid. Thank you.</t>
  </si>
  <si>
    <t xml:space="preserve"> Kindly see and download attached documents</t>
  </si>
  <si>
    <t xml:space="preserve"> Fiber Glass Board and Ring</t>
  </si>
  <si>
    <t xml:space="preserve"> Name of Contract: Construction of Flood Protection and Control Project (Phase IV) for Tanjay River IAC Classification: Small "B" for Flood Control PCAB Category "D" Duration: 270 Calendar Days Approved Budget for the Contract: Php 10,000,000.00 xxxxxxxx</t>
  </si>
  <si>
    <t xml:space="preserve"> Contract ID: 20GKK0030 Contract Name: Supply and Delivery of Road Primer to be used for the Thermoplastic Application along BCIR Contract Location: DPWH-MOFDEO, Gingoog City Brief Description of Goods to be procured: Road Primer Approved Budget for the Co</t>
  </si>
  <si>
    <t xml:space="preserve"> Contract ID: 20GKK0031 Contract Name: Supply and Delivery of Nylon to be used for Vegetation Control along BCIR and GCVR Section Contract Location: DPWH-MOFDEO, Gingoog City Brief Description of Goods to be procured: Nylon #300 Approved Budget for the Con</t>
  </si>
  <si>
    <t xml:space="preserve"> Deliver Construction Materials, Site Clearing, Lay-outing, Excavation, Filling, Concrete, Forms, Scaffolding, Masonry, Fabrication of CHB#4, Trusses &amp; Roofing</t>
  </si>
  <si>
    <t xml:space="preserve"> Name of Contract: Construction of Seawall, Barangay 4 IAC Classification: Small "B" for Flood Control PCAB Category "D" Duration: 90 C.D. Approved Budget for the Contract: Php 2,000,000.00 xxxxxxx</t>
  </si>
  <si>
    <t xml:space="preserve"> 1.	The Development Bank of the Philippines, through the Corporate Budget approved by the Board for CY 2020 intends to apply the sum of One Million Seven Hundred Ten Thousand Pesos                             (Php 1,710,000.00)  at Php 90,000.00 per unit b</t>
  </si>
  <si>
    <t xml:space="preserve"> Supply and Delivery of the following items: 1	Unit 	DESKTOP: 		Intel Core i5 9400 2.9GHz 6MB processor 4GB DDR4 2400/2666 MHz Memory Graphics: 2GB HDD: 1TB GT Black w/ VX-500w PSU keyboard and Mouse USB AVR 500w Portable USB Speaker 21.5" LED widescreen m</t>
  </si>
  <si>
    <t xml:space="preserve"> INVITATION TO BID 						 Supply and Delivery of Various Construction Materials for the Construction of Imbang Gamay IP						 						 1.	The National Irrigation Administration (NIA) - Negros Occidental IMO through the RRECIS CY 2020 with Contract Reference </t>
  </si>
  <si>
    <t xml:space="preserve"> The Municipality of San Mariano, Isabela invite bidders to participate in this procurement, Supply and Delivery of Food Supplies for Indigent Family Approved Budget: Php. 486,000.00 Bids must be duly received on or before June 22, 2020 at 10:30 AM. Late b</t>
  </si>
  <si>
    <t xml:space="preserve"> 1 Phase line extension &amp; upgrading intended for power supply of water pump.</t>
  </si>
  <si>
    <t xml:space="preserve"> INVITATION TO BID IB-2020-082-INFRA          Improvement of Bangkulasi Cut-Off Channel and Vicinity, Navotas City 1.	The Metropolitan Manila Development Authority, through the 2020 General Appropriations Act (GAA) intends to apply the sum of Fourteen Mill</t>
  </si>
  <si>
    <t xml:space="preserve"> INVITATION TO BID IB-2020-081-INFRA  Improvement/Desilting of EDSA - Lumbang Drainage Main, District I, Makati City 1.	The Metropolitan Manila Development Authority, through the 2020 General Appropriations Act (GAA) intends to apply the sum of Four Millio</t>
  </si>
  <si>
    <t xml:space="preserve"> Republic of the Philippines Province of Ilocos Norte MUNICIPALITY OF PINILI INVITATION TO BID FOR  “SUPPLY OF VARIOUS PLANTS AND LANDSCAPING SERVICES FOR THE URBAN GREENING PROJECT” 1.	The Municipality of Pinili, Ilocos Norte through the MDF 2013-2019  in</t>
  </si>
  <si>
    <t xml:space="preserve"> Fabrication of rebar sand ceiling works, installation of roofing and fascia board and gutter, installation of electrical works, installation of tiles and doors.</t>
  </si>
  <si>
    <t xml:space="preserve"> Republic of the Philippines Province of Surigao del Sur MUNICIPALITY OF BAROBO  INVITATION TO BID The Municipality of Barobo, through its Bids and Awards Committee (BAC), invites suppliers/bidders to Bid for the Supply and Delivery of Two (2) Units Heavy </t>
  </si>
  <si>
    <t xml:space="preserve"> INVITATION TO BID IB-2020-080-INFRA  Proposed Rehabilitation &amp; Expansion of Equipment Workshop at Napindan Equipment Yard (Phase II) Napindan Hydraulic Control Structure Compound, J.P. Rizal St., Brgy. East Rembo, Makati City 1.	The Metropolitan Manila De</t>
  </si>
  <si>
    <t xml:space="preserve"> Republic of the Philippines Province of Eastern Samar Municipality of Guiuan Invitation to Bid  for  PROPOSED IMPROVEMENT OF GUIUAN INTEGRATED TRANSPORT TERMINAL, BRGY, 06, GUIUAN, EASTERN SAMAR The LOCAL GOVERNMENT UNIT OF GUIUAN,  through the  20% Devel</t>
  </si>
  <si>
    <t xml:space="preserve"> The Metro Kalibo Water District, through the Bids and Awards Committee (BAC), will undertake Negotiated Procurement (Small Value Procurement) for the SUPPLY AND DELIVERY OF VARIOUS WATER SERVICE CONNECTION MATERIALS FOR REALIGNMENT OF 250MMØ HDPE TRANSMIS</t>
  </si>
  <si>
    <t xml:space="preserve"> Name of Contract: Repair/Rehabilitation of Drainage Canals and Canal Covering Surrounding the Tanjay City Public Market IAC Classification: Small "B" for Flood Control PCAB Category "D" Duration: 120 Calendar Days Approved Budget for the Contract: Php 1,0</t>
  </si>
  <si>
    <t xml:space="preserve"> 1.	4		unit		Tent	 2.	1		set		CCTV camera	 					- CCTV Camera	 					- CCTV Connector	 					- CCTV Cable Wire</t>
  </si>
  <si>
    <t xml:space="preserve"> INVITATION TO BID The Guimaras District Engineering Office, through its Bids and Awards Committee (BAC), invites contractors to submit bids for the following Contract: Contract ID:	20GE0107 Contract Name: Construction of San Lorenzo Public Cemetery Locati</t>
  </si>
  <si>
    <t xml:space="preserve"> A seminar for the volunteers about disaster risk reduction and management that would train and equip them with knowledge and skills about Basic Life Support and fast emergency response through the use of the bike.</t>
  </si>
  <si>
    <t xml:space="preserve"> INVITATION TO BID IB-2020-083-INFRA        Improvement/Deepening of Makati-Pateros River, District II, Makati City 1.	The Metropolitan Manila Development Authority, through the 2020 General Appropriations Act (GAA) intends to apply the sum of Nineteen Mil</t>
  </si>
  <si>
    <t xml:space="preserve"> Procurement of 14-Units Dropside Pick Up (Rescue Vehicle)</t>
  </si>
  <si>
    <t xml:space="preserve"> SUPPLIES/DELIVERIES FOR THE PROCUREMENT OF DIESEL FUEL AND SPECIAL GASOLINE TO BE USED IN THE OPERATION OF HRAS, QAS, PDS AND MS FOR THE 1ST AND 2ND QUARTER OF YEAR 2020, DINAGAT ISLANDS DISTRICT ENGINEERING OFFICE 1.	The Department of Public Works and Hi</t>
  </si>
  <si>
    <t xml:space="preserve"> Tinsmithry-Ceiling-Trusses-Tiles-Stairs, Doors and Window-Painting-Slab</t>
  </si>
  <si>
    <t xml:space="preserve"> 1.)	  40 	 - rolls	 - Gill Net (.25 x 7 x 50 matas) 1000 meters 2.)	  40 	 - rolls	 - Gill Net (.25 x 8 x 50 matas) 1000 meters 3.)	  200  - kgs	 - Lead Sinker - Diameter: 15mm x 8mm 4.)	  40 	 - rolls	 - PE Rope #5 5.)	  6,000 	-  pcs	 - Floaters - Diame</t>
  </si>
  <si>
    <t xml:space="preserve"> 1.	The OFFICE OF CIVIL DEFENSE, through the OCD CY 2019 – Capital Outlay (Continuing Approprations), intends to apply the sum of Twelve Million, One Hundred Forty Six Thousand, Nine Hundred Sixty Seven and 54/100 Pesos (PHP12,146,967.54) being the Approve</t>
  </si>
  <si>
    <t xml:space="preserve"> Republic of the Philippines DEPARTMENT OF PUBLIC WORKS AND HIGHWAYS BATANGAS II  DISTRICT ENGINEERING OFFICE REGIONAL OFFICE IV-A Kumintang Ilaya, Batangas City INVITATION TO BID For Repair/Maintenance of DOJ Building, NBI Office Building, Kumintang Ibaba</t>
  </si>
  <si>
    <t xml:space="preserve"> 1.	The OFFICE OF CIVIL DEFENSE, through the OCD CY 2019 – Capital Outlay (Continuing Approprations), intends to apply the sum of Two Million Five Hundred Forty-Five Thousand, Nine Hundred Twenty Pesos (PHP 2,545,920.00) being the Approved Budget for the C</t>
  </si>
  <si>
    <t xml:space="preserve"> Republic of the Philippines DEPARTMENT OF PUBLIC WORKS AND HIGHWAYS CAMARINES SUR 5TH  DISTRICT ENGINEERING OFFICE REGIONAL OFFICE V Sta. Teresita, Baao, Camarines Sur INVITATION TO BID The Department of Public Works and Highways (DPWH) Camarines Sur 5th,</t>
  </si>
  <si>
    <t xml:space="preserve"> Bids received in excess of the ABC shall be automatically rejected at bid opening. The bidders should have completed within ten (10) years from the date of submission and receipt of bids, a contract similar to the project. The description of an eligible b</t>
  </si>
  <si>
    <t xml:space="preserve"> The Metro Kalibo Water District, through the Bids and Awards Committee (BAC), will undertake Alternative Mode of Procurement (Shopping b) for the SUPPLY &amp; DELIVERY OF VARIOUS INK/TONER FOR OFFICE USE – 2ND QUARTER PROCUREMENT in accordance with Section 52</t>
  </si>
  <si>
    <t xml:space="preserve"> 1.	The Development Bank of the Philippines, through the Corporate Budget approved by the Board for CY 2020 intends to apply the sum of Two Million Three Hundred Fifty-Two Thousand Pesos &amp; 00/100 (Php2,352,000.00) (for 3 years) (at Php56,000.00 per license</t>
  </si>
  <si>
    <t xml:space="preserve"> Republic of the Philippines DEPARTMENT OF PUBLIC WORKS AND HIGHWAYS BATANGAS II  DISTRICT ENGINEERING OFFICE REGIONAL OFFICE IV-A Kumintang Ilaya, Batangas City INVITATION TO BID For Supply and Delivery of Joint Sealant for the various Roads of Batangas I</t>
  </si>
  <si>
    <t xml:space="preserve"> INVITATION TO BID FOR  CONSTRUCTION OF CREMATORIUM AT TRECE MARTIRES CITY MEMORIAL PARK AT BRGY. AGUADO, TMC 1.	The City Government of Trece Martires, through the Re-allignment  20% Devt. Fund ( 2020) approved by the Sangguniang Panlungsod intends to appl</t>
  </si>
  <si>
    <t xml:space="preserve"> Republic of the Philippines PROVINCE OF BUKDINON Malaybalay City OFFICE OF THE PROVINCIAL GOVERNOR Bids and Awards Committee INVITATION TO BID FOR THE “PROCUREMENT AND INSTALLATION OF OFFICE CUBICLES FOR PROVINCIAL AND NATIONAL EXTENSION OFFICE” ITB No. 2</t>
  </si>
  <si>
    <t xml:space="preserve"> Procurement of Food Packs for assistance to BPAs and other similar facilities serving CICL due to Coid-19 Threat 		Food Packs:					Note: Please provide the brand you offer for each items, if applicable							 5,000	pack/sachet	Powdered Chocolate Energy Dr</t>
  </si>
  <si>
    <t xml:space="preserve"> INVITATION TO BID FOR  COLLECTION, HAULING, TRANSPORT AND DISPOSAL OF WASTE OF CITY OF TRECE MARTIRES FOR THE MONTH OF JULY 1,2020 TO AUGUST 15,2020 1.	The City Government of Trece Martires, through the  GENERAL FUND Devt. ( 2020) approved by the Sangguni</t>
  </si>
  <si>
    <t xml:space="preserve"> INVITATION TO BID FOR  CONSTRUCTION OF BARANGAY HEALTH STATION ( BHS) AT BARANGAY CONCHU, TMC 1.	The City Government of Trece Martires, through the TRUST FUND Fund ( 2020) approved by the Sangguniang Panlungsod intends to apply the sum of ONE MILLION FOUR</t>
  </si>
  <si>
    <t xml:space="preserve"> Procurement ID/Contract ID		: 	20CL0001 Contract Name	: 	Rehabilitation/Reconstruction/Upgrading of Damaged Paved Roads-  Secondary Road Olongapo-Bugallon Road K0 181 + 000 - K0181+124.70 Contract Location	: 	Cabangan, Zambales Brief Description	: 	Recons</t>
  </si>
  <si>
    <t xml:space="preserve"> Procurement of Semi-Expendable Items for Assistance to BPAs and other Similar Facilities Serving CICL due to COVID-19 Threat.  7	pc	Single Bed Linen/Bed Sheet (99 x 190 + 38CM (39 x 75+15")				 7	pc	Bath Tower				 7	pc	Standard Pillow Case (20" x 26")				</t>
  </si>
  <si>
    <t xml:space="preserve"> SUPPLIES/DELIVERIES FOR THE PROCUREMENT OF VARIOUS SPARE PARTS FOR THE PREVENTIVE MAINTENANCE OF THE OFFICIAL VEHICLES OF DPWH-DIDEO, DPWH – COMPOUND, BRGY. CUARINTA, SAN JOSE, DINAGAT ISLANDS FOR THE 2ND QUARTER OF C.Y. 2020 1.	The Department of Public W</t>
  </si>
  <si>
    <t xml:space="preserve"> INVITATION TO BID FOR  CONSTRUCTION OF PERIMETER FENCING OF SUNSHINEVILLE, ELEMENTARY SCHOOL, BRGY. CABUCO, TMC 1.	The City Government of Trece Martires, through the SPECIAL EDUCATION Fund ( 2020) approved by the Sangguniang Panlungsod intends to apply th</t>
  </si>
  <si>
    <t xml:space="preserve"> Republic of the Philippines DEPARTMENT OF PUBLIC WORKS and HIGHWAYS SULTAN KUDARAT 2ND DISTRICT ENGINEERING OFFICE REGION XII Lebak, Sultan Kudarat Contract ID No. : Contract Name : Contract Location : Brief Description of Goods to be procured: Quantity U</t>
  </si>
  <si>
    <t xml:space="preserve"> construction of covered court</t>
  </si>
  <si>
    <t xml:space="preserve"> INVITATION TO BID FOR  IMPROVEMENT / UPGRADING OF ELECTRICAL FACILITIES OF LUIS AGUADO NATIONAL HIGH SCHOOL, BRGY. AGUADO, TRECE MARTIRES CITY 1.	The City Government of Trece Martires, through the Special Education Fund ( 2020) approved by the Sangguniang</t>
  </si>
  <si>
    <t xml:space="preserve"> Supply of Road Maintenance Materials</t>
  </si>
  <si>
    <t xml:space="preserve"> Procurement ID/Contract ID		: 	20CL0041 Contract Name	: 	Widening of Permanent Bridges, Alusiis Br. (B01392LZ) along Olongapo- Bugallon Road, San Narciso, Zambales Contract Location	: 	San Narciso, Zambales Brief Description	: 	Widening of Permanent Bridg</t>
  </si>
  <si>
    <t xml:space="preserve"> CID No. 20IC0059 (2nd re-advertisement): Const. of San Miguel Integrated Transport Terminal, San Miguel, Leyte; ABC: P14,700,000.00; 186 CD ACTIVITY	TIME	PLACE 1.  Issuance/Downloading of       Bidding Documents	June 3 – 23, 2020	Hard copies at BAC Secret</t>
  </si>
  <si>
    <t xml:space="preserve"> INVITATION TO BID FOR  SUPPLY AND DELIVERY OF RICE AND SANDO BAG 1.	The City Government of Trece Martires, through the TRUST  Fund intends to apply the sum of One Million Four hundred ninety nine thousand nine hundred eighty pesos only  ( Php 1,499,980.00</t>
  </si>
  <si>
    <t xml:space="preserve"> Republic of the Philippines Province of Ilocos Norte MUNICIPALITY OF PINILI INVITATION TO BID FOR  “SUPPLY OF VARIOUS OFFICE SUPPLIES” 1.	The Municipality of Pinili, Ilocos Norte through the General Fund  intends to apply the sum FIVE HUNDRED FORTY TWO TH</t>
  </si>
  <si>
    <t xml:space="preserve"> Republic of the Philippines	 Department of Science and Technology PHILIPPINE SCIENCE HIGH SCHOOL – ZAMBOANGA PENINSULA REGION CAMPUS Cogon, Dipolog City INVITATION TO BID FOR THE PROCUREMENT OF SITE DEVELOPMENT (PHASE V) Design and Build APPROVED BUDGET F</t>
  </si>
  <si>
    <t xml:space="preserve"> RRepublic of the Philippines Province of Ilocos Norte MUNICIPALITY OF PINILI RE-INVITATION TO BID FOR “PROVISION OF POTABLE WATER (PHASE II) AT BARANGAY PUZOL”  1.	The Municipality of Pinili, Ilocos Norte through the MDF 2020 intends to apply the sum TWO </t>
  </si>
  <si>
    <t xml:space="preserve"> Please see attached ITB and RFQ in Associated Component Section for Specifications</t>
  </si>
  <si>
    <t xml:space="preserve"> The Department of Agriculture-RFO 3, invites interested suppliers/ bidders to submit bid proposal(s) for the hereunder requirement, to wit: LIVE ANIMALS	 	 115 head UPGRADED EWE	 - 6 to 8 months old	 - not less than 18 kg	 - with Certification from Vet on</t>
  </si>
  <si>
    <t xml:space="preserve"> Republic of the Philippines     DEPARTMENT OF PUBLIC WORKS AND HIGHWAYS   BUKIDNON 3RD  DISTRICT ENGINEERING OFFICE REGION X Dicklum, Manolo Fortich, Bukidnon ------------------------------------------------------------------------------------------------</t>
  </si>
  <si>
    <t xml:space="preserve"> The DPWH Nueva Ecija 1st DEO, through its Bids and Awards Committee (BAC), invites contractors to submit bids for the following contract:			 				 	20CE0207: Widening of Permanent Bridges Manicla Br. (B01968LZ) along Daang Maharlika (LZ)			 				 				 	CONT</t>
  </si>
  <si>
    <t xml:space="preserve"> Republic of the Philippines Province of Batanes MUNICIPALITY OF SABTANG -oOo- BIDS AND AWARDS COMMITTEE INVITATION TO APPLY FOR ELIGIBILITY AND TO BID The LGU-Sabtang has allocated funds from BUB - DA which is intended for the payment of the contract; Con</t>
  </si>
  <si>
    <t xml:space="preserve"> Republic of the Philippines Province of Batanes MUNICIPALITY OF SABTANG -oOo- BIDS AND AWARDS COMMITTEE INVITATION TO APPLY FOR ELIGIBILITY AND TO BID The LGU-Sabtang has allocated funds from 20% Development Fund-PLGU which is intended for the payment of </t>
  </si>
  <si>
    <t xml:space="preserve"> Republic of the Philippines Province of Batanes MUNICIPALITY OF SABTANG -oOo- BIDS AND AWARDS COMMITTEE INVITATION TO APPLY FOR ELIGIBILITY AND TO BID The LGU-Sabtang has allocated funds from 20% Development Fund - PLGU which is intended for the payment o</t>
  </si>
  <si>
    <t xml:space="preserve"> Free access on internet and free use of computers for the constituents of the barangay, which would help them to study and do their paper works easily through the help of technologies.</t>
  </si>
  <si>
    <t xml:space="preserve"> Republic of the Philippines Province of Batanes MUNICIPALITY OF SABTANG -oOo- BIDS AND AWARDS COMMITTEE INVITATION TO APPLY FOR ELIGIBILITY AND TO BID The LGU-Sabtang has allocated funds from DOH-HFEP 2012 which is intended for the payment of the contract</t>
  </si>
  <si>
    <t xml:space="preserve"> The DPWH Nueva Ecija 1st DEO, through its Bids and Awards Committee (BAC), invites contractors to submit bids for the following contract:			 				 	20CE0208: Replacement of Permanent Weak Bridges Amawinan Br. (B01981LZ) along Daang Maharlika (LZ)			 				 	</t>
  </si>
  <si>
    <t xml:space="preserve"> 1.	Construction of 4 units Organic Fertilizer Production Facility Prototype C ABC: Php2,000,000.00 Scope of Works: -	Item 802 Excavation Works				: 19.10 cu.m -	Item 900 (1) Reinforced Concrete			: 14.26 cu.m -	Item 901-414 (2) Masonry Works			: 71.80 sq.</t>
  </si>
  <si>
    <t xml:space="preserve"> Republic of the Philippines Province of Batanes MUNICIPALITY OF SABTANG -oOo- BIDS AND AWARDS COMMITTEE INVITATION TO APPLY FOR ELIGIBILITY AND TO BID The LGU-Sabtang has allocated funds from 20% Development Fund (MLGU) which is intended for the payment o</t>
  </si>
  <si>
    <t xml:space="preserve"> Republic of the Philippines Province of Batanes MUNICIPALITY OF SABTANG -oOo- BIDS AND AWARDS COMMITTEE INVITATION TO APPLY FOR ELIGIBILITY AND TO BID The LGU-Sabtang has allocated funds from 20% Development Fund (MLGU-FY2020) which is intended for the pa</t>
  </si>
  <si>
    <t xml:space="preserve"> INVITATION TO BID FOR THE  PROCUREMENT OF 1 UNIT RISOGRAPH MACHINE RHU, STA. FE, LEYTE (REBID) (BDG-2020-01R) 1.	 The Local Government Unit of Sta. Fe, Leyte, through the TRUST Fund CY 2019 intends to apply the sum of One Hundred Forty Pesos Only (Phpq140</t>
  </si>
  <si>
    <t xml:space="preserve"> Republic of the Philippines Province of Batanes MUNICIPALITY OF SABTANG -oOo- BIDS AND AWARDS COMMITTEE INVITATION TO APPLY FOR ELIGIBILITY AND TO BID The LGU-Sabtang has allocated funds from 20% Development Fund – 2018 PGB which is intended for the payme</t>
  </si>
  <si>
    <t xml:space="preserve"> INVITATION TO BID IB-2020-084-INFRA Improvement of Saranai Creek (Phase II) District I, Caloocan City 1.	The Metropolitan Manila Development Authority, through the 2020 General Appropriations Act (GAA)intends to apply the sum of FourteenMillion, NineHundr</t>
  </si>
  <si>
    <t xml:space="preserve"> 1.	Supply and Delivery of 2 units Hauling Trucks ABC: Php4,000,000.00 Specifications: -	Brand New -	Displacement :2,900cc to 4,500cc -	Emission Standard; Euro IV Compliant -	Engine System: Commonrail Direct Injection Type,      4 cylinder -	Payload Capaci</t>
  </si>
  <si>
    <t xml:space="preserve"> Repair of Existing Concrete Revetment</t>
  </si>
  <si>
    <t xml:space="preserve"> 1.	Supply and Delivery of 2,085 bags Hybrid Yellow Corn Seeds Total ABC: Php9,382,500.00 Line Item No. 1: Supply and Delivery of 495 bags NSIC 2005 GMCn11 ABC: Php2,227,500.00 Specifications: -	Glyphosate Tolerant -	Packed at 9 kg/bag -	Germination rate: </t>
  </si>
  <si>
    <t xml:space="preserve"> INVITATION TO BID IB-2020-085-INFRA Dredging / Deepening of Buwaya Creek and its Vicinities, (Inside Camp Aguinaldo) District III, Quezon City 1.	The Metropolitan Manila Development Authority, through the 2020 General Appropriations Act (GAA)intends to ap</t>
  </si>
  <si>
    <t xml:space="preserve"> 1.The Local Government Unit of San Andres, Quezon through its 20% Development Fund intends to apply the sum of One Million Pesos (Php 1,000,000.00) only being the Approved Budget for the Contract (ABC) to payments under the contract for Construction of Ma</t>
  </si>
  <si>
    <t xml:space="preserve"> Municipality of Looc Invitation to Bid for Construction of Covered Court in Tabao-Ambil 1.	The Municipality of Looc, through the OM/CO Supple 2 intends to apply the sum of Php 6,500,000.00 being the Approved Budget for the Contract (ABC) to payments under</t>
  </si>
  <si>
    <t xml:space="preserve"> 1.The Local Government Unit of San Andres, Quezon through its 20% Development Fund intends to apply the sum of One Million Pesos (Php 1,000,000.00) only being the Approved Budget for the Contract (ABC) to payments under the contract for Construction of Ba</t>
  </si>
  <si>
    <t xml:space="preserve"> 1.The Local Government Unit of San Andres, Quezon through its 20% Development Fund intends to apply the sum of One Million Pesos (Php 1,000,000.00) only being the Approved Budget for the Contract (ABC) to payments under the contract for Construction of RH</t>
  </si>
  <si>
    <t xml:space="preserve"> INVITATION TO BID IB-2020-089-INFRA Improvement of Casili Creek, District II, Caloocan City 1.	The Metropolitan Manila Development Authority, through the 2020 General Appropriations Act (GAA)intends to apply the sum of NineMillion, NineHundredEighty-NineT</t>
  </si>
  <si>
    <t xml:space="preserve"> To improve awareness and identity, develop talents and potential, build human capital and facilitate employability.</t>
  </si>
  <si>
    <t xml:space="preserve"> Contract ID:	20LG0119 Contract Name:			Construction of Rain Water Collector System (RWCS), Davao Oriental 2nd District Engineering Office Contract Location:	Davao Oriental Brief Description:	Construction of Rain Water Collector System Approved Budget for </t>
  </si>
  <si>
    <t xml:space="preserve"> INVITATION TO BID IB-2020-090-INFRA Desilting / Cleaning of Pacheco Drainage Main, Tondo, District I, Manila 1.	The Metropolitan Manila Development Authority, through the 2020 General Appropriations Act (GAA)intends to apply the sum of SixteenMillion, Nin</t>
  </si>
  <si>
    <t xml:space="preserve"> INVITATION TO BID IB-2020-088-INFRA Rehabilitation / Bank Improvement of Estero De Magdalena Tondo, District II, Manila 1.	The Metropolitan Manila Development Authority, through the 2020 General Appropriations Act (GAA)intends to apply the sum of Twenty-T</t>
  </si>
  <si>
    <t xml:space="preserve"> INVITATION TO BID FOR THE  PROCUREMENT OF 2 UNITS FOGGING MACHINE,  STA. FE, LEYTE (BDG-2020-02) 1.	 The Local Government Unit of Sta. Fe, Leyte, through the GENERAL Fund CY 2020 intends to apply the sum of Three Hundred Sixty Thousand Pesos Only (Phpq360</t>
  </si>
  <si>
    <t xml:space="preserve"> INVITATION TO BID FOR THE FURNISHING OF LABOR AND MATERIALS FOR THE RIP RAPPING OF BARANGAY DANAO, TIGBAUAN, ILOILO</t>
  </si>
  <si>
    <t xml:space="preserve"> INVITATION TO BID IB-2020-087-INFRA Improvement of Catmon-Niugan Creek, Malabon City 1.	The Metropolitan Manila Development Authority, through the 2020 General Appropriations Act (GAA)intends to apply the sum of Two Million, ThreeHundredNinety-FiveThousan</t>
  </si>
  <si>
    <t xml:space="preserve"> INVITATION TO BID IB-2020-086-INFRA Improvement / Maintenance of Blumentritt Interceptor and Vicinities, Sampaloc, District IV, Manila 1.	The Metropolitan Manila Development Authority, through the 2020 General Appropriations Act (GAA)intends to apply the </t>
  </si>
  <si>
    <t xml:space="preserve"> The Department of Agriculture-RFO 3, invites interested suppliers/ bidders to submit bid proposal(s) for the hereunder requirement, to wit: 50,683 BAGS FERTILIZER  UREA (46-0-0) / GRANULAR  @ 50 KGS/BAG	 Note: 1.	Fertilizer will be delivered to the identi</t>
  </si>
  <si>
    <t xml:space="preserve"> The Department of Agriculture-RFO 3, invites interested suppliers/ bidders to submit bid proposal(s) for the hereunder requirement, to wit: 2 units Hauling Truck Specification: Maximum Output Power: 163.0 Horsepower @ 3,400 rpm Engine Displacement: 3,200 </t>
  </si>
  <si>
    <t xml:space="preserve"> Republic of the Philippines DEPARTMENT OF PUBLIC WORKS AND HIGHWAYS BATANGAS III DISTRICT ENGINEERING OFFICE REGIONAL OFFICE IV-A J. Gonzales St., Barangay 4, Tanauan City RE-INVITATION TO BID (CW-2020-033) The DPWH–Batangas III District Engineering Offic</t>
  </si>
  <si>
    <t xml:space="preserve"> The Department of Agriculture-RFO 3, invites interested suppliers/ bidders to submit bid proposal(s) for the hereunder requirement, to wit: Range Feeds, 50 kg/bag	1090 bags   - Not less than 13% Crude Protein 	  Rice Bran D1, 50 kg/bag	310 bags Corn Meal,</t>
  </si>
  <si>
    <t xml:space="preserve"> An on-wheel library that will bring educational materials to the streets that will be used  for the improvement learning of KK members.</t>
  </si>
  <si>
    <t xml:space="preserve"> CID No. 20IC0066 (2nd re-advertisement):  Rd Rehab. &amp; Drainage Line Const. of Brgy. Rd from Maharlika Hwy to Police RO 8 Gate 2, Camp Kangleon, Campetic, Palo, Leyte;  ABC: P13,720,000.00; 105 CD ACTIVITY	TIME	PLACE 1.  Issuance/Downloading of       Biddi</t>
  </si>
  <si>
    <t xml:space="preserve"> 1.The Local Government Unit of San Andres, Quezon through its 20% Development Fund intends to apply the sum of Two Hundred Fifty Thousand Pesos (Php 250,000.00) only being the Approved Budget for the Contract (ABC) to payments under the contract for Rehab</t>
  </si>
  <si>
    <t xml:space="preserve"> INVITATION TO BID FOR THE SUPPLY OF THERMOPLASTIC PAINT MATERIALS The Department of Public Works and Highways Cebu 6th District Engineering Office, through its Bids and Awards Committee (BAC) for Goods, invites suppliers to submit bids for the following C</t>
  </si>
  <si>
    <t xml:space="preserve"> 1.	The Bureau of Fisheries and Aquatic Resources (BFAR) Regional Fisheries Office - MIMAROPA, Department of Agriculture invites interested bidders to participate in a public bidding for the above procurement project (“GOODS”) with an Approved Budget for t</t>
  </si>
  <si>
    <t xml:space="preserve"> CID No. 20IC0065 (2nd re-advertisement):  Const. of San Miguel Waterworks System Level III, Cabac-an Watershed, Brgy. Bahay, San Miguel, Leyte;  ABC: P14,700,000.00; 279 CD ACTIVITY	TIME	PLACE 1.  Issuance/Downloading of       Bidding Documents	June 3 – 2</t>
  </si>
  <si>
    <t xml:space="preserve"> CID No. 20IC0064 (2nd re-advertisement):  Const. of San Miguel Waterworks System III, Catambag Watershed, Brgy. Caraycaray, San Miguel, Leyte;  ABC: P14,700,000.00; 279 CD ACTIVITY	TIME	PLACE 1.  Issuance/Downloading of       Bidding Documents	June 3 – 23</t>
  </si>
  <si>
    <t xml:space="preserve"> ITEM       PARTICULAR                  QTY.             UNIT I.            LAY-OUT                        3.30            SQ.M. II.           FORM WORKS               12.56            LOT III.          MASONRY WORKS         41.38           CU.M. IV.      </t>
  </si>
  <si>
    <t xml:space="preserve"> CID No. 20IC0067 (2nd re-advertisement):  Const. of Two (2) Storey School Building, EVSU, Tanauan Campus, Tanauan, Leyte;  ABC: P8,820,000.00; 140 CD ACTIVITY	TIME	PLACE 1.  Issuance/Downloading of       Bidding Documents	June 3 – 23, 2020	Hard copies at </t>
  </si>
  <si>
    <t xml:space="preserve"> CID No. 20IC0068 (2nd re-advertisement):  Const. of Ground Water Tank with PE Liner, San Miguel, Leyte;  ABC: P8,820,000.00; 216 CD ACTIVITY	TIME	PLACE 1.  Issuance/Downloading of       Bidding Documents	June 3 – 23, 2020	Hard copies at BAC Secretariat; D</t>
  </si>
  <si>
    <t xml:space="preserve"> CID No. 20IC0069 (2nd re-advertisement):  Reconst. of Tolosa Public Market, Brgy. Telegrafo, Tolosa, Leyte;  ABC: P4,975,000.00; 120 CD ACTIVITY	TIME	PLACE 1.  Issuance/Downloading of       Bidding Documents	June 3 – 23, 2020	Hard copies at BAC Secretaria</t>
  </si>
  <si>
    <t xml:space="preserve"> CID No. 20IC0070 (2nd re-advertisement):  Const. of Covered Court, Brgy. Quilao, Tolosa, Leyte;  ABC: P2,970,000.00; 55 CD ACTIVITY	TIME	PLACE 1.  Issuance/Downloading of       Bidding Documents	June 3 – 23, 2020	Hard copies at BAC Secretariat; DPWH, Leyt</t>
  </si>
  <si>
    <t xml:space="preserve"> Lot 1 - Pump and VFD Control 1 lot Vertical In-Line Centrifugal Pump and Variable Frequency Drive (VFD) Lot 2 – CI Fittings 5	pcs C.I. Sleeve Coupling 4" PVC/PVC 3	pcs C.I. Sleeve Coupling 6" PVC/PVC 1	pc C.I. Sleeve Coupling 3" PVC/PVC 1	pc C.I. Sleeve C</t>
  </si>
  <si>
    <t xml:space="preserve"> 20F00075 - OO1: Ensure Safe and Reliable National Road System – Network Development Program – Construction of By-Pass and Diversion Roads – Naga-Jct. Magarao-Canaman-Libmanan Jct. PPH Road (Skybridge), Camarines Sur, Libmanan, Camarines Sur 2nd Legislativ</t>
  </si>
  <si>
    <t xml:space="preserve"> 20F00059 - OO1: Ensure Safe and Reliable National Road System – Network Development Program – Road Widening – Secondary Roads, Masbate-Cataingan-Placer Road, Cataingan, Masbate (3rd Legislative District)</t>
  </si>
  <si>
    <t xml:space="preserve"> A collaboration campaign of the SAngguniang Kabataan of Tejeros and the PAG-ASA sa Makati to promote a drug-free  barangay specifically  in the youth sector.</t>
  </si>
  <si>
    <t xml:space="preserve"> Contract ID: 20PF0065 Contract Name: Construction/Rehabilitation of Water Supply/Septage and Sewerage/Rain Water Collector Systems CY 2020 Brief Description: Water Supply (Level 1): Construction Approved Budget for the Contract (ABC): PhP 4,086,775.00 Sou</t>
  </si>
  <si>
    <t xml:space="preserve"> 20F00108 - Convergence and Special Support Program – Construction/Improvement of Access Roads Leading to Declared Tourism Destinations – Pasacao-Balatan Tourism Coastal Highway Leading to Pasacao Port to White Sand Beaches (Pasacao Section), Pasacao, Cama</t>
  </si>
  <si>
    <t xml:space="preserve"> 20F00113 - Local Program – Construction/Repair/Rehabilitation/Improvement of Various Infrastructure including Local Projects – Local Roads and Bridges – Local Roads – Construction of Pasacao-Balatan Coastal Road, Brgy. Pinamasagan, San Fernando, Camarines</t>
  </si>
  <si>
    <t xml:space="preserve"> Republic of the Philippines Department of Health WESTERN VISAYAS SANITARIUM Santa Barbara, Iloilo INVITATION TO BID FOR Procurement of Various Office Supplies,  Customized Logbooks &amp; Forms and ICT Consumables IB No. 2020-06-010-G The Western Visayas Sanit</t>
  </si>
  <si>
    <t xml:space="preserve"> Contract ID: 20PF0064 Contract Name: Rehabilitation / Restoration of Road Slip along Gov. Bado Dangwa National Road, K0347+490 - K0347+545, Pulag, Gambang, Bakun, Benguet Brief Description: Roads: Construction - Slope Protection using Structural Measures </t>
  </si>
  <si>
    <t xml:space="preserve"> Republic of the Philippines Province of Nueva Vizcaya Municipality of Bambang -oOo- INVITATION TO BID The Local Government Unit of Bambang, through the General Fund, intends to apply the sum of ONE MILLION TWO HUNDRED FORTY SIX THOUSAND SIX HUNDRED SEVENT</t>
  </si>
  <si>
    <t xml:space="preserve"> NOTICE TO THE PUBLIC  REQUEST FOR QUOTATION AMP SVP NO: 20-06-0253C	              The University of the Philippines, Diliman (UPD) hereby informs the public that it will be procuring the following item/s through Small Value Procurement:   Qty/Unit	Item De</t>
  </si>
  <si>
    <t xml:space="preserve"> Provision of seminar on gender sensitivity to youth to avoid discrimination across all gender and achieve gender equality.</t>
  </si>
  <si>
    <t xml:space="preserve"> 20F00110 - Local Program – Construction/Repair/Rehabilitation/Improvement of Various Infrastructure including Local Projects – Local Roads and Bridges – Local Roads – Construction of Pasacao-Balatan Coastal Road, Brgy. Cotmo, San Fernando, Camarines Sur (</t>
  </si>
  <si>
    <t xml:space="preserve"> 10 bags Corn Seeds (OPV), White														 5 bags Corn Seeds (Hybrid), Yellow														 10 bags Rice Seeds (Certified)														 10 bags Rice Seeds (Hybrid)														 15 bags Ammonium Sulfate														 15 bags Urea														 25 bags</t>
  </si>
  <si>
    <t xml:space="preserve"> 20F00122 - OO1: Ensure Safe and Reliable National Road System – Bridge Program – Widening of Permanent Bridges – Magsaysay Br. (B00474LZ) along MT Villanueva Ave-Magsaysay Road, Naga City, Camarines Sur 3rd Legislative District</t>
  </si>
  <si>
    <t xml:space="preserve"> Location : Daraga, Albay Scope of Work : Construction of Barangay Health Station (6m x 8m), works includes Earthworks, Plain and Reinforced Concrete, Masonry Works, Doors and Windows, Roof Framing, Roofing and Tinsmithry, Plastering Works, Painting for St</t>
  </si>
  <si>
    <t xml:space="preserve"> 20F00123 - OO1: Ensure Safe and Reliable National Road System – Bridge Program – Widening of Permanent Bridges – Pili Airport Br. (B00418LZ) along Pili Airport Road, Pili, Camarines Sur 3rd Legislative District</t>
  </si>
  <si>
    <t xml:space="preserve"> Location : Legazpi City, Albay Scope of Work : Construction of Barangay Health Station (6m x 8m), works includes Earthworks, Plain and Reinforced Concrete, Masonry Works, Doors and Windows, Roof Framing, Roofing and Tinsmithry, Plastering Works, Painting </t>
  </si>
  <si>
    <t xml:space="preserve"> The Zamboanga State College of Marine Sciences and Technology (ZSCMST), through its Bids and Awards Committee, is inviting PhilGeps registered suppliers to apply for eligibility and to submit bids for the items mentioned hereunder: B-030-2020 SUPPLY AND D</t>
  </si>
  <si>
    <t xml:space="preserve"> 12 LITER FOLIAR FERTILIZER (LIQUID) 6 BAGS COMPLETE (14-14-14) 6 BAGS UREA (46-0-0) 6 BAGS MURIATE OF POTASH (0-0-60) 60 BAGS VERMICAST 6 CAN EGGPLANT - 25g/CAN 6 CAN TOMATO - 25g/CAN 6 KG POLE SITAO 6 KG OKRA 30 SACHETS HOT PEPPER 30 SACHETS KALABASA 6 K</t>
  </si>
  <si>
    <t xml:space="preserve"> The Zamboanga State College of Marine Sciences and Technology (ZSCMST), through its Bids and Awards Committee, is inviting PhilGeps registered suppliers to apply for eligibility and to submit bids for the items mentioned hereunder: B-014-2020 SUPPLY AND D</t>
  </si>
  <si>
    <t xml:space="preserve"> The Zamboanga State College of Marine Sciences and Technology (ZSCMST), through its Bids and Awards Committee, is inviting PhilGeps registered suppliers to apply for eligibility and to submit bids for the items mentioned hereunder: B-015-2020 SUPPLY AND D</t>
  </si>
  <si>
    <t xml:space="preserve"> Item I	-11.064 cu.m. Excavation works Item II	-87 cu.m. Embankment  Item III	-10.87 cu.m. Concrete works Item IV	-182.28 sq.m. Masonry works Item V	-97.2 sq.m. Trusses and roofing Item VI	-29.8 l.m Railings Item VII	-LS Formworks Item VIII	-128.26 sq.m. P</t>
  </si>
  <si>
    <t xml:space="preserve"> PB NO. 2020-028		 			 1.	1	lot	Proposed Installation Motorized Roll Ups Door at San Pablo City Shopping Mall and Public Market, San Pablo City. 			By: Contract 			 	Deadline for Submission of Bids: June 24, 2020 1:00 pm</t>
  </si>
  <si>
    <t xml:space="preserve"> Republic of the Philippines Province of Bohol Municipality of Loon OFFICE OF THE BIDS AND AWARDS COMMITTEE Request for Expression of Interest CONSULTING SERVICES FOR SONAR SURVEY Contract No.: CS2020-01 1.	The Local Government Unit of Loon, Bohol, through</t>
  </si>
  <si>
    <t xml:space="preserve"> Project billboard 1.00 lot Reinforce Concrete canal Lining: Structure Excavation 270.02 cu.m Reinforced Concrete Class A w/o Forms 35.86 cu.m. Reinforced Concrete Class A w/ forms 50.63 cu.m.</t>
  </si>
  <si>
    <t xml:space="preserve"> The DPWH Neg. Occ. 4th District Engineering Office, Bago City, Neg. Occ., through its Bids and Awards Committee (BAC), invites contractors to submit bids for the following Contracts: 1.	Contract ID No.:       	20GN0090 	Contract Name:  	Constructions/Reha</t>
  </si>
  <si>
    <t xml:space="preserve"> PB NO. 2020-027		 			 1.	1	lot	Proposed Construction of Stockroom for CTO / CGSO at Brgy. San Gabriel, San Pablo City. 			By: Contract 			 	Deadline for Submission of Bids: June 24, 2020 10:00 am</t>
  </si>
  <si>
    <t xml:space="preserve"> The Zamboanga State College of Marine Sciences and Technology (ZSCMST), through its Bids and Awards Committee, is inviting PhilGeps registered suppliers to apply for eligibility and to submit bids for the items mentioned hereunder: B-010-2020-A SUPPLY AND</t>
  </si>
  <si>
    <t xml:space="preserve"> May 28, 2020 RE-INVITATION TO BID  The Department of Public Works and Highways, Mindoro Occidental District Engineering Office, Mamburao, Occidental Mindoro, through its Bids and Award Committee (BAC), invites contractors to submit bids for the following </t>
  </si>
  <si>
    <t xml:space="preserve"> Conference Table of Sangguniang Barangay Officials</t>
  </si>
  <si>
    <t xml:space="preserve"> Republic of the Philippines DEPARTMENT OF PUBLIC WORKS AND HIGHWAYS CAMARINES SUR 1st DISTRICT ENGINEERING OFFICE REGIONAL OFFICE V Baras, Canaman, Camarines Sur INVITATION TO BID The      DPWH -Camarines Sur 1st DEO, through its Bids and Awards Committee</t>
  </si>
  <si>
    <t xml:space="preserve"> May 28, 2020 INVITATION TO BID  The Department of Public Works and Highways, Mindoro Occidental District Engineering Office, Mamburao, Occidental Mindoro, through its Bids and Award Committee (BAC), invites contractors to submit bids for the following Con</t>
  </si>
  <si>
    <t xml:space="preserve"> The Zamboanga State College of Marine Sciences and Technology (ZSCMST), through its Bids and Awards Committee, is inviting PhilGeps registered suppliers to apply for eligibility and to submit bids for the items mentioned hereunder: B-031-2020 SUPPLY AND D</t>
  </si>
  <si>
    <t xml:space="preserve"> Republic of the Philippines Province of Iloilo BIDS AND AWARDS COMMITTEE INVITATION TO BID Purchase of Agricultural Machinery  Bid No. AGR-20-0479-B 1. The Iloilo Provincial Government, through the    General Fund 2020 intends to apply the sum of TWO HUND</t>
  </si>
  <si>
    <t xml:space="preserve"> Republic of the Philippines Province of Iloilo BIDS AND AWARDS COMMITTEE INVITATION TO BID Purchase of Agricultural Machinery and Equipment Bid No. AGR-20-0478-B 1. The Iloilo Provincial Government, through the    General Fund 2020 intends to apply the su</t>
  </si>
  <si>
    <t xml:space="preserve"> Republic of the Philippines Province of Iloilo BIDS AND AWARDS COMMITTEE INVITATION TO BID Purchase of Agricultural Machinery  Bid No. AGR-20-0476-B 1. The Iloilo Provincial Government, through the    General Fund 2020 intends to apply the sum of TWO HUND</t>
  </si>
  <si>
    <t xml:space="preserve"> Supply and Delivery of various materials for the proposed Barangay Quadrangle Stage, Brgy. Cabugao Viejo, San Enrique, Iloilo Approved Budget for the Contract P 345, 000.00 Source of Fund : 20% Development Fund</t>
  </si>
  <si>
    <t xml:space="preserve"> Republic of the Philippines Province of Quezon Municipality of Macalelon Invitation to Bid for the  REHABILITATION/IMPROVEMENT OF ECOLOGICAL ACCESS ROAD Reference No. 2020-05-286-ME 										June 3, 2020 1.	The LGU-Macalelon, Quezon intends to apply the </t>
  </si>
  <si>
    <t xml:space="preserve"> INVITATION TO BID  for  Supply and Delivery of Drugs and Medicines at Pangasinan Provincial Hospital, San Carlos City, Pangasinan  Solicitation No. PANG-2020-755 1.	The Provincial Government of Pangasinan, through the Trust Fund (PR#2020-03-3209) intends </t>
  </si>
  <si>
    <t xml:space="preserve"> INVITATION TO BID  for  Supply and Delivery of Spare Parts at General Services Office, Lingayen, Pangasinan (for use of Backhoe Hitachi No. 2010-04) Solicitation No. PANG-2020-758 1.	The Provincial Government of Pangasinan, through the Spare Parts Fund (P</t>
  </si>
  <si>
    <t xml:space="preserve"> INVITATION TO BID  for  Supply and Delivery of Various Spare Parts at General Services Office, Lingayen, Pangasinan (for use of 25 units Isuzu Dumptrucks) Solicitation No. PANG-2020-757 1.	The Provincial Government of Pangasinan, through the Spare Parts F</t>
  </si>
  <si>
    <t xml:space="preserve"> INVITATION TO BID  for  Reconstruction of One (1) unit, Three (3) Classroom School Building at Bued East E/S, Calasiao, Pangasinan Solicitation No. PANG-2020-0750 1.	The Provincial Government of Pangasinan, through the School Board (PR#2020-02-1850) inten</t>
  </si>
  <si>
    <t xml:space="preserve"> 1.	The City Government of Sipalay, Province of Negros Occidental, thru the 2020 Budget Appropriation approved by the Sangguniang Panlungsod intends to apply the amount of One Million Two Hundred Eighty Thousand Pesos (P1,280,000.00) only being the Approve</t>
  </si>
  <si>
    <t xml:space="preserve"> INVITATION TO BID  for  Supply and Delivery of Various Medical Supplies at Bayambang District Hospital, Bayambang, Pangasinan  Solicitation No. PANG-2020-0756 1.	The Provincial Government of Pangasinan, through the Trust Fund (PR#2020-03-3014) intends to </t>
  </si>
  <si>
    <t xml:space="preserve"> INVITATION TO BID  for  Supply and Delivery of One (1) unit Genset, 75 KVA, Open Type with Complete Accessories and Battery at GSO, Lingayen, Pangasinan (for use at Emergency Operation Center, PDRRMO Building, LDH Compound, Lingayen, Pangasinan) Solicitat</t>
  </si>
  <si>
    <t xml:space="preserve"> INVITATION TO BID  for  Supply and Delivery of Various Spare Parts at General Services Office, Lingayen, Pangasinan (for use of Backhoe EX120, 2012-07) Solicitation No. PANG-2020-0759 1.	The Provincial Government of Pangasinan, through the Spare Parts Fun</t>
  </si>
  <si>
    <t xml:space="preserve"> 520 pcs 4” CHB 50 bags Portland Cement 8 cu.m Gravel 8 cu.m Sand 38 pcs 10mmo x 6.0m DSB 3 kls  #16 G.I Tie Wire 2 pcs 1/2” x 4 x 8 Ordinary Plywood 8 pcs 1 ½ x 1 ½ x 3/16 L Bar 6 pcs 2 x 4 Cee Purlins 4 kls Welding Rod 10 pcs 0.40mm x 8’ Corr G.I Sheet 4</t>
  </si>
  <si>
    <t xml:space="preserve"> Republic of the Philippines Province of Bukidnon MUNICIPALITY OF PANGANTUCAN TIN 099-000-631-170 OFFICE OF THE MUNICIPAL MAYOR Bids and Awards Committee (BAC) Cell # 09261024636  Email us: munpangantucanbukidnon@yahoo.com  or visit www.philgeps.net INVITA</t>
  </si>
  <si>
    <t xml:space="preserve"> Republic of the Philippines								 Department Of Public Works and Highways								 Negros Oriental 2nd District Engineering Office								 REGIONAL OFFFICE VII								 Cangmating, Sibulan, Negros Oriental								 (035)522 0635								 								 INVITATION</t>
  </si>
  <si>
    <t xml:space="preserve"> Procurement ID/Contract ID		:  20 IK 0095	     Contract Name				:  Repair/Maintenance of Drainage Canal Along Daang Maharlika     Contract Location			:  Brgy. Maulong, Catbalogan City, Samar, K0799+799-K0799+919(BS)     Brief Description	:  Drainage Canal</t>
  </si>
  <si>
    <t xml:space="preserve"> Procurement ID/Contract ID		:  20 IK 0097	     Contract Name				:  Installation of Road Safety Facilities Along National Roads within the    Jurisdiction of DPWH Samar 2nd DEO, Catbaloagn City      Contract Location			:  Various Location     Brief Descrip</t>
  </si>
  <si>
    <t xml:space="preserve"> INVITATION TO BID  for  Construction of One (1) unit, Two (2) Classroom Second Floor at Ambonao E/S, Calasiao, Pangasinan Solicitation No. PANG-2020-0749 1.	The Provincial Government of Pangasinan, through the School Board (PR#2020-02-1852) intends to app</t>
  </si>
  <si>
    <t xml:space="preserve"> INVITATION TO BID  for  Repair/Rehabilitation of Covered Court Gymnasium at Brgy. Malico, E/S Compound, San Nicolas, Pangasinan Solicitation No. PANG-2020-0754 1.	The Provincial Government of Pangasinan, through the School Board (PR#2020-01-0778) intends </t>
  </si>
  <si>
    <t xml:space="preserve"> Procurement ID/Contract ID		:  20 IK 0096	     Contract Name				:  Repair/Maintenance of DPWH Building BOE Area Equipment Section II-    Main Repair Shop (Mezzanine) Building     Contract Location			:  Brgy. Maulong, Catbalogan city, Samar     Brief Descr</t>
  </si>
  <si>
    <t xml:space="preserve"> INVITATION TO BID  for  Pavement Markings at Binalonan – San Manuel Road, Binalonan &amp; San Manuel, Pangasinan Solicitation No. PANG-2020-0753 1.	The Provincial Government of Pangasinan, through the Construction, Repair &amp; Maintenance of Various Roads and Br</t>
  </si>
  <si>
    <t xml:space="preserve"> Procurement ID/Contract ID		:  20 IK 0093     Contract Name				:  Repair/Maintenance of Drainage Canal Along Wright-Taft-Borongan Road     Contract Location			:  Brgy. Campo 1, Paranas Samar, K0845+400-K0845+455     Brief Description	:  Drainage Canal    </t>
  </si>
  <si>
    <t xml:space="preserve"> Please quote your lowest price on the item/s listed below: 1. VEHICLE HIRE 4x2				 ACTIVITY: QUADRANGLE GEOLOGIC MAPPING				 LOCATION: DANGCAGAN/DON CARLOS/KALILANGAN/MARAMAG/PANGANTUCAN, BUKIDNON				 PERIOD: 2020. JUNE 15-20				 PASSENGERS: 6				 2. VEHI</t>
  </si>
  <si>
    <t xml:space="preserve"> FUSO CANTER DOUBLE CAB DROPSIDE  4M40 ENGINE  6 WHEELER  94 HORSEPOWER  2,835 CC CAPACITY  6FT BODY LENGHT DROPSIDE</t>
  </si>
  <si>
    <t xml:space="preserve"> INVITATION TO BID  for  Repair of Four (4) School Buildings at Pasibi-Bituag E/S, Urbiztondo, Pangasinan Solicitation No. PANG-2020-0752 1.	The Provincial Government of Pangasinan, through the School Board (PR#2020-02-1848) intends to apply the sum of One</t>
  </si>
  <si>
    <t xml:space="preserve"> Procurement ID/Contract ID		:  20 IK 0094	     Contract Name				:  Repair/Maintenance of Drainage Canal Along Wright-Taft-Borongan Road     Contract Location			:  Brgy. San Isidro, Paranas Samar, K0845+995-K0846+050     Brief Description	:  Drainage Canal</t>
  </si>
  <si>
    <t xml:space="preserve"> Republic of the Philippines Province of Southern Leyte Municipality of San Juan BIDS AND AWARDS COMMITTEE INVITATION TO BID 								Date:	June 2, 2020						                Contract no:    MSJ-2020-13 The LGU of the Municipality of San Juan, Southern Leyte</t>
  </si>
  <si>
    <t xml:space="preserve"> INVITATION TO BID  for  Construction of Standard One (1) unit, Two (2) Classroom School Building at Siaosio E/S, Sual, Pangasinan Solicitation No. PANG-2020-0751 1.	The Provincial Government of Pangasinan, through the School Board (PR#2020-02-1861) intend</t>
  </si>
  <si>
    <t xml:space="preserve"> Invitation to Bid All prospective bidders are invited to bid on the above items. The Municipality of Boac reserves the right to accept or reject any bid, to annul the bidding process, and to reject all bids at any time prior to contract award, without the</t>
  </si>
  <si>
    <t xml:space="preserve"> PROCUREMENT OF 1-UNIT, 4 WHEELERS, 11 FOOTER 3.0 LIT DROPSIDE BODY (BRAND NEW) VEHICLE FOR THE USE OF MENRO, TIGBAUAN, ILOILO.(Re-Bid)</t>
  </si>
  <si>
    <t xml:space="preserve"> Republic of the Philippines Province of Leyte BRGY. CULASIAN, CAPOOCAN, LEYTE -oOo- BIDS AND AWARD COMMITTEE INVITATION TO BID  FOR THE PROCUREMENT OF RESCUE VEHICLE 1.	The Brgy. Culasian Capoocan, Leyte, through the Brgy. 5% DRRM Funds for 2020 intends t</t>
  </si>
  <si>
    <t xml:space="preserve"> ENGINE SPECIFICATIONS: NUMBER OF CYLINDER: 6 FUEL: DIESEL FUEL TANK CAPACITY: 200 LITERS (STEEL TANK) EMISSION COMPLIANT: EURO IV ENGINE POWER: 200-240 HP (650-720 N.M) OPERATIONAL: DRIVE FORM: 4X4 (6 WHEELERS) CYCLE TIME FOR GARBAGE LOADING: 20s-30s CYCL</t>
  </si>
  <si>
    <t xml:space="preserve"> See attached documents, print Bid Notice Abstract and download ITB No. GOODS-20-102.</t>
  </si>
  <si>
    <t xml:space="preserve"> 1. The Mindanao State University – Tawi-Tawi College of Technology and Oceanography (MSU-TCTO), through 2020 General Appropriations Act (GAA) Budget, intends to apply the sum of One Million Six Hundred Pesos and 00/100 (PhP 1,600,000.00) being the Approve</t>
  </si>
  <si>
    <t xml:space="preserve"> See attached documents, print Bid Notice Abstract and download ITB No. GOODS-20-101.</t>
  </si>
  <si>
    <t xml:space="preserve"> INVITATION TO BID No. NNP-2020-VI-22-01F The Municipality of Sibalom through its Bids &amp; Awards Committee (BAC), invites bidders/contractors to apply for eligibility and to bid for the hereunder project: Project           	 		:	Tires, Battery &amp; Spareparts </t>
  </si>
  <si>
    <t xml:space="preserve"> The DPWH – Bulacan First District Engineering Office, through its Bids and Awards Committee (BAC), invites contractors to submit bids for the following Contract: Contract ID: 20CC0234 Contract Name: Concreting of Purok Gitna, Brgy. Manatal FMR Contract Lo</t>
  </si>
  <si>
    <t xml:space="preserve"> FURNISHING OF LABOR, MATERIALS AND EQUIPMENT RENTALS FOR THE CONTINUING IMPROVEMENT OF MUNICIPAL RURAL HEALTH CENTER AND BIRTHING CENTER LOCATED AT BRGY. 5, POBLACION, TIGBAUAN, ILOILO.</t>
  </si>
  <si>
    <t xml:space="preserve"> INVITATION TO BID FOR 20GAA0062: PROCUREMENT OF ONE (1) UNIT CORS REFERENCE STATION AND ONE (1) UNIT GNSS RTK ROVER WITH CONTROLLER FOR USE AT PLANNING &amp; DESIGN SECTION, DPWH-INFDEO, LAOAG CITY The Department of Public Works and Highways Ilocos Norte 1stD</t>
  </si>
  <si>
    <t xml:space="preserve"> The DPWH – Bulacan First District Engineering Office, through its Bids and Awards Committee (BAC), invites contractors to submit bids for the following Contract: Contract ID: 20CC0236 Contract Name: Concreting of Brgy. Cupang-Bagong Barrio FMR Contract Lo</t>
  </si>
  <si>
    <t xml:space="preserve"> Republic of the Philippines                   Department of Health	       CENTRAL OFFICE BIDS AND AWARDS COMMITTEE  INVITATION TO BID FOR THE  PROCUREMENT OF FULL COLOR PRODUCTION PRINTER IB NO. 2020-207 1.	The Department of Health (DOH), through the Gene</t>
  </si>
  <si>
    <t xml:space="preserve"> 28 cu.m Selected Fill 68 bags Portland Cement 7 cu.m Gravel 4 cu.m Sand 72 pcs 10mmo x 6.0m DSB 4 kls  #16 G.I Tie Wire 820 pcs 4” CHB 42 bags Portland Cement 6 cu.m Sand 38 pcs 10mmo x 6.0m DSB 3 kls #16 G.I Tie Wire 8 pcs 2 x 2  x ¼ Angle Bar 12 pcs 2 x</t>
  </si>
  <si>
    <t xml:space="preserve"> Republic of the Philippines Province of Samar Municipality of San Jose de Buan INVITATION TO BID FOR THE PURCHASE OF 1-UNIT MOBILE CLINIC 1.	The Municipal Local Government Unit of San Jose de Buan, Samar, through the LDRRMF of 2020 intends to apply the su</t>
  </si>
  <si>
    <t xml:space="preserve"> The DPWH – Bulacan First District Engineering Office, through its Bids and Awards Committee (BAC), invites contractors to submit bids for the following Contract: Contract ID: 20CC0235 Contract Name: Concreting of Brgy. Sto. Nino FMR Contract Location: Brg</t>
  </si>
  <si>
    <t xml:space="preserve"> The DPWH – Bulacan First District Engineering Office, through its Bids and Awards Committee (BAC), invites contractors to submit bids for the following Contract: Contract ID: 20CC0238 Contract Name: Concreting of Purok 5, Camaling, brgy. Pungo FMR Contrac</t>
  </si>
  <si>
    <t xml:space="preserve"> The DPWH – Bulacan First District Engineering Office, through its Bids and Awards Committee (BAC), invites contractors to submit bids for the following Contract: Contract ID: 20CC0239 Contract Name: Repair/Maintenance of DPWH Building DE’s Office &amp; variou</t>
  </si>
  <si>
    <t xml:space="preserve"> The DPWH – Bulacan First District Engineering Office, through its Bids and Awards Committee (BAC), invites contractors to submit bids for the following Contract: Contract ID: 20CC0241 Contract Name: Repair/Maintenance of Flood Control Structures along Ang</t>
  </si>
  <si>
    <t xml:space="preserve"> INVITATION TO RE-BID The Provincial Government of Occidental Mindoro through its Bids and Awards Committee (BAC) invites all interested contractors to apply for eligibility and to bid for the following projects: Reference No.	Name of Project	Location	Brie</t>
  </si>
  <si>
    <t xml:space="preserve"> INVITATION TO BID THE BARANGAY LEPAGA THROUGH ITS BIDS AND AWARDS COMMITTEE (BAC) INVITES PHILGEPS REGISTERED SUPPLIERS TO APPLY TO BID FOR THE SUPPLY AND DELIVERY OF VARIOUS MATERIALS FOR COMPLETION OF EVACUATION CENTER. I. CONCRETE WORKS II. STEEL WORKS</t>
  </si>
  <si>
    <t xml:space="preserve"> The DPWH – Bulacan First District Engineering Office, through its Bids and Awards Committee (BAC), invites contractors to submit bids for the following Contract: Contract ID: 20CC0240 Contract Name: Repair/Maintenance of Flood Control Structures along Ang</t>
  </si>
  <si>
    <t xml:space="preserve"> Republic of the Philippines Province of Leyte Municipality of Mahaplag BARANGAY MAHAYAG Invitation to bid for the Procurement of Materials for the Construction of Barangay Pathway (Phase II) 1. The Barangay Mahayag of Mahaplag, Leyte, through the 20% EDF </t>
  </si>
  <si>
    <t xml:space="preserve"> Republic of the Philippines BOHOL ISLAND STATE UNIVERSITY Main Campus, Tagbilaran City INVITATION TO BID FOR SUPPLY AND DELIVERY OF OFFICE EQUIPMENT (PR NO. 2020-02-0311, 2020-02-0380, 2020-02-0273, 2020-01-0141) 1.	The Bohol Island State University – Mai</t>
  </si>
  <si>
    <t xml:space="preserve"> INVITATION TO BID  THE BARANGAY LEPAGA , MLANG, COTABATO THROUGH ITS BIDS AND AWARDS COMMITTEE (BAC) INVITES PHILGEPS REGISTERED SUPPLIERS TO APPLY TO BID FOR THE SUPPLY AND DELIVERY OF VARIOUS MATERIALS FOR ROAD GRAVELLING OF BARANGAY LEPAGA. 200 AGGREGA</t>
  </si>
  <si>
    <t xml:space="preserve"> OFFICE ENHANCEMENT PROJECT (1ST &amp; 2ND QTR.)</t>
  </si>
  <si>
    <t xml:space="preserve"> The DPWH – Bulacan First District Engineering Office, through its Bids and Awards Committee (BAC), invites contractors to submit bids for the following Contract: Contract ID: 20CC0243 Contract Name: Repair/Maintenance of DILG Building PNP Station Building</t>
  </si>
  <si>
    <t xml:space="preserve"> Republic of the Philippines BOHOL ISLAND STATE UNIVERSITY Main Campus, Tagbilaran City INVITATION TO BID FOR SUPPLY AND DELIVERY OF PHOTOCOPIERS (PR NO. 2020-02-0415, 2020-02-0242) 1.	The Bohol Island State University – Main Campus, Tagbilaran City, throu</t>
  </si>
  <si>
    <t xml:space="preserve"> The DPWH – Bulacan First District Engineering Office, through its Bids and Awards Committee (BAC), invites contractors to submit bids for the following Contract: Contract ID: 20CC0242 Contract Name: Repair/Maintenance of DPWH Building Warehouse &amp; Repair B</t>
  </si>
  <si>
    <t xml:space="preserve"> 1 consultant</t>
  </si>
  <si>
    <t xml:space="preserve"> The DPWH – Bulacan First District Engineering Office, through its Bids and Awards Committee (BAC), invites contractors to submit bids for the following Contract: Contract ID: 20CC0237 Contract Name: Concreting of Purok 2 to Purok 7, brgy. Gugo FMR Contrac</t>
  </si>
  <si>
    <t xml:space="preserve"> Republic of the Philippines BOHOL ISLAND STATE UNIVERSITY Main Campus, Tagbilaran City INVITATION TO BID FOR SUPPLY AND DELIVERY OF MULTIMEDIA PROJECTORS (PR NO. 2020-02-0185, 2020-02-0299, 2020-02-0152, 2020-02-0339, 2020-02-0270, 2020-02-0299, 2020-02-0</t>
  </si>
  <si>
    <t xml:space="preserve"> Materials : 284 bags  Cement 17 cu.m. Sand 35 cu.m. Gravel 3/4 39 cu.m. Filling materials 24 pcs Coco lumber 2x6x12 5 kgs CWN #4 12 kgs Tie wire #16 10 pcs 16mm,rsb 4 pcs 16mm, plain round bar</t>
  </si>
  <si>
    <t xml:space="preserve"> Purchase and Delivery of Three (3) Units Brand New Van, Dingle, Iloilo</t>
  </si>
  <si>
    <t xml:space="preserve"> Procurement of Construction Materials and Supplies</t>
  </si>
  <si>
    <t xml:space="preserve"> Location: PSU Goa campus Bidding Fee: P 7,000.00 (Non-refundable) Schedule of activities: 1. Issuance and availability of Bid Documents: June 3, 2020 until 12:00 noon of June 23, 2020  (except week-ends &amp; Holidays at the BAC Secretariat Office, PSU-Goa ca</t>
  </si>
  <si>
    <t xml:space="preserve"> 3 unit, Panel Scree, 4-folds screen, mobile - material: stainless steel frame with washable cloth curtains - feature: four folds screen with castors/mobile - dimension: approximately L-70 x H-70 inches</t>
  </si>
  <si>
    <t xml:space="preserve"> Form No. 	IFD-SP-PROC002-001 			BOHOL ISLAND STATE UNIVERSITY	Revision: 	00 			Main Campus	Effectivity Date: 	June 17,2019 			 C.P.G. North Avenue, Tagbilaran City, Bohol	Related Process:	BISU-SP-PROC-002 				REQUEST FOR QUOTATION	 			Contract Reference N</t>
  </si>
  <si>
    <t xml:space="preserve"> The Local Government Unit of Science City of Muñoz, through the 2020 Development Fund, intends to apply the sum of Five Million Five Hundred Thousand Pesos (Php 5,500,000.00) being the Approved Budget for the Contract (ABC) to payments under the contract </t>
  </si>
  <si>
    <t xml:space="preserve"> 1.	The Municipality of Baliguian, now invites bids for the Civil works for the Concreting of 200meter Farm to Market Road at Sitio Tumbaga, Barangay Nonoyan, Baliguian, Zamboanga del Norte.  2.	Bidding will be conducted in accordance with relevant procedu</t>
  </si>
  <si>
    <t xml:space="preserve"> Republicof the Philippines PROVINCEOFAGUSAN DEL SUR Municipality of San Luis Barangay CECILIA Invitation to Bid SUPPLY AND DELIVERY OF HARDWARE MATERIALS FOR THE CONSTRUCTION OF MULTI-PURPOSE HALL BLDG. (PHASE-2) 1. The Barangay government of Cecilia, San</t>
  </si>
  <si>
    <t xml:space="preserve"> Materials, supplies, equipment needed to enable office operations.</t>
  </si>
  <si>
    <t xml:space="preserve"> The Local Government Unit of Science City of Muñoz, through the 2020 Development Fund, intends to apply the sum of Four Million Pesos (Php 4,000,000.00) being the Approved Budget for the Contract (ABC) to payments under the contract for Concreting of City</t>
  </si>
  <si>
    <t xml:space="preserve"> REPUBLIC OF THE PHILIPPINES CITY GOVERNMENT OF OROQUIETA BIDS AND AWARD COMMITTEE City Hall, Oroquieta City                                                                                                                       June 02, 2020                </t>
  </si>
  <si>
    <t xml:space="preserve"> Concreting of 3.00x85.00x0.15m. Pathway</t>
  </si>
  <si>
    <t xml:space="preserve"> Republic of the Philippines Province of Misamis Occidental MUNICIPALITY OF PANAON INVITATION TO BID FOR  PROCUREMENT OF MATERIALS &amp; LABOR FOR THE PROJECT INSTALLATION OF SOLAR STREET LIGHTS (Procurement of Goods) 									June 2, 2020 1.	The Municipality </t>
  </si>
  <si>
    <t xml:space="preserve"> Project Description:		 			Canal Length: 190 l.m.   Width bottom: 0.50 m		 			Depth: 0.70m                         Top: 0.70 m.		 			Type:  Reinforced 4” CHB		 					 			CONTRACT COST:		 1.	L.M.	190	STAKING, LAYOUT, EXCAVATION AND DESPOSAL OF WASTE		180,437</t>
  </si>
  <si>
    <t xml:space="preserve"> Bid-Opening-June 25, 2020 at 2:00 pm. at Municipal Conference Room</t>
  </si>
  <si>
    <t xml:space="preserve"> The Local Government Unit of Science City of Muñoz, through the 2020 Development Fund, intends to apply the sum of Eight Million Pesos (Php 8,000,000.00) being the Approved Budget for the Contract (ABC) to payments under the contract for Construction of M</t>
  </si>
  <si>
    <t xml:space="preserve"> RE - INVITATION TO BID FOR CIVIL WORKS June 01, 2020 1.	The Department of Public Works and Highways (DPWH), Bukidnon Second District Engineering Office, Pinamaloy, Don Carlos, Bukidnon through its Bids and Awards Committee BAC, invites contractors to subm</t>
  </si>
  <si>
    <t xml:space="preserve"> BId-Opening-June 25, 2020 at 2:00 p.m. at Municipal Conference Room</t>
  </si>
  <si>
    <t xml:space="preserve"> Republic of the Philippines Province of Bohol MUNICIPALITY OF GETAFE BIDS AND AWARDS COMMITTEE ________________________________________ INVITATION TO BID  ( 2nd Public Bidding ) FOR PURCHASE OF  60 HEADS  FEMALE CARABAO FOR THE USED OF INTEGRATED CARABAO </t>
  </si>
  <si>
    <t xml:space="preserve"> Seguridad para sa mamamayan ng La Paz</t>
  </si>
  <si>
    <t xml:space="preserve"> Invitation to Bid for  Improvement and Concreting of FMR (Binubucalan to Canano) Phase 2 1.	The Municipal Government of Hinabangan, through the 20% Development Fund CY 2020 intends to apply the sum of NINE MILLION SEVEN HUNDRED EIGHT THOUSAND EIGHT HUNDRE</t>
  </si>
  <si>
    <t xml:space="preserve"> The Department of Public Works and Highways-Regional Office I, through its Bids and Awards Committee (BAC) for Goods, invites suppliers to submit bids for the following Contract: Contract ID: 20GA00001 Contract Name: Supply and Delivery of Ground Penetrat</t>
  </si>
  <si>
    <t xml:space="preserve"> LENGTH= 28.0 M., WIDTH= 5.0 M.,  THICKNESS= 0.20 M.</t>
  </si>
  <si>
    <t xml:space="preserve"> see attached Invitation to Bid &amp; Bid Documents</t>
  </si>
  <si>
    <t xml:space="preserve"> Republic of the Philippines PROVINCE OF SURIGAO DEL SUR MUNICIPALITY OF CARRASCAL OFFICE OF MUNICIPAL BIDS AND AWARDS COMMITTEE The Local Government Unit of Carrascal invites all interested and qualified bidders for offers to supply on the Bid forms:     </t>
  </si>
  <si>
    <t xml:space="preserve"> Issuance of Bid Documents Starts: June 3, 2020 Cost of Bid Document: Php 1,000.00 Venue of Dropping and Opening Bids: BAC Conference Room, Leyte SMED Center, Provincial Capitol Grounds, Tacloban City</t>
  </si>
  <si>
    <t xml:space="preserve"> INVITATION TO BID FOR CIVIL WORKS June 01, 2020 1.	The Department of Public Works and Highways (DPWH), Bukidnon Second District Engineering Office, Pinamaloy, Don Carlos, Bukidnon through its Bids and Awards Committee BAC, invites contractors to submit bi</t>
  </si>
  <si>
    <t xml:space="preserve"> Bid-Opening-June 25, 2020 at 2:00 p.m. at Municipal Conference Room</t>
  </si>
  <si>
    <t xml:space="preserve"> DRRM Resource Modernization</t>
  </si>
  <si>
    <t xml:space="preserve"> INVITATION TO BID FOR Procurement of Office Supplies for Reproduction of Modules &amp; Other Learning Materials for the First Semester S.Y 2020- 2021 use at ESSU Main Campus (PR# 2020-OSPM-177) 1.	The EASTERN SAMAR STATE UNIVERSITY, through the FY 2020 GAA, R</t>
  </si>
  <si>
    <t xml:space="preserve"> The Local Government Unit of Science City of Muñoz, through the 2020 Development Fund, intends to apply the sum of Eight Million Pesos (Php 8,000,000.00) being the Approved Budget for the Contract (ABC) to payments under the contract for Rehabilitation of</t>
  </si>
  <si>
    <t xml:space="preserve"> Pls. quote the items listed below: 1.  4" Ø x 3m Sanitary Pipe  -  75 lgths. 2.  4" Ø  Sanitary Tee  -  7 pcs. 3.  4" Ø x 45° Sanitary Elbow  -  10 pcs. 4.  4" Ø x 30° Sanitary Elbow  -  10 pcs. 5.  4" Ø Sanitary Clean Out Adapter with O - Ring  -  7 pcs.</t>
  </si>
  <si>
    <t xml:space="preserve"> May Pera sa Basura</t>
  </si>
  <si>
    <t xml:space="preserve"> Location: PSU Goa campus Bidding Fee: P 3,000.00 (Non-refundable) Schedule of activities: 1. Issuance and availability of Bid Documents: June 3, 2020 until 12:00 noon of June 23, 2020  (except week-ends &amp; Holidays at the BAC Secretariat Office, PSU-Goa ca</t>
  </si>
  <si>
    <t xml:space="preserve"> 1. The Provincial Government of Davao Del Norte, through SB #4 CY 2019, 20% DF CY 2020, SB #1 CY 2020 and 20% AB CY 2019, intends to apply the sum of Eleven Million One Hundred Thirty Four Thousand Two Hundred Eighty Three and 93/100 Pesos (Php 11,134,283</t>
  </si>
  <si>
    <t xml:space="preserve"> The Municipal Government of Pilar, through the General Fund intends to apply the sum of Two Million (P/2,000,000.00) Pesos being the Approved Budget for the Contract (ABC) to payment under the contract for the Construction of Riprap at Paniquian Irrigatio</t>
  </si>
  <si>
    <t xml:space="preserve"> REPUBLIC OF THE PHILIPPINES PROVINCE OF SIQUIJOR MUNICIPALITY OF SIQUIJOR INVITATION TO BID FOR Acquisition of Services for Security Guard 1.	The Local Government Unit of the Municipality of Siquijor, through the GENERAL FUND 2020 in the amount of Two Hun</t>
  </si>
  <si>
    <t xml:space="preserve"> PROCUREMENT OF RANDOM ACCESS MEMORY AND VARIOUS DATA STORAGE DEVICES</t>
  </si>
  <si>
    <t xml:space="preserve"> MUNICIPALITY OF HINABANGAN Hinabangan, Samar Invitation to Bid for  Construction of Water Supply System Level 3 Phase 2 (Cansolabao Sitio Arizona) 1.	The Municipal Government of Hinabangan, through the 20% Development Fund CY 2020 intends to apply the sum</t>
  </si>
  <si>
    <t xml:space="preserve"> Office Equipment</t>
  </si>
  <si>
    <t xml:space="preserve"> Other Supplies and Materials Expenses</t>
  </si>
  <si>
    <t xml:space="preserve"> INVITATION TO BID FOR   Cluster 12 Infrastructure Projects  Kerikite, Almagro, Samar Item No.	Project Name	ABC	Duration 1.	Construction of Drainage Canal	788,000.00	90 CD 2.	Construction of Multi-Purpose Hall (Stage)	394,000.00	60 CD 1.	The LGU-Almagro, t</t>
  </si>
  <si>
    <t xml:space="preserve"> INVITATION TO BID No. NNP-2020-VI-22-02F The Municipality of Sibalom through its Bids &amp; Awards Committee (BAC), invites bidders/contractors to apply for eligibility and to bid for the hereunder project: Project           	 		:	Brandnew Van Location			:	Si</t>
  </si>
  <si>
    <t xml:space="preserve"> 1.	The Municipality of Baliguian, now invites bids for the Civil works for the Concreting of 240meter Farm to Market Road at Diangas to Guimotan Section, Baliguian, Zamboanga del Norte.  2.	Bidding will be conducted in accordance with relevant procedures </t>
  </si>
  <si>
    <t xml:space="preserve"> INVITATION TO BID FOR    Cluster 13 Infrastructure Projects Guin-ansan and Mabuhay, Almagro, Samar Item No.	Project Name/Location	ABC	Duration 1.	Rehabilitation of Concrete Pathway at Brgy. Guin-ansan	492,500.00	60 2.	Rehabilitation of Water Transmission </t>
  </si>
  <si>
    <t xml:space="preserve"> INVITATION TO BID FOR    Rehabilitation of Flood Control  Poblacion, Almagro, Samar 1.	The LGU-Almagro, through Annual Budget CY 2020  intends to apply the sum of  Nine Hundred Eighty Five Thousand Pesos ( Php 985,000,000.00) being the Approved Budget for</t>
  </si>
  <si>
    <t xml:space="preserve"> Structure Excavation, Subgrade Preparation, Aggregate Sub-base Course Concrete Class ‘A’, Reinforcing Steel Bar, Embankment, Forms &amp; Scaffoldings</t>
  </si>
  <si>
    <t xml:space="preserve"> INVITATION TO BID FOR  CY 2020 ENHANCED NATIONAL GREENING PROGRAM-HARDENING –OFF ACTIVITIES UNDER MECHANIZED AND MODERNIZED FOREST NURSERY AT BANAO, GUINOBATAN, ALBAY DENR-ENGP-MMFN-HARDENING-OFF-2020-001 1.	The Department of Environment and Natural Resou</t>
  </si>
  <si>
    <t xml:space="preserve"> Invitation to Bid for the Supply and Delivery of Road Safety Signages and Thermoplastic Materials for Installation along SDCR, Aras-asan Diversion Road and Payasan-Los Arcos Road (Intermittent Sections) K1296+200-K1297+200, K1283+800-K1284+800, K1302+600-</t>
  </si>
  <si>
    <t xml:space="preserve"> UNIT	  DESCRIPTION		QUANTITY	UNIT COST 	I. FINISHING WORKS:			 mtrs	#12 THHN WIRE 3.5mm		16	   pc (s)	10mm x 6.0 Corrugated Round Bar		180	   box (es)	#12 THHN WIRE 3.5mm2		2	   pc (s)	16mm x 6.0 Corrugated Round Bar		20	  set (s)	1 Gang Switch		9	   set </t>
  </si>
  <si>
    <t xml:space="preserve"> Equipment for Fish and Cacao processing project</t>
  </si>
  <si>
    <t xml:space="preserve"> Invitation to Bid for Widening of Eballe Street with Canal– at Eballe St., Josefina, Zambaonga del Sur 1.	The LGU-Municipality of Josefina, through the 20% EDF CY 2020 intends to apply the sum of TWO MILLION THREE HUNDRED SIXTY ONE THOUSAND FIVE HUNDRED S</t>
  </si>
  <si>
    <t xml:space="preserve"> I. Mobilzation II. CSHP III. Road Preparation     A. Equipment     B. Materials IV Portland Cement Concrete Pavement V. Equipment</t>
  </si>
  <si>
    <t xml:space="preserve"> Invitation to Bid for Construction of Gender Appropriate Toilet – at Poblacion, Josefina, Zambaonga del Sur 1.	The LGU-Municipality of Josefina, through the LGSF-AM 2019 intends to apply the sum of TWO MILLION TWO HUNDRED TEN THOUSAND PESOS (Php 2,210,000</t>
  </si>
  <si>
    <t xml:space="preserve"> Trench Excavation 2,751.00 cu.m. Distribution Line 11,460.00 L.m. Blow off assembly 13.00 set Backfill and Compaction 211.00 cu.m.</t>
  </si>
  <si>
    <t xml:space="preserve"> Drugged Out Hull&amp; Frames (Kasko) 18"x24' Rough Lumber 1/4"x4x8' Marine Plywood 3/8"x4x8' marine Plywood Nylon Twine #100 Pamalong 10' Bamboo Floater 0.15 O Bamboo Floater Frame 0.08 O Propelier (Stainless) Paddle Wheel  Ehe 3/4" O x8' Stainless Bolt 3 3/8</t>
  </si>
  <si>
    <t xml:space="preserve"> Specifications can be viewed online by clicking the "Associated Components" section on this ITB. The Local Government Unit-Municipality of Malinao, Aklan through the Bids and Awards Committee, intends to apply the sum of Three Hundred Thirty Nine Thousand</t>
  </si>
  <si>
    <t xml:space="preserve"> INVITATION TO BID FOR SUPPLY AND DELIVERY OF VARIOUS SUPPLIES FOR CITY VICE MAYOR'S OFFICE 1.	The Bids and Awards Committee of the Local Government Unit of Santiago City through the General Fund intends to apply the sum of Five Million Six Thousand Four H</t>
  </si>
  <si>
    <t xml:space="preserve"> INVITATION TO BID FOR SUPPLY AND DELIVERY OF VARIOUS SUPPLIES FOR VARIOUS OFFICES 1.	The Bids and Awards Committee of the Local Government Unit of Santiago City through the General Fund intends to apply the sum of Fourteen Million One Hundred Eighty Four </t>
  </si>
  <si>
    <t xml:space="preserve"> Republic of the Philippines Province of South Cotabato BIDS AND AWARDS COMMITTEE Capitol Compound Alunan Avenue, Koronadal City Tel. Fax No.: (083) 228-9951/228-8570 RE-INVITATION TO BID FOR THE SUPPLY AND DELIVERY OF 7 SETS DESKTOP COMPUTER WITH PRINTER </t>
  </si>
  <si>
    <t xml:space="preserve"> Republic of the Philippines PROVINCE OF MARINDUQUE Capitol Boac, Marinduque OFFICE OF BIDS AND AWARDS COMMITTEE Invitation to Bid  Furnishing labor, materials and equipment rental for the Rehab./Improvement of  Waterworks System, Brgy. Bagong Silang, Sta.</t>
  </si>
  <si>
    <t xml:space="preserve"> Earthworks, Excavation for Structure, Gravel Blanket, Structural Back fill, Concrete Class ‘A’, Reinforcing Steel Bar, Form works, Masonry</t>
  </si>
  <si>
    <t xml:space="preserve"> INVITATION TO BID FOR    Rehabilitation of Flood Control  Panjobjoban - 1, Almagro, Samar 1.	The LGU-Almagro, through Annual Budget  CY 2020  intends to apply the sum of  One Million Four Hundred Seventy Seven Thousand Five Hundred  Pesos ( Php 1,477,500.</t>
  </si>
  <si>
    <t xml:space="preserve"> Clearing, Excavation &amp; Backfilling Works, Filling Works, Concrete Works, Reinforcing Steel Bars, Masonry Works, Plastering Works, Floor Topping, Steel Works, Forms &amp; Scaffolds, Painting  Works, Water Proofing Works, Electrical Works</t>
  </si>
  <si>
    <t xml:space="preserve"> 1.	The Municipality of Baliguian, now invites bids for the Civil works for the Concreting of 120 meter Farm to Market Road at Barangay San Jose, Baliguian, Zamboanga del Norte.  2.	Bidding will be conducted in accordance with relevant procedures for open </t>
  </si>
  <si>
    <t xml:space="preserve"> Republic of the Philippines Province of South Cotabato BIDS AND AWARDS COMMITTEE Capitol Compound Alunan Avenue, Koronadal City Tel. Fax No.: (083) 228-9951/228-8570 RE-INVITATION TO BID FOR THE SUPPLY AND DELIVERY OF 2 SETS DESKTOP COMPUTER &amp; ETC. 1.  Th</t>
  </si>
  <si>
    <t xml:space="preserve"> UNIT	  DESCRIPTION		QUANTITY	 				 	Length = 240 m			 	Volume of Concrete  = 196.8  cu.m 			 bag	Cement		1772	 260.00  cu.m	Sand		98.4	   cu.m	Gravel		196.8	   pc (s)	16mm Diameter Bars		1100	   kg (s)	Tie Wire #16		148	   pc (s)	CocoLumber 2"x3"x12'		30	</t>
  </si>
  <si>
    <t xml:space="preserve"> Concreting of Drainage 1m x 1.5m x 60.5m with concrete cover and manhole .60m x 1.30m and a Box Culvert .15 x  .90m x 8m plus Headwall .30 x .25 x 1.20 as per approved plan</t>
  </si>
  <si>
    <t xml:space="preserve"> Republic of the Philippines PROVINCE OF LANAO DEL NORTE MUNICIPALITY OF LALA Office of the Municipal General Services                                                                                                   _____________________                  </t>
  </si>
  <si>
    <t xml:space="preserve"> INVITATION TO BID LGU-El Salvador City, Misamis Oriental through its BAC, invites interested bidders to apply for eligibility and if found eligible to bid for the contract: 1.	Contract ID No.	:	ITB No. 2020-06-047/Project ID No. 20-019-20% Name of Project</t>
  </si>
  <si>
    <t xml:space="preserve"> Republic of the Philippines PROVINCE OF MARINDUQUE Capitol Boac, Marinduque OFFICE OF BIDS AND AWARDS COMMITTEE Invitation to Bid  Furnishing labor, materials and equipment for the Improvement of Brgy. Waterworks System at Brgy. Pili, Boac, Marinduque  Th</t>
  </si>
  <si>
    <t xml:space="preserve"> INVITATION TO BID FOR  CY 2020 ENHANCED NATIONAL GREENING PROGRAM-HARDENING –OFF ACTIVITIES UNDER MECHANIZED AND MODERNIZED FOREST NURSERY AT SOOC, LUPI, CAMARINES SUR DENR-ENGP-MMFN-HARDENING-OFF-2020-002 1.	The Department of Environment and Natural Reso</t>
  </si>
  <si>
    <t xml:space="preserve"> INVITATION TO BID FOR SUPPLY AND DELIVERY OF VARIOUS GROCERY ITEMS FOR DISASTER PREPAREDNESS STOCKPILE 1.	The Bids and Awards Committee of the Local Government Unit of Santiago City through the General Fund intends to apply the sum of Five Million Two Hun</t>
  </si>
  <si>
    <t xml:space="preserve"> Specifications can be viewed online by clicking the "Associated Components" section on this ITB. The Local Government Unit-Municipality of Malinao, Aklan through the Bids and Awards Committee, intends to apply the sum of Four Hundred Fourteen Thousand One</t>
  </si>
  <si>
    <t xml:space="preserve"> Republic of the Philippines PROVINCE OF MARINDUQUE Capitol Boac, Marinduque OFFICE OF BIDS AND AWARDS COMMITTEE Invitation to Bid  Furnishing labor, materials and equipment rental for the Rehabilitation/Improvement of  Brgy. Waterworks System at Balanacan</t>
  </si>
  <si>
    <t xml:space="preserve"> INVITATION TO BID FOR    New Construction of Level II Potable Water Supply System  Brgy. San Isidro &amp; Marasbaras, Almagro, Samar 1.	The LGU-Almagro, through AM 2019 Fund and LGU counterpart  intends to apply the sum of  Three Million Six Hundred Seventy T</t>
  </si>
  <si>
    <t xml:space="preserve"> UNIT	  DESCRIPTION		QUANTITY 900	REINFORCED CONCRETE		 	QTY: - 13.48 cu.m		 			 	I- Materials		 bags	Portland Cement		122 cu.m	Sand		8 cu.m	Gravel 3/4		14 pcs	20mmØ x 6.0m RSB		100 kgs	G.I Tie Wire #16		25 pcs	1/4" Ordinary Plywood		10 bd.ft	2" x 3" x 12'</t>
  </si>
  <si>
    <t xml:space="preserve"> ITEM I CANOPY &amp; STRUT (2 SLIDES) ITEM II HANGING BOARD (2 UNITS) ITEM III FINISHING &amp; PAINTING WORKS</t>
  </si>
  <si>
    <t xml:space="preserve"> Republic of the Philippines DEPARTMENT OF HEALTH DR. JOSE RIZAL MEMORIAL HOSPITAL Lawaan, Dapitan City Telefax; (065) 213-6421 Website: www.djrmh.doh.gov.ph Email: dohdjrmh@gmail.com BIDS AND AWARDS COMMITTEE INVITATION TO BID PROCUREMENT OF MOTOR VEHICLE</t>
  </si>
  <si>
    <t xml:space="preserve"> The PHILHEALTH REGIONAL OFFICE XII, through the Corporate Operating Budget 2020 intends to apply the sum of One Million Five Hundred Twelve Thousand Nine Hundred Seventy Two and 50/100 pesos only (Php 1,512,972.50) being the Approved Budget of the Contrac</t>
  </si>
  <si>
    <t xml:space="preserve"> 1.	The Technological University of the Philippines Manila Campus, through Fund 164 Non Fiduciary Fund per BOR Approved Income for Utilization CY 2019 intends to apply the sum of One Million Seven Hundred Twenty Thousand Pesos (Php 1,720,000.00) being the </t>
  </si>
  <si>
    <t xml:space="preserve"> INVITATION TO BID FOR SUPPLY AND DELIVERY OF VARIOUS MEDICINES AND MEDICAL SUPPLIES FOR DISASTER PREPAREDNESS STOCKPILE 1.	The Bids and Awards Committee of the Local Government Unit of Santiago City through the General Fund intends to apply the sum of Eig</t>
  </si>
  <si>
    <t xml:space="preserve"> Portland Cement Sand Gravel 10mmoRSB Tie Wire #16 Direct Couple 7.5 Hz Power Engine Water Pump HDPE Black Pipe 1"o Foot Valve PVC 2"o Swing Valve Pipe 2"o Ball Valve Pipe 1" o Ball Valve Pipe 1" o HDPE Coupling 1"o PVC Solvent  PVC Pipe 2" o PVC Elbow 2" </t>
  </si>
  <si>
    <t xml:space="preserve"> Republic of the Philippines Province of South Cotabato BIDS AND AWARDS COMMITTEE Capitol Compound Alunan Avenue, Koronadal City Tel. Fax No.: (083) 228-9951/228-8570 INVITATION TO BID FOR 1 LOT JOB ORDER, DISASSEMBLY, ASSEMBLY &amp; COMMISSIONING OF EX 04 CRA</t>
  </si>
  <si>
    <t xml:space="preserve"> The Bureau of Fisheries and Aquatic Resources 6, through the FY 2020 General Appropriations Act 11465 intends to apply for the Procurement of Various IT Supplies/ Equipment, Janitorial and Electrical Supplies and Office Supplies of BFAR6 for CY 2020 with </t>
  </si>
  <si>
    <t xml:space="preserve"> MUNICIPALITY OF BONTOC Bontoc, Mountain Province Invitation to Bid for Cluster 06-2020 (1. Site Development of Municipal Slaughter House 2. Repair of Pakkil Stairway with Railings 3. Improvement of Baang Pathway 4. Improvement of Liwen-Navarangnan hanging</t>
  </si>
  <si>
    <t xml:space="preserve"> DECLOGGING AND DESILTING OF CANALS</t>
  </si>
  <si>
    <t xml:space="preserve"> Purchase of Diesel, Gasoline, Kerosene and 2T</t>
  </si>
  <si>
    <t xml:space="preserve"> Republic of the Philippines PROVINCE OF MARINDUQUE Capitol Boac, Marinduque OFFICE OF BIDS AND AWARDS COMMITTEE Invitation to Bid  Furnishing labor, materials and equipment for the Improvement of Brgy. Waterworks System, Brgy. Lupac, Boac, Marinduque  The</t>
  </si>
  <si>
    <t xml:space="preserve"> Invitation to Bid for Landscaping/Development Municipal Hall Plaza– at Municipal Hall Plaza, Josefina, Zambaonga del Sur 1.	The LGU-Municipality of Josefina, through the 20% EDF CY 2020 intends to apply the sum of SIX HUNDRED THOUSAND PESOS (Php 600,000.0</t>
  </si>
  <si>
    <t xml:space="preserve"> tables and chairs, secretary at session hall</t>
  </si>
  <si>
    <t xml:space="preserve"> DISASTER RISK MITIGATION AND PREPAREDNESS</t>
  </si>
  <si>
    <t xml:space="preserve"> TWO WAY RADIO</t>
  </si>
  <si>
    <t xml:space="preserve"> INVITATION TO BID FOR PROCUREMENT OF OFFICE SUPPLIES 1.	The Local Government Unit of Josefina, through the MOOE 2020 intends to apply the sum of THREE HUNDRED NINETY FOUR THOUSAND THREE HUNDRED SEVENTY SEVEN PESOS (394,377.00) being the Approved Budget fo</t>
  </si>
  <si>
    <t xml:space="preserve"> Republic of the Philippines PROVINCE OF MARINDUQUE Capitol Boac, Marinduque OFFICE OF BIDS AND AWARDS COMMITTEE Invitation to Bid  Furnishing labor, materials and equipment rental for the Construction of Waterworks System Phase 1, Brgy. Mongpong, Sta. Cru</t>
  </si>
  <si>
    <t xml:space="preserve"> Republic of the Philippines PROVINCE OF ZAMBOANGA SIBUGAY Municipality of Buug BIDS AND AWARDS COMMITTEE INVITATION TO BID, for the  Rehabilitation of Barangay  Road  ITB no. 02-06-2020 The local Government Unit of Buug, Zamboanga Sibugay intends to apply</t>
  </si>
  <si>
    <t xml:space="preserve"> OFFICE ENHANCEMENT PROJECT / CAPITAL OUTLAY</t>
  </si>
  <si>
    <t xml:space="preserve"> MUNICIPALITY OF BONTOC Bontoc, Mountain Province Invitation to Bid for Improvement of Bontoc Ili Local Access Road INFRA 2020-10/7022459 1.	The Municipal Local Government Unit of Bontoc through the DILG-PC Fund 2019 intends to apply the sum of Two Million</t>
  </si>
  <si>
    <t xml:space="preserve"> Republic of the Philippines PROVINCE OF MARINDUQUE Capitol Boac, Marinduque OFFICE OF BIDS AND AWARDS COMMITTEE Invitation to Bid  Furnishing labor, materials and equipment for the Construction of Multi-Purpose Hall (Completion of roofing of Gasan Tennis </t>
  </si>
  <si>
    <t xml:space="preserve"> 1.	The Bureau of Jail Management and Penology Regional Office CALABARZON (BJMPRO-CALABARZON) through the GAA2020   intends to apply the sum of Six  Million Nine Hundred Thousand Pesos (Php 6,900,000.00) being the Approved Budget for the Contract (ABC) to </t>
  </si>
  <si>
    <t xml:space="preserve"> MUNICIPALITY OF BONTOC Bontoc, Mountain Province Invitation to Bid for Cluster 07-2020 (1. Improvement of Municipal Capitol Building 2. Restoration/Relocation of Chongliyan Water System 3. Completion of Chakalan Bontoc Ili Animal Bite Center 4. Fabricatio</t>
  </si>
  <si>
    <t xml:space="preserve"> 8.5m x 6.5m</t>
  </si>
  <si>
    <t xml:space="preserve"> LGU-ALLEN, NORTHERN SAMAR                                       MUNICIPAL BIDS AND AWARDS COMMITTEE                                                         INVITATION TO BID 	The Municipal Government of Allen Northern Samar through its Bids and Awards Com</t>
  </si>
  <si>
    <t xml:space="preserve"> INVITATION TO BID FOR PROCUREMENT OF ICT OFFICE EQUIPMENT 1.	The Local Government Unit of Josefina, through the CAPITAL OUTLAY 2020 intends to apply the sum of FIVE HUNDRED ELEVEN THOUSAND FOUR HUNDRED TEN PESOS (Php 511,410.00) being the Approved Budget </t>
  </si>
  <si>
    <t xml:space="preserve"> 1.	280		pcs.		Plastic Envelope w/ handle	 2.	2800		pcs.		Notebook (assorted)	 3.	280		pcs.		Crayola	 4.	280		pcs.		Pad Paper	 5.	560		pcs.		Pencil	 6.	560		pcs.		Ballpen	 7.	280		pcs.		Eraser	 8.	280		pcs.		Scissor</t>
  </si>
  <si>
    <t xml:space="preserve"> Cadiz City SF-GOOD-60 Standard Form Title: Request for Quotation 										_______________ 									             ______________________ ______________________ 	Please quote your lowest price on the items listed below, subject to the General Conditions on </t>
  </si>
  <si>
    <t xml:space="preserve"> INVITATION TO BID FOR Other Property, Plant and Equipment  (Name of Project)    1.	The CITY GOVERNMENT OF ZAMBOANGA, through the AB FY 2020 intends to apply the sum of FOUR MILLION FIVE HUNDRED THOUSAND PESOS (P4,500,000.00) ONLY being the Approved Budget</t>
  </si>
  <si>
    <t xml:space="preserve"> INVITATION TO BID The City Vigan, through its Bids and Awards Committee (BAC), invites suppliers/manufacturers/distributors/contractors to apply for eligibility and to bid for the hereunder project: Name of Project:	Proposed Site Development and Building </t>
  </si>
  <si>
    <t xml:space="preserve"> INVITATION TO BID FOR SUPPLY AND DELIVERY OF TRIWHEELER FOR OFFICE USE 1.	The Bids and Awards Committee of the Local Government Unit of Santiago City through the General Fund intends to apply the sum of One Million Six Hundred Fifty Thousand Pesos (Php 1,</t>
  </si>
  <si>
    <t xml:space="preserve"> INVITATION TO BID FOR Motor Vehicle  (Name of Project)    1.	The CITY GOVERNMENT OF ZAMBOANGA, through the SB# 01 FY 2019 intends to apply for the sum of TWO MILLION ONE HUNDRED THOUSAND PESOS (P2,100,000.00) ONLY being the Approved Budget for the Contrac</t>
  </si>
  <si>
    <t xml:space="preserve"> Construction of Classroom</t>
  </si>
  <si>
    <t xml:space="preserve"> Republic of the Philippines Municipality of Bontoc Mountain Province Bids and Awards Committee INVITATION TO BID FOR SUPPLY AND DELIVERY OF OFFICE SUPPLIES, MATERIALS AND EQUIPMENT PB GOODS 2020-04/7022607 1.	The Municipal Government of Bontoc,Mountain Pr</t>
  </si>
  <si>
    <t xml:space="preserve"> INVITATION TO BID The City Vigan, through its Bids and Awards Committee (BAC), invites suppliers/manufacturers/distributors/contractors to apply for eligibility and to bid for the hereunder project: Name of Project:	Electrical Power Supply Installation fo</t>
  </si>
  <si>
    <t xml:space="preserve"> Earthworks Reinforced Concrete - Reinforced Concrete masonry - Masonry Works Reinforcement - Reinforcement Steel Carpentry Works - Carpentry &amp; Joinery  Roof Framing - Metal Works  Roofing - Corrugated Metal Roofing  Painting/ Vanishing  Works - Painting, </t>
  </si>
  <si>
    <t xml:space="preserve"> Brief Description: Construction of Causeway which involves project billboard/signage, safety &amp; health, temporary facility, layout and excavation, reinforcing steel bars, structural concrete, pile driving, coral rocks with coral voids filler, coral bed and</t>
  </si>
  <si>
    <t xml:space="preserve"> 1.	1		set		CCTV CAMERA</t>
  </si>
  <si>
    <t xml:space="preserve"> I.	Tile Works Materials: 133 pieces 60x60 Unglazed Tiles 137 pieces 40x40 Unglazed Tiles 6 bags Portland Cement 34 bags 40 Kg. White Cement 4 bags Tile Grout 8 bags 25 Kg. Tile Adhesive 2 cubic meters Fine Washed Sand II.	Painting Works Materials:  21 gal</t>
  </si>
  <si>
    <t xml:space="preserve"> INVITATION TO BID FOR Other Transportation Equipment  (Name of Project)    1.	The CITY GOVERNMENT OF ZAMBOANGA, through the AB FY 2020 intends to apply the sum of FIVE MILLION FIVE HUNDRED THOUSAND PESOS (P5,500,000.00) ONLY being the Approved Budget for </t>
  </si>
  <si>
    <t xml:space="preserve"> Brief Description: Construction of Drainage System which involves removal of portion existing old non-functioning drainage system, portion of existing road pavement and entrance pavement, structure excavation, reinforcing steel bars, structural concrete, </t>
  </si>
  <si>
    <t xml:space="preserve"> Brief Description: Concreting of Road which involves A. Slope Protection; excavation for slope protection, reinforcing steel bar, structural concrete, rubble concrete, B. Cross Drain; excavation for cross drain, embankment, reinforcing steel bars, structu</t>
  </si>
  <si>
    <t xml:space="preserve"> Brief Description: Improvement of Road which involves portland cement concrete pavement, project billboard/signage, safety &amp; health, temporary facility. Amount of Bidding Documents: P2,270.00 (Sgd.) ERWIN E. BERNARDO BAC Chairperson</t>
  </si>
  <si>
    <t xml:space="preserve"> Brief Description: Construction/Rehabilitation/Improvement of Electrification, Power and Energy Structures which involves Electrical Works, Construction of Power House; layout and excavation, reinforcing steel bar, structural concrete, masonry works, stee</t>
  </si>
  <si>
    <t xml:space="preserve"> Brief Description: Construction of Slope Protection with Cross Drain (Box Culvert Type) a. Box Culvert Structure; excavation and removal of obstruction, reinforcing steel bar, structural concrete, B. Slope Protection at Box Culvert Structure; excavation, </t>
  </si>
  <si>
    <t xml:space="preserve"> Brief Description: Construction of Multi-Purpose Hall/Center which involves safety &amp; health, temporary facility, project billboard/sinage, A. Covered Court; layout and excavation, embankment/backfilling works, reinforcing steel, formworks and scaffolding,</t>
  </si>
  <si>
    <t xml:space="preserve"> INVITATION TO BID FOR Electrical Supplies  (Name of Project)    1.	The CITY GOVERNMENT OF ZAMBOANGA, through the General Fund intends to apply the sum of TWO MILLION ONE HUNDRED THIRTY EIGHT THOUSAND NINE HUNDRED SIXTY NINE PESOS (P2,138,969.00) ONLY bein</t>
  </si>
  <si>
    <t xml:space="preserve"> Brief Description: Construction/Rehabilitation of Drainage System which involves excavation, reinforcing steel, structural concrete, excavation and demolition of existing drainage, embankment, aggregate sub-base course,portland cement concrete pavement, p</t>
  </si>
  <si>
    <t xml:space="preserve"> Brief Description: Construction of Slope Protection which involves temporary facility, safety &amp; health, project billboard/signage, excavation, reinforcing steel bar, structural concrete, rubble concrete and concrete piles (cast-in-place). Amount of Biddin</t>
  </si>
  <si>
    <t xml:space="preserve"> Date: June 02, 2020 IB NO.: G-096-20C Description: Supply/Delivery of Drugs and Medicines End User: PHO (PR# 0591-CB-20) &amp; PHO (PR# 0617-CB-20) ABC: Lot 1: P130,025.00 Lot 2: P1,175,160.00 Sub-Total: P1,305,185.00 Lot 1: P1,200,000.00 Grand Total: P2,505,</t>
  </si>
  <si>
    <t xml:space="preserve"> INVITATION TO BID FOR Other Machinery and Equipment  (Name of Project)    1.	The CITY GOVERNMENT OF ZAMBOANGA, through the AB FY 2020 intends to apply the sum of ONE MILLION SIX HUNDRED THOUSAND PESOS (P1,600,000.00) ONLY being the Approved Budget for the</t>
  </si>
  <si>
    <t xml:space="preserve"> INVITATION TO BID FOR Fuel, Oil and Lubricants Expenses  (Name of Project)    1.	The CITY GOVERNMENT OF ZAMBOANGA, through the General Fund intends to apply the sum of ONE MILLION TWO HUNDRED FORTY SEVEN THOUSAND EIGHT PESOS (P1,247,008.00) ONLY being the</t>
  </si>
  <si>
    <t xml:space="preserve"> Brief Description: Concreting of Road which involves project billboard/signage, temporary facility, safety &amp; health, mobilization and demobilization, barricades, subgrade preparation, aggregate subbase course (compacted volume), portland cement concrete p</t>
  </si>
  <si>
    <t xml:space="preserve"> Brief Description: Construction of Fence  which involves project billboard/signage, safety &amp; health, temporary facility, A . Const of Fence;layout and excavation, reinforcing steel bar, structural concrete, masonry works, grille works and painting works A</t>
  </si>
  <si>
    <t xml:space="preserve"> Republic of the Philippines Province of Agusan del Norte BIDS AND AWARDS COMMITTEE Capitol, Butuan City Invitation to Bid for Renovation/Improvement of Boys Scout of the Philippines Building  and Facilities, Butuan City The Provincial Government of Agusan</t>
  </si>
  <si>
    <t xml:space="preserve"> INVITATION TO BID FOR Food Supplies  (Name of Project)    1.	The CITY GOVERNMENT OF ZAMBOANGA, through the General Fund intends to apply the sum of ONE MILLION NINETY TWO THOUSAND THREE HUNDRED SIXTY PESOS (P1,092,360.00) ONLY being the Approved Budget fo</t>
  </si>
  <si>
    <t xml:space="preserve"> Barangay Government of Barangobong Invitation to Bid for Rehabilitation Sangguniang Kabataan Office    1. The Barangay Gover, through the Supplemental AIP 2020 intends to apply the sum of Php 139,050.00 being the Approved Budget for the Contract (ABC) to </t>
  </si>
  <si>
    <t xml:space="preserve"> INVITATION TO BID FOR  Procurement of Goods [Rabies Vaccine and Others] The   City Government of Tagbilaran,   through the Appropriation Ordinance No. 19-05 for FY 2020, intends to apply the sum of Two Million Seven Hundred Eighty Five Thousand Two Hundre</t>
  </si>
  <si>
    <t xml:space="preserve"> 20M00079- Construction/Improvement of Various Infrastructure in Support of National Security – Construction of SK Pendatun Municipal Police Station Building, Gen. Salipada SK Pendatun, Maguindanao</t>
  </si>
  <si>
    <t xml:space="preserve"> Continuation of Barangay Hall rehab at P-2 Camote, Brgy. Maon, Butuan City.  Labor: By Admin</t>
  </si>
  <si>
    <t xml:space="preserve"> Spareparts and Oil Lubricants</t>
  </si>
  <si>
    <t xml:space="preserve"> The detailed Bill of Materials is attached to the Bid Form.</t>
  </si>
  <si>
    <t xml:space="preserve"> 20M00078- Construciton/Rehabilitation of Water Supply/Septage and Sewerage/Rain Water Collectors in Facilities; Koronadal City (5 Units), General Santos City (3 Units), Tacurong City (1 unit), Esperanza (1 Unit), Midsayap (1 Unit), Makilala (1 Unit), Mala</t>
  </si>
  <si>
    <t xml:space="preserve"> 120 SACKS OF RICE 7 CASES SARDINES 10 CASES NOODLES HYGIENE KITS 10 BOXES VITAMIN C 2 BOXES AMOXICILIN 2 BOXES MEFENAMIC  2 BOXES COTRIMOXAZOLE 2 BOXES PARACETAMOL 10 BOTTLE AMOXICILIN 10 BOTTLE PARACETAMOL 10 BOTTLE COTRIMOXAZOLE 10 BOTTLE CARBOCISTINE</t>
  </si>
  <si>
    <t xml:space="preserve"> SCOPE OF WORK 1. COMMON EARTH EXCAVATION  2. GROUTED RIPRAP 3. CLASS A REINFORCED CONCRETE</t>
  </si>
  <si>
    <t xml:space="preserve"> ITEM OF WORK TO BE DONE 1. OCCUPATIONAL SAFETY AND HEALTH PROGRAM 2. STRUCTURE EXCAVATION 3. EMBANKMENT 4. STONE MASONRY 5. PROJECT BILLBOARDS/SIGNAGES</t>
  </si>
  <si>
    <t xml:space="preserve"> Department of Education Region VI-Western Visayas Division of Cadiz City Mabini National High School INVITATION TO BID FOR THE PROCUREMENT OF WATER DISPENSERS  1.	Mabini National High School, Division of Cadiz City, through the Schools MOOE and HRTD Fund </t>
  </si>
  <si>
    <t xml:space="preserve"> The Specification is available at the Bids and Awards Committee Secretariat Municipal Town Hall, Centro 02, Lasam, Cagayan</t>
  </si>
  <si>
    <t xml:space="preserve"> Republic of the Philippines  Province of Cebu Municipality of Boljoon INVITATION TO BID FOR the purchase of Tires and batteries 1.	The Municipality of Boljoon, through the Maintenance of Vehicle 2020  in the amount of Three hundred  Fourteen  thousand Fiv</t>
  </si>
  <si>
    <t xml:space="preserve"> Invitation to Bid for the  UPGRADING OF LOCAL ACCESS ROAD AT P5 GENERAL AGUINALDO, RAMON, ISABELA 1.	The LGU-RAMON, ISABELA, through the Budget for the contract approved by the Sanggunian intends to apply the sum of Php5,000,000.00 being the Approved Budg</t>
  </si>
  <si>
    <t xml:space="preserve"> Construction Materials for the Rehabilitation/Improvement of Bairan Water System</t>
  </si>
  <si>
    <t xml:space="preserve"> LABOR &amp; MATERIALS</t>
  </si>
  <si>
    <t xml:space="preserve"> INVITATION TO BID FOR  Procurement of Goods [Supply and Installation of Close Circuit Television Security] The   City Government of Tagbilaran,   through the Appropriation Ordinance No. 19-05 for FY 2020, intends to apply the sum of Nine Hundred Eighty Th</t>
  </si>
  <si>
    <t xml:space="preserve"> Republic of the Philippines Province of Iloilo Municipality of Lemery Invitation to Bid 1.	The Barangay  Almenana,  Lemery, Iloilo, through  20% Development Fund 2017, 2018 &amp; 2019 intends to apply the sum of  Five Hundred  Twenty Six Thousand  Eight Pesos</t>
  </si>
  <si>
    <t xml:space="preserve"> A) REQUEST FOR QUOTATION 1. 24 gals Red Oxide Primer 2. 6 gals Paint Thinner 3. 50 pails Roofpaint, Red 4. 12 pcs Paint Brush 4” 5. 5 pcs Paint Roller 7” 6. 10 pcs Paint Brush 3” 7. 10 kg Waste Cloth Note: Delivery Period: Fifteen (15) Calendar days B) US</t>
  </si>
  <si>
    <t xml:space="preserve"> 900 PCS BATH SOAP 900 PCS BAR SOAP 900PCS REAGENTS 900 PCS FACE MASK 900 PCS SHAMPOO 900 PCS TOOTHPASTE 20 PACKS SANDO BAG 75 SACKS RICE MEALS AND SNACKS</t>
  </si>
  <si>
    <t xml:space="preserve"> LABOR &amp; MATERIALS COMPLETE CONSTRUCTION OF BUILDING INCLUDES MASONRY/PLASTERING WORKS, INSTALLATION OF DOORS &amp; WINDOWS, TILE WORKS, ELECTRICAL, SANITARY AND PLUMBING WORKS</t>
  </si>
  <si>
    <t xml:space="preserve"> 74516 - Procurement of Various Lumber Materials Posting Date: June 3, 2020 Closing Date: June 16, 2020</t>
  </si>
  <si>
    <t xml:space="preserve"> Please refer to the attached RFQ and Technical Specifications.</t>
  </si>
  <si>
    <t xml:space="preserve"> FUND SOURCE: 20% PDF 2020 TYPES OF WORK TO BE DONE: Project billboard/ signboard/ occupational safety and health program/ roadway excavation (unclassified)/ reinforcing steel bars/ structural concrete/ grouted riprap (class A)/ concrete gutter (cast in pl</t>
  </si>
  <si>
    <t xml:space="preserve"> Invitation to Bid For One (1) Lot Supply, Delivery and Installation of Systems Furniture for LANDBANK Malolos Highway Office Building 1.	The LAND BANK OF THE PHILIPPINES (LANDBANK), through its Corporate Budget for the contract approved by the Board of Di</t>
  </si>
  <si>
    <t xml:space="preserve"> ITB No. 2020-09-EFS June 03, 2020 Republic of the Philippines Province of Davao Oriental CITY OF MATI INVITATION TO BID DESIGN AND BUILD PROCUREMENT FOR THE REHABILITATION (RETROFITTING – CATEGORY 3) OF EXISTING SANITARY LANDFILL FACILITY AND WASTEWATER T</t>
  </si>
  <si>
    <t xml:space="preserve"> Electrical Works</t>
  </si>
  <si>
    <t xml:space="preserve"> Purchase of 1 unit Desktop Computer, 3 units Laptop, 13 units Cellphone w/ Geotag, 8 units Bluetooth Laser Measure (165 feet), 15 units Memory Card 64GB (Micro SD), 10 pcs USB-OTG 64 GB, 10 pcs Power Bank (30,000 mah), 5 units UPS, 1200VA, Power Surge, 8-</t>
  </si>
  <si>
    <t xml:space="preserve"> INVITATION TO BID 1.	The Department of Public Works and Highways, Tarlac 1st District Engineering Office, Parsolingan, Gerona, Tarlac intends to apply the following sum to payments of the corresponding procurement listed hereunder. Bids received in excess</t>
  </si>
  <si>
    <t xml:space="preserve"> 92-m2-Demolition 60-m2-Installation of Fixed Glass Walls 3-ls-Glass Doors &amp; Windows 119.67-m2-Ceiling 1-ls-Painting</t>
  </si>
  <si>
    <t xml:space="preserve"> Annual Calibration and Preventive Maintenance of Medical Equipment C.Y. 2020</t>
  </si>
  <si>
    <t xml:space="preserve"> Invitation to Bid for  INFRA 2K20-43 RENOVATION AND IMPROVEMENT OF 2- STOREY PSWD BUILDING Capitol Compound, Pagadian City June 03, 2020 1.	The Provincial Government of Zamboanga del Sur, through the Capital Outlay CY 2020 / SB No.3 CY 2020 intends to app</t>
  </si>
  <si>
    <t xml:space="preserve"> Purchase of 130 pcs Orange Sweatshirt, long sleeve w/ DPWH Logo, 130 pcs Caps Orange, Embroidered w/ DPWH Logo, 150 pcs Rain Coat with Hood and DPWH Logo, w/ Reflective Lining, 150 pcs Reflectorized Vest Orange w/ Yellow Green Reflector, 120 pairs Work Gl</t>
  </si>
  <si>
    <t xml:space="preserve"> Republic of the Philippines Province of Eastern Samar City of Borongan -0- BIDS AND AWARDS COMMITTEE ------------------------------------------------------------------------------------------ Invitation to Bid for CONSTRUCTION OF DISASTER/EVACUATION CENTE</t>
  </si>
  <si>
    <t xml:space="preserve"> 25 BOXES NOODLES 4 RIM CELLOPHANE CAR RENT MEALS AND SNACKS 500 PCS BATH SOAP 130 KGS NATIVE COFFEE 500 PCS BAR SOAP 500 PCS TOOTHPASTE</t>
  </si>
  <si>
    <t xml:space="preserve"> Earthworks, Sub-base Course, Surface Course, Drainage &amp; Slope Protection Structure, Miscellaneous</t>
  </si>
  <si>
    <t xml:space="preserve"> Republic of the Philippines Province of zamboanga Sibugay Municipality of Olutanga 7014 JUNE 2, 2020 NOTICE TO THE PUBLIC INVITIATION TO APPLY FOR ELIGIBILITY AND TO BID All interested bidders are invited to Pre-qualify and participate in sealed bidding f</t>
  </si>
  <si>
    <t xml:space="preserve"> 74514 - Procurement of Various Hardware &amp; Construction Materials Posting Date: June 3, 2020 Closing Date: June 16, 2020</t>
  </si>
  <si>
    <t xml:space="preserve"> Name of Project:  	PROCUREMENT OF TENT Location of the Project:  Nunungan, Lanao del  Norte BAC ACTIVITIES	SCHEDULE 1	Advertisement/Posting of IB	June 2, 2020 – June 9, 2020 2	Issuance of Bidding Documents	June 2 – June 22, 2020 8:00 A.M. – 4:00 P.M (base</t>
  </si>
  <si>
    <t xml:space="preserve"> Benguet First District Engineering Office La Trinidad, Benguet June 1, 2020 INVITATION TO BID The Benguet First District Engineering Office, through its Bids and Awards Committee (BAC), invites contractors to submit bids for the following Contract: Contra</t>
  </si>
  <si>
    <t xml:space="preserve"> Contract ID:	20FH0094 Contract Name:	CONSTRUCTION/REHABILITATION OF WATER SUPPLY/SEPTAGE AND SEWERAGE/RAIN WATER COLLECTORS – RAIN WATER COLLECTORS IN PUBLIC FACILITIES AT 21 SITES, PROVINCE OF CATANDUANES a.	SALVACION ELEMENTARY SCHOOL, BARAS, CATANDUANE</t>
  </si>
  <si>
    <t xml:space="preserve"> Republic of the Philippines                                                                               																																																											 DEPARTMENT OF PUBLIC WORKS AND HIGHWAYS																																																		</t>
  </si>
  <si>
    <t xml:space="preserve"> Location : Legazpi City, Albay Scope of Work : Asphalt Overlay of 5.249 Lane Km. Road with Reflectorized Thermoplastic Pavement Markings including Reblocking of PCCP on Intermittent Section and Construction of 1,100.00 l.m. Line Canal</t>
  </si>
  <si>
    <t xml:space="preserve"> FUND SOURCE: 20% PDF 2020 TYPES OF WORK TO BE DONE: Project billboard/ signboard/ occupational safety and health program/ structure excavation (common soil)/ reinforcing steel  of reinforced concrete structures/ structural concrete class A/ grouted riprap</t>
  </si>
  <si>
    <t xml:space="preserve"> Contract ID:	20FH0095 Contract Name:	REPAIR/REHABILITATION/RECONSTRUCTION OF SALVACION FLOOD CONTROL, SALVACION, VIGA, CATANDUANES Contract Location:	SALVACION, VIGA, CATANDUANES Scope of Work:	REPAIR/REHABILITATION/RECONSTRUCTION OF 39 L.M. FLOOD CONTROL</t>
  </si>
  <si>
    <t xml:space="preserve"> The Municipal Government of Tagana-an, through the 20% Development Fund CY 2020, intends to apply the sum of P1,000,000.00, being the Approved Budget for the Contract (ABC) to payments under the contract for Construction of Seawall at Brgy.Cawilan, Tagana</t>
  </si>
  <si>
    <t xml:space="preserve"> Republic of the Philippines DEPARTMENT OF PUBLIC WORKS AND HIGHWAYS CAGAYAN 2ND DISTRICT ENGINEERING OFFICE Regional Office II Abulug, Cagayan June 1, 2020 INVITATION TO BID  The Cagayan 2nd District Engineering Office, Abulug, Cagayan, through its Bids a</t>
  </si>
  <si>
    <t xml:space="preserve"> 74517 - Procurement of Various Painting Materials Posting Date: June 3, 2020 Closing Date: June 16, 2020</t>
  </si>
  <si>
    <t xml:space="preserve"> Section I. Invitation to Bid Republic of the Philippines Province of Davao Oriental Municipality of Boston Bids and Awards Committee Invitation to Bid  for the  Procurement of One (1) Unit Six Wheelers Truck Vehicle (Reconditioned) 1.	The Municipality of </t>
  </si>
  <si>
    <t xml:space="preserve"> 74518 - Procurement of Various Plumbing Materials Posting Date: June 3, 2020 Closing Date: June 16, 2020</t>
  </si>
  <si>
    <t xml:space="preserve"> FUND SOURCE: 20% PDF 2020 TYPES OF WORK TO BE DONE: Project billboard/ signboard/ occupational safety and health program/ roadway excavation (surplus soft rock)/ structure excavation (solid rock)/ reinforcing steel bars, grade 40 (minor tools)/ structural</t>
  </si>
  <si>
    <t xml:space="preserve"> various hardware materials - 402,760.00</t>
  </si>
  <si>
    <t xml:space="preserve"> The Municipal Government of Tagana-an, through the utilization of Share from National Wealth Fund CY 2019, intends to apply the sum of P1,000,000.00, being the Approved Budget for the Contract (ABC) to payments under the contract for Construction of Multi</t>
  </si>
  <si>
    <t xml:space="preserve"> The Municipal Government of Tagana-an, through the 20% Development Fund CY 2020, intends to apply the sum of P2,000,000.00, being the Approved Budget for the Contract (ABC) to payments under the contract for Rehabilitation of Seawall Phase II at Brgy.Fabi</t>
  </si>
  <si>
    <t xml:space="preserve"> Republic of the Philippines Province of Sultan Kudarat Municipality of Sen. Ninoy Aquino BIDS AND AWARDS COMMITTEE INVITATION TO BID FOR Acquisition of One (1) Unit 4x4 Brand New Rescue Vehicle 1. The Municipal Government of Senator Ninoy Aquino, through </t>
  </si>
  <si>
    <t xml:space="preserve"> The Municipal Government of Tagana-an, through the utilization of Share from National Wealth Fund CY 2020, intends to apply the sum of P1,000,000.00, being the Approved Budget for the Contract (ABC) to payments under the contract for Construction of Drain</t>
  </si>
  <si>
    <t xml:space="preserve"> ITEM NO.	DESCRIPTION	QUANTITY	UNIT 			 PART A	FACILITIES FOR THE ENGINEER	 	  A.1.1 (1)	Construction of Field Office including provision of furniture for the Engineer,40 sq.m.	40.00	sq.m.  	TOTAL OF PART A	 	  PART B	OTHER GENERAL REQUIREMENTS	 	  B.4 (8)</t>
  </si>
  <si>
    <t xml:space="preserve"> Republic of the Philippines          City of Dumaguete Bids and Awards Committee INVITATION TO BID FOR THE PURCHASE OF 2 UNITS FULLY RECONDITIONED PASSENGER TYPE MULTICAB AND OTHER ITEMS 	The City of Dumaguete thru its BIDS AND AWARDS COMMITTEE (BAC), inv</t>
  </si>
  <si>
    <t xml:space="preserve"> Supply and delivery of construction materials and Aggregates Sub-base Course</t>
  </si>
  <si>
    <t xml:space="preserve"> Republic of the Philippines Province of Nueva Vizcaya BIDS AND AWARDS COMMITTEE (BAC-Goods) BAC OFFICE, Provincial Capitol, Bayombong, Nueva Vizcaya Tel. No. 078-392-2062 	 INVITATION TO BID FOR THE SUPPLY AND DELIVERY OF PLASTIC PRODUCTS  FOR THE  PROVIN</t>
  </si>
  <si>
    <t xml:space="preserve"> 74462 - Procurement of Airconditioning Check-up and Cleaning Services Posting Date: June 3, 2020 Closing Date: June 16, 2020</t>
  </si>
  <si>
    <t xml:space="preserve"> Republic of the Philippines          City of Dumaguete Bids and Awards Committee INVITATION TO BID FOR THE PURCHASE OF 2 UNITS BRAND NEW THREE-WHEELED MOTORCYCLE, PICK UP TYPE AND OTHER ITEMS 	The City of Dumaguete thru its BIDS AND AWARDS COMMITTEE (BAC)</t>
  </si>
  <si>
    <t xml:space="preserve"> Invitation to Bid for  INFRA 2K20-42 CONST. OF CAPABILITY DEVELOPMENT CENTER FOR LAW ENFORCERS &amp; DISASTER RISK REDUCTION MANAGEMENT OFFICES (RENOV./IMPROV’T. OF FORMERLY ZAMBOANGA DEL SUR SPORTS ACADEMY FOR THE PROPOSED PDRRMO) PGC, Dao, Pagadian City, Za</t>
  </si>
  <si>
    <t xml:space="preserve"> Invitation to Bid for  INFRA 2K20-44 REPAIR/IMPROVEMENT OF COMMON BUILDING AND FACILITIES (BUILDING B) FOR RTC AND ZDSMC WARD Prov’l. Gov’t. Complex, Dao, Pagadian City, Zamboanga del Sur June 02, 2020 1.	The Provincial Government of Zamboanga del Sur, th</t>
  </si>
  <si>
    <t xml:space="preserve"> INVITATION TO BID PROCUREMENT OF POSTNATAL KIT WITH BABY BOX FOR MOTHERS FOR THE USE OF GENDER &amp; DEVELOPMENT FOCAL POINT SYSTEM – CHO (SECOND BIDDING) 	 The City Government of Navotas, through its Bids and Awards Committee, will hold a Public Bidding for </t>
  </si>
  <si>
    <t xml:space="preserve"> FUND SOURCE: 20% PDF 2020 TYPES OF WORK TO BE DONE: Project billboard/ signboard/ occupational safety and health program/ removal of structures and obstruction/ roadway excavation (unsuitable)/ structure excavation (soft rock)/subgrade preparation/ aggreg</t>
  </si>
  <si>
    <t xml:space="preserve"> Republic of the Philippines Province of Occidental Mindoro Mamburao, Occidental Mindoro BIDS AND AWARDS COMMITTEE INVITATION TO BID The Provincial Government of Occidental Mindoro through its Bids and Awards Committee (BAC) invites all interested contract</t>
  </si>
  <si>
    <t xml:space="preserve"> Other General Requirements, Civil, Mechanical, Electrical and Sanitary/Plumbing Works, Finishing and Other Civil Works</t>
  </si>
  <si>
    <t xml:space="preserve"> a. Contract ID No:	20P00040     Contract Name:	Construction / Rehabilitation of Water Supply / Septage and Sewerage / Rain Water Collector Systems – Rain Water Collectors in Public Facilities - CAR     Approved Budget for the Contract:	Php 4,086,756.90   </t>
  </si>
  <si>
    <t xml:space="preserve"> I. Excavation for Structure II. Embankment III. Reinforcing Steel IV. Structural Concrete Class A V. Form Works VI. Cement Plaster Finish VII. Masonry Units VIII. Structural Steel IX. Pre-painted Metal Sheets X. Conduits, Boxes &amp; Fittings XI. Wires and Fi</t>
  </si>
  <si>
    <t xml:space="preserve"> A 286.83 LN.M LOCAL ACCESS ROAD SITUATED AT STO. TOMAS - STA. LUCIA MAGARAO CAMARINES SUR</t>
  </si>
  <si>
    <t xml:space="preserve"> Republic of the Philippines Province of Oriental Mindoro  MUNICIPALITY OF NAUJAN BIDS AND AWARDS COMMITTEE INVITATION TO BID SUPPLY AND DELIVERY OF 1 UNIT BRAND NEW GARBAGE DUMP TRUCK TO BE USED IN ENVIRONMENTAL MANAGEMENT PROGRAM, NAUJAN, ORIENTAL MINDOR</t>
  </si>
  <si>
    <t xml:space="preserve"> INVITATION TO BID IB-2020-060 The Philippine Children’s Medical Center, through PCMC Corporate Fund for CY 2020 intends to apply the sum of Sixteen Million Seven Hundred Twenty-Three Thousand One Hundred One Pesos and 12/100 (Php 16,723,101.12) being the </t>
  </si>
  <si>
    <t xml:space="preserve"> Republic of the Philippines Province of Palawan Municipality of Busuanga INVITATION TO BID FOR SUPPLY &amp; DELIVERY OF TWO(2) UNITS 6-WHEELER DUMP TRUCK (BRAND NEW) INTENDED FOR RESIDUAL CONTAINMENT AREA(RCA) IN RELATION TO COVID-19 1.	The Municipal Governme</t>
  </si>
  <si>
    <t xml:space="preserve"> 74434 - Procurement of Various Office Equipment Posting Date: June 3, 2020 Closing Date: June 16, 2020</t>
  </si>
  <si>
    <t xml:space="preserve"> INVITATION TO BID  PROCUREMENT OF CIVIL WORKS  OF VARIOUS FACILITIES  1.	The LOCAL WATER UTILITIES ADMINISTRATION has received a Loan from the Asian Development Bank toward the cost of the Water District Development Sector Project (WDDSP), and it intends </t>
  </si>
  <si>
    <t xml:space="preserve"> 74744 - Procurement of Three (3) Units Desktop Computers Posting Date: June 3, 2020 Closing Date: June 16, 2020</t>
  </si>
  <si>
    <t xml:space="preserve"> PROPOSED INSTALLATION OF FIVE UNITS STREETLIGHTS AT BRGY. STA. VERONICA, SAN PABLO CITY</t>
  </si>
  <si>
    <t xml:space="preserve"> The Bids and Awards Committee								 Province of Iloilo								 								      In connection with your Invitation to Bid No. PEO-20-0618 B  scheduled on June 17, 2020, I/we proposed to furnish and deliver in conformity with the terms and conditions, and s</t>
  </si>
  <si>
    <t xml:space="preserve"> Republic of the Philippines  Province of Cebu Municipality of Boljoon INVITATION TO BID FOR the purchase of IT equipment 1.	The Municipality of Boljoon, through the Annual Budget 2020-Accounting IT Equipment  in the amount of One hundred thousand  pesos (</t>
  </si>
  <si>
    <t xml:space="preserve"> INVITATION TO BID FOR  Procurement of Goods [Security Services] (REBID) The   City Government of Tagbilaran,   through the Special Education Fund (SEF) for FY 2020, intends to apply the sum of Twelve Million Eight Hundred Fifty Two Thousand Six Hundred Se</t>
  </si>
  <si>
    <t xml:space="preserve"> The Municipal Government of Tagana-an, through the utilization of Share from National Wealth Fund CY 2019, intends to apply the sum of P1,500,000.00, being the Approved Budget for the Contract (ABC) to payments under the contract for Construction of Kitch</t>
  </si>
  <si>
    <t xml:space="preserve"> Republic of the Philippines Province of Nueva Vizcaya BIDS AND AWARDS COMMITTEE (BAC-Goods) BAC OFFICE, Provincial Capitol, Bayombong, Nueva Vizcaya Tel. No. 078-392-2062 	 INVITATION TO BID FOR THE SUPPLY AND DELIVERY OF AGRICULTURAL MACHINERY AND SUPPLI</t>
  </si>
  <si>
    <t xml:space="preserve"> Republic of the Philippines Province of Agusan del Norte BIDS AND AWARDS COMMITTEE Capitol, Butuan City Invitation to Bid for Construction and Installation of Elevator, Provincial Health  Office, Brgy. Libertad, Butuan City (REBID) The Provincial Governme</t>
  </si>
  <si>
    <t xml:space="preserve"> I N V I T A T I O N   T O   B I D 2020 - 091 June 3, 2020 1.	The Provincial Government of Tarlac through the 20% DF '20 - Infrastructure Projects intends to apply the sum of Three Million Pesos Only (PhP 3,000,000.00) being the Approved Budget for the Con</t>
  </si>
  <si>
    <t xml:space="preserve"> Republic of the Philippines          City of Dumaguete Bids and Awards Committee INVITATION TO BID FOR THE JOB ORDER: INSTALLATION AND SUPPLY OF BRAND NEW STANDBY GENERATOR SET 	The City of Dumaguete thru its BIDS AND AWARDS COMMITTEE (BAC), invites all i</t>
  </si>
  <si>
    <t xml:space="preserve"> INVITATION TO BID PROCUREMENT OF DUMP TRUCKS FOR THE USE OF CITY ENVIRONMENT AND NATURAL RESOURCES OFFICE (SECOND BIDDING) 	 The City Government of Navotas, through its Bids and Awards Committee, will hold a Public Bidding for the PROCUREMENT OF DUMP TRUC</t>
  </si>
  <si>
    <t xml:space="preserve"> 56.5 SACKS OF RICE 35 BOXES NOODLES 10 PACKS PLASTIC BAGS MEALS AND SNACKS HYGIENE KITS CAR RENTALS</t>
  </si>
  <si>
    <t xml:space="preserve"> The Bids and Awards Committee								 Province of Iloilo								 								      In connection with your Invitation to Bid No. PEO-20-0639 B  scheduled on June 17, 2020, I/we proposed to furnish and deliver in conformity with the terms and conditions, and s</t>
  </si>
  <si>
    <t xml:space="preserve"> Republic of the Philippines Province of Nueva Vizcaya BIDS AND AWARDS COMMITTEE (BAC-Goods) BAC OFFICE, Provincial Capitol, Bayombong, Nueva Vizcaya Tel. No. 078-392-2062 	 2ND INVITATION TO BID FOR THE SUPPLY AND DELIVERY OF 1 UNIT MOTORCYCLE FOR THE  PR</t>
  </si>
  <si>
    <t xml:space="preserve"> I. Stone Masonry II. Cement Facing</t>
  </si>
  <si>
    <t xml:space="preserve"> FUND SOURCE: CAPITAL OUTLAY 2020 TYPES OF WORK TO BE DONE: Project billboard/ signboard/ occupational safety and health program/ mobilization and demobilization/ clearing and grubbing/ surplus common excavation/ structure excavation/ embankment from roadw</t>
  </si>
  <si>
    <t xml:space="preserve"> Invitation to Bid for  INFRA 2K20-40 CONSTRUCTION OF 14 LN.M. HANGING BRIDGE June 02, 2020 1.	The Provincial Government of Zamboanga del Sur, through the Capital Outlay CY 2020 / SB No.3 CY 2020 intends to apply the sum of TWO MILLION THREE HUNDRED EIGHTY</t>
  </si>
  <si>
    <t xml:space="preserve"> The Bids and Awards Committee								 Province of Iloilo								 								      In connection with your Invitation to Bid No. PEO-20-0638-B  scheduled on June 17, 2020, I/we proposed to furnish and deliver in conformity with the terms and conditions, and s</t>
  </si>
  <si>
    <t xml:space="preserve"> 74568 - Procurement of Various Hardware Materials for Construction of Modular Concrete Blocks Posting Date: June 3, 2020 Closing Date: June 16, 2020</t>
  </si>
  <si>
    <t xml:space="preserve"> General Requirements, Demolition Works, Earthworks, Structural Works, Architectural Works</t>
  </si>
  <si>
    <t xml:space="preserve"> Other General Requirements, Earthworks, Plain and Reinforced Concrete, Finishing and Other Civil Works, Electrical, Mechanical</t>
  </si>
  <si>
    <t xml:space="preserve"> INVITATION TO BID FOR  Procurement of Goods [Fuel and Lubricants] The   City Government of Tagbilaran,   through the Appropriation Ordinance No. 19-05 for FY 2020, intends to apply the sum of Two Million Pesos only (Php2,000,000.00)being the  Approved Bud</t>
  </si>
  <si>
    <t xml:space="preserve"> I N V I T A T I O N   T O   B I D 2020 - 092 June 3, 2020 1.	The Provincial Government of Tarlac through the 20% DF - Infra Projects intends to apply the sum of Two Million Five Hundred Thousand Pesos Only (PhP 2,500,000.00) being the Approved Budget for </t>
  </si>
  <si>
    <t xml:space="preserve"> Project: CONSTRUCTION OF SANITARY TOILET WITH HYGIENE FACILITIES FOR PUBLIC PLACES IN BRGY. AS-IS	Description: L=12.75m W=7.55m	 Location: Barangay As-is, Laurel, Batangas ABC:PHP1,272,903.95  Project: LOCAL ACCESS ROAD IN BRGY. BALAKILONG TO MOLINETE Des</t>
  </si>
  <si>
    <t xml:space="preserve"> Republic of the Philippines Province of Nueva Vizcaya BIDS AND AWARDS COMMITTEE (BAC-Goods) BAC OFFICE, Provincial Capitol, Bayombong, Nueva Vizcaya Tel. No. 078-392-2062 	 2ND INVITATION TO BID FOR THE SUPPLY AND DELIVERY OF AGRICULTURAL PRODUCTS  AND MA</t>
  </si>
  <si>
    <t xml:space="preserve"> REPUBLIC OF THE PHILIPPINES DEPARTMENT OF FINANCE BUREAU OF INTERNAL REVENUE National Office, Diliman, Quezon City             May 29, 2020 INVITATION TO BID 1.	The   Bureau   of   Internal     Revenue – National Office (BIR-NO), through the General Appro</t>
  </si>
  <si>
    <t xml:space="preserve"> 74745 - Procurement of One (1) Laptop Computer Posting Date: June 3, 2020 Closing Date: June 16, 2020</t>
  </si>
  <si>
    <t xml:space="preserve"> Republic of the Philippines Province of Cotabato Municipality of Mlang BIDS AND AWARDS COMMITTEE INVITATION TO BID            The Municipal Government of M’LANG intends to apply the sum of  ONE MILLION PESOS ONLY (P1,000,000.00) being the Approved Budget </t>
  </si>
  <si>
    <t xml:space="preserve"> 1 Lot DRESSING ROOM TILE WORKS 1 Lot DOORS AND LOCKSETS 1 Lot CEILING WORKS 1 Lot INSTALLATION OF CEILING CORNICE 1 Lot PAINTING WORKS (CEILING/WALLING OF DRESSING ROOM) 1 Lot INSTALLATION OF MIRROR (DRESSING ROOM) 1 Lot INSTALLATION OF AIRCON (DRESSING R</t>
  </si>
  <si>
    <t xml:space="preserve"> I N V I T A T I O N   T O   B I D 2020 - 093 June 3, 2020 1.	The Provincial Government of Tarlac through the 20% DF - Infra Projects intends to apply the sum of Two Million Two Hundred Fifty Thousand Pesos Only (PhP 2,250,000.00) being the Approved Budget</t>
  </si>
  <si>
    <t xml:space="preserve"> The Bids and Awards Committee								 Province of Iloilo								 								      In connection with your Invitation to Bid No. PEO-20-0628-B  scheduled on June 17, 2020, I/we proposed to furnish and deliver in conformity with the terms and conditions, and s</t>
  </si>
  <si>
    <t xml:space="preserve"> Republic of the Philippines Province of Quezon MUNICIPALITY OF PANUKULAN * * * Invitation to Bid for CONSTRUCTION OF MULTI-PURPOSE BUILDING (MPB) PHASE II 1.	The Local Government Unit of Panukulan, Quezon  through the  20%  MDF 2019 intends to apply the s</t>
  </si>
  <si>
    <t xml:space="preserve"> BIDS AND AWARDS COMMITTEE INVITATION TO BID 	The City Government of Valenzuela, through its Bids and Award Committee (BAC), invites interested suppliers, to apply for eligibility and to bid for the hereunder listed project to wit:      Project Reference N</t>
  </si>
  <si>
    <t xml:space="preserve"> Invitation to Bid for the  CONCRETING OF FARM TO MARKET ROAD AT BARANGAY SITE, PUROK 2, COGON BACACA  Kiblawan, Davao del Sur 1.The Local Government Unit of Kiblawan, through the 20% Local Government Development Fund 2020[ In the case of National Governme</t>
  </si>
  <si>
    <t xml:space="preserve"> INVITATION TO BID The Guimaras District Engineering Office, through its Bids and Awards Committee (BAC), invites contractors to submit bids for the following Contract: Contract ID:	20GE0104 Contract Name: Construction (Completion) of Multi-Purpose Buildin</t>
  </si>
  <si>
    <t xml:space="preserve"> Furnishing of Labor, Materials and Equipment for the Construction of 2-Classrooms School Building with PWD Toilets at Caimbang Elementary School, Caimbang, San Isidro, Bohol ABC: P2,809,057.62 Cost of Bid Documents: P5,000.00 Advertisement Period: June 2 </t>
  </si>
  <si>
    <t xml:space="preserve"> Other General Requirements, Earthworks, Plain and Reinforced Concrete Works, Formworks and Falseworks</t>
  </si>
  <si>
    <t xml:space="preserve"> Furnishing of Labor, Materials and Equipment for the Construction of 1-Classroom School Building with Toilet at Candungaw High School, Candungaw, San Isidro, Bohol ABC: P1,641,302.12 Cost of Bid Documents: P5,000.00 Advertisement Period: June 2 - June 24,</t>
  </si>
  <si>
    <t xml:space="preserve"> Description	Quantity A12 300Mbps Repeater Range Extender	7 pcs Uninterruptible power supply (UPS)	7 pcs Smart TV 32"	4 pcs Printer Scan legal paper, Refill Tank System, Wifi, Mobile-Print, ADF Print, Scan and Copy with Built-in Wireless Borderless Printin</t>
  </si>
  <si>
    <t xml:space="preserve"> I. DEMOLITION AND EARTHWORKS II. CARPENTRY WORKS III. WELDING WORKS IV. CONCRETE WORKS V. MASONRY WORKS VI. PAINTING WORKS VII. ELECTRICAL WORKS VIII. PLUMBING WORKS IX. MISCELLANEOUS</t>
  </si>
  <si>
    <t xml:space="preserve"> Republic of the Philippines Province of Quezon MUNICIPALITY OF PANUKULAN * * * Invitation to Bid for IMPROVEMENT OF CANAL AND DRAINAGE CROSSING 1.	The Local Government Unit of Panukulan, Quezon  through the  20%  MDF 2020 intends to apply the sum of One M</t>
  </si>
  <si>
    <t xml:space="preserve"> INVITATION TO BID The Guimaras District Engineering Office, through its Bids and Awards Committee (BAC), invites contractors to submit bids for the following Contract: Contract ID: 20GE0103 Contract Name: Construction of Road Slope Protection Structure – </t>
  </si>
  <si>
    <t xml:space="preserve"> LOCAL GOVERNMENT UNIT OF LALA			Project Reference Number:  Name of the Project: Purchase of Construction Materials for Renovation/Repair and Maintenance of Building at Municipal Agriculture Office (Phase I) Location of the Project: LGU-Lala, Lanao del Nor</t>
  </si>
  <si>
    <t xml:space="preserve"> Other General Requirements, Finishing and Other Civil Works</t>
  </si>
  <si>
    <t xml:space="preserve"> ice bag(medium), ice bag(large),plaster,leg splint, arm splint..etc(1lot)</t>
  </si>
  <si>
    <t xml:space="preserve"> Adding Machine tape,Ballpen Black,binder 2 ring, calculator, carbon paper long,..etc(1lot)</t>
  </si>
  <si>
    <t xml:space="preserve"> Furnishing of Labor, Materials and Equipment for the Construction of 2-Classroom School Building with PWD Toilets at Hanopol National High School. Hanopol, Balilihan, Bohol ABC: P2,927,757.86 Cost of Bid Documents: P5,000.00 Advertisement Period: June 2 -</t>
  </si>
  <si>
    <t xml:space="preserve"> B.9	Mobilization/Demobiliazation	lot	all	10,569.30 102(2)b	Individual Removal of Trees (small 300-500mmØ)	8.00	ea	25,640.00 103(1)a	Structure Excavation (Common Soil)	54.00	cu.m.	15,948.90 506	Stone Masonry	117.00	cu.m.	576,342.00 SPL 	Project Billboard	l</t>
  </si>
  <si>
    <t xml:space="preserve"> INVITATION TO BID Bid No. B-74-2020 1.	The Provincial Government of Negros Oriental through Responsibility Center: 4411R-016(20) / Account Code: 50203080, intends to apply the sum of Three Million Six Hundred Seventy-Five Thousand Pesos (Php 3,675,000.00)</t>
  </si>
  <si>
    <t xml:space="preserve"> INVITATION TO BID SUPPLY, DELIVERY AND TESTING OF ONE (1) LOT SHORT FIREARMS  (CALIBER .45) (CI) Bid Ref. No. 2020-06 1.	The Philippine Drug Enforcement Agency (PDEA), thru its Bids and Awards Committee (BAC), intends to apply the following sum being the </t>
  </si>
  <si>
    <t xml:space="preserve"> REQUEST FOR EXPRESSION OF INTEREST FOR  SUBDIVISION SURVEY OF NEW LANDS (RA 3844) 1. The DEPARTMENT OF AGRARIAN REFORM, through the GOVERNMENT APPROPRIATIONS ACT 2020 intends to apply the sum of TWO MILLION ONE HUNDRED EIGTHY EIGHT THOUSAND PESOS (Php. 2,</t>
  </si>
  <si>
    <t xml:space="preserve"> CONSTRUCTION OF BALANGAO PATHWAY, NATONIN FUND SOURCE; 20% pdf 2020 TYPES OF WORK TO BE DONE: Project billboard/ signboard/ occupational safety and health program/ site preparation/ forms and falseworks/ concrete pathway IMPROVEMENT OF STA. ISABEL PATHWAY</t>
  </si>
  <si>
    <t xml:space="preserve"> Other General Requirements, Earthworks, Surface Courses, Bridge Construction, Drainage and Slope Protection Structures</t>
  </si>
  <si>
    <t xml:space="preserve"> June 2, 2020 1.	The Provincial Government of Davao del Sur, through its Special Bids and Awards Committee (SBAC), invites all potential bidders/contractors to apply to bid for the following project. Bids submitted in excess of the ABC shall be automatical</t>
  </si>
  <si>
    <t xml:space="preserve"> CONSTRUCTION OF MULTI-PURPOSE HALL (PHASE II) SITIO DAPI, BARANGAY CAGBALETE I, MAUBAN, QUEZON. 1.	The Local Government Unit of Mauban  through the 20% DEVELOPMENT FUND-8751/1-07-10-030, 2020 intends to apply the sum of One Million Four Hundred Ninety Nin</t>
  </si>
  <si>
    <t xml:space="preserve"> Republic of the Philippines			 DEPARTMENT OF SCIENCE AND TECHNOLOGY			 Regional Office No. 13, Caraga			 CSU Campus, Ampayon, Butuan City			 Telephone #: (085) 342-5345, 341-9551, Fax #: 342-5684			 			 Supply, Delivery, and Installation of 1 unit Large F</t>
  </si>
  <si>
    <t xml:space="preserve"> INVITATION TO BID Bid No. B-75-2020  1.	The Provincial Government of Negros Oriental through Responsibility Center: 8751-01(20) / Account Code: 50203090, intends to apply the sum of Four Million One Hundred Eighty-Five Thousand Nine Hundred Ninety-Nine Pe</t>
  </si>
  <si>
    <t xml:space="preserve"> Furnishing of Labor, Materials and Equipment for the Construction of 2-Classroom School Building with PWD Toilets at Danao Technological  School, Danao, Bohol ABC: P2,754,730.83 Cost of Bid Documents: P5,000.00 Advertisement Period: June 2 - June 24, 2020</t>
  </si>
  <si>
    <t xml:space="preserve"> INVITATION TO BID Bid No. B-76-2020  1.	The Provincial Government of Negros Oriental through Responsibility Center: 8919-06(19), intends to apply the sum of Three Million Pesos (Php 3,000,000.00) to payment under the contract “Purchase of One (1) unit Bra</t>
  </si>
  <si>
    <t xml:space="preserve"> Republic of the Philippines Department of the Interior and Local Government Bureau of Jail Management and Penology National Capital Region BJMP -NCRO,5th Floor, Seneca Bldg E Rodriguez, New Manila Quezon City INVITATION TO BID   PROCUREMENT OF  1 LOT VARI</t>
  </si>
  <si>
    <t xml:space="preserve"> INVITATION TO BID Bid No. B-78-2020 1.	The Provincial Government of Negros Oriental, through Responsibility Center: 8918-160(19), intends to apply the sum of Nine Hundred Eighty Thousand Pesos (Php 980,000.00) being the Approved Budget for the Contract (A</t>
  </si>
  <si>
    <t xml:space="preserve"> Republic of the Philippines MUNICIPALITY OF BUENAVISTA INVITATION TO BID FOR SUPPLY AND DELIVERY OF MATERIALS FOR INSTALLATION OF SOLAR STREET LIGHTING SYSTEM 1.	The Local Government Unit of Buenavista, Marinduque through the fund from the 20% Development</t>
  </si>
  <si>
    <t xml:space="preserve"> INVITATION TO BID SUPPLY, DELIVERY AND TESTING OF ONE (1) LOT HIGH POWERED FIREARMS (CALIBER 5.56) Bid Ref. No. 2020-07 1.	The Philippine Drug Enforcement Agency (PDEA), thru its Bids and Awards Committee (BAC), intends to apply the following sum being th</t>
  </si>
  <si>
    <t xml:space="preserve"> INVITATION TO BID Bid No. B-77-2020  1.	The Provincial Government of Negros Oriental through Responsibility Center: 8919-04(19), intends to apply the sum of Five Million Pesos (Php 5,000,000.00) to payment under the contract “Purchase of Two (2) units Bra</t>
  </si>
  <si>
    <t xml:space="preserve"> Air Freshner,alcohol, bleach,broom,cleanser powder..etc..(1lot)</t>
  </si>
  <si>
    <t xml:space="preserve"> Portland Cement, No. 16 Tie Wire, Sand (Approved Source), Gravel (Approved Source), No. 24 x 8' Plain G.I. Sheets, 2 1/2" Umbrella Nails, 4" C.W. Nails and others</t>
  </si>
  <si>
    <t xml:space="preserve"> SUPPLY AND DELIVERY OF DRUGS AND MEDICINES FOR INDIGENT PATIENT OF MAUBAN. The Local Government Unit of Mauban through the GENERal FUND-4411/5-02-03-070, 2020 intends to apply the sum of Nine Hundred Ninety Nine Thousand Nine Hundred Seventy Pesos (Php 99</t>
  </si>
  <si>
    <t xml:space="preserve"> Invitation to Bid for the REPAIR OF EXISTING CANALS OF MATANG-TUBIG CIS (REBID)  MONREAL, MASBATE 1.	The National Irrigation Administration Sorsogon-Masbate IMO, Sorsogon City, through the GAA/RREIS CY 2020 intends to apply the sum of P 1,500,485.48 being</t>
  </si>
  <si>
    <t xml:space="preserve"> Project Description Width= 3.00 mtr. Lenght= 4.00 mtr. Height= 2.40 mtr. and other scope of work</t>
  </si>
  <si>
    <t xml:space="preserve"> Tent</t>
  </si>
  <si>
    <t xml:space="preserve"> UNIVERSITY OF THE PHILIPPINES MANILA The Health Sciences Center 8/F PGH Central Block Bldg,  Taft Avenue, Manila INVITATION TO BID PROPOSED RE-ROOFING OF E.R. BUILDING AND REPAINTING OF ROOFING OF LEFT REAR WING QUADRANT BUILDING PHILIPPINE GENERAL HOSPIT</t>
  </si>
  <si>
    <t xml:space="preserve"> INVITATION TO BID FOR  Supply and Delivery of Agricultural and Forestry Equipment for Community Based Processing Facility Establishment  1.	The Department of Agriculture Regional Field Office No. 5, through the General Appropriation Act (GAA) for CY 2020-</t>
  </si>
  <si>
    <t xml:space="preserve"> 1.	Supply and Delivery of Various Chemicals for Mango ABC: Php2,870,630.00 Specifications: A.	Plant Growth Regulator: -	92 bottles Paclobutrazol, 1 liter/bottle B.	Insecticides: -	46 bottles Buprofezin, 1 liter/bottle -	184 bottles Deltamethrin, 1 liter/b</t>
  </si>
  <si>
    <t xml:space="preserve"> DPWH – La Union First District Engineering Office Lingsat, San Fernando City, La Union INVITATION TO BID The DPWH – La Union First District Engineering Office, through its Bids and Awards Committee (BAC), invites contractors to submit bids for the followi</t>
  </si>
  <si>
    <t xml:space="preserve"> 1.	Supply and Delivery of Various Pesticides ABC: Php918,750.00 Specifications: A.	250 bottles Cypermethrine 2.5 EC 1li/bottle B.	250 bags Carbufuran 3G (16.7kg/bag) C.	250 boxes Pre-Emergence Herbicide, Wettable Powder (1kg/box) D.	250 bottles Early-Late</t>
  </si>
  <si>
    <t xml:space="preserve"> Republic of the Philippines Province of Davao Oriental City of Mati BIDS &amp; AWARDS COMMITTEE INVITATION TO BID Procurement BY LOT of DISTRIBUTION TRANSFORMER, ELECTRIC GENERATOR SET and AUTOMATIC TRANSFER SWITCH for the Use of the Provincial DRRM Council C</t>
  </si>
  <si>
    <t xml:space="preserve"> CONSTRUCTION OF DISTRIBUTION TANK, INSTALLATION OF PIPES &amp; TRANSHIPMENT</t>
  </si>
  <si>
    <t xml:space="preserve"> INVITATION TO BID The Municipal Government of La Trinidad through the Bids and Awards Committee (BAC) invites contractors to bid for the hereunder project: Contract Reference No.: POW - 8751 - 2020 - ALN - 01 Name of Project: Construction of Concrete Pave</t>
  </si>
  <si>
    <t xml:space="preserve"> PARTICULARS	DATE Pre-bid Conference @ BAC Conference Room, GSO, 1st floor, New Capitol Blg, Pigcarangan, Tubod,LDN.	June 11,  2020 @ 10:00 AM Deadline for Submission of Eligibility requirements and bidding documents for  bid opening (all bids must be plac</t>
  </si>
  <si>
    <t xml:space="preserve"> 1.	Supply and Delivery of Various ICT Equipment Total ABC: Php1,290,000.00 Line Item No. 1: Supply and Delivery of 33 units Network Printer ABC: Php990,000.00 A.	33 units Network Printer Specs: -	Processor: 1,200 MHz -	Memory: minimum 256 MB -	Display: 2-</t>
  </si>
  <si>
    <t xml:space="preserve"> Republic of the Philippines MUNICIPALITY OF BUENAVISTA INVITATION TO BID FOR SUPPLY AND DELIVERY OF MATERIALS FOR INSTALLATION OF SOLAR POWERED HOME LIGHTING SYSTEM 1.	The Local Government Unit of Buenavista, Marinduque through the fund from the 20% Devel</t>
  </si>
  <si>
    <t xml:space="preserve"> INVITATION TO BID FOR SUPPLY/ DELIVERY OF CONSTRUCTION MATERIALS for SAN RAMON – SAN FRANCISCO RIS (REBID)  BULAN, SORSOGON 1.	The National Irrigation Administration Sorsogon-Masbate IMO, Sorsogon City, through the GAA/RRENIS CY 2020 intends to apply the </t>
  </si>
  <si>
    <t xml:space="preserve"> I N V I T A T I O N   T O   B I D 2020 - 094 June 3, 2020 1.	The Provincial Government of Tarlac through the 20% DF - Infra Projects intends to apply the sum of Two Million Pesos Only (PhP 2,000,000.00) being the Approved Budget for the Contract (ABC) to </t>
  </si>
  <si>
    <t xml:space="preserve"> Invitation to Bid for the CONSTRUCTION OF SLOPE PROTECTION WORKS OF UMAWAS-GAID CIS (REBID)  DIMASALANG, MASBATE 1.	The National Irrigation Administration Sorsogon-Masbate IMO, Sorsogon City, through the GAA/RREIS CY 2020 intends to apply the sum of P 1,5</t>
  </si>
  <si>
    <t xml:space="preserve"> INVITATION TO BID The Municipal Government of La Trinidad through the Bids and Awards Committee (BAC) invites contractors to bid for the hereunder project: Contract Reference No.: POW - 8751 - 2020 - AMB - 01 Name of Project: Construction of Flood Control</t>
  </si>
  <si>
    <t xml:space="preserve"> PEO-2020-0166 PR2020-0399 INVITATION TO BID FOR THE PROCUREMENT OF LABOR, MATERIALS, AND EQUIPMENT FOR THE CONSTRUCTION OF 1-CLASSROOM SCHOOL BUILDING WITH PWD TOILETS AT UPPER DELA PAZ PRIMA AT DELA PAZ, CORTES, BOHOL ABC: P 1,655,580.05 COST OF BID DOCU</t>
  </si>
  <si>
    <t xml:space="preserve"> Invitation to Bid for the REPAIR/REHABILITATION OF CANALS AND CONSTRUCTION OF SIPHON OF TUBING-GABI CIS (REBID), BALENO, MASBATE 1.	The National Irrigation Administration Sorsogon-Masbate IMO, Sorsogon City, through the GAA/RREIS CY 2020 intends to apply </t>
  </si>
  <si>
    <t xml:space="preserve"> INVITATION TO BID SUPPLY AND DELIVERY OF PROTECTIVE EQUIPMENT (MODULAR VEST) (CI) Bid Ref. No. 2020-08 1.	The Philippine Drug Enforcement Agency (PDEA), thru its Bids and Awards Committee (BAC), intends to apply the following sum being the Approved Budget</t>
  </si>
  <si>
    <t xml:space="preserve"> Republic of the Philippines Department of Health REGIONAL OFFICE IX Upper Calarian, Zamboanga City Tel no. 991-1313, 983-0932 to 34, fax 991-3380 E-mail: dohchdzp@yahoo Invitation to Bid CONTRACT ID # 20-03-072 REBID Contract Name: PROCUREMENT OF ADOLESCE</t>
  </si>
  <si>
    <t xml:space="preserve"> Invitation to Bid for the REPAIR/REHABILITATION OF CANALS AND CANAL STRUCTURES OF SAGAWSAWAN CIS (REBID), MOBO, MASBATE 1.	The National Irrigation Administration Sorsogon-Masbate IMO, Sorsogon City, through the GAA/RREIS CY 2020 intends to apply the sum o</t>
  </si>
  <si>
    <t xml:space="preserve"> INVITATION TO BID SUPPLY, DELIVERY AND TESTING OF SURVEILLANCE EQUIPMENT (BODY CAMERAS) Bid Ref. No. 2020-09 1.	The Philippine Drug Enforcement Agency (PDEA), thru its Bids and Awards Committee (BAC), intends to apply the following sum being the Approved </t>
  </si>
  <si>
    <t xml:space="preserve"> 3 pc. Accession Book 176 pcs. Ballpen (black) Fine Point (0.5) 20 pcs. Ballpen (blue) Fine Point (0.5) 15 pcs. Ballpen (red) Fine Point (0.5) 63 ream Bond Paper Short (8.5 x 11)sub.20 87 ream Bond Paper long (8.5 x 13) sub.20 61 ream Bond Paper A4,sub.20 </t>
  </si>
  <si>
    <t xml:space="preserve"> Republic of the Philippines Province of Cagayan Municipality of Baggao INVITATION TO BID FOR THE PROCUREMENT OF GOODS The LOCAL GOVERNMENT UNIT OF BAGGAO, CAGAYAN, through the 01-011-5-02-03-070 &amp; 01-011-5-02-03-080 intends to apply the sum of Eight Hundr</t>
  </si>
  <si>
    <t xml:space="preserve"> Contract ID: 20PL0108 Contract Name: Construction/Rehabilitation of Water Supply/Septage and Sewerage/Rain Water Collectors in Public Facilities Contract Location: Various School Sites/Barangay/Military Camp (Rizal, Tabuk City and Pinukpuk, Kalinga) Brief</t>
  </si>
  <si>
    <t xml:space="preserve"> I N V I T A T I O N   T O   B I D  The Visayas State University (VSU) through its Bids and Awards Committee (BAC) invites contractors to bid for the hereunder project: Name of Project 	:  Completion of Covered Court of VSU Alangalang (INFRA-20-04) Locatio</t>
  </si>
  <si>
    <t xml:space="preserve"> Republic of the Philippines  Office of the Municipal Mayor BIDS AND AWARDS COMMITTEE Sual, Pangasinan Invitation to Bid for PROCUREMENT OF ONE UNIT PICK-UP VEHICLE Sual, Pangasinan 1.	The Municipal Government of Sual, Pangasinan, through the Local Fund - </t>
  </si>
  <si>
    <t xml:space="preserve"> INVITATION TO BID FOR  Supply and Delivery of Furniture and Fixtures for Community Based Processing Facility Establishment  1.	The Department of Agriculture Regional Field Office No. 5, through the General Appropriation Act (GAA) for CY 2020-HVCDP intends</t>
  </si>
  <si>
    <t xml:space="preserve"> INVITATION TO BID SUPPLY, DELIVERY AND TESTING OF ONE (1) LOT AMMUNITION Bid Ref. No. 2020-11 1.	The Philippine Drug Enforcement Agency (PDEA), thru its Bids and Awards Committee (BAC), intends to apply the following sum being the Approved Budget for the </t>
  </si>
  <si>
    <t xml:space="preserve"> INVITATION TO BID SUPPLY, DELIVERY AND TESTING OF ONE (1) LOT RAMAN SPECTROMETER Bid Ref. No. 2020-10 1.	The Philippine Drug Enforcement Agency (PDEA), thru its Bids and Awards Committee (BAC), intends to apply the following sum being the Approved Budget </t>
  </si>
  <si>
    <t xml:space="preserve"> 8 rolls Haspi/Arlen Paper 20 gal. White glue(3.75L) 1 pcs. Gun Tucker (Heavy Duty) 2 cans Rugby (3.75L) 55 pcs. Chipboard/Binding Board 100 pcs. Binding Clip (1 inch) 3 pcs. Heavy Duty Cutter 2 pcs. Cuttng Mat (12"Wx18"L)</t>
  </si>
  <si>
    <t xml:space="preserve"> INVITATION TO BID Procurement of Foodstuff of H.E. and N.T.S.B. for 2nd Semester 2020 1.	The DSWD Field Office IV-A (CALABARZON), through the Direct Release Fund 2020 intends to apply the sum of Fourteen Million Forty-Seven Thousand Three Hundred Twenty-F</t>
  </si>
  <si>
    <t xml:space="preserve"> INVITATION TO BID The Municipal Government of La Trinidad through the Bids and Awards Committee (BAC) invites contractors to bid for the hereunder project: Contract Reference No.: POW - 8751 - 2020 - BLL - 06 Name of Project: Improvement of Bureau of Fire</t>
  </si>
  <si>
    <t xml:space="preserve"> Republic of the Philippines Province of Leyte BRGY. POBLACION ZONE 1, CAPOOCAN, LEYTE Invitation to Bid for  Construction of Tanod Outpost 1.	The Brgy. Poblacion Zone , Capoocan, Leyte  through the 20% Development Fund of 2019 and 2020, intends to apply t</t>
  </si>
  <si>
    <t xml:space="preserve"> Contract ID: 20PL0109 Contract Name: Package 1 - A.) Repair/Maintenance of DPWH Building, ADE's Building, Lower Kalinga DEO, Tabuk City, Kalinga, B.) Repair/Maintenance of DPWH Building, Rank and File Building, Lower Kalinga DEO, Tabuk City, Kalinga, C.) </t>
  </si>
  <si>
    <t xml:space="preserve"> INVITATION TO BID The Municipal Government of La Trinidad through the Bids and Awards Committee (BAC) invites contractors to bid for the hereunder project: Contract Reference No.: POW - 8751 - 2020 - BKL - 03 Name of Project: Completion of Linusod Multi-p</t>
  </si>
  <si>
    <t xml:space="preserve"> INVITATION TO BID The Municipal Government of La Trinidad through the Bids and Awards Committee (BAC) invites contractors to bid for the hereunder project: Contract Reference No.: POW - 8751 - 2020 - BLL - 07 Name of Projec: Improvement of Compac at BSU B</t>
  </si>
  <si>
    <t xml:space="preserve"> INVITATION TO BID SUPPLY, DELIVERY AND INSTALLATION OF ONE (1) LOT AIRCONDITIONING UNITS Bid Ref. No. 2020-12 1.	The Philippine Drug Enforcement Agency (PDEA), thru its Bids and Awards Committee (BAC), intends to apply the following sum being the Approved</t>
  </si>
  <si>
    <t xml:space="preserve"> 1500 pcs. RFID Card 13.56 MHG 7 box pannel Color Ribbon (YMCKKOK)</t>
  </si>
  <si>
    <t xml:space="preserve"> Contract ID: 20PL0111 Contract Name: Concreting of Brgy. Lower Taloctoc FMR, Brgy. Lower Taloctoc, Tanudan, Kalinga Contract Location: Tanudan, Kalinga Brief Description: Construction of 900m x 5.0m x 0.20m thk PCCP Approved Budget for the Contract (ABC):</t>
  </si>
  <si>
    <t xml:space="preserve"> Contract ID: 20PL0110 Contract Name: Repair and Maintenance of Road Safety Facilities Contract Location: Bulanao-Paracelis Road, Tabuk City, Kalinga Brief Description: Construction of 388 m Concrete Barrier Approved Budget for the Contract (ABC): PhP 3,95</t>
  </si>
  <si>
    <t xml:space="preserve"> INVITATION TO BID SUPPLY, DELIVERY AND TESTING OF ONE (1) LOT SHORT FIREARMS  (CALIBER .45) (REGULAR GAA) Bid Ref. No. 2020-16 1.	The Philippine Drug Enforcement Agency (PDEA), thru its Bids and Awards Committee (BAC), intends to apply the following sum b</t>
  </si>
  <si>
    <t xml:space="preserve"> INVITATION TO BID SUPPLY AND DELIVERY OF ONE (1) LOT VARIOUS INKS Bid Ref. No. 2020-14 1.	The Philippine Drug Enforcement Agency (PDEA), thru its Bids and Awards Committee (BAC), intends to apply the following sum being the Approved Budget for the Contrac</t>
  </si>
  <si>
    <t xml:space="preserve"> (see attached bidding documents in the associated component for further details)</t>
  </si>
  <si>
    <t xml:space="preserve"> Lot 1 500 reams Bondpaper,long 81/2 x 13 subs. 20 50 reams Bondpaper,short 81/2 x 11 subs. 20 35 pcks Specialty Paper (mix color), long 8 1/2 x 13 30 pcks. Photopaper (Glossy) A4 5 rolls Satin Ribbon (Royal Blue) #16 50mm 15 pcks Laminating Film,long 8 1/</t>
  </si>
  <si>
    <t xml:space="preserve"> INVITATION TO BID  Supply and Delivery of Lot 1- 1-unit Light Cargo Truck, 6 wheelers &amp; Lot 2- 1-unit Light Cargo Truck 4 or 6 Wheelers for the Implementation 1.	The Department of Agriculture Regional Field Office No. 5, through the General Appropriation </t>
  </si>
  <si>
    <t xml:space="preserve"> INVITATION TO BID The Municipal Government of La Trinidad through the Bids and Awards Committee (BAC) invites contractors to bid for the hereunder project: Contract Reference No.: POW - 8751 - 2020 - BLL - 05 Name of Project: Construction of Drainage Syst</t>
  </si>
  <si>
    <t xml:space="preserve"> INVITATION TO BID The Municipal Government of La Trinidad through the Bids and Awards Committee (BAC) invites contractors to bid for the hereunder project: Contract Reference No.: POW - 8751 - 2020 - PBN - 04 Name of Project: Construction of Drainage Cana</t>
  </si>
  <si>
    <t xml:space="preserve"> Republic of the Philippines  Office of the Municipal Mayor BIDS AND AWARDS COMMITTEE Sual, Pangasinan Invitation to Bid for PROCUREMENT OF ONE UNIT BUS Sual, Pangasinan 1.	The Municipal Government of Sual, Pangasinan, through the Local Fund - 2020 intends</t>
  </si>
  <si>
    <t xml:space="preserve"> INVITATION TO BID The Municipal Government of La Trinidad through the Bids and Awards Committee (BAC) invites contractors to bid for the hereunder project: Contract Reference No.: POW - 8751 - 2020 - CRZ - 01 Name of Project: Rehabilitation of Drainage Ca</t>
  </si>
  <si>
    <t xml:space="preserve"> Main Document</t>
  </si>
  <si>
    <t xml:space="preserve"> INVITATION FOR NEGOTIATED PROCUREMENT BAC-NP NO. 2020-04 	The Research Institute for Tropical Medicine (RITM) through its Bids and Awards Committee (BAC) invites technically, legally and financially capable PHILGEPS-registered suppliers/manufacturers to a</t>
  </si>
  <si>
    <t xml:space="preserve"> INVITATION TO BID The Municipal Government of La Trinidad through the Bids and Awards Committee (BAC) invites contractors to bid for the hereunder project: Contract Reference No.: POW - 8751 - 2020 - PCO - 03 Name of Project: Improvement of Vehicular Brid</t>
  </si>
  <si>
    <t xml:space="preserve"> Republic of the Philippines NATIONAL FOOD AUTHORITY Eastern Visayas Regional Office Pawing, Palo, Leyte INVITATION TO BID    PROCUREMENT OF I.T. EQUIPMENT (BRAND NEW AND NOT CLONED)  FOR NFA EASTERN VISAYAS REGIONAL OFFICE (REGION VIII) Project Reference </t>
  </si>
  <si>
    <t xml:space="preserve"> Republic of the Philippines							 DEPARTMENT OF PUBLIC WORKS AND HIGHWAYS							 PANGASINAN IV							 DISTRICT ENGINEERING OFFICE							 REGIONAL OFFICE I							 Tuliao, Sta. Barbara, Pangasinan							 Name of Procuring Entity: PANGASINAN IV DISTRICT ENG</t>
  </si>
  <si>
    <t xml:space="preserve"> INVITATION TO BID The Municipal Government of La Trinidad through the Bids and Awards Committee (BAC) invites contractors to bid for the hereunder project: Contract Reference No.: POW - 8751 - 2020 - PBN - 05 Name of Project: Concreting of Lower Western B</t>
  </si>
  <si>
    <t xml:space="preserve"> INVITATION TO BID The Municipal Government of La Trinidad through the Bids and Awards Committee (BAC) invites contractors to bid for the hereunder project: Contract Reference No.: POW - 8751 - 2020 - WNL - 04 Name of Project: Construction of Comfort Room </t>
  </si>
  <si>
    <t xml:space="preserve"> INVITATION TO BID FOR 20GM0007 – PROCUREMENT OF FUEL FOR THE USE OF DPWH CUTTER SUCTION DREDGE SDS 18- 1 (XD450) FOR THE DREDGING OF RIO GRANDE DE MINDANAO, BUCANA, BRGY. MOTHER KALANGANAN, COTABATO CITY 1. The Department of Public Works and Highways Regi</t>
  </si>
  <si>
    <t xml:space="preserve"> Republic of the Philippines DEPARTMENT OF PUBLIC WORKS AND HIGHWAYS LA UNION SECOND DISTRICT ENGINEERING OFFICE REGIONAL OFFICE I Natividad, Naguilian, La Union INVITATION TO BID The Department of Public Works and Highways LA UNION SECOND DISTRICT ENGINEE</t>
  </si>
  <si>
    <t xml:space="preserve"> INVITATION TO BID The Municipal Government of La Trinidad through the Bids and Awards Committee (BAC) invites contractors to bid for the hereunder project: Contract Reference No.: POW - 8751 - 2020 - BNG - 02 Name of Project: Completion of Multi-purpose B</t>
  </si>
  <si>
    <t xml:space="preserve"> INVITATION TO BID SUPPLY AND DELIVERY OF PROTECTIVE EQUIPMENT (MODULAR VEST) (REGULAR GAA) Bid Ref. No. 2020-17 1.	The Philippine Drug Enforcement Agency (PDEA), thru its Bids and Awards Committee (BAC), intends to apply the following sum being the Approv</t>
  </si>
  <si>
    <t xml:space="preserve"> INVITATION TO BID FOR  Supply and Delivery of Various Agricultural Equipment 1.	The Department of Agriculture Regional Field Office No. 5, through the General Appropriation Act (GAA) for CY 2020-Corn Program intends to apply the sum of Twenty Million Eigh</t>
  </si>
  <si>
    <t xml:space="preserve"> INVITATION TO BID The Municipal Government of La Trinidad through the Bids and Awards Committee (BAC) invites contractors to bid for the hereunder project: Contract Reference No.: POW - 8751 - 2020 - BNG - 01 Name of Project: Construction of FMR at Sitio </t>
  </si>
  <si>
    <t xml:space="preserve"> Improvement of Janiuay Public Market (Construction of Comfort Room Building), Janiuay Public Market, Janiuay, Iloilo Item No.	DESCRIPTION	Qty.	Unit I	Project Billboard	1	Lot II	Lay-Out, Staking and Enclosure	1	Lot III	Earthworks (Excavation &amp; Filling)	33.</t>
  </si>
  <si>
    <t xml:space="preserve"> Procurement of Consulting Services for the Consumer Insights Survey of Target Markets 1.	The Department of Tourism (DOT), through the General Appropriations Act 2020 intends to apply the sum of Twenty Million Philippine Pesos (PhP20,000,000.00) being the </t>
  </si>
  <si>
    <t xml:space="preserve"> LOT 1 SUBSCRIPTION OF PROFESSIONAL MAGAZINES AND JOURNALS Post Paid Subscription: COMPUTER AND OFFICE SYSTEM MANAGEMENT 2 isuue Philippine Information Technology Journal 7 isuue Office Pro 2 isuue Phil. Computing Journal HRST 12 isuue Asian Hotel and Cate</t>
  </si>
  <si>
    <t xml:space="preserve"> I N V I T A T I O N   T O   B I D 2020 - 100 June 3, 2020 1.	The Provincial Government of Tarlac through the PGO - Capital Outlay - Other Structures intends to apply the sum of Two Million Five Hundred Seventy-Two Thousand Two Hundred Ninety Pesos and 63/</t>
  </si>
  <si>
    <t xml:space="preserve"> Contract ID:	20LG0116 Contract Name:			Repair/Maintenance of DPWH Building BOE-Bilawan Building, Mati, Davao Oriental Contract Location:	Mati, Davao Oriental Brief Description:	Repair/ Maintenance of Public Building Approved Budget for the Contract (ABC):</t>
  </si>
  <si>
    <t xml:space="preserve"> 0.17 month Construction Safety and Health Program 1 lot removal of structures and obstructions 9 cu.m. structural excavation 11.85 cu.m. concrete class A 247363 kgs reinforcing steel 1 ls formworks and falseworks 9.96 sq.m. doors and windows 58.32 sq.m. m</t>
  </si>
  <si>
    <t xml:space="preserve"> Twelve (12) Security Guard Personnel: To secure, protect, and safeguard assets, properties, premises, and personnel of BFAR-NMC, Panabo City for the period July 1, 2020 to December 31, 2020. Terms and Conditions: I. That the Agency shall provide licensed </t>
  </si>
  <si>
    <t xml:space="preserve"> Contract ID:	20LG0118 Contract Name:			Repair/Maintenance of DPWH Building Engineer's Quarter, Brgy. Matiao, Mati, Davao Oriental Contract Location:	Mati, Davao Oriental Brief Description:	Repair/ Maintenance of Public Building Approved Budget for the Con</t>
  </si>
  <si>
    <t xml:space="preserve"> I N V I T A T I O N   T O   B I D 2020 - 101 June 3, 2020 1.	The Provincial Government of Tarlac through the PGO - Other Land Improvements intends to apply the sum of One Million Two Hundred Ninety-Seven Thousand Thirty-Four Pesos and 97/100 (PhP 1,297,03</t>
  </si>
  <si>
    <t xml:space="preserve"> I N V I T A T I O N   T O   B I D 2020 - 095 June 3, 2020 1.	The Provincial Government of Tarlac through the 20% DF - Infra Projects intends to apply the sum of One Million Five Hundred Thousand Pesos Only (PhP 1,500,000.00) being the Approved Budget for </t>
  </si>
  <si>
    <t xml:space="preserve"> I N V I T A T I O N   T O   B I D 2020 - 098 June 3, 2020 1.	The Provincial Government of Tarlac through the SEF-D. Construction/Improvement Kusina ng Kalinga (Centralized Kitchen) intends to apply the sum of One Million Eight Hundred Eighty-Nine Thousand</t>
  </si>
  <si>
    <t xml:space="preserve"> I N V I T A T I O N   T O   B I D 2020 - 097 June 3, 2020 1.	The Provincial Government of Tarlac through the SEF-D. Construction/Improvement Kusina ng Kalinga (Centralized Kitchen) intends to apply the sum of One Million Nine Hundred Sixty Thousand Four H</t>
  </si>
  <si>
    <t xml:space="preserve"> Contract ID:	20LG0117 Contract Name:			Repair/Maintenance of DENR Building PENRO Nursery House, Dahican, Mati, Davao Oriental Contract Location:	Mati, Davao Oriental Brief Description:	Repair/ Maintenance of Public Building Approved Budget for the Contrac</t>
  </si>
  <si>
    <t xml:space="preserve"> I N V I T A T I O N   T O   B I D 2020 - 096 June 3, 2020 1.	The Provincial Government of Tarlac through the 20% DF - Infra Projects intends to apply the sum of One Million Five Hundred Thousand Pesos Only (PhP 1,500,000.00) being the Approved Budget for </t>
  </si>
  <si>
    <t xml:space="preserve"> barangay cabatuhan purok5 would like to implement their farm to market road under GAD PLAN 2020 MATERIALS : 135 PORTLAND CEMENT 8 CU.M WASHED SAND 15 CU.M  CRUSHED GRAVEL G.I. 6PCS 2"X6"X10" MATWOOD 8 KGS 3" CWN 20PCS 12MM X 6 DSB MATERIALS 79,800.00 LABO</t>
  </si>
  <si>
    <t xml:space="preserve"> Republic of the Philippines Province of Nueva Vizcaya BIDS AND AWARDS COMMITTEE (BAC-Goods) BAC OFFICE, Provincial Capitol, Bayombong, Nueva Vizcaya Tel. No. 078-392-2062 	 INVITATION TO BID FOR THE SUPPLY AND DELIVERY OF 2 UNITS AIR-CONDITIONER (FLOOR MO</t>
  </si>
  <si>
    <t xml:space="preserve"> I N V I T A T I O N   T O   B I D 2020 - 099 June 3, 2020 1.	The Provincial Government of Tarlac through the SEF - D. Construction/Improvement Kusina ng Kalinga (Centralized Kitchen) intends to apply the sum of One Million Eight Hundred Seventy-Nine Thous</t>
  </si>
  <si>
    <t xml:space="preserve"> INVITATION TO BID The Department of Public Works and Highways, Iloilo 2nd District Engineering Office through its Bids and Awards Committee (BAC), invites contractors to submit bids for the following Contracts: Procurement ID/Contract ID No.:   20GG0175 C</t>
  </si>
  <si>
    <t xml:space="preserve"> Municipality of Looc Invitation to Bid for Construction of One Classroom in Brgy. Tabao-Ambil 1.	The Municipality of Looc, through the CCO intends to apply the sum of Php 1,150,000.00 being the Approved Budget for the Contract (ABC) to payments under the </t>
  </si>
  <si>
    <t xml:space="preserve"> Republic of the Philippines Region XII Province of Cotabato BIDS AND AWARDS COMMITTEE Amas, Kidapawan City INVITATION TO BID FOR Supply &amp; Delivery of Rubber Seedlings for distribution to farmers provincewide. (PB-20-077) 1.	The Provincial Government of Co</t>
  </si>
  <si>
    <t xml:space="preserve"> Republic of the Philippines Province of Nueva Vizcaya BIDS AND AWARDS COMMITTEE (BAC-Goods) BAC OFFICE, Provincial Capitol, Bayombong, Nueva Vizcaya Tel. No. 078-392-2062 	 INVITATION TO BID FOR THE SUPPLY AND DELIVERY OF VETERINARY MEDICAL SUPPLIES (VACU</t>
  </si>
  <si>
    <t xml:space="preserve"> INVITATION TO BID FOR    Supply and Delivery of Tablet Pro for IQAO  (BulSU-BAC-G-2020-22) The BULACAN STATE UNIVERSITY (BulSU), through its Bids and Awards Committee (BAC) for Goods, Supplies, and Services, invites suppliers/manufacturers/distributors to</t>
  </si>
  <si>
    <t xml:space="preserve"> Republic of the Philippines Region XII Province of Cotabato BIDS AND AWARDS COMMITTEE Amas, Kidapawan City INVITATION TO BID FOR Supply &amp; Delivery of Oil Palm Seedlings for distribution to farmers provincewide. (PB-20-160) 1.	The Provincial Government of </t>
  </si>
  <si>
    <t xml:space="preserve"> Republic of the Philippines Region XII Province of Cotabato BIDS AND AWARDS COMMITTEE Amas, Kidapawan City INVITATION TO BID FOR Supply &amp; Delivery of Cacao &amp; Coffee Seedlings for distribution to farmers provincewide. (PB-20-159) The Provincial Government </t>
  </si>
  <si>
    <t xml:space="preserve"> Republic of the Philippines Province of Nueva Vizcaya BIDS AND AWARDS COMMITTEE (BAC-GOODS) BAC OFFICE, Provincial Capitol, Bayombong, Nueva Vizcaya Tel. No. (078) 392-2650 	 2ND INVITATION TO BID FOR THE SUPPLY AND DELIVERY OF ONE (1) UNIT CAUTERY MACHIN</t>
  </si>
  <si>
    <t xml:space="preserve"> Republic of the Philippines Province of Nueva Vizcaya BIDS AND AWARDS COMMITTEE (BAC-GOODS) BAC OFFICE, Provincial Capitol, Bayombong, Nueva Vizcaya Tel. No. (078) 392-2650 	 2ND INVITATION TO BID FOR THE SUPPLY AND DELIVERY OF ONE (1) UNIT PHARMACY BIOME</t>
  </si>
  <si>
    <t xml:space="preserve"> 0.83 month Construction Safety and Health Program 24 sq.m. clearing and grubbing 580.85 cu.m. excavation 90 cu.m. backfill 2.40 sq.m. aggregate base course 97 cu.m. stone masonry 21.47 cu.m. concrete cl;ass a 811.49 kgs reinforcing steel 6 sets dugwell 6 </t>
  </si>
  <si>
    <t xml:space="preserve"> 0.30 month Construction Safety and Health Program 1 lot removal of structures and obstructions 32 cu.m. structural excavation 29.13 cu.m. concrete class A 4,139.43 kgs reinforcing steel 1 ls formworks and falseworks 14 sq.m. doors and windows 342.88 sq.m.</t>
  </si>
  <si>
    <t xml:space="preserve"> I N V I T A T I O N   T O   B I D 2020 - 102 June 3, 2020 1.	The Provincial Government of Tarlac through the 20% DF - Purchase of Garbage Compactor Truck for the transport of treated infectious wastes of TPH and 4 District Hospitals; PGO - Other Transport</t>
  </si>
  <si>
    <t xml:space="preserve"> Republic of the Philippines MINDANAO STATE UNIVERSITY General Santos City INVITATION TO BID FOR THE PROCUREMENT OF MICROBIOLOGY ANALYTICAL LAB/DA-ACEF EQUIPMENT 1.	The Mindanao State University – General Santos City (MSU-GSC), through the Special Trust Fu</t>
  </si>
  <si>
    <t xml:space="preserve"> Republic of the Philippines Province of Nueva Vizcaya BIDS AND AWARDS COMMITTEE (BAC-Goods) BAC OFFICE, Provincial Capitol, Bayombong, Nueva Vizcaya Tel. No. 078-392-2062 	 INVITATION TO BID FOR THE SUPPLY AND DELIVERY OF GROCERY ITEMS FOR STOCKPILE (SARD</t>
  </si>
  <si>
    <t xml:space="preserve"> Republic of the Philippines Province of Nueva Vizcaya BIDS AND AWARDS COMMITTEE (BAC-Goods) BAC OFFICE, Provincial Capitol, Bayombong, Nueva Vizcaya Tel. No. 078-392-2062 	 2ND INVITATION TO BID FOR THE 1,429 PAX MEALS &amp; SNACKS, ETC. FOR THE  SANGGUNIANG </t>
  </si>
  <si>
    <t xml:space="preserve"> NOTICE TO THE PUBLIC  REQUEST FOR QUOTATION AMP SVP NO: 20-06-0262A	              The University of the Philippines, Diliman (UPD) hereby informs the public that it will be procuring the following item/s through Small Value Procurement:   Qty/Unit	Item De</t>
  </si>
  <si>
    <t xml:space="preserve"> Republic of the Philippines Region XII Province of Cotabato BIDS AND AWARDS COMMITTEE Amas, Kidapawan City INVITATION TO BID FOR Supply of Diesel Fuel for various equipment/vehicle use to transport relief goods related to COVID-19 mitigation to different </t>
  </si>
  <si>
    <t xml:space="preserve"> Republic of the Philippines Province of Nueva Vizcaya BIDS AND AWARDS COMMITTEE (BAC-Goods) BAC OFFICE, Provincial Capitol, Bayombong, Nueva Vizcaya Tel. No. 078-392-2062 	 INVITATION TO BID FOR THE SUPPLY AND DELIVERY OF 4 UNITS BIOMETRIC MACHINE FOR THE</t>
  </si>
  <si>
    <t xml:space="preserve"> Republic of the Philippines DEPARTMENT OF AGRICULTURE Regional Field Office IX Zamboanga Peninsula 		 INVITATION TO BID  ITB NO. 05-0012-20 INSTALLATION OF SOLAR POWERED IRRIGATION SYSTEM 1.	 The Department of Agriculture, Region IX, through the General A</t>
  </si>
  <si>
    <t xml:space="preserve"> INVITATION TO BID (for the Procurement of Goods)           1.	The City Government of Puerto Princesa (CGPP), through its General Appropriations Ordinance No. 1-2019 (General Fund FY 2020) intends to apply the sum, corresponds as the Approved Budget for th</t>
  </si>
  <si>
    <t xml:space="preserve"> Contract ID: 20GPF0008 Contract Name: Supply and Delivery of Asphalt and Aggregates for Use of Maintenance Section of DPWH- Benguet 2nd DEO in Patching, Crack and Joint Sealing of Concrete Pavement along National Roads Contract Location: DPWH-BSDEO, Natub</t>
  </si>
  <si>
    <t xml:space="preserve"> Republic of the Philippines Region XII Province of Cotabato BIDS AND AWARDS COMMITTEE Amas, Kidapawan City INVITATION TO BID FOR Supply &amp; Delivery of Livestock (Large Ruminants) for distribution to qualified beneficiaries provincewide. (PB-20-277) 1.	The </t>
  </si>
  <si>
    <t xml:space="preserve"> Republic of the Philippines Province of Nueva Vizcaya Municipality of Bambang -oOo- INVITATION TO BID The Local Government Unit of Bambang, through the Barangay IRA and Barangay Development Assistance Fund, intends to apply the sum of NINE HUNDRED SIXTY T</t>
  </si>
  <si>
    <t xml:space="preserve"> Republic of the Philippines Province of Nueva Vizcaya Municipality of Bambang -oOo- INVITATION TO BID The Local Government Unit of Bambang, through the 20% Development Fund 2017-2020, intends to apply the sum of ONE MILLION THREE HUNDRED FIFTY THOUSAND PE</t>
  </si>
  <si>
    <t xml:space="preserve"> Republic of the Philippines Region XII Province of Cotabato BIDS AND AWARDS COMMITTEE Amas, Kidapawan City INVITATION TO BID FOR Supply &amp; Delivery of Goats for distribution to qualified beneficiaries provincewide. (PB-20-276) 1.	The Provincial Government </t>
  </si>
  <si>
    <t xml:space="preserve"> NOTICE TO THE PUBLIC  REQUEST FOR QUOTATION AMP SVP NO: 20-06-0221C	              The University of the Philippines, Diliman (UPD) hereby informs the public that it will be procuring the following item/s through Small Value Procurement:   Qty/Unit	Item De</t>
  </si>
  <si>
    <t xml:space="preserve"> Republic of the Philippines Region XII Province of Cotabato BIDS AND AWARDS COMMITTEE Amas, Kidapawan City INVITATION TO BID FOR Supply &amp; Delivery of Food Processing Equipment to be given to Coffee and Cacao qualified planters in the Province of Cotabato.</t>
  </si>
  <si>
    <t xml:space="preserve"> SEE ATTACH FILE</t>
  </si>
  <si>
    <t xml:space="preserve"> Procurement of Nine (9) sets Materials Testing, Thirty three (33) pcs. Clerical Mesh Chair, Mobile Pedestal, etc. for use in the QAHD, Laboratory Office (PR No. 20-03-072 dated 3/9/2020), QAHD, DPWH, Region V, Legazpi City</t>
  </si>
  <si>
    <t xml:space="preserve"> INVITATION TO BID FOR THE Supply and Delivery of  Diorite (PR-2020-8751-0099) 1.	The City Government of Mandaue, through the Annual Budget of 2020 – General Fund – 875150213030 Approved by the Sanggunian intends to apply the sum of Two Million Sixty-One T</t>
  </si>
  <si>
    <t xml:space="preserve"> INVITATION TO APPLY FOR ELIGIBILITY AND TO BID The local Government Unit of Taft, through is Bid and Awards Committee (BAC). Invites suppliers to apply for eligibility, to bid for the hereunder contract: Name of Contract: REDEVELOPMENT OF JUAN SULSE MEMOR</t>
  </si>
  <si>
    <t xml:space="preserve"> Republic of the Philippines Province of Cebu Municipality of Cordova BIDS AND AWARDS COMMITTEE (BAC) (032-236-6171) INVITATION TO BID  The Municipality of Cordova, through its Bids and Awards Committee (BAC) intends to apply  the sum of Two Million Pesos </t>
  </si>
  <si>
    <t xml:space="preserve"> The Bids and Awards Committee								 Province of Iloilo								 								      In connection with your Invitation to Bid No. PEO-20-0597-B scheduled on June 26, 2020, I/we proposed to furnish and deliver in conformity with the terms and conditions, and sp</t>
  </si>
  <si>
    <t xml:space="preserve"> Procurement of &amp; Installation of Canopy for sixteen (16) Service Vehicles (PR No. 20-02-059 dated 2/28/2020), EMD, DPWH, Region V, Legazpi City</t>
  </si>
  <si>
    <t xml:space="preserve"> L-300 VAN			 2.2L 4-INLINE 16 VALVE DOHC INTERCOOLED TURBO CHARGE	---------------		   1 UNIT (VGT) DI-DIESEL (EURO 4 (4N14)			 POWER 99.25/3500RPM			 FUEL SYSTEM ELECTRONIC COMMON RAIL DIRECT INJECTION			 PERFORMANCE 5 SPEED MANUAL			 MAXGROSS VEHICLE WEI</t>
  </si>
  <si>
    <t xml:space="preserve"> The Bids and Awards Committee								 Province of Iloilo								 								      In connection with your Invitation to Bid No. PEO-20-0545 B scheduled on June 26, 2020, I/we proposed to furnish and deliver in conformity with the terms and conditions, and sp</t>
  </si>
  <si>
    <t xml:space="preserve"> Width -4.00 m Thickness - 0.15 m Length - 140 In. m</t>
  </si>
  <si>
    <t xml:space="preserve"> The Bids and Awards Committee								 Province of Iloilo								 								      In connection with your Invitation to Bid No. PEO-20-0543 B  scheduled on June 26, 2020, I/we proposed to furnish and deliver in conformity with the terms and conditions, and s</t>
  </si>
  <si>
    <t xml:space="preserve"> Republic of the Philippines DEPARTMENT OF AGRICULTURE Regional Field Office IX Zamboanga Peninsula 		 INVITATION TO BID  ITB NO. 05-0011-20 INSTALLATION OF SOLAR POWERED IRRIGATION SYSTEM 1.	 The Department of Agriculture, Region IX, through the General A</t>
  </si>
  <si>
    <t xml:space="preserve"> The Bids and Awards Committee								 Province of Iloilo								 								      In connection with your Invitation to Bid No. PEO-20-0547-B scheduled on June 26, 2020, I/we proposed to furnish and deliver in conformity with the terms and conditions, and sp</t>
  </si>
  <si>
    <t xml:space="preserve"> The Bids and Awards Committee								 Province of Iloilo								 								      In connection with your Invitation to Bid No. PEO-20-0501 B  scheduled on June 26, 2020, I/we proposed to furnish and deliver in conformity with the terms and conditions, and s</t>
  </si>
  <si>
    <t xml:space="preserve"> 1. Ceiling mounted speaker 6W/100V COM Black 6w - Red 3w-White.................................................185 pcs. 2. horn speaker 30w/100v COM Black 15w - Green 30w................................................................31 pcs. 3. Amplifier </t>
  </si>
  <si>
    <t xml:space="preserve"> Republic of the Philippines Province of Cebu Municipality of Cordova BIDS AND AWARDS COMMITTEE (BAC) (032-236-6171) INVITATION TO BID  The Municipality of Cordova, through its Bids and Awards Committee (BAC) intends to apply  the sum of One Million Pesos </t>
  </si>
  <si>
    <t xml:space="preserve"> Republic of the Philippines City of Gapan Province of Nueva Ecija -------------------------------------------------------------------------- Invitation to Bid for the Construction of Farm to Market Road 1.	The City Government of Gapan, through the 20% Dev</t>
  </si>
  <si>
    <t xml:space="preserve"> Republic of the Philippines Province of Batangas MUNICIPALITY OF LOBO Invitation to Bid for the SUPPLY OF MATERIALS, LABOR AND EQUIPMENT FOR THE CONSTRUCTION OF LOBO PUBLIC MARKET FENCE AT BARANGAY POBLACION, LOBO, BATANGAS Contract ID No. 20-MDF-004 1.Th</t>
  </si>
  <si>
    <t xml:space="preserve"> Invitation to Bid for the Improvement of Maluko Public Market 1.	The Local Government Unit of Manolo Fortich, through the 20% Local Development Fund intends to apply the sum of THREE MILLION PESOS (PhP 3,000,000.00) being the Approved Budget for the Contr</t>
  </si>
  <si>
    <t xml:space="preserve"> 1. The Mindanao State University - Tawi-Tawi College of Technology and Oceanography (MSU-TCTO), through the GAA 2020, intends to apply the sum of Five Hundred Ten Thousand Pesos only (PhP 510,000.00) being Approved Budget of Contract to payments under the</t>
  </si>
  <si>
    <t xml:space="preserve"> INVITATION TO BID FOR THE Procurement of 6 units of Branded Desktop Computer (with complete accessories) 1. The Department of Agriculture-Regional Field Office 7, through the GAA 2020 intends to apply the sum of Five Hundred Ten Thousand Pesos (₱ 510,000.</t>
  </si>
  <si>
    <t xml:space="preserve"> Republic of the Philippines Province of Pangasinan Municipality of Bugallon OFFICE OF THE BIDS AND AWARDS COMMITTEE INVITATION TO BID The Municipality of Bugallon, Pangasinan, through its Bids and Awards Committee (BAC), invites contractors to bid for her</t>
  </si>
  <si>
    <t xml:space="preserve"> Republic of the Philippines Province of Quezon Municipality of Pagbilao BIDS AND AWARDS COMMITTEE Invitation to Bid for INSTALLATION OF TWENTY TWO (22) UNITS SOLAR LIGHTS 1.	The Municipal Government of Pagbilao, through the 20% MDF Supplemental Budge No. </t>
  </si>
  <si>
    <t xml:space="preserve"> Republic of the Philippines Province of Ilocos Sur Municipality of Cervantes Invitation to Bid for the Concreting of Davies Street 1.	The Municipal Government of Cervantes, through the 	RA 7171 intends to apply the sum of FOUR MILLION PESOS (Php4, 000,000</t>
  </si>
  <si>
    <t xml:space="preserve"> Republic of the Philippines Province of Batangas MUNICIPALITY OF LOBO Invitation to Bid for the SUPPLY OF MATERIALS, LABOR AND EQUIPMENT FOR THE INSTALLATION OF STREET LIGHTING SYSTEM (SOLAR) AT MARKET SITE, BARANGAY POBLACION, LOBO, BATANGAS Contract ID </t>
  </si>
  <si>
    <t xml:space="preserve"> INVITATION TO BID FOR THE Procurement of 20 units of Laptop  1. The Department of Agriculture-Regional Field Office 7, through the GAA 2020 intends to apply the sum of Nine Hundred Ninety Thousand Pesos (₱ 990,000.00) being the Approved Budget for the Con</t>
  </si>
  <si>
    <t xml:space="preserve"> 600 reams Bond Paper, long, subs. 20														 350 reams Bond Paper, short, subs. 20														 30 reams Mimeo Paper, long, subs. 20														 20 box Gel Pen, black														 5 box Gel Pen, blue														 14 box Gel Pen Ink Refill, blac</t>
  </si>
  <si>
    <t xml:space="preserve"> Republic of the Philippines Province of Batangas MUNICIPALITY OF LOBO Invitation to Bid for the SUPPLY OF MATERIALS, LABOR AND EQUIPMENT FOR THE CONSTRUCTION OF ADDITIONAL STRUCTURES OF NEW PUBLIC MARKET SITE (SITE FOR STP AND PARKING AREA) AT BARANGAY PO</t>
  </si>
  <si>
    <t xml:space="preserve"> Republic of the Philippines Province of Quezon Municipality of Pagbilao BIDS AND AWARDS COMMITTEE Invitation to Bid for CONSTRUCTION OF COVERED LINE CANAL 1.	The Municipal Government of Pagbilao, through the Supplemental Budget No. 1  CY- 2020 intends to </t>
  </si>
  <si>
    <t xml:space="preserve"> INVITATION TO BID FOR THE SUPPLY, DELIVERY, INSTALLATION AND COMMISSIONING OF ONE (1) UNIT FULLY AUTOMATED BLOOD CULTURE SYSTEM 1.	The Eversley Childs Sanitarium and General Hospital, through HFEP 2020 GAA, intends to apply the sum of Four Million Five Hu</t>
  </si>
  <si>
    <t xml:space="preserve"> Republic of the Philippines Province of Quezon Municipality of Pagbilao BIDS AND AWARDS COMMITTEE Invitation to Bid for CONCRETING OF ROAD 1.	The Municipal Government of Pagbilao, through the 20% MDF Supplemental Budge No. 1- CY 2020 intends to apply the </t>
  </si>
  <si>
    <t xml:space="preserve"> Republic of the Philippines Province of Quezon Municipality of Pagbilao BIDS AND AWARDS COMMITTEE Invitation to Bid for CONSTRUCTION OF PUBLIC / GOVERNMENT INFRASTRUCTURES ( CONSTRUCTION OF THIRD LAGOON) 1.	The Municipal Government of Pagbilao, through th</t>
  </si>
  <si>
    <t xml:space="preserve"> Republic of the Philippines Province of Quezon Municipality of Pagbilao BIDS AND AWARDS COMMITTEE Invitation to Bid for REHABILITATION/IMPROVEMENT OF SOLAR LIGHTS 1.	The Municipal Government of Pagbilao, through the Supplemental Budget No. 1- CY 2020 inte</t>
  </si>
  <si>
    <t xml:space="preserve"> Republic of the Philippines Province of Ilocos Sur Municipality of Cervantes Invitation to Bid for the Fencing of Municipal Tree Park at Cayus 1.	The Municipal Government of Cervantes, through the 20% Development Fund intends to apply the sum of ONE MILLI</t>
  </si>
  <si>
    <t xml:space="preserve"> Republic of the Philippines Province of Quezon Municipality of Pagbilao BIDS AND AWARDS COMMITTEE Invitation to Bid for CONSTRUCTION OF ADDITIONAL CEMETERY VAULT 1.	The Municipal Government of Pagbilao, through the Supplemental Budget No. 1- CY 2020 inten</t>
  </si>
  <si>
    <t xml:space="preserve"> Republic of the Philippines Province of Batangas MUNICIPALITY OF LOBO Invitation to Bid for the SUPPLY OF MATERIALS, LABOR AND EQUIPMENT FOR LOBO PUBLIC MARKET SEWAGE TREATMENT PLANT AND FACILITY AT BARANGAY POBLACION, LOBO, BATANGAS Contract ID No. 20-MD</t>
  </si>
  <si>
    <t xml:space="preserve"> Republic of the Philippines Province of Quezon Municipality of Pagbilao BIDS AND AWARDS COMMITTEE Invitation to Bid for CONSTRUCTION OF WATER IMPOUNDING FACILITIES 1.	The Municipal Government of Pagbilao, through the 20 % MDF Supplemental Budget No. 1  CY</t>
  </si>
  <si>
    <t xml:space="preserve"> Republic of the Philippines Province of Quezon Municipality of Pagbilao BIDS AND AWARDS COMMITTEE Invitation to Bid for CONSTRUCTION OF FLOOD CONTROL ( RIP-RAPPING ) 1.	The Municipal Government of Pagbilao, through the 20% MDF Supplemental Budge No. 1- CY</t>
  </si>
  <si>
    <t xml:space="preserve"> 62.50 ltrs XCS														 69 ltrs XLF														 97 ltrs XLF														 63.50 ltrs XLF														 89.50 ltrs XCS														 133.50 ltrs XLF														 30.59 ltrs XCS														 16 ltrs XLF														 134.07 ltrs ADO														 9</t>
  </si>
  <si>
    <t xml:space="preserve"> Republic of the Philippines Province of Iloilo  Municipality of Pototan BIDS AND AWARDS COMMITTEE INVITATION TO BID 1.	The Municipality of Pototan, through the Gen Fund‘‘ intends to apply the sum of (4,000,000.00) being the Approved Budget for the Contrac</t>
  </si>
  <si>
    <t xml:space="preserve"> INVITATION TO BID FOR THE Construction of Maguing Municipal Fire Station PB-Infra 2020-06-001 1. The Bureau of Fire Protection-BARMM, through the Special Account Government Fund intends to apply the sum of Seven Million Three Hundred Twenty Thousand Nine </t>
  </si>
  <si>
    <t xml:space="preserve"> PB NO. 2020-025		 			 1.	1	lot	Proposed Concreting of Road at Brgy. San Joaquin, San Pablo City. 			By: Contract 			 	Deadline for Submission of Bids: June 23, 2020 10:00 am</t>
  </si>
  <si>
    <t xml:space="preserve"> PB NO. 2020-026		 			 1.	1	lot	Proposed Construction of Fence at Cresencia Drusila Senior High School, Brgy. San Roque, San Pablo City. 			By: Contract 			 	Deadline for Submission of Bids: June 23, 2020 1:00 pm</t>
  </si>
  <si>
    <t xml:space="preserve"> I. PORTLAND CEMENT CONCRETE PAVEMENT                -     20.025   CU.M.</t>
  </si>
  <si>
    <t xml:space="preserve"> Republic of the Philippines Province of Quezon Municipality of Pagbilao BIDS AND AWARDS COMMITTEE Invitation to Bid for IMPROVEMENT OF MUNICIPAL COVERED COURT 1.	The Municipal Government of Pagbilao, through the Supplemental Budget No. 1  CY- 2020 intends</t>
  </si>
  <si>
    <t xml:space="preserve"> Prospective bidders should possess a valid PCAB license applicable to the contract, have completed a similar contract with a value of at least 50% of the ABC. The BAC will use non-discretionary pass/fail criteria in the eligibility check/screening as well</t>
  </si>
  <si>
    <t xml:space="preserve"> INVITATION TO BID FOR THE Construction of Kabuntalan Municipal Fire Station PB-Infra 2020-06-002 1. The Bureau of Fire Protection-BARMM, through the Special Account Government Fund intends to apply the sum of Seven Million Three Hundred Twenty Thousand Ni</t>
  </si>
  <si>
    <t xml:space="preserve"> Republic of the Philippines Province of Quezon Municipality of Pagbilao BIDS AND AWARDS COMMITTEE Invitation to Bid for IMPROVEMENT OF WATER SYSTEM 1.	The Municipal Government of Pagbilao, through the Supplemental Budget No. 1  CY- 2020 intends to apply t</t>
  </si>
  <si>
    <t xml:space="preserve"> Republic of the Philippines Province of Quezon Municipality of Pagbilao BIDS AND AWARDS COMMITTEE Invitation to Bid for CONSTRUCTION OF WATER SYSTEM 1.	The Municipal Government of Pagbilao, through the Supplemental Budget No. 1  CY- 2020 intends to apply </t>
  </si>
  <si>
    <t xml:space="preserve"> INVITATION TO BID FOR THE SUPPLY, DELIVERY, INSTALLATION AND COMMISSIONING OF ONE (1) UNIT FULLY AUTOMATED SYSTEM FOR BACTERIAL IDENTIFICATION AND ANTIMICROBIAL SUSCEPTIBILITY TESTING 1.	The Eversley Childs Sanitarium and General Hospital, through HFEP 20</t>
  </si>
  <si>
    <t xml:space="preserve"> PROCUREMENT OF OFFICE AND JANITORIAL SUPPLIES FOR THE 1ST AND 2ND QUARTERS OF CY 2020 1.	The OCCIDENTAL MINDORO STATE COLLEGE (OMSC), through the General Fund/Special Trust Fund intends to apply the sum of One Million Six Hundred Twenty-One Thousand Eight</t>
  </si>
  <si>
    <t xml:space="preserve"> Bicol Regional Training &amp; Teaching Hospital Legazpi City INVITATION TO BID FOR  PROVISION OF SECURITY SERVICES (IB NO. 05-2020) 1.	The Bicol Regional Training and Teaching Hospital (BRTTH), through the  2020 Hospital Income intends to apply the sum of Fou</t>
  </si>
  <si>
    <t xml:space="preserve"> OFFICE: MAYOR'S OFFICE Purpose: ENHANCE AGRICULTURAL PRODUCTIVITY AMOUNT : 3,500,000.00 1 UNIT FARM TRACTOR WITH AIRCON, CABIN, AND DISC PLOW (130 HP) TRACTION:FOUR WHEEL DRIVE DIMENSION: 4450 X 2350 X 2965 mm MIN GROUND DISTANCE: 590 MM WEIGHT: 4580 KGS </t>
  </si>
  <si>
    <t xml:space="preserve"> INVITATION TO BID May 29, 2020 1. The DPWH–Biliran District Engineering Office, through its Bids and Awards Committee (BAC), invites contractors to submit bids for the following Contract: 1.	Procurement ID/Contract ID	:  20IA0089							 Contract Name    	</t>
  </si>
  <si>
    <t xml:space="preserve"> Supply and delivery of various materials for the Proposed Improvement of Brgy. Hall, Brgy. Imbang Pequeno, San Enrique, Iloilo. Approved Budget for the Contract: Php. 80,900.00 Source of Fund: 20% Development Fund</t>
  </si>
  <si>
    <t xml:space="preserve"> INVITATION TO BID The DPWH Bukidnon 1st District Engineering Office, Malaybalay City, through its Bids and Awards Committee (BAC), invites contractors to submit bids for the following Contracts:   			 8	Contract ID 	:	20KA0142 	Contract Name 	:	Constructi</t>
  </si>
  <si>
    <t xml:space="preserve"> (DOWNLOAD ATTACHMENT) Prospective bidders should have completed a similar contract with a value of at least 50% of the ABC. The BAC will use non-discretionary pass/fail criteria in the eligibility check/screening as well as the preliminary examination of </t>
  </si>
  <si>
    <t xml:space="preserve"> Department of Public Works and Highways Contract ID : 20MH0101 Contract Name : Application of Pavement Markings of National Roads along Isulan- Jct. Dukay-Bagumbayan-Sen. Ninoy Aquino-Kalamansig Road, K1824+270 - K1825+900, K1830+600 -K1831+650, K1837+000</t>
  </si>
  <si>
    <t xml:space="preserve"> VEHICLE (Ambulance)		 Engine Specification:		  model 1GD-FTV- 2.8 Diesel M/T		 Engine tech 4 cylinders, in line type		 Type 16 valve DOHC		 Displacement 2,755 cc		 Maximum output 176/3400		 Maximum tourque 420/1400-2600		 Bore and stroke 92.0 x 103.6		 Co</t>
  </si>
  <si>
    <t xml:space="preserve"> Republic of the Philippines DEPARTMENT OF PUBLIC WORKS AND HIGHWAYS BATANGAS III DISTRICT ENGINEERING OFFICE REGIONAL OFFICE IV-A J. Gonzales St., Barangay 4, Tanauan City INVITATION TO BID (CW-2020-031) The DPWH–Batangas III District Engineering Office, </t>
  </si>
  <si>
    <t xml:space="preserve"> Department of Public Works and Highways Contract ID : 20MH0102 Contract Name : Application of Pavement Markings of National Roads along Awang- Upi-Lebak-Kalamansig-Palimbang Road, K2007+000 - K2009+000, K2012+000 -K2013+500, K2028+800 -K2030+800, K2042+80</t>
  </si>
  <si>
    <t xml:space="preserve"> REPUBLIC OF THE PHILIPPINES DEPARTMENT OF PUBLIC WORKS AND HIGHWAYS CAMARINES SUR 3RD DISTRICT ENGINEERING OFFICE REGIONAL OFFICE V BARAS, CANAMAN INVITATION TO BID The DPWH – Camarines Sur 3rd District Engineering Office, through its Bids and Awards Comm</t>
  </si>
  <si>
    <t xml:space="preserve"> Republic of the Philippines DEPARTMENT OF PUBLIC WORKS AND HIGHWAYS  MINDORO OCCIDENTAL DISTRICT ENGINEERING OFFICE Regional Office IV-B Mamburao, Occidental Mindoro NOTICE OF ELIGIBILITY May 21, 2020 MS. ROWENA SARREAL SANTOS TERMS CONCRETE TESTING # 19 </t>
  </si>
  <si>
    <t xml:space="preserve"> INVITATION TO BID FOR PROCUREMENT OF DPWH SECURITY SERVICES OF TWENTY FOUR (24) SECURITY PERSONNEL FOR DEPLOYMENT AT DPWH REGIONAL OFFICE IX (15 SECURITY GUARDS), ISABELA CITY DEO (3 SECURITY GUARDS), ZAMBOANGA DEL SUR 1ST DEO (3 SECURITY GUARDS) AND ZAMB</t>
  </si>
  <si>
    <t xml:space="preserve"> Republic of the Philippines PROVINCE OF SOUTHERN LEYTE Maasin City Invitation to Bid for the Procurement of Furniture &amp; Fixture  Contract ID # 2020-06-23-302PG 1.	The Provincial Government of Southern Leyte through the PASSO Furniture &amp; Fixture Expenses i</t>
  </si>
  <si>
    <t xml:space="preserve"> Republic of the Philippines PROVINCE OF SOUTHERN LEYTE Maasin City Invitation to Bid for the Procurement of Catering Services, Office Supplies and PPE    Contract ID # 2020-06-23-310PG 1.	The Provincial Government of Southern Leyte through the PAGSO Other</t>
  </si>
  <si>
    <t xml:space="preserve"> Republic of the Philippines PROVINCE OF SOUTHERN LEYTE Maasin City Invitation to Bid for the Procurement of Various Medical Equipment   Contract ID # 2020-06-23-312PG 1.	The Provincial Government of Southern Leyte through the PDH Other Maintenance and Ope</t>
  </si>
  <si>
    <t xml:space="preserve"> Republic of the Philippines PROVINCE OF SOUTHERN LEYTE Maasin City Invitation to Bid for the Procurement of Hauling Services  Contract ID # 2020-06-23-304PG 1.	The Provincial Government of Southern Leyte through the PGO Rent Expenses intend to apply for a</t>
  </si>
  <si>
    <t xml:space="preserve"> Republic of the Philippines PROVINCE OF SOUTHERN LEYTE Maasin City Invitation to Bid for the Procurement of Various Housekeeping, UPS and Visitor’s Chairs    Contract ID # 2020-06-23-315PG 1.	The Provincial Government of Southern Leyte through the PTO Oth</t>
  </si>
  <si>
    <t xml:space="preserve"> Republic of the Philippines PROVINCE OF SOUTHERN LEYTE Maasin City Invitation to Bid for the Procurement of Various Medical Supplies  Contract ID # 2020-06-23-311PG 1.	The Provincial Government of Southern Leyte through the PBCH Other Maintenance and Oper</t>
  </si>
  <si>
    <t xml:space="preserve"> Republic of the Philippines PROVINCE OF SOUTHERN LEYTE Maasin City Invitation to Bid for the Procurement of Various Vegetable Seeds  Contract ID # 2020-06-23-322PG 1.	The Provincial Government of Southern Leyte through the PAGSO– Agricultural and Marine S</t>
  </si>
  <si>
    <t xml:space="preserve"> Republic of the Philippines PROVINCE OF SOUTHERN LEYTE Maasin City Invitation to Bid for the Procurement of Various IT Supplies  Contract ID # 2020-06-23-325PG 1.	The Provincial Government of Southern Leyte through the PEO ADMIN – Other Supplies and Mater</t>
  </si>
  <si>
    <t xml:space="preserve"> Republic of the Philippines Office of the Municipal Mayor BIDS AND AWARDS COMMITTEE Sual, Pangasinan Invitation to Bid for PROCUREMENT OF SMART TV &amp; DESKTOP (Sual National High School) 1.	The Municipal Government of Sual, Pangasinan, through the Special E</t>
  </si>
  <si>
    <t xml:space="preserve"> Republic of the Philippines Department of Science and Technology PHILIPPINE SCIENCE HIGH SCHOOL – ZAMBOANGA PENINSULA REGION CAMPUS Cogon, Dipolog City       INVITATION TO BID FOR THE PROCUREMENT OF ICT EQUIPMENT APPROVED BUDGET FOR THE CONTRACT: ₱ 4,000,</t>
  </si>
  <si>
    <t xml:space="preserve"> Republic of the Philippines PROVINCE OF SOUTHERN LEYTE Maasin City Invitation to Bid for the Procurement of Tires  Contract ID # 2020-06-23-154PG 1.	The Provincial Government of Southern Leyte through the ADH– Repair and Maintenance- Transportation Equipm</t>
  </si>
  <si>
    <t xml:space="preserve"> Republic of the Philippines Office of the Municipal Mayor BIDS AND AWARDS COMMITTEE Sual, Pangasinan Invitation to Bid for PROCUREMENT OF TRAINING SUPPLIES AND EQUIPMENT (Sual, Pangasinan) 1.	The Municipal Government of Sual, Pangasinan, through the 2020 </t>
  </si>
  <si>
    <t xml:space="preserve"> Republic of the Philippines PROVINCE OF SOUTHERN LEYTE Maasin City Invitation to Bid for the Procurement of Other Supplies and Materials   Contract ID # 2020-06-23-317PG 1.	The Provincial Government of Southern Leyte through the PVET Other Supplies and Ma</t>
  </si>
  <si>
    <t xml:space="preserve"> Republic of the Philippines PROVINCE OF SOUTHERN LEYTE Maasin City Invitation to Bid for the Procurement of Poultry Nets and Nylon   Contract ID # 2020-06-23-318PG 1.	The Provincial Government of Southern Leyte through the PVET Other Supplies and Material</t>
  </si>
  <si>
    <t xml:space="preserve"> Republic of the Philippines PROVINCE OF SOUTHERN LEYTE Maasin City Invitation to Bid for the Procurement of Polybags  Contract ID # 2020-06-23-323PG 1.	The Provincial Government of Southern Leyte through the PAGSO– Agricultural and Marine Supplies Expense</t>
  </si>
  <si>
    <t xml:space="preserve"> CONSTRUCTION OF 4X120X0.15 ACCESS ROAD</t>
  </si>
  <si>
    <t xml:space="preserve"> Republic of the Philippines PROVINCE OF SOUTHERN LEYTE Maasin City Invitation to Bid for the Procurement of Various Veterinary Drugs and Biologics   Contract ID # 2020-06-23-319PG 1.	The Provincial Government of Southern Leyte through the PVET Other Suppl</t>
  </si>
  <si>
    <t xml:space="preserve"> Republic of the Philippines Department of Science and Technology PHILIPPINE SCIENCE HIGH SCHOOL – ZAMBOANGA PENINSULA REGION CAMPUS Cogon, Dipolog City INVITATION TO BID FOR THE PROCUREMENT OF TECHNICAL AND SCIENTIFIC EQUIPMENT (Supply, Delivery and Insta</t>
  </si>
  <si>
    <t xml:space="preserve"> Department of Public Works and Highways (DPWH) Contract ID: 20G00097 Contract Name: Construction of Revetment Wall along Cangaranan River at Cangaranan Bridge (Abutment A), Bugasong, Antique Location of the Contract: Bugasong, Antique --------------------</t>
  </si>
  <si>
    <t xml:space="preserve"> Republic of the Philippines PROVINCE OF SOUTHERN LEYTE Maasin City Invitation to Bid for the Procurement of Various Laboratory Reagent Supplies  Contract ID # 2020-06-23-320PG 1.	The Provincial Government of Southern Leyte through the SDH Medical, Dental </t>
  </si>
  <si>
    <t xml:space="preserve"> CONSTRUCTION OF 140 LN.M. FLOOD CONTROL</t>
  </si>
  <si>
    <t xml:space="preserve"> PROJECT NAME: Fencing of Bangao National High School PROJECT LOCATION:  Bangao, Buguias, Benguet DURATION:  45 CD (Including mobilization and Curing) PROJECT Cost:  PHP 500,000.00 SOURCE OF FUND: SEF CY 2020 ITEM NO.	DESCRIPTION							 QTY  	   	UNIT 102	</t>
  </si>
  <si>
    <t xml:space="preserve"> CONSTRUCTION OF 3X155 LN.M. ROAD</t>
  </si>
  <si>
    <t xml:space="preserve"> Republic of the Philippines PROVINCE OF SOUTHERN LEYTE Maasin City Invitation to Bid for the Procurement of Tubeless Tire  Contract ID # 2020-06-23-321PG 1.	The Provincial Government of Southern Leyte through the HCH– Repair and Maintenance- Transportatio</t>
  </si>
  <si>
    <t xml:space="preserve"> Republic of the Philippines PROVINCE OF SOUTHERN LEYTE Maasin City Invitation to Bid for the Procurement of Artificial Insemination Materials and Supplies   Contract ID # 2020-06-23-316PG 1.	The Provincial Government of Southern Leyte through the PVET Oth</t>
  </si>
  <si>
    <t xml:space="preserve"> QTY     UNIT       SIZE              DESCRIPTION 20       ROLLS     75MM X 60     SDR 13.5 22       ROLLS     63MM X 60     SDR 13.5 25       ROLLS     50MM X 60     SDR 13.5</t>
  </si>
  <si>
    <t xml:space="preserve"> PROJECT NAME: Improvement along JFMR LLPB – Lanas – Pusong Road PROJECT LOCATION:  Loo, Buguias, Benguet DURATION:  42 CD (Including mobilization and Curing) PROJECT Cost:  PHP 200,000.00 SOURCE OF FUND: 20% MDF CY 2020 ITEM NO.	DESCRIPTION							 QTY  	 </t>
  </si>
  <si>
    <t xml:space="preserve"> IMPROVEMENT OF DAY CARE CENTER Barangay Lower Dimorok Molave, Zamboanga del Sur 1.32 cu.m. - Construction of Roof Beam 496.71 kgs - Steel Trusses 58.94 sq.m. - Installation of Roof 9.00 units - Installation of 8 units Jalousie Windows and 1 unit Door 43.5</t>
  </si>
  <si>
    <t xml:space="preserve"> Republic of the Philippines DEPARTMENT OF PUBLIC WORKS AND HIGHWAYS BATANGAS III DISTRICT ENGINEERING OFFICE REGIONAL OFFICE IV-A J. Gonzales St., Barangay 4, Tanauan City RE-INVITATION TO BID (CW-2020-032) The DPWH–Batangas III District Engineering Offic</t>
  </si>
  <si>
    <t xml:space="preserve"> Section I. Invitation to Bid INVITATION TO BID  DA8-Goods-2020-37 (PR No. CORN 20-02-14-0126) 1.	The Department of Agriculture-Regional Field Office No. 8, through the CORN 2020 intends to apply the sum of Six Million Four Hundred Sixty-Two Thousand Five </t>
  </si>
  <si>
    <t xml:space="preserve"> INVITATION TO BID The Provincial Government of Bulacan (PGB), through its Bids and Awards Committee (BAC), invites contractors to apply for eligibility and to bid for hereunder projects: NO.	PROJECT TITLE	ABC	CONTRACT DURATION	SOURCE OF FUND GOODS-061820-</t>
  </si>
  <si>
    <t xml:space="preserve"> 3,500 sets SCHOOL BAGS, OFFICE SUPPLIES &amp; LEARNING MATERAILS</t>
  </si>
  <si>
    <t xml:space="preserve"> Section I. Invitation to Bid INVITATION TO BID  DA8-Goods-2020-39 (PR No. RICE 20-04-16-0660) 1.	The Department of Agriculture-Regional Field Office No. 8, through the RICE 2020-C.O intends to apply the sum of One Million One Hundred Thousand Pesos Only (</t>
  </si>
  <si>
    <t xml:space="preserve"> Please see attached documents.</t>
  </si>
  <si>
    <t xml:space="preserve"> Section I. Invitation to Bid INVITATION TO BID  DA8-Goods-2020-36 (PR No. CORN 20-05-20-0161) 1.	The Department of Agriculture-Regional Field Office No. 8, through the CORN 2020 intends to apply the sum of Three Million Eight Hundred Ninety-Five Thousand </t>
  </si>
  <si>
    <t xml:space="preserve"> CONSTRUCTION OF 90 LN.M. SLOPE PROTECTION ALONG RIVER BANKS</t>
  </si>
  <si>
    <t xml:space="preserve"> Section I. Invitation to Bid INVITATION TO BID  DA8-Goods-2020-38 (PR No.QRF URSULA 20-05-08-0006) 1.	The Department of Agriculture-Regional Field Office No. 8, through the QRF URSULA ASA 2020 intends to apply the sum of Four Million Six Hundred Twenty Th</t>
  </si>
  <si>
    <t xml:space="preserve"> Republic of the Philippines Province of Surigao del Sur Municipality of Tago ----oo0oo---- Invitation to Bid Supply and Delivery of Floor Mounted Air conditioner (Including Installation) Project ID No. TAG-SDS-052-2020 The Local Government Unit of Tago, S</t>
  </si>
  <si>
    <t xml:space="preserve"> REHABILITATION OF BARANGAY ROAD Brgy. Lower Dimorok Molave, Zamboanga del Sur Graveling and Reshaping of Road 404.00 cu.m - Hauling of Material and Reshaping</t>
  </si>
  <si>
    <t xml:space="preserve"> Republic of the Philippines PROVINCE OF ZAMBOANGA SIBUGAY Municipality of Mabuhay OFFICE OF THE BAC CHAIRMAN                         INVITATION TO BID FOR THE COMPLETION OF SERGIO OSMEÑA ST. (GOING MABUHAY CENTRAL ELEMENTARY SCHOOL) Identification No. LGU</t>
  </si>
  <si>
    <t xml:space="preserve"> Republic of the Philippines  Province of Quezon Municipality of Polillo BARANGAY POBLACION INVITATION TO BID FOR: CONSTRUCTION OF BARANGAY STAGE – POBLACION BARANGAY POBLACION, POLILLO, QUEZON 1.	The Barangay Poblacion, through the Approved Budget (Annual</t>
  </si>
  <si>
    <t xml:space="preserve"> PR No. 2020-02-001 Procurement of Security Services for Day and Night Shift of DPWH-Ifugao Second District Engineering Office Main Office,Potia Sub-Office &amp; Banaue Satellite Office/Resthouse for 9 months</t>
  </si>
  <si>
    <t xml:space="preserve"> Procurement of Electrical Supplies and Materials for Plaza Lightings</t>
  </si>
  <si>
    <t xml:space="preserve"> Republic of the Philippines Province of Eastern Samar City of Borongan -0- BIDS AND AWARDS COMMITTEE ------------------------------------------------------------------------------------------ Invitation to Bid for ROAD OPENING (SAN GREGORIO – BANUYO PHASE</t>
  </si>
  <si>
    <t xml:space="preserve"> Procurement of electrical supplies and materials</t>
  </si>
  <si>
    <t xml:space="preserve"> Procurement of Furnitures &amp; Fixtures 2nd Floor 1.  25.97  sq.ft  Blinds 68"x55" 2.  47.56  sq.ft  Blinds 34-1/4"x100" 3.  50  sq.ft  Blinds 36"x100" 4.  270.83  sq.ft  Blinds  50"x65" Ground Floor 1.  189.95  sq.ft  Blinds  141"x97" 2.  60.03  sq.ft  Blin</t>
  </si>
  <si>
    <t xml:space="preserve"> Republic of the Philippines Province of Quezon Municipality of Pagbilao COMMITTEE ON BIDS AND AWARDS INVITATION TO BID FOR SUPPLY AND DELIVERY OF MEALS &amp; SNACKS  1.	The Local Government Unit of Pagbilao, through the Approved Budget by the Sanggunian – GOP</t>
  </si>
  <si>
    <t xml:space="preserve"> Completion of Structural Concrete from ground to second floor level w/ metal deck; Provision of 2 unit cistern; Provision of roof framing and roofing; Provision of exterior and interior CHB walling and partitions; Provision for Acoustical Ceiling; Provisi</t>
  </si>
  <si>
    <t xml:space="preserve"> Republic of the Philippines Province of Quezon Municipality of Pagbilao COMMITTEE ON BIDS AND AWARDS INVITATION TO BID FOR SUPPLY AND DELIVERY OF DISASTER KIT &amp; FIRST AID BAG 1.	The Local Government Unit of Pagbilao, through the Approved Budget by the San</t>
  </si>
  <si>
    <t xml:space="preserve"> Procurement of Suits 1.  50  pcs  Polo Shirt with design and logo 2.  50  pcs  Tactical pants with reflectorized design 3.  150  pcs  Long Sleeve with reflectorized print &amp; logo 4.  55  pcs  Chaleco with reflectorized design and logo xxxxxxxxxxxxxxxxxxxxx</t>
  </si>
  <si>
    <t xml:space="preserve"> INVITATION TO BID FOR THE  CONSTRUCTION OF PROPOSED HALFWAY HOUSE FOR FORMER REBEL &amp; MILITIA NG BAYAN (BGY. IRAWAN, PUERTO PRINCESA CITY) 1.	The Provincial Government of Palawan, through its Trust Fund (Fund Code B2 TF-Due to Ngas-DILG-Halfway House) acco</t>
  </si>
  <si>
    <t xml:space="preserve"> Earthworks	39.30	cu.m. Reinforcing Steel Bar	5,844.85	kgs. Structural Concrete	48.00	cu.m. Metal/Steel Works	1.00	lot Masonry Works w/ Plaster	205.80	sq.m. Doors &amp; Windows	18.84	sq.m. Ceiling (Interior 2nd Floor)	98.00	sq.m. Electrical Works	1.00	lot Plum</t>
  </si>
  <si>
    <t xml:space="preserve"> Republic of the Philippines PROVINCE OF BILIRAN Municipality of Naval – 6560 Project Reference Number: ITB No. 20-25           INVITATION TO BID FOR THE SUPPLY AND DELIVERY OF ONE (1) UNIT AMBULANCE 	1.	The Provincial Government of Biliran under General F</t>
  </si>
  <si>
    <t xml:space="preserve"> Completion of Structural Concrete; Provision of interior masonry works; Completion of Steel roof framing and roofing; Plastering of exterior and interior walls; Provision of glass doors, windows and wall partition; Provision for acoustical ceiling; Provis</t>
  </si>
  <si>
    <t xml:space="preserve"> FUND SOURCE: 20%q PDF 2018 TYPES OF WORK TO BE DONE: Project billboard/ signboard/ occupational safety and health program/ removal of slide/ roadway excavation (unclassified)/ structural excavation (manual excavation common soil)/ reinforcing steel bars (</t>
  </si>
  <si>
    <t xml:space="preserve"> CONCRETING LENGTH - 236 METERS WIDTH - 1.0 METER THICKNESS - 0.075</t>
  </si>
  <si>
    <t xml:space="preserve"> Republic of the Philippines Province of Quezon Municipality of Pagbilao COMMITTEE ON BIDS AND AWARDS INVITATION TO BID FOR SUPPLY AND DELIVERY OF TEMPORARY SHELTER 1.	The Local Government Unit of Pagbilao, through the Approved Budget by the Sanggunian – G</t>
  </si>
  <si>
    <t xml:space="preserve"> Republic of the Philippines Province of Eastern Samar City of Borongan -0- BIDS AND AWARDS COMMITTEE ------------------------------------------------------------------------------------------ Invitation to Bid for ROAD CONCRETING AT BARANGAY AMANTACOP, BO</t>
  </si>
  <si>
    <t xml:space="preserve"> Improvement of Multi-Purpose Building with cement plaster finish, painting works, court wood tiles, construction of rooms w/ doors and window, waterlines, electrical works, repair of fascia frame and roof w/reflective insulation and transformer</t>
  </si>
  <si>
    <t xml:space="preserve"> Purchase of Medical, dental and laboratory supplies for Rural Health Unit and Annual Circumcision</t>
  </si>
  <si>
    <t xml:space="preserve"> Construction of complete Mini Gym including electrical and painting works</t>
  </si>
  <si>
    <t xml:space="preserve"> Clearing &amp; Grubbing	1.00	lot Removal of Existing Concrete Pavement	250.00	sq.m. Roadway Excavation	364.00	cu.m. Excavation for Structure	90.36	cu.m. Sub-Grade Preparation	516.80	sq.m. Aggregate Base Course	51.68	cu.m. PCCP (T=0.20m)	516.80	sq.m. Stone Mas</t>
  </si>
  <si>
    <t xml:space="preserve"> Construction of complete mini gym including electrical and painting works and Construction of complete 1 STY – 1CL type 1 with CR including plumbing fixtures, plumbing works, electrical works, painting works &amp; blackboard</t>
  </si>
  <si>
    <t xml:space="preserve"> Completion of Mawab Public Market (Wet Section) Phase 2; Construction of Mawab Public Market (Dry Section) Phase 1</t>
  </si>
  <si>
    <t xml:space="preserve"> Improvement of Council of Women Building including extension of Multi-Purpose Hall. Painting works, electrical works, tile works and plumbing works</t>
  </si>
  <si>
    <t xml:space="preserve"> 1.  Computer desktop &amp; software w/ accss - processor inter core i9-9900K, 8 cores, 16 threads, processor base frequency 3.60GHz, software: windows 10 pro 64 bit, Memory: DDR4 3200MHz 32 GB dual channel memory, power supply:gold certified 80+ PSU 750W, Sto</t>
  </si>
  <si>
    <t xml:space="preserve"> Construction of Three bay mini gym with roofing , painting works, concrete slab, and electrical</t>
  </si>
  <si>
    <t xml:space="preserve"> Construction of ten (10) bay bleacher, with softscape and movable hanger goal</t>
  </si>
  <si>
    <t xml:space="preserve"> Construction of covered court w/court slab and construction of 7 bay standard bleacher, including electrical works, movable basketball goal w/fiber glass board and thermoplastic paint on covered court</t>
  </si>
  <si>
    <t xml:space="preserve"> Construction of complete 13.5m x 12.0m 2 storey brgy. Hall with concrete works, aluminum doors and window, ceiling (acoustical and Spandrel type), painting works, plumbing works, tilework’s, roofing works, metal railings, steelworks, electrical works, air</t>
  </si>
  <si>
    <t xml:space="preserve"> The Department of Public Works and Highways Ilocos Norte Second District Engineering Office , through its Bids and Awards Committee (BAC) for Goods, invites suppliers to submit bids for the following Contract: Contract ID: 20GAB0004 Contract Name/Location</t>
  </si>
  <si>
    <t xml:space="preserve"> Rehabilitation of MPB (GYM), with ceiling (acoustical), painting, concrete and masonry works</t>
  </si>
  <si>
    <t xml:space="preserve"> 1.	The Municipality of Esperanza, intends to apply the sum of Seven Hundred Ten Thousand Six Hundred Thirty Nine Pesos (Php710,639.00) being the Approved Budget for the Contract (ABC) to payments under the contract for Supply and Delivery of Pipes and Fit</t>
  </si>
  <si>
    <t xml:space="preserve"> Construction of Stage and Bleacher. Including painting works, tile works (on stage, ceiling works (on stage), electrical works (on stage), and movable basketball goal w/fiber glass board</t>
  </si>
  <si>
    <t xml:space="preserve"> Concreting (width = 6.10m., thk. = 230mm) Roadway Excavation - Common Surplus Excavation Application of Reflectorized Thermoplastic Pavement Markings</t>
  </si>
  <si>
    <t xml:space="preserve"> INVITATION TO BID The Provincial Government of Bulacan (PGB), through its Bids and Awards Committee (BAC), invites contractors to apply for eligibility and to bid for hereunder projects: NO.	PROJECT TITLE	ABC	CONTRACT DURATION	SOURCE OF FUND GOODS-062220-</t>
  </si>
  <si>
    <t xml:space="preserve"> Concreting (with = 6.10m., thk. = 230mm) Roadway Excavation - Common Surplus Excavation Construction of Minor Drainage Structures Application of Reflectorized Thermoplastic Pavement Markings</t>
  </si>
  <si>
    <t xml:space="preserve"> Concreting (with = 6.10m., thk. = 230mm) Roadway Excavation - Common Surplus Excavation - Surplus Soft Rock Excavation Construction of Concrete Lined Canal and Other Minor Drainage Structures Application of Reflectorized Thermoplastic Pavement Markings</t>
  </si>
  <si>
    <t xml:space="preserve"> Concreting (with = 6.10m., thk. = 230mm) Roadway Excavation - Common Surplus Excavation Application of Reflectorized Thermoplastic Pavement Markings</t>
  </si>
  <si>
    <t xml:space="preserve"> Edge Lines Markings; Center Lines Markings (W); Center Lined Markings (Y); Sub-Center Lines Markings</t>
  </si>
  <si>
    <t xml:space="preserve"> The Sangguniang Barangay appropriated budget for the Purchase and Installation of CCTV Cameras for Pooks Village- A &amp; B for the improvement of barangay services.  A Public Bidding will be held on June 16, 2020 and a Pre-Bid Conference will be on June 15, </t>
  </si>
  <si>
    <t xml:space="preserve"> The Local Government Unit of Tangcal, Lanao del Norte invites contractors to submit bids for the Supply and Delivery of 2-Units Brand New Emergency Rescue Vehicle to be delivered within 30 Calendar Days from the effective date stated in the Notice to Proc</t>
  </si>
  <si>
    <t xml:space="preserve"> The Sangguniang Barangay appropriated budget for the Purchase and Installation of CCTV Cameras for Pooks Libis and Malinis for the improvement of barangay peace and order.  A Public Bidding will be held on June 16, 2020 at 10:00 in the morning and a Pre-B</t>
  </si>
  <si>
    <t xml:space="preserve"> Concreting (with = 6.10m., thk. = 230mm) Roadway Excavation - Common Surplus Excavation</t>
  </si>
  <si>
    <t xml:space="preserve"> INVITATION TO BID June 02, 2020 The DPWH Tacloban City District Engineering Office, New Bus Terminal, Brgy. Abucay, Tacloban City, through its Bids and Awards Committee (BAC), invites contractors to submit bids for the following Contract: I.    Contract I</t>
  </si>
  <si>
    <t xml:space="preserve"> Supply and delivery of various office and janitorial supplies and materials (2nd Qtr)</t>
  </si>
  <si>
    <t xml:space="preserve"> B.9	Mobilization/Demobiliazation	Lot	all	10,576.00 103(1)a	Structure Excavation (Common Soil)	12	cu.m.	3,564.00 105(1)	Subgrade Preparation (Common Material)	800	sq.m.	14,800.00 201	Aggregate Base Coarse (100mm thk.)	85	cu.m.	119,595.00 311(1)a	PVC Paveme</t>
  </si>
  <si>
    <t xml:space="preserve"> Edge Lines Markings; Center Lines Markings; Sub-Center Lines Markings</t>
  </si>
  <si>
    <t xml:space="preserve"> 1.	The Municipality of Guinayangan, Quezon through the 2020 C.O. (Supplemental) intends to apply the sum of Four Million Seven Hundred Fifty Thousand Pesos                  (P 4,750,000.00) being the Approved Budget for the Contract (ABC) to payments unde</t>
  </si>
  <si>
    <t xml:space="preserve"> Project Reference Number: 20-012 Name of Project: Bidding of Supply and Delivery of Office Supplies for the use of PANTAWID Staff for 2020 Location of the Project: Region XII and Marawi City    INVITATION TO APPLY FOR ELIGIBILITY AND TO BID The Department</t>
  </si>
  <si>
    <t xml:space="preserve"> The Sangguniang Barangay appropriated budget for the Purchase and Installation of Public Address System for Pooks Libis and Malinis for the improvement of barangay services.  A Public Bidding will be held on June 16, 2020, 10:00 am and a Pre-Bid Conferenc</t>
  </si>
  <si>
    <t xml:space="preserve"> The Sangguniang Barangay appropriated budget for the Purchase and Installation of Public Address System for Pooks Village- A &amp; B for the improvement of barangay services.  A Public Bidding will be held on June 16, 2020, 10:00 am and a Pre-Bid Conference w</t>
  </si>
  <si>
    <t xml:space="preserve"> Purchase request submitted by Janet Dilag  1	 3	 piece 	 Brix Hydrometer, Spindle •	1 piece – ranges 30-40o C, calibrated in  0.1o Brix •	2 pieces - ranges 40-50o C, calibrated in  0.1o Brix 2	 2	 piece	 Burette, 10mL, glass with Teflon stopcock gradation</t>
  </si>
  <si>
    <t xml:space="preserve"> PROPOSED PATHWALK SITIO LANGON CARARAYAN, NAGA CITY ABC: P245,000.00</t>
  </si>
  <si>
    <t xml:space="preserve"> Concreting (width=6.10m., thk. = 230mm) Roadway Excavation - Surplus Common Excavation - Surplus Rock Excavation Construction of Concrete Line Canal Application of Reflectorized Thermoplastic Pavement Markings</t>
  </si>
  <si>
    <t xml:space="preserve"> INVITATION TO BID FOR 									 									 COMPLETION OF STEEL GATE FOR MULTI-PURPOSE BUILDING, BARANGAY BIANGAN, MAKILALA, COTABATO									 									 									 1. 	The Barangay Biangan, Makilala, Cotabato through the Barangay Fund intends to apply the su</t>
  </si>
  <si>
    <t xml:space="preserve"> Graveling (width=6.00m., thk. = 200mm) Roadway Excavation - Surplus Common Excavation - Surplus Rock Excavation (Soft) - Surplus Rock Excavation (Hard) Construction of Minor Drainage Structures</t>
  </si>
  <si>
    <t xml:space="preserve"> Construction of Mechanized Building (6.0m x 17.0m) with Embankment, Site Development, Painting, Railings, Finishing and Electrical Works</t>
  </si>
  <si>
    <t xml:space="preserve"> Concreting (width=6.10m., thk. = 230mm) Roadway Excavation - Common Surplus Excavation Construction of Minor Drainage Structures Application of Reflectorized Thermoplastic Pavement Markings</t>
  </si>
  <si>
    <t xml:space="preserve"> Concreting (with = 6.10m., thk. = 230mm) Roadway Excavation - Common Surplus Excavation Construction of Concrete Lined Canal and Other Minor Drainage Structures Application of Reflectorized Thermoplastic Pavement Markings Installation of Metal Guardrails </t>
  </si>
  <si>
    <t xml:space="preserve"> -o0o- Invitation to Bid The LGU Alangalang, through its Bids and Awards Committee (BAC), invites prospective bidders to apply for eligibility and to bid for the hereunder project: Name of Project   	: CONSTRUCTION OF FARM TO MARKET ROAD AT BRGY. SAN ISISD</t>
  </si>
  <si>
    <t xml:space="preserve"> Concreting (with = 6.10m., thk. = 230mm) Roadway Excavation - Embankment from Borrow (Common Soil) Construction of Grouted Riprap Slope Protection Construction of Minor Drainage Structures Application of Reflectorized Thermoplastic Pavement Markings</t>
  </si>
  <si>
    <t xml:space="preserve"> 1	209	BAGS	PORTLAND CEMENT (TYPEL) 2	10	CU.M	WASHED SAND 3	18	CU.M	SCREENED GRAVEL 4	55	KLS	#16 TIE WIRE 5	38	LENGTH	16MMΦ REBARS 6	40	LENGTH	12MMΦ REBARS 7	80	LENGTH	10MMΦ REBARS 8	30	PCS	2”X6”X10’ COCO LUMBER 9	40	PCS	2”X4”X10’ COCO LUMBER 10	20	PCS	2”X</t>
  </si>
  <si>
    <t xml:space="preserve"> Please see attached PR for Description</t>
  </si>
  <si>
    <t xml:space="preserve"> The Local Government Unit of Tangcal, Lanao del Norte invites contractors to submit bids for the Construction of Poblacion Multi-Purpose Building for 96 Calendar Days. NOTE: Download attached document(s) for more details</t>
  </si>
  <si>
    <t xml:space="preserve"> Construction of complete Social Hall (14x30) including plumbing works, painting works and electrical works with site development of the project location</t>
  </si>
  <si>
    <t xml:space="preserve"> Located at Poblacion, Anini-y, Antique</t>
  </si>
  <si>
    <t xml:space="preserve"> Republic of the Philippines Province of Bohol MUNICIPALITY OF TUBIGON INVITATION TO BID FOR Rental of Equipment for the Road Opening of Bunacan Road Sitio Tawid  (Buenos to Bunacan)   1. The Local Government Unit of Tubigon, Bohol, through the General Fun</t>
  </si>
  <si>
    <t xml:space="preserve"> INVITATION TO BID  Purchase &amp; Delivery of Various Medical Supplies  for GMCH June 2, 2020 1.	The Provincial Government of Sarangani, through the Trust Fund – Philhealth Collection  intends to apply the sum of Seven Hundred Ninety One Thousand Eight Hundre</t>
  </si>
  <si>
    <t xml:space="preserve"> Supply of gasoline and diesel fuel, additives and lubricants 2nd Qtr</t>
  </si>
  <si>
    <t xml:space="preserve"> Concreting (width=6.10m., thk. = 230mm) Roadway Excavation - Common Surplus Excavation Construction of Concrete Lined Canal and Other Minor Drainage Structures Application of Reflectorized Thermoplastic Pavement Markings</t>
  </si>
  <si>
    <t xml:space="preserve"> CONCRETING OF BARANGAY ROAD</t>
  </si>
  <si>
    <t xml:space="preserve"> The Sangguniang Barangay appropriated budget for the Purchase of Supplies and Materials for the improvement of barangay medical services.  A Public Bidding will be held on June 16, 2020, 10:00 am and a Pre-Bid Conference will be on June 15, 2020, 10:00 am</t>
  </si>
  <si>
    <t xml:space="preserve"> Concreting (width=6.10m., thk. = 230mm) Roadway Excavation - Common Surplus Excavation Removal and Relocation of Utilities (Electric Post) Construction of Double Barrel Box Culvert Construction of Minor Drainage Structures Application of Reflectorized The</t>
  </si>
  <si>
    <t xml:space="preserve"> Republic of the Philippines Province of Masbate MUNICIPALITY OF CATAINGAN BARANGAY OSMENA   			                                                                                                 JUNE 2, 2020 INVITATION TO APPLY FOR ELIGIBILITY AND TO BID The</t>
  </si>
  <si>
    <t xml:space="preserve"> Republic of the Philippines Province of Quezon Municipality of Pagbilao COMMITTEE ON BIDS AND AWARDS INVITATION TO BID FOR SUPPLY AND DELIVERY OF SUPPLIES &amp; MATERIALS  1.	The Local Government Unit of Pagbilao, through the Approved Budget by the Sanggunian</t>
  </si>
  <si>
    <t xml:space="preserve"> Construction of Two (2) Storey Multi-Purpose Building (15.15m x 16.60m) with Site Development (Softscape), Fire Protection System including the installation of Air-conditioning System, Railings (Ramp), Painting and Finishing Works</t>
  </si>
  <si>
    <t xml:space="preserve"> Concreting of 100M X 4M Farm to Market Road</t>
  </si>
  <si>
    <t xml:space="preserve"> Construction of Public Market and Terminal Complex, Brgy. Kingking (Poblacion), Pantukan, Twelve (12) F1/C1 and Seven (7) F2/C1</t>
  </si>
  <si>
    <t xml:space="preserve"> INVITATION TO BID  Purchase &amp; Delivery of Drugs &amp; Medicines for GMCH  June 2, 2020 1.	The Provincial Government of Sarangani, through the Trust Fund Philhealth Collection intends to apply the sum of Two Million Forty Nine Thousand Five Hundred Thee Pesos </t>
  </si>
  <si>
    <t xml:space="preserve"> 1	Extra Gasoline	ltrs	 3,500.00  			 2	Regular Gasoline	ltrs	 5,800.00  			 3	Diesel Fuel	ltrs	 97,000.00  			 4	2T Oil	ltrs	 88.00  			 5	Brake Fluid	ltrs	 66.00  			 6	Motor Oil	ltrs	 196.00  			 7	Engine Oil #40	ltrs	 52.00  			 8	Coolant	ltrs	 41.00  </t>
  </si>
  <si>
    <t xml:space="preserve"> The Sangguniang Barangay appropriated budget for the Purchase and Installation of Mobile Radio Repeater for the enhancement of barangay communication services.  A Public Bidding will be held on June 16, 2020, 10:00 am and a Pre-Bid Conference will be on J</t>
  </si>
  <si>
    <t xml:space="preserve"> MAIN DOCUMENT ;SEE ATTACH FILE</t>
  </si>
  <si>
    <t xml:space="preserve"> Located at Anini-y RHU, Poblacion, Anini-y, Antique</t>
  </si>
  <si>
    <t xml:space="preserve"> Republic of the Philippines PROVINCE OF LEYTE Municipality of Alangalang -o0o- Invitation to Bid The LGU Alangalang, through its Bids and Awards Committee (BAC), invites prospective bidders to apply for eligibility and to bid for the hereunder project: Na</t>
  </si>
  <si>
    <t xml:space="preserve"> Concreting of 101M x 4m Road at Purok 1, Brgy. Matacong</t>
  </si>
  <si>
    <t xml:space="preserve"> B.9	Mobilization/Demobiliazation	lot	all	19,012.15 102(2)b	Roadway Excavation(Surplus Common)	31.05	cu.m.	5,433.75 105(1)	Subgrade Preparation (Common Material)	778.00	sq.m.	14,004.00 201	Aggregate Base Coarse (100mm thk.)	77.80	cu.m.	146,030.60 311(1)a	P</t>
  </si>
  <si>
    <t xml:space="preserve"> INVITATION FOR NEGOTIATED PROCUREMENT  Petroleum, Oil and Lubricants 1.	In view of two (2) failed public biddings, the Department of Budget and Management-Bids and Awards Committee (DBM-BAC) invites interested bidders to participate in the negotiation for</t>
  </si>
  <si>
    <t xml:space="preserve"> Installation of Automatic Fire System, Addressable Fire Detection and Alarm System, Intercom System, Cable Television and Telephone Data System at Municipal Hospital (ONC) at Municipal Compound, Brgy. Sto. Domingo II, Capas, Tarlac</t>
  </si>
  <si>
    <t xml:space="preserve"> Concreting of 42.3M X 4M Road at Purok 1, Brgy. Matacong</t>
  </si>
  <si>
    <t xml:space="preserve"> Removal of Existing Concrete Pavement	786.00 Excavation for Structure	23.13 Sub-Grade Preparation	1,310.00 Aggregate Base Course	131.00 PCCP (T=0.20m)	1,310.00 Reinforcing Steel Bar	1,068.20 Structural Concrete	7.52 Stone Masonry	60.45 Construction Safety</t>
  </si>
  <si>
    <t xml:space="preserve"> Concreting of 73.5M x 4M  Access Road at Brgy. Mampurog</t>
  </si>
  <si>
    <t xml:space="preserve"> Republic of the Philippines Province of Quezon MUNICIPALITY OF POLILLO ***** INVITATION TO BID FOR  SUPPLY, DELIVERY AND INSTALLATION OF BRAND NEW GENERATING SET WITH WIRING AND ACCESSORIES  1.	The Municipality of Polillo, through the Continuing Fund 2019</t>
  </si>
  <si>
    <t xml:space="preserve"> Republic of the Philippines PROVINCE OF SOUTHERN LEYTE Maasin City Invitation to Bid for the Procurement of One (1) Unit Photocopier and Air Conditioning Unit    Contract ID # 2020-06-23-326PG 1.	The Provincial Government of Southern Leyte through the PAS</t>
  </si>
  <si>
    <t xml:space="preserve"> Republic of the Philippines DEPARTMENT OF PUBLIC WORKS AND HIGHWAYS DAVAO ORIENTAL FIRST DISTRICT ENGINEERING OFFICE REGION XI Lucod, Baganga, Davao Oriental INVITATION TO BID No. 2020-0007  1.	The Department of Public Works and Highways, Davao Oriental F</t>
  </si>
  <si>
    <t xml:space="preserve"> Newspaper Publication of Ordinances Enacted by Sangguniang Bayan</t>
  </si>
  <si>
    <t xml:space="preserve"> FUND SOURCE: 20% PDF 2020 TYPES OF WORK TO BE DONE: Project billboard/ signboard/ occupational safety and health program/ metal structure</t>
  </si>
  <si>
    <t xml:space="preserve"> IMPROVEMENT OF CASSAG, BACARRI ROAD, PARACELIS FUND SOURCE: 20% PDF 2020 TYPES OF WORK TO BE DONE: Project billboard/ signboard/ occupational safety and health program/ structure excavation/ subgrade preparation/ aggregate subbase course/ PCC pavement (pl</t>
  </si>
  <si>
    <t xml:space="preserve"> Republic of the Philippines PROVINCE OF SOUTHERN LEYTE Maasin City Invitation to Bid for the Procurement of It Equipment, Appliances, Office Equipment, Furniture and Fixture and Medical Training Equipment    Contract ID # 2020-06-23-327PG 1.	The Provincia</t>
  </si>
  <si>
    <t xml:space="preserve"> Republic of the Philippines Province of Quezon Municipality of Pagbilao COMMITTEE ON BIDS AND AWARDS INVITATION TO BID FOR SUPPLY AND DELIVERY OF CONTAINER VAN 1.	The Local Government Unit of Pagbilao, through the Approved Budget by the Sanggunian – GOP, </t>
  </si>
  <si>
    <t xml:space="preserve"> Republic of the Philippines Province of Davao Oriental City of Mati BIDS &amp; AWARDS COMMITTEE INVITATION TO BID (REBID) Procurement of One (1) Unit BRAND NEW 4x2 SUV Vehicle for the Use of the Provincial Government of Davao Oriental SOURCE OF FUND: OLF [199</t>
  </si>
  <si>
    <t xml:space="preserve"> Scope of Work		:	Repair of Flood Control Structure</t>
  </si>
  <si>
    <t xml:space="preserve"> Republic of the Philippines Province of Davao Oriental City of Mati BIDS &amp; AWARDS COMMITTEE INVITATION TO BID (REBID) Procurement of One (1) Unit BRAND NEW 4x4 SUV Vehicle for the Use of the Provincial Government of Davao Oriental SOURCE OF FUND: GENERAL </t>
  </si>
  <si>
    <t xml:space="preserve"> Please see attached Bid Docs for details</t>
  </si>
  <si>
    <t xml:space="preserve"> Scope of Work		:	Rehabilitation of Multi-Purpose Building</t>
  </si>
  <si>
    <t xml:space="preserve"> 20HN0113 -Construction/Rehabilitation of Water Supply/Septage and  Sewerage/Rain Water Collectors - Rain Water Collectors in Public Facilities namely: (a) Opao ES; (b) Casili ES; (c) Leonard Wood ES; (d) Maguikay HS; (e) Subangdaku Tech Voc. HS, Mandaue C</t>
  </si>
  <si>
    <t xml:space="preserve"> Concreting of pathway &amp; construction of canal w/ cover</t>
  </si>
  <si>
    <t xml:space="preserve"> INVITATION TO BID The DPWH Zamboanga del Sur 2nd District Engineering Office, Poblacion, Guipos, Zamboanga del Sur, through its Bids and Awards Committee (BAC), invites contractors to submit bids for the following Contract: Contract ID	:	20JG0074 Contract</t>
  </si>
  <si>
    <t xml:space="preserve"> GOODS Thermoplastic Marking (white)     700/bags Thermoplastic Marking (yellow)    200/bags Glass Beads                                  50/bags Primer (16ltrs. per pail)                 30/pails</t>
  </si>
  <si>
    <t xml:space="preserve"> Cluster V -1. Supply and Delivery of Oil and Lubricants for use of Heavy Equipment, Service Vehicles, Grass Cutter and Chainsaw assigned at DPWH Palawan 2nd District Engineering Office 2. Supply and Delivery of Diesel Fuel and Unleaded for use of Heavy Eq</t>
  </si>
  <si>
    <t xml:space="preserve"> Concreting of road &amp; construction of CHB canal</t>
  </si>
  <si>
    <t xml:space="preserve"> Concreting of road with CHB canal</t>
  </si>
  <si>
    <t xml:space="preserve"> Republic of the Philippines Province of Davao de Oro MUNICIPALITY OF MONTEVISTA BIDS AND AWARDS COMMITTEE 		 Reference No:  CB-2020-015 INVITATION TO BID FOR DRUGS AND MEDICINES 1. 	The Municipality of  Montevista, Compostela Valley Province, through its </t>
  </si>
  <si>
    <t xml:space="preserve"> SCOOP OF WORK. 1.WIDENING AND EARTHFILL AT LOW PORTION OF THE ROAD 2. SPOT GRAVELLING OF THE REHABILITATE STREET 3.COMPACTION AT EARTHFILLED PORTION OF THE ROAD 1.WIDENING OF ROAD A,RENTALS(OPRRATED) B.MATERIALS TOTAL COST 100,000.00</t>
  </si>
  <si>
    <t xml:space="preserve"> ITB No. 2020 – 70 June 2, 2020 Republic of the Philippines Province of Davao Oriental CITY OF MATI INVITATION TO BID PROCUREMENT OF DIESEL (Land Development of Balai Maganahay at Brgy. Dawan) Name of Project 1.	The City Government of Mati, through the 20%</t>
  </si>
  <si>
    <t xml:space="preserve"> Republic of the Philippines Province of Agusan del Sur Municipality of Trento BIDS &amp; AWARDS COMMITTEE INVITATION TO BID  FOR THE ESTABLISHMENT OF ORGANIC TRADING POST 1.	The Municipality of Trento, through the PLGU Fund intends to apply the sum of One Mil</t>
  </si>
  <si>
    <t xml:space="preserve"> Republic of the Philippines Province of Quezon Municipality of Pagbilao COMMITTEE ON BIDS AND AWARDS INVITATION TO BID FOR SUPPLY AND DELIVERY OF MOTOR CYCLE  1.	The Local Government Unit of Pagbilao, through the Approved Budget by the Sanggunian – GOP, S</t>
  </si>
  <si>
    <t xml:space="preserve"> Concreting of road with CHB canal w/concrete cover</t>
  </si>
  <si>
    <t xml:space="preserve"> INVITATION TO BID The DPWH Davao Occidental District Engineering Office, Buhangin, Malita, Davao Occidental, through its Bids and Awards Committee (BAC), invites contractors to submit bids for the following Contract: Procurement ID / Contract ID	:	20LE012</t>
  </si>
  <si>
    <t xml:space="preserve"> Republic of the Philippines DEPARTMENT OF PUBLIC WORKS AND HIGHWAYS DAVAO DEL NORTE DISTRICT ENGINEERING OFFICE Region XI Tagum City TERMS OF REFERENCE CONSULTANCY SERVICES FOR GEOTECHNICAL,  GEOLOGICAL SURVEYS/ INVESTIGATIONS &amp; STRUCTURAL ANALYSIS &amp; DESI</t>
  </si>
  <si>
    <t xml:space="preserve"> INVITATION TO BID FOR  Purchase of Mini Fire Truck 1.	The Municipal Government of Hinabangan, through the General Fund CY 2016 (Continuing Appropriation 2016) intends to apply the sum of FOUR MILLION PESOS ONLY (PhP4,000,000.00) being the Approved Budget </t>
  </si>
  <si>
    <t xml:space="preserve"> INVITATION TO BID FOR THE PROCUREMENT OF VARIOUS IT EQUIPMENT AND ACCESSORIES FOR BUSINESS ONE-STOP SHOP CENTER (BOSS CENTER),  CITY OF ALAMINOS, PANGASINAN 1.	The CITY GOVERNMENT OF ALAMINOS, PANGASINAN, through its Special Purpose Appropriation intends </t>
  </si>
  <si>
    <t xml:space="preserve"> Construction of Drainage at Brgy. Boton, San Miguel, Catanduanes Scope of Works: Demolition, Excavation, Concrete Works (Canal), Rebars, Forms &amp; False Works, Drain Pipes, Disposal of Excavated &amp; Demolished Mtrls, &amp; Concrete Pavement. Source of Fund: 20% E</t>
  </si>
  <si>
    <t xml:space="preserve"> I. Mobilization; II. General Requirements; III. Project Enclosure; IV. Repainting Marikina Sport Center Logo; V. Surface Preparation; VI. Scaffolding; VII. Painting Works</t>
  </si>
  <si>
    <t xml:space="preserve"> Concreting of road w/ CHB sidings and CHB canal w/ concrete cover</t>
  </si>
  <si>
    <t xml:space="preserve"> Concreting of road</t>
  </si>
  <si>
    <t xml:space="preserve"> Republic of the Philippines	 PROVINCE OF IFUGAO	 Municipality of Asipulo	 BIDS AND AWARDS COMMITTEE	 INVITATION TO BID	 	 INFRASTRUCTURE PROJECTS	 	 The Municipal Government of Asipulo, through the Municipal Development Fund/ Mun. Cal. Fund of 2020 intend</t>
  </si>
  <si>
    <t xml:space="preserve"> Invitation to Bid The LGU Alangalang, through its Bids and Awards Committee (BAC), invites prospective bidders to apply for eligibility and to bid for the hereunder project: Name of Project   	:  ROAD OPENING TO  SITIO  CALBAYUGAY BRGY. CABADSAN, ALANGALA</t>
  </si>
  <si>
    <t xml:space="preserve"> Republic of the Philippines Province of Agusan del Sur Municipality of Trento BIDS &amp; AWARDS COMMITTEE INVITATION TO BID FOR  Supplying of Fuel, Oil and Gasoline for Heavy Equipment and Various Vehicle 1.	The Local Government Unit of Trento through the Gen</t>
  </si>
  <si>
    <t xml:space="preserve"> Republic of the Philippines Province of Quezon Municipality of Pagbilao COMMITTEE ON BIDS AND AWARDS INVITATION TO BID FOR SUPPLY AND DELIVERY OF FERTILIZER, VEGETABLE SEEDS AND OTHER SUPPLIES &amp; MATERIALS  1.	The Local Government Unit of Pagbilao, through</t>
  </si>
  <si>
    <t xml:space="preserve"> Activities					      Schedule 1. Issuance of Bid Document				June 01 – June 15, 2020 2. Pre-bid Conference						June 17, 2020 (10:00 a.m.) 3. Opening of Bids.						June 22, 2020 (2:00 p.m.) 4. Bid Evaluation						June 25, 2020 5. Post-qualification						J</t>
  </si>
  <si>
    <t xml:space="preserve"> INVITATION TO BID  PROCUREMENT OF PPSC FY2020 PUBLICATIONS                                                                                                                                              PPSC BAC IB NO.004 (G) 2020 1.	The Philippine Public Sa</t>
  </si>
  <si>
    <t xml:space="preserve"> Rehabilitation of Water System at Brgy. Pangilao, San Miguel, Catanduanes. Scope of Works: 1. Impounding Dam - Excavation, Rubbles Concrete, Stone Masonry, Plastering, Reinforce Concrete Works, 2. Pipes &amp; Fittings, &amp; 3. Manual Hauling. Source of Fund: 20%</t>
  </si>
  <si>
    <t xml:space="preserve"> CONSTRUCTION OF TAPPO FOOTPATH, BANAWEL, NATONIN FUND SOURCE: 20% PDF 2020 TYPES OF WORK TO BE DONE: Project billboard/ signboard/ occupational safety and health program/ site preparation/ forms and falseworks/ concrete pathway 100mm thick CONSTRUCTION OF</t>
  </si>
  <si>
    <t xml:space="preserve"> Installation and Rectification of Road Sign</t>
  </si>
  <si>
    <t xml:space="preserve"> Construction of canal w/ concrete cover</t>
  </si>
  <si>
    <t xml:space="preserve"> Roadway Excavation	1,140.00	cu.m. Excavation for Structure	111.00	cu.m. Sub-Grade Preparation	2,000.00	sq.m. Aggregate Base Course	200.00	cu.m. PCCP (T=0.15m)	2,000.00	sq.m. Stone Masonry	245.00	cu.m. Construction Safety &amp; Health	3.00	mos. Project Billboa</t>
  </si>
  <si>
    <t xml:space="preserve"> Prospective bidders should possess a valid PCAB License applicable to the contract, have completed a similar contract with a value of at least  50% of the Approved Budget for the Contract (ABC), and have key personnel and equipment available for the prose</t>
  </si>
  <si>
    <t xml:space="preserve"> INVITATION TO BID # 20-06-10 Supply and Delivery of Foodstuff Requirements of Residential Care Facilities (RCFs) of the Department of Social Welfare and Development – National Capital Region (DSWD-NCR) for the period of August 1, 2020 to December 31, 2020</t>
  </si>
  <si>
    <t xml:space="preserve"> BIDS AND AWARDS COMMITTEE INVITATION FOR NEGOTIATED PROCUREMENT (TWO FAILED BIDDINGS) IB No. 2020-054/GAE SUPPLY AND DELIVERY OF 1 UNIT DOUBLE CAB DROP SIDE LIGHT CARGO TRUCK In view of the two (2) failed biddings, the Department of Agriculture, Regional </t>
  </si>
  <si>
    <t xml:space="preserve"> Backfilling, riprapping and perimeter fence</t>
  </si>
  <si>
    <t xml:space="preserve"> I. Mobilization; II. General Requirements; III. Surface Preparation; IV. Application of Trup-Flex (1 Tennis/2 Volleyball/2 Basketball Court)</t>
  </si>
  <si>
    <t xml:space="preserve"> Republic of the Philippines Province of Quezon Municipality of Pagbilao COMMITTEE ON BIDS AND AWARDS INVITATION TO BID FOR PARCELLARY SURVEY OF BUKAL-ANTIPOLO-TUKALAN ROAD 1.	The Local Government Unit of Pagbilao, through the Approved Budget by the Sanggu</t>
  </si>
  <si>
    <t xml:space="preserve"> Concreting of road construction of slope protection (grouted riprap)&amp; construction of canal w/ cover</t>
  </si>
  <si>
    <t xml:space="preserve"> Republic of the Philippines Province of zamboanga Sibugay Municipality of Olutanga 7014 JUNE 1, 2020 NOTICE TO THE PUBLIC INVITIATION TO APPLY FOR ELIGIBILITY AND TO BID All interested bidders are invited to Pre-qualify and participate in sealed bidding f</t>
  </si>
  <si>
    <t xml:space="preserve"> Construction of riprap &amp; laying of RCCP &amp; road embankment</t>
  </si>
  <si>
    <t xml:space="preserve"> Invitation to Bid for the Procurement of Various Equipment, Instruments and Furnitures for TANJAY WATER DISTRICT</t>
  </si>
  <si>
    <t xml:space="preserve"> Concreting of road w/ cover &amp; construction of canal w/ concrete cover</t>
  </si>
  <si>
    <t xml:space="preserve"> Section I. Invitation to Bid Section II. Instruction to Bidders A. General 1. Scope of Bid 1.1 The Procuring Entity as defined in the BDS, invites for the Supply and Delivery of Office Supplies, as described in Section VI Specifications. The name and iden</t>
  </si>
  <si>
    <t xml:space="preserve"> Republic of the Philippines Province of Pangasinan MUNICIPALITY OF MANAOAG -o0o- INVITATION TO BID The LGU Manaoag, Pangasinan, through its Bids and Awards Committee (BAC), invites all interested Phil-GEPS registered suppliers/manufacturers/distributors/c</t>
  </si>
  <si>
    <t xml:space="preserve"> Construction of Waiting Shed &amp; Concrete Benches</t>
  </si>
  <si>
    <t xml:space="preserve"> Scope of Work		:	Conduct of Appraisal Services</t>
  </si>
  <si>
    <t xml:space="preserve"> Riprapping, concreting of road &amp; construction of stair</t>
  </si>
  <si>
    <t xml:space="preserve"> INVITATION TO BID FOR THE CONSTRUCTION OF SLOPE PROTECTION, CROSS DRAINAGE, RAIL GUARD AND CONCRETE SLAB AT NARRA ST., BRGY. SAN JOSE, CITY OF ALAMINOS, PANGASINAN 1.	The CITY GOVERNMENT OF ALAMINOS, PANGASINAN through its Development Fund (DF) intends to</t>
  </si>
  <si>
    <t xml:space="preserve"> Construction of Two storey building (extension)</t>
  </si>
  <si>
    <t xml:space="preserve"> Construction of Waiting Shed and Concrete Benches,</t>
  </si>
  <si>
    <t xml:space="preserve"> Rehabilitation of Farm to Market Road from Obo to Dayawa to Siay, San Miguel, Catanduanes. Scope of Works: 910mm dia. RCPC Class IV, 911mm dia. RCPC Class IV, 600mm dia. RCPC Class IV, RoadWay Excavation, Transport of Heavy Equipment (Backhoe), Bunk House</t>
  </si>
  <si>
    <t xml:space="preserve"> BIDS AND AWARDS COMMITTEE INVITATION FOR NEGOTIATED PROCUREMENT (TWO FAILED BIDDINGS) IB No. 2020-052/RJP SUPPLY AND DELIVERY OF 8000 UNITS PLASTIC CRATES In view of the two (2) failed bidding, the Department of Agriculture, Regional Field Office 10 throu</t>
  </si>
  <si>
    <t xml:space="preserve"> Construction of Covered Court</t>
  </si>
  <si>
    <t xml:space="preserve"> Construction of riprap &amp; plastering concreting of creek flooring &amp; const. of steel railing</t>
  </si>
  <si>
    <t xml:space="preserve"> 1.	The Local Government Unit (LGU) of the Municipality of Caluya, Antique, through the Supplemental Budget No.5, S.2019, intends to apply the sum of Three Million Forty Four Thousand Three Hundred Forty Three Pesos and 75/100 (Php 3,044,343.75) only being</t>
  </si>
  <si>
    <t xml:space="preserve"> INVITATION TO BID FOR  Purchase of Rescue Ambulance 1.	The Municipal Government of Hinabangan, through the DRRM Fund CY 2020 intends to apply the sum of TWO MILLION THREE HUNDRED THOUSAND PESOS ONLY (PhP2,300,000.00) being the Approved Budget for the Cont</t>
  </si>
  <si>
    <t xml:space="preserve"> Removal of Existing Concrete Subgrade and Base Course Preperation Portland Cement Concrete Pavement - PCCP Project Signage</t>
  </si>
  <si>
    <t xml:space="preserve"> UNIT	  DESCRIPTION		QUANTITY 105	Subgrade Preparation		 	A = 537.8m x 4m		 	Qty.= 2796.6 sq.m		 I- Equipment Rental:			 	 Road Grader  for 10 hours		1 	 Road Roller   for 10 hours		1 			 II- Labor:			 	 Foreman  for 1.25 day(s)		1 	 Laborers  for 1.25 day</t>
  </si>
  <si>
    <t xml:space="preserve"> Republic of the Philippines Province of Apayao PROVINCIAL GOVERNMENT CENTER San Isidro Sur, Luna, Apayao INVITATION TO BID FOR THE SUPPLY AND DELIVERY OF ONE(1) UNIT SERVICE VEHICLE 1.	The Provincial Government of Apayao, through the General/Supplemental </t>
  </si>
  <si>
    <t xml:space="preserve"> Replacement of door and window &amp; plumbing fixture, installation of tiles &amp; repainting</t>
  </si>
  <si>
    <t xml:space="preserve"> Construction of grouted riprap</t>
  </si>
  <si>
    <t xml:space="preserve"> INVITATION TO APPLY FOR ELIGIBILITY AND TO BID The local Government Unit of Taft, through is Bid and Awards Committee (BAC). Invites suppliers to apply for eligibility, to bid for the hereunder contract: Name of Contract: Construction of 2nd Floor of RHU </t>
  </si>
  <si>
    <t xml:space="preserve"> Construction of riprap, concreting of pathway &amp; stair, construction of railing &amp; installation of light</t>
  </si>
  <si>
    <t xml:space="preserve"> 1.	The LOCAL WATER UTILITIES ADMINISTRATIONhas receiveda Loan from the Asian Development Banktoward the cost of the Water District Development Sector Project, and it intends to apply part of the proceeds of this loan to payments under the contract for the</t>
  </si>
  <si>
    <t xml:space="preserve"> INVITATION TO BID FOR THE PROVISION OF LABOR, MATERIALS, EQUIPMENT RENTALS AND OTHER INCIDENTALS NEEDED FOR THE RECONSTRUCTION/ENHANCEMENT OF PIGGERY FENCE AT DA-PREC, SUAL, PANGASINAN 1.	The Department of Agriculture Regional Field Office 1 (DA RFO-1), t</t>
  </si>
  <si>
    <t xml:space="preserve"> Installation of Streetlights</t>
  </si>
  <si>
    <t xml:space="preserve"> Demolition of structure, construction of steel fence &amp; laying of tiles</t>
  </si>
  <si>
    <t xml:space="preserve"> CONSTRUCTION OF MALUMA SITIO SANGAYAN - ALVANIZ HANGING BRIDGE (PHASE II) , BARANGAY CUYAPIAO , PATNONGON, ANTIQUE</t>
  </si>
  <si>
    <t xml:space="preserve"> SITE WORKS CONCRETE WORKS REINFORCING STEEL BARS FORMWORKS &amp; SCAFFOLDING: TWO (2) USE MASONRY WORKS STEEL WORKS ROOFING WORKS CEILING WORKS (INTERIOR &amp; EXTERIOR) DOORS AND WINDOWS PLUMBING WORKS TILE WORKS ELECTRICAL WORKS PAINTING WORKS PROJECT SIGNAGE</t>
  </si>
  <si>
    <t xml:space="preserve"> INVITATION TO BID FOR THE PROVISION OF LABOR, MATERIALS, EQUIPMENT RENTALS AND OTHER INCIDENTALS NEEDED FOR THE REHABILITATION AND ENHANCEMENT OF DUPLEX ROOFING AT DA-INREC, DINGRAS, ILOCOS NORTE 1.	The Department of Agriculture Regional Field Office 1 (D</t>
  </si>
  <si>
    <t xml:space="preserve"> Republic of the Philippines PROVINCE OF CAMARINES SUR BIDS AND AWARDS COMMITTEE ITB No. 030-06-2020 INVITATION TO BID  	The Provincial Government of Camarines Sur (PGCS) through its Bids and Awards Committee (BAC) invites suppliers/manufacturers/distribut</t>
  </si>
  <si>
    <t xml:space="preserve"> Section I. Invitation to Bid Section II. Instruction to Bidders A. General 1. Scope of Bid 1.1 The Procuring Entity as defined in the BDS, invites for supply and delivery of office equipment as described in Section VI. Specifications. The name and identif</t>
  </si>
  <si>
    <t xml:space="preserve"> Excavation Concrete &amp; Masonry Works, Reinforcing Steel Bars Formworks &amp; Scaffolding Deep Well Distribution Line Doors &amp; Windows (Steel) Electrical Works</t>
  </si>
  <si>
    <t xml:space="preserve"> Borehole drilling</t>
  </si>
  <si>
    <t xml:space="preserve"> 1	Brass Water Meter ½”	700	pcs. 2	Brass Water Meter ¾”	100	pcs. 3	Brass Water Meter 1”	50	pcs.</t>
  </si>
  <si>
    <t xml:space="preserve"> Installation of Streetlights,</t>
  </si>
  <si>
    <t xml:space="preserve"> Republika ng Pilipinas PAMAHALAANG LUNGSOD NG TACLOBAN (City Government of Tacloban) Kanhuraw Hill, Tacloban City 6500 BIDS AND AWARDS COMMITTEE INVITATION TO BID  REF #038-06-2020 (JUNE 02, 2020) PR# 2020-621 DATED 05-21-2020 7020651 The Procuring Entity</t>
  </si>
  <si>
    <t xml:space="preserve"> Republic of the Philippines Province of Quezon Municipality of Pagbilao COMMITTEE ON BIDS AND AWARDS INVITATION TO BID FOR SUPPLY AND DELIVERY OF PERSONAL PROTECTIVE GEAR 1.	The Local Government Unit of Pagbilao, through the Approved Budget by the Sanggun</t>
  </si>
  <si>
    <t xml:space="preserve"> Site Works Concrete Works Formworks Scaffolding &amp; Staging Works Roof Framing Roofing Works</t>
  </si>
  <si>
    <t xml:space="preserve"> MUNICIPALITY OF HINABANGAN Hinabangan, Samar INVITATION TO BID FOR  Purchase of Rescue Vehicle 1.	The Municipal Government of Hinabangan, through the DRRM Fund CY 2019 intends to apply the sum of TWO MILLION PESOS ONLY (PhP2,000,000.00) being the Approved</t>
  </si>
  <si>
    <t xml:space="preserve"> INVITATION TO BID FOR THE PROVISION OF LABOR, MATERIALS, EQUIPMENT RENTALS AND OTHER INCIDENTALS NEEDED FOR THE RECONSTRUCTION OF GARLIC STORAGE FACILITY AT DA-INREC, BATAC CITY, ILOCOS NORTE 1.	The Department of Agriculture Regional Field Office 1 (DA RF</t>
  </si>
  <si>
    <t xml:space="preserve"> BY CONTRACT I.	GENERAL REQUIREMENTS II.	EARTHWORKS III.	CONCRETING WORKS  IV.	FORMWORKS V.	REINFORCING STEEL BARS VI.	MASONRY WORKS VII.	DOORS AND WINDOW VIII.	STEEL WORKS IX.	ROOFING WORKS X.	CARPENTRY XI.	TILE WORKS XII.	ELECTRICAL WORKS XIII.	PLUMBING </t>
  </si>
  <si>
    <t xml:space="preserve"> Republic of the Philippines DEPARTMENT OF PUBLIC WORKS AND HIGHWAYS OFFICE OF THE REGIONAL DIRECTOR                                                                       Region VII                                                                           </t>
  </si>
  <si>
    <t xml:space="preserve"> INVITATION TO BID FOR THE PROVISION OF LABOR, MATERIALS, EQUIPMENT RENTALS AND OTHER INCIDENTALS NEEDED FOR THE RECONSTRUCTION OF BUFFER SEED BODEGA AT DA-INREC, BATAC CITY, ILOCOS NORTE 1.	The Department of Agriculture Regional Field Office 1 (DA RFO-1),</t>
  </si>
  <si>
    <t xml:space="preserve"> Bid Evaluation - June 25, 2020 Post Qualification - June 29, 2020 Notice of Award - June 30, 2020 Notice to Proceed - July 1, 2020</t>
  </si>
  <si>
    <t xml:space="preserve"> Fuel Engine: DIESEL No. of Cylinders: 4 Engine Size: 2,488 Maximum Power (PS): 129 Maximum Torque (NM): 356 Engine Type: INLINE 4 CYLINDER, DOCH, 16 VALVES, VARIABLE Transmission: 5 SPEED MANUAL</t>
  </si>
  <si>
    <t xml:space="preserve"> INVITATION TO BID June 2, 2020 CHINA STATE CONSTRUCTION ENGINEERING CORPORATION LIMITED / CHINA GEO ENGINEERING CORPORATION (JV) 12F Petron Megaplaza, 358 Gil Puyat Avenue, Makati City  Email address: liuwei@chinaconstruction.com SUBJECT	:	Contract Packag</t>
  </si>
  <si>
    <t xml:space="preserve"> Republic of the Philippines PROVINCE OF SOUTHERN LEYTE Municipality of San Juan BIDS AND AWARD COMMITTEE INVITATION TO BID FOR  Supply and Delivery of Medical, Dental and  Laboratory Supplies The Municipality of San Juan through the General Fund intends t</t>
  </si>
  <si>
    <t xml:space="preserve"> PREVENTIVE MAINTENANCE -PRIMARY ROAD, -4.921KM.10.156 LANE KM</t>
  </si>
  <si>
    <t xml:space="preserve"> 1	Brass Ball Valve ¾” with lockwing, std.	100	pcs. 2	Brass Ball Valve 1” with lockwing, std.	50	pcs. 3	Brass Check Valve ¾”	100	pcs. 4	Brass Check Valve 1”	50	pcs. 5	Brass Straight Coupling ¾” w/o PJ nuts std.	200	pcs. 6	Brass Straight Coupling 1” w/o PJ </t>
  </si>
  <si>
    <t xml:space="preserve"> INVITATION TO BID for   REPLACEMENT OF BELT CONVEYOR ROLLERS (2nd Public Bidding) Laguindingan Airport 1.	The CIVIL AVIATION AUTHORITY OF THE PHILIPPINES, through the CAAP Corporate Budget CY 2020 under the approved Annual Procurement Plan of   CY 2020 in</t>
  </si>
  <si>
    <t xml:space="preserve"> Invitation to Bid Drilling and Construction of One (1) Test/Production Well (Rotary Method) for Pontevedra Water District, Pontevedra,Capiz 1.	The Pontevedra Water District (PWD) intends to apply the sum of One Million Nine Hundred Nineteen Thousand Eight</t>
  </si>
  <si>
    <t xml:space="preserve"> Republic of the Philippines Cordillera Administrative Region PROVINCIAL GOVERNMENT OF ABRA Bangued Invitation to Bid for  CONSTRUCTION OF SAN ANTONIO BRIDGE APPROACHES 1.	The Provincial Government of Abra, through the Budget for the Contract Approved by t</t>
  </si>
  <si>
    <t xml:space="preserve"> Republic of the Philippines Province of Compostela Valley Municipality of Monkayo -o0o- INVITATION TO BID FOR THE PROCUREMENT OF LABOR &amp; MATERIALS FOR ESTABLISHMENT OF TOURISM INFORMATION CENTER LOCATED AT POBLACION MONKAYO DAVAO DE ORO The Municipality o</t>
  </si>
  <si>
    <t xml:space="preserve"> INVITATION TO APPLY FOR ELIGIBILITY AND TO BID 	The local Government Unit of Can-avid, through is Bid and Awards Committee (BAC). Invites suppliers to apply for eligibility, to bid for the hereunder contract: Name of Contract:      PURCHASE AND DELIVERY O</t>
  </si>
  <si>
    <t xml:space="preserve"> Please refer to the attached RFQ and description/picture of the furnitures.</t>
  </si>
  <si>
    <t xml:space="preserve"> INVITATION TO BID FOR THE REBIDDING OF SUPPLY AND DELIVERY OF EIGHTEEN THOUSAND TWO HUNDRED FIFTY (18,250) HEADS IMPROVED CHICKEN  1.	The Department of Agriculture Regional Field Office 1 (DA RFO-1), through the GAA FY 2019 intends to apply the sum of Sev</t>
  </si>
  <si>
    <t xml:space="preserve"> Repair/Maintenance of DPWH Building, Maintenance Building National Highway, Brgy. Antipuluan, Narra, Palawan Earthworks, Plain and Reinforced Concrete Works, Finishing and other Civil Works, Electrical Works, Mechanical Works</t>
  </si>
  <si>
    <t xml:space="preserve"> Republika ng Pilipinas PAMAHALAANG LUNGSOD NG TACLOBAN (City Government of Tacloban) Kanhuraw Hill, Tacloban City 6500 BIDS AND AWARDS COMMITTEE INVITATION TO BID  REF #033(1)-04-2020 (JUNE 02, 2020) PR# 2020-504 DATED 04-20-2020 7020799 The Procuring Ent</t>
  </si>
  <si>
    <t xml:space="preserve"> Invitation to Bid For   One (1) Year Courier Services for LANDBANK Credit Cards, Statement of Accounts and Other Credit Card Related Parcels 1.	The LAND BANK OF THE PHILIPPINES (LANDBANK), through its Corporate Budget for the contract approved by the Boar</t>
  </si>
  <si>
    <t xml:space="preserve"> Technical Assistance in the Formulation of Comprehensive Land Use Plan (CLUP) &amp; Zoning Ordinance  (ZO).</t>
  </si>
  <si>
    <t xml:space="preserve"> PARTICULARS/DESCRIPTIONS	Unit Cost  (PhP) 1) One (1) Unit Printer (A3, laser/ colored) 	Print Technology Color Laser 	Resolution (black) Up to 600 x 600 dpi 	Resolution (color) Up to 600 x 600 dpi 	First page out (ready) black As fast as 16 sec 	Firs</t>
  </si>
  <si>
    <t xml:space="preserve"> INVITATION TO BID The municipal government of Romblon through its Bids and Awards Committee (BAC) invites  PhilGEPS registered suppliers to apply to bid for the New Construction of Level-II Potable water System at Sitio Luway, Brgy. Cajimos, Romblon, Romb</t>
  </si>
  <si>
    <t xml:space="preserve"> For further details, please see attached Program of Work in the associated components.</t>
  </si>
  <si>
    <t xml:space="preserve"> BIDS AND AWARDS COMMITTEE (BAC) Email address: bacregion2@yahoo.com Telefax No.: (078) 304-0560 CP Nos.: 09173190220 INVITATION TO BID ITB No.: 2020-06-19 The Department of Agriculture – Regional Field Office No. 02 (DA-RFO 02) through its Bids and Awards</t>
  </si>
  <si>
    <t xml:space="preserve"> 100 bags Urea Plus Zinc Fertilizer   Specification: -46% Nitrogen, 0.2% zinc - Fertilizer offered must be FPA registered -Packing (50kgs) Conditions: -Pack in a high quality sack with plastic inside and printed with LGU Quezon Logo and “not for sale” - pr</t>
  </si>
  <si>
    <t xml:space="preserve"> UNIT	  DESCRIPTION		QUANTITY 105	Subgrade Preparation		 	A = 200m x 4m		 	Qty.= 1040 sq.m		 I- Equipment Rental:			 	Road Grader  for 4 hours		1 	Road Roller    for 4 hours		1 			 II- Labor:			 	Foreman  for 0.5 day(s)		1 	Laborers  for 0.5 day(s)		2 			 </t>
  </si>
  <si>
    <t xml:space="preserve"> ACETYLENE AND OXYGEN</t>
  </si>
  <si>
    <t xml:space="preserve"> INVITATION TO SUBMIT QUOTATION  FOR CATERING SERVICES WITH VENUE AND ACCOMMODATION  DURING THE 2020 CENSUS OF POPULATION AND HOUSING (2020 CPH)  SECOND LEVEL TRAINING ON JULY 20-JULY 25, 2020  AT TUGUEGARAO CITY, CAGAYAN 1.	The Philippine Statistics Autho</t>
  </si>
  <si>
    <t xml:space="preserve"> 1.	1	unit/s	UTILITY VAN 			TYPE 			In-line 4 cylinder, 16 valves (DOHC) with Turbocharger 			Engine Size/Displacement: not exceeding 3,000cc 			No. of Cylender : 4 , No. of Valve: 16  			Bore X Stroke: 92.0 x 10.6, Compression Ratio: 15.6 : 1 			Maximum  </t>
  </si>
  <si>
    <t xml:space="preserve"> Please refer to the attached documents</t>
  </si>
  <si>
    <t xml:space="preserve"> 245 Bags Complete Fertilizer Specification: -14% nitrogen phosphorus, potassium - Fertilizer offered must be FPA registered -Packing (50kgs) Conditions: -Pack in a high quality sack with plastic inside and printed with LGU Quezon Logo and “not for sale” -</t>
  </si>
  <si>
    <t xml:space="preserve"> Invitation to Bid For Supply and Delivery of 250 Units Gigabit Ethernet Switch 1.	The LAND BANK OF THE PHILIPPINES (LANDBANK), through its Corporate Budget for the contract approved by the Board of Directors for 2020 intends to apply the total sum of One </t>
  </si>
  <si>
    <t xml:space="preserve"> 1.	Contract ID: 20EI0177 Contract Name: Repair/Maintenance of DILG Building-BJMP Multi-Purpose Hall,  Contract Location: Roxas, Oriental Mindoro Brief Description: Repair of roofing, columns, walls, doors and windows. Approved Budget for the Contract (ABC</t>
  </si>
  <si>
    <t xml:space="preserve"> Republic of the Philippines Province of Cotabato Municipality of Mlang BIDS AND AWARDS COMMITTEE INVITATION TO BID           The Municipal Government of M’LANG intends to apply the sum of THREE MILLION TWO HUNDRED THOUSAND PESOS ONLY (P 3,200,000.00) bein</t>
  </si>
  <si>
    <t xml:space="preserve"> 2.	Contract ID: 20EI0178 Contract Name: Construction/Rehabilitation of Water Supply/Septage and Sewerage/Rainwater Collectors,  Contract Location: Pinamalayan - Bulalacao, Oriental Mindoro Brief Description: Construction of Concrete Water Tank Approved Bu</t>
  </si>
  <si>
    <t xml:space="preserve"> Location: Barili, Cebu Contract No.: BCSIMOCO-GOODS-18A-2K20 Approved Budget for the Contract: Two Million Two Hundred Seven Thousand Thirty Four Pesos and Thirty Eight Centavos (P 2,207,034.38) Fund Source: Establishment of Groundwater Pump Irrigation Pr</t>
  </si>
  <si>
    <t xml:space="preserve"> Location: Banilad, Cebu City, Cebu Contract No.: BCSIMOCO-GOODS-21-2K20 Approved Budget for the Contract: One Million Four Hundred Sixty Thousand Pesos (P 1,460,000.00) Fund Source: Capital Outlay 2019</t>
  </si>
  <si>
    <t xml:space="preserve"> Invitation to Bid for the supply &amp; delivery of Ammunitions for use of the Batangas City PNP</t>
  </si>
  <si>
    <t xml:space="preserve"> I N V I T A T I O N   T O   B I D  The Visayas State University (VSU) through its Bids and Awards Committee (BAC) invites contractors to bid for the hereunder project: Name of Project 	:  Rehabilitation and Expansion of NARC Tissue Culture Laboratory     </t>
  </si>
  <si>
    <t xml:space="preserve"> REPUBLIC OF THE PHILIPPINES PROVINCE OF RIZAL MUNICIPALITY OF ANGONO Invitation to Bid for  CONSTRUCTION OF NEW ROAD WITH DRAINAGE SYSTEM The Municipality of Angono, through the Trust Fund – Local Government Support Fund-Assistance to Municipalities (LGSF</t>
  </si>
  <si>
    <t xml:space="preserve"> Invitation to Bid For Supply, Delivery, Installation and Configuration of Privileged Access Management (PAM) Solution  with Hardware Appliance with Three (3) Years Warranty  1.	The LAND BANK OF THE PHILIPPINES (LANDBANK), through its Corporate Budget for </t>
  </si>
  <si>
    <t xml:space="preserve"> RE-INVITATION TO BID The Department of Public Works and Highways - Pampanga 1st District Engineering Office, through its Bids and Awards Committee (BAC), invites contractors to submit bids for the following Contract: 1.	 Procurement ID/Contract ID	:	20CG0</t>
  </si>
  <si>
    <t xml:space="preserve"> INVITATION TO BID IB-2020-058 The Philippine Children’s Medical Center, through PCMC Corporate Fund for CY 2020 intends to apply the sum of Twenty-Six Million Two Hundred Thousand Pesos (Php 26,200,000.00) being the Approved Budget for the Contract (ABC) </t>
  </si>
  <si>
    <t xml:space="preserve"> REHABILATION OF MULTI PURPOSE</t>
  </si>
  <si>
    <t xml:space="preserve"> Contract ID: 20PK0065 Contract Name: Capital Outlay - Construction/Rehabilitation of Water Supply/Septage and Sewerage/Rain Water Collector Systems - Rain Water Collectors in Public Facilities - CAR   Contract Location: Various Location (Balbalan, Lubuaga</t>
  </si>
  <si>
    <t xml:space="preserve"> ITEM: Preliminaries/General Requirements 1.00  Lot	Mobilization/Demobilization 1.00 	 Lot	Construction of Temporary Facility and Utilities 1.00  Lot	Installation of Project Signboard 1.00   Lot	Occupational Health &amp; Safety 1.00   Lot	Water &amp; Electricity G</t>
  </si>
  <si>
    <t xml:space="preserve"> Invitation to Bid for the supply &amp; delivery of Various Maintenance Materials for use of different offices of Batangas City Government</t>
  </si>
  <si>
    <t xml:space="preserve"> Republic of the Philippines Province of Compostela Valley Municipality of Monkayo -o0o- INVITATION TO BID FOR THE PROCUREMENT OF LABOR &amp; MATERIALS FOR RENOVATION OF DRY MARKET LOCATED AT BLOCK 2, MARKET SITE, BARANGAY POBLACION, MONKAYO DAVAO DE ORO The M</t>
  </si>
  <si>
    <t xml:space="preserve"> Invitation to Bid for the  CONCRETING OF FARM TO MARKET ROAD AT BARANGAY SITE OF BARANGAY SAN JOSE  Kiblawan, Davao del Sur 1.The Local Government Unit of Kiblawan, through the 20% Local Government Development Fund 2020[ In the case of National Government</t>
  </si>
  <si>
    <t xml:space="preserve"> Republic of the Philippines Cordillera Administrative Region Provincial Local Government Unit of Ifugao BIDS AND AWARDS COMMITTEE - INFRA 3rd Floor PEO Bldg., Capitol Compound Lagawe, Ifugao Email Ad.: bacifugao@gmail.com INVITATION TO BID  NCB Publicatio</t>
  </si>
  <si>
    <t xml:space="preserve"> Repair/Maintenance of Isumbo Bridge (Partial Deck Slab Replacement) along Puerto Princesa Road, K0131+479 Sofronio Española, Palawan</t>
  </si>
  <si>
    <t xml:space="preserve"> Various Medical , Electrical, Utility and Office Equipment and Supplies</t>
  </si>
  <si>
    <t xml:space="preserve"> Invitation to Bid for the Enhancement &amp; Upgrading of Business Permit and License System as requested by the Business Permit &amp; Licensing Office, Batangas City</t>
  </si>
  <si>
    <t xml:space="preserve"> Title:Procurement of 1 Job Consultancy Services under P.R.No. 2194-2020-CMO-Provision for Priority Development Project (Continuing) Total ABC: Php 700,000.00</t>
  </si>
  <si>
    <t xml:space="preserve"> X X X X X X X STRAIGHT CONTRACT X X X X X X X X</t>
  </si>
  <si>
    <t xml:space="preserve"> Republic of the Philippines Province of Quezon Municipality of Pagbilao COMMITTEE ON BIDS AND AWARDS INVITATION TO BID FOR SUPPLY AND DELIVERY OF IT EQUIPMENT 1.	The Local Government Unit of Pagbilao, through the Approved Budget by the Sanggunian – GOP, G</t>
  </si>
  <si>
    <t xml:space="preserve"> ITB No. 2020-72 June 2, 2020 Republic of the Philippines Province of Davao Oriental CITY OF MATI INVITATION TO BID CONSTRUCTION OF WATER SYSTEM AT UPPER KALAPARAN Name of Project 1.	The City Government of Mati, through the 20% Local Development Fund inten</t>
  </si>
  <si>
    <t xml:space="preserve"> Repair/Maintenance of DPWH Building BAC Building (Motorpool) National Highway, Brgy. Antipuluan, Narra, Palawan Earthworks, Plain and Reinforced Concrete Works, Finishing and other Civil Works, Electrical Works</t>
  </si>
  <si>
    <t xml:space="preserve"> Repair/Maintenance of DPWH Bldg. (Main Building) Palawan II DEO National Highway Brgy. Antipuluan, Narra, Palawan Finishing, Plumbing/Sanitary Works</t>
  </si>
  <si>
    <t xml:space="preserve"> Repair/Maintenance of DPWH Building MQC Building National Highway, Brgy. Antipuluan, Narra, Palawan Earthworks, Plain and Reinforced Concrete Works, Finishing and other Civil Works, Electrical Works</t>
  </si>
  <si>
    <t xml:space="preserve"> Republic of the Philippines DEPARTMENT OF PUBLIC WORKS AND HIGHWAYS PANGASINAN IV DISTRICT ENGINEERING OFFICE REGIONAL OFFICE I Tuliao, Sta. Barbara, Pangasinan    INVITATION TO BID   The Department of Public Works and Highways DPWH – Pangasinan IV Distri</t>
  </si>
  <si>
    <t xml:space="preserve"> INVITATION TO BID REFERENCE NO. 2020-05-005 1.The Department of Social Welfare and Development FO VIII, through the General Appropriations Act of CY 2020 intends to apply the sum Three Million, Five Hundred Sixty-Seven Thousand Pesos (Php3,567,000.00) onl</t>
  </si>
  <si>
    <t xml:space="preserve"> Proposed Construction of Drainage Interceptor along A. Bonifacio St. from J.P. Rizal to Montalban River, Brgy. Rosario ABC      :     Php.  12,000,000.00                                           Duration      :   120 Cal. Days</t>
  </si>
  <si>
    <t xml:space="preserve"> Section I. Invitation to Bid SUPPLY OF MATERIALS, LABOR AND EQUIPMENT FOR THE CONSTRUCTION OF PUMP HOUSE AND PERIMETER FENCE AND SITE DEVELOPMENT OF LINAO NORTE PUMPING STATION 02, LINAO NORTE, TUGUEGARAO CITY 1. The Metropolitan Tuguegarao Water District</t>
  </si>
  <si>
    <t xml:space="preserve"> The Philippine Statistics Authority – Regional Statistical Services Office XIII (PSA-RSSO XIII), through the 2020 General Appropriations Act (General Fund) intends to apply the sum of SEVEN MILLION SEVEN HUNDRED SIXTY-SIX THOUSAND FIVE HUNDRED PESOS ONLY </t>
  </si>
  <si>
    <t xml:space="preserve"> - PUBLIC MARKET BUILDING - PHASE 3</t>
  </si>
  <si>
    <t xml:space="preserve"> Concreting of road &amp; construction of road protection</t>
  </si>
  <si>
    <t xml:space="preserve"> PROCUREMENT OF DRUGS &amp; MEDICINES FOR FY 2020</t>
  </si>
  <si>
    <t xml:space="preserve"> A) REQUEST FOR QUOTATION 1. 2 ltr Termiticide, water base 2. 28 bag Cement 3. 3 cu. m Gravel 4. 2 cu. m Sand 5. 31 pc Deformed bar, 10mmØ 6. 165 pc CHB, 4" 7. 2 kg GI wire, #16 8. 152 pc Ceramic floor tiles, 0.40 x 0.40m, verify design and color 9. 5 bag </t>
  </si>
  <si>
    <t xml:space="preserve"> Installation of water pipeline</t>
  </si>
  <si>
    <t xml:space="preserve"> The Barangay Government of Bangkulasi, through the Annual Budget  2020 duly approved by the Sangguniang Panlungsod intends to apply the sum of Seventy Three Thousand Twelve Pesos  (P 73,012.00) being the Approved Budget for the Contract (ABC) to payment f</t>
  </si>
  <si>
    <t xml:space="preserve"> Gravel surfacing and construction of canal and slope protection</t>
  </si>
  <si>
    <t xml:space="preserve"> Republic of the Philippines PROVINCE OF SOUTHERN LEYTE Maasin City Invitation to Bid for the Procurement of One (1) Unit Distribution Transformer   Contract ID # 2020-06-23-329PG 1.	The Provincial Government of Southern Leyte through the SOYMPH Other Prop</t>
  </si>
  <si>
    <t xml:space="preserve"> Republic of the Philippines Province of Oriental Mindoro MUNICIPALITY OF VICTORIA INVITATION TO BID Supply and Delivery of Foliar Fertilizers for High Value Crops Upgrading and Development Program in the Municipality of Victoria, Oriental Mindoro 1.The Mu</t>
  </si>
  <si>
    <t xml:space="preserve"> Republic of the Philippines PROVINCE OF SOUTHERN LEYTE Maasin City Invitation to Bid for the Procurement of One (1) Unit Service Vehicle  Contract ID # 2020-06-23-328PG 1.	The Provincial Government of Southern Leyte through the PTO Motor Vehicle Expenses </t>
  </si>
  <si>
    <t xml:space="preserve"> REQUEST FOR QUOTATION FOR SCHOOL MOOE FOR THE MONTH OF APRIL 2020</t>
  </si>
  <si>
    <t xml:space="preserve"> SCOPE OF WORKS: B.5    	Project Billboard &amp; Signboard	2.00	each	 104(1)a	Embankment from Roadway Excavation	463.96	cu.m. 104(2)a	Embankment from Borrow	103.36	cu.m. 105(1)a	Subgrade Preparation (Common Materials)	3,816.00	sq.m.	 200(1)	Aggregate Subbase C</t>
  </si>
  <si>
    <t xml:space="preserve"> The Barangay Government of Bangkulasi, through the Annual Budget  2020 duly approved by the Sangguniang Panlungsod intends to apply the sum of Seventy Three Thousand Thirteen Pesos   (P 73,013.00) being the Approved Budget for the Contract (ABC) to paymen</t>
  </si>
  <si>
    <t xml:space="preserve"> INVITATION TO BID 1)	The DPWH- Davao City District Engineering Office through its Bids and Awards Committee (BAC), invites contractors to submit bids for the following contract; 1. Procurement ID /          Contract ID No.	:	20LB0156     Contract Name	:	C</t>
  </si>
  <si>
    <t xml:space="preserve"> Republic of the Philippines					 Department of Health					 Regional Health Field Office No. VII					 DON EMILIO DEL VALLE MEMORIAL HOSPITAL					 Bood, Ubay, Bohol					  (038) 518-8301; (038) 518-8027; Fax No. (038) 518-8309; email Ad: devmh_ubay@yahoo.com</t>
  </si>
  <si>
    <t xml:space="preserve"> REPUBLIC OF THE PHILIPPINES PROVINCE OF LA UNION MUNICIPALITY OF CABA BIDS AND AWARDS COMMITTEE INVITATION TO BID FOR THE PROCUREMENT OF INFRASTRUCTURE PROJECT OF THE MUNICIPALITY The Local Government Unit of Caba, La Union, through the DILG 2019-Performa</t>
  </si>
  <si>
    <t xml:space="preserve"> Republic of the Philippines Province of Oriental Mindoro MUNICIPALITY OF VICTORIA INVITATION TO BID Supply and Delivery of One (1) unit Brand New Backhoe (Hydraulic Excavator) in the Municipality of Victoria, Oriental Mindoro 1.The Municipal Government of</t>
  </si>
  <si>
    <t xml:space="preserve"> INVITATION TO BID PAITAN SWIP 1.	The National Irrigation Administration – Bulacan-Aurora-Nueva Ecija Irrigation Management Office, Tambubong, San Rafael, Bulacan, through GAA 2020 intends to apply the sum of Nine Million Two Hundred Twenty-Four Thousand F</t>
  </si>
  <si>
    <t xml:space="preserve"> SCOPE OF WORKS: B.5	Project Billboard &amp; Signboard	2.00	each	 101(2)	Removal of Concrete Canal Structures	6.00	cu.m. 103(1)a	Structure Excavation (Common Soil, RCPC)	4.13	cu.m. 104(1)a	Embankment from Roadway Excavation	368.05	cu.m. 104(2)	Embankment from </t>
  </si>
  <si>
    <t xml:space="preserve"> SCOPE OF WORKS: B.5	Project Billboard &amp; Signboard	2.00	each		 101(3)b	Removal of Existing Asphalt Pavement (100 mm thk.)	1,500.00	cu.m. 103(1)a	Structure Excavation (Common Soil, RCPC)	3.82	cu.m. 104(1)a	Embankment from Roadway Excavation	268.06	cu.m. 104</t>
  </si>
  <si>
    <t xml:space="preserve"> SCOPE OF WORKS: B.5	Project Billboard &amp; Signboard	2.00	each	 101(4)a	Removal of Structures/Obstructions, 457 mm dia. RCPC	6.00	cu.m. 103(1)a	Structure Excavation (Common Soil, RCPC)	105.89	cu.m. 104(1)a	Embankment from Roadway Excavation	824.96	cu.m. 104(</t>
  </si>
  <si>
    <t xml:space="preserve"> Republic of the Philippines DEPATMENT OF PUBLIC WORKS AND HIGHWAYS SULTAN KUDARAT 1ST DISTRICT EINGINEERING OFFICE 		REGIONAL OFFICE XII Isulan, Sultan Kudarat                                                                           INVITATION TO BID The</t>
  </si>
  <si>
    <t xml:space="preserve"> INVITATION TO BID SIMIMBAAN SWIP 1.	The National Irrigation Administration – Bulacan-Aurora-Nueva Ecija Irrigation Management Office, Tambubong, San Rafael, Bulacan, through GAA 2020 intends to apply the sum of Nine Million Two Hundred Eighty-One Thousand</t>
  </si>
  <si>
    <t xml:space="preserve"> Project Billboard/Signboard, Occupational Safety and Health Program, Road Works Safety and Traffic Management, Mobilization/Demobilization, Reflectorized Thermoplastic Pavement Markings (White), Reflectorized Thermoplastic Pavement Markings (Yellow), Chev</t>
  </si>
  <si>
    <t xml:space="preserve"> INVITATION TO BID FOR Procurement of  Linen Supplies (Rebid) 1.	The Quirino Memorial Medical Center, through the Income Fund-MOOE intends to apply the sum of Seven Million Five Hundred Eighty Five Thousand Six Hundred Pesos Only (PHP 7,585,600.00) being t</t>
  </si>
  <si>
    <t xml:space="preserve"> Purchase of 300 pail Asphalt Instant Cold Mix, 90 drum Emulsified Asphalt and 129 cu. m. Sand</t>
  </si>
  <si>
    <t xml:space="preserve"> Republic of the Philippines Province of Quezon CITY GOVERNMENT OF TAYABAS INVITATION TO BID FOR PROJECT # 20-041 - PROCUREMENT OF FURNITURES AND FIXTURES FOR SCHOOL LIBRARIES- CITY SCHOOL DIVISION OFFICE The City Government of Tayabas, through the Special</t>
  </si>
  <si>
    <t xml:space="preserve"> Project Billboard/Signboard, Occupational Safety and Health Program, Road Works Safety and Traffic Management, Mobilization/Demobilization, Removal of Actual Structures/Obstruction, Subgrade Preparation, Existing Pavement, Aggregate Subbase Course, PCC Pa</t>
  </si>
  <si>
    <t xml:space="preserve"> 1.	The Department of Trade &amp; Industry Regional Office 12, through the General Apropriation Act of 2020, intends to apply the sum of Two Million Pesos Only (Php2,000,000.00) being the Approved Budget for the Contract (ABC) for the Supply and Delivery of 20</t>
  </si>
  <si>
    <t xml:space="preserve"> Republic of the Philippines Province of Batangas MUNICIPALITY OF LOBO Invitation to Bid for the SUPPLY OF MATERIALS, LABOR AND EQUIPMENT FOR THE CONCRETING/IMPROVEMENT OF LOCAL ACCESS ROAD AT SITIO BAGONG POOK, BARANGAY MALABRIGO, LOBO, BATANGAS Contract </t>
  </si>
  <si>
    <t xml:space="preserve"> Procurement of emergency supplies or item in response to COVID measures to prevent the spread of virus.</t>
  </si>
  <si>
    <t xml:space="preserve"> INVITATION TO BID FOR Procurement of Drugs and Medicines CY 2020 REBID The Quirino Memorial Medical Center, through the REVOLVING FUND-MOOE intends to apply the sum of NINETY NINE MILLION THREE HUNDRED SEVENTY FOUR THOUSAND FIVE HUNDRED FIVE PESOS AND 17/</t>
  </si>
  <si>
    <t xml:space="preserve"> INVITATION TO BID FOR Procurement of Dietary Foodstuffs and Supplies CY 2020 REBID 1.	The Quirino Memorial Medical Center, through the Income Fund - MOOE intends to apply the sum of FOUR MILLION EIGHT HUNDRED TWENTY TWO THOUSAND TWO HUNDRED FIFTY THREE PE</t>
  </si>
  <si>
    <t xml:space="preserve"> Procurement of additional office supplies as supplement in reproduction of modules for each learner.</t>
  </si>
  <si>
    <t xml:space="preserve"> INVITATION TO BID FOR PROCUREMENT OF NON- ACCOUNTABLE FORMS CY2020 REBID 1.	The Quirino Memorial Medical Center, through the INCOME FUND-MOOE intends to apply the sum of ONE MILLION ONE HUNDRED SEVENTY NINE THOUSAND AND ONE HUNDRED EIGHTEEN PESOS ONLY (Ph</t>
  </si>
  <si>
    <t xml:space="preserve"> INVITATION TO BID The DPWH-Bataan 2nd District Engineering Office, through its Bids and Awards Committee (BAC) for Goods, invites suppliers to submit bids for the following Contract: Contract ID	:	20GCB0004 Contract Name	:	Procurement/Supply of Road Marki</t>
  </si>
  <si>
    <t xml:space="preserve"> INVITATION TO BID FOR  1.	The Municipal Government of Coron, Palawan, through the 2020 Annual Municipal Budget intends to apply the sum of One Million Pesos (PhP1,000,000.00) being the Approved Budget for the Contract (ABC) to payments under the contract </t>
  </si>
  <si>
    <t xml:space="preserve"> Construction of Hanging Steel Bridge at Sitio Tagbon, Panipiason, Madalag, Aklan  See Program of Work, Plans and Drawings, Bill of Quantities upon purchase of bidding documents.</t>
  </si>
  <si>
    <t xml:space="preserve"> I      EARTHFILL       600 cu. m.</t>
  </si>
  <si>
    <t xml:space="preserve"> INVITATION TO BID   (Public Bidding) The BFAR 08, through its Bids and Awards Committee (BAC), invites eligible suppliers to bid for the hereunder contract:	 NAME OF CONTRACT: 20-05-0580 SUPPLY AND DELIVERY OF MATERIALS FOR THE SEMI-INTENSIVE TILAPIA CULT</t>
  </si>
  <si>
    <t xml:space="preserve"> INVITATION TO BID FOR TONER TIE-UP CY 2020 REBID The Quirino Memorial Medical Center, through theIncome Fund–MOOE intends to apply the sum of TWO MILLION EIGHT HUNDRED FOURTY NINE THOUSAND TWO HUNDRED TWENTY PESOS ONLY (PHP 2,849,220.00) being the Approve</t>
  </si>
  <si>
    <t xml:space="preserve"> INVITATION TO BID June 2, 2020 CHINA GEZHOUBA GROUP CORPORATION LIMITED / CHINA GEZHOUBA GROUP MUNICIPAL ENGINEERING CORPORATION LIMITED (JV) Unit 916, High Street South Corporate Plaza Tower1, 26th Street corner 9th Ave., Bonifacio Global City, Taguig Ci</t>
  </si>
  <si>
    <t xml:space="preserve"> I    CONCRETE FINISHING     63 sq. m. II   DOORS III MASONRY WORKS             3.74 sq. m. IV  CEILING                          41.40 sq. m. V   PAINTING                         601.80 sq. m.</t>
  </si>
  <si>
    <t xml:space="preserve"> INVITATION TO BID FOR Procurement of TONER CARTRIDGES FOR PHOTOCOPIER CY 2020 1.	The Quirino Memorial Medical Center, through the INCOME FUND-MOOE intends to apply the sum of ONE MILLION FOUR HUNDRED FIFTY FIVE THOUSAND NINE HUNDRED SEVENTY FIVE PESOS ONL</t>
  </si>
  <si>
    <t xml:space="preserve"> CONCRETE AND STEEL</t>
  </si>
  <si>
    <t xml:space="preserve"> The Bids and Awards Committee								 Province of Iloilo								 								      In connection with your Invitation to Bid No. PEO-19-1449-B (Rebid-2) scheduled on June 24, 2020, I/we proposed to furnish and deliver in conformity with the terms and conditio</t>
  </si>
  <si>
    <t xml:space="preserve"> Republic of the Philippines Cordillera Administrative Region PROVINCIAL GOVERNMENT OF ABRA Bangued Invitation to Bid for  IMPROVEMENT OF PALPALITPIT-CAYAPA FMR 1.	The Provincial Government of Abra, through the Budget for the Contract Approved by the Sangg</t>
  </si>
  <si>
    <t xml:space="preserve"> JUNE 1, 2020 FER2020-012 1.	The LOCAL GOVERNMENT UNIT OF FERROL, ROMBLON, through the SOCIO-CIVIC PROJECT FUND CY 2020 intends to apply the sum of THREE MILLION PESOS (PHP 3,000,000.00) being the Approved Budget for the Contract (ABC) to payments under th</t>
  </si>
  <si>
    <t xml:space="preserve"> The Municipal Government of Atok, Benguet now invites bids for MDF CLUSTER 10-2020 PROJECT: CONSTRUCTION OF CONCRETE PAVEMENT WITH BOX CULVERT ALONG PEY-AS TO DAMAYAN FMR AT POBLACION, ATOK, BENGUET with the following Scope of Works: SPL. 1.	INSTALLATION </t>
  </si>
  <si>
    <t xml:space="preserve"> The Municipal Government of Atok, Benguet now invites bids for MDF CLUSTER 8-2020 PROJECT: CONSTRUCTION OF PAVEMENT AT TAMOCMOC ROAD AT TOPDAC, ATOK, BENGUET with the following Scope of Works: 102.		EXCAVATION 105.		SUBGRADE PREPARATION 311.		PCCP 600.		C</t>
  </si>
  <si>
    <t xml:space="preserve"> The Municipal Government of Atok, Benguet now invites bids for MDF CLUSTER 9-2020 PROJECTS AT POBLACION, ATOK, BENGUET with the following Scope of Works: 1.	CONSTRUCTION OF CONCRETE PAVEMENT ALONG CABAYO FMR WITH AN ABC OF P1,150,000.00; AND 2.	CONSTRUCTI</t>
  </si>
  <si>
    <t xml:space="preserve"> The Municipal Government of Atok, Benguet now invites bids for MDF CLUSTER 6-2020 PROJECT: CONSTRUCTION OF PAVEMENT ALONG BETAC-KISKIS ROAD AT ABIANG, ATOK, BENGUET with the following Scope of Works: 102.		EXCAVATION 104.		SUBGRADE PREPARATION 311.		PCCP </t>
  </si>
  <si>
    <t xml:space="preserve"> Name of Project/Title of Project: Procurement of Drugs and Medicines for BJMP 12 PDL for the Third Quarter of 2020 Place of Delivery: BJMPRO-XII, Regional Center, Carpenter Hill, Koronadal City, South Cotabato Brief Description of Project: Supply and Deli</t>
  </si>
  <si>
    <t xml:space="preserve"> The Bids and Awards Committee								 Province of Iloilo								 								      In connection with your Invitation to Bid No. PEO-20-0160-B scheduled on June 24, 2020, I/we proposed to furnish and deliver in conformity with the terms and conditions, and sp</t>
  </si>
  <si>
    <t xml:space="preserve"> Items of Work consists of Subgrade Preparation, Aggregate Base Course, Portland Cement and Concrete Pavement (PCCP), Monuments and Markers, Billboard Installation The BAC will conduct the procurement process in accordance with the revised IRR of R.A. 9184</t>
  </si>
  <si>
    <t xml:space="preserve"> Republic of the Philippines Province of Masbate MUNICIPALITY OF CATAINGAN BIDS AND AWARD COMMITTEE INVITATION TO APPLY FOR ELIGIBILITY AND TO BID JUNE 1, 2020                                                                                                 </t>
  </si>
  <si>
    <t xml:space="preserve"> The Municipal Government of Atok, Benguet now invites bids for MDRRMF CLUSTER 2-2020 PROJECTS AT PASDONG AND NAGUEY, ATOK, BENGUET with the following Cluster of Projects: 1.	REHABILITATION OF PASDONG PROPER – INUMAN ROAD AT PASDONG WITH AN ABC OF P350,000</t>
  </si>
  <si>
    <t xml:space="preserve"> Name of Project/Title of Project: Procurement of Assorted Rehabilitation Supplies for BJMP Region 12 PDL for the Third Quarter of 2020 Location of Project: BJMPRO-XII, Regional Center, Carpenter Hill, Koronadal City, South Cotabato Brief Description of Pr</t>
  </si>
  <si>
    <t xml:space="preserve"> Items of Work consists of  Subgrade Preparation, Aggregate Base Course, Portland Cement and Concrete Pavement (PCCP),Billboard Installation, Monuments and Markers  The BAC will conduct the procurement process in accordance with the revised IRR of R.A. 918</t>
  </si>
  <si>
    <t xml:space="preserve"> Republic of the Philippines Cordillera Administrative Region PROVINCIAL GOVERNMENT OF ABRA Bangued Invitation to Bid for  REPAIR OF MANABO IRRIGATION MAIN CANAL, AYYENG MANABO 1.	The Provincial Government of Abra, through the Budget for the Contract Appro</t>
  </si>
  <si>
    <t xml:space="preserve"> Items of Work consists of Clearing and Grubbing, Subgrade Preparation, Aggregate Base Course, Portland Cement and Concrete Pavement (PCCP),Grouted Riprap, Billboard Installation, Monuments and Markers  	 The BAC will conduct the procurement process in acc</t>
  </si>
  <si>
    <t xml:space="preserve"> Republic of the Philippines Cordillera Administrative Region PROVINCIAL GOVERNMENT OF ABRA Bangued Invitation to Bid for  IMPROVEMENT OF SITIO CAMPONG SAGURISIR FMR 1.	The Provincial Government of Abra, through the Budget for the Contract Approved by the </t>
  </si>
  <si>
    <t xml:space="preserve"> The Municipal Government of Atok, Benguet now invites bids for MDF CLUSTER 2-2020 PROJECTS AT CALIKING, ATOK, BENGUET with the following Cluster of Projects: 1.	CONSTRUCTION OF CONCRETE PAVEMENT ALONG CAMP 30-CALIKING ROAD (CALIKING PROPER SECTION) AT CAL</t>
  </si>
  <si>
    <t xml:space="preserve"> INVITATION TO BID 01 June 2020 The municipality of Sampaloc through its Bids and Awards Committee (BAC) invites suppliers/manufacturers/distributors/contractors to apply for eligibility to bid for the hereunder project: Name of Project	:	RELOCATION SURVEY</t>
  </si>
  <si>
    <t xml:space="preserve"> Item No.	Description					Unit of	Quantity 						Measure	 1	Hen					heads	200 2	Rooster					heads	40 3	Cracked Corn					kgs.	1500 4	Pellets					kgs.	1500 5	Nylon Net/Screen					meters	300 	x-x-x-x-x</t>
  </si>
  <si>
    <t xml:space="preserve"> Republic of the Philippines CITY OF PANABO Province of Davao del Norte BIDS AND AWARDS COMMITTEE -o0o- INVITATION TO BID  SUPPLY OF 1 UNIT BRAND NEW RESCUE TRUCK 1.	The City of Panabo, through CDRRMC/ TRUST FUND -03/ CALAMITY FUND 2019 intends to apply th</t>
  </si>
  <si>
    <t xml:space="preserve"> The MUNICIPALITY OF BANI, through its Bids and Awards Committee (BAC), invites suppliers/contractors to bid for the following: Name of Project	:SMALL WATER IMPOUNDING PROJECT Project Location	:San Miguel, San Vicente, Banog Norte,Dacap Norte, Ranao, Dacap</t>
  </si>
  <si>
    <t xml:space="preserve"> The Bids and Awards Committee								 Province of Iloilo								 								      In connection with your Invitation to Bid No. PEO-20-0163 B scheduled on June 24, 2020, I/we proposed to furnish and deliver in conformity with the terms and conditions, and sp</t>
  </si>
  <si>
    <t xml:space="preserve"> Republic of the Philippines CITY OF PANABO Province of Davao del Norte BIDS AND AWARDS COMMITTEE -o0o- INVITATION TO BID  SUPPLY OF 1 UNIT BRAND NEW MULTI-PURPOSE VEHICLE 1.	The City of Panabo, through CDRRMC/ TRUST FUND -03/ CALAMITY FUND 2019 intends to</t>
  </si>
  <si>
    <t xml:space="preserve"> Name of Project/Title of Project: Procurement of Office Supplies for BJMPRO-XII for the Third Quarter of 2020 Location of Project: BJMPRO-XII, Regional Center, Carpenter Hill, Koronadal City, South Cotabato Brief Description of Project: Procurement of Ass</t>
  </si>
  <si>
    <t xml:space="preserve"> INVITATION TO BID FOR THE SUPPLY, DELIVERY, INSTALLATION AND COMMISSIONING OF ONE (1) UNIT HEALTHCARE WASTE TREATMENT MACHINE 1.	The Eversley Childs Sanitarium and General Hospital, through HFEP 2020 GAA, intends to apply the sum of Fifteen Million Pesos </t>
  </si>
  <si>
    <t xml:space="preserve"> Republic of the Philippines CITY OF PANABO Province of Davao del Norte BIDS AND AWARDS COMMITTEE -o0o- INVITATION TO BID  SUPPLY OF 1 UNIT BRAND NEW CREW TRUCK 1.	The City of Panabo, through CDRRMC/ TRUST FUND -03/ CALAMITY FUND 2019 intends to apply the </t>
  </si>
  <si>
    <t xml:space="preserve"> Name of Project/Title of Project: Procurement of Petroleum, Oil and Lubricants for BJMPRO-XII for the Third Quarter of 2020 Location of Project: BJMPRO-XII, Regional Center, Carpenter Hill, Koronadal City, South Cotabato Brief Description of Project: Proc</t>
  </si>
  <si>
    <t xml:space="preserve"> Improvement of Nueva Fuerza Water System at Sitio Nueva Fuerza Fuerza, Brgy. Cabaruyan, Libungan, Cotabato Rehabilitation of 54 Meters Dept Well</t>
  </si>
  <si>
    <t xml:space="preserve"> Republic of the Philippines CITY OF PANABO Province of Davao del Norte BIDS AND AWARDS COMMITTEE -o0o- INVITATION TO BID  SUPPLY OF MATERIALS FOR TRANSFORMER INSTALLATION (REBID) 1.	The City of Panabo, through CEO-SB#5-2019/CONTINUING CY 2019/OTHER INFRAS</t>
  </si>
  <si>
    <t xml:space="preserve"> PB NO. 2020-024		 			 1.	2	unit	Commuter Van (Converted to Ambulance) 			 		Exterior	 			Blue and red blinkers w/PA System Multi tone  			Medium tint black front Frosted tint rear 			Mirror Ambulance Sticker front 9 inch height  			Rear and side ambulance</t>
  </si>
  <si>
    <t xml:space="preserve"> Republic of the Philippines Province of Cagayan LOCAL GOVERNMENT UNIT-MUNICIPALITY SOLANA, 3503 BIDS AND AWARDS COMMITTEE (BAC) Invitation to Bid for  Concreting of Farm to Market Road 1.	The Municipal Government of Solana, through Trust Fund  intends to </t>
  </si>
  <si>
    <t xml:space="preserve"> Republic of the Philippines Cordillera Administrative Region PROVINCIAL GOVERNMENT OF ABRA Bangued Invitation to Bid for  CONCRETING OF COSILI EAST – MACARCARMAY ROAD  1.	The Provincial Government of Abra, through the Budget for the Contract Approved by t</t>
  </si>
  <si>
    <t xml:space="preserve"> Republic of the Philippines DEPARTMENT OF HEALTH ZAMBOANGA PENINSULA - CENTER FOR HEALTH DEVELOPMENT Upper Calarian, Zamboanga City 7000 Phone : (062) 983-0314, (062) 983-0146, Fax : (062)  991-3380 Email : dohchdzp@yahoo.com, Web : www.doh.gov.ph INVITAT</t>
  </si>
  <si>
    <t xml:space="preserve"> Republic of the Philippines Province of Cagayan LOCAL GOVERNMENT UNIT-MUNICIPALITY SOLANA, 3503 BIDS AND AWARDS COMMITTEE (BAC) Invitation to Bid for  Construction/installation of concrete &amp; stainless tables 1.	The Municipal Government of Solana, through </t>
  </si>
  <si>
    <t xml:space="preserve"> Republic of the Philippines Province of Cagayan LOCAL GOVERNMENT UNIT-MUNICIPALITY SOLANA, 3503 BIDS AND AWARDS COMMITTEE (BAC) Invitation to Bid for  Rehabilitation of Public Market Building (10 stalls) 1.	The Municipal Government of Solana, through Gene</t>
  </si>
  <si>
    <t xml:space="preserve"> 1. The LGU-Bauko through its Annual Budget CY 2020 intends to apply the amount of One Million One Hundred Eighty Four Thousand Two Hundred Sixteen Pesos &amp; 20/100 (P 1,184,216.20) being the Approved Budget for the Contract (ABC) to payment for the contract</t>
  </si>
  <si>
    <t xml:space="preserve"> The Municipality of Catubig, N. Samar, through the Resolution No. 89-s-2019 intends to apply the sum of One Million Six Hundred Thousand Pesos (P 1,600,000.00) being the Approved Budget for the Contract (ABC) to payments under the contract for Repair/Main</t>
  </si>
  <si>
    <t xml:space="preserve"> Republic of the Philippines Province of Siquijor Municipality of Maria   Invitation to Bid for Reposting  Provision of Potable Water Supply–Pisong-A Maria, Siquijor/PIA -0002I-2020 1.	The Barangay Local Government Unit of Pisong-A,Maria, through the 20% D</t>
  </si>
  <si>
    <t xml:space="preserve"> - The Municipality of Baliguian, request for quotation for the Procurement of customized ambulance with complete and standard medical accessories and emergency medical kits. - The Estimated Budget Cost is One Million Nine Hundred Thousand Pesos (Php1,900,</t>
  </si>
  <si>
    <t xml:space="preserve"> Republic of the Philippines                   Department of Health	       CENTRAL OFFICE BIDS AND AWARDS COMMITTEE  INVITATION TO BID FOR THE  PROCUREMENT OF DELTAMETHRIN – REBID  IB NO. 2020-172-A 1.	The Department of Health (DOH), through the General Ap</t>
  </si>
  <si>
    <t xml:space="preserve"> 1.	The Municipality of Baliguian, now invites bids for the Civil works for the Construction of 150 Ln.m. River Control at Barangay Tamao, Baliguian, Zamboanga del Norte.  2.	Bidding will be conducted in accordance with relevant procedures for open competi</t>
  </si>
  <si>
    <t xml:space="preserve"> INVITATION TO BID KB-GOODS-2020-05 I.	The Municipality of Kitaotao, intends to apply the sum of Two Million Pesos Only (P2,000,000.00) for the Supply and Delivery of Brand New Utility Vehicle (pick-up). Bids received more than the ABC shall be automatical</t>
  </si>
  <si>
    <t xml:space="preserve"> INVITATION TO BID KB-GOODS-2020-05 I.	The Municipality of Kitaotao, intends to apply the sum of One Million Nine Hundred Thousand Pesos Only (P1,900,000.00) for the Supply and Delivery of Brand New 4x4 Manual Transmission Pick-up. Bids received more than </t>
  </si>
  <si>
    <t xml:space="preserve"> Republic of the Philippines                   Department of Health	       CENTRAL OFFICE BIDS AND AWARDS COMMITTEE  INVITATION TO BID FOR THE  PROCUREMENT OF BIFENTHRIN  IB NO. 2020-212 1.	The Department of Health (DOH), through the General Appropriations</t>
  </si>
  <si>
    <t xml:space="preserve"> The Zamboanga del Norte 3rd District Engineering Office, through its Bids and Awards Committee (BAC), invites contractors to submit bids for the Contract:												 												 Contract ID:				20JD0104								 Contract Name:				Widening of Permanent Br</t>
  </si>
  <si>
    <t xml:space="preserve"> The Zamboanga del Norte 3rd District Engineering Office, through its Bids and Awards Committee (BAC), invites contractors to submit bids for the Contract:												 												 Contract ID:				20JD0101								 Contract Name:				Rehabilitation/Reconstru</t>
  </si>
  <si>
    <t xml:space="preserve"> The Zamboanga del Norte 3rd District Engineering Office, through its Bids and Awards Committee (BAC), invites contractors to submit bids for the Contract:												 												 Contract ID:				20JD0105								 Contract Name:				Construction of Multi-Pu</t>
  </si>
  <si>
    <t xml:space="preserve"> The Zamboanga del Norte 3rd District Engineering Office, through its Bids and Awards Committee (BAC), invites contractors to submit bids for the Contract:												 												 Contract ID:				20JD0102								 Contract Name:				Rehabilitation/Reconstru</t>
  </si>
  <si>
    <t xml:space="preserve"> INVITATION TO RE-BID Purchase and Delivery of Electric Compressor ITB 2020-05-029(GOODS) 1. 	The Municipality of Tuba, through the Budget for the contract approved by the Sangguniang Bayan for CY 2020 intends to apply the sum of Two Hundred Seventy Thousa</t>
  </si>
  <si>
    <t xml:space="preserve"> The Zamboanga del Norte 3rd District Engineering Office, through its Bids and Awards Committee (BAC), invites contractors to submit bids for the Contract:												 												 Contract ID:				20JD0103								 Contract Name:				Retrofitting/Strenghteni</t>
  </si>
  <si>
    <t xml:space="preserve"> INVITATION TO BID Purchase and Delivery of Plastic Granulator ITB 2020-05-028(GOODS) 1. 	The Municipality of Tuba, through the Budget for the contract approved by the Sangguniang Bayan for CY 2020 intends to apply the sum of Three Hundred Seventy Four Tho</t>
  </si>
  <si>
    <t xml:space="preserve"> Republic of the Philippines                   Department of Health	       CENTRAL OFFICE BIDS AND AWARDS COMMITTEE  INVITATION TO BID FOR THE  PROCUREMENT OF TERMITE TREATMENT AND GENERAL PEST CONTROL MAINTENANCE IB NO. 2020-215 1.	The Department of Healt</t>
  </si>
  <si>
    <t xml:space="preserve"> The Zamboanga del Norte 3rd District Engineering Office, through its Bids and Awards Committee (BAC), invites contractors to submit bids for the Contract:												 												 Contract ID:				20JD0106								 Contract Name:				Construction of Multi-Pu</t>
  </si>
  <si>
    <t xml:space="preserve"> The Zamboanga del Norte 3rd District Engineering Office, through its Bids and Awards Committee (BAC), invites contractors to submit bids for the Contract:												 												 Contract ID:				20JD0107								 Contract Name:				Construction (Completion</t>
  </si>
  <si>
    <t xml:space="preserve"> INVITATION TO BID The City of Bayawan, through its Bids and Awards Committee (BAC), invites suppliers/manufacturers/distributors/contractors to bid for the hereunder projects: 	Lot No. I		To provide materials, labor, fuel and equipment for Establishment o</t>
  </si>
  <si>
    <t xml:space="preserve"> INVITATION TO RE-BID Purchase and Delivery of Hydraulic Press Packing Machine ITB 2020-05-030(GOODS) 1. 	The Municipality of Tuba, through the Budget for the contract approved by the Sangguniang Bayan for CY 2020 intends to apply the sum of Five Hundred T</t>
  </si>
  <si>
    <t xml:space="preserve"> Layout Structural Excavation  Concrete Works  (Column Footing, Column, Beam, Slab, Reinforcing Steel Bars, Metal Deck Panel, Forms and Scaffolding, Masonry Works, Cement Plaster Finish, Tile Works, Window, Door, Plumbing Works, Septic Tank, Painting Works</t>
  </si>
  <si>
    <t xml:space="preserve"> The Zamboanga del Norte 3rd District Engineering Office, through its Bids and Awards Committee (BAC), invites contractors to submit bids for the Contract:												 												 Contract ID:				20JD0108								 Contract Name:				Construction (Completion</t>
  </si>
  <si>
    <t xml:space="preserve"> Layout  Removal of Structure and Obstruction with Disposal  Concrete Works  (Column Footing, Column, Beam, Wall Footing, Slab, Stairs, Concrete Ledge, Reinforcing Steel Bars, Metal Deck Panel, Forms and Scaffolding, Masonry Works, Cement Plaster Finish, T</t>
  </si>
  <si>
    <t xml:space="preserve"> Republic of the Philippines Province of Iloilo Municipality of Ajuy Barangay of Tubogan BIDS AND AWARD COMMITTEE INVITATION TO BID 	The Barangay of Tubogan, Ajuy, Iloilo invites Accredited Supplier to apply for eligibility and to bid for the Concreting of</t>
  </si>
  <si>
    <t xml:space="preserve"> Item 201 - Base Course  Item 311 - Portland Cement Concrete Pavement  Item 405 - Structural Concrete Class A (with Demolition of Affected Structure)  Item 508 - Hardly Rock Embankment (Alignment and Filling of Armour Rock at End)</t>
  </si>
  <si>
    <t xml:space="preserve"> Please Download Attachments: Lot A, Lot B, Lot C, Lot D, Lot E and Lot F (6 Lots) 1.  Schedule of BAC Activities for the Project 2.  Bidding Documents (Instructions to Bidders) 3.  Invitation to Bid (ITB - Bid Form)</t>
  </si>
  <si>
    <t xml:space="preserve"> various construction materials</t>
  </si>
  <si>
    <t xml:space="preserve"> I N V I T A T I O N   T O   B I D 2020 - 081 June 1, 2020 1.	The Provincial Government of Tarlac through the Agriculture - PPAs - Provision of Hybrid Rice (Donations) intends to apply the sum of One Million Nine Hundred Ninety-Nine Thousand Two Hundred Pe</t>
  </si>
  <si>
    <t xml:space="preserve"> THE NATIONAL IRRIGATION ADMINISTRATION-SCIMO, THROUGH THE FUND 501 CY2020 INTENDS TO APPLY THE SUM OF TWO MILLION FOUR HUNDRED FIFTY-FOUR THOUSAND PESOS ONLY (₱ 2,454,000.00) BEING THE APPROVED BUDGET FOR THE CONTRACT (ABC) TO PAYMENTS UNDER THE CONTRACT </t>
  </si>
  <si>
    <t xml:space="preserve"> Purchase of various medicines for the Rural Health Unit of San Luis, Aurora</t>
  </si>
  <si>
    <t xml:space="preserve"> I N V I T A T I O N   T O   B I D 2020 - 080 June 1, 2020 1.	The Provincial Government of Tarlac through the Agriculture - PPAs - Provision of Certified Seeds (Full Subsidy) (Donations) intends to apply the sum of One Million Nine Hundred Ninety-Nine Thou</t>
  </si>
  <si>
    <t xml:space="preserve"> I N V I T A T I O N   T O   B I D 2020 - 082 June 1, 2020 1.	The Provincial Government of Tarlac through the Agriculture - PPAs - Enhancement of the Provincial Plant Nursery intends to apply the sum of One Million Pesos Only (PhP 1,000,000.00) being the A</t>
  </si>
  <si>
    <t xml:space="preserve"> Purchase of various medical and dental supplies for the Rural Health Unit of San Luis, Aurora</t>
  </si>
  <si>
    <t xml:space="preserve"> I N V I T A T I O N   T O   B I D 2020 - 079 June 1, 2020 1.	The Provincial Government of Tarlac through the Agriculture - PPAs - Provision of Production Input Support to Corn Program (Donations) intends to apply the sum of Three Million Seven Hundred For</t>
  </si>
  <si>
    <t xml:space="preserve"> Purchase of 1 unit solar powered interactive multimedia audio visual aids technology</t>
  </si>
  <si>
    <t xml:space="preserve"> 50m x 1m</t>
  </si>
  <si>
    <t xml:space="preserve"> BIDS AND AWARDS COMMITTEE INVITATION TO BID No. 023-2020 The METRO ROXAS WATER DISTRICT (MRWD), through its Bids and Awards Committee (BAC), invites Manufacturers/Suppliers/Distributors to apply for eligibility and to bid for the hereunder project: Name o</t>
  </si>
  <si>
    <t xml:space="preserve"> INVITATION TO BID The __DPWH-Lanao del Norte 1st District Engineering Office, through its Bids and Awards Committee (BAC), invites contractors to submit bids for the project funded under SR2020-04-004709 AMWP/PB CY 2020: 1.	Contract ID: 20KG0093 Contract </t>
  </si>
  <si>
    <t xml:space="preserve"> INVITATION TO BID FOR THE PROCUREMENT OF SUPPLY &amp; DELIVERY OF VARIOUS FARM TOOLS &amp; MATERIALS      1.	The Department of Agriculture Regional Field Office 6 through the General Appropriations Act (GAA) of 2020 intends to apply the sum of Four Million Eight </t>
  </si>
  <si>
    <t xml:space="preserve"> REQUEST FOR QUOTATION											 											 RFQ No.		NP/PB 20-0633				Date				May 29, 2020	 PR Reference		100-20-02-015				Implementing Office				City Vice-Mayor	 Closing Date and Time						 June 18, 2020, 5:00p.m.					 Designated Places of Submission (B</t>
  </si>
  <si>
    <t xml:space="preserve"> Purchase of various equipment supplies and materials</t>
  </si>
  <si>
    <t xml:space="preserve"> I N V I T A T I O N   T O   B I D 2020 - 077 June 1, 2020 1.	The Provincial Government of Tarlac through the Jail - Food Supplies Expense intends to apply the sum of Four Million Four Hundred Sixteen Thousand Pesos Only (PhP 4,416,000.00) being the Approv</t>
  </si>
  <si>
    <t xml:space="preserve"> 60 PCS.   4" THK CHB 12 BAGS PORTLAND CEMENT 1.5 CUM. RIVER WASHED SAND 1 KG. #16 GI TIE WIRE 1 SET PAIL FLUSH TOILET BOWL W/ COVER 1 MTR. SAND SIEVE SCREEN 10 LNGHT   1' X 3" X 8' CORNER MOULDING 24 SHTS 1/4 X 4 X 8 MARINE PLYWOOD 2 KGS. #3 CONCRETE NAIL</t>
  </si>
  <si>
    <t xml:space="preserve"> Republic of the Philippines PROVINCE OF NUEVA VIZCAYA Municipality of Alfonso Castañeda  BIDS &amp; AWARDS COMMITTEE FOR GOODS &amp; SERVICES Invitation to Bid for  Supply &amp; Delivery of I.T. Equipment 1.	The Local Government of Alfonso Castañeda, through the Ge</t>
  </si>
  <si>
    <t xml:space="preserve"> I N V I T A T I O N   T O   B I D 2020 - 078 June 1, 2020 1.	The Provincial Government of Tarlac through the Jail - Food Supplies Expense intends to apply the sum of One Million Eight Hundred Seventy-Two Thousand Pesos Only (PhP 1,872,000.00) being the Ap</t>
  </si>
  <si>
    <t xml:space="preserve"> TECHNICAL SPECIFICATIONS Item	Specification	Statement of Compliance Bidders must state here either “Comply” or “Not Comply” against each of the individual parameters of each Specification stating the corresponding performance parameter of the equipment of</t>
  </si>
  <si>
    <t xml:space="preserve"> Republic of the Philippines Province of South Cotabato City of Koronadal BIDS AND AWARDS COMMITTEE INVITATION TO BID FOR THE  Procurement for the Supply, Delivery &amp; Installation of One (1) Unit Earthquake Recording Instrumentation Equipment - REBID 1.	The</t>
  </si>
  <si>
    <t xml:space="preserve"> Contract ID			:	20EG0085					 Contract Name  			:	Repair/Maintenance of Mandaragat River Revetment 1 &amp; 2					 Contract Location			:	K0002+(-275.00), Malvar Road, Puerto Princesa City					 Brief Description			:	Repair/Maintenance of River Revetment					 Ap</t>
  </si>
  <si>
    <t xml:space="preserve"> Republic of the Philippines Province of South Cotabato City of Koronadal BIDS AND AWARDS COMMITTEE INVITATION TO BID FOR THE  Procurement for the Supply and Delivery of Educational School Supplies for Public Elementary School Students of the City of Koron</t>
  </si>
  <si>
    <t xml:space="preserve"> Please see attached ITB. ABC: 2,195,400.00</t>
  </si>
  <si>
    <t xml:space="preserve"> 1. DEMOLITION 2. MASONRY WORKS 3. STAIRCASE 4. ROOFING WORKS 5. CEILING WORKS 6. PLASTERING WORKS 7. TILES WORKS 8. DOORS AND WINDOWS</t>
  </si>
  <si>
    <t xml:space="preserve"> Republic of the Philippines Province of Negros Occidental CITY OF VICTORIAS BIDS AND AWARDS COMMITTEE Reference No: Vict-eps20-028 INVITATION TO BID  CONSTRUCTION OF DRAINAGE  ( RUBBLE CONCRETE RIPRAP OPEN LINED CANAL ) AT LOPEZ SUBD., BRGY VI, VICTORIAS </t>
  </si>
  <si>
    <t xml:space="preserve"> Contract ID			:	20EG0084					 Contract Name  			:	Construction of Rainwater Collectors					 Contract Location			:	Morzon P/S, Culandanum NHS, Tina E/S, Bubusawin E/S, Santo Niño E/S, Aborlan,					 				Kandes E/S, Maranat E/S, Bacungan Barangay Hall, Bacun</t>
  </si>
  <si>
    <t xml:space="preserve"> INVITATION TO BID FOR THE PROCUREMENT OF SUPPLY &amp; DELIVERY OF VARIOUS FERTILIZERS      1.	The Department of Agriculture Regional Field Office 6 through the General Appropriations Act (GAA) of 2020 intends to apply the sum of Eight Million Nine Hundred Thi</t>
  </si>
  <si>
    <t xml:space="preserve"> I N V I T A T I O N   T O   B I D 2020 - 084 June 1, 2020 1.	The Provincial Government of Tarlac through the Trust Fund intends to apply the sum of One Million Eight Hundred Forty-One Thousand Seven Hundred Forty-Six Pesos and 50/100 (PhP 1,841,746.50) be</t>
  </si>
  <si>
    <t xml:space="preserve"> THE NATIONAL IRRIGATION ADMINISTRATION-SCIMO, THROUGH THE FUND 501 CY2020 INTENDS TO APPLY THE SUM OF  FOUR MILLION ONE HUNDRED EIGHT THOUSAND SIX HUNDRED THIRTY PESOS ONLY (₱ 4,108,630.00) BEING THE APPROVED BUDGET FOR THE CONTRACT (ABC) TO PAYMENTS UNDE</t>
  </si>
  <si>
    <t xml:space="preserve"> I N V I T A T I O N   T O   B I D 2020 - 083 June 1, 2020 1.	The Provincial Government of Tarlac through the Trust Fund intends to apply the sum of Two Million One Hundred Fifteen Thousand Two Hundred Sixteen Pesos Only (PhP 2,115,216.00) being the Approv</t>
  </si>
  <si>
    <t xml:space="preserve"> Republic of the Philippines Province of South Cotabato City of Koronadal BIDS AND AWARDS COMMITTEE Invitation to Bid for the Completion of Provincial Road Gap @ Upper Ladol, Brgy. Assumption, City of Koronadal 1.	The City Government of Koronadal, through </t>
  </si>
  <si>
    <t xml:space="preserve"> Contract ID			:	20EG0087					 Contract Name  			:	 Repair /Maintenance of DPWH Building, Administrative Building					 Contract Location			:	Brgy. Sta. Monica, Puerto Princesa City					 Brief Description			:	Repair/Maintenance of Public Buildings					 Appr</t>
  </si>
  <si>
    <t xml:space="preserve"> Contract ID			:	20EG0088					 Contract Name  			:	CP-01- Repair/Maintenance of DPWH Building DPWH Resthouse Sitio Tacduan,					 				Brgy. Luzviminda and  Repair/Maintenance of DPWH Building DPWH Resthouse ,					 				Brgy. San Rafael 					 Contract Locatio</t>
  </si>
  <si>
    <t xml:space="preserve"> INVITATION TO BID RE-BID Purchase and Delivery of One (1) Unit Emergency Rescue Vehicle 4 x 4 Manual ITB 2020-05-031(GOODS) 1. 	The Municipality of Tuba, through the Budget for the contract approved by the Sangguniang Bayan for CY 2020 intends to apply th</t>
  </si>
  <si>
    <t xml:space="preserve"> Republic of the Philippines Province of South Cotabato City of Koronadal BIDS AND AWARDS COMMITTEE INVITATION TO BID FOR THE  Procurement for the Supply and Delivery of Materials for the Graveling of Road @ China Town (Satellite Market), Brgy. GPS (Lot 1)</t>
  </si>
  <si>
    <t xml:space="preserve"> Contract ID			:	20EG0089					 Contract Name  			:	CP-02- Repair/Maintenance of PCOO Building DWMR Radio Pilipinas (Gov't.					 				Radyo Station), Brgy. Sta. Monica, Repair/Maintenance of DA Building PRES- Integrated Offices,					 				Brgy. Tiniguiban and</t>
  </si>
  <si>
    <t xml:space="preserve"> Contract ID			:	20EG0090					 Contract Name  			:	Construction of Multi-Purpose Building (Puerto Princesa Elementary School)					 Contract Location			:	Barangay Kalipay, Puerto Princesa City					 Brief Description			:	Construction of Multi-Purpose Buildin</t>
  </si>
  <si>
    <t xml:space="preserve"> I N V I T A T I O N   T O   B I D 2020 - 085 June 1, 2020 1.	The Provincial Government of Tarlac through the TPH - Drugs and Medicines Expenses intends to apply the sum of One Million Five Hundred Fifty Thousand One Hundred Forty-Five Pesos Only (PhP 1,55</t>
  </si>
  <si>
    <t xml:space="preserve"> Contract ID			:	20EG0086					 Contract Name  			:	Repair/Maintenance of DPWH Building, AES - Utility Building,					 Contract Location			:	Brgy. Sta. Monica, Puerto Princesa City					 Brief Description			:	Repair/Maintenance of Public Buildings					 Approv</t>
  </si>
  <si>
    <t xml:space="preserve"> THE NATIONAL IRRIGATION ADMINISTRATION-SCIMO, THROUGH THE FUND 501 CY2020 INTENDS TO APPLY THE SUM OF  ONE MILLION ONE HUNDRED SIXTY THOUSAND SEVEN HUNDRED THIRTY PESOS ONLY (₱1,160,730.00) BEING THE APPROVED BUDGET FOR THE CONTRACT (ABC) TO PAYMENTS UNDE</t>
  </si>
  <si>
    <t xml:space="preserve"> I N V I T A T I O N   T O   B I D 2020 - 086 June 1, 2020 1.	The Provincial Government of Tarlac through the PEPO - Fuel, Oil and Lubricants Expenses intends to apply the sum of Two Million Twelve Thousand Six Hundred Fifty-Three Pesos and 68/100 (PhP 2,0</t>
  </si>
  <si>
    <t xml:space="preserve"> I N V I T A T I O N   T O   B I D 2020 - 088 June 1, 2020 1.	The Provincial Government of Tarlac, intends to apply the sum tabulated herein being the Approved Budget for the Contract (ABC) to payments under the contract of Procurement of Drugs and Medicin</t>
  </si>
  <si>
    <t xml:space="preserve"> I N V I T A T I O N   T O   B I D 2020 - 087 June 1, 2020 1.	The Provincial Government of Tarlac through the PEPO - Repair and Maintenance - Machinery and Equipment intends to apply the sum of One Million Seven Hundred Seventy-Six Thousand Nine Hundred Si</t>
  </si>
  <si>
    <t xml:space="preserve"> Acquisition of One (1) unit dump truck (reconditioned) at Samal, Bataan 6-wheeler Japan Fully Reconditioned Truck with new battery 2SM, new upholstery Brand New Tires with brand new spare tire Technical Specifications:  Engine Displacement: Diesel, 6 cyli</t>
  </si>
  <si>
    <t xml:space="preserve"> The MUNICIPALITY OF BANI, through its Bids and Awards Committee (BAC), invites suppliers/contractors to bid for the following: Name of Project:Construction of Slaughterhouse Phase I 	 Project Location	:Arwas Bani, Pangasinan Project Description :Construct</t>
  </si>
  <si>
    <t xml:space="preserve"> Acquisition of Two (2) units mini dump truck (reconditioned) at Samal, Bataan Elf Minidump High Side 6-wheeler Japan Fully Reconditioned Truck with new battery 2SM, new upholstery Brand New Tires with brand new spare tire Technical Specifications:  Engine</t>
  </si>
  <si>
    <t xml:space="preserve"> INVITATION TO BID  IB NO. 2020 – 051/DFD SUPPLY AND DELIVERY OF  VARIOUS INFORMATION TECHNOLOGY  SUPPLIES  1.	The Department of Agriculture – Regional Field Office 10, through the Various Program Funds CY 2020 intends to apply the sum of Php1,032,650.00 b</t>
  </si>
  <si>
    <t xml:space="preserve"> Concreting of 125 mtrs. Farm to Market Road</t>
  </si>
  <si>
    <t xml:space="preserve"> Construction of Housing Units at Sta. Catalina Homes, Samal, Bataan Construction of Thirty Housing Units Item No.	Description			Qty	Unit  I	Earthworks			30	 units  II	Formworks &amp; Scaffoldings			30	 units  III	Gravel Fill			30	 units  IV	Steel Works			30	 </t>
  </si>
  <si>
    <t xml:space="preserve"> I N V I T A T I O N   T O   B I D 2020 - 090 June 1, 2020 1.	The Provincial Government of Tarlac through the Non Office - Other Supplies and Materials Expenses; PGO - Capital Outlay - Office Equipment; PGO - Capital Outlay - Furniture and Fixtures; PGO - </t>
  </si>
  <si>
    <t xml:space="preserve"> Construction of MRF Annex Building at Samal Ecological Park at San Juan, Samal, Bataan Construction of MRF Annex Building with floor area of 142 sq.m. Item No.	Description			Qty	Unit  I	Earthworks			89	 cu.m.  II	Concrete &amp; Masonry Works			1	 lot  III	For</t>
  </si>
  <si>
    <t xml:space="preserve"> Acquisition of Two (2) Units 12 Seater Van (brand new) at Samal, Bataan Two (2) Units 12 Seater Van (brand new) with minimum specifications: Seating Capacity: 12 Engine Type: 4 Cylinder      in-line Type DOHC, 16 Valve Engine Displacement: Diesel, 2,755cc</t>
  </si>
  <si>
    <t xml:space="preserve"> 8 sets 11.00x20 Tires</t>
  </si>
  <si>
    <t xml:space="preserve"> I N V I T A T I O N   T O   B I D 2020 - 089 June 1, 2020 1.	The Provincial Government of Tarlac through the Trust Fund intends to apply the sum of Two Million Nine Hundred Twenty-Three Thousand Eight Hundred Seventy-Two Pesos Only (PhP 2,923,872.00) bein</t>
  </si>
  <si>
    <t xml:space="preserve"> Various oil and lubricants.</t>
  </si>
  <si>
    <t xml:space="preserve"> Acquisition of One (1) unit garbage compactor (reconditioned) at Samal Bataan 6-wheeler Japan Fully Reconditioned Truck with new battery 2SM, new upholstery with car stereo Brand New Tires 6 wheeler  with Brand New Spare Tire front &amp; rear Accessories: jac</t>
  </si>
  <si>
    <t xml:space="preserve"> INVITATION TO BID: PROCUREMENT OF PROVISION OF SECURITY &amp; PROTECTION SERVICES FOR BFAR RFO I FOR CY 2020   1. The Bureau of Fisheries &amp; Aquatic Resources Regional Fisheries Office No. I (BFAR RFO I), through the General Appropriations Act / BFAR RFO I Reg</t>
  </si>
  <si>
    <t xml:space="preserve"> Improvement of Existing Evac. Center.</t>
  </si>
  <si>
    <t xml:space="preserve"> Republic of the Philippines                                                           PROVINCE OF ISABELA                                                          Municipality of Dinapigue                                      INVITATION TO APPLY FOR ELIGI</t>
  </si>
  <si>
    <t xml:space="preserve"> Various construction materials</t>
  </si>
  <si>
    <t xml:space="preserve"> IINVITATION TO BID SUPPLY AND DELIVERY OF TONERS, IMAGING AND PHOTOCONDUCTOR KIT FOR MULTIFUNCTION (COPIER, SCANNER, PRINTER) MACHINE AND LASER PRINTERS OF BIR-RR NO. 9B LAQUEMAR, SAN PABLO CITY 1. The Bureau of Internal Revenue (BIR), Revenue Region No. </t>
  </si>
  <si>
    <t xml:space="preserve"> INVITATION TO BID FOR THE DELIVERY OF MATERIALS FOR SEA URCHIN CAGE    1. The Bureau of Fisheries and Aquatic Resources-Regional Fisheries Office I (BFAR RFO I), through the General Appropriations Act of 2020 (GAA 2020) intends to apply the sum of Two Mil</t>
  </si>
  <si>
    <t xml:space="preserve"> Republic of the Philippines                                                            PROVINCE OF ISABELA                                                           Municipality of Dinapigue                                         INVITATION TO APPLY FOR </t>
  </si>
  <si>
    <t xml:space="preserve"> Republic of the Philippines MUNICIPALITY OF MULANAY Province of Quezon INVITATION TO BID FOR  Supply and Delivery of Construction Materials and Supplies for the Improvement of Mulanay Town Plaza Concrete Pavement and Installation of Movable Stage Plaza 1.</t>
  </si>
  <si>
    <t xml:space="preserve"> 1.	The Department of Agriculture (DA) – Central Office, through the GAA CY2019 Continuing Appropriations intends to apply the sum of Three Million Four Hundred Thousand Pesos (PhP2,397,000.00) being the Approved Budget for the Contract (ABC) to payments u</t>
  </si>
  <si>
    <t xml:space="preserve"> 1.	The Department of Agriculture (DA) – Central Office, through the GAA CY2019 Continuing Appropriations intends to apply the sum of Five Million One Hundred Seventy-Five Thousand Seven Hundred Sixty Pesos (PhP5,175,760.00) being the Approved Budget for t</t>
  </si>
  <si>
    <t xml:space="preserve"> The MUNICIPALITY OF BANI, through its Bids and Awards Committee (BAC), invites suppliers/contractors to bid for the following: Name of Project	:Procurement of Solid Waste Management Equipment Project Location	:Bani, Pangasinan	 Project Description :	Compo</t>
  </si>
  <si>
    <t xml:space="preserve"> Republic of the Philippines Province of Samar Catbalogan City INVITATION TO BID FOR GOODS 2020-014 SUPPLY AND DELIVERY OF VARIOUS MEDICINES 1.	The City Government of Catbalogan, through the CY 2020 City Health Office fund intends to apply the sum of Two M</t>
  </si>
  <si>
    <t xml:space="preserve"> Section I. Invitation to Bid Republic of the Philippines PROVINCE OF ZAMBOANGA SIBUGAY Capitol Building, Ipil Heights, Ipil, Zamboanga Sibugay INVITATION TO BID (REBID) FOR  2 Units Utility Vehicle (Brandnew) 1.	The Province of Zamboanga Sibugay, through </t>
  </si>
  <si>
    <t xml:space="preserve"> INVITATION TO BID The DPWH – Bataan 2nd District Engineering Office, through its Bids and Awards Committee (BAC), invites contractors to submit bids for the following Contract: 		 Contract ID	:	20CB0064 Contract Name	:	Construction/Rehabilitation of Water</t>
  </si>
  <si>
    <t xml:space="preserve"> REPUBLIC OF THE PHILIPPINES Province Samar CATBALOGAN CITY -o0o- INVITATION FOR NEGOTIATED PROCUREMENT (Two Failed Bidding) SUPPLY AND DELIVERY OF 4,719 pcs. TUMBLER 500ML. POLYPROPYLENE PLASTIC WITH HANDLE &amp; BRANDED The CITY GOVERNMENT OF CATBALOGAN, int</t>
  </si>
  <si>
    <t xml:space="preserve"> Section I. Invitation to Bid Republic of the Philippines PROVINCE OF ZAMBOANGA SIBUGAY Capitol Building, Ipil Heights, Ipil, Zamboanga Sibugay INVITATION TO BID FOR  Industrial Ceiling Fan with Electrical Accessories and Installation 1.	The Province of Za</t>
  </si>
  <si>
    <t xml:space="preserve"> 1.	The Department of Agriculture (DA) – Central Office, through the GAA CY2019 Continuing Appropriations intends to apply the sum of Six Million Five Hundred Thirteen Thousand Pesos (PhP6,513,000.00) being the Approved Budget for the Contract (ABC) to pay</t>
  </si>
  <si>
    <t xml:space="preserve"> INVITATION TO BID The DPWH – Bataan 2nd District Engineering Office, through its Bids and Awards Committee (BAC), invites contractors to submit bids for the following Contract: Contract ID	:	20CB0063 Contract Name	:	Repair/Maintenance of Paniquian River C</t>
  </si>
  <si>
    <t xml:space="preserve"> 1.	The Department of Agriculture (DA) – Central Office, through the GAA CY2019 Continuing Appropriations intends to apply the sum of Four Million Two Hundred Thirty Thousand Pesos (PhP4,230,000.00) being the Approved Budget for the Contract (ABC) to payme</t>
  </si>
  <si>
    <t xml:space="preserve"> Republic of the Philippines Province of Northern Samar MUNICIPALITY OF LOPE DE VEGA Lope De Vega, Northern Samar Invitation to Bid REHABILITATION OF WATER SYSTEM Barangay Bonifacio, Lope De Vega, Northern Samar  The Local Government Unit – Lope De Vega, N</t>
  </si>
  <si>
    <t xml:space="preserve"> Republic of the Philippines Province of Northern Samar MUNICIPALITY OF LOPE DE VEGA Lope De Vega, Northern Samar Invitation to Bid CONSTRUCTION OF 26 UNITS SANITARY LATRINE Barangay Bonifacio, Lope De Vega, Northern Samar  The Local Government Unit – Lope</t>
  </si>
  <si>
    <t xml:space="preserve"> QTY.     UNIT         DESCRIPTION 6          PCS           TIRE (9.0 X 20) for DT 9 18        PCS           TIRE (10.0 X 20) for DT 6 &amp; 8 8          PCS           TIRE (9.0 X 20), 14 PLY for Self-loading Truck 4          PCS           TIRE 14X24, 16 PLY f</t>
  </si>
  <si>
    <t xml:space="preserve"> INVITATION TO BID  SUPPLY AND DELIVERY OF 3-SETS OF SCHOOL  SUPPLIES  FOR  YES TO CHILDREN ASSISTANCE PROGRAM - YCAP GS 2020-05-013 1.	The City Government of Sorsogon     intends to apply the sum of   Six  Million  Four  Hundred Thousand   Pesos (P 6,400,</t>
  </si>
  <si>
    <t xml:space="preserve"> Concreting of Matampay to Taporug Local Access Road</t>
  </si>
  <si>
    <t xml:space="preserve"> Republic of the Philippines Province of Samar MUNICIPALITY OF MARABUT INVITATION to BID for  PROCUREMENT OF ONE (01) UNIT BRAND NEW AMBULANCE 1.	The Municipal Government of Marabut, through its General Fund intends to apply the sum of Two Million Six Hund</t>
  </si>
  <si>
    <t xml:space="preserve"> Bidding will be conducted through open competitive bidding procedures using a non-discretionary “pass/fail” criterion as specified in the Implementing Rules and Regulations (IRR) of Republic Act (RA) 9184, otherwise known as the “Government Procurement Re</t>
  </si>
  <si>
    <t xml:space="preserve"> 4 sets 8.25x16 Tires</t>
  </si>
  <si>
    <t xml:space="preserve"> Republic of the Philippines Province of Northern Samar MUNICIPALITY OF LOPE DE VEGA Lope De Vega, Northern Samar Invitation to Bid CONSTRUCTION OF MRF Barangay Bonifacio, Lope De Vega, Northern Samar  The Local Government Unit – Lope De Vega, Northern Sam</t>
  </si>
  <si>
    <t xml:space="preserve"> INVITATION TO BID  PROCUREMENT OF GENERAL MERCHANDISE ( UMBRELLA,  CAPS, VARIOUS SCHOOL SUPPLIES &amp; SCHOOL BAGS ) FOR PRE-KINDER STUDENTS UNDER ECCD PROGRAM GS 2020-05-014 1.	The City Government of Sorsogon     intends to apply the sum of  One  Million  Ei</t>
  </si>
  <si>
    <t xml:space="preserve"> QTY.      UNIT     DESCRIPTION 1           unit       diagnose and trouble shooting hydraulic system with electronic hydraulic system 1           unit        shifting combination 1            pc.         repair park brake, vibrator and wiring 1           </t>
  </si>
  <si>
    <t xml:space="preserve"> Republic of the Philippines Province of Samar MUNICIPALITY OF MARABUT INVITATION to BID for  PROCUREMENT OF ONE (01) UNIT BRAND NEW MOTOR VEHICLE 1.	The Municipal Government of Marabut, through its General Fund intends to apply the sum of Two Million Five</t>
  </si>
  <si>
    <t xml:space="preserve"> Construction of (1) lot Isolation Facility</t>
  </si>
  <si>
    <t xml:space="preserve"> Invitation to Bid for The Construction of Community Activity Center (Re-Bid) Brgy. Tinindugan, Libertad, Antique The Local Government of Libertad, Antique, through the MDF 2018 intends to apply the sum of Two Million Two Hundred Thousand Pesos (PhP 2,200,</t>
  </si>
  <si>
    <t xml:space="preserve"> Rehab. of 1 lot Evacuation Center</t>
  </si>
  <si>
    <t xml:space="preserve"> Republic of the Philippines Province of Bukidnon MUNICIPALITY OF LIBONA Barangay Kili-og INVITATION TO BID 	The Barangay Government Unit of Kili-og, through its Bids and Awards Committee (BAC) invites Suppliers/manufacturers/distributors/contractors with </t>
  </si>
  <si>
    <t xml:space="preserve"> Republic of the Philippines Province of Romblon 		MUNICIPALITY OF LOOC ~o0o~ INVITATION TO BID FOR  Supply &amp; Delivery of Office &amp; Other Supplies The Municipal Government of Looc, Romblon, through the Annual Budget 2020  intends to apply the sum of Five Hu</t>
  </si>
  <si>
    <t xml:space="preserve"> Republic of the Philippines DEPARTMENT OF PUBLIC WORKS AND HIGHWAYS CAMARINES SUR 2ND DISTRICT ENGINEERING OFFICE Regional Office V Baras, Canaman, Camarines Sur INVITATION TO BID FOR  20FE0122 – LP: LOCAL ROADS AND BRIDGES - LOCAL ROADS - CONSTRUCTION/ R</t>
  </si>
  <si>
    <t xml:space="preserve"> NOTICE TO THE PUBLIC REQUEST FOR QUOTATION AMP SVP NO: 20-06-0334   The University of the Philippines, Diliman (UPD) hereby informs the public that it will be procuring the following item/s through Small Value Procurement:   Qty/Unit	Item Description	Appr</t>
  </si>
  <si>
    <t xml:space="preserve"> Republic of the Philippines DEPARTMENT OF PUBLIC WORKS AND HIGHWAYS CAMARINES SUR 2ND DISTRICT ENGINEERING OFFICE Regional Office V Baras, Canaman, Camarines Sur INVITATION TO BID FOR  20FE0123 – LP: LOCAL ROADS AND BRIDGES - LOCAL ROADS - CONSTRUCTION/ R</t>
  </si>
  <si>
    <t xml:space="preserve"> INVITATION TO BID FOR THE  PROCUREMENT OF MODULAR ENZYME IMMUNO ASSAY (EIA) FOR TRANSFUSION TRANSMISSIBLE INFECTIONS (TTIS) WITH MACHINE TIE UP-RE-BID IB NO. 2020-150-A 1.	The Department of Health (DOH), through the General Appropriations Act of 2020 inte</t>
  </si>
  <si>
    <t xml:space="preserve"> NOTICE TO THE PUBLIC  REQUEST FOR QUOTATION AMP SVP NO: 20-06-0307A	              The University of the Philippines, Diliman (UPD) hereby informs the public that it will be procuring the following item/s through Small Value Procurement:   Qty/Unit	Item De</t>
  </si>
  <si>
    <t xml:space="preserve"> NOTICE TO THE PUBLIC  REQUEST FOR QUOTATION AMP SVP NO: 20-06-0335	              The University of the Philippines, System (UPS) hereby informs the public that it will be procuring the following item/s through Small Value Procurement:   Qty/Unit	Item Desc</t>
  </si>
  <si>
    <t xml:space="preserve"> INVITATION TO BID FOR THE  PROCUREMENT OF TRANSFUSION TRANSMISSIBLE INFECTION (TTIS) REAGENTS WITH MACHINE TIE-UP  IB NO. 2020-214 1.	The Department of Health (DOH), through the General Appropriations Act of 2020 intends to apply the sum of Fourteen Milli</t>
  </si>
  <si>
    <t xml:space="preserve"> Description     Approved Budget Contract: Php 1,527,100.00 Delivery of Information Technology Parts &amp; Accessories No.      Quantity         Unit                           Item Description 1             16               units                      Laptop Co</t>
  </si>
  <si>
    <t xml:space="preserve"> Reinforcing  Concrete Pipe Culvert - 41 l.m Drainage Canal - 39 meters</t>
  </si>
  <si>
    <t xml:space="preserve"> Republic of the Philippines Region XII Province of Cotabato BIDS AND AWARDS COMMITTEE Amas, Kidapawan City INVITATION TO BID FOR Supply &amp; Delivery of Tires for Heavy Equipment of Provincial Engineer’s Office, Amas, Kidapawan City. (PB-20-256) 1.	The Provi</t>
  </si>
  <si>
    <t xml:space="preserve"> Republic of the Philippines Region XII Province of Cotabato BIDS AND AWARDS COMMITTEE Amas, Kidapawan City INVITATION TO BID FOR Supply &amp; Delivery of Inorganic Fertilizer for distribution to qualified farmers of District I, Province of Cotabato . (PB-20-2</t>
  </si>
  <si>
    <t xml:space="preserve"> INVITATION TO APPLY FOR ELIGIBILITY AND TO BID The City of San Juan, Metro Manila, through its Bids and Awards Committee (BAC), invites interested parties to apply for an Eligibility and if found eligible to bid for the – Name of Project Security Services</t>
  </si>
  <si>
    <t xml:space="preserve"> Republic of the Philippines Region XII Province of Cotabato BIDS AND AWARDS COMMITTEE Amas, Kidapawan City INVITATION TO BID FOR Supply &amp; Installation of Airconditions for new hospital building of Mlang District Hospital, Mlang, Cotabato. (PB-20-291) 1.	T</t>
  </si>
  <si>
    <t xml:space="preserve"> Squash Seeds - 1500 packs Ampalaya Seeds - 1500 packs Eggplant Seeds - 1500 packs Pole Sitao Seeds - 1500 packs Okra Seeds - 1500 packs Tomato Seeds - 1500 packs Pechay Seeds - 1500 packs Bell Pepper Seeds - 1500 packs Kangkong Seeds - 1500 packs Patola S</t>
  </si>
  <si>
    <t xml:space="preserve"> HDPE Cage Frame: 10m x 10m w/Four Compartments, Mooring System and 6 Net Cage 4m x 4m x 4m for Nursery and Board Stock Development HDPE Circular Cage: Frame 15m Diameter w/ complete Moorings and Concrete Weights (Circular Net Cage 15m Diameter, Plastic Bu</t>
  </si>
  <si>
    <t xml:space="preserve"> INVITATION TO BID IB NO. CW 2020 – 077 Construction of Covered Court at Juan Morente Pilot School, Pinamalayan, Or. Mindoro 1.  The Provincial Government of Oriental Mindoro (PGOM) through the Special Eduction Fund FY 2019 intends to apply the sum of Four</t>
  </si>
  <si>
    <t xml:space="preserve"> INVITATION TO BID IB NO. CW 2020 – 075 Concreting of Road Leading to Provincial Police Office and Cacawan HS at Brgy. Cacawan, Pinamalayan, Or. Mindoro 1.  The Provincial Government of Oriental Mindoro (PGOM) through the 20% Development Fund CA 2019 inten</t>
  </si>
  <si>
    <t xml:space="preserve"> INVITATION TO BID IB NO. CW 2020 – 073 Construction of 24/7 Oriental Mindoro Rescue Center 1.  The Provincial Government of Oriental Mindoro (PGOM) through the 5% Local Disaster Risk Reduction Management Fund for FY 2019 intends to apply the sum of Seven </t>
  </si>
  <si>
    <t xml:space="preserve"> Republic of the Philippines                   Department of Health	       CENTRAL OFFICE BIDS AND AWARDS COMMITTEE  INVITATION TO BID FOR THE  PROCUREMENT OF NUCLEIC ACID AMPLIFICATION TESTING REAGENTS  IB NO. 2020-213 1.	The Department of Health (DOH), t</t>
  </si>
  <si>
    <t xml:space="preserve"> INVITATION TO BID IB NO. CW 2020 – 076 Construction of Evacuation Center at Sta. Maria, Naujan, Oriental Mindoro 1.  The Provincial Government of Oriental Mindoro (PGOM) through the 20% Development Fund CA 2019 intends to apply the sum of One Million Four</t>
  </si>
  <si>
    <t xml:space="preserve"> INVITATION TO BID IB NO. CW 2020 – 072 Concreting of Road Section at Brgy. Tagumpay, Dulangan I, Baco, Oriental Mindoro 1.  The Provincial Government of Oriental Mindoro (PGOM) through the 20% Development Fund CA 2019 intends to apply the sum of Five Mill</t>
  </si>
  <si>
    <t xml:space="preserve"> Project Reference No.: 7010540 Solicitation No.:  ITB-112-2020 Contract No  INVITATION TO BID FOR THE SUPPLY AND DELIVERY OF 3,685 BOTTLES IONIC COPPER CONCENTRATE FUNGICIDE/BACTERICIDE FOR DISTRIBUTION TO CALABARZON FARMERS UNDER RICE PROGRAM CY 2020    </t>
  </si>
  <si>
    <t xml:space="preserve"> INVITATION TO BID IB NO. CW 2020 – 074   Rechanneling and Desilting of Miaje Creek at Brgy. Ipil, Bongabong, Oriental Mindoro 1.  The Provincial Government of Oriental Mindoro (PGOM) through the 20% Development Fund CA 2018 intends to apply the sum of Two</t>
  </si>
  <si>
    <t xml:space="preserve"> Project Reference No.: 7009986 Solicitation No.:  ITB-111-2020 Contract No  INVITATION TO BID FOR THE SUPPLY AND DELIVERY OF 2,877 BAGS VERMICAST FOR DISTRIBUTION TO  CALABARZON FARMERS UNDER RICE PROGRAM CY 2020   1.	The Department of Agriculture Regiona</t>
  </si>
  <si>
    <t xml:space="preserve"> INVITATION TO APPLY FOR ELIGIBILITY AND TO BID The City of San Juan, Metro Manila, through its Bids and Awards Committee (BAC), invites interested parties to apply for an Eligibility and if found eligible to bid for the – Name of Project Laundry Services </t>
  </si>
  <si>
    <t xml:space="preserve"> INVITATION TO BID IB NO. CW 2020 – 080 Installation of Box Culvert at the Boundary of Barangay Balingayan and Malamig, Calapan City, Or. Mindoro 1.  The Provincial Government of Oriental Mindoro (PGOM) through the 20% Development Fund CA 2019 intends to a</t>
  </si>
  <si>
    <t xml:space="preserve"> INVITATION TO APPLY FOR ELIGIBILITY AND TO BID The City of San Juan, Metro Manila, through its Bids and Awards Committee (BAC), invites interested parties to apply for an Eligibility and if found eligible to bid for the – Name of Project Janitorial Servic</t>
  </si>
  <si>
    <t xml:space="preserve"> INVITATION TO BID IB NO. CW 2020 – 079 Repair/Rehabilitation of Drainage Canal at Casimiro St. Sitio Centro, Brgy. Poblacion II, Victoria, Or. Mindoro 1.  The Provincial Government of Oriental Mindoro (PGOM) through the 20% Development Fund CA 2019 intend</t>
  </si>
  <si>
    <t xml:space="preserve"> INVITATION TO BID IB NO. CW 2020 – 078 Construction of Multi-Purpose Hall at San Mariano, Roxas, Oriental Mindoro 1.  The Provincial Government of Oriental Mindoro (PGOM) through the 20% Development Fund CA 2019 intends to apply the sum of One Million Fou</t>
  </si>
  <si>
    <t xml:space="preserve"> The Local Government Unit of Quinapondan, Eastern Samar through the Department of Agriculture under the YRRP funds has received an amount toward the cost of the Supply and Delivery of Agricultural Equipment's and facilities - Cassava Dryer (Support Servic</t>
  </si>
  <si>
    <t xml:space="preserve"> INVITATION TO BID IB NO. CW 2020 – 010-A   Repair/Rehabilitation of Bridge Approach at Brgy. Putican Cabulo, Baco, Oriental Mindoro 1.  The Provincial Government of Oriental Mindoro (PGOM) through the 20% DF CA 2019 intends to apply the sum of Nine Millio</t>
  </si>
  <si>
    <t xml:space="preserve"> INVITATION TO APPLY FOR ELIGIBILITY AND TO BID The City of San Juan, Metro Manila, through its Bids and Awards Committee (BAC), invites interested parties to apply for an Eligibility and if found eligible to bid for the – Name of Project Garbage Collectio</t>
  </si>
  <si>
    <t xml:space="preserve"> Invitation to Bid for Foreign-Assisted Projects INVITATION TO BID FOR SUPPLY, DELIVERY AND INSTALLATION OF INREMP-SSF NO. 09-UPGRADING OF COFFEE PROCESSING FACILITY FOR BMMPC(2020-05-009) 1.	The Government of the Philippines (GOP) has received a Loan from</t>
  </si>
  <si>
    <t xml:space="preserve"> Concrete Pavement</t>
  </si>
  <si>
    <t xml:space="preserve"> INVITATION TO BID IB NO. CW 2020 – 042-A Construction of Multi-Purpose Building (2nd Floor) at Dao, Naujan, Or. Mindoro 1.  The Provincial Government of Oriental Mindoro (PGOM) through the 20% Development Fund CA 2019 intends to apply the sum of One Milli</t>
  </si>
  <si>
    <t xml:space="preserve"> INVITATION TO BID IB NO. CW 2020 – 041-A Construction of Multi-Purpose Building (2nd Floor) at San Pedro, Naujan, Or. Mindoro 1.  The Provincial Government of Oriental Mindoro (PGOM) through the 20% Development Fund CA 2019 intends to apply the sum of One</t>
  </si>
  <si>
    <t xml:space="preserve"> Invitation to Bid for Foreign-Assisted Projects INVITATION TO BID FOR SUPPLY, DELIVERY AND INSTALLATION OF INREMP-SSF NO. 08-INTEGRATED ABACA STRIPPING MACHINE AND HANDLOOM WEAVING FOR BPK-GUIHEAN(2020-05-008) 1.	The Government of the Philippines (GOP) ha</t>
  </si>
  <si>
    <t xml:space="preserve"> "Ceramic Floor Tiles -  Inkjet printing • Grafito yellow • 40 x 40cm" Cement Wash Sand Tile Grout - (light brown) or any color that looks the same as the tiles Industrial Diamond Cutting Blade 100mm Venyl Tiles 6"x36" Hardwood s4s 2"x2"x10feet Lumber (Gem</t>
  </si>
  <si>
    <t xml:space="preserve"> Construction of 544.44 lm road</t>
  </si>
  <si>
    <t xml:space="preserve"> Construction of 619.70 l.m. river control.</t>
  </si>
  <si>
    <t xml:space="preserve"> Bamboo Stumps (go-od)  Stone boulders  Portland Cement Type 1 River Sand Crushed Gravel #1" Deformed Bar 8mm dia. X 6.00m Deformed Bar 10mm dia. X 6.00m G.I. Tie Wire # 16 CW Nails #2 CW Nails #2 1/2 CW Nails #3 CW Nails #4 CW Nails #5 Concrete Nails #2 C</t>
  </si>
  <si>
    <t xml:space="preserve"> Concrete  Pavement</t>
  </si>
  <si>
    <t xml:space="preserve"> Completion of Building</t>
  </si>
  <si>
    <t xml:space="preserve"> Province of Cagayan BARANGAY UGAC NORTE Tuguegarao City INVITATION TO BID NAME OF PROJECT:  REPAIR AND MAINTENANCE OF INFRASTRUCTURE ASSETS (DRAINAGE STRUCTURE)  along Bassig and Iringan Streets REFERENCE NO.: PB-INF-20-001 DATE OF POSTING: May 31. 2020 1</t>
  </si>
  <si>
    <t xml:space="preserve"> Netbook GM-81J100BKPH Cel-N4000, 4gb,500gb,11.6,W10H9,BLACK Laptop   i5,4GB,512GB M.2, NVD1505, 3gb, 15.6 W10H,OFC19HS Desktop Computer Set Processor: i5 8th gen RAM: 4 GB, DDR4 or higher  HDD: 1TB or higher Optical Drive : CD/DVDR Monitor: 19in VGA/DVI S</t>
  </si>
  <si>
    <t xml:space="preserve"> 1 HP Window type Air- conditioning unit, inverter type Window type Air- condition 2.5HP, 220 volts, cooling capacity: 22,000 kj/hr Supply and Install of Air-  conditioning unit 3TR, 240V, 1 phase, 60 Hz Floor Standing Inverter type</t>
  </si>
  <si>
    <t xml:space="preserve"> 4 channel Digital Video Recorder (DVR, Cloud Application) and Colored Camera (bullet camera 2 megapixel) Siamese Cable BMC Plug DC plug 21 Flat Television 18’ 220v AC input Power Supply 4 channel 12vDC output, 220V input Small Clip for Siamese Cable/Cable</t>
  </si>
  <si>
    <t xml:space="preserve"> Office Table Color: Black Material: Wood Dimension: 3 ½ x 2 ½ ft.                    with 4 drawers Wooden Filing Cabinet Height 6ft x Width 3 ft, 4- layers, 2 columns, with glass sliding door on the first 3 layers and wooden door 4th layer Plastic Armles</t>
  </si>
  <si>
    <t xml:space="preserve"> Invitation to Bid for the Refurbishment/Upgrading of Old and Existing Buildings (FM &amp; Water Refilling Station) 1.	The DEBESMSCAT through the GAA 2020 - CO  intends to apply the sum of Three Million Four Hundred Thirty Thousand Seven Hundred Five Pesos and</t>
  </si>
  <si>
    <t xml:space="preserve"> LOT 1 4 channel CCTV camera cloud application w/ 2 mega pixel camera bullet type Fire alarm control panel optimum 4 zones Smoke detector device, 12VDC Heat detector device 12VDC Alarm bell 8”, 22V Fire alarm switches (signage break the glass in case of em</t>
  </si>
  <si>
    <t xml:space="preserve"> Republic of the Philippines Province of Northern Samar MUNICIPALITY OF PAMBUJAN BIDS AND AWARDS COMMITTEE INVITATION TO BID  FOR THE SUPPLY AND DELIVERY OF OFFICE EQUIPMENT  The Local Government Unit of Pambujan, Province of Northern Samar through the Cap</t>
  </si>
  <si>
    <t xml:space="preserve"> Invitation to Bid for the Refurbishment/Upgrading of Old and Existing Buildings (Hostel to be Converted to Clinic Infirmary) 1.	The DEBESMSCAT through the GAA 2020 - CO  intends to apply the sum of Nine Million Five Hundred Thirty-Seven Thousand Fifty-Sev</t>
  </si>
  <si>
    <t xml:space="preserve"> Republic of the Philippines Province of Northern Samar MUNICIPALITY OF PAMBUJAN BIDS AND AWARDS COMMITTEE INVITATION TO BID  FOR THE  SUPPLY AND DELIVERY OF VARIOUS MATERIALS NEEDED FOR  THE REHABILITATION/IMPROVEMENT OF PUBLIC MARKET  The Local Governmen</t>
  </si>
  <si>
    <t xml:space="preserve"> Republic of the Philippines Province of Northern Samar MUNICIPALITY OF PAMBUJAN BIDS AND AWARDS COMMITTEE INVITATION TO BID  FOR THE  SUPPLY AND DELIVERY OF VARIOUS MATERIALS NEEDED FOR  THE IMPROVEMENT OF SB OFFICE  The Local Government Unit of Pambujan,</t>
  </si>
  <si>
    <t xml:space="preserve"> Republic of the Philippines Province of Northern Samar MUNICIPALITY OF PAMBUJAN BIDS AND AWARDS COMMITTEE INVITATION TO BID  FOR THE  SUPPLY AND DELIVERY OF VARIOUS MATERIALS NEEDED FOR  THE CONSTRUCTION OF RIVER LANDING G.I. STAIRS WITH RAILINGS   The Lo</t>
  </si>
  <si>
    <t xml:space="preserve"> I. Procurement ID/Contract ID		:  20 IK 0092	     Contract Name				:  Construction of  13-units Rain Water Collection System (RWCS),      Contract Location			:  on various location within the Municipalities of Samar 					   (Calapi NHS, Motiong; Old San A</t>
  </si>
  <si>
    <t xml:space="preserve"> Republic of the Philippines Province of Northern Samar MUNICIPALITY OF PAMBUJAN BIDS AND AWARDS COMMITTEE INVITATION TO BID  FOR THE  PROCUREMENT OF ONE UNIT BRAND NEW 4.4C MINI DUMP TRUCK NOT AVAILABLE IN DBM-PS The Local Government Unit of Pambujan, Pro</t>
  </si>
  <si>
    <t xml:space="preserve"> Republic of the Philippines Province of Northern Samar MUNICIPALITY OF PAMBUJAN BIDS AND AWARDS COMMITTEE INVITATION TO BID  FOR THE  SUPPLY AND DELIVERY OF FUEL FOR GOVERNMENT VEHICLES  The Local Government Unit of Pambujan, Province of Northern Samar th</t>
  </si>
  <si>
    <t xml:space="preserve"> I.        CONCRETE WORKS                        -     1.00    L.S. II.       FORMS                                           -     1.00    L.S. III.     ROOFING WORKS                           -   42.00    SQ.M.</t>
  </si>
  <si>
    <t xml:space="preserve"> The SANGGUNIANG BARANGAY OF BARANGAY PANTAY BATA, TANAUAN CITY, BATANGAS, through the Barangay Operating Budget 2020 intends to apply the sum of Fifty Thousand  Pesos Only (Php 50,000.00) being the Approved Budget of the Contract (ABC) to payment under th</t>
  </si>
  <si>
    <t xml:space="preserve"> Republic of the Philippines Province of Northern Samar MUNICIPALITY OF PAMBUJAN BIDS AND AWARDS COMMITTEE INVITATION TO BID  FOR THE  SUPPLY AND DELIVERY OF TIRES AND SPARE PARTS NEEDED FOR THE MAINTENANCE OF 4WD TRACTOR OF MUN. AGRICULTURE OFFICE The Loc</t>
  </si>
  <si>
    <t xml:space="preserve"> Supply and Delivery of Forest Trees Seedlings under Municipal Greening Program of MENRO - Laak, Davao De Oro with an ABC of Php. 450,000.00.</t>
  </si>
  <si>
    <t xml:space="preserve"> REQUEST FOR PROPOSAL</t>
  </si>
  <si>
    <t xml:space="preserve"> Requested by: J T. Ditona/CED - Motorpool Division</t>
  </si>
  <si>
    <t xml:space="preserve"> SUPPLY AND DELIVERY OF WHEEL CHAIR ADULT FOR USE BY THE MUNICIPAL SOCIAL WELFARE AND DEVELOPMENT OFFICE LGU JAVIER, LEYTE ( For PWD's )	 	 TERMS AND CONDITIONS : 1.  Deliver with corresponding specification 2.  Items must be deliver with in 15 calendar da</t>
  </si>
  <si>
    <t xml:space="preserve"> I.     PEDESTAL                              -      1.53      CU.M. II.    STAND                                   -      1.00       L.S. III.   TANK MOTOR AND FITTING    -      6.00   UNITS</t>
  </si>
  <si>
    <t xml:space="preserve"> Description  Invitation to apply for eligibility and to Bid Republic of the Philippines  City of Cagayan de Oro  Barangay Kauswagan  Opening of Bids: June 16, 2020 @2pm Purchase Request No. 2020-02-018 ABC- Php 800,000.00  Name of Contract : Civil Works f</t>
  </si>
  <si>
    <t xml:space="preserve"> Contract Labor and Materials for the Expansion of Potable Water System Level III - Brgy. Poblacion (Prk. 13), Laak, Davao De Oro with an ABC of 921,055.00.</t>
  </si>
  <si>
    <t xml:space="preserve"> INVITATION TO BID Additional Disaster and Recovery (DR) Site Infrastructure for Non-SAP Systems 1.	The Government Service Insurance System (GSIS), through the GSIS Corporate Operating Budget for CY 2019, intends to apply the sum of Twenty Six Million Four</t>
  </si>
  <si>
    <t xml:space="preserve"> Republic of the Philippines DEPARTMENT OF PUBLIC WORKS AND HIGHWAYS CAMARINES SUR 5TH  DISTRICT ENGINEERING OFFICE REGIONAL OFFICE V Sta. Teresita, Baao, Camarines Sur  INVITATION TO BID The Department of Public Works and Highways (DPWH) Camarines Sur 5th</t>
  </si>
  <si>
    <t xml:space="preserve"> Contract Labor and Materials for the Expansion of Potable Water System at Prk. 6, 7, 8 &amp; 9, Poblacion Laak, Davao De Oro with an ABC of Php. 2,084,918.90.</t>
  </si>
  <si>
    <t xml:space="preserve"> Contract Labor and Materials for the Expansion of Potable Water System Level III at Prk. 4 &amp; 5, Poblacion Laak, Davao De Oro with an ABC of Php. 863,434.90.</t>
  </si>
  <si>
    <t xml:space="preserve"> Republic of the Philippines Department of Education Division of LEYTE Government Center, Candahug, Palo, Leyte INVITATION TO BID CY 2020 QUICK RESPONSE FUND_Lot 13 1. The Department of Education (DepEd) Division of Leyte, through the CY 2020 QUICK RESPONS</t>
  </si>
  <si>
    <t xml:space="preserve"> Republic of the Philippines Department of Education Division of LEYTE Government Center, Candahug, Palo, Leyte INVITATION TO BID CY 2020 QUICK RESPONSE FUND_Lot 4 1. The Department of Education (DepEd) Division of Leyte, through the CY 2020 QUICK RESPONSE</t>
  </si>
  <si>
    <t xml:space="preserve"> Republic of the Philippines Department of Education Division of LEYTE Government Center, Candahug, Palo, Leyte INVITATION TO BID CY 2020 QUICK RESPONSE FUND_Lot 12 1. The Department of Education (DepEd) Division of Leyte, through the CY 2020 QUICK RESPONS</t>
  </si>
  <si>
    <t xml:space="preserve"> Republic of the Philippines Department of Education Division of LEYTE Government Center, Candahug, Palo, Leyte INVITATION TO BID CY 2020 QUICK RESPONSE FUND_Lot 11 1. The Department of Education (DepEd) Division of Leyte, through the CY 2020 QUICK RESPONS</t>
  </si>
  <si>
    <t xml:space="preserve"> Republic of the Philippines Department of Education Division of LEYTE Government Center, Candahug, Palo, Leyte INVITATION TO BID CY 2020 QUICK RESPONSE FUND_Lot 10 1. The Department of Education (DepEd) Division of Leyte, through the CY 2020 QUICK RESPONS</t>
  </si>
  <si>
    <t xml:space="preserve"> Republic of the Philippines Department of Education Division of LEYTE Government Center, Candahug, Palo, Leyte INVITATION TO BID CY 2020 QUICK RESPONSE FUND_Lot 3 1. The Department of Education (DepEd) Division of Leyte, through the CY 2020 QUICK RESPONSE</t>
  </si>
  <si>
    <t xml:space="preserve"> Republic of the Philippines Department of Education Division of LEYTE Government Center, Candahug, Palo, Leyte INVITATION TO BID CY 2020 QUICK RESPONSE FUND_Lot 8 1. The Department of Education (DepEd) Division of Leyte, through the CY 2020 QUICK RESPONSE</t>
  </si>
  <si>
    <t xml:space="preserve"> Republic of the Philippines Department of Education Division of LEYTE Government Center, Candahug, Palo, Leyte INVITATION TO BID CY 2020 QUICK RESPONSE FUND_Lot 2 1. The Department of Education (DepEd) Division of Leyte, through the CY 2020 QUICK RESPONSE</t>
  </si>
  <si>
    <t xml:space="preserve"> Republic of the Philippines Department of Education Division of LEYTE Government Center, Candahug, Palo, Leyte INVITATION TO BID CY 2020 QUICK RESPONSE FUND_Lot 14 1. The Department of Education (DepEd) Division of Leyte, through the CY 2020 QUICK RESPONS</t>
  </si>
  <si>
    <t xml:space="preserve"> Republic of the Philippines Department of Education Division of LEYTE Government Center, Candahug, Palo, Leyte INVITATION TO BID CY 2020 QUICK RESPONSE FUND_Lot 1 1. The Department of Education (DepEd) Division of Leyte, through the CY 2020 QUICK RESPONSE</t>
  </si>
  <si>
    <t xml:space="preserve"> Republic of the Philippines Department of Education Division of LEYTE Government Center, Candahug, Palo, Leyte INVITATION TO BID CY 2020 QUICK RESPONSE FUND_Lot 9 1. The Department of Education (DepEd) Division of Leyte, through the CY 2020 QUICK RESPONSE</t>
  </si>
  <si>
    <t xml:space="preserve"> Republic of the Philippines Department of Education Division of LEYTE Government Center, Candahug, Palo, Leyte INVITATION TO BID CY 2020 QUICK RESPONSE FUND_Lot 5 1. The Department of Education (DepEd) Division of Leyte, through the CY 2020 QUICK RESPONSE</t>
  </si>
  <si>
    <t xml:space="preserve"> Republic of the Philippines Department of Education Division of LEYTE Government Center, Candahug, Palo, Leyte INVITATION TO BID CY 2020 QUICK RESPONSE FUND_Lot 7 1. The Department of Education (DepEd) Division of Leyte, through the CY 2020 QUICK RESPONSE</t>
  </si>
  <si>
    <t xml:space="preserve"> Contract Labor and Materials for the Expansion of Potable Water System Level III at Brgy. Concepcion, Laak, Davao De Oro with an ABC of Php. 998,939.65.</t>
  </si>
  <si>
    <t xml:space="preserve"> Republic of the Philippines Department of Education Division of LEYTE Government Center, Candahug, Palo, Leyte INVITATION TO BID CY 2020 QUICK RESPONSE FUND_Lot 6 1. The Department of Education (DepEd) Division of Leyte, through the CY 2020 QUICK RESPONSE</t>
  </si>
  <si>
    <t xml:space="preserve"> Contract Labor and Materials for the Expansion of Potable Water System Level III at Prk. 17 &amp; 18, Poblacion Laak, Davao De Oro with an ABC of Php. 920,783.00.</t>
  </si>
  <si>
    <t xml:space="preserve"> Contract Labor and Materials for the Expansion of Potable Water System Level III at Brgy. El Katipunan, Laak, Davao De Oro with an ABC of Php. 908,437.75.</t>
  </si>
  <si>
    <t xml:space="preserve"> REPUBLIC OF THE PHILIPPINES PROVINCE OF RIZAL MUNICIPALITY OF ANGONO Invitation to Bid for  DREDGING/DESILTATION OF ANGONO RIVER (SN-SV) The Municipality of Angono, through the 20% Development Fund intends to apply the sum of One million, nine hundred for</t>
  </si>
  <si>
    <t xml:space="preserve"> INVITATION TO BID FOR CIVIL WORKS May 28, 2020 1.	The Department of Public Works and Highways (DPWH), Bukidnon Second District Engineering Office, Pinamaloy, Don Carlos, Bukidnon through its Bids and Awards Committee BAC, invites contractors to submit bid</t>
  </si>
  <si>
    <t xml:space="preserve"> 6 "Unit(s)" "8CH Embedded 4K (8MP) Network Video Recorder -" "Third-party network camera supported Up to 8 Megapixels resolution recording Support 1-ch HDMI, 1-ch VGA, HMDI at up to 4k (3840 x2160) resolution 8-ch network cameras with 80M incoming bandwid</t>
  </si>
  <si>
    <t xml:space="preserve"> Contract Labor and Materials for the Expansion of Potable water System Level III at Brgy. Kiokmay, Laak, Davao De Oro with an ABC of Php. 900,924.75.</t>
  </si>
  <si>
    <t xml:space="preserve"> Contract Labor and Materials for the Expansion of Potable Water System Level III at Prk. 14, Poblacion Laak, Davao De Oro with an ABC of Php. 902,018.45.</t>
  </si>
  <si>
    <t xml:space="preserve"> Contract Labor and Materials for the Expansion of Potable Water System Level III at Prk. 15 &amp; 16, Poblacion Laak, Davao De Oro with an ABC of Php. 914,730.45.</t>
  </si>
  <si>
    <t xml:space="preserve"> Item No.	Description of Articles	Qty.	Unit I. GENERAL REQUIREMENTS	 1.1	Project Billboard	1	LOT 1.2	Occupational Safety and Health Program	1	LOT 1.3	Temporary Facilities / Mobilization / Demobilization	11	LOT II.	Base Preparation	910	SQ.M III.	Portland Ce</t>
  </si>
  <si>
    <t xml:space="preserve"> INVITATION TO BID  PR NO. 2020-05-58 – PURCHASE OF ICT EQUIPMENT FOR OFFICIAL USE OF DENR-CAR, PENRO MOUNTAIN PROVINCE  The Department of Environment and Natural Resources- PENRO Mountain Province, through its Bids and Awards Committee (BAC) for Goods, in</t>
  </si>
  <si>
    <t xml:space="preserve"> 1.	The Municipal Government of El Nido, through the General Fund intends to apply the sum of One Million Five Hundred Thousand Pesos (₱ 1,500,000.00) being the Approved Budget for the Contract (ABC) to payments for the here under Procurement and Delivery </t>
  </si>
  <si>
    <t xml:space="preserve"> Republic of the Philippines Department of Education Division of LEYTE Government Center, Candahug, Palo, Leyte INVITATION TO BID CY 2020 QUICK RESPONSE FUND_Lot 15 1. The Department of Education (DepEd) Division of Leyte, through the CY 2020 QUICK RESPONS</t>
  </si>
  <si>
    <t xml:space="preserve"> 20GAE0006: Furnishing and Delivery of Materials for the Repair and Maintenance of Capitol Site Road, K0269+(-597) to K0269+065 The Department of Public Works and Highways-La Union First District Engineering Office, through its Bids and Awards Committee (B</t>
  </si>
  <si>
    <t xml:space="preserve"> INVITATION TO BID FOR THE PROCUREMENT AND DELIVERY OF TWO (2) UNITS SEWER TRUCK  1.	The Municipal Government of El Nido, through the Water and Septage Fund Supplemental # 1 2020 intends to apply the sum of Twelve Million Two Hundred Thousand Pesos (₱ 12,2</t>
  </si>
  <si>
    <t xml:space="preserve"> INVITATION TO BID FOR (GOODS &amp; SERVICES) 	     20GJC0187 – 5 units Desktop Computer etc. To be used in Planning and Design Section.                          (PR # 20-05-180) 1. 	      The DPWH, 2nd District Engineering Office,Labason,Zamboanga del Norte, </t>
  </si>
  <si>
    <t xml:space="preserve"> 1 "Unit(s)" "Motor Vehicle - FB Body 4x2 with Aircon (Euro 4) - Brand  New -" "Specification : * Engine Type : 4-cylinder, turbo-intercooler, common rail direct injection system (CDRi) Diesel Engine * Transmission : Getrag 5 speed manual * Brake : Hydraul</t>
  </si>
  <si>
    <t xml:space="preserve"> OSPITAL NG PALAWAN Invitation to Bid for Construction of Various Infrastructure Projects and Building Maintenance (Repainting) – Rebid  1	The OSPITAL NG PALAWAN was allocated with funds under the Trust Fund Capital Outlay intends to apply the sum of Eight</t>
  </si>
  <si>
    <t xml:space="preserve"> PLANETARY GEAR</t>
  </si>
  <si>
    <t xml:space="preserve"> EGGPLANT 100g 20pcs AMPALAYA 100g 20pcs MUSTARD 1kg 10pcs Okra 1kg 20pcs Pechay 1kg 10pcs Squash 100g 34cans Pepper Finger 50g 10pcs Cabbage 25g 31cans Cucumber 25g 50pcs Tomato 25g 50cans</t>
  </si>
  <si>
    <t xml:space="preserve"> 1.	The Municipal Government of El Nido, through the Continuing Appropriation 2017 - 20% DF Resolution # 20-061 intends to apply the sum of One Million Pesos (P 1,000,000.00) being the Approved Budget for the Contract (ABC) to payments for the Construction</t>
  </si>
  <si>
    <t xml:space="preserve"> 1 "Unit(s)" "Motor Vehicles - Pick- Up, 4x2  Specification : Transmission Type : Manual Engine Size : 2.4 L Displacement : 2,393 cc Number of Cylinders : 4 Number of Valves : 16 Transmission Category : 6-speed manual transmission Power Train : 4x2 Max out</t>
  </si>
  <si>
    <t xml:space="preserve"> 1. EXCAVATION 2. STONE MASONRY 3. PCCP</t>
  </si>
  <si>
    <t xml:space="preserve"> Rehabilitation/Expansion of Commercial Building</t>
  </si>
  <si>
    <t xml:space="preserve"> 1. EXCAVATION 2. GROUTED RIPRAP</t>
  </si>
  <si>
    <t xml:space="preserve"> REPUBLIC OF THE PHILIPPINES PROVINCE OF RIZAL MUNICIPALITY OF ANGONO Invitation to Bid for  DREDGING/DESILTATION OF ANGONO RIVER (SI) The Municipality of Angono, through the 20% Development Fund intends to apply the sum of One million, five hundred fifty-</t>
  </si>
  <si>
    <t xml:space="preserve"> Brief Description: Perimeter Fence SPECS: Length: 110.0 mts.             Height: 3.00 mts. The significant times and deadlines of procurement activities are shown below:  Activities	Schedule 1. Receipt of LOIs from Prospective Bidders	May 30-June 06, 2020</t>
  </si>
  <si>
    <t xml:space="preserve"> Issuance of Bid Documents Starts: June 1, 2020 Cost of Bid Document: Php 5,000.00 Venue of Dropping and Opening Bids: BAC Conference Room, Leyte SMED Center, Provincial Capitol Grounds, Tacloban City</t>
  </si>
  <si>
    <t xml:space="preserve"> Republic of the Philippines Department of Education Division of LEYTE Government Center, Candahug, Palo, Leyte INVITATION TO BID CY 2020 QUICK RESPONSE FUND_Lot 16 1. The Department of Education (DepEd) Division of Leyte, through the CY 2020 QUICK RESPONS</t>
  </si>
  <si>
    <t xml:space="preserve"> Section I. Invitation to Bid                                             	Republic of the Philippines                                             Municipality of Kalayaan                                             Province of Palawan 	Bids and Awards Com</t>
  </si>
  <si>
    <t xml:space="preserve"> Republic of the Philippines CITY OF SAN PEDRO Province of Laguna BIDS AND AWARDS COMMITTEE INVITATION TO BID The City Government of San Pedro Laguna through the 2020 CDC Budget Approved by Sangguniang Panglungsod intends to apply the sum of Php 1,500,000.</t>
  </si>
  <si>
    <t xml:space="preserve"> ITEM: 2  UNITS  MINI HYDRAULIC EXCAVATOR WITH DOZER - SECOND HAND   -  FUEL CAPACITY   - 10.6 GAL (40.12L)   -  HYDRAULIC PUMP FLOW CAPACITY   - 25GAL/MIN (95L/MIN)   -  HYDRAULIC SYSTEM FLUID CAPACITY  -  13 GAL (50 L)   -  HYDRAULIC SYSTEM RELIEF VALVE </t>
  </si>
  <si>
    <t xml:space="preserve"> Republic of the Philippines CITY OF SAN PEDRO Province of Laguna BIDS AND AWARDS COMMITTEE INVITATION TO BID The City Government of San Pedro Laguna through the 2020 Budget Approved by Sangguniang Panglungsod intends to apply the sum of Php 4,000,000.00 b</t>
  </si>
  <si>
    <t xml:space="preserve"> Republic of the Philippines CITY OF SAN PEDRO Province of Laguna BIDS AND AWARDS COMMITTEE INVITATION TO BID The City Government of San Pedro Laguna through the 2020 CDC Budget Approved by Sangguniang Panglungsod intends to apply the sum of Php 2,698,167.</t>
  </si>
  <si>
    <t xml:space="preserve"> SULTAN KUDARAT STATE UNIVERSITY 2nd Floor, Bids and Awards Committee Office  ACCESS, E.J.C. Montilla, Tacurong City INVITATION TO BID FOR SUPPLY / DELIVERY OF IN-SITU WATER QUALITY MONITORING CABLES AND WATER QUALITY PARAMETER SENSOR FOR RESEARCH PROJECT </t>
  </si>
  <si>
    <t xml:space="preserve"> Technical Specifications Bidders must state either “Comply” or any equivalent term in the column “Statement of Compliance” against each of the individual parameters of each “Technical Specification”. One (1) unit brand new motor vehicle with an engine dis</t>
  </si>
  <si>
    <t xml:space="preserve"> ITEM: 100 HEADS GOAT UPGRADED FEMALE</t>
  </si>
  <si>
    <t xml:space="preserve"> 1.	The Provincial Government of Davao del Norte, through General Fund Annual Budget CY 2020 hereby invites all interested PhilGEPS registered suppliers to submit bids for the procurement of goods. Bids received in excess of the ABC shall be automatically </t>
  </si>
  <si>
    <t xml:space="preserve"> Republic of the Philippines PROVINCE OF CAMARINES SUR BIDS AND AWARDS COMMITTEE ITB No. 029-06-2020 INVITATION TO BID  	The Provincial Government of Camarines Sur (PGCS) through its Bids and Awards Committee (BAC) invites suppliers/manufacturers/distribut</t>
  </si>
  <si>
    <t xml:space="preserve"> ITEM: 2   UNITS FOUR-WHEELED TRACTOR	      - Minimum Specifications:             ENGINE: Rated Power: 50 – 55 HP                          Engine Speed: 2400 – 2500 rpm                          Type: 4 Stroke, Water Cooled,                          4 Cylin</t>
  </si>
  <si>
    <t xml:space="preserve"> Republic of the Philippines Province of Negros Occidental CITY OF TALISAY INVITATION TO BID  Road Concreting located at Existing PCCP of Julio Mapa-Lanotan Ledesma - Dos Hermanas to Hacienda Pilar, Barangay Katilingban 1.	The City of Talisay, through the </t>
  </si>
  <si>
    <t xml:space="preserve"> Republic of the Philippines Province of Negros Occidental CITY OF TALISAY INVITATION TO BID  Road Concreting located at Purok Talong Barangay                  Dos Hermanas  1.	The City of Talisay, through the 20% CDF 2020 intends to apply the sum of Two M</t>
  </si>
  <si>
    <t xml:space="preserve"> Issuance of Bid Documents Starts: June 1, 2020 Cost of Bid Document: Php 4,500.00 Venue of Dropping and Opening Bids: BAC Conference Room, Leyte SMED Center, Provincial Capitol Grounds, Tacloban City</t>
  </si>
  <si>
    <t xml:space="preserve"> 1.	The Municipal Government of El Nido, through the Continuing Appropriation 2018 - 70% CF intends to apply the sum of Three Million Three Hundred Thousand Pesos (P 3,300,000.00) being the Approved Budget for the Contract (ABC) to payments for the Constru</t>
  </si>
  <si>
    <t xml:space="preserve"> Construction of Mini Gym at Brgy. Tarug, Alimodian Iloilo</t>
  </si>
  <si>
    <t xml:space="preserve"> NOTICE TO THE PUBLIC  REQUEST FOR QUOTATION AMP SVP NO: 20-05-0264A	              The University of the Philippines, Diliman (UPD) hereby informs the public that it will be procuring the following item/s through Small Value Procurement:   Qty/Unit	Item De</t>
  </si>
  <si>
    <t xml:space="preserve"> 1. ROAD EXCAVATION(WIDENING) 2. SUBGRADE PREPARATION 3. AGGREGATE BASE COURSE 4.PCCP 150 MM THK. 5. STONE MASONRY  6.BILLBOARD</t>
  </si>
  <si>
    <t xml:space="preserve"> Republic of the Philippines Office of the Punong Barangay BIDS AND AWARDS COMMITTEE Luna, Burgos, Ilocos Sur INVITATION TO BID The Barangay Government of Luna, Burgos, Ilocos Sur, through its Bids and Awards Committee (BAC) invites bids for the hereunder </t>
  </si>
  <si>
    <t xml:space="preserve"> Republic of the Philippines Province of South Cotabato BIDS AND AWARDS COMMITTEE Salada Street, Poblacion Tupi, South Cotabato Tel. Fax No.: (083) 226-1045 INVITATION TO BID FOR THE SUPPLY AND DELIVERY OF ONE (1) UNIT ASIAN UTILITY VEHICLE (AUV) 1.	The Mu</t>
  </si>
  <si>
    <t xml:space="preserve"> Issuance of Bid Documents Starts: June 1, 2020 Cost of Bid Document: Php 3,000.00 Venue of Dropping and Opening Bids: BAC Conference Room, Leyte SMED Center, Provincial Capitol Grounds, Tacloban City</t>
  </si>
  <si>
    <t xml:space="preserve"> Issuance of Bid Documents Starts: June 1, 2020 Cost of Bid Document: Php 3,500.00 Venue of Dropping and Opening Bids: BAC Conference Room, Leyte SMED Center, Provincial Capitol Grounds, Tacloban City</t>
  </si>
  <si>
    <t xml:space="preserve"> Republic of the Philippines City of Dapitan BIDS AND AWARDS COMMITTEE INVITATION TO BID May 29, 2020 	 The City Government of Dapitan, through its Bids and Awards Committee (BAC), invites interested parties to apply for eligibility and, if found eligible,</t>
  </si>
  <si>
    <t xml:space="preserve"> Bid-Opening-June 23, 2020 at 2:00 P.m. at Municipal Conference Room</t>
  </si>
  <si>
    <t xml:space="preserve"> 1. EXCAVATION 2. STONE MASONRY</t>
  </si>
  <si>
    <t xml:space="preserve"> Invitation to apply for eligibility and to Bid Republic of the Philippines City of Cagayan de Oro Barangay Kauswagan Opening of Bids: June 16, 2020 @2pm Purchase Request No. 2020-02-018 ABC- Php 220,000.00 Name of Contract : Civil Works for the Project : </t>
  </si>
  <si>
    <t xml:space="preserve"> Installation of Traffic Signs, Speed Limit and Warning Signs</t>
  </si>
  <si>
    <t xml:space="preserve"> The Local Government Unit – Quinapondan, Eastern Samar, through its Bids &amp; Awards Committee (BAC ), intends to apply the sum of One Million Pesos (Php. 1,000,000.00) under Annual Budget Appropriation Ordinance, series of 2020, being the Approved Budget fo</t>
  </si>
  <si>
    <t xml:space="preserve"> 1. EXCAVATION 2. GRAVEL BEDDING 3. CONCRETING 4. STEEL WORKS 5. LAYING OF CHB 6. PLASTERING 7. BACKFILL 8. TRANSHIPMENT OF MATERIALS</t>
  </si>
  <si>
    <t xml:space="preserve"> Republic of the Philippines 	DEPARTMENT OF PUBLIC WORKS AND HIGHWAYS 	ILOILO 3RD 	DISTRICT ENGINEERING OFFICE 	REGIONAL OFFICE VI 	Barotac Viejo, Iloilo INVITATION TO BID The DPWH Iloilo 3rd District Engineering Office, through its Bids and Awards Committ</t>
  </si>
  <si>
    <t xml:space="preserve"> Issuance of Bid Documents Starts: June 1, 2020 Cost of Bid Document: Php 2,000.00 Venue of Dropping and Opening Bids: BAC Conference Room, Leyte SMED Center, Provincial Capitol Grounds, Tacloban City</t>
  </si>
  <si>
    <t xml:space="preserve"> NOTICE TO THE PUBLIC  REQUEST FOR QUOTATION AMP SVP NO: 20-05-0075B	              The University of the Philippines, Diliman (UPD) hereby informs the public that it will be procuring the following item/s through Small Value Procurement:   Qty/Unit	Item De</t>
  </si>
  <si>
    <t xml:space="preserve"> Issuance of Bid Documents Starts: June 1, 2020 Cost of Bid Document: Php 2,500.00 Venue of Dropping and Opening Bids: BAC Conference Room, Leyte SMED Center, Provincial Capitol Grounds, Tacloban City</t>
  </si>
  <si>
    <t xml:space="preserve"> INVITATION TO BID The Department of Public Works and Highways (DPWH) of Cotabato City District Engineering Office (CCDEO), 008 Ramon Rabago Sr. Street, Cotabato City, through its Bids and Awards Committee (BAC), invites contractors to apply to bid for the</t>
  </si>
  <si>
    <t xml:space="preserve"> Republic of the Philippines										 	Office of the Municipal Mayor										 	BIDS AND AWARDS COMMITTEE										 	Binmaley, Pangasinan										 											 	Invitation to Bid										 	 for 										 	Concreting of Barangay Road in  Nagpalangan					</t>
  </si>
  <si>
    <t xml:space="preserve"> The Department of Environment and Natural Resources (DENR) XII PENRO Cotabato, Kidapawan City, through its Bids and Awards Committee (BAC), invites all prospective bidders to apply for eligibility and subsequently bid for: 1. Name of Project: SUPPLY OF IC</t>
  </si>
  <si>
    <t xml:space="preserve"> Republic of the Philippines Department of Health SOUTHERN ISABELA MEDICAL CENTER Hospital Bids and Awards Committee Brgy. Rosario, Santiago City Philippines ITB NO. 2020-05-008 INVITATION TO BID FOR THE  PROJECT: SUPPLY AND DELIVERY OF DERMATOLOGY EQUIPME</t>
  </si>
  <si>
    <t xml:space="preserve"> Security Services</t>
  </si>
  <si>
    <t xml:space="preserve"> Issuance of Bid Documents Starts: June 1, 2020 Cost of Bid Document: Php 25,000.00 Venue of Dropping and Opening Bids: BAC Conference Room, Leyte SMED Center, Provincial Capitol Grounds, Tacloban City</t>
  </si>
  <si>
    <t xml:space="preserve"> Republic of the Philippines Province of Ilocos Norte MUNICIPALITY OF CURRIMAO INVITATION TO BID FOR  MATERIALS FOR BACKFILLING AT FISH MARKET 1.	The Municipality of Currimao  intends to apply the sum of [One Hundred Seventy Three Thousand One Hundred Sixt</t>
  </si>
  <si>
    <t xml:space="preserve"> INVITATION TO BID FOR  SUPPLY &amp; DELIVERY OF OTHER EQUIPMENTS, DEVICES, TOOLS, FURNITURE &amp; FIXTURES, BOOKS AND OTHER PPE FOR FY2020</t>
  </si>
  <si>
    <t xml:space="preserve"> Construction of pathway with diamention of 90m x1m x 100mm thick</t>
  </si>
  <si>
    <t xml:space="preserve"> ITEM: B1.0			 1.0    Lot    A. Permit Processing Fee 1.0    Lot    B. Materials Testing 1.0    Lot    C. Water and Electricity	     Indirect Cost:          Profit          Overhead/Contingencies          Tax (VAT &amp; Withholding Tax) 	 B2.0			 Materials:   </t>
  </si>
  <si>
    <t xml:space="preserve"> Republic of the Philippines PROVINCE OF CAGAYAN MUNICIPALITY OF CLAVERIA INVITATION TO BID  									May 28, 2020 	The Local Government Unit of Claveria, Cagayan through the General Fund would like to apply the sum of One Million Five Hundred Ninety Two T</t>
  </si>
  <si>
    <t xml:space="preserve"> Republic of the Philippines Department of Health SOUTHERN ISABELA MEDICAL CENTER Hospital Bids and Awards Committee Brgy. Rosario, Santiago City Philippines ITB NO. 2020-05-009 INVITATION TO BID FOR THE  PROJECT: SUPPLY AND DELIVERY OF OBSTETRICS/GYNECOLO</t>
  </si>
  <si>
    <t xml:space="preserve"> 1 UNIT SUV Specifications: Engine Type: 4 Cylinder In-line type DOHC, 16-Valve Displacement: 2755 cc Maximum Output: 176Hp/3400 RPM Maximum Torque: 450Nm/ 1,600 ~ 2,400 RPM Fuel System: Common-rail Type fuel Transmission: 6 Speed Automatic Emission: Euro </t>
  </si>
  <si>
    <t xml:space="preserve"> Issuance of Bid Documents Starts: June 1, 2020 Cost of Bid Document: Php 1,500.00 Venue of Dropping and Opening Bids: BAC Conference Room, Leyte SMED Center, Provincial Capitol Grounds, Tacloban City</t>
  </si>
  <si>
    <t xml:space="preserve"> Specifications:  Fuel Type: Diesel  No.Cylinder: 4  Engine Size/Displacement: 2,488  Max. Power (Ps): 129  Engine Type (VGS): 3  Transmission Type: 5-speed Manual</t>
  </si>
  <si>
    <t xml:space="preserve"> 16 "Pail(s)" "Engine Oil SAE 15W40 (20 LTRS/PAILS) -" "" 16 "Piece(s)" "Lubricating Oil Filter # T64101001 -" "" 8 "Piece(s)" "Secondary Fuel Filter #T64101003 -" "" 8 "Piece(s)" "Primary Fuel Filter #T6410200ZA -" "" 6 "Piece(s)" "Lubricating Oil Filter </t>
  </si>
  <si>
    <t xml:space="preserve"> Issuance of Bid Documents Starts: June 1, 2020 Cost of Bid Document: Php 1,000.00 Venue of Dropping and Opening Bids: BAC Conference Room, Leyte SMED Center, Provincial Capitol Grounds, Tacloban City</t>
  </si>
  <si>
    <t xml:space="preserve"> The Local Government Unit of Quinapondan, Eastern Samar through the Department of Agriculture under the YRRP funds has received an amount toward the cost of the Supply and Delivery of Fertilizers in support to the Corn and Corn-Based Farming System/YRRP F</t>
  </si>
  <si>
    <t xml:space="preserve"> INVITATION TO BID The DPWH Bukidnon 1st District Engineering Office, Malaybalay City, through its Bids and Awards Committee (BAC), invites contractors to submit bids for the following Contracts:   			 2	Contract ID 	:	20KA0136 	Contract Name 	:	Paving of </t>
  </si>
  <si>
    <t xml:space="preserve"> INVITATION TO BID The DPWH Bukidnon 1st District Engineering Office, Malaybalay City, through its Bids and Awards Committee (BAC), invites contractors to submit bids for the following Contracts:   			 7	Contract ID 	:	20KA0141 	Contract Name 	:	Paving of </t>
  </si>
  <si>
    <t xml:space="preserve"> INVITATION TO BID The DPWH Bukidnon 1st District Engineering Office, Malaybalay City, through its Bids and Awards Committee (BAC), invites contractors to submit bids for the following Contracts:   1	Contract ID 	:	20KA0135 	Contract Name 	:	Road Widening </t>
  </si>
  <si>
    <t xml:space="preserve"> INVITATION TO BID FOR Supply, Delivery and Installation of Design Software for use in the Pre-Detailed Engineering (PDE) Activities of Personnel under Planning and Design Section, DPWH-LU 1st DEO, Lingsat, City of San Fernando, La Union The Department of </t>
  </si>
  <si>
    <t xml:space="preserve"> INVITATION TO BID The DPWH Bukidnon 1st District Engineering Office, Malaybalay City, through its Bids and Awards Committee (BAC), invites contractors to submit bids for the following Contracts:   			 5	Contract ID 	:	20KA0139 	Contract Name 	:	Road Widen</t>
  </si>
  <si>
    <t xml:space="preserve"> INVITATION TO BID The DPWH Bukidnon 1st District Engineering Office, Malaybalay City, through its Bids and Awards Committee (BAC), invites contractors to submit bids for the following Contracts:   			 4	Contract ID 	:	20KA0138 	Contract Name 	:	Constructi</t>
  </si>
  <si>
    <t xml:space="preserve"> INVITATION TO BID The DPWH Bukidnon 1st District Engineering Office, Malaybalay City, through its Bids and Awards Committee (BAC), invites contractors to submit bids for the following Contracts:   			 6	Contract ID 	:	20KA0140 	Contract Name 	:	Paving of </t>
  </si>
  <si>
    <t xml:space="preserve"> INVITATION TO BID The DPWH Bukidnon 1st District Engineering Office, Malaybalay City, through its Bids and Awards Committee (BAC), invites contractors to submit bids for the following Contracts:   			 3	Contract ID 	:	20KA0137 	Contract Name 	:	Paving of </t>
  </si>
  <si>
    <t xml:space="preserve"> Approved Budget for the Contract: Php 3,522,022.13 Estimated Budget Contract Duration/ Delivery Period: 148 CD SCHEDULE of ACTIVITIES 1. Issuance of Bid Documents: May 30 – June 17, 2020 before bid opening 2. Pre-bid Conference: June 5, 2020, 09:00 AM at </t>
  </si>
  <si>
    <t xml:space="preserve"> Republic of the Philippines Office of the Municipal Mayor BIDS AND AWARDS COMMITTEE Binmaley, Pangasinan 						 Invitation to Bid  for  Completion of Multi-Purpose Building at Binmaley Central School  Binmaley, Pangasinan 						 1.	The  Municipal  Governm</t>
  </si>
  <si>
    <t xml:space="preserve"> CONCRETING OF BARANGAY BUNEG FMR, BARANGAY BUNEG, LACUB, ABRA Contract Location:                     Barangay Buneg, Lacub, Abra Brief Description:                      Concreting of Road using PCCP (Unreinforced, 0.20m thk.,) The DPWH-Abra District Engin</t>
  </si>
  <si>
    <t xml:space="preserve"> Please download ITB and Checklist in the Associated Components.</t>
  </si>
  <si>
    <t xml:space="preserve"> CONCRETING OF SITIO MINUWA BARANGAY POBLACION FMR Contract Location:                    Barangay Poblacion Licuan-Baay, Abra Brief Description:                     Concreting of Road using PCCP (Unreinforced, 0.20m thk.,) The DPWH-Abra District Engineerin</t>
  </si>
  <si>
    <t xml:space="preserve"> ITEM UNIT DESCRIPTION QNTY</t>
  </si>
  <si>
    <t xml:space="preserve"> INVITATION TO BID PROCUREMENT OF VARIOUS MEDICAL EQUIPMENT (PROCUREMENT OF ELECTRIC OPERATING ROOM TABLE) IB NO. 2020-12(2) The Schistosomiasis Hospital through the Bids and Awards Committee (BAC) invites suppliers to bid for the hereunder project: SN	Pro</t>
  </si>
  <si>
    <t xml:space="preserve"> see attached files</t>
  </si>
  <si>
    <t xml:space="preserve"> To All Eligible Bidders; Please quote your lowest price on the items listed below, subject to the General Condition stated herein and submit the same to the Office of the BAC-Secretariat on or before June 10, 2020 at 10:00 o'clock in the morning. (SGD.) W</t>
  </si>
  <si>
    <t xml:space="preserve"> CONVERGENCE AND SPECIAL SUPPORT PROGRAM-CONSTRUCTION/IMPROVEMENT OF ACCESS ROADS LEADING TO DECLARED TOURISM DESTINATIONS, QUIRSODAN-BAQUERO TO PANACLISAN RIVER AND ROCK FORMATION Contract Location:          Licuan-Baay, Abra Brief Description:           </t>
  </si>
  <si>
    <t xml:space="preserve"> 1. 6 PCS WOODEN LEGISLATIVE TABLE(L-2.40M;W-0.30M;H-0.75M;PAINTED) 2. 12 PCS EXECUTIVE CHAIR 3. 9 PCS WOODEN OFFICE TABLE WITH THREE(3) DRAWER COMPARTMENTS(L-0.90M;H-0.75M;W-0.75M) 4. 2 PCS WOODEN DIVIDER CABINET WITH 12 COMPARTMENTS (L-2.40M;H-1.20M;W-0.</t>
  </si>
  <si>
    <t xml:space="preserve"> INVITATION TO BID PROCUREMENT OF VARIOUS MEDICAL EQUIPMENT (PROCUREMENT OF 4D ULTRASOUND MACHINE) IB NO. 2020-12 (1) The Schistosomiasis Hospital through the Bids and Awards Committee (BAC) invites suppliers to bid for the hereunder project: SN	Project Ti</t>
  </si>
  <si>
    <t xml:space="preserve"> Republic of the Philippines Province of Misamis Oriental  Municipality of Sugbongcogon Invitation to Apply for Eligibility and to Bid for the Supply and Delivery of Materials for Water Source Development of Sugbongcogon Water System  ITB NO. 2020-05-002 1</t>
  </si>
  <si>
    <t xml:space="preserve"> Republic of the Philippines PROVINCE OF CAGAYAN MUNICIPALITY OF CLAVERIA INVITATION TO BID  									May 28, 2020 	The Local Government Unit of Claveria, Cagayan from the CY 2020 Mayor’s Office Capital Outlay of the Municipality of Claveria, Cagayan, woul</t>
  </si>
  <si>
    <t xml:space="preserve"> INVITATION TO BID PROCREMENT OF VARIOUS DRUGS AND MEDICINES (PROCUREMENT OF DRUGS AND MEDICINES (RE-BIDDING) ITB NO. 2020-13 The Schistosomiasis Hospital through the Bids and Awards Committee (BAC) invites suppliers to bid for the hereunder project: SN	Pr</t>
  </si>
  <si>
    <t xml:space="preserve"> ITEM NO.	UNIT		QTY		DESCRIPTION		 							 1	 unit 		1		Wheel Loader		 					Engine		 					 Power:92kw 		 					Number of Cylinder:6		 					 Displacement:6.49L 		 					 Transmission 		 					 Type:Counter shaft,constant Mesh, Power shift 		 					 Torque conve</t>
  </si>
  <si>
    <t xml:space="preserve"> Extension of Warranty for three (3) years for the following devices Master switch – Core Function Cisco Catalyst 3850 24 ports Data IP Services with redundant power supply 2X10GE Network Module, 	1 unit	Model: Cisco WS-C3850-24T-E SN: FOC1830U0U2 Distribu</t>
  </si>
  <si>
    <t xml:space="preserve"> The Sangguniang Barangay of Buhatan intends to apply the sum of One Million One Hundred six Thousand Five Hundred Eighty Three Pesos Only (Php1,106,583.00) being the Approved Budget for the Contract (ABC) to payments for the. 1.	Use under Contract No. PGS</t>
  </si>
  <si>
    <t xml:space="preserve"> Invitation to Bid for  Construction of Cabugnayan Dike, San Juan, La Union 1.	The Provincial Government of La Union, through the RA7171 intends to apply the sum of ₱4,387,500.00 being the Approved Budget for the Contract (ABC) to payments under the contra</t>
  </si>
  <si>
    <t xml:space="preserve"> Paving of Unpaved Road ( Construction of 230mm thk. PCCP)</t>
  </si>
  <si>
    <t xml:space="preserve"> Invitation to Bid for  Construction of  Farmers Multi-Purpose Center, Las-ud, Caba, La Union 1.	The Provincial Government of La Union, through the RA7171 intends to apply the sum of ₱3,900,000.00 being the Approved Budget for the Contract (ABC) to payment</t>
  </si>
  <si>
    <t xml:space="preserve"> Fabrication and Installation of Solar Street Lights</t>
  </si>
  <si>
    <t xml:space="preserve"> Invitation to Bid for  Construction of Farmers Multi-Purpose Center, Santiago Sur, Caba, La Union 1.	The Provincial Government of La Union, through the RA7171 intends to apply the sum of ₱3,900,000.00 being the Approved Budget for the Contract (ABC) to pa</t>
  </si>
  <si>
    <t xml:space="preserve"> Paving of Unpaved Road ( Construction of 280mm thk PCCP)</t>
  </si>
  <si>
    <t xml:space="preserve"> Invitation to Bid for Foreign-Assisted Projects INVITATION TO BID FOR SUPPLY, DELIVERY AND INSTALLATION OF INREMP-SSF NO. 01-CACAO ALL-WEATHER SOLAR TUNNEL DRYER W/ FERMENTATION BOXES (CAWSTD) FOR THE ALLIANCE OF INTEGRATED FARMERS IN SAN ISIDRO INC.(AIFS</t>
  </si>
  <si>
    <t xml:space="preserve"> Bids received in excess of the ABC for each project shall be automatically rejected at bid opening. Prospective bidders should have undertaken a similar project within three (3) years from the date of bidding. Bidding will be conducted through open compet</t>
  </si>
  <si>
    <t xml:space="preserve"> Armchairs	450 pcs  			 		Technical Specifications:	 		                                    Dimensions	 		Seat:	 		Width                                                                 450mm	 		 Length                                                        </t>
  </si>
  <si>
    <t xml:space="preserve"> Invitation to Bid for  Rehabilitation of Parian Farm to Market Road, San Fernando City, La Union 1.	The Provincial Government of La Union, through the RA7171 intends to apply the sum of ₱3,900,000.00 being the Approved Budget for the Contract (ABC) to pay</t>
  </si>
  <si>
    <t xml:space="preserve"> Republic of the Philippines Province of Leyte Municipality of Kananga BARANGAY LIM-AO BIDS AND AWARDS COMMITTEE Invitation to Bid for Construction of Multi-Purpose Environment Protection Building for Socio-Economic and Health Enhancement Activity @ Brgy.L</t>
  </si>
  <si>
    <t xml:space="preserve"> Invitation to Bid for Foreign-Assisted Projects INVITATION TO BID FOR SUPPLY, DELIVERY AND INSTALLATION OF INREMP-SSF NO. 02- SUPPLY, DELIVERY AND INSTALLATION OF INREMP-SSF NO. 02-CACAO ALL-WEATHER SOLAR TUNNEL DRYER W/ FERMENTATION BOXES (CAWSTD) FOR BA</t>
  </si>
  <si>
    <t xml:space="preserve"> Invitation to Bid for Foreign-Assisted Projects INVITATION TO BID FOR SUPPLY, DELIVERY AND INSTALLATION OF INREMP-SSF NO. 07-ESTABLISHMENT OF COFFEE POST HARVEST FACILITY FOR PORTULIN TALAANDIG TRIBAL ASSOCIATION, INC. (PTTAI) (2020-05-007) 1.	The Governm</t>
  </si>
  <si>
    <t xml:space="preserve"> Invitation to Bid for Foreign-Assisted Projects INVITATION TO BID FOR SUPPLY, DELIVERY AND INSTALLATION OF INREMP-SSF NO. 04-ESTABLISHMENT OF SOLAR DRYERS FOR KAUSWAGAN UTAH SAN VICENTE SINASAAN FARMERS ASSOCIATION (KUSSFARMA)(2020-05-004) 1.	The Governme</t>
  </si>
  <si>
    <t xml:space="preserve"> Invitation to Bid for  Construction of Sanitary Landfill Cell, Sto. Tomas, La Union 1.	The Provincial Government of La Union, through the RA7171 intends to apply the sum of ₱8,000,000.00 being the Approved Budget for the Contract (ABC) to payments under t</t>
  </si>
  <si>
    <t xml:space="preserve"> INVITATION TO BID  The Technical Education and Skills Development Authority (TESDA), through the General Appropriations Act (GAA) CY 2020 intends to apply the sum of One Million Eight Hundred Eighty One Thousand Seven Hundred Ninety Eight Pesos and Eighty</t>
  </si>
  <si>
    <t xml:space="preserve"> REPUBLIC OF THE PHILIPPINES PROVINCE OF SIQUIJOR MUNICIPALITY OF SIQUIJOR OFFICE OF THE BAC CHAIRMAN INVITATION TO BID FOR Acquisition of Materials for Completion of Sanitary Chamber Building (Landfill) 1.	The Local Government Unit of the Municipality of </t>
  </si>
  <si>
    <t xml:space="preserve"> REPUBLIC OF THE PHILIPPINES PROVINCE OF SIQUIJOR MUNICIPALITY OF SIQUIJOR OFFICE OF THE BAC CHAIRMAN INVITATION TO BID FOR Acquisition of Materials for Completion of Two Barangay Health Station 1.	The Local Government Unit of the Municipality of Siquijor,</t>
  </si>
  <si>
    <t xml:space="preserve"> Invitation to Bid for  Completion of Catbangen Central School Covered Court, San Fernando City, La Union 1.	The Provincial Government of La Union, through the RA7171 intends to apply the sum of ₱1,500,000.00 being the Approved Budget for the Contract (ABC</t>
  </si>
  <si>
    <t xml:space="preserve"> Invitation to Bid for Foreign-Assisted Projects INVITATION TO BID FOR SUPPLY, DELIVERY AND INSTALLATION OF INREMP-SSF NO. 06-PROVISION OF COFFEE ALL-WEATHER SOLAR DRYER WITH BUILT IN DEHUMIDIFIERS AND MOISTURE METER FOR THE MILALITTRA FARMERS’S AGRICULTUR</t>
  </si>
  <si>
    <t xml:space="preserve"> REPUBLIC OF THE PHILIPPINES PROVINCE OF SIQUIJOR MUNICIPALITY OF SIQUIJOR OFFICE OF THE BAC CHAIRMAN INVITATION TO BID FOR Acquisition of 1 Unit Light Cargo Truck for MDRRM Office 1.	The Local Government Unit of the Municipality of Siquijor, through 5% Ca</t>
  </si>
  <si>
    <t xml:space="preserve"> INVITATION TO BID FOR SUPPLY, DELIVERY AND INSTALLATION OF INREMP-SSF NO. 05-ESTABLISHMENT OF POST-HARVEST FACILITY FOR NEW EDEN COOPERATIVE(2020-05-005) 1.	The Government of the Philippines (GOP) has received a Loan from the Asian Development Bank toward</t>
  </si>
  <si>
    <t xml:space="preserve"> installation of 465 solar streetlights</t>
  </si>
  <si>
    <t xml:space="preserve"> REPUBLIC OF THE PHILIPPINES PROVINCE OF SIQUIJOR MUNICIPALITY OF SIQUIJOR OFFICE OF THE BAC CHAIRMAN INVITATION TO BID FOR Acquisition of 1 Unit Backhoe 1.	The Local Government Unit of the Municipality of Siquijor, through 20% D.F FY 2020 in the amount of</t>
  </si>
  <si>
    <t xml:space="preserve"> Invitation to Bid for Foreign-Assisted Projects INVITATION TO BID FOR SUPPLY, DELIVERY AND INSTALLATION OF INREMP-SSF NO. 03-CACAO ALL-WEATHER SOLAR TUNNEL DRYER W/ FERMENTATION BOXES (CAWSTD) FOR BUYOT UPLAND FARMERS ASSOCIATION, INC.(BUFA)(2020-05-003) </t>
  </si>
  <si>
    <t xml:space="preserve"> 1.	The Department of Social Welfare and Development – Field Office Caraga, through the General Appropriations Act 2020 – Capital Outlay intends to apply the sum of One Million Eight Hundred Twenty Thousand Nine Hundred Fourteen Pesos Only (PhP1,820,914.00</t>
  </si>
  <si>
    <t xml:space="preserve"> This project is for the improvement of the barangay road located at Barangay Dawa, Josefina, Zamboanga del Sur.</t>
  </si>
  <si>
    <t xml:space="preserve"> Construction of 8.0m x 12.0m two storey multi-purpose building Phase 2 (to include tiling, painting, construction of plantbox, installation of 2 PVC door, steel railing @ first floor of the building)</t>
  </si>
  <si>
    <t xml:space="preserve"> REPUBLIC OF THE PHILIPPINES PROVINCE OF SIQUIJOR MUNICIPALITY OF SIQUIJOR OFFICE OF THE BAC CHAIRMAN INVITATION TO BID FOR Acquisition of Materials for Construction of Hazard Hazardous/Infectious Waste 1.	The Local Government Unit of the Municipality of S</t>
  </si>
  <si>
    <t xml:space="preserve"> REPUBLIC OF THE PHILIPPINES PROVINCE OF SIQUIJOR MUNICIPALITY OF SIQUIJOR OFFICE OF THE BAC CHAIRMAN INVITATION TO BID FOR Acquisition of 1 Unit Mini Dump Truck 1.	The Local Government Unit of the Municipality of Siquijor, through 20% D.F FY 2020 in the a</t>
  </si>
  <si>
    <t xml:space="preserve"> Republic of the Philippines Province of Misamis Oriental MUNICIPALITY OF BINUANGAN OFFICE OF THE BIDS AND AWARDS COMMITTEE (BAC) 9008 POBLACION, BINUANGAN, MISAMIS ORIENTAL  INVITATION TO BID The Local Government Unit (LGU) of Binuangan, through its Bids </t>
  </si>
  <si>
    <t xml:space="preserve"> 1.	The Department of Social Welfare and Development – Field Office Caraga, through the General Appropriations Act 2020 – Capital Outlay intends to apply the sum of One Million Seven Hundred Seventy Seven Thousand Nine Hundred Nine Pesos Only (PhP1,777,909</t>
  </si>
  <si>
    <t xml:space="preserve"> pipeline installation, transmission line, mains, and sub mains, and other works covers 17914 lm in barangays Mabini, Apoc-apoc and Magsaysay</t>
  </si>
  <si>
    <t xml:space="preserve"> INVITATION TO BID (CW-05-2020-015) The Department of Public Works and Highways (DPWH)-Batangas IV District Engineering Office, Marawoy, Lipa City, Batangas, through its Bids and Awards Committee (BAC), invites contractors to bid for the contract listed be</t>
  </si>
  <si>
    <t xml:space="preserve"> Quantity       Unit of Issue       Item Description     2                  units             Motorcycle NAME OF PROJECT/LOCATION - Purchase of two (2) units motorcycle for patrol operations at Bauan, Batangas CONTRACT REF. NO. – BG-2020-06 DESCRIPTION - S</t>
  </si>
  <si>
    <t xml:space="preserve"> Republic of the Philippines Province of Siquijor Municipality of Siquijor Local Government Unit of the Municipality of Siquijor INVITATION TO BID FOR PARTIAL COMPLETION OF MULTI-PURPOSE BUILDING (BRGY. OLO) 1.	The Local Government Unit of the Municipality</t>
  </si>
  <si>
    <t xml:space="preserve"> Republic of the Philippines Province of Siquijor Municipality of Siquijor Local Government Unit of the Municipality of Siquijor INVITATION TO BID FOR COMPLETION OF ROAD SHOULDERING – MUNICIPAL ROAD 1.	The Local Government Unit of the Municipality of Siqui</t>
  </si>
  <si>
    <t xml:space="preserve"> Republic of the Philippines  DEPARTMENT OF PUBLIC WORKS AND HIGHWAYS MISAMIS ORIENTAL 2nd DISTRICT ENGINEERING OFFICE Region X Balase Street, El Salvador City      INVITATION TO BID    The Misamis Oriental 2 nd District Engineering Office , through its Bi</t>
  </si>
  <si>
    <t xml:space="preserve"> Republic of the Philippines Province of Siquijor Municipality of Siquijor Local Government Unit of the Municipality of Siquijor INVITATION TO BID FOR COMPLETION OF MULTI-PURPOSE BUILDING (BRGY. CANG-ALWANG) 1.	The Local Government Unit of the Municipality</t>
  </si>
  <si>
    <t xml:space="preserve"> Republic of the Philippines Province of Misamis Oriental MUNICIPALITY OF BINUANGAN OFFICE OF THE BIDS AND AWARDS COMMITTEE (BAC) 9008 POBLACION, BINUANGAN, MISAMIS ORIENTAL INVITATION TO BID The Local Government Unit (LGU) of Binuangan, through its Bids a</t>
  </si>
  <si>
    <t xml:space="preserve"> The Roxas City Government, through the GOP-2020 intends to apply the amount of One Hundred Five Thousand Seven Hundred Pesos (PhP 105,700.00) being the Approved Budget for the Contract (ABC) to payments under the contract for Public Bidding for the Supply</t>
  </si>
  <si>
    <t xml:space="preserve"> Republic of the Philippines PROVINCE OF SIQUIJOR Capitol, Bldg., Pulangyuta, Siquijor, Siquijor INVITATION TO BID FOR Supply and Delivery of Hospital Bed, 2 Cranks with IV Pole with Mattress 1.	The Province of Siquijor, through the IPHO Medical Equipment,</t>
  </si>
  <si>
    <t xml:space="preserve"> The Roxas City Government, through the GOP-2020 intends to apply the amount of One Million Seven Hundred Twenty-seven Thousand Three Hundred Thirty Pesos (PhP 1,727,330.00) being the Approved Budget for the Contract (ABC) to payments under the contract fo</t>
  </si>
  <si>
    <t xml:space="preserve"> Quantity       Unit of Issue       Item Description     1                 unit                Asian Utility Vehicle (AUV) NAME OF PROJECT/LOCATION -  Purchase of Asian Utility Vehicle to be used for patrol operations in the Municipality of Bauan, Batangas</t>
  </si>
  <si>
    <t xml:space="preserve"> REPAIR/MAINTENANCE OF PUBLIC BUILDINGS</t>
  </si>
  <si>
    <t xml:space="preserve"> Republic of the Philippines Province of Davao Occidental MUNICIPALITY OF SARANGANI Invitation to Bid ROAD CONCRETING (DOUBLE LANE) BULAWAN ST., MABILA, (8000-2-2-14), SARANGANI, DAVAO OCCIDENTAL. The Municipality of Sarangani, through 20% Devt.  Fund for </t>
  </si>
  <si>
    <t xml:space="preserve"> Quantity      Unit of Issue      Item Description   1080              kits              Expanded Newborn Screening NAME OF PROJECT/LOCATION - Purchase of expanded newborn screening kit to be used at Bauan General Hospital, Bauan, Batangas CONTRACT REF. NO</t>
  </si>
  <si>
    <t xml:space="preserve"> Quantity       Unit of Issue       Item Description      4                 heads            Hiring of security personnel for 6 months NAME OF PROJECT/LOCATION - Hiring of security personnel for six (6) months for the security of various offices in the Mun</t>
  </si>
  <si>
    <t xml:space="preserve"> Republic of the Philippines Province of Davao Occidental MUNICIPALITY OF SARANGANI Invitation to Bid CONSTRUCTION OF BOX CULVERT CREEK 2 TORANG, CAMALIG, (8000-2-2-9), SARANGANI, DAVAO OCCIDENTAL. The Municipality of Sarangani, through 20% Devt.  Fund for</t>
  </si>
  <si>
    <t xml:space="preserve"> Quantity      Unit of Issue      Item Description      1                lot                 Complete set of audio and video system including installation, testing and                                             commissioning NAME OF PROJECT/LOCATION - Pur</t>
  </si>
  <si>
    <t xml:space="preserve"> Republic of the Philippines PROVINCE OF NORTHERN SAMAR BIDS AND AWARDS COMMITTEE Catarman Invitation to Bid NS-05-29-20-01 Repair/Restoration of Portion of Old Capitol Building to be Used as Temporary Stock Room of PGSO Warehouse Brgy. Dalakit, Catarman, </t>
  </si>
  <si>
    <t xml:space="preserve"> Republic of the Philippines Province of Batangas Municipality of San Nicolas Invitation to Bid for the Local Access Road at  Brgy. Bancoro, San Nicolas, Batangas 1.	The MUNICIPALITY OF SAN NICOLAS, through the LGSF – AM 2019 intends to apply the sum of  S</t>
  </si>
  <si>
    <t xml:space="preserve"> Supply of Goods</t>
  </si>
  <si>
    <t xml:space="preserve"> INVITATION TO BID FOR THE PROCUREMENT OF ELECTRICAL SUPPLIES 1. The Municipality of Nabas, Aklan through its local budget approved by the Sanggunian, intends to apply the sum of Four Hundred Ninety Two Thousand Nine Hundred Thirty Four and 72/100 only (P </t>
  </si>
  <si>
    <t xml:space="preserve"> INVITATION TO BID FOR THE    CONTRACT ID: 20-05-083  Contract Name: PROCUREMENT OF FAMILY PLANNING COMMODITIES  Approved Budget for the Contract (ABC) : Php      4,696,400.00    1. The DOH-Zamboanga Peninsula - Center for Health Development , through the </t>
  </si>
  <si>
    <t xml:space="preserve"> I. Excavation of Column footing and wall footing   II. Concrete Works  III. Steel Works   IV. Fabrication of Door 3 units w/ Jamb    V. Plumbing w/ Installation of Accessories   VI. Form Works/ Scaffolding</t>
  </si>
  <si>
    <t xml:space="preserve"> Republic of the Philippines Bangsamoro Autonomous Region in Muslim Mindanao Province of Maguindanao MUNICIPALITY OF MATANOG Invitation to Bid  CONSTRUCTION OF KANAPNAPAN FLOOD CONTROL  PHASE 2 1.	The Municipality of Matanog, through the 20% Development Fu</t>
  </si>
  <si>
    <t xml:space="preserve"> 2 units - Hemodialysis Machine, 4008-S Conventional Hemodialysis Inclusions per Unit      1 unit AVR      1 pc. Filter (Diasafe) with 1 Medical Recliner</t>
  </si>
  <si>
    <t xml:space="preserve"> Republic of the Philippines Province of Davao Occidental MUNICIPALITY OF SARANGANI Invitation to Bid CONSTRUCTION OF BOX CULVERT CREEK 3 TORANG, CAMALIG, (8000-2-2-10), SARANGANI, DAVAO OCCIDENTAL. The Municipality of Sarangani, through 20% Devt.  Fund fo</t>
  </si>
  <si>
    <t xml:space="preserve"> Republic of the Philippines Province of Davao Occidental MUNICIPALITY OF SARANGANI Invitation to Bid CONSTRUCTION OF BOX CULVERT CREEK 1 TORANG, CAMALIG, (8000-2-2-12), 000000000SARANGANI, DAVAO OCCIDENTAL. The Municipality of Sarangani, through 20% Devt.</t>
  </si>
  <si>
    <t xml:space="preserve"> Self Loading Truck						 	Engine Mdl: 10 PB1-Isuzu						 1	Air Filter (Primary)-2 pcs 2	Air Filter (Secondary)- 2 pcs 3	Oil Filter-4 pcs 4	By Pass-2 pcs 5	Torque Rod Bushing-12 pcs 6	Brake Lining with Revit-12	pcs 7	Starter Assy-1 pc 	Roller Compactor				</t>
  </si>
  <si>
    <t xml:space="preserve"> BRAND NEW 4 WHEELER DOUBLE CAB    LIGHT TRUCK , DROP SIDE WITH HARD TOP     CANOPY AND AIRCON   Engine Type:    4 cylinder,Turbo-Intercooler, Common Rail Direct   Injection System, Diesel Engine   Displacement:2771 cc   Emission : Euro IV   Max Torque (Nm</t>
  </si>
  <si>
    <t xml:space="preserve"> Republic of the Philippines MUNICIPALITY OF LEYTE LEYTE -oOo- INVITATION TO BID PURCHASE OF OFFICE EQUIPMENT, FURNITURE AND FIXTURES P.R No: LL-20-20 The Municipality of Leyte, through its Bids and Awards Committee intends to apply the sum of One Million </t>
  </si>
  <si>
    <t xml:space="preserve"> Republic of the Philippines Province of Davao Occidental MUNICIPALITY OF SARANGANI Invitation to Bid CATERING SERVICES (Meals &amp; Snacks) Formulation of Comprehensive Development Plan (CDP), Comprehensive Land Use Plan (CLUP) Plan, Municipal Disaster Risk R</t>
  </si>
  <si>
    <t xml:space="preserve"> INVITATION TO BID FOR SUPPLY AND DELIVERY OF DESKTOP AND LAPTOP COMPUTERS  1.	The DENR PENRO – Oriental Mindoro, through the RA 11465, GAA 20201 intends to apply the sum of One Million One Hundred Twenty Thousand Pesos (₱1,120,000.00) being the Approved B</t>
  </si>
  <si>
    <t xml:space="preserve"> 1.The Provincial Government of Bohol through the  BIDS AND AWARDS COMMITTEE   for CY 2020, intends to apply the sum of  NINE MILLION FOUR HUNDRED NINETY TWO THOUSAND SEVEN HUNDRED NINETY SIX  PESOS AND 84/100   (P 9,492,796,84 ) being the Approved Budget </t>
  </si>
  <si>
    <t xml:space="preserve"> INVITATION TO BID The DPWH-Bataan 2nd District Engineering Office, through its Bids and Awards Committee (BAC) for Goods, invites suppliers to submit bids for the following Contract: Contract ID	:	20GCB0003 Contract Name	:	Replacement of Damage In-Ground </t>
  </si>
  <si>
    <t xml:space="preserve"> Republic of the Philippines Province of Ilocos Sur Municipality of Quirino, Ilocos Sur Invitation to Bid for the Construction of Namitpit Barangay Health Center 1.	The Municipality of Quirino, Ilocos Sur, through the 20% Development Fund FY 2020 intends t</t>
  </si>
  <si>
    <t xml:space="preserve"> Republic of the Philippines Province of Ilocos Sur Municipality of Quirino, Ilocos Sur Invitation to Bid for the Continuation of Patungcaleo Barangay Health Station 1.	The Municipality of Quirino, Ilocos Sur, through the 20% Development Fund FY 2020 inten</t>
  </si>
  <si>
    <t xml:space="preserve"> IMPROVEMENT OF AKADCHANG WATER SYSTEM</t>
  </si>
  <si>
    <t xml:space="preserve"> INVITATION TO BID The DPWH-Bataan 2nd District Engineering Office, through its Bids and Awards Committee (BAC) for Goods, invites suppliers to submit bids for the following Contract: Contract ID	:	20GCB0002 Contract Name	:	Procurement of Materials (Pen. A</t>
  </si>
  <si>
    <t xml:space="preserve"> Republic of the Philippines Province of Davao Occidental MUNICIPALITY OF SARANGANI Invitation to Bid PROCUREMENT OF LAPTOP, DRONE &amp; GPS DEVICE  Formulation of Comprehensive Development Plan (CDP), Comprehensive Land Use Plan (CLUP) Plan, Municipal Disaste</t>
  </si>
  <si>
    <t xml:space="preserve"> Toyota Tamaraw FX SCN-381						 1	Tire, 6.5 x 14 8PR-4 sets 	Toyota Hi-Lux A7-B650						 2	Tire, 6.5 x 14 8PR-8 sets 	Liugong Payloader						 3	Tire, 18,4 x 24 16 PR-4 sets 	2 Units Mitsubishi Grader MG#330						 4	Tire, 13.00 x 24 12 PR with interior (in</t>
  </si>
  <si>
    <t xml:space="preserve"> CONSTRUCTION OF FILANG FOOTBRIDGE</t>
  </si>
  <si>
    <t xml:space="preserve"> INVITATION TO BID May 29, 2020 The DPWH Tacloban City District Engineering Office, New Bus Terminal, Brgy. Abucay, Tacloban City, through its Bids and Awards Committee (BAC), invites contractors to submit bids for the following Contract: I.    Contract ID</t>
  </si>
  <si>
    <t xml:space="preserve"> INVITATION TO BID The DPWH-Bataan 2nd District Engineering Office, through its Bids and Awards Committee (BAC) for Goods, invites suppliers to submit bids for the following Contract: Contract ID	:	20GCB0001 Contract Name	:	Procurement of Emulsified Asphal</t>
  </si>
  <si>
    <t xml:space="preserve"> Gazebo</t>
  </si>
  <si>
    <t xml:space="preserve"> 40,000 liters - Diesel</t>
  </si>
  <si>
    <t xml:space="preserve"> 1. The Department of Public Works and Highways Regional Office XI, Davao City, through its Bids and Awards Committee (BAC), invites bidders to submit bids for the Infra projects funded under GAA FY 2020, to wit: Contract ID 	:	20L00030 Contract Name/Locat</t>
  </si>
  <si>
    <t xml:space="preserve"> Republic of the Philippines Province of Ilocos Sur Municipality of Quirino “INVITATION TO BID FOR THE PURCHASE OF FERTILIZER FOR QUIRINO FARMERS, QUIRINO, ILOCOS SUR.” 1. The Municipal Government Unit of Quirino, Ilocos Sur, through the RA 7171 FY 2015 in</t>
  </si>
  <si>
    <t xml:space="preserve"> Republic of the Philippines	 	Office of the Municipal Mayor	 	BIDS AND AWARDS COMMITTEE	 	Binmaley, Pangasinan	 												 	Invitation to Bid	 	 for 	 	CONSTRUCTION OF SANITARY TOILET WITH HYGIENE FACILITIES FOR	 	PUBLIC PLACES IN SALAPINGAO	 										</t>
  </si>
  <si>
    <t xml:space="preserve"> Republic of the Philippines Province of Ilocos Sur Municipality of Quirino, Ilocos Sur Invitation to Bid for the Improvement of Patiacan Barangay Health Center 1.	The Municipality of Quirino, Ilocos Sur, through the 20% Development Fund FY 2020 intends to</t>
  </si>
  <si>
    <t xml:space="preserve"> Republic of the Philippines Bangsamoro Autonomous Region in Muslim Mindanao MUNICIPALITY OF BULDON Province of Maguindanao INVITATION TO BID FOR SUPPLIES AND MATERIALS FOR THE CONSTRUCTION OF MUNICIPAL TOURISM BUILDING 1.	The Municipal Government of Buldo</t>
  </si>
  <si>
    <t xml:space="preserve"> Item No.	Unit	Qty.	Description of Articles 1	M3	110	Aggregate Base Course (Item 201) 2	bags	595	Portland Cement 3	M3	55	Fine Gravel (Approved DPWH Standard) 4	M3	43	Sand (Approved DPWH Standard) 5	lgths	33	2" x 6" x 12" Coco Lumber 6	kgs	3	2 1/2" CWN 7	kg</t>
  </si>
  <si>
    <t xml:space="preserve"> May 28, 2020 		 	INVITATION TO BID			 				 	The City Government of Pasig through Ordinance No. 21 Series 2019 dated November 7, 2019 duly approved by the Sanggunian Panglungsod and through Special Education Fund CY 2020 duly approved by the Local School B</t>
  </si>
  <si>
    <t xml:space="preserve"> Republic of the Philippines Province of Ilocos Sur Municipality of Quirino, Ilocos Sur Invitation to Bid for the Repair/Improvement of Lamag Barangay Hall 1.	The Municipality of Quirino, Ilocos Sur, through the 20% Development Fund FY 2020 intends to appl</t>
  </si>
  <si>
    <t xml:space="preserve"> Item No.       Unit         Qty            Description of Articles 1                  unit           1             Aircon</t>
  </si>
  <si>
    <t xml:space="preserve"> 1. The Department of Public Works and Highways Regional Office XI, Davao City, through its Bids and Awards Committee (BAC), invites bidders to submit bids for the Infra projects funded under GAA FY 2020, to wit: Contract ID 	:	20L00141 Contract Name/Locat</t>
  </si>
  <si>
    <t xml:space="preserve"> REHABILITATION OF FINAN-NANG TO TARANGCHUY PATHWAY</t>
  </si>
  <si>
    <t xml:space="preserve"> Procurement ID/Contract I.D.: 20CN0141 Contract Name: Repair and Maintenance of National Road Contract Location: Baler-Casiguran Road (S04738LZ), K0343+644 Brief Description: Earthworks, Surface Courses, Drainage and Slope Protection Structures Approved B</t>
  </si>
  <si>
    <t xml:space="preserve"> Construction of concrete pile cap driven by steel sheet pile; Rechanneling of river</t>
  </si>
  <si>
    <t xml:space="preserve"> 1. The Department of Public Works and Highways Regional Office XI, Davao City, through its Bids and Awards Committee (BAC), invites bidders to submit bids for the Infra projects funded under GAA FY 2020, to wit: Contract ID 	:	20L00145 Contract Name/Locat</t>
  </si>
  <si>
    <t xml:space="preserve"> Construction of complete Admin Bldg. with only ceiling works (acoustical), painting works, plumbing works, railings, electrical works &amp; air conditioning unit</t>
  </si>
  <si>
    <t xml:space="preserve"> Construction of complete Senior Citizen Building. Including painting works, ceiling works and tile (at office slab and toilet), and electrical works</t>
  </si>
  <si>
    <t xml:space="preserve"> Improvement  of MPB including installation of wood tiles with rubber mat, installation of mechanical goal w/light fixtures, installation of mechanical goal w/light fixtures, installation of digital score board including game clock and shot clock, installa</t>
  </si>
  <si>
    <t xml:space="preserve"> Improvement of municipal gym with only plumbing works, ceiling works, doors &amp; windows, cladding, insulator, stone works, railings, painting works (including rubberized flooring), electrical (includes movable basketball goal &amp; demolition of building)</t>
  </si>
  <si>
    <t xml:space="preserve"> Republic of the Philippines CITY OF SAN PEDRO Province of Laguna BIDS AND AWARDS COMMITTEE INVITATION TO APPLY FOR ELIGIBILITY AND TO BID PR NO. 0400 1. The City Government of San Pedro, Laguna through the 2020 Budget Approved by the Sangguniang Panglungs</t>
  </si>
  <si>
    <t xml:space="preserve"> 1 1700 SERV. LIGHT MEAL - MEAL-B1-150 GRMS. STEAMED RICE,AMPALAYA W/ EGG,CHORIZO,COFFEE,BANANA/MELON - MEAL-B2- 150 GRMS. STEAMED RICE,1 BOILED EGG,1 HOTDOG,CORNED BEEF,COFFEE,BANANA/MELON - MEAL-B3-150 GRMS. STEAMED RICE, 100 GRMS. PAKSIW FISH,SCRAMBLE E</t>
  </si>
  <si>
    <t xml:space="preserve"> Republic of the Philippines PROVINCE OF NORTHERN SAMAR BIDS AND AWARDS COMMITTEE Catarman Invitation to Bid NS-05-29-20-02 Improvement of CLIP Halfway House Halfway House Building, Brgy. Dalakit, Catarman, Northern Samar 1.	The Provincial Government of No</t>
  </si>
  <si>
    <t xml:space="preserve"> Construction of one (1) bay bleacher (9.2m x 3.2m) and improvement of gym, gutter and downspout at the side of the bleachers, gates, electrical and paint works, pediment and with additional floor slab 0.1 elev.</t>
  </si>
  <si>
    <t xml:space="preserve"> 1 unit - SERVICE VEHICLE Specifications: Model: 2019 4x4 Pick-up Engine Type: 2.4 Liter Diesel, 4-Cylinder, 16-Valve    Displacement: 2,393cc Brakes: Front: Ventilated Disc/Rear: Leading - Trailing Drums Tires/Wheels: 225/70 R17-Steel Interior Features: S</t>
  </si>
  <si>
    <t xml:space="preserve"> INVITATION TO BID A.	The DPWH, Negros Oriental 1st District Engineering Office, Tinaogan, Bindoy, Negros Oriental now invites contractors to apply to bid for the contract(s); Contract ID # 		20HJ0119 Contract Name 	Repair and Rehabilitation of Infrastruct</t>
  </si>
  <si>
    <t xml:space="preserve"> 1.	The Department of Public Works and Highways Regional Office XI, Davao City, through its Bids and Awards Committee (BAC), invites bidders to submit bids for the Infra projects funded under GAA FY 2020, to wit: Contract ID 	:	20L00170 Contract Name/Locat</t>
  </si>
  <si>
    <t xml:space="preserve"> Republic of the Philippines CITY OF SAN PEDRO Province of Laguna BIDS AND AWARDS COMMITTEE INVITATION TO APPLY FOR ELIGIBILITY AND TO BID PR NO. 0393 1. The City Government of San Pedro, Laguna through the Philhealth Fund intends to apply the sum of Php 1</t>
  </si>
  <si>
    <t xml:space="preserve"> 1. The Department of Public Works and Highways Regional Office XI, Davao City, through its Bids and Awards Committee (BAC), invites bidders to submit bids for the Infra projects funded under GAA FY 2020, to wit: Contract ID 	:	20L00153 Contract Name/Locat</t>
  </si>
  <si>
    <t xml:space="preserve"> Description Various Fittings 1.	600 pcs. ½” Brass Ball Valve with Lockwing ISO 2.	150 pcs. ¾” Brass Ball Valve with Lockwing ISO 3.	150 pcs. 1” Brass Ball Valve with Lockwing ISO 4.	600 pcs. ½” Brass Magnetic Ball Valve w/ Chrome Lock ISO 5.	400 pcs. ½” B</t>
  </si>
  <si>
    <t xml:space="preserve"> 50 pcs CPR Dummies (mannequin) 4 sets Automated External Defibrillator (AED) specs: with graphical cover includes LCD screen showing voice prompt messages, with real CPR Help technology, includes chain of survival protocol prompt. Rectilinear bi-phasic wa</t>
  </si>
  <si>
    <t xml:space="preserve"> Construction of complete covered court 16.0m x 30.0m with concrete slab, electrical works and painting</t>
  </si>
  <si>
    <t xml:space="preserve"> Republic of the Philippines Province of Pangasinan Bids and Awards Committee Municipality of Calasiao INVITATION TO BID  REPAIR/MAINTENANCE OF SERVICE VEHICLES OF CALASIAO, PANGASINAN 1.	The Municipality of Calasiao, through the Annual Budget 2020(20% Dev</t>
  </si>
  <si>
    <t xml:space="preserve"> Construction of complete covered court 16.0m x 30.0m with concrete slab, electrical works and painting including basketball goal</t>
  </si>
  <si>
    <t xml:space="preserve"> Construction of complete stage with electrical works, painting works, tile works on dressing room smooth finish on flat form of stage, construction of concrete bleacher with complete finish and fifteen (15) set steel bleacher.</t>
  </si>
  <si>
    <t xml:space="preserve"> Construction of complete one (1) unit one (1) storey brgy. Hall (6m x 11.4m) including painting, electrical, plumbing and tilework’s</t>
  </si>
  <si>
    <t xml:space="preserve"> Completion of brgy. Hall with only doors &amp; windows, ceiling (acoustical), plumbing fixtures, painting, lights, tiles, cladding, air-conditioning unit, &amp; water system,</t>
  </si>
  <si>
    <t xml:space="preserve"> Construction of complete one (1) unit, one (1) storey one (1) classroom (1-7.0m x 9.0m) w/toilet attached. This includes carpentry and joinery works (black board), plumbing works, electrical works, painting works and tile works (on toilet only). Type 1 de</t>
  </si>
  <si>
    <t xml:space="preserve"> Construction of complete covered court, extension of court slab on every side, painting works (on steel, masonry and concrete), electrical works and movable basketball goal, gutter and downspout on one side of the gym near at mosque</t>
  </si>
  <si>
    <t xml:space="preserve"> Republic of the Philippines CITY OF SAN PEDRO Province of Laguna BIDS AND AWARDS COMMITTEE INVITATION TO APPLY FOR ELIGIBILITY AND TO BID PR NO. 0398 1. The City Government of San Pedro, Laguna through the 2020 Budget Approved by the Sangguniang Panglungs</t>
  </si>
  <si>
    <t xml:space="preserve"> Republic of the Philippines Province of Surigao del Sur MUNICIPALITY OF TAGBINA BARANGAY STA. FE BIDS AND AWARDS COMMITTEE (BAC) INVITATION TO BID SUPPLY AND DELIVERY OF HARDWARE MATERIALS FOR THE CONSTRUCTION OF STREET LIGHT The barangay government of St</t>
  </si>
  <si>
    <t xml:space="preserve"> Republic of the Philippines								 Province of Negros Occidental								 Municipality of La Castellana								 Bids and Awards Committee								 								 INVITATION TO APPLY FOR ELIGIBILITY AND TO BID								 								 Name of Project: 		PURCHASE OF AMBUL</t>
  </si>
  <si>
    <t xml:space="preserve"> Republic of the Philippines								 Province of Negros Occidental								 Municipality of La Castellana								 Bids and Awards Committee								 								 INVITATION TO APPLY FOR ELIGIBILITY AND TO BID								 								 Name of Project: 		IMPROVEMENT &amp; CON</t>
  </si>
  <si>
    <t xml:space="preserve"> Construction of five (5) bay bleacher (one side)</t>
  </si>
  <si>
    <t xml:space="preserve"> Construction of day care center. Excluding painting works (on masonry, concrete and wood), catch basin and down spout, tile works, gutter and window grilles</t>
  </si>
  <si>
    <t xml:space="preserve"> Construction of complete daycare center. This includes plumbing works, electrical works, tile works, window grilles, demolition of the existing building and 4 units wall fan</t>
  </si>
  <si>
    <t xml:space="preserve"> Republic of the Philippines							 Province of Negros Occidental							 Municipality of La Castellana							 Bids and Awards Committee							 							 INVITATION TO APPLY FOR ELIGIBILITY AND TO BID							 							 Name of Project: 		DEVELOPMENT OF WATER SYS</t>
  </si>
  <si>
    <t xml:space="preserve"> SPECIFICATIONS: 1. 6.0 Cu.m capacity 2. 3000mm (L), x 2000mm (W), x 940mm (H) 3. 5.1 engine displacement, 4-cylinder, turbo intercooler, DOHC, Commonrail direct injection, bluepower diesel, multi leaf spring front and rear suspension</t>
  </si>
  <si>
    <t xml:space="preserve"> Republic of the Philippines									 Province of Negros Occidental									 Municipality of La Castellana									 Bids and Awards Committee									 									 INVITATION TO APPLY FOR ELIGIBILITY AND TO BID									 									 Name of Project: 		IMPROVEMEN</t>
  </si>
  <si>
    <t xml:space="preserve"> Improvement of Multi-Purpose Building (Stage and 1-3.2m x 30m bleacher) with reinforced concrete, cement plaster finish, finishing hardware, painting masonry and electrical works</t>
  </si>
  <si>
    <t xml:space="preserve"> Request for Quotation The Bureau of Fisheries and Aquatic Resources, Regional Office No. 5, Fabrica, Bula, Camarines Sur is requesting from prospective suppliers to submit quotation for the Supply and Delivery of Tilapia Feeds.   Quantity	Unit	Item Descri</t>
  </si>
  <si>
    <t xml:space="preserve"> SUPPLY AND DELIVERY OF MEALS AND SNACKS FOR HEALS 911 HOUSEHOLD-BASED MONITORING SYSTEM Mainland and Siargao Island, Surigao del Norte 1.	The Provincial Government of Surigao del Norte, through the General Fund – Annual Budget 2020, intends to apply the s</t>
  </si>
  <si>
    <t xml:space="preserve"> Project Billboard Occupational Safety and Health Programs Mobilization/Demobilization Demolition Works (Existing Roofings, Trusses, Ceiling &amp; Wall) Roof and Roof Framing Works Electrical Works Ceiling Works Carpentry Works (Administrative Office)(Cubicles</t>
  </si>
  <si>
    <t xml:space="preserve"> Construction of complete covered court w/court slab, painting works (on steel, masonry and concrete), electrical works, movable basketball goal w/fiber glass board and rubberized basketball court (use exterior pain)</t>
  </si>
  <si>
    <t xml:space="preserve"> Construction of covered court excluding electrical works and construction of 5 bay standard bleacher</t>
  </si>
  <si>
    <t xml:space="preserve"> Construction of officer &amp; personnel quarter MIB with pain and reinforced concrete works, finishing works including painting, plaster, windows, cabinets, plumbing works, electrical works including pole transformer and mechanical works (overhead tank)</t>
  </si>
  <si>
    <t xml:space="preserve"> Department of Public Works and Highways Contract ID: 	20NA0062 Title: 	Construction/ Improvement of Access Roads leading to Declared Tourism Destinations, NRJ-Comagascas-Del Pilar-Pirada leading to Tunnel Road, Brgy. Del Pilar, Cabadbaran, Agusan del Nort</t>
  </si>
  <si>
    <t xml:space="preserve"> Republic of the Philippines Province of Davao Oriental City of Mati BIDS &amp; AWARDS COMMITTEE INVITATION TO BID (REBID) Procurement of FUEL, OIL &amp; LUBRICANTS for Use in the Repair of Provincial Roads in Gov. Generoso and Cateel, Davao Oriental SOURCE OF FUN</t>
  </si>
  <si>
    <t xml:space="preserve"> Removal of Trees, Clearing &amp; Grubbing, Excavation, Embankment, Aggregate Sub-base Course, Earth Berm, Rubble Concrete</t>
  </si>
  <si>
    <t xml:space="preserve"> Rehabilitation of Multi-Purpose Building (Stage and 1-3.2m x 30m bleacher) with reinforced concrete, cement plaster finish, finishing hardware, painting masonry and electrical works</t>
  </si>
  <si>
    <t xml:space="preserve"> Republic of the Philippines DEPARTMENT OF PUBLIC WORKS AND HIGHWAYS OFFICE OF THE DISTRICT ENGINEER Benguet 1st District Engineering Office Wangal, La Trinidad, Benguet Telefax No. (074) 422 6163            May 28, 2020 INVITATION TO BID FOR Supply and De</t>
  </si>
  <si>
    <t xml:space="preserve"> Removal of Trees, Clearing &amp; Grubbing, Excavation, Embankment, Aggregate Sub-base Course, Filter Cloth, Gabions</t>
  </si>
  <si>
    <t xml:space="preserve"> Republic of the Philippines   Province of Samar   Municipality of Villareal      INVITATION TO BID      CONSTRUCTION OF CIVIC CENTER (PHASE 2)   BARANGAY SAN RAFAEL, VILLAREAL, SAMAR     	  	  	  	  	  	  	  	  	     	May 28, 2020     	  	  	  	  	  	  	 </t>
  </si>
  <si>
    <t xml:space="preserve"> Construction of Multi-Purpose Building (1-2.9m x 30m bleachers &amp; 11m x 8.50m stage) with reinforced concrete, cement plaster finish, painting works with railings, finishing works, steel bleacher and electrical works</t>
  </si>
  <si>
    <t xml:space="preserve"> INVITATION TO BID FOR THE    CONTRACT ID: 20-02-063 2ND REBID  Contract Name: PROCUREMENT OF FURNITURE AND FIXTURE Approved Budget for the Contract (ABC) : Php    2,029,000.00    1.  The Department of Health - Zamboanga Peninsula - Center for Health Devel</t>
  </si>
  <si>
    <t xml:space="preserve"> Construction of Multi-Purpose Building (1-3.20m x 30m bleachers &amp; 11m x 8.50m stage) with reinforced concrete, cement plaster finish, painting works with railings, finishing works, movable basketball goal and electrical works</t>
  </si>
  <si>
    <t xml:space="preserve"> •	Concreting (width = 6.10m., thk. = 230mm) •	Roadway Excavation - Common Surplus Excavation •	Construction of Minor Drainage Structures •	Application of Reflectorized Thermoplastic Pavement Markings</t>
  </si>
  <si>
    <t xml:space="preserve"> Vegetable seeds</t>
  </si>
  <si>
    <t xml:space="preserve"> Construction of Bridge 2 Lanes Total Length = 15.000lm, Span RCDG Bridge Total Length = 385.000lm, Gravelling</t>
  </si>
  <si>
    <t xml:space="preserve"> Excavation, Embankment, Aggregate Sub-base Course, PCCP (0.28m thk.), Pavement Markings</t>
  </si>
  <si>
    <t xml:space="preserve"> ITEM	UNIT	QTY	ITEM DESCRIPTION 	bag	100	Pozzolan cement  	cum	8	Washed sand 	cum	3	Washed fine gravel 	pcs	70	10 mm deformed bar x 6 mtrs 	pcs	20	9 mm deformed bar x 6 mtrs 	pcs	700	4’’ CHB 	kg	10	Tire wire 	pcs	5	Ordinary plywood 1/4’’ 	kg	10	CWN #4 	kg	</t>
  </si>
  <si>
    <t xml:space="preserve"> Project Billboard Occupational Safety &amp; Health Requirements Mobilization/Demobilization Demolition Works Masonry Works (Plaster for Window Opening) Windows False Works &amp; Scaffolding (Rental Basis)</t>
  </si>
  <si>
    <t xml:space="preserve"> office equipment</t>
  </si>
  <si>
    <t xml:space="preserve"> ITEM	UNIT	QTY	ITEM DESCRIPTION 			Delivery and Supply of Materials 			1. Project: Fronting Magsaysay, Dauin 			Source of Fund: Supplemental 2 (2019) 			Project Description: 			Length= 65 I.m.; Width = 3m thickness=0.15m 			Shouldering = 0.50m (both side) </t>
  </si>
  <si>
    <t xml:space="preserve"> INVITATION TO BID SUPPLY AND DELIVERY OF ONE (1) UNIT 4X4 PICK-UP FOR THE CITY SECURITY AND TRAFFIC MANAGEMENT TASKFORCE OFFICE 1.	The Local Government Unit of Cabadbaran City through the PEACE &amp; ORDER FUND intends to apply the sum of ONE MILLION SEVEN HU</t>
  </si>
  <si>
    <t xml:space="preserve"> Repair/Maintenance of Bank Protection</t>
  </si>
  <si>
    <t xml:space="preserve"> Construction of Multi-Purpose Building (1-3.20m x 30m bleachers &amp; 11m x 8.50m stage) with reinforced concrete, cement plaster finish, painting works with railings, finishing works and electrical works</t>
  </si>
  <si>
    <t xml:space="preserve"> DRR Related Equipment</t>
  </si>
  <si>
    <t xml:space="preserve"> Provision of Field Office for Engineer (Rental Basis) Project Billboard Occupational Safety &amp; Health Requirements Mobilization/Demobilization Structure Excavation Embankment Reinforcing bars Structural Concrete</t>
  </si>
  <si>
    <t xml:space="preserve"> CONSTRUCTION OF FLOOD CONTROL</t>
  </si>
  <si>
    <t xml:space="preserve"> LAPU-LAPU SOURCE DEVELOPMENT PROJECT [INFRA-2020-001]   1.	The Government of the Philippines through the Puerto Princesa City Water District intends to apply the sum of Seventy-One Million One Hundred Six Thousand Six Hundred Thirty-One Pesos &amp; 33/100 (71</t>
  </si>
  <si>
    <t xml:space="preserve"> 1. In view of Resolution No. 16 series of 2019 entitled “A Resolution Declaring a Failure of Bidding for Negotiated Procurement for the remaining five (5) items of Various Furniture, Fixtures and Equipment under Annual Equipment Procurement Program (AEPP)</t>
  </si>
  <si>
    <t xml:space="preserve"> CONSTRUCTION/IMPROVEMENT OF ACCESS ROADS</t>
  </si>
  <si>
    <t xml:space="preserve"> demolition, excavation,dredging</t>
  </si>
  <si>
    <t xml:space="preserve"> The Department of Agriculture-RFO 3, invites interested suppliers/ bidders to submit bid proposal(s) for the hereunder requirement, to wit: Lot 1  1 UNIT Generator Set CLIARC Hillyland, Zambales) ABC Php100,000.00 Generator’s Specifications Frequency: 60H</t>
  </si>
  <si>
    <t xml:space="preserve"> Rehab. Of 2,335.0 square metes of drainage and slope protection along Bacon-Manito National Road, Osiao Section</t>
  </si>
  <si>
    <t xml:space="preserve"> REPUBLIC OF THE PHILIPPINES PROVINCE OF SIQUIJOR MUNICIPALITY OF SIQUIJOR OFFICE OF THE BAC CHAIRMAN INVITATION TO BID FOR Acquisition of Materials for Installation of Street Lights 1.	The Local Government Unit of the Municipality of Siquijor, through SAV</t>
  </si>
  <si>
    <t xml:space="preserve"> CONCRETING OF BARANGAY DINTAN FMR, PILAR, ABRA Contract Location:                    Pilar, Abra Brief Description:                     Concreting of Road using PCCP (Unreinforced, 0.20m thk., 14 Days) The DPWH-Abra District Engineering Office reserves th</t>
  </si>
  <si>
    <t xml:space="preserve"> ILOCOS NORTE 1ST DISTRICT ENGINEERING OFFICE Airport Ave. Brgy. Cavit, Laoag City, Ilocos Norte INVITATION TO BID The DPWH - Ilocos Norte 1st District Engineering Office, through its Bids and Awards Committee (BAC), invites contractors to submit bids for </t>
  </si>
  <si>
    <t xml:space="preserve"> VARIOUS CONSTRUCTION MATERIALS AND SUPPLIES (ATTACHED REQUEST FOR QUOTATION)</t>
  </si>
  <si>
    <t xml:space="preserve"> Republic of the Philippines Zamboanga Peninsula Department of Health Basilan General Hospital Isabela City, Basilan 7300 INVITATION TO BID FOR  Procurement of Hospital Medical Supplies IB# 2020-05-0321/2020-05-0322           The BASILAN GENERAL HOSPITAL (</t>
  </si>
  <si>
    <t xml:space="preserve"> REPAIR MAINTENANCE OF BANK PROTECTION</t>
  </si>
  <si>
    <t xml:space="preserve"> Republic of the Philippines Province of Misamis Occidental Municipality of Aloran INVITATION TO BID FOR THE PURCHASE OF ONE (1) UNIT MULTI-PURPOSE VEHICLE FOR MUNICIPAL DISASTER RISK REDUCTION MANAGEMENT OFFICE 				MAY 28, 2020 1.	The Local Government Uni</t>
  </si>
  <si>
    <t xml:space="preserve"> REPAIR MAINTENANCE OF ANULID-POPONTO RIGHTDIKE</t>
  </si>
  <si>
    <t xml:space="preserve"> Description of works to be done	Quantity	Unit I	Formworks	                                                                       8.40	ls II	Structural Concrete	                                                             11.84	cu.m. III	Masonry Works	    </t>
  </si>
  <si>
    <t xml:space="preserve"> Republic of the Philippines CITY GOVERNMENT OF ANTIPOLO Antipolo City INVITATION TO BID For the Supply &amp; Delivery of Drugs &amp; Medicines The City Government of Antipolo, through the Trust Fund intends to apply the sum of P 4,940,000.00 being the Approved Bu</t>
  </si>
  <si>
    <t xml:space="preserve"> CONCRETING OF BARANGAY TIKITIK FMR, PILAR, ABRA Contract Location:                    Barangay Tikitik, Pilar, Abra Brief Description:                     Concreting of Road using PCCP (Unreinforced, 0.20m thk., 14 Days) The DPWH-Abra District Engineering</t>
  </si>
  <si>
    <t xml:space="preserve"> SUPPLY/DELIVERY AND INSTALLATION OF COMPUTER DESKTOP</t>
  </si>
  <si>
    <t xml:space="preserve"> REPUBLIC OF THE PHILIPPINES PROVINCE OF SIQUIJOR MUNICIPALITY OF SIQUIJOR OFFICE OF THE BAC CHAIRMAN INVITATION TO BID FOR Acquisition of Sound System Equipment’s 1.	The Local Government Unit of the Municipality of Siquijor, through General Fund 2020/Capi</t>
  </si>
  <si>
    <t xml:space="preserve"> Part A	Earthwork		     104(1)a	Embankment from Roadway Excavation	        87.00	cu.m     105(1)a	Subgrade Preparation (Common Materials)	      360.00	sq.m Part B	Subbase and Base Course      200(1)	        Aggregate Sub-base Course, (0.20m. thk.)	        </t>
  </si>
  <si>
    <t xml:space="preserve"> Republic of the Philippines CITY OF PANABO Province of Davao del Norte BIDS AND AWARDS COMMITTEE -o0o- INVITATION TO BID 													May 29, 2020 1.	The City Government of Panabo, through the source of fund as indicated below intends to apply the sum as </t>
  </si>
  <si>
    <t xml:space="preserve"> Republic of the Philippines DEPARTMENT OF PUBLIC WORKS AND HIGHWAYS REGIONAL OFFICE II Tuguegarao City, Cagayan  INVITATION TO BID The DPWH Regional Office No. 2 through the Bids and Awards Committee (BAC) invite contractors to bid for the project:  Contr</t>
  </si>
  <si>
    <t xml:space="preserve"> Section I. Invitation to Bid Republic of the Philippines Province of Bukidnon MUNICIPALITY OF TALAKAG Invitation to Bid for  Construction of Potable Deepwell Water Supply   Phase II - Motorpool 1.	The Municipality of Talakag, through the 8-90-00 CY 2018, </t>
  </si>
  <si>
    <t xml:space="preserve"> 1 unit Heavy Duty Hydraulic RAM 1st stage push force=51,500 lbs=229KN 2nd stage push force=18,500 lbs=82.3KN Exetended Lenght 32.75 in Closed lenght 16.75 in width 4.50 inc height 8.50 in weight 400 lbs 1 unit 3HP Hydraulic pump (gasoline) max working pre</t>
  </si>
  <si>
    <t xml:space="preserve"> Meals and Snacks for the Barangay official information dissimination on the submission of barangay budgets and its supporting documents and also on the guidlines for inter agency task force COVID 19 and other purposes</t>
  </si>
  <si>
    <t xml:space="preserve"> Repair/ Maintenance Of Building</t>
  </si>
  <si>
    <t xml:space="preserve"> Republic of the Philippines Province of Surigao del Sur MUNICIPALITY OF TAGBINA BARANGAY STA. FE BIDS AND AWARDS COMMITTEE   (BAC) INVITATION TO BID PROCUREMENT OF  ONE UNIT  6 WHEELER SERVICE VEHICLE  (DOUBLE CAB)  The barangay of Sta. Fe, municipality o</t>
  </si>
  <si>
    <t xml:space="preserve"> 1.	The Municipality of Tayug, Pangasinan  through the Bids and Awards Committee intends to apply the sum of Two Million Five Hundred Thousand Pesos (Php2,500,000.00) being the Approved Budget for the Contract (ABC)  to payments under the conract for the C</t>
  </si>
  <si>
    <t xml:space="preserve"> CONSTRUCTION OF BANSA DRAINAGE, BAUKO FUND SOURCE; 20% PDF 2020 TYPES OF WORK TO BE DONE: Project billboard/ signboard/ occupational safety and health program/ structural excavation/ forms and falsework/ reinforcing steel bar/ structural concrete IMPROVEM</t>
  </si>
  <si>
    <t xml:space="preserve"> INVITATION TO BID (CW-05-2020-016) The Department of Public Works and Highways (DPWH)-Batangas IV District Engineering Office, Marawoy, Lipa City, Batangas, through its Bids and Awards Committee (BAC), invites contractors to bid for the contract listed be</t>
  </si>
  <si>
    <t xml:space="preserve"> Note: Please download associated component regarding BAC Health and Safety Protocols before proceeding to USTP-Claveria. University of Science and Technology of Southern Philippines      Alubijid |Cagayan de Oro|Claveria|Jasaan|Oroquieta|Panaon       Clav</t>
  </si>
  <si>
    <t xml:space="preserve"> IMPROVEMENT OF TABBAKAN WAITING SHED (NEAR FLORANTE ASTUDILLO’S RESIDENCE) FUND SOURCE: 20% PDF 2020 TYPE OF WORK TO BE DONE: Provision of billboard/ occupational safety and health program/ structural concrete/ reinforcing steel of reinforced concrete str</t>
  </si>
  <si>
    <t xml:space="preserve"> Republic of the Philippines DEPARTMENT OF PUBLIC WORKS AND HIGHWAYS CAGAYAN 2ND DISTRICT ENGINEERING OFFICE Regional Office II Abulug, Cagayan May 27, 2020 INVITATION TO BID  The Cagayan 2nd District Engineering Office, Abulug, Cagayan, through its Bids a</t>
  </si>
  <si>
    <t xml:space="preserve"> Invitation to Bid for  IMPROVEMENT OF LIGA  BUILDING/ HALL (Phase I) The LGU- Palapag, Northern Samar,  through the 2020 Budget for the  contract approved by the  Sanggunian  intends to apply the sum of   Nine Hundred Ninety Nine Thousand Nine Hundred Nin</t>
  </si>
  <si>
    <t xml:space="preserve"> 20ID0024(Re-ad.) 	Construction/ Rehabilitation of Flood Mitigation Facilities within Major River Basins and Principal Rivers- Construction of Daguitan-Marabong River Flood Control, Brgy. Batug, Dulag, Leyte            	Flood Mitigation Structure –  29.00 </t>
  </si>
  <si>
    <t xml:space="preserve"> New Construction 62.40 cu.m. Intake and Rehabilitation of Existing Tank Re schedule of bidding  due to COVID</t>
  </si>
  <si>
    <t xml:space="preserve"> Concreting of Roads</t>
  </si>
  <si>
    <t xml:space="preserve"> Agno River Basin Flood Control Project – Repair/Maintenance of Bank Protection at Brgy. Magtaking, Bugallon, Pangasinan Sta. 00+060.00 to Sta. 00+494.00</t>
  </si>
  <si>
    <t xml:space="preserve"> 20ID0019 (Re-ad.) 	Construction of Multi-Purpose Building,Brgy. Bagong Lipunan,Carigara, Leyte   	Concrete and Masonry Works 	3,960,000.00	GAA CY 2020 	90 CD	5,000.00 To be eligible to bid for this Contract, a contractor must meet the following major requ</t>
  </si>
  <si>
    <t xml:space="preserve"> Rated Power/ Speed - 97 kw (2200 r/ min) Overall dimension (standard) - 	8,015 x 2,380 x 3,050 Total weight (standard) - 11,000 kgs. Tire specification - 13.00-24 Blade Width - 3,660 mm</t>
  </si>
  <si>
    <t xml:space="preserve"> Repair/Maintenance of DOJ Building Bureau of Jail Management and Penology BJMP Compound Perimeter Fence Urdaneta City, Pangasinan</t>
  </si>
  <si>
    <t xml:space="preserve"> Body Type: Van Tran mission Type: Manual Engine Size: 2.80 L Engine Displacement: 2,755 cc No. of Cylinder: 4 No. of Valves: 16</t>
  </si>
  <si>
    <t xml:space="preserve"> Repair/Maintenance of DILG Philippine National Police Building, Sta. Maria, Pangasinan</t>
  </si>
  <si>
    <t xml:space="preserve"> H E A D Q U A R T E R S P H I L I P P I N E  A R M Y OFFICE OF THE PA BIDS AND AWARDS COMMITTEE-2 Fort Andres Bonifacio, Metro Manila 								28 May 2020 INVITATION TO BID The Armed Forces of the Philippines, through the Philippine Army Bids and Awards Co</t>
  </si>
  <si>
    <t xml:space="preserve"> Provision of Farm Inputs        = Php 164,000.00 Provision of Farm Machineries = PHP 280,000.00                                               ---------------------                                 Total    =  Php 444,000.00</t>
  </si>
  <si>
    <t xml:space="preserve"> 20ID0039(Re-ad.)   	Construction of Anonang River Flood Control,Barangay Anonang,Burauen, Leyte   	Flood Mitigation Structure – 194.60 Ln.m 	9,899,998.50	GAA CY 2020 	90 CD	10,000.00   To be eligible to bid for this Contract, a contractor must meet the fo</t>
  </si>
  <si>
    <t xml:space="preserve"> Republic of the Philippines MUNICIPALITY OF ECHAGUE Province of Isabela INVITATION TO BID FOR  EXPENSES   ON  UGNAYAN SA BARANGAY; SPECIAL LAW MEDICAL AND DENTAL MISSION, TRAINING SEMINAR  OF BARANGAY TANOD,MONTHLY MEETING OF ADAC/MADAC/BARANGAY VISITATIO</t>
  </si>
  <si>
    <t xml:space="preserve"> Republic of the Philippines Province of Bohol Municipality of Ubay INVITATION TO BID FOR PURCHASE OF MEAT VAN VEHICLE 1.	The Municipality of Ubay, through the Annual Budget C.Y. 2020 (Capital Outlay) intends to apply the sum of ONE MILLION FIVE HUNDRED PE</t>
  </si>
  <si>
    <t xml:space="preserve"> REPUBLIC OF THE PHILIPPINES PROVINCE OF SIQUIJOR MUNICIPALITY OF SIQUIJOR OFFICE OF THE BAC CHAIRMAN INVITATION TO BID FOR Acquisition of Materials for Repair f School Building 1.	The Local Government Unit of the Municipality of Siquijor, through SEF 2020</t>
  </si>
  <si>
    <t xml:space="preserve"> Supply and Delivery of Construction Materials and Supplies</t>
  </si>
  <si>
    <t xml:space="preserve"> INVITATION TO BID   The Department of Public Works and Highways (DPWH), Surigao del Sur 2nd District Engineering Office, Bislig City through its Bids and Awards Committee (BAC) invites Suppliers to submit bids for the Contract:  Contract ID	:	2020-G-004 C</t>
  </si>
  <si>
    <t xml:space="preserve"> a.) Macagoco Elementary  School, Inopacan, Leyte; b.) Hinabay Elementary School, Inopacan, Leyte; c.) Himacugo Elementary School, Hindang, Leyte; d.) Bato Central School, Bato, Leyte; e.) Domagocdoc Elementary School, Bato, Leyte; f.) Dolho Elementary Sch</t>
  </si>
  <si>
    <t xml:space="preserve"> Repair/Maintenance of DOJ Regional Trial Court Building, Tayug, Pangasinan</t>
  </si>
  <si>
    <t xml:space="preserve"> a.) Maitum Elementary School, Baybay City, Leyte; b.) Mailhi NHS, Baybay City, Leyte; c.) Mailhi Elementary School, Baybay City, Leyte; d.) Bubon Elementary School, Baybay City, Leyte; e.) Altavista Elementary School, Baybay City, Leyte; f.) Kantagnos Ele</t>
  </si>
  <si>
    <t xml:space="preserve"> Republic of the Philippines Province of Bohol Municipality of Ubay INVITATION TO BID FOR PURCHASE OF EMERGENCY RESCUE VEHICLE 1.	The Municipality of Ubay, through the Annual Budget C.Y. 2020 (5% MDRRM FUND) intends to apply the sum of ONE MILLION FIVE HUN</t>
  </si>
  <si>
    <t xml:space="preserve"> Supply and Delivery of 900 cu.m. Backfilling Materials (BUGA)</t>
  </si>
  <si>
    <t xml:space="preserve"> Republic of the Philippines Department of Health CENTRAL OFFICE BIDS AND AWARDS COMMITTEE Name of the Procuring Entity: Department of Health Name of the Project: Hiring of a Firm for the Disposal and Treatment of Hazardous Waste SVP No. 2020-031		 _______</t>
  </si>
  <si>
    <t xml:space="preserve"> 1.	The Provincial Government of Ilocos Norte, through the General Fund  intends to apply the sum of Three Million Eight Hundred Seventy Four Thousand Five Hundred One Pesos and Eighty Six Centavos   (Php  3,874,501.86              ) being the Approved Bud</t>
  </si>
  <si>
    <t xml:space="preserve"> 8 HAS. ESTABLISHMENT OF ON-FARM AGROFORESTRY AT BRGY. TALBEC THRU PAKYAW LABOR</t>
  </si>
  <si>
    <t xml:space="preserve"> Detour/Access Road, Temporary Diversion of Waterway, Project Billboard/Signboard, Occupational Safety and Health Program, Mobilization/Demobilization, Unsuitable Excavation, Structure Excavation, Common Soil, Concrete, Slope Protection</t>
  </si>
  <si>
    <t xml:space="preserve"> Other General Requirements, Earthworks, Plain and Reinforced Concrete Work, Finishing and Other Civil Works</t>
  </si>
  <si>
    <t xml:space="preserve"> Repair/Maintenance of DPWH Building, Coron-Sub Office Building</t>
  </si>
  <si>
    <t xml:space="preserve"> (see bidding documents in the associated component)</t>
  </si>
  <si>
    <t xml:space="preserve"> SEE ATTACHED INVITATION TO BID, BIDDING DOCUMENTS, STANDARD BIDDING FORMS, CHECKLISTS AND PLANS</t>
  </si>
  <si>
    <t xml:space="preserve"> 5.46 HAS. ESTABLISHMNET OF AGROFORESTRY PROJECT THRU LABOR PAKYAW</t>
  </si>
  <si>
    <t xml:space="preserve"> INVITATION TO BID FOR THE PROCUREMENT OF ONE (1) UNIT MULTIBAND NETWORK SCANNING RECEIVER AND POST PROCESSING TOOL FOR NTC REGIONAL OFFICE NO. IX The National Telecommunications Commission, Regional Office No. IX (NTC-IX), through its Bids and Awards Comm</t>
  </si>
  <si>
    <t xml:space="preserve"> 1. breakfast with juice: Php 65/meal     &gt; meat &amp; vegetable with rice 2. Lunch with water/juice: Php 65/meal     &gt; meat &amp; vegetable with rice 3. Dinner with water/juice: Php 65/meal     &gt; meat &amp; vegetable with rice</t>
  </si>
  <si>
    <t xml:space="preserve"> Republic of the Philippines DEPARTMENT OF PUBLIC WORKS AND HIGHWAYS PANGASINAN IV DISTRICT ENGINEERING OFFICE REGIONAL OFFICE I Tuliao, Sta. Barbara, Pangasinan Invitation to Bid for  Repair/Maintenance of River Bank Protection along Rio Laguna De Vega Cr</t>
  </si>
  <si>
    <t xml:space="preserve"> Republic of the Philippines PROVINCE OF CAMIGUIN Mambajao, Camiguin -ooOoo- BIDS AND AWARDS COMMITTEE (BAC) INVITATION TO BID  The Provincial Government of Camiguin through its Bids and Awards Committee (BAC) invites all interested and qualified bidders/s</t>
  </si>
  <si>
    <t xml:space="preserve"> Republic of the Philippines PROVINCE OF AGUSAN DEL SUR Municipality of San Luis Invitation to Bid ============================================ Supply and Delivery of One (1) Set RTK Receiver and Reflectorless Total Station w/ Complete Accessories (3rd Pos</t>
  </si>
  <si>
    <t xml:space="preserve"> INVITATION TO BID FOR SUPPLY AND DELIVERY OF ICT EQUIPMENTS AND SUPPLIES FOR FY 2020</t>
  </si>
  <si>
    <t xml:space="preserve"> The National Food Authority (NFA),  Southern Tagalog Regional Office (Region IV), through the NFA Corporate Operating Budget for 2020, intends to apply the sum of One Million Eight Hundred Eighteen Thousand Four Hundred Twenty-Four Pesos (P1,818,424.00) b</t>
  </si>
  <si>
    <t xml:space="preserve"> Republic of the Philippines DEPARTMENT OF PUBLIC WORKS AND HIGHWAYS PANGASINAN IV DISTRICT ENGINEERING OFFICE REGIONAL OFFICE I Tuliao, Sta. Barbara, Pangasinan Invitation to Bid for  Repair/Maintenance of DPWH Building Repair Bay Building - Electrical an</t>
  </si>
  <si>
    <t xml:space="preserve"> Other General Requirements, Civil, Mechanical, Electrical and Sanitary/Plumbing Fixtures, Earthworks, Plain and Reinforced Concrete Works, Finishing and Other Civil Works</t>
  </si>
  <si>
    <t xml:space="preserve"> PARTICULARS	QTY	UOM	ABC Animal/Zoological supplies			 Duck pre-starter crumble,  50kg/bag; content: Crude Protien: 19% NLT, Crude Fat: 3%NLT, Crude Fiber: 4% NMT, Moisture: 12%NMT, Calcium: 0.90-1.10%, Phosphorus: 0.70% NLT, Aflatoxin max. level: 50PPB 	5</t>
  </si>
  <si>
    <t xml:space="preserve"> ANTI –RABIES VACCINE FOR HUMAN, -PVRV, (WHO-PREQUALIFIED)  Inactivated and purified, freeze-dried rabies vaccine produced in VERO cell line 1 immunizing dose, it also contains maltose up to 1 immunizing dose, human plasma albumin up to 1 immunizing dose a</t>
  </si>
  <si>
    <t xml:space="preserve"> Republic of the Philippines DEPARTMENT OF PUBLIC WORKS AND HIGHWAYS PANGASINAN IV DISTRICT ENGINEERING OFFICE REGIONAL OFFICE I Tuliao, Sta. Barbara, Pangasinan Invitation to Bid for  Repair/Maintenance of River Bank Protection along San Juan River, Brgy.</t>
  </si>
  <si>
    <t xml:space="preserve"> Republic of the Philippines DEPARTMENT OF PUBLIC WORKS AND HIGHWAYS PANGASINAN IV DISTRICT ENGINEERING OFFICE REGIONAL OFFICE I Tuliao, Sta. Barbara, Pangasinan Invitation to Bid for  Repair/Maintenance of DPWH Old Building Supply/Store Room, Pangasinan I</t>
  </si>
  <si>
    <t xml:space="preserve"> Standard Form No.: SF-GOODS-05               	Republic of the Philippines          	       MUNICIPALITY OF ROSALES                              Province of Pangasinan INVITATION TO BID 	The Municipality of Rosales, through its Bids and Awards Committee (B</t>
  </si>
  <si>
    <t xml:space="preserve"> ANTI-RABIES VACCINE FOR HUMAN  With lyophilized powder and solvent solution for injection, 2.5 I.U./ml, 1ml vial, Purified Chick Embryo Cells (PCEC), can benefit 4-5 patients per vial (WHO Pre-Qualified)  Terms of Reference:  1. Supplier must present copy</t>
  </si>
  <si>
    <t xml:space="preserve"> Department of Agriculture				 BUREAU OF PLANT INDUSTRY 692 San Andres Street Malate, Manila, Philippines E-mail Address: bpibac@yahoo.com Tel. No.: (02) 8526-7859, (02) 8691-0736 | Website: bpi.da.gov.ph SOLICITATION NO.: ITB PR NO. 0376-20BAC  INVITATION</t>
  </si>
  <si>
    <t xml:space="preserve"> HEALTH CARD green and blue cards, for food and non-food, back to back, non-blot printing, size: 3 inches x 4 inches, Bristol 120, full-colored pre-numbered, 2 sides SANITARY PERMIT Linen paper, 90 gsm, non-blot printing, size: A4, off white color, with QC</t>
  </si>
  <si>
    <t xml:space="preserve"> Department of Agriculture		 BUREAU OF PLANT INDUSTRY 692 San Andres Street Malate, Manila, Philippines E-mail Address: bpibac@yahoo.com Tel. No.: (02) 8526-7859, (02) 8691-0736 | Website: bpi.da.gov.ph SOLICITATION NO.: ITB PR NO. 0374-20BAC  INVITATION T</t>
  </si>
  <si>
    <t xml:space="preserve"> Unit 	Item Description	Quantity	 Unit Cost 	Total Cost 				 Lot	LABORATORY MANAGEMENT DEVICE	1	 1,500,000.00 	 1,500,000.00  	Technical Characteristics:			 -    	I. CORE MODULES			 -    	A.      Test Management			 -    	i.       Chemistry			 -    	ii.    </t>
  </si>
  <si>
    <t xml:space="preserve"> 1. Procurement ID/Contract ID:	20GD0107 Contract Name:	CONSTRUCTION/REHABILITATION OF WATER SUPPLY/SEPTAGE AND SEWERAGE/RAIN WATER COLLECTORS 	Location                                                            1.	Pawa NationaL Hiqh School,Panay, Capiz 2.</t>
  </si>
  <si>
    <t xml:space="preserve"> MOTOR VEHICLE (MULTI-PURPOSE VEHICLE) Gas 2.0 E M/T Body Type: MPV Transmission Type: Manual Engine Size: 2.0 L Displacement: 1,998 cc Number of Cylinders: 4 Number of Valves: 16 Transmission Category: 5-Speed Manual Transmission Power Train Rear Wheel Dr</t>
  </si>
  <si>
    <t xml:space="preserve"> Other General Requirements, Civil, Mechanical, Electrical and Sanitary/Plumbing Works, Earthworks, Plain and Reinforced Concrete Work, Finishing and Other Civil Works</t>
  </si>
  <si>
    <t xml:space="preserve"> Repair and maintenance of public buildings</t>
  </si>
  <si>
    <t xml:space="preserve"> 1.	The Department of Agriculture (DA) – Central Office, through the GAA CY 2020 intends to apply the sum of Three Billion Eight Hundred Eighty Million Three Hundred Eighty Seven Thousand Pesos (PhP3,880,387,000.00) being the Approved Budget for the Contra</t>
  </si>
  <si>
    <t xml:space="preserve"> RE -BID INVITATION TO BID 	 The Department of Public Works and Highways-Cebu 4th District Engineering Office, through its Bids and Awards Committee (BAC), invites contractors to submit bids for the Contract: 1.	Contract ID 		:	20HG0161 Contract Name      </t>
  </si>
  <si>
    <t xml:space="preserve"> Republic of the Philippines DEPARTMENT OF PUBLIC WORKS AND HIGHWAYS ILOILO 1st  DISTRICT ENGINEERING OFFICE Fort San Pedro Road, Iloilo City INVITATION TO BID FOR: 20GGF0013 – Procurement of various spare parts to be use in the repair of various Equipment</t>
  </si>
  <si>
    <t xml:space="preserve"> RE -BID INVITATION TO BID 	 The Department of Public Works and Highways-Cebu 4th District Engineering Office, through its Bids and Awards Committee (BAC), invites contractors to submit bids for the Contract: 1.	Contract ID 		:	20HG0162 Contract Name      </t>
  </si>
  <si>
    <t xml:space="preserve"> Republic of the Philippines NATIONAL FOOD AUTHORITY REGIONAL OFFICE VII Cebu City Tel No 032-2321939/ Fax No.032-233-6095 Website Address:www.nfa.gov.ph/E-mail Address:  nfarbacr07@yahoo.com INVITATION TO BID  PROCUREMENT OF WAREHOUSE HANDLING (AND ALLIED</t>
  </si>
  <si>
    <t xml:space="preserve"> Republic of the Philippines DEPARTMENT OF PUBLIC WORKS AND HIGHWAYS SULTAN KUDARAT 2ND DISTRICT ENGINEERING OFFICE REGION XII Lebak, Sultan Kudarat INVITATION TO BID FOR SUPPLY/DELIVERY OF  HARD ASPHALT FOR THE REPAIR/MAINTENANCE OF NATIONAL ROADS &amp; BRIDG</t>
  </si>
  <si>
    <t xml:space="preserve"> Other General Requirements, Civil, Mechanical, Electrical &amp; Sanitary/Plumbing Works, Earthworks, Plain and Reinforced Concrete Work, Finishing and Other Civil Works, Electrical</t>
  </si>
  <si>
    <t xml:space="preserve"> Republic of the Philippines DEPARTMENT OF PUBLIC WORKS AND HIGHWAYS SULTAN KUDARAT 2ND DISTRICT ENGINEERING OFFICE REGION XII Lebak, Sultan Kudarat INVITATION TO BID FOR SUPPLY/DELIVERY OF  LATEX PAINTS FOR THE REPAIR/MAINTENANCE OF NATIONAL ROADS &amp; BRIDG</t>
  </si>
  <si>
    <t xml:space="preserve"> RE -BID INVITATION TO BID 	 The Department of Public Works and Highways-Cebu 4th District Engineering Office, through its Bids and Awards Committee (BAC), invites contractors to submit bids for the Contract: 1.	Contract ID 		:	20HG0154 Contract Name      </t>
  </si>
  <si>
    <t xml:space="preserve"> Repair and maintenance of public buildings.</t>
  </si>
  <si>
    <t xml:space="preserve"> Department of Agriculture		 BUREAU OF PLANT INDUSTRY 692 San Andres Street Malate, Manila, Philippines E-mail Address: bpibac@yahoo.com Tel. No.: (02) 8526-7859, (02) 8691-0736 | Website: bpi.da.gov.ph SOLICITATION NO.: ITB PR NOS. 0347, 0348-20BAC  INVIT</t>
  </si>
  <si>
    <t xml:space="preserve"> Republic of the Philippines DEPARTMENT OF PUBLIC WORKS AND HIGHWAYS SULTAN KUDARAT 2ND DISTRICT ENGINEERING OFFICE REGION XII Lebak, Sultan Kudarat INVITATION TO BID FOR SUPPLY/DELIVERY OF  FUEL &amp; OIL LUBRICANTS FOR USE OF VARIOUS VEHICLE, CHAINSAW, AND G</t>
  </si>
  <si>
    <t xml:space="preserve"> Republic of the Philippines Department of Environment and Natural Resources OFFICE OF THE REGIONAL EXECUTIVE DIRECTOR Region XII, Aurora Quezon Street City of Koronadal, 9506 Philippines Tel No. (083) 228-6226 Telefax No. (083) 228-6225 Email address: red</t>
  </si>
  <si>
    <t xml:space="preserve"> Republic of the Philippines DEPARTMENT OF PUBLIC WORKS AND HIGHWAYS BATANGAS II  DISTRICT ENGINEERING OFFICE REGIONAL OFFICE IV-A Kumintang Ilaya, Batangas City INVITATION TO BID For Construction/Repair/Rehabilitation/Improvement of Various Infrastructure</t>
  </si>
  <si>
    <t xml:space="preserve"> Department of Public Works and Highways Contract ID	:	20MH0080 Contract Name	:	Concreting of Local Road, Sitio Dinagaan to Upper Alas-as, Bagumbayan, Sultan Kudarat Contract Location	:	Bagumbayan, Sultan Kudarat Department of Public Works and Highways Sul</t>
  </si>
  <si>
    <t xml:space="preserve"> Department of Public Works and Highways Contract ID	:	20MH0082 Contract Name	:	Concreting of Sitio Dinagaan to Upper Alas-as Road, Brgy. Masiag, Bagumbayan, Sultan Kudarat Contract Location	:	Bagumbayan, Sultan Kudarat Department of Public Works and Highw</t>
  </si>
  <si>
    <t xml:space="preserve"> Department of Public Works and Highways Contract ID	:	20MH0074 Contract Name	:	Concreting of Purok Kawayan Road, Brgy. Poblacion, Bagumbayan, Sultan Kudarat Contract Location	:	Bagumbayan, Sultan Kudarat Department of Public Works and Highways Sultan Kuda</t>
  </si>
  <si>
    <t xml:space="preserve"> Department of Public Works and Highways Contract ID	:	20MH0075 Contract Name	:	Concreting of Road connecting Purok Narra, Brgy. Numo, Esperanza, Sultan Kudarat Contract Location	:	Esperanza, Sultan Kudarat Department of Public Works and Highways Sultan Ku</t>
  </si>
  <si>
    <t xml:space="preserve"> The Municipality of Bay, through the GOP – 20% Economic Development Fund (EDF) intends to apply the sum of Nine Hundred Ninety Nine Thousand Five Hundred Fifty Four Pesos and Twenty Eight Centavos (PHP 999,554.28) being the Approved Budget for the Contrac</t>
  </si>
  <si>
    <t xml:space="preserve"> Department of Public Works and Highways Contract ID	:	20MH0083 Contract Name	:	Concreting of Sitio Masagana, Barangay Sangay, Kalamansig, Sultan Kudarat Contract Location	:	Kalamansig, Sultan Kudarat Department of Public Works and Highways Sultan Kudarat </t>
  </si>
  <si>
    <t xml:space="preserve"> Department of Public Works and Highways Contract ID	:	20MH0081 Contract Name	:	Rehabilitation of Maligaya - Road Side, Barangay Sagasa, Esperanza, Sultan Kudarat Contract Location	:	Esperanza, Sultan Kudarat Department of Public Works and Highways Sultan </t>
  </si>
  <si>
    <t xml:space="preserve"> Section I. Invitation to Bid  COMMERCIAL PRINTING OF LEAFLET/BROCHURE (PB 20-02-05) 1.	The Philippine Rice Research Institute, through the 2020 RCEP Fund Budget intends to apply the sum of ONE MILLION EIGHTY THOUSAND PESOS AND 00/100 ONLY (PhP 1,080,000.0</t>
  </si>
  <si>
    <t xml:space="preserve"> Department of Public Works and Highways Contract ID	:	20MH0084 Contract Name	:	Concreting of Upper Balayan to Kidanao, Barangay Basak, Lebak, Sultan Kudarat Contract Location	:	Lebak, Sultan Kudarat Department of Public Works and Highways Sultan Kudarat 2</t>
  </si>
  <si>
    <t xml:space="preserve"> CONSTRUCTION OF SLOPE PROTECTION AT PINAGBAYANAN INHS</t>
  </si>
  <si>
    <t xml:space="preserve"> Department of Public Works and Highways Contract ID	:	20MH0100 Contract Name	:	Concreting Local Road, Purok Kawayan, Sultan Kudarat Contract Location	:	Bagumbayan, Sultan Kudarat Department of Public Works and Highways Sultan Kudarat 2ndDistrict Engineeri</t>
  </si>
  <si>
    <t xml:space="preserve"> Office Equipment, Supplies &amp; Consumables</t>
  </si>
  <si>
    <t xml:space="preserve"> Contract ID: 20-DO-0077 Contract Name: Local Program – Construction/Repair/Rehabilitation/Improvement of Various Infrastructure including Local Projects – Buildings and Other Structures – Multipurpose/Facilities – Construction of Multi-purpose Building at</t>
  </si>
  <si>
    <t xml:space="preserve"> REPUBLIC OF THE PHILIPPINES MUNICIPALITY OF BINMALEY PROVINCE OF PANGASINAN INVITATION TO BID FOR SUPPLY AND DELIVERY OF 225 UNITS OF DISASTER TENT 1.	The Municipal Government of Binmaley, through Trust Fund (DILG-AM CY 2019) intends to apply the sum of P</t>
  </si>
  <si>
    <t xml:space="preserve"> STANDARD FORMAT Benguet First District Engineering Office Wangal, La Trinidad, Benguet May 27, 2020 INVITATION TO BID The Benguet First District Engineering Office through its Bids and Awards Committee (BAC), invites contractors to submit bids for the fol</t>
  </si>
  <si>
    <t xml:space="preserve"> STANDARD FORMAT Benguet First District Engineering Office Wangal, La Trinidad, Benguet May 27, 2020 RE – INVITATION TO BID The Benguet First District Engineering Office through its Bids and Awards Committee (BAC), invites contractors to submit bids for th</t>
  </si>
  <si>
    <t xml:space="preserve"> Survey Equipment &amp; Supplies</t>
  </si>
  <si>
    <t xml:space="preserve"> OFFICE OF THE BIDS AND AWARDS COMMITTEE (BAC) INVITATION TO BID FOR THE 20-02-088 Concreting of Arturo Buenavista Road with Box Culvert @ Barangay Kitacubong, Alamada, Cotabato 1.	The Local Government Unit of Alamada, through the 20% EDF CY 2020 (1-07-03-</t>
  </si>
  <si>
    <t xml:space="preserve"> Contract ID: 20-DO-0081 Contract Name:  ORGANIZATIONAL OUTCOME 2: Protect Lives and Properties Against Major Floods – Flood Management Program – Construction/ Rehabilitation of Flood Mitigation Facilities within Major River Basins and Principal Rivers – C</t>
  </si>
  <si>
    <t xml:space="preserve"> Parts &amp; Accessories</t>
  </si>
  <si>
    <t xml:space="preserve"> Garments</t>
  </si>
  <si>
    <t xml:space="preserve"> Contract ID: 20-DO-0079 Contract Name: LOCAL PROGRAM - Local Infrastructure Program - Building and Other Structures - Multipurpose/Facilities - Construction of Multi-Purpose Building and Facilities, San Francisco St., Brgy. Patunhay, Cardona, Rizal Contra</t>
  </si>
  <si>
    <t xml:space="preserve"> Fuels</t>
  </si>
  <si>
    <t xml:space="preserve"> Contract ID: 20-DO-0080 Contract Name: ORGANIZATIONAL OUTCOME 1: Ensure Safe and Reliable National Road System – Network Development Program – Road Widening – Tertiary Roads – Tanay-Sampaloc Road – K0058+800 – K0059+129, K0061+307 – K0062+364  Contract Lo</t>
  </si>
  <si>
    <t xml:space="preserve"> CONSTRUCTIONOF ONE (1) UNIT GPG-TYPE SCHOOL BUILDING</t>
  </si>
  <si>
    <t xml:space="preserve"> Republic of the Philippines DEPARTMENT OF PUBLIC WORKS AND HIGHWAYS PANGASINAN 2ND  DISTRICT ENGINEERING OFFICE  REGIONAL OFFICE I Alvear St., Lingayen, Pangasinan INVITATION TO BID The DPWH Pangasinan 2nd District Engineering Office, through its Bids and</t>
  </si>
  <si>
    <t xml:space="preserve"> Construction supplies</t>
  </si>
  <si>
    <t xml:space="preserve"> Roadside Supplies</t>
  </si>
  <si>
    <t xml:space="preserve"> Republic of the Philippines DEPARTMENT OF PUBLIC WORKS AND HIGHWAYS BATANGAS II  DISTRICT ENGINEERING OFFICE REGIONAL OFFICE IV-A Kumintang Ilaya, Batangas City INVITATION TO BID For Local Infrastructure Program – Construction/Rehabilitation of Multi-Purp</t>
  </si>
  <si>
    <t xml:space="preserve"> */Republic of the Philippines DEPARTMENT OF PUBLIC WORKS AND HIGHWAYS PANGASINAN 2ND  DISTRICT ENGINEERING OFFICE  REGIONAL OFFICE I Alvear St., Lingayen, Pangasinan INVITATION TO BID The DPWH Pangasinan 2nd District Engineering Office, through its Bids a</t>
  </si>
  <si>
    <t xml:space="preserve"> Construction Supplies</t>
  </si>
  <si>
    <t xml:space="preserve"> Republic of the Philippines DEPARTMENT OF PUBLIC WORKS AND HIGHWAYS BATANGAS II  DISTRICT ENGINEERING OFFICE REGIONAL OFFICE IV-A Kumintang Ilaya, Batangas City INVITATION TO BID For Local Infrastructure Program – Construction of Multi-Purpose Building (P</t>
  </si>
  <si>
    <t xml:space="preserve"> Republic of the Philippines DEPARTMENT OF PUBLIC WORKS AND HIGHWAYS BATANGAS II  DISTRICT ENGINEERING OFFICE REGIONAL OFFICE IV-A Kumintang Ilaya, Batangas City INVITATION TO BID For Local Infrastructure Program – Construction of Multi-Purpose Covered Cou</t>
  </si>
  <si>
    <t xml:space="preserve"> Construction of Other Building</t>
  </si>
  <si>
    <t xml:space="preserve"> pls see attached</t>
  </si>
  <si>
    <t xml:space="preserve"> Contract ID: 20-DO-0078 Contract Name: Local Program – Construction/Repair/Rehabilitation/Improvement of Various Infrastructure including Local Projects – Buildings and Other Structures – Multipurpose/Facilities – Construction of Multi-purpose/Facilities,</t>
  </si>
  <si>
    <t xml:space="preserve"> Contract ID: 20-DO-0082 Contract Name: ORGANIZATIONAL OUTCOME 1: Ensure Safe and Reliable National Road System – Asset Preservation Program – Rehabilitation/ Reconstruction of Roads with Slips, Slope Collapse and Landslide – Tertiary Roads – Marikina Infa</t>
  </si>
  <si>
    <t xml:space="preserve"> Republic of the Philippines Province of Quezon Municipality of San Francisco   BIDS &amp; AWARDS COMMITTEE INVITATION TO APPLY FOR ELIGIBILITY AND TO BID     The Municipality of San Francisco through General Fund intends to apply the sum of One Million Pesos </t>
  </si>
  <si>
    <t xml:space="preserve"> Republic of the Philippines DEPARTMENT OF PUBLIC WORKS AND HIGHWAYS BATANGAS II  DISTRICT ENGINEERING OFFICE REGIONAL OFFICE IV-A Kumintang Ilaya, Batangas City INVITATION TO BID For Local Infrastructure Program – Construction of Multi-Purpose Building, S</t>
  </si>
  <si>
    <t xml:space="preserve"> KADTACAN SLAB BRIDGE</t>
  </si>
  <si>
    <t xml:space="preserve"> Republic of the Philippines DEPARTMENT OF PUBLIC WORKS AND HIGHWAYS BATANGAS II  DISTRICT ENGINEERING OFFICE REGIONAL OFFICE IV-A Kumintang Ilaya, Batangas City INVITATION TO BID For Local Infrastructure Program – Rehabilitation of Road along San Isidro -</t>
  </si>
  <si>
    <t xml:space="preserve"> The Municipality of Bay, through the GOP – 5% MDRRMO intends to apply the sum of Two Hundred Fourteen Thousand Two Hundred Eighty Eight Pesos and Sixty Seven Centavos Only (PHP 214,288.67) being the Approved Budget for the Contract (ABC) to payments under</t>
  </si>
  <si>
    <t xml:space="preserve"> Republic of the Philippines DEPARTMENT OF PUBLIC WORKS AND HIGHWAYS BATANGAS III DISTRICT ENGINEERING OFFICE REGIONAL OFFICE IV-A J. Gonzales St., Barangay 4, Tanauan City RE-INVITATION TO BID (CW-2020-030) The DPWH–Batangas III District Engineering Offic</t>
  </si>
  <si>
    <t xml:space="preserve"> Republic of the Philippines DEPARTMENT OF PUBLIC WORKS AND HIGHWAYS BATANGAS III DISTRICT ENGINEERING OFFICE REGIONAL OFFICE IV-A J. Gonzales St., Barangay 4, Tanauan City INVITATION TO BID (GS-2020-004) The Department of Public Works and Highways (DPWH),</t>
  </si>
  <si>
    <t xml:space="preserve"> Asphalt Overlay</t>
  </si>
  <si>
    <t xml:space="preserve"> Republic of the Philippines Region XII Province of Cotabato City of Kidapawan OFFICE OF THE BIDS AND AWARD COMMITTEE May 28, 2020 INVITATION TO BID FOR  SUPPLY OF FUEL FOR THE USE OF THE RP VEHICLES OF THE CITY MAYOR’S OFFICE, KIDAPAWAN CITY The CITY GOVE</t>
  </si>
  <si>
    <t xml:space="preserve"> Republic of the Philippines Region XII Province of Cotabato CITY OF KIDAPAWAN BIDS AND AWARDS COMMITTEE Invitation to Bid 						  		          Date: May 28, 2020 1.	The City Government of Kidapawan, through the 20% Economic Development Fund CY 2020/AO No. </t>
  </si>
  <si>
    <t xml:space="preserve"> Republic of the Philippines DEPARTMENT OF PUBLIC WORKS AND HIGHWAYS BATANGAS II  DISTRICT ENGINEERING OFFICE REGIONAL OFFICE IV-A Kumintang Ilaya, Batangas City INVITATION TO BID For Local Infrastructure Program – Construction of Batangas Access Zone - We</t>
  </si>
  <si>
    <t xml:space="preserve"> CONTINUATION OF PUCHU-CHURSO PATHWAY</t>
  </si>
  <si>
    <t xml:space="preserve"> Republic of the Philippines Region XII Province of Cotabato CITY OF KIDAPAWAN BIDS AND AWARDS COMMITTEE Invitation to Bid 						  		           Date: May 28, 2020 1.	The City Government of Kidapawan, through the Trust Fund CY 2020 LGSF-AC   intends to appl</t>
  </si>
  <si>
    <t xml:space="preserve"> Republic of the Philippines                                                               Province of Leyte                                                              Municipality of Jaro                                                               Bar</t>
  </si>
  <si>
    <t xml:space="preserve"> Republic of the Philippines Region XII Province of Cotabato CITY OF KIDAPAWAN BIDS AND AWARDS COMMITTEE Invitation to Bid 						  		             Date: May 28, 2020 1.	The City Government of Kidapawan, through the 20% EDF CY 2020   intends to apply the sum</t>
  </si>
  <si>
    <t xml:space="preserve"> Invitation to Bid for SUPPLY AND DELIVERY OF MATERIALS FOR PROVISION OF THREE PHASE POWER SUPPLY SYSTEM AT LOOC PUBLIC MARKET, FISH LANDING AND PROCESSING CENTER The Municipal Government of Looc, Romblon, through the Appropriation Ordinance No. 010-2018 i</t>
  </si>
  <si>
    <t xml:space="preserve"> Invitation to Bid for SUPPLY AND DELIVERY OF VARIOUS OFFICE EQUIPMENT  FOR MDRRM OFFICE The Municipal Government of Looc, Romblon, through the AO-NO. 018-2019 Regular intends to apply the sum of Eighty Thousand Pesos Only (P 80,000.00) being the Approved </t>
  </si>
  <si>
    <t xml:space="preserve"> Republic of the Philippines Region XII Province of Cotabato CITY OF KIDAPAWAN BIDS AND AWARDS COMMITTEE Invitation to Bid 				  		            Date: May 28, 2020 1.	The City Government of Kidapawan, through the Office of the City Mayor Infra Support Progra</t>
  </si>
  <si>
    <t xml:space="preserve"> Contract Name: 20GKF0028-Purchase of Various Oil and Lubricants for use in Corrective Maintenance of Service Vehicle assigned in Construction Section Contract Location: Iligan City Brief Description of Goods to be Procured: various oils and lubricants (se</t>
  </si>
  <si>
    <t xml:space="preserve"> Republic of the Philippines Region XII Province of Cotabato CITY OF KIDAPAWAN BIDS AND AWARDS COMMITTEE Invitation to Bid 						  		           Date: May 28, 2020 1.	The City Government of Kidapawan, through the LDRRMF CY 2020   intends to apply the sum of</t>
  </si>
  <si>
    <t xml:space="preserve"> This project is from Barangay Ebarle, Josefina, Zamboanga del Sur, from Purok Hill Top to Masapak Falls. They have to open a road for the improvement of their soon to be tourists spot.</t>
  </si>
  <si>
    <t xml:space="preserve"> Project billboad 1.00 lot Excavation for structures 132.00 cu.m. Gabion Basket: 4-3-2-1 460.00 cu.m. Gabion mattress 79.20 cu.m. backfill 132.00 cu.m.</t>
  </si>
  <si>
    <t xml:space="preserve"> Contract ID	No. 	      	: 20AD0109 Contract Name	      	: Rehabilitation of Galimuyod Pulic Market Contract Location	      	: Poblacion, Galimuyod, Ilocos Sur	       Brief Description	      	: Construction of Multi-Purpose Building Approved Budget for  th</t>
  </si>
  <si>
    <t xml:space="preserve"> 1.	The OCCIDENTAL MINDORO STATE COLLEGE (OMSC), through the Special Trust Fund intend to apply the sum of Three Million Five Hundred Fifty Thousand Six Hundred Twenty Nine Pesos Only (Php3,550,629.00) being the Approved Budget for the Contract (ABC) to pa</t>
  </si>
  <si>
    <t xml:space="preserve"> Proposed Installation of Fire Sprinklers System &amp; FDAS, Malimono District Hospital, Surigao del Norte (Designed &amp; Build)- Rebidding</t>
  </si>
  <si>
    <t xml:space="preserve"> Proposed Upgrading/Construction of Albor District Hospital, Dinagat Island</t>
  </si>
  <si>
    <t xml:space="preserve"> Request for Quotation RFQ No.		SVP-004-2020 MR No.		06204 Requisition No. 	CN-2019-22 Posting Date:         	May 29, 2020 Deadline for Submission:		June 4, 2020 at 9:00 AM Opening Date:	June 4, 2020 at 10:00 AM 	 TO:	Name of Supplier:_____________________</t>
  </si>
  <si>
    <t xml:space="preserve"> Proposed Installation of Fire Sprinklers System &amp; FDAS, Albor District Hospital, PDI (Designed &amp; Build)- Rebidding</t>
  </si>
  <si>
    <t xml:space="preserve"> Proposed Installation of Fire Sprinklers System &amp; FDAS, Mainit Medicare Hospital, Surigao del Norte (Designed &amp; Build)- Rebidding</t>
  </si>
  <si>
    <t xml:space="preserve"> The Municipality of Bay, Laguna through the GOP/General Fund intends to apply the sum of One Million Two Hundred Thirty Thousand Pesos Only (Php, 1,230,000.00) being the Approved Budget for the Contract (ABC) to payments under the contract for the Procure</t>
  </si>
  <si>
    <t xml:space="preserve"> Proposed Construction  of Loreto District Hospital-ISO Ward Building, Dinagat Island</t>
  </si>
  <si>
    <t xml:space="preserve"> Proposed Installation of Fire Sprinklers System &amp; FDAS, Las Nieves Municipal Hospital, Agusan del Norte (Designed &amp; Build)- Rebidding</t>
  </si>
  <si>
    <t xml:space="preserve"> Proposed Installation of Fire Sprinklers System &amp; FDAS, Jabonga District Hospital, Agusan del Norte (Designed &amp; Build)- Rebidding</t>
  </si>
  <si>
    <t xml:space="preserve"> The Local Government Unit of the Island Garden City of Samal, through the 20% Development Fund CY 2020 intends to apply the sum of Six Million Seven Hundred Fifty Three Thousand Five Hundred Pesos Only (₱6,753,500.00) being the Approved Budget for the Con</t>
  </si>
  <si>
    <t xml:space="preserve"> Proposed Installation of Fire Sprinklers System &amp; FDAS, Loreto District Hospital Agusan del Sur (Designed &amp; Build)- Rebidding</t>
  </si>
  <si>
    <t xml:space="preserve"> The Local Government Unit of the Island Garden City of Samal, through the General Funds CY 2020 intends to apply the sum of Nine Million Nine Hundred Eighty Six Thousand Four Hundred Thirty Six Pesos and Eighty Seven Centavos Only (₱9,986,436.87) being th</t>
  </si>
  <si>
    <t xml:space="preserve"> REPUBLIC OF THE PHILIPPINES MUNICIPALITY OF MANJUYOD MANJUYOD, NEGROS ORIENTAL Section I. Invitation to Bid Invitation to Bid for Improvement of Children’s Resource Center CY 2019-1% LCPC 1.	The Municipality of Manjuyod, through the CY 2019-1% LCPC intend</t>
  </si>
  <si>
    <t xml:space="preserve"> The Local Government Unit of the Island Garden City of Samal, through the Trust Fund CY 2020 intends to apply the sum of Fourteen Million Twenty Two Thousand Eight Hundred Twenty Five Pesos Only (₱14,022,825.00) being the Approved Budget for the Contract </t>
  </si>
  <si>
    <t xml:space="preserve"> Republic of the Philippines Province of Iloilo Municipality of Lemery 	 Invitation to Bid 1.	The Municipality of  Lemery, Iloilo, through  the  1% LCPC Fund   intends to apply the sum of  Two Hundred Fifty Thousand Pesos (250,000.00) being the Approved  B</t>
  </si>
  <si>
    <t xml:space="preserve"> Proposed Construction of Medical Record &amp; Stock Room Building, Esperanza Medicare Hospital</t>
  </si>
  <si>
    <t xml:space="preserve"> Republic of the Philippines Province of Iloilo Lemery Iloilo Invitation to Bid for Purchase of Facilities and Equipment  of Teen Center 1.	The Municipality of Lemery, Iloilo, through the Provincial Aid  intends to apply the sum of  Two Hundred Thousand  P</t>
  </si>
  <si>
    <t xml:space="preserve"> REPUBLIC OF THE PHILIPPINES MUNICIPALITY OF MANJUYOD MANJUYOD, NEGROS ORIENTAL Section I. Invitation to Bid Invitation to Bid for Construction of Multi Purpose Pavement @ Sitio Mayagak, Brgy. Bagtic CY 2019-20% EDF 1.	The Municipality of Manjuyod, through</t>
  </si>
  <si>
    <t xml:space="preserve"> INVITATION TO BID     20-073 Name of Project	:	Quality Palay Seeds for Rehabilitation Program in the Province of Laguna  Location	:	Sta. Cruz, Laguna Brief Description	:	40Kg./Bag Approved Budget For the Contract	:	998,640.00 Delivery Period 	:	10 Calenda</t>
  </si>
  <si>
    <t xml:space="preserve"> 1.	Contract ID	No. 	      	: 20AD0108 Contract Name	      	: Construction/Rehabilitation of Water Supply/Septage and Sewerage/                                            Rain Water Collectors-Rain Water Collector System, Ilocos Sur 2nd LD Contract Locatio</t>
  </si>
  <si>
    <t xml:space="preserve"> The Local Government Unit of the Island Garden City of Samal, through the Trust Fund(SGLG)  intends to apply the sum of Three Million One Hundred Thirty Eight Thousand Four Hundred Sixty Nine Pesos &amp; Fifty Two Centavos only (₱3,138,469.52) being the Appro</t>
  </si>
  <si>
    <t xml:space="preserve"> REPUBLIC OF THE PHILIPPINES MUNICIPALITY OF MANJUYOD MANJUYOD, NEGROS ORIENTAL Section I. Invitation to Bid Invitation to Bid for Completion of Crisis Center Building CY 2018-5% GAD 1.	The Municipality of Manjuyod, through the CY 2018-5% GAD intends to ap</t>
  </si>
  <si>
    <t xml:space="preserve"> Republic of the Philippines Region XII Province of Cotabato City of Kidapawan OFFICE OF THE BIDS AND AWARD COMMITTEE May 28, 2020 INVITATION TO BID FOR  SUPPLY OF FUEL FOR THE USE OF THE RP VEHICLE OF THE DIFFERENT SECTIONS (ANTI-DRUG, PNP, TMU, BFP, BJMP</t>
  </si>
  <si>
    <t xml:space="preserve"> Republic of the Philippines Province of Pangasinan Municipality of Bugallon OFFICE OF THE BIDS AND AWARDS COMMITTEE INVITATION TO BID The Barangay Poblacion of the Municipality of Bugallon, Pangasinan, through its Bids and Awards Committee (BAC), invites </t>
  </si>
  <si>
    <t xml:space="preserve"> The Local Government Unit of the Island Garden City of Samal, through the General Fund CY 2020 intends to apply the sum of Seventeen Million Five Hundred Ninety Thousand Eight Hundred Twelve Pesos and Sixty Centavos Only (₱17,590,812.60) being the Approve</t>
  </si>
  <si>
    <t xml:space="preserve"> The Local Government Unit of the Island Garden City of Samal, through the 20%Development Fund intends to apply the sum of Four Million Nine Hundred Twenty One Thousand Five Hundred Sixty Pesos only (₱4,921,560.00) being the Approved Budget for the Contrac</t>
  </si>
  <si>
    <t xml:space="preserve"> The Local Government Unit of the Island Garden City of Samal, through the CDRRM Fund intends to apply the sum of One Million Forty Nine Thousand Three Hundred Thirty Pesos and Eleven Centavos only (₱1,049,330.11) being the Approved Budget for the Contract</t>
  </si>
  <si>
    <t xml:space="preserve"> The Local Government Unit of the Island Garden City of Samal, through the 20%Dev’t. Fund(2020)  intends to apply the sum of Nine Hundred Fifty Six Thousand Two Hundred Eighty Pesos and Forty Two Centavos only (₱956,280.42) being the Approved Budget for th</t>
  </si>
  <si>
    <t xml:space="preserve"> INVITATION TO BID      20-071 Name of Project	:	I.V. Fluids for LPH-San Pablo City District Hospital  Location	:	San Pablo City Brief Description	:	Various I.V. Fluids Approved Budget For the Contract	:	1,769,080.00 Delivery Period 	:	10 Calendar Days    </t>
  </si>
  <si>
    <t xml:space="preserve"> The Local Government Unit of the Island Garden City of Samal, through the 20% Dev’t. Fund 2020 intends to apply the sum of One Million Seven Hundred Thirty Two Thousand Two Hundred Thirty Two Pesos and Thirty Nine Centavos only (₱1,732,232.39) being the A</t>
  </si>
  <si>
    <t xml:space="preserve"> REPUBLIC OF THE PHILIPPINES MUNICIPALITY OF MANJUYOD MANJUYOD, NEGROS ORIENTAL Section I. Invitation to Bid Invitation to Bid for Construction of Fence Around Multi Purpose Building @ Brgy. Concepcion CY 2019-20% EDF 1.	The Municipality of Manjuyod, throu</t>
  </si>
  <si>
    <t xml:space="preserve"> The Local Government Unit of the Island Garden City of Samal, through the City Fund (20%DF) intends to apply the sum of One Million Eight Hundred Twenty Eight Thousand Eight Pesos only (₱1,828,008.00) being the Approved Budget for the Contract (ABC) to pa</t>
  </si>
  <si>
    <t xml:space="preserve"> The Local Government Unit of the Island Garden City of Samal, through the 20%Dev’t. Fund(SB#01)  intends to apply the sum of One Million Eighty Two Thousand Three Hundred Seventy Nine Pesos and Eighty Nine Centavos only (₱1,082,379.89) being the Approved </t>
  </si>
  <si>
    <t xml:space="preserve"> Proposed Upgrading of Cabadbaran District Hospital (Construction of Additional Wards)</t>
  </si>
  <si>
    <t xml:space="preserve"> INVITATION TO BID     20-070 Name of Project	:	Food Subsistence for Laguna Provincial Jail Inmates from July 1  to December 31, 2020 Location	:	Sta. Cruz, Laguna Brief Description	:	50.00 / Inmate / Day Approved Budget For the Contract	:	50.00 / Inmate / </t>
  </si>
  <si>
    <t xml:space="preserve"> Please see attached Bid Documents, Program of Works, and Detailed Estimate for Reference. For Queries or concern you may contact us through: BAC.SDOBenguet@gmail.com from Mondays to Fridays (8:00AM to 5:00PM) except on holidays and weekends. Drawings will</t>
  </si>
  <si>
    <t xml:space="preserve"> The Local Government Unit of the Island Garden City of Samal, through the 20% Dev’t. Fund 2020 intends to apply the sum of One Million One Hundred Fifty Eight Thousand Nine Hundred Fifty Nine Pesos and Twenty One Centavos only (₱1,158,959.21) being the Ap</t>
  </si>
  <si>
    <t xml:space="preserve"> Republic of the Philippines Province of Surigao del Sur MUNICIPALITY OF LANUZA REQUEST FOR EXPRESSION OF INTEREST FOR THE FORMULATION OF CLUP WITH ZONING ORDINANCE OF THE MUNICIPALITY OF LANUZA The Municipality of Lanuza, through the Local Funds intends t</t>
  </si>
  <si>
    <t xml:space="preserve"> Republic of the Philippines Province of Surigao del Sur MUNICIPALITY OF LANUZA REQUEST FOR EXPRESSION OF INTEREST FOR Implementation of the PSF Funded Projects The Municipality of Lanuza, through the People’s Survival Fund intends to apply the sum of Two </t>
  </si>
  <si>
    <t xml:space="preserve"> The Municipality of Sta. Cruz through its Bids and Awards Committee (BAC), invites suppliers to apply for eligibility and if found eligible, to bid for the hereunder contract: 	Name of Project	: Improvement and Concreting of Farm to Market Road, Villa Her</t>
  </si>
  <si>
    <t xml:space="preserve"> The Municipality of Sta. Cruz through its Bids and Awards Committee (BAC), invites suppliers to apply for eligibility and if found eligible, to bid for the hereunder contract: 	Name of Project	: Improvement of Local Access Road, Sitio Kintayum, Calaoaan	 </t>
  </si>
  <si>
    <t xml:space="preserve"> The Local Government Unit of the Island Garden City of Samal, through the Trust Fund intends to apply the sum of Three Million Four Hundred Fourteen Thousand Eight Hundred Eighty Two Pesos and Forty Six Centavos (₱3,414,882.46) being the Approved Budget f</t>
  </si>
  <si>
    <t xml:space="preserve"> PROCUREMENT OF ONE (1) UNIT DIGITAL COMMUNICATION BOARD OF THE MUNICIPALITY OF SANTO DOMINGO, ILOCOS SUR. SPECIFICATION/DESCRIPTION P5.9 Outdoor LED Display, Wall Mounted 3 meters (h) x 4 meters (w) or 12 sq.m others: a. Laptop with LED Software b. Power </t>
  </si>
  <si>
    <t xml:space="preserve"> REPUBLIC OF THE PHILIPPINES MUNICIPALITY OF MANJUYOD MANJUYOD, NEGROS ORIENTAL Section I. Invitation to Bid Invitation to Bid for Concreting of Road at Bgy. Bagtic CY 2019-20% EDF 1.	The Municipality of Manjuyod, through the CY 2019-20% EDF intends to app</t>
  </si>
  <si>
    <t xml:space="preserve"> Construction of Concrete Bridge; L=24m/228.960 sq.m</t>
  </si>
  <si>
    <t xml:space="preserve"> The Municipality of Sta. Cruz through its Bids and Awards Committee (BAC), invites suppliers to apply for eligibility and if found eligible, to bid for the hereunder contract: 	Name of Project	: Improvement and Concreting of Farm to Market Road, Quinsoria</t>
  </si>
  <si>
    <t xml:space="preserve"> Construction of Slope Protection for 3 Storey 12 Classroom (6 Reg. Workshops)</t>
  </si>
  <si>
    <t xml:space="preserve"> INVITATION TO BID SUPPLY, DELIVERY AND IMPLEMENTATION OF APPLIANCE-BASED APPLICATION DELIVERY CONTROLLERS (ADC) The Pag-IBIG Fund Corporate Headquarters, through its Bids and Awards Committee – Information Technology Resources (BAC-ITR) intends to apply t</t>
  </si>
  <si>
    <t xml:space="preserve"> The Philippine National Police (PNP) Health Service (HS) invites all PhilGEPS-accredited suppliers to apply for eligibility and to bid for the Procurement of Medical, Dental &amp; Laboratory Supplies. Approved Budget for Contract: Php8,310,000.00 Bid Document</t>
  </si>
  <si>
    <t xml:space="preserve"> REPUBLIC OF THE PHILIPPINES MUNICIPALITY OF MANJUYOD MANJUYOD, NEGROS ORIENTAL Section I. Invitation to Bid Invitation to Bid for Expansion of Level III Water System at Campuyo AM 2019 1.	The Municipality of Manjuyod, through the AM 2019 intends to apply </t>
  </si>
  <si>
    <t xml:space="preserve"> The Philippine National Police (PNP) Health Service (HS) invites all PhilGEPS-accredited suppliers to apply for eligibility and to bid for the Procurement of Medical, Dental &amp; Laboratory Supplies. Approved Budget for Contract: Php8,299,500.00 Bid Document</t>
  </si>
  <si>
    <t xml:space="preserve"> Republic of the Philippines Province of Negros Oriental Municipality of Sibulan OFFICE OF THE BIDS AND AWARDS COMMITTEE INVITATION TO APPLY FOR ELIGIBILITY AND TO BID The Municipality of Sibulan, Negros Oriental invites all interested supplier for the PUR</t>
  </si>
  <si>
    <t xml:space="preserve"> A concrete Mixture, A=1000.00 sq.m L=500.00m w= 2m.0m, t=0.15m</t>
  </si>
  <si>
    <t xml:space="preserve"> Class"AA" Concrete Mixture, A=120 sq.m</t>
  </si>
  <si>
    <t xml:space="preserve"> Class"AA" Concrete Mixture Area=276 sq.m,t=0.15m</t>
  </si>
  <si>
    <t xml:space="preserve"> REPUBLIC OF THE PHILIPPINES MUNICIPALITY OF MANJUYOD MANJUYOD, NEGROS ORIENTAL Section I. Invitation to Bid Invitation to Bid for Improvement of Drainage Canal in Metro Poblacion Area CY 2019-70% of 5% Calamity Fund  1.	The Municipality of Manjuyod, throu</t>
  </si>
  <si>
    <t xml:space="preserve"> Hole=2x2m, t=0.25m with apron, 11m lenght approach,head and wingwalls, Class "AA" Mixture</t>
  </si>
  <si>
    <t xml:space="preserve"> Class "AA" Concrete Mixture, A=2072 sq.m</t>
  </si>
  <si>
    <t xml:space="preserve"> A=1,968 sq.m, w=4 m, t=0.15m, Shoulder= 0.50m</t>
  </si>
  <si>
    <t xml:space="preserve"> REPUBLIC OF THE PHILIPPINES MUNICIPALITY OF MANJUYOD MANJUYOD, NEGROS ORIENTAL Section I. Invitation to Bid Invitation to Bid for Road Concreting at Brgy. Kauswagan CY 2019-20% EDF 1.	The Municipality of Manjuyod, through the CY 2019-20% EDF intends to ap</t>
  </si>
  <si>
    <t xml:space="preserve"> INVITATION TO BID FOR THE  PURCHASE OF IT EQUIPMENT – SPO 1.	The City Government of Bacoor, Cavite, through the General Fund Year 2020 intends to apply the sum of TWO MILLION THIRTY SIX THOUSAND PESOS AND ZERO CENTAVO (PhP2,036,000.00) being the Approved </t>
  </si>
  <si>
    <t xml:space="preserve"> Proposed Construction of Berseba BHS, Brgy. Berseba, Bayugan City, Agusan del Sur</t>
  </si>
  <si>
    <t xml:space="preserve"> REPUBLIC OF THE PHILIPPINES MUNICIPALITY OF MANJUYOD MANJUYOD, NEGROS ORIENTAL Section I. Invitation to Bid Invitation to Bid for Concreting of 210m. Sitio Balangisig Access Road at Bgy. Concepcion Addendum No. 3          CY 2019 1.	The Municipality of Ma</t>
  </si>
  <si>
    <t xml:space="preserve"> Bid Data Sheet ITB Clause	 1.1	The Procuring Entity is DPWH- Ifugao Second District Engineering Office The evaluation procedure is:  Quality Cost Based Evaluation  NOTE: QCBE – (GOP) Technical and Financial Scores are combined to determine the winner. ABC</t>
  </si>
  <si>
    <t xml:space="preserve"> 302 cu.m Aggregate Base Course (2" Crush Stone) 1,260 liters Diesoline 2  pails Oil 68(Hydraulic Oil) 1 pail Oil 40 (Gear Oil) 2 gals OIl 40 (Diesel Oil) 2 liters Brake Fluid</t>
  </si>
  <si>
    <t xml:space="preserve"> Conctract ID No.:	19K00472 Conctract Name	:	Construction of Four Storey School Building with Twenty (20) Classrooms in the Integrated School of Brgy. Moncado Kadingilan in the Most Affected Area of Marawi City Conctract Location:	Marawi City, Lanao del Su</t>
  </si>
  <si>
    <t xml:space="preserve"> LUBRICANT, WIRE ROPE	 	 	 SPECIFICATIONS:	 SEMI FLUID WIRE ROPE DRESSING FOR EASY APPLICATION AND ROPE PENETRATION WHICH RESIST FLING-OFF AND WATER WASH-OUT. CONTAINS NO SOLVENT DILUENT. WIRE ROPE	 DRESSING WILL PENETRATE RIGHT INTO THE CORE OF THE ROPE, </t>
  </si>
  <si>
    <t xml:space="preserve"> Conctract ID No.	:	20K00311 Conctract Name	:	Construction of Flood Control Mitigation along Bubong River, Bubong, Lanao del Sur Conctract Location	:	Lanao del Sur Scope of Work	:	Construction of Flood Mitigation Structure Appropriation	:	PHP 100,000,000.0</t>
  </si>
  <si>
    <t xml:space="preserve"> CAMERA DLSR 20 MP MIN. W/MOVIE MAKER; AT LEAST 24.3 MP3 FOR MORE DETAILS KINDLY SEND EMAIL SO THAT WE CAN EMAIL COMPLETE SPECS.</t>
  </si>
  <si>
    <t xml:space="preserve"> Conctract ID No. :	19K00471 Conctract Name	:	Construction of Marawi City Central Fire Station in the Most Affected Area of Marawi City Conctract Location :	Marawi City, Lanao del Sur Scope of Work :	Rhab. of Disaster-Related Infrastructure and other facil</t>
  </si>
  <si>
    <t xml:space="preserve"> 3 sets Desktop Computer w/ accessories Processor: Intel Corei5-9400 (9M Cache, up to 4.10 GHz) OS: Windows 10 Pro 64 bit Video Card: NVIDIA GeForce GTX 1650 4GB GDDR5 Memory: 8GB HyperXFury DDR4 2666Mhz Hard Drive: 250 GB M.2 PCle NVMe Solid State Drive+1</t>
  </si>
  <si>
    <t xml:space="preserve"> Window Roller Blinds - 2 pieces (70cm-length &amp; 55cm-height) - 2 pieces (72cm-length &amp; 55cm-height) - With Pleats 4 pieces</t>
  </si>
  <si>
    <t xml:space="preserve"> 20F00089 - OO2: Protect Lives and Properties Against Major Floods – Flood Management Program – Construction/Maintenance of Flood Mitigation Structures and Drainage Systems - Legazpi City Coastal Road (Yawa Bridge 2), Albay, Legazpi City, Albay 2nd Legisla</t>
  </si>
  <si>
    <t xml:space="preserve"> INVITATION TO BID					 					 Purchase and Delivery of Office and Janitorial Supplies					 ITB 2020-05-027(GOODS)					 					 1. The Municipality of Tuba, through the Budget for the contract approved by the Sangguniang Bayan for CY 2020 intends to apply the</t>
  </si>
  <si>
    <t xml:space="preserve"> Republic of the Philippines Province of Leyte Municipality of Palompon oOo BIDS &amp; AWARD COMMITTEE Invitation to Bid for  UPGRADING OF OLD TRANSMISSION LINE (TAMBAN SPRING) 2020-1706-012 Project Identification No. 1.	The Local Government Unit of the Munici</t>
  </si>
  <si>
    <t xml:space="preserve"> Republic of the Philippines  City of Canlaon Office of the Bids and Awards Committee  INVITATION TO BID FOR the Improvement of Water System The Local Government of Canlaon City, through AIP 2020. Intends to apply the sum Three Hundred Twenty three Thousan</t>
  </si>
  <si>
    <t xml:space="preserve"> REPUBLIC OF THE PHILIPPINES CITY GOVERNMENT OF OROQUIETA BIDS AND AWARD COMMITTEE City Hall, Oroquieta City                                                                                                                       May 27, 2020                 </t>
  </si>
  <si>
    <t xml:space="preserve"> SEALED BID NO.:HBAC-A2-2020-05-0687 DATE:       27 May  2020 Gentlemen:	 		 	Please quote your price for item/s indicated below. Price quoted is final, and without condition and inclusive of all taxes. Bid Proposal should be submitted in sealed envelope, </t>
  </si>
  <si>
    <t xml:space="preserve"> Supply and Delivery of Materials</t>
  </si>
  <si>
    <t xml:space="preserve"> CONCRETING OF FMR-BRGY. GUISICAN Purok 7, Brgy. Guisican, Labo, Cams. Norte</t>
  </si>
  <si>
    <t xml:space="preserve"> CONSTRUCTION OF BRGY. ROAD AT TIGBINAN Brgy. Tigbinan, Labo, Cams. Norte</t>
  </si>
  <si>
    <t xml:space="preserve"> Contract ID No.	: 20K00084 Contract Name	: Construction of Regional Police Security and Protection Units (RSPUs) and Presidential Protection Division (PPD) Building under the Police Security and Protection Group (PSPG)  - PNP-RSPU, Cagayan de Oro City    </t>
  </si>
  <si>
    <t xml:space="preserve"> Contract ID: 20CD0162      Contract Name:  Repair/Maintenance of Drainage along Muzon-Tungkong                               Mangga Road, K0041+(-480) – K0041+(-070) Muzon Section,                                City of San Jose del Monte, Bulacan      Co</t>
  </si>
  <si>
    <t xml:space="preserve"> Conctract ID No.:	:	20K00309 Conctract Name:	:	Construction of Balabagan Municipal Police Station Building, Balabagan, Lanao Del Sur Conctract Location:	:	Lanao del Sur Scope of Work:	:	Construction of Multi-Purpose Building Appropriation:	:	PHP 6,400,000</t>
  </si>
  <si>
    <t xml:space="preserve"> Contract ID: 20CD0161      Contract Name:  Construction/Rehabilitation of Water Supply/Septage and                               Sewerage/Rain Water Collectors – Rain Water Collectors in                                Public Facilities – Region III      C</t>
  </si>
  <si>
    <t xml:space="preserve"> Comics production</t>
  </si>
  <si>
    <t xml:space="preserve"> CONSTRUCTION OF DRAINAGE Brgy. Anahaw, Labo, Cams. Norte</t>
  </si>
  <si>
    <t xml:space="preserve"> Republic of the Philippines Province of Leyte 		Municipality of Bato Brgy. Osmeña, Bato, Leyte INVITATION TO BID  FOR THE SUPPLY AND DELIVERY OF VARIOUS CONSTRUCTION MATERIALS FOR THE CONSTRUCTION OF MULTI-PURPOSE HALL (PHASE II) OF BRGY. OSMEÑA, BATO, LE</t>
  </si>
  <si>
    <t xml:space="preserve"> CONCRETING OF FMR-BRGY. LUGUI Purok 2, Brgy. Lugui, Labo, Cams. Norte</t>
  </si>
  <si>
    <t xml:space="preserve"> Republic of the Philippines Province of Negros Oriental Municipality of Sibulan OFFICE OF THE BIDS AND AWARDS COMMITTEE INVITATION TO APPLY FOR ELIGIBILITY AND TO BID The Municipality of Sibulan, Negros Oriental invites all interested suppliers for the PU</t>
  </si>
  <si>
    <t xml:space="preserve"> INVITATION TO BID FOR THE PURCHASE OF COMPUTER SUPPLIES FOR VARIOUS OFFICES (2ND BID OPENING) 1.	The Local Government Unit of Manolo Fortich, through the General Fund  intends to apply the sum of One Million Sixty Nine Thousand Six Hundred Ninety Pesos (P</t>
  </si>
  <si>
    <t xml:space="preserve"> 1	SQL Database Management System Software - No. of cores: 4 - Adaptable to future technology enhancements - Reduced complexity - Professional, enterprise-level database management, such as supporting triggers and close integration with the .NET framework.</t>
  </si>
  <si>
    <t xml:space="preserve"> 1	Residual Shredder Machine 2 HP Electric Motor 2	Biodegradable Shredder Machine 2 HP Electric Motor 3	Bottle Crusher 2 HP Electric Motor 4	Manual Billing Machine Manual Operation with Handle 5	Mobile Segregation Bin - purpose bins 4 doors and 4 swing doo</t>
  </si>
  <si>
    <t xml:space="preserve"> Potable Water System Materials &amp; Fittings</t>
  </si>
  <si>
    <t xml:space="preserve"> Republic of the Philippines Province of Iloilo Municipality of New Lucena    New Lucena, Iloilo 							         May 28, 2020     Invitation to Bid for the Completion/Construction of Multi – Purpose Gym, Brgy. Cabugao,New Lucena , Iloilo.  	1. The Municipa</t>
  </si>
  <si>
    <t xml:space="preserve"> CONSTRUCTION OF LIBRARY HUB AT DAGUIT NATIONAL HIGHSCHOOL Brgy. Daguit, Labo, Cams. Norte</t>
  </si>
  <si>
    <t xml:space="preserve"> 1.	The Local Government Unit of Tubigon, Bohol, through the General Appropriations Act (FY 2019 Performance Challenge Fund) intends to apply the sum of Two Million Three Hundred Thousand Pesos (PhP2,300,000.00) being the Approved Budget for the Contract (</t>
  </si>
  <si>
    <t xml:space="preserve"> The Municipality of Bay, through the GOP – 20% Economic Development Fund (EDF) intends to apply the sum of One Million Two Hundred Thousand Nine Pesos and Eleven Centavos Only (PHP 1,200,009.11) being the Approved Budget for the Contract (ABC) to payments</t>
  </si>
  <si>
    <t xml:space="preserve"> Contract ID: 20CD0166      Contract Name: Repair/Maintenance of DILG Building Bureau of Fire Protection-                              Meycauayan Fire Station, Meycauayan City, Bulacan      Contract Location: Meycauayan City, Bulacan      Brief Description</t>
  </si>
  <si>
    <t xml:space="preserve"> Supply and Delivery of 1-Unit Backhoe (Truck Pad Type)  (Spec: Engine displacement: 3.9 ;Engine power: 86/2,200-104/2,200 kw/rpm; Operating Weight: 14,000-15,000kg ;Bucket Capacity: 0.56-0.58 cu.m Bucket digging force: 85-95kn;Swing device driving type: h</t>
  </si>
  <si>
    <t xml:space="preserve"> Contract ID: 20CD0163      Contract Name:  Repair/Maintenance of DA Building Bureau of Soil &amp; Water                               Management Green House, Poblacion, San Ildefonso, Bulacan      Contract Location: San Ildefonso, Bulacan      Brief Descripti</t>
  </si>
  <si>
    <t xml:space="preserve"> INVITATION TO BID The Department of Public Works and Highways (DPWH), Cavite 3rd District Engineering Office, Carmona, Cavite through its Bids and Awards Committee (BAC), invites contractors to submit bids for the following Contract:   4. Contract I.D. No</t>
  </si>
  <si>
    <t xml:space="preserve"> Republic of the Philippines Province of Iloilo Municipality of New Lucena    New Lucena, Iloilo 							         May 28, 2020     Invitation to Bid for the Completion/Construction of Multi – Purpose Gym,  Brgy. Cagban, New Lucena , Iloilo.  	1. The Municip</t>
  </si>
  <si>
    <t xml:space="preserve"> VARIOUS CONSTRUCTION  MATERIALS AND SUPPLIES (ATTACHED REQUEST FOR QUOTATION)</t>
  </si>
  <si>
    <t xml:space="preserve"> The DPWH Neg. Occ. 4th District Engineer Office, Bago City, Neg. Occ., through its Bids and Awards Committee (BAC) for Goods, invites suppliers/agency to submit bids for the following Contract: 1.	Contract ID No.:    	20GGN0089 	Contract Name:   	Procurem</t>
  </si>
  <si>
    <t xml:space="preserve"> Republic of the Philippines DEPARTMENT OF PUBLIC WORKS AND HIGHWAYS Region X OFFICE OF THE REGIONAL DIRECTOR Engineers’ Hill, Bulua, Cagayan de Oro City RE - INVITATION TO BID FOR CONTRACT ID NO. 20GSK00005 – Supply and delivery of Laptop Computer, Projec</t>
  </si>
  <si>
    <t xml:space="preserve"> The Local Government Unit of the Island Garden City of Samal (LGU-IGaCoS) through the General Funds CY 2020  intends to apply the sum of Six Hundred Seventeen Thousand Four Hundred Pesos only (PHP617,400.00) being the Approved Budget for the Contract (ABC</t>
  </si>
  <si>
    <t xml:space="preserve"> CONSTRUCTION OF SCHOOL BUILDING CUM EVACUATION CENTER AT TIGBINAN NATIONAL HIGHSCHOOL Brgy. Tigbinan, Labo, Cams. Norte</t>
  </si>
  <si>
    <t xml:space="preserve"> Republic of the Philippines PROVINCE OF NORTHERN SAMAR BIDS AND AWARDS COMMITTEE Catarman Purchase of Various Supplies and Medicines for Assistance to 4,902 Families Province of Northern Samar NS-05-28-20-01 1.	The Provincial Government of Northern Samar,</t>
  </si>
  <si>
    <t xml:space="preserve"> Contract ID: 20CD0165      Contract Name:  Repair/Maintenance of DPWH Building Stock Room                               Bulacan II District Engineering Office, Pulong Buhangin,                               Santa Maria, Bulacan      Contract Location: San</t>
  </si>
  <si>
    <t xml:space="preserve"> TEWS-Alerting Siren Components Set includes: 1. DOST-ASTI arQ Data Logger 2. One set production and assembly of controller box with manual trigger    a. 1  enclosure box with customized interface holes    b. 1 pc of fabrication of TEWS trigger switch boar</t>
  </si>
  <si>
    <t xml:space="preserve"> B.5 - Project Billboard                one                  each B.7 - Safety and Health              one                  month B.9 - Mobilization/ Demobilization                 one                  lumpsum   B.10 - Progress Photograph                  </t>
  </si>
  <si>
    <t xml:space="preserve"> Department of Education 	Region No. VIII ORMOC CITY DIVISION 	Narra St., Brgy. Don Felipe Larrazabal 	Ormoc City, Leyte 	-o0o- Invitation to Bid for CY 2020 QRF- Repair of Classrooms  LOT NO.	CONTRACT ID	NAME OF SCHOOL	MUNICIPALITY	PHYSICAL TARGET (CL)	AP</t>
  </si>
  <si>
    <t xml:space="preserve"> Contract ID: 20CD0164      Contract Name:  Repair/Maintenance of DPWH Building Laboratory Room                               Bulacan II District Engineering Office, Pulong Buhangin,                               Santa Maria, Bulacan      Contract Location</t>
  </si>
  <si>
    <t xml:space="preserve"> Republic of the Philippines Province of Iloilo Municipality of New Lucena    New Lucena, Iloilo 							         May 28, 2020     Invitation to Bid for the Completion/Construction of Multi – Purpose Gym,  Brgy. Calumbuyan,New Lucena , Iloilo.  	1. The Muni</t>
  </si>
  <si>
    <t xml:space="preserve"> Republic of the Philippines PROVINCE OF NORTHERN SAMAR BIDS AND AWARDS COMMITTEE Catarman Purchase of 50 units Hand Tractor Office of the Provincial Agriculture Province of Northern Samar  NS-05-28-20-02 1.	The Provincial Government of Northern Samar, thr</t>
  </si>
  <si>
    <t xml:space="preserve"> Republic of the Philippines DEPARTMENT OF PUBLIC WORKS AND HIGHWAYS Region X OFFICE OF THE REGIONAL DIRECTOR Engineers’ Hill, Bulua, Cagayan de Oro City INVITATION TO BID FOR CONTRACT ID NO. 20GSK00007 – Supply of Diesel Fuel EURO 4 compliant and Gasoline</t>
  </si>
  <si>
    <t xml:space="preserve"> Republic of the Philippines DEPARTMENT OF PUBLIC WORKS AND HIGHWAYS Region X OFFICE OF THE REGIONAL DIRECTOR Engineers’ Hill, Bulua, Cagayan de Oro City INVITATION TO BID FOR CONTRACT ID NO. 20GSK00008 – SUPPLY AND TESTING OF PORTABLE WEIGH-IN-MOTION SYST</t>
  </si>
  <si>
    <t xml:space="preserve"> INVITATION TO BID FOR THE  PURCHASE OF DRUGS AND MEDICINES FOR 2ND QUARTER - CHO 1.	The City Government of Bacoor, Cavite, through the General Fund Year 2020 intends to apply the sum of ONE MILLION SEVEN HUNDRED FIFTY THOUSAND PESOS AND ZERO CENTAVO (PhP1</t>
  </si>
  <si>
    <t xml:space="preserve"> Republic of the Philippines Province of Lanao del Norte Municipality of Tubod Barangay Pigcarangan OFFICE OF THE BIDS AND AWARDS COMMITTEE INVITATION TO BID Road Concreting of 30LM Barangay Road Pigcarangan Pukok 5,  Tubod, Lanao del Norte (ITB-2020-ALI-0</t>
  </si>
  <si>
    <t xml:space="preserve"> 1 unit Submersible Motor with the following specifications: I. General Requirements: Rating	:	25	Hp Nominal Voltage	:	460	V Number of Phase	:	3	 Frequency	:	60	Hz Standard Diameter	:	6	Inches Lead Wire / Cables	:	Plug-in or Detachable Rotor Spline	:	NEMA </t>
  </si>
  <si>
    <t xml:space="preserve"> Republic of the Philippines Province of Iloilo Municipality of New Lucena    New Lucena, Iloilo 							         May 28, 2020     Invitation to Bid for the Completion/Construction of Multi – Purpose Gym,  Brgy. Jelicuon Este,New Lucena , Iloilo.  	1. The M</t>
  </si>
  <si>
    <t xml:space="preserve"> The Local Government Unit of Isabel, Leyte through its Bids and Awards Committee (BAC), invites eligible Bidders to Bid the hereunder; Name of Project :Construction of Public Market Location: Public Market, Isabel, Leyte Brief Description/Specifications: </t>
  </si>
  <si>
    <t xml:space="preserve"> INVITATION TO BID FOR THE  PURCHASE OF SUPPLIES FOR FAMILY PLANNING – 2ND QUARTER - CHO 1.	The City Government of Bacoor, Cavite, through the General Fund Year 2020 intends to apply the sum of ONE MILLION PESOS AND ZERO CENTAVO (PhP1,000,000.00) being the</t>
  </si>
  <si>
    <t xml:space="preserve"> ALBAY 3RD DISTRICT ENGINEERING OFFICE																																						 Paulog, Ligao City																																						 																																						 INVITATION TO BID																																						 																											</t>
  </si>
  <si>
    <t xml:space="preserve"> INVITATION TO BID The Department of Public Works and Highways Zamboanga del Sur 1st District Engineering Office, Pagadian City, through its Bids and Awards Committee (BAC), invites contractors to submit bids for the following Contract: Contract ID	:	20JE0</t>
  </si>
  <si>
    <t xml:space="preserve"> Republic of the Philippines Province of Lanao del Norte Municipality of Tubod Barangay Pigcarangan OFFICE OF THE BIDS AND AWARDS COMMITTEE INVITATION TO BID Expansion of Potable Water System at Pigcarangan Pukok 3,  Tubod, Lanao del Norte (ITB-2020-ALI-00</t>
  </si>
  <si>
    <t xml:space="preserve"> Engine : 2,982cc 1KD-FTV Fuel Injected (Common Rail) engine, 4-cylinder in line, DOHC (Dual Over Head Cam) 16 Valve, VENT (Variable Nozzle Turbo) on a front Mounted Inter cooler that is Euro 4 Complaint. Power: 136 HP @ 3,400 rpm Torque : 300 Nm @ 1,200-2</t>
  </si>
  <si>
    <t xml:space="preserve"> Improvement of One (1) Unit 2 storey-7.5m x 88.5m Municipal Public Market (slab, wall &amp; roofing)</t>
  </si>
  <si>
    <t xml:space="preserve"> Republic of the Philippines DEPARTMENT OF PUBLIC WORKS AND HIGHWAYS ILOILO CITY DISTRICT ENGINEERING OFFICE REGIONAL OFFICE VI Fort San Pedro, Iloilo City NOTICE OF SHORT LIST AND REQUEST FOR PROPOSALS (RFP) May 27, 2020 MJAS ZENITH GEO-MAPPING &amp; SURVEYIN</t>
  </si>
  <si>
    <t xml:space="preserve"> Name of Projects: Improvement of Maharlika Road Turod Portion-----------------   390,270.60  Turod, Luna, Apayao	 	 Concreting of Unpaved Road Section ---------------------------  679,614.60  Poblacion, Luna, Apayao</t>
  </si>
  <si>
    <t xml:space="preserve"> INVITATION TO BID FOR THE  PURCHASE OF OFFICE SUPPLIES FOR 2ND QUARTER – GSO 1.	The City Government of Bacoor, Cavite, through the General Fund Year 2020 intends to apply the sum of FOUR MILLION SEVEN HUNDRED THIRTY SEVEN THOUSAND TWENTY FIVE PESOS AND ZE</t>
  </si>
  <si>
    <t xml:space="preserve"> The DPWH-Regional Office I, through its Bids and Awards Committee (BAC), invites contractors to submit bids for the following Contract: Contract ID: 20A00206 Contract Name: Repair/Rehabilitation of Slope Protection Structure along Pangasinan-Nueva Vizcaya</t>
  </si>
  <si>
    <t xml:space="preserve"> Section 1. INVITATION to BID (IB) No. 2020-007-Rebid1 The Municipality of Cabiao, Nueva Ecija, through its Bids and Awards Committee (BAC), invites suppliers/manufacturers/distributors to apply for eligibility and to bid if found eligible, to bid for the </t>
  </si>
  <si>
    <t xml:space="preserve"> Republic of the Philippines Province of Misamis Occidental Municipality of Don Victoriano Barangay of TUNO -oOOo- INVITATION TO BID FOR REHABILITATION OF WATER SYSTEM  (PROCUREMENT OF CONSTRUCTION MATERIALS) 1.	The Barangay Government of Tuno through the </t>
  </si>
  <si>
    <t xml:space="preserve"> INVITATION TO BID FOR THE  PURCHASE OF SUPPLIES FOR CLEAN AND GREEN PROJECT – CENRO 1.	The City Government of Bacoor, Cavite, through the General Fund Year 2020 intends to apply the sum of ONE MILLION FIVE HUNDRED THOUSAND PESOS AND ZERO CENTAVO (PhP1,500</t>
  </si>
  <si>
    <t xml:space="preserve"> Republic of the Philippines Province of Iloilo Municipality of New Lucena    New Lucena, Iloilo 							         May 28, 2020     Invitation to Bid for the Completion/Construction of Multi – Purpose Gym, Brgy. Guinobatan,New Lucena , Iloilo.  	1. The Munic</t>
  </si>
  <si>
    <t xml:space="preserve"> I. CONCRETE WORKS 2.43 CU.M. II. FORM WORKS/SCAFFOLDING 1 LOT III. MASONRY WORKS 64.38 SQ.M. IV. DOORS AND WINDOWS 4.92 SQ.M. V. ELECTRICAL WORKS 1 LOT VI. PLUMBING WORKS 1 LOT VII. PAINTING WORKS 1 LOT</t>
  </si>
  <si>
    <t xml:space="preserve"> CERTIFIED INBRED SEEDS 1 100.00 BAG NSIC RC222 40KG 2 97.00 BAG NSIC RC216 40KG</t>
  </si>
  <si>
    <t xml:space="preserve"> Republic of the Philippines Province of Leyte Municipality of Hilongos INVITATION TO BID FOR THE PROCUREMENT OF MATERIALS FOR THE REPAIR/MAINTENANCE-OTHER PROPERTY, PLANT &amp; EQUIPMENT (ELECTRIFICATION) 1.  The Local Government Unit of Hilongos, through GEN</t>
  </si>
  <si>
    <t xml:space="preserve"> 1. The Bids and Awards Committee of Tabontabon Leyte, through the Budget for the contract approved by the Sanggunian intends to apply the sum of One Hundred Twenty One Thousand Seven Hundred Thirty Three Pesos (Php 121,733.00) being the Approved Budget fo</t>
  </si>
  <si>
    <t xml:space="preserve"> IMPROVEMENT/ REHABILITATION OF MULIANG FOOTBRIDGE, ANONAT, PARACELIS AND  CONTINUATION OF THE CONSTRUCTION OF MULIANG HANGING BRIDGE, PARACELIS FUND SOURCE: 20% PDF 2020 TYPES OF WORK TO BE DONE: Project billboard/ signboard/ occupational safety and healt</t>
  </si>
  <si>
    <t xml:space="preserve"> Republic of the Philippines DEPARTMENT OF PUBLIC WORKS AND HIGHWAYS CAMARINES SUR 2ND DISTRICT ENGINEERING OFFICE Regional Office V Baras, Canaman, Camarines Sur INVITATION TO BID FOR  20FE0121 – LP: LOCAL ROADS AND BRIDGES - LOCAL ROADS - CONSTRUCTION/ R</t>
  </si>
  <si>
    <t xml:space="preserve"> Republic of the Philippines MUNICIPALITY OF ECHAGUE Province of Isabela INVITATION TO BID FOR  REPRESENTATION EXPENSES OF THE MAY0R 1.	The Local Government Unit , through  the  GENERAL   FUND  Of  2020   intends to apply the sum of  EIGHT MILLION PESOS (P</t>
  </si>
  <si>
    <t xml:space="preserve"> Republic of the Philippines DEPARTMENT OF PUBLIC WORKS AND HIGHWAYS Region X OFFICE OF THE REGIONAL DIRECTOR Engineers’ Hill, Bulua, Cagayan de Oro City INVITATION TO BID FOR CONTRACT ID NO. 20GSK00009 – SUPPLY AND DELIVERY OF OFFICE SUPPLIES &amp; CONSUMABLE</t>
  </si>
  <si>
    <t xml:space="preserve"> Republic of the Philippines                          Department of Finance                    BUREAU OF INTERNAL REVENUE                          Revenue Region No. 10                                     Legazpi City INVITATION FOR NEGOTIATED PROCUREMENT </t>
  </si>
  <si>
    <t xml:space="preserve"> INVITATION TO BID FOR THE  PURCHASE OF DISINFECTANT SOLUTION FOR PREVENTIVE MEASURES COVID-19 – CITY SCHOOLS DIVISION 1.	The City Government of Bacoor, Cavite, through the General Fund Year 2020 intends to apply the sum of ONE MILLION TWO HUNDRED FORTY ON</t>
  </si>
  <si>
    <t xml:space="preserve"> The DPWH-Regional Office I, through its Bids and Awards Committee (BAC), invites contractors to submit bids for the following Contract: Contract ID: 20A00207 Contract Name: Construction / Rehabilitation of Water Supply / Septage and Sewerage/Rain Water Co</t>
  </si>
  <si>
    <t xml:space="preserve"> INVITATION TO BID The Municipal Government of La Trinidad through the Bids and Awards Committee (BAC) invites contractors to bid for the hereunder project: Contract Reference No.: POW - 8751 - 2020 - ALN - 02 Name of Project: Concreting of Portion of Alno</t>
  </si>
  <si>
    <t xml:space="preserve"> INVITATION TO BID FOR THE  PURCHASE OF FLU VACCINES FOR THE CITY EMPLOYEES - CHO 1.	The City Government of Bacoor, Cavite, through the General Fund Year 2020 intends to apply the sum of ONE MILLION PESOS AND ZERO CENTAVO (PhP1,000,000.00) being the Approv</t>
  </si>
  <si>
    <t xml:space="preserve"> Republic of the Philippines Province of Camarines Norte Municipality of Mercedes BIDS AND AWARDS COMMITTEE Municipal Engineer’s Office, LGU - Mercedes, Camarines Norte INVITATION TO BID FOR THE SUPPLY OF TWO (2) UNITS FIBERGLASS FERRY BOAT (ENGINE NOT INC</t>
  </si>
  <si>
    <t xml:space="preserve"> Republic of the Philippines MUNICIPALITY OF SAN JACINTO San Jacinto, Pangasinan Bids and Awards Committee INVITATION TO BID (Clean and Green Program –  Implementation of Urban/Vertical Agriculture in Various Barangays / Public Schools) 1.	The Municipal Go</t>
  </si>
  <si>
    <t xml:space="preserve"> Please download attached associated components for details/schedule</t>
  </si>
  <si>
    <t xml:space="preserve"> INVITATION TO BID Bid No. B-73-2020  1.	The Provincial Government of Negros Oriental through Source of Fund: SP Res. # 846-2018, GF Proper, AIP 2019, intends to apply the sum of One Million Seven Hundred Ten Thousand Four Hundred Twenty-Two Pesos (Php 1,7</t>
  </si>
  <si>
    <t xml:space="preserve"> The Roxas City Government, through the GOP-2020 intends to apply the Aggregate amount of Two Hundred Seventy Four Thousand Seven Hundred Fifty Pesos (PhP 274,750.00) being the Aggregate Approved Budget for the Contract (ABC) to payments under the contract</t>
  </si>
  <si>
    <t xml:space="preserve"> Republic of the Philippines MUNICIPALITY OF SAN JACINTO San Jacinto, Pangasinan Bids and Awards Committee INVITATION TO BID Purchase of Various Drugs and Medicines 1.	The Municipal Government of San Jacinto, through the General Fund 2020  intends to apply</t>
  </si>
  <si>
    <t xml:space="preserve"> Invitation to Bid for  May-it SIP May-it SIP-WS-01-2020 Basey, Samar 1.	The National Irrigation Administration, Interim Eastern-Western Samar Irrigation Management Office, Catbalogan City, through the General Appropriation Act of CY 2020 intends to apply </t>
  </si>
  <si>
    <t xml:space="preserve"> Republic of the Philippines MUNICIPALITY OF SAN JACINTO San Jacinto, Pangasinan Bids and Awards Committee INVITATION TO BID Purchase and Provision of Certified Seeds 1.	The Municipal Government of San Jacinto, through the 20% Local Dev’t Fund 2020  intend</t>
  </si>
  <si>
    <t xml:space="preserve"> Republic of the Philippines CITY OF PANABO Province of Davao del Norte BIDS AND AWARDS COMMITTEE -o0o- INVITATION TO BID  SUPPLY OF CONSTRUCTION MATERIALS 1.	The City of Panabo, through CENRO/ TRUST FUND - 2020 intends to apply the sum of One Million Thre</t>
  </si>
  <si>
    <t xml:space="preserve"> 75 Security Guards/Month</t>
  </si>
  <si>
    <t xml:space="preserve"> FUND SOURCE: SUPPLEMENTAL BUDGET 2019 TYPES OF WORK TO BE DONE:  Project billboard/ signboard/ occupational safety and health program/ mobilization and demobilization/ removal of structures and obstruction/ clearing and grubbing/ gravel bedding/ structura</t>
  </si>
  <si>
    <t xml:space="preserve"> Municipality of Looc INVITATION TO BID FOR Purchase of Ambulance 1.	The Municipality of Looc, through the DILG Trust Fund 2019 LGSF FA intends to apply the sum of Php2,500,000.00 being the Approved Budget for the Contract (ABC) to payments under the contr</t>
  </si>
  <si>
    <t xml:space="preserve"> INVITATION TO BID FOR THE RE-BIDDING OF PURCHASE OF FIVE (5) UNITS CARRY VEHICLE  1.	The Local Government Unit of Hinigaran, through  Rescue Vehicle Fund intends to apply the sum of  P 1,000,000.00 being the Approved Budget for the Contract (ABC) to payme</t>
  </si>
  <si>
    <t xml:space="preserve"> Republic of the Philippines  City of Canlaon Office of the Bids and Awards Committee  INVITATION TO BID FOR the Improvement of Multi-purpose Building The Local Government of Canlaon City, through AIP 2020. Intends to apply the sum Six Hundred Forty Three </t>
  </si>
  <si>
    <t xml:space="preserve"> 1. CONCRETING OF BARANGAY ROAD &amp; CONSTRUCTION OF CONC. DARINAGE W/ COVER - Bulalacao, Caramoran 2. REBLOCKING OF BARANGAY ROAD - Obi (Purok1), Caramoran</t>
  </si>
  <si>
    <t xml:space="preserve"> FUND SOURCE: PEO 2020 TYPES OF WORK TO BE DONE: Project billboard/ signages/ occupational safety and health program/ structure excavation/ grouted riprap (class A)</t>
  </si>
  <si>
    <t xml:space="preserve"> INVITATION TO BID FOR THE  SUPPLY &amp; DELIVERY OF ID CARD PRINTER &amp; ACCESSORIES OFFICE OF THE MUNICIPAL MAYOR, BUENAVISTA, QUEZON 1.	The Municipal Government of Buenavista, Quezon, through its General Fund intends to apply the sum of One Hundred Eighty One </t>
  </si>
  <si>
    <t xml:space="preserve"> 1. Improvement of Multi-Purpose Building - Inalmasinan, Caramoran, Catanduanes 2. Extension of Multi-Purpose Building - Salvacion, Caramoran, Catanduanes</t>
  </si>
  <si>
    <t xml:space="preserve"> SUPPLY AND DELIVERY OF CONSTRUCTION MATERIALS  FOR SARRAT ILOCOS NORTE 1.	The Municipality of Sarrat, Ilocos Norte, through the Special Educational Fund intends to apply the sum of Seven Hundred Forty Nine Thousand Eighty Five Pesos and 83/100 ( Php 749,0</t>
  </si>
  <si>
    <t xml:space="preserve"> Invitation to Bid for  May-it SIP May-it SIP-WS-02-2020 Basey, Samar 1.	The National Irrigation Administration, Interim Eastern-Western Samar Irrigation Management Office, Catbalogan City, through the General Appropriation Act of CY 2020 intends to apply </t>
  </si>
  <si>
    <t xml:space="preserve"> INVITATION TO BID FOR SUPPLY AND DELIVERY OF TWO THOUSAND THREE HUNDRED NINETY (2,390) SETS CHLORINE DIOXIDE (BUG BUST 4322 &amp; 4324) FOR WATER TREATMENT AND MAINTENANCE USE- 2ND QUARTER OF CY 2020  1.	The METRO KALIBO WATER DISTRICT, through the Corporate </t>
  </si>
  <si>
    <t xml:space="preserve"> INVITATION TO BID FOR THE  SUPPLY &amp; DELIVERY OF MATERIALS &amp; INSTALLATION OF SOUND SYSTEM OFFICE OF THE SANGGUNIANG BAYAN, BUENAVISTA, QUEZON 1.	The Municipal Government of Buenavista, Quezon, through its General Fund intends to apply the sum of One Hundre</t>
  </si>
  <si>
    <t xml:space="preserve"> INVITATION TO BID FOR THE  SUPPLY/DELIVERY &amp; INSTALLATION OF FABRICATED OFFICE PARTITION (CUBICLE TYPE) WITH ACCESSORIES OFFICE OF THE SANGGUNIANG BAYAN, BUENAVISTA, QUEZON 1.	The Municipal Government of Buenavista, Quezon, through its General Fund intend</t>
  </si>
  <si>
    <t xml:space="preserve"> 20GPG0001 - Supply and Delivery of Thermoplastic Pavement Markings Within the District; Nueva Vizcaya-Ifugao-Mt. Province Boundary Road, K0291+(-505) – K0334+667, Int. Sections, Kiangan-Tinoc-Buguias Road, K0315+(-147) – K0369+667, Intermittent Sections, </t>
  </si>
  <si>
    <t xml:space="preserve"> Republic of the Philippines Province of Negros Oriental City of Guihulngan Bids and Awards Committee INVITATION TO BID (ITB No. PB2020-043) The  City of  Guihulngan, through its Bids and Awards Committee (BAC), invites contractors registered with and clas</t>
  </si>
  <si>
    <t xml:space="preserve"> IMPROVEMENT OF OTUCAN NORTE GYMNASIUM, BAUKO FUND SOURCE: SEF 2020 Types of Work to be Done: Project billboard/ signboard/ occupational safety and health program/ concrete/ gravel bedding IMPROVEMENT OF SITIOS LAGLAGAN-GAWAAN PATHWAY/ DRAINAGE, BILA, BAUK</t>
  </si>
  <si>
    <t xml:space="preserve"> Republic of the Philippines MUNICIPALITY OF SAN JACINTO San Jacinto, Pangasinan Bids and Awards Committee INVITATION TO BID (Construction of Multi-Purpose Covered Court – Brgy. Sta. Cruz (Phase I and II) 1.	The Municipal Government of San Jacinto, through</t>
  </si>
  <si>
    <t xml:space="preserve"> Invitation to Bid for Rehabilitation of Pathway and Drainage Canal (Doña Alicia Ext.) at Ligas I 1.	The City Government of Bacoor, Cavite, through the 20% Dev't Fund 2020 intends to apply the sum of ONE MILLION FIVE HUNDRED THOUSAND PESOS AND ZERO CENT(Ph</t>
  </si>
  <si>
    <t xml:space="preserve"> Concreting of 190m x 4m x 0.15m Barangay Road</t>
  </si>
  <si>
    <t xml:space="preserve"> Republic of the Philippines Province of Negros Oriental City of Guihulngan Bids and Awards Committee INVITATION TO BID (ITB No. PB2020-045) The  City of  Guihulngan, through its Bids and Awards Committee (BAC), invites contractors registered with and clas</t>
  </si>
  <si>
    <t xml:space="preserve"> Republic of the Philippines Province of Negros Oriental City of Guihulngan Bids and Awards Committee INVITATION TO BID (ITB No. PB2020-044) The  City of  Guihulngan, through its Bids and Awards Committee (BAC), invites contractors registered with and clas</t>
  </si>
  <si>
    <t xml:space="preserve"> Invitation to Bid for Construction of School Building Ligas II Elementary School at Ligas I 1.	The City Government of Bacoor, Cavite, through the 20% Dev't Fund 2020 intends to apply the sum of SIXTEEN MILLION AND ZERO CENT(PhP16,000,000.00) being the App</t>
  </si>
  <si>
    <t xml:space="preserve"> Procurement of 1,600 bags Certified Seeds (Palay)</t>
  </si>
  <si>
    <t xml:space="preserve"> Republic of the Philippines Province of Negros Oriental City of Guihulngan Bids and Awards Committee INVITATION TO BID (ITB No. PB2020-046) The  City of  Guihulngan, through its Bids and Awards Committee (BAC), invites contractors registered with and clas</t>
  </si>
  <si>
    <t xml:space="preserve"> BIDS AND AWARDS COMMITTEE FDA-BAC Ref. No. ITB No. 2020-001-AFS INVITATION TO BID LEASE OF THREE-IN-ONE MONOCHROME AND COLORED PHOTOCOPIER MACHINE/NETWORK PRINTER/NETWORK SCANNER FOR THE FOOD AND DRUG ADMINISTRATION CENTRAL OFFICE INCLUDING FDAC  1.     T</t>
  </si>
  <si>
    <t xml:space="preserve"> Republic of the Philippines Province of Negros Oriental City of Guihulngan Bids and Awards Committee INVITATION TO BID (ITB No. PB2020-047) The  City of  Guihulngan, through its Bids and Awards Committee (BAC), invites contractors registered with and clas</t>
  </si>
  <si>
    <t xml:space="preserve"> Republic of the Philippines DEPARTMENT OF PUBLIC WORKS AND HIGHWAYS CAGAYAN THIRD DISTRICT ENGINEERING OFFICE REGION II Tuguegarao City The DPWH-CAGAYAN THIRD DISTRICT ENGINEERING OFFICE, through the GAA FY-2020 (AMWP) intends to apply the sum of P2,050,0</t>
  </si>
  <si>
    <t xml:space="preserve"> Invitation to Bid for Renovation of Day Care Center at Molino VI 1.	The City Government of Bacoor, Cavite, through the 20% Dev't Fund 2020 intends to apply the sum of ONE MILLION PESOS AND ZERO CENT(PhP1,000,000.00) being the Approved Budget for the Contr</t>
  </si>
  <si>
    <t xml:space="preserve"> Mobilization/Demobilization Earth Works Concrete Works Masonry Works Steel Works/Tinsmithry Works Safety and Health</t>
  </si>
  <si>
    <t xml:space="preserve"> INVITATION TO BID The City of Bayawan, through its Bids and Awards Committee (BAC), invites suppliers/manufacturers/distributors/contractors to bid for the hereunder projects: 	Lot No. I		BRANDNEW SERVICE VEHICLE					 1	1	unit	Service Vehicle (Brand New)	</t>
  </si>
  <si>
    <t xml:space="preserve"> Republic of the Philippines Province of Samar Municipality of Sta. Rita The Municipality of Sta. Rita, through LGU fund intends to apply the sum of ONE MILLION TWO HUNDRED THOUSAND PESOS (Php1,200,000.00) ONLY being the Approved Budget for the Contract (A</t>
  </si>
  <si>
    <t xml:space="preserve"> Republic of the Philippines DEPARTMENT OF PUBLIC WORKS AND HIGHWAYS CAGAYAN THIRD DISTRICT ENGINEERING OFFICE REGION II Tuguegarao City The DPWH-CAGAYAN THIRD DISTRICT ENGINEERING OFFICE, through the GAA FY-2020 (MOOE) intends to apply the sum of P800,000</t>
  </si>
  <si>
    <t xml:space="preserve"> 19 pieces 1/2” Ball Valve / Stop Cock Ball Type-Lock Wing (Threaded) (please see complete specifications below) Approved Budget Cost: ₱400.00 / pc 1,497 pieces 1/2” Check Valve, Class 125 Screwed Cap, swing type disc, Threaded ends, WOG, Non-Shock, 1.38Mp</t>
  </si>
  <si>
    <t xml:space="preserve"> Republic of the Philippines DEPARTMENT OF PUBLIC WORKS AND HIGHWAYS CAGAYAN THIRD DISTRICT ENGINEERING OFFICE REGION II Tuguegarao City The DPWH-CAGAYAN THIRD DISTRICT ENGINEERING OFFICE, through the GAA FY-2020 (MOOE) intends to apply the sum of P600,000</t>
  </si>
  <si>
    <t xml:space="preserve"> Invitation to Bid for Improvement of Multipurpose Building (People's Center) at Bayanan 1.	The City Government of Bacoor, Cavite, through the 20% Dev't Fund 2020 intends to apply the sum of TWO MILLION PESOS AND ZERO CENT(PhP2,000,000.00) being the Approv</t>
  </si>
  <si>
    <t xml:space="preserve"> Republic of the Philippines MUNICIPALITY OF SAN JACINTO San Jacinto, Pangasinan Bids and Awards Committee INVITATION TO BID (Construction of Multi-Purpose Covered Court – Brgy. Bolo (Phase I and II) 1.	The Municipal Government of San Jacinto, through the </t>
  </si>
  <si>
    <t xml:space="preserve"> Invitation to Bid for Installation of Solar Energy Powered Streetlights at Molino Public Cemetery Molino II 1.	The City Government of Bacoor, Cavite, through the 20% Dev't Fund 2020 intends to apply the sum of ONE MILLION FORTY TWO PESOS AND ZERO CENT(PhP</t>
  </si>
  <si>
    <t xml:space="preserve"> Republic of the Philippines DEPARTMENT OF PUBLIC WORKS AND HIGHWAYS CAGAYAN THIRD DISTRICT ENGINEERING OFFICE REGION II Tuguegarao City The DPWH-CAGAYAN THIRD DISTRICT ENGINEERING OFFICE, through the GAA FY-2020 (MOOE) intends to apply the sum of P700,000</t>
  </si>
  <si>
    <t xml:space="preserve"> Republic of the Philippines Province of Negros Oriental City of Guihulngan Bids and Awards Committee INVITATION TO BID (ITB No. PB2020-048) The  City of  Guihulngan, through its Bids and Awards Committee (BAC), invites suppliers/ manufacturers/ distributo</t>
  </si>
  <si>
    <t xml:space="preserve"> Construction of Provincial Directors Quarters, Oriental Mindoro PPO (1st &amp; Last Phase)</t>
  </si>
  <si>
    <t xml:space="preserve"> Construction of Quartering Facilities, Oriental Mindoro PPO (1st &amp; Last Phase)</t>
  </si>
  <si>
    <t xml:space="preserve"> Republic of the Philippines PROVINCE OF QUIRINO Cabarroguis -oOo- BIDS AND AWARDS COMMITTEE INVITATION TO BID FOR  Construction of Parking Areas for the various Facilities Contract No. PB-CW-2020-012 							May 28, 2020 1.	The Bids and Awards Committee (B</t>
  </si>
  <si>
    <t xml:space="preserve"> Republic of the Philippines MUNICIPALITY OF SAN JACINTO San Jacinto, Pangasinan Bids and Awards Committee INVITATION TO BID (Construction of Multi-Purpose Covered Court – Brgy. San Jose) 1.	The Municipal Government of San Jacinto, through the (20% LDF CY </t>
  </si>
  <si>
    <t xml:space="preserve"> Invitation to Bid for Improvement of Day Care Building and Premises at Bahayang Pag-Asa, Molino V 1.	The City Government of Bacoor, Cavite, through the 20% Dev't Fund 2020 intends to apply the sum of ONE MILLION FIVE HUNDRED THOUSAND PESOS AND ZERO CENT(P</t>
  </si>
  <si>
    <t xml:space="preserve"> CONSTRUCTION OF SOYBO- LAMAGAN CROSS DRAINAGE, AMBAGIW, BESAO FUND SOURCE: 20% PDF 2020 TYPES OF WORK TO BE DONE: Project billboard/ signboard/ occupational safety and health program/ structure excavation (solid rock)/ reinforcing steel bars/ structural c</t>
  </si>
  <si>
    <t xml:space="preserve"> Republic of the Philippines PROVINCE OF BUKIDNON Municipality of Sumilao INVITATION TO BID ITB NO. GS-2020-23 PURCHASE OF MOTOR VEHICLE 				 May 28, 2020 1.	The Local Government Unit of  Sumilao, intends to apply the sum of One Million Two Hundred Thousan</t>
  </si>
  <si>
    <t xml:space="preserve"> REPUBLIC OF THE PHILIPPINES BARANGAY NAGERONG NAGERONG, LAZI, SIQUIJOR INVITATION TO BID 1.	The Barangay NAGERONG, Lazi, Siquijor, through the authorized appropriations under the 20% Development Fund 2019, intends to apply the sum of One Hundred Ten Thous</t>
  </si>
  <si>
    <t xml:space="preserve"> Republic of the Philippines DEPARTMENT OF PUBLIC WORKS AND HIGHWAYS CAGAYAN THIRD DISTRICT ENGINEERING OFFICE REGION II Tuguegarao City The DPWH-CAGAYAN THIRD DISTRICT ENGINEERING OFFICE, through the GAA FY-2020 (MOOE) intends to apply the sum of P200,000</t>
  </si>
  <si>
    <t xml:space="preserve"> Invitation to Bid for Construction of Multi-Purpose Hall - Greentown Villas at Mambog III 1.	The City Government of Bacoor, Cavite, through the 20% Dev't Fund 2020 intends to apply the sum of FOUR MILLION SIX HUNDRED THOUSAND PESOS AND ZERO CENT(PhP4,600,</t>
  </si>
  <si>
    <t xml:space="preserve"> Republic of the Philippines PROVINCE OF QUIRINO Cabarroguis -oOo- BIDS AND AWARDS COMMITTEE INVITATION TO BID FOR  Construction of Water System at Cattle Breeding Center Contract No. PB-CW-2020-015 							May 28, 2020 1.	The Bids and Awards Committee (BAC</t>
  </si>
  <si>
    <t xml:space="preserve"> Repair of RSTU 4B Buildings and Facilities</t>
  </si>
  <si>
    <t xml:space="preserve"> Republic of the Philippines PROVINCE OF QUIRINO Cabarroguis -oOo- BIDS AND AWARDS COMMITTEE INVITATION TO BID FOR  Extension of Queing Shed at QWC Contract No. PB-CW-2020-013 							May 28, 2020 1.	The Bids and Awards Committee (BAC) of the Provincial Gov</t>
  </si>
  <si>
    <t xml:space="preserve"> Republic of the Philippines Province of Oriental Mindoro MUNICIPALITY OF SAN TEODORO INVITATION TO BID FOR THE CONCRETING OF CALANGATAN-IBABA ROAD No. 2020-08 May 27, 2020 1.The Municipality of San Teodoro intends to apply the sum of Nine Hundred Ninety N</t>
  </si>
  <si>
    <t xml:space="preserve"> Republic of the Philippines PROVINCE OF QUIRINO Cabarroguis -oOo- BIDS AND AWARDS COMMITTEE INVITATION TO BID FOR  Improvement of Grandstands Contract No. PB-CW-2020-014 							May 28, 2020 1.	The Bids and Awards Committee (BAC) of the Provincial Governme</t>
  </si>
  <si>
    <t xml:space="preserve"> Republic of the Philippines Province of South Cotabato BIDS AND AWARDS COMMITTEE Capitol Compound Alunan Avenue, Koronadal City Tel. Fax No.: (083) 228-9951/228-8570 INVITATION TO BID FOR THE SUPPLY AND DELIVERY OF VARIOUS MEDICAL &amp; LABORATORY SUPPLIES 1.</t>
  </si>
  <si>
    <t xml:space="preserve"> 1 unit -    4-Wheeler Dump Truck (4x4) Brand New Specifications:     Engine     :       Diesel, four-stroke, turbo-charged with charge air intercooler, Euro IV        Engine Capacity  :  6.65 L        Rated Power       :  176.5KW (240hp)        Max. torqu</t>
  </si>
  <si>
    <t xml:space="preserve"> Republic of the Philippines MUNICIPALITY OF SAN JACINTO San Jacinto, Pangasinan Bids and Awards Committee INVITATION TO BID (Construction of Multi-Purpose Covered Court – Brgy. San Jose Phase 2) 1.	The Municipal Government of San Jacinto, through the (20%</t>
  </si>
  <si>
    <t xml:space="preserve"> Republic of the Philippines MUNICIPALITY OF SAN JACINTO San Jacinto, Pangasinan Bids and Awards Committee INVITATION TO BID (Provision of Access Road going to SFR located in Sitio Bakiruan, Brgy. Labney) 1.	The Municipal Government of San Jacinto, through</t>
  </si>
  <si>
    <t xml:space="preserve"> ITEM: I- EARTH WORKS II- CONCRETE WORKS III- CARPENTRY WORKS IV- TINSMITHRY WORKS</t>
  </si>
  <si>
    <t xml:space="preserve"> Republic of the Philippines PROVINCE OF BOHOL City of Tagbilaran INVITATION TO BID  1.The Provincial Government of Bohol through the  BIDS AND AWARDS COMMITTEE   for CY 2020, intends to apply the sum of  SEVEN MILLION NINE HUNDRED EIGHTY NINE THOUSAND TWE</t>
  </si>
  <si>
    <t xml:space="preserve"> IMPROVEMENT OF NAMOKPOKAN ROAD, SADSADAN, BAUKO FUND SOURCE: 20% PDF 2020 TYPES OF WORK TO BE DONE: Project billboard/ signboard/ occupational safety and health program/ structure excavation (common soil)/ reinforcing steel bars/ structural concrete/ pipe</t>
  </si>
  <si>
    <t xml:space="preserve"> Republic of the Philippines DEPARTMENT OF PUBLIC WORKS AND HIGHWAYS BATANGAS III DISTRICT ENGINEERING OFFICE REGIONAL OFFICE IV-A J. Gonzales St., Barangay 4, Tanauan City INVITATION TO BID (GS-2020-003) The Department of Public Works and Highways (DPWH),</t>
  </si>
  <si>
    <t xml:space="preserve"> Republic of the Philippines DEPARTMENT OF PUBLIC WORKS AND HIGHWAYS MASBATE 1st  DISTRICT ENGINEERING OFFICE REGIONAL OFFICE V San Fernando, Masbate Control No. 2020-05-001 								May 22, 2020 REQUEST FOR EXPERESSION OF INTEREST FOR THE: Contract ID:				</t>
  </si>
  <si>
    <t xml:space="preserve"> Republic of the Philippines PROVINCE OF BOHOL City of Tagbilaran INVITATION TO BID  1.The Provincial Government of Bohol through the  BIDS AND AWARDS COMMITTEE   for CY 2020, intends to apply the sum of  THIRTY NINE MILLION NINE HUNDRED NINETY FOUR THOUSA</t>
  </si>
  <si>
    <t xml:space="preserve"> Republic of the Philippines PROVINCE OF BOHOL City of Tagbilaran INVITATION TO BID  1.The Provincial Government of Bohol through the  BIDS AND AWARDS COMMITTEE   for CY 2020, intends to apply the sum of  NINE MILLION FOUR HUNDRED NINETY THOUSAND FIFTY THR</t>
  </si>
  <si>
    <t xml:space="preserve"> Republic of the Philippines Province of South Cotabato BIDS AND AWARDS COMMITTEE Capitol Compound Alunan Avenue, Koronadal City Tel. Fax No.: (083) 228-9951/228-8570 INVITATION TO BID FOR THE SUPPLY AND DELIVERY OF VARIOUS LABORATORY &amp; MEDICAL SUPPLIES 1.</t>
  </si>
  <si>
    <t xml:space="preserve"> 3 units Distribution Transformers Phase: Single Type of Installation: Overhead type, pole mounted Primary Voltage Rating: 23kV Tap Settings: One (1) – 2 ½% tap above and three (3) – 2 ½ taps below rated primary voltage Secondary Voltage Rating: 230V / 460</t>
  </si>
  <si>
    <t xml:space="preserve"> INVITATION TO BID FOR     Procurement of Works for the Construction of Montilla Spring Development (Lot 1)                                                  and Lutay Spring Development (Lot 2)    	 	 	 	 	 	 	                                              </t>
  </si>
  <si>
    <t xml:space="preserve"> The Local Government Unit of Aglipay through 20% Barangay Development Fund 2019  intends to apply the sum of Two Hundred Forty Four Thousand Two Hundred Thirty Six Pesos and 86/100 (244,236.86 ) being the Approved Budget for the Contract (ABC) to payments</t>
  </si>
  <si>
    <t xml:space="preserve"> Completion of Two (2) Classroom, 2nd Floor School Building Cataggaman National High School Tuguegarao City</t>
  </si>
  <si>
    <t xml:space="preserve"> The NATIONAL FOOD AUTHORITY (NFA), Southern Tagalog Region, through the NFA Corporate Operating Budget for 2020, intends to apply the sum of TWO MILLION FOUR HUNDRED EIGHT THOUSAND TWO HUNDRED EIGHTY SEVEN PESOS AND FIFTY CENTAVOS (Php 2,408,287.50) being</t>
  </si>
  <si>
    <t xml:space="preserve"> The Roxas City Government, through the GOP-2020 intends to apply the total amount of Six Hundred Fifty Two Thousand Four Hundred Eighty Two Pesos and 80/100 (PhP 652,482.80) being the Approved Budget for the Contract (ABC) to payments under the contract f</t>
  </si>
  <si>
    <t xml:space="preserve"> Republic of the Philippines Province of South Cotabato BIDS AND AWARDS COMMITTEE Capitol Compound Alunan Avenue, Koronadal City Tel. Fax No.: (083) 228-9951/228-8570 INVITATION TO BID FOR THE SUPPLY AND DELIVERY OF 10 UNITS DIALYSIS MACHINE 1.  The PROVIN</t>
  </si>
  <si>
    <t xml:space="preserve"> Republic of the Philippines Province of Eastern Samar City of Borongan -0- BIDS AND AWARDS COMMITTEE ------------------------------------------------------------------------------------------ Invitation to Bid for CONSTRUCTION OF FARM TO MARKET ROAD AT BA</t>
  </si>
  <si>
    <t xml:space="preserve"> Contract Location: BACACAY AND MALINAO, ALBAY Brief Description: CONSTRUCTION OF FLOOD CONTROL/FLOOD MITIGATION Source of Funds: GAA 2020 DPWH INFRA  The BAC is conducting the public bidding for this Contract in accordance with RA 9184 and its Implementin</t>
  </si>
  <si>
    <t xml:space="preserve"> INVITATION TO BID FOR THE SUPPLY AND DELIVERY OF VARIOUS LABORATORY SUPPLIES 1.	The Bureau of Animal Industry, through the General Appropriations Act FY 2020 intends to apply the sum of Two Million One Hundred Seventy Thousand Pesos (P 2,170,000.00) being</t>
  </si>
  <si>
    <t xml:space="preserve"> INVITATION TO BID for SALVACION-UNION CIS 1.	The National Irrigation Administration- Irrigation Management Office Davao de Oro, through the GAA – CARP-IC fund 2020 intends to apply the sum of  Four Million One Hundred Fifteen Thousand One Hundred Forty Se</t>
  </si>
  <si>
    <t xml:space="preserve"> CONSTRUCTION/ REHABILITATION OF POKISAN PATHWAY WITH DRAINAGE CANAL, BONTOC ILI FUND SOURCE: 20% PDF 2020 TYPES OF WORK TO BE DONE: Project billboard/ signboard/ occupational safety and health program/ removal of obstruction/ structural excavation/ reinfo</t>
  </si>
  <si>
    <t xml:space="preserve"> Republic of the Philippines MUNICIPALITY OF SAN JACINTO San Jacinto, Pangasinan Bids and Awards Committee INVITATION TO BID (Construction/ Rehabilitation/Improvement of Access Road in Brgy. San Juan / Guibel / Sta. Maria) 1.	The Municipal Government of Sa</t>
  </si>
  <si>
    <t xml:space="preserve"> H E A D Q U A R T E R S P H I L I P P I N E   A R M Y OFFICE OF THE PHILIPPINE ARMY BIDS AND AWARDS COMMITTEE 1 Fort Andres Bonifacio, Metro Manila Invitation to Bid The Armed Forces of the Philippines, through the Philippine Army Bids and Awards Committe</t>
  </si>
  <si>
    <t xml:space="preserve"> Republic of the Philippines Province of Agusan del Sur MUNICIPALITY OF TALACOGON BARANGAY DEL MONTE oOo BIDS AND AWARDS COMMITTEE May 28, 2020  INVITATION TO BID FOR THE DEVELOPMENT OF CEMETERY 1.	The Barangay Local Government Unit of Del Monte, TADS., th</t>
  </si>
  <si>
    <t xml:space="preserve"> Installation Of Street Lights Pattaui - Pallua Road Tuguegarao City</t>
  </si>
  <si>
    <t xml:space="preserve"> Republic of the Philippines Province of Palawan Municipality of Busuanga INVITATION TO BID FOR Supply &amp; Delivery of Fuel (3rd &amp; 4th Quarter) 1.	The Municipal Government of Busuanga, through the GENERAL FUND intends to apply the sum of One Million Three Hu</t>
  </si>
  <si>
    <t xml:space="preserve"> Republic of the Philippines DEPARTMENT OF PUBLIC WORKS &amp; HIGHWAYS OFFICE OF THE REGIONAL DIRECTOR Region III Sindalan, City of San Fernando, Pampanga INVITATION TO BID The DPWH-Regional Office No. III,  through  its  Bids  and  Awards  Committee  (BAC),  </t>
  </si>
  <si>
    <t xml:space="preserve"> Republic of the Philippines Province of Zambales BARANGAY BANI MUNICIPALITY OF MASINLOC OFFICE OF THE BIDS AND AWARDS COMMITTEE INVITATION TO BID The BARANGAY BAI, MUNICIPALITY OF MASINLOC, Province of Zambales, through its Bids and Awards Committee (BAC)</t>
  </si>
  <si>
    <t xml:space="preserve"> Republic of the Philippines Province of Davao Oriental City of Mati BIDS &amp; AWARDS COMMITTEE INVITATION TO BID LOT Procurement of MATERIALS for Use in the Construction of Multi-Purpose Building with Perimeter Fence of Davao Oriental Police Provincial Offic</t>
  </si>
  <si>
    <t xml:space="preserve"> Contract Location: BACACAY, TABACO CITY &amp; MALINAO, ALBAY Brief Description: CONSTRUCTION (Completion)/REHABILITATION OF MPB Source of Funds: GAA 2020 DPWH INFRA The BAC is conducting the public bidding for this Contract in accordance with RA 9184 and its </t>
  </si>
  <si>
    <t xml:space="preserve"> I      -          1      unit      Project Billboard   II     -      744.96 cu.m.    Excavation Works   III    -      744.96 cu.m.    Fill &amp; Backfill   IV     -       46.52 cu.m.    Reinforced Concrete   V      -   4,630.75 kgs.      Reinforcing Steel   V</t>
  </si>
  <si>
    <t xml:space="preserve"> Republic of the Philippines Province of Davao Oriental City of Mati BIDS &amp; AWARDS COMMITTEE INVITATION TO BID Procurement of DIESEL FUEL for Use in the Construction/Rehab/Improvement of Provincial Road at Don Salvador Lopez-Don Martin Marundan Road Sectio</t>
  </si>
  <si>
    <t xml:space="preserve"> The Bids and Awards Committee (BAC) of the Department of Public Works and Highways, Zamboanga Sibugay 1st District Engineering Office, invites contractors to bid for the following: I.	a. Contract I.D. No.		: 20GJI0030 b. Contract Name	:  Procurement of Se</t>
  </si>
  <si>
    <t xml:space="preserve"> Republic of the Philippines Province of Davao Oriental City of Mati BIDS &amp; AWARDS COMMITTEE INVITATION TO BID LOT Procurement of MATERIALS for Use in the Completion of Multi-Purpose Building – Fitness Gym at Capitol Hill, Brgy. Central, City of Mati, Dava</t>
  </si>
  <si>
    <t xml:space="preserve"> Republic of the Philippines Province of Davao Oriental City of Mati BIDS &amp; AWARDS COMMITTEE INVITATION TO BID LOT Procurement of MATERIALS for Use in the Completion of Multi-Purpose Building – Food Court and Perimeter Fence at Capitol Hill, City of Mati, </t>
  </si>
  <si>
    <t xml:space="preserve"> Invitation to Bid for  PACKAGE 20-28:  COMMUNITY DEVELOPMENT 1.	The Bids and Awards Committee of the Local Government Unit of Santiago City, through the Economic Development Fund intends to apply the sum of Five Million Six Hundred Ninety Nine Thousand On</t>
  </si>
  <si>
    <t xml:space="preserve"> 1.The Provincial Government of Bohol through the  BIDS AND AWARDS COMMITTEE   for CY 2020, intends to apply the sum of  FOURTEEN MILLION NINE HUNDRED NINETY TWO THOUSAND FOUR HUNDRED FORTY TWO PESOS AND 35/100   (P14,992,442.35 ) being the Approved Budget</t>
  </si>
  <si>
    <t xml:space="preserve"> STF-Special Trust Fund 1	Unit 	1	Brand New Van  	 	 	Specification:  	 	 	11-16 seater, 4 cylinder diesel engine 5 door  	 	 	engine displacement 2,755cc manual transmission  	 	 	dimension:5.25x1.950x1.990mm wheel base 3,210mm  	 	 	ground clearance 175m</t>
  </si>
  <si>
    <t xml:space="preserve"> Republic of the Philippines DEPARTMENT OF PUBLIC WORKS AND HIGHWAYS ILOILO CITY DISTRICT ENGINEERING OFFICE REGION VI Fort San Pedro, Iloilo City INVITATION TO BID FOR 20GGJ0049 - Supply and Delivery of Office Equipment Consumables and Spare Parts for the</t>
  </si>
  <si>
    <t xml:space="preserve"> Invitation to Bid for  PACKAGE 20-31:  COMMUNITY DEVELOPMENT 1.	The Bids and Awards Committee of the Local Government Unit of Santiago City, through the Economic Development Fund intends to apply the sum of Five Million One Hundred Eighty One Thousand Fiv</t>
  </si>
  <si>
    <t xml:space="preserve"> Republic of the Philippines Province of Agusan del Sur MUNICIPALITY OF TALACOGON BARANGAY DEL MONTE oOo BIDS AND AWARDS COMMITTEE May 28, 2020  INVITATION TO BID FOR THE REPAIR AND MAINTENANCE OF BASKETBALL COURT 1.	The Barangay Local Government Unit of D</t>
  </si>
  <si>
    <t xml:space="preserve"> Republic of the Philippines Province of Palawan Municipality of Roxas   BIDS AND AWARDS COMMITTEE INVITATION TO BID FOR THE CONSTRUCTION OF ABC BUILDING (PHASE 1) The Local Government Unit of Roxas, Palawan, through the 2020 Annual Budget, intends to appl</t>
  </si>
  <si>
    <t xml:space="preserve"> Invitation to Bid for  PACKAGE 20-30:  COMMUNITY DEVELOPMENT 1.	The Bids and Awards Committee of the Local Government Unit of Santiago City, through the Economic Development Fund intends to apply the sum of Four Million Nine Hundred Ninety Nine Thousand S</t>
  </si>
  <si>
    <t xml:space="preserve"> RGMO			 TRACTOR (MF 445) 			 1	kit	2	Tie Rod End 2	kit	2	Rack End 3	pcs	2	Packing Seal 4	pcs	2	Dust Steal 			 TRACTOR (MF 460 4WD)			 1	kit	2	Steering Arm (Tierod End) 2	set	1	Fuel Pump Assy 3	pcs	2	Quick Release Valve 4	pc	1	Crankshaft Oil Seal (Front) 5</t>
  </si>
  <si>
    <t xml:space="preserve"> Republic of the Philippines Province of Palawan Municipality of Roxas   BIDS AND AWARDS COMMITTEE INVITATION TO BID FOR THE CONSTRUCTION OF HEAVY EQUIPMENT SHELTER OF MOTORPOOL The Local Government Unit of Roxas, Palawan, through the 2020 Annual Budget, i</t>
  </si>
  <si>
    <t xml:space="preserve"> LOT 1	RGMO	 			Proposed FTC PARKING AREA 1	14	bags 	Premium Portland Cement 2	5	gals	Premium Reflectorize Waterproof paint,yellow 3	2	gals	Premium Paint Reducer 4	4	pcs	Paint Brush#4,Hippo 5	30	cu.m	Washed Screened sand 6	30	cu.m	Washed Gravel 3/4"Ø 7	65	</t>
  </si>
  <si>
    <t xml:space="preserve"> Invitation to Bid for  PACKAGE 20-27:  COMMUNITY DEVELOPMENT 1.	The Bids and Awards Committee of the Local Government Unit of Santiago City, through the Economic Development Fund intends to apply the sum of Five Million Two Hundred Forty One Thousand Seve</t>
  </si>
  <si>
    <t xml:space="preserve"> Republic of the Philippines Province of Isabela LOCAL GOVERNMENT UNIT OF BENITO SOLIVEN INVITATION TO BID FOR THE CONSTRUCTION OF MOTOR POOL 1.	The Municipal Government of Benito Soliven, intends to apply the sum of Two Million Pesos (P 2,000,000.00) bein</t>
  </si>
  <si>
    <t xml:space="preserve"> Republic of the Philippines Province of Ilocos Norte MUNICIPALITY OF CURRIMAO INVITATION TO BID FOR THE  PURCHASE OF RESCUE VEHICLE – DRR EQUIPMENT 1.	The [MUNICIPALITY OF CURRIMAO], through the CY 2019 AM and LGU Fund  intends to apply the sum of Two Mil</t>
  </si>
  <si>
    <t xml:space="preserve"> Republic of the Philippines Province of Davao Oriental City of Mati BIDS &amp; AWARDS COMMITTEE INVITATION TO BID Procurement of DIESEL FUEL for Use in the Construction/Rehab/Improvement of Provincial Road at Brgy. Lapulapu, San Isidro, Davao Oriental SOURCE </t>
  </si>
  <si>
    <t xml:space="preserve"> Republic of the Philippines PROVINCE OF LANAO DEL NORTE MUNICIPALITY OF LALA Office of the Municipal General Services           _________________                                                                                                              </t>
  </si>
  <si>
    <t xml:space="preserve"> The National Food Authority (NFA), Southern Tagalog Regional Office (Region IV), through the NFA Corporate Operating Budget for 2020, intends to apply the sum of ONE MILLION FORTY NINE HUNDRED NINETY SEVEN PESOS (P1,049,997.00) being the Approved Budget f</t>
  </si>
  <si>
    <t xml:space="preserve"> Republic of the Philippines Province of Oriental Mindoro MUNICIPALITY OF PINAMALAYAN OFFICE OF THE BIDS AND AWARDS COMMITTEE Invitation to Bid ITB-2020-14 1.  The Municipal Government of Pinamalayan, Oriental Mindoro, through the authorized appropriations</t>
  </si>
  <si>
    <t xml:space="preserve"> Republic of the Philippines DEPARTMENT OF PUBLIC WORKS AND HIGHWAYS ILOILO CITY DISTRICT ENGINEERING OFFICE REGION VI Fort San Pedro, Iloilo City INVITATION TO BID FOR 20GGJ0048 - Supply and Delivery of Vertical Mounted Solution Face + Temperature Monitor</t>
  </si>
  <si>
    <t xml:space="preserve"> Item Number	Description	 QTY 	UNIT	 ESTIMATED BUDGET  1	Dump Truck	1	unit	 3,000,000.00  	Specs:			 	 6 Wheeler (6.0 m3) Mini Dump Truck			 	 HP: 120, 7-8 Tonner			 	 Emission Standard: EURO IV			 	 Stroke Volume (ml): 4214			 	 Rated Power (kW/hp): 103/1</t>
  </si>
  <si>
    <t xml:space="preserve"> Republic of the Philippines Province of Davao Oriental City of Mati BIDS &amp; AWARDS COMMITTEE INVITATION TO BID Procurement of DIESEL FUEL for Use in the Construction/Rehab/Improvement of Provincial Road at NHJ ZARAGOSA-MACATODTOD Road Section at Manay, Dav</t>
  </si>
  <si>
    <t xml:space="preserve"> Republic of the Philippines DEPARTMENT OF PUBLIC WORKS AND HIGHWAYS ILOILO CITY DISTRICT ENGINEERING OFFICE REGION VI Fort San Pedro, Iloilo City INVITATION TO BID FOR 20GGJ0047 - Supply and Delivery of IT Equipment (2nd Quarter) for the use of Planning a</t>
  </si>
  <si>
    <t xml:space="preserve"> 1	unit	"Interactive Whiteboard Display Size (inches): 86  Display Ratio: 16:9  Contrast Ratio:  1200:1  Color 10 Bit: 1.07B 10  Brightness:  410Bit  Maximum Resolution: 3840(H) * 2160(V) 4K Design: All-aluminum design, front speaker, front panel with sing</t>
  </si>
  <si>
    <t xml:space="preserve"> CONTINUATION OF LENGA MULTIPURPOSE HALL, TADIAN FUND SOURCE: 20% PDF 2020 TYPES OF WORK TO BE DONE: Project billboard/ signboard/ occupational safety and health program/ grouted riprap (class A)/ embankment/ forms and falseworks/ reinforcing steel bar/  s</t>
  </si>
  <si>
    <t xml:space="preserve"> Invitation to Bid for  PACKAGE 20-29:  COMMUNITY DEVELOPMENT 1.	The Bids and Awards Committee of the Local Government Unit of Santiago City, through the Economic Development Fund intends to apply the sum of Four Million Two Hundred Twenty Eight Thousand N</t>
  </si>
  <si>
    <t xml:space="preserve"> PR #GF-1229 Labor for the Demolition and Construction of MPB (Wellness Center) Php 353,600.00</t>
  </si>
  <si>
    <t xml:space="preserve"> REMOVAL OF EXISTING ROOF, REPAIR AND IMPROVEMENT OF ADJACENT BUILDING</t>
  </si>
  <si>
    <t xml:space="preserve"> Upgarading of Tuguegarao City Peoples General Hospital Luna Street., Corner Rizal Street., Centro 6, Tuguegarao City</t>
  </si>
  <si>
    <t xml:space="preserve"> 0.33 mo Occupational Safety &amp; Health Program	 1 lot Clearing and Grubbing	 1 lot Removal of Structures and Obstructions	 65.56 cu.m. Excavation	 2.96 cu.m. Aggregate Base Course	 128 cu.m. Stone Masonry	 32 cu.m. Embankment from Borrow	 15.28 cu.m. Concre</t>
  </si>
  <si>
    <t xml:space="preserve"> Republic of the Philippines								 Province of Negros Occidental								 Municipality of La Castellana								 Bids and Awards Committee								 								 INVITATION TO APPLY FOR ELIGIBILITY AND TO BID								 								 Name of Project: 		CONSTRUCTION OF 4</t>
  </si>
  <si>
    <t xml:space="preserve"> Municipality of Looc Invitation to Bid for Construction of Seawall (between Guitna and Bonbon) P-I 1.	The Municipality of Looc, through the Trust Fund-DRRMF intends to apply the sum of Php 2,670,000.00 being the Approved Budget for the Contract (ABC) to p</t>
  </si>
  <si>
    <t xml:space="preserve"> Bidding Documents and Terms of Reference (TOR) will be uploaded in the DA-Website on 28 May 2020.</t>
  </si>
  <si>
    <t xml:space="preserve"> Concreting of Roads with minor drainage structures</t>
  </si>
  <si>
    <t xml:space="preserve"> Brief Description of the Project		 Quantity	Unit	Item Description 1.00	lot	Construction &amp; Occupational Health 800.00	sq.m	Mobilization &amp; Removal of Obstruction 920.00	sq.m	Sub-Grade Preparation  92.00 	cu.m.	Aggregate Sub-Base Course  92.00 	cu.m.	Aggrega</t>
  </si>
  <si>
    <t xml:space="preserve"> Contract Location: FIRST DISTRICT OF ALBAY Brief Description: MAINTENANCE, REPAIR AND REHABILITATION OF PUBLIC BLDGS Source of Funds: GAA 2020 DPWH INFRA (Outside Infra) The BAC is conducting the public bidding for this Contract in accordance with RA 9184</t>
  </si>
  <si>
    <t xml:space="preserve"> Brief Description of the Project			 Quantity	Unit	Item Description	  1.00 	lot	Construction &amp; Occupational Health	  1.00 	lot	Mobilization 	  120.00 	sq.m.	Site Clearing	  51.84 	cu.m.	Excavation Works	  39.47 	cu.m.	Concrete Works	  1.00 	lot	Formworks (</t>
  </si>
  <si>
    <t xml:space="preserve"> Contract Location: BACACAY, ALBAY Brief Description: REPAIR/MAINTENANCE OF RIVER CONTROL Source of Funds: GAA 2020 ( Outside Infra) DPWH INFRA  The BAC is conducting the public bidding for this Contract in accordance with RA 9184 and its Implementing Rule</t>
  </si>
  <si>
    <t xml:space="preserve"> RGMO - RV SUDARIA 1	Unit 	 10 	54LED 3W 3in1 RGB Full Color Led par light 2	Unit 	1	Guitar Amplifier (Power:85 watts Drivers:12" Custom Driver + Switchable HF horn Inputs: Normal &amp; High, CD Input: Yes (mini Jack)/No Headphone Socket,Switchable compressor </t>
  </si>
  <si>
    <t xml:space="preserve"> Republic of the Philippines Province of South Cotabato BIDS AND AWARDS COMMITTEE Capitol Compound Alunan Avenue, Koronadal City Tel. Fax No.: (083) 228-9951/228-8570 INVITATION TO BID FOR THE SUPPLY AND DELIVERY OF 99 KITS ENGLISH READING KIT LEVEL I (ERK</t>
  </si>
  <si>
    <t xml:space="preserve"> 1	1	Unit	Software maintenance and Upgrading of Enrolment  System 			Specifications: 			Online Enrollment for Students using phones iOS/android (Students can enroll online using any device that has browser, using the internet)  			Online payment (Land Bank</t>
  </si>
  <si>
    <t xml:space="preserve"> Maintenance, Repair and Rehabilitation of Infrastructure Facilities and Other Related Activities - Public Buildings: Repair/ Maintenance of DOJ Building, DOJ Cottage, Cabinet Hill, Baguio City Contract Location :	Governor Pack Road, Baguio City Approved B</t>
  </si>
  <si>
    <t xml:space="preserve"> 0.50 mo Occupational Safety &amp; Health Program	 250 sq.m. Clearing and Grubbing	 Construction of Slope Protection **280 cu.m. Stone Masonry	 Construction of Box Culvert **48 cu.m. Structure Excavation	 30.56 cu.m. Concrete Class A	 Construction of PCCP 2,50</t>
  </si>
  <si>
    <t xml:space="preserve"> INVITATION TO BID FOR THE SUPPLY AND DELIVERY OF VARIOUS ANIMAL FEEDS 1.	The Bureau of Animal Industry, through the General Appropriations Act FY 2020 intends to apply the sum of One Million Two Hundred Eighty-Two Thousand Pesos                    (P 1,28</t>
  </si>
  <si>
    <t xml:space="preserve"> INVITATION TO BID  SUPPLY AND DELIVERY  OF CORRUGATED   GI SHEET FOR THE IDENTIFIED PARTIALLY DAMAGED OF TYPHOON TISOY IN THE CITY OF SORSOGON  GS 2020 -005-016 1.	The City Government of Sorsogon    intends to apply the sum of   Three  Million   Eight Hun</t>
  </si>
  <si>
    <t xml:space="preserve"> Republic of the Philippines												 Office of the Municipal Mayor												 BIDS AND AWARDS COMMITTEE												 Binmaley, Pangasinan												 												 Invitation to Bid												 	 for 											 	REHABILITATION AND REPAINTING OF RHU I B</t>
  </si>
  <si>
    <t xml:space="preserve"> 3 units 9hp Diesel Water pump with centrifugal pump 3x3		 4 units Multi-tiller diesel with rotavator and deep plow ditcher and anti-weeder		 10 units 5hp aircooled engine power sprayer		 10 units 2-stroke brushcutter with nylon blade		 3 units Rice Plante</t>
  </si>
  <si>
    <t xml:space="preserve"> Republic of the Philippines Province of Eastern Samar Municipality of Maydolong Barangay Guindalitan INVITATION TO BID FOR  Procurement of Supplies and Materials for Improvement of Stage 1.	The Barangay Government of Barangay Guindalitan, Maydolong, Easte</t>
  </si>
  <si>
    <t xml:space="preserve"> Handheld Radios</t>
  </si>
  <si>
    <t xml:space="preserve"> Republic of the Philippines Province of Aurora MUNICIPALITY OF MARIA AURORA Bids and Awards Committee INVITATION TO BID First Posting The Local Government Unit of Maria Aurora, through the Bid and Awards Committee (BAC), invites suppliers/interested party</t>
  </si>
  <si>
    <t xml:space="preserve"> Republic of the Philippines										 	Office of the Municipal Mayor										 	BIDS AND AWARDS COMMITTEE										 	Binmaley, Pangasinan										 											 	Invitation to Bid										 	 for 										 	Construction of Multi-Purpose Hall (Phase I) in </t>
  </si>
  <si>
    <t xml:space="preserve"> Republic of the Philippines DEPARTMENT OF PUBLIC WORKS AND HIGHWAYS CENTRAL OFFICE Manila  INVITATION TO BID  	 For ORGANIZATIONAL OUTCOME 1: Ensure Safe and Reliable National Road System - Network Development Program, Construction of Missing Links/Roads </t>
  </si>
  <si>
    <t xml:space="preserve"> 222 Cu.M.    Item 201</t>
  </si>
  <si>
    <t xml:space="preserve"> Class "AA" Concrete Mixture A= 7x4m = 28 sg.m, with concrete approach L=8m, w= 5.80m</t>
  </si>
  <si>
    <t xml:space="preserve"> DPWH Conference Room, DPWH Davao del Sur DEO, Digos City</t>
  </si>
  <si>
    <t xml:space="preserve"> Construction of Rain Water Collector System</t>
  </si>
  <si>
    <t xml:space="preserve"> Republic of the Philippines Province of Eastern Samar Municipality of Maydolong Invitation to Bid Procurement of Infrastructure Projects for Rehabilitation of Barangay Hall at Barangay 2 1.	The Municipal Government of Maydolong, Eastern Samar, through the</t>
  </si>
  <si>
    <t xml:space="preserve"> Two units of Computer laptop and one unit computer desktop with printer</t>
  </si>
  <si>
    <t xml:space="preserve"> Name of Project : Cangabo SIP  Location : La Libertad, Negros Oriental  Contract No. : NOSO-LMC-SIP-20-2020  Brief Description : Construction of Diversion Works and Canal Structures  Approved Budget for the Contract : P 9,046,976.00  Contract Duration : 2</t>
  </si>
  <si>
    <t xml:space="preserve"> Procurement ID/Contract ID		: 	20CL0083 Contract Name	: 	Rehabilitation of San Felipe Public Market, Brgy. Feria,  San Felipe, Zambales Contract Location	: 	San Felipe, Zambales Brief Description	: 	Rehabilitation of Multi-Purpose Building  	Approved Budg</t>
  </si>
  <si>
    <t xml:space="preserve"> Outboard Motor 30HP Model: 30 HMHL,  Carbureted Two Stroke engine, manual start, long shaft 20", two cylinder in-line, Brand new, complete with Tiller handle assy, Fuel tank with fuel line assy, 6 gals cap. Aluminum propeller, owners manual</t>
  </si>
  <si>
    <t xml:space="preserve"> 223 Cu.M.       item 201</t>
  </si>
  <si>
    <t xml:space="preserve"> Republic of the Philippines Province of Eastern Samar Municipality of Maydolong Barangay Malobago INVITATION TO BID FOR  Procurement of Barangay Office Equipment 1.	The Barangay Government of Barangay Malobago, Maydolong, Eastern Samar, through the Munici</t>
  </si>
  <si>
    <t xml:space="preserve"> Republic of the Philippines							 Province of Negros Occidental							 Municipality of La Castellana							 Bids and Awards Committee							 							 INVITATION TO APPLY FOR ELIGIBILITY AND TO BID							 							 Name of Project: 		IMPROVEMENT OF PANAAD BO</t>
  </si>
  <si>
    <t xml:space="preserve"> Description of Works to be Done Item I. Desilting and Hauling of Spoils...............................................50.13 Item II. Repair/Rehabilitation of Line Canal.........................................49.87 (Concrete Cover, CHB Laying/ Plastering </t>
  </si>
  <si>
    <t xml:space="preserve"> Procurement of Various Drugs and Medicines for the 3rd Quarter 2020 for the provision of PDL.</t>
  </si>
  <si>
    <t xml:space="preserve"> 20F00068 - OO1: Ensure Safe and Reliable National Road System – Bridge Program – Replacement of Permanent Weak Bridges – Camalig Bridge (B00195LZ) along Daang Maharlika (LZ), Camalig, Albay 2nd Legislative District</t>
  </si>
  <si>
    <t xml:space="preserve"> Procurement ID/Contract ID		: 	20CL0088 Contract Name	: 	Construction/Rehabilitation of Water Supply/Septage  and Sewerage/Rain Water Collectors Contract Location	: 	Various Locations Brief Description	: 	Construction/Rehabilitation of Rain Water Collecto</t>
  </si>
  <si>
    <t xml:space="preserve"> Procurement ID/Contract ID		: 	20CL0087 Contract Name	: 	Repair and Maintenance of Road Safety Facilities  Contract Location	: 	Various Locations Brief Description	: 	Repair and Maintenance of Road Safety Facilities  	Approved Budget for the Contract (ABC</t>
  </si>
  <si>
    <t xml:space="preserve"> Procurement ID/Contract ID		: 	20CL0086 Contract Name	: 	Repair/Maintenance of Palanginan Revetment (Upstream),  Palanginan, Iba, Zambales Contract Location	: 	Iba, Zambales Brief Description	: 	Repair/Maintenance of Flood Control  	Approved Budget for th</t>
  </si>
  <si>
    <t xml:space="preserve"> Republic of the Philippines Province of Agusan del Sur MUNICIPALITY OF TALACOGON BIDS AND AWARDS COMMITTEE May 28, 2020 INVITATION TO BID  FOR THE PROCUREMENT OF EQUIPMENT FOR LA FLORA GARBAGE COLLECTOR    1.	The Local Government Unit of Talacogon, throug</t>
  </si>
  <si>
    <t xml:space="preserve"> Republic of the Philippines DEPARTMENT OF PUBLIC WORKS AND HIGHWAYS CENTRAL OFFICE Manila  INVITATION TO BID  	 For ORGANIZATIONAL OUTCOME 1: Ensure Safe and Reliable National Road System - Network Development Program, Construction of Missing Links/New Ro</t>
  </si>
  <si>
    <t xml:space="preserve"> Republic of the Philippines DEPARTMENT OF PUBLIC WORKS AND HIGHWAYS CENTRAL OFFICE Manila  INVITATION TO BID  	 For ORGANIZATIONAL OUTCOME 1: Ensure Safe and Reliable National Road System - Network Development Program - Construction of Missing Links/New R</t>
  </si>
  <si>
    <t xml:space="preserve"> Republic of the Philippines CITY GOVERNMENT OF SAN FERNANDO Barangay Poro INVITATION TO BID FOR  Repair and Construction of Drainage Canal Purok Tawi-Tawi, Barangay Poro, City of San Fernando 1.	The Barangay Poro, through the Barangay Fund intends to appl</t>
  </si>
  <si>
    <t xml:space="preserve"> Procurement ID/Contract ID		: 	20CL0084 Contract Name	: 	Repair/Maintenance of DILG Building, PNP Investigation  Building, Camp Condrado Yap, Iba, Zambales Contract Location	: 	Iba, Zambales Brief Description	: 	Repair/Maintenance of Building  	Approved B</t>
  </si>
  <si>
    <t xml:space="preserve"> 1.	The Municipality of Daram, through the General Fund intends to apply the sum of Three Million Five Hundred Pesos Only (P3,500,000.00) being the Approved Budget for the Contract (ABC) to payments under the contract for Road Opening of Nipa-San Jose FMR.</t>
  </si>
  <si>
    <t xml:space="preserve"> Procurement ID/Contract ID		: 	20CL0085 Contract Name	: 	Repair/Maintenance of DILG Building, PNP Multi- Faith  Building, Camp Conrado Yap, Iba, Zambales Contract Location	: 	Iba, Zambales Brief Description	: 	Repair/Maintenance of Building  	Approved Bud</t>
  </si>
  <si>
    <t xml:space="preserve"> Republic of the Philippines DEPARTMENT OF PUBLIC WORKS AND HIGHWAYS NEGROS OCCIDENTAL 1ST DISTRICT ENGINEERING OFFICE Region VI Matab-ang, Talisay City, Negros Occidental INVITATION TO BID The DPWH, Negros Occidental 1st District Engineering Office, Matab</t>
  </si>
  <si>
    <t xml:space="preserve"> Contract Location: TABACO CITY, ALBAY Brief Description: REPLACEMENT OF PERMANENT WEAK BRIDGES Source of Funds	: GAA 2020 DPWH INFRA The BAC is conducting the public bidding for this Contract in accordance with RA 9184 and its Implementing Rules and Regul</t>
  </si>
  <si>
    <t xml:space="preserve"> Department of Public Works and Highways (DPWH) Contract ID: 20GP0071 Contract Name: Repair/ Maintenance of DPWH Building Maintenance Building    Location of the Contract:  Dumalag, Capiz  -------------------------------------------------------------------</t>
  </si>
  <si>
    <t xml:space="preserve"> The Agricultural Training Institute-Regional Training Center VI (ATI-RTC VI) through its Bids and Awards Committee (BAC) intends to apply the sum of Seven Hundred Fifty-three Thousand Three Hundred Pesos Only (₱ 753,300.00). Being the Approved Budget for </t>
  </si>
  <si>
    <t xml:space="preserve"> 20F00114 - OO1: Ensure Safe and Reliable National Road System – Network Development Program – Construction of By-Pass and Diversion Roads – Palanas – San Isidro Road, Jovellar, Albay, Albay 3rd Legislative District</t>
  </si>
  <si>
    <t xml:space="preserve"> REBIDDING OF PROCUREMENT OF WAREHOUSES HANDLING (AND ALLIED) SERVICES FOR GRAINS FOR NFA REGION XII FOR CALENDAR YEAR 2020</t>
  </si>
  <si>
    <t xml:space="preserve"> 20F00076 - OO1: Ensure Safe and Reliable National Road System – Network Development Program – Construction of By-Pass and Diversion Roads, Tagkawayan-Labo Diversion Road (Labo Section), Camarines Norte, Labo, Camarines Norte 1st Legislative District</t>
  </si>
  <si>
    <t xml:space="preserve"> Republic of the Philippines Province of Iloilo Lemery Iloilo Invitation to Bid for Purchase of Drugs and Medicines 1.	The Municipality of Lemery, Iloilo, through the General Fund   intends to apply the sum of  Three Hundred Fifty Five Thousand Four Hundre</t>
  </si>
  <si>
    <t xml:space="preserve"> Contract Location: FIRST DISTRICT OF ALBAY Brief Description: ACCESS ROADS CONSTRUCTION/IMPROVEMENT Source of Funds	: GAA 2020 DPWH INFRA The BAC is conducting the public bidding for this Contract in accordance with RA 9184 and its Implementing Rules and </t>
  </si>
  <si>
    <t xml:space="preserve"> 1.	The Municipality of Daram, through the General Fund intends to apply the sum of Three Million Five Hundred Pesos Only (P3,500,000.00) being the Approved Budget for the Contract (ABC) to payments under the contract for Road Opening of Nipa-Jacopon FMR. </t>
  </si>
  <si>
    <t xml:space="preserve"> Invitation to Bid for the Supply and Delivery of 106 Units  Pump and Engine Sets with Accessories for Various CY 2020 Projects in the Province of Capiz  NIAR6-EGPIP-PUMP-CAPIZ-GS02-20 1.	The National Irrigation Administration Regional Office VI, Iloilo Ci</t>
  </si>
  <si>
    <t xml:space="preserve"> INVITATION TO BID The Iligan City Government Bids and Awards Committee (BAC), through 2016 -20% Development Fund intends to apply the sum of                                    P 3,000,000.00 being the Approved Budget for the Contract (ABC) to payments und</t>
  </si>
  <si>
    <t xml:space="preserve"> The Local Government Unit of the Island Garden City of Samal, through the General Funds CY 2020 intends to apply the sum of Four Million Pesos only (₱4,000,000.00) being the Approved Budget for the Contract (ABC) to payments under the contract for Purchas</t>
  </si>
  <si>
    <t xml:space="preserve"> INVITATION TO BID FOR THE INITIAL CONSTRUCTION OF BRGY. HEALTH CENTER Brgy. Batabat Sur, Buenavista, Quezon 1.	The Municipal Government of Buenavista, Quezon through the 20% Development Fund intends to apply the sum of Four Hundred Thousand Pesos (P400,00</t>
  </si>
  <si>
    <t xml:space="preserve"> The Local Government Unit of the Island Garden City of Samal, through the Trust Fund CY 2020 intends to apply the sum of Five Million Pesos only (₱5,000,000.00) being the Approved Budget for the Contract (ABC) to payments under the contract for Purchase o</t>
  </si>
  <si>
    <t xml:space="preserve"> S Republic of the Philippines MUNICIPALITY OF BOLINAO Province of Pangasinan PROPOSED CONSTRUCTION OF BARANGAY HEALTH CENTER AT ESTANZA, BOLINAO, PANGASINAN 1.	The LOCAL GOVERNMENT UNIT OF BOLINAO, PANGASINAN through the HFEP-GAA/DOH Region 1 Fund intends</t>
  </si>
  <si>
    <t xml:space="preserve"> 1.	The Municipality of Daram, through the General Fund intends to apply the sum of Two Hundred Forty Thousand Pesos Only (P240,000.00) being the Approved Budget for the Contract (ABC) to payments under the contract for the Construction of Wooden Floating </t>
  </si>
  <si>
    <t xml:space="preserve"> INVITATION TO APPLY FOR ELIGIBILITY AND TO BID THE LOCAL GOVERNMENT UNIT OF KALAWIT, ZAMBOANGA DEL NORTE, through its Bids and Awards Committee (BAC), invites suppliers/manufacturers/distributors to bid for the hereunder project: NAME OF PROJECTS			:SUPPL</t>
  </si>
  <si>
    <t xml:space="preserve"> INVITATION TO BID FOR THE COMPLETION OF CEMETERY MULTI-PURPOSE BUILDING  Brgy. Lilukin, Buenavista, Quezon 1.	The Municipal Government of Buenavista, Quezon, through the 20% Development Fund intends to apply the sum of Three Hundred Thousand Pesos (P300,0</t>
  </si>
  <si>
    <t xml:space="preserve"> The Local Government Unit of the Island Garden City of Samal, through the Trust Fund CY 2020 intends to apply the sum of Eight Million Five Hundred Thousand Pesos only (₱8,500,000.00) being the Approved Budget for the Contract (ABC) to payments under the </t>
  </si>
  <si>
    <t xml:space="preserve"> The Local Government Unit of the Island Garden City of Samal through the 20% Development Funds intends to apply the sum of Four Million Nine Hundred Thirty Six Thousand Three Hundred Thirty Eight Pesos and Ninety Four Centavos (₱4,936,338.94) being the Ap</t>
  </si>
  <si>
    <t xml:space="preserve"> S Republic of the Philippines MUNICIPALITY OF BOLINAO Province of Pangasinan PROPOSED SOIL COVER OF LANDFILL 1.	The LOCAL GOVERNMENT UNIT OF BOLINAO, PANGASINAN through the 20% Development Fund intends to apply an amount of One Million Two Hundred Forty T</t>
  </si>
  <si>
    <t xml:space="preserve"> The Local Government Unit of the Island Garden City of Samal through the Special Education Fund intends to apply the sum of One Million Eight Hundred Fifty Three Thousand Eight Hundred Ten Pesos and Fifty Seven Centavos (₱1,853,810.57) being the Approved </t>
  </si>
  <si>
    <t xml:space="preserve"> INVITATION TO BID FOR LOT 1: SUPPLY, DELIVERY AND INSTALLATION OF GARMENTS TECHNOLOGY EQUIPMENT FOR CTE EXTENSION PROGRAM (PR NO. 2020-02-0281) LOT 2: SUPPLY AND DELIVERY OF LABORATORY SUPPLIES FOR GARMENTS TECHNOLOGY INSTRUCTION (PR NO. 2020-02-0285) 1.	</t>
  </si>
  <si>
    <t xml:space="preserve"> 2  unit  PTZ Camera /2.8” 2 Megapixel             Starvis CMOS ,Powerful 25 x optical zoom            Starlight Technology ,Max 25/30 fps @ 1080P            IR distance up to 100m,IP66 1 unit  NVR4K Series DVR,8 MP Preview,80 Mbps Bandwidth 1 pcs  1 TB Su</t>
  </si>
  <si>
    <t xml:space="preserve"> The Local Government Unit of the Island Garden City of Samal through the 20% Development Funds (2020) intends to apply the sum of Three Million Eight Hundred Thousand Eight Hundred Seventy Pesos and Twenty Eight Centavos (₱3,800,870.28) being the Approved</t>
  </si>
  <si>
    <t xml:space="preserve"> INVITATION TO BID A.	The DPWH, Negros Oriental 1st District Engineering Office, Tinaogan, Bindoy, Negros Oriental now invites contractors to apply to bid for the contract(s); Contract ID # 		20HJ0115 Contract Name 	Concreting of Sitio Manghiluntud-Sitio I</t>
  </si>
  <si>
    <t xml:space="preserve"> INVITATION TO BID Bid No. B-70-2020  1.	The Provincial Government of Negros Oriental, through Source of Fund: 1) SP Res. No. 684-2019, Trust Fund-70% of the 5% DRRM Fund for CY 2017; 2) SP Res. No. 846-2018, 70% of 5% PDRRM Fund; 3) Sp Res. No. 557-2016, </t>
  </si>
  <si>
    <t xml:space="preserve"> The Local Government Unit of the Island Garden City of Samal through the 20% Development Funds (2020) intends to apply the sum of Four Million Seven Hundred Ninety Eight Thousand Five Hundred Seventy Six Pesos and Twenty Two Centavos (₱4,798,576.22) being</t>
  </si>
  <si>
    <t xml:space="preserve"> Section I. Invitation to Bid Republic of the Philippines Province of Bukidnon MUNICIPALITY OF TALAKAG Invitation to Bid for  Construction of Multi-Purpose Building  San Miguel 1.	The Municipality of Talakag, through the 0-90-000, CY2020, 8-90-000, CY2019,</t>
  </si>
  <si>
    <t xml:space="preserve"> Republic of the Philippines BOHOL ISLAND STATE UNIVERSITY Main Campus, Tagbilaran City INVITATION TO BID FOR LOT 1: SUPPLY AND DELIVERY OF LABORATORY EQUIPMENT FOR FOOD TECHNOLOGY INSTRUCTION (PR NO. 2020-02-0292) LOT 2: SUPPLY AND DELIVERY OF TOOLS AND M</t>
  </si>
  <si>
    <t xml:space="preserve"> Contract ID #					 :     20II0060 Contract Name				         :    Supply/Delivery/Installation of Road Right of Way (RROW) Markers along Catarman Laoang Road, K0765+(-473) to K0788+156, Northern Samar Second District Contract Location				 :     Northern Sa</t>
  </si>
  <si>
    <t xml:space="preserve"> The Local Government Unit of the Island Garden City of Samal through the 20% Development Fund (2020) intends to apply the sum of One Million Four Hundred Twenty Nine Thousand Nine Hundred Fifty Eight Pesos and Sixty Five Centavos (₱1,429,958.65) being the</t>
  </si>
  <si>
    <t xml:space="preserve"> INVITATION TO BID FOR THE COMPLETION OF ADDITONAL APARTMENT TYPE NICHE/TOMBS OF MUNICIPAL CEMETERY  Brgy. Lilukin, Buenavista, Quezon 1.	The Municipal Government of Buenavista, Quezon, through the 20% Development Fund intends to apply the sum of One Milli</t>
  </si>
  <si>
    <t xml:space="preserve"> The Local Government Unit of the Island Garden City of Samal through the 20% Development Funds (2020) intends to apply the sum of Three Million Eight Hundred Fifty Two Thousand Twenty Nine Pesos and Fifty Two Centavos (₱3,852,029.52) being the Approved Bu</t>
  </si>
  <si>
    <t xml:space="preserve"> 1.	The Securities and Exchange Commission (SEC), through the authorized appropriations under FY-2020 Annual Procurement Plan (APP) intends to apply the sum of Ten Million Pesos (Php10,000,000.00) being the Approved Budget for the Contract (ABC) to payment</t>
  </si>
  <si>
    <t xml:space="preserve"> The Local Government Unit of the Island Garden City of Samal through the 20% Development Fund (2020) intends to apply the sum of Two Million Eight Hundred Sixty Six Thousand Twenty Two Pesos and Fifty Two Centavos (₱2,866,022.52) being the Approved Budget</t>
  </si>
  <si>
    <t xml:space="preserve"> The Local Government Unit of the Island Garden City of Samal through the 20% Development Funds (2020) intends to apply the sum of Four Million Seven Hundred Ninety Four Thousand Two Hundred Sixty One Pesos and Thirty Four Centavos (₱4,794,261.34) being th</t>
  </si>
  <si>
    <t xml:space="preserve"> The Local Government Unit of the Island Garden City of Samal through the 20% Development Funds (2020) intends to apply the sum of Four Million Eight Hundred Forty Nine Thousand One Hundred Six Pesos and Twenty Two Centavos (₱4,849,106.22) being the Approv</t>
  </si>
  <si>
    <t xml:space="preserve"> Title:Procurement of 400 Set Family Kit,etc. under P.R.No. 1735-2020-5% City Disaster Risk Reduction and Management Fund Total ABC: Php 4,985,300.00 For representative/s of interested bidders who wish to attend the Pre-Bidding Conference, please bring the</t>
  </si>
  <si>
    <t xml:space="preserve"> CONSTRUCTION OF WAITING AREA @ ATM BUILDING MUNICIPAL HALL COMPOUND, FLORA, APAYAO</t>
  </si>
  <si>
    <t xml:space="preserve"> Republic of the Philippines BOHOL ISLAND STATE UNIVERSITY Main Campus, Tagbilaran City INVITATION TO BID FOR SUPPLY AND DELIVERY OF IT PARTS AND ACCESSORIES (PR NO. 2020-02-0120, 2020-02-0312, 2020-02-0203, 2020-02-0337, 2020-01-0034, 2020-01-0053, 2020-0</t>
  </si>
  <si>
    <t xml:space="preserve"> Republic of the Philippines CITY OF BAIS BIDS AND AWARDS COMMITTEE INVITATION TO APPLY FOR ELIGIBILITY AND TO BID 	The City Government of Bais invites interested bidders to apply for eligibility and to bid to be used for Incident Command System (ICS) oper</t>
  </si>
  <si>
    <t xml:space="preserve"> Republic of the Philippines BOHOL ISLAND STATE UNIVERSITY Main Campus, Tagbilaran City INVITATION TO BID FOR SUPPLY, DELIVERY AND INSTALLATION OF AIRCONDITIONING UNITS (PR NO. 2020-02-0395, 2020-02-0382, 2020-02-0222, 2020-02-0318, 2020-02-0309) 1.	The Bo</t>
  </si>
  <si>
    <t xml:space="preserve"> Republic of the Philippines Province of Iloilo Municipality of Lemery Invitation to Bid 1.	The Barangay  Milan,  Lemery, Iloilo, through  20% Development Fund 2019 intends to apply the sum of  One Hundred Thousand  Pesos ( 100,000.00 ) being the Approved </t>
  </si>
  <si>
    <t xml:space="preserve"> The Local Government Unit of the Island Garden City of Samal through the 20% Development Funds (2020) intends to apply the sum of Four Million Seven Hundred Ninety Seven Thousand Four Hundred Eleven Pesos and Thirty Two Centavos (₱4,797,411.32) being the </t>
  </si>
  <si>
    <t xml:space="preserve"> IMPROVEMENT OF DR. EFREN U. DE SAN JOSE MEMORIAL SPORT CENTER POB. EAST, FLORA, APAYAO</t>
  </si>
  <si>
    <t xml:space="preserve"> Republic of the Philippines Province of Iloilo Municipality of Lemery Invitation to Bid for Purchase of Medical Laboratory and Dental Supplies 1.	The Municipality of Lemery, Iloilo, through the General Fund   intends to apply the sum of  Two Hundred Twent</t>
  </si>
  <si>
    <t xml:space="preserve"> INVITATION TO BID IB No. GS-2020 – 059 Construction Materials and Supplies for use in the Construction of SSG Office at San Teodro NHS, San Teodoro, Oriental Mindoro/ Completion of Gymnasium at Ma. Estrella E/S, Tawiran, Calapan City, Oriental Mindoro/ Co</t>
  </si>
  <si>
    <t xml:space="preserve"> INVITATION TO BID Bid No. B-71-2020  1.	The Provincial Government of Negros Oriental through Responsibility Center: 9998-006(19), intends to apply the sum of One Million Two Hundred Seventy-Four Thousand Five Hundred Twenty Seven Pesos &amp; 80/100 (Php 1,274</t>
  </si>
  <si>
    <t xml:space="preserve"> INVITATION TO BID IB No. GS-2020 – 058 Construction Materials and Supplies for use in the Construction of Water System at Brgy. Burbuli, Baco, Oriental Mindoro/ Brgy. Poblacion Baco, Oriental Mindoro/ Brgy. Panggalaan, Calapan City/ Brgy. Pambisan Malaki,</t>
  </si>
  <si>
    <t xml:space="preserve"> Republic of the Philippines BOHOL ISLAND STATE UNIVERSITY Main Campus, Tagbilaran City INVITATION TO BID FOR SUPPLY AND DELIVERY OF PLAGIARISM AND GRAMMAR CHECKER (PR NO. 2020-02-0232) 1.	The Bohol Island State University – Main Campus, Tagbilaran City, t</t>
  </si>
  <si>
    <t xml:space="preserve"> INVITATION TO BID IB No. GS-2020 – 060 Construction Materials and Supplies for use in the Improvement of Barangay Hall at Brgy. Bagumbayan, Roxas, Oriental Mindoro/ Repair of Kinder and Grade 1 Classroom at San Juan E/S, Brgy. Cantil Roxas, Oriental Mindo</t>
  </si>
  <si>
    <t xml:space="preserve"> Section I. Invitation to Bid Republic of the Philippines Province of Bukidnon MUNICIPALITY OF TALAKAG Invitation to Bid for Procurement of Food Stuff (For Dietary Supplement for Underweight &amp; Wasted PS Children) 1.	The Municipality of Talakag through the </t>
  </si>
  <si>
    <t xml:space="preserve"> SUPPLY, DELIVERY, INSTALLATION, TESTING AND COMMISSIONING OF SUBMERSIBLE PUMP AND MOTOR ASSEMBLY, DUAL MOTOR CONTROL, AND FLAT CABLE (GOODS-2020-012) 1.	The Government of the Philippines, through the Puerto Princesa City Water District intends to apply th</t>
  </si>
  <si>
    <t xml:space="preserve"> Installation of Street Lights at Purok Calamansi 7 Poles, Purok Caimeto 7 Poles, Purok Mahogany 3 Poles and Purok Sampaguita 3 Poles, Barangay Baculin, Baganga, Davao Oriental.</t>
  </si>
  <si>
    <t xml:space="preserve"> Republic of the Philippines PROVINCE OF EASTERN SAMAR Municipality of Can-avid BID AND AWARDS COMMITTEE INVITATION TO APPLY FOR ELIGIBILITY AND TO BID 	The local Government Unit of Can-avid, through its Bid and Awards Committee (BAC). Invites Suppliers to</t>
  </si>
  <si>
    <t xml:space="preserve"> 1 unit  Desktop Computer(Digital Age,AMD powerful A8 Quad,Crore processor 1  unit Epson L565 All in One Ink Tank Printer 1 unit Epson LCD Projector (Digi serv Solution Epson S41/EB S31 1 unit HP core i5 Laptop 15..6 inches (LED screen RAM 8gd ,HDD 2 TB) 1</t>
  </si>
  <si>
    <t xml:space="preserve"> Republic of the Philippines BOHOL ISLAND STATE UNIVERSITY Main Campus, Tagbilaran City INVITATION TO BID FOR SUPPLY AND DELIVERY OF APPLIANCES (PR NO. 2020-02-0229, 2020-02-0273, 2020-02-0314, 2020-02-0149, 2020-02-0255, 2020-02-0256, 2020-02-0272) 1.	The</t>
  </si>
  <si>
    <t xml:space="preserve"> Republic of the Philippines Province of Zamboanga del Sur MUNICIPALITY OF DINAS BARANGAY NIAN INVITATION TO BID May 26, 2020 The Barangay Legarda Tres, Dinas, Zamboanga del Sur now invites bids for REPLACEMENT OF TRUSSES AND ROOFING at Barangay Legarda Tr</t>
  </si>
  <si>
    <t xml:space="preserve"> FOR BARANGAY SOLID WASTE MANAGEMENT</t>
  </si>
  <si>
    <t xml:space="preserve"> Barangay Cabid-an, East District		Project Reference Number: 2020-004 Sorsogon City			Name of the Project: PURCHASE OF SUZUKI PICK UP WITH CANOPY Location of the Project		:	 BrgyCabid-an, East District, Sor. City 					Source of Funds:  5% CALAMITY FUND Sta</t>
  </si>
  <si>
    <t xml:space="preserve"> Section I. Invitation to Bid Republic of the Philippines Province of Bukidnon MUNICIPALITY OF TALAKAG Invitation to Bid for Procurement of Construction Materials  (For Construction of Motorpool Perimeter Fence) 1.	The Municipality of Talakag through the G</t>
  </si>
  <si>
    <t xml:space="preserve"> Republic of the Philippines BOHOL ISLAND STATE UNIVERSITY Main Campus, Tagbilaran City INVITATION TO BID FOR SUPPLY AND DELIVERY OF BINDING MACHINES (PR NO. 2020-02-0284, 2020-02-0321, 2020-02-0301, 2020-02-0340, 2020-02-0417) 1.	The Bohol Island State Un</t>
  </si>
  <si>
    <t xml:space="preserve"> 500 Pcs. - Personal Protective Equipments 42 Packs-  N95 Face Mask 72 Pcs. - Thermal Scanner 1 lot     - Drugs and Medicines</t>
  </si>
  <si>
    <t xml:space="preserve"> MUNICIPALITY OF BATO PROVINCE OF LEYTE Invitation to Bid for  NEW CONSTRUCTION OF LEVEL II POTABLE WATER SUPPLY SYSTEM OF BARANGAY DOMAGOCDOC, BATO, LEYTE  (batgoods 2020-05-018) 1.	The Local Government Unit of Bato, through the GoP (TF/DILG AM) intends t</t>
  </si>
  <si>
    <t xml:space="preserve"> The DPWH-Ilocos Norte Second District Engineering Office, through its Bids and Awards Committee (BAC), invites contractors to submit bids for the Contract: Procurement ID/Contract ID:20AB0120	 Contract Name/Location			 CONSTRUCTION/REHABILITATION OF WATER</t>
  </si>
  <si>
    <t xml:space="preserve"> Ambulance DOH Standard/Compliant (please see attached canvass form for more details of the ambulance specification)</t>
  </si>
  <si>
    <t xml:space="preserve"> 10,397 Bags-  25kls. Rice</t>
  </si>
  <si>
    <t xml:space="preserve"> Republic of the Philippines Province of Surigao del Sur Municipality of Tago ---ooo0ooo--- Invitation to Bid Supply and Delivery of Various Water System Facilities Project ID No. TAG-SDS-039-2020 The Local Government Unit of Tago, Surigao del Sur invites </t>
  </si>
  <si>
    <t xml:space="preserve"> Installation of Solar Street Lights, Talalora, Samar The Municipality Of Talalora, through its Bids and Awards Committee (BAC), invites interested bidders to apply for eligibility and to bid for the hereunder project: Name of Project: Installation of Sola</t>
  </si>
  <si>
    <t xml:space="preserve"> Concreting of Poblacion Talalora- Brgy. Malaguining Road ( Brgy. 2 Poblacion Section), Talalora, Samar The Municipality Of Talalora, through its Bids and Awards Committee (BAC), invites interested bidders to apply for eligibility and to bid for the hereun</t>
  </si>
  <si>
    <t xml:space="preserve"> Republic of the Philippines Province of Davao Oriental City of Mati BIDS &amp; AWARDS COMMITTEE INVITATION TO BID (REBID) Procurement of FUEL, OIL &amp; LUBRICANTS for Use in Various Repair of Provincial Roads SOURCE OF FUND: OLF [1999Z4A-200-5-02-03-090-01] 1.	T</t>
  </si>
  <si>
    <t xml:space="preserve"> Invitation to Bid for the  CONCRETING OF TAVERA - NARRA PROPER FMR  (Labor, Materials, Fuel &amp; Equipment) CONTRACT NUMBER.:  ITB No. 20-059 (PR No. 100-20-05-036) 1.	The Local Government Unit of Bayawan City, through the Land Bank of the Philippines (LBP) </t>
  </si>
  <si>
    <t xml:space="preserve"> MG-A5M20-019..AG4 INST. OF TUNNEL WALL STRENGTHENING COMPOSITE &amp; ANTI PEELING, PHASE 2 ABC  : P 9,000,000.00 PLACE OF DELIVERY : AGUS 4 HEP WAREHOUSE BALOI, LANAO DEL NORTE AMOUNT OF BID DOCUMENTS : P 10,000.00</t>
  </si>
  <si>
    <t xml:space="preserve"> Invitation to Bid for the  CONCRETING OF NARRA - OHOT FMR  (Labor, Materials, Fuel &amp; Equipment) CONTRACT NUMBER.:  ITB No. 20-060 (PR No. 100-20-05-037) 1.	The Local Government Unit of Bayawan City, through the Land Bank of the Philippines (LBP) Loan (LGU</t>
  </si>
  <si>
    <t xml:space="preserve"> Supply of materials and Labor for the rehabilitation of Isolation Facility</t>
  </si>
  <si>
    <t xml:space="preserve"> Republic of the Philippines CITY GOVERNMENT OF ORMOC  2nd /F New Ormoc City Hall Bldg.,Ormoc City Tel # (053) 255-2054 &amp; 560-8050 Local # 1126, 1127 &amp; 1123	      32-________________________ INVITATION TO BID         The City Government of Ormoc, through t</t>
  </si>
  <si>
    <t xml:space="preserve"> Barangay Government Unit										 Imelda, Zamboanga Sibugay										 										 INVITATION TO APPLY FOR ELIGIBILITY AND TO BID										 										 The Barangay Government Unit  of Imelda, Zamboanga Sibugay , through its Bids and  Awards Committee (BAC)</t>
  </si>
  <si>
    <t xml:space="preserve"> Construction of Warehouse Building 1 Processing Plant Final Without Office</t>
  </si>
  <si>
    <t xml:space="preserve"> Invitation to Bid for the  CONCRETING OF MANINIHON-CANSUMALIG-SAN ISIDRO FMR (Labor, Materials, Fuel &amp; Equipment) CONTRACT NUMBER.:  ITB No. 20-058 (PR No. 100-20-05-035) 1.	The Local Government Unit of Bayawan City, through the Land Bank of the Philippin</t>
  </si>
  <si>
    <t xml:space="preserve"> Invitation to Bid for the  CONCRETING OF TABUAN-DITA-GAMAO FMR  (Labor, Materials, Fuel &amp; Equipment) CONTRACT NUMBER.:  ITB No. 20-063 (PR No. 100-20-05-040) 1.	The Local Government Unit of Bayawan City, through the Land Bank of the Philippines (LBP) Loan</t>
  </si>
  <si>
    <t xml:space="preserve"> &lt; Name and Location of Contracts&gt;						Bill of Quantities	 Item No.		Description		Unit	Quantity	Unit Price	Amount in 1	GENERAL REQUIREMENTS						 2	SITE WORKS						 3	PARTITION 						 4	TILE WORKS						 5	FURNITURES AND FIXTURES						 6	ELECTRICAL WORKS		</t>
  </si>
  <si>
    <t xml:space="preserve"> SEE ATTACHED REQUISITION AND ISSUE VOUCHER (RIV)</t>
  </si>
  <si>
    <t xml:space="preserve"> INVITATION TO BID The Municipality of Lazi, Siquijor through its Bids and Awards Committee (BAC), invites suppliers/manufacturers/distributors/contractors to apply for eligibility and to bid for the hereunder project: Name of Project:	COMPLETION OF CONCRE</t>
  </si>
  <si>
    <t xml:space="preserve"> Invitation to Bid for the  CONSTRUCTION OF LCR OFFICE  (Labor, Materials, Fuel &amp; Equipment) CONTRACT NUMBER.:  ITB No. 20-066 (PR No. 100-20-05-043) 1.	The Local Government Unit of Bayawan City, through Sangguniang Panlungsod Appropriations Ordinance No. </t>
  </si>
  <si>
    <t xml:space="preserve"> Section I. Invitation to Bid Republic of the Philippines Province of Bukidnon MUNICIPALITY OF TALAKAG Invitation to Bid for Procurement of Medical Supplies  (For Public Consumption) 1.	The Municipality of Talakag through the General Fund, CY 2020 (4411) i</t>
  </si>
  <si>
    <t xml:space="preserve"> Invitation to Bid for the  CONCRETING OF PULANG YUTA - LAPAY FMR  (Labor, Materials, Fuel &amp; Equipment) CONTRACT NUMBER.:  ITB No. 20-064 (PR No. 100-20-05-041) 1.	The Local Government Unit of Bayawan City, through the Land Bank of the Philippines (LBP) Lo</t>
  </si>
  <si>
    <t xml:space="preserve"> Procurement of Tools and Equipment for the Continuous Upgrading of EMD Base and Area Shops (PR No. 20-02-058 dated 2/28/2020), EMD, DPWH, Region V, Legazpi City</t>
  </si>
  <si>
    <t xml:space="preserve"> Invitation to Bid for the  IMPROVEMENT OF HINAKE - CAMANDAGAN FMR  (Labor, Materials, Fuel &amp; Equipment) CONTRACT NUMBER.:  ITB No. 20-065 (PR No. 100-20-05-042) 1.	The Local Government Unit of Bayawan City, through the Land Bank of the Philippines (LBP) L</t>
  </si>
  <si>
    <t xml:space="preserve"> Republic of the Philippines Region XII Province of Cotabato Municipality of Aleosan  INVITATION TO BID FOR THE Supply and Delivery of Glutinous Corn May 26, 2020 1.	The Local Government Unit of Aleosan through the CY 2020 GAD Fund intends to apply the sum</t>
  </si>
  <si>
    <t xml:space="preserve"> MG-ADM20-001..INST. OF LIGHTNING PROTECTION OF MINGEN HEADQUARTERS BUILDING ABC  : P 1,690,000.00 PLACE OF DELIVERY : MINGEN CENTRAL WAREHOUSE DITUCALAN, ILIGAN CITY AMOUNT OF BID DOCUMENTS : P 3,000.00</t>
  </si>
  <si>
    <t xml:space="preserve"> Invitation to Bid for the  CONCRETING OF SAN JOSE - MANDUAO FMR  (Labor, Materials, Fuel &amp; Equipment) CONTRACT NUMBER.:  ITB No. 20-062 (PR No. 100-20-05-039) 1.	The Local Government Unit of Bayawan City, through the Land Bank of the Philippines (LBP) Loa</t>
  </si>
  <si>
    <t xml:space="preserve"> Repair &amp; Maintenance of Office Building, Talalora, Samar The Municipality Of Talalora, through its Bids and Awards Committee (BAC), invites interested bidders to apply for eligibility and to bid for the hereunder project: Name of Project: Repair &amp; Mainten</t>
  </si>
  <si>
    <t xml:space="preserve"> Std. Form No.: SF-05	 										Revised on: July 28, 2005	 											 Republic of the Philippines											 City Government of Ormoc											 2nd /F New Ormoc City Hall Bldg., Ormoc City											      Tel. # (053) 255-2054  &amp; 560-8050 											   </t>
  </si>
  <si>
    <t xml:space="preserve"> Construction of Warehouse Building 2-Evaporation-With Office</t>
  </si>
  <si>
    <t xml:space="preserve"> 10 unit, Oxygen Tank Holder, universal stainless, 19" H</t>
  </si>
  <si>
    <t xml:space="preserve"> a. Contract ID No:	20P00029     Contract Name:	ORGANIZATIONAL OUTCOME 1: Ensure Safe and Reliable National Road System – Asset Preservation Program – Rehabilitation/Reconstruction of National Roads with Slips, Slope Collapse and Landslide – Primary Roads </t>
  </si>
  <si>
    <t xml:space="preserve"> Invitation to Bid for the  CONCRETING OF TABUAN-BANAYBANAY-LAPAY-BUGAY FMR  (Labor, Materials, Fuel &amp; Equipment) CONTRACT NUMBER.:  ITB No. 20-061 (PR No. 100-20-05-038) 1.	The Local Government Unit of Bayawan City, through the Land Bank of the Philippine</t>
  </si>
  <si>
    <t xml:space="preserve"> INVITATION TO BID The Municipality of Lazi, Siquijor through its Bids and Awards Committee (BAC), invites suppliers/manufacturers/distributors/contractors to apply for eligibility and to bid for the hereunder project: Name of Project:	CONCRETING OF MUNICI</t>
  </si>
  <si>
    <t xml:space="preserve"> Section I. Invitation to Bid INVITATION TO BID  DA8-Goods-2020-34 Rebidding (PR No. RICE 20-02-19-0514) 1.	The Department of Agriculture-Regional Field Office No. 8, through the RICE 2020 intends to apply the sum of Seven Million Seven Hundred Forty Thous</t>
  </si>
  <si>
    <t xml:space="preserve"> SEE ATTACHED ITB AND BIDDING DOCS</t>
  </si>
  <si>
    <t xml:space="preserve"> Two (2) units Pick-up Engine Displacement	:	Not more than 3,000cc Fuel Type			:	Diesel Engine Transmission		:	5-6 speed Manual Transmission Passenger Capacity	:	5-seater including driver Drivetrain			:	4x4 (Four-wheel drive)</t>
  </si>
  <si>
    <t xml:space="preserve"> The Department of Public Works and Highways, 3rd District Engineering Office, Segabe, Piñan, Zamboanga del Norte, through the its Bids and Awards Committee (BAC) for Goods, invites suppliers to submit bids for the following Contract:										 										 </t>
  </si>
  <si>
    <t xml:space="preserve"> INVITATION TO BID (National Competitive Bidding) The BFAR XIII, through its Bids and Awards Committee (BAC), invites eligible suppliers to bid for the hereunder contracts: Project Title: Procurement of Supply and Delivery of Fishing Gears and Paraphernali</t>
  </si>
  <si>
    <t xml:space="preserve"> INVITATION TO BID The Municipality of Lazi, Siquijor through its Bids and Awards Committee (BAC), invites suppliers/manufacturers/distributors/contractors to apply for eligibility and to bid for the hereunder project: Name of Project:		DRUGS AND MEDICINES</t>
  </si>
  <si>
    <t xml:space="preserve"> SEE ATTACHED REQUISITION AND ISSUE VOUCHER</t>
  </si>
  <si>
    <t xml:space="preserve"> Republic of the Philippines Province of Cebu MUNICIPALITY OF DAANBANTAYAN Bids and Awards Committee E-mail address: bac.daanbantayan@gmail.com |Contact no.: (032) 437-8144 ITB No.: PB-2020-05-37 Invitation to Bid for the Supply and Delivery of Materials f</t>
  </si>
  <si>
    <t xml:space="preserve"> 1.	The Department of Health -Center for Health Development-Cordillera Administrative Region (DOH-CHD-CAR), through the Government of the Philippines, intends to bid the hereunder projects for Procurement of Calibrated Hanging-Type Weighing Scale, and, Hig</t>
  </si>
  <si>
    <t xml:space="preserve"> INVITATION TO BID IB No. GS-2020 – 068 Chemicals and Chemical Products for use of the OMPH patients/2nd quarter 2020 1. The  Provincial  Government  of  Oriental  Mindoro  (PGOM)  through  the  Trust Fund intends  to  apply  the  sum  of  One Million Five</t>
  </si>
  <si>
    <t xml:space="preserve"> a. Contract ID No:	20P00025     Contract Name:	Convergence and Special Support Program - Construction / Improvement of various Infrastructure in Support of National Security - Construction of Apayao Provincial Police Office, Luna, Apayao     Contract Loca</t>
  </si>
  <si>
    <t xml:space="preserve"> PEO-2020-0154 PR2020-0365 INVITATION TO BID FOR THE PROCUREMENT OF DIESEL FOR USE OF HEAVY EQUIPMENT, ETC. IN THE PEO, TAGBILARAN CITY ABC: P 4,389,004.46 COST OF BID DOCUMENTS: P 5,000.00 ADVERTISEMENT PERIOD: MAY 27 - JUNE 17, 2020 PRE-BID CONFERENCE: J</t>
  </si>
  <si>
    <t xml:space="preserve"> INVITATION TO BID FOR THE SUPPLY AND DELIVERY OF BRASS REPLACEMENT PIECE 1. The Metropolitan Tuguegarao Water District through the Corporate Budget for the Year 20201 intends to apply the sum of Four Million Seven Hundred Sixty-Three Thousand One Hundred </t>
  </si>
  <si>
    <t xml:space="preserve"> IMPROVEMENT OF LOCAL ROADS @ PUROK 3, MALUBIBIT NORTE FMR MALUBIBIT NORTE, FLORA, APAYAO</t>
  </si>
  <si>
    <t xml:space="preserve"> Section I. Invitation to Bid INVITATION TO BID DA8-Infra-2020-13 Rebidding (PR No. RICE 20-02-19-0516) 1.	The Department of Agriculture-Regional Field Office No. 8, through the RICE 2020 – C.O intends to apply the sum of Five Million Five Hundred Thousand</t>
  </si>
  <si>
    <t xml:space="preserve"> 7,690 bags Fertilizer Grade 14-14-14 (50kgs)</t>
  </si>
  <si>
    <t xml:space="preserve"> Republic of the Philippines Municipality of Kalayaan Province of Palawan BIDS and AWARDS COMMITTEE PUBLIC BIDDING SUPPLY AND DELIVERY OF ASSORTED EQUIPMENT INTENDED FOR MDRRM EMERGENCY SERVICESAND DISASTER RESPONSE 1.	The Municipality of Kalayaan, through</t>
  </si>
  <si>
    <t xml:space="preserve"> Contract Location: TIWI, ALBAY Brief Description: REHABILITATION OF BRIDGES Source of Funds: GAA 2020 DPWH INFRA The BAC is conducting the public bidding for this Contract in accordance with RA 9184 and its Implementing Rules and Regulations (IRR). To be </t>
  </si>
  <si>
    <t xml:space="preserve"> Repair/Maintenance of Drainage</t>
  </si>
  <si>
    <t xml:space="preserve"> INVITATION TO BID IB No. GS-2020 – 069 Chemicals and Chemical Products for use of the OMPH patients/2nd quarter 2020 1. The  Provincial  Government  of  Oriental  Mindoro  (PGOM)  through  the  Trust Fund intends  to  apply  the  sum  of  Two Million One </t>
  </si>
  <si>
    <t xml:space="preserve"> REPAIR/REHABILITATION OF 3-BARREL RCCP @ ALLIG-BALLUYAN FMR,  BALLUYAN, FLORA, APAYAO</t>
  </si>
  <si>
    <t xml:space="preserve"> BIDS AND AWARDS COMMITTEE (BAC) Email address: bacregion2@yahoo.com Telefax No.: (078) 304-0560 ITB No.: 2020-05-18 The Department of Agriculture – Regional Field Office No. 02 (DA-RFO 02) through its Bids and Awards Committee (BAC) invites interested Phi</t>
  </si>
  <si>
    <t xml:space="preserve"> Republic of the Philippines Province of Cagayan Municipality of Baggao INVITATION TO BID FOR THE PROCUREMENT OF GOODS The LOCAL GOVERNMENT UNIT OF BAGGAO, CAGAYAN, through the 5-06-04-030-01(20% MDF 2018) to apply the sum of Six Hundred Fifty Thousand Thr</t>
  </si>
  <si>
    <t xml:space="preserve"> Republic of the Philippines Province of Cagayan Municipality of Baggao INVITATION TO BID FOR THE PROCUREMENT OF GOODS The LOCAL GOVERNMENT UNIT OF BAGGAO, CAGAYAN, through the GF 2020-01-011-5-02-03-70 intends to apply the sum of Two Hundred Eighty-Eight </t>
  </si>
  <si>
    <t xml:space="preserve"> 1.	The Department of Social Welfare and Development – Field Office Caraga, through the General Appropriations Act for C.Y. 2020  intends to apply the sum of Two Million Four Hundred Fifty-Nine Thousand Five Hundred Fifteen Pesos Only (Php2,459,515.00) bei</t>
  </si>
  <si>
    <t xml:space="preserve"> IMPROVEMENT OF LOCAL ROADS GOING TO FLORA AGRO TOURISM FARM TAMALUNOG, FLORA, APAYAO</t>
  </si>
  <si>
    <t xml:space="preserve"> Invitation for Negotiated Procurement Drilling of One (1) Production Well at Kat-Bayani Pumping Station  1. In view of the two (2) failed competitive public biddings, the Tanay Water District, through its Bids and Awards Committee (BAC), invites intereste</t>
  </si>
  <si>
    <t xml:space="preserve"> INVITATION TO BID FOR 3 UNITS BRAND NEW SOUND PROOF 100KVA GENERATOR SET 1. The Tanay Water District, through the Corporate Budget for the contract approved by the governing Boards intends to apply the sum of One Million Nine Hundred Fifty Thousand Pesos </t>
  </si>
  <si>
    <t xml:space="preserve"> Inverter with Installation Please see attached ITB and RFQ in Associated Component Section for Specifications</t>
  </si>
  <si>
    <t xml:space="preserve"> INVITATION TO BID Bid No. B-72-2020 1.	The Provincial Government of Negros Oriental, through Responsibility Center: 9998-004(19), intends to apply the sum of Nine Million Eight Hundred Thousand Pesos (Php 9,800,000.00) being the Approved Budget for the Co</t>
  </si>
  <si>
    <t xml:space="preserve"> Use for the Department of Public Services Garbage collectors, Street Cleaners and other field personnels and for sanitizing and disinfecting.</t>
  </si>
  <si>
    <t xml:space="preserve"> Department of Public Works and Highways (DPWH) Contract ID: 20G00096 Contract Name: Construction of Concrete Road – Barangay Comon – San Pedro Coastal Road leading to San Jose Port and Beaches, Resorts and Sunset Viewing, San Jose, Antique Location of the</t>
  </si>
  <si>
    <t xml:space="preserve"> Invitation to Bid for Construction of Balikatan Pumping Station (Civil Works) 1. The Tanay Water District, through the Corporate Budget for the contract approved by the governing Board intends to apply the sum of Two Million Eight Hundred Twenty Three Tho</t>
  </si>
  <si>
    <t xml:space="preserve"> Construction of Multi-Purpose Building 16.00m x 15.00m;Total Floor Area - 480.00sq.m., Building Footprints with canopy veranda at GF Roofing with reflective insulation, Fixed glass curtain wall at GF and 2F, Painted Ceiling GF and 2F Complete Floor Cerami</t>
  </si>
  <si>
    <t xml:space="preserve"> Repair/Maintenance of Driange</t>
  </si>
  <si>
    <t xml:space="preserve"> Republic of the Philippines Province of Cagayan Municipality of Baggao INVITATION TO BID FOR THE PROCUREMENT OF GOODS The LOCAL GOVERNMENT UNIT OF BAGGAO, CAGAYAN, through the Various Office 5-02-03-010 to apply the sum of Nine Hundred Ninety-Eight Thousa</t>
  </si>
  <si>
    <t xml:space="preserve"> Project Billboard,  Preliminaries,  Earthworks,  Structural,  Architectural,  Plumbing and Electrical Prospective Bidders must have completed a contract similar to the project with the amount of at least 50% of the ABC. Bidding will be conducted through o</t>
  </si>
  <si>
    <t xml:space="preserve"> CONSTRUCTION OF BLEACHERS FOR MALBANG MULTI-PURPOSE BUILDING Maasim, Sarangani Province (Contract No. INFRA 2020-22) May 27, 2020 1.	The Provincial Government of Sarangani, through AIP CY 2020/AB 2020 intends to apply the sum of Nine Hundred Ninety-Nine T</t>
  </si>
  <si>
    <t xml:space="preserve"> INVITATION TO APPLY FOR ELIGIBILITY AND TO BID THE MUNICIPALITY OF CAIBIRAN, BILIRAN IS INVITING ALL INTERESTED BIDDERS ON ITS FORTHCOMING PUBLIC BIDDING FOR: Project Title 	: Acquisition of Commercial Rice Location	: LGU - Caibiran, Biliran  Delivery Per</t>
  </si>
  <si>
    <t xml:space="preserve"> Republic of the Philippines  City of Canlaon Office of the Bids and Awards Committee  INVITATION TO BID FOR the Rehabilitation of Water System The Local Government of Canlaon City, through AIP 2020. Intends to apply the sum Three Hundred Seven Thousand Fo</t>
  </si>
  <si>
    <t xml:space="preserve"> Republic of the Philippines  City of Canlaon Office of the Bids and Awards Committee  INVITATION TO BID FOR the Repair of Footbridge, Proper &amp; Sitio Banban The Local Government of Canlaon City, through AIP 2020. Intends to apply the sum One Hundred Forty </t>
  </si>
  <si>
    <t xml:space="preserve"> SPL MOBILIZATION/DEMOBILIZATION 1 LOT 102 SURPLUS COMMON EXCAVATION 800 CU.M 103 STRUCTURE EXCAVATION 150 CU.M 104 EMBANKMENT, FROM EXCAVATED SUITABLE MATERIAL 900 CU.M 105 SUBGRADE PREPARATION 6000 SQ.M 200 AGGREGATES SUB-BASE COARSE 1610 SQ.M 300 AGGREG</t>
  </si>
  <si>
    <t xml:space="preserve"> Construction of Masonry Drainage Structure, Along Magallanes Street, Centro 02, Tuguegarao City</t>
  </si>
  <si>
    <t xml:space="preserve"> Republic of the Philippines Province of Cagayan Municipality of Baggao INVITATION TO BID FOR THE PROCUREMENT OF CIVIL WORKS The LOCAL GOVERNMENT UNIT OF BAGGAO, CAGAYAN, through SHORT OF AWARD intends to apply the sum of Nineteen Million Five Hundred Seve</t>
  </si>
  <si>
    <t xml:space="preserve"> INVITATION TO BID FOR THE PURCHASE OF SKID STEER LOADER FOR MUNICIPAL LANDFILL (2ND BID OPENING) 1.	The Local Government Unit of Manolo Fortich, through the General Fund  intends to apply the sum of One Million Pesos (PhP 1,000,000.00) being the Approved </t>
  </si>
  <si>
    <t xml:space="preserve"> See attached file.</t>
  </si>
  <si>
    <t xml:space="preserve"> Project: PURCHASE OF CONSTRUCTION MATERIALS Location: Laurel, Batangas Description: Corrugated sheet, Cement, Gravel, Sand, Coco Lumber, Nails, etc.  Electrical Wiring and Fixtures Advertisement	May 27, 2020-June 3, 2020	 Pre-bid Conference	June 4, 2020-1</t>
  </si>
  <si>
    <t xml:space="preserve"> Brgy. Cut-Cut II Project Billboard,  Safety and Health,  Removing of Existing Asphalt Pavement,  Aggregate Base Course,  PCCP (0.20m tk) Brgy. San Jose Project Billboard,  Safety and Health,  Sub-Grade Preparation,  Aggregate Base Course,  PCCP (0.15m tk)</t>
  </si>
  <si>
    <t xml:space="preserve"> Republic of the Philippines  City of Canlaon Office of the Bids and Awards Committee  INVITATION TO BID FOR the Improvement of Potable Water System The Local Government of Canlaon City, through AIP 2020. Intends to apply the sum Three Hundred Thirty Nine </t>
  </si>
  <si>
    <t xml:space="preserve"> Republic of the Philippines Province of Nueva Vizcaya BIDS AND AWARDS COMMITTEE (BAC-Goods) BAC OFFICE, Provincial Capitol, Bayombong, Nueva Vizcaya 	   REQUEST FOR QUOTATION (RFQ) For the Procurement of Office Supplies (Calculator, Battery, etc.)) For th</t>
  </si>
  <si>
    <t xml:space="preserve"> INVITATION TO BID The __DPWH-2nd District Engineering Office, Labason, Zamboanga del Norte  , through its Bids and Awards Committee (BAC), invites contractors to submit bids for the following Contract:      Contract ID: 20JC0087       Contract Name: Repai</t>
  </si>
  <si>
    <t xml:space="preserve"> Construction of 90 linear meter rock causeway and stairlandings</t>
  </si>
  <si>
    <t xml:space="preserve"> REPUBLIC OF THE PHILIPPINES DEPARTMENT OF PUBLIC WORKS AND HIGHWAYS CAMARINES SUR 3RD DISTRICT ENGINEERING OFFICE REGIONAL OFFICE V BARAS, CANAMAN INVITATION TO BID The DPWH – CAMARINES SUR 3RD District Engineering Office, through its Bids and Awards Comm</t>
  </si>
  <si>
    <t xml:space="preserve"> Republic of the Philippines Province of Agusan del Sur MUNICIPALITY OF TALACOGON BIDS AND AWARDS COMMITTEE May 27, 2020 INVITATION TO BID  FOR THE PROCUREMENT OF MATERIALS FOR THE ESTABLISHMENT OF MATERIAL RECOVERY FACILITY    1.	The Local Government Unit</t>
  </si>
  <si>
    <t xml:space="preserve"> 1.	The Local Government Unit of Las Nieves, through the Budget for the Contract approved by the Sanggunian (20% DF) intends to apply the sum of one million and five hundred thousand pesos (Php 1,500,000.00) being the Approved Budget for the Contract (ABC)</t>
  </si>
  <si>
    <t xml:space="preserve"> Section I. Invitation to Bid Construction/Rehabilitation of Water Supply/ Septage and Sewerage/ Rain Water Collectors - Rain Water Collectors in Public Facilities The Government of the Philippines (GoP) through the Department of Public Works and Highways </t>
  </si>
  <si>
    <t xml:space="preserve"> Republic of the Philippines  City of Canlaon Office of the Bids and Awards Committee  INVITATION TO BID FOR the Improvement/Rehabilitation of Administrative Building The Local Government of Canlaon City, through AIP 2020. Intends to apply the sum Eight Hu</t>
  </si>
  <si>
    <t xml:space="preserve"> Please see attached files.</t>
  </si>
  <si>
    <t xml:space="preserve"> Construction/ Upgrading/ Rehabilitation of Drainage along National Roads – Session Road # 2 K0251+746 – K0252+028 Contract Location :	Baguio City Approved Budget for the Contract :	Php1,960,000.00 Scope of  work  :	Construction/ Upgrading/ Rehabilitation </t>
  </si>
  <si>
    <t xml:space="preserve"> Republic of the Philippines Department of Health ZAMBOANGA PENINSULA-CENTER FOR HEALTH DEVELOPMENT  Upper Calarian, Zamboanga City 7000 Phone: (062) 983-0314, (062) 983-0146, Fax: (062) 991-3380 Email: dohchdzp@yahoo.com, Web: www.doh.gov.ph INVITATION TO</t>
  </si>
  <si>
    <t xml:space="preserve"> Please see attached files</t>
  </si>
  <si>
    <t xml:space="preserve"> Rehabilitation of Pangada Farmers' Multi Purpose Building - Phase II, Pangada, SCIS</t>
  </si>
  <si>
    <t xml:space="preserve"> Maintenance, Repair and Rehabilitation of Infrastructure Facilities and Other Related Activities - Public Buildings: Repair/ Maintenance of DOJ Building National Bureau Investigation Office Building North Drive, Baguio City Contract Location :	Baguio City</t>
  </si>
  <si>
    <t xml:space="preserve"> Republic of the Philippines  City of Canlaon Office of the Bids and Awards Committee  INVITATION TO BID FOR the Concreting of Pathway The Local Government of Canlaon City, through AIP 2020. Intends to apply the sum One Hundred Ninety Four Thousand Two Hun</t>
  </si>
  <si>
    <t xml:space="preserve"> Republic of the Philippines DEPARTMENT OF PUBLIC WORKS AND HIGHWAYS MOUNTAIN PROVINCE SECOND  DISTRICT ENGINEERING OFFICE CORDILLERA ADMINISTRATIVE REGION DENR Compound, Poblacion Paracelis, Mountain Province INVITATION TO BID FOR  20GPM002 - PURCHASE OF </t>
  </si>
  <si>
    <t xml:space="preserve"> Rehabilitation of Sinabaan Farmers' Multi Purpose Building, Sinabaan, SCIS</t>
  </si>
  <si>
    <t xml:space="preserve"> Rehabilitation of Cabuloan Farmers' Multi Purpose Building - Phase II, Cabuloan, SCIS</t>
  </si>
  <si>
    <t xml:space="preserve"> Construction of 2-CL 1-Unit School Building with window grills and toilet, at Capual, Omar, Sulu</t>
  </si>
  <si>
    <t xml:space="preserve"> Standard Form Number: SF-GOOD-05 Revised on: July 28, 2004        INVITATION TO APPLY FOR ELIGIBILITY AND TO BID The LGU-GARCHITORENA, through its Bids and Awards Committee (BAC), invites suppliers/ manufacturers/distributors/contractors to apply for elig</t>
  </si>
  <si>
    <t xml:space="preserve"> Permits and Clearances, Project Billboard/Signboard, Occupational Safety and Health Program, Mobilization/Demobilization, Removal of Structures and Obstruction, Structure Excavation, Common Soil, Embankment from Roadway/ Structure Excavation, Embankment f</t>
  </si>
  <si>
    <t xml:space="preserve"> Contract Package 6: Maintenance, Repair and Rehabilitation of Infrastructure Facilities and Other Related Activities - Public Buildings: Repair/ Maintenance of DPWH Building: a. BCDEO Main Building Baguio City District Engineering Office, Engineer's Hill,</t>
  </si>
  <si>
    <t xml:space="preserve"> Republic of the Philippines City of Lipa  INVITATION TO BID FOR  Supply and Delivery of Forty (40) units Multi-Purpose Vehicles for Deployment to Various Barangays   1.	The City Government of Lipa, through the General Fund (GF) -  Local Government Support</t>
  </si>
  <si>
    <t xml:space="preserve"> Permit &amp; Other Documents,  Project Billboard,  Safety and Health,  Formworks/Scaffoldings,  Excavation,  Anay Treatment,  Embankment,  Concrete Works,  Masonry Works,  Water Proofing,  Steel Works,  Tinsmithry Works,  Partition, Doors &amp; Windows,  Plumbing</t>
  </si>
  <si>
    <t xml:space="preserve"> INVITATION TO BID FOR SUPPLY AND DELIVERY OF COMPUTERS FOR DSWD CENTRAL OFFICE AND FIELD OFFICES —  ITB NO. GOP/20-DSWD-036 — (PR NO. 01-20001-PR-2020-03-00113) 1. The Department of Social Welfare and Development (DSWD), through the DSWD Funds, intends to</t>
  </si>
  <si>
    <t xml:space="preserve"> 1.	The National Irrigation Administration-Regional Office 2, through the GAA of CY2020 intends to apply the sum of Thirty Nine Million Four Hundred Eighty Two Thousand One Hundred Thirteen &amp; 21/100 Pesos (P39,482,113.21) being the Approved Budget for the </t>
  </si>
  <si>
    <t xml:space="preserve"> Maintenance, Repair and Rehabilitation of Infrastructure Facilities and Other Related Activities - Public Buildings: Repair/ Maintenance of DOST Building Provincial Science and Technology Center Baguio Satellite Office Contract Location :	Governor Pack Ro</t>
  </si>
  <si>
    <t xml:space="preserve"> Contract No.:          GF20%EDF2020CW1 Contract Name:       CONSTRUCTION OF STAGE IN MUNICIPAL BUILDING COVERED COURT Contract Location:   LANGIDEN, ABRA Contract Duration:   90 CALENDAR DAYS Scope of Works: Item No.	Description	Unit	Quantity		 I.	STRUCTU</t>
  </si>
  <si>
    <t xml:space="preserve"> Republic of the Philippines DEPARTMENT OF AGRICULTURE REGIONAL FIELD OFFICE NO. 5 San Agustin, Pili, Camarines Sur, 4418 http://bicol.da.gov.ph INVITATION TO BID  Supply and Delivery of Agricultural Supplies for Use in the Suppression and Control of Pests</t>
  </si>
  <si>
    <t xml:space="preserve"> INVITATION TO BID FOR  20GPM005 - PURCHASE OF OFFICE SUPPLIES AND EQUIPMENT FOR USE AT THE PLANNING AND DESIGN SECTION AND OFFICE OF THE DISTRICT ENGINEER The Department of Public Works and Highways Mountain Province Second District Engineering Office, th</t>
  </si>
  <si>
    <t xml:space="preserve"> Republic of the Philippines DEPARTMENT OF AGRICULTURE REGIONAL FIELD OFFICE NO. 5 San Agustin, Pili, Camarines Sur, 4418 http://bicol.da.gov.ph INVITATION TO BID  Supply and Delivery of Various Laboratory Supplies for ILD (RCPC, RSL, RAFAL &amp; RADDL) under </t>
  </si>
  <si>
    <t xml:space="preserve"> Contract ID:	20DL0202 Contract Name:	CONSTRUCTION OF COVERED COURT DPWH QUEZON 4TH DEO, BRGY. PANIKIHAN, GUMACA, QUEZON Contract Location:	GUMACA, QUEZON Brief Description:		CONSTRUCTION OF COVERED COURT Approved Budget for the Contract (ABC):	PHP   10,00</t>
  </si>
  <si>
    <t xml:space="preserve"> Construction of Brgy. Tatabunan-Brgy. Malaguining Road ( Road Opening), Talalora, Samar The Municipality Of Talalora, through its Bids and Awards Committee (BAC), invites interested bidders to apply for eligibility and to bid for the hereunder project: Na</t>
  </si>
  <si>
    <t xml:space="preserve"> DENR-ENVIRONMENTAL MANAGEMENT BUREAU R3 INVITES ELIGIBLE SUPPLIERS TO QUOTE ON THE FF.: INVITATION TO BID FOR THE PROCUREMENT AND DELIVERY OF ICT EQUIPMENT PBD-GOODS-2020-009 1.	The Department of Environment and Natural Resources - Environmental Managemen</t>
  </si>
  <si>
    <t xml:space="preserve"> INVITATION TO BID FOR THE Supply and Delivery of  Science Equipment (SEF-0519-042420) 1.	The City Government of Mandaue, through the Special Education Fund – (200)  10705140 Technical &amp; Scientific Equipment Approved by the Sanggunian intends to apply the </t>
  </si>
  <si>
    <t xml:space="preserve"> 1.	The PhilHealth Regional Office IV-B, through the allotment for CY 2020 Corporate Operating Budget, intends to apply the sum of Six million Nine Hundred Forty Two Thousand Five Hundred Ninety Eight Pesos and 68/100 (Php 6,942,598.68) per year for three </t>
  </si>
  <si>
    <t xml:space="preserve"> Republic of the Philippines CITY GOVERNMENT OF ANTIPOLO Antipolo City INVITATION TO BID For the Supply &amp; Delivery of Medical, Laboratory, Dental Supplies &amp; Linen The City Government of Antipolo, through the General Fund intends to apply the sum of P 2,010</t>
  </si>
  <si>
    <t xml:space="preserve"> Invitation to Bid for the Construction of Upper Sangay, Anomar  Irrigation System    Brgy. Anomar, Surigao City ITB No. 068-Infra-2020    1.	The City Government of Surigao, intends to apply the sum of   One Million  Two Hundred Eighty Five Thousand Eight </t>
  </si>
  <si>
    <t xml:space="preserve"> Invitation to Bid for the Construction of Dam Irrigation System    Brgy. Quezon, Surigao City ITB No. 067-Infra-2020    1.	The City Government of Surigao, intends to apply the sum of   One Million  Two Hundred Eighty Five Thousand Eight Hundred Sixty Four</t>
  </si>
  <si>
    <t xml:space="preserve"> INVITATION TO BID  Purchase &amp; Delivery of 1 Unit Multi Parameter Water Quality Profiler for Climate Change  May 26, 2020 1.	The Provincial Government of Sarangani, through the AB CY 2020 intends to apply the sum of Two Million Pesos Only (P 2,000,000.00) </t>
  </si>
  <si>
    <t xml:space="preserve"> Invitation to Bid for the Construction of Health Center    Brgy. Sugbay, Surigao City ITB No. 070-Infra-2020    1.	The City Government of Surigao, intends to apply the sum of   Three Million  Pesos (Php3,000,000.00)  being the Approved Budget for the Cont</t>
  </si>
  <si>
    <t xml:space="preserve"> Invitation to Bid for the Construction of Irrigation System    Brgy. Mabini, Surigao City ITB No. 066-Infra-2020    1.	The City Government of Surigao, intends to apply the sum of   One Million  Pesos (Php1,000,000.00)  being the Approved Budget for the Co</t>
  </si>
  <si>
    <t xml:space="preserve"> Republic of the Philippines DIGOS WATER DISTRICT (DWD) Rizal Avenue, Digos City INVITATION TO BID FOR THE SUPPLY, DELIVERY, TESTING AND COMMISSIONING, AND INSTALLATION OF DIESEL GENERATOR SET, SILENT TYPE FOR PUMP STATION NO. 2 1.	The Digos Water District</t>
  </si>
  <si>
    <t xml:space="preserve"> Republic of the Philippines						 City Government of Davao						 						 INVITATION TO BID						 for Infrastructure Projects B11-2020						 						 The City Government of Davao now invites bidders for the project/s under B11-2020 as listed below.   The pros</t>
  </si>
  <si>
    <t xml:space="preserve"> A. CONCRETE PAVEMENT 100(3)A INDIVIDUAL REMOVAL OF TREES 40 EACH 102(2)B SURPLUS COMMON EXCAVATION 1,001.25 CU.M 104(1)B EMBANKMENT 300.38 CU.M 105(1) SUB GRADE PREPARATION 2,803.50 SQ.M 300(1) AGGREGATED SURFACE COURSE (UNCRASHED) 360.45 CU.M 311(1)B POR</t>
  </si>
  <si>
    <t xml:space="preserve"> INVITATION TO BID  Purchase &amp; Delivery of Various Drugs &amp; Medicines  for DCMMH  May 26, 2020 1.	The Provincial Government of Sarangani, through the Trust Fund Philhealth Collection intends to apply the sum of Two Million Eight Hundred Thousand Five Hundre</t>
  </si>
  <si>
    <t xml:space="preserve"> 1. CONSTRUCTION OF STAIR B.5 PROJECT BILLBOARD/SIGNBOARD 1 LOT 101(1) REMOVAL OF STRUCTURE AND OBSTRUCTION 1 LUMPSUM 803(1)A EXCAVATION 12 CU.M 804(1)B EMBANKMENT 30 CU.M 900(1)A2 STRUCTURAL CONCRETE 9.50 CU.M 1046(2)A CHB NON LOAD BEARING(ICLUDING REINFO</t>
  </si>
  <si>
    <t xml:space="preserve"> INVITATION TO BID  Purchase &amp; Delivery of Various Medical &amp; Laboratory Supplies for DCMMH  May 26, 2020 1.	The Provincial Government of Sarangani, through the Trust Fund Philhealth Collection intends to apply the sum of Three Million Nine Hundred Three Th</t>
  </si>
  <si>
    <t xml:space="preserve"> Furnishing of tools, labor, equipment and other necessary documents for the completion of the above project. The Works consist of: SPL A MOBILIZATION AND DEMOBILIZATION 100 CLEARING AND GRUBBING 102-A EXCAVATION (UNCLASSIFIED MATERIALS) 102-B EXCAVATION (</t>
  </si>
  <si>
    <t xml:space="preserve"> Interested suppliers/dealers are invited to a sealed bidding to open in the presence of bidders at the Office of the Municipal Engineer, Municipal Hall, Catmon, Cebu for the supply of goods. (See attached advertisement of bids). Name of Project(s): Purcha</t>
  </si>
  <si>
    <t xml:space="preserve"> Furnishing of tools, labor, equipment and other necessary documents for the completion of the above project. The Works consist of: I. CLEARING AND GRUBBING II. REMOVAL OF EXISTING PCC PAVEMENT, 0.15M THK. III. EXCAVATION (UNCLASSIFIED MATERIALS) IV. EXCAV</t>
  </si>
  <si>
    <t xml:space="preserve"> Invitation to Bid for the Completion of  Irrigation System    Brgy. Danao, Surigao City ITB No. 069-Infra-2020    1.	The City Government of Surigao, intends to apply the sum of   One Million  Six Hundred Thousand Pesos (Php1,600,000.00)  being the Approve</t>
  </si>
  <si>
    <t xml:space="preserve"> Furnishing of tools, labor, equipment and other necessary document for the completion of the above project. SPL 1 PROJECT BILLBOARD I. HAULING OF MATERIALS II. FOOTBRIDGE III. GROUTED RIPRAP Invitation to Bid for the COMPLETION OF LOWER SABANGAN FOOTBRIDG</t>
  </si>
  <si>
    <t xml:space="preserve"> CIVIL WORKS</t>
  </si>
  <si>
    <t xml:space="preserve"> Republic of the Philippines DIGOS WATER DISTRICT (DWD) Rizal Avenue, Digos City INVITATION TO BID FOR THE PROCUREMENT OF ELECTROMAGNETIC FLOWMETER (AC-POWERED REMOTE VERSION) 1.	The Digos Water District, through the Corporate Budget for the year 2020,  in</t>
  </si>
  <si>
    <t xml:space="preserve"> Installation of Street Lights Taguinod Street, Atulayan Sur - Linao East, Tuguegarao City</t>
  </si>
  <si>
    <t xml:space="preserve"> Installation of Street Lights Tuguegarao By Pass Road, Carig Sur/ Caggay, Tuguegarao City</t>
  </si>
  <si>
    <t xml:space="preserve"> Construction of Tuguegarao City Auction Market Gosi Norte, Tuguegarao City</t>
  </si>
  <si>
    <t xml:space="preserve"> CONSTRUCTION OF PARADI DAYCARE CENTER, PARACELIS FUND SOURCE: 20% PDF 2020 TYPES OF WORK TO BE DONE:  Project billboard/ signboard/ occupational safety and health program/ excavation (manual labor)/ structure excavation (manual excavation common soil)/ re</t>
  </si>
  <si>
    <t xml:space="preserve"> Furnishing of tools, labor equipment and other necessary documents necessary for the completion  of the above project. The work consist of: 103 EMBANKMENT 404 REINFORCING STEEL 405 STRUCTURAL CONCRETE 505 GROUTED RIPRAP SPL A BILLBOARD/TARPAULIN Invitatio</t>
  </si>
  <si>
    <t xml:space="preserve"> INVITATION TO BID FOR  Supply and Delivery of 4 units Multiple Extracting Machine 1.	The Department of Agriculture Regional Field Office No. 5, through the General Appropriation Act (GAA) for CY 2020-HVCDP intends to apply the sum of One Million Two Hundr</t>
  </si>
  <si>
    <t xml:space="preserve"> It includes: Various Medicines</t>
  </si>
  <si>
    <t xml:space="preserve"> INVITATION TO BID FOR  Supply and Delivery of 1 unit Multi Crop Combine Harvester 1.	The Department of Agriculture Regional Field Office No. 5, through the General Appropriation Act (GAA) for CY 2020-Corn Program intends to apply the sum of Three Million </t>
  </si>
  <si>
    <t xml:space="preserve"> It includes: Mobilization/Demobilization; Earthworks; Concrete Works; Masonry Works; Painting Works; and Billboard.</t>
  </si>
  <si>
    <t xml:space="preserve"> Republic of the Philippines Province of Surigao del Sur MUNICIPALITY OF CANTILAN OFFICE OF THE BIDS AND AWARDS COMMITTEE INVITATION TO BID The Municipality of Cantilan allocates fund from 20% EDF 2020 for the Supply &amp; Delivery of Materials for Establishme</t>
  </si>
  <si>
    <t xml:space="preserve"> Republic of the Philippines Province of Surigao del Sur MUNICIPALITY OF CANTILAN OFFICE OF THE BIDS AND AWARDS COMMITTEE INVITATION TO BID The Municipality of Cantilan allocates fund from 20% EDF 2020 for the Supply &amp; Delivery of Materials for Installatio</t>
  </si>
  <si>
    <t xml:space="preserve"> 1.	The Department of Trade and Industry, through the INREMP LES 2 under ADB Funding intends to apply the sum of One Million Eighty Thousand Pesos Only (Php1,080,000.00) being the Approved Budget for the Contract (ABC) for the contract for SUSTAINING THE L</t>
  </si>
  <si>
    <t xml:space="preserve"> 1.	The Department of Trade and Industry, through the INREMP LES 2 under ADB Funding intends to apply the sum of One Million Three Hundred Fifty Three Thousand Pesos Only (Php1,353,000.00) being the Approved Budget for the Contract (ABC) for the contract f</t>
  </si>
  <si>
    <t xml:space="preserve"> Republic of the Philippines Province of Surigao del Sur MUNICIPALITY OF CANTILAN OFFICE OF THE BIDS AND AWARDS COMMITTEE INVITATION TO BID The Municipality of Cantilan allocates fund from 20% EDF 2020 for the Supply &amp; Delivery of Agricultural Supplies for</t>
  </si>
  <si>
    <t xml:space="preserve"> INVITATION TO BID FOR  Supply and Delivery of Manual and Self-Propelled Forklift 1.	The Department of Agriculture Regional Field Office No. 5, through the General Appropriation Act (GAA) for CY 2020-Corn Program intends to apply the sum of One Million One</t>
  </si>
  <si>
    <t xml:space="preserve"> 1.	The Department of Trade and Industry, through the INREMP LES 2 under ADB Funding intends to apply the sum of Seven Hundred Sixty Seven Thousand Pesos Only (Php767,000.00) being the Approved Budget for the Contract (ABC) for the contract for ENHANCING T</t>
  </si>
  <si>
    <t xml:space="preserve"> Republic of the Philippines Province of Surigao del Sur MUNICIPALITY OF CANTILAN OFFICE OF THE BIDS AND AWARDS COMMITTEE INVITATION TO BID The Municipality of Cantilan allocates fund from 20% EDF 2020 for the Supply &amp; Delivery of Materials for Rehabilitat</t>
  </si>
  <si>
    <t xml:space="preserve"> One job furnishing labor and materials for the CONSTRUCTION OF STORM SURGE PROTECTION, BULARAN, BANATE, ILOILO</t>
  </si>
  <si>
    <t xml:space="preserve"> INVITATION TO BID FOR  Supply and Delivery of Lot 1-768 pcs. Water Plastic Drum and Lot 2-10 units Aircon with Installation 1.	The Department of Agriculture Regional Field Office No. 5, through the General Appropriation Act (GAA) for CY 2020-HVCDP intends</t>
  </si>
  <si>
    <t xml:space="preserve"> Invitation to Bid for the supply &amp; delivery of Various Cleaning Materials for use of Dep. Ed., Division of Batangas City</t>
  </si>
  <si>
    <t xml:space="preserve"> REQUEST FOR EXPRESSION OF INTEREST FOR THE  Tourism Destination Marketing Company for Thailand  1.	The Philippine Department of Tourism (PDOT), through the General Appropriations Act 2020 intends to apply the sum of Forty Thousand US Dollars (US$40,000.00</t>
  </si>
  <si>
    <t xml:space="preserve"> Purchase of Thermoplastic Paint (White), Glass Beads, Primer, LPG (50 kg.) content only, LPG (11kg.) content only and Calsumine</t>
  </si>
  <si>
    <t xml:space="preserve"> REQUEST FOR EXPRESSION OF INTEREST FOR THE  Tourism Destination Marketing Company for Vietnam  1.	The Philippine Department of Tourism (PDOT), through the General Appropriations Act 2020 intends to apply the sum of Thirty-Five Thousand US Dollars (US$35,0</t>
  </si>
  <si>
    <t xml:space="preserve"> REQUEST FOR EXPRESSION OF INTEREST FOR THE  Tourism Destination Marketing Company for Indonesia  1.	The Philippine Department of Tourism (PDOT), through the General Appropriations Act 2020 intends to apply the sum of Forty Thousand US Dollars (US$40,000.0</t>
  </si>
  <si>
    <t xml:space="preserve"> 1.	The Department of Trade and Industry, through the INREMP-LES 2 under ADB Funding intends to apply the sum of Four Hundred Seventy-Two Thousand Five Hundred Fifty Pesos Only (Php 472,550.00) being the Approved Budget for the Contract (ABC) for the contr</t>
  </si>
  <si>
    <t xml:space="preserve"> 1.	The Department of Trade and Industry, through the INREMP-LES 2 under ADB Funding intends to apply the sum of Eight Hundred Seventy Thousand Pesos Only (Php 870,000.00) being the Approved Budget for the Contract (ABC) for the contract for Heirloom Rice </t>
  </si>
  <si>
    <t xml:space="preserve"> 1.	The Department of Trade and Industry, through the Integrated Natural Resources and Environmental Management Project – Livelihood Enhancement Support 2 (INREMP-LES 2) under Asian Development Bank (ADB) Funding intends to apply the sum of One Hundred Two</t>
  </si>
  <si>
    <t xml:space="preserve"> 1.	The Department of Trade and Industry, through the 2019 General Appropriations Act Continuing Appropriations intends to apply the sum of Three Hundred Sixty Two Thousand Five Hundred Ninety Five Pesos (Php 362,595.00) being the Approved Budget for the C</t>
  </si>
  <si>
    <t xml:space="preserve"> 1.	The Department of Trade and Industry, through the Integrated Natural Resources and Environmental Management Project – Livelihood Enhancement Support 2 (INREMP-LES 2) under Asian Development Bank (ADB) Funding intends to apply the sum of Five Hundred Fi</t>
  </si>
  <si>
    <t xml:space="preserve"> printing/reproduction of reports</t>
  </si>
  <si>
    <t xml:space="preserve"> Republic of the Philippines Province of Surigao del Sur MUNICIPALITY OF CANTILAN OFFICE OF THE BIDS AND AWARDS COMMITTEE INVITATION TO BID The Municipality of Cantilan allocates fund from 20% EDF 2020 for the Supply &amp; Delivery of Materials for Constructio</t>
  </si>
  <si>
    <t xml:space="preserve"> REQUEST FOR EXPRESSION OF INTEREST FOR FEASIBILITY STUDY OF  BOSIGON  IRRIGATION PROJECT LABO, VINZONS &amp; PARACALE, CAMARINES NORTE 1.	 The National Irrigation Administration RO V, Naga City, through the GAA/FSDE CY 2018  intends to apply the sum of P 11,2</t>
  </si>
  <si>
    <t xml:space="preserve"> catering services</t>
  </si>
  <si>
    <t xml:space="preserve"> Invitation to Bid for the supply &amp; delivery of Various Maintenance Materials for use of Dep. Ed., Division of Batangas City</t>
  </si>
  <si>
    <t xml:space="preserve"> Republic of the Philippines DEPARTMENT OF PUBLIC WORKS AND HIGHWAYS CAMARINES SUR 2ND DISTRICT ENGINEERING OFFICE Regional Office V Baras, Canaman, Camarines Sur INVITATION TO BID FOR  20FE0117 – LP: LOCAL ROADS AND BRIDGES - LOCAL BRIDGES - CONSTRUCTION/</t>
  </si>
  <si>
    <t xml:space="preserve"> 1.	The Department of Trade and Industry, through the INREMP LES 2 under ADB funding intends to apply the sum of Nine Hundred Fifty Five Thousand Pesos (Php 955,000.00) being the Approved Budget for the Contract (ABC) for the contract for Enhancing the Liv</t>
  </si>
  <si>
    <t xml:space="preserve"> school forms (form 138)</t>
  </si>
  <si>
    <t xml:space="preserve"> 1.	The Department of Trade and Industry, through the  INREMP LES 2 under ADB funding intends to apply the sum of  Seven Hundred Five Thousand Pesos (Php 705,000.00) being the Approved Budget for the Contract (ABC) for the contract for  White Corn Processi</t>
  </si>
  <si>
    <t xml:space="preserve"> 1.	The Department of Trade and Industry, through the INREMP LES 2 under ADB Funding intends to apply the sum of Four Hundred Eighty Three Thousand Nine Hundred Pesos Only (Php483,900.00) being the Approved Budget for the Contract (ABC) for the contract fo</t>
  </si>
  <si>
    <t xml:space="preserve"> 1.	The Department of Trade and Industry, through the INREMP-LES 2 under ADB Funding intends to apply the sum of Five Hundred Two Thousand Six Hundred Eighty Pesos Only (Php 502,680.00) being the Approved Budget for the Contract (ABC) for the contract for </t>
  </si>
  <si>
    <t xml:space="preserve"> ITB No. 2020 – 71 May 26, 2020 Republic of the Philippines Province of Davao Oriental CITY OF MATI INVITATION TO BID REPAIR AND IMPROVEMENT OF GOV. FGR SPORTS COMPLEX Name of Project 1.	The City Government of Mati, through the City Engineer’s Office Fund </t>
  </si>
  <si>
    <t xml:space="preserve"> 1.	The Department of Trade and Industry, through the INREMP LES 2 under ADB Funding intends to apply the sum of Six Hundred Seventy One Thousand Five Hundred Pesos Only (Php671,500.00) being the Approved Budget for the Contract (ABC) for the contract for </t>
  </si>
  <si>
    <t xml:space="preserve"> Invitation to Bid for the supply &amp; delivery of Furniture &amp; Fixture for use of Batangas City Sports Coliseum</t>
  </si>
  <si>
    <t xml:space="preserve"> ITB No. 2020 – 64 May 26, 2020 Republic of the Philippines Province of Davao Oriental CITY OF MATI INVITATION TO BID ACQUISITION OF MULTI-CULTIVATOR Name of Project 1.	The City Government of Mati, through the 20% Local Development Fund intends to apply th</t>
  </si>
  <si>
    <t xml:space="preserve"> Standard Form Number: SF-INFR-05 Revised on: July 29, 2004        	 INVITATION TO APPLY FOR ELIGIBILITY AND TO BID The Municipality of Garchitorena through its Bids and Awards Committee (BAC), invites contractors registered with and classified by the Phil</t>
  </si>
  <si>
    <t xml:space="preserve"> ITB No. 2020 – 65 May 26, 2020 Republic of the Philippines Province of Davao Oriental CITY OF MATI INVITATION TO BID SPARE PARTS OF ISUZU ELF 250 WHITE 124104 Name of Project 1.	The City Government of Mati, through the City Mayor’s Office Fund intends to </t>
  </si>
  <si>
    <t xml:space="preserve"> ITB No. 2020-66 May 26, 2020 Republic of the Philippines Province of Davao Oriental CITY OF MATI INVITATION TO BID CONSTRUCTION OF FIT CENTER (PHASE II) Name of Project 1.	The City Government of Mati, through the 20% Local Development Fund intends to appl</t>
  </si>
  <si>
    <t xml:space="preserve"> ITB No. 2020 – 63 May 26, 2020 Republic of the Philippines Province of Davao Oriental CITY OF MATI INVITATION TO BID SUPPLIES AND EQUIPMENT FOR COCONUT BY-PRODUCTS PROCESSING Name of Project 1.	The City Government of Mati, through the 20% Local Developmen</t>
  </si>
  <si>
    <t xml:space="preserve"> Republic of the Philippines DEPARTMENT OF PUBLIC WORKS AND HIGHWAYS CAMARINES SUR 2ND DISTRICT ENGINEERING OFFICE Regional Office V Baras, Canaman, Camarines Sur INVITATION TO BID FOR  20FE0120 – LP: LOCAL ROADS AND BRIDGES - LOCAL ROADS - CONSTRUCTION/ R</t>
  </si>
  <si>
    <t xml:space="preserve"> Republic of the Philippines Province of Iloilo Municipality of Lemery 	 Invitation to Bid 1.	The Municipality of  Lemery, Iloilo, through  the  Provincial Fund  intends to apply the sum of  Three Million Pesos (3,000,000.00) being the Approved  Budget  fo</t>
  </si>
  <si>
    <t xml:space="preserve"> Republic of the Philippines Province of Iloilo Municipality of Lemery 	 Invitation to Bid 1.	The Municipality of  Lemery, Iloilo, through  the  GAA Fund  intends to apply the sum of  Ten Million Pesos (10,000,000.00) being the Approved  Budget  for  the C</t>
  </si>
  <si>
    <t xml:space="preserve"> Invitation to Bid for the supply &amp; delivery of Veterinary Supplies for use of the City Veterinary &amp; Agricultural Services Office, Batangas City</t>
  </si>
  <si>
    <t xml:space="preserve"> 1.	The Department of Transportation (DOTr) through the CY 2019 Continuing Appropriations, intends to apply the sum of One Million Eight Hundred Forty Thousand Four Hundred Sixty-Six Pesos and Twenty-Five Centavos (Php1,840,466.25) (VAT Inclusive) being th</t>
  </si>
  <si>
    <t xml:space="preserve"> Republic of the Philippines DEPARTMENT OF PUBLIC WORKS AND HIGHWAYS CAMARINES SUR 2ND DISTRICT ENGINEERING OFFICE Regional Office V Baras, Canaman, Camarines Sur INVITATION TO BID FOR  20FE0119 – LP: LOCAL ROADS AND BRIDGES - LOCAL ROADS - CONSTRUCTION/ R</t>
  </si>
  <si>
    <t xml:space="preserve"> 1.	The Department of Trade and Industry, through the INREMP LES 2 under ADB Funding intends to apply the sum of One Million Three Hundred Fifty Three Thousand  Pesos Only (Php1,353,000.00) being the Approved Budget for the Contract (ABC) for the contract </t>
  </si>
  <si>
    <t xml:space="preserve"> Construction of Canal Structures and Canalization</t>
  </si>
  <si>
    <t xml:space="preserve"> Republic of the Philippines DEPARTMENT OF PUBLIC WORKS AND HIGHWAYS BATANGAS II  DISTRICT ENGINEERING OFFICE REGIONAL OFFICE IV-A Kumintang Ilaya, Batangas City INVITATION TO BID For Repair/Maintenance of Flood Control Structure at Banalo Creek, Lobo, Bat</t>
  </si>
  <si>
    <t xml:space="preserve"> Republic of the Philippines                   Department of Health	       CENTRAL OFFICE BIDS AND AWARDS COMMITTEE  INVITATION TO BID FOR THE  PROCUREMENT OF LYNESTRENOL – REBID  IB NO. 2020-175-A 1.	The Department of Health (DOH), through the General App</t>
  </si>
  <si>
    <t xml:space="preserve"> INVITATION TO BID A.	The DPWH, Negros Oriental 1st District Engineering Office, Tinaogan, Bindoy, Negros Oriental now invites contractors to apply to bid for the contract(s); Contract ID # 		20HJ0118 Contract Name 	Installation of Solar Pavement Studs alo</t>
  </si>
  <si>
    <t xml:space="preserve"> Republic of the Philippines DEPARTMENT OF PUBLIC WORKS AND HIGHWAYS CAMARINES SUR SECOND DISTRICT ENGINEERING OFFICE Regional Office V Baras, Canaman, Camarines Sur INVITATION TO BID FOR  20FE0118 – CONSTRUCTION/ REHABILITATION OF WATER SUPPLY/ SEPTAGE AN</t>
  </si>
  <si>
    <t xml:space="preserve"> Republic of the Philippines DEPARTMENT OF PUBLIC WORKS AND HIGHWAYS BATANGAS II  DISTRICT ENGINEERING OFFICE REGIONAL OFFICE IV-A Kumintang Ilaya, Batangas City INVITATION TO BID For Repair/Maintenance of DPWH Building, AES Parts &amp; Component Building, Kum</t>
  </si>
  <si>
    <t xml:space="preserve"> Republika ng Pilipinas PAMAHALAANG LUNGSOD NG TACLOBAN (City Government of Tacloban) Kanhuraw Hill, Tacloban City 6500 BIDS AND AWARDS COMMITTEE INVITATION TO BID  REF #036-05-2020 (MAY 26, 2020) PR# 2020-569 DATED 05-08-2020 7009689 The Procuring Entity </t>
  </si>
  <si>
    <t xml:space="preserve"> 1.	The Department of Trade and Industry, through the INREMP LES 2 under ADB Funding intends to apply the sum of Four Hundred Twenty Eight Thousand Five Hundred Pesos Only (Php428,500.00) being the Approved Budget for the Contract (ABC) for the contract fo</t>
  </si>
  <si>
    <t xml:space="preserve"> Invitation to Bid for the Concreting / Rehabilitation of Kisabong FMR 500m (Phase I) at Brgy. Agusan Canyon  1.	The Local Government Unit of Manolo Fortich, through the 20% Local Development Fund intends to apply the sum of SEVEN MILLION FIVE HUNDRED THOU</t>
  </si>
  <si>
    <t xml:space="preserve"> Quantity:		1 unit Type:			Gas-Utility Van Displacement:		1,998-2,500 cc Transmission:		Manual No. of Cylinder:	Four(4) cylinder</t>
  </si>
  <si>
    <t xml:space="preserve"> school supplies for pupils</t>
  </si>
  <si>
    <t xml:space="preserve"> THE OFFICE OF THE BIDS AND AWARDS COMMITTEE, SAN CARLOS CITY IS IN NEED OF SUPPLY/DELIVERY OF 2,000 SACHET FOLIAR FERTILIZER.</t>
  </si>
  <si>
    <t xml:space="preserve"> 1. The National Irrigation Administration (NIA), Regional Irrigation Office No.7, through the Small Reservoir Irrigation Project (SRIP) 2020 intends to apply the sum of Thirty Six Million Three Hundred Fifty Eight Thousand Nine Hundred Eighty Eight Pesos </t>
  </si>
  <si>
    <t xml:space="preserve"> 1. The National Irrigation Administration (NIA), Regional Irrigation Office No.7, through the Small Reservoir Irrigation Project (SRIP) 2020 intends to apply the sum of Five Million Three Hundred Ten Thousand Four Hundred Twenty Nine Pesos and 57/100 (P 5</t>
  </si>
  <si>
    <t xml:space="preserve"> Generator set, mobile, 50 KVA, 3 phase, 380 V, 60Hz</t>
  </si>
  <si>
    <t xml:space="preserve"> CITY MAYOR'S OFFICE -- Assorted Computer Equipment and accessories --   Please see attached file/document on associated components or BAC website www.davaocityportal.com (BAC posting) for the complete descriptions, terms of conditions and terms of referen</t>
  </si>
  <si>
    <t xml:space="preserve"> 1. The National Irrigation Administration (NIA), Regional Irrigation Office No.7, through the Small Reservoir Irrigation Project (SRIP) 2020 intends to apply the sum of Fourteen Million Five Hundred Ninety Five Thousand Nine Hundred Twenty Nine Pesos and </t>
  </si>
  <si>
    <t xml:space="preserve"> CITY HEALTH OFFICE --- Assorted Drugs and Medicines ---   Please see attached file/document on associated components or BAC website www.davaocityportal.com (BAC posting) for the complete descriptions, terms of conditions and terms of references.   Bidding</t>
  </si>
  <si>
    <t xml:space="preserve"> Please see attached RFQ # 20-901 Submit your Sign and Sealed Quotation together with your UPDATED ELIGIBILITY Requirements at 3/F ATI Building Department of Agriculture Region IV-MiMaRoPa, Property&amp;Supply Unit/BAC Secretariat Elliptical Road, Diliman, Que</t>
  </si>
  <si>
    <t xml:space="preserve"> THE OFFICE OF THE BIDS AND AWARDS COMMITTEE, SAN CARLOS CITY IS IN NEED OF SUPPLY/DELIVERY OF SOLAR STREET LIGHT WITH LAMP POST INCLUDING INSTALLATION. SPECIFICATIONS: SOLAR LIGHTS    SOLAR PANEL : 6V35W MONO    BATTERY : 40000maH LIFEP04    LED QUANTITY </t>
  </si>
  <si>
    <t xml:space="preserve"> CITY MAYOR'S OFFICE --- Assorted sets of Uniforms ---   Please see attached file/document on associated components or BAC website www.davaocityportal.com (BAC posting) for the complete descriptions, terms of conditions and terms of references.   Bidding w</t>
  </si>
  <si>
    <t xml:space="preserve"> CITY MAYOR'S OFFICE -- Assorted Electrical appliances --   Please see attached file/document on associated components or BAC website www.davaocityportal.com (BAC posting) for the complete descriptions, terms of conditions and terms of references.   Biddin</t>
  </si>
  <si>
    <t xml:space="preserve"> CITY MAYOR'S OFFICE  1 35 Unit/s Computer Desktop, Branded, Small Form Factor (SFF) or Mini PC, Dimensions: 3.94 x 13.3 x 12.13 in (WxDxH), Processor specification: Eight (8th) Generation or latest, 3.2 GHz or higher base frequency, 6 Cores, 12 Threads, F</t>
  </si>
  <si>
    <t xml:space="preserve"> Invitation to Bid Procurement of Security Services for CHED for FY 2020 (6 months) 1.	The Commission on Higher Education, through the GAA Fund for FY 2020 intends to apply the sum of Four Million Three Hundred Twenty One Thousand Four Hundred Twenty Two P</t>
  </si>
  <si>
    <t xml:space="preserve"> THE OFFICE OF THE BIDS AND AWARDS COMMITTEE, SAN CARLOS CITY IS IN NEED OF SUPPLY/DELIVERY OF SOLAR STREET LIGHT WITH LAMP POST INCLUDING INSTALLATION SPECIFICATIONS: SOLAR LIGHTS    SOLAR PANEL: 6V35W MONO    BATTERY : 40000maH LIFE P04    LED QUALITY : </t>
  </si>
  <si>
    <t xml:space="preserve"> City Mayor's Office --- Assorted Chairs and Tables ---   Please see attached file/document on associated components or BAC website www.davaocityportal.com (BAC posting) for the complete descriptions, terms of conditions and terms of references.   Bidding </t>
  </si>
  <si>
    <t xml:space="preserve"> CITY HEALTH OFFICE --- Assorted Medical supplies and materials ---   Please see attached file/document on associated components or BAC website www.davaocityportal.com (BAC posting) for the complete descriptions, terms of conditions and terms of references</t>
  </si>
  <si>
    <t xml:space="preserve"> Department of Health Central Luzon Center for Health Development MARIVELES MENTAL WELLNESS AND GENERAL HOSPITAL Mariveles, Bataan BAC Office, BAC Secretariat (047) 633-4992 procurement@mmh.gov.ph INVITATION TO BID  RE-BIDDING OF UTILITY VEHICLE 2020 2020-</t>
  </si>
  <si>
    <t xml:space="preserve"> Republic of the Philippines Province of Davao de Oro BIDS AND AWARDS COMMITTE Cabidianan, Nabunturan, Davao de Oro ITB No. 20-019 May 21, 2020 INVITATION TO BID  FOR  THE Procurement of 1 lot Fabrication and installation of 320 units bed bunks 1.	The Prov</t>
  </si>
  <si>
    <t xml:space="preserve"> Republic of the Philippines Province of Bukidnon MUNICIPALITY OF KIBAWE O0o0o Bids and Awards Committee INVITATION TO BID May 22, 2020 The Local Government of Kibawe, Kibawe, Bukidnon through its Bids and Awards Committee (BAC), invites contractor’s regis</t>
  </si>
  <si>
    <t xml:space="preserve"> Republic of the Philippines Province of Ilocos Norte MUNICIPALITY OF CURRIMAO Invitation to Bid for  CONCRETING OF COMCOMLOONG FARM TO MARKET ROAD 1.	The MUNICIPALITY OF CURRIMAO, through the RA7171 Fund intends to apply the sum of 	NINE MILLION SEVEN HUN</t>
  </si>
  <si>
    <t xml:space="preserve"> Republic of the Philippines Province of Davao de Oro BIDS AND AWARDS COMMITTE Cabidianan, Nabunturan, Davao de Oro ITB No. 20-019 May 21, 2020 INVITATION TO BID  FOR  THE Procurement of various medical supplies 1.	The Provincial Government of Davao de Oro</t>
  </si>
  <si>
    <t xml:space="preserve"> INVITATION TO BID The Surigao del Sur 1st District Engineering Office, Tandag City, through its Bids and Awards Committee (BAC), invites contractors to submit bids for the following Contract: CONTRACT ID	:	20NH0090 CONTRACT NAME	:	Repair/ Maintenance of F</t>
  </si>
  <si>
    <t xml:space="preserve"> Republic of the Philippines Province of Davao de Oro BIDS AND AWARDS COMMITTEE Cabidianan, Nabunturan, Davao de Oro Invitation to Bid for the Construction of Multi-Purpose Building (H.E Building Taglawig NHS), Brgy. Taglawig, Maco 1.	The Provincial Govern</t>
  </si>
  <si>
    <t xml:space="preserve"> 1.	The Local Government Unit of CONNER, through the 2018 20% DF intends to apply the sum of Four Hundred Seventy-Three Thousand Forty-One Pesos and 18/100 Centavos Only (₱ 473,041.18) being the Approved Budget for the Contract (ABC) to payments under the </t>
  </si>
  <si>
    <t xml:space="preserve"> Please see attached associated components.</t>
  </si>
  <si>
    <t xml:space="preserve"> Republic of the Philippines Province of Davao de Oro BIDS AND AWARDS COMMITTEE Cabidianan, Nabunturan, Davao de Oro Invitation to Bid for the Construction of Multi-Purpose Building/ Social Hall at Osmeña E/S, Brgy. Osmeña, Compostela 1.	The Provincial Gov</t>
  </si>
  <si>
    <t xml:space="preserve"> Republic of the Philippines Province of Davao de Oro BIDS AND AWARDS COMMITTEE Cabidianan, Nabunturan, Davao de Oro Invitation to Bid for the Construction of Hanging Bridge, Purok 6, Tawin-tawin, Brgy. San Antonio, Laak 1.	The Provincial Government of Dav</t>
  </si>
  <si>
    <t xml:space="preserve"> CITY GOVERNMENT OF DAVAO -- Assorted Computer supplies and materials ---   Please see attached file/document on associated components or BAC website www.davaocityportal.com (BAC posting) for the complete descriptions, terms of conditions and terms of refe</t>
  </si>
  <si>
    <t xml:space="preserve"> Section I. Invitation to Bid Republic of the Philippines Province of Bukidnon MUNICIPALITY OF TALAKAG Invitation to Bid for Procurement of Ambulance (For Rural Health Unit) 1.	The Municipality of Talakag through the Trust Fund, intends to apply the sum of</t>
  </si>
  <si>
    <t xml:space="preserve"> The Local Government Unit of CONNER, through the 2020 20% DF intends to apply the sum of Four Hundred Seventy Thousand Six Hundred Three Pesos and 00/100 Centavos Only (₱ 470,603.00) being the Approved Budget for the Contract (ABC) to payments under the c</t>
  </si>
  <si>
    <t xml:space="preserve"> The Local Government Unit of CONNER, through the 2020 20% DF intends to apply the sum of Two Hundred Eighty Seven Thousand Seven Hundred Seventy Four Pesos and 05/100 Centavos Only (₱ 287,774.05) being the Approved Budget for the Contract (ABC) to payment</t>
  </si>
  <si>
    <t xml:space="preserve"> Ground Floor only (masonry works, Finishing and Plastering), Doors and Windows, Tile Works, Ceiling works, Electrical and Plumbing Works, Painting works</t>
  </si>
  <si>
    <t xml:space="preserve"> The Local Government Unit of CONNER, through the 2020 20% DF intends to apply the sum of Two Hundred Ninety One Thousand Six Hundred Eighty Seven Pesos and 41/100 Centavos Only (₱ 291,687.41) being the Approved Budget for the Contract (ABC) to payments un</t>
  </si>
  <si>
    <t xml:space="preserve"> The Municipal Government Unit of CONNER, through the 20% Development Fund 2020 intends to apply the sum of One Million three hundred thirty five thousand eight hundred ninety two pesos and 50/100 only (₱ 1,335,892.50) being the Approved Budget for the Con</t>
  </si>
  <si>
    <t xml:space="preserve"> The Local Government Unit of CONNER, through the 2020 20% DF intends to apply the sum of Four Hundred Seventy SevenThousand Seven Hundred Ninety Five Pesos and 56/100 Centavos Only (₱ 477,795.56) being the Approved Budget for the Contract (ABC) to payment</t>
  </si>
  <si>
    <t xml:space="preserve"> Republic of the Philippines Province of Davao de Oro BIDS AND AWARDS COMMITTEE Cabidianan, Nabunturan, Davao de Oro Invitation to Bid for the Construction of Water System at Liwanag Center, Brgy. Libasan, Nabunturan 1.	The Provincial Government of Davao d</t>
  </si>
  <si>
    <t xml:space="preserve"> May 23, 2020 INVITATION TO BID  Reference No. 7006250 /Solicitation No.20-19 The City Government of Tagum invites interested Bidders/Suppliers to bid for the following: Name of Contract         :  CONSTRUCTION MATERIALS &amp; SUPPLIES FOR THE CONSTRUCTION OF </t>
  </si>
  <si>
    <t xml:space="preserve"> INVITATION TO BID LABORATORY SUPPLIES AND RE-AGENTS WITH TIE-UP MACHINE IB NO. 2020-06-16 (10) 1. 	The Caraga Regional Hospital (CRH), through the General Appropriation Act /  HOSPITAL INCOME   intends to apply the sum of  being the Approved Budget for th</t>
  </si>
  <si>
    <t xml:space="preserve"> Invitation for Negotiated Procurement  KAWAKAYAN SIP CY 2020 PACKAGE 2: CONSTRUCTION OF CANAL LINING AND CANAL STRUCTURES Invitation to Negotiate No. R4B-20-05-06 1.	The NIA MIMAROPA Regional Office, through the FY 2020 National Expenditure Program or the</t>
  </si>
  <si>
    <t xml:space="preserve"> INVITATION TO BID   PROPOSED DRILLING OF ELEVEN (11) EXPLORATORY/PRODUCTION WELLS IN CEBU CITY PR No. 27807-001   1.	The Metropolitan Cebu Water District (MCWD), through the Corporate Budget for the contract approved by the governing Boards for the year 2</t>
  </si>
  <si>
    <t xml:space="preserve"> Invitation for Negotiated Procurement KAWAKAYAN SIP CY 2020 PACKAGE 1: CONSTRUCTION OF DIVERSION WORKS Invitation to Negotiate No. R4B-20-05-05 1.	    The NIA MIMAROPA Regional Office, through the FY 2020 National Expenditure Program or the General Approp</t>
  </si>
  <si>
    <t xml:space="preserve"> Republic of the Philippines CITY OF LAPU-LAPU BIDS AND AWARDS COMMITTEE  Invitation to Bid FOR THE PROCUREMENT of OFFICE SUPPLIES The City of Lapu-Lapu through the MOOE 1061-5-02-03-010 intends to apply the sum of One Million Eight  Hundred Twenty-Six Tho</t>
  </si>
  <si>
    <t xml:space="preserve"> Request for Expression of Interest Consulting Service for the Support and Maintenance of the Business Name Registration System Next Generation (BNRSNextGEN) 1.	The Department of Trade and Industry, through the CY 2020 General Appropriations Act and/or con</t>
  </si>
  <si>
    <t xml:space="preserve"> The Municipal Government Unit of CONNER, through the 20% Development Fund 2020 intends to apply the sum of Five hundred ninety two thousand three hundred nine pesos and 60/100 only (₱ 592,309.60) being the Approved Budget for the Contract (ABC) to payment</t>
  </si>
  <si>
    <t xml:space="preserve"> The Local Government Unit – Quinapondan, Eastern Samar, through its Bids &amp; Awards Committee (BAC ), intends to apply the sum of Six Hundred Fifty Seven Thousand, Six Hundred Forty Six Pesos and 83/100 (Php657,646.83) under the 20% EDF, Annual Budget Appro</t>
  </si>
  <si>
    <t xml:space="preserve"> Reinf. Concrete works, Masonry works, Doors and Windows, Ceiling works, Roofing works, Electrical works</t>
  </si>
  <si>
    <t xml:space="preserve"> Reinf. Concrete works, Masonry works, Painting works</t>
  </si>
  <si>
    <t xml:space="preserve"> Reinf. Concrete works (column, roof beam), Slab on fill w/ramp &amp; stairs, Masonry Wall, Roof Truss, Roofing</t>
  </si>
  <si>
    <t xml:space="preserve"> Reinf. Concrete works, Masonry works, Doors and Windows, Ceiling works, Roofing works, Electrical and Plumbing works, Painting works</t>
  </si>
  <si>
    <t xml:space="preserve"> Republic of the Philippines Province of Ilocos Sur Municipality of San Juan Barangay Sabangan OFFICE OF THE BIDS AND AWARDS COMMITTEE INVITATION TO APPLY FOR ELIGIBILITY AND TO BID The Barangay Sabangan,San Juan,Ilocos Sur through the Bids and Awards Comm</t>
  </si>
  <si>
    <t xml:space="preserve"> Rehabilitation of 100LM X 8.0M X 0.23M thick concrete pavement with 277.23 sq.m. X 0.23m thick shoulder at right side only, with construction of 1.0M wide drainage.</t>
  </si>
  <si>
    <t xml:space="preserve"> Republic of the Philippines BIDS AND AWARDS COMMITTEE 9017 Población, El Salvador City Misamis Oriental  Email: bac.elsalvadorcity@gmail.com INVITATION TO BID for the PROCUREMENT OF DUMP TRUCK (Brand New) 	 The LGU-El Salvador City, Misamis Oriental, thro</t>
  </si>
  <si>
    <t xml:space="preserve"> Reinf. Concrete works, Masonry works, Doors and Windows, Ceiling works, Roofing works, Painting works</t>
  </si>
  <si>
    <t xml:space="preserve"> Construction of 190LM x 0.90M covered canal with manhole, inlets, catch basin and curb and gutter, installation of 42LM x 0.90M dia RCPC and concreting of 348 sq.m. x 0.23m thick concrete shoulder.</t>
  </si>
  <si>
    <t xml:space="preserve"> 1.	The Provincial Government of Davao del Norte, through Trust Fund DILG Local Government Empowerment Program (SARO-BMB-D-19-0022601) hereby invites all interested PhilGEPS registered suppliers to submit bids for the procurement of goods. Bids received in</t>
  </si>
  <si>
    <t xml:space="preserve"> Republic of the Philippines Cordillera Administrative Region Province of Abra MUNICIPALITY OF SAN ISIDRO Invitation to Bid for CONCRETING OF CABAYUGAN ACCESS ROAD 1.	The MUNICIPAL GOVERNMENT OF SAN ISIDRO through the budget approved by the Sangguniang Bay</t>
  </si>
  <si>
    <t xml:space="preserve"> May 22, 2020 INVITATION TO BID  Reference No. 7007143 /Solicitation No.20-19 The City Government of Tagum invites interested Bidders/Suppliers to bid for the following: Name of Contract         :  CONSTRUCTION MATERIALS &amp; SUPPLIES FOR THE CONSTRUCTION OF </t>
  </si>
  <si>
    <t xml:space="preserve"> Republic of the Philippines Cordillera Administrative Region Province of Abra MUNICIPALITY OF SAN ISIDRO Invitation to Bid for CONSTRUCTION OF DRAINAGE CANAL ALONG MANAYDAY-CALAOI ACCESS ROAD 1.	The MUNICIPAL GOVERNMENT OF SAN ISIDRO through the budget ap</t>
  </si>
  <si>
    <t xml:space="preserve"> Republic of the Philippines Cordillera Administrative Region Province of Abra MUNICIPALITY OF SAN ISIDRO Invitation to Bid for Package: CONSTRUCTION OF MAOAY DAYCARE, CONSTRUCTION OF STREET LIGHTS ALONG SAN MARCIAL-TIGGALAY-KIRMAY ROAD AND CONCRETEING OF </t>
  </si>
  <si>
    <t xml:space="preserve"> 1.	The Central Bicol State University of Agriculture (CBSUA), through the Unexpended Income 2019 Fund intends to apply the sum of Four Million Three Hundred Eighty Thousand Pesos (Php. 4,380,000.00) being the Approved Budget for the Contract (ABC) to paym</t>
  </si>
  <si>
    <t xml:space="preserve"> INVITATION TO BID Bid No. B-68-2020  1.	The Provincial Government of Negros Oriental through Responsibility Center: 4411 DXI-05(19) / Account Code: 10705030, intends to apply the sum of Three Million Pesos (Php 3,000,000.00) to payment under the contract </t>
  </si>
  <si>
    <t xml:space="preserve"> Invitation to Bid for the  SUPPLY AND DELIVERY OF IT EQUIPMENT 1.	The Metropolitan Tuguegarao Water District through the Corporate Budget for the Year 2020 intends to apply the sum of Two Million Four Hundred Thousand Pesos (P 2,400,000.00) being the Appr</t>
  </si>
  <si>
    <t xml:space="preserve"> Republic of the Philippines BIDS AND AWARDS COMMITTEE 9017 Población, El Salvador City Misamis Oriental  Email: bac.elsalvadorcity@gmail.com INVITATION TO BID for the PROCUREMENT OF ROAD ROLLER/COMPACTOR (Brand New) And ROAD (Motor) GRADER (Brand New)  	 </t>
  </si>
  <si>
    <t xml:space="preserve"> Republic of the Philippines Province of Davao de Oro MUNICIPALITY OF MONTEVISTA BIDS AND AWARDS COMMITTEE 		 Reference No:  CB-2020-014 INVITATION TO BID FOR FERTILIZER 14-14-14 WITH SULFUR 1. 	The Municipality of  Montevista, Compostela Valley Province, </t>
  </si>
  <si>
    <t xml:space="preserve"> INVITATION TO BID Bid No. B-69-2020 1.	The Provincial Government of Negros Oriental through Responsibility Center: 4411-R / Account Code: 50203080, intends to apply the sum of Seven Million Eight Hundred Fourteen Thousand Three Hundred Sixty-Three Pesos &amp;</t>
  </si>
  <si>
    <t xml:space="preserve"> Republic of the Philippines Cordillera Administrative Region Province of Abra MUNICIPALITY OF SAN ISIDRO Invitation to Bid for Package: REPAIR OF DALIMAG DAYCARE, REHABILITATION OF DALIMAG PLAZA, INSTALLATION OF STREET LIGHTS ALONG DALIMAG SUR ACCESS ROAD</t>
  </si>
  <si>
    <t xml:space="preserve"> Republic of the Philippines Province of Davao de Oro MUNICIPALITY OF MONTEVISTA BIDS AND AWARDS COMMITTEE 		 Reference No:  CB-2020-013 INVITATION TO BID FOR MEDICAL, DENTAL AND LABORATORY SUPPLIES 1. 	The Municipality of  Montevista, Compostela Valley Pr</t>
  </si>
  <si>
    <t xml:space="preserve"> FURNISHING OF CONSTRUCTION MATERIALS FOR THE CONSTRUCTION OF BOX CULVERT LOCATION: BARANGAY DANGAN, REINA MERCEDES, ISABELA CONTRACT COST: P500,000 SOURCE OF FUND: 20% DEVELOPMENT FUND PHYSICAL TARGET: 12 METERS COST OF DOCUMENTS: P1,000 DURATION: 30 CD's</t>
  </si>
  <si>
    <t xml:space="preserve"> May 22, 2020 INVITATION TO BID  Reference No. 7007114 /Solicitation No.20-19 The City Government of Tagum invites interested Bidders/Suppliers to bid for the following: Name of Contract         :  CONSTRUCTION MATERIALS &amp; SUPPLIES FOR THE USE OF CMO (CONS</t>
  </si>
  <si>
    <t xml:space="preserve"> INVITATION TO BID The Department of Public Works and Highways - Pampanga 1st District Engineering Office, through its Bids and Awards Committee (BAC), invites contractors to submit bids for the following Contract: 1.	 Procurement ID/Contract ID	:	20CG0134</t>
  </si>
  <si>
    <t xml:space="preserve"> CONSTRUCTION OR REHABILITATION OF BARANGAY ROADS LOCATION: BARANGAYS OF REINA MERCEDES 1. BANQUERO: 650 METERS - P500,000 2. BINARSANG: 650 METERS - P500,000 3. CUTOG GRANDE: 650 METERS - P500,000 4. MALLALATANG GRANDE: 650 METERS - P500,000 5. MALLALATAN</t>
  </si>
  <si>
    <t xml:space="preserve"> INVITATION TO BID for UPPER AMBAWAN SIP 1.	The National Irrigation Administration- Irrigation Management Office Davao de Oro, through the GAA –SIP fund 2020 intends to apply the sum of  Twenty Three Million Nine Hundred Thirty Two Thousand Two Hundred Nin</t>
  </si>
  <si>
    <t xml:space="preserve"> DESCRIPTION PROCUREMENT AND DELIVERY OF 14,777 BAGS UREA FOR CY 2020 LOT No. 1	QTY	ABC 1.  Urea (46-0-0) 50kg/bag	14,777  BAGS	14,777,000.00 Specifications: -FPA Accredited  - Granular form -Nitrogen Content not less than 46%   Packaging Material: Sack wi</t>
  </si>
  <si>
    <t xml:space="preserve"> CONSTRUCTION OR REHABILITATION OF LOCAL GOVERNMENT OWNED POTABLE WATER SUPPLY SYSTEM LOCATION: BARANGAYS OF REINA MERCEDES, ISABELA 1. BANQUERO: LEVEL II- P200,000 2. DANGAN: LEVEL I- P400,000 3. NAPPACCU PEQUENO: LEVEL I (DEEPWELL)- P300,000 4. SANTOR: L</t>
  </si>
  <si>
    <t xml:space="preserve"> Construction of 66 ln.m. revetment/riverwall</t>
  </si>
  <si>
    <t xml:space="preserve"> PLEASE SEE ATTACHED FILE.</t>
  </si>
  <si>
    <t xml:space="preserve"> PURCHASE OF ONE (1) LOT BRAND NEW HEAVY EQUIPMENT FOR MUNICIPAL GENERAL USE PURPOSES OF THIS MUNICIPALITY 1. 1 UNIT BRAND NEW WHEEL LOADER  2. 1 UNIT BRAND NEW HYDRAULIC EXCAVATOR / BACKHOE</t>
  </si>
  <si>
    <t xml:space="preserve"> NOTICE TO THE PUBLIC REQUEST FOR PROPOSAL Purchase Request No: PUR19-03-0301/PUR20-02-0163 The Philippine General Hospital hereby informs the public that it will be procuring the following item/s through Small Value Procurement: Item Qty.-Unit Description</t>
  </si>
  <si>
    <t xml:space="preserve"> Republic of the Philippines Province of Negros Occidental MUNICIPALITY OF HINOBA-AN Barangay Asia Bids and Awards Committee INVITATION TO BID The Municipality of  Hinoba-an, Negros Occidental through its Bids and Awards Committee (BAC),invites suppliers/m</t>
  </si>
  <si>
    <t xml:space="preserve"> Repair and Maintenance of Foton Ambulance 4 PCS INJECTOR UNIT    LABOR 2 PCS CROSS JOINT    REPLACE CROSS JOINT 1 GAL DELO GOLD 2 LIT DELO GOLD     CHANGE OIL CHARGE 1 PCS OIL FILTER    REPLACE TENSIONER BEARING UPPER</t>
  </si>
  <si>
    <t xml:space="preserve"> a) Items and descriptions are specified in the approved PR and RFQ as posted.</t>
  </si>
  <si>
    <t xml:space="preserve"> Invitation to Bid    Medical Supplies/materials/Medicine:      * Surgical mask                                     -  16  box      * Thermo Gun                                       -    8 units      * N95/KN95 mask                                  -    5</t>
  </si>
  <si>
    <t xml:space="preserve"> Sample Description</t>
  </si>
  <si>
    <t xml:space="preserve"> Construction of Multi-Purpose Drying Pavement at Barangay Mabasa at Barangay Mabasa, Dupax del Norte with an ABC of Php250,000.00 Please note that the project is for BLGU-Mabasa. Posting however is made by the LGU because the new administration of BLGU-Ma</t>
  </si>
  <si>
    <t xml:space="preserve"> Repair/Rehabilitation of Flood Control</t>
  </si>
  <si>
    <t xml:space="preserve"> Construction of One(1) Building</t>
  </si>
  <si>
    <t xml:space="preserve"> Construction of Flood Control</t>
  </si>
  <si>
    <t xml:space="preserve"> Concreting/Widening of Pavement</t>
  </si>
  <si>
    <t xml:space="preserve"> Please see attached ITB</t>
  </si>
  <si>
    <t xml:space="preserve"> NAME OF THE PROJECT: Flood Control Protection (Awaii-Rawis Creek)  LOCATION OF THE PROJECT:  Bgy. Rawis, Donsol, Sorsogon  PROJECT REFERENCE NO.:  INFRA-PB-2020-009  Approved Budget for the Contract: ₱1,000,000.00  Source of Fund: 20% MCDF-2019 BRIEF DESC</t>
  </si>
  <si>
    <t xml:space="preserve"> NAME OF THE PROJECT: Concreting of Pathway w/ Drainage Canal  LOCATION OF THE PROJECT:  Purok 2 &amp; 3, Tinanogan, Donsol, Sorsogon  PROJECT REFERENCE NO.:  INFRA-PB-2020-007  Approved Budget for the Contract: ₱500,000.00  Source of Fund: 20% MCDF-2019 BRIEF</t>
  </si>
  <si>
    <t xml:space="preserve"> Republic of the Philippines City of Manila OFFICE OF THE CITY MAYOR BIDS AND AWARDS COMMITTEE INVITATION TO BID  The City Government of Manila, through the PAGCOR Trust Fund, intends to apply the following amounts for the following proposed projects: 1.	C</t>
  </si>
  <si>
    <t xml:space="preserve"> Republic of the Philippines DEPARTMENT OF PUBLIC WORKS AND HIGHWAYS CAMARINES SUR 2ND DISTRICT ENGINEERING OFFICE Regional Office V Baras, Canaman, Camarines Sur REQUEST FOR EXPRESSION OF INTEREST (REOI) FOR 20CSFE01 - Consulting Services for the Geotechn</t>
  </si>
  <si>
    <t xml:space="preserve"> NAME OF THE PROJECT: Concreting of Road, 230 Lin.M  LOCATION OF THE PROJECT:  Bgy. Tres Maria, Donsol, Sorsogon  PROJECT REFERENCE NO.:  INFRA-PB-2020-006  Approved Budget for the Contract: ₱2,200,000.00  Source of Fund: 20% MCDF-2020 BRIEF DESCRIPTION OF</t>
  </si>
  <si>
    <t xml:space="preserve"> Construction of Island Port</t>
  </si>
  <si>
    <t xml:space="preserve"> Description of Works to be Done Part A. Civil Works.......................................98.09% Part B. General Item &amp; Other Requirements......1.91% 100% Item/Description..............................................Quantity..............................</t>
  </si>
  <si>
    <t xml:space="preserve"> Procurement ID/ Contract ID:	20FJ0026 Contract Name:	Repair/Maintenance of Sawang Flood Control, Sawang, Uson, Masbate, Sta. 0+000 - Sta. 0+060 (Upstream, R/S) Contract Location:	Sawang, Uson, Masbate Brief Description:	Repair/Maintenance of Flood Control</t>
  </si>
  <si>
    <t xml:space="preserve"> Republic of the Philippines Province of Agusan del Norte BIDS AND AWARDS COMMITTEE Capitol, Butuan City Invitation to Bid for Improvement of Agusan del Norte Provincial Capitol Building  Hallway &amp; Lobbys, Agusan del Norte, Provincial Capitol Building, But</t>
  </si>
  <si>
    <t xml:space="preserve"> Wash Gravel Wash sand Portland cement 4”x8”x16 CHB  Hack saw blade 16mm0x6.00m RSB 12mm dia.x6.0m RSB Double Swing Door Aluminium Frame with glass 70mx2.10cm PVC Flash Door Yale Door Knob 3x3 Hinges Sliding Window Rough Lumber 2”x6”x10 Rough Lumber 2”x3”8</t>
  </si>
  <si>
    <t xml:space="preserve"> NAME OF THE PROJECT: Concreting of Pathway (Phase 3)  LOCATION OF THE PROJECT:  Purok 7, Sibago Donsol, Sorsogon  PROJECT REFERENCE NO.:  INFRA-PB-2020-008  Approved Budget for the Contract: ₱400,000.00  Source of Fund: 20% MCDF-2020 BRIEF DESCRIPTION OF </t>
  </si>
  <si>
    <t xml:space="preserve"> AIRCONDITIONING UNIT CEILING TYPE, 5 HP, 3 TONS AIRCONDITIONING UNIT INVERTER, SPLIT TYPE, 1.5 HP NOTE: WITH FREE INSTALLATION</t>
  </si>
  <si>
    <t xml:space="preserve"> INVITATION TO BID FOR Provision of Amphitheater at Nursing Arts Laboratory-Reposting                The CAMARINES SUR POLYTECHNIC COLLEGES, through the General Appropriation Act (GAA 2019 Savings) intends to apply the sum of Eight Hundred Thousand Pesos (</t>
  </si>
  <si>
    <t xml:space="preserve"> Section I. Invitation to Bid Republic of the Philippines Province of Bukidnon MUNICIPALITY OF TALAKAG Invitation to Bid for Installation and Fabrication of Amenities  (For Proposed Slaughter House, Sto. Niño) 1.	The Municipality of Talakag through the 20%</t>
  </si>
  <si>
    <t xml:space="preserve"> INVITATION TO APPLY FOR ELIGIBILITY AND TO BID The  Municipality of Barobo , through its Bids and Awards Committee (BAC), invites contractors registered with and classified by the Philippine Contractors Accreditation Board (PCAB) to apply for eligibility </t>
  </si>
  <si>
    <t xml:space="preserve"> QTY	UNIT	ITEM DESCRIPTION 		  1.00 	L.S.	Mobilization/Demobilization  410.80 	Cu. m.	Grouted Riprap</t>
  </si>
  <si>
    <t xml:space="preserve"> QTY	UNIT	ITEM DESCRIPTION 		  1.00 	L.S.	Project Billboard/Signboard  1.00 	L.S.	Steel Works  1.00 	L.S.	Concrete Foundation and Reinforcement  1.00 	L.S.	Mechanical and Electrical Works  1.00 	L.S.	Distribution of Pipelines, Fittings and Accessories (Brg</t>
  </si>
  <si>
    <t xml:space="preserve"> INVITATION TO BID INSTALLATION OF STREET LIGHTS ALONG PUROK 6 TO CALAMBA PROPER IN BARANGAY CALAMBA, CABADBARAN CITY 1.	The Local Government Unit of Cabadbaran City through the PEACE &amp; ORDER FUND (EO 70 ELCAC IMPLEMENTATION) intends to apply the sum of ON</t>
  </si>
  <si>
    <t xml:space="preserve"> QTY	UNIT	ITEM DESCRIPTION 		  1.00 	L.S.	Mobilization/Demobilization  1.00 	L.S.	Installation of Submersible Pump  1.00 	L.S.	Fabrication of 2,000 gals. Pressure Tank 8mm MS Plate  1.00 	L.S.	Distribution Line  1.00 	L.S.	Electrical Works  1.00 	L.S.	Cons</t>
  </si>
  <si>
    <t xml:space="preserve"> INVITATION TO BID PROCUREMENT OF SUPPLY AND DELIVERY OF VARIOUS OFFICE SUPPLIES FOR GOV. CELESTINO GALLARES MEMORIAL HOSPITAL    1.	The Gov. Celestino Gallares Memorial Hospital, through Hospital Income intends to apply the sum of SIX MILLION EIGHT HUNDRE</t>
  </si>
  <si>
    <t xml:space="preserve"> "2nd Posting" 2 unit MOTORCYCLE: Engine Type: 4-stroke, 2 Valves, SOHC, Air-cooled  Displacement: 150cc min. Maximum Power: 9.13kw @ 8,000 rpm min. Maximum Torque: 11.94 Nm @ 6,500 rpm Ground Clearance: 285 mm min. Fuel Tank Capacity: 7.2 Liters min. Fuel</t>
  </si>
  <si>
    <t xml:space="preserve"> Republic of the Philippines DEPARTMENT OF PUBLIC WORKS AND HIGHWAYS CENTRAL OFFICE Manila Roads Management Cluster 1 (Bilateral), Unified Project Management Office 2nd Street, Port Area, Manila -------------------------------------------------------------</t>
  </si>
  <si>
    <t xml:space="preserve"> A) REQUEST FOR QUOTATION 1. 1 unit Fabrication of Stainless Steel 2-bowl Kitchen sink w/ gooseneck and strainer Specification: *1.20m (l) x 0.715m (w) x 0.860m (h) *Double sink *1.5mm thk. Stainless steel sheet *1.5mm thk. 38mm Ø Stainless Steel Legs *Sta</t>
  </si>
  <si>
    <t xml:space="preserve"> ITB No. 2020-69 April 21, 2020 Republic of the Philippines Province of Davao Oriental CITY OF MATI INVITATION TO BID CLOSURE OF CONTROLLED DUMPSITE Name of Project 1.	The City Government of Mati, through the 20% Local Development Fund intends to apply the</t>
  </si>
  <si>
    <t xml:space="preserve"> Republic of the Philippines Department of Environment and Natural Resources ENVIRONMENTAL MANAGEMENT BUREAU Region VI, Iloilo City INVITATION TO BID  FOR THE SUPPLY AND DELIVERY OF ICT SUPPLIES AND OTHER PERIPHERALS OF EMB REGION VI CY 2020 ITB No. EMB-GO</t>
  </si>
  <si>
    <t xml:space="preserve"> 60.00    sq.m   Carpentry/Painting Works</t>
  </si>
  <si>
    <t xml:space="preserve"> 1ST  BIDDING       The Local Government Unit of  Paracale, through its Bids and  Awards  Committee (BAC) invites  a contractor registered with and  classified by the  Philippine Contractors  Accreditation Board ( PCAB ) to apply for  eligibility and to bi</t>
  </si>
  <si>
    <t xml:space="preserve"> INVITATION TO BID LGU-El Salvador City, Misamis Oriental through its BAC, invites interested bidders to apply for eligibility and if found eligible to bid for the contract: 1.	Contract ID No.	:	ITB No. 2020-05-044/Project ID No. 19-033-SB#1-ENGG Name of P</t>
  </si>
  <si>
    <t xml:space="preserve"> Concreting of Roads including paving of shoulder, minor drainage structures and guardrails</t>
  </si>
  <si>
    <t xml:space="preserve"> Solar panel board, 200 watts capacity each 20 pcs  Solar panel board, 150 watts capacity each 25 pcs Rechargeable Seal Lead_Acid Maintenance free Battery (Solar battery), 12V 100AH/20HR 50 pcs Solar power Inverter transformer type, 1000 watts, DC12v to AC</t>
  </si>
  <si>
    <t xml:space="preserve"> Republic of the Philippines DEPARTMENT OF PUBLIC WORKS AND HIGHWAYS Region VI – Western Visayas ILOILO 1st DISTRICT ENGINEERING OFFICE Office of the District Engineer Fort San Pedro Road, Iloilo City REQUEST FOR EXPRESSION OF INTEREST (REOI) (RE-BIDDING) </t>
  </si>
  <si>
    <t xml:space="preserve"> Invitation to Bid for the Construction of Various Pump Irrigation Projects  in the Municipality of Tobias Fornier, Antique         a. Tene PIP      b. Igbangcal PIP                                                                                           </t>
  </si>
  <si>
    <t xml:space="preserve"> a. Contract ID No:	20P00031     Contract Name:	LOCAL PROGRAM - Construction / Repair / Rehabilitation / Improvement of Various Infrastructure Including Local Projects – Flood Control and Drainage – Flood Control Structures/Facilities Construction of Luba </t>
  </si>
  <si>
    <t xml:space="preserve"> REPUBLIC OF THE PHILIPPINES MANOLO FORTICH WATER DISTRICT A.Ditona Street, Tankulan, Manolo Fortich, Bukidnon Tel. No. 09176771080   email add – mfwd_buk@yahoo.com Water is Life. Conserve Water. Preserve Life INVITATION TO BID  CONSTRUCTION OF SPRING INTA</t>
  </si>
  <si>
    <t xml:space="preserve"> Invitation to Bid for the Rehabilitation of Igburi CIS  NIAR6-ResCIS-IGBURI-CW62-20 1.	The National Irrigation Administration Regional Office VI, Iloilo City, through the Restoration of Communal Irrigation System (ResCIS) CY 2020 intends to apply the sum </t>
  </si>
  <si>
    <t xml:space="preserve"> INVITATION TO BID The DPWH Regional Office IX, Veterans Avenue Extension, Tetuan, Zamboanga City, through its Bids and Awards Committee (BAC), invites contractors to submit bids for the following Contract: Contract ID	:	20J00194 Contract Name	:	Constructi</t>
  </si>
  <si>
    <t xml:space="preserve"> REPUBLIC OF THE PHILIPPINES MANOLO FORTICH WATER DISTRICT A.Ditona Street, Tankulan, Manolo Fortich, Bukidnon Tel. No. 09176771080, Email Add.: mfwd_buk@yahoo.com Water is Life. Conserve Water. Preserve Life INVITATION TO BID FOR THE PROCUREMENT OF  TWO (</t>
  </si>
  <si>
    <t xml:space="preserve"> INVITATION TO BID The DPWH Regional Office IX, Veterans Avenue Extension, Tetuan, Zamboanga City, through its Bids and Awards Committee (BAC), invites contractors to submit bids for the following Contract: Contract ID	:	20J00196 Contract Name	:	Widening o</t>
  </si>
  <si>
    <t xml:space="preserve"> INVITATION TO BID The DPWH Regional Office IX, Veterans Avenue Extension, Tetuan, Zamboanga City, through its Bids and Awards Committee (BAC), invites contractors to submit bids for the following Contract: Contract ID	:	20J00195 Contract Name	:	Constructi</t>
  </si>
  <si>
    <t xml:space="preserve"> Republic of the Philippines                                                          Province of Aklan MUNICIPALITY OF LIBACAO                                                           * * * The Local Government Unit of Libacao, through its Bids and Award</t>
  </si>
  <si>
    <t xml:space="preserve"> A. General 1. Scope of Bid 1.1 The Procuring Entity, as defined in the BDS, invites bids for the construction of the Works under the proposed Contract, as described in the BDS. The name and ID of the Contract are stated in the BDS. 1.2 The winning bidder </t>
  </si>
  <si>
    <t xml:space="preserve"> Provision of Higher Education Services (Purchase of Various Equipment)</t>
  </si>
  <si>
    <t xml:space="preserve"> Photocopier Machine</t>
  </si>
  <si>
    <t xml:space="preserve"> INVITATION TO BID  1.	The National Printing Office, through the Revolving Fund 2020 intends to apply the sum of ₱17,901,800.00 being the Aggregate Approved Budget for the Contract (ABC) to payments under the contract for the Procurement of Supply &amp; Delive</t>
  </si>
  <si>
    <t xml:space="preserve"> Displacement: 2,800cc Euro Standard: Euro IV Max Torque: 225 N-m/1,800-2,000rpm Transmission: 5-speed Manual+1 Reverse Brake System: FRONT:ABS-EBD Front Disk Brake Seating Capacity:3 Tires/Wheels:4+1/195 R15 Overall Dimension (LxWxH):5,320 x 1695 x 2240 m</t>
  </si>
  <si>
    <t xml:space="preserve"> Republic of the Philippines Province of Negros Occidental Municipality of San Enrique BILL OF QUANTITY Project  Name	 	:	Construction of Box Culvert Location		:	Brgy. Batuan, San Enrique, Neg. Occ. Approved Budget Cost	:	 P 800,000.00  Scope of Work		:	Re</t>
  </si>
  <si>
    <t xml:space="preserve"> SPECIFICATIONS: Dimensions (mm): 6,990 Wheel Base: Overall Height:2,600 Overall Width: 2.035 Weight:Seat Capacity: 30 Engine: 16-Valve OHV,Gear Drive, Diesel Number of Cylinder: 4 in-line Max. Power/Torque (ps/kg.m): 353Nm/1600rmm Displacement: 4009 Trans</t>
  </si>
  <si>
    <t xml:space="preserve"> Please see attached documents. Thanks!</t>
  </si>
  <si>
    <t xml:space="preserve"> Purchase of 2,600 Bags of Syntethic Fertilizers to be distributed to the farmers of Porac, Pampanga</t>
  </si>
  <si>
    <t xml:space="preserve"> National Museum of the Philippines Old Congress Building, Padre Burgos Street, Manila  INVITATION TO BID The NATIONAL MUSEUM OF THE PHILIPPINES, through the Government of the Philippines (GOP), intends to apply the sum of Ten Million Pesos (Php 10,000,000</t>
  </si>
  <si>
    <t xml:space="preserve"> Specifications: Displacement: 2,755cc Engine Size: 2.8L Number of valves: 16 Number of Cylinders: 4 Transmission Category: 6-Speed Manual (Dash-Mounted) Fuel Type: Diesel Fuel Capacity: 70 liters Power Train: Real-Wheel Drive Length: 5,265 mm Width: 1950 </t>
  </si>
  <si>
    <t xml:space="preserve"> The Local Government Unit of Science City of Muñoz, through the Performance Challenge Fund (PCF) of Department of Interior and Local Government intends to apply the sum of Three Million Five Hundred Thousand Pesos (Php 3,500,000.00) being the Approved Bud</t>
  </si>
  <si>
    <t xml:space="preserve"> a. Contract ID No:	20P00036     Contract Name:	LOCAL PROGRAM - Construction / Repair / Rehabilitation / Improvement of Various Infrastructure Including Local Projects – Local Roads and Bridges – Local Bridges - Construction of Poblacion Luba Bridge, Luba,</t>
  </si>
  <si>
    <t xml:space="preserve"> Construction of 310 Lm x 0.60m covered canal with manhole</t>
  </si>
  <si>
    <t xml:space="preserve"> Republic of the Philippines Province of Agusan del Sur Municipality of Trento BIDS &amp; AWARDS COMMITTEE INVITATION TO BID FOR  Supply/Delivery of One (1) Unit Brand New Rescue Vehicle 1.	The Local Government Unit of Trento through the MDRRM Fund 2020  inten</t>
  </si>
  <si>
    <t xml:space="preserve"> Rehabilitation of 100.0 L.m. x 6.0 m x 0.23 m thick concrete pavement with 587.10 square meter shoulder in both side</t>
  </si>
  <si>
    <t xml:space="preserve"> Construction of 30.0m w x 15.0m L Multi-Purpose Building (Gym type).</t>
  </si>
  <si>
    <t xml:space="preserve"> INVITATION TO BID The Department of Public Works and Highways - Pampanga 1st District Engineering Office, through its Bids and Awards Committee (BAC), invites contractors to submit bids for the following Contract: 1.	 Procurement ID/Contract ID	:	20CG0130</t>
  </si>
  <si>
    <t xml:space="preserve"> Construction / Completion of 24.0m x 24.0m of Calapan City Health Office</t>
  </si>
  <si>
    <t xml:space="preserve"> Name of the Procuring Entity: Department of Health Name of the Project: Procurement of Service Provider for Repair and Rehabilitation of Vertical Turbine Pump SVP No. 2020-024		 _____________________________                 Name of Company _______________</t>
  </si>
  <si>
    <t xml:space="preserve"> d. Contract ID No:	20P00039     Contract Name:	LOCAL PROGRAM – Local Infrastructure Program – Local Roads and Bridges - Local Bridges – Construction of Bridge Across Tumbal River Connecting Luba to Manabo, Abra      Contract Location:	Luba, Abra     Appro</t>
  </si>
  <si>
    <t xml:space="preserve"> INVITATION TO BID NO. 2020-05-0011 PROCUREMENT OF LABORATORY EQUIPMENT OF CAPSU RDE-CSRDC 1.	The Capiz State University, through the Trust Fund - 2020 intends to apply the sum of Four Million Two Hundred Thousand Pesos (Php4,200,000.00) being the Approved</t>
  </si>
  <si>
    <t xml:space="preserve"> INVITATION TO BID A.	The DPWH, Negros Oriental 1st District Engineering Office, Tinaogan, Bindoy, Negros Oriental now invites contractors to apply to bid for the contract(s); Contract ID # 		20HJ0117 Contract Name 	Repair/Maintenance of DPWH Building Quar</t>
  </si>
  <si>
    <t xml:space="preserve"> Request for Quotation The Bureau of Fisheries and Aquatic Resources, Regional Office No. 5, Fabrica, Bula, Camarines Sur is requesting from prospective suppliers to submit quotation for the Supply and Delivery of Commercial Feeds for Bangus (Sinking Type)</t>
  </si>
  <si>
    <t xml:space="preserve"> For the use of Guba Community Hospital.</t>
  </si>
  <si>
    <t xml:space="preserve"> The DPWH Neg. Occ. 4th District Engineering Office, Bago City, Neg. Occ., through its Bids and Awards Committee (BAC), is inviting interested Consultants to apply for eligibility and shortlisting and, if found eligible and shortlisted to bid for the hereu</t>
  </si>
  <si>
    <t xml:space="preserve"> Procurement of Printing Services 3,300	Sq. ft	Printing of tarpaulin with the following specifications: Assorted sizes of tarpaulins Heavy duty with borders and eyelets For DA-WV programs, projects, promotions and activities PR# 2020-771</t>
  </si>
  <si>
    <t xml:space="preserve"> EARTHWORKS CONCRETE WORKS RSB WORKS MASONRY WORKS FORMWORKS PLUMBING WORKS</t>
  </si>
  <si>
    <t xml:space="preserve"> Republic of the Philippines City of Dapitan BIDS AND AWARDS COMMITTEE INVITATION TO BID May 18, 2020 	 The City Government of Dapitan, through its Bids and Awards Committee (BAC), invites interested parties to apply for eligibility and, if found eligible,</t>
  </si>
  <si>
    <t xml:space="preserve"> REPUBLIC OF THE PHILIPPINES MANOLO FORTICH WATER DISTRICT A.Ditona Street, Tankulan, Manolo Fortich, Bukidnon Tel. No. 09176771080, Email Add.: mfwd_buk@yahoo.com Water is Life. Conserve Water. Preserve Life INVITATION TO BID FOR THE PROCUREMENT OF VARIOU</t>
  </si>
  <si>
    <t xml:space="preserve"> DEMOLITION WORKS MASONRY WORKS CONCRETE WORKS PLASTERING WORKS DOORS &amp; WINDOWS CEILING WORKS PAINTING WORKS TINNERY WORKS CARPENTRY WORKS ELECTRICAL WORKS</t>
  </si>
  <si>
    <t xml:space="preserve"> INVITATION TO BID  PROCUREMENT OF SERVICES AND MATERIALS FOR THREE (3) EXPLORATORY/PRODUCTION WELLS AND RELATED PUMPING AND STORAGE FACILITIES 1.	The LOCAL WATER UTILITIES ADMINISTRATION has received a Loan from the Asian Development Bank toward the cost </t>
  </si>
  <si>
    <t xml:space="preserve"> INVITATION TO BID FOR HIRING OF SERVICE PROVIDER FOR CUSTOMS BROKERAGE AND CARGO HAULING SERVICES FOR FY 2020 — ITB NO. GOP/20-DSWD-032 — (PR NO. 2019121832) 1.	The Department of Social Welfare and Development (DSWD) – National Resource and Logistics Mana</t>
  </si>
  <si>
    <t xml:space="preserve"> Republic of the Philippines Province of Nueva Vizcaya BIDS AND AWARDS COMMITTEE (BAC-Goods) BAC OFFICE, Provincial Capitol, Bayombong, Nueva Vizcaya 	 REQUEST FOR QUOTATION (RFQ)  For the Procurement 108 pcs Curriculum Guide – Learning Resource Package No</t>
  </si>
  <si>
    <t xml:space="preserve"> Lot 1: One (1) Lot Application of Polyurethane Foam on all BSP Buildings of BSP Cebu RO (see attached Scope of Work and Specifications)                                                                Lot 2: One (1) Lot Application of Polyurethane Foam Insu</t>
  </si>
  <si>
    <t xml:space="preserve"> Lot 1: One (1) Unit Motor Vehicle for BSP Bacolod Branch, as per attached specifications Lot 2: One (1) Unit Motor Vehicle for BSP Dumaguete Branch, as per attached specifications Lot 3: One (1) Unit Motor Vehicle for BSP Iloilo Branch, as per attached sp</t>
  </si>
  <si>
    <t xml:space="preserve"> 2 unit, Infant Weighing Scale Mechanical - material ABS, metal - scale up to 20kgs in 100 grams increment - removable weighing tray to safety keep bay in place</t>
  </si>
  <si>
    <t xml:space="preserve"> Procurement of supply and delivery of flower inducer 143	Bag	Flower Inducer Potassium Nitrate, 25kg/bag To be delivered at DA Crops Division PR# 2020-872</t>
  </si>
  <si>
    <t xml:space="preserve"> Republic of the Philippines Philippine Rural Development Project Province of Negros Occidental Invitation to Bid for the Construction of Building of the Muscovado Production and Marketing Enterprise Identification No.: PRDP-IR-R006-NOC-008-000-000-2017-R3</t>
  </si>
  <si>
    <t xml:space="preserve"> IMPROVEMENT OF ALLIG FMR @ BANGSIL-COLUMNA SECTION IMPROVEMENT OF ALLIG FMR @ COLUMNA-ARTIZON SECTION IMPROVEMENT OF SAN JOSE FMR</t>
  </si>
  <si>
    <t xml:space="preserve"> Sub-grade preparation(clearing &amp; grubbing), base coarse preparation, PCCP</t>
  </si>
  <si>
    <t xml:space="preserve"> Procurement of supply and delivery of other materials 147	bags	Portland cement, ASTM Type 1 10.5	Cu.m.	Fine agg, washed sand, max size ¼” ø 17.5	Cu.m.	Coarse agg., screened, max size ¾” ø 630	pcs	CHB, 4” thick 21	m	Cyclone wire gausge 10, 2” x 2” x 4ft x </t>
  </si>
  <si>
    <t xml:space="preserve"> Procurement of supply and delivery of other materials 42	bags	Portland cement, ASTM Type 1 3.5	Cu.m.	Fine agg, washed sand, max size ¼” ø 7	Cu.m.	Coarse agg., screened, max size ¾” ø 10.5	kgs	Tie wire, gauge #16 x 53m/kg 378	m	Chicken hexagonal wire mesh,</t>
  </si>
  <si>
    <t xml:space="preserve"> Republic of the Philippines Province of Davao Occidental MUNICIPALITY OF SARANGANI Invitation to Bid CONSTRUCTION OF BOX CULVERT CAMALIG – LAKER BOUNDARY (8000-2-2-11), SARANGANI, DAVAO OCCIDENTAL. The Municipality of Sarangani, through 20% Devt.  Fund fo</t>
  </si>
  <si>
    <t xml:space="preserve"> Procurement of supply and delivery of other materials 20	bags	Portland cement, ASTM Type 1 2	Cu.m.	Fine agg, washed sand, max size ¼” ø 4	Cu.m.	Coarse agg., screened, max size ¾” ø 4	pcs	Deformed steel bars, 12mm ø x 6m, grade 33 66	pcs	Deformed steel bar</t>
  </si>
  <si>
    <t xml:space="preserve"> Republic of the Philippines Province of Davao Occidental MUNICIPALITY OF SARANGANI Invitation to Bid CONCRETE PAVEMENT (ONE LANE) FRONT EVACUATION, MUN. GROUND, MABILA, (8000-2-2-8), SARANGANI, DAVAO OCCIDENTAL. The Municipality of Sarangani, through 20% </t>
  </si>
  <si>
    <t xml:space="preserve"> Republic of the Philippines Province of Davao Occidental MUNICIPALITY OF SARANGANI Invitation to Bid CONCRETE PAVEMENT (ONE LANE) MUN. GROUND, MABILA, (8000-2-2-6), SARANGANI, DAVAO OCCIDENTAL. The Municipality of Sarangani, through 20% Devt.  Fund for Ca</t>
  </si>
  <si>
    <t xml:space="preserve"> Republic of the Philippines Province of Davao Occidental MUNICIPALITY OF SARANGANI Invitation to Bid CONCRETE PAVEMENT (ONE LANE) FRONT KASFALA HALL, MUN. GROUND, MABILA, (8000-2-2-7), SARANGANI, DAVAO OCCIDENTAL. The Municipality of Sarangani, through 20</t>
  </si>
  <si>
    <t xml:space="preserve"> Request for Proposal  The Bureau of Fisheries and Aquatic Resources Regional Office No. 5 (BFAR RO 5), Fabrica, Bula, Camarines Sur is requesting from prospective suppliers to submit written proposal for the Supply and Delivery of Seaweed Propagules/Seedl</t>
  </si>
  <si>
    <t xml:space="preserve"> Republic of the Philippines Province of Davao Occidental MUNICIPALITY OF SARANGANI Invitation to Bid ROAD CONCRETING ESPAÑA St. MABILA, (8000-2-2-5), SARANGANI, DAVAO OCCIDENTAL. The Municipality of Sarangani, through 20% Devt.  Fund  for Calendar Year 20</t>
  </si>
  <si>
    <t xml:space="preserve"> Republic of the Philippines PROVINCE OF ZAMBOANGA SIBUGAY Municipality of Mabuhay OFFICE OF THE BAC CHAIRMAN INVITATION TO BID                                                                                                                      May 15, 202</t>
  </si>
  <si>
    <t xml:space="preserve"> Procurement ID/Contract I.D.: 20CN0081 Contract Name: Completion of Multi-Purpose Convention Center Phase 2 Contract Location: Brgy. Reserva, Baler, Aurora Brief Description: Civil, Mechanical, Electrical and Sanitary/Plumbing Works; Earthworks, Plain Rei</t>
  </si>
  <si>
    <t xml:space="preserve"> Repair/Rehabilitation of the Municipal Hall</t>
  </si>
  <si>
    <t xml:space="preserve"> The DPWH – Bulacan First District Engineering Office, through its Bids and Awards Committee (BAC), invites contractors to submit bids for the following Contract: Contract ID: 20CC0214 Contract Name: Construction of Bridge, Brgy. Bonga Menor Contract Locat</t>
  </si>
  <si>
    <t xml:space="preserve"> see attached bid docs</t>
  </si>
  <si>
    <t xml:space="preserve"> Procurement ID/Contract I.D.: 20CN0102 Contract Name: Construction of Sanitary Landfill (Phase 1) Contract Location: Baler, Aurora Brief Description: Earthworks, Subbase and Base Course, Surface Courses, Bridge Construction, Drainage and Slope Protection </t>
  </si>
  <si>
    <t xml:space="preserve"> Republic of the Philippines Province of Davao Occidental MUNICIPALITY OF SARANGANI Invitation to Bid ROAD CONCRETING (Double Lane) MATUTE DIANTAN ST. (8000-2-2-13), MABILA, SARANGANI, DAVAO OCCIDENTAL. The Municipality of Sarangani, through 20% Devt.  Fun</t>
  </si>
  <si>
    <t xml:space="preserve"> Republic of the Philippines                   Department of Health	       CENTRAL OFFICE BIDS AND AWARDS COMMITTEE  INVITATION TO BID FOR  PROCUREMENT OF NEXT GENERATION PRIVILEGED ACCOUNT MANAGEMENT IN DOH DATA CENTER IB NO. 2020-205 1.	The Department of</t>
  </si>
  <si>
    <t xml:space="preserve"> 1.	The NATIONAL FOOD AUTHORITY (NFA) Central Luzon Regional Office intends to apply the sum of ONE HUNDRED SEVENTEEN MILLION ONE HUNDRED FORTY ONE THOUSAND EIGHTY SIX PESOS and 95/10 (P117,141,086.95) inclusive of VAT and Social Benefits, (Pag-ibig, PHILH</t>
  </si>
  <si>
    <t xml:space="preserve"> 1	The DPWH, ZN 3rd Engineering District, Segabe, Piñan, Zamboanga del Norte, through the CY 2020 PDE Funds intends to apply the sum of ONE MILLION ONE HUNDRED NINETY NINE THOUSAND SEVEN HUNDRED NINETY TWO PESOS AND SEVENTY SEVEN CENTAVOS (Php 1,199,792.77</t>
  </si>
  <si>
    <t xml:space="preserve"> Kindly provide your quotations on the listed item/s below: Unit 	Item Description	                                               Quantity 		 unit	Floor Polisher, 16"	                                                   1 unit	Washing Machine, 16/18/19/22kg,</t>
  </si>
  <si>
    <t xml:space="preserve"> 1	The DPWH, ZN 3rd Engineering District, Segabe, Piñan, Zamboanga del Norte, through the CY 2020 PDE Funds intends to apply the sum of FOUR HUNDRED TWENTY FOUR THOUSAND SEVEN HUNDRED SIXTY NINE PESOS AND THIRTY NINE CENTAVOS (Php 424,769.39) being the App</t>
  </si>
  <si>
    <t xml:space="preserve"> REQUEST FOR QUOTATION Date	:	May 11, 2020 Project Title	:	PROCUREMENT OF EMERGENCY MEDICAL SERVICES (EMS) FOR ONE (1) UNIT  WITH THREE (3) MANNED CREW ITB No.             	:	FB20-03-006COR Approved Budget for the Contract (ABC)	:	Three      Million      S</t>
  </si>
  <si>
    <t xml:space="preserve"> INVITATION TO BID 1)	The DPWH- Davao City District Engineering Office through its Bids and Awards Committee (BAC), invites contractors to submit bids for the following contract; 1. Procurement ID /          Contract ID No.	:	20LB0222     Contract Name	:	C</t>
  </si>
  <si>
    <t xml:space="preserve"> Procurement ID/Contract I.D.: 20CN0116 Contract Name: Construction of Water System Contract Location: Brgy. Villa, Maria Aurora, Aurora Brief Description: Earthwork, Surface Courses, Civil, Mechanical, Electrical and Sanitary/Plumbing Works; Earthwork, Pl</t>
  </si>
  <si>
    <t xml:space="preserve"> PNOC Exploration Corporation (PNOC EC), through its Bids and Awards Committee (BAC), invites bidders to apply for eligibility and to bid for the hereunder project:                                    Project Name : Supply and Delivery of Materials, Labor, </t>
  </si>
  <si>
    <t xml:space="preserve"> INVITATION TO BID FOR SUPPLY AND DELIVERY OF MOTOR VEHICLES FOR DSWD CENTRAL OFFICE —  ITB NO. GOP/20-DSWD-019-A — (PR NO. 2019111783) 1. The Department of Social Welfare and Development (DSWD), through the DSWD Funds, intends to apply the sum of Fifteen </t>
  </si>
  <si>
    <t xml:space="preserve"> Procurement ID/Contract I.D.: 20CN0134 Contract Name: Concreting of Road Contract Location: Brgy. Ibona, Dingalan, Aurora Brief Description: Earthworks, Subbase and Base Course, Surface Courses, Drainage and Slope Protection Structures Approved Budget for</t>
  </si>
  <si>
    <t xml:space="preserve"> CONSTRUCTION OF WATER TANK WITH AN AREA OF 3MX3M AND SUPPLY AND DELIVERY OF CONST. MATERIALS</t>
  </si>
  <si>
    <t xml:space="preserve"> SUPPLY AND DELIVERY/PURCHASE OF TOILET BOWL</t>
  </si>
  <si>
    <t xml:space="preserve"> INVITATION TO BID 1)	The DPWH- Davao City District Engineering Office through its Bids and Awards Committee (BAC), invites contractors to submit bids for the following contract; 1. Procurement ID /          Contract ID No.	:	20LB0155     Contract Name	:	C</t>
  </si>
  <si>
    <t xml:space="preserve"> INVITATION TO BID FOR PROVISION OF MULTI-YEAR CONTRACT FOR THE HIRING OF COURIER/FORWARDING SERVICE PROVIDER                                  FOR CY 2020-2022 —  ITB NO. GOP/20-DSWD-030— (PR NO. 01-20001-PR-2020-04-00044 &amp; 2020036113) 1.	The Department of</t>
  </si>
  <si>
    <t xml:space="preserve"> Procurement of supply and delivery of farm chemicals 2	Bottle	Ethylene diamine tetra acetic acid (Na2EDTA.2H20) 3	Bottle	Potassium nitrate, 1kg/bot, AR 4	Bottle	Ammonium nitrate, 1kg/bot, AR 3	Bottle	Calcium chloride dehydrate, 500g/bot,AR 3	Bottle	Magnes</t>
  </si>
  <si>
    <t xml:space="preserve"> SUPPLY AND DELIVERY OF 6”Ø AND 4”Ø FLOW METERS (GOODS-2020-013) 	 1.	The Government of the Philippines, through the Puerto Princesa City Water District  intends to apply the sum of One Million Two Hundred Thousand Pesos (1,200,000.00) for the Contract (AB</t>
  </si>
  <si>
    <t xml:space="preserve"> Please see attached Bidding Documents and Invitation to Bid in the Associated Components. Lot 1 - Polo Shirts and Bags Lot 2 - Customized/Souvenir Items Lot 3 - Reproduction of Primer, Comics, Manuals, Training Workbook, and Administrative Forms Lot 4 - T</t>
  </si>
  <si>
    <t xml:space="preserve"> Republic of the Philippines Department of Health	 CENTRAL OFFICE BIDS AND AWARDS COMMITTEE  INVITATION TO BID   PROCUREMENT OF STRUCTURED LOCAL AREA NETWORKING (LAN) CABLING FOR TREATMENT REHABILITATION CENTER (TRC) PHASE 2 IB NO. 2020-202 1.	The Departme</t>
  </si>
  <si>
    <t xml:space="preserve"> Swimming Pool ( Inner Walls and Floor) 525	sq.m	Pool Area(Including surface preparation) 480	sq.m	Deck Area (Including surface preparation) 51	gals	Liquid Tiles Primer 32	gals	Liquid Tiles Reducer 80	gals	Liquid Tiles paint w/reducer 15	gals	Paint Remover</t>
  </si>
  <si>
    <t xml:space="preserve"> Request for Quotation The Bureau of Fisheries and Aquatic Resources, Regional Office No. 5, Fabrica, Bula, Camarines Sur is requesting from prospective suppliers to submit quotation for the Supply and Delivery of Fiberglass Reinforce Plastic Boat Material</t>
  </si>
  <si>
    <t xml:space="preserve"> SUPPLY AND DELIVERY OF DISTRIBUTION AND DRY-TYPE TRANSFORMERS (GOODS-2020-011) 1.	The Government of the Philippines, through the Puerto Princesa City Water District intends to apply the sum of One Million Forty-Nine Thousand Three Hundred Seventy-Nine Pes</t>
  </si>
  <si>
    <t xml:space="preserve"> INVITATION TO BID The DPWH-Regional Office No. III,  through  its  Bids  and  Awards  Committee  (BAC),  invites contractors to submit bids for the following Contracts below:   Procurement ID/Contract ID:    20C00042 Contract Name:      Local Program-Cons</t>
  </si>
  <si>
    <t xml:space="preserve"> Procurement of supply and delivery farm supplies 100	sacks	Vermicast, 50kgs/sack 10	packs	Fungicide w/ anti-bacterial effect (500gms/pack) 10	bottle	Lambdacyhalothrin, 1 liter/bottle 100	packs	Carbaryl, 50g/pack 6	bottles	Foliar Fertlizer, 1 litter/bottle</t>
  </si>
  <si>
    <t xml:space="preserve"> WIDENING OF ACUTE ANGLE, W=MORE OR LESS 4M EARTH FILL WIDE</t>
  </si>
  <si>
    <t xml:space="preserve"> SUPPLY, DELIVERY, INSTALLATION, TESTING AND COMMISSIONING OF SUBMERSIBLE PUMP AND MOTOR ASSEMBLY AND DUAL MOTOR CONTROL (GOODS-2020-009) 1.	The Government of the Philippines, through the Puerto Princesa City Water District  intends to apply the sum of Fou</t>
  </si>
  <si>
    <t xml:space="preserve"> INVITATION TO BID The DPWH Regional Office IX, Veterans Avenue Extension, Tetuan, Zamboanga City, through its Bids and Awards Committee (BAC), invites contractors to submit bids for the following Contract: Contract ID	:	20J00171 Contract Name	:	Constructi</t>
  </si>
  <si>
    <t xml:space="preserve"> REQUEST FOR EXPRESSION OF INTEREST FOR THE  Procurement of Consulting Services of a Media Planning and Placement Agency for the Philippine Tourism Branding for Opportunity and Emerging Markets  1.	The Department of Tourism (DOT), through the General Appro</t>
  </si>
  <si>
    <t xml:space="preserve"> SUPPLY AND DELIVERY OF VALVES, RUBBER EXPANSION JOINT, AND PRESSURE GAUGE (GOODS-2020-006) 1.	The Government of the Philippines, through the Puerto Princesa City Water District  intends to apply the sum of  Three Million Seven Hundred Seventy Thousand Thr</t>
  </si>
  <si>
    <t xml:space="preserve"> SUPPLY AND DELIVERY OF MATERIALS AND FITTINGS (GOODS-2020-005) 1.	The Government of the Philippines, through the Puerto Princesa City Water District  intends to apply the sum of Three Million One Hundred Seventy-Five Thousand Two Hundred Sixty-Five Pesos </t>
  </si>
  <si>
    <t xml:space="preserve"> Department of Public Works and Highways OFFICE OF THE REGIONAL DIRECTOR DPWH Regional Office VII South Road Properties, Cebu City  Request for Expression of Interest for the Procurement of  Consultancy Services for the Detailed Engineering Design (DED) Ac</t>
  </si>
  <si>
    <t xml:space="preserve"> Republic of the Philippines Department of Health	 CENTRAL OFFICE BIDS AND AWARDS COMMITTEE  INVITATION TO BID  PROCUREMENT OF HEALTH COMMUNICATION SOLUTIONS  IB NO. 2020-203 1.	The Department of Health (DOH), through the General Appropriation Act (GAA) of</t>
  </si>
  <si>
    <t xml:space="preserve"> 1. Pre-procurement	May 7, 2020 2. Advertisement/Posting of IBEI	May 8-14, 2020 3.  Eligibility Check	May 15-16, 2020 4. Issuance and availability of Bidding Documents	May 18-June 1, 2020 5. Pre-Bid Conference 	May 19, 2020 6. Submission and Opening of Bid</t>
  </si>
  <si>
    <t xml:space="preserve"> SUPPLY, DELIVERY, TESTING AND COMMISSIONING OF ON-LINE MULTI-PARAMETER ANALYZER AND WATER LEVEL SENSOR (GOODS-2020-010) 	 1.	The Government of the Philippines, through the Puerto Princesa City Water District  intends to apply the sum of One Million Four H</t>
  </si>
  <si>
    <t xml:space="preserve"> REQUEST FOR EXPRESSION OF INTEREST FOR THE  Procurement of Consulting Services of an Agency for Public Relations  1.	The Department of Tourism (DOT), through the General Appropriations Act 2020 intends to apply the sum of Twenty-Eight Million Eight Hundre</t>
  </si>
  <si>
    <t xml:space="preserve"> Republic of the Philippines                   Department of Health	       CENTRAL OFFICE BIDS AND AWARDS COMMITTEE  INVITATION TO BID FOR  PROCUREMENT OF MULTI-FUNCTION LASERJET PRINTER IB NO. 2020-198 1.	The Department of Health (DOH), through the Genera</t>
  </si>
  <si>
    <t xml:space="preserve"> Department of Public Works and Highways OFFICE OF THE REGIONAL DIRECTOR DPWH Regional Office VII South Road Properties, Cebu City  Request for Expression of Interest for the Procurement of Consultancy Services for the Detailed Engineering Design (DED) Act</t>
  </si>
  <si>
    <t xml:space="preserve"> 1000 pcs, Water for Inhalation Set, capacity of at least 300-500cc</t>
  </si>
  <si>
    <t xml:space="preserve"> 20 pcs, Video Laryngoscope Channeled Blade, size 1, disposable - material: polycarbonate thermoplastic polyurethane elastomer 20 pcs, Video Laryngoscope Channeled Blade, size 2, disposable - material: polycarbonate thermoplastic polyurethane elastomer 20 </t>
  </si>
  <si>
    <t xml:space="preserve"> 1.	The Philippine Health Insurance Corporation, through the Corporate Operating Budget of CY 2020 intends to apply the sum of Fourteen Million Four Hundred Fifty Eight Pesos Three Hundred Thirty Three Pesos and Fifty Centavos (PhP14,458,333.50) for the fi</t>
  </si>
  <si>
    <t xml:space="preserve"> INVITATION TO BID FOR THE  SUPPLY AND DELIVERY OF MATERIALS, RETROFITTING AND INSTALLATION OF  TELESCOPIC BOOM ASSEMBLY FOR FUSO FIGHTER TRUCK 1.	The Metropolitan Tuguegarao Water District through the Corporate Budget for the Year 2020  intends to apply t</t>
  </si>
  <si>
    <t xml:space="preserve"> REFURBISHING OF 5 UNITS CR @ A6 SCOPE OF WORKS 1.MOBILIZATION OF MATERIALS AND SITE PREPARATION. 2. CLEARING THE UNNECESSARY OBJECTS OF THE SITE. 3. INSTALLATION OF FINISHING MATERIALS (CEILINGS,FLOORS,WALLS,DOORS,EXHAUST FAN, HANGING CABINETS, FAUCETS, H</t>
  </si>
  <si>
    <t xml:space="preserve"> INVITATION TO BID FOR THE  SUPPLY AND DELIVERY OF BRASS ANGLE VALVE 1.	The Metropolitan Tuguegarao Water District through the Corporate Budget for the Year 2020  intends to apply the sum of One Million One Hundred Thousand Pesos (P 1,100,000.00) being the</t>
  </si>
  <si>
    <t xml:space="preserve"> Office Modular Partition (Cubicle) 5cm partition panel half glass with wire trunking, Panel Height: 150cm, Panel Thickness: 5cm, Glass Height: 30cm, Color: Blue Composition: H150cm x W120cm H150cm x W45cm Training Table W120cm x D45cm Office Modular Parti</t>
  </si>
  <si>
    <t xml:space="preserve"> Section I. Invitation to Bid SUPPLY OF MATERIALS, LABOR AND EQUIPMENT FOR THE DRILLING OF PILOT TEST/PRODUCTION WELL NO. 3 AT BRGY. LARION BAJO, TUGUEGARAO CITY (RE-BIDDING) 1.	The Metropolitan Tuguegarao Water District, through the Corporate Budget for t</t>
  </si>
  <si>
    <t xml:space="preserve"> Rehabilitation of Public Market</t>
  </si>
  <si>
    <t xml:space="preserve"> INVITATION TO BID FOR THE  SUPPLY AND DELIVERY OF ONE (1) UNIT DRY BATH INCUBATOR WITH AUTOMATIC CONTROL UNIT AND ONE (1) UNIT COLIFORM WATER BATH WITH COVER (RE-BIDDING) 1.	The Metropolitan Tuguegarao Water District through the Corporate Budget for the Y</t>
  </si>
  <si>
    <t xml:space="preserve"> INVITATION TO BID FOR THE  SUPPLY AND DELIVERY OF MECHANICAL DI GATE VALVE 1.	The Metropolitan Tuguegarao Water District through the Corporate Budget for the Year 2020  intends to apply the sum of Six Million Two Hundred Thousand Pesos (P 6,200,000.00) be</t>
  </si>
  <si>
    <t xml:space="preserve"> Republic of the Philippines Department of Health	 CENTRAL OFFICE BIDS AND AWARDS COMMITTEE  INVITATION TO BID  PROCUREMENT OF EXPANSION OF CLOUD BASED CENTRALIZED WIRELESS LOCAL AREA NETWORK INFRASTRUCTURE  IB NO. 2020-201 1.	The Department of Health (DOH</t>
  </si>
  <si>
    <t xml:space="preserve"> INVITATION TO BID: BID REF. NO.: 2020-07-A (Re-bidding) “SUPPLY AND DELIVERY OF FLEET FUEL CARDS FOR DIESEL, GASOLINE, OIL, LUBRICANTS AND OTHER SERVICES FOR BFAR CENTRAL OFFICE AND NATIONAL CENTERS.” 1.	The Bureau of Fisheries and Aquatic Resources (BFAR</t>
  </si>
  <si>
    <t xml:space="preserve"> Invitation to Bid for Project No.: ITB 2020-Infra-002 1.	The Department of Education (DepEd) Division of Calamba City, intends to apply the sum of Two million six hundred six thousand nine hundred fifty-one pesos &amp; 31/100 only (Php.2,606,951.31) being the</t>
  </si>
  <si>
    <t xml:space="preserve"> The Department of Tourism - Region VIII (Eastern Visayas) seeks to procure marketing consultancy firm services to produce Regional Tourism Marketing Collaterals highlighting the sustainable community-based ecotourism sites, cultural and culinary product o</t>
  </si>
  <si>
    <t xml:space="preserve"> INVITATION TO BID The __DEPARTMENT OF PUBLIC WORKS AND HIGHWAYS - DISTRICT ENGINEER’S OFFICE ZAMBOANGA CITY__, through its Bids and Awards Committee (BAC), invites contractors to submit bids for the following Contract: Contract ID: 20JA0075 Contract Name:</t>
  </si>
  <si>
    <t xml:space="preserve"> Invitation to Bid for Project No.: ITB 2020-Infra-001 1.	The Department of Education (DepEd) Division of Calamba City, intends to apply the sum of Three million twenty-five thousand six hundred fifty-seven pesos &amp; 63/100 only (Php.3,025,657.63) being the </t>
  </si>
  <si>
    <t xml:space="preserve"> Invitation to Bid for Project No.: ITB 2020-Infra-007 1.	The Department of Education (DepEd) Division of Calamba City, intends to apply the sum of One million one hundred eighty-seven thousand eight hundred forty-nine pesos &amp; 29/100 only (Php.1,187,849.29</t>
  </si>
  <si>
    <t xml:space="preserve"> Good day, Please quote your lowest possible bid for the Vacuum Cleaner. Due to the timely situation, you may e-mail your proposals and queries at clarisseannesalenga@dti.gov.ph until April 28, 2020, 10:00 AM. Warm regards and keep safe!</t>
  </si>
  <si>
    <t xml:space="preserve"> Republic of the Philippines Department of Health WESTERN VISAYAS SANITARIUM Santa Barbara, Iloilo INVITATION TO BID FOR Procurement of Various Hospital Equipment IB No. 2020-04-009-G The Western Visayas Sanitarium, through its Bids and Awards Committee (B</t>
  </si>
  <si>
    <t xml:space="preserve"> Location : Legazpi City, Albay Scope of Work : Asphalt Overlay of 0.45 Km Road with Reflectorized Thermoplastic Pavement Markings including Reblocking of PCCP on Intermittent Section</t>
  </si>
  <si>
    <t xml:space="preserve"> Invitation to Bid for Project No.: ITB 2020-Infra-005 1.	The Department of Education (DepEd) Division of Calamba City, intends to apply the sum of One million three hundred twenty-nine thousand four hundred twenty-eight pesos &amp; 01/100 only (Php.1,329,428.</t>
  </si>
  <si>
    <t xml:space="preserve"> Request for Proposal  The Bureau of Fisheries and Aquatic Resources Regional Office No. 5 (BFAR RO 5), Fabrica, Bula, Camarines Sur is requesting from prospective suppliers to submit written proposal for the Supply and Delivery of Bangus Fry at BFAR-MAP, </t>
  </si>
  <si>
    <t xml:space="preserve"> Request for Quotation The Bureau of Fisheries and Aquatic Resources, Regional Office No. 5, Fabrica, Bula, Camarines Sur is requesting from prospective suppliers to submit quotation for the Supply and Delivery of Hardware Materials intended for the Operat</t>
  </si>
  <si>
    <t xml:space="preserve"> Invitation to Bid for Project No.: ITB 2020-Infra-003 1.	The Department of Education (DepEd) Division of Calamba City, intends to apply the sum of Two million three hundred forty thousand eight hundred one pesos &amp; 68/100 only (Php.2,340,801.68) being the </t>
  </si>
  <si>
    <t xml:space="preserve"> Location : Legazpi, Albay Scope of Work : Asphalt Overlay of 0.30 Km. Road with Reflectorized Thermoplastic Pavement Markings including Reblocking of PCCP on Intermittent Section</t>
  </si>
  <si>
    <t xml:space="preserve"> Invitation to Bid for Project No.: ITB 2020-Infra-004 1.	The Department of Education (DepEd) Division of Calamba City, intends to apply the sum of One million one hundred fourteen thousand seven hundred ninety-three pesos &amp; 99/100 only (Php.1,114,793.99) </t>
  </si>
  <si>
    <t xml:space="preserve"> INVITATION TO BID 1)	The DPWH- Davao City District Engineering Office through its Bids and Awards Committee (BAC), invites contractors to submit bids for the following contract; 1. Procurement ID /          Contract ID No.	:	20LB0160     Contract Name	:	C</t>
  </si>
  <si>
    <t xml:space="preserve"> Invitation to Bid for Project No.: ITB 2020-Infra-006 1.	The Department of Education (DepEd) Division of Calamba City, intends to apply the sum of Two million seven hundred eighty-seven thousand seven hundred fifty-six pesos &amp; 08/100 only (Php.2,787,756.0</t>
  </si>
  <si>
    <t xml:space="preserve"> INVITATION TO BID 1)	The DPWH- Davao City District Engineering Office through its Bids and Awards Committee (BAC), invites contractors to submit bids for the following contract; 1. Procurement ID /          Contract ID No.	:	20LB0237     Contract Name	:	C</t>
  </si>
  <si>
    <t xml:space="preserve"> ITEM NO.	DESCRIPTION	UNIT	QUANTITY A.1.1(10)	PROVISION OF LIVING QUARTER FOR THE ENGINEER (RENTAL BASIS)	MO.	2.27 B.4(1)	CONSTRUCTION SURVEY AND STAKING	KM.	0.36 B.5	PROJECT BILLBOARD	EACH	4.00 B.7(2)	OCCUPATIONAL SAFETY AND HEALTH PROGRAM	L.S.	1.00 B.8(1</t>
  </si>
  <si>
    <t xml:space="preserve"> Construction of Multi-Purpose Building includes Civil, Mechanical, Electrical, and Sanitary/Plumbing Works; Earthwork; Plain and Reinforced Concrete Work; and Finishings and Other Civil Works; Electrical; Mechanical</t>
  </si>
  <si>
    <t xml:space="preserve"> One (1) unit 3D Handheld Laser Scanner (compliant with specifications attached) and one (1) unit Unmanned Aircraft Vehicle (compliant with specifications attached)</t>
  </si>
  <si>
    <t xml:space="preserve"> Procurement of supply and delivery of various NSIC approve hybrid rice seeds Private Hybrid @18kg/bag 40	bag	NSIC Rc 314H 40	bag	NSIC Rc 322H 20	bag	NSIC Rc 410H PR# 2020-811</t>
  </si>
  <si>
    <t xml:space="preserve"> April 13, 2020 NOTICE TO THE PUBLIC SUBJECT:	POSTPONEMENT OF THE SUBMISSION AND OPENING OF BIDS FOR THE      	             INFRASTRUCTURE PROJECTS AND TRADITIONAL INSTRUMENTS                Pursuant to the Memorandum from the Executive Secretary, issued o</t>
  </si>
  <si>
    <t xml:space="preserve"> Procurement of supply and delivery of agricultural materials 45	pc	Seedling tray (104 holes) 20	pc	Drum (plastic blue, 200L, with DA logo) 10	pc	Sprinkler, Plastic (8L capacity) 10	roll	Cyclone wire (6’high; 6m/roll) 5	roll	Shade net (black, 50% shade, th</t>
  </si>
  <si>
    <t xml:space="preserve"> Procurement of supply and delivery of agricultural supplies 82	kg	Vermi worm 120	bag	Rice bran, 50kg/bag 120	bag	Chicken dung, decomposed, 40kg/bag 		Deliver schedule: 60 calendar days upon receipt of Purchase Order Drop-off Points: San Remigio, Antique P</t>
  </si>
  <si>
    <t xml:space="preserve"> 1.	The Power Sector Assets and Liabilities Management (PSALM) Corporation, through the 2020 Corporate Operating Budget (for the portion of the Contract to be performed in 2020) and 2021 Corporate Operating Budget (for the portion of the Contract to be per</t>
  </si>
  <si>
    <t xml:space="preserve"> Procurement of supply and delivery of various inorganic fertilizers  200	bag	Urea (46-0-0) with zinc 800	bag	Complete fertilizer (NPK) 		Delivery Schedule: 60 days upon receipt of Purchase Order Drop-off point: WESVIARC Hamungaya, Buntatala, Jaro, Iloilo </t>
  </si>
  <si>
    <t xml:space="preserve"> Invitation to Bid For One (1) Lot Supply, Delivery, Installation, Testing and Commissioning of Variable Refrigerant Flow (VRF) Air-Conditioning Units at LANDBANK Sta. Cruz Office Building 1.	The LAND BANK OF THE PHILIPPINES (LANDBANK), through its Corpora</t>
  </si>
  <si>
    <t xml:space="preserve"> RFQ-GS-20200406-01 Interested Suppliers are invited to submit Sealed Price Quotation for the above listed item. The official LANDBANK Request for Quotation Form may be obtained from MS. LUBELLE LUMABAS, 25th Floor, Procurement Department, LANDBANK Plaza B</t>
  </si>
  <si>
    <t xml:space="preserve"> Invitation to Bid for Construction of 3 Storey City Hall Annex Building   City Hall Compound,  Brgy. Washington, Surigao City ITB No. 062-Infra-2020    1.	The City Government of Surigao, intends to apply the sum of   Seventy five Million Two Hundred Fifty</t>
  </si>
  <si>
    <t xml:space="preserve"> Invitation to Bid For   Supply and Delivery of 4,300 pieces Ribbon for EPSON Printer FX2190 and 440 pieces  Genuine Burroughs Black Multiline Print Inkjet Cartridge 1.	The LAND BANK OF THE PHILIPPINES (LANDBANK), through its Corporate Budget for the contr</t>
  </si>
  <si>
    <t xml:space="preserve"> 20E00106: Cluster 12- Rehabilitation / Reconstruction of Roads with Slips, Slope Collapse and Landslide along Langogan-Roxas Road Section K0098+160 – K0098+330.00; K0099+480 – K0099+570, K0099+730 – K0099+830.30,Palawan 12.1 Rehabilitation / Reconstructio</t>
  </si>
  <si>
    <t xml:space="preserve"> Invitation to Bid For One (1) Lot Supply and Delivery of 65,500 pcs. EMV VISA Debit Card with Personalization 1.	The LAND BANK OF THE PHILIPPINES (LANDBANK), through its Corporate Budget for the contract approved by the Board of Directors for 2020 intends</t>
  </si>
  <si>
    <t xml:space="preserve"> Procurement of supply and delivery of agricultural materials 20	unit	Wheel barrow, heavy duty, square type, shallow 20	unit	Shovel US Tempered with wooden handle 25	pc	Bolo, steel, at least 18 inches long and 2 inches, width with wooden handle, and case l</t>
  </si>
  <si>
    <t xml:space="preserve"> 20E00105: Cluster 11- Rehabilitation / Reconstruction of Roads with Slips, Slope Collapse and Landslide along San Jose-Port Barton Road Section K0017+000 – K0017+071; K0017+100.00 – K0017+161.80; K0018+307.90 – K0018+427.00, Palawan 11.1 Rehabilitation / </t>
  </si>
  <si>
    <t xml:space="preserve"> 20E00107: Cluster 13- Rehabilitation / Reconstruction of Roads with Slips, Slope Collapse and Landslide along Langogan-Roxas Road Section K0100+310 – K0100+440, K0101+120 – K0101+202.90; K0104+060 – K0104+160,  K0104+560 – K0104+704.10, Palawan 13.1 Rehab</t>
  </si>
  <si>
    <t xml:space="preserve"> Invitation to Bid For Additional License for the Existing Solarwinds Servers, Networks, Database and Application Monitoring Tool 1.	The LAND BANK OF THE PHILIPPINES (LANDBANK), through its Corporate Budget for the contract approved by the Board of Directo</t>
  </si>
  <si>
    <t xml:space="preserve"> 20E00104: Cluster 10- Rehabilitation / Reconstruction of Roads with Slips, Slope Collapse and Landslide along San Jose-Port Barton Road Section K0015+415.00 – K0015+456.80; Section K0015+723.00 – K0015+770.00; K0016+315.00 – K0016+380.10; K0016+770 – K001</t>
  </si>
  <si>
    <t xml:space="preserve"> B.3 	PERMITS AND CLEARANCES 	L.S. 	1.00  B.5 	PROJECT BILLBOARD/SIGNBOARD 	EACH 	2.00  B.7(2) 	OCCUPATIONAL SAFETY AND HEALTH PROGRAM 	L.S. 	1.00  801(1) 	REMOVAL OF STRUCTURES AND OBSTRUCTION 	L.S. 	1.00  803(1)a 	STRUCTURE EXCAVATION (COMMON SOIL) 	CU.M</t>
  </si>
  <si>
    <t xml:space="preserve"> Invitation to Bid For Supply and Delivery of 600 Units Passbook Printer 1.	The LAND BANK OF THE PHILIPPINES (LANDBANK), through its Corporate Budget for the contract approved by the Board of Directors for 2019 intends to apply the total sum of Nine Millio</t>
  </si>
  <si>
    <t xml:space="preserve"> B.3 	PERMITS AND CLEARANCES 	L.S. 	1.00  B.5 	PROJECT BILLBOARD/SIGNBOARD 	EACH 	2.00  B.7(2) 	OCCUPATIONAL SAFETY AND HEALTH PROGRAM 	L.S. 	1.00  800(2) 	CLEARING AND GRUBBING 	L.S. 	1.00  803(1)a 	STRUCTURE EXCAVATION (COMMON SOIL) 	CU.M. 	98.56  804(1)</t>
  </si>
  <si>
    <t xml:space="preserve"> B.3 PERMITS AND CLEARANCES L.S. 1.00 B.5 PROJECT BILLBOARD/SIGNBOARD EACH 2.00 B.7(2) OCCUPATIONAL SAFETY AND HEALTH PROGRAM L.S. 1.00 800(2) CLEARING AND GRUBBING L.S. 1.00 803(1)a STRUCTURE EXCAVATION (COMMON SOIL) CU.M. 290.94 804(1)b EMBANKMENT FROM C</t>
  </si>
  <si>
    <t xml:space="preserve"> INVITATION TO BID FOR THE MCWD LAHUG BULK WATER SUPPLY PROJECT PR No. 27806-001 1.	The Metropolitan Cebu Water District, through the Corporate Budget of 2020 intends to apply the sum of: Approved Budget for  the Contract (ABC) [for three sixty five (365) </t>
  </si>
  <si>
    <t xml:space="preserve"> 20E00103: Cluster 9- Rehabilitation / Reconstruction of Roads with Slips, Slope Collapse and Landslide along San Jose-Port Barton Road Section K0014+118.90 – K0014+200.00; K0014+840 – K0014+921.40; K0015+232 – K0015+291.90; K0015+156.50 – K0015+220.00, Pa</t>
  </si>
  <si>
    <t xml:space="preserve"> 20E00102: Cluster 8- Rehabilitation/Reconstruction of Roads with Slips, Slope Collapse and Landslide along San Jose-Port Barton Road Section K0010+711.40 - K0010+795; K0013+060 – K0013+122.50; K0013+140- K0013+210; K0013+250 – K0013+336.30, Palawan    8.1</t>
  </si>
  <si>
    <t xml:space="preserve"> 20E00108: Cluster 14- Rehabilitation / Reconstruction of Roads with Slips, Slope Collapse and Landslide along Langogan-Roxas Road Section K0104+780 – K0104+860, K0105+180 – K0105+282; K0105+500.00 – K0105+560.00, Palawan 14.1 Rehabilitation / Reconstructi</t>
  </si>
  <si>
    <t xml:space="preserve"> 1.	The BUREAU OF SOILS AND WATER MANAGEMENT, through the GENERAL APPROPRIATION ACT FOR FY 2020 (REPUBLIC ACT NO. 11260) intends to apply the sum of TWO MILLION FIVE HUNDRED FOUR THOUSAND ONE HUNDRED FIFTY PESOS ONLY (PHP 2,504,150.00) being the Approved B</t>
  </si>
  <si>
    <t xml:space="preserve"> Good day!   We are inviting you to bid your lowest possible price(s). Enclosed herewith is the Request for Quotation form for you to fill out with its corresponding specifications, layout and/or Terms of Reference. In light of the recent situation, you ca</t>
  </si>
  <si>
    <t xml:space="preserve"> BIDS AND AWARDS COMMITTEE – SECURITY PLANT COMPLEX INVITATION TO BID 1.	The Bangko Sentral ng Pilipinas (BSP), through its Bids and Awards Committee-Security Plant Complex (BAC-SPC), invites Bidders to apply for eligibility and to bid for the hereunder re</t>
  </si>
  <si>
    <t xml:space="preserve"> Provision of Labor, Materials and Equipment for the Construction of Multi-Purpose Building in Brgy. Maliwaliw, Dagami, Leyte in accordance with the plan and specifications: SCOPE OF WORK: * Removal of Structure and Obstruction-&gt;  1.00 lot * Excavation - -</t>
  </si>
  <si>
    <t xml:space="preserve"> DESCRIPTION: 1. REDRILLING OF EXISTING WELL (PERCUSSION DRILL) 2. CONSTANT DISCHARGE AND PUMPING TEST 3. INSTALLATION OF 3" PVC SERIES 8 TELESCOPIC CASING 4. CONST. OF ELECTRICAL SERVICE ENTRANCE 4.01 CONCRETE PEDESTAL (Plastered) 5.  CONSTRUCTION OF POWE</t>
  </si>
  <si>
    <t xml:space="preserve"> ITEM NO.	DESCRIPTION	UNIT	QUANTITY B.3	PERMITS AND CLEARANCES	L.S.	1.00 B.5	PROJECT BILLBOARD/SIGNBOARD	EACH	2.00 B.7(2)	OCCUPATIONAL SAFETY AND HEALTH PROGRAM	L.S.	1.00 800(2)	CLEARING AND GRUBBING	L.S.	1.00 803(1)a	STRUCTURE EXCAVATION (COMMON SOIL)	CU.</t>
  </si>
  <si>
    <t xml:space="preserve"> ITEM NO.	DESCRIPTION	UNIT	QUANTITY B.3	PERMITS AND CLEARANCES	L.S	1.00 B.5	PROJECT BILLBOARD/SIGNBOARD	EA	2.00 B.7	OCCUPATIONAL SAFETY AND HEALTH	L.S	1.00 801(1)	REMOVAL OF STRUCTURES AND OBSTRUCTION (REMOVAL OF ROOFING OF LEGISLATIVE BLDG.)	L.S.	1.00 803</t>
  </si>
  <si>
    <t xml:space="preserve"> 5 pcs, Beaker, 400ml. 5 pcs, Beaker, 600ml. 5 pcs, Beaker, 1000ml. 5 pcs, Beaker, 2000ml. 12 pcs, Erlenmeyer Flask, 1000cc</t>
  </si>
  <si>
    <t xml:space="preserve"> ITEM NO.	DESCRIPTION	UNIT	QUANTITY B.3	PERMITS AND CLEARANCES	L.S.	1.00 B.5	PROJECT BILLBOARD/SIGNBOARD	EACH	2.00 B.7(2)	OCCUPATIONAL SAFETY AND HEALTH PROGRAM	L.S.	1.00 801(1)	REMOVAL OF STRUCTURES AND OBSTRUCTION	L.S.	1.00 803(1)a	STRUCTURE EXCAVATION (</t>
  </si>
  <si>
    <t xml:space="preserve"> Requested by: D L. Abrea/City Engineering Department - Bayanihan</t>
  </si>
  <si>
    <t xml:space="preserve"> Provision of Labor, Materials and Equipment for the Construction of Grouted RipRap @ Sabang Elementary School, Brgy. Sabang, Baybay City, Leyte in accordance with the plan and specifications: SCOPE OF WORK: * EMBANKMENT - - - - - - - - - - -&gt;283.00 cu.m *</t>
  </si>
  <si>
    <t xml:space="preserve"> Provision of Labor, Materials and Equipment for the Construction of Perimeter Fence at Anahaw Elementary School in Hindang, Leyte in accordance with the plan and specifications: SCOPE OF WORK: * Clearing &amp; Grubbing - - - - -  - - - - - &gt; 1.00 L.S * Excava</t>
  </si>
  <si>
    <t xml:space="preserve"> Provision of Labor, Materials and Equipment for the Construction of CHB Canal &amp; Steel Grating Cover of Jaena Elementary School in Brgy. Jaena, Baybay City, Leyte in accordance with the plan and specifications : SCOPE OF WORK: * Excavation - - - - - - - - </t>
  </si>
  <si>
    <t xml:space="preserve"> Provision of Labor, Materials and Equipment for the Installation of Solar Streerlights in Brgy. Roxas, Dulag, Leyte  in accordance with the plan and specifications : SCOPE OF WORK: * Structure Excavation - - - - - - - - - - - - &gt; 3.24 cu.m * Removal of St</t>
  </si>
  <si>
    <t xml:space="preserve"> Provision of Labor, Materials and Equipment for the Concreting of Road in Brgy. Parena, Carigara, Leyte in accordance with the plan and specifications: SCOPE OF WORK: * Clearing &amp; Grubbing (With Stripping)- - - - &gt;600.00 sq.m * Embankment (from Borrow)- -</t>
  </si>
  <si>
    <t xml:space="preserve"> Contract ID: 20CSIO12 Contract Name: Consultancy Services for the Conduct of Feasibility Study of the Proposed Capoocan – Leyte, Leyte Coastal Road 	 Contract Location: Capoocan, Leyte Approved Budget for the Contract (ABC) = ₱ 15,911,970.00   Republic of</t>
  </si>
  <si>
    <t xml:space="preserve"> Contract ID: 20CSIO11 Contract Name: Consultancy Services for the Conduct of Feasibility study of the Proposed Tanauan Bypass Road, San Miguel – Santol – Tunga Road, Tolosa – San Victor – Tabontabon Road and Dapdap – Alangalang – Santa Cruz Road Contract </t>
  </si>
  <si>
    <t xml:space="preserve"> Contract ID: 20CSIO13 Contract Name: Consultancy Services for the Feasibility Study of the Proposed Calbayog Coastal Diversion Road, Calbayog City, Western Samar	 Contract Location: Calbayog City, Samar Approved Budget for the Contract (ABC) = ₱ 19,578,99</t>
  </si>
  <si>
    <t xml:space="preserve"> Contract ID: 20CSIO10 Contract Name: Consultancy Services for the Conduct of Feasibility Study of the Proposed Road Opening/Construction of Junction Himay-angan – Silago – Abuyog Boundary Road (Bagacay – Tib-o), Abuyog, Leyte Contract Location: Abuyog, Le</t>
  </si>
  <si>
    <t xml:space="preserve"> 1.	The Department of Science and Technology Region VI (DOST VI), through the project “DOST Regional Offices Information System Harmonization Project and ICT Equipment under 2020 MITHI Program”  intends to apply the sum of Two Million Six Hundred Fifty Tho</t>
  </si>
  <si>
    <t xml:space="preserve"> Contract ID: 20CSIO08 Contract Name: 	Consultancy Services for the Conduct of Feasibility Study of the Proposed Construction of Bypasses/Diversion Roads along Brgy. Kilim – Sitio Tipay Road Junction Ormoc – Baybay – Southern Leyte Bdry. Road to Buenavista</t>
  </si>
  <si>
    <t xml:space="preserve"> Provision of Labor, Material and Equipment for the Construction of a Chamber Waste Treatment Box at Leyte Provincial Hospital, Palo, Leyte in accordance with the plan and specifications: SCOPE OF WORK: * Mobilization/ Demolization - - - - - - &gt;  1.00 L.S </t>
  </si>
  <si>
    <t xml:space="preserve"> PROCUREMENT OF MANAGED SECURITY SERVICES 	 Project No.: 2020-CIMS(008)-PB-001 FUNDING SOURCE:  CIC CORPORATE BUDGET FOR F.Y. 2020 1.	The CREDIT INFORMATION CORPORATION (CIC) invites PhilGEPS registered providers to bid for the following: QTY	DESCRIPTION	A</t>
  </si>
  <si>
    <t xml:space="preserve"> Provision of Labor, Materials and Equipment for Concreting of Road in Sitio Amandariza (One Lane) at Brgy. MacArthur, Tabontabon, Leyte in accordance with the plan and specifications: SCOPE OF WORKS: * Sub-Grade Preparation (Common Material) -&gt;156.00 sq.m</t>
  </si>
  <si>
    <t xml:space="preserve"> Provision of Labor, Materials and Equipment for the Construction of Concreting of Pathway along JNR-Sitio Cuatro/ Sitio PAGSA Road Section @ Brgy. Tabing. Tabango, Leyte in accordance with the plan and specifications. SCOPE OF WORK: * Sub-Grade preparatio</t>
  </si>
  <si>
    <t xml:space="preserve"> Republic of the Philippines DEPARTMENT OF PUBLIC WORKS AND HIGHWAYS REGIONAL OFFICE II Tuguegarao City, Cagayan  INVITATION TO BID 1.	The DPWH Regional Office No. 2 through the General Appropriations Act (GAA) secured from the Department of Budget and Man</t>
  </si>
  <si>
    <t xml:space="preserve"> Republic of the Philippines DEPARTMENT OF HEALTH WESTERN VISAYAS Center for Health Development INVITATION TO BID FOR THE  Procurement of Medical Supplies and Materials,  IB No. SB-2020-017 1.	The Department of Health – WV CHD, through the PHM 2020 and SCE</t>
  </si>
  <si>
    <t xml:space="preserve"> Pls. see attached documents</t>
  </si>
  <si>
    <t xml:space="preserve"> Supply and delivery of Reflectorized Thermoplastic Pavement Markings and other various materials for use in DPWH Cebu 1st District Engineering Office</t>
  </si>
  <si>
    <t xml:space="preserve"> Republic of the Philippines DEPARTMENT OF HEALTH WESTERN VISAYAS Center for Health Development INVITATION TO BID FOR THE  Procurement of Drugs and Medicines,  IB No. SB-2020-018 1.	The Department of Health – WV CHD, through the CONAP 2019, NBS Trust Fund </t>
  </si>
  <si>
    <t xml:space="preserve"> Republic of the Philippines DEPARTMENT OF PUBLIC WORKS &amp; HIGHWAYS Region X Office of the Regional Director Bulua, Cagayan de Oro City REQUEST FOR PROPOSAL March 12, 2020 ____________ ____________ Dear Sir/Madam,  We are respectfully inviting you to submit</t>
  </si>
  <si>
    <t xml:space="preserve"> Provision of Labor, Materials and Equipment for the Installation of Solar Streetlights at Brgy. Macaalang, Dagami, Leyte in accordance with the plan and specifications : SCOPE OF WORK: * Structure Excavation - - - - - - - - - - - - -&gt; 10.44 cu.m * Reinfor</t>
  </si>
  <si>
    <t xml:space="preserve"> Provision of Labor, Materials and Equipment for the Construction of Perimeter Fence at Palompon National High School, Palompon, Leyte in accordance with the plan and specifications: SCOPE OF WORK: * Excavation - - - - - - - - - - - - - - - - - -&gt; 18.72 cu</t>
  </si>
  <si>
    <t xml:space="preserve"> DESCRIPTION	UNIT	QUANTITY PART A	FACILITIES FOR THE ENGINEER		 A.1.1(10)	PROVISION OF LIVING QUARTER FOR THE ENGINEER (RENTAL BASIS)	MO.	2.87 PART B	OTHER GENERAL REQUIREMENTS		 B.4(1)	CONSTRUCTION SURVEY &amp; STAKING	KM.	1.006 B.5	PROJECT BILLBOARD	EACH	4.0</t>
  </si>
  <si>
    <t xml:space="preserve"> INVITATION TO BID The DPWH Regional Office IX, Veterans Avenue Extension, Tetuan, Zamboanga City, through its Bids and Awards Committee (BAC), invites contractors to submit bids for the following Contract: Contract ID	:	20J00173 Contract Name	:	Constructi</t>
  </si>
  <si>
    <t xml:space="preserve"> INVITATION TO BID 1)	The DPWH- Davao City District Engineering Office through its Bids and Awards Committee (BAC), invites contractors to submit bids for the following contract; 1. Procurement ID /          Contract ID No.	:	20LB0158     Contract Name	:	C</t>
  </si>
  <si>
    <t xml:space="preserve"> Republic of the Philippines DEPARTMENT OF PUBLIC WORKS &amp; HIGHWAYS Region X Office of the Regional Director Bulua, Cagayan de Oro City REQUEST FOR PROPOSAL March 12, 2020 ______________ ______________ Dear Sir/Madam,  We are respectfully inviting you to su</t>
  </si>
  <si>
    <t xml:space="preserve"> Provision of Labor, Materials and Equipment for Rehabilitation/ Improvement of Perimeter Fence in Tanauan II Central School, Brgy. Poblacion, Tanauan, Leyte in accordance with plan and specifications: SCOPE OF WORK:  * Removal of Structures and Obstructio</t>
  </si>
  <si>
    <t xml:space="preserve"> Contract ID: 20CSIO09 Contract Name: Consultancy Services for the Conduct of Feasibility Study of the Proposed Construction of Tacloban – Palo Diversion Road (Brgy. 89 San Jose, Brgy. 82, Marasbaras and Brgy. Calanipawan/Caibaan, Tacloban City – Brgy. Can</t>
  </si>
  <si>
    <t xml:space="preserve"> Supply of printer, voice recorder and external hdd (PR#20-02-0213; 20-02-0213; 20-01-0060) Kindly see attached LINK below for the specifications. https://drive.google.com/file/d/1vLkSTiwWmldjHHs7VMsmjRtmM3gmJJf0/view?usp=drivesdk</t>
  </si>
  <si>
    <t xml:space="preserve"> Republic of the Philippines DEPARTMENT OF HEALTH WESTERN VISAYAS Center for Health Development INVITATION TO BID FOR THE  Procurement of Anti-Rabies Vaccines,  IB No. SB-2020-019 1.	The Department of Health – WV CHD, through the CONAP PHM 2019 and CONAP S</t>
  </si>
  <si>
    <t xml:space="preserve"> Republic of the Philippines DEPARTMENT OF PUBLIC WORKS AND HIGHWAYS OFFICE OF THE REGIONAL DIRECTOR Regional Office No. IV-A EDSA, Quezon City INVITATION TO BID The Department of Public Works and Highways (DPWH) Regional Office No. IV-A, through its Bids </t>
  </si>
  <si>
    <t xml:space="preserve"> Invitation to Bid for IMPROVEMENT OF SITE ORNAMENTAL CROPS NURSERY, LUZ ONATE ST., UPLB CAMPUS 1.	The U.P. LOS BAÑOS, through the GOP through UPLB-UGTFI (Trust Fund) intends to apply the sum of ₱9,149,048.61 being the Approved Budget for the Contract (ABC</t>
  </si>
  <si>
    <t xml:space="preserve"> 2 unit Chemical Feed Pump (13.8 oz/hr)</t>
  </si>
  <si>
    <t xml:space="preserve"> INVITATION TO BID FOR the supply, delivery, installation and commissioning of 1-unit brand-new Generator Set complete with accessories and Powerhouse 1.	The Department of Labor and Employment Regional Office VIII thru its Bids and Awards Committee, throug</t>
  </si>
  <si>
    <t xml:space="preserve"> The Department of Public Works and Highways, Nueva Ecija 1st District Engineering Office thru its Bids and Awards Committee (BAC) hereby notifies the following contractors classified by and registered with the Philippine Contractors Accreditation Board (P</t>
  </si>
  <si>
    <t xml:space="preserve"> Stock/Property No.	Unit	        Item Description	Quantity	Unit Cost	Total Cost 1	btl 	Activated Charcoal - AR Grade, TPC India, 500 grams per bottle	20	2,499.00	49,980.00 2	un 	Benchtop Brix Refractometer	1	25,000.00	25,000.00 3	cn 	Canned Butane (refill)</t>
  </si>
  <si>
    <t xml:space="preserve"> Invitation to Bid for CONSTRUCTION OF AREA DRAIN WITH INTERCEPTOR CANAL, DEPARTMENT OF MILITARY SCIENCE AND TACTICS, UPLB, COLLEGE, LAGUNA 1.	The U.P. LOS BAÑOS, through the GOP through UPLB-Reprogrammed Funds intends to apply the sum of ₱1,555,122.75 bei</t>
  </si>
  <si>
    <t xml:space="preserve"> Invitation to Bid for Procurement of Gate Valves, Combi Flange w/ Sealing and STC w/Brass Tensile Ring 1.	The Norzagaray Water District (Nor-WD) through its Corporate Budget for the contract approved by the governing Boards intends to apply the sum of One</t>
  </si>
  <si>
    <t xml:space="preserve"> Republic of the Philippines				 				                   Office of the Municipal Mayor				 					       BIDS AND AWARDS COMMITTEE				 					            Sta. Barbara, Pangasinan				 									 					               Invitation to Bid 				 					                    </t>
  </si>
  <si>
    <t xml:space="preserve"> INVITATION TO BID ITB NO.: A4-2020 The East Avenue Medical Center through its Hospital Bids and Awards Committee (BAC) through the General Appropriations Act (GAA) 2020, invites suppliers / manufacturers / distributors for the bidding of the following pro</t>
  </si>
  <si>
    <t xml:space="preserve"> Provision of Labor, Materials and Equipment for the Installation of Solar Street Light @ Brgy. Cutay, Sta. Fe, Leyte in accordance with the plans and specifications : SCOPE OF WORK: * Structure Excavation - - - - - - - - - - - - &gt; 3.60 cu.m * Reinforced C</t>
  </si>
  <si>
    <t xml:space="preserve"> Provision of Labor, Materials and Equipment for the Construction of Tanod Outpost @ Brgy. Bulod, Dulag, Leyte in accordance with the plan and specifications:   SCOPE OF WORK: * Excavation - - - - - - - - - - - - - &gt;  8.40 cu.m * Reinforced Concrete - - - </t>
  </si>
  <si>
    <t xml:space="preserve"> The San Francisco Water District through its Bids and Award committee will invites you to quote;</t>
  </si>
  <si>
    <t xml:space="preserve"> Provision of Labor, Materials and Equipment for the Installation of Solar Streetlights @ Brgy. Pawing, Palo, Leyte in accordance with the plan and specifications: SCOPE OF WORK: * Structure Excavation - - - - - - - - - - - - -&gt; 5.76 cu.m * Reinforced Conc</t>
  </si>
  <si>
    <t xml:space="preserve"> The BAC shall draw up the short list of consultants from those who have submitted Expressions of Interest and Eligibility Documents and have been determined as eligible in accordance with the provisions of Republic Act (RA) No. 9184, otherwise known as th</t>
  </si>
  <si>
    <t xml:space="preserve"> Check-up/troubleshoot/repair electrical control system and hydraulic control system which cause counterweight malfunctioning of the unit Scope of Work: 1.) Check-up/troubleshoot/repair electrical control system of the unit 2.) Check-up/repair hydraulic co</t>
  </si>
  <si>
    <t xml:space="preserve"> Provision of Labor, Materials and Equipment for the Improvement/ Rehabilitation of Evacuation Center at Brgy. Candadam, Baybay City, Leyte in accordance with the plan and specifications: SCOPE OF WORK: * Tile Works - - - - - - - - - - - - - - - - - - - - </t>
  </si>
  <si>
    <t xml:space="preserve"> Provision of labor, Materials and Equipment for the Construction of Grouted Rip-rap and Drainage Canal at Brgy. Sangputan, Babatngon, Leyte in accordance with the plan and specifications. SCOPE OF WORK: * Cleaning and Grubbing (with Stripping) -&gt; 65.56 sq</t>
  </si>
  <si>
    <t xml:space="preserve"> Rehabilitation of Drainage</t>
  </si>
  <si>
    <t xml:space="preserve"> Provision of Labor, Materials and Equipment for the Construction of Perimeter Fence at Brgy. Batug, Javier, Leyte in accordance with the plan and specifications : SCOPE OF WORK: * Excavation - - - - - - - - - - - - - - - - - - -&gt; 12.09 cu.m * Removal of S</t>
  </si>
  <si>
    <t xml:space="preserve"> Rehabilitation/Upgrading and Drainage Improvement</t>
  </si>
  <si>
    <t xml:space="preserve"> Provision of labor, Materials and Equipment for the Installation of Solar Street Lights in Market Side, Dulag, Leyte in accordance with the plan and specifications : SCOPE OF WORK: * Structure Excavation - - - - - - - - - - - -&gt; 10.08 cu.m * Reinforced Co</t>
  </si>
  <si>
    <t xml:space="preserve"> Provision of Labor, Materials and Equipment for the Installation of Solar Streetlights at Brgy. Anibongon, Jaro, Leyte in accordance with the plans and specifications : SCOPE OF WORK: * Structure Excavation - - - - - - - - - - - - - - -  &gt;  9.36 cu.m * Re</t>
  </si>
  <si>
    <t xml:space="preserve"> Invitation to Bid For   Three (3) Years ATM Cash Loading and First Level Maintenance (FLM) Services for  600 LANDBANK ATM Units 1.	The LAND BANK OF THE PHILIPPINES (LANDBANK), through its Corporate Budget for the contract approved by the Board of Director</t>
  </si>
  <si>
    <t xml:space="preserve"> 1               LOT                           SUPPLY AND DELIVERY OF BRANDED AND BRAND NEW VARIOUS INFORMATION TECHNOLOGY EQUIPMENT (Please see attached Invitation to Bid and Bidding Document)</t>
  </si>
  <si>
    <t xml:space="preserve"> Provision of Labor, Material and Equipment for the Construction of Barangay Stage at Brgy. Rizal I, Babatngon, Leyte in accordance with the plan and specifications : SCOPE OF WORK: * Clearing and Grubbing - - - - - - - - - - - - - - -&gt; 33.00 sq.m * Remova</t>
  </si>
  <si>
    <t xml:space="preserve"> REQUEST FOR QUOTATION The Tourism Infrastructure and Enterprise Zone Authority (TIEZA) through its Bids and Awards Committee undertake a Small Value Procurement for the SUPPLY AND DELIVERY OF THIRTY (30) PIECES HIGH CHAIRS FOR THE USE OF TRAVEL TAX COUNTE</t>
  </si>
  <si>
    <t xml:space="preserve"> 1 	lot	Strong Motion Accelerograph	 		23 pcs Strong Motion Accelerograph	 		-1x Fully tested 3-axis MEMS accelerograph	 		circuit board	 		-1x Vertical Earth motion monitoring sensor	 		("geophone", 4.5 Hz)	 		-1x Raspberry Pi single-board computer	 		-1x</t>
  </si>
  <si>
    <t xml:space="preserve"> BID TENDER The Bids and Awards Committee Province of Iloilo      In connection with your Invitation to Bid No. GSO-20-0202-B scheduled on April 3, 2020 I/we proposed to furnish and deliver in conformity with the terms and conditions, and specifications of</t>
  </si>
  <si>
    <t xml:space="preserve"> INVITATION TO BID FOR THE PROCUREMENT ONE (1) LOT, THREE (3) YEARS JANITORIAL SERVICES FOR CF-DAVAO AND APO VIEW SATELLITE UNDER     ITB NO. PB20-03-003DAV The Philippine Amusement and Gaming Corporation (PAGCOR) is inviting all interested bidders in its </t>
  </si>
  <si>
    <t xml:space="preserve"> INVITATION TO BID SUPPLY, DELIVERY, INSTALLATION AND TESTING OF SPLIT TYPE AIRCONDITIONING UNITS FOR IRRIGATION ENGINEERING CENTER ITB NO. BS-004-2020 1.	The National Irrigation Administration (NIA), through the Corporate Operating Budget (COB) for 2019 i</t>
  </si>
  <si>
    <t xml:space="preserve"> WORK ENVIRONMENT MEASUREMENT		 		 		 		 SCOPE OF WORKS:		 WORK ENVIRONMENT MEASUREMENT FOR THE FOLLOWING:		 PARAMETERS	NO. OF SAMPLING AREA/ STATION	 1.ILLUMINATION	15	 2.NOISE	15	 3.VENTILATION	15	 4.HEAT STRESS	15	 5.RELATIVE HUMIDITY &amp; AIR	15	 6. TOTAL</t>
  </si>
  <si>
    <t xml:space="preserve"> Notice is given that the North Manila Engineering District Will Conduct an Alternative Method of Procurement Thru Small Value Procurement in accordance with Section 53.9 of the Revised Implementing Rules and Regulation of RA 9184. Contractors/Suppliers of</t>
  </si>
  <si>
    <t xml:space="preserve"> Republic of the Philippines DEPARTMENT OF HEALTH WESTERN VISAYAS Center for Health Development INVITATION TO BID FOR THE  Rebidding of Hospital Equipment,  IB No. SB-2020-001 1.	The Department of Health – WV CHD, through the HFEP CY 2020 fund  intends to </t>
  </si>
  <si>
    <t xml:space="preserve"> Cleaning &amp; Desilting of Main Waterways</t>
  </si>
  <si>
    <t xml:space="preserve"> Provision of Labor, Materials and Equipment for the Construction of Perimeter Fence at Brgy. Sabang Daguitan, Dulag, Leyte in accordance with the plan and specifications : SCOPE OF WORK: * Clearing and Grubbing - - - - - - - - - - - &gt;  1.00 L.S * Excavati</t>
  </si>
  <si>
    <t xml:space="preserve"> Provision of Labor, Materials and Equipment for the Construction of Tanod Outpost at Brgy. Cabariwan, Dagami, Leyte in accordance with the plan and specifications. SCOPE OF WORK: * Excavation - - - - - - - - - - - - - - - -&gt;  8.40 cu.m * Reinforced Concre</t>
  </si>
  <si>
    <t xml:space="preserve"> Section I. Invitation to Bid FOR THE UPLB-RES-030-04-20  SUPPLY AND DELIVERY OF BRANDED AND BRAND NEW LABORATORY AND SCIENTIFIC EQUIPMENT FOR BIOTECH AND IPB 1.	The UNIVERSITY OF THE PHILIPPINES LOS BAÑOS (UPLB), through the GOP (LB03023001-C0001921-N8193</t>
  </si>
  <si>
    <t xml:space="preserve"> Please see Invitation to Bid and Bidding Documents attached to Associated Components.</t>
  </si>
  <si>
    <t xml:space="preserve"> National Power Corporation INVITATION TO BID PUBLIC BIDDING 2020-0095 1.	The NATIONAL POWER CORPORATION (NPC), through       its        approved       Corporate Budget of CY 2020 intends to apply   the   sum   of (Please see schedule below) being the Appr</t>
  </si>
  <si>
    <t xml:space="preserve"> Invitation to Bid For One (1) Lot Supply, Delivery and Installation of 50 Units Thru-The-Wall Cash Deposit Machine with Four (4) – Year Maintenance Package and Spare Parts   1.	The LAND BANK OF THE PHILIPPINES (LANDBANK), through its Corporate Budget for </t>
  </si>
  <si>
    <t xml:space="preserve"> Provision of Labor, Materials and Equipment for the Installation of Solar Street Lights at Brgy. Canfabi, Carigara, Leyte in accordance with the plan and specifications : SCOPE OF WORK: * Structure Excavation - - - - - - - - - - - - -&gt; 6.84 cu.m * Reinfor</t>
  </si>
  <si>
    <t xml:space="preserve"> Section I. Invitation to Bid FOR THE UPLB-RES-027-04-20  SUPPLY AND DELIVERY OF BRANDED AND BRAND NEW INFORMATION TECHNOLOGY FOR ICS 1.	The UNIVERSITY OF THE PHILIPPINES LOS BAÑOS (UPLB), through the GOP (LB03041001-C0002467-N920123) intends to apply the </t>
  </si>
  <si>
    <t xml:space="preserve"> Section I. Invitation to Bid FOR THE UPLB-RES-029-04-20  PROCUREMENT OF DIAGNOSTIC AND LABORATORY SERVICES FOR IPB AND IBS 1.	The UNIVERSITY OF THE PHILIPPINES LOS BAÑOS (UPLB), through the GOP (LB04011001-C0002421-N919721 AND LB03039001-C0002075- N9A5423</t>
  </si>
  <si>
    <t xml:space="preserve"> Section I. Invitation to Bid FOR THE UPLB-RES-031-04-20  SUPPLY AND DELIVERY OF BRANDED AND BRAND NEW CHEMICALS AND CHEMICAL PRODUCTS FOR BIOTECH &amp; IPB 1.	The UNIVERSITY OF THE PHILIPPINES LOS BAÑOS (UPLB), through the GOP (LB03023001-C002482-N826947; and</t>
  </si>
  <si>
    <t xml:space="preserve"> Contract ID: 20-DO-0074 Contract Name: LOCAL PROGRAM - Local Infrastructure Program - Building and Other Structures - Multipurpose/Facilities - Construction of Multi-Purpose Building, Brgy. Patunhay, Cardona, Rizal Contract Location	: Cardona, Rizal Brief</t>
  </si>
  <si>
    <t xml:space="preserve"> Contract ID	: 20GDO0003  Contract Name	: Procurement of Bituminous Tack Coat (FDL) and Bituminous Concrete Surface Course (FDLRC) for the Repair and Maintenance of San Mateo-Rodriguez Road K0021+(-463) to K0023+000 (with exception) Contract Location: San </t>
  </si>
  <si>
    <t xml:space="preserve"> Republic of the Philippines PROVINCE OF PAMPANGA City of San Fernando INVITATION TO BID NO. 2020-13 IG - BAC INVITATION TO BID FOR PURCHASE REQUEST NO. 20-0553, 20-0476, 20-0473, 20-0477, 20-0475, 20-0474,  20-0387, 20-0232, 19-3827,  20-0141, 20-0138, an</t>
  </si>
  <si>
    <t xml:space="preserve"> Contract ID: 19-DO-0130 Contract Name: Research on the Use of Recycled Concrete Aggregates (RCA) as Base Course Materials in Portland Cement Concrete Pavement (PCCP) (Second Small – Scale Pilot Trial), Jalajala Friendship Highway, Jalajala, Rizal Contract</t>
  </si>
  <si>
    <t xml:space="preserve"> Contract ID: 20-DO-0072 Contract Name: LOCAL PROGRAM - Local Infrastructure Program - Building and Other Structures - Multipurpose/Facilities - Construction and/or Repair/Rehabilitation of Multi-Purpose Building, Brgy. Bombongan, Morong, Rizal Contract Lo</t>
  </si>
  <si>
    <t xml:space="preserve"> Section I. Invitation to Bid FOR THE UPLB-RES-033-03-20  SUPPLY AND DELIVERY OF BRANDED AND BRAND NEW CHEMICALS AND CHEMICAL PRODUCTS  FOR IC (2) 1.	The UNIVERSITY OF THE PHILIPPINES LOS BAÑOS (UPLB), through the GOP (LB03040001-C0002390; N826123) intends</t>
  </si>
  <si>
    <t xml:space="preserve"> Section I. Invitation to Bid FOR THE UPLB-RES-034-03-20  SUPPLY AND DELIVERY OF BRANDED AND BRAND NEW FILAMENT EXTRUDER FOR CEAT – ES (3) 1.	       The UNIVERSITY OF THE PHILIPPINES LOS BAÑOS (UPLB), through the GOP (LB02015001; N9A8932) intends to apply </t>
  </si>
  <si>
    <t xml:space="preserve"> Contract ID: 20-DO-0073 Contract Name: LOCAL PROGRAM - Local Infrastructure Program - Building and Other Structures - Multipurpose/Facilities - Construction and/or Repair/Rehabilitation of Multi-Purpose Building, Brgy. San Isidro, Tanay, Rizal Contract Lo</t>
  </si>
  <si>
    <t xml:space="preserve"> Contract ID: 20-DO-0076 Contract Name: LOCAL PROGRAM - Construction/Repair/Rehabilitation/Improvement of Various Infrastructure including Local Projects - Buildings and Other Structures - Multipurpose/Facilities - Construction of Multi-Purpose Building, B</t>
  </si>
  <si>
    <t xml:space="preserve"> INVITATION TO BID FOR THE SUPPLY, DELIVERY, INSTALLATION, TESTING AND COMMISSIONING OF FIRE SUPPRESSION SYSTEM, 5-KW AIRCON, UPS, DOOR ACCESS CONTROL, TEMPERATURE AND HUMIDITY MONITORING SYSTEM, SERVER RACK AND RETROFITTING OF SERVER ROOM UNDER ITB NO. PB</t>
  </si>
  <si>
    <t xml:space="preserve"> REQUEST FOR QUOTATION The Tourism Infrastructure and Enterprise Zone Authority (TIEZA) through its Bids and Awards Committee undertake a Small Value Procurement for SUPPLY AND DELIVERY OF VAULT FOR TRAVEL TAX DEPARTMENT, in accordance with Section 53.9 of</t>
  </si>
  <si>
    <t xml:space="preserve"> Republic of the Philippines PROVINCE OF PAMPANGA City of San Fernando INVITATION TO BID NO. 2020-14 IG-BAC INVITATION TO BID FOR PURCHASE REQUEST NO. 20-0592, 20-0673 AND 19-3888 The Provincial Government of Pampanga (“Province”) intends to apply the foll</t>
  </si>
  <si>
    <t xml:space="preserve"> INVITATION TO BID FOR THE PROCUREMENT OF  15,000 REAMS OF BOOK PAPER  WITH AN ABC OF PHP 16,920,000.00 1.	The Philippine Charity Sweepstakes Office (PCSO), through the 2020 Corporate Operating Budget intends to apply the sum of Sixteen Million Nine Hundre</t>
  </si>
  <si>
    <t xml:space="preserve"> The Zamboanga State College of Marine Sciences and Technology (ZSCMST), through its Bids and Awards Committee, is inviting PhilGeps registered suppliers to apply for eligibility and to submit bids for the items mentioned hereunder: B-010-2020-B SUPPLY AND</t>
  </si>
  <si>
    <t xml:space="preserve"> Procurement ID/Contract I.D.: 20CN0085 Contract Name: Construction of Multi-Purpose Building (2 Storey) Contract Location: Municipal Compound, Dipaculao, Aurora Brief Description: Civil, Mechanical, Electrical and Sanitary/Plumbing Works; Earthwork, Plain</t>
  </si>
  <si>
    <t xml:space="preserve"> The Zamboanga State College of Marine Sciences and Technology (ZSCMST), through its Bids and Awards Committee, is inviting PhilGeps registered suppliers to apply for eligibility and to submit bids for the items mentioned hereunder: B-028-2020 SUPPLY AND D</t>
  </si>
  <si>
    <t xml:space="preserve"> The Zamboanga State College of Marine Sciences and Technology (ZSCMST), through its Bids and Awards Committee, is inviting PhilGeps registered suppliers to apply for eligibility and to submit bids for the items mentioned hereunder: B-026-2020 PROCUREMENT </t>
  </si>
  <si>
    <t xml:space="preserve"> The Zamboanga State College of Marine Sciences and Technology (ZSCMST), through its Bids and Awards Committee, is inviting PhilGeps registered suppliers to apply for eligibility and to submit bids for the items mentioned hereunder: B-027-2020 SUPPLY AND D</t>
  </si>
  <si>
    <t xml:space="preserve"> 1 Lot Establishment of Video Wall Project for Security Operation Center (Physical and Cybersecurity) and Network Operation Center Please email us at opbacsec@malacanang.gov.ph to view the Actual Bidding Documents. Thank you.</t>
  </si>
  <si>
    <t xml:space="preserve"> One (1) lot Vehicle Rental for Various Official Engagements (Outside and Within Metro Manila) Please email us at opbacsec@malacanang.gov.ph to view the Actual Bidding Documents. Thank you.</t>
  </si>
  <si>
    <t xml:space="preserve"> The Zamboanga State College of Marine Sciences and Technology (ZSCMST), through its Bids and Awards Committee, is inviting PhilGeps registered suppliers to apply for eligibility and to submit bids for the items mentioned hereunder: B-011-2020 SUPPLY AND D</t>
  </si>
  <si>
    <t xml:space="preserve"> REQUEST FOR QUOTATION The Tourism Infrastructure and Enterprise Zone Authority (TIEZA) through its Bids and Awards Committee undertake a Small Value Procurement for SUPPLY AND DELIVERY OF PRINTER AND BARCODE SCANNER, in accordance with Section 53.9 of the</t>
  </si>
  <si>
    <t xml:space="preserve"> Republic of the Philippines										 BIDS AND AWARDS COMMITTEE										 Baguio City										 (074) 300-6537/ (074)442-8795										 BID FORM										 CP No. 2020-30 Re-Bidding									March 10, 2020	 Circular Proposal No.									Date Prepared	 					</t>
  </si>
  <si>
    <t xml:space="preserve"> The Philippine Nuclear Research Institute (PNRI), through the Bids and Awards Committee (BAC), invites interested bidders to bid for hereunder project: Name of Project		Procurement of One (1) Unit Thimble-Type Ionization Chamber with Electrometer and Wate</t>
  </si>
  <si>
    <t xml:space="preserve"> REQUEST FOR QUOTATION Date	:	March 12, 2020 Project Title	:	SUPPLY AND DELIVERY OF THREE (3) LOTS ASSORTED ENVELOPES, FOLDERS AND CLIPBOARDS ITB No.	:	SV20-03-021COR Approved  Budget for the Contract (ABC)	:	The total ABC is in the amount of Three Hundred</t>
  </si>
  <si>
    <t xml:space="preserve"> Bicol Medical Center Concepcion Pequeña, Naga City, 4400 (0906 256 9238 / 0998 247 0239          E-mail Address: bmc.bacoffice@gmail.com INIVITATION TO BID PROCUREMENT OF SECURITY SERVICES FOR CY 2020 ITB No. 2020-10 1.	The BICOL MEDICAL CENTER, through G</t>
  </si>
  <si>
    <t xml:space="preserve"> Republic of the Philippines										 BIDS AND AWARDS COMMITTEE										 Baguio City										 (074) 300-6537/ (074)442-8795										 BID FORM										 CP No. 2020-32 Re- Bidding									March 10, 2020	 Circular Proposal No.									Date Prepared	 				</t>
  </si>
  <si>
    <t xml:space="preserve"> Republic of the Philippines DEPARTMENT OF PUBLIC WORKS AND HIGHWAYS BATANGAS II  DISTRICT ENGINEERING OFFICE REGIONAL OFFICE IV-A Kumintang Ilaya, Batangas City INVITATION TO BID For Local Infrastructure Program – Construction and/or Repair/Rehabilitation</t>
  </si>
  <si>
    <t xml:space="preserve"> The Philippine Nuclear Research Institute (PNRI), through the Bids and Awards Committee (BAC), invites interested bidders to bid for hereunder project: Name of Project	Procurement of Radiation Monitoring Systems and Neutron Source	 Location of the Project</t>
  </si>
  <si>
    <t xml:space="preserve"> Republic of the Philippines DEPARTMENT OF PUBLIC WORKS AND HIGHWAYS BATANGAS II  DISTRICT ENGINEERING OFFICE REGIONAL OFFICE IV-A Kumintang Ilaya, Batangas City INVITATION TO BID For Local Infrastructure Program – Rehab/Improvement/Asphalt Overlay Alitagt</t>
  </si>
  <si>
    <t xml:space="preserve"> INVITATION TO BID PROCUREMENT OF OTHER SUPPLIES AND MATERIALS (SUPPLIES AND TOOLS ON SHIELDED METAL ARTS &amp; WELDING) FOR SAN ROQUE NHS (UNDER SCHOOLS DIVISION OFFICE) 	 The City Government of Navotas, through its Bids and Awards Committee, will hold a Publ</t>
  </si>
  <si>
    <t xml:space="preserve"> 1		Item 302: Bituminous Tack Coat (Rapid Curing)			16 	drums		 		-x-x-x-x-x-x-x-x-x-x-x-x-x-x</t>
  </si>
  <si>
    <t xml:space="preserve"> REQUEST FOR QUOTATION The Tourism Infrastructure and Enterprise Zone Authority (TIEZA) through its Bids and Awards Committee undertake a Small Value Procurement for CHECK UP TRANSMISSION AND REPAIR OF TOYOTA FORTUNER, in accordance with Section 53.9 of th</t>
  </si>
  <si>
    <t xml:space="preserve"> Republic of the Philippines DEPARTMENT OF PUBLIC WORKS AND HIGHWAYS BATANGAS II  DISTRICT ENGINEERING OFFICE REGIONAL OFFICE IV-A Kumintang Ilaya, Batangas City INVITATION TO BID For Local Infrastructure Program – Construction/Improvement of Old Public Ma</t>
  </si>
  <si>
    <t xml:space="preserve"> Republic of the Philippines										 BIDS AND AWARDS COMMITTEE										 Baguio City										 (074) 300-6537/ (074)442-8795										 BID FORM										 CP No. 2020-34 Bidding									March 10, 2020	 Circular Proposal No.									Date Prepared	 								</t>
  </si>
  <si>
    <t xml:space="preserve"> I. Office Supplies						 1		Refillable Ink			150 	unit		 2		Toner Cartridge (OKI) ES7170MFP			15 	unit		 3		Logbook (300 sheets)			15 	pcs.		 4		Special Ring Binder (for Maintenance Report)			8 	pcs.		 5		Bond Paper (8.5"x13")			93 	reams		 6		Bond Paper </t>
  </si>
  <si>
    <t xml:space="preserve"> INVITATION TO BID FOR SUPPLY AND DELIVERY OF EIGHT (8) LOTS VARIOUS SPARE PARTS FOR THE REPAIR AND MAINTENANCE OF MOTOR VEHICLES UNDER ITB NO. PB20-00-008CORA-02 (REBIDDING) The Philippine Amusement and Gaming Corporation (PAGCOR) is inviting all interest</t>
  </si>
  <si>
    <t xml:space="preserve"> 1		Asphalt Sealant (60/70)			6 	drums		 		-x-x-x-x-x-x-x-x-x-x-x-x-x-x</t>
  </si>
  <si>
    <t xml:space="preserve"> 1		Asphalt Sealant (60/70)			11 	drums		 		-x-x-x-x-x-x-x-x-x-x-x-x-x-x</t>
  </si>
  <si>
    <t xml:space="preserve"> I. Construction Materials  for Bridges							 1		Sand			85 	cu.m			 2		Cement 			652 	bags			 3		Gravel 3/4"			100 	cu.m			 4		Gravel - G1			125 	cu.m			 5		DSB 10mm			2035 	kgs.			 6		DSB 12mm			2035 	kgs.			 7		DSB 16mm			2035 	kgs.			 8		Tie wire #16		</t>
  </si>
  <si>
    <t xml:space="preserve"> INVITATION TO BID PROCUREMENT OF COMPUTERIZED HOSPITAL INFORMATION SYSTEM &amp; ELECTRONIC HEALTH RECORD FOR THE USE OF NAVOTAS CITY HOSPITAL &amp; 25 HEALTH CENTERS 	 The City Government of Navotas, through its Bids and Awards Committee, will hold a Public Biddi</t>
  </si>
  <si>
    <t xml:space="preserve"> 1		Asphalt Cold Mix			126 	pails			 		-x-x-x-x-x-x-x-x-x-x-x-x-x-x</t>
  </si>
  <si>
    <t xml:space="preserve"> Pre-Bid Conference: March 18, 2020 at 9:30 A.M. at the Conference Room Submission/Receipt/Opening of Bids :  March 30, 2020 at 9:30 AM at the Conference Room of the Municipal Hall of Asingan Bid Evaluation  &amp; Post Qualification – March 31, 2020 Issuance o</t>
  </si>
  <si>
    <t xml:space="preserve"> CITY GOVERNMENT OF PASIG INVITATION TO BID The City Government of Pasig thru the Bids and Awards Committee (BAC) invites interested suppliers / contractors to apply for eligibility screening and if subsequently found eligible to bid for the procurement of</t>
  </si>
  <si>
    <t xml:space="preserve"> INVITATION TO BID FOR THE SUPPLY AND DELIVERY OF TEN (10) LOTS CONSOLIDATED I.T. EQUIPMENT AND OTHER PERIPHERALS FOR CORPORATE AND SOG 4 UNDER ITB NO. PB20-03-032COR The Philippine Amusement and Gaming Corporation (PAGCOR) is inviting all interested bidde</t>
  </si>
  <si>
    <t xml:space="preserve"> Republic of the Philippines Local Government Unit of General Santos City BIDS AND AWARDS COMMITTEE City Hall, General Santos City INVITATION TO APPLY FOR ELIGIBILITY AND TO BID FOR 20CW-GSC-019 ELECTRIFICATION AND STREETLIGHTING ALONG ALBERT MORROW BLVD.,</t>
  </si>
  <si>
    <t xml:space="preserve"> Republic of the Philippines Local Government Unit of General Santos City BIDS AND AWARDS COMMITTEE City Hall, General Santos City INVITATION TO APPLY FOR ELIGIBILITY AND TO BID FOR 20CW-GSC-020 CONCRETING OF MAIN ROAD OF PUROK 13 37TH IB, BRGY. FATIMA, GE</t>
  </si>
  <si>
    <t xml:space="preserve"> The Zamboanga State College of Marine Sciences and Technology (ZSCMST), through its Bids and Awards Committee, is inviting PhilGeps registered suppliers to apply for eligibility and to submit bids for the items mentioned hereunder: B-024-2020 REPAIR AND M</t>
  </si>
  <si>
    <t xml:space="preserve"> Construction of Day Care at Brgy. Toboy, Asingan, Pangasinan. Pre-Bid Conference: March 18, 2020 at 9:30 A.M. at the Conference Room Submission/Receipt/Opening of Bids :  March 30, 2020 at 9:30 AM at the Conference Room of the Municipal Hall of Asingan Bi</t>
  </si>
  <si>
    <t xml:space="preserve"> The Zamboanga State College of Marine Sciences and Technology (ZSCMST), through its Bids and Awards Committee, is inviting PhilGeps registered suppliers to apply for eligibility and to submit bids for the items mentioned hereunder: B-023-2020 SUPPLY AND D</t>
  </si>
  <si>
    <t xml:space="preserve"> REQUEST FOR QUOTATION The Tourism Infrastructure and Enterprise Zone Authority (TIEZA) through its Bids and Awards Committee undertake a Small Value Procurement for the THREE (3) UNITS MANAGED PRINT SERVICES FOR THE USE OF TRAVEL TAX DEPARTMENT-PAD, TEZ F</t>
  </si>
  <si>
    <t xml:space="preserve"> Republic of the Philippines DEPARTMENT OF PUBLIC WORKS AND HIGHWAYS BATANGAS II  DISTRICT ENGINEERING OFFICE REGIONAL OFFICE IV-A Kumintang Ilaya, Batangas City INVITATION TO BID For Local Infrastructure Program – Construction of the Lobo Municipal Hall P</t>
  </si>
  <si>
    <t xml:space="preserve"> The Zamboanga State College of Marine Sciences and Technology (ZSCMST), through its Bids and Awards Committee, is inviting PhilGeps registered suppliers to apply for eligibility and to submit bids for the items mentioned hereunder: B-025-2020 REPIPING OF </t>
  </si>
  <si>
    <t xml:space="preserve"> INVITATION TO BID FOR THE SUPPLY AND DELIVERY OF TWO (2) LOTS JUMBO TISSUE ROLL AND PAPER TOWEL UNDER ITB NO. PB20-03-004MAL The Philippine Amusement and Gaming Corporation (PAGCOR) is inviting all interested bidders in its forthcoming Public Bidding for </t>
  </si>
  <si>
    <t xml:space="preserve"> Concreting of Farm to Market Road at Centro Barangay Toboy, Asingan, Pangasinan. Pre-Bid Conference: March 18, 2020 at 9:30 A.M. at the Conference Room Submission/Receipt/Opening of Bids :  March 30, 2020 at 9:30 AM at the Conference Room of the Municipal</t>
  </si>
  <si>
    <t xml:space="preserve"> REQUEST FOR QUOTATION	 Date	:	March 9, 2020 Project Title	:	Supply and Delivery  of  Raw Materials for Executive Meals ITB No.	:	SV20-03-001MAB Approved  Budget for the Contract (ABC)	:	 Eight Hundred Fifty-Four Thousand One Hundred Eighteen  Pesos &amp; 9/10</t>
  </si>
  <si>
    <t xml:space="preserve"> Republic of the Philippines         President Ramon Magsaysay State University (Formerly Ramon Magsaysay Technological University) Iba, Zambales, Philippines Tel/Fax No.: (047) 811-1683 INVITATION TO BID FOR  SUPPLY AND DELIVERY OF STUDY CHAIR            </t>
  </si>
  <si>
    <t xml:space="preserve"> Republic of the Philippines         President Ramon Magsaysay State University (Formerly Ramon Magsaysay Technological University) Iba, Zambales, Philippines Tel/Fax No.: (047) 811-1683 INVITATION TO BID FOR  UPGRADING OF EQUIPMENT FOR PROCESSING LABORATO</t>
  </si>
  <si>
    <t xml:space="preserve"> Republic of the Philippines         President Ramon Magsaysay State University (Formerly Ramon Magsaysay Technological University) Iba, Zambales, Philippines Tel/Fax No.: (047) 811-1683 INVITATION TO BID FOR  UPGRADING OF MILKFISH AND TILAPIA PROCESSING F</t>
  </si>
  <si>
    <t xml:space="preserve"> Republic of the Philippines Dagupan City BIDS AND AWARDS COMMITTEE INVITATION TO BID For the Procurement of One (1) Unit Brand New Ambulance Vehicle (PR no.: 2020-00594-051) 1.	The City Government of Dagupan, through the 2019 Continuing Appropriation inte</t>
  </si>
  <si>
    <t xml:space="preserve"> INVITATION TO BID for the ITB No. 20-047 Supply and Delivery of Two Hundred Fifty-Two Thousand (252,000) Heparin Sodium, 1000IU/mL 5mL, Vial  1.The National Kidney and Transplant Institute (NKTI) through its Corporate Operating Budget (COB) intends to app</t>
  </si>
  <si>
    <t xml:space="preserve"> Republic of the Philippines Local Government Unit of General Santos City BIDS AND AWARDS COMMITTEE City Hall, General Santos City INVITATION TO APPLY FOR ELIGIBILITY AND TO BID FOR 20CW-GSC-021 IMPROVEMENT OF ROAD FACILITIES OF F. SANTOS (ADDITIONAL APPRO</t>
  </si>
  <si>
    <t xml:space="preserve"> Concreting of Road Shoulder at Brgy. Dupac, Asingan, Pangasinan. Pre-Bid Conference: March 18, 2020 at 9:30 A.M. at the Conference Room Submission/Receipt/Opening of Bids :  March 30, 2020 at 9:30 AM at the Conference Room of the Municipal Hall of Asingan</t>
  </si>
  <si>
    <t xml:space="preserve"> HIRING OF GENERAL CONTRACTOR FOR THE RENOVATION OF DBP ZAMBOANGA BUILDING (INCL. RENOVATION OF ZAMBOANGA BRANCH &amp; BBG-WM; FIT-OUT OF ZAMBOANGA PENINSULA LENDING CENTER &amp; ZAMBOANGA CASH CENTER)  Approved Budget for the Contract (ABC)	Amount of Bid Document</t>
  </si>
  <si>
    <t xml:space="preserve"> Contract Name: Construction and / or Repair / Rehabilitation of Multi – Purpose Building Brgy. 72, Zone 6, Tondo Manila       Contract Location: Tondo, Manila       Brief Description: Construction/ Repair/ Rehabilitation of Multi – Purpose Building       </t>
  </si>
  <si>
    <t xml:space="preserve"> Republiuc of the Philippnes				 PROVINCE OF APAYAO	PROVINCE OF APAYAO			 Provincial Government Center	Provincial Government Center, San Isidro Sur			 San Isidro Sur, Luna, Apayao	LUNA, APAYAO			 				 PROVINCIAL BIDS AND AWARD COMMITTEE-INFRA				 				 INVI</t>
  </si>
  <si>
    <t xml:space="preserve"> Certified Rice Seeds 85 bags Urea (46-0-0) 85 bags Complete(14-14-14) 170 bags</t>
  </si>
  <si>
    <t xml:space="preserve"> REQUEST FOR EXPRESSION OF INTEREST (REOI) FOR CONSULTING SERVICES  19CSK00047 – Consulting Services for the Conduct of Feasibility Study for Region X Priority Road Infrastructure Projects-27 (REXPRIP-27) a.	PIA Bypass Road, Misamis Oriental 2nd Legislativ</t>
  </si>
  <si>
    <t xml:space="preserve"> Invitation to Bid Procurement of Technical and Scientific Equipment 		 1.	The Department of Environment and Natural Resources (DENR) Region IV-A (CALABARZON), through the General Appropriations Acts of 2020 intends to apply the sum of One Million One Hund</t>
  </si>
  <si>
    <t xml:space="preserve"> INVITATION TO BID FOR Procurement of 36” Large Format Printer with DLP Projector 1.	The Municipal Government of Kawit, through the 2020 General Fund intends to apply the sum of Three Hundred Thirty Seven Thousand and 00/100 Pesos (Php 337,000.00) being th</t>
  </si>
  <si>
    <t xml:space="preserve"> Contract ID:			20GO0085 Contract Name: 		Construction of Multi-Purpose Building, Brgy. Banago, Bacolod  City, Negros Occidental Contract Location: 		Brgy. Banago, Bacolod City, Negros Occidental Brief Description: 	Construction of MPB which includes Permi</t>
  </si>
  <si>
    <t xml:space="preserve"> INVITATION TO BID FOR THE SUPPLY, DELIVERY, INSTALLATION, CONFIGURATION AND COMMISSIONING OF RADIO COMMUNICATION SYSTEM The Department of Public Works and Highways thru its Bids and Awards Committee for Goods, through the GAA 2020, intends to apply the su</t>
  </si>
  <si>
    <t xml:space="preserve"> Construction of 272 sq.m. Public Market with roofdeck and with 2000 liters stainless water tank</t>
  </si>
  <si>
    <t xml:space="preserve"> Construction of Protection Wall/Seal Wall with Steel Sheet Pile</t>
  </si>
  <si>
    <t xml:space="preserve"> A Republic of the Philippines BIDS AND AWARDS COMMITTEE Dagupan City Invitation to Bid  for PROPOSED UPGRADING OF PCC PAVEMENT AND DRAINAGE SYSTEM AT SITIO ABALATEN, BARANGAY SALISAY, DAGUPAN CITY 1.	The City Government of Dagupan, through the CONTINUING </t>
  </si>
  <si>
    <t xml:space="preserve"> Standard Form Number: SF-GOODS-05 Revised on:  July 28, 2004 INVITATION TO BID The University of the Philippines Cebu, through its Bids and Awards Committee (BAC), invites bidders to bid for the hereunder project: Name of Projects       :  Supply and Deli</t>
  </si>
  <si>
    <t xml:space="preserve"> Item 310 (FD) 				 1	Item 310: Bituminous Concrete Surface				1,999,197.00	232.60 	Coarse (FD)					 	-x-x-x-x-x-x-x-x-x-x-x-x-x-x					 			Grand Total:		1,999,197.00</t>
  </si>
  <si>
    <t xml:space="preserve"> Standard Form Number: SF-GOODS-05 Revised on:  July 28, 2004 INVITATION TO BID The University of the Philippines Cebu, through its Bids and Awards Committee (BAC), invites bidders to bid for the hereunder project: Name of Projects       :  Pocurement of I</t>
  </si>
  <si>
    <t xml:space="preserve"> A Republic of the Philippines BIDS AND AWARDS COMMITTEE Dagupan City Invitation to Bid  for PROPOSED REPAIR OF REGISTRY OF DEEDS OFFICE AT CITY HALL COMPOUND, DAGUPAN CITY 1.	The City Government of Dagupan, through the CONTINUING APPROPRIATIONS OF 2019 in</t>
  </si>
  <si>
    <t xml:space="preserve"> Contract Name: Construction of Retention Basin at Estero de Sampaloc, Manila City Contract Location: Sampaloc, Manila      Brief Description: Construction of Retention Basin at Estero de Calubcob      Approved Budget for the Contract (ABC):  Php 48,999,86</t>
  </si>
  <si>
    <t xml:space="preserve"> A Republic of the Philippines BIDS AND AWARDS COMMITTEE Dagupan City Invitation to Bid  for PROPOSED UPGRADING OF PCC PAVEMENT AND DRAINAGE SYSTEM AT RIVERSIDE, BARANGAY POGO CHICO, DAGUPAN CITY 1.	The City Government of Dagupan, through the CONTINUING AP</t>
  </si>
  <si>
    <t xml:space="preserve"> Construction of Box Culvert</t>
  </si>
  <si>
    <t xml:space="preserve"> Provision of Janitorial Services for People’s Television Network, Inc. (PTNI)</t>
  </si>
  <si>
    <t xml:space="preserve"> INVITATION TO BID  SUPPLY, DELIVERY, INSTALLATION, TESTING, AND COMMISSIONING OF ENERGY RECOVERY VENTILATION SYSTEM, EXHAUST FANS AND ASSOCIATED DUCTWORKS FOR THE DBM ARCACHE BUILDING 1.	The Department of Budget and Management (DBM), through the authorize</t>
  </si>
  <si>
    <t xml:space="preserve"> Contract Location: TIWI, ALBAY Brief Description: REHABILITATION/RECONSTRUCTION OF ROAD SLIPS Source of Funds: GAA 2020 DPWH INFRA  The BAC is conducting the public bidding for this Contract in accordance with RA 9184 and its Implementing Rules and Regula</t>
  </si>
  <si>
    <t xml:space="preserve"> National Power Corporation NEGOTIATED PROCUREMENT NP 2020-003 1.	The NATIONAL POWER CORPORATION (NPC), through       its        approved       Corporate Budget of CY 2020 intends to apply   the   sum   of (Please see schedule below) being the Approved Bud</t>
  </si>
  <si>
    <t xml:space="preserve"> Waterproofing of People’s Television Network, Inc.’s Roof deck, Uplink and Third Floor (Open Area)</t>
  </si>
  <si>
    <t xml:space="preserve"> Republic of the Philippines BIDS AND AWARDS COMMITTEE Province of Iloilo Invitation to Bid Purchase of Drugs and Medicines Bid No.ADH-20-063-B(REBID) 1. The Iloilo Provincial Government, through the 2020 GENERAL FUNDS intends to apply the sum of ONE MILLI</t>
  </si>
  <si>
    <t xml:space="preserve"> JOB ORDER: Furnishing of Labor, Construction Materials and Equipment Rental for the Proposed Construction of Multi-Purpose Building (Motorpool/TESDA/OCENR Bldg.), South Boulevard, Dap-Dap, Legazpi City *** please see attached schedule of BAC activities</t>
  </si>
  <si>
    <t xml:space="preserve"> (PLEASE SEE ATTACHED FILE)</t>
  </si>
  <si>
    <t xml:space="preserve"> Supply, Delivery, Testing and Commissioning of Seventy – Five (75) Pieces of Electrolytic ¬¬¬Capacitor Spare Parts of Analog Transmitter for the People’s Television Network, Inc. (PTNI)</t>
  </si>
  <si>
    <t xml:space="preserve"> The SUPPLIER shall provide Garbage Hauling Services of 150 trips at Fiestamall Store and Integrated Warehouse for a period of one (1) year. SCOPE OF SERVICES: To haul three times a week the domestic garbage and other waste materials at designated garbage </t>
  </si>
  <si>
    <t xml:space="preserve"> 1 Unit Procurement of Works for the establishment of wood vinegar facility Location: Region VI Please see attached Program of Works and Detailed Estimate PR# 2020-76</t>
  </si>
  <si>
    <t xml:space="preserve"> PLEASE SEE ATTACHED PR, TOR AND BID DOCUMENTS FOR DETAILS</t>
  </si>
  <si>
    <t xml:space="preserve"> SEE ATTACHED PR, TOR AND BID DOCUMENTS FOR DETAILS</t>
  </si>
  <si>
    <t xml:space="preserve"> INVITATION TO BID The City Government of Pasay, through its Bids and Awards Committee (BAC) invites suppliers/manufacturers/distributors/contractors to apply and submit sealed bids for the supply and delivery of the following: Proposed FDLRC (Furnishing, </t>
  </si>
  <si>
    <t xml:space="preserve"> 1. The Department of Tourism (DOT), through the General Appropriations Act 2020 intends to apply the sum of Three Million Philippine Pesos (PhP3,000,000.00) being the Approved Budget for the Contract (ABC) to payments under the contract for the DOT-BAC-RE</t>
  </si>
  <si>
    <t xml:space="preserve"> Please see associated components.  Project Evaluation: PER LOT BASIS</t>
  </si>
  <si>
    <t xml:space="preserve"> The Zamboanga State College of Marine Sciences and Technology (ZSCMST), through its Bids and Awards Committee, is inviting PhilGEPS registered suppliers to apply for eligibility and to submit its quotation for the items mentioned hereunder: B-022-2020  PR</t>
  </si>
  <si>
    <t xml:space="preserve"> Demolition of Existing One Storey Annex Building. Construction of 447.77 sq.m. Two – Storey Bulan Public Market Annex Building</t>
  </si>
  <si>
    <t xml:space="preserve"> INVITATION TO BID The City Government of Pasay, through its Bids and Awards Committee (BAC) invites suppliers/manufacturers/distributors/contractors to apply and submit sealed bids for the supply and delivery of the following: Proposed Renovation, Rehabil</t>
  </si>
  <si>
    <t xml:space="preserve"> PLEASE SEE ATTACHED PR, TOR AND BID DOCUMENTS</t>
  </si>
  <si>
    <t xml:space="preserve"> PLS. SEE ATTACHED PURCHASE REQUISITION, TERMS OF REFERENCE &amp; BID DOCUMENTS FOR DETAILS.</t>
  </si>
  <si>
    <t xml:space="preserve"> PLS. SEE ATTACHED PURCHASE REQUISITION, TERMS OF REFERENCE AND BID DOCUMENTS FOR DETAILS</t>
  </si>
  <si>
    <t xml:space="preserve"> Please see associated components for further details. PROJECT EVALUATION: PER LOT BASIS</t>
  </si>
  <si>
    <t xml:space="preserve"> INVITATION TO BID The City Government of Pasay, through its Bids and Awards Committee (BAC) invites suppliers/manufacturers/distributors/contractors to apply and submit sealed bids for the supply and delivery of the following: Supply and delivery of LEARN</t>
  </si>
  <si>
    <t xml:space="preserve"> Section I. Invitation to Bid Republic of the Philippines Philippine Rural Development Project Invitation to Bid for the  Construction of Mango Processing Center  ID No. PRDP-IR-RO03-NUE-035-PAL-001-2019 Loan No. 8816-PH   March 6, 2020 1.	The Government o</t>
  </si>
  <si>
    <t xml:space="preserve"> The Tagum Water District, through its Bids and Awards Committee (BAC), invites suppliers/manufacturer/distributors to apply for eligibility and to bid on the hereunder project: NAME OF CONTRACT : Procurement of 1 Lot Security Services Location : National </t>
  </si>
  <si>
    <t xml:space="preserve"> Construction of Flood Mitigation Structure</t>
  </si>
  <si>
    <t xml:space="preserve"> Request for Quotation for the Procurement of 1 unit Generator Set  1.	The Department of Agriculture-Regional Field Office 7 (DA-RFO 7), through the General Appropriation Act for CY 2020 intends to apply the sum of Three Hundred Thousand Pesos (P 300,000.0</t>
  </si>
  <si>
    <t xml:space="preserve"> National Power Corporation INVITATION TO BID PUBLIC BIDDING 2020-0081 1.	The NATIONAL POWER CORPORATION (NPC), through       its        approved       Corporate Budget of CY 2020 intends to apply   the   sum   of (Please see schedule below) being the Appr</t>
  </si>
  <si>
    <t xml:space="preserve"> INVITATION TO BID The City Government of Pasay, through its Bids and Awards Committee (BAC) invites suppliers/manufacturers/distributors/contractors to apply and submit sealed bids for the supply and delivery of the following: Supply and delivery of one (</t>
  </si>
  <si>
    <t xml:space="preserve"> 1.	The Government Service Insurance System (GSIS), through the GSIS Corporate Operating Budget for CY2020, intends to apply the sum of Two Million Two Hundred Thousand Pesos (Php2,200,000.00) being the Approved Budget for the Contract (ABC) for payment un</t>
  </si>
  <si>
    <t xml:space="preserve"> INVITATION TO BID The City Government of Pasay, through its Bids and Awards Committee (BAC) invites suppliers/manufacturers/distributors/contractors to apply and submit sealed bids for the supply and delivery of the following: ACCOMMODATION AND CONFERENCE</t>
  </si>
  <si>
    <t xml:space="preserve"> RIBBONS AND TONER ***see attached listing***</t>
  </si>
  <si>
    <t xml:space="preserve"> Contract Name: Installation of Pumping Station (Mini Pump) at Barangay 598 Zone 59, Manila City       Contract Location: Manila City       Brief Description: Installation of Mini Pump       Approved Budget for the Contract (ABC):  Php 53,074,892.40       </t>
  </si>
  <si>
    <t xml:space="preserve"> The ZAMBOANGA CITY STATE POLYTECHNIC COLLEGE through its Bids and Awards Committee (BAC) is inviting PHILGEPS registered suppliers to apply for eligibility and to submit bids for the items listed below: 1.	Dental forcep #151, good quality, pref. Germany m</t>
  </si>
  <si>
    <t xml:space="preserve"> Please see associated components. PROJECT EVALUATION: PER LOT BASIS</t>
  </si>
  <si>
    <t xml:space="preserve"> INVITATION TO BID The City Government of Pasay, through its Bids and Awards Committee (BAC) invites suppliers/manufacturers/distributors/contractors to apply and submit sealed bids for the supply and delivery of the following: Supply and delivery of 12,09</t>
  </si>
  <si>
    <t xml:space="preserve"> INVITATION TO BID FOR THE SUPPLY AND DELIVERY ICT EQUIPMENT 1.	The Department of Tourism, through the Trust Liability Account (TLA) and General Appropriations Act (GAA) Continuing Funds 2019 intends to apply the following sum being the Approved Budget for</t>
  </si>
  <si>
    <t xml:space="preserve"> BIDS AND AWARDS COMMITTEE – SECURITY PLANT COMPLEX INVITATION TO BID 1. The Bangko Sentral ng Pilipinas (BSP), through its Bids and Awards Committee – Security Plant Complex (BAC-SPC), invites Bidders to apply for eligibility and to bid for the hereunder </t>
  </si>
  <si>
    <t xml:space="preserve"> INVITATION TO BID FOR SUPPLY OF SECURITY PERSONNEL FOR NORZAGARAY WATER DISTRICT 1.	The Norzagaray Water District (NorWD) through its Corporate Budget for the contract approved by the governing Boards intends to apply the sum of One Million Two  Hundred  </t>
  </si>
  <si>
    <t xml:space="preserve"> INVITATION TO BID The City Government of Pasay, through its Bids and Awards Committee (BAC) invites suppliers/manufacturers/distributors/contractors to apply and submit sealed bids for the supply and delivery of the following: Proposed Improvement of Drai</t>
  </si>
  <si>
    <t xml:space="preserve"> National Power Corporation INVITATION TO BID PUBLIC BIDDING 2020-0079 1.	The NATIONAL POWER CORPORATION (NPC), through       its        approved       Corporate Budget of CY 2020 intends to apply   the   sum   of (Please see schedule below) being the Appr</t>
  </si>
  <si>
    <t xml:space="preserve"> Invitation to Bid For One (1) Lot Supply and Delivery of EMV VISA Debit Card and Paywave Debit Card for OFBANK  1.	The LAND BANK OF THE PHILIPPINES (LANDBANK), through its Corporate Budget for the contract approved by the Board of Directors for 2020 inten</t>
  </si>
  <si>
    <t xml:space="preserve"> (Section I) Republic of the Philippines Department of Health CENTER FOR HEALTH DEVELOPMENT MIMAROPA Q.M.M.C. Compound, Project 4, Quezon City INVITATION FOR NEGOTIATED PROCUREMENT  DUE TO TWO – FAILED BIDDINGS PROCUREMENT FOR THE COMPLETION/REPAIR/RENOVAT</t>
  </si>
  <si>
    <t xml:space="preserve"> The ZAMBOANGA CITY STATE POLYTECHNIC COLLEGE through its Bids and Awards Committee (BAC) is inviting PHILGEPS registered suppliers to apply for eligibility and to submit bids for the items listed below: 1.	Battle rope w/ mall mount 1.5 handles x 9m rope (</t>
  </si>
  <si>
    <t xml:space="preserve"> INVITATION TO BID CONSTRUCTION OF VARIOUS INFRASTRUCTURE PROJECTS FOR THE CITY OF NAVOTAS UNDER 20% CDF The City Government of Navotas, through its Bids and Awards Committee, will hold a Public Bidding for the CONSTRUCTION OF VARIOUS INFRASTRUCTURE PROJEC</t>
  </si>
  <si>
    <t xml:space="preserve"> Invitation to Bid For   Three (3) Years Managed Laser Print Services with Consumables 1.	The LAND BANK OF THE PHILIPPINES (LANDBANK), through its Corporate Budget for the contract approved by the Board of Directors for 2020 intends to apply the total sum </t>
  </si>
  <si>
    <t xml:space="preserve"> Invitation to Bid For   Supply and Delivery of 1,100 Units Desktop Computer 1.	The LAND BANK OF THE PHILIPPINES (LANDBANK), through its Corporate Budget for the contract approved by the Board of Directors for 2019 intends to apply the total sum of Forty S</t>
  </si>
  <si>
    <t xml:space="preserve"> INVITATION TO BID The City Government of Pasay, through its Bids and Awards Committee (BAC) invites suppliers/manufacturers/distributors/contractors to apply and submit sealed bids for the supply and delivery of the following: Proposed Renovation of Roof </t>
  </si>
  <si>
    <t xml:space="preserve"> 1.	The Civil Aviation Authority of the Philippines, through the Funds from DOTr Downloaded Projects intends to apply the sum of FIFTY-FOUR MILLION SIX HUNDRED EIGHTY-THREE THOUSAND ONE HUNDRED EIGHTY-NINE PESOS 82/100 (PhP 54,683,189.82) being the Approve</t>
  </si>
  <si>
    <t xml:space="preserve"> Improvement at the Office of Undersecretary 																																					 				 Eduardo S. Ramos, Jr. 2nd Floor, ICC Building, 																																					 				 DPWH Head Office 																																					 				 I. Supply/Installa</t>
  </si>
  <si>
    <t xml:space="preserve"> Republic of the Philippines PROVINCE OF PAMPANGA City of San Fernando INVITATION TO BID NO. 2020-12 IG - BAC INVITATION TO BID FOR PURCHASE REQUEST NO. 20-0621 The Provincial Government of Pampanga (“Province”) intends to apply the following sums from the</t>
  </si>
  <si>
    <t xml:space="preserve"> INVITATION TO BID Provision of Security Services for Pag-IBIG Fund Central and Eastern Visayas Branches, Offices and Warehouses covering the period Y2020-2021 The Pag-IBIG Fund Technical and Administrative Support for Central and Eastern Visayas (TAS-CEV)</t>
  </si>
  <si>
    <t xml:space="preserve"> INVITATION TO BID FOR THE SUPPLY AND DELIVERY OF CARD PRINTER CONSUMABLES FOR PAGCOR’S EXISTING HITI CS200E CARD PRINTER UNDER ITB NO. PB20-02-031COR The Philippine Amusement and Gaming Corporation (PAGCOR) is inviting all interested bidders in its forthc</t>
  </si>
  <si>
    <t xml:space="preserve"> Patrol Vehicle 	Specifications 	2.4 liter diesel, 4 cylinder, 16-valve, DOHC  	      Turbo wih front mounted 	Displacement : 2,393 cc 	Maximum Output (Hp/rpm) : 147/3,400 	Transmission : 5-Speed M/T 	Fuel System : Fuel Injection with Common Rail 	Suspensi</t>
  </si>
  <si>
    <t xml:space="preserve"> National Power Corporation INVITATION TO BID PUBLIC BIDDING 2020-0078 1.	The NATIONAL POWER CORPORATION (NPC), through       its        approved       Corporate Budget of CY 2020 intends to apply   the   sum   of (Please see schedule below) being the Appr</t>
  </si>
  <si>
    <t xml:space="preserve"> 1. The Department of Foreign Affairs, through the authorized appropriations under the Multi-Year Contractual Authority (MYCA) MYCA No. MYCA-BMB-D-20-0000002, intends to apply the sum of One Billion Nine Hundred Forty-Seven Million Sixty-Two Thousand One H</t>
  </si>
  <si>
    <t xml:space="preserve"> Contract Location: TABACO CITY, ALBAY Brief Description: REPLACEMENT/CONSTRUCTION OF BRIDGE Source of Funds: GAA CY 2020 DPWH INFRA The BAC is conducting the public bidding for this Contract in accordance with RA 9184 and its Implementing Rules and Regula</t>
  </si>
  <si>
    <t xml:space="preserve"> INVITATION TO BID FOR THE PROCUREMENT OF ONE (1) LOT, THREE (3) YEARS PRIVATE SECURITY AGENCY (PSA) SERVICES FOR CF-DAVAO AND APO VIEW SATELLITE UNDER ITB NO. PB20-03-002DAV The Philippine Amusement and Gaming Corporation (PAGCOR) is inviting all interest</t>
  </si>
  <si>
    <t xml:space="preserve"> PHILIPPINE DEPOSIT INSURANCE CORPORATION Makati City INVITATION TO BID PROCUREMENT OF SECURITY SERVICE PROVIDER FOR A PERIOD OF ONE (1) YEAR 1.	The Philippine Deposit Insurance Corporation, through its 2020 Corporate Operating Budget, intends to apply the</t>
  </si>
  <si>
    <t xml:space="preserve"> 1.	The Bureau of Fire Protection Region 8, through the General Appropriations Act CY 2020 intends to apply the sum of One Million Seven Hundred Forty-One Thousand Nine Hundred Thirty-Six Pesos and Forty-Three Centavos (₱1,741,936.43) being the Approved Bu</t>
  </si>
  <si>
    <t xml:space="preserve"> The DPWH-Ilocos Sur 1st District Engineering Office, through its Bids and Awards Committee (BAC), invites contractors to submit bids for the following Contract:   Contract ID: 20AC0054   Contract Name: Concreting of Roads, Brgy. Poblacion East, San Ildefo</t>
  </si>
  <si>
    <t xml:space="preserve"> Package 3 of 17: Supply and Delivery of 305 pairs - Safety Shoes (various sizes)</t>
  </si>
  <si>
    <t xml:space="preserve"> 1 LOT SUPPLY AND DELIVERY OF VARIOUS CONSTRUCTION SUPPLIES 		 Breakdown:		 3	cans	Acrylic paint spray ,800 ml,red 3	cans	Acrylic paint spray,800 ml, yellow 4	pcs	Angle bar, 1/4 in x 1 1/2 in x 1 1/2 x 6 m  2	pcs	Angle bar, 1/4 in x 2 in x 2 in x 6 m 4	gal</t>
  </si>
  <si>
    <t xml:space="preserve"> 1.	The DENR-Environmental Management Bureau Region 2, through the Air Quality Monitoring Fund (Fund 155) CY 2019 and Environmental Revolving Fund (ERF) CY 2020	intends to apply the sum of One Million Three Hundred Thousand Pesos (P1,300,000.00) the contra</t>
  </si>
  <si>
    <t xml:space="preserve"> Package 2 of 17: Supply and Delivery of 117 pcs.-  Respiratory Mask  (Full Face Gas Mask) with inclusion of two (2) Cartridges</t>
  </si>
  <si>
    <t xml:space="preserve"> Procurement of supply and delivery of Training Supplies 1000	pcs	Ballpen, black 1000	pad	Writing pad, customized, 20 sheets (4.25”x5.5”) 400	pcs	Cartolina, white 100	pcs	Pentel pen, black 50	pcs	White board marker, black 20	ream	Bond paper, long size 100	</t>
  </si>
  <si>
    <t xml:space="preserve"> National Power Corporation INVITATION TO BID PUBLIC BIDDING 2020-0076 1.	The NATIONAL POWER CORPORATION (NPC), through       its        approved       Corporate Budget of CY 2020 intends to apply   the   sum   of (Please see schedule below) being the Appr</t>
  </si>
  <si>
    <t xml:space="preserve"> Package 6 of 17: Supply and Delivery of 15 lengths - Riser Pipe with Coupling, 10”Ø x 10 ft. (re-bidding)</t>
  </si>
  <si>
    <t xml:space="preserve"> Package 4 of 17: Supply of Labor and Materials for the Production and Delivery of 19 pcs. Yellow Gold Bracelet with I.D Bar (18k, 12 grams)</t>
  </si>
  <si>
    <t xml:space="preserve"> Package 5 of 17: Supply of Labor and Materials for The Production and Delivery of 22 Pieces Yellow Gold Ring with 0.30k 3rd Class Diamond Stone (18k, 6 Grams)</t>
  </si>
  <si>
    <t xml:space="preserve"> Package 8 of 17: Supply and Delivery of 104 pcs. - 25mm.Ø Water Meter</t>
  </si>
  <si>
    <t xml:space="preserve"> Package 9 of 17: Supply and Delivery of 6,930 pcs. 19mm.Ø (3/4”) Plastic Union Coupling, Compression Type (for CTS Pipe)</t>
  </si>
  <si>
    <t xml:space="preserve"> WATER POTABILITY TESTING	  	  	 25 SAMPLING POINTS ( 3 -  PHYSICO-CHEMICAL AND 22 - MICROBIOLOGICAL TESTS)	 PARAMETERS FOR PHYSIO-CHEMICAL ARE ARSENIC, CADMIUM, LEAD NITRATES, COLOR, TURBIDITY, IRON, Ph, MANGANESE, CHLORIDE, SULFATE AND TOTAL	 DISSOLVED S</t>
  </si>
  <si>
    <t xml:space="preserve"> Package 14 of 17: Supply and Delivery of 328 pcs. D.I. Mechanical Sleeve Type Coupling, 100mm. (4”) Ø (Universal Type)</t>
  </si>
  <si>
    <t xml:space="preserve"> The DPWH-Ilocos Sur 1st District Engineering Office, through its Bids and Awards Committee (BAC), invites contractors to submit bids for the following Contract:   Contract ID: 20AC0056   Contract Name: Construction of Revetment Wall, Barangay Quibit-quibi</t>
  </si>
  <si>
    <t xml:space="preserve"> Package 16 of 17: Supply and Delivery of 3,656 pcs. - G.I. Cross Tee, 19mm.Ø  (Standard)</t>
  </si>
  <si>
    <t xml:space="preserve"> Package 17 of 17: Supply and Delivery of 18,931 pcs. - G.I. Bushing, 19mm. x 12mm (Standard)</t>
  </si>
  <si>
    <t xml:space="preserve"> Package 12 of 17: Supply and Delivery of 100 pcs. – D.I. Gate  Valve  Flange Type 100mm. (4”), Non-Rising Stem with Operating Nut</t>
  </si>
  <si>
    <t xml:space="preserve"> Package 7 of 17: Supply and Delivery of 22 pcs. Red Lead Primed and Cement Line Steel Pipe, 200mm. diameter x 6 meters  and 15 pcs. Red Lead Primed and Cement Line Steel Pipe, 350mm. diameter x 6 meters (re-bidding)</t>
  </si>
  <si>
    <t xml:space="preserve"> SAFETY HARNESS, WHOLE BODY SUPPORT	 SAFETY HARNESS CONTAINING HARNESS, LANYARD AND RUCKSACK PER SET	 (A) HARNESS	    ONE DORSAL ATTACHMENT D-RING AND TEXTILE LOOPS IN FRONT FOR FALL ARREST	    ADJUSTABLE SHOULDER AND LEGS STRAPS	    SIT STRAP	    WEBBING </t>
  </si>
  <si>
    <t xml:space="preserve"> 1. The Bureau of Fire Protection Region 8, through the General Appropriations Act CY 2020 intends to apply the sum of Three Million One Hundred Seventy-Eight Thousand Nine Hundred Thirty-Eight Pesos and Thirteen Centavos (₱3,178,938.13) being the Approved</t>
  </si>
  <si>
    <t xml:space="preserve"> Package 15 of 17: Supply and Delivery of 650 pcs. – Valve Box Cover, 160mm. (Cast Iron or Ductile Iron)</t>
  </si>
  <si>
    <t xml:space="preserve"> Package 11 of 17: Supply and Delivery of 25 units Fire Hydrant Head 4"Ø (Angle Type) and 15 units Fire Hydrant Head 6"Ø (3-Way) (re-bidding)</t>
  </si>
  <si>
    <t xml:space="preserve"> Package 10 of 10: Supply and Delivery of 3,697 pcs. 19mm.Ø (3/4”) Plastic Female Elbow, Compression Type (for CTS Pipe)</t>
  </si>
  <si>
    <t xml:space="preserve"> Contract ID No. 20OH0139 Contract Name: 	Local Program - Construction / Repair / Rehabilitation / Improvement of Various Infrastructure including Local Projects - Local Roads and Bridges - Local Roads - Rehabilitation of Road along Singalong St. and Vicin</t>
  </si>
  <si>
    <t xml:space="preserve"> The DPWH-Ilocos Sur 1st District Engineering Office, through its Bids and Awards Committee (BAC), invites contractors to submit bids for the following Contract:   Contract ID: 20AC0055   Contract Name: Construction of Road From Brgy. Cuta – Brgy. Tamag, V</t>
  </si>
  <si>
    <t xml:space="preserve"> Contract ID No. 20OH0138 Contract Name: 	Local Program - Construction / Repair / Rehabilitation / Improvement of Various Infrastructure including Local Projects - Buildings and Other Structures - Multipurpose / Facilities - Rehabilitation of Technological</t>
  </si>
  <si>
    <t xml:space="preserve"> Package 13 of 17: Supply and Delivery of 33 pcs. – D.I. Gate  Valve  Flange Type, 200mm. (8”), Non-Rising Stem with Operating Nut</t>
  </si>
  <si>
    <t xml:space="preserve"> Contract ID No. 20OH0144 Contract Name: 	Local Program – Construction / Repair / Rehabilitation / Improvement of Various Infrastructure including Local Projects - Buildings and Other Structures - Construction of Various Multi-Purpose Building Barangay 649</t>
  </si>
  <si>
    <t xml:space="preserve"> Contract ID No. 20OH0142 Contract Name: 	Local Program - Local Infrastructure Program - Local Roads and Bridges - Local Roads - Improvement of Pasig Line St., and Oro A. St., and vicinity, Zone 85, Sta. Ana, Manila Contract Location: Manila City Scope of </t>
  </si>
  <si>
    <t xml:space="preserve"> Section I. Invitation to Bid FOR THE UPLB-S-042-03-20 (FORMERLY UPLB-S-120-12-19)  UPGRADE / REHABILITATION OF INTERNET CONNECTION OF BIOTECH 1.	The UNIVERSITY OF THE PHILIPPINES LOS BAÑOS (UPLB), through the GOP intends to apply the sum of NINE HUNDRED F</t>
  </si>
  <si>
    <t xml:space="preserve"> INVITATION TO BID FOR THE REHABILITATION / UPGRADING OF FARM TO MARKET ROAD (SABANGAN PORTION) AT BRGY. SABANGAN, CITY OF ALAMINOS, PANGASINAN 1.	The CITY GOVERNMENT OF ALAMINOS, PANGASINAN through its Development Fund (DF) intends to apply an amount of E</t>
  </si>
  <si>
    <t xml:space="preserve"> Contract ID No. 20OH0145 Contract Name: 	Repair/Maintenance of DPWH Building Quality Section – Laboratory Building South Manila District Engineering Office (Phase 2) Contract Location: Manila City Scope of Work: Construction of Building Source of Fund and</t>
  </si>
  <si>
    <t xml:space="preserve"> Contract ID No. 20OH0143 Contract Name: 	Local Program - Construction / Repair / Rehabilitation / Improvement of Various Infrastructure including Local Projects - Buildings And Other Structures - Multipurpose / Facilities - Construction of New 256th SS Bu</t>
  </si>
  <si>
    <t xml:space="preserve"> The Mayor Hilarion A. Ramiro Sr. Medical Center (MHARSMC), through its Bids and Awards Committee, invites suppliers to apply for eligibility and to bid for the hereunder project: Name of Project	:	Calibration Service of Bio-medical Equipment Location		:	 </t>
  </si>
  <si>
    <t xml:space="preserve"> INVITATION TO BID FOR THE SUPPLY AND DELIVERY OF ASSORTED FOOD SUPPLIES, PAPER CUPS AND OTHER NON-FOOD SUPPLIES FOR VIP BAR  UNDER ITB NO. PB20-02-008ANG The Philippine Amusement and Gaming Corporation (PAGCOR) is inviting all interested bidders in its fo</t>
  </si>
  <si>
    <t xml:space="preserve"> INVITATION TO BID FOR THE CONSTRUCTION OF WINGS OF MULTI-PURPOSE BUILDING AT BRGY. TELBANG, CITY OF ALAMINOS, PANGASINAN 1.	The CITY GOVERNMENT OF ALAMINOS, PANGASINAN through its Development Fund intends to apply an amount of One Million Seven Hundred Fo</t>
  </si>
  <si>
    <t xml:space="preserve"> The DPWH-Ilocos Sur 1st District Engineering Office, through its Bids and Awards Committee (BAC), invites contractors to submit bids for the following Contract:   Contract ID: 20AC0051   Contract Name: Construction of Fuerte Road, Caoayan, Ilocos Sur    B</t>
  </si>
  <si>
    <t xml:space="preserve"> INVITATION TO BID FOR THE CONSTRUCTION OF MULTI-PURPOSE BUILDING AT BRGY. TANGCARANG, CITY OF ALAMINOS, PANGASINAN 1.	The CITY GOVERNMENT OF ALAMINOS, PANGASINAN through its Special Purpose Appropriation (SPA) intends to apply an amount of Two Million Fiv</t>
  </si>
  <si>
    <t xml:space="preserve"> kindly see attached file for your reference.</t>
  </si>
  <si>
    <t xml:space="preserve"> Contract ID No. 20OH0141 Contract Name: 	Local Program - Construction / Repair / Rehabilitation / Improvement of Various Infrastructure including Local Projects - Local Roads and Bridges - Local Roads - Rehabilitation of Various Roads and Alleys, Zone 85 </t>
  </si>
  <si>
    <t xml:space="preserve"> INVITATION TO BID FOR THE EXTENSION OF MULTI-PURPOSE BUILDING AT BRGY. MACATIW, CITY OF ALAMINOS, PANGASINAN 1.	The CITY GOVERNMENT OF ALAMINOS, PANGASINAN through its Special Purpose Appropriation (SPA) intends to apply an amount of Seven Hundred Seventy</t>
  </si>
  <si>
    <t xml:space="preserve"> Contract ID No. 20OH0140 Contract Name: 	Local Program - Construction / Repair / Rehabilitation / Improvement of Various Infrastructure including Local Projects - Flood Control and Drainage - Drainage / Protection Works - Construction of Drainage System (</t>
  </si>
  <si>
    <t xml:space="preserve"> The DPWH-Ilocos Sur 1st District Engineering Office, through its Bids and Awards Committee (BAC), invites contractors to submit bids for the following Contract:   Contract ID: 20AC0053   Contract Name: Construction of Tamurong Seawall, Brgy. Tamurong, Sta</t>
  </si>
  <si>
    <t xml:space="preserve"> Section I. Invitation to Bid FOR THE UPLB-S-031-03-20  SUPPLY AND DELIVERY OF BRANDED AND BRAND NEW INFORMATION TECHNOLOGY PARTS, ACCESSORIES AND PERIPHERALS 1.	The UNIVERSITY OF THE PHILIPPINES LOS BAÑOS (UPLB), through the GOP intends to apply the sum o</t>
  </si>
  <si>
    <t xml:space="preserve"> INVITATION TO BID The Department of Public Works and Highways (DPWH), Cavite 3rd District Engineering Office, Carmona, Cavite through its Bids and Awards Committee (BAC), invites contractors to submit bids for the following Contract: 10. Contract I.D. No.</t>
  </si>
  <si>
    <t xml:space="preserve"> Contract ID No. 20OH0147 Contract Name: 	Local Program – Construction/Repair/Rehabilitation/Improvement of Various Infrastructure Including Local Projects – Local Roads and Bridges -  Local Roads – Improvement/Upgrading of Roads and Drainage, Zone 61 &amp; 62</t>
  </si>
  <si>
    <t xml:space="preserve"> INVITATION TO BID The Department of Public Works and Highways (DPWH), Cavite 3rd District Engineering Office, Carmona, Cavite through its Bids and Awards Committee (BAC), invites contractors to submit bids for the following Contract: 11. Contract I.D. No.</t>
  </si>
  <si>
    <t xml:space="preserve"> National Power Corporation INVITATION TO BID PUBLIC BIDDING 2020-0073 1.	The NATIONAL POWER CORPORATION (NPC), through       its        approved       Corporate Budget of CY 2020 intends to apply   the   sum   of (Please see schedule below) being the Appr</t>
  </si>
  <si>
    <t xml:space="preserve"> Contract ID No. 20OH0146 Contract Name: 	Local Program - Local Infrastructure Program - Buildings And Other Structures - Multipurpose / Facilities - Rehabilitation of Multi-purpose Building/Facilities (Reducto de San Pedro) Intramuros, Manila Contract Loc</t>
  </si>
  <si>
    <t xml:space="preserve"> INVITATION TO BID The National Housing Authority (NHA) Region 4, through the Corporate Budget by the NHA Board for the year 2019 intends to apply the sum of the Approved Budget for the Contract (ABC) to payments for the following contracts: Ref No.	PROJEC</t>
  </si>
  <si>
    <t xml:space="preserve"> Supply of various ICT Equipment  Kindly see attached LINK for the specifications/details: https://drive.google.com/file/d/11gLq-s0y-nzPTdkeA9PKHWrnWfpMQJb-/view?usp=drivesdk</t>
  </si>
  <si>
    <t xml:space="preserve"> INVITATION TO BID The Department of Public Works and Highways (DPWH), Cavite 3rd District Engineering Office, Carmona, Cavite through its Bids and Awards Committee (BAC), invites contractors to submit bids for the following Contract: 12. Contract I.D. No.</t>
  </si>
  <si>
    <t xml:space="preserve"> 1.	The Authority of the Freeport Area of Bataan (AFAB) through its Bids and Awards Committee (BAC) invites suppliers/contractors to apply for eligibility and to participate in the bidding for the above-mentioned project in accordance with the Revised Impl</t>
  </si>
  <si>
    <t xml:space="preserve"> A.1.1(10)	PROVISSION OF LIVING QUARTER FOR THE ENGINEER (RENTAL BASIS)	MO.	5.83 B.4(1)	CONSTRUCTION SURVEY AND STAKING	KM.	0.20 B.5	PROJECT BILLBOARD	EACH	4.00 B.7 (2)	OCCUPATIONAL SAFETY AND HEALTH PROGRAM	L.S.	1.00 B.8(1)	TRAFFIC MANAGEMENT	MONTH	5.83 B</t>
  </si>
  <si>
    <t xml:space="preserve"> Contract Location:  BACACAY, STO. DOMINGO, MALINAO &amp; TABACO CITY, ALBAY Brief Description: WIDENING &amp; CONCRETING OF ROADS Source of Funds: GAA 2020 DPWH INFRA  The BAC is conducting the public bidding for this Contract in accordance with RA 9184 and its I</t>
  </si>
  <si>
    <t xml:space="preserve"> INVITATION TO BID The Department of Public Works and Highways (DPWH), Cavite 3rd District Engineering Office, Carmona, Cavite through its Bids and Awards Committee (BAC), invites contractors to submit bids for the following Contract: 14. Contract I.D. No.</t>
  </si>
  <si>
    <t xml:space="preserve"> INVITATION TO BID The Department of Public Works and Highways (DPWH), Cavite 3rd District Engineering Office, Carmona, Cavite through its Bids and Awards Committee (BAC), invites contractors to submit bids for the following Contract: 13. Contract I.D. No.</t>
  </si>
  <si>
    <t xml:space="preserve"> Contract Location:  FIRST DISTRICT OF ALBAY Brief Description: CONSTRUCTION OF WATER SYSTEM Source of Funds: GAA 2020 DPWH INFRA  The BAC is conducting the public bidding for this Contract in accordance with RA 9184 and its Implementing Rules and Regulati</t>
  </si>
  <si>
    <t xml:space="preserve"> Procurement of supply and delivery of NSIC Approved OPV Yellow Corn Seed 355	Bag	OPV Yellow Corn Seed Note:                                                      1.Date of Harvest not earlier than January 2019                                               </t>
  </si>
  <si>
    <t xml:space="preserve"> Section I. Invitation to Bid FOR THE UPLB-S-044-03-20  SUPPLY, DELIVERY AND INSTALLATION OF BRANDED AND BRAND NEW VARIOUS LABORATORY EQUIPMENT 1.	The UNIVERSITY OF THE PHILIPPINES LOS BAÑOS (UPLB), through the GOP intends to apply the sum of TWO MILLION T</t>
  </si>
  <si>
    <t xml:space="preserve"> Contract ID: 			20GO0038 Contract 	Name: 			 Widening/Improvement/Upgrading of Honorata Manalo  (Buri Road), Brgy. Mandalagan, Bacolod City Contract 	Location: 		 Brgy. Mandalagan, Bacolod City, Negros Occidental Brief Description:                   Widen</t>
  </si>
  <si>
    <t xml:space="preserve"> The DPWH-Ilocos Sur 1st District Engineering Office, through its Bids and Awards Committee (BAC), invites contractors to submit bids for the following Contract:   Contract ID: 20AC0052   Contract Name: Improvement of Vigan – Bantay Bypass Road, Nagsangala</t>
  </si>
  <si>
    <t xml:space="preserve"> B3	PERMITS AND CLEARANCES	L.S	1.00 B5	PROJECT BILLBOARD/SIGNBOARD	EA	2.00 B7(2)	OCCUPATIONAL SAFETY ANDHEALTH PROGRAM	L.S	1.00 803(1)a	STRUCTURE EXCAVATION (COMMON SOIL)	CU.M.	22.11 804(1)b	EMBANKMENT FROM COMMON BORROW	CU.M.	48.30 804(4)	GRAVEL BEDDING	C</t>
  </si>
  <si>
    <t xml:space="preserve"> AGD-074-0 Republic of the Philippines SAN PABLO CITY WATER DISTRICT Maharlika Highway, Brgy. San Gabriel, San Pablo City Telefax. No. (049) 503-0075 INVITATION TO BID  SECURITY GUARD SERVICES 1.	The San Pablo City Water District, through the 2020 Approved</t>
  </si>
  <si>
    <t xml:space="preserve"> 1	Hemorrhagic Septicemia	bots.	18		 2	Albendazole (de-wormer)	ltrs.	95		 3	Anti-rabies	vials	400		 4	Norfloxacine 20grams	boxes	10		 5	Cotrimoxazole	boxes	5		 6	Amoxicillin + Tylosin + Bromhixine	boxes	3		 7	Butasphospan + B12 100ml	bots.	5		 8	B Complex </t>
  </si>
  <si>
    <t xml:space="preserve"> Bicol Medical Center Concepcion Pequeña, Naga City, 4400 0998 - 247 – 0239 / 0906 – 256 -9238          E-mail Address: bmc.bacoffice@gmail.com INIVITATION TO BID SUPPLY, DELIVERY, INSTALLATION, TESTING AND COMMISSIONING OF AIRCONDITIONING UNITS AT PSYCHIA</t>
  </si>
  <si>
    <t xml:space="preserve"> this project consist of delivery of medical x-ray machine with complete accessories please see attached detailed bill of quantities</t>
  </si>
  <si>
    <t xml:space="preserve"> 1. The Civil Aviation Authority of the Philippines, through the CAAP Corporate Budget for CY 2020 intends to apply the sum of SIXTEEN MILLION PESOS (Php 16,000,000.00) being the Approved Budget for the Contract (ABC) to payments under the contract for the</t>
  </si>
  <si>
    <t xml:space="preserve"> INVITATION TO BID FOR THE SUPPLY, DELIVERY AND INSTALLATION OF ATTENDANCE CAPTURING MACHINES under ITB No. PB20-01-017COR The Philippine Amusement and Gaming Corporation (PAGCOR) is inviting all interested bidders in its forthcoming public bidding for the</t>
  </si>
  <si>
    <t xml:space="preserve"> INVITATION TO BID  SECURITY SERVICES FOR THE NATIONAL PRIVACY COMMISSION 1.	The National Privacy Commission, through the General Appropriations Act CY2020  intends to apply the sum of Php2,150,000.00 being the Approved Budget for the Contract (ABC) to pay</t>
  </si>
  <si>
    <t xml:space="preserve"> REQUEST FOR EXPRESSION OF INTEREST (REOI) FOR CONSULTING SERVICES  19CSK00049 – Consultancy Services for the Conduct of Feasibility Study for Misamis Occidental Economic Zone Diversion Road (ReXPRIP-29), Misamis Occidental 1st and 2nd Legislative District</t>
  </si>
  <si>
    <t xml:space="preserve"> REQUEST FOR EXPRESSION OF INTEREST (REOI) FOR CONSULTING SERVICES  19CSK00048 – Consultancy Services for the Conduct of Feasibility Study for Tubod-Kapatagan Bypass Road, Sapad-Pualas Road, Kauswagan-Poona Piagapo-Marantao Road, Balo-i Bypass Road, (ReXPR</t>
  </si>
  <si>
    <t xml:space="preserve"> Republic of the Philippines  	BULACAN STATE UNIVERSITY City of Malolos, Bulacan ________________________________________ INVITATION TO APPLY AND TO BID  PROCUREMENT OF STUDENT PERSONAL ACCIDENT INSURANCE A.Y. 2020-2021 (BulSU-BAC-G-2020-17) The BULACAN ST</t>
  </si>
  <si>
    <t xml:space="preserve"> Invitation to Bid for IMPROVEMENT OF ACCOUNTING OFFICE, A.G. SAMONTE HALL BUILDING, UPLB, COLLEGE, LAGUNA 1.	The U.P. LOS BAÑOS, through the GOP through UPLB Reprogrammed Funds intends to apply the sum of ₱9,694,545.45 being the Approved Budget for the Co</t>
  </si>
  <si>
    <t xml:space="preserve"> A.1.1(10)	PROVISSION OF LIVING QUARTER FOR THE ENGINEER (RENTAL BASIS)	MO.	5.70 B.4(1)	CONSTRUCTION SURVEY AND STAKING	KM.	0.11 B.5	PROJECT BILLBOARD	EACH	4.00 B.7 (2)	OCCUPATIONAL SAFETY AND HEALTH PROGRAM	L.S.	1.00 B.8(1)	TRAFFIC MANAGEMENT	MONTH	5.70 B</t>
  </si>
  <si>
    <t xml:space="preserve"> Republic of the Philippines City Government of Cotabato BIDS AND AWARDS COMMITTEE Cotabato City Invitation to Bid for the Construction of Community Fish Landing at Poblacion 1, Cotabato City (Phase 1) 1.  	The City Government of Cotabato through Trust Fun</t>
  </si>
  <si>
    <t xml:space="preserve"> The ZAMBOANGA CITY STATE POLYTECHNIC COLLEGE through its Bids and Awards Committee (BAC) is inviting PHILGEPS registered suppliers to apply for eligibility and to submit bids for the items listed below: 1.	Stainless utility rack 4-layer, 1200mm L x 500mm </t>
  </si>
  <si>
    <t xml:space="preserve"> The ZAMBOANGA CITY STATE POLYTECHNIC COLLEGE through its Bids and Awards Committee (BAC) is inviting PHILGEPS registered suppliers to apply for eligibility and to submit bids for the items listed below: 1.	Mini-Dump Truck (Waste Disposal Vehicle) (1 Unit)</t>
  </si>
  <si>
    <t xml:space="preserve"> Republic of the Philippines BULACAN STATE UNIVERSITY City of Malolos, Bulacan ________________________________________ INVITATION TO BID FOR    Supply and Delivery of Fabrication Laboratory Equipment for Regional Development Center (BulSU-BAC-G-2020-04) T</t>
  </si>
  <si>
    <t xml:space="preserve"> Lot 1 (Lot 6 Rebid)  REPAIR OF CLASSROOMS AT LANAO DEL NORTE PROVINCIAL SCIENCE AND TECHNOLOGY HS,TUBOD,LDN	 ABC Php3,759,553.34	 Contract Days: 90 CD	 Cost of Bidding Documents: Php5,000.00 The bidding shall be governed by the Implementing Rules and Regu</t>
  </si>
  <si>
    <t xml:space="preserve"> The Department of Tourism (hereinafter called “Procuring Entity” has received financing (hereinafter called “funds”) from General Appropriations Act 2020 (hereinafter called the “Funding Source”) toward the cost of Procurement for the Services of Tourism </t>
  </si>
  <si>
    <t xml:space="preserve"> REQUEST FOR EXPRESSION OF INTEREST FOR THE CONSULTING SERVICES FOR THE DETAILED ENGINEERING DESIGN OF METRO CEBU FLOOD CONTROL PROJECTS                                                                                                                        </t>
  </si>
  <si>
    <t xml:space="preserve"> The ZAMBOANGA CITY STATE POLYTECHNIC COLLEGE through its Bids and Awards Committee (BAC) is inviting PHILGEPS registered suppliers to apply for eligibility and to submit bids for the items listed below: 1.	PASSENGER VAN (EMERGENCY EVACUATION VEHICLE)(1 Un</t>
  </si>
  <si>
    <t xml:space="preserve"> PLS. SEE ATTACHED PURCHASE REQUISITION, TERMS OF REFERENCE, &amp; BID DOCUMENTS FOR DETAILS</t>
  </si>
  <si>
    <t xml:space="preserve"> National Power Corporation INVITATION TO BID PUBLIC BIDDING 2020-0072 1.	The NATIONAL POWER CORPORATION (NPC), through       its        approved       Corporate Budget of CY 2020 intends to apply   the   sum   of (Please see schedule below) being the Appr</t>
  </si>
  <si>
    <t xml:space="preserve"> Submission of Quotation on a sealed envelope submit it to  UPLB BAC Secretariat SPMO Rambutan, Road. Telephone No. (049) 544-0382</t>
  </si>
  <si>
    <t xml:space="preserve"> Section I. Invitation to Bid FOR THE UPLB-RES-024-03-20  SUPPLY AND DELIVERY OF BRANDED AND BRAND NEW APPLIANCES FOR IHNF 1.	The UNIVERSITY OF THE PHILIPPINES LOS BAÑOS (UPLB), through the GOP (LB03071001-C0002504-N827831) intends to apply the sum of TWO </t>
  </si>
  <si>
    <t xml:space="preserve"> INVITATION TO BID Febuary 21, 2020 The DPWH-Quirino District Engineering Office, through its Bids and Awards Committee (BAC), invites contractors to submit bids for the following Contract: Contract I.D.  	:	20BK0129 Name of Project	:	Water Distribution Sy</t>
  </si>
  <si>
    <t xml:space="preserve"> INVITATION TO BID Febuary 21, 2020 The DPWH-Quirino District Engineering Office, through its Bids and Awards Committee (BAC), invites contractors to submit bids for the following Contract: Contract I.D.  	:	20BK0130 Name of Project	:	Water Distribution Sy</t>
  </si>
  <si>
    <t xml:space="preserve"> Republic of the Philippines										 BIDS AND AWARDS COMMITTEE										 Baguio City										 (074) 300-6537/ (074)442-8795										 BID FORM										 CP No. 2020-33 Bidding									February 26, 2020	 Circular Proposal No.									Date Prepared	 					</t>
  </si>
  <si>
    <t xml:space="preserve"> A.1.1(10)	PROVISSION OF LIVING QUARTER FOR THE ENGINEER (RENTAL BASIS)	MO.	5.70 B.4(1)	CONSTRUCTION SURVEY AND STAKING	KM.	0.43 B.5	PROJECT BILLBOARD	EACH	4.00 B.7 (2)	OCCUPATIONAL SAFETY AND HEALTH PROGRAM	L.S.	1.00 B.8(1)	TRAFFIC MANAGEMENT	MONTH	5.70 B</t>
  </si>
  <si>
    <t xml:space="preserve"> delivery and installation of solar submersible pumps</t>
  </si>
  <si>
    <t xml:space="preserve"> DESCRIPTION	UNIT	QUANTITY PART A	FACILITIES FOR THE ENGINEER		 A.1.1(10)	PROVISION OF LIVING QUARTER FOR THE ENGINEER (RENTAL BASIS)	MO.	5.60 PART B	OTHER GENERAL REQUIREMENTS		 B.4(1)	CONSTRUCTION SURVEY AND STAKING	KM.	0.24 B.5	PROJECT BILLBOARD	EACH	4.</t>
  </si>
  <si>
    <t xml:space="preserve"> Invitation to Bid The National Housing Authority (NHA), through the Corporate Budget approved by the NHA Board for CY 2020 intends to apply the sum of the Approved Budget for the Contract (ABC) to payments for the PROCUREMENT OF ADDITIONAL FULLY DEVELOPED</t>
  </si>
  <si>
    <t xml:space="preserve"> INVITATION TO BID FOR THE SUPPLY AND DELIVERY OF 13,590 BOTTLES OF FIVE-(5) GALLON PURIFIED DRINKING WATER UNDER ITB NO. PB20-02-003MAL The Philippine Amusement and Gaming Corporation (PAGCOR) is inviting all interested bidders in its forthcoming Public B</t>
  </si>
  <si>
    <t xml:space="preserve"> delivery of motor vehicle with complete accessories</t>
  </si>
  <si>
    <t xml:space="preserve"> Section I. Invitation to Bid FOR THE UPLB-RES-025-03-20  SUPPLY AND DELIVERY OF BRANDED AND BRAND NEW LABORATORY AND SCIENTIFIC EQUIPMENT FOR IHNF 1.	The UNIVERSITY OF THE PHILIPPINES LOS BAÑOS (UPLB), through the GOP (LB03071001-C0002504-N827831) intends</t>
  </si>
  <si>
    <t xml:space="preserve"> PLS. SEE ATTACHED PURCHASE REQUISITION, TERMS OF REFERENCE &amp; BID DOCUMENTS FOR DETAILS</t>
  </si>
  <si>
    <t xml:space="preserve"> Procurement and Delivery of ICT Equipment</t>
  </si>
  <si>
    <t xml:space="preserve"> Section I. Invitation to Bid FOR THE UPLB-RES-026-03-20  PROCUREMENT OF DIAGNOSTIC AND LABORATORY SERVICES FOR BIOTECH  1.	The UNIVERSITY OF THE PHILIPPINES LOS BAÑOS (UPLB), through the GOP (LB03023001 – C0002400 - N9A8847) intends to apply the sum of TW</t>
  </si>
  <si>
    <t xml:space="preserve"> Repair/Maintenance including Road Slips</t>
  </si>
  <si>
    <t xml:space="preserve"> see attached.</t>
  </si>
  <si>
    <t xml:space="preserve"> Invitation to Bid No. 2020-02-03 PROCUREMENT OF VARIOUS LIBRARY BOOKS FOR ULRC AND COM (RE-BIDDING)  1.	The West Visayas State University, through the GAA 2020 intends to apply the sum of Six Hundred Thousand Pesos (PhP600,000.00) Only being the Approved </t>
  </si>
  <si>
    <t xml:space="preserve"> INVITATION TO BID The National Development Company (NDC), through its Bids &amp; Awards Committee, invites bids for the public bidding of the project specified below: Name of Project          :	4th Public Bidding of the Site Development Works for the NDC Indu</t>
  </si>
  <si>
    <t xml:space="preserve"> INVITATION TO BID FOR SUPPLY AND DELIVERY OF TWO (2) LOTS FOOD SUPPLIES FOR VIP BAR-COOKED, CANNED AND PROCESSED FOOD ITEMS UNDER ITB No. PB20-02-001MAB  The Philippine Amusement and Gaming Corporation (PAGCOR) is inviting all interested bidders in its fo</t>
  </si>
  <si>
    <t xml:space="preserve"> Invitation to Bid for  “Borehole Drilling and Geotechnical Analysis in 3 Sites in Luzon, Visayas and Mindanao” 1.	The Philippine Institute of Volcanology and Seismology, through the GAA 2020 intends to apply the sum of Two Million Pesos Only (₽ 2,000,000.</t>
  </si>
  <si>
    <t xml:space="preserve"> Please see attached RFQ # 20-663-1 Submit your Sign and Sealed Quotation together with your UPDATED ELIGIBILITY Requirements For more details please call BUB/Planning (426-0593) Technical Requirements: 1. Valid Business Permit / Mayor's Permit 2. Valid Ph</t>
  </si>
  <si>
    <t xml:space="preserve"> Republic of the Philippines COMMISSION ON ELECTIONS M a n i l a INVITATION TO BID Supply and Delivery of Microsoft Office Home and Business for Installation in the Computers with Installed Ubuntu Operating System in the Main and Field Offices of the Commi</t>
  </si>
  <si>
    <t xml:space="preserve"> Soil/Geotechnical Investigation</t>
  </si>
  <si>
    <t xml:space="preserve"> Republic of the Philippines PROVINCE OF PAMPANGA City of San Fernando INVITATION TO BID NO. 2020-10 IG-BAC INVITATION TO BID FOR PURCHASE REQUEST NO. 19-3492, 19-2645 and 19-3009 The Provincial Government of Pampanga (“Province”) intends to apply the foll</t>
  </si>
  <si>
    <t xml:space="preserve"> INVITATION TO BID The Surigao del Sur 1st District Engineering Office, Tandag City, through its Bids and Awards Committee (BAC), invites contractors to submit bids for the following Contract: CONTRACT ID	:	20NH0072 CONTRACT NAME	:	Upgrading of Water Syste</t>
  </si>
  <si>
    <t xml:space="preserve"> INVITATION TO BID The Department of Public Works and Highways - Pampanga 1st District Engineering Office, through its Bids and Awards Committee (BAC), invites contractors to submit bids for the following Contract: 1.	 Procurement ID/Contract ID	:	20CG0119</t>
  </si>
  <si>
    <t xml:space="preserve"> National Power Corporation INVITATION TO BID PUBLIC BIDDING 2020-0068 1.	The NATIONAL POWER CORPORATION (NPC), through       its        approved       Corporate Budget of CY 2020 intends to apply   the   sum   of (Please see schedule below) being the Appr</t>
  </si>
  <si>
    <t xml:space="preserve"> National Power Corporation INVITATION TO BID PUBLIC BIDDING 2020-0067 1.	The NATIONAL POWER CORPORATION (NPC), through       its        approved       Corporate Budget of CY 2020 intends to apply   the   sum   of (Please see schedule below) being the Appr</t>
  </si>
  <si>
    <t xml:space="preserve"> INVITATION TO BID The Department of Public Works and Highways - Pampanga 1st District Engineering Office, through its Bids and Awards Committee (BAC), invites contractors to submit bids for the following Contract: 1.	 Procurement ID/Contract ID	:	20CG0118</t>
  </si>
  <si>
    <t xml:space="preserve"> INVITATION TO BID FOR THE PROCUREMENT OF THE MPLS IPVN WIDE AREA NETWORK CONNECTIVITY FOR PAGCOR BRANCHES AND SATELLITES FOR A PERIOD OF TWO (2) YEARS  UNDER ITB NO. PB20-02-029COR The Philippine Amusement and Gaming Corporation (PAGCOR) is inviting all i</t>
  </si>
  <si>
    <t xml:space="preserve"> Invitation to Bid For   One (1) Lot Supply, Delivery and Installation of Signage, ATM Acrylic Frame Panels, Glass Panel Stickers, Rehabilitation of ATM Sunshade, Dismantling of Existing Signage and Removal of Existing Glass Panel Stickers at LANDBANK Alle</t>
  </si>
  <si>
    <t xml:space="preserve"> INVITATION TO BID FOR THE PROCUREMENT OF  DISASTER RECOVERY SITE (CLOUD) WITH AN ABC OF PHP5,000,000.00 1.	The Philippine Charity Sweepstakes Office (PCSO), through the 2020 Corporate Operating Budget intends to apply the sum of Five Million Pesos (Php5,0</t>
  </si>
  <si>
    <t xml:space="preserve"> Section I. Invitation to Bid FOR THE UPLB-S-039-03-20  SUPPLY, DELIVERY AND INSTALLATION OF BRANDED AND BRAND NEW VARIOUS APPLIANCES 1.	The UNIVERSITY OF THE PHILIPPINES LOS BAÑOS (UPLB), through the GOP intends to apply the sum of ONE MILLION ONE HUNDRED</t>
  </si>
  <si>
    <t xml:space="preserve"> Section I. Invitation to Bid FOR THE UPLB-S-038-03-20  SUPPLY AND DELIVERY OF BRANDED AND BRAND NEW VARIOUS WINDOW TYPE AIRCONDITIONING UNITS 1.	The UNIVERSITY OF THE PHILIPPINES LOS BAÑOS (UPLB), through the GOP intends to apply the sum of TWO MILLION SE</t>
  </si>
  <si>
    <t xml:space="preserve"> INVITATION TO BID SUPPLY AND DELIVERY OF FIVE (5) UNITS SPORTS UTILITY VEHICLE (SUV) (REBIDDING)   The Pag-IBIG Fund Corporate Headquarters, through its Bids and Awards Committee – Goods and Services (BAC-GS) intends to apply the sum of Eight Million Five</t>
  </si>
  <si>
    <t xml:space="preserve"> Section I. Invitation to Bid FOR THE UPLB-S-033-03-20  SUPPLY, DELIVERY AND INSTALLATION OF BRANDED AND BRAND NEW AUDIO VISUAL EQUIPMENT 1.	The UNIVERSITY OF THE PHILIPPINES LOS BAÑOS (UPLB), through the GOP intends to apply the sum of ONE MILLION SIX HUN</t>
  </si>
  <si>
    <t xml:space="preserve"> Section I. Invitation to Bid FOR THE UPLB-S-037-03-20  SUPPLY AND DELIVERY OF BRANDED AND BRAND NEW VARIOUS AGRICULTURAL MACHINERY AND EQUIPMENT 1.	The UNIVERSITY OF THE PHILIPPINES LOS BAÑOS (UPLB), through the GOP intends to apply the sum of TWO MILLION</t>
  </si>
  <si>
    <t xml:space="preserve"> INVITATION TO BID 1.	The National Irrigation Administration (NIA) Balog-Balog Multipurpose Project Phase II, Matatalaib, Tarlac City through the GAA for 2019 and 2020 intends to apply the following sum to payments of the corresponding contracts listed her</t>
  </si>
  <si>
    <t xml:space="preserve"> Section I. Invitation to Bid FOR THE UPLB-S-032-03-20  PROCUREMENT FOR REHABILITATION/UPGRADE OF INTERNET CONNECTION FOR VARIOUS OFFICES 1.	The UNIVERSITY OF THE PHILIPPINES LOS BAÑOS (UPLB), through the GOP intends to apply the sum of THREE MILLION EIGHT</t>
  </si>
  <si>
    <t xml:space="preserve"> Section I. Invitation to Bid FOR THE UPLB-S-034-03-20  SUPPLY AND DELIVERY OF BRANDED AND BRAND NEW VARIOUS OFFICE EQUIPMENT 1.	The UNIVERSITY OF THE PHILIPPINES LOS BAÑOS (UPLB), through the GOP intends to apply the sum of NINE HUNDRED FIFTY THOUSAND FIV</t>
  </si>
  <si>
    <t xml:space="preserve"> INVITATION TO BID FOR SUPPLY AND DELIVERY OF SIX (6) LOTS CONSTRUCTION/HARDWARE, ELECTRICAL/LIGHTING, PLUMBING, LUMBER, PAINTING AND UPHOLSTERY MATERIALS FOR VARIOUS CORPORATE DEPARTMENTS AND SOG’S UNDER ITB No. PB20-02-030COR The Philippine Amusement and</t>
  </si>
  <si>
    <t xml:space="preserve"> UNIVERSITY OF THE PHILIPPINES MANILA The Health Sciences Center 8/F Philippine General Hospital REQUEST FOR EXPRESSION OF INTEREST 1. 	The University of the Philippines Manila, through 164 Reprogrammed intends to apply the sum of Five Million Three Hundre</t>
  </si>
  <si>
    <t xml:space="preserve"> National Power Corporation INVITATION TO BID PUBLIC BIDDING 2020-0065 1.	The NATIONAL POWER CORPORATION (NPC), through       its        approved       Corporate Budget of CY 2020 intends to apply   the   sum   of (Please see schedule below) being the Appr</t>
  </si>
  <si>
    <t xml:space="preserve"> National Power Corporation INVITATION TO BID PUBLIC BIDDING 2020-0066 1.	The NATIONAL POWER CORPORATION (NPC), through       its        approved       Corporate Budget of CY 2020 intends to apply   the   sum   of (Please see schedule below) being the Appr</t>
  </si>
  <si>
    <t xml:space="preserve"> National Power Corporation INVITATION TO BID PUBLIC BIDDING 2020-0059 1.	The NATIONAL POWER CORPORATION (NPC), through       its        approved       Corporate Budget of CY 2020 intends to apply   the   sum   of (Please see schedule below) being the Appr</t>
  </si>
  <si>
    <t xml:space="preserve"> REQUEST FOR EXPRESSION OF INTEREST FOR DETAILED ARCHITECTURAL AND ENGINEERING DESIGN (DAED) OF THE PROPOSED PILOT PLANT AND SCREENHOUSES FOR BIOFERTILIZERS, BIOSTIMULANTS AND BIOPESTICIDES AT BIOTECH-UPLB 1.	The UP Los Baños, through the GOP intends to ap</t>
  </si>
  <si>
    <t xml:space="preserve"> REQUEST FOR EXPRESSION OF INTEREST FOR DETAILED ARCHITECTURAL AND ENGINEERING DESIGN (DAED) OF THE PROPOSED CONSTRUCTION OF THE ELECTRICAL ENGINEERING BUILDING PHASE 2 1.	The UP Los Baños, through the GOP intends to apply the sum of Three Million Five Hun</t>
  </si>
  <si>
    <t xml:space="preserve"> Republic of the Philippines DEPARTMENT OF HEALTH TALISAY DISTRICT HOSPITAL        (DR. JACINTO VELEZ SR. MEMORIAL HOSPITAL) San Isidro, Talisay City, Cebu (032)273-8785  (032) 273-8785 talisaydistricthospital@gmail.com http://www.tdh.doh.gov.ph INVITAT</t>
  </si>
  <si>
    <t xml:space="preserve"> Republic of the Philippines COMMISSION ON ELECTIONS M a n i l a INVITATION TO BID Supply and Delivery of Sheet Fed Scanners for the Document Management System (DMS) Project of the Commission (BAC Ref No. 04-2020SFC) Approved Budget for the Contract:  Php2</t>
  </si>
  <si>
    <t xml:space="preserve"> Republic of the Philippines COMMISSION ON ELECTIONS M a n i l a INVITATION TO BID Supply and Delivery of Printer Toner Cartridges for Replenishment of Stocks for 1st Quarter FY 2020 (BAC Ref No. 03-2020PTC) Approved Budget for the Contract:  Php35,596,000</t>
  </si>
  <si>
    <t xml:space="preserve"> Republic of the Philippines DEPARTMENT OF HEALTH TALISAY DISTRICT HOSPITAL        (DR. JACINTO VELEZ SR. MEMORIAL HOSPITAL) San Isidro, Talisay City, Cebu (032)273-3226  (032) 273-3226 talisaydistricthospital@gmail.com http://www.tdh.doh.gov.ph INVITAT</t>
  </si>
  <si>
    <t xml:space="preserve"> 20HN0104 -LP: Local Infrastructure Program -Local Roads and Bridges – Local Bridges - Widening/Retrofitting of Opao Bridge, Mandaue City (Modified to: Widening of Opao Bridge, Mandaue City)</t>
  </si>
  <si>
    <t xml:space="preserve"> Section I. Invitation to Bid FOR THE UPLB-S-030-03-20  PROCUREMENT OF SIPHONING SERVICES OF SEPTIC TANKS FOR UPLB DORMITORIES (NEW DORMITORY, VETMED DORMITORY, FORESTRY RESIDENCE HALL, NEW FORESTRY RESIDENCE HALL) 1.	The UNIVERSITY OF THE PHILIPPINES LOS </t>
  </si>
  <si>
    <t xml:space="preserve"> Republic of the Philippines BULACAN STATE UNIVERSITY City of Malolos, Bulacan Tel nos.: (044) 919-7800 loc. 1053/ (044) 794-7755 BIDS AND AWARDS COMMITTEE FOR GOODS, SUPPLIES, AND SERVICES Project Reference No.: BulSU-BAC-G-2020-16                        </t>
  </si>
  <si>
    <t xml:space="preserve"> The Tagum Water District, through its Bids and Awards Committee (BAC), invites suppliers/manufacturer/distributors to apply for eligibility and to bid on the hereunder project: NAME OF CONTRACT : Supply and Delivery of Assorted Cast Iron &amp; Ductile Iron Fi</t>
  </si>
  <si>
    <t xml:space="preserve"> The Tagum Water District, through its Bids and Awards Committee (BAC), invites suppliers/manufacturer/distributors to apply for eligibility and to bid on the hereunder project: NAME OF CONTRACT : Supply and Delivery of Water Meter Test Bench Location : Na</t>
  </si>
  <si>
    <t xml:space="preserve"> INVITATION TO BID The City Government of Pasay, through its Bids and Awards Committee (BAC) invites suppliers/manufacturers/distributors/contractors to apply and submit sealed bids for the supply and delivery of the following: Supply and delivery of  10,0</t>
  </si>
  <si>
    <t xml:space="preserve"> INVITATION TO BID FOR THE SUPPLY AND DELIVERY OF THREE (3) LOTS CONSTRUCTION/HARDWARE, PAINTING AND UPHOLSTERY MATERIALS FOR VARIOUS REPAIRS OF OFFICE FURNITURE AND FIXTURES OF FRWD  under ITB No. PB20-02-028COR The Philippine Amusement and Gaming Corpora</t>
  </si>
  <si>
    <t xml:space="preserve"> The Tagum Water District, through its Bids and Awards Committee (BAC), invites suppliers/manufacturer/distributors to apply for eligibility and to bid on the hereunder project: NAME OF CONTRACT : Supply and Delivery of uPVC Pipes of Various Sizes Location</t>
  </si>
  <si>
    <t xml:space="preserve"> Republic of the Philippines Province of Batangas MUNICIPALITY OF LOBO REQUEST FOR EXPRESSION OF INTEREST FOR   CONSULTANCY SERVICES FOR FEASIBILITY STUDY, PRE-ENGINEERING AND DETAILED ENGINEERING DESIGN OF FARM TO MARKET ROAD PROJECT PHASE II (Range from </t>
  </si>
  <si>
    <t xml:space="preserve"> The DPWH-North Manila District Engineering Office, through its Bids and Awards Committee (BAC) invites contractors to submit bids for the following Contract: 2.	 Contract I.D. No. 20OE0114 Contract Name: Rehabilitation of School Building at Gen. Licerio G</t>
  </si>
  <si>
    <t xml:space="preserve"> The Zamboanga del Norte 3rd District Engineering Office, through its Bids and Awards Committee (BAC), invites contractors to submit bids for the Contract:												 												 Contract ID:				20JD0100								 Contract Name:				Construction of Water Su</t>
  </si>
  <si>
    <t xml:space="preserve"> The DPWH-North Manila District Engineering Office, through its Bids and Awards Committee (BAC) invites contractors to submit bids for the following Contract: 1.	Contract I.D. No. 20OE0108 Contract Name: Rehabilitation of School Building at P. Burgos Eleme</t>
  </si>
  <si>
    <t xml:space="preserve"> REQUEST FOR EXPRESSION OF INTEREST (REOI) FOR CONSULTING SERVICES  19CSK00042 – Soil Testing/ Exploration for Bridge Projects-Geotechnical Investigation of the Construction of By-Pass and Diversion Roads, Puerto-Claveria By-Pass Road, Package 5, Misamis O</t>
  </si>
  <si>
    <t xml:space="preserve"> Conctract ID No.	:	20K00283 Conctract Name	:	Construction of Multi-Purpose Building, Brgy. Gadongan, Ditsaan-Ramain, Patani, Marawi City, Lanao del Sur Conctract Location	:	Lanao del Sur Scope of Work	:	Construction of Multi-Purpose Building Appropriation</t>
  </si>
  <si>
    <t xml:space="preserve"> One (1) Lot – Upgrading of Gates of BSP Tacloban Branch Office, as per BSP Terms of Reference</t>
  </si>
  <si>
    <t xml:space="preserve"> REQUEST FOR EXPRESSION OF INTEREST (REOI) FOR CONSULTING SERVICES  19CSK00044 – Soil Testing/ Exploration for Bridge Projects-Geotechnical Investigation for the Construction of By-Pass and Diversion Roads, Eastern Interior By-Pass Road (Gusa Puerto/ Jct. </t>
  </si>
  <si>
    <t xml:space="preserve"> REQUEST FOR EXPRESSION OF INTEREST (REOI) FOR CONSULTING SERVICES  19CSK00043 – Soil Testing/ Exploration for Bridge Projects-Geotechnical Investigation for the Construction of By-Pass and Diversion Roads, CDO-New Western Diversion Road, (Canito-an-Cagaya</t>
  </si>
  <si>
    <t xml:space="preserve"> The Zamboanga del Norte 3rd District Engineering Office, through its Bids and Awards Committee (BAC), invites contractors to submit bids for the Contract:												 												 Contract ID:				20JD0094								 Contract Name:				Construction of Water Sy</t>
  </si>
  <si>
    <t xml:space="preserve"> 200 pcs, Gloves Orthopedic, size 7.5, sterile 200 pcs, Gloves Orthopedic, size 8.00</t>
  </si>
  <si>
    <t xml:space="preserve"> 400 roll, Bandage Elastic 4"width</t>
  </si>
  <si>
    <t xml:space="preserve"> A. Clearing. Layout and false works B. Excavation C. Concrete Line Canal with Concrete Cover and Concrete Shoulder D. Concrete Line Canal</t>
  </si>
  <si>
    <t xml:space="preserve"> 50 pcs, Bottle, glass with rubber cover, 1000ml,  (Dextrose Type)</t>
  </si>
  <si>
    <t xml:space="preserve"> Provision of Labor, Materials and Equipment for the Construction of Tanod OutPost at Brgy. Anibongon, Abuyog, Leyte in accordance with the plan and specifications : SCOPE OF WORKS: * Removal of Structure &amp; Obstruction &gt; 1.00 lot * Structure Excavation - -</t>
  </si>
  <si>
    <t xml:space="preserve"> Invitation to Bid For   Supply, Delivery and Installation of Digital Corner Counter at Various LANDBANK Offices 1.	The LAND BANK OF THE PHILIPPINES (LANDBANK), through its Corporate Budget for the contract approved by the Board of Directors for 2019 inten</t>
  </si>
  <si>
    <t xml:space="preserve"> 20HN0097 -LP: Construction/Repair/ Rehabilitation/Improvement of Various Infrastructure including Local Projects - Local Roads and Bridges - Local Roads - Construction of Diversion Road, Brgy. Garing, Consolacion, Cebu (Modified to: Concreting/Improvement</t>
  </si>
  <si>
    <t xml:space="preserve"> 30 pieces of Anethesia Flex Mask, Adult 10 pieces of Anethesia Flex Mask, Child/Small Adult 10 pieces of Anethesia Flex Mask, Neonatal</t>
  </si>
  <si>
    <t xml:space="preserve"> Procurement of supply and delivery of agricultural supplies 40	Bag	Organic fertilizer 50	Cu.m	Decompose rice hull 70	Piece	Plastic pots round 30cm. 50	Piece	Plastic pots round 20cm 10,000	Piece	Polyethylene bag (6x8inches) 0.003mm PR# 2020-118</t>
  </si>
  <si>
    <t xml:space="preserve"> 30 pieces of Airway Oropharyngeal guide , Size 4</t>
  </si>
  <si>
    <t xml:space="preserve"> 5 pieces of Cervical Collar, Rigid, Philadelphia, Adult, rigid, non-toxic hypo allergenic, latex-free foam 5 pieces of Cervical Collar, Rigid Philadelphia, Pedia, rigid, non-toxic hypo allergenic, latex-free foam</t>
  </si>
  <si>
    <t xml:space="preserve"> Contract Name: Improvement of Multi – Purpose Facilities, Brgy. 617, Manila City Contract Location: Manila City      Brief Description: Improvement of Multi – Purpose Building      Approved Budget for the Contract (ABC):  Php 48,999,996.39      Source of </t>
  </si>
  <si>
    <t xml:space="preserve"> Procurement of supply and delivery of services for equipment calibration 11	unit	Single Channel Pipettor 5	unit	Multi Channel Pipettor 5	unit	Incubator/Oven 2	unit	Refrigerator 		PAB Certified Calibrator PR# 2020-268</t>
  </si>
  <si>
    <t xml:space="preserve"> Contract Name: Construction of Multi – Purpose Building at the Department of Social Welfare and Development – National Cpital Region, Manila Contract Location: Manila City      Brief Description: Construction of Multi – Purpose Building      Approved Budg</t>
  </si>
  <si>
    <t xml:space="preserve"> Please See Attachment</t>
  </si>
  <si>
    <t xml:space="preserve"> Contract Name: Rehabilitation of Multi – Purpose Building, Brgy 636, Sta. Mesa, Manila Contract Location: Manila City      Brief Description: Rehabilitation of Multi – Purpose Building       Approved Budget for the Contract (ABC):  Php 9,899,596.36      S</t>
  </si>
  <si>
    <t xml:space="preserve"> 500 pieces of Needle, Aspirating, G18 x at least 1" disposable, sterile 30 pieces of Blade, Dermatome, standard</t>
  </si>
  <si>
    <t xml:space="preserve"> Contract Name: Construction of Multi – Purpose Buildings ( Daycare Centers), Manila City Contract Location: Manila City      Brief Description: Construction of Multi – Purpose Buildings      Approved Budget for the Contract (ABC):  Php 97,998,833.48      </t>
  </si>
  <si>
    <t xml:space="preserve"> 30 pieces of Cast, Polyester, size 4"</t>
  </si>
  <si>
    <t xml:space="preserve"> Contract Name: Rehabilitation of Multi – Purpose Building (Bacood Health Center), Manila Contract Location: Manila City      Brief Description: Rehabilitation of Multi – Purpose Building       Approved Budget for the Contract (ABC):  Php 9,799,932.60     </t>
  </si>
  <si>
    <t xml:space="preserve"> 25 pieces of Breathing Circuit, Modified Jackson Rees System</t>
  </si>
  <si>
    <t xml:space="preserve"> 1 piece of Cooler box/ice chest with wheels -50 - 60 quart wheeled cooler chest -stain and odor resistant -thermal retention for food and beverage</t>
  </si>
  <si>
    <t xml:space="preserve"> Procurement of supply and delivery of various NSIC Approved Seed 31	can	Ampalaya hybrid (highly tolerant to maleness)- 100g 20	Can	Eggplant hybrid (long purple type)- 50g 20	can	Squash hybrid (dark green; tolerant to cucurbit viruses)- 250g 		Note: 1.	Sou</t>
  </si>
  <si>
    <t xml:space="preserve"> The DPWH-Regional Office I, through its Bids and Awards Committee (BAC), invites contractors to submit bids for the following Contract: Contract ID: 20A00152 Contract Name: Construction/ Repair/ Rehabilitation/ Improvement of Various Infrastructure includ</t>
  </si>
  <si>
    <t xml:space="preserve"> Name of Requirement/Brief Description: One (1) Lot Structural Engineering Consultancy Services for the Proposed Structural Audit and Retrofitting Design of the Buildings in BSP Cebu and Davao Regional Offices, as per BSP Terms of Reference Approved Budget</t>
  </si>
  <si>
    <t xml:space="preserve"> 50 pcs, Cautery Tip Cleaner/Scratch Pad</t>
  </si>
  <si>
    <t xml:space="preserve"> Contract Name: Preventive Maintenance – Secondary Roads – Plaza Sta. Cruz – (S02423LZ) (FLR) Chainage 000 – Chainage 104, Manila City Contract Location: Manila City      Brief Description: Asphalt Overlay      Approved Budget for the Contract (ABC):  Php </t>
  </si>
  <si>
    <t xml:space="preserve"> Contract Name: Construction of Multi-Purpose Building (Rizal Covered Court), City of Manila Contract Location: Manila City      Brief Description: Construction of Covered Court      Approved Budget for the Contract (ABC):  Php 98,998,843.79      Source of</t>
  </si>
  <si>
    <t xml:space="preserve"> A.1.1(10)	PROVISION OF LIVING QUARTER FOR THE ENGINEER (RENTAL BASIS)	MO.	5.70 B.4(1)	CONSTRUCTION SURVEY AND STAKING	KM.	0.18 B.5	PROJECT BILLBOARD	EACH	4.00 B.7(2)	OCCUPATIONAL SAFETY AND HEALTH PROGRAM	L.S.	1.00 B.8(1)	TRAFFIC MANAGEMENT	MONTH	5.70 B.9</t>
  </si>
  <si>
    <t xml:space="preserve"> 1.	The Davao del Norte State College through the Regular Agency Fund (FY 2020 GAA) intends to apply the sum of Forty Million Pesos Only (Php 40,000,000.00) being the Approved Budget for the Contract (ABC) to payment under the contract for the CONSTRUCTION</t>
  </si>
  <si>
    <t xml:space="preserve"> 25 pieces of Stylet, Pedia</t>
  </si>
  <si>
    <t xml:space="preserve"> Contract Name: Rehabilitation / Reconstruction / Improvement of Multi – Purpose Building, Patricia Paraiso Complex, Brgy. 177, Tondo, Manila Contract Location: Manila City      Brief Description: Rehabilitation / Reconstruction / Improvement of Multi – Pu</t>
  </si>
  <si>
    <t xml:space="preserve"> Conctract ID No.:	:	20K00247 Conctract Name:	:	Construction of Flood Control Structure, Brgy. Balangas, Picong, Lanao del Sur Conctract Location:	:	Lanao del Sur Scope of Work:	:	Construction of Flood Mitigation Structure Appropriation:	:	PHP 2,000,000.00</t>
  </si>
  <si>
    <t xml:space="preserve"> Contract Name: Continuation of Multi – Purpose Building, Brgy. 259, Tondo, Manila Contract Location: Manila City      Brief Description: Rehabilitation of Multi – Purpose Building      Approved Budget for the Contract (ABC):  Php 14,849,659.73      Source</t>
  </si>
  <si>
    <t xml:space="preserve"> The DPWH-North Manila District Engineering Office, through its Bids and Awards Committee (BAC) invites contractors to submit bids for the following Contract: 13.	Contract I.D. No. 20OE0166 Contract Name: Construction of 3 Storey Multi – purpose Building, </t>
  </si>
  <si>
    <t xml:space="preserve"> Contract Location: STO. DOMINGO, MALINAO AND MALILIPOT, ALBAY Brief Description: REHABILITATION/CONSTRUCTION/IMPROV’T OF FLOOD CONTROL Source of Funds: GAA 2020 DPWH INFRA  The BAC is conducting the public bidding for this Contract in accordance with RA 9</t>
  </si>
  <si>
    <t xml:space="preserve"> The DPWH-North Manila District Engineering Office, through its Bids and Awards Committee (BAC) invites contractors to submit bids for the following Contract: 20.	Contract I.D. No. 20OE0173 Contract Name: Rehabilitation / Reconstruction / Improvement of Mu</t>
  </si>
  <si>
    <t xml:space="preserve"> Contract ID No. 20OH0121 Contract Name: 	Local Program - Local Infrastructure Program - Flood Control and Drainage - Drainage / Protection Works - Drainage and Protection Works at Estero Tripa de Gallina – Maricaban Creek, Pasay City Contract Location: Pa</t>
  </si>
  <si>
    <t xml:space="preserve"> 1.	The Department of Public Works and Highways Regional Office XI, Davao City, through its Bids and Awards Committee (BAC), invites bidders to submit bids for the Infra projects funded under GAA FY 2020, to wit: Contract ID 	:	20L00119 Contract Name/Locat</t>
  </si>
  <si>
    <t xml:space="preserve"> Contract Name: Re – Development of Estero de Binondo, Dasmariñas St., Brgy. 282, Zone 26, District 3, Manila Contract Location: Manila City      Brief Description: Construction of Multi-Purpose Building      Approved Budget for the Contract (ABC):  Php 98</t>
  </si>
  <si>
    <t xml:space="preserve"> 25 pcs, Catheter Umbilical FR 4.0</t>
  </si>
  <si>
    <t xml:space="preserve"> The Tagum Water District, through its Bids and Awards Committee (BAC), invites suppliers/manufacturer/distributors to apply for eligibility and to bid on the hereunder project: NAME OF CONTRACT :Construction of Warehouse with Two Level Office Space &amp; Mezz</t>
  </si>
  <si>
    <t xml:space="preserve"> Improvement/Concreting of Road</t>
  </si>
  <si>
    <t xml:space="preserve"> The Department of Public Works and Highways Regional Office XI, Davao City, through its Bids and Awards Committee (BAC), invites bidders to submit bids for the Infra projects funded under GAA FY 2020, to wit: Contract ID 	:	20L00108 Contract Name/Location</t>
  </si>
  <si>
    <t xml:space="preserve"> 20 tube, Colostomy Paste, stomahesive Ostomy/Skin, barrier paste</t>
  </si>
  <si>
    <t xml:space="preserve"> The DPWH-Regional Office I, through its Bids and Awards Committee (BAC), invites contractors to submit bids for the following Contract: Contract ID: 20A00158 Contract Name: Local Infrastructure Program - Construction of Slope Protection Works along Pangas</t>
  </si>
  <si>
    <t xml:space="preserve"> Contract Name: Rehabilitation of Roads and Drainage at Cordillera St. and Ext., Manila Contract Location: Manila City      Brief Description: Rehabilitation of Roads and Drainage      Approved Budget for the Contract (ABC):  Php 9,899,900.44      Source o</t>
  </si>
  <si>
    <t xml:space="preserve"> Construction of District Jail</t>
  </si>
  <si>
    <t xml:space="preserve"> 15 pcs, Mucus Extractor FR 14 25 pcs, Mucus Extractor FR 16</t>
  </si>
  <si>
    <t xml:space="preserve"> 50 pcs, Eye Goggles - re-usable and durable - optically clear and distortion free - with anti-fog and anti-splash eye protection - soft PVC with elastic headbands for snug fit</t>
  </si>
  <si>
    <t xml:space="preserve"> INVITATION FOR BIDS Date: 17 January 2020 Loan/Grant No. and Title:   ADB Loan No. 3631 – PHI: Improving Growth Corridors in Mindanao Road Sector Project (IGCMRSP) Contract No. and Title:        Contract No. 19Z00015, PR-09a, Guicam Bridge, Zamboanga Sibu</t>
  </si>
  <si>
    <t xml:space="preserve"> INVITATION TO BID The DPWH Bukidnon 1st District Engineering Office, Malaybalay City, through its Bids and Awards Committee (BAC), invites contractors to submit bids for the following Contracts:   			 Contract ID 	:	20KA0101(Readvertisement) Contract Name</t>
  </si>
  <si>
    <t xml:space="preserve"> The DPWH-Regional Office I, through its Bids and Awards Committee (BAC), invites contractors to submit bids for the following Contract: Contract ID: 20A00156 Contract Name: Construction/ Repair/ Rehabilitation/ Improvement of Various Infrastructure includ</t>
  </si>
  <si>
    <t xml:space="preserve"> INVITATION FOR BIDS Date: 17 January 2020 Loan/Grant No. and Title:   ADB Loan No. 3631 – PHI: Improving Growth Corridors in Mindanao Road Sector Project (IGCMRSP) Contract No. and Title:        Contract No. 19Z00014, PR–13, Siay–Gapol Road, Zamboanga Sib</t>
  </si>
  <si>
    <t xml:space="preserve"> INVITATION TO BID for Procurement of Operation and Maintenance Service Contract for the Malaya Thermal Power Plant  1.	The Power Sector Assets and Liabilities Management (PSALM) Corporation, through the 2020 Corporate Operating Budget (for the portion of </t>
  </si>
  <si>
    <t xml:space="preserve"> The DPWH-Regional Office I, through its Bids and Awards Committee (BAC), invites contractors to submit bids for the following Contract: Contract ID: 20A00157 Contract Name: Construction/ Repair/ Rehabilitation/ Improvement of Various Infrastructure includ</t>
  </si>
  <si>
    <t xml:space="preserve"> INVITATION FOR BIDS Date: 17 January 2020 Loan/Grant No. and Title:   ADB Loan No. 3631 – PHI: Improving Growth Corridors in Mindanao Road Sector Project (IGCMRSP) Contract No. and Title:        Contract No. 19Z00012, PR-08, R.T.Lim-Siocon Road, Zamboanga</t>
  </si>
  <si>
    <t xml:space="preserve"> INVITATION FOR BIDS Date: 17 January 2020 Loan/Grant No. and Title:   ADB Loan No. 3631 – PHI: Improving Growth Corridors in Mindanao Road Sector Project (IGCMRSP) Contract No. and Title:        Contract No. 19Z00013, PR–12, Curuan–Sibuco Road, Zamboanga </t>
  </si>
  <si>
    <t xml:space="preserve"> Procurement of supply and delivery of Laboratory supplies 10	Pack	Pipette tips -10 ml, 100pieces/pack; wetted material, polypropylene -hydrophobic surface provides low binding and minimal retention -must be compatible with the existing pipettes in the lab</t>
  </si>
  <si>
    <t xml:space="preserve"> Construction of Multi Purpose Building 		 Cost of Bidding Documents: Php 10,000.00					 Source of Funds: GAA FY 2020  The significant times and deadlines of procurement activities are shown below: 1. Issuance of Bidding Documents	Deadline: December 9 - 27</t>
  </si>
  <si>
    <t xml:space="preserve"> INVITATION FOR BIDS Date: 17 January 2020 Loan/Grant No. and Title:   ADB Loan No. 3631 – PHI: Improving Growth Corridors in Mindanao Road Sector Project (IGCMRSP) Contract No. and Title:        Contract No. 19Z00011, PR-01a, Gutalac-Baliguian Alternative</t>
  </si>
  <si>
    <t xml:space="preserve"> I. Road Clearing II. Hauling of Surface Materials (GUIZO) III. Spreading of Surface Materials (GUIZO) IV. Installation of Pipe Culvert 1.20 w/ Riprap and grouted (4 station) EQUIPMENT REQUIRED: 1-UNIT GRADER 1-UNIT ROAD ROLLER 1-UNIT BACKHOE 1-UNIT DUMP T</t>
  </si>
  <si>
    <t xml:space="preserve"> BIDS AND AWARDS COMMITTEE – INFORMATION TECHNOLOGY, INFRASTRUCTURE AND OTHER RELATED COMPONENTS           REQUEST FOR EXPRESSION OF INTEREST  		     			 1.	The BANGKO SENTRAL NG PILIPINAS (BSP), through its Bids and Awards Committee – Information Technolo</t>
  </si>
  <si>
    <t xml:space="preserve"> Construction of Gravel Road/ Construction of Concrete Road, ROW Acquisition</t>
  </si>
  <si>
    <t xml:space="preserve"> DESCRIPTION	UNIT	QUANTITY PART A	FACILITIES FOR THE ENGINEER		 A.1.1(10)	PROVISION OF LIVING QUARTER FOR THE ENGINEER (RENTAL BASIS)	MOS	5.43 PART B	OTHER GENERAL REQUIREMENTS		 B.4(1)	CONSTRUCTION SURVEY STAKING	KM.	1.41 B.5	PROJECT BILLBOARD	EACH	4.00 B</t>
  </si>
  <si>
    <t xml:space="preserve"> Road widening (2-4 Lanes) including Slope Protection and Drainage</t>
  </si>
  <si>
    <t xml:space="preserve"> Construction of Flood Control Structure</t>
  </si>
  <si>
    <t xml:space="preserve"> (Project Nr: GAA-VMMC-UVES-R-2019) 1.	The Department of National Defense (DND) - Veterans Memorial Medical Center (VMMC), through the 2019 General Appropriation Act of the Government of the Philippines (RA 10964) intend to apply the sum of ONE HUNDRED TWE</t>
  </si>
  <si>
    <t xml:space="preserve"> INVITATION TO BID The DPWH Regional Office IX, Veterans Avenue Extension, Tetuan, Zamboanga City, through its Bids and Awards Committee (BAC), invites contractors to submit bids for the following Contract: Contract ID	:	20J00115 Contract Name	:	Widening o</t>
  </si>
  <si>
    <t xml:space="preserve"> INVITATION TO BID The Department of Public Works and Highways - Pampanga 1st District Engineering Office, through its Bids and Awards Committee (BAC), invites contractors to submit bids for the following Contract: 1.	 Procurement ID/Contract ID	:	20CG0026</t>
  </si>
  <si>
    <t xml:space="preserve"> Source of Funds: 20% BARANGAY IRA MATERIAL COST   1 cu.m. River boulders 6"Ø   31 bags Portland Cement   1.6 m° Washed Sand   3.3 m° River Gravel 1"Ø   13 length 16mmØ Reinforcing Steel Bars   6 length 12mmØ Reinforcing Steel Bars   12 lenght 10mmØ Reinfo</t>
  </si>
  <si>
    <t xml:space="preserve"> Invitation to Bid  for the  Subic-Clark Railway Project Public Bidding No.  19-341-7 1.	The Government of the Philippines (GoP) intends to apply for a Loan from the People’s Republic of China toward the cost of the Subic-Clark Railway Project (SCRP), and </t>
  </si>
  <si>
    <t xml:space="preserve"> The DPWH – Bulacan First District Engineering Office, through its Bids and Awards Committee (BAC), invites contractors to submit bids for the following Contract: Contract ID: 20CC0116 Contract Name: Construction of two storey four classroom school buildin</t>
  </si>
  <si>
    <t xml:space="preserve"> INVITATION TO BID The DPWH Regional Office IX, Veterans Avenue Extension, Tetuan, Zamboanga City, through its Bids and Awards Committee (BAC), invites contractors to submit bids for the following Contract: Contract ID	:	20J00114 Contract Name	:	Rehabilita</t>
  </si>
  <si>
    <t xml:space="preserve"> It will be appreciated if we can have your SIGNED SEALED QUOTATION to be dropped at:</t>
  </si>
  <si>
    <t xml:space="preserve"> Include VAT and delivery charges</t>
  </si>
  <si>
    <t xml:space="preserve"> https://drive.google.com/file/d/1YgPwD_L2G1JTBLN1equXfy0qg69Ednwr/view</t>
  </si>
  <si>
    <t xml:space="preserve"> Please give us a call at 924-6101 local 1063/1067</t>
  </si>
  <si>
    <t xml:space="preserve"> BIDDERS MUST DOWNLOAD ELECTRONIC COPY OF BIDDING DOCUMENTS IN THE LINK BELOW:</t>
  </si>
  <si>
    <t xml:space="preserve"> Bid documents will be available to prospective bidders who  purchase the bidding documents  from the office of the Municipal Treasurer of the Local Government Unit of Mapet</t>
  </si>
  <si>
    <t xml:space="preserve"> Total Book  Titles= 123</t>
  </si>
  <si>
    <t xml:space="preserve"> Requirements:</t>
  </si>
  <si>
    <t xml:space="preserve"> Prospective Bidders should have experience in undertaking a similar project within the last 2 years with an amount of at least 50% of the proposed project for bidding. The Eligibility Check/Screening as well as the Preliminary Examination of Bids shall use non-discretionary  “pass/fail” criteria. Post-qualification of the lowest calculated bid shall be conducted.</t>
  </si>
  <si>
    <t xml:space="preserve"> For further information, please refer to:</t>
  </si>
  <si>
    <t xml:space="preserve"> SUPPLIER MUST SUBMIT LOCAL BUSINESS PERMIT AT ILIGAN CITY</t>
  </si>
  <si>
    <t xml:space="preserve"> Delivery of materials and other scope of the project.</t>
  </si>
  <si>
    <t xml:space="preserve"> https://tinyurl.com/y7torzad</t>
  </si>
  <si>
    <t xml:space="preserve"> https://tinyurl.com/y9kquwte</t>
  </si>
  <si>
    <t xml:space="preserve"> Please download ITB &amp; Biddocs in the Associated Components for reference.</t>
  </si>
  <si>
    <t xml:space="preserve"> https://tinyurl.com/y9vtyhgp</t>
  </si>
  <si>
    <t xml:space="preserve"> For Smoother and faster transaction, please look for the school property custodian</t>
  </si>
  <si>
    <t xml:space="preserve"> https://tinyurl.com/ycdp93dl</t>
  </si>
  <si>
    <t xml:space="preserve"> Please download ITB  &amp; Biddocs in the Associated Components for reference.</t>
  </si>
  <si>
    <t xml:space="preserve"> https://tinyurl.com/y7jehjwk</t>
  </si>
  <si>
    <t xml:space="preserve"> please look for the school property custodian in securing papers or documents</t>
  </si>
  <si>
    <t xml:space="preserve"> NOTE: WEAR FACE MASK AND OBSERVED SOCIAL DISTANCING DURING THE OPENING OF BIDS.</t>
  </si>
  <si>
    <t xml:space="preserve"> Opening of Best Offers will be on June 29, 2020, 2:00PM at BWD Board Room National Highway Cogon, Balingasag Misamis Oriental.</t>
  </si>
  <si>
    <t xml:space="preserve"> NOTE: THIS IS A REBIDDING FOR ALL ITEMS UNDER LOTS 1-3 &amp; 7 ON THIS PURCHASE REQUEST..</t>
  </si>
  <si>
    <t xml:space="preserve"> Medicine and Medical Supplies Rack, 1st bay double side, 7 levels, H1.8mx W 6.870m x L900mm, Wire Mesh racking, Beige Color, Powder Coated, 100Kg Load capacity per level	9	unit</t>
  </si>
  <si>
    <t xml:space="preserve"> Warranty : 6 months from receipt of payment </t>
  </si>
  <si>
    <t xml:space="preserve"> https://tinyurl.com/ya2v4zt2</t>
  </si>
  <si>
    <t xml:space="preserve"> https://tinyurl.com/ycfwyjuj</t>
  </si>
  <si>
    <t xml:space="preserve"> https://tinyurl.com/yabcpbbg</t>
  </si>
  <si>
    <t xml:space="preserve"> https://tinyurl.com/y6vspqcx</t>
  </si>
  <si>
    <t xml:space="preserve"> https://tinyurl.com/y6unp4hn</t>
  </si>
  <si>
    <t xml:space="preserve"> https://tinyurl.com/yav4kvp7</t>
  </si>
  <si>
    <t xml:space="preserve"> https://tinyurl.com/yczckkom</t>
  </si>
  <si>
    <t xml:space="preserve"> https://tinyurl.com/y7lz84y5</t>
  </si>
  <si>
    <t xml:space="preserve"> https://tinyurl.com/yc5wbpqh</t>
  </si>
  <si>
    <t xml:space="preserve"> https://tinyurl.com/yccc44kx</t>
  </si>
  <si>
    <t xml:space="preserve"> https://tinyurl.com/y77bob4w</t>
  </si>
  <si>
    <t xml:space="preserve"> INSTRUCTIONS/TERMS AND CONDITIONS:								</t>
  </si>
  <si>
    <t xml:space="preserve"> SOURCE OF FUND:   MOOE</t>
  </si>
  <si>
    <t xml:space="preserve"> 1. Submission of Letter of Intent (LOI) - June 17 - 18, 2020 @ 8:00am to 5:00pm</t>
  </si>
  <si>
    <t xml:space="preserve"> Other information</t>
  </si>
  <si>
    <t xml:space="preserve"> You may see the Municipal Engineer, Municipality of Caibiran</t>
  </si>
  <si>
    <t xml:space="preserve"> Republic of the Philippines</t>
  </si>
  <si>
    <t xml:space="preserve"> Other Information</t>
  </si>
  <si>
    <t xml:space="preserve"> To Our Supplier, Bid Documents are Available at BAC Secretariat</t>
  </si>
  <si>
    <t xml:space="preserve"> Glen L. Pardillo</t>
  </si>
  <si>
    <t xml:space="preserve"> 1.	Request for Quotation (RFQ) form can be obtained at 110th Contracting Office, AFPPS Canvass Contracting Committee Secretariat, 53rd Engineer Brigade, PA, Camp Lapulapu, Cebu City. Submission of Sealed price quotation will be at designated price quotation box located on same address and will be opened on date/time as indicated.</t>
  </si>
  <si>
    <t xml:space="preserve"> Submit your quotation together with your PhilGEPS Cert</t>
  </si>
  <si>
    <t xml:space="preserve"> COPY AND PASTE IN THE BROWSER THE LINK BELOW TO VIEW RFQ OR CANVASS: </t>
  </si>
  <si>
    <t xml:space="preserve"> REMINDERS:</t>
  </si>
  <si>
    <t xml:space="preserve"> Deadline of submission is on or before June  24, 2020 @ 1:00pm</t>
  </si>
  <si>
    <t xml:space="preserve"> COPY AND PASTE IN THE BROWSER THE LINK BELOW TO VIEW THE BIDDING DOCUMENTS; </t>
  </si>
  <si>
    <t xml:space="preserve"> Item No.	Description	Qty.	Unit</t>
  </si>
  <si>
    <t xml:space="preserve"> BAC Activities	Schedule</t>
  </si>
  <si>
    <t xml:space="preserve"> Note: Please see the uploaded file at associated components.</t>
  </si>
  <si>
    <t xml:space="preserve"> https://drive.google.com/file/d/1kWCy44emoOsRAXIMs7Ne_qbkbTLjLvZu/view?usp=drivesdk</t>
  </si>
  <si>
    <t xml:space="preserve"> Bidders must submit along with their quotations the certified true copies of the following documents:</t>
  </si>
  <si>
    <t xml:space="preserve"> COPY AND PASTE IN THE BROWSER THE LINK BELOW TO VIEW BIDDING DOCUMENTS; </t>
  </si>
  <si>
    <t xml:space="preserve"> BID DOCS PhP 500.00</t>
  </si>
  <si>
    <t xml:space="preserve"> KINDLY DOWNLOAD BID DOCUMENTS ON THE ASSOCIATED COMPONENT.</t>
  </si>
  <si>
    <t xml:space="preserve"> For more details please coordinate or contact the Local BAC Secretariat at SSS Bacolod East Branch, East One Atrium Bldg., Burgos Ext., Brgy. Villamonte, Bacolod City, at Tel. No. (034) 441-6599 or at Visayas West 1 Division at Tel. Nos. (034) 709-0880/709-0413-17 at local 208 and 210 and SSS Dumaguete Branch at Tel Nos. (035)225-6810; 225-4340</t>
  </si>
  <si>
    <t xml:space="preserve"> Kindly download bid documents on the associated component.</t>
  </si>
  <si>
    <t xml:space="preserve"> PLEASE SEE ATTACHED FILE</t>
  </si>
  <si>
    <t xml:space="preserve"> For further information, please contact Ms. JOCELYN A.</t>
  </si>
  <si>
    <t xml:space="preserve"> 1.  Submission of Letter of Intent and Application of Eligibility				June 16, 2020 - June 23, 2020		</t>
  </si>
  <si>
    <t xml:space="preserve"> Please download the Bid Document in the Associated Component.</t>
  </si>
  <si>
    <t xml:space="preserve"> 2.	A set of technical specifications for the above items are provided in Attachment/s # 1.  All items listed under the purchasers’ specifications must be complied on a pass-fail basis.  Failure to meet any one of the requirements may result to rejection.</t>
  </si>
  <si>
    <t xml:space="preserve"> For more details, please contact MSWDO Gudelia I. Castaños with her mobile number 09196390854.</t>
  </si>
  <si>
    <t xml:space="preserve"> Submission of proposals will be done through email.</t>
  </si>
  <si>
    <t xml:space="preserve"> Qualifications:</t>
  </si>
  <si>
    <t xml:space="preserve"> Visit BAC Office and Bring the following requirements when acquiring prescribe Quotation Form and other inquiries:</t>
  </si>
  <si>
    <t xml:space="preserve"> https://drive.google.com/file/d/1ohktBYBTai9oJUKwWwBm3g56Iet9u4oa/view?usp=drivesdk</t>
  </si>
  <si>
    <t xml:space="preserve"> Please DOWNLOAD attached file/s for Specifications.</t>
  </si>
  <si>
    <t xml:space="preserve"> The National Forensic Science Training Institute (NFSTI) is a Constitutive Unit (CU) of the PPSC located in Camp Vicente Lim Brgy. Mayapa Canlubang Laguna.</t>
  </si>
  <si>
    <t xml:space="preserve"> WASHABLE FACE MASK - 3,415</t>
  </si>
  <si>
    <t xml:space="preserve"> You may see the Vice Mayor, Municipality of Caibiran</t>
  </si>
  <si>
    <t xml:space="preserve"> NOTE: THIS IS A REBIDDING FOR THE SAID ITEM UNDER LOT 3 ONLY IN THIS PURCHASE REQUEST.</t>
  </si>
  <si>
    <t xml:space="preserve"> BID DOCUMENT IS AVAILABLE AT ENGINEERING OFFICE, BAC SECRETARIAT.</t>
  </si>
  <si>
    <t xml:space="preserve"> You may see the Supply Officer, Municipality of Caibiran</t>
  </si>
  <si>
    <t xml:space="preserve"> 1.		DIESOLINE		1	Lot</t>
  </si>
  <si>
    <t xml:space="preserve"> Mr. Wilbert Newton T. Pollisco</t>
  </si>
  <si>
    <t xml:space="preserve"> BID DOCUMENT IS AVAILABLE AT ENGINEERING OFFICE, BAC SECRETARIAT</t>
  </si>
  <si>
    <t xml:space="preserve"> Qualification:</t>
  </si>
  <si>
    <t xml:space="preserve"> Area of Delivery: Quezon City</t>
  </si>
  <si>
    <t xml:space="preserve"> copy this link to gogle drive to download bidding documents:</t>
  </si>
  <si>
    <t xml:space="preserve"> Suppliers are required to submit their quotation/written proposal with the following documents on or before JUNE 23, 2020 9:00 AM at BAC Office, this LGU, to wit:</t>
  </si>
  <si>
    <t xml:space="preserve"> 1.	All interested bidders/suppliers may now submit Eligibility Documents and other documents.</t>
  </si>
  <si>
    <t xml:space="preserve"> Please download document in associate components</t>
  </si>
  <si>
    <t xml:space="preserve"> Please see attached file for quotation</t>
  </si>
  <si>
    <t xml:space="preserve"> Travelling Rice Mill</t>
  </si>
  <si>
    <t xml:space="preserve"> Other Information:</t>
  </si>
  <si>
    <t xml:space="preserve"> For inquiries, please call:</t>
  </si>
  <si>
    <t xml:space="preserve"> 2020 20% DF</t>
  </si>
  <si>
    <t xml:space="preserve"> Place of Delivery:Sipalay City, Negros Occidental</t>
  </si>
  <si>
    <t xml:space="preserve"> For Inquiry:</t>
  </si>
  <si>
    <t xml:space="preserve"> https://drive.google.com/file/d/1dAjSpCezvEkmCXnpMcHYLKSt5-yDYjqe/view?usp=drivesdk</t>
  </si>
  <si>
    <t xml:space="preserve"> INCLUDES INSTALLATION AND CABLING</t>
  </si>
  <si>
    <t xml:space="preserve"> Please refer to the attached Request for Quotation (RFQ) for complete and detailed specifications. For queries, please call at 317-1768 local 519/532/784 and look for Mr. Joemar D. Sajona.</t>
  </si>
  <si>
    <t xml:space="preserve"> For the official use of PENRO-Quezon</t>
  </si>
  <si>
    <t xml:space="preserve"> https://drive.google.com/file/d/1ZpmEg1-w_OX2xGCe0KeseWNoFBg9bQmk/view?usp=drivesdk</t>
  </si>
  <si>
    <t xml:space="preserve"> 1. Issuance of Bidding Documents	:	June 16, 2020 to July 07, 2020</t>
  </si>
  <si>
    <t xml:space="preserve"> https://drive.google.com/file/d/19IxS2V13Afb_GQ_3ONVkajUc1ryw34X2/view?usp=drivesdk</t>
  </si>
  <si>
    <t xml:space="preserve"> https://drive.google.com/file/d/1rCAJX4EWRIg9GuEuoxhjxu7n5hgJV-4m/view?usp=drivesdk</t>
  </si>
  <si>
    <t xml:space="preserve"> Instruction for Suppliers on how to View/Download the document;</t>
  </si>
  <si>
    <t xml:space="preserve"> Schedule of BAC Activities:</t>
  </si>
  <si>
    <t xml:space="preserve"> Norman B. Casiple</t>
  </si>
  <si>
    <t xml:space="preserve"> https://drive.google.com/file/d/1ECC1x9E53mC3EuwZNpFyJGyj2dScAqnJ/view?usp=drivesdk</t>
  </si>
  <si>
    <t xml:space="preserve"> INVITATION TO BID FOR  PURCHASE OF LAPTOP FOR SANGGUNIANG BAYAN OFFICE – Poblacion Occidental, Valencia, Bohol</t>
  </si>
  <si>
    <t xml:space="preserve"> Norman B.Casiple</t>
  </si>
  <si>
    <t xml:space="preserve"> 1 	1	Lot	20 Units DIGTAL VHF Base Radio </t>
  </si>
  <si>
    <t xml:space="preserve"> https://drive.google.com/file/d/1VZDzOLHYccKTZMjVk9qvDORtfgobNyzQ/view?usp=drivesdk</t>
  </si>
  <si>
    <t xml:space="preserve"> https://drive.google.com/file/d/1iQyNES7I8HQXCGoOoZiTii1Q9YUF3IVZ/view?usp=drivesdk</t>
  </si>
  <si>
    <t xml:space="preserve"> please call To: 0998-247-0239 &amp; 0906-256-9238 for other details . . .</t>
  </si>
  <si>
    <t xml:space="preserve"> Mail the following eligibility and requirements:</t>
  </si>
  <si>
    <t xml:space="preserve"> Interested supplier's please submit certificate of philgeps registration, mayor's permit &amp; tax clearance</t>
  </si>
  <si>
    <t xml:space="preserve"> SEE ASSOCIATED COMPONENTS</t>
  </si>
  <si>
    <t xml:space="preserve"> please call To: 0998-247-0239  &amp;  0906-256-9238  for other details</t>
  </si>
  <si>
    <t xml:space="preserve"> MATERIALS</t>
  </si>
  <si>
    <t xml:space="preserve"> For more information, please see or contact the BAC Members of Brgy. Sta. Elena, Magallanes, Sorsogon.</t>
  </si>
  <si>
    <t xml:space="preserve"> please call to: 0998-247-0239  &amp;  0906-256-9238  for other details . . .</t>
  </si>
  <si>
    <t xml:space="preserve"> 9.	For further information, please refer to:</t>
  </si>
  <si>
    <t xml:space="preserve"> ONLY SUPPLIERS FROM BACOLOD CITY WILL BE SHORT LISTED.</t>
  </si>
  <si>
    <t xml:space="preserve"> DOWNLOAD RFQ &amp; MEMO @ THE ASSOCIATED COMPONENTS. SUBMIT BOTH DOCS</t>
  </si>
  <si>
    <t xml:space="preserve"> please call To: 0998-247-0239  &amp;  0906-256-9238  for other details . . . .</t>
  </si>
  <si>
    <t xml:space="preserve"> https://drive.google.com/file/d/1Se4C4Dn_JWsx8kTY-PbAv7Fy41U_LC5l/view?usp=drivesdk</t>
  </si>
  <si>
    <t xml:space="preserve"> CONTACT 4354619</t>
  </si>
  <si>
    <t xml:space="preserve"> SUBMIT QUOTATION ON OR BEFORE JUNE 19, 2020 - 10:00AM AT BAC OFFICE</t>
  </si>
  <si>
    <t xml:space="preserve"> INVITATION TO BID</t>
  </si>
  <si>
    <t xml:space="preserve"> Please see attached RFQ No. 20-0543 Shopping B for complete list of Items.</t>
  </si>
  <si>
    <t xml:space="preserve"> please call To 0998-247-0239 n &amp; 0906-256-9238  for other details . . . .</t>
  </si>
  <si>
    <t xml:space="preserve"> https://drive.google.com/file/d/1x7SOPF9QcpNCipvjqhH459nUGq6EkWsC/view?usp=drivesdk</t>
  </si>
  <si>
    <t xml:space="preserve"> Interested supplier's please submit certificate of philgeps registration, mayor's permit &amp; tax clearance.</t>
  </si>
  <si>
    <t xml:space="preserve"> Negotiated.</t>
  </si>
  <si>
    <t xml:space="preserve"> ONLY SUPPLIERS FROM BACOLOD WILL BE SHORT LISTED.</t>
  </si>
  <si>
    <t xml:space="preserve"> Pre-bid Conference will be done through teleconference. Any interested bidder you could contact the Head BAC Secretariat or email us.</t>
  </si>
  <si>
    <t xml:space="preserve"> https://drive.google.com/file/d/1kQt4ro205WQ4i_pSQZQcgWFm0diL2N89/view?usp=drivesdk</t>
  </si>
  <si>
    <t xml:space="preserve"> please call To:  0998-247-0239  &amp;  0906-256-9238  for other details . . .</t>
  </si>
  <si>
    <t xml:space="preserve"> Please see attached RFQ No. 20-0545 NP-SV for complete list of Items and Specifications/Description including Photo of the required Statue.</t>
  </si>
  <si>
    <t xml:space="preserve"> Instruction for Suppliers on how to View/Download Documents:</t>
  </si>
  <si>
    <t xml:space="preserve"> please call To:  0998-247-0239  &amp; 0906-256-9238  for other details . . .</t>
  </si>
  <si>
    <t xml:space="preserve"> For inquiries you may contact:</t>
  </si>
  <si>
    <t xml:space="preserve"> All quotation must be submitted in a sealed envelope directly to LPGH&amp;STC, address to Ms. Cecille P. Manipon, BAC Chairman or email, together with the following requirements;</t>
  </si>
  <si>
    <t xml:space="preserve"> For Particulars, please coordinate with the BAC of this office from June 15 to 17, 2020. The Deadline for submission of the accomplished application forms will be on June 18, 2020 at 10:00 A.M. and shall be opened at 2:00 P.M. on the same date. QUOTATION THRU MAIL / FAX WILL NOT BE ACCEPTED.</t>
  </si>
  <si>
    <t xml:space="preserve"> LCRB</t>
  </si>
  <si>
    <t xml:space="preserve"> For more Information and details please contact the BAC Secretariat Mrs. Juna Carla Tabian at (033) 511-8790.</t>
  </si>
  <si>
    <t xml:space="preserve"> please call To:  0998-247-0239  &amp;  0906-256-9238  for other details . . . .</t>
  </si>
  <si>
    <t xml:space="preserve"> 1. BIDDERS ARE ADVISED TO DOWNLOAD ALL ASSOCIATED COMPONENTS</t>
  </si>
  <si>
    <t xml:space="preserve"> BID DOCS PhP 10,000.00</t>
  </si>
  <si>
    <t xml:space="preserve"> 1.Suppliers/Bidders must download the attached Document/RFQ in the associated component section.</t>
  </si>
  <si>
    <t xml:space="preserve"> SUPPLIERS/ BIDDERS MUST DOWNLOAD THE ATTACHED DOCUMENT IN ASSOCIATED COMPONENT SECTION.</t>
  </si>
  <si>
    <t xml:space="preserve"> https://drive.google.com/file/d/1ES3gMDHG4BaII6JGhFiyH99HWH2VIU3C/view?usp=drivesdk</t>
  </si>
  <si>
    <t xml:space="preserve"> INQUIRE AT BAC OFFICE, TAMBULIG, MUNICIPAL HALL, TAMBULIG, ZAMBOANGA DLE SUR</t>
  </si>
  <si>
    <t xml:space="preserve"> https://tinyurl.com/y924w9pf</t>
  </si>
  <si>
    <t xml:space="preserve"> Please contact et.malong@philrice.gov.ph/emilymalong95@gmail.com</t>
  </si>
  <si>
    <t xml:space="preserve"> RFQ# 109CO – 06 – 2020 – 087 is ready and available at 109th CO, AFPPS, Camp Elias Angeles, San Jose, Pili, Camarines Sur</t>
  </si>
  <si>
    <t xml:space="preserve"> BID DOCS PhP. 5,000.00</t>
  </si>
  <si>
    <t xml:space="preserve"> Source of Fund: Bayanihan Grant to Cities and Municipalities</t>
  </si>
  <si>
    <t xml:space="preserve"> For inquiry, you may contact us at Telefax no. 527-9757 or email us at bacsecretariat@customs.gov.ph.</t>
  </si>
  <si>
    <t xml:space="preserve"> copy this link to google drive to downlaod bidding documents:</t>
  </si>
  <si>
    <t xml:space="preserve"> PLEASE SEE ATTACHED RFQ FOR MORE DETAILS.</t>
  </si>
  <si>
    <t xml:space="preserve"> For more Information and details pls. contact the BAC Secretariat at (033) 511-8790.</t>
  </si>
  <si>
    <t xml:space="preserve"> Interested bidders may download attached documents located in the Associated Component Section.</t>
  </si>
  <si>
    <t xml:space="preserve"> RFQ# 109CO – 06 – 2020 – 088 is ready and available at 109th CO, AFPPS, Camp Elias Angeles, San Jose, Pili, Camarines Sur</t>
  </si>
  <si>
    <t xml:space="preserve"> please submit your quotations at the Department of Agrarian Reform Provincial Office, San Fermin, Cauayan City, Isabela on or before the closing date</t>
  </si>
  <si>
    <t xml:space="preserve"> Bidders/Suppliers Must Download the Attached Document in the Associated Component Section </t>
  </si>
  <si>
    <t xml:space="preserve"> https://drive.google.com/file/d/1-BUHflWBRHb1SjlozMpbh5fYFGfWnkUN/view?usp=drivesdk</t>
  </si>
  <si>
    <t xml:space="preserve"> For more information, please see or contact the BAC Members of Brgy. Binisitahan Norte, Magallanes, Sorsogon.</t>
  </si>
  <si>
    <t xml:space="preserve"> For information inquire at BAC Secretariat of Atimonan, Quezon.</t>
  </si>
  <si>
    <t xml:space="preserve"> For inquiries, please contact Mr. Allan de Vera, Procurement, GSD at tel no. 8293-3683.</t>
  </si>
  <si>
    <t xml:space="preserve"> Please copy the link below and print for a copy of Bidding Document.</t>
  </si>
  <si>
    <t xml:space="preserve"> Interested Bidders may download attached documents located in the Associated Components Section.</t>
  </si>
  <si>
    <t xml:space="preserve"> Please download the document at the associated components.</t>
  </si>
  <si>
    <t xml:space="preserve"> Interested suppliers must be willing to deliver in advance. Payment will be issued upon the release of allocated budget</t>
  </si>
  <si>
    <t xml:space="preserve"> Reminder:</t>
  </si>
  <si>
    <t xml:space="preserve"> 3.)	20	bxs	IV Cannula g-22</t>
  </si>
  <si>
    <t xml:space="preserve"> PR0033-20 – TOURISM ANNEX (Lights Enhancement Phase III)</t>
  </si>
  <si>
    <t xml:space="preserve"> RFQ# 109CO – 06 – 2020 – 089 is ready and available at 109th CO, AFPPS, Camp Elias Angeles, San Jose, Pili, Camarines Sur</t>
  </si>
  <si>
    <t xml:space="preserve"> For the Request for Price Quotation look for Jen at BAC Office.</t>
  </si>
  <si>
    <t xml:space="preserve"> Please look for the school property custodian in securing such documents and informations</t>
  </si>
  <si>
    <t xml:space="preserve"> &gt; 4 Pcs TIRES</t>
  </si>
  <si>
    <t xml:space="preserve"> Kindly download RFQ documents on the associated component.</t>
  </si>
  <si>
    <t xml:space="preserve"> Please download the complete bidding documents using the link below:</t>
  </si>
  <si>
    <t xml:space="preserve"> 1.)	5	kits	Triglycerides 5x100ml</t>
  </si>
  <si>
    <t xml:space="preserve"> Please see attached bidding documents for more details.</t>
  </si>
  <si>
    <t xml:space="preserve"> Bidders must download the attached document in the associated components section.</t>
  </si>
  <si>
    <t xml:space="preserve"> For the Request for Price Quotation Look for Jen at BAC Office.</t>
  </si>
  <si>
    <t xml:space="preserve"> The Vicente Sotto Memorial Medical Center reserves the right to accept or reject any bid, to annul the bidding process, and to reject all bids at any time prior to contract award, without thereby incurring any liability to the affected bidder or bidders.									</t>
  </si>
  <si>
    <t xml:space="preserve"> Please download the complete Bidding Documents using the link below:</t>
  </si>
  <si>
    <t xml:space="preserve"> &gt; 456 Bags NP COMPOUND (Multi-Functional Fertilizer)</t>
  </si>
  <si>
    <t xml:space="preserve"> VI. Please submit quotation before closing time"</t>
  </si>
  <si>
    <t xml:space="preserve"> I. CONSTRUCTION OF REINFORCED CONCRETE GROUND RESERVOIR (3x3x3)m CONCRETE WORKS</t>
  </si>
  <si>
    <t xml:space="preserve"> Please submit your quotations to the General Services Office of the Local Government Unit of Dupax del Norte.</t>
  </si>
  <si>
    <t xml:space="preserve"> CONCRETE WORKS</t>
  </si>
  <si>
    <t xml:space="preserve"> The deadline of Submission and opening of the RFQ are as follows:	</t>
  </si>
  <si>
    <t xml:space="preserve"> Please download the complete bidding documents using he link below:</t>
  </si>
  <si>
    <t xml:space="preserve"> For more Information and details please contact the BAC Secretariat, LGU Tigbauan at (033) 511-8790</t>
  </si>
  <si>
    <t xml:space="preserve"> https://drive.google.com/file/d/1x93sa1W8kByeJXmqtPS1qHBql1_J2v2I/view?usp=drivesdk</t>
  </si>
  <si>
    <t xml:space="preserve"> pls attached the following documents</t>
  </si>
  <si>
    <t xml:space="preserve"> https://drive.google.com/file/d/1Jw2ZuWkmwUF_SWnYQr43J12iboPh1IZ0/view?usp=drivesdk</t>
  </si>
  <si>
    <t xml:space="preserve"> This is subject to the availability of supplies at the PS-DBM.</t>
  </si>
  <si>
    <t xml:space="preserve"> Please see attached RPQ and PR in the initiated components.</t>
  </si>
  <si>
    <t xml:space="preserve"> • Complete Project Title: Supply, Delivery, Installation, Test and Commissioning of Various Diesel Gensets and Associated Electrical Equipment and Balance of Plant for the Electrification of Seven (7) New Areas in Bohol under the Off-Grid Electrification Project</t>
  </si>
  <si>
    <t xml:space="preserve"> https://drive.google.com/file/d/1GkLTa0K0iU2O6aoP1WuAqJahuVHrUKMq/view?usp=drivesdk</t>
  </si>
  <si>
    <t xml:space="preserve"> Availability of Bid Documents:  June 15 – June 18, 2020; 8:00AM-5:00PM; Monday Through Friday</t>
  </si>
  <si>
    <t xml:space="preserve"> Very Important Instruction:</t>
  </si>
  <si>
    <t xml:space="preserve"> For the use of OG2, 2ID, PA</t>
  </si>
  <si>
    <t xml:space="preserve"> INTERESTED PARTIES MAY COORDINATE WITH barillajc@sss.gov.ph ON OR BEFORE 6/19/2020</t>
  </si>
  <si>
    <t xml:space="preserve"> • Similar Contracts: On-site overhauling / rebuilding / repair works of diesel engines for diesel power plants</t>
  </si>
  <si>
    <t xml:space="preserve"> https://drive.google.com/file/d/11pOgrjSN9vx66UVLHeBCFgw14stR7TyS/view?usp=drivesdk</t>
  </si>
  <si>
    <t xml:space="preserve"> • Similar Contracts: Supply and delivery of various Personnel Protective Equipment (PPE) and/or any two (2) similar items under this contract</t>
  </si>
  <si>
    <t xml:space="preserve"> https://drive.google.com/file/d/1RfNwpgZ4nKhWLJ_7F-T1c_T5kgX7xDRQ/view?usp=drivesdk</t>
  </si>
  <si>
    <t xml:space="preserve"> BID DOCUMENT IS AVAILABLE AT THE BAC OFFICE DURING OFFICE HOUR.</t>
  </si>
  <si>
    <t xml:space="preserve"> Please refer to the attached RFQ and TOR for further details of the project</t>
  </si>
  <si>
    <t xml:space="preserve"> Deliver to 10 Lto offices (8 tables per site):</t>
  </si>
  <si>
    <t xml:space="preserve"> https://drive.google.com/file/d/1LpN7m14i915AqJLNSjx--RfwuCohZek3/view?usp=drivesdk</t>
  </si>
  <si>
    <t xml:space="preserve"> https://drive.google.com/file/d/1N8xk1GpL3fuS3teIClj2RFRLWaP7R_Hn/view?usp=drivesdk</t>
  </si>
  <si>
    <t xml:space="preserve"> https://drive.google.com/file/d/1BQEfmd8lTG7H_tryADUuaWGI4n4iVOMQ/view?usp=drivesdk</t>
  </si>
  <si>
    <t xml:space="preserve"> https://drive.google.com/file/d/1Bxk0GmdiYY1lZOjG2wOrTR2W_FqKGWR4/view?usp=drivesdk</t>
  </si>
  <si>
    <t xml:space="preserve"> https://drive.google.com/file/d/1kMLEozAXgkW1orBOSvNNjdbnKL_7mAPz/view?usp=drivesdk</t>
  </si>
  <si>
    <t xml:space="preserve"> For other inquiries/concerns about the term of reference (TOR) please contact end-user Ms. Ruby De Guzman / Mr. Ramon Jaurigue / Ms. Mercy Dio (REMB-BEMD) at Trunk Line 479-29-00. SUPPLIER/BIDDER is required to upon submission of offer in the SEALED ENVELOPE attach the following documents; Mayor’s/Business Permit, PhilGEPS Registration Number and Omnibus Sworn Statement. Please submit your quotation to the BAC-Secretariat Ms. Jaymee Deogracias (BAC-Office) 3rd Floor DOE Main Building, Energy Center, Rizal Drive, Bonifacio Global City, Taguig City trunk line 479-2900 loc. 383 or email to: antonio.bautista@doe.gov.ph</t>
  </si>
  <si>
    <t xml:space="preserve"> please submit your quotation addressed to the BAC Chairperson</t>
  </si>
  <si>
    <t xml:space="preserve"> Project Title : CONSTRUCTION OF SEAWALL WITH DRAINAGE CANAL &amp; EMBANKMENT</t>
  </si>
  <si>
    <t xml:space="preserve"> Same date and venue.</t>
  </si>
  <si>
    <t xml:space="preserve"> Please inquire at the Office of the BAC Secretariat for more details</t>
  </si>
  <si>
    <t xml:space="preserve"> Project Title : ROAD CONCRETING (NEAR MALABOG CREEK, HAMORAON)</t>
  </si>
  <si>
    <t xml:space="preserve"> Prospective supplier must be registered at the Philippine Government Electronic Procurement System (PhilGEPS). You may visit the PhilGEPS website at www.philgeps.gov.ph to register". The Request for Quotation Form can also be downloaded from www.fo4b.dswd.gov.ph</t>
  </si>
  <si>
    <t xml:space="preserve"> The original schedule receipt of bid is still on June 16, 2020, 2:00 pm. For the copy of rfq; please copy this link: https://drive.google.com/file/d/16nonoN73l6YMGLtyW9iUNo6opRsXpc1T/view?usp=drivesdk.</t>
  </si>
  <si>
    <t xml:space="preserve"> The original deadline of receipt of bid is still push through on June 16, 2020; 10:00 AM as scheduled. This was late advertised due to technical error. For the copy of ITB; please follow this link: https://drive.google.com/file/d/1-2iQIqdiAHzdWVc808GZtMKu8J2PLgG-/view?usp=drivesdk</t>
  </si>
  <si>
    <t xml:space="preserve"> ABC is Two Million Five Hundred Thousand Pesos Only (Php.2,500,000.00).</t>
  </si>
  <si>
    <t xml:space="preserve"> The receipt of bid/rfq is still on scheduled original receipt of bid, June 16, 2020; 2:00 p.m. For the copy of RFQ; please follow this link: https://drive.google.com/file/d/1RqUlGGHgDLCiPVThSFSbvJnrtOUz5-Lm/view?usp=drivesdk.</t>
  </si>
  <si>
    <t xml:space="preserve"> 1. All prospective suppliers must first submit photocopies of Class “A” Documents, and other</t>
  </si>
  <si>
    <t xml:space="preserve"> Please contact Jessica A. Cebrian- School Principal of NORCACES (0946-330-8617)</t>
  </si>
  <si>
    <t xml:space="preserve"> Please submit your quotation and legal documents until 20 JUNE 2020 thru email at christian_serrano@tpb.gov.ph / bac_sec@tpb.gov.ph, subject to the Terms and Conditions attached herewith, stating the shortest time of delivery, duly signed by your representative to the Procurement and General Services Division, Administrative Department, 4th Floor, Legaspi Towers 300, Roxas Blvd., Manila.</t>
  </si>
  <si>
    <t xml:space="preserve"> All interested bidders/suppliers must submit their request for quotation form (filled up) at the BAC Office 3rd floor Municipal Hall, Abatan, Buguias, Benguet starting June 16, 2020 from 9:00 PM- 4:00 PM.</t>
  </si>
  <si>
    <t xml:space="preserve"> NOTE: Please call ATI IV-A for more details</t>
  </si>
  <si>
    <t xml:space="preserve"> All interested bidders must purchase bid document at Municipal Treasury Office together with the letter of intent before going to the BAC Office, 3rd floor, Municipal Bldg. Abatan, Buguias, Benguet from June 16, 2020 starting 2:00 PM - 4:00 PM.</t>
  </si>
  <si>
    <t xml:space="preserve"> Inquire at the Office of the Provincial Engineer for details.</t>
  </si>
  <si>
    <t xml:space="preserve"> You may download bidding documents using the link below:</t>
  </si>
  <si>
    <t xml:space="preserve"> https://drive.google.com/file/d/1Yp0QgKRraZJM2r81-Sj0ffMoCvfq5ys4/view?usp=drivesdk</t>
  </si>
  <si>
    <t xml:space="preserve"> BID TENDER							</t>
  </si>
  <si>
    <t xml:space="preserve"> 8o							</t>
  </si>
  <si>
    <t xml:space="preserve"> Activity	Date &amp; Time	Venue</t>
  </si>
  <si>
    <t xml:space="preserve"> BID TENDER											</t>
  </si>
  <si>
    <t xml:space="preserve"> BID TENDER												</t>
  </si>
  <si>
    <t xml:space="preserve"> The Works consists of Installation of 30% Shade net (green) Cover for 37.50 ln.m x 7.0m wide Greenhouse.</t>
  </si>
  <si>
    <t xml:space="preserve"> 1. Submission of canvass on or before June 24, 2020 @ 2:00 P.M.</t>
  </si>
  <si>
    <t xml:space="preserve"> The Works consists of Installation of PV MODULE, POLYCRYSTALLINE, Submersible Multi-stage Centrifugal Solar Pump w/ casing including controller w/ data module, motor and pump and control units with cabling and accessories and water pumping system and drilling of 60m. dept. max (including 4” ø Gi pipe casing and 2” ø Discharge Pipe).</t>
  </si>
  <si>
    <t xml:space="preserve"> The Works consists of Construction of 196 ln.m  4” THK CHB 2 layers Canal lining with concrete column and stiffener spaced at every 5.0m.</t>
  </si>
  <si>
    <t xml:space="preserve"> A business tax will be levied to the winning Supplier/Contractor based on the total contract cost pursuant to Chapter 2. Article I. Section 11 in relation to Chapter 2. Article 1. Section 7 (a) to (h) of the Revised Revenue Code of Nabunturan 2016.</t>
  </si>
  <si>
    <t xml:space="preserve"> The Works consists of Installation of Water Pipe line (1-1/2 2” øGi Pipe, s40) with 8 row distribution line (32mm ø x 65m HDPE Pipe, sdr 17) w/ drippers.</t>
  </si>
  <si>
    <t xml:space="preserve"> The Works consists of Construction of 1 unit elevated concrete water tank (L-22.5m x W-2.5 x H-2.0m) with water line (Pipes and fittings).</t>
  </si>
  <si>
    <t xml:space="preserve"> The Works consists of Construction of 122.0ln.m (3 layer) 4” THK CHB Canal lining with concrete column and stiffener spaced at every 5.om.</t>
  </si>
  <si>
    <t xml:space="preserve"> The Works consists of Excavate the slope for the construction of stone masonry besides the temporary building at NVPH and construct Extension of Stone masonry for Slope Protection.</t>
  </si>
  <si>
    <t xml:space="preserve"> Please print attached file for your quotation</t>
  </si>
  <si>
    <t xml:space="preserve"> Purpose:  for use in various washing/cleaning of vehicle engine and equipment spareparts/repair works at TOEMD and this office. </t>
  </si>
  <si>
    <t xml:space="preserve"> ***Please see attached Request for Quotation...</t>
  </si>
  <si>
    <t xml:space="preserve"> Interested Bidder may purchase Bidding Documents in the amount of 500.00 pesos at the BAC Secretariat, Treasurer's Office, Municipal Hall Building.</t>
  </si>
  <si>
    <t xml:space="preserve"> The Works consists of Construction of 193.00 ln.m  4” THK (2 layers) CHB  Canal lining with concrete column and stiffener spaced at every 5.0m.</t>
  </si>
  <si>
    <t xml:space="preserve"> All particulars relative to Preliminary Examination of Bids, Bid Security, Performance Security, Evaluation of Bids, Post-Qualification and Award of Contract shall be governed by the pertinent provisions of R.A 9184 and its Revised Implementing Rules and Regulations (Revised IRR). Prospective bidders should have completed a similar contract within the last five (5) years with a value of at least 50% of the ABC. The BAC will use non-discretionary “pass/fail” criteria in the screening of Technical Proposal as well as the Preliminary Examination of Bids. The BAC will conduct post-qualification of the Lowest Calculated Bid.</t>
  </si>
  <si>
    <t xml:space="preserve"> 1.	All prospective suppliers must first submit photocopies of Class “A” Documents, and other Requirements together with the “Original’s” for the conduct of Business Inspection to determine their eligibility prior transacting business with PNPC. </t>
  </si>
  <si>
    <t xml:space="preserve"> For more information, please see or contact the BAC Members of LGU Magallanes, Sorsogon.</t>
  </si>
  <si>
    <t xml:space="preserve"> PLEASE DOWNLOAD BID DOCUMENTS</t>
  </si>
  <si>
    <t xml:space="preserve"> Last day of submission of quotation is on June 18, 2020 9:00am.</t>
  </si>
  <si>
    <t xml:space="preserve"> For More Info. Please Contact:</t>
  </si>
  <si>
    <t xml:space="preserve"> For More Info.Please Contact:</t>
  </si>
  <si>
    <t xml:space="preserve"> Terms and Conditions:</t>
  </si>
  <si>
    <t xml:space="preserve"> Purpose: to be used by the Water Service Connection Installation Section (WSCIS) of the Customer Service Division.</t>
  </si>
  <si>
    <t xml:space="preserve"> PLS SEE ATTACHED TOR (S1-BIM20-011)</t>
  </si>
  <si>
    <t xml:space="preserve"> PLS SEE ATTACHED TOR (S1-CTL20-004)</t>
  </si>
  <si>
    <t xml:space="preserve"> PLS SEE ATTACHED TOR (PR#S1-PLB20-013)</t>
  </si>
  <si>
    <t xml:space="preserve"> PLS SEE ATTACHED TOR (PR#S1-VDP20-010)</t>
  </si>
  <si>
    <t xml:space="preserve"> https://drive.google.com/file/d/1pTbpr-g-SQcqTRe7y7dej9R7cQk1nxiY/view?usp=drivesdk</t>
  </si>
  <si>
    <t xml:space="preserve"> PLS SEE ATTACHED TOR (PR#S1-MNR20-012)</t>
  </si>
  <si>
    <t xml:space="preserve"> Please see the details/ items on the attached file in associated components.</t>
  </si>
  <si>
    <t xml:space="preserve"> https://drive.google.com/file/d/1K3RYiYKr_QQ8BMsDbIt9gMi0cNYl5uFr/view?usp=drivesdk</t>
  </si>
  <si>
    <t xml:space="preserve"> https://drive.google.com/file/d/1plAsgpaah__uSh-nVFAGz8ju6xKxcvXg/view?usp=drivesdk</t>
  </si>
  <si>
    <t xml:space="preserve"> The Schedule of BAC Activities is as follows:</t>
  </si>
  <si>
    <t xml:space="preserve"> Activity	Date and Time	Venue</t>
  </si>
  <si>
    <t xml:space="preserve"> Alexander G. Diez</t>
  </si>
  <si>
    <t xml:space="preserve"> 1.	Interested supplier/bidder/services should submit their quotation in an official Request for Quotation Form. ( forms are available at Taysan NHS Property Officer)</t>
  </si>
  <si>
    <t xml:space="preserve"> You may see the LCE, Municipality of Caibiran, Biliran</t>
  </si>
  <si>
    <t xml:space="preserve"> none</t>
  </si>
  <si>
    <t xml:space="preserve"> Bidders must download documents in the associated components section.</t>
  </si>
  <si>
    <t xml:space="preserve"> Contact admin</t>
  </si>
  <si>
    <t xml:space="preserve"> PICK UP</t>
  </si>
  <si>
    <t xml:space="preserve"> None</t>
  </si>
  <si>
    <t xml:space="preserve"> Please contact the school head of Mahaba ES - Mrs. Arlinda B. Dalogdog (09108792338)</t>
  </si>
  <si>
    <t xml:space="preserve"> GENERAL INSTRUCTIONS TO BIDDERS:							</t>
  </si>
  <si>
    <t xml:space="preserve"> Copy and paste the link below in the URL to download Bidding documents attached.</t>
  </si>
  <si>
    <t xml:space="preserve"> Please see attached PDF files for more information.</t>
  </si>
  <si>
    <t xml:space="preserve"> Please see attached PDF for more information.</t>
  </si>
  <si>
    <t xml:space="preserve"> Kindly address your Quotation to Engr. Carmela Valencia (BAC Chairperson)</t>
  </si>
  <si>
    <t xml:space="preserve"> The Bidder must quote to all items</t>
  </si>
  <si>
    <t xml:space="preserve"> Date of posting - June 15-22, 2020</t>
  </si>
  <si>
    <t xml:space="preserve"> Date of posting- June 15-22, 2019</t>
  </si>
  <si>
    <t xml:space="preserve"> Please look for BAC Secretary/TWG for bidding documents/clarification, failure of submitting necessary documents will be subjected to disqualification.</t>
  </si>
  <si>
    <t xml:space="preserve"> https://drive.google.com/file/d/1rhK8g2MEt1qyy6Sts6_EyhNdIddPw-Ze/view?usp=drivesdk</t>
  </si>
  <si>
    <t xml:space="preserve"> The participating Security Agency is preferably within the Province of Quezon</t>
  </si>
  <si>
    <t xml:space="preserve"> The participating agency is preferably within Quezon Province</t>
  </si>
  <si>
    <t xml:space="preserve"> https://drive.google.com/file/d/1tsIbxG-H9tmSxVV8L4uld-GilMxZb-Vk/view?usp=drivesdk</t>
  </si>
  <si>
    <t xml:space="preserve"> https://drive.google.com/file/d/12J50AeeXdmh3OVPCCZ2vRStPXZd0jw4B/view?usp=drivesdk</t>
  </si>
  <si>
    <t xml:space="preserve"> All quotations must be in the prescribed canvass form and suppliers or its duly authorized representative shall personally submit the same to the City Procurement Office, City Government of Antipolo.</t>
  </si>
  <si>
    <t xml:space="preserve"> The National Irrigation Administration (NIA), Regional Irrigation Office No.7, through the Small Irrigation Project 2019 intends to apply the sum of One Million Four Hundred One Thousand Nine Hundred Pesos &amp; 00/100 (P 1,401,900.00) being the Approved Budget for Contract (ABC) to payment under contract for FURNISHING OF CONSTRUCTION MATERIALS OF CAROL-AN DAGYANGAW SIP (CY 2019), Ayungon, Negros Oriental with Contract No. NOSO-Goods-SIP-05-2020. Bids received in excess of the ABC shall be automatically rejected at bid opening.</t>
  </si>
  <si>
    <t xml:space="preserve"> The National Irrigation Administration (NIA), Regional Irrigation Office No.7, through the Small Irrigation Project 2020 intends to apply the sum of One Million One Hundred Eighty-Three Thousand Eight Hundred Pesos &amp; 00/100 (P 1,183,800.00) being the Approved Budget for Contract (ABC) to payment under contract for FURNISHING OF CONSTRUCTION MATERIALS OF CAROL-AN DAGYANGAW SIP, Ayungon, Negros Oriental with Contract No. NOSO-Goods-SIP-04-2020. Bids received in excess of the ABC shall be automatically rejected at bid opening.</t>
  </si>
  <si>
    <t xml:space="preserve"> Instruction for Suppliers on how to View/Download the document:</t>
  </si>
  <si>
    <t xml:space="preserve"> please go to link https://drive.google.com/file/d/1NLo-qSzuKBpH9VMgq9x7Y-GJq5jHG9nY/view?usp=drivesdk for a copy of the Bidding Documents</t>
  </si>
  <si>
    <t xml:space="preserve"> ttps://drive.google.com/file/d/1Hk98lTI3c7OfiiupxKhsnVQ5lG-MJQyL/view?usp=drivesdk</t>
  </si>
  <si>
    <t xml:space="preserve"> Created By: Jomel Anatalio</t>
  </si>
  <si>
    <t xml:space="preserve"> 10. For further information, please refer to:</t>
  </si>
  <si>
    <t xml:space="preserve"> Please submit your quotation on or before June 17, 2020 at Procurement Office, Isabela State University Matusalem, Roxas, Isabela.</t>
  </si>
  <si>
    <t xml:space="preserve"> Annex “A”</t>
  </si>
  <si>
    <t xml:space="preserve"> For further information, please contact</t>
  </si>
  <si>
    <t xml:space="preserve"> Inquire at the Office of the Provincial Agriculturist for details.</t>
  </si>
  <si>
    <t xml:space="preserve"> Criteria: Pass or Fail </t>
  </si>
  <si>
    <t xml:space="preserve"> https://drive.google.com/file/d/1NqpeKt5RU-Rt4thG993dsKfe3boMpL7m/view?usp=drivesdk</t>
  </si>
  <si>
    <t xml:space="preserve"> Section III. Bid Data Sheet</t>
  </si>
  <si>
    <t xml:space="preserve"> Please submit your Quotation together with:</t>
  </si>
  <si>
    <t xml:space="preserve"> https://drive.google.com/file/d/1JoRzaZ1KWW2e3cDnBcPneHII3Gv8q3rz/view?usp=drivesdk</t>
  </si>
  <si>
    <t xml:space="preserve"> https://drive.google.com/file/d/1EO_yu8YXQXYAXaPcECLPZIxmoiyKxY-5/view?usp=drivesdk</t>
  </si>
  <si>
    <t xml:space="preserve"> https://drive.google.com/file/d/15Do5M3IAxb1_lr-59XBX-DtIjmkZoomu/view?usp=drivesdk</t>
  </si>
  <si>
    <t xml:space="preserve"> https://drive.google.com/file/d/1uGPCRtagOka6ak5i_nUH1ySjvDM21eBN/view?usp=drivesdk</t>
  </si>
  <si>
    <t xml:space="preserve"> https://drive.google.com/file/d/1kJC_ti7gxM5npTTjJ_wK-WfFE7SBcs2j/view?usp=drivesdk</t>
  </si>
  <si>
    <t xml:space="preserve"> For inquiries please contact Ms. Anabel Alis Basas BAC Secretariat @09500981535</t>
  </si>
  <si>
    <t xml:space="preserve"> FOR INQUIRIES PLEASE CONTACT MS. ANABEL ALIS BASAS SCHOOL BAC SECRETARIAT@09500981535</t>
  </si>
  <si>
    <t xml:space="preserve"> 1. RFQ must be submitted in sealed or open quotation</t>
  </si>
  <si>
    <t xml:space="preserve"> for inquiries please contact Ms. Anabel Alis Basas School BAC Secretariat @09500981535</t>
  </si>
  <si>
    <t xml:space="preserve"> FOR INQUIRIES PLEASE CONTACT MS. ANABEL ALIS BASAS BAC SCERATARIAT@09500981535</t>
  </si>
  <si>
    <t xml:space="preserve"> If unable to download associated components (RFQs, etc.), send email request to the above email address.</t>
  </si>
  <si>
    <t xml:space="preserve"> FOR INQUIRIES PLEASE CONTACT MS. ANABEL ALIS BASAS, BAC SECRETARIAT@09500981535</t>
  </si>
  <si>
    <t xml:space="preserve"> Procurement of Anti-flu vaccines for the Oplan Bantay-Kalusugan : Immunization Program 2020</t>
  </si>
  <si>
    <t xml:space="preserve"> FOR INQUIRIES PLEASE CONTACT MS. ANABEL ALIS BASAS BAC SECRETTARIAT @09500981535</t>
  </si>
  <si>
    <t xml:space="preserve"> RFQ Available @ BAC Office</t>
  </si>
  <si>
    <t xml:space="preserve"> Procurement of Office Equipment for Barangay Use :</t>
  </si>
  <si>
    <t xml:space="preserve"> Procurement of Barangay ID Printer colored for Barangay Magallanes use :</t>
  </si>
  <si>
    <t xml:space="preserve"> Procurement of Waste Segregation program para sa Barangay Magallanes :</t>
  </si>
  <si>
    <t xml:space="preserve"> Procurement of Janitorial Supplies for Barangay Magallanes use :</t>
  </si>
  <si>
    <t xml:space="preserve"> Procurement of Supplies and Materials for Barangay Traffic Enforcers: </t>
  </si>
  <si>
    <t xml:space="preserve"> Procurement of Motor vehicle for Barangay Peace and Order :</t>
  </si>
  <si>
    <t xml:space="preserve"> Procurement of Medical Equipment for Barangay Clinic use :</t>
  </si>
  <si>
    <t xml:space="preserve"> Procurement of Cooling fans for Barangay Magallanes use :</t>
  </si>
  <si>
    <t xml:space="preserve"> Note: to be delivered on project site</t>
  </si>
  <si>
    <t xml:space="preserve"> DENNIS S. BESA </t>
  </si>
  <si>
    <t xml:space="preserve"> Checklist for Alternative Mode of Procurement</t>
  </si>
  <si>
    <t xml:space="preserve"> https://drive.google.com/file/d/16S9zQkvbzpL6YDQSLmIHaZFS8GnQoIuK/view?usp=drivesdk</t>
  </si>
  <si>
    <t xml:space="preserve"> https://drive.google.com/file/d/1MEsNk8flqs8vDqk8GA2Eoft7mQjOh6sO/view?usp=drivesdk</t>
  </si>
  <si>
    <t xml:space="preserve"> https://drive.google.com/file/d/1SRD3l1GyzPDvn4dyC9vUxXWj_PIlueXw/view?usp=drivesdk</t>
  </si>
  <si>
    <t xml:space="preserve"> https://drive.google.com/file/d/17C2ExZPmbGYQx3PmnKK-GMP3v3vDFR0F/view?usp=drivesd</t>
  </si>
  <si>
    <t xml:space="preserve"> https://drive.google.com/file/d/1FKr_18uFlfP0x51-_LmnnF4ETNrzKEIb/view?usp=drivesdk</t>
  </si>
  <si>
    <t xml:space="preserve"> Submit your quotation together with the ff: documents 1) Mayor's /Business Permit 2) SEC/DTI Certificate of Registration 3) Tax Clearance 4) PhilGEPS Certificate of Registration </t>
  </si>
  <si>
    <t xml:space="preserve"> 1.	Quotation must be your single best offer.</t>
  </si>
  <si>
    <t xml:space="preserve"> https://drive.google.com/file/d/151M_JuA6ROuJUobYPJp3qqG_ypt1N54i/view?usp=drivesdk</t>
  </si>
  <si>
    <t xml:space="preserve"> https://drive.google.com/file/d/1xOAzBaSofinmytC1ZBrVN-42ks4Ut6ws/view?usp=drivesdk </t>
  </si>
  <si>
    <t xml:space="preserve"> Please see attached quotation sheet and Terms of Reference</t>
  </si>
  <si>
    <t xml:space="preserve"> Buyer: A.S. Dizon</t>
  </si>
  <si>
    <t xml:space="preserve"> Buyer: N.B. Camama</t>
  </si>
  <si>
    <t xml:space="preserve"> Buyer: J.S. Medina</t>
  </si>
  <si>
    <t xml:space="preserve"> Bidders are required to read the instructions:</t>
  </si>
  <si>
    <t xml:space="preserve"> Please see attach RFQ</t>
  </si>
  <si>
    <t xml:space="preserve"> you can send your quotation to: ptccalumpit@tesda.gov.ph</t>
  </si>
  <si>
    <t xml:space="preserve"> Please see attached RFQ for more details.</t>
  </si>
  <si>
    <t xml:space="preserve"> OTHER INFORMATION</t>
  </si>
  <si>
    <t xml:space="preserve"> 3 units split type aircondition with installation</t>
  </si>
  <si>
    <t xml:space="preserve"> https://drive.google.com/file/d/1q9NOJh5yuy00xjRdnxbPMShONmv55_cJ/view?usp=drivesdk</t>
  </si>
  <si>
    <t xml:space="preserve"> For inquiries you may contact the BAC Secretariat at (082) 227-4073/2463 local 1142 or 0923-7216533/0917-3156929/0999-8878095(call only) local 1142</t>
  </si>
  <si>
    <t xml:space="preserve"> https://drive.google.com/file/d/1Pq5d7vAi_EzFsPKs3HS4YhqajZAScNWm/view?usp=drivesdk</t>
  </si>
  <si>
    <t xml:space="preserve"> https://drive.google.com/file/d/1eJqRrgxhlI1if8_K-b_FwtO5ZuQK0mpS/view?usp=drivesdk</t>
  </si>
  <si>
    <t xml:space="preserve"> BIDDING DATE: JULY 6, 2020 @ 9:00 A.M.</t>
  </si>
  <si>
    <t xml:space="preserve"> https://drive.google.com/file/d/1ib9RS0GvD0NYftGCxgO1KQWDibnRWBY7/view?usp=drivesdk</t>
  </si>
  <si>
    <t xml:space="preserve"> o	Option to reserve the stock for the VMMC: seven (7) working days after the opening of this canvass</t>
  </si>
  <si>
    <t xml:space="preserve"> https://drive.google.com/file/d/1iHh2YA4ElsX1RNutOeTO76No7063l9UW/view?usp=drivesdk</t>
  </si>
  <si>
    <t xml:space="preserve"> Please see the BAC for further information and clarification</t>
  </si>
  <si>
    <t xml:space="preserve"> Bidder's must download the attached document in the associated component section.</t>
  </si>
  <si>
    <t xml:space="preserve"> Bidding document 500.00 Non-refundable</t>
  </si>
  <si>
    <t xml:space="preserve"> LOI - 06/19/2020</t>
  </si>
  <si>
    <t xml:space="preserve"> letter of intent - 06/19/2020</t>
  </si>
  <si>
    <t xml:space="preserve"> For more information contact Mr. Jaime C. Ogrimen  CP#09095464597. Items must be delivered to Lawaan National School of Craftsmanship and Home Industries (LNSCH), Lawaan, Eastern Samar</t>
  </si>
  <si>
    <t xml:space="preserve"> All items must conform with the standard</t>
  </si>
  <si>
    <t xml:space="preserve"> TECHNICAL SPECIFICATIONS</t>
  </si>
  <si>
    <t xml:space="preserve"> NOTE: BUDGET AMOUNT IS INCLUSIVE OF VAT</t>
  </si>
  <si>
    <t xml:space="preserve"> Deadline for submission of bids will be on JUNE 23, 2020, 10:00 A.M. at the Supply Office, Town Hall, Poblacion, Kibungan, Benguet.</t>
  </si>
  <si>
    <t xml:space="preserve"> Note: Upon submission, please attach the following requirements.</t>
  </si>
  <si>
    <t xml:space="preserve"> SIR/MADAM:						</t>
  </si>
  <si>
    <t xml:space="preserve"> https://drive.google.com/file/d/18VIttbt_AMpdOiU9AD8Bny4ewuYbeLVD/view?usp=drivesdk</t>
  </si>
  <si>
    <t xml:space="preserve"> Bid Opening Date: June 22, 2020</t>
  </si>
  <si>
    <t xml:space="preserve"> Note: Please bring any prof that your are safe in COVID-19 Pandamic.</t>
  </si>
  <si>
    <t xml:space="preserve"> Please be informed that the Bid Documents can’t be downloaded from the website. Prospective bidders are requested to acquire the documents directly and personally from the BAC Secretariat upon payment at the Municipal Treasury Office a corresponding fee of Php500.00 for the said project.</t>
  </si>
  <si>
    <t xml:space="preserve"> Bidders must download the attached document in the associate component section</t>
  </si>
  <si>
    <t xml:space="preserve"> There will be no pre-bid conference</t>
  </si>
  <si>
    <t xml:space="preserve"> Pls. See Attached RFQ Files...</t>
  </si>
  <si>
    <t xml:space="preserve"> Suppliers/Bidders must download the attached supporting documents at the associated component section.</t>
  </si>
  <si>
    <t xml:space="preserve"> Bidding Activities	Schedule / Venue</t>
  </si>
  <si>
    <t xml:space="preserve"> Please download BID DOCUMENT in the Associated Component</t>
  </si>
  <si>
    <t xml:space="preserve"> Deadline for submission of the quotation shall be on June 16, 2020 at 1:30 AM in MPDC Office Libungan, Cotabato.</t>
  </si>
  <si>
    <t xml:space="preserve"> Please bring any prof that you are safe of COVID-19 Pandamic.</t>
  </si>
  <si>
    <t xml:space="preserve"> - Bulk Density, loose (g/cc) : 1.0</t>
  </si>
  <si>
    <t xml:space="preserve"> Please download RFQ in the Associated Components for Quotation.</t>
  </si>
  <si>
    <t xml:space="preserve"> Brand names of all items must be indicated in the bid</t>
  </si>
  <si>
    <t xml:space="preserve"> A. Bill of materials: VAT included: (delivered @ Site)																		</t>
  </si>
  <si>
    <t xml:space="preserve"> This Posting is done on behalf of unregistered procuring entity (Brgy. Napnapan)</t>
  </si>
  <si>
    <t xml:space="preserve"> Suppliers/bidders must download the attached documents in the associated component section.</t>
  </si>
  <si>
    <t xml:space="preserve"> The Municipal Government of Liliw, Laguna reserves the right to reject any or all bids, to declare the bidding a failure or waive any or all information and to award such bids to the supplier whose bid is considered most advantageous to the government.</t>
  </si>
  <si>
    <t xml:space="preserve"> Please see attached associated components,</t>
  </si>
  <si>
    <t xml:space="preserve"> 1.) 13 Units CACAO GRINDER</t>
  </si>
  <si>
    <t xml:space="preserve"> NO STATUTORY BENEFITS SHALL BE CHARGED AS FREE</t>
  </si>
  <si>
    <t xml:space="preserve"> The winning bidder will deliver the item at ATI-RTC XII, San Felipe, Tantangan, South Cotabato.</t>
  </si>
  <si>
    <t xml:space="preserve"> Rebid.</t>
  </si>
  <si>
    <t xml:space="preserve"> The winning bidder will deliver the items at ATI-RTC XII, San Felipe, Tantangan, South Cotabato.</t>
  </si>
  <si>
    <t xml:space="preserve"> Brand names of all items must be indicated in the bid.</t>
  </si>
  <si>
    <t xml:space="preserve"> Bid documents shall be available for issuance at the PNOC-Procurement Division at the G/F of the PNOC Building from 9:00 AM – 3:00 PM.</t>
  </si>
  <si>
    <t xml:space="preserve"> Pre-bid conference will be held on June 18, 2020 at Siniloan Water District Office, Bibiana Bldg., E. Castro St., Brgy. Bagumbarangay, Siniloan, Laguna</t>
  </si>
  <si>
    <t xml:space="preserve"> Please download attached Request For Quotation (RFQ)  for your reference.</t>
  </si>
  <si>
    <t xml:space="preserve"> https://drive.google.com/file/d/13hztPT5VHfT3SGLd7q4KN5p2hpBMyCAN/view?usp=drivesdk</t>
  </si>
  <si>
    <t xml:space="preserve"> Interested bidders may obtain further information from Barangay Government of Barangay Tagpopongan through the Bids and Awards Committee Secretariat and inspect the Bidding Documents at the address given below during office hours.</t>
  </si>
  <si>
    <t xml:space="preserve"> The schedule of opening of bid will be on June 29, 2020 at exactly 2 o'clock in the afternoon at the BAC Office c/o Budget Office LGU Dauis, Bohol.</t>
  </si>
  <si>
    <t xml:space="preserve"> https://drive.google.com/file/d/1PkaNyMy5EDTKNbSGscYObHDnuycUOAfg/view?usp=drivesdk</t>
  </si>
  <si>
    <t xml:space="preserve"> Interested supplier are required to submit their quotation with Philgeps registration, valid/current Mayor's Permit, Income/Business Tax Return and Omnibus Sworn Statement. All documents must be submitted to the BAC Secretariat. DEADLINE FOR SUBMISSION:  June 16, 2020 @ 9:00 a.m</t>
  </si>
  <si>
    <t xml:space="preserve"> BIDDING DATE:  JULY 6, 2020 @ 9:00 A.M.</t>
  </si>
  <si>
    <t xml:space="preserve"> NOTE: Please copy the link below and paste to the web browser for the attached Request for Quotation (RFQ) form.</t>
  </si>
  <si>
    <t xml:space="preserve"> The winning bidder will deliver the items at ATI Learning Site in Datu Abdullah Sangki and Sultan sa Barongis Maguindanao.</t>
  </si>
  <si>
    <t xml:space="preserve"> Deadline for submission of bids will be on June 23, 2020, 10:00 A.M. at the Supply Office, Town Hall, Poblacion, Kibungan, Benguet.</t>
  </si>
  <si>
    <t xml:space="preserve"> https://www.philgeps.gov.ph/GEPSNONPILOT/Tender/CreateNoticeStep2UI.aspx?RefID=7041741</t>
  </si>
  <si>
    <t xml:space="preserve"> Suppliers/Bidders must download the attached supporting documents at the associated component section</t>
  </si>
  <si>
    <t xml:space="preserve"> BIDDERS MUST DOWNLOAD THE ATTACHED DOCUMENT IN THE ASSOCIATED COMPONENT SECTION</t>
  </si>
  <si>
    <t xml:space="preserve"> Please your quotation to:</t>
  </si>
  <si>
    <t xml:space="preserve"> Bidding Documents may be purchased by the Interested Bidders on June 17-18, 2020 from 8:00 A.M to 5:00 P.M. and upon payment of non - refundable fee of Five Hundred Pesos (Php 500.00).</t>
  </si>
  <si>
    <t xml:space="preserve"> https://www.philgeps.gov.ph/GEPSNONPILOT/Tender/CreateNoticeStep2UI.aspx?RefID=7041752</t>
  </si>
  <si>
    <t xml:space="preserve"> The BAC is conducting the public bidding for this Contract in accordance with the 2016 Revised IRR of RA 9184.</t>
  </si>
  <si>
    <t xml:space="preserve"> https://www.philgeps.gov.ph/GEPSNONPILOT/Tender/CreateNoticeStep2UI.aspx?RefID=7041768</t>
  </si>
  <si>
    <t xml:space="preserve"> https://www.philgeps.gov.ph/GEPSNONPILOT/Tender/CreateNoticeStep2UI.aspx?RefID=7041774</t>
  </si>
  <si>
    <t xml:space="preserve"> Date of Advertisement:  June 12-19, 2020</t>
  </si>
  <si>
    <t xml:space="preserve"> The ERC, for the 1st extension of this opportunity, now invites suppliers</t>
  </si>
  <si>
    <t xml:space="preserve"> 1.) Availability of Request for Quotation (RFQ) can be downloaded here.</t>
  </si>
  <si>
    <t xml:space="preserve"> https://www.philgeps.gov.ph/GEPSNONPILOT/Tender/CreateNoticeStep2UI.aspx?RefID=7041955</t>
  </si>
  <si>
    <t xml:space="preserve"> https://www.philgeps.gov.ph/GEPSNONPILOT/Tender/CreateNoticeStep2UI.aspx?RefID=7041962</t>
  </si>
  <si>
    <t xml:space="preserve"> Fund 164</t>
  </si>
  <si>
    <t xml:space="preserve"> https://www.philgeps.gov.ph/GEPSNONPILOT/Tender/CreateNoticeStep2UI.aspx?RefID=7041977</t>
  </si>
  <si>
    <t xml:space="preserve"> https://www.philgeps.gov.ph/GEPSNONPILOT/Tender/CreateNoticeStep2UI.aspx?RefID=7041944</t>
  </si>
  <si>
    <t xml:space="preserve"> https://www.philgeps.gov.ph/GEPSNONPILOT/Tender/CreateNoticeStep2UI.aspx?RefID=7041983</t>
  </si>
  <si>
    <t xml:space="preserve"> Fund 101</t>
  </si>
  <si>
    <t xml:space="preserve"> https://www.philgeps.gov.ph/GEPSNONPILOT/Tender/CreateNoticeStep2UI.aspx?RefID=7041994</t>
  </si>
  <si>
    <t xml:space="preserve"> https://www.philgeps.gov.ph/GEPSNONPILOT/Tender/CreateNoticeStep2UI.aspx?RefID=7042004</t>
  </si>
  <si>
    <t xml:space="preserve"> https://drive.google.com/file/d/1RJIdB07Yb0n-SJnluD8UILNFBh5BrS64/view?usp=drivesdk</t>
  </si>
  <si>
    <t xml:space="preserve"> Fund:101</t>
  </si>
  <si>
    <t xml:space="preserve"> https://drive.google.com/file/d/1rtF9SIXSwzP0YsAaGEKkv1--lvEgWll3/view?usp=drivesdk</t>
  </si>
  <si>
    <t xml:space="preserve"> https://www.philgeps.gov.ph/GEPSNONPILOT/Tender/CreateNoticeStep2UI.aspx?RefID=7042018</t>
  </si>
  <si>
    <t xml:space="preserve"> https://www.philgeps.gov.ph/GEPSNONPILOT/Tender/CreateNoticeStep2UI.aspx?RefID=7042029</t>
  </si>
  <si>
    <t xml:space="preserve"> https://www.philgeps.gov.ph/GEPSNONPILOT/Tender/CreateNoticeStep2UI.aspx?RefID=7042047</t>
  </si>
  <si>
    <t xml:space="preserve"> https://www.philgeps.gov.ph/GEPSNONPILOT/Tender/CreateNoticeStep2UI.aspx?RefID=7042059</t>
  </si>
  <si>
    <t xml:space="preserve"> Please Quote your lowest price on the item/s listed above, subject to the General Conditions, stating the shortest time of delivery and submit your quotation duly signed by your representative not later than June 16, 2020 (9:00 AM) at the Bids and Awards Committee 3rd floor Provincial Capitol, Poblacion Bontoc, Mountain Province.</t>
  </si>
  <si>
    <t xml:space="preserve"> Alfredo M. Maduay</t>
  </si>
  <si>
    <t xml:space="preserve"> https://www.philgeps.gov.ph/GEPSNONPILOT/Tender/CreateNoticeStep2UI.aspx?RefID=7042071</t>
  </si>
  <si>
    <t xml:space="preserve"> https://www.philgeps.gov.ph/GEPSNONPILOT/Tender/CreateNoticeStep2UI.aspx?RefID=7042093</t>
  </si>
  <si>
    <t xml:space="preserve"> Please download the attached Invitation to Bid, Bidding Documents, Terms of Reference and Eligibility Checklist in the associated component.</t>
  </si>
  <si>
    <t xml:space="preserve"> DepEd SDN Division 2020 Brigada Eskwela and Oplan Balik Eskwela Caravan "cum"Monitoring</t>
  </si>
  <si>
    <t xml:space="preserve"> https://www.philgeps.gov.ph/GEPSNONPILOT/Tender/CreateNoticeStep2UI.aspx?RefID=7042106</t>
  </si>
  <si>
    <t xml:space="preserve"> https://www.philgeps.gov.ph/GEPSNONPILOT/Tender/CreateNoticeStep2UI.aspx?RefID=7042118</t>
  </si>
  <si>
    <t xml:space="preserve"> For more information kindly contact:</t>
  </si>
  <si>
    <t xml:space="preserve"> https://www.philgeps.gov.ph/GEPSNONPILOT/Tender/CreateNoticeStep2UI.aspx?RefID=7042131</t>
  </si>
  <si>
    <t xml:space="preserve"> Please Quote your lowest price on the item/s listed above, subject to the General Conditions, stating the shortest time of delivery and submit your quotation duly signed by your representative not later than June 16, 2020 (9:00 AM) at the Bids and Awards Committee 3rd floor Provincial Capitol, Poblacion, Bontoc, Mountain Province.</t>
  </si>
  <si>
    <t xml:space="preserve"> FOB Destination</t>
  </si>
  <si>
    <t xml:space="preserve"> For further information please contact the BAC Secratariat</t>
  </si>
  <si>
    <t xml:space="preserve"> https://www.philgeps.gov.ph/GEPSNONPILOT/Tender/CreateNoticeStep2UI.aspx?RefID=7042168</t>
  </si>
  <si>
    <t xml:space="preserve"> https://www.philgeps.gov.ph/GEPSNONPILOT/Tender/CreateNoticeStep2UI.aspx?RefID=7042152</t>
  </si>
  <si>
    <t xml:space="preserve"> https://www.philgeps.gov.ph/GEPSNONPILOT/Tender/CreateNoticeStep2UI.aspx?RefID=7042187</t>
  </si>
  <si>
    <t xml:space="preserve"> Please use the official quotation attached and provide a copy of PhilGEPS Certificate (Platinum).</t>
  </si>
  <si>
    <t xml:space="preserve"> Please Quote your lowest price on the item/s listed below, subject to the General Conditions, stating the shortest time of delivery and submit your quotation duly signed by your representative not later than June 16, 2020 (9:00 AM 3rd Floor Provincial Capitol Bontc Mountain Province.</t>
  </si>
  <si>
    <t xml:space="preserve"> https://www.philgeps.gov.ph/GEPSNONPILOT/Tender/CreateNoticeStep2UI.aspx?RefID=7042331</t>
  </si>
  <si>
    <t xml:space="preserve"> https://www.philgeps.gov.ph/GEPSNONPILOT/Tender/CreateNoticeStep2UI.aspx?RefID=7042289</t>
  </si>
  <si>
    <t xml:space="preserve"> Please submit sealed quotation.</t>
  </si>
  <si>
    <t xml:space="preserve"> 1. SUBMERSIBLE MOTOR* : PLEASE SEE ATTACHED SPECIFICATION (ABC: PHP 80,000.00) </t>
  </si>
  <si>
    <t xml:space="preserve"> All suppliers must submit their quotation together with the following:</t>
  </si>
  <si>
    <t xml:space="preserve"> The office suggested to interested suppliers to come to office for any clarifications on the sizing of the acrylic dividers. Please look for Jose Urville Don Maliper for the assistance.</t>
  </si>
  <si>
    <t xml:space="preserve"> Please see the BAC secretariat for the main documents</t>
  </si>
  <si>
    <t xml:space="preserve"> https://drive.google.com/file/d/1qweY_HTi67b9bNX8y0S33wJqFwwz_ney/view?usp=drivesdk</t>
  </si>
  <si>
    <t xml:space="preserve"> 1. SUBMERSIBLE PUMP : PLEASE SEE ATTACHED SPECIFICATION (ABC: PHP 50,000.00) </t>
  </si>
  <si>
    <t xml:space="preserve"> BIDDERS MUST DOWNLOAD THE ATTACHED DOCUMENT IN THE ASSOCIATED COMPONENT SECTION.</t>
  </si>
  <si>
    <t xml:space="preserve"> ITB</t>
  </si>
  <si>
    <t xml:space="preserve"> Also  available in DPWH Website</t>
  </si>
  <si>
    <t xml:space="preserve"> Quezon City</t>
  </si>
  <si>
    <t xml:space="preserve"> For further information please see attached bidding document or contact BAC Secretariat</t>
  </si>
  <si>
    <t xml:space="preserve"> https://drive.google.com/file/d/14aMNNxWyiBL7yy41pceB-BhXlNkoDzHy/view?usp=drivesdk</t>
  </si>
  <si>
    <t xml:space="preserve"> Buyer: K.C. Lacatan</t>
  </si>
  <si>
    <t xml:space="preserve"> For further information please see attached bidding documents or contact BAC Secretariat</t>
  </si>
  <si>
    <t xml:space="preserve"> fax or email your quotation</t>
  </si>
  <si>
    <t xml:space="preserve"> SUPPLIER OR BIDDER MUST DOWNLOAD THE ATTACHED DOCUMENT IN THE ASSOCIATED COMPONENT SECTION.</t>
  </si>
  <si>
    <t xml:space="preserve"> https://drive.google.com/file/d/1A0X7XPnMovaaOtYBxCRIqMeHR8v1GKAX/view?usp=drivesdk</t>
  </si>
  <si>
    <t xml:space="preserve"> 1. SUBMERSIBLE MOTOR* : PLEASE SEE ATTACHED SPECIFICATION (ABC: PHP 400,000.00) </t>
  </si>
  <si>
    <t xml:space="preserve"> 1. SUBMERSIBLE CABLE ROUND : PLEASE SEE ATTACHED SPECIFICATION (ABC: PHP 500,000.00) </t>
  </si>
  <si>
    <t xml:space="preserve"> 3,000 liters deisel fuel</t>
  </si>
  <si>
    <t xml:space="preserve"> 1. SUBMERSIBLE PUMP : PLEASE SEE ATTACHED SPECIFICATION (ABC: PHP 400,000.00) </t>
  </si>
  <si>
    <t xml:space="preserve"> ITB </t>
  </si>
  <si>
    <t xml:space="preserve"> Project Description:</t>
  </si>
  <si>
    <t xml:space="preserve"> Please refer to the attached RFQ for other details and specifications</t>
  </si>
  <si>
    <t xml:space="preserve"> Please download associated components (RFQ and its Terms and Conditions).</t>
  </si>
  <si>
    <t xml:space="preserve"> For further information, Please refer to:</t>
  </si>
  <si>
    <t xml:space="preserve"> Contact Person:</t>
  </si>
  <si>
    <t xml:space="preserve"> All quotations will be collated and checked a day after the 7 days posting. Note that all price quotation shall be ERROR-FREE and TAX INCLUSIVE. Please ensure that submitted quotation contains COMPLETE, CORRECT, AND SPECIFIC DESCRIPTION of items being requested/quoted and ATTACH AVAILABLE SPECIFICATIONS/BROCHURES/PAMPHLET for reference. FAILURE TO COMPLY ABOVEMENTIONED CONDITIONS WILL BE GROUNDS FOR DISQUALIFICATION. Please address your quotation to the BAC chairman, Roberto Estrella. If you cannot submit personally, you may send your quotation through email at bacsecretariat@baliwagwd.com</t>
  </si>
  <si>
    <t xml:space="preserve"> Please download Bid documents online thru the associated component under the Bid Notice Abstract</t>
  </si>
  <si>
    <t xml:space="preserve"> Project Title: Supply of Tissue Paper, Paper Towel and Facial Tissue</t>
  </si>
  <si>
    <t xml:space="preserve"> POTENTIAL SUPPLIER MUST BE WITHIN THE LOCALITIES OR NEARBY TOWNS ONLY.</t>
  </si>
  <si>
    <t xml:space="preserve"> Please refer to the attached RFQ and TOR for other details and specifications</t>
  </si>
  <si>
    <t xml:space="preserve"> 1. VARIABLE FREQUENCY DRIVE (VFD)* : PLEASE SEE ATTACHED SPECIFICATION (ABC: PHP 700,000.00) </t>
  </si>
  <si>
    <t xml:space="preserve"> Please download complete Bid Documents for your reference.</t>
  </si>
  <si>
    <t xml:space="preserve"> 1.	Advertisement /Posting of Invitation to Bid/Request for Express of Interest-June 12- 22, 2020 - PhilGEPS, GSO</t>
  </si>
  <si>
    <t xml:space="preserve"> FOR INQUIRY PLEASE PROCEED TO BAC OFFICE</t>
  </si>
  <si>
    <t xml:space="preserve"> I	EARTHWORKS		</t>
  </si>
  <si>
    <t xml:space="preserve"> quotation shall be submitted via email (lbphobac@mail.landbank.com) not later than June 17,2020, 3:00PM</t>
  </si>
  <si>
    <t xml:space="preserve"> Warranty : 6 months from receipt of materials</t>
  </si>
  <si>
    <t xml:space="preserve"> Interested bidders may obtain further information from Palawan 2nd District Engineering Office (BAC Secretariat) and inspect the Bidding Documents at the address given below during 8:00am to 5:00pm.</t>
  </si>
  <si>
    <t xml:space="preserve"> quotation shall be submitted via email (lbphobac@mail.landbank.com) not later than June 24,2020, 3:00PM</t>
  </si>
  <si>
    <t xml:space="preserve"> The BAC is conducting the public bidding for this contract in accordance with RA 9184 and its Implementing Rules and Regulations (IRR).</t>
  </si>
  <si>
    <t xml:space="preserve"> https://drive.google.com/file/d/10u_N8hIxX-lq9AUSPKVsv3Wiaahojg_b/view?usp=drivesdk</t>
  </si>
  <si>
    <t xml:space="preserve"> https://drive.google.com/file/d/1efI4v3IaBO2rCsXGz1pKEYfxwOwGfJcr/view?usp=drivesdk</t>
  </si>
  <si>
    <t xml:space="preserve"> Pre-Eligibility Conference : June 19, 2020 @ 9:00AM</t>
  </si>
  <si>
    <t xml:space="preserve"> https://www.philgeps.gov.ph/GEPSNONPILOT/Tender/CreateNoticeStep2UI.aspx?RefID=7043090</t>
  </si>
  <si>
    <t xml:space="preserve"> Please see attached and download Request For Quotation # 20-1097-1.</t>
  </si>
  <si>
    <t xml:space="preserve"> https://www.philgeps.gov.ph/GEPSNONPILOT/Tender/CreateNoticeStep2UI.aspx?RefID=7043100</t>
  </si>
  <si>
    <t xml:space="preserve"> https://www.philgeps.gov.ph/GEPSNONPILOT/Tender/CreateNoticeStep2UI.aspx?RefID=7043105</t>
  </si>
  <si>
    <t xml:space="preserve"> Pre-Eligibility Conference : June 22, 2020 @ 9:00AM</t>
  </si>
  <si>
    <t xml:space="preserve"> Special Condition:</t>
  </si>
  <si>
    <t xml:space="preserve"> https://drive.google.com/file/d/1J5ayj-CJ4QxAxeZycKR5XBr7_TAlyeLW/view?usp=drivesdk</t>
  </si>
  <si>
    <t xml:space="preserve"> Please do not forget to download associated component.</t>
  </si>
  <si>
    <t xml:space="preserve"> Also available at DPWH website.</t>
  </si>
  <si>
    <t xml:space="preserve"> https://drive.google.com/file/d/1slXCfEJIO1uGVISJwq7JVMxJb2QPRwrr/view?usp=drivesdk</t>
  </si>
  <si>
    <t xml:space="preserve"> Pls. submit the 2 envelopes, one for technical and the other is for the quotation on or before the due date, June 16 2020 at 1pm. For questions, you may call or text the BAC Secretariat, Ms. Melissa Saludes at 09208281825.</t>
  </si>
  <si>
    <t xml:space="preserve"> To download the bidding document, please visit this link - https://drive.google.com/file/d/10o__TqAyBh90YUFZd4LLTEcYomyYE-Vj/view?usp=drivesdk</t>
  </si>
  <si>
    <t xml:space="preserve"> ADDITIONAL INSTRUCTION TO BIDDERS:</t>
  </si>
  <si>
    <t xml:space="preserve"> Please submit the following:</t>
  </si>
  <si>
    <t xml:space="preserve"> Please download attached Request For Quotation (RFQ) for your reference</t>
  </si>
  <si>
    <t xml:space="preserve"> Please download attached Request For Quotation (RFQ) for your reference.</t>
  </si>
  <si>
    <t xml:space="preserve"> Prospective bidder may seek further information through BAC Office @ 469-9056.</t>
  </si>
  <si>
    <t xml:space="preserve"> Prospective bidders may seek further information through BAC Office @ 469-9056.</t>
  </si>
  <si>
    <t xml:space="preserve"> The BAC shall issue bidding documents upon payment of Five Thousand Pesos Only (Php5,000.00) to the disbursing/ collecting officer of the LGU.</t>
  </si>
  <si>
    <t xml:space="preserve"> 1. Issuance of Bidding Documents</t>
  </si>
  <si>
    <t xml:space="preserve"> June 10, 2020</t>
  </si>
  <si>
    <t xml:space="preserve"> .   For further information, please refer to:</t>
  </si>
  <si>
    <t xml:space="preserve"> Please contact to Mr. Reno C. Salazar the BAC Secretary with CP # 09459852914 or you may call to Ms. Ma. Teresa L. Minguyez the BAC Chairperson. Thanks and God Bless us all.</t>
  </si>
  <si>
    <t xml:space="preserve"> Province of Iloilo</t>
  </si>
  <si>
    <t xml:space="preserve"> CONSTRUCTION SUPPLIES</t>
  </si>
  <si>
    <t xml:space="preserve"> NOTE: PLEASE COPY THE LINK BELOW AND PASTE TO THE WEB BROWSER FOR THE ATTACHED RFQ FORM.</t>
  </si>
  <si>
    <t xml:space="preserve"> Bid Opening shall be on June 26, 2020, 09:30 AM at the Conference Room, Office of the Mayor,  2/f Municipal Hall Building, Municipal Compound, Brgy. Poblacion, Calintaan, Occ. Mindoro.</t>
  </si>
  <si>
    <t xml:space="preserve"> To support COVID-19 related programs and projects</t>
  </si>
  <si>
    <t xml:space="preserve"> https://drive.google.com/file/d/1yWjzUO4QIi_2hG618xavU0cCjLxFOJUe/view?usp=drivesdk 20CN0151 PLAN PART 1</t>
  </si>
  <si>
    <t xml:space="preserve"> The Department of Public Works and Highways - Mountain Province First District Engineering Office, through the PRE-DETAILED ENGINEERING (PDE) intends to apply the sum of Php2,331,606.86, inclusive of 5% contingency being the Approved Budget for the Contract (ABC) to payments under the contract for the Geotechnical Investigation for Slope Protection Projects along Various Road Sections in Mountain Province for FY 2020  Bids received in excess of the ABC shall be automatically rejected at the opening of the Financial Proposals.</t>
  </si>
  <si>
    <t xml:space="preserve"> https://drive.google.com/file/d/1TUwXkF-iQ-DLD50aXTfMz4Wussvrs3WV/view?usp=drivesdk 20CN0150 PLAN</t>
  </si>
  <si>
    <t xml:space="preserve"> Please visit BAC office</t>
  </si>
  <si>
    <t xml:space="preserve"> Conduct of Community Service</t>
  </si>
  <si>
    <t xml:space="preserve"> https://drive.google.com/file/d/1fFNaHjAj2yIrYCCgS3uQTekGNyfLsTiK/view?usp=drivesdk</t>
  </si>
  <si>
    <t xml:space="preserve"> To support the Government in the Conduct of Check Point at National Highway and other related COVID-19 Activities</t>
  </si>
  <si>
    <t xml:space="preserve"> https://drive.google.com/file/d/1RLl-6TGTcRePDl8DTIIDDeiuTyOMYziY/view?usp=drivesdk 20CN0152 PLAN</t>
  </si>
  <si>
    <t xml:space="preserve"> Cost of Bid Docs: Php 10,000.00</t>
  </si>
  <si>
    <t xml:space="preserve"> For use in the Office of the Municipal Accountant.</t>
  </si>
  <si>
    <t xml:space="preserve"> https://drive.google.com/file/d/1YNx-FehQTk_V0JNsX4JFfsaiZjPyA0da/view?usp=drivesdk</t>
  </si>
  <si>
    <t xml:space="preserve"> CONTACT PERSON:</t>
  </si>
  <si>
    <t xml:space="preserve"> Barangay Government Unit										</t>
  </si>
  <si>
    <t xml:space="preserve"> https://drive.google.com/file/d/1pBpBkqo1apwxQUeTkN2XYKcLyRuDvJBU/view?usp=drivesdk</t>
  </si>
  <si>
    <t xml:space="preserve"> BAC ACTIVITY DATES:</t>
  </si>
  <si>
    <t xml:space="preserve"> NOTE: Please copy the link below and paste to the web browser for the attached RFQ form.</t>
  </si>
  <si>
    <t xml:space="preserve"> It may also be downloaded free of charge for the website of the Philippine Ports Authority at www.ppa.com.ph</t>
  </si>
  <si>
    <t xml:space="preserve"> Submission of Bids June 11, 2020 until July 8, 2020 @12noon</t>
  </si>
  <si>
    <t xml:space="preserve"> Venue: Barangay Hall, Capsay, Aroroy, Masbate</t>
  </si>
  <si>
    <t xml:space="preserve"> please call to: 0998-247-0239  &amp; 0906-256-9238  for other details</t>
  </si>
  <si>
    <t xml:space="preserve"> please call To: 0998-247-0239  &amp;  0906-256-9238  for other details . . .</t>
  </si>
  <si>
    <t xml:space="preserve"> Submission of Bids June 11, 2020 until June 19, 2020 @ 12noon</t>
  </si>
  <si>
    <t xml:space="preserve"> Should you be interested, please submit your "open" quotations on or before  16 June 2020, 4:00PM through email address: jrr_pttc@yahoo.com or jasminrio@pttc.gov.ph or fax no. 833-7403. Please download/ submit the filled up Quotation Form.Thank you!</t>
  </si>
  <si>
    <t xml:space="preserve"> For more information and site visit,please call</t>
  </si>
  <si>
    <t xml:space="preserve"> Deadline of Submission of QUOTATION JUNE 17 2020 10:00AM</t>
  </si>
  <si>
    <t xml:space="preserve"> Bid Opening shall be on June 19, 2020, 09:30 AM at the Conference Room, Office of the Mayor,  2/f Municipal Hall Building, Municipal Compound, Brgy. Poblacion, Calintaan, Occ. Mindoro.</t>
  </si>
  <si>
    <t xml:space="preserve"> Bidders are required to read the instructions and fill ALL the blanks in typewritten form or written legibly in permanent ink.</t>
  </si>
  <si>
    <t xml:space="preserve"> For more Details on the Procurement Please call Dr. Estela B. Tuse- Municipal Health Officer of Bindoy thru- 09177954200</t>
  </si>
  <si>
    <t xml:space="preserve"> Cost of Documents: Php 1,000.00</t>
  </si>
  <si>
    <t xml:space="preserve"> Please submit your quotation at the Department of Agrarian Reform Provincial Office San Fermin, Cauayan City, Isabela on or before the closing date</t>
  </si>
  <si>
    <t xml:space="preserve"> Fund Source - 20% EDF Current</t>
  </si>
  <si>
    <t xml:space="preserve"> Submission of Quotation June 11, 2020 until June 19, 2020 @12noon</t>
  </si>
  <si>
    <t xml:space="preserve"> For copies of the bidding documents and technical specifications, kindly click the associated components.</t>
  </si>
  <si>
    <t xml:space="preserve"> Tax, delivery and other incidental expenses must be included in the quotation.</t>
  </si>
  <si>
    <t xml:space="preserve"> Please indicate if quotation includes installation service and warranty coverage.</t>
  </si>
  <si>
    <t xml:space="preserve"> For Quotation</t>
  </si>
  <si>
    <t xml:space="preserve"> CO - MAyor's Office</t>
  </si>
  <si>
    <t xml:space="preserve"> The winning bidder will deliver the item at ATI-RTC 12 Training Complex, San Felipe, Tantangan, South Cotabato.</t>
  </si>
  <si>
    <t xml:space="preserve"> See attached Quotation form</t>
  </si>
  <si>
    <t xml:space="preserve"> 1.	Request for Proposal	:	June 11, 2020</t>
  </si>
  <si>
    <t xml:space="preserve"> 1.	Request for Expression of Interest	:	June 11, 2020 to June 18, 2020</t>
  </si>
  <si>
    <t xml:space="preserve"> FOR INQUIRY PROCEED TO BARANGAY HALL OF BACAO TAYSAN BATANGAS</t>
  </si>
  <si>
    <t xml:space="preserve"> Interested supplier must secure RFQ Form at NIA-MMIP BAC Office, Villarica, Midsayap, Cotabato</t>
  </si>
  <si>
    <t xml:space="preserve"> Funding Source - 20% EDF Current</t>
  </si>
  <si>
    <t xml:space="preserve"> 20% EDF CY 2020</t>
  </si>
  <si>
    <t xml:space="preserve"> Please see attached file</t>
  </si>
  <si>
    <t xml:space="preserve"> Source of Fund: Bayanihan Grant to Cities and Municipalities 2020</t>
  </si>
  <si>
    <t xml:space="preserve"> TECHNICAL SPECIFICATION</t>
  </si>
  <si>
    <t xml:space="preserve"> CO-Mayor's Office</t>
  </si>
  <si>
    <t xml:space="preserve"> For more information, please see or contact the BAC Members of LGU-Magallanes, Sorsogon.</t>
  </si>
  <si>
    <t xml:space="preserve"> DELIVERY DROP-OFF POINTS:</t>
  </si>
  <si>
    <t xml:space="preserve"> Bidders must download the attached document in the associated component section.</t>
  </si>
  <si>
    <t xml:space="preserve"> BIDDERS MUST DOWNLOAD THE ATTACHED DOCUMENTS IN THE ASSOCIATED COMPONENT SECTION.</t>
  </si>
  <si>
    <t xml:space="preserve"> Please contact the BAC Secretariat at the Municipal Budget Office, 2nd floor Municipal Building, LGU-Talisay Camarines Norte</t>
  </si>
  <si>
    <t xml:space="preserve"> Please submit your quotations at the Department of Agrarian Reform Provincial Office San Fermin, Cauayan City, Isabela on or before the closing date</t>
  </si>
  <si>
    <t xml:space="preserve"> For other information and queries, visit us at Headquarters 113th Contracting Office, AFPPS, Camp O'Donnell, Brgy Sta Lucia, Capas Tarlac and look for Chief 113th CO, AFPPS. Submission of Request for Quotation must reach to this Office not later than 161000H June 2020 for the opening of Canvass at 113th CO conference room.</t>
  </si>
  <si>
    <t xml:space="preserve"> BIDDING DOCUMENTS AVAILABLE AT ENGINEERING'S OFFICE, SAN AGUSTIN, SAN SIMON, PAMPANGA</t>
  </si>
  <si>
    <t xml:space="preserve"> FOR INQUIRY PLEAS PROCEED TO BRGY. MAPULO</t>
  </si>
  <si>
    <t xml:space="preserve"> schedule of BAC Activities </t>
  </si>
  <si>
    <t xml:space="preserve"> Venue: Training &amp; Production Center, Lanang, Aroroy, Masbate</t>
  </si>
  <si>
    <t xml:space="preserve"> 1. ISSUANCE OF BID DOCUMENTS - JUNE 10, 2020- JUNE 25, 2020</t>
  </si>
  <si>
    <t xml:space="preserve"> Fuel(Diesel)	1750	liters</t>
  </si>
  <si>
    <t xml:space="preserve"> Please submit your quotation at Department of Agrarian Reform Provincial Office, Cabatuan Road, San Fermin, Cauayan City, Isabela on or before the closing date.</t>
  </si>
  <si>
    <t xml:space="preserve"> for more information just contact barangay secretariat of Barangay 8 Poblacion Tigbauan, Iloilo</t>
  </si>
  <si>
    <t xml:space="preserve"> For more details you may call/visit BAC Secretariat @ LGU POLANCO, Polanco, Z. N.</t>
  </si>
  <si>
    <t xml:space="preserve"> Short Bond Paper s16	50	reams</t>
  </si>
  <si>
    <t xml:space="preserve"> Bid Documents can also be downloaded at www.fo4b.dswd.gov.ph (Invitation to Bid)</t>
  </si>
  <si>
    <t xml:space="preserve"> The Department of Public Works and Highways - Mountain Province First District Engineering Office, through the PRE-DETAILED ENGINEERING (PDE) intends to apply the sum of Php3,682,655.14, inclusive of 5% contingency being the Approved Budget for the Contract (ABC) to payments under the contract for the Geotechnical Investigation for Slope Protection Projects along Various Road Sections in Mountain Province for FY 2020  Bids received in excess of the ABC shall be automatically rejected at the opening of the Financial Proposals.</t>
  </si>
  <si>
    <t xml:space="preserve"> PLS SEE ATTACHED TOR (PR#S1-BRS20-013)</t>
  </si>
  <si>
    <t xml:space="preserve"> please see attached qoutation</t>
  </si>
  <si>
    <t xml:space="preserve"> https://drive.google.com/file/d/1LR6_7q1qoe8mfgLpx1CLoa26Hx2xdew_/view?usp=drivesdk</t>
  </si>
  <si>
    <t xml:space="preserve"> for more information just contact barangay secretariat of Barangay Baguingin , Tigbauan, Iloilo</t>
  </si>
  <si>
    <t xml:space="preserve"> Buyer: J.F. Ramos</t>
  </si>
  <si>
    <t xml:space="preserve"> https://drive.google.com/file/d/1lc2mocFNnhy3ak3Sl9SStldVPW0nQp4d/view?usp=drivesdk</t>
  </si>
  <si>
    <t xml:space="preserve"> BAC ACTIVITIES AND SCHEDULE</t>
  </si>
  <si>
    <t xml:space="preserve"> Buyer: N.R. Abarquez</t>
  </si>
  <si>
    <t xml:space="preserve"> Please coordinate with BAC Secretariat:  Phone numbers: (02) 304-6523 ; 09178971826 ; 09988877455</t>
  </si>
  <si>
    <t xml:space="preserve"> The winning bidder will deliver the Chicks at ATI-RTC XII, San Felipe, Tantangan, South Cotabato.</t>
  </si>
  <si>
    <t xml:space="preserve"> Request for Quotation (RFQ) Documents Alternative download link:</t>
  </si>
  <si>
    <t xml:space="preserve"> Please refer to the attached RFQ and TOR for the details of the project</t>
  </si>
  <si>
    <t xml:space="preserve"> MOOE 2020</t>
  </si>
  <si>
    <t xml:space="preserve"> • Similar Contracts - Lease of Modular Diesel Generating Sets or Operation and Maintenance (O &amp; M) of Diesel Generating Sets</t>
  </si>
  <si>
    <t xml:space="preserve"> Opening of BIDs is on June 30, 2020 at the Municipal Session Hall, Municipal Building, Pagsanghan, Samar</t>
  </si>
  <si>
    <t xml:space="preserve"> Issuance of bidding documents at BAC Office on June 11 to June 19, 2020 at 10:00 a.m.</t>
  </si>
  <si>
    <t xml:space="preserve"> https://drive.google.com/file/d/1LbjJ49ooBfp0PmAYYGOwxB5SoqqP3hF2/view?usp=drivesdk</t>
  </si>
  <si>
    <t xml:space="preserve"> The winning bidder will deliver the Animal Feeds  at ATI-RTC XII, San Felipe, Tantangan, south Cotabato.</t>
  </si>
  <si>
    <t xml:space="preserve"> COPY AND PASTE IN THE BROWSER THE LINK BELOW TO VIEW RFQ OR CANVASS; </t>
  </si>
  <si>
    <t xml:space="preserve"> https://drive.google.com/file/d/1EdoGFeNBrsPxz8ItZl_FugaQPV7Yb1aL/view?usp=drivesdk</t>
  </si>
  <si>
    <t xml:space="preserve"> Annual Budget (LCPC) CY 2020</t>
  </si>
  <si>
    <t xml:space="preserve"> BIDDERS MUST DOWNLOAD THE ATTACHED DOCUMENTS IN THE ASSOCIATED COMPONENT SECTION</t>
  </si>
  <si>
    <t xml:space="preserve"> COPY AND PASTE IN BROWSER THE LINK BELOW TO VIEW RFQ OR CANVASS: </t>
  </si>
  <si>
    <t xml:space="preserve"> DONA D. SALMOS, RN, MAN </t>
  </si>
  <si>
    <t xml:space="preserve"> • Similar Contracts: Lease of Modular Diesel Generating Sets or Operation and Maintenance (O &amp; M) of Diesel Generating Sets </t>
  </si>
  <si>
    <t xml:space="preserve"> For any inquiries for the Pre-Bid via Zoom Meeting Conference and availability of Bidding Documents, please contact the BAC Secretariat thru 09127876414.</t>
  </si>
  <si>
    <t xml:space="preserve"> Bidder must have 3 years(minimum experience) in completing sub projects in the local government unit of Barbaza. All equipments to be utilized such as excavator, dump trucks, wheel loader and transit mixers are owned by the contractor.</t>
  </si>
  <si>
    <t xml:space="preserve"> COPY AND PASTE IN BROWSER THE LINK BELOW TO VIEW RFQ OR CANVASS:</t>
  </si>
  <si>
    <t xml:space="preserve"> Please contact:</t>
  </si>
  <si>
    <t xml:space="preserve"> https://drive.google.com/file/d/1BrsjpXY8GDHXHGAOZdrwyTR40K5wv_vR/view?usp=drivesdk</t>
  </si>
  <si>
    <t xml:space="preserve"> SOF:GAD</t>
  </si>
  <si>
    <t xml:space="preserve"> INQUIRE AT BAC OFFICE, MUNICIPAL HALL, TAMBULIG, ZAMBOANGA DEL SUR</t>
  </si>
  <si>
    <t xml:space="preserve"> The package will include complete accessories, fittings and installation.</t>
  </si>
  <si>
    <t xml:space="preserve"> TO BE EVALUATED PER LOT</t>
  </si>
  <si>
    <t xml:space="preserve"> During submission of Letter of Intent (LOI), kindly bring original copies of PCAB License, Mayor’s Business Permit and Department of Trade and Industry (DTI) Business Name Registration, authorization from the Authorized Managing Officer (AMO) is not allowed.</t>
  </si>
  <si>
    <t xml:space="preserve"> TO BE EVALUATED PER LOT.</t>
  </si>
  <si>
    <t xml:space="preserve"> For information only.</t>
  </si>
  <si>
    <t xml:space="preserve"> https://drive.google.com/file/d/1ZAseh7mEfcEXR1zYbve9zxJvF2MspaM0/view?usp=drivesdk</t>
  </si>
  <si>
    <t xml:space="preserve"> https://drive.google.com/file/d/1dMDtO5W452JrkiEPcPRwLQ16qI_SpWTK/view?usp=drivesdk</t>
  </si>
  <si>
    <t xml:space="preserve"> https://drive.google.com/file/d/1R6BSJ-S-plq9rXac-Sjg7jXc0yMkUbLI/view?usp=drivesdk</t>
  </si>
  <si>
    <t xml:space="preserve"> https://drive.google.com/file/d/19WOIURr1s2YQB2aL2GnZtntXEGwbre0S/view?usp=drivesdk</t>
  </si>
  <si>
    <t xml:space="preserve"> 20% LDF CY 2020</t>
  </si>
  <si>
    <t xml:space="preserve"> DOWNLOAD RFQ &amp; MEMO @ THE ASSOCIATED COMPONENTS. BOTH DOCS SHALL BE SUBMITTED</t>
  </si>
  <si>
    <t xml:space="preserve"> https://drive.google.com/file/d/1S6AMxFSt3QsXNHdNXda-dolkWuFZ3IkS/view?usp=drivesdk</t>
  </si>
  <si>
    <t xml:space="preserve"> The winning bidder will deliver the piglets at a designated area/place identified by the Office.</t>
  </si>
  <si>
    <t xml:space="preserve"> https://drive.google.com/file/d/1DxYmysjvVmF2bRdJ-Mff4_KKzTU97TmU/view?usp=drivesdk</t>
  </si>
  <si>
    <t xml:space="preserve"> Feeds Store		</t>
  </si>
  <si>
    <t xml:space="preserve"> PLS SEE ATTACHED TOR (PR#S1-BAT20-010)</t>
  </si>
  <si>
    <t xml:space="preserve"> https://drive.google.com/file/d/1nb6vK_XpIbFLjZ0sPR_RoHGLfwhqMLdZ/view?usp=drivesdk</t>
  </si>
  <si>
    <t xml:space="preserve"> by administration</t>
  </si>
  <si>
    <t xml:space="preserve"> The closing date shall be on the 3rd day after the date published in the Philgeps website</t>
  </si>
  <si>
    <t xml:space="preserve"> Please see attached files @ Other Information</t>
  </si>
  <si>
    <t xml:space="preserve"> Mobile Phone, Dual Sim	5	unit</t>
  </si>
  <si>
    <t xml:space="preserve"> Department of Public Works and Highways (DPWH)</t>
  </si>
  <si>
    <t xml:space="preserve"> 1.  Issuance of Bid Documents	June 10, 2020	</t>
  </si>
  <si>
    <t xml:space="preserve"> Please see attached file @ Other Information</t>
  </si>
  <si>
    <t xml:space="preserve"> Furnace/Pugon	1	Unit</t>
  </si>
  <si>
    <t xml:space="preserve"> https://drive.google.com/file/d/1natSq5oHrkLRGY3nwxcoA52BFQu_sF4W/view?usp=drivesdk</t>
  </si>
  <si>
    <t xml:space="preserve"> A COMPLETE SET OF BIDDING DOCUMENTS MAY BE AVAILABLE ON JUNE 16, 2020 AT THE ADDRESS BELOW.</t>
  </si>
  <si>
    <t xml:space="preserve"> Please see Associated Component attached.</t>
  </si>
  <si>
    <t xml:space="preserve"> Bidding Documents:.</t>
  </si>
  <si>
    <t xml:space="preserve"> Bidding Documents:</t>
  </si>
  <si>
    <t xml:space="preserve"> PERCY M. BORRO</t>
  </si>
  <si>
    <t xml:space="preserve"> 1.) 2 Units 0.75HP AIR CONDITIONER</t>
  </si>
  <si>
    <t xml:space="preserve"> LGSF-Assistance to the Municipalities</t>
  </si>
  <si>
    <t xml:space="preserve"> https://drive.google.com/file/d/1A-NqeEKFWLBKq_UAla1rxxRYt1fNA7Xg/view?usp=drivesdk</t>
  </si>
  <si>
    <t xml:space="preserve"> Note:								</t>
  </si>
  <si>
    <t xml:space="preserve"> ACTIVITIES SCHEDULE:</t>
  </si>
  <si>
    <t xml:space="preserve"> PLS SEE ATTACHED TOR (PR#S1-CAT20-020)</t>
  </si>
  <si>
    <t xml:space="preserve"> 1.)	2	rolls	No. 60 Layout String (nylon)</t>
  </si>
  <si>
    <t xml:space="preserve"> https://drive.google.com/file/d/1I2Sz3lqoO4q3NgExZ24uiwZ1ya-qd9JA/view?usp=drivesdk</t>
  </si>
  <si>
    <t xml:space="preserve"> 1.)	74	bags	Portland Cement</t>
  </si>
  <si>
    <t xml:space="preserve"> 1.)	54	bags	Portland Cement</t>
  </si>
  <si>
    <t xml:space="preserve"> The winning bidder will deliver the Feeds at a designated place/area of the project.</t>
  </si>
  <si>
    <t xml:space="preserve"> copy this link to google drive to download bidding documents:</t>
  </si>
  <si>
    <t xml:space="preserve"> &gt; 2,500 Pcs RED PEANUT WITH SHELL</t>
  </si>
  <si>
    <t xml:space="preserve"> 1.)	4	length	G.I Pipe 4”</t>
  </si>
  <si>
    <t xml:space="preserve"> copy this link to google drive to download bidding documetns:</t>
  </si>
  <si>
    <t xml:space="preserve"> &gt; 200 Pcs Toilet Bowl (Ceramic)</t>
  </si>
  <si>
    <t xml:space="preserve"> Opening of Quotation shall be on June 18, 2020, 2:00 P.M. at the PPA Conference Room, PMO-Zamboanga del Norte, Port Area, Dapitan City.</t>
  </si>
  <si>
    <t xml:space="preserve"> https://drive.google.com/file/d/1R29bMEfT6IxSI5X66-X0ITwmFk-F9c11/view?usp=drivesdk</t>
  </si>
  <si>
    <t xml:space="preserve"> Bidding Documents Alternative download link: https://drive.google.com/file/d/1XsWua7wbTgiQ-sgsFQQhdLei4NtbT_sR/view?usp=drivesdk</t>
  </si>
  <si>
    <t xml:space="preserve"> Bidding Documents Alternative download link: https://drive.google.com/file/d/1_hyJZrAB5KiulXemQ_YiLwTU8-e21kWl/view?usp=drivesdk</t>
  </si>
  <si>
    <t xml:space="preserve"> Bidding Documents Alternative download link: https://drive.google.com/file/d/1Gam4Wf_ul6EYbrAY6_YAKr-23MnHAIBZ/view?usp=drivesdk</t>
  </si>
  <si>
    <t xml:space="preserve"> https://drive.google.com/file/d/1-F5KnwELbvu9rXLWyfAUBmNS72XRa3H6/view?usp=drivesdk</t>
  </si>
  <si>
    <t xml:space="preserve"> Bidding Documents Alternative download link: https://drive.google.com/file/d/1R1KsVkeRtLq43z7LHa3_xPdoGp6NAnL6/view?usp=drivesdk</t>
  </si>
  <si>
    <t xml:space="preserve"> https://drive.google.com/file/d/1YdvmE-V1ktAOilC8WI5n6JpK8fkdzW2C/view?usp=drivesdk</t>
  </si>
  <si>
    <t xml:space="preserve"> https://drive.google.com/file/d/1_9LA1RNjnIzxMu4dYVYyjyDsiykoEP-D/view?usp=drivesdk</t>
  </si>
  <si>
    <t xml:space="preserve"> https://drive.google.com/file/d/1dkDZzdF7-eHDn7NpenptZR__i0u5GBoz/view?usp=drivesdk</t>
  </si>
  <si>
    <t xml:space="preserve"> https://drive.google.com/file/d/1jYQqoSxvzQSmNCf6TUzC_hBEb_AjQVee/view?usp=drivesdk</t>
  </si>
  <si>
    <t xml:space="preserve"> Project Title: Office Equipment and Accessories</t>
  </si>
  <si>
    <t xml:space="preserve"> https://drive.google.com/file/d/1iKMzCISt_k5OuQga6Url8TB5N8oxibHa/view?usp=drivesdk</t>
  </si>
  <si>
    <t xml:space="preserve"> https://drive.google.com/file/d/1aI_Qbp3u0EZ4sYHemoe6lO3QAkrg6GHM/view?usp=drivesdk</t>
  </si>
  <si>
    <t xml:space="preserve"> installation of vanishing blinds</t>
  </si>
  <si>
    <t xml:space="preserve"> The Schedule of BAC activities is as follows:</t>
  </si>
  <si>
    <t xml:space="preserve"> ITEM NO.	ITEM &amp; DESCRIPTION	UNIT	QTY</t>
  </si>
  <si>
    <t xml:space="preserve"> Interested bidders must download the bidding documents found in the associated components.</t>
  </si>
  <si>
    <t xml:space="preserve"> • Complete Project Title: Supply, Delivery, Installation and Test of Split Type Metal Enclosure (STME) and Other Accessories Needed for the Reinforcement of the Buckle Anomaly and Damaged Flange Connection of Ilijan Natural Gas Pipeline</t>
  </si>
  <si>
    <t xml:space="preserve"> • Similar Contracts: Dry docking and Ship repair</t>
  </si>
  <si>
    <t xml:space="preserve"> Repair and Rehabilitation</t>
  </si>
  <si>
    <t xml:space="preserve"> BIDDERS MUST DOWNLOAD THE ATTACHED DOCUMENT IN THE ASSOCIATED COMPONENT</t>
  </si>
  <si>
    <t xml:space="preserve"> The Municipal Government of Rizal, Occidental Mindoro reserves the right to reject any and all bids, declare a failure of bidding, or not award the contract at any time prior to contract award in accordance with Section 41 of RA 9184 and its IRR, without thereby incurring any liability to the affected bidder or bidders.</t>
  </si>
  <si>
    <t xml:space="preserve"> LABOR COST NOT INCLUDED</t>
  </si>
  <si>
    <t xml:space="preserve"> https://drive.google.com/file/d/1ZHHAbRTyg10HwBBhYLTCc7sTSK5VhI9O/view?usp=drivesdk</t>
  </si>
  <si>
    <t xml:space="preserve"> The significant times and deadlines of procurement activities are shown below:</t>
  </si>
  <si>
    <t xml:space="preserve"> Improvement and Istallation of 2 pcs Culvert Purok 3, Nupolan, Josefina, ZDS</t>
  </si>
  <si>
    <t xml:space="preserve"> PHILIPPINE BIDDING DOCUMENT</t>
  </si>
  <si>
    <t xml:space="preserve"> Please send your Quotations thru sealed bid addressed to the Regional Bids and Awards Committee Area IV-B c/o RBAC Secretariat, Landbank San Pablo Branch (2nd floor), Colago Avenue Brgy. I-A San Pablo City, Laguna</t>
  </si>
  <si>
    <t xml:space="preserve"> https://drive.google.com/file/d/1J3S1xwpjJ2DndBVmJyKlKpzzdIg1UBX7/view?usp=drivesdk</t>
  </si>
  <si>
    <t xml:space="preserve"> 1.Suppliers/Bidders must download the attached Bid Document in the associated component section.</t>
  </si>
  <si>
    <t xml:space="preserve"> Check associated components</t>
  </si>
  <si>
    <t xml:space="preserve"> BID TENDER								</t>
  </si>
  <si>
    <t xml:space="preserve"> Check associated components.</t>
  </si>
  <si>
    <t xml:space="preserve"> 049-501-6490-101</t>
  </si>
  <si>
    <t xml:space="preserve"> Diluent 20 Liters	9	Box</t>
  </si>
  <si>
    <t xml:space="preserve"> 0495016490101</t>
  </si>
  <si>
    <t xml:space="preserve"> Coverall, Disposable	100	pc.</t>
  </si>
  <si>
    <t xml:space="preserve"> Bid Document Fee:     PhP5,000.00</t>
  </si>
  <si>
    <t xml:space="preserve"> Please inquire at the Office of the BAC Secretariat for more details...</t>
  </si>
  <si>
    <t xml:space="preserve"> Bidding Document Fee:     PhP5,000.00</t>
  </si>
  <si>
    <t xml:space="preserve"> You can also download the items and specifications at our official website: www.cebucity.gov.ph under For</t>
  </si>
  <si>
    <t xml:space="preserve"> 1	2	set	BIOSYSTEMS GLUCOSE REAGENT - A15	</t>
  </si>
  <si>
    <t xml:space="preserve"> 1.	Notice of Procurement	:	June 10, 2020</t>
  </si>
  <si>
    <t xml:space="preserve"> For further information, please contact:</t>
  </si>
  <si>
    <t xml:space="preserve"> I          Demolition                                                          1.00           L.S.</t>
  </si>
  <si>
    <t xml:space="preserve"> 1              Earthworks:</t>
  </si>
  <si>
    <t xml:space="preserve"> Please see the attached in the associated components</t>
  </si>
  <si>
    <t xml:space="preserve"> Please see the attached in he associated components</t>
  </si>
  <si>
    <t xml:space="preserve"> Prospective Bidders should have experience in undertaking a similar project within the last 2 years with an amount of atleast 50% of the proposed project for bidding. The Eligibility Check/ Screening as well as the Preliminary Examination of Bids shall use non-discretionary "pass/fail" criteria. Post-qualification of the Lowest calculated bid shall be conducted.							</t>
  </si>
  <si>
    <t xml:space="preserve"> BAC Resolution No. 2020-025 dated May 2020 re: Resolution Implementing Safety Measures during BAC Meetings including Online Bid Submission, Videoconferencing and other Procurement Procedures relative to the Control and Prevention of Corona Virus Disease 2019 (COVID-19), opening of bids is on June 22, 2020 (MONDAY) at 2:00PM or 48-hours after the deadline of submission.</t>
  </si>
  <si>
    <t xml:space="preserve"> Bidder must download the attached document in Associated Components.</t>
  </si>
  <si>
    <t xml:space="preserve"> 1. 	Water Purification Tablets 17.5 g	20,000	Tablets	40,000.00	Within 30 Calendar Days from receipt of the NTP	DOH – WV CHD</t>
  </si>
  <si>
    <t xml:space="preserve"> 1.	Cryovials, 2ml Graduated self standing tube with cap, sterile	50	Packs	55,000.00	Within 30 Calendar Days from receipt of the NTP	DOH – WV CHD</t>
  </si>
  <si>
    <t xml:space="preserve"> 1.	TB Kits in Children (HRZE)	1100	Kits	1,474,396.00	Within 30 Calendar Days from receipt of the NTP	DOH – WV CHD</t>
  </si>
  <si>
    <t xml:space="preserve"> Item Lists:</t>
  </si>
  <si>
    <t xml:space="preserve"> CREATED BY BAC CHAIRMAN</t>
  </si>
  <si>
    <t xml:space="preserve"> You may see the Brgy. Chairman of Brgy. Palanay, Municipality of Caibiran</t>
  </si>
  <si>
    <t xml:space="preserve"> For more information,please see or contact the BAC Members of Brgy. Salvacion, Magallanes, Sorsogon.</t>
  </si>
  <si>
    <t xml:space="preserve"> Within La Trinidad, Benguet only</t>
  </si>
  <si>
    <t xml:space="preserve"> Deadline of submission is on or before June  19, 2020 @ 1:00 pm</t>
  </si>
  <si>
    <t xml:space="preserve"> https://drive.google.com/file/d/1Op9CkAkOnfzy89C13fTlKPO9NV_ZeUft/view?usp=drivesdk</t>
  </si>
  <si>
    <t xml:space="preserve"> https://drive.google.com/file/d/1quhMtRnAqfR3qqTMHVuidO5x2LUU_8bd/view?usp=drivesdk</t>
  </si>
  <si>
    <t xml:space="preserve"> https://drive.google.com/file/d/1SvMGBAETTzEufjkL-ej7OpNVQkqfvl2C/view?usp=drivesdk</t>
  </si>
  <si>
    <t xml:space="preserve"> Note: Upon submission, please attach the followng requirements.</t>
  </si>
  <si>
    <t xml:space="preserve"> Please see personally the head of the BAC secretariat for the availability of the bid document upon payment of the non-refundable amount of P 5,000.00 to the Cashier.</t>
  </si>
  <si>
    <t xml:space="preserve"> https://drive.google.com/file/d/1FGR-ud2VF4o7uVSs2fh31Jm51bn38rhW/view?usp=drivesdk</t>
  </si>
  <si>
    <t xml:space="preserve"> https://drive.google.com/file/d/1GVO6X0sUJ3-83eE1dBiKZbHo6y6DFEKL/view?usp=drivesdk</t>
  </si>
  <si>
    <t xml:space="preserve"> For more information, please see or contact the BAC Members of Behia, magallanes, Sorsogon.</t>
  </si>
  <si>
    <t xml:space="preserve"> A complete set of Bidding Documents will be provided by PNBAC Secretariat to the interested Bidders upon payment of a non-refundable fee in the amount of TEN THOUSAND PESOS (P10,000.00) only at CRB, CPMU, Philippine Navy Finance Center (PNFC), Naval Station Jose Francisco, Fort Bonifacio, Taguig City.</t>
  </si>
  <si>
    <t xml:space="preserve"> Bidding Date: July 1, 2020, 2:00PM at the Municipal Conference Hall, Galimuyod, Ilocos Sur</t>
  </si>
  <si>
    <t xml:space="preserve"> Please see attached E-file for further Information</t>
  </si>
  <si>
    <t xml:space="preserve"> ALL INTERESTED BIDDERS ARE REQUIRED TO SUBMIT THEIR COMPLETE ELIGIBILITY REQUIREMENTS TO THE BAC FOR EVALUATION DURING THE PRE-BID CONFERENCE ON JUNE 17, 2020 9:00A.M. AT THE BAC SECRETARIAT OFFICE, 2ND FLOOR, CITY HALL OF DASMARIÑAS, CAVITE. BIDDERS WHO SHALL FAIL TO ATTEND THE PRE-BID SHALL NOT BE ALLOWED TO JOIN THE BIDDING FOR THE AFORESAID PROJECT. </t>
  </si>
  <si>
    <t xml:space="preserve"> Delivery at job site.</t>
  </si>
  <si>
    <t xml:space="preserve"> A complete set of Bidding Documents will be provided by PNBAC Secretariat to the interested Bidders upon payment of a non-refundable fee in the amount of FIVE THOUSAND PESOS (P5,000.00) only at CRB, CPMU, Philippine Navy Finance Center (PNFC), Naval Station Jose Francisco, Fort Bonifacio, Taguig City.</t>
  </si>
  <si>
    <t xml:space="preserve"> June 11, 2020 - Issuance of Bidding Documents</t>
  </si>
  <si>
    <t xml:space="preserve"> Bidding Docs Php500.00</t>
  </si>
  <si>
    <t xml:space="preserve"> 1	Mobile Corn Mill	1	unit</t>
  </si>
  <si>
    <t xml:space="preserve"> BIDDERS MUST BE FROM WITHIN SALUG ZAMBOANGA DEL NORTE AND MUST HAVE A PHYSICAL ADDRESS WITH IN THE SAID MUNICIPALITY.</t>
  </si>
  <si>
    <t xml:space="preserve"> Please see attached RFQ No. 20-0536 Shopping B for complete Items/List.</t>
  </si>
  <si>
    <t xml:space="preserve"> 1	Mobile Rice Mill	1	unit</t>
  </si>
  <si>
    <t xml:space="preserve"> BDRRMF 2020</t>
  </si>
  <si>
    <t xml:space="preserve"> Capital Outlay</t>
  </si>
  <si>
    <t xml:space="preserve"> Bid opening will be June 26, 2020, 10:30AM at DENR-PENRO Conference Hall, Bulanao, Tabuk City, Kalinga.</t>
  </si>
  <si>
    <t xml:space="preserve"> Downloads available at the Associated Components/Bid Supplements pages.</t>
  </si>
  <si>
    <t xml:space="preserve"> Bidders shall pay the BAC a non-refundable fee of Php5,000.00 for the Bidding Documents, upon securing hard copies of the Documents. Bidders that download the Documents from the DPWH/PhilGEPS website shall pay the fee upon submission of their bids. </t>
  </si>
  <si>
    <t xml:space="preserve"> please see attached bidding documents</t>
  </si>
  <si>
    <t xml:space="preserve"> 20% EDF CY 2020 Projects</t>
  </si>
  <si>
    <t xml:space="preserve"> 468 bags   40 kgs Portland Cement</t>
  </si>
  <si>
    <t xml:space="preserve"> https://drive.google.com/file/d/14zbyzg3OaNugYfTyZh4gfUC2N0C1w-ls/view?usp=drivesdk</t>
  </si>
  <si>
    <t xml:space="preserve"> 1 pcs Submersible pump</t>
  </si>
  <si>
    <t xml:space="preserve"> 1 2 units Motorcycle (preferably YAMAHA AEROX 155)</t>
  </si>
  <si>
    <t xml:space="preserve"> Delivery of Materials for the Improvement of Multi Purpose Building</t>
  </si>
  <si>
    <t xml:space="preserve"> 1 1 lot Training Package (for 150 pax x 12 session)</t>
  </si>
  <si>
    <t xml:space="preserve"> Materials for Improvement of Day Care Center</t>
  </si>
  <si>
    <t xml:space="preserve"> 1. Issuance of Bid Documents June 10 to June 22, 2020 5:00 PM</t>
  </si>
  <si>
    <t xml:space="preserve"> NOTE: To all Suppliers,</t>
  </si>
  <si>
    <t xml:space="preserve"> 1          17         pcs        Whole bamboo, 4"- 6" dia. 40ft long</t>
  </si>
  <si>
    <t xml:space="preserve"> PNOC EC BAC Secretariat </t>
  </si>
  <si>
    <t xml:space="preserve"> Bid opening will be on June 26, 2020, 10:30AM at DENR-PENRO Conference Hall, Bulanao, Tabuk City, Kalinga.</t>
  </si>
  <si>
    <t xml:space="preserve"> 1. Letter of Intent of Contractor must be signed original with PhilGEPS Certificate of Registration (Platinum Category) and Valid PCAB License and Registration.</t>
  </si>
  <si>
    <t xml:space="preserve"> Delivery and installation @ GSIS Legazpi BO</t>
  </si>
  <si>
    <t xml:space="preserve"> Suppliers are required to submit their quotation/written proposal with the following documents on or before JUNE 17, 2020 9:00 AM at BAC Office, this LGU, to wit:</t>
  </si>
  <si>
    <t xml:space="preserve"> Scope of Work:</t>
  </si>
  <si>
    <t xml:space="preserve"> This procurement is done by lot.</t>
  </si>
  <si>
    <t xml:space="preserve"> PLS SEE ATTACHED TOR (PR#S1-CDP20-009)</t>
  </si>
  <si>
    <t xml:space="preserve"> ELIGIBILITY CHECK REQUIREMENTS FOR THE PROCUREMENT OF INFRASTRUCTURE PROJECT</t>
  </si>
  <si>
    <t xml:space="preserve"> REQUEST FOR QUOTATION</t>
  </si>
  <si>
    <t xml:space="preserve"> repost</t>
  </si>
  <si>
    <t xml:space="preserve"> A complete set of Bidding Documents will be provided by PNBAC Secretariat to the interested Bidders upon payment of a non-refundable fee in the amount of  TEN THOUSAND PESOS (P10,000.00) only at CRB, CPMU, Philippine Navy Finance Center (PNFC), Naval Station Jose Francisco, Fort Bonifacio, Taguig City.</t>
  </si>
  <si>
    <t xml:space="preserve"> BID DOCS: https://drive.google.com/file/d/1sXVE5o4Zi-e_qKfkFgbbdJJU0q3j_A2Y/view?usp=drivesdk</t>
  </si>
  <si>
    <t xml:space="preserve"> Opening of bids June 29, 2020 @ 2:00 PM at Dap-ay di Tubo Poblacion Tubo abra.</t>
  </si>
  <si>
    <t xml:space="preserve"> COPY AND PASTE IN THE BROWSER THE LINK BELOW TO VIEW THE BIDDING DOCUMENTS: </t>
  </si>
  <si>
    <t xml:space="preserve"> PLS SEE ATTACHED TOR (PR#S1-MMG20-008)</t>
  </si>
  <si>
    <t xml:space="preserve"> Opening of bids June 29, 2020 @2:00 PM at Dap-ay di Tubo Poblacion Tubo Abra</t>
  </si>
  <si>
    <t xml:space="preserve"> Opening of bids June 29, 2020 @ 4:00 PM at Dap-ay di Tubo Poblacion, Tubo Abra.</t>
  </si>
  <si>
    <t xml:space="preserve"> 1.	Disinfectants (surfaces)	220	Bottles	319,000.00	Within 30 Calendar Days from receipt of the NTP	DOH – WV CHD</t>
  </si>
  <si>
    <t xml:space="preserve"> 1. Date of First Publication: JUNE 10, 2020</t>
  </si>
  <si>
    <t xml:space="preserve"> https://drive.google.com/file/d/1fjI6SwKQAp5cnWbFQuD83AgleZJujMnS/view?usp=drivesdk</t>
  </si>
  <si>
    <t xml:space="preserve"> Annual Budget CY 2020</t>
  </si>
  <si>
    <t xml:space="preserve"> 1.	N95 Mask (20’s/Box)	180	Boxes	547,200.00	Within 30 Calendar Days from receipt of the NTP	DOH – WV CHD</t>
  </si>
  <si>
    <t xml:space="preserve"> https://drive.google.com/file/d/18EYaZx4AkRMBmFKmaDGIQVRdnkX7uwBb/view?usp=drivesdk</t>
  </si>
  <si>
    <t xml:space="preserve"> Please click the Associated Components for the Checklist of Requirements. Thank you.</t>
  </si>
  <si>
    <t xml:space="preserve"> https://drive.google.com/file/d/1seyLDLyFdWepxQJh0_nhdyQV9XPuaDnH/view?usp=drivesdk</t>
  </si>
  <si>
    <t xml:space="preserve"> PLS SEE ATTACHED TOR (PR#S1-BRS20-020)</t>
  </si>
  <si>
    <t xml:space="preserve"> The Schedule of BAC activities are as follows:						</t>
  </si>
  <si>
    <t xml:space="preserve"> https://drive.google.com/file/d/1yhLAza5HzFkH3346cyKJqGsY-pWdVOeF/view?usp=drivesdk</t>
  </si>
  <si>
    <t xml:space="preserve"> https://drive.google.com/file/d/1LCVXNTKkD1yVOgg5jIEO2ulmb2YOnzd_/view?usp=drivesdk</t>
  </si>
  <si>
    <t xml:space="preserve"> 1	Bidders are required to read the instructions  and fill ALL the blanks in typewritten form or written legibly in permanent ink.						</t>
  </si>
  <si>
    <t xml:space="preserve"> https://drive.google.com/file/d/1RVwUva7R4YzKwafK4FBrWzYR3xi9_j7A/view?usp=drivesdk</t>
  </si>
  <si>
    <t xml:space="preserve"> Bidding will be conducted through open competitive bidding procedures using a non-discretionary “pass/fail” criterion as specified in the 2016 Revised Implementing Rules and Regulations (IRR) of Republic Act (RA) 9184, otherwise known as the “Government Procurement Reform Act”. Bidding is restricted to Filipino citizens/sole proprietorships, partnerships, or organizations with at least sixty percent (60%) interest or outstanding capital stock belonging to citizens of the Philippines, and to citizens or organizations of a country, the laws or regulations of which grant similar rights or privileges to Filipino citizens, pursuant to RA 5183.</t>
  </si>
  <si>
    <t xml:space="preserve"> https://drive.google.com/file/d/1K3CqprhmqlPKmqcIIrrcpj3_HtGNyfPt/view?usp=drivesdk</t>
  </si>
  <si>
    <t xml:space="preserve"> Please contact the Procurement Unit for your terms and conditions.</t>
  </si>
  <si>
    <t xml:space="preserve"> Please see attached at Associated Components</t>
  </si>
  <si>
    <t xml:space="preserve"> PLEASE SUBMIT SEALED QUOTATION</t>
  </si>
  <si>
    <t xml:space="preserve"> https://drive.google.com/file/d/14IOK5E1NAtOk5fsbeBXBQXI6KM-YdADA/view?usp=drivesdk</t>
  </si>
  <si>
    <t xml:space="preserve"> Purpose: To upgrade the present ICT System Infrastructure of the College for  Web Applications, Relational Databases, Storage and Cloud Applications</t>
  </si>
  <si>
    <t xml:space="preserve"> https://drive.google.com/file/d/1MkJfAxZeCnFsKJn5A75b5pr7-UhTXJ9S/view?usp=drivesdk</t>
  </si>
  <si>
    <t xml:space="preserve"> by Administration</t>
  </si>
  <si>
    <t xml:space="preserve"> PLS SEE ATTACHED TOR (PR#S1-CAT20-019)</t>
  </si>
  <si>
    <t xml:space="preserve"> Please indicate brand names.</t>
  </si>
  <si>
    <t xml:space="preserve"> Purpose: To upgrade, expand the College Network Infrastructure (Local Area Networks, Wifi Connectivity) to Gigabit Network.</t>
  </si>
  <si>
    <t xml:space="preserve"> Please Quote your lowest price on the item/s listed below, subject to the General Conditions, stating the shortest time of delivery and submit your quotation duly signed by your representative not later than June 16, 2020 (9:00 AM) 3rd Floor,Provincial Capitol,Bontoc Mountain Province.</t>
  </si>
  <si>
    <t xml:space="preserve"> ELIGIBILITY AND TECHNICAL COMPONENTS:</t>
  </si>
  <si>
    <t xml:space="preserve"> https://drive.google.com/file/d/1wEjKxqq5Ti3cKJsP4tL5FW-4u1-kLd71/view?usp=drivesdk</t>
  </si>
  <si>
    <t xml:space="preserve"> For more info please contact end-user Mr Antonio Bosi @ 09213264733 or 8-951-5925</t>
  </si>
  <si>
    <t xml:space="preserve"> PLS SEE ATTACHED TOR (PR#S1-MRN20-005)</t>
  </si>
  <si>
    <t xml:space="preserve"> Deadline for submission of bids will be on JUNE 30, 2020, 10:00 A.M. at the Supply Office, Town Hall, Poblacion, Kibungan, Benguet.</t>
  </si>
  <si>
    <t xml:space="preserve"> Please check link below to download Plan.</t>
  </si>
  <si>
    <t xml:space="preserve"> Please see attached Bidding Documents for more details.</t>
  </si>
  <si>
    <t xml:space="preserve"> https://tinyurl.com/ycknztec</t>
  </si>
  <si>
    <t xml:space="preserve"> https://drive.google.com/file/d/1ATUYDG3WdIN10jYCLRAE1_mYvnXVsUps/view?usp=drivesdk</t>
  </si>
  <si>
    <t xml:space="preserve"> Please check links below to download Plan.</t>
  </si>
  <si>
    <t xml:space="preserve"> https://tinyurl.com/yct3f77n</t>
  </si>
  <si>
    <t xml:space="preserve"> https://tinyurl.com/yct2njqh</t>
  </si>
  <si>
    <t xml:space="preserve"> The Local Government Unit of Natividad through the 20% MDF CY 2020 intends to apply the sum of Five Hundred Thousand Pesos &amp; 00/100 Centavos Only (Php 500,000.00) being the Approved Budget for the Contract (ABC) to payments under the contract for the LAND DEVELOPMENT OF THE SOCIALIZED HOUSING PROJECT at Barangay San Maximo, Natividad, Pangasinan. Bids received in excess of the ABC shall be automatically rejected at bid opening.</t>
  </si>
  <si>
    <t xml:space="preserve"> Bidders must download the attached document in the associated component.</t>
  </si>
  <si>
    <t xml:space="preserve"> Please Contact Jaren D. Ducay, BAC Secretariat at 09956498330</t>
  </si>
  <si>
    <t xml:space="preserve"> Bidding will be conducted through open competitive bidding procedures using a nondiscretionary “pass/fail” criterion as specified in the 2016 Revised Implementing Rules and Regulations (IRR) of Republic Act (RA) 9184, otherwise known as the “Government Procurement Reform Act”. Bidding is restricted to Filipino citizens/sole proprietorships, partnerships, or organizations with at least sixty percent (60%) interest or outstanding capital stock belonging to citizens of the Philippines, and to citizens or organizations of a country, the laws or regulations of which grant similar rights or privileges to Filipino citizens, pursuant to RA 5183. </t>
  </si>
  <si>
    <t xml:space="preserve"> 1.	The Municipal Government of Sabangan, through the 2020 MDF &amp; 2020 MDRRMF intends to apply the sum of Four million one hundred eighty-seven thousand eight hundred thirty-five pesos and fifteen centavos (Php. 4,187,835.15) being the Approved Budget for the Contract (ABC) to payments under the contract for CLUSTER B9-2020 (1. Water impounding system for fire hydrant, Busa, 2. Improvement of Capinitan Barangay Hall, 3. Construction of Bao-angan waiting shed, 4. Construction of Namatec Multi-Purpose Water Impounding System, Namatec, 5. Construction of Camatagan Multi-Purpose Water Impounding system, 6. Improvement of Tiguing Tourism Facilities-Camatagan, 7. Rehab. of Pingad-Camatagan pathway, 8. Construction of Bun-ayan multi-purpose water impounding system, 9. Construction of Ambango multi-purpose water impounding system, Data). Bids received in excess of the ABC shall be automatically rejected at bid opening.</t>
  </si>
  <si>
    <t xml:space="preserve"> https://tinyurl.com/ybzv3x6r</t>
  </si>
  <si>
    <t xml:space="preserve"> 1.	The Municipal Government of Sabangan, through the 20% 2020 MDF &amp; 20% 2018 MDF intends to apply the sum of Two million one hundred fifteen thousand four hundred nineteen pesos and twenty-one centavos (Php. 2,115,419.21) being the Approved Budget for the Contract (ABC) to payments under the contract for CLUSTER C10-2020 (1. Improvement of Gayang school ground, 2. Continuation of Bisibisan water works, 3. Improvement of Supang elementary school drainage canal and improvement of Supang ES drainage canal, Supang, 4. Rehab. of Lagan flood control key wall, 5. Roofing of Lengey gym stage, 6. Repair of Bisibisan hanging bridge, Supang, 7. Completion of Legleg, Bun-ayan multi-purpose building, 8. Riprapping of washout barangay road at sitio Labbay, Bun-ayan, 9. Completion of Camatagan-Gayang waiting shed, 10. Completion of Supang senior citizens building). Bids received in excess of the ABC shall be automatically rejected at bid opening.</t>
  </si>
  <si>
    <t xml:space="preserve"> 1.	The Municipal Government of Sabangan, through the 2018 Special Education Fund intends to apply the sum of One million four hundred ninety five thousand seven hundred two pesos and thirty one centavos (Php. 1,495,702.31) being the Approved Budget for the Contract (ABC) to payments under the contract for Construction of Capinitan Elementary School, Phase 1. Bids received in excess of the ABC shall be automatically rejected at bid opening.</t>
  </si>
  <si>
    <t xml:space="preserve"> https://drive.google.com/file/d/1bBvAO53k7aa11RkleDDoaeBPRNG3nbjd/view?usp=drivesdk</t>
  </si>
  <si>
    <t xml:space="preserve"> MR. MOHAMADSUAIB  B. ESMAEL, BAC-B, Chairperson</t>
  </si>
  <si>
    <t xml:space="preserve"> https://drive.google.com/file/d/1s-dkgcEbx5vQWaD9RJPBPC-QiN2GAcFB/view?usp=drivesdk</t>
  </si>
  <si>
    <t xml:space="preserve"> 1.	The Municipal Government of Sabangan, through the 20% 2017, 2018, 2019 &amp; 2020 MDF, 2020 MDRRMF &amp; 2018 SEF intends to apply the sum of Two million nine hundred twenty-one thousand eight hundred seven pesos and sixty-five centavos (Php. 2,921,807.65) being the Approved Budget for the Contract (ABC) to payments under the contract for CLUSTER D31-2020 (1. Improvement of Cabogbogan pathway, Bun-ayan, 2. Improvement of Namatec drainage, 3. Improvement of Tambingan pathway near school, 4. Improvement of drainage, Data, 5. Construction of Balaan pathway, Busa, 6. Rehabilitation/Improvement of Namatec clinic, 7. Rehabilitation of Busa drainage, 8. Repair of Gayang health center, 9. Improvement of Camatagan-Gayang pathway, 10. Installation of railings Calalasan/Guinawang, Poblacion, 11. Improvement of Sabangan NHS ground, 12. Fencing of Tiging retaining wall, 13. Improvement of Losad footbridge, 14. Improvement of Dagdag footbridge pathway, Supang, 15. Completion of the Municipal youth center/residential care facility, 16. Rehab. of Malaslasa, Napua domestic water system, 17. Rehab. of Paliwak, Tambingan hanging bridge, 18. Covering of drainage, Poblacion, 19. Improvement of railings, Calalasan/Guinawang, Poblacion, 20. Improvement of Losad drainage, 21. Repair of Calalasan-Lalagim chico river canal, Poblacion, 22. Improvement of Calalasan Tribal Hall, 23. Rehab. of Lingabo, Gayang hanging bridge, 24. Improvement and construction of main Madepdepas pathway from up to down with railings on some parts, 25. Rehabilitation of Pitang pathway, Bao-angan, 26. Repair of drainage at Sitio Legleg, Bun-ayan, 27. Construction of pathway, Namatec, 28. Construction of pathway, Bao-angan, 29. Construction of Dontog drainage canal, Pingad, 30. Rehabilitation of BHS drainage canal, Data, 31. Rehabilitation of Pingad water works). Bids received in excess of the ABC shall be automatically rejected at bid opening.</t>
  </si>
  <si>
    <t xml:space="preserve"> Please see attachment</t>
  </si>
  <si>
    <t xml:space="preserve"> -All interested PCAB Licensed Contractors are advised to inquire at the Municipal Engineering Office for verification of plans, specifications, items of work and other matters pertaining to this procurement.</t>
  </si>
  <si>
    <t xml:space="preserve"> NO CRIMINAL RECORDS</t>
  </si>
  <si>
    <t xml:space="preserve"> The Municipality of San Jose reserves the right to accept or reject any bid, to annual biding process and to reject all bids at any time prior to the contract award, without hereby any liability to the affected bidder or bidders.</t>
  </si>
  <si>
    <t xml:space="preserve"> Please inquire at the Office of the BAC Secretariat for more details.</t>
  </si>
  <si>
    <t xml:space="preserve"> All bidders must download the attached document in the associated component section.</t>
  </si>
  <si>
    <t xml:space="preserve"> 20CE0209: Construction of Multi-Purpose Building, Brgy. Abar 1st, City of San Jose, Nueva Ecija; Invitation to Bid including Plans and other Supporting Docs</t>
  </si>
  <si>
    <t xml:space="preserve"> ITB, Bidding Documents and RFQ can be download in the Associated Components.</t>
  </si>
  <si>
    <t xml:space="preserve"> Source of Funds: CY-2020</t>
  </si>
  <si>
    <t xml:space="preserve"> Kindly download the attached file in the associated component section</t>
  </si>
  <si>
    <t xml:space="preserve"> https://drive.google.com/file/d/1DRRK_RQ99FSwXwZkG7v1vFak0S8G9-cL/view?usp=drivesdk</t>
  </si>
  <si>
    <t xml:space="preserve"> CONTACT 09300410683</t>
  </si>
  <si>
    <t xml:space="preserve"> NOTE: THIS IS A REBIDDING FOR ALL ITEMS IN THIS PURCHASE REQUEST....</t>
  </si>
  <si>
    <t xml:space="preserve"> NOTE: THIS IS A REBIDDING FOR THE SAID ITEM IN THIS PURCHASE REQUEST....</t>
  </si>
  <si>
    <t xml:space="preserve"> Also available in DPWH Website</t>
  </si>
  <si>
    <t xml:space="preserve"> NOTE: THIS IS A REBIDDING FOR ALL ITEMS IN THIS PURCHASE REQUEST...</t>
  </si>
  <si>
    <t xml:space="preserve"> 1.) LETTER OF INTENT ADDRESS TO THE REGIONAL DIRECTOR, ALLAN L. POQUITA, Ph.D. AND ATTENTION TO THE BAC CHAIRPERSON, ATTY. KIM LAURIS M. LABASAN</t>
  </si>
  <si>
    <t xml:space="preserve"> Pre-Bid Conference: June 17, 2020 @ 2:00 PM</t>
  </si>
  <si>
    <t xml:space="preserve"> See Associated Components</t>
  </si>
  <si>
    <t xml:space="preserve"> https://drive.google.com/file/d/1WJT-6qPbAkn5JIs72S5Csorxnfy9LAUI/view?usp=drivesdk</t>
  </si>
  <si>
    <t xml:space="preserve"> The Local Government Unit of Ibajay through the 20% IRA CY 2020 intends to apply the sum of Seven Hundred Seventy Five Thousand Seven Hundred Fifteen Pesos &amp; 54/100 Only (Php 775,715.54) being the Approved Budget for the Contract (ABC) to payments under the contract for the IMPROVEMENT OF OTHER PUBLIC STRUCTURE BUILDING &amp; FACILITIES at Poblacion, Ibajay, Aklan. Bids received in excess of the ABC shall be automatically rejected at bid opening.</t>
  </si>
  <si>
    <t xml:space="preserve"> https://drive.google.com/file/d/16JMlHxV2smZBGFTm65hJ_49lBdfxoQy7/view?usp=drivesdk</t>
  </si>
  <si>
    <t xml:space="preserve"> https://drive.google.com/file/d/1Rc2R5AxRKd5AbWQor_YWuy0NsH5XsfwG/view?usp=drivesdk</t>
  </si>
  <si>
    <t xml:space="preserve"> https://drive.google.com/file/d/1PHqgZ3FumEkCA_K3fjjrtNUR_Fcche1I/view?usp=drivesdk</t>
  </si>
  <si>
    <t xml:space="preserve"> https://drive.google.com/file/d/1iWq224rkR4SjxB0X2jjAExjz3CukkqwL/view?usp=drivesdk</t>
  </si>
  <si>
    <t xml:space="preserve"> https://drive.google.com/file/d/1SOnrWVKA26lr-RlvgFVVEZDEnnNcSx9o/view?usp=drivesdk</t>
  </si>
  <si>
    <t xml:space="preserve"> NOTE: THIS IS A REBIDDING FOR ALL ITEMS IN THIS PURCHASE REQUEST.</t>
  </si>
  <si>
    <t xml:space="preserve"> Please check similar information posted in the website of the procuring entity</t>
  </si>
  <si>
    <t xml:space="preserve"> Note: Online Submission of Bids still not available as of this writing.</t>
  </si>
  <si>
    <t xml:space="preserve"> &gt; 1 Lot PUBLICATION OF APPROVED PROVINCIAL ORDINANCE</t>
  </si>
  <si>
    <t xml:space="preserve"> ITB 2020-06-032 (GOODS)</t>
  </si>
  <si>
    <t xml:space="preserve"> Oxygen Tanks 2000 lbs	80	cylinder</t>
  </si>
  <si>
    <t xml:space="preserve"> PISTON STD	2	set</t>
  </si>
  <si>
    <t xml:space="preserve"> Rescue Ropes for basic rope rescue skills is for the National Fire Training Institute (NFTI) a Constitutive Unit (CU) of the PPSC located in Camp Vicente Lim Canlubang Laguna.</t>
  </si>
  <si>
    <t xml:space="preserve"> https://drive.google.com/file/d/1d-VUOP3uzvucMY6-Lsi62u2rHwSwuq2v/view?usp=drivesdk</t>
  </si>
  <si>
    <t xml:space="preserve"> https://drive.google.com/file/d/1xdHCgdjL-Tgp1FjS-kLFzGa_0xspkdZW/view?usp=drivesdk</t>
  </si>
  <si>
    <t xml:space="preserve"> FOR MORE INFORMATION PLEASE CONTACT ARLAINE DE VERA, BAC SECRETARIAT AT (075)-955-5862 OR EMAIL AT arlainemdevera@yahoo.com</t>
  </si>
  <si>
    <t xml:space="preserve"> NOTE: THIS IS A REBIDDING FOR THE SAID SERVICE IN THIS PURCHASE REQUEST.</t>
  </si>
  <si>
    <t xml:space="preserve"> https://drive.google.com/file/d/177jImNvXjEfHSculFALszGJ7NwZDfL9t/view?usp=drivesdk</t>
  </si>
  <si>
    <t xml:space="preserve"> Prospective Bidders should have experience in undertaking a similar project within the last 2 years with an amount of atleast 50% of the proposed project for bidding. The Eligibility Check/ Screening as well as the Preliminary Examination of Bids shall use non-discretionary "pass/fail" criteria. Post-qualification of the Lowest calculated bid shall be conducted.												</t>
  </si>
  <si>
    <t xml:space="preserve"> https://drive.google.com/file/d/1vibp7emFBTd_F98h7OInThtcJgQ5ETVH/view?usp=drivesdk</t>
  </si>
  <si>
    <t xml:space="preserve"> 1	Lanzones	4,000	pcs</t>
  </si>
  <si>
    <t xml:space="preserve"> The BAC is conducting the public bidding for this Contract in accordance with Republic Act NO. 9184 and its implementing Rules and Regulations (IRR).</t>
  </si>
  <si>
    <t xml:space="preserve"> PLS SEE ATTACHED TOR (PR#S1-PMG20-001)</t>
  </si>
  <si>
    <t xml:space="preserve"> Contact Person</t>
  </si>
  <si>
    <t xml:space="preserve"> Please see personally the head of the BAC secretariat for the availability of the bid document upon payment of the non-refundable amount of P 500.00 to the Treasurer.</t>
  </si>
  <si>
    <t xml:space="preserve"> Delivery Point: SPUG-MOD Warehouse, Zamboanga City</t>
  </si>
  <si>
    <t xml:space="preserve"> Suppliers are required to submit their quotation/written proposal with the following documents on or before JUNE 16, 2020 9:00 AM at BAC Office, this LGU, to wit:</t>
  </si>
  <si>
    <t xml:space="preserve"> Bid Documents will be available only to prospective bidders upon payment of a non-refundable amount of Five Hundred Pesos (PhP. 500.00) to the Office of the Barangay Treasurer Cashier.</t>
  </si>
  <si>
    <t xml:space="preserve"> Please download P.B.D. in the associated components.</t>
  </si>
  <si>
    <t xml:space="preserve"> ITEM	QUANTITY 	UNIT	DESCRIPTION</t>
  </si>
  <si>
    <t xml:space="preserve"> https://drive.google.com/file/d/1AWH3Uhry6j9DQwxu96emcJIaRHGVcvyR/view?usp=drivesdk</t>
  </si>
  <si>
    <t xml:space="preserve"> 1. Please download ITB and bidding documents in the associated component</t>
  </si>
  <si>
    <t xml:space="preserve"> The complete schedule of activities is listed, as follows:</t>
  </si>
  <si>
    <t xml:space="preserve"> Bidding is on June 17, 2020 at ten o'clock in the morning at the 3F Rural Health Unit.</t>
  </si>
  <si>
    <t xml:space="preserve"> FOR MORE INFO AND CLARIFICATION, PLEASE SEE BAC SECRETARIAT OF BRGY. BUNTAY COUNCIL AT BRGY. BUNTAY HALL, BRGY. BUNTAY, DULAG LEYTE FROM MONDAY TO FRIDAY (8:00 A.M. TO 5:00 P.M.)</t>
  </si>
  <si>
    <t xml:space="preserve"> For inquiries, please contact Mr. Geomar Ogoy, Procurement, MMD-GSD at tel no. 8293-3683</t>
  </si>
  <si>
    <t xml:space="preserve"> PLS SEE ATTACHED TOR (PR#S1-CAT20-003)</t>
  </si>
  <si>
    <t xml:space="preserve"> Delivery Point: Plantsite / Power Barge 119, Isabela City, Basilan</t>
  </si>
  <si>
    <t xml:space="preserve"> Please Contact:</t>
  </si>
  <si>
    <t xml:space="preserve"> 1.Please download ITB and bidding documents in the associated component</t>
  </si>
  <si>
    <t xml:space="preserve"> ATTACHED POW</t>
  </si>
  <si>
    <t xml:space="preserve"> Fund: External</t>
  </si>
  <si>
    <t xml:space="preserve"> FIRST ENVELOPE (ELIGIBILITY &amp; TECHNICAL COMPONENTS) </t>
  </si>
  <si>
    <t xml:space="preserve"> contact BAC Secretariat for requirements</t>
  </si>
  <si>
    <t xml:space="preserve"> PLS. SEE ATTACHED PDF DOCUMENTS.</t>
  </si>
  <si>
    <t xml:space="preserve"> 1.	Photocopied documents must be authenticated.</t>
  </si>
  <si>
    <t xml:space="preserve"> 1. Pre-bid Conference - June 16, 2020 @ 10:00AM at ASSCAT Conference Room</t>
  </si>
  <si>
    <t xml:space="preserve"> For any clarification, you may contact the BAC 1 Secretariat at 8554-8400 local 3020.</t>
  </si>
  <si>
    <t xml:space="preserve"> BAC Secretariat</t>
  </si>
  <si>
    <t xml:space="preserve"> For interested suppliers, please also submit the following documents along with the accomplished RFQ:</t>
  </si>
  <si>
    <t xml:space="preserve"> The lot(s) and reference is/are: Package 1</t>
  </si>
  <si>
    <t xml:space="preserve"> 1	Complete Fertilizer	1,000	sacks</t>
  </si>
  <si>
    <t xml:space="preserve"> Issuance of Bid Documents Starts: June 9, 2020</t>
  </si>
  <si>
    <t xml:space="preserve"> 1	unit	Solar Marine Brush Bottom Inflatable Rubber Boat 2-6 person 0.9mm PVC</t>
  </si>
  <si>
    <t xml:space="preserve"> Allowed to attend during the Pre-bid:</t>
  </si>
  <si>
    <t xml:space="preserve"> The unit of measurement to be used is person.</t>
  </si>
  <si>
    <t xml:space="preserve"> contact BAC Secretariat for specs &amp; requirements</t>
  </si>
  <si>
    <t xml:space="preserve"> 4	units	Outdoor Hiking Rechargeable LED Worklight</t>
  </si>
  <si>
    <t xml:space="preserve"> https://drive.google.com/file/d/1McCM1t7c9npFpGFiIJm3ga8Du6bowvC3/view?usp=drivesdk</t>
  </si>
  <si>
    <t xml:space="preserve"> PR No. TF-LDRRMF S. 2019 20-016</t>
  </si>
  <si>
    <t xml:space="preserve"> OPENING OF BID WILL BE ON JULY 29, 2020 AT EXACTLY 10:00 A.M. LATE BID WILL NOT BE ACCEPTED</t>
  </si>
  <si>
    <t xml:space="preserve"> Bid Docs Fee P/5,000.00</t>
  </si>
  <si>
    <t xml:space="preserve"> Bid Docs Fee P/1,000.00</t>
  </si>
  <si>
    <t xml:space="preserve"> A copy of your legal requirements (CPR, Mayor's/Business Permit, Platinum Philgeps Certificate, Business Tax/ITR, Sec, Tax Clearance and Omnibus Sworn Statement ) is also required to be submitted along with your quotation / proposal.</t>
  </si>
  <si>
    <t xml:space="preserve"> https://drive.google.com/file/d/1dQebZNQJXB98B3W1ASAWeXdSASDU8n2g/view?usp=drivesdk</t>
  </si>
  <si>
    <t xml:space="preserve"> Wok		5	pcs</t>
  </si>
  <si>
    <t xml:space="preserve"> Bidders shall pay the BAC a non-refundable fee of Php10,000.00 for the Bidding Documents, upon securing hard copies of the Documents. Bidders that download the Documents from the DPWH/PhilGEPS website shall pay the fee upon submission of their bids. </t>
  </si>
  <si>
    <t xml:space="preserve"> For more details, please contact the Municipal Engineer Jopson D. Baones with his Mobile No. 09399029802.</t>
  </si>
  <si>
    <t xml:space="preserve"> Terms of Payment = 90 days</t>
  </si>
  <si>
    <t xml:space="preserve"> PLEASE SEE FILE ON ASSOCIATED COMPONENT</t>
  </si>
  <si>
    <t xml:space="preserve"> For more information, please notify Ms Rinafe Cajegas - Brgy Secretary of Lower Bag-ong Tudela, Josefina, Zamboanga del Sur thru 11 digit no. 09367364378.</t>
  </si>
  <si>
    <t xml:space="preserve"> Pleace click the Associated Components for the Checklist of Requirements. Thank you.</t>
  </si>
  <si>
    <t xml:space="preserve"> Bidding Documents</t>
  </si>
  <si>
    <t xml:space="preserve"> All interested bidders/suppliers must submit their request for quotation form (filled up) at the BAC Office 3rd floor Municipal Hall, Abatan, Buguias, Benguet starting June 16, 2020 from 2:00 PM- 5:00 PM.</t>
  </si>
  <si>
    <t xml:space="preserve"> Schedule of Bidding Activities:</t>
  </si>
  <si>
    <t xml:space="preserve"> Created by: Madel Arquillo</t>
  </si>
  <si>
    <t xml:space="preserve"> The Municipal Government of Kabayan, through its Bids and Awards Committee (BAC), invites registered suppliers/dealers/manufacturers/distributors/proprietors to submit their express of interest to supply for the supplies of the the above project.</t>
  </si>
  <si>
    <t xml:space="preserve"> Submit LOI</t>
  </si>
  <si>
    <t xml:space="preserve"> https://drive.google.com/file/d/1xUfEQ6tOrc7Gg9_VAsGA8B8n0ueM48hO/view?usp=drivesdk</t>
  </si>
  <si>
    <t xml:space="preserve"> https://drive.google.com/file/d/1CmL8c3Q8kz_M62RUnsEmBG6yn-9_CZxo/view?usp=drivesdk</t>
  </si>
  <si>
    <t xml:space="preserve"> https://drive.google.com/file/d/12Yi9PrWt1-S80m5Yc2hlxFzJigOPugil/view?usp=drivesdk</t>
  </si>
  <si>
    <t xml:space="preserve"> https://drive.google.com/file/d/1IEXqIK6SkGwxbQHyzqNqncOTJAhmuGhH/view?usp=drivesdk</t>
  </si>
  <si>
    <t xml:space="preserve"> Please see attached Notice of Negotiated Procurement for more details.</t>
  </si>
  <si>
    <t xml:space="preserve"> https://drive.google.com/file/d/1SgPposmKsPeRCCCnziEkOdmpVM77nUnt/view?usp=drivesdk</t>
  </si>
  <si>
    <t xml:space="preserve"> https://drive.google.com/file/d/1aMy22VyW9l76Qh244LBZrWa2LRgxTKvd/view?usp=drivesdk</t>
  </si>
  <si>
    <t xml:space="preserve"> https://drive.google.com/file/d/1IqynqVKDofCOaPIBUFg1MiPP3JXvS51h/view?usp=drivesdk</t>
  </si>
  <si>
    <t xml:space="preserve"> https://drive.google.com/file/d/13hpph7h6NpmJRxkccu16dPcnB_Sp_goD/view?usp=drivesdk</t>
  </si>
  <si>
    <t xml:space="preserve"> https://drive.google.com/file/d/1TYfBVuQ0-zcqt8Pgctifc2N4aWSJp6na/view?usp=drivesdk</t>
  </si>
  <si>
    <t xml:space="preserve"> https://drive.google.com/file/d/1BbuZ1dY32IOl50aq0DO247OSqlhtCLIF/view?usp=drivesdk</t>
  </si>
  <si>
    <t xml:space="preserve"> Please be informed that the bid documents cannot be downloaded from the website. It is non – electronic. </t>
  </si>
  <si>
    <t xml:space="preserve"> https://drive.google.com/file/d/1dmT-3P--7Grp-hCyNjr_KuJs67b8ouw5/view?usp=drivesdk</t>
  </si>
  <si>
    <t xml:space="preserve"> 1.	The Ilocos Sur Polytechnic State College, through the Corporate Budget for the contract approved by the Governing Board (GAA 2020) intends to apply the sum of Fifteen Million Pesos and 0/100 (Php 15,000,000.00) being the Approved Budget for the Contract (ABC) to payments under the contract for Repair and Renovation of Administration Building / 2020-03-INFR. Bids received in excess of the ABC shall be automatically rejected at bid opening.</t>
  </si>
  <si>
    <t xml:space="preserve"> 1.	The Ilocos Sur Polytechnic State College, through the Corporate Budget for the contract approved by the Governing Board (GAA 2020) intends to apply the sum of Fourteen Million Nine Hundred Ninety-Nine Thousand Nine Hundred Ninety-Six Pesos and 21/100 (Php 14,999.996.21) being the Approved Budget for the Contract (ABC) to payments under the contract for Repair and Renovation of Administration Building / 2020-01-INFR. Bids received in excess of the ABC shall be automatically rejected at bid opening.</t>
  </si>
  <si>
    <t xml:space="preserve"> 1.	The Ilocos Sur Polytechnic State College, through the Corporate Budget for the contract approved by the Governing Board (GAA 2020) intends to apply the sum of Twenty-One Million Nine Hundred Ninety-Nine Thousand Nine Hundred Ninety-Six Pesos and 92/100 (Php 21,999,996.92) or by Lots as presented below being the Approved Budget for the Contract (ABC) to payments under the contract for Upgrading of Power System / 2020-02-INFR. Bids received in excess of the ABC shall be automatically rejected at bid opening.</t>
  </si>
  <si>
    <t xml:space="preserve"> INVITATION TO BID FOR PMMA MESS FOODSTUFFS </t>
  </si>
  <si>
    <t xml:space="preserve"> 1.	The Ilocos Sur Polytechnic State College, through the Corporate Budget for the contract approved by the Governing Board (GAA 2020) intends to apply the sum of Nine Million Nine Hundred Ninety-Nine Thousand Nine Hundred Ninety-Eight Pesos and 64/100 (Php 9,999,998.64) being the Approved Budget for the Contract (ABC) to payments under the contract for Continuation of the Repair and Renovation of Research Office / FTC (Phase II) / 2020-04-INFR. Bids received in excess of the ABC shall be automatically rejected at bid opening.</t>
  </si>
  <si>
    <t xml:space="preserve"> INVITATION TO BID FOR THE ACQUISITION OF 55 UNITS LAPTOPS FOR CY 2020</t>
  </si>
  <si>
    <t xml:space="preserve"> Diesel		6,170.91	liters</t>
  </si>
  <si>
    <t xml:space="preserve"> BAC 2020-I01 PLANS PROJECT 1 PAGES 1 TO 50</t>
  </si>
  <si>
    <t xml:space="preserve"> Battery, 21 ah		2	pcs</t>
  </si>
  <si>
    <t xml:space="preserve"> Executive Tables &amp; Chairs		11	sets</t>
  </si>
  <si>
    <t xml:space="preserve"> BAC Schedule of Activities;</t>
  </si>
  <si>
    <t xml:space="preserve"> A complete set of Bidding Documents may be acquired by interested bidders on JUNE 8, 2020 to JUNE 29, 2020 from 8:00AM to 5:00PM at the Office of the Bids and Awards Committee, 3rd Floor, Provincial Capitol, Bontoc, Mountain Province upon payment of the applicable fee for the Bidding Documents, pursuant to the latest Guidelines issued by the GPPB, in the amount of Twenty Five Thousand Pesos Only (Php25,000.00) at the Cashier’s Office, Provincial Capitol, Bontoc, Mountain Province.</t>
  </si>
  <si>
    <t xml:space="preserve"> Please see file on associated component</t>
  </si>
  <si>
    <t xml:space="preserve"> LGSF-SALINTUBIG</t>
  </si>
  <si>
    <t xml:space="preserve"> PROJECT LOCATION: MMTS OFFICE-KUMINTANG ST., MINTAL, TUGBOK DIST., DAVAO CITY</t>
  </si>
  <si>
    <t xml:space="preserve"> please see file on associated component</t>
  </si>
  <si>
    <t xml:space="preserve"> Diesel/Fuel		39,337.47	liters</t>
  </si>
  <si>
    <t xml:space="preserve"> VICKY R. DURANA, MPA</t>
  </si>
  <si>
    <t xml:space="preserve"> 6. The National Irrigation Administration (NIA), Regional Irrigation Office No.7, will hold a Pre-Bid Conference on June 16, 2020, 2:00 PM at NIA Regional Office 7 Conference Room, Dao District, Tagbilaran City, which shall be open to prospective bidders.</t>
  </si>
  <si>
    <t xml:space="preserve"> 1.   A complete set of Bidding Documents may be purchased by interested Bidders from the address below starting on June 08, 2020 and upon payment of a nonrefundable fee for the Bidding Documents in the amount of Five Hundred Pesos (P500.00) at the Municipal Treasury Office, Amdalao, Guinaang, Pasil, Kalinga.   					</t>
  </si>
  <si>
    <t xml:space="preserve"> Please similar information posted in the website of the procuring entity</t>
  </si>
  <si>
    <t xml:space="preserve"> CHECKLIST OF REQUIREMENTS FOR SMALL VALUE PROCUREMENT</t>
  </si>
  <si>
    <t xml:space="preserve"> Please download Request For Quotation (RFQ) form/or Terms Of Reference (TOR), completely fill-out and submit either through any of the following:</t>
  </si>
  <si>
    <t xml:space="preserve"> TALAHIRON ELEMENTARY SCHOOL LOCATED TALAHIRON KIBAWE BUKIDNON PHILIPPINES</t>
  </si>
  <si>
    <t xml:space="preserve"> COPY AND PASTE IN THE BROWSER THE LINK BELOW TO VIEW BIDDING DOCUMENTS: </t>
  </si>
  <si>
    <t xml:space="preserve"> Suppliers/Bidders must download attached documents in the associated components</t>
  </si>
  <si>
    <t xml:space="preserve"> Issuance of Bid Documents  : 8:00AM - 5:00PM June 08, 2020 to 8:00AM - 10:00AM, June 16, 2020</t>
  </si>
  <si>
    <t xml:space="preserve"> ITB20-06-025</t>
  </si>
  <si>
    <t xml:space="preserve"> Issuance of Bid Documents : 8:00AM - 5:00PM June 8, 2020 to 8:00AM - 10:00AM, July 1, 2020</t>
  </si>
  <si>
    <t xml:space="preserve"> Also available at the DPWH Website</t>
  </si>
  <si>
    <t xml:space="preserve"> https://drive.google.com/file/d/1DN_4Vph5aEtAztwLCA_fdIEgFA8NwsKR/view?usp=drivesdk</t>
  </si>
  <si>
    <t xml:space="preserve"> https://drive.google.com/file/d/1ev_Te_-x2KdAvhmAKYQ1KewxIvtXDwrj/view?usp=drivesdk</t>
  </si>
  <si>
    <t xml:space="preserve"> https://drive.google.com/file/d/1h2qYo7tg59wWx7WALLLep0gz8n6BQzfL/view?usp=drivesdk</t>
  </si>
  <si>
    <t xml:space="preserve"> https://drive.google.com/file/d/1Fb6knV5F4FRlwfVeQSjqFh_-JxM78UbF/view?usp=drivesdk</t>
  </si>
  <si>
    <t xml:space="preserve"> INQUIRE AT BAC OFFICE</t>
  </si>
  <si>
    <t xml:space="preserve"> https://drive.google.com/file/d/11s6JubnQfYDbWKJeOJs_hbaupSMAmtdB/view?usp=drivesdk</t>
  </si>
  <si>
    <t xml:space="preserve"> INQUIRE AT BAC OFFICE,  MUNICIPAL HALL, TAMBULIG, ZAMBOANGA DEL SUR</t>
  </si>
  <si>
    <t xml:space="preserve"> Bidders must download the attached documents in the associated component section.</t>
  </si>
  <si>
    <t xml:space="preserve"> Please copy the link below and print for a copy of Bidding Document</t>
  </si>
  <si>
    <t xml:space="preserve"> See Attached ITB and BID Docs</t>
  </si>
  <si>
    <t xml:space="preserve"> 1. Receipt from the Bidder of Letter of Intent-- June 8-15,2020</t>
  </si>
  <si>
    <t xml:space="preserve"> https://drive.google.com/file/d/1ly1QOiTBUkLiSFtnpMt5vikObDPQZlRa/view?usp=drivesdk</t>
  </si>
  <si>
    <t xml:space="preserve"> Bidders must download the documents on the link provided:</t>
  </si>
  <si>
    <t xml:space="preserve"> All inquiries shall be directed to Dr. Rolando O. Borrinaga, Chairman, Bids and Awards Committee, UP Manila – School of Health Sciences, Palo, Leyte.</t>
  </si>
  <si>
    <t xml:space="preserve"> Created By: Estanislawa Revilleza</t>
  </si>
  <si>
    <t xml:space="preserve"> BID DOCS IS AVAILABLE AT TREASURES OFFICE AT PhP500.00 ONLY. AND IS AVAILABLE BEFORE THE BIDDING TIME. BIDDING DATE IS SEEN AT THE INFORMATION GIVEN</t>
  </si>
  <si>
    <t xml:space="preserve"> PLEASE CHECK SIMILAR INFORMATION POSTED IN THE PROCURING ENTITY'S WEBSITE</t>
  </si>
  <si>
    <t xml:space="preserve"> A complete set of Bidding Documents may be acquired by interested Bidders or his duly authorized representative from the BAC Secretariat for the period June 8, 2020 to June 17, 2020 upon payment of a nonrefundable fee for the Bidding Documents, pursuant to the latest Guidelines issued by the GPPB, in the amount stated above to the Barangay Treasurer. The method of payment shall be in CASH. Bidding documents shall be received personally by the prospective Bidder or his duly authorized representative.</t>
  </si>
  <si>
    <t xml:space="preserve"> PLEASE CHECK SIMILAR INFORMATION POSTED AT THE PROCURING ENTITY'S WEBSITE</t>
  </si>
  <si>
    <t xml:space="preserve"> NA</t>
  </si>
  <si>
    <t xml:space="preserve"> Please check similar information posted at the website of the procuring entity</t>
  </si>
  <si>
    <t xml:space="preserve"> Please see similar information posted at the website of the procuring entity</t>
  </si>
  <si>
    <t xml:space="preserve"> Contact Person: Atty. JESSICA S. SAPALO</t>
  </si>
  <si>
    <t xml:space="preserve"> (i)   Allow full inspection by the Fund of all bid documentation and related records;  </t>
  </si>
  <si>
    <t xml:space="preserve"> Inquire at the Office of Quezon Medical Center for details.</t>
  </si>
  <si>
    <t xml:space="preserve"> PROCUREMENT ACTIVITIES	DATE	TIME (BFAR8 Ground floor Biometric Clock)	VENUE</t>
  </si>
  <si>
    <t xml:space="preserve"> https://drive.google.com/file/d/1C1JbT2K_ZFfTyJAqzHe_AxZXYP6puhPq/view?usp=drivesdk</t>
  </si>
  <si>
    <t xml:space="preserve"> https://drive.google.com/file/d/1DVZ_Hogoe_5t8VePEWyKCsIbEx3liPnS/view?usp=drivesdk</t>
  </si>
  <si>
    <t xml:space="preserve"> https://drive.google.com/file/d/1J4FomXtqMFpF3vmbdR0RB691HGAwGG-m/view?usp=drivesdk</t>
  </si>
  <si>
    <t xml:space="preserve"> ITB20-06-024</t>
  </si>
  <si>
    <t xml:space="preserve"> INVITATION TO APPLY FOR ELIGIBILITY AND TO BID</t>
  </si>
  <si>
    <t xml:space="preserve"> Bidders must download attached main document in the associated component section.</t>
  </si>
  <si>
    <t xml:space="preserve"> opening of bids June 29, 2020 @ 9:00 AM at Dap-ay di Tubo Poblacion, Tubo Abra.</t>
  </si>
  <si>
    <t xml:space="preserve"> The Works consists of Concreting of 301.00m long x 3.00m wide x 0.15m thick PCCP FTMR.</t>
  </si>
  <si>
    <t xml:space="preserve"> The Works consists of Concreting of 262.00m long x 2.50m wide x 0.15m thick PCCP FTMR.</t>
  </si>
  <si>
    <t xml:space="preserve"> The Works consists of Concreting of 337.00m long x 2.50m wide x 0.15m thick PCCP FTMR.</t>
  </si>
  <si>
    <t xml:space="preserve"> Bid Opening</t>
  </si>
  <si>
    <t xml:space="preserve"> TERMS OF REFERENCE</t>
  </si>
  <si>
    <t xml:space="preserve"> The Works consists of Construction of 210.00 ln.m. 4” THK CHB (3 layers and 2 layers) canal lining with concrete stiffener and column space at every 5.00m with 1 unit concrete crossing.</t>
  </si>
  <si>
    <t xml:space="preserve"> The Works consists of Construction of 450.0 ln.m 4”THK CHB (4 layers and 2 layers) canal lining with concrete column and stiffener space at every 5.00m @ layers and 3.0m @4 layers.</t>
  </si>
  <si>
    <t xml:space="preserve"> The Works consists of Provision of 8 rolls 63mmøx100m HDPE Pipe, sdr 17 (800Ln.m) and 3 units Plastic Tank (2Cu.m. capacity) w/ 2x2 m concrete platform w/6 distribution line each tank using (32mmøx100m HDPE pipe, sdr 17).</t>
  </si>
  <si>
    <t xml:space="preserve"> The Works consists of Construction of 380ln.m. 4” THK CHB 3 layers canal lining with concrete stiffener and column space at every 5.00m with 1 unit concrete crossing.</t>
  </si>
  <si>
    <t xml:space="preserve"> The complete schedule of BAC activities is listed as follows:</t>
  </si>
  <si>
    <t xml:space="preserve"> The Works consists of Construction of 175.5ln.m.(77.0cu.m.) Rubble Masonry Protection Wall bothsides and 6.0ln.m (17.10cu.m.) Rubble Masonry Dam with 6 units Baffle Board Construction of 6.0ln.m Concrete Topping and concreted cut of wall.</t>
  </si>
  <si>
    <t xml:space="preserve"> The Works consists of Concreting of 175.50ln.m. x 3.0m wide x 0.15m thick PCCP FTMR.</t>
  </si>
  <si>
    <t xml:space="preserve"> Bid docs php 500.00</t>
  </si>
  <si>
    <t xml:space="preserve"> FOR 2ND BIDDING</t>
  </si>
  <si>
    <t xml:space="preserve"> BRGY. BULAJO HALL CAVINTI, LAGUNA</t>
  </si>
  <si>
    <t xml:space="preserve"> PHILIPPINE BIDDING DOCUMENTS</t>
  </si>
  <si>
    <t xml:space="preserve"> Bid Documents are also downloadable in the DPWH Website</t>
  </si>
  <si>
    <t xml:space="preserve"> For inquiries proceed to BAC - Office LGU, Zarraga for more information</t>
  </si>
  <si>
    <t xml:space="preserve"> - All interested PCAB Licensed Contractors are advised to inquire at the Municipal Engineering Office for verification of plans, specifications, items of work and other matters pertaining to this procurement.</t>
  </si>
  <si>
    <t xml:space="preserve"> docs are also uploaded in dpwh websute</t>
  </si>
  <si>
    <t xml:space="preserve"> docs are also uploaded in dpwh website</t>
  </si>
  <si>
    <t xml:space="preserve"> For any concern please contact Mrs. Mary Grace Y. Guay the BAC Member</t>
  </si>
  <si>
    <t xml:space="preserve"> Pre-Bid will be on June 15, 2020 @ 10:00 A.M. @ Bids &amp; Awards Committee Office</t>
  </si>
  <si>
    <t xml:space="preserve"> LENGTH - 54.00M</t>
  </si>
  <si>
    <t xml:space="preserve"> The BAC is conducting the public bidding for this Contracts in accordance with RA 9184 and its Revised Implementing Rules and Regulations. Bids received in excess of the ABC of each lot shall be automatically rejected at bid opening. Awarding of Contract will be per Lot.</t>
  </si>
  <si>
    <t xml:space="preserve"> https://drive.google.com/file/d/1PLxuBx1YHE-1DUm0qpnWoyilqCwJRkSW/view?usp=drivesdk</t>
  </si>
  <si>
    <t xml:space="preserve"> Opening of Bids: June 29, 2020</t>
  </si>
  <si>
    <t xml:space="preserve"> For more information please visit or contact the BAC Secretariat at Brgy. Singaran, La Libertad, ZN</t>
  </si>
  <si>
    <t xml:space="preserve"> For more information please visit or contact the BAC Secretariat at Brgy, Singaran, La Libertad,ZN</t>
  </si>
  <si>
    <t xml:space="preserve"> https://drive.google.com/file/d/1bZftxOkpgrzZQXcMlXdg38oM3eGru3b2/view?usp=drivesdk</t>
  </si>
  <si>
    <t xml:space="preserve"> INVITATION TO BID FOR </t>
  </si>
  <si>
    <t xml:space="preserve"> https://drive.google.com/file/d/1vm3qQ9e4vStCh4Gq5lRhic2Qj5kDgoM1/view?usp=drivesdk</t>
  </si>
  <si>
    <t xml:space="preserve"> Submission of Quotation until June 16, 2020, @ 10:00 A.M.</t>
  </si>
  <si>
    <t xml:space="preserve"> https://drive.google.com/file/d/1UKXrKbafgP2Wq23KqRGBnxSI52Z5uSSh/view?usp=drivesdk</t>
  </si>
  <si>
    <t xml:space="preserve"> REQUEST FOR EXPRESSION OF INTEREST (REI) FOR 20CSCE001-CONSULTING SERVICES FOR THE CONDUCT OF SOIL/GEOTECHNICAL INVESTIGATION FOR THE PROPOSED CONSTRUCTION OF VARIOUS MULTI-PURPOSE AND SCHOOL BUILDING PROJECTS WITHIN THE 1st AND 2nd LEGISLATIVE DISTRICT OF NUEVA ECIJA</t>
  </si>
  <si>
    <t xml:space="preserve"> Bidders shall pay the BAC a non-refundable fee of Php1,000.00 for the Bidding Documents, upon securing hard copies of the Documents. Bidders that download the Documents from the DPWH/PhilGEPS website shall pay the fee upon submission of their bids. </t>
  </si>
  <si>
    <t xml:space="preserve"> https://drive.google.com/file/d/17V9aM3xv7esb_1wMjFq3MA8XY7V9ewuA/view?usp=drivesdk</t>
  </si>
  <si>
    <t xml:space="preserve"> https://drive.google.com/file/d/1hY2vDR2LS4154DCY7RvZru5gTWrCoBK5/view?usp=drivesdk</t>
  </si>
  <si>
    <t xml:space="preserve"> 20CSCE002-CONSULTING SERVICES FOR THE CONDUCT OF SOIL/GEOTECHNICAL INVESTIGATION FOR THE PROPOSED CONSTRUCTION/REHABILITATION OF VARIOUS FLOOD CONTROL AND BRIDGE PROJECTS WITHIN THE 1st AND 2nd LEGISLATIVE DISTRICT OF NUEVA ECIJA</t>
  </si>
  <si>
    <t xml:space="preserve"> Concreting of Alley  Road</t>
  </si>
  <si>
    <t xml:space="preserve"> https://drive.google.com/file/d/1oDtsXF5LnKTOKjM7e7yycEPvbPMECI_O/view?usp=drivesdk</t>
  </si>
  <si>
    <t xml:space="preserve"> https://drive.google.com/file/d/1T-qL-cneGB9r50KuVHuCcPmdRSSwUd0J/view?usp=drivesdk</t>
  </si>
  <si>
    <t xml:space="preserve"> https://drive.google.com/file/d/1gyCECrRrgzBlu4iti6eS374Y1IUwp5Bx/view?usp=drivesdk</t>
  </si>
  <si>
    <t xml:space="preserve"> https://drive.google.com/file/d/1sc7igchuTuKhWoBVT0IUSztifyuv5adb/view?usp=drivesdk</t>
  </si>
  <si>
    <t xml:space="preserve"> https://drive.google.com/file/d/1WntopyQeeN3PwJiDb7w29nzqlrD2AExj/view?usp=drivesdk</t>
  </si>
  <si>
    <t xml:space="preserve"> https://drive.google.com/file/d/1O6flKjJoKvSKIinjczPINtfLaZjvhEMv/view?usp=drivesdk</t>
  </si>
  <si>
    <t xml:space="preserve"> https://drive.google.com/file/d/1mOyIfM6g01hfp-ejTPt0g8RzgOaBxnI1/view?usp=drivesdk</t>
  </si>
  <si>
    <t xml:space="preserve"> https://drive.google.com/file/d/1B8I7dQGtetDtdeELgoCf3a5am0r1THut/view?usp=drivesdk</t>
  </si>
  <si>
    <t xml:space="preserve"> https://drive.google.com/file/d/1LjZYU4SvLoec5NzalJ8AtfUZnzEjOIYW/view?usp=drivesdk</t>
  </si>
  <si>
    <t xml:space="preserve"> https://drive.google.com/file/d/1-hNAwTnEyxjQgFd6HOPfUKXQ9wODFoF3/view?usp=drivesdk</t>
  </si>
  <si>
    <t xml:space="preserve"> LOT AWARD</t>
  </si>
  <si>
    <t xml:space="preserve"> LOT AWARD, </t>
  </si>
  <si>
    <t xml:space="preserve"> The Works consists of Concreting of 94.50m long x 3.00m wide x 0.20m thick FTMR.</t>
  </si>
  <si>
    <t xml:space="preserve"> The Works consists of Concreting of 139.50m long x 3.00m wide x 0.20m thick PCCP FTMR.</t>
  </si>
  <si>
    <t xml:space="preserve"> DELIVERY POINT: SPUG MOD WAREHOUSE, KUMINTANG ST., MINTAL, TUGBOK DIST., DAVAO CITY</t>
  </si>
  <si>
    <t xml:space="preserve"> The Works consists of Concreting of 130.50m long x 3.0m wide x 0.15m thick PCCP Plain.</t>
  </si>
  <si>
    <t xml:space="preserve"> The Works consists of 126.0ln.m. 4”THK CHB 4 layers canal lining with concrete column and stiffener space at every 3.00m; Construction of 1.5ln.m. wing wall both sides.</t>
  </si>
  <si>
    <t xml:space="preserve"> The Works consists of Concreting of 76.50ln.m. x 3.0m wide x 0.15m thick PCCP FTMR.</t>
  </si>
  <si>
    <t xml:space="preserve"> The Works consists of Concreting of 130.50m long x 2.60m wide x 0.15m thick PCCP FTMR.</t>
  </si>
  <si>
    <t xml:space="preserve"> The Works consists of Road widening 0f 2200.00m long x 1.00m wide Farm-To-Market-Road.</t>
  </si>
  <si>
    <t xml:space="preserve"> The Works consists of 96.0ln.m. 4”THK CHB 5 layers canal lining with concrete column and stiffener space at every 3.00m; Construction of 40.0ln.m. canal concrete cover.</t>
  </si>
  <si>
    <t xml:space="preserve"> The Works consists of Concreting of 148.50 ln.m. x 2.0m wide x0.15m thick PCCP FTMR.</t>
  </si>
  <si>
    <t xml:space="preserve"> The Works consists of Concreting of 150.00m long x 3.0m wide x 0.15m thick PCCP Plain.</t>
  </si>
  <si>
    <t xml:space="preserve"> Construction 55.0ln.m. (110 cu.m.) Rubble Masonry Protection Wall</t>
  </si>
  <si>
    <t xml:space="preserve"> ISSUANCE OF BIDDING DOCUMENTS: June 5, 2020- June 23, 2020</t>
  </si>
  <si>
    <t xml:space="preserve"> 1. Submission of canvass on or before June 17, 2020 @ 2:00 P.M.</t>
  </si>
  <si>
    <t xml:space="preserve"> https://drive.google.com/file/d/1Hqs4cwxoeYCvEOgPEO5M0CngleA59stA/view?usp=drivesdk</t>
  </si>
  <si>
    <t xml:space="preserve"> Bidding will be conducted through open competitive bidding procedures using a non-discretionary “pass/fail” criterion as specified in the Implementing Rules and Regulations (IRR) of Republic Act (RA) 9184, otherwise known as the “Government Procurement Reform Act”.</t>
  </si>
  <si>
    <t xml:space="preserve"> No responsive bid received.</t>
  </si>
  <si>
    <t xml:space="preserve"> Special Conditions:</t>
  </si>
  <si>
    <t xml:space="preserve"> BID OPENING: JUNE 24,2020  @ 2:OO PM BAC OFFICE, MUNICIPAL HALL, STA.MARCELA, APAYAO.</t>
  </si>
  <si>
    <t xml:space="preserve"> Also available in DPWH website.</t>
  </si>
  <si>
    <t xml:space="preserve"> The Schedule of the bidding Activities is as follows</t>
  </si>
  <si>
    <t xml:space="preserve"> A complete set of Bidding Documents may be acquired by interested bidders on JUNE 5, 2020 to JUNE 25, 2020 from 8:00AM to 5:00PM at the Office of the Bids and Awards Committee, 3rd Floor, Provincial Capitol, Bontoc, Mountain Province upon payment of the applicable fee for the Bidding Documents, pursuant to the latest Guidelines issued by the GPPB, in the amount of One Thousand Pesos Only (Php1,000.00) at the Cashier’s Office, Provincial Capitol, Bontoc, Mountain Province.</t>
  </si>
  <si>
    <t xml:space="preserve"> A complete set of Bidding Documents may be acquired by interested bidders on JUNE 5, 2020 to JUNE 29, 2020 from 8:00AM to 5:00PM at the Office of the Bids and Awards Committee, 3rd Floor, Provincial Capitol, Bontoc, Mountain Province upon payment of the applicable fee for the Bidding Documents, pursuant to the latest Guidelines issued by the GPPB, in the amount of Five Thousand Pesos Only (Php5,000.00) at the Cashier’s Office, Provincial Capitol, Bontoc, Mountain Province.</t>
  </si>
  <si>
    <t xml:space="preserve"> FOR COMPLETE LIST OF ITEMS PLEASE DOWNLOAD ATTACHED REQUEST FOR QUOTATION</t>
  </si>
  <si>
    <t xml:space="preserve"> Issuance of Bidding Documents:  June 5, 2020 until 1:30 p.m. of June 25, 2020</t>
  </si>
  <si>
    <t xml:space="preserve"> https://drive.google.com/file/d/1IMHwY_zEdh682r34f7Wa0jRfnebKtkrq/view?usp=drivesdk</t>
  </si>
  <si>
    <t xml:space="preserve"> FOR COMPLETE LIST OF ITEMS PLEASE SEE ATTACHED RFQ</t>
  </si>
  <si>
    <t xml:space="preserve"> June 5 - 22, 2020</t>
  </si>
  <si>
    <t xml:space="preserve"> BAC Activity Schedule:</t>
  </si>
  <si>
    <t xml:space="preserve"> NONE</t>
  </si>
  <si>
    <t xml:space="preserve"> 1.  Submission of Letter of Intent and Application of Eligibility			June 05, 2020	-	June 12, 2020</t>
  </si>
  <si>
    <t xml:space="preserve"> Availability of Bid Documents:  June 5–24, 2020; 8:00 AM-5:00 PM; Monday through Friday</t>
  </si>
  <si>
    <t xml:space="preserve"> Bidding documents shall be made available to prospective bidders or its duly authorized representative only at the Office of the Bids &amp; Awards Committee, Procurement Division, Rizal Provincial Government, Ynares Center Complex Antipolo City.</t>
  </si>
  <si>
    <t xml:space="preserve"> A complete set of Bidding Documents will be provided by PNBAC Secretariat to the interested Bidders upon payment of a non-refundable fee in the amount of TWENTY FIVE THOUSAND PESOS (P25,000.00) only at CRB, CPMU, Philippine Navy Finance Center (PNFC), Naval Station Jose Francisco, Fort Bonifacio, Taguig City.</t>
  </si>
  <si>
    <t xml:space="preserve"> Deadline for submission of bids will be on June 29, 2020, 10:00 A.M. at the Supply Office, Town Hall, Poblacion, Kibungan, Benguet.</t>
  </si>
  <si>
    <t xml:space="preserve"> includes delivery, installation and training</t>
  </si>
  <si>
    <t xml:space="preserve"> FOR MITSUBISHI MG330 MOTOR GRADER (N1-51P)</t>
  </si>
  <si>
    <t xml:space="preserve"> https://drive.google.com/file/d/1QvDFzoRIoLSNW_evBLpf0Uo-2Ey8oGk_/view?usp=sharing</t>
  </si>
  <si>
    <t xml:space="preserve"> The duly accomplished Price Quotation Form (Annex “A”) and  Omnibus  Sworn  Statement  Form   (Annex “B”), together   with   the   CERTIFIED   TRUE   COPY of   the following documents:   a)  Valid   Mayor’s / Business permit; and, b) PhilGEPS Registration Number, shall be submitted in a sealed envelope by mail, courier or hand carried to the PMOB-BAC on or before 9:00 a.m. of 16 June 2020 at the Engineering Services Division Office, 5/F, PPA Administration Building, Port Access Road, Calicanto, Batangas City addressed to:</t>
  </si>
  <si>
    <t xml:space="preserve"> https://drive.google.com/file/d/16pF-pV-vOMvDEVBWqjPMw6s9VMq3gvuU/view?usp=sharing</t>
  </si>
  <si>
    <t xml:space="preserve"> The duly accomplished Price Quotation Form (Annex “A”) and  Omnibus  Sworn  Statement  Form   (Annex “B”), together   with   the   CERTIFIED   TRUE   COPY of   the   following documents:   a)   Valid   Mayor’s / Business  permit; and b)   PhilGEPS Registration Number, shall be submitted in a sealed envelope by mail, courier or hand carried to the PMOB-BAC on or before 9:00 a.m. of 16 June 2020 at the Engineering Services Division Office, 5/F, PPA Administration Building, Port Access Road, Calicanto, Batangas City addressed to:</t>
  </si>
  <si>
    <t xml:space="preserve"> https://drive.google.com/file/d/1IQ-q30-l9xWg1ZV23YWDN5pqUnKnRjZx/view?usp=drivesdk</t>
  </si>
  <si>
    <t xml:space="preserve"> https://drive.google.com/file/d/1oYf-DdCvVNjcXRdLVwd-arQVEmbVtcgt/view?usp=drivesdk</t>
  </si>
  <si>
    <t xml:space="preserve"> https://drive.google.com/file/d/12jy0DKSdEdB-v2Kh5aJk64TAJNTG9a76/view?usp=drivesdk</t>
  </si>
  <si>
    <t xml:space="preserve"> https://drive.google.com/file/d/1JogRaxv3PPjo1-bShiSsmZIEIZwYLxwi/view?usp=drivesdk</t>
  </si>
  <si>
    <t xml:space="preserve"> https://drive.google.com/file/d/1Z1g129X4mZx2HG9CyJnnYjjyu_hA1oII/view?usp=drivesdk</t>
  </si>
  <si>
    <t xml:space="preserve"> https://drive.google.com/file/d/1UhFhffARy4zZ532shPLm0V7kVRsSVHhO/view?usp=drivesdk</t>
  </si>
  <si>
    <t xml:space="preserve"> https://drive.google.com/file/d/1lgDq32L_EwLoYplI3b0L_-1INi1BnJ0g/view?usp=drivesdk</t>
  </si>
  <si>
    <t xml:space="preserve"> Bid Documents and TOR are also downloadable in the DPWH Website</t>
  </si>
  <si>
    <t xml:space="preserve"> For Shortlisted Bidder only</t>
  </si>
  <si>
    <t xml:space="preserve"> https://drive.google.com/file/d/1GmSLYxojsTfuWDYd7hu-9jLU9dNg3880/view?usp=drivesdk</t>
  </si>
  <si>
    <t xml:space="preserve"> https://drive.google.com/file/d/16srS2I4GbvnRiAhyL4kwm32tFqCdfRql/view?usp=drivesdk</t>
  </si>
  <si>
    <t xml:space="preserve"> https://drive.google.com/file/d/1SjmqTHNnPxkNh3tY4XZ1za-8eokZ7ckw/view?usp=drivesdk</t>
  </si>
  <si>
    <t xml:space="preserve"> https://drive.google.com/file/d/1fnP6zgGnxyYgrmC-p2uHNMzpVEgQp_XU/view?usp=drivesdk</t>
  </si>
  <si>
    <t xml:space="preserve"> BAC Office, LGU-Leon B. Postigo, Z.N.</t>
  </si>
  <si>
    <t xml:space="preserve"> https://drive.google.com/file/d/1MlnZfVrGILARHCPPYYy0HT0BrX6tHg3E/view?usp=drivesdk</t>
  </si>
  <si>
    <t xml:space="preserve"> https://drive.google.com/file/d/12T1BJOYTc0OaZXYg0qPwUkZxg4JlwAT6/view?usp=drivesdk</t>
  </si>
  <si>
    <t xml:space="preserve"> https://drive.google.com/file/d/1GkX-2mvcxXeJMrW9zfrHkrMOFoYQSYQa/view?usp=drivesdk</t>
  </si>
  <si>
    <t xml:space="preserve"> bidding date on June 24, 2020 at Brgy. Hall, Brgy. Balabago, Alimodian Iloilo at 10:00 am</t>
  </si>
  <si>
    <t xml:space="preserve"> Unit	Item Description	Qty.</t>
  </si>
  <si>
    <t xml:space="preserve"> bidding date on June 24, 2020,at Brgy hall, Brgy. Ulay-Bugang, Alimodian Iloilo at 10:00 am</t>
  </si>
  <si>
    <t xml:space="preserve"> Instruction for Suppliers on How to View/Download the document:</t>
  </si>
  <si>
    <t xml:space="preserve"> Multi-purpose vehicle</t>
  </si>
  <si>
    <t xml:space="preserve"> Unit	           Item Description	                                                         Qty.</t>
  </si>
  <si>
    <t xml:space="preserve"> https://drive.google.com/file/d/1MdoGbLT8SXm9dp1wU-km4W2kwYcYVnPy/view?usp=drivesdk</t>
  </si>
  <si>
    <t xml:space="preserve"> https://drive.google.com/file/d/1HA65KZFMFtqAYAgUNBMBusdZPBmD-txE/view?usp=drivesdk</t>
  </si>
  <si>
    <t xml:space="preserve"> https://drive.google.com/file/d/1PPrp2Ax4iNIKmNrfCfNHd-CnsnKhTfLA/view?usp=drivesdk</t>
  </si>
  <si>
    <t xml:space="preserve"> https://drive.google.com/file/d/10Mi-9TLXscsTErj0fAVSXEltJcfVdFIo/view?usp=drivesdk</t>
  </si>
  <si>
    <t xml:space="preserve"> https://drive.google.com/file/d/1uLSno730_z6fs780MMv39iCUc0MTuvsx/view?usp=drivesdk</t>
  </si>
  <si>
    <t xml:space="preserve"> https://drive.google.com/file/d/1gKzLN6ARj4WtqAOzPvJh6VOQoQaL4ovE/view?usp=drivesdk</t>
  </si>
  <si>
    <t xml:space="preserve"> unit	Fire Truck Forward FTR Single Cab                         1</t>
  </si>
  <si>
    <t xml:space="preserve"> https://drive.google.com/file/d/18cWmcgIFsM3VezwxaNwiqx_ouYujScx5/view?usp=drivesdk</t>
  </si>
  <si>
    <t xml:space="preserve"> https://drive.google.com/file/d/1KdwAYfVlaogRw2BN7Waz9d2xqFP-sT_5/view?usp=drivesdk</t>
  </si>
  <si>
    <t xml:space="preserve"> https://drive.google.com/file/d/1a8CATjit8vTW0uVvFV9a3vJQWFUaVGxs/view?usp=drivesdk</t>
  </si>
  <si>
    <t xml:space="preserve"> please click this link to download bidding documents</t>
  </si>
  <si>
    <t xml:space="preserve"> Unit	Item Description</t>
  </si>
  <si>
    <t xml:space="preserve"> please clickt this link to download bidding documents</t>
  </si>
  <si>
    <t xml:space="preserve"> https://drive.google.com/file/d/1gkF-npvBXtCFkeDuogIy1m3TtJvj39-T/view?usp=drivesdk</t>
  </si>
  <si>
    <t xml:space="preserve"> Also available at the DPWH Website.</t>
  </si>
  <si>
    <t xml:space="preserve"> Bidders must download the associated component/s.</t>
  </si>
  <si>
    <t xml:space="preserve"> Please copy the link below, save and print for a coy of Bidding document.</t>
  </si>
  <si>
    <t xml:space="preserve"> ISSUANCE OF BIDDING DOCUMENTS: June 4, 2020-June 23, 2020</t>
  </si>
  <si>
    <t xml:space="preserve"> ISSUANCE OF BIDDING DOCUMENTS: June 4, 2020- June 23, 2020 </t>
  </si>
  <si>
    <t xml:space="preserve"> BAC ACTIVITIES</t>
  </si>
  <si>
    <t xml:space="preserve"> ISSUANCE OF BIDDING DOCUMENTS: June 4, 2020- June 23, 2020</t>
  </si>
  <si>
    <t xml:space="preserve"> Please contact Mr. Reno C. Salazar the BAC Secrewtary with CP # 09459852914 or you may call Ms. Ma. Teresa L. Minguez the BAC Chairperson. Thanks and God Bless us all.</t>
  </si>
  <si>
    <t xml:space="preserve"> Cost of Documents: P1,000.00</t>
  </si>
  <si>
    <t xml:space="preserve"> https://drive.google.com/file/d/1mKvW1VeZ3BLOAMagdjY7jmbRTppHL_0j/view?usp=drivesdk</t>
  </si>
  <si>
    <t xml:space="preserve"> Bidding Documents may be purchased by the Interested Bidders on June 10-11, 2020 from 8:00 A.M to 5:00 P.M. and upon payment of non - refundable fee of Four Thousand Pesos (Php 4,000.00).</t>
  </si>
  <si>
    <t xml:space="preserve"> QTY/UNIT/ITEM DESCRIPTION</t>
  </si>
  <si>
    <t xml:space="preserve"> Bidding Documents may be purchased by the Interested Bidders on June 10-11, 2020 from 8:00 A.M to 5:00 P.M. and upon payment of non - refundable fee of Five Hundred Pesos (Php 500.00).</t>
  </si>
  <si>
    <t xml:space="preserve"> Bidding Documents may be purchased by the Interested Bidders on June 10-11, 2020 from 8:00 A.M to 5:00 P.M. and upon payment of non - refundable fee of One Thousand Five Hundred Pesos (Php 1,500.00).</t>
  </si>
  <si>
    <t xml:space="preserve"> Bidding Documents may be purchased by the Interested Bidders on June 10-11, 2020 from 8:00 A.M to 5:00 P.M. and upon payment of non - refundable fee of One Thousand Pesos (Php 1,000.00).</t>
  </si>
  <si>
    <t xml:space="preserve"> Any requests for additional information concerning this bidding shall be directed to the following:</t>
  </si>
  <si>
    <t xml:space="preserve"> 1. Issuance of Bidding Documents	:	June 04, 2020 to June 23, 2020</t>
  </si>
  <si>
    <t xml:space="preserve"> Bidding Documents may be purchased by the Interested Bidders on June 10-11, 2020 from 8:00 A.M to 5:00 P.M. and upon payment of non - refundable fee of Two Thousand Pesos (Php 2,000.00 ).</t>
  </si>
  <si>
    <t xml:space="preserve"> 1. Submission of letter of Intent  June 4-11,2020</t>
  </si>
  <si>
    <t xml:space="preserve"> bidding date,June 25, 2020 at Brgy. Hall,Brgy. Coline-Alimodian Iloilo at 10am</t>
  </si>
  <si>
    <t xml:space="preserve"> bidding date will be on June 25, 2020,at 10am at Brgy. Hall,Brgy. Tugaslon,Alimodian Iloilo</t>
  </si>
  <si>
    <t xml:space="preserve"> ALL INTERESTED BIDDERS ARE REQUIRED TO SUBMIT THEIR COMPLETE ELIGIBILITY REQUIREMENTS TO THE BAC FOR EVALUATION DURING THE PRE-BID CONFERENCE ON JUNE 11, 2020 8:00A.M. AT THE BAC SECRETARIAT OFFICE, 2ND FLOOR, CITY HALL OF DASMARIÑAS, CAVITE. BIDDERS WHO SHALL FAIL TO ATTEND THE PRE-BID SHALL NOT BE ALLOWED TO JOIN THE BIDDING FOR THE AFORESAID PROJECT. </t>
  </si>
  <si>
    <t xml:space="preserve"> bidding date on June 25, 2020 at Brgy. Hall,Brgy. Ban-ag.Alimodian Iloilo</t>
  </si>
  <si>
    <t xml:space="preserve"> https://www.philgeps.gov.ph/GEPSNONPILOT/Tender/CreateNoticeStep2UI.aspx?RefID=7025434</t>
  </si>
  <si>
    <t xml:space="preserve"> 1. Issuance and Availability of Bid Documents - June 4, 2020	at ASSCAT Procurement Office</t>
  </si>
  <si>
    <t xml:space="preserve"> 1. Pre-Bid Conference: June 15, 2020, 2:00PM at the Municipal Conference Hall, Galimuyod, Ilocos Sur</t>
  </si>
  <si>
    <t xml:space="preserve"> https://drive.google.com/file/d/1e8yAZDRTLAdrEGpPAc8FwF6dFDqZYhd1/view?usp=drivesdk</t>
  </si>
  <si>
    <t xml:space="preserve"> https://www.philgeps.gov.ph/GEPSNONPILOT/Tender/CreateNoticeStep2UI.aspx?RefID=7025592</t>
  </si>
  <si>
    <t xml:space="preserve"> A complete set of Bidding Documents may be acquired by interested bidders on JUNE 4, 2020 to JUNE 23, 2020 from 8:00AM to 5:00PM at the Office of the Bids and Awards Committee, 3rd Floor, Provincial Capitol, Bontoc, Mountain Province upon payment of the applicable fee for the Bidding Documents, pursuant to the latest Guidelines issued by the GPPB, in the amount of Five Thousand Pesos Only (Php5,000.00) at the Cashier’s Office, Provincial Capitol, Bontoc, Mountain Province.</t>
  </si>
  <si>
    <t xml:space="preserve"> https://www.philgeps.gov.ph/GEPSNONPILOT/Tender/CreateNoticeStep2UI.aspx?RefID=7025613</t>
  </si>
  <si>
    <t xml:space="preserve"> Item No.	Description</t>
  </si>
  <si>
    <t xml:space="preserve"> Issuance and Availability of Bid Documents - June 4, 2020 at ASSCAT Procurement Office</t>
  </si>
  <si>
    <t xml:space="preserve"> Issuance of bidding documents at BAC Office on June 4 to June 19, 2020 at 10:00 a.m.</t>
  </si>
  <si>
    <t xml:space="preserve"> https://drive.google.com/file/d/1J9ohZri2GjisVi7eEQ6w0SOuavvaTHym/view?usp=drivesdk </t>
  </si>
  <si>
    <t xml:space="preserve"> Schedule of Activities:</t>
  </si>
  <si>
    <t xml:space="preserve"> https://www.philgeps.gov.ph/GEPSNONPILOT/Tender/CreateNoticeStep2UI.aspx?RefID=7025779</t>
  </si>
  <si>
    <t xml:space="preserve"> Please copy the LINK below for the PLAN</t>
  </si>
  <si>
    <t xml:space="preserve"> N/A</t>
  </si>
  <si>
    <t xml:space="preserve"> Technical Specification of Project Number 3:</t>
  </si>
  <si>
    <t xml:space="preserve"> Technical Specification of Project No. 1</t>
  </si>
  <si>
    <t xml:space="preserve"> https://drive.google.com/file/d/1D5hOMEoH8R-A2LMIIcnDWQ8tNg5wdRZi/view?usp=drivesdk</t>
  </si>
  <si>
    <t xml:space="preserve"> Technical Specification of Project Number 4:</t>
  </si>
  <si>
    <t xml:space="preserve"> Technical Specification of Project Number 5:</t>
  </si>
  <si>
    <t xml:space="preserve"> Technical Specification of Project Number 6:</t>
  </si>
  <si>
    <t xml:space="preserve"> Technical Specification of Project Number 7:</t>
  </si>
  <si>
    <t xml:space="preserve"> Technical Specification of Project Number 8:</t>
  </si>
  <si>
    <t xml:space="preserve"> The Local Government Unit of Pilar, through the General Fund/Supplemental Budget intends to apply the sum of One Million, Two Hundred Seventy Thousand Pesos (P1,270,000.00)  being the Approved Budget for the Contract (ABC) to payment under the contract for the Procurement of Sanitary Landfill Services for the Disposal of the Municipality’s Residual Wastes. Bids received in excess of the ABC shall be automatically rejected at bid opening.</t>
  </si>
  <si>
    <t xml:space="preserve"> FOR BID DOCS:</t>
  </si>
  <si>
    <t xml:space="preserve"> Stock 	Unit	Item Description			QTY.</t>
  </si>
  <si>
    <t xml:space="preserve"> SUPPLIERS/ BIDDERS MUST DOWNLOAD THE ATTACHED DOCUMENT IN ASSOCIATED COMPONENT SECTION</t>
  </si>
  <si>
    <t xml:space="preserve"> SUPPLY AND DELIVERY OF 6W 4X2 DUMP TRUCK</t>
  </si>
  <si>
    <t xml:space="preserve"> 3 drums bituminous tack coat</t>
  </si>
  <si>
    <t xml:space="preserve"> 3.	Bidding will be conducted through open competitive bidding procedures using a non-discretionary “pass/fail” criterion as specified in the 2016 Revised Implementing Rules and Regulations (IRR) of Republic Act (RA) 9184, otherwise known as the “Government Procurement Reform Act”.					</t>
  </si>
  <si>
    <t xml:space="preserve"> https://drive.google.com/file/d/1ksOQeeP7OBtDVdgmuyZ0UkCvILcSf5vZ/view?usp=drivesdk</t>
  </si>
  <si>
    <t xml:space="preserve"> Bidding will be on June 18, 2020 @ 10:00 A.M.</t>
  </si>
  <si>
    <t xml:space="preserve"> Project Description	: Completion</t>
  </si>
  <si>
    <t xml:space="preserve"> Project Description	: Construction</t>
  </si>
  <si>
    <t xml:space="preserve"> For further information on this project procurement, interested consultants may contact the Bids and Awards Committee Secretariat through Mr. Marl Philippe Y. Cachero at (02) 8921 0565 or you may send an email to marlcachero7@gmail.com</t>
  </si>
  <si>
    <t xml:space="preserve"> Project Description	: Construction/Development</t>
  </si>
  <si>
    <t xml:space="preserve"> Technical Specification of Project Number 9:</t>
  </si>
  <si>
    <t xml:space="preserve"> Project Description	: Rehabilitation/Reconstruction</t>
  </si>
  <si>
    <t xml:space="preserve"> https://drive.google.com/file/d/1kP71C170dMayXCS4U5k2wa-hcoFm957t/view?usp=drivesdk</t>
  </si>
  <si>
    <t xml:space="preserve"> https://drive.google.com/file/d/1CvAlpMtZgzEv-bCWgUNZyPD8v76rJxUg/view?usp=drivesdk</t>
  </si>
  <si>
    <t xml:space="preserve"> https://drive.google.com/file/d/1pTemR_3CTZCmnATeCFA3meoKBRMIjvZ6/view?usp=drivesdk</t>
  </si>
  <si>
    <t xml:space="preserve"> Project Description	: Construction/Establishment</t>
  </si>
  <si>
    <t xml:space="preserve"> Technical Specification of Project Number 11:</t>
  </si>
  <si>
    <t xml:space="preserve"> Technical Specification of Project Number 10:</t>
  </si>
  <si>
    <t xml:space="preserve"> Technical Specification of Project Number 13:</t>
  </si>
  <si>
    <t xml:space="preserve"> Technical Specification of Project Number 12:</t>
  </si>
  <si>
    <t xml:space="preserve"> Project Description	: Concreting</t>
  </si>
  <si>
    <t xml:space="preserve"> Technical Specification of Project Number 14:</t>
  </si>
  <si>
    <t xml:space="preserve"> Technical Specification of Project Number 15:</t>
  </si>
  <si>
    <t xml:space="preserve"> Please copy the link below and paste it on new tab:</t>
  </si>
  <si>
    <t xml:space="preserve"> a.	Construction/Establishment of Emergency Operation	   	  2,000,000.00</t>
  </si>
  <si>
    <t xml:space="preserve"> 20CE0207: Widening of Permanent Bridges Manicla Br. (B01968LZ) along Daang Maharlika (LZ); Invitation to Bid including Plans and other Supporting Docs</t>
  </si>
  <si>
    <t xml:space="preserve"> Technical Specification of Project Number 21:</t>
  </si>
  <si>
    <t xml:space="preserve"> Technical Specification of Project Number 17:</t>
  </si>
  <si>
    <t xml:space="preserve"> Technical Specification of Project Number 20:</t>
  </si>
  <si>
    <t xml:space="preserve"> a.	Rehabilitation of Municipal Main Drainage System	   	2,000,000.00</t>
  </si>
  <si>
    <t xml:space="preserve"> Technical Specification of Project Number 16:</t>
  </si>
  <si>
    <t xml:space="preserve"> Technical Specification of Project Number 22:</t>
  </si>
  <si>
    <t xml:space="preserve"> Project Description	: Rehabilitation</t>
  </si>
  <si>
    <t xml:space="preserve"> Technical Specification of Project Number 19:</t>
  </si>
  <si>
    <t xml:space="preserve"> Technical Specification of Project Number 18:</t>
  </si>
  <si>
    <t xml:space="preserve"> a.	Construction of Shoulder &amp; Concrete Line Canal at   		9,000,000.00</t>
  </si>
  <si>
    <t xml:space="preserve"> Technical Specification of Project Number 26:</t>
  </si>
  <si>
    <t xml:space="preserve"> 20CE0208: Replacement of Permanent Weak Bridges Amawinan Br. (B01981LZ) along Daang Maharlika (LZ); Invitation to Bid including Plans and other Supporting Docs</t>
  </si>
  <si>
    <t xml:space="preserve"> Technical Specification of Project Number 24:</t>
  </si>
  <si>
    <t xml:space="preserve"> a.	Reblocking of Bolos-Guruyan Road	  		2,500,000.00</t>
  </si>
  <si>
    <t xml:space="preserve"> Technical Specification of Project Number 25:</t>
  </si>
  <si>
    <t xml:space="preserve"> a.	Development of Water Source and Construction	   	2,000,000.00</t>
  </si>
  <si>
    <t xml:space="preserve"> Technical Specification of Project Number 23:</t>
  </si>
  <si>
    <t xml:space="preserve"> Technical Specification of Project Number 27:</t>
  </si>
  <si>
    <t xml:space="preserve"> a.	Concreting of Bical Farm to Market Road		   	 2,000,000.00</t>
  </si>
  <si>
    <t xml:space="preserve"> a.	Construction of Waste Water Treatment Facility at	   	2,000,000.00</t>
  </si>
  <si>
    <t xml:space="preserve"> a.	Rehabilitation/Improvement of Salvador R. Encinas  	   	1,800,000.00</t>
  </si>
  <si>
    <t xml:space="preserve"> a.	Improvt. of Potable Water System at Brgy. Patag, Irosin  	   2,000,000.00</t>
  </si>
  <si>
    <t xml:space="preserve"> for more information just contact barangay secretariat of Barangay Danao Tigbauan, Iloilo</t>
  </si>
  <si>
    <t xml:space="preserve"> Prospective bidders are encouraged to attend the prebid conference as scheduled.</t>
  </si>
  <si>
    <t xml:space="preserve"> https://drive.google.com/file/d/1NbRmC4n6o7aI6w3PmKBOoB00XwU5t8Eq/view?usp=drivesdk</t>
  </si>
  <si>
    <t xml:space="preserve"> SB - 7 UNITS LAPTOP</t>
  </si>
  <si>
    <t xml:space="preserve"> Cost of Bid Docs: Php 5,000.00</t>
  </si>
  <si>
    <t xml:space="preserve"> https://drive.google.com/file/d/1lSoMVnTGZ3Wr9-T_LnYDf-m0DYM_UM8J/view?usp=drivesdk</t>
  </si>
  <si>
    <t xml:space="preserve"> https://drive.google.com/file/d/175QWC9-nTEYDwoZpZuZXGH_2UgIAJ76v/view?usp=drivesdk</t>
  </si>
  <si>
    <t xml:space="preserve"> https://drive.google.com/file/d/1j-PPg2Vo1G4kOzmQndHzi2MW9dt03XZI/view?usp=drivesdk</t>
  </si>
  <si>
    <t xml:space="preserve"> https://drive.google.com/file/d/1-XoZdxODBUV0mlTESOFfKRBRbAlieBGJ/view?usp=drivesdk</t>
  </si>
  <si>
    <t xml:space="preserve"> Purpose: For ZPFIC use.</t>
  </si>
  <si>
    <t xml:space="preserve"> https://drive.google.com/file/d/1wYQhWmVsmfOlLRdGLuxM8QKYpH8fNs1K/view?usp=drivesdk</t>
  </si>
  <si>
    <t xml:space="preserve"> https://drive.google.com/file/d/1UgQtD5vlUjUAH6wKf27158WuFJAvQKdK/view?usp=drivesdk</t>
  </si>
  <si>
    <t xml:space="preserve"> Purpose: (1) For the Office of the Board of of Secretary; (2) For stacking of inactive documents; (3) VPAF office filing; (4) For BAC Office Use</t>
  </si>
  <si>
    <t xml:space="preserve"> Purpose: For Guidance and Counseling Office Use.</t>
  </si>
  <si>
    <t xml:space="preserve"> **Please see the DESCRIPTION about the complete CONTRACT LOCATION</t>
  </si>
  <si>
    <t xml:space="preserve"> Purpose: For Equipment and Fixtures for the Research Workshop Room</t>
  </si>
  <si>
    <t xml:space="preserve"> https://drive.google.com/file/d/1g4E1xRgbWEIJbzOl73SteU7W4UGfoJc9/view?usp=drivesdk</t>
  </si>
  <si>
    <t xml:space="preserve"> https://drive.google.com/file/d/11z4Qfb_ROYuE1oqJyvMTI1DQ7D-jBX4s/view?usp=drivesdk</t>
  </si>
  <si>
    <t xml:space="preserve"> https://drive.google.com/file/d/1k1O8GPGrszJ1klAejdPYMcDPYhgTX9Bd/view?usp=drivesdk</t>
  </si>
  <si>
    <t xml:space="preserve"> Purpose: For the Graduation S.Y. 2019-2020							</t>
  </si>
  <si>
    <t xml:space="preserve"> https://drive.google.com/file/d/1YctlKqliOhW_8e6MwyUbqoN1y7rOovs0/view?usp=drivesdk</t>
  </si>
  <si>
    <t xml:space="preserve"> https://drive.google.com/file/d/1gnWtNauqhgZ9dlm786PaWyepzy_OSVVP/view?usp=drivesdk</t>
  </si>
  <si>
    <t xml:space="preserve"> https://drive.google.com/file/d/1VL2PvzzGcW7Z0X-avdRVosYWfJg_VMNn/view?usp=drivesdk</t>
  </si>
  <si>
    <t xml:space="preserve"> Bidding Documents may be secured from the BAC Secretariat, Office of the Municipal Treasurer – Supply Section upon payment to the MTO Cashier of a non-refundable amount of ₱ 1,000.00. </t>
  </si>
  <si>
    <t xml:space="preserve"> The Bid documents shall be available at the Bids and Awards Committee Office, LGU-Tigbauan, </t>
  </si>
  <si>
    <t xml:space="preserve"> BIDDERS ARE REQUIRED TO SUBMIT LETTER OF INTENT TO BAC SECRETARIAT UPON PURCHASE OF BID DOCUMENTS.</t>
  </si>
  <si>
    <t xml:space="preserve"> https://drive.google.com/file/d/1QfowKbetXFe9Nuhb32Tk-n_Yv2oMgcYt/view?usp=drivesdk</t>
  </si>
  <si>
    <t xml:space="preserve"> https://drive.google.com/file/d/1_0e8zCvTibFecjqGdtw2SJ7lU0CR6cgY/view?usp=drivesdk</t>
  </si>
  <si>
    <t xml:space="preserve"> https://drive.google.com/file/d/1H4hLnYZh5KUFKTXWD4VU7K0MY0NqVyw_/view?usp=drivesdk</t>
  </si>
  <si>
    <t xml:space="preserve"> https://drive.google.com/file/d/1HTya46nw7KSxIaN5ySWnK9058rViMUKP/view?usp=drivesdk</t>
  </si>
  <si>
    <t xml:space="preserve"> https://drive.google.com/file/d/1fdbmIt5_K9PQfH1SEgq-9B7xBI9Z78YC/view?usp=drivesdk</t>
  </si>
  <si>
    <t xml:space="preserve"> https://drive.google.com/file/d/1RAh0RPwHKwhIOtpyQr-3_jvmILkO6cp0/view?usp=drivesdk</t>
  </si>
  <si>
    <t xml:space="preserve"> https://drive.google.com/file/d/13sFvC4znEQH2PRwM890GyorClrfrqiD1/view?usp=drivesdk</t>
  </si>
  <si>
    <t xml:space="preserve"> This project was post already and was repost due to changes on the program of works.</t>
  </si>
  <si>
    <t xml:space="preserve"> https://drive.google.com/file/d/1NKaOkBfgfFExHKqMOcDTNkyT14NBXpFf/view?usp=drivesdk</t>
  </si>
  <si>
    <t xml:space="preserve"> https://drive.google.com/file/d/1yye37HbbRwECdDc1NfVbaCD6tUxY3rQ4/view?usp=drivesdk</t>
  </si>
  <si>
    <t xml:space="preserve"> https://drive.google.com/file/d/1_twp0Xf5d_LbAnOH6F0EB7OeQBE8OrLT/view?usp=drivesdk</t>
  </si>
  <si>
    <t xml:space="preserve"> https://drive.google.com/file/d/1MofJagNSYZ3UTJ6s3lx25jDA9tDybINs/view?usp=drivesdk</t>
  </si>
  <si>
    <t xml:space="preserve"> https://drive.google.com/file/d/1feuGTdsY3Ugw_QR0cOIxhVg3vyM9ghKK/view?usp=drivesdk</t>
  </si>
  <si>
    <t xml:space="preserve"> https://drive.google.com/file/d/1LOmFKcNv7nfNnfa-C9FwOnQqAEfY2Efl/view?usp=drivesdk</t>
  </si>
  <si>
    <t xml:space="preserve"> Pre- Bid : June 9,2020 - 10:00am</t>
  </si>
  <si>
    <t xml:space="preserve"> - other information may be discussed during pre-bid conference..</t>
  </si>
  <si>
    <t xml:space="preserve"> Please Download the Associated Components.</t>
  </si>
  <si>
    <t xml:space="preserve"> https://drive.google.com/file/d/1xw9E9qQYN4uAtACQJwIIYv1wm0B4lyKS/view?usp=drivesdk</t>
  </si>
  <si>
    <t xml:space="preserve"> Bid Documents must be secured from the BAC Secretariat, Leyte SMED Center, Provincial Capitol Grounds, Tacloban City</t>
  </si>
  <si>
    <t xml:space="preserve"> For more details you may call/visit BAC Secretariat @  LGU POLANCO, Polanco, Z. N.</t>
  </si>
  <si>
    <t xml:space="preserve"> - other information may be discussed during pre-bid conference.</t>
  </si>
  <si>
    <t xml:space="preserve"> For further information please see attached bidding document or contact BAC Secretariat.</t>
  </si>
  <si>
    <t xml:space="preserve"> The complete schedule of activities is listed as follows:</t>
  </si>
  <si>
    <t xml:space="preserve"> NOTE: Please copy the link below and paste to the web browser for the attached set of Bidding Documents.</t>
  </si>
  <si>
    <t xml:space="preserve"> https://drive.google.com/file/d/1dVPG--C_BkBaJjmxT4ZhVYTCAHHQDrbM/view?usp=drivesdk</t>
  </si>
  <si>
    <t xml:space="preserve"> Note:</t>
  </si>
  <si>
    <t xml:space="preserve"> Bidders must download the attached document in the component section.</t>
  </si>
  <si>
    <t xml:space="preserve"> DESCRIPTION - ROAD CONCRETING</t>
  </si>
  <si>
    <t xml:space="preserve"> For inquiries, please contact Mr. Geomar R. Ogoy, Procurement at tel no. 8293-3683.</t>
  </si>
  <si>
    <t xml:space="preserve"> A complete set of Bidding Documents may be acquired by interested bidders on JUNE 3, 2020 to JUNE 23, 2020 from 8:00AM to 5:00PM at the Office of the Bids and Awards Committee, 3rd Floor, Provincial Capitol, Bontoc, Mountain Province upon payment of the applicable fee for the Bidding Documents, pursuant to the latest Guidelines issued by the GPPB, in the amount of One Thousand Pesos Only (Php1,000.00) at the Cashier’s Office, Provincial Capitol, Bontoc, Mountain Province.</t>
  </si>
  <si>
    <t xml:space="preserve"> for queries, you may email MS. KIM STO. TOMAS  at kimjoyangeles@yahoo.com</t>
  </si>
  <si>
    <t xml:space="preserve"> Cost of Bid Docs: Php 50,000.00</t>
  </si>
  <si>
    <t xml:space="preserve"> A complete set of Bidding Documents may be acquired by interested bidders on JUNE 3, 2020 to JUNE 23, 2020 from 8:00AM to 5:00PM at the Office of the Bids and Awards Committee, 3rd Floor, Provincial Capitol, Bontoc, Mountain Province upon payment of the applicable fee for the Bidding Documents, pursuant to the latest Guidelines issued by the GPPB, in the amount of Five Thousand Pesos Only (Php5,000.00) at the Cashier’s Office, Provincial Capitol, Bontoc, Mountain Province.</t>
  </si>
  <si>
    <t xml:space="preserve"> The BAC is conducting the public bidding for this Contract in accordance with RA 9184 and its Implementing Rules and Regulations (IRR).</t>
  </si>
  <si>
    <t xml:space="preserve"> SALE/ISSUANCE OF BIDDING DOCUMENTS FROM JUNE 3, 2020-JUNE 18, 2020 UNTIL 5PM</t>
  </si>
  <si>
    <t xml:space="preserve"> PLEASE DOWNLOAD INVITATION TO BID</t>
  </si>
  <si>
    <t xml:space="preserve"> 1			FACILITIES FOR THE ENGINEERS:</t>
  </si>
  <si>
    <t xml:space="preserve"> 1	70	box	Amlodipine 10mg/tab 100's 	</t>
  </si>
  <si>
    <t xml:space="preserve"> 1. Issuance of Bidding Documents- June 3, 2020 - June 22, 2020</t>
  </si>
  <si>
    <t xml:space="preserve"> LOT I – DISTRIBUTION TRANSFORMER</t>
  </si>
  <si>
    <t xml:space="preserve"> https://drive.google.com/file/d/1ARYtNquux_DYRuQ8QnpNcVQeEgbGK7_M/view?usp=drivesdk</t>
  </si>
  <si>
    <t xml:space="preserve"> https://drive.google.com/file/d/1Yy4XLObl2KJJV-qKReUHOW7HVZPLzZPq/view?usp=drivesdk</t>
  </si>
  <si>
    <t xml:space="preserve"> https://drive.google.com/file/d/1PYq9pYfrYebDM3vOOvUSscJDUQT1dxjF/view?usp=drivesdk</t>
  </si>
  <si>
    <t xml:space="preserve"> https://drive.google.com/file/d/1t-of3J9KeiS2x2z4DoPLWKcWOA0NeD4f/view?usp=drivesdk</t>
  </si>
  <si>
    <t xml:space="preserve"> https://drive.google.com/file/d/1pwd3ZxU6BbnYo7DE-xDWJeJW-lZN8oyw/view?usp=drivesdk</t>
  </si>
  <si>
    <t xml:space="preserve"> Schedule of Bidding Activities: </t>
  </si>
  <si>
    <t xml:space="preserve"> A complete set of Bidding Documents will be provided by PNBAC Secretariat to the interested Bidders upon payment of a non-refundable fee in the amount of FIFTY THOUSAND PESOS (P50,000.00) only at CRB, CPMU, Philippine Navy Finance Center (PNFC), Naval Station Jose Francisco, Fort Bonifacio, Taguig City.</t>
  </si>
  <si>
    <t xml:space="preserve"> https://drive.google.com/file/d/1IVHZrNqgbGiWBxAjbDZ18m1Ffx9GynfC/view?usp=sharing</t>
  </si>
  <si>
    <t xml:space="preserve"> https://drive.google.com/file/d/1n-kSkToFYU4f7620bUtyA5Oq0n7vSQgn/view?usp=sharing</t>
  </si>
  <si>
    <t xml:space="preserve"> Make:Elf</t>
  </si>
  <si>
    <t xml:space="preserve"> 4.4C Mini Dumptruck (4cbm)</t>
  </si>
  <si>
    <t xml:space="preserve"> Pre-Bid Conference - June 10, 2020 @ 2:00 PM</t>
  </si>
  <si>
    <t xml:space="preserve"> ALL INTERESTED BIDDERS ARE REQUIRED TO SUBMIT THEIR COMPLETE ELIGIBILITY REQUIREMENTS TO THE BAC FOR EVALUATION DURING THE PRE-BID CONFERENCE ON JUNE 9, 2020 8:00A.M. AT THE BAC SECRETARIAT OFFICE, 2ND FLOOR, CITY HALL OF DASMARIÑAS, CAVITE. BIDDERS WHO SHALL FAIL TO ATTEND THE PRE-BID SHALL NOT BE ALLOWED TO JOIN THE BIDDING FOR THE AFORESAID PROJECT. </t>
  </si>
  <si>
    <t xml:space="preserve"> Submit all bid documents personally to the BAC Secretariat at the Municipal Engineering Office, Municipal Building, Cervantes, Ilocos Sur.</t>
  </si>
  <si>
    <t xml:space="preserve"> the contract duration and other matters related to this project will be taken up during the Pre-Bid Conference which </t>
  </si>
  <si>
    <t xml:space="preserve"> FOR MORE INFORMATION AND CLARIFICATION, PLEASE CONTACT BAC SECRETARIAT OF BRGY. CAMITOC COUNCIL LOCATED AT BRGY. CAMITOC HALL, BRGY. CAMITOC, DULAG LEYTE FROM MONDAY TO FRIDAY (8:00 A.M. TO 5:00 P.M.)</t>
  </si>
  <si>
    <t xml:space="preserve"> ALL BIDDERS MUST BE PRESENT DURING THE PRE-BID CONFERENCE</t>
  </si>
  <si>
    <t xml:space="preserve"> Issuance of bid documents - June 2-22, 2020</t>
  </si>
  <si>
    <t xml:space="preserve"> Cost of Bid Documents: Php5,000.00</t>
  </si>
  <si>
    <t xml:space="preserve"> https://drive.google.com/file/d/1CI_JTmpQHyvE2Nx3E91CPVElE7pA4hrr/view?usp=drivesdk</t>
  </si>
  <si>
    <t xml:space="preserve"> All interested bidders must purchase bid document at Municipal Treasury Office together with the letter of intent before going to the BAC Office, 3rd floor, Municipal Bldg. Abatan, Buguias, Benguet from June 9, 2020 starting 2:00 PM - 4:00 PM.</t>
  </si>
  <si>
    <t xml:space="preserve"> https://drive.google.com/file/d/1ghusHQ_gi0E7pvv8uEgaM6kHZhCecLFh/view?usp=drivesdk</t>
  </si>
  <si>
    <t xml:space="preserve"> https://drive.google.com/file/d/1w9a8VcnptlPW1HjNql6BZnenasXJ7IaD/view?usp=drivesdk</t>
  </si>
  <si>
    <t xml:space="preserve"> You may also download Invitation to Bid and BOQ at the DPWH Website.</t>
  </si>
  <si>
    <t xml:space="preserve"> 1. Pre-Bid Conference: June 10, 2020, 2:00PM at the Municipal Conference Hall, Galimuyod, Ilocos Sur.</t>
  </si>
  <si>
    <t xml:space="preserve"> WATERCRAFTS</t>
  </si>
  <si>
    <t xml:space="preserve"> A complete set of Bidding Documents may be acquired by interested bidders on JUNE 2, 2020 to JUNE 23, 2020 from 8:00AM to 5:00PM at the Office of the Bids and Awards Committee, 3rd Floor, Provincial Capitol, Bontoc, Mountain Province upon payment of the applicable fee for the Bidding Documents, pursuant to the latest Guidelines issued by the GPPB, in the amount of Five Thousand Pesos Only (Php5,000.00) at the Cashier’s Office, Provincial Capitol, Bontoc, Mountain Province.</t>
  </si>
  <si>
    <t xml:space="preserve"> BID OPENING - JUNE 16, 2020 - 10:00AM AT LUMBANG BARANGAY HALL</t>
  </si>
  <si>
    <t xml:space="preserve"> 1. Pre-Bid Conference: June 10, 2020, 2:00PM at the Municipal Conference Hall, Galimuyod, Ilocos Sur</t>
  </si>
  <si>
    <t xml:space="preserve"> Motor Vehicle</t>
  </si>
  <si>
    <t xml:space="preserve"> Cost of Bid Documents: Php10,000.00</t>
  </si>
  <si>
    <t xml:space="preserve"> https://drive.google.com/file/d/1h_HRLZipij6GJJrY0wDAZw7puRi9On3K/view?usp=sharing</t>
  </si>
  <si>
    <t xml:space="preserve"> MOTOR VEHICLE</t>
  </si>
  <si>
    <t xml:space="preserve"> Please see attached ITB and Bid Documents</t>
  </si>
  <si>
    <t xml:space="preserve"> https://drive.google.com/file/d/185efU_WtGSuYRAgKDJLpbOIydfbvuy9a/view?usp=sharing</t>
  </si>
  <si>
    <t xml:space="preserve"> See Municipal Engineer's Office for details</t>
  </si>
  <si>
    <t xml:space="preserve"> Vehicle Specifications: Engine - YN38CRDI, High Pressure Common Rail, Euro 4, Emmission 130Hp, Gear Box 10H46, 5 Forward and 1 reverse, Tire 7.00R16LT-12PRX &amp; Rear Axle with Double Ties, Load Capacity 7 cubic.</t>
  </si>
  <si>
    <t xml:space="preserve"> Pls. see Municipal Engineer's Office for details.</t>
  </si>
  <si>
    <t xml:space="preserve"> 1. Pre-Bid Conference: January 10, 2020, 2:00PM at the Municipal Conference Hall, Galimuyod, Ilocos Sur</t>
  </si>
  <si>
    <t xml:space="preserve"> Refer the Deluxe Package on the Purchase Request.</t>
  </si>
  <si>
    <t xml:space="preserve"> BIDDER MUST BE DOWNLOAD THE ATTACHED DOCUMENT IN THE ASSOCIATED COMPONENT</t>
  </si>
  <si>
    <t xml:space="preserve"> &gt; 1 Unit BRAND NEW 4x2 SUV VEHICLE</t>
  </si>
  <si>
    <t xml:space="preserve"> 1. Issuance of Bidding Documents	:	June 02, 2020 to June 22, 2020</t>
  </si>
  <si>
    <t xml:space="preserve"> &gt; 1 Unit BRAND NEW 4x4 SUV VEHICLE</t>
  </si>
  <si>
    <t xml:space="preserve"> Delivery Point: Plantsite / JOLO DPP, Sulu Province</t>
  </si>
  <si>
    <t xml:space="preserve"> BID DOCS: https://drive.google.com/file/d/1476Nuu3FLMgbnQhkCw4q9im_ZkWtT7sq/view?usp=drivesdk</t>
  </si>
  <si>
    <t xml:space="preserve"> Pre bid:  June 08, 2020 2:00 P.M.</t>
  </si>
  <si>
    <t xml:space="preserve"> https://drive.google.com/file/d/1kQEmBnc23z4A7vIzxefI4Y2xq1WSE9f_/view?usp=drivesdk</t>
  </si>
  <si>
    <t xml:space="preserve"> For more information kindly contact: </t>
  </si>
  <si>
    <t xml:space="preserve"> Delivery Point: Plantsite / Sitangkai DPP, Tawi-Tawi</t>
  </si>
  <si>
    <t xml:space="preserve"> Bidders must be pre-qualified.</t>
  </si>
  <si>
    <t xml:space="preserve"> 1.	Request for Expression of Interest	:	June 02, 2020 to June 08, 2020</t>
  </si>
  <si>
    <t xml:space="preserve"> https://drive.google.com/file/d/1KnwiKo9JkHRbOW6LXTvG5YmEBxoEcTN-/view?usp=drivesdk</t>
  </si>
  <si>
    <t xml:space="preserve"> https://drive.google.com/file/d/1XNPNdZzc085usA9J34xI4mjPQAb70L2S/view?usp=drivesdk</t>
  </si>
  <si>
    <t xml:space="preserve"> The Schedule of activities is listed, as follows;</t>
  </si>
  <si>
    <t xml:space="preserve"> For inquiries, please contact Mr. Geomar R. Ogoy, Procurement, GSD at tel no. 8293-3683.</t>
  </si>
  <si>
    <t xml:space="preserve"> for queries, you may email Ms. Anj Emeterio at mqemeterio@gmail.com</t>
  </si>
  <si>
    <t xml:space="preserve"> Please be informed that the Bid Documents can't be downloaded from the website. Interested bidders are requested to acquire the documents directly and personally from the Mayor's Office upon payment of a corresponding fee of Php5,000.00 for the said project at the Municipal Treasury Office.</t>
  </si>
  <si>
    <t xml:space="preserve"> for queries, you may contact MS. LUBELLE LUMABAS AT TEL NO. 84057233 TO 34</t>
  </si>
  <si>
    <t xml:space="preserve"> 1.	https://drive.google.com/file/d/1CVvbXVyFuTdtgoqTmaBDDAPq-Z1Bb-Zi/view?usp=drivesdk</t>
  </si>
  <si>
    <t xml:space="preserve"> 2.	https://drive.google.com/file/d/1ZkHq7aMo60zcjHpeix0M0pTKJ-gANUv0/view?usp=drivesdk</t>
  </si>
  <si>
    <t xml:space="preserve"> 2. The National Irrigation Administration (NIA), Regional Irrigation Office No.7 now invites bids for Supply and Installation of Solar Pump and Panels. Completion of the Works is required 180 calendar days. Bidders should have completed a contract similar to the project. The description of an eligible bidder is contained in the Bidding Documents, particularly, in Section II. Instruction to Bidders.</t>
  </si>
  <si>
    <t xml:space="preserve"> 2. The National Irrigation Administration (NIA), Regional Irrigation Office No.7 now invites bids for Supply and Installation of Solar Power Inverter. Completion of the Works is required 90 calendar days. Bidders should have completed a contract similar to the project. The description of an eligible bidder is contained in the Bidding Documents, particularly, in Section II. Instruction to Bidders.</t>
  </si>
  <si>
    <t xml:space="preserve"> Links to download the bid document and other attachments:</t>
  </si>
  <si>
    <t xml:space="preserve"> Interested bidders may obtain further information and inspect the Bidding Documents during office hours at 8:00 AM to 5:00 PM on June 2 to 21, 2020 from the RBAC Secretariat, c/o Miriam D. Mapatac, Philippine Statistics Authority – Regional Statistical Services Office XIII, Freeman Building, J. C. Aquino Avenue, Butuan City with telephone numbers (085) 225-5219 or (085) 815-2878</t>
  </si>
  <si>
    <t xml:space="preserve"> Please download bid documents at:</t>
  </si>
  <si>
    <t xml:space="preserve"> Bidders/supplier must download the attached documents in the associated component</t>
  </si>
  <si>
    <t xml:space="preserve"> See attached files</t>
  </si>
  <si>
    <t xml:space="preserve"> COST OF BIDDING DOCUMENT (NON-REFUNDABLE) PhP5,000.00</t>
  </si>
  <si>
    <t xml:space="preserve"> Attached Documents:</t>
  </si>
  <si>
    <t xml:space="preserve"> 2ND POSTING</t>
  </si>
  <si>
    <t xml:space="preserve"> 2nd POSTING</t>
  </si>
  <si>
    <t xml:space="preserve"> Bidding Documents link &gt; https://drive.google.com/file/d/1ybvu5Flgfy4IJjusGwUKKtk07XJC7Dfh/view?usp=drivesdk</t>
  </si>
  <si>
    <t xml:space="preserve"> -other information may be discussed during pre-bid conference.</t>
  </si>
  <si>
    <t xml:space="preserve"> Note: If you are interested bidders to attend the Public Bidding. Please bring any proof that you are safe of COVID-19  Pandemic.</t>
  </si>
  <si>
    <t xml:space="preserve"> 1. Pre-bid Conference	- June 9, 2020 @ 10:00AM at ASSCAT Conference Room</t>
  </si>
  <si>
    <t xml:space="preserve"> https://drive.google.com/file/d/1r6NptYcOy0VM-xPMr424UCNOFNNsXf6Z/view?usp=drivesdk</t>
  </si>
  <si>
    <t xml:space="preserve"> https://drive.google.com/file/d/1-jw4GvgN1dgOkMvPayfvCazq9JgADgjt/view?usp=drivesdk</t>
  </si>
  <si>
    <t xml:space="preserve"> https://drive.google.com/file/d/1k5fIlF3XjU0gP9xi6HLlATMmL6guCCwq/view?usp=drivesdk</t>
  </si>
  <si>
    <t xml:space="preserve"> Pre-bid Conference: June 9, 2020, 9:00 a.m.</t>
  </si>
  <si>
    <t xml:space="preserve"> https://drive.google.com/file/d/1TJj2dkdocaXCxotE5rG-G-n84n335Jv6/view?usp=drivesdk</t>
  </si>
  <si>
    <t xml:space="preserve"> Prebid: June 9, 2020, 9:00 a.m.</t>
  </si>
  <si>
    <t xml:space="preserve"> Pre-bid Co nference: June 09, 2020 at 9:00 a.m.</t>
  </si>
  <si>
    <t xml:space="preserve"> Advertisement - June 1, 2020 </t>
  </si>
  <si>
    <t xml:space="preserve"> 1. Pre-bid Conference	- June 9, 2020 @ 2:00PM at ASSCAT Conference Room</t>
  </si>
  <si>
    <t xml:space="preserve"> https://drive.google.com/file/d/1_GSXIuH_GUGQ4kAjN86pcjEOq734dxHs/view?usp=drivesdk</t>
  </si>
  <si>
    <t xml:space="preserve"> Advertisement - June 1, 2020</t>
  </si>
  <si>
    <t xml:space="preserve"> THE DESCRIPTION:</t>
  </si>
  <si>
    <t xml:space="preserve"> A complete set of Bidding Documents may be purchased by interested Bidders frim June 01 –June 23, 2020 from below and upon payment of a nonrefundable fee for the Bidding Documents in the amount of One Thousand Pesos </t>
  </si>
  <si>
    <t xml:space="preserve"> Please see attached Specifications</t>
  </si>
  <si>
    <t xml:space="preserve"> PRE-BID CONFERENCE: JUNE 9, 2020 at 9:00 A.M.</t>
  </si>
  <si>
    <t xml:space="preserve"> Pre-bid coferece is not required for ABC is below 1M.</t>
  </si>
  <si>
    <t xml:space="preserve"> Pre-bid conference is not required for ABC is below 1M.</t>
  </si>
  <si>
    <t xml:space="preserve"> See attached associated component for the schedule of BAC activities.</t>
  </si>
  <si>
    <t xml:space="preserve"> Bidders are required to submit Letter of Intent to the BAC Secretariat upon purchase of Bid Documents.</t>
  </si>
  <si>
    <t xml:space="preserve"> PLEASE CHECK SIMILAR INFORMATION IN THE PROCURING ENTITY'S WEBSITE</t>
  </si>
  <si>
    <t xml:space="preserve"> https://drive.google.com/file/d/1njOBAlSxoG0gpt9z2_VaMVEkscs-cgZH/view?usp=drivesdk</t>
  </si>
  <si>
    <t xml:space="preserve"> Pre-bid conference is not requird for ABC is below 1M</t>
  </si>
  <si>
    <t xml:space="preserve"> Please check similar information posted in the procuring entity's website</t>
  </si>
  <si>
    <t xml:space="preserve"> https://drive.google.com/file/d/1aQ8AnF9PNuISLuYwu71kGpw8MqydOOs_/view?usp=drivesdk</t>
  </si>
  <si>
    <t xml:space="preserve"> Interested bidders must download electronic copy of bidding documents and plans attached in the associated component section</t>
  </si>
  <si>
    <t xml:space="preserve"> The BAC will use NON-DISCRETIONARY PASS/FAIL CRITERIA in the Eligibility Check/Screening as well as the Preliminary Examination of Bids.  The BAC will conduct post-qualification of the lowest calculated bid.</t>
  </si>
  <si>
    <t xml:space="preserve"> associated components</t>
  </si>
  <si>
    <t xml:space="preserve"> FOR MORE INFO AND CLARIFICATION, PLEASE SEE FOR BAC SECRETARIAT OF BRGY. BATUG COUNCIL AT BRGY. BATUG HALL, BRGY. BATUG, DULAG LEYTE FROM MONDAY TO FRIDAY (8:00 A.M. TO 5:00 P.M.)</t>
  </si>
  <si>
    <t xml:space="preserve"> FOR MORE INFO AND CLARIFICATION, PLEASE SEE BAC SECRETARIAT OF BRGY. BATUG COUNCIL AT BRGY. BATUG HALL, BRGY. BATUG, DULAG LEYTE FROM MONDAY TO FRIDAY (8:00 A.M. TO 5:00 P.M.)</t>
  </si>
  <si>
    <t xml:space="preserve"> https://drive.google.com/file/d/1uxFcx00ppNPrzBDCPO-S61KoW58lRsrq/view?usp=drivesdk</t>
  </si>
  <si>
    <t xml:space="preserve"> https://drive.google.com/file/d/1ebdyk3fqgExN9P0k44TEWTDBB2SNFe0v/view?usp=drivesdk</t>
  </si>
  <si>
    <t xml:space="preserve"> https://drive.google.com/file/d/1KrUeOTUw-n9iu2VNM3jqOhS4PD1G84d-/view?usp=drivesdk</t>
  </si>
  <si>
    <t xml:space="preserve"> https://drive.google.com/file/d/1jM2Ci1rMV6yeD9qP5-CQskmULtGI5kfv/view?usp=drivesdk</t>
  </si>
  <si>
    <t xml:space="preserve"> https://drive.google.com/file/d/1SIMReyfhzL6i1Sd4vEDSm8pNXP-D74iA/view?usp=drivesdk</t>
  </si>
  <si>
    <t xml:space="preserve"> https://drive.google.com/file/d/1l2QQVUe_adLkgZdV3l-0H_GAxQD5VwX-/view?usp=drivesdk</t>
  </si>
  <si>
    <t xml:space="preserve"> https://drive.google.com/file/d/16i1rufSeNBbnILmyUtg-OKMcYR32vo8b/view?usp=drivesdk</t>
  </si>
  <si>
    <t xml:space="preserve"> https://drive.google.com/file/d/14fhN7bROkejkqMsGlux0TbCl37IjwTvx/view?usp=drivesdk</t>
  </si>
  <si>
    <t xml:space="preserve"> https://drive.google.com/file/d/1qoID1Ol6uQeTWHItEP0gSNzSSAcTb33v/view?usp=drivesdk</t>
  </si>
  <si>
    <t xml:space="preserve"> https://drive.google.com/file/d/191WqVCihFjvKIlBuvahL9dx9jw_ZBEVL/view?usp=drivesdk</t>
  </si>
  <si>
    <t xml:space="preserve"> https://drive.google.com/file/d/1ENmvcZ-2_rtJylLv0gCjZTYNYVzo2rpC/view?usp=drivesdk</t>
  </si>
  <si>
    <t xml:space="preserve"> https://drive.google.com/file/d/1NqoOddpb1AzcebMw42GBUeGhIQJbPU1-/view?usp=drivesdk</t>
  </si>
  <si>
    <t xml:space="preserve"> https://drive.google.com/file/d/1KM-HpIW8a0X69V-hVGPR-ZuQ_29HwcjB/view?usp=drivesdk</t>
  </si>
  <si>
    <t xml:space="preserve"> https://drive.google.com/file/d/1UY4ecCAlWRLbXHylEZV2y428MbvoabIX/view?usp=drivesdk</t>
  </si>
  <si>
    <t xml:space="preserve"> https://drive.google.com/file/d/19keaWuDucCilwQQD0tll5Sp0DSgXCNAa/view?usp=drivesdk</t>
  </si>
  <si>
    <t xml:space="preserve"> Details and other information will be discuss during Pre-bid conference.</t>
  </si>
  <si>
    <t xml:space="preserve"> FOR FURTHER INFORMATION PLEASE INQUIRE AT MAGR OFFICE.</t>
  </si>
  <si>
    <t xml:space="preserve"> https://drive.google.com/file/d/1k-BI_WdADYxjlD-ulc1tOve6-LDb3_gs/view?usp=drivesdk</t>
  </si>
  <si>
    <t xml:space="preserve"> ELIGIBILITY CHECK REQUIREMENTS FOR THE PROCUREMENT OF GOODS</t>
  </si>
  <si>
    <t xml:space="preserve"> bidding date on June 19,2020 at Brgy. Tarug ,Brgy. Hall, Alimodian Iloilo at 10:00 am.</t>
  </si>
  <si>
    <t xml:space="preserve"> https://drive.google.com/file/d/1yv08Y0afQ3gao3rfZb_1-lfket45U-Av/view?usp=drivesdk</t>
  </si>
  <si>
    <t xml:space="preserve"> ELIGIBILITY REQUIREMENTS:</t>
  </si>
  <si>
    <t xml:space="preserve"> https://drive.google.com/file/d/14nucJ2CGBrDB_UNcDrMQBK2q3MkH-aoS/view?usp=drivesdk</t>
  </si>
  <si>
    <t xml:space="preserve"> https://drive.google.com/file/d/1TrX6Clag_G5Dck6OeZai6W9iGgXU9j-3/view?usp=drivesdk</t>
  </si>
  <si>
    <t xml:space="preserve"> https://drive.google.com/file/d/19MRHOCfSnGaFi3qnEBhoUbfQQN51-gPZ/view?usp=drivesdk</t>
  </si>
  <si>
    <t xml:space="preserve"> https://drive.google.com/file/d/1nsb53RqrF8-6qrui6vqcZz8SLSBor87v/view?usp=drivesdk</t>
  </si>
  <si>
    <t xml:space="preserve"> SCHEDULE OF ACTIVITIES:</t>
  </si>
  <si>
    <t xml:space="preserve"> For more information please email procurement@ppp.gov.ph</t>
  </si>
  <si>
    <t xml:space="preserve"> Bid document can also be viewed/downloaded from DSWD Caraga website.</t>
  </si>
  <si>
    <t xml:space="preserve"> Specification:</t>
  </si>
  <si>
    <t xml:space="preserve"> https://drive.google.com/file/d/14EPVCwRcFpm5HhXvaGj3VykNGcWvWfPC/view?usp=drivesdk</t>
  </si>
  <si>
    <t xml:space="preserve"> https://drive.google.com/file/d/1W7Bs-y_Z82h6lEdsEMXfhPe4GAxVuWwJ/view?usp=drivesdk</t>
  </si>
  <si>
    <t xml:space="preserve"> https://drive.google.com/file/d/1X2um6fmuw7z2PydnC4QOLzkU8RAUiAXZ/view?usp=drivesdk</t>
  </si>
  <si>
    <t xml:space="preserve"> https://drive.google.com/file/d/1SiqY6aDPcWZ2O5uqojmDgRE5GppqWyne/view?usp=drivesdk</t>
  </si>
  <si>
    <t xml:space="preserve"> https://drive.google.com/file/d/1VgUmqoSeFfXYH00IKev6HxhyFb5YVmFa/view?usp=drivesdk</t>
  </si>
  <si>
    <t xml:space="preserve"> https://drive.google.com/file/d/1kEPyg_6Zr7UF2avs4C0hUJyCLEapOKGf/view?usp=drivesdk</t>
  </si>
  <si>
    <t xml:space="preserve"> June 1, 2020 - Issuance of Bidding Documents</t>
  </si>
  <si>
    <t xml:space="preserve"> https://drive.google.com/file/d/1EuU6tyueUBTFwQlFvlbm09YiaYMmHn3Z/view?usp=drivesdk</t>
  </si>
  <si>
    <t xml:space="preserve"> https://drive.google.com/file/d/1UB6_2CnFBtFBdHhSPHSCnv0qs3ig_DVJ/view?usp=drivesdk PLAN 20CN0141</t>
  </si>
  <si>
    <t xml:space="preserve"> Bidding Documents may be purchased by the Interested Bidders on June 3-4, 2020 from 8:00 A.M to 5:00 P.M. and upon payment of non - refundable fee of Two Thousand Pesos (Php 2,000.00).</t>
  </si>
  <si>
    <t xml:space="preserve"> NOTE:</t>
  </si>
  <si>
    <t xml:space="preserve"> Invitation To Bid is available in dpwh website</t>
  </si>
  <si>
    <t xml:space="preserve"> Bidding Documents may be purchased by the Interested Bidders on June 3-4, 2020 from 8:00 A.M to 5:00 P.M. and upon payment of non - refundable fee of One Thousand Pesos (Php 1,000.00).</t>
  </si>
  <si>
    <t xml:space="preserve"> Invitation to Bid is available in dpwh website.</t>
  </si>
  <si>
    <t xml:space="preserve"> Invitation to Bid is available in dpwh website</t>
  </si>
  <si>
    <t xml:space="preserve"> 1.)	19,150	Liters	DIESOLINE</t>
  </si>
  <si>
    <t xml:space="preserve"> Please download bidding documents at the provided link, https://drive.google.com/file/d/1x1Q3Xq8TntWtbAnehKnfNpMI9V9tB5Il/view?usp=drivesdk</t>
  </si>
  <si>
    <t xml:space="preserve"> Please download bidding documents at the provided link, https://drive.google.com/file/d/1AG4pZFter9pn6v7Eid8Y7AmJl0sflTwb/view?usp=drivesdk</t>
  </si>
  <si>
    <t xml:space="preserve"> Please download bidding documents at the provided link, https://drive.google.com/file/d/1iJ0wpUJiCYi219A-FhME3Dm-017wch2G/view?usp=drivesdk</t>
  </si>
  <si>
    <t xml:space="preserve"> Please download bidding documents at the provided link, https://drive.google.com/file/d/1ApDhevMPSGPGbSIdbo-Pxe-t-ps_eBcv/view?usp=drivesdk</t>
  </si>
  <si>
    <t xml:space="preserve"> Please download bidding documents at the provided link, https://drive.google.com/file/d/1YJMyr3GcHK90CEsttoBgIdq9FwbfF8VR/view?usp=drivesdk</t>
  </si>
  <si>
    <t xml:space="preserve"> Please download bidding documents at the provided link, https://drive.google.com/file/d/1Hd6hJhcdrCPGP4Otiu_mQFZo_tt0JA7K/view?usp=drivesdk</t>
  </si>
  <si>
    <t xml:space="preserve"> The Municipal Government of Dauin, Negros Oriental, through GAD, intends to apply the sum listed above being the Approved Budget of the Contract (ABC) to payments for the delivery of goods and materials and the procurements of materials of the above listed projects. Bids received in excess of the ABC shall be automatically rejected at Bid opening.</t>
  </si>
  <si>
    <t xml:space="preserve"> The Municipal Government of Dauin, Negros Oriental, through Supplemental 2 (2019), intends to apply the sum listed above being the Approved Budget of the Contract (ABC) to payments for the delivery of goods and materials and the procurements of materials of the above listed projects. Bids received in excess of the ABC shall be automatically rejected at Bid opening.</t>
  </si>
  <si>
    <t xml:space="preserve"> https://drive.google.com/file/d/12Ez5aYKaVW12QVU4Kv9FCExx2sDap5ZP/view?usp=drivesdk</t>
  </si>
  <si>
    <t xml:space="preserve"> Site of Delivery:</t>
  </si>
  <si>
    <t xml:space="preserve"> Drugs &amp; Medicines: Injectables</t>
  </si>
  <si>
    <t xml:space="preserve"> https://drive.google.com/file/d/1bpESp1DPuIgN0zH6U3SYr9ugYe2UZJGv/view?usp=drivesdk</t>
  </si>
  <si>
    <t xml:space="preserve"> Pay Item No.	Description	Unit	Quantity</t>
  </si>
  <si>
    <t xml:space="preserve"> see attached invitation to bid</t>
  </si>
  <si>
    <t xml:space="preserve"> https://drive.google.com/file/d/18uJKjI88hxfEUokFW8Oeu49ZQrW18OEP/view?usp=drivesdk</t>
  </si>
  <si>
    <t xml:space="preserve"> A complete set of Bidding Documents may be acquired by interested bidders on MAY 29, 2020 to JUNE 23, 2020 from 8:00AM to 5:00PM at the Office of the Bids and Awards Committee, 3rd Floor, Provincial Capitol, Bontoc, Mountain Province upon payment of the applicable fee for the Bidding Documents, pursuant to the latest Guidelines issued by the GPPB, in the amount of Five Thousand Pesos Only (Php5,000.00) at the Cashier’s Office, Provincial Capitol, Bontoc, Mountain Province.</t>
  </si>
  <si>
    <t xml:space="preserve"> https://drive.google.com/file/d/1ha53ZQWkMY9XIeD-PDsLgKPaMSPx_Otu/view?usp=drivesdk</t>
  </si>
  <si>
    <t xml:space="preserve"> BID DOCUMENT IS AVAILABLE AT MENR OFFICE.</t>
  </si>
  <si>
    <t xml:space="preserve"> Please see attached Files @ Other Information</t>
  </si>
  <si>
    <t xml:space="preserve"> Republic of the Philippines DEPARTMENT OF PUBLIC WORKS AND HIGHWAYS PALAWAN 1st</t>
  </si>
  <si>
    <t xml:space="preserve"> BID DOCUMENT IS AVAILABLE AT MENR OFFICE, IMPLEMENTING OFFICE.</t>
  </si>
  <si>
    <t xml:space="preserve"> BID DOCUMENT IS AVAILABLE AT BAC SECRETARIAT, ENGINEERING OFFICE.</t>
  </si>
  <si>
    <t xml:space="preserve"> https://drive.google.com/file/d/1Vz3RCEGD8PzwkOz5bxXwqCudnRM8viyB/view?usp=drivesdk</t>
  </si>
  <si>
    <t xml:space="preserve"> https://drive.google.com/file/d/1TN8Ow1Xl8kyd3kfuWKEcBKUSKwbofMSi/view?usp=drivesdk</t>
  </si>
  <si>
    <t xml:space="preserve"> https://drive.google.com/file/d/1GUCbdAOPipkb0p4oasJm8BTXZyyh7mYo/view?usp=drivesdk</t>
  </si>
  <si>
    <t xml:space="preserve"> https://drive.google.com/file/d/19nH3s04u5yiRs5AQxT3ARy7n9dTKiYks/view?usp=drivesdk</t>
  </si>
  <si>
    <t xml:space="preserve"> https://drive.google.com/file/d/1dzs_u4guiglJRLRsEze_vg0P5KGm4-Ax/view?usp=drivesdk</t>
  </si>
  <si>
    <t xml:space="preserve"> https://drive.google.com/file/d/1nRlSegarXjVOqcdvtrgyDga4nLPhjbaS/view?usp=drivesdk</t>
  </si>
  <si>
    <t xml:space="preserve"> Please see attached E-file for Information</t>
  </si>
  <si>
    <t xml:space="preserve"> https://drive.google.com/file/d/1udbV5AN1o0ieaQ2_QR7P-RFmY4an7tSo/view?usp=drivesdk</t>
  </si>
  <si>
    <t xml:space="preserve"> https://drive.google.com/file/d/1AdEneS4HHKtF0eVIrdcqET5wS9kbPwhZ/view?usp=drivesdk</t>
  </si>
  <si>
    <t xml:space="preserve"> https://drive.google.com/file/d/1KgHRA1CgLn0h8QZo9dFR0kgGgD4506Np/view?usp=drivesdk</t>
  </si>
  <si>
    <t xml:space="preserve"> https://drive.google.com/file/d/1SYYFusJN0Zq8-Q8E_Ig8KRrZ91lGcCdF/view?usp=drivesdk</t>
  </si>
  <si>
    <t xml:space="preserve"> https://drive.google.com/file/d/1T3OrLFHUIQi3EL4Pn-3FFLuXSRW25GGP/view?usp=drivesdk</t>
  </si>
  <si>
    <t xml:space="preserve"> https://drive.google.com/file/d/1JzuDEVFIrswL8eikhsX2Wc8TOJyC0IBN/view?usp=drivesdk</t>
  </si>
  <si>
    <t xml:space="preserve"> https://drive.google.com/file/d/10SQltL3tBpTFdJkmz8cdEPVt5uWdeqYd/view?usp=drivesdk</t>
  </si>
  <si>
    <t xml:space="preserve"> https://drive.google.com/file/d/1ugzoJ7OYobr3nbw0cYc0Vy1bVkeLR_-q/view?usp=drivesdk</t>
  </si>
  <si>
    <t xml:space="preserve"> https://drive.google.com/file/d/1Qj5RR66igkJ5ZQ6CmHz263MBNG7Olrdp/view?usp=drivesdk</t>
  </si>
  <si>
    <t xml:space="preserve"> https://drive.google.com/file/d/1hnQu3lJRREUt1tgy_mk3cvhhp83OGPPI/view?usp=drivesdk</t>
  </si>
  <si>
    <t xml:space="preserve"> https://drive.google.com/file/d/1qb6LKEDmLSqDrosX3AZTK-9gzUDxeUdt/view?usp=drivesdk</t>
  </si>
  <si>
    <t xml:space="preserve"> https://drive.google.com/file/d/1094FOo4PPGF6PD3EPPPO9WbOuoVlFs3g/view?usp=drivesdk</t>
  </si>
  <si>
    <t xml:space="preserve"> Downloadables are available in the Associated Component / Supplemental Page</t>
  </si>
  <si>
    <t xml:space="preserve"> https://drive.google.com/file/d/1KZ2ycW5efDe28R3QzrkiXNtU-BJo2YoW/view?usp=drivesdk</t>
  </si>
  <si>
    <t xml:space="preserve"> Barangay Hall, Barangay Olotan Jaro, Leyte</t>
  </si>
  <si>
    <t xml:space="preserve"> Interested bidders may obtain further information from Bids and Awards Committee Secretariat and inspect the Bidding Documents at the address given below from 9:00am to 5:00pm.</t>
  </si>
  <si>
    <t xml:space="preserve"> Interested bidders may obtain further information from BAC Secretariat, BAC Office, City Hall Compound, Peñaplata, IGaCoS and inspect the Bidding Documents at the address given below from 9:00 AM – 5:00 PM.</t>
  </si>
  <si>
    <t xml:space="preserve"> Republic of the Philippines </t>
  </si>
  <si>
    <t xml:space="preserve"> PRE-BID CONFERENCE WILL BE ON JUNE 4, 2020, 2:00 PM AT MUNICIPAL HALL, SIBULAN, NEGROS ORIENTAL AND OPENING OF BIDS WILL BE ON JUNE 16, 2020, 2:00 PM, THE SAME VENUE</t>
  </si>
  <si>
    <t xml:space="preserve"> Please see Project's plan and specification</t>
  </si>
  <si>
    <t xml:space="preserve"> Please see Project's Plan and specification</t>
  </si>
  <si>
    <t xml:space="preserve"> Please see Project's plan &amp; Specification</t>
  </si>
  <si>
    <t xml:space="preserve"> Bidding Documents can be downloaded at the DPWH Website or can be access at our Office during Office Hours.</t>
  </si>
  <si>
    <t xml:space="preserve"> Pre-Bid Conference - JUNE 5, 2020 at 9:00 A.M.</t>
  </si>
  <si>
    <t xml:space="preserve"> https://drive.google.com/file/d/1EjmV1RV42-FZTMHFnLIcKWFNKanPUQ7Y/view?usp=drivesdk</t>
  </si>
  <si>
    <t xml:space="preserve"> https://drive.google.com/file/d/1b9yuyF4va8fgyPScKC4QTiLXjZ-L0wt5/view?usp=drivesdk</t>
  </si>
  <si>
    <t xml:space="preserve"> Complete Bidding Documents can be downloaded using the link below:</t>
  </si>
  <si>
    <t xml:space="preserve"> https://drive.google.com/file/d/1MgZdpigzcgrpVfR4QTeJmrfGzCliOzZj/view?usp=drivesdk</t>
  </si>
  <si>
    <t xml:space="preserve"> Complete Bidding Documents can be downloaded using the link below</t>
  </si>
  <si>
    <t xml:space="preserve"> Interested bidders may obtain further information from BAC Secretariat, BAC Office, City Hall Compound, Peñaplata, IGaCoS through the Bids and Awards Committee Secretariat and inspect the Bidding Documents at the address given below during office hours.</t>
  </si>
  <si>
    <t xml:space="preserve"> Also available at DPWH website</t>
  </si>
  <si>
    <t xml:space="preserve"> as per invitation to bid</t>
  </si>
  <si>
    <t xml:space="preserve"> https://drive.google.com/file/d/1cq2Z4lAIB0tSdyo9z4qP0QNWO_Cod1ZL/view?usp=drivesdk</t>
  </si>
  <si>
    <t xml:space="preserve"> https://drive.google.com/file/d/1LHKiJ9m9Otls64d-gtCcj7FgKxi2ZNeE/view?usp=drivesdk</t>
  </si>
  <si>
    <t xml:space="preserve"> Availability of Bid Documents: May 28– June 16, 2020; 8:00 AM-5:00 PM; Monday through Friday</t>
  </si>
  <si>
    <t xml:space="preserve"> A complete set of Bidding Documents may be acquired by interested bidders on MAY 28, 2020 to JUNE 16, 2020 from 8:00AM to 5:00PM at the Office of the Bids and Awards Committee, 3rd Floor, Provincial Capitol, Bontoc, Mountain Province upon payment of the applicable fee for the Bidding Documents, pursuant to the latest Guidelines issued by the GPPB, in the amount of Five Thousand Pesos Only (Php5,000.00) at the Cashier’s Office, Provincial Capitol, Bontoc, Mountain Province.</t>
  </si>
  <si>
    <t xml:space="preserve"> https://drive.google.com/file/d/1iJYb87QGX_-js6-TFk6_IdLQhtXF3ksW/view?usp=drivesdk</t>
  </si>
  <si>
    <t xml:space="preserve"> Specifications and Requirements			</t>
  </si>
  <si>
    <t xml:space="preserve"> Funding Source - 20% EDF (Current)</t>
  </si>
  <si>
    <t xml:space="preserve"> https://drive.google.com/file/d/1kh8hQDo_URnU8lEtFRalhUswKMhIKRiY/view?usp=drivesdk</t>
  </si>
  <si>
    <t xml:space="preserve"> https://drive.google.com/file/d/1CRON7dnioUKsmWIYdkPLxKa-ZC8QbMDv/view?usp=drivesdk</t>
  </si>
  <si>
    <t xml:space="preserve"> Please see attached at other information</t>
  </si>
  <si>
    <t xml:space="preserve"> Funding Source - MDRRM Fund</t>
  </si>
  <si>
    <t xml:space="preserve"> OPENING OF BIDS: June 18, 2020</t>
  </si>
  <si>
    <t xml:space="preserve"> Terms of Reference</t>
  </si>
  <si>
    <t xml:space="preserve"> https://drive.google.com/file/d/1O5GEVwPisUb9P5f9LpR1RcMal8gVryVQ/view?usp=drivesdk</t>
  </si>
  <si>
    <t xml:space="preserve"> PLEASE SEE ATTACHED ASSOCIATED COMPONENTS</t>
  </si>
  <si>
    <t xml:space="preserve"> Attached Program of Works</t>
  </si>
  <si>
    <t xml:space="preserve"> 1.)	1802	bd.ft	Coco stake</t>
  </si>
  <si>
    <t xml:space="preserve"> &gt; 61,805 Liters DIESOLINE</t>
  </si>
  <si>
    <t xml:space="preserve"> 1.)	2231	bd.ft.	507- 2"x2"X12' Ceiling Joist (Hard Lumber)</t>
  </si>
  <si>
    <t xml:space="preserve"> 1.)	105	bdft.	Coco Lumber</t>
  </si>
  <si>
    <t xml:space="preserve"> https://drive.google.com/file/d/1m1h2esodP_34w6u21-woQalbAJomkvqk/view?usp=drivesdk</t>
  </si>
  <si>
    <t xml:space="preserve"> &gt; 59,378 Liters DIESOLINE</t>
  </si>
  <si>
    <t xml:space="preserve"> &gt; 94,228 Liters DIESOLINE</t>
  </si>
  <si>
    <t xml:space="preserve"> Prospective bidders should possess a valid PCAB License applicable to the contract, have completed a similar contract with a value of at least 50% of the ABC, and have key personnel and equipment (listed in the Eligibility Forms) available for the prosecution of the contract. The BAC will use non-discretionary pass/fail criteria in the Eligibility Check/Screening as well as the Preliminary Examination of Bids. The BAC will conduct post-qualification of the lowest calculated bid.</t>
  </si>
  <si>
    <t xml:space="preserve"> https://drive.google.com/file/d/1EYY61vVl0kjENBu1f9O-ImDRPNF55CrD/view?usp=drivesdk</t>
  </si>
  <si>
    <t xml:space="preserve"> https://drive.google.com/file/d/1p2YRFmsasLLrpSJ9SaxY44stawk0y-on/view?usp=drivesdk</t>
  </si>
  <si>
    <t xml:space="preserve"> Invitation to Bid</t>
  </si>
  <si>
    <t xml:space="preserve"> https://drive.google.com/file/d/1jiRqN3b0Oyzw3pMEP1B0TlXuXBE2qTBM/view?usp=drivesdk</t>
  </si>
  <si>
    <t xml:space="preserve"> PLEASE CHECK SIMILAR INFORMATION POSTED AT THE WEBSITE OF THE PROCURING ENTITY</t>
  </si>
  <si>
    <t xml:space="preserve"> https://drive.google.com/file/d/1R-6fh_DvWfKUz7S32AigV16jOE1NpG8F/view?usp=drivesdk</t>
  </si>
  <si>
    <t xml:space="preserve"> https://drive.google.com/file/d/1kueJRRikbCVQ4cee61DuXWe70mf60hDO/view?usp=drivesdk</t>
  </si>
  <si>
    <t xml:space="preserve"> Kindly see the specification</t>
  </si>
  <si>
    <t xml:space="preserve"> The National Irrigation Administration (NIA), Regional Irrigation Office No.7, through the Small Irrigation Project 2020 intends to apply the sum of Nine Million Forty-Six Thousand Nine Hundred Seventy-Six Pesos &amp; 00/100 (P 9,046,976.00) being the Approved Budget for Contract (ABC) to payment under contract for CANGABO SIP, La Libertad, Negros Oriental with Contract No. NOSO-LMC-SIP-20-2020. Bids received in excess of the ABC shall be automatically rejected at bid opening.</t>
  </si>
  <si>
    <t xml:space="preserve"> https://drive.google.com/file/d/1ziLjYSbdZL7LISIx3FmdQFcvuAO96J-l/view?usp=drivesdk</t>
  </si>
  <si>
    <t xml:space="preserve"> Click order link of the associated components</t>
  </si>
  <si>
    <t xml:space="preserve"> Interested bidders may obtain further information from Local Government Unit of the Island Garden City of Samal and inspect the Bidding Documents at the address given below during 8:00 A.M. to 5:00 P.M.</t>
  </si>
  <si>
    <t xml:space="preserve"> https://drive.google.com/file/d/1oshvXW06Mhrv1fFCD9nGL9K8q9zBsxHj/view?usp=drivesdk</t>
  </si>
  <si>
    <t xml:space="preserve"> Interested bidders may obtain further information from BAC Secretariat, BAC Office, City Hall Compound, Peñaplata, IGaCoS and inspect the Bidding Documents at the address given below from 8:00 AM - 5:00PM.</t>
  </si>
  <si>
    <t xml:space="preserve"> https://drive.google.com/file/d/1R6FOpCg6cNVUQ_qKpgNs2KX8_G37-TJC/view?usp=drivesdk</t>
  </si>
  <si>
    <t xml:space="preserve"> https://drive.google.com/file/d/16jJweGBAgvaPveXHDJsSq5g1v-61YKBB/view?usp=drivesdk</t>
  </si>
  <si>
    <t xml:space="preserve"> https://drive.google.com/file/d/1E_7FPqhC68QOJALHLduYxp45_a2kZ0qf/view?usp=drivesdk</t>
  </si>
  <si>
    <t xml:space="preserve"> https://drive.google.com/file/d/1WHFrTzsC5RNn9YfvIOBK7bShLNXUrfwf/view?usp=drivesdk</t>
  </si>
  <si>
    <t xml:space="preserve"> https://drive.google.com/file/d/1hqbrjC7FVhw_QaMGvfrHqf4p8uX9C54o/view?usp=drivesdk</t>
  </si>
  <si>
    <t xml:space="preserve"> Item Number	Description	Quantity	Unit</t>
  </si>
  <si>
    <t xml:space="preserve"> https://drive.google.com/file/d/1uvoTcd87hhHkJS4Iaz5EDyirKu2IQM90/view?usp=drivesdk</t>
  </si>
  <si>
    <t xml:space="preserve"> Amount of Bid Documents: Php5,000.00</t>
  </si>
  <si>
    <t xml:space="preserve"> Amount of Bid Documents: Php1,000.00</t>
  </si>
  <si>
    <t xml:space="preserve"> Item Number	Description	Quantity	Unit	Total	Delivered, Weeks/Months</t>
  </si>
  <si>
    <t xml:space="preserve"> https://drive.google.com/file/d/1WX6yjpJsaBC1SmWiB-05kyCeWfCEALCT/view?usp=drivesdk</t>
  </si>
  <si>
    <t xml:space="preserve"> Amount of Bid Documents: Php10,000.00</t>
  </si>
  <si>
    <t xml:space="preserve"> Instruction for Suppliers on how to View/ Download the document:</t>
  </si>
  <si>
    <t xml:space="preserve"> for more information please contact BAC Secretariat</t>
  </si>
  <si>
    <t xml:space="preserve"> 1.) 49140 Liter Diesoline</t>
  </si>
  <si>
    <t xml:space="preserve"> For more information and details, please contact the BAC Secretariat</t>
  </si>
  <si>
    <t xml:space="preserve"> PRE-BID CONFERENCE: JUNE 4, 2020</t>
  </si>
  <si>
    <t xml:space="preserve"> Bid document can also be downloaded/viewed from DSWD Caraga website</t>
  </si>
  <si>
    <t xml:space="preserve"> You can also download the items and specifications at our official website: </t>
  </si>
  <si>
    <t xml:space="preserve"> https://drive.google.com/file/d/1w0OSxL1ylNwS7UJmM7QfeBOJvbf4ZTBB/view?usp=drivesdk</t>
  </si>
  <si>
    <t xml:space="preserve"> You may see the Secretary of the Local Chief Executive, Municipality of Caibiran</t>
  </si>
  <si>
    <t xml:space="preserve"> AS PER INVITATION TO BID</t>
  </si>
  <si>
    <t xml:space="preserve"> Details and other information will be discuss during pre-bid conference.</t>
  </si>
  <si>
    <t xml:space="preserve"> https://drive.google.com/file/d/16gnbb92-bmqJKVe7-N-9Sx5Q7kPyAJhw/view?usp=drivesdk</t>
  </si>
  <si>
    <t xml:space="preserve"> https://tinyurl.com/y9zta38j</t>
  </si>
  <si>
    <t xml:space="preserve"> https://drive.google.com/file/d/1on7sjHC8pSXS1Vdap_S6dOWkifSw47yK/view?usp=drivesdk</t>
  </si>
  <si>
    <t xml:space="preserve"> https://drive.google.com/file/d/1V2XLic2FE25d97kfb6v_b5WnZ8DPpjfH/view?usp=drivesdk</t>
  </si>
  <si>
    <t xml:space="preserve"> https://drive.google.com/file/d/11kP16BZazxADsXY-8EYXcPCjWjFpHSd-/view?usp=drivesdk https://drive.google.com/file/d/1CHhpzCDsFdQOTTfErRVA0N8JV9hEdaOL/view?usp=drivesdk</t>
  </si>
  <si>
    <t xml:space="preserve"> https://drive.google.com/file/d/1o4a3OiqL4Oc13dbiehD4x2iYrJWY1BRh/view?usp=drivesdk</t>
  </si>
  <si>
    <t xml:space="preserve"> Diesel</t>
  </si>
  <si>
    <t xml:space="preserve"> 5 HP Submersible Pump (Deep Well)	1	Unit</t>
  </si>
  <si>
    <t xml:space="preserve"> 36” Chainsaw</t>
  </si>
  <si>
    <t xml:space="preserve"> Service Vehicle (Pick up)</t>
  </si>
  <si>
    <t xml:space="preserve"> Tomatoes sardines – 100 x 155g	265	Cases</t>
  </si>
  <si>
    <t xml:space="preserve"> A complete set of Bidding Documents may be acquired by interested bidders on MAY 26, 2020 to JUNE 16, 2020 from 8:00AM to 5:00PM at the Office of the Bids and Awards Committee, 3rd Floor, Provincial Capitol, Bontoc, Mountain Province upon payment of the applicable fee for the Bidding Documents, pursuant to the latest Guidelines issued by the GPPB, in the amount of Five Thousand Pesos Only (Php5,000.00) at the Cashier’s Office, Provincial Capitol, Bontoc, Mountain Province.</t>
  </si>
  <si>
    <t xml:space="preserve"> BID FORM</t>
  </si>
  <si>
    <t xml:space="preserve"> BAC Activities	Schedule	</t>
  </si>
  <si>
    <t xml:space="preserve"> Link to the complete set of bidding documents</t>
  </si>
  <si>
    <t xml:space="preserve"> 1. The National Irrigation Administration (NIA), Regional Irrigation Office No.7, through the SMALL IRRIGATION PROJECT CY2020 intends to apply the sum of Three Million Six Hundred Seventy Nine Thousand Nine Hundred Forty Eight Pesos &amp; 41/100 (P 3,679,948.41) being the Approved Budget for the Contract (ABC) to payments under the contract for  SAN RAMON CIP, Sagbayan, Bohol with Contract No. BCSIMO-LMC-08-2020. Bids received in excess of the ABC shall be automatically rejected at bid opening.</t>
  </si>
  <si>
    <t xml:space="preserve"> FOR MORE INFORMATION PLEASE CONTRACT ARLAINE M. DE VERA, BAC SECRETARIAT AT (075) 955-5862 OR EMAIL AT arlainemdevera@gmail.com</t>
  </si>
  <si>
    <t xml:space="preserve"> 6. The National Irrigation Administration (NIA), Regional Irrigation Office No.7, will hold a Pre-Bid Conference on June 2, 2020, 2:00 PM at NIA Regional Office 7 Conference Room, Dao District, Tagbilaran City, which shall be open to prospective bidders.</t>
  </si>
  <si>
    <t xml:space="preserve"> Please download bidding documents at the provided link, https://drive.google.com/file/d/1miV_Vo8Ff3kua1LbAzjPstEKFcrt2_Di/view?usp=drivesdk</t>
  </si>
  <si>
    <t xml:space="preserve"> Please download bidding documents at the provided link, https://drive.google.com/file/d/15m1oxpW5jW4QleUBsfAZbu-33puUuhlQ/view?usp=drivesdk</t>
  </si>
  <si>
    <t xml:space="preserve"> Please download bidding documents at the provided link, https://drive.google.com/file/d/1wGfHKbGbGxOhPcDf-ddbaE7CNeHRRxzj/view?usp=drivesdk</t>
  </si>
  <si>
    <t xml:space="preserve"> Please download bidding documents at the provided link, https://drive.google.com/file/d/1pBNcizylQlCW33bfBMM812yre6m4WX0g/view?usp=drivesdk</t>
  </si>
  <si>
    <t xml:space="preserve"> Please download bidding documents at the provided link, https://drive.google.com/file/d/1UcUeQ54G4KRX40J2Xpp75r_BTZs9NYnb/view?usp=drivesdk</t>
  </si>
  <si>
    <t xml:space="preserve"> Please download bidding documents at the provided link, https://drive.google.com/file/d/1p3XQc7hrXGFTOTYetyhr53r8ecvAUXbH/view?usp=drivesdk</t>
  </si>
  <si>
    <t xml:space="preserve"> https://drive.google.com/file/d/1y_ypeaiKJP1HXrzGIAtzZ6ctV2W2SaFu/view?usp=drivesdk</t>
  </si>
  <si>
    <t xml:space="preserve"> RECEIPT OF LOI's FROM PROSPECTIVE BIDDERS: DEADLINE- MAY 29-JUNE 1, 2020</t>
  </si>
  <si>
    <t xml:space="preserve"> https://drive.google.com/file/d/1Wds45VGzvtam__LquWoENdvlVEyDbJoU/view?usp=drivesdk</t>
  </si>
  <si>
    <t xml:space="preserve"> RECEIPT OF LOI's FROM PROSPECTIVE BUYERS: DEADLINE-MAY 29-JUNE 1, 2020</t>
  </si>
  <si>
    <t xml:space="preserve"> RECEIPT OF LOI's FROM PROSPECTIVE BIDDERS: DEADLINE- MAY 29 - JUNE 1, 2020 @ 5:00PM</t>
  </si>
  <si>
    <t xml:space="preserve"> Please be informed that the Bid Documents can’t be downloaded from the website. Prospective bidders are requested to acquire the documents directly and personally from the BAC Secretariat upon payment at the Barangay Treasurer a corresponding fee of Php500.00 for the said project.</t>
  </si>
  <si>
    <t xml:space="preserve"> Bid Evaluation will follow right after the bidding</t>
  </si>
  <si>
    <t xml:space="preserve"> Bid Evaluation will follow right after the bidding.</t>
  </si>
  <si>
    <t xml:space="preserve"> Interested bidders must download electronic copy of bidding documents attached in the associated component section</t>
  </si>
  <si>
    <t xml:space="preserve"> Bid evaluation will follow right after the bidding.</t>
  </si>
  <si>
    <t xml:space="preserve"> https://drive.google.com/file/d/1GLy1H_5GBWoK0HxCPgo0h8_Dk0tBXnG6/view?usp=drivesdk</t>
  </si>
  <si>
    <t xml:space="preserve"> Interested bidders may obtain further information of Bidding Documents from the following:</t>
  </si>
  <si>
    <t xml:space="preserve"> INVITATION TO BID FOR</t>
  </si>
  <si>
    <t xml:space="preserve"> https://drive.google.com/file/d/13mprqhPHcXTrDe_QgsLo3t98kIkwUxU9/view?usp=drivesdk</t>
  </si>
  <si>
    <t xml:space="preserve"> See Attachments</t>
  </si>
  <si>
    <t xml:space="preserve"> You can also download the items and specifications at our official website: www.cebucity.gov.ph under For </t>
  </si>
  <si>
    <t xml:space="preserve"> REGIONAL BIDS AND AWARDS COMMITTEE – CEBU REGIONAL OFFICE</t>
  </si>
  <si>
    <t xml:space="preserve"> At brgy Gawisan, Maasinn City, Southern Leyte</t>
  </si>
  <si>
    <t xml:space="preserve"> https://drive.google.com/file/d/1GkGX3faIBWfx5cgy_YvS0LCbNbmI2FHa/view?usp=drivesdk PLAN 20CN0081 PART 1</t>
  </si>
  <si>
    <t xml:space="preserve"> https://drive.google.com/file/d/1OhJYfUKXKxIsmyTUju70sM5Tmpqf1WOY/view?usp=drivesdk</t>
  </si>
  <si>
    <t xml:space="preserve"> https://drive.google.com/file/d/14BrNrOx51WLvHebCvx35Gfv5xQ3agi1H/view?usp=drivesdk PLAN 20CN0102 PART 1</t>
  </si>
  <si>
    <t xml:space="preserve"> For quotations sent through email, please make sure that documents are scanned or photographed legibly and can be printed clearly.</t>
  </si>
  <si>
    <t xml:space="preserve"> https://drive.google.com/file/d/10h7qaYbkJamHmH-zYkSGHaNzahyG6sUc/view?usp=drivesdk PLAN 20CN0116</t>
  </si>
  <si>
    <t xml:space="preserve"> A complete set of Bidding Documents may be purchased by interested Bidders starting May 13, 2020 from the above address and upon payment of a nonrefundable fee for the Bidding Documents in the amount of Five Thousand Pesos (Php5,000.00). It may also be downloaded free of charge from the website of the Philippine Government Electronic Procurement System (www.philgeps.gov.ph) and PNOC EC’s website (www.pnoc-ec.com.ph), provided that Bidders shall pay the nonrefundable fee for the Bidding Documents not later than the submission of their bids. </t>
  </si>
  <si>
    <t xml:space="preserve"> https://drive.google.com/file/d/1m1gndoJxXImXMhVqyHwwj--ddo497jxR/view?usp=drivesdk PLAN20CN0134</t>
  </si>
  <si>
    <t xml:space="preserve"> 1. Procurement is done by Lot.</t>
  </si>
  <si>
    <t xml:space="preserve"> https://drive.google.com/file/d/1MeBZxZABIsjVNcNt2JjwT26rFCy8DW4B/view?usp=drivesdk</t>
  </si>
  <si>
    <t xml:space="preserve"> https://drive.google.com/file/d/1ovyTsyCjDnH9I_xhDI_v9Xyjs2PP1OCN/view?usp=drivesdk</t>
  </si>
  <si>
    <t xml:space="preserve"> NOTE: (FOR JOB ORDER)</t>
  </si>
  <si>
    <t xml:space="preserve"> Cost of Bidding Documents:</t>
  </si>
  <si>
    <t xml:space="preserve"> FOR  BID DOCS:</t>
  </si>
  <si>
    <t xml:space="preserve"> 1. PRE-BID CONFERENCE - APRIL 30, 2020 @ 10:00 A.M.</t>
  </si>
  <si>
    <t xml:space="preserve"> Upon Purchase of Bidding Documents, please submit the following documents:</t>
  </si>
  <si>
    <t xml:space="preserve"> quotation/proposal shall be submitted via email (lbphobac@mail.landbank.com) not later than May 6, 2020, 3:00 PM</t>
  </si>
  <si>
    <t xml:space="preserve"> for queries, pls. contact MR. CHARM FLORIDO at tel nos. 85512200 locals 2452, 2453; 84057233 to 34</t>
  </si>
  <si>
    <t xml:space="preserve"> for queries, pls. contact MS. NADZ ILETO at tel no. 85512200 locals 2979, 2290, 2609; 8405-7233 to 34</t>
  </si>
  <si>
    <t xml:space="preserve"> https://drive.google.com/file/d/1ljZoGjp_QS7oSlj15I1qdAiE4zF8WaWQ/view?usp=drivesdk</t>
  </si>
  <si>
    <t xml:space="preserve"> https://drive.google.com/file/d/1fE8kGx1zfzrBVqMrHWopxeopdfB7BAWr/view?usp=drivesdk</t>
  </si>
  <si>
    <t xml:space="preserve"> https://drive.google.com/file/d/1mugT1cujxH8itcWNRyPG4upMU0z8giyF/view?usp=drivesdk</t>
  </si>
  <si>
    <t xml:space="preserve"> for inquiries, pls contact MS. ARVIE ESTRELLA at tel no. 8-405-7233 to 34, 8-5512200 locals 2452, 2453, 2731, 2609, 2979 &amp; 2290</t>
  </si>
  <si>
    <t xml:space="preserve"> https://drive.google.com/file/d/1gq-uhuG35n6Wssp0-C5RqRWCOoT3qWhU/view?usp=drivesdk</t>
  </si>
  <si>
    <t xml:space="preserve"> https://drive.google.com/file/d/1qtI6uLuPTfupSLOWJrSFHjBUCF_nTlVh/view?usp=drivesdk</t>
  </si>
  <si>
    <t xml:space="preserve"> https://drive.google.com/file/d/1g7IsOqGtcgzDR0H_oyBs18lfrT4AtrLv/view?usp=drivesdk</t>
  </si>
  <si>
    <t xml:space="preserve"> https://drive.google.com/file/d/1lKTd9X6P7Nz3-5Oykm-JcFu14gVGZnqi/view?usp=drivesdk</t>
  </si>
  <si>
    <t xml:space="preserve"> https://drive.google.com/file/d/13JyPRsYb9HqV-Hrsh5wARiERsePSPPTM/view?usp=drivesdk</t>
  </si>
  <si>
    <t xml:space="preserve"> https://drive.google.com/file/d/1IytoLg8aIxnq8gbFe43luy69sbAFSxEH/view?usp=drivesdk</t>
  </si>
  <si>
    <t xml:space="preserve"> https://drive.google.com/file/d/1YiLRbwAqCa3Xuxc12GY_CikWnlwvbDBl/view?usp=drivesdk</t>
  </si>
  <si>
    <t xml:space="preserve"> https://drive.google.com/file/d/12SlsQOZi3IGzUSumibP1k9hpU65VM66X/view?usp=drivesdk</t>
  </si>
  <si>
    <t xml:space="preserve"> https://drive.google.com/file/d/1eUByw-XoHpvQ80JBCnog_wv7rXdHOj7E/view?usp=drivesdk</t>
  </si>
  <si>
    <t xml:space="preserve"> 1.	PRE-BID CONFERENCE – APRIL 08, 2020 @ 10:00 A.M.</t>
  </si>
  <si>
    <t xml:space="preserve"> https://drive.google.com/file/d/1dmzxuYmLrG8QK6uqYaKA7mMD4H2iXBER/view?usp=drivesdk</t>
  </si>
  <si>
    <t xml:space="preserve"> https://drive.google.com/file/d/1eCBCUBNmhRxv5N7MsRYNfgHeVsb9avSH/view?usp=drivesdk</t>
  </si>
  <si>
    <t xml:space="preserve"> https://drive.google.com/file/d/1iejDn2V003pl443bno7yLVpXoJyGtDvF/view?usp=drivesdk</t>
  </si>
  <si>
    <t xml:space="preserve"> https://drive.google.com/file/d/14RJtYHn3VW6uQF4LNxtcXefbIj3WvChf/view?usp=drivesdk</t>
  </si>
  <si>
    <t xml:space="preserve"> https://drive.google.com/file/d/1gWaGYwA04wkzo1Y4WSBeJCctrIj3EJax/view?usp=drivesdk</t>
  </si>
  <si>
    <t xml:space="preserve"> https://drive.google.com/file/d/1p2ZAdtoCjVUebWGGuFvHE3bdD5JOGmTp/view?usp=drivesdk</t>
  </si>
  <si>
    <t xml:space="preserve"> https://drive.google.com/file/d/1RudsiyBxVxkp9E7MxQo4Ounkryxs09d4/view?usp=drivesdk</t>
  </si>
  <si>
    <t xml:space="preserve"> Delivery within 30 calendar days upon receipt of Notice to Proceed</t>
  </si>
  <si>
    <t xml:space="preserve"> https://drive.google.com/file/d/1A-xbmHdO9XsZxw0dTR3Uug_54cXGkHk4/view?usp=drivesdk</t>
  </si>
  <si>
    <t xml:space="preserve"> https://drive.google.com/file/d/1O7iV833-B3L01R5P4pmtj1S49VFVeVR8/view?usp=drivesdk</t>
  </si>
  <si>
    <t xml:space="preserve"> https://drive.google.com/file/d/151YzTLj87v85-SmECsEcl8X3WpALdgEo/view?usp=drivesdk</t>
  </si>
  <si>
    <t xml:space="preserve"> https://drive.google.com/file/d/1_nLe9c0n_kgEfT4dAsOaONef8-GLv65p/view?usp=drivesdk</t>
  </si>
  <si>
    <t xml:space="preserve"> 1.	Cotton Balls, 150pcs/Box	30	Packs	1,522.50	Within 15 Calendar Days from receipt of the NTP	DOH – WV CHD</t>
  </si>
  <si>
    <t xml:space="preserve"> 1.		Acetylcysteine 600 mg Effervescent Tablet	1,000	Tablets	24,200.00	Within 30 Calendar Days from receipt of the NTP	DOH – WV CHD</t>
  </si>
  <si>
    <t xml:space="preserve"> 1. PRE-BID CONFERENCE – MARCH 25, 2020 @ 10:00 A.M.</t>
  </si>
  <si>
    <t xml:space="preserve"> https://drive.google.com/file/d/15QaRDg9CE3uvAFbp4LeE0GEtuBKgr_Gd/view?usp=drivesdk</t>
  </si>
  <si>
    <t xml:space="preserve"> SEE LINK FOR PLANS AND BID DOCS AT:</t>
  </si>
  <si>
    <t xml:space="preserve"> Kindly see attached LINK below for the specifications.</t>
  </si>
  <si>
    <t xml:space="preserve"> 1.		Serum, Anti-rabies (Equine) 200 IU/mL, 5 mL Vial	3,839	Vials	4,999,568.09	Within 20 to 30 Calendar Days from receipt of the NTP	DOH – WV CHD</t>
  </si>
  <si>
    <t xml:space="preserve"> Bid Documents and Plans are also downloadable in the DPWH Website</t>
  </si>
  <si>
    <t xml:space="preserve"> 20CE0206: Installation of New Traffic Counter/Classifier (ATC), Two (2) Lanes (Dual Piezo); Invitation to Bid including Plans and other Supporting Docs</t>
  </si>
  <si>
    <t xml:space="preserve"> 20CE0205: Installation of New Traffic Counter/Classifier (ATC), Two (2) Lanes (Dual Piezo); Invitation to Bid including Plans and other Supporting Docs</t>
  </si>
  <si>
    <t xml:space="preserve"> Bid Documents and Plans are also downloadable in the Website</t>
  </si>
  <si>
    <t xml:space="preserve"> Scope of Works:</t>
  </si>
  <si>
    <t xml:space="preserve"> for queries, pls. contact MS. ANJ EMETERIO at vtel nos. 8-4057234, 8-4057233, 8-5512200 locals 2452, 2453, 2290, 2979</t>
  </si>
  <si>
    <t xml:space="preserve"> Please download the Price Quotation Form and Omnibus Sworn Statement using the links below:</t>
  </si>
  <si>
    <t xml:space="preserve"> 1.	Anesthesia Machine with Ventilator and Patient Monitor with Capnograph	1	Unit	2,500,000.00	Within 60 Calendar Days from receipt of the NTP	Lorenzo D. Zayco District Hospital, Kabankalan, Negros Occidental</t>
  </si>
  <si>
    <t xml:space="preserve"> KINDLY DOWNLOAD THE ATTACHED PHILIPPINE BIDDING DOCUMENTS (PBD) WITH TECH SPECS AND PRICE AND CHECKLIST OF ELIGIBILITY REQUIREMENTS IN THE ASSOCIATED COMPONENTS.</t>
  </si>
  <si>
    <t xml:space="preserve"> Procurement is done by Lot.</t>
  </si>
  <si>
    <t xml:space="preserve"> • PCAB License: License Category of at least “Category D – General Building” and registration classification of at least “Small B – Building or Industrial Plant”</t>
  </si>
  <si>
    <t xml:space="preserve"> for queries, pls. contact MS. JENKIN DY at tel no. 085512200 locals 2290, 2979, 4169, 2609</t>
  </si>
  <si>
    <t xml:space="preserve"> https://drive.google.com/file/d/1X1kNvD8YJ6fqewpN2YZQVw4qWZiSZhOX/view?usp=drivesdk</t>
  </si>
  <si>
    <t xml:space="preserve"> https://drive.google.com/file/d/1K1aRqSa9_URTyxNpRf2j0Ph-v4Dhcat6/view?usp=drivesdk</t>
  </si>
  <si>
    <t xml:space="preserve"> https://drive.google.com/file/d/120VUmJa89SFMvio3VV3qI3aRGd4NKeQS/view?usp=drivesdk</t>
  </si>
  <si>
    <t xml:space="preserve"> https://drive.google.com/file/d/1PRXGa9OsoQN6x0AD0O9cQRRJqyrXFMH5/view?usp=drivesdk</t>
  </si>
  <si>
    <t xml:space="preserve"> KINDLY DOWNLOAD THE ATTACHED PHILIPPINE BIDDING DOCUMENTS (PBD) WITH TECH SPECS AND PRICE AND CHEKLIST OF ELIGIBILITY REQUIREMENTS IN THE ASSOCIATED COMPONENTS.</t>
  </si>
  <si>
    <t xml:space="preserve"> KINDLY DOWNLOAD THE ATTACHED PHILIPPINE BIDDING DOCUMENS (PBD) WITH THE TECH SPECS AND PRICE AND CHECKLIST OF ELIGIBILITY REQUIREMENTS IN THE ASSOCIATED COMPONENTS.</t>
  </si>
  <si>
    <t xml:space="preserve"> https://drive.google.com/file/d/18JTce3aWGd3zKcsQ-UHrjIPx8MBXiRjE/view?usp=drivesdk</t>
  </si>
  <si>
    <t xml:space="preserve"> https://drive.google.com/file/d/14eIv57Ybe3Y_BPogceKI7zbYsxVulZkc/view?usp=drivesdk</t>
  </si>
  <si>
    <t xml:space="preserve"> Download the complete set of Bidding Documents at pcso.gov.ph</t>
  </si>
  <si>
    <t xml:space="preserve"> https://drive.google.com/file/d/1h0nps39DN5XiUp9zlnBPhR_E2ZyKeUOx/view?usp=drivesdk PLAN 20CN0085</t>
  </si>
  <si>
    <t xml:space="preserve"> Purpose: For Students and Employees ID Production (School Year 2020-2021).</t>
  </si>
  <si>
    <t xml:space="preserve"> Purpose: Use for Guesthouse, hostel and laundry of linens</t>
  </si>
  <si>
    <t xml:space="preserve"> Please see Associated Components attached</t>
  </si>
  <si>
    <t xml:space="preserve"> Please see Associated Components attached.</t>
  </si>
  <si>
    <t xml:space="preserve"> Purpose: To keep safe of the documents under the office of the Alumni Affairs.</t>
  </si>
  <si>
    <t xml:space="preserve"> Download https://drive.google.com/file/d/1D8zfryMcT-xE-MDBQFYP7opXUS1zkJeR/view?usp=drivesdk</t>
  </si>
  <si>
    <t xml:space="preserve"> kindly download the attached bidding documents for details of requirements.</t>
  </si>
  <si>
    <t xml:space="preserve"> View/Download for complete set of Bidding Documents thru this link&gt;&gt;</t>
  </si>
  <si>
    <t xml:space="preserve"> View/Download the complete set of Bidding documents thru this link&gt;&gt;</t>
  </si>
  <si>
    <t xml:space="preserve"> View/Download the complete set of Bidding Documents thru this link&gt;&gt;</t>
  </si>
  <si>
    <t xml:space="preserve"> Purpose: Repair of HI-ACE Grandia GL with Plate No.: SJE-963, Repair of CHEVROLET TRAILBLAZER with Plate No.: SAA-4045</t>
  </si>
  <si>
    <t xml:space="preserve"> View/Download for complete set of Bidding Document thru this link&gt;&gt;</t>
  </si>
  <si>
    <t xml:space="preserve"> View/Download for complete set of Bidding Documents thru link&gt;&gt;</t>
  </si>
  <si>
    <t xml:space="preserve"> Purpose: To be used for crushing/to powderized food and food product prototypes of the Zamboanga Penisula Food Innovation Center, To be used for the conduct of food experiments and development of food product prototypes of the Zamboanga Penisula Food Innovation Center, To be used for the conduct of food experimentation and production of food product prototypes of the Zamboanga Penisula Food Innovation Center</t>
  </si>
  <si>
    <t xml:space="preserve"> Purpose: Repiping of Water Lines at Chemistry Laboratory</t>
  </si>
  <si>
    <t xml:space="preserve"> https://drive.google.com/file/d/1f6c0G2DigXsPZjyGWHlJtcC7kd83gIoV/view?usp=drivesdk</t>
  </si>
  <si>
    <t xml:space="preserve"> Please download the attached PBD in the associated components</t>
  </si>
  <si>
    <t xml:space="preserve"> A complete set of Bidding Documents will be provided by PNBAC Secretariat to the interested Bidders upon payment of a non-refundable fee in the amount of  TWENTY FIVE THOUSAND PESOS (P25,000.00) only at CRB, CPMU, Philippine Navy Finance Center (PNFC), Naval Station Jose Francisco, Fort Bonifacio, Taguig City.</t>
  </si>
  <si>
    <t xml:space="preserve"> 1.	Supplier must be at least 25 years in the printing industry.</t>
  </si>
  <si>
    <t xml:space="preserve"> Bidders must download the document in the associated section.</t>
  </si>
  <si>
    <t xml:space="preserve"> • Complete Project Title: Supply, Delivery, Installation, Test and Commissioning of 1 x 200 kW and 1 x 100 kW Modular Diesel Gensets and Associated Electrical Equipment for Sarangani Diesel Power Plant, Sarangani, Davao Occidental</t>
  </si>
  <si>
    <t xml:space="preserve"> (PLEASE SEE ATTACHED FILES)</t>
  </si>
  <si>
    <t xml:space="preserve"> ITB20-03-021A</t>
  </si>
  <si>
    <t xml:space="preserve"> Please contact BAC Secretariat at 332-1009. Look for Mrs. Maita M. Lazares (BAC Secretariat Head) or Engr. David M. Zoleta, Jr. (BAC Secretariat Assistant Head)</t>
  </si>
  <si>
    <t xml:space="preserve"> Reference: PR No: 20-01-008</t>
  </si>
  <si>
    <t xml:space="preserve"> ITB20-03-020B</t>
  </si>
  <si>
    <t xml:space="preserve"> ITB20-03-021B</t>
  </si>
  <si>
    <t xml:space="preserve"> • Similar Contracts: Dry docking and ship repair</t>
  </si>
  <si>
    <t xml:space="preserve"> ITB20-03-023B</t>
  </si>
  <si>
    <t xml:space="preserve"> ITB20-03-023A</t>
  </si>
  <si>
    <t xml:space="preserve"> ITB20-03-022A</t>
  </si>
  <si>
    <t xml:space="preserve"> ITB20-03-022B</t>
  </si>
  <si>
    <t xml:space="preserve"> ITB20-03-020A</t>
  </si>
  <si>
    <t xml:space="preserve"> • Complete Project Title: Supply, Delivery, Installation, Test &amp; Commissioning of 3 x 50 kW Modular Diesel Gensets, Associated Electrical Equipment and Balance of Plant for the Electrification of New Area in Sulu under Package 11A</t>
  </si>
  <si>
    <t xml:space="preserve"> For query,  pls. contact MS. NADZ ILETO at tel no. 8-5512200 locals 2290, 2979, 2609, 4169</t>
  </si>
  <si>
    <t xml:space="preserve"> • PCAB License: License Category of at least “Category D – General Engineering” and registration classification of at least “Small B – Road, Highway Pavement, Railways, Airport Horizontal Structures and Bridges”</t>
  </si>
  <si>
    <t xml:space="preserve"> For query,  pls. contact MS. ANJ EMETERIO at tel no. 8-4057234, 8-4057233, 8-5512200 LOCALS 2452, 2453, 2731</t>
  </si>
  <si>
    <t xml:space="preserve"> For query,  pls. contact MR. JENKIN DY at tel no. 8-5512200 locals 2290, 2979, 2609, 4169</t>
  </si>
  <si>
    <t xml:space="preserve"> ITB20-03-019A</t>
  </si>
  <si>
    <t xml:space="preserve"> Bidding Documents and Plans are also downloadable in the DPWH Website</t>
  </si>
  <si>
    <t xml:space="preserve"> • Similar Contracts: Supply, Delivery, Test and Commissioning of Diesel Power Generations Systems with aggregate output capacity of at least 5.0 MW e.</t>
  </si>
  <si>
    <t xml:space="preserve"> For copies of the Drawings and Technical Specifications, kindly refer to the LINKS below.</t>
  </si>
  <si>
    <t xml:space="preserve"> • PCAB License: License Category of at least “Category D – Electrical Works” and registration classification of at least “Small B – Electrical Works”</t>
  </si>
  <si>
    <t xml:space="preserve"> • Similar Contracts: Security Services</t>
  </si>
  <si>
    <t xml:space="preserve"> Just copy the links below and paste to your browser's newtab to view/download the plans.</t>
  </si>
  <si>
    <t xml:space="preserve"> • PCAB License: License Category of at least “Category D – General Building” and registration classification of at least “Small B – Building or Industrial Plant” or “Category D – General Engineering” and registration classification of at least “Small B – Road, Highways, Pavement, Railways, Airport, Horizontal Structure and Bridges” or “Small B – Irrigation or Flood Control” or “Small B – Port, Harbor or Offshore Engineering”</t>
  </si>
  <si>
    <t xml:space="preserve"> https://drive.google.com/file/d/11gLq-s0y-nzPTdkeA9PKHWrnWfpMQJb-/view?usp=drivesdk</t>
  </si>
  <si>
    <t xml:space="preserve"> • PCAB License: License Category of at least “Category B – General Building” and registration classification of at least “Medium A – Building or Industrial Plant”</t>
  </si>
  <si>
    <t xml:space="preserve"> https://drive.google.com/file/d/1RYaGswne9zbDy43U7eEJuPuZ-Mbzuf9-/view?usp=drivesdk</t>
  </si>
  <si>
    <t xml:space="preserve"> https://drive.google.com/file/d/1lJ72-tquBSgOglIaxEdXrplFSBh74ANo/view?usp=drivesdk</t>
  </si>
  <si>
    <t xml:space="preserve"> Kindly download the attached bidding documents for details of specifications and other requirements.</t>
  </si>
  <si>
    <t xml:space="preserve"> See attached bidding documents</t>
  </si>
  <si>
    <t xml:space="preserve"> https://drive.google.com/file/d/1ekn0ehcul9LlYuZ5Lx3aDO_CZdscPPHh/view?usp=drivesdk</t>
  </si>
  <si>
    <t xml:space="preserve"> ITB20-02-017A</t>
  </si>
  <si>
    <t xml:space="preserve"> ITB20-02-017B</t>
  </si>
  <si>
    <t xml:space="preserve"> please download associated documents</t>
  </si>
  <si>
    <t xml:space="preserve"> • Similar Contracts: Supply and Delivery of Electrical / Mechanical Spare Parts for Diesel Generating Sets</t>
  </si>
  <si>
    <t xml:space="preserve"> KINDLY DOWNLOAD THE PHILIPPINE BIDDING DOCUMENTS (PBD) WITH TECH SPECS AND PRICE AND CHECKLIST OF ELIGIBILITY REQUIREMENTS IN THE ASSOCIATED COMPONENTS.</t>
  </si>
  <si>
    <t xml:space="preserve"> ITB20-02-017C</t>
  </si>
  <si>
    <t xml:space="preserve"> https://drive.google.com/file/d/14YC6eoqAoU1G22fFGLhXq-tMh7Qo6QcD/view?usp=drivesdk</t>
  </si>
  <si>
    <t xml:space="preserve"> 1. PRE-BID CONFERENCE – MARCH 06, 2020 @ 10:00 A.M.</t>
  </si>
  <si>
    <t xml:space="preserve"> copy and paste link: https://drive.google.com/file/d/12Ls09gPVUpbQVxlAd1sE2G-4rzagBkoO/view?usp=drivesdk</t>
  </si>
  <si>
    <t xml:space="preserve"> KINDLY DOWNLOAD THE ATTACHED PHILIPPINE BIDDING DOCUMENTS (PBD) WHICH INCLUDES TECH SPECS AND PRICE AND THE CHECKLIST OF ELIGIBILITY REQUIREMENTS IN THE ASSOCIATED COMPONENTS.</t>
  </si>
  <si>
    <t xml:space="preserve"> KINDLY DOWNLOAD THE ATTACHED PHILIPPINE BIDDING DOCUMENTS (PBD) WHICH INCLUDES THE TECH SPECS AND PRICE AND THE CHECKLIST OF ELIGIBILITY REQUIREMENTS IN THE ASSOCIATED COMPONENTS.</t>
  </si>
  <si>
    <t xml:space="preserve"> Download this link https://drive.google.com/file/d/1AW0eBjNYYFACxG1z2ghGATa47KMHzRTN/view?usp=drivesdk</t>
  </si>
  <si>
    <t xml:space="preserve"> Pls download attached file</t>
  </si>
  <si>
    <t xml:space="preserve"> Please download this link https://drive.google.com/file/d/1zGxEd2DcfLuu6LyUPlU0ZZW385CqjuV5/view?usp=drivesdk</t>
  </si>
  <si>
    <t xml:space="preserve"> • Complete Project Title: Supply, Delivery, Installation, Test and Commissioning of Eight (8) Units of Modular Diesel Generating Sets and Electrical Equipment for Panay and Agutaya SPUG Areas under Schedule IID</t>
  </si>
  <si>
    <t xml:space="preserve"> • PCAB License: License Category of at least “Category D – General Building” and registration classification of at least “Small B – Building and Industrial Plant”</t>
  </si>
  <si>
    <t xml:space="preserve"> for queries, pls. contact MR. RUEL MARCA at tel no. 85512200 locals 2979, 2290, 2609, 4169</t>
  </si>
  <si>
    <t xml:space="preserve"> Download the complete set of bidding documents at pcso.gov.ph Invitation to Bid</t>
  </si>
  <si>
    <t xml:space="preserve"> • Complete Project Title: Supply, Delivery, Installation, Test and Commissioning of Eight (8) Units of 50kW Modular Diesel Gensets, Associated Electrical Equipment and Balance of Plant for Dipla, Maytegued, Batas and Debangan DPP under the Electrification of New Areas in Palawan (Package 8)</t>
  </si>
  <si>
    <t xml:space="preserve"> PCAB License: License Category of at least “Category B – General Building” and registration classification of at least “Medium A – Port, Harbor or Offshore Engineering”</t>
  </si>
  <si>
    <t xml:space="preserve"> • Complete Project Title: Supply, Delivery, Installation, Test and Commissioning of Thirty-One (31) Units of Modular Diesel Generating Sets and Electrical Equipment for Samar SPUG Areas under Schedule IIA</t>
  </si>
  <si>
    <t xml:space="preserve"> • Complete Project Title: Supply, Delivery, Installation, Test &amp; Commissioning of Seven (7) Units of Modular Diesel Gensets and Associated Electrical Equipment for Three (3) Areas of Barangay Power Association (BAPA) in Palawan</t>
  </si>
  <si>
    <t xml:space="preserve"> BIDDING DOCUMENTS:</t>
  </si>
  <si>
    <t xml:space="preserve"> Scope of Work		:	Widening of Bridge</t>
  </si>
  <si>
    <t xml:space="preserve"> ITB20-02-016D</t>
  </si>
  <si>
    <t xml:space="preserve"> ITB20-02-016B</t>
  </si>
  <si>
    <t xml:space="preserve"> Download https://drive.google.com/file/d/1B4Wj_n7gmZvxGRu52ClSQbAWS8amuv9s/view?usp=drivesdk</t>
  </si>
  <si>
    <t xml:space="preserve"> https://drive.google.com/file/d/1BMLeAuDBi1I6Wh0Eu-m7NsEpJlmHVWRe/view?usp=drivesdk</t>
  </si>
  <si>
    <t xml:space="preserve"> https://drive.google.com/file/d/1GrlOFIyCPNun6HYU9OytofopFaLTVy2E/view?usp=drivesdk</t>
  </si>
  <si>
    <t xml:space="preserve"> for queries, pls. contact MR. JENKIN DY at tel no. 85512200 locals 2290, 2979, 2609, 4169</t>
  </si>
  <si>
    <t xml:space="preserve"> 1. Issuance of Bidding Documents	:	February 14, 2020 to March 05, 2020</t>
  </si>
  <si>
    <t xml:space="preserve"> https://drive.google.com/file/d/1_I3Prf-NLqnWM9_jMVIwUMInMYjd1HTJ/view?usp=drivesdk</t>
  </si>
  <si>
    <t xml:space="preserve"> 1. PRE-BID CONFERENCE - FEBRUARY 19, 2020 @ 10:00AM</t>
  </si>
  <si>
    <t xml:space="preserve"> Also available at DPWH Website.</t>
  </si>
  <si>
    <t xml:space="preserve"> https://drive.google.com/file/d/1siT58uDgNfHC5Tpa9Jd87SC-SOvob289/view?usp=drivesdk</t>
  </si>
  <si>
    <t xml:space="preserve"> https://drive.google.com/file/d/1wxlS1oSLk54a3cqpYqYwOJEjTvK4Hje1/view?usp=drivesdk</t>
  </si>
  <si>
    <t xml:space="preserve"> https://drive.google.com/file/d/1GitmmZ8RWdPW2m6sBN4NPaUO62i_XILp/view?usp=drivesdk</t>
  </si>
  <si>
    <t xml:space="preserve"> 1. PRE-BID CONFERENCE - JANUARY 16, 2020 @ 10:00 A.M.</t>
  </si>
  <si>
    <t xml:space="preserve"> FOR MORE INFORMATION, PLEASE CONTACT BRGY. CHAIRMAN OR VISIT BARANGAY POTOL, DAPITAN CITY.</t>
  </si>
  <si>
    <t xml:space="preserve"> https://drive.google.com/file/d/14a9HE75Gx-oKeXB3SjnGfp5rozkChqqi/view?usp=drivesdk</t>
  </si>
  <si>
    <t>Jimmy Lamayra Gonzales</t>
  </si>
  <si>
    <t>Ana Gutierrez Palenzuela</t>
  </si>
  <si>
    <t>ROMMEL G. GRAGASIN</t>
  </si>
  <si>
    <t>Rosevie Tallera Bartolome</t>
  </si>
  <si>
    <t>Nathaniel G Echano</t>
  </si>
  <si>
    <t>JAZERA DINOPOL OYAO</t>
  </si>
  <si>
    <t>Marife Aglosolos</t>
  </si>
  <si>
    <t>MARLYN BARREZA SUMAYA</t>
  </si>
  <si>
    <t>Penarando Surquia</t>
  </si>
  <si>
    <t>Riza Joy Barnizo Pele-in</t>
  </si>
  <si>
    <t>Korina Sibulo Tronqued</t>
  </si>
  <si>
    <t>Genevieve Nuñez</t>
  </si>
  <si>
    <t>Marlone Dagle Alejado</t>
  </si>
  <si>
    <t>Harold C. Duremdes</t>
  </si>
  <si>
    <t>Ellen M Reyes</t>
  </si>
  <si>
    <t>Sherrymine C. Lazaga</t>
  </si>
  <si>
    <t>Edmundo Jr M Abueg</t>
  </si>
  <si>
    <t>Mark J. Arceo</t>
  </si>
  <si>
    <t>Frenzel Ray Kitan Tomas</t>
  </si>
  <si>
    <t>ALLAN JAY DE LIMA NAPIZA</t>
  </si>
  <si>
    <t>Thelma P. Landicho</t>
  </si>
  <si>
    <t>Roderick D Domasig</t>
  </si>
  <si>
    <t>Axel R. Mangila</t>
  </si>
  <si>
    <t>Manuel Jesus Dufourt Roxas III</t>
  </si>
  <si>
    <t>Daniel Apilado Suyat</t>
  </si>
  <si>
    <t>Amelia P. Santos</t>
  </si>
  <si>
    <t>Zandro A. Samarista</t>
  </si>
  <si>
    <t>Ronelio N Hernandez</t>
  </si>
  <si>
    <t>Sheila Marie S Chua</t>
  </si>
  <si>
    <t>Nelzar Borres Arsenio</t>
  </si>
  <si>
    <t>Veronica CV Esguerra</t>
  </si>
  <si>
    <t>Erick Sombrio Dalumpines</t>
  </si>
  <si>
    <t>SALMA QUIBAYEN PADILLA</t>
  </si>
  <si>
    <t>Rodelio Jr. Abordo Vera</t>
  </si>
  <si>
    <t>Roxanne C. Pimentel</t>
  </si>
  <si>
    <t>Castor Gracilla Verdeblanco</t>
  </si>
  <si>
    <t>Arthur Molenilla Balmadrid</t>
  </si>
  <si>
    <t>MARY ANNE C LADO</t>
  </si>
  <si>
    <t>Fatnuhalda Abarrondo Samparani</t>
  </si>
  <si>
    <t>Angelika A. Paladan</t>
  </si>
  <si>
    <t>Ramer B. Panes</t>
  </si>
  <si>
    <t>Janica Damilao Arsua</t>
  </si>
  <si>
    <t>April  Ponce  Espino</t>
  </si>
  <si>
    <t>M.A Cueva</t>
  </si>
  <si>
    <t>Jasmin Macaspag Dacaynos</t>
  </si>
  <si>
    <t>Dionesia B. Lagas</t>
  </si>
  <si>
    <t>Manny Maturan Da-ang</t>
  </si>
  <si>
    <t>RONALD S LANGBAN</t>
  </si>
  <si>
    <t>Meshele  Lecias  Cadangan</t>
  </si>
  <si>
    <t>Katherine V Veracruz</t>
  </si>
  <si>
    <t>Michael, Jr. N Quizon</t>
  </si>
  <si>
    <t>Nerichelle R Bobis</t>
  </si>
  <si>
    <t>RANDELYN MAGLASANG BISQUERA</t>
  </si>
  <si>
    <t>Irma Danganan Lugue</t>
  </si>
  <si>
    <t>Arniel A. Abellonar</t>
  </si>
  <si>
    <t>Roy C Gonzales</t>
  </si>
  <si>
    <t>Ma. Loribel Gonzales Celda</t>
  </si>
  <si>
    <t>Amadel A Gonzales</t>
  </si>
  <si>
    <t>Fe P Sagre</t>
  </si>
  <si>
    <t>Joel R Perez</t>
  </si>
  <si>
    <t>Mary Grace Luces Mallen</t>
  </si>
  <si>
    <t>ANNE LORELIE DE LEON LAURETA</t>
  </si>
  <si>
    <t>Kristine Salve Estipona Hao</t>
  </si>
  <si>
    <t>ANECITA A. SESPEÑE</t>
  </si>
  <si>
    <t>Kelly Sajo</t>
  </si>
  <si>
    <t>Ireneo Lanterno</t>
  </si>
  <si>
    <t>Jed D Panes</t>
  </si>
  <si>
    <t>Maylen Asuncion</t>
  </si>
  <si>
    <t>Ramon Jr. Paras Dela Cruz</t>
  </si>
  <si>
    <t>Jovellen G. Diaz</t>
  </si>
  <si>
    <t>Christel June Napoles</t>
  </si>
  <si>
    <t>Mary Ann Martinez Torralba</t>
  </si>
  <si>
    <t>Bernadette Baua</t>
  </si>
  <si>
    <t>Marilou Seno Villanueva</t>
  </si>
  <si>
    <t>Jenalyn Julaton Acosta</t>
  </si>
  <si>
    <t>Tarhata Salendab Kido</t>
  </si>
  <si>
    <t>GRIFFRINEO C. FLORES</t>
  </si>
  <si>
    <t>dipolog water bac</t>
  </si>
  <si>
    <t>Lawrence Nacpil Carlos</t>
  </si>
  <si>
    <t>Liza C Dorado</t>
  </si>
  <si>
    <t>Ryan Saguyod Apolonio</t>
  </si>
  <si>
    <t>Cyrene T Palparan</t>
  </si>
  <si>
    <t>Jomar Feliciano Doncillo</t>
  </si>
  <si>
    <t>Rommel T Reamico</t>
  </si>
  <si>
    <t>Patria Pailan Guizano</t>
  </si>
  <si>
    <t>Joseph R. Sermonia</t>
  </si>
  <si>
    <t>Michael Rey Villaluz Biado</t>
  </si>
  <si>
    <t>Lealoraine A. Gomez</t>
  </si>
  <si>
    <t>Rowena B. Quierez</t>
  </si>
  <si>
    <t>Christian Ian Caligagan Villarin</t>
  </si>
  <si>
    <t>SUSAN REYES</t>
  </si>
  <si>
    <t>Engimer A. Ludovice</t>
  </si>
  <si>
    <t>Glory Vi A. Mesina</t>
  </si>
  <si>
    <t>Bazil Nacman Cabria</t>
  </si>
  <si>
    <t>BIENVENIDA PAMAN DULCERO</t>
  </si>
  <si>
    <t>Rosario Fe Quizon Arevalo</t>
  </si>
  <si>
    <t>Roland Dayuno Morales</t>
  </si>
  <si>
    <t>Rosine Salcedo Gonzalez</t>
  </si>
  <si>
    <t>Rosa Katherine J. Angeles</t>
  </si>
  <si>
    <t>ROEL B CADAGAT</t>
  </si>
  <si>
    <t>Mark Joseph Justimbaste Calinao</t>
  </si>
  <si>
    <t>Rosanna P. Lucero</t>
  </si>
  <si>
    <t>Marino E Martinquilla</t>
  </si>
  <si>
    <t>Sittie Aisah T. Balindong</t>
  </si>
  <si>
    <t>Lydia Yumang Vinculado</t>
  </si>
  <si>
    <t>MUSLIMIN S. PAMIKIRIN</t>
  </si>
  <si>
    <t>Jose Marlowe Torrefranca Echem</t>
  </si>
  <si>
    <t>Michael Angelo J. Paras</t>
  </si>
  <si>
    <t>Olive V Ferreras</t>
  </si>
  <si>
    <t>Eduardo D. Fernandez</t>
  </si>
  <si>
    <t>Perry Origenes Bague</t>
  </si>
  <si>
    <t>Jevic Gadon Daguno</t>
  </si>
  <si>
    <t>Leonor F.  Santos</t>
  </si>
  <si>
    <t>Mariel De Vera Mohammad-Sali</t>
  </si>
  <si>
    <t>Lea Marie  P.  Gulloy</t>
  </si>
  <si>
    <t>Haydee Asparin Espinosa</t>
  </si>
  <si>
    <t>Joseph Cañas Hernani</t>
  </si>
  <si>
    <t>Generoso Jr. Projillo Maghopoy</t>
  </si>
  <si>
    <t>Aurelia Araoarao Bongcac</t>
  </si>
  <si>
    <t>German Dichoson Salanio</t>
  </si>
  <si>
    <t>Roxanne Padilla</t>
  </si>
  <si>
    <t>John A Leonardo</t>
  </si>
  <si>
    <t>Kristine Alonzo Gealan</t>
  </si>
  <si>
    <t>ALLEN JOY M. ESCALONA</t>
  </si>
  <si>
    <t>Marvin Ascano Barasi</t>
  </si>
  <si>
    <t>Kristine Joy Fernandez Dacasin</t>
  </si>
  <si>
    <t>REYSHA  T.  QUIMADO</t>
  </si>
  <si>
    <t>Socorro Brenda Acuna</t>
  </si>
  <si>
    <t>RAFAEL LACBAYO SANTIAGO</t>
  </si>
  <si>
    <t>Santiaga Macavinta Deseo</t>
  </si>
  <si>
    <t>17/05/2020</t>
  </si>
  <si>
    <t>19/08/2019</t>
  </si>
  <si>
    <t>04/05/2020</t>
  </si>
  <si>
    <t>25/04/2020</t>
  </si>
  <si>
    <t>20/04/2020</t>
  </si>
  <si>
    <t>21/04/2020</t>
  </si>
  <si>
    <t>04/04/2020</t>
  </si>
  <si>
    <t>15/03/2020</t>
  </si>
  <si>
    <t>01/03/2020</t>
  </si>
  <si>
    <t>23/02/2020</t>
  </si>
  <si>
    <t>02/02/2020</t>
  </si>
  <si>
    <t>05/02/2020</t>
  </si>
  <si>
    <t>27/01/2020</t>
  </si>
  <si>
    <t>23/01/2020</t>
  </si>
  <si>
    <t>17/01/2020</t>
  </si>
  <si>
    <t>27/11/2019</t>
  </si>
  <si>
    <t>12/12/2019</t>
  </si>
  <si>
    <t>07/02/2019</t>
  </si>
  <si>
    <t>07/01/2020</t>
  </si>
  <si>
    <t>22/10/2019</t>
  </si>
  <si>
    <t>05/12/2019</t>
  </si>
  <si>
    <t>10/01/2020</t>
  </si>
  <si>
    <t>15/01/2020</t>
  </si>
  <si>
    <t>28/10/2019</t>
  </si>
  <si>
    <t>06/11/2019</t>
  </si>
  <si>
    <t>19/12/2019</t>
  </si>
  <si>
    <t>20/01/2020</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</si>
</sst>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X15458"/>
  <sheetViews>
    <sheetView tabSelected="1" workbookViewId="0"/>
  </sheetViews>
  <sheetFormatPr defaultRowHeight="15"/>
  <sheetData>
    <row r="1" spans="1:2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row>
    <row r="2" spans="1:24">
      <c r="A2">
        <f>HYPERLINK("https://www.philgeps.gov.ph/GEPSNONPILOT/Tender/SplashBidNoticeAbstractUI.aspx?menuIndex=3&amp;refID=6902080&amp;Result=3","6902080")</f>
        <v>0</v>
      </c>
      <c r="B2" t="s">
        <v>24</v>
      </c>
      <c r="C2" t="s">
        <v>3195</v>
      </c>
      <c r="D2" t="s">
        <v>18022</v>
      </c>
      <c r="E2" t="s">
        <v>18133</v>
      </c>
      <c r="F2" t="s">
        <v>31574</v>
      </c>
      <c r="G2" t="s">
        <v>31581</v>
      </c>
      <c r="H2" t="s">
        <v>31590</v>
      </c>
      <c r="I2" t="s">
        <v>31594</v>
      </c>
      <c r="J2" t="s">
        <v>31724</v>
      </c>
      <c r="K2" t="s">
        <v>41184</v>
      </c>
      <c r="M2" t="s">
        <v>41506</v>
      </c>
      <c r="N2" t="s">
        <v>45095</v>
      </c>
      <c r="O2" t="s">
        <v>45096</v>
      </c>
      <c r="P2">
        <v>0</v>
      </c>
      <c r="Q2">
        <v>0</v>
      </c>
      <c r="R2" t="s">
        <v>45097</v>
      </c>
      <c r="S2" t="s">
        <v>45222</v>
      </c>
      <c r="T2" t="s">
        <v>46904</v>
      </c>
      <c r="U2" t="s">
        <v>47468</v>
      </c>
      <c r="V2" t="s">
        <v>59846</v>
      </c>
      <c r="W2" t="s">
        <v>41506</v>
      </c>
      <c r="X2" t="s">
        <v>45181</v>
      </c>
    </row>
    <row r="3" spans="1:24">
      <c r="A3">
        <f>HYPERLINK("https://www.philgeps.gov.ph/GEPSNONPILOT/Tender/SplashBidNoticeAbstractUI.aspx?menuIndex=3&amp;refID=6931796&amp;Result=3","6931796")</f>
        <v>0</v>
      </c>
      <c r="B3" t="s">
        <v>25</v>
      </c>
      <c r="C3" t="s">
        <v>3196</v>
      </c>
      <c r="D3" t="s">
        <v>18022</v>
      </c>
      <c r="E3" t="s">
        <v>18134</v>
      </c>
      <c r="F3" t="s">
        <v>31574</v>
      </c>
      <c r="G3" t="s">
        <v>31581</v>
      </c>
      <c r="H3" t="s">
        <v>31590</v>
      </c>
      <c r="I3" t="s">
        <v>31595</v>
      </c>
      <c r="J3" t="s">
        <v>31725</v>
      </c>
      <c r="K3" t="s">
        <v>41185</v>
      </c>
      <c r="M3" t="s">
        <v>41507</v>
      </c>
      <c r="N3" t="s">
        <v>45095</v>
      </c>
      <c r="O3" t="s">
        <v>45096</v>
      </c>
      <c r="P3">
        <v>0</v>
      </c>
      <c r="Q3">
        <v>0</v>
      </c>
      <c r="R3" t="s">
        <v>45097</v>
      </c>
      <c r="S3" t="s">
        <v>45222</v>
      </c>
      <c r="T3" t="s">
        <v>46905</v>
      </c>
      <c r="U3" t="s">
        <v>47469</v>
      </c>
      <c r="V3" t="s">
        <v>59847</v>
      </c>
      <c r="W3" t="s">
        <v>41507</v>
      </c>
      <c r="X3" t="s">
        <v>45172</v>
      </c>
    </row>
    <row r="4" spans="1:24">
      <c r="A4">
        <f>HYPERLINK("https://www.philgeps.gov.ph/GEPSNONPILOT/Tender/SplashBidNoticeAbstractUI.aspx?menuIndex=3&amp;refID=7029544&amp;Result=3","7029544")</f>
        <v>0</v>
      </c>
      <c r="B4" t="s">
        <v>26</v>
      </c>
      <c r="C4" t="s">
        <v>3197</v>
      </c>
      <c r="D4" t="s">
        <v>18023</v>
      </c>
      <c r="E4" t="s">
        <v>18135</v>
      </c>
      <c r="F4" t="s">
        <v>31574</v>
      </c>
      <c r="G4" t="s">
        <v>31582</v>
      </c>
      <c r="H4" t="s">
        <v>31591</v>
      </c>
      <c r="I4" t="s">
        <v>8822</v>
      </c>
      <c r="J4" t="s">
        <v>31726</v>
      </c>
      <c r="K4" t="s">
        <v>41186</v>
      </c>
      <c r="M4" t="s">
        <v>41508</v>
      </c>
      <c r="N4" t="s">
        <v>45095</v>
      </c>
      <c r="O4" t="s">
        <v>45096</v>
      </c>
      <c r="P4">
        <v>0</v>
      </c>
      <c r="Q4">
        <v>0</v>
      </c>
      <c r="R4" t="s">
        <v>45097</v>
      </c>
      <c r="S4" t="s">
        <v>45222</v>
      </c>
      <c r="T4" t="s">
        <v>46906</v>
      </c>
      <c r="U4" t="s">
        <v>47470</v>
      </c>
      <c r="W4" t="s">
        <v>41508</v>
      </c>
      <c r="X4" t="s">
        <v>45109</v>
      </c>
    </row>
    <row r="5" spans="1:24">
      <c r="A5">
        <f>HYPERLINK("https://www.philgeps.gov.ph/GEPSNONPILOT/Tender/SplashBidNoticeAbstractUI.aspx?menuIndex=3&amp;refID=7029527&amp;Result=3","7029527")</f>
        <v>0</v>
      </c>
      <c r="B5" t="s">
        <v>26</v>
      </c>
      <c r="C5" t="s">
        <v>3198</v>
      </c>
      <c r="D5" t="s">
        <v>18023</v>
      </c>
      <c r="E5" t="s">
        <v>18136</v>
      </c>
      <c r="F5" t="s">
        <v>31574</v>
      </c>
      <c r="G5" t="s">
        <v>31582</v>
      </c>
      <c r="H5" t="s">
        <v>31591</v>
      </c>
      <c r="I5" t="s">
        <v>8822</v>
      </c>
      <c r="J5" t="s">
        <v>31727</v>
      </c>
      <c r="K5" t="s">
        <v>41186</v>
      </c>
      <c r="M5" t="s">
        <v>41508</v>
      </c>
      <c r="N5" t="s">
        <v>45095</v>
      </c>
      <c r="O5" t="s">
        <v>45096</v>
      </c>
      <c r="P5">
        <v>0</v>
      </c>
      <c r="Q5">
        <v>0</v>
      </c>
      <c r="R5" t="s">
        <v>45097</v>
      </c>
      <c r="S5" t="s">
        <v>45222</v>
      </c>
      <c r="T5" t="s">
        <v>46906</v>
      </c>
      <c r="U5" t="s">
        <v>47471</v>
      </c>
      <c r="W5" t="s">
        <v>41508</v>
      </c>
      <c r="X5" t="s">
        <v>45109</v>
      </c>
    </row>
    <row r="6" spans="1:24">
      <c r="A6">
        <f>HYPERLINK("https://www.philgeps.gov.ph/GEPSNONPILOT/Tender/SplashBidNoticeAbstractUI.aspx?menuIndex=3&amp;refID=7031707&amp;Result=3","7031707")</f>
        <v>0</v>
      </c>
      <c r="B6" t="s">
        <v>27</v>
      </c>
      <c r="C6" t="s">
        <v>3199</v>
      </c>
      <c r="D6" t="s">
        <v>18024</v>
      </c>
      <c r="E6" t="s">
        <v>18137</v>
      </c>
      <c r="F6" t="s">
        <v>31574</v>
      </c>
      <c r="G6" t="s">
        <v>31582</v>
      </c>
      <c r="H6" t="s">
        <v>31592</v>
      </c>
      <c r="I6" t="s">
        <v>31596</v>
      </c>
      <c r="J6" t="s">
        <v>31728</v>
      </c>
      <c r="K6" t="s">
        <v>41187</v>
      </c>
      <c r="M6" t="s">
        <v>41509</v>
      </c>
      <c r="N6" t="s">
        <v>45095</v>
      </c>
      <c r="O6" t="s">
        <v>45096</v>
      </c>
      <c r="P6">
        <v>0</v>
      </c>
      <c r="Q6">
        <v>0</v>
      </c>
      <c r="R6" t="s">
        <v>45097</v>
      </c>
      <c r="S6" t="s">
        <v>45222</v>
      </c>
      <c r="T6" t="s">
        <v>46907</v>
      </c>
      <c r="U6" t="s">
        <v>47472</v>
      </c>
      <c r="W6" t="s">
        <v>41509</v>
      </c>
      <c r="X6" t="s">
        <v>45108</v>
      </c>
    </row>
    <row r="7" spans="1:24">
      <c r="A7">
        <f>HYPERLINK("https://www.philgeps.gov.ph/GEPSNONPILOT/Tender/SplashBidNoticeAbstractUI.aspx?menuIndex=3&amp;refID=6991554-2&amp;Result=3","6991554-2")</f>
        <v>0</v>
      </c>
      <c r="B7" t="s">
        <v>28</v>
      </c>
      <c r="C7" t="s">
        <v>3200</v>
      </c>
      <c r="D7" t="s">
        <v>18025</v>
      </c>
      <c r="E7" t="s">
        <v>18138</v>
      </c>
      <c r="F7" t="s">
        <v>31574</v>
      </c>
      <c r="G7" t="s">
        <v>31582</v>
      </c>
      <c r="H7" t="s">
        <v>31593</v>
      </c>
      <c r="I7" t="s">
        <v>31593</v>
      </c>
      <c r="J7" t="s">
        <v>31729</v>
      </c>
      <c r="K7" t="s">
        <v>41188</v>
      </c>
      <c r="M7" t="s">
        <v>41510</v>
      </c>
      <c r="N7" t="s">
        <v>45095</v>
      </c>
      <c r="O7" t="s">
        <v>45096</v>
      </c>
      <c r="P7">
        <v>0</v>
      </c>
      <c r="Q7">
        <v>0</v>
      </c>
      <c r="R7" t="s">
        <v>45097</v>
      </c>
      <c r="S7" t="s">
        <v>45222</v>
      </c>
      <c r="T7" t="s">
        <v>46908</v>
      </c>
      <c r="U7" t="s">
        <v>47473</v>
      </c>
      <c r="W7" t="s">
        <v>41510</v>
      </c>
      <c r="X7" t="s">
        <v>45098</v>
      </c>
    </row>
    <row r="8" spans="1:24">
      <c r="A8">
        <f>HYPERLINK("https://www.philgeps.gov.ph/GEPSNONPILOT/Tender/SplashBidNoticeAbstractUI.aspx?menuIndex=3&amp;refID=7031606&amp;Result=3","7031606")</f>
        <v>0</v>
      </c>
      <c r="B8" t="s">
        <v>29</v>
      </c>
      <c r="C8" t="s">
        <v>3201</v>
      </c>
      <c r="D8" t="s">
        <v>18026</v>
      </c>
      <c r="E8" t="s">
        <v>18139</v>
      </c>
      <c r="F8" t="s">
        <v>31574</v>
      </c>
      <c r="G8" t="s">
        <v>31582</v>
      </c>
      <c r="H8" t="s">
        <v>31592</v>
      </c>
      <c r="I8" t="s">
        <v>31597</v>
      </c>
      <c r="J8" t="s">
        <v>31730</v>
      </c>
      <c r="K8" t="s">
        <v>41189</v>
      </c>
      <c r="M8" t="s">
        <v>41511</v>
      </c>
      <c r="N8" t="s">
        <v>45095</v>
      </c>
      <c r="O8" t="s">
        <v>45096</v>
      </c>
      <c r="P8">
        <v>0</v>
      </c>
      <c r="Q8">
        <v>0</v>
      </c>
      <c r="R8" t="s">
        <v>45097</v>
      </c>
      <c r="S8" t="s">
        <v>45222</v>
      </c>
      <c r="T8" t="s">
        <v>46909</v>
      </c>
      <c r="U8" t="s">
        <v>47474</v>
      </c>
      <c r="V8" t="s">
        <v>59848</v>
      </c>
      <c r="W8" t="s">
        <v>41511</v>
      </c>
      <c r="X8" t="s">
        <v>45108</v>
      </c>
    </row>
    <row r="9" spans="1:24">
      <c r="A9">
        <f>HYPERLINK("https://www.philgeps.gov.ph/GEPSNONPILOT/Tender/SplashBidNoticeAbstractUI.aspx?menuIndex=3&amp;refID=7029553&amp;Result=3","7029553")</f>
        <v>0</v>
      </c>
      <c r="B9" t="s">
        <v>26</v>
      </c>
      <c r="C9" t="s">
        <v>3202</v>
      </c>
      <c r="D9" t="s">
        <v>18023</v>
      </c>
      <c r="E9" t="s">
        <v>18140</v>
      </c>
      <c r="F9" t="s">
        <v>31574</v>
      </c>
      <c r="G9" t="s">
        <v>31582</v>
      </c>
      <c r="H9" t="s">
        <v>31591</v>
      </c>
      <c r="I9" t="s">
        <v>8822</v>
      </c>
      <c r="J9" t="s">
        <v>31726</v>
      </c>
      <c r="K9" t="s">
        <v>41186</v>
      </c>
      <c r="M9" t="s">
        <v>41508</v>
      </c>
      <c r="N9" t="s">
        <v>45095</v>
      </c>
      <c r="O9" t="s">
        <v>45096</v>
      </c>
      <c r="P9">
        <v>0</v>
      </c>
      <c r="Q9">
        <v>0</v>
      </c>
      <c r="R9" t="s">
        <v>45097</v>
      </c>
      <c r="S9" t="s">
        <v>45222</v>
      </c>
      <c r="T9" t="s">
        <v>46906</v>
      </c>
      <c r="U9" t="s">
        <v>47475</v>
      </c>
      <c r="W9" t="s">
        <v>41508</v>
      </c>
      <c r="X9" t="s">
        <v>45109</v>
      </c>
    </row>
    <row r="10" spans="1:24">
      <c r="A10">
        <f>HYPERLINK("https://www.philgeps.gov.ph/GEPSNONPILOT/Tender/SplashBidNoticeAbstractUI.aspx?menuIndex=3&amp;refID=6936918&amp;Result=3","6936918")</f>
        <v>0</v>
      </c>
      <c r="B10" t="s">
        <v>30</v>
      </c>
      <c r="C10" t="s">
        <v>3203</v>
      </c>
      <c r="D10" t="s">
        <v>18027</v>
      </c>
      <c r="E10" t="s">
        <v>18141</v>
      </c>
      <c r="F10" t="s">
        <v>31574</v>
      </c>
      <c r="G10" t="s">
        <v>31582</v>
      </c>
      <c r="H10" t="s">
        <v>31590</v>
      </c>
      <c r="I10" t="s">
        <v>3487</v>
      </c>
      <c r="J10" t="s">
        <v>31731</v>
      </c>
      <c r="K10" t="s">
        <v>41190</v>
      </c>
      <c r="M10" t="s">
        <v>41512</v>
      </c>
      <c r="N10" t="s">
        <v>45095</v>
      </c>
      <c r="O10" t="s">
        <v>45096</v>
      </c>
      <c r="P10">
        <v>0</v>
      </c>
      <c r="Q10">
        <v>0</v>
      </c>
      <c r="R10" t="s">
        <v>45097</v>
      </c>
      <c r="S10" t="s">
        <v>45222</v>
      </c>
      <c r="T10" t="s">
        <v>46910</v>
      </c>
      <c r="U10" t="s">
        <v>47476</v>
      </c>
      <c r="W10" t="s">
        <v>41512</v>
      </c>
      <c r="X10" t="s">
        <v>45170</v>
      </c>
    </row>
    <row r="11" spans="1:24">
      <c r="A11">
        <f>HYPERLINK("https://www.philgeps.gov.ph/GEPSNONPILOT/Tender/SplashBidNoticeAbstractUI.aspx?menuIndex=3&amp;refID=7033060&amp;Result=3","7033060")</f>
        <v>0</v>
      </c>
      <c r="B11" t="s">
        <v>31</v>
      </c>
      <c r="C11" t="s">
        <v>3204</v>
      </c>
      <c r="E11" t="s">
        <v>18142</v>
      </c>
      <c r="F11" t="s">
        <v>31574</v>
      </c>
      <c r="G11" t="s">
        <v>31581</v>
      </c>
      <c r="H11" t="s">
        <v>31590</v>
      </c>
      <c r="I11" t="s">
        <v>14544</v>
      </c>
      <c r="J11" t="s">
        <v>31732</v>
      </c>
      <c r="K11" t="s">
        <v>41191</v>
      </c>
      <c r="M11" t="s">
        <v>41513</v>
      </c>
      <c r="N11" t="s">
        <v>45095</v>
      </c>
      <c r="O11" t="s">
        <v>45096</v>
      </c>
      <c r="P11">
        <v>0</v>
      </c>
      <c r="Q11">
        <v>0</v>
      </c>
      <c r="R11" t="s">
        <v>45097</v>
      </c>
      <c r="S11" t="s">
        <v>45222</v>
      </c>
      <c r="T11" t="s">
        <v>46910</v>
      </c>
      <c r="U11" t="s">
        <v>47477</v>
      </c>
      <c r="W11" t="s">
        <v>41513</v>
      </c>
      <c r="X11" t="s">
        <v>45105</v>
      </c>
    </row>
    <row r="12" spans="1:24">
      <c r="A12">
        <f>HYPERLINK("https://www.philgeps.gov.ph/GEPSNONPILOT/Tender/SplashBidNoticeAbstractUI.aspx?menuIndex=3&amp;refID=7033048&amp;Result=3","7033048")</f>
        <v>0</v>
      </c>
      <c r="B12" t="s">
        <v>31</v>
      </c>
      <c r="C12" t="s">
        <v>3205</v>
      </c>
      <c r="E12" t="s">
        <v>18143</v>
      </c>
      <c r="F12" t="s">
        <v>31574</v>
      </c>
      <c r="G12" t="s">
        <v>31581</v>
      </c>
      <c r="H12" t="s">
        <v>31590</v>
      </c>
      <c r="I12" t="s">
        <v>6800</v>
      </c>
      <c r="J12" t="s">
        <v>31733</v>
      </c>
      <c r="K12" t="s">
        <v>41191</v>
      </c>
      <c r="M12" t="s">
        <v>41513</v>
      </c>
      <c r="N12" t="s">
        <v>45095</v>
      </c>
      <c r="O12" t="s">
        <v>45096</v>
      </c>
      <c r="P12">
        <v>0</v>
      </c>
      <c r="Q12">
        <v>0</v>
      </c>
      <c r="R12" t="s">
        <v>45097</v>
      </c>
      <c r="S12" t="s">
        <v>45222</v>
      </c>
      <c r="T12" t="s">
        <v>46910</v>
      </c>
      <c r="U12" t="s">
        <v>47477</v>
      </c>
      <c r="W12" t="s">
        <v>41513</v>
      </c>
      <c r="X12" t="s">
        <v>45105</v>
      </c>
    </row>
    <row r="13" spans="1:24">
      <c r="A13">
        <f>HYPERLINK("https://www.philgeps.gov.ph/GEPSNONPILOT/Tender/SplashBidNoticeAbstractUI.aspx?menuIndex=3&amp;refID=7027208&amp;Result=3","7027208")</f>
        <v>0</v>
      </c>
      <c r="B13" t="s">
        <v>32</v>
      </c>
      <c r="C13" t="s">
        <v>3206</v>
      </c>
      <c r="D13" t="s">
        <v>18028</v>
      </c>
      <c r="E13" t="s">
        <v>18144</v>
      </c>
      <c r="F13" t="s">
        <v>31574</v>
      </c>
      <c r="G13" t="s">
        <v>31582</v>
      </c>
      <c r="H13" t="s">
        <v>31590</v>
      </c>
      <c r="I13" t="s">
        <v>31598</v>
      </c>
      <c r="J13" t="s">
        <v>31734</v>
      </c>
      <c r="K13" t="s">
        <v>41192</v>
      </c>
      <c r="M13" t="s">
        <v>41514</v>
      </c>
      <c r="N13" t="s">
        <v>45095</v>
      </c>
      <c r="O13" t="s">
        <v>45096</v>
      </c>
      <c r="P13">
        <v>0</v>
      </c>
      <c r="Q13">
        <v>1</v>
      </c>
      <c r="R13" t="s">
        <v>45097</v>
      </c>
      <c r="S13" t="s">
        <v>45222</v>
      </c>
      <c r="T13" t="s">
        <v>46908</v>
      </c>
      <c r="U13" t="s">
        <v>47478</v>
      </c>
      <c r="V13" t="s">
        <v>59849</v>
      </c>
      <c r="W13" t="s">
        <v>41514</v>
      </c>
      <c r="X13" t="s">
        <v>45109</v>
      </c>
    </row>
    <row r="14" spans="1:24">
      <c r="A14">
        <f>HYPERLINK("https://www.philgeps.gov.ph/GEPSNONPILOT/Tender/SplashBidNoticeAbstractUI.aspx?menuIndex=3&amp;refID=7033000&amp;Result=3","7033000")</f>
        <v>0</v>
      </c>
      <c r="B14" t="s">
        <v>33</v>
      </c>
      <c r="C14" t="s">
        <v>3207</v>
      </c>
      <c r="E14" t="s">
        <v>18145</v>
      </c>
      <c r="F14" t="s">
        <v>31574</v>
      </c>
      <c r="G14" t="s">
        <v>31581</v>
      </c>
      <c r="H14" t="s">
        <v>31590</v>
      </c>
      <c r="I14" t="s">
        <v>31599</v>
      </c>
      <c r="J14" t="s">
        <v>31735</v>
      </c>
      <c r="K14" t="s">
        <v>41184</v>
      </c>
      <c r="M14" t="s">
        <v>41515</v>
      </c>
      <c r="N14" t="s">
        <v>45095</v>
      </c>
      <c r="O14" t="s">
        <v>45096</v>
      </c>
      <c r="P14">
        <v>0</v>
      </c>
      <c r="Q14">
        <v>0</v>
      </c>
      <c r="R14" t="s">
        <v>45097</v>
      </c>
      <c r="S14" t="s">
        <v>45222</v>
      </c>
      <c r="T14" t="s">
        <v>46911</v>
      </c>
      <c r="U14" t="s">
        <v>47479</v>
      </c>
      <c r="W14" t="s">
        <v>41515</v>
      </c>
      <c r="X14" t="s">
        <v>45105</v>
      </c>
    </row>
    <row r="15" spans="1:24">
      <c r="A15">
        <f>HYPERLINK("https://www.philgeps.gov.ph/GEPSNONPILOT/Tender/SplashBidNoticeAbstractUI.aspx?menuIndex=3&amp;refID=7032692&amp;Result=3","7032692")</f>
        <v>0</v>
      </c>
      <c r="B15" t="s">
        <v>34</v>
      </c>
      <c r="C15" t="s">
        <v>3208</v>
      </c>
      <c r="D15" t="s">
        <v>18029</v>
      </c>
      <c r="E15" t="s">
        <v>18146</v>
      </c>
      <c r="F15" t="s">
        <v>31574</v>
      </c>
      <c r="G15" t="s">
        <v>31582</v>
      </c>
      <c r="H15" t="s">
        <v>31591</v>
      </c>
      <c r="I15" t="s">
        <v>8822</v>
      </c>
      <c r="J15" t="s">
        <v>31736</v>
      </c>
      <c r="K15" t="s">
        <v>41186</v>
      </c>
      <c r="M15" t="s">
        <v>41516</v>
      </c>
      <c r="N15" t="s">
        <v>45095</v>
      </c>
      <c r="O15" t="s">
        <v>45096</v>
      </c>
      <c r="P15">
        <v>0</v>
      </c>
      <c r="Q15">
        <v>0</v>
      </c>
      <c r="R15" t="s">
        <v>45097</v>
      </c>
      <c r="S15" t="s">
        <v>45222</v>
      </c>
      <c r="T15" t="s">
        <v>46912</v>
      </c>
      <c r="U15" t="s">
        <v>47480</v>
      </c>
      <c r="W15" t="s">
        <v>41516</v>
      </c>
      <c r="X15" t="s">
        <v>45106</v>
      </c>
    </row>
    <row r="16" spans="1:24">
      <c r="A16">
        <f>HYPERLINK("https://www.philgeps.gov.ph/GEPSNONPILOT/Tender/SplashBidNoticeAbstractUI.aspx?menuIndex=3&amp;refID=7032957&amp;Result=3","7032957")</f>
        <v>0</v>
      </c>
      <c r="B16" t="s">
        <v>31</v>
      </c>
      <c r="C16" t="s">
        <v>3209</v>
      </c>
      <c r="E16" t="s">
        <v>18147</v>
      </c>
      <c r="F16" t="s">
        <v>31574</v>
      </c>
      <c r="G16" t="s">
        <v>31581</v>
      </c>
      <c r="H16" t="s">
        <v>31590</v>
      </c>
      <c r="I16" t="s">
        <v>14544</v>
      </c>
      <c r="J16" t="s">
        <v>31737</v>
      </c>
      <c r="K16" t="s">
        <v>41191</v>
      </c>
      <c r="M16" t="s">
        <v>41513</v>
      </c>
      <c r="N16" t="s">
        <v>45095</v>
      </c>
      <c r="O16" t="s">
        <v>45096</v>
      </c>
      <c r="P16">
        <v>0</v>
      </c>
      <c r="Q16">
        <v>0</v>
      </c>
      <c r="R16" t="s">
        <v>45097</v>
      </c>
      <c r="S16" t="s">
        <v>45222</v>
      </c>
      <c r="T16" t="s">
        <v>46910</v>
      </c>
      <c r="U16" t="s">
        <v>47477</v>
      </c>
      <c r="W16" t="s">
        <v>41513</v>
      </c>
      <c r="X16" t="s">
        <v>45105</v>
      </c>
    </row>
    <row r="17" spans="1:24">
      <c r="A17">
        <f>HYPERLINK("https://www.philgeps.gov.ph/GEPSNONPILOT/Tender/SplashBidNoticeAbstractUI.aspx?menuIndex=3&amp;refID=7029514&amp;Result=3","7029514")</f>
        <v>0</v>
      </c>
      <c r="B17" t="s">
        <v>26</v>
      </c>
      <c r="C17" t="s">
        <v>3210</v>
      </c>
      <c r="D17" t="s">
        <v>18023</v>
      </c>
      <c r="E17" t="s">
        <v>18148</v>
      </c>
      <c r="F17" t="s">
        <v>31574</v>
      </c>
      <c r="G17" t="s">
        <v>31582</v>
      </c>
      <c r="H17" t="s">
        <v>31591</v>
      </c>
      <c r="I17" t="s">
        <v>8822</v>
      </c>
      <c r="J17" t="s">
        <v>31738</v>
      </c>
      <c r="K17" t="s">
        <v>41186</v>
      </c>
      <c r="M17" t="s">
        <v>41508</v>
      </c>
      <c r="N17" t="s">
        <v>45095</v>
      </c>
      <c r="O17" t="s">
        <v>45096</v>
      </c>
      <c r="P17">
        <v>0</v>
      </c>
      <c r="Q17">
        <v>0</v>
      </c>
      <c r="R17" t="s">
        <v>45097</v>
      </c>
      <c r="S17" t="s">
        <v>45222</v>
      </c>
      <c r="T17" t="s">
        <v>46906</v>
      </c>
      <c r="U17" t="s">
        <v>47481</v>
      </c>
      <c r="W17" t="s">
        <v>41508</v>
      </c>
      <c r="X17" t="s">
        <v>45109</v>
      </c>
    </row>
    <row r="18" spans="1:24">
      <c r="A18">
        <f>HYPERLINK("https://www.philgeps.gov.ph/GEPSNONPILOT/Tender/SplashBidNoticeAbstractUI.aspx?menuIndex=3&amp;refID=7032711&amp;Result=3","7032711")</f>
        <v>0</v>
      </c>
      <c r="B18" t="s">
        <v>35</v>
      </c>
      <c r="C18" t="s">
        <v>3211</v>
      </c>
      <c r="D18" t="s">
        <v>18030</v>
      </c>
      <c r="E18" t="s">
        <v>3211</v>
      </c>
      <c r="F18" t="s">
        <v>31574</v>
      </c>
      <c r="G18" t="s">
        <v>31583</v>
      </c>
      <c r="H18" t="s">
        <v>31590</v>
      </c>
      <c r="I18" t="s">
        <v>7185</v>
      </c>
      <c r="J18" t="s">
        <v>31739</v>
      </c>
      <c r="K18" t="s">
        <v>41186</v>
      </c>
      <c r="M18" t="s">
        <v>41517</v>
      </c>
      <c r="N18" t="s">
        <v>45095</v>
      </c>
      <c r="O18" t="s">
        <v>45096</v>
      </c>
      <c r="P18">
        <v>0</v>
      </c>
      <c r="Q18">
        <v>0</v>
      </c>
      <c r="R18" t="s">
        <v>45097</v>
      </c>
      <c r="S18" t="s">
        <v>45222</v>
      </c>
      <c r="T18" t="s">
        <v>46913</v>
      </c>
      <c r="U18" t="s">
        <v>47482</v>
      </c>
      <c r="W18" t="s">
        <v>41517</v>
      </c>
      <c r="X18" t="s">
        <v>45106</v>
      </c>
    </row>
    <row r="19" spans="1:24">
      <c r="A19">
        <f>HYPERLINK("https://www.philgeps.gov.ph/GEPSNONPILOT/Tender/SplashBidNoticeAbstractUI.aspx?menuIndex=3&amp;refID=7033075&amp;Result=3","7033075")</f>
        <v>0</v>
      </c>
      <c r="B19" t="s">
        <v>31</v>
      </c>
      <c r="C19" t="s">
        <v>3212</v>
      </c>
      <c r="E19" t="s">
        <v>18149</v>
      </c>
      <c r="F19" t="s">
        <v>31574</v>
      </c>
      <c r="G19" t="s">
        <v>31581</v>
      </c>
      <c r="H19" t="s">
        <v>31590</v>
      </c>
      <c r="I19" t="s">
        <v>14544</v>
      </c>
      <c r="J19" t="s">
        <v>31740</v>
      </c>
      <c r="K19" t="s">
        <v>41191</v>
      </c>
      <c r="M19" t="s">
        <v>41513</v>
      </c>
      <c r="N19" t="s">
        <v>45095</v>
      </c>
      <c r="O19" t="s">
        <v>45096</v>
      </c>
      <c r="P19">
        <v>0</v>
      </c>
      <c r="Q19">
        <v>0</v>
      </c>
      <c r="R19" t="s">
        <v>45097</v>
      </c>
      <c r="S19" t="s">
        <v>45222</v>
      </c>
      <c r="T19" t="s">
        <v>46910</v>
      </c>
      <c r="U19" t="s">
        <v>47477</v>
      </c>
      <c r="W19" t="s">
        <v>41513</v>
      </c>
      <c r="X19" t="s">
        <v>45105</v>
      </c>
    </row>
    <row r="20" spans="1:24">
      <c r="A20">
        <f>HYPERLINK("https://www.philgeps.gov.ph/GEPSNONPILOT/Tender/SplashBidNoticeAbstractUI.aspx?menuIndex=3&amp;refID=7037300&amp;Result=3","7037300")</f>
        <v>0</v>
      </c>
      <c r="B20" t="s">
        <v>31</v>
      </c>
      <c r="C20" t="s">
        <v>3213</v>
      </c>
      <c r="E20" t="s">
        <v>18150</v>
      </c>
      <c r="F20" t="s">
        <v>31574</v>
      </c>
      <c r="G20" t="s">
        <v>31581</v>
      </c>
      <c r="H20" t="s">
        <v>31590</v>
      </c>
      <c r="I20" t="s">
        <v>31600</v>
      </c>
      <c r="J20" t="s">
        <v>31741</v>
      </c>
      <c r="K20" t="s">
        <v>41184</v>
      </c>
      <c r="M20" t="s">
        <v>41518</v>
      </c>
      <c r="N20" t="s">
        <v>45095</v>
      </c>
      <c r="O20" t="s">
        <v>45096</v>
      </c>
      <c r="P20">
        <v>0</v>
      </c>
      <c r="Q20">
        <v>0</v>
      </c>
      <c r="R20" t="s">
        <v>45097</v>
      </c>
      <c r="S20" t="s">
        <v>45222</v>
      </c>
      <c r="T20" t="s">
        <v>46910</v>
      </c>
      <c r="U20" t="s">
        <v>47477</v>
      </c>
      <c r="W20" t="s">
        <v>41518</v>
      </c>
      <c r="X20" t="s">
        <v>45104</v>
      </c>
    </row>
    <row r="21" spans="1:24">
      <c r="A21">
        <f>HYPERLINK("https://www.philgeps.gov.ph/GEPSNONPILOT/Tender/SplashBidNoticeAbstractUI.aspx?menuIndex=3&amp;refID=7011502&amp;Result=3","7011502")</f>
        <v>0</v>
      </c>
      <c r="B21" t="s">
        <v>36</v>
      </c>
      <c r="C21" t="s">
        <v>3214</v>
      </c>
      <c r="D21" t="s">
        <v>18031</v>
      </c>
      <c r="E21" t="s">
        <v>18151</v>
      </c>
      <c r="F21" t="s">
        <v>31575</v>
      </c>
      <c r="G21" t="s">
        <v>31584</v>
      </c>
      <c r="H21" t="s">
        <v>31590</v>
      </c>
      <c r="I21" t="s">
        <v>6800</v>
      </c>
      <c r="J21" t="s">
        <v>31742</v>
      </c>
      <c r="K21" t="s">
        <v>41193</v>
      </c>
      <c r="M21" t="s">
        <v>41519</v>
      </c>
      <c r="N21" t="s">
        <v>45095</v>
      </c>
      <c r="O21" t="s">
        <v>45096</v>
      </c>
      <c r="P21">
        <v>0</v>
      </c>
      <c r="Q21">
        <v>0</v>
      </c>
      <c r="R21" t="s">
        <v>45097</v>
      </c>
      <c r="S21" t="s">
        <v>45222</v>
      </c>
      <c r="T21" t="s">
        <v>46905</v>
      </c>
      <c r="U21" t="s">
        <v>47483</v>
      </c>
      <c r="W21" t="s">
        <v>41519</v>
      </c>
      <c r="X21" t="s">
        <v>45118</v>
      </c>
    </row>
    <row r="22" spans="1:24">
      <c r="A22">
        <f>HYPERLINK("https://www.philgeps.gov.ph/GEPSNONPILOT/Tender/SplashBidNoticeAbstractUI.aspx?menuIndex=3&amp;refID=6976569&amp;Result=3","6976569")</f>
        <v>0</v>
      </c>
      <c r="B22" t="s">
        <v>37</v>
      </c>
      <c r="C22" t="s">
        <v>3215</v>
      </c>
      <c r="D22" t="s">
        <v>18032</v>
      </c>
      <c r="E22" t="s">
        <v>18152</v>
      </c>
      <c r="F22" t="s">
        <v>31574</v>
      </c>
      <c r="G22" t="s">
        <v>31581</v>
      </c>
      <c r="H22" t="s">
        <v>31590</v>
      </c>
      <c r="I22" t="s">
        <v>4327</v>
      </c>
      <c r="J22" t="s">
        <v>31743</v>
      </c>
      <c r="K22" t="s">
        <v>41194</v>
      </c>
      <c r="M22" t="s">
        <v>41520</v>
      </c>
      <c r="N22" t="s">
        <v>45095</v>
      </c>
      <c r="O22" t="s">
        <v>45096</v>
      </c>
      <c r="P22">
        <v>0</v>
      </c>
      <c r="Q22">
        <v>0</v>
      </c>
      <c r="R22" t="s">
        <v>45097</v>
      </c>
      <c r="S22" t="s">
        <v>45222</v>
      </c>
      <c r="T22" t="s">
        <v>46911</v>
      </c>
      <c r="U22" t="s">
        <v>47484</v>
      </c>
      <c r="W22" t="s">
        <v>41520</v>
      </c>
      <c r="X22" t="s">
        <v>45142</v>
      </c>
    </row>
    <row r="23" spans="1:24">
      <c r="A23">
        <f>HYPERLINK("https://www.philgeps.gov.ph/GEPSNONPILOT/Tender/SplashBidNoticeAbstractUI.aspx?menuIndex=3&amp;refID=7035492&amp;Result=3","7035492")</f>
        <v>0</v>
      </c>
      <c r="B23" t="s">
        <v>38</v>
      </c>
      <c r="C23" t="s">
        <v>3216</v>
      </c>
      <c r="D23" t="s">
        <v>18033</v>
      </c>
      <c r="E23" t="s">
        <v>18153</v>
      </c>
      <c r="F23" t="s">
        <v>31574</v>
      </c>
      <c r="G23" t="s">
        <v>31581</v>
      </c>
      <c r="H23" t="s">
        <v>31590</v>
      </c>
      <c r="I23" t="s">
        <v>6800</v>
      </c>
      <c r="J23" t="s">
        <v>31744</v>
      </c>
      <c r="K23" t="s">
        <v>41194</v>
      </c>
      <c r="M23" t="s">
        <v>41521</v>
      </c>
      <c r="N23" t="s">
        <v>45095</v>
      </c>
      <c r="O23" t="s">
        <v>45096</v>
      </c>
      <c r="P23">
        <v>0</v>
      </c>
      <c r="Q23">
        <v>0</v>
      </c>
      <c r="R23" t="s">
        <v>45097</v>
      </c>
      <c r="S23" t="s">
        <v>45222</v>
      </c>
      <c r="T23" t="s">
        <v>46913</v>
      </c>
      <c r="U23" t="s">
        <v>47485</v>
      </c>
      <c r="W23" t="s">
        <v>41521</v>
      </c>
      <c r="X23" t="s">
        <v>45104</v>
      </c>
    </row>
    <row r="24" spans="1:24">
      <c r="A24">
        <f>HYPERLINK("https://www.philgeps.gov.ph/GEPSNONPILOT/Tender/SplashBidNoticeAbstractUI.aspx?menuIndex=3&amp;refID=7035975&amp;Result=3","7035975")</f>
        <v>0</v>
      </c>
      <c r="B24" t="s">
        <v>39</v>
      </c>
      <c r="C24" t="s">
        <v>3217</v>
      </c>
      <c r="D24" t="s">
        <v>18034</v>
      </c>
      <c r="E24" t="s">
        <v>18154</v>
      </c>
      <c r="F24" t="s">
        <v>31574</v>
      </c>
      <c r="G24" t="s">
        <v>31582</v>
      </c>
      <c r="H24" t="s">
        <v>31591</v>
      </c>
      <c r="I24" t="s">
        <v>8822</v>
      </c>
      <c r="J24" t="s">
        <v>31745</v>
      </c>
      <c r="K24" t="s">
        <v>41195</v>
      </c>
      <c r="M24" t="s">
        <v>41522</v>
      </c>
      <c r="N24" t="s">
        <v>45095</v>
      </c>
      <c r="O24" t="s">
        <v>45096</v>
      </c>
      <c r="P24">
        <v>0</v>
      </c>
      <c r="Q24">
        <v>0</v>
      </c>
      <c r="R24" t="s">
        <v>45097</v>
      </c>
      <c r="S24" t="s">
        <v>45222</v>
      </c>
      <c r="T24" t="s">
        <v>46914</v>
      </c>
      <c r="U24" t="s">
        <v>47486</v>
      </c>
      <c r="W24" t="s">
        <v>41522</v>
      </c>
      <c r="X24" t="s">
        <v>45104</v>
      </c>
    </row>
    <row r="25" spans="1:24">
      <c r="A25">
        <f>HYPERLINK("https://www.philgeps.gov.ph/GEPSNONPILOT/Tender/SplashBidNoticeAbstractUI.aspx?menuIndex=3&amp;refID=7036632&amp;Result=3","7036632")</f>
        <v>0</v>
      </c>
      <c r="B25" t="s">
        <v>40</v>
      </c>
      <c r="C25" t="s">
        <v>3218</v>
      </c>
      <c r="D25" t="s">
        <v>18035</v>
      </c>
      <c r="E25" t="s">
        <v>18155</v>
      </c>
      <c r="F25" t="s">
        <v>31574</v>
      </c>
      <c r="G25" t="s">
        <v>31582</v>
      </c>
      <c r="H25" t="s">
        <v>31590</v>
      </c>
      <c r="I25" t="s">
        <v>31601</v>
      </c>
      <c r="J25" t="s">
        <v>31746</v>
      </c>
      <c r="K25" t="s">
        <v>41186</v>
      </c>
      <c r="M25" t="s">
        <v>41523</v>
      </c>
      <c r="N25" t="s">
        <v>45095</v>
      </c>
      <c r="O25" t="s">
        <v>45096</v>
      </c>
      <c r="P25">
        <v>0</v>
      </c>
      <c r="Q25">
        <v>0</v>
      </c>
      <c r="R25" t="s">
        <v>45097</v>
      </c>
      <c r="S25" t="s">
        <v>45222</v>
      </c>
      <c r="T25" t="s">
        <v>46915</v>
      </c>
      <c r="U25" t="s">
        <v>47487</v>
      </c>
      <c r="V25" t="s">
        <v>59850</v>
      </c>
      <c r="W25" t="s">
        <v>41523</v>
      </c>
      <c r="X25" t="s">
        <v>45104</v>
      </c>
    </row>
    <row r="26" spans="1:24">
      <c r="A26">
        <f>HYPERLINK("https://www.philgeps.gov.ph/GEPSNONPILOT/Tender/SplashBidNoticeAbstractUI.aspx?menuIndex=3&amp;refID=7036451&amp;Result=3","7036451")</f>
        <v>0</v>
      </c>
      <c r="B26" t="s">
        <v>41</v>
      </c>
      <c r="C26" t="s">
        <v>3219</v>
      </c>
      <c r="D26" t="s">
        <v>18036</v>
      </c>
      <c r="E26" t="s">
        <v>18156</v>
      </c>
      <c r="F26" t="s">
        <v>31574</v>
      </c>
      <c r="G26" t="s">
        <v>31582</v>
      </c>
      <c r="H26" t="s">
        <v>31590</v>
      </c>
      <c r="I26" t="s">
        <v>31595</v>
      </c>
      <c r="J26" t="s">
        <v>31747</v>
      </c>
      <c r="K26" t="s">
        <v>41186</v>
      </c>
      <c r="M26" t="s">
        <v>41524</v>
      </c>
      <c r="N26" t="s">
        <v>45095</v>
      </c>
      <c r="O26" t="s">
        <v>45096</v>
      </c>
      <c r="P26">
        <v>0</v>
      </c>
      <c r="Q26">
        <v>0</v>
      </c>
      <c r="R26" t="s">
        <v>45097</v>
      </c>
      <c r="S26" t="s">
        <v>45222</v>
      </c>
      <c r="T26" t="s">
        <v>46916</v>
      </c>
      <c r="U26" t="s">
        <v>47488</v>
      </c>
      <c r="V26" t="s">
        <v>59851</v>
      </c>
      <c r="W26" t="s">
        <v>41524</v>
      </c>
      <c r="X26" t="s">
        <v>45104</v>
      </c>
    </row>
    <row r="27" spans="1:24">
      <c r="A27">
        <f>HYPERLINK("https://www.philgeps.gov.ph/GEPSNONPILOT/Tender/SplashBidNoticeAbstractUI.aspx?menuIndex=3&amp;refID=7034263&amp;Result=3","7034263")</f>
        <v>0</v>
      </c>
      <c r="B27" t="s">
        <v>33</v>
      </c>
      <c r="C27" t="s">
        <v>3220</v>
      </c>
      <c r="D27" t="s">
        <v>18037</v>
      </c>
      <c r="E27" t="s">
        <v>18157</v>
      </c>
      <c r="F27" t="s">
        <v>31574</v>
      </c>
      <c r="G27" t="s">
        <v>31581</v>
      </c>
      <c r="H27" t="s">
        <v>31590</v>
      </c>
      <c r="I27" t="s">
        <v>3539</v>
      </c>
      <c r="J27" t="s">
        <v>31748</v>
      </c>
      <c r="K27" t="s">
        <v>41184</v>
      </c>
      <c r="M27" t="s">
        <v>41515</v>
      </c>
      <c r="N27" t="s">
        <v>45095</v>
      </c>
      <c r="O27" t="s">
        <v>45096</v>
      </c>
      <c r="P27">
        <v>0</v>
      </c>
      <c r="Q27">
        <v>0</v>
      </c>
      <c r="R27" t="s">
        <v>45097</v>
      </c>
      <c r="S27" t="s">
        <v>45222</v>
      </c>
      <c r="T27" t="s">
        <v>46911</v>
      </c>
      <c r="U27" t="s">
        <v>47489</v>
      </c>
      <c r="W27" t="s">
        <v>41515</v>
      </c>
      <c r="X27" t="s">
        <v>45105</v>
      </c>
    </row>
    <row r="28" spans="1:24">
      <c r="A28">
        <f>HYPERLINK("https://www.philgeps.gov.ph/GEPSNONPILOT/Tender/SplashBidNoticeAbstractUI.aspx?menuIndex=3&amp;refID=7033782&amp;Result=3","7033782")</f>
        <v>0</v>
      </c>
      <c r="B28" t="s">
        <v>42</v>
      </c>
      <c r="C28" t="s">
        <v>3221</v>
      </c>
      <c r="D28" t="s">
        <v>18038</v>
      </c>
      <c r="E28" t="s">
        <v>18158</v>
      </c>
      <c r="F28" t="s">
        <v>31574</v>
      </c>
      <c r="G28" t="s">
        <v>31584</v>
      </c>
      <c r="H28" t="s">
        <v>31590</v>
      </c>
      <c r="I28" t="s">
        <v>31595</v>
      </c>
      <c r="J28" t="s">
        <v>31749</v>
      </c>
      <c r="K28" t="s">
        <v>41190</v>
      </c>
      <c r="M28" t="s">
        <v>41525</v>
      </c>
      <c r="N28" t="s">
        <v>45095</v>
      </c>
      <c r="O28" t="s">
        <v>45096</v>
      </c>
      <c r="P28">
        <v>0</v>
      </c>
      <c r="Q28">
        <v>0</v>
      </c>
      <c r="R28" t="s">
        <v>45097</v>
      </c>
      <c r="S28" t="s">
        <v>45222</v>
      </c>
      <c r="T28" t="s">
        <v>46904</v>
      </c>
      <c r="U28" t="s">
        <v>47490</v>
      </c>
      <c r="W28" t="s">
        <v>41525</v>
      </c>
      <c r="X28" t="s">
        <v>45105</v>
      </c>
    </row>
    <row r="29" spans="1:24">
      <c r="A29">
        <f>HYPERLINK("https://www.philgeps.gov.ph/GEPSNONPILOT/Tender/SplashBidNoticeAbstractUI.aspx?menuIndex=3&amp;refID=7035927&amp;Result=3","7035927")</f>
        <v>0</v>
      </c>
      <c r="B29" t="s">
        <v>39</v>
      </c>
      <c r="C29" t="s">
        <v>3222</v>
      </c>
      <c r="D29" t="s">
        <v>18034</v>
      </c>
      <c r="E29" t="s">
        <v>18159</v>
      </c>
      <c r="F29" t="s">
        <v>31574</v>
      </c>
      <c r="G29" t="s">
        <v>31582</v>
      </c>
      <c r="H29" t="s">
        <v>31591</v>
      </c>
      <c r="I29" t="s">
        <v>8822</v>
      </c>
      <c r="J29" t="s">
        <v>31750</v>
      </c>
      <c r="K29" t="s">
        <v>41186</v>
      </c>
      <c r="M29" t="s">
        <v>41522</v>
      </c>
      <c r="N29" t="s">
        <v>45095</v>
      </c>
      <c r="O29" t="s">
        <v>45096</v>
      </c>
      <c r="P29">
        <v>0</v>
      </c>
      <c r="Q29">
        <v>0</v>
      </c>
      <c r="R29" t="s">
        <v>45097</v>
      </c>
      <c r="S29" t="s">
        <v>45222</v>
      </c>
      <c r="T29" t="s">
        <v>46914</v>
      </c>
      <c r="U29" t="s">
        <v>47491</v>
      </c>
      <c r="W29" t="s">
        <v>41522</v>
      </c>
      <c r="X29" t="s">
        <v>45104</v>
      </c>
    </row>
    <row r="30" spans="1:24">
      <c r="A30">
        <f>HYPERLINK("https://www.philgeps.gov.ph/GEPSNONPILOT/Tender/SplashBidNoticeAbstractUI.aspx?menuIndex=3&amp;refID=7019778&amp;Result=3","7019778")</f>
        <v>0</v>
      </c>
      <c r="B30" t="s">
        <v>43</v>
      </c>
      <c r="C30" t="s">
        <v>3223</v>
      </c>
      <c r="D30" t="s">
        <v>18039</v>
      </c>
      <c r="E30" t="s">
        <v>18160</v>
      </c>
      <c r="F30" t="s">
        <v>31574</v>
      </c>
      <c r="G30" t="s">
        <v>31585</v>
      </c>
      <c r="H30" t="s">
        <v>31591</v>
      </c>
      <c r="I30" t="s">
        <v>8822</v>
      </c>
      <c r="J30" t="s">
        <v>31751</v>
      </c>
      <c r="K30" t="s">
        <v>41185</v>
      </c>
      <c r="M30" t="s">
        <v>41526</v>
      </c>
      <c r="N30" t="s">
        <v>45095</v>
      </c>
      <c r="O30" t="s">
        <v>45096</v>
      </c>
      <c r="P30">
        <v>0</v>
      </c>
      <c r="Q30">
        <v>0</v>
      </c>
      <c r="R30" t="s">
        <v>45097</v>
      </c>
      <c r="S30" t="s">
        <v>45222</v>
      </c>
      <c r="T30" t="s">
        <v>46917</v>
      </c>
      <c r="U30" t="s">
        <v>47492</v>
      </c>
      <c r="W30" t="s">
        <v>41526</v>
      </c>
      <c r="X30" t="s">
        <v>45112</v>
      </c>
    </row>
    <row r="31" spans="1:24">
      <c r="A31">
        <f>HYPERLINK("https://www.philgeps.gov.ph/GEPSNONPILOT/Tender/SplashBidNoticeAbstractUI.aspx?menuIndex=3&amp;refID=7036696&amp;Result=3","7036696")</f>
        <v>0</v>
      </c>
      <c r="B31" t="s">
        <v>40</v>
      </c>
      <c r="C31" t="s">
        <v>3224</v>
      </c>
      <c r="D31" t="s">
        <v>18035</v>
      </c>
      <c r="E31" t="s">
        <v>18161</v>
      </c>
      <c r="F31" t="s">
        <v>31574</v>
      </c>
      <c r="G31" t="s">
        <v>31582</v>
      </c>
      <c r="H31" t="s">
        <v>31590</v>
      </c>
      <c r="I31" t="s">
        <v>4046</v>
      </c>
      <c r="J31" t="s">
        <v>31752</v>
      </c>
      <c r="K31" t="s">
        <v>41186</v>
      </c>
      <c r="M31" t="s">
        <v>41523</v>
      </c>
      <c r="N31" t="s">
        <v>45095</v>
      </c>
      <c r="O31" t="s">
        <v>45096</v>
      </c>
      <c r="P31">
        <v>0</v>
      </c>
      <c r="Q31">
        <v>0</v>
      </c>
      <c r="R31" t="s">
        <v>45097</v>
      </c>
      <c r="S31" t="s">
        <v>45222</v>
      </c>
      <c r="T31" t="s">
        <v>46915</v>
      </c>
      <c r="U31" t="s">
        <v>47493</v>
      </c>
      <c r="V31" t="s">
        <v>59850</v>
      </c>
      <c r="W31" t="s">
        <v>41523</v>
      </c>
      <c r="X31" t="s">
        <v>45104</v>
      </c>
    </row>
    <row r="32" spans="1:24">
      <c r="A32">
        <f>HYPERLINK("https://www.philgeps.gov.ph/GEPSNONPILOT/Tender/SplashBidNoticeAbstractUI.aspx?menuIndex=3&amp;refID=7033286&amp;Result=3","7033286")</f>
        <v>0</v>
      </c>
      <c r="B32" t="s">
        <v>44</v>
      </c>
      <c r="C32" t="s">
        <v>3225</v>
      </c>
      <c r="D32" t="s">
        <v>18022</v>
      </c>
      <c r="E32" t="s">
        <v>18162</v>
      </c>
      <c r="F32" t="s">
        <v>31574</v>
      </c>
      <c r="G32" t="s">
        <v>31581</v>
      </c>
      <c r="H32" t="s">
        <v>31590</v>
      </c>
      <c r="I32" t="s">
        <v>31602</v>
      </c>
      <c r="J32" t="s">
        <v>31753</v>
      </c>
      <c r="K32" t="s">
        <v>41184</v>
      </c>
      <c r="M32" t="s">
        <v>41527</v>
      </c>
      <c r="N32" t="s">
        <v>45095</v>
      </c>
      <c r="O32" t="s">
        <v>45096</v>
      </c>
      <c r="P32">
        <v>0</v>
      </c>
      <c r="Q32">
        <v>0</v>
      </c>
      <c r="R32" t="s">
        <v>45097</v>
      </c>
      <c r="S32" t="s">
        <v>45222</v>
      </c>
      <c r="T32" t="s">
        <v>46918</v>
      </c>
      <c r="U32" t="s">
        <v>47494</v>
      </c>
      <c r="W32" t="s">
        <v>41527</v>
      </c>
      <c r="X32" t="s">
        <v>45105</v>
      </c>
    </row>
    <row r="33" spans="1:24">
      <c r="A33">
        <f>HYPERLINK("https://www.philgeps.gov.ph/GEPSNONPILOT/Tender/SplashBidNoticeAbstractUI.aspx?menuIndex=3&amp;refID=7033525&amp;Result=3","7033525")</f>
        <v>0</v>
      </c>
      <c r="B33" t="s">
        <v>33</v>
      </c>
      <c r="C33" t="s">
        <v>3226</v>
      </c>
      <c r="E33" t="s">
        <v>18163</v>
      </c>
      <c r="F33" t="s">
        <v>31574</v>
      </c>
      <c r="G33" t="s">
        <v>31581</v>
      </c>
      <c r="H33" t="s">
        <v>31590</v>
      </c>
      <c r="I33" t="s">
        <v>31603</v>
      </c>
      <c r="J33" t="s">
        <v>31754</v>
      </c>
      <c r="K33" t="s">
        <v>41184</v>
      </c>
      <c r="M33" t="s">
        <v>41515</v>
      </c>
      <c r="N33" t="s">
        <v>45095</v>
      </c>
      <c r="O33" t="s">
        <v>45096</v>
      </c>
      <c r="P33">
        <v>0</v>
      </c>
      <c r="Q33">
        <v>0</v>
      </c>
      <c r="R33" t="s">
        <v>45097</v>
      </c>
      <c r="S33" t="s">
        <v>45222</v>
      </c>
      <c r="T33" t="s">
        <v>46911</v>
      </c>
      <c r="U33" t="s">
        <v>47495</v>
      </c>
      <c r="W33" t="s">
        <v>41515</v>
      </c>
      <c r="X33" t="s">
        <v>45105</v>
      </c>
    </row>
    <row r="34" spans="1:24">
      <c r="A34">
        <f>HYPERLINK("https://www.philgeps.gov.ph/GEPSNONPILOT/Tender/SplashBidNoticeAbstractUI.aspx?menuIndex=3&amp;refID=7033275&amp;Result=3","7033275")</f>
        <v>0</v>
      </c>
      <c r="B34" t="s">
        <v>33</v>
      </c>
      <c r="C34" t="s">
        <v>3227</v>
      </c>
      <c r="E34" t="s">
        <v>18164</v>
      </c>
      <c r="F34" t="s">
        <v>31574</v>
      </c>
      <c r="G34" t="s">
        <v>31581</v>
      </c>
      <c r="H34" t="s">
        <v>31590</v>
      </c>
      <c r="I34" t="s">
        <v>6800</v>
      </c>
      <c r="J34" t="s">
        <v>31755</v>
      </c>
      <c r="K34" t="s">
        <v>41184</v>
      </c>
      <c r="M34" t="s">
        <v>41515</v>
      </c>
      <c r="N34" t="s">
        <v>45095</v>
      </c>
      <c r="O34" t="s">
        <v>45096</v>
      </c>
      <c r="P34">
        <v>0</v>
      </c>
      <c r="Q34">
        <v>0</v>
      </c>
      <c r="R34" t="s">
        <v>45097</v>
      </c>
      <c r="S34" t="s">
        <v>45222</v>
      </c>
      <c r="T34" t="s">
        <v>46911</v>
      </c>
      <c r="U34" t="s">
        <v>47496</v>
      </c>
      <c r="W34" t="s">
        <v>41515</v>
      </c>
      <c r="X34" t="s">
        <v>45105</v>
      </c>
    </row>
    <row r="35" spans="1:24">
      <c r="A35">
        <f>HYPERLINK("https://www.philgeps.gov.ph/GEPSNONPILOT/Tender/SplashBidNoticeAbstractUI.aspx?menuIndex=3&amp;refID=7038159&amp;Result=3","7038159")</f>
        <v>0</v>
      </c>
      <c r="B35" t="s">
        <v>45</v>
      </c>
      <c r="C35" t="s">
        <v>3228</v>
      </c>
      <c r="D35" t="s">
        <v>18037</v>
      </c>
      <c r="E35" t="s">
        <v>18165</v>
      </c>
      <c r="F35" t="s">
        <v>31574</v>
      </c>
      <c r="G35" t="s">
        <v>31581</v>
      </c>
      <c r="H35" t="s">
        <v>31590</v>
      </c>
      <c r="I35" t="s">
        <v>6800</v>
      </c>
      <c r="J35" t="s">
        <v>31756</v>
      </c>
      <c r="K35" t="s">
        <v>41196</v>
      </c>
      <c r="M35" t="s">
        <v>41528</v>
      </c>
      <c r="N35" t="s">
        <v>45095</v>
      </c>
      <c r="O35" t="s">
        <v>45096</v>
      </c>
      <c r="P35">
        <v>0</v>
      </c>
      <c r="Q35">
        <v>0</v>
      </c>
      <c r="R35" t="s">
        <v>45097</v>
      </c>
      <c r="S35" t="s">
        <v>45222</v>
      </c>
      <c r="T35" t="s">
        <v>46918</v>
      </c>
      <c r="U35" t="s">
        <v>47497</v>
      </c>
      <c r="W35" t="s">
        <v>41528</v>
      </c>
      <c r="X35" t="s">
        <v>45103</v>
      </c>
    </row>
    <row r="36" spans="1:24">
      <c r="A36">
        <f>HYPERLINK("https://www.philgeps.gov.ph/GEPSNONPILOT/Tender/SplashBidNoticeAbstractUI.aspx?menuIndex=3&amp;refID=7037529&amp;Result=3","7037529")</f>
        <v>0</v>
      </c>
      <c r="B36" t="s">
        <v>46</v>
      </c>
      <c r="C36" t="s">
        <v>3229</v>
      </c>
      <c r="E36" t="s">
        <v>18166</v>
      </c>
      <c r="F36" t="s">
        <v>31574</v>
      </c>
      <c r="G36" t="s">
        <v>31582</v>
      </c>
      <c r="H36" t="s">
        <v>31590</v>
      </c>
      <c r="I36" t="s">
        <v>8258</v>
      </c>
      <c r="J36" t="s">
        <v>31757</v>
      </c>
      <c r="K36" t="s">
        <v>41184</v>
      </c>
      <c r="M36" t="s">
        <v>41529</v>
      </c>
      <c r="N36" t="s">
        <v>45095</v>
      </c>
      <c r="O36" t="s">
        <v>45096</v>
      </c>
      <c r="P36">
        <v>0</v>
      </c>
      <c r="Q36">
        <v>0</v>
      </c>
      <c r="R36" t="s">
        <v>45097</v>
      </c>
      <c r="S36" t="s">
        <v>45222</v>
      </c>
      <c r="T36" t="s">
        <v>46919</v>
      </c>
      <c r="U36" t="s">
        <v>47498</v>
      </c>
      <c r="W36" t="s">
        <v>41529</v>
      </c>
      <c r="X36" t="s">
        <v>45104</v>
      </c>
    </row>
    <row r="37" spans="1:24">
      <c r="A37">
        <f>HYPERLINK("https://www.philgeps.gov.ph/GEPSNONPILOT/Tender/SplashBidNoticeAbstractUI.aspx?menuIndex=3&amp;refID=7037564&amp;Result=3","7037564")</f>
        <v>0</v>
      </c>
      <c r="B37" t="s">
        <v>46</v>
      </c>
      <c r="C37" t="s">
        <v>3230</v>
      </c>
      <c r="E37" t="s">
        <v>18167</v>
      </c>
      <c r="F37" t="s">
        <v>31574</v>
      </c>
      <c r="G37" t="s">
        <v>31582</v>
      </c>
      <c r="H37" t="s">
        <v>31590</v>
      </c>
      <c r="I37" t="s">
        <v>8258</v>
      </c>
      <c r="J37" t="s">
        <v>31758</v>
      </c>
      <c r="K37" t="s">
        <v>41184</v>
      </c>
      <c r="M37" t="s">
        <v>41529</v>
      </c>
      <c r="N37" t="s">
        <v>45095</v>
      </c>
      <c r="O37" t="s">
        <v>45096</v>
      </c>
      <c r="P37">
        <v>0</v>
      </c>
      <c r="Q37">
        <v>0</v>
      </c>
      <c r="R37" t="s">
        <v>45097</v>
      </c>
      <c r="S37" t="s">
        <v>45222</v>
      </c>
      <c r="T37" t="s">
        <v>46919</v>
      </c>
      <c r="U37" t="s">
        <v>47499</v>
      </c>
      <c r="W37" t="s">
        <v>41529</v>
      </c>
      <c r="X37" t="s">
        <v>45104</v>
      </c>
    </row>
    <row r="38" spans="1:24">
      <c r="A38">
        <f>HYPERLINK("https://www.philgeps.gov.ph/GEPSNONPILOT/Tender/SplashBidNoticeAbstractUI.aspx?menuIndex=3&amp;refID=7037321&amp;Result=3","7037321")</f>
        <v>0</v>
      </c>
      <c r="B38" t="s">
        <v>31</v>
      </c>
      <c r="C38" t="s">
        <v>3231</v>
      </c>
      <c r="E38" t="s">
        <v>18168</v>
      </c>
      <c r="F38" t="s">
        <v>31574</v>
      </c>
      <c r="G38" t="s">
        <v>31581</v>
      </c>
      <c r="H38" t="s">
        <v>31590</v>
      </c>
      <c r="I38" t="s">
        <v>31604</v>
      </c>
      <c r="J38" t="s">
        <v>31759</v>
      </c>
      <c r="K38" t="s">
        <v>41184</v>
      </c>
      <c r="M38" t="s">
        <v>41518</v>
      </c>
      <c r="N38" t="s">
        <v>45095</v>
      </c>
      <c r="O38" t="s">
        <v>45096</v>
      </c>
      <c r="P38">
        <v>0</v>
      </c>
      <c r="Q38">
        <v>0</v>
      </c>
      <c r="R38" t="s">
        <v>45097</v>
      </c>
      <c r="S38" t="s">
        <v>45222</v>
      </c>
      <c r="T38" t="s">
        <v>46910</v>
      </c>
      <c r="U38" t="s">
        <v>47477</v>
      </c>
      <c r="W38" t="s">
        <v>41518</v>
      </c>
      <c r="X38" t="s">
        <v>45104</v>
      </c>
    </row>
    <row r="39" spans="1:24">
      <c r="A39">
        <f>HYPERLINK("https://www.philgeps.gov.ph/GEPSNONPILOT/Tender/SplashBidNoticeAbstractUI.aspx?menuIndex=3&amp;refID=7037544&amp;Result=3","7037544")</f>
        <v>0</v>
      </c>
      <c r="B39" t="s">
        <v>47</v>
      </c>
      <c r="C39" t="s">
        <v>3232</v>
      </c>
      <c r="D39" t="s">
        <v>18040</v>
      </c>
      <c r="E39" t="s">
        <v>18169</v>
      </c>
      <c r="F39" t="s">
        <v>31574</v>
      </c>
      <c r="G39" t="s">
        <v>31582</v>
      </c>
      <c r="H39" t="s">
        <v>31590</v>
      </c>
      <c r="I39" t="s">
        <v>7185</v>
      </c>
      <c r="J39" t="s">
        <v>31760</v>
      </c>
      <c r="K39" t="s">
        <v>41194</v>
      </c>
      <c r="M39" t="s">
        <v>41530</v>
      </c>
      <c r="N39" t="s">
        <v>45095</v>
      </c>
      <c r="O39" t="s">
        <v>45096</v>
      </c>
      <c r="P39">
        <v>0</v>
      </c>
      <c r="Q39">
        <v>0</v>
      </c>
      <c r="R39" t="s">
        <v>45097</v>
      </c>
      <c r="S39" t="s">
        <v>45222</v>
      </c>
      <c r="T39" t="s">
        <v>46920</v>
      </c>
      <c r="U39" t="s">
        <v>47500</v>
      </c>
      <c r="W39" t="s">
        <v>41530</v>
      </c>
      <c r="X39" t="s">
        <v>45104</v>
      </c>
    </row>
    <row r="40" spans="1:24">
      <c r="A40">
        <f>HYPERLINK("https://www.philgeps.gov.ph/GEPSNONPILOT/Tender/SplashBidNoticeAbstractUI.aspx?menuIndex=3&amp;refID=7037588&amp;Result=3","7037588")</f>
        <v>0</v>
      </c>
      <c r="B40" t="s">
        <v>46</v>
      </c>
      <c r="C40" t="s">
        <v>3233</v>
      </c>
      <c r="E40" t="s">
        <v>18170</v>
      </c>
      <c r="F40" t="s">
        <v>31574</v>
      </c>
      <c r="G40" t="s">
        <v>31582</v>
      </c>
      <c r="H40" t="s">
        <v>31590</v>
      </c>
      <c r="I40" t="s">
        <v>8258</v>
      </c>
      <c r="J40" t="s">
        <v>31761</v>
      </c>
      <c r="K40" t="s">
        <v>41184</v>
      </c>
      <c r="M40" t="s">
        <v>41529</v>
      </c>
      <c r="N40" t="s">
        <v>45095</v>
      </c>
      <c r="O40" t="s">
        <v>45096</v>
      </c>
      <c r="P40">
        <v>0</v>
      </c>
      <c r="Q40">
        <v>0</v>
      </c>
      <c r="R40" t="s">
        <v>45097</v>
      </c>
      <c r="S40" t="s">
        <v>45222</v>
      </c>
      <c r="T40" t="s">
        <v>46919</v>
      </c>
      <c r="U40" t="s">
        <v>47501</v>
      </c>
      <c r="W40" t="s">
        <v>41529</v>
      </c>
      <c r="X40" t="s">
        <v>45104</v>
      </c>
    </row>
    <row r="41" spans="1:24">
      <c r="A41">
        <f>HYPERLINK("https://www.philgeps.gov.ph/GEPSNONPILOT/Tender/SplashBidNoticeAbstractUI.aspx?menuIndex=3&amp;refID=7037617&amp;Result=3","7037617")</f>
        <v>0</v>
      </c>
      <c r="B41" t="s">
        <v>46</v>
      </c>
      <c r="C41" t="s">
        <v>3234</v>
      </c>
      <c r="E41" t="s">
        <v>18171</v>
      </c>
      <c r="F41" t="s">
        <v>31574</v>
      </c>
      <c r="G41" t="s">
        <v>31582</v>
      </c>
      <c r="H41" t="s">
        <v>31590</v>
      </c>
      <c r="I41" t="s">
        <v>8258</v>
      </c>
      <c r="J41" t="s">
        <v>31762</v>
      </c>
      <c r="K41" t="s">
        <v>41184</v>
      </c>
      <c r="M41" t="s">
        <v>41529</v>
      </c>
      <c r="N41" t="s">
        <v>45095</v>
      </c>
      <c r="O41" t="s">
        <v>45096</v>
      </c>
      <c r="P41">
        <v>0</v>
      </c>
      <c r="Q41">
        <v>0</v>
      </c>
      <c r="R41" t="s">
        <v>45097</v>
      </c>
      <c r="S41" t="s">
        <v>45222</v>
      </c>
      <c r="T41" t="s">
        <v>46919</v>
      </c>
      <c r="U41" t="s">
        <v>47502</v>
      </c>
      <c r="W41" t="s">
        <v>41529</v>
      </c>
      <c r="X41" t="s">
        <v>45104</v>
      </c>
    </row>
    <row r="42" spans="1:24">
      <c r="A42">
        <f>HYPERLINK("https://www.philgeps.gov.ph/GEPSNONPILOT/Tender/SplashBidNoticeAbstractUI.aspx?menuIndex=3&amp;refID=7038451&amp;Result=3","7038451")</f>
        <v>0</v>
      </c>
      <c r="B42" t="s">
        <v>48</v>
      </c>
      <c r="C42" t="s">
        <v>3235</v>
      </c>
      <c r="D42" t="s">
        <v>18041</v>
      </c>
      <c r="E42" t="s">
        <v>18172</v>
      </c>
      <c r="F42" t="s">
        <v>31574</v>
      </c>
      <c r="G42" t="s">
        <v>31581</v>
      </c>
      <c r="H42" t="s">
        <v>31590</v>
      </c>
      <c r="I42" t="s">
        <v>31605</v>
      </c>
      <c r="J42" t="s">
        <v>31763</v>
      </c>
      <c r="K42" t="s">
        <v>41184</v>
      </c>
      <c r="M42" t="s">
        <v>41531</v>
      </c>
      <c r="N42" t="s">
        <v>45095</v>
      </c>
      <c r="O42" t="s">
        <v>45096</v>
      </c>
      <c r="P42">
        <v>0</v>
      </c>
      <c r="Q42">
        <v>0</v>
      </c>
      <c r="R42" t="s">
        <v>45097</v>
      </c>
      <c r="S42" t="s">
        <v>45222</v>
      </c>
      <c r="T42" t="s">
        <v>46904</v>
      </c>
      <c r="U42" t="s">
        <v>47503</v>
      </c>
      <c r="W42" t="s">
        <v>41531</v>
      </c>
      <c r="X42" t="s">
        <v>45103</v>
      </c>
    </row>
    <row r="43" spans="1:24">
      <c r="A43">
        <f>HYPERLINK("https://www.philgeps.gov.ph/GEPSNONPILOT/Tender/SplashBidNoticeAbstractUI.aspx?menuIndex=3&amp;refID=7038277&amp;Result=3","7038277")</f>
        <v>0</v>
      </c>
      <c r="B43" t="s">
        <v>49</v>
      </c>
      <c r="C43" t="s">
        <v>3236</v>
      </c>
      <c r="D43" t="s">
        <v>18040</v>
      </c>
      <c r="E43" t="s">
        <v>18173</v>
      </c>
      <c r="F43" t="s">
        <v>31574</v>
      </c>
      <c r="G43" t="s">
        <v>31581</v>
      </c>
      <c r="H43" t="s">
        <v>31590</v>
      </c>
      <c r="I43" t="s">
        <v>3487</v>
      </c>
      <c r="J43" t="s">
        <v>31764</v>
      </c>
      <c r="K43" t="s">
        <v>41197</v>
      </c>
      <c r="M43" t="s">
        <v>41532</v>
      </c>
      <c r="N43" t="s">
        <v>45095</v>
      </c>
      <c r="O43" t="s">
        <v>45096</v>
      </c>
      <c r="P43">
        <v>0</v>
      </c>
      <c r="Q43">
        <v>0</v>
      </c>
      <c r="R43" t="s">
        <v>45097</v>
      </c>
      <c r="S43" t="s">
        <v>45222</v>
      </c>
      <c r="T43" t="s">
        <v>46918</v>
      </c>
      <c r="U43" t="s">
        <v>47504</v>
      </c>
      <c r="W43" t="s">
        <v>41532</v>
      </c>
      <c r="X43" t="s">
        <v>45103</v>
      </c>
    </row>
    <row r="44" spans="1:24">
      <c r="A44">
        <f>HYPERLINK("https://www.philgeps.gov.ph/GEPSNONPILOT/Tender/SplashBidNoticeAbstractUI.aspx?menuIndex=3&amp;refID=7039492&amp;Result=3","7039492")</f>
        <v>0</v>
      </c>
      <c r="B44" t="s">
        <v>50</v>
      </c>
      <c r="C44" t="s">
        <v>3237</v>
      </c>
      <c r="D44" t="s">
        <v>18042</v>
      </c>
      <c r="E44" t="s">
        <v>18174</v>
      </c>
      <c r="F44" t="s">
        <v>31574</v>
      </c>
      <c r="G44" t="s">
        <v>31582</v>
      </c>
      <c r="H44" t="s">
        <v>31591</v>
      </c>
      <c r="I44" t="s">
        <v>8822</v>
      </c>
      <c r="J44" t="s">
        <v>31765</v>
      </c>
      <c r="K44" t="s">
        <v>41198</v>
      </c>
      <c r="M44" t="s">
        <v>41533</v>
      </c>
      <c r="N44" t="s">
        <v>45095</v>
      </c>
      <c r="O44" t="s">
        <v>45096</v>
      </c>
      <c r="P44">
        <v>0</v>
      </c>
      <c r="Q44">
        <v>0</v>
      </c>
      <c r="R44" t="s">
        <v>45097</v>
      </c>
      <c r="S44" t="s">
        <v>45222</v>
      </c>
      <c r="T44" t="s">
        <v>46916</v>
      </c>
      <c r="U44" t="s">
        <v>47505</v>
      </c>
      <c r="W44" t="s">
        <v>41533</v>
      </c>
      <c r="X44" t="s">
        <v>45103</v>
      </c>
    </row>
    <row r="45" spans="1:24">
      <c r="A45">
        <f>HYPERLINK("https://www.philgeps.gov.ph/GEPSNONPILOT/Tender/SplashBidNoticeAbstractUI.aspx?menuIndex=3&amp;refID=7039030&amp;Result=3","7039030")</f>
        <v>0</v>
      </c>
      <c r="B45" t="s">
        <v>51</v>
      </c>
      <c r="C45" t="s">
        <v>3238</v>
      </c>
      <c r="D45" t="s">
        <v>18043</v>
      </c>
      <c r="E45" t="s">
        <v>18175</v>
      </c>
      <c r="F45" t="s">
        <v>31574</v>
      </c>
      <c r="G45" t="s">
        <v>31583</v>
      </c>
      <c r="H45" t="s">
        <v>31590</v>
      </c>
      <c r="I45" t="s">
        <v>3520</v>
      </c>
      <c r="J45" t="s">
        <v>31766</v>
      </c>
      <c r="K45" t="s">
        <v>41197</v>
      </c>
      <c r="M45" t="s">
        <v>41534</v>
      </c>
      <c r="N45" t="s">
        <v>45095</v>
      </c>
      <c r="O45" t="s">
        <v>45096</v>
      </c>
      <c r="P45">
        <v>0</v>
      </c>
      <c r="Q45">
        <v>0</v>
      </c>
      <c r="R45" t="s">
        <v>45097</v>
      </c>
      <c r="S45" t="s">
        <v>45222</v>
      </c>
      <c r="T45" t="s">
        <v>46921</v>
      </c>
      <c r="U45" t="s">
        <v>47506</v>
      </c>
      <c r="W45" t="s">
        <v>41534</v>
      </c>
      <c r="X45" t="s">
        <v>45103</v>
      </c>
    </row>
    <row r="46" spans="1:24">
      <c r="A46">
        <f>HYPERLINK("https://www.philgeps.gov.ph/GEPSNONPILOT/Tender/SplashBidNoticeAbstractUI.aspx?menuIndex=3&amp;refID=7039457&amp;Result=3","7039457")</f>
        <v>0</v>
      </c>
      <c r="B46" t="s">
        <v>50</v>
      </c>
      <c r="C46" t="s">
        <v>3239</v>
      </c>
      <c r="D46" t="s">
        <v>18042</v>
      </c>
      <c r="E46" t="s">
        <v>18176</v>
      </c>
      <c r="F46" t="s">
        <v>31574</v>
      </c>
      <c r="G46" t="s">
        <v>31582</v>
      </c>
      <c r="H46" t="s">
        <v>31591</v>
      </c>
      <c r="I46" t="s">
        <v>8822</v>
      </c>
      <c r="J46" t="s">
        <v>31767</v>
      </c>
      <c r="K46" t="s">
        <v>41186</v>
      </c>
      <c r="M46" t="s">
        <v>41533</v>
      </c>
      <c r="N46" t="s">
        <v>45095</v>
      </c>
      <c r="O46" t="s">
        <v>45096</v>
      </c>
      <c r="P46">
        <v>0</v>
      </c>
      <c r="Q46">
        <v>0</v>
      </c>
      <c r="R46" t="s">
        <v>45097</v>
      </c>
      <c r="S46" t="s">
        <v>45222</v>
      </c>
      <c r="T46" t="s">
        <v>46916</v>
      </c>
      <c r="U46" t="s">
        <v>47507</v>
      </c>
      <c r="W46" t="s">
        <v>41533</v>
      </c>
      <c r="X46" t="s">
        <v>45103</v>
      </c>
    </row>
    <row r="47" spans="1:24">
      <c r="A47">
        <f>HYPERLINK("https://www.philgeps.gov.ph/GEPSNONPILOT/Tender/SplashBidNoticeAbstractUI.aspx?menuIndex=3&amp;refID=7039253&amp;Result=3","7039253")</f>
        <v>0</v>
      </c>
      <c r="B47" t="s">
        <v>50</v>
      </c>
      <c r="C47" t="s">
        <v>3240</v>
      </c>
      <c r="D47" t="s">
        <v>18042</v>
      </c>
      <c r="E47" t="s">
        <v>18177</v>
      </c>
      <c r="F47" t="s">
        <v>31574</v>
      </c>
      <c r="G47" t="s">
        <v>31582</v>
      </c>
      <c r="H47" t="s">
        <v>31591</v>
      </c>
      <c r="I47" t="s">
        <v>8822</v>
      </c>
      <c r="J47" t="s">
        <v>31768</v>
      </c>
      <c r="K47" t="s">
        <v>41189</v>
      </c>
      <c r="M47" t="s">
        <v>41533</v>
      </c>
      <c r="N47" t="s">
        <v>45095</v>
      </c>
      <c r="O47" t="s">
        <v>45096</v>
      </c>
      <c r="P47">
        <v>0</v>
      </c>
      <c r="Q47">
        <v>0</v>
      </c>
      <c r="R47" t="s">
        <v>45097</v>
      </c>
      <c r="S47" t="s">
        <v>45222</v>
      </c>
      <c r="T47" t="s">
        <v>46916</v>
      </c>
      <c r="U47" t="s">
        <v>47508</v>
      </c>
      <c r="W47" t="s">
        <v>41533</v>
      </c>
      <c r="X47" t="s">
        <v>45103</v>
      </c>
    </row>
    <row r="48" spans="1:24">
      <c r="A48">
        <f>HYPERLINK("https://www.philgeps.gov.ph/GEPSNONPILOT/Tender/SplashBidNoticeAbstractUI.aspx?menuIndex=3&amp;refID=7038572&amp;Result=3","7038572")</f>
        <v>0</v>
      </c>
      <c r="B48" t="s">
        <v>31</v>
      </c>
      <c r="C48" t="s">
        <v>3241</v>
      </c>
      <c r="E48" t="s">
        <v>18178</v>
      </c>
      <c r="F48" t="s">
        <v>31574</v>
      </c>
      <c r="G48" t="s">
        <v>31581</v>
      </c>
      <c r="H48" t="s">
        <v>31590</v>
      </c>
      <c r="I48" t="s">
        <v>3539</v>
      </c>
      <c r="J48" t="s">
        <v>31769</v>
      </c>
      <c r="K48" t="s">
        <v>41184</v>
      </c>
      <c r="M48" t="s">
        <v>41535</v>
      </c>
      <c r="N48" t="s">
        <v>45095</v>
      </c>
      <c r="O48" t="s">
        <v>45096</v>
      </c>
      <c r="P48">
        <v>0</v>
      </c>
      <c r="Q48">
        <v>0</v>
      </c>
      <c r="R48" t="s">
        <v>45097</v>
      </c>
      <c r="S48" t="s">
        <v>45222</v>
      </c>
      <c r="T48" t="s">
        <v>46910</v>
      </c>
      <c r="U48" t="s">
        <v>47509</v>
      </c>
      <c r="W48" t="s">
        <v>41535</v>
      </c>
      <c r="X48" t="s">
        <v>45103</v>
      </c>
    </row>
    <row r="49" spans="1:24">
      <c r="A49">
        <f>HYPERLINK("https://www.philgeps.gov.ph/GEPSNONPILOT/Tender/SplashBidNoticeAbstractUI.aspx?menuIndex=3&amp;refID=7039208&amp;Result=3","7039208")</f>
        <v>0</v>
      </c>
      <c r="B49" t="s">
        <v>50</v>
      </c>
      <c r="C49" t="s">
        <v>3242</v>
      </c>
      <c r="D49" t="s">
        <v>18042</v>
      </c>
      <c r="E49" t="s">
        <v>18179</v>
      </c>
      <c r="F49" t="s">
        <v>31574</v>
      </c>
      <c r="G49" t="s">
        <v>31582</v>
      </c>
      <c r="H49" t="s">
        <v>31591</v>
      </c>
      <c r="I49" t="s">
        <v>8822</v>
      </c>
      <c r="J49" t="s">
        <v>31770</v>
      </c>
      <c r="K49" t="s">
        <v>41199</v>
      </c>
      <c r="M49" t="s">
        <v>41533</v>
      </c>
      <c r="N49" t="s">
        <v>45095</v>
      </c>
      <c r="O49" t="s">
        <v>45096</v>
      </c>
      <c r="P49">
        <v>0</v>
      </c>
      <c r="Q49">
        <v>0</v>
      </c>
      <c r="R49" t="s">
        <v>45097</v>
      </c>
      <c r="S49" t="s">
        <v>45222</v>
      </c>
      <c r="T49" t="s">
        <v>46916</v>
      </c>
      <c r="U49" t="s">
        <v>47510</v>
      </c>
      <c r="W49" t="s">
        <v>41533</v>
      </c>
      <c r="X49" t="s">
        <v>45103</v>
      </c>
    </row>
    <row r="50" spans="1:24">
      <c r="A50">
        <f>HYPERLINK("https://www.philgeps.gov.ph/GEPSNONPILOT/Tender/SplashBidNoticeAbstractUI.aspx?menuIndex=3&amp;refID=7038925&amp;Result=3","7038925")</f>
        <v>0</v>
      </c>
      <c r="B50" t="s">
        <v>52</v>
      </c>
      <c r="C50" t="s">
        <v>3243</v>
      </c>
      <c r="D50" t="s">
        <v>18044</v>
      </c>
      <c r="E50" t="s">
        <v>18180</v>
      </c>
      <c r="F50" t="s">
        <v>31574</v>
      </c>
      <c r="G50" t="s">
        <v>31582</v>
      </c>
      <c r="H50" t="s">
        <v>31590</v>
      </c>
      <c r="I50" t="s">
        <v>31606</v>
      </c>
      <c r="J50" t="s">
        <v>31771</v>
      </c>
      <c r="K50" t="s">
        <v>41186</v>
      </c>
      <c r="M50" t="s">
        <v>41536</v>
      </c>
      <c r="N50" t="s">
        <v>45095</v>
      </c>
      <c r="O50" t="s">
        <v>45096</v>
      </c>
      <c r="P50">
        <v>0</v>
      </c>
      <c r="Q50">
        <v>0</v>
      </c>
      <c r="R50" t="s">
        <v>45097</v>
      </c>
      <c r="S50" t="s">
        <v>45222</v>
      </c>
      <c r="T50" t="s">
        <v>46915</v>
      </c>
      <c r="U50" t="s">
        <v>47511</v>
      </c>
      <c r="V50" t="s">
        <v>59852</v>
      </c>
      <c r="W50" t="s">
        <v>41536</v>
      </c>
      <c r="X50" t="s">
        <v>45103</v>
      </c>
    </row>
    <row r="51" spans="1:24">
      <c r="A51">
        <f>HYPERLINK("https://www.philgeps.gov.ph/GEPSNONPILOT/Tender/SplashBidNoticeAbstractUI.aspx?menuIndex=3&amp;refID=7039228&amp;Result=3","7039228")</f>
        <v>0</v>
      </c>
      <c r="B51" t="s">
        <v>50</v>
      </c>
      <c r="C51" t="s">
        <v>3244</v>
      </c>
      <c r="D51" t="s">
        <v>18042</v>
      </c>
      <c r="E51" t="s">
        <v>18181</v>
      </c>
      <c r="F51" t="s">
        <v>31574</v>
      </c>
      <c r="G51" t="s">
        <v>31582</v>
      </c>
      <c r="H51" t="s">
        <v>31591</v>
      </c>
      <c r="I51" t="s">
        <v>8822</v>
      </c>
      <c r="J51" t="s">
        <v>31772</v>
      </c>
      <c r="K51" t="s">
        <v>41200</v>
      </c>
      <c r="M51" t="s">
        <v>41533</v>
      </c>
      <c r="N51" t="s">
        <v>45095</v>
      </c>
      <c r="O51" t="s">
        <v>45096</v>
      </c>
      <c r="P51">
        <v>0</v>
      </c>
      <c r="Q51">
        <v>0</v>
      </c>
      <c r="R51" t="s">
        <v>45097</v>
      </c>
      <c r="S51" t="s">
        <v>45222</v>
      </c>
      <c r="T51" t="s">
        <v>46916</v>
      </c>
      <c r="U51" t="s">
        <v>47512</v>
      </c>
      <c r="W51" t="s">
        <v>41533</v>
      </c>
      <c r="X51" t="s">
        <v>45103</v>
      </c>
    </row>
    <row r="52" spans="1:24">
      <c r="A52">
        <f>HYPERLINK("https://www.philgeps.gov.ph/GEPSNONPILOT/Tender/SplashBidNoticeAbstractUI.aspx?menuIndex=3&amp;refID=7039185&amp;Result=3","7039185")</f>
        <v>0</v>
      </c>
      <c r="B52" t="s">
        <v>53</v>
      </c>
      <c r="C52" t="s">
        <v>3245</v>
      </c>
      <c r="D52" t="s">
        <v>18040</v>
      </c>
      <c r="E52" t="s">
        <v>18182</v>
      </c>
      <c r="F52" t="s">
        <v>31574</v>
      </c>
      <c r="G52" t="s">
        <v>31582</v>
      </c>
      <c r="H52" t="s">
        <v>31591</v>
      </c>
      <c r="I52" t="s">
        <v>7162</v>
      </c>
      <c r="J52" t="s">
        <v>31773</v>
      </c>
      <c r="K52" t="s">
        <v>41200</v>
      </c>
      <c r="M52" t="s">
        <v>41537</v>
      </c>
      <c r="N52" t="s">
        <v>45095</v>
      </c>
      <c r="O52" t="s">
        <v>45096</v>
      </c>
      <c r="P52">
        <v>0</v>
      </c>
      <c r="Q52">
        <v>0</v>
      </c>
      <c r="R52" t="s">
        <v>45097</v>
      </c>
      <c r="S52" t="s">
        <v>45222</v>
      </c>
      <c r="T52" t="s">
        <v>46922</v>
      </c>
      <c r="U52" t="s">
        <v>47513</v>
      </c>
      <c r="W52" t="s">
        <v>41537</v>
      </c>
      <c r="X52" t="s">
        <v>45103</v>
      </c>
    </row>
    <row r="53" spans="1:24">
      <c r="A53">
        <f>HYPERLINK("https://www.philgeps.gov.ph/GEPSNONPILOT/Tender/SplashBidNoticeAbstractUI.aspx?menuIndex=3&amp;refID=7039190&amp;Result=3","7039190")</f>
        <v>0</v>
      </c>
      <c r="B53" t="s">
        <v>50</v>
      </c>
      <c r="C53" t="s">
        <v>3246</v>
      </c>
      <c r="D53" t="s">
        <v>18042</v>
      </c>
      <c r="E53" t="s">
        <v>18183</v>
      </c>
      <c r="F53" t="s">
        <v>31574</v>
      </c>
      <c r="G53" t="s">
        <v>31582</v>
      </c>
      <c r="H53" t="s">
        <v>31591</v>
      </c>
      <c r="I53" t="s">
        <v>8822</v>
      </c>
      <c r="J53" t="s">
        <v>31774</v>
      </c>
      <c r="K53" t="s">
        <v>41189</v>
      </c>
      <c r="M53" t="s">
        <v>41533</v>
      </c>
      <c r="N53" t="s">
        <v>45095</v>
      </c>
      <c r="O53" t="s">
        <v>45096</v>
      </c>
      <c r="P53">
        <v>0</v>
      </c>
      <c r="Q53">
        <v>0</v>
      </c>
      <c r="R53" t="s">
        <v>45097</v>
      </c>
      <c r="S53" t="s">
        <v>45222</v>
      </c>
      <c r="T53" t="s">
        <v>46916</v>
      </c>
      <c r="U53" t="s">
        <v>47514</v>
      </c>
      <c r="W53" t="s">
        <v>41533</v>
      </c>
      <c r="X53" t="s">
        <v>45103</v>
      </c>
    </row>
    <row r="54" spans="1:24">
      <c r="A54">
        <f>HYPERLINK("https://www.philgeps.gov.ph/GEPSNONPILOT/Tender/SplashBidNoticeAbstractUI.aspx?menuIndex=3&amp;refID=7039177&amp;Result=3","7039177")</f>
        <v>0</v>
      </c>
      <c r="B54" t="s">
        <v>53</v>
      </c>
      <c r="C54" t="s">
        <v>3247</v>
      </c>
      <c r="D54" t="s">
        <v>18040</v>
      </c>
      <c r="E54" t="s">
        <v>18184</v>
      </c>
      <c r="F54" t="s">
        <v>31574</v>
      </c>
      <c r="G54" t="s">
        <v>31582</v>
      </c>
      <c r="H54" t="s">
        <v>31591</v>
      </c>
      <c r="I54" t="s">
        <v>7162</v>
      </c>
      <c r="J54" t="s">
        <v>31775</v>
      </c>
      <c r="K54" t="s">
        <v>41200</v>
      </c>
      <c r="M54" t="s">
        <v>41537</v>
      </c>
      <c r="N54" t="s">
        <v>45095</v>
      </c>
      <c r="O54" t="s">
        <v>45096</v>
      </c>
      <c r="P54">
        <v>0</v>
      </c>
      <c r="Q54">
        <v>0</v>
      </c>
      <c r="R54" t="s">
        <v>45097</v>
      </c>
      <c r="S54" t="s">
        <v>45222</v>
      </c>
      <c r="T54" t="s">
        <v>46922</v>
      </c>
      <c r="U54" t="s">
        <v>47513</v>
      </c>
      <c r="W54" t="s">
        <v>41537</v>
      </c>
      <c r="X54" t="s">
        <v>45103</v>
      </c>
    </row>
    <row r="55" spans="1:24">
      <c r="A55">
        <f>HYPERLINK("https://www.philgeps.gov.ph/GEPSNONPILOT/Tender/SplashBidNoticeAbstractUI.aspx?menuIndex=3&amp;refID=7039164&amp;Result=3","7039164")</f>
        <v>0</v>
      </c>
      <c r="B55" t="s">
        <v>53</v>
      </c>
      <c r="C55" t="s">
        <v>3248</v>
      </c>
      <c r="D55" t="s">
        <v>18040</v>
      </c>
      <c r="E55" t="s">
        <v>18185</v>
      </c>
      <c r="F55" t="s">
        <v>31574</v>
      </c>
      <c r="G55" t="s">
        <v>31582</v>
      </c>
      <c r="H55" t="s">
        <v>31591</v>
      </c>
      <c r="I55" t="s">
        <v>7162</v>
      </c>
      <c r="J55" t="s">
        <v>31776</v>
      </c>
      <c r="K55" t="s">
        <v>41200</v>
      </c>
      <c r="M55" t="s">
        <v>41537</v>
      </c>
      <c r="N55" t="s">
        <v>45095</v>
      </c>
      <c r="O55" t="s">
        <v>45096</v>
      </c>
      <c r="P55">
        <v>0</v>
      </c>
      <c r="Q55">
        <v>0</v>
      </c>
      <c r="R55" t="s">
        <v>45097</v>
      </c>
      <c r="S55" t="s">
        <v>45222</v>
      </c>
      <c r="T55" t="s">
        <v>46922</v>
      </c>
      <c r="U55" t="s">
        <v>47513</v>
      </c>
      <c r="W55" t="s">
        <v>41537</v>
      </c>
      <c r="X55" t="s">
        <v>45103</v>
      </c>
    </row>
    <row r="56" spans="1:24">
      <c r="A56">
        <f>HYPERLINK("https://www.philgeps.gov.ph/GEPSNONPILOT/Tender/SplashBidNoticeAbstractUI.aspx?menuIndex=3&amp;refID=7039435&amp;Result=3","7039435")</f>
        <v>0</v>
      </c>
      <c r="B56" t="s">
        <v>50</v>
      </c>
      <c r="C56" t="s">
        <v>3249</v>
      </c>
      <c r="D56" t="s">
        <v>18042</v>
      </c>
      <c r="E56" t="s">
        <v>18186</v>
      </c>
      <c r="F56" t="s">
        <v>31574</v>
      </c>
      <c r="G56" t="s">
        <v>31582</v>
      </c>
      <c r="H56" t="s">
        <v>31591</v>
      </c>
      <c r="I56" t="s">
        <v>8822</v>
      </c>
      <c r="J56" t="s">
        <v>31777</v>
      </c>
      <c r="K56" t="s">
        <v>41186</v>
      </c>
      <c r="M56" t="s">
        <v>41533</v>
      </c>
      <c r="N56" t="s">
        <v>45095</v>
      </c>
      <c r="O56" t="s">
        <v>45096</v>
      </c>
      <c r="P56">
        <v>0</v>
      </c>
      <c r="Q56">
        <v>0</v>
      </c>
      <c r="R56" t="s">
        <v>45097</v>
      </c>
      <c r="S56" t="s">
        <v>45222</v>
      </c>
      <c r="T56" t="s">
        <v>46916</v>
      </c>
      <c r="U56" t="s">
        <v>47515</v>
      </c>
      <c r="W56" t="s">
        <v>41533</v>
      </c>
      <c r="X56" t="s">
        <v>45103</v>
      </c>
    </row>
    <row r="57" spans="1:24">
      <c r="A57">
        <f>HYPERLINK("https://www.philgeps.gov.ph/GEPSNONPILOT/Tender/SplashBidNoticeAbstractUI.aspx?menuIndex=3&amp;refID=7039175&amp;Result=3","7039175")</f>
        <v>0</v>
      </c>
      <c r="B57" t="s">
        <v>50</v>
      </c>
      <c r="C57" t="s">
        <v>3250</v>
      </c>
      <c r="D57" t="s">
        <v>18042</v>
      </c>
      <c r="E57" t="s">
        <v>18187</v>
      </c>
      <c r="F57" t="s">
        <v>31574</v>
      </c>
      <c r="G57" t="s">
        <v>31582</v>
      </c>
      <c r="H57" t="s">
        <v>31591</v>
      </c>
      <c r="I57" t="s">
        <v>8822</v>
      </c>
      <c r="J57" t="s">
        <v>31778</v>
      </c>
      <c r="K57" t="s">
        <v>41200</v>
      </c>
      <c r="M57" t="s">
        <v>41533</v>
      </c>
      <c r="N57" t="s">
        <v>45095</v>
      </c>
      <c r="O57" t="s">
        <v>45096</v>
      </c>
      <c r="P57">
        <v>0</v>
      </c>
      <c r="Q57">
        <v>0</v>
      </c>
      <c r="R57" t="s">
        <v>45097</v>
      </c>
      <c r="S57" t="s">
        <v>45222</v>
      </c>
      <c r="T57" t="s">
        <v>46916</v>
      </c>
      <c r="U57" t="s">
        <v>47516</v>
      </c>
      <c r="W57" t="s">
        <v>41533</v>
      </c>
      <c r="X57" t="s">
        <v>45103</v>
      </c>
    </row>
    <row r="58" spans="1:24">
      <c r="A58">
        <f>HYPERLINK("https://www.philgeps.gov.ph/GEPSNONPILOT/Tender/SplashBidNoticeAbstractUI.aspx?menuIndex=3&amp;refID=7039525&amp;Result=3","7039525")</f>
        <v>0</v>
      </c>
      <c r="B58" t="s">
        <v>50</v>
      </c>
      <c r="C58" t="s">
        <v>3251</v>
      </c>
      <c r="E58" t="s">
        <v>18188</v>
      </c>
      <c r="F58" t="s">
        <v>31574</v>
      </c>
      <c r="G58" t="s">
        <v>31582</v>
      </c>
      <c r="H58" t="s">
        <v>31591</v>
      </c>
      <c r="I58" t="s">
        <v>8822</v>
      </c>
      <c r="J58" t="s">
        <v>31779</v>
      </c>
      <c r="K58" t="s">
        <v>41192</v>
      </c>
      <c r="M58" t="s">
        <v>41533</v>
      </c>
      <c r="N58" t="s">
        <v>45095</v>
      </c>
      <c r="O58" t="s">
        <v>45096</v>
      </c>
      <c r="P58">
        <v>0</v>
      </c>
      <c r="Q58">
        <v>0</v>
      </c>
      <c r="R58" t="s">
        <v>45097</v>
      </c>
      <c r="S58" t="s">
        <v>45222</v>
      </c>
      <c r="T58" t="s">
        <v>46916</v>
      </c>
      <c r="U58" t="s">
        <v>47517</v>
      </c>
      <c r="W58" t="s">
        <v>41533</v>
      </c>
      <c r="X58" t="s">
        <v>45103</v>
      </c>
    </row>
    <row r="59" spans="1:24">
      <c r="A59">
        <f>HYPERLINK("https://www.philgeps.gov.ph/GEPSNONPILOT/Tender/SplashBidNoticeAbstractUI.aspx?menuIndex=3&amp;refID=7038569&amp;Result=3","7038569")</f>
        <v>0</v>
      </c>
      <c r="B59" t="s">
        <v>54</v>
      </c>
      <c r="C59" t="s">
        <v>3252</v>
      </c>
      <c r="D59" t="s">
        <v>18045</v>
      </c>
      <c r="E59" t="s">
        <v>18189</v>
      </c>
      <c r="F59" t="s">
        <v>31574</v>
      </c>
      <c r="G59" t="s">
        <v>31582</v>
      </c>
      <c r="H59" t="s">
        <v>31591</v>
      </c>
      <c r="I59" t="s">
        <v>8822</v>
      </c>
      <c r="J59" t="s">
        <v>31741</v>
      </c>
      <c r="K59" t="s">
        <v>41195</v>
      </c>
      <c r="M59" t="s">
        <v>41538</v>
      </c>
      <c r="N59" t="s">
        <v>45095</v>
      </c>
      <c r="O59" t="s">
        <v>45096</v>
      </c>
      <c r="P59">
        <v>0</v>
      </c>
      <c r="Q59">
        <v>0</v>
      </c>
      <c r="R59" t="s">
        <v>45097</v>
      </c>
      <c r="S59" t="s">
        <v>45222</v>
      </c>
      <c r="T59" t="s">
        <v>46914</v>
      </c>
      <c r="U59" t="s">
        <v>47518</v>
      </c>
      <c r="W59" t="s">
        <v>41538</v>
      </c>
      <c r="X59" t="s">
        <v>45103</v>
      </c>
    </row>
    <row r="60" spans="1:24">
      <c r="A60">
        <f>HYPERLINK("https://www.philgeps.gov.ph/GEPSNONPILOT/Tender/SplashBidNoticeAbstractUI.aspx?menuIndex=3&amp;refID=7041103&amp;Result=3","7041103")</f>
        <v>0</v>
      </c>
      <c r="B60" t="s">
        <v>55</v>
      </c>
      <c r="C60" t="s">
        <v>3253</v>
      </c>
      <c r="D60" t="s">
        <v>18046</v>
      </c>
      <c r="E60" t="s">
        <v>18190</v>
      </c>
      <c r="F60" t="s">
        <v>31574</v>
      </c>
      <c r="G60" t="s">
        <v>31584</v>
      </c>
      <c r="H60" t="s">
        <v>31590</v>
      </c>
      <c r="I60" t="s">
        <v>31607</v>
      </c>
      <c r="J60" t="s">
        <v>31780</v>
      </c>
      <c r="K60" t="s">
        <v>41186</v>
      </c>
      <c r="M60" t="s">
        <v>41539</v>
      </c>
      <c r="N60" t="s">
        <v>45095</v>
      </c>
      <c r="O60" t="s">
        <v>45096</v>
      </c>
      <c r="P60">
        <v>0</v>
      </c>
      <c r="Q60">
        <v>0</v>
      </c>
      <c r="R60" t="s">
        <v>45097</v>
      </c>
      <c r="S60" t="s">
        <v>45222</v>
      </c>
      <c r="T60" t="s">
        <v>46923</v>
      </c>
      <c r="U60" t="s">
        <v>47519</v>
      </c>
      <c r="V60" t="s">
        <v>59853</v>
      </c>
      <c r="W60" t="s">
        <v>41539</v>
      </c>
      <c r="X60" t="s">
        <v>45102</v>
      </c>
    </row>
    <row r="61" spans="1:24">
      <c r="A61">
        <f>HYPERLINK("https://www.philgeps.gov.ph/GEPSNONPILOT/Tender/SplashBidNoticeAbstractUI.aspx?menuIndex=3&amp;refID=7038526&amp;Result=3","7038526")</f>
        <v>0</v>
      </c>
      <c r="B61" t="s">
        <v>56</v>
      </c>
      <c r="C61" t="s">
        <v>3254</v>
      </c>
      <c r="D61" t="s">
        <v>18033</v>
      </c>
      <c r="E61" t="s">
        <v>18191</v>
      </c>
      <c r="F61" t="s">
        <v>31574</v>
      </c>
      <c r="G61" t="s">
        <v>31582</v>
      </c>
      <c r="H61" t="s">
        <v>31591</v>
      </c>
      <c r="I61" t="s">
        <v>8822</v>
      </c>
      <c r="J61" t="s">
        <v>31781</v>
      </c>
      <c r="K61" t="s">
        <v>41189</v>
      </c>
      <c r="M61" t="s">
        <v>41540</v>
      </c>
      <c r="N61" t="s">
        <v>45095</v>
      </c>
      <c r="O61" t="s">
        <v>45096</v>
      </c>
      <c r="P61">
        <v>0</v>
      </c>
      <c r="Q61">
        <v>0</v>
      </c>
      <c r="R61" t="s">
        <v>45097</v>
      </c>
      <c r="S61" t="s">
        <v>45222</v>
      </c>
      <c r="T61" t="s">
        <v>46924</v>
      </c>
      <c r="U61" t="s">
        <v>47520</v>
      </c>
      <c r="V61" t="s">
        <v>59854</v>
      </c>
      <c r="W61" t="s">
        <v>41540</v>
      </c>
      <c r="X61" t="s">
        <v>45103</v>
      </c>
    </row>
    <row r="62" spans="1:24">
      <c r="A62">
        <f>HYPERLINK("https://www.philgeps.gov.ph/GEPSNONPILOT/Tender/SplashBidNoticeAbstractUI.aspx?menuIndex=3&amp;refID=7040310&amp;Result=3","7040310")</f>
        <v>0</v>
      </c>
      <c r="B62" t="s">
        <v>57</v>
      </c>
      <c r="C62" t="s">
        <v>3255</v>
      </c>
      <c r="D62" t="s">
        <v>18030</v>
      </c>
      <c r="E62" t="s">
        <v>18192</v>
      </c>
      <c r="F62" t="s">
        <v>31574</v>
      </c>
      <c r="G62" t="s">
        <v>31582</v>
      </c>
      <c r="H62" t="s">
        <v>31590</v>
      </c>
      <c r="I62" t="s">
        <v>3487</v>
      </c>
      <c r="J62" t="s">
        <v>31782</v>
      </c>
      <c r="K62" t="s">
        <v>41193</v>
      </c>
      <c r="M62" t="s">
        <v>41541</v>
      </c>
      <c r="N62" t="s">
        <v>45095</v>
      </c>
      <c r="O62" t="s">
        <v>45096</v>
      </c>
      <c r="P62">
        <v>0</v>
      </c>
      <c r="Q62">
        <v>0</v>
      </c>
      <c r="R62" t="s">
        <v>45097</v>
      </c>
      <c r="S62" t="s">
        <v>45222</v>
      </c>
      <c r="T62" t="s">
        <v>46920</v>
      </c>
      <c r="U62" t="s">
        <v>47521</v>
      </c>
      <c r="W62" t="s">
        <v>41541</v>
      </c>
      <c r="X62" t="s">
        <v>45103</v>
      </c>
    </row>
    <row r="63" spans="1:24">
      <c r="A63">
        <f>HYPERLINK("https://www.philgeps.gov.ph/GEPSNONPILOT/Tender/SplashBidNoticeAbstractUI.aspx?menuIndex=3&amp;refID=7040009&amp;Result=3","7040009")</f>
        <v>0</v>
      </c>
      <c r="B63" t="s">
        <v>58</v>
      </c>
      <c r="C63" t="s">
        <v>3256</v>
      </c>
      <c r="D63" t="s">
        <v>18047</v>
      </c>
      <c r="E63" t="s">
        <v>18193</v>
      </c>
      <c r="F63" t="s">
        <v>31574</v>
      </c>
      <c r="G63" t="s">
        <v>31582</v>
      </c>
      <c r="H63" t="s">
        <v>31590</v>
      </c>
      <c r="I63" t="s">
        <v>31602</v>
      </c>
      <c r="J63" t="s">
        <v>31783</v>
      </c>
      <c r="K63" t="s">
        <v>41193</v>
      </c>
      <c r="M63" t="s">
        <v>41542</v>
      </c>
      <c r="N63" t="s">
        <v>45095</v>
      </c>
      <c r="O63" t="s">
        <v>45096</v>
      </c>
      <c r="P63">
        <v>0</v>
      </c>
      <c r="Q63">
        <v>0</v>
      </c>
      <c r="R63" t="s">
        <v>45097</v>
      </c>
      <c r="S63" t="s">
        <v>45222</v>
      </c>
      <c r="T63" t="s">
        <v>46925</v>
      </c>
      <c r="U63" t="s">
        <v>47522</v>
      </c>
      <c r="V63" t="s">
        <v>59855</v>
      </c>
      <c r="W63" t="s">
        <v>41542</v>
      </c>
      <c r="X63" t="s">
        <v>45103</v>
      </c>
    </row>
    <row r="64" spans="1:24">
      <c r="A64">
        <f>HYPERLINK("https://www.philgeps.gov.ph/GEPSNONPILOT/Tender/SplashBidNoticeAbstractUI.aspx?menuIndex=3&amp;refID=7041059&amp;Result=3","7041059")</f>
        <v>0</v>
      </c>
      <c r="B64" t="s">
        <v>59</v>
      </c>
      <c r="C64" t="s">
        <v>3257</v>
      </c>
      <c r="D64" t="s">
        <v>18048</v>
      </c>
      <c r="E64" t="s">
        <v>18194</v>
      </c>
      <c r="F64" t="s">
        <v>31574</v>
      </c>
      <c r="G64" t="s">
        <v>31583</v>
      </c>
      <c r="H64" t="s">
        <v>31590</v>
      </c>
      <c r="I64" t="s">
        <v>31600</v>
      </c>
      <c r="J64" t="s">
        <v>31784</v>
      </c>
      <c r="K64" t="s">
        <v>41186</v>
      </c>
      <c r="M64" t="s">
        <v>41543</v>
      </c>
      <c r="N64" t="s">
        <v>45095</v>
      </c>
      <c r="O64" t="s">
        <v>45096</v>
      </c>
      <c r="P64">
        <v>0</v>
      </c>
      <c r="Q64">
        <v>0</v>
      </c>
      <c r="R64" t="s">
        <v>45097</v>
      </c>
      <c r="S64" t="s">
        <v>45222</v>
      </c>
      <c r="T64" t="s">
        <v>46926</v>
      </c>
      <c r="U64" t="s">
        <v>47523</v>
      </c>
      <c r="V64" t="s">
        <v>59856</v>
      </c>
      <c r="W64" t="s">
        <v>41543</v>
      </c>
      <c r="X64" t="s">
        <v>45102</v>
      </c>
    </row>
    <row r="65" spans="1:24">
      <c r="A65">
        <f>HYPERLINK("https://www.philgeps.gov.ph/GEPSNONPILOT/Tender/SplashBidNoticeAbstractUI.aspx?menuIndex=3&amp;refID=7041010&amp;Result=3","7041010")</f>
        <v>0</v>
      </c>
      <c r="B65" t="s">
        <v>60</v>
      </c>
      <c r="C65" t="s">
        <v>3258</v>
      </c>
      <c r="D65" t="s">
        <v>18045</v>
      </c>
      <c r="E65" t="s">
        <v>18195</v>
      </c>
      <c r="F65" t="s">
        <v>31574</v>
      </c>
      <c r="G65" t="s">
        <v>31582</v>
      </c>
      <c r="H65" t="s">
        <v>31593</v>
      </c>
      <c r="I65" t="s">
        <v>31593</v>
      </c>
      <c r="J65" t="s">
        <v>31785</v>
      </c>
      <c r="K65" t="s">
        <v>41201</v>
      </c>
      <c r="M65" t="s">
        <v>41544</v>
      </c>
      <c r="N65" t="s">
        <v>45095</v>
      </c>
      <c r="O65" t="s">
        <v>45096</v>
      </c>
      <c r="P65">
        <v>0</v>
      </c>
      <c r="Q65">
        <v>0</v>
      </c>
      <c r="R65" t="s">
        <v>45097</v>
      </c>
      <c r="S65" t="s">
        <v>45222</v>
      </c>
      <c r="T65" t="s">
        <v>46927</v>
      </c>
      <c r="U65" t="s">
        <v>47524</v>
      </c>
      <c r="W65" t="s">
        <v>41544</v>
      </c>
      <c r="X65" t="s">
        <v>45102</v>
      </c>
    </row>
    <row r="66" spans="1:24">
      <c r="A66">
        <f>HYPERLINK("https://www.philgeps.gov.ph/GEPSNONPILOT/Tender/SplashBidNoticeAbstractUI.aspx?menuIndex=3&amp;refID=7039616&amp;Result=3","7039616")</f>
        <v>0</v>
      </c>
      <c r="B66" t="s">
        <v>50</v>
      </c>
      <c r="C66" t="s">
        <v>3259</v>
      </c>
      <c r="D66" t="s">
        <v>18042</v>
      </c>
      <c r="E66" t="s">
        <v>18196</v>
      </c>
      <c r="F66" t="s">
        <v>31574</v>
      </c>
      <c r="G66" t="s">
        <v>31582</v>
      </c>
      <c r="H66" t="s">
        <v>31591</v>
      </c>
      <c r="I66" t="s">
        <v>8822</v>
      </c>
      <c r="J66" t="s">
        <v>31786</v>
      </c>
      <c r="K66" t="s">
        <v>41200</v>
      </c>
      <c r="M66" t="s">
        <v>41533</v>
      </c>
      <c r="N66" t="s">
        <v>45095</v>
      </c>
      <c r="O66" t="s">
        <v>45096</v>
      </c>
      <c r="P66">
        <v>0</v>
      </c>
      <c r="Q66">
        <v>0</v>
      </c>
      <c r="R66" t="s">
        <v>45097</v>
      </c>
      <c r="S66" t="s">
        <v>45222</v>
      </c>
      <c r="T66" t="s">
        <v>46916</v>
      </c>
      <c r="U66" t="s">
        <v>47525</v>
      </c>
      <c r="W66" t="s">
        <v>41533</v>
      </c>
      <c r="X66" t="s">
        <v>45103</v>
      </c>
    </row>
    <row r="67" spans="1:24">
      <c r="A67">
        <f>HYPERLINK("https://www.philgeps.gov.ph/GEPSNONPILOT/Tender/SplashBidNoticeAbstractUI.aspx?menuIndex=3&amp;refID=7040043&amp;Result=3","7040043")</f>
        <v>0</v>
      </c>
      <c r="B67" t="s">
        <v>58</v>
      </c>
      <c r="C67" t="s">
        <v>3260</v>
      </c>
      <c r="D67" t="s">
        <v>18047</v>
      </c>
      <c r="E67" t="s">
        <v>18197</v>
      </c>
      <c r="F67" t="s">
        <v>31574</v>
      </c>
      <c r="G67" t="s">
        <v>31582</v>
      </c>
      <c r="H67" t="s">
        <v>31590</v>
      </c>
      <c r="I67" t="s">
        <v>31602</v>
      </c>
      <c r="J67" t="s">
        <v>31787</v>
      </c>
      <c r="K67" t="s">
        <v>41193</v>
      </c>
      <c r="M67" t="s">
        <v>41542</v>
      </c>
      <c r="N67" t="s">
        <v>45095</v>
      </c>
      <c r="O67" t="s">
        <v>45096</v>
      </c>
      <c r="P67">
        <v>0</v>
      </c>
      <c r="Q67">
        <v>0</v>
      </c>
      <c r="R67" t="s">
        <v>45097</v>
      </c>
      <c r="S67" t="s">
        <v>45222</v>
      </c>
      <c r="T67" t="s">
        <v>46928</v>
      </c>
      <c r="U67" t="s">
        <v>47526</v>
      </c>
      <c r="V67" t="s">
        <v>59855</v>
      </c>
      <c r="W67" t="s">
        <v>41542</v>
      </c>
      <c r="X67" t="s">
        <v>45103</v>
      </c>
    </row>
    <row r="68" spans="1:24">
      <c r="A68">
        <f>HYPERLINK("https://www.philgeps.gov.ph/GEPSNONPILOT/Tender/SplashBidNoticeAbstractUI.aspx?menuIndex=3&amp;refID=7039153&amp;Result=3","7039153")</f>
        <v>0</v>
      </c>
      <c r="B68" t="s">
        <v>50</v>
      </c>
      <c r="C68" t="s">
        <v>3261</v>
      </c>
      <c r="D68" t="s">
        <v>18042</v>
      </c>
      <c r="E68" t="s">
        <v>18198</v>
      </c>
      <c r="F68" t="s">
        <v>31574</v>
      </c>
      <c r="G68" t="s">
        <v>31582</v>
      </c>
      <c r="H68" t="s">
        <v>31591</v>
      </c>
      <c r="I68" t="s">
        <v>8822</v>
      </c>
      <c r="J68" t="s">
        <v>31788</v>
      </c>
      <c r="K68" t="s">
        <v>41189</v>
      </c>
      <c r="M68" t="s">
        <v>41533</v>
      </c>
      <c r="N68" t="s">
        <v>45095</v>
      </c>
      <c r="O68" t="s">
        <v>45096</v>
      </c>
      <c r="P68">
        <v>0</v>
      </c>
      <c r="Q68">
        <v>0</v>
      </c>
      <c r="R68" t="s">
        <v>45097</v>
      </c>
      <c r="S68" t="s">
        <v>45222</v>
      </c>
      <c r="T68" t="s">
        <v>46916</v>
      </c>
      <c r="U68" t="s">
        <v>47527</v>
      </c>
      <c r="W68" t="s">
        <v>41533</v>
      </c>
      <c r="X68" t="s">
        <v>45103</v>
      </c>
    </row>
    <row r="69" spans="1:24">
      <c r="A69">
        <f>HYPERLINK("https://www.philgeps.gov.ph/GEPSNONPILOT/Tender/SplashBidNoticeAbstractUI.aspx?menuIndex=3&amp;refID=7039606&amp;Result=3","7039606")</f>
        <v>0</v>
      </c>
      <c r="B69" t="s">
        <v>61</v>
      </c>
      <c r="C69" t="s">
        <v>3262</v>
      </c>
      <c r="D69" t="s">
        <v>18039</v>
      </c>
      <c r="E69" t="s">
        <v>18199</v>
      </c>
      <c r="F69" t="s">
        <v>31574</v>
      </c>
      <c r="G69" t="s">
        <v>31582</v>
      </c>
      <c r="H69" t="s">
        <v>31591</v>
      </c>
      <c r="I69" t="s">
        <v>8822</v>
      </c>
      <c r="J69" t="s">
        <v>31789</v>
      </c>
      <c r="K69" t="s">
        <v>41185</v>
      </c>
      <c r="M69" t="s">
        <v>41545</v>
      </c>
      <c r="N69" t="s">
        <v>45095</v>
      </c>
      <c r="O69" t="s">
        <v>45096</v>
      </c>
      <c r="P69">
        <v>0</v>
      </c>
      <c r="Q69">
        <v>0</v>
      </c>
      <c r="R69" t="s">
        <v>45097</v>
      </c>
      <c r="S69" t="s">
        <v>45222</v>
      </c>
      <c r="T69" t="s">
        <v>46929</v>
      </c>
      <c r="U69" t="s">
        <v>47528</v>
      </c>
      <c r="V69" t="s">
        <v>59857</v>
      </c>
      <c r="W69" t="s">
        <v>41545</v>
      </c>
      <c r="X69" t="s">
        <v>45103</v>
      </c>
    </row>
    <row r="70" spans="1:24">
      <c r="A70">
        <f>HYPERLINK("https://www.philgeps.gov.ph/GEPSNONPILOT/Tender/SplashBidNoticeAbstractUI.aspx?menuIndex=3&amp;refID=7041175&amp;Result=3","7041175")</f>
        <v>0</v>
      </c>
      <c r="B70" t="s">
        <v>62</v>
      </c>
      <c r="C70" t="s">
        <v>3263</v>
      </c>
      <c r="D70" t="s">
        <v>18037</v>
      </c>
      <c r="E70" t="s">
        <v>18200</v>
      </c>
      <c r="F70" t="s">
        <v>31574</v>
      </c>
      <c r="G70" t="s">
        <v>31581</v>
      </c>
      <c r="H70" t="s">
        <v>31590</v>
      </c>
      <c r="I70" t="s">
        <v>14544</v>
      </c>
      <c r="J70" t="s">
        <v>31790</v>
      </c>
      <c r="K70" t="s">
        <v>41184</v>
      </c>
      <c r="L70" t="s">
        <v>62</v>
      </c>
      <c r="M70" t="s">
        <v>41546</v>
      </c>
      <c r="N70" t="s">
        <v>45095</v>
      </c>
      <c r="O70" t="s">
        <v>45096</v>
      </c>
      <c r="P70">
        <v>0</v>
      </c>
      <c r="Q70">
        <v>0</v>
      </c>
      <c r="R70" t="s">
        <v>45097</v>
      </c>
      <c r="S70" t="s">
        <v>45222</v>
      </c>
      <c r="T70" t="s">
        <v>46918</v>
      </c>
      <c r="U70" t="s">
        <v>47529</v>
      </c>
      <c r="W70" t="s">
        <v>41546</v>
      </c>
      <c r="X70" t="s">
        <v>45102</v>
      </c>
    </row>
    <row r="71" spans="1:24">
      <c r="A71">
        <f>HYPERLINK("https://www.philgeps.gov.ph/GEPSNONPILOT/Tender/SplashBidNoticeAbstractUI.aspx?menuIndex=3&amp;refID=7039652&amp;Result=3","7039652")</f>
        <v>0</v>
      </c>
      <c r="B71" t="s">
        <v>50</v>
      </c>
      <c r="C71" t="s">
        <v>3264</v>
      </c>
      <c r="D71" t="s">
        <v>18042</v>
      </c>
      <c r="E71" t="s">
        <v>18201</v>
      </c>
      <c r="F71" t="s">
        <v>31574</v>
      </c>
      <c r="G71" t="s">
        <v>31582</v>
      </c>
      <c r="H71" t="s">
        <v>31591</v>
      </c>
      <c r="I71" t="s">
        <v>8822</v>
      </c>
      <c r="J71" t="s">
        <v>31791</v>
      </c>
      <c r="K71" t="s">
        <v>41200</v>
      </c>
      <c r="M71" t="s">
        <v>41533</v>
      </c>
      <c r="N71" t="s">
        <v>45095</v>
      </c>
      <c r="O71" t="s">
        <v>45096</v>
      </c>
      <c r="P71">
        <v>0</v>
      </c>
      <c r="Q71">
        <v>0</v>
      </c>
      <c r="R71" t="s">
        <v>45097</v>
      </c>
      <c r="S71" t="s">
        <v>45222</v>
      </c>
      <c r="T71" t="s">
        <v>46916</v>
      </c>
      <c r="U71" t="s">
        <v>47530</v>
      </c>
      <c r="W71" t="s">
        <v>41533</v>
      </c>
      <c r="X71" t="s">
        <v>45103</v>
      </c>
    </row>
    <row r="72" spans="1:24">
      <c r="A72">
        <f>HYPERLINK("https://www.philgeps.gov.ph/GEPSNONPILOT/Tender/SplashBidNoticeAbstractUI.aspx?menuIndex=3&amp;refID=7038518&amp;Result=3","7038518")</f>
        <v>0</v>
      </c>
      <c r="B72" t="s">
        <v>31</v>
      </c>
      <c r="C72" t="s">
        <v>3265</v>
      </c>
      <c r="E72" t="s">
        <v>18202</v>
      </c>
      <c r="F72" t="s">
        <v>31574</v>
      </c>
      <c r="G72" t="s">
        <v>31581</v>
      </c>
      <c r="H72" t="s">
        <v>31590</v>
      </c>
      <c r="I72" t="s">
        <v>31608</v>
      </c>
      <c r="J72" t="s">
        <v>31792</v>
      </c>
      <c r="K72" t="s">
        <v>41193</v>
      </c>
      <c r="M72" t="s">
        <v>41518</v>
      </c>
      <c r="N72" t="s">
        <v>45095</v>
      </c>
      <c r="O72" t="s">
        <v>45096</v>
      </c>
      <c r="P72">
        <v>0</v>
      </c>
      <c r="Q72">
        <v>0</v>
      </c>
      <c r="R72" t="s">
        <v>45097</v>
      </c>
      <c r="S72" t="s">
        <v>45222</v>
      </c>
      <c r="T72" t="s">
        <v>46910</v>
      </c>
      <c r="U72" t="s">
        <v>47509</v>
      </c>
      <c r="W72" t="s">
        <v>41518</v>
      </c>
      <c r="X72" t="s">
        <v>45103</v>
      </c>
    </row>
    <row r="73" spans="1:24">
      <c r="A73">
        <f>HYPERLINK("https://www.philgeps.gov.ph/GEPSNONPILOT/Tender/SplashBidNoticeAbstractUI.aspx?menuIndex=3&amp;refID=7039567&amp;Result=3","7039567")</f>
        <v>0</v>
      </c>
      <c r="B73" t="s">
        <v>50</v>
      </c>
      <c r="C73" t="s">
        <v>3266</v>
      </c>
      <c r="D73" t="s">
        <v>18042</v>
      </c>
      <c r="E73" t="s">
        <v>18203</v>
      </c>
      <c r="F73" t="s">
        <v>31574</v>
      </c>
      <c r="G73" t="s">
        <v>31582</v>
      </c>
      <c r="H73" t="s">
        <v>31591</v>
      </c>
      <c r="I73" t="s">
        <v>8822</v>
      </c>
      <c r="J73" t="s">
        <v>31793</v>
      </c>
      <c r="K73" t="s">
        <v>41202</v>
      </c>
      <c r="M73" t="s">
        <v>41533</v>
      </c>
      <c r="N73" t="s">
        <v>45095</v>
      </c>
      <c r="O73" t="s">
        <v>45096</v>
      </c>
      <c r="P73">
        <v>0</v>
      </c>
      <c r="Q73">
        <v>0</v>
      </c>
      <c r="R73" t="s">
        <v>45097</v>
      </c>
      <c r="S73" t="s">
        <v>45222</v>
      </c>
      <c r="T73" t="s">
        <v>46916</v>
      </c>
      <c r="U73" t="s">
        <v>47531</v>
      </c>
      <c r="W73" t="s">
        <v>41533</v>
      </c>
      <c r="X73" t="s">
        <v>45103</v>
      </c>
    </row>
    <row r="74" spans="1:24">
      <c r="A74">
        <f>HYPERLINK("https://www.philgeps.gov.ph/GEPSNONPILOT/Tender/SplashBidNoticeAbstractUI.aspx?menuIndex=3&amp;refID=7039688&amp;Result=3","7039688")</f>
        <v>0</v>
      </c>
      <c r="B74" t="s">
        <v>50</v>
      </c>
      <c r="C74" t="s">
        <v>3267</v>
      </c>
      <c r="D74" t="s">
        <v>18042</v>
      </c>
      <c r="E74" t="s">
        <v>18204</v>
      </c>
      <c r="F74" t="s">
        <v>31574</v>
      </c>
      <c r="G74" t="s">
        <v>31582</v>
      </c>
      <c r="H74" t="s">
        <v>31591</v>
      </c>
      <c r="I74" t="s">
        <v>8822</v>
      </c>
      <c r="J74" t="s">
        <v>31794</v>
      </c>
      <c r="K74" t="s">
        <v>41203</v>
      </c>
      <c r="M74" t="s">
        <v>41533</v>
      </c>
      <c r="N74" t="s">
        <v>45095</v>
      </c>
      <c r="O74" t="s">
        <v>45096</v>
      </c>
      <c r="P74">
        <v>0</v>
      </c>
      <c r="Q74">
        <v>0</v>
      </c>
      <c r="R74" t="s">
        <v>45097</v>
      </c>
      <c r="S74" t="s">
        <v>45222</v>
      </c>
      <c r="T74" t="s">
        <v>46916</v>
      </c>
      <c r="U74" t="s">
        <v>47532</v>
      </c>
      <c r="W74" t="s">
        <v>41533</v>
      </c>
      <c r="X74" t="s">
        <v>45103</v>
      </c>
    </row>
    <row r="75" spans="1:24">
      <c r="A75">
        <f>HYPERLINK("https://www.philgeps.gov.ph/GEPSNONPILOT/Tender/SplashBidNoticeAbstractUI.aspx?menuIndex=3&amp;refID=7041416&amp;Result=3","7041416")</f>
        <v>0</v>
      </c>
      <c r="B75" t="s">
        <v>63</v>
      </c>
      <c r="C75" t="s">
        <v>3268</v>
      </c>
      <c r="D75" t="s">
        <v>18049</v>
      </c>
      <c r="E75" t="s">
        <v>18205</v>
      </c>
      <c r="F75" t="s">
        <v>31574</v>
      </c>
      <c r="G75" t="s">
        <v>31582</v>
      </c>
      <c r="H75" t="s">
        <v>31590</v>
      </c>
      <c r="I75" t="s">
        <v>4046</v>
      </c>
      <c r="J75" t="s">
        <v>31795</v>
      </c>
      <c r="K75" t="s">
        <v>41196</v>
      </c>
      <c r="M75" t="s">
        <v>41547</v>
      </c>
      <c r="N75" t="s">
        <v>45095</v>
      </c>
      <c r="O75" t="s">
        <v>45096</v>
      </c>
      <c r="P75">
        <v>0</v>
      </c>
      <c r="Q75">
        <v>0</v>
      </c>
      <c r="R75" t="s">
        <v>45097</v>
      </c>
      <c r="S75" t="s">
        <v>45222</v>
      </c>
      <c r="T75" t="s">
        <v>46930</v>
      </c>
      <c r="U75" t="s">
        <v>47533</v>
      </c>
      <c r="W75" t="s">
        <v>41547</v>
      </c>
      <c r="X75" t="s">
        <v>45102</v>
      </c>
    </row>
    <row r="76" spans="1:24">
      <c r="A76">
        <f>HYPERLINK("https://www.philgeps.gov.ph/GEPSNONPILOT/Tender/SplashBidNoticeAbstractUI.aspx?menuIndex=3&amp;refID=7041154&amp;Result=3","7041154")</f>
        <v>0</v>
      </c>
      <c r="B76" t="s">
        <v>62</v>
      </c>
      <c r="C76" t="s">
        <v>3269</v>
      </c>
      <c r="D76" t="s">
        <v>18037</v>
      </c>
      <c r="E76" t="s">
        <v>18206</v>
      </c>
      <c r="F76" t="s">
        <v>31574</v>
      </c>
      <c r="G76" t="s">
        <v>31581</v>
      </c>
      <c r="H76" t="s">
        <v>31590</v>
      </c>
      <c r="I76" t="s">
        <v>4327</v>
      </c>
      <c r="J76" t="s">
        <v>31796</v>
      </c>
      <c r="K76" t="s">
        <v>41184</v>
      </c>
      <c r="L76" t="s">
        <v>62</v>
      </c>
      <c r="M76" t="s">
        <v>41546</v>
      </c>
      <c r="N76" t="s">
        <v>45095</v>
      </c>
      <c r="O76" t="s">
        <v>45096</v>
      </c>
      <c r="P76">
        <v>0</v>
      </c>
      <c r="Q76">
        <v>0</v>
      </c>
      <c r="R76" t="s">
        <v>45097</v>
      </c>
      <c r="S76" t="s">
        <v>45222</v>
      </c>
      <c r="T76" t="s">
        <v>46918</v>
      </c>
      <c r="U76" t="s">
        <v>47534</v>
      </c>
      <c r="W76" t="s">
        <v>41546</v>
      </c>
      <c r="X76" t="s">
        <v>45102</v>
      </c>
    </row>
    <row r="77" spans="1:24">
      <c r="A77">
        <f>HYPERLINK("https://www.philgeps.gov.ph/GEPSNONPILOT/Tender/SplashBidNoticeAbstractUI.aspx?menuIndex=3&amp;refID=7041469&amp;Result=3","7041469")</f>
        <v>0</v>
      </c>
      <c r="B77" t="s">
        <v>63</v>
      </c>
      <c r="C77" t="s">
        <v>3270</v>
      </c>
      <c r="D77" t="s">
        <v>18049</v>
      </c>
      <c r="E77" t="s">
        <v>18207</v>
      </c>
      <c r="F77" t="s">
        <v>31574</v>
      </c>
      <c r="G77" t="s">
        <v>31582</v>
      </c>
      <c r="H77" t="s">
        <v>31591</v>
      </c>
      <c r="I77" t="s">
        <v>8822</v>
      </c>
      <c r="J77" t="s">
        <v>31797</v>
      </c>
      <c r="K77" t="s">
        <v>41204</v>
      </c>
      <c r="M77" t="s">
        <v>41547</v>
      </c>
      <c r="N77" t="s">
        <v>45095</v>
      </c>
      <c r="O77" t="s">
        <v>45096</v>
      </c>
      <c r="P77">
        <v>0</v>
      </c>
      <c r="Q77">
        <v>0</v>
      </c>
      <c r="R77" t="s">
        <v>45097</v>
      </c>
      <c r="S77" t="s">
        <v>45222</v>
      </c>
      <c r="T77" t="s">
        <v>46930</v>
      </c>
      <c r="U77" t="s">
        <v>47535</v>
      </c>
      <c r="W77" t="s">
        <v>41547</v>
      </c>
      <c r="X77" t="s">
        <v>45102</v>
      </c>
    </row>
    <row r="78" spans="1:24">
      <c r="A78">
        <f>HYPERLINK("https://www.philgeps.gov.ph/GEPSNONPILOT/Tender/SplashBidNoticeAbstractUI.aspx?menuIndex=3&amp;refID=7041197&amp;Result=3","7041197")</f>
        <v>0</v>
      </c>
      <c r="B78" t="s">
        <v>62</v>
      </c>
      <c r="C78" t="s">
        <v>3271</v>
      </c>
      <c r="D78" t="s">
        <v>18037</v>
      </c>
      <c r="E78" t="s">
        <v>18208</v>
      </c>
      <c r="F78" t="s">
        <v>31574</v>
      </c>
      <c r="G78" t="s">
        <v>31581</v>
      </c>
      <c r="H78" t="s">
        <v>31590</v>
      </c>
      <c r="I78" t="s">
        <v>14544</v>
      </c>
      <c r="J78" t="s">
        <v>31798</v>
      </c>
      <c r="K78" t="s">
        <v>41184</v>
      </c>
      <c r="L78" t="s">
        <v>62</v>
      </c>
      <c r="M78" t="s">
        <v>41546</v>
      </c>
      <c r="N78" t="s">
        <v>45095</v>
      </c>
      <c r="O78" t="s">
        <v>45096</v>
      </c>
      <c r="P78">
        <v>0</v>
      </c>
      <c r="Q78">
        <v>0</v>
      </c>
      <c r="R78" t="s">
        <v>45097</v>
      </c>
      <c r="S78" t="s">
        <v>45222</v>
      </c>
      <c r="T78" t="s">
        <v>46918</v>
      </c>
      <c r="U78" t="s">
        <v>47536</v>
      </c>
      <c r="W78" t="s">
        <v>41546</v>
      </c>
      <c r="X78" t="s">
        <v>45102</v>
      </c>
    </row>
    <row r="79" spans="1:24">
      <c r="A79">
        <f>HYPERLINK("https://www.philgeps.gov.ph/GEPSNONPILOT/Tender/SplashBidNoticeAbstractUI.aspx?menuIndex=3&amp;refID=7041332&amp;Result=3","7041332")</f>
        <v>0</v>
      </c>
      <c r="B79" t="s">
        <v>63</v>
      </c>
      <c r="C79" t="s">
        <v>3272</v>
      </c>
      <c r="D79" t="s">
        <v>18049</v>
      </c>
      <c r="E79" t="s">
        <v>18209</v>
      </c>
      <c r="F79" t="s">
        <v>31574</v>
      </c>
      <c r="G79" t="s">
        <v>31582</v>
      </c>
      <c r="H79" t="s">
        <v>31591</v>
      </c>
      <c r="I79" t="s">
        <v>8822</v>
      </c>
      <c r="J79" t="s">
        <v>31799</v>
      </c>
      <c r="K79" t="s">
        <v>41205</v>
      </c>
      <c r="M79" t="s">
        <v>41547</v>
      </c>
      <c r="N79" t="s">
        <v>45095</v>
      </c>
      <c r="O79" t="s">
        <v>45096</v>
      </c>
      <c r="P79">
        <v>0</v>
      </c>
      <c r="Q79">
        <v>0</v>
      </c>
      <c r="R79" t="s">
        <v>45097</v>
      </c>
      <c r="S79" t="s">
        <v>45222</v>
      </c>
      <c r="T79" t="s">
        <v>46930</v>
      </c>
      <c r="U79" t="s">
        <v>47537</v>
      </c>
      <c r="W79" t="s">
        <v>41547</v>
      </c>
      <c r="X79" t="s">
        <v>45102</v>
      </c>
    </row>
    <row r="80" spans="1:24">
      <c r="A80">
        <f>HYPERLINK("https://www.philgeps.gov.ph/GEPSNONPILOT/Tender/SplashBidNoticeAbstractUI.aspx?menuIndex=3&amp;refID=7041488&amp;Result=3","7041488")</f>
        <v>0</v>
      </c>
      <c r="B80" t="s">
        <v>64</v>
      </c>
      <c r="C80" t="s">
        <v>3273</v>
      </c>
      <c r="D80" t="s">
        <v>18050</v>
      </c>
      <c r="E80" t="s">
        <v>18210</v>
      </c>
      <c r="F80" t="s">
        <v>31574</v>
      </c>
      <c r="G80" t="s">
        <v>31583</v>
      </c>
      <c r="H80" t="s">
        <v>31590</v>
      </c>
      <c r="I80" t="s">
        <v>4046</v>
      </c>
      <c r="J80" t="s">
        <v>31800</v>
      </c>
      <c r="K80" t="s">
        <v>41190</v>
      </c>
      <c r="M80" t="s">
        <v>41548</v>
      </c>
      <c r="N80" t="s">
        <v>45095</v>
      </c>
      <c r="O80" t="s">
        <v>45096</v>
      </c>
      <c r="P80">
        <v>0</v>
      </c>
      <c r="Q80">
        <v>0</v>
      </c>
      <c r="R80" t="s">
        <v>45097</v>
      </c>
      <c r="S80" t="s">
        <v>45222</v>
      </c>
      <c r="T80" t="s">
        <v>46918</v>
      </c>
      <c r="U80" t="s">
        <v>47538</v>
      </c>
      <c r="V80" t="s">
        <v>59858</v>
      </c>
      <c r="W80" t="s">
        <v>41548</v>
      </c>
      <c r="X80" t="s">
        <v>45102</v>
      </c>
    </row>
    <row r="81" spans="1:24">
      <c r="A81">
        <f>HYPERLINK("https://www.philgeps.gov.ph/GEPSNONPILOT/Tender/SplashBidNoticeAbstractUI.aspx?menuIndex=3&amp;refID=7041277&amp;Result=3","7041277")</f>
        <v>0</v>
      </c>
      <c r="B81" t="s">
        <v>64</v>
      </c>
      <c r="C81" t="s">
        <v>3274</v>
      </c>
      <c r="D81" t="s">
        <v>18050</v>
      </c>
      <c r="E81" t="s">
        <v>18211</v>
      </c>
      <c r="F81" t="s">
        <v>31574</v>
      </c>
      <c r="G81" t="s">
        <v>31583</v>
      </c>
      <c r="H81" t="s">
        <v>31590</v>
      </c>
      <c r="I81" t="s">
        <v>4046</v>
      </c>
      <c r="J81" t="s">
        <v>31801</v>
      </c>
      <c r="K81" t="s">
        <v>41190</v>
      </c>
      <c r="M81" t="s">
        <v>41548</v>
      </c>
      <c r="N81" t="s">
        <v>45095</v>
      </c>
      <c r="O81" t="s">
        <v>45096</v>
      </c>
      <c r="P81">
        <v>0</v>
      </c>
      <c r="Q81">
        <v>0</v>
      </c>
      <c r="R81" t="s">
        <v>45097</v>
      </c>
      <c r="S81" t="s">
        <v>45222</v>
      </c>
      <c r="T81" t="s">
        <v>46918</v>
      </c>
      <c r="U81" t="s">
        <v>47539</v>
      </c>
      <c r="V81" t="s">
        <v>59859</v>
      </c>
      <c r="W81" t="s">
        <v>41548</v>
      </c>
      <c r="X81" t="s">
        <v>45102</v>
      </c>
    </row>
    <row r="82" spans="1:24">
      <c r="A82">
        <f>HYPERLINK("https://www.philgeps.gov.ph/GEPSNONPILOT/Tender/SplashBidNoticeAbstractUI.aspx?menuIndex=3&amp;refID=7041508&amp;Result=3","7041508")</f>
        <v>0</v>
      </c>
      <c r="B82" t="s">
        <v>65</v>
      </c>
      <c r="C82" t="s">
        <v>3275</v>
      </c>
      <c r="D82" t="s">
        <v>18044</v>
      </c>
      <c r="E82" t="s">
        <v>18212</v>
      </c>
      <c r="F82" t="s">
        <v>31574</v>
      </c>
      <c r="G82" t="s">
        <v>31583</v>
      </c>
      <c r="H82" t="s">
        <v>31590</v>
      </c>
      <c r="I82" t="s">
        <v>6800</v>
      </c>
      <c r="J82" t="s">
        <v>31802</v>
      </c>
      <c r="K82" t="s">
        <v>41185</v>
      </c>
      <c r="M82" t="s">
        <v>41549</v>
      </c>
      <c r="N82" t="s">
        <v>45095</v>
      </c>
      <c r="O82" t="s">
        <v>45096</v>
      </c>
      <c r="P82">
        <v>0</v>
      </c>
      <c r="Q82">
        <v>0</v>
      </c>
      <c r="R82" t="s">
        <v>45097</v>
      </c>
      <c r="S82" t="s">
        <v>45222</v>
      </c>
      <c r="T82" t="s">
        <v>46931</v>
      </c>
      <c r="U82" t="s">
        <v>47540</v>
      </c>
      <c r="W82" t="s">
        <v>41549</v>
      </c>
      <c r="X82" t="s">
        <v>45102</v>
      </c>
    </row>
    <row r="83" spans="1:24">
      <c r="A83">
        <f>HYPERLINK("https://www.philgeps.gov.ph/GEPSNONPILOT/Tender/SplashBidNoticeAbstractUI.aspx?menuIndex=3&amp;refID=7041511&amp;Result=3","7041511")</f>
        <v>0</v>
      </c>
      <c r="B83" t="s">
        <v>31</v>
      </c>
      <c r="C83" t="s">
        <v>3276</v>
      </c>
      <c r="E83" t="s">
        <v>18213</v>
      </c>
      <c r="F83" t="s">
        <v>31574</v>
      </c>
      <c r="G83" t="s">
        <v>31581</v>
      </c>
      <c r="H83" t="s">
        <v>31590</v>
      </c>
      <c r="I83" t="s">
        <v>8258</v>
      </c>
      <c r="J83" t="s">
        <v>31803</v>
      </c>
      <c r="K83" t="s">
        <v>41184</v>
      </c>
      <c r="M83" t="s">
        <v>41518</v>
      </c>
      <c r="N83" t="s">
        <v>45095</v>
      </c>
      <c r="O83" t="s">
        <v>45096</v>
      </c>
      <c r="P83">
        <v>0</v>
      </c>
      <c r="Q83">
        <v>0</v>
      </c>
      <c r="R83" t="s">
        <v>45097</v>
      </c>
      <c r="S83" t="s">
        <v>45222</v>
      </c>
      <c r="T83" t="s">
        <v>46932</v>
      </c>
      <c r="U83" t="s">
        <v>47477</v>
      </c>
      <c r="W83" t="s">
        <v>41518</v>
      </c>
      <c r="X83" t="s">
        <v>45102</v>
      </c>
    </row>
    <row r="84" spans="1:24">
      <c r="A84">
        <f>HYPERLINK("https://www.philgeps.gov.ph/GEPSNONPILOT/Tender/SplashBidNoticeAbstractUI.aspx?menuIndex=3&amp;refID=7041950&amp;Result=3","7041950")</f>
        <v>0</v>
      </c>
      <c r="B84" t="s">
        <v>66</v>
      </c>
      <c r="C84" t="s">
        <v>3277</v>
      </c>
      <c r="D84" t="s">
        <v>18050</v>
      </c>
      <c r="E84" t="s">
        <v>18214</v>
      </c>
      <c r="F84" t="s">
        <v>31574</v>
      </c>
      <c r="G84" t="s">
        <v>31582</v>
      </c>
      <c r="H84" t="s">
        <v>31590</v>
      </c>
      <c r="I84" t="s">
        <v>31609</v>
      </c>
      <c r="J84" t="s">
        <v>31804</v>
      </c>
      <c r="K84" t="s">
        <v>41190</v>
      </c>
      <c r="L84" t="s">
        <v>66</v>
      </c>
      <c r="M84" t="s">
        <v>41550</v>
      </c>
      <c r="N84" t="s">
        <v>45095</v>
      </c>
      <c r="O84" t="s">
        <v>45096</v>
      </c>
      <c r="P84">
        <v>0</v>
      </c>
      <c r="Q84">
        <v>0</v>
      </c>
      <c r="R84" t="s">
        <v>45097</v>
      </c>
      <c r="S84" t="s">
        <v>45222</v>
      </c>
      <c r="T84" t="s">
        <v>46933</v>
      </c>
      <c r="U84" t="s">
        <v>47541</v>
      </c>
      <c r="V84" t="s">
        <v>59860</v>
      </c>
      <c r="W84" t="s">
        <v>41550</v>
      </c>
      <c r="X84" t="s">
        <v>45102</v>
      </c>
    </row>
    <row r="85" spans="1:24">
      <c r="A85">
        <f>HYPERLINK("https://www.philgeps.gov.ph/GEPSNONPILOT/Tender/SplashBidNoticeAbstractUI.aspx?menuIndex=3&amp;refID=7041553&amp;Result=3","7041553")</f>
        <v>0</v>
      </c>
      <c r="B85" t="s">
        <v>67</v>
      </c>
      <c r="C85" t="s">
        <v>3278</v>
      </c>
      <c r="D85" t="s">
        <v>18027</v>
      </c>
      <c r="E85" t="s">
        <v>18215</v>
      </c>
      <c r="F85" t="s">
        <v>31574</v>
      </c>
      <c r="G85" t="s">
        <v>31581</v>
      </c>
      <c r="H85" t="s">
        <v>31590</v>
      </c>
      <c r="I85" t="s">
        <v>3489</v>
      </c>
      <c r="J85" t="s">
        <v>31805</v>
      </c>
      <c r="K85" t="s">
        <v>41184</v>
      </c>
      <c r="M85" t="s">
        <v>41551</v>
      </c>
      <c r="N85" t="s">
        <v>45095</v>
      </c>
      <c r="O85" t="s">
        <v>45096</v>
      </c>
      <c r="P85">
        <v>0</v>
      </c>
      <c r="Q85">
        <v>0</v>
      </c>
      <c r="R85" t="s">
        <v>45097</v>
      </c>
      <c r="S85" t="s">
        <v>45222</v>
      </c>
      <c r="T85" t="s">
        <v>46934</v>
      </c>
      <c r="U85" t="s">
        <v>47542</v>
      </c>
      <c r="W85" t="s">
        <v>41551</v>
      </c>
      <c r="X85" t="s">
        <v>45102</v>
      </c>
    </row>
    <row r="86" spans="1:24">
      <c r="A86">
        <f>HYPERLINK("https://www.philgeps.gov.ph/GEPSNONPILOT/Tender/SplashBidNoticeAbstractUI.aspx?menuIndex=3&amp;refID=7041831&amp;Result=3","7041831")</f>
        <v>0</v>
      </c>
      <c r="B86" t="s">
        <v>64</v>
      </c>
      <c r="C86" t="s">
        <v>3279</v>
      </c>
      <c r="D86" t="s">
        <v>18050</v>
      </c>
      <c r="E86" t="s">
        <v>18216</v>
      </c>
      <c r="F86" t="s">
        <v>31574</v>
      </c>
      <c r="G86" t="s">
        <v>31583</v>
      </c>
      <c r="H86" t="s">
        <v>31590</v>
      </c>
      <c r="I86" t="s">
        <v>7162</v>
      </c>
      <c r="J86" t="s">
        <v>31801</v>
      </c>
      <c r="K86" t="s">
        <v>41190</v>
      </c>
      <c r="M86" t="s">
        <v>41548</v>
      </c>
      <c r="N86" t="s">
        <v>45095</v>
      </c>
      <c r="O86" t="s">
        <v>45096</v>
      </c>
      <c r="P86">
        <v>0</v>
      </c>
      <c r="Q86">
        <v>0</v>
      </c>
      <c r="R86" t="s">
        <v>45097</v>
      </c>
      <c r="S86" t="s">
        <v>45222</v>
      </c>
      <c r="T86" t="s">
        <v>46918</v>
      </c>
      <c r="U86" t="s">
        <v>47543</v>
      </c>
      <c r="V86" t="s">
        <v>59861</v>
      </c>
      <c r="W86" t="s">
        <v>41548</v>
      </c>
      <c r="X86" t="s">
        <v>45102</v>
      </c>
    </row>
    <row r="87" spans="1:24">
      <c r="A87">
        <f>HYPERLINK("https://www.philgeps.gov.ph/GEPSNONPILOT/Tender/SplashBidNoticeAbstractUI.aspx?menuIndex=3&amp;refID=7041806&amp;Result=3","7041806")</f>
        <v>0</v>
      </c>
      <c r="B87" t="s">
        <v>68</v>
      </c>
      <c r="C87" t="s">
        <v>3280</v>
      </c>
      <c r="D87" t="s">
        <v>18051</v>
      </c>
      <c r="E87" t="s">
        <v>3280</v>
      </c>
      <c r="F87" t="s">
        <v>31574</v>
      </c>
      <c r="G87" t="s">
        <v>31583</v>
      </c>
      <c r="H87" t="s">
        <v>31590</v>
      </c>
      <c r="I87" t="s">
        <v>31610</v>
      </c>
      <c r="J87" t="s">
        <v>31806</v>
      </c>
      <c r="K87" t="s">
        <v>41193</v>
      </c>
      <c r="M87" t="s">
        <v>41552</v>
      </c>
      <c r="N87" t="s">
        <v>45095</v>
      </c>
      <c r="O87" t="s">
        <v>45096</v>
      </c>
      <c r="P87">
        <v>0</v>
      </c>
      <c r="Q87">
        <v>0</v>
      </c>
      <c r="R87" t="s">
        <v>45097</v>
      </c>
      <c r="S87" t="s">
        <v>45222</v>
      </c>
      <c r="T87" t="s">
        <v>46913</v>
      </c>
      <c r="U87" t="s">
        <v>47544</v>
      </c>
      <c r="V87" t="s">
        <v>59862</v>
      </c>
      <c r="W87" t="s">
        <v>41552</v>
      </c>
      <c r="X87" t="s">
        <v>45102</v>
      </c>
    </row>
    <row r="88" spans="1:24">
      <c r="A88">
        <f>HYPERLINK("https://www.philgeps.gov.ph/GEPSNONPILOT/Tender/SplashBidNoticeAbstractUI.aspx?menuIndex=3&amp;refID=7041568&amp;Result=3","7041568")</f>
        <v>0</v>
      </c>
      <c r="B88" t="s">
        <v>33</v>
      </c>
      <c r="C88" t="s">
        <v>3281</v>
      </c>
      <c r="E88" t="s">
        <v>18217</v>
      </c>
      <c r="F88" t="s">
        <v>31574</v>
      </c>
      <c r="G88" t="s">
        <v>31581</v>
      </c>
      <c r="H88" t="s">
        <v>31590</v>
      </c>
      <c r="I88" t="s">
        <v>31611</v>
      </c>
      <c r="J88" t="s">
        <v>31807</v>
      </c>
      <c r="K88" t="s">
        <v>41184</v>
      </c>
      <c r="M88" t="s">
        <v>41515</v>
      </c>
      <c r="N88" t="s">
        <v>45095</v>
      </c>
      <c r="O88" t="s">
        <v>45096</v>
      </c>
      <c r="P88">
        <v>0</v>
      </c>
      <c r="Q88">
        <v>0</v>
      </c>
      <c r="R88" t="s">
        <v>45097</v>
      </c>
      <c r="S88" t="s">
        <v>45222</v>
      </c>
      <c r="T88" t="s">
        <v>46911</v>
      </c>
      <c r="U88" t="s">
        <v>47545</v>
      </c>
      <c r="W88" t="s">
        <v>41515</v>
      </c>
      <c r="X88" t="s">
        <v>45102</v>
      </c>
    </row>
    <row r="89" spans="1:24">
      <c r="A89">
        <f>HYPERLINK("https://www.philgeps.gov.ph/GEPSNONPILOT/Tender/SplashBidNoticeAbstractUI.aspx?menuIndex=3&amp;refID=7041787&amp;Result=3","7041787")</f>
        <v>0</v>
      </c>
      <c r="B89" t="s">
        <v>63</v>
      </c>
      <c r="C89" t="s">
        <v>3282</v>
      </c>
      <c r="D89" t="s">
        <v>18049</v>
      </c>
      <c r="E89" t="s">
        <v>18218</v>
      </c>
      <c r="F89" t="s">
        <v>31574</v>
      </c>
      <c r="G89" t="s">
        <v>31582</v>
      </c>
      <c r="H89" t="s">
        <v>31591</v>
      </c>
      <c r="I89" t="s">
        <v>8822</v>
      </c>
      <c r="J89" t="s">
        <v>31808</v>
      </c>
      <c r="K89" t="s">
        <v>41206</v>
      </c>
      <c r="M89" t="s">
        <v>41547</v>
      </c>
      <c r="N89" t="s">
        <v>45095</v>
      </c>
      <c r="O89" t="s">
        <v>45096</v>
      </c>
      <c r="P89">
        <v>0</v>
      </c>
      <c r="Q89">
        <v>0</v>
      </c>
      <c r="R89" t="s">
        <v>45097</v>
      </c>
      <c r="S89" t="s">
        <v>45222</v>
      </c>
      <c r="T89" t="s">
        <v>46930</v>
      </c>
      <c r="U89" t="s">
        <v>47546</v>
      </c>
      <c r="W89" t="s">
        <v>41547</v>
      </c>
      <c r="X89" t="s">
        <v>45102</v>
      </c>
    </row>
    <row r="90" spans="1:24">
      <c r="A90">
        <f>HYPERLINK("https://www.philgeps.gov.ph/GEPSNONPILOT/Tender/SplashBidNoticeAbstractUI.aspx?menuIndex=3&amp;refID=7041711&amp;Result=3","7041711")</f>
        <v>0</v>
      </c>
      <c r="B90" t="s">
        <v>64</v>
      </c>
      <c r="C90" t="s">
        <v>3283</v>
      </c>
      <c r="D90" t="s">
        <v>18050</v>
      </c>
      <c r="E90" t="s">
        <v>18219</v>
      </c>
      <c r="F90" t="s">
        <v>31574</v>
      </c>
      <c r="G90" t="s">
        <v>31583</v>
      </c>
      <c r="H90" t="s">
        <v>31590</v>
      </c>
      <c r="I90" t="s">
        <v>4046</v>
      </c>
      <c r="J90" t="s">
        <v>31809</v>
      </c>
      <c r="K90" t="s">
        <v>41190</v>
      </c>
      <c r="M90" t="s">
        <v>41548</v>
      </c>
      <c r="N90" t="s">
        <v>45095</v>
      </c>
      <c r="O90" t="s">
        <v>45096</v>
      </c>
      <c r="P90">
        <v>0</v>
      </c>
      <c r="Q90">
        <v>0</v>
      </c>
      <c r="R90" t="s">
        <v>45097</v>
      </c>
      <c r="S90" t="s">
        <v>45222</v>
      </c>
      <c r="T90" t="s">
        <v>46918</v>
      </c>
      <c r="U90" t="s">
        <v>47547</v>
      </c>
      <c r="V90" t="s">
        <v>59863</v>
      </c>
      <c r="W90" t="s">
        <v>41548</v>
      </c>
      <c r="X90" t="s">
        <v>45102</v>
      </c>
    </row>
    <row r="91" spans="1:24">
      <c r="A91">
        <f>HYPERLINK("https://www.philgeps.gov.ph/GEPSNONPILOT/Tender/SplashBidNoticeAbstractUI.aspx?menuIndex=3&amp;refID=7041935&amp;Result=3","7041935")</f>
        <v>0</v>
      </c>
      <c r="B91" t="s">
        <v>66</v>
      </c>
      <c r="C91" t="s">
        <v>3284</v>
      </c>
      <c r="D91" t="s">
        <v>18050</v>
      </c>
      <c r="E91" t="s">
        <v>18220</v>
      </c>
      <c r="F91" t="s">
        <v>31574</v>
      </c>
      <c r="G91" t="s">
        <v>31582</v>
      </c>
      <c r="H91" t="s">
        <v>31590</v>
      </c>
      <c r="I91" t="s">
        <v>31612</v>
      </c>
      <c r="J91" t="s">
        <v>31810</v>
      </c>
      <c r="K91" t="s">
        <v>41186</v>
      </c>
      <c r="L91" t="s">
        <v>66</v>
      </c>
      <c r="M91" t="s">
        <v>41550</v>
      </c>
      <c r="N91" t="s">
        <v>45095</v>
      </c>
      <c r="O91" t="s">
        <v>45096</v>
      </c>
      <c r="P91">
        <v>0</v>
      </c>
      <c r="Q91">
        <v>0</v>
      </c>
      <c r="R91" t="s">
        <v>45097</v>
      </c>
      <c r="S91" t="s">
        <v>45222</v>
      </c>
      <c r="T91" t="s">
        <v>46933</v>
      </c>
      <c r="U91" t="s">
        <v>47548</v>
      </c>
      <c r="V91" t="s">
        <v>59860</v>
      </c>
      <c r="W91" t="s">
        <v>41550</v>
      </c>
      <c r="X91" t="s">
        <v>45102</v>
      </c>
    </row>
    <row r="92" spans="1:24">
      <c r="A92">
        <f>HYPERLINK("https://www.philgeps.gov.ph/GEPSNONPILOT/Tender/SplashBidNoticeAbstractUI.aspx?menuIndex=3&amp;refID=7041644&amp;Result=3","7041644")</f>
        <v>0</v>
      </c>
      <c r="B92" t="s">
        <v>69</v>
      </c>
      <c r="C92" t="s">
        <v>3285</v>
      </c>
      <c r="D92" t="s">
        <v>18052</v>
      </c>
      <c r="E92" t="s">
        <v>18221</v>
      </c>
      <c r="F92" t="s">
        <v>31574</v>
      </c>
      <c r="G92" t="s">
        <v>31582</v>
      </c>
      <c r="H92" t="s">
        <v>31590</v>
      </c>
      <c r="I92" t="s">
        <v>31613</v>
      </c>
      <c r="J92" t="s">
        <v>31811</v>
      </c>
      <c r="K92" t="s">
        <v>41186</v>
      </c>
      <c r="M92" t="s">
        <v>41553</v>
      </c>
      <c r="N92" t="s">
        <v>45095</v>
      </c>
      <c r="O92" t="s">
        <v>45096</v>
      </c>
      <c r="P92">
        <v>0</v>
      </c>
      <c r="Q92">
        <v>0</v>
      </c>
      <c r="R92" t="s">
        <v>45097</v>
      </c>
      <c r="S92" t="s">
        <v>45222</v>
      </c>
      <c r="T92" t="s">
        <v>46935</v>
      </c>
      <c r="U92" t="s">
        <v>47549</v>
      </c>
      <c r="W92" t="s">
        <v>41553</v>
      </c>
      <c r="X92" t="s">
        <v>45102</v>
      </c>
    </row>
    <row r="93" spans="1:24">
      <c r="A93">
        <f>HYPERLINK("https://www.philgeps.gov.ph/GEPSNONPILOT/Tender/SplashBidNoticeAbstractUI.aspx?menuIndex=3&amp;refID=7042021&amp;Result=3","7042021")</f>
        <v>0</v>
      </c>
      <c r="B93" t="s">
        <v>66</v>
      </c>
      <c r="C93" t="s">
        <v>3286</v>
      </c>
      <c r="D93" t="s">
        <v>18050</v>
      </c>
      <c r="E93" t="s">
        <v>18222</v>
      </c>
      <c r="F93" t="s">
        <v>31574</v>
      </c>
      <c r="G93" t="s">
        <v>31585</v>
      </c>
      <c r="H93" t="s">
        <v>31590</v>
      </c>
      <c r="I93" t="s">
        <v>31614</v>
      </c>
      <c r="J93" t="s">
        <v>31812</v>
      </c>
      <c r="K93" t="s">
        <v>41192</v>
      </c>
      <c r="L93" t="s">
        <v>66</v>
      </c>
      <c r="M93" t="s">
        <v>41550</v>
      </c>
      <c r="N93" t="s">
        <v>45095</v>
      </c>
      <c r="O93" t="s">
        <v>45096</v>
      </c>
      <c r="P93">
        <v>0</v>
      </c>
      <c r="Q93">
        <v>0</v>
      </c>
      <c r="R93" t="s">
        <v>45097</v>
      </c>
      <c r="S93" t="s">
        <v>45222</v>
      </c>
      <c r="T93" t="s">
        <v>46933</v>
      </c>
      <c r="U93" t="s">
        <v>47550</v>
      </c>
      <c r="V93" t="s">
        <v>59860</v>
      </c>
      <c r="W93" t="s">
        <v>41550</v>
      </c>
      <c r="X93" t="s">
        <v>45102</v>
      </c>
    </row>
    <row r="94" spans="1:24">
      <c r="A94">
        <f>HYPERLINK("https://www.philgeps.gov.ph/GEPSNONPILOT/Tender/SplashBidNoticeAbstractUI.aspx?menuIndex=3&amp;refID=7041969&amp;Result=3","7041969")</f>
        <v>0</v>
      </c>
      <c r="B94" t="s">
        <v>66</v>
      </c>
      <c r="C94" t="s">
        <v>3287</v>
      </c>
      <c r="D94" t="s">
        <v>18050</v>
      </c>
      <c r="E94" t="s">
        <v>18223</v>
      </c>
      <c r="F94" t="s">
        <v>31574</v>
      </c>
      <c r="G94" t="s">
        <v>31582</v>
      </c>
      <c r="H94" t="s">
        <v>31590</v>
      </c>
      <c r="I94" t="s">
        <v>7185</v>
      </c>
      <c r="J94" t="s">
        <v>31813</v>
      </c>
      <c r="K94" t="s">
        <v>41190</v>
      </c>
      <c r="L94" t="s">
        <v>66</v>
      </c>
      <c r="M94" t="s">
        <v>41550</v>
      </c>
      <c r="N94" t="s">
        <v>45095</v>
      </c>
      <c r="O94" t="s">
        <v>45096</v>
      </c>
      <c r="P94">
        <v>0</v>
      </c>
      <c r="Q94">
        <v>0</v>
      </c>
      <c r="R94" t="s">
        <v>45097</v>
      </c>
      <c r="S94" t="s">
        <v>45222</v>
      </c>
      <c r="T94" t="s">
        <v>46933</v>
      </c>
      <c r="U94" t="s">
        <v>47551</v>
      </c>
      <c r="V94" t="s">
        <v>59864</v>
      </c>
      <c r="W94" t="s">
        <v>41550</v>
      </c>
      <c r="X94" t="s">
        <v>45102</v>
      </c>
    </row>
    <row r="95" spans="1:24">
      <c r="A95">
        <f>HYPERLINK("https://www.philgeps.gov.ph/GEPSNONPILOT/Tender/SplashBidNoticeAbstractUI.aspx?menuIndex=3&amp;refID=7041589&amp;Result=3","7041589")</f>
        <v>0</v>
      </c>
      <c r="B95" t="s">
        <v>63</v>
      </c>
      <c r="C95" t="s">
        <v>3288</v>
      </c>
      <c r="D95" t="s">
        <v>18049</v>
      </c>
      <c r="E95" t="s">
        <v>18224</v>
      </c>
      <c r="F95" t="s">
        <v>31574</v>
      </c>
      <c r="G95" t="s">
        <v>31582</v>
      </c>
      <c r="H95" t="s">
        <v>31591</v>
      </c>
      <c r="I95" t="s">
        <v>8822</v>
      </c>
      <c r="J95" t="s">
        <v>31814</v>
      </c>
      <c r="K95" t="s">
        <v>41207</v>
      </c>
      <c r="M95" t="s">
        <v>41547</v>
      </c>
      <c r="N95" t="s">
        <v>45095</v>
      </c>
      <c r="O95" t="s">
        <v>45096</v>
      </c>
      <c r="P95">
        <v>0</v>
      </c>
      <c r="Q95">
        <v>0</v>
      </c>
      <c r="R95" t="s">
        <v>45097</v>
      </c>
      <c r="S95" t="s">
        <v>45222</v>
      </c>
      <c r="T95" t="s">
        <v>46930</v>
      </c>
      <c r="U95" t="s">
        <v>47552</v>
      </c>
      <c r="W95" t="s">
        <v>41547</v>
      </c>
      <c r="X95" t="s">
        <v>45102</v>
      </c>
    </row>
    <row r="96" spans="1:24">
      <c r="A96">
        <f>HYPERLINK("https://www.philgeps.gov.ph/GEPSNONPILOT/Tender/SplashBidNoticeAbstractUI.aspx?menuIndex=3&amp;refID=7042007&amp;Result=3","7042007")</f>
        <v>0</v>
      </c>
      <c r="B96" t="s">
        <v>64</v>
      </c>
      <c r="C96" t="s">
        <v>3289</v>
      </c>
      <c r="D96" t="s">
        <v>18050</v>
      </c>
      <c r="E96" t="s">
        <v>18225</v>
      </c>
      <c r="F96" t="s">
        <v>31574</v>
      </c>
      <c r="G96" t="s">
        <v>31583</v>
      </c>
      <c r="H96" t="s">
        <v>31590</v>
      </c>
      <c r="I96" t="s">
        <v>4046</v>
      </c>
      <c r="J96" t="s">
        <v>31815</v>
      </c>
      <c r="K96" t="s">
        <v>41190</v>
      </c>
      <c r="M96" t="s">
        <v>41548</v>
      </c>
      <c r="N96" t="s">
        <v>45095</v>
      </c>
      <c r="O96" t="s">
        <v>45096</v>
      </c>
      <c r="P96">
        <v>0</v>
      </c>
      <c r="Q96">
        <v>0</v>
      </c>
      <c r="R96" t="s">
        <v>45097</v>
      </c>
      <c r="S96" t="s">
        <v>45222</v>
      </c>
      <c r="T96" t="s">
        <v>46918</v>
      </c>
      <c r="U96" t="s">
        <v>47553</v>
      </c>
      <c r="V96" t="s">
        <v>59865</v>
      </c>
      <c r="W96" t="s">
        <v>41548</v>
      </c>
      <c r="X96" t="s">
        <v>45102</v>
      </c>
    </row>
    <row r="97" spans="1:24">
      <c r="A97">
        <f>HYPERLINK("https://www.philgeps.gov.ph/GEPSNONPILOT/Tender/SplashBidNoticeAbstractUI.aspx?menuIndex=3&amp;refID=7041819&amp;Result=3","7041819")</f>
        <v>0</v>
      </c>
      <c r="B97" t="s">
        <v>68</v>
      </c>
      <c r="C97" t="s">
        <v>3290</v>
      </c>
      <c r="D97" t="s">
        <v>18051</v>
      </c>
      <c r="E97" t="s">
        <v>3290</v>
      </c>
      <c r="F97" t="s">
        <v>31574</v>
      </c>
      <c r="G97" t="s">
        <v>31583</v>
      </c>
      <c r="H97" t="s">
        <v>31590</v>
      </c>
      <c r="I97" t="s">
        <v>4046</v>
      </c>
      <c r="J97" t="s">
        <v>31816</v>
      </c>
      <c r="K97" t="s">
        <v>41193</v>
      </c>
      <c r="M97" t="s">
        <v>41552</v>
      </c>
      <c r="N97" t="s">
        <v>45095</v>
      </c>
      <c r="O97" t="s">
        <v>45096</v>
      </c>
      <c r="P97">
        <v>0</v>
      </c>
      <c r="Q97">
        <v>0</v>
      </c>
      <c r="R97" t="s">
        <v>45097</v>
      </c>
      <c r="S97" t="s">
        <v>45222</v>
      </c>
      <c r="T97" t="s">
        <v>46913</v>
      </c>
      <c r="U97" t="s">
        <v>47554</v>
      </c>
      <c r="V97" t="s">
        <v>59866</v>
      </c>
      <c r="W97" t="s">
        <v>41552</v>
      </c>
      <c r="X97" t="s">
        <v>45102</v>
      </c>
    </row>
    <row r="98" spans="1:24">
      <c r="A98">
        <f>HYPERLINK("https://www.philgeps.gov.ph/GEPSNONPILOT/Tender/SplashBidNoticeAbstractUI.aspx?menuIndex=3&amp;refID=7041996&amp;Result=3","7041996")</f>
        <v>0</v>
      </c>
      <c r="B98" t="s">
        <v>66</v>
      </c>
      <c r="C98" t="s">
        <v>3291</v>
      </c>
      <c r="D98" t="s">
        <v>18050</v>
      </c>
      <c r="E98" t="s">
        <v>18226</v>
      </c>
      <c r="F98" t="s">
        <v>31574</v>
      </c>
      <c r="G98" t="s">
        <v>31585</v>
      </c>
      <c r="H98" t="s">
        <v>31590</v>
      </c>
      <c r="I98" t="s">
        <v>31615</v>
      </c>
      <c r="J98" t="s">
        <v>31817</v>
      </c>
      <c r="K98" t="s">
        <v>41186</v>
      </c>
      <c r="L98" t="s">
        <v>66</v>
      </c>
      <c r="M98" t="s">
        <v>41550</v>
      </c>
      <c r="N98" t="s">
        <v>45095</v>
      </c>
      <c r="O98" t="s">
        <v>45096</v>
      </c>
      <c r="P98">
        <v>0</v>
      </c>
      <c r="Q98">
        <v>4</v>
      </c>
      <c r="R98" t="s">
        <v>45097</v>
      </c>
      <c r="S98" t="s">
        <v>45222</v>
      </c>
      <c r="T98" t="s">
        <v>46933</v>
      </c>
      <c r="U98" t="s">
        <v>47555</v>
      </c>
      <c r="V98" t="s">
        <v>59860</v>
      </c>
      <c r="W98" t="s">
        <v>41550</v>
      </c>
      <c r="X98" t="s">
        <v>45102</v>
      </c>
    </row>
    <row r="99" spans="1:24">
      <c r="A99">
        <f>HYPERLINK("https://www.philgeps.gov.ph/GEPSNONPILOT/Tender/SplashBidNoticeAbstractUI.aspx?menuIndex=3&amp;refID=7041583&amp;Result=3","7041583")</f>
        <v>0</v>
      </c>
      <c r="B99" t="s">
        <v>70</v>
      </c>
      <c r="C99" t="s">
        <v>3292</v>
      </c>
      <c r="D99" t="s">
        <v>18041</v>
      </c>
      <c r="E99" t="s">
        <v>18227</v>
      </c>
      <c r="F99" t="s">
        <v>31574</v>
      </c>
      <c r="G99" t="s">
        <v>31583</v>
      </c>
      <c r="H99" t="s">
        <v>31590</v>
      </c>
      <c r="I99" t="s">
        <v>31616</v>
      </c>
      <c r="J99" t="s">
        <v>31818</v>
      </c>
      <c r="K99" t="s">
        <v>41184</v>
      </c>
      <c r="M99" t="s">
        <v>41554</v>
      </c>
      <c r="N99" t="s">
        <v>45095</v>
      </c>
      <c r="O99" t="s">
        <v>45096</v>
      </c>
      <c r="P99">
        <v>0</v>
      </c>
      <c r="Q99">
        <v>0</v>
      </c>
      <c r="R99" t="s">
        <v>45097</v>
      </c>
      <c r="S99" t="s">
        <v>45222</v>
      </c>
      <c r="T99" t="s">
        <v>46936</v>
      </c>
      <c r="U99" t="s">
        <v>47556</v>
      </c>
      <c r="W99" t="s">
        <v>41554</v>
      </c>
      <c r="X99" t="s">
        <v>45102</v>
      </c>
    </row>
    <row r="100" spans="1:24">
      <c r="A100">
        <f>HYPERLINK("https://www.philgeps.gov.ph/GEPSNONPILOT/Tender/SplashBidNoticeAbstractUI.aspx?menuIndex=3&amp;refID=7042042&amp;Result=3","7042042")</f>
        <v>0</v>
      </c>
      <c r="B100" t="s">
        <v>66</v>
      </c>
      <c r="C100" t="s">
        <v>3293</v>
      </c>
      <c r="D100" t="s">
        <v>18050</v>
      </c>
      <c r="E100" t="s">
        <v>18228</v>
      </c>
      <c r="F100" t="s">
        <v>31574</v>
      </c>
      <c r="G100" t="s">
        <v>31585</v>
      </c>
      <c r="H100" t="s">
        <v>31590</v>
      </c>
      <c r="I100" t="s">
        <v>31615</v>
      </c>
      <c r="J100" t="s">
        <v>31819</v>
      </c>
      <c r="K100" t="s">
        <v>41192</v>
      </c>
      <c r="L100" t="s">
        <v>66</v>
      </c>
      <c r="M100" t="s">
        <v>41550</v>
      </c>
      <c r="N100" t="s">
        <v>45095</v>
      </c>
      <c r="O100" t="s">
        <v>45096</v>
      </c>
      <c r="P100">
        <v>0</v>
      </c>
      <c r="Q100">
        <v>4</v>
      </c>
      <c r="R100" t="s">
        <v>45097</v>
      </c>
      <c r="S100" t="s">
        <v>45222</v>
      </c>
      <c r="T100" t="s">
        <v>46933</v>
      </c>
      <c r="U100" t="s">
        <v>47557</v>
      </c>
      <c r="V100" t="s">
        <v>59860</v>
      </c>
      <c r="W100" t="s">
        <v>41550</v>
      </c>
      <c r="X100" t="s">
        <v>45102</v>
      </c>
    </row>
    <row r="101" spans="1:24">
      <c r="A101">
        <f>HYPERLINK("https://www.philgeps.gov.ph/GEPSNONPILOT/Tender/SplashBidNoticeAbstractUI.aspx?menuIndex=3&amp;refID=7041729&amp;Result=3","7041729")</f>
        <v>0</v>
      </c>
      <c r="B101" t="s">
        <v>71</v>
      </c>
      <c r="C101" t="s">
        <v>3294</v>
      </c>
      <c r="D101" t="s">
        <v>18053</v>
      </c>
      <c r="E101" t="s">
        <v>18229</v>
      </c>
      <c r="F101" t="s">
        <v>31574</v>
      </c>
      <c r="G101" t="s">
        <v>31582</v>
      </c>
      <c r="H101" t="s">
        <v>31591</v>
      </c>
      <c r="I101" t="s">
        <v>8822</v>
      </c>
      <c r="J101" t="s">
        <v>31820</v>
      </c>
      <c r="K101" t="s">
        <v>41185</v>
      </c>
      <c r="M101" t="s">
        <v>41555</v>
      </c>
      <c r="N101" t="s">
        <v>45095</v>
      </c>
      <c r="O101" t="s">
        <v>45096</v>
      </c>
      <c r="P101">
        <v>0</v>
      </c>
      <c r="Q101">
        <v>0</v>
      </c>
      <c r="R101" t="s">
        <v>45097</v>
      </c>
      <c r="S101" t="s">
        <v>45222</v>
      </c>
      <c r="T101" t="s">
        <v>46937</v>
      </c>
      <c r="U101" t="s">
        <v>47558</v>
      </c>
      <c r="W101" t="s">
        <v>41555</v>
      </c>
      <c r="X101" t="s">
        <v>45102</v>
      </c>
    </row>
    <row r="102" spans="1:24">
      <c r="A102">
        <f>HYPERLINK("https://www.philgeps.gov.ph/GEPSNONPILOT/Tender/SplashBidNoticeAbstractUI.aspx?menuIndex=3&amp;refID=7041804&amp;Result=3","7041804")</f>
        <v>0</v>
      </c>
      <c r="B102" t="s">
        <v>72</v>
      </c>
      <c r="C102" t="s">
        <v>3295</v>
      </c>
      <c r="D102" t="s">
        <v>18022</v>
      </c>
      <c r="E102" t="s">
        <v>18230</v>
      </c>
      <c r="F102" t="s">
        <v>31574</v>
      </c>
      <c r="G102" t="s">
        <v>31581</v>
      </c>
      <c r="H102" t="s">
        <v>31590</v>
      </c>
      <c r="I102" t="s">
        <v>14544</v>
      </c>
      <c r="J102" t="s">
        <v>31821</v>
      </c>
      <c r="K102" t="s">
        <v>41186</v>
      </c>
      <c r="M102" t="s">
        <v>41556</v>
      </c>
      <c r="N102" t="s">
        <v>45095</v>
      </c>
      <c r="O102" t="s">
        <v>45096</v>
      </c>
      <c r="P102">
        <v>0</v>
      </c>
      <c r="Q102">
        <v>0</v>
      </c>
      <c r="R102" t="s">
        <v>45097</v>
      </c>
      <c r="S102" t="s">
        <v>45222</v>
      </c>
      <c r="T102" t="s">
        <v>46911</v>
      </c>
      <c r="U102" t="s">
        <v>47559</v>
      </c>
      <c r="W102" t="s">
        <v>41556</v>
      </c>
      <c r="X102" t="s">
        <v>45102</v>
      </c>
    </row>
    <row r="103" spans="1:24">
      <c r="A103">
        <f>HYPERLINK("https://www.philgeps.gov.ph/GEPSNONPILOT/Tender/SplashBidNoticeAbstractUI.aspx?menuIndex=3&amp;refID=7042105&amp;Result=3","7042105")</f>
        <v>0</v>
      </c>
      <c r="B103" t="s">
        <v>73</v>
      </c>
      <c r="C103" t="s">
        <v>3296</v>
      </c>
      <c r="D103" t="s">
        <v>18041</v>
      </c>
      <c r="E103" t="s">
        <v>18231</v>
      </c>
      <c r="F103" t="s">
        <v>31574</v>
      </c>
      <c r="G103" t="s">
        <v>31582</v>
      </c>
      <c r="H103" t="s">
        <v>31590</v>
      </c>
      <c r="I103" t="s">
        <v>31600</v>
      </c>
      <c r="J103" t="s">
        <v>31822</v>
      </c>
      <c r="K103" t="s">
        <v>41184</v>
      </c>
      <c r="M103" t="s">
        <v>41557</v>
      </c>
      <c r="N103" t="s">
        <v>45095</v>
      </c>
      <c r="O103" t="s">
        <v>45096</v>
      </c>
      <c r="P103">
        <v>0</v>
      </c>
      <c r="Q103">
        <v>0</v>
      </c>
      <c r="R103" t="s">
        <v>45097</v>
      </c>
      <c r="S103" t="s">
        <v>45222</v>
      </c>
      <c r="T103" t="s">
        <v>46938</v>
      </c>
      <c r="U103" t="s">
        <v>47560</v>
      </c>
      <c r="V103" t="s">
        <v>59867</v>
      </c>
      <c r="W103" t="s">
        <v>41557</v>
      </c>
      <c r="X103" t="s">
        <v>45102</v>
      </c>
    </row>
    <row r="104" spans="1:24">
      <c r="A104">
        <f>HYPERLINK("https://www.philgeps.gov.ph/GEPSNONPILOT/Tender/SplashBidNoticeAbstractUI.aspx?menuIndex=3&amp;refID=7042090&amp;Result=3","7042090")</f>
        <v>0</v>
      </c>
      <c r="B104" t="s">
        <v>73</v>
      </c>
      <c r="C104" t="s">
        <v>3297</v>
      </c>
      <c r="D104" t="s">
        <v>18041</v>
      </c>
      <c r="E104" t="s">
        <v>18232</v>
      </c>
      <c r="F104" t="s">
        <v>31574</v>
      </c>
      <c r="G104" t="s">
        <v>31582</v>
      </c>
      <c r="H104" t="s">
        <v>31590</v>
      </c>
      <c r="I104" t="s">
        <v>31603</v>
      </c>
      <c r="J104" t="s">
        <v>31823</v>
      </c>
      <c r="K104" t="s">
        <v>41184</v>
      </c>
      <c r="M104" t="s">
        <v>41557</v>
      </c>
      <c r="N104" t="s">
        <v>45095</v>
      </c>
      <c r="O104" t="s">
        <v>45096</v>
      </c>
      <c r="P104">
        <v>0</v>
      </c>
      <c r="Q104">
        <v>0</v>
      </c>
      <c r="R104" t="s">
        <v>45097</v>
      </c>
      <c r="S104" t="s">
        <v>45222</v>
      </c>
      <c r="T104" t="s">
        <v>46938</v>
      </c>
      <c r="U104" t="s">
        <v>47561</v>
      </c>
      <c r="V104" t="s">
        <v>59867</v>
      </c>
      <c r="W104" t="s">
        <v>41557</v>
      </c>
      <c r="X104" t="s">
        <v>45102</v>
      </c>
    </row>
    <row r="105" spans="1:24">
      <c r="A105">
        <f>HYPERLINK("https://www.philgeps.gov.ph/GEPSNONPILOT/Tender/SplashBidNoticeAbstractUI.aspx?menuIndex=3&amp;refID=7042167&amp;Result=3","7042167")</f>
        <v>0</v>
      </c>
      <c r="B105" t="s">
        <v>66</v>
      </c>
      <c r="C105" t="s">
        <v>3298</v>
      </c>
      <c r="D105" t="s">
        <v>18050</v>
      </c>
      <c r="E105" t="s">
        <v>18233</v>
      </c>
      <c r="F105" t="s">
        <v>31574</v>
      </c>
      <c r="G105" t="s">
        <v>31585</v>
      </c>
      <c r="H105" t="s">
        <v>31590</v>
      </c>
      <c r="I105" t="s">
        <v>31609</v>
      </c>
      <c r="J105" t="s">
        <v>31824</v>
      </c>
      <c r="K105" t="s">
        <v>41190</v>
      </c>
      <c r="L105" t="s">
        <v>66</v>
      </c>
      <c r="M105" t="s">
        <v>41550</v>
      </c>
      <c r="N105" t="s">
        <v>45095</v>
      </c>
      <c r="O105" t="s">
        <v>45096</v>
      </c>
      <c r="P105">
        <v>0</v>
      </c>
      <c r="Q105">
        <v>0</v>
      </c>
      <c r="R105" t="s">
        <v>45097</v>
      </c>
      <c r="S105" t="s">
        <v>45222</v>
      </c>
      <c r="T105" t="s">
        <v>46933</v>
      </c>
      <c r="U105" t="s">
        <v>47562</v>
      </c>
      <c r="V105" t="s">
        <v>59860</v>
      </c>
      <c r="W105" t="s">
        <v>41550</v>
      </c>
      <c r="X105" t="s">
        <v>45102</v>
      </c>
    </row>
    <row r="106" spans="1:24">
      <c r="A106">
        <f>HYPERLINK("https://www.philgeps.gov.ph/GEPSNONPILOT/Tender/SplashBidNoticeAbstractUI.aspx?menuIndex=3&amp;refID=7042095&amp;Result=3","7042095")</f>
        <v>0</v>
      </c>
      <c r="B106" t="s">
        <v>66</v>
      </c>
      <c r="C106" t="s">
        <v>3299</v>
      </c>
      <c r="D106" t="s">
        <v>18050</v>
      </c>
      <c r="E106" t="s">
        <v>18234</v>
      </c>
      <c r="F106" t="s">
        <v>31574</v>
      </c>
      <c r="G106" t="s">
        <v>31585</v>
      </c>
      <c r="H106" t="s">
        <v>31590</v>
      </c>
      <c r="I106" t="s">
        <v>31595</v>
      </c>
      <c r="J106" t="s">
        <v>31825</v>
      </c>
      <c r="K106" t="s">
        <v>41190</v>
      </c>
      <c r="L106" t="s">
        <v>66</v>
      </c>
      <c r="M106" t="s">
        <v>41550</v>
      </c>
      <c r="N106" t="s">
        <v>45095</v>
      </c>
      <c r="O106" t="s">
        <v>45096</v>
      </c>
      <c r="P106">
        <v>0</v>
      </c>
      <c r="Q106">
        <v>0</v>
      </c>
      <c r="R106" t="s">
        <v>45097</v>
      </c>
      <c r="S106" t="s">
        <v>45222</v>
      </c>
      <c r="T106" t="s">
        <v>46933</v>
      </c>
      <c r="U106" t="s">
        <v>47563</v>
      </c>
      <c r="V106" t="s">
        <v>59860</v>
      </c>
      <c r="W106" t="s">
        <v>41550</v>
      </c>
      <c r="X106" t="s">
        <v>45102</v>
      </c>
    </row>
    <row r="107" spans="1:24">
      <c r="A107">
        <f>HYPERLINK("https://www.philgeps.gov.ph/GEPSNONPILOT/Tender/SplashBidNoticeAbstractUI.aspx?menuIndex=3&amp;refID=7042066&amp;Result=3","7042066")</f>
        <v>0</v>
      </c>
      <c r="B107" t="s">
        <v>63</v>
      </c>
      <c r="C107" t="s">
        <v>3300</v>
      </c>
      <c r="D107" t="s">
        <v>18049</v>
      </c>
      <c r="E107" t="s">
        <v>18235</v>
      </c>
      <c r="F107" t="s">
        <v>31574</v>
      </c>
      <c r="G107" t="s">
        <v>31582</v>
      </c>
      <c r="H107" t="s">
        <v>31591</v>
      </c>
      <c r="I107" t="s">
        <v>8822</v>
      </c>
      <c r="J107" t="s">
        <v>31826</v>
      </c>
      <c r="K107" t="s">
        <v>41190</v>
      </c>
      <c r="M107" t="s">
        <v>41547</v>
      </c>
      <c r="N107" t="s">
        <v>45095</v>
      </c>
      <c r="O107" t="s">
        <v>45096</v>
      </c>
      <c r="P107">
        <v>0</v>
      </c>
      <c r="Q107">
        <v>0</v>
      </c>
      <c r="R107" t="s">
        <v>45097</v>
      </c>
      <c r="S107" t="s">
        <v>45222</v>
      </c>
      <c r="T107" t="s">
        <v>46930</v>
      </c>
      <c r="U107" t="s">
        <v>47564</v>
      </c>
      <c r="W107" t="s">
        <v>41547</v>
      </c>
      <c r="X107" t="s">
        <v>45102</v>
      </c>
    </row>
    <row r="108" spans="1:24">
      <c r="A108">
        <f>HYPERLINK("https://www.philgeps.gov.ph/GEPSNONPILOT/Tender/SplashBidNoticeAbstractUI.aspx?menuIndex=3&amp;refID=7042075&amp;Result=3","7042075")</f>
        <v>0</v>
      </c>
      <c r="B108" t="s">
        <v>74</v>
      </c>
      <c r="C108" t="s">
        <v>3301</v>
      </c>
      <c r="D108" t="s">
        <v>18037</v>
      </c>
      <c r="E108" t="s">
        <v>18236</v>
      </c>
      <c r="F108" t="s">
        <v>31574</v>
      </c>
      <c r="G108" t="s">
        <v>31585</v>
      </c>
      <c r="H108" t="s">
        <v>31590</v>
      </c>
      <c r="I108" t="s">
        <v>3901</v>
      </c>
      <c r="J108" t="s">
        <v>31827</v>
      </c>
      <c r="K108" t="s">
        <v>41186</v>
      </c>
      <c r="M108" t="s">
        <v>41558</v>
      </c>
      <c r="N108" t="s">
        <v>45095</v>
      </c>
      <c r="O108" t="s">
        <v>45096</v>
      </c>
      <c r="P108">
        <v>0</v>
      </c>
      <c r="Q108">
        <v>0</v>
      </c>
      <c r="R108" t="s">
        <v>45097</v>
      </c>
      <c r="S108" t="s">
        <v>45222</v>
      </c>
      <c r="T108" t="s">
        <v>46939</v>
      </c>
      <c r="U108" t="s">
        <v>47565</v>
      </c>
      <c r="V108" t="s">
        <v>59868</v>
      </c>
      <c r="W108" t="s">
        <v>41558</v>
      </c>
      <c r="X108" t="s">
        <v>45102</v>
      </c>
    </row>
    <row r="109" spans="1:24">
      <c r="A109">
        <f>HYPERLINK("https://www.philgeps.gov.ph/GEPSNONPILOT/Tender/SplashBidNoticeAbstractUI.aspx?menuIndex=3&amp;refID=7042282&amp;Result=3","7042282")</f>
        <v>0</v>
      </c>
      <c r="B109" t="s">
        <v>73</v>
      </c>
      <c r="C109" t="s">
        <v>3302</v>
      </c>
      <c r="D109" t="s">
        <v>18041</v>
      </c>
      <c r="E109" t="s">
        <v>18237</v>
      </c>
      <c r="F109" t="s">
        <v>31574</v>
      </c>
      <c r="G109" t="s">
        <v>31582</v>
      </c>
      <c r="H109" t="s">
        <v>31590</v>
      </c>
      <c r="I109" t="s">
        <v>31617</v>
      </c>
      <c r="J109" t="s">
        <v>31828</v>
      </c>
      <c r="K109" t="s">
        <v>41184</v>
      </c>
      <c r="M109" t="s">
        <v>41557</v>
      </c>
      <c r="N109" t="s">
        <v>45095</v>
      </c>
      <c r="O109" t="s">
        <v>45096</v>
      </c>
      <c r="P109">
        <v>0</v>
      </c>
      <c r="Q109">
        <v>0</v>
      </c>
      <c r="R109" t="s">
        <v>45097</v>
      </c>
      <c r="S109" t="s">
        <v>45222</v>
      </c>
      <c r="T109" t="s">
        <v>46938</v>
      </c>
      <c r="U109" t="s">
        <v>47566</v>
      </c>
      <c r="V109" t="s">
        <v>59867</v>
      </c>
      <c r="W109" t="s">
        <v>41557</v>
      </c>
      <c r="X109" t="s">
        <v>45102</v>
      </c>
    </row>
    <row r="110" spans="1:24">
      <c r="A110">
        <f>HYPERLINK("https://www.philgeps.gov.ph/GEPSNONPILOT/Tender/SplashBidNoticeAbstractUI.aspx?menuIndex=3&amp;refID=7042051&amp;Result=3","7042051")</f>
        <v>0</v>
      </c>
      <c r="B110" t="s">
        <v>73</v>
      </c>
      <c r="C110" t="s">
        <v>3303</v>
      </c>
      <c r="D110" t="s">
        <v>18041</v>
      </c>
      <c r="E110" t="s">
        <v>18238</v>
      </c>
      <c r="F110" t="s">
        <v>31574</v>
      </c>
      <c r="G110" t="s">
        <v>31582</v>
      </c>
      <c r="H110" t="s">
        <v>31590</v>
      </c>
      <c r="I110" t="s">
        <v>31618</v>
      </c>
      <c r="J110" t="s">
        <v>31829</v>
      </c>
      <c r="K110" t="s">
        <v>41184</v>
      </c>
      <c r="M110" t="s">
        <v>41557</v>
      </c>
      <c r="N110" t="s">
        <v>45095</v>
      </c>
      <c r="O110" t="s">
        <v>45096</v>
      </c>
      <c r="P110">
        <v>0</v>
      </c>
      <c r="Q110">
        <v>0</v>
      </c>
      <c r="R110" t="s">
        <v>45097</v>
      </c>
      <c r="S110" t="s">
        <v>45222</v>
      </c>
      <c r="T110" t="s">
        <v>46938</v>
      </c>
      <c r="U110" t="s">
        <v>47567</v>
      </c>
      <c r="V110" t="s">
        <v>59869</v>
      </c>
      <c r="W110" t="s">
        <v>41557</v>
      </c>
      <c r="X110" t="s">
        <v>45102</v>
      </c>
    </row>
    <row r="111" spans="1:24">
      <c r="A111">
        <f>HYPERLINK("https://www.philgeps.gov.ph/GEPSNONPILOT/Tender/SplashBidNoticeAbstractUI.aspx?menuIndex=3&amp;refID=7042145&amp;Result=3","7042145")</f>
        <v>0</v>
      </c>
      <c r="B111" t="s">
        <v>73</v>
      </c>
      <c r="C111" t="s">
        <v>3304</v>
      </c>
      <c r="D111" t="s">
        <v>18041</v>
      </c>
      <c r="E111" t="s">
        <v>18239</v>
      </c>
      <c r="F111" t="s">
        <v>31574</v>
      </c>
      <c r="G111" t="s">
        <v>31582</v>
      </c>
      <c r="H111" t="s">
        <v>31590</v>
      </c>
      <c r="I111" t="s">
        <v>31608</v>
      </c>
      <c r="J111" t="s">
        <v>31830</v>
      </c>
      <c r="K111" t="s">
        <v>41184</v>
      </c>
      <c r="M111" t="s">
        <v>41557</v>
      </c>
      <c r="N111" t="s">
        <v>45095</v>
      </c>
      <c r="O111" t="s">
        <v>45096</v>
      </c>
      <c r="P111">
        <v>0</v>
      </c>
      <c r="Q111">
        <v>0</v>
      </c>
      <c r="R111" t="s">
        <v>45097</v>
      </c>
      <c r="S111" t="s">
        <v>45222</v>
      </c>
      <c r="T111" t="s">
        <v>46938</v>
      </c>
      <c r="U111" t="s">
        <v>47568</v>
      </c>
      <c r="V111" t="s">
        <v>59867</v>
      </c>
      <c r="W111" t="s">
        <v>41557</v>
      </c>
      <c r="X111" t="s">
        <v>45102</v>
      </c>
    </row>
    <row r="112" spans="1:24">
      <c r="A112">
        <f>HYPERLINK("https://www.philgeps.gov.ph/GEPSNONPILOT/Tender/SplashBidNoticeAbstractUI.aspx?menuIndex=3&amp;refID=7042069&amp;Result=3","7042069")</f>
        <v>0</v>
      </c>
      <c r="B112" t="s">
        <v>73</v>
      </c>
      <c r="C112" t="s">
        <v>3305</v>
      </c>
      <c r="D112" t="s">
        <v>18041</v>
      </c>
      <c r="E112" t="s">
        <v>18240</v>
      </c>
      <c r="F112" t="s">
        <v>31574</v>
      </c>
      <c r="G112" t="s">
        <v>31582</v>
      </c>
      <c r="H112" t="s">
        <v>31590</v>
      </c>
      <c r="I112" t="s">
        <v>3539</v>
      </c>
      <c r="J112" t="s">
        <v>31831</v>
      </c>
      <c r="K112" t="s">
        <v>41184</v>
      </c>
      <c r="M112" t="s">
        <v>41557</v>
      </c>
      <c r="N112" t="s">
        <v>45095</v>
      </c>
      <c r="O112" t="s">
        <v>45096</v>
      </c>
      <c r="P112">
        <v>0</v>
      </c>
      <c r="Q112">
        <v>0</v>
      </c>
      <c r="R112" t="s">
        <v>45097</v>
      </c>
      <c r="S112" t="s">
        <v>45222</v>
      </c>
      <c r="T112" t="s">
        <v>46938</v>
      </c>
      <c r="U112" t="s">
        <v>47569</v>
      </c>
      <c r="V112" t="s">
        <v>59867</v>
      </c>
      <c r="W112" t="s">
        <v>41557</v>
      </c>
      <c r="X112" t="s">
        <v>45102</v>
      </c>
    </row>
    <row r="113" spans="1:24">
      <c r="A113">
        <f>HYPERLINK("https://www.philgeps.gov.ph/GEPSNONPILOT/Tender/SplashBidNoticeAbstractUI.aspx?menuIndex=3&amp;refID=7042119&amp;Result=3","7042119")</f>
        <v>0</v>
      </c>
      <c r="B113" t="s">
        <v>73</v>
      </c>
      <c r="C113" t="s">
        <v>3306</v>
      </c>
      <c r="D113" t="s">
        <v>18041</v>
      </c>
      <c r="E113" t="s">
        <v>18241</v>
      </c>
      <c r="F113" t="s">
        <v>31574</v>
      </c>
      <c r="G113" t="s">
        <v>31582</v>
      </c>
      <c r="H113" t="s">
        <v>31590</v>
      </c>
      <c r="I113" t="s">
        <v>31608</v>
      </c>
      <c r="J113" t="s">
        <v>31832</v>
      </c>
      <c r="K113" t="s">
        <v>41184</v>
      </c>
      <c r="M113" t="s">
        <v>41557</v>
      </c>
      <c r="N113" t="s">
        <v>45095</v>
      </c>
      <c r="O113" t="s">
        <v>45096</v>
      </c>
      <c r="P113">
        <v>0</v>
      </c>
      <c r="Q113">
        <v>0</v>
      </c>
      <c r="R113" t="s">
        <v>45097</v>
      </c>
      <c r="S113" t="s">
        <v>45222</v>
      </c>
      <c r="T113" t="s">
        <v>46938</v>
      </c>
      <c r="U113" t="s">
        <v>47570</v>
      </c>
      <c r="V113" t="s">
        <v>59867</v>
      </c>
      <c r="W113" t="s">
        <v>41557</v>
      </c>
      <c r="X113" t="s">
        <v>45102</v>
      </c>
    </row>
    <row r="114" spans="1:24">
      <c r="A114">
        <f>HYPERLINK("https://www.philgeps.gov.ph/GEPSNONPILOT/Tender/SplashBidNoticeAbstractUI.aspx?menuIndex=3&amp;refID=7042265&amp;Result=3","7042265")</f>
        <v>0</v>
      </c>
      <c r="B114" t="s">
        <v>73</v>
      </c>
      <c r="C114" t="s">
        <v>3307</v>
      </c>
      <c r="D114" t="s">
        <v>18041</v>
      </c>
      <c r="E114" t="s">
        <v>18242</v>
      </c>
      <c r="F114" t="s">
        <v>31574</v>
      </c>
      <c r="G114" t="s">
        <v>31582</v>
      </c>
      <c r="H114" t="s">
        <v>31590</v>
      </c>
      <c r="I114" t="s">
        <v>31618</v>
      </c>
      <c r="J114" t="s">
        <v>31833</v>
      </c>
      <c r="K114" t="s">
        <v>41184</v>
      </c>
      <c r="M114" t="s">
        <v>41557</v>
      </c>
      <c r="N114" t="s">
        <v>45095</v>
      </c>
      <c r="O114" t="s">
        <v>45096</v>
      </c>
      <c r="P114">
        <v>0</v>
      </c>
      <c r="Q114">
        <v>0</v>
      </c>
      <c r="R114" t="s">
        <v>45097</v>
      </c>
      <c r="S114" t="s">
        <v>45222</v>
      </c>
      <c r="T114" t="s">
        <v>46938</v>
      </c>
      <c r="U114" t="s">
        <v>47571</v>
      </c>
      <c r="V114" t="s">
        <v>59867</v>
      </c>
      <c r="W114" t="s">
        <v>41557</v>
      </c>
      <c r="X114" t="s">
        <v>45102</v>
      </c>
    </row>
    <row r="115" spans="1:24">
      <c r="A115">
        <f>HYPERLINK("https://www.philgeps.gov.ph/GEPSNONPILOT/Tender/SplashBidNoticeAbstractUI.aspx?menuIndex=3&amp;refID=7042216&amp;Result=3","7042216")</f>
        <v>0</v>
      </c>
      <c r="B115" t="s">
        <v>63</v>
      </c>
      <c r="C115" t="s">
        <v>3308</v>
      </c>
      <c r="D115" t="s">
        <v>18049</v>
      </c>
      <c r="E115" t="s">
        <v>18243</v>
      </c>
      <c r="F115" t="s">
        <v>31574</v>
      </c>
      <c r="G115" t="s">
        <v>31582</v>
      </c>
      <c r="H115" t="s">
        <v>31591</v>
      </c>
      <c r="I115" t="s">
        <v>8822</v>
      </c>
      <c r="J115" t="s">
        <v>31834</v>
      </c>
      <c r="K115" t="s">
        <v>41208</v>
      </c>
      <c r="M115" t="s">
        <v>41547</v>
      </c>
      <c r="N115" t="s">
        <v>45095</v>
      </c>
      <c r="O115" t="s">
        <v>45096</v>
      </c>
      <c r="P115">
        <v>0</v>
      </c>
      <c r="Q115">
        <v>0</v>
      </c>
      <c r="R115" t="s">
        <v>45097</v>
      </c>
      <c r="S115" t="s">
        <v>45222</v>
      </c>
      <c r="T115" t="s">
        <v>46930</v>
      </c>
      <c r="U115" t="s">
        <v>47572</v>
      </c>
      <c r="W115" t="s">
        <v>41547</v>
      </c>
      <c r="X115" t="s">
        <v>45102</v>
      </c>
    </row>
    <row r="116" spans="1:24">
      <c r="A116">
        <f>HYPERLINK("https://www.philgeps.gov.ph/GEPSNONPILOT/Tender/SplashBidNoticeAbstractUI.aspx?menuIndex=3&amp;refID=7042246&amp;Result=3","7042246")</f>
        <v>0</v>
      </c>
      <c r="B116" t="s">
        <v>66</v>
      </c>
      <c r="C116" t="s">
        <v>3309</v>
      </c>
      <c r="D116" t="s">
        <v>18050</v>
      </c>
      <c r="E116" t="s">
        <v>18244</v>
      </c>
      <c r="F116" t="s">
        <v>31574</v>
      </c>
      <c r="G116" t="s">
        <v>31582</v>
      </c>
      <c r="H116" t="s">
        <v>31591</v>
      </c>
      <c r="I116" t="s">
        <v>8822</v>
      </c>
      <c r="J116" t="s">
        <v>31835</v>
      </c>
      <c r="K116" t="s">
        <v>41209</v>
      </c>
      <c r="L116" t="s">
        <v>66</v>
      </c>
      <c r="M116" t="s">
        <v>41550</v>
      </c>
      <c r="N116" t="s">
        <v>45095</v>
      </c>
      <c r="O116" t="s">
        <v>45096</v>
      </c>
      <c r="P116">
        <v>0</v>
      </c>
      <c r="Q116">
        <v>0</v>
      </c>
      <c r="R116" t="s">
        <v>45097</v>
      </c>
      <c r="S116" t="s">
        <v>45222</v>
      </c>
      <c r="T116" t="s">
        <v>46940</v>
      </c>
      <c r="U116" t="s">
        <v>47573</v>
      </c>
      <c r="V116" t="s">
        <v>59860</v>
      </c>
      <c r="W116" t="s">
        <v>41550</v>
      </c>
      <c r="X116" t="s">
        <v>45102</v>
      </c>
    </row>
    <row r="117" spans="1:24">
      <c r="A117">
        <f>HYPERLINK("https://www.philgeps.gov.ph/GEPSNONPILOT/Tender/SplashBidNoticeAbstractUI.aspx?menuIndex=3&amp;refID=7042252&amp;Result=3","7042252")</f>
        <v>0</v>
      </c>
      <c r="B117" t="s">
        <v>75</v>
      </c>
      <c r="C117" t="s">
        <v>3310</v>
      </c>
      <c r="D117" t="s">
        <v>18054</v>
      </c>
      <c r="E117" t="s">
        <v>18245</v>
      </c>
      <c r="F117" t="s">
        <v>31574</v>
      </c>
      <c r="G117" t="s">
        <v>31581</v>
      </c>
      <c r="H117" t="s">
        <v>31590</v>
      </c>
      <c r="I117" t="s">
        <v>31619</v>
      </c>
      <c r="J117" t="s">
        <v>31836</v>
      </c>
      <c r="K117" t="s">
        <v>41186</v>
      </c>
      <c r="M117" t="s">
        <v>41559</v>
      </c>
      <c r="N117" t="s">
        <v>45095</v>
      </c>
      <c r="O117" t="s">
        <v>45096</v>
      </c>
      <c r="P117">
        <v>0</v>
      </c>
      <c r="Q117">
        <v>0</v>
      </c>
      <c r="R117" t="s">
        <v>45097</v>
      </c>
      <c r="S117" t="s">
        <v>45222</v>
      </c>
      <c r="T117" t="s">
        <v>46918</v>
      </c>
      <c r="U117" t="s">
        <v>47574</v>
      </c>
      <c r="W117" t="s">
        <v>41559</v>
      </c>
      <c r="X117" t="s">
        <v>45102</v>
      </c>
    </row>
    <row r="118" spans="1:24">
      <c r="A118">
        <f>HYPERLINK("https://www.philgeps.gov.ph/GEPSNONPILOT/Tender/SplashBidNoticeAbstractUI.aspx?menuIndex=3&amp;refID=7042301&amp;Result=3","7042301")</f>
        <v>0</v>
      </c>
      <c r="B118" t="s">
        <v>76</v>
      </c>
      <c r="C118" t="s">
        <v>3311</v>
      </c>
      <c r="D118" t="s">
        <v>18035</v>
      </c>
      <c r="E118" t="s">
        <v>18246</v>
      </c>
      <c r="F118" t="s">
        <v>31574</v>
      </c>
      <c r="G118" t="s">
        <v>31581</v>
      </c>
      <c r="H118" t="s">
        <v>31590</v>
      </c>
      <c r="I118" t="s">
        <v>31620</v>
      </c>
      <c r="J118" t="s">
        <v>31837</v>
      </c>
      <c r="K118" t="s">
        <v>41184</v>
      </c>
      <c r="L118" t="s">
        <v>76</v>
      </c>
      <c r="M118" t="s">
        <v>41560</v>
      </c>
      <c r="N118" t="s">
        <v>45095</v>
      </c>
      <c r="O118" t="s">
        <v>45096</v>
      </c>
      <c r="P118">
        <v>0</v>
      </c>
      <c r="Q118">
        <v>0</v>
      </c>
      <c r="R118" t="s">
        <v>45097</v>
      </c>
      <c r="S118" t="s">
        <v>45222</v>
      </c>
      <c r="T118" t="s">
        <v>46904</v>
      </c>
      <c r="U118" t="s">
        <v>47575</v>
      </c>
      <c r="W118" t="s">
        <v>41560</v>
      </c>
      <c r="X118" t="s">
        <v>45102</v>
      </c>
    </row>
    <row r="119" spans="1:24">
      <c r="A119">
        <f>HYPERLINK("https://www.philgeps.gov.ph/GEPSNONPILOT/Tender/SplashBidNoticeAbstractUI.aspx?menuIndex=3&amp;refID=7042211&amp;Result=3","7042211")</f>
        <v>0</v>
      </c>
      <c r="B119" t="s">
        <v>73</v>
      </c>
      <c r="C119" t="s">
        <v>3312</v>
      </c>
      <c r="D119" t="s">
        <v>18041</v>
      </c>
      <c r="E119" t="s">
        <v>18247</v>
      </c>
      <c r="F119" t="s">
        <v>31574</v>
      </c>
      <c r="G119" t="s">
        <v>31582</v>
      </c>
      <c r="H119" t="s">
        <v>31590</v>
      </c>
      <c r="I119" t="s">
        <v>31621</v>
      </c>
      <c r="J119" t="s">
        <v>31838</v>
      </c>
      <c r="K119" t="s">
        <v>41184</v>
      </c>
      <c r="M119" t="s">
        <v>41557</v>
      </c>
      <c r="N119" t="s">
        <v>45095</v>
      </c>
      <c r="O119" t="s">
        <v>45096</v>
      </c>
      <c r="P119">
        <v>0</v>
      </c>
      <c r="Q119">
        <v>0</v>
      </c>
      <c r="R119" t="s">
        <v>45097</v>
      </c>
      <c r="S119" t="s">
        <v>45222</v>
      </c>
      <c r="T119" t="s">
        <v>46938</v>
      </c>
      <c r="U119" t="s">
        <v>47576</v>
      </c>
      <c r="V119" t="s">
        <v>59867</v>
      </c>
      <c r="W119" t="s">
        <v>41557</v>
      </c>
      <c r="X119" t="s">
        <v>45102</v>
      </c>
    </row>
    <row r="120" spans="1:24">
      <c r="A120">
        <f>HYPERLINK("https://www.philgeps.gov.ph/GEPSNONPILOT/Tender/SplashBidNoticeAbstractUI.aspx?menuIndex=3&amp;refID=7042129&amp;Result=3","7042129")</f>
        <v>0</v>
      </c>
      <c r="B120" t="s">
        <v>66</v>
      </c>
      <c r="C120" t="s">
        <v>3313</v>
      </c>
      <c r="D120" t="s">
        <v>18050</v>
      </c>
      <c r="E120" t="s">
        <v>18248</v>
      </c>
      <c r="F120" t="s">
        <v>31574</v>
      </c>
      <c r="G120" t="s">
        <v>31585</v>
      </c>
      <c r="H120" t="s">
        <v>31590</v>
      </c>
      <c r="I120" t="s">
        <v>31615</v>
      </c>
      <c r="J120" t="s">
        <v>31839</v>
      </c>
      <c r="K120" t="s">
        <v>41192</v>
      </c>
      <c r="L120" t="s">
        <v>66</v>
      </c>
      <c r="M120" t="s">
        <v>41550</v>
      </c>
      <c r="N120" t="s">
        <v>45095</v>
      </c>
      <c r="O120" t="s">
        <v>45096</v>
      </c>
      <c r="P120">
        <v>0</v>
      </c>
      <c r="Q120">
        <v>4</v>
      </c>
      <c r="R120" t="s">
        <v>45097</v>
      </c>
      <c r="S120" t="s">
        <v>45222</v>
      </c>
      <c r="T120" t="s">
        <v>46933</v>
      </c>
      <c r="U120" t="s">
        <v>47577</v>
      </c>
      <c r="V120" t="s">
        <v>59860</v>
      </c>
      <c r="W120" t="s">
        <v>41550</v>
      </c>
      <c r="X120" t="s">
        <v>45102</v>
      </c>
    </row>
    <row r="121" spans="1:24">
      <c r="A121">
        <f>HYPERLINK("https://www.philgeps.gov.ph/GEPSNONPILOT/Tender/SplashBidNoticeAbstractUI.aspx?menuIndex=3&amp;refID=7042877&amp;Result=3","7042877")</f>
        <v>0</v>
      </c>
      <c r="B121" t="s">
        <v>77</v>
      </c>
      <c r="C121" t="s">
        <v>3314</v>
      </c>
      <c r="E121" t="s">
        <v>18249</v>
      </c>
      <c r="F121" t="s">
        <v>31574</v>
      </c>
      <c r="G121" t="s">
        <v>31582</v>
      </c>
      <c r="H121" t="s">
        <v>31591</v>
      </c>
      <c r="I121" t="s">
        <v>8822</v>
      </c>
      <c r="J121" t="s">
        <v>31840</v>
      </c>
      <c r="K121" t="s">
        <v>41184</v>
      </c>
      <c r="M121" t="s">
        <v>41561</v>
      </c>
      <c r="N121" t="s">
        <v>45095</v>
      </c>
      <c r="O121" t="s">
        <v>45096</v>
      </c>
      <c r="P121">
        <v>0</v>
      </c>
      <c r="Q121">
        <v>0</v>
      </c>
      <c r="R121" t="s">
        <v>45097</v>
      </c>
      <c r="S121" t="s">
        <v>45222</v>
      </c>
      <c r="T121" t="s">
        <v>46935</v>
      </c>
      <c r="U121" t="s">
        <v>47578</v>
      </c>
      <c r="W121" t="s">
        <v>41561</v>
      </c>
      <c r="X121" t="s">
        <v>45102</v>
      </c>
    </row>
    <row r="122" spans="1:24">
      <c r="A122">
        <f>HYPERLINK("https://www.philgeps.gov.ph/GEPSNONPILOT/Tender/SplashBidNoticeAbstractUI.aspx?menuIndex=3&amp;refID=7042292&amp;Result=3","7042292")</f>
        <v>0</v>
      </c>
      <c r="B122" t="s">
        <v>78</v>
      </c>
      <c r="C122" t="s">
        <v>3315</v>
      </c>
      <c r="D122" t="s">
        <v>18055</v>
      </c>
      <c r="E122" t="s">
        <v>18250</v>
      </c>
      <c r="F122" t="s">
        <v>31574</v>
      </c>
      <c r="G122" t="s">
        <v>31582</v>
      </c>
      <c r="H122" t="s">
        <v>31590</v>
      </c>
      <c r="I122" t="s">
        <v>31596</v>
      </c>
      <c r="J122" t="s">
        <v>31841</v>
      </c>
      <c r="K122" t="s">
        <v>41210</v>
      </c>
      <c r="M122" t="s">
        <v>41562</v>
      </c>
      <c r="N122" t="s">
        <v>45095</v>
      </c>
      <c r="O122" t="s">
        <v>45096</v>
      </c>
      <c r="P122">
        <v>0</v>
      </c>
      <c r="Q122">
        <v>0</v>
      </c>
      <c r="R122" t="s">
        <v>45097</v>
      </c>
      <c r="S122" t="s">
        <v>45222</v>
      </c>
      <c r="T122" t="s">
        <v>46907</v>
      </c>
      <c r="U122" t="s">
        <v>47579</v>
      </c>
      <c r="W122" t="s">
        <v>41562</v>
      </c>
      <c r="X122" t="s">
        <v>45102</v>
      </c>
    </row>
    <row r="123" spans="1:24">
      <c r="A123">
        <f>HYPERLINK("https://www.philgeps.gov.ph/GEPSNONPILOT/Tender/SplashBidNoticeAbstractUI.aspx?menuIndex=3&amp;refID=7042228&amp;Result=3","7042228")</f>
        <v>0</v>
      </c>
      <c r="B123" t="s">
        <v>79</v>
      </c>
      <c r="C123" t="s">
        <v>3316</v>
      </c>
      <c r="D123" t="s">
        <v>18056</v>
      </c>
      <c r="E123" t="s">
        <v>18251</v>
      </c>
      <c r="F123" t="s">
        <v>31574</v>
      </c>
      <c r="G123" t="s">
        <v>31581</v>
      </c>
      <c r="H123" t="s">
        <v>31590</v>
      </c>
      <c r="I123" t="s">
        <v>31600</v>
      </c>
      <c r="J123" t="s">
        <v>31842</v>
      </c>
      <c r="K123" t="s">
        <v>41211</v>
      </c>
      <c r="M123" t="s">
        <v>41563</v>
      </c>
      <c r="N123" t="s">
        <v>45095</v>
      </c>
      <c r="O123" t="s">
        <v>45096</v>
      </c>
      <c r="P123">
        <v>0</v>
      </c>
      <c r="Q123">
        <v>0</v>
      </c>
      <c r="R123" t="s">
        <v>45097</v>
      </c>
      <c r="S123" t="s">
        <v>45222</v>
      </c>
      <c r="T123" t="s">
        <v>46911</v>
      </c>
      <c r="U123" t="s">
        <v>47580</v>
      </c>
      <c r="W123" t="s">
        <v>41563</v>
      </c>
      <c r="X123" t="s">
        <v>45102</v>
      </c>
    </row>
    <row r="124" spans="1:24">
      <c r="A124">
        <f>HYPERLINK("https://www.philgeps.gov.ph/GEPSNONPILOT/Tender/SplashBidNoticeAbstractUI.aspx?menuIndex=3&amp;refID=7042755&amp;Result=3","7042755")</f>
        <v>0</v>
      </c>
      <c r="B124" t="s">
        <v>80</v>
      </c>
      <c r="C124" t="s">
        <v>3317</v>
      </c>
      <c r="D124" t="s">
        <v>18041</v>
      </c>
      <c r="E124" t="s">
        <v>18252</v>
      </c>
      <c r="F124" t="s">
        <v>31574</v>
      </c>
      <c r="G124" t="s">
        <v>31583</v>
      </c>
      <c r="H124" t="s">
        <v>31590</v>
      </c>
      <c r="I124" t="s">
        <v>31607</v>
      </c>
      <c r="J124" t="s">
        <v>31843</v>
      </c>
      <c r="K124" t="s">
        <v>41196</v>
      </c>
      <c r="M124" t="s">
        <v>41564</v>
      </c>
      <c r="N124" t="s">
        <v>45095</v>
      </c>
      <c r="O124" t="s">
        <v>45096</v>
      </c>
      <c r="P124">
        <v>0</v>
      </c>
      <c r="Q124">
        <v>0</v>
      </c>
      <c r="R124" t="s">
        <v>45097</v>
      </c>
      <c r="S124" t="s">
        <v>45222</v>
      </c>
      <c r="T124" t="s">
        <v>46905</v>
      </c>
      <c r="U124" t="s">
        <v>47581</v>
      </c>
      <c r="W124" t="s">
        <v>41564</v>
      </c>
      <c r="X124" t="s">
        <v>45102</v>
      </c>
    </row>
    <row r="125" spans="1:24">
      <c r="A125">
        <f>HYPERLINK("https://www.philgeps.gov.ph/GEPSNONPILOT/Tender/SplashBidNoticeAbstractUI.aspx?menuIndex=3&amp;refID=7042691&amp;Result=3","7042691")</f>
        <v>0</v>
      </c>
      <c r="B125" t="s">
        <v>81</v>
      </c>
      <c r="C125" t="s">
        <v>3318</v>
      </c>
      <c r="D125" t="s">
        <v>18057</v>
      </c>
      <c r="E125" t="s">
        <v>18253</v>
      </c>
      <c r="F125" t="s">
        <v>31574</v>
      </c>
      <c r="G125" t="s">
        <v>31583</v>
      </c>
      <c r="H125" t="s">
        <v>31590</v>
      </c>
      <c r="I125" t="s">
        <v>6800</v>
      </c>
      <c r="J125" t="s">
        <v>31844</v>
      </c>
      <c r="K125" t="s">
        <v>41196</v>
      </c>
      <c r="M125" t="s">
        <v>41565</v>
      </c>
      <c r="N125" t="s">
        <v>45095</v>
      </c>
      <c r="O125" t="s">
        <v>45096</v>
      </c>
      <c r="P125">
        <v>0</v>
      </c>
      <c r="Q125">
        <v>0</v>
      </c>
      <c r="R125" t="s">
        <v>45097</v>
      </c>
      <c r="S125" t="s">
        <v>45222</v>
      </c>
      <c r="T125" t="s">
        <v>46941</v>
      </c>
      <c r="U125" t="s">
        <v>47582</v>
      </c>
      <c r="W125" t="s">
        <v>61651</v>
      </c>
      <c r="X125" t="s">
        <v>45102</v>
      </c>
    </row>
    <row r="126" spans="1:24">
      <c r="A126">
        <f>HYPERLINK("https://www.philgeps.gov.ph/GEPSNONPILOT/Tender/SplashBidNoticeAbstractUI.aspx?menuIndex=3&amp;refID=7042188&amp;Result=3","7042188")</f>
        <v>0</v>
      </c>
      <c r="B126" t="s">
        <v>73</v>
      </c>
      <c r="C126" t="s">
        <v>3319</v>
      </c>
      <c r="D126" t="s">
        <v>18041</v>
      </c>
      <c r="E126" t="s">
        <v>18254</v>
      </c>
      <c r="F126" t="s">
        <v>31574</v>
      </c>
      <c r="G126" t="s">
        <v>31582</v>
      </c>
      <c r="H126" t="s">
        <v>31590</v>
      </c>
      <c r="I126" t="s">
        <v>31608</v>
      </c>
      <c r="J126" t="s">
        <v>31845</v>
      </c>
      <c r="K126" t="s">
        <v>41184</v>
      </c>
      <c r="M126" t="s">
        <v>41557</v>
      </c>
      <c r="N126" t="s">
        <v>45095</v>
      </c>
      <c r="O126" t="s">
        <v>45096</v>
      </c>
      <c r="P126">
        <v>0</v>
      </c>
      <c r="Q126">
        <v>0</v>
      </c>
      <c r="R126" t="s">
        <v>45097</v>
      </c>
      <c r="S126" t="s">
        <v>45222</v>
      </c>
      <c r="T126" t="s">
        <v>46938</v>
      </c>
      <c r="U126" t="s">
        <v>47583</v>
      </c>
      <c r="V126" t="s">
        <v>59867</v>
      </c>
      <c r="W126" t="s">
        <v>41557</v>
      </c>
      <c r="X126" t="s">
        <v>45102</v>
      </c>
    </row>
    <row r="127" spans="1:24">
      <c r="A127">
        <f>HYPERLINK("https://www.philgeps.gov.ph/GEPSNONPILOT/Tender/SplashBidNoticeAbstractUI.aspx?menuIndex=3&amp;refID=7042858&amp;Result=3","7042858")</f>
        <v>0</v>
      </c>
      <c r="B127" t="s">
        <v>82</v>
      </c>
      <c r="C127" t="s">
        <v>3320</v>
      </c>
      <c r="D127" t="s">
        <v>18058</v>
      </c>
      <c r="E127" t="s">
        <v>18255</v>
      </c>
      <c r="F127" t="s">
        <v>31574</v>
      </c>
      <c r="G127" t="s">
        <v>31582</v>
      </c>
      <c r="H127" t="s">
        <v>31590</v>
      </c>
      <c r="I127" t="s">
        <v>31619</v>
      </c>
      <c r="J127" t="s">
        <v>31846</v>
      </c>
      <c r="K127" t="s">
        <v>41193</v>
      </c>
      <c r="M127" t="s">
        <v>41566</v>
      </c>
      <c r="N127" t="s">
        <v>45095</v>
      </c>
      <c r="O127" t="s">
        <v>45096</v>
      </c>
      <c r="P127">
        <v>0</v>
      </c>
      <c r="Q127">
        <v>0</v>
      </c>
      <c r="R127" t="s">
        <v>45097</v>
      </c>
      <c r="S127" t="s">
        <v>45222</v>
      </c>
      <c r="T127" t="s">
        <v>46942</v>
      </c>
      <c r="U127" t="s">
        <v>47584</v>
      </c>
      <c r="V127" t="s">
        <v>59870</v>
      </c>
      <c r="W127" t="s">
        <v>41566</v>
      </c>
      <c r="X127" t="s">
        <v>45102</v>
      </c>
    </row>
    <row r="128" spans="1:24">
      <c r="A128">
        <f>HYPERLINK("https://www.philgeps.gov.ph/GEPSNONPILOT/Tender/SplashBidNoticeAbstractUI.aspx?menuIndex=3&amp;refID=7042675&amp;Result=3","7042675")</f>
        <v>0</v>
      </c>
      <c r="B128" t="s">
        <v>74</v>
      </c>
      <c r="C128" t="s">
        <v>3321</v>
      </c>
      <c r="D128" t="s">
        <v>18037</v>
      </c>
      <c r="E128" t="s">
        <v>18256</v>
      </c>
      <c r="F128" t="s">
        <v>31574</v>
      </c>
      <c r="G128" t="s">
        <v>31585</v>
      </c>
      <c r="H128" t="s">
        <v>31590</v>
      </c>
      <c r="I128" t="s">
        <v>31607</v>
      </c>
      <c r="J128" t="s">
        <v>31847</v>
      </c>
      <c r="K128" t="s">
        <v>41186</v>
      </c>
      <c r="M128" t="s">
        <v>41558</v>
      </c>
      <c r="N128" t="s">
        <v>45095</v>
      </c>
      <c r="O128" t="s">
        <v>45096</v>
      </c>
      <c r="P128">
        <v>0</v>
      </c>
      <c r="Q128">
        <v>0</v>
      </c>
      <c r="R128" t="s">
        <v>45097</v>
      </c>
      <c r="S128" t="s">
        <v>45222</v>
      </c>
      <c r="T128" t="s">
        <v>46943</v>
      </c>
      <c r="U128" t="s">
        <v>47585</v>
      </c>
      <c r="V128" t="s">
        <v>59871</v>
      </c>
      <c r="W128" t="s">
        <v>41558</v>
      </c>
      <c r="X128" t="s">
        <v>45102</v>
      </c>
    </row>
    <row r="129" spans="1:24">
      <c r="A129">
        <f>HYPERLINK("https://www.philgeps.gov.ph/GEPSNONPILOT/Tender/SplashBidNoticeAbstractUI.aspx?menuIndex=3&amp;refID=7042733&amp;Result=3","7042733")</f>
        <v>0</v>
      </c>
      <c r="B129" t="s">
        <v>83</v>
      </c>
      <c r="C129" t="s">
        <v>3322</v>
      </c>
      <c r="D129" t="s">
        <v>18043</v>
      </c>
      <c r="E129" t="s">
        <v>18257</v>
      </c>
      <c r="F129" t="s">
        <v>31574</v>
      </c>
      <c r="G129" t="s">
        <v>31581</v>
      </c>
      <c r="H129" t="s">
        <v>31590</v>
      </c>
      <c r="I129" t="s">
        <v>14034</v>
      </c>
      <c r="J129" t="s">
        <v>31848</v>
      </c>
      <c r="K129" t="s">
        <v>41196</v>
      </c>
      <c r="M129" t="s">
        <v>41567</v>
      </c>
      <c r="N129" t="s">
        <v>45095</v>
      </c>
      <c r="O129" t="s">
        <v>45096</v>
      </c>
      <c r="P129">
        <v>0</v>
      </c>
      <c r="Q129">
        <v>0</v>
      </c>
      <c r="R129" t="s">
        <v>45097</v>
      </c>
      <c r="S129" t="s">
        <v>45222</v>
      </c>
      <c r="T129" t="s">
        <v>46911</v>
      </c>
      <c r="U129" t="s">
        <v>47586</v>
      </c>
      <c r="W129" t="s">
        <v>41567</v>
      </c>
      <c r="X129" t="s">
        <v>45102</v>
      </c>
    </row>
    <row r="130" spans="1:24">
      <c r="A130">
        <f>HYPERLINK("https://www.philgeps.gov.ph/GEPSNONPILOT/Tender/SplashBidNoticeAbstractUI.aspx?menuIndex=3&amp;refID=7043017&amp;Result=3","7043017")</f>
        <v>0</v>
      </c>
      <c r="B130" t="s">
        <v>64</v>
      </c>
      <c r="C130" t="s">
        <v>3323</v>
      </c>
      <c r="D130" t="s">
        <v>18050</v>
      </c>
      <c r="E130" t="s">
        <v>18258</v>
      </c>
      <c r="F130" t="s">
        <v>31574</v>
      </c>
      <c r="G130" t="s">
        <v>31583</v>
      </c>
      <c r="H130" t="s">
        <v>31590</v>
      </c>
      <c r="I130" t="s">
        <v>31602</v>
      </c>
      <c r="J130" t="s">
        <v>31789</v>
      </c>
      <c r="K130" t="s">
        <v>41190</v>
      </c>
      <c r="M130" t="s">
        <v>41548</v>
      </c>
      <c r="N130" t="s">
        <v>45095</v>
      </c>
      <c r="O130" t="s">
        <v>45096</v>
      </c>
      <c r="P130">
        <v>0</v>
      </c>
      <c r="Q130">
        <v>0</v>
      </c>
      <c r="R130" t="s">
        <v>45097</v>
      </c>
      <c r="S130" t="s">
        <v>45222</v>
      </c>
      <c r="T130" t="s">
        <v>46918</v>
      </c>
      <c r="U130" t="s">
        <v>47587</v>
      </c>
      <c r="V130" t="s">
        <v>59872</v>
      </c>
      <c r="W130" t="s">
        <v>41548</v>
      </c>
      <c r="X130" t="s">
        <v>45102</v>
      </c>
    </row>
    <row r="131" spans="1:24">
      <c r="A131">
        <f>HYPERLINK("https://www.philgeps.gov.ph/GEPSNONPILOT/Tender/SplashBidNoticeAbstractUI.aspx?menuIndex=3&amp;refID=7042427&amp;Result=3","7042427")</f>
        <v>0</v>
      </c>
      <c r="B131" t="s">
        <v>78</v>
      </c>
      <c r="C131" t="s">
        <v>3324</v>
      </c>
      <c r="D131" t="s">
        <v>18055</v>
      </c>
      <c r="E131" t="s">
        <v>18259</v>
      </c>
      <c r="F131" t="s">
        <v>31574</v>
      </c>
      <c r="G131" t="s">
        <v>31582</v>
      </c>
      <c r="H131" t="s">
        <v>31590</v>
      </c>
      <c r="I131" t="s">
        <v>5717</v>
      </c>
      <c r="J131" t="s">
        <v>31849</v>
      </c>
      <c r="K131" t="s">
        <v>41196</v>
      </c>
      <c r="M131" t="s">
        <v>41562</v>
      </c>
      <c r="N131" t="s">
        <v>45095</v>
      </c>
      <c r="O131" t="s">
        <v>45096</v>
      </c>
      <c r="P131">
        <v>0</v>
      </c>
      <c r="Q131">
        <v>0</v>
      </c>
      <c r="R131" t="s">
        <v>45097</v>
      </c>
      <c r="S131" t="s">
        <v>45222</v>
      </c>
      <c r="T131" t="s">
        <v>46915</v>
      </c>
      <c r="U131" t="s">
        <v>47588</v>
      </c>
      <c r="W131" t="s">
        <v>41562</v>
      </c>
      <c r="X131" t="s">
        <v>45102</v>
      </c>
    </row>
    <row r="132" spans="1:24">
      <c r="A132">
        <f>HYPERLINK("https://www.philgeps.gov.ph/GEPSNONPILOT/Tender/SplashBidNoticeAbstractUI.aspx?menuIndex=3&amp;refID=7042948&amp;Result=3","7042948")</f>
        <v>0</v>
      </c>
      <c r="B132" t="s">
        <v>84</v>
      </c>
      <c r="C132" t="s">
        <v>3325</v>
      </c>
      <c r="D132" t="s">
        <v>18022</v>
      </c>
      <c r="E132" t="s">
        <v>18260</v>
      </c>
      <c r="F132" t="s">
        <v>31574</v>
      </c>
      <c r="G132" t="s">
        <v>31581</v>
      </c>
      <c r="H132" t="s">
        <v>31590</v>
      </c>
      <c r="I132" t="s">
        <v>3539</v>
      </c>
      <c r="J132" t="s">
        <v>31850</v>
      </c>
      <c r="K132" t="s">
        <v>41184</v>
      </c>
      <c r="M132" t="s">
        <v>41568</v>
      </c>
      <c r="N132" t="s">
        <v>45095</v>
      </c>
      <c r="O132" t="s">
        <v>45096</v>
      </c>
      <c r="P132">
        <v>0</v>
      </c>
      <c r="Q132">
        <v>0</v>
      </c>
      <c r="R132" t="s">
        <v>45097</v>
      </c>
      <c r="S132" t="s">
        <v>45222</v>
      </c>
      <c r="T132" t="s">
        <v>46918</v>
      </c>
      <c r="U132" t="s">
        <v>47589</v>
      </c>
      <c r="W132" t="s">
        <v>41568</v>
      </c>
      <c r="X132" t="s">
        <v>45102</v>
      </c>
    </row>
    <row r="133" spans="1:24">
      <c r="A133">
        <f>HYPERLINK("https://www.philgeps.gov.ph/GEPSNONPILOT/Tender/SplashBidNoticeAbstractUI.aspx?menuIndex=3&amp;refID=7042338&amp;Result=3","7042338")</f>
        <v>0</v>
      </c>
      <c r="B133" t="s">
        <v>73</v>
      </c>
      <c r="C133" t="s">
        <v>3326</v>
      </c>
      <c r="D133" t="s">
        <v>18041</v>
      </c>
      <c r="E133" t="s">
        <v>18261</v>
      </c>
      <c r="F133" t="s">
        <v>31574</v>
      </c>
      <c r="G133" t="s">
        <v>31582</v>
      </c>
      <c r="H133" t="s">
        <v>31590</v>
      </c>
      <c r="I133" t="s">
        <v>31605</v>
      </c>
      <c r="J133" t="s">
        <v>31851</v>
      </c>
      <c r="K133" t="s">
        <v>41184</v>
      </c>
      <c r="M133" t="s">
        <v>41557</v>
      </c>
      <c r="N133" t="s">
        <v>45095</v>
      </c>
      <c r="O133" t="s">
        <v>45096</v>
      </c>
      <c r="P133">
        <v>0</v>
      </c>
      <c r="Q133">
        <v>0</v>
      </c>
      <c r="R133" t="s">
        <v>45097</v>
      </c>
      <c r="S133" t="s">
        <v>45222</v>
      </c>
      <c r="T133" t="s">
        <v>46938</v>
      </c>
      <c r="U133" t="s">
        <v>47590</v>
      </c>
      <c r="V133" t="s">
        <v>59867</v>
      </c>
      <c r="W133" t="s">
        <v>41557</v>
      </c>
      <c r="X133" t="s">
        <v>45102</v>
      </c>
    </row>
    <row r="134" spans="1:24">
      <c r="A134">
        <f>HYPERLINK("https://www.philgeps.gov.ph/GEPSNONPILOT/Tender/SplashBidNoticeAbstractUI.aspx?menuIndex=3&amp;refID=7042975&amp;Result=3","7042975")</f>
        <v>0</v>
      </c>
      <c r="B134" t="s">
        <v>50</v>
      </c>
      <c r="C134" t="s">
        <v>3327</v>
      </c>
      <c r="D134" t="s">
        <v>18042</v>
      </c>
      <c r="E134" t="s">
        <v>18262</v>
      </c>
      <c r="F134" t="s">
        <v>31574</v>
      </c>
      <c r="G134" t="s">
        <v>31582</v>
      </c>
      <c r="H134" t="s">
        <v>31590</v>
      </c>
      <c r="I134" t="s">
        <v>3489</v>
      </c>
      <c r="J134" t="s">
        <v>31852</v>
      </c>
      <c r="K134" t="s">
        <v>41186</v>
      </c>
      <c r="M134" t="s">
        <v>41533</v>
      </c>
      <c r="N134" t="s">
        <v>45095</v>
      </c>
      <c r="O134" t="s">
        <v>45096</v>
      </c>
      <c r="P134">
        <v>0</v>
      </c>
      <c r="Q134">
        <v>0</v>
      </c>
      <c r="R134" t="s">
        <v>45097</v>
      </c>
      <c r="S134" t="s">
        <v>45222</v>
      </c>
      <c r="T134" t="s">
        <v>46916</v>
      </c>
      <c r="U134" t="s">
        <v>47591</v>
      </c>
      <c r="W134" t="s">
        <v>41533</v>
      </c>
      <c r="X134" t="s">
        <v>45102</v>
      </c>
    </row>
    <row r="135" spans="1:24">
      <c r="A135">
        <f>HYPERLINK("https://www.philgeps.gov.ph/GEPSNONPILOT/Tender/SplashBidNoticeAbstractUI.aspx?menuIndex=3&amp;refID=7042342&amp;Result=3","7042342")</f>
        <v>0</v>
      </c>
      <c r="B135" t="s">
        <v>85</v>
      </c>
      <c r="C135" t="s">
        <v>3328</v>
      </c>
      <c r="D135" t="s">
        <v>18022</v>
      </c>
      <c r="E135" t="s">
        <v>18263</v>
      </c>
      <c r="F135" t="s">
        <v>31574</v>
      </c>
      <c r="G135" t="s">
        <v>31583</v>
      </c>
      <c r="H135" t="s">
        <v>31590</v>
      </c>
      <c r="I135" t="s">
        <v>6800</v>
      </c>
      <c r="J135" t="s">
        <v>31853</v>
      </c>
      <c r="K135" t="s">
        <v>41196</v>
      </c>
      <c r="M135" t="s">
        <v>41569</v>
      </c>
      <c r="N135" t="s">
        <v>45095</v>
      </c>
      <c r="O135" t="s">
        <v>45096</v>
      </c>
      <c r="P135">
        <v>0</v>
      </c>
      <c r="Q135">
        <v>0</v>
      </c>
      <c r="R135" t="s">
        <v>45097</v>
      </c>
      <c r="S135" t="s">
        <v>45222</v>
      </c>
      <c r="T135" t="s">
        <v>46934</v>
      </c>
      <c r="U135" t="s">
        <v>47592</v>
      </c>
      <c r="W135" t="s">
        <v>41569</v>
      </c>
      <c r="X135" t="s">
        <v>45102</v>
      </c>
    </row>
    <row r="136" spans="1:24">
      <c r="A136">
        <f>HYPERLINK("https://www.philgeps.gov.ph/GEPSNONPILOT/Tender/SplashBidNoticeAbstractUI.aspx?menuIndex=3&amp;refID=7042328&amp;Result=3","7042328")</f>
        <v>0</v>
      </c>
      <c r="B136" t="s">
        <v>76</v>
      </c>
      <c r="C136" t="s">
        <v>3329</v>
      </c>
      <c r="D136" t="s">
        <v>18035</v>
      </c>
      <c r="E136" t="s">
        <v>18264</v>
      </c>
      <c r="F136" t="s">
        <v>31574</v>
      </c>
      <c r="G136" t="s">
        <v>31584</v>
      </c>
      <c r="H136" t="s">
        <v>31590</v>
      </c>
      <c r="I136" t="s">
        <v>6800</v>
      </c>
      <c r="J136" t="s">
        <v>31854</v>
      </c>
      <c r="K136" t="s">
        <v>41184</v>
      </c>
      <c r="L136" t="s">
        <v>76</v>
      </c>
      <c r="M136" t="s">
        <v>41560</v>
      </c>
      <c r="N136" t="s">
        <v>45095</v>
      </c>
      <c r="O136" t="s">
        <v>45096</v>
      </c>
      <c r="P136">
        <v>0</v>
      </c>
      <c r="Q136">
        <v>0</v>
      </c>
      <c r="R136" t="s">
        <v>45097</v>
      </c>
      <c r="S136" t="s">
        <v>45222</v>
      </c>
      <c r="T136" t="s">
        <v>46904</v>
      </c>
      <c r="U136" t="s">
        <v>47575</v>
      </c>
      <c r="W136" t="s">
        <v>41560</v>
      </c>
      <c r="X136" t="s">
        <v>45102</v>
      </c>
    </row>
    <row r="137" spans="1:24">
      <c r="A137">
        <f>HYPERLINK("https://www.philgeps.gov.ph/GEPSNONPILOT/Tender/SplashBidNoticeAbstractUI.aspx?menuIndex=3&amp;refID=7043002&amp;Result=3","7043002")</f>
        <v>0</v>
      </c>
      <c r="B137" t="s">
        <v>64</v>
      </c>
      <c r="C137" t="s">
        <v>3330</v>
      </c>
      <c r="D137" t="s">
        <v>18050</v>
      </c>
      <c r="E137" t="s">
        <v>18265</v>
      </c>
      <c r="F137" t="s">
        <v>31574</v>
      </c>
      <c r="G137" t="s">
        <v>31583</v>
      </c>
      <c r="H137" t="s">
        <v>31590</v>
      </c>
      <c r="I137" t="s">
        <v>4046</v>
      </c>
      <c r="J137" t="s">
        <v>31800</v>
      </c>
      <c r="K137" t="s">
        <v>41190</v>
      </c>
      <c r="M137" t="s">
        <v>41548</v>
      </c>
      <c r="N137" t="s">
        <v>45095</v>
      </c>
      <c r="O137" t="s">
        <v>45096</v>
      </c>
      <c r="P137">
        <v>0</v>
      </c>
      <c r="Q137">
        <v>0</v>
      </c>
      <c r="R137" t="s">
        <v>45097</v>
      </c>
      <c r="S137" t="s">
        <v>45222</v>
      </c>
      <c r="T137" t="s">
        <v>46918</v>
      </c>
      <c r="U137" t="s">
        <v>47538</v>
      </c>
      <c r="V137" t="s">
        <v>59873</v>
      </c>
      <c r="W137" t="s">
        <v>41548</v>
      </c>
      <c r="X137" t="s">
        <v>45102</v>
      </c>
    </row>
    <row r="138" spans="1:24">
      <c r="A138">
        <f>HYPERLINK("https://www.philgeps.gov.ph/GEPSNONPILOT/Tender/SplashBidNoticeAbstractUI.aspx?menuIndex=3&amp;refID=7042920&amp;Result=3","7042920")</f>
        <v>0</v>
      </c>
      <c r="B138" t="s">
        <v>80</v>
      </c>
      <c r="C138" t="s">
        <v>3331</v>
      </c>
      <c r="D138" t="s">
        <v>18041</v>
      </c>
      <c r="E138" t="s">
        <v>18266</v>
      </c>
      <c r="F138" t="s">
        <v>31574</v>
      </c>
      <c r="G138" t="s">
        <v>31583</v>
      </c>
      <c r="H138" t="s">
        <v>31590</v>
      </c>
      <c r="I138" t="s">
        <v>4046</v>
      </c>
      <c r="J138" t="s">
        <v>31855</v>
      </c>
      <c r="K138" t="s">
        <v>41196</v>
      </c>
      <c r="M138" t="s">
        <v>41564</v>
      </c>
      <c r="N138" t="s">
        <v>45095</v>
      </c>
      <c r="O138" t="s">
        <v>45096</v>
      </c>
      <c r="P138">
        <v>0</v>
      </c>
      <c r="Q138">
        <v>0</v>
      </c>
      <c r="R138" t="s">
        <v>45097</v>
      </c>
      <c r="S138" t="s">
        <v>45222</v>
      </c>
      <c r="T138" t="s">
        <v>46905</v>
      </c>
      <c r="U138" t="s">
        <v>47593</v>
      </c>
      <c r="W138" t="s">
        <v>41564</v>
      </c>
      <c r="X138" t="s">
        <v>45102</v>
      </c>
    </row>
    <row r="139" spans="1:24">
      <c r="A139">
        <f>HYPERLINK("https://www.philgeps.gov.ph/GEPSNONPILOT/Tender/SplashBidNoticeAbstractUI.aspx?menuIndex=3&amp;refID=7042306&amp;Result=3","7042306")</f>
        <v>0</v>
      </c>
      <c r="B139" t="s">
        <v>73</v>
      </c>
      <c r="C139" t="s">
        <v>3332</v>
      </c>
      <c r="D139" t="s">
        <v>18041</v>
      </c>
      <c r="E139" t="s">
        <v>18267</v>
      </c>
      <c r="F139" t="s">
        <v>31574</v>
      </c>
      <c r="G139" t="s">
        <v>31582</v>
      </c>
      <c r="H139" t="s">
        <v>31590</v>
      </c>
      <c r="I139" t="s">
        <v>14034</v>
      </c>
      <c r="J139" t="s">
        <v>31741</v>
      </c>
      <c r="K139" t="s">
        <v>41184</v>
      </c>
      <c r="M139" t="s">
        <v>41557</v>
      </c>
      <c r="N139" t="s">
        <v>45095</v>
      </c>
      <c r="O139" t="s">
        <v>45096</v>
      </c>
      <c r="P139">
        <v>0</v>
      </c>
      <c r="Q139">
        <v>0</v>
      </c>
      <c r="R139" t="s">
        <v>45097</v>
      </c>
      <c r="S139" t="s">
        <v>45222</v>
      </c>
      <c r="T139" t="s">
        <v>46938</v>
      </c>
      <c r="U139" t="s">
        <v>47594</v>
      </c>
      <c r="V139" t="s">
        <v>59867</v>
      </c>
      <c r="W139" t="s">
        <v>41557</v>
      </c>
      <c r="X139" t="s">
        <v>45102</v>
      </c>
    </row>
    <row r="140" spans="1:24">
      <c r="A140">
        <f>HYPERLINK("https://www.philgeps.gov.ph/GEPSNONPILOT/Tender/SplashBidNoticeAbstractUI.aspx?menuIndex=3&amp;refID=7043036&amp;Result=3","7043036")</f>
        <v>0</v>
      </c>
      <c r="B140" t="s">
        <v>64</v>
      </c>
      <c r="C140" t="s">
        <v>3333</v>
      </c>
      <c r="D140" t="s">
        <v>18050</v>
      </c>
      <c r="E140" t="s">
        <v>18268</v>
      </c>
      <c r="F140" t="s">
        <v>31574</v>
      </c>
      <c r="G140" t="s">
        <v>31583</v>
      </c>
      <c r="H140" t="s">
        <v>31590</v>
      </c>
      <c r="I140" t="s">
        <v>4046</v>
      </c>
      <c r="J140" t="s">
        <v>31856</v>
      </c>
      <c r="K140" t="s">
        <v>41190</v>
      </c>
      <c r="M140" t="s">
        <v>41548</v>
      </c>
      <c r="N140" t="s">
        <v>45095</v>
      </c>
      <c r="O140" t="s">
        <v>45096</v>
      </c>
      <c r="P140">
        <v>0</v>
      </c>
      <c r="Q140">
        <v>0</v>
      </c>
      <c r="R140" t="s">
        <v>45097</v>
      </c>
      <c r="S140" t="s">
        <v>45222</v>
      </c>
      <c r="T140" t="s">
        <v>46918</v>
      </c>
      <c r="U140" t="s">
        <v>47595</v>
      </c>
      <c r="V140" t="s">
        <v>59874</v>
      </c>
      <c r="W140" t="s">
        <v>41548</v>
      </c>
      <c r="X140" t="s">
        <v>45102</v>
      </c>
    </row>
    <row r="141" spans="1:24">
      <c r="A141">
        <f>HYPERLINK("https://www.philgeps.gov.ph/GEPSNONPILOT/Tender/SplashBidNoticeAbstractUI.aspx?menuIndex=3&amp;refID=7042896&amp;Result=3","7042896")</f>
        <v>0</v>
      </c>
      <c r="B141" t="s">
        <v>50</v>
      </c>
      <c r="C141" t="s">
        <v>3334</v>
      </c>
      <c r="D141" t="s">
        <v>18042</v>
      </c>
      <c r="E141" t="s">
        <v>18269</v>
      </c>
      <c r="F141" t="s">
        <v>31574</v>
      </c>
      <c r="G141" t="s">
        <v>31582</v>
      </c>
      <c r="H141" t="s">
        <v>31590</v>
      </c>
      <c r="I141" t="s">
        <v>14544</v>
      </c>
      <c r="J141" t="s">
        <v>31857</v>
      </c>
      <c r="K141" t="s">
        <v>41186</v>
      </c>
      <c r="M141" t="s">
        <v>41533</v>
      </c>
      <c r="N141" t="s">
        <v>45095</v>
      </c>
      <c r="O141" t="s">
        <v>45096</v>
      </c>
      <c r="P141">
        <v>0</v>
      </c>
      <c r="Q141">
        <v>0</v>
      </c>
      <c r="R141" t="s">
        <v>45097</v>
      </c>
      <c r="S141" t="s">
        <v>45222</v>
      </c>
      <c r="T141" t="s">
        <v>46916</v>
      </c>
      <c r="U141" t="s">
        <v>47596</v>
      </c>
      <c r="W141" t="s">
        <v>41533</v>
      </c>
      <c r="X141" t="s">
        <v>45102</v>
      </c>
    </row>
    <row r="142" spans="1:24">
      <c r="A142">
        <f>HYPERLINK("https://www.philgeps.gov.ph/GEPSNONPILOT/Tender/SplashBidNoticeAbstractUI.aspx?menuIndex=3&amp;refID=7043074&amp;Result=3","7043074")</f>
        <v>0</v>
      </c>
      <c r="B142" t="s">
        <v>64</v>
      </c>
      <c r="C142" t="s">
        <v>3335</v>
      </c>
      <c r="D142" t="s">
        <v>18050</v>
      </c>
      <c r="E142" t="s">
        <v>18270</v>
      </c>
      <c r="F142" t="s">
        <v>31574</v>
      </c>
      <c r="G142" t="s">
        <v>31583</v>
      </c>
      <c r="H142" t="s">
        <v>31590</v>
      </c>
      <c r="I142" t="s">
        <v>4046</v>
      </c>
      <c r="J142" t="s">
        <v>31858</v>
      </c>
      <c r="K142" t="s">
        <v>41190</v>
      </c>
      <c r="M142" t="s">
        <v>41548</v>
      </c>
      <c r="N142" t="s">
        <v>45095</v>
      </c>
      <c r="O142" t="s">
        <v>45096</v>
      </c>
      <c r="P142">
        <v>0</v>
      </c>
      <c r="Q142">
        <v>0</v>
      </c>
      <c r="R142" t="s">
        <v>45097</v>
      </c>
      <c r="S142" t="s">
        <v>45222</v>
      </c>
      <c r="T142" t="s">
        <v>46918</v>
      </c>
      <c r="U142" t="s">
        <v>47597</v>
      </c>
      <c r="V142" t="s">
        <v>59875</v>
      </c>
      <c r="W142" t="s">
        <v>41548</v>
      </c>
      <c r="X142" t="s">
        <v>45102</v>
      </c>
    </row>
    <row r="143" spans="1:24">
      <c r="A143">
        <f>HYPERLINK("https://www.philgeps.gov.ph/GEPSNONPILOT/Tender/SplashBidNoticeAbstractUI.aspx?menuIndex=3&amp;refID=7043057&amp;Result=3","7043057")</f>
        <v>0</v>
      </c>
      <c r="B143" t="s">
        <v>64</v>
      </c>
      <c r="C143" t="s">
        <v>3336</v>
      </c>
      <c r="D143" t="s">
        <v>18050</v>
      </c>
      <c r="E143" t="s">
        <v>18271</v>
      </c>
      <c r="F143" t="s">
        <v>31574</v>
      </c>
      <c r="G143" t="s">
        <v>31583</v>
      </c>
      <c r="H143" t="s">
        <v>31590</v>
      </c>
      <c r="I143" t="s">
        <v>4046</v>
      </c>
      <c r="J143" t="s">
        <v>31859</v>
      </c>
      <c r="K143" t="s">
        <v>41190</v>
      </c>
      <c r="M143" t="s">
        <v>41548</v>
      </c>
      <c r="N143" t="s">
        <v>45095</v>
      </c>
      <c r="O143" t="s">
        <v>45096</v>
      </c>
      <c r="P143">
        <v>0</v>
      </c>
      <c r="Q143">
        <v>0</v>
      </c>
      <c r="R143" t="s">
        <v>45097</v>
      </c>
      <c r="S143" t="s">
        <v>45222</v>
      </c>
      <c r="T143" t="s">
        <v>46918</v>
      </c>
      <c r="U143" t="s">
        <v>47598</v>
      </c>
      <c r="V143" t="s">
        <v>59876</v>
      </c>
      <c r="W143" t="s">
        <v>41548</v>
      </c>
      <c r="X143" t="s">
        <v>45102</v>
      </c>
    </row>
    <row r="144" spans="1:24">
      <c r="A144">
        <f>HYPERLINK("https://www.philgeps.gov.ph/GEPSNONPILOT/Tender/SplashBidNoticeAbstractUI.aspx?menuIndex=3&amp;refID=7043055&amp;Result=3","7043055")</f>
        <v>0</v>
      </c>
      <c r="B144" t="s">
        <v>50</v>
      </c>
      <c r="C144" t="s">
        <v>3337</v>
      </c>
      <c r="D144" t="s">
        <v>18042</v>
      </c>
      <c r="E144" t="s">
        <v>18272</v>
      </c>
      <c r="F144" t="s">
        <v>31574</v>
      </c>
      <c r="G144" t="s">
        <v>31582</v>
      </c>
      <c r="H144" t="s">
        <v>31590</v>
      </c>
      <c r="I144" t="s">
        <v>3489</v>
      </c>
      <c r="J144" t="s">
        <v>31860</v>
      </c>
      <c r="K144" t="s">
        <v>41186</v>
      </c>
      <c r="M144" t="s">
        <v>41533</v>
      </c>
      <c r="N144" t="s">
        <v>45095</v>
      </c>
      <c r="O144" t="s">
        <v>45096</v>
      </c>
      <c r="P144">
        <v>0</v>
      </c>
      <c r="Q144">
        <v>0</v>
      </c>
      <c r="R144" t="s">
        <v>45097</v>
      </c>
      <c r="S144" t="s">
        <v>45222</v>
      </c>
      <c r="T144" t="s">
        <v>46916</v>
      </c>
      <c r="U144" t="s">
        <v>47599</v>
      </c>
      <c r="W144" t="s">
        <v>41533</v>
      </c>
      <c r="X144" t="s">
        <v>45102</v>
      </c>
    </row>
    <row r="145" spans="1:24">
      <c r="A145">
        <f>HYPERLINK("https://www.philgeps.gov.ph/GEPSNONPILOT/Tender/SplashBidNoticeAbstractUI.aspx?menuIndex=3&amp;refID=7043079&amp;Result=3","7043079")</f>
        <v>0</v>
      </c>
      <c r="B145" t="s">
        <v>64</v>
      </c>
      <c r="C145" t="s">
        <v>3338</v>
      </c>
      <c r="D145" t="s">
        <v>18050</v>
      </c>
      <c r="E145" t="s">
        <v>18273</v>
      </c>
      <c r="F145" t="s">
        <v>31574</v>
      </c>
      <c r="G145" t="s">
        <v>31583</v>
      </c>
      <c r="H145" t="s">
        <v>31590</v>
      </c>
      <c r="I145" t="s">
        <v>4046</v>
      </c>
      <c r="J145" t="s">
        <v>31861</v>
      </c>
      <c r="K145" t="s">
        <v>41190</v>
      </c>
      <c r="M145" t="s">
        <v>41548</v>
      </c>
      <c r="N145" t="s">
        <v>45095</v>
      </c>
      <c r="O145" t="s">
        <v>45096</v>
      </c>
      <c r="P145">
        <v>0</v>
      </c>
      <c r="Q145">
        <v>0</v>
      </c>
      <c r="R145" t="s">
        <v>45097</v>
      </c>
      <c r="S145" t="s">
        <v>45222</v>
      </c>
      <c r="T145" t="s">
        <v>46918</v>
      </c>
      <c r="U145" t="s">
        <v>47600</v>
      </c>
      <c r="V145" t="s">
        <v>59877</v>
      </c>
      <c r="W145" t="s">
        <v>41548</v>
      </c>
      <c r="X145" t="s">
        <v>45102</v>
      </c>
    </row>
    <row r="146" spans="1:24">
      <c r="A146">
        <f>HYPERLINK("https://www.philgeps.gov.ph/GEPSNONPILOT/Tender/SplashBidNoticeAbstractUI.aspx?menuIndex=3&amp;refID=7043026&amp;Result=3","7043026")</f>
        <v>0</v>
      </c>
      <c r="B146" t="s">
        <v>64</v>
      </c>
      <c r="C146" t="s">
        <v>3339</v>
      </c>
      <c r="D146" t="s">
        <v>18050</v>
      </c>
      <c r="E146" t="s">
        <v>18274</v>
      </c>
      <c r="F146" t="s">
        <v>31574</v>
      </c>
      <c r="G146" t="s">
        <v>31583</v>
      </c>
      <c r="H146" t="s">
        <v>31590</v>
      </c>
      <c r="I146" t="s">
        <v>31602</v>
      </c>
      <c r="J146" t="s">
        <v>31789</v>
      </c>
      <c r="K146" t="s">
        <v>41190</v>
      </c>
      <c r="M146" t="s">
        <v>41548</v>
      </c>
      <c r="N146" t="s">
        <v>45095</v>
      </c>
      <c r="O146" t="s">
        <v>45096</v>
      </c>
      <c r="P146">
        <v>0</v>
      </c>
      <c r="Q146">
        <v>0</v>
      </c>
      <c r="R146" t="s">
        <v>45097</v>
      </c>
      <c r="S146" t="s">
        <v>45222</v>
      </c>
      <c r="T146" t="s">
        <v>46918</v>
      </c>
      <c r="U146" t="s">
        <v>47587</v>
      </c>
      <c r="V146" t="s">
        <v>59878</v>
      </c>
      <c r="W146" t="s">
        <v>41548</v>
      </c>
      <c r="X146" t="s">
        <v>45102</v>
      </c>
    </row>
    <row r="147" spans="1:24">
      <c r="A147">
        <f>HYPERLINK("https://www.philgeps.gov.ph/GEPSNONPILOT/Tender/SplashBidNoticeAbstractUI.aspx?menuIndex=3&amp;refID=7042314&amp;Result=3","7042314")</f>
        <v>0</v>
      </c>
      <c r="B147" t="s">
        <v>79</v>
      </c>
      <c r="C147" t="s">
        <v>3340</v>
      </c>
      <c r="D147" t="s">
        <v>18056</v>
      </c>
      <c r="E147" t="s">
        <v>18275</v>
      </c>
      <c r="F147" t="s">
        <v>31574</v>
      </c>
      <c r="G147" t="s">
        <v>31581</v>
      </c>
      <c r="H147" t="s">
        <v>31590</v>
      </c>
      <c r="I147" t="s">
        <v>31600</v>
      </c>
      <c r="J147" t="s">
        <v>31862</v>
      </c>
      <c r="K147" t="s">
        <v>41211</v>
      </c>
      <c r="M147" t="s">
        <v>41563</v>
      </c>
      <c r="N147" t="s">
        <v>45095</v>
      </c>
      <c r="O147" t="s">
        <v>45096</v>
      </c>
      <c r="P147">
        <v>0</v>
      </c>
      <c r="Q147">
        <v>0</v>
      </c>
      <c r="R147" t="s">
        <v>45097</v>
      </c>
      <c r="S147" t="s">
        <v>45222</v>
      </c>
      <c r="T147" t="s">
        <v>46911</v>
      </c>
      <c r="U147" t="s">
        <v>47580</v>
      </c>
      <c r="W147" t="s">
        <v>41563</v>
      </c>
      <c r="X147" t="s">
        <v>45102</v>
      </c>
    </row>
    <row r="148" spans="1:24">
      <c r="A148">
        <f>HYPERLINK("https://www.philgeps.gov.ph/GEPSNONPILOT/Tender/SplashBidNoticeAbstractUI.aspx?menuIndex=3&amp;refID=7043359&amp;Result=3","7043359")</f>
        <v>0</v>
      </c>
      <c r="B148" t="s">
        <v>73</v>
      </c>
      <c r="C148" t="s">
        <v>3341</v>
      </c>
      <c r="D148" t="s">
        <v>18041</v>
      </c>
      <c r="E148" t="s">
        <v>18276</v>
      </c>
      <c r="F148" t="s">
        <v>31574</v>
      </c>
      <c r="G148" t="s">
        <v>31582</v>
      </c>
      <c r="H148" t="s">
        <v>31590</v>
      </c>
      <c r="I148" t="s">
        <v>14544</v>
      </c>
      <c r="J148" t="s">
        <v>31863</v>
      </c>
      <c r="K148" t="s">
        <v>41184</v>
      </c>
      <c r="M148" t="s">
        <v>41557</v>
      </c>
      <c r="N148" t="s">
        <v>45095</v>
      </c>
      <c r="O148" t="s">
        <v>45096</v>
      </c>
      <c r="P148">
        <v>0</v>
      </c>
      <c r="Q148">
        <v>0</v>
      </c>
      <c r="R148" t="s">
        <v>45097</v>
      </c>
      <c r="S148" t="s">
        <v>45222</v>
      </c>
      <c r="T148" t="s">
        <v>46938</v>
      </c>
      <c r="U148" t="s">
        <v>47601</v>
      </c>
      <c r="V148" t="s">
        <v>59867</v>
      </c>
      <c r="W148" t="s">
        <v>41557</v>
      </c>
      <c r="X148" t="s">
        <v>45101</v>
      </c>
    </row>
    <row r="149" spans="1:24">
      <c r="A149">
        <f>HYPERLINK("https://www.philgeps.gov.ph/GEPSNONPILOT/Tender/SplashBidNoticeAbstractUI.aspx?menuIndex=3&amp;refID=7043049&amp;Result=3","7043049")</f>
        <v>0</v>
      </c>
      <c r="B149" t="s">
        <v>64</v>
      </c>
      <c r="C149" t="s">
        <v>3342</v>
      </c>
      <c r="D149" t="s">
        <v>18050</v>
      </c>
      <c r="E149" t="s">
        <v>18277</v>
      </c>
      <c r="F149" t="s">
        <v>31574</v>
      </c>
      <c r="G149" t="s">
        <v>31583</v>
      </c>
      <c r="H149" t="s">
        <v>31590</v>
      </c>
      <c r="I149" t="s">
        <v>4046</v>
      </c>
      <c r="J149" t="s">
        <v>31859</v>
      </c>
      <c r="K149" t="s">
        <v>41190</v>
      </c>
      <c r="M149" t="s">
        <v>41548</v>
      </c>
      <c r="N149" t="s">
        <v>45095</v>
      </c>
      <c r="O149" t="s">
        <v>45096</v>
      </c>
      <c r="P149">
        <v>0</v>
      </c>
      <c r="Q149">
        <v>0</v>
      </c>
      <c r="R149" t="s">
        <v>45097</v>
      </c>
      <c r="S149" t="s">
        <v>45222</v>
      </c>
      <c r="T149" t="s">
        <v>46918</v>
      </c>
      <c r="U149" t="s">
        <v>47602</v>
      </c>
      <c r="V149" t="s">
        <v>59879</v>
      </c>
      <c r="W149" t="s">
        <v>41548</v>
      </c>
      <c r="X149" t="s">
        <v>45102</v>
      </c>
    </row>
    <row r="150" spans="1:24">
      <c r="A150">
        <f>HYPERLINK("https://www.philgeps.gov.ph/GEPSNONPILOT/Tender/SplashBidNoticeAbstractUI.aspx?menuIndex=3&amp;refID=7043072&amp;Result=3","7043072")</f>
        <v>0</v>
      </c>
      <c r="B150" t="s">
        <v>86</v>
      </c>
      <c r="C150" t="s">
        <v>3343</v>
      </c>
      <c r="D150" t="s">
        <v>18041</v>
      </c>
      <c r="E150" t="s">
        <v>18278</v>
      </c>
      <c r="F150" t="s">
        <v>31574</v>
      </c>
      <c r="G150" t="s">
        <v>31581</v>
      </c>
      <c r="H150" t="s">
        <v>31590</v>
      </c>
      <c r="I150" t="s">
        <v>5717</v>
      </c>
      <c r="J150" t="s">
        <v>31864</v>
      </c>
      <c r="K150" t="s">
        <v>41190</v>
      </c>
      <c r="M150" t="s">
        <v>41570</v>
      </c>
      <c r="N150" t="s">
        <v>45095</v>
      </c>
      <c r="O150" t="s">
        <v>45096</v>
      </c>
      <c r="P150">
        <v>0</v>
      </c>
      <c r="Q150">
        <v>0</v>
      </c>
      <c r="R150" t="s">
        <v>45097</v>
      </c>
      <c r="S150" t="s">
        <v>45222</v>
      </c>
      <c r="T150" t="s">
        <v>46944</v>
      </c>
      <c r="U150" t="s">
        <v>47603</v>
      </c>
      <c r="W150" t="s">
        <v>41570</v>
      </c>
      <c r="X150" t="s">
        <v>45102</v>
      </c>
    </row>
    <row r="151" spans="1:24">
      <c r="A151">
        <f>HYPERLINK("https://www.philgeps.gov.ph/GEPSNONPILOT/Tender/SplashBidNoticeAbstractUI.aspx?menuIndex=3&amp;refID=7043022&amp;Result=3","7043022")</f>
        <v>0</v>
      </c>
      <c r="B151" t="s">
        <v>50</v>
      </c>
      <c r="C151" t="s">
        <v>3344</v>
      </c>
      <c r="D151" t="s">
        <v>18042</v>
      </c>
      <c r="E151" t="s">
        <v>18279</v>
      </c>
      <c r="F151" t="s">
        <v>31574</v>
      </c>
      <c r="G151" t="s">
        <v>31582</v>
      </c>
      <c r="H151" t="s">
        <v>31590</v>
      </c>
      <c r="I151" t="s">
        <v>3539</v>
      </c>
      <c r="J151" t="s">
        <v>31865</v>
      </c>
      <c r="K151" t="s">
        <v>41186</v>
      </c>
      <c r="M151" t="s">
        <v>41533</v>
      </c>
      <c r="N151" t="s">
        <v>45095</v>
      </c>
      <c r="O151" t="s">
        <v>45096</v>
      </c>
      <c r="P151">
        <v>0</v>
      </c>
      <c r="Q151">
        <v>0</v>
      </c>
      <c r="R151" t="s">
        <v>45097</v>
      </c>
      <c r="S151" t="s">
        <v>45222</v>
      </c>
      <c r="T151" t="s">
        <v>46916</v>
      </c>
      <c r="U151" t="s">
        <v>47604</v>
      </c>
      <c r="W151" t="s">
        <v>41533</v>
      </c>
      <c r="X151" t="s">
        <v>45102</v>
      </c>
    </row>
    <row r="152" spans="1:24">
      <c r="A152">
        <f>HYPERLINK("https://www.philgeps.gov.ph/GEPSNONPILOT/Tender/SplashBidNoticeAbstractUI.aspx?menuIndex=3&amp;refID=7043046&amp;Result=3","7043046")</f>
        <v>0</v>
      </c>
      <c r="B152" t="s">
        <v>64</v>
      </c>
      <c r="C152" t="s">
        <v>3345</v>
      </c>
      <c r="D152" t="s">
        <v>18050</v>
      </c>
      <c r="E152" t="s">
        <v>18280</v>
      </c>
      <c r="F152" t="s">
        <v>31574</v>
      </c>
      <c r="G152" t="s">
        <v>31583</v>
      </c>
      <c r="H152" t="s">
        <v>31590</v>
      </c>
      <c r="I152" t="s">
        <v>4046</v>
      </c>
      <c r="J152" t="s">
        <v>31866</v>
      </c>
      <c r="K152" t="s">
        <v>41190</v>
      </c>
      <c r="M152" t="s">
        <v>41548</v>
      </c>
      <c r="N152" t="s">
        <v>45095</v>
      </c>
      <c r="O152" t="s">
        <v>45096</v>
      </c>
      <c r="P152">
        <v>0</v>
      </c>
      <c r="Q152">
        <v>0</v>
      </c>
      <c r="R152" t="s">
        <v>45097</v>
      </c>
      <c r="S152" t="s">
        <v>45222</v>
      </c>
      <c r="T152" t="s">
        <v>46918</v>
      </c>
      <c r="U152" t="s">
        <v>47605</v>
      </c>
      <c r="V152" t="s">
        <v>59880</v>
      </c>
      <c r="W152" t="s">
        <v>41548</v>
      </c>
      <c r="X152" t="s">
        <v>45102</v>
      </c>
    </row>
    <row r="153" spans="1:24">
      <c r="A153">
        <f>HYPERLINK("https://www.philgeps.gov.ph/GEPSNONPILOT/Tender/SplashBidNoticeAbstractUI.aspx?menuIndex=3&amp;refID=7043087&amp;Result=3","7043087")</f>
        <v>0</v>
      </c>
      <c r="B153" t="s">
        <v>64</v>
      </c>
      <c r="C153" t="s">
        <v>3346</v>
      </c>
      <c r="D153" t="s">
        <v>18050</v>
      </c>
      <c r="E153" t="s">
        <v>18281</v>
      </c>
      <c r="F153" t="s">
        <v>31574</v>
      </c>
      <c r="G153" t="s">
        <v>31583</v>
      </c>
      <c r="H153" t="s">
        <v>31590</v>
      </c>
      <c r="I153" t="s">
        <v>4046</v>
      </c>
      <c r="J153" t="s">
        <v>31867</v>
      </c>
      <c r="K153" t="s">
        <v>41190</v>
      </c>
      <c r="M153" t="s">
        <v>41548</v>
      </c>
      <c r="N153" t="s">
        <v>45095</v>
      </c>
      <c r="O153" t="s">
        <v>45096</v>
      </c>
      <c r="P153">
        <v>0</v>
      </c>
      <c r="Q153">
        <v>0</v>
      </c>
      <c r="R153" t="s">
        <v>45097</v>
      </c>
      <c r="S153" t="s">
        <v>45222</v>
      </c>
      <c r="T153" t="s">
        <v>46918</v>
      </c>
      <c r="U153" t="s">
        <v>47606</v>
      </c>
      <c r="V153" t="s">
        <v>59881</v>
      </c>
      <c r="W153" t="s">
        <v>41548</v>
      </c>
      <c r="X153" t="s">
        <v>45102</v>
      </c>
    </row>
    <row r="154" spans="1:24">
      <c r="A154">
        <f>HYPERLINK("https://www.philgeps.gov.ph/GEPSNONPILOT/Tender/SplashBidNoticeAbstractUI.aspx?menuIndex=3&amp;refID=7043358&amp;Result=3","7043358")</f>
        <v>0</v>
      </c>
      <c r="B154" t="s">
        <v>73</v>
      </c>
      <c r="C154" t="s">
        <v>3347</v>
      </c>
      <c r="D154" t="s">
        <v>18041</v>
      </c>
      <c r="E154" t="s">
        <v>18282</v>
      </c>
      <c r="F154" t="s">
        <v>31574</v>
      </c>
      <c r="G154" t="s">
        <v>31582</v>
      </c>
      <c r="H154" t="s">
        <v>31590</v>
      </c>
      <c r="I154" t="s">
        <v>31602</v>
      </c>
      <c r="J154" t="s">
        <v>31868</v>
      </c>
      <c r="K154" t="s">
        <v>41184</v>
      </c>
      <c r="M154" t="s">
        <v>41557</v>
      </c>
      <c r="N154" t="s">
        <v>45095</v>
      </c>
      <c r="O154" t="s">
        <v>45096</v>
      </c>
      <c r="P154">
        <v>0</v>
      </c>
      <c r="Q154">
        <v>0</v>
      </c>
      <c r="R154" t="s">
        <v>45097</v>
      </c>
      <c r="S154" t="s">
        <v>45222</v>
      </c>
      <c r="T154" t="s">
        <v>46938</v>
      </c>
      <c r="U154" t="s">
        <v>47607</v>
      </c>
      <c r="V154" t="s">
        <v>59867</v>
      </c>
      <c r="W154" t="s">
        <v>41557</v>
      </c>
      <c r="X154" t="s">
        <v>45101</v>
      </c>
    </row>
    <row r="155" spans="1:24">
      <c r="A155">
        <f>HYPERLINK("https://www.philgeps.gov.ph/GEPSNONPILOT/Tender/SplashBidNoticeAbstractUI.aspx?menuIndex=3&amp;refID=7043367&amp;Result=3","7043367")</f>
        <v>0</v>
      </c>
      <c r="B155" t="s">
        <v>73</v>
      </c>
      <c r="C155" t="s">
        <v>3348</v>
      </c>
      <c r="D155" t="s">
        <v>18041</v>
      </c>
      <c r="E155" t="s">
        <v>18283</v>
      </c>
      <c r="F155" t="s">
        <v>31574</v>
      </c>
      <c r="G155" t="s">
        <v>31582</v>
      </c>
      <c r="H155" t="s">
        <v>31590</v>
      </c>
      <c r="I155" t="s">
        <v>14544</v>
      </c>
      <c r="J155" t="s">
        <v>31869</v>
      </c>
      <c r="K155" t="s">
        <v>41184</v>
      </c>
      <c r="M155" t="s">
        <v>41557</v>
      </c>
      <c r="N155" t="s">
        <v>45095</v>
      </c>
      <c r="O155" t="s">
        <v>45096</v>
      </c>
      <c r="P155">
        <v>0</v>
      </c>
      <c r="Q155">
        <v>0</v>
      </c>
      <c r="R155" t="s">
        <v>45097</v>
      </c>
      <c r="S155" t="s">
        <v>45222</v>
      </c>
      <c r="T155" t="s">
        <v>46938</v>
      </c>
      <c r="U155" t="s">
        <v>47608</v>
      </c>
      <c r="V155" t="s">
        <v>59867</v>
      </c>
      <c r="W155" t="s">
        <v>41557</v>
      </c>
      <c r="X155" t="s">
        <v>45101</v>
      </c>
    </row>
    <row r="156" spans="1:24">
      <c r="A156">
        <f>HYPERLINK("https://www.philgeps.gov.ph/GEPSNONPILOT/Tender/SplashBidNoticeAbstractUI.aspx?menuIndex=3&amp;refID=7043368&amp;Result=3","7043368")</f>
        <v>0</v>
      </c>
      <c r="B156" t="s">
        <v>87</v>
      </c>
      <c r="C156" t="s">
        <v>3349</v>
      </c>
      <c r="D156" t="s">
        <v>18054</v>
      </c>
      <c r="E156" t="s">
        <v>18284</v>
      </c>
      <c r="F156" t="s">
        <v>31574</v>
      </c>
      <c r="G156" t="s">
        <v>31584</v>
      </c>
      <c r="H156" t="s">
        <v>31590</v>
      </c>
      <c r="I156" t="s">
        <v>31607</v>
      </c>
      <c r="J156" t="s">
        <v>31870</v>
      </c>
      <c r="K156" t="s">
        <v>41186</v>
      </c>
      <c r="M156" t="s">
        <v>41571</v>
      </c>
      <c r="N156" t="s">
        <v>45095</v>
      </c>
      <c r="O156" t="s">
        <v>45096</v>
      </c>
      <c r="P156">
        <v>0</v>
      </c>
      <c r="Q156">
        <v>0</v>
      </c>
      <c r="R156" t="s">
        <v>45097</v>
      </c>
      <c r="S156" t="s">
        <v>45222</v>
      </c>
      <c r="T156" t="s">
        <v>46945</v>
      </c>
      <c r="U156" t="s">
        <v>47609</v>
      </c>
      <c r="W156" t="s">
        <v>41571</v>
      </c>
      <c r="X156" t="s">
        <v>45101</v>
      </c>
    </row>
    <row r="157" spans="1:24">
      <c r="A157">
        <f>HYPERLINK("https://www.philgeps.gov.ph/GEPSNONPILOT/Tender/SplashBidNoticeAbstractUI.aspx?menuIndex=3&amp;refID=7043039&amp;Result=3","7043039")</f>
        <v>0</v>
      </c>
      <c r="B157" t="s">
        <v>50</v>
      </c>
      <c r="C157" t="s">
        <v>3350</v>
      </c>
      <c r="D157" t="s">
        <v>18042</v>
      </c>
      <c r="E157" t="s">
        <v>18279</v>
      </c>
      <c r="F157" t="s">
        <v>31574</v>
      </c>
      <c r="G157" t="s">
        <v>31582</v>
      </c>
      <c r="H157" t="s">
        <v>31590</v>
      </c>
      <c r="I157" t="s">
        <v>31617</v>
      </c>
      <c r="J157" t="s">
        <v>31871</v>
      </c>
      <c r="K157" t="s">
        <v>41186</v>
      </c>
      <c r="M157" t="s">
        <v>41533</v>
      </c>
      <c r="N157" t="s">
        <v>45095</v>
      </c>
      <c r="O157" t="s">
        <v>45096</v>
      </c>
      <c r="P157">
        <v>0</v>
      </c>
      <c r="Q157">
        <v>0</v>
      </c>
      <c r="R157" t="s">
        <v>45097</v>
      </c>
      <c r="S157" t="s">
        <v>45222</v>
      </c>
      <c r="T157" t="s">
        <v>46916</v>
      </c>
      <c r="U157" t="s">
        <v>47604</v>
      </c>
      <c r="W157" t="s">
        <v>41533</v>
      </c>
      <c r="X157" t="s">
        <v>45102</v>
      </c>
    </row>
    <row r="158" spans="1:24">
      <c r="A158">
        <f>HYPERLINK("https://www.philgeps.gov.ph/GEPSNONPILOT/Tender/SplashBidNoticeAbstractUI.aspx?menuIndex=3&amp;refID=7043357&amp;Result=3","7043357")</f>
        <v>0</v>
      </c>
      <c r="B158" t="s">
        <v>87</v>
      </c>
      <c r="C158" t="s">
        <v>3349</v>
      </c>
      <c r="D158" t="s">
        <v>18054</v>
      </c>
      <c r="E158" t="s">
        <v>18285</v>
      </c>
      <c r="F158" t="s">
        <v>31574</v>
      </c>
      <c r="G158" t="s">
        <v>31584</v>
      </c>
      <c r="H158" t="s">
        <v>31590</v>
      </c>
      <c r="I158" t="s">
        <v>31607</v>
      </c>
      <c r="J158" t="s">
        <v>31872</v>
      </c>
      <c r="K158" t="s">
        <v>41186</v>
      </c>
      <c r="M158" t="s">
        <v>41571</v>
      </c>
      <c r="N158" t="s">
        <v>45095</v>
      </c>
      <c r="O158" t="s">
        <v>45096</v>
      </c>
      <c r="P158">
        <v>0</v>
      </c>
      <c r="Q158">
        <v>0</v>
      </c>
      <c r="R158" t="s">
        <v>45097</v>
      </c>
      <c r="S158" t="s">
        <v>45222</v>
      </c>
      <c r="T158" t="s">
        <v>46945</v>
      </c>
      <c r="U158" t="s">
        <v>47610</v>
      </c>
      <c r="W158" t="s">
        <v>41571</v>
      </c>
      <c r="X158" t="s">
        <v>45101</v>
      </c>
    </row>
    <row r="159" spans="1:24">
      <c r="A159">
        <f>HYPERLINK("https://www.philgeps.gov.ph/GEPSNONPILOT/Tender/SplashBidNoticeAbstractUI.aspx?menuIndex=3&amp;refID=7043372&amp;Result=3","7043372")</f>
        <v>0</v>
      </c>
      <c r="B159" t="s">
        <v>73</v>
      </c>
      <c r="C159" t="s">
        <v>3351</v>
      </c>
      <c r="D159" t="s">
        <v>18041</v>
      </c>
      <c r="E159" t="s">
        <v>18286</v>
      </c>
      <c r="F159" t="s">
        <v>31574</v>
      </c>
      <c r="G159" t="s">
        <v>31582</v>
      </c>
      <c r="H159" t="s">
        <v>31590</v>
      </c>
      <c r="I159" t="s">
        <v>31603</v>
      </c>
      <c r="J159" t="s">
        <v>31873</v>
      </c>
      <c r="K159" t="s">
        <v>41184</v>
      </c>
      <c r="M159" t="s">
        <v>41557</v>
      </c>
      <c r="N159" t="s">
        <v>45095</v>
      </c>
      <c r="O159" t="s">
        <v>45096</v>
      </c>
      <c r="P159">
        <v>0</v>
      </c>
      <c r="Q159">
        <v>0</v>
      </c>
      <c r="R159" t="s">
        <v>45097</v>
      </c>
      <c r="S159" t="s">
        <v>45222</v>
      </c>
      <c r="T159" t="s">
        <v>46938</v>
      </c>
      <c r="U159" t="s">
        <v>47611</v>
      </c>
      <c r="V159" t="s">
        <v>59867</v>
      </c>
      <c r="W159" t="s">
        <v>41557</v>
      </c>
      <c r="X159" t="s">
        <v>45101</v>
      </c>
    </row>
    <row r="160" spans="1:24">
      <c r="A160">
        <f>HYPERLINK("https://www.philgeps.gov.ph/GEPSNONPILOT/Tender/SplashBidNoticeAbstractUI.aspx?menuIndex=3&amp;refID=7043406&amp;Result=3","7043406")</f>
        <v>0</v>
      </c>
      <c r="B160" t="s">
        <v>73</v>
      </c>
      <c r="C160" t="s">
        <v>3352</v>
      </c>
      <c r="D160" t="s">
        <v>18041</v>
      </c>
      <c r="E160" t="s">
        <v>18287</v>
      </c>
      <c r="F160" t="s">
        <v>31574</v>
      </c>
      <c r="G160" t="s">
        <v>31582</v>
      </c>
      <c r="H160" t="s">
        <v>31590</v>
      </c>
      <c r="I160" t="s">
        <v>31608</v>
      </c>
      <c r="J160" t="s">
        <v>31874</v>
      </c>
      <c r="K160" t="s">
        <v>41184</v>
      </c>
      <c r="M160" t="s">
        <v>41557</v>
      </c>
      <c r="N160" t="s">
        <v>45095</v>
      </c>
      <c r="O160" t="s">
        <v>45096</v>
      </c>
      <c r="P160">
        <v>0</v>
      </c>
      <c r="Q160">
        <v>0</v>
      </c>
      <c r="R160" t="s">
        <v>45097</v>
      </c>
      <c r="S160" t="s">
        <v>45222</v>
      </c>
      <c r="T160" t="s">
        <v>46938</v>
      </c>
      <c r="U160" t="s">
        <v>47612</v>
      </c>
      <c r="V160" t="s">
        <v>59867</v>
      </c>
      <c r="W160" t="s">
        <v>41557</v>
      </c>
      <c r="X160" t="s">
        <v>45101</v>
      </c>
    </row>
    <row r="161" spans="1:24">
      <c r="A161">
        <f>HYPERLINK("https://www.philgeps.gov.ph/GEPSNONPILOT/Tender/SplashBidNoticeAbstractUI.aspx?menuIndex=3&amp;refID=7043083&amp;Result=3","7043083")</f>
        <v>0</v>
      </c>
      <c r="B161" t="s">
        <v>64</v>
      </c>
      <c r="C161" t="s">
        <v>3353</v>
      </c>
      <c r="D161" t="s">
        <v>18050</v>
      </c>
      <c r="E161" t="s">
        <v>18288</v>
      </c>
      <c r="F161" t="s">
        <v>31574</v>
      </c>
      <c r="G161" t="s">
        <v>31583</v>
      </c>
      <c r="H161" t="s">
        <v>31590</v>
      </c>
      <c r="I161" t="s">
        <v>4046</v>
      </c>
      <c r="J161" t="s">
        <v>31875</v>
      </c>
      <c r="K161" t="s">
        <v>41190</v>
      </c>
      <c r="M161" t="s">
        <v>41548</v>
      </c>
      <c r="N161" t="s">
        <v>45095</v>
      </c>
      <c r="O161" t="s">
        <v>45096</v>
      </c>
      <c r="P161">
        <v>0</v>
      </c>
      <c r="Q161">
        <v>0</v>
      </c>
      <c r="R161" t="s">
        <v>45097</v>
      </c>
      <c r="S161" t="s">
        <v>45222</v>
      </c>
      <c r="T161" t="s">
        <v>46918</v>
      </c>
      <c r="U161" t="s">
        <v>47613</v>
      </c>
      <c r="V161" t="s">
        <v>59882</v>
      </c>
      <c r="W161" t="s">
        <v>41548</v>
      </c>
      <c r="X161" t="s">
        <v>45102</v>
      </c>
    </row>
    <row r="162" spans="1:24">
      <c r="A162">
        <f>HYPERLINK("https://www.philgeps.gov.ph/GEPSNONPILOT/Tender/SplashBidNoticeAbstractUI.aspx?menuIndex=3&amp;refID=7043365&amp;Result=3","7043365")</f>
        <v>0</v>
      </c>
      <c r="B162" t="s">
        <v>73</v>
      </c>
      <c r="C162" t="s">
        <v>3354</v>
      </c>
      <c r="D162" t="s">
        <v>18041</v>
      </c>
      <c r="E162" t="s">
        <v>18289</v>
      </c>
      <c r="F162" t="s">
        <v>31574</v>
      </c>
      <c r="G162" t="s">
        <v>31582</v>
      </c>
      <c r="H162" t="s">
        <v>31590</v>
      </c>
      <c r="I162" t="s">
        <v>31604</v>
      </c>
      <c r="J162" t="s">
        <v>31876</v>
      </c>
      <c r="K162" t="s">
        <v>41184</v>
      </c>
      <c r="M162" t="s">
        <v>41557</v>
      </c>
      <c r="N162" t="s">
        <v>45095</v>
      </c>
      <c r="O162" t="s">
        <v>45096</v>
      </c>
      <c r="P162">
        <v>0</v>
      </c>
      <c r="Q162">
        <v>0</v>
      </c>
      <c r="R162" t="s">
        <v>45097</v>
      </c>
      <c r="S162" t="s">
        <v>45222</v>
      </c>
      <c r="T162" t="s">
        <v>46938</v>
      </c>
      <c r="U162" t="s">
        <v>47614</v>
      </c>
      <c r="V162" t="s">
        <v>59867</v>
      </c>
      <c r="W162" t="s">
        <v>41557</v>
      </c>
      <c r="X162" t="s">
        <v>45101</v>
      </c>
    </row>
    <row r="163" spans="1:24">
      <c r="A163">
        <f>HYPERLINK("https://www.philgeps.gov.ph/GEPSNONPILOT/Tender/SplashBidNoticeAbstractUI.aspx?menuIndex=3&amp;refID=7043402&amp;Result=3","7043402")</f>
        <v>0</v>
      </c>
      <c r="B163" t="s">
        <v>73</v>
      </c>
      <c r="C163" t="s">
        <v>3355</v>
      </c>
      <c r="D163" t="s">
        <v>18041</v>
      </c>
      <c r="E163" t="s">
        <v>18290</v>
      </c>
      <c r="F163" t="s">
        <v>31574</v>
      </c>
      <c r="G163" t="s">
        <v>31582</v>
      </c>
      <c r="H163" t="s">
        <v>31590</v>
      </c>
      <c r="I163" t="s">
        <v>31607</v>
      </c>
      <c r="J163" t="s">
        <v>31877</v>
      </c>
      <c r="K163" t="s">
        <v>41184</v>
      </c>
      <c r="M163" t="s">
        <v>41557</v>
      </c>
      <c r="N163" t="s">
        <v>45095</v>
      </c>
      <c r="O163" t="s">
        <v>45096</v>
      </c>
      <c r="P163">
        <v>0</v>
      </c>
      <c r="Q163">
        <v>0</v>
      </c>
      <c r="R163" t="s">
        <v>45097</v>
      </c>
      <c r="S163" t="s">
        <v>45222</v>
      </c>
      <c r="T163" t="s">
        <v>46938</v>
      </c>
      <c r="U163" t="s">
        <v>47615</v>
      </c>
      <c r="V163" t="s">
        <v>59867</v>
      </c>
      <c r="W163" t="s">
        <v>41557</v>
      </c>
      <c r="X163" t="s">
        <v>45101</v>
      </c>
    </row>
    <row r="164" spans="1:24">
      <c r="A164">
        <f>HYPERLINK("https://www.philgeps.gov.ph/GEPSNONPILOT/Tender/SplashBidNoticeAbstractUI.aspx?menuIndex=3&amp;refID=7043375&amp;Result=3","7043375")</f>
        <v>0</v>
      </c>
      <c r="B164" t="s">
        <v>73</v>
      </c>
      <c r="C164" t="s">
        <v>3356</v>
      </c>
      <c r="D164" t="s">
        <v>18041</v>
      </c>
      <c r="E164" t="s">
        <v>18291</v>
      </c>
      <c r="F164" t="s">
        <v>31574</v>
      </c>
      <c r="G164" t="s">
        <v>31582</v>
      </c>
      <c r="H164" t="s">
        <v>31590</v>
      </c>
      <c r="I164" t="s">
        <v>31602</v>
      </c>
      <c r="J164" t="s">
        <v>31878</v>
      </c>
      <c r="K164" t="s">
        <v>41184</v>
      </c>
      <c r="M164" t="s">
        <v>41557</v>
      </c>
      <c r="N164" t="s">
        <v>45095</v>
      </c>
      <c r="O164" t="s">
        <v>45096</v>
      </c>
      <c r="P164">
        <v>0</v>
      </c>
      <c r="Q164">
        <v>0</v>
      </c>
      <c r="R164" t="s">
        <v>45097</v>
      </c>
      <c r="S164" t="s">
        <v>45222</v>
      </c>
      <c r="T164" t="s">
        <v>46938</v>
      </c>
      <c r="U164" t="s">
        <v>47616</v>
      </c>
      <c r="V164" t="s">
        <v>59867</v>
      </c>
      <c r="W164" t="s">
        <v>41557</v>
      </c>
      <c r="X164" t="s">
        <v>45101</v>
      </c>
    </row>
    <row r="165" spans="1:24">
      <c r="A165">
        <f>HYPERLINK("https://www.philgeps.gov.ph/GEPSNONPILOT/Tender/SplashBidNoticeAbstractUI.aspx?menuIndex=3&amp;refID=7043410&amp;Result=3","7043410")</f>
        <v>0</v>
      </c>
      <c r="B165" t="s">
        <v>73</v>
      </c>
      <c r="C165" t="s">
        <v>3357</v>
      </c>
      <c r="D165" t="s">
        <v>18041</v>
      </c>
      <c r="E165" t="s">
        <v>18292</v>
      </c>
      <c r="F165" t="s">
        <v>31574</v>
      </c>
      <c r="G165" t="s">
        <v>31582</v>
      </c>
      <c r="H165" t="s">
        <v>31590</v>
      </c>
      <c r="I165" t="s">
        <v>31602</v>
      </c>
      <c r="J165" t="s">
        <v>31879</v>
      </c>
      <c r="K165" t="s">
        <v>41184</v>
      </c>
      <c r="M165" t="s">
        <v>41557</v>
      </c>
      <c r="N165" t="s">
        <v>45095</v>
      </c>
      <c r="O165" t="s">
        <v>45096</v>
      </c>
      <c r="P165">
        <v>0</v>
      </c>
      <c r="Q165">
        <v>0</v>
      </c>
      <c r="R165" t="s">
        <v>45097</v>
      </c>
      <c r="S165" t="s">
        <v>45222</v>
      </c>
      <c r="T165" t="s">
        <v>46938</v>
      </c>
      <c r="U165" t="s">
        <v>47617</v>
      </c>
      <c r="V165" t="s">
        <v>59867</v>
      </c>
      <c r="W165" t="s">
        <v>41557</v>
      </c>
      <c r="X165" t="s">
        <v>45101</v>
      </c>
    </row>
    <row r="166" spans="1:24">
      <c r="A166">
        <f>HYPERLINK("https://www.philgeps.gov.ph/GEPSNONPILOT/Tender/SplashBidNoticeAbstractUI.aspx?menuIndex=3&amp;refID=7043394&amp;Result=3","7043394")</f>
        <v>0</v>
      </c>
      <c r="B166" t="s">
        <v>73</v>
      </c>
      <c r="C166" t="s">
        <v>3358</v>
      </c>
      <c r="D166" t="s">
        <v>18041</v>
      </c>
      <c r="E166" t="s">
        <v>18293</v>
      </c>
      <c r="F166" t="s">
        <v>31574</v>
      </c>
      <c r="G166" t="s">
        <v>31582</v>
      </c>
      <c r="H166" t="s">
        <v>31590</v>
      </c>
      <c r="I166" t="s">
        <v>31605</v>
      </c>
      <c r="J166" t="s">
        <v>31880</v>
      </c>
      <c r="K166" t="s">
        <v>41184</v>
      </c>
      <c r="M166" t="s">
        <v>41557</v>
      </c>
      <c r="N166" t="s">
        <v>45095</v>
      </c>
      <c r="O166" t="s">
        <v>45096</v>
      </c>
      <c r="P166">
        <v>0</v>
      </c>
      <c r="Q166">
        <v>0</v>
      </c>
      <c r="R166" t="s">
        <v>45097</v>
      </c>
      <c r="S166" t="s">
        <v>45222</v>
      </c>
      <c r="T166" t="s">
        <v>46938</v>
      </c>
      <c r="U166" t="s">
        <v>47618</v>
      </c>
      <c r="V166" t="s">
        <v>59867</v>
      </c>
      <c r="W166" t="s">
        <v>41557</v>
      </c>
      <c r="X166" t="s">
        <v>45101</v>
      </c>
    </row>
    <row r="167" spans="1:24">
      <c r="A167">
        <f>HYPERLINK("https://www.philgeps.gov.ph/GEPSNONPILOT/Tender/SplashBidNoticeAbstractUI.aspx?menuIndex=3&amp;refID=7043361&amp;Result=3","7043361")</f>
        <v>0</v>
      </c>
      <c r="B167" t="s">
        <v>73</v>
      </c>
      <c r="C167" t="s">
        <v>3359</v>
      </c>
      <c r="D167" t="s">
        <v>18041</v>
      </c>
      <c r="E167" t="s">
        <v>18294</v>
      </c>
      <c r="F167" t="s">
        <v>31574</v>
      </c>
      <c r="G167" t="s">
        <v>31582</v>
      </c>
      <c r="H167" t="s">
        <v>31590</v>
      </c>
      <c r="I167" t="s">
        <v>31621</v>
      </c>
      <c r="J167" t="s">
        <v>31881</v>
      </c>
      <c r="K167" t="s">
        <v>41184</v>
      </c>
      <c r="M167" t="s">
        <v>41557</v>
      </c>
      <c r="N167" t="s">
        <v>45095</v>
      </c>
      <c r="O167" t="s">
        <v>45096</v>
      </c>
      <c r="P167">
        <v>0</v>
      </c>
      <c r="Q167">
        <v>0</v>
      </c>
      <c r="R167" t="s">
        <v>45097</v>
      </c>
      <c r="S167" t="s">
        <v>45222</v>
      </c>
      <c r="T167" t="s">
        <v>46938</v>
      </c>
      <c r="U167" t="s">
        <v>47619</v>
      </c>
      <c r="V167" t="s">
        <v>59867</v>
      </c>
      <c r="W167" t="s">
        <v>41557</v>
      </c>
      <c r="X167" t="s">
        <v>45101</v>
      </c>
    </row>
    <row r="168" spans="1:24">
      <c r="A168">
        <f>HYPERLINK("https://www.philgeps.gov.ph/GEPSNONPILOT/Tender/SplashBidNoticeAbstractUI.aspx?menuIndex=3&amp;refID=7043380&amp;Result=3","7043380")</f>
        <v>0</v>
      </c>
      <c r="B168" t="s">
        <v>73</v>
      </c>
      <c r="C168" t="s">
        <v>3360</v>
      </c>
      <c r="D168" t="s">
        <v>18041</v>
      </c>
      <c r="E168" t="s">
        <v>18295</v>
      </c>
      <c r="F168" t="s">
        <v>31574</v>
      </c>
      <c r="G168" t="s">
        <v>31582</v>
      </c>
      <c r="H168" t="s">
        <v>31590</v>
      </c>
      <c r="I168" t="s">
        <v>31600</v>
      </c>
      <c r="J168" t="s">
        <v>31882</v>
      </c>
      <c r="K168" t="s">
        <v>41184</v>
      </c>
      <c r="M168" t="s">
        <v>41557</v>
      </c>
      <c r="N168" t="s">
        <v>45095</v>
      </c>
      <c r="O168" t="s">
        <v>45096</v>
      </c>
      <c r="P168">
        <v>0</v>
      </c>
      <c r="Q168">
        <v>0</v>
      </c>
      <c r="R168" t="s">
        <v>45097</v>
      </c>
      <c r="S168" t="s">
        <v>45222</v>
      </c>
      <c r="T168" t="s">
        <v>46938</v>
      </c>
      <c r="U168" t="s">
        <v>47620</v>
      </c>
      <c r="V168" t="s">
        <v>59867</v>
      </c>
      <c r="W168" t="s">
        <v>41557</v>
      </c>
      <c r="X168" t="s">
        <v>45101</v>
      </c>
    </row>
    <row r="169" spans="1:24">
      <c r="A169">
        <f>HYPERLINK("https://www.philgeps.gov.ph/GEPSNONPILOT/Tender/SplashBidNoticeAbstractUI.aspx?menuIndex=3&amp;refID=7043390&amp;Result=3","7043390")</f>
        <v>0</v>
      </c>
      <c r="B169" t="s">
        <v>88</v>
      </c>
      <c r="C169" t="s">
        <v>3361</v>
      </c>
      <c r="D169" t="s">
        <v>18056</v>
      </c>
      <c r="E169" t="s">
        <v>18296</v>
      </c>
      <c r="F169" t="s">
        <v>31574</v>
      </c>
      <c r="G169" t="s">
        <v>31582</v>
      </c>
      <c r="H169" t="s">
        <v>31591</v>
      </c>
      <c r="I169" t="s">
        <v>8822</v>
      </c>
      <c r="J169" t="s">
        <v>31883</v>
      </c>
      <c r="K169" t="s">
        <v>41186</v>
      </c>
      <c r="M169" t="s">
        <v>41572</v>
      </c>
      <c r="N169" t="s">
        <v>45095</v>
      </c>
      <c r="O169" t="s">
        <v>45096</v>
      </c>
      <c r="P169">
        <v>0</v>
      </c>
      <c r="Q169">
        <v>0</v>
      </c>
      <c r="R169" t="s">
        <v>45097</v>
      </c>
      <c r="S169" t="s">
        <v>45222</v>
      </c>
      <c r="T169" t="s">
        <v>46924</v>
      </c>
      <c r="U169" t="s">
        <v>47621</v>
      </c>
      <c r="W169" t="s">
        <v>41572</v>
      </c>
      <c r="X169" t="s">
        <v>45101</v>
      </c>
    </row>
    <row r="170" spans="1:24">
      <c r="A170">
        <f>HYPERLINK("https://www.philgeps.gov.ph/GEPSNONPILOT/Tender/SplashBidNoticeAbstractUI.aspx?menuIndex=3&amp;refID=7043397&amp;Result=3","7043397")</f>
        <v>0</v>
      </c>
      <c r="B170" t="s">
        <v>73</v>
      </c>
      <c r="C170" t="s">
        <v>3362</v>
      </c>
      <c r="D170" t="s">
        <v>18041</v>
      </c>
      <c r="E170" t="s">
        <v>18297</v>
      </c>
      <c r="F170" t="s">
        <v>31574</v>
      </c>
      <c r="G170" t="s">
        <v>31582</v>
      </c>
      <c r="H170" t="s">
        <v>31590</v>
      </c>
      <c r="I170" t="s">
        <v>14544</v>
      </c>
      <c r="J170" t="s">
        <v>31884</v>
      </c>
      <c r="K170" t="s">
        <v>41184</v>
      </c>
      <c r="M170" t="s">
        <v>41557</v>
      </c>
      <c r="N170" t="s">
        <v>45095</v>
      </c>
      <c r="O170" t="s">
        <v>45096</v>
      </c>
      <c r="P170">
        <v>0</v>
      </c>
      <c r="Q170">
        <v>0</v>
      </c>
      <c r="R170" t="s">
        <v>45097</v>
      </c>
      <c r="S170" t="s">
        <v>45222</v>
      </c>
      <c r="T170" t="s">
        <v>46938</v>
      </c>
      <c r="U170" t="s">
        <v>47622</v>
      </c>
      <c r="V170" t="s">
        <v>59867</v>
      </c>
      <c r="W170" t="s">
        <v>41557</v>
      </c>
      <c r="X170" t="s">
        <v>45101</v>
      </c>
    </row>
    <row r="171" spans="1:24">
      <c r="A171">
        <f>HYPERLINK("https://www.philgeps.gov.ph/GEPSNONPILOT/Tender/SplashBidNoticeAbstractUI.aspx?menuIndex=3&amp;refID=7043567&amp;Result=3","7043567")</f>
        <v>0</v>
      </c>
      <c r="B171" t="s">
        <v>89</v>
      </c>
      <c r="C171" t="s">
        <v>3363</v>
      </c>
      <c r="D171" t="s">
        <v>18059</v>
      </c>
      <c r="E171" t="s">
        <v>18298</v>
      </c>
      <c r="F171" t="s">
        <v>31574</v>
      </c>
      <c r="G171" t="s">
        <v>31581</v>
      </c>
      <c r="H171" t="s">
        <v>31590</v>
      </c>
      <c r="I171" t="s">
        <v>31622</v>
      </c>
      <c r="J171" t="s">
        <v>31874</v>
      </c>
      <c r="K171" t="s">
        <v>41184</v>
      </c>
      <c r="M171" t="s">
        <v>41573</v>
      </c>
      <c r="N171" t="s">
        <v>45095</v>
      </c>
      <c r="O171" t="s">
        <v>45096</v>
      </c>
      <c r="P171">
        <v>0</v>
      </c>
      <c r="Q171">
        <v>0</v>
      </c>
      <c r="R171" t="s">
        <v>45097</v>
      </c>
      <c r="S171" t="s">
        <v>45222</v>
      </c>
      <c r="T171" t="s">
        <v>46946</v>
      </c>
      <c r="U171" t="s">
        <v>47623</v>
      </c>
      <c r="W171" t="s">
        <v>41573</v>
      </c>
      <c r="X171" t="s">
        <v>45101</v>
      </c>
    </row>
    <row r="172" spans="1:24">
      <c r="A172">
        <f>HYPERLINK("https://www.philgeps.gov.ph/GEPSNONPILOT/Tender/SplashBidNoticeAbstractUI.aspx?menuIndex=3&amp;refID=7043393&amp;Result=3","7043393")</f>
        <v>0</v>
      </c>
      <c r="B172" t="s">
        <v>87</v>
      </c>
      <c r="C172" t="s">
        <v>3349</v>
      </c>
      <c r="D172" t="s">
        <v>18054</v>
      </c>
      <c r="E172" t="s">
        <v>18299</v>
      </c>
      <c r="F172" t="s">
        <v>31574</v>
      </c>
      <c r="G172" t="s">
        <v>31584</v>
      </c>
      <c r="H172" t="s">
        <v>31590</v>
      </c>
      <c r="I172" t="s">
        <v>31607</v>
      </c>
      <c r="J172" t="s">
        <v>31885</v>
      </c>
      <c r="K172" t="s">
        <v>41186</v>
      </c>
      <c r="M172" t="s">
        <v>41571</v>
      </c>
      <c r="N172" t="s">
        <v>45095</v>
      </c>
      <c r="O172" t="s">
        <v>45096</v>
      </c>
      <c r="P172">
        <v>0</v>
      </c>
      <c r="Q172">
        <v>0</v>
      </c>
      <c r="R172" t="s">
        <v>45097</v>
      </c>
      <c r="S172" t="s">
        <v>45222</v>
      </c>
      <c r="T172" t="s">
        <v>46945</v>
      </c>
      <c r="U172" t="s">
        <v>47624</v>
      </c>
      <c r="W172" t="s">
        <v>41571</v>
      </c>
      <c r="X172" t="s">
        <v>45101</v>
      </c>
    </row>
    <row r="173" spans="1:24">
      <c r="A173">
        <f>HYPERLINK("https://www.philgeps.gov.ph/GEPSNONPILOT/Tender/SplashBidNoticeAbstractUI.aspx?menuIndex=3&amp;refID=7043388&amp;Result=3","7043388")</f>
        <v>0</v>
      </c>
      <c r="B173" t="s">
        <v>73</v>
      </c>
      <c r="C173" t="s">
        <v>3364</v>
      </c>
      <c r="D173" t="s">
        <v>18041</v>
      </c>
      <c r="E173" t="s">
        <v>18300</v>
      </c>
      <c r="F173" t="s">
        <v>31574</v>
      </c>
      <c r="G173" t="s">
        <v>31582</v>
      </c>
      <c r="H173" t="s">
        <v>31590</v>
      </c>
      <c r="I173" t="s">
        <v>31604</v>
      </c>
      <c r="J173" t="s">
        <v>31886</v>
      </c>
      <c r="K173" t="s">
        <v>41184</v>
      </c>
      <c r="M173" t="s">
        <v>41557</v>
      </c>
      <c r="N173" t="s">
        <v>45095</v>
      </c>
      <c r="O173" t="s">
        <v>45096</v>
      </c>
      <c r="P173">
        <v>0</v>
      </c>
      <c r="Q173">
        <v>0</v>
      </c>
      <c r="R173" t="s">
        <v>45097</v>
      </c>
      <c r="S173" t="s">
        <v>45222</v>
      </c>
      <c r="T173" t="s">
        <v>46938</v>
      </c>
      <c r="U173" t="s">
        <v>47625</v>
      </c>
      <c r="V173" t="s">
        <v>59867</v>
      </c>
      <c r="W173" t="s">
        <v>41557</v>
      </c>
      <c r="X173" t="s">
        <v>45101</v>
      </c>
    </row>
    <row r="174" spans="1:24">
      <c r="A174">
        <f>HYPERLINK("https://www.philgeps.gov.ph/GEPSNONPILOT/Tender/SplashBidNoticeAbstractUI.aspx?menuIndex=3&amp;refID=7043469&amp;Result=3","7043469")</f>
        <v>0</v>
      </c>
      <c r="B174" t="s">
        <v>90</v>
      </c>
      <c r="C174" t="s">
        <v>3365</v>
      </c>
      <c r="D174" t="s">
        <v>18025</v>
      </c>
      <c r="E174" t="s">
        <v>18301</v>
      </c>
      <c r="F174" t="s">
        <v>31574</v>
      </c>
      <c r="G174" t="s">
        <v>31581</v>
      </c>
      <c r="H174" t="s">
        <v>31591</v>
      </c>
      <c r="I174" t="s">
        <v>8822</v>
      </c>
      <c r="J174" t="s">
        <v>31887</v>
      </c>
      <c r="K174" t="s">
        <v>41184</v>
      </c>
      <c r="M174" t="s">
        <v>41574</v>
      </c>
      <c r="N174" t="s">
        <v>45095</v>
      </c>
      <c r="O174" t="s">
        <v>45096</v>
      </c>
      <c r="P174">
        <v>0</v>
      </c>
      <c r="Q174">
        <v>0</v>
      </c>
      <c r="R174" t="s">
        <v>45097</v>
      </c>
      <c r="S174" t="s">
        <v>45222</v>
      </c>
      <c r="T174" t="s">
        <v>46913</v>
      </c>
      <c r="U174" t="s">
        <v>47626</v>
      </c>
      <c r="V174" t="s">
        <v>59883</v>
      </c>
      <c r="W174" t="s">
        <v>41574</v>
      </c>
      <c r="X174" t="s">
        <v>45101</v>
      </c>
    </row>
    <row r="175" spans="1:24">
      <c r="A175">
        <f>HYPERLINK("https://www.philgeps.gov.ph/GEPSNONPILOT/Tender/SplashBidNoticeAbstractUI.aspx?menuIndex=3&amp;refID=7043416&amp;Result=3","7043416")</f>
        <v>0</v>
      </c>
      <c r="B175" t="s">
        <v>73</v>
      </c>
      <c r="C175" t="s">
        <v>3366</v>
      </c>
      <c r="D175" t="s">
        <v>18041</v>
      </c>
      <c r="E175" t="s">
        <v>18302</v>
      </c>
      <c r="F175" t="s">
        <v>31574</v>
      </c>
      <c r="G175" t="s">
        <v>31582</v>
      </c>
      <c r="H175" t="s">
        <v>31593</v>
      </c>
      <c r="I175" t="s">
        <v>31623</v>
      </c>
      <c r="J175" t="s">
        <v>31888</v>
      </c>
      <c r="K175" t="s">
        <v>41184</v>
      </c>
      <c r="M175" t="s">
        <v>41557</v>
      </c>
      <c r="N175" t="s">
        <v>45095</v>
      </c>
      <c r="O175" t="s">
        <v>45096</v>
      </c>
      <c r="P175">
        <v>0</v>
      </c>
      <c r="Q175">
        <v>0</v>
      </c>
      <c r="R175" t="s">
        <v>45097</v>
      </c>
      <c r="S175" t="s">
        <v>45222</v>
      </c>
      <c r="T175" t="s">
        <v>46938</v>
      </c>
      <c r="U175" t="s">
        <v>47627</v>
      </c>
      <c r="V175" t="s">
        <v>59867</v>
      </c>
      <c r="W175" t="s">
        <v>41557</v>
      </c>
      <c r="X175" t="s">
        <v>45101</v>
      </c>
    </row>
    <row r="176" spans="1:24">
      <c r="A176">
        <f>HYPERLINK("https://www.philgeps.gov.ph/GEPSNONPILOT/Tender/SplashBidNoticeAbstractUI.aspx?menuIndex=3&amp;refID=7043383&amp;Result=3","7043383")</f>
        <v>0</v>
      </c>
      <c r="B176" t="s">
        <v>87</v>
      </c>
      <c r="C176" t="s">
        <v>3367</v>
      </c>
      <c r="D176" t="s">
        <v>18054</v>
      </c>
      <c r="E176" t="s">
        <v>18303</v>
      </c>
      <c r="F176" t="s">
        <v>31574</v>
      </c>
      <c r="G176" t="s">
        <v>31584</v>
      </c>
      <c r="H176" t="s">
        <v>31590</v>
      </c>
      <c r="I176" t="s">
        <v>31607</v>
      </c>
      <c r="J176" t="s">
        <v>31889</v>
      </c>
      <c r="K176" t="s">
        <v>41186</v>
      </c>
      <c r="M176" t="s">
        <v>41571</v>
      </c>
      <c r="N176" t="s">
        <v>45095</v>
      </c>
      <c r="O176" t="s">
        <v>45096</v>
      </c>
      <c r="P176">
        <v>0</v>
      </c>
      <c r="Q176">
        <v>0</v>
      </c>
      <c r="R176" t="s">
        <v>45097</v>
      </c>
      <c r="S176" t="s">
        <v>45222</v>
      </c>
      <c r="T176" t="s">
        <v>46947</v>
      </c>
      <c r="U176" t="s">
        <v>47628</v>
      </c>
      <c r="W176" t="s">
        <v>41571</v>
      </c>
      <c r="X176" t="s">
        <v>45101</v>
      </c>
    </row>
    <row r="177" spans="1:24">
      <c r="A177">
        <f>HYPERLINK("https://www.philgeps.gov.ph/GEPSNONPILOT/Tender/SplashBidNoticeAbstractUI.aspx?menuIndex=3&amp;refID=7043468&amp;Result=3","7043468")</f>
        <v>0</v>
      </c>
      <c r="B177" t="s">
        <v>90</v>
      </c>
      <c r="C177" t="s">
        <v>3368</v>
      </c>
      <c r="D177" t="s">
        <v>18025</v>
      </c>
      <c r="E177" t="s">
        <v>18304</v>
      </c>
      <c r="F177" t="s">
        <v>31574</v>
      </c>
      <c r="G177" t="s">
        <v>31581</v>
      </c>
      <c r="H177" t="s">
        <v>31591</v>
      </c>
      <c r="I177" t="s">
        <v>8822</v>
      </c>
      <c r="J177" t="s">
        <v>31890</v>
      </c>
      <c r="K177" t="s">
        <v>41184</v>
      </c>
      <c r="M177" t="s">
        <v>41574</v>
      </c>
      <c r="N177" t="s">
        <v>45095</v>
      </c>
      <c r="O177" t="s">
        <v>45096</v>
      </c>
      <c r="P177">
        <v>0</v>
      </c>
      <c r="Q177">
        <v>0</v>
      </c>
      <c r="R177" t="s">
        <v>45097</v>
      </c>
      <c r="S177" t="s">
        <v>45222</v>
      </c>
      <c r="T177" t="s">
        <v>46913</v>
      </c>
      <c r="U177" t="s">
        <v>47629</v>
      </c>
      <c r="V177" t="s">
        <v>59883</v>
      </c>
      <c r="W177" t="s">
        <v>41574</v>
      </c>
      <c r="X177" t="s">
        <v>45101</v>
      </c>
    </row>
    <row r="178" spans="1:24">
      <c r="A178">
        <f>HYPERLINK("https://www.philgeps.gov.ph/GEPSNONPILOT/Tender/SplashBidNoticeAbstractUI.aspx?menuIndex=3&amp;refID=7043385&amp;Result=3","7043385")</f>
        <v>0</v>
      </c>
      <c r="B178" t="s">
        <v>73</v>
      </c>
      <c r="C178" t="s">
        <v>3369</v>
      </c>
      <c r="D178" t="s">
        <v>18041</v>
      </c>
      <c r="E178" t="s">
        <v>18305</v>
      </c>
      <c r="F178" t="s">
        <v>31574</v>
      </c>
      <c r="G178" t="s">
        <v>31582</v>
      </c>
      <c r="H178" t="s">
        <v>31590</v>
      </c>
      <c r="I178" t="s">
        <v>31599</v>
      </c>
      <c r="J178" t="s">
        <v>31891</v>
      </c>
      <c r="K178" t="s">
        <v>41184</v>
      </c>
      <c r="M178" t="s">
        <v>41557</v>
      </c>
      <c r="N178" t="s">
        <v>45095</v>
      </c>
      <c r="O178" t="s">
        <v>45096</v>
      </c>
      <c r="P178">
        <v>0</v>
      </c>
      <c r="Q178">
        <v>0</v>
      </c>
      <c r="R178" t="s">
        <v>45097</v>
      </c>
      <c r="S178" t="s">
        <v>45222</v>
      </c>
      <c r="T178" t="s">
        <v>46938</v>
      </c>
      <c r="U178" t="s">
        <v>47630</v>
      </c>
      <c r="V178" t="s">
        <v>59867</v>
      </c>
      <c r="W178" t="s">
        <v>41557</v>
      </c>
      <c r="X178" t="s">
        <v>45101</v>
      </c>
    </row>
    <row r="179" spans="1:24">
      <c r="A179">
        <f>HYPERLINK("https://www.philgeps.gov.ph/GEPSNONPILOT/Tender/SplashBidNoticeAbstractUI.aspx?menuIndex=3&amp;refID=7043696&amp;Result=3","7043696")</f>
        <v>0</v>
      </c>
      <c r="B179" t="s">
        <v>91</v>
      </c>
      <c r="C179" t="s">
        <v>3370</v>
      </c>
      <c r="D179" t="s">
        <v>18060</v>
      </c>
      <c r="E179" t="s">
        <v>18306</v>
      </c>
      <c r="F179" t="s">
        <v>31574</v>
      </c>
      <c r="G179" t="s">
        <v>31581</v>
      </c>
      <c r="H179" t="s">
        <v>31592</v>
      </c>
      <c r="I179" t="s">
        <v>3489</v>
      </c>
      <c r="J179" t="s">
        <v>31892</v>
      </c>
      <c r="K179" t="s">
        <v>41190</v>
      </c>
      <c r="M179" t="s">
        <v>41575</v>
      </c>
      <c r="N179" t="s">
        <v>45095</v>
      </c>
      <c r="O179" t="s">
        <v>45096</v>
      </c>
      <c r="P179">
        <v>0</v>
      </c>
      <c r="Q179">
        <v>0</v>
      </c>
      <c r="R179" t="s">
        <v>45097</v>
      </c>
      <c r="S179" t="s">
        <v>45222</v>
      </c>
      <c r="T179" t="s">
        <v>46918</v>
      </c>
      <c r="U179" t="s">
        <v>47631</v>
      </c>
      <c r="W179" t="s">
        <v>41575</v>
      </c>
      <c r="X179" t="s">
        <v>45100</v>
      </c>
    </row>
    <row r="180" spans="1:24">
      <c r="A180">
        <f>HYPERLINK("https://www.philgeps.gov.ph/GEPSNONPILOT/Tender/SplashBidNoticeAbstractUI.aspx?menuIndex=3&amp;refID=7043466&amp;Result=3","7043466")</f>
        <v>0</v>
      </c>
      <c r="B180" t="s">
        <v>90</v>
      </c>
      <c r="C180" t="s">
        <v>3371</v>
      </c>
      <c r="D180" t="s">
        <v>18025</v>
      </c>
      <c r="E180" t="s">
        <v>18307</v>
      </c>
      <c r="F180" t="s">
        <v>31574</v>
      </c>
      <c r="G180" t="s">
        <v>31581</v>
      </c>
      <c r="H180" t="s">
        <v>31591</v>
      </c>
      <c r="I180" t="s">
        <v>8822</v>
      </c>
      <c r="J180" t="s">
        <v>31893</v>
      </c>
      <c r="K180" t="s">
        <v>41184</v>
      </c>
      <c r="M180" t="s">
        <v>41574</v>
      </c>
      <c r="N180" t="s">
        <v>45095</v>
      </c>
      <c r="O180" t="s">
        <v>45096</v>
      </c>
      <c r="P180">
        <v>0</v>
      </c>
      <c r="Q180">
        <v>0</v>
      </c>
      <c r="R180" t="s">
        <v>45097</v>
      </c>
      <c r="S180" t="s">
        <v>45222</v>
      </c>
      <c r="T180" t="s">
        <v>46913</v>
      </c>
      <c r="U180" t="s">
        <v>47632</v>
      </c>
      <c r="V180" t="s">
        <v>59883</v>
      </c>
      <c r="W180" t="s">
        <v>41574</v>
      </c>
      <c r="X180" t="s">
        <v>45101</v>
      </c>
    </row>
    <row r="181" spans="1:24">
      <c r="A181">
        <f>HYPERLINK("https://www.philgeps.gov.ph/GEPSNONPILOT/Tender/SplashBidNoticeAbstractUI.aspx?menuIndex=3&amp;refID=7043463&amp;Result=3","7043463")</f>
        <v>0</v>
      </c>
      <c r="B181" t="s">
        <v>90</v>
      </c>
      <c r="C181" t="s">
        <v>3372</v>
      </c>
      <c r="D181" t="s">
        <v>18040</v>
      </c>
      <c r="E181" t="s">
        <v>18308</v>
      </c>
      <c r="F181" t="s">
        <v>31574</v>
      </c>
      <c r="G181" t="s">
        <v>31581</v>
      </c>
      <c r="H181" t="s">
        <v>31591</v>
      </c>
      <c r="I181" t="s">
        <v>8822</v>
      </c>
      <c r="J181" t="s">
        <v>31894</v>
      </c>
      <c r="K181" t="s">
        <v>41184</v>
      </c>
      <c r="M181" t="s">
        <v>41574</v>
      </c>
      <c r="N181" t="s">
        <v>45095</v>
      </c>
      <c r="O181" t="s">
        <v>45096</v>
      </c>
      <c r="P181">
        <v>0</v>
      </c>
      <c r="Q181">
        <v>0</v>
      </c>
      <c r="R181" t="s">
        <v>45097</v>
      </c>
      <c r="S181" t="s">
        <v>45222</v>
      </c>
      <c r="T181" t="s">
        <v>46913</v>
      </c>
      <c r="U181" t="s">
        <v>47633</v>
      </c>
      <c r="V181" t="s">
        <v>59883</v>
      </c>
      <c r="W181" t="s">
        <v>41574</v>
      </c>
      <c r="X181" t="s">
        <v>45101</v>
      </c>
    </row>
    <row r="182" spans="1:24">
      <c r="A182">
        <f>HYPERLINK("https://www.philgeps.gov.ph/GEPSNONPILOT/Tender/SplashBidNoticeAbstractUI.aspx?menuIndex=3&amp;refID=7043725&amp;Result=3","7043725")</f>
        <v>0</v>
      </c>
      <c r="B182" t="s">
        <v>50</v>
      </c>
      <c r="C182" t="s">
        <v>3373</v>
      </c>
      <c r="D182" t="s">
        <v>18042</v>
      </c>
      <c r="E182" t="s">
        <v>18309</v>
      </c>
      <c r="F182" t="s">
        <v>31574</v>
      </c>
      <c r="G182" t="s">
        <v>31582</v>
      </c>
      <c r="H182" t="s">
        <v>31590</v>
      </c>
      <c r="I182" t="s">
        <v>3489</v>
      </c>
      <c r="J182" t="s">
        <v>31895</v>
      </c>
      <c r="K182" t="s">
        <v>41186</v>
      </c>
      <c r="M182" t="s">
        <v>41533</v>
      </c>
      <c r="N182" t="s">
        <v>45095</v>
      </c>
      <c r="O182" t="s">
        <v>45096</v>
      </c>
      <c r="P182">
        <v>0</v>
      </c>
      <c r="Q182">
        <v>0</v>
      </c>
      <c r="R182" t="s">
        <v>45097</v>
      </c>
      <c r="S182" t="s">
        <v>45222</v>
      </c>
      <c r="T182" t="s">
        <v>46916</v>
      </c>
      <c r="U182" t="s">
        <v>47634</v>
      </c>
      <c r="W182" t="s">
        <v>41533</v>
      </c>
      <c r="X182" t="s">
        <v>45100</v>
      </c>
    </row>
    <row r="183" spans="1:24">
      <c r="A183">
        <f>HYPERLINK("https://www.philgeps.gov.ph/GEPSNONPILOT/Tender/SplashBidNoticeAbstractUI.aspx?menuIndex=3&amp;refID=7043419&amp;Result=3","7043419")</f>
        <v>0</v>
      </c>
      <c r="B183" t="s">
        <v>73</v>
      </c>
      <c r="C183" t="s">
        <v>3374</v>
      </c>
      <c r="D183" t="s">
        <v>18041</v>
      </c>
      <c r="E183" t="s">
        <v>18310</v>
      </c>
      <c r="F183" t="s">
        <v>31574</v>
      </c>
      <c r="G183" t="s">
        <v>31582</v>
      </c>
      <c r="H183" t="s">
        <v>31590</v>
      </c>
      <c r="I183" t="s">
        <v>31600</v>
      </c>
      <c r="J183" t="s">
        <v>31896</v>
      </c>
      <c r="K183" t="s">
        <v>41184</v>
      </c>
      <c r="M183" t="s">
        <v>41557</v>
      </c>
      <c r="N183" t="s">
        <v>45095</v>
      </c>
      <c r="O183" t="s">
        <v>45096</v>
      </c>
      <c r="P183">
        <v>0</v>
      </c>
      <c r="Q183">
        <v>0</v>
      </c>
      <c r="R183" t="s">
        <v>45097</v>
      </c>
      <c r="S183" t="s">
        <v>45222</v>
      </c>
      <c r="T183" t="s">
        <v>46938</v>
      </c>
      <c r="U183" t="s">
        <v>47635</v>
      </c>
      <c r="V183" t="s">
        <v>59867</v>
      </c>
      <c r="W183" t="s">
        <v>41557</v>
      </c>
      <c r="X183" t="s">
        <v>45101</v>
      </c>
    </row>
    <row r="184" spans="1:24">
      <c r="A184">
        <f>HYPERLINK("https://www.philgeps.gov.ph/GEPSNONPILOT/Tender/SplashBidNoticeAbstractUI.aspx?menuIndex=3&amp;refID=7043797&amp;Result=3","7043797")</f>
        <v>0</v>
      </c>
      <c r="B184" t="s">
        <v>50</v>
      </c>
      <c r="C184" t="s">
        <v>3375</v>
      </c>
      <c r="D184" t="s">
        <v>18042</v>
      </c>
      <c r="E184" t="s">
        <v>18311</v>
      </c>
      <c r="F184" t="s">
        <v>31574</v>
      </c>
      <c r="G184" t="s">
        <v>31584</v>
      </c>
      <c r="H184" t="s">
        <v>31590</v>
      </c>
      <c r="I184" t="s">
        <v>6800</v>
      </c>
      <c r="J184" t="s">
        <v>31897</v>
      </c>
      <c r="K184" t="s">
        <v>41191</v>
      </c>
      <c r="M184" t="s">
        <v>41533</v>
      </c>
      <c r="N184" t="s">
        <v>45095</v>
      </c>
      <c r="O184" t="s">
        <v>45096</v>
      </c>
      <c r="P184">
        <v>0</v>
      </c>
      <c r="Q184">
        <v>0</v>
      </c>
      <c r="R184" t="s">
        <v>45097</v>
      </c>
      <c r="S184" t="s">
        <v>45222</v>
      </c>
      <c r="T184" t="s">
        <v>46918</v>
      </c>
      <c r="U184" t="s">
        <v>47636</v>
      </c>
      <c r="W184" t="s">
        <v>41533</v>
      </c>
      <c r="X184" t="s">
        <v>45100</v>
      </c>
    </row>
    <row r="185" spans="1:24">
      <c r="A185">
        <f>HYPERLINK("https://www.philgeps.gov.ph/GEPSNONPILOT/Tender/SplashBidNoticeAbstractUI.aspx?menuIndex=3&amp;refID=7043794&amp;Result=3","7043794")</f>
        <v>0</v>
      </c>
      <c r="B185" t="s">
        <v>50</v>
      </c>
      <c r="C185" t="s">
        <v>3376</v>
      </c>
      <c r="D185" t="s">
        <v>18042</v>
      </c>
      <c r="E185" t="s">
        <v>18312</v>
      </c>
      <c r="F185" t="s">
        <v>31574</v>
      </c>
      <c r="G185" t="s">
        <v>31582</v>
      </c>
      <c r="H185" t="s">
        <v>31590</v>
      </c>
      <c r="I185" t="s">
        <v>31608</v>
      </c>
      <c r="J185" t="s">
        <v>31898</v>
      </c>
      <c r="K185" t="s">
        <v>41186</v>
      </c>
      <c r="M185" t="s">
        <v>41533</v>
      </c>
      <c r="N185" t="s">
        <v>45095</v>
      </c>
      <c r="O185" t="s">
        <v>45096</v>
      </c>
      <c r="P185">
        <v>0</v>
      </c>
      <c r="Q185">
        <v>0</v>
      </c>
      <c r="R185" t="s">
        <v>45097</v>
      </c>
      <c r="S185" t="s">
        <v>45222</v>
      </c>
      <c r="T185" t="s">
        <v>46916</v>
      </c>
      <c r="U185" t="s">
        <v>47637</v>
      </c>
      <c r="W185" t="s">
        <v>41533</v>
      </c>
      <c r="X185" t="s">
        <v>45100</v>
      </c>
    </row>
    <row r="186" spans="1:24">
      <c r="A186">
        <f>HYPERLINK("https://www.philgeps.gov.ph/GEPSNONPILOT/Tender/SplashBidNoticeAbstractUI.aspx?menuIndex=3&amp;refID=7043795&amp;Result=3","7043795")</f>
        <v>0</v>
      </c>
      <c r="B186" t="s">
        <v>50</v>
      </c>
      <c r="C186" t="s">
        <v>3377</v>
      </c>
      <c r="D186" t="s">
        <v>18042</v>
      </c>
      <c r="E186" t="s">
        <v>18313</v>
      </c>
      <c r="F186" t="s">
        <v>31574</v>
      </c>
      <c r="G186" t="s">
        <v>31584</v>
      </c>
      <c r="H186" t="s">
        <v>31590</v>
      </c>
      <c r="I186" t="s">
        <v>3487</v>
      </c>
      <c r="J186" t="s">
        <v>31899</v>
      </c>
      <c r="K186" t="s">
        <v>41191</v>
      </c>
      <c r="M186" t="s">
        <v>41533</v>
      </c>
      <c r="N186" t="s">
        <v>45095</v>
      </c>
      <c r="O186" t="s">
        <v>45096</v>
      </c>
      <c r="P186">
        <v>0</v>
      </c>
      <c r="Q186">
        <v>0</v>
      </c>
      <c r="R186" t="s">
        <v>45097</v>
      </c>
      <c r="S186" t="s">
        <v>45222</v>
      </c>
      <c r="T186" t="s">
        <v>46918</v>
      </c>
      <c r="U186" t="s">
        <v>47638</v>
      </c>
      <c r="W186" t="s">
        <v>41533</v>
      </c>
      <c r="X186" t="s">
        <v>45100</v>
      </c>
    </row>
    <row r="187" spans="1:24">
      <c r="A187">
        <f>HYPERLINK("https://www.philgeps.gov.ph/GEPSNONPILOT/Tender/SplashBidNoticeAbstractUI.aspx?menuIndex=3&amp;refID=7043791&amp;Result=3","7043791")</f>
        <v>0</v>
      </c>
      <c r="B187" t="s">
        <v>50</v>
      </c>
      <c r="C187" t="s">
        <v>3378</v>
      </c>
      <c r="D187" t="s">
        <v>18042</v>
      </c>
      <c r="E187" t="s">
        <v>18314</v>
      </c>
      <c r="F187" t="s">
        <v>31574</v>
      </c>
      <c r="G187" t="s">
        <v>31582</v>
      </c>
      <c r="H187" t="s">
        <v>31590</v>
      </c>
      <c r="I187" t="s">
        <v>31608</v>
      </c>
      <c r="J187" t="s">
        <v>31900</v>
      </c>
      <c r="K187" t="s">
        <v>41186</v>
      </c>
      <c r="M187" t="s">
        <v>41533</v>
      </c>
      <c r="N187" t="s">
        <v>45095</v>
      </c>
      <c r="O187" t="s">
        <v>45096</v>
      </c>
      <c r="P187">
        <v>0</v>
      </c>
      <c r="Q187">
        <v>0</v>
      </c>
      <c r="R187" t="s">
        <v>45097</v>
      </c>
      <c r="S187" t="s">
        <v>45222</v>
      </c>
      <c r="T187" t="s">
        <v>46916</v>
      </c>
      <c r="U187" t="s">
        <v>47639</v>
      </c>
      <c r="W187" t="s">
        <v>41533</v>
      </c>
      <c r="X187" t="s">
        <v>45100</v>
      </c>
    </row>
    <row r="188" spans="1:24">
      <c r="A188">
        <f>HYPERLINK("https://www.philgeps.gov.ph/GEPSNONPILOT/Tender/SplashBidNoticeAbstractUI.aspx?menuIndex=3&amp;refID=7043765&amp;Result=3","7043765")</f>
        <v>0</v>
      </c>
      <c r="B188" t="s">
        <v>36</v>
      </c>
      <c r="C188" t="s">
        <v>3379</v>
      </c>
      <c r="D188" t="s">
        <v>18031</v>
      </c>
      <c r="E188" t="s">
        <v>18315</v>
      </c>
      <c r="F188" t="s">
        <v>31575</v>
      </c>
      <c r="G188" t="s">
        <v>31584</v>
      </c>
      <c r="H188" t="s">
        <v>31590</v>
      </c>
      <c r="I188" t="s">
        <v>6800</v>
      </c>
      <c r="J188" t="s">
        <v>31888</v>
      </c>
      <c r="K188" t="s">
        <v>41193</v>
      </c>
      <c r="M188" t="s">
        <v>41519</v>
      </c>
      <c r="N188" t="s">
        <v>45095</v>
      </c>
      <c r="O188" t="s">
        <v>45096</v>
      </c>
      <c r="P188">
        <v>0</v>
      </c>
      <c r="Q188">
        <v>0</v>
      </c>
      <c r="R188" t="s">
        <v>45097</v>
      </c>
      <c r="S188" t="s">
        <v>45222</v>
      </c>
      <c r="T188" t="s">
        <v>46905</v>
      </c>
      <c r="U188" t="s">
        <v>47640</v>
      </c>
      <c r="W188" t="s">
        <v>41519</v>
      </c>
      <c r="X188" t="s">
        <v>45100</v>
      </c>
    </row>
    <row r="189" spans="1:24">
      <c r="A189">
        <f>HYPERLINK("https://www.philgeps.gov.ph/GEPSNONPILOT/Tender/SplashBidNoticeAbstractUI.aspx?menuIndex=3&amp;refID=7043757&amp;Result=3","7043757")</f>
        <v>0</v>
      </c>
      <c r="B189" t="s">
        <v>92</v>
      </c>
      <c r="C189" t="s">
        <v>3380</v>
      </c>
      <c r="D189" t="s">
        <v>18059</v>
      </c>
      <c r="E189" t="s">
        <v>18316</v>
      </c>
      <c r="F189" t="s">
        <v>31574</v>
      </c>
      <c r="G189" t="s">
        <v>31582</v>
      </c>
      <c r="H189" t="s">
        <v>31590</v>
      </c>
      <c r="I189" t="s">
        <v>3487</v>
      </c>
      <c r="J189" t="s">
        <v>31901</v>
      </c>
      <c r="K189" t="s">
        <v>41196</v>
      </c>
      <c r="M189" t="s">
        <v>41576</v>
      </c>
      <c r="N189" t="s">
        <v>45095</v>
      </c>
      <c r="O189" t="s">
        <v>45096</v>
      </c>
      <c r="P189">
        <v>0</v>
      </c>
      <c r="Q189">
        <v>0</v>
      </c>
      <c r="R189" t="s">
        <v>45097</v>
      </c>
      <c r="S189" t="s">
        <v>45222</v>
      </c>
      <c r="T189" t="s">
        <v>46948</v>
      </c>
      <c r="U189" t="s">
        <v>47641</v>
      </c>
      <c r="W189" t="s">
        <v>41576</v>
      </c>
      <c r="X189" t="s">
        <v>45100</v>
      </c>
    </row>
    <row r="190" spans="1:24">
      <c r="A190">
        <f>HYPERLINK("https://www.philgeps.gov.ph/GEPSNONPILOT/Tender/SplashBidNoticeAbstractUI.aspx?menuIndex=3&amp;refID=7043796&amp;Result=3","7043796")</f>
        <v>0</v>
      </c>
      <c r="B190" t="s">
        <v>50</v>
      </c>
      <c r="C190" t="s">
        <v>3375</v>
      </c>
      <c r="D190" t="s">
        <v>18042</v>
      </c>
      <c r="E190" t="s">
        <v>18317</v>
      </c>
      <c r="F190" t="s">
        <v>31574</v>
      </c>
      <c r="G190" t="s">
        <v>31584</v>
      </c>
      <c r="H190" t="s">
        <v>31590</v>
      </c>
      <c r="I190" t="s">
        <v>6800</v>
      </c>
      <c r="J190" t="s">
        <v>31902</v>
      </c>
      <c r="K190" t="s">
        <v>41191</v>
      </c>
      <c r="M190" t="s">
        <v>41533</v>
      </c>
      <c r="N190" t="s">
        <v>45095</v>
      </c>
      <c r="O190" t="s">
        <v>45096</v>
      </c>
      <c r="P190">
        <v>0</v>
      </c>
      <c r="Q190">
        <v>0</v>
      </c>
      <c r="R190" t="s">
        <v>45097</v>
      </c>
      <c r="S190" t="s">
        <v>45222</v>
      </c>
      <c r="T190" t="s">
        <v>46918</v>
      </c>
      <c r="U190" t="s">
        <v>47642</v>
      </c>
      <c r="W190" t="s">
        <v>41533</v>
      </c>
      <c r="X190" t="s">
        <v>45100</v>
      </c>
    </row>
    <row r="191" spans="1:24">
      <c r="A191">
        <f>HYPERLINK("https://www.philgeps.gov.ph/GEPSNONPILOT/Tender/SplashBidNoticeAbstractUI.aspx?menuIndex=3&amp;refID=7043754&amp;Result=3","7043754")</f>
        <v>0</v>
      </c>
      <c r="B191" t="s">
        <v>93</v>
      </c>
      <c r="C191" t="s">
        <v>3381</v>
      </c>
      <c r="D191" t="s">
        <v>18061</v>
      </c>
      <c r="E191" t="s">
        <v>18318</v>
      </c>
      <c r="F191" t="s">
        <v>31574</v>
      </c>
      <c r="G191" t="s">
        <v>31581</v>
      </c>
      <c r="H191" t="s">
        <v>31590</v>
      </c>
      <c r="I191" t="s">
        <v>8258</v>
      </c>
      <c r="J191" t="s">
        <v>31845</v>
      </c>
      <c r="K191" t="s">
        <v>41186</v>
      </c>
      <c r="M191" t="s">
        <v>41577</v>
      </c>
      <c r="N191" t="s">
        <v>45095</v>
      </c>
      <c r="O191" t="s">
        <v>45096</v>
      </c>
      <c r="P191">
        <v>0</v>
      </c>
      <c r="Q191">
        <v>0</v>
      </c>
      <c r="R191" t="s">
        <v>45097</v>
      </c>
      <c r="S191" t="s">
        <v>45222</v>
      </c>
      <c r="T191" t="s">
        <v>46949</v>
      </c>
      <c r="U191" t="s">
        <v>47643</v>
      </c>
      <c r="W191" t="s">
        <v>41577</v>
      </c>
      <c r="X191" t="s">
        <v>45100</v>
      </c>
    </row>
    <row r="192" spans="1:24">
      <c r="A192">
        <f>HYPERLINK("https://www.philgeps.gov.ph/GEPSNONPILOT/Tender/SplashBidNoticeAbstractUI.aspx?menuIndex=3&amp;refID=7043731&amp;Result=3","7043731")</f>
        <v>0</v>
      </c>
      <c r="B192" t="s">
        <v>50</v>
      </c>
      <c r="C192" t="s">
        <v>3382</v>
      </c>
      <c r="D192" t="s">
        <v>18042</v>
      </c>
      <c r="E192" t="s">
        <v>18319</v>
      </c>
      <c r="F192" t="s">
        <v>31574</v>
      </c>
      <c r="G192" t="s">
        <v>31582</v>
      </c>
      <c r="H192" t="s">
        <v>31590</v>
      </c>
      <c r="I192" t="s">
        <v>6800</v>
      </c>
      <c r="J192" t="s">
        <v>31903</v>
      </c>
      <c r="K192" t="s">
        <v>41186</v>
      </c>
      <c r="M192" t="s">
        <v>41533</v>
      </c>
      <c r="N192" t="s">
        <v>45095</v>
      </c>
      <c r="O192" t="s">
        <v>45096</v>
      </c>
      <c r="P192">
        <v>0</v>
      </c>
      <c r="Q192">
        <v>0</v>
      </c>
      <c r="R192" t="s">
        <v>45097</v>
      </c>
      <c r="S192" t="s">
        <v>45222</v>
      </c>
      <c r="T192" t="s">
        <v>46916</v>
      </c>
      <c r="U192" t="s">
        <v>47644</v>
      </c>
      <c r="W192" t="s">
        <v>41533</v>
      </c>
      <c r="X192" t="s">
        <v>45100</v>
      </c>
    </row>
    <row r="193" spans="1:24">
      <c r="A193">
        <f>HYPERLINK("https://www.philgeps.gov.ph/GEPSNONPILOT/Tender/SplashBidNoticeAbstractUI.aspx?menuIndex=3&amp;refID=7043749&amp;Result=3","7043749")</f>
        <v>0</v>
      </c>
      <c r="B193" t="s">
        <v>50</v>
      </c>
      <c r="C193" t="s">
        <v>3383</v>
      </c>
      <c r="D193" t="s">
        <v>18042</v>
      </c>
      <c r="E193" t="s">
        <v>18320</v>
      </c>
      <c r="F193" t="s">
        <v>31574</v>
      </c>
      <c r="G193" t="s">
        <v>31582</v>
      </c>
      <c r="H193" t="s">
        <v>31590</v>
      </c>
      <c r="I193" t="s">
        <v>3489</v>
      </c>
      <c r="J193" t="s">
        <v>31904</v>
      </c>
      <c r="K193" t="s">
        <v>41186</v>
      </c>
      <c r="M193" t="s">
        <v>41533</v>
      </c>
      <c r="N193" t="s">
        <v>45095</v>
      </c>
      <c r="O193" t="s">
        <v>45096</v>
      </c>
      <c r="P193">
        <v>0</v>
      </c>
      <c r="Q193">
        <v>0</v>
      </c>
      <c r="R193" t="s">
        <v>45097</v>
      </c>
      <c r="S193" t="s">
        <v>45222</v>
      </c>
      <c r="T193" t="s">
        <v>46916</v>
      </c>
      <c r="U193" t="s">
        <v>47645</v>
      </c>
      <c r="W193" t="s">
        <v>41533</v>
      </c>
      <c r="X193" t="s">
        <v>45100</v>
      </c>
    </row>
    <row r="194" spans="1:24">
      <c r="A194">
        <f>HYPERLINK("https://www.philgeps.gov.ph/GEPSNONPILOT/Tender/SplashBidNoticeAbstractUI.aspx?menuIndex=3&amp;refID=7043745&amp;Result=3","7043745")</f>
        <v>0</v>
      </c>
      <c r="B194" t="s">
        <v>50</v>
      </c>
      <c r="C194" t="s">
        <v>3384</v>
      </c>
      <c r="D194" t="s">
        <v>18042</v>
      </c>
      <c r="E194" t="s">
        <v>18321</v>
      </c>
      <c r="F194" t="s">
        <v>31574</v>
      </c>
      <c r="G194" t="s">
        <v>31582</v>
      </c>
      <c r="H194" t="s">
        <v>31590</v>
      </c>
      <c r="I194" t="s">
        <v>14544</v>
      </c>
      <c r="J194" t="s">
        <v>31905</v>
      </c>
      <c r="K194" t="s">
        <v>41186</v>
      </c>
      <c r="M194" t="s">
        <v>41533</v>
      </c>
      <c r="N194" t="s">
        <v>45095</v>
      </c>
      <c r="O194" t="s">
        <v>45096</v>
      </c>
      <c r="P194">
        <v>0</v>
      </c>
      <c r="Q194">
        <v>0</v>
      </c>
      <c r="R194" t="s">
        <v>45097</v>
      </c>
      <c r="S194" t="s">
        <v>45222</v>
      </c>
      <c r="T194" t="s">
        <v>46916</v>
      </c>
      <c r="U194" t="s">
        <v>47646</v>
      </c>
      <c r="W194" t="s">
        <v>41533</v>
      </c>
      <c r="X194" t="s">
        <v>45100</v>
      </c>
    </row>
    <row r="195" spans="1:24">
      <c r="A195">
        <f>HYPERLINK("https://www.philgeps.gov.ph/GEPSNONPILOT/Tender/SplashBidNoticeAbstractUI.aspx?menuIndex=3&amp;refID=7043785&amp;Result=3","7043785")</f>
        <v>0</v>
      </c>
      <c r="B195" t="s">
        <v>50</v>
      </c>
      <c r="C195" t="s">
        <v>3385</v>
      </c>
      <c r="D195" t="s">
        <v>18042</v>
      </c>
      <c r="E195" t="s">
        <v>18322</v>
      </c>
      <c r="F195" t="s">
        <v>31574</v>
      </c>
      <c r="G195" t="s">
        <v>31582</v>
      </c>
      <c r="H195" t="s">
        <v>31590</v>
      </c>
      <c r="I195" t="s">
        <v>3487</v>
      </c>
      <c r="J195" t="s">
        <v>31906</v>
      </c>
      <c r="K195" t="s">
        <v>41186</v>
      </c>
      <c r="M195" t="s">
        <v>41533</v>
      </c>
      <c r="N195" t="s">
        <v>45095</v>
      </c>
      <c r="O195" t="s">
        <v>45096</v>
      </c>
      <c r="P195">
        <v>0</v>
      </c>
      <c r="Q195">
        <v>0</v>
      </c>
      <c r="R195" t="s">
        <v>45097</v>
      </c>
      <c r="S195" t="s">
        <v>45222</v>
      </c>
      <c r="T195" t="s">
        <v>46916</v>
      </c>
      <c r="U195" t="s">
        <v>47647</v>
      </c>
      <c r="W195" t="s">
        <v>41533</v>
      </c>
      <c r="X195" t="s">
        <v>45100</v>
      </c>
    </row>
    <row r="196" spans="1:24">
      <c r="A196">
        <f>HYPERLINK("https://www.philgeps.gov.ph/GEPSNONPILOT/Tender/SplashBidNoticeAbstractUI.aspx?menuIndex=3&amp;refID=7043735&amp;Result=3","7043735")</f>
        <v>0</v>
      </c>
      <c r="B196" t="s">
        <v>50</v>
      </c>
      <c r="C196" t="s">
        <v>3386</v>
      </c>
      <c r="D196" t="s">
        <v>18042</v>
      </c>
      <c r="E196" t="s">
        <v>18323</v>
      </c>
      <c r="F196" t="s">
        <v>31574</v>
      </c>
      <c r="G196" t="s">
        <v>31582</v>
      </c>
      <c r="H196" t="s">
        <v>31590</v>
      </c>
      <c r="I196" t="s">
        <v>31598</v>
      </c>
      <c r="J196" t="s">
        <v>31907</v>
      </c>
      <c r="K196" t="s">
        <v>41186</v>
      </c>
      <c r="M196" t="s">
        <v>41533</v>
      </c>
      <c r="N196" t="s">
        <v>45095</v>
      </c>
      <c r="O196" t="s">
        <v>45096</v>
      </c>
      <c r="P196">
        <v>0</v>
      </c>
      <c r="Q196">
        <v>1</v>
      </c>
      <c r="R196" t="s">
        <v>45097</v>
      </c>
      <c r="S196" t="s">
        <v>45222</v>
      </c>
      <c r="T196" t="s">
        <v>46916</v>
      </c>
      <c r="U196" t="s">
        <v>47648</v>
      </c>
      <c r="W196" t="s">
        <v>41533</v>
      </c>
      <c r="X196" t="s">
        <v>45100</v>
      </c>
    </row>
    <row r="197" spans="1:24">
      <c r="A197">
        <f>HYPERLINK("https://www.philgeps.gov.ph/GEPSNONPILOT/Tender/SplashBidNoticeAbstractUI.aspx?menuIndex=3&amp;refID=7043752&amp;Result=3","7043752")</f>
        <v>0</v>
      </c>
      <c r="B197" t="s">
        <v>50</v>
      </c>
      <c r="C197" t="s">
        <v>3334</v>
      </c>
      <c r="D197" t="s">
        <v>18042</v>
      </c>
      <c r="E197" t="s">
        <v>18324</v>
      </c>
      <c r="F197" t="s">
        <v>31574</v>
      </c>
      <c r="G197" t="s">
        <v>31582</v>
      </c>
      <c r="H197" t="s">
        <v>31590</v>
      </c>
      <c r="I197" t="s">
        <v>14544</v>
      </c>
      <c r="J197" t="s">
        <v>31908</v>
      </c>
      <c r="K197" t="s">
        <v>41186</v>
      </c>
      <c r="M197" t="s">
        <v>41533</v>
      </c>
      <c r="N197" t="s">
        <v>45095</v>
      </c>
      <c r="O197" t="s">
        <v>45096</v>
      </c>
      <c r="P197">
        <v>0</v>
      </c>
      <c r="Q197">
        <v>0</v>
      </c>
      <c r="R197" t="s">
        <v>45097</v>
      </c>
      <c r="S197" t="s">
        <v>45222</v>
      </c>
      <c r="T197" t="s">
        <v>46916</v>
      </c>
      <c r="U197" t="s">
        <v>47649</v>
      </c>
      <c r="W197" t="s">
        <v>41533</v>
      </c>
      <c r="X197" t="s">
        <v>45100</v>
      </c>
    </row>
    <row r="198" spans="1:24">
      <c r="A198">
        <f>HYPERLINK("https://www.philgeps.gov.ph/GEPSNONPILOT/Tender/SplashBidNoticeAbstractUI.aspx?menuIndex=3&amp;refID=7043808&amp;Result=3","7043808")</f>
        <v>0</v>
      </c>
      <c r="B198" t="s">
        <v>50</v>
      </c>
      <c r="C198" t="s">
        <v>3387</v>
      </c>
      <c r="D198" t="s">
        <v>18042</v>
      </c>
      <c r="E198" t="s">
        <v>18325</v>
      </c>
      <c r="F198" t="s">
        <v>31574</v>
      </c>
      <c r="G198" t="s">
        <v>31581</v>
      </c>
      <c r="H198" t="s">
        <v>31590</v>
      </c>
      <c r="I198" t="s">
        <v>3489</v>
      </c>
      <c r="J198" t="s">
        <v>31780</v>
      </c>
      <c r="K198" t="s">
        <v>41191</v>
      </c>
      <c r="M198" t="s">
        <v>41533</v>
      </c>
      <c r="N198" t="s">
        <v>45095</v>
      </c>
      <c r="O198" t="s">
        <v>45096</v>
      </c>
      <c r="P198">
        <v>0</v>
      </c>
      <c r="Q198">
        <v>0</v>
      </c>
      <c r="R198" t="s">
        <v>45097</v>
      </c>
      <c r="S198" t="s">
        <v>45222</v>
      </c>
      <c r="T198" t="s">
        <v>46918</v>
      </c>
      <c r="U198" t="s">
        <v>47650</v>
      </c>
      <c r="W198" t="s">
        <v>41533</v>
      </c>
      <c r="X198" t="s">
        <v>45100</v>
      </c>
    </row>
    <row r="199" spans="1:24">
      <c r="A199">
        <f>HYPERLINK("https://www.philgeps.gov.ph/GEPSNONPILOT/Tender/SplashBidNoticeAbstractUI.aspx?menuIndex=3&amp;refID=7043727&amp;Result=3","7043727")</f>
        <v>0</v>
      </c>
      <c r="B199" t="s">
        <v>50</v>
      </c>
      <c r="C199" t="s">
        <v>3388</v>
      </c>
      <c r="D199" t="s">
        <v>18042</v>
      </c>
      <c r="E199" t="s">
        <v>18326</v>
      </c>
      <c r="F199" t="s">
        <v>31574</v>
      </c>
      <c r="G199" t="s">
        <v>31582</v>
      </c>
      <c r="H199" t="s">
        <v>31590</v>
      </c>
      <c r="I199" t="s">
        <v>31624</v>
      </c>
      <c r="J199" t="s">
        <v>31909</v>
      </c>
      <c r="K199" t="s">
        <v>41186</v>
      </c>
      <c r="M199" t="s">
        <v>41533</v>
      </c>
      <c r="N199" t="s">
        <v>45095</v>
      </c>
      <c r="O199" t="s">
        <v>45096</v>
      </c>
      <c r="P199">
        <v>0</v>
      </c>
      <c r="Q199">
        <v>0</v>
      </c>
      <c r="R199" t="s">
        <v>45097</v>
      </c>
      <c r="S199" t="s">
        <v>45222</v>
      </c>
      <c r="T199" t="s">
        <v>46916</v>
      </c>
      <c r="U199" t="s">
        <v>47651</v>
      </c>
      <c r="W199" t="s">
        <v>41533</v>
      </c>
      <c r="X199" t="s">
        <v>45100</v>
      </c>
    </row>
    <row r="200" spans="1:24">
      <c r="A200">
        <f>HYPERLINK("https://www.philgeps.gov.ph/GEPSNONPILOT/Tender/SplashBidNoticeAbstractUI.aspx?menuIndex=3&amp;refID=7043724&amp;Result=3","7043724")</f>
        <v>0</v>
      </c>
      <c r="B200" t="s">
        <v>50</v>
      </c>
      <c r="C200" t="s">
        <v>3389</v>
      </c>
      <c r="D200" t="s">
        <v>18042</v>
      </c>
      <c r="E200" t="s">
        <v>18327</v>
      </c>
      <c r="F200" t="s">
        <v>31574</v>
      </c>
      <c r="G200" t="s">
        <v>31582</v>
      </c>
      <c r="H200" t="s">
        <v>31590</v>
      </c>
      <c r="I200" t="s">
        <v>14544</v>
      </c>
      <c r="J200" t="s">
        <v>31789</v>
      </c>
      <c r="K200" t="s">
        <v>41186</v>
      </c>
      <c r="M200" t="s">
        <v>41533</v>
      </c>
      <c r="N200" t="s">
        <v>45095</v>
      </c>
      <c r="O200" t="s">
        <v>45096</v>
      </c>
      <c r="P200">
        <v>0</v>
      </c>
      <c r="Q200">
        <v>0</v>
      </c>
      <c r="R200" t="s">
        <v>45097</v>
      </c>
      <c r="S200" t="s">
        <v>45222</v>
      </c>
      <c r="T200" t="s">
        <v>46916</v>
      </c>
      <c r="U200" t="s">
        <v>47652</v>
      </c>
      <c r="W200" t="s">
        <v>41533</v>
      </c>
      <c r="X200" t="s">
        <v>45100</v>
      </c>
    </row>
    <row r="201" spans="1:24">
      <c r="A201">
        <f>HYPERLINK("https://www.philgeps.gov.ph/GEPSNONPILOT/Tender/SplashBidNoticeAbstractUI.aspx?menuIndex=3&amp;refID=7043802&amp;Result=3","7043802")</f>
        <v>0</v>
      </c>
      <c r="B201" t="s">
        <v>50</v>
      </c>
      <c r="C201" t="s">
        <v>3390</v>
      </c>
      <c r="D201" t="s">
        <v>18042</v>
      </c>
      <c r="E201" t="s">
        <v>18328</v>
      </c>
      <c r="F201" t="s">
        <v>31574</v>
      </c>
      <c r="G201" t="s">
        <v>31581</v>
      </c>
      <c r="H201" t="s">
        <v>31590</v>
      </c>
      <c r="I201" t="s">
        <v>31600</v>
      </c>
      <c r="J201" t="s">
        <v>31910</v>
      </c>
      <c r="K201" t="s">
        <v>41191</v>
      </c>
      <c r="M201" t="s">
        <v>41533</v>
      </c>
      <c r="N201" t="s">
        <v>45095</v>
      </c>
      <c r="O201" t="s">
        <v>45096</v>
      </c>
      <c r="P201">
        <v>0</v>
      </c>
      <c r="Q201">
        <v>0</v>
      </c>
      <c r="R201" t="s">
        <v>45097</v>
      </c>
      <c r="S201" t="s">
        <v>45222</v>
      </c>
      <c r="T201" t="s">
        <v>46918</v>
      </c>
      <c r="U201" t="s">
        <v>47653</v>
      </c>
      <c r="W201" t="s">
        <v>41533</v>
      </c>
      <c r="X201" t="s">
        <v>45100</v>
      </c>
    </row>
    <row r="202" spans="1:24">
      <c r="A202">
        <f>HYPERLINK("https://www.philgeps.gov.ph/GEPSNONPILOT/Tender/SplashBidNoticeAbstractUI.aspx?menuIndex=3&amp;refID=7043800&amp;Result=3","7043800")</f>
        <v>0</v>
      </c>
      <c r="B202" t="s">
        <v>50</v>
      </c>
      <c r="C202" t="s">
        <v>3375</v>
      </c>
      <c r="D202" t="s">
        <v>18042</v>
      </c>
      <c r="E202" t="s">
        <v>18329</v>
      </c>
      <c r="F202" t="s">
        <v>31574</v>
      </c>
      <c r="G202" t="s">
        <v>31584</v>
      </c>
      <c r="H202" t="s">
        <v>31590</v>
      </c>
      <c r="I202" t="s">
        <v>6800</v>
      </c>
      <c r="J202" t="s">
        <v>31911</v>
      </c>
      <c r="K202" t="s">
        <v>41191</v>
      </c>
      <c r="M202" t="s">
        <v>41533</v>
      </c>
      <c r="N202" t="s">
        <v>45095</v>
      </c>
      <c r="O202" t="s">
        <v>45096</v>
      </c>
      <c r="P202">
        <v>0</v>
      </c>
      <c r="Q202">
        <v>0</v>
      </c>
      <c r="R202" t="s">
        <v>45097</v>
      </c>
      <c r="S202" t="s">
        <v>45222</v>
      </c>
      <c r="T202" t="s">
        <v>46918</v>
      </c>
      <c r="U202" t="s">
        <v>47654</v>
      </c>
      <c r="W202" t="s">
        <v>41533</v>
      </c>
      <c r="X202" t="s">
        <v>45100</v>
      </c>
    </row>
    <row r="203" spans="1:24">
      <c r="A203">
        <f>HYPERLINK("https://www.philgeps.gov.ph/GEPSNONPILOT/Tender/SplashBidNoticeAbstractUI.aspx?menuIndex=3&amp;refID=7043799&amp;Result=3","7043799")</f>
        <v>0</v>
      </c>
      <c r="B203" t="s">
        <v>50</v>
      </c>
      <c r="C203" t="s">
        <v>3375</v>
      </c>
      <c r="D203" t="s">
        <v>18042</v>
      </c>
      <c r="E203" t="s">
        <v>18330</v>
      </c>
      <c r="F203" t="s">
        <v>31574</v>
      </c>
      <c r="G203" t="s">
        <v>31584</v>
      </c>
      <c r="H203" t="s">
        <v>31590</v>
      </c>
      <c r="I203" t="s">
        <v>6800</v>
      </c>
      <c r="J203" t="s">
        <v>31912</v>
      </c>
      <c r="K203" t="s">
        <v>41191</v>
      </c>
      <c r="M203" t="s">
        <v>41533</v>
      </c>
      <c r="N203" t="s">
        <v>45095</v>
      </c>
      <c r="O203" t="s">
        <v>45096</v>
      </c>
      <c r="P203">
        <v>0</v>
      </c>
      <c r="Q203">
        <v>0</v>
      </c>
      <c r="R203" t="s">
        <v>45097</v>
      </c>
      <c r="S203" t="s">
        <v>45222</v>
      </c>
      <c r="T203" t="s">
        <v>46918</v>
      </c>
      <c r="U203" t="s">
        <v>47655</v>
      </c>
      <c r="W203" t="s">
        <v>41533</v>
      </c>
      <c r="X203" t="s">
        <v>45100</v>
      </c>
    </row>
    <row r="204" spans="1:24">
      <c r="A204">
        <f>HYPERLINK("https://www.philgeps.gov.ph/GEPSNONPILOT/Tender/SplashBidNoticeAbstractUI.aspx?menuIndex=3&amp;refID=7043840&amp;Result=3","7043840")</f>
        <v>0</v>
      </c>
      <c r="B204" t="s">
        <v>50</v>
      </c>
      <c r="C204" t="s">
        <v>3377</v>
      </c>
      <c r="D204" t="s">
        <v>18042</v>
      </c>
      <c r="E204" t="s">
        <v>18331</v>
      </c>
      <c r="F204" t="s">
        <v>31574</v>
      </c>
      <c r="G204" t="s">
        <v>31584</v>
      </c>
      <c r="H204" t="s">
        <v>31590</v>
      </c>
      <c r="I204" t="s">
        <v>3487</v>
      </c>
      <c r="J204" t="s">
        <v>31913</v>
      </c>
      <c r="K204" t="s">
        <v>41191</v>
      </c>
      <c r="M204" t="s">
        <v>41533</v>
      </c>
      <c r="N204" t="s">
        <v>45095</v>
      </c>
      <c r="O204" t="s">
        <v>45096</v>
      </c>
      <c r="P204">
        <v>0</v>
      </c>
      <c r="Q204">
        <v>0</v>
      </c>
      <c r="R204" t="s">
        <v>45097</v>
      </c>
      <c r="S204" t="s">
        <v>45222</v>
      </c>
      <c r="T204" t="s">
        <v>46918</v>
      </c>
      <c r="U204" t="s">
        <v>47656</v>
      </c>
      <c r="W204" t="s">
        <v>41533</v>
      </c>
      <c r="X204" t="s">
        <v>45100</v>
      </c>
    </row>
    <row r="205" spans="1:24">
      <c r="A205">
        <f>HYPERLINK("https://www.philgeps.gov.ph/GEPSNONPILOT/Tender/SplashBidNoticeAbstractUI.aspx?menuIndex=3&amp;refID=7043804&amp;Result=3","7043804")</f>
        <v>0</v>
      </c>
      <c r="B205" t="s">
        <v>50</v>
      </c>
      <c r="C205" t="s">
        <v>3391</v>
      </c>
      <c r="D205" t="s">
        <v>18042</v>
      </c>
      <c r="E205" t="s">
        <v>18332</v>
      </c>
      <c r="F205" t="s">
        <v>31574</v>
      </c>
      <c r="G205" t="s">
        <v>31581</v>
      </c>
      <c r="H205" t="s">
        <v>31590</v>
      </c>
      <c r="I205" t="s">
        <v>3873</v>
      </c>
      <c r="J205" t="s">
        <v>31914</v>
      </c>
      <c r="K205" t="s">
        <v>41191</v>
      </c>
      <c r="M205" t="s">
        <v>41533</v>
      </c>
      <c r="N205" t="s">
        <v>45095</v>
      </c>
      <c r="O205" t="s">
        <v>45096</v>
      </c>
      <c r="P205">
        <v>0</v>
      </c>
      <c r="Q205">
        <v>0</v>
      </c>
      <c r="R205" t="s">
        <v>45097</v>
      </c>
      <c r="S205" t="s">
        <v>45222</v>
      </c>
      <c r="T205" t="s">
        <v>46918</v>
      </c>
      <c r="U205" t="s">
        <v>47657</v>
      </c>
      <c r="W205" t="s">
        <v>41533</v>
      </c>
      <c r="X205" t="s">
        <v>45100</v>
      </c>
    </row>
    <row r="206" spans="1:24">
      <c r="A206">
        <f>HYPERLINK("https://www.philgeps.gov.ph/GEPSNONPILOT/Tender/SplashBidNoticeAbstractUI.aspx?menuIndex=3&amp;refID=7043838&amp;Result=3","7043838")</f>
        <v>0</v>
      </c>
      <c r="B206" t="s">
        <v>50</v>
      </c>
      <c r="C206" t="s">
        <v>3377</v>
      </c>
      <c r="D206" t="s">
        <v>18042</v>
      </c>
      <c r="E206" t="s">
        <v>18333</v>
      </c>
      <c r="F206" t="s">
        <v>31574</v>
      </c>
      <c r="G206" t="s">
        <v>31584</v>
      </c>
      <c r="H206" t="s">
        <v>31590</v>
      </c>
      <c r="I206" t="s">
        <v>3487</v>
      </c>
      <c r="J206" t="s">
        <v>31915</v>
      </c>
      <c r="K206" t="s">
        <v>41191</v>
      </c>
      <c r="M206" t="s">
        <v>41533</v>
      </c>
      <c r="N206" t="s">
        <v>45095</v>
      </c>
      <c r="O206" t="s">
        <v>45096</v>
      </c>
      <c r="P206">
        <v>0</v>
      </c>
      <c r="Q206">
        <v>0</v>
      </c>
      <c r="R206" t="s">
        <v>45097</v>
      </c>
      <c r="S206" t="s">
        <v>45222</v>
      </c>
      <c r="T206" t="s">
        <v>46918</v>
      </c>
      <c r="U206" t="s">
        <v>47658</v>
      </c>
      <c r="W206" t="s">
        <v>41533</v>
      </c>
      <c r="X206" t="s">
        <v>45100</v>
      </c>
    </row>
    <row r="207" spans="1:24">
      <c r="A207">
        <f>HYPERLINK("https://www.philgeps.gov.ph/GEPSNONPILOT/Tender/SplashBidNoticeAbstractUI.aspx?menuIndex=3&amp;refID=7043834&amp;Result=3","7043834")</f>
        <v>0</v>
      </c>
      <c r="B207" t="s">
        <v>50</v>
      </c>
      <c r="C207" t="s">
        <v>3390</v>
      </c>
      <c r="D207" t="s">
        <v>18042</v>
      </c>
      <c r="E207" t="s">
        <v>18333</v>
      </c>
      <c r="F207" t="s">
        <v>31574</v>
      </c>
      <c r="G207" t="s">
        <v>31584</v>
      </c>
      <c r="H207" t="s">
        <v>31590</v>
      </c>
      <c r="I207" t="s">
        <v>3487</v>
      </c>
      <c r="J207" t="s">
        <v>31916</v>
      </c>
      <c r="K207" t="s">
        <v>41191</v>
      </c>
      <c r="M207" t="s">
        <v>41533</v>
      </c>
      <c r="N207" t="s">
        <v>45095</v>
      </c>
      <c r="O207" t="s">
        <v>45096</v>
      </c>
      <c r="P207">
        <v>0</v>
      </c>
      <c r="Q207">
        <v>0</v>
      </c>
      <c r="R207" t="s">
        <v>45097</v>
      </c>
      <c r="S207" t="s">
        <v>45222</v>
      </c>
      <c r="T207" t="s">
        <v>46918</v>
      </c>
      <c r="U207" t="s">
        <v>47659</v>
      </c>
      <c r="W207" t="s">
        <v>41533</v>
      </c>
      <c r="X207" t="s">
        <v>45100</v>
      </c>
    </row>
    <row r="208" spans="1:24">
      <c r="A208">
        <f>HYPERLINK("https://www.philgeps.gov.ph/GEPSNONPILOT/Tender/SplashBidNoticeAbstractUI.aspx?menuIndex=3&amp;refID=7043723&amp;Result=3","7043723")</f>
        <v>0</v>
      </c>
      <c r="B208" t="s">
        <v>50</v>
      </c>
      <c r="C208" t="s">
        <v>3392</v>
      </c>
      <c r="D208" t="s">
        <v>18042</v>
      </c>
      <c r="E208" t="s">
        <v>18334</v>
      </c>
      <c r="F208" t="s">
        <v>31574</v>
      </c>
      <c r="G208" t="s">
        <v>31582</v>
      </c>
      <c r="H208" t="s">
        <v>31590</v>
      </c>
      <c r="I208" t="s">
        <v>14544</v>
      </c>
      <c r="J208" t="s">
        <v>31917</v>
      </c>
      <c r="K208" t="s">
        <v>41186</v>
      </c>
      <c r="M208" t="s">
        <v>41533</v>
      </c>
      <c r="N208" t="s">
        <v>45095</v>
      </c>
      <c r="O208" t="s">
        <v>45096</v>
      </c>
      <c r="P208">
        <v>0</v>
      </c>
      <c r="Q208">
        <v>0</v>
      </c>
      <c r="R208" t="s">
        <v>45097</v>
      </c>
      <c r="S208" t="s">
        <v>45222</v>
      </c>
      <c r="T208" t="s">
        <v>46916</v>
      </c>
      <c r="U208" t="s">
        <v>47660</v>
      </c>
      <c r="W208" t="s">
        <v>41533</v>
      </c>
      <c r="X208" t="s">
        <v>45100</v>
      </c>
    </row>
    <row r="209" spans="1:24">
      <c r="A209">
        <f>HYPERLINK("https://www.philgeps.gov.ph/GEPSNONPILOT/Tender/SplashBidNoticeAbstractUI.aspx?menuIndex=3&amp;refID=7043831&amp;Result=3","7043831")</f>
        <v>0</v>
      </c>
      <c r="B209" t="s">
        <v>50</v>
      </c>
      <c r="C209" t="s">
        <v>3375</v>
      </c>
      <c r="D209" t="s">
        <v>18042</v>
      </c>
      <c r="E209" t="s">
        <v>18335</v>
      </c>
      <c r="F209" t="s">
        <v>31574</v>
      </c>
      <c r="G209" t="s">
        <v>31581</v>
      </c>
      <c r="H209" t="s">
        <v>31590</v>
      </c>
      <c r="I209" t="s">
        <v>6800</v>
      </c>
      <c r="J209" t="s">
        <v>31918</v>
      </c>
      <c r="K209" t="s">
        <v>41191</v>
      </c>
      <c r="M209" t="s">
        <v>41533</v>
      </c>
      <c r="N209" t="s">
        <v>45095</v>
      </c>
      <c r="O209" t="s">
        <v>45096</v>
      </c>
      <c r="P209">
        <v>0</v>
      </c>
      <c r="Q209">
        <v>0</v>
      </c>
      <c r="R209" t="s">
        <v>45097</v>
      </c>
      <c r="S209" t="s">
        <v>45222</v>
      </c>
      <c r="T209" t="s">
        <v>46918</v>
      </c>
      <c r="U209" t="s">
        <v>47661</v>
      </c>
      <c r="W209" t="s">
        <v>41533</v>
      </c>
      <c r="X209" t="s">
        <v>45100</v>
      </c>
    </row>
    <row r="210" spans="1:24">
      <c r="A210">
        <f>HYPERLINK("https://www.philgeps.gov.ph/GEPSNONPILOT/Tender/SplashBidNoticeAbstractUI.aspx?menuIndex=3&amp;refID=7043807&amp;Result=3","7043807")</f>
        <v>0</v>
      </c>
      <c r="B210" t="s">
        <v>50</v>
      </c>
      <c r="C210" t="s">
        <v>3393</v>
      </c>
      <c r="D210" t="s">
        <v>18042</v>
      </c>
      <c r="E210" t="s">
        <v>18332</v>
      </c>
      <c r="F210" t="s">
        <v>31574</v>
      </c>
      <c r="G210" t="s">
        <v>31581</v>
      </c>
      <c r="H210" t="s">
        <v>31590</v>
      </c>
      <c r="I210" t="s">
        <v>31625</v>
      </c>
      <c r="J210" t="s">
        <v>31888</v>
      </c>
      <c r="K210" t="s">
        <v>41191</v>
      </c>
      <c r="M210" t="s">
        <v>41533</v>
      </c>
      <c r="N210" t="s">
        <v>45095</v>
      </c>
      <c r="O210" t="s">
        <v>45096</v>
      </c>
      <c r="P210">
        <v>0</v>
      </c>
      <c r="Q210">
        <v>0</v>
      </c>
      <c r="R210" t="s">
        <v>45097</v>
      </c>
      <c r="S210" t="s">
        <v>45222</v>
      </c>
      <c r="T210" t="s">
        <v>46918</v>
      </c>
      <c r="U210" t="s">
        <v>47657</v>
      </c>
      <c r="W210" t="s">
        <v>41533</v>
      </c>
      <c r="X210" t="s">
        <v>45100</v>
      </c>
    </row>
    <row r="211" spans="1:24">
      <c r="A211">
        <f>HYPERLINK("https://www.philgeps.gov.ph/GEPSNONPILOT/Tender/SplashBidNoticeAbstractUI.aspx?menuIndex=3&amp;refID=7043828&amp;Result=3","7043828")</f>
        <v>0</v>
      </c>
      <c r="B211" t="s">
        <v>50</v>
      </c>
      <c r="C211" t="s">
        <v>3375</v>
      </c>
      <c r="D211" t="s">
        <v>18042</v>
      </c>
      <c r="E211" t="s">
        <v>18336</v>
      </c>
      <c r="F211" t="s">
        <v>31574</v>
      </c>
      <c r="G211" t="s">
        <v>31584</v>
      </c>
      <c r="H211" t="s">
        <v>31590</v>
      </c>
      <c r="I211" t="s">
        <v>6800</v>
      </c>
      <c r="J211" t="s">
        <v>31919</v>
      </c>
      <c r="K211" t="s">
        <v>41191</v>
      </c>
      <c r="M211" t="s">
        <v>41533</v>
      </c>
      <c r="N211" t="s">
        <v>45095</v>
      </c>
      <c r="O211" t="s">
        <v>45096</v>
      </c>
      <c r="P211">
        <v>0</v>
      </c>
      <c r="Q211">
        <v>0</v>
      </c>
      <c r="R211" t="s">
        <v>45097</v>
      </c>
      <c r="S211" t="s">
        <v>45222</v>
      </c>
      <c r="T211" t="s">
        <v>46918</v>
      </c>
      <c r="U211" t="s">
        <v>47662</v>
      </c>
      <c r="W211" t="s">
        <v>41533</v>
      </c>
      <c r="X211" t="s">
        <v>45100</v>
      </c>
    </row>
    <row r="212" spans="1:24">
      <c r="A212">
        <f>HYPERLINK("https://www.philgeps.gov.ph/GEPSNONPILOT/Tender/SplashBidNoticeAbstractUI.aspx?menuIndex=3&amp;refID=7043719&amp;Result=3","7043719")</f>
        <v>0</v>
      </c>
      <c r="B212" t="s">
        <v>50</v>
      </c>
      <c r="C212" t="s">
        <v>3394</v>
      </c>
      <c r="D212" t="s">
        <v>18042</v>
      </c>
      <c r="E212" t="s">
        <v>18337</v>
      </c>
      <c r="F212" t="s">
        <v>31574</v>
      </c>
      <c r="G212" t="s">
        <v>31582</v>
      </c>
      <c r="H212" t="s">
        <v>31590</v>
      </c>
      <c r="I212" t="s">
        <v>31605</v>
      </c>
      <c r="J212" t="s">
        <v>31920</v>
      </c>
      <c r="K212" t="s">
        <v>41186</v>
      </c>
      <c r="M212" t="s">
        <v>41533</v>
      </c>
      <c r="N212" t="s">
        <v>45095</v>
      </c>
      <c r="O212" t="s">
        <v>45096</v>
      </c>
      <c r="P212">
        <v>0</v>
      </c>
      <c r="Q212">
        <v>0</v>
      </c>
      <c r="R212" t="s">
        <v>45097</v>
      </c>
      <c r="S212" t="s">
        <v>45222</v>
      </c>
      <c r="T212" t="s">
        <v>46916</v>
      </c>
      <c r="U212" t="s">
        <v>47663</v>
      </c>
      <c r="W212" t="s">
        <v>41533</v>
      </c>
      <c r="X212" t="s">
        <v>45100</v>
      </c>
    </row>
    <row r="213" spans="1:24">
      <c r="A213">
        <f>HYPERLINK("https://www.philgeps.gov.ph/GEPSNONPILOT/Tender/SplashBidNoticeAbstractUI.aspx?menuIndex=3&amp;refID=7043809&amp;Result=3","7043809")</f>
        <v>0</v>
      </c>
      <c r="B213" t="s">
        <v>50</v>
      </c>
      <c r="C213" t="s">
        <v>3395</v>
      </c>
      <c r="D213" t="s">
        <v>18042</v>
      </c>
      <c r="E213" t="s">
        <v>18338</v>
      </c>
      <c r="F213" t="s">
        <v>31574</v>
      </c>
      <c r="G213" t="s">
        <v>31581</v>
      </c>
      <c r="H213" t="s">
        <v>31590</v>
      </c>
      <c r="I213" t="s">
        <v>31599</v>
      </c>
      <c r="J213" t="s">
        <v>31921</v>
      </c>
      <c r="K213" t="s">
        <v>41191</v>
      </c>
      <c r="M213" t="s">
        <v>41533</v>
      </c>
      <c r="N213" t="s">
        <v>45095</v>
      </c>
      <c r="O213" t="s">
        <v>45096</v>
      </c>
      <c r="P213">
        <v>0</v>
      </c>
      <c r="Q213">
        <v>0</v>
      </c>
      <c r="R213" t="s">
        <v>45097</v>
      </c>
      <c r="S213" t="s">
        <v>45222</v>
      </c>
      <c r="T213" t="s">
        <v>46918</v>
      </c>
      <c r="U213" t="s">
        <v>47664</v>
      </c>
      <c r="W213" t="s">
        <v>41533</v>
      </c>
      <c r="X213" t="s">
        <v>45100</v>
      </c>
    </row>
    <row r="214" spans="1:24">
      <c r="A214">
        <f>HYPERLINK("https://www.philgeps.gov.ph/GEPSNONPILOT/Tender/SplashBidNoticeAbstractUI.aspx?menuIndex=3&amp;refID=7043830&amp;Result=3","7043830")</f>
        <v>0</v>
      </c>
      <c r="B214" t="s">
        <v>50</v>
      </c>
      <c r="C214" t="s">
        <v>3375</v>
      </c>
      <c r="D214" t="s">
        <v>18042</v>
      </c>
      <c r="E214" t="s">
        <v>18339</v>
      </c>
      <c r="F214" t="s">
        <v>31574</v>
      </c>
      <c r="G214" t="s">
        <v>31584</v>
      </c>
      <c r="H214" t="s">
        <v>31590</v>
      </c>
      <c r="I214" t="s">
        <v>6800</v>
      </c>
      <c r="J214" t="s">
        <v>31922</v>
      </c>
      <c r="K214" t="s">
        <v>41191</v>
      </c>
      <c r="M214" t="s">
        <v>41533</v>
      </c>
      <c r="N214" t="s">
        <v>45095</v>
      </c>
      <c r="O214" t="s">
        <v>45096</v>
      </c>
      <c r="P214">
        <v>0</v>
      </c>
      <c r="Q214">
        <v>0</v>
      </c>
      <c r="R214" t="s">
        <v>45097</v>
      </c>
      <c r="S214" t="s">
        <v>45222</v>
      </c>
      <c r="T214" t="s">
        <v>46918</v>
      </c>
      <c r="U214" t="s">
        <v>47665</v>
      </c>
      <c r="W214" t="s">
        <v>41533</v>
      </c>
      <c r="X214" t="s">
        <v>45100</v>
      </c>
    </row>
    <row r="215" spans="1:24">
      <c r="A215">
        <f>HYPERLINK("https://www.philgeps.gov.ph/GEPSNONPILOT/Tender/SplashBidNoticeAbstractUI.aspx?menuIndex=3&amp;refID=7043815&amp;Result=3","7043815")</f>
        <v>0</v>
      </c>
      <c r="B215" t="s">
        <v>50</v>
      </c>
      <c r="C215" t="s">
        <v>3396</v>
      </c>
      <c r="D215" t="s">
        <v>18042</v>
      </c>
      <c r="E215" t="s">
        <v>18340</v>
      </c>
      <c r="F215" t="s">
        <v>31574</v>
      </c>
      <c r="G215" t="s">
        <v>31584</v>
      </c>
      <c r="H215" t="s">
        <v>31590</v>
      </c>
      <c r="I215" t="s">
        <v>4327</v>
      </c>
      <c r="J215" t="s">
        <v>31923</v>
      </c>
      <c r="K215" t="s">
        <v>41191</v>
      </c>
      <c r="M215" t="s">
        <v>41533</v>
      </c>
      <c r="N215" t="s">
        <v>45095</v>
      </c>
      <c r="O215" t="s">
        <v>45096</v>
      </c>
      <c r="P215">
        <v>0</v>
      </c>
      <c r="Q215">
        <v>0</v>
      </c>
      <c r="R215" t="s">
        <v>45097</v>
      </c>
      <c r="S215" t="s">
        <v>45222</v>
      </c>
      <c r="T215" t="s">
        <v>46918</v>
      </c>
      <c r="U215" t="s">
        <v>47666</v>
      </c>
      <c r="W215" t="s">
        <v>41533</v>
      </c>
      <c r="X215" t="s">
        <v>45100</v>
      </c>
    </row>
    <row r="216" spans="1:24">
      <c r="A216">
        <f>HYPERLINK("https://www.philgeps.gov.ph/GEPSNONPILOT/Tender/SplashBidNoticeAbstractUI.aspx?menuIndex=3&amp;refID=7043798&amp;Result=3","7043798")</f>
        <v>0</v>
      </c>
      <c r="B216" t="s">
        <v>50</v>
      </c>
      <c r="C216" t="s">
        <v>3375</v>
      </c>
      <c r="D216" t="s">
        <v>18042</v>
      </c>
      <c r="E216" t="s">
        <v>18341</v>
      </c>
      <c r="F216" t="s">
        <v>31574</v>
      </c>
      <c r="G216" t="s">
        <v>31584</v>
      </c>
      <c r="H216" t="s">
        <v>31590</v>
      </c>
      <c r="I216" t="s">
        <v>6800</v>
      </c>
      <c r="J216" t="s">
        <v>31924</v>
      </c>
      <c r="K216" t="s">
        <v>41191</v>
      </c>
      <c r="M216" t="s">
        <v>41533</v>
      </c>
      <c r="N216" t="s">
        <v>45095</v>
      </c>
      <c r="O216" t="s">
        <v>45096</v>
      </c>
      <c r="P216">
        <v>0</v>
      </c>
      <c r="Q216">
        <v>0</v>
      </c>
      <c r="R216" t="s">
        <v>45097</v>
      </c>
      <c r="S216" t="s">
        <v>45222</v>
      </c>
      <c r="T216" t="s">
        <v>46918</v>
      </c>
      <c r="U216" t="s">
        <v>47667</v>
      </c>
      <c r="W216" t="s">
        <v>41533</v>
      </c>
      <c r="X216" t="s">
        <v>45100</v>
      </c>
    </row>
    <row r="217" spans="1:24">
      <c r="A217">
        <f>HYPERLINK("https://www.philgeps.gov.ph/GEPSNONPILOT/Tender/SplashBidNoticeAbstractUI.aspx?menuIndex=3&amp;refID=7043816&amp;Result=3","7043816")</f>
        <v>0</v>
      </c>
      <c r="B217" t="s">
        <v>50</v>
      </c>
      <c r="C217" t="s">
        <v>3397</v>
      </c>
      <c r="D217" t="s">
        <v>18042</v>
      </c>
      <c r="E217" t="s">
        <v>18340</v>
      </c>
      <c r="F217" t="s">
        <v>31574</v>
      </c>
      <c r="G217" t="s">
        <v>31581</v>
      </c>
      <c r="H217" t="s">
        <v>31590</v>
      </c>
      <c r="I217" t="s">
        <v>31626</v>
      </c>
      <c r="J217" t="s">
        <v>31925</v>
      </c>
      <c r="K217" t="s">
        <v>41191</v>
      </c>
      <c r="M217" t="s">
        <v>41533</v>
      </c>
      <c r="N217" t="s">
        <v>45095</v>
      </c>
      <c r="O217" t="s">
        <v>45096</v>
      </c>
      <c r="P217">
        <v>0</v>
      </c>
      <c r="Q217">
        <v>0</v>
      </c>
      <c r="R217" t="s">
        <v>45097</v>
      </c>
      <c r="S217" t="s">
        <v>45222</v>
      </c>
      <c r="T217" t="s">
        <v>46918</v>
      </c>
      <c r="U217" t="s">
        <v>47666</v>
      </c>
      <c r="W217" t="s">
        <v>41533</v>
      </c>
      <c r="X217" t="s">
        <v>45100</v>
      </c>
    </row>
    <row r="218" spans="1:24">
      <c r="A218">
        <f>HYPERLINK("https://www.philgeps.gov.ph/GEPSNONPILOT/Tender/SplashBidNoticeAbstractUI.aspx?menuIndex=3&amp;refID=7043812&amp;Result=3","7043812")</f>
        <v>0</v>
      </c>
      <c r="B218" t="s">
        <v>50</v>
      </c>
      <c r="C218" t="s">
        <v>3398</v>
      </c>
      <c r="D218" t="s">
        <v>18042</v>
      </c>
      <c r="E218" t="s">
        <v>18342</v>
      </c>
      <c r="F218" t="s">
        <v>31574</v>
      </c>
      <c r="G218" t="s">
        <v>31584</v>
      </c>
      <c r="H218" t="s">
        <v>31590</v>
      </c>
      <c r="I218" t="s">
        <v>3487</v>
      </c>
      <c r="J218" t="s">
        <v>31926</v>
      </c>
      <c r="K218" t="s">
        <v>41191</v>
      </c>
      <c r="M218" t="s">
        <v>41533</v>
      </c>
      <c r="N218" t="s">
        <v>45095</v>
      </c>
      <c r="O218" t="s">
        <v>45096</v>
      </c>
      <c r="P218">
        <v>0</v>
      </c>
      <c r="Q218">
        <v>0</v>
      </c>
      <c r="R218" t="s">
        <v>45097</v>
      </c>
      <c r="S218" t="s">
        <v>45222</v>
      </c>
      <c r="T218" t="s">
        <v>46918</v>
      </c>
      <c r="U218" t="s">
        <v>47668</v>
      </c>
      <c r="W218" t="s">
        <v>41533</v>
      </c>
      <c r="X218" t="s">
        <v>45100</v>
      </c>
    </row>
    <row r="219" spans="1:24">
      <c r="A219">
        <f>HYPERLINK("https://www.philgeps.gov.ph/GEPSNONPILOT/Tender/SplashBidNoticeAbstractUI.aspx?menuIndex=3&amp;refID=7043817&amp;Result=3","7043817")</f>
        <v>0</v>
      </c>
      <c r="B219" t="s">
        <v>50</v>
      </c>
      <c r="C219" t="s">
        <v>3399</v>
      </c>
      <c r="D219" t="s">
        <v>18042</v>
      </c>
      <c r="E219" t="s">
        <v>18340</v>
      </c>
      <c r="F219" t="s">
        <v>31574</v>
      </c>
      <c r="G219" t="s">
        <v>31581</v>
      </c>
      <c r="H219" t="s">
        <v>31590</v>
      </c>
      <c r="I219" t="s">
        <v>31626</v>
      </c>
      <c r="J219" t="s">
        <v>31927</v>
      </c>
      <c r="K219" t="s">
        <v>41191</v>
      </c>
      <c r="M219" t="s">
        <v>41533</v>
      </c>
      <c r="N219" t="s">
        <v>45095</v>
      </c>
      <c r="O219" t="s">
        <v>45096</v>
      </c>
      <c r="P219">
        <v>0</v>
      </c>
      <c r="Q219">
        <v>0</v>
      </c>
      <c r="R219" t="s">
        <v>45097</v>
      </c>
      <c r="S219" t="s">
        <v>45222</v>
      </c>
      <c r="T219" t="s">
        <v>46918</v>
      </c>
      <c r="U219" t="s">
        <v>47666</v>
      </c>
      <c r="W219" t="s">
        <v>41533</v>
      </c>
      <c r="X219" t="s">
        <v>45100</v>
      </c>
    </row>
    <row r="220" spans="1:24">
      <c r="A220">
        <f>HYPERLINK("https://www.philgeps.gov.ph/GEPSNONPILOT/Tender/SplashBidNoticeAbstractUI.aspx?menuIndex=3&amp;refID=7044014&amp;Result=3","7044014")</f>
        <v>0</v>
      </c>
      <c r="B220" t="s">
        <v>50</v>
      </c>
      <c r="C220" t="s">
        <v>3400</v>
      </c>
      <c r="D220" t="s">
        <v>18042</v>
      </c>
      <c r="E220" t="s">
        <v>18343</v>
      </c>
      <c r="F220" t="s">
        <v>31574</v>
      </c>
      <c r="G220" t="s">
        <v>31582</v>
      </c>
      <c r="H220" t="s">
        <v>31590</v>
      </c>
      <c r="I220" t="s">
        <v>31608</v>
      </c>
      <c r="J220" t="s">
        <v>31928</v>
      </c>
      <c r="K220" t="s">
        <v>41186</v>
      </c>
      <c r="M220" t="s">
        <v>41533</v>
      </c>
      <c r="N220" t="s">
        <v>45095</v>
      </c>
      <c r="O220" t="s">
        <v>45096</v>
      </c>
      <c r="P220">
        <v>0</v>
      </c>
      <c r="Q220">
        <v>0</v>
      </c>
      <c r="R220" t="s">
        <v>45097</v>
      </c>
      <c r="S220" t="s">
        <v>45222</v>
      </c>
      <c r="T220" t="s">
        <v>46916</v>
      </c>
      <c r="U220" t="s">
        <v>47669</v>
      </c>
      <c r="W220" t="s">
        <v>41533</v>
      </c>
      <c r="X220" t="s">
        <v>45099</v>
      </c>
    </row>
    <row r="221" spans="1:24">
      <c r="A221">
        <f>HYPERLINK("https://www.philgeps.gov.ph/GEPSNONPILOT/Tender/SplashBidNoticeAbstractUI.aspx?menuIndex=3&amp;refID=7043813&amp;Result=3","7043813")</f>
        <v>0</v>
      </c>
      <c r="B221" t="s">
        <v>50</v>
      </c>
      <c r="C221" t="s">
        <v>3401</v>
      </c>
      <c r="D221" t="s">
        <v>18042</v>
      </c>
      <c r="E221" t="s">
        <v>18340</v>
      </c>
      <c r="F221" t="s">
        <v>31574</v>
      </c>
      <c r="G221" t="s">
        <v>31584</v>
      </c>
      <c r="H221" t="s">
        <v>31590</v>
      </c>
      <c r="I221" t="s">
        <v>3487</v>
      </c>
      <c r="J221" t="s">
        <v>31929</v>
      </c>
      <c r="K221" t="s">
        <v>41191</v>
      </c>
      <c r="M221" t="s">
        <v>41533</v>
      </c>
      <c r="N221" t="s">
        <v>45095</v>
      </c>
      <c r="O221" t="s">
        <v>45096</v>
      </c>
      <c r="P221">
        <v>0</v>
      </c>
      <c r="Q221">
        <v>0</v>
      </c>
      <c r="R221" t="s">
        <v>45097</v>
      </c>
      <c r="S221" t="s">
        <v>45222</v>
      </c>
      <c r="T221" t="s">
        <v>46918</v>
      </c>
      <c r="U221" t="s">
        <v>47666</v>
      </c>
      <c r="W221" t="s">
        <v>41533</v>
      </c>
      <c r="X221" t="s">
        <v>45100</v>
      </c>
    </row>
    <row r="222" spans="1:24">
      <c r="A222">
        <f>HYPERLINK("https://www.philgeps.gov.ph/GEPSNONPILOT/Tender/SplashBidNoticeAbstractUI.aspx?menuIndex=3&amp;refID=7044202&amp;Result=3","7044202")</f>
        <v>0</v>
      </c>
      <c r="B222" t="s">
        <v>94</v>
      </c>
      <c r="C222" t="s">
        <v>3402</v>
      </c>
      <c r="D222" t="s">
        <v>18023</v>
      </c>
      <c r="E222" t="s">
        <v>18344</v>
      </c>
      <c r="F222" t="s">
        <v>31574</v>
      </c>
      <c r="G222" t="s">
        <v>31581</v>
      </c>
      <c r="H222" t="s">
        <v>31590</v>
      </c>
      <c r="I222" t="s">
        <v>4046</v>
      </c>
      <c r="J222" t="s">
        <v>31930</v>
      </c>
      <c r="K222" t="s">
        <v>41186</v>
      </c>
      <c r="M222" t="s">
        <v>41578</v>
      </c>
      <c r="N222" t="s">
        <v>45095</v>
      </c>
      <c r="O222" t="s">
        <v>45096</v>
      </c>
      <c r="P222">
        <v>0</v>
      </c>
      <c r="Q222">
        <v>0</v>
      </c>
      <c r="R222" t="s">
        <v>45097</v>
      </c>
      <c r="S222" t="s">
        <v>45222</v>
      </c>
      <c r="T222" t="s">
        <v>46950</v>
      </c>
      <c r="U222" t="s">
        <v>47670</v>
      </c>
      <c r="V222" t="s">
        <v>59884</v>
      </c>
      <c r="W222" t="s">
        <v>61652</v>
      </c>
      <c r="X222" t="s">
        <v>45099</v>
      </c>
    </row>
    <row r="223" spans="1:24">
      <c r="A223">
        <f>HYPERLINK("https://www.philgeps.gov.ph/GEPSNONPILOT/Tender/SplashBidNoticeAbstractUI.aspx?menuIndex=3&amp;refID=7044194&amp;Result=3","7044194")</f>
        <v>0</v>
      </c>
      <c r="B223" t="s">
        <v>94</v>
      </c>
      <c r="C223" t="s">
        <v>3403</v>
      </c>
      <c r="D223" t="s">
        <v>18023</v>
      </c>
      <c r="E223" t="s">
        <v>18345</v>
      </c>
      <c r="F223" t="s">
        <v>31574</v>
      </c>
      <c r="G223" t="s">
        <v>31581</v>
      </c>
      <c r="H223" t="s">
        <v>31590</v>
      </c>
      <c r="I223" t="s">
        <v>4046</v>
      </c>
      <c r="J223" t="s">
        <v>31931</v>
      </c>
      <c r="K223" t="s">
        <v>41186</v>
      </c>
      <c r="M223" t="s">
        <v>41578</v>
      </c>
      <c r="N223" t="s">
        <v>45095</v>
      </c>
      <c r="O223" t="s">
        <v>45096</v>
      </c>
      <c r="P223">
        <v>0</v>
      </c>
      <c r="Q223">
        <v>0</v>
      </c>
      <c r="R223" t="s">
        <v>45097</v>
      </c>
      <c r="S223" t="s">
        <v>45222</v>
      </c>
      <c r="T223" t="s">
        <v>46950</v>
      </c>
      <c r="U223" t="s">
        <v>47671</v>
      </c>
      <c r="V223" t="s">
        <v>59884</v>
      </c>
      <c r="W223" t="s">
        <v>61652</v>
      </c>
      <c r="X223" t="s">
        <v>45099</v>
      </c>
    </row>
    <row r="224" spans="1:24">
      <c r="A224">
        <f>HYPERLINK("https://www.philgeps.gov.ph/GEPSNONPILOT/Tender/SplashBidNoticeAbstractUI.aspx?menuIndex=3&amp;refID=7043814&amp;Result=3","7043814")</f>
        <v>0</v>
      </c>
      <c r="B224" t="s">
        <v>50</v>
      </c>
      <c r="C224" t="s">
        <v>3404</v>
      </c>
      <c r="D224" t="s">
        <v>18042</v>
      </c>
      <c r="E224" t="s">
        <v>18340</v>
      </c>
      <c r="F224" t="s">
        <v>31574</v>
      </c>
      <c r="G224" t="s">
        <v>31581</v>
      </c>
      <c r="H224" t="s">
        <v>31590</v>
      </c>
      <c r="I224" t="s">
        <v>31619</v>
      </c>
      <c r="J224" t="s">
        <v>31932</v>
      </c>
      <c r="K224" t="s">
        <v>41191</v>
      </c>
      <c r="M224" t="s">
        <v>41533</v>
      </c>
      <c r="N224" t="s">
        <v>45095</v>
      </c>
      <c r="O224" t="s">
        <v>45096</v>
      </c>
      <c r="P224">
        <v>0</v>
      </c>
      <c r="Q224">
        <v>0</v>
      </c>
      <c r="R224" t="s">
        <v>45097</v>
      </c>
      <c r="S224" t="s">
        <v>45222</v>
      </c>
      <c r="T224" t="s">
        <v>46918</v>
      </c>
      <c r="U224" t="s">
        <v>47666</v>
      </c>
      <c r="W224" t="s">
        <v>41533</v>
      </c>
      <c r="X224" t="s">
        <v>45100</v>
      </c>
    </row>
    <row r="225" spans="1:24">
      <c r="A225">
        <f>HYPERLINK("https://www.philgeps.gov.ph/GEPSNONPILOT/Tender/SplashBidNoticeAbstractUI.aspx?menuIndex=3&amp;refID=7044006&amp;Result=3","7044006")</f>
        <v>0</v>
      </c>
      <c r="B225" t="s">
        <v>50</v>
      </c>
      <c r="C225" t="s">
        <v>3405</v>
      </c>
      <c r="D225" t="s">
        <v>18042</v>
      </c>
      <c r="E225" t="s">
        <v>18346</v>
      </c>
      <c r="F225" t="s">
        <v>31574</v>
      </c>
      <c r="G225" t="s">
        <v>31582</v>
      </c>
      <c r="H225" t="s">
        <v>31590</v>
      </c>
      <c r="I225" t="s">
        <v>3487</v>
      </c>
      <c r="J225" t="s">
        <v>31933</v>
      </c>
      <c r="K225" t="s">
        <v>41186</v>
      </c>
      <c r="M225" t="s">
        <v>41533</v>
      </c>
      <c r="N225" t="s">
        <v>45095</v>
      </c>
      <c r="O225" t="s">
        <v>45096</v>
      </c>
      <c r="P225">
        <v>0</v>
      </c>
      <c r="Q225">
        <v>0</v>
      </c>
      <c r="R225" t="s">
        <v>45097</v>
      </c>
      <c r="S225" t="s">
        <v>45222</v>
      </c>
      <c r="T225" t="s">
        <v>46916</v>
      </c>
      <c r="U225" t="s">
        <v>47672</v>
      </c>
      <c r="W225" t="s">
        <v>41533</v>
      </c>
      <c r="X225" t="s">
        <v>45099</v>
      </c>
    </row>
    <row r="226" spans="1:24">
      <c r="A226">
        <f>HYPERLINK("https://www.philgeps.gov.ph/GEPSNONPILOT/Tender/SplashBidNoticeAbstractUI.aspx?menuIndex=3&amp;refID=7044167&amp;Result=3","7044167")</f>
        <v>0</v>
      </c>
      <c r="B226" t="s">
        <v>95</v>
      </c>
      <c r="C226" t="s">
        <v>3406</v>
      </c>
      <c r="D226" t="s">
        <v>18062</v>
      </c>
      <c r="E226" t="s">
        <v>18347</v>
      </c>
      <c r="F226" t="s">
        <v>31574</v>
      </c>
      <c r="G226" t="s">
        <v>31582</v>
      </c>
      <c r="H226" t="s">
        <v>31591</v>
      </c>
      <c r="I226" t="s">
        <v>8822</v>
      </c>
      <c r="J226" t="s">
        <v>31934</v>
      </c>
      <c r="K226" t="s">
        <v>41186</v>
      </c>
      <c r="M226" t="s">
        <v>41579</v>
      </c>
      <c r="N226" t="s">
        <v>45095</v>
      </c>
      <c r="O226" t="s">
        <v>45096</v>
      </c>
      <c r="P226">
        <v>0</v>
      </c>
      <c r="Q226">
        <v>0</v>
      </c>
      <c r="R226" t="s">
        <v>45097</v>
      </c>
      <c r="S226" t="s">
        <v>45222</v>
      </c>
      <c r="T226" t="s">
        <v>46910</v>
      </c>
      <c r="U226" t="s">
        <v>47673</v>
      </c>
      <c r="W226" t="s">
        <v>41579</v>
      </c>
      <c r="X226" t="s">
        <v>45099</v>
      </c>
    </row>
    <row r="227" spans="1:24">
      <c r="A227">
        <f>HYPERLINK("https://www.philgeps.gov.ph/GEPSNONPILOT/Tender/SplashBidNoticeAbstractUI.aspx?menuIndex=3&amp;refID=7043862&amp;Result=3","7043862")</f>
        <v>0</v>
      </c>
      <c r="B227" t="s">
        <v>96</v>
      </c>
      <c r="C227" t="s">
        <v>3407</v>
      </c>
      <c r="E227" t="s">
        <v>18348</v>
      </c>
      <c r="F227" t="s">
        <v>31574</v>
      </c>
      <c r="G227" t="s">
        <v>31582</v>
      </c>
      <c r="H227" t="s">
        <v>31591</v>
      </c>
      <c r="I227" t="s">
        <v>31627</v>
      </c>
      <c r="J227" t="s">
        <v>31935</v>
      </c>
      <c r="K227" t="s">
        <v>41186</v>
      </c>
      <c r="M227" t="s">
        <v>41580</v>
      </c>
      <c r="N227" t="s">
        <v>45095</v>
      </c>
      <c r="O227" t="s">
        <v>45096</v>
      </c>
      <c r="P227">
        <v>0</v>
      </c>
      <c r="Q227">
        <v>0</v>
      </c>
      <c r="R227" t="s">
        <v>45097</v>
      </c>
      <c r="S227" t="s">
        <v>45222</v>
      </c>
      <c r="T227" t="s">
        <v>46915</v>
      </c>
      <c r="U227" t="s">
        <v>47674</v>
      </c>
      <c r="W227" t="s">
        <v>41580</v>
      </c>
      <c r="X227" t="s">
        <v>45100</v>
      </c>
    </row>
    <row r="228" spans="1:24">
      <c r="A228">
        <f>HYPERLINK("https://www.philgeps.gov.ph/GEPSNONPILOT/Tender/SplashBidNoticeAbstractUI.aspx?menuIndex=3&amp;refID=7044164&amp;Result=3","7044164")</f>
        <v>0</v>
      </c>
      <c r="B228" t="s">
        <v>95</v>
      </c>
      <c r="C228" t="s">
        <v>3408</v>
      </c>
      <c r="D228" t="s">
        <v>18062</v>
      </c>
      <c r="E228" t="s">
        <v>18349</v>
      </c>
      <c r="F228" t="s">
        <v>31574</v>
      </c>
      <c r="G228" t="s">
        <v>31582</v>
      </c>
      <c r="H228" t="s">
        <v>31591</v>
      </c>
      <c r="I228" t="s">
        <v>8822</v>
      </c>
      <c r="J228" t="s">
        <v>31936</v>
      </c>
      <c r="K228" t="s">
        <v>41186</v>
      </c>
      <c r="M228" t="s">
        <v>41579</v>
      </c>
      <c r="N228" t="s">
        <v>45095</v>
      </c>
      <c r="O228" t="s">
        <v>45096</v>
      </c>
      <c r="P228">
        <v>0</v>
      </c>
      <c r="Q228">
        <v>0</v>
      </c>
      <c r="R228" t="s">
        <v>45097</v>
      </c>
      <c r="S228" t="s">
        <v>45222</v>
      </c>
      <c r="T228" t="s">
        <v>46910</v>
      </c>
      <c r="U228" t="s">
        <v>47675</v>
      </c>
      <c r="W228" t="s">
        <v>41579</v>
      </c>
      <c r="X228" t="s">
        <v>45099</v>
      </c>
    </row>
    <row r="229" spans="1:24">
      <c r="A229">
        <f>HYPERLINK("https://www.philgeps.gov.ph/GEPSNONPILOT/Tender/SplashBidNoticeAbstractUI.aspx?menuIndex=3&amp;refID=7044159&amp;Result=3","7044159")</f>
        <v>0</v>
      </c>
      <c r="B229" t="s">
        <v>95</v>
      </c>
      <c r="C229" t="s">
        <v>3409</v>
      </c>
      <c r="D229" t="s">
        <v>18062</v>
      </c>
      <c r="E229" t="s">
        <v>18350</v>
      </c>
      <c r="F229" t="s">
        <v>31574</v>
      </c>
      <c r="G229" t="s">
        <v>31582</v>
      </c>
      <c r="H229" t="s">
        <v>31591</v>
      </c>
      <c r="I229" t="s">
        <v>8822</v>
      </c>
      <c r="J229" t="s">
        <v>31937</v>
      </c>
      <c r="K229" t="s">
        <v>41186</v>
      </c>
      <c r="M229" t="s">
        <v>41579</v>
      </c>
      <c r="N229" t="s">
        <v>45095</v>
      </c>
      <c r="O229" t="s">
        <v>45096</v>
      </c>
      <c r="P229">
        <v>0</v>
      </c>
      <c r="Q229">
        <v>0</v>
      </c>
      <c r="R229" t="s">
        <v>45097</v>
      </c>
      <c r="S229" t="s">
        <v>45222</v>
      </c>
      <c r="T229" t="s">
        <v>46910</v>
      </c>
      <c r="U229" t="s">
        <v>47676</v>
      </c>
      <c r="W229" t="s">
        <v>41579</v>
      </c>
      <c r="X229" t="s">
        <v>45099</v>
      </c>
    </row>
    <row r="230" spans="1:24">
      <c r="A230">
        <f>HYPERLINK("https://www.philgeps.gov.ph/GEPSNONPILOT/Tender/SplashBidNoticeAbstractUI.aspx?menuIndex=3&amp;refID=7044175&amp;Result=3","7044175")</f>
        <v>0</v>
      </c>
      <c r="B230" t="s">
        <v>95</v>
      </c>
      <c r="C230" t="s">
        <v>3410</v>
      </c>
      <c r="D230" t="s">
        <v>18062</v>
      </c>
      <c r="E230" t="s">
        <v>18351</v>
      </c>
      <c r="F230" t="s">
        <v>31574</v>
      </c>
      <c r="G230" t="s">
        <v>31582</v>
      </c>
      <c r="H230" t="s">
        <v>31591</v>
      </c>
      <c r="I230" t="s">
        <v>8822</v>
      </c>
      <c r="J230" t="s">
        <v>31938</v>
      </c>
      <c r="K230" t="s">
        <v>41186</v>
      </c>
      <c r="M230" t="s">
        <v>41579</v>
      </c>
      <c r="N230" t="s">
        <v>45095</v>
      </c>
      <c r="O230" t="s">
        <v>45096</v>
      </c>
      <c r="P230">
        <v>0</v>
      </c>
      <c r="Q230">
        <v>0</v>
      </c>
      <c r="R230" t="s">
        <v>45097</v>
      </c>
      <c r="S230" t="s">
        <v>45222</v>
      </c>
      <c r="T230" t="s">
        <v>46910</v>
      </c>
      <c r="U230" t="s">
        <v>47677</v>
      </c>
      <c r="W230" t="s">
        <v>41579</v>
      </c>
      <c r="X230" t="s">
        <v>45099</v>
      </c>
    </row>
    <row r="231" spans="1:24">
      <c r="A231">
        <f>HYPERLINK("https://www.philgeps.gov.ph/GEPSNONPILOT/Tender/SplashBidNoticeAbstractUI.aspx?menuIndex=3&amp;refID=7044163&amp;Result=3","7044163")</f>
        <v>0</v>
      </c>
      <c r="B231" t="s">
        <v>94</v>
      </c>
      <c r="C231" t="s">
        <v>3411</v>
      </c>
      <c r="D231" t="s">
        <v>18023</v>
      </c>
      <c r="E231" t="s">
        <v>18352</v>
      </c>
      <c r="F231" t="s">
        <v>31574</v>
      </c>
      <c r="G231" t="s">
        <v>31581</v>
      </c>
      <c r="H231" t="s">
        <v>31590</v>
      </c>
      <c r="I231" t="s">
        <v>4046</v>
      </c>
      <c r="J231" t="s">
        <v>31931</v>
      </c>
      <c r="K231" t="s">
        <v>41186</v>
      </c>
      <c r="M231" t="s">
        <v>41578</v>
      </c>
      <c r="N231" t="s">
        <v>45095</v>
      </c>
      <c r="O231" t="s">
        <v>45096</v>
      </c>
      <c r="P231">
        <v>0</v>
      </c>
      <c r="Q231">
        <v>0</v>
      </c>
      <c r="R231" t="s">
        <v>45097</v>
      </c>
      <c r="S231" t="s">
        <v>45222</v>
      </c>
      <c r="T231" t="s">
        <v>46950</v>
      </c>
      <c r="U231" t="s">
        <v>47678</v>
      </c>
      <c r="V231" t="s">
        <v>59884</v>
      </c>
      <c r="W231" t="s">
        <v>61652</v>
      </c>
      <c r="X231" t="s">
        <v>45099</v>
      </c>
    </row>
    <row r="232" spans="1:24">
      <c r="A232">
        <f>HYPERLINK("https://www.philgeps.gov.ph/GEPSNONPILOT/Tender/SplashBidNoticeAbstractUI.aspx?menuIndex=3&amp;refID=7044156&amp;Result=3","7044156")</f>
        <v>0</v>
      </c>
      <c r="B232" t="s">
        <v>95</v>
      </c>
      <c r="C232" t="s">
        <v>3412</v>
      </c>
      <c r="D232" t="s">
        <v>18062</v>
      </c>
      <c r="E232" t="s">
        <v>18353</v>
      </c>
      <c r="F232" t="s">
        <v>31574</v>
      </c>
      <c r="G232" t="s">
        <v>31582</v>
      </c>
      <c r="H232" t="s">
        <v>31591</v>
      </c>
      <c r="I232" t="s">
        <v>8822</v>
      </c>
      <c r="J232" t="s">
        <v>31939</v>
      </c>
      <c r="K232" t="s">
        <v>41186</v>
      </c>
      <c r="M232" t="s">
        <v>41579</v>
      </c>
      <c r="N232" t="s">
        <v>45095</v>
      </c>
      <c r="O232" t="s">
        <v>45096</v>
      </c>
      <c r="P232">
        <v>0</v>
      </c>
      <c r="Q232">
        <v>0</v>
      </c>
      <c r="R232" t="s">
        <v>45097</v>
      </c>
      <c r="S232" t="s">
        <v>45222</v>
      </c>
      <c r="T232" t="s">
        <v>46910</v>
      </c>
      <c r="U232" t="s">
        <v>47679</v>
      </c>
      <c r="W232" t="s">
        <v>41579</v>
      </c>
      <c r="X232" t="s">
        <v>45099</v>
      </c>
    </row>
    <row r="233" spans="1:24">
      <c r="A233">
        <f>HYPERLINK("https://www.philgeps.gov.ph/GEPSNONPILOT/Tender/SplashBidNoticeAbstractUI.aspx?menuIndex=3&amp;refID=7044152&amp;Result=3","7044152")</f>
        <v>0</v>
      </c>
      <c r="B233" t="s">
        <v>95</v>
      </c>
      <c r="C233" t="s">
        <v>3413</v>
      </c>
      <c r="D233" t="s">
        <v>18062</v>
      </c>
      <c r="E233" t="s">
        <v>18354</v>
      </c>
      <c r="F233" t="s">
        <v>31574</v>
      </c>
      <c r="G233" t="s">
        <v>31582</v>
      </c>
      <c r="H233" t="s">
        <v>31591</v>
      </c>
      <c r="I233" t="s">
        <v>8822</v>
      </c>
      <c r="J233" t="s">
        <v>31940</v>
      </c>
      <c r="K233" t="s">
        <v>41185</v>
      </c>
      <c r="M233" t="s">
        <v>41579</v>
      </c>
      <c r="N233" t="s">
        <v>45095</v>
      </c>
      <c r="O233" t="s">
        <v>45096</v>
      </c>
      <c r="P233">
        <v>0</v>
      </c>
      <c r="Q233">
        <v>0</v>
      </c>
      <c r="R233" t="s">
        <v>45097</v>
      </c>
      <c r="S233" t="s">
        <v>45222</v>
      </c>
      <c r="T233" t="s">
        <v>46910</v>
      </c>
      <c r="U233" t="s">
        <v>47680</v>
      </c>
      <c r="W233" t="s">
        <v>41579</v>
      </c>
      <c r="X233" t="s">
        <v>45099</v>
      </c>
    </row>
    <row r="234" spans="1:24">
      <c r="A234">
        <f>HYPERLINK("https://www.philgeps.gov.ph/GEPSNONPILOT/Tender/SplashBidNoticeAbstractUI.aspx?menuIndex=3&amp;refID=7043987&amp;Result=3","7043987")</f>
        <v>0</v>
      </c>
      <c r="B234" t="s">
        <v>50</v>
      </c>
      <c r="C234" t="s">
        <v>3414</v>
      </c>
      <c r="D234" t="s">
        <v>18042</v>
      </c>
      <c r="E234" t="s">
        <v>18355</v>
      </c>
      <c r="F234" t="s">
        <v>31574</v>
      </c>
      <c r="G234" t="s">
        <v>31582</v>
      </c>
      <c r="H234" t="s">
        <v>31590</v>
      </c>
      <c r="I234" t="s">
        <v>3487</v>
      </c>
      <c r="J234" t="s">
        <v>31941</v>
      </c>
      <c r="K234" t="s">
        <v>41186</v>
      </c>
      <c r="M234" t="s">
        <v>41533</v>
      </c>
      <c r="N234" t="s">
        <v>45095</v>
      </c>
      <c r="O234" t="s">
        <v>45096</v>
      </c>
      <c r="P234">
        <v>0</v>
      </c>
      <c r="Q234">
        <v>0</v>
      </c>
      <c r="R234" t="s">
        <v>45097</v>
      </c>
      <c r="S234" t="s">
        <v>45222</v>
      </c>
      <c r="T234" t="s">
        <v>46916</v>
      </c>
      <c r="U234" t="s">
        <v>47681</v>
      </c>
      <c r="W234" t="s">
        <v>41533</v>
      </c>
      <c r="X234" t="s">
        <v>45099</v>
      </c>
    </row>
    <row r="235" spans="1:24">
      <c r="A235">
        <f>HYPERLINK("https://www.philgeps.gov.ph/GEPSNONPILOT/Tender/SplashBidNoticeAbstractUI.aspx?menuIndex=3&amp;refID=7043977&amp;Result=3","7043977")</f>
        <v>0</v>
      </c>
      <c r="B235" t="s">
        <v>50</v>
      </c>
      <c r="C235" t="s">
        <v>3415</v>
      </c>
      <c r="D235" t="s">
        <v>18042</v>
      </c>
      <c r="E235" t="s">
        <v>18356</v>
      </c>
      <c r="F235" t="s">
        <v>31574</v>
      </c>
      <c r="G235" t="s">
        <v>31582</v>
      </c>
      <c r="H235" t="s">
        <v>31590</v>
      </c>
      <c r="I235" t="s">
        <v>14034</v>
      </c>
      <c r="J235" t="s">
        <v>31942</v>
      </c>
      <c r="K235" t="s">
        <v>41186</v>
      </c>
      <c r="M235" t="s">
        <v>41533</v>
      </c>
      <c r="N235" t="s">
        <v>45095</v>
      </c>
      <c r="O235" t="s">
        <v>45096</v>
      </c>
      <c r="P235">
        <v>0</v>
      </c>
      <c r="Q235">
        <v>0</v>
      </c>
      <c r="R235" t="s">
        <v>45097</v>
      </c>
      <c r="S235" t="s">
        <v>45222</v>
      </c>
      <c r="T235" t="s">
        <v>46916</v>
      </c>
      <c r="U235" t="s">
        <v>47682</v>
      </c>
      <c r="W235" t="s">
        <v>41533</v>
      </c>
      <c r="X235" t="s">
        <v>45099</v>
      </c>
    </row>
    <row r="236" spans="1:24">
      <c r="A236">
        <f>HYPERLINK("https://www.philgeps.gov.ph/GEPSNONPILOT/Tender/SplashBidNoticeAbstractUI.aspx?menuIndex=3&amp;refID=7043965&amp;Result=3","7043965")</f>
        <v>0</v>
      </c>
      <c r="B236" t="s">
        <v>50</v>
      </c>
      <c r="C236" t="s">
        <v>3416</v>
      </c>
      <c r="D236" t="s">
        <v>18042</v>
      </c>
      <c r="E236" t="s">
        <v>18357</v>
      </c>
      <c r="F236" t="s">
        <v>31574</v>
      </c>
      <c r="G236" t="s">
        <v>31582</v>
      </c>
      <c r="H236" t="s">
        <v>31590</v>
      </c>
      <c r="I236" t="s">
        <v>3539</v>
      </c>
      <c r="J236" t="s">
        <v>31943</v>
      </c>
      <c r="K236" t="s">
        <v>41186</v>
      </c>
      <c r="M236" t="s">
        <v>41533</v>
      </c>
      <c r="N236" t="s">
        <v>45095</v>
      </c>
      <c r="O236" t="s">
        <v>45096</v>
      </c>
      <c r="P236">
        <v>0</v>
      </c>
      <c r="Q236">
        <v>0</v>
      </c>
      <c r="R236" t="s">
        <v>45097</v>
      </c>
      <c r="S236" t="s">
        <v>45222</v>
      </c>
      <c r="T236" t="s">
        <v>46916</v>
      </c>
      <c r="U236" t="s">
        <v>47683</v>
      </c>
      <c r="W236" t="s">
        <v>41533</v>
      </c>
      <c r="X236" t="s">
        <v>45099</v>
      </c>
    </row>
    <row r="237" spans="1:24">
      <c r="A237">
        <f>HYPERLINK("https://www.philgeps.gov.ph/GEPSNONPILOT/Tender/SplashBidNoticeAbstractUI.aspx?menuIndex=3&amp;refID=7043969&amp;Result=3","7043969")</f>
        <v>0</v>
      </c>
      <c r="B237" t="s">
        <v>50</v>
      </c>
      <c r="C237" t="s">
        <v>3417</v>
      </c>
      <c r="D237" t="s">
        <v>18042</v>
      </c>
      <c r="E237" t="s">
        <v>18358</v>
      </c>
      <c r="F237" t="s">
        <v>31574</v>
      </c>
      <c r="G237" t="s">
        <v>31582</v>
      </c>
      <c r="H237" t="s">
        <v>31590</v>
      </c>
      <c r="I237" t="s">
        <v>6800</v>
      </c>
      <c r="J237" t="s">
        <v>31944</v>
      </c>
      <c r="K237" t="s">
        <v>41186</v>
      </c>
      <c r="M237" t="s">
        <v>41533</v>
      </c>
      <c r="N237" t="s">
        <v>45095</v>
      </c>
      <c r="O237" t="s">
        <v>45096</v>
      </c>
      <c r="P237">
        <v>0</v>
      </c>
      <c r="Q237">
        <v>0</v>
      </c>
      <c r="R237" t="s">
        <v>45097</v>
      </c>
      <c r="S237" t="s">
        <v>45222</v>
      </c>
      <c r="T237" t="s">
        <v>46916</v>
      </c>
      <c r="U237" t="s">
        <v>47684</v>
      </c>
      <c r="W237" t="s">
        <v>41533</v>
      </c>
      <c r="X237" t="s">
        <v>45099</v>
      </c>
    </row>
    <row r="238" spans="1:24">
      <c r="A238">
        <f>HYPERLINK("https://www.philgeps.gov.ph/GEPSNONPILOT/Tender/SplashBidNoticeAbstractUI.aspx?menuIndex=3&amp;refID=7043961&amp;Result=3","7043961")</f>
        <v>0</v>
      </c>
      <c r="B238" t="s">
        <v>50</v>
      </c>
      <c r="C238" t="s">
        <v>3418</v>
      </c>
      <c r="D238" t="s">
        <v>18042</v>
      </c>
      <c r="E238" t="s">
        <v>18359</v>
      </c>
      <c r="F238" t="s">
        <v>31574</v>
      </c>
      <c r="G238" t="s">
        <v>31582</v>
      </c>
      <c r="H238" t="s">
        <v>31590</v>
      </c>
      <c r="I238" t="s">
        <v>4046</v>
      </c>
      <c r="J238" t="s">
        <v>31888</v>
      </c>
      <c r="K238" t="s">
        <v>41186</v>
      </c>
      <c r="M238" t="s">
        <v>41533</v>
      </c>
      <c r="N238" t="s">
        <v>45095</v>
      </c>
      <c r="O238" t="s">
        <v>45096</v>
      </c>
      <c r="P238">
        <v>0</v>
      </c>
      <c r="Q238">
        <v>0</v>
      </c>
      <c r="R238" t="s">
        <v>45097</v>
      </c>
      <c r="S238" t="s">
        <v>45222</v>
      </c>
      <c r="T238" t="s">
        <v>46916</v>
      </c>
      <c r="U238" t="s">
        <v>47685</v>
      </c>
      <c r="W238" t="s">
        <v>41533</v>
      </c>
      <c r="X238" t="s">
        <v>45099</v>
      </c>
    </row>
    <row r="239" spans="1:24">
      <c r="A239">
        <f>HYPERLINK("https://www.philgeps.gov.ph/GEPSNONPILOT/Tender/SplashBidNoticeAbstractUI.aspx?menuIndex=3&amp;refID=7043982&amp;Result=3","7043982")</f>
        <v>0</v>
      </c>
      <c r="B239" t="s">
        <v>50</v>
      </c>
      <c r="C239" t="s">
        <v>3419</v>
      </c>
      <c r="D239" t="s">
        <v>18042</v>
      </c>
      <c r="E239" t="s">
        <v>18360</v>
      </c>
      <c r="F239" t="s">
        <v>31574</v>
      </c>
      <c r="G239" t="s">
        <v>31582</v>
      </c>
      <c r="H239" t="s">
        <v>31590</v>
      </c>
      <c r="I239" t="s">
        <v>6800</v>
      </c>
      <c r="J239" t="s">
        <v>31945</v>
      </c>
      <c r="K239" t="s">
        <v>41186</v>
      </c>
      <c r="M239" t="s">
        <v>41533</v>
      </c>
      <c r="N239" t="s">
        <v>45095</v>
      </c>
      <c r="O239" t="s">
        <v>45096</v>
      </c>
      <c r="P239">
        <v>0</v>
      </c>
      <c r="Q239">
        <v>0</v>
      </c>
      <c r="R239" t="s">
        <v>45097</v>
      </c>
      <c r="S239" t="s">
        <v>45222</v>
      </c>
      <c r="T239" t="s">
        <v>46951</v>
      </c>
      <c r="U239" t="s">
        <v>47686</v>
      </c>
      <c r="W239" t="s">
        <v>41533</v>
      </c>
      <c r="X239" t="s">
        <v>45099</v>
      </c>
    </row>
    <row r="240" spans="1:24">
      <c r="A240">
        <f>HYPERLINK("https://www.philgeps.gov.ph/GEPSNONPILOT/Tender/SplashBidNoticeAbstractUI.aspx?menuIndex=3&amp;refID=7044349&amp;Result=3","7044349")</f>
        <v>0</v>
      </c>
      <c r="B240" t="s">
        <v>97</v>
      </c>
      <c r="C240" t="s">
        <v>3420</v>
      </c>
      <c r="D240" t="s">
        <v>18022</v>
      </c>
      <c r="E240" t="s">
        <v>18361</v>
      </c>
      <c r="F240" t="s">
        <v>31574</v>
      </c>
      <c r="G240" t="s">
        <v>31581</v>
      </c>
      <c r="H240" t="s">
        <v>31590</v>
      </c>
      <c r="I240" t="s">
        <v>3487</v>
      </c>
      <c r="J240" t="s">
        <v>31946</v>
      </c>
      <c r="K240" t="s">
        <v>41193</v>
      </c>
      <c r="M240" t="s">
        <v>41581</v>
      </c>
      <c r="N240" t="s">
        <v>45095</v>
      </c>
      <c r="O240" t="s">
        <v>45096</v>
      </c>
      <c r="P240">
        <v>0</v>
      </c>
      <c r="Q240">
        <v>0</v>
      </c>
      <c r="R240" t="s">
        <v>45097</v>
      </c>
      <c r="S240" t="s">
        <v>45222</v>
      </c>
      <c r="T240" t="s">
        <v>46952</v>
      </c>
      <c r="U240" t="s">
        <v>47687</v>
      </c>
      <c r="W240" t="s">
        <v>41581</v>
      </c>
      <c r="X240" t="s">
        <v>45098</v>
      </c>
    </row>
    <row r="241" spans="1:24">
      <c r="A241">
        <f>HYPERLINK("https://www.philgeps.gov.ph/GEPSNONPILOT/Tender/SplashBidNoticeAbstractUI.aspx?menuIndex=3&amp;refID=7044351&amp;Result=3","7044351")</f>
        <v>0</v>
      </c>
      <c r="B241" t="s">
        <v>98</v>
      </c>
      <c r="C241" t="s">
        <v>3421</v>
      </c>
      <c r="D241" t="s">
        <v>18023</v>
      </c>
      <c r="E241" t="s">
        <v>18162</v>
      </c>
      <c r="F241" t="s">
        <v>31574</v>
      </c>
      <c r="G241" t="s">
        <v>31582</v>
      </c>
      <c r="H241" t="s">
        <v>31591</v>
      </c>
      <c r="I241" t="s">
        <v>8822</v>
      </c>
      <c r="J241" t="s">
        <v>31947</v>
      </c>
      <c r="K241" t="s">
        <v>41192</v>
      </c>
      <c r="M241" t="s">
        <v>41582</v>
      </c>
      <c r="N241" t="s">
        <v>45095</v>
      </c>
      <c r="O241" t="s">
        <v>45096</v>
      </c>
      <c r="P241">
        <v>0</v>
      </c>
      <c r="Q241">
        <v>0</v>
      </c>
      <c r="R241" t="s">
        <v>45097</v>
      </c>
      <c r="S241" t="s">
        <v>45222</v>
      </c>
      <c r="T241" t="s">
        <v>46935</v>
      </c>
      <c r="U241" t="s">
        <v>47688</v>
      </c>
      <c r="V241" t="s">
        <v>59885</v>
      </c>
      <c r="W241" t="s">
        <v>41582</v>
      </c>
      <c r="X241" t="s">
        <v>45098</v>
      </c>
    </row>
    <row r="242" spans="1:24">
      <c r="A242">
        <f>HYPERLINK("https://www.philgeps.gov.ph/GEPSNONPILOT/Tender/SplashBidNoticeAbstractUI.aspx?menuIndex=3&amp;refID=7044145&amp;Result=3","7044145")</f>
        <v>0</v>
      </c>
      <c r="B242" t="s">
        <v>95</v>
      </c>
      <c r="C242" t="s">
        <v>3422</v>
      </c>
      <c r="D242" t="s">
        <v>18062</v>
      </c>
      <c r="E242" t="s">
        <v>18362</v>
      </c>
      <c r="F242" t="s">
        <v>31574</v>
      </c>
      <c r="G242" t="s">
        <v>31582</v>
      </c>
      <c r="H242" t="s">
        <v>31591</v>
      </c>
      <c r="I242" t="s">
        <v>8822</v>
      </c>
      <c r="J242" t="s">
        <v>31948</v>
      </c>
      <c r="K242" t="s">
        <v>41192</v>
      </c>
      <c r="M242" t="s">
        <v>41579</v>
      </c>
      <c r="N242" t="s">
        <v>45095</v>
      </c>
      <c r="O242" t="s">
        <v>45096</v>
      </c>
      <c r="P242">
        <v>0</v>
      </c>
      <c r="Q242">
        <v>0</v>
      </c>
      <c r="R242" t="s">
        <v>45097</v>
      </c>
      <c r="S242" t="s">
        <v>45222</v>
      </c>
      <c r="T242" t="s">
        <v>46910</v>
      </c>
      <c r="U242" t="s">
        <v>47689</v>
      </c>
      <c r="W242" t="s">
        <v>41579</v>
      </c>
      <c r="X242" t="s">
        <v>45099</v>
      </c>
    </row>
    <row r="243" spans="1:24">
      <c r="A243">
        <f>HYPERLINK("https://www.philgeps.gov.ph/GEPSNONPILOT/Tender/SplashBidNoticeAbstractUI.aspx?menuIndex=3&amp;refID=7044303&amp;Result=3","7044303")</f>
        <v>0</v>
      </c>
      <c r="B243" t="s">
        <v>99</v>
      </c>
      <c r="C243" t="s">
        <v>3423</v>
      </c>
      <c r="D243" t="s">
        <v>18063</v>
      </c>
      <c r="E243" t="s">
        <v>18227</v>
      </c>
      <c r="F243" t="s">
        <v>31574</v>
      </c>
      <c r="G243" t="s">
        <v>31581</v>
      </c>
      <c r="H243" t="s">
        <v>31591</v>
      </c>
      <c r="I243" t="s">
        <v>8822</v>
      </c>
      <c r="J243" t="s">
        <v>31949</v>
      </c>
      <c r="K243" t="s">
        <v>41186</v>
      </c>
      <c r="M243" t="s">
        <v>41583</v>
      </c>
      <c r="N243" t="s">
        <v>45095</v>
      </c>
      <c r="O243" t="s">
        <v>45096</v>
      </c>
      <c r="P243">
        <v>0</v>
      </c>
      <c r="Q243">
        <v>0</v>
      </c>
      <c r="R243" t="s">
        <v>45097</v>
      </c>
      <c r="S243" t="s">
        <v>45222</v>
      </c>
      <c r="T243" t="s">
        <v>46953</v>
      </c>
      <c r="U243" t="s">
        <v>47690</v>
      </c>
      <c r="W243" t="s">
        <v>41583</v>
      </c>
      <c r="X243" t="s">
        <v>45099</v>
      </c>
    </row>
    <row r="244" spans="1:24">
      <c r="A244">
        <f>HYPERLINK("https://www.philgeps.gov.ph/GEPSNONPILOT/Tender/SplashBidNoticeAbstractUI.aspx?menuIndex=3&amp;refID=7044348&amp;Result=3","7044348")</f>
        <v>0</v>
      </c>
      <c r="B244" t="s">
        <v>100</v>
      </c>
      <c r="C244" t="s">
        <v>3424</v>
      </c>
      <c r="D244" t="s">
        <v>18064</v>
      </c>
      <c r="E244" t="s">
        <v>18363</v>
      </c>
      <c r="F244" t="s">
        <v>31574</v>
      </c>
      <c r="G244" t="s">
        <v>31581</v>
      </c>
      <c r="H244" t="s">
        <v>31590</v>
      </c>
      <c r="I244" t="s">
        <v>6800</v>
      </c>
      <c r="J244" t="s">
        <v>31727</v>
      </c>
      <c r="K244" t="s">
        <v>41212</v>
      </c>
      <c r="M244" t="s">
        <v>41584</v>
      </c>
      <c r="N244" t="s">
        <v>45095</v>
      </c>
      <c r="O244" t="s">
        <v>45096</v>
      </c>
      <c r="P244">
        <v>0</v>
      </c>
      <c r="Q244">
        <v>0</v>
      </c>
      <c r="R244" t="s">
        <v>45097</v>
      </c>
      <c r="S244" t="s">
        <v>45222</v>
      </c>
      <c r="T244" t="s">
        <v>46946</v>
      </c>
      <c r="U244" t="s">
        <v>47691</v>
      </c>
      <c r="W244" t="s">
        <v>41584</v>
      </c>
      <c r="X244" t="s">
        <v>45098</v>
      </c>
    </row>
    <row r="245" spans="1:24">
      <c r="A245">
        <f>HYPERLINK("https://www.philgeps.gov.ph/GEPSNONPILOT/Tender/SplashBidNoticeAbstractUI.aspx?menuIndex=3&amp;refID=7043903&amp;Result=3","7043903")</f>
        <v>0</v>
      </c>
      <c r="B245" t="s">
        <v>101</v>
      </c>
      <c r="C245" t="s">
        <v>3425</v>
      </c>
      <c r="D245" t="s">
        <v>18047</v>
      </c>
      <c r="E245" t="s">
        <v>18364</v>
      </c>
      <c r="F245" t="s">
        <v>31575</v>
      </c>
      <c r="G245" t="s">
        <v>31582</v>
      </c>
      <c r="H245" t="s">
        <v>31590</v>
      </c>
      <c r="I245" t="s">
        <v>4046</v>
      </c>
      <c r="J245" t="s">
        <v>31947</v>
      </c>
      <c r="K245" t="s">
        <v>41190</v>
      </c>
      <c r="M245" t="s">
        <v>41585</v>
      </c>
      <c r="N245" t="s">
        <v>45095</v>
      </c>
      <c r="O245" t="s">
        <v>45096</v>
      </c>
      <c r="P245">
        <v>0</v>
      </c>
      <c r="Q245">
        <v>0</v>
      </c>
      <c r="R245" t="s">
        <v>45097</v>
      </c>
      <c r="S245" t="s">
        <v>45222</v>
      </c>
      <c r="T245" t="s">
        <v>46954</v>
      </c>
      <c r="U245" t="s">
        <v>47692</v>
      </c>
      <c r="W245" t="s">
        <v>41585</v>
      </c>
      <c r="X245" t="s">
        <v>45100</v>
      </c>
    </row>
    <row r="246" spans="1:24">
      <c r="A246">
        <f>HYPERLINK("https://www.philgeps.gov.ph/GEPSNONPILOT/Tender/SplashBidNoticeAbstractUI.aspx?menuIndex=3&amp;refID=7044350&amp;Result=3","7044350")</f>
        <v>0</v>
      </c>
      <c r="B246" t="s">
        <v>97</v>
      </c>
      <c r="C246" t="s">
        <v>3426</v>
      </c>
      <c r="D246" t="s">
        <v>18022</v>
      </c>
      <c r="E246" t="s">
        <v>18365</v>
      </c>
      <c r="F246" t="s">
        <v>31574</v>
      </c>
      <c r="G246" t="s">
        <v>31581</v>
      </c>
      <c r="H246" t="s">
        <v>31590</v>
      </c>
      <c r="I246" t="s">
        <v>3487</v>
      </c>
      <c r="J246" t="s">
        <v>31950</v>
      </c>
      <c r="K246" t="s">
        <v>41193</v>
      </c>
      <c r="M246" t="s">
        <v>41581</v>
      </c>
      <c r="N246" t="s">
        <v>45095</v>
      </c>
      <c r="O246" t="s">
        <v>45096</v>
      </c>
      <c r="P246">
        <v>0</v>
      </c>
      <c r="Q246">
        <v>0</v>
      </c>
      <c r="R246" t="s">
        <v>45097</v>
      </c>
      <c r="S246" t="s">
        <v>45222</v>
      </c>
      <c r="T246" t="s">
        <v>46952</v>
      </c>
      <c r="U246" t="s">
        <v>47693</v>
      </c>
      <c r="W246" t="s">
        <v>41581</v>
      </c>
      <c r="X246" t="s">
        <v>45098</v>
      </c>
    </row>
    <row r="247" spans="1:24">
      <c r="A247">
        <f>HYPERLINK("https://www.philgeps.gov.ph/GEPSNONPILOT/Tender/SplashBidNoticeAbstractUI.aspx?menuIndex=3&amp;refID=7044347&amp;Result=3","7044347")</f>
        <v>0</v>
      </c>
      <c r="B247" t="s">
        <v>102</v>
      </c>
      <c r="C247" t="s">
        <v>3427</v>
      </c>
      <c r="D247" t="s">
        <v>18047</v>
      </c>
      <c r="E247" t="s">
        <v>18366</v>
      </c>
      <c r="F247" t="s">
        <v>31574</v>
      </c>
      <c r="G247" t="s">
        <v>31582</v>
      </c>
      <c r="H247" t="s">
        <v>31590</v>
      </c>
      <c r="I247" t="s">
        <v>4046</v>
      </c>
      <c r="J247" t="s">
        <v>31951</v>
      </c>
      <c r="K247" t="s">
        <v>41190</v>
      </c>
      <c r="M247" t="s">
        <v>41586</v>
      </c>
      <c r="N247" t="s">
        <v>45095</v>
      </c>
      <c r="O247" t="s">
        <v>45096</v>
      </c>
      <c r="P247">
        <v>0</v>
      </c>
      <c r="Q247">
        <v>0</v>
      </c>
      <c r="R247" t="s">
        <v>45097</v>
      </c>
      <c r="S247" t="s">
        <v>45222</v>
      </c>
      <c r="T247" t="s">
        <v>46933</v>
      </c>
      <c r="U247" t="s">
        <v>47694</v>
      </c>
      <c r="W247" t="s">
        <v>41586</v>
      </c>
      <c r="X247" t="s">
        <v>45098</v>
      </c>
    </row>
    <row r="248" spans="1:24">
      <c r="A248">
        <f>HYPERLINK("https://www.philgeps.gov.ph/GEPSNONPILOT/Tender/SplashBidNoticeAbstractUI.aspx?menuIndex=3&amp;refID=7044344&amp;Result=3","7044344")</f>
        <v>0</v>
      </c>
      <c r="B248" t="s">
        <v>103</v>
      </c>
      <c r="C248" t="s">
        <v>3428</v>
      </c>
      <c r="D248" t="s">
        <v>18042</v>
      </c>
      <c r="E248" t="s">
        <v>18367</v>
      </c>
      <c r="F248" t="s">
        <v>31574</v>
      </c>
      <c r="G248" t="s">
        <v>31582</v>
      </c>
      <c r="H248" t="s">
        <v>31590</v>
      </c>
      <c r="I248" t="s">
        <v>31627</v>
      </c>
      <c r="J248" t="s">
        <v>31952</v>
      </c>
      <c r="K248" t="s">
        <v>41213</v>
      </c>
      <c r="M248" t="s">
        <v>41587</v>
      </c>
      <c r="N248" t="s">
        <v>45095</v>
      </c>
      <c r="O248" t="s">
        <v>45096</v>
      </c>
      <c r="P248">
        <v>0</v>
      </c>
      <c r="Q248">
        <v>0</v>
      </c>
      <c r="R248" t="s">
        <v>45097</v>
      </c>
      <c r="S248" t="s">
        <v>45222</v>
      </c>
      <c r="T248" t="s">
        <v>46914</v>
      </c>
      <c r="U248" t="s">
        <v>47695</v>
      </c>
      <c r="W248" t="s">
        <v>41587</v>
      </c>
      <c r="X248" t="s">
        <v>45098</v>
      </c>
    </row>
    <row r="249" spans="1:24">
      <c r="A249">
        <f>HYPERLINK("https://www.philgeps.gov.ph/GEPSNONPILOT/Tender/SplashBidNoticeAbstractUI.aspx?menuIndex=3&amp;refID=7044355&amp;Result=3","7044355")</f>
        <v>0</v>
      </c>
      <c r="B249" t="s">
        <v>104</v>
      </c>
      <c r="C249" t="s">
        <v>3429</v>
      </c>
      <c r="D249" t="s">
        <v>18060</v>
      </c>
      <c r="E249" t="s">
        <v>18368</v>
      </c>
      <c r="F249" t="s">
        <v>31574</v>
      </c>
      <c r="G249" t="s">
        <v>31583</v>
      </c>
      <c r="H249" t="s">
        <v>31590</v>
      </c>
      <c r="I249" t="s">
        <v>31607</v>
      </c>
      <c r="J249" t="s">
        <v>31953</v>
      </c>
      <c r="K249" t="s">
        <v>41190</v>
      </c>
      <c r="M249" t="s">
        <v>41588</v>
      </c>
      <c r="N249" t="s">
        <v>45095</v>
      </c>
      <c r="O249" t="s">
        <v>45096</v>
      </c>
      <c r="P249">
        <v>0</v>
      </c>
      <c r="Q249">
        <v>0</v>
      </c>
      <c r="R249" t="s">
        <v>45097</v>
      </c>
      <c r="S249" t="s">
        <v>45222</v>
      </c>
      <c r="T249" t="s">
        <v>46955</v>
      </c>
      <c r="U249" t="s">
        <v>47696</v>
      </c>
      <c r="W249" t="s">
        <v>41588</v>
      </c>
      <c r="X249" t="s">
        <v>45098</v>
      </c>
    </row>
    <row r="250" spans="1:24">
      <c r="A250">
        <f>HYPERLINK("https://www.philgeps.gov.ph/GEPSNONPILOT/Tender/SplashBidNoticeAbstractUI.aspx?menuIndex=3&amp;refID=7044361&amp;Result=3","7044361")</f>
        <v>0</v>
      </c>
      <c r="B250" t="s">
        <v>105</v>
      </c>
      <c r="C250" t="s">
        <v>3430</v>
      </c>
      <c r="D250" t="s">
        <v>18062</v>
      </c>
      <c r="E250" t="s">
        <v>18369</v>
      </c>
      <c r="F250" t="s">
        <v>31574</v>
      </c>
      <c r="G250" t="s">
        <v>31582</v>
      </c>
      <c r="H250" t="s">
        <v>31590</v>
      </c>
      <c r="I250" t="s">
        <v>31599</v>
      </c>
      <c r="J250" t="s">
        <v>31954</v>
      </c>
      <c r="K250" t="s">
        <v>41196</v>
      </c>
      <c r="M250" t="s">
        <v>41589</v>
      </c>
      <c r="N250" t="s">
        <v>45095</v>
      </c>
      <c r="O250" t="s">
        <v>45096</v>
      </c>
      <c r="P250">
        <v>0</v>
      </c>
      <c r="Q250">
        <v>0</v>
      </c>
      <c r="R250" t="s">
        <v>45097</v>
      </c>
      <c r="S250" t="s">
        <v>45222</v>
      </c>
      <c r="T250" t="s">
        <v>46956</v>
      </c>
      <c r="U250" t="s">
        <v>47697</v>
      </c>
      <c r="W250" t="s">
        <v>41589</v>
      </c>
      <c r="X250" t="s">
        <v>45098</v>
      </c>
    </row>
    <row r="251" spans="1:24">
      <c r="A251">
        <f>HYPERLINK("https://www.philgeps.gov.ph/GEPSNONPILOT/Tender/SplashBidNoticeAbstractUI.aspx?menuIndex=3&amp;refID=7044315&amp;Result=3","7044315")</f>
        <v>0</v>
      </c>
      <c r="B251" t="s">
        <v>106</v>
      </c>
      <c r="C251" t="s">
        <v>3431</v>
      </c>
      <c r="D251" t="s">
        <v>18044</v>
      </c>
      <c r="E251" t="s">
        <v>18370</v>
      </c>
      <c r="F251" t="s">
        <v>31574</v>
      </c>
      <c r="G251" t="s">
        <v>31581</v>
      </c>
      <c r="H251" t="s">
        <v>31590</v>
      </c>
      <c r="I251" t="s">
        <v>7185</v>
      </c>
      <c r="J251" t="s">
        <v>31955</v>
      </c>
      <c r="K251" t="s">
        <v>41193</v>
      </c>
      <c r="M251" t="s">
        <v>41590</v>
      </c>
      <c r="N251" t="s">
        <v>45095</v>
      </c>
      <c r="O251" t="s">
        <v>45096</v>
      </c>
      <c r="P251">
        <v>0</v>
      </c>
      <c r="Q251">
        <v>0</v>
      </c>
      <c r="R251" t="s">
        <v>45097</v>
      </c>
      <c r="S251" t="s">
        <v>45222</v>
      </c>
      <c r="T251" t="s">
        <v>46918</v>
      </c>
      <c r="U251" t="s">
        <v>47698</v>
      </c>
      <c r="W251" t="s">
        <v>41590</v>
      </c>
      <c r="X251" t="s">
        <v>45099</v>
      </c>
    </row>
    <row r="252" spans="1:24">
      <c r="A252">
        <f>HYPERLINK("https://www.philgeps.gov.ph/GEPSNONPILOT/Tender/SplashBidNoticeAbstractUI.aspx?menuIndex=3&amp;refID=7044356&amp;Result=3","7044356")</f>
        <v>0</v>
      </c>
      <c r="B252" t="s">
        <v>107</v>
      </c>
      <c r="C252" t="s">
        <v>3432</v>
      </c>
      <c r="D252" t="s">
        <v>18063</v>
      </c>
      <c r="E252" t="s">
        <v>18371</v>
      </c>
      <c r="F252" t="s">
        <v>31574</v>
      </c>
      <c r="G252" t="s">
        <v>31583</v>
      </c>
      <c r="H252" t="s">
        <v>31590</v>
      </c>
      <c r="I252" t="s">
        <v>31607</v>
      </c>
      <c r="J252" t="s">
        <v>31956</v>
      </c>
      <c r="K252" t="s">
        <v>41193</v>
      </c>
      <c r="M252" t="s">
        <v>41591</v>
      </c>
      <c r="N252" t="s">
        <v>45095</v>
      </c>
      <c r="O252" t="s">
        <v>45096</v>
      </c>
      <c r="P252">
        <v>0</v>
      </c>
      <c r="Q252">
        <v>0</v>
      </c>
      <c r="R252" t="s">
        <v>45097</v>
      </c>
      <c r="S252" t="s">
        <v>45222</v>
      </c>
      <c r="T252" t="s">
        <v>46957</v>
      </c>
      <c r="U252" t="s">
        <v>47699</v>
      </c>
      <c r="W252" t="s">
        <v>61653</v>
      </c>
      <c r="X252" t="s">
        <v>45098</v>
      </c>
    </row>
    <row r="253" spans="1:24">
      <c r="A253">
        <f>HYPERLINK("https://www.philgeps.gov.ph/GEPSNONPILOT/Tender/SplashBidNoticeAbstractUI.aspx?menuIndex=3&amp;refID=7044359&amp;Result=3","7044359")</f>
        <v>0</v>
      </c>
      <c r="B253" t="s">
        <v>108</v>
      </c>
      <c r="C253" t="s">
        <v>3433</v>
      </c>
      <c r="D253" t="s">
        <v>18022</v>
      </c>
      <c r="E253" t="s">
        <v>18372</v>
      </c>
      <c r="F253" t="s">
        <v>31574</v>
      </c>
      <c r="G253" t="s">
        <v>31581</v>
      </c>
      <c r="H253" t="s">
        <v>31590</v>
      </c>
      <c r="I253" t="s">
        <v>14544</v>
      </c>
      <c r="J253" t="s">
        <v>31957</v>
      </c>
      <c r="K253" t="s">
        <v>41186</v>
      </c>
      <c r="M253" t="s">
        <v>41592</v>
      </c>
      <c r="N253" t="s">
        <v>45095</v>
      </c>
      <c r="O253" t="s">
        <v>45096</v>
      </c>
      <c r="P253">
        <v>0</v>
      </c>
      <c r="Q253">
        <v>0</v>
      </c>
      <c r="R253" t="s">
        <v>45097</v>
      </c>
      <c r="S253" t="s">
        <v>45222</v>
      </c>
      <c r="T253" t="s">
        <v>46955</v>
      </c>
      <c r="U253" t="s">
        <v>47700</v>
      </c>
      <c r="W253" t="s">
        <v>41592</v>
      </c>
      <c r="X253" t="s">
        <v>45098</v>
      </c>
    </row>
    <row r="254" spans="1:24">
      <c r="A254">
        <f>HYPERLINK("https://www.philgeps.gov.ph/GEPSNONPILOT/Tender/SplashBidNoticeAbstractUI.aspx?menuIndex=3&amp;refID=7044362&amp;Result=3","7044362")</f>
        <v>0</v>
      </c>
      <c r="B254" t="s">
        <v>109</v>
      </c>
      <c r="C254" t="s">
        <v>3434</v>
      </c>
      <c r="D254" t="s">
        <v>18065</v>
      </c>
      <c r="E254" t="s">
        <v>18373</v>
      </c>
      <c r="F254" t="s">
        <v>31574</v>
      </c>
      <c r="G254" t="s">
        <v>31581</v>
      </c>
      <c r="H254" t="s">
        <v>31590</v>
      </c>
      <c r="I254" t="s">
        <v>31624</v>
      </c>
      <c r="J254" t="s">
        <v>31958</v>
      </c>
      <c r="K254" t="s">
        <v>41184</v>
      </c>
      <c r="M254" t="s">
        <v>41593</v>
      </c>
      <c r="N254" t="s">
        <v>45095</v>
      </c>
      <c r="O254" t="s">
        <v>45096</v>
      </c>
      <c r="P254">
        <v>0</v>
      </c>
      <c r="Q254">
        <v>0</v>
      </c>
      <c r="R254" t="s">
        <v>45097</v>
      </c>
      <c r="S254" t="s">
        <v>45222</v>
      </c>
      <c r="T254" t="s">
        <v>46911</v>
      </c>
      <c r="U254" t="s">
        <v>47701</v>
      </c>
      <c r="W254" t="s">
        <v>41593</v>
      </c>
      <c r="X254" t="s">
        <v>45098</v>
      </c>
    </row>
    <row r="255" spans="1:24">
      <c r="A255">
        <f>HYPERLINK("https://www.philgeps.gov.ph/GEPSNONPILOT/Tender/SplashBidNoticeAbstractUI.aspx?menuIndex=3&amp;refID=7044357&amp;Result=3","7044357")</f>
        <v>0</v>
      </c>
      <c r="B255" t="s">
        <v>110</v>
      </c>
      <c r="C255" t="s">
        <v>3435</v>
      </c>
      <c r="E255" t="s">
        <v>18374</v>
      </c>
      <c r="F255" t="s">
        <v>31574</v>
      </c>
      <c r="G255" t="s">
        <v>31581</v>
      </c>
      <c r="H255" t="s">
        <v>31592</v>
      </c>
      <c r="I255" t="s">
        <v>8822</v>
      </c>
      <c r="J255" t="s">
        <v>31959</v>
      </c>
      <c r="K255" t="s">
        <v>41191</v>
      </c>
      <c r="M255" t="s">
        <v>41594</v>
      </c>
      <c r="N255" t="s">
        <v>45095</v>
      </c>
      <c r="O255" t="s">
        <v>45096</v>
      </c>
      <c r="P255">
        <v>0</v>
      </c>
      <c r="Q255">
        <v>0</v>
      </c>
      <c r="R255" t="s">
        <v>45097</v>
      </c>
      <c r="S255" t="s">
        <v>45222</v>
      </c>
      <c r="T255" t="s">
        <v>46958</v>
      </c>
      <c r="U255" t="s">
        <v>47702</v>
      </c>
      <c r="W255" t="s">
        <v>41594</v>
      </c>
      <c r="X255" t="s">
        <v>45098</v>
      </c>
    </row>
    <row r="256" spans="1:24">
      <c r="A256">
        <f>HYPERLINK("https://www.philgeps.gov.ph/GEPSNONPILOT/Tender/SplashBidNoticeAbstractUI.aspx?menuIndex=3&amp;refID=7044360&amp;Result=3","7044360")</f>
        <v>0</v>
      </c>
      <c r="B256" t="s">
        <v>111</v>
      </c>
      <c r="C256" t="s">
        <v>3436</v>
      </c>
      <c r="D256" t="s">
        <v>18041</v>
      </c>
      <c r="E256" t="s">
        <v>18375</v>
      </c>
      <c r="F256" t="s">
        <v>31574</v>
      </c>
      <c r="G256" t="s">
        <v>31581</v>
      </c>
      <c r="H256" t="s">
        <v>31590</v>
      </c>
      <c r="I256" t="s">
        <v>8258</v>
      </c>
      <c r="J256" t="s">
        <v>31960</v>
      </c>
      <c r="K256" t="s">
        <v>41196</v>
      </c>
      <c r="M256" t="s">
        <v>41595</v>
      </c>
      <c r="N256" t="s">
        <v>45095</v>
      </c>
      <c r="O256" t="s">
        <v>45096</v>
      </c>
      <c r="P256">
        <v>0</v>
      </c>
      <c r="Q256">
        <v>0</v>
      </c>
      <c r="R256" t="s">
        <v>45097</v>
      </c>
      <c r="S256" t="s">
        <v>45222</v>
      </c>
      <c r="T256" t="s">
        <v>46918</v>
      </c>
      <c r="U256" t="s">
        <v>47703</v>
      </c>
      <c r="W256" t="s">
        <v>41595</v>
      </c>
      <c r="X256" t="s">
        <v>45098</v>
      </c>
    </row>
    <row r="257" spans="1:24">
      <c r="A257">
        <f>HYPERLINK("https://www.philgeps.gov.ph/GEPSNONPILOT/Tender/SplashBidNoticeAbstractUI.aspx?menuIndex=3&amp;refID=7044358&amp;Result=3","7044358")</f>
        <v>0</v>
      </c>
      <c r="B257" t="s">
        <v>104</v>
      </c>
      <c r="C257" t="s">
        <v>3437</v>
      </c>
      <c r="D257" t="s">
        <v>18060</v>
      </c>
      <c r="E257" t="s">
        <v>18376</v>
      </c>
      <c r="F257" t="s">
        <v>31574</v>
      </c>
      <c r="G257" t="s">
        <v>31583</v>
      </c>
      <c r="H257" t="s">
        <v>31590</v>
      </c>
      <c r="I257" t="s">
        <v>31605</v>
      </c>
      <c r="J257" t="s">
        <v>31961</v>
      </c>
      <c r="K257" t="s">
        <v>41190</v>
      </c>
      <c r="M257" t="s">
        <v>41588</v>
      </c>
      <c r="N257" t="s">
        <v>45095</v>
      </c>
      <c r="O257" t="s">
        <v>45096</v>
      </c>
      <c r="P257">
        <v>0</v>
      </c>
      <c r="Q257">
        <v>0</v>
      </c>
      <c r="R257" t="s">
        <v>45097</v>
      </c>
      <c r="S257" t="s">
        <v>45222</v>
      </c>
      <c r="T257" t="s">
        <v>46955</v>
      </c>
      <c r="U257" t="s">
        <v>47704</v>
      </c>
      <c r="W257" t="s">
        <v>41588</v>
      </c>
      <c r="X257" t="s">
        <v>45098</v>
      </c>
    </row>
    <row r="258" spans="1:24">
      <c r="A258">
        <f>HYPERLINK("https://www.philgeps.gov.ph/GEPSNONPILOT/Tender/SplashBidNoticeAbstractUI.aspx?menuIndex=3&amp;refID=7044304&amp;Result=3","7044304")</f>
        <v>0</v>
      </c>
      <c r="B258" t="s">
        <v>99</v>
      </c>
      <c r="C258" t="s">
        <v>3438</v>
      </c>
      <c r="D258" t="s">
        <v>18063</v>
      </c>
      <c r="E258" t="s">
        <v>18377</v>
      </c>
      <c r="F258" t="s">
        <v>31574</v>
      </c>
      <c r="G258" t="s">
        <v>31581</v>
      </c>
      <c r="H258" t="s">
        <v>31591</v>
      </c>
      <c r="I258" t="s">
        <v>8822</v>
      </c>
      <c r="J258" t="s">
        <v>31962</v>
      </c>
      <c r="K258" t="s">
        <v>41186</v>
      </c>
      <c r="M258" t="s">
        <v>41583</v>
      </c>
      <c r="N258" t="s">
        <v>45095</v>
      </c>
      <c r="O258" t="s">
        <v>45096</v>
      </c>
      <c r="P258">
        <v>0</v>
      </c>
      <c r="Q258">
        <v>0</v>
      </c>
      <c r="R258" t="s">
        <v>45097</v>
      </c>
      <c r="S258" t="s">
        <v>45222</v>
      </c>
      <c r="T258" t="s">
        <v>46953</v>
      </c>
      <c r="U258" t="s">
        <v>47705</v>
      </c>
      <c r="W258" t="s">
        <v>41583</v>
      </c>
      <c r="X258" t="s">
        <v>45099</v>
      </c>
    </row>
    <row r="259" spans="1:24">
      <c r="A259">
        <f>HYPERLINK("https://www.philgeps.gov.ph/GEPSNONPILOT/Tender/SplashBidNoticeAbstractUI.aspx?menuIndex=3&amp;refID=7044354&amp;Result=3","7044354")</f>
        <v>0</v>
      </c>
      <c r="B259" t="s">
        <v>112</v>
      </c>
      <c r="C259" t="s">
        <v>3439</v>
      </c>
      <c r="D259" t="s">
        <v>18057</v>
      </c>
      <c r="E259" t="s">
        <v>18378</v>
      </c>
      <c r="F259" t="s">
        <v>31574</v>
      </c>
      <c r="G259" t="s">
        <v>31584</v>
      </c>
      <c r="H259" t="s">
        <v>31590</v>
      </c>
      <c r="I259" t="s">
        <v>31607</v>
      </c>
      <c r="J259" t="s">
        <v>31963</v>
      </c>
      <c r="K259" t="s">
        <v>41196</v>
      </c>
      <c r="M259" t="s">
        <v>41596</v>
      </c>
      <c r="N259" t="s">
        <v>45095</v>
      </c>
      <c r="O259" t="s">
        <v>45096</v>
      </c>
      <c r="P259">
        <v>0</v>
      </c>
      <c r="Q259">
        <v>0</v>
      </c>
      <c r="R259" t="s">
        <v>45097</v>
      </c>
      <c r="S259" t="s">
        <v>45222</v>
      </c>
      <c r="T259" t="s">
        <v>46959</v>
      </c>
      <c r="U259" t="s">
        <v>47706</v>
      </c>
      <c r="W259" t="s">
        <v>41596</v>
      </c>
      <c r="X259" t="s">
        <v>45098</v>
      </c>
    </row>
    <row r="260" spans="1:24">
      <c r="A260">
        <f>HYPERLINK("https://www.philgeps.gov.ph/GEPSNONPILOT/Tender/SplashBidNoticeAbstractUI.aspx?menuIndex=3&amp;refID=7044305&amp;Result=3","7044305")</f>
        <v>0</v>
      </c>
      <c r="B260" t="s">
        <v>99</v>
      </c>
      <c r="C260" t="s">
        <v>3440</v>
      </c>
      <c r="D260" t="s">
        <v>18063</v>
      </c>
      <c r="E260" t="s">
        <v>18379</v>
      </c>
      <c r="F260" t="s">
        <v>31574</v>
      </c>
      <c r="G260" t="s">
        <v>31581</v>
      </c>
      <c r="H260" t="s">
        <v>31591</v>
      </c>
      <c r="I260" t="s">
        <v>8822</v>
      </c>
      <c r="J260" t="s">
        <v>31964</v>
      </c>
      <c r="K260" t="s">
        <v>41186</v>
      </c>
      <c r="M260" t="s">
        <v>41583</v>
      </c>
      <c r="N260" t="s">
        <v>45095</v>
      </c>
      <c r="O260" t="s">
        <v>45096</v>
      </c>
      <c r="P260">
        <v>0</v>
      </c>
      <c r="Q260">
        <v>0</v>
      </c>
      <c r="R260" t="s">
        <v>45097</v>
      </c>
      <c r="S260" t="s">
        <v>45222</v>
      </c>
      <c r="T260" t="s">
        <v>46953</v>
      </c>
      <c r="U260" t="s">
        <v>47707</v>
      </c>
      <c r="W260" t="s">
        <v>41583</v>
      </c>
      <c r="X260" t="s">
        <v>45099</v>
      </c>
    </row>
    <row r="261" spans="1:24">
      <c r="A261">
        <f>HYPERLINK("https://www.philgeps.gov.ph/GEPSNONPILOT/Tender/SplashBidNoticeAbstractUI.aspx?menuIndex=3&amp;refID=7044363&amp;Result=3","7044363")</f>
        <v>0</v>
      </c>
      <c r="B261" t="s">
        <v>113</v>
      </c>
      <c r="C261" t="s">
        <v>3441</v>
      </c>
      <c r="D261" t="s">
        <v>18066</v>
      </c>
      <c r="E261" t="s">
        <v>18380</v>
      </c>
      <c r="F261" t="s">
        <v>31574</v>
      </c>
      <c r="G261" t="s">
        <v>31583</v>
      </c>
      <c r="H261" t="s">
        <v>31590</v>
      </c>
      <c r="I261" t="s">
        <v>3651</v>
      </c>
      <c r="J261" t="s">
        <v>31965</v>
      </c>
      <c r="K261" t="s">
        <v>41211</v>
      </c>
      <c r="M261" t="s">
        <v>41597</v>
      </c>
      <c r="N261" t="s">
        <v>45095</v>
      </c>
      <c r="O261" t="s">
        <v>45096</v>
      </c>
      <c r="P261">
        <v>0</v>
      </c>
      <c r="Q261">
        <v>0</v>
      </c>
      <c r="R261" t="s">
        <v>45097</v>
      </c>
      <c r="S261" t="s">
        <v>45222</v>
      </c>
      <c r="T261" t="s">
        <v>46932</v>
      </c>
      <c r="U261" t="s">
        <v>47708</v>
      </c>
      <c r="V261" t="s">
        <v>59886</v>
      </c>
      <c r="W261" t="s">
        <v>41597</v>
      </c>
      <c r="X261" t="s">
        <v>45098</v>
      </c>
    </row>
    <row r="262" spans="1:24">
      <c r="A262">
        <f>HYPERLINK("https://www.philgeps.gov.ph/GEPSNONPILOT/Tender/SplashBidNoticeAbstractUI.aspx?menuIndex=3&amp;refID=7044353&amp;Result=3","7044353")</f>
        <v>0</v>
      </c>
      <c r="B262" t="s">
        <v>114</v>
      </c>
      <c r="C262" t="s">
        <v>3442</v>
      </c>
      <c r="D262" t="s">
        <v>18067</v>
      </c>
      <c r="E262" t="s">
        <v>18381</v>
      </c>
      <c r="F262" t="s">
        <v>31574</v>
      </c>
      <c r="G262" t="s">
        <v>31582</v>
      </c>
      <c r="H262" t="s">
        <v>31591</v>
      </c>
      <c r="I262" t="s">
        <v>8822</v>
      </c>
      <c r="J262" t="s">
        <v>31966</v>
      </c>
      <c r="K262" t="s">
        <v>41192</v>
      </c>
      <c r="M262" t="s">
        <v>41598</v>
      </c>
      <c r="N262" t="s">
        <v>45095</v>
      </c>
      <c r="O262" t="s">
        <v>45096</v>
      </c>
      <c r="P262">
        <v>0</v>
      </c>
      <c r="Q262">
        <v>0</v>
      </c>
      <c r="R262" t="s">
        <v>45097</v>
      </c>
      <c r="S262" t="s">
        <v>45222</v>
      </c>
      <c r="T262" t="s">
        <v>46960</v>
      </c>
      <c r="U262" t="s">
        <v>47709</v>
      </c>
      <c r="V262" t="s">
        <v>59887</v>
      </c>
      <c r="W262" t="s">
        <v>41598</v>
      </c>
      <c r="X262" t="s">
        <v>45098</v>
      </c>
    </row>
    <row r="263" spans="1:24">
      <c r="A263">
        <f>HYPERLINK("https://www.philgeps.gov.ph/GEPSNONPILOT/Tender/SplashBidNoticeAbstractUI.aspx?menuIndex=3&amp;refID=7044368&amp;Result=3","7044368")</f>
        <v>0</v>
      </c>
      <c r="B263" t="s">
        <v>79</v>
      </c>
      <c r="C263" t="s">
        <v>3443</v>
      </c>
      <c r="D263" t="s">
        <v>18056</v>
      </c>
      <c r="E263" t="s">
        <v>18382</v>
      </c>
      <c r="F263" t="s">
        <v>31574</v>
      </c>
      <c r="G263" t="s">
        <v>31581</v>
      </c>
      <c r="H263" t="s">
        <v>31590</v>
      </c>
      <c r="I263" t="s">
        <v>31600</v>
      </c>
      <c r="J263" t="s">
        <v>31967</v>
      </c>
      <c r="K263" t="s">
        <v>41211</v>
      </c>
      <c r="M263" t="s">
        <v>41563</v>
      </c>
      <c r="N263" t="s">
        <v>45095</v>
      </c>
      <c r="O263" t="s">
        <v>45096</v>
      </c>
      <c r="P263">
        <v>0</v>
      </c>
      <c r="Q263">
        <v>0</v>
      </c>
      <c r="R263" t="s">
        <v>45097</v>
      </c>
      <c r="S263" t="s">
        <v>45222</v>
      </c>
      <c r="T263" t="s">
        <v>46911</v>
      </c>
      <c r="U263" t="s">
        <v>47580</v>
      </c>
      <c r="W263" t="s">
        <v>41563</v>
      </c>
      <c r="X263" t="s">
        <v>45098</v>
      </c>
    </row>
    <row r="264" spans="1:24">
      <c r="A264">
        <f>HYPERLINK("https://www.philgeps.gov.ph/GEPSNONPILOT/Tender/SplashBidNoticeAbstractUI.aspx?menuIndex=3&amp;refID=7044379&amp;Result=3","7044379")</f>
        <v>0</v>
      </c>
      <c r="B264" t="s">
        <v>115</v>
      </c>
      <c r="C264" t="s">
        <v>3444</v>
      </c>
      <c r="D264" t="s">
        <v>18040</v>
      </c>
      <c r="E264" t="s">
        <v>18383</v>
      </c>
      <c r="F264" t="s">
        <v>31574</v>
      </c>
      <c r="G264" t="s">
        <v>31581</v>
      </c>
      <c r="H264" t="s">
        <v>31590</v>
      </c>
      <c r="I264" t="s">
        <v>31628</v>
      </c>
      <c r="J264" t="s">
        <v>31968</v>
      </c>
      <c r="K264" t="s">
        <v>41193</v>
      </c>
      <c r="M264" t="s">
        <v>41599</v>
      </c>
      <c r="N264" t="s">
        <v>45095</v>
      </c>
      <c r="O264" t="s">
        <v>45096</v>
      </c>
      <c r="P264">
        <v>0</v>
      </c>
      <c r="Q264">
        <v>0</v>
      </c>
      <c r="R264" t="s">
        <v>45097</v>
      </c>
      <c r="S264" t="s">
        <v>45222</v>
      </c>
      <c r="T264" t="s">
        <v>46904</v>
      </c>
      <c r="U264" t="s">
        <v>47710</v>
      </c>
      <c r="W264" t="s">
        <v>41599</v>
      </c>
      <c r="X264" t="s">
        <v>45098</v>
      </c>
    </row>
    <row r="265" spans="1:24">
      <c r="A265">
        <f>HYPERLINK("https://www.philgeps.gov.ph/GEPSNONPILOT/Tender/SplashBidNoticeAbstractUI.aspx?menuIndex=3&amp;refID=7044367&amp;Result=3","7044367")</f>
        <v>0</v>
      </c>
      <c r="B265" t="s">
        <v>116</v>
      </c>
      <c r="C265" t="s">
        <v>3445</v>
      </c>
      <c r="D265" t="s">
        <v>18068</v>
      </c>
      <c r="E265" t="s">
        <v>18384</v>
      </c>
      <c r="F265" t="s">
        <v>31574</v>
      </c>
      <c r="G265" t="s">
        <v>31584</v>
      </c>
      <c r="H265" t="s">
        <v>31590</v>
      </c>
      <c r="I265" t="s">
        <v>6800</v>
      </c>
      <c r="J265" t="s">
        <v>31969</v>
      </c>
      <c r="K265" t="s">
        <v>41196</v>
      </c>
      <c r="M265" t="s">
        <v>41600</v>
      </c>
      <c r="N265" t="s">
        <v>45095</v>
      </c>
      <c r="O265" t="s">
        <v>45096</v>
      </c>
      <c r="P265">
        <v>0</v>
      </c>
      <c r="Q265">
        <v>0</v>
      </c>
      <c r="R265" t="s">
        <v>45097</v>
      </c>
      <c r="S265" t="s">
        <v>45222</v>
      </c>
      <c r="T265" t="s">
        <v>46955</v>
      </c>
      <c r="U265" t="s">
        <v>47711</v>
      </c>
      <c r="V265" t="s">
        <v>59888</v>
      </c>
      <c r="W265" t="s">
        <v>41600</v>
      </c>
      <c r="X265" t="s">
        <v>45098</v>
      </c>
    </row>
    <row r="266" spans="1:24">
      <c r="A266">
        <f>HYPERLINK("https://www.philgeps.gov.ph/GEPSNONPILOT/Tender/SplashBidNoticeAbstractUI.aspx?menuIndex=3&amp;refID=7044377&amp;Result=3","7044377")</f>
        <v>0</v>
      </c>
      <c r="B266" t="s">
        <v>117</v>
      </c>
      <c r="C266" t="s">
        <v>3446</v>
      </c>
      <c r="D266" t="s">
        <v>18046</v>
      </c>
      <c r="E266" t="s">
        <v>18385</v>
      </c>
      <c r="F266" t="s">
        <v>31574</v>
      </c>
      <c r="G266" t="s">
        <v>31581</v>
      </c>
      <c r="H266" t="s">
        <v>31590</v>
      </c>
      <c r="I266" t="s">
        <v>31629</v>
      </c>
      <c r="J266" t="s">
        <v>31970</v>
      </c>
      <c r="K266" t="s">
        <v>41211</v>
      </c>
      <c r="M266" t="s">
        <v>41601</v>
      </c>
      <c r="N266" t="s">
        <v>45095</v>
      </c>
      <c r="O266" t="s">
        <v>45096</v>
      </c>
      <c r="P266">
        <v>0</v>
      </c>
      <c r="Q266">
        <v>0</v>
      </c>
      <c r="R266" t="s">
        <v>45097</v>
      </c>
      <c r="S266" t="s">
        <v>45222</v>
      </c>
      <c r="T266" t="s">
        <v>46918</v>
      </c>
      <c r="U266" t="s">
        <v>47712</v>
      </c>
      <c r="W266" t="s">
        <v>41601</v>
      </c>
      <c r="X266" t="s">
        <v>45098</v>
      </c>
    </row>
    <row r="267" spans="1:24">
      <c r="A267">
        <f>HYPERLINK("https://www.philgeps.gov.ph/GEPSNONPILOT/Tender/SplashBidNoticeAbstractUI.aspx?menuIndex=3&amp;refID=7044378&amp;Result=3","7044378")</f>
        <v>0</v>
      </c>
      <c r="B267" t="s">
        <v>118</v>
      </c>
      <c r="C267" t="s">
        <v>3447</v>
      </c>
      <c r="D267" t="s">
        <v>18055</v>
      </c>
      <c r="E267" t="s">
        <v>18386</v>
      </c>
      <c r="F267" t="s">
        <v>31574</v>
      </c>
      <c r="G267" t="s">
        <v>31583</v>
      </c>
      <c r="H267" t="s">
        <v>31590</v>
      </c>
      <c r="I267" t="s">
        <v>31630</v>
      </c>
      <c r="J267" t="s">
        <v>31971</v>
      </c>
      <c r="K267" t="s">
        <v>41186</v>
      </c>
      <c r="M267" t="s">
        <v>41602</v>
      </c>
      <c r="N267" t="s">
        <v>45095</v>
      </c>
      <c r="O267" t="s">
        <v>45096</v>
      </c>
      <c r="P267">
        <v>0</v>
      </c>
      <c r="Q267">
        <v>0</v>
      </c>
      <c r="R267" t="s">
        <v>45097</v>
      </c>
      <c r="S267" t="s">
        <v>45222</v>
      </c>
      <c r="T267" t="s">
        <v>46918</v>
      </c>
      <c r="U267" t="s">
        <v>47713</v>
      </c>
      <c r="W267" t="s">
        <v>41602</v>
      </c>
      <c r="X267" t="s">
        <v>45098</v>
      </c>
    </row>
    <row r="268" spans="1:24">
      <c r="A268">
        <f>HYPERLINK("https://www.philgeps.gov.ph/GEPSNONPILOT/Tender/SplashBidNoticeAbstractUI.aspx?menuIndex=3&amp;refID=7044376&amp;Result=3","7044376")</f>
        <v>0</v>
      </c>
      <c r="B268" t="s">
        <v>119</v>
      </c>
      <c r="C268" t="s">
        <v>3448</v>
      </c>
      <c r="D268" t="s">
        <v>18052</v>
      </c>
      <c r="E268" t="s">
        <v>18387</v>
      </c>
      <c r="F268" t="s">
        <v>31574</v>
      </c>
      <c r="G268" t="s">
        <v>31584</v>
      </c>
      <c r="H268" t="s">
        <v>31590</v>
      </c>
      <c r="I268" t="s">
        <v>31603</v>
      </c>
      <c r="J268" t="s">
        <v>31972</v>
      </c>
      <c r="K268" t="s">
        <v>41197</v>
      </c>
      <c r="L268" t="s">
        <v>119</v>
      </c>
      <c r="M268" t="s">
        <v>41603</v>
      </c>
      <c r="N268" t="s">
        <v>45095</v>
      </c>
      <c r="O268" t="s">
        <v>45096</v>
      </c>
      <c r="P268">
        <v>0</v>
      </c>
      <c r="Q268">
        <v>0</v>
      </c>
      <c r="R268" t="s">
        <v>45097</v>
      </c>
      <c r="S268" t="s">
        <v>45222</v>
      </c>
      <c r="T268" t="s">
        <v>46914</v>
      </c>
      <c r="U268" t="s">
        <v>47714</v>
      </c>
      <c r="W268" t="s">
        <v>41603</v>
      </c>
      <c r="X268" t="s">
        <v>45098</v>
      </c>
    </row>
    <row r="269" spans="1:24">
      <c r="A269">
        <f>HYPERLINK("https://www.philgeps.gov.ph/GEPSNONPILOT/Tender/SplashBidNoticeAbstractUI.aspx?menuIndex=3&amp;refID=7044380&amp;Result=3","7044380")</f>
        <v>0</v>
      </c>
      <c r="B269" t="s">
        <v>120</v>
      </c>
      <c r="C269" t="s">
        <v>3449</v>
      </c>
      <c r="D269" t="s">
        <v>18052</v>
      </c>
      <c r="E269" t="s">
        <v>18388</v>
      </c>
      <c r="F269" t="s">
        <v>31574</v>
      </c>
      <c r="G269" t="s">
        <v>31581</v>
      </c>
      <c r="H269" t="s">
        <v>31590</v>
      </c>
      <c r="I269" t="s">
        <v>31631</v>
      </c>
      <c r="J269" t="s">
        <v>31973</v>
      </c>
      <c r="K269" t="s">
        <v>41184</v>
      </c>
      <c r="M269" t="s">
        <v>41604</v>
      </c>
      <c r="N269" t="s">
        <v>45095</v>
      </c>
      <c r="O269" t="s">
        <v>45096</v>
      </c>
      <c r="P269">
        <v>0</v>
      </c>
      <c r="Q269">
        <v>0</v>
      </c>
      <c r="R269" t="s">
        <v>45097</v>
      </c>
      <c r="S269" t="s">
        <v>45222</v>
      </c>
      <c r="T269" t="s">
        <v>46918</v>
      </c>
      <c r="U269" t="s">
        <v>47715</v>
      </c>
      <c r="W269" t="s">
        <v>41604</v>
      </c>
      <c r="X269" t="s">
        <v>45098</v>
      </c>
    </row>
    <row r="270" spans="1:24">
      <c r="A270">
        <f>HYPERLINK("https://www.philgeps.gov.ph/GEPSNONPILOT/Tender/SplashBidNoticeAbstractUI.aspx?menuIndex=3&amp;refID=7044366&amp;Result=3","7044366")</f>
        <v>0</v>
      </c>
      <c r="B270" t="s">
        <v>121</v>
      </c>
      <c r="C270" t="s">
        <v>3450</v>
      </c>
      <c r="D270" t="s">
        <v>18023</v>
      </c>
      <c r="E270" t="s">
        <v>18389</v>
      </c>
      <c r="F270" t="s">
        <v>31574</v>
      </c>
      <c r="G270" t="s">
        <v>31582</v>
      </c>
      <c r="H270" t="s">
        <v>31590</v>
      </c>
      <c r="I270" t="s">
        <v>14544</v>
      </c>
      <c r="J270" t="s">
        <v>31974</v>
      </c>
      <c r="K270" t="s">
        <v>41192</v>
      </c>
      <c r="L270" t="s">
        <v>121</v>
      </c>
      <c r="M270" t="s">
        <v>41605</v>
      </c>
      <c r="N270" t="s">
        <v>45095</v>
      </c>
      <c r="O270" t="s">
        <v>45096</v>
      </c>
      <c r="P270">
        <v>0</v>
      </c>
      <c r="Q270">
        <v>0</v>
      </c>
      <c r="R270" t="s">
        <v>45097</v>
      </c>
      <c r="S270" t="s">
        <v>45222</v>
      </c>
      <c r="T270" t="s">
        <v>46926</v>
      </c>
      <c r="U270" t="s">
        <v>47716</v>
      </c>
      <c r="W270" t="s">
        <v>41605</v>
      </c>
      <c r="X270" t="s">
        <v>45098</v>
      </c>
    </row>
    <row r="271" spans="1:24">
      <c r="A271">
        <f>HYPERLINK("https://www.philgeps.gov.ph/GEPSNONPILOT/Tender/SplashBidNoticeAbstractUI.aspx?menuIndex=3&amp;refID=7044373&amp;Result=3","7044373")</f>
        <v>0</v>
      </c>
      <c r="B271" t="s">
        <v>122</v>
      </c>
      <c r="C271" t="s">
        <v>3451</v>
      </c>
      <c r="E271" t="s">
        <v>18390</v>
      </c>
      <c r="F271" t="s">
        <v>31574</v>
      </c>
      <c r="G271" t="s">
        <v>31581</v>
      </c>
      <c r="H271" t="s">
        <v>31590</v>
      </c>
      <c r="I271" t="s">
        <v>3487</v>
      </c>
      <c r="J271" t="s">
        <v>31975</v>
      </c>
      <c r="K271" t="s">
        <v>41184</v>
      </c>
      <c r="M271" t="s">
        <v>41606</v>
      </c>
      <c r="N271" t="s">
        <v>45095</v>
      </c>
      <c r="O271" t="s">
        <v>45096</v>
      </c>
      <c r="P271">
        <v>0</v>
      </c>
      <c r="Q271">
        <v>0</v>
      </c>
      <c r="R271" t="s">
        <v>45097</v>
      </c>
      <c r="S271" t="s">
        <v>45222</v>
      </c>
      <c r="T271" t="s">
        <v>46946</v>
      </c>
      <c r="U271" t="s">
        <v>47717</v>
      </c>
      <c r="W271" t="s">
        <v>41606</v>
      </c>
      <c r="X271" t="s">
        <v>45098</v>
      </c>
    </row>
    <row r="272" spans="1:24">
      <c r="A272">
        <f>HYPERLINK("https://www.philgeps.gov.ph/GEPSNONPILOT/Tender/SplashBidNoticeAbstractUI.aspx?menuIndex=3&amp;refID=7044375&amp;Result=3","7044375")</f>
        <v>0</v>
      </c>
      <c r="B272" t="s">
        <v>123</v>
      </c>
      <c r="C272" t="s">
        <v>3452</v>
      </c>
      <c r="D272" t="s">
        <v>18044</v>
      </c>
      <c r="E272" t="s">
        <v>18374</v>
      </c>
      <c r="F272" t="s">
        <v>31574</v>
      </c>
      <c r="G272" t="s">
        <v>31582</v>
      </c>
      <c r="H272" t="s">
        <v>31590</v>
      </c>
      <c r="I272" t="s">
        <v>31600</v>
      </c>
      <c r="J272" t="s">
        <v>31976</v>
      </c>
      <c r="K272" t="s">
        <v>41184</v>
      </c>
      <c r="M272" t="s">
        <v>41607</v>
      </c>
      <c r="N272" t="s">
        <v>45095</v>
      </c>
      <c r="O272" t="s">
        <v>45096</v>
      </c>
      <c r="P272">
        <v>0</v>
      </c>
      <c r="Q272">
        <v>0</v>
      </c>
      <c r="R272" t="s">
        <v>45097</v>
      </c>
      <c r="S272" t="s">
        <v>45222</v>
      </c>
      <c r="T272" t="s">
        <v>46905</v>
      </c>
      <c r="U272" t="s">
        <v>47718</v>
      </c>
      <c r="W272" t="s">
        <v>41607</v>
      </c>
      <c r="X272" t="s">
        <v>45098</v>
      </c>
    </row>
    <row r="273" spans="1:24">
      <c r="A273">
        <f>HYPERLINK("https://www.philgeps.gov.ph/GEPSNONPILOT/Tender/SplashBidNoticeAbstractUI.aspx?menuIndex=3&amp;refID=7044372&amp;Result=3","7044372")</f>
        <v>0</v>
      </c>
      <c r="B273" t="s">
        <v>124</v>
      </c>
      <c r="C273" t="s">
        <v>3453</v>
      </c>
      <c r="D273" t="s">
        <v>18065</v>
      </c>
      <c r="E273" t="s">
        <v>3453</v>
      </c>
      <c r="F273" t="s">
        <v>31574</v>
      </c>
      <c r="G273" t="s">
        <v>31581</v>
      </c>
      <c r="H273" t="s">
        <v>31590</v>
      </c>
      <c r="I273" t="s">
        <v>31623</v>
      </c>
      <c r="J273" t="s">
        <v>31804</v>
      </c>
      <c r="K273" t="s">
        <v>41184</v>
      </c>
      <c r="M273" t="s">
        <v>41608</v>
      </c>
      <c r="N273" t="s">
        <v>45095</v>
      </c>
      <c r="O273" t="s">
        <v>45096</v>
      </c>
      <c r="P273">
        <v>0</v>
      </c>
      <c r="Q273">
        <v>0</v>
      </c>
      <c r="R273" t="s">
        <v>45097</v>
      </c>
      <c r="S273" t="s">
        <v>45222</v>
      </c>
      <c r="T273" t="s">
        <v>46911</v>
      </c>
      <c r="U273" t="s">
        <v>47719</v>
      </c>
      <c r="W273" t="s">
        <v>41608</v>
      </c>
      <c r="X273" t="s">
        <v>45098</v>
      </c>
    </row>
    <row r="274" spans="1:24">
      <c r="A274">
        <f>HYPERLINK("https://www.philgeps.gov.ph/GEPSNONPILOT/Tender/SplashBidNoticeAbstractUI.aspx?menuIndex=3&amp;refID=7044365&amp;Result=3","7044365")</f>
        <v>0</v>
      </c>
      <c r="B274" t="s">
        <v>125</v>
      </c>
      <c r="C274" t="s">
        <v>3454</v>
      </c>
      <c r="D274" t="s">
        <v>18039</v>
      </c>
      <c r="E274" t="s">
        <v>18391</v>
      </c>
      <c r="F274" t="s">
        <v>31574</v>
      </c>
      <c r="G274" t="s">
        <v>31581</v>
      </c>
      <c r="H274" t="s">
        <v>31591</v>
      </c>
      <c r="I274" t="s">
        <v>8822</v>
      </c>
      <c r="J274" t="s">
        <v>31977</v>
      </c>
      <c r="K274" t="s">
        <v>41184</v>
      </c>
      <c r="M274" t="s">
        <v>41609</v>
      </c>
      <c r="N274" t="s">
        <v>45095</v>
      </c>
      <c r="O274" t="s">
        <v>45096</v>
      </c>
      <c r="P274">
        <v>0</v>
      </c>
      <c r="Q274">
        <v>0</v>
      </c>
      <c r="R274" t="s">
        <v>45097</v>
      </c>
      <c r="S274" t="s">
        <v>45222</v>
      </c>
      <c r="T274" t="s">
        <v>46904</v>
      </c>
      <c r="U274" t="s">
        <v>47720</v>
      </c>
      <c r="W274" t="s">
        <v>41609</v>
      </c>
      <c r="X274" t="s">
        <v>45098</v>
      </c>
    </row>
    <row r="275" spans="1:24">
      <c r="A275">
        <f>HYPERLINK("https://www.philgeps.gov.ph/GEPSNONPILOT/Tender/SplashBidNoticeAbstractUI.aspx?menuIndex=3&amp;refID=7044384&amp;Result=3","7044384")</f>
        <v>0</v>
      </c>
      <c r="B275" t="s">
        <v>126</v>
      </c>
      <c r="C275" t="s">
        <v>3455</v>
      </c>
      <c r="D275" t="s">
        <v>18069</v>
      </c>
      <c r="E275" t="s">
        <v>18392</v>
      </c>
      <c r="F275" t="s">
        <v>31574</v>
      </c>
      <c r="G275" t="s">
        <v>31581</v>
      </c>
      <c r="H275" t="s">
        <v>31590</v>
      </c>
      <c r="I275" t="s">
        <v>5717</v>
      </c>
      <c r="J275" t="s">
        <v>31845</v>
      </c>
      <c r="K275" t="s">
        <v>41190</v>
      </c>
      <c r="M275" t="s">
        <v>41610</v>
      </c>
      <c r="N275" t="s">
        <v>45095</v>
      </c>
      <c r="O275" t="s">
        <v>45096</v>
      </c>
      <c r="P275">
        <v>0</v>
      </c>
      <c r="Q275">
        <v>0</v>
      </c>
      <c r="R275" t="s">
        <v>45097</v>
      </c>
      <c r="S275" t="s">
        <v>45222</v>
      </c>
      <c r="T275" t="s">
        <v>46918</v>
      </c>
      <c r="U275" t="s">
        <v>47721</v>
      </c>
      <c r="W275" t="s">
        <v>41610</v>
      </c>
      <c r="X275" t="s">
        <v>45098</v>
      </c>
    </row>
    <row r="276" spans="1:24">
      <c r="A276">
        <f>HYPERLINK("https://www.philgeps.gov.ph/GEPSNONPILOT/Tender/SplashBidNoticeAbstractUI.aspx?menuIndex=3&amp;refID=7044374&amp;Result=3","7044374")</f>
        <v>0</v>
      </c>
      <c r="B276" t="s">
        <v>127</v>
      </c>
      <c r="C276" t="s">
        <v>3456</v>
      </c>
      <c r="E276" t="s">
        <v>18393</v>
      </c>
      <c r="F276" t="s">
        <v>31574</v>
      </c>
      <c r="G276" t="s">
        <v>31583</v>
      </c>
      <c r="H276" t="s">
        <v>31590</v>
      </c>
      <c r="I276" t="s">
        <v>3487</v>
      </c>
      <c r="J276" t="s">
        <v>31978</v>
      </c>
      <c r="K276" t="s">
        <v>41184</v>
      </c>
      <c r="M276" t="s">
        <v>41611</v>
      </c>
      <c r="N276" t="s">
        <v>45095</v>
      </c>
      <c r="O276" t="s">
        <v>45096</v>
      </c>
      <c r="P276">
        <v>0</v>
      </c>
      <c r="Q276">
        <v>0</v>
      </c>
      <c r="R276" t="s">
        <v>45097</v>
      </c>
      <c r="S276" t="s">
        <v>45222</v>
      </c>
      <c r="T276" t="s">
        <v>46936</v>
      </c>
      <c r="U276" t="s">
        <v>47722</v>
      </c>
      <c r="W276" t="s">
        <v>41611</v>
      </c>
      <c r="X276" t="s">
        <v>45098</v>
      </c>
    </row>
    <row r="277" spans="1:24">
      <c r="A277">
        <f>HYPERLINK("https://www.philgeps.gov.ph/GEPSNONPILOT/Tender/SplashBidNoticeAbstractUI.aspx?menuIndex=3&amp;refID=7044382&amp;Result=3","7044382")</f>
        <v>0</v>
      </c>
      <c r="B277" t="s">
        <v>108</v>
      </c>
      <c r="C277" t="s">
        <v>3457</v>
      </c>
      <c r="D277" t="s">
        <v>18022</v>
      </c>
      <c r="E277" t="s">
        <v>18394</v>
      </c>
      <c r="F277" t="s">
        <v>31574</v>
      </c>
      <c r="G277" t="s">
        <v>31581</v>
      </c>
      <c r="H277" t="s">
        <v>31590</v>
      </c>
      <c r="I277" t="s">
        <v>31605</v>
      </c>
      <c r="J277" t="s">
        <v>31947</v>
      </c>
      <c r="K277" t="s">
        <v>41186</v>
      </c>
      <c r="M277" t="s">
        <v>41592</v>
      </c>
      <c r="N277" t="s">
        <v>45095</v>
      </c>
      <c r="O277" t="s">
        <v>45096</v>
      </c>
      <c r="P277">
        <v>0</v>
      </c>
      <c r="Q277">
        <v>0</v>
      </c>
      <c r="R277" t="s">
        <v>45097</v>
      </c>
      <c r="S277" t="s">
        <v>45222</v>
      </c>
      <c r="T277" t="s">
        <v>46955</v>
      </c>
      <c r="U277" t="s">
        <v>47723</v>
      </c>
      <c r="W277" t="s">
        <v>41592</v>
      </c>
      <c r="X277" t="s">
        <v>45098</v>
      </c>
    </row>
    <row r="278" spans="1:24">
      <c r="A278">
        <f>HYPERLINK("https://www.philgeps.gov.ph/GEPSNONPILOT/Tender/SplashBidNoticeAbstractUI.aspx?menuIndex=3&amp;refID=7044364&amp;Result=3","7044364")</f>
        <v>0</v>
      </c>
      <c r="B278" t="s">
        <v>115</v>
      </c>
      <c r="C278" t="s">
        <v>3458</v>
      </c>
      <c r="D278" t="s">
        <v>18040</v>
      </c>
      <c r="E278" t="s">
        <v>18395</v>
      </c>
      <c r="F278" t="s">
        <v>31574</v>
      </c>
      <c r="G278" t="s">
        <v>31581</v>
      </c>
      <c r="H278" t="s">
        <v>31590</v>
      </c>
      <c r="I278" t="s">
        <v>31598</v>
      </c>
      <c r="J278" t="s">
        <v>31979</v>
      </c>
      <c r="K278" t="s">
        <v>41193</v>
      </c>
      <c r="M278" t="s">
        <v>41599</v>
      </c>
      <c r="N278" t="s">
        <v>45095</v>
      </c>
      <c r="O278" t="s">
        <v>45096</v>
      </c>
      <c r="P278">
        <v>0</v>
      </c>
      <c r="Q278">
        <v>0</v>
      </c>
      <c r="R278" t="s">
        <v>45097</v>
      </c>
      <c r="S278" t="s">
        <v>45222</v>
      </c>
      <c r="T278" t="s">
        <v>46904</v>
      </c>
      <c r="U278" t="s">
        <v>47724</v>
      </c>
      <c r="W278" t="s">
        <v>41599</v>
      </c>
      <c r="X278" t="s">
        <v>45098</v>
      </c>
    </row>
    <row r="279" spans="1:24">
      <c r="A279">
        <f>HYPERLINK("https://www.philgeps.gov.ph/GEPSNONPILOT/Tender/SplashBidNoticeAbstractUI.aspx?menuIndex=3&amp;refID=7044381&amp;Result=3","7044381")</f>
        <v>0</v>
      </c>
      <c r="B279" t="s">
        <v>125</v>
      </c>
      <c r="C279" t="s">
        <v>3459</v>
      </c>
      <c r="D279" t="s">
        <v>18039</v>
      </c>
      <c r="E279" t="s">
        <v>18396</v>
      </c>
      <c r="F279" t="s">
        <v>31574</v>
      </c>
      <c r="G279" t="s">
        <v>31581</v>
      </c>
      <c r="H279" t="s">
        <v>31591</v>
      </c>
      <c r="I279" t="s">
        <v>8822</v>
      </c>
      <c r="J279" t="s">
        <v>31741</v>
      </c>
      <c r="K279" t="s">
        <v>41184</v>
      </c>
      <c r="M279" t="s">
        <v>41609</v>
      </c>
      <c r="N279" t="s">
        <v>45095</v>
      </c>
      <c r="O279" t="s">
        <v>45096</v>
      </c>
      <c r="P279">
        <v>0</v>
      </c>
      <c r="Q279">
        <v>0</v>
      </c>
      <c r="R279" t="s">
        <v>45097</v>
      </c>
      <c r="S279" t="s">
        <v>45222</v>
      </c>
      <c r="T279" t="s">
        <v>46911</v>
      </c>
      <c r="U279" t="s">
        <v>47720</v>
      </c>
      <c r="W279" t="s">
        <v>41609</v>
      </c>
      <c r="X279" t="s">
        <v>45098</v>
      </c>
    </row>
    <row r="280" spans="1:24">
      <c r="A280">
        <f>HYPERLINK("https://www.philgeps.gov.ph/GEPSNONPILOT/Tender/SplashBidNoticeAbstractUI.aspx?menuIndex=3&amp;refID=7044402&amp;Result=3","7044402")</f>
        <v>0</v>
      </c>
      <c r="B280" t="s">
        <v>128</v>
      </c>
      <c r="C280" t="s">
        <v>3460</v>
      </c>
      <c r="D280" t="s">
        <v>18023</v>
      </c>
      <c r="E280" t="s">
        <v>18397</v>
      </c>
      <c r="F280" t="s">
        <v>31574</v>
      </c>
      <c r="G280" t="s">
        <v>31582</v>
      </c>
      <c r="H280" t="s">
        <v>31590</v>
      </c>
      <c r="I280" t="s">
        <v>7185</v>
      </c>
      <c r="J280" t="s">
        <v>31980</v>
      </c>
      <c r="K280" t="s">
        <v>41186</v>
      </c>
      <c r="M280" t="s">
        <v>41612</v>
      </c>
      <c r="N280" t="s">
        <v>45095</v>
      </c>
      <c r="O280" t="s">
        <v>45096</v>
      </c>
      <c r="P280">
        <v>0</v>
      </c>
      <c r="Q280">
        <v>0</v>
      </c>
      <c r="R280" t="s">
        <v>45097</v>
      </c>
      <c r="S280" t="s">
        <v>45222</v>
      </c>
      <c r="T280" t="s">
        <v>46935</v>
      </c>
      <c r="U280" t="s">
        <v>47725</v>
      </c>
      <c r="W280" t="s">
        <v>41612</v>
      </c>
      <c r="X280" t="s">
        <v>45098</v>
      </c>
    </row>
    <row r="281" spans="1:24">
      <c r="A281">
        <f>HYPERLINK("https://www.philgeps.gov.ph/GEPSNONPILOT/Tender/SplashBidNoticeAbstractUI.aspx?menuIndex=3&amp;refID=7044369&amp;Result=3","7044369")</f>
        <v>0</v>
      </c>
      <c r="B281" t="s">
        <v>129</v>
      </c>
      <c r="C281" t="s">
        <v>3461</v>
      </c>
      <c r="D281" t="s">
        <v>18022</v>
      </c>
      <c r="E281" t="s">
        <v>18398</v>
      </c>
      <c r="F281" t="s">
        <v>31574</v>
      </c>
      <c r="G281" t="s">
        <v>31581</v>
      </c>
      <c r="H281" t="s">
        <v>31590</v>
      </c>
      <c r="I281" t="s">
        <v>31608</v>
      </c>
      <c r="J281" t="s">
        <v>31981</v>
      </c>
      <c r="K281" t="s">
        <v>41186</v>
      </c>
      <c r="M281" t="s">
        <v>41613</v>
      </c>
      <c r="N281" t="s">
        <v>45095</v>
      </c>
      <c r="O281" t="s">
        <v>45096</v>
      </c>
      <c r="P281">
        <v>0</v>
      </c>
      <c r="Q281">
        <v>0</v>
      </c>
      <c r="R281" t="s">
        <v>45097</v>
      </c>
      <c r="S281" t="s">
        <v>45222</v>
      </c>
      <c r="T281" t="s">
        <v>46961</v>
      </c>
      <c r="U281" t="s">
        <v>47726</v>
      </c>
      <c r="W281" t="s">
        <v>41613</v>
      </c>
      <c r="X281" t="s">
        <v>45098</v>
      </c>
    </row>
    <row r="282" spans="1:24">
      <c r="A282">
        <f>HYPERLINK("https://www.philgeps.gov.ph/GEPSNONPILOT/Tender/SplashBidNoticeAbstractUI.aspx?menuIndex=3&amp;refID=7044398&amp;Result=3","7044398")</f>
        <v>0</v>
      </c>
      <c r="B282" t="s">
        <v>121</v>
      </c>
      <c r="C282" t="s">
        <v>3462</v>
      </c>
      <c r="D282" t="s">
        <v>18023</v>
      </c>
      <c r="E282" t="s">
        <v>18399</v>
      </c>
      <c r="F282" t="s">
        <v>31574</v>
      </c>
      <c r="G282" t="s">
        <v>31582</v>
      </c>
      <c r="H282" t="s">
        <v>31590</v>
      </c>
      <c r="I282" t="s">
        <v>31602</v>
      </c>
      <c r="J282" t="s">
        <v>31982</v>
      </c>
      <c r="K282" t="s">
        <v>41186</v>
      </c>
      <c r="L282" t="s">
        <v>121</v>
      </c>
      <c r="M282" t="s">
        <v>41605</v>
      </c>
      <c r="N282" t="s">
        <v>45095</v>
      </c>
      <c r="O282" t="s">
        <v>45096</v>
      </c>
      <c r="P282">
        <v>0</v>
      </c>
      <c r="Q282">
        <v>0</v>
      </c>
      <c r="R282" t="s">
        <v>45097</v>
      </c>
      <c r="S282" t="s">
        <v>45222</v>
      </c>
      <c r="T282" t="s">
        <v>46926</v>
      </c>
      <c r="U282" t="s">
        <v>47727</v>
      </c>
      <c r="W282" t="s">
        <v>41605</v>
      </c>
      <c r="X282" t="s">
        <v>45098</v>
      </c>
    </row>
    <row r="283" spans="1:24">
      <c r="A283">
        <f>HYPERLINK("https://www.philgeps.gov.ph/GEPSNONPILOT/Tender/SplashBidNoticeAbstractUI.aspx?menuIndex=3&amp;refID=7044385&amp;Result=3","7044385")</f>
        <v>0</v>
      </c>
      <c r="B283" t="s">
        <v>130</v>
      </c>
      <c r="C283" t="s">
        <v>3463</v>
      </c>
      <c r="D283" t="s">
        <v>18070</v>
      </c>
      <c r="E283" t="s">
        <v>18400</v>
      </c>
      <c r="F283" t="s">
        <v>31574</v>
      </c>
      <c r="G283" t="s">
        <v>31582</v>
      </c>
      <c r="H283" t="s">
        <v>31591</v>
      </c>
      <c r="I283" t="s">
        <v>8822</v>
      </c>
      <c r="J283" t="s">
        <v>31983</v>
      </c>
      <c r="K283" t="s">
        <v>41214</v>
      </c>
      <c r="M283" t="s">
        <v>41614</v>
      </c>
      <c r="N283" t="s">
        <v>45095</v>
      </c>
      <c r="O283" t="s">
        <v>45096</v>
      </c>
      <c r="P283">
        <v>0</v>
      </c>
      <c r="Q283">
        <v>0</v>
      </c>
      <c r="R283" t="s">
        <v>45097</v>
      </c>
      <c r="S283" t="s">
        <v>45222</v>
      </c>
      <c r="T283" t="s">
        <v>46962</v>
      </c>
      <c r="U283" t="s">
        <v>47728</v>
      </c>
      <c r="W283" t="s">
        <v>41614</v>
      </c>
      <c r="X283" t="s">
        <v>45098</v>
      </c>
    </row>
    <row r="284" spans="1:24">
      <c r="A284">
        <f>HYPERLINK("https://www.philgeps.gov.ph/GEPSNONPILOT/Tender/SplashBidNoticeAbstractUI.aspx?menuIndex=3&amp;refID=7044397&amp;Result=3","7044397")</f>
        <v>0</v>
      </c>
      <c r="B284" t="s">
        <v>131</v>
      </c>
      <c r="C284" t="s">
        <v>3464</v>
      </c>
      <c r="D284" t="s">
        <v>18022</v>
      </c>
      <c r="E284" t="s">
        <v>18401</v>
      </c>
      <c r="F284" t="s">
        <v>31574</v>
      </c>
      <c r="G284" t="s">
        <v>31581</v>
      </c>
      <c r="H284" t="s">
        <v>31592</v>
      </c>
      <c r="I284" t="s">
        <v>31632</v>
      </c>
      <c r="J284" t="s">
        <v>31984</v>
      </c>
      <c r="K284" t="s">
        <v>41186</v>
      </c>
      <c r="M284" t="s">
        <v>41615</v>
      </c>
      <c r="N284" t="s">
        <v>45095</v>
      </c>
      <c r="O284" t="s">
        <v>45096</v>
      </c>
      <c r="P284">
        <v>0</v>
      </c>
      <c r="Q284">
        <v>0</v>
      </c>
      <c r="R284" t="s">
        <v>45097</v>
      </c>
      <c r="S284" t="s">
        <v>45222</v>
      </c>
      <c r="T284" t="s">
        <v>46949</v>
      </c>
      <c r="U284" t="s">
        <v>47729</v>
      </c>
      <c r="W284" t="s">
        <v>41615</v>
      </c>
      <c r="X284" t="s">
        <v>45098</v>
      </c>
    </row>
    <row r="285" spans="1:24">
      <c r="A285">
        <f>HYPERLINK("https://www.philgeps.gov.ph/GEPSNONPILOT/Tender/SplashBidNoticeAbstractUI.aspx?menuIndex=3&amp;refID=7044399&amp;Result=3","7044399")</f>
        <v>0</v>
      </c>
      <c r="B285" t="s">
        <v>132</v>
      </c>
      <c r="C285" t="s">
        <v>3465</v>
      </c>
      <c r="D285" t="s">
        <v>18059</v>
      </c>
      <c r="E285" t="s">
        <v>18402</v>
      </c>
      <c r="F285" t="s">
        <v>31574</v>
      </c>
      <c r="G285" t="s">
        <v>31581</v>
      </c>
      <c r="H285" t="s">
        <v>31590</v>
      </c>
      <c r="I285" t="s">
        <v>31599</v>
      </c>
      <c r="J285" t="s">
        <v>31985</v>
      </c>
      <c r="K285" t="s">
        <v>41193</v>
      </c>
      <c r="M285" t="s">
        <v>41616</v>
      </c>
      <c r="N285" t="s">
        <v>45095</v>
      </c>
      <c r="O285" t="s">
        <v>45096</v>
      </c>
      <c r="P285">
        <v>0</v>
      </c>
      <c r="Q285">
        <v>0</v>
      </c>
      <c r="R285" t="s">
        <v>45097</v>
      </c>
      <c r="S285" t="s">
        <v>45222</v>
      </c>
      <c r="T285" t="s">
        <v>46926</v>
      </c>
      <c r="U285" t="s">
        <v>47730</v>
      </c>
      <c r="W285" t="s">
        <v>41616</v>
      </c>
      <c r="X285" t="s">
        <v>45098</v>
      </c>
    </row>
    <row r="286" spans="1:24">
      <c r="A286">
        <f>HYPERLINK("https://www.philgeps.gov.ph/GEPSNONPILOT/Tender/SplashBidNoticeAbstractUI.aspx?menuIndex=3&amp;refID=7044393&amp;Result=3","7044393")</f>
        <v>0</v>
      </c>
      <c r="B286" t="s">
        <v>133</v>
      </c>
      <c r="C286" t="s">
        <v>3466</v>
      </c>
      <c r="D286" t="s">
        <v>18065</v>
      </c>
      <c r="E286" t="s">
        <v>18227</v>
      </c>
      <c r="F286" t="s">
        <v>31574</v>
      </c>
      <c r="G286" t="s">
        <v>31583</v>
      </c>
      <c r="H286" t="s">
        <v>31590</v>
      </c>
      <c r="I286" t="s">
        <v>4046</v>
      </c>
      <c r="J286" t="s">
        <v>31986</v>
      </c>
      <c r="K286" t="s">
        <v>41196</v>
      </c>
      <c r="M286" t="s">
        <v>41617</v>
      </c>
      <c r="N286" t="s">
        <v>45095</v>
      </c>
      <c r="O286" t="s">
        <v>45096</v>
      </c>
      <c r="P286">
        <v>0</v>
      </c>
      <c r="Q286">
        <v>0</v>
      </c>
      <c r="R286" t="s">
        <v>45097</v>
      </c>
      <c r="S286" t="s">
        <v>45222</v>
      </c>
      <c r="T286" t="s">
        <v>46935</v>
      </c>
      <c r="U286" t="s">
        <v>47731</v>
      </c>
      <c r="W286" t="s">
        <v>41617</v>
      </c>
      <c r="X286" t="s">
        <v>45098</v>
      </c>
    </row>
    <row r="287" spans="1:24">
      <c r="A287">
        <f>HYPERLINK("https://www.philgeps.gov.ph/GEPSNONPILOT/Tender/SplashBidNoticeAbstractUI.aspx?menuIndex=3&amp;refID=7044370&amp;Result=3","7044370")</f>
        <v>0</v>
      </c>
      <c r="B287" t="s">
        <v>121</v>
      </c>
      <c r="C287" t="s">
        <v>3467</v>
      </c>
      <c r="D287" t="s">
        <v>18023</v>
      </c>
      <c r="E287" t="s">
        <v>18403</v>
      </c>
      <c r="F287" t="s">
        <v>31574</v>
      </c>
      <c r="G287" t="s">
        <v>31582</v>
      </c>
      <c r="H287" t="s">
        <v>31590</v>
      </c>
      <c r="I287" t="s">
        <v>4327</v>
      </c>
      <c r="J287" t="s">
        <v>31987</v>
      </c>
      <c r="K287" t="s">
        <v>41185</v>
      </c>
      <c r="L287" t="s">
        <v>121</v>
      </c>
      <c r="M287" t="s">
        <v>41605</v>
      </c>
      <c r="N287" t="s">
        <v>45095</v>
      </c>
      <c r="O287" t="s">
        <v>45096</v>
      </c>
      <c r="P287">
        <v>0</v>
      </c>
      <c r="Q287">
        <v>0</v>
      </c>
      <c r="R287" t="s">
        <v>45097</v>
      </c>
      <c r="S287" t="s">
        <v>45222</v>
      </c>
      <c r="T287" t="s">
        <v>46926</v>
      </c>
      <c r="U287" t="s">
        <v>47732</v>
      </c>
      <c r="W287" t="s">
        <v>41605</v>
      </c>
      <c r="X287" t="s">
        <v>45098</v>
      </c>
    </row>
    <row r="288" spans="1:24">
      <c r="A288">
        <f>HYPERLINK("https://www.philgeps.gov.ph/GEPSNONPILOT/Tender/SplashBidNoticeAbstractUI.aspx?menuIndex=3&amp;refID=7044396&amp;Result=3","7044396")</f>
        <v>0</v>
      </c>
      <c r="B288" t="s">
        <v>134</v>
      </c>
      <c r="C288" t="s">
        <v>3468</v>
      </c>
      <c r="D288" t="s">
        <v>18066</v>
      </c>
      <c r="E288" t="s">
        <v>18404</v>
      </c>
      <c r="F288" t="s">
        <v>31574</v>
      </c>
      <c r="G288" t="s">
        <v>31583</v>
      </c>
      <c r="H288" t="s">
        <v>31591</v>
      </c>
      <c r="I288" t="s">
        <v>31633</v>
      </c>
      <c r="J288" t="s">
        <v>31988</v>
      </c>
      <c r="K288" t="s">
        <v>41184</v>
      </c>
      <c r="M288" t="s">
        <v>41618</v>
      </c>
      <c r="N288" t="s">
        <v>45095</v>
      </c>
      <c r="O288" t="s">
        <v>45096</v>
      </c>
      <c r="P288">
        <v>0</v>
      </c>
      <c r="Q288">
        <v>0</v>
      </c>
      <c r="R288" t="s">
        <v>45097</v>
      </c>
      <c r="S288" t="s">
        <v>45222</v>
      </c>
      <c r="T288" t="s">
        <v>46963</v>
      </c>
      <c r="U288" t="s">
        <v>47733</v>
      </c>
      <c r="W288" t="s">
        <v>41618</v>
      </c>
      <c r="X288" t="s">
        <v>45098</v>
      </c>
    </row>
    <row r="289" spans="1:24">
      <c r="A289">
        <f>HYPERLINK("https://www.philgeps.gov.ph/GEPSNONPILOT/Tender/SplashBidNoticeAbstractUI.aspx?menuIndex=3&amp;refID=7044401&amp;Result=3","7044401")</f>
        <v>0</v>
      </c>
      <c r="B289" t="s">
        <v>135</v>
      </c>
      <c r="C289" t="s">
        <v>3469</v>
      </c>
      <c r="E289" t="s">
        <v>18405</v>
      </c>
      <c r="F289" t="s">
        <v>31574</v>
      </c>
      <c r="G289" t="s">
        <v>31581</v>
      </c>
      <c r="H289" t="s">
        <v>31590</v>
      </c>
      <c r="I289" t="s">
        <v>31595</v>
      </c>
      <c r="J289" t="s">
        <v>31989</v>
      </c>
      <c r="K289" t="s">
        <v>41184</v>
      </c>
      <c r="M289" t="s">
        <v>41619</v>
      </c>
      <c r="N289" t="s">
        <v>45095</v>
      </c>
      <c r="O289" t="s">
        <v>45096</v>
      </c>
      <c r="P289">
        <v>0</v>
      </c>
      <c r="Q289">
        <v>0</v>
      </c>
      <c r="R289" t="s">
        <v>45097</v>
      </c>
      <c r="S289" t="s">
        <v>45222</v>
      </c>
      <c r="T289" t="s">
        <v>46914</v>
      </c>
      <c r="U289" t="s">
        <v>47734</v>
      </c>
      <c r="W289" t="s">
        <v>41619</v>
      </c>
      <c r="X289" t="s">
        <v>45098</v>
      </c>
    </row>
    <row r="290" spans="1:24">
      <c r="A290">
        <f>HYPERLINK("https://www.philgeps.gov.ph/GEPSNONPILOT/Tender/SplashBidNoticeAbstractUI.aspx?menuIndex=3&amp;refID=7044391&amp;Result=3","7044391")</f>
        <v>0</v>
      </c>
      <c r="B290" t="s">
        <v>127</v>
      </c>
      <c r="C290" t="s">
        <v>3470</v>
      </c>
      <c r="E290" t="s">
        <v>18406</v>
      </c>
      <c r="F290" t="s">
        <v>31574</v>
      </c>
      <c r="G290" t="s">
        <v>31583</v>
      </c>
      <c r="H290" t="s">
        <v>31590</v>
      </c>
      <c r="I290" t="s">
        <v>31603</v>
      </c>
      <c r="J290" t="s">
        <v>31990</v>
      </c>
      <c r="K290" t="s">
        <v>41184</v>
      </c>
      <c r="M290" t="s">
        <v>41611</v>
      </c>
      <c r="N290" t="s">
        <v>45095</v>
      </c>
      <c r="O290" t="s">
        <v>45096</v>
      </c>
      <c r="P290">
        <v>0</v>
      </c>
      <c r="Q290">
        <v>0</v>
      </c>
      <c r="R290" t="s">
        <v>45097</v>
      </c>
      <c r="S290" t="s">
        <v>45222</v>
      </c>
      <c r="T290" t="s">
        <v>46936</v>
      </c>
      <c r="U290" t="s">
        <v>47735</v>
      </c>
      <c r="W290" t="s">
        <v>41611</v>
      </c>
      <c r="X290" t="s">
        <v>45098</v>
      </c>
    </row>
    <row r="291" spans="1:24">
      <c r="A291">
        <f>HYPERLINK("https://www.philgeps.gov.ph/GEPSNONPILOT/Tender/SplashBidNoticeAbstractUI.aspx?menuIndex=3&amp;refID=7044394&amp;Result=3","7044394")</f>
        <v>0</v>
      </c>
      <c r="B291" t="s">
        <v>85</v>
      </c>
      <c r="C291" t="s">
        <v>3471</v>
      </c>
      <c r="D291" t="s">
        <v>18031</v>
      </c>
      <c r="E291" t="s">
        <v>18407</v>
      </c>
      <c r="F291" t="s">
        <v>31574</v>
      </c>
      <c r="G291" t="s">
        <v>31581</v>
      </c>
      <c r="H291" t="s">
        <v>31590</v>
      </c>
      <c r="I291" t="s">
        <v>31599</v>
      </c>
      <c r="J291" t="s">
        <v>31991</v>
      </c>
      <c r="K291" t="s">
        <v>41196</v>
      </c>
      <c r="M291" t="s">
        <v>41569</v>
      </c>
      <c r="N291" t="s">
        <v>45095</v>
      </c>
      <c r="O291" t="s">
        <v>45096</v>
      </c>
      <c r="P291">
        <v>0</v>
      </c>
      <c r="Q291">
        <v>0</v>
      </c>
      <c r="R291" t="s">
        <v>45097</v>
      </c>
      <c r="S291" t="s">
        <v>45222</v>
      </c>
      <c r="T291" t="s">
        <v>46934</v>
      </c>
      <c r="U291" t="s">
        <v>47736</v>
      </c>
      <c r="W291" t="s">
        <v>41569</v>
      </c>
      <c r="X291" t="s">
        <v>45098</v>
      </c>
    </row>
    <row r="292" spans="1:24">
      <c r="A292">
        <f>HYPERLINK("https://www.philgeps.gov.ph/GEPSNONPILOT/Tender/SplashBidNoticeAbstractUI.aspx?menuIndex=3&amp;refID=7044400&amp;Result=3","7044400")</f>
        <v>0</v>
      </c>
      <c r="B292" t="s">
        <v>136</v>
      </c>
      <c r="C292" t="s">
        <v>3472</v>
      </c>
      <c r="D292" t="s">
        <v>18071</v>
      </c>
      <c r="E292" t="s">
        <v>18408</v>
      </c>
      <c r="F292" t="s">
        <v>31574</v>
      </c>
      <c r="G292" t="s">
        <v>31582</v>
      </c>
      <c r="H292" t="s">
        <v>31590</v>
      </c>
      <c r="I292" t="s">
        <v>4046</v>
      </c>
      <c r="J292" t="s">
        <v>31992</v>
      </c>
      <c r="K292" t="s">
        <v>41193</v>
      </c>
      <c r="M292" t="s">
        <v>41620</v>
      </c>
      <c r="N292" t="s">
        <v>45095</v>
      </c>
      <c r="O292" t="s">
        <v>45096</v>
      </c>
      <c r="P292">
        <v>0</v>
      </c>
      <c r="Q292">
        <v>0</v>
      </c>
      <c r="R292" t="s">
        <v>45097</v>
      </c>
      <c r="S292" t="s">
        <v>45222</v>
      </c>
      <c r="T292" t="s">
        <v>46964</v>
      </c>
      <c r="U292" t="s">
        <v>47737</v>
      </c>
      <c r="W292" t="s">
        <v>41620</v>
      </c>
      <c r="X292" t="s">
        <v>45098</v>
      </c>
    </row>
    <row r="293" spans="1:24">
      <c r="A293">
        <f>HYPERLINK("https://www.philgeps.gov.ph/GEPSNONPILOT/Tender/SplashBidNoticeAbstractUI.aspx?menuIndex=3&amp;refID=7044407&amp;Result=3","7044407")</f>
        <v>0</v>
      </c>
      <c r="B293" t="s">
        <v>134</v>
      </c>
      <c r="C293" t="s">
        <v>3473</v>
      </c>
      <c r="D293" t="s">
        <v>18066</v>
      </c>
      <c r="E293" t="s">
        <v>18409</v>
      </c>
      <c r="F293" t="s">
        <v>31574</v>
      </c>
      <c r="G293" t="s">
        <v>31583</v>
      </c>
      <c r="H293" t="s">
        <v>31591</v>
      </c>
      <c r="I293" t="s">
        <v>7162</v>
      </c>
      <c r="J293" t="s">
        <v>31993</v>
      </c>
      <c r="K293" t="s">
        <v>41184</v>
      </c>
      <c r="M293" t="s">
        <v>41618</v>
      </c>
      <c r="N293" t="s">
        <v>45095</v>
      </c>
      <c r="O293" t="s">
        <v>45096</v>
      </c>
      <c r="P293">
        <v>0</v>
      </c>
      <c r="Q293">
        <v>0</v>
      </c>
      <c r="R293" t="s">
        <v>45097</v>
      </c>
      <c r="S293" t="s">
        <v>45222</v>
      </c>
      <c r="T293" t="s">
        <v>46963</v>
      </c>
      <c r="U293" t="s">
        <v>47738</v>
      </c>
      <c r="W293" t="s">
        <v>41618</v>
      </c>
      <c r="X293" t="s">
        <v>45098</v>
      </c>
    </row>
    <row r="294" spans="1:24">
      <c r="A294">
        <f>HYPERLINK("https://www.philgeps.gov.ph/GEPSNONPILOT/Tender/SplashBidNoticeAbstractUI.aspx?menuIndex=3&amp;refID=7044405&amp;Result=3","7044405")</f>
        <v>0</v>
      </c>
      <c r="B294" t="s">
        <v>127</v>
      </c>
      <c r="C294" t="s">
        <v>3474</v>
      </c>
      <c r="E294" t="s">
        <v>18410</v>
      </c>
      <c r="F294" t="s">
        <v>31574</v>
      </c>
      <c r="G294" t="s">
        <v>31583</v>
      </c>
      <c r="H294" t="s">
        <v>31590</v>
      </c>
      <c r="I294" t="s">
        <v>6800</v>
      </c>
      <c r="J294" t="s">
        <v>31994</v>
      </c>
      <c r="K294" t="s">
        <v>41184</v>
      </c>
      <c r="M294" t="s">
        <v>41611</v>
      </c>
      <c r="N294" t="s">
        <v>45095</v>
      </c>
      <c r="O294" t="s">
        <v>45096</v>
      </c>
      <c r="P294">
        <v>0</v>
      </c>
      <c r="Q294">
        <v>0</v>
      </c>
      <c r="R294" t="s">
        <v>45097</v>
      </c>
      <c r="S294" t="s">
        <v>45222</v>
      </c>
      <c r="T294" t="s">
        <v>46936</v>
      </c>
      <c r="U294" t="s">
        <v>47739</v>
      </c>
      <c r="W294" t="s">
        <v>41611</v>
      </c>
      <c r="X294" t="s">
        <v>45098</v>
      </c>
    </row>
    <row r="295" spans="1:24">
      <c r="A295">
        <f>HYPERLINK("https://www.philgeps.gov.ph/GEPSNONPILOT/Tender/SplashBidNoticeAbstractUI.aspx?menuIndex=3&amp;refID=7044390&amp;Result=3","7044390")</f>
        <v>0</v>
      </c>
      <c r="B295" t="s">
        <v>137</v>
      </c>
      <c r="C295" t="s">
        <v>3475</v>
      </c>
      <c r="D295" t="s">
        <v>18072</v>
      </c>
      <c r="E295" t="s">
        <v>18411</v>
      </c>
      <c r="F295" t="s">
        <v>31574</v>
      </c>
      <c r="G295" t="s">
        <v>31581</v>
      </c>
      <c r="H295" t="s">
        <v>31590</v>
      </c>
      <c r="I295" t="s">
        <v>4046</v>
      </c>
      <c r="J295" t="s">
        <v>31995</v>
      </c>
      <c r="K295" t="s">
        <v>41186</v>
      </c>
      <c r="M295" t="s">
        <v>41621</v>
      </c>
      <c r="N295" t="s">
        <v>45095</v>
      </c>
      <c r="O295" t="s">
        <v>45096</v>
      </c>
      <c r="P295">
        <v>0</v>
      </c>
      <c r="Q295">
        <v>0</v>
      </c>
      <c r="R295" t="s">
        <v>45097</v>
      </c>
      <c r="S295" t="s">
        <v>45222</v>
      </c>
      <c r="T295" t="s">
        <v>46961</v>
      </c>
      <c r="U295" t="s">
        <v>47740</v>
      </c>
      <c r="W295" t="s">
        <v>41621</v>
      </c>
      <c r="X295" t="s">
        <v>45098</v>
      </c>
    </row>
    <row r="296" spans="1:24">
      <c r="A296">
        <f>HYPERLINK("https://www.philgeps.gov.ph/GEPSNONPILOT/Tender/SplashBidNoticeAbstractUI.aspx?menuIndex=3&amp;refID=7044389&amp;Result=3","7044389")</f>
        <v>0</v>
      </c>
      <c r="B296" t="s">
        <v>129</v>
      </c>
      <c r="C296" t="s">
        <v>3476</v>
      </c>
      <c r="D296" t="s">
        <v>18022</v>
      </c>
      <c r="E296" t="s">
        <v>18412</v>
      </c>
      <c r="F296" t="s">
        <v>31574</v>
      </c>
      <c r="G296" t="s">
        <v>31581</v>
      </c>
      <c r="H296" t="s">
        <v>31590</v>
      </c>
      <c r="I296" t="s">
        <v>31608</v>
      </c>
      <c r="J296" t="s">
        <v>31996</v>
      </c>
      <c r="K296" t="s">
        <v>41184</v>
      </c>
      <c r="M296" t="s">
        <v>41613</v>
      </c>
      <c r="N296" t="s">
        <v>45095</v>
      </c>
      <c r="O296" t="s">
        <v>45096</v>
      </c>
      <c r="P296">
        <v>0</v>
      </c>
      <c r="Q296">
        <v>0</v>
      </c>
      <c r="R296" t="s">
        <v>45097</v>
      </c>
      <c r="S296" t="s">
        <v>45222</v>
      </c>
      <c r="T296" t="s">
        <v>46961</v>
      </c>
      <c r="U296" t="s">
        <v>47741</v>
      </c>
      <c r="W296" t="s">
        <v>41613</v>
      </c>
      <c r="X296" t="s">
        <v>45098</v>
      </c>
    </row>
    <row r="297" spans="1:24">
      <c r="A297">
        <f>HYPERLINK("https://www.philgeps.gov.ph/GEPSNONPILOT/Tender/SplashBidNoticeAbstractUI.aspx?menuIndex=3&amp;refID=7044406&amp;Result=3","7044406")</f>
        <v>0</v>
      </c>
      <c r="B297" t="s">
        <v>138</v>
      </c>
      <c r="C297" t="s">
        <v>3477</v>
      </c>
      <c r="D297" t="s">
        <v>18073</v>
      </c>
      <c r="E297" t="s">
        <v>18413</v>
      </c>
      <c r="F297" t="s">
        <v>31574</v>
      </c>
      <c r="G297" t="s">
        <v>31583</v>
      </c>
      <c r="H297" t="s">
        <v>31590</v>
      </c>
      <c r="I297" t="s">
        <v>4046</v>
      </c>
      <c r="J297" t="s">
        <v>31997</v>
      </c>
      <c r="K297" t="s">
        <v>41184</v>
      </c>
      <c r="M297" t="s">
        <v>41622</v>
      </c>
      <c r="N297" t="s">
        <v>45095</v>
      </c>
      <c r="O297" t="s">
        <v>45096</v>
      </c>
      <c r="P297">
        <v>0</v>
      </c>
      <c r="Q297">
        <v>0</v>
      </c>
      <c r="R297" t="s">
        <v>45097</v>
      </c>
      <c r="S297" t="s">
        <v>45222</v>
      </c>
      <c r="T297" t="s">
        <v>46952</v>
      </c>
      <c r="U297" t="s">
        <v>47742</v>
      </c>
      <c r="W297" t="s">
        <v>41622</v>
      </c>
      <c r="X297" t="s">
        <v>45098</v>
      </c>
    </row>
    <row r="298" spans="1:24">
      <c r="A298">
        <f>HYPERLINK("https://www.philgeps.gov.ph/GEPSNONPILOT/Tender/SplashBidNoticeAbstractUI.aspx?menuIndex=3&amp;refID=7044387&amp;Result=3","7044387")</f>
        <v>0</v>
      </c>
      <c r="B298" t="s">
        <v>139</v>
      </c>
      <c r="C298" t="s">
        <v>3478</v>
      </c>
      <c r="D298" t="s">
        <v>18028</v>
      </c>
      <c r="E298" t="s">
        <v>18227</v>
      </c>
      <c r="F298" t="s">
        <v>31574</v>
      </c>
      <c r="G298" t="s">
        <v>31582</v>
      </c>
      <c r="H298" t="s">
        <v>31591</v>
      </c>
      <c r="I298" t="s">
        <v>8822</v>
      </c>
      <c r="J298" t="s">
        <v>31998</v>
      </c>
      <c r="K298" t="s">
        <v>41189</v>
      </c>
      <c r="M298" t="s">
        <v>41623</v>
      </c>
      <c r="N298" t="s">
        <v>45095</v>
      </c>
      <c r="O298" t="s">
        <v>45096</v>
      </c>
      <c r="P298">
        <v>0</v>
      </c>
      <c r="Q298">
        <v>0</v>
      </c>
      <c r="R298" t="s">
        <v>45097</v>
      </c>
      <c r="S298" t="s">
        <v>45222</v>
      </c>
      <c r="T298" t="s">
        <v>46914</v>
      </c>
      <c r="U298" t="s">
        <v>47743</v>
      </c>
      <c r="W298" t="s">
        <v>41623</v>
      </c>
      <c r="X298" t="s">
        <v>45098</v>
      </c>
    </row>
    <row r="299" spans="1:24">
      <c r="A299">
        <f>HYPERLINK("https://www.philgeps.gov.ph/GEPSNONPILOT/Tender/SplashBidNoticeAbstractUI.aspx?menuIndex=3&amp;refID=7044404&amp;Result=3","7044404")</f>
        <v>0</v>
      </c>
      <c r="B299" t="s">
        <v>140</v>
      </c>
      <c r="C299" t="s">
        <v>3479</v>
      </c>
      <c r="D299" t="s">
        <v>18055</v>
      </c>
      <c r="E299" t="s">
        <v>18175</v>
      </c>
      <c r="F299" t="s">
        <v>31574</v>
      </c>
      <c r="G299" t="s">
        <v>31582</v>
      </c>
      <c r="H299" t="s">
        <v>31591</v>
      </c>
      <c r="I299" t="s">
        <v>4046</v>
      </c>
      <c r="J299" t="s">
        <v>31999</v>
      </c>
      <c r="K299" t="s">
        <v>41196</v>
      </c>
      <c r="M299" t="s">
        <v>41624</v>
      </c>
      <c r="N299" t="s">
        <v>45095</v>
      </c>
      <c r="O299" t="s">
        <v>45096</v>
      </c>
      <c r="P299">
        <v>0</v>
      </c>
      <c r="Q299">
        <v>0</v>
      </c>
      <c r="R299" t="s">
        <v>45097</v>
      </c>
      <c r="S299" t="s">
        <v>45222</v>
      </c>
      <c r="T299" t="s">
        <v>46965</v>
      </c>
      <c r="U299" t="s">
        <v>47744</v>
      </c>
      <c r="W299" t="s">
        <v>41624</v>
      </c>
      <c r="X299" t="s">
        <v>45098</v>
      </c>
    </row>
    <row r="300" spans="1:24">
      <c r="A300">
        <f>HYPERLINK("https://www.philgeps.gov.ph/GEPSNONPILOT/Tender/SplashBidNoticeAbstractUI.aspx?menuIndex=3&amp;refID=7044386&amp;Result=3","7044386")</f>
        <v>0</v>
      </c>
      <c r="B300" t="s">
        <v>141</v>
      </c>
      <c r="C300" t="s">
        <v>3480</v>
      </c>
      <c r="D300" t="s">
        <v>18074</v>
      </c>
      <c r="E300" t="s">
        <v>18414</v>
      </c>
      <c r="F300" t="s">
        <v>31574</v>
      </c>
      <c r="G300" t="s">
        <v>31581</v>
      </c>
      <c r="H300" t="s">
        <v>31590</v>
      </c>
      <c r="I300" t="s">
        <v>31608</v>
      </c>
      <c r="J300" t="s">
        <v>32000</v>
      </c>
      <c r="K300" t="s">
        <v>41184</v>
      </c>
      <c r="M300" t="s">
        <v>41625</v>
      </c>
      <c r="N300" t="s">
        <v>45095</v>
      </c>
      <c r="O300" t="s">
        <v>45096</v>
      </c>
      <c r="P300">
        <v>0</v>
      </c>
      <c r="Q300">
        <v>0</v>
      </c>
      <c r="R300" t="s">
        <v>45097</v>
      </c>
      <c r="S300" t="s">
        <v>45222</v>
      </c>
      <c r="T300" t="s">
        <v>46966</v>
      </c>
      <c r="U300" t="s">
        <v>47745</v>
      </c>
      <c r="W300" t="s">
        <v>41625</v>
      </c>
      <c r="X300" t="s">
        <v>45098</v>
      </c>
    </row>
    <row r="301" spans="1:24">
      <c r="A301">
        <f>HYPERLINK("https://www.philgeps.gov.ph/GEPSNONPILOT/Tender/SplashBidNoticeAbstractUI.aspx?menuIndex=3&amp;refID=7044408&amp;Result=3","7044408")</f>
        <v>0</v>
      </c>
      <c r="B301" t="s">
        <v>125</v>
      </c>
      <c r="C301" t="s">
        <v>3481</v>
      </c>
      <c r="D301" t="s">
        <v>18039</v>
      </c>
      <c r="E301" t="s">
        <v>18415</v>
      </c>
      <c r="F301" t="s">
        <v>31574</v>
      </c>
      <c r="G301" t="s">
        <v>31581</v>
      </c>
      <c r="H301" t="s">
        <v>31590</v>
      </c>
      <c r="I301" t="s">
        <v>31634</v>
      </c>
      <c r="J301" t="s">
        <v>32001</v>
      </c>
      <c r="K301" t="s">
        <v>41184</v>
      </c>
      <c r="M301" t="s">
        <v>41609</v>
      </c>
      <c r="N301" t="s">
        <v>45095</v>
      </c>
      <c r="O301" t="s">
        <v>45096</v>
      </c>
      <c r="P301">
        <v>0</v>
      </c>
      <c r="Q301">
        <v>0</v>
      </c>
      <c r="R301" t="s">
        <v>45097</v>
      </c>
      <c r="S301" t="s">
        <v>45222</v>
      </c>
      <c r="T301" t="s">
        <v>46904</v>
      </c>
      <c r="U301" t="s">
        <v>47746</v>
      </c>
      <c r="W301" t="s">
        <v>41609</v>
      </c>
      <c r="X301" t="s">
        <v>45098</v>
      </c>
    </row>
    <row r="302" spans="1:24">
      <c r="A302">
        <f>HYPERLINK("https://www.philgeps.gov.ph/GEPSNONPILOT/Tender/SplashBidNoticeAbstractUI.aspx?menuIndex=3&amp;refID=7044422&amp;Result=3","7044422")</f>
        <v>0</v>
      </c>
      <c r="B302" t="s">
        <v>133</v>
      </c>
      <c r="C302" t="s">
        <v>3482</v>
      </c>
      <c r="D302" t="s">
        <v>18065</v>
      </c>
      <c r="E302" t="s">
        <v>18379</v>
      </c>
      <c r="F302" t="s">
        <v>31574</v>
      </c>
      <c r="G302" t="s">
        <v>31583</v>
      </c>
      <c r="H302" t="s">
        <v>31590</v>
      </c>
      <c r="I302" t="s">
        <v>8258</v>
      </c>
      <c r="J302" t="s">
        <v>32002</v>
      </c>
      <c r="K302" t="s">
        <v>41196</v>
      </c>
      <c r="M302" t="s">
        <v>41617</v>
      </c>
      <c r="N302" t="s">
        <v>45095</v>
      </c>
      <c r="O302" t="s">
        <v>45096</v>
      </c>
      <c r="P302">
        <v>0</v>
      </c>
      <c r="Q302">
        <v>0</v>
      </c>
      <c r="R302" t="s">
        <v>45097</v>
      </c>
      <c r="S302" t="s">
        <v>45222</v>
      </c>
      <c r="T302" t="s">
        <v>46935</v>
      </c>
      <c r="U302" t="s">
        <v>47731</v>
      </c>
      <c r="W302" t="s">
        <v>41617</v>
      </c>
      <c r="X302" t="s">
        <v>45098</v>
      </c>
    </row>
    <row r="303" spans="1:24">
      <c r="A303">
        <f>HYPERLINK("https://www.philgeps.gov.ph/GEPSNONPILOT/Tender/SplashBidNoticeAbstractUI.aspx?menuIndex=3&amp;refID=7044403&amp;Result=3","7044403")</f>
        <v>0</v>
      </c>
      <c r="B303" t="s">
        <v>142</v>
      </c>
      <c r="C303" t="s">
        <v>3483</v>
      </c>
      <c r="D303" t="s">
        <v>18052</v>
      </c>
      <c r="E303" t="s">
        <v>18416</v>
      </c>
      <c r="F303" t="s">
        <v>31574</v>
      </c>
      <c r="G303" t="s">
        <v>31582</v>
      </c>
      <c r="H303" t="s">
        <v>31590</v>
      </c>
      <c r="I303" t="s">
        <v>4327</v>
      </c>
      <c r="J303" t="s">
        <v>31927</v>
      </c>
      <c r="K303" t="s">
        <v>41185</v>
      </c>
      <c r="M303" t="s">
        <v>41626</v>
      </c>
      <c r="N303" t="s">
        <v>45095</v>
      </c>
      <c r="O303" t="s">
        <v>45096</v>
      </c>
      <c r="P303">
        <v>0</v>
      </c>
      <c r="Q303">
        <v>0</v>
      </c>
      <c r="R303" t="s">
        <v>45097</v>
      </c>
      <c r="S303" t="s">
        <v>45222</v>
      </c>
      <c r="T303" t="s">
        <v>46938</v>
      </c>
      <c r="U303" t="s">
        <v>47747</v>
      </c>
      <c r="W303" t="s">
        <v>41626</v>
      </c>
      <c r="X303" t="s">
        <v>45098</v>
      </c>
    </row>
    <row r="304" spans="1:24">
      <c r="A304">
        <f>HYPERLINK("https://www.philgeps.gov.ph/GEPSNONPILOT/Tender/SplashBidNoticeAbstractUI.aspx?menuIndex=3&amp;refID=7044421&amp;Result=3","7044421")</f>
        <v>0</v>
      </c>
      <c r="B304" t="s">
        <v>127</v>
      </c>
      <c r="C304" t="s">
        <v>3470</v>
      </c>
      <c r="E304" t="s">
        <v>18417</v>
      </c>
      <c r="F304" t="s">
        <v>31574</v>
      </c>
      <c r="G304" t="s">
        <v>31581</v>
      </c>
      <c r="H304" t="s">
        <v>31590</v>
      </c>
      <c r="I304" t="s">
        <v>31603</v>
      </c>
      <c r="J304" t="s">
        <v>31947</v>
      </c>
      <c r="K304" t="s">
        <v>41184</v>
      </c>
      <c r="M304" t="s">
        <v>41611</v>
      </c>
      <c r="N304" t="s">
        <v>45095</v>
      </c>
      <c r="O304" t="s">
        <v>45096</v>
      </c>
      <c r="P304">
        <v>0</v>
      </c>
      <c r="Q304">
        <v>0</v>
      </c>
      <c r="R304" t="s">
        <v>45097</v>
      </c>
      <c r="S304" t="s">
        <v>45222</v>
      </c>
      <c r="T304" t="s">
        <v>46952</v>
      </c>
      <c r="U304" t="s">
        <v>47748</v>
      </c>
      <c r="W304" t="s">
        <v>41611</v>
      </c>
      <c r="X304" t="s">
        <v>45098</v>
      </c>
    </row>
    <row r="305" spans="1:24">
      <c r="A305">
        <f>HYPERLINK("https://www.philgeps.gov.ph/GEPSNONPILOT/Tender/SplashBidNoticeAbstractUI.aspx?menuIndex=3&amp;refID=7044415&amp;Result=3","7044415")</f>
        <v>0</v>
      </c>
      <c r="B305" t="s">
        <v>143</v>
      </c>
      <c r="C305" t="s">
        <v>3484</v>
      </c>
      <c r="D305" t="s">
        <v>18075</v>
      </c>
      <c r="E305" t="s">
        <v>18418</v>
      </c>
      <c r="F305" t="s">
        <v>31574</v>
      </c>
      <c r="G305" t="s">
        <v>31582</v>
      </c>
      <c r="H305" t="s">
        <v>31590</v>
      </c>
      <c r="I305" t="s">
        <v>31615</v>
      </c>
      <c r="J305" t="s">
        <v>31758</v>
      </c>
      <c r="K305" t="s">
        <v>41196</v>
      </c>
      <c r="M305" t="s">
        <v>41627</v>
      </c>
      <c r="N305" t="s">
        <v>45095</v>
      </c>
      <c r="O305" t="s">
        <v>45096</v>
      </c>
      <c r="P305">
        <v>0</v>
      </c>
      <c r="Q305">
        <v>4</v>
      </c>
      <c r="R305" t="s">
        <v>45097</v>
      </c>
      <c r="S305" t="s">
        <v>45222</v>
      </c>
      <c r="T305" t="s">
        <v>46967</v>
      </c>
      <c r="U305" t="s">
        <v>47749</v>
      </c>
      <c r="W305" t="s">
        <v>41627</v>
      </c>
      <c r="X305" t="s">
        <v>45098</v>
      </c>
    </row>
    <row r="306" spans="1:24">
      <c r="A306">
        <f>HYPERLINK("https://www.philgeps.gov.ph/GEPSNONPILOT/Tender/SplashBidNoticeAbstractUI.aspx?menuIndex=3&amp;refID=7044413&amp;Result=3","7044413")</f>
        <v>0</v>
      </c>
      <c r="B306" t="s">
        <v>132</v>
      </c>
      <c r="C306" t="s">
        <v>3485</v>
      </c>
      <c r="D306" t="s">
        <v>18059</v>
      </c>
      <c r="E306" t="s">
        <v>18419</v>
      </c>
      <c r="F306" t="s">
        <v>31574</v>
      </c>
      <c r="G306" t="s">
        <v>31581</v>
      </c>
      <c r="H306" t="s">
        <v>31590</v>
      </c>
      <c r="I306" t="s">
        <v>5222</v>
      </c>
      <c r="J306" t="s">
        <v>32003</v>
      </c>
      <c r="K306" t="s">
        <v>41193</v>
      </c>
      <c r="M306" t="s">
        <v>41616</v>
      </c>
      <c r="N306" t="s">
        <v>45095</v>
      </c>
      <c r="O306" t="s">
        <v>45096</v>
      </c>
      <c r="P306">
        <v>0</v>
      </c>
      <c r="Q306">
        <v>0</v>
      </c>
      <c r="R306" t="s">
        <v>45097</v>
      </c>
      <c r="S306" t="s">
        <v>45222</v>
      </c>
      <c r="T306" t="s">
        <v>46926</v>
      </c>
      <c r="U306" t="s">
        <v>47750</v>
      </c>
      <c r="W306" t="s">
        <v>41616</v>
      </c>
      <c r="X306" t="s">
        <v>45098</v>
      </c>
    </row>
    <row r="307" spans="1:24">
      <c r="A307">
        <f>HYPERLINK("https://www.philgeps.gov.ph/GEPSNONPILOT/Tender/SplashBidNoticeAbstractUI.aspx?menuIndex=3&amp;refID=7044418&amp;Result=3","7044418")</f>
        <v>0</v>
      </c>
      <c r="B307" t="s">
        <v>144</v>
      </c>
      <c r="C307" t="s">
        <v>3486</v>
      </c>
      <c r="D307" t="s">
        <v>18076</v>
      </c>
      <c r="E307" t="s">
        <v>18420</v>
      </c>
      <c r="F307" t="s">
        <v>31574</v>
      </c>
      <c r="G307" t="s">
        <v>31583</v>
      </c>
      <c r="H307" t="s">
        <v>31590</v>
      </c>
      <c r="I307" t="s">
        <v>7185</v>
      </c>
      <c r="J307" t="s">
        <v>32004</v>
      </c>
      <c r="K307" t="s">
        <v>41193</v>
      </c>
      <c r="M307" t="s">
        <v>41628</v>
      </c>
      <c r="N307" t="s">
        <v>45095</v>
      </c>
      <c r="O307" t="s">
        <v>45096</v>
      </c>
      <c r="P307">
        <v>0</v>
      </c>
      <c r="Q307">
        <v>0</v>
      </c>
      <c r="R307" t="s">
        <v>45097</v>
      </c>
      <c r="S307" t="s">
        <v>45222</v>
      </c>
      <c r="T307" t="s">
        <v>46918</v>
      </c>
      <c r="U307" t="s">
        <v>47751</v>
      </c>
      <c r="W307" t="s">
        <v>41628</v>
      </c>
      <c r="X307" t="s">
        <v>45098</v>
      </c>
    </row>
    <row r="308" spans="1:24">
      <c r="A308">
        <f>HYPERLINK("https://www.philgeps.gov.ph/GEPSNONPILOT/Tender/SplashBidNoticeAbstractUI.aspx?menuIndex=3&amp;refID=7044416&amp;Result=3","7044416")</f>
        <v>0</v>
      </c>
      <c r="B308" t="s">
        <v>145</v>
      </c>
      <c r="C308" t="s">
        <v>3487</v>
      </c>
      <c r="D308" t="s">
        <v>18052</v>
      </c>
      <c r="E308" t="s">
        <v>18421</v>
      </c>
      <c r="F308" t="s">
        <v>31574</v>
      </c>
      <c r="G308" t="s">
        <v>31581</v>
      </c>
      <c r="H308" t="s">
        <v>31590</v>
      </c>
      <c r="I308" t="s">
        <v>3487</v>
      </c>
      <c r="J308" t="s">
        <v>32005</v>
      </c>
      <c r="K308" t="s">
        <v>41184</v>
      </c>
      <c r="M308" t="s">
        <v>41629</v>
      </c>
      <c r="N308" t="s">
        <v>45095</v>
      </c>
      <c r="O308" t="s">
        <v>45096</v>
      </c>
      <c r="P308">
        <v>0</v>
      </c>
      <c r="Q308">
        <v>0</v>
      </c>
      <c r="R308" t="s">
        <v>45097</v>
      </c>
      <c r="S308" t="s">
        <v>45222</v>
      </c>
      <c r="T308" t="s">
        <v>46961</v>
      </c>
      <c r="U308" t="s">
        <v>47752</v>
      </c>
      <c r="V308" t="s">
        <v>59889</v>
      </c>
      <c r="W308" t="s">
        <v>41629</v>
      </c>
      <c r="X308" t="s">
        <v>45098</v>
      </c>
    </row>
    <row r="309" spans="1:24">
      <c r="A309">
        <f>HYPERLINK("https://www.philgeps.gov.ph/GEPSNONPILOT/Tender/SplashBidNoticeAbstractUI.aspx?menuIndex=3&amp;refID=7044409&amp;Result=3","7044409")</f>
        <v>0</v>
      </c>
      <c r="B309" t="s">
        <v>133</v>
      </c>
      <c r="C309" t="s">
        <v>3488</v>
      </c>
      <c r="D309" t="s">
        <v>18065</v>
      </c>
      <c r="E309" t="s">
        <v>18377</v>
      </c>
      <c r="F309" t="s">
        <v>31574</v>
      </c>
      <c r="G309" t="s">
        <v>31583</v>
      </c>
      <c r="H309" t="s">
        <v>31590</v>
      </c>
      <c r="I309" t="s">
        <v>31603</v>
      </c>
      <c r="J309" t="s">
        <v>32006</v>
      </c>
      <c r="K309" t="s">
        <v>41196</v>
      </c>
      <c r="M309" t="s">
        <v>41617</v>
      </c>
      <c r="N309" t="s">
        <v>45095</v>
      </c>
      <c r="O309" t="s">
        <v>45096</v>
      </c>
      <c r="P309">
        <v>0</v>
      </c>
      <c r="Q309">
        <v>0</v>
      </c>
      <c r="R309" t="s">
        <v>45097</v>
      </c>
      <c r="S309" t="s">
        <v>45222</v>
      </c>
      <c r="T309" t="s">
        <v>46935</v>
      </c>
      <c r="U309" t="s">
        <v>47731</v>
      </c>
      <c r="W309" t="s">
        <v>41617</v>
      </c>
      <c r="X309" t="s">
        <v>45098</v>
      </c>
    </row>
    <row r="310" spans="1:24">
      <c r="A310">
        <f>HYPERLINK("https://www.philgeps.gov.ph/GEPSNONPILOT/Tender/SplashBidNoticeAbstractUI.aspx?menuIndex=3&amp;refID=7044412&amp;Result=3","7044412")</f>
        <v>0</v>
      </c>
      <c r="B310" t="s">
        <v>146</v>
      </c>
      <c r="C310" t="s">
        <v>3489</v>
      </c>
      <c r="D310" t="s">
        <v>18042</v>
      </c>
      <c r="E310" t="s">
        <v>18422</v>
      </c>
      <c r="F310" t="s">
        <v>31574</v>
      </c>
      <c r="G310" t="s">
        <v>31583</v>
      </c>
      <c r="H310" t="s">
        <v>31590</v>
      </c>
      <c r="I310" t="s">
        <v>3489</v>
      </c>
      <c r="J310" t="s">
        <v>32007</v>
      </c>
      <c r="K310" t="s">
        <v>41213</v>
      </c>
      <c r="M310" t="s">
        <v>41630</v>
      </c>
      <c r="N310" t="s">
        <v>45095</v>
      </c>
      <c r="O310" t="s">
        <v>45096</v>
      </c>
      <c r="P310">
        <v>0</v>
      </c>
      <c r="Q310">
        <v>0</v>
      </c>
      <c r="R310" t="s">
        <v>45097</v>
      </c>
      <c r="S310" t="s">
        <v>45222</v>
      </c>
      <c r="T310" t="s">
        <v>46955</v>
      </c>
      <c r="U310" t="s">
        <v>47753</v>
      </c>
      <c r="W310" t="s">
        <v>41630</v>
      </c>
      <c r="X310" t="s">
        <v>45098</v>
      </c>
    </row>
    <row r="311" spans="1:24">
      <c r="A311">
        <f>HYPERLINK("https://www.philgeps.gov.ph/GEPSNONPILOT/Tender/SplashBidNoticeAbstractUI.aspx?menuIndex=3&amp;refID=7044427&amp;Result=3","7044427")</f>
        <v>0</v>
      </c>
      <c r="B311" t="s">
        <v>144</v>
      </c>
      <c r="C311" t="s">
        <v>3490</v>
      </c>
      <c r="D311" t="s">
        <v>18076</v>
      </c>
      <c r="E311" t="s">
        <v>18423</v>
      </c>
      <c r="F311" t="s">
        <v>31574</v>
      </c>
      <c r="G311" t="s">
        <v>31581</v>
      </c>
      <c r="H311" t="s">
        <v>31590</v>
      </c>
      <c r="I311" t="s">
        <v>31626</v>
      </c>
      <c r="J311" t="s">
        <v>32008</v>
      </c>
      <c r="K311" t="s">
        <v>41193</v>
      </c>
      <c r="M311" t="s">
        <v>41628</v>
      </c>
      <c r="N311" t="s">
        <v>45095</v>
      </c>
      <c r="O311" t="s">
        <v>45096</v>
      </c>
      <c r="P311">
        <v>0</v>
      </c>
      <c r="Q311">
        <v>0</v>
      </c>
      <c r="R311" t="s">
        <v>45097</v>
      </c>
      <c r="S311" t="s">
        <v>45222</v>
      </c>
      <c r="T311" t="s">
        <v>46918</v>
      </c>
      <c r="U311" t="s">
        <v>47754</v>
      </c>
      <c r="W311" t="s">
        <v>41628</v>
      </c>
      <c r="X311" t="s">
        <v>45098</v>
      </c>
    </row>
    <row r="312" spans="1:24">
      <c r="A312">
        <f>HYPERLINK("https://www.philgeps.gov.ph/GEPSNONPILOT/Tender/SplashBidNoticeAbstractUI.aspx?menuIndex=3&amp;refID=7044428&amp;Result=3","7044428")</f>
        <v>0</v>
      </c>
      <c r="B312" t="s">
        <v>147</v>
      </c>
      <c r="C312" t="s">
        <v>3328</v>
      </c>
      <c r="D312" t="s">
        <v>18022</v>
      </c>
      <c r="E312" t="s">
        <v>18424</v>
      </c>
      <c r="F312" t="s">
        <v>31574</v>
      </c>
      <c r="G312" t="s">
        <v>31583</v>
      </c>
      <c r="H312" t="s">
        <v>31590</v>
      </c>
      <c r="I312" t="s">
        <v>6800</v>
      </c>
      <c r="J312" t="s">
        <v>31845</v>
      </c>
      <c r="K312" t="s">
        <v>41193</v>
      </c>
      <c r="M312" t="s">
        <v>41631</v>
      </c>
      <c r="N312" t="s">
        <v>45095</v>
      </c>
      <c r="O312" t="s">
        <v>45096</v>
      </c>
      <c r="P312">
        <v>0</v>
      </c>
      <c r="Q312">
        <v>0</v>
      </c>
      <c r="R312" t="s">
        <v>45097</v>
      </c>
      <c r="S312" t="s">
        <v>45222</v>
      </c>
      <c r="T312" t="s">
        <v>46968</v>
      </c>
      <c r="U312" t="s">
        <v>47755</v>
      </c>
      <c r="W312" t="s">
        <v>41631</v>
      </c>
      <c r="X312" t="s">
        <v>45098</v>
      </c>
    </row>
    <row r="313" spans="1:24">
      <c r="A313">
        <f>HYPERLINK("https://www.philgeps.gov.ph/GEPSNONPILOT/Tender/SplashBidNoticeAbstractUI.aspx?menuIndex=3&amp;refID=7044411&amp;Result=3","7044411")</f>
        <v>0</v>
      </c>
      <c r="B313" t="s">
        <v>148</v>
      </c>
      <c r="C313" t="s">
        <v>3491</v>
      </c>
      <c r="D313" t="s">
        <v>18025</v>
      </c>
      <c r="E313" t="s">
        <v>18425</v>
      </c>
      <c r="F313" t="s">
        <v>31574</v>
      </c>
      <c r="G313" t="s">
        <v>31581</v>
      </c>
      <c r="H313" t="s">
        <v>31590</v>
      </c>
      <c r="I313" t="s">
        <v>31619</v>
      </c>
      <c r="J313" t="s">
        <v>31789</v>
      </c>
      <c r="K313" t="s">
        <v>41213</v>
      </c>
      <c r="M313" t="s">
        <v>41632</v>
      </c>
      <c r="N313" t="s">
        <v>45095</v>
      </c>
      <c r="O313" t="s">
        <v>45096</v>
      </c>
      <c r="P313">
        <v>0</v>
      </c>
      <c r="Q313">
        <v>0</v>
      </c>
      <c r="R313" t="s">
        <v>45097</v>
      </c>
      <c r="S313" t="s">
        <v>45222</v>
      </c>
      <c r="T313" t="s">
        <v>46969</v>
      </c>
      <c r="U313" t="s">
        <v>47756</v>
      </c>
      <c r="W313" t="s">
        <v>41632</v>
      </c>
      <c r="X313" t="s">
        <v>45098</v>
      </c>
    </row>
    <row r="314" spans="1:24">
      <c r="A314">
        <f>HYPERLINK("https://www.philgeps.gov.ph/GEPSNONPILOT/Tender/SplashBidNoticeAbstractUI.aspx?menuIndex=3&amp;refID=7044420&amp;Result=3","7044420")</f>
        <v>0</v>
      </c>
      <c r="B314" t="s">
        <v>149</v>
      </c>
      <c r="C314" t="s">
        <v>3492</v>
      </c>
      <c r="D314" t="s">
        <v>18035</v>
      </c>
      <c r="E314" t="s">
        <v>18426</v>
      </c>
      <c r="F314" t="s">
        <v>31574</v>
      </c>
      <c r="G314" t="s">
        <v>31581</v>
      </c>
      <c r="H314" t="s">
        <v>31590</v>
      </c>
      <c r="I314" t="s">
        <v>6800</v>
      </c>
      <c r="J314" t="s">
        <v>32009</v>
      </c>
      <c r="K314" t="s">
        <v>41193</v>
      </c>
      <c r="M314" t="s">
        <v>41633</v>
      </c>
      <c r="N314" t="s">
        <v>45095</v>
      </c>
      <c r="O314" t="s">
        <v>45096</v>
      </c>
      <c r="P314">
        <v>0</v>
      </c>
      <c r="Q314">
        <v>0</v>
      </c>
      <c r="R314" t="s">
        <v>45097</v>
      </c>
      <c r="S314" t="s">
        <v>45222</v>
      </c>
      <c r="T314" t="s">
        <v>46946</v>
      </c>
      <c r="U314" t="s">
        <v>47757</v>
      </c>
      <c r="W314" t="s">
        <v>41633</v>
      </c>
      <c r="X314" t="s">
        <v>45098</v>
      </c>
    </row>
    <row r="315" spans="1:24">
      <c r="A315">
        <f>HYPERLINK("https://www.philgeps.gov.ph/GEPSNONPILOT/Tender/SplashBidNoticeAbstractUI.aspx?menuIndex=3&amp;refID=7044424&amp;Result=3","7044424")</f>
        <v>0</v>
      </c>
      <c r="B315" t="s">
        <v>150</v>
      </c>
      <c r="C315" t="s">
        <v>3493</v>
      </c>
      <c r="D315" t="s">
        <v>18077</v>
      </c>
      <c r="E315" t="s">
        <v>18427</v>
      </c>
      <c r="F315" t="s">
        <v>31574</v>
      </c>
      <c r="G315" t="s">
        <v>31581</v>
      </c>
      <c r="H315" t="s">
        <v>31590</v>
      </c>
      <c r="I315" t="s">
        <v>4327</v>
      </c>
      <c r="J315" t="s">
        <v>32010</v>
      </c>
      <c r="K315" t="s">
        <v>41196</v>
      </c>
      <c r="M315" t="s">
        <v>41634</v>
      </c>
      <c r="N315" t="s">
        <v>45095</v>
      </c>
      <c r="O315" t="s">
        <v>45096</v>
      </c>
      <c r="P315">
        <v>0</v>
      </c>
      <c r="Q315">
        <v>0</v>
      </c>
      <c r="R315" t="s">
        <v>45097</v>
      </c>
      <c r="S315" t="s">
        <v>45222</v>
      </c>
      <c r="T315" t="s">
        <v>46966</v>
      </c>
      <c r="U315" t="s">
        <v>47758</v>
      </c>
      <c r="W315" t="s">
        <v>41634</v>
      </c>
      <c r="X315" t="s">
        <v>45098</v>
      </c>
    </row>
    <row r="316" spans="1:24">
      <c r="A316">
        <f>HYPERLINK("https://www.philgeps.gov.ph/GEPSNONPILOT/Tender/SplashBidNoticeAbstractUI.aspx?menuIndex=3&amp;refID=7044426&amp;Result=3","7044426")</f>
        <v>0</v>
      </c>
      <c r="B316" t="s">
        <v>151</v>
      </c>
      <c r="C316" t="s">
        <v>3494</v>
      </c>
      <c r="D316" t="s">
        <v>18070</v>
      </c>
      <c r="E316" t="s">
        <v>18428</v>
      </c>
      <c r="F316" t="s">
        <v>31574</v>
      </c>
      <c r="G316" t="s">
        <v>31581</v>
      </c>
      <c r="H316" t="s">
        <v>31590</v>
      </c>
      <c r="I316" t="s">
        <v>14544</v>
      </c>
      <c r="J316" t="s">
        <v>32011</v>
      </c>
      <c r="K316" t="s">
        <v>41193</v>
      </c>
      <c r="M316" t="s">
        <v>41635</v>
      </c>
      <c r="N316" t="s">
        <v>45095</v>
      </c>
      <c r="O316" t="s">
        <v>45096</v>
      </c>
      <c r="P316">
        <v>0</v>
      </c>
      <c r="Q316">
        <v>0</v>
      </c>
      <c r="R316" t="s">
        <v>45097</v>
      </c>
      <c r="S316" t="s">
        <v>45222</v>
      </c>
      <c r="T316" t="s">
        <v>46913</v>
      </c>
      <c r="U316" t="s">
        <v>47759</v>
      </c>
      <c r="W316" t="s">
        <v>61654</v>
      </c>
      <c r="X316" t="s">
        <v>45098</v>
      </c>
    </row>
    <row r="317" spans="1:24">
      <c r="A317">
        <f>HYPERLINK("https://www.philgeps.gov.ph/GEPSNONPILOT/Tender/SplashBidNoticeAbstractUI.aspx?menuIndex=3&amp;refID=7044419&amp;Result=3","7044419")</f>
        <v>0</v>
      </c>
      <c r="B317" t="s">
        <v>152</v>
      </c>
      <c r="C317" t="s">
        <v>3495</v>
      </c>
      <c r="D317" t="s">
        <v>18072</v>
      </c>
      <c r="E317" t="s">
        <v>18429</v>
      </c>
      <c r="F317" t="s">
        <v>31574</v>
      </c>
      <c r="G317" t="s">
        <v>31581</v>
      </c>
      <c r="H317" t="s">
        <v>31590</v>
      </c>
      <c r="I317" t="s">
        <v>31598</v>
      </c>
      <c r="J317" t="s">
        <v>32012</v>
      </c>
      <c r="K317" t="s">
        <v>41211</v>
      </c>
      <c r="M317" t="s">
        <v>41636</v>
      </c>
      <c r="N317" t="s">
        <v>45095</v>
      </c>
      <c r="O317" t="s">
        <v>45096</v>
      </c>
      <c r="P317">
        <v>0</v>
      </c>
      <c r="Q317">
        <v>0</v>
      </c>
      <c r="R317" t="s">
        <v>45097</v>
      </c>
      <c r="S317" t="s">
        <v>45222</v>
      </c>
      <c r="T317" t="s">
        <v>46918</v>
      </c>
      <c r="U317" t="s">
        <v>47760</v>
      </c>
      <c r="W317" t="s">
        <v>41636</v>
      </c>
      <c r="X317" t="s">
        <v>45098</v>
      </c>
    </row>
    <row r="318" spans="1:24">
      <c r="A318">
        <f>HYPERLINK("https://www.philgeps.gov.ph/GEPSNONPILOT/Tender/SplashBidNoticeAbstractUI.aspx?menuIndex=3&amp;refID=7044414&amp;Result=3","7044414")</f>
        <v>0</v>
      </c>
      <c r="B318" t="s">
        <v>153</v>
      </c>
      <c r="C318" t="s">
        <v>3496</v>
      </c>
      <c r="D318" t="s">
        <v>18035</v>
      </c>
      <c r="E318" t="s">
        <v>18430</v>
      </c>
      <c r="F318" t="s">
        <v>31574</v>
      </c>
      <c r="G318" t="s">
        <v>31581</v>
      </c>
      <c r="H318" t="s">
        <v>31590</v>
      </c>
      <c r="I318" t="s">
        <v>31635</v>
      </c>
      <c r="J318" t="s">
        <v>32013</v>
      </c>
      <c r="K318" t="s">
        <v>41191</v>
      </c>
      <c r="M318" t="s">
        <v>41637</v>
      </c>
      <c r="N318" t="s">
        <v>45095</v>
      </c>
      <c r="O318" t="s">
        <v>45096</v>
      </c>
      <c r="P318">
        <v>0</v>
      </c>
      <c r="Q318">
        <v>0</v>
      </c>
      <c r="R318" t="s">
        <v>45097</v>
      </c>
      <c r="S318" t="s">
        <v>45222</v>
      </c>
      <c r="T318" t="s">
        <v>46911</v>
      </c>
      <c r="U318" t="s">
        <v>47761</v>
      </c>
      <c r="W318" t="s">
        <v>41637</v>
      </c>
      <c r="X318" t="s">
        <v>45098</v>
      </c>
    </row>
    <row r="319" spans="1:24">
      <c r="A319">
        <f>HYPERLINK("https://www.philgeps.gov.ph/GEPSNONPILOT/Tender/SplashBidNoticeAbstractUI.aspx?menuIndex=3&amp;refID=7044430&amp;Result=3","7044430")</f>
        <v>0</v>
      </c>
      <c r="B319" t="s">
        <v>111</v>
      </c>
      <c r="C319" t="s">
        <v>3497</v>
      </c>
      <c r="D319" t="s">
        <v>18041</v>
      </c>
      <c r="E319" t="s">
        <v>18431</v>
      </c>
      <c r="F319" t="s">
        <v>31574</v>
      </c>
      <c r="G319" t="s">
        <v>31581</v>
      </c>
      <c r="H319" t="s">
        <v>31590</v>
      </c>
      <c r="I319" t="s">
        <v>4327</v>
      </c>
      <c r="J319" t="s">
        <v>32014</v>
      </c>
      <c r="K319" t="s">
        <v>41186</v>
      </c>
      <c r="M319" t="s">
        <v>41595</v>
      </c>
      <c r="N319" t="s">
        <v>45095</v>
      </c>
      <c r="O319" t="s">
        <v>45096</v>
      </c>
      <c r="P319">
        <v>0</v>
      </c>
      <c r="Q319">
        <v>0</v>
      </c>
      <c r="R319" t="s">
        <v>45097</v>
      </c>
      <c r="S319" t="s">
        <v>45222</v>
      </c>
      <c r="T319" t="s">
        <v>46918</v>
      </c>
      <c r="U319" t="s">
        <v>47762</v>
      </c>
      <c r="W319" t="s">
        <v>41595</v>
      </c>
      <c r="X319" t="s">
        <v>45098</v>
      </c>
    </row>
    <row r="320" spans="1:24">
      <c r="A320">
        <f>HYPERLINK("https://www.philgeps.gov.ph/GEPSNONPILOT/Tender/SplashBidNoticeAbstractUI.aspx?menuIndex=3&amp;refID=7044423&amp;Result=3","7044423")</f>
        <v>0</v>
      </c>
      <c r="B320" t="s">
        <v>124</v>
      </c>
      <c r="C320" t="s">
        <v>3498</v>
      </c>
      <c r="D320" t="s">
        <v>18065</v>
      </c>
      <c r="E320" t="s">
        <v>18432</v>
      </c>
      <c r="F320" t="s">
        <v>31574</v>
      </c>
      <c r="G320" t="s">
        <v>31581</v>
      </c>
      <c r="H320" t="s">
        <v>31590</v>
      </c>
      <c r="I320" t="s">
        <v>14544</v>
      </c>
      <c r="J320" t="s">
        <v>31741</v>
      </c>
      <c r="K320" t="s">
        <v>41184</v>
      </c>
      <c r="M320" t="s">
        <v>41608</v>
      </c>
      <c r="N320" t="s">
        <v>45095</v>
      </c>
      <c r="O320" t="s">
        <v>45096</v>
      </c>
      <c r="P320">
        <v>0</v>
      </c>
      <c r="Q320">
        <v>0</v>
      </c>
      <c r="R320" t="s">
        <v>45097</v>
      </c>
      <c r="S320" t="s">
        <v>45222</v>
      </c>
      <c r="T320" t="s">
        <v>46934</v>
      </c>
      <c r="U320" t="s">
        <v>47763</v>
      </c>
      <c r="W320" t="s">
        <v>41608</v>
      </c>
      <c r="X320" t="s">
        <v>45098</v>
      </c>
    </row>
    <row r="321" spans="1:24">
      <c r="A321">
        <f>HYPERLINK("https://www.philgeps.gov.ph/GEPSNONPILOT/Tender/SplashBidNoticeAbstractUI.aspx?menuIndex=3&amp;refID=7044417&amp;Result=3","7044417")</f>
        <v>0</v>
      </c>
      <c r="B321" t="s">
        <v>154</v>
      </c>
      <c r="C321" t="s">
        <v>3499</v>
      </c>
      <c r="D321" t="s">
        <v>18063</v>
      </c>
      <c r="E321" t="s">
        <v>18433</v>
      </c>
      <c r="F321" t="s">
        <v>31574</v>
      </c>
      <c r="G321" t="s">
        <v>31583</v>
      </c>
      <c r="H321" t="s">
        <v>31590</v>
      </c>
      <c r="I321" t="s">
        <v>31608</v>
      </c>
      <c r="J321" t="s">
        <v>32015</v>
      </c>
      <c r="K321" t="s">
        <v>41190</v>
      </c>
      <c r="M321" t="s">
        <v>41638</v>
      </c>
      <c r="N321" t="s">
        <v>45095</v>
      </c>
      <c r="O321" t="s">
        <v>45096</v>
      </c>
      <c r="P321">
        <v>0</v>
      </c>
      <c r="Q321">
        <v>0</v>
      </c>
      <c r="R321" t="s">
        <v>45097</v>
      </c>
      <c r="S321" t="s">
        <v>45222</v>
      </c>
      <c r="T321" t="s">
        <v>46914</v>
      </c>
      <c r="U321" t="s">
        <v>47764</v>
      </c>
      <c r="W321" t="s">
        <v>41638</v>
      </c>
      <c r="X321" t="s">
        <v>45098</v>
      </c>
    </row>
    <row r="322" spans="1:24">
      <c r="A322">
        <f>HYPERLINK("https://www.philgeps.gov.ph/GEPSNONPILOT/Tender/SplashBidNoticeAbstractUI.aspx?menuIndex=3&amp;refID=7044431&amp;Result=3","7044431")</f>
        <v>0</v>
      </c>
      <c r="B322" t="s">
        <v>155</v>
      </c>
      <c r="C322" t="s">
        <v>3500</v>
      </c>
      <c r="E322" t="s">
        <v>18434</v>
      </c>
      <c r="F322" t="s">
        <v>31574</v>
      </c>
      <c r="G322" t="s">
        <v>31581</v>
      </c>
      <c r="H322" t="s">
        <v>31590</v>
      </c>
      <c r="I322" t="s">
        <v>3873</v>
      </c>
      <c r="J322" t="s">
        <v>32016</v>
      </c>
      <c r="K322" t="s">
        <v>41184</v>
      </c>
      <c r="M322" t="s">
        <v>41639</v>
      </c>
      <c r="N322" t="s">
        <v>45095</v>
      </c>
      <c r="O322" t="s">
        <v>45096</v>
      </c>
      <c r="P322">
        <v>0</v>
      </c>
      <c r="Q322">
        <v>0</v>
      </c>
      <c r="R322" t="s">
        <v>45097</v>
      </c>
      <c r="S322" t="s">
        <v>45222</v>
      </c>
      <c r="T322" t="s">
        <v>46911</v>
      </c>
      <c r="U322" t="s">
        <v>47765</v>
      </c>
      <c r="W322" t="s">
        <v>41639</v>
      </c>
      <c r="X322" t="s">
        <v>45098</v>
      </c>
    </row>
    <row r="323" spans="1:24">
      <c r="A323">
        <f>HYPERLINK("https://www.philgeps.gov.ph/GEPSNONPILOT/Tender/SplashBidNoticeAbstractUI.aspx?menuIndex=3&amp;refID=7044448&amp;Result=3","7044448")</f>
        <v>0</v>
      </c>
      <c r="B323" t="s">
        <v>141</v>
      </c>
      <c r="C323" t="s">
        <v>3501</v>
      </c>
      <c r="D323" t="s">
        <v>18074</v>
      </c>
      <c r="E323" t="s">
        <v>18435</v>
      </c>
      <c r="F323" t="s">
        <v>31574</v>
      </c>
      <c r="G323" t="s">
        <v>31581</v>
      </c>
      <c r="H323" t="s">
        <v>31590</v>
      </c>
      <c r="I323" t="s">
        <v>31636</v>
      </c>
      <c r="J323" t="s">
        <v>32017</v>
      </c>
      <c r="K323" t="s">
        <v>41196</v>
      </c>
      <c r="M323" t="s">
        <v>41625</v>
      </c>
      <c r="N323" t="s">
        <v>45095</v>
      </c>
      <c r="O323" t="s">
        <v>45096</v>
      </c>
      <c r="P323">
        <v>0</v>
      </c>
      <c r="Q323">
        <v>0</v>
      </c>
      <c r="R323" t="s">
        <v>45097</v>
      </c>
      <c r="S323" t="s">
        <v>45222</v>
      </c>
      <c r="T323" t="s">
        <v>46922</v>
      </c>
      <c r="U323" t="s">
        <v>47766</v>
      </c>
      <c r="W323" t="s">
        <v>41625</v>
      </c>
      <c r="X323" t="s">
        <v>45098</v>
      </c>
    </row>
    <row r="324" spans="1:24">
      <c r="A324">
        <f>HYPERLINK("https://www.philgeps.gov.ph/GEPSNONPILOT/Tender/SplashBidNoticeAbstractUI.aspx?menuIndex=3&amp;refID=7044449&amp;Result=3","7044449")</f>
        <v>0</v>
      </c>
      <c r="B324" t="s">
        <v>143</v>
      </c>
      <c r="C324" t="s">
        <v>3502</v>
      </c>
      <c r="D324" t="s">
        <v>18075</v>
      </c>
      <c r="E324" t="s">
        <v>18436</v>
      </c>
      <c r="F324" t="s">
        <v>31574</v>
      </c>
      <c r="G324" t="s">
        <v>31582</v>
      </c>
      <c r="H324" t="s">
        <v>31591</v>
      </c>
      <c r="I324" t="s">
        <v>8822</v>
      </c>
      <c r="J324" t="s">
        <v>32018</v>
      </c>
      <c r="K324" t="s">
        <v>41195</v>
      </c>
      <c r="M324" t="s">
        <v>41627</v>
      </c>
      <c r="N324" t="s">
        <v>45095</v>
      </c>
      <c r="O324" t="s">
        <v>45096</v>
      </c>
      <c r="P324">
        <v>0</v>
      </c>
      <c r="Q324">
        <v>0</v>
      </c>
      <c r="R324" t="s">
        <v>45097</v>
      </c>
      <c r="S324" t="s">
        <v>45222</v>
      </c>
      <c r="T324" t="s">
        <v>46970</v>
      </c>
      <c r="U324" t="s">
        <v>47767</v>
      </c>
      <c r="W324" t="s">
        <v>41627</v>
      </c>
      <c r="X324" t="s">
        <v>45098</v>
      </c>
    </row>
    <row r="325" spans="1:24">
      <c r="A325">
        <f>HYPERLINK("https://www.philgeps.gov.ph/GEPSNONPILOT/Tender/SplashBidNoticeAbstractUI.aspx?menuIndex=3&amp;refID=7044425&amp;Result=3","7044425")</f>
        <v>0</v>
      </c>
      <c r="B325" t="s">
        <v>156</v>
      </c>
      <c r="C325" t="s">
        <v>3503</v>
      </c>
      <c r="D325" t="s">
        <v>18078</v>
      </c>
      <c r="E325" t="s">
        <v>18191</v>
      </c>
      <c r="F325" t="s">
        <v>31574</v>
      </c>
      <c r="G325" t="s">
        <v>31581</v>
      </c>
      <c r="H325" t="s">
        <v>31593</v>
      </c>
      <c r="I325" t="s">
        <v>31623</v>
      </c>
      <c r="J325" t="s">
        <v>31930</v>
      </c>
      <c r="K325" t="s">
        <v>41215</v>
      </c>
      <c r="M325" t="s">
        <v>41640</v>
      </c>
      <c r="N325" t="s">
        <v>45095</v>
      </c>
      <c r="O325" t="s">
        <v>45096</v>
      </c>
      <c r="P325">
        <v>0</v>
      </c>
      <c r="Q325">
        <v>0</v>
      </c>
      <c r="R325" t="s">
        <v>45097</v>
      </c>
      <c r="S325" t="s">
        <v>45222</v>
      </c>
      <c r="T325" t="s">
        <v>46918</v>
      </c>
      <c r="U325" t="s">
        <v>47768</v>
      </c>
      <c r="W325" t="s">
        <v>41640</v>
      </c>
      <c r="X325" t="s">
        <v>45098</v>
      </c>
    </row>
    <row r="326" spans="1:24">
      <c r="A326">
        <f>HYPERLINK("https://www.philgeps.gov.ph/GEPSNONPILOT/Tender/SplashBidNoticeAbstractUI.aspx?menuIndex=3&amp;refID=7044450&amp;Result=3","7044450")</f>
        <v>0</v>
      </c>
      <c r="B326" t="s">
        <v>124</v>
      </c>
      <c r="C326" t="s">
        <v>3504</v>
      </c>
      <c r="D326" t="s">
        <v>18065</v>
      </c>
      <c r="E326" t="s">
        <v>3504</v>
      </c>
      <c r="F326" t="s">
        <v>31574</v>
      </c>
      <c r="G326" t="s">
        <v>31581</v>
      </c>
      <c r="H326" t="s">
        <v>31590</v>
      </c>
      <c r="I326" t="s">
        <v>4046</v>
      </c>
      <c r="J326" t="s">
        <v>32019</v>
      </c>
      <c r="K326" t="s">
        <v>41184</v>
      </c>
      <c r="M326" t="s">
        <v>41608</v>
      </c>
      <c r="N326" t="s">
        <v>45095</v>
      </c>
      <c r="O326" t="s">
        <v>45096</v>
      </c>
      <c r="P326">
        <v>0</v>
      </c>
      <c r="Q326">
        <v>0</v>
      </c>
      <c r="R326" t="s">
        <v>45097</v>
      </c>
      <c r="S326" t="s">
        <v>45222</v>
      </c>
      <c r="T326" t="s">
        <v>46934</v>
      </c>
      <c r="U326" t="s">
        <v>47769</v>
      </c>
      <c r="W326" t="s">
        <v>41608</v>
      </c>
      <c r="X326" t="s">
        <v>45098</v>
      </c>
    </row>
    <row r="327" spans="1:24">
      <c r="A327">
        <f>HYPERLINK("https://www.philgeps.gov.ph/GEPSNONPILOT/Tender/SplashBidNoticeAbstractUI.aspx?menuIndex=3&amp;refID=7044446&amp;Result=3","7044446")</f>
        <v>0</v>
      </c>
      <c r="B327" t="s">
        <v>157</v>
      </c>
      <c r="C327" t="s">
        <v>3505</v>
      </c>
      <c r="D327" t="s">
        <v>18039</v>
      </c>
      <c r="E327" t="s">
        <v>18437</v>
      </c>
      <c r="F327" t="s">
        <v>31574</v>
      </c>
      <c r="G327" t="s">
        <v>31581</v>
      </c>
      <c r="H327" t="s">
        <v>31590</v>
      </c>
      <c r="I327" t="s">
        <v>31602</v>
      </c>
      <c r="J327" t="s">
        <v>32020</v>
      </c>
      <c r="K327" t="s">
        <v>41184</v>
      </c>
      <c r="M327" t="s">
        <v>41641</v>
      </c>
      <c r="N327" t="s">
        <v>45095</v>
      </c>
      <c r="O327" t="s">
        <v>45096</v>
      </c>
      <c r="P327">
        <v>0</v>
      </c>
      <c r="Q327">
        <v>0</v>
      </c>
      <c r="R327" t="s">
        <v>45097</v>
      </c>
      <c r="S327" t="s">
        <v>45222</v>
      </c>
      <c r="T327" t="s">
        <v>46904</v>
      </c>
      <c r="U327" t="s">
        <v>47770</v>
      </c>
      <c r="W327" t="s">
        <v>41641</v>
      </c>
      <c r="X327" t="s">
        <v>45098</v>
      </c>
    </row>
    <row r="328" spans="1:24">
      <c r="A328">
        <f>HYPERLINK("https://www.philgeps.gov.ph/GEPSNONPILOT/Tender/SplashBidNoticeAbstractUI.aspx?menuIndex=3&amp;refID=7044444&amp;Result=3","7044444")</f>
        <v>0</v>
      </c>
      <c r="B328" t="s">
        <v>158</v>
      </c>
      <c r="C328" t="s">
        <v>3506</v>
      </c>
      <c r="D328" t="s">
        <v>18027</v>
      </c>
      <c r="E328" t="s">
        <v>18438</v>
      </c>
      <c r="F328" t="s">
        <v>31574</v>
      </c>
      <c r="G328" t="s">
        <v>31582</v>
      </c>
      <c r="H328" t="s">
        <v>31591</v>
      </c>
      <c r="I328" t="s">
        <v>8822</v>
      </c>
      <c r="J328" t="s">
        <v>32021</v>
      </c>
      <c r="K328" t="s">
        <v>41195</v>
      </c>
      <c r="M328" t="s">
        <v>41642</v>
      </c>
      <c r="N328" t="s">
        <v>45095</v>
      </c>
      <c r="O328" t="s">
        <v>45096</v>
      </c>
      <c r="P328">
        <v>0</v>
      </c>
      <c r="Q328">
        <v>0</v>
      </c>
      <c r="R328" t="s">
        <v>45097</v>
      </c>
      <c r="S328" t="s">
        <v>45222</v>
      </c>
      <c r="T328" t="s">
        <v>46905</v>
      </c>
      <c r="U328" t="s">
        <v>47771</v>
      </c>
      <c r="W328" t="s">
        <v>41642</v>
      </c>
      <c r="X328" t="s">
        <v>45098</v>
      </c>
    </row>
    <row r="329" spans="1:24">
      <c r="A329">
        <f>HYPERLINK("https://www.philgeps.gov.ph/GEPSNONPILOT/Tender/SplashBidNoticeAbstractUI.aspx?menuIndex=3&amp;refID=7044452&amp;Result=3","7044452")</f>
        <v>0</v>
      </c>
      <c r="B329" t="s">
        <v>159</v>
      </c>
      <c r="C329" t="s">
        <v>3507</v>
      </c>
      <c r="D329" t="s">
        <v>18046</v>
      </c>
      <c r="E329" t="s">
        <v>18439</v>
      </c>
      <c r="F329" t="s">
        <v>31574</v>
      </c>
      <c r="G329" t="s">
        <v>31582</v>
      </c>
      <c r="H329" t="s">
        <v>31590</v>
      </c>
      <c r="I329" t="s">
        <v>6800</v>
      </c>
      <c r="J329" t="s">
        <v>32022</v>
      </c>
      <c r="K329" t="s">
        <v>41186</v>
      </c>
      <c r="M329" t="s">
        <v>41643</v>
      </c>
      <c r="N329" t="s">
        <v>45095</v>
      </c>
      <c r="O329" t="s">
        <v>45096</v>
      </c>
      <c r="P329">
        <v>0</v>
      </c>
      <c r="Q329">
        <v>0</v>
      </c>
      <c r="R329" t="s">
        <v>45097</v>
      </c>
      <c r="S329" t="s">
        <v>45222</v>
      </c>
      <c r="T329" t="s">
        <v>46914</v>
      </c>
      <c r="U329" t="s">
        <v>47772</v>
      </c>
      <c r="V329" t="s">
        <v>59890</v>
      </c>
      <c r="W329" t="s">
        <v>41643</v>
      </c>
      <c r="X329" t="s">
        <v>45098</v>
      </c>
    </row>
    <row r="330" spans="1:24">
      <c r="A330">
        <f>HYPERLINK("https://www.philgeps.gov.ph/GEPSNONPILOT/Tender/SplashBidNoticeAbstractUI.aspx?menuIndex=3&amp;refID=7044456&amp;Result=3","7044456")</f>
        <v>0</v>
      </c>
      <c r="B330" t="s">
        <v>152</v>
      </c>
      <c r="C330" t="s">
        <v>3508</v>
      </c>
      <c r="D330" t="s">
        <v>18072</v>
      </c>
      <c r="E330" t="s">
        <v>18429</v>
      </c>
      <c r="F330" t="s">
        <v>31574</v>
      </c>
      <c r="G330" t="s">
        <v>31581</v>
      </c>
      <c r="H330" t="s">
        <v>31590</v>
      </c>
      <c r="I330" t="s">
        <v>4354</v>
      </c>
      <c r="J330" t="s">
        <v>32023</v>
      </c>
      <c r="K330" t="s">
        <v>41211</v>
      </c>
      <c r="M330" t="s">
        <v>41636</v>
      </c>
      <c r="N330" t="s">
        <v>45095</v>
      </c>
      <c r="O330" t="s">
        <v>45096</v>
      </c>
      <c r="P330">
        <v>0</v>
      </c>
      <c r="Q330">
        <v>0</v>
      </c>
      <c r="R330" t="s">
        <v>45097</v>
      </c>
      <c r="S330" t="s">
        <v>45222</v>
      </c>
      <c r="T330" t="s">
        <v>46918</v>
      </c>
      <c r="U330" t="s">
        <v>47773</v>
      </c>
      <c r="W330" t="s">
        <v>41636</v>
      </c>
      <c r="X330" t="s">
        <v>45098</v>
      </c>
    </row>
    <row r="331" spans="1:24">
      <c r="A331">
        <f>HYPERLINK("https://www.philgeps.gov.ph/GEPSNONPILOT/Tender/SplashBidNoticeAbstractUI.aspx?menuIndex=3&amp;refID=7044440&amp;Result=3","7044440")</f>
        <v>0</v>
      </c>
      <c r="B331" t="s">
        <v>160</v>
      </c>
      <c r="C331" t="s">
        <v>3509</v>
      </c>
      <c r="D331" t="s">
        <v>18023</v>
      </c>
      <c r="E331" t="s">
        <v>18440</v>
      </c>
      <c r="F331" t="s">
        <v>31574</v>
      </c>
      <c r="G331" t="s">
        <v>31581</v>
      </c>
      <c r="H331" t="s">
        <v>31590</v>
      </c>
      <c r="I331" t="s">
        <v>8258</v>
      </c>
      <c r="J331" t="s">
        <v>32024</v>
      </c>
      <c r="K331" t="s">
        <v>41186</v>
      </c>
      <c r="M331" t="s">
        <v>41644</v>
      </c>
      <c r="N331" t="s">
        <v>45095</v>
      </c>
      <c r="O331" t="s">
        <v>45096</v>
      </c>
      <c r="P331">
        <v>0</v>
      </c>
      <c r="Q331">
        <v>0</v>
      </c>
      <c r="R331" t="s">
        <v>45097</v>
      </c>
      <c r="S331" t="s">
        <v>45222</v>
      </c>
      <c r="T331" t="s">
        <v>46971</v>
      </c>
      <c r="U331" t="s">
        <v>47774</v>
      </c>
      <c r="W331" t="s">
        <v>61655</v>
      </c>
      <c r="X331" t="s">
        <v>45098</v>
      </c>
    </row>
    <row r="332" spans="1:24">
      <c r="A332">
        <f>HYPERLINK("https://www.philgeps.gov.ph/GEPSNONPILOT/Tender/SplashBidNoticeAbstractUI.aspx?menuIndex=3&amp;refID=7044454&amp;Result=3","7044454")</f>
        <v>0</v>
      </c>
      <c r="B332" t="s">
        <v>161</v>
      </c>
      <c r="C332" t="s">
        <v>3510</v>
      </c>
      <c r="E332" t="s">
        <v>18441</v>
      </c>
      <c r="F332" t="s">
        <v>31574</v>
      </c>
      <c r="G332" t="s">
        <v>31581</v>
      </c>
      <c r="H332" t="s">
        <v>31590</v>
      </c>
      <c r="I332" t="s">
        <v>31603</v>
      </c>
      <c r="J332" t="s">
        <v>32017</v>
      </c>
      <c r="K332" t="s">
        <v>41184</v>
      </c>
      <c r="M332" t="s">
        <v>41645</v>
      </c>
      <c r="N332" t="s">
        <v>45095</v>
      </c>
      <c r="O332" t="s">
        <v>45096</v>
      </c>
      <c r="P332">
        <v>0</v>
      </c>
      <c r="Q332">
        <v>0</v>
      </c>
      <c r="R332" t="s">
        <v>45097</v>
      </c>
      <c r="S332" t="s">
        <v>45222</v>
      </c>
      <c r="T332" t="s">
        <v>46913</v>
      </c>
      <c r="U332" t="s">
        <v>47775</v>
      </c>
      <c r="W332" t="s">
        <v>41645</v>
      </c>
      <c r="X332" t="s">
        <v>45098</v>
      </c>
    </row>
    <row r="333" spans="1:24">
      <c r="A333">
        <f>HYPERLINK("https://www.philgeps.gov.ph/GEPSNONPILOT/Tender/SplashBidNoticeAbstractUI.aspx?menuIndex=3&amp;refID=7044453&amp;Result=3","7044453")</f>
        <v>0</v>
      </c>
      <c r="B333" t="s">
        <v>162</v>
      </c>
      <c r="C333" t="s">
        <v>3511</v>
      </c>
      <c r="D333" t="s">
        <v>18067</v>
      </c>
      <c r="E333" t="s">
        <v>18442</v>
      </c>
      <c r="F333" t="s">
        <v>31574</v>
      </c>
      <c r="G333" t="s">
        <v>31583</v>
      </c>
      <c r="H333" t="s">
        <v>31590</v>
      </c>
      <c r="I333" t="s">
        <v>3651</v>
      </c>
      <c r="J333" t="s">
        <v>32025</v>
      </c>
      <c r="K333" t="s">
        <v>41186</v>
      </c>
      <c r="M333" t="s">
        <v>41646</v>
      </c>
      <c r="N333" t="s">
        <v>45095</v>
      </c>
      <c r="O333" t="s">
        <v>45096</v>
      </c>
      <c r="P333">
        <v>0</v>
      </c>
      <c r="Q333">
        <v>0</v>
      </c>
      <c r="R333" t="s">
        <v>45097</v>
      </c>
      <c r="S333" t="s">
        <v>45222</v>
      </c>
      <c r="T333" t="s">
        <v>46918</v>
      </c>
      <c r="U333" t="s">
        <v>47776</v>
      </c>
      <c r="W333" t="s">
        <v>41646</v>
      </c>
      <c r="X333" t="s">
        <v>45098</v>
      </c>
    </row>
    <row r="334" spans="1:24">
      <c r="A334">
        <f>HYPERLINK("https://www.philgeps.gov.ph/GEPSNONPILOT/Tender/SplashBidNoticeAbstractUI.aspx?menuIndex=3&amp;refID=7044438&amp;Result=3","7044438")</f>
        <v>0</v>
      </c>
      <c r="B334" t="s">
        <v>163</v>
      </c>
      <c r="C334" t="s">
        <v>3512</v>
      </c>
      <c r="D334" t="s">
        <v>18040</v>
      </c>
      <c r="E334" t="s">
        <v>18443</v>
      </c>
      <c r="F334" t="s">
        <v>31574</v>
      </c>
      <c r="G334" t="s">
        <v>31582</v>
      </c>
      <c r="H334" t="s">
        <v>31591</v>
      </c>
      <c r="I334" t="s">
        <v>8822</v>
      </c>
      <c r="J334" t="s">
        <v>32026</v>
      </c>
      <c r="K334" t="s">
        <v>41192</v>
      </c>
      <c r="M334" t="s">
        <v>41647</v>
      </c>
      <c r="N334" t="s">
        <v>45095</v>
      </c>
      <c r="O334" t="s">
        <v>45096</v>
      </c>
      <c r="P334">
        <v>0</v>
      </c>
      <c r="Q334">
        <v>0</v>
      </c>
      <c r="R334" t="s">
        <v>45097</v>
      </c>
      <c r="S334" t="s">
        <v>45222</v>
      </c>
      <c r="T334" t="s">
        <v>46972</v>
      </c>
      <c r="U334" t="s">
        <v>47777</v>
      </c>
      <c r="W334" t="s">
        <v>41647</v>
      </c>
      <c r="X334" t="s">
        <v>45098</v>
      </c>
    </row>
    <row r="335" spans="1:24">
      <c r="A335">
        <f>HYPERLINK("https://www.philgeps.gov.ph/GEPSNONPILOT/Tender/SplashBidNoticeAbstractUI.aspx?menuIndex=3&amp;refID=7044441&amp;Result=3","7044441")</f>
        <v>0</v>
      </c>
      <c r="B335" t="s">
        <v>164</v>
      </c>
      <c r="C335" t="s">
        <v>3513</v>
      </c>
      <c r="D335" t="s">
        <v>18022</v>
      </c>
      <c r="E335" t="s">
        <v>18444</v>
      </c>
      <c r="F335" t="s">
        <v>31574</v>
      </c>
      <c r="G335" t="s">
        <v>31582</v>
      </c>
      <c r="H335" t="s">
        <v>31590</v>
      </c>
      <c r="I335" t="s">
        <v>31599</v>
      </c>
      <c r="J335" t="s">
        <v>32027</v>
      </c>
      <c r="K335" t="s">
        <v>41216</v>
      </c>
      <c r="M335" t="s">
        <v>41648</v>
      </c>
      <c r="N335" t="s">
        <v>45095</v>
      </c>
      <c r="O335" t="s">
        <v>45096</v>
      </c>
      <c r="P335">
        <v>0</v>
      </c>
      <c r="Q335">
        <v>0</v>
      </c>
      <c r="R335" t="s">
        <v>45097</v>
      </c>
      <c r="S335" t="s">
        <v>45222</v>
      </c>
      <c r="T335" t="s">
        <v>46908</v>
      </c>
      <c r="U335" t="s">
        <v>47778</v>
      </c>
      <c r="W335" t="s">
        <v>41648</v>
      </c>
      <c r="X335" t="s">
        <v>45098</v>
      </c>
    </row>
    <row r="336" spans="1:24">
      <c r="A336">
        <f>HYPERLINK("https://www.philgeps.gov.ph/GEPSNONPILOT/Tender/SplashBidNoticeAbstractUI.aspx?menuIndex=3&amp;refID=7044433&amp;Result=3","7044433")</f>
        <v>0</v>
      </c>
      <c r="B336" t="s">
        <v>165</v>
      </c>
      <c r="C336" t="s">
        <v>3514</v>
      </c>
      <c r="D336" t="s">
        <v>18027</v>
      </c>
      <c r="E336" t="s">
        <v>18445</v>
      </c>
      <c r="F336" t="s">
        <v>31574</v>
      </c>
      <c r="G336" t="s">
        <v>31581</v>
      </c>
      <c r="H336" t="s">
        <v>31590</v>
      </c>
      <c r="I336" t="s">
        <v>31619</v>
      </c>
      <c r="J336" t="s">
        <v>32028</v>
      </c>
      <c r="K336" t="s">
        <v>41190</v>
      </c>
      <c r="M336" t="s">
        <v>41649</v>
      </c>
      <c r="N336" t="s">
        <v>45095</v>
      </c>
      <c r="O336" t="s">
        <v>45096</v>
      </c>
      <c r="P336">
        <v>0</v>
      </c>
      <c r="Q336">
        <v>0</v>
      </c>
      <c r="R336" t="s">
        <v>45097</v>
      </c>
      <c r="S336" t="s">
        <v>45222</v>
      </c>
      <c r="T336" t="s">
        <v>46969</v>
      </c>
      <c r="U336" t="s">
        <v>47779</v>
      </c>
      <c r="W336" t="s">
        <v>41649</v>
      </c>
      <c r="X336" t="s">
        <v>45098</v>
      </c>
    </row>
    <row r="337" spans="1:24">
      <c r="A337">
        <f>HYPERLINK("https://www.philgeps.gov.ph/GEPSNONPILOT/Tender/SplashBidNoticeAbstractUI.aspx?menuIndex=3&amp;refID=7044443&amp;Result=3","7044443")</f>
        <v>0</v>
      </c>
      <c r="B337" t="s">
        <v>166</v>
      </c>
      <c r="C337" t="s">
        <v>3515</v>
      </c>
      <c r="D337" t="s">
        <v>18079</v>
      </c>
      <c r="E337" t="s">
        <v>18446</v>
      </c>
      <c r="F337" t="s">
        <v>31574</v>
      </c>
      <c r="G337" t="s">
        <v>31583</v>
      </c>
      <c r="H337" t="s">
        <v>31590</v>
      </c>
      <c r="I337" t="s">
        <v>31637</v>
      </c>
      <c r="J337" t="s">
        <v>32029</v>
      </c>
      <c r="K337" t="s">
        <v>41211</v>
      </c>
      <c r="M337" t="s">
        <v>41650</v>
      </c>
      <c r="N337" t="s">
        <v>45095</v>
      </c>
      <c r="O337" t="s">
        <v>45096</v>
      </c>
      <c r="P337">
        <v>0</v>
      </c>
      <c r="Q337">
        <v>0</v>
      </c>
      <c r="R337" t="s">
        <v>45097</v>
      </c>
      <c r="S337" t="s">
        <v>45222</v>
      </c>
      <c r="T337" t="s">
        <v>46973</v>
      </c>
      <c r="U337" t="s">
        <v>47780</v>
      </c>
      <c r="W337" t="s">
        <v>41650</v>
      </c>
      <c r="X337" t="s">
        <v>45098</v>
      </c>
    </row>
    <row r="338" spans="1:24">
      <c r="A338">
        <f>HYPERLINK("https://www.philgeps.gov.ph/GEPSNONPILOT/Tender/SplashBidNoticeAbstractUI.aspx?menuIndex=3&amp;refID=7044451&amp;Result=3","7044451")</f>
        <v>0</v>
      </c>
      <c r="B338" t="s">
        <v>132</v>
      </c>
      <c r="C338" t="s">
        <v>3516</v>
      </c>
      <c r="D338" t="s">
        <v>18059</v>
      </c>
      <c r="E338" t="s">
        <v>18447</v>
      </c>
      <c r="F338" t="s">
        <v>31574</v>
      </c>
      <c r="G338" t="s">
        <v>31581</v>
      </c>
      <c r="H338" t="s">
        <v>31590</v>
      </c>
      <c r="I338" t="s">
        <v>31602</v>
      </c>
      <c r="J338" t="s">
        <v>32030</v>
      </c>
      <c r="K338" t="s">
        <v>41193</v>
      </c>
      <c r="M338" t="s">
        <v>41616</v>
      </c>
      <c r="N338" t="s">
        <v>45095</v>
      </c>
      <c r="O338" t="s">
        <v>45096</v>
      </c>
      <c r="P338">
        <v>0</v>
      </c>
      <c r="Q338">
        <v>0</v>
      </c>
      <c r="R338" t="s">
        <v>45097</v>
      </c>
      <c r="S338" t="s">
        <v>45222</v>
      </c>
      <c r="T338" t="s">
        <v>46926</v>
      </c>
      <c r="U338" t="s">
        <v>47781</v>
      </c>
      <c r="W338" t="s">
        <v>41616</v>
      </c>
      <c r="X338" t="s">
        <v>45098</v>
      </c>
    </row>
    <row r="339" spans="1:24">
      <c r="A339">
        <f>HYPERLINK("https://www.philgeps.gov.ph/GEPSNONPILOT/Tender/SplashBidNoticeAbstractUI.aspx?menuIndex=3&amp;refID=7044457&amp;Result=3","7044457")</f>
        <v>0</v>
      </c>
      <c r="B339" t="s">
        <v>167</v>
      </c>
      <c r="C339" t="s">
        <v>3517</v>
      </c>
      <c r="D339" t="s">
        <v>18036</v>
      </c>
      <c r="E339" t="s">
        <v>18211</v>
      </c>
      <c r="F339" t="s">
        <v>31574</v>
      </c>
      <c r="G339" t="s">
        <v>31581</v>
      </c>
      <c r="H339" t="s">
        <v>31590</v>
      </c>
      <c r="I339" t="s">
        <v>31602</v>
      </c>
      <c r="J339" t="s">
        <v>32031</v>
      </c>
      <c r="K339" t="s">
        <v>41211</v>
      </c>
      <c r="L339" t="s">
        <v>167</v>
      </c>
      <c r="M339" t="s">
        <v>41651</v>
      </c>
      <c r="N339" t="s">
        <v>45095</v>
      </c>
      <c r="O339" t="s">
        <v>45096</v>
      </c>
      <c r="P339">
        <v>0</v>
      </c>
      <c r="Q339">
        <v>0</v>
      </c>
      <c r="R339" t="s">
        <v>45097</v>
      </c>
      <c r="S339" t="s">
        <v>45222</v>
      </c>
      <c r="T339" t="s">
        <v>46913</v>
      </c>
      <c r="U339" t="s">
        <v>47782</v>
      </c>
      <c r="W339" t="s">
        <v>41651</v>
      </c>
      <c r="X339" t="s">
        <v>45098</v>
      </c>
    </row>
    <row r="340" spans="1:24">
      <c r="A340">
        <f>HYPERLINK("https://www.philgeps.gov.ph/GEPSNONPILOT/Tender/SplashBidNoticeAbstractUI.aspx?menuIndex=3&amp;refID=7044434&amp;Result=3","7044434")</f>
        <v>0</v>
      </c>
      <c r="B340" t="s">
        <v>168</v>
      </c>
      <c r="C340" t="s">
        <v>3518</v>
      </c>
      <c r="D340" t="s">
        <v>18050</v>
      </c>
      <c r="E340" t="s">
        <v>18448</v>
      </c>
      <c r="F340" t="s">
        <v>31574</v>
      </c>
      <c r="G340" t="s">
        <v>31581</v>
      </c>
      <c r="H340" t="s">
        <v>31591</v>
      </c>
      <c r="I340" t="s">
        <v>8822</v>
      </c>
      <c r="J340" t="s">
        <v>32032</v>
      </c>
      <c r="K340" t="s">
        <v>41192</v>
      </c>
      <c r="M340" t="s">
        <v>41652</v>
      </c>
      <c r="N340" t="s">
        <v>45095</v>
      </c>
      <c r="O340" t="s">
        <v>45096</v>
      </c>
      <c r="P340">
        <v>0</v>
      </c>
      <c r="Q340">
        <v>0</v>
      </c>
      <c r="R340" t="s">
        <v>45097</v>
      </c>
      <c r="S340" t="s">
        <v>45222</v>
      </c>
      <c r="T340" t="s">
        <v>46949</v>
      </c>
      <c r="U340" t="s">
        <v>47783</v>
      </c>
      <c r="W340" t="s">
        <v>41652</v>
      </c>
      <c r="X340" t="s">
        <v>45098</v>
      </c>
    </row>
    <row r="341" spans="1:24">
      <c r="A341">
        <f>HYPERLINK("https://www.philgeps.gov.ph/GEPSNONPILOT/Tender/SplashBidNoticeAbstractUI.aspx?menuIndex=3&amp;refID=7044471&amp;Result=3","7044471")</f>
        <v>0</v>
      </c>
      <c r="B341" t="s">
        <v>169</v>
      </c>
      <c r="C341" t="s">
        <v>3519</v>
      </c>
      <c r="D341" t="s">
        <v>18065</v>
      </c>
      <c r="E341" t="s">
        <v>18449</v>
      </c>
      <c r="F341" t="s">
        <v>31574</v>
      </c>
      <c r="G341" t="s">
        <v>31581</v>
      </c>
      <c r="H341" t="s">
        <v>31590</v>
      </c>
      <c r="I341" t="s">
        <v>8258</v>
      </c>
      <c r="J341" t="s">
        <v>31848</v>
      </c>
      <c r="K341" t="s">
        <v>41193</v>
      </c>
      <c r="M341" t="s">
        <v>41653</v>
      </c>
      <c r="N341" t="s">
        <v>45095</v>
      </c>
      <c r="O341" t="s">
        <v>45096</v>
      </c>
      <c r="P341">
        <v>0</v>
      </c>
      <c r="Q341">
        <v>0</v>
      </c>
      <c r="R341" t="s">
        <v>45097</v>
      </c>
      <c r="S341" t="s">
        <v>45222</v>
      </c>
      <c r="T341" t="s">
        <v>46974</v>
      </c>
      <c r="U341" t="s">
        <v>47784</v>
      </c>
      <c r="W341" t="s">
        <v>41653</v>
      </c>
      <c r="X341" t="s">
        <v>45098</v>
      </c>
    </row>
    <row r="342" spans="1:24">
      <c r="A342">
        <f>HYPERLINK("https://www.philgeps.gov.ph/GEPSNONPILOT/Tender/SplashBidNoticeAbstractUI.aspx?menuIndex=3&amp;refID=7044442&amp;Result=3","7044442")</f>
        <v>0</v>
      </c>
      <c r="B342" t="s">
        <v>170</v>
      </c>
      <c r="C342" t="s">
        <v>3520</v>
      </c>
      <c r="D342" t="s">
        <v>18065</v>
      </c>
      <c r="E342" t="s">
        <v>18450</v>
      </c>
      <c r="F342" t="s">
        <v>31574</v>
      </c>
      <c r="G342" t="s">
        <v>31581</v>
      </c>
      <c r="H342" t="s">
        <v>31590</v>
      </c>
      <c r="I342" t="s">
        <v>3520</v>
      </c>
      <c r="J342" t="s">
        <v>32033</v>
      </c>
      <c r="K342" t="s">
        <v>41213</v>
      </c>
      <c r="M342" t="s">
        <v>41654</v>
      </c>
      <c r="N342" t="s">
        <v>45095</v>
      </c>
      <c r="O342" t="s">
        <v>45096</v>
      </c>
      <c r="P342">
        <v>0</v>
      </c>
      <c r="Q342">
        <v>0</v>
      </c>
      <c r="R342" t="s">
        <v>45097</v>
      </c>
      <c r="S342" t="s">
        <v>45222</v>
      </c>
      <c r="T342" t="s">
        <v>46911</v>
      </c>
      <c r="U342" t="s">
        <v>47785</v>
      </c>
      <c r="V342" t="s">
        <v>59891</v>
      </c>
      <c r="W342" t="s">
        <v>41654</v>
      </c>
      <c r="X342" t="s">
        <v>45098</v>
      </c>
    </row>
    <row r="343" spans="1:24">
      <c r="A343">
        <f>HYPERLINK("https://www.philgeps.gov.ph/GEPSNONPILOT/Tender/SplashBidNoticeAbstractUI.aspx?menuIndex=3&amp;refID=7044437&amp;Result=3","7044437")</f>
        <v>0</v>
      </c>
      <c r="B343" t="s">
        <v>152</v>
      </c>
      <c r="C343" t="s">
        <v>3521</v>
      </c>
      <c r="D343" t="s">
        <v>18072</v>
      </c>
      <c r="E343" t="s">
        <v>18429</v>
      </c>
      <c r="F343" t="s">
        <v>31574</v>
      </c>
      <c r="G343" t="s">
        <v>31581</v>
      </c>
      <c r="H343" t="s">
        <v>31590</v>
      </c>
      <c r="I343" t="s">
        <v>5717</v>
      </c>
      <c r="J343" t="s">
        <v>32034</v>
      </c>
      <c r="K343" t="s">
        <v>41211</v>
      </c>
      <c r="M343" t="s">
        <v>41636</v>
      </c>
      <c r="N343" t="s">
        <v>45095</v>
      </c>
      <c r="O343" t="s">
        <v>45096</v>
      </c>
      <c r="P343">
        <v>0</v>
      </c>
      <c r="Q343">
        <v>0</v>
      </c>
      <c r="R343" t="s">
        <v>45097</v>
      </c>
      <c r="S343" t="s">
        <v>45222</v>
      </c>
      <c r="T343" t="s">
        <v>46918</v>
      </c>
      <c r="U343" t="s">
        <v>47786</v>
      </c>
      <c r="W343" t="s">
        <v>41636</v>
      </c>
      <c r="X343" t="s">
        <v>45098</v>
      </c>
    </row>
    <row r="344" spans="1:24">
      <c r="A344">
        <f>HYPERLINK("https://www.philgeps.gov.ph/GEPSNONPILOT/Tender/SplashBidNoticeAbstractUI.aspx?menuIndex=3&amp;refID=7044468&amp;Result=3","7044468")</f>
        <v>0</v>
      </c>
      <c r="B344" t="s">
        <v>171</v>
      </c>
      <c r="C344" t="s">
        <v>3522</v>
      </c>
      <c r="E344" t="s">
        <v>18451</v>
      </c>
      <c r="F344" t="s">
        <v>31574</v>
      </c>
      <c r="G344" t="s">
        <v>31582</v>
      </c>
      <c r="H344" t="s">
        <v>31590</v>
      </c>
      <c r="I344" t="s">
        <v>14544</v>
      </c>
      <c r="J344" t="s">
        <v>32035</v>
      </c>
      <c r="K344" t="s">
        <v>41184</v>
      </c>
      <c r="M344" t="s">
        <v>41655</v>
      </c>
      <c r="N344" t="s">
        <v>45095</v>
      </c>
      <c r="O344" t="s">
        <v>45096</v>
      </c>
      <c r="P344">
        <v>0</v>
      </c>
      <c r="Q344">
        <v>0</v>
      </c>
      <c r="R344" t="s">
        <v>45097</v>
      </c>
      <c r="S344" t="s">
        <v>45222</v>
      </c>
      <c r="T344" t="s">
        <v>46975</v>
      </c>
      <c r="U344" t="s">
        <v>47787</v>
      </c>
      <c r="W344" t="s">
        <v>41655</v>
      </c>
      <c r="X344" t="s">
        <v>45098</v>
      </c>
    </row>
    <row r="345" spans="1:24">
      <c r="A345">
        <f>HYPERLINK("https://www.philgeps.gov.ph/GEPSNONPILOT/Tender/SplashBidNoticeAbstractUI.aspx?menuIndex=3&amp;refID=7044469&amp;Result=3","7044469")</f>
        <v>0</v>
      </c>
      <c r="B345" t="s">
        <v>172</v>
      </c>
      <c r="C345" t="s">
        <v>3523</v>
      </c>
      <c r="D345" t="s">
        <v>18022</v>
      </c>
      <c r="E345" t="s">
        <v>18452</v>
      </c>
      <c r="F345" t="s">
        <v>31574</v>
      </c>
      <c r="G345" t="s">
        <v>31581</v>
      </c>
      <c r="H345" t="s">
        <v>31590</v>
      </c>
      <c r="I345" t="s">
        <v>31621</v>
      </c>
      <c r="J345" t="s">
        <v>32036</v>
      </c>
      <c r="K345" t="s">
        <v>41184</v>
      </c>
      <c r="M345" t="s">
        <v>41656</v>
      </c>
      <c r="N345" t="s">
        <v>45095</v>
      </c>
      <c r="O345" t="s">
        <v>45096</v>
      </c>
      <c r="P345">
        <v>0</v>
      </c>
      <c r="Q345">
        <v>1</v>
      </c>
      <c r="R345" t="s">
        <v>45097</v>
      </c>
      <c r="S345" t="s">
        <v>45222</v>
      </c>
      <c r="T345" t="s">
        <v>46976</v>
      </c>
      <c r="U345" t="s">
        <v>47788</v>
      </c>
      <c r="W345" t="s">
        <v>41656</v>
      </c>
      <c r="X345" t="s">
        <v>45098</v>
      </c>
    </row>
    <row r="346" spans="1:24">
      <c r="A346">
        <f>HYPERLINK("https://www.philgeps.gov.ph/GEPSNONPILOT/Tender/SplashBidNoticeAbstractUI.aspx?menuIndex=3&amp;refID=7044464&amp;Result=3","7044464")</f>
        <v>0</v>
      </c>
      <c r="B346" t="s">
        <v>124</v>
      </c>
      <c r="C346" t="s">
        <v>3524</v>
      </c>
      <c r="D346" t="s">
        <v>18065</v>
      </c>
      <c r="E346" t="s">
        <v>18453</v>
      </c>
      <c r="F346" t="s">
        <v>31574</v>
      </c>
      <c r="G346" t="s">
        <v>31581</v>
      </c>
      <c r="H346" t="s">
        <v>31590</v>
      </c>
      <c r="I346" t="s">
        <v>31600</v>
      </c>
      <c r="J346" t="s">
        <v>32037</v>
      </c>
      <c r="K346" t="s">
        <v>41184</v>
      </c>
      <c r="M346" t="s">
        <v>41608</v>
      </c>
      <c r="N346" t="s">
        <v>45095</v>
      </c>
      <c r="O346" t="s">
        <v>45096</v>
      </c>
      <c r="P346">
        <v>0</v>
      </c>
      <c r="Q346">
        <v>0</v>
      </c>
      <c r="R346" t="s">
        <v>45097</v>
      </c>
      <c r="S346" t="s">
        <v>45222</v>
      </c>
      <c r="T346" t="s">
        <v>46934</v>
      </c>
      <c r="U346" t="s">
        <v>47789</v>
      </c>
      <c r="W346" t="s">
        <v>41608</v>
      </c>
      <c r="X346" t="s">
        <v>45098</v>
      </c>
    </row>
    <row r="347" spans="1:24">
      <c r="A347">
        <f>HYPERLINK("https://www.philgeps.gov.ph/GEPSNONPILOT/Tender/SplashBidNoticeAbstractUI.aspx?menuIndex=3&amp;refID=7044470&amp;Result=3","7044470")</f>
        <v>0</v>
      </c>
      <c r="B347" t="s">
        <v>147</v>
      </c>
      <c r="C347" t="s">
        <v>3525</v>
      </c>
      <c r="D347" t="s">
        <v>18022</v>
      </c>
      <c r="E347" t="s">
        <v>18454</v>
      </c>
      <c r="F347" t="s">
        <v>31574</v>
      </c>
      <c r="G347" t="s">
        <v>31583</v>
      </c>
      <c r="H347" t="s">
        <v>31591</v>
      </c>
      <c r="I347" t="s">
        <v>4046</v>
      </c>
      <c r="J347" t="s">
        <v>31845</v>
      </c>
      <c r="K347" t="s">
        <v>41193</v>
      </c>
      <c r="M347" t="s">
        <v>41631</v>
      </c>
      <c r="N347" t="s">
        <v>45095</v>
      </c>
      <c r="O347" t="s">
        <v>45096</v>
      </c>
      <c r="P347">
        <v>0</v>
      </c>
      <c r="Q347">
        <v>0</v>
      </c>
      <c r="R347" t="s">
        <v>45097</v>
      </c>
      <c r="S347" t="s">
        <v>45222</v>
      </c>
      <c r="T347" t="s">
        <v>46929</v>
      </c>
      <c r="U347" t="s">
        <v>47790</v>
      </c>
      <c r="W347" t="s">
        <v>41631</v>
      </c>
      <c r="X347" t="s">
        <v>45098</v>
      </c>
    </row>
    <row r="348" spans="1:24">
      <c r="A348">
        <f>HYPERLINK("https://www.philgeps.gov.ph/GEPSNONPILOT/Tender/SplashBidNoticeAbstractUI.aspx?menuIndex=3&amp;refID=7044465&amp;Result=3","7044465")</f>
        <v>0</v>
      </c>
      <c r="B348" t="s">
        <v>173</v>
      </c>
      <c r="C348" t="s">
        <v>3526</v>
      </c>
      <c r="D348" t="s">
        <v>18033</v>
      </c>
      <c r="E348" t="s">
        <v>18455</v>
      </c>
      <c r="F348" t="s">
        <v>31574</v>
      </c>
      <c r="G348" t="s">
        <v>31581</v>
      </c>
      <c r="H348" t="s">
        <v>31590</v>
      </c>
      <c r="I348" t="s">
        <v>6800</v>
      </c>
      <c r="J348" t="s">
        <v>32038</v>
      </c>
      <c r="K348" t="s">
        <v>41185</v>
      </c>
      <c r="M348" t="s">
        <v>41657</v>
      </c>
      <c r="N348" t="s">
        <v>45095</v>
      </c>
      <c r="O348" t="s">
        <v>45096</v>
      </c>
      <c r="P348">
        <v>0</v>
      </c>
      <c r="Q348">
        <v>0</v>
      </c>
      <c r="R348" t="s">
        <v>45097</v>
      </c>
      <c r="S348" t="s">
        <v>45222</v>
      </c>
      <c r="T348" t="s">
        <v>46911</v>
      </c>
      <c r="U348" t="s">
        <v>47791</v>
      </c>
      <c r="W348" t="s">
        <v>41657</v>
      </c>
      <c r="X348" t="s">
        <v>45098</v>
      </c>
    </row>
    <row r="349" spans="1:24">
      <c r="A349">
        <f>HYPERLINK("https://www.philgeps.gov.ph/GEPSNONPILOT/Tender/SplashBidNoticeAbstractUI.aspx?menuIndex=3&amp;refID=7044459&amp;Result=3","7044459")</f>
        <v>0</v>
      </c>
      <c r="B349" t="s">
        <v>121</v>
      </c>
      <c r="C349" t="s">
        <v>3527</v>
      </c>
      <c r="D349" t="s">
        <v>18023</v>
      </c>
      <c r="E349" t="s">
        <v>18456</v>
      </c>
      <c r="F349" t="s">
        <v>31574</v>
      </c>
      <c r="G349" t="s">
        <v>31582</v>
      </c>
      <c r="H349" t="s">
        <v>31590</v>
      </c>
      <c r="I349" t="s">
        <v>5717</v>
      </c>
      <c r="J349" t="s">
        <v>32039</v>
      </c>
      <c r="K349" t="s">
        <v>41185</v>
      </c>
      <c r="L349" t="s">
        <v>121</v>
      </c>
      <c r="M349" t="s">
        <v>41605</v>
      </c>
      <c r="N349" t="s">
        <v>45095</v>
      </c>
      <c r="O349" t="s">
        <v>45096</v>
      </c>
      <c r="P349">
        <v>0</v>
      </c>
      <c r="Q349">
        <v>0</v>
      </c>
      <c r="R349" t="s">
        <v>45097</v>
      </c>
      <c r="S349" t="s">
        <v>45222</v>
      </c>
      <c r="T349" t="s">
        <v>46926</v>
      </c>
      <c r="U349" t="s">
        <v>47792</v>
      </c>
      <c r="W349" t="s">
        <v>41605</v>
      </c>
      <c r="X349" t="s">
        <v>45098</v>
      </c>
    </row>
    <row r="350" spans="1:24">
      <c r="A350">
        <f>HYPERLINK("https://www.philgeps.gov.ph/GEPSNONPILOT/Tender/SplashBidNoticeAbstractUI.aspx?menuIndex=3&amp;refID=7044472&amp;Result=3","7044472")</f>
        <v>0</v>
      </c>
      <c r="B350" t="s">
        <v>145</v>
      </c>
      <c r="C350" t="s">
        <v>3528</v>
      </c>
      <c r="D350" t="s">
        <v>18022</v>
      </c>
      <c r="E350" t="s">
        <v>18457</v>
      </c>
      <c r="F350" t="s">
        <v>31574</v>
      </c>
      <c r="G350" t="s">
        <v>31581</v>
      </c>
      <c r="H350" t="s">
        <v>31590</v>
      </c>
      <c r="I350" t="s">
        <v>8258</v>
      </c>
      <c r="J350" t="s">
        <v>32040</v>
      </c>
      <c r="K350" t="s">
        <v>41184</v>
      </c>
      <c r="M350" t="s">
        <v>41629</v>
      </c>
      <c r="N350" t="s">
        <v>45095</v>
      </c>
      <c r="O350" t="s">
        <v>45096</v>
      </c>
      <c r="P350">
        <v>0</v>
      </c>
      <c r="Q350">
        <v>0</v>
      </c>
      <c r="R350" t="s">
        <v>45097</v>
      </c>
      <c r="S350" t="s">
        <v>45222</v>
      </c>
      <c r="T350" t="s">
        <v>46961</v>
      </c>
      <c r="U350" t="s">
        <v>47793</v>
      </c>
      <c r="V350" t="s">
        <v>59889</v>
      </c>
      <c r="W350" t="s">
        <v>41629</v>
      </c>
      <c r="X350" t="s">
        <v>45098</v>
      </c>
    </row>
    <row r="351" spans="1:24">
      <c r="A351">
        <f>HYPERLINK("https://www.philgeps.gov.ph/GEPSNONPILOT/Tender/SplashBidNoticeAbstractUI.aspx?menuIndex=3&amp;refID=7044463&amp;Result=3","7044463")</f>
        <v>0</v>
      </c>
      <c r="B351" t="s">
        <v>174</v>
      </c>
      <c r="C351" t="s">
        <v>3529</v>
      </c>
      <c r="D351" t="s">
        <v>18078</v>
      </c>
      <c r="E351" t="s">
        <v>18458</v>
      </c>
      <c r="F351" t="s">
        <v>31574</v>
      </c>
      <c r="G351" t="s">
        <v>31583</v>
      </c>
      <c r="H351" t="s">
        <v>31590</v>
      </c>
      <c r="I351" t="s">
        <v>4327</v>
      </c>
      <c r="J351" t="s">
        <v>32041</v>
      </c>
      <c r="K351" t="s">
        <v>41186</v>
      </c>
      <c r="M351" t="s">
        <v>41658</v>
      </c>
      <c r="N351" t="s">
        <v>45095</v>
      </c>
      <c r="O351" t="s">
        <v>45096</v>
      </c>
      <c r="P351">
        <v>0</v>
      </c>
      <c r="Q351">
        <v>0</v>
      </c>
      <c r="R351" t="s">
        <v>45097</v>
      </c>
      <c r="S351" t="s">
        <v>45222</v>
      </c>
      <c r="T351" t="s">
        <v>46913</v>
      </c>
      <c r="U351" t="s">
        <v>47794</v>
      </c>
      <c r="W351" t="s">
        <v>41658</v>
      </c>
      <c r="X351" t="s">
        <v>45098</v>
      </c>
    </row>
    <row r="352" spans="1:24">
      <c r="A352">
        <f>HYPERLINK("https://www.philgeps.gov.ph/GEPSNONPILOT/Tender/SplashBidNoticeAbstractUI.aspx?menuIndex=3&amp;refID=7044460&amp;Result=3","7044460")</f>
        <v>0</v>
      </c>
      <c r="B352" t="s">
        <v>175</v>
      </c>
      <c r="C352" t="s">
        <v>3530</v>
      </c>
      <c r="D352" t="s">
        <v>18079</v>
      </c>
      <c r="E352" t="s">
        <v>18459</v>
      </c>
      <c r="F352" t="s">
        <v>31574</v>
      </c>
      <c r="G352" t="s">
        <v>31581</v>
      </c>
      <c r="H352" t="s">
        <v>31590</v>
      </c>
      <c r="I352" t="s">
        <v>4046</v>
      </c>
      <c r="J352" t="s">
        <v>31789</v>
      </c>
      <c r="K352" t="s">
        <v>41196</v>
      </c>
      <c r="M352" t="s">
        <v>41659</v>
      </c>
      <c r="N352" t="s">
        <v>45095</v>
      </c>
      <c r="O352" t="s">
        <v>45096</v>
      </c>
      <c r="P352">
        <v>0</v>
      </c>
      <c r="Q352">
        <v>0</v>
      </c>
      <c r="R352" t="s">
        <v>45097</v>
      </c>
      <c r="S352" t="s">
        <v>45222</v>
      </c>
      <c r="T352" t="s">
        <v>46913</v>
      </c>
      <c r="U352" t="s">
        <v>47795</v>
      </c>
      <c r="V352" t="s">
        <v>59892</v>
      </c>
      <c r="W352" t="s">
        <v>41659</v>
      </c>
      <c r="X352" t="s">
        <v>45098</v>
      </c>
    </row>
    <row r="353" spans="1:24">
      <c r="A353">
        <f>HYPERLINK("https://www.philgeps.gov.ph/GEPSNONPILOT/Tender/SplashBidNoticeAbstractUI.aspx?menuIndex=3&amp;refID=7044461&amp;Result=3","7044461")</f>
        <v>0</v>
      </c>
      <c r="B353" t="s">
        <v>176</v>
      </c>
      <c r="C353" t="s">
        <v>3531</v>
      </c>
      <c r="D353" t="s">
        <v>18059</v>
      </c>
      <c r="E353" t="s">
        <v>18460</v>
      </c>
      <c r="F353" t="s">
        <v>31574</v>
      </c>
      <c r="G353" t="s">
        <v>31581</v>
      </c>
      <c r="H353" t="s">
        <v>31590</v>
      </c>
      <c r="I353" t="s">
        <v>31638</v>
      </c>
      <c r="J353" t="s">
        <v>32042</v>
      </c>
      <c r="K353" t="s">
        <v>41193</v>
      </c>
      <c r="M353" t="s">
        <v>41660</v>
      </c>
      <c r="N353" t="s">
        <v>45095</v>
      </c>
      <c r="O353" t="s">
        <v>45096</v>
      </c>
      <c r="P353">
        <v>0</v>
      </c>
      <c r="Q353">
        <v>0</v>
      </c>
      <c r="R353" t="s">
        <v>45097</v>
      </c>
      <c r="S353" t="s">
        <v>45222</v>
      </c>
      <c r="T353" t="s">
        <v>46931</v>
      </c>
      <c r="U353" t="s">
        <v>47796</v>
      </c>
      <c r="V353" t="s">
        <v>59893</v>
      </c>
      <c r="W353" t="s">
        <v>41660</v>
      </c>
      <c r="X353" t="s">
        <v>45098</v>
      </c>
    </row>
    <row r="354" spans="1:24">
      <c r="A354">
        <f>HYPERLINK("https://www.philgeps.gov.ph/GEPSNONPILOT/Tender/SplashBidNoticeAbstractUI.aspx?menuIndex=3&amp;refID=7044480&amp;Result=3","7044480")</f>
        <v>0</v>
      </c>
      <c r="B354" t="s">
        <v>140</v>
      </c>
      <c r="C354" t="s">
        <v>3532</v>
      </c>
      <c r="D354" t="s">
        <v>18055</v>
      </c>
      <c r="E354" t="s">
        <v>18192</v>
      </c>
      <c r="F354" t="s">
        <v>31574</v>
      </c>
      <c r="G354" t="s">
        <v>31582</v>
      </c>
      <c r="H354" t="s">
        <v>31591</v>
      </c>
      <c r="I354" t="s">
        <v>4046</v>
      </c>
      <c r="J354" t="s">
        <v>32043</v>
      </c>
      <c r="K354" t="s">
        <v>41196</v>
      </c>
      <c r="M354" t="s">
        <v>41624</v>
      </c>
      <c r="N354" t="s">
        <v>45095</v>
      </c>
      <c r="O354" t="s">
        <v>45096</v>
      </c>
      <c r="P354">
        <v>0</v>
      </c>
      <c r="Q354">
        <v>0</v>
      </c>
      <c r="R354" t="s">
        <v>45097</v>
      </c>
      <c r="S354" t="s">
        <v>45222</v>
      </c>
      <c r="T354" t="s">
        <v>46965</v>
      </c>
      <c r="U354" t="s">
        <v>47797</v>
      </c>
      <c r="W354" t="s">
        <v>41624</v>
      </c>
      <c r="X354" t="s">
        <v>45098</v>
      </c>
    </row>
    <row r="355" spans="1:24">
      <c r="A355">
        <f>HYPERLINK("https://www.philgeps.gov.ph/GEPSNONPILOT/Tender/SplashBidNoticeAbstractUI.aspx?menuIndex=3&amp;refID=7044479&amp;Result=3","7044479")</f>
        <v>0</v>
      </c>
      <c r="B355" t="s">
        <v>177</v>
      </c>
      <c r="C355" t="s">
        <v>3533</v>
      </c>
      <c r="D355" t="s">
        <v>18042</v>
      </c>
      <c r="E355" t="s">
        <v>18227</v>
      </c>
      <c r="F355" t="s">
        <v>31574</v>
      </c>
      <c r="G355" t="s">
        <v>31581</v>
      </c>
      <c r="H355" t="s">
        <v>31590</v>
      </c>
      <c r="I355" t="s">
        <v>4046</v>
      </c>
      <c r="J355" t="s">
        <v>32044</v>
      </c>
      <c r="K355" t="s">
        <v>41184</v>
      </c>
      <c r="M355" t="s">
        <v>41661</v>
      </c>
      <c r="N355" t="s">
        <v>45095</v>
      </c>
      <c r="O355" t="s">
        <v>45096</v>
      </c>
      <c r="P355">
        <v>0</v>
      </c>
      <c r="Q355">
        <v>0</v>
      </c>
      <c r="R355" t="s">
        <v>45097</v>
      </c>
      <c r="S355" t="s">
        <v>45222</v>
      </c>
      <c r="T355" t="s">
        <v>46904</v>
      </c>
      <c r="U355" t="s">
        <v>47798</v>
      </c>
      <c r="W355" t="s">
        <v>41661</v>
      </c>
      <c r="X355" t="s">
        <v>45098</v>
      </c>
    </row>
    <row r="356" spans="1:24">
      <c r="A356">
        <f>HYPERLINK("https://www.philgeps.gov.ph/GEPSNONPILOT/Tender/SplashBidNoticeAbstractUI.aspx?menuIndex=3&amp;refID=7044475&amp;Result=3","7044475")</f>
        <v>0</v>
      </c>
      <c r="B356" t="s">
        <v>159</v>
      </c>
      <c r="C356" t="s">
        <v>3534</v>
      </c>
      <c r="D356" t="s">
        <v>18046</v>
      </c>
      <c r="E356" t="s">
        <v>18461</v>
      </c>
      <c r="F356" t="s">
        <v>31574</v>
      </c>
      <c r="G356" t="s">
        <v>31582</v>
      </c>
      <c r="H356" t="s">
        <v>31590</v>
      </c>
      <c r="I356" t="s">
        <v>31612</v>
      </c>
      <c r="J356" t="s">
        <v>32029</v>
      </c>
      <c r="K356" t="s">
        <v>41186</v>
      </c>
      <c r="M356" t="s">
        <v>41643</v>
      </c>
      <c r="N356" t="s">
        <v>45095</v>
      </c>
      <c r="O356" t="s">
        <v>45096</v>
      </c>
      <c r="P356">
        <v>0</v>
      </c>
      <c r="Q356">
        <v>0</v>
      </c>
      <c r="R356" t="s">
        <v>45097</v>
      </c>
      <c r="S356" t="s">
        <v>45222</v>
      </c>
      <c r="T356" t="s">
        <v>46914</v>
      </c>
      <c r="U356" t="s">
        <v>47772</v>
      </c>
      <c r="V356" t="s">
        <v>59890</v>
      </c>
      <c r="W356" t="s">
        <v>41643</v>
      </c>
      <c r="X356" t="s">
        <v>45098</v>
      </c>
    </row>
    <row r="357" spans="1:24">
      <c r="A357">
        <f>HYPERLINK("https://www.philgeps.gov.ph/GEPSNONPILOT/Tender/SplashBidNoticeAbstractUI.aspx?menuIndex=3&amp;refID=7044482&amp;Result=3","7044482")</f>
        <v>0</v>
      </c>
      <c r="B357" t="s">
        <v>132</v>
      </c>
      <c r="C357" t="s">
        <v>3516</v>
      </c>
      <c r="D357" t="s">
        <v>18059</v>
      </c>
      <c r="E357" t="s">
        <v>18462</v>
      </c>
      <c r="F357" t="s">
        <v>31574</v>
      </c>
      <c r="G357" t="s">
        <v>31581</v>
      </c>
      <c r="H357" t="s">
        <v>31590</v>
      </c>
      <c r="I357" t="s">
        <v>31602</v>
      </c>
      <c r="J357" t="s">
        <v>32030</v>
      </c>
      <c r="K357" t="s">
        <v>41193</v>
      </c>
      <c r="M357" t="s">
        <v>41616</v>
      </c>
      <c r="N357" t="s">
        <v>45095</v>
      </c>
      <c r="O357" t="s">
        <v>45096</v>
      </c>
      <c r="P357">
        <v>0</v>
      </c>
      <c r="Q357">
        <v>0</v>
      </c>
      <c r="R357" t="s">
        <v>45097</v>
      </c>
      <c r="S357" t="s">
        <v>45222</v>
      </c>
      <c r="T357" t="s">
        <v>46926</v>
      </c>
      <c r="U357" t="s">
        <v>47781</v>
      </c>
      <c r="W357" t="s">
        <v>41616</v>
      </c>
      <c r="X357" t="s">
        <v>45098</v>
      </c>
    </row>
    <row r="358" spans="1:24">
      <c r="A358">
        <f>HYPERLINK("https://www.philgeps.gov.ph/GEPSNONPILOT/Tender/SplashBidNoticeAbstractUI.aspx?menuIndex=3&amp;refID=7044497&amp;Result=3","7044497")</f>
        <v>0</v>
      </c>
      <c r="B358" t="s">
        <v>124</v>
      </c>
      <c r="C358" t="s">
        <v>3535</v>
      </c>
      <c r="D358" t="s">
        <v>18065</v>
      </c>
      <c r="E358" t="s">
        <v>18463</v>
      </c>
      <c r="F358" t="s">
        <v>31574</v>
      </c>
      <c r="G358" t="s">
        <v>31581</v>
      </c>
      <c r="H358" t="s">
        <v>31590</v>
      </c>
      <c r="I358" t="s">
        <v>5717</v>
      </c>
      <c r="J358" t="s">
        <v>32045</v>
      </c>
      <c r="K358" t="s">
        <v>41184</v>
      </c>
      <c r="M358" t="s">
        <v>41608</v>
      </c>
      <c r="N358" t="s">
        <v>45095</v>
      </c>
      <c r="O358" t="s">
        <v>45096</v>
      </c>
      <c r="P358">
        <v>0</v>
      </c>
      <c r="Q358">
        <v>0</v>
      </c>
      <c r="R358" t="s">
        <v>45097</v>
      </c>
      <c r="S358" t="s">
        <v>45222</v>
      </c>
      <c r="T358" t="s">
        <v>46934</v>
      </c>
      <c r="U358" t="s">
        <v>47799</v>
      </c>
      <c r="W358" t="s">
        <v>41608</v>
      </c>
      <c r="X358" t="s">
        <v>45098</v>
      </c>
    </row>
    <row r="359" spans="1:24">
      <c r="A359">
        <f>HYPERLINK("https://www.philgeps.gov.ph/GEPSNONPILOT/Tender/SplashBidNoticeAbstractUI.aspx?menuIndex=3&amp;refID=7044473&amp;Result=3","7044473")</f>
        <v>0</v>
      </c>
      <c r="B359" t="s">
        <v>178</v>
      </c>
      <c r="C359" t="s">
        <v>3536</v>
      </c>
      <c r="D359" t="s">
        <v>18078</v>
      </c>
      <c r="E359" t="s">
        <v>18464</v>
      </c>
      <c r="F359" t="s">
        <v>31574</v>
      </c>
      <c r="G359" t="s">
        <v>31581</v>
      </c>
      <c r="H359" t="s">
        <v>31590</v>
      </c>
      <c r="I359" t="s">
        <v>3539</v>
      </c>
      <c r="J359" t="s">
        <v>32046</v>
      </c>
      <c r="K359" t="s">
        <v>41211</v>
      </c>
      <c r="M359" t="s">
        <v>41662</v>
      </c>
      <c r="N359" t="s">
        <v>45095</v>
      </c>
      <c r="O359" t="s">
        <v>45096</v>
      </c>
      <c r="P359">
        <v>0</v>
      </c>
      <c r="Q359">
        <v>0</v>
      </c>
      <c r="R359" t="s">
        <v>45097</v>
      </c>
      <c r="S359" t="s">
        <v>45222</v>
      </c>
      <c r="T359" t="s">
        <v>46913</v>
      </c>
      <c r="U359" t="s">
        <v>47800</v>
      </c>
      <c r="V359" t="s">
        <v>59894</v>
      </c>
      <c r="W359" t="s">
        <v>41662</v>
      </c>
      <c r="X359" t="s">
        <v>45098</v>
      </c>
    </row>
    <row r="360" spans="1:24">
      <c r="A360">
        <f>HYPERLINK("https://www.philgeps.gov.ph/GEPSNONPILOT/Tender/SplashBidNoticeAbstractUI.aspx?menuIndex=3&amp;refID=7044495&amp;Result=3","7044495")</f>
        <v>0</v>
      </c>
      <c r="B360" t="s">
        <v>38</v>
      </c>
      <c r="C360" t="s">
        <v>3537</v>
      </c>
      <c r="D360" t="s">
        <v>18033</v>
      </c>
      <c r="E360" t="s">
        <v>18465</v>
      </c>
      <c r="F360" t="s">
        <v>31574</v>
      </c>
      <c r="G360" t="s">
        <v>31581</v>
      </c>
      <c r="H360" t="s">
        <v>31590</v>
      </c>
      <c r="I360" t="s">
        <v>14544</v>
      </c>
      <c r="J360" t="s">
        <v>32047</v>
      </c>
      <c r="K360" t="s">
        <v>41194</v>
      </c>
      <c r="M360" t="s">
        <v>41663</v>
      </c>
      <c r="N360" t="s">
        <v>45095</v>
      </c>
      <c r="O360" t="s">
        <v>45096</v>
      </c>
      <c r="P360">
        <v>0</v>
      </c>
      <c r="Q360">
        <v>0</v>
      </c>
      <c r="R360" t="s">
        <v>45097</v>
      </c>
      <c r="S360" t="s">
        <v>45222</v>
      </c>
      <c r="T360" t="s">
        <v>46913</v>
      </c>
      <c r="U360" t="s">
        <v>47801</v>
      </c>
      <c r="W360" t="s">
        <v>41663</v>
      </c>
      <c r="X360" t="s">
        <v>45098</v>
      </c>
    </row>
    <row r="361" spans="1:24">
      <c r="A361">
        <f>HYPERLINK("https://www.philgeps.gov.ph/GEPSNONPILOT/Tender/SplashBidNoticeAbstractUI.aspx?menuIndex=3&amp;refID=7044492&amp;Result=3","7044492")</f>
        <v>0</v>
      </c>
      <c r="B361" t="s">
        <v>179</v>
      </c>
      <c r="C361" t="s">
        <v>3538</v>
      </c>
      <c r="D361" t="s">
        <v>18080</v>
      </c>
      <c r="E361" t="s">
        <v>18466</v>
      </c>
      <c r="F361" t="s">
        <v>31574</v>
      </c>
      <c r="G361" t="s">
        <v>31581</v>
      </c>
      <c r="H361" t="s">
        <v>31590</v>
      </c>
      <c r="I361" t="s">
        <v>14544</v>
      </c>
      <c r="J361" t="s">
        <v>32048</v>
      </c>
      <c r="K361" t="s">
        <v>41196</v>
      </c>
      <c r="M361" t="s">
        <v>41664</v>
      </c>
      <c r="N361" t="s">
        <v>45095</v>
      </c>
      <c r="O361" t="s">
        <v>45096</v>
      </c>
      <c r="P361">
        <v>0</v>
      </c>
      <c r="Q361">
        <v>0</v>
      </c>
      <c r="R361" t="s">
        <v>45097</v>
      </c>
      <c r="S361" t="s">
        <v>45222</v>
      </c>
      <c r="T361" t="s">
        <v>46911</v>
      </c>
      <c r="U361" t="s">
        <v>47802</v>
      </c>
      <c r="W361" t="s">
        <v>41664</v>
      </c>
      <c r="X361" t="s">
        <v>45098</v>
      </c>
    </row>
    <row r="362" spans="1:24">
      <c r="A362">
        <f>HYPERLINK("https://www.philgeps.gov.ph/GEPSNONPILOT/Tender/SplashBidNoticeAbstractUI.aspx?menuIndex=3&amp;refID=7044496&amp;Result=3","7044496")</f>
        <v>0</v>
      </c>
      <c r="B362" t="s">
        <v>85</v>
      </c>
      <c r="C362" t="s">
        <v>3539</v>
      </c>
      <c r="D362" t="s">
        <v>18022</v>
      </c>
      <c r="E362" t="s">
        <v>18467</v>
      </c>
      <c r="F362" t="s">
        <v>31574</v>
      </c>
      <c r="G362" t="s">
        <v>31581</v>
      </c>
      <c r="H362" t="s">
        <v>31590</v>
      </c>
      <c r="I362" t="s">
        <v>3539</v>
      </c>
      <c r="J362" t="s">
        <v>32049</v>
      </c>
      <c r="K362" t="s">
        <v>41211</v>
      </c>
      <c r="M362" t="s">
        <v>41569</v>
      </c>
      <c r="N362" t="s">
        <v>45095</v>
      </c>
      <c r="O362" t="s">
        <v>45096</v>
      </c>
      <c r="P362">
        <v>0</v>
      </c>
      <c r="Q362">
        <v>0</v>
      </c>
      <c r="R362" t="s">
        <v>45097</v>
      </c>
      <c r="S362" t="s">
        <v>45222</v>
      </c>
      <c r="T362" t="s">
        <v>46934</v>
      </c>
      <c r="U362" t="s">
        <v>47803</v>
      </c>
      <c r="W362" t="s">
        <v>41569</v>
      </c>
      <c r="X362" t="s">
        <v>45098</v>
      </c>
    </row>
    <row r="363" spans="1:24">
      <c r="A363">
        <f>HYPERLINK("https://www.philgeps.gov.ph/GEPSNONPILOT/Tender/SplashBidNoticeAbstractUI.aspx?menuIndex=3&amp;refID=7044476&amp;Result=3","7044476")</f>
        <v>0</v>
      </c>
      <c r="B363" t="s">
        <v>167</v>
      </c>
      <c r="C363" t="s">
        <v>3517</v>
      </c>
      <c r="D363" t="s">
        <v>18036</v>
      </c>
      <c r="E363" t="s">
        <v>18468</v>
      </c>
      <c r="F363" t="s">
        <v>31574</v>
      </c>
      <c r="G363" t="s">
        <v>31581</v>
      </c>
      <c r="H363" t="s">
        <v>31590</v>
      </c>
      <c r="I363" t="s">
        <v>31602</v>
      </c>
      <c r="J363" t="s">
        <v>32031</v>
      </c>
      <c r="K363" t="s">
        <v>41211</v>
      </c>
      <c r="L363" t="s">
        <v>167</v>
      </c>
      <c r="M363" t="s">
        <v>41651</v>
      </c>
      <c r="N363" t="s">
        <v>45095</v>
      </c>
      <c r="O363" t="s">
        <v>45096</v>
      </c>
      <c r="P363">
        <v>0</v>
      </c>
      <c r="Q363">
        <v>0</v>
      </c>
      <c r="R363" t="s">
        <v>45097</v>
      </c>
      <c r="S363" t="s">
        <v>45222</v>
      </c>
      <c r="T363" t="s">
        <v>46913</v>
      </c>
      <c r="U363" t="s">
        <v>47804</v>
      </c>
      <c r="W363" t="s">
        <v>41651</v>
      </c>
      <c r="X363" t="s">
        <v>45098</v>
      </c>
    </row>
    <row r="364" spans="1:24">
      <c r="A364">
        <f>HYPERLINK("https://www.philgeps.gov.ph/GEPSNONPILOT/Tender/SplashBidNoticeAbstractUI.aspx?menuIndex=3&amp;refID=7044491&amp;Result=3","7044491")</f>
        <v>0</v>
      </c>
      <c r="B364" t="s">
        <v>180</v>
      </c>
      <c r="C364" t="s">
        <v>3540</v>
      </c>
      <c r="D364" t="s">
        <v>18066</v>
      </c>
      <c r="E364" t="s">
        <v>18469</v>
      </c>
      <c r="F364" t="s">
        <v>31574</v>
      </c>
      <c r="G364" t="s">
        <v>31582</v>
      </c>
      <c r="H364" t="s">
        <v>31590</v>
      </c>
      <c r="I364" t="s">
        <v>4046</v>
      </c>
      <c r="J364" t="s">
        <v>32050</v>
      </c>
      <c r="K364" t="s">
        <v>41196</v>
      </c>
      <c r="M364" t="s">
        <v>41665</v>
      </c>
      <c r="N364" t="s">
        <v>45095</v>
      </c>
      <c r="O364" t="s">
        <v>45096</v>
      </c>
      <c r="P364">
        <v>0</v>
      </c>
      <c r="Q364">
        <v>0</v>
      </c>
      <c r="R364" t="s">
        <v>45097</v>
      </c>
      <c r="S364" t="s">
        <v>45222</v>
      </c>
      <c r="T364" t="s">
        <v>46977</v>
      </c>
      <c r="U364" t="s">
        <v>47805</v>
      </c>
      <c r="W364" t="s">
        <v>41665</v>
      </c>
      <c r="X364" t="s">
        <v>45098</v>
      </c>
    </row>
    <row r="365" spans="1:24">
      <c r="A365">
        <f>HYPERLINK("https://www.philgeps.gov.ph/GEPSNONPILOT/Tender/SplashBidNoticeAbstractUI.aspx?menuIndex=3&amp;refID=7044493&amp;Result=3","7044493")</f>
        <v>0</v>
      </c>
      <c r="B365" t="s">
        <v>181</v>
      </c>
      <c r="C365" t="s">
        <v>3541</v>
      </c>
      <c r="D365" t="s">
        <v>18022</v>
      </c>
      <c r="E365" t="s">
        <v>18470</v>
      </c>
      <c r="F365" t="s">
        <v>31574</v>
      </c>
      <c r="G365" t="s">
        <v>31581</v>
      </c>
      <c r="H365" t="s">
        <v>31590</v>
      </c>
      <c r="I365" t="s">
        <v>31621</v>
      </c>
      <c r="J365" t="s">
        <v>32051</v>
      </c>
      <c r="K365" t="s">
        <v>41193</v>
      </c>
      <c r="M365" t="s">
        <v>41666</v>
      </c>
      <c r="N365" t="s">
        <v>45095</v>
      </c>
      <c r="O365" t="s">
        <v>45096</v>
      </c>
      <c r="P365">
        <v>0</v>
      </c>
      <c r="Q365">
        <v>1</v>
      </c>
      <c r="R365" t="s">
        <v>45097</v>
      </c>
      <c r="S365" t="s">
        <v>45222</v>
      </c>
      <c r="T365" t="s">
        <v>46969</v>
      </c>
      <c r="U365" t="s">
        <v>47806</v>
      </c>
      <c r="V365" t="s">
        <v>59895</v>
      </c>
      <c r="W365" t="s">
        <v>41666</v>
      </c>
      <c r="X365" t="s">
        <v>45098</v>
      </c>
    </row>
    <row r="366" spans="1:24">
      <c r="A366">
        <f>HYPERLINK("https://www.philgeps.gov.ph/GEPSNONPILOT/Tender/SplashBidNoticeAbstractUI.aspx?menuIndex=3&amp;refID=7044474&amp;Result=3","7044474")</f>
        <v>0</v>
      </c>
      <c r="B366" t="s">
        <v>176</v>
      </c>
      <c r="C366" t="s">
        <v>3542</v>
      </c>
      <c r="D366" t="s">
        <v>18059</v>
      </c>
      <c r="E366" t="s">
        <v>18471</v>
      </c>
      <c r="F366" t="s">
        <v>31574</v>
      </c>
      <c r="G366" t="s">
        <v>31581</v>
      </c>
      <c r="H366" t="s">
        <v>31590</v>
      </c>
      <c r="I366" t="s">
        <v>31602</v>
      </c>
      <c r="J366" t="s">
        <v>32052</v>
      </c>
      <c r="K366" t="s">
        <v>41193</v>
      </c>
      <c r="M366" t="s">
        <v>41660</v>
      </c>
      <c r="N366" t="s">
        <v>45095</v>
      </c>
      <c r="O366" t="s">
        <v>45096</v>
      </c>
      <c r="P366">
        <v>0</v>
      </c>
      <c r="Q366">
        <v>0</v>
      </c>
      <c r="R366" t="s">
        <v>45097</v>
      </c>
      <c r="S366" t="s">
        <v>45222</v>
      </c>
      <c r="T366" t="s">
        <v>46931</v>
      </c>
      <c r="U366" t="s">
        <v>47807</v>
      </c>
      <c r="V366" t="s">
        <v>59893</v>
      </c>
      <c r="W366" t="s">
        <v>41660</v>
      </c>
      <c r="X366" t="s">
        <v>45098</v>
      </c>
    </row>
    <row r="367" spans="1:24">
      <c r="A367">
        <f>HYPERLINK("https://www.philgeps.gov.ph/GEPSNONPILOT/Tender/SplashBidNoticeAbstractUI.aspx?menuIndex=3&amp;refID=7044481&amp;Result=3","7044481")</f>
        <v>0</v>
      </c>
      <c r="B367" t="s">
        <v>168</v>
      </c>
      <c r="C367" t="s">
        <v>3543</v>
      </c>
      <c r="D367" t="s">
        <v>18050</v>
      </c>
      <c r="E367" t="s">
        <v>18472</v>
      </c>
      <c r="F367" t="s">
        <v>31574</v>
      </c>
      <c r="G367" t="s">
        <v>31581</v>
      </c>
      <c r="H367" t="s">
        <v>31591</v>
      </c>
      <c r="I367" t="s">
        <v>8822</v>
      </c>
      <c r="J367" t="s">
        <v>32053</v>
      </c>
      <c r="K367" t="s">
        <v>41189</v>
      </c>
      <c r="M367" t="s">
        <v>41652</v>
      </c>
      <c r="N367" t="s">
        <v>45095</v>
      </c>
      <c r="O367" t="s">
        <v>45096</v>
      </c>
      <c r="P367">
        <v>0</v>
      </c>
      <c r="Q367">
        <v>0</v>
      </c>
      <c r="R367" t="s">
        <v>45097</v>
      </c>
      <c r="S367" t="s">
        <v>45222</v>
      </c>
      <c r="T367" t="s">
        <v>46949</v>
      </c>
      <c r="U367" t="s">
        <v>47808</v>
      </c>
      <c r="W367" t="s">
        <v>41652</v>
      </c>
      <c r="X367" t="s">
        <v>45098</v>
      </c>
    </row>
    <row r="368" spans="1:24">
      <c r="A368">
        <f>HYPERLINK("https://www.philgeps.gov.ph/GEPSNONPILOT/Tender/SplashBidNoticeAbstractUI.aspx?menuIndex=3&amp;refID=7044494&amp;Result=3","7044494")</f>
        <v>0</v>
      </c>
      <c r="B368" t="s">
        <v>182</v>
      </c>
      <c r="C368" t="s">
        <v>3544</v>
      </c>
      <c r="D368" t="s">
        <v>18060</v>
      </c>
      <c r="E368" t="s">
        <v>18473</v>
      </c>
      <c r="F368" t="s">
        <v>31574</v>
      </c>
      <c r="G368" t="s">
        <v>31581</v>
      </c>
      <c r="H368" t="s">
        <v>31590</v>
      </c>
      <c r="I368" t="s">
        <v>3489</v>
      </c>
      <c r="J368" t="s">
        <v>32054</v>
      </c>
      <c r="K368" t="s">
        <v>41190</v>
      </c>
      <c r="M368" t="s">
        <v>41667</v>
      </c>
      <c r="N368" t="s">
        <v>45095</v>
      </c>
      <c r="O368" t="s">
        <v>45096</v>
      </c>
      <c r="P368">
        <v>0</v>
      </c>
      <c r="Q368">
        <v>0</v>
      </c>
      <c r="R368" t="s">
        <v>45097</v>
      </c>
      <c r="S368" t="s">
        <v>45222</v>
      </c>
      <c r="T368" t="s">
        <v>46918</v>
      </c>
      <c r="U368" t="s">
        <v>47809</v>
      </c>
      <c r="W368" t="s">
        <v>41667</v>
      </c>
      <c r="X368" t="s">
        <v>45098</v>
      </c>
    </row>
    <row r="369" spans="1:24">
      <c r="A369">
        <f>HYPERLINK("https://www.philgeps.gov.ph/GEPSNONPILOT/Tender/SplashBidNoticeAbstractUI.aspx?menuIndex=3&amp;refID=7044504&amp;Result=3","7044504")</f>
        <v>0</v>
      </c>
      <c r="B369" t="s">
        <v>183</v>
      </c>
      <c r="C369" t="s">
        <v>3545</v>
      </c>
      <c r="D369" t="s">
        <v>18043</v>
      </c>
      <c r="E369" t="s">
        <v>18474</v>
      </c>
      <c r="F369" t="s">
        <v>31574</v>
      </c>
      <c r="G369" t="s">
        <v>31581</v>
      </c>
      <c r="H369" t="s">
        <v>31590</v>
      </c>
      <c r="I369" t="s">
        <v>31595</v>
      </c>
      <c r="J369" t="s">
        <v>31727</v>
      </c>
      <c r="K369" t="s">
        <v>41196</v>
      </c>
      <c r="M369" t="s">
        <v>41668</v>
      </c>
      <c r="N369" t="s">
        <v>45095</v>
      </c>
      <c r="O369" t="s">
        <v>45096</v>
      </c>
      <c r="P369">
        <v>0</v>
      </c>
      <c r="Q369">
        <v>0</v>
      </c>
      <c r="R369" t="s">
        <v>45097</v>
      </c>
      <c r="S369" t="s">
        <v>45222</v>
      </c>
      <c r="T369" t="s">
        <v>46968</v>
      </c>
      <c r="U369" t="s">
        <v>47810</v>
      </c>
      <c r="V369" t="s">
        <v>59896</v>
      </c>
      <c r="W369" t="s">
        <v>41668</v>
      </c>
      <c r="X369" t="s">
        <v>45098</v>
      </c>
    </row>
    <row r="370" spans="1:24">
      <c r="A370">
        <f>HYPERLINK("https://www.philgeps.gov.ph/GEPSNONPILOT/Tender/SplashBidNoticeAbstractUI.aspx?menuIndex=3&amp;refID=7044502&amp;Result=3","7044502")</f>
        <v>0</v>
      </c>
      <c r="B370" t="s">
        <v>184</v>
      </c>
      <c r="C370" t="s">
        <v>3546</v>
      </c>
      <c r="D370" t="s">
        <v>18033</v>
      </c>
      <c r="E370" t="s">
        <v>18475</v>
      </c>
      <c r="F370" t="s">
        <v>31574</v>
      </c>
      <c r="G370" t="s">
        <v>31582</v>
      </c>
      <c r="H370" t="s">
        <v>31590</v>
      </c>
      <c r="I370" t="s">
        <v>31639</v>
      </c>
      <c r="J370" t="s">
        <v>31727</v>
      </c>
      <c r="K370" t="s">
        <v>41193</v>
      </c>
      <c r="M370" t="s">
        <v>41669</v>
      </c>
      <c r="N370" t="s">
        <v>45095</v>
      </c>
      <c r="O370" t="s">
        <v>45096</v>
      </c>
      <c r="P370">
        <v>0</v>
      </c>
      <c r="Q370">
        <v>0</v>
      </c>
      <c r="R370" t="s">
        <v>45097</v>
      </c>
      <c r="S370" t="s">
        <v>45222</v>
      </c>
      <c r="T370" t="s">
        <v>46905</v>
      </c>
      <c r="U370" t="s">
        <v>47811</v>
      </c>
      <c r="W370" t="s">
        <v>41669</v>
      </c>
      <c r="X370" t="s">
        <v>45098</v>
      </c>
    </row>
    <row r="371" spans="1:24">
      <c r="A371">
        <f>HYPERLINK("https://www.philgeps.gov.ph/GEPSNONPILOT/Tender/SplashBidNoticeAbstractUI.aspx?menuIndex=3&amp;refID=7044488&amp;Result=3","7044488")</f>
        <v>0</v>
      </c>
      <c r="B371" t="s">
        <v>159</v>
      </c>
      <c r="C371" t="s">
        <v>3547</v>
      </c>
      <c r="D371" t="s">
        <v>18046</v>
      </c>
      <c r="E371" t="s">
        <v>18476</v>
      </c>
      <c r="F371" t="s">
        <v>31574</v>
      </c>
      <c r="G371" t="s">
        <v>31582</v>
      </c>
      <c r="H371" t="s">
        <v>31590</v>
      </c>
      <c r="I371" t="s">
        <v>31608</v>
      </c>
      <c r="J371" t="s">
        <v>32055</v>
      </c>
      <c r="K371" t="s">
        <v>41186</v>
      </c>
      <c r="M371" t="s">
        <v>41643</v>
      </c>
      <c r="N371" t="s">
        <v>45095</v>
      </c>
      <c r="O371" t="s">
        <v>45096</v>
      </c>
      <c r="P371">
        <v>0</v>
      </c>
      <c r="Q371">
        <v>0</v>
      </c>
      <c r="R371" t="s">
        <v>45097</v>
      </c>
      <c r="S371" t="s">
        <v>45222</v>
      </c>
      <c r="T371" t="s">
        <v>46914</v>
      </c>
      <c r="U371" t="s">
        <v>47772</v>
      </c>
      <c r="V371" t="s">
        <v>59890</v>
      </c>
      <c r="W371" t="s">
        <v>41643</v>
      </c>
      <c r="X371" t="s">
        <v>45098</v>
      </c>
    </row>
    <row r="372" spans="1:24">
      <c r="A372">
        <f>HYPERLINK("https://www.philgeps.gov.ph/GEPSNONPILOT/Tender/SplashBidNoticeAbstractUI.aspx?menuIndex=3&amp;refID=7044498&amp;Result=3","7044498")</f>
        <v>0</v>
      </c>
      <c r="B372" t="s">
        <v>185</v>
      </c>
      <c r="C372" t="s">
        <v>3548</v>
      </c>
      <c r="E372" t="s">
        <v>18477</v>
      </c>
      <c r="F372" t="s">
        <v>31574</v>
      </c>
      <c r="G372" t="s">
        <v>31582</v>
      </c>
      <c r="H372" t="s">
        <v>31591</v>
      </c>
      <c r="I372" t="s">
        <v>8822</v>
      </c>
      <c r="J372" t="s">
        <v>32056</v>
      </c>
      <c r="K372" t="s">
        <v>41200</v>
      </c>
      <c r="M372" t="s">
        <v>41670</v>
      </c>
      <c r="N372" t="s">
        <v>45095</v>
      </c>
      <c r="O372" t="s">
        <v>45096</v>
      </c>
      <c r="P372">
        <v>0</v>
      </c>
      <c r="Q372">
        <v>0</v>
      </c>
      <c r="R372" t="s">
        <v>45097</v>
      </c>
      <c r="S372" t="s">
        <v>45222</v>
      </c>
      <c r="T372" t="s">
        <v>46915</v>
      </c>
      <c r="U372" t="s">
        <v>47812</v>
      </c>
      <c r="W372" t="s">
        <v>41670</v>
      </c>
      <c r="X372" t="s">
        <v>45098</v>
      </c>
    </row>
    <row r="373" spans="1:24">
      <c r="A373">
        <f>HYPERLINK("https://www.philgeps.gov.ph/GEPSNONPILOT/Tender/SplashBidNoticeAbstractUI.aspx?menuIndex=3&amp;refID=7044500&amp;Result=3","7044500")</f>
        <v>0</v>
      </c>
      <c r="B373" t="s">
        <v>186</v>
      </c>
      <c r="C373" t="s">
        <v>3549</v>
      </c>
      <c r="D373" t="s">
        <v>18027</v>
      </c>
      <c r="E373" t="s">
        <v>18478</v>
      </c>
      <c r="F373" t="s">
        <v>31575</v>
      </c>
      <c r="G373" t="s">
        <v>31583</v>
      </c>
      <c r="H373" t="s">
        <v>31590</v>
      </c>
      <c r="I373" t="s">
        <v>4046</v>
      </c>
      <c r="J373" t="s">
        <v>32057</v>
      </c>
      <c r="K373" t="s">
        <v>41197</v>
      </c>
      <c r="M373" t="s">
        <v>41671</v>
      </c>
      <c r="N373" t="s">
        <v>45095</v>
      </c>
      <c r="O373" t="s">
        <v>45096</v>
      </c>
      <c r="P373">
        <v>0</v>
      </c>
      <c r="Q373">
        <v>0</v>
      </c>
      <c r="R373" t="s">
        <v>45097</v>
      </c>
      <c r="S373" t="s">
        <v>45222</v>
      </c>
      <c r="T373" t="s">
        <v>46978</v>
      </c>
      <c r="U373" t="s">
        <v>47813</v>
      </c>
      <c r="W373" t="s">
        <v>41671</v>
      </c>
      <c r="X373" t="s">
        <v>45098</v>
      </c>
    </row>
    <row r="374" spans="1:24">
      <c r="A374">
        <f>HYPERLINK("https://www.philgeps.gov.ph/GEPSNONPILOT/Tender/SplashBidNoticeAbstractUI.aspx?menuIndex=3&amp;refID=7044487&amp;Result=3","7044487")</f>
        <v>0</v>
      </c>
      <c r="B374" t="s">
        <v>135</v>
      </c>
      <c r="C374" t="s">
        <v>3550</v>
      </c>
      <c r="D374" t="s">
        <v>18022</v>
      </c>
      <c r="E374" t="s">
        <v>18479</v>
      </c>
      <c r="F374" t="s">
        <v>31574</v>
      </c>
      <c r="G374" t="s">
        <v>31581</v>
      </c>
      <c r="H374" t="s">
        <v>31590</v>
      </c>
      <c r="I374" t="s">
        <v>8258</v>
      </c>
      <c r="J374" t="s">
        <v>31789</v>
      </c>
      <c r="K374" t="s">
        <v>41184</v>
      </c>
      <c r="M374" t="s">
        <v>41619</v>
      </c>
      <c r="N374" t="s">
        <v>45095</v>
      </c>
      <c r="O374" t="s">
        <v>45096</v>
      </c>
      <c r="P374">
        <v>0</v>
      </c>
      <c r="Q374">
        <v>0</v>
      </c>
      <c r="R374" t="s">
        <v>45097</v>
      </c>
      <c r="S374" t="s">
        <v>45222</v>
      </c>
      <c r="T374" t="s">
        <v>46914</v>
      </c>
      <c r="U374" t="s">
        <v>47814</v>
      </c>
      <c r="W374" t="s">
        <v>41619</v>
      </c>
      <c r="X374" t="s">
        <v>45098</v>
      </c>
    </row>
    <row r="375" spans="1:24">
      <c r="A375">
        <f>HYPERLINK("https://www.philgeps.gov.ph/GEPSNONPILOT/Tender/SplashBidNoticeAbstractUI.aspx?menuIndex=3&amp;refID=7044490&amp;Result=3","7044490")</f>
        <v>0</v>
      </c>
      <c r="B375" t="s">
        <v>141</v>
      </c>
      <c r="C375" t="s">
        <v>3551</v>
      </c>
      <c r="D375" t="s">
        <v>18074</v>
      </c>
      <c r="E375" t="s">
        <v>18480</v>
      </c>
      <c r="F375" t="s">
        <v>31574</v>
      </c>
      <c r="G375" t="s">
        <v>31581</v>
      </c>
      <c r="H375" t="s">
        <v>31590</v>
      </c>
      <c r="I375" t="s">
        <v>3487</v>
      </c>
      <c r="J375" t="s">
        <v>32058</v>
      </c>
      <c r="K375" t="s">
        <v>41184</v>
      </c>
      <c r="M375" t="s">
        <v>41625</v>
      </c>
      <c r="N375" t="s">
        <v>45095</v>
      </c>
      <c r="O375" t="s">
        <v>45096</v>
      </c>
      <c r="P375">
        <v>0</v>
      </c>
      <c r="Q375">
        <v>0</v>
      </c>
      <c r="R375" t="s">
        <v>45097</v>
      </c>
      <c r="S375" t="s">
        <v>45222</v>
      </c>
      <c r="T375" t="s">
        <v>46922</v>
      </c>
      <c r="U375" t="s">
        <v>47815</v>
      </c>
      <c r="W375" t="s">
        <v>41625</v>
      </c>
      <c r="X375" t="s">
        <v>45098</v>
      </c>
    </row>
    <row r="376" spans="1:24">
      <c r="A376">
        <f>HYPERLINK("https://www.philgeps.gov.ph/GEPSNONPILOT/Tender/SplashBidNoticeAbstractUI.aspx?menuIndex=3&amp;refID=7044484&amp;Result=3","7044484")</f>
        <v>0</v>
      </c>
      <c r="B376" t="s">
        <v>121</v>
      </c>
      <c r="C376" t="s">
        <v>3552</v>
      </c>
      <c r="D376" t="s">
        <v>18023</v>
      </c>
      <c r="E376" t="s">
        <v>18481</v>
      </c>
      <c r="F376" t="s">
        <v>31574</v>
      </c>
      <c r="G376" t="s">
        <v>31582</v>
      </c>
      <c r="H376" t="s">
        <v>31590</v>
      </c>
      <c r="I376" t="s">
        <v>5717</v>
      </c>
      <c r="J376" t="s">
        <v>32059</v>
      </c>
      <c r="K376" t="s">
        <v>41185</v>
      </c>
      <c r="L376" t="s">
        <v>121</v>
      </c>
      <c r="M376" t="s">
        <v>41605</v>
      </c>
      <c r="N376" t="s">
        <v>45095</v>
      </c>
      <c r="O376" t="s">
        <v>45096</v>
      </c>
      <c r="P376">
        <v>0</v>
      </c>
      <c r="Q376">
        <v>0</v>
      </c>
      <c r="R376" t="s">
        <v>45097</v>
      </c>
      <c r="S376" t="s">
        <v>45222</v>
      </c>
      <c r="T376" t="s">
        <v>46926</v>
      </c>
      <c r="U376" t="s">
        <v>47816</v>
      </c>
      <c r="W376" t="s">
        <v>41605</v>
      </c>
      <c r="X376" t="s">
        <v>45098</v>
      </c>
    </row>
    <row r="377" spans="1:24">
      <c r="A377">
        <f>HYPERLINK("https://www.philgeps.gov.ph/GEPSNONPILOT/Tender/SplashBidNoticeAbstractUI.aspx?menuIndex=3&amp;refID=7044503&amp;Result=3","7044503")</f>
        <v>0</v>
      </c>
      <c r="B377" t="s">
        <v>178</v>
      </c>
      <c r="C377" t="s">
        <v>3553</v>
      </c>
      <c r="D377" t="s">
        <v>18078</v>
      </c>
      <c r="E377" t="s">
        <v>18482</v>
      </c>
      <c r="F377" t="s">
        <v>31574</v>
      </c>
      <c r="G377" t="s">
        <v>31582</v>
      </c>
      <c r="H377" t="s">
        <v>31591</v>
      </c>
      <c r="I377" t="s">
        <v>8822</v>
      </c>
      <c r="J377" t="s">
        <v>32060</v>
      </c>
      <c r="K377" t="s">
        <v>41217</v>
      </c>
      <c r="M377" t="s">
        <v>41662</v>
      </c>
      <c r="N377" t="s">
        <v>45095</v>
      </c>
      <c r="O377" t="s">
        <v>45096</v>
      </c>
      <c r="P377">
        <v>0</v>
      </c>
      <c r="Q377">
        <v>0</v>
      </c>
      <c r="R377" t="s">
        <v>45097</v>
      </c>
      <c r="S377" t="s">
        <v>45222</v>
      </c>
      <c r="T377" t="s">
        <v>46924</v>
      </c>
      <c r="U377" t="s">
        <v>47817</v>
      </c>
      <c r="V377" t="s">
        <v>59897</v>
      </c>
      <c r="W377" t="s">
        <v>41662</v>
      </c>
      <c r="X377" t="s">
        <v>45098</v>
      </c>
    </row>
    <row r="378" spans="1:24">
      <c r="A378">
        <f>HYPERLINK("https://www.philgeps.gov.ph/GEPSNONPILOT/Tender/SplashBidNoticeAbstractUI.aspx?menuIndex=3&amp;refID=7044505&amp;Result=3","7044505")</f>
        <v>0</v>
      </c>
      <c r="B378" t="s">
        <v>187</v>
      </c>
      <c r="C378" t="s">
        <v>3554</v>
      </c>
      <c r="D378" t="s">
        <v>18068</v>
      </c>
      <c r="E378" t="s">
        <v>18483</v>
      </c>
      <c r="F378" t="s">
        <v>31574</v>
      </c>
      <c r="G378" t="s">
        <v>31581</v>
      </c>
      <c r="H378" t="s">
        <v>31590</v>
      </c>
      <c r="I378" t="s">
        <v>4046</v>
      </c>
      <c r="J378" t="s">
        <v>32061</v>
      </c>
      <c r="K378" t="s">
        <v>41211</v>
      </c>
      <c r="L378" t="s">
        <v>187</v>
      </c>
      <c r="M378" t="s">
        <v>41672</v>
      </c>
      <c r="N378" t="s">
        <v>45095</v>
      </c>
      <c r="O378" t="s">
        <v>45096</v>
      </c>
      <c r="P378">
        <v>0</v>
      </c>
      <c r="Q378">
        <v>0</v>
      </c>
      <c r="R378" t="s">
        <v>45097</v>
      </c>
      <c r="S378" t="s">
        <v>45222</v>
      </c>
      <c r="T378" t="s">
        <v>46913</v>
      </c>
      <c r="U378" t="s">
        <v>47818</v>
      </c>
      <c r="W378" t="s">
        <v>41672</v>
      </c>
      <c r="X378" t="s">
        <v>45098</v>
      </c>
    </row>
    <row r="379" spans="1:24">
      <c r="A379">
        <f>HYPERLINK("https://www.philgeps.gov.ph/GEPSNONPILOT/Tender/SplashBidNoticeAbstractUI.aspx?menuIndex=3&amp;refID=7044489&amp;Result=3","7044489")</f>
        <v>0</v>
      </c>
      <c r="B379" t="s">
        <v>188</v>
      </c>
      <c r="C379" t="s">
        <v>3555</v>
      </c>
      <c r="D379" t="s">
        <v>18037</v>
      </c>
      <c r="E379" t="s">
        <v>18484</v>
      </c>
      <c r="F379" t="s">
        <v>31574</v>
      </c>
      <c r="G379" t="s">
        <v>31581</v>
      </c>
      <c r="H379" t="s">
        <v>31590</v>
      </c>
      <c r="I379" t="s">
        <v>3487</v>
      </c>
      <c r="J379" t="s">
        <v>32062</v>
      </c>
      <c r="K379" t="s">
        <v>41184</v>
      </c>
      <c r="M379" t="s">
        <v>41673</v>
      </c>
      <c r="N379" t="s">
        <v>45095</v>
      </c>
      <c r="O379" t="s">
        <v>45096</v>
      </c>
      <c r="P379">
        <v>0</v>
      </c>
      <c r="Q379">
        <v>0</v>
      </c>
      <c r="R379" t="s">
        <v>45097</v>
      </c>
      <c r="S379" t="s">
        <v>45222</v>
      </c>
      <c r="T379" t="s">
        <v>46952</v>
      </c>
      <c r="U379" t="s">
        <v>47819</v>
      </c>
      <c r="V379" t="s">
        <v>59889</v>
      </c>
      <c r="W379" t="s">
        <v>41673</v>
      </c>
      <c r="X379" t="s">
        <v>45098</v>
      </c>
    </row>
    <row r="380" spans="1:24">
      <c r="A380">
        <f>HYPERLINK("https://www.philgeps.gov.ph/GEPSNONPILOT/Tender/SplashBidNoticeAbstractUI.aspx?menuIndex=3&amp;refID=7044501&amp;Result=3","7044501")</f>
        <v>0</v>
      </c>
      <c r="B380" t="s">
        <v>143</v>
      </c>
      <c r="C380" t="s">
        <v>3556</v>
      </c>
      <c r="D380" t="s">
        <v>18075</v>
      </c>
      <c r="E380" t="s">
        <v>18485</v>
      </c>
      <c r="F380" t="s">
        <v>31574</v>
      </c>
      <c r="G380" t="s">
        <v>31582</v>
      </c>
      <c r="H380" t="s">
        <v>31590</v>
      </c>
      <c r="I380" t="s">
        <v>8822</v>
      </c>
      <c r="J380" t="s">
        <v>32063</v>
      </c>
      <c r="K380" t="s">
        <v>41218</v>
      </c>
      <c r="M380" t="s">
        <v>41627</v>
      </c>
      <c r="N380" t="s">
        <v>45095</v>
      </c>
      <c r="O380" t="s">
        <v>45096</v>
      </c>
      <c r="P380">
        <v>0</v>
      </c>
      <c r="Q380">
        <v>0</v>
      </c>
      <c r="R380" t="s">
        <v>45097</v>
      </c>
      <c r="S380" t="s">
        <v>45222</v>
      </c>
      <c r="T380" t="s">
        <v>46921</v>
      </c>
      <c r="U380" t="s">
        <v>47820</v>
      </c>
      <c r="W380" t="s">
        <v>41627</v>
      </c>
      <c r="X380" t="s">
        <v>45098</v>
      </c>
    </row>
    <row r="381" spans="1:24">
      <c r="A381">
        <f>HYPERLINK("https://www.philgeps.gov.ph/GEPSNONPILOT/Tender/SplashBidNoticeAbstractUI.aspx?menuIndex=3&amp;refID=7044458&amp;Result=3","7044458")</f>
        <v>0</v>
      </c>
      <c r="B381" t="s">
        <v>146</v>
      </c>
      <c r="C381" t="s">
        <v>3557</v>
      </c>
      <c r="D381" t="s">
        <v>18042</v>
      </c>
      <c r="E381" t="s">
        <v>18422</v>
      </c>
      <c r="F381" t="s">
        <v>31574</v>
      </c>
      <c r="G381" t="s">
        <v>31583</v>
      </c>
      <c r="H381" t="s">
        <v>31590</v>
      </c>
      <c r="I381" t="s">
        <v>4046</v>
      </c>
      <c r="J381" t="s">
        <v>32064</v>
      </c>
      <c r="K381" t="s">
        <v>41213</v>
      </c>
      <c r="M381" t="s">
        <v>41630</v>
      </c>
      <c r="N381" t="s">
        <v>45095</v>
      </c>
      <c r="O381" t="s">
        <v>45096</v>
      </c>
      <c r="P381">
        <v>0</v>
      </c>
      <c r="Q381">
        <v>0</v>
      </c>
      <c r="R381" t="s">
        <v>45097</v>
      </c>
      <c r="S381" t="s">
        <v>45222</v>
      </c>
      <c r="T381" t="s">
        <v>46955</v>
      </c>
      <c r="U381" t="s">
        <v>47821</v>
      </c>
      <c r="W381" t="s">
        <v>41630</v>
      </c>
      <c r="X381" t="s">
        <v>45098</v>
      </c>
    </row>
    <row r="382" spans="1:24">
      <c r="A382">
        <f>HYPERLINK("https://www.philgeps.gov.ph/GEPSNONPILOT/Tender/SplashBidNoticeAbstractUI.aspx?menuIndex=3&amp;refID=7044517&amp;Result=3","7044517")</f>
        <v>0</v>
      </c>
      <c r="B382" t="s">
        <v>180</v>
      </c>
      <c r="C382" t="s">
        <v>3558</v>
      </c>
      <c r="D382" t="s">
        <v>18066</v>
      </c>
      <c r="E382" t="s">
        <v>18486</v>
      </c>
      <c r="F382" t="s">
        <v>31574</v>
      </c>
      <c r="G382" t="s">
        <v>31582</v>
      </c>
      <c r="H382" t="s">
        <v>31590</v>
      </c>
      <c r="I382" t="s">
        <v>4046</v>
      </c>
      <c r="J382" t="s">
        <v>32065</v>
      </c>
      <c r="K382" t="s">
        <v>41196</v>
      </c>
      <c r="M382" t="s">
        <v>41665</v>
      </c>
      <c r="N382" t="s">
        <v>45095</v>
      </c>
      <c r="O382" t="s">
        <v>45096</v>
      </c>
      <c r="P382">
        <v>0</v>
      </c>
      <c r="Q382">
        <v>0</v>
      </c>
      <c r="R382" t="s">
        <v>45097</v>
      </c>
      <c r="S382" t="s">
        <v>45222</v>
      </c>
      <c r="T382" t="s">
        <v>46977</v>
      </c>
      <c r="U382" t="s">
        <v>47822</v>
      </c>
      <c r="W382" t="s">
        <v>41665</v>
      </c>
      <c r="X382" t="s">
        <v>45098</v>
      </c>
    </row>
    <row r="383" spans="1:24">
      <c r="A383">
        <f>HYPERLINK("https://www.philgeps.gov.ph/GEPSNONPILOT/Tender/SplashBidNoticeAbstractUI.aspx?menuIndex=3&amp;refID=7044519&amp;Result=3","7044519")</f>
        <v>0</v>
      </c>
      <c r="B383" t="s">
        <v>125</v>
      </c>
      <c r="C383" t="s">
        <v>3559</v>
      </c>
      <c r="D383" t="s">
        <v>18039</v>
      </c>
      <c r="E383" t="s">
        <v>18487</v>
      </c>
      <c r="F383" t="s">
        <v>31574</v>
      </c>
      <c r="G383" t="s">
        <v>31581</v>
      </c>
      <c r="H383" t="s">
        <v>31590</v>
      </c>
      <c r="I383" t="s">
        <v>31609</v>
      </c>
      <c r="J383" t="s">
        <v>32066</v>
      </c>
      <c r="K383" t="s">
        <v>41184</v>
      </c>
      <c r="M383" t="s">
        <v>41609</v>
      </c>
      <c r="N383" t="s">
        <v>45095</v>
      </c>
      <c r="O383" t="s">
        <v>45096</v>
      </c>
      <c r="P383">
        <v>0</v>
      </c>
      <c r="Q383">
        <v>0</v>
      </c>
      <c r="R383" t="s">
        <v>45097</v>
      </c>
      <c r="S383" t="s">
        <v>45222</v>
      </c>
      <c r="T383" t="s">
        <v>46904</v>
      </c>
      <c r="U383" t="s">
        <v>47746</v>
      </c>
      <c r="W383" t="s">
        <v>41609</v>
      </c>
      <c r="X383" t="s">
        <v>45098</v>
      </c>
    </row>
    <row r="384" spans="1:24">
      <c r="A384">
        <f>HYPERLINK("https://www.philgeps.gov.ph/GEPSNONPILOT/Tender/SplashBidNoticeAbstractUI.aspx?menuIndex=3&amp;refID=7044485&amp;Result=3","7044485")</f>
        <v>0</v>
      </c>
      <c r="B384" t="s">
        <v>189</v>
      </c>
      <c r="C384" t="s">
        <v>3560</v>
      </c>
      <c r="D384" t="s">
        <v>18081</v>
      </c>
      <c r="E384" t="s">
        <v>18488</v>
      </c>
      <c r="F384" t="s">
        <v>31574</v>
      </c>
      <c r="G384" t="s">
        <v>31581</v>
      </c>
      <c r="H384" t="s">
        <v>31590</v>
      </c>
      <c r="I384" t="s">
        <v>31594</v>
      </c>
      <c r="J384" t="s">
        <v>32067</v>
      </c>
      <c r="K384" t="s">
        <v>41196</v>
      </c>
      <c r="M384" t="s">
        <v>41674</v>
      </c>
      <c r="N384" t="s">
        <v>45095</v>
      </c>
      <c r="O384" t="s">
        <v>45096</v>
      </c>
      <c r="P384">
        <v>0</v>
      </c>
      <c r="Q384">
        <v>0</v>
      </c>
      <c r="R384" t="s">
        <v>45097</v>
      </c>
      <c r="S384" t="s">
        <v>45222</v>
      </c>
      <c r="T384" t="s">
        <v>46961</v>
      </c>
      <c r="U384" t="s">
        <v>47823</v>
      </c>
      <c r="V384" t="s">
        <v>59898</v>
      </c>
      <c r="W384" t="s">
        <v>41674</v>
      </c>
      <c r="X384" t="s">
        <v>45098</v>
      </c>
    </row>
    <row r="385" spans="1:24">
      <c r="A385">
        <f>HYPERLINK("https://www.philgeps.gov.ph/GEPSNONPILOT/Tender/SplashBidNoticeAbstractUI.aspx?menuIndex=3&amp;refID=7044526&amp;Result=3","7044526")</f>
        <v>0</v>
      </c>
      <c r="B385" t="s">
        <v>124</v>
      </c>
      <c r="C385" t="s">
        <v>3561</v>
      </c>
      <c r="D385" t="s">
        <v>18065</v>
      </c>
      <c r="E385" t="s">
        <v>18489</v>
      </c>
      <c r="F385" t="s">
        <v>31574</v>
      </c>
      <c r="G385" t="s">
        <v>31581</v>
      </c>
      <c r="H385" t="s">
        <v>31590</v>
      </c>
      <c r="I385" t="s">
        <v>14544</v>
      </c>
      <c r="J385" t="s">
        <v>31843</v>
      </c>
      <c r="K385" t="s">
        <v>41184</v>
      </c>
      <c r="M385" t="s">
        <v>41608</v>
      </c>
      <c r="N385" t="s">
        <v>45095</v>
      </c>
      <c r="O385" t="s">
        <v>45096</v>
      </c>
      <c r="P385">
        <v>0</v>
      </c>
      <c r="Q385">
        <v>0</v>
      </c>
      <c r="R385" t="s">
        <v>45097</v>
      </c>
      <c r="S385" t="s">
        <v>45222</v>
      </c>
      <c r="T385" t="s">
        <v>46934</v>
      </c>
      <c r="U385" t="s">
        <v>47824</v>
      </c>
      <c r="W385" t="s">
        <v>41608</v>
      </c>
      <c r="X385" t="s">
        <v>45098</v>
      </c>
    </row>
    <row r="386" spans="1:24">
      <c r="A386">
        <f>HYPERLINK("https://www.philgeps.gov.ph/GEPSNONPILOT/Tender/SplashBidNoticeAbstractUI.aspx?menuIndex=3&amp;refID=7044523&amp;Result=3","7044523")</f>
        <v>0</v>
      </c>
      <c r="B386" t="s">
        <v>171</v>
      </c>
      <c r="C386" t="s">
        <v>3562</v>
      </c>
      <c r="E386" t="s">
        <v>18490</v>
      </c>
      <c r="F386" t="s">
        <v>31574</v>
      </c>
      <c r="G386" t="s">
        <v>31581</v>
      </c>
      <c r="H386" t="s">
        <v>31590</v>
      </c>
      <c r="I386" t="s">
        <v>31602</v>
      </c>
      <c r="J386" t="s">
        <v>32068</v>
      </c>
      <c r="K386" t="s">
        <v>41184</v>
      </c>
      <c r="M386" t="s">
        <v>41655</v>
      </c>
      <c r="N386" t="s">
        <v>45095</v>
      </c>
      <c r="O386" t="s">
        <v>45096</v>
      </c>
      <c r="P386">
        <v>0</v>
      </c>
      <c r="Q386">
        <v>0</v>
      </c>
      <c r="R386" t="s">
        <v>45097</v>
      </c>
      <c r="S386" t="s">
        <v>45222</v>
      </c>
      <c r="T386" t="s">
        <v>46961</v>
      </c>
      <c r="U386" t="s">
        <v>47825</v>
      </c>
      <c r="W386" t="s">
        <v>41655</v>
      </c>
      <c r="X386" t="s">
        <v>45098</v>
      </c>
    </row>
    <row r="387" spans="1:24">
      <c r="A387">
        <f>HYPERLINK("https://www.philgeps.gov.ph/GEPSNONPILOT/Tender/SplashBidNoticeAbstractUI.aspx?menuIndex=3&amp;refID=7044518&amp;Result=3","7044518")</f>
        <v>0</v>
      </c>
      <c r="B387" t="s">
        <v>124</v>
      </c>
      <c r="C387" t="s">
        <v>3563</v>
      </c>
      <c r="D387" t="s">
        <v>18065</v>
      </c>
      <c r="E387" t="s">
        <v>18491</v>
      </c>
      <c r="F387" t="s">
        <v>31574</v>
      </c>
      <c r="G387" t="s">
        <v>31581</v>
      </c>
      <c r="H387" t="s">
        <v>31590</v>
      </c>
      <c r="I387" t="s">
        <v>31605</v>
      </c>
      <c r="J387" t="s">
        <v>32069</v>
      </c>
      <c r="K387" t="s">
        <v>41184</v>
      </c>
      <c r="M387" t="s">
        <v>41608</v>
      </c>
      <c r="N387" t="s">
        <v>45095</v>
      </c>
      <c r="O387" t="s">
        <v>45096</v>
      </c>
      <c r="P387">
        <v>0</v>
      </c>
      <c r="Q387">
        <v>0</v>
      </c>
      <c r="R387" t="s">
        <v>45097</v>
      </c>
      <c r="S387" t="s">
        <v>45222</v>
      </c>
      <c r="T387" t="s">
        <v>46934</v>
      </c>
      <c r="U387" t="s">
        <v>47826</v>
      </c>
      <c r="W387" t="s">
        <v>41608</v>
      </c>
      <c r="X387" t="s">
        <v>45098</v>
      </c>
    </row>
    <row r="388" spans="1:24">
      <c r="A388">
        <f>HYPERLINK("https://www.philgeps.gov.ph/GEPSNONPILOT/Tender/SplashBidNoticeAbstractUI.aspx?menuIndex=3&amp;refID=7044525&amp;Result=3","7044525")</f>
        <v>0</v>
      </c>
      <c r="B388" t="s">
        <v>190</v>
      </c>
      <c r="C388" t="s">
        <v>3564</v>
      </c>
      <c r="D388" t="s">
        <v>18036</v>
      </c>
      <c r="E388" t="s">
        <v>18492</v>
      </c>
      <c r="F388" t="s">
        <v>31574</v>
      </c>
      <c r="G388" t="s">
        <v>31581</v>
      </c>
      <c r="H388" t="s">
        <v>31590</v>
      </c>
      <c r="I388" t="s">
        <v>14034</v>
      </c>
      <c r="J388" t="s">
        <v>31780</v>
      </c>
      <c r="K388" t="s">
        <v>41186</v>
      </c>
      <c r="M388" t="s">
        <v>41675</v>
      </c>
      <c r="N388" t="s">
        <v>45095</v>
      </c>
      <c r="O388" t="s">
        <v>45096</v>
      </c>
      <c r="P388">
        <v>0</v>
      </c>
      <c r="Q388">
        <v>0</v>
      </c>
      <c r="R388" t="s">
        <v>45097</v>
      </c>
      <c r="S388" t="s">
        <v>45222</v>
      </c>
      <c r="T388" t="s">
        <v>46922</v>
      </c>
      <c r="U388" t="s">
        <v>47827</v>
      </c>
      <c r="W388" t="s">
        <v>41675</v>
      </c>
      <c r="X388" t="s">
        <v>45098</v>
      </c>
    </row>
    <row r="389" spans="1:24">
      <c r="A389">
        <f>HYPERLINK("https://www.philgeps.gov.ph/GEPSNONPILOT/Tender/SplashBidNoticeAbstractUI.aspx?menuIndex=3&amp;refID=7044522&amp;Result=3","7044522")</f>
        <v>0</v>
      </c>
      <c r="B389" t="s">
        <v>191</v>
      </c>
      <c r="C389" t="s">
        <v>3565</v>
      </c>
      <c r="D389" t="s">
        <v>18082</v>
      </c>
      <c r="E389" t="s">
        <v>18493</v>
      </c>
      <c r="F389" t="s">
        <v>31574</v>
      </c>
      <c r="G389" t="s">
        <v>31582</v>
      </c>
      <c r="H389" t="s">
        <v>31591</v>
      </c>
      <c r="I389" t="s">
        <v>8822</v>
      </c>
      <c r="J389" t="s">
        <v>31819</v>
      </c>
      <c r="K389" t="s">
        <v>41184</v>
      </c>
      <c r="M389" t="s">
        <v>41676</v>
      </c>
      <c r="N389" t="s">
        <v>45095</v>
      </c>
      <c r="O389" t="s">
        <v>45096</v>
      </c>
      <c r="P389">
        <v>0</v>
      </c>
      <c r="Q389">
        <v>0</v>
      </c>
      <c r="R389" t="s">
        <v>45097</v>
      </c>
      <c r="S389" t="s">
        <v>45222</v>
      </c>
      <c r="T389" t="s">
        <v>46924</v>
      </c>
      <c r="U389" t="s">
        <v>47828</v>
      </c>
      <c r="W389" t="s">
        <v>41676</v>
      </c>
      <c r="X389" t="s">
        <v>45098</v>
      </c>
    </row>
    <row r="390" spans="1:24">
      <c r="A390">
        <f>HYPERLINK("https://www.philgeps.gov.ph/GEPSNONPILOT/Tender/SplashBidNoticeAbstractUI.aspx?menuIndex=3&amp;refID=7044520&amp;Result=3","7044520")</f>
        <v>0</v>
      </c>
      <c r="B390" t="s">
        <v>192</v>
      </c>
      <c r="C390" t="s">
        <v>3566</v>
      </c>
      <c r="D390" t="s">
        <v>18065</v>
      </c>
      <c r="E390" t="s">
        <v>18494</v>
      </c>
      <c r="F390" t="s">
        <v>31574</v>
      </c>
      <c r="G390" t="s">
        <v>31581</v>
      </c>
      <c r="H390" t="s">
        <v>31590</v>
      </c>
      <c r="I390" t="s">
        <v>3489</v>
      </c>
      <c r="J390" t="s">
        <v>32070</v>
      </c>
      <c r="K390" t="s">
        <v>41191</v>
      </c>
      <c r="M390" t="s">
        <v>41677</v>
      </c>
      <c r="N390" t="s">
        <v>45095</v>
      </c>
      <c r="O390" t="s">
        <v>45096</v>
      </c>
      <c r="P390">
        <v>0</v>
      </c>
      <c r="Q390">
        <v>0</v>
      </c>
      <c r="R390" t="s">
        <v>45097</v>
      </c>
      <c r="S390" t="s">
        <v>45222</v>
      </c>
      <c r="T390" t="s">
        <v>46979</v>
      </c>
      <c r="U390" t="s">
        <v>47829</v>
      </c>
      <c r="W390" t="s">
        <v>41677</v>
      </c>
      <c r="X390" t="s">
        <v>45098</v>
      </c>
    </row>
    <row r="391" spans="1:24">
      <c r="A391">
        <f>HYPERLINK("https://www.philgeps.gov.ph/GEPSNONPILOT/Tender/SplashBidNoticeAbstractUI.aspx?menuIndex=3&amp;refID=7044513&amp;Result=3","7044513")</f>
        <v>0</v>
      </c>
      <c r="B391" t="s">
        <v>193</v>
      </c>
      <c r="C391" t="s">
        <v>3567</v>
      </c>
      <c r="D391" t="s">
        <v>18059</v>
      </c>
      <c r="E391" t="s">
        <v>18495</v>
      </c>
      <c r="F391" t="s">
        <v>31574</v>
      </c>
      <c r="G391" t="s">
        <v>31582</v>
      </c>
      <c r="H391" t="s">
        <v>31590</v>
      </c>
      <c r="I391" t="s">
        <v>31614</v>
      </c>
      <c r="J391" t="s">
        <v>32071</v>
      </c>
      <c r="K391" t="s">
        <v>41186</v>
      </c>
      <c r="M391" t="s">
        <v>41678</v>
      </c>
      <c r="N391" t="s">
        <v>45095</v>
      </c>
      <c r="O391" t="s">
        <v>45096</v>
      </c>
      <c r="P391">
        <v>0</v>
      </c>
      <c r="Q391">
        <v>0</v>
      </c>
      <c r="R391" t="s">
        <v>45097</v>
      </c>
      <c r="S391" t="s">
        <v>45222</v>
      </c>
      <c r="T391" t="s">
        <v>46908</v>
      </c>
      <c r="U391" t="s">
        <v>47830</v>
      </c>
      <c r="V391" t="s">
        <v>59899</v>
      </c>
      <c r="W391" t="s">
        <v>41678</v>
      </c>
      <c r="X391" t="s">
        <v>45098</v>
      </c>
    </row>
    <row r="392" spans="1:24">
      <c r="A392">
        <f>HYPERLINK("https://www.philgeps.gov.ph/GEPSNONPILOT/Tender/SplashBidNoticeAbstractUI.aspx?menuIndex=3&amp;refID=7044521&amp;Result=3","7044521")</f>
        <v>0</v>
      </c>
      <c r="B392" t="s">
        <v>152</v>
      </c>
      <c r="C392" t="s">
        <v>3568</v>
      </c>
      <c r="D392" t="s">
        <v>18072</v>
      </c>
      <c r="E392" t="s">
        <v>18429</v>
      </c>
      <c r="F392" t="s">
        <v>31574</v>
      </c>
      <c r="G392" t="s">
        <v>31581</v>
      </c>
      <c r="H392" t="s">
        <v>31590</v>
      </c>
      <c r="I392" t="s">
        <v>5717</v>
      </c>
      <c r="J392" t="s">
        <v>32072</v>
      </c>
      <c r="K392" t="s">
        <v>41211</v>
      </c>
      <c r="M392" t="s">
        <v>41636</v>
      </c>
      <c r="N392" t="s">
        <v>45095</v>
      </c>
      <c r="O392" t="s">
        <v>45096</v>
      </c>
      <c r="P392">
        <v>0</v>
      </c>
      <c r="Q392">
        <v>0</v>
      </c>
      <c r="R392" t="s">
        <v>45097</v>
      </c>
      <c r="S392" t="s">
        <v>45222</v>
      </c>
      <c r="T392" t="s">
        <v>46918</v>
      </c>
      <c r="U392" t="s">
        <v>47831</v>
      </c>
      <c r="W392" t="s">
        <v>41636</v>
      </c>
      <c r="X392" t="s">
        <v>45098</v>
      </c>
    </row>
    <row r="393" spans="1:24">
      <c r="A393">
        <f>HYPERLINK("https://www.philgeps.gov.ph/GEPSNONPILOT/Tender/SplashBidNoticeAbstractUI.aspx?menuIndex=3&amp;refID=7044524&amp;Result=3","7044524")</f>
        <v>0</v>
      </c>
      <c r="B393" t="s">
        <v>159</v>
      </c>
      <c r="C393" t="s">
        <v>3569</v>
      </c>
      <c r="D393" t="s">
        <v>18046</v>
      </c>
      <c r="E393" t="s">
        <v>18496</v>
      </c>
      <c r="F393" t="s">
        <v>31574</v>
      </c>
      <c r="G393" t="s">
        <v>31582</v>
      </c>
      <c r="H393" t="s">
        <v>31590</v>
      </c>
      <c r="I393" t="s">
        <v>8258</v>
      </c>
      <c r="J393" t="s">
        <v>32073</v>
      </c>
      <c r="K393" t="s">
        <v>41186</v>
      </c>
      <c r="M393" t="s">
        <v>41643</v>
      </c>
      <c r="N393" t="s">
        <v>45095</v>
      </c>
      <c r="O393" t="s">
        <v>45096</v>
      </c>
      <c r="P393">
        <v>0</v>
      </c>
      <c r="Q393">
        <v>0</v>
      </c>
      <c r="R393" t="s">
        <v>45097</v>
      </c>
      <c r="S393" t="s">
        <v>45222</v>
      </c>
      <c r="T393" t="s">
        <v>46914</v>
      </c>
      <c r="U393" t="s">
        <v>47772</v>
      </c>
      <c r="V393" t="s">
        <v>59890</v>
      </c>
      <c r="W393" t="s">
        <v>41643</v>
      </c>
      <c r="X393" t="s">
        <v>45098</v>
      </c>
    </row>
    <row r="394" spans="1:24">
      <c r="A394">
        <f>HYPERLINK("https://www.philgeps.gov.ph/GEPSNONPILOT/Tender/SplashBidNoticeAbstractUI.aspx?menuIndex=3&amp;refID=7044511&amp;Result=3","7044511")</f>
        <v>0</v>
      </c>
      <c r="B394" t="s">
        <v>194</v>
      </c>
      <c r="C394" t="s">
        <v>3570</v>
      </c>
      <c r="D394" t="s">
        <v>18065</v>
      </c>
      <c r="E394" t="s">
        <v>18497</v>
      </c>
      <c r="F394" t="s">
        <v>31574</v>
      </c>
      <c r="G394" t="s">
        <v>31581</v>
      </c>
      <c r="H394" t="s">
        <v>31590</v>
      </c>
      <c r="I394" t="s">
        <v>31595</v>
      </c>
      <c r="J394" t="s">
        <v>32074</v>
      </c>
      <c r="K394" t="s">
        <v>41184</v>
      </c>
      <c r="M394" t="s">
        <v>41679</v>
      </c>
      <c r="N394" t="s">
        <v>45095</v>
      </c>
      <c r="O394" t="s">
        <v>45096</v>
      </c>
      <c r="P394">
        <v>0</v>
      </c>
      <c r="Q394">
        <v>0</v>
      </c>
      <c r="R394" t="s">
        <v>45097</v>
      </c>
      <c r="S394" t="s">
        <v>45222</v>
      </c>
      <c r="T394" t="s">
        <v>46923</v>
      </c>
      <c r="U394" t="s">
        <v>47832</v>
      </c>
      <c r="W394" t="s">
        <v>41679</v>
      </c>
      <c r="X394" t="s">
        <v>45098</v>
      </c>
    </row>
    <row r="395" spans="1:24">
      <c r="A395">
        <f>HYPERLINK("https://www.philgeps.gov.ph/GEPSNONPILOT/Tender/SplashBidNoticeAbstractUI.aspx?menuIndex=3&amp;refID=7044508&amp;Result=3","7044508")</f>
        <v>0</v>
      </c>
      <c r="B395" t="s">
        <v>195</v>
      </c>
      <c r="C395" t="s">
        <v>3571</v>
      </c>
      <c r="D395" t="s">
        <v>18030</v>
      </c>
      <c r="E395" t="s">
        <v>18498</v>
      </c>
      <c r="F395" t="s">
        <v>31574</v>
      </c>
      <c r="G395" t="s">
        <v>31581</v>
      </c>
      <c r="H395" t="s">
        <v>31590</v>
      </c>
      <c r="I395" t="s">
        <v>8822</v>
      </c>
      <c r="J395" t="s">
        <v>32075</v>
      </c>
      <c r="K395" t="s">
        <v>41186</v>
      </c>
      <c r="M395" t="s">
        <v>41680</v>
      </c>
      <c r="N395" t="s">
        <v>45095</v>
      </c>
      <c r="O395" t="s">
        <v>45096</v>
      </c>
      <c r="P395">
        <v>0</v>
      </c>
      <c r="Q395">
        <v>0</v>
      </c>
      <c r="R395" t="s">
        <v>45097</v>
      </c>
      <c r="S395" t="s">
        <v>45222</v>
      </c>
      <c r="T395" t="s">
        <v>46980</v>
      </c>
      <c r="U395" t="s">
        <v>47833</v>
      </c>
      <c r="V395" t="s">
        <v>59900</v>
      </c>
      <c r="W395" t="s">
        <v>41680</v>
      </c>
      <c r="X395" t="s">
        <v>45098</v>
      </c>
    </row>
    <row r="396" spans="1:24">
      <c r="A396">
        <f>HYPERLINK("https://www.philgeps.gov.ph/GEPSNONPILOT/Tender/SplashBidNoticeAbstractUI.aspx?menuIndex=3&amp;refID=7044510&amp;Result=3","7044510")</f>
        <v>0</v>
      </c>
      <c r="B396" t="s">
        <v>196</v>
      </c>
      <c r="C396" t="s">
        <v>3572</v>
      </c>
      <c r="D396" t="s">
        <v>18046</v>
      </c>
      <c r="E396" t="s">
        <v>18499</v>
      </c>
      <c r="F396" t="s">
        <v>31574</v>
      </c>
      <c r="G396" t="s">
        <v>31581</v>
      </c>
      <c r="H396" t="s">
        <v>31590</v>
      </c>
      <c r="I396" t="s">
        <v>31612</v>
      </c>
      <c r="J396" t="s">
        <v>31782</v>
      </c>
      <c r="K396" t="s">
        <v>41190</v>
      </c>
      <c r="M396" t="s">
        <v>41681</v>
      </c>
      <c r="N396" t="s">
        <v>45095</v>
      </c>
      <c r="O396" t="s">
        <v>45096</v>
      </c>
      <c r="P396">
        <v>0</v>
      </c>
      <c r="Q396">
        <v>0</v>
      </c>
      <c r="R396" t="s">
        <v>45097</v>
      </c>
      <c r="S396" t="s">
        <v>45222</v>
      </c>
      <c r="T396" t="s">
        <v>46926</v>
      </c>
      <c r="U396" t="s">
        <v>47834</v>
      </c>
      <c r="V396" t="s">
        <v>59901</v>
      </c>
      <c r="W396" t="s">
        <v>41681</v>
      </c>
      <c r="X396" t="s">
        <v>45098</v>
      </c>
    </row>
    <row r="397" spans="1:24">
      <c r="A397">
        <f>HYPERLINK("https://www.philgeps.gov.ph/GEPSNONPILOT/Tender/SplashBidNoticeAbstractUI.aspx?menuIndex=3&amp;refID=7044527&amp;Result=3","7044527")</f>
        <v>0</v>
      </c>
      <c r="B397" t="s">
        <v>185</v>
      </c>
      <c r="C397" t="s">
        <v>3573</v>
      </c>
      <c r="E397" t="s">
        <v>18500</v>
      </c>
      <c r="F397" t="s">
        <v>31574</v>
      </c>
      <c r="G397" t="s">
        <v>31582</v>
      </c>
      <c r="H397" t="s">
        <v>31591</v>
      </c>
      <c r="I397" t="s">
        <v>8822</v>
      </c>
      <c r="J397" t="s">
        <v>32076</v>
      </c>
      <c r="K397" t="s">
        <v>41219</v>
      </c>
      <c r="M397" t="s">
        <v>41670</v>
      </c>
      <c r="N397" t="s">
        <v>45095</v>
      </c>
      <c r="O397" t="s">
        <v>45096</v>
      </c>
      <c r="P397">
        <v>0</v>
      </c>
      <c r="Q397">
        <v>0</v>
      </c>
      <c r="R397" t="s">
        <v>45097</v>
      </c>
      <c r="S397" t="s">
        <v>45222</v>
      </c>
      <c r="T397" t="s">
        <v>46915</v>
      </c>
      <c r="U397" t="s">
        <v>47835</v>
      </c>
      <c r="W397" t="s">
        <v>41670</v>
      </c>
      <c r="X397" t="s">
        <v>45098</v>
      </c>
    </row>
    <row r="398" spans="1:24">
      <c r="A398">
        <f>HYPERLINK("https://www.philgeps.gov.ph/GEPSNONPILOT/Tender/SplashBidNoticeAbstractUI.aspx?menuIndex=3&amp;refID=7044543&amp;Result=3","7044543")</f>
        <v>0</v>
      </c>
      <c r="B398" t="s">
        <v>147</v>
      </c>
      <c r="C398" t="s">
        <v>3574</v>
      </c>
      <c r="D398" t="s">
        <v>18022</v>
      </c>
      <c r="E398" t="s">
        <v>18501</v>
      </c>
      <c r="F398" t="s">
        <v>31574</v>
      </c>
      <c r="G398" t="s">
        <v>31582</v>
      </c>
      <c r="H398" t="s">
        <v>31592</v>
      </c>
      <c r="I398" t="s">
        <v>31600</v>
      </c>
      <c r="J398" t="s">
        <v>32077</v>
      </c>
      <c r="K398" t="s">
        <v>41194</v>
      </c>
      <c r="M398" t="s">
        <v>41631</v>
      </c>
      <c r="N398" t="s">
        <v>45095</v>
      </c>
      <c r="O398" t="s">
        <v>45096</v>
      </c>
      <c r="P398">
        <v>0</v>
      </c>
      <c r="Q398">
        <v>0</v>
      </c>
      <c r="R398" t="s">
        <v>45097</v>
      </c>
      <c r="S398" t="s">
        <v>45222</v>
      </c>
      <c r="T398" t="s">
        <v>46981</v>
      </c>
      <c r="U398" t="s">
        <v>47836</v>
      </c>
      <c r="W398" t="s">
        <v>41631</v>
      </c>
      <c r="X398" t="s">
        <v>45098</v>
      </c>
    </row>
    <row r="399" spans="1:24">
      <c r="A399">
        <f>HYPERLINK("https://www.philgeps.gov.ph/GEPSNONPILOT/Tender/SplashBidNoticeAbstractUI.aspx?menuIndex=3&amp;refID=7044506&amp;Result=3","7044506")</f>
        <v>0</v>
      </c>
      <c r="B399" t="s">
        <v>135</v>
      </c>
      <c r="C399" t="s">
        <v>3575</v>
      </c>
      <c r="D399" t="s">
        <v>18022</v>
      </c>
      <c r="E399" t="s">
        <v>18502</v>
      </c>
      <c r="F399" t="s">
        <v>31574</v>
      </c>
      <c r="G399" t="s">
        <v>31581</v>
      </c>
      <c r="H399" t="s">
        <v>31590</v>
      </c>
      <c r="I399" t="s">
        <v>7185</v>
      </c>
      <c r="J399" t="s">
        <v>31780</v>
      </c>
      <c r="K399" t="s">
        <v>41184</v>
      </c>
      <c r="M399" t="s">
        <v>41619</v>
      </c>
      <c r="N399" t="s">
        <v>45095</v>
      </c>
      <c r="O399" t="s">
        <v>45096</v>
      </c>
      <c r="P399">
        <v>0</v>
      </c>
      <c r="Q399">
        <v>0</v>
      </c>
      <c r="R399" t="s">
        <v>45097</v>
      </c>
      <c r="S399" t="s">
        <v>45222</v>
      </c>
      <c r="T399" t="s">
        <v>46914</v>
      </c>
      <c r="U399" t="s">
        <v>47837</v>
      </c>
      <c r="W399" t="s">
        <v>41619</v>
      </c>
      <c r="X399" t="s">
        <v>45098</v>
      </c>
    </row>
    <row r="400" spans="1:24">
      <c r="A400">
        <f>HYPERLINK("https://www.philgeps.gov.ph/GEPSNONPILOT/Tender/SplashBidNoticeAbstractUI.aspx?menuIndex=3&amp;refID=7044509&amp;Result=3","7044509")</f>
        <v>0</v>
      </c>
      <c r="B400" t="s">
        <v>159</v>
      </c>
      <c r="C400" t="s">
        <v>3576</v>
      </c>
      <c r="D400" t="s">
        <v>18046</v>
      </c>
      <c r="E400" t="s">
        <v>18503</v>
      </c>
      <c r="F400" t="s">
        <v>31574</v>
      </c>
      <c r="G400" t="s">
        <v>31582</v>
      </c>
      <c r="H400" t="s">
        <v>31590</v>
      </c>
      <c r="I400" t="s">
        <v>14544</v>
      </c>
      <c r="J400" t="s">
        <v>32078</v>
      </c>
      <c r="K400" t="s">
        <v>41186</v>
      </c>
      <c r="M400" t="s">
        <v>41643</v>
      </c>
      <c r="N400" t="s">
        <v>45095</v>
      </c>
      <c r="O400" t="s">
        <v>45096</v>
      </c>
      <c r="P400">
        <v>0</v>
      </c>
      <c r="Q400">
        <v>0</v>
      </c>
      <c r="R400" t="s">
        <v>45097</v>
      </c>
      <c r="S400" t="s">
        <v>45222</v>
      </c>
      <c r="T400" t="s">
        <v>46914</v>
      </c>
      <c r="U400" t="s">
        <v>47772</v>
      </c>
      <c r="V400" t="s">
        <v>59890</v>
      </c>
      <c r="W400" t="s">
        <v>41643</v>
      </c>
      <c r="X400" t="s">
        <v>45098</v>
      </c>
    </row>
    <row r="401" spans="1:24">
      <c r="A401">
        <f>HYPERLINK("https://www.philgeps.gov.ph/GEPSNONPILOT/Tender/SplashBidNoticeAbstractUI.aspx?menuIndex=3&amp;refID=7044512&amp;Result=3","7044512")</f>
        <v>0</v>
      </c>
      <c r="B401" t="s">
        <v>197</v>
      </c>
      <c r="C401" t="s">
        <v>3577</v>
      </c>
      <c r="D401" t="s">
        <v>18036</v>
      </c>
      <c r="E401" t="s">
        <v>18504</v>
      </c>
      <c r="F401" t="s">
        <v>31574</v>
      </c>
      <c r="G401" t="s">
        <v>31583</v>
      </c>
      <c r="H401" t="s">
        <v>31590</v>
      </c>
      <c r="I401" t="s">
        <v>4046</v>
      </c>
      <c r="J401" t="s">
        <v>32079</v>
      </c>
      <c r="K401" t="s">
        <v>41184</v>
      </c>
      <c r="M401" t="s">
        <v>41682</v>
      </c>
      <c r="N401" t="s">
        <v>45095</v>
      </c>
      <c r="O401" t="s">
        <v>45096</v>
      </c>
      <c r="P401">
        <v>0</v>
      </c>
      <c r="Q401">
        <v>0</v>
      </c>
      <c r="R401" t="s">
        <v>45097</v>
      </c>
      <c r="S401" t="s">
        <v>45222</v>
      </c>
      <c r="T401" t="s">
        <v>46982</v>
      </c>
      <c r="U401" t="s">
        <v>47838</v>
      </c>
      <c r="W401" t="s">
        <v>41682</v>
      </c>
      <c r="X401" t="s">
        <v>45098</v>
      </c>
    </row>
    <row r="402" spans="1:24">
      <c r="A402">
        <f>HYPERLINK("https://www.philgeps.gov.ph/GEPSNONPILOT/Tender/SplashBidNoticeAbstractUI.aspx?menuIndex=3&amp;refID=7044507&amp;Result=3","7044507")</f>
        <v>0</v>
      </c>
      <c r="B402" t="s">
        <v>167</v>
      </c>
      <c r="C402" t="s">
        <v>3255</v>
      </c>
      <c r="D402" t="s">
        <v>18036</v>
      </c>
      <c r="E402" t="s">
        <v>18505</v>
      </c>
      <c r="F402" t="s">
        <v>31574</v>
      </c>
      <c r="G402" t="s">
        <v>31581</v>
      </c>
      <c r="H402" t="s">
        <v>31590</v>
      </c>
      <c r="I402" t="s">
        <v>31640</v>
      </c>
      <c r="J402" t="s">
        <v>31782</v>
      </c>
      <c r="K402" t="s">
        <v>41211</v>
      </c>
      <c r="L402" t="s">
        <v>167</v>
      </c>
      <c r="M402" t="s">
        <v>41651</v>
      </c>
      <c r="N402" t="s">
        <v>45095</v>
      </c>
      <c r="O402" t="s">
        <v>45096</v>
      </c>
      <c r="P402">
        <v>0</v>
      </c>
      <c r="Q402">
        <v>0</v>
      </c>
      <c r="R402" t="s">
        <v>45097</v>
      </c>
      <c r="S402" t="s">
        <v>45222</v>
      </c>
      <c r="T402" t="s">
        <v>46913</v>
      </c>
      <c r="U402" t="s">
        <v>47839</v>
      </c>
      <c r="W402" t="s">
        <v>41651</v>
      </c>
      <c r="X402" t="s">
        <v>45098</v>
      </c>
    </row>
    <row r="403" spans="1:24">
      <c r="A403">
        <f>HYPERLINK("https://www.philgeps.gov.ph/GEPSNONPILOT/Tender/SplashBidNoticeAbstractUI.aspx?menuIndex=3&amp;refID=7044539&amp;Result=3","7044539")</f>
        <v>0</v>
      </c>
      <c r="B403" t="s">
        <v>198</v>
      </c>
      <c r="C403" t="s">
        <v>3578</v>
      </c>
      <c r="D403" t="s">
        <v>18053</v>
      </c>
      <c r="E403" t="s">
        <v>18506</v>
      </c>
      <c r="F403" t="s">
        <v>31574</v>
      </c>
      <c r="G403" t="s">
        <v>31581</v>
      </c>
      <c r="H403" t="s">
        <v>31590</v>
      </c>
      <c r="I403" t="s">
        <v>31641</v>
      </c>
      <c r="J403" t="s">
        <v>32080</v>
      </c>
      <c r="K403" t="s">
        <v>41186</v>
      </c>
      <c r="M403" t="s">
        <v>41683</v>
      </c>
      <c r="N403" t="s">
        <v>45095</v>
      </c>
      <c r="O403" t="s">
        <v>45096</v>
      </c>
      <c r="P403">
        <v>0</v>
      </c>
      <c r="Q403">
        <v>0</v>
      </c>
      <c r="R403" t="s">
        <v>45097</v>
      </c>
      <c r="S403" t="s">
        <v>45222</v>
      </c>
      <c r="T403" t="s">
        <v>46918</v>
      </c>
      <c r="U403" t="s">
        <v>47840</v>
      </c>
      <c r="W403" t="s">
        <v>41683</v>
      </c>
      <c r="X403" t="s">
        <v>45098</v>
      </c>
    </row>
    <row r="404" spans="1:24">
      <c r="A404">
        <f>HYPERLINK("https://www.philgeps.gov.ph/GEPSNONPILOT/Tender/SplashBidNoticeAbstractUI.aspx?menuIndex=3&amp;refID=7044544&amp;Result=3","7044544")</f>
        <v>0</v>
      </c>
      <c r="B404" t="s">
        <v>116</v>
      </c>
      <c r="C404" t="s">
        <v>3579</v>
      </c>
      <c r="D404" t="s">
        <v>18068</v>
      </c>
      <c r="E404" t="s">
        <v>18507</v>
      </c>
      <c r="F404" t="s">
        <v>31574</v>
      </c>
      <c r="G404" t="s">
        <v>31584</v>
      </c>
      <c r="H404" t="s">
        <v>31590</v>
      </c>
      <c r="I404" t="s">
        <v>6800</v>
      </c>
      <c r="J404" t="s">
        <v>32081</v>
      </c>
      <c r="K404" t="s">
        <v>41196</v>
      </c>
      <c r="M404" t="s">
        <v>41600</v>
      </c>
      <c r="N404" t="s">
        <v>45095</v>
      </c>
      <c r="O404" t="s">
        <v>45096</v>
      </c>
      <c r="P404">
        <v>0</v>
      </c>
      <c r="Q404">
        <v>0</v>
      </c>
      <c r="R404" t="s">
        <v>45097</v>
      </c>
      <c r="S404" t="s">
        <v>45222</v>
      </c>
      <c r="T404" t="s">
        <v>46955</v>
      </c>
      <c r="U404" t="s">
        <v>47841</v>
      </c>
      <c r="V404" t="s">
        <v>59888</v>
      </c>
      <c r="W404" t="s">
        <v>41600</v>
      </c>
      <c r="X404" t="s">
        <v>45098</v>
      </c>
    </row>
    <row r="405" spans="1:24">
      <c r="A405">
        <f>HYPERLINK("https://www.philgeps.gov.ph/GEPSNONPILOT/Tender/SplashBidNoticeAbstractUI.aspx?menuIndex=3&amp;refID=7044542&amp;Result=3","7044542")</f>
        <v>0</v>
      </c>
      <c r="B405" t="s">
        <v>159</v>
      </c>
      <c r="C405" t="s">
        <v>3580</v>
      </c>
      <c r="D405" t="s">
        <v>18046</v>
      </c>
      <c r="E405" t="s">
        <v>18508</v>
      </c>
      <c r="F405" t="s">
        <v>31574</v>
      </c>
      <c r="G405" t="s">
        <v>31582</v>
      </c>
      <c r="H405" t="s">
        <v>31590</v>
      </c>
      <c r="I405" t="s">
        <v>31604</v>
      </c>
      <c r="J405" t="s">
        <v>31930</v>
      </c>
      <c r="K405" t="s">
        <v>41186</v>
      </c>
      <c r="M405" t="s">
        <v>41643</v>
      </c>
      <c r="N405" t="s">
        <v>45095</v>
      </c>
      <c r="O405" t="s">
        <v>45096</v>
      </c>
      <c r="P405">
        <v>0</v>
      </c>
      <c r="Q405">
        <v>0</v>
      </c>
      <c r="R405" t="s">
        <v>45097</v>
      </c>
      <c r="S405" t="s">
        <v>45222</v>
      </c>
      <c r="T405" t="s">
        <v>46914</v>
      </c>
      <c r="U405" t="s">
        <v>47772</v>
      </c>
      <c r="V405" t="s">
        <v>59890</v>
      </c>
      <c r="W405" t="s">
        <v>41643</v>
      </c>
      <c r="X405" t="s">
        <v>45098</v>
      </c>
    </row>
    <row r="406" spans="1:24">
      <c r="A406">
        <f>HYPERLINK("https://www.philgeps.gov.ph/GEPSNONPILOT/Tender/SplashBidNoticeAbstractUI.aspx?menuIndex=3&amp;refID=7044515&amp;Result=3","7044515")</f>
        <v>0</v>
      </c>
      <c r="B406" t="s">
        <v>199</v>
      </c>
      <c r="C406" t="s">
        <v>3581</v>
      </c>
      <c r="D406" t="s">
        <v>18053</v>
      </c>
      <c r="E406" t="s">
        <v>18509</v>
      </c>
      <c r="F406" t="s">
        <v>31574</v>
      </c>
      <c r="G406" t="s">
        <v>31586</v>
      </c>
      <c r="H406" t="s">
        <v>31592</v>
      </c>
      <c r="I406" t="s">
        <v>8822</v>
      </c>
      <c r="J406" t="s">
        <v>32082</v>
      </c>
      <c r="K406" t="s">
        <v>41190</v>
      </c>
      <c r="M406" t="s">
        <v>41684</v>
      </c>
      <c r="N406" t="s">
        <v>45095</v>
      </c>
      <c r="O406" t="s">
        <v>45096</v>
      </c>
      <c r="P406">
        <v>0</v>
      </c>
      <c r="Q406">
        <v>0</v>
      </c>
      <c r="R406" t="s">
        <v>45097</v>
      </c>
      <c r="S406" t="s">
        <v>45222</v>
      </c>
      <c r="T406" t="s">
        <v>46949</v>
      </c>
      <c r="U406" t="s">
        <v>47842</v>
      </c>
      <c r="W406" t="s">
        <v>41684</v>
      </c>
      <c r="X406" t="s">
        <v>45098</v>
      </c>
    </row>
    <row r="407" spans="1:24">
      <c r="A407">
        <f>HYPERLINK("https://www.philgeps.gov.ph/GEPSNONPILOT/Tender/SplashBidNoticeAbstractUI.aspx?menuIndex=3&amp;refID=7044537&amp;Result=3","7044537")</f>
        <v>0</v>
      </c>
      <c r="B407" t="s">
        <v>200</v>
      </c>
      <c r="C407" t="s">
        <v>3582</v>
      </c>
      <c r="D407" t="s">
        <v>18070</v>
      </c>
      <c r="E407" t="s">
        <v>18510</v>
      </c>
      <c r="F407" t="s">
        <v>31574</v>
      </c>
      <c r="G407" t="s">
        <v>31581</v>
      </c>
      <c r="H407" t="s">
        <v>31590</v>
      </c>
      <c r="I407" t="s">
        <v>4327</v>
      </c>
      <c r="J407" t="s">
        <v>32083</v>
      </c>
      <c r="K407" t="s">
        <v>41194</v>
      </c>
      <c r="M407" t="s">
        <v>41685</v>
      </c>
      <c r="N407" t="s">
        <v>45095</v>
      </c>
      <c r="O407" t="s">
        <v>45096</v>
      </c>
      <c r="P407">
        <v>0</v>
      </c>
      <c r="Q407">
        <v>0</v>
      </c>
      <c r="R407" t="s">
        <v>45097</v>
      </c>
      <c r="S407" t="s">
        <v>45222</v>
      </c>
      <c r="T407" t="s">
        <v>46913</v>
      </c>
      <c r="U407" t="s">
        <v>47843</v>
      </c>
      <c r="W407" t="s">
        <v>41685</v>
      </c>
      <c r="X407" t="s">
        <v>45098</v>
      </c>
    </row>
    <row r="408" spans="1:24">
      <c r="A408">
        <f>HYPERLINK("https://www.philgeps.gov.ph/GEPSNONPILOT/Tender/SplashBidNoticeAbstractUI.aspx?menuIndex=3&amp;refID=7044540&amp;Result=3","7044540")</f>
        <v>0</v>
      </c>
      <c r="B408" t="s">
        <v>201</v>
      </c>
      <c r="C408" t="s">
        <v>3583</v>
      </c>
      <c r="D408" t="s">
        <v>18045</v>
      </c>
      <c r="E408" t="s">
        <v>18511</v>
      </c>
      <c r="F408" t="s">
        <v>31574</v>
      </c>
      <c r="G408" t="s">
        <v>31585</v>
      </c>
      <c r="H408" t="s">
        <v>31590</v>
      </c>
      <c r="I408" t="s">
        <v>31608</v>
      </c>
      <c r="J408" t="s">
        <v>32084</v>
      </c>
      <c r="K408" t="s">
        <v>41184</v>
      </c>
      <c r="M408" t="s">
        <v>41686</v>
      </c>
      <c r="N408" t="s">
        <v>45095</v>
      </c>
      <c r="O408" t="s">
        <v>45096</v>
      </c>
      <c r="P408">
        <v>0</v>
      </c>
      <c r="Q408">
        <v>0</v>
      </c>
      <c r="R408" t="s">
        <v>45097</v>
      </c>
      <c r="S408" t="s">
        <v>45222</v>
      </c>
      <c r="T408" t="s">
        <v>46926</v>
      </c>
      <c r="U408" t="s">
        <v>47844</v>
      </c>
      <c r="W408" t="s">
        <v>41686</v>
      </c>
      <c r="X408" t="s">
        <v>45098</v>
      </c>
    </row>
    <row r="409" spans="1:24">
      <c r="A409">
        <f>HYPERLINK("https://www.philgeps.gov.ph/GEPSNONPILOT/Tender/SplashBidNoticeAbstractUI.aspx?menuIndex=3&amp;refID=7044549&amp;Result=3","7044549")</f>
        <v>0</v>
      </c>
      <c r="B409" t="s">
        <v>185</v>
      </c>
      <c r="C409" t="s">
        <v>3584</v>
      </c>
      <c r="E409" t="s">
        <v>18512</v>
      </c>
      <c r="F409" t="s">
        <v>31574</v>
      </c>
      <c r="G409" t="s">
        <v>31582</v>
      </c>
      <c r="H409" t="s">
        <v>31591</v>
      </c>
      <c r="I409" t="s">
        <v>8822</v>
      </c>
      <c r="J409" t="s">
        <v>32085</v>
      </c>
      <c r="K409" t="s">
        <v>41220</v>
      </c>
      <c r="M409" t="s">
        <v>41670</v>
      </c>
      <c r="N409" t="s">
        <v>45095</v>
      </c>
      <c r="O409" t="s">
        <v>45096</v>
      </c>
      <c r="P409">
        <v>0</v>
      </c>
      <c r="Q409">
        <v>0</v>
      </c>
      <c r="R409" t="s">
        <v>45097</v>
      </c>
      <c r="S409" t="s">
        <v>45222</v>
      </c>
      <c r="T409" t="s">
        <v>46915</v>
      </c>
      <c r="U409" t="s">
        <v>47835</v>
      </c>
      <c r="W409" t="s">
        <v>41670</v>
      </c>
      <c r="X409" t="s">
        <v>45098</v>
      </c>
    </row>
    <row r="410" spans="1:24">
      <c r="A410">
        <f>HYPERLINK("https://www.philgeps.gov.ph/GEPSNONPILOT/Tender/SplashBidNoticeAbstractUI.aspx?menuIndex=3&amp;refID=7044547&amp;Result=3","7044547")</f>
        <v>0</v>
      </c>
      <c r="B410" t="s">
        <v>202</v>
      </c>
      <c r="C410" t="s">
        <v>3585</v>
      </c>
      <c r="D410" t="s">
        <v>18036</v>
      </c>
      <c r="E410" t="s">
        <v>18513</v>
      </c>
      <c r="F410" t="s">
        <v>31574</v>
      </c>
      <c r="G410" t="s">
        <v>31581</v>
      </c>
      <c r="H410" t="s">
        <v>31590</v>
      </c>
      <c r="I410" t="s">
        <v>31608</v>
      </c>
      <c r="J410" t="s">
        <v>31888</v>
      </c>
      <c r="K410" t="s">
        <v>41186</v>
      </c>
      <c r="M410" t="s">
        <v>41687</v>
      </c>
      <c r="N410" t="s">
        <v>45095</v>
      </c>
      <c r="O410" t="s">
        <v>45096</v>
      </c>
      <c r="P410">
        <v>0</v>
      </c>
      <c r="Q410">
        <v>0</v>
      </c>
      <c r="R410" t="s">
        <v>45097</v>
      </c>
      <c r="S410" t="s">
        <v>45222</v>
      </c>
      <c r="T410" t="s">
        <v>46920</v>
      </c>
      <c r="U410" t="s">
        <v>47845</v>
      </c>
      <c r="W410" t="s">
        <v>41687</v>
      </c>
      <c r="X410" t="s">
        <v>45098</v>
      </c>
    </row>
    <row r="411" spans="1:24">
      <c r="A411">
        <f>HYPERLINK("https://www.philgeps.gov.ph/GEPSNONPILOT/Tender/SplashBidNoticeAbstractUI.aspx?menuIndex=3&amp;refID=7044541&amp;Result=3","7044541")</f>
        <v>0</v>
      </c>
      <c r="B411" t="s">
        <v>124</v>
      </c>
      <c r="C411" t="s">
        <v>3586</v>
      </c>
      <c r="D411" t="s">
        <v>18065</v>
      </c>
      <c r="E411" t="s">
        <v>18514</v>
      </c>
      <c r="F411" t="s">
        <v>31574</v>
      </c>
      <c r="G411" t="s">
        <v>31581</v>
      </c>
      <c r="H411" t="s">
        <v>31590</v>
      </c>
      <c r="I411" t="s">
        <v>31604</v>
      </c>
      <c r="J411" t="s">
        <v>32086</v>
      </c>
      <c r="K411" t="s">
        <v>41184</v>
      </c>
      <c r="M411" t="s">
        <v>41608</v>
      </c>
      <c r="N411" t="s">
        <v>45095</v>
      </c>
      <c r="O411" t="s">
        <v>45096</v>
      </c>
      <c r="P411">
        <v>0</v>
      </c>
      <c r="Q411">
        <v>0</v>
      </c>
      <c r="R411" t="s">
        <v>45097</v>
      </c>
      <c r="S411" t="s">
        <v>45222</v>
      </c>
      <c r="T411" t="s">
        <v>46934</v>
      </c>
      <c r="U411" t="s">
        <v>47846</v>
      </c>
      <c r="W411" t="s">
        <v>41608</v>
      </c>
      <c r="X411" t="s">
        <v>45098</v>
      </c>
    </row>
    <row r="412" spans="1:24">
      <c r="A412">
        <f>HYPERLINK("https://www.philgeps.gov.ph/GEPSNONPILOT/Tender/SplashBidNoticeAbstractUI.aspx?menuIndex=3&amp;refID=7044550&amp;Result=3","7044550")</f>
        <v>0</v>
      </c>
      <c r="B412" t="s">
        <v>161</v>
      </c>
      <c r="C412" t="s">
        <v>3587</v>
      </c>
      <c r="E412" t="s">
        <v>18515</v>
      </c>
      <c r="F412" t="s">
        <v>31574</v>
      </c>
      <c r="G412" t="s">
        <v>31581</v>
      </c>
      <c r="H412" t="s">
        <v>31590</v>
      </c>
      <c r="I412" t="s">
        <v>31623</v>
      </c>
      <c r="J412" t="s">
        <v>31888</v>
      </c>
      <c r="K412" t="s">
        <v>41184</v>
      </c>
      <c r="M412" t="s">
        <v>41645</v>
      </c>
      <c r="N412" t="s">
        <v>45095</v>
      </c>
      <c r="O412" t="s">
        <v>45096</v>
      </c>
      <c r="P412">
        <v>0</v>
      </c>
      <c r="Q412">
        <v>0</v>
      </c>
      <c r="R412" t="s">
        <v>45097</v>
      </c>
      <c r="S412" t="s">
        <v>45222</v>
      </c>
      <c r="T412" t="s">
        <v>46913</v>
      </c>
      <c r="U412" t="s">
        <v>47847</v>
      </c>
      <c r="W412" t="s">
        <v>41645</v>
      </c>
      <c r="X412" t="s">
        <v>45098</v>
      </c>
    </row>
    <row r="413" spans="1:24">
      <c r="A413">
        <f>HYPERLINK("https://www.philgeps.gov.ph/GEPSNONPILOT/Tender/SplashBidNoticeAbstractUI.aspx?menuIndex=3&amp;refID=7044534&amp;Result=3","7044534")</f>
        <v>0</v>
      </c>
      <c r="B413" t="s">
        <v>47</v>
      </c>
      <c r="C413" t="s">
        <v>3588</v>
      </c>
      <c r="D413" t="s">
        <v>18040</v>
      </c>
      <c r="E413" t="s">
        <v>18146</v>
      </c>
      <c r="F413" t="s">
        <v>31574</v>
      </c>
      <c r="G413" t="s">
        <v>31582</v>
      </c>
      <c r="H413" t="s">
        <v>31591</v>
      </c>
      <c r="I413" t="s">
        <v>8822</v>
      </c>
      <c r="J413" t="s">
        <v>31935</v>
      </c>
      <c r="K413" t="s">
        <v>41221</v>
      </c>
      <c r="M413" t="s">
        <v>41530</v>
      </c>
      <c r="N413" t="s">
        <v>45095</v>
      </c>
      <c r="O413" t="s">
        <v>45096</v>
      </c>
      <c r="P413">
        <v>0</v>
      </c>
      <c r="Q413">
        <v>0</v>
      </c>
      <c r="R413" t="s">
        <v>45097</v>
      </c>
      <c r="S413" t="s">
        <v>45222</v>
      </c>
      <c r="T413" t="s">
        <v>46920</v>
      </c>
      <c r="U413" t="s">
        <v>47848</v>
      </c>
      <c r="W413" t="s">
        <v>41530</v>
      </c>
      <c r="X413" t="s">
        <v>45098</v>
      </c>
    </row>
    <row r="414" spans="1:24">
      <c r="A414">
        <f>HYPERLINK("https://www.philgeps.gov.ph/GEPSNONPILOT/Tender/SplashBidNoticeAbstractUI.aspx?menuIndex=3&amp;refID=7044546&amp;Result=3","7044546")</f>
        <v>0</v>
      </c>
      <c r="B414" t="s">
        <v>135</v>
      </c>
      <c r="C414" t="s">
        <v>3589</v>
      </c>
      <c r="D414" t="s">
        <v>18022</v>
      </c>
      <c r="E414" t="s">
        <v>18516</v>
      </c>
      <c r="F414" t="s">
        <v>31574</v>
      </c>
      <c r="G414" t="s">
        <v>31584</v>
      </c>
      <c r="H414" t="s">
        <v>31590</v>
      </c>
      <c r="I414" t="s">
        <v>6800</v>
      </c>
      <c r="J414" t="s">
        <v>32087</v>
      </c>
      <c r="K414" t="s">
        <v>41184</v>
      </c>
      <c r="M414" t="s">
        <v>41619</v>
      </c>
      <c r="N414" t="s">
        <v>45095</v>
      </c>
      <c r="O414" t="s">
        <v>45096</v>
      </c>
      <c r="P414">
        <v>0</v>
      </c>
      <c r="Q414">
        <v>0</v>
      </c>
      <c r="R414" t="s">
        <v>45097</v>
      </c>
      <c r="S414" t="s">
        <v>45222</v>
      </c>
      <c r="T414" t="s">
        <v>46914</v>
      </c>
      <c r="U414" t="s">
        <v>47849</v>
      </c>
      <c r="W414" t="s">
        <v>41619</v>
      </c>
      <c r="X414" t="s">
        <v>45098</v>
      </c>
    </row>
    <row r="415" spans="1:24">
      <c r="A415">
        <f>HYPERLINK("https://www.philgeps.gov.ph/GEPSNONPILOT/Tender/SplashBidNoticeAbstractUI.aspx?menuIndex=3&amp;refID=7044538&amp;Result=3","7044538")</f>
        <v>0</v>
      </c>
      <c r="B415" t="s">
        <v>159</v>
      </c>
      <c r="C415" t="s">
        <v>3590</v>
      </c>
      <c r="D415" t="s">
        <v>18046</v>
      </c>
      <c r="E415" t="s">
        <v>18517</v>
      </c>
      <c r="F415" t="s">
        <v>31574</v>
      </c>
      <c r="G415" t="s">
        <v>31582</v>
      </c>
      <c r="H415" t="s">
        <v>31590</v>
      </c>
      <c r="I415" t="s">
        <v>31604</v>
      </c>
      <c r="J415" t="s">
        <v>32088</v>
      </c>
      <c r="K415" t="s">
        <v>41186</v>
      </c>
      <c r="M415" t="s">
        <v>41643</v>
      </c>
      <c r="N415" t="s">
        <v>45095</v>
      </c>
      <c r="O415" t="s">
        <v>45096</v>
      </c>
      <c r="P415">
        <v>0</v>
      </c>
      <c r="Q415">
        <v>0</v>
      </c>
      <c r="R415" t="s">
        <v>45097</v>
      </c>
      <c r="S415" t="s">
        <v>45222</v>
      </c>
      <c r="T415" t="s">
        <v>46914</v>
      </c>
      <c r="U415" t="s">
        <v>47772</v>
      </c>
      <c r="V415" t="s">
        <v>59890</v>
      </c>
      <c r="W415" t="s">
        <v>41643</v>
      </c>
      <c r="X415" t="s">
        <v>45098</v>
      </c>
    </row>
    <row r="416" spans="1:24">
      <c r="A416">
        <f>HYPERLINK("https://www.philgeps.gov.ph/GEPSNONPILOT/Tender/SplashBidNoticeAbstractUI.aspx?menuIndex=3&amp;refID=7044535&amp;Result=3","7044535")</f>
        <v>0</v>
      </c>
      <c r="B416" t="s">
        <v>203</v>
      </c>
      <c r="C416" t="s">
        <v>3591</v>
      </c>
      <c r="D416" t="s">
        <v>18022</v>
      </c>
      <c r="E416" t="s">
        <v>18518</v>
      </c>
      <c r="F416" t="s">
        <v>31574</v>
      </c>
      <c r="G416" t="s">
        <v>31581</v>
      </c>
      <c r="H416" t="s">
        <v>31591</v>
      </c>
      <c r="I416" t="s">
        <v>7162</v>
      </c>
      <c r="J416" t="s">
        <v>32089</v>
      </c>
      <c r="K416" t="s">
        <v>41190</v>
      </c>
      <c r="M416" t="s">
        <v>41688</v>
      </c>
      <c r="N416" t="s">
        <v>45095</v>
      </c>
      <c r="O416" t="s">
        <v>45096</v>
      </c>
      <c r="P416">
        <v>0</v>
      </c>
      <c r="Q416">
        <v>0</v>
      </c>
      <c r="R416" t="s">
        <v>45097</v>
      </c>
      <c r="S416" t="s">
        <v>45222</v>
      </c>
      <c r="T416" t="s">
        <v>46926</v>
      </c>
      <c r="U416" t="s">
        <v>47850</v>
      </c>
      <c r="V416" t="s">
        <v>59902</v>
      </c>
      <c r="W416" t="s">
        <v>41688</v>
      </c>
      <c r="X416" t="s">
        <v>45098</v>
      </c>
    </row>
    <row r="417" spans="1:24">
      <c r="A417">
        <f>HYPERLINK("https://www.philgeps.gov.ph/GEPSNONPILOT/Tender/SplashBidNoticeAbstractUI.aspx?menuIndex=3&amp;refID=7044530&amp;Result=3","7044530")</f>
        <v>0</v>
      </c>
      <c r="B417" t="s">
        <v>159</v>
      </c>
      <c r="C417" t="s">
        <v>3592</v>
      </c>
      <c r="D417" t="s">
        <v>18046</v>
      </c>
      <c r="E417" t="s">
        <v>18519</v>
      </c>
      <c r="F417" t="s">
        <v>31574</v>
      </c>
      <c r="G417" t="s">
        <v>31582</v>
      </c>
      <c r="H417" t="s">
        <v>31590</v>
      </c>
      <c r="I417" t="s">
        <v>8258</v>
      </c>
      <c r="J417" t="s">
        <v>32090</v>
      </c>
      <c r="K417" t="s">
        <v>41186</v>
      </c>
      <c r="M417" t="s">
        <v>41643</v>
      </c>
      <c r="N417" t="s">
        <v>45095</v>
      </c>
      <c r="O417" t="s">
        <v>45096</v>
      </c>
      <c r="P417">
        <v>0</v>
      </c>
      <c r="Q417">
        <v>0</v>
      </c>
      <c r="R417" t="s">
        <v>45097</v>
      </c>
      <c r="S417" t="s">
        <v>45222</v>
      </c>
      <c r="T417" t="s">
        <v>46914</v>
      </c>
      <c r="U417" t="s">
        <v>47772</v>
      </c>
      <c r="V417" t="s">
        <v>59890</v>
      </c>
      <c r="W417" t="s">
        <v>41643</v>
      </c>
      <c r="X417" t="s">
        <v>45098</v>
      </c>
    </row>
    <row r="418" spans="1:24">
      <c r="A418">
        <f>HYPERLINK("https://www.philgeps.gov.ph/GEPSNONPILOT/Tender/SplashBidNoticeAbstractUI.aspx?menuIndex=3&amp;refID=7044551&amp;Result=3","7044551")</f>
        <v>0</v>
      </c>
      <c r="B418" t="s">
        <v>125</v>
      </c>
      <c r="C418" t="s">
        <v>3593</v>
      </c>
      <c r="D418" t="s">
        <v>18039</v>
      </c>
      <c r="E418" t="s">
        <v>18520</v>
      </c>
      <c r="F418" t="s">
        <v>31574</v>
      </c>
      <c r="G418" t="s">
        <v>31581</v>
      </c>
      <c r="H418" t="s">
        <v>31591</v>
      </c>
      <c r="I418" t="s">
        <v>8822</v>
      </c>
      <c r="J418" t="s">
        <v>32049</v>
      </c>
      <c r="K418" t="s">
        <v>41184</v>
      </c>
      <c r="M418" t="s">
        <v>41609</v>
      </c>
      <c r="N418" t="s">
        <v>45095</v>
      </c>
      <c r="O418" t="s">
        <v>45096</v>
      </c>
      <c r="P418">
        <v>0</v>
      </c>
      <c r="Q418">
        <v>0</v>
      </c>
      <c r="R418" t="s">
        <v>45097</v>
      </c>
      <c r="S418" t="s">
        <v>45222</v>
      </c>
      <c r="T418" t="s">
        <v>46904</v>
      </c>
      <c r="U418" t="s">
        <v>47720</v>
      </c>
      <c r="W418" t="s">
        <v>41609</v>
      </c>
      <c r="X418" t="s">
        <v>45098</v>
      </c>
    </row>
    <row r="419" spans="1:24">
      <c r="A419">
        <f>HYPERLINK("https://www.philgeps.gov.ph/GEPSNONPILOT/Tender/SplashBidNoticeAbstractUI.aspx?menuIndex=3&amp;refID=7044532&amp;Result=3","7044532")</f>
        <v>0</v>
      </c>
      <c r="B419" t="s">
        <v>95</v>
      </c>
      <c r="C419" t="s">
        <v>3594</v>
      </c>
      <c r="D419" t="s">
        <v>18062</v>
      </c>
      <c r="E419" t="s">
        <v>18521</v>
      </c>
      <c r="F419" t="s">
        <v>31574</v>
      </c>
      <c r="G419" t="s">
        <v>31582</v>
      </c>
      <c r="H419" t="s">
        <v>31591</v>
      </c>
      <c r="I419" t="s">
        <v>8822</v>
      </c>
      <c r="J419" t="s">
        <v>32091</v>
      </c>
      <c r="K419" t="s">
        <v>41186</v>
      </c>
      <c r="M419" t="s">
        <v>41579</v>
      </c>
      <c r="N419" t="s">
        <v>45095</v>
      </c>
      <c r="O419" t="s">
        <v>45096</v>
      </c>
      <c r="P419">
        <v>0</v>
      </c>
      <c r="Q419">
        <v>0</v>
      </c>
      <c r="R419" t="s">
        <v>45097</v>
      </c>
      <c r="S419" t="s">
        <v>45222</v>
      </c>
      <c r="T419" t="s">
        <v>46910</v>
      </c>
      <c r="U419" t="s">
        <v>47851</v>
      </c>
      <c r="W419" t="s">
        <v>41579</v>
      </c>
      <c r="X419" t="s">
        <v>45098</v>
      </c>
    </row>
    <row r="420" spans="1:24">
      <c r="A420">
        <f>HYPERLINK("https://www.philgeps.gov.ph/GEPSNONPILOT/Tender/SplashBidNoticeAbstractUI.aspx?menuIndex=3&amp;refID=7044531&amp;Result=3","7044531")</f>
        <v>0</v>
      </c>
      <c r="B420" t="s">
        <v>186</v>
      </c>
      <c r="C420" t="s">
        <v>3595</v>
      </c>
      <c r="D420" t="s">
        <v>18027</v>
      </c>
      <c r="E420" t="s">
        <v>18522</v>
      </c>
      <c r="F420" t="s">
        <v>31575</v>
      </c>
      <c r="G420" t="s">
        <v>31583</v>
      </c>
      <c r="H420" t="s">
        <v>31590</v>
      </c>
      <c r="I420" t="s">
        <v>4046</v>
      </c>
      <c r="J420" t="s">
        <v>32092</v>
      </c>
      <c r="K420" t="s">
        <v>41197</v>
      </c>
      <c r="M420" t="s">
        <v>41671</v>
      </c>
      <c r="N420" t="s">
        <v>45095</v>
      </c>
      <c r="O420" t="s">
        <v>45096</v>
      </c>
      <c r="P420">
        <v>0</v>
      </c>
      <c r="Q420">
        <v>0</v>
      </c>
      <c r="R420" t="s">
        <v>45097</v>
      </c>
      <c r="S420" t="s">
        <v>45222</v>
      </c>
      <c r="T420" t="s">
        <v>46983</v>
      </c>
      <c r="U420" t="s">
        <v>47852</v>
      </c>
      <c r="W420" t="s">
        <v>41671</v>
      </c>
      <c r="X420" t="s">
        <v>45098</v>
      </c>
    </row>
    <row r="421" spans="1:24">
      <c r="A421">
        <f>HYPERLINK("https://www.philgeps.gov.ph/GEPSNONPILOT/Tender/SplashBidNoticeAbstractUI.aspx?menuIndex=3&amp;refID=7044529&amp;Result=3","7044529")</f>
        <v>0</v>
      </c>
      <c r="B421" t="s">
        <v>197</v>
      </c>
      <c r="C421" t="s">
        <v>3596</v>
      </c>
      <c r="D421" t="s">
        <v>18036</v>
      </c>
      <c r="E421" t="s">
        <v>18523</v>
      </c>
      <c r="F421" t="s">
        <v>31574</v>
      </c>
      <c r="G421" t="s">
        <v>31583</v>
      </c>
      <c r="H421" t="s">
        <v>31590</v>
      </c>
      <c r="I421" t="s">
        <v>6800</v>
      </c>
      <c r="J421" t="s">
        <v>32093</v>
      </c>
      <c r="K421" t="s">
        <v>41184</v>
      </c>
      <c r="M421" t="s">
        <v>41682</v>
      </c>
      <c r="N421" t="s">
        <v>45095</v>
      </c>
      <c r="O421" t="s">
        <v>45096</v>
      </c>
      <c r="P421">
        <v>0</v>
      </c>
      <c r="Q421">
        <v>0</v>
      </c>
      <c r="R421" t="s">
        <v>45097</v>
      </c>
      <c r="S421" t="s">
        <v>45222</v>
      </c>
      <c r="T421" t="s">
        <v>46982</v>
      </c>
      <c r="U421" t="s">
        <v>47853</v>
      </c>
      <c r="W421" t="s">
        <v>41682</v>
      </c>
      <c r="X421" t="s">
        <v>45098</v>
      </c>
    </row>
    <row r="422" spans="1:24">
      <c r="A422">
        <f>HYPERLINK("https://www.philgeps.gov.ph/GEPSNONPILOT/Tender/SplashBidNoticeAbstractUI.aspx?menuIndex=3&amp;refID=7044528&amp;Result=3","7044528")</f>
        <v>0</v>
      </c>
      <c r="B422" t="s">
        <v>135</v>
      </c>
      <c r="C422" t="s">
        <v>3597</v>
      </c>
      <c r="D422" t="s">
        <v>18022</v>
      </c>
      <c r="E422" t="s">
        <v>18524</v>
      </c>
      <c r="F422" t="s">
        <v>31574</v>
      </c>
      <c r="G422" t="s">
        <v>31581</v>
      </c>
      <c r="H422" t="s">
        <v>31590</v>
      </c>
      <c r="I422" t="s">
        <v>3487</v>
      </c>
      <c r="J422" t="s">
        <v>32094</v>
      </c>
      <c r="K422" t="s">
        <v>41184</v>
      </c>
      <c r="M422" t="s">
        <v>41619</v>
      </c>
      <c r="N422" t="s">
        <v>45095</v>
      </c>
      <c r="O422" t="s">
        <v>45096</v>
      </c>
      <c r="P422">
        <v>0</v>
      </c>
      <c r="Q422">
        <v>0</v>
      </c>
      <c r="R422" t="s">
        <v>45097</v>
      </c>
      <c r="S422" t="s">
        <v>45222</v>
      </c>
      <c r="T422" t="s">
        <v>46914</v>
      </c>
      <c r="U422" t="s">
        <v>47854</v>
      </c>
      <c r="W422" t="s">
        <v>41619</v>
      </c>
      <c r="X422" t="s">
        <v>45098</v>
      </c>
    </row>
    <row r="423" spans="1:24">
      <c r="A423">
        <f>HYPERLINK("https://www.philgeps.gov.ph/GEPSNONPILOT/Tender/SplashBidNoticeAbstractUI.aspx?menuIndex=3&amp;refID=7044553&amp;Result=3","7044553")</f>
        <v>0</v>
      </c>
      <c r="B423" t="s">
        <v>95</v>
      </c>
      <c r="C423" t="s">
        <v>3598</v>
      </c>
      <c r="D423" t="s">
        <v>18062</v>
      </c>
      <c r="E423" t="s">
        <v>18525</v>
      </c>
      <c r="F423" t="s">
        <v>31574</v>
      </c>
      <c r="G423" t="s">
        <v>31582</v>
      </c>
      <c r="H423" t="s">
        <v>31591</v>
      </c>
      <c r="I423" t="s">
        <v>8822</v>
      </c>
      <c r="J423" t="s">
        <v>32095</v>
      </c>
      <c r="K423" t="s">
        <v>41186</v>
      </c>
      <c r="M423" t="s">
        <v>41579</v>
      </c>
      <c r="N423" t="s">
        <v>45095</v>
      </c>
      <c r="O423" t="s">
        <v>45096</v>
      </c>
      <c r="P423">
        <v>0</v>
      </c>
      <c r="Q423">
        <v>0</v>
      </c>
      <c r="R423" t="s">
        <v>45097</v>
      </c>
      <c r="S423" t="s">
        <v>45222</v>
      </c>
      <c r="T423" t="s">
        <v>46910</v>
      </c>
      <c r="U423" t="s">
        <v>47855</v>
      </c>
      <c r="W423" t="s">
        <v>41579</v>
      </c>
      <c r="X423" t="s">
        <v>45098</v>
      </c>
    </row>
    <row r="424" spans="1:24">
      <c r="A424">
        <f>HYPERLINK("https://www.philgeps.gov.ph/GEPSNONPILOT/Tender/SplashBidNoticeAbstractUI.aspx?menuIndex=3&amp;refID=7044556&amp;Result=3","7044556")</f>
        <v>0</v>
      </c>
      <c r="B424" t="s">
        <v>88</v>
      </c>
      <c r="C424" t="s">
        <v>3599</v>
      </c>
      <c r="D424" t="s">
        <v>18056</v>
      </c>
      <c r="E424" t="s">
        <v>18526</v>
      </c>
      <c r="F424" t="s">
        <v>31574</v>
      </c>
      <c r="G424" t="s">
        <v>31582</v>
      </c>
      <c r="H424" t="s">
        <v>31591</v>
      </c>
      <c r="I424" t="s">
        <v>8822</v>
      </c>
      <c r="J424" t="s">
        <v>32096</v>
      </c>
      <c r="K424" t="s">
        <v>41222</v>
      </c>
      <c r="M424" t="s">
        <v>41572</v>
      </c>
      <c r="N424" t="s">
        <v>45095</v>
      </c>
      <c r="O424" t="s">
        <v>45096</v>
      </c>
      <c r="P424">
        <v>0</v>
      </c>
      <c r="Q424">
        <v>0</v>
      </c>
      <c r="R424" t="s">
        <v>45097</v>
      </c>
      <c r="S424" t="s">
        <v>45222</v>
      </c>
      <c r="T424" t="s">
        <v>46924</v>
      </c>
      <c r="U424" t="s">
        <v>47856</v>
      </c>
      <c r="W424" t="s">
        <v>41572</v>
      </c>
      <c r="X424" t="s">
        <v>45098</v>
      </c>
    </row>
    <row r="425" spans="1:24">
      <c r="A425">
        <f>HYPERLINK("https://www.philgeps.gov.ph/GEPSNONPILOT/Tender/SplashBidNoticeAbstractUI.aspx?menuIndex=3&amp;refID=7044555&amp;Result=3","7044555")</f>
        <v>0</v>
      </c>
      <c r="B425" t="s">
        <v>204</v>
      </c>
      <c r="C425" t="s">
        <v>3600</v>
      </c>
      <c r="D425" t="s">
        <v>18042</v>
      </c>
      <c r="E425" t="s">
        <v>18227</v>
      </c>
      <c r="F425" t="s">
        <v>31574</v>
      </c>
      <c r="G425" t="s">
        <v>31581</v>
      </c>
      <c r="H425" t="s">
        <v>31590</v>
      </c>
      <c r="I425" t="s">
        <v>4046</v>
      </c>
      <c r="J425" t="s">
        <v>32097</v>
      </c>
      <c r="K425" t="s">
        <v>41184</v>
      </c>
      <c r="M425" t="s">
        <v>41689</v>
      </c>
      <c r="N425" t="s">
        <v>45095</v>
      </c>
      <c r="O425" t="s">
        <v>45096</v>
      </c>
      <c r="P425">
        <v>0</v>
      </c>
      <c r="Q425">
        <v>0</v>
      </c>
      <c r="R425" t="s">
        <v>45097</v>
      </c>
      <c r="S425" t="s">
        <v>45222</v>
      </c>
      <c r="T425" t="s">
        <v>46904</v>
      </c>
      <c r="U425" t="s">
        <v>47857</v>
      </c>
      <c r="W425" t="s">
        <v>41689</v>
      </c>
      <c r="X425" t="s">
        <v>45098</v>
      </c>
    </row>
    <row r="426" spans="1:24">
      <c r="A426">
        <f>HYPERLINK("https://www.philgeps.gov.ph/GEPSNONPILOT/Tender/SplashBidNoticeAbstractUI.aspx?menuIndex=3&amp;refID=7044552&amp;Result=3","7044552")</f>
        <v>0</v>
      </c>
      <c r="B426" t="s">
        <v>159</v>
      </c>
      <c r="C426" t="s">
        <v>3601</v>
      </c>
      <c r="D426" t="s">
        <v>18046</v>
      </c>
      <c r="E426" t="s">
        <v>18527</v>
      </c>
      <c r="F426" t="s">
        <v>31574</v>
      </c>
      <c r="G426" t="s">
        <v>31582</v>
      </c>
      <c r="H426" t="s">
        <v>31590</v>
      </c>
      <c r="I426" t="s">
        <v>31604</v>
      </c>
      <c r="J426" t="s">
        <v>32098</v>
      </c>
      <c r="K426" t="s">
        <v>41186</v>
      </c>
      <c r="M426" t="s">
        <v>41643</v>
      </c>
      <c r="N426" t="s">
        <v>45095</v>
      </c>
      <c r="O426" t="s">
        <v>45096</v>
      </c>
      <c r="P426">
        <v>0</v>
      </c>
      <c r="Q426">
        <v>0</v>
      </c>
      <c r="R426" t="s">
        <v>45097</v>
      </c>
      <c r="S426" t="s">
        <v>45222</v>
      </c>
      <c r="T426" t="s">
        <v>46914</v>
      </c>
      <c r="U426" t="s">
        <v>47772</v>
      </c>
      <c r="V426" t="s">
        <v>59890</v>
      </c>
      <c r="W426" t="s">
        <v>41643</v>
      </c>
      <c r="X426" t="s">
        <v>45098</v>
      </c>
    </row>
    <row r="427" spans="1:24">
      <c r="A427">
        <f>HYPERLINK("https://www.philgeps.gov.ph/GEPSNONPILOT/Tender/SplashBidNoticeAbstractUI.aspx?menuIndex=3&amp;refID=7044561&amp;Result=3","7044561")</f>
        <v>0</v>
      </c>
      <c r="B427" t="s">
        <v>195</v>
      </c>
      <c r="C427" t="s">
        <v>3602</v>
      </c>
      <c r="D427" t="s">
        <v>18030</v>
      </c>
      <c r="E427" t="s">
        <v>18528</v>
      </c>
      <c r="F427" t="s">
        <v>31574</v>
      </c>
      <c r="G427" t="s">
        <v>31583</v>
      </c>
      <c r="H427" t="s">
        <v>31590</v>
      </c>
      <c r="I427" t="s">
        <v>4046</v>
      </c>
      <c r="J427" t="s">
        <v>32099</v>
      </c>
      <c r="K427" t="s">
        <v>41196</v>
      </c>
      <c r="M427" t="s">
        <v>41680</v>
      </c>
      <c r="N427" t="s">
        <v>45095</v>
      </c>
      <c r="O427" t="s">
        <v>45096</v>
      </c>
      <c r="P427">
        <v>0</v>
      </c>
      <c r="Q427">
        <v>0</v>
      </c>
      <c r="R427" t="s">
        <v>45097</v>
      </c>
      <c r="S427" t="s">
        <v>45222</v>
      </c>
      <c r="T427" t="s">
        <v>46980</v>
      </c>
      <c r="U427" t="s">
        <v>47858</v>
      </c>
      <c r="V427" t="s">
        <v>59900</v>
      </c>
      <c r="W427" t="s">
        <v>41680</v>
      </c>
      <c r="X427" t="s">
        <v>45098</v>
      </c>
    </row>
    <row r="428" spans="1:24">
      <c r="A428">
        <f>HYPERLINK("https://www.philgeps.gov.ph/GEPSNONPILOT/Tender/SplashBidNoticeAbstractUI.aspx?menuIndex=3&amp;refID=7044557&amp;Result=3","7044557")</f>
        <v>0</v>
      </c>
      <c r="B428" t="s">
        <v>205</v>
      </c>
      <c r="C428" t="s">
        <v>3603</v>
      </c>
      <c r="E428" t="s">
        <v>18529</v>
      </c>
      <c r="F428" t="s">
        <v>31574</v>
      </c>
      <c r="G428" t="s">
        <v>31582</v>
      </c>
      <c r="H428" t="s">
        <v>31590</v>
      </c>
      <c r="I428" t="s">
        <v>5717</v>
      </c>
      <c r="J428" t="s">
        <v>32100</v>
      </c>
      <c r="K428" t="s">
        <v>41184</v>
      </c>
      <c r="M428" t="s">
        <v>41690</v>
      </c>
      <c r="N428" t="s">
        <v>45095</v>
      </c>
      <c r="O428" t="s">
        <v>45096</v>
      </c>
      <c r="P428">
        <v>0</v>
      </c>
      <c r="Q428">
        <v>0</v>
      </c>
      <c r="R428" t="s">
        <v>45097</v>
      </c>
      <c r="S428" t="s">
        <v>45222</v>
      </c>
      <c r="T428" t="s">
        <v>46914</v>
      </c>
      <c r="U428" t="s">
        <v>47859</v>
      </c>
      <c r="W428" t="s">
        <v>41690</v>
      </c>
      <c r="X428" t="s">
        <v>45098</v>
      </c>
    </row>
    <row r="429" spans="1:24">
      <c r="A429">
        <f>HYPERLINK("https://www.philgeps.gov.ph/GEPSNONPILOT/Tender/SplashBidNoticeAbstractUI.aspx?menuIndex=3&amp;refID=7044563&amp;Result=3","7044563")</f>
        <v>0</v>
      </c>
      <c r="B429" t="s">
        <v>178</v>
      </c>
      <c r="C429" t="s">
        <v>3604</v>
      </c>
      <c r="D429" t="s">
        <v>18078</v>
      </c>
      <c r="E429" t="s">
        <v>18530</v>
      </c>
      <c r="F429" t="s">
        <v>31574</v>
      </c>
      <c r="G429" t="s">
        <v>31582</v>
      </c>
      <c r="H429" t="s">
        <v>31590</v>
      </c>
      <c r="I429" t="s">
        <v>31594</v>
      </c>
      <c r="J429" t="s">
        <v>32101</v>
      </c>
      <c r="K429" t="s">
        <v>41200</v>
      </c>
      <c r="M429" t="s">
        <v>41662</v>
      </c>
      <c r="N429" t="s">
        <v>45095</v>
      </c>
      <c r="O429" t="s">
        <v>45096</v>
      </c>
      <c r="P429">
        <v>0</v>
      </c>
      <c r="Q429">
        <v>0</v>
      </c>
      <c r="R429" t="s">
        <v>45097</v>
      </c>
      <c r="S429" t="s">
        <v>45222</v>
      </c>
      <c r="T429" t="s">
        <v>46972</v>
      </c>
      <c r="U429" t="s">
        <v>47860</v>
      </c>
      <c r="V429" t="s">
        <v>59903</v>
      </c>
      <c r="W429" t="s">
        <v>41662</v>
      </c>
      <c r="X429" t="s">
        <v>45098</v>
      </c>
    </row>
    <row r="430" spans="1:24">
      <c r="A430">
        <f>HYPERLINK("https://www.philgeps.gov.ph/GEPSNONPILOT/Tender/SplashBidNoticeAbstractUI.aspx?menuIndex=3&amp;refID=7044564&amp;Result=3","7044564")</f>
        <v>0</v>
      </c>
      <c r="B430" t="s">
        <v>206</v>
      </c>
      <c r="C430" t="s">
        <v>3605</v>
      </c>
      <c r="D430" t="s">
        <v>18037</v>
      </c>
      <c r="E430" t="s">
        <v>18531</v>
      </c>
      <c r="F430" t="s">
        <v>31574</v>
      </c>
      <c r="G430" t="s">
        <v>31581</v>
      </c>
      <c r="H430" t="s">
        <v>31592</v>
      </c>
      <c r="I430" t="s">
        <v>31611</v>
      </c>
      <c r="J430" t="s">
        <v>31782</v>
      </c>
      <c r="K430" t="s">
        <v>41193</v>
      </c>
      <c r="M430" t="s">
        <v>41691</v>
      </c>
      <c r="N430" t="s">
        <v>45095</v>
      </c>
      <c r="O430" t="s">
        <v>45096</v>
      </c>
      <c r="P430">
        <v>0</v>
      </c>
      <c r="Q430">
        <v>0</v>
      </c>
      <c r="R430" t="s">
        <v>45097</v>
      </c>
      <c r="S430" t="s">
        <v>45222</v>
      </c>
      <c r="T430" t="s">
        <v>46952</v>
      </c>
      <c r="U430" t="s">
        <v>47861</v>
      </c>
      <c r="W430" t="s">
        <v>41691</v>
      </c>
      <c r="X430" t="s">
        <v>45098</v>
      </c>
    </row>
    <row r="431" spans="1:24">
      <c r="A431">
        <f>HYPERLINK("https://www.philgeps.gov.ph/GEPSNONPILOT/Tender/SplashBidNoticeAbstractUI.aspx?menuIndex=3&amp;refID=7044559&amp;Result=3","7044559")</f>
        <v>0</v>
      </c>
      <c r="B431" t="s">
        <v>207</v>
      </c>
      <c r="C431" t="s">
        <v>3606</v>
      </c>
      <c r="D431" t="s">
        <v>18023</v>
      </c>
      <c r="E431" t="s">
        <v>18532</v>
      </c>
      <c r="F431" t="s">
        <v>31574</v>
      </c>
      <c r="G431" t="s">
        <v>31581</v>
      </c>
      <c r="H431" t="s">
        <v>31590</v>
      </c>
      <c r="I431" t="s">
        <v>3651</v>
      </c>
      <c r="J431" t="s">
        <v>32102</v>
      </c>
      <c r="K431" t="s">
        <v>41193</v>
      </c>
      <c r="M431" t="s">
        <v>41692</v>
      </c>
      <c r="N431" t="s">
        <v>45095</v>
      </c>
      <c r="O431" t="s">
        <v>45096</v>
      </c>
      <c r="P431">
        <v>0</v>
      </c>
      <c r="Q431">
        <v>0</v>
      </c>
      <c r="R431" t="s">
        <v>45097</v>
      </c>
      <c r="S431" t="s">
        <v>45222</v>
      </c>
      <c r="T431" t="s">
        <v>46979</v>
      </c>
      <c r="U431" t="s">
        <v>47862</v>
      </c>
      <c r="W431" t="s">
        <v>41692</v>
      </c>
      <c r="X431" t="s">
        <v>45098</v>
      </c>
    </row>
    <row r="432" spans="1:24">
      <c r="A432">
        <f>HYPERLINK("https://www.philgeps.gov.ph/GEPSNONPILOT/Tender/SplashBidNoticeAbstractUI.aspx?menuIndex=3&amp;refID=7044562&amp;Result=3","7044562")</f>
        <v>0</v>
      </c>
      <c r="B432" t="s">
        <v>128</v>
      </c>
      <c r="C432" t="s">
        <v>3607</v>
      </c>
      <c r="D432" t="s">
        <v>18023</v>
      </c>
      <c r="E432" t="s">
        <v>18533</v>
      </c>
      <c r="F432" t="s">
        <v>31574</v>
      </c>
      <c r="G432" t="s">
        <v>31582</v>
      </c>
      <c r="H432" t="s">
        <v>31591</v>
      </c>
      <c r="I432" t="s">
        <v>8822</v>
      </c>
      <c r="J432" t="s">
        <v>32103</v>
      </c>
      <c r="K432" t="s">
        <v>41186</v>
      </c>
      <c r="M432" t="s">
        <v>41612</v>
      </c>
      <c r="N432" t="s">
        <v>45095</v>
      </c>
      <c r="O432" t="s">
        <v>45096</v>
      </c>
      <c r="P432">
        <v>0</v>
      </c>
      <c r="Q432">
        <v>0</v>
      </c>
      <c r="R432" t="s">
        <v>45097</v>
      </c>
      <c r="S432" t="s">
        <v>45222</v>
      </c>
      <c r="T432" t="s">
        <v>46935</v>
      </c>
      <c r="U432" t="s">
        <v>47863</v>
      </c>
      <c r="W432" t="s">
        <v>41612</v>
      </c>
      <c r="X432" t="s">
        <v>45098</v>
      </c>
    </row>
    <row r="433" spans="1:24">
      <c r="A433">
        <f>HYPERLINK("https://www.philgeps.gov.ph/GEPSNONPILOT/Tender/SplashBidNoticeAbstractUI.aspx?menuIndex=3&amp;refID=7044554&amp;Result=3","7044554")</f>
        <v>0</v>
      </c>
      <c r="B433" t="s">
        <v>174</v>
      </c>
      <c r="C433" t="s">
        <v>3608</v>
      </c>
      <c r="D433" t="s">
        <v>18078</v>
      </c>
      <c r="E433" t="s">
        <v>18534</v>
      </c>
      <c r="F433" t="s">
        <v>31574</v>
      </c>
      <c r="G433" t="s">
        <v>31583</v>
      </c>
      <c r="H433" t="s">
        <v>31590</v>
      </c>
      <c r="I433" t="s">
        <v>4046</v>
      </c>
      <c r="J433" t="s">
        <v>32104</v>
      </c>
      <c r="K433" t="s">
        <v>41186</v>
      </c>
      <c r="M433" t="s">
        <v>41658</v>
      </c>
      <c r="N433" t="s">
        <v>45095</v>
      </c>
      <c r="O433" t="s">
        <v>45096</v>
      </c>
      <c r="P433">
        <v>0</v>
      </c>
      <c r="Q433">
        <v>0</v>
      </c>
      <c r="R433" t="s">
        <v>45097</v>
      </c>
      <c r="S433" t="s">
        <v>45222</v>
      </c>
      <c r="T433" t="s">
        <v>46913</v>
      </c>
      <c r="U433" t="s">
        <v>47864</v>
      </c>
      <c r="W433" t="s">
        <v>41658</v>
      </c>
      <c r="X433" t="s">
        <v>45098</v>
      </c>
    </row>
    <row r="434" spans="1:24">
      <c r="A434">
        <f>HYPERLINK("https://www.philgeps.gov.ph/GEPSNONPILOT/Tender/SplashBidNoticeAbstractUI.aspx?menuIndex=3&amp;refID=7044569&amp;Result=3","7044569")</f>
        <v>0</v>
      </c>
      <c r="B434" t="s">
        <v>125</v>
      </c>
      <c r="C434" t="s">
        <v>3609</v>
      </c>
      <c r="D434" t="s">
        <v>18039</v>
      </c>
      <c r="E434" t="s">
        <v>18535</v>
      </c>
      <c r="F434" t="s">
        <v>31574</v>
      </c>
      <c r="G434" t="s">
        <v>31581</v>
      </c>
      <c r="H434" t="s">
        <v>31590</v>
      </c>
      <c r="I434" t="s">
        <v>31608</v>
      </c>
      <c r="J434" t="s">
        <v>32105</v>
      </c>
      <c r="K434" t="s">
        <v>41184</v>
      </c>
      <c r="M434" t="s">
        <v>41609</v>
      </c>
      <c r="N434" t="s">
        <v>45095</v>
      </c>
      <c r="O434" t="s">
        <v>45096</v>
      </c>
      <c r="P434">
        <v>0</v>
      </c>
      <c r="Q434">
        <v>0</v>
      </c>
      <c r="R434" t="s">
        <v>45097</v>
      </c>
      <c r="S434" t="s">
        <v>45222</v>
      </c>
      <c r="T434" t="s">
        <v>46904</v>
      </c>
      <c r="U434" t="s">
        <v>47746</v>
      </c>
      <c r="W434" t="s">
        <v>41609</v>
      </c>
      <c r="X434" t="s">
        <v>45098</v>
      </c>
    </row>
    <row r="435" spans="1:24">
      <c r="A435">
        <f>HYPERLINK("https://www.philgeps.gov.ph/GEPSNONPILOT/Tender/SplashBidNoticeAbstractUI.aspx?menuIndex=3&amp;refID=7044572&amp;Result=3","7044572")</f>
        <v>0</v>
      </c>
      <c r="B435" t="s">
        <v>135</v>
      </c>
      <c r="C435" t="s">
        <v>3610</v>
      </c>
      <c r="D435" t="s">
        <v>18022</v>
      </c>
      <c r="E435" t="s">
        <v>18536</v>
      </c>
      <c r="F435" t="s">
        <v>31574</v>
      </c>
      <c r="G435" t="s">
        <v>31581</v>
      </c>
      <c r="H435" t="s">
        <v>31590</v>
      </c>
      <c r="I435" t="s">
        <v>31610</v>
      </c>
      <c r="J435" t="s">
        <v>32106</v>
      </c>
      <c r="K435" t="s">
        <v>41184</v>
      </c>
      <c r="M435" t="s">
        <v>41619</v>
      </c>
      <c r="N435" t="s">
        <v>45095</v>
      </c>
      <c r="O435" t="s">
        <v>45096</v>
      </c>
      <c r="P435">
        <v>0</v>
      </c>
      <c r="Q435">
        <v>0</v>
      </c>
      <c r="R435" t="s">
        <v>45097</v>
      </c>
      <c r="S435" t="s">
        <v>45222</v>
      </c>
      <c r="T435" t="s">
        <v>46914</v>
      </c>
      <c r="U435" t="s">
        <v>47865</v>
      </c>
      <c r="W435" t="s">
        <v>41619</v>
      </c>
      <c r="X435" t="s">
        <v>45098</v>
      </c>
    </row>
    <row r="436" spans="1:24">
      <c r="A436">
        <f>HYPERLINK("https://www.philgeps.gov.ph/GEPSNONPILOT/Tender/SplashBidNoticeAbstractUI.aspx?menuIndex=3&amp;refID=7044560&amp;Result=3","7044560")</f>
        <v>0</v>
      </c>
      <c r="B436" t="s">
        <v>208</v>
      </c>
      <c r="C436" t="s">
        <v>3611</v>
      </c>
      <c r="D436" t="s">
        <v>18052</v>
      </c>
      <c r="E436" t="s">
        <v>18537</v>
      </c>
      <c r="F436" t="s">
        <v>31574</v>
      </c>
      <c r="G436" t="s">
        <v>31581</v>
      </c>
      <c r="H436" t="s">
        <v>31590</v>
      </c>
      <c r="I436" t="s">
        <v>8258</v>
      </c>
      <c r="J436" t="s">
        <v>32107</v>
      </c>
      <c r="K436" t="s">
        <v>41196</v>
      </c>
      <c r="M436" t="s">
        <v>41693</v>
      </c>
      <c r="N436" t="s">
        <v>45095</v>
      </c>
      <c r="O436" t="s">
        <v>45096</v>
      </c>
      <c r="P436">
        <v>0</v>
      </c>
      <c r="Q436">
        <v>0</v>
      </c>
      <c r="R436" t="s">
        <v>45097</v>
      </c>
      <c r="S436" t="s">
        <v>45222</v>
      </c>
      <c r="T436" t="s">
        <v>46949</v>
      </c>
      <c r="U436" t="s">
        <v>47866</v>
      </c>
      <c r="W436" t="s">
        <v>61656</v>
      </c>
      <c r="X436" t="s">
        <v>45098</v>
      </c>
    </row>
    <row r="437" spans="1:24">
      <c r="A437">
        <f>HYPERLINK("https://www.philgeps.gov.ph/GEPSNONPILOT/Tender/SplashBidNoticeAbstractUI.aspx?menuIndex=3&amp;refID=7044567&amp;Result=3","7044567")</f>
        <v>0</v>
      </c>
      <c r="B437" t="s">
        <v>194</v>
      </c>
      <c r="C437" t="s">
        <v>3612</v>
      </c>
      <c r="D437" t="s">
        <v>18065</v>
      </c>
      <c r="E437" t="s">
        <v>18538</v>
      </c>
      <c r="F437" t="s">
        <v>31574</v>
      </c>
      <c r="G437" t="s">
        <v>31581</v>
      </c>
      <c r="H437" t="s">
        <v>31590</v>
      </c>
      <c r="I437" t="s">
        <v>31595</v>
      </c>
      <c r="J437" t="s">
        <v>31780</v>
      </c>
      <c r="K437" t="s">
        <v>41184</v>
      </c>
      <c r="M437" t="s">
        <v>41679</v>
      </c>
      <c r="N437" t="s">
        <v>45095</v>
      </c>
      <c r="O437" t="s">
        <v>45096</v>
      </c>
      <c r="P437">
        <v>0</v>
      </c>
      <c r="Q437">
        <v>0</v>
      </c>
      <c r="R437" t="s">
        <v>45097</v>
      </c>
      <c r="S437" t="s">
        <v>45222</v>
      </c>
      <c r="T437" t="s">
        <v>46923</v>
      </c>
      <c r="U437" t="s">
        <v>47832</v>
      </c>
      <c r="W437" t="s">
        <v>41679</v>
      </c>
      <c r="X437" t="s">
        <v>45098</v>
      </c>
    </row>
    <row r="438" spans="1:24">
      <c r="A438">
        <f>HYPERLINK("https://www.philgeps.gov.ph/GEPSNONPILOT/Tender/SplashBidNoticeAbstractUI.aspx?menuIndex=3&amp;refID=7044565&amp;Result=3","7044565")</f>
        <v>0</v>
      </c>
      <c r="B438" t="s">
        <v>209</v>
      </c>
      <c r="C438" t="s">
        <v>3613</v>
      </c>
      <c r="D438" t="s">
        <v>18028</v>
      </c>
      <c r="E438" t="s">
        <v>18539</v>
      </c>
      <c r="F438" t="s">
        <v>31574</v>
      </c>
      <c r="G438" t="s">
        <v>31583</v>
      </c>
      <c r="H438" t="s">
        <v>31590</v>
      </c>
      <c r="I438" t="s">
        <v>3487</v>
      </c>
      <c r="J438" t="s">
        <v>32108</v>
      </c>
      <c r="K438" t="s">
        <v>41193</v>
      </c>
      <c r="M438" t="s">
        <v>41694</v>
      </c>
      <c r="N438" t="s">
        <v>45095</v>
      </c>
      <c r="O438" t="s">
        <v>45096</v>
      </c>
      <c r="P438">
        <v>0</v>
      </c>
      <c r="Q438">
        <v>0</v>
      </c>
      <c r="R438" t="s">
        <v>45097</v>
      </c>
      <c r="S438" t="s">
        <v>45222</v>
      </c>
      <c r="T438" t="s">
        <v>46973</v>
      </c>
      <c r="U438" t="s">
        <v>47867</v>
      </c>
      <c r="W438" t="s">
        <v>41694</v>
      </c>
      <c r="X438" t="s">
        <v>45098</v>
      </c>
    </row>
    <row r="439" spans="1:24">
      <c r="A439">
        <f>HYPERLINK("https://www.philgeps.gov.ph/GEPSNONPILOT/Tender/SplashBidNoticeAbstractUI.aspx?menuIndex=3&amp;refID=7044568&amp;Result=3","7044568")</f>
        <v>0</v>
      </c>
      <c r="B439" t="s">
        <v>210</v>
      </c>
      <c r="C439" t="s">
        <v>3614</v>
      </c>
      <c r="D439" t="s">
        <v>18022</v>
      </c>
      <c r="E439" t="s">
        <v>18540</v>
      </c>
      <c r="F439" t="s">
        <v>31574</v>
      </c>
      <c r="G439" t="s">
        <v>31581</v>
      </c>
      <c r="H439" t="s">
        <v>31590</v>
      </c>
      <c r="I439" t="s">
        <v>4046</v>
      </c>
      <c r="J439" t="s">
        <v>31962</v>
      </c>
      <c r="K439" t="s">
        <v>41211</v>
      </c>
      <c r="M439" t="s">
        <v>41695</v>
      </c>
      <c r="N439" t="s">
        <v>45095</v>
      </c>
      <c r="O439" t="s">
        <v>45096</v>
      </c>
      <c r="P439">
        <v>0</v>
      </c>
      <c r="Q439">
        <v>0</v>
      </c>
      <c r="R439" t="s">
        <v>45097</v>
      </c>
      <c r="S439" t="s">
        <v>45222</v>
      </c>
      <c r="T439" t="s">
        <v>46911</v>
      </c>
      <c r="U439" t="s">
        <v>47868</v>
      </c>
      <c r="W439" t="s">
        <v>41695</v>
      </c>
      <c r="X439" t="s">
        <v>45098</v>
      </c>
    </row>
    <row r="440" spans="1:24">
      <c r="A440">
        <f>HYPERLINK("https://www.philgeps.gov.ph/GEPSNONPILOT/Tender/SplashBidNoticeAbstractUI.aspx?menuIndex=3&amp;refID=7044558&amp;Result=3","7044558")</f>
        <v>0</v>
      </c>
      <c r="B440" t="s">
        <v>211</v>
      </c>
      <c r="C440" t="s">
        <v>3615</v>
      </c>
      <c r="D440" t="s">
        <v>18053</v>
      </c>
      <c r="E440" t="s">
        <v>18541</v>
      </c>
      <c r="F440" t="s">
        <v>31574</v>
      </c>
      <c r="G440" t="s">
        <v>31581</v>
      </c>
      <c r="H440" t="s">
        <v>31590</v>
      </c>
      <c r="I440" t="s">
        <v>31642</v>
      </c>
      <c r="J440" t="s">
        <v>32109</v>
      </c>
      <c r="K440" t="s">
        <v>41190</v>
      </c>
      <c r="M440" t="s">
        <v>41696</v>
      </c>
      <c r="N440" t="s">
        <v>45095</v>
      </c>
      <c r="O440" t="s">
        <v>45096</v>
      </c>
      <c r="P440">
        <v>0</v>
      </c>
      <c r="Q440">
        <v>0</v>
      </c>
      <c r="R440" t="s">
        <v>45097</v>
      </c>
      <c r="S440" t="s">
        <v>45222</v>
      </c>
      <c r="T440" t="s">
        <v>46922</v>
      </c>
      <c r="U440" t="s">
        <v>47869</v>
      </c>
      <c r="W440" t="s">
        <v>41696</v>
      </c>
      <c r="X440" t="s">
        <v>45098</v>
      </c>
    </row>
    <row r="441" spans="1:24">
      <c r="A441">
        <f>HYPERLINK("https://www.philgeps.gov.ph/GEPSNONPILOT/Tender/SplashBidNoticeAbstractUI.aspx?menuIndex=3&amp;refID=7044573&amp;Result=3","7044573")</f>
        <v>0</v>
      </c>
      <c r="B441" t="s">
        <v>212</v>
      </c>
      <c r="C441" t="s">
        <v>3616</v>
      </c>
      <c r="D441" t="s">
        <v>18036</v>
      </c>
      <c r="E441" t="s">
        <v>18542</v>
      </c>
      <c r="F441" t="s">
        <v>31574</v>
      </c>
      <c r="G441" t="s">
        <v>31582</v>
      </c>
      <c r="H441" t="s">
        <v>31590</v>
      </c>
      <c r="I441" t="s">
        <v>31615</v>
      </c>
      <c r="J441" t="s">
        <v>32019</v>
      </c>
      <c r="K441" t="s">
        <v>41184</v>
      </c>
      <c r="M441" t="s">
        <v>41697</v>
      </c>
      <c r="N441" t="s">
        <v>45095</v>
      </c>
      <c r="O441" t="s">
        <v>45096</v>
      </c>
      <c r="P441">
        <v>0</v>
      </c>
      <c r="Q441">
        <v>0</v>
      </c>
      <c r="R441" t="s">
        <v>45097</v>
      </c>
      <c r="S441" t="s">
        <v>45222</v>
      </c>
      <c r="T441" t="s">
        <v>46984</v>
      </c>
      <c r="U441" t="s">
        <v>47870</v>
      </c>
      <c r="W441" t="s">
        <v>41697</v>
      </c>
      <c r="X441" t="s">
        <v>45098</v>
      </c>
    </row>
    <row r="442" spans="1:24">
      <c r="A442">
        <f>HYPERLINK("https://www.philgeps.gov.ph/GEPSNONPILOT/Tender/SplashBidNoticeAbstractUI.aspx?menuIndex=3&amp;refID=7044571&amp;Result=3","7044571")</f>
        <v>0</v>
      </c>
      <c r="B442" t="s">
        <v>213</v>
      </c>
      <c r="C442" t="s">
        <v>3617</v>
      </c>
      <c r="D442" t="s">
        <v>18065</v>
      </c>
      <c r="E442" t="s">
        <v>18543</v>
      </c>
      <c r="F442" t="s">
        <v>31574</v>
      </c>
      <c r="G442" t="s">
        <v>31584</v>
      </c>
      <c r="H442" t="s">
        <v>31590</v>
      </c>
      <c r="I442" t="s">
        <v>3520</v>
      </c>
      <c r="J442" t="s">
        <v>31845</v>
      </c>
      <c r="K442" t="s">
        <v>41190</v>
      </c>
      <c r="M442" t="s">
        <v>41698</v>
      </c>
      <c r="N442" t="s">
        <v>45095</v>
      </c>
      <c r="O442" t="s">
        <v>45096</v>
      </c>
      <c r="P442">
        <v>0</v>
      </c>
      <c r="Q442">
        <v>0</v>
      </c>
      <c r="R442" t="s">
        <v>45097</v>
      </c>
      <c r="S442" t="s">
        <v>45222</v>
      </c>
      <c r="T442" t="s">
        <v>46946</v>
      </c>
      <c r="U442" t="s">
        <v>47871</v>
      </c>
      <c r="W442" t="s">
        <v>41698</v>
      </c>
      <c r="X442" t="s">
        <v>45098</v>
      </c>
    </row>
    <row r="443" spans="1:24">
      <c r="A443">
        <f>HYPERLINK("https://www.philgeps.gov.ph/GEPSNONPILOT/Tender/SplashBidNoticeAbstractUI.aspx?menuIndex=3&amp;refID=7044576&amp;Result=3","7044576")</f>
        <v>0</v>
      </c>
      <c r="B443" t="s">
        <v>214</v>
      </c>
      <c r="C443" t="s">
        <v>3618</v>
      </c>
      <c r="D443" t="s">
        <v>18040</v>
      </c>
      <c r="E443" t="s">
        <v>18544</v>
      </c>
      <c r="F443" t="s">
        <v>31574</v>
      </c>
      <c r="G443" t="s">
        <v>31581</v>
      </c>
      <c r="H443" t="s">
        <v>31590</v>
      </c>
      <c r="I443" t="s">
        <v>6800</v>
      </c>
      <c r="J443" t="s">
        <v>32110</v>
      </c>
      <c r="K443" t="s">
        <v>41223</v>
      </c>
      <c r="M443" t="s">
        <v>41699</v>
      </c>
      <c r="N443" t="s">
        <v>45095</v>
      </c>
      <c r="O443" t="s">
        <v>45096</v>
      </c>
      <c r="P443">
        <v>0</v>
      </c>
      <c r="Q443">
        <v>0</v>
      </c>
      <c r="R443" t="s">
        <v>45097</v>
      </c>
      <c r="S443" t="s">
        <v>45222</v>
      </c>
      <c r="T443" t="s">
        <v>46911</v>
      </c>
      <c r="U443" t="s">
        <v>47872</v>
      </c>
      <c r="W443" t="s">
        <v>41699</v>
      </c>
      <c r="X443" t="s">
        <v>45098</v>
      </c>
    </row>
    <row r="444" spans="1:24">
      <c r="A444">
        <f>HYPERLINK("https://www.philgeps.gov.ph/GEPSNONPILOT/Tender/SplashBidNoticeAbstractUI.aspx?menuIndex=3&amp;refID=7044585&amp;Result=3","7044585")</f>
        <v>0</v>
      </c>
      <c r="B444" t="s">
        <v>215</v>
      </c>
      <c r="C444" t="s">
        <v>3619</v>
      </c>
      <c r="D444" t="s">
        <v>18039</v>
      </c>
      <c r="E444" t="s">
        <v>18533</v>
      </c>
      <c r="F444" t="s">
        <v>31574</v>
      </c>
      <c r="G444" t="s">
        <v>31583</v>
      </c>
      <c r="H444" t="s">
        <v>31590</v>
      </c>
      <c r="I444" t="s">
        <v>31621</v>
      </c>
      <c r="J444" t="s">
        <v>32111</v>
      </c>
      <c r="K444" t="s">
        <v>41193</v>
      </c>
      <c r="M444" t="s">
        <v>41700</v>
      </c>
      <c r="N444" t="s">
        <v>45095</v>
      </c>
      <c r="O444" t="s">
        <v>45096</v>
      </c>
      <c r="P444">
        <v>0</v>
      </c>
      <c r="Q444">
        <v>0</v>
      </c>
      <c r="R444" t="s">
        <v>45097</v>
      </c>
      <c r="S444" t="s">
        <v>45222</v>
      </c>
      <c r="T444" t="s">
        <v>46985</v>
      </c>
      <c r="U444" t="s">
        <v>47873</v>
      </c>
      <c r="W444" t="s">
        <v>41700</v>
      </c>
      <c r="X444" t="s">
        <v>45098</v>
      </c>
    </row>
    <row r="445" spans="1:24">
      <c r="A445">
        <f>HYPERLINK("https://www.philgeps.gov.ph/GEPSNONPILOT/Tender/SplashBidNoticeAbstractUI.aspx?menuIndex=3&amp;refID=7044588&amp;Result=3","7044588")</f>
        <v>0</v>
      </c>
      <c r="B445" t="s">
        <v>159</v>
      </c>
      <c r="C445" t="s">
        <v>3620</v>
      </c>
      <c r="D445" t="s">
        <v>18046</v>
      </c>
      <c r="E445" t="s">
        <v>18545</v>
      </c>
      <c r="F445" t="s">
        <v>31574</v>
      </c>
      <c r="G445" t="s">
        <v>31582</v>
      </c>
      <c r="H445" t="s">
        <v>31590</v>
      </c>
      <c r="I445" t="s">
        <v>31605</v>
      </c>
      <c r="J445" t="s">
        <v>32112</v>
      </c>
      <c r="K445" t="s">
        <v>41186</v>
      </c>
      <c r="M445" t="s">
        <v>41643</v>
      </c>
      <c r="N445" t="s">
        <v>45095</v>
      </c>
      <c r="O445" t="s">
        <v>45096</v>
      </c>
      <c r="P445">
        <v>0</v>
      </c>
      <c r="Q445">
        <v>0</v>
      </c>
      <c r="R445" t="s">
        <v>45097</v>
      </c>
      <c r="S445" t="s">
        <v>45222</v>
      </c>
      <c r="T445" t="s">
        <v>46914</v>
      </c>
      <c r="U445" t="s">
        <v>47772</v>
      </c>
      <c r="V445" t="s">
        <v>59890</v>
      </c>
      <c r="W445" t="s">
        <v>41643</v>
      </c>
      <c r="X445" t="s">
        <v>45098</v>
      </c>
    </row>
    <row r="446" spans="1:24">
      <c r="A446">
        <f>HYPERLINK("https://www.philgeps.gov.ph/GEPSNONPILOT/Tender/SplashBidNoticeAbstractUI.aspx?menuIndex=3&amp;refID=7044583&amp;Result=3","7044583")</f>
        <v>0</v>
      </c>
      <c r="B446" t="s">
        <v>216</v>
      </c>
      <c r="C446" t="s">
        <v>3621</v>
      </c>
      <c r="D446" t="s">
        <v>18058</v>
      </c>
      <c r="E446" t="s">
        <v>18546</v>
      </c>
      <c r="F446" t="s">
        <v>31574</v>
      </c>
      <c r="G446" t="s">
        <v>31583</v>
      </c>
      <c r="H446" t="s">
        <v>31590</v>
      </c>
      <c r="I446" t="s">
        <v>3487</v>
      </c>
      <c r="J446" t="s">
        <v>32113</v>
      </c>
      <c r="K446" t="s">
        <v>41193</v>
      </c>
      <c r="M446" t="s">
        <v>41701</v>
      </c>
      <c r="N446" t="s">
        <v>45095</v>
      </c>
      <c r="O446" t="s">
        <v>45096</v>
      </c>
      <c r="P446">
        <v>0</v>
      </c>
      <c r="Q446">
        <v>0</v>
      </c>
      <c r="R446" t="s">
        <v>45097</v>
      </c>
      <c r="S446" t="s">
        <v>45222</v>
      </c>
      <c r="T446" t="s">
        <v>46932</v>
      </c>
      <c r="U446" t="s">
        <v>47874</v>
      </c>
      <c r="W446" t="s">
        <v>41701</v>
      </c>
      <c r="X446" t="s">
        <v>45098</v>
      </c>
    </row>
    <row r="447" spans="1:24">
      <c r="A447">
        <f>HYPERLINK("https://www.philgeps.gov.ph/GEPSNONPILOT/Tender/SplashBidNoticeAbstractUI.aspx?menuIndex=3&amp;refID=7044589&amp;Result=3","7044589")</f>
        <v>0</v>
      </c>
      <c r="B447" t="s">
        <v>124</v>
      </c>
      <c r="C447" t="s">
        <v>3622</v>
      </c>
      <c r="D447" t="s">
        <v>18065</v>
      </c>
      <c r="E447" t="s">
        <v>18547</v>
      </c>
      <c r="F447" t="s">
        <v>31574</v>
      </c>
      <c r="G447" t="s">
        <v>31581</v>
      </c>
      <c r="H447" t="s">
        <v>31590</v>
      </c>
      <c r="I447" t="s">
        <v>31619</v>
      </c>
      <c r="J447" t="s">
        <v>32114</v>
      </c>
      <c r="K447" t="s">
        <v>41184</v>
      </c>
      <c r="M447" t="s">
        <v>41608</v>
      </c>
      <c r="N447" t="s">
        <v>45095</v>
      </c>
      <c r="O447" t="s">
        <v>45096</v>
      </c>
      <c r="P447">
        <v>0</v>
      </c>
      <c r="Q447">
        <v>0</v>
      </c>
      <c r="R447" t="s">
        <v>45097</v>
      </c>
      <c r="S447" t="s">
        <v>45222</v>
      </c>
      <c r="T447" t="s">
        <v>46934</v>
      </c>
      <c r="U447" t="s">
        <v>47875</v>
      </c>
      <c r="W447" t="s">
        <v>41608</v>
      </c>
      <c r="X447" t="s">
        <v>45098</v>
      </c>
    </row>
    <row r="448" spans="1:24">
      <c r="A448">
        <f>HYPERLINK("https://www.philgeps.gov.ph/GEPSNONPILOT/Tender/SplashBidNoticeAbstractUI.aspx?menuIndex=3&amp;refID=7044584&amp;Result=3","7044584")</f>
        <v>0</v>
      </c>
      <c r="B448" t="s">
        <v>217</v>
      </c>
      <c r="C448" t="s">
        <v>3623</v>
      </c>
      <c r="D448" t="s">
        <v>18081</v>
      </c>
      <c r="E448" t="s">
        <v>18548</v>
      </c>
      <c r="F448" t="s">
        <v>31574</v>
      </c>
      <c r="G448" t="s">
        <v>31582</v>
      </c>
      <c r="H448" t="s">
        <v>31590</v>
      </c>
      <c r="I448" t="s">
        <v>4046</v>
      </c>
      <c r="J448" t="s">
        <v>32115</v>
      </c>
      <c r="K448" t="s">
        <v>41194</v>
      </c>
      <c r="M448" t="s">
        <v>41702</v>
      </c>
      <c r="N448" t="s">
        <v>45095</v>
      </c>
      <c r="O448" t="s">
        <v>45096</v>
      </c>
      <c r="P448">
        <v>0</v>
      </c>
      <c r="Q448">
        <v>0</v>
      </c>
      <c r="R448" t="s">
        <v>45097</v>
      </c>
      <c r="S448" t="s">
        <v>45222</v>
      </c>
      <c r="T448" t="s">
        <v>46986</v>
      </c>
      <c r="U448" t="s">
        <v>47876</v>
      </c>
      <c r="W448" t="s">
        <v>41702</v>
      </c>
      <c r="X448" t="s">
        <v>45098</v>
      </c>
    </row>
    <row r="449" spans="1:24">
      <c r="A449">
        <f>HYPERLINK("https://www.philgeps.gov.ph/GEPSNONPILOT/Tender/SplashBidNoticeAbstractUI.aspx?menuIndex=3&amp;refID=7044587&amp;Result=3","7044587")</f>
        <v>0</v>
      </c>
      <c r="B449" t="s">
        <v>59</v>
      </c>
      <c r="C449" t="s">
        <v>3624</v>
      </c>
      <c r="D449" t="s">
        <v>18048</v>
      </c>
      <c r="E449" t="s">
        <v>18549</v>
      </c>
      <c r="F449" t="s">
        <v>31574</v>
      </c>
      <c r="G449" t="s">
        <v>31583</v>
      </c>
      <c r="H449" t="s">
        <v>31590</v>
      </c>
      <c r="I449" t="s">
        <v>8056</v>
      </c>
      <c r="J449" t="s">
        <v>32116</v>
      </c>
      <c r="K449" t="s">
        <v>41186</v>
      </c>
      <c r="M449" t="s">
        <v>41543</v>
      </c>
      <c r="N449" t="s">
        <v>45095</v>
      </c>
      <c r="O449" t="s">
        <v>45096</v>
      </c>
      <c r="P449">
        <v>0</v>
      </c>
      <c r="Q449">
        <v>0</v>
      </c>
      <c r="R449" t="s">
        <v>45097</v>
      </c>
      <c r="S449" t="s">
        <v>45222</v>
      </c>
      <c r="T449" t="s">
        <v>46926</v>
      </c>
      <c r="U449" t="s">
        <v>47877</v>
      </c>
      <c r="V449" t="s">
        <v>59856</v>
      </c>
      <c r="W449" t="s">
        <v>41543</v>
      </c>
      <c r="X449" t="s">
        <v>45098</v>
      </c>
    </row>
    <row r="450" spans="1:24">
      <c r="A450">
        <f>HYPERLINK("https://www.philgeps.gov.ph/GEPSNONPILOT/Tender/SplashBidNoticeAbstractUI.aspx?menuIndex=3&amp;refID=7044581&amp;Result=3","7044581")</f>
        <v>0</v>
      </c>
      <c r="B450" t="s">
        <v>152</v>
      </c>
      <c r="C450" t="s">
        <v>3625</v>
      </c>
      <c r="D450" t="s">
        <v>18072</v>
      </c>
      <c r="E450" t="s">
        <v>18429</v>
      </c>
      <c r="F450" t="s">
        <v>31574</v>
      </c>
      <c r="G450" t="s">
        <v>31581</v>
      </c>
      <c r="H450" t="s">
        <v>31590</v>
      </c>
      <c r="I450" t="s">
        <v>31604</v>
      </c>
      <c r="J450" t="s">
        <v>32117</v>
      </c>
      <c r="K450" t="s">
        <v>41211</v>
      </c>
      <c r="M450" t="s">
        <v>41636</v>
      </c>
      <c r="N450" t="s">
        <v>45095</v>
      </c>
      <c r="O450" t="s">
        <v>45096</v>
      </c>
      <c r="P450">
        <v>0</v>
      </c>
      <c r="Q450">
        <v>0</v>
      </c>
      <c r="R450" t="s">
        <v>45097</v>
      </c>
      <c r="S450" t="s">
        <v>45222</v>
      </c>
      <c r="T450" t="s">
        <v>46918</v>
      </c>
      <c r="U450" t="s">
        <v>47878</v>
      </c>
      <c r="W450" t="s">
        <v>41636</v>
      </c>
      <c r="X450" t="s">
        <v>45098</v>
      </c>
    </row>
    <row r="451" spans="1:24">
      <c r="A451">
        <f>HYPERLINK("https://www.philgeps.gov.ph/GEPSNONPILOT/Tender/SplashBidNoticeAbstractUI.aspx?menuIndex=3&amp;refID=7044579&amp;Result=3","7044579")</f>
        <v>0</v>
      </c>
      <c r="B451" t="s">
        <v>185</v>
      </c>
      <c r="C451" t="s">
        <v>3626</v>
      </c>
      <c r="E451" t="s">
        <v>18550</v>
      </c>
      <c r="F451" t="s">
        <v>31574</v>
      </c>
      <c r="G451" t="s">
        <v>31582</v>
      </c>
      <c r="H451" t="s">
        <v>31591</v>
      </c>
      <c r="I451" t="s">
        <v>8822</v>
      </c>
      <c r="J451" t="s">
        <v>32118</v>
      </c>
      <c r="K451" t="s">
        <v>41192</v>
      </c>
      <c r="M451" t="s">
        <v>41670</v>
      </c>
      <c r="N451" t="s">
        <v>45095</v>
      </c>
      <c r="O451" t="s">
        <v>45096</v>
      </c>
      <c r="P451">
        <v>0</v>
      </c>
      <c r="Q451">
        <v>0</v>
      </c>
      <c r="R451" t="s">
        <v>45097</v>
      </c>
      <c r="S451" t="s">
        <v>45222</v>
      </c>
      <c r="T451" t="s">
        <v>46915</v>
      </c>
      <c r="U451" t="s">
        <v>47879</v>
      </c>
      <c r="W451" t="s">
        <v>41670</v>
      </c>
      <c r="X451" t="s">
        <v>45098</v>
      </c>
    </row>
    <row r="452" spans="1:24">
      <c r="A452">
        <f>HYPERLINK("https://www.philgeps.gov.ph/GEPSNONPILOT/Tender/SplashBidNoticeAbstractUI.aspx?menuIndex=3&amp;refID=7044586&amp;Result=3","7044586")</f>
        <v>0</v>
      </c>
      <c r="B452" t="s">
        <v>218</v>
      </c>
      <c r="C452" t="s">
        <v>3627</v>
      </c>
      <c r="D452" t="s">
        <v>18070</v>
      </c>
      <c r="E452" t="s">
        <v>18551</v>
      </c>
      <c r="F452" t="s">
        <v>31574</v>
      </c>
      <c r="G452" t="s">
        <v>31583</v>
      </c>
      <c r="H452" t="s">
        <v>31590</v>
      </c>
      <c r="I452" t="s">
        <v>31605</v>
      </c>
      <c r="J452" t="s">
        <v>32119</v>
      </c>
      <c r="K452" t="s">
        <v>41193</v>
      </c>
      <c r="M452" t="s">
        <v>41703</v>
      </c>
      <c r="N452" t="s">
        <v>45095</v>
      </c>
      <c r="O452" t="s">
        <v>45096</v>
      </c>
      <c r="P452">
        <v>0</v>
      </c>
      <c r="Q452">
        <v>0</v>
      </c>
      <c r="R452" t="s">
        <v>45097</v>
      </c>
      <c r="S452" t="s">
        <v>45222</v>
      </c>
      <c r="T452" t="s">
        <v>46957</v>
      </c>
      <c r="U452" t="s">
        <v>47880</v>
      </c>
      <c r="W452" t="s">
        <v>41703</v>
      </c>
      <c r="X452" t="s">
        <v>45098</v>
      </c>
    </row>
    <row r="453" spans="1:24">
      <c r="A453">
        <f>HYPERLINK("https://www.philgeps.gov.ph/GEPSNONPILOT/Tender/SplashBidNoticeAbstractUI.aspx?menuIndex=3&amp;refID=7044577&amp;Result=3","7044577")</f>
        <v>0</v>
      </c>
      <c r="B453" t="s">
        <v>191</v>
      </c>
      <c r="C453" t="s">
        <v>3628</v>
      </c>
      <c r="D453" t="s">
        <v>18082</v>
      </c>
      <c r="E453" t="s">
        <v>18552</v>
      </c>
      <c r="F453" t="s">
        <v>31574</v>
      </c>
      <c r="G453" t="s">
        <v>31582</v>
      </c>
      <c r="H453" t="s">
        <v>31591</v>
      </c>
      <c r="I453" t="s">
        <v>8822</v>
      </c>
      <c r="J453" t="s">
        <v>31819</v>
      </c>
      <c r="K453" t="s">
        <v>41184</v>
      </c>
      <c r="M453" t="s">
        <v>41676</v>
      </c>
      <c r="N453" t="s">
        <v>45095</v>
      </c>
      <c r="O453" t="s">
        <v>45096</v>
      </c>
      <c r="P453">
        <v>0</v>
      </c>
      <c r="Q453">
        <v>0</v>
      </c>
      <c r="R453" t="s">
        <v>45097</v>
      </c>
      <c r="S453" t="s">
        <v>45222</v>
      </c>
      <c r="T453" t="s">
        <v>46924</v>
      </c>
      <c r="U453" t="s">
        <v>47828</v>
      </c>
      <c r="W453" t="s">
        <v>41676</v>
      </c>
      <c r="X453" t="s">
        <v>45098</v>
      </c>
    </row>
    <row r="454" spans="1:24">
      <c r="A454">
        <f>HYPERLINK("https://www.philgeps.gov.ph/GEPSNONPILOT/Tender/SplashBidNoticeAbstractUI.aspx?menuIndex=3&amp;refID=7044596&amp;Result=3","7044596")</f>
        <v>0</v>
      </c>
      <c r="B454" t="s">
        <v>219</v>
      </c>
      <c r="C454" t="s">
        <v>3629</v>
      </c>
      <c r="D454" t="s">
        <v>18028</v>
      </c>
      <c r="E454" t="s">
        <v>18553</v>
      </c>
      <c r="F454" t="s">
        <v>31574</v>
      </c>
      <c r="G454" t="s">
        <v>31582</v>
      </c>
      <c r="H454" t="s">
        <v>31590</v>
      </c>
      <c r="I454" t="s">
        <v>4046</v>
      </c>
      <c r="J454" t="s">
        <v>32120</v>
      </c>
      <c r="K454" t="s">
        <v>41185</v>
      </c>
      <c r="M454" t="s">
        <v>41704</v>
      </c>
      <c r="N454" t="s">
        <v>45095</v>
      </c>
      <c r="O454" t="s">
        <v>45096</v>
      </c>
      <c r="P454">
        <v>0</v>
      </c>
      <c r="Q454">
        <v>0</v>
      </c>
      <c r="R454" t="s">
        <v>45097</v>
      </c>
      <c r="S454" t="s">
        <v>45222</v>
      </c>
      <c r="T454" t="s">
        <v>46987</v>
      </c>
      <c r="U454" t="s">
        <v>47881</v>
      </c>
      <c r="V454" t="s">
        <v>59888</v>
      </c>
      <c r="W454" t="s">
        <v>41704</v>
      </c>
      <c r="X454" t="s">
        <v>45098</v>
      </c>
    </row>
    <row r="455" spans="1:24">
      <c r="A455">
        <f>HYPERLINK("https://www.philgeps.gov.ph/GEPSNONPILOT/Tender/SplashBidNoticeAbstractUI.aspx?menuIndex=3&amp;refID=7044580&amp;Result=3","7044580")</f>
        <v>0</v>
      </c>
      <c r="B455" t="s">
        <v>220</v>
      </c>
      <c r="C455" t="s">
        <v>3630</v>
      </c>
      <c r="D455" t="s">
        <v>18083</v>
      </c>
      <c r="E455" t="s">
        <v>18554</v>
      </c>
      <c r="F455" t="s">
        <v>31574</v>
      </c>
      <c r="G455" t="s">
        <v>31582</v>
      </c>
      <c r="H455" t="s">
        <v>31591</v>
      </c>
      <c r="I455" t="s">
        <v>8822</v>
      </c>
      <c r="J455" t="s">
        <v>32121</v>
      </c>
      <c r="K455" t="s">
        <v>41198</v>
      </c>
      <c r="M455" t="s">
        <v>41705</v>
      </c>
      <c r="N455" t="s">
        <v>45095</v>
      </c>
      <c r="O455" t="s">
        <v>45096</v>
      </c>
      <c r="P455">
        <v>0</v>
      </c>
      <c r="Q455">
        <v>0</v>
      </c>
      <c r="R455" t="s">
        <v>45097</v>
      </c>
      <c r="S455" t="s">
        <v>45222</v>
      </c>
      <c r="T455" t="s">
        <v>46988</v>
      </c>
      <c r="U455" t="s">
        <v>47882</v>
      </c>
      <c r="W455" t="s">
        <v>41705</v>
      </c>
      <c r="X455" t="s">
        <v>45098</v>
      </c>
    </row>
    <row r="456" spans="1:24">
      <c r="A456">
        <f>HYPERLINK("https://www.philgeps.gov.ph/GEPSNONPILOT/Tender/SplashBidNoticeAbstractUI.aspx?menuIndex=3&amp;refID=7044593&amp;Result=3","7044593")</f>
        <v>0</v>
      </c>
      <c r="B456" t="s">
        <v>182</v>
      </c>
      <c r="C456" t="s">
        <v>3631</v>
      </c>
      <c r="D456" t="s">
        <v>18060</v>
      </c>
      <c r="E456" t="s">
        <v>18555</v>
      </c>
      <c r="F456" t="s">
        <v>31574</v>
      </c>
      <c r="G456" t="s">
        <v>31581</v>
      </c>
      <c r="H456" t="s">
        <v>31590</v>
      </c>
      <c r="I456" t="s">
        <v>8258</v>
      </c>
      <c r="J456" t="s">
        <v>32122</v>
      </c>
      <c r="K456" t="s">
        <v>41190</v>
      </c>
      <c r="M456" t="s">
        <v>41667</v>
      </c>
      <c r="N456" t="s">
        <v>45095</v>
      </c>
      <c r="O456" t="s">
        <v>45096</v>
      </c>
      <c r="P456">
        <v>0</v>
      </c>
      <c r="Q456">
        <v>0</v>
      </c>
      <c r="R456" t="s">
        <v>45097</v>
      </c>
      <c r="S456" t="s">
        <v>45222</v>
      </c>
      <c r="T456" t="s">
        <v>46918</v>
      </c>
      <c r="U456" t="s">
        <v>47883</v>
      </c>
      <c r="W456" t="s">
        <v>41667</v>
      </c>
      <c r="X456" t="s">
        <v>45098</v>
      </c>
    </row>
    <row r="457" spans="1:24">
      <c r="A457">
        <f>HYPERLINK("https://www.philgeps.gov.ph/GEPSNONPILOT/Tender/SplashBidNoticeAbstractUI.aspx?menuIndex=3&amp;refID=7044595&amp;Result=3","7044595")</f>
        <v>0</v>
      </c>
      <c r="B457" t="s">
        <v>221</v>
      </c>
      <c r="C457" t="s">
        <v>3632</v>
      </c>
      <c r="D457" t="s">
        <v>18084</v>
      </c>
      <c r="E457" t="s">
        <v>18374</v>
      </c>
      <c r="F457" t="s">
        <v>31574</v>
      </c>
      <c r="G457" t="s">
        <v>31581</v>
      </c>
      <c r="H457" t="s">
        <v>31590</v>
      </c>
      <c r="I457" t="s">
        <v>3487</v>
      </c>
      <c r="J457" t="s">
        <v>31727</v>
      </c>
      <c r="K457" t="s">
        <v>41190</v>
      </c>
      <c r="M457" t="s">
        <v>41706</v>
      </c>
      <c r="N457" t="s">
        <v>45095</v>
      </c>
      <c r="O457" t="s">
        <v>45096</v>
      </c>
      <c r="P457">
        <v>0</v>
      </c>
      <c r="Q457">
        <v>0</v>
      </c>
      <c r="R457" t="s">
        <v>45097</v>
      </c>
      <c r="S457" t="s">
        <v>45222</v>
      </c>
      <c r="T457" t="s">
        <v>46989</v>
      </c>
      <c r="U457" t="s">
        <v>47884</v>
      </c>
      <c r="W457" t="s">
        <v>41706</v>
      </c>
      <c r="X457" t="s">
        <v>45098</v>
      </c>
    </row>
    <row r="458" spans="1:24">
      <c r="A458">
        <f>HYPERLINK("https://www.philgeps.gov.ph/GEPSNONPILOT/Tender/SplashBidNoticeAbstractUI.aspx?menuIndex=3&amp;refID=7044578&amp;Result=3","7044578")</f>
        <v>0</v>
      </c>
      <c r="B458" t="s">
        <v>222</v>
      </c>
      <c r="C458" t="s">
        <v>3633</v>
      </c>
      <c r="D458" t="s">
        <v>18033</v>
      </c>
      <c r="E458" t="s">
        <v>18556</v>
      </c>
      <c r="F458" t="s">
        <v>31574</v>
      </c>
      <c r="G458" t="s">
        <v>31581</v>
      </c>
      <c r="H458" t="s">
        <v>31590</v>
      </c>
      <c r="I458" t="s">
        <v>4046</v>
      </c>
      <c r="J458" t="s">
        <v>31789</v>
      </c>
      <c r="K458" t="s">
        <v>41186</v>
      </c>
      <c r="M458" t="s">
        <v>41707</v>
      </c>
      <c r="N458" t="s">
        <v>45095</v>
      </c>
      <c r="O458" t="s">
        <v>45096</v>
      </c>
      <c r="P458">
        <v>0</v>
      </c>
      <c r="Q458">
        <v>0</v>
      </c>
      <c r="R458" t="s">
        <v>45097</v>
      </c>
      <c r="S458" t="s">
        <v>45222</v>
      </c>
      <c r="T458" t="s">
        <v>46905</v>
      </c>
      <c r="U458" t="s">
        <v>47885</v>
      </c>
      <c r="W458" t="s">
        <v>41707</v>
      </c>
      <c r="X458" t="s">
        <v>45098</v>
      </c>
    </row>
    <row r="459" spans="1:24">
      <c r="A459">
        <f>HYPERLINK("https://www.philgeps.gov.ph/GEPSNONPILOT/Tender/SplashBidNoticeAbstractUI.aspx?menuIndex=3&amp;refID=7044591&amp;Result=3","7044591")</f>
        <v>0</v>
      </c>
      <c r="B459" t="s">
        <v>223</v>
      </c>
      <c r="C459" t="s">
        <v>3634</v>
      </c>
      <c r="D459" t="s">
        <v>18056</v>
      </c>
      <c r="E459" t="s">
        <v>18557</v>
      </c>
      <c r="F459" t="s">
        <v>31574</v>
      </c>
      <c r="G459" t="s">
        <v>31585</v>
      </c>
      <c r="H459" t="s">
        <v>31591</v>
      </c>
      <c r="I459" t="s">
        <v>8822</v>
      </c>
      <c r="J459" t="s">
        <v>32019</v>
      </c>
      <c r="K459" t="s">
        <v>41192</v>
      </c>
      <c r="M459" t="s">
        <v>41708</v>
      </c>
      <c r="N459" t="s">
        <v>45095</v>
      </c>
      <c r="O459" t="s">
        <v>45096</v>
      </c>
      <c r="P459">
        <v>0</v>
      </c>
      <c r="Q459">
        <v>0</v>
      </c>
      <c r="R459" t="s">
        <v>45097</v>
      </c>
      <c r="S459" t="s">
        <v>45222</v>
      </c>
      <c r="T459" t="s">
        <v>46949</v>
      </c>
      <c r="U459" t="s">
        <v>47886</v>
      </c>
      <c r="V459" t="s">
        <v>59904</v>
      </c>
      <c r="W459" t="s">
        <v>41708</v>
      </c>
      <c r="X459" t="s">
        <v>45098</v>
      </c>
    </row>
    <row r="460" spans="1:24">
      <c r="A460">
        <f>HYPERLINK("https://www.philgeps.gov.ph/GEPSNONPILOT/Tender/SplashBidNoticeAbstractUI.aspx?menuIndex=3&amp;refID=7044592&amp;Result=3","7044592")</f>
        <v>0</v>
      </c>
      <c r="B460" t="s">
        <v>147</v>
      </c>
      <c r="C460" t="s">
        <v>3635</v>
      </c>
      <c r="D460" t="s">
        <v>18022</v>
      </c>
      <c r="E460" t="s">
        <v>18558</v>
      </c>
      <c r="F460" t="s">
        <v>31574</v>
      </c>
      <c r="G460" t="s">
        <v>31582</v>
      </c>
      <c r="H460" t="s">
        <v>31590</v>
      </c>
      <c r="I460" t="s">
        <v>3487</v>
      </c>
      <c r="J460" t="s">
        <v>31947</v>
      </c>
      <c r="K460" t="s">
        <v>41194</v>
      </c>
      <c r="M460" t="s">
        <v>41631</v>
      </c>
      <c r="N460" t="s">
        <v>45095</v>
      </c>
      <c r="O460" t="s">
        <v>45096</v>
      </c>
      <c r="P460">
        <v>0</v>
      </c>
      <c r="Q460">
        <v>0</v>
      </c>
      <c r="R460" t="s">
        <v>45097</v>
      </c>
      <c r="S460" t="s">
        <v>45222</v>
      </c>
      <c r="T460" t="s">
        <v>46990</v>
      </c>
      <c r="U460" t="s">
        <v>47887</v>
      </c>
      <c r="W460" t="s">
        <v>41631</v>
      </c>
      <c r="X460" t="s">
        <v>45098</v>
      </c>
    </row>
    <row r="461" spans="1:24">
      <c r="A461">
        <f>HYPERLINK("https://www.philgeps.gov.ph/GEPSNONPILOT/Tender/SplashBidNoticeAbstractUI.aspx?menuIndex=3&amp;refID=7044599&amp;Result=3","7044599")</f>
        <v>0</v>
      </c>
      <c r="B461" t="s">
        <v>224</v>
      </c>
      <c r="C461" t="s">
        <v>3636</v>
      </c>
      <c r="D461" t="s">
        <v>18040</v>
      </c>
      <c r="E461" t="s">
        <v>18559</v>
      </c>
      <c r="F461" t="s">
        <v>31574</v>
      </c>
      <c r="G461" t="s">
        <v>31581</v>
      </c>
      <c r="H461" t="s">
        <v>31590</v>
      </c>
      <c r="I461" t="s">
        <v>31608</v>
      </c>
      <c r="J461" t="s">
        <v>31724</v>
      </c>
      <c r="K461" t="s">
        <v>41191</v>
      </c>
      <c r="M461" t="s">
        <v>41709</v>
      </c>
      <c r="N461" t="s">
        <v>45095</v>
      </c>
      <c r="O461" t="s">
        <v>45096</v>
      </c>
      <c r="P461">
        <v>0</v>
      </c>
      <c r="Q461">
        <v>0</v>
      </c>
      <c r="R461" t="s">
        <v>45097</v>
      </c>
      <c r="S461" t="s">
        <v>45222</v>
      </c>
      <c r="T461" t="s">
        <v>46913</v>
      </c>
      <c r="U461" t="s">
        <v>47888</v>
      </c>
      <c r="W461" t="s">
        <v>41709</v>
      </c>
      <c r="X461" t="s">
        <v>45098</v>
      </c>
    </row>
    <row r="462" spans="1:24">
      <c r="A462">
        <f>HYPERLINK("https://www.philgeps.gov.ph/GEPSNONPILOT/Tender/SplashBidNoticeAbstractUI.aspx?menuIndex=3&amp;refID=7044598&amp;Result=3","7044598")</f>
        <v>0</v>
      </c>
      <c r="B462" t="s">
        <v>180</v>
      </c>
      <c r="C462" t="s">
        <v>3637</v>
      </c>
      <c r="D462" t="s">
        <v>18066</v>
      </c>
      <c r="E462" t="s">
        <v>18560</v>
      </c>
      <c r="F462" t="s">
        <v>31574</v>
      </c>
      <c r="G462" t="s">
        <v>31582</v>
      </c>
      <c r="H462" t="s">
        <v>31590</v>
      </c>
      <c r="I462" t="s">
        <v>4046</v>
      </c>
      <c r="J462" t="s">
        <v>32123</v>
      </c>
      <c r="K462" t="s">
        <v>41196</v>
      </c>
      <c r="M462" t="s">
        <v>41665</v>
      </c>
      <c r="N462" t="s">
        <v>45095</v>
      </c>
      <c r="O462" t="s">
        <v>45096</v>
      </c>
      <c r="P462">
        <v>0</v>
      </c>
      <c r="Q462">
        <v>0</v>
      </c>
      <c r="R462" t="s">
        <v>45097</v>
      </c>
      <c r="S462" t="s">
        <v>45222</v>
      </c>
      <c r="T462" t="s">
        <v>46977</v>
      </c>
      <c r="U462" t="s">
        <v>47889</v>
      </c>
      <c r="W462" t="s">
        <v>41665</v>
      </c>
      <c r="X462" t="s">
        <v>45098</v>
      </c>
    </row>
    <row r="463" spans="1:24">
      <c r="A463">
        <f>HYPERLINK("https://www.philgeps.gov.ph/GEPSNONPILOT/Tender/SplashBidNoticeAbstractUI.aspx?menuIndex=3&amp;refID=7044574&amp;Result=3","7044574")</f>
        <v>0</v>
      </c>
      <c r="B463" t="s">
        <v>159</v>
      </c>
      <c r="C463" t="s">
        <v>3638</v>
      </c>
      <c r="D463" t="s">
        <v>18046</v>
      </c>
      <c r="E463" t="s">
        <v>18561</v>
      </c>
      <c r="F463" t="s">
        <v>31574</v>
      </c>
      <c r="G463" t="s">
        <v>31582</v>
      </c>
      <c r="H463" t="s">
        <v>31590</v>
      </c>
      <c r="I463" t="s">
        <v>31605</v>
      </c>
      <c r="J463" t="s">
        <v>32124</v>
      </c>
      <c r="K463" t="s">
        <v>41186</v>
      </c>
      <c r="M463" t="s">
        <v>41643</v>
      </c>
      <c r="N463" t="s">
        <v>45095</v>
      </c>
      <c r="O463" t="s">
        <v>45096</v>
      </c>
      <c r="P463">
        <v>0</v>
      </c>
      <c r="Q463">
        <v>0</v>
      </c>
      <c r="R463" t="s">
        <v>45097</v>
      </c>
      <c r="S463" t="s">
        <v>45222</v>
      </c>
      <c r="T463" t="s">
        <v>46914</v>
      </c>
      <c r="U463" t="s">
        <v>47772</v>
      </c>
      <c r="V463" t="s">
        <v>59890</v>
      </c>
      <c r="W463" t="s">
        <v>41643</v>
      </c>
      <c r="X463" t="s">
        <v>45098</v>
      </c>
    </row>
    <row r="464" spans="1:24">
      <c r="A464">
        <f>HYPERLINK("https://www.philgeps.gov.ph/GEPSNONPILOT/Tender/SplashBidNoticeAbstractUI.aspx?menuIndex=3&amp;refID=7044611&amp;Result=3","7044611")</f>
        <v>0</v>
      </c>
      <c r="B464" t="s">
        <v>225</v>
      </c>
      <c r="C464" t="s">
        <v>3639</v>
      </c>
      <c r="D464" t="s">
        <v>18081</v>
      </c>
      <c r="E464" t="s">
        <v>18562</v>
      </c>
      <c r="F464" t="s">
        <v>31574</v>
      </c>
      <c r="G464" t="s">
        <v>31583</v>
      </c>
      <c r="H464" t="s">
        <v>31590</v>
      </c>
      <c r="I464" t="s">
        <v>31608</v>
      </c>
      <c r="J464" t="s">
        <v>31726</v>
      </c>
      <c r="K464" t="s">
        <v>41186</v>
      </c>
      <c r="M464" t="s">
        <v>41710</v>
      </c>
      <c r="N464" t="s">
        <v>45095</v>
      </c>
      <c r="O464" t="s">
        <v>45096</v>
      </c>
      <c r="P464">
        <v>0</v>
      </c>
      <c r="Q464">
        <v>0</v>
      </c>
      <c r="R464" t="s">
        <v>45097</v>
      </c>
      <c r="S464" t="s">
        <v>45222</v>
      </c>
      <c r="T464" t="s">
        <v>46991</v>
      </c>
      <c r="U464" t="s">
        <v>47890</v>
      </c>
      <c r="W464" t="s">
        <v>41710</v>
      </c>
      <c r="X464" t="s">
        <v>45098</v>
      </c>
    </row>
    <row r="465" spans="1:24">
      <c r="A465">
        <f>HYPERLINK("https://www.philgeps.gov.ph/GEPSNONPILOT/Tender/SplashBidNoticeAbstractUI.aspx?menuIndex=3&amp;refID=7044605&amp;Result=3","7044605")</f>
        <v>0</v>
      </c>
      <c r="B465" t="s">
        <v>88</v>
      </c>
      <c r="C465" t="s">
        <v>3640</v>
      </c>
      <c r="D465" t="s">
        <v>18056</v>
      </c>
      <c r="E465" t="s">
        <v>18563</v>
      </c>
      <c r="F465" t="s">
        <v>31574</v>
      </c>
      <c r="G465" t="s">
        <v>31582</v>
      </c>
      <c r="H465" t="s">
        <v>31591</v>
      </c>
      <c r="I465" t="s">
        <v>8822</v>
      </c>
      <c r="J465" t="s">
        <v>32125</v>
      </c>
      <c r="K465" t="s">
        <v>41224</v>
      </c>
      <c r="M465" t="s">
        <v>41572</v>
      </c>
      <c r="N465" t="s">
        <v>45095</v>
      </c>
      <c r="O465" t="s">
        <v>45096</v>
      </c>
      <c r="P465">
        <v>0</v>
      </c>
      <c r="Q465">
        <v>0</v>
      </c>
      <c r="R465" t="s">
        <v>45097</v>
      </c>
      <c r="S465" t="s">
        <v>45222</v>
      </c>
      <c r="T465" t="s">
        <v>46924</v>
      </c>
      <c r="U465" t="s">
        <v>47891</v>
      </c>
      <c r="W465" t="s">
        <v>41572</v>
      </c>
      <c r="X465" t="s">
        <v>45098</v>
      </c>
    </row>
    <row r="466" spans="1:24">
      <c r="A466">
        <f>HYPERLINK("https://www.philgeps.gov.ph/GEPSNONPILOT/Tender/SplashBidNoticeAbstractUI.aspx?menuIndex=3&amp;refID=7044603&amp;Result=3","7044603")</f>
        <v>0</v>
      </c>
      <c r="B466" t="s">
        <v>226</v>
      </c>
      <c r="C466" t="s">
        <v>3641</v>
      </c>
      <c r="D466" t="s">
        <v>18041</v>
      </c>
      <c r="E466" t="s">
        <v>18564</v>
      </c>
      <c r="F466" t="s">
        <v>31574</v>
      </c>
      <c r="G466" t="s">
        <v>31586</v>
      </c>
      <c r="H466" t="s">
        <v>31590</v>
      </c>
      <c r="I466" t="s">
        <v>4046</v>
      </c>
      <c r="J466" t="s">
        <v>31960</v>
      </c>
      <c r="K466" t="s">
        <v>41184</v>
      </c>
      <c r="M466" t="s">
        <v>41711</v>
      </c>
      <c r="N466" t="s">
        <v>45095</v>
      </c>
      <c r="O466" t="s">
        <v>45096</v>
      </c>
      <c r="P466">
        <v>0</v>
      </c>
      <c r="Q466">
        <v>0</v>
      </c>
      <c r="R466" t="s">
        <v>45097</v>
      </c>
      <c r="S466" t="s">
        <v>45222</v>
      </c>
      <c r="T466" t="s">
        <v>46914</v>
      </c>
      <c r="U466" t="s">
        <v>47892</v>
      </c>
      <c r="W466" t="s">
        <v>41711</v>
      </c>
      <c r="X466" t="s">
        <v>45098</v>
      </c>
    </row>
    <row r="467" spans="1:24">
      <c r="A467">
        <f>HYPERLINK("https://www.philgeps.gov.ph/GEPSNONPILOT/Tender/SplashBidNoticeAbstractUI.aspx?menuIndex=3&amp;refID=7044602&amp;Result=3","7044602")</f>
        <v>0</v>
      </c>
      <c r="B467" t="s">
        <v>227</v>
      </c>
      <c r="C467" t="s">
        <v>3642</v>
      </c>
      <c r="D467" t="s">
        <v>18025</v>
      </c>
      <c r="E467" t="s">
        <v>18565</v>
      </c>
      <c r="F467" t="s">
        <v>31574</v>
      </c>
      <c r="G467" t="s">
        <v>31581</v>
      </c>
      <c r="H467" t="s">
        <v>31590</v>
      </c>
      <c r="I467" t="s">
        <v>31612</v>
      </c>
      <c r="J467" t="s">
        <v>32126</v>
      </c>
      <c r="K467" t="s">
        <v>41186</v>
      </c>
      <c r="M467" t="s">
        <v>41712</v>
      </c>
      <c r="N467" t="s">
        <v>45095</v>
      </c>
      <c r="O467" t="s">
        <v>45096</v>
      </c>
      <c r="P467">
        <v>0</v>
      </c>
      <c r="Q467">
        <v>0</v>
      </c>
      <c r="R467" t="s">
        <v>45097</v>
      </c>
      <c r="S467" t="s">
        <v>45222</v>
      </c>
      <c r="T467" t="s">
        <v>46949</v>
      </c>
      <c r="U467" t="s">
        <v>47893</v>
      </c>
      <c r="W467" t="s">
        <v>41712</v>
      </c>
      <c r="X467" t="s">
        <v>45098</v>
      </c>
    </row>
    <row r="468" spans="1:24">
      <c r="A468">
        <f>HYPERLINK("https://www.philgeps.gov.ph/GEPSNONPILOT/Tender/SplashBidNoticeAbstractUI.aspx?menuIndex=3&amp;refID=7044607&amp;Result=3","7044607")</f>
        <v>0</v>
      </c>
      <c r="B468" t="s">
        <v>228</v>
      </c>
      <c r="C468" t="s">
        <v>3643</v>
      </c>
      <c r="D468" t="s">
        <v>18059</v>
      </c>
      <c r="E468" t="s">
        <v>18566</v>
      </c>
      <c r="F468" t="s">
        <v>31575</v>
      </c>
      <c r="G468" t="s">
        <v>31582</v>
      </c>
      <c r="H468" t="s">
        <v>31590</v>
      </c>
      <c r="I468" t="s">
        <v>4046</v>
      </c>
      <c r="J468" t="s">
        <v>32127</v>
      </c>
      <c r="K468" t="s">
        <v>41191</v>
      </c>
      <c r="M468" t="s">
        <v>41713</v>
      </c>
      <c r="N468" t="s">
        <v>45095</v>
      </c>
      <c r="O468" t="s">
        <v>45096</v>
      </c>
      <c r="P468">
        <v>0</v>
      </c>
      <c r="Q468">
        <v>0</v>
      </c>
      <c r="R468" t="s">
        <v>45097</v>
      </c>
      <c r="S468" t="s">
        <v>45222</v>
      </c>
      <c r="T468" t="s">
        <v>46992</v>
      </c>
      <c r="U468" t="s">
        <v>47894</v>
      </c>
      <c r="W468" t="s">
        <v>41713</v>
      </c>
      <c r="X468" t="s">
        <v>45098</v>
      </c>
    </row>
    <row r="469" spans="1:24">
      <c r="A469">
        <f>HYPERLINK("https://www.philgeps.gov.ph/GEPSNONPILOT/Tender/SplashBidNoticeAbstractUI.aspx?menuIndex=3&amp;refID=7044601&amp;Result=3","7044601")</f>
        <v>0</v>
      </c>
      <c r="B469" t="s">
        <v>229</v>
      </c>
      <c r="C469" t="s">
        <v>3644</v>
      </c>
      <c r="D469" t="s">
        <v>18032</v>
      </c>
      <c r="E469" t="s">
        <v>18567</v>
      </c>
      <c r="F469" t="s">
        <v>31574</v>
      </c>
      <c r="G469" t="s">
        <v>31581</v>
      </c>
      <c r="H469" t="s">
        <v>31590</v>
      </c>
      <c r="I469" t="s">
        <v>31597</v>
      </c>
      <c r="J469" t="s">
        <v>32128</v>
      </c>
      <c r="K469" t="s">
        <v>41196</v>
      </c>
      <c r="M469" t="s">
        <v>41714</v>
      </c>
      <c r="N469" t="s">
        <v>45095</v>
      </c>
      <c r="O469" t="s">
        <v>45096</v>
      </c>
      <c r="P469">
        <v>0</v>
      </c>
      <c r="Q469">
        <v>0</v>
      </c>
      <c r="R469" t="s">
        <v>45097</v>
      </c>
      <c r="S469" t="s">
        <v>45222</v>
      </c>
      <c r="T469" t="s">
        <v>46993</v>
      </c>
      <c r="U469" t="s">
        <v>47895</v>
      </c>
      <c r="W469" t="s">
        <v>61657</v>
      </c>
      <c r="X469" t="s">
        <v>45098</v>
      </c>
    </row>
    <row r="470" spans="1:24">
      <c r="A470">
        <f>HYPERLINK("https://www.philgeps.gov.ph/GEPSNONPILOT/Tender/SplashBidNoticeAbstractUI.aspx?menuIndex=3&amp;refID=7044618&amp;Result=3","7044618")</f>
        <v>0</v>
      </c>
      <c r="B470" t="s">
        <v>124</v>
      </c>
      <c r="C470" t="s">
        <v>3645</v>
      </c>
      <c r="D470" t="s">
        <v>18065</v>
      </c>
      <c r="E470" t="s">
        <v>18568</v>
      </c>
      <c r="F470" t="s">
        <v>31574</v>
      </c>
      <c r="G470" t="s">
        <v>31581</v>
      </c>
      <c r="H470" t="s">
        <v>31590</v>
      </c>
      <c r="I470" t="s">
        <v>3539</v>
      </c>
      <c r="J470" t="s">
        <v>32129</v>
      </c>
      <c r="K470" t="s">
        <v>41184</v>
      </c>
      <c r="M470" t="s">
        <v>41608</v>
      </c>
      <c r="N470" t="s">
        <v>45095</v>
      </c>
      <c r="O470" t="s">
        <v>45096</v>
      </c>
      <c r="P470">
        <v>0</v>
      </c>
      <c r="Q470">
        <v>0</v>
      </c>
      <c r="R470" t="s">
        <v>45097</v>
      </c>
      <c r="S470" t="s">
        <v>45222</v>
      </c>
      <c r="T470" t="s">
        <v>46934</v>
      </c>
      <c r="U470" t="s">
        <v>47896</v>
      </c>
      <c r="W470" t="s">
        <v>41608</v>
      </c>
      <c r="X470" t="s">
        <v>45098</v>
      </c>
    </row>
    <row r="471" spans="1:24">
      <c r="A471">
        <f>HYPERLINK("https://www.philgeps.gov.ph/GEPSNONPILOT/Tender/SplashBidNoticeAbstractUI.aspx?menuIndex=3&amp;refID=7044604&amp;Result=3","7044604")</f>
        <v>0</v>
      </c>
      <c r="B471" t="s">
        <v>143</v>
      </c>
      <c r="C471" t="s">
        <v>3646</v>
      </c>
      <c r="D471" t="s">
        <v>18075</v>
      </c>
      <c r="E471" t="s">
        <v>18569</v>
      </c>
      <c r="F471" t="s">
        <v>31574</v>
      </c>
      <c r="G471" t="s">
        <v>31581</v>
      </c>
      <c r="H471" t="s">
        <v>31590</v>
      </c>
      <c r="I471" t="s">
        <v>31608</v>
      </c>
      <c r="J471" t="s">
        <v>31927</v>
      </c>
      <c r="K471" t="s">
        <v>41213</v>
      </c>
      <c r="M471" t="s">
        <v>41627</v>
      </c>
      <c r="N471" t="s">
        <v>45095</v>
      </c>
      <c r="O471" t="s">
        <v>45096</v>
      </c>
      <c r="P471">
        <v>0</v>
      </c>
      <c r="Q471">
        <v>0</v>
      </c>
      <c r="R471" t="s">
        <v>45097</v>
      </c>
      <c r="S471" t="s">
        <v>45222</v>
      </c>
      <c r="T471" t="s">
        <v>46970</v>
      </c>
      <c r="U471" t="s">
        <v>47897</v>
      </c>
      <c r="W471" t="s">
        <v>41627</v>
      </c>
      <c r="X471" t="s">
        <v>45098</v>
      </c>
    </row>
    <row r="472" spans="1:24">
      <c r="A472">
        <f>HYPERLINK("https://www.philgeps.gov.ph/GEPSNONPILOT/Tender/SplashBidNoticeAbstractUI.aspx?menuIndex=3&amp;refID=7044600&amp;Result=3","7044600")</f>
        <v>0</v>
      </c>
      <c r="B472" t="s">
        <v>214</v>
      </c>
      <c r="C472" t="s">
        <v>3647</v>
      </c>
      <c r="D472" t="s">
        <v>18040</v>
      </c>
      <c r="E472" t="s">
        <v>18544</v>
      </c>
      <c r="F472" t="s">
        <v>31574</v>
      </c>
      <c r="G472" t="s">
        <v>31581</v>
      </c>
      <c r="H472" t="s">
        <v>31590</v>
      </c>
      <c r="I472" t="s">
        <v>4354</v>
      </c>
      <c r="J472" t="s">
        <v>32130</v>
      </c>
      <c r="K472" t="s">
        <v>41223</v>
      </c>
      <c r="M472" t="s">
        <v>41699</v>
      </c>
      <c r="N472" t="s">
        <v>45095</v>
      </c>
      <c r="O472" t="s">
        <v>45096</v>
      </c>
      <c r="P472">
        <v>0</v>
      </c>
      <c r="Q472">
        <v>0</v>
      </c>
      <c r="R472" t="s">
        <v>45097</v>
      </c>
      <c r="S472" t="s">
        <v>45222</v>
      </c>
      <c r="T472" t="s">
        <v>46911</v>
      </c>
      <c r="U472" t="s">
        <v>47898</v>
      </c>
      <c r="W472" t="s">
        <v>41699</v>
      </c>
      <c r="X472" t="s">
        <v>45098</v>
      </c>
    </row>
    <row r="473" spans="1:24">
      <c r="A473">
        <f>HYPERLINK("https://www.philgeps.gov.ph/GEPSNONPILOT/Tender/SplashBidNoticeAbstractUI.aspx?menuIndex=3&amp;refID=7044616&amp;Result=3","7044616")</f>
        <v>0</v>
      </c>
      <c r="B473" t="s">
        <v>230</v>
      </c>
      <c r="C473" t="s">
        <v>3648</v>
      </c>
      <c r="D473" t="s">
        <v>18036</v>
      </c>
      <c r="E473" t="s">
        <v>18570</v>
      </c>
      <c r="F473" t="s">
        <v>31574</v>
      </c>
      <c r="G473" t="s">
        <v>31582</v>
      </c>
      <c r="H473" t="s">
        <v>31590</v>
      </c>
      <c r="I473" t="s">
        <v>4046</v>
      </c>
      <c r="J473" t="s">
        <v>31727</v>
      </c>
      <c r="K473" t="s">
        <v>41184</v>
      </c>
      <c r="M473" t="s">
        <v>41715</v>
      </c>
      <c r="N473" t="s">
        <v>45095</v>
      </c>
      <c r="O473" t="s">
        <v>45096</v>
      </c>
      <c r="P473">
        <v>0</v>
      </c>
      <c r="Q473">
        <v>0</v>
      </c>
      <c r="R473" t="s">
        <v>45097</v>
      </c>
      <c r="S473" t="s">
        <v>45222</v>
      </c>
      <c r="T473" t="s">
        <v>46984</v>
      </c>
      <c r="U473" t="s">
        <v>47899</v>
      </c>
      <c r="W473" t="s">
        <v>41715</v>
      </c>
      <c r="X473" t="s">
        <v>45098</v>
      </c>
    </row>
    <row r="474" spans="1:24">
      <c r="A474">
        <f>HYPERLINK("https://www.philgeps.gov.ph/GEPSNONPILOT/Tender/SplashBidNoticeAbstractUI.aspx?menuIndex=3&amp;refID=7044615&amp;Result=3","7044615")</f>
        <v>0</v>
      </c>
      <c r="B474" t="s">
        <v>231</v>
      </c>
      <c r="C474" t="s">
        <v>3649</v>
      </c>
      <c r="E474" t="s">
        <v>18571</v>
      </c>
      <c r="F474" t="s">
        <v>31574</v>
      </c>
      <c r="G474" t="s">
        <v>31582</v>
      </c>
      <c r="H474" t="s">
        <v>31590</v>
      </c>
      <c r="I474" t="s">
        <v>14544</v>
      </c>
      <c r="J474" t="s">
        <v>31947</v>
      </c>
      <c r="K474" t="s">
        <v>41193</v>
      </c>
      <c r="M474" t="s">
        <v>41716</v>
      </c>
      <c r="N474" t="s">
        <v>45095</v>
      </c>
      <c r="O474" t="s">
        <v>45096</v>
      </c>
      <c r="P474">
        <v>0</v>
      </c>
      <c r="Q474">
        <v>0</v>
      </c>
      <c r="R474" t="s">
        <v>45097</v>
      </c>
      <c r="S474" t="s">
        <v>45222</v>
      </c>
      <c r="T474" t="s">
        <v>46926</v>
      </c>
      <c r="U474" t="s">
        <v>47900</v>
      </c>
      <c r="W474" t="s">
        <v>41716</v>
      </c>
      <c r="X474" t="s">
        <v>45098</v>
      </c>
    </row>
    <row r="475" spans="1:24">
      <c r="A475">
        <f>HYPERLINK("https://www.philgeps.gov.ph/GEPSNONPILOT/Tender/SplashBidNoticeAbstractUI.aspx?menuIndex=3&amp;refID=7044617&amp;Result=3","7044617")</f>
        <v>0</v>
      </c>
      <c r="B475" t="s">
        <v>232</v>
      </c>
      <c r="C475" t="s">
        <v>3650</v>
      </c>
      <c r="D475" t="s">
        <v>18040</v>
      </c>
      <c r="E475" t="s">
        <v>18572</v>
      </c>
      <c r="F475" t="s">
        <v>31574</v>
      </c>
      <c r="G475" t="s">
        <v>31581</v>
      </c>
      <c r="H475" t="s">
        <v>31590</v>
      </c>
      <c r="I475" t="s">
        <v>31605</v>
      </c>
      <c r="J475" t="s">
        <v>32131</v>
      </c>
      <c r="K475" t="s">
        <v>41212</v>
      </c>
      <c r="M475" t="s">
        <v>41717</v>
      </c>
      <c r="N475" t="s">
        <v>45095</v>
      </c>
      <c r="O475" t="s">
        <v>45096</v>
      </c>
      <c r="P475">
        <v>0</v>
      </c>
      <c r="Q475">
        <v>0</v>
      </c>
      <c r="R475" t="s">
        <v>45097</v>
      </c>
      <c r="S475" t="s">
        <v>45222</v>
      </c>
      <c r="T475" t="s">
        <v>46920</v>
      </c>
      <c r="U475" t="s">
        <v>47901</v>
      </c>
      <c r="W475" t="s">
        <v>41717</v>
      </c>
      <c r="X475" t="s">
        <v>45098</v>
      </c>
    </row>
    <row r="476" spans="1:24">
      <c r="A476">
        <f>HYPERLINK("https://www.philgeps.gov.ph/GEPSNONPILOT/Tender/SplashBidNoticeAbstractUI.aspx?menuIndex=3&amp;refID=7044613&amp;Result=3","7044613")</f>
        <v>0</v>
      </c>
      <c r="B476" t="s">
        <v>233</v>
      </c>
      <c r="C476" t="s">
        <v>3651</v>
      </c>
      <c r="D476" t="s">
        <v>18052</v>
      </c>
      <c r="E476" t="s">
        <v>18573</v>
      </c>
      <c r="F476" t="s">
        <v>31574</v>
      </c>
      <c r="G476" t="s">
        <v>31582</v>
      </c>
      <c r="H476" t="s">
        <v>31590</v>
      </c>
      <c r="I476" t="s">
        <v>3651</v>
      </c>
      <c r="J476" t="s">
        <v>32132</v>
      </c>
      <c r="K476" t="s">
        <v>41190</v>
      </c>
      <c r="M476" t="s">
        <v>41718</v>
      </c>
      <c r="N476" t="s">
        <v>45095</v>
      </c>
      <c r="O476" t="s">
        <v>45096</v>
      </c>
      <c r="P476">
        <v>0</v>
      </c>
      <c r="Q476">
        <v>0</v>
      </c>
      <c r="R476" t="s">
        <v>45097</v>
      </c>
      <c r="S476" t="s">
        <v>45222</v>
      </c>
      <c r="T476" t="s">
        <v>46916</v>
      </c>
      <c r="U476" t="s">
        <v>47902</v>
      </c>
      <c r="W476" t="s">
        <v>41718</v>
      </c>
      <c r="X476" t="s">
        <v>45098</v>
      </c>
    </row>
    <row r="477" spans="1:24">
      <c r="A477">
        <f>HYPERLINK("https://www.philgeps.gov.ph/GEPSNONPILOT/Tender/SplashBidNoticeAbstractUI.aspx?menuIndex=3&amp;refID=7044614&amp;Result=3","7044614")</f>
        <v>0</v>
      </c>
      <c r="B477" t="s">
        <v>128</v>
      </c>
      <c r="C477" t="s">
        <v>3652</v>
      </c>
      <c r="D477" t="s">
        <v>18023</v>
      </c>
      <c r="E477" t="s">
        <v>18574</v>
      </c>
      <c r="F477" t="s">
        <v>31574</v>
      </c>
      <c r="G477" t="s">
        <v>31582</v>
      </c>
      <c r="H477" t="s">
        <v>31591</v>
      </c>
      <c r="I477" t="s">
        <v>8822</v>
      </c>
      <c r="J477" t="s">
        <v>31845</v>
      </c>
      <c r="K477" t="s">
        <v>41186</v>
      </c>
      <c r="M477" t="s">
        <v>41612</v>
      </c>
      <c r="N477" t="s">
        <v>45095</v>
      </c>
      <c r="O477" t="s">
        <v>45096</v>
      </c>
      <c r="P477">
        <v>0</v>
      </c>
      <c r="Q477">
        <v>0</v>
      </c>
      <c r="R477" t="s">
        <v>45097</v>
      </c>
      <c r="S477" t="s">
        <v>45222</v>
      </c>
      <c r="T477" t="s">
        <v>46935</v>
      </c>
      <c r="U477" t="s">
        <v>47903</v>
      </c>
      <c r="W477" t="s">
        <v>41612</v>
      </c>
      <c r="X477" t="s">
        <v>45098</v>
      </c>
    </row>
    <row r="478" spans="1:24">
      <c r="A478">
        <f>HYPERLINK("https://www.philgeps.gov.ph/GEPSNONPILOT/Tender/SplashBidNoticeAbstractUI.aspx?menuIndex=3&amp;refID=7044619&amp;Result=3","7044619")</f>
        <v>0</v>
      </c>
      <c r="B478" t="s">
        <v>234</v>
      </c>
      <c r="C478" t="s">
        <v>3653</v>
      </c>
      <c r="D478" t="s">
        <v>18043</v>
      </c>
      <c r="E478" t="s">
        <v>18575</v>
      </c>
      <c r="F478" t="s">
        <v>31574</v>
      </c>
      <c r="G478" t="s">
        <v>31583</v>
      </c>
      <c r="H478" t="s">
        <v>31590</v>
      </c>
      <c r="I478" t="s">
        <v>5717</v>
      </c>
      <c r="J478" t="s">
        <v>32133</v>
      </c>
      <c r="K478" t="s">
        <v>41211</v>
      </c>
      <c r="M478" t="s">
        <v>41719</v>
      </c>
      <c r="N478" t="s">
        <v>45095</v>
      </c>
      <c r="O478" t="s">
        <v>45096</v>
      </c>
      <c r="P478">
        <v>0</v>
      </c>
      <c r="Q478">
        <v>0</v>
      </c>
      <c r="R478" t="s">
        <v>45097</v>
      </c>
      <c r="S478" t="s">
        <v>45222</v>
      </c>
      <c r="T478" t="s">
        <v>46911</v>
      </c>
      <c r="U478" t="s">
        <v>47904</v>
      </c>
      <c r="W478" t="s">
        <v>41719</v>
      </c>
      <c r="X478" t="s">
        <v>45098</v>
      </c>
    </row>
    <row r="479" spans="1:24">
      <c r="A479">
        <f>HYPERLINK("https://www.philgeps.gov.ph/GEPSNONPILOT/Tender/SplashBidNoticeAbstractUI.aspx?menuIndex=3&amp;refID=7044610&amp;Result=3","7044610")</f>
        <v>0</v>
      </c>
      <c r="B479" t="s">
        <v>159</v>
      </c>
      <c r="C479" t="s">
        <v>3654</v>
      </c>
      <c r="D479" t="s">
        <v>18046</v>
      </c>
      <c r="E479" t="s">
        <v>18576</v>
      </c>
      <c r="F479" t="s">
        <v>31574</v>
      </c>
      <c r="G479" t="s">
        <v>31582</v>
      </c>
      <c r="H479" t="s">
        <v>31590</v>
      </c>
      <c r="I479" t="s">
        <v>31605</v>
      </c>
      <c r="J479" t="s">
        <v>32134</v>
      </c>
      <c r="K479" t="s">
        <v>41186</v>
      </c>
      <c r="M479" t="s">
        <v>41643</v>
      </c>
      <c r="N479" t="s">
        <v>45095</v>
      </c>
      <c r="O479" t="s">
        <v>45096</v>
      </c>
      <c r="P479">
        <v>0</v>
      </c>
      <c r="Q479">
        <v>0</v>
      </c>
      <c r="R479" t="s">
        <v>45097</v>
      </c>
      <c r="S479" t="s">
        <v>45222</v>
      </c>
      <c r="T479" t="s">
        <v>46914</v>
      </c>
      <c r="U479" t="s">
        <v>47772</v>
      </c>
      <c r="V479" t="s">
        <v>59890</v>
      </c>
      <c r="W479" t="s">
        <v>41643</v>
      </c>
      <c r="X479" t="s">
        <v>45098</v>
      </c>
    </row>
    <row r="480" spans="1:24">
      <c r="A480">
        <f>HYPERLINK("https://www.philgeps.gov.ph/GEPSNONPILOT/Tender/SplashBidNoticeAbstractUI.aspx?menuIndex=3&amp;refID=7044629&amp;Result=3","7044629")</f>
        <v>0</v>
      </c>
      <c r="B480" t="s">
        <v>235</v>
      </c>
      <c r="C480" t="s">
        <v>3655</v>
      </c>
      <c r="D480" t="s">
        <v>18047</v>
      </c>
      <c r="E480" t="s">
        <v>18577</v>
      </c>
      <c r="F480" t="s">
        <v>31574</v>
      </c>
      <c r="G480" t="s">
        <v>31582</v>
      </c>
      <c r="H480" t="s">
        <v>31591</v>
      </c>
      <c r="I480" t="s">
        <v>8822</v>
      </c>
      <c r="J480" t="s">
        <v>32135</v>
      </c>
      <c r="K480" t="s">
        <v>41196</v>
      </c>
      <c r="M480" t="s">
        <v>41720</v>
      </c>
      <c r="N480" t="s">
        <v>45095</v>
      </c>
      <c r="O480" t="s">
        <v>45096</v>
      </c>
      <c r="P480">
        <v>0</v>
      </c>
      <c r="Q480">
        <v>0</v>
      </c>
      <c r="R480" t="s">
        <v>45097</v>
      </c>
      <c r="S480" t="s">
        <v>45222</v>
      </c>
      <c r="T480" t="s">
        <v>46914</v>
      </c>
      <c r="U480" t="s">
        <v>47905</v>
      </c>
      <c r="W480" t="s">
        <v>41720</v>
      </c>
      <c r="X480" t="s">
        <v>45098</v>
      </c>
    </row>
    <row r="481" spans="1:24">
      <c r="A481">
        <f>HYPERLINK("https://www.philgeps.gov.ph/GEPSNONPILOT/Tender/SplashBidNoticeAbstractUI.aspx?menuIndex=3&amp;refID=7044628&amp;Result=3","7044628")</f>
        <v>0</v>
      </c>
      <c r="B481" t="s">
        <v>161</v>
      </c>
      <c r="C481" t="s">
        <v>3656</v>
      </c>
      <c r="D481" t="s">
        <v>18085</v>
      </c>
      <c r="E481" t="s">
        <v>18578</v>
      </c>
      <c r="F481" t="s">
        <v>31574</v>
      </c>
      <c r="G481" t="s">
        <v>31581</v>
      </c>
      <c r="H481" t="s">
        <v>31590</v>
      </c>
      <c r="I481" t="s">
        <v>3539</v>
      </c>
      <c r="J481" t="s">
        <v>32136</v>
      </c>
      <c r="K481" t="s">
        <v>41184</v>
      </c>
      <c r="M481" t="s">
        <v>41721</v>
      </c>
      <c r="N481" t="s">
        <v>45095</v>
      </c>
      <c r="O481" t="s">
        <v>45096</v>
      </c>
      <c r="P481">
        <v>0</v>
      </c>
      <c r="Q481">
        <v>0</v>
      </c>
      <c r="R481" t="s">
        <v>45097</v>
      </c>
      <c r="S481" t="s">
        <v>45222</v>
      </c>
      <c r="T481" t="s">
        <v>46913</v>
      </c>
      <c r="U481" t="s">
        <v>47906</v>
      </c>
      <c r="W481" t="s">
        <v>41721</v>
      </c>
      <c r="X481" t="s">
        <v>45098</v>
      </c>
    </row>
    <row r="482" spans="1:24">
      <c r="A482">
        <f>HYPERLINK("https://www.philgeps.gov.ph/GEPSNONPILOT/Tender/SplashBidNoticeAbstractUI.aspx?menuIndex=3&amp;refID=7044620&amp;Result=3","7044620")</f>
        <v>0</v>
      </c>
      <c r="B482" t="s">
        <v>125</v>
      </c>
      <c r="C482" t="s">
        <v>3657</v>
      </c>
      <c r="D482" t="s">
        <v>18039</v>
      </c>
      <c r="E482" t="s">
        <v>18579</v>
      </c>
      <c r="F482" t="s">
        <v>31574</v>
      </c>
      <c r="G482" t="s">
        <v>31581</v>
      </c>
      <c r="H482" t="s">
        <v>31590</v>
      </c>
      <c r="I482" t="s">
        <v>31598</v>
      </c>
      <c r="J482" t="s">
        <v>32137</v>
      </c>
      <c r="K482" t="s">
        <v>41184</v>
      </c>
      <c r="M482" t="s">
        <v>41609</v>
      </c>
      <c r="N482" t="s">
        <v>45095</v>
      </c>
      <c r="O482" t="s">
        <v>45096</v>
      </c>
      <c r="P482">
        <v>0</v>
      </c>
      <c r="Q482">
        <v>0</v>
      </c>
      <c r="R482" t="s">
        <v>45097</v>
      </c>
      <c r="S482" t="s">
        <v>45222</v>
      </c>
      <c r="T482" t="s">
        <v>46904</v>
      </c>
      <c r="U482" t="s">
        <v>47746</v>
      </c>
      <c r="W482" t="s">
        <v>41609</v>
      </c>
      <c r="X482" t="s">
        <v>45098</v>
      </c>
    </row>
    <row r="483" spans="1:24">
      <c r="A483">
        <f>HYPERLINK("https://www.philgeps.gov.ph/GEPSNONPILOT/Tender/SplashBidNoticeAbstractUI.aspx?menuIndex=3&amp;refID=7044626&amp;Result=3","7044626")</f>
        <v>0</v>
      </c>
      <c r="B483" t="s">
        <v>232</v>
      </c>
      <c r="C483" t="s">
        <v>3658</v>
      </c>
      <c r="D483" t="s">
        <v>18040</v>
      </c>
      <c r="E483" t="s">
        <v>18580</v>
      </c>
      <c r="F483" t="s">
        <v>31574</v>
      </c>
      <c r="G483" t="s">
        <v>31581</v>
      </c>
      <c r="H483" t="s">
        <v>31590</v>
      </c>
      <c r="I483" t="s">
        <v>31643</v>
      </c>
      <c r="J483" t="s">
        <v>32138</v>
      </c>
      <c r="K483" t="s">
        <v>41197</v>
      </c>
      <c r="M483" t="s">
        <v>41717</v>
      </c>
      <c r="N483" t="s">
        <v>45095</v>
      </c>
      <c r="O483" t="s">
        <v>45096</v>
      </c>
      <c r="P483">
        <v>0</v>
      </c>
      <c r="Q483">
        <v>0</v>
      </c>
      <c r="R483" t="s">
        <v>45097</v>
      </c>
      <c r="S483" t="s">
        <v>45222</v>
      </c>
      <c r="T483" t="s">
        <v>46920</v>
      </c>
      <c r="U483" t="s">
        <v>47907</v>
      </c>
      <c r="W483" t="s">
        <v>41717</v>
      </c>
      <c r="X483" t="s">
        <v>45098</v>
      </c>
    </row>
    <row r="484" spans="1:24">
      <c r="A484">
        <f>HYPERLINK("https://www.philgeps.gov.ph/GEPSNONPILOT/Tender/SplashBidNoticeAbstractUI.aspx?menuIndex=3&amp;refID=7044630&amp;Result=3","7044630")</f>
        <v>0</v>
      </c>
      <c r="B484" t="s">
        <v>124</v>
      </c>
      <c r="C484" t="s">
        <v>3659</v>
      </c>
      <c r="D484" t="s">
        <v>18065</v>
      </c>
      <c r="E484" t="s">
        <v>18581</v>
      </c>
      <c r="F484" t="s">
        <v>31574</v>
      </c>
      <c r="G484" t="s">
        <v>31581</v>
      </c>
      <c r="H484" t="s">
        <v>31590</v>
      </c>
      <c r="I484" t="s">
        <v>4046</v>
      </c>
      <c r="J484" t="s">
        <v>32139</v>
      </c>
      <c r="K484" t="s">
        <v>41184</v>
      </c>
      <c r="M484" t="s">
        <v>41608</v>
      </c>
      <c r="N484" t="s">
        <v>45095</v>
      </c>
      <c r="O484" t="s">
        <v>45096</v>
      </c>
      <c r="P484">
        <v>0</v>
      </c>
      <c r="Q484">
        <v>0</v>
      </c>
      <c r="R484" t="s">
        <v>45097</v>
      </c>
      <c r="S484" t="s">
        <v>45222</v>
      </c>
      <c r="T484" t="s">
        <v>46934</v>
      </c>
      <c r="U484" t="s">
        <v>47908</v>
      </c>
      <c r="W484" t="s">
        <v>41608</v>
      </c>
      <c r="X484" t="s">
        <v>45098</v>
      </c>
    </row>
    <row r="485" spans="1:24">
      <c r="A485">
        <f>HYPERLINK("https://www.philgeps.gov.ph/GEPSNONPILOT/Tender/SplashBidNoticeAbstractUI.aspx?menuIndex=3&amp;refID=7044627&amp;Result=3","7044627")</f>
        <v>0</v>
      </c>
      <c r="B485" t="s">
        <v>76</v>
      </c>
      <c r="C485" t="s">
        <v>3660</v>
      </c>
      <c r="D485" t="s">
        <v>18035</v>
      </c>
      <c r="E485" t="s">
        <v>18582</v>
      </c>
      <c r="F485" t="s">
        <v>31574</v>
      </c>
      <c r="G485" t="s">
        <v>31581</v>
      </c>
      <c r="H485" t="s">
        <v>31590</v>
      </c>
      <c r="I485" t="s">
        <v>31616</v>
      </c>
      <c r="J485" t="s">
        <v>32140</v>
      </c>
      <c r="K485" t="s">
        <v>41184</v>
      </c>
      <c r="L485" t="s">
        <v>76</v>
      </c>
      <c r="M485" t="s">
        <v>41560</v>
      </c>
      <c r="N485" t="s">
        <v>45095</v>
      </c>
      <c r="O485" t="s">
        <v>45096</v>
      </c>
      <c r="P485">
        <v>0</v>
      </c>
      <c r="Q485">
        <v>0</v>
      </c>
      <c r="R485" t="s">
        <v>45097</v>
      </c>
      <c r="S485" t="s">
        <v>45222</v>
      </c>
      <c r="T485" t="s">
        <v>46904</v>
      </c>
      <c r="U485" t="s">
        <v>47575</v>
      </c>
      <c r="W485" t="s">
        <v>41560</v>
      </c>
      <c r="X485" t="s">
        <v>45098</v>
      </c>
    </row>
    <row r="486" spans="1:24">
      <c r="A486">
        <f>HYPERLINK("https://www.philgeps.gov.ph/GEPSNONPILOT/Tender/SplashBidNoticeAbstractUI.aspx?menuIndex=3&amp;refID=7044622&amp;Result=3","7044622")</f>
        <v>0</v>
      </c>
      <c r="B486" t="s">
        <v>159</v>
      </c>
      <c r="C486" t="s">
        <v>3661</v>
      </c>
      <c r="D486" t="s">
        <v>18046</v>
      </c>
      <c r="E486" t="s">
        <v>18583</v>
      </c>
      <c r="F486" t="s">
        <v>31574</v>
      </c>
      <c r="G486" t="s">
        <v>31582</v>
      </c>
      <c r="H486" t="s">
        <v>31590</v>
      </c>
      <c r="I486" t="s">
        <v>31605</v>
      </c>
      <c r="J486" t="s">
        <v>32141</v>
      </c>
      <c r="K486" t="s">
        <v>41186</v>
      </c>
      <c r="M486" t="s">
        <v>41643</v>
      </c>
      <c r="N486" t="s">
        <v>45095</v>
      </c>
      <c r="O486" t="s">
        <v>45096</v>
      </c>
      <c r="P486">
        <v>0</v>
      </c>
      <c r="Q486">
        <v>0</v>
      </c>
      <c r="R486" t="s">
        <v>45097</v>
      </c>
      <c r="S486" t="s">
        <v>45222</v>
      </c>
      <c r="T486" t="s">
        <v>46914</v>
      </c>
      <c r="U486" t="s">
        <v>47772</v>
      </c>
      <c r="V486" t="s">
        <v>59890</v>
      </c>
      <c r="W486" t="s">
        <v>41643</v>
      </c>
      <c r="X486" t="s">
        <v>45098</v>
      </c>
    </row>
    <row r="487" spans="1:24">
      <c r="A487">
        <f>HYPERLINK("https://www.philgeps.gov.ph/GEPSNONPILOT/Tender/SplashBidNoticeAbstractUI.aspx?menuIndex=3&amp;refID=7044639&amp;Result=3","7044639")</f>
        <v>0</v>
      </c>
      <c r="B487" t="s">
        <v>159</v>
      </c>
      <c r="C487" t="s">
        <v>3662</v>
      </c>
      <c r="D487" t="s">
        <v>18046</v>
      </c>
      <c r="E487" t="s">
        <v>18584</v>
      </c>
      <c r="F487" t="s">
        <v>31574</v>
      </c>
      <c r="G487" t="s">
        <v>31582</v>
      </c>
      <c r="H487" t="s">
        <v>31590</v>
      </c>
      <c r="I487" t="s">
        <v>4046</v>
      </c>
      <c r="J487" t="s">
        <v>32142</v>
      </c>
      <c r="K487" t="s">
        <v>41186</v>
      </c>
      <c r="M487" t="s">
        <v>41643</v>
      </c>
      <c r="N487" t="s">
        <v>45095</v>
      </c>
      <c r="O487" t="s">
        <v>45096</v>
      </c>
      <c r="P487">
        <v>0</v>
      </c>
      <c r="Q487">
        <v>0</v>
      </c>
      <c r="R487" t="s">
        <v>45097</v>
      </c>
      <c r="S487" t="s">
        <v>45222</v>
      </c>
      <c r="T487" t="s">
        <v>46914</v>
      </c>
      <c r="U487" t="s">
        <v>47772</v>
      </c>
      <c r="V487" t="s">
        <v>59890</v>
      </c>
      <c r="W487" t="s">
        <v>41643</v>
      </c>
      <c r="X487" t="s">
        <v>45098</v>
      </c>
    </row>
    <row r="488" spans="1:24">
      <c r="A488">
        <f>HYPERLINK("https://www.philgeps.gov.ph/GEPSNONPILOT/Tender/SplashBidNoticeAbstractUI.aspx?menuIndex=3&amp;refID=7044624&amp;Result=3","7044624")</f>
        <v>0</v>
      </c>
      <c r="B488" t="s">
        <v>236</v>
      </c>
      <c r="C488" t="s">
        <v>3663</v>
      </c>
      <c r="D488" t="s">
        <v>18063</v>
      </c>
      <c r="E488" t="s">
        <v>18585</v>
      </c>
      <c r="F488" t="s">
        <v>31574</v>
      </c>
      <c r="G488" t="s">
        <v>31581</v>
      </c>
      <c r="H488" t="s">
        <v>31590</v>
      </c>
      <c r="I488" t="s">
        <v>6800</v>
      </c>
      <c r="J488" t="s">
        <v>32143</v>
      </c>
      <c r="K488" t="s">
        <v>41186</v>
      </c>
      <c r="M488" t="s">
        <v>41722</v>
      </c>
      <c r="N488" t="s">
        <v>45095</v>
      </c>
      <c r="O488" t="s">
        <v>45096</v>
      </c>
      <c r="P488">
        <v>0</v>
      </c>
      <c r="Q488">
        <v>0</v>
      </c>
      <c r="R488" t="s">
        <v>45097</v>
      </c>
      <c r="S488" t="s">
        <v>45222</v>
      </c>
      <c r="T488" t="s">
        <v>46961</v>
      </c>
      <c r="U488" t="s">
        <v>47909</v>
      </c>
      <c r="W488" t="s">
        <v>41722</v>
      </c>
      <c r="X488" t="s">
        <v>45098</v>
      </c>
    </row>
    <row r="489" spans="1:24">
      <c r="A489">
        <f>HYPERLINK("https://www.philgeps.gov.ph/GEPSNONPILOT/Tender/SplashBidNoticeAbstractUI.aspx?menuIndex=3&amp;refID=7044640&amp;Result=3","7044640")</f>
        <v>0</v>
      </c>
      <c r="B489" t="s">
        <v>220</v>
      </c>
      <c r="C489" t="s">
        <v>3664</v>
      </c>
      <c r="D489" t="s">
        <v>18083</v>
      </c>
      <c r="E489" t="s">
        <v>18586</v>
      </c>
      <c r="F489" t="s">
        <v>31574</v>
      </c>
      <c r="G489" t="s">
        <v>31582</v>
      </c>
      <c r="H489" t="s">
        <v>31591</v>
      </c>
      <c r="I489" t="s">
        <v>31601</v>
      </c>
      <c r="J489" t="s">
        <v>31771</v>
      </c>
      <c r="K489" t="s">
        <v>41198</v>
      </c>
      <c r="M489" t="s">
        <v>41705</v>
      </c>
      <c r="N489" t="s">
        <v>45095</v>
      </c>
      <c r="O489" t="s">
        <v>45096</v>
      </c>
      <c r="P489">
        <v>0</v>
      </c>
      <c r="Q489">
        <v>0</v>
      </c>
      <c r="R489" t="s">
        <v>45097</v>
      </c>
      <c r="S489" t="s">
        <v>45222</v>
      </c>
      <c r="T489" t="s">
        <v>46965</v>
      </c>
      <c r="U489" t="s">
        <v>47910</v>
      </c>
      <c r="W489" t="s">
        <v>41705</v>
      </c>
      <c r="X489" t="s">
        <v>45098</v>
      </c>
    </row>
    <row r="490" spans="1:24">
      <c r="A490">
        <f>HYPERLINK("https://www.philgeps.gov.ph/GEPSNONPILOT/Tender/SplashBidNoticeAbstractUI.aspx?menuIndex=3&amp;refID=7044638&amp;Result=3","7044638")</f>
        <v>0</v>
      </c>
      <c r="B490" t="s">
        <v>189</v>
      </c>
      <c r="C490" t="s">
        <v>3560</v>
      </c>
      <c r="D490" t="s">
        <v>18081</v>
      </c>
      <c r="E490" t="s">
        <v>18587</v>
      </c>
      <c r="F490" t="s">
        <v>31574</v>
      </c>
      <c r="G490" t="s">
        <v>31581</v>
      </c>
      <c r="H490" t="s">
        <v>31590</v>
      </c>
      <c r="I490" t="s">
        <v>31594</v>
      </c>
      <c r="J490" t="s">
        <v>32144</v>
      </c>
      <c r="K490" t="s">
        <v>41196</v>
      </c>
      <c r="M490" t="s">
        <v>41674</v>
      </c>
      <c r="N490" t="s">
        <v>45095</v>
      </c>
      <c r="O490" t="s">
        <v>45096</v>
      </c>
      <c r="P490">
        <v>0</v>
      </c>
      <c r="Q490">
        <v>0</v>
      </c>
      <c r="R490" t="s">
        <v>45097</v>
      </c>
      <c r="S490" t="s">
        <v>45222</v>
      </c>
      <c r="T490" t="s">
        <v>46961</v>
      </c>
      <c r="U490" t="s">
        <v>47911</v>
      </c>
      <c r="V490" t="s">
        <v>59898</v>
      </c>
      <c r="W490" t="s">
        <v>41674</v>
      </c>
      <c r="X490" t="s">
        <v>45098</v>
      </c>
    </row>
    <row r="491" spans="1:24">
      <c r="A491">
        <f>HYPERLINK("https://www.philgeps.gov.ph/GEPSNONPILOT/Tender/SplashBidNoticeAbstractUI.aspx?menuIndex=3&amp;refID=7044623&amp;Result=3","7044623")</f>
        <v>0</v>
      </c>
      <c r="B491" t="s">
        <v>237</v>
      </c>
      <c r="C491" t="s">
        <v>3665</v>
      </c>
      <c r="D491" t="s">
        <v>18059</v>
      </c>
      <c r="E491" t="s">
        <v>18588</v>
      </c>
      <c r="F491" t="s">
        <v>31574</v>
      </c>
      <c r="G491" t="s">
        <v>31582</v>
      </c>
      <c r="H491" t="s">
        <v>31590</v>
      </c>
      <c r="I491" t="s">
        <v>4046</v>
      </c>
      <c r="J491" t="s">
        <v>32145</v>
      </c>
      <c r="K491" t="s">
        <v>41184</v>
      </c>
      <c r="M491" t="s">
        <v>41723</v>
      </c>
      <c r="N491" t="s">
        <v>45095</v>
      </c>
      <c r="O491" t="s">
        <v>45096</v>
      </c>
      <c r="P491">
        <v>0</v>
      </c>
      <c r="Q491">
        <v>0</v>
      </c>
      <c r="R491" t="s">
        <v>45097</v>
      </c>
      <c r="S491" t="s">
        <v>45222</v>
      </c>
      <c r="T491" t="s">
        <v>46994</v>
      </c>
      <c r="U491" t="s">
        <v>47912</v>
      </c>
      <c r="W491" t="s">
        <v>41723</v>
      </c>
      <c r="X491" t="s">
        <v>45098</v>
      </c>
    </row>
    <row r="492" spans="1:24">
      <c r="A492">
        <f>HYPERLINK("https://www.philgeps.gov.ph/GEPSNONPILOT/Tender/SplashBidNoticeAbstractUI.aspx?menuIndex=3&amp;refID=7044642&amp;Result=3","7044642")</f>
        <v>0</v>
      </c>
      <c r="B492" t="s">
        <v>217</v>
      </c>
      <c r="C492" t="s">
        <v>3666</v>
      </c>
      <c r="D492" t="s">
        <v>18081</v>
      </c>
      <c r="E492" t="s">
        <v>18589</v>
      </c>
      <c r="F492" t="s">
        <v>31574</v>
      </c>
      <c r="G492" t="s">
        <v>31582</v>
      </c>
      <c r="H492" t="s">
        <v>31590</v>
      </c>
      <c r="I492" t="s">
        <v>3489</v>
      </c>
      <c r="J492" t="s">
        <v>32146</v>
      </c>
      <c r="K492" t="s">
        <v>41194</v>
      </c>
      <c r="M492" t="s">
        <v>41702</v>
      </c>
      <c r="N492" t="s">
        <v>45095</v>
      </c>
      <c r="O492" t="s">
        <v>45096</v>
      </c>
      <c r="P492">
        <v>0</v>
      </c>
      <c r="Q492">
        <v>0</v>
      </c>
      <c r="R492" t="s">
        <v>45097</v>
      </c>
      <c r="S492" t="s">
        <v>45222</v>
      </c>
      <c r="T492" t="s">
        <v>46995</v>
      </c>
      <c r="U492" t="s">
        <v>47913</v>
      </c>
      <c r="W492" t="s">
        <v>41702</v>
      </c>
      <c r="X492" t="s">
        <v>45098</v>
      </c>
    </row>
    <row r="493" spans="1:24">
      <c r="A493">
        <f>HYPERLINK("https://www.philgeps.gov.ph/GEPSNONPILOT/Tender/SplashBidNoticeAbstractUI.aspx?menuIndex=3&amp;refID=7044625&amp;Result=3","7044625")</f>
        <v>0</v>
      </c>
      <c r="B493" t="s">
        <v>213</v>
      </c>
      <c r="C493" t="s">
        <v>3667</v>
      </c>
      <c r="D493" t="s">
        <v>18065</v>
      </c>
      <c r="E493" t="s">
        <v>18590</v>
      </c>
      <c r="F493" t="s">
        <v>31574</v>
      </c>
      <c r="G493" t="s">
        <v>31584</v>
      </c>
      <c r="H493" t="s">
        <v>31590</v>
      </c>
      <c r="I493" t="s">
        <v>31597</v>
      </c>
      <c r="J493" t="s">
        <v>32147</v>
      </c>
      <c r="K493" t="s">
        <v>41190</v>
      </c>
      <c r="M493" t="s">
        <v>41698</v>
      </c>
      <c r="N493" t="s">
        <v>45095</v>
      </c>
      <c r="O493" t="s">
        <v>45096</v>
      </c>
      <c r="P493">
        <v>0</v>
      </c>
      <c r="Q493">
        <v>0</v>
      </c>
      <c r="R493" t="s">
        <v>45097</v>
      </c>
      <c r="S493" t="s">
        <v>45222</v>
      </c>
      <c r="T493" t="s">
        <v>46946</v>
      </c>
      <c r="U493" t="s">
        <v>47914</v>
      </c>
      <c r="W493" t="s">
        <v>41698</v>
      </c>
      <c r="X493" t="s">
        <v>45098</v>
      </c>
    </row>
    <row r="494" spans="1:24">
      <c r="A494">
        <f>HYPERLINK("https://www.philgeps.gov.ph/GEPSNONPILOT/Tender/SplashBidNoticeAbstractUI.aspx?menuIndex=3&amp;refID=7044612&amp;Result=3","7044612")</f>
        <v>0</v>
      </c>
      <c r="B494" t="s">
        <v>76</v>
      </c>
      <c r="C494" t="s">
        <v>3668</v>
      </c>
      <c r="D494" t="s">
        <v>18035</v>
      </c>
      <c r="E494" t="s">
        <v>18591</v>
      </c>
      <c r="F494" t="s">
        <v>31574</v>
      </c>
      <c r="G494" t="s">
        <v>31584</v>
      </c>
      <c r="H494" t="s">
        <v>31590</v>
      </c>
      <c r="I494" t="s">
        <v>5717</v>
      </c>
      <c r="J494" t="s">
        <v>32148</v>
      </c>
      <c r="K494" t="s">
        <v>41184</v>
      </c>
      <c r="L494" t="s">
        <v>76</v>
      </c>
      <c r="M494" t="s">
        <v>41560</v>
      </c>
      <c r="N494" t="s">
        <v>45095</v>
      </c>
      <c r="O494" t="s">
        <v>45096</v>
      </c>
      <c r="P494">
        <v>0</v>
      </c>
      <c r="Q494">
        <v>0</v>
      </c>
      <c r="R494" t="s">
        <v>45097</v>
      </c>
      <c r="S494" t="s">
        <v>45222</v>
      </c>
      <c r="T494" t="s">
        <v>46904</v>
      </c>
      <c r="U494" t="s">
        <v>47575</v>
      </c>
      <c r="W494" t="s">
        <v>41560</v>
      </c>
      <c r="X494" t="s">
        <v>45098</v>
      </c>
    </row>
    <row r="495" spans="1:24">
      <c r="A495">
        <f>HYPERLINK("https://www.philgeps.gov.ph/GEPSNONPILOT/Tender/SplashBidNoticeAbstractUI.aspx?menuIndex=3&amp;refID=7044644&amp;Result=3","7044644")</f>
        <v>0</v>
      </c>
      <c r="B495" t="s">
        <v>238</v>
      </c>
      <c r="C495" t="s">
        <v>3669</v>
      </c>
      <c r="D495" t="s">
        <v>18086</v>
      </c>
      <c r="E495" t="s">
        <v>18592</v>
      </c>
      <c r="F495" t="s">
        <v>31574</v>
      </c>
      <c r="G495" t="s">
        <v>31582</v>
      </c>
      <c r="H495" t="s">
        <v>31590</v>
      </c>
      <c r="I495" t="s">
        <v>31644</v>
      </c>
      <c r="J495" t="s">
        <v>32149</v>
      </c>
      <c r="K495" t="s">
        <v>41196</v>
      </c>
      <c r="M495" t="s">
        <v>41724</v>
      </c>
      <c r="N495" t="s">
        <v>45095</v>
      </c>
      <c r="O495" t="s">
        <v>45096</v>
      </c>
      <c r="P495">
        <v>0</v>
      </c>
      <c r="Q495">
        <v>0</v>
      </c>
      <c r="R495" t="s">
        <v>45097</v>
      </c>
      <c r="S495" t="s">
        <v>45222</v>
      </c>
      <c r="T495" t="s">
        <v>46930</v>
      </c>
      <c r="U495" t="s">
        <v>47915</v>
      </c>
      <c r="W495" t="s">
        <v>41724</v>
      </c>
      <c r="X495" t="s">
        <v>45098</v>
      </c>
    </row>
    <row r="496" spans="1:24">
      <c r="A496">
        <f>HYPERLINK("https://www.philgeps.gov.ph/GEPSNONPILOT/Tender/SplashBidNoticeAbstractUI.aspx?menuIndex=3&amp;refID=7044633&amp;Result=3","7044633")</f>
        <v>0</v>
      </c>
      <c r="B496" t="s">
        <v>239</v>
      </c>
      <c r="C496" t="s">
        <v>3670</v>
      </c>
      <c r="D496" t="s">
        <v>18024</v>
      </c>
      <c r="E496" t="s">
        <v>18593</v>
      </c>
      <c r="F496" t="s">
        <v>31574</v>
      </c>
      <c r="G496" t="s">
        <v>31582</v>
      </c>
      <c r="H496" t="s">
        <v>31590</v>
      </c>
      <c r="I496" t="s">
        <v>6800</v>
      </c>
      <c r="J496" t="s">
        <v>32150</v>
      </c>
      <c r="K496" t="s">
        <v>41190</v>
      </c>
      <c r="M496" t="s">
        <v>41725</v>
      </c>
      <c r="N496" t="s">
        <v>45095</v>
      </c>
      <c r="O496" t="s">
        <v>45096</v>
      </c>
      <c r="P496">
        <v>0</v>
      </c>
      <c r="Q496">
        <v>0</v>
      </c>
      <c r="R496" t="s">
        <v>45097</v>
      </c>
      <c r="S496" t="s">
        <v>45222</v>
      </c>
      <c r="T496" t="s">
        <v>46996</v>
      </c>
      <c r="U496" t="s">
        <v>47916</v>
      </c>
      <c r="W496" t="s">
        <v>41725</v>
      </c>
      <c r="X496" t="s">
        <v>45098</v>
      </c>
    </row>
    <row r="497" spans="1:24">
      <c r="A497">
        <f>HYPERLINK("https://www.philgeps.gov.ph/GEPSNONPILOT/Tender/SplashBidNoticeAbstractUI.aspx?menuIndex=3&amp;refID=7044631&amp;Result=3","7044631")</f>
        <v>0</v>
      </c>
      <c r="B497" t="s">
        <v>228</v>
      </c>
      <c r="C497" t="s">
        <v>3671</v>
      </c>
      <c r="D497" t="s">
        <v>18059</v>
      </c>
      <c r="E497" t="s">
        <v>18594</v>
      </c>
      <c r="F497" t="s">
        <v>31575</v>
      </c>
      <c r="G497" t="s">
        <v>31582</v>
      </c>
      <c r="H497" t="s">
        <v>31590</v>
      </c>
      <c r="I497" t="s">
        <v>4046</v>
      </c>
      <c r="J497" t="s">
        <v>32151</v>
      </c>
      <c r="K497" t="s">
        <v>41191</v>
      </c>
      <c r="M497" t="s">
        <v>41713</v>
      </c>
      <c r="N497" t="s">
        <v>45095</v>
      </c>
      <c r="O497" t="s">
        <v>45096</v>
      </c>
      <c r="P497">
        <v>0</v>
      </c>
      <c r="Q497">
        <v>0</v>
      </c>
      <c r="R497" t="s">
        <v>45097</v>
      </c>
      <c r="S497" t="s">
        <v>45222</v>
      </c>
      <c r="T497" t="s">
        <v>46988</v>
      </c>
      <c r="U497" t="s">
        <v>47894</v>
      </c>
      <c r="W497" t="s">
        <v>41713</v>
      </c>
      <c r="X497" t="s">
        <v>45098</v>
      </c>
    </row>
    <row r="498" spans="1:24">
      <c r="A498">
        <f>HYPERLINK("https://www.philgeps.gov.ph/GEPSNONPILOT/Tender/SplashBidNoticeAbstractUI.aspx?menuIndex=3&amp;refID=7044643&amp;Result=3","7044643")</f>
        <v>0</v>
      </c>
      <c r="B498" t="s">
        <v>125</v>
      </c>
      <c r="C498" t="s">
        <v>3459</v>
      </c>
      <c r="D498" t="s">
        <v>18039</v>
      </c>
      <c r="E498" t="s">
        <v>18595</v>
      </c>
      <c r="F498" t="s">
        <v>31574</v>
      </c>
      <c r="G498" t="s">
        <v>31581</v>
      </c>
      <c r="H498" t="s">
        <v>31591</v>
      </c>
      <c r="I498" t="s">
        <v>8822</v>
      </c>
      <c r="J498" t="s">
        <v>31741</v>
      </c>
      <c r="K498" t="s">
        <v>41184</v>
      </c>
      <c r="M498" t="s">
        <v>41609</v>
      </c>
      <c r="N498" t="s">
        <v>45095</v>
      </c>
      <c r="O498" t="s">
        <v>45096</v>
      </c>
      <c r="P498">
        <v>0</v>
      </c>
      <c r="Q498">
        <v>0</v>
      </c>
      <c r="R498" t="s">
        <v>45097</v>
      </c>
      <c r="S498" t="s">
        <v>45222</v>
      </c>
      <c r="T498" t="s">
        <v>46904</v>
      </c>
      <c r="U498" t="s">
        <v>47720</v>
      </c>
      <c r="W498" t="s">
        <v>41609</v>
      </c>
      <c r="X498" t="s">
        <v>45098</v>
      </c>
    </row>
    <row r="499" spans="1:24">
      <c r="A499">
        <f>HYPERLINK("https://www.philgeps.gov.ph/GEPSNONPILOT/Tender/SplashBidNoticeAbstractUI.aspx?menuIndex=3&amp;refID=7044645&amp;Result=3","7044645")</f>
        <v>0</v>
      </c>
      <c r="B499" t="s">
        <v>235</v>
      </c>
      <c r="C499" t="s">
        <v>3672</v>
      </c>
      <c r="D499" t="s">
        <v>18047</v>
      </c>
      <c r="E499" t="s">
        <v>18596</v>
      </c>
      <c r="F499" t="s">
        <v>31574</v>
      </c>
      <c r="G499" t="s">
        <v>31582</v>
      </c>
      <c r="H499" t="s">
        <v>31590</v>
      </c>
      <c r="I499" t="s">
        <v>4046</v>
      </c>
      <c r="J499" t="s">
        <v>32152</v>
      </c>
      <c r="K499" t="s">
        <v>41196</v>
      </c>
      <c r="M499" t="s">
        <v>41720</v>
      </c>
      <c r="N499" t="s">
        <v>45095</v>
      </c>
      <c r="O499" t="s">
        <v>45096</v>
      </c>
      <c r="P499">
        <v>0</v>
      </c>
      <c r="Q499">
        <v>0</v>
      </c>
      <c r="R499" t="s">
        <v>45097</v>
      </c>
      <c r="S499" t="s">
        <v>45222</v>
      </c>
      <c r="T499" t="s">
        <v>46914</v>
      </c>
      <c r="U499" t="s">
        <v>47917</v>
      </c>
      <c r="W499" t="s">
        <v>41720</v>
      </c>
      <c r="X499" t="s">
        <v>45098</v>
      </c>
    </row>
    <row r="500" spans="1:24">
      <c r="A500">
        <f>HYPERLINK("https://www.philgeps.gov.ph/GEPSNONPILOT/Tender/SplashBidNoticeAbstractUI.aspx?menuIndex=3&amp;refID=7044649&amp;Result=3","7044649")</f>
        <v>0</v>
      </c>
      <c r="B500" t="s">
        <v>216</v>
      </c>
      <c r="C500" t="s">
        <v>3673</v>
      </c>
      <c r="D500" t="s">
        <v>18058</v>
      </c>
      <c r="E500" t="s">
        <v>18597</v>
      </c>
      <c r="F500" t="s">
        <v>31574</v>
      </c>
      <c r="G500" t="s">
        <v>31583</v>
      </c>
      <c r="H500" t="s">
        <v>31590</v>
      </c>
      <c r="I500" t="s">
        <v>31619</v>
      </c>
      <c r="J500" t="s">
        <v>32153</v>
      </c>
      <c r="K500" t="s">
        <v>41193</v>
      </c>
      <c r="M500" t="s">
        <v>41701</v>
      </c>
      <c r="N500" t="s">
        <v>45095</v>
      </c>
      <c r="O500" t="s">
        <v>45096</v>
      </c>
      <c r="P500">
        <v>0</v>
      </c>
      <c r="Q500">
        <v>0</v>
      </c>
      <c r="R500" t="s">
        <v>45097</v>
      </c>
      <c r="S500" t="s">
        <v>45222</v>
      </c>
      <c r="T500" t="s">
        <v>46932</v>
      </c>
      <c r="U500" t="s">
        <v>47918</v>
      </c>
      <c r="W500" t="s">
        <v>41701</v>
      </c>
      <c r="X500" t="s">
        <v>45098</v>
      </c>
    </row>
    <row r="501" spans="1:24">
      <c r="A501">
        <f>HYPERLINK("https://www.philgeps.gov.ph/GEPSNONPILOT/Tender/SplashBidNoticeAbstractUI.aspx?menuIndex=3&amp;refID=7044634&amp;Result=3","7044634")</f>
        <v>0</v>
      </c>
      <c r="B501" t="s">
        <v>194</v>
      </c>
      <c r="C501" t="s">
        <v>3674</v>
      </c>
      <c r="D501" t="s">
        <v>18065</v>
      </c>
      <c r="E501" t="s">
        <v>18598</v>
      </c>
      <c r="F501" t="s">
        <v>31574</v>
      </c>
      <c r="G501" t="s">
        <v>31583</v>
      </c>
      <c r="H501" t="s">
        <v>31590</v>
      </c>
      <c r="I501" t="s">
        <v>6800</v>
      </c>
      <c r="J501" t="s">
        <v>32154</v>
      </c>
      <c r="K501" t="s">
        <v>41184</v>
      </c>
      <c r="M501" t="s">
        <v>41679</v>
      </c>
      <c r="N501" t="s">
        <v>45095</v>
      </c>
      <c r="O501" t="s">
        <v>45096</v>
      </c>
      <c r="P501">
        <v>0</v>
      </c>
      <c r="Q501">
        <v>0</v>
      </c>
      <c r="R501" t="s">
        <v>45097</v>
      </c>
      <c r="S501" t="s">
        <v>45222</v>
      </c>
      <c r="T501" t="s">
        <v>46923</v>
      </c>
      <c r="U501" t="s">
        <v>47832</v>
      </c>
      <c r="W501" t="s">
        <v>41679</v>
      </c>
      <c r="X501" t="s">
        <v>45098</v>
      </c>
    </row>
    <row r="502" spans="1:24">
      <c r="A502">
        <f>HYPERLINK("https://www.philgeps.gov.ph/GEPSNONPILOT/Tender/SplashBidNoticeAbstractUI.aspx?menuIndex=3&amp;refID=7044648&amp;Result=3","7044648")</f>
        <v>0</v>
      </c>
      <c r="B502" t="s">
        <v>190</v>
      </c>
      <c r="C502" t="s">
        <v>3675</v>
      </c>
      <c r="D502" t="s">
        <v>18036</v>
      </c>
      <c r="E502" t="s">
        <v>18599</v>
      </c>
      <c r="F502" t="s">
        <v>31574</v>
      </c>
      <c r="G502" t="s">
        <v>31581</v>
      </c>
      <c r="H502" t="s">
        <v>31590</v>
      </c>
      <c r="I502" t="s">
        <v>31637</v>
      </c>
      <c r="J502" t="s">
        <v>32017</v>
      </c>
      <c r="K502" t="s">
        <v>41190</v>
      </c>
      <c r="M502" t="s">
        <v>41675</v>
      </c>
      <c r="N502" t="s">
        <v>45095</v>
      </c>
      <c r="O502" t="s">
        <v>45096</v>
      </c>
      <c r="P502">
        <v>0</v>
      </c>
      <c r="Q502">
        <v>0</v>
      </c>
      <c r="R502" t="s">
        <v>45097</v>
      </c>
      <c r="S502" t="s">
        <v>45222</v>
      </c>
      <c r="T502" t="s">
        <v>46922</v>
      </c>
      <c r="U502" t="s">
        <v>47919</v>
      </c>
      <c r="W502" t="s">
        <v>41675</v>
      </c>
      <c r="X502" t="s">
        <v>45098</v>
      </c>
    </row>
    <row r="503" spans="1:24">
      <c r="A503">
        <f>HYPERLINK("https://www.philgeps.gov.ph/GEPSNONPILOT/Tender/SplashBidNoticeAbstractUI.aspx?menuIndex=3&amp;refID=7044636&amp;Result=3","7044636")</f>
        <v>0</v>
      </c>
      <c r="B503" t="s">
        <v>182</v>
      </c>
      <c r="C503" t="s">
        <v>3676</v>
      </c>
      <c r="D503" t="s">
        <v>18060</v>
      </c>
      <c r="E503" t="s">
        <v>18600</v>
      </c>
      <c r="F503" t="s">
        <v>31574</v>
      </c>
      <c r="G503" t="s">
        <v>31581</v>
      </c>
      <c r="H503" t="s">
        <v>31590</v>
      </c>
      <c r="I503" t="s">
        <v>31594</v>
      </c>
      <c r="J503" t="s">
        <v>32155</v>
      </c>
      <c r="K503" t="s">
        <v>41190</v>
      </c>
      <c r="M503" t="s">
        <v>41667</v>
      </c>
      <c r="N503" t="s">
        <v>45095</v>
      </c>
      <c r="O503" t="s">
        <v>45096</v>
      </c>
      <c r="P503">
        <v>0</v>
      </c>
      <c r="Q503">
        <v>0</v>
      </c>
      <c r="R503" t="s">
        <v>45097</v>
      </c>
      <c r="S503" t="s">
        <v>45222</v>
      </c>
      <c r="T503" t="s">
        <v>46918</v>
      </c>
      <c r="U503" t="s">
        <v>47920</v>
      </c>
      <c r="W503" t="s">
        <v>41667</v>
      </c>
      <c r="X503" t="s">
        <v>45098</v>
      </c>
    </row>
    <row r="504" spans="1:24">
      <c r="A504">
        <f>HYPERLINK("https://www.philgeps.gov.ph/GEPSNONPILOT/Tender/SplashBidNoticeAbstractUI.aspx?menuIndex=3&amp;refID=7044647&amp;Result=3","7044647")</f>
        <v>0</v>
      </c>
      <c r="B504" t="s">
        <v>240</v>
      </c>
      <c r="C504" t="s">
        <v>3677</v>
      </c>
      <c r="D504" t="s">
        <v>18036</v>
      </c>
      <c r="E504" t="s">
        <v>18601</v>
      </c>
      <c r="F504" t="s">
        <v>31574</v>
      </c>
      <c r="G504" t="s">
        <v>31582</v>
      </c>
      <c r="H504" t="s">
        <v>31590</v>
      </c>
      <c r="I504" t="s">
        <v>4046</v>
      </c>
      <c r="J504" t="s">
        <v>32156</v>
      </c>
      <c r="K504" t="s">
        <v>41184</v>
      </c>
      <c r="M504" t="s">
        <v>41726</v>
      </c>
      <c r="N504" t="s">
        <v>45095</v>
      </c>
      <c r="O504" t="s">
        <v>45096</v>
      </c>
      <c r="P504">
        <v>0</v>
      </c>
      <c r="Q504">
        <v>0</v>
      </c>
      <c r="R504" t="s">
        <v>45097</v>
      </c>
      <c r="S504" t="s">
        <v>45222</v>
      </c>
      <c r="T504" t="s">
        <v>46984</v>
      </c>
      <c r="U504" t="s">
        <v>47921</v>
      </c>
      <c r="W504" t="s">
        <v>41726</v>
      </c>
      <c r="X504" t="s">
        <v>45098</v>
      </c>
    </row>
    <row r="505" spans="1:24">
      <c r="A505">
        <f>HYPERLINK("https://www.philgeps.gov.ph/GEPSNONPILOT/Tender/SplashBidNoticeAbstractUI.aspx?menuIndex=3&amp;refID=7044635&amp;Result=3","7044635")</f>
        <v>0</v>
      </c>
      <c r="B505" t="s">
        <v>154</v>
      </c>
      <c r="C505" t="s">
        <v>3678</v>
      </c>
      <c r="D505" t="s">
        <v>18063</v>
      </c>
      <c r="E505" t="s">
        <v>18602</v>
      </c>
      <c r="F505" t="s">
        <v>31574</v>
      </c>
      <c r="G505" t="s">
        <v>31583</v>
      </c>
      <c r="H505" t="s">
        <v>31590</v>
      </c>
      <c r="I505" t="s">
        <v>14544</v>
      </c>
      <c r="J505" t="s">
        <v>32157</v>
      </c>
      <c r="K505" t="s">
        <v>41190</v>
      </c>
      <c r="M505" t="s">
        <v>41638</v>
      </c>
      <c r="N505" t="s">
        <v>45095</v>
      </c>
      <c r="O505" t="s">
        <v>45096</v>
      </c>
      <c r="P505">
        <v>0</v>
      </c>
      <c r="Q505">
        <v>0</v>
      </c>
      <c r="R505" t="s">
        <v>45097</v>
      </c>
      <c r="S505" t="s">
        <v>45222</v>
      </c>
      <c r="T505" t="s">
        <v>46914</v>
      </c>
      <c r="U505" t="s">
        <v>47764</v>
      </c>
      <c r="W505" t="s">
        <v>41638</v>
      </c>
      <c r="X505" t="s">
        <v>45098</v>
      </c>
    </row>
    <row r="506" spans="1:24">
      <c r="A506">
        <f>HYPERLINK("https://www.philgeps.gov.ph/GEPSNONPILOT/Tender/SplashBidNoticeAbstractUI.aspx?menuIndex=3&amp;refID=7044652&amp;Result=3","7044652")</f>
        <v>0</v>
      </c>
      <c r="B506" t="s">
        <v>209</v>
      </c>
      <c r="C506" t="s">
        <v>3679</v>
      </c>
      <c r="D506" t="s">
        <v>18028</v>
      </c>
      <c r="E506" t="s">
        <v>18603</v>
      </c>
      <c r="F506" t="s">
        <v>31574</v>
      </c>
      <c r="G506" t="s">
        <v>31583</v>
      </c>
      <c r="H506" t="s">
        <v>31590</v>
      </c>
      <c r="I506" t="s">
        <v>3487</v>
      </c>
      <c r="J506" t="s">
        <v>32017</v>
      </c>
      <c r="K506" t="s">
        <v>41193</v>
      </c>
      <c r="M506" t="s">
        <v>41694</v>
      </c>
      <c r="N506" t="s">
        <v>45095</v>
      </c>
      <c r="O506" t="s">
        <v>45096</v>
      </c>
      <c r="P506">
        <v>0</v>
      </c>
      <c r="Q506">
        <v>0</v>
      </c>
      <c r="R506" t="s">
        <v>45097</v>
      </c>
      <c r="S506" t="s">
        <v>45222</v>
      </c>
      <c r="T506" t="s">
        <v>46973</v>
      </c>
      <c r="U506" t="s">
        <v>47922</v>
      </c>
      <c r="W506" t="s">
        <v>41694</v>
      </c>
      <c r="X506" t="s">
        <v>45098</v>
      </c>
    </row>
    <row r="507" spans="1:24">
      <c r="A507">
        <f>HYPERLINK("https://www.philgeps.gov.ph/GEPSNONPILOT/Tender/SplashBidNoticeAbstractUI.aspx?menuIndex=3&amp;refID=7044608&amp;Result=3","7044608")</f>
        <v>0</v>
      </c>
      <c r="B507" t="s">
        <v>213</v>
      </c>
      <c r="C507" t="s">
        <v>3680</v>
      </c>
      <c r="D507" t="s">
        <v>18065</v>
      </c>
      <c r="E507" t="s">
        <v>18604</v>
      </c>
      <c r="F507" t="s">
        <v>31574</v>
      </c>
      <c r="G507" t="s">
        <v>31584</v>
      </c>
      <c r="H507" t="s">
        <v>31590</v>
      </c>
      <c r="I507" t="s">
        <v>3520</v>
      </c>
      <c r="J507" t="s">
        <v>32147</v>
      </c>
      <c r="K507" t="s">
        <v>41190</v>
      </c>
      <c r="M507" t="s">
        <v>41698</v>
      </c>
      <c r="N507" t="s">
        <v>45095</v>
      </c>
      <c r="O507" t="s">
        <v>45096</v>
      </c>
      <c r="P507">
        <v>0</v>
      </c>
      <c r="Q507">
        <v>0</v>
      </c>
      <c r="R507" t="s">
        <v>45097</v>
      </c>
      <c r="S507" t="s">
        <v>45222</v>
      </c>
      <c r="T507" t="s">
        <v>46911</v>
      </c>
      <c r="U507" t="s">
        <v>47923</v>
      </c>
      <c r="W507" t="s">
        <v>41698</v>
      </c>
      <c r="X507" t="s">
        <v>45098</v>
      </c>
    </row>
    <row r="508" spans="1:24">
      <c r="A508">
        <f>HYPERLINK("https://www.philgeps.gov.ph/GEPSNONPILOT/Tender/SplashBidNoticeAbstractUI.aspx?menuIndex=3&amp;refID=7044666&amp;Result=3","7044666")</f>
        <v>0</v>
      </c>
      <c r="B508" t="s">
        <v>241</v>
      </c>
      <c r="C508" t="s">
        <v>3681</v>
      </c>
      <c r="D508" t="s">
        <v>18072</v>
      </c>
      <c r="E508" t="s">
        <v>18605</v>
      </c>
      <c r="F508" t="s">
        <v>31574</v>
      </c>
      <c r="G508" t="s">
        <v>31581</v>
      </c>
      <c r="H508" t="s">
        <v>31590</v>
      </c>
      <c r="I508" t="s">
        <v>31602</v>
      </c>
      <c r="J508" t="s">
        <v>32158</v>
      </c>
      <c r="K508" t="s">
        <v>41213</v>
      </c>
      <c r="M508" t="s">
        <v>41727</v>
      </c>
      <c r="N508" t="s">
        <v>45095</v>
      </c>
      <c r="O508" t="s">
        <v>45096</v>
      </c>
      <c r="P508">
        <v>0</v>
      </c>
      <c r="Q508">
        <v>0</v>
      </c>
      <c r="R508" t="s">
        <v>45097</v>
      </c>
      <c r="S508" t="s">
        <v>45222</v>
      </c>
      <c r="T508" t="s">
        <v>46918</v>
      </c>
      <c r="U508" t="s">
        <v>47924</v>
      </c>
      <c r="W508" t="s">
        <v>41727</v>
      </c>
      <c r="X508" t="s">
        <v>45098</v>
      </c>
    </row>
    <row r="509" spans="1:24">
      <c r="A509">
        <f>HYPERLINK("https://www.philgeps.gov.ph/GEPSNONPILOT/Tender/SplashBidNoticeAbstractUI.aspx?menuIndex=3&amp;refID=7044646&amp;Result=3","7044646")</f>
        <v>0</v>
      </c>
      <c r="B509" t="s">
        <v>128</v>
      </c>
      <c r="C509" t="s">
        <v>3682</v>
      </c>
      <c r="D509" t="s">
        <v>18023</v>
      </c>
      <c r="E509" t="s">
        <v>18151</v>
      </c>
      <c r="F509" t="s">
        <v>31574</v>
      </c>
      <c r="G509" t="s">
        <v>31582</v>
      </c>
      <c r="H509" t="s">
        <v>31591</v>
      </c>
      <c r="I509" t="s">
        <v>8822</v>
      </c>
      <c r="J509" t="s">
        <v>31821</v>
      </c>
      <c r="K509" t="s">
        <v>41185</v>
      </c>
      <c r="M509" t="s">
        <v>41612</v>
      </c>
      <c r="N509" t="s">
        <v>45095</v>
      </c>
      <c r="O509" t="s">
        <v>45096</v>
      </c>
      <c r="P509">
        <v>0</v>
      </c>
      <c r="Q509">
        <v>0</v>
      </c>
      <c r="R509" t="s">
        <v>45097</v>
      </c>
      <c r="S509" t="s">
        <v>45222</v>
      </c>
      <c r="T509" t="s">
        <v>46935</v>
      </c>
      <c r="U509" t="s">
        <v>47925</v>
      </c>
      <c r="W509" t="s">
        <v>41612</v>
      </c>
      <c r="X509" t="s">
        <v>45098</v>
      </c>
    </row>
    <row r="510" spans="1:24">
      <c r="A510">
        <f>HYPERLINK("https://www.philgeps.gov.ph/GEPSNONPILOT/Tender/SplashBidNoticeAbstractUI.aspx?menuIndex=3&amp;refID=7044609&amp;Result=3","7044609")</f>
        <v>0</v>
      </c>
      <c r="B510" t="s">
        <v>242</v>
      </c>
      <c r="C510" t="s">
        <v>3683</v>
      </c>
      <c r="E510" t="s">
        <v>18606</v>
      </c>
      <c r="F510" t="s">
        <v>31574</v>
      </c>
      <c r="G510" t="s">
        <v>31582</v>
      </c>
      <c r="H510" t="s">
        <v>31590</v>
      </c>
      <c r="I510" t="s">
        <v>4046</v>
      </c>
      <c r="J510" t="s">
        <v>32159</v>
      </c>
      <c r="K510" t="s">
        <v>41196</v>
      </c>
      <c r="M510" t="s">
        <v>41728</v>
      </c>
      <c r="N510" t="s">
        <v>45095</v>
      </c>
      <c r="O510" t="s">
        <v>45096</v>
      </c>
      <c r="P510">
        <v>0</v>
      </c>
      <c r="Q510">
        <v>0</v>
      </c>
      <c r="R510" t="s">
        <v>45097</v>
      </c>
      <c r="S510" t="s">
        <v>45222</v>
      </c>
      <c r="T510" t="s">
        <v>46908</v>
      </c>
      <c r="U510" t="s">
        <v>47926</v>
      </c>
      <c r="V510" t="s">
        <v>59905</v>
      </c>
      <c r="W510" t="s">
        <v>41728</v>
      </c>
      <c r="X510" t="s">
        <v>45098</v>
      </c>
    </row>
    <row r="511" spans="1:24">
      <c r="A511">
        <f>HYPERLINK("https://www.philgeps.gov.ph/GEPSNONPILOT/Tender/SplashBidNoticeAbstractUI.aspx?menuIndex=3&amp;refID=7044664&amp;Result=3","7044664")</f>
        <v>0</v>
      </c>
      <c r="B511" t="s">
        <v>243</v>
      </c>
      <c r="C511" t="s">
        <v>3684</v>
      </c>
      <c r="D511" t="s">
        <v>18068</v>
      </c>
      <c r="E511" t="s">
        <v>18607</v>
      </c>
      <c r="F511" t="s">
        <v>31574</v>
      </c>
      <c r="G511" t="s">
        <v>31582</v>
      </c>
      <c r="H511" t="s">
        <v>31591</v>
      </c>
      <c r="I511" t="s">
        <v>8822</v>
      </c>
      <c r="J511" t="s">
        <v>31845</v>
      </c>
      <c r="K511" t="s">
        <v>41185</v>
      </c>
      <c r="M511" t="s">
        <v>41729</v>
      </c>
      <c r="N511" t="s">
        <v>45095</v>
      </c>
      <c r="O511" t="s">
        <v>45096</v>
      </c>
      <c r="P511">
        <v>0</v>
      </c>
      <c r="Q511">
        <v>0</v>
      </c>
      <c r="R511" t="s">
        <v>45097</v>
      </c>
      <c r="S511" t="s">
        <v>45222</v>
      </c>
      <c r="T511" t="s">
        <v>46929</v>
      </c>
      <c r="U511" t="s">
        <v>47927</v>
      </c>
      <c r="W511" t="s">
        <v>41729</v>
      </c>
      <c r="X511" t="s">
        <v>45098</v>
      </c>
    </row>
    <row r="512" spans="1:24">
      <c r="A512">
        <f>HYPERLINK("https://www.philgeps.gov.ph/GEPSNONPILOT/Tender/SplashBidNoticeAbstractUI.aspx?menuIndex=3&amp;refID=7044662&amp;Result=3","7044662")</f>
        <v>0</v>
      </c>
      <c r="B512" t="s">
        <v>234</v>
      </c>
      <c r="C512" t="s">
        <v>3653</v>
      </c>
      <c r="D512" t="s">
        <v>18043</v>
      </c>
      <c r="E512" t="s">
        <v>18608</v>
      </c>
      <c r="F512" t="s">
        <v>31574</v>
      </c>
      <c r="G512" t="s">
        <v>31583</v>
      </c>
      <c r="H512" t="s">
        <v>31590</v>
      </c>
      <c r="I512" t="s">
        <v>5717</v>
      </c>
      <c r="J512" t="s">
        <v>32133</v>
      </c>
      <c r="K512" t="s">
        <v>41211</v>
      </c>
      <c r="M512" t="s">
        <v>41719</v>
      </c>
      <c r="N512" t="s">
        <v>45095</v>
      </c>
      <c r="O512" t="s">
        <v>45096</v>
      </c>
      <c r="P512">
        <v>0</v>
      </c>
      <c r="Q512">
        <v>0</v>
      </c>
      <c r="R512" t="s">
        <v>45097</v>
      </c>
      <c r="S512" t="s">
        <v>45222</v>
      </c>
      <c r="T512" t="s">
        <v>46911</v>
      </c>
      <c r="U512" t="s">
        <v>47928</v>
      </c>
      <c r="W512" t="s">
        <v>41719</v>
      </c>
      <c r="X512" t="s">
        <v>45098</v>
      </c>
    </row>
    <row r="513" spans="1:24">
      <c r="A513">
        <f>HYPERLINK("https://www.philgeps.gov.ph/GEPSNONPILOT/Tender/SplashBidNoticeAbstractUI.aspx?menuIndex=3&amp;refID=7044660&amp;Result=3","7044660")</f>
        <v>0</v>
      </c>
      <c r="B513" t="s">
        <v>244</v>
      </c>
      <c r="C513" t="s">
        <v>3685</v>
      </c>
      <c r="D513" t="s">
        <v>18053</v>
      </c>
      <c r="E513" t="s">
        <v>18609</v>
      </c>
      <c r="F513" t="s">
        <v>31574</v>
      </c>
      <c r="G513" t="s">
        <v>31581</v>
      </c>
      <c r="H513" t="s">
        <v>31590</v>
      </c>
      <c r="I513" t="s">
        <v>31595</v>
      </c>
      <c r="J513" t="s">
        <v>32017</v>
      </c>
      <c r="K513" t="s">
        <v>41197</v>
      </c>
      <c r="M513" t="s">
        <v>41730</v>
      </c>
      <c r="N513" t="s">
        <v>45095</v>
      </c>
      <c r="O513" t="s">
        <v>45096</v>
      </c>
      <c r="P513">
        <v>0</v>
      </c>
      <c r="Q513">
        <v>0</v>
      </c>
      <c r="R513" t="s">
        <v>45097</v>
      </c>
      <c r="S513" t="s">
        <v>45222</v>
      </c>
      <c r="T513" t="s">
        <v>46946</v>
      </c>
      <c r="U513" t="s">
        <v>47929</v>
      </c>
      <c r="W513" t="s">
        <v>41730</v>
      </c>
      <c r="X513" t="s">
        <v>45098</v>
      </c>
    </row>
    <row r="514" spans="1:24">
      <c r="A514">
        <f>HYPERLINK("https://www.philgeps.gov.ph/GEPSNONPILOT/Tender/SplashBidNoticeAbstractUI.aspx?menuIndex=3&amp;refID=7044663&amp;Result=3","7044663")</f>
        <v>0</v>
      </c>
      <c r="B514" t="s">
        <v>245</v>
      </c>
      <c r="C514" t="s">
        <v>3686</v>
      </c>
      <c r="D514" t="s">
        <v>18059</v>
      </c>
      <c r="E514" t="s">
        <v>18610</v>
      </c>
      <c r="F514" t="s">
        <v>31574</v>
      </c>
      <c r="G514" t="s">
        <v>31581</v>
      </c>
      <c r="H514" t="s">
        <v>31590</v>
      </c>
      <c r="I514" t="s">
        <v>31602</v>
      </c>
      <c r="J514" t="s">
        <v>32160</v>
      </c>
      <c r="K514" t="s">
        <v>41225</v>
      </c>
      <c r="M514" t="s">
        <v>41731</v>
      </c>
      <c r="N514" t="s">
        <v>45095</v>
      </c>
      <c r="O514" t="s">
        <v>45096</v>
      </c>
      <c r="P514">
        <v>0</v>
      </c>
      <c r="Q514">
        <v>0</v>
      </c>
      <c r="R514" t="s">
        <v>45097</v>
      </c>
      <c r="S514" t="s">
        <v>45222</v>
      </c>
      <c r="T514" t="s">
        <v>46949</v>
      </c>
      <c r="U514" t="s">
        <v>47930</v>
      </c>
      <c r="V514" t="s">
        <v>59906</v>
      </c>
      <c r="W514" t="s">
        <v>41731</v>
      </c>
      <c r="X514" t="s">
        <v>45098</v>
      </c>
    </row>
    <row r="515" spans="1:24">
      <c r="A515">
        <f>HYPERLINK("https://www.philgeps.gov.ph/GEPSNONPILOT/Tender/SplashBidNoticeAbstractUI.aspx?menuIndex=3&amp;refID=7044661&amp;Result=3","7044661")</f>
        <v>0</v>
      </c>
      <c r="B515" t="s">
        <v>246</v>
      </c>
      <c r="C515" t="s">
        <v>3687</v>
      </c>
      <c r="D515" t="s">
        <v>18087</v>
      </c>
      <c r="E515" t="s">
        <v>18611</v>
      </c>
      <c r="F515" t="s">
        <v>31574</v>
      </c>
      <c r="G515" t="s">
        <v>31581</v>
      </c>
      <c r="H515" t="s">
        <v>31592</v>
      </c>
      <c r="I515" t="s">
        <v>3539</v>
      </c>
      <c r="J515" t="s">
        <v>31780</v>
      </c>
      <c r="K515" t="s">
        <v>41226</v>
      </c>
      <c r="M515" t="s">
        <v>41732</v>
      </c>
      <c r="N515" t="s">
        <v>45095</v>
      </c>
      <c r="O515" t="s">
        <v>45096</v>
      </c>
      <c r="P515">
        <v>0</v>
      </c>
      <c r="Q515">
        <v>0</v>
      </c>
      <c r="R515" t="s">
        <v>45097</v>
      </c>
      <c r="S515" t="s">
        <v>45222</v>
      </c>
      <c r="T515" t="s">
        <v>46997</v>
      </c>
      <c r="U515" t="s">
        <v>47931</v>
      </c>
      <c r="W515" t="s">
        <v>41732</v>
      </c>
      <c r="X515" t="s">
        <v>45098</v>
      </c>
    </row>
    <row r="516" spans="1:24">
      <c r="A516">
        <f>HYPERLINK("https://www.philgeps.gov.ph/GEPSNONPILOT/Tender/SplashBidNoticeAbstractUI.aspx?menuIndex=3&amp;refID=7044657&amp;Result=3","7044657")</f>
        <v>0</v>
      </c>
      <c r="B516" t="s">
        <v>247</v>
      </c>
      <c r="C516" t="s">
        <v>3688</v>
      </c>
      <c r="D516" t="s">
        <v>18072</v>
      </c>
      <c r="E516" t="s">
        <v>18612</v>
      </c>
      <c r="F516" t="s">
        <v>31575</v>
      </c>
      <c r="G516" t="s">
        <v>31583</v>
      </c>
      <c r="H516" t="s">
        <v>31590</v>
      </c>
      <c r="I516" t="s">
        <v>4046</v>
      </c>
      <c r="J516" t="s">
        <v>32161</v>
      </c>
      <c r="K516" t="s">
        <v>41190</v>
      </c>
      <c r="M516" t="s">
        <v>41733</v>
      </c>
      <c r="N516" t="s">
        <v>45095</v>
      </c>
      <c r="O516" t="s">
        <v>45096</v>
      </c>
      <c r="P516">
        <v>0</v>
      </c>
      <c r="Q516">
        <v>0</v>
      </c>
      <c r="R516" t="s">
        <v>45097</v>
      </c>
      <c r="S516" t="s">
        <v>45222</v>
      </c>
      <c r="T516" t="s">
        <v>46988</v>
      </c>
      <c r="U516" t="s">
        <v>47932</v>
      </c>
      <c r="W516" t="s">
        <v>41733</v>
      </c>
      <c r="X516" t="s">
        <v>45098</v>
      </c>
    </row>
    <row r="517" spans="1:24">
      <c r="A517">
        <f>HYPERLINK("https://www.philgeps.gov.ph/GEPSNONPILOT/Tender/SplashBidNoticeAbstractUI.aspx?menuIndex=3&amp;refID=7044654&amp;Result=3","7044654")</f>
        <v>0</v>
      </c>
      <c r="B517" t="s">
        <v>181</v>
      </c>
      <c r="C517" t="s">
        <v>3689</v>
      </c>
      <c r="D517" t="s">
        <v>18022</v>
      </c>
      <c r="E517" t="s">
        <v>18613</v>
      </c>
      <c r="F517" t="s">
        <v>31574</v>
      </c>
      <c r="G517" t="s">
        <v>31581</v>
      </c>
      <c r="H517" t="s">
        <v>31590</v>
      </c>
      <c r="I517" t="s">
        <v>31594</v>
      </c>
      <c r="J517" t="s">
        <v>32162</v>
      </c>
      <c r="K517" t="s">
        <v>41193</v>
      </c>
      <c r="M517" t="s">
        <v>41666</v>
      </c>
      <c r="N517" t="s">
        <v>45095</v>
      </c>
      <c r="O517" t="s">
        <v>45096</v>
      </c>
      <c r="P517">
        <v>0</v>
      </c>
      <c r="Q517">
        <v>0</v>
      </c>
      <c r="R517" t="s">
        <v>45097</v>
      </c>
      <c r="S517" t="s">
        <v>45222</v>
      </c>
      <c r="T517" t="s">
        <v>46969</v>
      </c>
      <c r="U517" t="s">
        <v>47933</v>
      </c>
      <c r="V517" t="s">
        <v>59895</v>
      </c>
      <c r="W517" t="s">
        <v>41666</v>
      </c>
      <c r="X517" t="s">
        <v>45098</v>
      </c>
    </row>
    <row r="518" spans="1:24">
      <c r="A518">
        <f>HYPERLINK("https://www.philgeps.gov.ph/GEPSNONPILOT/Tender/SplashBidNoticeAbstractUI.aspx?menuIndex=3&amp;refID=7044668&amp;Result=3","7044668")</f>
        <v>0</v>
      </c>
      <c r="B518" t="s">
        <v>180</v>
      </c>
      <c r="C518" t="s">
        <v>3690</v>
      </c>
      <c r="D518" t="s">
        <v>18066</v>
      </c>
      <c r="E518" t="s">
        <v>18614</v>
      </c>
      <c r="F518" t="s">
        <v>31574</v>
      </c>
      <c r="G518" t="s">
        <v>31582</v>
      </c>
      <c r="H518" t="s">
        <v>31590</v>
      </c>
      <c r="I518" t="s">
        <v>4046</v>
      </c>
      <c r="J518" t="s">
        <v>32163</v>
      </c>
      <c r="K518" t="s">
        <v>41196</v>
      </c>
      <c r="M518" t="s">
        <v>41665</v>
      </c>
      <c r="N518" t="s">
        <v>45095</v>
      </c>
      <c r="O518" t="s">
        <v>45096</v>
      </c>
      <c r="P518">
        <v>0</v>
      </c>
      <c r="Q518">
        <v>0</v>
      </c>
      <c r="R518" t="s">
        <v>45097</v>
      </c>
      <c r="S518" t="s">
        <v>45222</v>
      </c>
      <c r="T518" t="s">
        <v>46977</v>
      </c>
      <c r="U518" t="s">
        <v>47934</v>
      </c>
      <c r="W518" t="s">
        <v>41665</v>
      </c>
      <c r="X518" t="s">
        <v>45098</v>
      </c>
    </row>
    <row r="519" spans="1:24">
      <c r="A519">
        <f>HYPERLINK("https://www.philgeps.gov.ph/GEPSNONPILOT/Tender/SplashBidNoticeAbstractUI.aspx?menuIndex=3&amp;refID=7044665&amp;Result=3","7044665")</f>
        <v>0</v>
      </c>
      <c r="B519" t="s">
        <v>242</v>
      </c>
      <c r="C519" t="s">
        <v>3691</v>
      </c>
      <c r="E519" t="s">
        <v>18615</v>
      </c>
      <c r="F519" t="s">
        <v>31574</v>
      </c>
      <c r="G519" t="s">
        <v>31582</v>
      </c>
      <c r="H519" t="s">
        <v>31590</v>
      </c>
      <c r="I519" t="s">
        <v>4046</v>
      </c>
      <c r="J519" t="s">
        <v>31935</v>
      </c>
      <c r="K519" t="s">
        <v>41196</v>
      </c>
      <c r="M519" t="s">
        <v>41728</v>
      </c>
      <c r="N519" t="s">
        <v>45095</v>
      </c>
      <c r="O519" t="s">
        <v>45096</v>
      </c>
      <c r="P519">
        <v>0</v>
      </c>
      <c r="Q519">
        <v>0</v>
      </c>
      <c r="R519" t="s">
        <v>45097</v>
      </c>
      <c r="S519" t="s">
        <v>45222</v>
      </c>
      <c r="T519" t="s">
        <v>46908</v>
      </c>
      <c r="U519" t="s">
        <v>47935</v>
      </c>
      <c r="V519" t="s">
        <v>59907</v>
      </c>
      <c r="W519" t="s">
        <v>41728</v>
      </c>
      <c r="X519" t="s">
        <v>45098</v>
      </c>
    </row>
    <row r="520" spans="1:24">
      <c r="A520">
        <f>HYPERLINK("https://www.philgeps.gov.ph/GEPSNONPILOT/Tender/SplashBidNoticeAbstractUI.aspx?menuIndex=3&amp;refID=7044658&amp;Result=3","7044658")</f>
        <v>0</v>
      </c>
      <c r="B520" t="s">
        <v>159</v>
      </c>
      <c r="C520" t="s">
        <v>3692</v>
      </c>
      <c r="D520" t="s">
        <v>18046</v>
      </c>
      <c r="E520" t="s">
        <v>18616</v>
      </c>
      <c r="F520" t="s">
        <v>31574</v>
      </c>
      <c r="G520" t="s">
        <v>31582</v>
      </c>
      <c r="H520" t="s">
        <v>31590</v>
      </c>
      <c r="I520" t="s">
        <v>3873</v>
      </c>
      <c r="J520" t="s">
        <v>32164</v>
      </c>
      <c r="K520" t="s">
        <v>41186</v>
      </c>
      <c r="M520" t="s">
        <v>41643</v>
      </c>
      <c r="N520" t="s">
        <v>45095</v>
      </c>
      <c r="O520" t="s">
        <v>45096</v>
      </c>
      <c r="P520">
        <v>0</v>
      </c>
      <c r="Q520">
        <v>0</v>
      </c>
      <c r="R520" t="s">
        <v>45097</v>
      </c>
      <c r="S520" t="s">
        <v>45222</v>
      </c>
      <c r="T520" t="s">
        <v>46919</v>
      </c>
      <c r="U520" t="s">
        <v>47772</v>
      </c>
      <c r="V520" t="s">
        <v>59890</v>
      </c>
      <c r="W520" t="s">
        <v>41643</v>
      </c>
      <c r="X520" t="s">
        <v>45098</v>
      </c>
    </row>
    <row r="521" spans="1:24">
      <c r="A521">
        <f>HYPERLINK("https://www.philgeps.gov.ph/GEPSNONPILOT/Tender/SplashBidNoticeAbstractUI.aspx?menuIndex=3&amp;refID=7044655&amp;Result=3","7044655")</f>
        <v>0</v>
      </c>
      <c r="B521" t="s">
        <v>178</v>
      </c>
      <c r="C521" t="s">
        <v>3693</v>
      </c>
      <c r="D521" t="s">
        <v>18078</v>
      </c>
      <c r="E521" t="s">
        <v>18617</v>
      </c>
      <c r="F521" t="s">
        <v>31574</v>
      </c>
      <c r="G521" t="s">
        <v>31581</v>
      </c>
      <c r="H521" t="s">
        <v>31590</v>
      </c>
      <c r="I521" t="s">
        <v>8258</v>
      </c>
      <c r="J521" t="s">
        <v>32165</v>
      </c>
      <c r="K521" t="s">
        <v>41193</v>
      </c>
      <c r="M521" t="s">
        <v>41662</v>
      </c>
      <c r="N521" t="s">
        <v>45095</v>
      </c>
      <c r="O521" t="s">
        <v>45096</v>
      </c>
      <c r="P521">
        <v>0</v>
      </c>
      <c r="Q521">
        <v>0</v>
      </c>
      <c r="R521" t="s">
        <v>45097</v>
      </c>
      <c r="S521" t="s">
        <v>45222</v>
      </c>
      <c r="T521" t="s">
        <v>46913</v>
      </c>
      <c r="U521" t="s">
        <v>47936</v>
      </c>
      <c r="V521" t="s">
        <v>59894</v>
      </c>
      <c r="W521" t="s">
        <v>41662</v>
      </c>
      <c r="X521" t="s">
        <v>45098</v>
      </c>
    </row>
    <row r="522" spans="1:24">
      <c r="A522">
        <f>HYPERLINK("https://www.philgeps.gov.ph/GEPSNONPILOT/Tender/SplashBidNoticeAbstractUI.aspx?menuIndex=3&amp;refID=7044677&amp;Result=3","7044677")</f>
        <v>0</v>
      </c>
      <c r="B522" t="s">
        <v>248</v>
      </c>
      <c r="C522" t="s">
        <v>3694</v>
      </c>
      <c r="D522" t="s">
        <v>18075</v>
      </c>
      <c r="E522" t="s">
        <v>18618</v>
      </c>
      <c r="F522" t="s">
        <v>31574</v>
      </c>
      <c r="G522" t="s">
        <v>31581</v>
      </c>
      <c r="H522" t="s">
        <v>31590</v>
      </c>
      <c r="I522" t="s">
        <v>31599</v>
      </c>
      <c r="J522" t="s">
        <v>32166</v>
      </c>
      <c r="K522" t="s">
        <v>41184</v>
      </c>
      <c r="M522" t="s">
        <v>41734</v>
      </c>
      <c r="N522" t="s">
        <v>45095</v>
      </c>
      <c r="O522" t="s">
        <v>45096</v>
      </c>
      <c r="P522">
        <v>0</v>
      </c>
      <c r="Q522">
        <v>0</v>
      </c>
      <c r="R522" t="s">
        <v>45097</v>
      </c>
      <c r="S522" t="s">
        <v>45222</v>
      </c>
      <c r="T522" t="s">
        <v>46904</v>
      </c>
      <c r="U522" t="s">
        <v>47937</v>
      </c>
      <c r="W522" t="s">
        <v>41734</v>
      </c>
      <c r="X522" t="s">
        <v>45098</v>
      </c>
    </row>
    <row r="523" spans="1:24">
      <c r="A523">
        <f>HYPERLINK("https://www.philgeps.gov.ph/GEPSNONPILOT/Tender/SplashBidNoticeAbstractUI.aspx?menuIndex=3&amp;refID=7044678&amp;Result=3","7044678")</f>
        <v>0</v>
      </c>
      <c r="B523" t="s">
        <v>249</v>
      </c>
      <c r="C523" t="s">
        <v>3695</v>
      </c>
      <c r="D523" t="s">
        <v>18039</v>
      </c>
      <c r="E523" t="s">
        <v>18619</v>
      </c>
      <c r="F523" t="s">
        <v>31574</v>
      </c>
      <c r="G523" t="s">
        <v>31581</v>
      </c>
      <c r="H523" t="s">
        <v>31590</v>
      </c>
      <c r="I523" t="s">
        <v>31631</v>
      </c>
      <c r="J523" t="s">
        <v>32167</v>
      </c>
      <c r="K523" t="s">
        <v>41186</v>
      </c>
      <c r="M523" t="s">
        <v>41735</v>
      </c>
      <c r="N523" t="s">
        <v>45095</v>
      </c>
      <c r="O523" t="s">
        <v>45096</v>
      </c>
      <c r="P523">
        <v>0</v>
      </c>
      <c r="Q523">
        <v>0</v>
      </c>
      <c r="R523" t="s">
        <v>45097</v>
      </c>
      <c r="S523" t="s">
        <v>45222</v>
      </c>
      <c r="T523" t="s">
        <v>46953</v>
      </c>
      <c r="U523" t="s">
        <v>47938</v>
      </c>
      <c r="V523" t="s">
        <v>59908</v>
      </c>
      <c r="W523" t="s">
        <v>41735</v>
      </c>
      <c r="X523" t="s">
        <v>45098</v>
      </c>
    </row>
    <row r="524" spans="1:24">
      <c r="A524">
        <f>HYPERLINK("https://www.philgeps.gov.ph/GEPSNONPILOT/Tender/SplashBidNoticeAbstractUI.aspx?menuIndex=3&amp;refID=7044674&amp;Result=3","7044674")</f>
        <v>0</v>
      </c>
      <c r="B524" t="s">
        <v>227</v>
      </c>
      <c r="C524" t="s">
        <v>3696</v>
      </c>
      <c r="D524" t="s">
        <v>18025</v>
      </c>
      <c r="E524" t="s">
        <v>18620</v>
      </c>
      <c r="F524" t="s">
        <v>31574</v>
      </c>
      <c r="G524" t="s">
        <v>31581</v>
      </c>
      <c r="H524" t="s">
        <v>31590</v>
      </c>
      <c r="I524" t="s">
        <v>6800</v>
      </c>
      <c r="J524" t="s">
        <v>32168</v>
      </c>
      <c r="K524" t="s">
        <v>41195</v>
      </c>
      <c r="M524" t="s">
        <v>41712</v>
      </c>
      <c r="N524" t="s">
        <v>45095</v>
      </c>
      <c r="O524" t="s">
        <v>45096</v>
      </c>
      <c r="P524">
        <v>0</v>
      </c>
      <c r="Q524">
        <v>0</v>
      </c>
      <c r="R524" t="s">
        <v>45097</v>
      </c>
      <c r="S524" t="s">
        <v>45222</v>
      </c>
      <c r="T524" t="s">
        <v>46949</v>
      </c>
      <c r="U524" t="s">
        <v>47939</v>
      </c>
      <c r="W524" t="s">
        <v>41712</v>
      </c>
      <c r="X524" t="s">
        <v>45098</v>
      </c>
    </row>
    <row r="525" spans="1:24">
      <c r="A525">
        <f>HYPERLINK("https://www.philgeps.gov.ph/GEPSNONPILOT/Tender/SplashBidNoticeAbstractUI.aspx?menuIndex=3&amp;refID=7044667&amp;Result=3","7044667")</f>
        <v>0</v>
      </c>
      <c r="B525" t="s">
        <v>233</v>
      </c>
      <c r="C525" t="s">
        <v>3651</v>
      </c>
      <c r="D525" t="s">
        <v>18052</v>
      </c>
      <c r="E525" t="s">
        <v>18621</v>
      </c>
      <c r="F525" t="s">
        <v>31574</v>
      </c>
      <c r="G525" t="s">
        <v>31582</v>
      </c>
      <c r="H525" t="s">
        <v>31590</v>
      </c>
      <c r="I525" t="s">
        <v>3651</v>
      </c>
      <c r="J525" t="s">
        <v>32169</v>
      </c>
      <c r="K525" t="s">
        <v>41190</v>
      </c>
      <c r="M525" t="s">
        <v>41718</v>
      </c>
      <c r="N525" t="s">
        <v>45095</v>
      </c>
      <c r="O525" t="s">
        <v>45096</v>
      </c>
      <c r="P525">
        <v>0</v>
      </c>
      <c r="Q525">
        <v>0</v>
      </c>
      <c r="R525" t="s">
        <v>45097</v>
      </c>
      <c r="S525" t="s">
        <v>45222</v>
      </c>
      <c r="T525" t="s">
        <v>46916</v>
      </c>
      <c r="U525" t="s">
        <v>47940</v>
      </c>
      <c r="W525" t="s">
        <v>41718</v>
      </c>
      <c r="X525" t="s">
        <v>45098</v>
      </c>
    </row>
    <row r="526" spans="1:24">
      <c r="A526">
        <f>HYPERLINK("https://www.philgeps.gov.ph/GEPSNONPILOT/Tender/SplashBidNoticeAbstractUI.aspx?menuIndex=3&amp;refID=7044671&amp;Result=3","7044671")</f>
        <v>0</v>
      </c>
      <c r="B526" t="s">
        <v>161</v>
      </c>
      <c r="C526" t="s">
        <v>3697</v>
      </c>
      <c r="E526" t="s">
        <v>18622</v>
      </c>
      <c r="F526" t="s">
        <v>31574</v>
      </c>
      <c r="G526" t="s">
        <v>31581</v>
      </c>
      <c r="H526" t="s">
        <v>31590</v>
      </c>
      <c r="I526" t="s">
        <v>31631</v>
      </c>
      <c r="J526" t="s">
        <v>32170</v>
      </c>
      <c r="K526" t="s">
        <v>41184</v>
      </c>
      <c r="M526" t="s">
        <v>41645</v>
      </c>
      <c r="N526" t="s">
        <v>45095</v>
      </c>
      <c r="O526" t="s">
        <v>45096</v>
      </c>
      <c r="P526">
        <v>0</v>
      </c>
      <c r="Q526">
        <v>0</v>
      </c>
      <c r="R526" t="s">
        <v>45097</v>
      </c>
      <c r="S526" t="s">
        <v>45222</v>
      </c>
      <c r="T526" t="s">
        <v>46913</v>
      </c>
      <c r="U526" t="s">
        <v>47941</v>
      </c>
      <c r="W526" t="s">
        <v>41645</v>
      </c>
      <c r="X526" t="s">
        <v>45098</v>
      </c>
    </row>
    <row r="527" spans="1:24">
      <c r="A527">
        <f>HYPERLINK("https://www.philgeps.gov.ph/GEPSNONPILOT/Tender/SplashBidNoticeAbstractUI.aspx?menuIndex=3&amp;refID=7044653&amp;Result=3","7044653")</f>
        <v>0</v>
      </c>
      <c r="B527" t="s">
        <v>250</v>
      </c>
      <c r="C527" t="s">
        <v>3698</v>
      </c>
      <c r="D527" t="s">
        <v>18022</v>
      </c>
      <c r="E527" t="s">
        <v>18623</v>
      </c>
      <c r="F527" t="s">
        <v>31574</v>
      </c>
      <c r="G527" t="s">
        <v>31582</v>
      </c>
      <c r="H527" t="s">
        <v>31590</v>
      </c>
      <c r="I527" t="s">
        <v>31594</v>
      </c>
      <c r="J527" t="s">
        <v>32171</v>
      </c>
      <c r="K527" t="s">
        <v>41189</v>
      </c>
      <c r="M527" t="s">
        <v>41736</v>
      </c>
      <c r="N527" t="s">
        <v>45095</v>
      </c>
      <c r="O527" t="s">
        <v>45096</v>
      </c>
      <c r="P527">
        <v>0</v>
      </c>
      <c r="Q527">
        <v>0</v>
      </c>
      <c r="R527" t="s">
        <v>45097</v>
      </c>
      <c r="S527" t="s">
        <v>45222</v>
      </c>
      <c r="T527" t="s">
        <v>46998</v>
      </c>
      <c r="U527" t="s">
        <v>47942</v>
      </c>
      <c r="V527" t="s">
        <v>59909</v>
      </c>
      <c r="W527" t="s">
        <v>41736</v>
      </c>
      <c r="X527" t="s">
        <v>45098</v>
      </c>
    </row>
    <row r="528" spans="1:24">
      <c r="A528">
        <f>HYPERLINK("https://www.philgeps.gov.ph/GEPSNONPILOT/Tender/SplashBidNoticeAbstractUI.aspx?menuIndex=3&amp;refID=7044675&amp;Result=3","7044675")</f>
        <v>0</v>
      </c>
      <c r="B528" t="s">
        <v>218</v>
      </c>
      <c r="C528" t="s">
        <v>3699</v>
      </c>
      <c r="D528" t="s">
        <v>18070</v>
      </c>
      <c r="E528" t="s">
        <v>18624</v>
      </c>
      <c r="F528" t="s">
        <v>31574</v>
      </c>
      <c r="G528" t="s">
        <v>31583</v>
      </c>
      <c r="H528" t="s">
        <v>31590</v>
      </c>
      <c r="I528" t="s">
        <v>3520</v>
      </c>
      <c r="J528" t="s">
        <v>32172</v>
      </c>
      <c r="K528" t="s">
        <v>41193</v>
      </c>
      <c r="M528" t="s">
        <v>41703</v>
      </c>
      <c r="N528" t="s">
        <v>45095</v>
      </c>
      <c r="O528" t="s">
        <v>45096</v>
      </c>
      <c r="P528">
        <v>0</v>
      </c>
      <c r="Q528">
        <v>0</v>
      </c>
      <c r="R528" t="s">
        <v>45097</v>
      </c>
      <c r="S528" t="s">
        <v>45222</v>
      </c>
      <c r="T528" t="s">
        <v>46957</v>
      </c>
      <c r="U528" t="s">
        <v>47880</v>
      </c>
      <c r="W528" t="s">
        <v>41703</v>
      </c>
      <c r="X528" t="s">
        <v>45098</v>
      </c>
    </row>
    <row r="529" spans="1:24">
      <c r="A529">
        <f>HYPERLINK("https://www.philgeps.gov.ph/GEPSNONPILOT/Tender/SplashBidNoticeAbstractUI.aspx?menuIndex=3&amp;refID=7044682&amp;Result=3","7044682")</f>
        <v>0</v>
      </c>
      <c r="B529" t="s">
        <v>251</v>
      </c>
      <c r="C529" t="s">
        <v>3700</v>
      </c>
      <c r="D529" t="s">
        <v>18057</v>
      </c>
      <c r="E529" t="s">
        <v>18625</v>
      </c>
      <c r="F529" t="s">
        <v>31574</v>
      </c>
      <c r="G529" t="s">
        <v>31583</v>
      </c>
      <c r="H529" t="s">
        <v>31590</v>
      </c>
      <c r="I529" t="s">
        <v>31600</v>
      </c>
      <c r="J529" t="s">
        <v>32173</v>
      </c>
      <c r="K529" t="s">
        <v>41197</v>
      </c>
      <c r="M529" t="s">
        <v>41737</v>
      </c>
      <c r="N529" t="s">
        <v>45095</v>
      </c>
      <c r="O529" t="s">
        <v>45096</v>
      </c>
      <c r="P529">
        <v>0</v>
      </c>
      <c r="Q529">
        <v>0</v>
      </c>
      <c r="R529" t="s">
        <v>45097</v>
      </c>
      <c r="S529" t="s">
        <v>45222</v>
      </c>
      <c r="T529" t="s">
        <v>46973</v>
      </c>
      <c r="U529" t="s">
        <v>47943</v>
      </c>
      <c r="W529" t="s">
        <v>41737</v>
      </c>
      <c r="X529" t="s">
        <v>45098</v>
      </c>
    </row>
    <row r="530" spans="1:24">
      <c r="A530">
        <f>HYPERLINK("https://www.philgeps.gov.ph/GEPSNONPILOT/Tender/SplashBidNoticeAbstractUI.aspx?menuIndex=3&amp;refID=7044669&amp;Result=3","7044669")</f>
        <v>0</v>
      </c>
      <c r="B530" t="s">
        <v>252</v>
      </c>
      <c r="C530" t="s">
        <v>3701</v>
      </c>
      <c r="D530" t="s">
        <v>18065</v>
      </c>
      <c r="E530" t="s">
        <v>18626</v>
      </c>
      <c r="F530" t="s">
        <v>31574</v>
      </c>
      <c r="G530" t="s">
        <v>31581</v>
      </c>
      <c r="H530" t="s">
        <v>31590</v>
      </c>
      <c r="I530" t="s">
        <v>4046</v>
      </c>
      <c r="J530" t="s">
        <v>32174</v>
      </c>
      <c r="K530" t="s">
        <v>41185</v>
      </c>
      <c r="M530" t="s">
        <v>41738</v>
      </c>
      <c r="N530" t="s">
        <v>45095</v>
      </c>
      <c r="O530" t="s">
        <v>45096</v>
      </c>
      <c r="P530">
        <v>0</v>
      </c>
      <c r="Q530">
        <v>0</v>
      </c>
      <c r="R530" t="s">
        <v>45097</v>
      </c>
      <c r="S530" t="s">
        <v>45222</v>
      </c>
      <c r="T530" t="s">
        <v>46913</v>
      </c>
      <c r="U530" t="s">
        <v>47944</v>
      </c>
      <c r="W530" t="s">
        <v>41738</v>
      </c>
      <c r="X530" t="s">
        <v>45098</v>
      </c>
    </row>
    <row r="531" spans="1:24">
      <c r="A531">
        <f>HYPERLINK("https://www.philgeps.gov.ph/GEPSNONPILOT/Tender/SplashBidNoticeAbstractUI.aspx?menuIndex=3&amp;refID=7044673&amp;Result=3","7044673")</f>
        <v>0</v>
      </c>
      <c r="B531" t="s">
        <v>159</v>
      </c>
      <c r="C531" t="s">
        <v>3702</v>
      </c>
      <c r="D531" t="s">
        <v>18046</v>
      </c>
      <c r="E531" t="s">
        <v>18627</v>
      </c>
      <c r="F531" t="s">
        <v>31574</v>
      </c>
      <c r="G531" t="s">
        <v>31582</v>
      </c>
      <c r="H531" t="s">
        <v>31590</v>
      </c>
      <c r="I531" t="s">
        <v>31612</v>
      </c>
      <c r="J531" t="s">
        <v>32003</v>
      </c>
      <c r="K531" t="s">
        <v>41186</v>
      </c>
      <c r="M531" t="s">
        <v>41643</v>
      </c>
      <c r="N531" t="s">
        <v>45095</v>
      </c>
      <c r="O531" t="s">
        <v>45096</v>
      </c>
      <c r="P531">
        <v>0</v>
      </c>
      <c r="Q531">
        <v>0</v>
      </c>
      <c r="R531" t="s">
        <v>45097</v>
      </c>
      <c r="S531" t="s">
        <v>45222</v>
      </c>
      <c r="T531" t="s">
        <v>46914</v>
      </c>
      <c r="U531" t="s">
        <v>47772</v>
      </c>
      <c r="V531" t="s">
        <v>59890</v>
      </c>
      <c r="W531" t="s">
        <v>41643</v>
      </c>
      <c r="X531" t="s">
        <v>45098</v>
      </c>
    </row>
    <row r="532" spans="1:24">
      <c r="A532">
        <f>HYPERLINK("https://www.philgeps.gov.ph/GEPSNONPILOT/Tender/SplashBidNoticeAbstractUI.aspx?menuIndex=3&amp;refID=7044685&amp;Result=3","7044685")</f>
        <v>0</v>
      </c>
      <c r="B532" t="s">
        <v>159</v>
      </c>
      <c r="C532" t="s">
        <v>3703</v>
      </c>
      <c r="D532" t="s">
        <v>18046</v>
      </c>
      <c r="E532" t="s">
        <v>18628</v>
      </c>
      <c r="F532" t="s">
        <v>31574</v>
      </c>
      <c r="G532" t="s">
        <v>31582</v>
      </c>
      <c r="H532" t="s">
        <v>31590</v>
      </c>
      <c r="I532" t="s">
        <v>31605</v>
      </c>
      <c r="J532" t="s">
        <v>32175</v>
      </c>
      <c r="K532" t="s">
        <v>41186</v>
      </c>
      <c r="M532" t="s">
        <v>41643</v>
      </c>
      <c r="N532" t="s">
        <v>45095</v>
      </c>
      <c r="O532" t="s">
        <v>45096</v>
      </c>
      <c r="P532">
        <v>0</v>
      </c>
      <c r="Q532">
        <v>0</v>
      </c>
      <c r="R532" t="s">
        <v>45097</v>
      </c>
      <c r="S532" t="s">
        <v>45222</v>
      </c>
      <c r="T532" t="s">
        <v>46914</v>
      </c>
      <c r="U532" t="s">
        <v>47772</v>
      </c>
      <c r="V532" t="s">
        <v>59890</v>
      </c>
      <c r="W532" t="s">
        <v>41643</v>
      </c>
      <c r="X532" t="s">
        <v>45098</v>
      </c>
    </row>
    <row r="533" spans="1:24">
      <c r="A533">
        <f>HYPERLINK("https://www.philgeps.gov.ph/GEPSNONPILOT/Tender/SplashBidNoticeAbstractUI.aspx?menuIndex=3&amp;refID=7044692&amp;Result=3","7044692")</f>
        <v>0</v>
      </c>
      <c r="B533" t="s">
        <v>243</v>
      </c>
      <c r="C533" t="s">
        <v>3704</v>
      </c>
      <c r="D533" t="s">
        <v>18068</v>
      </c>
      <c r="E533" t="s">
        <v>18629</v>
      </c>
      <c r="F533" t="s">
        <v>31574</v>
      </c>
      <c r="G533" t="s">
        <v>31582</v>
      </c>
      <c r="H533" t="s">
        <v>31591</v>
      </c>
      <c r="I533" t="s">
        <v>8822</v>
      </c>
      <c r="J533" t="s">
        <v>32176</v>
      </c>
      <c r="K533" t="s">
        <v>41185</v>
      </c>
      <c r="M533" t="s">
        <v>41729</v>
      </c>
      <c r="N533" t="s">
        <v>45095</v>
      </c>
      <c r="O533" t="s">
        <v>45096</v>
      </c>
      <c r="P533">
        <v>0</v>
      </c>
      <c r="Q533">
        <v>0</v>
      </c>
      <c r="R533" t="s">
        <v>45097</v>
      </c>
      <c r="S533" t="s">
        <v>45222</v>
      </c>
      <c r="T533" t="s">
        <v>46929</v>
      </c>
      <c r="U533" t="s">
        <v>47945</v>
      </c>
      <c r="W533" t="s">
        <v>41729</v>
      </c>
      <c r="X533" t="s">
        <v>45098</v>
      </c>
    </row>
    <row r="534" spans="1:24">
      <c r="A534">
        <f>HYPERLINK("https://www.philgeps.gov.ph/GEPSNONPILOT/Tender/SplashBidNoticeAbstractUI.aspx?menuIndex=3&amp;refID=7044681&amp;Result=3","7044681")</f>
        <v>0</v>
      </c>
      <c r="B534" t="s">
        <v>232</v>
      </c>
      <c r="C534" t="s">
        <v>3705</v>
      </c>
      <c r="D534" t="s">
        <v>18040</v>
      </c>
      <c r="E534" t="s">
        <v>18630</v>
      </c>
      <c r="F534" t="s">
        <v>31574</v>
      </c>
      <c r="G534" t="s">
        <v>31581</v>
      </c>
      <c r="H534" t="s">
        <v>31590</v>
      </c>
      <c r="I534" t="s">
        <v>7162</v>
      </c>
      <c r="J534" t="s">
        <v>32177</v>
      </c>
      <c r="K534" t="s">
        <v>41197</v>
      </c>
      <c r="M534" t="s">
        <v>41717</v>
      </c>
      <c r="N534" t="s">
        <v>45095</v>
      </c>
      <c r="O534" t="s">
        <v>45096</v>
      </c>
      <c r="P534">
        <v>0</v>
      </c>
      <c r="Q534">
        <v>0</v>
      </c>
      <c r="R534" t="s">
        <v>45097</v>
      </c>
      <c r="S534" t="s">
        <v>45222</v>
      </c>
      <c r="T534" t="s">
        <v>46920</v>
      </c>
      <c r="U534" t="s">
        <v>47946</v>
      </c>
      <c r="W534" t="s">
        <v>41717</v>
      </c>
      <c r="X534" t="s">
        <v>45098</v>
      </c>
    </row>
    <row r="535" spans="1:24">
      <c r="A535">
        <f>HYPERLINK("https://www.philgeps.gov.ph/GEPSNONPILOT/Tender/SplashBidNoticeAbstractUI.aspx?menuIndex=3&amp;refID=7044679&amp;Result=3","7044679")</f>
        <v>0</v>
      </c>
      <c r="B535" t="s">
        <v>213</v>
      </c>
      <c r="C535" t="s">
        <v>3706</v>
      </c>
      <c r="D535" t="s">
        <v>18065</v>
      </c>
      <c r="E535" t="s">
        <v>18631</v>
      </c>
      <c r="F535" t="s">
        <v>31574</v>
      </c>
      <c r="G535" t="s">
        <v>31584</v>
      </c>
      <c r="H535" t="s">
        <v>31590</v>
      </c>
      <c r="I535" t="s">
        <v>3520</v>
      </c>
      <c r="J535" t="s">
        <v>32178</v>
      </c>
      <c r="K535" t="s">
        <v>41190</v>
      </c>
      <c r="M535" t="s">
        <v>41698</v>
      </c>
      <c r="N535" t="s">
        <v>45095</v>
      </c>
      <c r="O535" t="s">
        <v>45096</v>
      </c>
      <c r="P535">
        <v>0</v>
      </c>
      <c r="Q535">
        <v>0</v>
      </c>
      <c r="R535" t="s">
        <v>45097</v>
      </c>
      <c r="S535" t="s">
        <v>45222</v>
      </c>
      <c r="T535" t="s">
        <v>46946</v>
      </c>
      <c r="U535" t="s">
        <v>47947</v>
      </c>
      <c r="W535" t="s">
        <v>41698</v>
      </c>
      <c r="X535" t="s">
        <v>45098</v>
      </c>
    </row>
    <row r="536" spans="1:24">
      <c r="A536">
        <f>HYPERLINK("https://www.philgeps.gov.ph/GEPSNONPILOT/Tender/SplashBidNoticeAbstractUI.aspx?menuIndex=3&amp;refID=7044684&amp;Result=3","7044684")</f>
        <v>0</v>
      </c>
      <c r="B536" t="s">
        <v>253</v>
      </c>
      <c r="C536" t="s">
        <v>3707</v>
      </c>
      <c r="D536" t="s">
        <v>18036</v>
      </c>
      <c r="E536" t="s">
        <v>18632</v>
      </c>
      <c r="F536" t="s">
        <v>31574</v>
      </c>
      <c r="G536" t="s">
        <v>31582</v>
      </c>
      <c r="H536" t="s">
        <v>31590</v>
      </c>
      <c r="I536" t="s">
        <v>4046</v>
      </c>
      <c r="J536" t="s">
        <v>32179</v>
      </c>
      <c r="K536" t="s">
        <v>41184</v>
      </c>
      <c r="M536" t="s">
        <v>41739</v>
      </c>
      <c r="N536" t="s">
        <v>45095</v>
      </c>
      <c r="O536" t="s">
        <v>45096</v>
      </c>
      <c r="P536">
        <v>0</v>
      </c>
      <c r="Q536">
        <v>0</v>
      </c>
      <c r="R536" t="s">
        <v>45097</v>
      </c>
      <c r="S536" t="s">
        <v>45222</v>
      </c>
      <c r="T536" t="s">
        <v>46984</v>
      </c>
      <c r="U536" t="s">
        <v>47948</v>
      </c>
      <c r="W536" t="s">
        <v>41739</v>
      </c>
      <c r="X536" t="s">
        <v>45098</v>
      </c>
    </row>
    <row r="537" spans="1:24">
      <c r="A537">
        <f>HYPERLINK("https://www.philgeps.gov.ph/GEPSNONPILOT/Tender/SplashBidNoticeAbstractUI.aspx?menuIndex=3&amp;refID=7044691&amp;Result=3","7044691")</f>
        <v>0</v>
      </c>
      <c r="B537" t="s">
        <v>254</v>
      </c>
      <c r="C537" t="s">
        <v>3708</v>
      </c>
      <c r="D537" t="s">
        <v>18082</v>
      </c>
      <c r="E537" t="s">
        <v>18633</v>
      </c>
      <c r="F537" t="s">
        <v>31574</v>
      </c>
      <c r="G537" t="s">
        <v>31581</v>
      </c>
      <c r="H537" t="s">
        <v>31590</v>
      </c>
      <c r="I537" t="s">
        <v>14544</v>
      </c>
      <c r="J537" t="s">
        <v>31843</v>
      </c>
      <c r="K537" t="s">
        <v>41186</v>
      </c>
      <c r="M537" t="s">
        <v>41740</v>
      </c>
      <c r="N537" t="s">
        <v>45095</v>
      </c>
      <c r="O537" t="s">
        <v>45096</v>
      </c>
      <c r="P537">
        <v>0</v>
      </c>
      <c r="Q537">
        <v>0</v>
      </c>
      <c r="R537" t="s">
        <v>45097</v>
      </c>
      <c r="S537" t="s">
        <v>45222</v>
      </c>
      <c r="T537" t="s">
        <v>46904</v>
      </c>
      <c r="U537" t="s">
        <v>47949</v>
      </c>
      <c r="W537" t="s">
        <v>41740</v>
      </c>
      <c r="X537" t="s">
        <v>45098</v>
      </c>
    </row>
    <row r="538" spans="1:24">
      <c r="A538">
        <f>HYPERLINK("https://www.philgeps.gov.ph/GEPSNONPILOT/Tender/SplashBidNoticeAbstractUI.aspx?menuIndex=3&amp;refID=7044688&amp;Result=3","7044688")</f>
        <v>0</v>
      </c>
      <c r="B538" t="s">
        <v>124</v>
      </c>
      <c r="C538" t="s">
        <v>3709</v>
      </c>
      <c r="D538" t="s">
        <v>18065</v>
      </c>
      <c r="E538" t="s">
        <v>18634</v>
      </c>
      <c r="F538" t="s">
        <v>31574</v>
      </c>
      <c r="G538" t="s">
        <v>31581</v>
      </c>
      <c r="H538" t="s">
        <v>31590</v>
      </c>
      <c r="I538" t="s">
        <v>31603</v>
      </c>
      <c r="J538" t="s">
        <v>32180</v>
      </c>
      <c r="K538" t="s">
        <v>41184</v>
      </c>
      <c r="M538" t="s">
        <v>41608</v>
      </c>
      <c r="N538" t="s">
        <v>45095</v>
      </c>
      <c r="O538" t="s">
        <v>45096</v>
      </c>
      <c r="P538">
        <v>0</v>
      </c>
      <c r="Q538">
        <v>0</v>
      </c>
      <c r="R538" t="s">
        <v>45097</v>
      </c>
      <c r="S538" t="s">
        <v>45222</v>
      </c>
      <c r="T538" t="s">
        <v>46934</v>
      </c>
      <c r="U538" t="s">
        <v>47950</v>
      </c>
      <c r="W538" t="s">
        <v>41608</v>
      </c>
      <c r="X538" t="s">
        <v>45098</v>
      </c>
    </row>
    <row r="539" spans="1:24">
      <c r="A539">
        <f>HYPERLINK("https://www.philgeps.gov.ph/GEPSNONPILOT/Tender/SplashBidNoticeAbstractUI.aspx?menuIndex=3&amp;refID=7044680&amp;Result=3","7044680")</f>
        <v>0</v>
      </c>
      <c r="B539" t="s">
        <v>239</v>
      </c>
      <c r="C539" t="s">
        <v>3710</v>
      </c>
      <c r="D539" t="s">
        <v>18024</v>
      </c>
      <c r="E539" t="s">
        <v>18635</v>
      </c>
      <c r="F539" t="s">
        <v>31574</v>
      </c>
      <c r="G539" t="s">
        <v>31582</v>
      </c>
      <c r="H539" t="s">
        <v>31590</v>
      </c>
      <c r="I539" t="s">
        <v>6800</v>
      </c>
      <c r="J539" t="s">
        <v>32181</v>
      </c>
      <c r="K539" t="s">
        <v>41190</v>
      </c>
      <c r="M539" t="s">
        <v>41725</v>
      </c>
      <c r="N539" t="s">
        <v>45095</v>
      </c>
      <c r="O539" t="s">
        <v>45096</v>
      </c>
      <c r="P539">
        <v>0</v>
      </c>
      <c r="Q539">
        <v>0</v>
      </c>
      <c r="R539" t="s">
        <v>45097</v>
      </c>
      <c r="S539" t="s">
        <v>45222</v>
      </c>
      <c r="T539" t="s">
        <v>46996</v>
      </c>
      <c r="U539" t="s">
        <v>47916</v>
      </c>
      <c r="W539" t="s">
        <v>41725</v>
      </c>
      <c r="X539" t="s">
        <v>45098</v>
      </c>
    </row>
    <row r="540" spans="1:24">
      <c r="A540">
        <f>HYPERLINK("https://www.philgeps.gov.ph/GEPSNONPILOT/Tender/SplashBidNoticeAbstractUI.aspx?menuIndex=3&amp;refID=7044672&amp;Result=3","7044672")</f>
        <v>0</v>
      </c>
      <c r="B540" t="s">
        <v>201</v>
      </c>
      <c r="C540" t="s">
        <v>3711</v>
      </c>
      <c r="D540" t="s">
        <v>18045</v>
      </c>
      <c r="E540" t="s">
        <v>18636</v>
      </c>
      <c r="F540" t="s">
        <v>31574</v>
      </c>
      <c r="G540" t="s">
        <v>31585</v>
      </c>
      <c r="H540" t="s">
        <v>31590</v>
      </c>
      <c r="I540" t="s">
        <v>31615</v>
      </c>
      <c r="J540" t="s">
        <v>32182</v>
      </c>
      <c r="K540" t="s">
        <v>41184</v>
      </c>
      <c r="M540" t="s">
        <v>41686</v>
      </c>
      <c r="N540" t="s">
        <v>45095</v>
      </c>
      <c r="O540" t="s">
        <v>45096</v>
      </c>
      <c r="P540">
        <v>0</v>
      </c>
      <c r="Q540">
        <v>2</v>
      </c>
      <c r="R540" t="s">
        <v>45097</v>
      </c>
      <c r="S540" t="s">
        <v>45222</v>
      </c>
      <c r="T540" t="s">
        <v>46926</v>
      </c>
      <c r="U540" t="s">
        <v>47951</v>
      </c>
      <c r="W540" t="s">
        <v>41686</v>
      </c>
      <c r="X540" t="s">
        <v>45098</v>
      </c>
    </row>
    <row r="541" spans="1:24">
      <c r="A541">
        <f>HYPERLINK("https://www.philgeps.gov.ph/GEPSNONPILOT/Tender/SplashBidNoticeAbstractUI.aspx?menuIndex=3&amp;refID=7044687&amp;Result=3","7044687")</f>
        <v>0</v>
      </c>
      <c r="B541" t="s">
        <v>106</v>
      </c>
      <c r="C541" t="s">
        <v>3712</v>
      </c>
      <c r="D541" t="s">
        <v>18044</v>
      </c>
      <c r="E541" t="s">
        <v>18637</v>
      </c>
      <c r="F541" t="s">
        <v>31574</v>
      </c>
      <c r="G541" t="s">
        <v>31582</v>
      </c>
      <c r="H541" t="s">
        <v>31591</v>
      </c>
      <c r="I541" t="s">
        <v>7162</v>
      </c>
      <c r="J541" t="s">
        <v>32183</v>
      </c>
      <c r="K541" t="s">
        <v>41189</v>
      </c>
      <c r="M541" t="s">
        <v>41590</v>
      </c>
      <c r="N541" t="s">
        <v>45095</v>
      </c>
      <c r="O541" t="s">
        <v>45096</v>
      </c>
      <c r="P541">
        <v>0</v>
      </c>
      <c r="Q541">
        <v>0</v>
      </c>
      <c r="R541" t="s">
        <v>45097</v>
      </c>
      <c r="S541" t="s">
        <v>45222</v>
      </c>
      <c r="T541" t="s">
        <v>46916</v>
      </c>
      <c r="U541" t="s">
        <v>47952</v>
      </c>
      <c r="W541" t="s">
        <v>41590</v>
      </c>
      <c r="X541" t="s">
        <v>45098</v>
      </c>
    </row>
    <row r="542" spans="1:24">
      <c r="A542">
        <f>HYPERLINK("https://www.philgeps.gov.ph/GEPSNONPILOT/Tender/SplashBidNoticeAbstractUI.aspx?menuIndex=3&amp;refID=7044693&amp;Result=3","7044693")</f>
        <v>0</v>
      </c>
      <c r="B542" t="s">
        <v>228</v>
      </c>
      <c r="C542" t="s">
        <v>3713</v>
      </c>
      <c r="D542" t="s">
        <v>18059</v>
      </c>
      <c r="E542" t="s">
        <v>18638</v>
      </c>
      <c r="F542" t="s">
        <v>31575</v>
      </c>
      <c r="G542" t="s">
        <v>31582</v>
      </c>
      <c r="H542" t="s">
        <v>31591</v>
      </c>
      <c r="I542" t="s">
        <v>8822</v>
      </c>
      <c r="J542" t="s">
        <v>32184</v>
      </c>
      <c r="K542" t="s">
        <v>41200</v>
      </c>
      <c r="M542" t="s">
        <v>41713</v>
      </c>
      <c r="N542" t="s">
        <v>45095</v>
      </c>
      <c r="O542" t="s">
        <v>45096</v>
      </c>
      <c r="P542">
        <v>0</v>
      </c>
      <c r="Q542">
        <v>0</v>
      </c>
      <c r="R542" t="s">
        <v>45097</v>
      </c>
      <c r="S542" t="s">
        <v>45222</v>
      </c>
      <c r="T542" t="s">
        <v>46999</v>
      </c>
      <c r="U542" t="s">
        <v>47953</v>
      </c>
      <c r="W542" t="s">
        <v>41713</v>
      </c>
      <c r="X542" t="s">
        <v>45098</v>
      </c>
    </row>
    <row r="543" spans="1:24">
      <c r="A543">
        <f>HYPERLINK("https://www.philgeps.gov.ph/GEPSNONPILOT/Tender/SplashBidNoticeAbstractUI.aspx?menuIndex=3&amp;refID=7044698&amp;Result=3","7044698")</f>
        <v>0</v>
      </c>
      <c r="B543" t="s">
        <v>182</v>
      </c>
      <c r="C543" t="s">
        <v>3714</v>
      </c>
      <c r="D543" t="s">
        <v>18060</v>
      </c>
      <c r="E543" t="s">
        <v>18639</v>
      </c>
      <c r="F543" t="s">
        <v>31574</v>
      </c>
      <c r="G543" t="s">
        <v>31581</v>
      </c>
      <c r="H543" t="s">
        <v>31590</v>
      </c>
      <c r="I543" t="s">
        <v>3487</v>
      </c>
      <c r="J543" t="s">
        <v>32185</v>
      </c>
      <c r="K543" t="s">
        <v>41190</v>
      </c>
      <c r="M543" t="s">
        <v>41667</v>
      </c>
      <c r="N543" t="s">
        <v>45095</v>
      </c>
      <c r="O543" t="s">
        <v>45096</v>
      </c>
      <c r="P543">
        <v>0</v>
      </c>
      <c r="Q543">
        <v>0</v>
      </c>
      <c r="R543" t="s">
        <v>45097</v>
      </c>
      <c r="S543" t="s">
        <v>45222</v>
      </c>
      <c r="T543" t="s">
        <v>46918</v>
      </c>
      <c r="U543" t="s">
        <v>47954</v>
      </c>
      <c r="W543" t="s">
        <v>41667</v>
      </c>
      <c r="X543" t="s">
        <v>45098</v>
      </c>
    </row>
    <row r="544" spans="1:24">
      <c r="A544">
        <f>HYPERLINK("https://www.philgeps.gov.ph/GEPSNONPILOT/Tender/SplashBidNoticeAbstractUI.aspx?menuIndex=3&amp;refID=7044697&amp;Result=3","7044697")</f>
        <v>0</v>
      </c>
      <c r="B544" t="s">
        <v>159</v>
      </c>
      <c r="C544" t="s">
        <v>3715</v>
      </c>
      <c r="D544" t="s">
        <v>18046</v>
      </c>
      <c r="E544" t="s">
        <v>18640</v>
      </c>
      <c r="F544" t="s">
        <v>31574</v>
      </c>
      <c r="G544" t="s">
        <v>31582</v>
      </c>
      <c r="H544" t="s">
        <v>31590</v>
      </c>
      <c r="I544" t="s">
        <v>4046</v>
      </c>
      <c r="J544" t="s">
        <v>32186</v>
      </c>
      <c r="K544" t="s">
        <v>41186</v>
      </c>
      <c r="M544" t="s">
        <v>41643</v>
      </c>
      <c r="N544" t="s">
        <v>45095</v>
      </c>
      <c r="O544" t="s">
        <v>45096</v>
      </c>
      <c r="P544">
        <v>0</v>
      </c>
      <c r="Q544">
        <v>0</v>
      </c>
      <c r="R544" t="s">
        <v>45097</v>
      </c>
      <c r="S544" t="s">
        <v>45222</v>
      </c>
      <c r="T544" t="s">
        <v>46914</v>
      </c>
      <c r="U544" t="s">
        <v>47772</v>
      </c>
      <c r="V544" t="s">
        <v>59890</v>
      </c>
      <c r="W544" t="s">
        <v>41643</v>
      </c>
      <c r="X544" t="s">
        <v>45098</v>
      </c>
    </row>
    <row r="545" spans="1:24">
      <c r="A545">
        <f>HYPERLINK("https://www.philgeps.gov.ph/GEPSNONPILOT/Tender/SplashBidNoticeAbstractUI.aspx?menuIndex=3&amp;refID=7044695&amp;Result=3","7044695")</f>
        <v>0</v>
      </c>
      <c r="B545" t="s">
        <v>208</v>
      </c>
      <c r="C545" t="s">
        <v>3716</v>
      </c>
      <c r="D545" t="s">
        <v>18052</v>
      </c>
      <c r="E545" t="s">
        <v>18641</v>
      </c>
      <c r="F545" t="s">
        <v>31574</v>
      </c>
      <c r="G545" t="s">
        <v>31582</v>
      </c>
      <c r="H545" t="s">
        <v>31590</v>
      </c>
      <c r="I545" t="s">
        <v>31603</v>
      </c>
      <c r="J545" t="s">
        <v>32187</v>
      </c>
      <c r="K545" t="s">
        <v>41185</v>
      </c>
      <c r="M545" t="s">
        <v>41693</v>
      </c>
      <c r="N545" t="s">
        <v>45095</v>
      </c>
      <c r="O545" t="s">
        <v>45096</v>
      </c>
      <c r="P545">
        <v>0</v>
      </c>
      <c r="Q545">
        <v>0</v>
      </c>
      <c r="R545" t="s">
        <v>45097</v>
      </c>
      <c r="S545" t="s">
        <v>45222</v>
      </c>
      <c r="T545" t="s">
        <v>46910</v>
      </c>
      <c r="U545" t="s">
        <v>47955</v>
      </c>
      <c r="W545" t="s">
        <v>61656</v>
      </c>
      <c r="X545" t="s">
        <v>45098</v>
      </c>
    </row>
    <row r="546" spans="1:24">
      <c r="A546">
        <f>HYPERLINK("https://www.philgeps.gov.ph/GEPSNONPILOT/Tender/SplashBidNoticeAbstractUI.aspx?menuIndex=3&amp;refID=7044704&amp;Result=3","7044704")</f>
        <v>0</v>
      </c>
      <c r="B546" t="s">
        <v>255</v>
      </c>
      <c r="C546" t="s">
        <v>3717</v>
      </c>
      <c r="D546" t="s">
        <v>18082</v>
      </c>
      <c r="E546" t="s">
        <v>18642</v>
      </c>
      <c r="F546" t="s">
        <v>31574</v>
      </c>
      <c r="G546" t="s">
        <v>31583</v>
      </c>
      <c r="H546" t="s">
        <v>31590</v>
      </c>
      <c r="I546" t="s">
        <v>31602</v>
      </c>
      <c r="J546" t="s">
        <v>32188</v>
      </c>
      <c r="K546" t="s">
        <v>41196</v>
      </c>
      <c r="M546" t="s">
        <v>41741</v>
      </c>
      <c r="N546" t="s">
        <v>45095</v>
      </c>
      <c r="O546" t="s">
        <v>45096</v>
      </c>
      <c r="P546">
        <v>0</v>
      </c>
      <c r="Q546">
        <v>0</v>
      </c>
      <c r="R546" t="s">
        <v>45097</v>
      </c>
      <c r="S546" t="s">
        <v>45222</v>
      </c>
      <c r="T546" t="s">
        <v>47000</v>
      </c>
      <c r="U546" t="s">
        <v>47956</v>
      </c>
      <c r="W546" t="s">
        <v>41741</v>
      </c>
      <c r="X546" t="s">
        <v>45098</v>
      </c>
    </row>
    <row r="547" spans="1:24">
      <c r="A547">
        <f>HYPERLINK("https://www.philgeps.gov.ph/GEPSNONPILOT/Tender/SplashBidNoticeAbstractUI.aspx?menuIndex=3&amp;refID=7044694&amp;Result=3","7044694")</f>
        <v>0</v>
      </c>
      <c r="B547" t="s">
        <v>256</v>
      </c>
      <c r="C547" t="s">
        <v>3718</v>
      </c>
      <c r="D547" t="s">
        <v>18073</v>
      </c>
      <c r="E547" t="s">
        <v>18643</v>
      </c>
      <c r="F547" t="s">
        <v>31574</v>
      </c>
      <c r="G547" t="s">
        <v>31581</v>
      </c>
      <c r="H547" t="s">
        <v>31590</v>
      </c>
      <c r="I547" t="s">
        <v>14544</v>
      </c>
      <c r="J547" t="s">
        <v>31927</v>
      </c>
      <c r="K547" t="s">
        <v>41185</v>
      </c>
      <c r="M547" t="s">
        <v>41742</v>
      </c>
      <c r="N547" t="s">
        <v>45095</v>
      </c>
      <c r="O547" t="s">
        <v>45096</v>
      </c>
      <c r="P547">
        <v>0</v>
      </c>
      <c r="Q547">
        <v>0</v>
      </c>
      <c r="R547" t="s">
        <v>45097</v>
      </c>
      <c r="S547" t="s">
        <v>45222</v>
      </c>
      <c r="T547" t="s">
        <v>46945</v>
      </c>
      <c r="U547" t="s">
        <v>47957</v>
      </c>
      <c r="W547" t="s">
        <v>41742</v>
      </c>
      <c r="X547" t="s">
        <v>45098</v>
      </c>
    </row>
    <row r="548" spans="1:24">
      <c r="A548">
        <f>HYPERLINK("https://www.philgeps.gov.ph/GEPSNONPILOT/Tender/SplashBidNoticeAbstractUI.aspx?menuIndex=3&amp;refID=7044708&amp;Result=3","7044708")</f>
        <v>0</v>
      </c>
      <c r="B548" t="s">
        <v>191</v>
      </c>
      <c r="C548" t="s">
        <v>3719</v>
      </c>
      <c r="D548" t="s">
        <v>18082</v>
      </c>
      <c r="E548" t="s">
        <v>18644</v>
      </c>
      <c r="F548" t="s">
        <v>31574</v>
      </c>
      <c r="G548" t="s">
        <v>31582</v>
      </c>
      <c r="H548" t="s">
        <v>31591</v>
      </c>
      <c r="I548" t="s">
        <v>8822</v>
      </c>
      <c r="J548" t="s">
        <v>31819</v>
      </c>
      <c r="K548" t="s">
        <v>41184</v>
      </c>
      <c r="M548" t="s">
        <v>41676</v>
      </c>
      <c r="N548" t="s">
        <v>45095</v>
      </c>
      <c r="O548" t="s">
        <v>45096</v>
      </c>
      <c r="P548">
        <v>0</v>
      </c>
      <c r="Q548">
        <v>0</v>
      </c>
      <c r="R548" t="s">
        <v>45097</v>
      </c>
      <c r="S548" t="s">
        <v>45222</v>
      </c>
      <c r="T548" t="s">
        <v>46924</v>
      </c>
      <c r="U548" t="s">
        <v>47828</v>
      </c>
      <c r="W548" t="s">
        <v>41676</v>
      </c>
      <c r="X548" t="s">
        <v>45098</v>
      </c>
    </row>
    <row r="549" spans="1:24">
      <c r="A549">
        <f>HYPERLINK("https://www.philgeps.gov.ph/GEPSNONPILOT/Tender/SplashBidNoticeAbstractUI.aspx?menuIndex=3&amp;refID=7044700&amp;Result=3","7044700")</f>
        <v>0</v>
      </c>
      <c r="B549" t="s">
        <v>257</v>
      </c>
      <c r="C549" t="s">
        <v>3720</v>
      </c>
      <c r="D549" t="s">
        <v>18052</v>
      </c>
      <c r="E549" t="s">
        <v>18645</v>
      </c>
      <c r="F549" t="s">
        <v>31574</v>
      </c>
      <c r="G549" t="s">
        <v>31583</v>
      </c>
      <c r="H549" t="s">
        <v>31590</v>
      </c>
      <c r="I549" t="s">
        <v>31641</v>
      </c>
      <c r="J549" t="s">
        <v>31754</v>
      </c>
      <c r="K549" t="s">
        <v>41212</v>
      </c>
      <c r="M549" t="s">
        <v>41743</v>
      </c>
      <c r="N549" t="s">
        <v>45095</v>
      </c>
      <c r="O549" t="s">
        <v>45096</v>
      </c>
      <c r="P549">
        <v>0</v>
      </c>
      <c r="Q549">
        <v>0</v>
      </c>
      <c r="R549" t="s">
        <v>45097</v>
      </c>
      <c r="S549" t="s">
        <v>45222</v>
      </c>
      <c r="T549" t="s">
        <v>46936</v>
      </c>
      <c r="U549" t="s">
        <v>47958</v>
      </c>
      <c r="W549" t="s">
        <v>41743</v>
      </c>
      <c r="X549" t="s">
        <v>45098</v>
      </c>
    </row>
    <row r="550" spans="1:24">
      <c r="A550">
        <f>HYPERLINK("https://www.philgeps.gov.ph/GEPSNONPILOT/Tender/SplashBidNoticeAbstractUI.aspx?menuIndex=3&amp;refID=7044707&amp;Result=3","7044707")</f>
        <v>0</v>
      </c>
      <c r="B550" t="s">
        <v>258</v>
      </c>
      <c r="C550" t="s">
        <v>3721</v>
      </c>
      <c r="E550" t="s">
        <v>18374</v>
      </c>
      <c r="F550" t="s">
        <v>31574</v>
      </c>
      <c r="G550" t="s">
        <v>31582</v>
      </c>
      <c r="H550" t="s">
        <v>31590</v>
      </c>
      <c r="I550" t="s">
        <v>4046</v>
      </c>
      <c r="J550" t="s">
        <v>32189</v>
      </c>
      <c r="K550" t="s">
        <v>41191</v>
      </c>
      <c r="M550" t="s">
        <v>41744</v>
      </c>
      <c r="N550" t="s">
        <v>45095</v>
      </c>
      <c r="O550" t="s">
        <v>45096</v>
      </c>
      <c r="P550">
        <v>0</v>
      </c>
      <c r="Q550">
        <v>0</v>
      </c>
      <c r="R550" t="s">
        <v>45097</v>
      </c>
      <c r="S550" t="s">
        <v>45222</v>
      </c>
      <c r="T550" t="s">
        <v>46912</v>
      </c>
      <c r="U550" t="s">
        <v>47959</v>
      </c>
      <c r="V550" t="s">
        <v>59910</v>
      </c>
      <c r="W550" t="s">
        <v>41744</v>
      </c>
      <c r="X550" t="s">
        <v>45098</v>
      </c>
    </row>
    <row r="551" spans="1:24">
      <c r="A551">
        <f>HYPERLINK("https://www.philgeps.gov.ph/GEPSNONPILOT/Tender/SplashBidNoticeAbstractUI.aspx?menuIndex=3&amp;refID=7044706&amp;Result=3","7044706")</f>
        <v>0</v>
      </c>
      <c r="B551" t="s">
        <v>124</v>
      </c>
      <c r="C551" t="s">
        <v>3722</v>
      </c>
      <c r="D551" t="s">
        <v>18065</v>
      </c>
      <c r="E551" t="s">
        <v>18646</v>
      </c>
      <c r="F551" t="s">
        <v>31574</v>
      </c>
      <c r="G551" t="s">
        <v>31581</v>
      </c>
      <c r="H551" t="s">
        <v>31590</v>
      </c>
      <c r="I551" t="s">
        <v>31603</v>
      </c>
      <c r="J551" t="s">
        <v>32190</v>
      </c>
      <c r="K551" t="s">
        <v>41184</v>
      </c>
      <c r="M551" t="s">
        <v>41608</v>
      </c>
      <c r="N551" t="s">
        <v>45095</v>
      </c>
      <c r="O551" t="s">
        <v>45096</v>
      </c>
      <c r="P551">
        <v>0</v>
      </c>
      <c r="Q551">
        <v>0</v>
      </c>
      <c r="R551" t="s">
        <v>45097</v>
      </c>
      <c r="S551" t="s">
        <v>45222</v>
      </c>
      <c r="T551" t="s">
        <v>46934</v>
      </c>
      <c r="U551" t="s">
        <v>47960</v>
      </c>
      <c r="W551" t="s">
        <v>41608</v>
      </c>
      <c r="X551" t="s">
        <v>45098</v>
      </c>
    </row>
    <row r="552" spans="1:24">
      <c r="A552">
        <f>HYPERLINK("https://www.philgeps.gov.ph/GEPSNONPILOT/Tender/SplashBidNoticeAbstractUI.aspx?menuIndex=3&amp;refID=7044709&amp;Result=3","7044709")</f>
        <v>0</v>
      </c>
      <c r="B552" t="s">
        <v>259</v>
      </c>
      <c r="C552" t="s">
        <v>3723</v>
      </c>
      <c r="D552" t="s">
        <v>18027</v>
      </c>
      <c r="E552" t="s">
        <v>18647</v>
      </c>
      <c r="F552" t="s">
        <v>31574</v>
      </c>
      <c r="G552" t="s">
        <v>31581</v>
      </c>
      <c r="H552" t="s">
        <v>31590</v>
      </c>
      <c r="I552" t="s">
        <v>3487</v>
      </c>
      <c r="J552" t="s">
        <v>32191</v>
      </c>
      <c r="K552" t="s">
        <v>41186</v>
      </c>
      <c r="M552" t="s">
        <v>41745</v>
      </c>
      <c r="N552" t="s">
        <v>45095</v>
      </c>
      <c r="O552" t="s">
        <v>45096</v>
      </c>
      <c r="P552">
        <v>0</v>
      </c>
      <c r="Q552">
        <v>0</v>
      </c>
      <c r="R552" t="s">
        <v>45097</v>
      </c>
      <c r="S552" t="s">
        <v>45222</v>
      </c>
      <c r="T552" t="s">
        <v>46980</v>
      </c>
      <c r="U552" t="s">
        <v>47961</v>
      </c>
      <c r="W552" t="s">
        <v>41745</v>
      </c>
      <c r="X552" t="s">
        <v>45098</v>
      </c>
    </row>
    <row r="553" spans="1:24">
      <c r="A553">
        <f>HYPERLINK("https://www.philgeps.gov.ph/GEPSNONPILOT/Tender/SplashBidNoticeAbstractUI.aspx?menuIndex=3&amp;refID=7044719&amp;Result=3","7044719")</f>
        <v>0</v>
      </c>
      <c r="B553" t="s">
        <v>260</v>
      </c>
      <c r="C553" t="s">
        <v>3724</v>
      </c>
      <c r="D553" t="s">
        <v>18036</v>
      </c>
      <c r="E553" t="s">
        <v>18648</v>
      </c>
      <c r="F553" t="s">
        <v>31574</v>
      </c>
      <c r="G553" t="s">
        <v>31587</v>
      </c>
      <c r="H553" t="s">
        <v>31593</v>
      </c>
      <c r="I553" t="s">
        <v>31593</v>
      </c>
      <c r="J553" t="s">
        <v>32192</v>
      </c>
      <c r="K553" t="s">
        <v>41225</v>
      </c>
      <c r="M553" t="s">
        <v>41746</v>
      </c>
      <c r="N553" t="s">
        <v>45095</v>
      </c>
      <c r="O553" t="s">
        <v>45096</v>
      </c>
      <c r="P553">
        <v>0</v>
      </c>
      <c r="Q553">
        <v>0</v>
      </c>
      <c r="R553" t="s">
        <v>45097</v>
      </c>
      <c r="S553" t="s">
        <v>45222</v>
      </c>
      <c r="T553" t="s">
        <v>46926</v>
      </c>
      <c r="U553" t="s">
        <v>47962</v>
      </c>
      <c r="W553" t="s">
        <v>41746</v>
      </c>
      <c r="X553" t="s">
        <v>45098</v>
      </c>
    </row>
    <row r="554" spans="1:24">
      <c r="A554">
        <f>HYPERLINK("https://www.philgeps.gov.ph/GEPSNONPILOT/Tender/SplashBidNoticeAbstractUI.aspx?menuIndex=3&amp;refID=7044718&amp;Result=3","7044718")</f>
        <v>0</v>
      </c>
      <c r="B554" t="s">
        <v>186</v>
      </c>
      <c r="C554" t="s">
        <v>3725</v>
      </c>
      <c r="D554" t="s">
        <v>18027</v>
      </c>
      <c r="E554" t="s">
        <v>18522</v>
      </c>
      <c r="F554" t="s">
        <v>31575</v>
      </c>
      <c r="G554" t="s">
        <v>31583</v>
      </c>
      <c r="H554" t="s">
        <v>31590</v>
      </c>
      <c r="I554" t="s">
        <v>4046</v>
      </c>
      <c r="J554" t="s">
        <v>32193</v>
      </c>
      <c r="K554" t="s">
        <v>41197</v>
      </c>
      <c r="M554" t="s">
        <v>41671</v>
      </c>
      <c r="N554" t="s">
        <v>45095</v>
      </c>
      <c r="O554" t="s">
        <v>45096</v>
      </c>
      <c r="P554">
        <v>0</v>
      </c>
      <c r="Q554">
        <v>0</v>
      </c>
      <c r="R554" t="s">
        <v>45097</v>
      </c>
      <c r="S554" t="s">
        <v>45222</v>
      </c>
      <c r="T554" t="s">
        <v>47001</v>
      </c>
      <c r="U554" t="s">
        <v>47963</v>
      </c>
      <c r="W554" t="s">
        <v>41671</v>
      </c>
      <c r="X554" t="s">
        <v>45098</v>
      </c>
    </row>
    <row r="555" spans="1:24">
      <c r="A555">
        <f>HYPERLINK("https://www.philgeps.gov.ph/GEPSNONPILOT/Tender/SplashBidNoticeAbstractUI.aspx?menuIndex=3&amp;refID=7044711&amp;Result=3","7044711")</f>
        <v>0</v>
      </c>
      <c r="B555" t="s">
        <v>232</v>
      </c>
      <c r="C555" t="s">
        <v>3726</v>
      </c>
      <c r="D555" t="s">
        <v>18040</v>
      </c>
      <c r="E555" t="s">
        <v>18649</v>
      </c>
      <c r="F555" t="s">
        <v>31574</v>
      </c>
      <c r="G555" t="s">
        <v>31581</v>
      </c>
      <c r="H555" t="s">
        <v>31590</v>
      </c>
      <c r="I555" t="s">
        <v>31641</v>
      </c>
      <c r="J555" t="s">
        <v>32194</v>
      </c>
      <c r="K555" t="s">
        <v>41197</v>
      </c>
      <c r="M555" t="s">
        <v>41717</v>
      </c>
      <c r="N555" t="s">
        <v>45095</v>
      </c>
      <c r="O555" t="s">
        <v>45096</v>
      </c>
      <c r="P555">
        <v>0</v>
      </c>
      <c r="Q555">
        <v>0</v>
      </c>
      <c r="R555" t="s">
        <v>45097</v>
      </c>
      <c r="S555" t="s">
        <v>45222</v>
      </c>
      <c r="T555" t="s">
        <v>46920</v>
      </c>
      <c r="U555" t="s">
        <v>47964</v>
      </c>
      <c r="W555" t="s">
        <v>41717</v>
      </c>
      <c r="X555" t="s">
        <v>45098</v>
      </c>
    </row>
    <row r="556" spans="1:24">
      <c r="A556">
        <f>HYPERLINK("https://www.philgeps.gov.ph/GEPSNONPILOT/Tender/SplashBidNoticeAbstractUI.aspx?menuIndex=3&amp;refID=7044703&amp;Result=3","7044703")</f>
        <v>0</v>
      </c>
      <c r="B556" t="s">
        <v>180</v>
      </c>
      <c r="C556" t="s">
        <v>3727</v>
      </c>
      <c r="D556" t="s">
        <v>18066</v>
      </c>
      <c r="E556" t="s">
        <v>18650</v>
      </c>
      <c r="F556" t="s">
        <v>31574</v>
      </c>
      <c r="G556" t="s">
        <v>31582</v>
      </c>
      <c r="H556" t="s">
        <v>31590</v>
      </c>
      <c r="I556" t="s">
        <v>4046</v>
      </c>
      <c r="J556" t="s">
        <v>32195</v>
      </c>
      <c r="K556" t="s">
        <v>41196</v>
      </c>
      <c r="M556" t="s">
        <v>41665</v>
      </c>
      <c r="N556" t="s">
        <v>45095</v>
      </c>
      <c r="O556" t="s">
        <v>45096</v>
      </c>
      <c r="P556">
        <v>0</v>
      </c>
      <c r="Q556">
        <v>0</v>
      </c>
      <c r="R556" t="s">
        <v>45097</v>
      </c>
      <c r="S556" t="s">
        <v>45222</v>
      </c>
      <c r="T556" t="s">
        <v>46977</v>
      </c>
      <c r="U556" t="s">
        <v>47965</v>
      </c>
      <c r="W556" t="s">
        <v>41665</v>
      </c>
      <c r="X556" t="s">
        <v>45098</v>
      </c>
    </row>
    <row r="557" spans="1:24">
      <c r="A557">
        <f>HYPERLINK("https://www.philgeps.gov.ph/GEPSNONPILOT/Tender/SplashBidNoticeAbstractUI.aspx?menuIndex=3&amp;refID=7044720&amp;Result=3","7044720")</f>
        <v>0</v>
      </c>
      <c r="B557" t="s">
        <v>59</v>
      </c>
      <c r="C557" t="s">
        <v>3728</v>
      </c>
      <c r="D557" t="s">
        <v>18048</v>
      </c>
      <c r="E557" t="s">
        <v>18651</v>
      </c>
      <c r="F557" t="s">
        <v>31574</v>
      </c>
      <c r="G557" t="s">
        <v>31583</v>
      </c>
      <c r="H557" t="s">
        <v>31590</v>
      </c>
      <c r="I557" t="s">
        <v>7162</v>
      </c>
      <c r="J557" t="s">
        <v>32196</v>
      </c>
      <c r="K557" t="s">
        <v>41186</v>
      </c>
      <c r="M557" t="s">
        <v>41543</v>
      </c>
      <c r="N557" t="s">
        <v>45095</v>
      </c>
      <c r="O557" t="s">
        <v>45096</v>
      </c>
      <c r="P557">
        <v>0</v>
      </c>
      <c r="Q557">
        <v>0</v>
      </c>
      <c r="R557" t="s">
        <v>45097</v>
      </c>
      <c r="S557" t="s">
        <v>45222</v>
      </c>
      <c r="T557" t="s">
        <v>46926</v>
      </c>
      <c r="U557" t="s">
        <v>47966</v>
      </c>
      <c r="V557" t="s">
        <v>59856</v>
      </c>
      <c r="W557" t="s">
        <v>41543</v>
      </c>
      <c r="X557" t="s">
        <v>45098</v>
      </c>
    </row>
    <row r="558" spans="1:24">
      <c r="A558">
        <f>HYPERLINK("https://www.philgeps.gov.ph/GEPSNONPILOT/Tender/SplashBidNoticeAbstractUI.aspx?menuIndex=3&amp;refID=7044717&amp;Result=3","7044717")</f>
        <v>0</v>
      </c>
      <c r="B558" t="s">
        <v>261</v>
      </c>
      <c r="C558" t="s">
        <v>3729</v>
      </c>
      <c r="D558" t="s">
        <v>18036</v>
      </c>
      <c r="E558" t="s">
        <v>18652</v>
      </c>
      <c r="F558" t="s">
        <v>31574</v>
      </c>
      <c r="G558" t="s">
        <v>31582</v>
      </c>
      <c r="H558" t="s">
        <v>31590</v>
      </c>
      <c r="I558" t="s">
        <v>4046</v>
      </c>
      <c r="J558" t="s">
        <v>32197</v>
      </c>
      <c r="K558" t="s">
        <v>41184</v>
      </c>
      <c r="M558" t="s">
        <v>41747</v>
      </c>
      <c r="N558" t="s">
        <v>45095</v>
      </c>
      <c r="O558" t="s">
        <v>45096</v>
      </c>
      <c r="P558">
        <v>0</v>
      </c>
      <c r="Q558">
        <v>0</v>
      </c>
      <c r="R558" t="s">
        <v>45097</v>
      </c>
      <c r="S558" t="s">
        <v>45222</v>
      </c>
      <c r="T558" t="s">
        <v>46984</v>
      </c>
      <c r="U558" t="s">
        <v>47967</v>
      </c>
      <c r="W558" t="s">
        <v>41747</v>
      </c>
      <c r="X558" t="s">
        <v>45098</v>
      </c>
    </row>
    <row r="559" spans="1:24">
      <c r="A559">
        <f>HYPERLINK("https://www.philgeps.gov.ph/GEPSNONPILOT/Tender/SplashBidNoticeAbstractUI.aspx?menuIndex=3&amp;refID=7044732&amp;Result=3","7044732")</f>
        <v>0</v>
      </c>
      <c r="B559" t="s">
        <v>233</v>
      </c>
      <c r="C559" t="s">
        <v>3730</v>
      </c>
      <c r="D559" t="s">
        <v>18052</v>
      </c>
      <c r="E559" t="s">
        <v>18653</v>
      </c>
      <c r="F559" t="s">
        <v>31574</v>
      </c>
      <c r="G559" t="s">
        <v>31582</v>
      </c>
      <c r="H559" t="s">
        <v>31591</v>
      </c>
      <c r="I559" t="s">
        <v>4046</v>
      </c>
      <c r="J559" t="s">
        <v>32198</v>
      </c>
      <c r="K559" t="s">
        <v>41190</v>
      </c>
      <c r="M559" t="s">
        <v>41718</v>
      </c>
      <c r="N559" t="s">
        <v>45095</v>
      </c>
      <c r="O559" t="s">
        <v>45096</v>
      </c>
      <c r="P559">
        <v>0</v>
      </c>
      <c r="Q559">
        <v>0</v>
      </c>
      <c r="R559" t="s">
        <v>45097</v>
      </c>
      <c r="S559" t="s">
        <v>45222</v>
      </c>
      <c r="T559" t="s">
        <v>46916</v>
      </c>
      <c r="U559" t="s">
        <v>47968</v>
      </c>
      <c r="W559" t="s">
        <v>41718</v>
      </c>
      <c r="X559" t="s">
        <v>45098</v>
      </c>
    </row>
    <row r="560" spans="1:24">
      <c r="A560">
        <f>HYPERLINK("https://www.philgeps.gov.ph/GEPSNONPILOT/Tender/SplashBidNoticeAbstractUI.aspx?menuIndex=3&amp;refID=7044702&amp;Result=3","7044702")</f>
        <v>0</v>
      </c>
      <c r="B560" t="s">
        <v>236</v>
      </c>
      <c r="C560" t="s">
        <v>3663</v>
      </c>
      <c r="D560" t="s">
        <v>18063</v>
      </c>
      <c r="E560" t="s">
        <v>18654</v>
      </c>
      <c r="F560" t="s">
        <v>31574</v>
      </c>
      <c r="G560" t="s">
        <v>31581</v>
      </c>
      <c r="H560" t="s">
        <v>31590</v>
      </c>
      <c r="I560" t="s">
        <v>6800</v>
      </c>
      <c r="J560" t="s">
        <v>32199</v>
      </c>
      <c r="K560" t="s">
        <v>41186</v>
      </c>
      <c r="M560" t="s">
        <v>41722</v>
      </c>
      <c r="N560" t="s">
        <v>45095</v>
      </c>
      <c r="O560" t="s">
        <v>45096</v>
      </c>
      <c r="P560">
        <v>0</v>
      </c>
      <c r="Q560">
        <v>0</v>
      </c>
      <c r="R560" t="s">
        <v>45097</v>
      </c>
      <c r="S560" t="s">
        <v>45222</v>
      </c>
      <c r="T560" t="s">
        <v>46961</v>
      </c>
      <c r="U560" t="s">
        <v>47969</v>
      </c>
      <c r="W560" t="s">
        <v>41722</v>
      </c>
      <c r="X560" t="s">
        <v>45098</v>
      </c>
    </row>
    <row r="561" spans="1:24">
      <c r="A561">
        <f>HYPERLINK("https://www.philgeps.gov.ph/GEPSNONPILOT/Tender/SplashBidNoticeAbstractUI.aspx?menuIndex=3&amp;refID=7044728&amp;Result=3","7044728")</f>
        <v>0</v>
      </c>
      <c r="B561" t="s">
        <v>124</v>
      </c>
      <c r="C561" t="s">
        <v>3731</v>
      </c>
      <c r="D561" t="s">
        <v>18065</v>
      </c>
      <c r="E561" t="s">
        <v>18655</v>
      </c>
      <c r="F561" t="s">
        <v>31574</v>
      </c>
      <c r="G561" t="s">
        <v>31581</v>
      </c>
      <c r="H561" t="s">
        <v>31590</v>
      </c>
      <c r="I561" t="s">
        <v>31626</v>
      </c>
      <c r="J561" t="s">
        <v>31727</v>
      </c>
      <c r="K561" t="s">
        <v>41184</v>
      </c>
      <c r="M561" t="s">
        <v>41608</v>
      </c>
      <c r="N561" t="s">
        <v>45095</v>
      </c>
      <c r="O561" t="s">
        <v>45096</v>
      </c>
      <c r="P561">
        <v>0</v>
      </c>
      <c r="Q561">
        <v>0</v>
      </c>
      <c r="R561" t="s">
        <v>45097</v>
      </c>
      <c r="S561" t="s">
        <v>45222</v>
      </c>
      <c r="T561" t="s">
        <v>46934</v>
      </c>
      <c r="U561" t="s">
        <v>47970</v>
      </c>
      <c r="W561" t="s">
        <v>41608</v>
      </c>
      <c r="X561" t="s">
        <v>45098</v>
      </c>
    </row>
    <row r="562" spans="1:24">
      <c r="A562">
        <f>HYPERLINK("https://www.philgeps.gov.ph/GEPSNONPILOT/Tender/SplashBidNoticeAbstractUI.aspx?menuIndex=3&amp;refID=7044699&amp;Result=3","7044699")</f>
        <v>0</v>
      </c>
      <c r="B562" t="s">
        <v>262</v>
      </c>
      <c r="C562" t="s">
        <v>3732</v>
      </c>
      <c r="D562" t="s">
        <v>18074</v>
      </c>
      <c r="E562" t="s">
        <v>18656</v>
      </c>
      <c r="F562" t="s">
        <v>31574</v>
      </c>
      <c r="G562" t="s">
        <v>31581</v>
      </c>
      <c r="H562" t="s">
        <v>31590</v>
      </c>
      <c r="I562" t="s">
        <v>3539</v>
      </c>
      <c r="J562" t="s">
        <v>31993</v>
      </c>
      <c r="K562" t="s">
        <v>41184</v>
      </c>
      <c r="M562" t="s">
        <v>41748</v>
      </c>
      <c r="N562" t="s">
        <v>45095</v>
      </c>
      <c r="O562" t="s">
        <v>45096</v>
      </c>
      <c r="P562">
        <v>0</v>
      </c>
      <c r="Q562">
        <v>0</v>
      </c>
      <c r="R562" t="s">
        <v>45097</v>
      </c>
      <c r="S562" t="s">
        <v>45222</v>
      </c>
      <c r="T562" t="s">
        <v>47002</v>
      </c>
      <c r="U562" t="s">
        <v>47971</v>
      </c>
      <c r="W562" t="s">
        <v>61658</v>
      </c>
      <c r="X562" t="s">
        <v>45098</v>
      </c>
    </row>
    <row r="563" spans="1:24">
      <c r="A563">
        <f>HYPERLINK("https://www.philgeps.gov.ph/GEPSNONPILOT/Tender/SplashBidNoticeAbstractUI.aspx?menuIndex=3&amp;refID=7044715&amp;Result=3","7044715")</f>
        <v>0</v>
      </c>
      <c r="B563" t="s">
        <v>263</v>
      </c>
      <c r="C563" t="s">
        <v>3733</v>
      </c>
      <c r="D563" t="s">
        <v>18041</v>
      </c>
      <c r="E563" t="s">
        <v>18657</v>
      </c>
      <c r="F563" t="s">
        <v>31574</v>
      </c>
      <c r="G563" t="s">
        <v>31582</v>
      </c>
      <c r="H563" t="s">
        <v>31590</v>
      </c>
      <c r="I563" t="s">
        <v>8822</v>
      </c>
      <c r="J563" t="s">
        <v>32200</v>
      </c>
      <c r="K563" t="s">
        <v>41184</v>
      </c>
      <c r="M563" t="s">
        <v>41749</v>
      </c>
      <c r="N563" t="s">
        <v>45095</v>
      </c>
      <c r="O563" t="s">
        <v>45096</v>
      </c>
      <c r="P563">
        <v>0</v>
      </c>
      <c r="Q563">
        <v>0</v>
      </c>
      <c r="R563" t="s">
        <v>45097</v>
      </c>
      <c r="S563" t="s">
        <v>45222</v>
      </c>
      <c r="T563" t="s">
        <v>46915</v>
      </c>
      <c r="U563" t="s">
        <v>47972</v>
      </c>
      <c r="W563" t="s">
        <v>41749</v>
      </c>
      <c r="X563" t="s">
        <v>45098</v>
      </c>
    </row>
    <row r="564" spans="1:24">
      <c r="A564">
        <f>HYPERLINK("https://www.philgeps.gov.ph/GEPSNONPILOT/Tender/SplashBidNoticeAbstractUI.aspx?menuIndex=3&amp;refID=7044726&amp;Result=3","7044726")</f>
        <v>0</v>
      </c>
      <c r="B564" t="s">
        <v>264</v>
      </c>
      <c r="C564" t="s">
        <v>3734</v>
      </c>
      <c r="D564" t="s">
        <v>18066</v>
      </c>
      <c r="E564" t="s">
        <v>18658</v>
      </c>
      <c r="F564" t="s">
        <v>31574</v>
      </c>
      <c r="G564" t="s">
        <v>31582</v>
      </c>
      <c r="H564" t="s">
        <v>31591</v>
      </c>
      <c r="I564" t="s">
        <v>8822</v>
      </c>
      <c r="J564" t="s">
        <v>32201</v>
      </c>
      <c r="K564" t="s">
        <v>41203</v>
      </c>
      <c r="M564" t="s">
        <v>41750</v>
      </c>
      <c r="N564" t="s">
        <v>45095</v>
      </c>
      <c r="O564" t="s">
        <v>45096</v>
      </c>
      <c r="P564">
        <v>0</v>
      </c>
      <c r="Q564">
        <v>0</v>
      </c>
      <c r="R564" t="s">
        <v>45097</v>
      </c>
      <c r="S564" t="s">
        <v>45222</v>
      </c>
      <c r="T564" t="s">
        <v>46908</v>
      </c>
      <c r="U564" t="s">
        <v>47973</v>
      </c>
      <c r="W564" t="s">
        <v>61659</v>
      </c>
      <c r="X564" t="s">
        <v>45098</v>
      </c>
    </row>
    <row r="565" spans="1:24">
      <c r="A565">
        <f>HYPERLINK("https://www.philgeps.gov.ph/GEPSNONPILOT/Tender/SplashBidNoticeAbstractUI.aspx?menuIndex=3&amp;refID=7044723&amp;Result=3","7044723")</f>
        <v>0</v>
      </c>
      <c r="B565" t="s">
        <v>154</v>
      </c>
      <c r="C565" t="s">
        <v>3735</v>
      </c>
      <c r="D565" t="s">
        <v>18063</v>
      </c>
      <c r="E565" t="s">
        <v>18659</v>
      </c>
      <c r="F565" t="s">
        <v>31574</v>
      </c>
      <c r="G565" t="s">
        <v>31583</v>
      </c>
      <c r="H565" t="s">
        <v>31590</v>
      </c>
      <c r="I565" t="s">
        <v>4046</v>
      </c>
      <c r="J565" t="s">
        <v>32202</v>
      </c>
      <c r="K565" t="s">
        <v>41190</v>
      </c>
      <c r="M565" t="s">
        <v>41638</v>
      </c>
      <c r="N565" t="s">
        <v>45095</v>
      </c>
      <c r="O565" t="s">
        <v>45096</v>
      </c>
      <c r="P565">
        <v>0</v>
      </c>
      <c r="Q565">
        <v>0</v>
      </c>
      <c r="R565" t="s">
        <v>45097</v>
      </c>
      <c r="S565" t="s">
        <v>45222</v>
      </c>
      <c r="T565" t="s">
        <v>46914</v>
      </c>
      <c r="U565" t="s">
        <v>47764</v>
      </c>
      <c r="W565" t="s">
        <v>41638</v>
      </c>
      <c r="X565" t="s">
        <v>45098</v>
      </c>
    </row>
    <row r="566" spans="1:24">
      <c r="A566">
        <f>HYPERLINK("https://www.philgeps.gov.ph/GEPSNONPILOT/Tender/SplashBidNoticeAbstractUI.aspx?menuIndex=3&amp;refID=7044729&amp;Result=3","7044729")</f>
        <v>0</v>
      </c>
      <c r="B566" t="s">
        <v>265</v>
      </c>
      <c r="C566" t="s">
        <v>3736</v>
      </c>
      <c r="D566" t="s">
        <v>18052</v>
      </c>
      <c r="E566" t="s">
        <v>18660</v>
      </c>
      <c r="F566" t="s">
        <v>31574</v>
      </c>
      <c r="G566" t="s">
        <v>31581</v>
      </c>
      <c r="H566" t="s">
        <v>31590</v>
      </c>
      <c r="I566" t="s">
        <v>31610</v>
      </c>
      <c r="J566" t="s">
        <v>31726</v>
      </c>
      <c r="K566" t="s">
        <v>41184</v>
      </c>
      <c r="M566" t="s">
        <v>41751</v>
      </c>
      <c r="N566" t="s">
        <v>45095</v>
      </c>
      <c r="O566" t="s">
        <v>45096</v>
      </c>
      <c r="P566">
        <v>0</v>
      </c>
      <c r="Q566">
        <v>0</v>
      </c>
      <c r="R566" t="s">
        <v>45097</v>
      </c>
      <c r="S566" t="s">
        <v>45222</v>
      </c>
      <c r="T566" t="s">
        <v>46920</v>
      </c>
      <c r="U566" t="s">
        <v>47974</v>
      </c>
      <c r="W566" t="s">
        <v>41751</v>
      </c>
      <c r="X566" t="s">
        <v>45098</v>
      </c>
    </row>
    <row r="567" spans="1:24">
      <c r="A567">
        <f>HYPERLINK("https://www.philgeps.gov.ph/GEPSNONPILOT/Tender/SplashBidNoticeAbstractUI.aspx?menuIndex=3&amp;refID=7044727&amp;Result=3","7044727")</f>
        <v>0</v>
      </c>
      <c r="B567" t="s">
        <v>202</v>
      </c>
      <c r="C567" t="s">
        <v>3737</v>
      </c>
      <c r="D567" t="s">
        <v>18036</v>
      </c>
      <c r="E567" t="s">
        <v>18661</v>
      </c>
      <c r="F567" t="s">
        <v>31574</v>
      </c>
      <c r="G567" t="s">
        <v>31581</v>
      </c>
      <c r="H567" t="s">
        <v>31590</v>
      </c>
      <c r="I567" t="s">
        <v>31626</v>
      </c>
      <c r="J567" t="s">
        <v>32203</v>
      </c>
      <c r="K567" t="s">
        <v>41196</v>
      </c>
      <c r="M567" t="s">
        <v>41687</v>
      </c>
      <c r="N567" t="s">
        <v>45095</v>
      </c>
      <c r="O567" t="s">
        <v>45096</v>
      </c>
      <c r="P567">
        <v>0</v>
      </c>
      <c r="Q567">
        <v>0</v>
      </c>
      <c r="R567" t="s">
        <v>45097</v>
      </c>
      <c r="S567" t="s">
        <v>45222</v>
      </c>
      <c r="T567" t="s">
        <v>46969</v>
      </c>
      <c r="U567" t="s">
        <v>47975</v>
      </c>
      <c r="W567" t="s">
        <v>41687</v>
      </c>
      <c r="X567" t="s">
        <v>45098</v>
      </c>
    </row>
    <row r="568" spans="1:24">
      <c r="A568">
        <f>HYPERLINK("https://www.philgeps.gov.ph/GEPSNONPILOT/Tender/SplashBidNoticeAbstractUI.aspx?menuIndex=3&amp;refID=7044722&amp;Result=3","7044722")</f>
        <v>0</v>
      </c>
      <c r="B568" t="s">
        <v>266</v>
      </c>
      <c r="C568" t="s">
        <v>3738</v>
      </c>
      <c r="D568" t="s">
        <v>18025</v>
      </c>
      <c r="E568" t="s">
        <v>18662</v>
      </c>
      <c r="F568" t="s">
        <v>31574</v>
      </c>
      <c r="G568" t="s">
        <v>31582</v>
      </c>
      <c r="H568" t="s">
        <v>31590</v>
      </c>
      <c r="I568" t="s">
        <v>31599</v>
      </c>
      <c r="J568" t="s">
        <v>32204</v>
      </c>
      <c r="K568" t="s">
        <v>41227</v>
      </c>
      <c r="M568" t="s">
        <v>41752</v>
      </c>
      <c r="N568" t="s">
        <v>45095</v>
      </c>
      <c r="O568" t="s">
        <v>45096</v>
      </c>
      <c r="P568">
        <v>0</v>
      </c>
      <c r="Q568">
        <v>0</v>
      </c>
      <c r="R568" t="s">
        <v>45097</v>
      </c>
      <c r="S568" t="s">
        <v>45222</v>
      </c>
      <c r="T568" t="s">
        <v>46915</v>
      </c>
      <c r="U568" t="s">
        <v>47976</v>
      </c>
      <c r="W568" t="s">
        <v>41752</v>
      </c>
      <c r="X568" t="s">
        <v>45098</v>
      </c>
    </row>
    <row r="569" spans="1:24">
      <c r="A569">
        <f>HYPERLINK("https://www.philgeps.gov.ph/GEPSNONPILOT/Tender/SplashBidNoticeAbstractUI.aspx?menuIndex=3&amp;refID=7044743&amp;Result=3","7044743")</f>
        <v>0</v>
      </c>
      <c r="B569" t="s">
        <v>182</v>
      </c>
      <c r="C569" t="s">
        <v>3739</v>
      </c>
      <c r="D569" t="s">
        <v>18060</v>
      </c>
      <c r="E569" t="s">
        <v>18663</v>
      </c>
      <c r="F569" t="s">
        <v>31574</v>
      </c>
      <c r="G569" t="s">
        <v>31581</v>
      </c>
      <c r="H569" t="s">
        <v>31590</v>
      </c>
      <c r="I569" t="s">
        <v>31603</v>
      </c>
      <c r="J569" t="s">
        <v>32205</v>
      </c>
      <c r="K569" t="s">
        <v>41190</v>
      </c>
      <c r="M569" t="s">
        <v>41667</v>
      </c>
      <c r="N569" t="s">
        <v>45095</v>
      </c>
      <c r="O569" t="s">
        <v>45096</v>
      </c>
      <c r="P569">
        <v>0</v>
      </c>
      <c r="Q569">
        <v>0</v>
      </c>
      <c r="R569" t="s">
        <v>45097</v>
      </c>
      <c r="S569" t="s">
        <v>45222</v>
      </c>
      <c r="T569" t="s">
        <v>46918</v>
      </c>
      <c r="U569" t="s">
        <v>47977</v>
      </c>
      <c r="W569" t="s">
        <v>41667</v>
      </c>
      <c r="X569" t="s">
        <v>45098</v>
      </c>
    </row>
    <row r="570" spans="1:24">
      <c r="A570">
        <f>HYPERLINK("https://www.philgeps.gov.ph/GEPSNONPILOT/Tender/SplashBidNoticeAbstractUI.aspx?menuIndex=3&amp;refID=7044730&amp;Result=3","7044730")</f>
        <v>0</v>
      </c>
      <c r="B570" t="s">
        <v>200</v>
      </c>
      <c r="C570" t="s">
        <v>3740</v>
      </c>
      <c r="D570" t="s">
        <v>18070</v>
      </c>
      <c r="E570" t="s">
        <v>18664</v>
      </c>
      <c r="F570" t="s">
        <v>31574</v>
      </c>
      <c r="G570" t="s">
        <v>31581</v>
      </c>
      <c r="H570" t="s">
        <v>31590</v>
      </c>
      <c r="I570" t="s">
        <v>31603</v>
      </c>
      <c r="J570" t="s">
        <v>32116</v>
      </c>
      <c r="K570" t="s">
        <v>41194</v>
      </c>
      <c r="M570" t="s">
        <v>41685</v>
      </c>
      <c r="N570" t="s">
        <v>45095</v>
      </c>
      <c r="O570" t="s">
        <v>45096</v>
      </c>
      <c r="P570">
        <v>0</v>
      </c>
      <c r="Q570">
        <v>0</v>
      </c>
      <c r="R570" t="s">
        <v>45097</v>
      </c>
      <c r="S570" t="s">
        <v>45222</v>
      </c>
      <c r="T570" t="s">
        <v>46913</v>
      </c>
      <c r="U570" t="s">
        <v>47978</v>
      </c>
      <c r="W570" t="s">
        <v>41685</v>
      </c>
      <c r="X570" t="s">
        <v>45098</v>
      </c>
    </row>
    <row r="571" spans="1:24">
      <c r="A571">
        <f>HYPERLINK("https://www.philgeps.gov.ph/GEPSNONPILOT/Tender/SplashBidNoticeAbstractUI.aspx?menuIndex=3&amp;refID=7044731&amp;Result=3","7044731")</f>
        <v>0</v>
      </c>
      <c r="B571" t="s">
        <v>246</v>
      </c>
      <c r="C571" t="s">
        <v>3687</v>
      </c>
      <c r="D571" t="s">
        <v>18054</v>
      </c>
      <c r="E571" t="s">
        <v>18665</v>
      </c>
      <c r="F571" t="s">
        <v>31574</v>
      </c>
      <c r="G571" t="s">
        <v>31581</v>
      </c>
      <c r="H571" t="s">
        <v>31592</v>
      </c>
      <c r="I571" t="s">
        <v>3539</v>
      </c>
      <c r="J571" t="s">
        <v>31741</v>
      </c>
      <c r="K571" t="s">
        <v>41226</v>
      </c>
      <c r="M571" t="s">
        <v>41732</v>
      </c>
      <c r="N571" t="s">
        <v>45095</v>
      </c>
      <c r="O571" t="s">
        <v>45096</v>
      </c>
      <c r="P571">
        <v>0</v>
      </c>
      <c r="Q571">
        <v>0</v>
      </c>
      <c r="R571" t="s">
        <v>45097</v>
      </c>
      <c r="S571" t="s">
        <v>45222</v>
      </c>
      <c r="T571" t="s">
        <v>47003</v>
      </c>
      <c r="U571" t="s">
        <v>47979</v>
      </c>
      <c r="W571" t="s">
        <v>41732</v>
      </c>
      <c r="X571" t="s">
        <v>45098</v>
      </c>
    </row>
    <row r="572" spans="1:24">
      <c r="A572">
        <f>HYPERLINK("https://www.philgeps.gov.ph/GEPSNONPILOT/Tender/SplashBidNoticeAbstractUI.aspx?menuIndex=3&amp;refID=7044742&amp;Result=3","7044742")</f>
        <v>0</v>
      </c>
      <c r="B572" t="s">
        <v>180</v>
      </c>
      <c r="C572" t="s">
        <v>3741</v>
      </c>
      <c r="D572" t="s">
        <v>18066</v>
      </c>
      <c r="E572" t="s">
        <v>18666</v>
      </c>
      <c r="F572" t="s">
        <v>31574</v>
      </c>
      <c r="G572" t="s">
        <v>31582</v>
      </c>
      <c r="H572" t="s">
        <v>31590</v>
      </c>
      <c r="I572" t="s">
        <v>4046</v>
      </c>
      <c r="J572" t="s">
        <v>32206</v>
      </c>
      <c r="K572" t="s">
        <v>41196</v>
      </c>
      <c r="M572" t="s">
        <v>41665</v>
      </c>
      <c r="N572" t="s">
        <v>45095</v>
      </c>
      <c r="O572" t="s">
        <v>45096</v>
      </c>
      <c r="P572">
        <v>0</v>
      </c>
      <c r="Q572">
        <v>0</v>
      </c>
      <c r="R572" t="s">
        <v>45097</v>
      </c>
      <c r="S572" t="s">
        <v>45222</v>
      </c>
      <c r="T572" t="s">
        <v>46977</v>
      </c>
      <c r="U572" t="s">
        <v>47980</v>
      </c>
      <c r="W572" t="s">
        <v>41665</v>
      </c>
      <c r="X572" t="s">
        <v>45098</v>
      </c>
    </row>
    <row r="573" spans="1:24">
      <c r="A573">
        <f>HYPERLINK("https://www.philgeps.gov.ph/GEPSNONPILOT/Tender/SplashBidNoticeAbstractUI.aspx?menuIndex=3&amp;refID=7044724&amp;Result=3","7044724")</f>
        <v>0</v>
      </c>
      <c r="B573" t="s">
        <v>267</v>
      </c>
      <c r="C573" t="s">
        <v>3742</v>
      </c>
      <c r="D573" t="s">
        <v>18022</v>
      </c>
      <c r="E573" t="s">
        <v>18667</v>
      </c>
      <c r="F573" t="s">
        <v>31574</v>
      </c>
      <c r="G573" t="s">
        <v>31581</v>
      </c>
      <c r="H573" t="s">
        <v>31590</v>
      </c>
      <c r="I573" t="s">
        <v>31624</v>
      </c>
      <c r="J573" t="s">
        <v>31914</v>
      </c>
      <c r="K573" t="s">
        <v>41184</v>
      </c>
      <c r="M573" t="s">
        <v>41753</v>
      </c>
      <c r="N573" t="s">
        <v>45095</v>
      </c>
      <c r="O573" t="s">
        <v>45096</v>
      </c>
      <c r="P573">
        <v>0</v>
      </c>
      <c r="Q573">
        <v>0</v>
      </c>
      <c r="R573" t="s">
        <v>45097</v>
      </c>
      <c r="S573" t="s">
        <v>45222</v>
      </c>
      <c r="T573" t="s">
        <v>46904</v>
      </c>
      <c r="U573" t="s">
        <v>47981</v>
      </c>
      <c r="W573" t="s">
        <v>42543</v>
      </c>
      <c r="X573" t="s">
        <v>45098</v>
      </c>
    </row>
    <row r="574" spans="1:24">
      <c r="A574">
        <f>HYPERLINK("https://www.philgeps.gov.ph/GEPSNONPILOT/Tender/SplashBidNoticeAbstractUI.aspx?menuIndex=3&amp;refID=7044736&amp;Result=3","7044736")</f>
        <v>0</v>
      </c>
      <c r="B574" t="s">
        <v>255</v>
      </c>
      <c r="C574" t="s">
        <v>3743</v>
      </c>
      <c r="D574" t="s">
        <v>18082</v>
      </c>
      <c r="E574" t="s">
        <v>18642</v>
      </c>
      <c r="F574" t="s">
        <v>31574</v>
      </c>
      <c r="G574" t="s">
        <v>31583</v>
      </c>
      <c r="H574" t="s">
        <v>31590</v>
      </c>
      <c r="I574" t="s">
        <v>31594</v>
      </c>
      <c r="J574" t="s">
        <v>32207</v>
      </c>
      <c r="K574" t="s">
        <v>41196</v>
      </c>
      <c r="M574" t="s">
        <v>41741</v>
      </c>
      <c r="N574" t="s">
        <v>45095</v>
      </c>
      <c r="O574" t="s">
        <v>45096</v>
      </c>
      <c r="P574">
        <v>0</v>
      </c>
      <c r="Q574">
        <v>0</v>
      </c>
      <c r="R574" t="s">
        <v>45097</v>
      </c>
      <c r="S574" t="s">
        <v>45222</v>
      </c>
      <c r="T574" t="s">
        <v>47000</v>
      </c>
      <c r="U574" t="s">
        <v>47982</v>
      </c>
      <c r="W574" t="s">
        <v>41741</v>
      </c>
      <c r="X574" t="s">
        <v>45098</v>
      </c>
    </row>
    <row r="575" spans="1:24">
      <c r="A575">
        <f>HYPERLINK("https://www.philgeps.gov.ph/GEPSNONPILOT/Tender/SplashBidNoticeAbstractUI.aspx?menuIndex=3&amp;refID=7044741&amp;Result=3","7044741")</f>
        <v>0</v>
      </c>
      <c r="B575" t="s">
        <v>256</v>
      </c>
      <c r="C575" t="s">
        <v>3744</v>
      </c>
      <c r="D575" t="s">
        <v>18073</v>
      </c>
      <c r="E575" t="s">
        <v>18668</v>
      </c>
      <c r="F575" t="s">
        <v>31574</v>
      </c>
      <c r="G575" t="s">
        <v>31581</v>
      </c>
      <c r="H575" t="s">
        <v>31590</v>
      </c>
      <c r="I575" t="s">
        <v>14544</v>
      </c>
      <c r="J575" t="s">
        <v>32208</v>
      </c>
      <c r="K575" t="s">
        <v>41185</v>
      </c>
      <c r="M575" t="s">
        <v>41742</v>
      </c>
      <c r="N575" t="s">
        <v>45095</v>
      </c>
      <c r="O575" t="s">
        <v>45096</v>
      </c>
      <c r="P575">
        <v>0</v>
      </c>
      <c r="Q575">
        <v>0</v>
      </c>
      <c r="R575" t="s">
        <v>45097</v>
      </c>
      <c r="S575" t="s">
        <v>45222</v>
      </c>
      <c r="T575" t="s">
        <v>46952</v>
      </c>
      <c r="U575" t="s">
        <v>47983</v>
      </c>
      <c r="W575" t="s">
        <v>41742</v>
      </c>
      <c r="X575" t="s">
        <v>45098</v>
      </c>
    </row>
    <row r="576" spans="1:24">
      <c r="A576">
        <f>HYPERLINK("https://www.philgeps.gov.ph/GEPSNONPILOT/Tender/SplashBidNoticeAbstractUI.aspx?menuIndex=3&amp;refID=7044734&amp;Result=3","7044734")</f>
        <v>0</v>
      </c>
      <c r="B576" t="s">
        <v>38</v>
      </c>
      <c r="C576" t="s">
        <v>3745</v>
      </c>
      <c r="D576" t="s">
        <v>18033</v>
      </c>
      <c r="E576" t="s">
        <v>18669</v>
      </c>
      <c r="F576" t="s">
        <v>31574</v>
      </c>
      <c r="G576" t="s">
        <v>31582</v>
      </c>
      <c r="H576" t="s">
        <v>31590</v>
      </c>
      <c r="I576" t="s">
        <v>14544</v>
      </c>
      <c r="J576" t="s">
        <v>32209</v>
      </c>
      <c r="K576" t="s">
        <v>41194</v>
      </c>
      <c r="M576" t="s">
        <v>41663</v>
      </c>
      <c r="N576" t="s">
        <v>45095</v>
      </c>
      <c r="O576" t="s">
        <v>45096</v>
      </c>
      <c r="P576">
        <v>0</v>
      </c>
      <c r="Q576">
        <v>0</v>
      </c>
      <c r="R576" t="s">
        <v>45097</v>
      </c>
      <c r="S576" t="s">
        <v>45222</v>
      </c>
      <c r="T576" t="s">
        <v>47004</v>
      </c>
      <c r="U576" t="s">
        <v>47984</v>
      </c>
      <c r="V576" t="s">
        <v>59888</v>
      </c>
      <c r="W576" t="s">
        <v>41663</v>
      </c>
      <c r="X576" t="s">
        <v>45098</v>
      </c>
    </row>
    <row r="577" spans="1:24">
      <c r="A577">
        <f>HYPERLINK("https://www.philgeps.gov.ph/GEPSNONPILOT/Tender/SplashBidNoticeAbstractUI.aspx?menuIndex=3&amp;refID=7044721&amp;Result=3","7044721")</f>
        <v>0</v>
      </c>
      <c r="B577" t="s">
        <v>268</v>
      </c>
      <c r="C577" t="s">
        <v>3746</v>
      </c>
      <c r="D577" t="s">
        <v>18022</v>
      </c>
      <c r="E577" t="s">
        <v>18670</v>
      </c>
      <c r="F577" t="s">
        <v>31574</v>
      </c>
      <c r="G577" t="s">
        <v>31581</v>
      </c>
      <c r="H577" t="s">
        <v>31590</v>
      </c>
      <c r="I577" t="s">
        <v>31595</v>
      </c>
      <c r="J577" t="s">
        <v>32210</v>
      </c>
      <c r="K577" t="s">
        <v>41193</v>
      </c>
      <c r="M577" t="s">
        <v>41754</v>
      </c>
      <c r="N577" t="s">
        <v>45095</v>
      </c>
      <c r="O577" t="s">
        <v>45096</v>
      </c>
      <c r="P577">
        <v>0</v>
      </c>
      <c r="Q577">
        <v>0</v>
      </c>
      <c r="R577" t="s">
        <v>45097</v>
      </c>
      <c r="S577" t="s">
        <v>45222</v>
      </c>
      <c r="T577" t="s">
        <v>46961</v>
      </c>
      <c r="U577" t="s">
        <v>47985</v>
      </c>
      <c r="W577" t="s">
        <v>41754</v>
      </c>
      <c r="X577" t="s">
        <v>45098</v>
      </c>
    </row>
    <row r="578" spans="1:24">
      <c r="A578">
        <f>HYPERLINK("https://www.philgeps.gov.ph/GEPSNONPILOT/Tender/SplashBidNoticeAbstractUI.aspx?menuIndex=3&amp;refID=7044744&amp;Result=3","7044744")</f>
        <v>0</v>
      </c>
      <c r="B578" t="s">
        <v>269</v>
      </c>
      <c r="C578" t="s">
        <v>3747</v>
      </c>
      <c r="D578" t="s">
        <v>18058</v>
      </c>
      <c r="E578" t="s">
        <v>18671</v>
      </c>
      <c r="F578" t="s">
        <v>31575</v>
      </c>
      <c r="G578" t="s">
        <v>31581</v>
      </c>
      <c r="H578" t="s">
        <v>31590</v>
      </c>
      <c r="I578" t="s">
        <v>4046</v>
      </c>
      <c r="J578" t="s">
        <v>32211</v>
      </c>
      <c r="K578" t="s">
        <v>41213</v>
      </c>
      <c r="M578" t="s">
        <v>41755</v>
      </c>
      <c r="N578" t="s">
        <v>45095</v>
      </c>
      <c r="O578" t="s">
        <v>45096</v>
      </c>
      <c r="P578">
        <v>0</v>
      </c>
      <c r="Q578">
        <v>0</v>
      </c>
      <c r="R578" t="s">
        <v>45097</v>
      </c>
      <c r="S578" t="s">
        <v>45222</v>
      </c>
      <c r="T578" t="s">
        <v>47003</v>
      </c>
      <c r="U578" t="s">
        <v>47986</v>
      </c>
      <c r="W578" t="s">
        <v>41755</v>
      </c>
      <c r="X578" t="s">
        <v>45098</v>
      </c>
    </row>
    <row r="579" spans="1:24">
      <c r="A579">
        <f>HYPERLINK("https://www.philgeps.gov.ph/GEPSNONPILOT/Tender/SplashBidNoticeAbstractUI.aspx?menuIndex=3&amp;refID=7044737&amp;Result=3","7044737")</f>
        <v>0</v>
      </c>
      <c r="B579" t="s">
        <v>217</v>
      </c>
      <c r="C579" t="s">
        <v>3748</v>
      </c>
      <c r="D579" t="s">
        <v>18081</v>
      </c>
      <c r="E579" t="s">
        <v>18672</v>
      </c>
      <c r="F579" t="s">
        <v>31574</v>
      </c>
      <c r="G579" t="s">
        <v>31582</v>
      </c>
      <c r="H579" t="s">
        <v>31590</v>
      </c>
      <c r="I579" t="s">
        <v>31602</v>
      </c>
      <c r="J579" t="s">
        <v>32212</v>
      </c>
      <c r="K579" t="s">
        <v>41194</v>
      </c>
      <c r="M579" t="s">
        <v>41702</v>
      </c>
      <c r="N579" t="s">
        <v>45095</v>
      </c>
      <c r="O579" t="s">
        <v>45096</v>
      </c>
      <c r="P579">
        <v>0</v>
      </c>
      <c r="Q579">
        <v>0</v>
      </c>
      <c r="R579" t="s">
        <v>45097</v>
      </c>
      <c r="S579" t="s">
        <v>45222</v>
      </c>
      <c r="T579" t="s">
        <v>46986</v>
      </c>
      <c r="U579" t="s">
        <v>47987</v>
      </c>
      <c r="W579" t="s">
        <v>41702</v>
      </c>
      <c r="X579" t="s">
        <v>45098</v>
      </c>
    </row>
    <row r="580" spans="1:24">
      <c r="A580">
        <f>HYPERLINK("https://www.philgeps.gov.ph/GEPSNONPILOT/Tender/SplashBidNoticeAbstractUI.aspx?menuIndex=3&amp;refID=7044735&amp;Result=3","7044735")</f>
        <v>0</v>
      </c>
      <c r="B580" t="s">
        <v>232</v>
      </c>
      <c r="C580" t="s">
        <v>3749</v>
      </c>
      <c r="D580" t="s">
        <v>18040</v>
      </c>
      <c r="E580" t="s">
        <v>18673</v>
      </c>
      <c r="F580" t="s">
        <v>31574</v>
      </c>
      <c r="G580" t="s">
        <v>31581</v>
      </c>
      <c r="H580" t="s">
        <v>31590</v>
      </c>
      <c r="I580" t="s">
        <v>4327</v>
      </c>
      <c r="J580" t="s">
        <v>32029</v>
      </c>
      <c r="K580" t="s">
        <v>41197</v>
      </c>
      <c r="M580" t="s">
        <v>41717</v>
      </c>
      <c r="N580" t="s">
        <v>45095</v>
      </c>
      <c r="O580" t="s">
        <v>45096</v>
      </c>
      <c r="P580">
        <v>0</v>
      </c>
      <c r="Q580">
        <v>0</v>
      </c>
      <c r="R580" t="s">
        <v>45097</v>
      </c>
      <c r="S580" t="s">
        <v>45222</v>
      </c>
      <c r="T580" t="s">
        <v>46920</v>
      </c>
      <c r="U580" t="s">
        <v>47988</v>
      </c>
      <c r="W580" t="s">
        <v>41717</v>
      </c>
      <c r="X580" t="s">
        <v>45098</v>
      </c>
    </row>
    <row r="581" spans="1:24">
      <c r="A581">
        <f>HYPERLINK("https://www.philgeps.gov.ph/GEPSNONPILOT/Tender/SplashBidNoticeAbstractUI.aspx?menuIndex=3&amp;refID=7044701&amp;Result=3","7044701")</f>
        <v>0</v>
      </c>
      <c r="B581" t="s">
        <v>231</v>
      </c>
      <c r="C581" t="s">
        <v>3750</v>
      </c>
      <c r="D581" t="s">
        <v>18088</v>
      </c>
      <c r="E581" t="s">
        <v>18674</v>
      </c>
      <c r="F581" t="s">
        <v>31574</v>
      </c>
      <c r="G581" t="s">
        <v>31582</v>
      </c>
      <c r="H581" t="s">
        <v>31590</v>
      </c>
      <c r="I581" t="s">
        <v>31645</v>
      </c>
      <c r="J581" t="s">
        <v>31780</v>
      </c>
      <c r="K581" t="s">
        <v>41193</v>
      </c>
      <c r="M581" t="s">
        <v>41716</v>
      </c>
      <c r="N581" t="s">
        <v>45095</v>
      </c>
      <c r="O581" t="s">
        <v>45096</v>
      </c>
      <c r="P581">
        <v>0</v>
      </c>
      <c r="Q581">
        <v>0</v>
      </c>
      <c r="R581" t="s">
        <v>45097</v>
      </c>
      <c r="S581" t="s">
        <v>45222</v>
      </c>
      <c r="T581" t="s">
        <v>46926</v>
      </c>
      <c r="U581" t="s">
        <v>47989</v>
      </c>
      <c r="W581" t="s">
        <v>41716</v>
      </c>
      <c r="X581" t="s">
        <v>45098</v>
      </c>
    </row>
    <row r="582" spans="1:24">
      <c r="A582">
        <f>HYPERLINK("https://www.philgeps.gov.ph/GEPSNONPILOT/Tender/SplashBidNoticeAbstractUI.aspx?menuIndex=3&amp;refID=7044749&amp;Result=3","7044749")</f>
        <v>0</v>
      </c>
      <c r="B582" t="s">
        <v>270</v>
      </c>
      <c r="C582" t="s">
        <v>3751</v>
      </c>
      <c r="D582" t="s">
        <v>18039</v>
      </c>
      <c r="E582" t="s">
        <v>18533</v>
      </c>
      <c r="F582" t="s">
        <v>31574</v>
      </c>
      <c r="G582" t="s">
        <v>31583</v>
      </c>
      <c r="H582" t="s">
        <v>31590</v>
      </c>
      <c r="I582" t="s">
        <v>7185</v>
      </c>
      <c r="J582" t="s">
        <v>31842</v>
      </c>
      <c r="K582" t="s">
        <v>41193</v>
      </c>
      <c r="M582" t="s">
        <v>41756</v>
      </c>
      <c r="N582" t="s">
        <v>45095</v>
      </c>
      <c r="O582" t="s">
        <v>45096</v>
      </c>
      <c r="P582">
        <v>0</v>
      </c>
      <c r="Q582">
        <v>0</v>
      </c>
      <c r="R582" t="s">
        <v>45097</v>
      </c>
      <c r="S582" t="s">
        <v>45222</v>
      </c>
      <c r="T582" t="s">
        <v>46985</v>
      </c>
      <c r="U582" t="s">
        <v>47990</v>
      </c>
      <c r="W582" t="s">
        <v>41756</v>
      </c>
      <c r="X582" t="s">
        <v>45098</v>
      </c>
    </row>
    <row r="583" spans="1:24">
      <c r="A583">
        <f>HYPERLINK("https://www.philgeps.gov.ph/GEPSNONPILOT/Tender/SplashBidNoticeAbstractUI.aspx?menuIndex=3&amp;refID=7044753&amp;Result=3","7044753")</f>
        <v>0</v>
      </c>
      <c r="B583" t="s">
        <v>218</v>
      </c>
      <c r="C583" t="s">
        <v>3752</v>
      </c>
      <c r="D583" t="s">
        <v>18070</v>
      </c>
      <c r="E583" t="s">
        <v>18675</v>
      </c>
      <c r="F583" t="s">
        <v>31574</v>
      </c>
      <c r="G583" t="s">
        <v>31583</v>
      </c>
      <c r="H583" t="s">
        <v>31590</v>
      </c>
      <c r="I583" t="s">
        <v>31605</v>
      </c>
      <c r="J583" t="s">
        <v>32213</v>
      </c>
      <c r="K583" t="s">
        <v>41193</v>
      </c>
      <c r="M583" t="s">
        <v>41703</v>
      </c>
      <c r="N583" t="s">
        <v>45095</v>
      </c>
      <c r="O583" t="s">
        <v>45096</v>
      </c>
      <c r="P583">
        <v>0</v>
      </c>
      <c r="Q583">
        <v>0</v>
      </c>
      <c r="R583" t="s">
        <v>45097</v>
      </c>
      <c r="S583" t="s">
        <v>45222</v>
      </c>
      <c r="T583" t="s">
        <v>46957</v>
      </c>
      <c r="U583" t="s">
        <v>47880</v>
      </c>
      <c r="W583" t="s">
        <v>41703</v>
      </c>
      <c r="X583" t="s">
        <v>45098</v>
      </c>
    </row>
    <row r="584" spans="1:24">
      <c r="A584">
        <f>HYPERLINK("https://www.philgeps.gov.ph/GEPSNONPILOT/Tender/SplashBidNoticeAbstractUI.aspx?menuIndex=3&amp;refID=7044738&amp;Result=3","7044738")</f>
        <v>0</v>
      </c>
      <c r="B584" t="s">
        <v>271</v>
      </c>
      <c r="C584" t="s">
        <v>3753</v>
      </c>
      <c r="D584" t="s">
        <v>18046</v>
      </c>
      <c r="E584" t="s">
        <v>18175</v>
      </c>
      <c r="F584" t="s">
        <v>31574</v>
      </c>
      <c r="G584" t="s">
        <v>31582</v>
      </c>
      <c r="H584" t="s">
        <v>31591</v>
      </c>
      <c r="I584" t="s">
        <v>8822</v>
      </c>
      <c r="J584" t="s">
        <v>31935</v>
      </c>
      <c r="K584" t="s">
        <v>41200</v>
      </c>
      <c r="M584" t="s">
        <v>41757</v>
      </c>
      <c r="N584" t="s">
        <v>45095</v>
      </c>
      <c r="O584" t="s">
        <v>45096</v>
      </c>
      <c r="P584">
        <v>0</v>
      </c>
      <c r="Q584">
        <v>0</v>
      </c>
      <c r="R584" t="s">
        <v>45097</v>
      </c>
      <c r="S584" t="s">
        <v>45222</v>
      </c>
      <c r="T584" t="s">
        <v>46954</v>
      </c>
      <c r="U584" t="s">
        <v>47991</v>
      </c>
      <c r="W584" t="s">
        <v>41757</v>
      </c>
      <c r="X584" t="s">
        <v>45098</v>
      </c>
    </row>
    <row r="585" spans="1:24">
      <c r="A585">
        <f>HYPERLINK("https://www.philgeps.gov.ph/GEPSNONPILOT/Tender/SplashBidNoticeAbstractUI.aspx?menuIndex=3&amp;refID=7044752&amp;Result=3","7044752")</f>
        <v>0</v>
      </c>
      <c r="B585" t="s">
        <v>272</v>
      </c>
      <c r="C585" t="s">
        <v>3754</v>
      </c>
      <c r="D585" t="s">
        <v>18052</v>
      </c>
      <c r="E585" t="s">
        <v>18676</v>
      </c>
      <c r="F585" t="s">
        <v>31574</v>
      </c>
      <c r="G585" t="s">
        <v>31581</v>
      </c>
      <c r="H585" t="s">
        <v>31590</v>
      </c>
      <c r="I585" t="s">
        <v>3487</v>
      </c>
      <c r="J585" t="s">
        <v>32214</v>
      </c>
      <c r="K585" t="s">
        <v>41191</v>
      </c>
      <c r="M585" t="s">
        <v>41758</v>
      </c>
      <c r="N585" t="s">
        <v>45095</v>
      </c>
      <c r="O585" t="s">
        <v>45096</v>
      </c>
      <c r="P585">
        <v>0</v>
      </c>
      <c r="Q585">
        <v>0</v>
      </c>
      <c r="R585" t="s">
        <v>45097</v>
      </c>
      <c r="S585" t="s">
        <v>45222</v>
      </c>
      <c r="T585" t="s">
        <v>46926</v>
      </c>
      <c r="U585" t="s">
        <v>47992</v>
      </c>
      <c r="W585" t="s">
        <v>41758</v>
      </c>
      <c r="X585" t="s">
        <v>45098</v>
      </c>
    </row>
    <row r="586" spans="1:24">
      <c r="A586">
        <f>HYPERLINK("https://www.philgeps.gov.ph/GEPSNONPILOT/Tender/SplashBidNoticeAbstractUI.aspx?menuIndex=3&amp;refID=7044757&amp;Result=3","7044757")</f>
        <v>0</v>
      </c>
      <c r="B586" t="s">
        <v>273</v>
      </c>
      <c r="C586" t="s">
        <v>3755</v>
      </c>
      <c r="D586" t="s">
        <v>18046</v>
      </c>
      <c r="E586" t="s">
        <v>18677</v>
      </c>
      <c r="F586" t="s">
        <v>31574</v>
      </c>
      <c r="G586" t="s">
        <v>31582</v>
      </c>
      <c r="H586" t="s">
        <v>31590</v>
      </c>
      <c r="I586" t="s">
        <v>5717</v>
      </c>
      <c r="J586" t="s">
        <v>32215</v>
      </c>
      <c r="K586" t="s">
        <v>41190</v>
      </c>
      <c r="M586" t="s">
        <v>41759</v>
      </c>
      <c r="N586" t="s">
        <v>45095</v>
      </c>
      <c r="O586" t="s">
        <v>45096</v>
      </c>
      <c r="P586">
        <v>0</v>
      </c>
      <c r="Q586">
        <v>0</v>
      </c>
      <c r="R586" t="s">
        <v>45097</v>
      </c>
      <c r="S586" t="s">
        <v>45222</v>
      </c>
      <c r="T586" t="s">
        <v>46923</v>
      </c>
      <c r="U586" t="s">
        <v>47993</v>
      </c>
      <c r="W586" t="s">
        <v>41759</v>
      </c>
      <c r="X586" t="s">
        <v>45098</v>
      </c>
    </row>
    <row r="587" spans="1:24">
      <c r="A587">
        <f>HYPERLINK("https://www.philgeps.gov.ph/GEPSNONPILOT/Tender/SplashBidNoticeAbstractUI.aspx?menuIndex=3&amp;refID=7044748&amp;Result=3","7044748")</f>
        <v>0</v>
      </c>
      <c r="B587" t="s">
        <v>124</v>
      </c>
      <c r="C587" t="s">
        <v>3756</v>
      </c>
      <c r="D587" t="s">
        <v>18065</v>
      </c>
      <c r="E587" t="s">
        <v>18678</v>
      </c>
      <c r="F587" t="s">
        <v>31574</v>
      </c>
      <c r="G587" t="s">
        <v>31581</v>
      </c>
      <c r="H587" t="s">
        <v>31590</v>
      </c>
      <c r="I587" t="s">
        <v>31626</v>
      </c>
      <c r="J587" t="s">
        <v>32216</v>
      </c>
      <c r="K587" t="s">
        <v>41184</v>
      </c>
      <c r="M587" t="s">
        <v>41608</v>
      </c>
      <c r="N587" t="s">
        <v>45095</v>
      </c>
      <c r="O587" t="s">
        <v>45096</v>
      </c>
      <c r="P587">
        <v>0</v>
      </c>
      <c r="Q587">
        <v>0</v>
      </c>
      <c r="R587" t="s">
        <v>45097</v>
      </c>
      <c r="S587" t="s">
        <v>45222</v>
      </c>
      <c r="T587" t="s">
        <v>46934</v>
      </c>
      <c r="U587" t="s">
        <v>47994</v>
      </c>
      <c r="W587" t="s">
        <v>41608</v>
      </c>
      <c r="X587" t="s">
        <v>45098</v>
      </c>
    </row>
    <row r="588" spans="1:24">
      <c r="A588">
        <f>HYPERLINK("https://www.philgeps.gov.ph/GEPSNONPILOT/Tender/SplashBidNoticeAbstractUI.aspx?menuIndex=3&amp;refID=7044756&amp;Result=3","7044756")</f>
        <v>0</v>
      </c>
      <c r="B588" t="s">
        <v>232</v>
      </c>
      <c r="C588" t="s">
        <v>3757</v>
      </c>
      <c r="D588" t="s">
        <v>18040</v>
      </c>
      <c r="E588" t="s">
        <v>18679</v>
      </c>
      <c r="F588" t="s">
        <v>31574</v>
      </c>
      <c r="G588" t="s">
        <v>31581</v>
      </c>
      <c r="H588" t="s">
        <v>31590</v>
      </c>
      <c r="I588" t="s">
        <v>4046</v>
      </c>
      <c r="J588" t="s">
        <v>32217</v>
      </c>
      <c r="K588" t="s">
        <v>41211</v>
      </c>
      <c r="M588" t="s">
        <v>41717</v>
      </c>
      <c r="N588" t="s">
        <v>45095</v>
      </c>
      <c r="O588" t="s">
        <v>45096</v>
      </c>
      <c r="P588">
        <v>0</v>
      </c>
      <c r="Q588">
        <v>0</v>
      </c>
      <c r="R588" t="s">
        <v>45097</v>
      </c>
      <c r="S588" t="s">
        <v>45222</v>
      </c>
      <c r="T588" t="s">
        <v>46920</v>
      </c>
      <c r="U588" t="s">
        <v>47995</v>
      </c>
      <c r="W588" t="s">
        <v>41717</v>
      </c>
      <c r="X588" t="s">
        <v>45098</v>
      </c>
    </row>
    <row r="589" spans="1:24">
      <c r="A589">
        <f>HYPERLINK("https://www.philgeps.gov.ph/GEPSNONPILOT/Tender/SplashBidNoticeAbstractUI.aspx?menuIndex=3&amp;refID=7044750&amp;Result=3","7044750")</f>
        <v>0</v>
      </c>
      <c r="B589" t="s">
        <v>274</v>
      </c>
      <c r="C589" t="s">
        <v>3758</v>
      </c>
      <c r="D589" t="s">
        <v>18071</v>
      </c>
      <c r="E589" t="s">
        <v>18680</v>
      </c>
      <c r="F589" t="s">
        <v>31574</v>
      </c>
      <c r="G589" t="s">
        <v>31581</v>
      </c>
      <c r="H589" t="s">
        <v>31590</v>
      </c>
      <c r="I589" t="s">
        <v>31602</v>
      </c>
      <c r="J589" t="s">
        <v>31741</v>
      </c>
      <c r="K589" t="s">
        <v>41184</v>
      </c>
      <c r="M589" t="s">
        <v>41760</v>
      </c>
      <c r="N589" t="s">
        <v>45095</v>
      </c>
      <c r="O589" t="s">
        <v>45096</v>
      </c>
      <c r="P589">
        <v>0</v>
      </c>
      <c r="Q589">
        <v>0</v>
      </c>
      <c r="R589" t="s">
        <v>45097</v>
      </c>
      <c r="S589" t="s">
        <v>45222</v>
      </c>
      <c r="T589" t="s">
        <v>46914</v>
      </c>
      <c r="U589" t="s">
        <v>47996</v>
      </c>
      <c r="W589" t="s">
        <v>61660</v>
      </c>
      <c r="X589" t="s">
        <v>45098</v>
      </c>
    </row>
    <row r="590" spans="1:24">
      <c r="A590">
        <f>HYPERLINK("https://www.philgeps.gov.ph/GEPSNONPILOT/Tender/SplashBidNoticeAbstractUI.aspx?menuIndex=3&amp;refID=7044746&amp;Result=3","7044746")</f>
        <v>0</v>
      </c>
      <c r="B590" t="s">
        <v>275</v>
      </c>
      <c r="C590" t="s">
        <v>3759</v>
      </c>
      <c r="D590" t="s">
        <v>18037</v>
      </c>
      <c r="E590" t="s">
        <v>18681</v>
      </c>
      <c r="F590" t="s">
        <v>31574</v>
      </c>
      <c r="G590" t="s">
        <v>31582</v>
      </c>
      <c r="H590" t="s">
        <v>31590</v>
      </c>
      <c r="I590" t="s">
        <v>7185</v>
      </c>
      <c r="J590" t="s">
        <v>32218</v>
      </c>
      <c r="K590" t="s">
        <v>41186</v>
      </c>
      <c r="M590" t="s">
        <v>41761</v>
      </c>
      <c r="N590" t="s">
        <v>45095</v>
      </c>
      <c r="O590" t="s">
        <v>45096</v>
      </c>
      <c r="P590">
        <v>0</v>
      </c>
      <c r="Q590">
        <v>0</v>
      </c>
      <c r="R590" t="s">
        <v>45097</v>
      </c>
      <c r="S590" t="s">
        <v>45222</v>
      </c>
      <c r="T590" t="s">
        <v>46914</v>
      </c>
      <c r="U590" t="s">
        <v>47997</v>
      </c>
      <c r="V590" t="s">
        <v>59911</v>
      </c>
      <c r="W590" t="s">
        <v>41761</v>
      </c>
      <c r="X590" t="s">
        <v>45098</v>
      </c>
    </row>
    <row r="591" spans="1:24">
      <c r="A591">
        <f>HYPERLINK("https://www.philgeps.gov.ph/GEPSNONPILOT/Tender/SplashBidNoticeAbstractUI.aspx?menuIndex=3&amp;refID=7044763&amp;Result=3","7044763")</f>
        <v>0</v>
      </c>
      <c r="B591" t="s">
        <v>202</v>
      </c>
      <c r="C591" t="s">
        <v>3760</v>
      </c>
      <c r="D591" t="s">
        <v>18036</v>
      </c>
      <c r="E591" t="s">
        <v>18682</v>
      </c>
      <c r="F591" t="s">
        <v>31574</v>
      </c>
      <c r="G591" t="s">
        <v>31581</v>
      </c>
      <c r="H591" t="s">
        <v>31590</v>
      </c>
      <c r="I591" t="s">
        <v>31626</v>
      </c>
      <c r="J591" t="s">
        <v>32219</v>
      </c>
      <c r="K591" t="s">
        <v>41186</v>
      </c>
      <c r="M591" t="s">
        <v>41687</v>
      </c>
      <c r="N591" t="s">
        <v>45095</v>
      </c>
      <c r="O591" t="s">
        <v>45096</v>
      </c>
      <c r="P591">
        <v>0</v>
      </c>
      <c r="Q591">
        <v>0</v>
      </c>
      <c r="R591" t="s">
        <v>45097</v>
      </c>
      <c r="S591" t="s">
        <v>45222</v>
      </c>
      <c r="T591" t="s">
        <v>46989</v>
      </c>
      <c r="U591" t="s">
        <v>47998</v>
      </c>
      <c r="W591" t="s">
        <v>41687</v>
      </c>
      <c r="X591" t="s">
        <v>45098</v>
      </c>
    </row>
    <row r="592" spans="1:24">
      <c r="A592">
        <f>HYPERLINK("https://www.philgeps.gov.ph/GEPSNONPILOT/Tender/SplashBidNoticeAbstractUI.aspx?menuIndex=3&amp;refID=7044745&amp;Result=3","7044745")</f>
        <v>0</v>
      </c>
      <c r="B592" t="s">
        <v>232</v>
      </c>
      <c r="C592" t="s">
        <v>3761</v>
      </c>
      <c r="D592" t="s">
        <v>18040</v>
      </c>
      <c r="E592" t="s">
        <v>18683</v>
      </c>
      <c r="F592" t="s">
        <v>31574</v>
      </c>
      <c r="G592" t="s">
        <v>31581</v>
      </c>
      <c r="H592" t="s">
        <v>31590</v>
      </c>
      <c r="I592" t="s">
        <v>4046</v>
      </c>
      <c r="J592" t="s">
        <v>32217</v>
      </c>
      <c r="K592" t="s">
        <v>41211</v>
      </c>
      <c r="M592" t="s">
        <v>41717</v>
      </c>
      <c r="N592" t="s">
        <v>45095</v>
      </c>
      <c r="O592" t="s">
        <v>45096</v>
      </c>
      <c r="P592">
        <v>0</v>
      </c>
      <c r="Q592">
        <v>0</v>
      </c>
      <c r="R592" t="s">
        <v>45097</v>
      </c>
      <c r="S592" t="s">
        <v>45222</v>
      </c>
      <c r="T592" t="s">
        <v>46920</v>
      </c>
      <c r="U592" t="s">
        <v>47999</v>
      </c>
      <c r="W592" t="s">
        <v>41717</v>
      </c>
      <c r="X592" t="s">
        <v>45098</v>
      </c>
    </row>
    <row r="593" spans="1:24">
      <c r="A593">
        <f>HYPERLINK("https://www.philgeps.gov.ph/GEPSNONPILOT/Tender/SplashBidNoticeAbstractUI.aspx?menuIndex=3&amp;refID=7044764&amp;Result=3","7044764")</f>
        <v>0</v>
      </c>
      <c r="B593" t="s">
        <v>276</v>
      </c>
      <c r="C593" t="s">
        <v>3762</v>
      </c>
      <c r="D593" t="s">
        <v>18036</v>
      </c>
      <c r="E593" t="s">
        <v>18684</v>
      </c>
      <c r="F593" t="s">
        <v>31574</v>
      </c>
      <c r="G593" t="s">
        <v>31582</v>
      </c>
      <c r="H593" t="s">
        <v>31590</v>
      </c>
      <c r="I593" t="s">
        <v>31607</v>
      </c>
      <c r="J593" t="s">
        <v>32220</v>
      </c>
      <c r="K593" t="s">
        <v>41184</v>
      </c>
      <c r="M593" t="s">
        <v>41762</v>
      </c>
      <c r="N593" t="s">
        <v>45095</v>
      </c>
      <c r="O593" t="s">
        <v>45096</v>
      </c>
      <c r="P593">
        <v>0</v>
      </c>
      <c r="Q593">
        <v>0</v>
      </c>
      <c r="R593" t="s">
        <v>45097</v>
      </c>
      <c r="S593" t="s">
        <v>45222</v>
      </c>
      <c r="T593" t="s">
        <v>46984</v>
      </c>
      <c r="U593" t="s">
        <v>48000</v>
      </c>
      <c r="W593" t="s">
        <v>41762</v>
      </c>
      <c r="X593" t="s">
        <v>45098</v>
      </c>
    </row>
    <row r="594" spans="1:24">
      <c r="A594">
        <f>HYPERLINK("https://www.philgeps.gov.ph/GEPSNONPILOT/Tender/SplashBidNoticeAbstractUI.aspx?menuIndex=3&amp;refID=7044754&amp;Result=3","7044754")</f>
        <v>0</v>
      </c>
      <c r="B594" t="s">
        <v>236</v>
      </c>
      <c r="C594" t="s">
        <v>3663</v>
      </c>
      <c r="D594" t="s">
        <v>18063</v>
      </c>
      <c r="E594" t="s">
        <v>18685</v>
      </c>
      <c r="F594" t="s">
        <v>31574</v>
      </c>
      <c r="G594" t="s">
        <v>31581</v>
      </c>
      <c r="H594" t="s">
        <v>31590</v>
      </c>
      <c r="I594" t="s">
        <v>6800</v>
      </c>
      <c r="J594" t="s">
        <v>32221</v>
      </c>
      <c r="K594" t="s">
        <v>41186</v>
      </c>
      <c r="M594" t="s">
        <v>41722</v>
      </c>
      <c r="N594" t="s">
        <v>45095</v>
      </c>
      <c r="O594" t="s">
        <v>45096</v>
      </c>
      <c r="P594">
        <v>0</v>
      </c>
      <c r="Q594">
        <v>0</v>
      </c>
      <c r="R594" t="s">
        <v>45097</v>
      </c>
      <c r="S594" t="s">
        <v>45222</v>
      </c>
      <c r="T594" t="s">
        <v>46961</v>
      </c>
      <c r="U594" t="s">
        <v>48001</v>
      </c>
      <c r="W594" t="s">
        <v>41722</v>
      </c>
      <c r="X594" t="s">
        <v>45098</v>
      </c>
    </row>
    <row r="595" spans="1:24">
      <c r="A595">
        <f>HYPERLINK("https://www.philgeps.gov.ph/GEPSNONPILOT/Tender/SplashBidNoticeAbstractUI.aspx?menuIndex=3&amp;refID=7044762&amp;Result=3","7044762")</f>
        <v>0</v>
      </c>
      <c r="B595" t="s">
        <v>186</v>
      </c>
      <c r="C595" t="s">
        <v>3763</v>
      </c>
      <c r="D595" t="s">
        <v>18027</v>
      </c>
      <c r="E595" t="s">
        <v>18686</v>
      </c>
      <c r="F595" t="s">
        <v>31575</v>
      </c>
      <c r="G595" t="s">
        <v>31583</v>
      </c>
      <c r="H595" t="s">
        <v>31590</v>
      </c>
      <c r="I595" t="s">
        <v>4046</v>
      </c>
      <c r="J595" t="s">
        <v>32222</v>
      </c>
      <c r="K595" t="s">
        <v>41197</v>
      </c>
      <c r="M595" t="s">
        <v>41671</v>
      </c>
      <c r="N595" t="s">
        <v>45095</v>
      </c>
      <c r="O595" t="s">
        <v>45096</v>
      </c>
      <c r="P595">
        <v>0</v>
      </c>
      <c r="Q595">
        <v>0</v>
      </c>
      <c r="R595" t="s">
        <v>45097</v>
      </c>
      <c r="S595" t="s">
        <v>45222</v>
      </c>
      <c r="T595" t="s">
        <v>47005</v>
      </c>
      <c r="U595" t="s">
        <v>48002</v>
      </c>
      <c r="W595" t="s">
        <v>41671</v>
      </c>
      <c r="X595" t="s">
        <v>45098</v>
      </c>
    </row>
    <row r="596" spans="1:24">
      <c r="A596">
        <f>HYPERLINK("https://www.philgeps.gov.ph/GEPSNONPILOT/Tender/SplashBidNoticeAbstractUI.aspx?menuIndex=3&amp;refID=7044760&amp;Result=3","7044760")</f>
        <v>0</v>
      </c>
      <c r="B596" t="s">
        <v>277</v>
      </c>
      <c r="C596" t="s">
        <v>3764</v>
      </c>
      <c r="D596" t="s">
        <v>18047</v>
      </c>
      <c r="E596" t="s">
        <v>18533</v>
      </c>
      <c r="F596" t="s">
        <v>31574</v>
      </c>
      <c r="G596" t="s">
        <v>31581</v>
      </c>
      <c r="H596" t="s">
        <v>31590</v>
      </c>
      <c r="I596" t="s">
        <v>7185</v>
      </c>
      <c r="J596" t="s">
        <v>32223</v>
      </c>
      <c r="K596" t="s">
        <v>41211</v>
      </c>
      <c r="M596" t="s">
        <v>41763</v>
      </c>
      <c r="N596" t="s">
        <v>45095</v>
      </c>
      <c r="O596" t="s">
        <v>45096</v>
      </c>
      <c r="P596">
        <v>0</v>
      </c>
      <c r="Q596">
        <v>0</v>
      </c>
      <c r="R596" t="s">
        <v>45097</v>
      </c>
      <c r="S596" t="s">
        <v>45222</v>
      </c>
      <c r="T596" t="s">
        <v>47002</v>
      </c>
      <c r="U596" t="s">
        <v>48003</v>
      </c>
      <c r="W596" t="s">
        <v>41763</v>
      </c>
      <c r="X596" t="s">
        <v>45098</v>
      </c>
    </row>
    <row r="597" spans="1:24">
      <c r="A597">
        <f>HYPERLINK("https://www.philgeps.gov.ph/GEPSNONPILOT/Tender/SplashBidNoticeAbstractUI.aspx?menuIndex=3&amp;refID=7044755&amp;Result=3","7044755")</f>
        <v>0</v>
      </c>
      <c r="B597" t="s">
        <v>200</v>
      </c>
      <c r="C597" t="s">
        <v>3765</v>
      </c>
      <c r="D597" t="s">
        <v>18070</v>
      </c>
      <c r="E597" t="s">
        <v>18687</v>
      </c>
      <c r="F597" t="s">
        <v>31574</v>
      </c>
      <c r="G597" t="s">
        <v>31581</v>
      </c>
      <c r="H597" t="s">
        <v>31590</v>
      </c>
      <c r="I597" t="s">
        <v>31603</v>
      </c>
      <c r="J597" t="s">
        <v>31957</v>
      </c>
      <c r="K597" t="s">
        <v>41194</v>
      </c>
      <c r="M597" t="s">
        <v>41685</v>
      </c>
      <c r="N597" t="s">
        <v>45095</v>
      </c>
      <c r="O597" t="s">
        <v>45096</v>
      </c>
      <c r="P597">
        <v>0</v>
      </c>
      <c r="Q597">
        <v>0</v>
      </c>
      <c r="R597" t="s">
        <v>45097</v>
      </c>
      <c r="S597" t="s">
        <v>45222</v>
      </c>
      <c r="T597" t="s">
        <v>46913</v>
      </c>
      <c r="U597" t="s">
        <v>48004</v>
      </c>
      <c r="W597" t="s">
        <v>41685</v>
      </c>
      <c r="X597" t="s">
        <v>45098</v>
      </c>
    </row>
    <row r="598" spans="1:24">
      <c r="A598">
        <f>HYPERLINK("https://www.philgeps.gov.ph/GEPSNONPILOT/Tender/SplashBidNoticeAbstractUI.aspx?menuIndex=3&amp;refID=7044761&amp;Result=3","7044761")</f>
        <v>0</v>
      </c>
      <c r="B598" t="s">
        <v>124</v>
      </c>
      <c r="C598" t="s">
        <v>3766</v>
      </c>
      <c r="D598" t="s">
        <v>18065</v>
      </c>
      <c r="E598" t="s">
        <v>18688</v>
      </c>
      <c r="F598" t="s">
        <v>31574</v>
      </c>
      <c r="G598" t="s">
        <v>31581</v>
      </c>
      <c r="H598" t="s">
        <v>31590</v>
      </c>
      <c r="I598" t="s">
        <v>4354</v>
      </c>
      <c r="J598" t="s">
        <v>32224</v>
      </c>
      <c r="K598" t="s">
        <v>41184</v>
      </c>
      <c r="M598" t="s">
        <v>41608</v>
      </c>
      <c r="N598" t="s">
        <v>45095</v>
      </c>
      <c r="O598" t="s">
        <v>45096</v>
      </c>
      <c r="P598">
        <v>0</v>
      </c>
      <c r="Q598">
        <v>0</v>
      </c>
      <c r="R598" t="s">
        <v>45097</v>
      </c>
      <c r="S598" t="s">
        <v>45222</v>
      </c>
      <c r="T598" t="s">
        <v>46934</v>
      </c>
      <c r="U598" t="s">
        <v>48005</v>
      </c>
      <c r="W598" t="s">
        <v>41608</v>
      </c>
      <c r="X598" t="s">
        <v>45098</v>
      </c>
    </row>
    <row r="599" spans="1:24">
      <c r="A599">
        <f>HYPERLINK("https://www.philgeps.gov.ph/GEPSNONPILOT/Tender/SplashBidNoticeAbstractUI.aspx?menuIndex=3&amp;refID=7044770&amp;Result=3","7044770")</f>
        <v>0</v>
      </c>
      <c r="B599" t="s">
        <v>154</v>
      </c>
      <c r="C599" t="s">
        <v>3767</v>
      </c>
      <c r="D599" t="s">
        <v>18063</v>
      </c>
      <c r="E599" t="s">
        <v>18689</v>
      </c>
      <c r="F599" t="s">
        <v>31574</v>
      </c>
      <c r="G599" t="s">
        <v>31583</v>
      </c>
      <c r="H599" t="s">
        <v>31591</v>
      </c>
      <c r="I599" t="s">
        <v>8822</v>
      </c>
      <c r="J599" t="s">
        <v>32225</v>
      </c>
      <c r="K599" t="s">
        <v>41190</v>
      </c>
      <c r="M599" t="s">
        <v>41638</v>
      </c>
      <c r="N599" t="s">
        <v>45095</v>
      </c>
      <c r="O599" t="s">
        <v>45096</v>
      </c>
      <c r="P599">
        <v>0</v>
      </c>
      <c r="Q599">
        <v>0</v>
      </c>
      <c r="R599" t="s">
        <v>45097</v>
      </c>
      <c r="S599" t="s">
        <v>45222</v>
      </c>
      <c r="T599" t="s">
        <v>46914</v>
      </c>
      <c r="U599" t="s">
        <v>47764</v>
      </c>
      <c r="W599" t="s">
        <v>41638</v>
      </c>
      <c r="X599" t="s">
        <v>45098</v>
      </c>
    </row>
    <row r="600" spans="1:24">
      <c r="A600">
        <f>HYPERLINK("https://www.philgeps.gov.ph/GEPSNONPILOT/Tender/SplashBidNoticeAbstractUI.aspx?menuIndex=3&amp;refID=7044747&amp;Result=3","7044747")</f>
        <v>0</v>
      </c>
      <c r="B600" t="s">
        <v>88</v>
      </c>
      <c r="C600" t="s">
        <v>3768</v>
      </c>
      <c r="D600" t="s">
        <v>18056</v>
      </c>
      <c r="E600" t="s">
        <v>18690</v>
      </c>
      <c r="F600" t="s">
        <v>31574</v>
      </c>
      <c r="G600" t="s">
        <v>31582</v>
      </c>
      <c r="H600" t="s">
        <v>31591</v>
      </c>
      <c r="I600" t="s">
        <v>8822</v>
      </c>
      <c r="J600" t="s">
        <v>32226</v>
      </c>
      <c r="K600" t="s">
        <v>41228</v>
      </c>
      <c r="M600" t="s">
        <v>41572</v>
      </c>
      <c r="N600" t="s">
        <v>45095</v>
      </c>
      <c r="O600" t="s">
        <v>45096</v>
      </c>
      <c r="P600">
        <v>0</v>
      </c>
      <c r="Q600">
        <v>0</v>
      </c>
      <c r="R600" t="s">
        <v>45097</v>
      </c>
      <c r="S600" t="s">
        <v>45222</v>
      </c>
      <c r="T600" t="s">
        <v>46924</v>
      </c>
      <c r="U600" t="s">
        <v>48006</v>
      </c>
      <c r="W600" t="s">
        <v>41572</v>
      </c>
      <c r="X600" t="s">
        <v>45098</v>
      </c>
    </row>
    <row r="601" spans="1:24">
      <c r="A601">
        <f>HYPERLINK("https://www.philgeps.gov.ph/GEPSNONPILOT/Tender/SplashBidNoticeAbstractUI.aspx?menuIndex=3&amp;refID=7044769&amp;Result=3","7044769")</f>
        <v>0</v>
      </c>
      <c r="B601" t="s">
        <v>278</v>
      </c>
      <c r="C601" t="s">
        <v>3769</v>
      </c>
      <c r="E601" t="s">
        <v>18691</v>
      </c>
      <c r="F601" t="s">
        <v>31574</v>
      </c>
      <c r="G601" t="s">
        <v>31581</v>
      </c>
      <c r="H601" t="s">
        <v>31590</v>
      </c>
      <c r="I601" t="s">
        <v>3539</v>
      </c>
      <c r="J601" t="s">
        <v>32227</v>
      </c>
      <c r="K601" t="s">
        <v>41184</v>
      </c>
      <c r="M601" t="s">
        <v>41764</v>
      </c>
      <c r="N601" t="s">
        <v>45095</v>
      </c>
      <c r="O601" t="s">
        <v>45096</v>
      </c>
      <c r="P601">
        <v>0</v>
      </c>
      <c r="Q601">
        <v>0</v>
      </c>
      <c r="R601" t="s">
        <v>45097</v>
      </c>
      <c r="S601" t="s">
        <v>45222</v>
      </c>
      <c r="T601" t="s">
        <v>47002</v>
      </c>
      <c r="U601" t="s">
        <v>48007</v>
      </c>
      <c r="V601" t="s">
        <v>59912</v>
      </c>
      <c r="W601" t="s">
        <v>41764</v>
      </c>
      <c r="X601" t="s">
        <v>45098</v>
      </c>
    </row>
    <row r="602" spans="1:24">
      <c r="A602">
        <f>HYPERLINK("https://www.philgeps.gov.ph/GEPSNONPILOT/Tender/SplashBidNoticeAbstractUI.aspx?menuIndex=3&amp;refID=7044772&amp;Result=3","7044772")</f>
        <v>0</v>
      </c>
      <c r="B602" t="s">
        <v>201</v>
      </c>
      <c r="C602" t="s">
        <v>3770</v>
      </c>
      <c r="D602" t="s">
        <v>18045</v>
      </c>
      <c r="E602" t="s">
        <v>18692</v>
      </c>
      <c r="F602" t="s">
        <v>31574</v>
      </c>
      <c r="G602" t="s">
        <v>31585</v>
      </c>
      <c r="H602" t="s">
        <v>31590</v>
      </c>
      <c r="I602" t="s">
        <v>4327</v>
      </c>
      <c r="J602" t="s">
        <v>31726</v>
      </c>
      <c r="K602" t="s">
        <v>41184</v>
      </c>
      <c r="M602" t="s">
        <v>41686</v>
      </c>
      <c r="N602" t="s">
        <v>45095</v>
      </c>
      <c r="O602" t="s">
        <v>45096</v>
      </c>
      <c r="P602">
        <v>0</v>
      </c>
      <c r="Q602">
        <v>0</v>
      </c>
      <c r="R602" t="s">
        <v>45097</v>
      </c>
      <c r="S602" t="s">
        <v>45222</v>
      </c>
      <c r="T602" t="s">
        <v>46926</v>
      </c>
      <c r="U602" t="s">
        <v>48008</v>
      </c>
      <c r="W602" t="s">
        <v>41686</v>
      </c>
      <c r="X602" t="s">
        <v>45098</v>
      </c>
    </row>
    <row r="603" spans="1:24">
      <c r="A603">
        <f>HYPERLINK("https://www.philgeps.gov.ph/GEPSNONPILOT/Tender/SplashBidNoticeAbstractUI.aspx?menuIndex=3&amp;refID=7044780&amp;Result=3","7044780")</f>
        <v>0</v>
      </c>
      <c r="B603" t="s">
        <v>279</v>
      </c>
      <c r="C603" t="s">
        <v>3771</v>
      </c>
      <c r="D603" t="s">
        <v>18041</v>
      </c>
      <c r="E603" t="s">
        <v>18693</v>
      </c>
      <c r="F603" t="s">
        <v>31574</v>
      </c>
      <c r="G603" t="s">
        <v>31581</v>
      </c>
      <c r="H603" t="s">
        <v>31590</v>
      </c>
      <c r="I603" t="s">
        <v>31600</v>
      </c>
      <c r="J603" t="s">
        <v>32228</v>
      </c>
      <c r="K603" t="s">
        <v>41190</v>
      </c>
      <c r="M603" t="s">
        <v>41765</v>
      </c>
      <c r="N603" t="s">
        <v>45095</v>
      </c>
      <c r="O603" t="s">
        <v>45096</v>
      </c>
      <c r="P603">
        <v>0</v>
      </c>
      <c r="Q603">
        <v>0</v>
      </c>
      <c r="R603" t="s">
        <v>45097</v>
      </c>
      <c r="S603" t="s">
        <v>45222</v>
      </c>
      <c r="T603" t="s">
        <v>46911</v>
      </c>
      <c r="U603" t="s">
        <v>48009</v>
      </c>
      <c r="W603" t="s">
        <v>41765</v>
      </c>
      <c r="X603" t="s">
        <v>45098</v>
      </c>
    </row>
    <row r="604" spans="1:24">
      <c r="A604">
        <f>HYPERLINK("https://www.philgeps.gov.ph/GEPSNONPILOT/Tender/SplashBidNoticeAbstractUI.aspx?menuIndex=3&amp;refID=7044771&amp;Result=3","7044771")</f>
        <v>0</v>
      </c>
      <c r="B604" t="s">
        <v>200</v>
      </c>
      <c r="C604" t="s">
        <v>3772</v>
      </c>
      <c r="D604" t="s">
        <v>18070</v>
      </c>
      <c r="E604" t="s">
        <v>18694</v>
      </c>
      <c r="F604" t="s">
        <v>31574</v>
      </c>
      <c r="G604" t="s">
        <v>31581</v>
      </c>
      <c r="H604" t="s">
        <v>31590</v>
      </c>
      <c r="I604" t="s">
        <v>4046</v>
      </c>
      <c r="J604" t="s">
        <v>32229</v>
      </c>
      <c r="K604" t="s">
        <v>41194</v>
      </c>
      <c r="M604" t="s">
        <v>41685</v>
      </c>
      <c r="N604" t="s">
        <v>45095</v>
      </c>
      <c r="O604" t="s">
        <v>45096</v>
      </c>
      <c r="P604">
        <v>0</v>
      </c>
      <c r="Q604">
        <v>0</v>
      </c>
      <c r="R604" t="s">
        <v>45097</v>
      </c>
      <c r="S604" t="s">
        <v>45222</v>
      </c>
      <c r="T604" t="s">
        <v>46913</v>
      </c>
      <c r="U604" t="s">
        <v>48010</v>
      </c>
      <c r="W604" t="s">
        <v>41685</v>
      </c>
      <c r="X604" t="s">
        <v>45098</v>
      </c>
    </row>
    <row r="605" spans="1:24">
      <c r="A605">
        <f>HYPERLINK("https://www.philgeps.gov.ph/GEPSNONPILOT/Tender/SplashBidNoticeAbstractUI.aspx?menuIndex=3&amp;refID=7044781&amp;Result=3","7044781")</f>
        <v>0</v>
      </c>
      <c r="B605" t="s">
        <v>280</v>
      </c>
      <c r="C605" t="s">
        <v>3773</v>
      </c>
      <c r="D605" t="s">
        <v>18089</v>
      </c>
      <c r="E605" t="s">
        <v>18695</v>
      </c>
      <c r="F605" t="s">
        <v>31574</v>
      </c>
      <c r="G605" t="s">
        <v>31581</v>
      </c>
      <c r="H605" t="s">
        <v>31590</v>
      </c>
      <c r="I605" t="s">
        <v>3651</v>
      </c>
      <c r="J605" t="s">
        <v>32230</v>
      </c>
      <c r="K605" t="s">
        <v>41211</v>
      </c>
      <c r="M605" t="s">
        <v>41766</v>
      </c>
      <c r="N605" t="s">
        <v>45095</v>
      </c>
      <c r="O605" t="s">
        <v>45096</v>
      </c>
      <c r="P605">
        <v>0</v>
      </c>
      <c r="Q605">
        <v>0</v>
      </c>
      <c r="R605" t="s">
        <v>45097</v>
      </c>
      <c r="S605" t="s">
        <v>45222</v>
      </c>
      <c r="T605" t="s">
        <v>46949</v>
      </c>
      <c r="U605" t="s">
        <v>48011</v>
      </c>
      <c r="V605" t="s">
        <v>59913</v>
      </c>
      <c r="W605" t="s">
        <v>41766</v>
      </c>
      <c r="X605" t="s">
        <v>45098</v>
      </c>
    </row>
    <row r="606" spans="1:24">
      <c r="A606">
        <f>HYPERLINK("https://www.philgeps.gov.ph/GEPSNONPILOT/Tender/SplashBidNoticeAbstractUI.aspx?menuIndex=3&amp;refID=7044778&amp;Result=3","7044778")</f>
        <v>0</v>
      </c>
      <c r="B606" t="s">
        <v>125</v>
      </c>
      <c r="C606" t="s">
        <v>3774</v>
      </c>
      <c r="D606" t="s">
        <v>18039</v>
      </c>
      <c r="E606" t="s">
        <v>18696</v>
      </c>
      <c r="F606" t="s">
        <v>31574</v>
      </c>
      <c r="G606" t="s">
        <v>31581</v>
      </c>
      <c r="H606" t="s">
        <v>31591</v>
      </c>
      <c r="I606" t="s">
        <v>8822</v>
      </c>
      <c r="J606" t="s">
        <v>31947</v>
      </c>
      <c r="K606" t="s">
        <v>41184</v>
      </c>
      <c r="M606" t="s">
        <v>41609</v>
      </c>
      <c r="N606" t="s">
        <v>45095</v>
      </c>
      <c r="O606" t="s">
        <v>45096</v>
      </c>
      <c r="P606">
        <v>0</v>
      </c>
      <c r="Q606">
        <v>0</v>
      </c>
      <c r="R606" t="s">
        <v>45097</v>
      </c>
      <c r="S606" t="s">
        <v>45222</v>
      </c>
      <c r="T606" t="s">
        <v>46911</v>
      </c>
      <c r="U606" t="s">
        <v>47720</v>
      </c>
      <c r="W606" t="s">
        <v>41609</v>
      </c>
      <c r="X606" t="s">
        <v>45098</v>
      </c>
    </row>
    <row r="607" spans="1:24">
      <c r="A607">
        <f>HYPERLINK("https://www.philgeps.gov.ph/GEPSNONPILOT/Tender/SplashBidNoticeAbstractUI.aspx?menuIndex=3&amp;refID=7044782&amp;Result=3","7044782")</f>
        <v>0</v>
      </c>
      <c r="B607" t="s">
        <v>182</v>
      </c>
      <c r="C607" t="s">
        <v>3775</v>
      </c>
      <c r="D607" t="s">
        <v>18060</v>
      </c>
      <c r="E607" t="s">
        <v>18697</v>
      </c>
      <c r="F607" t="s">
        <v>31574</v>
      </c>
      <c r="G607" t="s">
        <v>31581</v>
      </c>
      <c r="H607" t="s">
        <v>31590</v>
      </c>
      <c r="I607" t="s">
        <v>31614</v>
      </c>
      <c r="J607" t="s">
        <v>32231</v>
      </c>
      <c r="K607" t="s">
        <v>41190</v>
      </c>
      <c r="M607" t="s">
        <v>41667</v>
      </c>
      <c r="N607" t="s">
        <v>45095</v>
      </c>
      <c r="O607" t="s">
        <v>45096</v>
      </c>
      <c r="P607">
        <v>0</v>
      </c>
      <c r="Q607">
        <v>0</v>
      </c>
      <c r="R607" t="s">
        <v>45097</v>
      </c>
      <c r="S607" t="s">
        <v>45222</v>
      </c>
      <c r="T607" t="s">
        <v>46918</v>
      </c>
      <c r="U607" t="s">
        <v>48012</v>
      </c>
      <c r="W607" t="s">
        <v>41667</v>
      </c>
      <c r="X607" t="s">
        <v>45098</v>
      </c>
    </row>
    <row r="608" spans="1:24">
      <c r="A608">
        <f>HYPERLINK("https://www.philgeps.gov.ph/GEPSNONPILOT/Tender/SplashBidNoticeAbstractUI.aspx?menuIndex=3&amp;refID=7044792&amp;Result=3","7044792")</f>
        <v>0</v>
      </c>
      <c r="B608" t="s">
        <v>281</v>
      </c>
      <c r="C608" t="s">
        <v>3776</v>
      </c>
      <c r="E608" t="s">
        <v>18698</v>
      </c>
      <c r="F608" t="s">
        <v>31574</v>
      </c>
      <c r="G608" t="s">
        <v>31581</v>
      </c>
      <c r="H608" t="s">
        <v>31592</v>
      </c>
      <c r="I608" t="s">
        <v>31605</v>
      </c>
      <c r="J608" t="s">
        <v>31888</v>
      </c>
      <c r="K608" t="s">
        <v>41189</v>
      </c>
      <c r="M608" t="s">
        <v>41767</v>
      </c>
      <c r="N608" t="s">
        <v>45095</v>
      </c>
      <c r="O608" t="s">
        <v>45096</v>
      </c>
      <c r="P608">
        <v>0</v>
      </c>
      <c r="Q608">
        <v>0</v>
      </c>
      <c r="R608" t="s">
        <v>45097</v>
      </c>
      <c r="S608" t="s">
        <v>45222</v>
      </c>
      <c r="T608" t="s">
        <v>46935</v>
      </c>
      <c r="U608" t="s">
        <v>48013</v>
      </c>
      <c r="W608" t="s">
        <v>41767</v>
      </c>
      <c r="X608" t="s">
        <v>45098</v>
      </c>
    </row>
    <row r="609" spans="1:24">
      <c r="A609">
        <f>HYPERLINK("https://www.philgeps.gov.ph/GEPSNONPILOT/Tender/SplashBidNoticeAbstractUI.aspx?menuIndex=3&amp;refID=7044793&amp;Result=3","7044793")</f>
        <v>0</v>
      </c>
      <c r="B609" t="s">
        <v>282</v>
      </c>
      <c r="C609" t="s">
        <v>3777</v>
      </c>
      <c r="D609" t="s">
        <v>18022</v>
      </c>
      <c r="E609" t="s">
        <v>18699</v>
      </c>
      <c r="F609" t="s">
        <v>31574</v>
      </c>
      <c r="G609" t="s">
        <v>31587</v>
      </c>
      <c r="H609" t="s">
        <v>31593</v>
      </c>
      <c r="I609" t="s">
        <v>31593</v>
      </c>
      <c r="J609" t="s">
        <v>32232</v>
      </c>
      <c r="K609" t="s">
        <v>41229</v>
      </c>
      <c r="M609" t="s">
        <v>41768</v>
      </c>
      <c r="N609" t="s">
        <v>45095</v>
      </c>
      <c r="O609" t="s">
        <v>45096</v>
      </c>
      <c r="P609">
        <v>0</v>
      </c>
      <c r="Q609">
        <v>0</v>
      </c>
      <c r="R609" t="s">
        <v>45097</v>
      </c>
      <c r="S609" t="s">
        <v>45222</v>
      </c>
      <c r="T609" t="s">
        <v>46905</v>
      </c>
      <c r="U609" t="s">
        <v>48014</v>
      </c>
      <c r="V609" t="s">
        <v>59914</v>
      </c>
      <c r="W609" t="s">
        <v>41768</v>
      </c>
      <c r="X609" t="s">
        <v>45098</v>
      </c>
    </row>
    <row r="610" spans="1:24">
      <c r="A610">
        <f>HYPERLINK("https://www.philgeps.gov.ph/GEPSNONPILOT/Tender/SplashBidNoticeAbstractUI.aspx?menuIndex=3&amp;refID=7044790&amp;Result=3","7044790")</f>
        <v>0</v>
      </c>
      <c r="B610" t="s">
        <v>200</v>
      </c>
      <c r="C610" t="s">
        <v>3778</v>
      </c>
      <c r="D610" t="s">
        <v>18070</v>
      </c>
      <c r="E610" t="s">
        <v>18700</v>
      </c>
      <c r="F610" t="s">
        <v>31574</v>
      </c>
      <c r="G610" t="s">
        <v>31581</v>
      </c>
      <c r="H610" t="s">
        <v>31590</v>
      </c>
      <c r="I610" t="s">
        <v>4046</v>
      </c>
      <c r="J610" t="s">
        <v>32233</v>
      </c>
      <c r="K610" t="s">
        <v>41194</v>
      </c>
      <c r="M610" t="s">
        <v>41685</v>
      </c>
      <c r="N610" t="s">
        <v>45095</v>
      </c>
      <c r="O610" t="s">
        <v>45096</v>
      </c>
      <c r="P610">
        <v>0</v>
      </c>
      <c r="Q610">
        <v>0</v>
      </c>
      <c r="R610" t="s">
        <v>45097</v>
      </c>
      <c r="S610" t="s">
        <v>45222</v>
      </c>
      <c r="T610" t="s">
        <v>46913</v>
      </c>
      <c r="U610" t="s">
        <v>48015</v>
      </c>
      <c r="W610" t="s">
        <v>41685</v>
      </c>
      <c r="X610" t="s">
        <v>45098</v>
      </c>
    </row>
    <row r="611" spans="1:24">
      <c r="A611">
        <f>HYPERLINK("https://www.philgeps.gov.ph/GEPSNONPILOT/Tender/SplashBidNoticeAbstractUI.aspx?menuIndex=3&amp;refID=7044786&amp;Result=3","7044786")</f>
        <v>0</v>
      </c>
      <c r="B611" t="s">
        <v>283</v>
      </c>
      <c r="C611" t="s">
        <v>3779</v>
      </c>
      <c r="D611" t="s">
        <v>18036</v>
      </c>
      <c r="E611" t="s">
        <v>18701</v>
      </c>
      <c r="F611" t="s">
        <v>31574</v>
      </c>
      <c r="G611" t="s">
        <v>31581</v>
      </c>
      <c r="H611" t="s">
        <v>31592</v>
      </c>
      <c r="I611" t="s">
        <v>31623</v>
      </c>
      <c r="J611" t="s">
        <v>32234</v>
      </c>
      <c r="K611" t="s">
        <v>41230</v>
      </c>
      <c r="M611" t="s">
        <v>41769</v>
      </c>
      <c r="N611" t="s">
        <v>45095</v>
      </c>
      <c r="O611" t="s">
        <v>45096</v>
      </c>
      <c r="P611">
        <v>0</v>
      </c>
      <c r="Q611">
        <v>0</v>
      </c>
      <c r="R611" t="s">
        <v>45097</v>
      </c>
      <c r="S611" t="s">
        <v>45222</v>
      </c>
      <c r="T611" t="s">
        <v>46918</v>
      </c>
      <c r="U611" t="s">
        <v>48016</v>
      </c>
      <c r="V611" t="s">
        <v>59915</v>
      </c>
      <c r="W611" t="s">
        <v>41769</v>
      </c>
      <c r="X611" t="s">
        <v>45098</v>
      </c>
    </row>
    <row r="612" spans="1:24">
      <c r="A612">
        <f>HYPERLINK("https://www.philgeps.gov.ph/GEPSNONPILOT/Tender/SplashBidNoticeAbstractUI.aspx?menuIndex=3&amp;refID=7044774&amp;Result=3","7044774")</f>
        <v>0</v>
      </c>
      <c r="B612" t="s">
        <v>47</v>
      </c>
      <c r="C612" t="s">
        <v>3780</v>
      </c>
      <c r="D612" t="s">
        <v>18040</v>
      </c>
      <c r="E612" t="s">
        <v>18553</v>
      </c>
      <c r="F612" t="s">
        <v>31574</v>
      </c>
      <c r="G612" t="s">
        <v>31582</v>
      </c>
      <c r="H612" t="s">
        <v>31591</v>
      </c>
      <c r="I612" t="s">
        <v>8822</v>
      </c>
      <c r="J612" t="s">
        <v>32235</v>
      </c>
      <c r="K612" t="s">
        <v>41231</v>
      </c>
      <c r="M612" t="s">
        <v>41530</v>
      </c>
      <c r="N612" t="s">
        <v>45095</v>
      </c>
      <c r="O612" t="s">
        <v>45096</v>
      </c>
      <c r="P612">
        <v>0</v>
      </c>
      <c r="Q612">
        <v>0</v>
      </c>
      <c r="R612" t="s">
        <v>45097</v>
      </c>
      <c r="S612" t="s">
        <v>45222</v>
      </c>
      <c r="T612" t="s">
        <v>46920</v>
      </c>
      <c r="U612" t="s">
        <v>48017</v>
      </c>
      <c r="W612" t="s">
        <v>41530</v>
      </c>
      <c r="X612" t="s">
        <v>45098</v>
      </c>
    </row>
    <row r="613" spans="1:24">
      <c r="A613">
        <f>HYPERLINK("https://www.philgeps.gov.ph/GEPSNONPILOT/Tender/SplashBidNoticeAbstractUI.aspx?menuIndex=3&amp;refID=7044779&amp;Result=3","7044779")</f>
        <v>0</v>
      </c>
      <c r="B613" t="s">
        <v>250</v>
      </c>
      <c r="C613" t="s">
        <v>3781</v>
      </c>
      <c r="D613" t="s">
        <v>18022</v>
      </c>
      <c r="E613" t="s">
        <v>18702</v>
      </c>
      <c r="F613" t="s">
        <v>31574</v>
      </c>
      <c r="G613" t="s">
        <v>31582</v>
      </c>
      <c r="H613" t="s">
        <v>31590</v>
      </c>
      <c r="I613" t="s">
        <v>31640</v>
      </c>
      <c r="J613" t="s">
        <v>32101</v>
      </c>
      <c r="K613" t="s">
        <v>41186</v>
      </c>
      <c r="M613" t="s">
        <v>41736</v>
      </c>
      <c r="N613" t="s">
        <v>45095</v>
      </c>
      <c r="O613" t="s">
        <v>45096</v>
      </c>
      <c r="P613">
        <v>0</v>
      </c>
      <c r="Q613">
        <v>0</v>
      </c>
      <c r="R613" t="s">
        <v>45097</v>
      </c>
      <c r="S613" t="s">
        <v>45222</v>
      </c>
      <c r="T613" t="s">
        <v>46998</v>
      </c>
      <c r="U613" t="s">
        <v>48018</v>
      </c>
      <c r="V613" t="s">
        <v>59909</v>
      </c>
      <c r="W613" t="s">
        <v>41736</v>
      </c>
      <c r="X613" t="s">
        <v>45098</v>
      </c>
    </row>
    <row r="614" spans="1:24">
      <c r="A614">
        <f>HYPERLINK("https://www.philgeps.gov.ph/GEPSNONPILOT/Tender/SplashBidNoticeAbstractUI.aspx?menuIndex=3&amp;refID=7044785&amp;Result=3","7044785")</f>
        <v>0</v>
      </c>
      <c r="B614" t="s">
        <v>269</v>
      </c>
      <c r="C614" t="s">
        <v>3782</v>
      </c>
      <c r="D614" t="s">
        <v>18058</v>
      </c>
      <c r="E614" t="s">
        <v>18703</v>
      </c>
      <c r="F614" t="s">
        <v>31575</v>
      </c>
      <c r="G614" t="s">
        <v>31581</v>
      </c>
      <c r="H614" t="s">
        <v>31590</v>
      </c>
      <c r="I614" t="s">
        <v>14544</v>
      </c>
      <c r="J614" t="s">
        <v>32236</v>
      </c>
      <c r="K614" t="s">
        <v>41213</v>
      </c>
      <c r="M614" t="s">
        <v>41755</v>
      </c>
      <c r="N614" t="s">
        <v>45095</v>
      </c>
      <c r="O614" t="s">
        <v>45096</v>
      </c>
      <c r="P614">
        <v>0</v>
      </c>
      <c r="Q614">
        <v>0</v>
      </c>
      <c r="R614" t="s">
        <v>45097</v>
      </c>
      <c r="S614" t="s">
        <v>45222</v>
      </c>
      <c r="T614" t="s">
        <v>47003</v>
      </c>
      <c r="U614" t="s">
        <v>48019</v>
      </c>
      <c r="W614" t="s">
        <v>41755</v>
      </c>
      <c r="X614" t="s">
        <v>45098</v>
      </c>
    </row>
    <row r="615" spans="1:24">
      <c r="A615">
        <f>HYPERLINK("https://www.philgeps.gov.ph/GEPSNONPILOT/Tender/SplashBidNoticeAbstractUI.aspx?menuIndex=3&amp;refID=7044789&amp;Result=3","7044789")</f>
        <v>0</v>
      </c>
      <c r="B615" t="s">
        <v>284</v>
      </c>
      <c r="C615" t="s">
        <v>3783</v>
      </c>
      <c r="E615" t="s">
        <v>18704</v>
      </c>
      <c r="F615" t="s">
        <v>31574</v>
      </c>
      <c r="G615" t="s">
        <v>31581</v>
      </c>
      <c r="H615" t="s">
        <v>31590</v>
      </c>
      <c r="I615" t="s">
        <v>5717</v>
      </c>
      <c r="J615" t="s">
        <v>32237</v>
      </c>
      <c r="K615" t="s">
        <v>41184</v>
      </c>
      <c r="M615" t="s">
        <v>41770</v>
      </c>
      <c r="N615" t="s">
        <v>45095</v>
      </c>
      <c r="O615" t="s">
        <v>45096</v>
      </c>
      <c r="P615">
        <v>0</v>
      </c>
      <c r="Q615">
        <v>0</v>
      </c>
      <c r="R615" t="s">
        <v>45097</v>
      </c>
      <c r="S615" t="s">
        <v>45222</v>
      </c>
      <c r="T615" t="s">
        <v>46918</v>
      </c>
      <c r="U615" t="s">
        <v>48020</v>
      </c>
      <c r="V615" t="s">
        <v>59916</v>
      </c>
      <c r="W615" t="s">
        <v>41770</v>
      </c>
      <c r="X615" t="s">
        <v>45098</v>
      </c>
    </row>
    <row r="616" spans="1:24">
      <c r="A616">
        <f>HYPERLINK("https://www.philgeps.gov.ph/GEPSNONPILOT/Tender/SplashBidNoticeAbstractUI.aspx?menuIndex=3&amp;refID=7044788&amp;Result=3","7044788")</f>
        <v>0</v>
      </c>
      <c r="B616" t="s">
        <v>285</v>
      </c>
      <c r="C616" t="s">
        <v>3784</v>
      </c>
      <c r="D616" t="s">
        <v>18035</v>
      </c>
      <c r="E616" t="s">
        <v>18705</v>
      </c>
      <c r="F616" t="s">
        <v>31574</v>
      </c>
      <c r="G616" t="s">
        <v>31582</v>
      </c>
      <c r="H616" t="s">
        <v>31590</v>
      </c>
      <c r="I616" t="s">
        <v>4046</v>
      </c>
      <c r="J616" t="s">
        <v>31950</v>
      </c>
      <c r="K616" t="s">
        <v>41190</v>
      </c>
      <c r="L616" t="s">
        <v>285</v>
      </c>
      <c r="M616" t="s">
        <v>41771</v>
      </c>
      <c r="N616" t="s">
        <v>45095</v>
      </c>
      <c r="O616" t="s">
        <v>45096</v>
      </c>
      <c r="P616">
        <v>0</v>
      </c>
      <c r="Q616">
        <v>0</v>
      </c>
      <c r="R616" t="s">
        <v>45097</v>
      </c>
      <c r="S616" t="s">
        <v>45222</v>
      </c>
      <c r="T616" t="s">
        <v>46937</v>
      </c>
      <c r="U616" t="s">
        <v>48021</v>
      </c>
      <c r="W616" t="s">
        <v>41771</v>
      </c>
      <c r="X616" t="s">
        <v>45098</v>
      </c>
    </row>
    <row r="617" spans="1:24">
      <c r="A617">
        <f>HYPERLINK("https://www.philgeps.gov.ph/GEPSNONPILOT/Tender/SplashBidNoticeAbstractUI.aspx?menuIndex=3&amp;refID=7044766&amp;Result=3","7044766")</f>
        <v>0</v>
      </c>
      <c r="B617" t="s">
        <v>161</v>
      </c>
      <c r="C617" t="s">
        <v>3785</v>
      </c>
      <c r="E617" t="s">
        <v>18706</v>
      </c>
      <c r="F617" t="s">
        <v>31574</v>
      </c>
      <c r="G617" t="s">
        <v>31581</v>
      </c>
      <c r="H617" t="s">
        <v>31590</v>
      </c>
      <c r="I617" t="s">
        <v>31631</v>
      </c>
      <c r="J617" t="s">
        <v>32238</v>
      </c>
      <c r="K617" t="s">
        <v>41184</v>
      </c>
      <c r="M617" t="s">
        <v>41645</v>
      </c>
      <c r="N617" t="s">
        <v>45095</v>
      </c>
      <c r="O617" t="s">
        <v>45096</v>
      </c>
      <c r="P617">
        <v>0</v>
      </c>
      <c r="Q617">
        <v>0</v>
      </c>
      <c r="R617" t="s">
        <v>45097</v>
      </c>
      <c r="S617" t="s">
        <v>45222</v>
      </c>
      <c r="T617" t="s">
        <v>46913</v>
      </c>
      <c r="U617" t="s">
        <v>48022</v>
      </c>
      <c r="W617" t="s">
        <v>41645</v>
      </c>
      <c r="X617" t="s">
        <v>45098</v>
      </c>
    </row>
    <row r="618" spans="1:24">
      <c r="A618">
        <f>HYPERLINK("https://www.philgeps.gov.ph/GEPSNONPILOT/Tender/SplashBidNoticeAbstractUI.aspx?menuIndex=3&amp;refID=7044751&amp;Result=3","7044751")</f>
        <v>0</v>
      </c>
      <c r="B618" t="s">
        <v>242</v>
      </c>
      <c r="C618" t="s">
        <v>3786</v>
      </c>
      <c r="E618" t="s">
        <v>18707</v>
      </c>
      <c r="F618" t="s">
        <v>31574</v>
      </c>
      <c r="G618" t="s">
        <v>31582</v>
      </c>
      <c r="H618" t="s">
        <v>31590</v>
      </c>
      <c r="I618" t="s">
        <v>4046</v>
      </c>
      <c r="J618" t="s">
        <v>32239</v>
      </c>
      <c r="K618" t="s">
        <v>41196</v>
      </c>
      <c r="M618" t="s">
        <v>41728</v>
      </c>
      <c r="N618" t="s">
        <v>45095</v>
      </c>
      <c r="O618" t="s">
        <v>45096</v>
      </c>
      <c r="P618">
        <v>0</v>
      </c>
      <c r="Q618">
        <v>0</v>
      </c>
      <c r="R618" t="s">
        <v>45097</v>
      </c>
      <c r="S618" t="s">
        <v>45222</v>
      </c>
      <c r="T618" t="s">
        <v>46908</v>
      </c>
      <c r="U618" t="s">
        <v>48023</v>
      </c>
      <c r="V618" t="s">
        <v>59907</v>
      </c>
      <c r="W618" t="s">
        <v>41728</v>
      </c>
      <c r="X618" t="s">
        <v>45098</v>
      </c>
    </row>
    <row r="619" spans="1:24">
      <c r="A619">
        <f>HYPERLINK("https://www.philgeps.gov.ph/GEPSNONPILOT/Tender/SplashBidNoticeAbstractUI.aspx?menuIndex=3&amp;refID=7044784&amp;Result=3","7044784")</f>
        <v>0</v>
      </c>
      <c r="B619" t="s">
        <v>286</v>
      </c>
      <c r="C619" t="s">
        <v>3787</v>
      </c>
      <c r="D619" t="s">
        <v>18053</v>
      </c>
      <c r="E619" t="s">
        <v>18708</v>
      </c>
      <c r="F619" t="s">
        <v>31574</v>
      </c>
      <c r="G619" t="s">
        <v>31581</v>
      </c>
      <c r="H619" t="s">
        <v>31590</v>
      </c>
      <c r="I619" t="s">
        <v>31605</v>
      </c>
      <c r="J619" t="s">
        <v>32240</v>
      </c>
      <c r="K619" t="s">
        <v>41186</v>
      </c>
      <c r="M619" t="s">
        <v>41772</v>
      </c>
      <c r="N619" t="s">
        <v>45095</v>
      </c>
      <c r="O619" t="s">
        <v>45096</v>
      </c>
      <c r="P619">
        <v>0</v>
      </c>
      <c r="Q619">
        <v>0</v>
      </c>
      <c r="R619" t="s">
        <v>45097</v>
      </c>
      <c r="S619" t="s">
        <v>45222</v>
      </c>
      <c r="T619" t="s">
        <v>47002</v>
      </c>
      <c r="U619" t="s">
        <v>48024</v>
      </c>
      <c r="W619" t="s">
        <v>41772</v>
      </c>
      <c r="X619" t="s">
        <v>45098</v>
      </c>
    </row>
    <row r="620" spans="1:24">
      <c r="A620">
        <f>HYPERLINK("https://www.philgeps.gov.ph/GEPSNONPILOT/Tender/SplashBidNoticeAbstractUI.aspx?menuIndex=3&amp;refID=7044783&amp;Result=3","7044783")</f>
        <v>0</v>
      </c>
      <c r="B620" t="s">
        <v>191</v>
      </c>
      <c r="C620" t="s">
        <v>3788</v>
      </c>
      <c r="D620" t="s">
        <v>18082</v>
      </c>
      <c r="E620" t="s">
        <v>18709</v>
      </c>
      <c r="F620" t="s">
        <v>31574</v>
      </c>
      <c r="G620" t="s">
        <v>31582</v>
      </c>
      <c r="H620" t="s">
        <v>31591</v>
      </c>
      <c r="I620" t="s">
        <v>8822</v>
      </c>
      <c r="J620" t="s">
        <v>32241</v>
      </c>
      <c r="K620" t="s">
        <v>41184</v>
      </c>
      <c r="M620" t="s">
        <v>41676</v>
      </c>
      <c r="N620" t="s">
        <v>45095</v>
      </c>
      <c r="O620" t="s">
        <v>45096</v>
      </c>
      <c r="P620">
        <v>0</v>
      </c>
      <c r="Q620">
        <v>0</v>
      </c>
      <c r="R620" t="s">
        <v>45097</v>
      </c>
      <c r="S620" t="s">
        <v>45222</v>
      </c>
      <c r="T620" t="s">
        <v>46924</v>
      </c>
      <c r="U620" t="s">
        <v>47828</v>
      </c>
      <c r="W620" t="s">
        <v>41676</v>
      </c>
      <c r="X620" t="s">
        <v>45098</v>
      </c>
    </row>
    <row r="621" spans="1:24">
      <c r="A621">
        <f>HYPERLINK("https://www.philgeps.gov.ph/GEPSNONPILOT/Tender/SplashBidNoticeAbstractUI.aspx?menuIndex=3&amp;refID=7044794&amp;Result=3","7044794")</f>
        <v>0</v>
      </c>
      <c r="B621" t="s">
        <v>233</v>
      </c>
      <c r="C621" t="s">
        <v>3789</v>
      </c>
      <c r="D621" t="s">
        <v>18052</v>
      </c>
      <c r="E621" t="s">
        <v>18710</v>
      </c>
      <c r="F621" t="s">
        <v>31574</v>
      </c>
      <c r="G621" t="s">
        <v>31582</v>
      </c>
      <c r="H621" t="s">
        <v>31591</v>
      </c>
      <c r="I621" t="s">
        <v>4046</v>
      </c>
      <c r="J621" t="s">
        <v>32242</v>
      </c>
      <c r="K621" t="s">
        <v>41190</v>
      </c>
      <c r="M621" t="s">
        <v>41718</v>
      </c>
      <c r="N621" t="s">
        <v>45095</v>
      </c>
      <c r="O621" t="s">
        <v>45096</v>
      </c>
      <c r="P621">
        <v>0</v>
      </c>
      <c r="Q621">
        <v>0</v>
      </c>
      <c r="R621" t="s">
        <v>45097</v>
      </c>
      <c r="S621" t="s">
        <v>45222</v>
      </c>
      <c r="T621" t="s">
        <v>46916</v>
      </c>
      <c r="U621" t="s">
        <v>48025</v>
      </c>
      <c r="W621" t="s">
        <v>41718</v>
      </c>
      <c r="X621" t="s">
        <v>45098</v>
      </c>
    </row>
    <row r="622" spans="1:24">
      <c r="A622">
        <f>HYPERLINK("https://www.philgeps.gov.ph/GEPSNONPILOT/Tender/SplashBidNoticeAbstractUI.aspx?menuIndex=3&amp;refID=7044787&amp;Result=3","7044787")</f>
        <v>0</v>
      </c>
      <c r="B622" t="s">
        <v>50</v>
      </c>
      <c r="C622" t="s">
        <v>3790</v>
      </c>
      <c r="D622" t="s">
        <v>18042</v>
      </c>
      <c r="E622" t="s">
        <v>18711</v>
      </c>
      <c r="F622" t="s">
        <v>31574</v>
      </c>
      <c r="G622" t="s">
        <v>31582</v>
      </c>
      <c r="H622" t="s">
        <v>31590</v>
      </c>
      <c r="I622" t="s">
        <v>4327</v>
      </c>
      <c r="J622" t="s">
        <v>32243</v>
      </c>
      <c r="K622" t="s">
        <v>41186</v>
      </c>
      <c r="M622" t="s">
        <v>41533</v>
      </c>
      <c r="N622" t="s">
        <v>45095</v>
      </c>
      <c r="O622" t="s">
        <v>45096</v>
      </c>
      <c r="P622">
        <v>0</v>
      </c>
      <c r="Q622">
        <v>0</v>
      </c>
      <c r="R622" t="s">
        <v>45097</v>
      </c>
      <c r="S622" t="s">
        <v>45222</v>
      </c>
      <c r="T622" t="s">
        <v>46916</v>
      </c>
      <c r="U622" t="s">
        <v>48026</v>
      </c>
      <c r="W622" t="s">
        <v>41533</v>
      </c>
      <c r="X622" t="s">
        <v>45098</v>
      </c>
    </row>
    <row r="623" spans="1:24">
      <c r="A623">
        <f>HYPERLINK("https://www.philgeps.gov.ph/GEPSNONPILOT/Tender/SplashBidNoticeAbstractUI.aspx?menuIndex=3&amp;refID=7044814&amp;Result=3","7044814")</f>
        <v>0</v>
      </c>
      <c r="B623" t="s">
        <v>287</v>
      </c>
      <c r="C623" t="s">
        <v>3791</v>
      </c>
      <c r="D623" t="s">
        <v>18090</v>
      </c>
      <c r="E623" t="s">
        <v>18191</v>
      </c>
      <c r="F623" t="s">
        <v>31574</v>
      </c>
      <c r="G623" t="s">
        <v>31582</v>
      </c>
      <c r="H623" t="s">
        <v>31591</v>
      </c>
      <c r="I623" t="s">
        <v>8822</v>
      </c>
      <c r="J623" t="s">
        <v>31888</v>
      </c>
      <c r="K623" t="s">
        <v>41186</v>
      </c>
      <c r="M623" t="s">
        <v>41773</v>
      </c>
      <c r="N623" t="s">
        <v>45095</v>
      </c>
      <c r="O623" t="s">
        <v>45096</v>
      </c>
      <c r="P623">
        <v>0</v>
      </c>
      <c r="Q623">
        <v>0</v>
      </c>
      <c r="R623" t="s">
        <v>45097</v>
      </c>
      <c r="S623" t="s">
        <v>45222</v>
      </c>
      <c r="T623" t="s">
        <v>46916</v>
      </c>
      <c r="U623" t="s">
        <v>48027</v>
      </c>
      <c r="V623" t="s">
        <v>59917</v>
      </c>
      <c r="W623" t="s">
        <v>41773</v>
      </c>
      <c r="X623" t="s">
        <v>45098</v>
      </c>
    </row>
    <row r="624" spans="1:24">
      <c r="A624">
        <f>HYPERLINK("https://www.philgeps.gov.ph/GEPSNONPILOT/Tender/SplashBidNoticeAbstractUI.aspx?menuIndex=3&amp;refID=7044819&amp;Result=3","7044819")</f>
        <v>0</v>
      </c>
      <c r="B624" t="s">
        <v>288</v>
      </c>
      <c r="C624" t="s">
        <v>3792</v>
      </c>
      <c r="D624" t="s">
        <v>18075</v>
      </c>
      <c r="E624" t="s">
        <v>18712</v>
      </c>
      <c r="F624" t="s">
        <v>31574</v>
      </c>
      <c r="G624" t="s">
        <v>31581</v>
      </c>
      <c r="H624" t="s">
        <v>31590</v>
      </c>
      <c r="I624" t="s">
        <v>31608</v>
      </c>
      <c r="J624" t="s">
        <v>32244</v>
      </c>
      <c r="K624" t="s">
        <v>41190</v>
      </c>
      <c r="M624" t="s">
        <v>41774</v>
      </c>
      <c r="N624" t="s">
        <v>45095</v>
      </c>
      <c r="O624" t="s">
        <v>45096</v>
      </c>
      <c r="P624">
        <v>0</v>
      </c>
      <c r="Q624">
        <v>0</v>
      </c>
      <c r="R624" t="s">
        <v>45097</v>
      </c>
      <c r="S624" t="s">
        <v>45222</v>
      </c>
      <c r="T624" t="s">
        <v>47006</v>
      </c>
      <c r="U624" t="s">
        <v>48028</v>
      </c>
      <c r="W624" t="s">
        <v>41774</v>
      </c>
      <c r="X624" t="s">
        <v>45098</v>
      </c>
    </row>
    <row r="625" spans="1:24">
      <c r="A625">
        <f>HYPERLINK("https://www.philgeps.gov.ph/GEPSNONPILOT/Tender/SplashBidNoticeAbstractUI.aspx?menuIndex=3&amp;refID=7044812&amp;Result=3","7044812")</f>
        <v>0</v>
      </c>
      <c r="B625" t="s">
        <v>289</v>
      </c>
      <c r="C625" t="s">
        <v>3793</v>
      </c>
      <c r="D625" t="s">
        <v>18044</v>
      </c>
      <c r="E625" t="s">
        <v>18713</v>
      </c>
      <c r="F625" t="s">
        <v>31574</v>
      </c>
      <c r="G625" t="s">
        <v>31581</v>
      </c>
      <c r="H625" t="s">
        <v>31590</v>
      </c>
      <c r="I625" t="s">
        <v>3487</v>
      </c>
      <c r="J625" t="s">
        <v>32245</v>
      </c>
      <c r="K625" t="s">
        <v>41185</v>
      </c>
      <c r="M625" t="s">
        <v>41775</v>
      </c>
      <c r="N625" t="s">
        <v>45095</v>
      </c>
      <c r="O625" t="s">
        <v>45096</v>
      </c>
      <c r="P625">
        <v>0</v>
      </c>
      <c r="Q625">
        <v>0</v>
      </c>
      <c r="R625" t="s">
        <v>45097</v>
      </c>
      <c r="S625" t="s">
        <v>45222</v>
      </c>
      <c r="T625" t="s">
        <v>46980</v>
      </c>
      <c r="U625" t="s">
        <v>48029</v>
      </c>
      <c r="W625" t="s">
        <v>61661</v>
      </c>
      <c r="X625" t="s">
        <v>45098</v>
      </c>
    </row>
    <row r="626" spans="1:24">
      <c r="A626">
        <f>HYPERLINK("https://www.philgeps.gov.ph/GEPSNONPILOT/Tender/SplashBidNoticeAbstractUI.aspx?menuIndex=3&amp;refID=7044816&amp;Result=3","7044816")</f>
        <v>0</v>
      </c>
      <c r="B626" t="s">
        <v>290</v>
      </c>
      <c r="C626" t="s">
        <v>3794</v>
      </c>
      <c r="D626" t="s">
        <v>18043</v>
      </c>
      <c r="E626" t="s">
        <v>18714</v>
      </c>
      <c r="F626" t="s">
        <v>31574</v>
      </c>
      <c r="G626" t="s">
        <v>31581</v>
      </c>
      <c r="H626" t="s">
        <v>31590</v>
      </c>
      <c r="I626" t="s">
        <v>3539</v>
      </c>
      <c r="J626" t="s">
        <v>31960</v>
      </c>
      <c r="K626" t="s">
        <v>41193</v>
      </c>
      <c r="M626" t="s">
        <v>41776</v>
      </c>
      <c r="N626" t="s">
        <v>45095</v>
      </c>
      <c r="O626" t="s">
        <v>45096</v>
      </c>
      <c r="P626">
        <v>0</v>
      </c>
      <c r="Q626">
        <v>0</v>
      </c>
      <c r="R626" t="s">
        <v>45097</v>
      </c>
      <c r="S626" t="s">
        <v>45222</v>
      </c>
      <c r="T626" t="s">
        <v>46926</v>
      </c>
      <c r="U626" t="s">
        <v>48030</v>
      </c>
      <c r="W626" t="s">
        <v>41776</v>
      </c>
      <c r="X626" t="s">
        <v>45098</v>
      </c>
    </row>
    <row r="627" spans="1:24">
      <c r="A627">
        <f>HYPERLINK("https://www.philgeps.gov.ph/GEPSNONPILOT/Tender/SplashBidNoticeAbstractUI.aspx?menuIndex=3&amp;refID=7044796&amp;Result=3","7044796")</f>
        <v>0</v>
      </c>
      <c r="B627" t="s">
        <v>290</v>
      </c>
      <c r="C627" t="s">
        <v>3795</v>
      </c>
      <c r="D627" t="s">
        <v>18043</v>
      </c>
      <c r="E627" t="s">
        <v>18715</v>
      </c>
      <c r="F627" t="s">
        <v>31574</v>
      </c>
      <c r="G627" t="s">
        <v>31581</v>
      </c>
      <c r="H627" t="s">
        <v>31590</v>
      </c>
      <c r="I627" t="s">
        <v>3539</v>
      </c>
      <c r="J627" t="s">
        <v>32246</v>
      </c>
      <c r="K627" t="s">
        <v>41193</v>
      </c>
      <c r="M627" t="s">
        <v>41776</v>
      </c>
      <c r="N627" t="s">
        <v>45095</v>
      </c>
      <c r="O627" t="s">
        <v>45096</v>
      </c>
      <c r="P627">
        <v>0</v>
      </c>
      <c r="Q627">
        <v>0</v>
      </c>
      <c r="R627" t="s">
        <v>45097</v>
      </c>
      <c r="S627" t="s">
        <v>45222</v>
      </c>
      <c r="T627" t="s">
        <v>46926</v>
      </c>
      <c r="U627" t="s">
        <v>48030</v>
      </c>
      <c r="W627" t="s">
        <v>41776</v>
      </c>
      <c r="X627" t="s">
        <v>45098</v>
      </c>
    </row>
    <row r="628" spans="1:24">
      <c r="A628">
        <f>HYPERLINK("https://www.philgeps.gov.ph/GEPSNONPILOT/Tender/SplashBidNoticeAbstractUI.aspx?menuIndex=3&amp;refID=7044797&amp;Result=3","7044797")</f>
        <v>0</v>
      </c>
      <c r="B628" t="s">
        <v>291</v>
      </c>
      <c r="C628" t="s">
        <v>3796</v>
      </c>
      <c r="D628" t="s">
        <v>18091</v>
      </c>
      <c r="E628" t="s">
        <v>18716</v>
      </c>
      <c r="F628" t="s">
        <v>31574</v>
      </c>
      <c r="G628" t="s">
        <v>31581</v>
      </c>
      <c r="H628" t="s">
        <v>31590</v>
      </c>
      <c r="I628" t="s">
        <v>14544</v>
      </c>
      <c r="J628" t="s">
        <v>32247</v>
      </c>
      <c r="K628" t="s">
        <v>41193</v>
      </c>
      <c r="M628" t="s">
        <v>41777</v>
      </c>
      <c r="N628" t="s">
        <v>45095</v>
      </c>
      <c r="O628" t="s">
        <v>45096</v>
      </c>
      <c r="P628">
        <v>0</v>
      </c>
      <c r="Q628">
        <v>0</v>
      </c>
      <c r="R628" t="s">
        <v>45097</v>
      </c>
      <c r="S628" t="s">
        <v>45222</v>
      </c>
      <c r="T628" t="s">
        <v>46926</v>
      </c>
      <c r="U628" t="s">
        <v>48031</v>
      </c>
      <c r="V628" t="s">
        <v>59918</v>
      </c>
      <c r="W628" t="s">
        <v>41777</v>
      </c>
      <c r="X628" t="s">
        <v>45098</v>
      </c>
    </row>
    <row r="629" spans="1:24">
      <c r="A629">
        <f>HYPERLINK("https://www.philgeps.gov.ph/GEPSNONPILOT/Tender/SplashBidNoticeAbstractUI.aspx?menuIndex=3&amp;refID=7044807&amp;Result=3","7044807")</f>
        <v>0</v>
      </c>
      <c r="B629" t="s">
        <v>200</v>
      </c>
      <c r="C629" t="s">
        <v>3797</v>
      </c>
      <c r="D629" t="s">
        <v>18070</v>
      </c>
      <c r="E629" t="s">
        <v>18717</v>
      </c>
      <c r="F629" t="s">
        <v>31574</v>
      </c>
      <c r="G629" t="s">
        <v>31581</v>
      </c>
      <c r="H629" t="s">
        <v>31590</v>
      </c>
      <c r="I629" t="s">
        <v>4327</v>
      </c>
      <c r="J629" t="s">
        <v>32248</v>
      </c>
      <c r="K629" t="s">
        <v>41194</v>
      </c>
      <c r="M629" t="s">
        <v>41685</v>
      </c>
      <c r="N629" t="s">
        <v>45095</v>
      </c>
      <c r="O629" t="s">
        <v>45096</v>
      </c>
      <c r="P629">
        <v>0</v>
      </c>
      <c r="Q629">
        <v>0</v>
      </c>
      <c r="R629" t="s">
        <v>45097</v>
      </c>
      <c r="S629" t="s">
        <v>45222</v>
      </c>
      <c r="T629" t="s">
        <v>46913</v>
      </c>
      <c r="U629" t="s">
        <v>48032</v>
      </c>
      <c r="W629" t="s">
        <v>41685</v>
      </c>
      <c r="X629" t="s">
        <v>45098</v>
      </c>
    </row>
    <row r="630" spans="1:24">
      <c r="A630">
        <f>HYPERLINK("https://www.philgeps.gov.ph/GEPSNONPILOT/Tender/SplashBidNoticeAbstractUI.aspx?menuIndex=3&amp;refID=7044806&amp;Result=3","7044806")</f>
        <v>0</v>
      </c>
      <c r="B630" t="s">
        <v>132</v>
      </c>
      <c r="C630" t="s">
        <v>3798</v>
      </c>
      <c r="D630" t="s">
        <v>18059</v>
      </c>
      <c r="E630" t="s">
        <v>18718</v>
      </c>
      <c r="F630" t="s">
        <v>31574</v>
      </c>
      <c r="G630" t="s">
        <v>31582</v>
      </c>
      <c r="H630" t="s">
        <v>31590</v>
      </c>
      <c r="I630" t="s">
        <v>14544</v>
      </c>
      <c r="J630" t="s">
        <v>32249</v>
      </c>
      <c r="K630" t="s">
        <v>41190</v>
      </c>
      <c r="M630" t="s">
        <v>41616</v>
      </c>
      <c r="N630" t="s">
        <v>45095</v>
      </c>
      <c r="O630" t="s">
        <v>45096</v>
      </c>
      <c r="P630">
        <v>0</v>
      </c>
      <c r="Q630">
        <v>0</v>
      </c>
      <c r="R630" t="s">
        <v>45097</v>
      </c>
      <c r="S630" t="s">
        <v>45222</v>
      </c>
      <c r="T630" t="s">
        <v>46926</v>
      </c>
      <c r="U630" t="s">
        <v>48033</v>
      </c>
      <c r="W630" t="s">
        <v>41616</v>
      </c>
      <c r="X630" t="s">
        <v>45098</v>
      </c>
    </row>
    <row r="631" spans="1:24">
      <c r="A631">
        <f>HYPERLINK("https://www.philgeps.gov.ph/GEPSNONPILOT/Tender/SplashBidNoticeAbstractUI.aspx?menuIndex=3&amp;refID=7044820&amp;Result=3","7044820")</f>
        <v>0</v>
      </c>
      <c r="B631" t="s">
        <v>200</v>
      </c>
      <c r="C631" t="s">
        <v>3799</v>
      </c>
      <c r="D631" t="s">
        <v>18070</v>
      </c>
      <c r="E631" t="s">
        <v>18719</v>
      </c>
      <c r="F631" t="s">
        <v>31574</v>
      </c>
      <c r="G631" t="s">
        <v>31581</v>
      </c>
      <c r="H631" t="s">
        <v>31590</v>
      </c>
      <c r="I631" t="s">
        <v>3487</v>
      </c>
      <c r="J631" t="s">
        <v>32250</v>
      </c>
      <c r="K631" t="s">
        <v>41194</v>
      </c>
      <c r="M631" t="s">
        <v>41685</v>
      </c>
      <c r="N631" t="s">
        <v>45095</v>
      </c>
      <c r="O631" t="s">
        <v>45096</v>
      </c>
      <c r="P631">
        <v>0</v>
      </c>
      <c r="Q631">
        <v>0</v>
      </c>
      <c r="R631" t="s">
        <v>45097</v>
      </c>
      <c r="S631" t="s">
        <v>45222</v>
      </c>
      <c r="T631" t="s">
        <v>46913</v>
      </c>
      <c r="U631" t="s">
        <v>48034</v>
      </c>
      <c r="W631" t="s">
        <v>41685</v>
      </c>
      <c r="X631" t="s">
        <v>45098</v>
      </c>
    </row>
    <row r="632" spans="1:24">
      <c r="A632">
        <f>HYPERLINK("https://www.philgeps.gov.ph/GEPSNONPILOT/Tender/SplashBidNoticeAbstractUI.aspx?menuIndex=3&amp;refID=7044823&amp;Result=3","7044823")</f>
        <v>0</v>
      </c>
      <c r="B632" t="s">
        <v>292</v>
      </c>
      <c r="C632" t="s">
        <v>3800</v>
      </c>
      <c r="D632" t="s">
        <v>18022</v>
      </c>
      <c r="E632" t="s">
        <v>18720</v>
      </c>
      <c r="F632" t="s">
        <v>31574</v>
      </c>
      <c r="G632" t="s">
        <v>31581</v>
      </c>
      <c r="H632" t="s">
        <v>31590</v>
      </c>
      <c r="I632" t="s">
        <v>6800</v>
      </c>
      <c r="J632" t="s">
        <v>31962</v>
      </c>
      <c r="K632" t="s">
        <v>41190</v>
      </c>
      <c r="M632" t="s">
        <v>41778</v>
      </c>
      <c r="N632" t="s">
        <v>45095</v>
      </c>
      <c r="O632" t="s">
        <v>45096</v>
      </c>
      <c r="P632">
        <v>0</v>
      </c>
      <c r="Q632">
        <v>0</v>
      </c>
      <c r="R632" t="s">
        <v>45097</v>
      </c>
      <c r="S632" t="s">
        <v>45222</v>
      </c>
      <c r="T632" t="s">
        <v>46955</v>
      </c>
      <c r="U632" t="s">
        <v>48035</v>
      </c>
      <c r="W632" t="s">
        <v>41778</v>
      </c>
      <c r="X632" t="s">
        <v>45098</v>
      </c>
    </row>
    <row r="633" spans="1:24">
      <c r="A633">
        <f>HYPERLINK("https://www.philgeps.gov.ph/GEPSNONPILOT/Tender/SplashBidNoticeAbstractUI.aspx?menuIndex=3&amp;refID=7044804&amp;Result=3","7044804")</f>
        <v>0</v>
      </c>
      <c r="B633" t="s">
        <v>154</v>
      </c>
      <c r="C633" t="s">
        <v>3801</v>
      </c>
      <c r="D633" t="s">
        <v>18063</v>
      </c>
      <c r="E633" t="s">
        <v>18721</v>
      </c>
      <c r="F633" t="s">
        <v>31574</v>
      </c>
      <c r="G633" t="s">
        <v>31583</v>
      </c>
      <c r="H633" t="s">
        <v>31590</v>
      </c>
      <c r="I633" t="s">
        <v>6800</v>
      </c>
      <c r="J633" t="s">
        <v>32251</v>
      </c>
      <c r="K633" t="s">
        <v>41190</v>
      </c>
      <c r="M633" t="s">
        <v>41638</v>
      </c>
      <c r="N633" t="s">
        <v>45095</v>
      </c>
      <c r="O633" t="s">
        <v>45096</v>
      </c>
      <c r="P633">
        <v>0</v>
      </c>
      <c r="Q633">
        <v>0</v>
      </c>
      <c r="R633" t="s">
        <v>45097</v>
      </c>
      <c r="S633" t="s">
        <v>45222</v>
      </c>
      <c r="T633" t="s">
        <v>46914</v>
      </c>
      <c r="U633" t="s">
        <v>47764</v>
      </c>
      <c r="W633" t="s">
        <v>41638</v>
      </c>
      <c r="X633" t="s">
        <v>45098</v>
      </c>
    </row>
    <row r="634" spans="1:24">
      <c r="A634">
        <f>HYPERLINK("https://www.philgeps.gov.ph/GEPSNONPILOT/Tender/SplashBidNoticeAbstractUI.aspx?menuIndex=3&amp;refID=7044822&amp;Result=3","7044822")</f>
        <v>0</v>
      </c>
      <c r="B634" t="s">
        <v>124</v>
      </c>
      <c r="C634" t="s">
        <v>3802</v>
      </c>
      <c r="D634" t="s">
        <v>18065</v>
      </c>
      <c r="E634" t="s">
        <v>3802</v>
      </c>
      <c r="F634" t="s">
        <v>31574</v>
      </c>
      <c r="G634" t="s">
        <v>31581</v>
      </c>
      <c r="H634" t="s">
        <v>31590</v>
      </c>
      <c r="I634" t="s">
        <v>3489</v>
      </c>
      <c r="J634" t="s">
        <v>32252</v>
      </c>
      <c r="K634" t="s">
        <v>41184</v>
      </c>
      <c r="M634" t="s">
        <v>41608</v>
      </c>
      <c r="N634" t="s">
        <v>45095</v>
      </c>
      <c r="O634" t="s">
        <v>45096</v>
      </c>
      <c r="P634">
        <v>0</v>
      </c>
      <c r="Q634">
        <v>0</v>
      </c>
      <c r="R634" t="s">
        <v>45097</v>
      </c>
      <c r="S634" t="s">
        <v>45222</v>
      </c>
      <c r="T634" t="s">
        <v>46934</v>
      </c>
      <c r="U634" t="s">
        <v>48036</v>
      </c>
      <c r="W634" t="s">
        <v>41608</v>
      </c>
      <c r="X634" t="s">
        <v>45098</v>
      </c>
    </row>
    <row r="635" spans="1:24">
      <c r="A635">
        <f>HYPERLINK("https://www.philgeps.gov.ph/GEPSNONPILOT/Tender/SplashBidNoticeAbstractUI.aspx?menuIndex=3&amp;refID=7044800&amp;Result=3","7044800")</f>
        <v>0</v>
      </c>
      <c r="B635" t="s">
        <v>293</v>
      </c>
      <c r="C635" t="s">
        <v>3803</v>
      </c>
      <c r="D635" t="s">
        <v>18022</v>
      </c>
      <c r="E635" t="s">
        <v>18722</v>
      </c>
      <c r="F635" t="s">
        <v>31574</v>
      </c>
      <c r="G635" t="s">
        <v>31583</v>
      </c>
      <c r="H635" t="s">
        <v>31590</v>
      </c>
      <c r="I635" t="s">
        <v>31595</v>
      </c>
      <c r="J635" t="s">
        <v>32253</v>
      </c>
      <c r="K635" t="s">
        <v>41211</v>
      </c>
      <c r="M635" t="s">
        <v>41779</v>
      </c>
      <c r="N635" t="s">
        <v>45095</v>
      </c>
      <c r="O635" t="s">
        <v>45096</v>
      </c>
      <c r="P635">
        <v>0</v>
      </c>
      <c r="Q635">
        <v>0</v>
      </c>
      <c r="R635" t="s">
        <v>45097</v>
      </c>
      <c r="S635" t="s">
        <v>45222</v>
      </c>
      <c r="T635" t="s">
        <v>46936</v>
      </c>
      <c r="U635" t="s">
        <v>48037</v>
      </c>
      <c r="W635" t="s">
        <v>41779</v>
      </c>
      <c r="X635" t="s">
        <v>45098</v>
      </c>
    </row>
    <row r="636" spans="1:24">
      <c r="A636">
        <f>HYPERLINK("https://www.philgeps.gov.ph/GEPSNONPILOT/Tender/SplashBidNoticeAbstractUI.aspx?menuIndex=3&amp;refID=7044801&amp;Result=3","7044801")</f>
        <v>0</v>
      </c>
      <c r="B636" t="s">
        <v>218</v>
      </c>
      <c r="C636" t="s">
        <v>3804</v>
      </c>
      <c r="D636" t="s">
        <v>18070</v>
      </c>
      <c r="E636" t="s">
        <v>18723</v>
      </c>
      <c r="F636" t="s">
        <v>31574</v>
      </c>
      <c r="G636" t="s">
        <v>31583</v>
      </c>
      <c r="H636" t="s">
        <v>31590</v>
      </c>
      <c r="I636" t="s">
        <v>31605</v>
      </c>
      <c r="J636" t="s">
        <v>32254</v>
      </c>
      <c r="K636" t="s">
        <v>41193</v>
      </c>
      <c r="M636" t="s">
        <v>41703</v>
      </c>
      <c r="N636" t="s">
        <v>45095</v>
      </c>
      <c r="O636" t="s">
        <v>45096</v>
      </c>
      <c r="P636">
        <v>0</v>
      </c>
      <c r="Q636">
        <v>0</v>
      </c>
      <c r="R636" t="s">
        <v>45097</v>
      </c>
      <c r="S636" t="s">
        <v>45222</v>
      </c>
      <c r="T636" t="s">
        <v>46957</v>
      </c>
      <c r="U636" t="s">
        <v>47880</v>
      </c>
      <c r="W636" t="s">
        <v>41703</v>
      </c>
      <c r="X636" t="s">
        <v>45098</v>
      </c>
    </row>
    <row r="637" spans="1:24">
      <c r="A637">
        <f>HYPERLINK("https://www.philgeps.gov.ph/GEPSNONPILOT/Tender/SplashBidNoticeAbstractUI.aspx?menuIndex=3&amp;refID=7044826&amp;Result=3","7044826")</f>
        <v>0</v>
      </c>
      <c r="B637" t="s">
        <v>294</v>
      </c>
      <c r="C637" t="s">
        <v>3805</v>
      </c>
      <c r="D637" t="s">
        <v>18030</v>
      </c>
      <c r="E637" t="s">
        <v>18724</v>
      </c>
      <c r="F637" t="s">
        <v>31574</v>
      </c>
      <c r="G637" t="s">
        <v>31582</v>
      </c>
      <c r="H637" t="s">
        <v>31591</v>
      </c>
      <c r="I637" t="s">
        <v>8822</v>
      </c>
      <c r="J637" t="s">
        <v>32255</v>
      </c>
      <c r="K637" t="s">
        <v>41203</v>
      </c>
      <c r="M637" t="s">
        <v>41780</v>
      </c>
      <c r="N637" t="s">
        <v>45095</v>
      </c>
      <c r="O637" t="s">
        <v>45096</v>
      </c>
      <c r="P637">
        <v>0</v>
      </c>
      <c r="Q637">
        <v>0</v>
      </c>
      <c r="R637" t="s">
        <v>45097</v>
      </c>
      <c r="S637" t="s">
        <v>45222</v>
      </c>
      <c r="T637" t="s">
        <v>47007</v>
      </c>
      <c r="U637" t="s">
        <v>48038</v>
      </c>
      <c r="W637" t="s">
        <v>41780</v>
      </c>
      <c r="X637" t="s">
        <v>45098</v>
      </c>
    </row>
    <row r="638" spans="1:24">
      <c r="A638">
        <f>HYPERLINK("https://www.philgeps.gov.ph/GEPSNONPILOT/Tender/SplashBidNoticeAbstractUI.aspx?menuIndex=3&amp;refID=7044821&amp;Result=3","7044821")</f>
        <v>0</v>
      </c>
      <c r="B638" t="s">
        <v>295</v>
      </c>
      <c r="C638" t="s">
        <v>3806</v>
      </c>
      <c r="D638" t="s">
        <v>18089</v>
      </c>
      <c r="E638" t="s">
        <v>18725</v>
      </c>
      <c r="F638" t="s">
        <v>31574</v>
      </c>
      <c r="G638" t="s">
        <v>31583</v>
      </c>
      <c r="H638" t="s">
        <v>31590</v>
      </c>
      <c r="I638" t="s">
        <v>31612</v>
      </c>
      <c r="J638" t="s">
        <v>32256</v>
      </c>
      <c r="K638" t="s">
        <v>41197</v>
      </c>
      <c r="L638" t="s">
        <v>295</v>
      </c>
      <c r="M638" t="s">
        <v>41781</v>
      </c>
      <c r="N638" t="s">
        <v>45095</v>
      </c>
      <c r="O638" t="s">
        <v>45096</v>
      </c>
      <c r="P638">
        <v>0</v>
      </c>
      <c r="Q638">
        <v>0</v>
      </c>
      <c r="R638" t="s">
        <v>45097</v>
      </c>
      <c r="S638" t="s">
        <v>45222</v>
      </c>
      <c r="T638" t="s">
        <v>46973</v>
      </c>
      <c r="U638" t="s">
        <v>48039</v>
      </c>
      <c r="W638" t="s">
        <v>41781</v>
      </c>
      <c r="X638" t="s">
        <v>45098</v>
      </c>
    </row>
    <row r="639" spans="1:24">
      <c r="A639">
        <f>HYPERLINK("https://www.philgeps.gov.ph/GEPSNONPILOT/Tender/SplashBidNoticeAbstractUI.aspx?menuIndex=3&amp;refID=7044837&amp;Result=3","7044837")</f>
        <v>0</v>
      </c>
      <c r="B639" t="s">
        <v>296</v>
      </c>
      <c r="C639" t="s">
        <v>3807</v>
      </c>
      <c r="D639" t="s">
        <v>18040</v>
      </c>
      <c r="E639" t="s">
        <v>18726</v>
      </c>
      <c r="F639" t="s">
        <v>31574</v>
      </c>
      <c r="G639" t="s">
        <v>31581</v>
      </c>
      <c r="H639" t="s">
        <v>31590</v>
      </c>
      <c r="I639" t="s">
        <v>31640</v>
      </c>
      <c r="J639" t="s">
        <v>32214</v>
      </c>
      <c r="K639" t="s">
        <v>41212</v>
      </c>
      <c r="M639" t="s">
        <v>41782</v>
      </c>
      <c r="N639" t="s">
        <v>45095</v>
      </c>
      <c r="O639" t="s">
        <v>45096</v>
      </c>
      <c r="P639">
        <v>0</v>
      </c>
      <c r="Q639">
        <v>0</v>
      </c>
      <c r="R639" t="s">
        <v>45097</v>
      </c>
      <c r="S639" t="s">
        <v>45222</v>
      </c>
      <c r="T639" t="s">
        <v>46918</v>
      </c>
      <c r="U639" t="s">
        <v>48040</v>
      </c>
      <c r="W639" t="s">
        <v>41782</v>
      </c>
      <c r="X639" t="s">
        <v>45098</v>
      </c>
    </row>
    <row r="640" spans="1:24">
      <c r="A640">
        <f>HYPERLINK("https://www.philgeps.gov.ph/GEPSNONPILOT/Tender/SplashBidNoticeAbstractUI.aspx?menuIndex=3&amp;refID=7044803&amp;Result=3","7044803")</f>
        <v>0</v>
      </c>
      <c r="B640" t="s">
        <v>297</v>
      </c>
      <c r="C640" t="s">
        <v>3808</v>
      </c>
      <c r="D640" t="s">
        <v>18075</v>
      </c>
      <c r="E640" t="s">
        <v>18727</v>
      </c>
      <c r="F640" t="s">
        <v>31574</v>
      </c>
      <c r="G640" t="s">
        <v>31581</v>
      </c>
      <c r="H640" t="s">
        <v>31590</v>
      </c>
      <c r="I640" t="s">
        <v>31594</v>
      </c>
      <c r="J640" t="s">
        <v>32257</v>
      </c>
      <c r="K640" t="s">
        <v>41192</v>
      </c>
      <c r="M640" t="s">
        <v>41783</v>
      </c>
      <c r="N640" t="s">
        <v>45095</v>
      </c>
      <c r="O640" t="s">
        <v>45096</v>
      </c>
      <c r="P640">
        <v>0</v>
      </c>
      <c r="Q640">
        <v>0</v>
      </c>
      <c r="R640" t="s">
        <v>45097</v>
      </c>
      <c r="S640" t="s">
        <v>45222</v>
      </c>
      <c r="T640" t="s">
        <v>47008</v>
      </c>
      <c r="U640" t="s">
        <v>48041</v>
      </c>
      <c r="W640" t="s">
        <v>41783</v>
      </c>
      <c r="X640" t="s">
        <v>45098</v>
      </c>
    </row>
    <row r="641" spans="1:24">
      <c r="A641">
        <f>HYPERLINK("https://www.philgeps.gov.ph/GEPSNONPILOT/Tender/SplashBidNoticeAbstractUI.aspx?menuIndex=3&amp;refID=7044835&amp;Result=3","7044835")</f>
        <v>0</v>
      </c>
      <c r="B641" t="s">
        <v>124</v>
      </c>
      <c r="C641" t="s">
        <v>3809</v>
      </c>
      <c r="D641" t="s">
        <v>18065</v>
      </c>
      <c r="E641" t="s">
        <v>18728</v>
      </c>
      <c r="F641" t="s">
        <v>31574</v>
      </c>
      <c r="G641" t="s">
        <v>31581</v>
      </c>
      <c r="H641" t="s">
        <v>31590</v>
      </c>
      <c r="I641" t="s">
        <v>31619</v>
      </c>
      <c r="J641" t="s">
        <v>32258</v>
      </c>
      <c r="K641" t="s">
        <v>41184</v>
      </c>
      <c r="M641" t="s">
        <v>41608</v>
      </c>
      <c r="N641" t="s">
        <v>45095</v>
      </c>
      <c r="O641" t="s">
        <v>45096</v>
      </c>
      <c r="P641">
        <v>0</v>
      </c>
      <c r="Q641">
        <v>0</v>
      </c>
      <c r="R641" t="s">
        <v>45097</v>
      </c>
      <c r="S641" t="s">
        <v>45222</v>
      </c>
      <c r="T641" t="s">
        <v>46934</v>
      </c>
      <c r="U641" t="s">
        <v>48042</v>
      </c>
      <c r="W641" t="s">
        <v>41608</v>
      </c>
      <c r="X641" t="s">
        <v>45098</v>
      </c>
    </row>
    <row r="642" spans="1:24">
      <c r="A642">
        <f>HYPERLINK("https://www.philgeps.gov.ph/GEPSNONPILOT/Tender/SplashBidNoticeAbstractUI.aspx?menuIndex=3&amp;refID=7044811&amp;Result=3","7044811")</f>
        <v>0</v>
      </c>
      <c r="B642" t="s">
        <v>249</v>
      </c>
      <c r="C642" t="s">
        <v>3810</v>
      </c>
      <c r="D642" t="s">
        <v>18039</v>
      </c>
      <c r="E642" t="s">
        <v>18729</v>
      </c>
      <c r="F642" t="s">
        <v>31574</v>
      </c>
      <c r="G642" t="s">
        <v>31581</v>
      </c>
      <c r="H642" t="s">
        <v>31590</v>
      </c>
      <c r="I642" t="s">
        <v>31599</v>
      </c>
      <c r="J642" t="s">
        <v>32259</v>
      </c>
      <c r="K642" t="s">
        <v>41186</v>
      </c>
      <c r="M642" t="s">
        <v>41735</v>
      </c>
      <c r="N642" t="s">
        <v>45095</v>
      </c>
      <c r="O642" t="s">
        <v>45096</v>
      </c>
      <c r="P642">
        <v>0</v>
      </c>
      <c r="Q642">
        <v>0</v>
      </c>
      <c r="R642" t="s">
        <v>45097</v>
      </c>
      <c r="S642" t="s">
        <v>45222</v>
      </c>
      <c r="T642" t="s">
        <v>46953</v>
      </c>
      <c r="U642" t="s">
        <v>48043</v>
      </c>
      <c r="V642" t="s">
        <v>59908</v>
      </c>
      <c r="W642" t="s">
        <v>41735</v>
      </c>
      <c r="X642" t="s">
        <v>45098</v>
      </c>
    </row>
    <row r="643" spans="1:24">
      <c r="A643">
        <f>HYPERLINK("https://www.philgeps.gov.ph/GEPSNONPILOT/Tender/SplashBidNoticeAbstractUI.aspx?menuIndex=3&amp;refID=7044825&amp;Result=3","7044825")</f>
        <v>0</v>
      </c>
      <c r="B643" t="s">
        <v>246</v>
      </c>
      <c r="C643" t="s">
        <v>3811</v>
      </c>
      <c r="D643" t="s">
        <v>18033</v>
      </c>
      <c r="E643" t="s">
        <v>18730</v>
      </c>
      <c r="F643" t="s">
        <v>31574</v>
      </c>
      <c r="G643" t="s">
        <v>31581</v>
      </c>
      <c r="H643" t="s">
        <v>31590</v>
      </c>
      <c r="I643" t="s">
        <v>31646</v>
      </c>
      <c r="J643" t="s">
        <v>32260</v>
      </c>
      <c r="K643" t="s">
        <v>41225</v>
      </c>
      <c r="M643" t="s">
        <v>41732</v>
      </c>
      <c r="N643" t="s">
        <v>45095</v>
      </c>
      <c r="O643" t="s">
        <v>45096</v>
      </c>
      <c r="P643">
        <v>0</v>
      </c>
      <c r="Q643">
        <v>0</v>
      </c>
      <c r="R643" t="s">
        <v>45097</v>
      </c>
      <c r="S643" t="s">
        <v>45222</v>
      </c>
      <c r="T643" t="s">
        <v>47003</v>
      </c>
      <c r="U643" t="s">
        <v>48044</v>
      </c>
      <c r="W643" t="s">
        <v>41732</v>
      </c>
      <c r="X643" t="s">
        <v>45098</v>
      </c>
    </row>
    <row r="644" spans="1:24">
      <c r="A644">
        <f>HYPERLINK("https://www.philgeps.gov.ph/GEPSNONPILOT/Tender/SplashBidNoticeAbstractUI.aspx?menuIndex=3&amp;refID=7044824&amp;Result=3","7044824")</f>
        <v>0</v>
      </c>
      <c r="B644" t="s">
        <v>252</v>
      </c>
      <c r="C644" t="s">
        <v>3812</v>
      </c>
      <c r="D644" t="s">
        <v>18065</v>
      </c>
      <c r="E644" t="s">
        <v>18731</v>
      </c>
      <c r="F644" t="s">
        <v>31574</v>
      </c>
      <c r="G644" t="s">
        <v>31581</v>
      </c>
      <c r="H644" t="s">
        <v>31590</v>
      </c>
      <c r="I644" t="s">
        <v>31647</v>
      </c>
      <c r="J644" t="s">
        <v>32167</v>
      </c>
      <c r="K644" t="s">
        <v>41185</v>
      </c>
      <c r="M644" t="s">
        <v>41738</v>
      </c>
      <c r="N644" t="s">
        <v>45095</v>
      </c>
      <c r="O644" t="s">
        <v>45096</v>
      </c>
      <c r="P644">
        <v>0</v>
      </c>
      <c r="Q644">
        <v>0</v>
      </c>
      <c r="R644" t="s">
        <v>45097</v>
      </c>
      <c r="S644" t="s">
        <v>45222</v>
      </c>
      <c r="T644" t="s">
        <v>46913</v>
      </c>
      <c r="U644" t="s">
        <v>48045</v>
      </c>
      <c r="W644" t="s">
        <v>41738</v>
      </c>
      <c r="X644" t="s">
        <v>45098</v>
      </c>
    </row>
    <row r="645" spans="1:24">
      <c r="A645">
        <f>HYPERLINK("https://www.philgeps.gov.ph/GEPSNONPILOT/Tender/SplashBidNoticeAbstractUI.aspx?menuIndex=3&amp;refID=7044848&amp;Result=3","7044848")</f>
        <v>0</v>
      </c>
      <c r="B645" t="s">
        <v>200</v>
      </c>
      <c r="C645" t="s">
        <v>3813</v>
      </c>
      <c r="D645" t="s">
        <v>18070</v>
      </c>
      <c r="E645" t="s">
        <v>18732</v>
      </c>
      <c r="F645" t="s">
        <v>31574</v>
      </c>
      <c r="G645" t="s">
        <v>31581</v>
      </c>
      <c r="H645" t="s">
        <v>31590</v>
      </c>
      <c r="I645" t="s">
        <v>3487</v>
      </c>
      <c r="J645" t="s">
        <v>31743</v>
      </c>
      <c r="K645" t="s">
        <v>41194</v>
      </c>
      <c r="M645" t="s">
        <v>41685</v>
      </c>
      <c r="N645" t="s">
        <v>45095</v>
      </c>
      <c r="O645" t="s">
        <v>45096</v>
      </c>
      <c r="P645">
        <v>0</v>
      </c>
      <c r="Q645">
        <v>0</v>
      </c>
      <c r="R645" t="s">
        <v>45097</v>
      </c>
      <c r="S645" t="s">
        <v>45222</v>
      </c>
      <c r="T645" t="s">
        <v>46913</v>
      </c>
      <c r="U645" t="s">
        <v>48046</v>
      </c>
      <c r="W645" t="s">
        <v>41685</v>
      </c>
      <c r="X645" t="s">
        <v>45098</v>
      </c>
    </row>
    <row r="646" spans="1:24">
      <c r="A646">
        <f>HYPERLINK("https://www.philgeps.gov.ph/GEPSNONPILOT/Tender/SplashBidNoticeAbstractUI.aspx?menuIndex=3&amp;refID=7044836&amp;Result=3","7044836")</f>
        <v>0</v>
      </c>
      <c r="B646" t="s">
        <v>200</v>
      </c>
      <c r="C646" t="s">
        <v>3814</v>
      </c>
      <c r="D646" t="s">
        <v>18070</v>
      </c>
      <c r="E646" t="s">
        <v>18733</v>
      </c>
      <c r="F646" t="s">
        <v>31574</v>
      </c>
      <c r="G646" t="s">
        <v>31581</v>
      </c>
      <c r="H646" t="s">
        <v>31590</v>
      </c>
      <c r="I646" t="s">
        <v>3487</v>
      </c>
      <c r="J646" t="s">
        <v>32261</v>
      </c>
      <c r="K646" t="s">
        <v>41194</v>
      </c>
      <c r="M646" t="s">
        <v>41685</v>
      </c>
      <c r="N646" t="s">
        <v>45095</v>
      </c>
      <c r="O646" t="s">
        <v>45096</v>
      </c>
      <c r="P646">
        <v>0</v>
      </c>
      <c r="Q646">
        <v>0</v>
      </c>
      <c r="R646" t="s">
        <v>45097</v>
      </c>
      <c r="S646" t="s">
        <v>45222</v>
      </c>
      <c r="T646" t="s">
        <v>46913</v>
      </c>
      <c r="U646" t="s">
        <v>48047</v>
      </c>
      <c r="W646" t="s">
        <v>41685</v>
      </c>
      <c r="X646" t="s">
        <v>45098</v>
      </c>
    </row>
    <row r="647" spans="1:24">
      <c r="A647">
        <f>HYPERLINK("https://www.philgeps.gov.ph/GEPSNONPILOT/Tender/SplashBidNoticeAbstractUI.aspx?menuIndex=3&amp;refID=7044845&amp;Result=3","7044845")</f>
        <v>0</v>
      </c>
      <c r="B647" t="s">
        <v>298</v>
      </c>
      <c r="C647" t="s">
        <v>3815</v>
      </c>
      <c r="D647" t="s">
        <v>18025</v>
      </c>
      <c r="E647" t="s">
        <v>18734</v>
      </c>
      <c r="F647" t="s">
        <v>31574</v>
      </c>
      <c r="G647" t="s">
        <v>31582</v>
      </c>
      <c r="H647" t="s">
        <v>31591</v>
      </c>
      <c r="I647" t="s">
        <v>8822</v>
      </c>
      <c r="J647" t="s">
        <v>32262</v>
      </c>
      <c r="K647" t="s">
        <v>41192</v>
      </c>
      <c r="M647" t="s">
        <v>41784</v>
      </c>
      <c r="N647" t="s">
        <v>45095</v>
      </c>
      <c r="O647" t="s">
        <v>45096</v>
      </c>
      <c r="P647">
        <v>0</v>
      </c>
      <c r="Q647">
        <v>0</v>
      </c>
      <c r="R647" t="s">
        <v>45097</v>
      </c>
      <c r="S647" t="s">
        <v>45222</v>
      </c>
      <c r="T647" t="s">
        <v>46926</v>
      </c>
      <c r="U647" t="s">
        <v>48048</v>
      </c>
      <c r="W647" t="s">
        <v>41784</v>
      </c>
      <c r="X647" t="s">
        <v>45098</v>
      </c>
    </row>
    <row r="648" spans="1:24">
      <c r="A648">
        <f>HYPERLINK("https://www.philgeps.gov.ph/GEPSNONPILOT/Tender/SplashBidNoticeAbstractUI.aspx?menuIndex=3&amp;refID=7044827&amp;Result=3","7044827")</f>
        <v>0</v>
      </c>
      <c r="B648" t="s">
        <v>299</v>
      </c>
      <c r="C648" t="s">
        <v>3816</v>
      </c>
      <c r="D648" t="s">
        <v>18081</v>
      </c>
      <c r="E648" t="s">
        <v>18735</v>
      </c>
      <c r="F648" t="s">
        <v>31574</v>
      </c>
      <c r="G648" t="s">
        <v>31581</v>
      </c>
      <c r="H648" t="s">
        <v>31590</v>
      </c>
      <c r="I648" t="s">
        <v>4327</v>
      </c>
      <c r="J648" t="s">
        <v>32263</v>
      </c>
      <c r="K648" t="s">
        <v>41196</v>
      </c>
      <c r="M648" t="s">
        <v>41785</v>
      </c>
      <c r="N648" t="s">
        <v>45095</v>
      </c>
      <c r="O648" t="s">
        <v>45096</v>
      </c>
      <c r="P648">
        <v>0</v>
      </c>
      <c r="Q648">
        <v>0</v>
      </c>
      <c r="R648" t="s">
        <v>45097</v>
      </c>
      <c r="S648" t="s">
        <v>45222</v>
      </c>
      <c r="T648" t="s">
        <v>46932</v>
      </c>
      <c r="U648" t="s">
        <v>48049</v>
      </c>
      <c r="W648" t="s">
        <v>41785</v>
      </c>
      <c r="X648" t="s">
        <v>45098</v>
      </c>
    </row>
    <row r="649" spans="1:24">
      <c r="A649">
        <f>HYPERLINK("https://www.philgeps.gov.ph/GEPSNONPILOT/Tender/SplashBidNoticeAbstractUI.aspx?menuIndex=3&amp;refID=7044842&amp;Result=3","7044842")</f>
        <v>0</v>
      </c>
      <c r="B649" t="s">
        <v>300</v>
      </c>
      <c r="C649" t="s">
        <v>3817</v>
      </c>
      <c r="D649" t="s">
        <v>18060</v>
      </c>
      <c r="E649" t="s">
        <v>18736</v>
      </c>
      <c r="F649" t="s">
        <v>31574</v>
      </c>
      <c r="G649" t="s">
        <v>31581</v>
      </c>
      <c r="H649" t="s">
        <v>31590</v>
      </c>
      <c r="I649" t="s">
        <v>31600</v>
      </c>
      <c r="J649" t="s">
        <v>32264</v>
      </c>
      <c r="K649" t="s">
        <v>41193</v>
      </c>
      <c r="M649" t="s">
        <v>41786</v>
      </c>
      <c r="N649" t="s">
        <v>45095</v>
      </c>
      <c r="O649" t="s">
        <v>45096</v>
      </c>
      <c r="P649">
        <v>0</v>
      </c>
      <c r="Q649">
        <v>0</v>
      </c>
      <c r="R649" t="s">
        <v>45097</v>
      </c>
      <c r="S649" t="s">
        <v>45222</v>
      </c>
      <c r="T649" t="s">
        <v>46926</v>
      </c>
      <c r="U649" t="s">
        <v>48050</v>
      </c>
      <c r="W649" t="s">
        <v>41786</v>
      </c>
      <c r="X649" t="s">
        <v>45098</v>
      </c>
    </row>
    <row r="650" spans="1:24">
      <c r="A650">
        <f>HYPERLINK("https://www.philgeps.gov.ph/GEPSNONPILOT/Tender/SplashBidNoticeAbstractUI.aspx?menuIndex=3&amp;refID=7044840&amp;Result=3","7044840")</f>
        <v>0</v>
      </c>
      <c r="B650" t="s">
        <v>268</v>
      </c>
      <c r="C650" t="s">
        <v>3818</v>
      </c>
      <c r="D650" t="s">
        <v>18022</v>
      </c>
      <c r="E650" t="s">
        <v>18737</v>
      </c>
      <c r="F650" t="s">
        <v>31574</v>
      </c>
      <c r="G650" t="s">
        <v>31581</v>
      </c>
      <c r="H650" t="s">
        <v>31590</v>
      </c>
      <c r="I650" t="s">
        <v>31609</v>
      </c>
      <c r="J650" t="s">
        <v>32265</v>
      </c>
      <c r="K650" t="s">
        <v>41193</v>
      </c>
      <c r="M650" t="s">
        <v>41754</v>
      </c>
      <c r="N650" t="s">
        <v>45095</v>
      </c>
      <c r="O650" t="s">
        <v>45096</v>
      </c>
      <c r="P650">
        <v>0</v>
      </c>
      <c r="Q650">
        <v>0</v>
      </c>
      <c r="R650" t="s">
        <v>45097</v>
      </c>
      <c r="S650" t="s">
        <v>45222</v>
      </c>
      <c r="T650" t="s">
        <v>46961</v>
      </c>
      <c r="U650" t="s">
        <v>48051</v>
      </c>
      <c r="W650" t="s">
        <v>41754</v>
      </c>
      <c r="X650" t="s">
        <v>45098</v>
      </c>
    </row>
    <row r="651" spans="1:24">
      <c r="A651">
        <f>HYPERLINK("https://www.philgeps.gov.ph/GEPSNONPILOT/Tender/SplashBidNoticeAbstractUI.aspx?menuIndex=3&amp;refID=7044834&amp;Result=3","7044834")</f>
        <v>0</v>
      </c>
      <c r="B651" t="s">
        <v>301</v>
      </c>
      <c r="C651" t="s">
        <v>3819</v>
      </c>
      <c r="D651" t="s">
        <v>18060</v>
      </c>
      <c r="E651" t="s">
        <v>18738</v>
      </c>
      <c r="F651" t="s">
        <v>31574</v>
      </c>
      <c r="G651" t="s">
        <v>31581</v>
      </c>
      <c r="H651" t="s">
        <v>31590</v>
      </c>
      <c r="I651" t="s">
        <v>5222</v>
      </c>
      <c r="J651" t="s">
        <v>32266</v>
      </c>
      <c r="K651" t="s">
        <v>41192</v>
      </c>
      <c r="M651" t="s">
        <v>41787</v>
      </c>
      <c r="N651" t="s">
        <v>45095</v>
      </c>
      <c r="O651" t="s">
        <v>45096</v>
      </c>
      <c r="P651">
        <v>0</v>
      </c>
      <c r="Q651">
        <v>0</v>
      </c>
      <c r="R651" t="s">
        <v>45097</v>
      </c>
      <c r="S651" t="s">
        <v>45222</v>
      </c>
      <c r="T651" t="s">
        <v>46949</v>
      </c>
      <c r="U651" t="s">
        <v>48052</v>
      </c>
      <c r="W651" t="s">
        <v>41787</v>
      </c>
      <c r="X651" t="s">
        <v>45098</v>
      </c>
    </row>
    <row r="652" spans="1:24">
      <c r="A652">
        <f>HYPERLINK("https://www.philgeps.gov.ph/GEPSNONPILOT/Tender/SplashBidNoticeAbstractUI.aspx?menuIndex=3&amp;refID=7044799&amp;Result=3","7044799")</f>
        <v>0</v>
      </c>
      <c r="B652" t="s">
        <v>302</v>
      </c>
      <c r="C652" t="s">
        <v>3820</v>
      </c>
      <c r="D652" t="s">
        <v>18044</v>
      </c>
      <c r="E652" t="s">
        <v>18739</v>
      </c>
      <c r="F652" t="s">
        <v>31574</v>
      </c>
      <c r="G652" t="s">
        <v>31582</v>
      </c>
      <c r="H652" t="s">
        <v>31590</v>
      </c>
      <c r="I652" t="s">
        <v>31612</v>
      </c>
      <c r="J652" t="s">
        <v>32267</v>
      </c>
      <c r="K652" t="s">
        <v>41192</v>
      </c>
      <c r="M652" t="s">
        <v>41788</v>
      </c>
      <c r="N652" t="s">
        <v>45095</v>
      </c>
      <c r="O652" t="s">
        <v>45096</v>
      </c>
      <c r="P652">
        <v>0</v>
      </c>
      <c r="Q652">
        <v>0</v>
      </c>
      <c r="R652" t="s">
        <v>45097</v>
      </c>
      <c r="S652" t="s">
        <v>45222</v>
      </c>
      <c r="T652" t="s">
        <v>46924</v>
      </c>
      <c r="U652" t="s">
        <v>48053</v>
      </c>
      <c r="V652" t="s">
        <v>59919</v>
      </c>
      <c r="W652" t="s">
        <v>41788</v>
      </c>
      <c r="X652" t="s">
        <v>45098</v>
      </c>
    </row>
    <row r="653" spans="1:24">
      <c r="A653">
        <f>HYPERLINK("https://www.philgeps.gov.ph/GEPSNONPILOT/Tender/SplashBidNoticeAbstractUI.aspx?menuIndex=3&amp;refID=7044843&amp;Result=3","7044843")</f>
        <v>0</v>
      </c>
      <c r="B653" t="s">
        <v>271</v>
      </c>
      <c r="C653" t="s">
        <v>3753</v>
      </c>
      <c r="D653" t="s">
        <v>18046</v>
      </c>
      <c r="E653" t="s">
        <v>18192</v>
      </c>
      <c r="F653" t="s">
        <v>31574</v>
      </c>
      <c r="G653" t="s">
        <v>31582</v>
      </c>
      <c r="H653" t="s">
        <v>31591</v>
      </c>
      <c r="I653" t="s">
        <v>8822</v>
      </c>
      <c r="J653" t="s">
        <v>31935</v>
      </c>
      <c r="K653" t="s">
        <v>41193</v>
      </c>
      <c r="M653" t="s">
        <v>41757</v>
      </c>
      <c r="N653" t="s">
        <v>45095</v>
      </c>
      <c r="O653" t="s">
        <v>45096</v>
      </c>
      <c r="P653">
        <v>0</v>
      </c>
      <c r="Q653">
        <v>0</v>
      </c>
      <c r="R653" t="s">
        <v>45097</v>
      </c>
      <c r="S653" t="s">
        <v>45222</v>
      </c>
      <c r="T653" t="s">
        <v>46954</v>
      </c>
      <c r="U653" t="s">
        <v>48054</v>
      </c>
      <c r="W653" t="s">
        <v>41757</v>
      </c>
      <c r="X653" t="s">
        <v>45098</v>
      </c>
    </row>
    <row r="654" spans="1:24">
      <c r="A654">
        <f>HYPERLINK("https://www.philgeps.gov.ph/GEPSNONPILOT/Tender/SplashBidNoticeAbstractUI.aspx?menuIndex=3&amp;refID=7044833&amp;Result=3","7044833")</f>
        <v>0</v>
      </c>
      <c r="B654" t="s">
        <v>265</v>
      </c>
      <c r="C654" t="s">
        <v>3821</v>
      </c>
      <c r="D654" t="s">
        <v>18052</v>
      </c>
      <c r="E654" t="s">
        <v>18740</v>
      </c>
      <c r="F654" t="s">
        <v>31574</v>
      </c>
      <c r="G654" t="s">
        <v>31581</v>
      </c>
      <c r="H654" t="s">
        <v>31590</v>
      </c>
      <c r="I654" t="s">
        <v>31603</v>
      </c>
      <c r="J654" t="s">
        <v>31726</v>
      </c>
      <c r="K654" t="s">
        <v>41184</v>
      </c>
      <c r="M654" t="s">
        <v>41751</v>
      </c>
      <c r="N654" t="s">
        <v>45095</v>
      </c>
      <c r="O654" t="s">
        <v>45096</v>
      </c>
      <c r="P654">
        <v>0</v>
      </c>
      <c r="Q654">
        <v>0</v>
      </c>
      <c r="R654" t="s">
        <v>45097</v>
      </c>
      <c r="S654" t="s">
        <v>45222</v>
      </c>
      <c r="T654" t="s">
        <v>46920</v>
      </c>
      <c r="U654" t="s">
        <v>48055</v>
      </c>
      <c r="W654" t="s">
        <v>41751</v>
      </c>
      <c r="X654" t="s">
        <v>45098</v>
      </c>
    </row>
    <row r="655" spans="1:24">
      <c r="A655">
        <f>HYPERLINK("https://www.philgeps.gov.ph/GEPSNONPILOT/Tender/SplashBidNoticeAbstractUI.aspx?menuIndex=3&amp;refID=7044838&amp;Result=3","7044838")</f>
        <v>0</v>
      </c>
      <c r="B655" t="s">
        <v>303</v>
      </c>
      <c r="C655" t="s">
        <v>3822</v>
      </c>
      <c r="D655" t="s">
        <v>18043</v>
      </c>
      <c r="E655" t="s">
        <v>18741</v>
      </c>
      <c r="F655" t="s">
        <v>31574</v>
      </c>
      <c r="G655" t="s">
        <v>31582</v>
      </c>
      <c r="H655" t="s">
        <v>31590</v>
      </c>
      <c r="I655" t="s">
        <v>31599</v>
      </c>
      <c r="J655" t="s">
        <v>32268</v>
      </c>
      <c r="K655" t="s">
        <v>41190</v>
      </c>
      <c r="M655" t="s">
        <v>41789</v>
      </c>
      <c r="N655" t="s">
        <v>45095</v>
      </c>
      <c r="O655" t="s">
        <v>45096</v>
      </c>
      <c r="P655">
        <v>0</v>
      </c>
      <c r="Q655">
        <v>0</v>
      </c>
      <c r="R655" t="s">
        <v>45097</v>
      </c>
      <c r="S655" t="s">
        <v>45222</v>
      </c>
      <c r="T655" t="s">
        <v>47009</v>
      </c>
      <c r="U655" t="s">
        <v>48056</v>
      </c>
      <c r="W655" t="s">
        <v>41789</v>
      </c>
      <c r="X655" t="s">
        <v>45098</v>
      </c>
    </row>
    <row r="656" spans="1:24">
      <c r="A656">
        <f>HYPERLINK("https://www.philgeps.gov.ph/GEPSNONPILOT/Tender/SplashBidNoticeAbstractUI.aspx?menuIndex=3&amp;refID=7044831&amp;Result=3","7044831")</f>
        <v>0</v>
      </c>
      <c r="B656" t="s">
        <v>290</v>
      </c>
      <c r="C656" t="s">
        <v>3823</v>
      </c>
      <c r="D656" t="s">
        <v>18043</v>
      </c>
      <c r="E656" t="s">
        <v>18742</v>
      </c>
      <c r="F656" t="s">
        <v>31574</v>
      </c>
      <c r="G656" t="s">
        <v>31581</v>
      </c>
      <c r="H656" t="s">
        <v>31590</v>
      </c>
      <c r="I656" t="s">
        <v>3539</v>
      </c>
      <c r="J656" t="s">
        <v>32269</v>
      </c>
      <c r="K656" t="s">
        <v>41193</v>
      </c>
      <c r="M656" t="s">
        <v>41776</v>
      </c>
      <c r="N656" t="s">
        <v>45095</v>
      </c>
      <c r="O656" t="s">
        <v>45096</v>
      </c>
      <c r="P656">
        <v>0</v>
      </c>
      <c r="Q656">
        <v>0</v>
      </c>
      <c r="R656" t="s">
        <v>45097</v>
      </c>
      <c r="S656" t="s">
        <v>45222</v>
      </c>
      <c r="T656" t="s">
        <v>46926</v>
      </c>
      <c r="U656" t="s">
        <v>48030</v>
      </c>
      <c r="W656" t="s">
        <v>41776</v>
      </c>
      <c r="X656" t="s">
        <v>45098</v>
      </c>
    </row>
    <row r="657" spans="1:24">
      <c r="A657">
        <f>HYPERLINK("https://www.philgeps.gov.ph/GEPSNONPILOT/Tender/SplashBidNoticeAbstractUI.aspx?menuIndex=3&amp;refID=7044832&amp;Result=3","7044832")</f>
        <v>0</v>
      </c>
      <c r="B657" t="s">
        <v>218</v>
      </c>
      <c r="C657" t="s">
        <v>3627</v>
      </c>
      <c r="D657" t="s">
        <v>18070</v>
      </c>
      <c r="E657" t="s">
        <v>18743</v>
      </c>
      <c r="F657" t="s">
        <v>31574</v>
      </c>
      <c r="G657" t="s">
        <v>31583</v>
      </c>
      <c r="H657" t="s">
        <v>31590</v>
      </c>
      <c r="I657" t="s">
        <v>31605</v>
      </c>
      <c r="J657" t="s">
        <v>32270</v>
      </c>
      <c r="K657" t="s">
        <v>41193</v>
      </c>
      <c r="M657" t="s">
        <v>41703</v>
      </c>
      <c r="N657" t="s">
        <v>45095</v>
      </c>
      <c r="O657" t="s">
        <v>45096</v>
      </c>
      <c r="P657">
        <v>0</v>
      </c>
      <c r="Q657">
        <v>0</v>
      </c>
      <c r="R657" t="s">
        <v>45097</v>
      </c>
      <c r="S657" t="s">
        <v>45222</v>
      </c>
      <c r="T657" t="s">
        <v>46957</v>
      </c>
      <c r="U657" t="s">
        <v>47880</v>
      </c>
      <c r="W657" t="s">
        <v>41703</v>
      </c>
      <c r="X657" t="s">
        <v>45098</v>
      </c>
    </row>
    <row r="658" spans="1:24">
      <c r="A658">
        <f>HYPERLINK("https://www.philgeps.gov.ph/GEPSNONPILOT/Tender/SplashBidNoticeAbstractUI.aspx?menuIndex=3&amp;refID=7044849&amp;Result=3","7044849")</f>
        <v>0</v>
      </c>
      <c r="B658" t="s">
        <v>124</v>
      </c>
      <c r="C658" t="s">
        <v>3824</v>
      </c>
      <c r="D658" t="s">
        <v>18065</v>
      </c>
      <c r="E658" t="s">
        <v>18744</v>
      </c>
      <c r="F658" t="s">
        <v>31574</v>
      </c>
      <c r="G658" t="s">
        <v>31581</v>
      </c>
      <c r="H658" t="s">
        <v>31590</v>
      </c>
      <c r="I658" t="s">
        <v>31619</v>
      </c>
      <c r="J658" t="s">
        <v>32271</v>
      </c>
      <c r="K658" t="s">
        <v>41184</v>
      </c>
      <c r="M658" t="s">
        <v>41608</v>
      </c>
      <c r="N658" t="s">
        <v>45095</v>
      </c>
      <c r="O658" t="s">
        <v>45096</v>
      </c>
      <c r="P658">
        <v>0</v>
      </c>
      <c r="Q658">
        <v>0</v>
      </c>
      <c r="R658" t="s">
        <v>45097</v>
      </c>
      <c r="S658" t="s">
        <v>45222</v>
      </c>
      <c r="T658" t="s">
        <v>46934</v>
      </c>
      <c r="U658" t="s">
        <v>48057</v>
      </c>
      <c r="W658" t="s">
        <v>41608</v>
      </c>
      <c r="X658" t="s">
        <v>45098</v>
      </c>
    </row>
    <row r="659" spans="1:24">
      <c r="A659">
        <f>HYPERLINK("https://www.philgeps.gov.ph/GEPSNONPILOT/Tender/SplashBidNoticeAbstractUI.aspx?menuIndex=3&amp;refID=7044830&amp;Result=3","7044830")</f>
        <v>0</v>
      </c>
      <c r="B659" t="s">
        <v>304</v>
      </c>
      <c r="C659" t="s">
        <v>3825</v>
      </c>
      <c r="D659" t="s">
        <v>18024</v>
      </c>
      <c r="E659" t="s">
        <v>18745</v>
      </c>
      <c r="F659" t="s">
        <v>31574</v>
      </c>
      <c r="G659" t="s">
        <v>31581</v>
      </c>
      <c r="H659" t="s">
        <v>31590</v>
      </c>
      <c r="I659" t="s">
        <v>3489</v>
      </c>
      <c r="J659" t="s">
        <v>31780</v>
      </c>
      <c r="K659" t="s">
        <v>41211</v>
      </c>
      <c r="M659" t="s">
        <v>41790</v>
      </c>
      <c r="N659" t="s">
        <v>45095</v>
      </c>
      <c r="O659" t="s">
        <v>45096</v>
      </c>
      <c r="P659">
        <v>0</v>
      </c>
      <c r="Q659">
        <v>0</v>
      </c>
      <c r="R659" t="s">
        <v>45097</v>
      </c>
      <c r="S659" t="s">
        <v>45222</v>
      </c>
      <c r="T659" t="s">
        <v>46979</v>
      </c>
      <c r="U659" t="s">
        <v>48058</v>
      </c>
      <c r="W659" t="s">
        <v>41790</v>
      </c>
      <c r="X659" t="s">
        <v>45098</v>
      </c>
    </row>
    <row r="660" spans="1:24">
      <c r="A660">
        <f>HYPERLINK("https://www.philgeps.gov.ph/GEPSNONPILOT/Tender/SplashBidNoticeAbstractUI.aspx?menuIndex=3&amp;refID=7044844&amp;Result=3","7044844")</f>
        <v>0</v>
      </c>
      <c r="B660" t="s">
        <v>264</v>
      </c>
      <c r="C660" t="s">
        <v>3826</v>
      </c>
      <c r="D660" t="s">
        <v>18066</v>
      </c>
      <c r="E660" t="s">
        <v>18746</v>
      </c>
      <c r="F660" t="s">
        <v>31574</v>
      </c>
      <c r="G660" t="s">
        <v>31582</v>
      </c>
      <c r="H660" t="s">
        <v>31591</v>
      </c>
      <c r="I660" t="s">
        <v>8822</v>
      </c>
      <c r="J660" t="s">
        <v>32272</v>
      </c>
      <c r="K660" t="s">
        <v>41203</v>
      </c>
      <c r="M660" t="s">
        <v>41750</v>
      </c>
      <c r="N660" t="s">
        <v>45095</v>
      </c>
      <c r="O660" t="s">
        <v>45096</v>
      </c>
      <c r="P660">
        <v>0</v>
      </c>
      <c r="Q660">
        <v>0</v>
      </c>
      <c r="R660" t="s">
        <v>45097</v>
      </c>
      <c r="S660" t="s">
        <v>45222</v>
      </c>
      <c r="T660" t="s">
        <v>46908</v>
      </c>
      <c r="U660" t="s">
        <v>48059</v>
      </c>
      <c r="W660" t="s">
        <v>61659</v>
      </c>
      <c r="X660" t="s">
        <v>45098</v>
      </c>
    </row>
    <row r="661" spans="1:24">
      <c r="A661">
        <f>HYPERLINK("https://www.philgeps.gov.ph/GEPSNONPILOT/Tender/SplashBidNoticeAbstractUI.aspx?menuIndex=3&amp;refID=7044858&amp;Result=3","7044858")</f>
        <v>0</v>
      </c>
      <c r="B661" t="s">
        <v>305</v>
      </c>
      <c r="C661" t="s">
        <v>3827</v>
      </c>
      <c r="D661" t="s">
        <v>18066</v>
      </c>
      <c r="E661" t="s">
        <v>18747</v>
      </c>
      <c r="F661" t="s">
        <v>31574</v>
      </c>
      <c r="G661" t="s">
        <v>31582</v>
      </c>
      <c r="H661" t="s">
        <v>31591</v>
      </c>
      <c r="I661" t="s">
        <v>8822</v>
      </c>
      <c r="J661" t="s">
        <v>32273</v>
      </c>
      <c r="K661" t="s">
        <v>41184</v>
      </c>
      <c r="M661" t="s">
        <v>41791</v>
      </c>
      <c r="N661" t="s">
        <v>45095</v>
      </c>
      <c r="O661" t="s">
        <v>45096</v>
      </c>
      <c r="P661">
        <v>0</v>
      </c>
      <c r="Q661">
        <v>0</v>
      </c>
      <c r="R661" t="s">
        <v>45097</v>
      </c>
      <c r="S661" t="s">
        <v>45222</v>
      </c>
      <c r="T661" t="s">
        <v>47010</v>
      </c>
      <c r="U661" t="s">
        <v>48060</v>
      </c>
      <c r="W661" t="s">
        <v>41791</v>
      </c>
      <c r="X661" t="s">
        <v>45098</v>
      </c>
    </row>
    <row r="662" spans="1:24">
      <c r="A662">
        <f>HYPERLINK("https://www.philgeps.gov.ph/GEPSNONPILOT/Tender/SplashBidNoticeAbstractUI.aspx?menuIndex=3&amp;refID=7044829&amp;Result=3","7044829")</f>
        <v>0</v>
      </c>
      <c r="B662" t="s">
        <v>306</v>
      </c>
      <c r="C662" t="s">
        <v>3828</v>
      </c>
      <c r="D662" t="s">
        <v>18022</v>
      </c>
      <c r="E662" t="s">
        <v>18227</v>
      </c>
      <c r="F662" t="s">
        <v>31574</v>
      </c>
      <c r="G662" t="s">
        <v>31581</v>
      </c>
      <c r="H662" t="s">
        <v>31590</v>
      </c>
      <c r="I662" t="s">
        <v>31644</v>
      </c>
      <c r="J662" t="s">
        <v>32274</v>
      </c>
      <c r="K662" t="s">
        <v>41193</v>
      </c>
      <c r="M662" t="s">
        <v>41792</v>
      </c>
      <c r="N662" t="s">
        <v>45095</v>
      </c>
      <c r="O662" t="s">
        <v>45096</v>
      </c>
      <c r="P662">
        <v>0</v>
      </c>
      <c r="Q662">
        <v>0</v>
      </c>
      <c r="R662" t="s">
        <v>45097</v>
      </c>
      <c r="S662" t="s">
        <v>45222</v>
      </c>
      <c r="T662" t="s">
        <v>46918</v>
      </c>
      <c r="U662" t="s">
        <v>48061</v>
      </c>
      <c r="V662" t="s">
        <v>59920</v>
      </c>
      <c r="W662" t="s">
        <v>41792</v>
      </c>
      <c r="X662" t="s">
        <v>45098</v>
      </c>
    </row>
    <row r="663" spans="1:24">
      <c r="A663">
        <f>HYPERLINK("https://www.philgeps.gov.ph/GEPSNONPILOT/Tender/SplashBidNoticeAbstractUI.aspx?menuIndex=3&amp;refID=7044859&amp;Result=3","7044859")</f>
        <v>0</v>
      </c>
      <c r="B663" t="s">
        <v>114</v>
      </c>
      <c r="C663" t="s">
        <v>3829</v>
      </c>
      <c r="D663" t="s">
        <v>18067</v>
      </c>
      <c r="E663" t="s">
        <v>18748</v>
      </c>
      <c r="F663" t="s">
        <v>31574</v>
      </c>
      <c r="G663" t="s">
        <v>31582</v>
      </c>
      <c r="H663" t="s">
        <v>31591</v>
      </c>
      <c r="I663" t="s">
        <v>8822</v>
      </c>
      <c r="J663" t="s">
        <v>32232</v>
      </c>
      <c r="K663" t="s">
        <v>41185</v>
      </c>
      <c r="M663" t="s">
        <v>41598</v>
      </c>
      <c r="N663" t="s">
        <v>45095</v>
      </c>
      <c r="O663" t="s">
        <v>45096</v>
      </c>
      <c r="P663">
        <v>0</v>
      </c>
      <c r="Q663">
        <v>0</v>
      </c>
      <c r="R663" t="s">
        <v>45097</v>
      </c>
      <c r="S663" t="s">
        <v>45222</v>
      </c>
      <c r="T663" t="s">
        <v>46930</v>
      </c>
      <c r="U663" t="s">
        <v>48062</v>
      </c>
      <c r="V663" t="s">
        <v>59921</v>
      </c>
      <c r="W663" t="s">
        <v>41598</v>
      </c>
      <c r="X663" t="s">
        <v>45098</v>
      </c>
    </row>
    <row r="664" spans="1:24">
      <c r="A664">
        <f>HYPERLINK("https://www.philgeps.gov.ph/GEPSNONPILOT/Tender/SplashBidNoticeAbstractUI.aspx?menuIndex=3&amp;refID=7044828&amp;Result=3","7044828")</f>
        <v>0</v>
      </c>
      <c r="B664" t="s">
        <v>307</v>
      </c>
      <c r="C664" t="s">
        <v>3830</v>
      </c>
      <c r="D664" t="s">
        <v>18066</v>
      </c>
      <c r="E664" t="s">
        <v>18749</v>
      </c>
      <c r="F664" t="s">
        <v>31575</v>
      </c>
      <c r="G664" t="s">
        <v>31582</v>
      </c>
      <c r="H664" t="s">
        <v>31591</v>
      </c>
      <c r="I664" t="s">
        <v>8822</v>
      </c>
      <c r="J664" t="s">
        <v>32275</v>
      </c>
      <c r="K664" t="s">
        <v>41232</v>
      </c>
      <c r="L664" t="s">
        <v>307</v>
      </c>
      <c r="M664" t="s">
        <v>41793</v>
      </c>
      <c r="N664" t="s">
        <v>45095</v>
      </c>
      <c r="O664" t="s">
        <v>45096</v>
      </c>
      <c r="P664">
        <v>0</v>
      </c>
      <c r="Q664">
        <v>0</v>
      </c>
      <c r="R664" t="s">
        <v>45097</v>
      </c>
      <c r="S664" t="s">
        <v>45222</v>
      </c>
      <c r="T664" t="s">
        <v>46915</v>
      </c>
      <c r="U664" t="s">
        <v>48063</v>
      </c>
      <c r="W664" t="s">
        <v>41793</v>
      </c>
      <c r="X664" t="s">
        <v>45098</v>
      </c>
    </row>
    <row r="665" spans="1:24">
      <c r="A665">
        <f>HYPERLINK("https://www.philgeps.gov.ph/GEPSNONPILOT/Tender/SplashBidNoticeAbstractUI.aspx?menuIndex=3&amp;refID=7044852&amp;Result=3","7044852")</f>
        <v>0</v>
      </c>
      <c r="B665" t="s">
        <v>194</v>
      </c>
      <c r="C665" t="s">
        <v>3831</v>
      </c>
      <c r="D665" t="s">
        <v>18065</v>
      </c>
      <c r="E665" t="s">
        <v>18750</v>
      </c>
      <c r="F665" t="s">
        <v>31574</v>
      </c>
      <c r="G665" t="s">
        <v>31581</v>
      </c>
      <c r="H665" t="s">
        <v>31590</v>
      </c>
      <c r="I665" t="s">
        <v>31595</v>
      </c>
      <c r="J665" t="s">
        <v>32017</v>
      </c>
      <c r="K665" t="s">
        <v>41184</v>
      </c>
      <c r="M665" t="s">
        <v>41679</v>
      </c>
      <c r="N665" t="s">
        <v>45095</v>
      </c>
      <c r="O665" t="s">
        <v>45096</v>
      </c>
      <c r="P665">
        <v>0</v>
      </c>
      <c r="Q665">
        <v>0</v>
      </c>
      <c r="R665" t="s">
        <v>45097</v>
      </c>
      <c r="S665" t="s">
        <v>45222</v>
      </c>
      <c r="T665" t="s">
        <v>46923</v>
      </c>
      <c r="U665" t="s">
        <v>47832</v>
      </c>
      <c r="W665" t="s">
        <v>41679</v>
      </c>
      <c r="X665" t="s">
        <v>45098</v>
      </c>
    </row>
    <row r="666" spans="1:24">
      <c r="A666">
        <f>HYPERLINK("https://www.philgeps.gov.ph/GEPSNONPILOT/Tender/SplashBidNoticeAbstractUI.aspx?menuIndex=3&amp;refID=7044854&amp;Result=3","7044854")</f>
        <v>0</v>
      </c>
      <c r="B666" t="s">
        <v>308</v>
      </c>
      <c r="C666" t="s">
        <v>3832</v>
      </c>
      <c r="D666" t="s">
        <v>18056</v>
      </c>
      <c r="E666" t="s">
        <v>18751</v>
      </c>
      <c r="F666" t="s">
        <v>31574</v>
      </c>
      <c r="G666" t="s">
        <v>31584</v>
      </c>
      <c r="H666" t="s">
        <v>31590</v>
      </c>
      <c r="I666" t="s">
        <v>6800</v>
      </c>
      <c r="J666" t="s">
        <v>32276</v>
      </c>
      <c r="K666" t="s">
        <v>41184</v>
      </c>
      <c r="M666" t="s">
        <v>41794</v>
      </c>
      <c r="N666" t="s">
        <v>45095</v>
      </c>
      <c r="O666" t="s">
        <v>45096</v>
      </c>
      <c r="P666">
        <v>0</v>
      </c>
      <c r="Q666">
        <v>0</v>
      </c>
      <c r="R666" t="s">
        <v>45097</v>
      </c>
      <c r="S666" t="s">
        <v>45222</v>
      </c>
      <c r="T666" t="s">
        <v>46911</v>
      </c>
      <c r="U666" t="s">
        <v>47721</v>
      </c>
      <c r="W666" t="s">
        <v>41794</v>
      </c>
      <c r="X666" t="s">
        <v>45098</v>
      </c>
    </row>
    <row r="667" spans="1:24">
      <c r="A667">
        <f>HYPERLINK("https://www.philgeps.gov.ph/GEPSNONPILOT/Tender/SplashBidNoticeAbstractUI.aspx?menuIndex=3&amp;refID=7044851&amp;Result=3","7044851")</f>
        <v>0</v>
      </c>
      <c r="B667" t="s">
        <v>191</v>
      </c>
      <c r="C667" t="s">
        <v>3833</v>
      </c>
      <c r="D667" t="s">
        <v>18082</v>
      </c>
      <c r="E667" t="s">
        <v>18752</v>
      </c>
      <c r="F667" t="s">
        <v>31574</v>
      </c>
      <c r="G667" t="s">
        <v>31582</v>
      </c>
      <c r="H667" t="s">
        <v>31591</v>
      </c>
      <c r="I667" t="s">
        <v>8822</v>
      </c>
      <c r="J667" t="s">
        <v>32277</v>
      </c>
      <c r="K667" t="s">
        <v>41184</v>
      </c>
      <c r="M667" t="s">
        <v>41676</v>
      </c>
      <c r="N667" t="s">
        <v>45095</v>
      </c>
      <c r="O667" t="s">
        <v>45096</v>
      </c>
      <c r="P667">
        <v>0</v>
      </c>
      <c r="Q667">
        <v>0</v>
      </c>
      <c r="R667" t="s">
        <v>45097</v>
      </c>
      <c r="S667" t="s">
        <v>45222</v>
      </c>
      <c r="T667" t="s">
        <v>46924</v>
      </c>
      <c r="U667" t="s">
        <v>47828</v>
      </c>
      <c r="W667" t="s">
        <v>41676</v>
      </c>
      <c r="X667" t="s">
        <v>45098</v>
      </c>
    </row>
    <row r="668" spans="1:24">
      <c r="A668">
        <f>HYPERLINK("https://www.philgeps.gov.ph/GEPSNONPILOT/Tender/SplashBidNoticeAbstractUI.aspx?menuIndex=3&amp;refID=7044853&amp;Result=3","7044853")</f>
        <v>0</v>
      </c>
      <c r="B668" t="s">
        <v>292</v>
      </c>
      <c r="C668" t="s">
        <v>3834</v>
      </c>
      <c r="D668" t="s">
        <v>18022</v>
      </c>
      <c r="E668" t="s">
        <v>18720</v>
      </c>
      <c r="F668" t="s">
        <v>31574</v>
      </c>
      <c r="G668" t="s">
        <v>31581</v>
      </c>
      <c r="H668" t="s">
        <v>31590</v>
      </c>
      <c r="I668" t="s">
        <v>31629</v>
      </c>
      <c r="J668" t="s">
        <v>32278</v>
      </c>
      <c r="K668" t="s">
        <v>41190</v>
      </c>
      <c r="M668" t="s">
        <v>41778</v>
      </c>
      <c r="N668" t="s">
        <v>45095</v>
      </c>
      <c r="O668" t="s">
        <v>45096</v>
      </c>
      <c r="P668">
        <v>0</v>
      </c>
      <c r="Q668">
        <v>0</v>
      </c>
      <c r="R668" t="s">
        <v>45097</v>
      </c>
      <c r="S668" t="s">
        <v>45222</v>
      </c>
      <c r="T668" t="s">
        <v>46955</v>
      </c>
      <c r="U668" t="s">
        <v>48064</v>
      </c>
      <c r="W668" t="s">
        <v>41778</v>
      </c>
      <c r="X668" t="s">
        <v>45098</v>
      </c>
    </row>
    <row r="669" spans="1:24">
      <c r="A669">
        <f>HYPERLINK("https://www.philgeps.gov.ph/GEPSNONPILOT/Tender/SplashBidNoticeAbstractUI.aspx?menuIndex=3&amp;refID=7044856&amp;Result=3","7044856")</f>
        <v>0</v>
      </c>
      <c r="B669" t="s">
        <v>252</v>
      </c>
      <c r="C669" t="s">
        <v>3835</v>
      </c>
      <c r="D669" t="s">
        <v>18065</v>
      </c>
      <c r="E669" t="s">
        <v>18137</v>
      </c>
      <c r="F669" t="s">
        <v>31574</v>
      </c>
      <c r="G669" t="s">
        <v>31581</v>
      </c>
      <c r="H669" t="s">
        <v>31590</v>
      </c>
      <c r="I669" t="s">
        <v>14544</v>
      </c>
      <c r="J669" t="s">
        <v>31960</v>
      </c>
      <c r="K669" t="s">
        <v>41185</v>
      </c>
      <c r="M669" t="s">
        <v>41738</v>
      </c>
      <c r="N669" t="s">
        <v>45095</v>
      </c>
      <c r="O669" t="s">
        <v>45096</v>
      </c>
      <c r="P669">
        <v>0</v>
      </c>
      <c r="Q669">
        <v>0</v>
      </c>
      <c r="R669" t="s">
        <v>45097</v>
      </c>
      <c r="S669" t="s">
        <v>45222</v>
      </c>
      <c r="T669" t="s">
        <v>46913</v>
      </c>
      <c r="U669" t="s">
        <v>48065</v>
      </c>
      <c r="W669" t="s">
        <v>41738</v>
      </c>
      <c r="X669" t="s">
        <v>45098</v>
      </c>
    </row>
    <row r="670" spans="1:24">
      <c r="A670">
        <f>HYPERLINK("https://www.philgeps.gov.ph/GEPSNONPILOT/Tender/SplashBidNoticeAbstractUI.aspx?menuIndex=3&amp;refID=7044870&amp;Result=3","7044870")</f>
        <v>0</v>
      </c>
      <c r="B670" t="s">
        <v>309</v>
      </c>
      <c r="C670" t="s">
        <v>3836</v>
      </c>
      <c r="D670" t="s">
        <v>18074</v>
      </c>
      <c r="E670" t="s">
        <v>18753</v>
      </c>
      <c r="F670" t="s">
        <v>31574</v>
      </c>
      <c r="G670" t="s">
        <v>31585</v>
      </c>
      <c r="H670" t="s">
        <v>31590</v>
      </c>
      <c r="I670" t="s">
        <v>31640</v>
      </c>
      <c r="J670" t="s">
        <v>32017</v>
      </c>
      <c r="K670" t="s">
        <v>41184</v>
      </c>
      <c r="M670" t="s">
        <v>41795</v>
      </c>
      <c r="N670" t="s">
        <v>45095</v>
      </c>
      <c r="O670" t="s">
        <v>45096</v>
      </c>
      <c r="P670">
        <v>0</v>
      </c>
      <c r="Q670">
        <v>0</v>
      </c>
      <c r="R670" t="s">
        <v>45097</v>
      </c>
      <c r="S670" t="s">
        <v>45222</v>
      </c>
      <c r="T670" t="s">
        <v>46932</v>
      </c>
      <c r="U670" t="s">
        <v>48066</v>
      </c>
      <c r="W670" t="s">
        <v>41795</v>
      </c>
      <c r="X670" t="s">
        <v>45098</v>
      </c>
    </row>
    <row r="671" spans="1:24">
      <c r="A671">
        <f>HYPERLINK("https://www.philgeps.gov.ph/GEPSNONPILOT/Tender/SplashBidNoticeAbstractUI.aspx?menuIndex=3&amp;refID=7044850&amp;Result=3","7044850")</f>
        <v>0</v>
      </c>
      <c r="B671" t="s">
        <v>310</v>
      </c>
      <c r="C671" t="s">
        <v>3837</v>
      </c>
      <c r="D671" t="s">
        <v>18033</v>
      </c>
      <c r="E671" t="s">
        <v>18754</v>
      </c>
      <c r="F671" t="s">
        <v>31574</v>
      </c>
      <c r="G671" t="s">
        <v>31582</v>
      </c>
      <c r="H671" t="s">
        <v>31591</v>
      </c>
      <c r="I671" t="s">
        <v>8822</v>
      </c>
      <c r="J671" t="s">
        <v>32279</v>
      </c>
      <c r="K671" t="s">
        <v>41192</v>
      </c>
      <c r="M671" t="s">
        <v>41796</v>
      </c>
      <c r="N671" t="s">
        <v>45095</v>
      </c>
      <c r="O671" t="s">
        <v>45096</v>
      </c>
      <c r="P671">
        <v>0</v>
      </c>
      <c r="Q671">
        <v>0</v>
      </c>
      <c r="R671" t="s">
        <v>45097</v>
      </c>
      <c r="S671" t="s">
        <v>45222</v>
      </c>
      <c r="T671" t="s">
        <v>46935</v>
      </c>
      <c r="U671" t="s">
        <v>48067</v>
      </c>
      <c r="W671" t="s">
        <v>41796</v>
      </c>
      <c r="X671" t="s">
        <v>45098</v>
      </c>
    </row>
    <row r="672" spans="1:24">
      <c r="A672">
        <f>HYPERLINK("https://www.philgeps.gov.ph/GEPSNONPILOT/Tender/SplashBidNoticeAbstractUI.aspx?menuIndex=3&amp;refID=7044860&amp;Result=3","7044860")</f>
        <v>0</v>
      </c>
      <c r="B672" t="s">
        <v>202</v>
      </c>
      <c r="C672" t="s">
        <v>3838</v>
      </c>
      <c r="D672" t="s">
        <v>18036</v>
      </c>
      <c r="E672" t="s">
        <v>18755</v>
      </c>
      <c r="F672" t="s">
        <v>31574</v>
      </c>
      <c r="G672" t="s">
        <v>31581</v>
      </c>
      <c r="H672" t="s">
        <v>31590</v>
      </c>
      <c r="I672" t="s">
        <v>31600</v>
      </c>
      <c r="J672" t="s">
        <v>32280</v>
      </c>
      <c r="K672" t="s">
        <v>41193</v>
      </c>
      <c r="M672" t="s">
        <v>41687</v>
      </c>
      <c r="N672" t="s">
        <v>45095</v>
      </c>
      <c r="O672" t="s">
        <v>45096</v>
      </c>
      <c r="P672">
        <v>0</v>
      </c>
      <c r="Q672">
        <v>0</v>
      </c>
      <c r="R672" t="s">
        <v>45097</v>
      </c>
      <c r="S672" t="s">
        <v>45222</v>
      </c>
      <c r="T672" t="s">
        <v>46969</v>
      </c>
      <c r="U672" t="s">
        <v>48068</v>
      </c>
      <c r="W672" t="s">
        <v>41687</v>
      </c>
      <c r="X672" t="s">
        <v>45098</v>
      </c>
    </row>
    <row r="673" spans="1:24">
      <c r="A673">
        <f>HYPERLINK("https://www.philgeps.gov.ph/GEPSNONPILOT/Tender/SplashBidNoticeAbstractUI.aspx?menuIndex=3&amp;refID=7044871&amp;Result=3","7044871")</f>
        <v>0</v>
      </c>
      <c r="B673" t="s">
        <v>76</v>
      </c>
      <c r="C673" t="s">
        <v>3839</v>
      </c>
      <c r="D673" t="s">
        <v>18035</v>
      </c>
      <c r="E673" t="s">
        <v>18756</v>
      </c>
      <c r="F673" t="s">
        <v>31574</v>
      </c>
      <c r="G673" t="s">
        <v>31581</v>
      </c>
      <c r="H673" t="s">
        <v>31591</v>
      </c>
      <c r="I673" t="s">
        <v>8822</v>
      </c>
      <c r="J673" t="s">
        <v>32281</v>
      </c>
      <c r="K673" t="s">
        <v>41184</v>
      </c>
      <c r="L673" t="s">
        <v>76</v>
      </c>
      <c r="M673" t="s">
        <v>41797</v>
      </c>
      <c r="N673" t="s">
        <v>45095</v>
      </c>
      <c r="O673" t="s">
        <v>45096</v>
      </c>
      <c r="P673">
        <v>0</v>
      </c>
      <c r="Q673">
        <v>0</v>
      </c>
      <c r="R673" t="s">
        <v>45097</v>
      </c>
      <c r="S673" t="s">
        <v>45222</v>
      </c>
      <c r="T673" t="s">
        <v>46904</v>
      </c>
      <c r="U673" t="s">
        <v>48069</v>
      </c>
      <c r="W673" t="s">
        <v>41797</v>
      </c>
      <c r="X673" t="s">
        <v>45098</v>
      </c>
    </row>
    <row r="674" spans="1:24">
      <c r="A674">
        <f>HYPERLINK("https://www.philgeps.gov.ph/GEPSNONPILOT/Tender/SplashBidNoticeAbstractUI.aspx?menuIndex=3&amp;refID=7044869&amp;Result=3","7044869")</f>
        <v>0</v>
      </c>
      <c r="B674" t="s">
        <v>311</v>
      </c>
      <c r="C674" t="s">
        <v>3840</v>
      </c>
      <c r="D674" t="s">
        <v>18022</v>
      </c>
      <c r="E674" t="s">
        <v>18227</v>
      </c>
      <c r="F674" t="s">
        <v>31574</v>
      </c>
      <c r="G674" t="s">
        <v>31581</v>
      </c>
      <c r="H674" t="s">
        <v>31590</v>
      </c>
      <c r="I674" t="s">
        <v>31644</v>
      </c>
      <c r="J674" t="s">
        <v>32017</v>
      </c>
      <c r="K674" t="s">
        <v>41193</v>
      </c>
      <c r="M674" t="s">
        <v>41798</v>
      </c>
      <c r="N674" t="s">
        <v>45095</v>
      </c>
      <c r="O674" t="s">
        <v>45096</v>
      </c>
      <c r="P674">
        <v>0</v>
      </c>
      <c r="Q674">
        <v>0</v>
      </c>
      <c r="R674" t="s">
        <v>45097</v>
      </c>
      <c r="S674" t="s">
        <v>45222</v>
      </c>
      <c r="T674" t="s">
        <v>46946</v>
      </c>
      <c r="U674" t="s">
        <v>48070</v>
      </c>
      <c r="W674" t="s">
        <v>41798</v>
      </c>
      <c r="X674" t="s">
        <v>45098</v>
      </c>
    </row>
    <row r="675" spans="1:24">
      <c r="A675">
        <f>HYPERLINK("https://www.philgeps.gov.ph/GEPSNONPILOT/Tender/SplashBidNoticeAbstractUI.aspx?menuIndex=3&amp;refID=7044874&amp;Result=3","7044874")</f>
        <v>0</v>
      </c>
      <c r="B675" t="s">
        <v>312</v>
      </c>
      <c r="C675" t="s">
        <v>3841</v>
      </c>
      <c r="D675" t="s">
        <v>18024</v>
      </c>
      <c r="E675" t="s">
        <v>18757</v>
      </c>
      <c r="F675" t="s">
        <v>31574</v>
      </c>
      <c r="G675" t="s">
        <v>31581</v>
      </c>
      <c r="H675" t="s">
        <v>31590</v>
      </c>
      <c r="I675" t="s">
        <v>31623</v>
      </c>
      <c r="J675" t="s">
        <v>32282</v>
      </c>
      <c r="K675" t="s">
        <v>41233</v>
      </c>
      <c r="M675" t="s">
        <v>41799</v>
      </c>
      <c r="N675" t="s">
        <v>45095</v>
      </c>
      <c r="O675" t="s">
        <v>45096</v>
      </c>
      <c r="P675">
        <v>0</v>
      </c>
      <c r="Q675">
        <v>0</v>
      </c>
      <c r="R675" t="s">
        <v>45097</v>
      </c>
      <c r="S675" t="s">
        <v>45222</v>
      </c>
      <c r="T675" t="s">
        <v>46918</v>
      </c>
      <c r="U675" t="s">
        <v>48071</v>
      </c>
      <c r="W675" t="s">
        <v>41799</v>
      </c>
      <c r="X675" t="s">
        <v>45098</v>
      </c>
    </row>
    <row r="676" spans="1:24">
      <c r="A676">
        <f>HYPERLINK("https://www.philgeps.gov.ph/GEPSNONPILOT/Tender/SplashBidNoticeAbstractUI.aspx?menuIndex=3&amp;refID=7044857&amp;Result=3","7044857")</f>
        <v>0</v>
      </c>
      <c r="B676" t="s">
        <v>313</v>
      </c>
      <c r="C676" t="s">
        <v>3842</v>
      </c>
      <c r="D676" t="s">
        <v>18039</v>
      </c>
      <c r="E676" t="s">
        <v>18758</v>
      </c>
      <c r="F676" t="s">
        <v>31574</v>
      </c>
      <c r="G676" t="s">
        <v>31581</v>
      </c>
      <c r="H676" t="s">
        <v>31590</v>
      </c>
      <c r="I676" t="s">
        <v>4046</v>
      </c>
      <c r="J676" t="s">
        <v>31873</v>
      </c>
      <c r="K676" t="s">
        <v>41191</v>
      </c>
      <c r="M676" t="s">
        <v>41800</v>
      </c>
      <c r="N676" t="s">
        <v>45095</v>
      </c>
      <c r="O676" t="s">
        <v>45096</v>
      </c>
      <c r="P676">
        <v>0</v>
      </c>
      <c r="Q676">
        <v>0</v>
      </c>
      <c r="R676" t="s">
        <v>45097</v>
      </c>
      <c r="S676" t="s">
        <v>45222</v>
      </c>
      <c r="T676" t="s">
        <v>46945</v>
      </c>
      <c r="U676" t="s">
        <v>48072</v>
      </c>
      <c r="W676" t="s">
        <v>41800</v>
      </c>
      <c r="X676" t="s">
        <v>45098</v>
      </c>
    </row>
    <row r="677" spans="1:24">
      <c r="A677">
        <f>HYPERLINK("https://www.philgeps.gov.ph/GEPSNONPILOT/Tender/SplashBidNoticeAbstractUI.aspx?menuIndex=3&amp;refID=7044863&amp;Result=3","7044863")</f>
        <v>0</v>
      </c>
      <c r="B677" t="s">
        <v>246</v>
      </c>
      <c r="C677" t="s">
        <v>3687</v>
      </c>
      <c r="D677" t="s">
        <v>18047</v>
      </c>
      <c r="E677" t="s">
        <v>18759</v>
      </c>
      <c r="F677" t="s">
        <v>31574</v>
      </c>
      <c r="G677" t="s">
        <v>31581</v>
      </c>
      <c r="H677" t="s">
        <v>31592</v>
      </c>
      <c r="I677" t="s">
        <v>3539</v>
      </c>
      <c r="J677" t="s">
        <v>32258</v>
      </c>
      <c r="K677" t="s">
        <v>41226</v>
      </c>
      <c r="M677" t="s">
        <v>41732</v>
      </c>
      <c r="N677" t="s">
        <v>45095</v>
      </c>
      <c r="O677" t="s">
        <v>45096</v>
      </c>
      <c r="P677">
        <v>0</v>
      </c>
      <c r="Q677">
        <v>0</v>
      </c>
      <c r="R677" t="s">
        <v>45097</v>
      </c>
      <c r="S677" t="s">
        <v>45222</v>
      </c>
      <c r="T677" t="s">
        <v>47003</v>
      </c>
      <c r="U677" t="s">
        <v>48073</v>
      </c>
      <c r="W677" t="s">
        <v>41732</v>
      </c>
      <c r="X677" t="s">
        <v>45098</v>
      </c>
    </row>
    <row r="678" spans="1:24">
      <c r="A678">
        <f>HYPERLINK("https://www.philgeps.gov.ph/GEPSNONPILOT/Tender/SplashBidNoticeAbstractUI.aspx?menuIndex=3&amp;refID=7044868&amp;Result=3","7044868")</f>
        <v>0</v>
      </c>
      <c r="B678" t="s">
        <v>314</v>
      </c>
      <c r="C678" t="s">
        <v>3843</v>
      </c>
      <c r="D678" t="s">
        <v>18038</v>
      </c>
      <c r="E678" t="s">
        <v>18760</v>
      </c>
      <c r="F678" t="s">
        <v>31574</v>
      </c>
      <c r="G678" t="s">
        <v>31583</v>
      </c>
      <c r="H678" t="s">
        <v>31590</v>
      </c>
      <c r="I678" t="s">
        <v>6800</v>
      </c>
      <c r="J678" t="s">
        <v>32283</v>
      </c>
      <c r="K678" t="s">
        <v>41190</v>
      </c>
      <c r="M678" t="s">
        <v>41801</v>
      </c>
      <c r="N678" t="s">
        <v>45095</v>
      </c>
      <c r="O678" t="s">
        <v>45096</v>
      </c>
      <c r="P678">
        <v>0</v>
      </c>
      <c r="Q678">
        <v>0</v>
      </c>
      <c r="R678" t="s">
        <v>45097</v>
      </c>
      <c r="S678" t="s">
        <v>45222</v>
      </c>
      <c r="T678" t="s">
        <v>46917</v>
      </c>
      <c r="U678" t="s">
        <v>48074</v>
      </c>
      <c r="W678" t="s">
        <v>41801</v>
      </c>
      <c r="X678" t="s">
        <v>45098</v>
      </c>
    </row>
    <row r="679" spans="1:24">
      <c r="A679">
        <f>HYPERLINK("https://www.philgeps.gov.ph/GEPSNONPILOT/Tender/SplashBidNoticeAbstractUI.aspx?menuIndex=3&amp;refID=7044865&amp;Result=3","7044865")</f>
        <v>0</v>
      </c>
      <c r="B679" t="s">
        <v>299</v>
      </c>
      <c r="C679" t="s">
        <v>3844</v>
      </c>
      <c r="D679" t="s">
        <v>18081</v>
      </c>
      <c r="E679" t="s">
        <v>18761</v>
      </c>
      <c r="F679" t="s">
        <v>31574</v>
      </c>
      <c r="G679" t="s">
        <v>31581</v>
      </c>
      <c r="H679" t="s">
        <v>31590</v>
      </c>
      <c r="I679" t="s">
        <v>4327</v>
      </c>
      <c r="J679" t="s">
        <v>32284</v>
      </c>
      <c r="K679" t="s">
        <v>41196</v>
      </c>
      <c r="M679" t="s">
        <v>41785</v>
      </c>
      <c r="N679" t="s">
        <v>45095</v>
      </c>
      <c r="O679" t="s">
        <v>45096</v>
      </c>
      <c r="P679">
        <v>0</v>
      </c>
      <c r="Q679">
        <v>0</v>
      </c>
      <c r="R679" t="s">
        <v>45097</v>
      </c>
      <c r="S679" t="s">
        <v>45222</v>
      </c>
      <c r="T679" t="s">
        <v>46932</v>
      </c>
      <c r="U679" t="s">
        <v>48075</v>
      </c>
      <c r="W679" t="s">
        <v>41785</v>
      </c>
      <c r="X679" t="s">
        <v>45098</v>
      </c>
    </row>
    <row r="680" spans="1:24">
      <c r="A680">
        <f>HYPERLINK("https://www.philgeps.gov.ph/GEPSNONPILOT/Tender/SplashBidNoticeAbstractUI.aspx?menuIndex=3&amp;refID=7044877&amp;Result=3","7044877")</f>
        <v>0</v>
      </c>
      <c r="B680" t="s">
        <v>124</v>
      </c>
      <c r="C680" t="s">
        <v>3845</v>
      </c>
      <c r="D680" t="s">
        <v>18065</v>
      </c>
      <c r="E680" t="s">
        <v>3845</v>
      </c>
      <c r="F680" t="s">
        <v>31574</v>
      </c>
      <c r="G680" t="s">
        <v>31581</v>
      </c>
      <c r="H680" t="s">
        <v>31590</v>
      </c>
      <c r="I680" t="s">
        <v>31621</v>
      </c>
      <c r="J680" t="s">
        <v>31741</v>
      </c>
      <c r="K680" t="s">
        <v>41184</v>
      </c>
      <c r="M680" t="s">
        <v>41608</v>
      </c>
      <c r="N680" t="s">
        <v>45095</v>
      </c>
      <c r="O680" t="s">
        <v>45096</v>
      </c>
      <c r="P680">
        <v>0</v>
      </c>
      <c r="Q680">
        <v>0</v>
      </c>
      <c r="R680" t="s">
        <v>45097</v>
      </c>
      <c r="S680" t="s">
        <v>45222</v>
      </c>
      <c r="T680" t="s">
        <v>46934</v>
      </c>
      <c r="U680" t="s">
        <v>48076</v>
      </c>
      <c r="W680" t="s">
        <v>41608</v>
      </c>
      <c r="X680" t="s">
        <v>45098</v>
      </c>
    </row>
    <row r="681" spans="1:24">
      <c r="A681">
        <f>HYPERLINK("https://www.philgeps.gov.ph/GEPSNONPILOT/Tender/SplashBidNoticeAbstractUI.aspx?menuIndex=3&amp;refID=7044861&amp;Result=3","7044861")</f>
        <v>0</v>
      </c>
      <c r="B681" t="s">
        <v>315</v>
      </c>
      <c r="C681" t="s">
        <v>3846</v>
      </c>
      <c r="D681" t="s">
        <v>18083</v>
      </c>
      <c r="E681" t="s">
        <v>18762</v>
      </c>
      <c r="F681" t="s">
        <v>31574</v>
      </c>
      <c r="G681" t="s">
        <v>31582</v>
      </c>
      <c r="H681" t="s">
        <v>31591</v>
      </c>
      <c r="I681" t="s">
        <v>4046</v>
      </c>
      <c r="J681" t="s">
        <v>32285</v>
      </c>
      <c r="K681" t="s">
        <v>41208</v>
      </c>
      <c r="M681" t="s">
        <v>41802</v>
      </c>
      <c r="N681" t="s">
        <v>45095</v>
      </c>
      <c r="O681" t="s">
        <v>45096</v>
      </c>
      <c r="P681">
        <v>0</v>
      </c>
      <c r="Q681">
        <v>0</v>
      </c>
      <c r="R681" t="s">
        <v>45097</v>
      </c>
      <c r="S681" t="s">
        <v>45222</v>
      </c>
      <c r="T681" t="s">
        <v>46905</v>
      </c>
      <c r="U681" t="s">
        <v>48077</v>
      </c>
      <c r="W681" t="s">
        <v>41802</v>
      </c>
      <c r="X681" t="s">
        <v>45098</v>
      </c>
    </row>
    <row r="682" spans="1:24">
      <c r="A682">
        <f>HYPERLINK("https://www.philgeps.gov.ph/GEPSNONPILOT/Tender/SplashBidNoticeAbstractUI.aspx?menuIndex=3&amp;refID=7044867&amp;Result=3","7044867")</f>
        <v>0</v>
      </c>
      <c r="B682" t="s">
        <v>200</v>
      </c>
      <c r="C682" t="s">
        <v>3847</v>
      </c>
      <c r="D682" t="s">
        <v>18070</v>
      </c>
      <c r="E682" t="s">
        <v>18763</v>
      </c>
      <c r="F682" t="s">
        <v>31574</v>
      </c>
      <c r="G682" t="s">
        <v>31581</v>
      </c>
      <c r="H682" t="s">
        <v>31590</v>
      </c>
      <c r="I682" t="s">
        <v>31605</v>
      </c>
      <c r="J682" t="s">
        <v>32286</v>
      </c>
      <c r="K682" t="s">
        <v>41194</v>
      </c>
      <c r="M682" t="s">
        <v>41685</v>
      </c>
      <c r="N682" t="s">
        <v>45095</v>
      </c>
      <c r="O682" t="s">
        <v>45096</v>
      </c>
      <c r="P682">
        <v>0</v>
      </c>
      <c r="Q682">
        <v>0</v>
      </c>
      <c r="R682" t="s">
        <v>45097</v>
      </c>
      <c r="S682" t="s">
        <v>45222</v>
      </c>
      <c r="T682" t="s">
        <v>46913</v>
      </c>
      <c r="U682" t="s">
        <v>48078</v>
      </c>
      <c r="W682" t="s">
        <v>41685</v>
      </c>
      <c r="X682" t="s">
        <v>45098</v>
      </c>
    </row>
    <row r="683" spans="1:24">
      <c r="A683">
        <f>HYPERLINK("https://www.philgeps.gov.ph/GEPSNONPILOT/Tender/SplashBidNoticeAbstractUI.aspx?menuIndex=3&amp;refID=7044878&amp;Result=3","7044878")</f>
        <v>0</v>
      </c>
      <c r="B683" t="s">
        <v>296</v>
      </c>
      <c r="C683" t="s">
        <v>3848</v>
      </c>
      <c r="D683" t="s">
        <v>18040</v>
      </c>
      <c r="E683" t="s">
        <v>18764</v>
      </c>
      <c r="F683" t="s">
        <v>31574</v>
      </c>
      <c r="G683" t="s">
        <v>31581</v>
      </c>
      <c r="H683" t="s">
        <v>31590</v>
      </c>
      <c r="I683" t="s">
        <v>31603</v>
      </c>
      <c r="J683" t="s">
        <v>31741</v>
      </c>
      <c r="K683" t="s">
        <v>41211</v>
      </c>
      <c r="M683" t="s">
        <v>41782</v>
      </c>
      <c r="N683" t="s">
        <v>45095</v>
      </c>
      <c r="O683" t="s">
        <v>45096</v>
      </c>
      <c r="P683">
        <v>0</v>
      </c>
      <c r="Q683">
        <v>0</v>
      </c>
      <c r="R683" t="s">
        <v>45097</v>
      </c>
      <c r="S683" t="s">
        <v>45222</v>
      </c>
      <c r="T683" t="s">
        <v>46918</v>
      </c>
      <c r="U683" t="s">
        <v>48079</v>
      </c>
      <c r="W683" t="s">
        <v>41782</v>
      </c>
      <c r="X683" t="s">
        <v>45098</v>
      </c>
    </row>
    <row r="684" spans="1:24">
      <c r="A684">
        <f>HYPERLINK("https://www.philgeps.gov.ph/GEPSNONPILOT/Tender/SplashBidNoticeAbstractUI.aspx?menuIndex=3&amp;refID=7044882&amp;Result=3","7044882")</f>
        <v>0</v>
      </c>
      <c r="B684" t="s">
        <v>271</v>
      </c>
      <c r="C684" t="s">
        <v>3849</v>
      </c>
      <c r="D684" t="s">
        <v>18046</v>
      </c>
      <c r="E684" t="s">
        <v>18162</v>
      </c>
      <c r="F684" t="s">
        <v>31574</v>
      </c>
      <c r="G684" t="s">
        <v>31582</v>
      </c>
      <c r="H684" t="s">
        <v>31591</v>
      </c>
      <c r="I684" t="s">
        <v>8822</v>
      </c>
      <c r="J684" t="s">
        <v>32287</v>
      </c>
      <c r="K684" t="s">
        <v>41189</v>
      </c>
      <c r="M684" t="s">
        <v>41757</v>
      </c>
      <c r="N684" t="s">
        <v>45095</v>
      </c>
      <c r="O684" t="s">
        <v>45096</v>
      </c>
      <c r="P684">
        <v>0</v>
      </c>
      <c r="Q684">
        <v>0</v>
      </c>
      <c r="R684" t="s">
        <v>45097</v>
      </c>
      <c r="S684" t="s">
        <v>45222</v>
      </c>
      <c r="T684" t="s">
        <v>46954</v>
      </c>
      <c r="U684" t="s">
        <v>48080</v>
      </c>
      <c r="W684" t="s">
        <v>41757</v>
      </c>
      <c r="X684" t="s">
        <v>45098</v>
      </c>
    </row>
    <row r="685" spans="1:24">
      <c r="A685">
        <f>HYPERLINK("https://www.philgeps.gov.ph/GEPSNONPILOT/Tender/SplashBidNoticeAbstractUI.aspx?menuIndex=3&amp;refID=7044876&amp;Result=3","7044876")</f>
        <v>0</v>
      </c>
      <c r="B685" t="s">
        <v>84</v>
      </c>
      <c r="C685" t="s">
        <v>3850</v>
      </c>
      <c r="D685" t="s">
        <v>18022</v>
      </c>
      <c r="E685" t="s">
        <v>18765</v>
      </c>
      <c r="F685" t="s">
        <v>31574</v>
      </c>
      <c r="G685" t="s">
        <v>31581</v>
      </c>
      <c r="H685" t="s">
        <v>31590</v>
      </c>
      <c r="I685" t="s">
        <v>31648</v>
      </c>
      <c r="J685" t="s">
        <v>32288</v>
      </c>
      <c r="K685" t="s">
        <v>41193</v>
      </c>
      <c r="M685" t="s">
        <v>41803</v>
      </c>
      <c r="N685" t="s">
        <v>45095</v>
      </c>
      <c r="O685" t="s">
        <v>45096</v>
      </c>
      <c r="P685">
        <v>0</v>
      </c>
      <c r="Q685">
        <v>0</v>
      </c>
      <c r="R685" t="s">
        <v>45097</v>
      </c>
      <c r="S685" t="s">
        <v>45222</v>
      </c>
      <c r="T685" t="s">
        <v>46966</v>
      </c>
      <c r="U685" t="s">
        <v>48081</v>
      </c>
      <c r="W685" t="s">
        <v>41803</v>
      </c>
      <c r="X685" t="s">
        <v>45098</v>
      </c>
    </row>
    <row r="686" spans="1:24">
      <c r="A686">
        <f>HYPERLINK("https://www.philgeps.gov.ph/GEPSNONPILOT/Tender/SplashBidNoticeAbstractUI.aspx?menuIndex=3&amp;refID=7044891&amp;Result=3","7044891")</f>
        <v>0</v>
      </c>
      <c r="B686" t="s">
        <v>316</v>
      </c>
      <c r="C686" t="s">
        <v>3851</v>
      </c>
      <c r="D686" t="s">
        <v>18065</v>
      </c>
      <c r="E686" t="s">
        <v>18766</v>
      </c>
      <c r="F686" t="s">
        <v>31574</v>
      </c>
      <c r="G686" t="s">
        <v>31581</v>
      </c>
      <c r="H686" t="s">
        <v>31590</v>
      </c>
      <c r="I686" t="s">
        <v>3487</v>
      </c>
      <c r="J686" t="s">
        <v>31782</v>
      </c>
      <c r="K686" t="s">
        <v>41191</v>
      </c>
      <c r="M686" t="s">
        <v>41804</v>
      </c>
      <c r="N686" t="s">
        <v>45095</v>
      </c>
      <c r="O686" t="s">
        <v>45096</v>
      </c>
      <c r="P686">
        <v>0</v>
      </c>
      <c r="Q686">
        <v>0</v>
      </c>
      <c r="R686" t="s">
        <v>45097</v>
      </c>
      <c r="S686" t="s">
        <v>45222</v>
      </c>
      <c r="T686" t="s">
        <v>46920</v>
      </c>
      <c r="U686" t="s">
        <v>48082</v>
      </c>
      <c r="W686" t="s">
        <v>41804</v>
      </c>
      <c r="X686" t="s">
        <v>45098</v>
      </c>
    </row>
    <row r="687" spans="1:24">
      <c r="A687">
        <f>HYPERLINK("https://www.philgeps.gov.ph/GEPSNONPILOT/Tender/SplashBidNoticeAbstractUI.aspx?menuIndex=3&amp;refID=7044879&amp;Result=3","7044879")</f>
        <v>0</v>
      </c>
      <c r="B687" t="s">
        <v>308</v>
      </c>
      <c r="C687" t="s">
        <v>3852</v>
      </c>
      <c r="D687" t="s">
        <v>18056</v>
      </c>
      <c r="E687" t="s">
        <v>18767</v>
      </c>
      <c r="F687" t="s">
        <v>31574</v>
      </c>
      <c r="G687" t="s">
        <v>31584</v>
      </c>
      <c r="H687" t="s">
        <v>31590</v>
      </c>
      <c r="I687" t="s">
        <v>6800</v>
      </c>
      <c r="J687" t="s">
        <v>32289</v>
      </c>
      <c r="K687" t="s">
        <v>41184</v>
      </c>
      <c r="M687" t="s">
        <v>41794</v>
      </c>
      <c r="N687" t="s">
        <v>45095</v>
      </c>
      <c r="O687" t="s">
        <v>45096</v>
      </c>
      <c r="P687">
        <v>0</v>
      </c>
      <c r="Q687">
        <v>0</v>
      </c>
      <c r="R687" t="s">
        <v>45097</v>
      </c>
      <c r="S687" t="s">
        <v>45222</v>
      </c>
      <c r="T687" t="s">
        <v>46911</v>
      </c>
      <c r="U687" t="s">
        <v>48083</v>
      </c>
      <c r="W687" t="s">
        <v>41794</v>
      </c>
      <c r="X687" t="s">
        <v>45098</v>
      </c>
    </row>
    <row r="688" spans="1:24">
      <c r="A688">
        <f>HYPERLINK("https://www.philgeps.gov.ph/GEPSNONPILOT/Tender/SplashBidNoticeAbstractUI.aspx?menuIndex=3&amp;refID=7044884&amp;Result=3","7044884")</f>
        <v>0</v>
      </c>
      <c r="B688" t="s">
        <v>194</v>
      </c>
      <c r="C688" t="s">
        <v>3853</v>
      </c>
      <c r="D688" t="s">
        <v>18065</v>
      </c>
      <c r="E688" t="s">
        <v>18768</v>
      </c>
      <c r="F688" t="s">
        <v>31574</v>
      </c>
      <c r="G688" t="s">
        <v>31583</v>
      </c>
      <c r="H688" t="s">
        <v>31590</v>
      </c>
      <c r="I688" t="s">
        <v>6800</v>
      </c>
      <c r="J688" t="s">
        <v>31843</v>
      </c>
      <c r="K688" t="s">
        <v>41184</v>
      </c>
      <c r="M688" t="s">
        <v>41679</v>
      </c>
      <c r="N688" t="s">
        <v>45095</v>
      </c>
      <c r="O688" t="s">
        <v>45096</v>
      </c>
      <c r="P688">
        <v>0</v>
      </c>
      <c r="Q688">
        <v>0</v>
      </c>
      <c r="R688" t="s">
        <v>45097</v>
      </c>
      <c r="S688" t="s">
        <v>45222</v>
      </c>
      <c r="T688" t="s">
        <v>46923</v>
      </c>
      <c r="U688" t="s">
        <v>47832</v>
      </c>
      <c r="W688" t="s">
        <v>41679</v>
      </c>
      <c r="X688" t="s">
        <v>45098</v>
      </c>
    </row>
    <row r="689" spans="1:24">
      <c r="A689">
        <f>HYPERLINK("https://www.philgeps.gov.ph/GEPSNONPILOT/Tender/SplashBidNoticeAbstractUI.aspx?menuIndex=3&amp;refID=7044888&amp;Result=3","7044888")</f>
        <v>0</v>
      </c>
      <c r="B689" t="s">
        <v>317</v>
      </c>
      <c r="C689" t="s">
        <v>3854</v>
      </c>
      <c r="D689" t="s">
        <v>18031</v>
      </c>
      <c r="E689" t="s">
        <v>18227</v>
      </c>
      <c r="F689" t="s">
        <v>31574</v>
      </c>
      <c r="G689" t="s">
        <v>31582</v>
      </c>
      <c r="H689" t="s">
        <v>31590</v>
      </c>
      <c r="I689" t="s">
        <v>4327</v>
      </c>
      <c r="J689" t="s">
        <v>32290</v>
      </c>
      <c r="K689" t="s">
        <v>41193</v>
      </c>
      <c r="M689" t="s">
        <v>41805</v>
      </c>
      <c r="N689" t="s">
        <v>45095</v>
      </c>
      <c r="O689" t="s">
        <v>45096</v>
      </c>
      <c r="P689">
        <v>0</v>
      </c>
      <c r="Q689">
        <v>0</v>
      </c>
      <c r="R689" t="s">
        <v>45097</v>
      </c>
      <c r="S689" t="s">
        <v>45222</v>
      </c>
      <c r="T689" t="s">
        <v>46926</v>
      </c>
      <c r="U689" t="s">
        <v>48084</v>
      </c>
      <c r="W689" t="s">
        <v>41805</v>
      </c>
      <c r="X689" t="s">
        <v>45098</v>
      </c>
    </row>
    <row r="690" spans="1:24">
      <c r="A690">
        <f>HYPERLINK("https://www.philgeps.gov.ph/GEPSNONPILOT/Tender/SplashBidNoticeAbstractUI.aspx?menuIndex=3&amp;refID=7044896&amp;Result=3","7044896")</f>
        <v>0</v>
      </c>
      <c r="B690" t="s">
        <v>189</v>
      </c>
      <c r="C690" t="s">
        <v>3560</v>
      </c>
      <c r="D690" t="s">
        <v>18081</v>
      </c>
      <c r="E690" t="s">
        <v>18769</v>
      </c>
      <c r="F690" t="s">
        <v>31574</v>
      </c>
      <c r="G690" t="s">
        <v>31581</v>
      </c>
      <c r="H690" t="s">
        <v>31590</v>
      </c>
      <c r="I690" t="s">
        <v>31594</v>
      </c>
      <c r="J690" t="s">
        <v>32291</v>
      </c>
      <c r="K690" t="s">
        <v>41196</v>
      </c>
      <c r="M690" t="s">
        <v>41674</v>
      </c>
      <c r="N690" t="s">
        <v>45095</v>
      </c>
      <c r="O690" t="s">
        <v>45096</v>
      </c>
      <c r="P690">
        <v>0</v>
      </c>
      <c r="Q690">
        <v>0</v>
      </c>
      <c r="R690" t="s">
        <v>45097</v>
      </c>
      <c r="S690" t="s">
        <v>45222</v>
      </c>
      <c r="T690" t="s">
        <v>46911</v>
      </c>
      <c r="U690" t="s">
        <v>48085</v>
      </c>
      <c r="V690" t="s">
        <v>59898</v>
      </c>
      <c r="W690" t="s">
        <v>41674</v>
      </c>
      <c r="X690" t="s">
        <v>45098</v>
      </c>
    </row>
    <row r="691" spans="1:24">
      <c r="A691">
        <f>HYPERLINK("https://www.philgeps.gov.ph/GEPSNONPILOT/Tender/SplashBidNoticeAbstractUI.aspx?menuIndex=3&amp;refID=7044892&amp;Result=3","7044892")</f>
        <v>0</v>
      </c>
      <c r="B691" t="s">
        <v>308</v>
      </c>
      <c r="C691" t="s">
        <v>3852</v>
      </c>
      <c r="D691" t="s">
        <v>18056</v>
      </c>
      <c r="E691" t="s">
        <v>18770</v>
      </c>
      <c r="F691" t="s">
        <v>31574</v>
      </c>
      <c r="G691" t="s">
        <v>31584</v>
      </c>
      <c r="H691" t="s">
        <v>31590</v>
      </c>
      <c r="I691" t="s">
        <v>5717</v>
      </c>
      <c r="J691" t="s">
        <v>32292</v>
      </c>
      <c r="K691" t="s">
        <v>41184</v>
      </c>
      <c r="M691" t="s">
        <v>41794</v>
      </c>
      <c r="N691" t="s">
        <v>45095</v>
      </c>
      <c r="O691" t="s">
        <v>45096</v>
      </c>
      <c r="P691">
        <v>0</v>
      </c>
      <c r="Q691">
        <v>0</v>
      </c>
      <c r="R691" t="s">
        <v>45097</v>
      </c>
      <c r="S691" t="s">
        <v>45222</v>
      </c>
      <c r="T691" t="s">
        <v>46911</v>
      </c>
      <c r="U691" t="s">
        <v>48083</v>
      </c>
      <c r="W691" t="s">
        <v>41794</v>
      </c>
      <c r="X691" t="s">
        <v>45098</v>
      </c>
    </row>
    <row r="692" spans="1:24">
      <c r="A692">
        <f>HYPERLINK("https://www.philgeps.gov.ph/GEPSNONPILOT/Tender/SplashBidNoticeAbstractUI.aspx?menuIndex=3&amp;refID=7044881&amp;Result=3","7044881")</f>
        <v>0</v>
      </c>
      <c r="B692" t="s">
        <v>291</v>
      </c>
      <c r="C692" t="s">
        <v>3855</v>
      </c>
      <c r="D692" t="s">
        <v>18091</v>
      </c>
      <c r="E692" t="s">
        <v>18771</v>
      </c>
      <c r="F692" t="s">
        <v>31574</v>
      </c>
      <c r="G692" t="s">
        <v>31582</v>
      </c>
      <c r="H692" t="s">
        <v>31591</v>
      </c>
      <c r="I692" t="s">
        <v>8822</v>
      </c>
      <c r="J692" t="s">
        <v>32293</v>
      </c>
      <c r="K692" t="s">
        <v>41214</v>
      </c>
      <c r="M692" t="s">
        <v>41777</v>
      </c>
      <c r="N692" t="s">
        <v>45095</v>
      </c>
      <c r="O692" t="s">
        <v>45096</v>
      </c>
      <c r="P692">
        <v>0</v>
      </c>
      <c r="Q692">
        <v>0</v>
      </c>
      <c r="R692" t="s">
        <v>45097</v>
      </c>
      <c r="S692" t="s">
        <v>45222</v>
      </c>
      <c r="T692" t="s">
        <v>46987</v>
      </c>
      <c r="U692" t="s">
        <v>48086</v>
      </c>
      <c r="V692" t="s">
        <v>59918</v>
      </c>
      <c r="W692" t="s">
        <v>41777</v>
      </c>
      <c r="X692" t="s">
        <v>45098</v>
      </c>
    </row>
    <row r="693" spans="1:24">
      <c r="A693">
        <f>HYPERLINK("https://www.philgeps.gov.ph/GEPSNONPILOT/Tender/SplashBidNoticeAbstractUI.aspx?menuIndex=3&amp;refID=7044902&amp;Result=3","7044902")</f>
        <v>0</v>
      </c>
      <c r="B693" t="s">
        <v>318</v>
      </c>
      <c r="C693" t="s">
        <v>3856</v>
      </c>
      <c r="D693" t="s">
        <v>18033</v>
      </c>
      <c r="E693" t="s">
        <v>18772</v>
      </c>
      <c r="F693" t="s">
        <v>31574</v>
      </c>
      <c r="G693" t="s">
        <v>31582</v>
      </c>
      <c r="H693" t="s">
        <v>31591</v>
      </c>
      <c r="I693" t="s">
        <v>8822</v>
      </c>
      <c r="J693" t="s">
        <v>32294</v>
      </c>
      <c r="K693" t="s">
        <v>41191</v>
      </c>
      <c r="M693" t="s">
        <v>41806</v>
      </c>
      <c r="N693" t="s">
        <v>45095</v>
      </c>
      <c r="O693" t="s">
        <v>45096</v>
      </c>
      <c r="P693">
        <v>0</v>
      </c>
      <c r="Q693">
        <v>0</v>
      </c>
      <c r="R693" t="s">
        <v>45097</v>
      </c>
      <c r="S693" t="s">
        <v>45222</v>
      </c>
      <c r="T693" t="s">
        <v>46943</v>
      </c>
      <c r="U693" t="s">
        <v>48087</v>
      </c>
      <c r="W693" t="s">
        <v>41806</v>
      </c>
      <c r="X693" t="s">
        <v>45098</v>
      </c>
    </row>
    <row r="694" spans="1:24">
      <c r="A694">
        <f>HYPERLINK("https://www.philgeps.gov.ph/GEPSNONPILOT/Tender/SplashBidNoticeAbstractUI.aspx?menuIndex=3&amp;refID=7044900&amp;Result=3","7044900")</f>
        <v>0</v>
      </c>
      <c r="B694" t="s">
        <v>308</v>
      </c>
      <c r="C694" t="s">
        <v>3852</v>
      </c>
      <c r="D694" t="s">
        <v>18056</v>
      </c>
      <c r="E694" t="s">
        <v>18773</v>
      </c>
      <c r="F694" t="s">
        <v>31574</v>
      </c>
      <c r="G694" t="s">
        <v>31584</v>
      </c>
      <c r="H694" t="s">
        <v>31590</v>
      </c>
      <c r="I694" t="s">
        <v>5717</v>
      </c>
      <c r="J694" t="s">
        <v>32295</v>
      </c>
      <c r="K694" t="s">
        <v>41184</v>
      </c>
      <c r="M694" t="s">
        <v>41794</v>
      </c>
      <c r="N694" t="s">
        <v>45095</v>
      </c>
      <c r="O694" t="s">
        <v>45096</v>
      </c>
      <c r="P694">
        <v>0</v>
      </c>
      <c r="Q694">
        <v>0</v>
      </c>
      <c r="R694" t="s">
        <v>45097</v>
      </c>
      <c r="S694" t="s">
        <v>45222</v>
      </c>
      <c r="T694" t="s">
        <v>46911</v>
      </c>
      <c r="U694" t="s">
        <v>48083</v>
      </c>
      <c r="W694" t="s">
        <v>41794</v>
      </c>
      <c r="X694" t="s">
        <v>45098</v>
      </c>
    </row>
    <row r="695" spans="1:24">
      <c r="A695">
        <f>HYPERLINK("https://www.philgeps.gov.ph/GEPSNONPILOT/Tender/SplashBidNoticeAbstractUI.aspx?menuIndex=3&amp;refID=7044894&amp;Result=3","7044894")</f>
        <v>0</v>
      </c>
      <c r="B695" t="s">
        <v>182</v>
      </c>
      <c r="C695" t="s">
        <v>3857</v>
      </c>
      <c r="D695" t="s">
        <v>18060</v>
      </c>
      <c r="E695" t="s">
        <v>18774</v>
      </c>
      <c r="F695" t="s">
        <v>31574</v>
      </c>
      <c r="G695" t="s">
        <v>31581</v>
      </c>
      <c r="H695" t="s">
        <v>31591</v>
      </c>
      <c r="I695" t="s">
        <v>8822</v>
      </c>
      <c r="J695" t="s">
        <v>32296</v>
      </c>
      <c r="K695" t="s">
        <v>41190</v>
      </c>
      <c r="M695" t="s">
        <v>41667</v>
      </c>
      <c r="N695" t="s">
        <v>45095</v>
      </c>
      <c r="O695" t="s">
        <v>45096</v>
      </c>
      <c r="P695">
        <v>0</v>
      </c>
      <c r="Q695">
        <v>0</v>
      </c>
      <c r="R695" t="s">
        <v>45097</v>
      </c>
      <c r="S695" t="s">
        <v>45222</v>
      </c>
      <c r="T695" t="s">
        <v>46918</v>
      </c>
      <c r="U695" t="s">
        <v>48088</v>
      </c>
      <c r="W695" t="s">
        <v>41667</v>
      </c>
      <c r="X695" t="s">
        <v>45098</v>
      </c>
    </row>
    <row r="696" spans="1:24">
      <c r="A696">
        <f>HYPERLINK("https://www.philgeps.gov.ph/GEPSNONPILOT/Tender/SplashBidNoticeAbstractUI.aspx?menuIndex=3&amp;refID=7044901&amp;Result=3","7044901")</f>
        <v>0</v>
      </c>
      <c r="B696" t="s">
        <v>319</v>
      </c>
      <c r="C696" t="s">
        <v>3858</v>
      </c>
      <c r="D696" t="s">
        <v>18065</v>
      </c>
      <c r="E696" t="s">
        <v>18775</v>
      </c>
      <c r="F696" t="s">
        <v>31574</v>
      </c>
      <c r="G696" t="s">
        <v>31581</v>
      </c>
      <c r="H696" t="s">
        <v>31590</v>
      </c>
      <c r="I696" t="s">
        <v>31602</v>
      </c>
      <c r="J696" t="s">
        <v>32297</v>
      </c>
      <c r="K696" t="s">
        <v>41193</v>
      </c>
      <c r="M696" t="s">
        <v>41807</v>
      </c>
      <c r="N696" t="s">
        <v>45095</v>
      </c>
      <c r="O696" t="s">
        <v>45096</v>
      </c>
      <c r="P696">
        <v>0</v>
      </c>
      <c r="Q696">
        <v>0</v>
      </c>
      <c r="R696" t="s">
        <v>45097</v>
      </c>
      <c r="S696" t="s">
        <v>45222</v>
      </c>
      <c r="T696" t="s">
        <v>46918</v>
      </c>
      <c r="U696" t="s">
        <v>48089</v>
      </c>
      <c r="W696" t="s">
        <v>61662</v>
      </c>
      <c r="X696" t="s">
        <v>45098</v>
      </c>
    </row>
    <row r="697" spans="1:24">
      <c r="A697">
        <f>HYPERLINK("https://www.philgeps.gov.ph/GEPSNONPILOT/Tender/SplashBidNoticeAbstractUI.aspx?menuIndex=3&amp;refID=7044899&amp;Result=3","7044899")</f>
        <v>0</v>
      </c>
      <c r="B697" t="s">
        <v>290</v>
      </c>
      <c r="C697" t="s">
        <v>3859</v>
      </c>
      <c r="D697" t="s">
        <v>18043</v>
      </c>
      <c r="E697" t="s">
        <v>18776</v>
      </c>
      <c r="F697" t="s">
        <v>31574</v>
      </c>
      <c r="G697" t="s">
        <v>31581</v>
      </c>
      <c r="H697" t="s">
        <v>31590</v>
      </c>
      <c r="I697" t="s">
        <v>31608</v>
      </c>
      <c r="J697" t="s">
        <v>32298</v>
      </c>
      <c r="K697" t="s">
        <v>41193</v>
      </c>
      <c r="M697" t="s">
        <v>41776</v>
      </c>
      <c r="N697" t="s">
        <v>45095</v>
      </c>
      <c r="O697" t="s">
        <v>45096</v>
      </c>
      <c r="P697">
        <v>0</v>
      </c>
      <c r="Q697">
        <v>0</v>
      </c>
      <c r="R697" t="s">
        <v>45097</v>
      </c>
      <c r="S697" t="s">
        <v>45222</v>
      </c>
      <c r="T697" t="s">
        <v>46926</v>
      </c>
      <c r="U697" t="s">
        <v>48030</v>
      </c>
      <c r="W697" t="s">
        <v>41776</v>
      </c>
      <c r="X697" t="s">
        <v>45098</v>
      </c>
    </row>
    <row r="698" spans="1:24">
      <c r="A698">
        <f>HYPERLINK("https://www.philgeps.gov.ph/GEPSNONPILOT/Tender/SplashBidNoticeAbstractUI.aspx?menuIndex=3&amp;refID=7044897&amp;Result=3","7044897")</f>
        <v>0</v>
      </c>
      <c r="B698" t="s">
        <v>320</v>
      </c>
      <c r="C698" t="s">
        <v>3860</v>
      </c>
      <c r="D698" t="s">
        <v>18070</v>
      </c>
      <c r="E698" t="s">
        <v>18777</v>
      </c>
      <c r="F698" t="s">
        <v>31574</v>
      </c>
      <c r="G698" t="s">
        <v>31583</v>
      </c>
      <c r="H698" t="s">
        <v>31590</v>
      </c>
      <c r="I698" t="s">
        <v>4046</v>
      </c>
      <c r="J698" t="s">
        <v>32299</v>
      </c>
      <c r="K698" t="s">
        <v>41186</v>
      </c>
      <c r="M698" t="s">
        <v>41808</v>
      </c>
      <c r="N698" t="s">
        <v>45095</v>
      </c>
      <c r="O698" t="s">
        <v>45096</v>
      </c>
      <c r="P698">
        <v>0</v>
      </c>
      <c r="Q698">
        <v>0</v>
      </c>
      <c r="R698" t="s">
        <v>45097</v>
      </c>
      <c r="S698" t="s">
        <v>45222</v>
      </c>
      <c r="T698" t="s">
        <v>46966</v>
      </c>
      <c r="U698" t="s">
        <v>48090</v>
      </c>
      <c r="W698" t="s">
        <v>41808</v>
      </c>
      <c r="X698" t="s">
        <v>45098</v>
      </c>
    </row>
    <row r="699" spans="1:24">
      <c r="A699">
        <f>HYPERLINK("https://www.philgeps.gov.ph/GEPSNONPILOT/Tender/SplashBidNoticeAbstractUI.aspx?menuIndex=3&amp;refID=7044904&amp;Result=3","7044904")</f>
        <v>0</v>
      </c>
      <c r="B699" t="s">
        <v>200</v>
      </c>
      <c r="C699" t="s">
        <v>3861</v>
      </c>
      <c r="D699" t="s">
        <v>18070</v>
      </c>
      <c r="E699" t="s">
        <v>18778</v>
      </c>
      <c r="F699" t="s">
        <v>31574</v>
      </c>
      <c r="G699" t="s">
        <v>31581</v>
      </c>
      <c r="H699" t="s">
        <v>31590</v>
      </c>
      <c r="I699" t="s">
        <v>3487</v>
      </c>
      <c r="J699" t="s">
        <v>32000</v>
      </c>
      <c r="K699" t="s">
        <v>41194</v>
      </c>
      <c r="M699" t="s">
        <v>41685</v>
      </c>
      <c r="N699" t="s">
        <v>45095</v>
      </c>
      <c r="O699" t="s">
        <v>45096</v>
      </c>
      <c r="P699">
        <v>0</v>
      </c>
      <c r="Q699">
        <v>0</v>
      </c>
      <c r="R699" t="s">
        <v>45097</v>
      </c>
      <c r="S699" t="s">
        <v>45222</v>
      </c>
      <c r="T699" t="s">
        <v>46913</v>
      </c>
      <c r="U699" t="s">
        <v>48091</v>
      </c>
      <c r="W699" t="s">
        <v>41685</v>
      </c>
      <c r="X699" t="s">
        <v>45098</v>
      </c>
    </row>
    <row r="700" spans="1:24">
      <c r="A700">
        <f>HYPERLINK("https://www.philgeps.gov.ph/GEPSNONPILOT/Tender/SplashBidNoticeAbstractUI.aspx?menuIndex=3&amp;refID=7044883&amp;Result=3","7044883")</f>
        <v>0</v>
      </c>
      <c r="B700" t="s">
        <v>200</v>
      </c>
      <c r="C700" t="s">
        <v>3862</v>
      </c>
      <c r="D700" t="s">
        <v>18070</v>
      </c>
      <c r="E700" t="s">
        <v>18779</v>
      </c>
      <c r="F700" t="s">
        <v>31574</v>
      </c>
      <c r="G700" t="s">
        <v>31581</v>
      </c>
      <c r="H700" t="s">
        <v>31590</v>
      </c>
      <c r="I700" t="s">
        <v>6800</v>
      </c>
      <c r="J700" t="s">
        <v>32300</v>
      </c>
      <c r="K700" t="s">
        <v>41194</v>
      </c>
      <c r="M700" t="s">
        <v>41685</v>
      </c>
      <c r="N700" t="s">
        <v>45095</v>
      </c>
      <c r="O700" t="s">
        <v>45096</v>
      </c>
      <c r="P700">
        <v>0</v>
      </c>
      <c r="Q700">
        <v>0</v>
      </c>
      <c r="R700" t="s">
        <v>45097</v>
      </c>
      <c r="S700" t="s">
        <v>45222</v>
      </c>
      <c r="T700" t="s">
        <v>46913</v>
      </c>
      <c r="U700" t="s">
        <v>48092</v>
      </c>
      <c r="W700" t="s">
        <v>41685</v>
      </c>
      <c r="X700" t="s">
        <v>45098</v>
      </c>
    </row>
    <row r="701" spans="1:24">
      <c r="A701">
        <f>HYPERLINK("https://www.philgeps.gov.ph/GEPSNONPILOT/Tender/SplashBidNoticeAbstractUI.aspx?menuIndex=3&amp;refID=7044889&amp;Result=3","7044889")</f>
        <v>0</v>
      </c>
      <c r="B701" t="s">
        <v>292</v>
      </c>
      <c r="C701" t="s">
        <v>3863</v>
      </c>
      <c r="D701" t="s">
        <v>18022</v>
      </c>
      <c r="E701" t="s">
        <v>18720</v>
      </c>
      <c r="F701" t="s">
        <v>31574</v>
      </c>
      <c r="G701" t="s">
        <v>31581</v>
      </c>
      <c r="H701" t="s">
        <v>31590</v>
      </c>
      <c r="I701" t="s">
        <v>31603</v>
      </c>
      <c r="J701" t="s">
        <v>31789</v>
      </c>
      <c r="K701" t="s">
        <v>41190</v>
      </c>
      <c r="M701" t="s">
        <v>41778</v>
      </c>
      <c r="N701" t="s">
        <v>45095</v>
      </c>
      <c r="O701" t="s">
        <v>45096</v>
      </c>
      <c r="P701">
        <v>0</v>
      </c>
      <c r="Q701">
        <v>0</v>
      </c>
      <c r="R701" t="s">
        <v>45097</v>
      </c>
      <c r="S701" t="s">
        <v>45222</v>
      </c>
      <c r="T701" t="s">
        <v>46955</v>
      </c>
      <c r="U701" t="s">
        <v>48093</v>
      </c>
      <c r="W701" t="s">
        <v>41778</v>
      </c>
      <c r="X701" t="s">
        <v>45098</v>
      </c>
    </row>
    <row r="702" spans="1:24">
      <c r="A702">
        <f>HYPERLINK("https://www.philgeps.gov.ph/GEPSNONPILOT/Tender/SplashBidNoticeAbstractUI.aspx?menuIndex=3&amp;refID=7044890&amp;Result=3","7044890")</f>
        <v>0</v>
      </c>
      <c r="B702" t="s">
        <v>321</v>
      </c>
      <c r="C702" t="s">
        <v>3864</v>
      </c>
      <c r="D702" t="s">
        <v>18086</v>
      </c>
      <c r="E702" t="s">
        <v>18780</v>
      </c>
      <c r="F702" t="s">
        <v>31574</v>
      </c>
      <c r="G702" t="s">
        <v>31581</v>
      </c>
      <c r="H702" t="s">
        <v>31590</v>
      </c>
      <c r="I702" t="s">
        <v>3539</v>
      </c>
      <c r="J702" t="s">
        <v>32301</v>
      </c>
      <c r="K702" t="s">
        <v>41223</v>
      </c>
      <c r="M702" t="s">
        <v>41809</v>
      </c>
      <c r="N702" t="s">
        <v>45095</v>
      </c>
      <c r="O702" t="s">
        <v>45096</v>
      </c>
      <c r="P702">
        <v>0</v>
      </c>
      <c r="Q702">
        <v>0</v>
      </c>
      <c r="R702" t="s">
        <v>45097</v>
      </c>
      <c r="S702" t="s">
        <v>45222</v>
      </c>
      <c r="T702" t="s">
        <v>46913</v>
      </c>
      <c r="U702" t="s">
        <v>48094</v>
      </c>
      <c r="W702" t="s">
        <v>41809</v>
      </c>
      <c r="X702" t="s">
        <v>45098</v>
      </c>
    </row>
    <row r="703" spans="1:24">
      <c r="A703">
        <f>HYPERLINK("https://www.philgeps.gov.ph/GEPSNONPILOT/Tender/SplashBidNoticeAbstractUI.aspx?menuIndex=3&amp;refID=7044903&amp;Result=3","7044903")</f>
        <v>0</v>
      </c>
      <c r="B703" t="s">
        <v>322</v>
      </c>
      <c r="C703" t="s">
        <v>3865</v>
      </c>
      <c r="D703" t="s">
        <v>18079</v>
      </c>
      <c r="E703" t="s">
        <v>18781</v>
      </c>
      <c r="F703" t="s">
        <v>31574</v>
      </c>
      <c r="G703" t="s">
        <v>31582</v>
      </c>
      <c r="H703" t="s">
        <v>31590</v>
      </c>
      <c r="I703" t="s">
        <v>3489</v>
      </c>
      <c r="J703" t="s">
        <v>32302</v>
      </c>
      <c r="K703" t="s">
        <v>41190</v>
      </c>
      <c r="M703" t="s">
        <v>41810</v>
      </c>
      <c r="N703" t="s">
        <v>45095</v>
      </c>
      <c r="O703" t="s">
        <v>45096</v>
      </c>
      <c r="P703">
        <v>0</v>
      </c>
      <c r="Q703">
        <v>0</v>
      </c>
      <c r="R703" t="s">
        <v>45097</v>
      </c>
      <c r="S703" t="s">
        <v>45222</v>
      </c>
      <c r="T703" t="s">
        <v>46905</v>
      </c>
      <c r="U703" t="s">
        <v>48095</v>
      </c>
      <c r="W703" t="s">
        <v>41810</v>
      </c>
      <c r="X703" t="s">
        <v>45098</v>
      </c>
    </row>
    <row r="704" spans="1:24">
      <c r="A704">
        <f>HYPERLINK("https://www.philgeps.gov.ph/GEPSNONPILOT/Tender/SplashBidNoticeAbstractUI.aspx?menuIndex=3&amp;refID=7044907&amp;Result=3","7044907")</f>
        <v>0</v>
      </c>
      <c r="B704" t="s">
        <v>38</v>
      </c>
      <c r="C704" t="s">
        <v>3866</v>
      </c>
      <c r="D704" t="s">
        <v>18033</v>
      </c>
      <c r="E704" t="s">
        <v>18782</v>
      </c>
      <c r="F704" t="s">
        <v>31574</v>
      </c>
      <c r="G704" t="s">
        <v>31582</v>
      </c>
      <c r="H704" t="s">
        <v>31590</v>
      </c>
      <c r="I704" t="s">
        <v>3489</v>
      </c>
      <c r="J704" t="s">
        <v>32303</v>
      </c>
      <c r="K704" t="s">
        <v>41194</v>
      </c>
      <c r="M704" t="s">
        <v>41663</v>
      </c>
      <c r="N704" t="s">
        <v>45095</v>
      </c>
      <c r="O704" t="s">
        <v>45096</v>
      </c>
      <c r="P704">
        <v>0</v>
      </c>
      <c r="Q704">
        <v>0</v>
      </c>
      <c r="R704" t="s">
        <v>45097</v>
      </c>
      <c r="S704" t="s">
        <v>45222</v>
      </c>
      <c r="T704" t="s">
        <v>46914</v>
      </c>
      <c r="U704" t="s">
        <v>48096</v>
      </c>
      <c r="V704" t="s">
        <v>59888</v>
      </c>
      <c r="W704" t="s">
        <v>41663</v>
      </c>
      <c r="X704" t="s">
        <v>45098</v>
      </c>
    </row>
    <row r="705" spans="1:24">
      <c r="A705">
        <f>HYPERLINK("https://www.philgeps.gov.ph/GEPSNONPILOT/Tender/SplashBidNoticeAbstractUI.aspx?menuIndex=3&amp;refID=7044925&amp;Result=3","7044925")</f>
        <v>0</v>
      </c>
      <c r="B705" t="s">
        <v>323</v>
      </c>
      <c r="C705" t="s">
        <v>3867</v>
      </c>
      <c r="D705" t="s">
        <v>18022</v>
      </c>
      <c r="E705" t="s">
        <v>18783</v>
      </c>
      <c r="F705" t="s">
        <v>31574</v>
      </c>
      <c r="G705" t="s">
        <v>31581</v>
      </c>
      <c r="H705" t="s">
        <v>31590</v>
      </c>
      <c r="I705" t="s">
        <v>31649</v>
      </c>
      <c r="J705" t="s">
        <v>32304</v>
      </c>
      <c r="K705" t="s">
        <v>41196</v>
      </c>
      <c r="M705" t="s">
        <v>41811</v>
      </c>
      <c r="N705" t="s">
        <v>45095</v>
      </c>
      <c r="O705" t="s">
        <v>45096</v>
      </c>
      <c r="P705">
        <v>0</v>
      </c>
      <c r="Q705">
        <v>0</v>
      </c>
      <c r="R705" t="s">
        <v>45097</v>
      </c>
      <c r="S705" t="s">
        <v>45222</v>
      </c>
      <c r="T705" t="s">
        <v>46913</v>
      </c>
      <c r="U705" t="s">
        <v>48097</v>
      </c>
      <c r="V705" t="s">
        <v>59886</v>
      </c>
      <c r="W705" t="s">
        <v>41811</v>
      </c>
      <c r="X705" t="s">
        <v>45098</v>
      </c>
    </row>
    <row r="706" spans="1:24">
      <c r="A706">
        <f>HYPERLINK("https://www.philgeps.gov.ph/GEPSNONPILOT/Tender/SplashBidNoticeAbstractUI.aspx?menuIndex=3&amp;refID=7044908&amp;Result=3","7044908")</f>
        <v>0</v>
      </c>
      <c r="B706" t="s">
        <v>324</v>
      </c>
      <c r="C706" t="s">
        <v>3868</v>
      </c>
      <c r="D706" t="s">
        <v>18054</v>
      </c>
      <c r="E706" t="s">
        <v>18784</v>
      </c>
      <c r="F706" t="s">
        <v>31574</v>
      </c>
      <c r="G706" t="s">
        <v>31581</v>
      </c>
      <c r="H706" t="s">
        <v>31590</v>
      </c>
      <c r="I706" t="s">
        <v>3487</v>
      </c>
      <c r="J706" t="s">
        <v>32305</v>
      </c>
      <c r="K706" t="s">
        <v>41196</v>
      </c>
      <c r="M706" t="s">
        <v>41812</v>
      </c>
      <c r="N706" t="s">
        <v>45095</v>
      </c>
      <c r="O706" t="s">
        <v>45096</v>
      </c>
      <c r="P706">
        <v>0</v>
      </c>
      <c r="Q706">
        <v>0</v>
      </c>
      <c r="R706" t="s">
        <v>45097</v>
      </c>
      <c r="S706" t="s">
        <v>45222</v>
      </c>
      <c r="T706" t="s">
        <v>46918</v>
      </c>
      <c r="U706" t="s">
        <v>48098</v>
      </c>
      <c r="W706" t="s">
        <v>41812</v>
      </c>
      <c r="X706" t="s">
        <v>45098</v>
      </c>
    </row>
    <row r="707" spans="1:24">
      <c r="A707">
        <f>HYPERLINK("https://www.philgeps.gov.ph/GEPSNONPILOT/Tender/SplashBidNoticeAbstractUI.aspx?menuIndex=3&amp;refID=7044906&amp;Result=3","7044906")</f>
        <v>0</v>
      </c>
      <c r="B707" t="s">
        <v>325</v>
      </c>
      <c r="C707" t="s">
        <v>3869</v>
      </c>
      <c r="D707" t="s">
        <v>18022</v>
      </c>
      <c r="E707" t="s">
        <v>18785</v>
      </c>
      <c r="F707" t="s">
        <v>31574</v>
      </c>
      <c r="G707" t="s">
        <v>31581</v>
      </c>
      <c r="H707" t="s">
        <v>31590</v>
      </c>
      <c r="I707" t="s">
        <v>3487</v>
      </c>
      <c r="J707" t="s">
        <v>31728</v>
      </c>
      <c r="K707" t="s">
        <v>41184</v>
      </c>
      <c r="M707" t="s">
        <v>41813</v>
      </c>
      <c r="N707" t="s">
        <v>45095</v>
      </c>
      <c r="O707" t="s">
        <v>45096</v>
      </c>
      <c r="P707">
        <v>0</v>
      </c>
      <c r="Q707">
        <v>0</v>
      </c>
      <c r="R707" t="s">
        <v>45097</v>
      </c>
      <c r="S707" t="s">
        <v>45222</v>
      </c>
      <c r="T707" t="s">
        <v>46904</v>
      </c>
      <c r="U707" t="s">
        <v>48099</v>
      </c>
      <c r="W707" t="s">
        <v>41813</v>
      </c>
      <c r="X707" t="s">
        <v>45098</v>
      </c>
    </row>
    <row r="708" spans="1:24">
      <c r="A708">
        <f>HYPERLINK("https://www.philgeps.gov.ph/GEPSNONPILOT/Tender/SplashBidNoticeAbstractUI.aspx?menuIndex=3&amp;refID=7044920&amp;Result=3","7044920")</f>
        <v>0</v>
      </c>
      <c r="B708" t="s">
        <v>50</v>
      </c>
      <c r="C708" t="s">
        <v>3870</v>
      </c>
      <c r="D708" t="s">
        <v>18042</v>
      </c>
      <c r="E708" t="s">
        <v>18786</v>
      </c>
      <c r="F708" t="s">
        <v>31574</v>
      </c>
      <c r="G708" t="s">
        <v>31582</v>
      </c>
      <c r="H708" t="s">
        <v>31590</v>
      </c>
      <c r="I708" t="s">
        <v>6800</v>
      </c>
      <c r="J708" t="s">
        <v>32306</v>
      </c>
      <c r="K708" t="s">
        <v>41186</v>
      </c>
      <c r="M708" t="s">
        <v>41533</v>
      </c>
      <c r="N708" t="s">
        <v>45095</v>
      </c>
      <c r="O708" t="s">
        <v>45096</v>
      </c>
      <c r="P708">
        <v>0</v>
      </c>
      <c r="Q708">
        <v>0</v>
      </c>
      <c r="R708" t="s">
        <v>45097</v>
      </c>
      <c r="S708" t="s">
        <v>45222</v>
      </c>
      <c r="T708" t="s">
        <v>46916</v>
      </c>
      <c r="U708" t="s">
        <v>48100</v>
      </c>
      <c r="W708" t="s">
        <v>41533</v>
      </c>
      <c r="X708" t="s">
        <v>45098</v>
      </c>
    </row>
    <row r="709" spans="1:24">
      <c r="A709">
        <f>HYPERLINK("https://www.philgeps.gov.ph/GEPSNONPILOT/Tender/SplashBidNoticeAbstractUI.aspx?menuIndex=3&amp;refID=7044921&amp;Result=3","7044921")</f>
        <v>0</v>
      </c>
      <c r="B709" t="s">
        <v>326</v>
      </c>
      <c r="C709" t="s">
        <v>3871</v>
      </c>
      <c r="D709" t="s">
        <v>18050</v>
      </c>
      <c r="E709" t="s">
        <v>18787</v>
      </c>
      <c r="F709" t="s">
        <v>31574</v>
      </c>
      <c r="G709" t="s">
        <v>31582</v>
      </c>
      <c r="H709" t="s">
        <v>31590</v>
      </c>
      <c r="I709" t="s">
        <v>3651</v>
      </c>
      <c r="J709" t="s">
        <v>32307</v>
      </c>
      <c r="K709" t="s">
        <v>41196</v>
      </c>
      <c r="M709" t="s">
        <v>41814</v>
      </c>
      <c r="N709" t="s">
        <v>45095</v>
      </c>
      <c r="O709" t="s">
        <v>45096</v>
      </c>
      <c r="P709">
        <v>0</v>
      </c>
      <c r="Q709">
        <v>0</v>
      </c>
      <c r="R709" t="s">
        <v>45097</v>
      </c>
      <c r="S709" t="s">
        <v>45222</v>
      </c>
      <c r="T709" t="s">
        <v>46937</v>
      </c>
      <c r="U709" t="s">
        <v>48101</v>
      </c>
      <c r="W709" t="s">
        <v>41814</v>
      </c>
      <c r="X709" t="s">
        <v>45098</v>
      </c>
    </row>
    <row r="710" spans="1:24">
      <c r="A710">
        <f>HYPERLINK("https://www.philgeps.gov.ph/GEPSNONPILOT/Tender/SplashBidNoticeAbstractUI.aspx?menuIndex=3&amp;refID=7044910&amp;Result=3","7044910")</f>
        <v>0</v>
      </c>
      <c r="B710" t="s">
        <v>327</v>
      </c>
      <c r="C710" t="s">
        <v>3872</v>
      </c>
      <c r="D710" t="s">
        <v>18040</v>
      </c>
      <c r="E710" t="s">
        <v>18788</v>
      </c>
      <c r="F710" t="s">
        <v>31574</v>
      </c>
      <c r="G710" t="s">
        <v>31582</v>
      </c>
      <c r="H710" t="s">
        <v>31591</v>
      </c>
      <c r="I710" t="s">
        <v>8822</v>
      </c>
      <c r="J710" t="s">
        <v>31727</v>
      </c>
      <c r="K710" t="s">
        <v>41186</v>
      </c>
      <c r="M710" t="s">
        <v>41815</v>
      </c>
      <c r="N710" t="s">
        <v>45095</v>
      </c>
      <c r="O710" t="s">
        <v>45096</v>
      </c>
      <c r="P710">
        <v>0</v>
      </c>
      <c r="Q710">
        <v>0</v>
      </c>
      <c r="R710" t="s">
        <v>45097</v>
      </c>
      <c r="S710" t="s">
        <v>45222</v>
      </c>
      <c r="T710" t="s">
        <v>46922</v>
      </c>
      <c r="U710" t="s">
        <v>48102</v>
      </c>
      <c r="W710" t="s">
        <v>41815</v>
      </c>
      <c r="X710" t="s">
        <v>45098</v>
      </c>
    </row>
    <row r="711" spans="1:24">
      <c r="A711">
        <f>HYPERLINK("https://www.philgeps.gov.ph/GEPSNONPILOT/Tender/SplashBidNoticeAbstractUI.aspx?menuIndex=3&amp;refID=7044919&amp;Result=3","7044919")</f>
        <v>0</v>
      </c>
      <c r="B711" t="s">
        <v>328</v>
      </c>
      <c r="C711" t="s">
        <v>3873</v>
      </c>
      <c r="D711" t="s">
        <v>18056</v>
      </c>
      <c r="E711" t="s">
        <v>18789</v>
      </c>
      <c r="F711" t="s">
        <v>31574</v>
      </c>
      <c r="G711" t="s">
        <v>31581</v>
      </c>
      <c r="H711" t="s">
        <v>31590</v>
      </c>
      <c r="I711" t="s">
        <v>3873</v>
      </c>
      <c r="J711" t="s">
        <v>32308</v>
      </c>
      <c r="K711" t="s">
        <v>41186</v>
      </c>
      <c r="M711" t="s">
        <v>41816</v>
      </c>
      <c r="N711" t="s">
        <v>45095</v>
      </c>
      <c r="O711" t="s">
        <v>45096</v>
      </c>
      <c r="P711">
        <v>0</v>
      </c>
      <c r="Q711">
        <v>0</v>
      </c>
      <c r="R711" t="s">
        <v>45097</v>
      </c>
      <c r="S711" t="s">
        <v>45222</v>
      </c>
      <c r="T711" t="s">
        <v>46955</v>
      </c>
      <c r="U711" t="s">
        <v>48103</v>
      </c>
      <c r="W711" t="s">
        <v>41816</v>
      </c>
      <c r="X711" t="s">
        <v>45098</v>
      </c>
    </row>
    <row r="712" spans="1:24">
      <c r="A712">
        <f>HYPERLINK("https://www.philgeps.gov.ph/GEPSNONPILOT/Tender/SplashBidNoticeAbstractUI.aspx?menuIndex=3&amp;refID=7044922&amp;Result=3","7044922")</f>
        <v>0</v>
      </c>
      <c r="B712" t="s">
        <v>329</v>
      </c>
      <c r="C712" t="s">
        <v>3874</v>
      </c>
      <c r="D712" t="s">
        <v>18092</v>
      </c>
      <c r="E712" t="s">
        <v>18790</v>
      </c>
      <c r="F712" t="s">
        <v>31574</v>
      </c>
      <c r="G712" t="s">
        <v>31584</v>
      </c>
      <c r="H712" t="s">
        <v>31590</v>
      </c>
      <c r="I712" t="s">
        <v>5717</v>
      </c>
      <c r="J712" t="s">
        <v>31743</v>
      </c>
      <c r="K712" t="s">
        <v>41186</v>
      </c>
      <c r="M712" t="s">
        <v>41817</v>
      </c>
      <c r="N712" t="s">
        <v>45095</v>
      </c>
      <c r="O712" t="s">
        <v>45096</v>
      </c>
      <c r="P712">
        <v>0</v>
      </c>
      <c r="Q712">
        <v>0</v>
      </c>
      <c r="R712" t="s">
        <v>45097</v>
      </c>
      <c r="S712" t="s">
        <v>45222</v>
      </c>
      <c r="T712" t="s">
        <v>46904</v>
      </c>
      <c r="U712" t="s">
        <v>48104</v>
      </c>
      <c r="W712" t="s">
        <v>41817</v>
      </c>
      <c r="X712" t="s">
        <v>45098</v>
      </c>
    </row>
    <row r="713" spans="1:24">
      <c r="A713">
        <f>HYPERLINK("https://www.philgeps.gov.ph/GEPSNONPILOT/Tender/SplashBidNoticeAbstractUI.aspx?menuIndex=3&amp;refID=7044924&amp;Result=3","7044924")</f>
        <v>0</v>
      </c>
      <c r="B713" t="s">
        <v>290</v>
      </c>
      <c r="C713" t="s">
        <v>3875</v>
      </c>
      <c r="D713" t="s">
        <v>18043</v>
      </c>
      <c r="E713" t="s">
        <v>18791</v>
      </c>
      <c r="F713" t="s">
        <v>31574</v>
      </c>
      <c r="G713" t="s">
        <v>31581</v>
      </c>
      <c r="H713" t="s">
        <v>31590</v>
      </c>
      <c r="I713" t="s">
        <v>3539</v>
      </c>
      <c r="J713" t="s">
        <v>32309</v>
      </c>
      <c r="K713" t="s">
        <v>41193</v>
      </c>
      <c r="M713" t="s">
        <v>41776</v>
      </c>
      <c r="N713" t="s">
        <v>45095</v>
      </c>
      <c r="O713" t="s">
        <v>45096</v>
      </c>
      <c r="P713">
        <v>0</v>
      </c>
      <c r="Q713">
        <v>0</v>
      </c>
      <c r="R713" t="s">
        <v>45097</v>
      </c>
      <c r="S713" t="s">
        <v>45222</v>
      </c>
      <c r="T713" t="s">
        <v>46926</v>
      </c>
      <c r="U713" t="s">
        <v>48030</v>
      </c>
      <c r="W713" t="s">
        <v>41776</v>
      </c>
      <c r="X713" t="s">
        <v>45098</v>
      </c>
    </row>
    <row r="714" spans="1:24">
      <c r="A714">
        <f>HYPERLINK("https://www.philgeps.gov.ph/GEPSNONPILOT/Tender/SplashBidNoticeAbstractUI.aspx?menuIndex=3&amp;refID=7044918&amp;Result=3","7044918")</f>
        <v>0</v>
      </c>
      <c r="B714" t="s">
        <v>330</v>
      </c>
      <c r="C714" t="s">
        <v>3876</v>
      </c>
      <c r="D714" t="s">
        <v>18045</v>
      </c>
      <c r="E714" t="s">
        <v>18533</v>
      </c>
      <c r="F714" t="s">
        <v>31574</v>
      </c>
      <c r="G714" t="s">
        <v>31582</v>
      </c>
      <c r="H714" t="s">
        <v>31590</v>
      </c>
      <c r="I714" t="s">
        <v>4046</v>
      </c>
      <c r="J714" t="s">
        <v>32077</v>
      </c>
      <c r="K714" t="s">
        <v>41186</v>
      </c>
      <c r="M714" t="s">
        <v>41818</v>
      </c>
      <c r="N714" t="s">
        <v>45095</v>
      </c>
      <c r="O714" t="s">
        <v>45096</v>
      </c>
      <c r="P714">
        <v>0</v>
      </c>
      <c r="Q714">
        <v>0</v>
      </c>
      <c r="R714" t="s">
        <v>45097</v>
      </c>
      <c r="S714" t="s">
        <v>45222</v>
      </c>
      <c r="T714" t="s">
        <v>46927</v>
      </c>
      <c r="U714" t="s">
        <v>48105</v>
      </c>
      <c r="W714" t="s">
        <v>41818</v>
      </c>
      <c r="X714" t="s">
        <v>45098</v>
      </c>
    </row>
    <row r="715" spans="1:24">
      <c r="A715">
        <f>HYPERLINK("https://www.philgeps.gov.ph/GEPSNONPILOT/Tender/SplashBidNoticeAbstractUI.aspx?menuIndex=3&amp;refID=7044916&amp;Result=3","7044916")</f>
        <v>0</v>
      </c>
      <c r="B715" t="s">
        <v>209</v>
      </c>
      <c r="C715" t="s">
        <v>3877</v>
      </c>
      <c r="D715" t="s">
        <v>18028</v>
      </c>
      <c r="E715" t="s">
        <v>18792</v>
      </c>
      <c r="F715" t="s">
        <v>31574</v>
      </c>
      <c r="G715" t="s">
        <v>31582</v>
      </c>
      <c r="H715" t="s">
        <v>31591</v>
      </c>
      <c r="I715" t="s">
        <v>8822</v>
      </c>
      <c r="J715" t="s">
        <v>32310</v>
      </c>
      <c r="K715" t="s">
        <v>41234</v>
      </c>
      <c r="M715" t="s">
        <v>41694</v>
      </c>
      <c r="N715" t="s">
        <v>45095</v>
      </c>
      <c r="O715" t="s">
        <v>45096</v>
      </c>
      <c r="P715">
        <v>0</v>
      </c>
      <c r="Q715">
        <v>0</v>
      </c>
      <c r="R715" t="s">
        <v>45097</v>
      </c>
      <c r="S715" t="s">
        <v>45222</v>
      </c>
      <c r="T715" t="s">
        <v>46916</v>
      </c>
      <c r="U715" t="s">
        <v>48106</v>
      </c>
      <c r="W715" t="s">
        <v>41694</v>
      </c>
      <c r="X715" t="s">
        <v>45098</v>
      </c>
    </row>
    <row r="716" spans="1:24">
      <c r="A716">
        <f>HYPERLINK("https://www.philgeps.gov.ph/GEPSNONPILOT/Tender/SplashBidNoticeAbstractUI.aspx?menuIndex=3&amp;refID=7044909&amp;Result=3","7044909")</f>
        <v>0</v>
      </c>
      <c r="B716" t="s">
        <v>331</v>
      </c>
      <c r="C716" t="s">
        <v>3878</v>
      </c>
      <c r="E716" t="s">
        <v>18793</v>
      </c>
      <c r="F716" t="s">
        <v>31574</v>
      </c>
      <c r="G716" t="s">
        <v>31581</v>
      </c>
      <c r="H716" t="s">
        <v>31590</v>
      </c>
      <c r="I716" t="s">
        <v>5717</v>
      </c>
      <c r="J716" t="s">
        <v>32311</v>
      </c>
      <c r="K716" t="s">
        <v>41184</v>
      </c>
      <c r="M716" t="s">
        <v>41819</v>
      </c>
      <c r="N716" t="s">
        <v>45095</v>
      </c>
      <c r="O716" t="s">
        <v>45096</v>
      </c>
      <c r="P716">
        <v>0</v>
      </c>
      <c r="Q716">
        <v>0</v>
      </c>
      <c r="R716" t="s">
        <v>45097</v>
      </c>
      <c r="S716" t="s">
        <v>45222</v>
      </c>
      <c r="T716" t="s">
        <v>46934</v>
      </c>
      <c r="U716" t="s">
        <v>48107</v>
      </c>
      <c r="W716" t="s">
        <v>41819</v>
      </c>
      <c r="X716" t="s">
        <v>45098</v>
      </c>
    </row>
    <row r="717" spans="1:24">
      <c r="A717">
        <f>HYPERLINK("https://www.philgeps.gov.ph/GEPSNONPILOT/Tender/SplashBidNoticeAbstractUI.aspx?menuIndex=3&amp;refID=7044927&amp;Result=3","7044927")</f>
        <v>0</v>
      </c>
      <c r="B717" t="s">
        <v>251</v>
      </c>
      <c r="C717" t="s">
        <v>3879</v>
      </c>
      <c r="D717" t="s">
        <v>18057</v>
      </c>
      <c r="E717" t="s">
        <v>18794</v>
      </c>
      <c r="F717" t="s">
        <v>31574</v>
      </c>
      <c r="G717" t="s">
        <v>31583</v>
      </c>
      <c r="H717" t="s">
        <v>31590</v>
      </c>
      <c r="I717" t="s">
        <v>31600</v>
      </c>
      <c r="J717" t="s">
        <v>32312</v>
      </c>
      <c r="K717" t="s">
        <v>41197</v>
      </c>
      <c r="M717" t="s">
        <v>41737</v>
      </c>
      <c r="N717" t="s">
        <v>45095</v>
      </c>
      <c r="O717" t="s">
        <v>45096</v>
      </c>
      <c r="P717">
        <v>0</v>
      </c>
      <c r="Q717">
        <v>0</v>
      </c>
      <c r="R717" t="s">
        <v>45097</v>
      </c>
      <c r="S717" t="s">
        <v>45222</v>
      </c>
      <c r="T717" t="s">
        <v>46973</v>
      </c>
      <c r="U717" t="s">
        <v>48108</v>
      </c>
      <c r="W717" t="s">
        <v>41737</v>
      </c>
      <c r="X717" t="s">
        <v>45098</v>
      </c>
    </row>
    <row r="718" spans="1:24">
      <c r="A718">
        <f>HYPERLINK("https://www.philgeps.gov.ph/GEPSNONPILOT/Tender/SplashBidNoticeAbstractUI.aspx?menuIndex=3&amp;refID=7044917&amp;Result=3","7044917")</f>
        <v>0</v>
      </c>
      <c r="B718" t="s">
        <v>332</v>
      </c>
      <c r="C718" t="s">
        <v>3880</v>
      </c>
      <c r="D718" t="s">
        <v>18040</v>
      </c>
      <c r="E718" t="s">
        <v>18795</v>
      </c>
      <c r="F718" t="s">
        <v>31574</v>
      </c>
      <c r="G718" t="s">
        <v>31581</v>
      </c>
      <c r="H718" t="s">
        <v>31593</v>
      </c>
      <c r="I718" t="s">
        <v>31623</v>
      </c>
      <c r="J718" t="s">
        <v>32313</v>
      </c>
      <c r="K718" t="s">
        <v>41184</v>
      </c>
      <c r="M718" t="s">
        <v>41820</v>
      </c>
      <c r="N718" t="s">
        <v>45095</v>
      </c>
      <c r="O718" t="s">
        <v>45096</v>
      </c>
      <c r="P718">
        <v>0</v>
      </c>
      <c r="Q718">
        <v>0</v>
      </c>
      <c r="R718" t="s">
        <v>45097</v>
      </c>
      <c r="S718" t="s">
        <v>45222</v>
      </c>
      <c r="T718" t="s">
        <v>46918</v>
      </c>
      <c r="U718" t="s">
        <v>48109</v>
      </c>
      <c r="W718" t="s">
        <v>41820</v>
      </c>
      <c r="X718" t="s">
        <v>45098</v>
      </c>
    </row>
    <row r="719" spans="1:24">
      <c r="A719">
        <f>HYPERLINK("https://www.philgeps.gov.ph/GEPSNONPILOT/Tender/SplashBidNoticeAbstractUI.aspx?menuIndex=3&amp;refID=7044914&amp;Result=3","7044914")</f>
        <v>0</v>
      </c>
      <c r="B719" t="s">
        <v>333</v>
      </c>
      <c r="C719" t="s">
        <v>3881</v>
      </c>
      <c r="D719" t="s">
        <v>18081</v>
      </c>
      <c r="E719" t="s">
        <v>18796</v>
      </c>
      <c r="F719" t="s">
        <v>31574</v>
      </c>
      <c r="G719" t="s">
        <v>31581</v>
      </c>
      <c r="H719" t="s">
        <v>31590</v>
      </c>
      <c r="I719" t="s">
        <v>31594</v>
      </c>
      <c r="J719" t="s">
        <v>31845</v>
      </c>
      <c r="K719" t="s">
        <v>41196</v>
      </c>
      <c r="M719" t="s">
        <v>41821</v>
      </c>
      <c r="N719" t="s">
        <v>45095</v>
      </c>
      <c r="O719" t="s">
        <v>45096</v>
      </c>
      <c r="P719">
        <v>0</v>
      </c>
      <c r="Q719">
        <v>0</v>
      </c>
      <c r="R719" t="s">
        <v>45097</v>
      </c>
      <c r="S719" t="s">
        <v>45222</v>
      </c>
      <c r="T719" t="s">
        <v>46918</v>
      </c>
      <c r="U719" t="s">
        <v>48110</v>
      </c>
      <c r="W719" t="s">
        <v>41821</v>
      </c>
      <c r="X719" t="s">
        <v>45098</v>
      </c>
    </row>
    <row r="720" spans="1:24">
      <c r="A720">
        <f>HYPERLINK("https://www.philgeps.gov.ph/GEPSNONPILOT/Tender/SplashBidNoticeAbstractUI.aspx?menuIndex=3&amp;refID=7044942&amp;Result=3","7044942")</f>
        <v>0</v>
      </c>
      <c r="B720" t="s">
        <v>334</v>
      </c>
      <c r="C720" t="s">
        <v>3882</v>
      </c>
      <c r="D720" t="s">
        <v>18050</v>
      </c>
      <c r="E720" t="s">
        <v>18797</v>
      </c>
      <c r="F720" t="s">
        <v>31574</v>
      </c>
      <c r="G720" t="s">
        <v>31581</v>
      </c>
      <c r="H720" t="s">
        <v>31590</v>
      </c>
      <c r="I720" t="s">
        <v>31621</v>
      </c>
      <c r="J720" t="s">
        <v>31727</v>
      </c>
      <c r="K720" t="s">
        <v>41186</v>
      </c>
      <c r="M720" t="s">
        <v>41822</v>
      </c>
      <c r="N720" t="s">
        <v>45095</v>
      </c>
      <c r="O720" t="s">
        <v>45096</v>
      </c>
      <c r="P720">
        <v>0</v>
      </c>
      <c r="Q720">
        <v>0</v>
      </c>
      <c r="R720" t="s">
        <v>45097</v>
      </c>
      <c r="S720" t="s">
        <v>45222</v>
      </c>
      <c r="T720" t="s">
        <v>47011</v>
      </c>
      <c r="U720" t="s">
        <v>48111</v>
      </c>
      <c r="W720" t="s">
        <v>61663</v>
      </c>
      <c r="X720" t="s">
        <v>45098</v>
      </c>
    </row>
    <row r="721" spans="1:24">
      <c r="A721">
        <f>HYPERLINK("https://www.philgeps.gov.ph/GEPSNONPILOT/Tender/SplashBidNoticeAbstractUI.aspx?menuIndex=3&amp;refID=7044905&amp;Result=3","7044905")</f>
        <v>0</v>
      </c>
      <c r="B721" t="s">
        <v>335</v>
      </c>
      <c r="C721" t="s">
        <v>3883</v>
      </c>
      <c r="D721" t="s">
        <v>18079</v>
      </c>
      <c r="E721" t="s">
        <v>18798</v>
      </c>
      <c r="F721" t="s">
        <v>31574</v>
      </c>
      <c r="G721" t="s">
        <v>31581</v>
      </c>
      <c r="H721" t="s">
        <v>31590</v>
      </c>
      <c r="I721" t="s">
        <v>31612</v>
      </c>
      <c r="J721" t="s">
        <v>31816</v>
      </c>
      <c r="K721" t="s">
        <v>41184</v>
      </c>
      <c r="M721" t="s">
        <v>41823</v>
      </c>
      <c r="N721" t="s">
        <v>45095</v>
      </c>
      <c r="O721" t="s">
        <v>45096</v>
      </c>
      <c r="P721">
        <v>0</v>
      </c>
      <c r="Q721">
        <v>0</v>
      </c>
      <c r="R721" t="s">
        <v>45097</v>
      </c>
      <c r="S721" t="s">
        <v>45222</v>
      </c>
      <c r="T721" t="s">
        <v>46911</v>
      </c>
      <c r="U721" t="s">
        <v>48112</v>
      </c>
      <c r="W721" t="s">
        <v>41823</v>
      </c>
      <c r="X721" t="s">
        <v>45098</v>
      </c>
    </row>
    <row r="722" spans="1:24">
      <c r="A722">
        <f>HYPERLINK("https://www.philgeps.gov.ph/GEPSNONPILOT/Tender/SplashBidNoticeAbstractUI.aspx?menuIndex=3&amp;refID=7044913&amp;Result=3","7044913")</f>
        <v>0</v>
      </c>
      <c r="B722" t="s">
        <v>246</v>
      </c>
      <c r="C722" t="s">
        <v>3884</v>
      </c>
      <c r="D722" t="s">
        <v>18047</v>
      </c>
      <c r="E722" t="s">
        <v>18799</v>
      </c>
      <c r="F722" t="s">
        <v>31574</v>
      </c>
      <c r="G722" t="s">
        <v>31581</v>
      </c>
      <c r="H722" t="s">
        <v>31592</v>
      </c>
      <c r="I722" t="s">
        <v>3539</v>
      </c>
      <c r="J722" t="s">
        <v>32013</v>
      </c>
      <c r="K722" t="s">
        <v>41226</v>
      </c>
      <c r="M722" t="s">
        <v>41732</v>
      </c>
      <c r="N722" t="s">
        <v>45095</v>
      </c>
      <c r="O722" t="s">
        <v>45096</v>
      </c>
      <c r="P722">
        <v>0</v>
      </c>
      <c r="Q722">
        <v>0</v>
      </c>
      <c r="R722" t="s">
        <v>45097</v>
      </c>
      <c r="S722" t="s">
        <v>45222</v>
      </c>
      <c r="T722" t="s">
        <v>47003</v>
      </c>
      <c r="U722" t="s">
        <v>48113</v>
      </c>
      <c r="W722" t="s">
        <v>41732</v>
      </c>
      <c r="X722" t="s">
        <v>45098</v>
      </c>
    </row>
    <row r="723" spans="1:24">
      <c r="A723">
        <f>HYPERLINK("https://www.philgeps.gov.ph/GEPSNONPILOT/Tender/SplashBidNoticeAbstractUI.aspx?menuIndex=3&amp;refID=7044912&amp;Result=3","7044912")</f>
        <v>0</v>
      </c>
      <c r="B723" t="s">
        <v>124</v>
      </c>
      <c r="C723" t="s">
        <v>3885</v>
      </c>
      <c r="D723" t="s">
        <v>18065</v>
      </c>
      <c r="E723" t="s">
        <v>18800</v>
      </c>
      <c r="F723" t="s">
        <v>31574</v>
      </c>
      <c r="G723" t="s">
        <v>31581</v>
      </c>
      <c r="H723" t="s">
        <v>31590</v>
      </c>
      <c r="I723" t="s">
        <v>31604</v>
      </c>
      <c r="J723" t="s">
        <v>32314</v>
      </c>
      <c r="K723" t="s">
        <v>41184</v>
      </c>
      <c r="M723" t="s">
        <v>41608</v>
      </c>
      <c r="N723" t="s">
        <v>45095</v>
      </c>
      <c r="O723" t="s">
        <v>45096</v>
      </c>
      <c r="P723">
        <v>0</v>
      </c>
      <c r="Q723">
        <v>0</v>
      </c>
      <c r="R723" t="s">
        <v>45097</v>
      </c>
      <c r="S723" t="s">
        <v>45222</v>
      </c>
      <c r="T723" t="s">
        <v>46934</v>
      </c>
      <c r="U723" t="s">
        <v>48114</v>
      </c>
      <c r="W723" t="s">
        <v>41608</v>
      </c>
      <c r="X723" t="s">
        <v>45098</v>
      </c>
    </row>
    <row r="724" spans="1:24">
      <c r="A724">
        <f>HYPERLINK("https://www.philgeps.gov.ph/GEPSNONPILOT/Tender/SplashBidNoticeAbstractUI.aspx?menuIndex=3&amp;refID=7044951&amp;Result=3","7044951")</f>
        <v>0</v>
      </c>
      <c r="B724" t="s">
        <v>336</v>
      </c>
      <c r="C724" t="s">
        <v>3886</v>
      </c>
      <c r="D724" t="s">
        <v>18056</v>
      </c>
      <c r="E724" t="s">
        <v>18801</v>
      </c>
      <c r="F724" t="s">
        <v>31574</v>
      </c>
      <c r="G724" t="s">
        <v>31581</v>
      </c>
      <c r="H724" t="s">
        <v>31590</v>
      </c>
      <c r="I724" t="s">
        <v>4046</v>
      </c>
      <c r="J724" t="s">
        <v>32315</v>
      </c>
      <c r="K724" t="s">
        <v>41211</v>
      </c>
      <c r="M724" t="s">
        <v>41824</v>
      </c>
      <c r="N724" t="s">
        <v>45095</v>
      </c>
      <c r="O724" t="s">
        <v>45096</v>
      </c>
      <c r="P724">
        <v>0</v>
      </c>
      <c r="Q724">
        <v>0</v>
      </c>
      <c r="R724" t="s">
        <v>45097</v>
      </c>
      <c r="S724" t="s">
        <v>45222</v>
      </c>
      <c r="T724" t="s">
        <v>46913</v>
      </c>
      <c r="U724" t="s">
        <v>48115</v>
      </c>
      <c r="W724" t="s">
        <v>41824</v>
      </c>
      <c r="X724" t="s">
        <v>45098</v>
      </c>
    </row>
    <row r="725" spans="1:24">
      <c r="A725">
        <f>HYPERLINK("https://www.philgeps.gov.ph/GEPSNONPILOT/Tender/SplashBidNoticeAbstractUI.aspx?menuIndex=3&amp;refID=7044943&amp;Result=3","7044943")</f>
        <v>0</v>
      </c>
      <c r="B725" t="s">
        <v>200</v>
      </c>
      <c r="C725" t="s">
        <v>3887</v>
      </c>
      <c r="D725" t="s">
        <v>18070</v>
      </c>
      <c r="E725" t="s">
        <v>18802</v>
      </c>
      <c r="F725" t="s">
        <v>31574</v>
      </c>
      <c r="G725" t="s">
        <v>31581</v>
      </c>
      <c r="H725" t="s">
        <v>31590</v>
      </c>
      <c r="I725" t="s">
        <v>31605</v>
      </c>
      <c r="J725" t="s">
        <v>32316</v>
      </c>
      <c r="K725" t="s">
        <v>41194</v>
      </c>
      <c r="M725" t="s">
        <v>41685</v>
      </c>
      <c r="N725" t="s">
        <v>45095</v>
      </c>
      <c r="O725" t="s">
        <v>45096</v>
      </c>
      <c r="P725">
        <v>0</v>
      </c>
      <c r="Q725">
        <v>0</v>
      </c>
      <c r="R725" t="s">
        <v>45097</v>
      </c>
      <c r="S725" t="s">
        <v>45222</v>
      </c>
      <c r="T725" t="s">
        <v>46913</v>
      </c>
      <c r="U725" t="s">
        <v>48116</v>
      </c>
      <c r="W725" t="s">
        <v>41685</v>
      </c>
      <c r="X725" t="s">
        <v>45098</v>
      </c>
    </row>
    <row r="726" spans="1:24">
      <c r="A726">
        <f>HYPERLINK("https://www.philgeps.gov.ph/GEPSNONPILOT/Tender/SplashBidNoticeAbstractUI.aspx?menuIndex=3&amp;refID=7044948&amp;Result=3","7044948")</f>
        <v>0</v>
      </c>
      <c r="B726" t="s">
        <v>124</v>
      </c>
      <c r="C726" t="s">
        <v>3888</v>
      </c>
      <c r="D726" t="s">
        <v>18065</v>
      </c>
      <c r="E726" t="s">
        <v>18803</v>
      </c>
      <c r="F726" t="s">
        <v>31574</v>
      </c>
      <c r="G726" t="s">
        <v>31581</v>
      </c>
      <c r="H726" t="s">
        <v>31590</v>
      </c>
      <c r="I726" t="s">
        <v>8258</v>
      </c>
      <c r="J726" t="s">
        <v>32317</v>
      </c>
      <c r="K726" t="s">
        <v>41184</v>
      </c>
      <c r="M726" t="s">
        <v>41608</v>
      </c>
      <c r="N726" t="s">
        <v>45095</v>
      </c>
      <c r="O726" t="s">
        <v>45096</v>
      </c>
      <c r="P726">
        <v>0</v>
      </c>
      <c r="Q726">
        <v>0</v>
      </c>
      <c r="R726" t="s">
        <v>45097</v>
      </c>
      <c r="S726" t="s">
        <v>45222</v>
      </c>
      <c r="T726" t="s">
        <v>46934</v>
      </c>
      <c r="U726" t="s">
        <v>48117</v>
      </c>
      <c r="W726" t="s">
        <v>41608</v>
      </c>
      <c r="X726" t="s">
        <v>45098</v>
      </c>
    </row>
    <row r="727" spans="1:24">
      <c r="A727">
        <f>HYPERLINK("https://www.philgeps.gov.ph/GEPSNONPILOT/Tender/SplashBidNoticeAbstractUI.aspx?menuIndex=3&amp;refID=7044950&amp;Result=3","7044950")</f>
        <v>0</v>
      </c>
      <c r="B727" t="s">
        <v>281</v>
      </c>
      <c r="C727" t="s">
        <v>3889</v>
      </c>
      <c r="D727" t="s">
        <v>18041</v>
      </c>
      <c r="E727" t="s">
        <v>18804</v>
      </c>
      <c r="F727" t="s">
        <v>31574</v>
      </c>
      <c r="G727" t="s">
        <v>31581</v>
      </c>
      <c r="H727" t="s">
        <v>31590</v>
      </c>
      <c r="I727" t="s">
        <v>3489</v>
      </c>
      <c r="J727" t="s">
        <v>31789</v>
      </c>
      <c r="K727" t="s">
        <v>41189</v>
      </c>
      <c r="M727" t="s">
        <v>41767</v>
      </c>
      <c r="N727" t="s">
        <v>45095</v>
      </c>
      <c r="O727" t="s">
        <v>45096</v>
      </c>
      <c r="P727">
        <v>0</v>
      </c>
      <c r="Q727">
        <v>0</v>
      </c>
      <c r="R727" t="s">
        <v>45097</v>
      </c>
      <c r="S727" t="s">
        <v>45222</v>
      </c>
      <c r="T727" t="s">
        <v>46910</v>
      </c>
      <c r="U727" t="s">
        <v>48118</v>
      </c>
      <c r="W727" t="s">
        <v>41767</v>
      </c>
      <c r="X727" t="s">
        <v>45098</v>
      </c>
    </row>
    <row r="728" spans="1:24">
      <c r="A728">
        <f>HYPERLINK("https://www.philgeps.gov.ph/GEPSNONPILOT/Tender/SplashBidNoticeAbstractUI.aspx?menuIndex=3&amp;refID=7044940&amp;Result=3","7044940")</f>
        <v>0</v>
      </c>
      <c r="B728" t="s">
        <v>337</v>
      </c>
      <c r="C728" t="s">
        <v>3890</v>
      </c>
      <c r="D728" t="s">
        <v>18022</v>
      </c>
      <c r="E728" t="s">
        <v>18805</v>
      </c>
      <c r="F728" t="s">
        <v>31574</v>
      </c>
      <c r="G728" t="s">
        <v>31581</v>
      </c>
      <c r="H728" t="s">
        <v>31590</v>
      </c>
      <c r="I728" t="s">
        <v>31635</v>
      </c>
      <c r="J728" t="s">
        <v>32318</v>
      </c>
      <c r="K728" t="s">
        <v>41196</v>
      </c>
      <c r="M728" t="s">
        <v>41825</v>
      </c>
      <c r="N728" t="s">
        <v>45095</v>
      </c>
      <c r="O728" t="s">
        <v>45096</v>
      </c>
      <c r="P728">
        <v>0</v>
      </c>
      <c r="Q728">
        <v>1</v>
      </c>
      <c r="R728" t="s">
        <v>45097</v>
      </c>
      <c r="S728" t="s">
        <v>45222</v>
      </c>
      <c r="T728" t="s">
        <v>46918</v>
      </c>
      <c r="U728" t="s">
        <v>48119</v>
      </c>
      <c r="W728" t="s">
        <v>41825</v>
      </c>
      <c r="X728" t="s">
        <v>45098</v>
      </c>
    </row>
    <row r="729" spans="1:24">
      <c r="A729">
        <f>HYPERLINK("https://www.philgeps.gov.ph/GEPSNONPILOT/Tender/SplashBidNoticeAbstractUI.aspx?menuIndex=3&amp;refID=7044938&amp;Result=3","7044938")</f>
        <v>0</v>
      </c>
      <c r="B729" t="s">
        <v>124</v>
      </c>
      <c r="C729" t="s">
        <v>3891</v>
      </c>
      <c r="D729" t="s">
        <v>18065</v>
      </c>
      <c r="E729" t="s">
        <v>18806</v>
      </c>
      <c r="F729" t="s">
        <v>31574</v>
      </c>
      <c r="G729" t="s">
        <v>31581</v>
      </c>
      <c r="H729" t="s">
        <v>31590</v>
      </c>
      <c r="I729" t="s">
        <v>31604</v>
      </c>
      <c r="J729" t="s">
        <v>32319</v>
      </c>
      <c r="K729" t="s">
        <v>41184</v>
      </c>
      <c r="M729" t="s">
        <v>41608</v>
      </c>
      <c r="N729" t="s">
        <v>45095</v>
      </c>
      <c r="O729" t="s">
        <v>45096</v>
      </c>
      <c r="P729">
        <v>0</v>
      </c>
      <c r="Q729">
        <v>0</v>
      </c>
      <c r="R729" t="s">
        <v>45097</v>
      </c>
      <c r="S729" t="s">
        <v>45222</v>
      </c>
      <c r="T729" t="s">
        <v>46934</v>
      </c>
      <c r="U729" t="s">
        <v>48120</v>
      </c>
      <c r="W729" t="s">
        <v>41608</v>
      </c>
      <c r="X729" t="s">
        <v>45098</v>
      </c>
    </row>
    <row r="730" spans="1:24">
      <c r="A730">
        <f>HYPERLINK("https://www.philgeps.gov.ph/GEPSNONPILOT/Tender/SplashBidNoticeAbstractUI.aspx?menuIndex=3&amp;refID=7044939&amp;Result=3","7044939")</f>
        <v>0</v>
      </c>
      <c r="B730" t="s">
        <v>338</v>
      </c>
      <c r="C730" t="s">
        <v>3892</v>
      </c>
      <c r="D730" t="s">
        <v>18058</v>
      </c>
      <c r="E730" t="s">
        <v>18807</v>
      </c>
      <c r="F730" t="s">
        <v>31574</v>
      </c>
      <c r="G730" t="s">
        <v>31582</v>
      </c>
      <c r="H730" t="s">
        <v>31591</v>
      </c>
      <c r="I730" t="s">
        <v>8822</v>
      </c>
      <c r="J730" t="s">
        <v>32320</v>
      </c>
      <c r="K730" t="s">
        <v>41235</v>
      </c>
      <c r="M730" t="s">
        <v>41826</v>
      </c>
      <c r="N730" t="s">
        <v>45095</v>
      </c>
      <c r="O730" t="s">
        <v>45096</v>
      </c>
      <c r="P730">
        <v>0</v>
      </c>
      <c r="Q730">
        <v>0</v>
      </c>
      <c r="R730" t="s">
        <v>45097</v>
      </c>
      <c r="S730" t="s">
        <v>45222</v>
      </c>
      <c r="T730" t="s">
        <v>46915</v>
      </c>
      <c r="U730" t="s">
        <v>48121</v>
      </c>
      <c r="W730" t="s">
        <v>41826</v>
      </c>
      <c r="X730" t="s">
        <v>45098</v>
      </c>
    </row>
    <row r="731" spans="1:24">
      <c r="A731">
        <f>HYPERLINK("https://www.philgeps.gov.ph/GEPSNONPILOT/Tender/SplashBidNoticeAbstractUI.aspx?menuIndex=3&amp;refID=7044949&amp;Result=3","7044949")</f>
        <v>0</v>
      </c>
      <c r="B731" t="s">
        <v>299</v>
      </c>
      <c r="C731" t="s">
        <v>3893</v>
      </c>
      <c r="D731" t="s">
        <v>18081</v>
      </c>
      <c r="E731" t="s">
        <v>18808</v>
      </c>
      <c r="F731" t="s">
        <v>31574</v>
      </c>
      <c r="G731" t="s">
        <v>31581</v>
      </c>
      <c r="H731" t="s">
        <v>31590</v>
      </c>
      <c r="I731" t="s">
        <v>31612</v>
      </c>
      <c r="J731" t="s">
        <v>31947</v>
      </c>
      <c r="K731" t="s">
        <v>41196</v>
      </c>
      <c r="M731" t="s">
        <v>41785</v>
      </c>
      <c r="N731" t="s">
        <v>45095</v>
      </c>
      <c r="O731" t="s">
        <v>45096</v>
      </c>
      <c r="P731">
        <v>0</v>
      </c>
      <c r="Q731">
        <v>0</v>
      </c>
      <c r="R731" t="s">
        <v>45097</v>
      </c>
      <c r="S731" t="s">
        <v>45222</v>
      </c>
      <c r="T731" t="s">
        <v>46932</v>
      </c>
      <c r="U731" t="s">
        <v>48122</v>
      </c>
      <c r="W731" t="s">
        <v>41785</v>
      </c>
      <c r="X731" t="s">
        <v>45098</v>
      </c>
    </row>
    <row r="732" spans="1:24">
      <c r="A732">
        <f>HYPERLINK("https://www.philgeps.gov.ph/GEPSNONPILOT/Tender/SplashBidNoticeAbstractUI.aspx?menuIndex=3&amp;refID=7044934&amp;Result=3","7044934")</f>
        <v>0</v>
      </c>
      <c r="B732" t="s">
        <v>233</v>
      </c>
      <c r="C732" t="s">
        <v>3328</v>
      </c>
      <c r="D732" t="s">
        <v>18052</v>
      </c>
      <c r="E732" t="s">
        <v>18809</v>
      </c>
      <c r="F732" t="s">
        <v>31574</v>
      </c>
      <c r="G732" t="s">
        <v>31582</v>
      </c>
      <c r="H732" t="s">
        <v>31590</v>
      </c>
      <c r="I732" t="s">
        <v>5717</v>
      </c>
      <c r="J732" t="s">
        <v>32321</v>
      </c>
      <c r="K732" t="s">
        <v>41190</v>
      </c>
      <c r="M732" t="s">
        <v>41718</v>
      </c>
      <c r="N732" t="s">
        <v>45095</v>
      </c>
      <c r="O732" t="s">
        <v>45096</v>
      </c>
      <c r="P732">
        <v>0</v>
      </c>
      <c r="Q732">
        <v>0</v>
      </c>
      <c r="R732" t="s">
        <v>45097</v>
      </c>
      <c r="S732" t="s">
        <v>45222</v>
      </c>
      <c r="T732" t="s">
        <v>46916</v>
      </c>
      <c r="U732" t="s">
        <v>48123</v>
      </c>
      <c r="W732" t="s">
        <v>41718</v>
      </c>
      <c r="X732" t="s">
        <v>45098</v>
      </c>
    </row>
    <row r="733" spans="1:24">
      <c r="A733">
        <f>HYPERLINK("https://www.philgeps.gov.ph/GEPSNONPILOT/Tender/SplashBidNoticeAbstractUI.aspx?menuIndex=3&amp;refID=7044944&amp;Result=3","7044944")</f>
        <v>0</v>
      </c>
      <c r="B733" t="s">
        <v>290</v>
      </c>
      <c r="C733" t="s">
        <v>3894</v>
      </c>
      <c r="D733" t="s">
        <v>18043</v>
      </c>
      <c r="E733" t="s">
        <v>18810</v>
      </c>
      <c r="F733" t="s">
        <v>31574</v>
      </c>
      <c r="G733" t="s">
        <v>31581</v>
      </c>
      <c r="H733" t="s">
        <v>31590</v>
      </c>
      <c r="I733" t="s">
        <v>3539</v>
      </c>
      <c r="J733" t="s">
        <v>32322</v>
      </c>
      <c r="K733" t="s">
        <v>41193</v>
      </c>
      <c r="M733" t="s">
        <v>41776</v>
      </c>
      <c r="N733" t="s">
        <v>45095</v>
      </c>
      <c r="O733" t="s">
        <v>45096</v>
      </c>
      <c r="P733">
        <v>0</v>
      </c>
      <c r="Q733">
        <v>0</v>
      </c>
      <c r="R733" t="s">
        <v>45097</v>
      </c>
      <c r="S733" t="s">
        <v>45222</v>
      </c>
      <c r="T733" t="s">
        <v>46926</v>
      </c>
      <c r="U733" t="s">
        <v>48030</v>
      </c>
      <c r="W733" t="s">
        <v>41776</v>
      </c>
      <c r="X733" t="s">
        <v>45098</v>
      </c>
    </row>
    <row r="734" spans="1:24">
      <c r="A734">
        <f>HYPERLINK("https://www.philgeps.gov.ph/GEPSNONPILOT/Tender/SplashBidNoticeAbstractUI.aspx?menuIndex=3&amp;refID=7044941&amp;Result=3","7044941")</f>
        <v>0</v>
      </c>
      <c r="B734" t="s">
        <v>325</v>
      </c>
      <c r="C734" t="s">
        <v>3895</v>
      </c>
      <c r="D734" t="s">
        <v>18022</v>
      </c>
      <c r="E734" t="s">
        <v>18811</v>
      </c>
      <c r="F734" t="s">
        <v>31574</v>
      </c>
      <c r="G734" t="s">
        <v>31581</v>
      </c>
      <c r="H734" t="s">
        <v>31590</v>
      </c>
      <c r="I734" t="s">
        <v>31650</v>
      </c>
      <c r="J734" t="s">
        <v>32323</v>
      </c>
      <c r="K734" t="s">
        <v>41184</v>
      </c>
      <c r="M734" t="s">
        <v>41813</v>
      </c>
      <c r="N734" t="s">
        <v>45095</v>
      </c>
      <c r="O734" t="s">
        <v>45096</v>
      </c>
      <c r="P734">
        <v>0</v>
      </c>
      <c r="Q734">
        <v>0</v>
      </c>
      <c r="R734" t="s">
        <v>45097</v>
      </c>
      <c r="S734" t="s">
        <v>45222</v>
      </c>
      <c r="T734" t="s">
        <v>46904</v>
      </c>
      <c r="U734" t="s">
        <v>48124</v>
      </c>
      <c r="W734" t="s">
        <v>41813</v>
      </c>
      <c r="X734" t="s">
        <v>45098</v>
      </c>
    </row>
    <row r="735" spans="1:24">
      <c r="A735">
        <f>HYPERLINK("https://www.philgeps.gov.ph/GEPSNONPILOT/Tender/SplashBidNoticeAbstractUI.aspx?menuIndex=3&amp;refID=7044932&amp;Result=3","7044932")</f>
        <v>0</v>
      </c>
      <c r="B735" t="s">
        <v>250</v>
      </c>
      <c r="C735" t="s">
        <v>3896</v>
      </c>
      <c r="D735" t="s">
        <v>18022</v>
      </c>
      <c r="E735" t="s">
        <v>18812</v>
      </c>
      <c r="F735" t="s">
        <v>31574</v>
      </c>
      <c r="G735" t="s">
        <v>31582</v>
      </c>
      <c r="H735" t="s">
        <v>31590</v>
      </c>
      <c r="I735" t="s">
        <v>31609</v>
      </c>
      <c r="J735" t="s">
        <v>32324</v>
      </c>
      <c r="K735" t="s">
        <v>41186</v>
      </c>
      <c r="M735" t="s">
        <v>41736</v>
      </c>
      <c r="N735" t="s">
        <v>45095</v>
      </c>
      <c r="O735" t="s">
        <v>45096</v>
      </c>
      <c r="P735">
        <v>0</v>
      </c>
      <c r="Q735">
        <v>0</v>
      </c>
      <c r="R735" t="s">
        <v>45097</v>
      </c>
      <c r="S735" t="s">
        <v>45222</v>
      </c>
      <c r="T735" t="s">
        <v>46998</v>
      </c>
      <c r="U735" t="s">
        <v>48125</v>
      </c>
      <c r="V735" t="s">
        <v>59909</v>
      </c>
      <c r="W735" t="s">
        <v>41736</v>
      </c>
      <c r="X735" t="s">
        <v>45098</v>
      </c>
    </row>
    <row r="736" spans="1:24">
      <c r="A736">
        <f>HYPERLINK("https://www.philgeps.gov.ph/GEPSNONPILOT/Tender/SplashBidNoticeAbstractUI.aspx?menuIndex=3&amp;refID=7044935&amp;Result=3","7044935")</f>
        <v>0</v>
      </c>
      <c r="B736" t="s">
        <v>292</v>
      </c>
      <c r="C736" t="s">
        <v>3897</v>
      </c>
      <c r="D736" t="s">
        <v>18022</v>
      </c>
      <c r="E736" t="s">
        <v>18720</v>
      </c>
      <c r="F736" t="s">
        <v>31574</v>
      </c>
      <c r="G736" t="s">
        <v>31581</v>
      </c>
      <c r="H736" t="s">
        <v>31590</v>
      </c>
      <c r="I736" t="s">
        <v>31603</v>
      </c>
      <c r="J736" t="s">
        <v>32325</v>
      </c>
      <c r="K736" t="s">
        <v>41190</v>
      </c>
      <c r="M736" t="s">
        <v>41778</v>
      </c>
      <c r="N736" t="s">
        <v>45095</v>
      </c>
      <c r="O736" t="s">
        <v>45096</v>
      </c>
      <c r="P736">
        <v>0</v>
      </c>
      <c r="Q736">
        <v>0</v>
      </c>
      <c r="R736" t="s">
        <v>45097</v>
      </c>
      <c r="S736" t="s">
        <v>45222</v>
      </c>
      <c r="T736" t="s">
        <v>46955</v>
      </c>
      <c r="U736" t="s">
        <v>48126</v>
      </c>
      <c r="W736" t="s">
        <v>41778</v>
      </c>
      <c r="X736" t="s">
        <v>45098</v>
      </c>
    </row>
    <row r="737" spans="1:24">
      <c r="A737">
        <f>HYPERLINK("https://www.philgeps.gov.ph/GEPSNONPILOT/Tender/SplashBidNoticeAbstractUI.aspx?menuIndex=3&amp;refID=7044928&amp;Result=3","7044928")</f>
        <v>0</v>
      </c>
      <c r="B737" t="s">
        <v>291</v>
      </c>
      <c r="C737" t="s">
        <v>3898</v>
      </c>
      <c r="D737" t="s">
        <v>18091</v>
      </c>
      <c r="E737" t="s">
        <v>18813</v>
      </c>
      <c r="F737" t="s">
        <v>31574</v>
      </c>
      <c r="G737" t="s">
        <v>31581</v>
      </c>
      <c r="H737" t="s">
        <v>31590</v>
      </c>
      <c r="I737" t="s">
        <v>31600</v>
      </c>
      <c r="J737" t="s">
        <v>32326</v>
      </c>
      <c r="K737" t="s">
        <v>41193</v>
      </c>
      <c r="M737" t="s">
        <v>41777</v>
      </c>
      <c r="N737" t="s">
        <v>45095</v>
      </c>
      <c r="O737" t="s">
        <v>45096</v>
      </c>
      <c r="P737">
        <v>0</v>
      </c>
      <c r="Q737">
        <v>0</v>
      </c>
      <c r="R737" t="s">
        <v>45097</v>
      </c>
      <c r="S737" t="s">
        <v>45222</v>
      </c>
      <c r="T737" t="s">
        <v>46926</v>
      </c>
      <c r="U737" t="s">
        <v>48127</v>
      </c>
      <c r="V737" t="s">
        <v>59918</v>
      </c>
      <c r="W737" t="s">
        <v>41777</v>
      </c>
      <c r="X737" t="s">
        <v>45098</v>
      </c>
    </row>
    <row r="738" spans="1:24">
      <c r="A738">
        <f>HYPERLINK("https://www.philgeps.gov.ph/GEPSNONPILOT/Tender/SplashBidNoticeAbstractUI.aspx?menuIndex=3&amp;refID=7044933&amp;Result=3","7044933")</f>
        <v>0</v>
      </c>
      <c r="B738" t="s">
        <v>264</v>
      </c>
      <c r="C738" t="s">
        <v>3899</v>
      </c>
      <c r="D738" t="s">
        <v>18066</v>
      </c>
      <c r="E738" t="s">
        <v>18814</v>
      </c>
      <c r="F738" t="s">
        <v>31574</v>
      </c>
      <c r="G738" t="s">
        <v>31582</v>
      </c>
      <c r="H738" t="s">
        <v>31591</v>
      </c>
      <c r="I738" t="s">
        <v>8822</v>
      </c>
      <c r="J738" t="s">
        <v>32327</v>
      </c>
      <c r="K738" t="s">
        <v>41203</v>
      </c>
      <c r="M738" t="s">
        <v>41750</v>
      </c>
      <c r="N738" t="s">
        <v>45095</v>
      </c>
      <c r="O738" t="s">
        <v>45096</v>
      </c>
      <c r="P738">
        <v>0</v>
      </c>
      <c r="Q738">
        <v>0</v>
      </c>
      <c r="R738" t="s">
        <v>45097</v>
      </c>
      <c r="S738" t="s">
        <v>45222</v>
      </c>
      <c r="T738" t="s">
        <v>46908</v>
      </c>
      <c r="U738" t="s">
        <v>48128</v>
      </c>
      <c r="W738" t="s">
        <v>61659</v>
      </c>
      <c r="X738" t="s">
        <v>45098</v>
      </c>
    </row>
    <row r="739" spans="1:24">
      <c r="A739">
        <f>HYPERLINK("https://www.philgeps.gov.ph/GEPSNONPILOT/Tender/SplashBidNoticeAbstractUI.aspx?menuIndex=3&amp;refID=7044953&amp;Result=3","7044953")</f>
        <v>0</v>
      </c>
      <c r="B739" t="s">
        <v>303</v>
      </c>
      <c r="C739" t="s">
        <v>3900</v>
      </c>
      <c r="D739" t="s">
        <v>18043</v>
      </c>
      <c r="E739" t="s">
        <v>18815</v>
      </c>
      <c r="F739" t="s">
        <v>31574</v>
      </c>
      <c r="G739" t="s">
        <v>31582</v>
      </c>
      <c r="H739" t="s">
        <v>31590</v>
      </c>
      <c r="I739" t="s">
        <v>31599</v>
      </c>
      <c r="J739" t="s">
        <v>32328</v>
      </c>
      <c r="K739" t="s">
        <v>41190</v>
      </c>
      <c r="M739" t="s">
        <v>41789</v>
      </c>
      <c r="N739" t="s">
        <v>45095</v>
      </c>
      <c r="O739" t="s">
        <v>45096</v>
      </c>
      <c r="P739">
        <v>0</v>
      </c>
      <c r="Q739">
        <v>0</v>
      </c>
      <c r="R739" t="s">
        <v>45097</v>
      </c>
      <c r="S739" t="s">
        <v>45222</v>
      </c>
      <c r="T739" t="s">
        <v>47009</v>
      </c>
      <c r="U739" t="s">
        <v>48129</v>
      </c>
      <c r="W739" t="s">
        <v>41789</v>
      </c>
      <c r="X739" t="s">
        <v>45098</v>
      </c>
    </row>
    <row r="740" spans="1:24">
      <c r="A740">
        <f>HYPERLINK("https://www.philgeps.gov.ph/GEPSNONPILOT/Tender/SplashBidNoticeAbstractUI.aspx?menuIndex=3&amp;refID=7044955&amp;Result=3","7044955")</f>
        <v>0</v>
      </c>
      <c r="B740" t="s">
        <v>328</v>
      </c>
      <c r="C740" t="s">
        <v>3901</v>
      </c>
      <c r="D740" t="s">
        <v>18056</v>
      </c>
      <c r="E740" t="s">
        <v>18816</v>
      </c>
      <c r="F740" t="s">
        <v>31574</v>
      </c>
      <c r="G740" t="s">
        <v>31581</v>
      </c>
      <c r="H740" t="s">
        <v>31590</v>
      </c>
      <c r="I740" t="s">
        <v>3901</v>
      </c>
      <c r="J740" t="s">
        <v>32017</v>
      </c>
      <c r="K740" t="s">
        <v>41186</v>
      </c>
      <c r="M740" t="s">
        <v>41816</v>
      </c>
      <c r="N740" t="s">
        <v>45095</v>
      </c>
      <c r="O740" t="s">
        <v>45096</v>
      </c>
      <c r="P740">
        <v>0</v>
      </c>
      <c r="Q740">
        <v>0</v>
      </c>
      <c r="R740" t="s">
        <v>45097</v>
      </c>
      <c r="S740" t="s">
        <v>45222</v>
      </c>
      <c r="T740" t="s">
        <v>46955</v>
      </c>
      <c r="U740" t="s">
        <v>48130</v>
      </c>
      <c r="W740" t="s">
        <v>41816</v>
      </c>
      <c r="X740" t="s">
        <v>45098</v>
      </c>
    </row>
    <row r="741" spans="1:24">
      <c r="A741">
        <f>HYPERLINK("https://www.philgeps.gov.ph/GEPSNONPILOT/Tender/SplashBidNoticeAbstractUI.aspx?menuIndex=3&amp;refID=7044952&amp;Result=3","7044952")</f>
        <v>0</v>
      </c>
      <c r="B741" t="s">
        <v>339</v>
      </c>
      <c r="C741" t="s">
        <v>3902</v>
      </c>
      <c r="D741" t="s">
        <v>18092</v>
      </c>
      <c r="E741" t="s">
        <v>18817</v>
      </c>
      <c r="F741" t="s">
        <v>31574</v>
      </c>
      <c r="G741" t="s">
        <v>31581</v>
      </c>
      <c r="H741" t="s">
        <v>31590</v>
      </c>
      <c r="I741" t="s">
        <v>4046</v>
      </c>
      <c r="J741" t="s">
        <v>32329</v>
      </c>
      <c r="K741" t="s">
        <v>41186</v>
      </c>
      <c r="M741" t="s">
        <v>41827</v>
      </c>
      <c r="N741" t="s">
        <v>45095</v>
      </c>
      <c r="O741" t="s">
        <v>45096</v>
      </c>
      <c r="P741">
        <v>0</v>
      </c>
      <c r="Q741">
        <v>0</v>
      </c>
      <c r="R741" t="s">
        <v>45097</v>
      </c>
      <c r="S741" t="s">
        <v>45222</v>
      </c>
      <c r="T741" t="s">
        <v>46934</v>
      </c>
      <c r="U741" t="s">
        <v>48131</v>
      </c>
      <c r="W741" t="s">
        <v>61664</v>
      </c>
      <c r="X741" t="s">
        <v>45098</v>
      </c>
    </row>
    <row r="742" spans="1:24">
      <c r="A742">
        <f>HYPERLINK("https://www.philgeps.gov.ph/GEPSNONPILOT/Tender/SplashBidNoticeAbstractUI.aspx?menuIndex=3&amp;refID=7044929&amp;Result=3","7044929")</f>
        <v>0</v>
      </c>
      <c r="B742" t="s">
        <v>200</v>
      </c>
      <c r="C742" t="s">
        <v>3903</v>
      </c>
      <c r="D742" t="s">
        <v>18070</v>
      </c>
      <c r="E742" t="s">
        <v>18818</v>
      </c>
      <c r="F742" t="s">
        <v>31574</v>
      </c>
      <c r="G742" t="s">
        <v>31581</v>
      </c>
      <c r="H742" t="s">
        <v>31590</v>
      </c>
      <c r="I742" t="s">
        <v>4046</v>
      </c>
      <c r="J742" t="s">
        <v>32330</v>
      </c>
      <c r="K742" t="s">
        <v>41194</v>
      </c>
      <c r="M742" t="s">
        <v>41685</v>
      </c>
      <c r="N742" t="s">
        <v>45095</v>
      </c>
      <c r="O742" t="s">
        <v>45096</v>
      </c>
      <c r="P742">
        <v>0</v>
      </c>
      <c r="Q742">
        <v>0</v>
      </c>
      <c r="R742" t="s">
        <v>45097</v>
      </c>
      <c r="S742" t="s">
        <v>45222</v>
      </c>
      <c r="T742" t="s">
        <v>46913</v>
      </c>
      <c r="U742" t="s">
        <v>48132</v>
      </c>
      <c r="W742" t="s">
        <v>41685</v>
      </c>
      <c r="X742" t="s">
        <v>45098</v>
      </c>
    </row>
    <row r="743" spans="1:24">
      <c r="A743">
        <f>HYPERLINK("https://www.philgeps.gov.ph/GEPSNONPILOT/Tender/SplashBidNoticeAbstractUI.aspx?menuIndex=3&amp;refID=7044931&amp;Result=3","7044931")</f>
        <v>0</v>
      </c>
      <c r="B743" t="s">
        <v>271</v>
      </c>
      <c r="C743" t="s">
        <v>3753</v>
      </c>
      <c r="D743" t="s">
        <v>18046</v>
      </c>
      <c r="E743" t="s">
        <v>18448</v>
      </c>
      <c r="F743" t="s">
        <v>31574</v>
      </c>
      <c r="G743" t="s">
        <v>31582</v>
      </c>
      <c r="H743" t="s">
        <v>31591</v>
      </c>
      <c r="I743" t="s">
        <v>8822</v>
      </c>
      <c r="J743" t="s">
        <v>31821</v>
      </c>
      <c r="K743" t="s">
        <v>41193</v>
      </c>
      <c r="M743" t="s">
        <v>41757</v>
      </c>
      <c r="N743" t="s">
        <v>45095</v>
      </c>
      <c r="O743" t="s">
        <v>45096</v>
      </c>
      <c r="P743">
        <v>0</v>
      </c>
      <c r="Q743">
        <v>0</v>
      </c>
      <c r="R743" t="s">
        <v>45097</v>
      </c>
      <c r="S743" t="s">
        <v>45222</v>
      </c>
      <c r="T743" t="s">
        <v>47012</v>
      </c>
      <c r="U743" t="s">
        <v>48133</v>
      </c>
      <c r="W743" t="s">
        <v>41757</v>
      </c>
      <c r="X743" t="s">
        <v>45098</v>
      </c>
    </row>
    <row r="744" spans="1:24">
      <c r="A744">
        <f>HYPERLINK("https://www.philgeps.gov.ph/GEPSNONPILOT/Tender/SplashBidNoticeAbstractUI.aspx?menuIndex=3&amp;refID=7044976&amp;Result=3","7044976")</f>
        <v>0</v>
      </c>
      <c r="B744" t="s">
        <v>291</v>
      </c>
      <c r="C744" t="s">
        <v>3904</v>
      </c>
      <c r="D744" t="s">
        <v>18091</v>
      </c>
      <c r="E744" t="s">
        <v>18819</v>
      </c>
      <c r="F744" t="s">
        <v>31574</v>
      </c>
      <c r="G744" t="s">
        <v>31582</v>
      </c>
      <c r="H744" t="s">
        <v>31591</v>
      </c>
      <c r="I744" t="s">
        <v>8822</v>
      </c>
      <c r="J744" t="s">
        <v>32331</v>
      </c>
      <c r="K744" t="s">
        <v>41192</v>
      </c>
      <c r="M744" t="s">
        <v>41777</v>
      </c>
      <c r="N744" t="s">
        <v>45095</v>
      </c>
      <c r="O744" t="s">
        <v>45096</v>
      </c>
      <c r="P744">
        <v>0</v>
      </c>
      <c r="Q744">
        <v>0</v>
      </c>
      <c r="R744" t="s">
        <v>45097</v>
      </c>
      <c r="S744" t="s">
        <v>45222</v>
      </c>
      <c r="T744" t="s">
        <v>46987</v>
      </c>
      <c r="U744" t="s">
        <v>48134</v>
      </c>
      <c r="V744" t="s">
        <v>59918</v>
      </c>
      <c r="W744" t="s">
        <v>41777</v>
      </c>
      <c r="X744" t="s">
        <v>45098</v>
      </c>
    </row>
    <row r="745" spans="1:24">
      <c r="A745">
        <f>HYPERLINK("https://www.philgeps.gov.ph/GEPSNONPILOT/Tender/SplashBidNoticeAbstractUI.aspx?menuIndex=3&amp;refID=7044956&amp;Result=3","7044956")</f>
        <v>0</v>
      </c>
      <c r="B745" t="s">
        <v>340</v>
      </c>
      <c r="C745" t="s">
        <v>3905</v>
      </c>
      <c r="D745" t="s">
        <v>18077</v>
      </c>
      <c r="E745" t="s">
        <v>18820</v>
      </c>
      <c r="F745" t="s">
        <v>31574</v>
      </c>
      <c r="G745" t="s">
        <v>31581</v>
      </c>
      <c r="H745" t="s">
        <v>31590</v>
      </c>
      <c r="I745" t="s">
        <v>4327</v>
      </c>
      <c r="J745" t="s">
        <v>31845</v>
      </c>
      <c r="K745" t="s">
        <v>41184</v>
      </c>
      <c r="M745" t="s">
        <v>41828</v>
      </c>
      <c r="N745" t="s">
        <v>45095</v>
      </c>
      <c r="O745" t="s">
        <v>45096</v>
      </c>
      <c r="P745">
        <v>0</v>
      </c>
      <c r="Q745">
        <v>0</v>
      </c>
      <c r="R745" t="s">
        <v>45097</v>
      </c>
      <c r="S745" t="s">
        <v>45222</v>
      </c>
      <c r="T745" t="s">
        <v>46917</v>
      </c>
      <c r="U745" t="s">
        <v>48135</v>
      </c>
      <c r="W745" t="s">
        <v>41828</v>
      </c>
      <c r="X745" t="s">
        <v>45098</v>
      </c>
    </row>
    <row r="746" spans="1:24">
      <c r="A746">
        <f>HYPERLINK("https://www.philgeps.gov.ph/GEPSNONPILOT/Tender/SplashBidNoticeAbstractUI.aspx?menuIndex=3&amp;refID=7044963&amp;Result=3","7044963")</f>
        <v>0</v>
      </c>
      <c r="B746" t="s">
        <v>341</v>
      </c>
      <c r="C746" t="s">
        <v>3906</v>
      </c>
      <c r="D746" t="s">
        <v>18086</v>
      </c>
      <c r="E746" t="s">
        <v>18821</v>
      </c>
      <c r="F746" t="s">
        <v>31574</v>
      </c>
      <c r="G746" t="s">
        <v>31581</v>
      </c>
      <c r="H746" t="s">
        <v>31590</v>
      </c>
      <c r="I746" t="s">
        <v>31610</v>
      </c>
      <c r="J746" t="s">
        <v>32332</v>
      </c>
      <c r="K746" t="s">
        <v>41191</v>
      </c>
      <c r="M746" t="s">
        <v>41829</v>
      </c>
      <c r="N746" t="s">
        <v>45095</v>
      </c>
      <c r="O746" t="s">
        <v>45096</v>
      </c>
      <c r="P746">
        <v>0</v>
      </c>
      <c r="Q746">
        <v>0</v>
      </c>
      <c r="R746" t="s">
        <v>45097</v>
      </c>
      <c r="S746" t="s">
        <v>45222</v>
      </c>
      <c r="T746" t="s">
        <v>46911</v>
      </c>
      <c r="U746" t="s">
        <v>48136</v>
      </c>
      <c r="W746" t="s">
        <v>41829</v>
      </c>
      <c r="X746" t="s">
        <v>45098</v>
      </c>
    </row>
    <row r="747" spans="1:24">
      <c r="A747">
        <f>HYPERLINK("https://www.philgeps.gov.ph/GEPSNONPILOT/Tender/SplashBidNoticeAbstractUI.aspx?menuIndex=3&amp;refID=7044977&amp;Result=3","7044977")</f>
        <v>0</v>
      </c>
      <c r="B747" t="s">
        <v>342</v>
      </c>
      <c r="C747" t="s">
        <v>3907</v>
      </c>
      <c r="D747" t="s">
        <v>18083</v>
      </c>
      <c r="E747" t="s">
        <v>18822</v>
      </c>
      <c r="F747" t="s">
        <v>31574</v>
      </c>
      <c r="G747" t="s">
        <v>31582</v>
      </c>
      <c r="H747" t="s">
        <v>31591</v>
      </c>
      <c r="I747" t="s">
        <v>8822</v>
      </c>
      <c r="J747" t="s">
        <v>32333</v>
      </c>
      <c r="K747" t="s">
        <v>41236</v>
      </c>
      <c r="M747" t="s">
        <v>41830</v>
      </c>
      <c r="N747" t="s">
        <v>45095</v>
      </c>
      <c r="O747" t="s">
        <v>45096</v>
      </c>
      <c r="P747">
        <v>0</v>
      </c>
      <c r="Q747">
        <v>0</v>
      </c>
      <c r="R747" t="s">
        <v>45097</v>
      </c>
      <c r="S747" t="s">
        <v>45222</v>
      </c>
      <c r="T747" t="s">
        <v>46988</v>
      </c>
      <c r="U747" t="s">
        <v>48137</v>
      </c>
      <c r="W747" t="s">
        <v>41830</v>
      </c>
      <c r="X747" t="s">
        <v>45098</v>
      </c>
    </row>
    <row r="748" spans="1:24">
      <c r="A748">
        <f>HYPERLINK("https://www.philgeps.gov.ph/GEPSNONPILOT/Tender/SplashBidNoticeAbstractUI.aspx?menuIndex=3&amp;refID=7044971&amp;Result=3","7044971")</f>
        <v>0</v>
      </c>
      <c r="B748" t="s">
        <v>343</v>
      </c>
      <c r="C748" t="s">
        <v>3908</v>
      </c>
      <c r="D748" t="s">
        <v>18041</v>
      </c>
      <c r="E748" t="s">
        <v>18823</v>
      </c>
      <c r="F748" t="s">
        <v>31576</v>
      </c>
      <c r="G748" t="s">
        <v>31584</v>
      </c>
      <c r="H748" t="s">
        <v>31590</v>
      </c>
      <c r="I748" t="s">
        <v>31603</v>
      </c>
      <c r="J748" t="s">
        <v>32334</v>
      </c>
      <c r="K748" t="s">
        <v>41211</v>
      </c>
      <c r="M748" t="s">
        <v>41831</v>
      </c>
      <c r="N748" t="s">
        <v>45095</v>
      </c>
      <c r="O748" t="s">
        <v>45096</v>
      </c>
      <c r="P748">
        <v>0</v>
      </c>
      <c r="Q748">
        <v>0</v>
      </c>
      <c r="R748" t="s">
        <v>45097</v>
      </c>
      <c r="S748" t="s">
        <v>45222</v>
      </c>
      <c r="T748" t="s">
        <v>46935</v>
      </c>
      <c r="U748" t="s">
        <v>48138</v>
      </c>
      <c r="W748" t="s">
        <v>41831</v>
      </c>
      <c r="X748" t="s">
        <v>45098</v>
      </c>
    </row>
    <row r="749" spans="1:24">
      <c r="A749">
        <f>HYPERLINK("https://www.philgeps.gov.ph/GEPSNONPILOT/Tender/SplashBidNoticeAbstractUI.aspx?menuIndex=3&amp;refID=7044975&amp;Result=3","7044975")</f>
        <v>0</v>
      </c>
      <c r="B749" t="s">
        <v>344</v>
      </c>
      <c r="C749" t="s">
        <v>3909</v>
      </c>
      <c r="D749" t="s">
        <v>18027</v>
      </c>
      <c r="E749" t="s">
        <v>18824</v>
      </c>
      <c r="F749" t="s">
        <v>31574</v>
      </c>
      <c r="G749" t="s">
        <v>31582</v>
      </c>
      <c r="H749" t="s">
        <v>31591</v>
      </c>
      <c r="I749" t="s">
        <v>8822</v>
      </c>
      <c r="J749" t="s">
        <v>32335</v>
      </c>
      <c r="K749" t="s">
        <v>41185</v>
      </c>
      <c r="M749" t="s">
        <v>41832</v>
      </c>
      <c r="N749" t="s">
        <v>45095</v>
      </c>
      <c r="O749" t="s">
        <v>45096</v>
      </c>
      <c r="P749">
        <v>0</v>
      </c>
      <c r="Q749">
        <v>0</v>
      </c>
      <c r="R749" t="s">
        <v>45097</v>
      </c>
      <c r="S749" t="s">
        <v>45222</v>
      </c>
      <c r="T749" t="s">
        <v>47013</v>
      </c>
      <c r="U749" t="s">
        <v>48139</v>
      </c>
      <c r="W749" t="s">
        <v>41832</v>
      </c>
      <c r="X749" t="s">
        <v>45098</v>
      </c>
    </row>
    <row r="750" spans="1:24">
      <c r="A750">
        <f>HYPERLINK("https://www.philgeps.gov.ph/GEPSNONPILOT/Tender/SplashBidNoticeAbstractUI.aspx?menuIndex=3&amp;refID=7044964&amp;Result=3","7044964")</f>
        <v>0</v>
      </c>
      <c r="B750" t="s">
        <v>105</v>
      </c>
      <c r="C750" t="s">
        <v>3910</v>
      </c>
      <c r="D750" t="s">
        <v>18062</v>
      </c>
      <c r="E750" t="s">
        <v>18825</v>
      </c>
      <c r="F750" t="s">
        <v>31574</v>
      </c>
      <c r="G750" t="s">
        <v>31582</v>
      </c>
      <c r="H750" t="s">
        <v>31590</v>
      </c>
      <c r="I750" t="s">
        <v>31640</v>
      </c>
      <c r="J750" t="s">
        <v>32019</v>
      </c>
      <c r="K750" t="s">
        <v>41186</v>
      </c>
      <c r="M750" t="s">
        <v>41589</v>
      </c>
      <c r="N750" t="s">
        <v>45095</v>
      </c>
      <c r="O750" t="s">
        <v>45096</v>
      </c>
      <c r="P750">
        <v>0</v>
      </c>
      <c r="Q750">
        <v>0</v>
      </c>
      <c r="R750" t="s">
        <v>45097</v>
      </c>
      <c r="S750" t="s">
        <v>45222</v>
      </c>
      <c r="T750" t="s">
        <v>46956</v>
      </c>
      <c r="U750" t="s">
        <v>48140</v>
      </c>
      <c r="W750" t="s">
        <v>41589</v>
      </c>
      <c r="X750" t="s">
        <v>45098</v>
      </c>
    </row>
    <row r="751" spans="1:24">
      <c r="A751">
        <f>HYPERLINK("https://www.philgeps.gov.ph/GEPSNONPILOT/Tender/SplashBidNoticeAbstractUI.aspx?menuIndex=3&amp;refID=7044970&amp;Result=3","7044970")</f>
        <v>0</v>
      </c>
      <c r="B751" t="s">
        <v>124</v>
      </c>
      <c r="C751" t="s">
        <v>3911</v>
      </c>
      <c r="D751" t="s">
        <v>18065</v>
      </c>
      <c r="E751" t="s">
        <v>18826</v>
      </c>
      <c r="F751" t="s">
        <v>31574</v>
      </c>
      <c r="G751" t="s">
        <v>31581</v>
      </c>
      <c r="H751" t="s">
        <v>31590</v>
      </c>
      <c r="I751" t="s">
        <v>31603</v>
      </c>
      <c r="J751" t="s">
        <v>32336</v>
      </c>
      <c r="K751" t="s">
        <v>41184</v>
      </c>
      <c r="M751" t="s">
        <v>41608</v>
      </c>
      <c r="N751" t="s">
        <v>45095</v>
      </c>
      <c r="O751" t="s">
        <v>45096</v>
      </c>
      <c r="P751">
        <v>0</v>
      </c>
      <c r="Q751">
        <v>0</v>
      </c>
      <c r="R751" t="s">
        <v>45097</v>
      </c>
      <c r="S751" t="s">
        <v>45222</v>
      </c>
      <c r="T751" t="s">
        <v>46934</v>
      </c>
      <c r="U751" t="s">
        <v>48141</v>
      </c>
      <c r="W751" t="s">
        <v>41608</v>
      </c>
      <c r="X751" t="s">
        <v>45098</v>
      </c>
    </row>
    <row r="752" spans="1:24">
      <c r="A752">
        <f>HYPERLINK("https://www.philgeps.gov.ph/GEPSNONPILOT/Tender/SplashBidNoticeAbstractUI.aspx?menuIndex=3&amp;refID=7044969&amp;Result=3","7044969")</f>
        <v>0</v>
      </c>
      <c r="B752" t="s">
        <v>308</v>
      </c>
      <c r="C752" t="s">
        <v>3912</v>
      </c>
      <c r="D752" t="s">
        <v>18056</v>
      </c>
      <c r="E752" t="s">
        <v>18827</v>
      </c>
      <c r="F752" t="s">
        <v>31574</v>
      </c>
      <c r="G752" t="s">
        <v>31581</v>
      </c>
      <c r="H752" t="s">
        <v>31590</v>
      </c>
      <c r="I752" t="s">
        <v>31630</v>
      </c>
      <c r="J752" t="s">
        <v>32337</v>
      </c>
      <c r="K752" t="s">
        <v>41184</v>
      </c>
      <c r="M752" t="s">
        <v>41794</v>
      </c>
      <c r="N752" t="s">
        <v>45095</v>
      </c>
      <c r="O752" t="s">
        <v>45096</v>
      </c>
      <c r="P752">
        <v>0</v>
      </c>
      <c r="Q752">
        <v>0</v>
      </c>
      <c r="R752" t="s">
        <v>45097</v>
      </c>
      <c r="S752" t="s">
        <v>45222</v>
      </c>
      <c r="T752" t="s">
        <v>46935</v>
      </c>
      <c r="U752" t="s">
        <v>48083</v>
      </c>
      <c r="W752" t="s">
        <v>41794</v>
      </c>
      <c r="X752" t="s">
        <v>45098</v>
      </c>
    </row>
    <row r="753" spans="1:24">
      <c r="A753">
        <f>HYPERLINK("https://www.philgeps.gov.ph/GEPSNONPILOT/Tender/SplashBidNoticeAbstractUI.aspx?menuIndex=3&amp;refID=7044962&amp;Result=3","7044962")</f>
        <v>0</v>
      </c>
      <c r="B753" t="s">
        <v>51</v>
      </c>
      <c r="C753" t="s">
        <v>3238</v>
      </c>
      <c r="D753" t="s">
        <v>18043</v>
      </c>
      <c r="E753" t="s">
        <v>18828</v>
      </c>
      <c r="F753" t="s">
        <v>31574</v>
      </c>
      <c r="G753" t="s">
        <v>31583</v>
      </c>
      <c r="H753" t="s">
        <v>31590</v>
      </c>
      <c r="I753" t="s">
        <v>3520</v>
      </c>
      <c r="J753" t="s">
        <v>32338</v>
      </c>
      <c r="K753" t="s">
        <v>41211</v>
      </c>
      <c r="M753" t="s">
        <v>41534</v>
      </c>
      <c r="N753" t="s">
        <v>45095</v>
      </c>
      <c r="O753" t="s">
        <v>45096</v>
      </c>
      <c r="P753">
        <v>0</v>
      </c>
      <c r="Q753">
        <v>0</v>
      </c>
      <c r="R753" t="s">
        <v>45097</v>
      </c>
      <c r="S753" t="s">
        <v>45222</v>
      </c>
      <c r="T753" t="s">
        <v>46921</v>
      </c>
      <c r="U753" t="s">
        <v>48142</v>
      </c>
      <c r="W753" t="s">
        <v>41534</v>
      </c>
      <c r="X753" t="s">
        <v>45098</v>
      </c>
    </row>
    <row r="754" spans="1:24">
      <c r="A754">
        <f>HYPERLINK("https://www.philgeps.gov.ph/GEPSNONPILOT/Tender/SplashBidNoticeAbstractUI.aspx?menuIndex=3&amp;refID=7044974&amp;Result=3","7044974")</f>
        <v>0</v>
      </c>
      <c r="B754" t="s">
        <v>345</v>
      </c>
      <c r="C754" t="s">
        <v>3913</v>
      </c>
      <c r="D754" t="s">
        <v>18039</v>
      </c>
      <c r="E754" t="s">
        <v>18829</v>
      </c>
      <c r="F754" t="s">
        <v>31574</v>
      </c>
      <c r="G754" t="s">
        <v>31581</v>
      </c>
      <c r="H754" t="s">
        <v>31590</v>
      </c>
      <c r="I754" t="s">
        <v>31608</v>
      </c>
      <c r="J754" t="s">
        <v>32339</v>
      </c>
      <c r="K754" t="s">
        <v>41196</v>
      </c>
      <c r="M754" t="s">
        <v>41833</v>
      </c>
      <c r="N754" t="s">
        <v>45095</v>
      </c>
      <c r="O754" t="s">
        <v>45096</v>
      </c>
      <c r="P754">
        <v>0</v>
      </c>
      <c r="Q754">
        <v>0</v>
      </c>
      <c r="R754" t="s">
        <v>45097</v>
      </c>
      <c r="S754" t="s">
        <v>45222</v>
      </c>
      <c r="T754" t="s">
        <v>47014</v>
      </c>
      <c r="U754" t="s">
        <v>48143</v>
      </c>
      <c r="W754" t="s">
        <v>41833</v>
      </c>
      <c r="X754" t="s">
        <v>45098</v>
      </c>
    </row>
    <row r="755" spans="1:24">
      <c r="A755">
        <f>HYPERLINK("https://www.philgeps.gov.ph/GEPSNONPILOT/Tender/SplashBidNoticeAbstractUI.aspx?menuIndex=3&amp;refID=7044960&amp;Result=3","7044960")</f>
        <v>0</v>
      </c>
      <c r="B755" t="s">
        <v>124</v>
      </c>
      <c r="C755" t="s">
        <v>3914</v>
      </c>
      <c r="D755" t="s">
        <v>18065</v>
      </c>
      <c r="E755" t="s">
        <v>18830</v>
      </c>
      <c r="F755" t="s">
        <v>31574</v>
      </c>
      <c r="G755" t="s">
        <v>31581</v>
      </c>
      <c r="H755" t="s">
        <v>31590</v>
      </c>
      <c r="I755" t="s">
        <v>31600</v>
      </c>
      <c r="J755" t="s">
        <v>32340</v>
      </c>
      <c r="K755" t="s">
        <v>41184</v>
      </c>
      <c r="M755" t="s">
        <v>41608</v>
      </c>
      <c r="N755" t="s">
        <v>45095</v>
      </c>
      <c r="O755" t="s">
        <v>45096</v>
      </c>
      <c r="P755">
        <v>0</v>
      </c>
      <c r="Q755">
        <v>0</v>
      </c>
      <c r="R755" t="s">
        <v>45097</v>
      </c>
      <c r="S755" t="s">
        <v>45222</v>
      </c>
      <c r="T755" t="s">
        <v>46934</v>
      </c>
      <c r="U755" t="s">
        <v>48144</v>
      </c>
      <c r="W755" t="s">
        <v>41608</v>
      </c>
      <c r="X755" t="s">
        <v>45098</v>
      </c>
    </row>
    <row r="756" spans="1:24">
      <c r="A756">
        <f>HYPERLINK("https://www.philgeps.gov.ph/GEPSNONPILOT/Tender/SplashBidNoticeAbstractUI.aspx?menuIndex=3&amp;refID=7044959&amp;Result=3","7044959")</f>
        <v>0</v>
      </c>
      <c r="B756" t="s">
        <v>308</v>
      </c>
      <c r="C756" t="s">
        <v>3915</v>
      </c>
      <c r="D756" t="s">
        <v>18056</v>
      </c>
      <c r="E756" t="s">
        <v>18831</v>
      </c>
      <c r="F756" t="s">
        <v>31574</v>
      </c>
      <c r="G756" t="s">
        <v>31583</v>
      </c>
      <c r="H756" t="s">
        <v>31590</v>
      </c>
      <c r="I756" t="s">
        <v>4327</v>
      </c>
      <c r="J756" t="s">
        <v>32341</v>
      </c>
      <c r="K756" t="s">
        <v>41184</v>
      </c>
      <c r="M756" t="s">
        <v>41794</v>
      </c>
      <c r="N756" t="s">
        <v>45095</v>
      </c>
      <c r="O756" t="s">
        <v>45096</v>
      </c>
      <c r="P756">
        <v>0</v>
      </c>
      <c r="Q756">
        <v>0</v>
      </c>
      <c r="R756" t="s">
        <v>45097</v>
      </c>
      <c r="S756" t="s">
        <v>45222</v>
      </c>
      <c r="T756" t="s">
        <v>46935</v>
      </c>
      <c r="U756" t="s">
        <v>47721</v>
      </c>
      <c r="W756" t="s">
        <v>41794</v>
      </c>
      <c r="X756" t="s">
        <v>45098</v>
      </c>
    </row>
    <row r="757" spans="1:24">
      <c r="A757">
        <f>HYPERLINK("https://www.philgeps.gov.ph/GEPSNONPILOT/Tender/SplashBidNoticeAbstractUI.aspx?menuIndex=3&amp;refID=7044968&amp;Result=3","7044968")</f>
        <v>0</v>
      </c>
      <c r="B757" t="s">
        <v>29</v>
      </c>
      <c r="C757" t="s">
        <v>3916</v>
      </c>
      <c r="D757" t="s">
        <v>18026</v>
      </c>
      <c r="E757" t="s">
        <v>18832</v>
      </c>
      <c r="F757" t="s">
        <v>31574</v>
      </c>
      <c r="G757" t="s">
        <v>31583</v>
      </c>
      <c r="H757" t="s">
        <v>31590</v>
      </c>
      <c r="I757" t="s">
        <v>31608</v>
      </c>
      <c r="J757" t="s">
        <v>32342</v>
      </c>
      <c r="K757" t="s">
        <v>41193</v>
      </c>
      <c r="M757" t="s">
        <v>41511</v>
      </c>
      <c r="N757" t="s">
        <v>45095</v>
      </c>
      <c r="O757" t="s">
        <v>45096</v>
      </c>
      <c r="P757">
        <v>0</v>
      </c>
      <c r="Q757">
        <v>0</v>
      </c>
      <c r="R757" t="s">
        <v>45097</v>
      </c>
      <c r="S757" t="s">
        <v>45222</v>
      </c>
      <c r="T757" t="s">
        <v>46918</v>
      </c>
      <c r="U757" t="s">
        <v>48145</v>
      </c>
      <c r="W757" t="s">
        <v>41511</v>
      </c>
      <c r="X757" t="s">
        <v>45098</v>
      </c>
    </row>
    <row r="758" spans="1:24">
      <c r="A758">
        <f>HYPERLINK("https://www.philgeps.gov.ph/GEPSNONPILOT/Tender/SplashBidNoticeAbstractUI.aspx?menuIndex=3&amp;refID=7044957&amp;Result=3","7044957")</f>
        <v>0</v>
      </c>
      <c r="B758" t="s">
        <v>346</v>
      </c>
      <c r="C758" t="s">
        <v>3917</v>
      </c>
      <c r="D758" t="s">
        <v>18044</v>
      </c>
      <c r="E758" t="s">
        <v>18833</v>
      </c>
      <c r="F758" t="s">
        <v>31574</v>
      </c>
      <c r="G758" t="s">
        <v>31581</v>
      </c>
      <c r="H758" t="s">
        <v>31590</v>
      </c>
      <c r="I758" t="s">
        <v>3539</v>
      </c>
      <c r="J758" t="s">
        <v>32343</v>
      </c>
      <c r="K758" t="s">
        <v>41184</v>
      </c>
      <c r="M758" t="s">
        <v>41834</v>
      </c>
      <c r="N758" t="s">
        <v>45095</v>
      </c>
      <c r="O758" t="s">
        <v>45096</v>
      </c>
      <c r="P758">
        <v>0</v>
      </c>
      <c r="Q758">
        <v>0</v>
      </c>
      <c r="R758" t="s">
        <v>45097</v>
      </c>
      <c r="S758" t="s">
        <v>45222</v>
      </c>
      <c r="T758" t="s">
        <v>46979</v>
      </c>
      <c r="U758" t="s">
        <v>48146</v>
      </c>
      <c r="W758" t="s">
        <v>44356</v>
      </c>
      <c r="X758" t="s">
        <v>45098</v>
      </c>
    </row>
    <row r="759" spans="1:24">
      <c r="A759">
        <f>HYPERLINK("https://www.philgeps.gov.ph/GEPSNONPILOT/Tender/SplashBidNoticeAbstractUI.aspx?menuIndex=3&amp;refID=7044967&amp;Result=3","7044967")</f>
        <v>0</v>
      </c>
      <c r="B759" t="s">
        <v>329</v>
      </c>
      <c r="C759" t="s">
        <v>3918</v>
      </c>
      <c r="D759" t="s">
        <v>18092</v>
      </c>
      <c r="E759" t="s">
        <v>18834</v>
      </c>
      <c r="F759" t="s">
        <v>31574</v>
      </c>
      <c r="G759" t="s">
        <v>31584</v>
      </c>
      <c r="H759" t="s">
        <v>31590</v>
      </c>
      <c r="I759" t="s">
        <v>3873</v>
      </c>
      <c r="J759" t="s">
        <v>32344</v>
      </c>
      <c r="K759" t="s">
        <v>41186</v>
      </c>
      <c r="M759" t="s">
        <v>41817</v>
      </c>
      <c r="N759" t="s">
        <v>45095</v>
      </c>
      <c r="O759" t="s">
        <v>45096</v>
      </c>
      <c r="P759">
        <v>0</v>
      </c>
      <c r="Q759">
        <v>0</v>
      </c>
      <c r="R759" t="s">
        <v>45097</v>
      </c>
      <c r="S759" t="s">
        <v>45222</v>
      </c>
      <c r="T759" t="s">
        <v>46904</v>
      </c>
      <c r="U759" t="s">
        <v>48147</v>
      </c>
      <c r="W759" t="s">
        <v>41817</v>
      </c>
      <c r="X759" t="s">
        <v>45098</v>
      </c>
    </row>
    <row r="760" spans="1:24">
      <c r="A760">
        <f>HYPERLINK("https://www.philgeps.gov.ph/GEPSNONPILOT/Tender/SplashBidNoticeAbstractUI.aspx?menuIndex=3&amp;refID=7044982&amp;Result=3","7044982")</f>
        <v>0</v>
      </c>
      <c r="B760" t="s">
        <v>347</v>
      </c>
      <c r="C760" t="s">
        <v>3919</v>
      </c>
      <c r="D760" t="s">
        <v>18058</v>
      </c>
      <c r="E760" t="s">
        <v>18835</v>
      </c>
      <c r="F760" t="s">
        <v>31574</v>
      </c>
      <c r="G760" t="s">
        <v>31581</v>
      </c>
      <c r="H760" t="s">
        <v>31590</v>
      </c>
      <c r="I760" t="s">
        <v>31641</v>
      </c>
      <c r="J760" t="s">
        <v>31958</v>
      </c>
      <c r="K760" t="s">
        <v>41186</v>
      </c>
      <c r="M760" t="s">
        <v>41835</v>
      </c>
      <c r="N760" t="s">
        <v>45095</v>
      </c>
      <c r="O760" t="s">
        <v>45096</v>
      </c>
      <c r="P760">
        <v>0</v>
      </c>
      <c r="Q760">
        <v>0</v>
      </c>
      <c r="R760" t="s">
        <v>45097</v>
      </c>
      <c r="S760" t="s">
        <v>45222</v>
      </c>
      <c r="T760" t="s">
        <v>46913</v>
      </c>
      <c r="U760" t="s">
        <v>48148</v>
      </c>
      <c r="W760" t="s">
        <v>41835</v>
      </c>
      <c r="X760" t="s">
        <v>45098</v>
      </c>
    </row>
    <row r="761" spans="1:24">
      <c r="A761">
        <f>HYPERLINK("https://www.philgeps.gov.ph/GEPSNONPILOT/Tender/SplashBidNoticeAbstractUI.aspx?menuIndex=3&amp;refID=7044981&amp;Result=3","7044981")</f>
        <v>0</v>
      </c>
      <c r="B761" t="s">
        <v>244</v>
      </c>
      <c r="C761" t="s">
        <v>3920</v>
      </c>
      <c r="D761" t="s">
        <v>18053</v>
      </c>
      <c r="E761" t="s">
        <v>18836</v>
      </c>
      <c r="F761" t="s">
        <v>31574</v>
      </c>
      <c r="G761" t="s">
        <v>31581</v>
      </c>
      <c r="H761" t="s">
        <v>31590</v>
      </c>
      <c r="I761" t="s">
        <v>31610</v>
      </c>
      <c r="J761" t="s">
        <v>31789</v>
      </c>
      <c r="K761" t="s">
        <v>41193</v>
      </c>
      <c r="M761" t="s">
        <v>41730</v>
      </c>
      <c r="N761" t="s">
        <v>45095</v>
      </c>
      <c r="O761" t="s">
        <v>45096</v>
      </c>
      <c r="P761">
        <v>0</v>
      </c>
      <c r="Q761">
        <v>0</v>
      </c>
      <c r="R761" t="s">
        <v>45097</v>
      </c>
      <c r="S761" t="s">
        <v>45222</v>
      </c>
      <c r="T761" t="s">
        <v>46946</v>
      </c>
      <c r="U761" t="s">
        <v>48149</v>
      </c>
      <c r="W761" t="s">
        <v>41730</v>
      </c>
      <c r="X761" t="s">
        <v>45098</v>
      </c>
    </row>
    <row r="762" spans="1:24">
      <c r="A762">
        <f>HYPERLINK("https://www.philgeps.gov.ph/GEPSNONPILOT/Tender/SplashBidNoticeAbstractUI.aspx?menuIndex=3&amp;refID=7044979&amp;Result=3","7044979")</f>
        <v>0</v>
      </c>
      <c r="B762" t="s">
        <v>73</v>
      </c>
      <c r="C762" t="s">
        <v>3921</v>
      </c>
      <c r="D762" t="s">
        <v>18041</v>
      </c>
      <c r="E762" t="s">
        <v>18837</v>
      </c>
      <c r="F762" t="s">
        <v>31574</v>
      </c>
      <c r="G762" t="s">
        <v>31582</v>
      </c>
      <c r="H762" t="s">
        <v>31590</v>
      </c>
      <c r="I762" t="s">
        <v>31602</v>
      </c>
      <c r="J762" t="s">
        <v>32345</v>
      </c>
      <c r="K762" t="s">
        <v>41184</v>
      </c>
      <c r="M762" t="s">
        <v>41557</v>
      </c>
      <c r="N762" t="s">
        <v>45095</v>
      </c>
      <c r="O762" t="s">
        <v>45096</v>
      </c>
      <c r="P762">
        <v>0</v>
      </c>
      <c r="Q762">
        <v>0</v>
      </c>
      <c r="R762" t="s">
        <v>45097</v>
      </c>
      <c r="S762" t="s">
        <v>45222</v>
      </c>
      <c r="T762" t="s">
        <v>46938</v>
      </c>
      <c r="U762" t="s">
        <v>48150</v>
      </c>
      <c r="V762" t="s">
        <v>59867</v>
      </c>
      <c r="W762" t="s">
        <v>41557</v>
      </c>
      <c r="X762" t="s">
        <v>45098</v>
      </c>
    </row>
    <row r="763" spans="1:24">
      <c r="A763">
        <f>HYPERLINK("https://www.philgeps.gov.ph/GEPSNONPILOT/Tender/SplashBidNoticeAbstractUI.aspx?menuIndex=3&amp;refID=7044985&amp;Result=3","7044985")</f>
        <v>0</v>
      </c>
      <c r="B763" t="s">
        <v>281</v>
      </c>
      <c r="C763" t="s">
        <v>3922</v>
      </c>
      <c r="D763" t="s">
        <v>18041</v>
      </c>
      <c r="E763" t="s">
        <v>18838</v>
      </c>
      <c r="F763" t="s">
        <v>31574</v>
      </c>
      <c r="G763" t="s">
        <v>31581</v>
      </c>
      <c r="H763" t="s">
        <v>31591</v>
      </c>
      <c r="I763" t="s">
        <v>7162</v>
      </c>
      <c r="J763" t="s">
        <v>32346</v>
      </c>
      <c r="K763" t="s">
        <v>41189</v>
      </c>
      <c r="M763" t="s">
        <v>41767</v>
      </c>
      <c r="N763" t="s">
        <v>45095</v>
      </c>
      <c r="O763" t="s">
        <v>45096</v>
      </c>
      <c r="P763">
        <v>0</v>
      </c>
      <c r="Q763">
        <v>0</v>
      </c>
      <c r="R763" t="s">
        <v>45097</v>
      </c>
      <c r="S763" t="s">
        <v>45222</v>
      </c>
      <c r="T763" t="s">
        <v>46910</v>
      </c>
      <c r="U763" t="s">
        <v>48118</v>
      </c>
      <c r="W763" t="s">
        <v>41767</v>
      </c>
      <c r="X763" t="s">
        <v>45098</v>
      </c>
    </row>
    <row r="764" spans="1:24">
      <c r="A764">
        <f>HYPERLINK("https://www.philgeps.gov.ph/GEPSNONPILOT/Tender/SplashBidNoticeAbstractUI.aspx?menuIndex=3&amp;refID=7044958&amp;Result=3","7044958")</f>
        <v>0</v>
      </c>
      <c r="B764" t="s">
        <v>292</v>
      </c>
      <c r="C764" t="s">
        <v>3923</v>
      </c>
      <c r="D764" t="s">
        <v>18022</v>
      </c>
      <c r="E764" t="s">
        <v>18720</v>
      </c>
      <c r="F764" t="s">
        <v>31574</v>
      </c>
      <c r="G764" t="s">
        <v>31581</v>
      </c>
      <c r="H764" t="s">
        <v>31590</v>
      </c>
      <c r="I764" t="s">
        <v>31629</v>
      </c>
      <c r="J764" t="s">
        <v>32347</v>
      </c>
      <c r="K764" t="s">
        <v>41190</v>
      </c>
      <c r="M764" t="s">
        <v>41778</v>
      </c>
      <c r="N764" t="s">
        <v>45095</v>
      </c>
      <c r="O764" t="s">
        <v>45096</v>
      </c>
      <c r="P764">
        <v>0</v>
      </c>
      <c r="Q764">
        <v>0</v>
      </c>
      <c r="R764" t="s">
        <v>45097</v>
      </c>
      <c r="S764" t="s">
        <v>45222</v>
      </c>
      <c r="T764" t="s">
        <v>46955</v>
      </c>
      <c r="U764" t="s">
        <v>48151</v>
      </c>
      <c r="W764" t="s">
        <v>41778</v>
      </c>
      <c r="X764" t="s">
        <v>45098</v>
      </c>
    </row>
    <row r="765" spans="1:24">
      <c r="A765">
        <f>HYPERLINK("https://www.philgeps.gov.ph/GEPSNONPILOT/Tender/SplashBidNoticeAbstractUI.aspx?menuIndex=3&amp;refID=7044989&amp;Result=3","7044989")</f>
        <v>0</v>
      </c>
      <c r="B765" t="s">
        <v>180</v>
      </c>
      <c r="C765" t="s">
        <v>3924</v>
      </c>
      <c r="D765" t="s">
        <v>18066</v>
      </c>
      <c r="E765" t="s">
        <v>18839</v>
      </c>
      <c r="F765" t="s">
        <v>31574</v>
      </c>
      <c r="G765" t="s">
        <v>31582</v>
      </c>
      <c r="H765" t="s">
        <v>31590</v>
      </c>
      <c r="I765" t="s">
        <v>4046</v>
      </c>
      <c r="J765" t="s">
        <v>32348</v>
      </c>
      <c r="K765" t="s">
        <v>41196</v>
      </c>
      <c r="M765" t="s">
        <v>41665</v>
      </c>
      <c r="N765" t="s">
        <v>45095</v>
      </c>
      <c r="O765" t="s">
        <v>45096</v>
      </c>
      <c r="P765">
        <v>0</v>
      </c>
      <c r="Q765">
        <v>0</v>
      </c>
      <c r="R765" t="s">
        <v>45097</v>
      </c>
      <c r="S765" t="s">
        <v>45222</v>
      </c>
      <c r="T765" t="s">
        <v>46977</v>
      </c>
      <c r="U765" t="s">
        <v>48152</v>
      </c>
      <c r="W765" t="s">
        <v>41665</v>
      </c>
      <c r="X765" t="s">
        <v>45098</v>
      </c>
    </row>
    <row r="766" spans="1:24">
      <c r="A766">
        <f>HYPERLINK("https://www.philgeps.gov.ph/GEPSNONPILOT/Tender/SplashBidNoticeAbstractUI.aspx?menuIndex=3&amp;refID=7045002&amp;Result=3","7045002")</f>
        <v>0</v>
      </c>
      <c r="B766" t="s">
        <v>348</v>
      </c>
      <c r="C766" t="s">
        <v>3925</v>
      </c>
      <c r="D766" t="s">
        <v>18065</v>
      </c>
      <c r="E766" t="s">
        <v>18840</v>
      </c>
      <c r="F766" t="s">
        <v>31574</v>
      </c>
      <c r="G766" t="s">
        <v>31583</v>
      </c>
      <c r="H766" t="s">
        <v>31590</v>
      </c>
      <c r="I766" t="s">
        <v>31630</v>
      </c>
      <c r="J766" t="s">
        <v>32017</v>
      </c>
      <c r="K766" t="s">
        <v>41186</v>
      </c>
      <c r="M766" t="s">
        <v>41836</v>
      </c>
      <c r="N766" t="s">
        <v>45095</v>
      </c>
      <c r="O766" t="s">
        <v>45096</v>
      </c>
      <c r="P766">
        <v>0</v>
      </c>
      <c r="Q766">
        <v>0</v>
      </c>
      <c r="R766" t="s">
        <v>45097</v>
      </c>
      <c r="S766" t="s">
        <v>45222</v>
      </c>
      <c r="T766" t="s">
        <v>46957</v>
      </c>
      <c r="U766" t="s">
        <v>48153</v>
      </c>
      <c r="W766" t="s">
        <v>41836</v>
      </c>
      <c r="X766" t="s">
        <v>45098</v>
      </c>
    </row>
    <row r="767" spans="1:24">
      <c r="A767">
        <f>HYPERLINK("https://www.philgeps.gov.ph/GEPSNONPILOT/Tender/SplashBidNoticeAbstractUI.aspx?menuIndex=3&amp;refID=7044987&amp;Result=3","7044987")</f>
        <v>0</v>
      </c>
      <c r="B767" t="s">
        <v>349</v>
      </c>
      <c r="C767" t="s">
        <v>3926</v>
      </c>
      <c r="D767" t="s">
        <v>18071</v>
      </c>
      <c r="E767" t="s">
        <v>18841</v>
      </c>
      <c r="F767" t="s">
        <v>31574</v>
      </c>
      <c r="G767" t="s">
        <v>31582</v>
      </c>
      <c r="H767" t="s">
        <v>31590</v>
      </c>
      <c r="I767" t="s">
        <v>4046</v>
      </c>
      <c r="J767" t="s">
        <v>32349</v>
      </c>
      <c r="K767" t="s">
        <v>41186</v>
      </c>
      <c r="L767" t="s">
        <v>349</v>
      </c>
      <c r="M767" t="s">
        <v>41837</v>
      </c>
      <c r="N767" t="s">
        <v>45095</v>
      </c>
      <c r="O767" t="s">
        <v>45096</v>
      </c>
      <c r="P767">
        <v>0</v>
      </c>
      <c r="Q767">
        <v>0</v>
      </c>
      <c r="R767" t="s">
        <v>45097</v>
      </c>
      <c r="S767" t="s">
        <v>45222</v>
      </c>
      <c r="T767" t="s">
        <v>47015</v>
      </c>
      <c r="U767" t="s">
        <v>48154</v>
      </c>
      <c r="W767" t="s">
        <v>41837</v>
      </c>
      <c r="X767" t="s">
        <v>45098</v>
      </c>
    </row>
    <row r="768" spans="1:24">
      <c r="A768">
        <f>HYPERLINK("https://www.philgeps.gov.ph/GEPSNONPILOT/Tender/SplashBidNoticeAbstractUI.aspx?menuIndex=3&amp;refID=7044999&amp;Result=3","7044999")</f>
        <v>0</v>
      </c>
      <c r="B768" t="s">
        <v>308</v>
      </c>
      <c r="C768" t="s">
        <v>3927</v>
      </c>
      <c r="D768" t="s">
        <v>18056</v>
      </c>
      <c r="E768" t="s">
        <v>18842</v>
      </c>
      <c r="F768" t="s">
        <v>31574</v>
      </c>
      <c r="G768" t="s">
        <v>31581</v>
      </c>
      <c r="H768" t="s">
        <v>31590</v>
      </c>
      <c r="I768" t="s">
        <v>5717</v>
      </c>
      <c r="J768" t="s">
        <v>32350</v>
      </c>
      <c r="K768" t="s">
        <v>41184</v>
      </c>
      <c r="M768" t="s">
        <v>41794</v>
      </c>
      <c r="N768" t="s">
        <v>45095</v>
      </c>
      <c r="O768" t="s">
        <v>45096</v>
      </c>
      <c r="P768">
        <v>0</v>
      </c>
      <c r="Q768">
        <v>0</v>
      </c>
      <c r="R768" t="s">
        <v>45097</v>
      </c>
      <c r="S768" t="s">
        <v>45222</v>
      </c>
      <c r="T768" t="s">
        <v>46935</v>
      </c>
      <c r="U768" t="s">
        <v>47721</v>
      </c>
      <c r="W768" t="s">
        <v>41794</v>
      </c>
      <c r="X768" t="s">
        <v>45098</v>
      </c>
    </row>
    <row r="769" spans="1:24">
      <c r="A769">
        <f>HYPERLINK("https://www.philgeps.gov.ph/GEPSNONPILOT/Tender/SplashBidNoticeAbstractUI.aspx?menuIndex=3&amp;refID=7045001&amp;Result=3","7045001")</f>
        <v>0</v>
      </c>
      <c r="B769" t="s">
        <v>231</v>
      </c>
      <c r="C769" t="s">
        <v>3928</v>
      </c>
      <c r="D769" t="s">
        <v>18088</v>
      </c>
      <c r="E769" t="s">
        <v>18843</v>
      </c>
      <c r="F769" t="s">
        <v>31574</v>
      </c>
      <c r="G769" t="s">
        <v>31582</v>
      </c>
      <c r="H769" t="s">
        <v>31591</v>
      </c>
      <c r="I769" t="s">
        <v>8822</v>
      </c>
      <c r="J769" t="s">
        <v>32049</v>
      </c>
      <c r="K769" t="s">
        <v>41195</v>
      </c>
      <c r="M769" t="s">
        <v>41716</v>
      </c>
      <c r="N769" t="s">
        <v>45095</v>
      </c>
      <c r="O769" t="s">
        <v>45096</v>
      </c>
      <c r="P769">
        <v>0</v>
      </c>
      <c r="Q769">
        <v>0</v>
      </c>
      <c r="R769" t="s">
        <v>45097</v>
      </c>
      <c r="S769" t="s">
        <v>45222</v>
      </c>
      <c r="T769" t="s">
        <v>46916</v>
      </c>
      <c r="U769" t="s">
        <v>48155</v>
      </c>
      <c r="W769" t="s">
        <v>41716</v>
      </c>
      <c r="X769" t="s">
        <v>45098</v>
      </c>
    </row>
    <row r="770" spans="1:24">
      <c r="A770">
        <f>HYPERLINK("https://www.philgeps.gov.ph/GEPSNONPILOT/Tender/SplashBidNoticeAbstractUI.aspx?menuIndex=3&amp;refID=7044997&amp;Result=3","7044997")</f>
        <v>0</v>
      </c>
      <c r="B770" t="s">
        <v>73</v>
      </c>
      <c r="C770" t="s">
        <v>3929</v>
      </c>
      <c r="D770" t="s">
        <v>18041</v>
      </c>
      <c r="E770" t="s">
        <v>18844</v>
      </c>
      <c r="F770" t="s">
        <v>31574</v>
      </c>
      <c r="G770" t="s">
        <v>31582</v>
      </c>
      <c r="H770" t="s">
        <v>31590</v>
      </c>
      <c r="I770" t="s">
        <v>7185</v>
      </c>
      <c r="J770" t="s">
        <v>32351</v>
      </c>
      <c r="K770" t="s">
        <v>41184</v>
      </c>
      <c r="M770" t="s">
        <v>41557</v>
      </c>
      <c r="N770" t="s">
        <v>45095</v>
      </c>
      <c r="O770" t="s">
        <v>45096</v>
      </c>
      <c r="P770">
        <v>0</v>
      </c>
      <c r="Q770">
        <v>0</v>
      </c>
      <c r="R770" t="s">
        <v>45097</v>
      </c>
      <c r="S770" t="s">
        <v>45222</v>
      </c>
      <c r="T770" t="s">
        <v>46938</v>
      </c>
      <c r="U770" t="s">
        <v>48156</v>
      </c>
      <c r="V770" t="s">
        <v>59922</v>
      </c>
      <c r="W770" t="s">
        <v>41557</v>
      </c>
      <c r="X770" t="s">
        <v>45098</v>
      </c>
    </row>
    <row r="771" spans="1:24">
      <c r="A771">
        <f>HYPERLINK("https://www.philgeps.gov.ph/GEPSNONPILOT/Tender/SplashBidNoticeAbstractUI.aspx?menuIndex=3&amp;refID=7044998&amp;Result=3","7044998")</f>
        <v>0</v>
      </c>
      <c r="B771" t="s">
        <v>124</v>
      </c>
      <c r="C771" t="s">
        <v>3930</v>
      </c>
      <c r="D771" t="s">
        <v>18065</v>
      </c>
      <c r="E771" t="s">
        <v>3930</v>
      </c>
      <c r="F771" t="s">
        <v>31574</v>
      </c>
      <c r="G771" t="s">
        <v>31581</v>
      </c>
      <c r="H771" t="s">
        <v>31590</v>
      </c>
      <c r="I771" t="s">
        <v>31646</v>
      </c>
      <c r="J771" t="s">
        <v>32352</v>
      </c>
      <c r="K771" t="s">
        <v>41184</v>
      </c>
      <c r="M771" t="s">
        <v>41608</v>
      </c>
      <c r="N771" t="s">
        <v>45095</v>
      </c>
      <c r="O771" t="s">
        <v>45096</v>
      </c>
      <c r="P771">
        <v>0</v>
      </c>
      <c r="Q771">
        <v>0</v>
      </c>
      <c r="R771" t="s">
        <v>45097</v>
      </c>
      <c r="S771" t="s">
        <v>45222</v>
      </c>
      <c r="T771" t="s">
        <v>46934</v>
      </c>
      <c r="U771" t="s">
        <v>48157</v>
      </c>
      <c r="W771" t="s">
        <v>41608</v>
      </c>
      <c r="X771" t="s">
        <v>45098</v>
      </c>
    </row>
    <row r="772" spans="1:24">
      <c r="A772">
        <f>HYPERLINK("https://www.philgeps.gov.ph/GEPSNONPILOT/Tender/SplashBidNoticeAbstractUI.aspx?menuIndex=3&amp;refID=7045005&amp;Result=3","7045005")</f>
        <v>0</v>
      </c>
      <c r="B772" t="s">
        <v>29</v>
      </c>
      <c r="C772" t="s">
        <v>3931</v>
      </c>
      <c r="D772" t="s">
        <v>18026</v>
      </c>
      <c r="E772" t="s">
        <v>18845</v>
      </c>
      <c r="F772" t="s">
        <v>31574</v>
      </c>
      <c r="G772" t="s">
        <v>31583</v>
      </c>
      <c r="H772" t="s">
        <v>31590</v>
      </c>
      <c r="I772" t="s">
        <v>31608</v>
      </c>
      <c r="J772" t="s">
        <v>32353</v>
      </c>
      <c r="K772" t="s">
        <v>41193</v>
      </c>
      <c r="M772" t="s">
        <v>41511</v>
      </c>
      <c r="N772" t="s">
        <v>45095</v>
      </c>
      <c r="O772" t="s">
        <v>45096</v>
      </c>
      <c r="P772">
        <v>0</v>
      </c>
      <c r="Q772">
        <v>0</v>
      </c>
      <c r="R772" t="s">
        <v>45097</v>
      </c>
      <c r="S772" t="s">
        <v>45222</v>
      </c>
      <c r="T772" t="s">
        <v>46918</v>
      </c>
      <c r="U772" t="s">
        <v>48158</v>
      </c>
      <c r="W772" t="s">
        <v>41511</v>
      </c>
      <c r="X772" t="s">
        <v>45098</v>
      </c>
    </row>
    <row r="773" spans="1:24">
      <c r="A773">
        <f>HYPERLINK("https://www.philgeps.gov.ph/GEPSNONPILOT/Tender/SplashBidNoticeAbstractUI.aspx?menuIndex=3&amp;refID=7045004&amp;Result=3","7045004")</f>
        <v>0</v>
      </c>
      <c r="B773" t="s">
        <v>350</v>
      </c>
      <c r="C773" t="s">
        <v>3932</v>
      </c>
      <c r="D773" t="s">
        <v>18073</v>
      </c>
      <c r="E773" t="s">
        <v>18846</v>
      </c>
      <c r="F773" t="s">
        <v>31574</v>
      </c>
      <c r="G773" t="s">
        <v>31582</v>
      </c>
      <c r="H773" t="s">
        <v>31591</v>
      </c>
      <c r="I773" t="s">
        <v>8822</v>
      </c>
      <c r="J773" t="s">
        <v>32026</v>
      </c>
      <c r="K773" t="s">
        <v>41184</v>
      </c>
      <c r="M773" t="s">
        <v>41838</v>
      </c>
      <c r="N773" t="s">
        <v>45095</v>
      </c>
      <c r="O773" t="s">
        <v>45096</v>
      </c>
      <c r="P773">
        <v>0</v>
      </c>
      <c r="Q773">
        <v>0</v>
      </c>
      <c r="R773" t="s">
        <v>45097</v>
      </c>
      <c r="S773" t="s">
        <v>45222</v>
      </c>
      <c r="T773" t="s">
        <v>46924</v>
      </c>
      <c r="U773" t="s">
        <v>48159</v>
      </c>
      <c r="W773" t="s">
        <v>41838</v>
      </c>
      <c r="X773" t="s">
        <v>45098</v>
      </c>
    </row>
    <row r="774" spans="1:24">
      <c r="A774">
        <f>HYPERLINK("https://www.philgeps.gov.ph/GEPSNONPILOT/Tender/SplashBidNoticeAbstractUI.aspx?menuIndex=3&amp;refID=7044984&amp;Result=3","7044984")</f>
        <v>0</v>
      </c>
      <c r="B774" t="s">
        <v>308</v>
      </c>
      <c r="C774" t="s">
        <v>3933</v>
      </c>
      <c r="D774" t="s">
        <v>18056</v>
      </c>
      <c r="E774" t="s">
        <v>18847</v>
      </c>
      <c r="F774" t="s">
        <v>31574</v>
      </c>
      <c r="G774" t="s">
        <v>31581</v>
      </c>
      <c r="H774" t="s">
        <v>31590</v>
      </c>
      <c r="I774" t="s">
        <v>31630</v>
      </c>
      <c r="J774" t="s">
        <v>31960</v>
      </c>
      <c r="K774" t="s">
        <v>41184</v>
      </c>
      <c r="M774" t="s">
        <v>41794</v>
      </c>
      <c r="N774" t="s">
        <v>45095</v>
      </c>
      <c r="O774" t="s">
        <v>45096</v>
      </c>
      <c r="P774">
        <v>0</v>
      </c>
      <c r="Q774">
        <v>0</v>
      </c>
      <c r="R774" t="s">
        <v>45097</v>
      </c>
      <c r="S774" t="s">
        <v>45222</v>
      </c>
      <c r="T774" t="s">
        <v>46935</v>
      </c>
      <c r="U774" t="s">
        <v>47721</v>
      </c>
      <c r="W774" t="s">
        <v>41794</v>
      </c>
      <c r="X774" t="s">
        <v>45098</v>
      </c>
    </row>
    <row r="775" spans="1:24">
      <c r="A775">
        <f>HYPERLINK("https://www.philgeps.gov.ph/GEPSNONPILOT/Tender/SplashBidNoticeAbstractUI.aspx?menuIndex=3&amp;refID=7044993&amp;Result=3","7044993")</f>
        <v>0</v>
      </c>
      <c r="B775" t="s">
        <v>351</v>
      </c>
      <c r="C775" t="s">
        <v>3934</v>
      </c>
      <c r="D775" t="s">
        <v>18045</v>
      </c>
      <c r="E775" t="s">
        <v>18848</v>
      </c>
      <c r="F775" t="s">
        <v>31574</v>
      </c>
      <c r="G775" t="s">
        <v>31581</v>
      </c>
      <c r="H775" t="s">
        <v>31590</v>
      </c>
      <c r="I775" t="s">
        <v>31599</v>
      </c>
      <c r="J775" t="s">
        <v>32354</v>
      </c>
      <c r="K775" t="s">
        <v>41184</v>
      </c>
      <c r="M775" t="s">
        <v>41839</v>
      </c>
      <c r="N775" t="s">
        <v>45095</v>
      </c>
      <c r="O775" t="s">
        <v>45096</v>
      </c>
      <c r="P775">
        <v>0</v>
      </c>
      <c r="Q775">
        <v>0</v>
      </c>
      <c r="R775" t="s">
        <v>45097</v>
      </c>
      <c r="S775" t="s">
        <v>45222</v>
      </c>
      <c r="T775" t="s">
        <v>47002</v>
      </c>
      <c r="U775" t="s">
        <v>48160</v>
      </c>
      <c r="W775" t="s">
        <v>41839</v>
      </c>
      <c r="X775" t="s">
        <v>45098</v>
      </c>
    </row>
    <row r="776" spans="1:24">
      <c r="A776">
        <f>HYPERLINK("https://www.philgeps.gov.ph/GEPSNONPILOT/Tender/SplashBidNoticeAbstractUI.aspx?menuIndex=3&amp;refID=7045008&amp;Result=3","7045008")</f>
        <v>0</v>
      </c>
      <c r="B776" t="s">
        <v>352</v>
      </c>
      <c r="C776" t="s">
        <v>3935</v>
      </c>
      <c r="D776" t="s">
        <v>18023</v>
      </c>
      <c r="E776" t="s">
        <v>18849</v>
      </c>
      <c r="F776" t="s">
        <v>31574</v>
      </c>
      <c r="G776" t="s">
        <v>31581</v>
      </c>
      <c r="H776" t="s">
        <v>31590</v>
      </c>
      <c r="I776" t="s">
        <v>31648</v>
      </c>
      <c r="J776" t="s">
        <v>32355</v>
      </c>
      <c r="K776" t="s">
        <v>41196</v>
      </c>
      <c r="M776" t="s">
        <v>41840</v>
      </c>
      <c r="N776" t="s">
        <v>45095</v>
      </c>
      <c r="O776" t="s">
        <v>45096</v>
      </c>
      <c r="P776">
        <v>0</v>
      </c>
      <c r="Q776">
        <v>0</v>
      </c>
      <c r="R776" t="s">
        <v>45097</v>
      </c>
      <c r="S776" t="s">
        <v>45222</v>
      </c>
      <c r="T776" t="s">
        <v>46906</v>
      </c>
      <c r="U776" t="s">
        <v>48161</v>
      </c>
      <c r="W776" t="s">
        <v>41840</v>
      </c>
      <c r="X776" t="s">
        <v>45098</v>
      </c>
    </row>
    <row r="777" spans="1:24">
      <c r="A777">
        <f>HYPERLINK("https://www.philgeps.gov.ph/GEPSNONPILOT/Tender/SplashBidNoticeAbstractUI.aspx?menuIndex=3&amp;refID=7045003&amp;Result=3","7045003")</f>
        <v>0</v>
      </c>
      <c r="B777" t="s">
        <v>194</v>
      </c>
      <c r="C777" t="s">
        <v>3936</v>
      </c>
      <c r="D777" t="s">
        <v>18065</v>
      </c>
      <c r="E777" t="s">
        <v>18850</v>
      </c>
      <c r="F777" t="s">
        <v>31574</v>
      </c>
      <c r="G777" t="s">
        <v>31581</v>
      </c>
      <c r="H777" t="s">
        <v>31590</v>
      </c>
      <c r="I777" t="s">
        <v>31602</v>
      </c>
      <c r="J777" t="s">
        <v>32356</v>
      </c>
      <c r="K777" t="s">
        <v>41184</v>
      </c>
      <c r="M777" t="s">
        <v>41679</v>
      </c>
      <c r="N777" t="s">
        <v>45095</v>
      </c>
      <c r="O777" t="s">
        <v>45096</v>
      </c>
      <c r="P777">
        <v>0</v>
      </c>
      <c r="Q777">
        <v>0</v>
      </c>
      <c r="R777" t="s">
        <v>45097</v>
      </c>
      <c r="S777" t="s">
        <v>45222</v>
      </c>
      <c r="T777" t="s">
        <v>46923</v>
      </c>
      <c r="U777" t="s">
        <v>47832</v>
      </c>
      <c r="W777" t="s">
        <v>41679</v>
      </c>
      <c r="X777" t="s">
        <v>45098</v>
      </c>
    </row>
    <row r="778" spans="1:24">
      <c r="A778">
        <f>HYPERLINK("https://www.philgeps.gov.ph/GEPSNONPILOT/Tender/SplashBidNoticeAbstractUI.aspx?menuIndex=3&amp;refID=7045006&amp;Result=3","7045006")</f>
        <v>0</v>
      </c>
      <c r="B778" t="s">
        <v>131</v>
      </c>
      <c r="C778" t="s">
        <v>3937</v>
      </c>
      <c r="D778" t="s">
        <v>18022</v>
      </c>
      <c r="E778" t="s">
        <v>18851</v>
      </c>
      <c r="F778" t="s">
        <v>31574</v>
      </c>
      <c r="G778" t="s">
        <v>31581</v>
      </c>
      <c r="H778" t="s">
        <v>31590</v>
      </c>
      <c r="I778" t="s">
        <v>3487</v>
      </c>
      <c r="J778" t="s">
        <v>32357</v>
      </c>
      <c r="K778" t="s">
        <v>41186</v>
      </c>
      <c r="M778" t="s">
        <v>41841</v>
      </c>
      <c r="N778" t="s">
        <v>45095</v>
      </c>
      <c r="O778" t="s">
        <v>45096</v>
      </c>
      <c r="P778">
        <v>0</v>
      </c>
      <c r="Q778">
        <v>0</v>
      </c>
      <c r="R778" t="s">
        <v>45097</v>
      </c>
      <c r="S778" t="s">
        <v>45222</v>
      </c>
      <c r="T778" t="s">
        <v>46949</v>
      </c>
      <c r="U778" t="s">
        <v>48162</v>
      </c>
      <c r="W778" t="s">
        <v>41841</v>
      </c>
      <c r="X778" t="s">
        <v>45098</v>
      </c>
    </row>
    <row r="779" spans="1:24">
      <c r="A779">
        <f>HYPERLINK("https://www.philgeps.gov.ph/GEPSNONPILOT/Tender/SplashBidNoticeAbstractUI.aspx?menuIndex=3&amp;refID=7045024&amp;Result=3","7045024")</f>
        <v>0</v>
      </c>
      <c r="B779" t="s">
        <v>353</v>
      </c>
      <c r="C779" t="s">
        <v>3938</v>
      </c>
      <c r="D779" t="s">
        <v>18068</v>
      </c>
      <c r="E779" t="s">
        <v>18852</v>
      </c>
      <c r="F779" t="s">
        <v>31574</v>
      </c>
      <c r="G779" t="s">
        <v>31581</v>
      </c>
      <c r="H779" t="s">
        <v>31590</v>
      </c>
      <c r="I779" t="s">
        <v>4046</v>
      </c>
      <c r="J779" t="s">
        <v>32358</v>
      </c>
      <c r="K779" t="s">
        <v>41186</v>
      </c>
      <c r="M779" t="s">
        <v>41842</v>
      </c>
      <c r="N779" t="s">
        <v>45095</v>
      </c>
      <c r="O779" t="s">
        <v>45096</v>
      </c>
      <c r="P779">
        <v>0</v>
      </c>
      <c r="Q779">
        <v>0</v>
      </c>
      <c r="R779" t="s">
        <v>45097</v>
      </c>
      <c r="S779" t="s">
        <v>45222</v>
      </c>
      <c r="T779" t="s">
        <v>46932</v>
      </c>
      <c r="U779" t="s">
        <v>48163</v>
      </c>
      <c r="V779" t="s">
        <v>59923</v>
      </c>
      <c r="W779" t="s">
        <v>41842</v>
      </c>
      <c r="X779" t="s">
        <v>45098</v>
      </c>
    </row>
    <row r="780" spans="1:24">
      <c r="A780">
        <f>HYPERLINK("https://www.philgeps.gov.ph/GEPSNONPILOT/Tender/SplashBidNoticeAbstractUI.aspx?menuIndex=3&amp;refID=7045007&amp;Result=3","7045007")</f>
        <v>0</v>
      </c>
      <c r="B780" t="s">
        <v>84</v>
      </c>
      <c r="C780" t="s">
        <v>3939</v>
      </c>
      <c r="D780" t="s">
        <v>18022</v>
      </c>
      <c r="E780" t="s">
        <v>18853</v>
      </c>
      <c r="F780" t="s">
        <v>31574</v>
      </c>
      <c r="G780" t="s">
        <v>31581</v>
      </c>
      <c r="H780" t="s">
        <v>31590</v>
      </c>
      <c r="I780" t="s">
        <v>3651</v>
      </c>
      <c r="J780" t="s">
        <v>32359</v>
      </c>
      <c r="K780" t="s">
        <v>41193</v>
      </c>
      <c r="M780" t="s">
        <v>41803</v>
      </c>
      <c r="N780" t="s">
        <v>45095</v>
      </c>
      <c r="O780" t="s">
        <v>45096</v>
      </c>
      <c r="P780">
        <v>0</v>
      </c>
      <c r="Q780">
        <v>0</v>
      </c>
      <c r="R780" t="s">
        <v>45097</v>
      </c>
      <c r="S780" t="s">
        <v>45222</v>
      </c>
      <c r="T780" t="s">
        <v>46966</v>
      </c>
      <c r="U780" t="s">
        <v>48164</v>
      </c>
      <c r="W780" t="s">
        <v>41803</v>
      </c>
      <c r="X780" t="s">
        <v>45098</v>
      </c>
    </row>
    <row r="781" spans="1:24">
      <c r="A781">
        <f>HYPERLINK("https://www.philgeps.gov.ph/GEPSNONPILOT/Tender/SplashBidNoticeAbstractUI.aspx?menuIndex=3&amp;refID=7045023&amp;Result=3","7045023")</f>
        <v>0</v>
      </c>
      <c r="B781" t="s">
        <v>144</v>
      </c>
      <c r="C781" t="s">
        <v>3940</v>
      </c>
      <c r="D781" t="s">
        <v>18076</v>
      </c>
      <c r="E781" t="s">
        <v>18854</v>
      </c>
      <c r="F781" t="s">
        <v>31574</v>
      </c>
      <c r="G781" t="s">
        <v>31582</v>
      </c>
      <c r="H781" t="s">
        <v>31590</v>
      </c>
      <c r="I781" t="s">
        <v>31606</v>
      </c>
      <c r="J781" t="s">
        <v>32360</v>
      </c>
      <c r="K781" t="s">
        <v>41193</v>
      </c>
      <c r="M781" t="s">
        <v>41843</v>
      </c>
      <c r="N781" t="s">
        <v>45095</v>
      </c>
      <c r="O781" t="s">
        <v>45096</v>
      </c>
      <c r="P781">
        <v>0</v>
      </c>
      <c r="Q781">
        <v>0</v>
      </c>
      <c r="R781" t="s">
        <v>45097</v>
      </c>
      <c r="S781" t="s">
        <v>45222</v>
      </c>
      <c r="T781" t="s">
        <v>47016</v>
      </c>
      <c r="U781" t="s">
        <v>48165</v>
      </c>
      <c r="W781" t="s">
        <v>41843</v>
      </c>
      <c r="X781" t="s">
        <v>45098</v>
      </c>
    </row>
    <row r="782" spans="1:24">
      <c r="A782">
        <f>HYPERLINK("https://www.philgeps.gov.ph/GEPSNONPILOT/Tender/SplashBidNoticeAbstractUI.aspx?menuIndex=3&amp;refID=7044995&amp;Result=3","7044995")</f>
        <v>0</v>
      </c>
      <c r="B782" t="s">
        <v>271</v>
      </c>
      <c r="C782" t="s">
        <v>3753</v>
      </c>
      <c r="D782" t="s">
        <v>18046</v>
      </c>
      <c r="E782" t="s">
        <v>18472</v>
      </c>
      <c r="F782" t="s">
        <v>31574</v>
      </c>
      <c r="G782" t="s">
        <v>31582</v>
      </c>
      <c r="H782" t="s">
        <v>31591</v>
      </c>
      <c r="I782" t="s">
        <v>8822</v>
      </c>
      <c r="J782" t="s">
        <v>32361</v>
      </c>
      <c r="K782" t="s">
        <v>41189</v>
      </c>
      <c r="M782" t="s">
        <v>41757</v>
      </c>
      <c r="N782" t="s">
        <v>45095</v>
      </c>
      <c r="O782" t="s">
        <v>45096</v>
      </c>
      <c r="P782">
        <v>0</v>
      </c>
      <c r="Q782">
        <v>0</v>
      </c>
      <c r="R782" t="s">
        <v>45097</v>
      </c>
      <c r="S782" t="s">
        <v>45222</v>
      </c>
      <c r="T782" t="s">
        <v>46954</v>
      </c>
      <c r="U782" t="s">
        <v>48166</v>
      </c>
      <c r="W782" t="s">
        <v>41757</v>
      </c>
      <c r="X782" t="s">
        <v>45098</v>
      </c>
    </row>
    <row r="783" spans="1:24">
      <c r="A783">
        <f>HYPERLINK("https://www.philgeps.gov.ph/GEPSNONPILOT/Tender/SplashBidNoticeAbstractUI.aspx?menuIndex=3&amp;refID=7045015&amp;Result=3","7045015")</f>
        <v>0</v>
      </c>
      <c r="B783" t="s">
        <v>305</v>
      </c>
      <c r="C783" t="s">
        <v>3941</v>
      </c>
      <c r="D783" t="s">
        <v>18066</v>
      </c>
      <c r="E783" t="s">
        <v>18855</v>
      </c>
      <c r="F783" t="s">
        <v>31574</v>
      </c>
      <c r="G783" t="s">
        <v>31582</v>
      </c>
      <c r="H783" t="s">
        <v>31592</v>
      </c>
      <c r="I783" t="s">
        <v>31607</v>
      </c>
      <c r="J783" t="s">
        <v>32362</v>
      </c>
      <c r="K783" t="s">
        <v>41186</v>
      </c>
      <c r="M783" t="s">
        <v>41791</v>
      </c>
      <c r="N783" t="s">
        <v>45095</v>
      </c>
      <c r="O783" t="s">
        <v>45096</v>
      </c>
      <c r="P783">
        <v>0</v>
      </c>
      <c r="Q783">
        <v>0</v>
      </c>
      <c r="R783" t="s">
        <v>45097</v>
      </c>
      <c r="S783" t="s">
        <v>45222</v>
      </c>
      <c r="T783" t="s">
        <v>47010</v>
      </c>
      <c r="U783" t="s">
        <v>48167</v>
      </c>
      <c r="W783" t="s">
        <v>41791</v>
      </c>
      <c r="X783" t="s">
        <v>45098</v>
      </c>
    </row>
    <row r="784" spans="1:24">
      <c r="A784">
        <f>HYPERLINK("https://www.philgeps.gov.ph/GEPSNONPILOT/Tender/SplashBidNoticeAbstractUI.aspx?menuIndex=3&amp;refID=7045012&amp;Result=3","7045012")</f>
        <v>0</v>
      </c>
      <c r="B784" t="s">
        <v>114</v>
      </c>
      <c r="C784" t="s">
        <v>3942</v>
      </c>
      <c r="D784" t="s">
        <v>18067</v>
      </c>
      <c r="E784" t="s">
        <v>18856</v>
      </c>
      <c r="F784" t="s">
        <v>31574</v>
      </c>
      <c r="G784" t="s">
        <v>31582</v>
      </c>
      <c r="H784" t="s">
        <v>31590</v>
      </c>
      <c r="I784" t="s">
        <v>4327</v>
      </c>
      <c r="J784" t="s">
        <v>31780</v>
      </c>
      <c r="K784" t="s">
        <v>41191</v>
      </c>
      <c r="M784" t="s">
        <v>41598</v>
      </c>
      <c r="N784" t="s">
        <v>45095</v>
      </c>
      <c r="O784" t="s">
        <v>45096</v>
      </c>
      <c r="P784">
        <v>0</v>
      </c>
      <c r="Q784">
        <v>0</v>
      </c>
      <c r="R784" t="s">
        <v>45097</v>
      </c>
      <c r="S784" t="s">
        <v>45222</v>
      </c>
      <c r="T784" t="s">
        <v>46906</v>
      </c>
      <c r="U784" t="s">
        <v>48168</v>
      </c>
      <c r="V784" t="s">
        <v>59924</v>
      </c>
      <c r="W784" t="s">
        <v>41598</v>
      </c>
      <c r="X784" t="s">
        <v>45098</v>
      </c>
    </row>
    <row r="785" spans="1:24">
      <c r="A785">
        <f>HYPERLINK("https://www.philgeps.gov.ph/GEPSNONPILOT/Tender/SplashBidNoticeAbstractUI.aspx?menuIndex=3&amp;refID=7045013&amp;Result=3","7045013")</f>
        <v>0</v>
      </c>
      <c r="B785" t="s">
        <v>354</v>
      </c>
      <c r="C785" t="s">
        <v>3943</v>
      </c>
      <c r="D785" t="s">
        <v>18056</v>
      </c>
      <c r="E785" t="s">
        <v>18857</v>
      </c>
      <c r="F785" t="s">
        <v>31574</v>
      </c>
      <c r="G785" t="s">
        <v>31586</v>
      </c>
      <c r="H785" t="s">
        <v>31590</v>
      </c>
      <c r="I785" t="s">
        <v>3487</v>
      </c>
      <c r="J785" t="s">
        <v>31842</v>
      </c>
      <c r="K785" t="s">
        <v>41190</v>
      </c>
      <c r="M785" t="s">
        <v>41844</v>
      </c>
      <c r="N785" t="s">
        <v>45095</v>
      </c>
      <c r="O785" t="s">
        <v>45096</v>
      </c>
      <c r="P785">
        <v>0</v>
      </c>
      <c r="Q785">
        <v>0</v>
      </c>
      <c r="R785" t="s">
        <v>45097</v>
      </c>
      <c r="S785" t="s">
        <v>45222</v>
      </c>
      <c r="T785" t="s">
        <v>46920</v>
      </c>
      <c r="U785" t="s">
        <v>48169</v>
      </c>
      <c r="W785" t="s">
        <v>41844</v>
      </c>
      <c r="X785" t="s">
        <v>45098</v>
      </c>
    </row>
    <row r="786" spans="1:24">
      <c r="A786">
        <f>HYPERLINK("https://www.philgeps.gov.ph/GEPSNONPILOT/Tender/SplashBidNoticeAbstractUI.aspx?menuIndex=3&amp;refID=7045031&amp;Result=3","7045031")</f>
        <v>0</v>
      </c>
      <c r="B786" t="s">
        <v>355</v>
      </c>
      <c r="C786" t="s">
        <v>3944</v>
      </c>
      <c r="D786" t="s">
        <v>18043</v>
      </c>
      <c r="E786" t="s">
        <v>18858</v>
      </c>
      <c r="F786" t="s">
        <v>31574</v>
      </c>
      <c r="G786" t="s">
        <v>31582</v>
      </c>
      <c r="H786" t="s">
        <v>31590</v>
      </c>
      <c r="I786" t="s">
        <v>31602</v>
      </c>
      <c r="J786" t="s">
        <v>32363</v>
      </c>
      <c r="K786" t="s">
        <v>41190</v>
      </c>
      <c r="M786" t="s">
        <v>41845</v>
      </c>
      <c r="N786" t="s">
        <v>45095</v>
      </c>
      <c r="O786" t="s">
        <v>45096</v>
      </c>
      <c r="P786">
        <v>0</v>
      </c>
      <c r="Q786">
        <v>0</v>
      </c>
      <c r="R786" t="s">
        <v>45097</v>
      </c>
      <c r="S786" t="s">
        <v>45222</v>
      </c>
      <c r="T786" t="s">
        <v>47017</v>
      </c>
      <c r="U786" t="s">
        <v>48170</v>
      </c>
      <c r="V786" t="s">
        <v>59925</v>
      </c>
      <c r="W786" t="s">
        <v>41845</v>
      </c>
      <c r="X786" t="s">
        <v>45098</v>
      </c>
    </row>
    <row r="787" spans="1:24">
      <c r="A787">
        <f>HYPERLINK("https://www.philgeps.gov.ph/GEPSNONPILOT/Tender/SplashBidNoticeAbstractUI.aspx?menuIndex=3&amp;refID=7045017&amp;Result=3","7045017")</f>
        <v>0</v>
      </c>
      <c r="B787" t="s">
        <v>329</v>
      </c>
      <c r="C787" t="s">
        <v>3945</v>
      </c>
      <c r="D787" t="s">
        <v>18092</v>
      </c>
      <c r="E787" t="s">
        <v>18859</v>
      </c>
      <c r="F787" t="s">
        <v>31574</v>
      </c>
      <c r="G787" t="s">
        <v>31584</v>
      </c>
      <c r="H787" t="s">
        <v>31590</v>
      </c>
      <c r="I787" t="s">
        <v>4354</v>
      </c>
      <c r="J787" t="s">
        <v>32364</v>
      </c>
      <c r="K787" t="s">
        <v>41186</v>
      </c>
      <c r="M787" t="s">
        <v>41817</v>
      </c>
      <c r="N787" t="s">
        <v>45095</v>
      </c>
      <c r="O787" t="s">
        <v>45096</v>
      </c>
      <c r="P787">
        <v>0</v>
      </c>
      <c r="Q787">
        <v>0</v>
      </c>
      <c r="R787" t="s">
        <v>45097</v>
      </c>
      <c r="S787" t="s">
        <v>45222</v>
      </c>
      <c r="T787" t="s">
        <v>46904</v>
      </c>
      <c r="U787" t="s">
        <v>48171</v>
      </c>
      <c r="W787" t="s">
        <v>41817</v>
      </c>
      <c r="X787" t="s">
        <v>45098</v>
      </c>
    </row>
    <row r="788" spans="1:24">
      <c r="A788">
        <f>HYPERLINK("https://www.philgeps.gov.ph/GEPSNONPILOT/Tender/SplashBidNoticeAbstractUI.aspx?menuIndex=3&amp;refID=7045028&amp;Result=3","7045028")</f>
        <v>0</v>
      </c>
      <c r="B788" t="s">
        <v>356</v>
      </c>
      <c r="C788" t="s">
        <v>3946</v>
      </c>
      <c r="D788" t="s">
        <v>18070</v>
      </c>
      <c r="E788" t="s">
        <v>18860</v>
      </c>
      <c r="F788" t="s">
        <v>31574</v>
      </c>
      <c r="G788" t="s">
        <v>31581</v>
      </c>
      <c r="H788" t="s">
        <v>31591</v>
      </c>
      <c r="I788" t="s">
        <v>8822</v>
      </c>
      <c r="J788" t="s">
        <v>31816</v>
      </c>
      <c r="K788" t="s">
        <v>41196</v>
      </c>
      <c r="M788" t="s">
        <v>41846</v>
      </c>
      <c r="N788" t="s">
        <v>45095</v>
      </c>
      <c r="O788" t="s">
        <v>45096</v>
      </c>
      <c r="P788">
        <v>0</v>
      </c>
      <c r="Q788">
        <v>0</v>
      </c>
      <c r="R788" t="s">
        <v>45097</v>
      </c>
      <c r="S788" t="s">
        <v>45222</v>
      </c>
      <c r="T788" t="s">
        <v>46904</v>
      </c>
      <c r="U788" t="s">
        <v>48172</v>
      </c>
      <c r="W788" t="s">
        <v>41846</v>
      </c>
      <c r="X788" t="s">
        <v>45098</v>
      </c>
    </row>
    <row r="789" spans="1:24">
      <c r="A789">
        <f>HYPERLINK("https://www.philgeps.gov.ph/GEPSNONPILOT/Tender/SplashBidNoticeAbstractUI.aspx?menuIndex=3&amp;refID=7045030&amp;Result=3","7045030")</f>
        <v>0</v>
      </c>
      <c r="B789" t="s">
        <v>357</v>
      </c>
      <c r="C789" t="s">
        <v>3947</v>
      </c>
      <c r="D789" t="s">
        <v>18026</v>
      </c>
      <c r="E789" t="s">
        <v>18861</v>
      </c>
      <c r="F789" t="s">
        <v>31574</v>
      </c>
      <c r="G789" t="s">
        <v>31581</v>
      </c>
      <c r="H789" t="s">
        <v>31592</v>
      </c>
      <c r="I789" t="s">
        <v>31651</v>
      </c>
      <c r="J789" t="s">
        <v>31764</v>
      </c>
      <c r="K789" t="s">
        <v>41211</v>
      </c>
      <c r="M789" t="s">
        <v>41847</v>
      </c>
      <c r="N789" t="s">
        <v>45095</v>
      </c>
      <c r="O789" t="s">
        <v>45096</v>
      </c>
      <c r="P789">
        <v>0</v>
      </c>
      <c r="Q789">
        <v>0</v>
      </c>
      <c r="R789" t="s">
        <v>45097</v>
      </c>
      <c r="S789" t="s">
        <v>45222</v>
      </c>
      <c r="T789" t="s">
        <v>46911</v>
      </c>
      <c r="U789" t="s">
        <v>48173</v>
      </c>
      <c r="W789" t="s">
        <v>41847</v>
      </c>
      <c r="X789" t="s">
        <v>45098</v>
      </c>
    </row>
    <row r="790" spans="1:24">
      <c r="A790">
        <f>HYPERLINK("https://www.philgeps.gov.ph/GEPSNONPILOT/Tender/SplashBidNoticeAbstractUI.aspx?menuIndex=3&amp;refID=7045027&amp;Result=3","7045027")</f>
        <v>0</v>
      </c>
      <c r="B790" t="s">
        <v>291</v>
      </c>
      <c r="C790" t="s">
        <v>3948</v>
      </c>
      <c r="D790" t="s">
        <v>18091</v>
      </c>
      <c r="E790" t="s">
        <v>18862</v>
      </c>
      <c r="F790" t="s">
        <v>31574</v>
      </c>
      <c r="G790" t="s">
        <v>31581</v>
      </c>
      <c r="H790" t="s">
        <v>31590</v>
      </c>
      <c r="I790" t="s">
        <v>31602</v>
      </c>
      <c r="J790" t="s">
        <v>31764</v>
      </c>
      <c r="K790" t="s">
        <v>41193</v>
      </c>
      <c r="M790" t="s">
        <v>41777</v>
      </c>
      <c r="N790" t="s">
        <v>45095</v>
      </c>
      <c r="O790" t="s">
        <v>45096</v>
      </c>
      <c r="P790">
        <v>0</v>
      </c>
      <c r="Q790">
        <v>0</v>
      </c>
      <c r="R790" t="s">
        <v>45097</v>
      </c>
      <c r="S790" t="s">
        <v>45222</v>
      </c>
      <c r="T790" t="s">
        <v>46926</v>
      </c>
      <c r="U790" t="s">
        <v>48174</v>
      </c>
      <c r="V790" t="s">
        <v>59918</v>
      </c>
      <c r="W790" t="s">
        <v>41777</v>
      </c>
      <c r="X790" t="s">
        <v>45098</v>
      </c>
    </row>
    <row r="791" spans="1:24">
      <c r="A791">
        <f>HYPERLINK("https://www.philgeps.gov.ph/GEPSNONPILOT/Tender/SplashBidNoticeAbstractUI.aspx?menuIndex=3&amp;refID=7044994&amp;Result=3","7044994")</f>
        <v>0</v>
      </c>
      <c r="B791" t="s">
        <v>358</v>
      </c>
      <c r="C791" t="s">
        <v>3949</v>
      </c>
      <c r="D791" t="s">
        <v>18075</v>
      </c>
      <c r="E791" t="s">
        <v>18863</v>
      </c>
      <c r="F791" t="s">
        <v>31574</v>
      </c>
      <c r="G791" t="s">
        <v>31581</v>
      </c>
      <c r="H791" t="s">
        <v>31590</v>
      </c>
      <c r="I791" t="s">
        <v>6800</v>
      </c>
      <c r="J791" t="s">
        <v>32365</v>
      </c>
      <c r="K791" t="s">
        <v>41184</v>
      </c>
      <c r="M791" t="s">
        <v>41848</v>
      </c>
      <c r="N791" t="s">
        <v>45095</v>
      </c>
      <c r="O791" t="s">
        <v>45096</v>
      </c>
      <c r="P791">
        <v>0</v>
      </c>
      <c r="Q791">
        <v>0</v>
      </c>
      <c r="R791" t="s">
        <v>45097</v>
      </c>
      <c r="S791" t="s">
        <v>45222</v>
      </c>
      <c r="T791" t="s">
        <v>46904</v>
      </c>
      <c r="U791" t="s">
        <v>48175</v>
      </c>
      <c r="W791" t="s">
        <v>41848</v>
      </c>
      <c r="X791" t="s">
        <v>45098</v>
      </c>
    </row>
    <row r="792" spans="1:24">
      <c r="A792">
        <f>HYPERLINK("https://www.philgeps.gov.ph/GEPSNONPILOT/Tender/SplashBidNoticeAbstractUI.aspx?menuIndex=3&amp;refID=7045016&amp;Result=3","7045016")</f>
        <v>0</v>
      </c>
      <c r="B792" t="s">
        <v>308</v>
      </c>
      <c r="C792" t="s">
        <v>3852</v>
      </c>
      <c r="D792" t="s">
        <v>18056</v>
      </c>
      <c r="E792" t="s">
        <v>18864</v>
      </c>
      <c r="F792" t="s">
        <v>31574</v>
      </c>
      <c r="G792" t="s">
        <v>31581</v>
      </c>
      <c r="H792" t="s">
        <v>31590</v>
      </c>
      <c r="I792" t="s">
        <v>5717</v>
      </c>
      <c r="J792" t="s">
        <v>31962</v>
      </c>
      <c r="K792" t="s">
        <v>41184</v>
      </c>
      <c r="M792" t="s">
        <v>41794</v>
      </c>
      <c r="N792" t="s">
        <v>45095</v>
      </c>
      <c r="O792" t="s">
        <v>45096</v>
      </c>
      <c r="P792">
        <v>0</v>
      </c>
      <c r="Q792">
        <v>0</v>
      </c>
      <c r="R792" t="s">
        <v>45097</v>
      </c>
      <c r="S792" t="s">
        <v>45222</v>
      </c>
      <c r="T792" t="s">
        <v>46935</v>
      </c>
      <c r="U792" t="s">
        <v>47721</v>
      </c>
      <c r="W792" t="s">
        <v>41794</v>
      </c>
      <c r="X792" t="s">
        <v>45098</v>
      </c>
    </row>
    <row r="793" spans="1:24">
      <c r="A793">
        <f>HYPERLINK("https://www.philgeps.gov.ph/GEPSNONPILOT/Tender/SplashBidNoticeAbstractUI.aspx?menuIndex=3&amp;refID=7045029&amp;Result=3","7045029")</f>
        <v>0</v>
      </c>
      <c r="B793" t="s">
        <v>319</v>
      </c>
      <c r="C793" t="s">
        <v>3950</v>
      </c>
      <c r="D793" t="s">
        <v>18065</v>
      </c>
      <c r="E793" t="s">
        <v>18865</v>
      </c>
      <c r="F793" t="s">
        <v>31574</v>
      </c>
      <c r="G793" t="s">
        <v>31581</v>
      </c>
      <c r="H793" t="s">
        <v>31590</v>
      </c>
      <c r="I793" t="s">
        <v>31652</v>
      </c>
      <c r="J793" t="s">
        <v>32366</v>
      </c>
      <c r="K793" t="s">
        <v>41193</v>
      </c>
      <c r="M793" t="s">
        <v>41807</v>
      </c>
      <c r="N793" t="s">
        <v>45095</v>
      </c>
      <c r="O793" t="s">
        <v>45096</v>
      </c>
      <c r="P793">
        <v>0</v>
      </c>
      <c r="Q793">
        <v>0</v>
      </c>
      <c r="R793" t="s">
        <v>45097</v>
      </c>
      <c r="S793" t="s">
        <v>45222</v>
      </c>
      <c r="T793" t="s">
        <v>46918</v>
      </c>
      <c r="U793" t="s">
        <v>48089</v>
      </c>
      <c r="W793" t="s">
        <v>61662</v>
      </c>
      <c r="X793" t="s">
        <v>45098</v>
      </c>
    </row>
    <row r="794" spans="1:24">
      <c r="A794">
        <f>HYPERLINK("https://www.philgeps.gov.ph/GEPSNONPILOT/Tender/SplashBidNoticeAbstractUI.aspx?menuIndex=3&amp;refID=7044980&amp;Result=3","7044980")</f>
        <v>0</v>
      </c>
      <c r="B794" t="s">
        <v>246</v>
      </c>
      <c r="C794" t="s">
        <v>3951</v>
      </c>
      <c r="D794" t="s">
        <v>18041</v>
      </c>
      <c r="E794" t="s">
        <v>18866</v>
      </c>
      <c r="F794" t="s">
        <v>31574</v>
      </c>
      <c r="G794" t="s">
        <v>31581</v>
      </c>
      <c r="H794" t="s">
        <v>31592</v>
      </c>
      <c r="I794" t="s">
        <v>3539</v>
      </c>
      <c r="J794" t="s">
        <v>32367</v>
      </c>
      <c r="K794" t="s">
        <v>41226</v>
      </c>
      <c r="M794" t="s">
        <v>41732</v>
      </c>
      <c r="N794" t="s">
        <v>45095</v>
      </c>
      <c r="O794" t="s">
        <v>45096</v>
      </c>
      <c r="P794">
        <v>0</v>
      </c>
      <c r="Q794">
        <v>0</v>
      </c>
      <c r="R794" t="s">
        <v>45097</v>
      </c>
      <c r="S794" t="s">
        <v>45222</v>
      </c>
      <c r="T794" t="s">
        <v>47003</v>
      </c>
      <c r="U794" t="s">
        <v>48176</v>
      </c>
      <c r="W794" t="s">
        <v>41732</v>
      </c>
      <c r="X794" t="s">
        <v>45098</v>
      </c>
    </row>
    <row r="795" spans="1:24">
      <c r="A795">
        <f>HYPERLINK("https://www.philgeps.gov.ph/GEPSNONPILOT/Tender/SplashBidNoticeAbstractUI.aspx?menuIndex=3&amp;refID=7045011&amp;Result=3","7045011")</f>
        <v>0</v>
      </c>
      <c r="B795" t="s">
        <v>328</v>
      </c>
      <c r="C795" t="s">
        <v>3952</v>
      </c>
      <c r="D795" t="s">
        <v>18056</v>
      </c>
      <c r="E795" t="s">
        <v>18867</v>
      </c>
      <c r="F795" t="s">
        <v>31574</v>
      </c>
      <c r="G795" t="s">
        <v>31581</v>
      </c>
      <c r="H795" t="s">
        <v>31590</v>
      </c>
      <c r="I795" t="s">
        <v>31625</v>
      </c>
      <c r="J795" t="s">
        <v>32368</v>
      </c>
      <c r="K795" t="s">
        <v>41186</v>
      </c>
      <c r="M795" t="s">
        <v>41816</v>
      </c>
      <c r="N795" t="s">
        <v>45095</v>
      </c>
      <c r="O795" t="s">
        <v>45096</v>
      </c>
      <c r="P795">
        <v>0</v>
      </c>
      <c r="Q795">
        <v>0</v>
      </c>
      <c r="R795" t="s">
        <v>45097</v>
      </c>
      <c r="S795" t="s">
        <v>45222</v>
      </c>
      <c r="T795" t="s">
        <v>46955</v>
      </c>
      <c r="U795" t="s">
        <v>48177</v>
      </c>
      <c r="W795" t="s">
        <v>41816</v>
      </c>
      <c r="X795" t="s">
        <v>45098</v>
      </c>
    </row>
    <row r="796" spans="1:24">
      <c r="A796">
        <f>HYPERLINK("https://www.philgeps.gov.ph/GEPSNONPILOT/Tender/SplashBidNoticeAbstractUI.aspx?menuIndex=3&amp;refID=7045009&amp;Result=3","7045009")</f>
        <v>0</v>
      </c>
      <c r="B796" t="s">
        <v>359</v>
      </c>
      <c r="C796" t="s">
        <v>3953</v>
      </c>
      <c r="D796" t="s">
        <v>18025</v>
      </c>
      <c r="E796" t="s">
        <v>18868</v>
      </c>
      <c r="F796" t="s">
        <v>31574</v>
      </c>
      <c r="G796" t="s">
        <v>31582</v>
      </c>
      <c r="H796" t="s">
        <v>31590</v>
      </c>
      <c r="I796" t="s">
        <v>4046</v>
      </c>
      <c r="J796" t="s">
        <v>32369</v>
      </c>
      <c r="K796" t="s">
        <v>41190</v>
      </c>
      <c r="M796" t="s">
        <v>41849</v>
      </c>
      <c r="N796" t="s">
        <v>45095</v>
      </c>
      <c r="O796" t="s">
        <v>45096</v>
      </c>
      <c r="P796">
        <v>0</v>
      </c>
      <c r="Q796">
        <v>0</v>
      </c>
      <c r="R796" t="s">
        <v>45097</v>
      </c>
      <c r="S796" t="s">
        <v>45222</v>
      </c>
      <c r="T796" t="s">
        <v>46929</v>
      </c>
      <c r="U796" t="s">
        <v>48178</v>
      </c>
      <c r="W796" t="s">
        <v>41849</v>
      </c>
      <c r="X796" t="s">
        <v>45098</v>
      </c>
    </row>
    <row r="797" spans="1:24">
      <c r="A797">
        <f>HYPERLINK("https://www.philgeps.gov.ph/GEPSNONPILOT/Tender/SplashBidNoticeAbstractUI.aspx?menuIndex=3&amp;refID=7044954&amp;Result=3","7044954")</f>
        <v>0</v>
      </c>
      <c r="B797" t="s">
        <v>308</v>
      </c>
      <c r="C797" t="s">
        <v>3954</v>
      </c>
      <c r="D797" t="s">
        <v>18056</v>
      </c>
      <c r="E797" t="s">
        <v>18773</v>
      </c>
      <c r="F797" t="s">
        <v>31574</v>
      </c>
      <c r="G797" t="s">
        <v>31581</v>
      </c>
      <c r="H797" t="s">
        <v>31590</v>
      </c>
      <c r="I797" t="s">
        <v>31653</v>
      </c>
      <c r="J797" t="s">
        <v>32370</v>
      </c>
      <c r="K797" t="s">
        <v>41184</v>
      </c>
      <c r="M797" t="s">
        <v>41794</v>
      </c>
      <c r="N797" t="s">
        <v>45095</v>
      </c>
      <c r="O797" t="s">
        <v>45096</v>
      </c>
      <c r="P797">
        <v>0</v>
      </c>
      <c r="Q797">
        <v>0</v>
      </c>
      <c r="R797" t="s">
        <v>45097</v>
      </c>
      <c r="S797" t="s">
        <v>45222</v>
      </c>
      <c r="T797" t="s">
        <v>46935</v>
      </c>
      <c r="U797" t="s">
        <v>47721</v>
      </c>
      <c r="W797" t="s">
        <v>41794</v>
      </c>
      <c r="X797" t="s">
        <v>45098</v>
      </c>
    </row>
    <row r="798" spans="1:24">
      <c r="A798">
        <f>HYPERLINK("https://www.philgeps.gov.ph/GEPSNONPILOT/Tender/SplashBidNoticeAbstractUI.aspx?menuIndex=3&amp;refID=7045032&amp;Result=3","7045032")</f>
        <v>0</v>
      </c>
      <c r="B798" t="s">
        <v>201</v>
      </c>
      <c r="C798" t="s">
        <v>3770</v>
      </c>
      <c r="D798" t="s">
        <v>18045</v>
      </c>
      <c r="E798" t="s">
        <v>18692</v>
      </c>
      <c r="F798" t="s">
        <v>31574</v>
      </c>
      <c r="G798" t="s">
        <v>31585</v>
      </c>
      <c r="H798" t="s">
        <v>31590</v>
      </c>
      <c r="I798" t="s">
        <v>4327</v>
      </c>
      <c r="J798" t="s">
        <v>32371</v>
      </c>
      <c r="K798" t="s">
        <v>41184</v>
      </c>
      <c r="M798" t="s">
        <v>41686</v>
      </c>
      <c r="N798" t="s">
        <v>45095</v>
      </c>
      <c r="O798" t="s">
        <v>45096</v>
      </c>
      <c r="P798">
        <v>0</v>
      </c>
      <c r="Q798">
        <v>0</v>
      </c>
      <c r="R798" t="s">
        <v>45097</v>
      </c>
      <c r="S798" t="s">
        <v>45222</v>
      </c>
      <c r="T798" t="s">
        <v>46926</v>
      </c>
      <c r="U798" t="s">
        <v>48179</v>
      </c>
      <c r="W798" t="s">
        <v>41686</v>
      </c>
      <c r="X798" t="s">
        <v>45098</v>
      </c>
    </row>
    <row r="799" spans="1:24">
      <c r="A799">
        <f>HYPERLINK("https://www.philgeps.gov.ph/GEPSNONPILOT/Tender/SplashBidNoticeAbstractUI.aspx?menuIndex=3&amp;refID=7045025&amp;Result=3","7045025")</f>
        <v>0</v>
      </c>
      <c r="B799" t="s">
        <v>360</v>
      </c>
      <c r="C799" t="s">
        <v>3955</v>
      </c>
      <c r="D799" t="s">
        <v>18078</v>
      </c>
      <c r="E799" t="s">
        <v>18869</v>
      </c>
      <c r="F799" t="s">
        <v>31574</v>
      </c>
      <c r="G799" t="s">
        <v>31581</v>
      </c>
      <c r="H799" t="s">
        <v>31590</v>
      </c>
      <c r="I799" t="s">
        <v>4046</v>
      </c>
      <c r="J799" t="s">
        <v>32372</v>
      </c>
      <c r="K799" t="s">
        <v>41190</v>
      </c>
      <c r="M799" t="s">
        <v>41850</v>
      </c>
      <c r="N799" t="s">
        <v>45095</v>
      </c>
      <c r="O799" t="s">
        <v>45096</v>
      </c>
      <c r="P799">
        <v>0</v>
      </c>
      <c r="Q799">
        <v>0</v>
      </c>
      <c r="R799" t="s">
        <v>45097</v>
      </c>
      <c r="S799" t="s">
        <v>45222</v>
      </c>
      <c r="T799" t="s">
        <v>46946</v>
      </c>
      <c r="U799" t="s">
        <v>48180</v>
      </c>
      <c r="W799" t="s">
        <v>41850</v>
      </c>
      <c r="X799" t="s">
        <v>45098</v>
      </c>
    </row>
    <row r="800" spans="1:24">
      <c r="A800">
        <f>HYPERLINK("https://www.philgeps.gov.ph/GEPSNONPILOT/Tender/SplashBidNoticeAbstractUI.aspx?menuIndex=3&amp;refID=7044978&amp;Result=3","7044978")</f>
        <v>0</v>
      </c>
      <c r="B800" t="s">
        <v>265</v>
      </c>
      <c r="C800" t="s">
        <v>3956</v>
      </c>
      <c r="D800" t="s">
        <v>18052</v>
      </c>
      <c r="E800" t="s">
        <v>18870</v>
      </c>
      <c r="F800" t="s">
        <v>31574</v>
      </c>
      <c r="G800" t="s">
        <v>31583</v>
      </c>
      <c r="H800" t="s">
        <v>31590</v>
      </c>
      <c r="I800" t="s">
        <v>3487</v>
      </c>
      <c r="J800" t="s">
        <v>32373</v>
      </c>
      <c r="K800" t="s">
        <v>41184</v>
      </c>
      <c r="M800" t="s">
        <v>41751</v>
      </c>
      <c r="N800" t="s">
        <v>45095</v>
      </c>
      <c r="O800" t="s">
        <v>45096</v>
      </c>
      <c r="P800">
        <v>0</v>
      </c>
      <c r="Q800">
        <v>0</v>
      </c>
      <c r="R800" t="s">
        <v>45097</v>
      </c>
      <c r="S800" t="s">
        <v>45222</v>
      </c>
      <c r="T800" t="s">
        <v>46920</v>
      </c>
      <c r="U800" t="s">
        <v>48181</v>
      </c>
      <c r="W800" t="s">
        <v>41751</v>
      </c>
      <c r="X800" t="s">
        <v>45098</v>
      </c>
    </row>
    <row r="801" spans="1:24">
      <c r="A801">
        <f>HYPERLINK("https://www.philgeps.gov.ph/GEPSNONPILOT/Tender/SplashBidNoticeAbstractUI.aspx?menuIndex=3&amp;refID=7045040&amp;Result=3","7045040")</f>
        <v>0</v>
      </c>
      <c r="B801" t="s">
        <v>361</v>
      </c>
      <c r="C801" t="s">
        <v>3957</v>
      </c>
      <c r="D801" t="s">
        <v>18022</v>
      </c>
      <c r="E801" t="s">
        <v>18871</v>
      </c>
      <c r="F801" t="s">
        <v>31574</v>
      </c>
      <c r="G801" t="s">
        <v>31581</v>
      </c>
      <c r="H801" t="s">
        <v>31590</v>
      </c>
      <c r="I801" t="s">
        <v>31603</v>
      </c>
      <c r="J801" t="s">
        <v>32017</v>
      </c>
      <c r="K801" t="s">
        <v>41186</v>
      </c>
      <c r="M801" t="s">
        <v>41851</v>
      </c>
      <c r="N801" t="s">
        <v>45095</v>
      </c>
      <c r="O801" t="s">
        <v>45096</v>
      </c>
      <c r="P801">
        <v>0</v>
      </c>
      <c r="Q801">
        <v>0</v>
      </c>
      <c r="R801" t="s">
        <v>45097</v>
      </c>
      <c r="S801" t="s">
        <v>45222</v>
      </c>
      <c r="T801" t="s">
        <v>46904</v>
      </c>
      <c r="U801" t="s">
        <v>48182</v>
      </c>
      <c r="V801" t="s">
        <v>59926</v>
      </c>
      <c r="W801" t="s">
        <v>41851</v>
      </c>
      <c r="X801" t="s">
        <v>45098</v>
      </c>
    </row>
    <row r="802" spans="1:24">
      <c r="A802">
        <f>HYPERLINK("https://www.philgeps.gov.ph/GEPSNONPILOT/Tender/SplashBidNoticeAbstractUI.aspx?menuIndex=3&amp;refID=7045010&amp;Result=3","7045010")</f>
        <v>0</v>
      </c>
      <c r="B802" t="s">
        <v>362</v>
      </c>
      <c r="C802" t="s">
        <v>3958</v>
      </c>
      <c r="D802" t="s">
        <v>18068</v>
      </c>
      <c r="E802" t="s">
        <v>18872</v>
      </c>
      <c r="F802" t="s">
        <v>31574</v>
      </c>
      <c r="G802" t="s">
        <v>31582</v>
      </c>
      <c r="H802" t="s">
        <v>31591</v>
      </c>
      <c r="I802" t="s">
        <v>8822</v>
      </c>
      <c r="J802" t="s">
        <v>32019</v>
      </c>
      <c r="K802" t="s">
        <v>41192</v>
      </c>
      <c r="M802" t="s">
        <v>41852</v>
      </c>
      <c r="N802" t="s">
        <v>45095</v>
      </c>
      <c r="O802" t="s">
        <v>45096</v>
      </c>
      <c r="P802">
        <v>0</v>
      </c>
      <c r="Q802">
        <v>0</v>
      </c>
      <c r="R802" t="s">
        <v>45097</v>
      </c>
      <c r="S802" t="s">
        <v>45222</v>
      </c>
      <c r="T802" t="s">
        <v>46915</v>
      </c>
      <c r="U802" t="s">
        <v>48183</v>
      </c>
      <c r="W802" t="s">
        <v>41852</v>
      </c>
      <c r="X802" t="s">
        <v>45098</v>
      </c>
    </row>
    <row r="803" spans="1:24">
      <c r="A803">
        <f>HYPERLINK("https://www.philgeps.gov.ph/GEPSNONPILOT/Tender/SplashBidNoticeAbstractUI.aspx?menuIndex=3&amp;refID=7045038&amp;Result=3","7045038")</f>
        <v>0</v>
      </c>
      <c r="B803" t="s">
        <v>363</v>
      </c>
      <c r="C803" t="s">
        <v>3959</v>
      </c>
      <c r="D803" t="s">
        <v>18044</v>
      </c>
      <c r="E803" t="s">
        <v>18873</v>
      </c>
      <c r="F803" t="s">
        <v>31574</v>
      </c>
      <c r="G803" t="s">
        <v>31582</v>
      </c>
      <c r="H803" t="s">
        <v>31592</v>
      </c>
      <c r="I803" t="s">
        <v>31596</v>
      </c>
      <c r="J803" t="s">
        <v>32374</v>
      </c>
      <c r="K803" t="s">
        <v>41225</v>
      </c>
      <c r="M803" t="s">
        <v>41853</v>
      </c>
      <c r="N803" t="s">
        <v>45095</v>
      </c>
      <c r="O803" t="s">
        <v>45096</v>
      </c>
      <c r="P803">
        <v>0</v>
      </c>
      <c r="Q803">
        <v>0</v>
      </c>
      <c r="R803" t="s">
        <v>45097</v>
      </c>
      <c r="S803" t="s">
        <v>45222</v>
      </c>
      <c r="T803" t="s">
        <v>46916</v>
      </c>
      <c r="U803" t="s">
        <v>48184</v>
      </c>
      <c r="W803" t="s">
        <v>41853</v>
      </c>
      <c r="X803" t="s">
        <v>45098</v>
      </c>
    </row>
    <row r="804" spans="1:24">
      <c r="A804">
        <f>HYPERLINK("https://www.philgeps.gov.ph/GEPSNONPILOT/Tender/SplashBidNoticeAbstractUI.aspx?menuIndex=3&amp;refID=7045051&amp;Result=3","7045051")</f>
        <v>0</v>
      </c>
      <c r="B804" t="s">
        <v>348</v>
      </c>
      <c r="C804" t="s">
        <v>3960</v>
      </c>
      <c r="D804" t="s">
        <v>18065</v>
      </c>
      <c r="E804" t="s">
        <v>18874</v>
      </c>
      <c r="F804" t="s">
        <v>31574</v>
      </c>
      <c r="G804" t="s">
        <v>31581</v>
      </c>
      <c r="H804" t="s">
        <v>31590</v>
      </c>
      <c r="I804" t="s">
        <v>31635</v>
      </c>
      <c r="J804" t="s">
        <v>31741</v>
      </c>
      <c r="K804" t="s">
        <v>41184</v>
      </c>
      <c r="M804" t="s">
        <v>41836</v>
      </c>
      <c r="N804" t="s">
        <v>45095</v>
      </c>
      <c r="O804" t="s">
        <v>45096</v>
      </c>
      <c r="P804">
        <v>0</v>
      </c>
      <c r="Q804">
        <v>0</v>
      </c>
      <c r="R804" t="s">
        <v>45097</v>
      </c>
      <c r="S804" t="s">
        <v>45222</v>
      </c>
      <c r="T804" t="s">
        <v>46904</v>
      </c>
      <c r="U804" t="s">
        <v>48153</v>
      </c>
      <c r="W804" t="s">
        <v>41836</v>
      </c>
      <c r="X804" t="s">
        <v>45098</v>
      </c>
    </row>
    <row r="805" spans="1:24">
      <c r="A805">
        <f>HYPERLINK("https://www.philgeps.gov.ph/GEPSNONPILOT/Tender/SplashBidNoticeAbstractUI.aspx?menuIndex=3&amp;refID=7045039&amp;Result=3","7045039")</f>
        <v>0</v>
      </c>
      <c r="B805" t="s">
        <v>246</v>
      </c>
      <c r="C805" t="s">
        <v>3961</v>
      </c>
      <c r="D805" t="s">
        <v>18054</v>
      </c>
      <c r="E805" t="s">
        <v>18875</v>
      </c>
      <c r="F805" t="s">
        <v>31574</v>
      </c>
      <c r="G805" t="s">
        <v>31581</v>
      </c>
      <c r="H805" t="s">
        <v>31592</v>
      </c>
      <c r="I805" t="s">
        <v>3539</v>
      </c>
      <c r="J805" t="s">
        <v>31741</v>
      </c>
      <c r="K805" t="s">
        <v>41226</v>
      </c>
      <c r="M805" t="s">
        <v>41732</v>
      </c>
      <c r="N805" t="s">
        <v>45095</v>
      </c>
      <c r="O805" t="s">
        <v>45096</v>
      </c>
      <c r="P805">
        <v>0</v>
      </c>
      <c r="Q805">
        <v>0</v>
      </c>
      <c r="R805" t="s">
        <v>45097</v>
      </c>
      <c r="S805" t="s">
        <v>45222</v>
      </c>
      <c r="T805" t="s">
        <v>47003</v>
      </c>
      <c r="U805" t="s">
        <v>48185</v>
      </c>
      <c r="W805" t="s">
        <v>41732</v>
      </c>
      <c r="X805" t="s">
        <v>45098</v>
      </c>
    </row>
    <row r="806" spans="1:24">
      <c r="A806">
        <f>HYPERLINK("https://www.philgeps.gov.ph/GEPSNONPILOT/Tender/SplashBidNoticeAbstractUI.aspx?menuIndex=3&amp;refID=7045026&amp;Result=3","7045026")</f>
        <v>0</v>
      </c>
      <c r="B806" t="s">
        <v>131</v>
      </c>
      <c r="C806" t="s">
        <v>3962</v>
      </c>
      <c r="D806" t="s">
        <v>18022</v>
      </c>
      <c r="E806" t="s">
        <v>18876</v>
      </c>
      <c r="F806" t="s">
        <v>31574</v>
      </c>
      <c r="G806" t="s">
        <v>31581</v>
      </c>
      <c r="H806" t="s">
        <v>31590</v>
      </c>
      <c r="I806" t="s">
        <v>3487</v>
      </c>
      <c r="J806" t="s">
        <v>32375</v>
      </c>
      <c r="K806" t="s">
        <v>41211</v>
      </c>
      <c r="M806" t="s">
        <v>41841</v>
      </c>
      <c r="N806" t="s">
        <v>45095</v>
      </c>
      <c r="O806" t="s">
        <v>45096</v>
      </c>
      <c r="P806">
        <v>0</v>
      </c>
      <c r="Q806">
        <v>0</v>
      </c>
      <c r="R806" t="s">
        <v>45097</v>
      </c>
      <c r="S806" t="s">
        <v>45222</v>
      </c>
      <c r="T806" t="s">
        <v>46949</v>
      </c>
      <c r="U806" t="s">
        <v>48186</v>
      </c>
      <c r="W806" t="s">
        <v>41841</v>
      </c>
      <c r="X806" t="s">
        <v>45098</v>
      </c>
    </row>
    <row r="807" spans="1:24">
      <c r="A807">
        <f>HYPERLINK("https://www.philgeps.gov.ph/GEPSNONPILOT/Tender/SplashBidNoticeAbstractUI.aspx?menuIndex=3&amp;refID=7045055&amp;Result=3","7045055")</f>
        <v>0</v>
      </c>
      <c r="B807" t="s">
        <v>180</v>
      </c>
      <c r="C807" t="s">
        <v>3963</v>
      </c>
      <c r="D807" t="s">
        <v>18066</v>
      </c>
      <c r="E807" t="s">
        <v>18877</v>
      </c>
      <c r="F807" t="s">
        <v>31574</v>
      </c>
      <c r="G807" t="s">
        <v>31582</v>
      </c>
      <c r="H807" t="s">
        <v>31591</v>
      </c>
      <c r="I807" t="s">
        <v>8822</v>
      </c>
      <c r="J807" t="s">
        <v>32376</v>
      </c>
      <c r="K807" t="s">
        <v>41189</v>
      </c>
      <c r="M807" t="s">
        <v>41665</v>
      </c>
      <c r="N807" t="s">
        <v>45095</v>
      </c>
      <c r="O807" t="s">
        <v>45096</v>
      </c>
      <c r="P807">
        <v>0</v>
      </c>
      <c r="Q807">
        <v>0</v>
      </c>
      <c r="R807" t="s">
        <v>45097</v>
      </c>
      <c r="S807" t="s">
        <v>45222</v>
      </c>
      <c r="T807" t="s">
        <v>47018</v>
      </c>
      <c r="U807" t="s">
        <v>48187</v>
      </c>
      <c r="W807" t="s">
        <v>41665</v>
      </c>
      <c r="X807" t="s">
        <v>45098</v>
      </c>
    </row>
    <row r="808" spans="1:24">
      <c r="A808">
        <f>HYPERLINK("https://www.philgeps.gov.ph/GEPSNONPILOT/Tender/SplashBidNoticeAbstractUI.aspx?menuIndex=3&amp;refID=7045054&amp;Result=3","7045054")</f>
        <v>0</v>
      </c>
      <c r="B808" t="s">
        <v>281</v>
      </c>
      <c r="C808" t="s">
        <v>3964</v>
      </c>
      <c r="D808" t="s">
        <v>18041</v>
      </c>
      <c r="E808" t="s">
        <v>18878</v>
      </c>
      <c r="F808" t="s">
        <v>31574</v>
      </c>
      <c r="G808" t="s">
        <v>31581</v>
      </c>
      <c r="H808" t="s">
        <v>31590</v>
      </c>
      <c r="I808" t="s">
        <v>3487</v>
      </c>
      <c r="J808" t="s">
        <v>31741</v>
      </c>
      <c r="K808" t="s">
        <v>41192</v>
      </c>
      <c r="M808" t="s">
        <v>41767</v>
      </c>
      <c r="N808" t="s">
        <v>45095</v>
      </c>
      <c r="O808" t="s">
        <v>45096</v>
      </c>
      <c r="P808">
        <v>0</v>
      </c>
      <c r="Q808">
        <v>0</v>
      </c>
      <c r="R808" t="s">
        <v>45097</v>
      </c>
      <c r="S808" t="s">
        <v>45222</v>
      </c>
      <c r="T808" t="s">
        <v>46910</v>
      </c>
      <c r="U808" t="s">
        <v>48118</v>
      </c>
      <c r="W808" t="s">
        <v>41767</v>
      </c>
      <c r="X808" t="s">
        <v>45098</v>
      </c>
    </row>
    <row r="809" spans="1:24">
      <c r="A809">
        <f>HYPERLINK("https://www.philgeps.gov.ph/GEPSNONPILOT/Tender/SplashBidNoticeAbstractUI.aspx?menuIndex=3&amp;refID=7045035&amp;Result=3","7045035")</f>
        <v>0</v>
      </c>
      <c r="B809" t="s">
        <v>352</v>
      </c>
      <c r="C809" t="s">
        <v>3965</v>
      </c>
      <c r="D809" t="s">
        <v>18023</v>
      </c>
      <c r="E809" t="s">
        <v>18879</v>
      </c>
      <c r="F809" t="s">
        <v>31574</v>
      </c>
      <c r="G809" t="s">
        <v>31585</v>
      </c>
      <c r="H809" t="s">
        <v>31590</v>
      </c>
      <c r="I809" t="s">
        <v>31630</v>
      </c>
      <c r="J809" t="s">
        <v>32377</v>
      </c>
      <c r="K809" t="s">
        <v>41186</v>
      </c>
      <c r="M809" t="s">
        <v>41840</v>
      </c>
      <c r="N809" t="s">
        <v>45095</v>
      </c>
      <c r="O809" t="s">
        <v>45096</v>
      </c>
      <c r="P809">
        <v>0</v>
      </c>
      <c r="Q809">
        <v>0</v>
      </c>
      <c r="R809" t="s">
        <v>45097</v>
      </c>
      <c r="S809" t="s">
        <v>45222</v>
      </c>
      <c r="T809" t="s">
        <v>46906</v>
      </c>
      <c r="U809" t="s">
        <v>48188</v>
      </c>
      <c r="W809" t="s">
        <v>41840</v>
      </c>
      <c r="X809" t="s">
        <v>45098</v>
      </c>
    </row>
    <row r="810" spans="1:24">
      <c r="A810">
        <f>HYPERLINK("https://www.philgeps.gov.ph/GEPSNONPILOT/Tender/SplashBidNoticeAbstractUI.aspx?menuIndex=3&amp;refID=7045042&amp;Result=3","7045042")</f>
        <v>0</v>
      </c>
      <c r="B810" t="s">
        <v>364</v>
      </c>
      <c r="C810" t="s">
        <v>3966</v>
      </c>
      <c r="D810" t="s">
        <v>18022</v>
      </c>
      <c r="E810" t="s">
        <v>18880</v>
      </c>
      <c r="F810" t="s">
        <v>31574</v>
      </c>
      <c r="G810" t="s">
        <v>31584</v>
      </c>
      <c r="H810" t="s">
        <v>31590</v>
      </c>
      <c r="I810" t="s">
        <v>14544</v>
      </c>
      <c r="J810" t="s">
        <v>32258</v>
      </c>
      <c r="K810" t="s">
        <v>41184</v>
      </c>
      <c r="M810" t="s">
        <v>41854</v>
      </c>
      <c r="N810" t="s">
        <v>45095</v>
      </c>
      <c r="O810" t="s">
        <v>45096</v>
      </c>
      <c r="P810">
        <v>0</v>
      </c>
      <c r="Q810">
        <v>0</v>
      </c>
      <c r="R810" t="s">
        <v>45097</v>
      </c>
      <c r="S810" t="s">
        <v>45222</v>
      </c>
      <c r="T810" t="s">
        <v>46934</v>
      </c>
      <c r="U810" t="s">
        <v>48189</v>
      </c>
      <c r="W810" t="s">
        <v>41854</v>
      </c>
      <c r="X810" t="s">
        <v>45098</v>
      </c>
    </row>
    <row r="811" spans="1:24">
      <c r="A811">
        <f>HYPERLINK("https://www.philgeps.gov.ph/GEPSNONPILOT/Tender/SplashBidNoticeAbstractUI.aspx?menuIndex=3&amp;refID=7045053&amp;Result=3","7045053")</f>
        <v>0</v>
      </c>
      <c r="B811" t="s">
        <v>365</v>
      </c>
      <c r="C811" t="s">
        <v>3967</v>
      </c>
      <c r="D811" t="s">
        <v>18041</v>
      </c>
      <c r="E811" t="s">
        <v>18881</v>
      </c>
      <c r="F811" t="s">
        <v>31574</v>
      </c>
      <c r="G811" t="s">
        <v>31581</v>
      </c>
      <c r="H811" t="s">
        <v>31590</v>
      </c>
      <c r="I811" t="s">
        <v>6800</v>
      </c>
      <c r="J811" t="s">
        <v>32378</v>
      </c>
      <c r="K811" t="s">
        <v>41211</v>
      </c>
      <c r="M811" t="s">
        <v>41855</v>
      </c>
      <c r="N811" t="s">
        <v>45095</v>
      </c>
      <c r="O811" t="s">
        <v>45096</v>
      </c>
      <c r="P811">
        <v>0</v>
      </c>
      <c r="Q811">
        <v>0</v>
      </c>
      <c r="R811" t="s">
        <v>45097</v>
      </c>
      <c r="S811" t="s">
        <v>45222</v>
      </c>
      <c r="T811" t="s">
        <v>46911</v>
      </c>
      <c r="U811" t="s">
        <v>48190</v>
      </c>
      <c r="W811" t="s">
        <v>41855</v>
      </c>
      <c r="X811" t="s">
        <v>45098</v>
      </c>
    </row>
    <row r="812" spans="1:24">
      <c r="A812">
        <f>HYPERLINK("https://www.philgeps.gov.ph/GEPSNONPILOT/Tender/SplashBidNoticeAbstractUI.aspx?menuIndex=3&amp;refID=7045052&amp;Result=3","7045052")</f>
        <v>0</v>
      </c>
      <c r="B812" t="s">
        <v>353</v>
      </c>
      <c r="C812" t="s">
        <v>3968</v>
      </c>
      <c r="D812" t="s">
        <v>18068</v>
      </c>
      <c r="E812" t="s">
        <v>18882</v>
      </c>
      <c r="F812" t="s">
        <v>31574</v>
      </c>
      <c r="G812" t="s">
        <v>31581</v>
      </c>
      <c r="H812" t="s">
        <v>31590</v>
      </c>
      <c r="I812" t="s">
        <v>31654</v>
      </c>
      <c r="J812" t="s">
        <v>31930</v>
      </c>
      <c r="K812" t="s">
        <v>41186</v>
      </c>
      <c r="M812" t="s">
        <v>41842</v>
      </c>
      <c r="N812" t="s">
        <v>45095</v>
      </c>
      <c r="O812" t="s">
        <v>45096</v>
      </c>
      <c r="P812">
        <v>0</v>
      </c>
      <c r="Q812">
        <v>0</v>
      </c>
      <c r="R812" t="s">
        <v>45097</v>
      </c>
      <c r="S812" t="s">
        <v>45222</v>
      </c>
      <c r="T812" t="s">
        <v>46932</v>
      </c>
      <c r="U812" t="s">
        <v>48191</v>
      </c>
      <c r="V812" t="s">
        <v>59927</v>
      </c>
      <c r="W812" t="s">
        <v>41842</v>
      </c>
      <c r="X812" t="s">
        <v>45098</v>
      </c>
    </row>
    <row r="813" spans="1:24">
      <c r="A813">
        <f>HYPERLINK("https://www.philgeps.gov.ph/GEPSNONPILOT/Tender/SplashBidNoticeAbstractUI.aspx?menuIndex=3&amp;refID=7045045&amp;Result=3","7045045")</f>
        <v>0</v>
      </c>
      <c r="B813" t="s">
        <v>124</v>
      </c>
      <c r="C813" t="s">
        <v>3969</v>
      </c>
      <c r="D813" t="s">
        <v>18065</v>
      </c>
      <c r="E813" t="s">
        <v>18883</v>
      </c>
      <c r="F813" t="s">
        <v>31574</v>
      </c>
      <c r="G813" t="s">
        <v>31581</v>
      </c>
      <c r="H813" t="s">
        <v>31590</v>
      </c>
      <c r="I813" t="s">
        <v>31644</v>
      </c>
      <c r="J813" t="s">
        <v>31927</v>
      </c>
      <c r="K813" t="s">
        <v>41184</v>
      </c>
      <c r="M813" t="s">
        <v>41608</v>
      </c>
      <c r="N813" t="s">
        <v>45095</v>
      </c>
      <c r="O813" t="s">
        <v>45096</v>
      </c>
      <c r="P813">
        <v>0</v>
      </c>
      <c r="Q813">
        <v>0</v>
      </c>
      <c r="R813" t="s">
        <v>45097</v>
      </c>
      <c r="S813" t="s">
        <v>45222</v>
      </c>
      <c r="T813" t="s">
        <v>46934</v>
      </c>
      <c r="U813" t="s">
        <v>48192</v>
      </c>
      <c r="W813" t="s">
        <v>41608</v>
      </c>
      <c r="X813" t="s">
        <v>45098</v>
      </c>
    </row>
    <row r="814" spans="1:24">
      <c r="A814">
        <f>HYPERLINK("https://www.philgeps.gov.ph/GEPSNONPILOT/Tender/SplashBidNoticeAbstractUI.aspx?menuIndex=3&amp;refID=7045041&amp;Result=3","7045041")</f>
        <v>0</v>
      </c>
      <c r="B814" t="s">
        <v>349</v>
      </c>
      <c r="C814" t="s">
        <v>3970</v>
      </c>
      <c r="D814" t="s">
        <v>18071</v>
      </c>
      <c r="E814" t="s">
        <v>18884</v>
      </c>
      <c r="F814" t="s">
        <v>31574</v>
      </c>
      <c r="G814" t="s">
        <v>31582</v>
      </c>
      <c r="H814" t="s">
        <v>31590</v>
      </c>
      <c r="I814" t="s">
        <v>31602</v>
      </c>
      <c r="J814" t="s">
        <v>32379</v>
      </c>
      <c r="K814" t="s">
        <v>41186</v>
      </c>
      <c r="L814" t="s">
        <v>349</v>
      </c>
      <c r="M814" t="s">
        <v>41837</v>
      </c>
      <c r="N814" t="s">
        <v>45095</v>
      </c>
      <c r="O814" t="s">
        <v>45096</v>
      </c>
      <c r="P814">
        <v>0</v>
      </c>
      <c r="Q814">
        <v>0</v>
      </c>
      <c r="R814" t="s">
        <v>45097</v>
      </c>
      <c r="S814" t="s">
        <v>45222</v>
      </c>
      <c r="T814" t="s">
        <v>47015</v>
      </c>
      <c r="U814" t="s">
        <v>48193</v>
      </c>
      <c r="W814" t="s">
        <v>41837</v>
      </c>
      <c r="X814" t="s">
        <v>45098</v>
      </c>
    </row>
    <row r="815" spans="1:24">
      <c r="A815">
        <f>HYPERLINK("https://www.philgeps.gov.ph/GEPSNONPILOT/Tender/SplashBidNoticeAbstractUI.aspx?menuIndex=3&amp;refID=7045036&amp;Result=3","7045036")</f>
        <v>0</v>
      </c>
      <c r="B815" t="s">
        <v>366</v>
      </c>
      <c r="C815" t="s">
        <v>3971</v>
      </c>
      <c r="D815" t="s">
        <v>18089</v>
      </c>
      <c r="E815" t="s">
        <v>18885</v>
      </c>
      <c r="F815" t="s">
        <v>31574</v>
      </c>
      <c r="G815" t="s">
        <v>31581</v>
      </c>
      <c r="H815" t="s">
        <v>31590</v>
      </c>
      <c r="I815" t="s">
        <v>31608</v>
      </c>
      <c r="J815" t="s">
        <v>32380</v>
      </c>
      <c r="K815" t="s">
        <v>41184</v>
      </c>
      <c r="M815" t="s">
        <v>41856</v>
      </c>
      <c r="N815" t="s">
        <v>45095</v>
      </c>
      <c r="O815" t="s">
        <v>45096</v>
      </c>
      <c r="P815">
        <v>0</v>
      </c>
      <c r="Q815">
        <v>0</v>
      </c>
      <c r="R815" t="s">
        <v>45097</v>
      </c>
      <c r="S815" t="s">
        <v>45222</v>
      </c>
      <c r="T815" t="s">
        <v>46913</v>
      </c>
      <c r="U815" t="s">
        <v>48194</v>
      </c>
      <c r="W815" t="s">
        <v>41856</v>
      </c>
      <c r="X815" t="s">
        <v>45098</v>
      </c>
    </row>
    <row r="816" spans="1:24">
      <c r="A816">
        <f>HYPERLINK("https://www.philgeps.gov.ph/GEPSNONPILOT/Tender/SplashBidNoticeAbstractUI.aspx?menuIndex=3&amp;refID=7045043&amp;Result=3","7045043")</f>
        <v>0</v>
      </c>
      <c r="B816" t="s">
        <v>367</v>
      </c>
      <c r="C816" t="s">
        <v>3972</v>
      </c>
      <c r="D816" t="s">
        <v>18040</v>
      </c>
      <c r="E816" t="s">
        <v>18788</v>
      </c>
      <c r="F816" t="s">
        <v>31574</v>
      </c>
      <c r="G816" t="s">
        <v>31582</v>
      </c>
      <c r="H816" t="s">
        <v>31590</v>
      </c>
      <c r="I816" t="s">
        <v>31636</v>
      </c>
      <c r="J816" t="s">
        <v>32381</v>
      </c>
      <c r="K816" t="s">
        <v>41211</v>
      </c>
      <c r="M816" t="s">
        <v>41857</v>
      </c>
      <c r="N816" t="s">
        <v>45095</v>
      </c>
      <c r="O816" t="s">
        <v>45096</v>
      </c>
      <c r="P816">
        <v>0</v>
      </c>
      <c r="Q816">
        <v>0</v>
      </c>
      <c r="R816" t="s">
        <v>45097</v>
      </c>
      <c r="S816" t="s">
        <v>45222</v>
      </c>
      <c r="T816" t="s">
        <v>46935</v>
      </c>
      <c r="U816" t="s">
        <v>48195</v>
      </c>
      <c r="W816" t="s">
        <v>61665</v>
      </c>
      <c r="X816" t="s">
        <v>45098</v>
      </c>
    </row>
    <row r="817" spans="1:24">
      <c r="A817">
        <f>HYPERLINK("https://www.philgeps.gov.ph/GEPSNONPILOT/Tender/SplashBidNoticeAbstractUI.aspx?menuIndex=3&amp;refID=7045047&amp;Result=3","7045047")</f>
        <v>0</v>
      </c>
      <c r="B817" t="s">
        <v>368</v>
      </c>
      <c r="C817" t="s">
        <v>3973</v>
      </c>
      <c r="D817" t="s">
        <v>18036</v>
      </c>
      <c r="E817" t="s">
        <v>18886</v>
      </c>
      <c r="F817" t="s">
        <v>31574</v>
      </c>
      <c r="G817" t="s">
        <v>31583</v>
      </c>
      <c r="H817" t="s">
        <v>31590</v>
      </c>
      <c r="I817" t="s">
        <v>3487</v>
      </c>
      <c r="J817" t="s">
        <v>32382</v>
      </c>
      <c r="K817" t="s">
        <v>41184</v>
      </c>
      <c r="M817" t="s">
        <v>41858</v>
      </c>
      <c r="N817" t="s">
        <v>45095</v>
      </c>
      <c r="O817" t="s">
        <v>45096</v>
      </c>
      <c r="P817">
        <v>0</v>
      </c>
      <c r="Q817">
        <v>0</v>
      </c>
      <c r="R817" t="s">
        <v>45097</v>
      </c>
      <c r="S817" t="s">
        <v>45222</v>
      </c>
      <c r="T817" t="s">
        <v>46982</v>
      </c>
      <c r="U817" t="s">
        <v>48196</v>
      </c>
      <c r="W817" t="s">
        <v>41858</v>
      </c>
      <c r="X817" t="s">
        <v>45098</v>
      </c>
    </row>
    <row r="818" spans="1:24">
      <c r="A818">
        <f>HYPERLINK("https://www.philgeps.gov.ph/GEPSNONPILOT/Tender/SplashBidNoticeAbstractUI.aspx?menuIndex=3&amp;refID=7045033&amp;Result=3","7045033")</f>
        <v>0</v>
      </c>
      <c r="B818" t="s">
        <v>283</v>
      </c>
      <c r="C818" t="s">
        <v>3974</v>
      </c>
      <c r="D818" t="s">
        <v>18036</v>
      </c>
      <c r="E818" t="s">
        <v>18887</v>
      </c>
      <c r="F818" t="s">
        <v>31574</v>
      </c>
      <c r="G818" t="s">
        <v>31581</v>
      </c>
      <c r="H818" t="s">
        <v>31592</v>
      </c>
      <c r="I818" t="s">
        <v>31623</v>
      </c>
      <c r="J818" t="s">
        <v>31857</v>
      </c>
      <c r="K818" t="s">
        <v>41237</v>
      </c>
      <c r="M818" t="s">
        <v>41769</v>
      </c>
      <c r="N818" t="s">
        <v>45095</v>
      </c>
      <c r="O818" t="s">
        <v>45096</v>
      </c>
      <c r="P818">
        <v>0</v>
      </c>
      <c r="Q818">
        <v>0</v>
      </c>
      <c r="R818" t="s">
        <v>45097</v>
      </c>
      <c r="S818" t="s">
        <v>45222</v>
      </c>
      <c r="T818" t="s">
        <v>46979</v>
      </c>
      <c r="U818" t="s">
        <v>48197</v>
      </c>
      <c r="V818" t="s">
        <v>59928</v>
      </c>
      <c r="W818" t="s">
        <v>41769</v>
      </c>
      <c r="X818" t="s">
        <v>45098</v>
      </c>
    </row>
    <row r="819" spans="1:24">
      <c r="A819">
        <f>HYPERLINK("https://www.philgeps.gov.ph/GEPSNONPILOT/Tender/SplashBidNoticeAbstractUI.aspx?menuIndex=3&amp;refID=7045057&amp;Result=3","7045057")</f>
        <v>0</v>
      </c>
      <c r="B819" t="s">
        <v>144</v>
      </c>
      <c r="C819" t="s">
        <v>3975</v>
      </c>
      <c r="D819" t="s">
        <v>18076</v>
      </c>
      <c r="E819" t="s">
        <v>18888</v>
      </c>
      <c r="F819" t="s">
        <v>31574</v>
      </c>
      <c r="G819" t="s">
        <v>31582</v>
      </c>
      <c r="H819" t="s">
        <v>31590</v>
      </c>
      <c r="I819" t="s">
        <v>4046</v>
      </c>
      <c r="J819" t="s">
        <v>32383</v>
      </c>
      <c r="K819" t="s">
        <v>41193</v>
      </c>
      <c r="M819" t="s">
        <v>41843</v>
      </c>
      <c r="N819" t="s">
        <v>45095</v>
      </c>
      <c r="O819" t="s">
        <v>45096</v>
      </c>
      <c r="P819">
        <v>0</v>
      </c>
      <c r="Q819">
        <v>0</v>
      </c>
      <c r="R819" t="s">
        <v>45097</v>
      </c>
      <c r="S819" t="s">
        <v>45222</v>
      </c>
      <c r="T819" t="s">
        <v>47016</v>
      </c>
      <c r="U819" t="s">
        <v>48198</v>
      </c>
      <c r="W819" t="s">
        <v>41843</v>
      </c>
      <c r="X819" t="s">
        <v>45098</v>
      </c>
    </row>
    <row r="820" spans="1:24">
      <c r="A820">
        <f>HYPERLINK("https://www.philgeps.gov.ph/GEPSNONPILOT/Tender/SplashBidNoticeAbstractUI.aspx?menuIndex=3&amp;refID=7045044&amp;Result=3","7045044")</f>
        <v>0</v>
      </c>
      <c r="B820" t="s">
        <v>354</v>
      </c>
      <c r="C820" t="s">
        <v>3976</v>
      </c>
      <c r="D820" t="s">
        <v>18056</v>
      </c>
      <c r="E820" t="s">
        <v>18889</v>
      </c>
      <c r="F820" t="s">
        <v>31574</v>
      </c>
      <c r="G820" t="s">
        <v>31586</v>
      </c>
      <c r="H820" t="s">
        <v>31590</v>
      </c>
      <c r="I820" t="s">
        <v>6800</v>
      </c>
      <c r="J820" t="s">
        <v>32029</v>
      </c>
      <c r="K820" t="s">
        <v>41190</v>
      </c>
      <c r="M820" t="s">
        <v>41844</v>
      </c>
      <c r="N820" t="s">
        <v>45095</v>
      </c>
      <c r="O820" t="s">
        <v>45096</v>
      </c>
      <c r="P820">
        <v>0</v>
      </c>
      <c r="Q820">
        <v>0</v>
      </c>
      <c r="R820" t="s">
        <v>45097</v>
      </c>
      <c r="S820" t="s">
        <v>45222</v>
      </c>
      <c r="T820" t="s">
        <v>46920</v>
      </c>
      <c r="U820" t="s">
        <v>48199</v>
      </c>
      <c r="W820" t="s">
        <v>41844</v>
      </c>
      <c r="X820" t="s">
        <v>45098</v>
      </c>
    </row>
    <row r="821" spans="1:24">
      <c r="A821">
        <f>HYPERLINK("https://www.philgeps.gov.ph/GEPSNONPILOT/Tender/SplashBidNoticeAbstractUI.aspx?menuIndex=3&amp;refID=7045048&amp;Result=3","7045048")</f>
        <v>0</v>
      </c>
      <c r="B821" t="s">
        <v>369</v>
      </c>
      <c r="C821" t="s">
        <v>3977</v>
      </c>
      <c r="D821" t="s">
        <v>18063</v>
      </c>
      <c r="E821" t="s">
        <v>18890</v>
      </c>
      <c r="F821" t="s">
        <v>31574</v>
      </c>
      <c r="G821" t="s">
        <v>31581</v>
      </c>
      <c r="H821" t="s">
        <v>31590</v>
      </c>
      <c r="I821" t="s">
        <v>8258</v>
      </c>
      <c r="J821" t="s">
        <v>32384</v>
      </c>
      <c r="K821" t="s">
        <v>41196</v>
      </c>
      <c r="M821" t="s">
        <v>41859</v>
      </c>
      <c r="N821" t="s">
        <v>45095</v>
      </c>
      <c r="O821" t="s">
        <v>45096</v>
      </c>
      <c r="P821">
        <v>0</v>
      </c>
      <c r="Q821">
        <v>0</v>
      </c>
      <c r="R821" t="s">
        <v>45097</v>
      </c>
      <c r="S821" t="s">
        <v>45222</v>
      </c>
      <c r="T821" t="s">
        <v>46911</v>
      </c>
      <c r="U821" t="s">
        <v>48200</v>
      </c>
      <c r="W821" t="s">
        <v>61666</v>
      </c>
      <c r="X821" t="s">
        <v>45098</v>
      </c>
    </row>
    <row r="822" spans="1:24">
      <c r="A822">
        <f>HYPERLINK("https://www.philgeps.gov.ph/GEPSNONPILOT/Tender/SplashBidNoticeAbstractUI.aspx?menuIndex=3&amp;refID=7045034&amp;Result=3","7045034")</f>
        <v>0</v>
      </c>
      <c r="B822" t="s">
        <v>50</v>
      </c>
      <c r="C822" t="s">
        <v>3978</v>
      </c>
      <c r="D822" t="s">
        <v>18042</v>
      </c>
      <c r="E822" t="s">
        <v>18891</v>
      </c>
      <c r="F822" t="s">
        <v>31574</v>
      </c>
      <c r="G822" t="s">
        <v>31582</v>
      </c>
      <c r="H822" t="s">
        <v>31590</v>
      </c>
      <c r="I822" t="s">
        <v>7185</v>
      </c>
      <c r="J822" t="s">
        <v>32385</v>
      </c>
      <c r="K822" t="s">
        <v>41186</v>
      </c>
      <c r="M822" t="s">
        <v>41533</v>
      </c>
      <c r="N822" t="s">
        <v>45095</v>
      </c>
      <c r="O822" t="s">
        <v>45096</v>
      </c>
      <c r="P822">
        <v>0</v>
      </c>
      <c r="Q822">
        <v>0</v>
      </c>
      <c r="R822" t="s">
        <v>45097</v>
      </c>
      <c r="S822" t="s">
        <v>45222</v>
      </c>
      <c r="T822" t="s">
        <v>46916</v>
      </c>
      <c r="U822" t="s">
        <v>48201</v>
      </c>
      <c r="W822" t="s">
        <v>41533</v>
      </c>
      <c r="X822" t="s">
        <v>45098</v>
      </c>
    </row>
    <row r="823" spans="1:24">
      <c r="A823">
        <f>HYPERLINK("https://www.philgeps.gov.ph/GEPSNONPILOT/Tender/SplashBidNoticeAbstractUI.aspx?menuIndex=3&amp;refID=7045061&amp;Result=3","7045061")</f>
        <v>0</v>
      </c>
      <c r="B823" t="s">
        <v>370</v>
      </c>
      <c r="C823" t="s">
        <v>3979</v>
      </c>
      <c r="D823" t="s">
        <v>18022</v>
      </c>
      <c r="E823" t="s">
        <v>18892</v>
      </c>
      <c r="F823" t="s">
        <v>31574</v>
      </c>
      <c r="G823" t="s">
        <v>31581</v>
      </c>
      <c r="H823" t="s">
        <v>31590</v>
      </c>
      <c r="I823" t="s">
        <v>31608</v>
      </c>
      <c r="J823" t="s">
        <v>32386</v>
      </c>
      <c r="K823" t="s">
        <v>41193</v>
      </c>
      <c r="M823" t="s">
        <v>41860</v>
      </c>
      <c r="N823" t="s">
        <v>45095</v>
      </c>
      <c r="O823" t="s">
        <v>45096</v>
      </c>
      <c r="P823">
        <v>0</v>
      </c>
      <c r="Q823">
        <v>0</v>
      </c>
      <c r="R823" t="s">
        <v>45097</v>
      </c>
      <c r="S823" t="s">
        <v>45222</v>
      </c>
      <c r="T823" t="s">
        <v>46980</v>
      </c>
      <c r="U823" t="s">
        <v>48202</v>
      </c>
      <c r="V823" t="s">
        <v>59929</v>
      </c>
      <c r="W823" t="s">
        <v>41860</v>
      </c>
      <c r="X823" t="s">
        <v>45098</v>
      </c>
    </row>
    <row r="824" spans="1:24">
      <c r="A824">
        <f>HYPERLINK("https://www.philgeps.gov.ph/GEPSNONPILOT/Tender/SplashBidNoticeAbstractUI.aspx?menuIndex=3&amp;refID=7045058&amp;Result=3","7045058")</f>
        <v>0</v>
      </c>
      <c r="B824" t="s">
        <v>29</v>
      </c>
      <c r="C824" t="s">
        <v>3980</v>
      </c>
      <c r="D824" t="s">
        <v>18026</v>
      </c>
      <c r="E824" t="s">
        <v>18893</v>
      </c>
      <c r="F824" t="s">
        <v>31574</v>
      </c>
      <c r="G824" t="s">
        <v>31583</v>
      </c>
      <c r="H824" t="s">
        <v>31590</v>
      </c>
      <c r="I824" t="s">
        <v>31619</v>
      </c>
      <c r="J824" t="s">
        <v>32017</v>
      </c>
      <c r="K824" t="s">
        <v>41193</v>
      </c>
      <c r="M824" t="s">
        <v>41511</v>
      </c>
      <c r="N824" t="s">
        <v>45095</v>
      </c>
      <c r="O824" t="s">
        <v>45096</v>
      </c>
      <c r="P824">
        <v>0</v>
      </c>
      <c r="Q824">
        <v>0</v>
      </c>
      <c r="R824" t="s">
        <v>45097</v>
      </c>
      <c r="S824" t="s">
        <v>45222</v>
      </c>
      <c r="T824" t="s">
        <v>46918</v>
      </c>
      <c r="U824" t="s">
        <v>48203</v>
      </c>
      <c r="W824" t="s">
        <v>41511</v>
      </c>
      <c r="X824" t="s">
        <v>45098</v>
      </c>
    </row>
    <row r="825" spans="1:24">
      <c r="A825">
        <f>HYPERLINK("https://www.philgeps.gov.ph/GEPSNONPILOT/Tender/SplashBidNoticeAbstractUI.aspx?menuIndex=3&amp;refID=7045072&amp;Result=3","7045072")</f>
        <v>0</v>
      </c>
      <c r="B825" t="s">
        <v>371</v>
      </c>
      <c r="C825" t="s">
        <v>3487</v>
      </c>
      <c r="D825" t="s">
        <v>18075</v>
      </c>
      <c r="E825" t="s">
        <v>18894</v>
      </c>
      <c r="F825" t="s">
        <v>31574</v>
      </c>
      <c r="G825" t="s">
        <v>31581</v>
      </c>
      <c r="H825" t="s">
        <v>31590</v>
      </c>
      <c r="I825" t="s">
        <v>3487</v>
      </c>
      <c r="J825" t="s">
        <v>32387</v>
      </c>
      <c r="K825" t="s">
        <v>41193</v>
      </c>
      <c r="M825" t="s">
        <v>41861</v>
      </c>
      <c r="N825" t="s">
        <v>45095</v>
      </c>
      <c r="O825" t="s">
        <v>45096</v>
      </c>
      <c r="P825">
        <v>0</v>
      </c>
      <c r="Q825">
        <v>0</v>
      </c>
      <c r="R825" t="s">
        <v>45097</v>
      </c>
      <c r="S825" t="s">
        <v>45222</v>
      </c>
      <c r="T825" t="s">
        <v>46918</v>
      </c>
      <c r="U825" t="s">
        <v>48204</v>
      </c>
      <c r="W825" t="s">
        <v>41861</v>
      </c>
      <c r="X825" t="s">
        <v>45098</v>
      </c>
    </row>
    <row r="826" spans="1:24">
      <c r="A826">
        <f>HYPERLINK("https://www.philgeps.gov.ph/GEPSNONPILOT/Tender/SplashBidNoticeAbstractUI.aspx?menuIndex=3&amp;refID=7045068&amp;Result=3","7045068")</f>
        <v>0</v>
      </c>
      <c r="B826" t="s">
        <v>328</v>
      </c>
      <c r="C826" t="s">
        <v>3981</v>
      </c>
      <c r="D826" t="s">
        <v>18056</v>
      </c>
      <c r="E826" t="s">
        <v>18895</v>
      </c>
      <c r="F826" t="s">
        <v>31574</v>
      </c>
      <c r="G826" t="s">
        <v>31581</v>
      </c>
      <c r="H826" t="s">
        <v>31590</v>
      </c>
      <c r="I826" t="s">
        <v>3651</v>
      </c>
      <c r="J826" t="s">
        <v>31789</v>
      </c>
      <c r="K826" t="s">
        <v>41186</v>
      </c>
      <c r="M826" t="s">
        <v>41816</v>
      </c>
      <c r="N826" t="s">
        <v>45095</v>
      </c>
      <c r="O826" t="s">
        <v>45096</v>
      </c>
      <c r="P826">
        <v>0</v>
      </c>
      <c r="Q826">
        <v>0</v>
      </c>
      <c r="R826" t="s">
        <v>45097</v>
      </c>
      <c r="S826" t="s">
        <v>45222</v>
      </c>
      <c r="T826" t="s">
        <v>46955</v>
      </c>
      <c r="U826" t="s">
        <v>48205</v>
      </c>
      <c r="W826" t="s">
        <v>41816</v>
      </c>
      <c r="X826" t="s">
        <v>45098</v>
      </c>
    </row>
    <row r="827" spans="1:24">
      <c r="A827">
        <f>HYPERLINK("https://www.philgeps.gov.ph/GEPSNONPILOT/Tender/SplashBidNoticeAbstractUI.aspx?menuIndex=3&amp;refID=7045062&amp;Result=3","7045062")</f>
        <v>0</v>
      </c>
      <c r="B827" t="s">
        <v>372</v>
      </c>
      <c r="C827" t="s">
        <v>3982</v>
      </c>
      <c r="D827" t="s">
        <v>18041</v>
      </c>
      <c r="E827" t="s">
        <v>18896</v>
      </c>
      <c r="F827" t="s">
        <v>31574</v>
      </c>
      <c r="G827" t="s">
        <v>31582</v>
      </c>
      <c r="H827" t="s">
        <v>31590</v>
      </c>
      <c r="I827" t="s">
        <v>5717</v>
      </c>
      <c r="J827" t="s">
        <v>32388</v>
      </c>
      <c r="K827" t="s">
        <v>41185</v>
      </c>
      <c r="M827" t="s">
        <v>41862</v>
      </c>
      <c r="N827" t="s">
        <v>45095</v>
      </c>
      <c r="O827" t="s">
        <v>45096</v>
      </c>
      <c r="P827">
        <v>0</v>
      </c>
      <c r="Q827">
        <v>0</v>
      </c>
      <c r="R827" t="s">
        <v>45097</v>
      </c>
      <c r="S827" t="s">
        <v>45222</v>
      </c>
      <c r="T827" t="s">
        <v>46914</v>
      </c>
      <c r="U827" t="s">
        <v>48206</v>
      </c>
      <c r="W827" t="s">
        <v>42332</v>
      </c>
      <c r="X827" t="s">
        <v>45098</v>
      </c>
    </row>
    <row r="828" spans="1:24">
      <c r="A828">
        <f>HYPERLINK("https://www.philgeps.gov.ph/GEPSNONPILOT/Tender/SplashBidNoticeAbstractUI.aspx?menuIndex=3&amp;refID=7045067&amp;Result=3","7045067")</f>
        <v>0</v>
      </c>
      <c r="B828" t="s">
        <v>373</v>
      </c>
      <c r="C828" t="s">
        <v>3983</v>
      </c>
      <c r="E828" t="s">
        <v>18897</v>
      </c>
      <c r="F828" t="s">
        <v>31574</v>
      </c>
      <c r="G828" t="s">
        <v>31582</v>
      </c>
      <c r="H828" t="s">
        <v>31591</v>
      </c>
      <c r="I828" t="s">
        <v>8822</v>
      </c>
      <c r="J828" t="s">
        <v>32389</v>
      </c>
      <c r="K828" t="s">
        <v>41238</v>
      </c>
      <c r="M828" t="s">
        <v>41863</v>
      </c>
      <c r="N828" t="s">
        <v>45095</v>
      </c>
      <c r="O828" t="s">
        <v>45096</v>
      </c>
      <c r="P828">
        <v>0</v>
      </c>
      <c r="Q828">
        <v>0</v>
      </c>
      <c r="R828" t="s">
        <v>45097</v>
      </c>
      <c r="S828" t="s">
        <v>45222</v>
      </c>
      <c r="T828" t="s">
        <v>46984</v>
      </c>
      <c r="U828" t="s">
        <v>48207</v>
      </c>
      <c r="W828" t="s">
        <v>41863</v>
      </c>
      <c r="X828" t="s">
        <v>45098</v>
      </c>
    </row>
    <row r="829" spans="1:24">
      <c r="A829">
        <f>HYPERLINK("https://www.philgeps.gov.ph/GEPSNONPILOT/Tender/SplashBidNoticeAbstractUI.aspx?menuIndex=3&amp;refID=7045064&amp;Result=3","7045064")</f>
        <v>0</v>
      </c>
      <c r="B829" t="s">
        <v>191</v>
      </c>
      <c r="C829" t="s">
        <v>3984</v>
      </c>
      <c r="D829" t="s">
        <v>18082</v>
      </c>
      <c r="E829" t="s">
        <v>18898</v>
      </c>
      <c r="F829" t="s">
        <v>31574</v>
      </c>
      <c r="G829" t="s">
        <v>31582</v>
      </c>
      <c r="H829" t="s">
        <v>31591</v>
      </c>
      <c r="I829" t="s">
        <v>8822</v>
      </c>
      <c r="J829" t="s">
        <v>32232</v>
      </c>
      <c r="K829" t="s">
        <v>41184</v>
      </c>
      <c r="M829" t="s">
        <v>41676</v>
      </c>
      <c r="N829" t="s">
        <v>45095</v>
      </c>
      <c r="O829" t="s">
        <v>45096</v>
      </c>
      <c r="P829">
        <v>0</v>
      </c>
      <c r="Q829">
        <v>0</v>
      </c>
      <c r="R829" t="s">
        <v>45097</v>
      </c>
      <c r="S829" t="s">
        <v>45222</v>
      </c>
      <c r="T829" t="s">
        <v>46924</v>
      </c>
      <c r="U829" t="s">
        <v>47828</v>
      </c>
      <c r="W829" t="s">
        <v>41676</v>
      </c>
      <c r="X829" t="s">
        <v>45098</v>
      </c>
    </row>
    <row r="830" spans="1:24">
      <c r="A830">
        <f>HYPERLINK("https://www.philgeps.gov.ph/GEPSNONPILOT/Tender/SplashBidNoticeAbstractUI.aspx?menuIndex=3&amp;refID=7045066&amp;Result=3","7045066")</f>
        <v>0</v>
      </c>
      <c r="B830" t="s">
        <v>309</v>
      </c>
      <c r="C830" t="s">
        <v>3985</v>
      </c>
      <c r="D830" t="s">
        <v>18074</v>
      </c>
      <c r="E830" t="s">
        <v>18899</v>
      </c>
      <c r="F830" t="s">
        <v>31574</v>
      </c>
      <c r="G830" t="s">
        <v>31585</v>
      </c>
      <c r="H830" t="s">
        <v>31590</v>
      </c>
      <c r="I830" t="s">
        <v>31607</v>
      </c>
      <c r="J830" t="s">
        <v>32390</v>
      </c>
      <c r="K830" t="s">
        <v>41184</v>
      </c>
      <c r="M830" t="s">
        <v>41795</v>
      </c>
      <c r="N830" t="s">
        <v>45095</v>
      </c>
      <c r="O830" t="s">
        <v>45096</v>
      </c>
      <c r="P830">
        <v>0</v>
      </c>
      <c r="Q830">
        <v>0</v>
      </c>
      <c r="R830" t="s">
        <v>45097</v>
      </c>
      <c r="S830" t="s">
        <v>45222</v>
      </c>
      <c r="T830" t="s">
        <v>46932</v>
      </c>
      <c r="U830" t="s">
        <v>48208</v>
      </c>
      <c r="W830" t="s">
        <v>41795</v>
      </c>
      <c r="X830" t="s">
        <v>45098</v>
      </c>
    </row>
    <row r="831" spans="1:24">
      <c r="A831">
        <f>HYPERLINK("https://www.philgeps.gov.ph/GEPSNONPILOT/Tender/SplashBidNoticeAbstractUI.aspx?menuIndex=3&amp;refID=7045076&amp;Result=3","7045076")</f>
        <v>0</v>
      </c>
      <c r="B831" t="s">
        <v>374</v>
      </c>
      <c r="C831" t="s">
        <v>3986</v>
      </c>
      <c r="D831" t="s">
        <v>18079</v>
      </c>
      <c r="E831" t="s">
        <v>18900</v>
      </c>
      <c r="F831" t="s">
        <v>31574</v>
      </c>
      <c r="G831" t="s">
        <v>31581</v>
      </c>
      <c r="H831" t="s">
        <v>31590</v>
      </c>
      <c r="I831" t="s">
        <v>31602</v>
      </c>
      <c r="J831" t="s">
        <v>32381</v>
      </c>
      <c r="K831" t="s">
        <v>41184</v>
      </c>
      <c r="M831" t="s">
        <v>41864</v>
      </c>
      <c r="N831" t="s">
        <v>45095</v>
      </c>
      <c r="O831" t="s">
        <v>45096</v>
      </c>
      <c r="P831">
        <v>0</v>
      </c>
      <c r="Q831">
        <v>0</v>
      </c>
      <c r="R831" t="s">
        <v>45097</v>
      </c>
      <c r="S831" t="s">
        <v>45222</v>
      </c>
      <c r="T831" t="s">
        <v>46921</v>
      </c>
      <c r="U831" t="s">
        <v>48209</v>
      </c>
      <c r="W831" t="s">
        <v>41864</v>
      </c>
      <c r="X831" t="s">
        <v>45098</v>
      </c>
    </row>
    <row r="832" spans="1:24">
      <c r="A832">
        <f>HYPERLINK("https://www.philgeps.gov.ph/GEPSNONPILOT/Tender/SplashBidNoticeAbstractUI.aspx?menuIndex=3&amp;refID=7045081&amp;Result=3","7045081")</f>
        <v>0</v>
      </c>
      <c r="B832" t="s">
        <v>29</v>
      </c>
      <c r="C832" t="s">
        <v>3987</v>
      </c>
      <c r="D832" t="s">
        <v>18026</v>
      </c>
      <c r="E832" t="s">
        <v>18901</v>
      </c>
      <c r="F832" t="s">
        <v>31574</v>
      </c>
      <c r="G832" t="s">
        <v>31583</v>
      </c>
      <c r="H832" t="s">
        <v>31590</v>
      </c>
      <c r="I832" t="s">
        <v>31608</v>
      </c>
      <c r="J832" t="s">
        <v>32391</v>
      </c>
      <c r="K832" t="s">
        <v>41193</v>
      </c>
      <c r="M832" t="s">
        <v>41511</v>
      </c>
      <c r="N832" t="s">
        <v>45095</v>
      </c>
      <c r="O832" t="s">
        <v>45096</v>
      </c>
      <c r="P832">
        <v>0</v>
      </c>
      <c r="Q832">
        <v>0</v>
      </c>
      <c r="R832" t="s">
        <v>45097</v>
      </c>
      <c r="S832" t="s">
        <v>45222</v>
      </c>
      <c r="T832" t="s">
        <v>46918</v>
      </c>
      <c r="U832" t="s">
        <v>48210</v>
      </c>
      <c r="W832" t="s">
        <v>41511</v>
      </c>
      <c r="X832" t="s">
        <v>45098</v>
      </c>
    </row>
    <row r="833" spans="1:24">
      <c r="A833">
        <f>HYPERLINK("https://www.philgeps.gov.ph/GEPSNONPILOT/Tender/SplashBidNoticeAbstractUI.aspx?menuIndex=3&amp;refID=7045077&amp;Result=3","7045077")</f>
        <v>0</v>
      </c>
      <c r="B833" t="s">
        <v>366</v>
      </c>
      <c r="C833" t="s">
        <v>3988</v>
      </c>
      <c r="D833" t="s">
        <v>18089</v>
      </c>
      <c r="E833" t="s">
        <v>18902</v>
      </c>
      <c r="F833" t="s">
        <v>31574</v>
      </c>
      <c r="G833" t="s">
        <v>31581</v>
      </c>
      <c r="H833" t="s">
        <v>31590</v>
      </c>
      <c r="I833" t="s">
        <v>5717</v>
      </c>
      <c r="J833" t="s">
        <v>32392</v>
      </c>
      <c r="K833" t="s">
        <v>41184</v>
      </c>
      <c r="M833" t="s">
        <v>41856</v>
      </c>
      <c r="N833" t="s">
        <v>45095</v>
      </c>
      <c r="O833" t="s">
        <v>45096</v>
      </c>
      <c r="P833">
        <v>0</v>
      </c>
      <c r="Q833">
        <v>0</v>
      </c>
      <c r="R833" t="s">
        <v>45097</v>
      </c>
      <c r="S833" t="s">
        <v>45222</v>
      </c>
      <c r="T833" t="s">
        <v>46913</v>
      </c>
      <c r="U833" t="s">
        <v>48211</v>
      </c>
      <c r="W833" t="s">
        <v>41856</v>
      </c>
      <c r="X833" t="s">
        <v>45098</v>
      </c>
    </row>
    <row r="834" spans="1:24">
      <c r="A834">
        <f>HYPERLINK("https://www.philgeps.gov.ph/GEPSNONPILOT/Tender/SplashBidNoticeAbstractUI.aspx?menuIndex=3&amp;refID=7045080&amp;Result=3","7045080")</f>
        <v>0</v>
      </c>
      <c r="B834" t="s">
        <v>329</v>
      </c>
      <c r="C834" t="s">
        <v>3989</v>
      </c>
      <c r="D834" t="s">
        <v>18092</v>
      </c>
      <c r="E834" t="s">
        <v>18903</v>
      </c>
      <c r="F834" t="s">
        <v>31574</v>
      </c>
      <c r="G834" t="s">
        <v>31584</v>
      </c>
      <c r="H834" t="s">
        <v>31590</v>
      </c>
      <c r="I834" t="s">
        <v>14544</v>
      </c>
      <c r="J834" t="s">
        <v>32393</v>
      </c>
      <c r="K834" t="s">
        <v>41186</v>
      </c>
      <c r="M834" t="s">
        <v>41817</v>
      </c>
      <c r="N834" t="s">
        <v>45095</v>
      </c>
      <c r="O834" t="s">
        <v>45096</v>
      </c>
      <c r="P834">
        <v>0</v>
      </c>
      <c r="Q834">
        <v>0</v>
      </c>
      <c r="R834" t="s">
        <v>45097</v>
      </c>
      <c r="S834" t="s">
        <v>45222</v>
      </c>
      <c r="T834" t="s">
        <v>46904</v>
      </c>
      <c r="U834" t="s">
        <v>48212</v>
      </c>
      <c r="W834" t="s">
        <v>41817</v>
      </c>
      <c r="X834" t="s">
        <v>45098</v>
      </c>
    </row>
    <row r="835" spans="1:24">
      <c r="A835">
        <f>HYPERLINK("https://www.philgeps.gov.ph/GEPSNONPILOT/Tender/SplashBidNoticeAbstractUI.aspx?menuIndex=3&amp;refID=7045073&amp;Result=3","7045073")</f>
        <v>0</v>
      </c>
      <c r="B835" t="s">
        <v>375</v>
      </c>
      <c r="C835" t="s">
        <v>3990</v>
      </c>
      <c r="D835" t="s">
        <v>18052</v>
      </c>
      <c r="E835" t="s">
        <v>18904</v>
      </c>
      <c r="F835" t="s">
        <v>31574</v>
      </c>
      <c r="G835" t="s">
        <v>31581</v>
      </c>
      <c r="H835" t="s">
        <v>31590</v>
      </c>
      <c r="I835" t="s">
        <v>31594</v>
      </c>
      <c r="J835" t="s">
        <v>32258</v>
      </c>
      <c r="K835" t="s">
        <v>41196</v>
      </c>
      <c r="M835" t="s">
        <v>41865</v>
      </c>
      <c r="N835" t="s">
        <v>45095</v>
      </c>
      <c r="O835" t="s">
        <v>45096</v>
      </c>
      <c r="P835">
        <v>0</v>
      </c>
      <c r="Q835">
        <v>0</v>
      </c>
      <c r="R835" t="s">
        <v>45097</v>
      </c>
      <c r="S835" t="s">
        <v>45222</v>
      </c>
      <c r="T835" t="s">
        <v>46913</v>
      </c>
      <c r="U835" t="s">
        <v>47721</v>
      </c>
      <c r="W835" t="s">
        <v>41865</v>
      </c>
      <c r="X835" t="s">
        <v>45098</v>
      </c>
    </row>
    <row r="836" spans="1:24">
      <c r="A836">
        <f>HYPERLINK("https://www.philgeps.gov.ph/GEPSNONPILOT/Tender/SplashBidNoticeAbstractUI.aspx?menuIndex=3&amp;refID=7045078&amp;Result=3","7045078")</f>
        <v>0</v>
      </c>
      <c r="B836" t="s">
        <v>363</v>
      </c>
      <c r="C836" t="s">
        <v>3991</v>
      </c>
      <c r="D836" t="s">
        <v>18044</v>
      </c>
      <c r="E836" t="s">
        <v>18905</v>
      </c>
      <c r="F836" t="s">
        <v>31574</v>
      </c>
      <c r="G836" t="s">
        <v>31582</v>
      </c>
      <c r="H836" t="s">
        <v>31592</v>
      </c>
      <c r="I836" t="s">
        <v>4677</v>
      </c>
      <c r="J836" t="s">
        <v>32394</v>
      </c>
      <c r="K836" t="s">
        <v>41225</v>
      </c>
      <c r="M836" t="s">
        <v>41853</v>
      </c>
      <c r="N836" t="s">
        <v>45095</v>
      </c>
      <c r="O836" t="s">
        <v>45096</v>
      </c>
      <c r="P836">
        <v>0</v>
      </c>
      <c r="Q836">
        <v>0</v>
      </c>
      <c r="R836" t="s">
        <v>45097</v>
      </c>
      <c r="S836" t="s">
        <v>45222</v>
      </c>
      <c r="T836" t="s">
        <v>46916</v>
      </c>
      <c r="U836" t="s">
        <v>48213</v>
      </c>
      <c r="W836" t="s">
        <v>41853</v>
      </c>
      <c r="X836" t="s">
        <v>45098</v>
      </c>
    </row>
    <row r="837" spans="1:24">
      <c r="A837">
        <f>HYPERLINK("https://www.philgeps.gov.ph/GEPSNONPILOT/Tender/SplashBidNoticeAbstractUI.aspx?menuIndex=3&amp;refID=7045084&amp;Result=3","7045084")</f>
        <v>0</v>
      </c>
      <c r="B837" t="s">
        <v>349</v>
      </c>
      <c r="C837" t="s">
        <v>3992</v>
      </c>
      <c r="D837" t="s">
        <v>18071</v>
      </c>
      <c r="E837" t="s">
        <v>18906</v>
      </c>
      <c r="F837" t="s">
        <v>31574</v>
      </c>
      <c r="G837" t="s">
        <v>31582</v>
      </c>
      <c r="H837" t="s">
        <v>31590</v>
      </c>
      <c r="I837" t="s">
        <v>31616</v>
      </c>
      <c r="J837" t="s">
        <v>32395</v>
      </c>
      <c r="K837" t="s">
        <v>41186</v>
      </c>
      <c r="L837" t="s">
        <v>349</v>
      </c>
      <c r="M837" t="s">
        <v>41837</v>
      </c>
      <c r="N837" t="s">
        <v>45095</v>
      </c>
      <c r="O837" t="s">
        <v>45096</v>
      </c>
      <c r="P837">
        <v>0</v>
      </c>
      <c r="Q837">
        <v>0</v>
      </c>
      <c r="R837" t="s">
        <v>45097</v>
      </c>
      <c r="S837" t="s">
        <v>45222</v>
      </c>
      <c r="T837" t="s">
        <v>47015</v>
      </c>
      <c r="U837" t="s">
        <v>48214</v>
      </c>
      <c r="W837" t="s">
        <v>41837</v>
      </c>
      <c r="X837" t="s">
        <v>45098</v>
      </c>
    </row>
    <row r="838" spans="1:24">
      <c r="A838">
        <f>HYPERLINK("https://www.philgeps.gov.ph/GEPSNONPILOT/Tender/SplashBidNoticeAbstractUI.aspx?menuIndex=3&amp;refID=7045083&amp;Result=3","7045083")</f>
        <v>0</v>
      </c>
      <c r="B838" t="s">
        <v>376</v>
      </c>
      <c r="C838" t="s">
        <v>3993</v>
      </c>
      <c r="D838" t="s">
        <v>18074</v>
      </c>
      <c r="E838" t="s">
        <v>18907</v>
      </c>
      <c r="F838" t="s">
        <v>31574</v>
      </c>
      <c r="G838" t="s">
        <v>31582</v>
      </c>
      <c r="H838" t="s">
        <v>31590</v>
      </c>
      <c r="I838" t="s">
        <v>6800</v>
      </c>
      <c r="J838" t="s">
        <v>32396</v>
      </c>
      <c r="K838" t="s">
        <v>41190</v>
      </c>
      <c r="M838" t="s">
        <v>41866</v>
      </c>
      <c r="N838" t="s">
        <v>45095</v>
      </c>
      <c r="O838" t="s">
        <v>45096</v>
      </c>
      <c r="P838">
        <v>0</v>
      </c>
      <c r="Q838">
        <v>0</v>
      </c>
      <c r="R838" t="s">
        <v>45097</v>
      </c>
      <c r="S838" t="s">
        <v>45222</v>
      </c>
      <c r="T838" t="s">
        <v>46992</v>
      </c>
      <c r="U838" t="s">
        <v>48215</v>
      </c>
      <c r="W838" t="s">
        <v>41866</v>
      </c>
      <c r="X838" t="s">
        <v>45098</v>
      </c>
    </row>
    <row r="839" spans="1:24">
      <c r="A839">
        <f>HYPERLINK("https://www.philgeps.gov.ph/GEPSNONPILOT/Tender/SplashBidNoticeAbstractUI.aspx?menuIndex=3&amp;refID=7045075&amp;Result=3","7045075")</f>
        <v>0</v>
      </c>
      <c r="B839" t="s">
        <v>124</v>
      </c>
      <c r="C839" t="s">
        <v>3994</v>
      </c>
      <c r="D839" t="s">
        <v>18065</v>
      </c>
      <c r="E839" t="s">
        <v>3994</v>
      </c>
      <c r="F839" t="s">
        <v>31574</v>
      </c>
      <c r="G839" t="s">
        <v>31581</v>
      </c>
      <c r="H839" t="s">
        <v>31590</v>
      </c>
      <c r="I839" t="s">
        <v>14544</v>
      </c>
      <c r="J839" t="s">
        <v>32397</v>
      </c>
      <c r="K839" t="s">
        <v>41184</v>
      </c>
      <c r="M839" t="s">
        <v>41608</v>
      </c>
      <c r="N839" t="s">
        <v>45095</v>
      </c>
      <c r="O839" t="s">
        <v>45096</v>
      </c>
      <c r="P839">
        <v>0</v>
      </c>
      <c r="Q839">
        <v>0</v>
      </c>
      <c r="R839" t="s">
        <v>45097</v>
      </c>
      <c r="S839" t="s">
        <v>45222</v>
      </c>
      <c r="T839" t="s">
        <v>46934</v>
      </c>
      <c r="U839" t="s">
        <v>48216</v>
      </c>
      <c r="W839" t="s">
        <v>41608</v>
      </c>
      <c r="X839" t="s">
        <v>45098</v>
      </c>
    </row>
    <row r="840" spans="1:24">
      <c r="A840">
        <f>HYPERLINK("https://www.philgeps.gov.ph/GEPSNONPILOT/Tender/SplashBidNoticeAbstractUI.aspx?menuIndex=3&amp;refID=7045069&amp;Result=3","7045069")</f>
        <v>0</v>
      </c>
      <c r="B840" t="s">
        <v>377</v>
      </c>
      <c r="C840" t="s">
        <v>3995</v>
      </c>
      <c r="D840" t="s">
        <v>18075</v>
      </c>
      <c r="E840" t="s">
        <v>18908</v>
      </c>
      <c r="F840" t="s">
        <v>31574</v>
      </c>
      <c r="G840" t="s">
        <v>31582</v>
      </c>
      <c r="H840" t="s">
        <v>31591</v>
      </c>
      <c r="I840" t="s">
        <v>8822</v>
      </c>
      <c r="J840" t="s">
        <v>32049</v>
      </c>
      <c r="K840" t="s">
        <v>41217</v>
      </c>
      <c r="M840" t="s">
        <v>41867</v>
      </c>
      <c r="N840" t="s">
        <v>45095</v>
      </c>
      <c r="O840" t="s">
        <v>45096</v>
      </c>
      <c r="P840">
        <v>0</v>
      </c>
      <c r="Q840">
        <v>0</v>
      </c>
      <c r="R840" t="s">
        <v>45097</v>
      </c>
      <c r="S840" t="s">
        <v>45222</v>
      </c>
      <c r="T840" t="s">
        <v>46939</v>
      </c>
      <c r="U840" t="s">
        <v>48217</v>
      </c>
      <c r="V840" t="s">
        <v>59930</v>
      </c>
      <c r="W840" t="s">
        <v>41867</v>
      </c>
      <c r="X840" t="s">
        <v>45098</v>
      </c>
    </row>
    <row r="841" spans="1:24">
      <c r="A841">
        <f>HYPERLINK("https://www.philgeps.gov.ph/GEPSNONPILOT/Tender/SplashBidNoticeAbstractUI.aspx?menuIndex=3&amp;refID=7045086&amp;Result=3","7045086")</f>
        <v>0</v>
      </c>
      <c r="B841" t="s">
        <v>378</v>
      </c>
      <c r="C841" t="s">
        <v>3996</v>
      </c>
      <c r="D841" t="s">
        <v>18039</v>
      </c>
      <c r="E841" t="s">
        <v>18533</v>
      </c>
      <c r="F841" t="s">
        <v>31574</v>
      </c>
      <c r="G841" t="s">
        <v>31583</v>
      </c>
      <c r="H841" t="s">
        <v>31590</v>
      </c>
      <c r="I841" t="s">
        <v>31619</v>
      </c>
      <c r="J841" t="s">
        <v>32334</v>
      </c>
      <c r="K841" t="s">
        <v>41193</v>
      </c>
      <c r="M841" t="s">
        <v>41868</v>
      </c>
      <c r="N841" t="s">
        <v>45095</v>
      </c>
      <c r="O841" t="s">
        <v>45096</v>
      </c>
      <c r="P841">
        <v>0</v>
      </c>
      <c r="Q841">
        <v>0</v>
      </c>
      <c r="R841" t="s">
        <v>45097</v>
      </c>
      <c r="S841" t="s">
        <v>45222</v>
      </c>
      <c r="T841" t="s">
        <v>46985</v>
      </c>
      <c r="U841" t="s">
        <v>48218</v>
      </c>
      <c r="W841" t="s">
        <v>41868</v>
      </c>
      <c r="X841" t="s">
        <v>45098</v>
      </c>
    </row>
    <row r="842" spans="1:24">
      <c r="A842">
        <f>HYPERLINK("https://www.philgeps.gov.ph/GEPSNONPILOT/Tender/SplashBidNoticeAbstractUI.aspx?menuIndex=3&amp;refID=7045085&amp;Result=3","7045085")</f>
        <v>0</v>
      </c>
      <c r="B842" t="s">
        <v>144</v>
      </c>
      <c r="C842" t="s">
        <v>3997</v>
      </c>
      <c r="D842" t="s">
        <v>18076</v>
      </c>
      <c r="E842" t="s">
        <v>18909</v>
      </c>
      <c r="F842" t="s">
        <v>31574</v>
      </c>
      <c r="G842" t="s">
        <v>31582</v>
      </c>
      <c r="H842" t="s">
        <v>31590</v>
      </c>
      <c r="I842" t="s">
        <v>31619</v>
      </c>
      <c r="J842" t="s">
        <v>32398</v>
      </c>
      <c r="K842" t="s">
        <v>41193</v>
      </c>
      <c r="M842" t="s">
        <v>41843</v>
      </c>
      <c r="N842" t="s">
        <v>45095</v>
      </c>
      <c r="O842" t="s">
        <v>45096</v>
      </c>
      <c r="P842">
        <v>0</v>
      </c>
      <c r="Q842">
        <v>0</v>
      </c>
      <c r="R842" t="s">
        <v>45097</v>
      </c>
      <c r="S842" t="s">
        <v>45222</v>
      </c>
      <c r="T842" t="s">
        <v>47016</v>
      </c>
      <c r="U842" t="s">
        <v>48219</v>
      </c>
      <c r="W842" t="s">
        <v>41843</v>
      </c>
      <c r="X842" t="s">
        <v>45098</v>
      </c>
    </row>
    <row r="843" spans="1:24">
      <c r="A843">
        <f>HYPERLINK("https://www.philgeps.gov.ph/GEPSNONPILOT/Tender/SplashBidNoticeAbstractUI.aspx?menuIndex=3&amp;refID=7045082&amp;Result=3","7045082")</f>
        <v>0</v>
      </c>
      <c r="B843" t="s">
        <v>283</v>
      </c>
      <c r="C843" t="s">
        <v>3998</v>
      </c>
      <c r="D843" t="s">
        <v>18036</v>
      </c>
      <c r="E843" t="s">
        <v>18910</v>
      </c>
      <c r="F843" t="s">
        <v>31574</v>
      </c>
      <c r="G843" t="s">
        <v>31581</v>
      </c>
      <c r="H843" t="s">
        <v>31592</v>
      </c>
      <c r="I843" t="s">
        <v>31623</v>
      </c>
      <c r="J843" t="s">
        <v>31805</v>
      </c>
      <c r="K843" t="s">
        <v>41216</v>
      </c>
      <c r="M843" t="s">
        <v>41769</v>
      </c>
      <c r="N843" t="s">
        <v>45095</v>
      </c>
      <c r="O843" t="s">
        <v>45096</v>
      </c>
      <c r="P843">
        <v>0</v>
      </c>
      <c r="Q843">
        <v>0</v>
      </c>
      <c r="R843" t="s">
        <v>45097</v>
      </c>
      <c r="S843" t="s">
        <v>45222</v>
      </c>
      <c r="T843" t="s">
        <v>46979</v>
      </c>
      <c r="U843" t="s">
        <v>48220</v>
      </c>
      <c r="V843" t="s">
        <v>59915</v>
      </c>
      <c r="W843" t="s">
        <v>41769</v>
      </c>
      <c r="X843" t="s">
        <v>45098</v>
      </c>
    </row>
    <row r="844" spans="1:24">
      <c r="A844">
        <f>HYPERLINK("https://www.philgeps.gov.ph/GEPSNONPILOT/Tender/SplashBidNoticeAbstractUI.aspx?menuIndex=3&amp;refID=7045095&amp;Result=3","7045095")</f>
        <v>0</v>
      </c>
      <c r="B844" t="s">
        <v>345</v>
      </c>
      <c r="C844" t="s">
        <v>3999</v>
      </c>
      <c r="D844" t="s">
        <v>18039</v>
      </c>
      <c r="E844" t="s">
        <v>18911</v>
      </c>
      <c r="F844" t="s">
        <v>31574</v>
      </c>
      <c r="G844" t="s">
        <v>31581</v>
      </c>
      <c r="H844" t="s">
        <v>31590</v>
      </c>
      <c r="I844" t="s">
        <v>31608</v>
      </c>
      <c r="J844" t="s">
        <v>32399</v>
      </c>
      <c r="K844" t="s">
        <v>41196</v>
      </c>
      <c r="M844" t="s">
        <v>41833</v>
      </c>
      <c r="N844" t="s">
        <v>45095</v>
      </c>
      <c r="O844" t="s">
        <v>45096</v>
      </c>
      <c r="P844">
        <v>0</v>
      </c>
      <c r="Q844">
        <v>0</v>
      </c>
      <c r="R844" t="s">
        <v>45097</v>
      </c>
      <c r="S844" t="s">
        <v>45222</v>
      </c>
      <c r="T844" t="s">
        <v>46911</v>
      </c>
      <c r="U844" t="s">
        <v>48143</v>
      </c>
      <c r="W844" t="s">
        <v>41833</v>
      </c>
      <c r="X844" t="s">
        <v>45098</v>
      </c>
    </row>
    <row r="845" spans="1:24">
      <c r="A845">
        <f>HYPERLINK("https://www.philgeps.gov.ph/GEPSNONPILOT/Tender/SplashBidNoticeAbstractUI.aspx?menuIndex=3&amp;refID=7045099&amp;Result=3","7045099")</f>
        <v>0</v>
      </c>
      <c r="B845" t="s">
        <v>379</v>
      </c>
      <c r="C845" t="s">
        <v>4000</v>
      </c>
      <c r="D845" t="s">
        <v>18025</v>
      </c>
      <c r="E845" t="s">
        <v>18912</v>
      </c>
      <c r="F845" t="s">
        <v>31574</v>
      </c>
      <c r="G845" t="s">
        <v>31583</v>
      </c>
      <c r="H845" t="s">
        <v>31590</v>
      </c>
      <c r="I845" t="s">
        <v>31610</v>
      </c>
      <c r="J845" t="s">
        <v>32400</v>
      </c>
      <c r="K845" t="s">
        <v>41184</v>
      </c>
      <c r="M845" t="s">
        <v>41869</v>
      </c>
      <c r="N845" t="s">
        <v>45095</v>
      </c>
      <c r="O845" t="s">
        <v>45096</v>
      </c>
      <c r="P845">
        <v>0</v>
      </c>
      <c r="Q845">
        <v>0</v>
      </c>
      <c r="R845" t="s">
        <v>45097</v>
      </c>
      <c r="S845" t="s">
        <v>45222</v>
      </c>
      <c r="T845" t="s">
        <v>46980</v>
      </c>
      <c r="U845" t="s">
        <v>48221</v>
      </c>
      <c r="W845" t="s">
        <v>41869</v>
      </c>
      <c r="X845" t="s">
        <v>45098</v>
      </c>
    </row>
    <row r="846" spans="1:24">
      <c r="A846">
        <f>HYPERLINK("https://www.philgeps.gov.ph/GEPSNONPILOT/Tender/SplashBidNoticeAbstractUI.aspx?menuIndex=3&amp;refID=7045090&amp;Result=3","7045090")</f>
        <v>0</v>
      </c>
      <c r="B846" t="s">
        <v>379</v>
      </c>
      <c r="C846" t="s">
        <v>4001</v>
      </c>
      <c r="D846" t="s">
        <v>18025</v>
      </c>
      <c r="E846" t="s">
        <v>18790</v>
      </c>
      <c r="F846" t="s">
        <v>31574</v>
      </c>
      <c r="G846" t="s">
        <v>31583</v>
      </c>
      <c r="H846" t="s">
        <v>31590</v>
      </c>
      <c r="I846" t="s">
        <v>7185</v>
      </c>
      <c r="J846" t="s">
        <v>32401</v>
      </c>
      <c r="K846" t="s">
        <v>41184</v>
      </c>
      <c r="M846" t="s">
        <v>41869</v>
      </c>
      <c r="N846" t="s">
        <v>45095</v>
      </c>
      <c r="O846" t="s">
        <v>45096</v>
      </c>
      <c r="P846">
        <v>0</v>
      </c>
      <c r="Q846">
        <v>0</v>
      </c>
      <c r="R846" t="s">
        <v>45097</v>
      </c>
      <c r="S846" t="s">
        <v>45222</v>
      </c>
      <c r="T846" t="s">
        <v>46980</v>
      </c>
      <c r="U846" t="s">
        <v>48222</v>
      </c>
      <c r="W846" t="s">
        <v>41869</v>
      </c>
      <c r="X846" t="s">
        <v>45098</v>
      </c>
    </row>
    <row r="847" spans="1:24">
      <c r="A847">
        <f>HYPERLINK("https://www.philgeps.gov.ph/GEPSNONPILOT/Tender/SplashBidNoticeAbstractUI.aspx?menuIndex=3&amp;refID=7045088&amp;Result=3","7045088")</f>
        <v>0</v>
      </c>
      <c r="B847" t="s">
        <v>380</v>
      </c>
      <c r="C847" t="s">
        <v>4002</v>
      </c>
      <c r="D847" t="s">
        <v>18052</v>
      </c>
      <c r="E847" t="s">
        <v>18913</v>
      </c>
      <c r="F847" t="s">
        <v>31574</v>
      </c>
      <c r="G847" t="s">
        <v>31582</v>
      </c>
      <c r="H847" t="s">
        <v>31590</v>
      </c>
      <c r="I847" t="s">
        <v>31600</v>
      </c>
      <c r="J847" t="s">
        <v>32402</v>
      </c>
      <c r="K847" t="s">
        <v>41194</v>
      </c>
      <c r="M847" t="s">
        <v>41870</v>
      </c>
      <c r="N847" t="s">
        <v>45095</v>
      </c>
      <c r="O847" t="s">
        <v>45096</v>
      </c>
      <c r="P847">
        <v>0</v>
      </c>
      <c r="Q847">
        <v>0</v>
      </c>
      <c r="R847" t="s">
        <v>45097</v>
      </c>
      <c r="S847" t="s">
        <v>45222</v>
      </c>
      <c r="T847" t="s">
        <v>47019</v>
      </c>
      <c r="U847" t="s">
        <v>48223</v>
      </c>
      <c r="W847" t="s">
        <v>41870</v>
      </c>
      <c r="X847" t="s">
        <v>45098</v>
      </c>
    </row>
    <row r="848" spans="1:24">
      <c r="A848">
        <f>HYPERLINK("https://www.philgeps.gov.ph/GEPSNONPILOT/Tender/SplashBidNoticeAbstractUI.aspx?menuIndex=3&amp;refID=7045100&amp;Result=3","7045100")</f>
        <v>0</v>
      </c>
      <c r="B848" t="s">
        <v>29</v>
      </c>
      <c r="C848" t="s">
        <v>4003</v>
      </c>
      <c r="D848" t="s">
        <v>18026</v>
      </c>
      <c r="E848" t="s">
        <v>18914</v>
      </c>
      <c r="F848" t="s">
        <v>31574</v>
      </c>
      <c r="G848" t="s">
        <v>31583</v>
      </c>
      <c r="H848" t="s">
        <v>31590</v>
      </c>
      <c r="I848" t="s">
        <v>31599</v>
      </c>
      <c r="J848" t="s">
        <v>32403</v>
      </c>
      <c r="K848" t="s">
        <v>41193</v>
      </c>
      <c r="M848" t="s">
        <v>41511</v>
      </c>
      <c r="N848" t="s">
        <v>45095</v>
      </c>
      <c r="O848" t="s">
        <v>45096</v>
      </c>
      <c r="P848">
        <v>0</v>
      </c>
      <c r="Q848">
        <v>0</v>
      </c>
      <c r="R848" t="s">
        <v>45097</v>
      </c>
      <c r="S848" t="s">
        <v>45222</v>
      </c>
      <c r="T848" t="s">
        <v>46918</v>
      </c>
      <c r="U848" t="s">
        <v>48224</v>
      </c>
      <c r="W848" t="s">
        <v>41511</v>
      </c>
      <c r="X848" t="s">
        <v>45098</v>
      </c>
    </row>
    <row r="849" spans="1:24">
      <c r="A849">
        <f>HYPERLINK("https://www.philgeps.gov.ph/GEPSNONPILOT/Tender/SplashBidNoticeAbstractUI.aspx?menuIndex=3&amp;refID=7045096&amp;Result=3","7045096")</f>
        <v>0</v>
      </c>
      <c r="B849" t="s">
        <v>381</v>
      </c>
      <c r="C849" t="s">
        <v>4004</v>
      </c>
      <c r="D849" t="s">
        <v>18033</v>
      </c>
      <c r="E849" t="s">
        <v>18915</v>
      </c>
      <c r="F849" t="s">
        <v>31574</v>
      </c>
      <c r="G849" t="s">
        <v>31581</v>
      </c>
      <c r="H849" t="s">
        <v>31590</v>
      </c>
      <c r="I849" t="s">
        <v>31603</v>
      </c>
      <c r="J849" t="s">
        <v>32404</v>
      </c>
      <c r="K849" t="s">
        <v>41186</v>
      </c>
      <c r="M849" t="s">
        <v>41871</v>
      </c>
      <c r="N849" t="s">
        <v>45095</v>
      </c>
      <c r="O849" t="s">
        <v>45096</v>
      </c>
      <c r="P849">
        <v>0</v>
      </c>
      <c r="Q849">
        <v>0</v>
      </c>
      <c r="R849" t="s">
        <v>45097</v>
      </c>
      <c r="S849" t="s">
        <v>45222</v>
      </c>
      <c r="T849" t="s">
        <v>47020</v>
      </c>
      <c r="U849" t="s">
        <v>48225</v>
      </c>
      <c r="W849" t="s">
        <v>41871</v>
      </c>
      <c r="X849" t="s">
        <v>45098</v>
      </c>
    </row>
    <row r="850" spans="1:24">
      <c r="A850">
        <f>HYPERLINK("https://www.philgeps.gov.ph/GEPSNONPILOT/Tender/SplashBidNoticeAbstractUI.aspx?menuIndex=3&amp;refID=7045092&amp;Result=3","7045092")</f>
        <v>0</v>
      </c>
      <c r="B850" t="s">
        <v>281</v>
      </c>
      <c r="C850" t="s">
        <v>4005</v>
      </c>
      <c r="D850" t="s">
        <v>18041</v>
      </c>
      <c r="E850" t="s">
        <v>18916</v>
      </c>
      <c r="F850" t="s">
        <v>31574</v>
      </c>
      <c r="G850" t="s">
        <v>31581</v>
      </c>
      <c r="H850" t="s">
        <v>31590</v>
      </c>
      <c r="I850" t="s">
        <v>4354</v>
      </c>
      <c r="J850" t="s">
        <v>31727</v>
      </c>
      <c r="K850" t="s">
        <v>41186</v>
      </c>
      <c r="M850" t="s">
        <v>41767</v>
      </c>
      <c r="N850" t="s">
        <v>45095</v>
      </c>
      <c r="O850" t="s">
        <v>45096</v>
      </c>
      <c r="P850">
        <v>0</v>
      </c>
      <c r="Q850">
        <v>0</v>
      </c>
      <c r="R850" t="s">
        <v>45097</v>
      </c>
      <c r="S850" t="s">
        <v>45222</v>
      </c>
      <c r="T850" t="s">
        <v>46910</v>
      </c>
      <c r="U850" t="s">
        <v>48118</v>
      </c>
      <c r="W850" t="s">
        <v>41767</v>
      </c>
      <c r="X850" t="s">
        <v>45098</v>
      </c>
    </row>
    <row r="851" spans="1:24">
      <c r="A851">
        <f>HYPERLINK("https://www.philgeps.gov.ph/GEPSNONPILOT/Tender/SplashBidNoticeAbstractUI.aspx?menuIndex=3&amp;refID=7045112&amp;Result=3","7045112")</f>
        <v>0</v>
      </c>
      <c r="B851" t="s">
        <v>382</v>
      </c>
      <c r="C851" t="s">
        <v>4006</v>
      </c>
      <c r="D851" t="s">
        <v>18022</v>
      </c>
      <c r="E851" t="s">
        <v>18917</v>
      </c>
      <c r="F851" t="s">
        <v>31574</v>
      </c>
      <c r="G851" t="s">
        <v>31582</v>
      </c>
      <c r="H851" t="s">
        <v>31590</v>
      </c>
      <c r="I851" t="s">
        <v>31608</v>
      </c>
      <c r="J851" t="s">
        <v>32405</v>
      </c>
      <c r="K851" t="s">
        <v>41184</v>
      </c>
      <c r="M851" t="s">
        <v>41872</v>
      </c>
      <c r="N851" t="s">
        <v>45095</v>
      </c>
      <c r="O851" t="s">
        <v>45096</v>
      </c>
      <c r="P851">
        <v>0</v>
      </c>
      <c r="Q851">
        <v>0</v>
      </c>
      <c r="R851" t="s">
        <v>45097</v>
      </c>
      <c r="S851" t="s">
        <v>45222</v>
      </c>
      <c r="T851" t="s">
        <v>46915</v>
      </c>
      <c r="U851" t="s">
        <v>48226</v>
      </c>
      <c r="W851" t="s">
        <v>41872</v>
      </c>
      <c r="X851" t="s">
        <v>45098</v>
      </c>
    </row>
    <row r="852" spans="1:24">
      <c r="A852">
        <f>HYPERLINK("https://www.philgeps.gov.ph/GEPSNONPILOT/Tender/SplashBidNoticeAbstractUI.aspx?menuIndex=3&amp;refID=7045097&amp;Result=3","7045097")</f>
        <v>0</v>
      </c>
      <c r="B852" t="s">
        <v>383</v>
      </c>
      <c r="C852" t="s">
        <v>4007</v>
      </c>
      <c r="D852" t="s">
        <v>18022</v>
      </c>
      <c r="E852" t="s">
        <v>18918</v>
      </c>
      <c r="F852" t="s">
        <v>31574</v>
      </c>
      <c r="G852" t="s">
        <v>31581</v>
      </c>
      <c r="H852" t="s">
        <v>31590</v>
      </c>
      <c r="I852" t="s">
        <v>31610</v>
      </c>
      <c r="J852" t="s">
        <v>32406</v>
      </c>
      <c r="K852" t="s">
        <v>41196</v>
      </c>
      <c r="M852" t="s">
        <v>41873</v>
      </c>
      <c r="N852" t="s">
        <v>45095</v>
      </c>
      <c r="O852" t="s">
        <v>45096</v>
      </c>
      <c r="P852">
        <v>0</v>
      </c>
      <c r="Q852">
        <v>0</v>
      </c>
      <c r="R852" t="s">
        <v>45097</v>
      </c>
      <c r="S852" t="s">
        <v>45222</v>
      </c>
      <c r="T852" t="s">
        <v>46969</v>
      </c>
      <c r="U852" t="s">
        <v>48227</v>
      </c>
      <c r="W852" t="s">
        <v>41873</v>
      </c>
      <c r="X852" t="s">
        <v>45098</v>
      </c>
    </row>
    <row r="853" spans="1:24">
      <c r="A853">
        <f>HYPERLINK("https://www.philgeps.gov.ph/GEPSNONPILOT/Tender/SplashBidNoticeAbstractUI.aspx?menuIndex=3&amp;refID=7045087&amp;Result=3","7045087")</f>
        <v>0</v>
      </c>
      <c r="B853" t="s">
        <v>384</v>
      </c>
      <c r="C853" t="s">
        <v>4008</v>
      </c>
      <c r="D853" t="s">
        <v>18055</v>
      </c>
      <c r="E853" t="s">
        <v>18919</v>
      </c>
      <c r="F853" t="s">
        <v>31574</v>
      </c>
      <c r="G853" t="s">
        <v>31581</v>
      </c>
      <c r="H853" t="s">
        <v>31590</v>
      </c>
      <c r="I853" t="s">
        <v>31619</v>
      </c>
      <c r="J853" t="s">
        <v>32017</v>
      </c>
      <c r="K853" t="s">
        <v>41193</v>
      </c>
      <c r="M853" t="s">
        <v>41874</v>
      </c>
      <c r="N853" t="s">
        <v>45095</v>
      </c>
      <c r="O853" t="s">
        <v>45096</v>
      </c>
      <c r="P853">
        <v>0</v>
      </c>
      <c r="Q853">
        <v>0</v>
      </c>
      <c r="R853" t="s">
        <v>45097</v>
      </c>
      <c r="S853" t="s">
        <v>45222</v>
      </c>
      <c r="T853" t="s">
        <v>46914</v>
      </c>
      <c r="U853" t="s">
        <v>48228</v>
      </c>
      <c r="V853" t="s">
        <v>59931</v>
      </c>
      <c r="W853" t="s">
        <v>41874</v>
      </c>
      <c r="X853" t="s">
        <v>45098</v>
      </c>
    </row>
    <row r="854" spans="1:24">
      <c r="A854">
        <f>HYPERLINK("https://www.philgeps.gov.ph/GEPSNONPILOT/Tender/SplashBidNoticeAbstractUI.aspx?menuIndex=3&amp;refID=7045107&amp;Result=3","7045107")</f>
        <v>0</v>
      </c>
      <c r="B854" t="s">
        <v>364</v>
      </c>
      <c r="C854" t="s">
        <v>4009</v>
      </c>
      <c r="D854" t="s">
        <v>18022</v>
      </c>
      <c r="E854" t="s">
        <v>18920</v>
      </c>
      <c r="F854" t="s">
        <v>31574</v>
      </c>
      <c r="G854" t="s">
        <v>31584</v>
      </c>
      <c r="H854" t="s">
        <v>31590</v>
      </c>
      <c r="I854" t="s">
        <v>6800</v>
      </c>
      <c r="J854" t="s">
        <v>31947</v>
      </c>
      <c r="K854" t="s">
        <v>41184</v>
      </c>
      <c r="M854" t="s">
        <v>41854</v>
      </c>
      <c r="N854" t="s">
        <v>45095</v>
      </c>
      <c r="O854" t="s">
        <v>45096</v>
      </c>
      <c r="P854">
        <v>0</v>
      </c>
      <c r="Q854">
        <v>0</v>
      </c>
      <c r="R854" t="s">
        <v>45097</v>
      </c>
      <c r="S854" t="s">
        <v>45222</v>
      </c>
      <c r="T854" t="s">
        <v>46911</v>
      </c>
      <c r="U854" t="s">
        <v>48229</v>
      </c>
      <c r="W854" t="s">
        <v>41854</v>
      </c>
      <c r="X854" t="s">
        <v>45098</v>
      </c>
    </row>
    <row r="855" spans="1:24">
      <c r="A855">
        <f>HYPERLINK("https://www.philgeps.gov.ph/GEPSNONPILOT/Tender/SplashBidNoticeAbstractUI.aspx?menuIndex=3&amp;refID=7045111&amp;Result=3","7045111")</f>
        <v>0</v>
      </c>
      <c r="B855" t="s">
        <v>144</v>
      </c>
      <c r="C855" t="s">
        <v>4010</v>
      </c>
      <c r="D855" t="s">
        <v>18076</v>
      </c>
      <c r="E855" t="s">
        <v>18921</v>
      </c>
      <c r="F855" t="s">
        <v>31574</v>
      </c>
      <c r="G855" t="s">
        <v>31582</v>
      </c>
      <c r="H855" t="s">
        <v>31590</v>
      </c>
      <c r="I855" t="s">
        <v>31598</v>
      </c>
      <c r="J855" t="s">
        <v>32407</v>
      </c>
      <c r="K855" t="s">
        <v>41193</v>
      </c>
      <c r="M855" t="s">
        <v>41843</v>
      </c>
      <c r="N855" t="s">
        <v>45095</v>
      </c>
      <c r="O855" t="s">
        <v>45096</v>
      </c>
      <c r="P855">
        <v>0</v>
      </c>
      <c r="Q855">
        <v>1</v>
      </c>
      <c r="R855" t="s">
        <v>45097</v>
      </c>
      <c r="S855" t="s">
        <v>45222</v>
      </c>
      <c r="T855" t="s">
        <v>47016</v>
      </c>
      <c r="U855" t="s">
        <v>48230</v>
      </c>
      <c r="W855" t="s">
        <v>41843</v>
      </c>
      <c r="X855" t="s">
        <v>45098</v>
      </c>
    </row>
    <row r="856" spans="1:24">
      <c r="A856">
        <f>HYPERLINK("https://www.philgeps.gov.ph/GEPSNONPILOT/Tender/SplashBidNoticeAbstractUI.aspx?menuIndex=3&amp;refID=7045104&amp;Result=3","7045104")</f>
        <v>0</v>
      </c>
      <c r="B856" t="s">
        <v>385</v>
      </c>
      <c r="C856" t="s">
        <v>3993</v>
      </c>
      <c r="D856" t="s">
        <v>18093</v>
      </c>
      <c r="E856" t="s">
        <v>18922</v>
      </c>
      <c r="F856" t="s">
        <v>31574</v>
      </c>
      <c r="G856" t="s">
        <v>31583</v>
      </c>
      <c r="H856" t="s">
        <v>31590</v>
      </c>
      <c r="I856" t="s">
        <v>6800</v>
      </c>
      <c r="J856" t="s">
        <v>32408</v>
      </c>
      <c r="K856" t="s">
        <v>41184</v>
      </c>
      <c r="M856" t="s">
        <v>41875</v>
      </c>
      <c r="N856" t="s">
        <v>45095</v>
      </c>
      <c r="O856" t="s">
        <v>45096</v>
      </c>
      <c r="P856">
        <v>0</v>
      </c>
      <c r="Q856">
        <v>0</v>
      </c>
      <c r="R856" t="s">
        <v>45097</v>
      </c>
      <c r="S856" t="s">
        <v>45222</v>
      </c>
      <c r="T856" t="s">
        <v>47021</v>
      </c>
      <c r="U856" t="s">
        <v>48231</v>
      </c>
      <c r="W856" t="s">
        <v>41875</v>
      </c>
      <c r="X856" t="s">
        <v>45098</v>
      </c>
    </row>
    <row r="857" spans="1:24">
      <c r="A857">
        <f>HYPERLINK("https://www.philgeps.gov.ph/GEPSNONPILOT/Tender/SplashBidNoticeAbstractUI.aspx?menuIndex=3&amp;refID=7045103&amp;Result=3","7045103")</f>
        <v>0</v>
      </c>
      <c r="B857" t="s">
        <v>318</v>
      </c>
      <c r="C857" t="s">
        <v>4011</v>
      </c>
      <c r="D857" t="s">
        <v>18033</v>
      </c>
      <c r="E857" t="s">
        <v>18923</v>
      </c>
      <c r="F857" t="s">
        <v>31574</v>
      </c>
      <c r="G857" t="s">
        <v>31582</v>
      </c>
      <c r="H857" t="s">
        <v>31590</v>
      </c>
      <c r="I857" t="s">
        <v>4046</v>
      </c>
      <c r="J857" t="s">
        <v>32409</v>
      </c>
      <c r="K857" t="s">
        <v>41190</v>
      </c>
      <c r="M857" t="s">
        <v>41806</v>
      </c>
      <c r="N857" t="s">
        <v>45095</v>
      </c>
      <c r="O857" t="s">
        <v>45096</v>
      </c>
      <c r="P857">
        <v>0</v>
      </c>
      <c r="Q857">
        <v>0</v>
      </c>
      <c r="R857" t="s">
        <v>45097</v>
      </c>
      <c r="S857" t="s">
        <v>45222</v>
      </c>
      <c r="T857" t="s">
        <v>46943</v>
      </c>
      <c r="U857" t="s">
        <v>48232</v>
      </c>
      <c r="W857" t="s">
        <v>41806</v>
      </c>
      <c r="X857" t="s">
        <v>45098</v>
      </c>
    </row>
    <row r="858" spans="1:24">
      <c r="A858">
        <f>HYPERLINK("https://www.philgeps.gov.ph/GEPSNONPILOT/Tender/SplashBidNoticeAbstractUI.aspx?menuIndex=3&amp;refID=7045105&amp;Result=3","7045105")</f>
        <v>0</v>
      </c>
      <c r="B858" t="s">
        <v>297</v>
      </c>
      <c r="C858" t="s">
        <v>4012</v>
      </c>
      <c r="D858" t="s">
        <v>18075</v>
      </c>
      <c r="E858" t="s">
        <v>18924</v>
      </c>
      <c r="F858" t="s">
        <v>31574</v>
      </c>
      <c r="G858" t="s">
        <v>31581</v>
      </c>
      <c r="H858" t="s">
        <v>31590</v>
      </c>
      <c r="I858" t="s">
        <v>31598</v>
      </c>
      <c r="J858" t="s">
        <v>32410</v>
      </c>
      <c r="K858" t="s">
        <v>41196</v>
      </c>
      <c r="M858" t="s">
        <v>41876</v>
      </c>
      <c r="N858" t="s">
        <v>45095</v>
      </c>
      <c r="O858" t="s">
        <v>45096</v>
      </c>
      <c r="P858">
        <v>0</v>
      </c>
      <c r="Q858">
        <v>0</v>
      </c>
      <c r="R858" t="s">
        <v>45097</v>
      </c>
      <c r="S858" t="s">
        <v>45222</v>
      </c>
      <c r="T858" t="s">
        <v>46946</v>
      </c>
      <c r="U858" t="s">
        <v>48233</v>
      </c>
      <c r="W858" t="s">
        <v>41876</v>
      </c>
      <c r="X858" t="s">
        <v>45098</v>
      </c>
    </row>
    <row r="859" spans="1:24">
      <c r="A859">
        <f>HYPERLINK("https://www.philgeps.gov.ph/GEPSNONPILOT/Tender/SplashBidNoticeAbstractUI.aspx?menuIndex=3&amp;refID=7045113&amp;Result=3","7045113")</f>
        <v>0</v>
      </c>
      <c r="B859" t="s">
        <v>386</v>
      </c>
      <c r="C859" t="s">
        <v>4013</v>
      </c>
      <c r="D859" t="s">
        <v>18052</v>
      </c>
      <c r="E859" t="s">
        <v>18925</v>
      </c>
      <c r="F859" t="s">
        <v>31574</v>
      </c>
      <c r="G859" t="s">
        <v>31582</v>
      </c>
      <c r="H859" t="s">
        <v>31590</v>
      </c>
      <c r="I859" t="s">
        <v>31608</v>
      </c>
      <c r="J859" t="s">
        <v>32411</v>
      </c>
      <c r="K859" t="s">
        <v>41200</v>
      </c>
      <c r="M859" t="s">
        <v>41877</v>
      </c>
      <c r="N859" t="s">
        <v>45095</v>
      </c>
      <c r="O859" t="s">
        <v>45096</v>
      </c>
      <c r="P859">
        <v>0</v>
      </c>
      <c r="Q859">
        <v>0</v>
      </c>
      <c r="R859" t="s">
        <v>45097</v>
      </c>
      <c r="S859" t="s">
        <v>45222</v>
      </c>
      <c r="T859" t="s">
        <v>47007</v>
      </c>
      <c r="U859" t="s">
        <v>48234</v>
      </c>
      <c r="V859" t="s">
        <v>59932</v>
      </c>
      <c r="W859" t="s">
        <v>41877</v>
      </c>
      <c r="X859" t="s">
        <v>45098</v>
      </c>
    </row>
    <row r="860" spans="1:24">
      <c r="A860">
        <f>HYPERLINK("https://www.philgeps.gov.ph/GEPSNONPILOT/Tender/SplashBidNoticeAbstractUI.aspx?menuIndex=3&amp;refID=7045106&amp;Result=3","7045106")</f>
        <v>0</v>
      </c>
      <c r="B860" t="s">
        <v>50</v>
      </c>
      <c r="C860" t="s">
        <v>4014</v>
      </c>
      <c r="D860" t="s">
        <v>18042</v>
      </c>
      <c r="E860" t="s">
        <v>18926</v>
      </c>
      <c r="F860" t="s">
        <v>31574</v>
      </c>
      <c r="G860" t="s">
        <v>31582</v>
      </c>
      <c r="H860" t="s">
        <v>31590</v>
      </c>
      <c r="I860" t="s">
        <v>31655</v>
      </c>
      <c r="J860" t="s">
        <v>32120</v>
      </c>
      <c r="K860" t="s">
        <v>41186</v>
      </c>
      <c r="M860" t="s">
        <v>41533</v>
      </c>
      <c r="N860" t="s">
        <v>45095</v>
      </c>
      <c r="O860" t="s">
        <v>45096</v>
      </c>
      <c r="P860">
        <v>0</v>
      </c>
      <c r="Q860">
        <v>0</v>
      </c>
      <c r="R860" t="s">
        <v>45097</v>
      </c>
      <c r="S860" t="s">
        <v>45222</v>
      </c>
      <c r="T860" t="s">
        <v>46916</v>
      </c>
      <c r="U860" t="s">
        <v>48235</v>
      </c>
      <c r="W860" t="s">
        <v>41533</v>
      </c>
      <c r="X860" t="s">
        <v>45098</v>
      </c>
    </row>
    <row r="861" spans="1:24">
      <c r="A861">
        <f>HYPERLINK("https://www.philgeps.gov.ph/GEPSNONPILOT/Tender/SplashBidNoticeAbstractUI.aspx?menuIndex=3&amp;refID=7045114&amp;Result=3","7045114")</f>
        <v>0</v>
      </c>
      <c r="B861" t="s">
        <v>380</v>
      </c>
      <c r="C861" t="s">
        <v>4015</v>
      </c>
      <c r="D861" t="s">
        <v>18052</v>
      </c>
      <c r="E861" t="s">
        <v>18927</v>
      </c>
      <c r="F861" t="s">
        <v>31574</v>
      </c>
      <c r="G861" t="s">
        <v>31582</v>
      </c>
      <c r="H861" t="s">
        <v>31591</v>
      </c>
      <c r="I861" t="s">
        <v>8822</v>
      </c>
      <c r="J861" t="s">
        <v>31727</v>
      </c>
      <c r="K861" t="s">
        <v>41186</v>
      </c>
      <c r="M861" t="s">
        <v>41870</v>
      </c>
      <c r="N861" t="s">
        <v>45095</v>
      </c>
      <c r="O861" t="s">
        <v>45096</v>
      </c>
      <c r="P861">
        <v>0</v>
      </c>
      <c r="Q861">
        <v>0</v>
      </c>
      <c r="R861" t="s">
        <v>45097</v>
      </c>
      <c r="S861" t="s">
        <v>45222</v>
      </c>
      <c r="T861" t="s">
        <v>46943</v>
      </c>
      <c r="U861" t="s">
        <v>48236</v>
      </c>
      <c r="W861" t="s">
        <v>41870</v>
      </c>
      <c r="X861" t="s">
        <v>45098</v>
      </c>
    </row>
    <row r="862" spans="1:24">
      <c r="A862">
        <f>HYPERLINK("https://www.philgeps.gov.ph/GEPSNONPILOT/Tender/SplashBidNoticeAbstractUI.aspx?menuIndex=3&amp;refID=7045120&amp;Result=3","7045120")</f>
        <v>0</v>
      </c>
      <c r="B862" t="s">
        <v>353</v>
      </c>
      <c r="C862" t="s">
        <v>4016</v>
      </c>
      <c r="D862" t="s">
        <v>18068</v>
      </c>
      <c r="E862" t="s">
        <v>18928</v>
      </c>
      <c r="F862" t="s">
        <v>31574</v>
      </c>
      <c r="G862" t="s">
        <v>31581</v>
      </c>
      <c r="H862" t="s">
        <v>31591</v>
      </c>
      <c r="I862" t="s">
        <v>8822</v>
      </c>
      <c r="J862" t="s">
        <v>31789</v>
      </c>
      <c r="K862" t="s">
        <v>41192</v>
      </c>
      <c r="M862" t="s">
        <v>41842</v>
      </c>
      <c r="N862" t="s">
        <v>45095</v>
      </c>
      <c r="O862" t="s">
        <v>45096</v>
      </c>
      <c r="P862">
        <v>0</v>
      </c>
      <c r="Q862">
        <v>0</v>
      </c>
      <c r="R862" t="s">
        <v>45097</v>
      </c>
      <c r="S862" t="s">
        <v>45222</v>
      </c>
      <c r="T862" t="s">
        <v>46932</v>
      </c>
      <c r="U862" t="s">
        <v>48237</v>
      </c>
      <c r="V862" t="s">
        <v>59927</v>
      </c>
      <c r="W862" t="s">
        <v>41842</v>
      </c>
      <c r="X862" t="s">
        <v>45098</v>
      </c>
    </row>
    <row r="863" spans="1:24">
      <c r="A863">
        <f>HYPERLINK("https://www.philgeps.gov.ph/GEPSNONPILOT/Tender/SplashBidNoticeAbstractUI.aspx?menuIndex=3&amp;refID=7045119&amp;Result=3","7045119")</f>
        <v>0</v>
      </c>
      <c r="B863" t="s">
        <v>378</v>
      </c>
      <c r="C863" t="s">
        <v>4017</v>
      </c>
      <c r="D863" t="s">
        <v>18039</v>
      </c>
      <c r="E863" t="s">
        <v>18574</v>
      </c>
      <c r="F863" t="s">
        <v>31574</v>
      </c>
      <c r="G863" t="s">
        <v>31583</v>
      </c>
      <c r="H863" t="s">
        <v>31590</v>
      </c>
      <c r="I863" t="s">
        <v>4327</v>
      </c>
      <c r="J863" t="s">
        <v>32147</v>
      </c>
      <c r="K863" t="s">
        <v>41193</v>
      </c>
      <c r="M863" t="s">
        <v>41868</v>
      </c>
      <c r="N863" t="s">
        <v>45095</v>
      </c>
      <c r="O863" t="s">
        <v>45096</v>
      </c>
      <c r="P863">
        <v>0</v>
      </c>
      <c r="Q863">
        <v>0</v>
      </c>
      <c r="R863" t="s">
        <v>45097</v>
      </c>
      <c r="S863" t="s">
        <v>45222</v>
      </c>
      <c r="T863" t="s">
        <v>46985</v>
      </c>
      <c r="U863" t="s">
        <v>48238</v>
      </c>
      <c r="W863" t="s">
        <v>41868</v>
      </c>
      <c r="X863" t="s">
        <v>45098</v>
      </c>
    </row>
    <row r="864" spans="1:24">
      <c r="A864">
        <f>HYPERLINK("https://www.philgeps.gov.ph/GEPSNONPILOT/Tender/SplashBidNoticeAbstractUI.aspx?menuIndex=3&amp;refID=7045109&amp;Result=3","7045109")</f>
        <v>0</v>
      </c>
      <c r="B864" t="s">
        <v>387</v>
      </c>
      <c r="C864" t="s">
        <v>4018</v>
      </c>
      <c r="D864" t="s">
        <v>18076</v>
      </c>
      <c r="E864" t="s">
        <v>18379</v>
      </c>
      <c r="F864" t="s">
        <v>31574</v>
      </c>
      <c r="G864" t="s">
        <v>31582</v>
      </c>
      <c r="H864" t="s">
        <v>31591</v>
      </c>
      <c r="I864" t="s">
        <v>3487</v>
      </c>
      <c r="J864" t="s">
        <v>32412</v>
      </c>
      <c r="K864" t="s">
        <v>41186</v>
      </c>
      <c r="M864" t="s">
        <v>41878</v>
      </c>
      <c r="N864" t="s">
        <v>45095</v>
      </c>
      <c r="O864" t="s">
        <v>45096</v>
      </c>
      <c r="P864">
        <v>0</v>
      </c>
      <c r="Q864">
        <v>0</v>
      </c>
      <c r="R864" t="s">
        <v>45097</v>
      </c>
      <c r="S864" t="s">
        <v>45222</v>
      </c>
      <c r="T864" t="s">
        <v>47022</v>
      </c>
      <c r="U864" t="s">
        <v>48239</v>
      </c>
      <c r="W864" t="s">
        <v>41878</v>
      </c>
      <c r="X864" t="s">
        <v>45098</v>
      </c>
    </row>
    <row r="865" spans="1:24">
      <c r="A865">
        <f>HYPERLINK("https://www.philgeps.gov.ph/GEPSNONPILOT/Tender/SplashBidNoticeAbstractUI.aspx?menuIndex=3&amp;refID=7045125&amp;Result=3","7045125")</f>
        <v>0</v>
      </c>
      <c r="B865" t="s">
        <v>229</v>
      </c>
      <c r="C865" t="s">
        <v>4019</v>
      </c>
      <c r="D865" t="s">
        <v>18032</v>
      </c>
      <c r="E865" t="s">
        <v>18929</v>
      </c>
      <c r="F865" t="s">
        <v>31574</v>
      </c>
      <c r="G865" t="s">
        <v>31581</v>
      </c>
      <c r="H865" t="s">
        <v>31590</v>
      </c>
      <c r="I865" t="s">
        <v>31612</v>
      </c>
      <c r="J865" t="s">
        <v>31927</v>
      </c>
      <c r="K865" t="s">
        <v>41186</v>
      </c>
      <c r="M865" t="s">
        <v>41714</v>
      </c>
      <c r="N865" t="s">
        <v>45095</v>
      </c>
      <c r="O865" t="s">
        <v>45096</v>
      </c>
      <c r="P865">
        <v>0</v>
      </c>
      <c r="Q865">
        <v>0</v>
      </c>
      <c r="R865" t="s">
        <v>45097</v>
      </c>
      <c r="S865" t="s">
        <v>45222</v>
      </c>
      <c r="T865" t="s">
        <v>47023</v>
      </c>
      <c r="U865" t="s">
        <v>48240</v>
      </c>
      <c r="W865" t="s">
        <v>61657</v>
      </c>
      <c r="X865" t="s">
        <v>45098</v>
      </c>
    </row>
    <row r="866" spans="1:24">
      <c r="A866">
        <f>HYPERLINK("https://www.philgeps.gov.ph/GEPSNONPILOT/Tender/SplashBidNoticeAbstractUI.aspx?menuIndex=3&amp;refID=7045118&amp;Result=3","7045118")</f>
        <v>0</v>
      </c>
      <c r="B866" t="s">
        <v>313</v>
      </c>
      <c r="C866" t="s">
        <v>4020</v>
      </c>
      <c r="D866" t="s">
        <v>18039</v>
      </c>
      <c r="E866" t="s">
        <v>18930</v>
      </c>
      <c r="F866" t="s">
        <v>31574</v>
      </c>
      <c r="G866" t="s">
        <v>31581</v>
      </c>
      <c r="H866" t="s">
        <v>31590</v>
      </c>
      <c r="I866" t="s">
        <v>31640</v>
      </c>
      <c r="J866" t="s">
        <v>32413</v>
      </c>
      <c r="K866" t="s">
        <v>41186</v>
      </c>
      <c r="M866" t="s">
        <v>41800</v>
      </c>
      <c r="N866" t="s">
        <v>45095</v>
      </c>
      <c r="O866" t="s">
        <v>45096</v>
      </c>
      <c r="P866">
        <v>0</v>
      </c>
      <c r="Q866">
        <v>0</v>
      </c>
      <c r="R866" t="s">
        <v>45097</v>
      </c>
      <c r="S866" t="s">
        <v>45222</v>
      </c>
      <c r="T866" t="s">
        <v>46934</v>
      </c>
      <c r="U866" t="s">
        <v>48241</v>
      </c>
      <c r="W866" t="s">
        <v>41800</v>
      </c>
      <c r="X866" t="s">
        <v>45098</v>
      </c>
    </row>
    <row r="867" spans="1:24">
      <c r="A867">
        <f>HYPERLINK("https://www.philgeps.gov.ph/GEPSNONPILOT/Tender/SplashBidNoticeAbstractUI.aspx?menuIndex=3&amp;refID=7045117&amp;Result=3","7045117")</f>
        <v>0</v>
      </c>
      <c r="B867" t="s">
        <v>356</v>
      </c>
      <c r="C867" t="s">
        <v>4021</v>
      </c>
      <c r="D867" t="s">
        <v>18070</v>
      </c>
      <c r="E867" t="s">
        <v>18931</v>
      </c>
      <c r="F867" t="s">
        <v>31574</v>
      </c>
      <c r="G867" t="s">
        <v>31581</v>
      </c>
      <c r="H867" t="s">
        <v>31591</v>
      </c>
      <c r="I867" t="s">
        <v>8822</v>
      </c>
      <c r="J867" t="s">
        <v>32414</v>
      </c>
      <c r="K867" t="s">
        <v>41196</v>
      </c>
      <c r="M867" t="s">
        <v>41846</v>
      </c>
      <c r="N867" t="s">
        <v>45095</v>
      </c>
      <c r="O867" t="s">
        <v>45096</v>
      </c>
      <c r="P867">
        <v>0</v>
      </c>
      <c r="Q867">
        <v>0</v>
      </c>
      <c r="R867" t="s">
        <v>45097</v>
      </c>
      <c r="S867" t="s">
        <v>45222</v>
      </c>
      <c r="T867" t="s">
        <v>46904</v>
      </c>
      <c r="U867" t="s">
        <v>48242</v>
      </c>
      <c r="W867" t="s">
        <v>41846</v>
      </c>
      <c r="X867" t="s">
        <v>45098</v>
      </c>
    </row>
    <row r="868" spans="1:24">
      <c r="A868">
        <f>HYPERLINK("https://www.philgeps.gov.ph/GEPSNONPILOT/Tender/SplashBidNoticeAbstractUI.aspx?menuIndex=3&amp;refID=7045127&amp;Result=3","7045127")</f>
        <v>0</v>
      </c>
      <c r="B868" t="s">
        <v>59</v>
      </c>
      <c r="C868" t="s">
        <v>4022</v>
      </c>
      <c r="D868" t="s">
        <v>18048</v>
      </c>
      <c r="E868" t="s">
        <v>18932</v>
      </c>
      <c r="F868" t="s">
        <v>31574</v>
      </c>
      <c r="G868" t="s">
        <v>31583</v>
      </c>
      <c r="H868" t="s">
        <v>31590</v>
      </c>
      <c r="I868" t="s">
        <v>31626</v>
      </c>
      <c r="J868" t="s">
        <v>31780</v>
      </c>
      <c r="K868" t="s">
        <v>41186</v>
      </c>
      <c r="M868" t="s">
        <v>41543</v>
      </c>
      <c r="N868" t="s">
        <v>45095</v>
      </c>
      <c r="O868" t="s">
        <v>45096</v>
      </c>
      <c r="P868">
        <v>0</v>
      </c>
      <c r="Q868">
        <v>0</v>
      </c>
      <c r="R868" t="s">
        <v>45097</v>
      </c>
      <c r="S868" t="s">
        <v>45222</v>
      </c>
      <c r="T868" t="s">
        <v>46926</v>
      </c>
      <c r="U868" t="s">
        <v>48243</v>
      </c>
      <c r="V868" t="s">
        <v>59856</v>
      </c>
      <c r="W868" t="s">
        <v>41543</v>
      </c>
      <c r="X868" t="s">
        <v>45098</v>
      </c>
    </row>
    <row r="869" spans="1:24">
      <c r="A869">
        <f>HYPERLINK("https://www.philgeps.gov.ph/GEPSNONPILOT/Tender/SplashBidNoticeAbstractUI.aspx?menuIndex=3&amp;refID=7045116&amp;Result=3","7045116")</f>
        <v>0</v>
      </c>
      <c r="B869" t="s">
        <v>388</v>
      </c>
      <c r="C869" t="s">
        <v>4023</v>
      </c>
      <c r="D869" t="s">
        <v>18089</v>
      </c>
      <c r="E869" t="s">
        <v>18933</v>
      </c>
      <c r="F869" t="s">
        <v>31574</v>
      </c>
      <c r="G869" t="s">
        <v>31582</v>
      </c>
      <c r="H869" t="s">
        <v>31590</v>
      </c>
      <c r="I869" t="s">
        <v>4046</v>
      </c>
      <c r="J869" t="s">
        <v>32415</v>
      </c>
      <c r="K869" t="s">
        <v>41186</v>
      </c>
      <c r="M869" t="s">
        <v>41879</v>
      </c>
      <c r="N869" t="s">
        <v>45095</v>
      </c>
      <c r="O869" t="s">
        <v>45096</v>
      </c>
      <c r="P869">
        <v>0</v>
      </c>
      <c r="Q869">
        <v>0</v>
      </c>
      <c r="R869" t="s">
        <v>45097</v>
      </c>
      <c r="S869" t="s">
        <v>45222</v>
      </c>
      <c r="T869" t="s">
        <v>46965</v>
      </c>
      <c r="U869" t="s">
        <v>48244</v>
      </c>
      <c r="V869" t="s">
        <v>59933</v>
      </c>
      <c r="W869" t="s">
        <v>41879</v>
      </c>
      <c r="X869" t="s">
        <v>45098</v>
      </c>
    </row>
    <row r="870" spans="1:24">
      <c r="A870">
        <f>HYPERLINK("https://www.philgeps.gov.ph/GEPSNONPILOT/Tender/SplashBidNoticeAbstractUI.aspx?menuIndex=3&amp;refID=7045131&amp;Result=3","7045131")</f>
        <v>0</v>
      </c>
      <c r="B870" t="s">
        <v>305</v>
      </c>
      <c r="C870" t="s">
        <v>4024</v>
      </c>
      <c r="D870" t="s">
        <v>18066</v>
      </c>
      <c r="E870" t="s">
        <v>18934</v>
      </c>
      <c r="F870" t="s">
        <v>31574</v>
      </c>
      <c r="G870" t="s">
        <v>31582</v>
      </c>
      <c r="H870" t="s">
        <v>31591</v>
      </c>
      <c r="I870" t="s">
        <v>8822</v>
      </c>
      <c r="J870" t="s">
        <v>32416</v>
      </c>
      <c r="K870" t="s">
        <v>41184</v>
      </c>
      <c r="M870" t="s">
        <v>41791</v>
      </c>
      <c r="N870" t="s">
        <v>45095</v>
      </c>
      <c r="O870" t="s">
        <v>45096</v>
      </c>
      <c r="P870">
        <v>0</v>
      </c>
      <c r="Q870">
        <v>0</v>
      </c>
      <c r="R870" t="s">
        <v>45097</v>
      </c>
      <c r="S870" t="s">
        <v>45222</v>
      </c>
      <c r="T870" t="s">
        <v>47010</v>
      </c>
      <c r="U870" t="s">
        <v>48245</v>
      </c>
      <c r="W870" t="s">
        <v>41791</v>
      </c>
      <c r="X870" t="s">
        <v>45098</v>
      </c>
    </row>
    <row r="871" spans="1:24">
      <c r="A871">
        <f>HYPERLINK("https://www.philgeps.gov.ph/GEPSNONPILOT/Tender/SplashBidNoticeAbstractUI.aspx?menuIndex=3&amp;refID=7045123&amp;Result=3","7045123")</f>
        <v>0</v>
      </c>
      <c r="B871" t="s">
        <v>349</v>
      </c>
      <c r="C871" t="s">
        <v>4025</v>
      </c>
      <c r="D871" t="s">
        <v>18071</v>
      </c>
      <c r="E871" t="s">
        <v>18935</v>
      </c>
      <c r="F871" t="s">
        <v>31574</v>
      </c>
      <c r="G871" t="s">
        <v>31582</v>
      </c>
      <c r="H871" t="s">
        <v>31590</v>
      </c>
      <c r="I871" t="s">
        <v>31598</v>
      </c>
      <c r="J871" t="s">
        <v>32417</v>
      </c>
      <c r="K871" t="s">
        <v>41192</v>
      </c>
      <c r="L871" t="s">
        <v>349</v>
      </c>
      <c r="M871" t="s">
        <v>41837</v>
      </c>
      <c r="N871" t="s">
        <v>45095</v>
      </c>
      <c r="O871" t="s">
        <v>45096</v>
      </c>
      <c r="P871">
        <v>0</v>
      </c>
      <c r="Q871">
        <v>1</v>
      </c>
      <c r="R871" t="s">
        <v>45097</v>
      </c>
      <c r="S871" t="s">
        <v>45222</v>
      </c>
      <c r="T871" t="s">
        <v>47015</v>
      </c>
      <c r="U871" t="s">
        <v>48246</v>
      </c>
      <c r="W871" t="s">
        <v>41837</v>
      </c>
      <c r="X871" t="s">
        <v>45098</v>
      </c>
    </row>
    <row r="872" spans="1:24">
      <c r="A872">
        <f>HYPERLINK("https://www.philgeps.gov.ph/GEPSNONPILOT/Tender/SplashBidNoticeAbstractUI.aspx?menuIndex=3&amp;refID=7045129&amp;Result=3","7045129")</f>
        <v>0</v>
      </c>
      <c r="B872" t="s">
        <v>389</v>
      </c>
      <c r="C872" t="s">
        <v>4026</v>
      </c>
      <c r="D872" t="s">
        <v>18037</v>
      </c>
      <c r="E872" t="s">
        <v>18936</v>
      </c>
      <c r="F872" t="s">
        <v>31574</v>
      </c>
      <c r="G872" t="s">
        <v>31582</v>
      </c>
      <c r="H872" t="s">
        <v>31590</v>
      </c>
      <c r="I872" t="s">
        <v>4046</v>
      </c>
      <c r="J872" t="s">
        <v>32418</v>
      </c>
      <c r="K872" t="s">
        <v>41186</v>
      </c>
      <c r="M872" t="s">
        <v>41880</v>
      </c>
      <c r="N872" t="s">
        <v>45095</v>
      </c>
      <c r="O872" t="s">
        <v>45096</v>
      </c>
      <c r="P872">
        <v>0</v>
      </c>
      <c r="Q872">
        <v>0</v>
      </c>
      <c r="R872" t="s">
        <v>45097</v>
      </c>
      <c r="S872" t="s">
        <v>45222</v>
      </c>
      <c r="T872" t="s">
        <v>46909</v>
      </c>
      <c r="U872" t="s">
        <v>48247</v>
      </c>
      <c r="W872" t="s">
        <v>41880</v>
      </c>
      <c r="X872" t="s">
        <v>45098</v>
      </c>
    </row>
    <row r="873" spans="1:24">
      <c r="A873">
        <f>HYPERLINK("https://www.philgeps.gov.ph/GEPSNONPILOT/Tender/SplashBidNoticeAbstractUI.aspx?menuIndex=3&amp;refID=7045138&amp;Result=3","7045138")</f>
        <v>0</v>
      </c>
      <c r="B873" t="s">
        <v>390</v>
      </c>
      <c r="C873" t="s">
        <v>4027</v>
      </c>
      <c r="E873" t="s">
        <v>18937</v>
      </c>
      <c r="F873" t="s">
        <v>31574</v>
      </c>
      <c r="G873" t="s">
        <v>31582</v>
      </c>
      <c r="H873" t="s">
        <v>31590</v>
      </c>
      <c r="I873" t="s">
        <v>8822</v>
      </c>
      <c r="J873" t="s">
        <v>32419</v>
      </c>
      <c r="K873" t="s">
        <v>41184</v>
      </c>
      <c r="M873" t="s">
        <v>41881</v>
      </c>
      <c r="N873" t="s">
        <v>45095</v>
      </c>
      <c r="O873" t="s">
        <v>45096</v>
      </c>
      <c r="P873">
        <v>0</v>
      </c>
      <c r="Q873">
        <v>0</v>
      </c>
      <c r="R873" t="s">
        <v>45097</v>
      </c>
      <c r="S873" t="s">
        <v>45222</v>
      </c>
      <c r="T873" t="s">
        <v>47024</v>
      </c>
      <c r="U873" t="s">
        <v>48248</v>
      </c>
      <c r="W873" t="s">
        <v>41881</v>
      </c>
      <c r="X873" t="s">
        <v>45098</v>
      </c>
    </row>
    <row r="874" spans="1:24">
      <c r="A874">
        <f>HYPERLINK("https://www.philgeps.gov.ph/GEPSNONPILOT/Tender/SplashBidNoticeAbstractUI.aspx?menuIndex=3&amp;refID=7045121&amp;Result=3","7045121")</f>
        <v>0</v>
      </c>
      <c r="B874" t="s">
        <v>391</v>
      </c>
      <c r="C874" t="s">
        <v>4028</v>
      </c>
      <c r="D874" t="s">
        <v>18081</v>
      </c>
      <c r="E874" t="s">
        <v>18426</v>
      </c>
      <c r="F874" t="s">
        <v>31574</v>
      </c>
      <c r="G874" t="s">
        <v>31581</v>
      </c>
      <c r="H874" t="s">
        <v>31590</v>
      </c>
      <c r="I874" t="s">
        <v>6800</v>
      </c>
      <c r="J874" t="s">
        <v>32420</v>
      </c>
      <c r="K874" t="s">
        <v>41193</v>
      </c>
      <c r="M874" t="s">
        <v>41882</v>
      </c>
      <c r="N874" t="s">
        <v>45095</v>
      </c>
      <c r="O874" t="s">
        <v>45096</v>
      </c>
      <c r="P874">
        <v>0</v>
      </c>
      <c r="Q874">
        <v>0</v>
      </c>
      <c r="R874" t="s">
        <v>45097</v>
      </c>
      <c r="S874" t="s">
        <v>45222</v>
      </c>
      <c r="T874" t="s">
        <v>46955</v>
      </c>
      <c r="U874" t="s">
        <v>48249</v>
      </c>
      <c r="W874" t="s">
        <v>41882</v>
      </c>
      <c r="X874" t="s">
        <v>45098</v>
      </c>
    </row>
    <row r="875" spans="1:24">
      <c r="A875">
        <f>HYPERLINK("https://www.philgeps.gov.ph/GEPSNONPILOT/Tender/SplashBidNoticeAbstractUI.aspx?menuIndex=3&amp;refID=7045136&amp;Result=3","7045136")</f>
        <v>0</v>
      </c>
      <c r="B875" t="s">
        <v>144</v>
      </c>
      <c r="C875" t="s">
        <v>4029</v>
      </c>
      <c r="D875" t="s">
        <v>18076</v>
      </c>
      <c r="E875" t="s">
        <v>18938</v>
      </c>
      <c r="F875" t="s">
        <v>31574</v>
      </c>
      <c r="G875" t="s">
        <v>31582</v>
      </c>
      <c r="H875" t="s">
        <v>31590</v>
      </c>
      <c r="I875" t="s">
        <v>31614</v>
      </c>
      <c r="J875" t="s">
        <v>32421</v>
      </c>
      <c r="K875" t="s">
        <v>41193</v>
      </c>
      <c r="M875" t="s">
        <v>41843</v>
      </c>
      <c r="N875" t="s">
        <v>45095</v>
      </c>
      <c r="O875" t="s">
        <v>45096</v>
      </c>
      <c r="P875">
        <v>0</v>
      </c>
      <c r="Q875">
        <v>0</v>
      </c>
      <c r="R875" t="s">
        <v>45097</v>
      </c>
      <c r="S875" t="s">
        <v>45222</v>
      </c>
      <c r="T875" t="s">
        <v>47016</v>
      </c>
      <c r="U875" t="s">
        <v>48250</v>
      </c>
      <c r="W875" t="s">
        <v>41843</v>
      </c>
      <c r="X875" t="s">
        <v>45098</v>
      </c>
    </row>
    <row r="876" spans="1:24">
      <c r="A876">
        <f>HYPERLINK("https://www.philgeps.gov.ph/GEPSNONPILOT/Tender/SplashBidNoticeAbstractUI.aspx?menuIndex=3&amp;refID=7045137&amp;Result=3","7045137")</f>
        <v>0</v>
      </c>
      <c r="B876" t="s">
        <v>309</v>
      </c>
      <c r="C876" t="s">
        <v>4030</v>
      </c>
      <c r="D876" t="s">
        <v>18074</v>
      </c>
      <c r="E876" t="s">
        <v>18939</v>
      </c>
      <c r="F876" t="s">
        <v>31574</v>
      </c>
      <c r="G876" t="s">
        <v>31585</v>
      </c>
      <c r="H876" t="s">
        <v>31590</v>
      </c>
      <c r="I876" t="s">
        <v>31600</v>
      </c>
      <c r="J876" t="s">
        <v>32422</v>
      </c>
      <c r="K876" t="s">
        <v>41184</v>
      </c>
      <c r="M876" t="s">
        <v>41795</v>
      </c>
      <c r="N876" t="s">
        <v>45095</v>
      </c>
      <c r="O876" t="s">
        <v>45096</v>
      </c>
      <c r="P876">
        <v>0</v>
      </c>
      <c r="Q876">
        <v>0</v>
      </c>
      <c r="R876" t="s">
        <v>45097</v>
      </c>
      <c r="S876" t="s">
        <v>45222</v>
      </c>
      <c r="T876" t="s">
        <v>46932</v>
      </c>
      <c r="U876" t="s">
        <v>48251</v>
      </c>
      <c r="W876" t="s">
        <v>41795</v>
      </c>
      <c r="X876" t="s">
        <v>45098</v>
      </c>
    </row>
    <row r="877" spans="1:24">
      <c r="A877">
        <f>HYPERLINK("https://www.philgeps.gov.ph/GEPSNONPILOT/Tender/SplashBidNoticeAbstractUI.aspx?menuIndex=3&amp;refID=7045122&amp;Result=3","7045122")</f>
        <v>0</v>
      </c>
      <c r="B877" t="s">
        <v>392</v>
      </c>
      <c r="C877" t="s">
        <v>4031</v>
      </c>
      <c r="D877" t="s">
        <v>18040</v>
      </c>
      <c r="E877" t="s">
        <v>18940</v>
      </c>
      <c r="F877" t="s">
        <v>31574</v>
      </c>
      <c r="G877" t="s">
        <v>31583</v>
      </c>
      <c r="H877" t="s">
        <v>31590</v>
      </c>
      <c r="I877" t="s">
        <v>4327</v>
      </c>
      <c r="J877" t="s">
        <v>31744</v>
      </c>
      <c r="K877" t="s">
        <v>41211</v>
      </c>
      <c r="M877" t="s">
        <v>41883</v>
      </c>
      <c r="N877" t="s">
        <v>45095</v>
      </c>
      <c r="O877" t="s">
        <v>45096</v>
      </c>
      <c r="P877">
        <v>0</v>
      </c>
      <c r="Q877">
        <v>0</v>
      </c>
      <c r="R877" t="s">
        <v>45097</v>
      </c>
      <c r="S877" t="s">
        <v>45222</v>
      </c>
      <c r="T877" t="s">
        <v>46921</v>
      </c>
      <c r="U877" t="s">
        <v>48252</v>
      </c>
      <c r="W877" t="s">
        <v>41883</v>
      </c>
      <c r="X877" t="s">
        <v>45098</v>
      </c>
    </row>
    <row r="878" spans="1:24">
      <c r="A878">
        <f>HYPERLINK("https://www.philgeps.gov.ph/GEPSNONPILOT/Tender/SplashBidNoticeAbstractUI.aspx?menuIndex=3&amp;refID=7045128&amp;Result=3","7045128")</f>
        <v>0</v>
      </c>
      <c r="B878" t="s">
        <v>393</v>
      </c>
      <c r="C878" t="s">
        <v>4032</v>
      </c>
      <c r="D878" t="s">
        <v>18022</v>
      </c>
      <c r="E878" t="s">
        <v>18941</v>
      </c>
      <c r="F878" t="s">
        <v>31574</v>
      </c>
      <c r="G878" t="s">
        <v>31584</v>
      </c>
      <c r="H878" t="s">
        <v>31590</v>
      </c>
      <c r="I878" t="s">
        <v>4327</v>
      </c>
      <c r="J878" t="s">
        <v>32258</v>
      </c>
      <c r="K878" t="s">
        <v>41186</v>
      </c>
      <c r="M878" t="s">
        <v>41884</v>
      </c>
      <c r="N878" t="s">
        <v>45095</v>
      </c>
      <c r="O878" t="s">
        <v>45096</v>
      </c>
      <c r="P878">
        <v>0</v>
      </c>
      <c r="Q878">
        <v>0</v>
      </c>
      <c r="R878" t="s">
        <v>45097</v>
      </c>
      <c r="S878" t="s">
        <v>45222</v>
      </c>
      <c r="T878" t="s">
        <v>46918</v>
      </c>
      <c r="U878" t="s">
        <v>48253</v>
      </c>
      <c r="W878" t="s">
        <v>41884</v>
      </c>
      <c r="X878" t="s">
        <v>45098</v>
      </c>
    </row>
    <row r="879" spans="1:24">
      <c r="A879">
        <f>HYPERLINK("https://www.philgeps.gov.ph/GEPSNONPILOT/Tender/SplashBidNoticeAbstractUI.aspx?menuIndex=3&amp;refID=7045134&amp;Result=3","7045134")</f>
        <v>0</v>
      </c>
      <c r="B879" t="s">
        <v>312</v>
      </c>
      <c r="C879" t="s">
        <v>4033</v>
      </c>
      <c r="D879" t="s">
        <v>18024</v>
      </c>
      <c r="E879" t="s">
        <v>18942</v>
      </c>
      <c r="F879" t="s">
        <v>31574</v>
      </c>
      <c r="G879" t="s">
        <v>31581</v>
      </c>
      <c r="H879" t="s">
        <v>31590</v>
      </c>
      <c r="I879" t="s">
        <v>31623</v>
      </c>
      <c r="J879" t="s">
        <v>32423</v>
      </c>
      <c r="K879" t="s">
        <v>41239</v>
      </c>
      <c r="M879" t="s">
        <v>41799</v>
      </c>
      <c r="N879" t="s">
        <v>45095</v>
      </c>
      <c r="O879" t="s">
        <v>45096</v>
      </c>
      <c r="P879">
        <v>0</v>
      </c>
      <c r="Q879">
        <v>0</v>
      </c>
      <c r="R879" t="s">
        <v>45097</v>
      </c>
      <c r="S879" t="s">
        <v>45222</v>
      </c>
      <c r="T879" t="s">
        <v>46918</v>
      </c>
      <c r="U879" t="s">
        <v>48254</v>
      </c>
      <c r="W879" t="s">
        <v>41799</v>
      </c>
      <c r="X879" t="s">
        <v>45098</v>
      </c>
    </row>
    <row r="880" spans="1:24">
      <c r="A880">
        <f>HYPERLINK("https://www.philgeps.gov.ph/GEPSNONPILOT/Tender/SplashBidNoticeAbstractUI.aspx?menuIndex=3&amp;refID=7045133&amp;Result=3","7045133")</f>
        <v>0</v>
      </c>
      <c r="B880" t="s">
        <v>350</v>
      </c>
      <c r="C880" t="s">
        <v>4034</v>
      </c>
      <c r="D880" t="s">
        <v>18073</v>
      </c>
      <c r="E880" t="s">
        <v>18943</v>
      </c>
      <c r="F880" t="s">
        <v>31574</v>
      </c>
      <c r="G880" t="s">
        <v>31582</v>
      </c>
      <c r="H880" t="s">
        <v>31590</v>
      </c>
      <c r="I880" t="s">
        <v>4327</v>
      </c>
      <c r="J880" t="s">
        <v>32424</v>
      </c>
      <c r="K880" t="s">
        <v>41184</v>
      </c>
      <c r="M880" t="s">
        <v>41838</v>
      </c>
      <c r="N880" t="s">
        <v>45095</v>
      </c>
      <c r="O880" t="s">
        <v>45096</v>
      </c>
      <c r="P880">
        <v>0</v>
      </c>
      <c r="Q880">
        <v>0</v>
      </c>
      <c r="R880" t="s">
        <v>45097</v>
      </c>
      <c r="S880" t="s">
        <v>45222</v>
      </c>
      <c r="T880" t="s">
        <v>46924</v>
      </c>
      <c r="U880" t="s">
        <v>48255</v>
      </c>
      <c r="W880" t="s">
        <v>41838</v>
      </c>
      <c r="X880" t="s">
        <v>45098</v>
      </c>
    </row>
    <row r="881" spans="1:24">
      <c r="A881">
        <f>HYPERLINK("https://www.philgeps.gov.ph/GEPSNONPILOT/Tender/SplashBidNoticeAbstractUI.aspx?menuIndex=3&amp;refID=7045139&amp;Result=3","7045139")</f>
        <v>0</v>
      </c>
      <c r="B881" t="s">
        <v>291</v>
      </c>
      <c r="C881" t="s">
        <v>4035</v>
      </c>
      <c r="D881" t="s">
        <v>18091</v>
      </c>
      <c r="E881" t="s">
        <v>18944</v>
      </c>
      <c r="F881" t="s">
        <v>31574</v>
      </c>
      <c r="G881" t="s">
        <v>31581</v>
      </c>
      <c r="H881" t="s">
        <v>31590</v>
      </c>
      <c r="I881" t="s">
        <v>3539</v>
      </c>
      <c r="J881" t="s">
        <v>32425</v>
      </c>
      <c r="K881" t="s">
        <v>41193</v>
      </c>
      <c r="M881" t="s">
        <v>41777</v>
      </c>
      <c r="N881" t="s">
        <v>45095</v>
      </c>
      <c r="O881" t="s">
        <v>45096</v>
      </c>
      <c r="P881">
        <v>0</v>
      </c>
      <c r="Q881">
        <v>0</v>
      </c>
      <c r="R881" t="s">
        <v>45097</v>
      </c>
      <c r="S881" t="s">
        <v>45222</v>
      </c>
      <c r="T881" t="s">
        <v>46926</v>
      </c>
      <c r="U881" t="s">
        <v>48174</v>
      </c>
      <c r="V881" t="s">
        <v>59918</v>
      </c>
      <c r="W881" t="s">
        <v>41777</v>
      </c>
      <c r="X881" t="s">
        <v>45098</v>
      </c>
    </row>
    <row r="882" spans="1:24">
      <c r="A882">
        <f>HYPERLINK("https://www.philgeps.gov.ph/GEPSNONPILOT/Tender/SplashBidNoticeAbstractUI.aspx?menuIndex=3&amp;refID=7045124&amp;Result=3","7045124")</f>
        <v>0</v>
      </c>
      <c r="B882" t="s">
        <v>281</v>
      </c>
      <c r="C882" t="s">
        <v>4036</v>
      </c>
      <c r="D882" t="s">
        <v>18041</v>
      </c>
      <c r="E882" t="s">
        <v>18945</v>
      </c>
      <c r="F882" t="s">
        <v>31574</v>
      </c>
      <c r="G882" t="s">
        <v>31581</v>
      </c>
      <c r="H882" t="s">
        <v>31590</v>
      </c>
      <c r="I882" t="s">
        <v>4354</v>
      </c>
      <c r="J882" t="s">
        <v>31845</v>
      </c>
      <c r="K882" t="s">
        <v>41186</v>
      </c>
      <c r="M882" t="s">
        <v>41767</v>
      </c>
      <c r="N882" t="s">
        <v>45095</v>
      </c>
      <c r="O882" t="s">
        <v>45096</v>
      </c>
      <c r="P882">
        <v>0</v>
      </c>
      <c r="Q882">
        <v>0</v>
      </c>
      <c r="R882" t="s">
        <v>45097</v>
      </c>
      <c r="S882" t="s">
        <v>45222</v>
      </c>
      <c r="T882" t="s">
        <v>46964</v>
      </c>
      <c r="U882" t="s">
        <v>48118</v>
      </c>
      <c r="W882" t="s">
        <v>41767</v>
      </c>
      <c r="X882" t="s">
        <v>45098</v>
      </c>
    </row>
    <row r="883" spans="1:24">
      <c r="A883">
        <f>HYPERLINK("https://www.philgeps.gov.ph/GEPSNONPILOT/Tender/SplashBidNoticeAbstractUI.aspx?menuIndex=3&amp;refID=7045143&amp;Result=3","7045143")</f>
        <v>0</v>
      </c>
      <c r="B883" t="s">
        <v>271</v>
      </c>
      <c r="C883" t="s">
        <v>3753</v>
      </c>
      <c r="D883" t="s">
        <v>18046</v>
      </c>
      <c r="E883" t="s">
        <v>18946</v>
      </c>
      <c r="F883" t="s">
        <v>31574</v>
      </c>
      <c r="G883" t="s">
        <v>31582</v>
      </c>
      <c r="H883" t="s">
        <v>31591</v>
      </c>
      <c r="I883" t="s">
        <v>8822</v>
      </c>
      <c r="J883" t="s">
        <v>31821</v>
      </c>
      <c r="K883" t="s">
        <v>41192</v>
      </c>
      <c r="M883" t="s">
        <v>41757</v>
      </c>
      <c r="N883" t="s">
        <v>45095</v>
      </c>
      <c r="O883" t="s">
        <v>45096</v>
      </c>
      <c r="P883">
        <v>0</v>
      </c>
      <c r="Q883">
        <v>0</v>
      </c>
      <c r="R883" t="s">
        <v>45097</v>
      </c>
      <c r="S883" t="s">
        <v>45222</v>
      </c>
      <c r="T883" t="s">
        <v>46954</v>
      </c>
      <c r="U883" t="s">
        <v>48166</v>
      </c>
      <c r="W883" t="s">
        <v>41757</v>
      </c>
      <c r="X883" t="s">
        <v>45098</v>
      </c>
    </row>
    <row r="884" spans="1:24">
      <c r="A884">
        <f>HYPERLINK("https://www.philgeps.gov.ph/GEPSNONPILOT/Tender/SplashBidNoticeAbstractUI.aspx?menuIndex=3&amp;refID=7045145&amp;Result=3","7045145")</f>
        <v>0</v>
      </c>
      <c r="B884" t="s">
        <v>281</v>
      </c>
      <c r="C884" t="s">
        <v>4037</v>
      </c>
      <c r="D884" t="s">
        <v>18041</v>
      </c>
      <c r="E884" t="s">
        <v>18947</v>
      </c>
      <c r="F884" t="s">
        <v>31574</v>
      </c>
      <c r="G884" t="s">
        <v>31581</v>
      </c>
      <c r="H884" t="s">
        <v>31590</v>
      </c>
      <c r="I884" t="s">
        <v>14544</v>
      </c>
      <c r="J884" t="s">
        <v>32426</v>
      </c>
      <c r="K884" t="s">
        <v>41186</v>
      </c>
      <c r="M884" t="s">
        <v>41767</v>
      </c>
      <c r="N884" t="s">
        <v>45095</v>
      </c>
      <c r="O884" t="s">
        <v>45096</v>
      </c>
      <c r="P884">
        <v>0</v>
      </c>
      <c r="Q884">
        <v>0</v>
      </c>
      <c r="R884" t="s">
        <v>45097</v>
      </c>
      <c r="S884" t="s">
        <v>45222</v>
      </c>
      <c r="T884" t="s">
        <v>46910</v>
      </c>
      <c r="U884" t="s">
        <v>48118</v>
      </c>
      <c r="W884" t="s">
        <v>41767</v>
      </c>
      <c r="X884" t="s">
        <v>45098</v>
      </c>
    </row>
    <row r="885" spans="1:24">
      <c r="A885">
        <f>HYPERLINK("https://www.philgeps.gov.ph/GEPSNONPILOT/Tender/SplashBidNoticeAbstractUI.aspx?menuIndex=3&amp;refID=7045141&amp;Result=3","7045141")</f>
        <v>0</v>
      </c>
      <c r="B885" t="s">
        <v>394</v>
      </c>
      <c r="C885" t="s">
        <v>4038</v>
      </c>
      <c r="D885" t="s">
        <v>18056</v>
      </c>
      <c r="E885" t="s">
        <v>18948</v>
      </c>
      <c r="F885" t="s">
        <v>31574</v>
      </c>
      <c r="G885" t="s">
        <v>31581</v>
      </c>
      <c r="H885" t="s">
        <v>31590</v>
      </c>
      <c r="I885" t="s">
        <v>31630</v>
      </c>
      <c r="J885" t="s">
        <v>32427</v>
      </c>
      <c r="K885" t="s">
        <v>41211</v>
      </c>
      <c r="M885" t="s">
        <v>41885</v>
      </c>
      <c r="N885" t="s">
        <v>45095</v>
      </c>
      <c r="O885" t="s">
        <v>45096</v>
      </c>
      <c r="P885">
        <v>0</v>
      </c>
      <c r="Q885">
        <v>0</v>
      </c>
      <c r="R885" t="s">
        <v>45097</v>
      </c>
      <c r="S885" t="s">
        <v>45222</v>
      </c>
      <c r="T885" t="s">
        <v>46904</v>
      </c>
      <c r="U885" t="s">
        <v>48256</v>
      </c>
      <c r="V885" t="s">
        <v>59934</v>
      </c>
      <c r="W885" t="s">
        <v>41885</v>
      </c>
      <c r="X885" t="s">
        <v>45098</v>
      </c>
    </row>
    <row r="886" spans="1:24">
      <c r="A886">
        <f>HYPERLINK("https://www.philgeps.gov.ph/GEPSNONPILOT/Tender/SplashBidNoticeAbstractUI.aspx?menuIndex=3&amp;refID=7045148&amp;Result=3","7045148")</f>
        <v>0</v>
      </c>
      <c r="B886" t="s">
        <v>348</v>
      </c>
      <c r="C886" t="s">
        <v>4039</v>
      </c>
      <c r="D886" t="s">
        <v>18065</v>
      </c>
      <c r="E886" t="s">
        <v>18949</v>
      </c>
      <c r="F886" t="s">
        <v>31574</v>
      </c>
      <c r="G886" t="s">
        <v>31581</v>
      </c>
      <c r="H886" t="s">
        <v>31590</v>
      </c>
      <c r="I886" t="s">
        <v>31656</v>
      </c>
      <c r="J886" t="s">
        <v>32428</v>
      </c>
      <c r="K886" t="s">
        <v>41184</v>
      </c>
      <c r="M886" t="s">
        <v>41836</v>
      </c>
      <c r="N886" t="s">
        <v>45095</v>
      </c>
      <c r="O886" t="s">
        <v>45096</v>
      </c>
      <c r="P886">
        <v>0</v>
      </c>
      <c r="Q886">
        <v>0</v>
      </c>
      <c r="R886" t="s">
        <v>45097</v>
      </c>
      <c r="S886" t="s">
        <v>45222</v>
      </c>
      <c r="T886" t="s">
        <v>47025</v>
      </c>
      <c r="U886" t="s">
        <v>48153</v>
      </c>
      <c r="W886" t="s">
        <v>41836</v>
      </c>
      <c r="X886" t="s">
        <v>45098</v>
      </c>
    </row>
    <row r="887" spans="1:24">
      <c r="A887">
        <f>HYPERLINK("https://www.philgeps.gov.ph/GEPSNONPILOT/Tender/SplashBidNoticeAbstractUI.aspx?menuIndex=3&amp;refID=7045144&amp;Result=3","7045144")</f>
        <v>0</v>
      </c>
      <c r="B887" t="s">
        <v>355</v>
      </c>
      <c r="C887" t="s">
        <v>4040</v>
      </c>
      <c r="D887" t="s">
        <v>18043</v>
      </c>
      <c r="E887" t="s">
        <v>18950</v>
      </c>
      <c r="F887" t="s">
        <v>31574</v>
      </c>
      <c r="G887" t="s">
        <v>31582</v>
      </c>
      <c r="H887" t="s">
        <v>31590</v>
      </c>
      <c r="I887" t="s">
        <v>31614</v>
      </c>
      <c r="J887" t="s">
        <v>32429</v>
      </c>
      <c r="K887" t="s">
        <v>41186</v>
      </c>
      <c r="M887" t="s">
        <v>41845</v>
      </c>
      <c r="N887" t="s">
        <v>45095</v>
      </c>
      <c r="O887" t="s">
        <v>45096</v>
      </c>
      <c r="P887">
        <v>0</v>
      </c>
      <c r="Q887">
        <v>0</v>
      </c>
      <c r="R887" t="s">
        <v>45097</v>
      </c>
      <c r="S887" t="s">
        <v>45222</v>
      </c>
      <c r="T887" t="s">
        <v>47017</v>
      </c>
      <c r="U887" t="s">
        <v>48257</v>
      </c>
      <c r="V887" t="s">
        <v>59935</v>
      </c>
      <c r="W887" t="s">
        <v>41845</v>
      </c>
      <c r="X887" t="s">
        <v>45098</v>
      </c>
    </row>
    <row r="888" spans="1:24">
      <c r="A888">
        <f>HYPERLINK("https://www.philgeps.gov.ph/GEPSNONPILOT/Tender/SplashBidNoticeAbstractUI.aspx?menuIndex=3&amp;refID=7045140&amp;Result=3","7045140")</f>
        <v>0</v>
      </c>
      <c r="B888" t="s">
        <v>395</v>
      </c>
      <c r="C888" t="s">
        <v>4041</v>
      </c>
      <c r="D888" t="s">
        <v>18050</v>
      </c>
      <c r="E888" t="s">
        <v>18951</v>
      </c>
      <c r="F888" t="s">
        <v>31574</v>
      </c>
      <c r="G888" t="s">
        <v>31585</v>
      </c>
      <c r="H888" t="s">
        <v>31590</v>
      </c>
      <c r="I888" t="s">
        <v>4327</v>
      </c>
      <c r="J888" t="s">
        <v>32430</v>
      </c>
      <c r="K888" t="s">
        <v>41196</v>
      </c>
      <c r="M888" t="s">
        <v>41886</v>
      </c>
      <c r="N888" t="s">
        <v>45095</v>
      </c>
      <c r="O888" t="s">
        <v>45096</v>
      </c>
      <c r="P888">
        <v>0</v>
      </c>
      <c r="Q888">
        <v>0</v>
      </c>
      <c r="R888" t="s">
        <v>45097</v>
      </c>
      <c r="S888" t="s">
        <v>45222</v>
      </c>
      <c r="T888" t="s">
        <v>46979</v>
      </c>
      <c r="U888" t="s">
        <v>48258</v>
      </c>
      <c r="W888" t="s">
        <v>41886</v>
      </c>
      <c r="X888" t="s">
        <v>45098</v>
      </c>
    </row>
    <row r="889" spans="1:24">
      <c r="A889">
        <f>HYPERLINK("https://www.philgeps.gov.ph/GEPSNONPILOT/Tender/SplashBidNoticeAbstractUI.aspx?menuIndex=3&amp;refID=7045142&amp;Result=3","7045142")</f>
        <v>0</v>
      </c>
      <c r="B889" t="s">
        <v>343</v>
      </c>
      <c r="C889" t="s">
        <v>4042</v>
      </c>
      <c r="D889" t="s">
        <v>18041</v>
      </c>
      <c r="E889" t="s">
        <v>18952</v>
      </c>
      <c r="F889" t="s">
        <v>31576</v>
      </c>
      <c r="G889" t="s">
        <v>31584</v>
      </c>
      <c r="H889" t="s">
        <v>31590</v>
      </c>
      <c r="I889" t="s">
        <v>31603</v>
      </c>
      <c r="J889" t="s">
        <v>32147</v>
      </c>
      <c r="K889" t="s">
        <v>41211</v>
      </c>
      <c r="M889" t="s">
        <v>41831</v>
      </c>
      <c r="N889" t="s">
        <v>45095</v>
      </c>
      <c r="O889" t="s">
        <v>45096</v>
      </c>
      <c r="P889">
        <v>0</v>
      </c>
      <c r="Q889">
        <v>0</v>
      </c>
      <c r="R889" t="s">
        <v>45097</v>
      </c>
      <c r="S889" t="s">
        <v>45222</v>
      </c>
      <c r="T889" t="s">
        <v>46935</v>
      </c>
      <c r="U889" t="s">
        <v>48259</v>
      </c>
      <c r="W889" t="s">
        <v>41831</v>
      </c>
      <c r="X889" t="s">
        <v>45098</v>
      </c>
    </row>
    <row r="890" spans="1:24">
      <c r="A890">
        <f>HYPERLINK("https://www.philgeps.gov.ph/GEPSNONPILOT/Tender/SplashBidNoticeAbstractUI.aspx?menuIndex=3&amp;refID=7045160&amp;Result=3","7045160")</f>
        <v>0</v>
      </c>
      <c r="B890" t="s">
        <v>291</v>
      </c>
      <c r="C890" t="s">
        <v>4043</v>
      </c>
      <c r="D890" t="s">
        <v>18091</v>
      </c>
      <c r="E890" t="s">
        <v>18953</v>
      </c>
      <c r="F890" t="s">
        <v>31574</v>
      </c>
      <c r="G890" t="s">
        <v>31581</v>
      </c>
      <c r="H890" t="s">
        <v>31590</v>
      </c>
      <c r="I890" t="s">
        <v>31602</v>
      </c>
      <c r="J890" t="s">
        <v>31845</v>
      </c>
      <c r="K890" t="s">
        <v>41189</v>
      </c>
      <c r="M890" t="s">
        <v>41777</v>
      </c>
      <c r="N890" t="s">
        <v>45095</v>
      </c>
      <c r="O890" t="s">
        <v>45096</v>
      </c>
      <c r="P890">
        <v>0</v>
      </c>
      <c r="Q890">
        <v>0</v>
      </c>
      <c r="R890" t="s">
        <v>45097</v>
      </c>
      <c r="S890" t="s">
        <v>45222</v>
      </c>
      <c r="T890" t="s">
        <v>46926</v>
      </c>
      <c r="U890" t="s">
        <v>48174</v>
      </c>
      <c r="V890" t="s">
        <v>59918</v>
      </c>
      <c r="W890" t="s">
        <v>41777</v>
      </c>
      <c r="X890" t="s">
        <v>45098</v>
      </c>
    </row>
    <row r="891" spans="1:24">
      <c r="A891">
        <f>HYPERLINK("https://www.philgeps.gov.ph/GEPSNONPILOT/Tender/SplashBidNoticeAbstractUI.aspx?menuIndex=3&amp;refID=7045147&amp;Result=3","7045147")</f>
        <v>0</v>
      </c>
      <c r="B891" t="s">
        <v>396</v>
      </c>
      <c r="C891" t="s">
        <v>4044</v>
      </c>
      <c r="D891" t="s">
        <v>18039</v>
      </c>
      <c r="E891" t="s">
        <v>18533</v>
      </c>
      <c r="F891" t="s">
        <v>31574</v>
      </c>
      <c r="G891" t="s">
        <v>31583</v>
      </c>
      <c r="H891" t="s">
        <v>31590</v>
      </c>
      <c r="I891" t="s">
        <v>3487</v>
      </c>
      <c r="J891" t="s">
        <v>32431</v>
      </c>
      <c r="K891" t="s">
        <v>41193</v>
      </c>
      <c r="M891" t="s">
        <v>41887</v>
      </c>
      <c r="N891" t="s">
        <v>45095</v>
      </c>
      <c r="O891" t="s">
        <v>45096</v>
      </c>
      <c r="P891">
        <v>0</v>
      </c>
      <c r="Q891">
        <v>0</v>
      </c>
      <c r="R891" t="s">
        <v>45097</v>
      </c>
      <c r="S891" t="s">
        <v>45222</v>
      </c>
      <c r="T891" t="s">
        <v>46985</v>
      </c>
      <c r="U891" t="s">
        <v>48260</v>
      </c>
      <c r="W891" t="s">
        <v>41887</v>
      </c>
      <c r="X891" t="s">
        <v>45098</v>
      </c>
    </row>
    <row r="892" spans="1:24">
      <c r="A892">
        <f>HYPERLINK("https://www.philgeps.gov.ph/GEPSNONPILOT/Tender/SplashBidNoticeAbstractUI.aspx?menuIndex=3&amp;refID=7045155&amp;Result=3","7045155")</f>
        <v>0</v>
      </c>
      <c r="B892" t="s">
        <v>396</v>
      </c>
      <c r="C892" t="s">
        <v>4045</v>
      </c>
      <c r="D892" t="s">
        <v>18039</v>
      </c>
      <c r="E892" t="s">
        <v>18574</v>
      </c>
      <c r="F892" t="s">
        <v>31574</v>
      </c>
      <c r="G892" t="s">
        <v>31583</v>
      </c>
      <c r="H892" t="s">
        <v>31590</v>
      </c>
      <c r="I892" t="s">
        <v>14034</v>
      </c>
      <c r="J892" t="s">
        <v>32012</v>
      </c>
      <c r="K892" t="s">
        <v>41193</v>
      </c>
      <c r="M892" t="s">
        <v>41887</v>
      </c>
      <c r="N892" t="s">
        <v>45095</v>
      </c>
      <c r="O892" t="s">
        <v>45096</v>
      </c>
      <c r="P892">
        <v>0</v>
      </c>
      <c r="Q892">
        <v>0</v>
      </c>
      <c r="R892" t="s">
        <v>45097</v>
      </c>
      <c r="S892" t="s">
        <v>45222</v>
      </c>
      <c r="T892" t="s">
        <v>46985</v>
      </c>
      <c r="U892" t="s">
        <v>48261</v>
      </c>
      <c r="W892" t="s">
        <v>41887</v>
      </c>
      <c r="X892" t="s">
        <v>45098</v>
      </c>
    </row>
    <row r="893" spans="1:24">
      <c r="A893">
        <f>HYPERLINK("https://www.philgeps.gov.ph/GEPSNONPILOT/Tender/SplashBidNoticeAbstractUI.aspx?menuIndex=3&amp;refID=7045152&amp;Result=3","7045152")</f>
        <v>0</v>
      </c>
      <c r="B893" t="s">
        <v>233</v>
      </c>
      <c r="C893" t="s">
        <v>4046</v>
      </c>
      <c r="D893" t="s">
        <v>18052</v>
      </c>
      <c r="E893" t="s">
        <v>18954</v>
      </c>
      <c r="F893" t="s">
        <v>31574</v>
      </c>
      <c r="G893" t="s">
        <v>31582</v>
      </c>
      <c r="H893" t="s">
        <v>31591</v>
      </c>
      <c r="I893" t="s">
        <v>4046</v>
      </c>
      <c r="J893" t="s">
        <v>32432</v>
      </c>
      <c r="K893" t="s">
        <v>41190</v>
      </c>
      <c r="M893" t="s">
        <v>41718</v>
      </c>
      <c r="N893" t="s">
        <v>45095</v>
      </c>
      <c r="O893" t="s">
        <v>45096</v>
      </c>
      <c r="P893">
        <v>0</v>
      </c>
      <c r="Q893">
        <v>0</v>
      </c>
      <c r="R893" t="s">
        <v>45097</v>
      </c>
      <c r="S893" t="s">
        <v>45222</v>
      </c>
      <c r="T893" t="s">
        <v>46916</v>
      </c>
      <c r="U893" t="s">
        <v>48262</v>
      </c>
      <c r="W893" t="s">
        <v>41718</v>
      </c>
      <c r="X893" t="s">
        <v>45098</v>
      </c>
    </row>
    <row r="894" spans="1:24">
      <c r="A894">
        <f>HYPERLINK("https://www.philgeps.gov.ph/GEPSNONPILOT/Tender/SplashBidNoticeAbstractUI.aspx?menuIndex=3&amp;refID=7045161&amp;Result=3","7045161")</f>
        <v>0</v>
      </c>
      <c r="B894" t="s">
        <v>396</v>
      </c>
      <c r="C894" t="s">
        <v>4047</v>
      </c>
      <c r="D894" t="s">
        <v>18039</v>
      </c>
      <c r="E894" t="s">
        <v>18151</v>
      </c>
      <c r="F894" t="s">
        <v>31574</v>
      </c>
      <c r="G894" t="s">
        <v>31583</v>
      </c>
      <c r="H894" t="s">
        <v>31590</v>
      </c>
      <c r="I894" t="s">
        <v>31657</v>
      </c>
      <c r="J894" t="s">
        <v>32131</v>
      </c>
      <c r="K894" t="s">
        <v>41193</v>
      </c>
      <c r="M894" t="s">
        <v>41887</v>
      </c>
      <c r="N894" t="s">
        <v>45095</v>
      </c>
      <c r="O894" t="s">
        <v>45096</v>
      </c>
      <c r="P894">
        <v>0</v>
      </c>
      <c r="Q894">
        <v>0</v>
      </c>
      <c r="R894" t="s">
        <v>45097</v>
      </c>
      <c r="S894" t="s">
        <v>45222</v>
      </c>
      <c r="T894" t="s">
        <v>46985</v>
      </c>
      <c r="U894" t="s">
        <v>48263</v>
      </c>
      <c r="W894" t="s">
        <v>41887</v>
      </c>
      <c r="X894" t="s">
        <v>45098</v>
      </c>
    </row>
    <row r="895" spans="1:24">
      <c r="A895">
        <f>HYPERLINK("https://www.philgeps.gov.ph/GEPSNONPILOT/Tender/SplashBidNoticeAbstractUI.aspx?menuIndex=3&amp;refID=7045151&amp;Result=3","7045151")</f>
        <v>0</v>
      </c>
      <c r="B895" t="s">
        <v>353</v>
      </c>
      <c r="C895" t="s">
        <v>4048</v>
      </c>
      <c r="D895" t="s">
        <v>18068</v>
      </c>
      <c r="E895" t="s">
        <v>18955</v>
      </c>
      <c r="F895" t="s">
        <v>31574</v>
      </c>
      <c r="G895" t="s">
        <v>31582</v>
      </c>
      <c r="H895" t="s">
        <v>31590</v>
      </c>
      <c r="I895" t="s">
        <v>8258</v>
      </c>
      <c r="J895" t="s">
        <v>32433</v>
      </c>
      <c r="K895" t="s">
        <v>41186</v>
      </c>
      <c r="M895" t="s">
        <v>41842</v>
      </c>
      <c r="N895" t="s">
        <v>45095</v>
      </c>
      <c r="O895" t="s">
        <v>45096</v>
      </c>
      <c r="P895">
        <v>0</v>
      </c>
      <c r="Q895">
        <v>0</v>
      </c>
      <c r="R895" t="s">
        <v>45097</v>
      </c>
      <c r="S895" t="s">
        <v>45222</v>
      </c>
      <c r="T895" t="s">
        <v>46908</v>
      </c>
      <c r="U895" t="s">
        <v>48264</v>
      </c>
      <c r="V895" t="s">
        <v>59927</v>
      </c>
      <c r="W895" t="s">
        <v>41842</v>
      </c>
      <c r="X895" t="s">
        <v>45098</v>
      </c>
    </row>
    <row r="896" spans="1:24">
      <c r="A896">
        <f>HYPERLINK("https://www.philgeps.gov.ph/GEPSNONPILOT/Tender/SplashBidNoticeAbstractUI.aspx?menuIndex=3&amp;refID=7045153&amp;Result=3","7045153")</f>
        <v>0</v>
      </c>
      <c r="B896" t="s">
        <v>191</v>
      </c>
      <c r="C896" t="s">
        <v>4049</v>
      </c>
      <c r="D896" t="s">
        <v>18082</v>
      </c>
      <c r="E896" t="s">
        <v>18956</v>
      </c>
      <c r="F896" t="s">
        <v>31574</v>
      </c>
      <c r="G896" t="s">
        <v>31582</v>
      </c>
      <c r="H896" t="s">
        <v>31591</v>
      </c>
      <c r="I896" t="s">
        <v>8822</v>
      </c>
      <c r="J896" t="s">
        <v>31819</v>
      </c>
      <c r="K896" t="s">
        <v>41184</v>
      </c>
      <c r="M896" t="s">
        <v>41676</v>
      </c>
      <c r="N896" t="s">
        <v>45095</v>
      </c>
      <c r="O896" t="s">
        <v>45096</v>
      </c>
      <c r="P896">
        <v>0</v>
      </c>
      <c r="Q896">
        <v>0</v>
      </c>
      <c r="R896" t="s">
        <v>45097</v>
      </c>
      <c r="S896" t="s">
        <v>45222</v>
      </c>
      <c r="T896" t="s">
        <v>46924</v>
      </c>
      <c r="U896" t="s">
        <v>47828</v>
      </c>
      <c r="W896" t="s">
        <v>41676</v>
      </c>
      <c r="X896" t="s">
        <v>45098</v>
      </c>
    </row>
    <row r="897" spans="1:24">
      <c r="A897">
        <f>HYPERLINK("https://www.philgeps.gov.ph/GEPSNONPILOT/Tender/SplashBidNoticeAbstractUI.aspx?menuIndex=3&amp;refID=7045156&amp;Result=3","7045156")</f>
        <v>0</v>
      </c>
      <c r="B897" t="s">
        <v>397</v>
      </c>
      <c r="C897" t="s">
        <v>4050</v>
      </c>
      <c r="D897" t="s">
        <v>18040</v>
      </c>
      <c r="E897" t="s">
        <v>18957</v>
      </c>
      <c r="F897" t="s">
        <v>31574</v>
      </c>
      <c r="G897" t="s">
        <v>31581</v>
      </c>
      <c r="H897" t="s">
        <v>31590</v>
      </c>
      <c r="I897" t="s">
        <v>8258</v>
      </c>
      <c r="J897" t="s">
        <v>32434</v>
      </c>
      <c r="K897" t="s">
        <v>41184</v>
      </c>
      <c r="M897" t="s">
        <v>41888</v>
      </c>
      <c r="N897" t="s">
        <v>45095</v>
      </c>
      <c r="O897" t="s">
        <v>45096</v>
      </c>
      <c r="P897">
        <v>0</v>
      </c>
      <c r="Q897">
        <v>0</v>
      </c>
      <c r="R897" t="s">
        <v>45097</v>
      </c>
      <c r="S897" t="s">
        <v>45222</v>
      </c>
      <c r="T897" t="s">
        <v>46911</v>
      </c>
      <c r="U897" t="s">
        <v>48265</v>
      </c>
      <c r="W897" t="s">
        <v>41888</v>
      </c>
      <c r="X897" t="s">
        <v>45098</v>
      </c>
    </row>
    <row r="898" spans="1:24">
      <c r="A898">
        <f>HYPERLINK("https://www.philgeps.gov.ph/GEPSNONPILOT/Tender/SplashBidNoticeAbstractUI.aspx?menuIndex=3&amp;refID=7045146&amp;Result=3","7045146")</f>
        <v>0</v>
      </c>
      <c r="B898" t="s">
        <v>398</v>
      </c>
      <c r="C898" t="s">
        <v>4051</v>
      </c>
      <c r="D898" t="s">
        <v>18044</v>
      </c>
      <c r="E898" t="s">
        <v>18958</v>
      </c>
      <c r="F898" t="s">
        <v>31574</v>
      </c>
      <c r="G898" t="s">
        <v>31581</v>
      </c>
      <c r="H898" t="s">
        <v>31591</v>
      </c>
      <c r="I898" t="s">
        <v>4046</v>
      </c>
      <c r="J898" t="s">
        <v>32435</v>
      </c>
      <c r="K898" t="s">
        <v>41193</v>
      </c>
      <c r="M898" t="s">
        <v>41889</v>
      </c>
      <c r="N898" t="s">
        <v>45095</v>
      </c>
      <c r="O898" t="s">
        <v>45096</v>
      </c>
      <c r="P898">
        <v>0</v>
      </c>
      <c r="Q898">
        <v>0</v>
      </c>
      <c r="R898" t="s">
        <v>45097</v>
      </c>
      <c r="S898" t="s">
        <v>45222</v>
      </c>
      <c r="T898" t="s">
        <v>46969</v>
      </c>
      <c r="U898" t="s">
        <v>48266</v>
      </c>
      <c r="W898" t="s">
        <v>41889</v>
      </c>
      <c r="X898" t="s">
        <v>45098</v>
      </c>
    </row>
    <row r="899" spans="1:24">
      <c r="A899">
        <f>HYPERLINK("https://www.philgeps.gov.ph/GEPSNONPILOT/Tender/SplashBidNoticeAbstractUI.aspx?menuIndex=3&amp;refID=7045157&amp;Result=3","7045157")</f>
        <v>0</v>
      </c>
      <c r="B899" t="s">
        <v>357</v>
      </c>
      <c r="C899" t="s">
        <v>4052</v>
      </c>
      <c r="D899" t="s">
        <v>18026</v>
      </c>
      <c r="E899" t="s">
        <v>18959</v>
      </c>
      <c r="F899" t="s">
        <v>31574</v>
      </c>
      <c r="G899" t="s">
        <v>31581</v>
      </c>
      <c r="H899" t="s">
        <v>31590</v>
      </c>
      <c r="I899" t="s">
        <v>31651</v>
      </c>
      <c r="J899" t="s">
        <v>31789</v>
      </c>
      <c r="K899" t="s">
        <v>41211</v>
      </c>
      <c r="M899" t="s">
        <v>41847</v>
      </c>
      <c r="N899" t="s">
        <v>45095</v>
      </c>
      <c r="O899" t="s">
        <v>45096</v>
      </c>
      <c r="P899">
        <v>0</v>
      </c>
      <c r="Q899">
        <v>0</v>
      </c>
      <c r="R899" t="s">
        <v>45097</v>
      </c>
      <c r="S899" t="s">
        <v>45222</v>
      </c>
      <c r="T899" t="s">
        <v>46911</v>
      </c>
      <c r="U899" t="s">
        <v>48267</v>
      </c>
      <c r="W899" t="s">
        <v>41847</v>
      </c>
      <c r="X899" t="s">
        <v>45098</v>
      </c>
    </row>
    <row r="900" spans="1:24">
      <c r="A900">
        <f>HYPERLINK("https://www.philgeps.gov.ph/GEPSNONPILOT/Tender/SplashBidNoticeAbstractUI.aspx?menuIndex=3&amp;refID=7045162&amp;Result=3","7045162")</f>
        <v>0</v>
      </c>
      <c r="B900" t="s">
        <v>399</v>
      </c>
      <c r="C900" t="s">
        <v>4053</v>
      </c>
      <c r="D900" t="s">
        <v>18094</v>
      </c>
      <c r="E900" t="s">
        <v>18960</v>
      </c>
      <c r="F900" t="s">
        <v>31574</v>
      </c>
      <c r="G900" t="s">
        <v>31581</v>
      </c>
      <c r="H900" t="s">
        <v>31590</v>
      </c>
      <c r="I900" t="s">
        <v>3487</v>
      </c>
      <c r="J900" t="s">
        <v>32436</v>
      </c>
      <c r="K900" t="s">
        <v>41213</v>
      </c>
      <c r="M900" t="s">
        <v>41890</v>
      </c>
      <c r="N900" t="s">
        <v>45095</v>
      </c>
      <c r="O900" t="s">
        <v>45096</v>
      </c>
      <c r="P900">
        <v>0</v>
      </c>
      <c r="Q900">
        <v>0</v>
      </c>
      <c r="R900" t="s">
        <v>45097</v>
      </c>
      <c r="S900" t="s">
        <v>45222</v>
      </c>
      <c r="T900" t="s">
        <v>46918</v>
      </c>
      <c r="U900" t="s">
        <v>48268</v>
      </c>
      <c r="W900" t="s">
        <v>41890</v>
      </c>
      <c r="X900" t="s">
        <v>45098</v>
      </c>
    </row>
    <row r="901" spans="1:24">
      <c r="A901">
        <f>HYPERLINK("https://www.philgeps.gov.ph/GEPSNONPILOT/Tender/SplashBidNoticeAbstractUI.aspx?menuIndex=3&amp;refID=7045150&amp;Result=3","7045150")</f>
        <v>0</v>
      </c>
      <c r="B901" t="s">
        <v>50</v>
      </c>
      <c r="C901" t="s">
        <v>4054</v>
      </c>
      <c r="D901" t="s">
        <v>18042</v>
      </c>
      <c r="E901" t="s">
        <v>18961</v>
      </c>
      <c r="F901" t="s">
        <v>31574</v>
      </c>
      <c r="G901" t="s">
        <v>31582</v>
      </c>
      <c r="H901" t="s">
        <v>31590</v>
      </c>
      <c r="I901" t="s">
        <v>3539</v>
      </c>
      <c r="J901" t="s">
        <v>32437</v>
      </c>
      <c r="K901" t="s">
        <v>41186</v>
      </c>
      <c r="M901" t="s">
        <v>41533</v>
      </c>
      <c r="N901" t="s">
        <v>45095</v>
      </c>
      <c r="O901" t="s">
        <v>45096</v>
      </c>
      <c r="P901">
        <v>0</v>
      </c>
      <c r="Q901">
        <v>0</v>
      </c>
      <c r="R901" t="s">
        <v>45097</v>
      </c>
      <c r="S901" t="s">
        <v>45222</v>
      </c>
      <c r="T901" t="s">
        <v>46916</v>
      </c>
      <c r="U901" t="s">
        <v>48269</v>
      </c>
      <c r="W901" t="s">
        <v>41533</v>
      </c>
      <c r="X901" t="s">
        <v>45098</v>
      </c>
    </row>
    <row r="902" spans="1:24">
      <c r="A902">
        <f>HYPERLINK("https://www.philgeps.gov.ph/GEPSNONPILOT/Tender/SplashBidNoticeAbstractUI.aspx?menuIndex=3&amp;refID=7045167&amp;Result=3","7045167")</f>
        <v>0</v>
      </c>
      <c r="B902" t="s">
        <v>176</v>
      </c>
      <c r="C902" t="s">
        <v>4055</v>
      </c>
      <c r="D902" t="s">
        <v>18059</v>
      </c>
      <c r="E902" t="s">
        <v>18962</v>
      </c>
      <c r="F902" t="s">
        <v>31574</v>
      </c>
      <c r="G902" t="s">
        <v>31581</v>
      </c>
      <c r="H902" t="s">
        <v>31590</v>
      </c>
      <c r="I902" t="s">
        <v>8822</v>
      </c>
      <c r="J902" t="s">
        <v>32438</v>
      </c>
      <c r="K902" t="s">
        <v>41193</v>
      </c>
      <c r="M902" t="s">
        <v>41660</v>
      </c>
      <c r="N902" t="s">
        <v>45095</v>
      </c>
      <c r="O902" t="s">
        <v>45096</v>
      </c>
      <c r="P902">
        <v>0</v>
      </c>
      <c r="Q902">
        <v>0</v>
      </c>
      <c r="R902" t="s">
        <v>45097</v>
      </c>
      <c r="S902" t="s">
        <v>45222</v>
      </c>
      <c r="T902" t="s">
        <v>47026</v>
      </c>
      <c r="U902" t="s">
        <v>48270</v>
      </c>
      <c r="W902" t="s">
        <v>41660</v>
      </c>
      <c r="X902" t="s">
        <v>45098</v>
      </c>
    </row>
    <row r="903" spans="1:24">
      <c r="A903">
        <f>HYPERLINK("https://www.philgeps.gov.ph/GEPSNONPILOT/Tender/SplashBidNoticeAbstractUI.aspx?menuIndex=3&amp;refID=7045149&amp;Result=3","7045149")</f>
        <v>0</v>
      </c>
      <c r="B903" t="s">
        <v>288</v>
      </c>
      <c r="C903" t="s">
        <v>4056</v>
      </c>
      <c r="D903" t="s">
        <v>18075</v>
      </c>
      <c r="E903" t="s">
        <v>18963</v>
      </c>
      <c r="F903" t="s">
        <v>31574</v>
      </c>
      <c r="G903" t="s">
        <v>31581</v>
      </c>
      <c r="H903" t="s">
        <v>31590</v>
      </c>
      <c r="I903" t="s">
        <v>31608</v>
      </c>
      <c r="J903" t="s">
        <v>31848</v>
      </c>
      <c r="K903" t="s">
        <v>41190</v>
      </c>
      <c r="M903" t="s">
        <v>41774</v>
      </c>
      <c r="N903" t="s">
        <v>45095</v>
      </c>
      <c r="O903" t="s">
        <v>45096</v>
      </c>
      <c r="P903">
        <v>0</v>
      </c>
      <c r="Q903">
        <v>0</v>
      </c>
      <c r="R903" t="s">
        <v>45097</v>
      </c>
      <c r="S903" t="s">
        <v>45222</v>
      </c>
      <c r="T903" t="s">
        <v>47006</v>
      </c>
      <c r="U903" t="s">
        <v>48028</v>
      </c>
      <c r="W903" t="s">
        <v>41774</v>
      </c>
      <c r="X903" t="s">
        <v>45098</v>
      </c>
    </row>
    <row r="904" spans="1:24">
      <c r="A904">
        <f>HYPERLINK("https://www.philgeps.gov.ph/GEPSNONPILOT/Tender/SplashBidNoticeAbstractUI.aspx?menuIndex=3&amp;refID=7045163&amp;Result=3","7045163")</f>
        <v>0</v>
      </c>
      <c r="B904" t="s">
        <v>281</v>
      </c>
      <c r="C904" t="s">
        <v>4057</v>
      </c>
      <c r="D904" t="s">
        <v>18041</v>
      </c>
      <c r="E904" t="s">
        <v>18964</v>
      </c>
      <c r="F904" t="s">
        <v>31574</v>
      </c>
      <c r="G904" t="s">
        <v>31581</v>
      </c>
      <c r="H904" t="s">
        <v>31590</v>
      </c>
      <c r="I904" t="s">
        <v>31630</v>
      </c>
      <c r="J904" t="s">
        <v>32439</v>
      </c>
      <c r="K904" t="s">
        <v>41186</v>
      </c>
      <c r="M904" t="s">
        <v>41767</v>
      </c>
      <c r="N904" t="s">
        <v>45095</v>
      </c>
      <c r="O904" t="s">
        <v>45096</v>
      </c>
      <c r="P904">
        <v>0</v>
      </c>
      <c r="Q904">
        <v>0</v>
      </c>
      <c r="R904" t="s">
        <v>45097</v>
      </c>
      <c r="S904" t="s">
        <v>45222</v>
      </c>
      <c r="T904" t="s">
        <v>46910</v>
      </c>
      <c r="U904" t="s">
        <v>48118</v>
      </c>
      <c r="W904" t="s">
        <v>41767</v>
      </c>
      <c r="X904" t="s">
        <v>45098</v>
      </c>
    </row>
    <row r="905" spans="1:24">
      <c r="A905">
        <f>HYPERLINK("https://www.philgeps.gov.ph/GEPSNONPILOT/Tender/SplashBidNoticeAbstractUI.aspx?menuIndex=3&amp;refID=7045171&amp;Result=3","7045171")</f>
        <v>0</v>
      </c>
      <c r="B905" t="s">
        <v>400</v>
      </c>
      <c r="C905" t="s">
        <v>3328</v>
      </c>
      <c r="D905" t="s">
        <v>18044</v>
      </c>
      <c r="E905" t="s">
        <v>18965</v>
      </c>
      <c r="F905" t="s">
        <v>31574</v>
      </c>
      <c r="G905" t="s">
        <v>31581</v>
      </c>
      <c r="H905" t="s">
        <v>31590</v>
      </c>
      <c r="I905" t="s">
        <v>6800</v>
      </c>
      <c r="J905" t="s">
        <v>32066</v>
      </c>
      <c r="K905" t="s">
        <v>41211</v>
      </c>
      <c r="M905" t="s">
        <v>41891</v>
      </c>
      <c r="N905" t="s">
        <v>45095</v>
      </c>
      <c r="O905" t="s">
        <v>45096</v>
      </c>
      <c r="P905">
        <v>0</v>
      </c>
      <c r="Q905">
        <v>0</v>
      </c>
      <c r="R905" t="s">
        <v>45097</v>
      </c>
      <c r="S905" t="s">
        <v>45222</v>
      </c>
      <c r="T905" t="s">
        <v>46918</v>
      </c>
      <c r="U905" t="s">
        <v>48271</v>
      </c>
      <c r="W905" t="s">
        <v>41891</v>
      </c>
      <c r="X905" t="s">
        <v>45098</v>
      </c>
    </row>
    <row r="906" spans="1:24">
      <c r="A906">
        <f>HYPERLINK("https://www.philgeps.gov.ph/GEPSNONPILOT/Tender/SplashBidNoticeAbstractUI.aspx?menuIndex=3&amp;refID=7045164&amp;Result=3","7045164")</f>
        <v>0</v>
      </c>
      <c r="B906" t="s">
        <v>369</v>
      </c>
      <c r="C906" t="s">
        <v>4058</v>
      </c>
      <c r="D906" t="s">
        <v>18063</v>
      </c>
      <c r="E906" t="s">
        <v>18966</v>
      </c>
      <c r="F906" t="s">
        <v>31574</v>
      </c>
      <c r="G906" t="s">
        <v>31581</v>
      </c>
      <c r="H906" t="s">
        <v>31590</v>
      </c>
      <c r="I906" t="s">
        <v>4046</v>
      </c>
      <c r="J906" t="s">
        <v>32440</v>
      </c>
      <c r="K906" t="s">
        <v>41196</v>
      </c>
      <c r="M906" t="s">
        <v>41859</v>
      </c>
      <c r="N906" t="s">
        <v>45095</v>
      </c>
      <c r="O906" t="s">
        <v>45096</v>
      </c>
      <c r="P906">
        <v>0</v>
      </c>
      <c r="Q906">
        <v>0</v>
      </c>
      <c r="R906" t="s">
        <v>45097</v>
      </c>
      <c r="S906" t="s">
        <v>45222</v>
      </c>
      <c r="T906" t="s">
        <v>46911</v>
      </c>
      <c r="U906" t="s">
        <v>48200</v>
      </c>
      <c r="W906" t="s">
        <v>61666</v>
      </c>
      <c r="X906" t="s">
        <v>45098</v>
      </c>
    </row>
    <row r="907" spans="1:24">
      <c r="A907">
        <f>HYPERLINK("https://www.philgeps.gov.ph/GEPSNONPILOT/Tender/SplashBidNoticeAbstractUI.aspx?menuIndex=3&amp;refID=7045181&amp;Result=3","7045181")</f>
        <v>0</v>
      </c>
      <c r="B907" t="s">
        <v>401</v>
      </c>
      <c r="C907" t="s">
        <v>4059</v>
      </c>
      <c r="D907" t="s">
        <v>18052</v>
      </c>
      <c r="E907" t="s">
        <v>18967</v>
      </c>
      <c r="F907" t="s">
        <v>31574</v>
      </c>
      <c r="G907" t="s">
        <v>31581</v>
      </c>
      <c r="H907" t="s">
        <v>31590</v>
      </c>
      <c r="I907" t="s">
        <v>31658</v>
      </c>
      <c r="J907" t="s">
        <v>32441</v>
      </c>
      <c r="K907" t="s">
        <v>41196</v>
      </c>
      <c r="M907" t="s">
        <v>41892</v>
      </c>
      <c r="N907" t="s">
        <v>45095</v>
      </c>
      <c r="O907" t="s">
        <v>45096</v>
      </c>
      <c r="P907">
        <v>0</v>
      </c>
      <c r="Q907">
        <v>0</v>
      </c>
      <c r="R907" t="s">
        <v>45097</v>
      </c>
      <c r="S907" t="s">
        <v>45222</v>
      </c>
      <c r="T907" t="s">
        <v>46926</v>
      </c>
      <c r="U907" t="s">
        <v>48272</v>
      </c>
      <c r="W907" t="s">
        <v>41892</v>
      </c>
      <c r="X907" t="s">
        <v>45098</v>
      </c>
    </row>
    <row r="908" spans="1:24">
      <c r="A908">
        <f>HYPERLINK("https://www.philgeps.gov.ph/GEPSNONPILOT/Tender/SplashBidNoticeAbstractUI.aspx?menuIndex=3&amp;refID=7045182&amp;Result=3","7045182")</f>
        <v>0</v>
      </c>
      <c r="B908" t="s">
        <v>402</v>
      </c>
      <c r="C908" t="s">
        <v>4060</v>
      </c>
      <c r="D908" t="s">
        <v>18078</v>
      </c>
      <c r="E908" t="s">
        <v>18968</v>
      </c>
      <c r="F908" t="s">
        <v>31574</v>
      </c>
      <c r="G908" t="s">
        <v>31582</v>
      </c>
      <c r="H908" t="s">
        <v>31591</v>
      </c>
      <c r="I908" t="s">
        <v>8822</v>
      </c>
      <c r="J908" t="s">
        <v>32019</v>
      </c>
      <c r="K908" t="s">
        <v>41240</v>
      </c>
      <c r="M908" t="s">
        <v>41893</v>
      </c>
      <c r="N908" t="s">
        <v>45095</v>
      </c>
      <c r="O908" t="s">
        <v>45096</v>
      </c>
      <c r="P908">
        <v>0</v>
      </c>
      <c r="Q908">
        <v>0</v>
      </c>
      <c r="R908" t="s">
        <v>45097</v>
      </c>
      <c r="S908" t="s">
        <v>45222</v>
      </c>
      <c r="T908" t="s">
        <v>47027</v>
      </c>
      <c r="U908" t="s">
        <v>48273</v>
      </c>
      <c r="W908" t="s">
        <v>41893</v>
      </c>
      <c r="X908" t="s">
        <v>45098</v>
      </c>
    </row>
    <row r="909" spans="1:24">
      <c r="A909">
        <f>HYPERLINK("https://www.philgeps.gov.ph/GEPSNONPILOT/Tender/SplashBidNoticeAbstractUI.aspx?menuIndex=3&amp;refID=7045179&amp;Result=3","7045179")</f>
        <v>0</v>
      </c>
      <c r="B909" t="s">
        <v>403</v>
      </c>
      <c r="C909" t="s">
        <v>4061</v>
      </c>
      <c r="D909" t="s">
        <v>18033</v>
      </c>
      <c r="E909" t="s">
        <v>18969</v>
      </c>
      <c r="F909" t="s">
        <v>31575</v>
      </c>
      <c r="G909" t="s">
        <v>31582</v>
      </c>
      <c r="H909" t="s">
        <v>31590</v>
      </c>
      <c r="I909" t="s">
        <v>31625</v>
      </c>
      <c r="J909" t="s">
        <v>32442</v>
      </c>
      <c r="K909" t="s">
        <v>41186</v>
      </c>
      <c r="M909" t="s">
        <v>41894</v>
      </c>
      <c r="N909" t="s">
        <v>45095</v>
      </c>
      <c r="O909" t="s">
        <v>45096</v>
      </c>
      <c r="P909">
        <v>0</v>
      </c>
      <c r="Q909">
        <v>0</v>
      </c>
      <c r="R909" t="s">
        <v>45097</v>
      </c>
      <c r="S909" t="s">
        <v>45222</v>
      </c>
      <c r="T909" t="s">
        <v>47028</v>
      </c>
      <c r="U909" t="s">
        <v>48274</v>
      </c>
      <c r="W909" t="s">
        <v>41894</v>
      </c>
      <c r="X909" t="s">
        <v>45098</v>
      </c>
    </row>
    <row r="910" spans="1:24">
      <c r="A910">
        <f>HYPERLINK("https://www.philgeps.gov.ph/GEPSNONPILOT/Tender/SplashBidNoticeAbstractUI.aspx?menuIndex=3&amp;refID=7045176&amp;Result=3","7045176")</f>
        <v>0</v>
      </c>
      <c r="B910" t="s">
        <v>404</v>
      </c>
      <c r="C910" t="s">
        <v>4062</v>
      </c>
      <c r="D910" t="s">
        <v>18079</v>
      </c>
      <c r="E910" t="s">
        <v>18970</v>
      </c>
      <c r="F910" t="s">
        <v>31574</v>
      </c>
      <c r="G910" t="s">
        <v>31581</v>
      </c>
      <c r="H910" t="s">
        <v>31590</v>
      </c>
      <c r="I910" t="s">
        <v>31612</v>
      </c>
      <c r="J910" t="s">
        <v>32068</v>
      </c>
      <c r="K910" t="s">
        <v>41211</v>
      </c>
      <c r="M910" t="s">
        <v>41895</v>
      </c>
      <c r="N910" t="s">
        <v>45095</v>
      </c>
      <c r="O910" t="s">
        <v>45096</v>
      </c>
      <c r="P910">
        <v>0</v>
      </c>
      <c r="Q910">
        <v>0</v>
      </c>
      <c r="R910" t="s">
        <v>45097</v>
      </c>
      <c r="S910" t="s">
        <v>45222</v>
      </c>
      <c r="T910" t="s">
        <v>46946</v>
      </c>
      <c r="U910" t="s">
        <v>48275</v>
      </c>
      <c r="W910" t="s">
        <v>41895</v>
      </c>
      <c r="X910" t="s">
        <v>45098</v>
      </c>
    </row>
    <row r="911" spans="1:24">
      <c r="A911">
        <f>HYPERLINK("https://www.philgeps.gov.ph/GEPSNONPILOT/Tender/SplashBidNoticeAbstractUI.aspx?menuIndex=3&amp;refID=7045180&amp;Result=3","7045180")</f>
        <v>0</v>
      </c>
      <c r="B911" t="s">
        <v>231</v>
      </c>
      <c r="C911" t="s">
        <v>4063</v>
      </c>
      <c r="D911" t="s">
        <v>18088</v>
      </c>
      <c r="E911" t="s">
        <v>18971</v>
      </c>
      <c r="F911" t="s">
        <v>31574</v>
      </c>
      <c r="G911" t="s">
        <v>31582</v>
      </c>
      <c r="H911" t="s">
        <v>31591</v>
      </c>
      <c r="I911" t="s">
        <v>8822</v>
      </c>
      <c r="J911" t="s">
        <v>32443</v>
      </c>
      <c r="K911" t="s">
        <v>41241</v>
      </c>
      <c r="M911" t="s">
        <v>41716</v>
      </c>
      <c r="N911" t="s">
        <v>45095</v>
      </c>
      <c r="O911" t="s">
        <v>45096</v>
      </c>
      <c r="P911">
        <v>0</v>
      </c>
      <c r="Q911">
        <v>0</v>
      </c>
      <c r="R911" t="s">
        <v>45097</v>
      </c>
      <c r="S911" t="s">
        <v>45222</v>
      </c>
      <c r="T911" t="s">
        <v>46916</v>
      </c>
      <c r="U911" t="s">
        <v>48276</v>
      </c>
      <c r="W911" t="s">
        <v>41716</v>
      </c>
      <c r="X911" t="s">
        <v>45098</v>
      </c>
    </row>
    <row r="912" spans="1:24">
      <c r="A912">
        <f>HYPERLINK("https://www.philgeps.gov.ph/GEPSNONPILOT/Tender/SplashBidNoticeAbstractUI.aspx?menuIndex=3&amp;refID=7045172&amp;Result=3","7045172")</f>
        <v>0</v>
      </c>
      <c r="B912" t="s">
        <v>405</v>
      </c>
      <c r="C912" t="s">
        <v>4064</v>
      </c>
      <c r="D912" t="s">
        <v>18036</v>
      </c>
      <c r="E912" t="s">
        <v>18972</v>
      </c>
      <c r="F912" t="s">
        <v>31574</v>
      </c>
      <c r="G912" t="s">
        <v>31582</v>
      </c>
      <c r="H912" t="s">
        <v>31590</v>
      </c>
      <c r="I912" t="s">
        <v>8258</v>
      </c>
      <c r="J912" t="s">
        <v>32444</v>
      </c>
      <c r="K912" t="s">
        <v>41184</v>
      </c>
      <c r="M912" t="s">
        <v>41896</v>
      </c>
      <c r="N912" t="s">
        <v>45095</v>
      </c>
      <c r="O912" t="s">
        <v>45096</v>
      </c>
      <c r="P912">
        <v>0</v>
      </c>
      <c r="Q912">
        <v>0</v>
      </c>
      <c r="R912" t="s">
        <v>45097</v>
      </c>
      <c r="S912" t="s">
        <v>45222</v>
      </c>
      <c r="T912" t="s">
        <v>46984</v>
      </c>
      <c r="U912" t="s">
        <v>48277</v>
      </c>
      <c r="W912" t="s">
        <v>41896</v>
      </c>
      <c r="X912" t="s">
        <v>45098</v>
      </c>
    </row>
    <row r="913" spans="1:24">
      <c r="A913">
        <f>HYPERLINK("https://www.philgeps.gov.ph/GEPSNONPILOT/Tender/SplashBidNoticeAbstractUI.aspx?menuIndex=3&amp;refID=7045177&amp;Result=3","7045177")</f>
        <v>0</v>
      </c>
      <c r="B913" t="s">
        <v>58</v>
      </c>
      <c r="C913" t="s">
        <v>4065</v>
      </c>
      <c r="D913" t="s">
        <v>18047</v>
      </c>
      <c r="E913" t="s">
        <v>18973</v>
      </c>
      <c r="F913" t="s">
        <v>31574</v>
      </c>
      <c r="G913" t="s">
        <v>31582</v>
      </c>
      <c r="H913" t="s">
        <v>31590</v>
      </c>
      <c r="I913" t="s">
        <v>31602</v>
      </c>
      <c r="J913" t="s">
        <v>32445</v>
      </c>
      <c r="K913" t="s">
        <v>41193</v>
      </c>
      <c r="M913" t="s">
        <v>41542</v>
      </c>
      <c r="N913" t="s">
        <v>45095</v>
      </c>
      <c r="O913" t="s">
        <v>45096</v>
      </c>
      <c r="P913">
        <v>0</v>
      </c>
      <c r="Q913">
        <v>0</v>
      </c>
      <c r="R913" t="s">
        <v>45097</v>
      </c>
      <c r="S913" t="s">
        <v>45222</v>
      </c>
      <c r="T913" t="s">
        <v>47029</v>
      </c>
      <c r="U913" t="s">
        <v>48278</v>
      </c>
      <c r="V913" t="s">
        <v>59855</v>
      </c>
      <c r="W913" t="s">
        <v>41542</v>
      </c>
      <c r="X913" t="s">
        <v>45098</v>
      </c>
    </row>
    <row r="914" spans="1:24">
      <c r="A914">
        <f>HYPERLINK("https://www.philgeps.gov.ph/GEPSNONPILOT/Tender/SplashBidNoticeAbstractUI.aspx?menuIndex=3&amp;refID=7045187&amp;Result=3","7045187")</f>
        <v>0</v>
      </c>
      <c r="B914" t="s">
        <v>353</v>
      </c>
      <c r="C914" t="s">
        <v>4066</v>
      </c>
      <c r="D914" t="s">
        <v>18051</v>
      </c>
      <c r="E914" t="s">
        <v>18974</v>
      </c>
      <c r="F914" t="s">
        <v>31577</v>
      </c>
      <c r="G914" t="s">
        <v>31581</v>
      </c>
      <c r="H914" t="s">
        <v>31593</v>
      </c>
      <c r="I914" t="s">
        <v>31623</v>
      </c>
      <c r="J914" t="s">
        <v>32446</v>
      </c>
      <c r="K914" t="s">
        <v>41186</v>
      </c>
      <c r="M914" t="s">
        <v>41842</v>
      </c>
      <c r="N914" t="s">
        <v>45095</v>
      </c>
      <c r="O914" t="s">
        <v>45096</v>
      </c>
      <c r="P914">
        <v>0</v>
      </c>
      <c r="Q914">
        <v>0</v>
      </c>
      <c r="R914" t="s">
        <v>45097</v>
      </c>
      <c r="S914" t="s">
        <v>45222</v>
      </c>
      <c r="T914" t="s">
        <v>47030</v>
      </c>
      <c r="U914" t="s">
        <v>48279</v>
      </c>
      <c r="V914" t="s">
        <v>59927</v>
      </c>
      <c r="W914" t="s">
        <v>41842</v>
      </c>
      <c r="X914" t="s">
        <v>45098</v>
      </c>
    </row>
    <row r="915" spans="1:24">
      <c r="A915">
        <f>HYPERLINK("https://www.philgeps.gov.ph/GEPSNONPILOT/Tender/SplashBidNoticeAbstractUI.aspx?menuIndex=3&amp;refID=7045173&amp;Result=3","7045173")</f>
        <v>0</v>
      </c>
      <c r="B915" t="s">
        <v>406</v>
      </c>
      <c r="C915" t="s">
        <v>4047</v>
      </c>
      <c r="D915" t="s">
        <v>18039</v>
      </c>
      <c r="E915" t="s">
        <v>18533</v>
      </c>
      <c r="F915" t="s">
        <v>31574</v>
      </c>
      <c r="G915" t="s">
        <v>31583</v>
      </c>
      <c r="H915" t="s">
        <v>31590</v>
      </c>
      <c r="I915" t="s">
        <v>31657</v>
      </c>
      <c r="J915" t="s">
        <v>32131</v>
      </c>
      <c r="K915" t="s">
        <v>41193</v>
      </c>
      <c r="M915" t="s">
        <v>41897</v>
      </c>
      <c r="N915" t="s">
        <v>45095</v>
      </c>
      <c r="O915" t="s">
        <v>45096</v>
      </c>
      <c r="P915">
        <v>0</v>
      </c>
      <c r="Q915">
        <v>0</v>
      </c>
      <c r="R915" t="s">
        <v>45097</v>
      </c>
      <c r="S915" t="s">
        <v>45222</v>
      </c>
      <c r="T915" t="s">
        <v>46985</v>
      </c>
      <c r="U915" t="s">
        <v>48263</v>
      </c>
      <c r="W915" t="s">
        <v>41897</v>
      </c>
      <c r="X915" t="s">
        <v>45098</v>
      </c>
    </row>
    <row r="916" spans="1:24">
      <c r="A916">
        <f>HYPERLINK("https://www.philgeps.gov.ph/GEPSNONPILOT/Tender/SplashBidNoticeAbstractUI.aspx?menuIndex=3&amp;refID=7045184&amp;Result=3","7045184")</f>
        <v>0</v>
      </c>
      <c r="B916" t="s">
        <v>407</v>
      </c>
      <c r="C916" t="s">
        <v>4067</v>
      </c>
      <c r="D916" t="s">
        <v>18036</v>
      </c>
      <c r="E916" t="s">
        <v>18975</v>
      </c>
      <c r="F916" t="s">
        <v>31574</v>
      </c>
      <c r="G916" t="s">
        <v>31582</v>
      </c>
      <c r="H916" t="s">
        <v>31593</v>
      </c>
      <c r="I916" t="s">
        <v>31659</v>
      </c>
      <c r="J916" t="s">
        <v>32447</v>
      </c>
      <c r="K916" t="s">
        <v>41185</v>
      </c>
      <c r="M916" t="s">
        <v>41898</v>
      </c>
      <c r="N916" t="s">
        <v>45095</v>
      </c>
      <c r="O916" t="s">
        <v>45096</v>
      </c>
      <c r="P916">
        <v>0</v>
      </c>
      <c r="Q916">
        <v>0</v>
      </c>
      <c r="R916" t="s">
        <v>45097</v>
      </c>
      <c r="S916" t="s">
        <v>45222</v>
      </c>
      <c r="T916" t="s">
        <v>46935</v>
      </c>
      <c r="U916" t="s">
        <v>48280</v>
      </c>
      <c r="W916" t="s">
        <v>41898</v>
      </c>
      <c r="X916" t="s">
        <v>45098</v>
      </c>
    </row>
    <row r="917" spans="1:24">
      <c r="A917">
        <f>HYPERLINK("https://www.philgeps.gov.ph/GEPSNONPILOT/Tender/SplashBidNoticeAbstractUI.aspx?menuIndex=3&amp;refID=7045166&amp;Result=3","7045166")</f>
        <v>0</v>
      </c>
      <c r="B917" t="s">
        <v>329</v>
      </c>
      <c r="C917" t="s">
        <v>4068</v>
      </c>
      <c r="D917" t="s">
        <v>18092</v>
      </c>
      <c r="E917" t="s">
        <v>18912</v>
      </c>
      <c r="F917" t="s">
        <v>31574</v>
      </c>
      <c r="G917" t="s">
        <v>31584</v>
      </c>
      <c r="H917" t="s">
        <v>31590</v>
      </c>
      <c r="I917" t="s">
        <v>31647</v>
      </c>
      <c r="J917" t="s">
        <v>32353</v>
      </c>
      <c r="K917" t="s">
        <v>41186</v>
      </c>
      <c r="M917" t="s">
        <v>41817</v>
      </c>
      <c r="N917" t="s">
        <v>45095</v>
      </c>
      <c r="O917" t="s">
        <v>45096</v>
      </c>
      <c r="P917">
        <v>0</v>
      </c>
      <c r="Q917">
        <v>0</v>
      </c>
      <c r="R917" t="s">
        <v>45097</v>
      </c>
      <c r="S917" t="s">
        <v>45222</v>
      </c>
      <c r="T917" t="s">
        <v>46904</v>
      </c>
      <c r="U917" t="s">
        <v>48281</v>
      </c>
      <c r="W917" t="s">
        <v>41817</v>
      </c>
      <c r="X917" t="s">
        <v>45098</v>
      </c>
    </row>
    <row r="918" spans="1:24">
      <c r="A918">
        <f>HYPERLINK("https://www.philgeps.gov.ph/GEPSNONPILOT/Tender/SplashBidNoticeAbstractUI.aspx?menuIndex=3&amp;refID=7045185&amp;Result=3","7045185")</f>
        <v>0</v>
      </c>
      <c r="B918" t="s">
        <v>408</v>
      </c>
      <c r="C918" t="s">
        <v>4069</v>
      </c>
      <c r="D918" t="s">
        <v>18059</v>
      </c>
      <c r="E918" t="s">
        <v>18976</v>
      </c>
      <c r="F918" t="s">
        <v>31574</v>
      </c>
      <c r="G918" t="s">
        <v>31582</v>
      </c>
      <c r="H918" t="s">
        <v>31590</v>
      </c>
      <c r="I918" t="s">
        <v>31660</v>
      </c>
      <c r="J918" t="s">
        <v>32448</v>
      </c>
      <c r="K918" t="s">
        <v>41184</v>
      </c>
      <c r="M918" t="s">
        <v>41899</v>
      </c>
      <c r="N918" t="s">
        <v>45095</v>
      </c>
      <c r="O918" t="s">
        <v>45096</v>
      </c>
      <c r="P918">
        <v>0</v>
      </c>
      <c r="Q918">
        <v>0</v>
      </c>
      <c r="R918" t="s">
        <v>45097</v>
      </c>
      <c r="S918" t="s">
        <v>45222</v>
      </c>
      <c r="T918" t="s">
        <v>46938</v>
      </c>
      <c r="U918" t="s">
        <v>48282</v>
      </c>
      <c r="W918" t="s">
        <v>41899</v>
      </c>
      <c r="X918" t="s">
        <v>45098</v>
      </c>
    </row>
    <row r="919" spans="1:24">
      <c r="A919">
        <f>HYPERLINK("https://www.philgeps.gov.ph/GEPSNONPILOT/Tender/SplashBidNoticeAbstractUI.aspx?menuIndex=3&amp;refID=7045188&amp;Result=3","7045188")</f>
        <v>0</v>
      </c>
      <c r="B919" t="s">
        <v>312</v>
      </c>
      <c r="C919" t="s">
        <v>4070</v>
      </c>
      <c r="D919" t="s">
        <v>18024</v>
      </c>
      <c r="E919" t="s">
        <v>18977</v>
      </c>
      <c r="F919" t="s">
        <v>31574</v>
      </c>
      <c r="G919" t="s">
        <v>31581</v>
      </c>
      <c r="H919" t="s">
        <v>31590</v>
      </c>
      <c r="I919" t="s">
        <v>31623</v>
      </c>
      <c r="J919" t="s">
        <v>32449</v>
      </c>
      <c r="K919" t="s">
        <v>41242</v>
      </c>
      <c r="M919" t="s">
        <v>41799</v>
      </c>
      <c r="N919" t="s">
        <v>45095</v>
      </c>
      <c r="O919" t="s">
        <v>45096</v>
      </c>
      <c r="P919">
        <v>0</v>
      </c>
      <c r="Q919">
        <v>0</v>
      </c>
      <c r="R919" t="s">
        <v>45097</v>
      </c>
      <c r="S919" t="s">
        <v>45222</v>
      </c>
      <c r="T919" t="s">
        <v>46918</v>
      </c>
      <c r="U919" t="s">
        <v>48071</v>
      </c>
      <c r="W919" t="s">
        <v>41799</v>
      </c>
      <c r="X919" t="s">
        <v>45098</v>
      </c>
    </row>
    <row r="920" spans="1:24">
      <c r="A920">
        <f>HYPERLINK("https://www.philgeps.gov.ph/GEPSNONPILOT/Tender/SplashBidNoticeAbstractUI.aspx?menuIndex=3&amp;refID=7045183&amp;Result=3","7045183")</f>
        <v>0</v>
      </c>
      <c r="B920" t="s">
        <v>218</v>
      </c>
      <c r="C920" t="s">
        <v>4071</v>
      </c>
      <c r="D920" t="s">
        <v>18070</v>
      </c>
      <c r="E920" t="s">
        <v>18978</v>
      </c>
      <c r="F920" t="s">
        <v>31574</v>
      </c>
      <c r="G920" t="s">
        <v>31583</v>
      </c>
      <c r="H920" t="s">
        <v>31590</v>
      </c>
      <c r="I920" t="s">
        <v>3487</v>
      </c>
      <c r="J920" t="s">
        <v>32450</v>
      </c>
      <c r="K920" t="s">
        <v>41193</v>
      </c>
      <c r="M920" t="s">
        <v>41703</v>
      </c>
      <c r="N920" t="s">
        <v>45095</v>
      </c>
      <c r="O920" t="s">
        <v>45096</v>
      </c>
      <c r="P920">
        <v>0</v>
      </c>
      <c r="Q920">
        <v>0</v>
      </c>
      <c r="R920" t="s">
        <v>45097</v>
      </c>
      <c r="S920" t="s">
        <v>45222</v>
      </c>
      <c r="T920" t="s">
        <v>46957</v>
      </c>
      <c r="U920" t="s">
        <v>47880</v>
      </c>
      <c r="W920" t="s">
        <v>41703</v>
      </c>
      <c r="X920" t="s">
        <v>45098</v>
      </c>
    </row>
    <row r="921" spans="1:24">
      <c r="A921">
        <f>HYPERLINK("https://www.philgeps.gov.ph/GEPSNONPILOT/Tender/SplashBidNoticeAbstractUI.aspx?menuIndex=3&amp;refID=7045198&amp;Result=3","7045198")</f>
        <v>0</v>
      </c>
      <c r="B921" t="s">
        <v>399</v>
      </c>
      <c r="C921" t="s">
        <v>4072</v>
      </c>
      <c r="D921" t="s">
        <v>18094</v>
      </c>
      <c r="E921" t="s">
        <v>18979</v>
      </c>
      <c r="F921" t="s">
        <v>31574</v>
      </c>
      <c r="G921" t="s">
        <v>31582</v>
      </c>
      <c r="H921" t="s">
        <v>31591</v>
      </c>
      <c r="I921" t="s">
        <v>8822</v>
      </c>
      <c r="J921" t="s">
        <v>31935</v>
      </c>
      <c r="K921" t="s">
        <v>41192</v>
      </c>
      <c r="M921" t="s">
        <v>41890</v>
      </c>
      <c r="N921" t="s">
        <v>45095</v>
      </c>
      <c r="O921" t="s">
        <v>45096</v>
      </c>
      <c r="P921">
        <v>0</v>
      </c>
      <c r="Q921">
        <v>0</v>
      </c>
      <c r="R921" t="s">
        <v>45097</v>
      </c>
      <c r="S921" t="s">
        <v>45222</v>
      </c>
      <c r="T921" t="s">
        <v>47031</v>
      </c>
      <c r="U921" t="s">
        <v>48283</v>
      </c>
      <c r="W921" t="s">
        <v>41890</v>
      </c>
      <c r="X921" t="s">
        <v>45098</v>
      </c>
    </row>
    <row r="922" spans="1:24">
      <c r="A922">
        <f>HYPERLINK("https://www.philgeps.gov.ph/GEPSNONPILOT/Tender/SplashBidNoticeAbstractUI.aspx?menuIndex=3&amp;refID=7045199&amp;Result=3","7045199")</f>
        <v>0</v>
      </c>
      <c r="B922" t="s">
        <v>409</v>
      </c>
      <c r="C922" t="s">
        <v>4073</v>
      </c>
      <c r="E922" t="s">
        <v>18980</v>
      </c>
      <c r="F922" t="s">
        <v>31574</v>
      </c>
      <c r="G922" t="s">
        <v>31581</v>
      </c>
      <c r="H922" t="s">
        <v>31590</v>
      </c>
      <c r="I922" t="s">
        <v>4046</v>
      </c>
      <c r="J922" t="s">
        <v>31744</v>
      </c>
      <c r="K922" t="s">
        <v>41196</v>
      </c>
      <c r="M922" t="s">
        <v>41900</v>
      </c>
      <c r="N922" t="s">
        <v>45095</v>
      </c>
      <c r="O922" t="s">
        <v>45096</v>
      </c>
      <c r="P922">
        <v>0</v>
      </c>
      <c r="Q922">
        <v>0</v>
      </c>
      <c r="R922" t="s">
        <v>45097</v>
      </c>
      <c r="S922" t="s">
        <v>45222</v>
      </c>
      <c r="T922" t="s">
        <v>46911</v>
      </c>
      <c r="U922" t="s">
        <v>48284</v>
      </c>
      <c r="W922" t="s">
        <v>41900</v>
      </c>
      <c r="X922" t="s">
        <v>45098</v>
      </c>
    </row>
    <row r="923" spans="1:24">
      <c r="A923">
        <f>HYPERLINK("https://www.philgeps.gov.ph/GEPSNONPILOT/Tender/SplashBidNoticeAbstractUI.aspx?menuIndex=3&amp;refID=7045168&amp;Result=3","7045168")</f>
        <v>0</v>
      </c>
      <c r="B923" t="s">
        <v>409</v>
      </c>
      <c r="C923" t="s">
        <v>4074</v>
      </c>
      <c r="E923" t="s">
        <v>18981</v>
      </c>
      <c r="F923" t="s">
        <v>31574</v>
      </c>
      <c r="G923" t="s">
        <v>31584</v>
      </c>
      <c r="H923" t="s">
        <v>31590</v>
      </c>
      <c r="I923" t="s">
        <v>6800</v>
      </c>
      <c r="J923" t="s">
        <v>31741</v>
      </c>
      <c r="K923" t="s">
        <v>41196</v>
      </c>
      <c r="M923" t="s">
        <v>41900</v>
      </c>
      <c r="N923" t="s">
        <v>45095</v>
      </c>
      <c r="O923" t="s">
        <v>45096</v>
      </c>
      <c r="P923">
        <v>0</v>
      </c>
      <c r="Q923">
        <v>0</v>
      </c>
      <c r="R923" t="s">
        <v>45097</v>
      </c>
      <c r="S923" t="s">
        <v>45222</v>
      </c>
      <c r="T923" t="s">
        <v>46911</v>
      </c>
      <c r="U923" t="s">
        <v>47916</v>
      </c>
      <c r="W923" t="s">
        <v>41900</v>
      </c>
      <c r="X923" t="s">
        <v>45098</v>
      </c>
    </row>
    <row r="924" spans="1:24">
      <c r="A924">
        <f>HYPERLINK("https://www.philgeps.gov.ph/GEPSNONPILOT/Tender/SplashBidNoticeAbstractUI.aspx?menuIndex=3&amp;refID=7045169&amp;Result=3","7045169")</f>
        <v>0</v>
      </c>
      <c r="B924" t="s">
        <v>144</v>
      </c>
      <c r="C924" t="s">
        <v>4075</v>
      </c>
      <c r="D924" t="s">
        <v>18076</v>
      </c>
      <c r="E924" t="s">
        <v>18982</v>
      </c>
      <c r="F924" t="s">
        <v>31574</v>
      </c>
      <c r="G924" t="s">
        <v>31582</v>
      </c>
      <c r="H924" t="s">
        <v>31590</v>
      </c>
      <c r="I924" t="s">
        <v>31618</v>
      </c>
      <c r="J924" t="s">
        <v>32451</v>
      </c>
      <c r="K924" t="s">
        <v>41193</v>
      </c>
      <c r="M924" t="s">
        <v>41843</v>
      </c>
      <c r="N924" t="s">
        <v>45095</v>
      </c>
      <c r="O924" t="s">
        <v>45096</v>
      </c>
      <c r="P924">
        <v>0</v>
      </c>
      <c r="Q924">
        <v>0</v>
      </c>
      <c r="R924" t="s">
        <v>45097</v>
      </c>
      <c r="S924" t="s">
        <v>45222</v>
      </c>
      <c r="T924" t="s">
        <v>47016</v>
      </c>
      <c r="U924" t="s">
        <v>48285</v>
      </c>
      <c r="W924" t="s">
        <v>41843</v>
      </c>
      <c r="X924" t="s">
        <v>45098</v>
      </c>
    </row>
    <row r="925" spans="1:24">
      <c r="A925">
        <f>HYPERLINK("https://www.philgeps.gov.ph/GEPSNONPILOT/Tender/SplashBidNoticeAbstractUI.aspx?menuIndex=3&amp;refID=7045200&amp;Result=3","7045200")</f>
        <v>0</v>
      </c>
      <c r="B925" t="s">
        <v>369</v>
      </c>
      <c r="C925" t="s">
        <v>4076</v>
      </c>
      <c r="D925" t="s">
        <v>18063</v>
      </c>
      <c r="E925" t="s">
        <v>18983</v>
      </c>
      <c r="F925" t="s">
        <v>31574</v>
      </c>
      <c r="G925" t="s">
        <v>31581</v>
      </c>
      <c r="H925" t="s">
        <v>31590</v>
      </c>
      <c r="I925" t="s">
        <v>4046</v>
      </c>
      <c r="J925" t="s">
        <v>32452</v>
      </c>
      <c r="K925" t="s">
        <v>41196</v>
      </c>
      <c r="M925" t="s">
        <v>41859</v>
      </c>
      <c r="N925" t="s">
        <v>45095</v>
      </c>
      <c r="O925" t="s">
        <v>45096</v>
      </c>
      <c r="P925">
        <v>0</v>
      </c>
      <c r="Q925">
        <v>0</v>
      </c>
      <c r="R925" t="s">
        <v>45097</v>
      </c>
      <c r="S925" t="s">
        <v>45222</v>
      </c>
      <c r="T925" t="s">
        <v>46911</v>
      </c>
      <c r="U925" t="s">
        <v>48200</v>
      </c>
      <c r="W925" t="s">
        <v>61666</v>
      </c>
      <c r="X925" t="s">
        <v>45098</v>
      </c>
    </row>
    <row r="926" spans="1:24">
      <c r="A926">
        <f>HYPERLINK("https://www.philgeps.gov.ph/GEPSNONPILOT/Tender/SplashBidNoticeAbstractUI.aspx?menuIndex=3&amp;refID=7045193&amp;Result=3","7045193")</f>
        <v>0</v>
      </c>
      <c r="B926" t="s">
        <v>75</v>
      </c>
      <c r="C926" t="s">
        <v>4077</v>
      </c>
      <c r="D926" t="s">
        <v>18054</v>
      </c>
      <c r="E926" t="s">
        <v>18984</v>
      </c>
      <c r="F926" t="s">
        <v>31574</v>
      </c>
      <c r="G926" t="s">
        <v>31584</v>
      </c>
      <c r="H926" t="s">
        <v>31590</v>
      </c>
      <c r="I926" t="s">
        <v>4046</v>
      </c>
      <c r="J926" t="s">
        <v>32453</v>
      </c>
      <c r="K926" t="s">
        <v>41186</v>
      </c>
      <c r="M926" t="s">
        <v>41559</v>
      </c>
      <c r="N926" t="s">
        <v>45095</v>
      </c>
      <c r="O926" t="s">
        <v>45096</v>
      </c>
      <c r="P926">
        <v>0</v>
      </c>
      <c r="Q926">
        <v>0</v>
      </c>
      <c r="R926" t="s">
        <v>45097</v>
      </c>
      <c r="S926" t="s">
        <v>45222</v>
      </c>
      <c r="T926" t="s">
        <v>46918</v>
      </c>
      <c r="U926" t="s">
        <v>48286</v>
      </c>
      <c r="W926" t="s">
        <v>41559</v>
      </c>
      <c r="X926" t="s">
        <v>45098</v>
      </c>
    </row>
    <row r="927" spans="1:24">
      <c r="A927">
        <f>HYPERLINK("https://www.philgeps.gov.ph/GEPSNONPILOT/Tender/SplashBidNoticeAbstractUI.aspx?menuIndex=3&amp;refID=7045197&amp;Result=3","7045197")</f>
        <v>0</v>
      </c>
      <c r="B927" t="s">
        <v>50</v>
      </c>
      <c r="C927" t="s">
        <v>4078</v>
      </c>
      <c r="D927" t="s">
        <v>18042</v>
      </c>
      <c r="E927" t="s">
        <v>18985</v>
      </c>
      <c r="F927" t="s">
        <v>31574</v>
      </c>
      <c r="G927" t="s">
        <v>31582</v>
      </c>
      <c r="H927" t="s">
        <v>31590</v>
      </c>
      <c r="I927" t="s">
        <v>3487</v>
      </c>
      <c r="J927" t="s">
        <v>32454</v>
      </c>
      <c r="K927" t="s">
        <v>41186</v>
      </c>
      <c r="M927" t="s">
        <v>41533</v>
      </c>
      <c r="N927" t="s">
        <v>45095</v>
      </c>
      <c r="O927" t="s">
        <v>45096</v>
      </c>
      <c r="P927">
        <v>0</v>
      </c>
      <c r="Q927">
        <v>0</v>
      </c>
      <c r="R927" t="s">
        <v>45097</v>
      </c>
      <c r="S927" t="s">
        <v>45222</v>
      </c>
      <c r="T927" t="s">
        <v>46916</v>
      </c>
      <c r="U927" t="s">
        <v>48287</v>
      </c>
      <c r="W927" t="s">
        <v>41533</v>
      </c>
      <c r="X927" t="s">
        <v>45098</v>
      </c>
    </row>
    <row r="928" spans="1:24">
      <c r="A928">
        <f>HYPERLINK("https://www.philgeps.gov.ph/GEPSNONPILOT/Tender/SplashBidNoticeAbstractUI.aspx?menuIndex=3&amp;refID=7045196&amp;Result=3","7045196")</f>
        <v>0</v>
      </c>
      <c r="B928" t="s">
        <v>410</v>
      </c>
      <c r="C928" t="s">
        <v>4079</v>
      </c>
      <c r="D928" t="s">
        <v>18072</v>
      </c>
      <c r="E928" t="s">
        <v>18986</v>
      </c>
      <c r="F928" t="s">
        <v>31574</v>
      </c>
      <c r="G928" t="s">
        <v>31582</v>
      </c>
      <c r="H928" t="s">
        <v>31591</v>
      </c>
      <c r="I928" t="s">
        <v>8822</v>
      </c>
      <c r="J928" t="s">
        <v>32455</v>
      </c>
      <c r="K928" t="s">
        <v>41203</v>
      </c>
      <c r="M928" t="s">
        <v>41901</v>
      </c>
      <c r="N928" t="s">
        <v>45095</v>
      </c>
      <c r="O928" t="s">
        <v>45096</v>
      </c>
      <c r="P928">
        <v>0</v>
      </c>
      <c r="Q928">
        <v>0</v>
      </c>
      <c r="R928" t="s">
        <v>45097</v>
      </c>
      <c r="S928" t="s">
        <v>45222</v>
      </c>
      <c r="T928" t="s">
        <v>47032</v>
      </c>
      <c r="U928" t="s">
        <v>48288</v>
      </c>
      <c r="W928" t="s">
        <v>41901</v>
      </c>
      <c r="X928" t="s">
        <v>45098</v>
      </c>
    </row>
    <row r="929" spans="1:24">
      <c r="A929">
        <f>HYPERLINK("https://www.philgeps.gov.ph/GEPSNONPILOT/Tender/SplashBidNoticeAbstractUI.aspx?menuIndex=3&amp;refID=7045192&amp;Result=3","7045192")</f>
        <v>0</v>
      </c>
      <c r="B929" t="s">
        <v>411</v>
      </c>
      <c r="C929" t="s">
        <v>4080</v>
      </c>
      <c r="D929" t="s">
        <v>18034</v>
      </c>
      <c r="E929" t="s">
        <v>18987</v>
      </c>
      <c r="F929" t="s">
        <v>31574</v>
      </c>
      <c r="G929" t="s">
        <v>31581</v>
      </c>
      <c r="H929" t="s">
        <v>31590</v>
      </c>
      <c r="I929" t="s">
        <v>3539</v>
      </c>
      <c r="J929" t="s">
        <v>32456</v>
      </c>
      <c r="K929" t="s">
        <v>41211</v>
      </c>
      <c r="M929" t="s">
        <v>41902</v>
      </c>
      <c r="N929" t="s">
        <v>45095</v>
      </c>
      <c r="O929" t="s">
        <v>45096</v>
      </c>
      <c r="P929">
        <v>0</v>
      </c>
      <c r="Q929">
        <v>0</v>
      </c>
      <c r="R929" t="s">
        <v>45097</v>
      </c>
      <c r="S929" t="s">
        <v>45222</v>
      </c>
      <c r="T929" t="s">
        <v>46955</v>
      </c>
      <c r="U929" t="s">
        <v>48289</v>
      </c>
      <c r="W929" t="s">
        <v>41902</v>
      </c>
      <c r="X929" t="s">
        <v>45098</v>
      </c>
    </row>
    <row r="930" spans="1:24">
      <c r="A930">
        <f>HYPERLINK("https://www.philgeps.gov.ph/GEPSNONPILOT/Tender/SplashBidNoticeAbstractUI.aspx?menuIndex=3&amp;refID=7045195&amp;Result=3","7045195")</f>
        <v>0</v>
      </c>
      <c r="B930" t="s">
        <v>187</v>
      </c>
      <c r="C930" t="s">
        <v>4081</v>
      </c>
      <c r="D930" t="s">
        <v>18068</v>
      </c>
      <c r="E930" t="s">
        <v>18988</v>
      </c>
      <c r="F930" t="s">
        <v>31574</v>
      </c>
      <c r="G930" t="s">
        <v>31581</v>
      </c>
      <c r="H930" t="s">
        <v>31590</v>
      </c>
      <c r="I930" t="s">
        <v>4046</v>
      </c>
      <c r="J930" t="s">
        <v>32457</v>
      </c>
      <c r="K930" t="s">
        <v>41211</v>
      </c>
      <c r="L930" t="s">
        <v>187</v>
      </c>
      <c r="M930" t="s">
        <v>41672</v>
      </c>
      <c r="N930" t="s">
        <v>45095</v>
      </c>
      <c r="O930" t="s">
        <v>45096</v>
      </c>
      <c r="P930">
        <v>0</v>
      </c>
      <c r="Q930">
        <v>0</v>
      </c>
      <c r="R930" t="s">
        <v>45097</v>
      </c>
      <c r="S930" t="s">
        <v>45222</v>
      </c>
      <c r="T930" t="s">
        <v>46913</v>
      </c>
      <c r="U930" t="s">
        <v>47818</v>
      </c>
      <c r="W930" t="s">
        <v>41672</v>
      </c>
      <c r="X930" t="s">
        <v>45098</v>
      </c>
    </row>
    <row r="931" spans="1:24">
      <c r="A931">
        <f>HYPERLINK("https://www.philgeps.gov.ph/GEPSNONPILOT/Tender/SplashBidNoticeAbstractUI.aspx?menuIndex=3&amp;refID=7045201&amp;Result=3","7045201")</f>
        <v>0</v>
      </c>
      <c r="B931" t="s">
        <v>412</v>
      </c>
      <c r="C931" t="s">
        <v>4082</v>
      </c>
      <c r="D931" t="s">
        <v>18045</v>
      </c>
      <c r="E931" t="s">
        <v>18989</v>
      </c>
      <c r="F931" t="s">
        <v>31574</v>
      </c>
      <c r="G931" t="s">
        <v>31582</v>
      </c>
      <c r="H931" t="s">
        <v>31591</v>
      </c>
      <c r="I931" t="s">
        <v>8822</v>
      </c>
      <c r="J931" t="s">
        <v>32458</v>
      </c>
      <c r="K931" t="s">
        <v>41198</v>
      </c>
      <c r="M931" t="s">
        <v>41903</v>
      </c>
      <c r="N931" t="s">
        <v>45095</v>
      </c>
      <c r="O931" t="s">
        <v>45096</v>
      </c>
      <c r="P931">
        <v>0</v>
      </c>
      <c r="Q931">
        <v>0</v>
      </c>
      <c r="R931" t="s">
        <v>45097</v>
      </c>
      <c r="S931" t="s">
        <v>45222</v>
      </c>
      <c r="T931" t="s">
        <v>46916</v>
      </c>
      <c r="U931" t="s">
        <v>48290</v>
      </c>
      <c r="W931" t="s">
        <v>41903</v>
      </c>
      <c r="X931" t="s">
        <v>45098</v>
      </c>
    </row>
    <row r="932" spans="1:24">
      <c r="A932">
        <f>HYPERLINK("https://www.philgeps.gov.ph/GEPSNONPILOT/Tender/SplashBidNoticeAbstractUI.aspx?menuIndex=3&amp;refID=7045190&amp;Result=3","7045190")</f>
        <v>0</v>
      </c>
      <c r="B932" t="s">
        <v>345</v>
      </c>
      <c r="C932" t="s">
        <v>4083</v>
      </c>
      <c r="D932" t="s">
        <v>18039</v>
      </c>
      <c r="E932" t="s">
        <v>18990</v>
      </c>
      <c r="F932" t="s">
        <v>31574</v>
      </c>
      <c r="G932" t="s">
        <v>31581</v>
      </c>
      <c r="H932" t="s">
        <v>31590</v>
      </c>
      <c r="I932" t="s">
        <v>31608</v>
      </c>
      <c r="J932" t="s">
        <v>32459</v>
      </c>
      <c r="K932" t="s">
        <v>41196</v>
      </c>
      <c r="M932" t="s">
        <v>41833</v>
      </c>
      <c r="N932" t="s">
        <v>45095</v>
      </c>
      <c r="O932" t="s">
        <v>45096</v>
      </c>
      <c r="P932">
        <v>0</v>
      </c>
      <c r="Q932">
        <v>0</v>
      </c>
      <c r="R932" t="s">
        <v>45097</v>
      </c>
      <c r="S932" t="s">
        <v>45222</v>
      </c>
      <c r="T932" t="s">
        <v>47014</v>
      </c>
      <c r="U932" t="s">
        <v>48143</v>
      </c>
      <c r="W932" t="s">
        <v>41833</v>
      </c>
      <c r="X932" t="s">
        <v>45098</v>
      </c>
    </row>
    <row r="933" spans="1:24">
      <c r="A933">
        <f>HYPERLINK("https://www.philgeps.gov.ph/GEPSNONPILOT/Tender/SplashBidNoticeAbstractUI.aspx?menuIndex=3&amp;refID=7045194&amp;Result=3","7045194")</f>
        <v>0</v>
      </c>
      <c r="B933" t="s">
        <v>413</v>
      </c>
      <c r="C933" t="s">
        <v>4084</v>
      </c>
      <c r="D933" t="s">
        <v>18052</v>
      </c>
      <c r="E933" t="s">
        <v>18913</v>
      </c>
      <c r="F933" t="s">
        <v>31574</v>
      </c>
      <c r="G933" t="s">
        <v>31582</v>
      </c>
      <c r="H933" t="s">
        <v>31590</v>
      </c>
      <c r="I933" t="s">
        <v>4046</v>
      </c>
      <c r="J933" t="s">
        <v>32460</v>
      </c>
      <c r="K933" t="s">
        <v>41190</v>
      </c>
      <c r="M933" t="s">
        <v>41904</v>
      </c>
      <c r="N933" t="s">
        <v>45095</v>
      </c>
      <c r="O933" t="s">
        <v>45096</v>
      </c>
      <c r="P933">
        <v>0</v>
      </c>
      <c r="Q933">
        <v>0</v>
      </c>
      <c r="R933" t="s">
        <v>45097</v>
      </c>
      <c r="S933" t="s">
        <v>45222</v>
      </c>
      <c r="T933" t="s">
        <v>47019</v>
      </c>
      <c r="U933" t="s">
        <v>48291</v>
      </c>
      <c r="V933" t="s">
        <v>48291</v>
      </c>
      <c r="W933" t="s">
        <v>41904</v>
      </c>
      <c r="X933" t="s">
        <v>45098</v>
      </c>
    </row>
    <row r="934" spans="1:24">
      <c r="A934">
        <f>HYPERLINK("https://www.philgeps.gov.ph/GEPSNONPILOT/Tender/SplashBidNoticeAbstractUI.aspx?menuIndex=3&amp;refID=7045211&amp;Result=3","7045211")</f>
        <v>0</v>
      </c>
      <c r="B934" t="s">
        <v>414</v>
      </c>
      <c r="C934" t="s">
        <v>4085</v>
      </c>
      <c r="D934" t="s">
        <v>18023</v>
      </c>
      <c r="E934" t="s">
        <v>18913</v>
      </c>
      <c r="F934" t="s">
        <v>31574</v>
      </c>
      <c r="G934" t="s">
        <v>31583</v>
      </c>
      <c r="H934" t="s">
        <v>31590</v>
      </c>
      <c r="I934" t="s">
        <v>31600</v>
      </c>
      <c r="J934" t="s">
        <v>32461</v>
      </c>
      <c r="K934" t="s">
        <v>41197</v>
      </c>
      <c r="M934" t="s">
        <v>41905</v>
      </c>
      <c r="N934" t="s">
        <v>45095</v>
      </c>
      <c r="O934" t="s">
        <v>45096</v>
      </c>
      <c r="P934">
        <v>0</v>
      </c>
      <c r="Q934">
        <v>0</v>
      </c>
      <c r="R934" t="s">
        <v>45097</v>
      </c>
      <c r="S934" t="s">
        <v>45222</v>
      </c>
      <c r="T934" t="s">
        <v>46918</v>
      </c>
      <c r="U934" t="s">
        <v>48292</v>
      </c>
      <c r="W934" t="s">
        <v>41905</v>
      </c>
      <c r="X934" t="s">
        <v>45098</v>
      </c>
    </row>
    <row r="935" spans="1:24">
      <c r="A935">
        <f>HYPERLINK("https://www.philgeps.gov.ph/GEPSNONPILOT/Tender/SplashBidNoticeAbstractUI.aspx?menuIndex=3&amp;refID=7045210&amp;Result=3","7045210")</f>
        <v>0</v>
      </c>
      <c r="B935" t="s">
        <v>144</v>
      </c>
      <c r="C935" t="s">
        <v>4086</v>
      </c>
      <c r="D935" t="s">
        <v>18076</v>
      </c>
      <c r="E935" t="s">
        <v>18991</v>
      </c>
      <c r="F935" t="s">
        <v>31574</v>
      </c>
      <c r="G935" t="s">
        <v>31582</v>
      </c>
      <c r="H935" t="s">
        <v>31590</v>
      </c>
      <c r="I935" t="s">
        <v>31615</v>
      </c>
      <c r="J935" t="s">
        <v>31819</v>
      </c>
      <c r="K935" t="s">
        <v>41193</v>
      </c>
      <c r="M935" t="s">
        <v>41843</v>
      </c>
      <c r="N935" t="s">
        <v>45095</v>
      </c>
      <c r="O935" t="s">
        <v>45096</v>
      </c>
      <c r="P935">
        <v>0</v>
      </c>
      <c r="Q935">
        <v>5</v>
      </c>
      <c r="R935" t="s">
        <v>45097</v>
      </c>
      <c r="S935" t="s">
        <v>45222</v>
      </c>
      <c r="T935" t="s">
        <v>47016</v>
      </c>
      <c r="U935" t="s">
        <v>48293</v>
      </c>
      <c r="W935" t="s">
        <v>41843</v>
      </c>
      <c r="X935" t="s">
        <v>45098</v>
      </c>
    </row>
    <row r="936" spans="1:24">
      <c r="A936">
        <f>HYPERLINK("https://www.philgeps.gov.ph/GEPSNONPILOT/Tender/SplashBidNoticeAbstractUI.aspx?menuIndex=3&amp;refID=7045206&amp;Result=3","7045206")</f>
        <v>0</v>
      </c>
      <c r="B936" t="s">
        <v>393</v>
      </c>
      <c r="C936" t="s">
        <v>4087</v>
      </c>
      <c r="D936" t="s">
        <v>18022</v>
      </c>
      <c r="E936" t="s">
        <v>18992</v>
      </c>
      <c r="F936" t="s">
        <v>31574</v>
      </c>
      <c r="G936" t="s">
        <v>31584</v>
      </c>
      <c r="H936" t="s">
        <v>31590</v>
      </c>
      <c r="I936" t="s">
        <v>31648</v>
      </c>
      <c r="J936" t="s">
        <v>32462</v>
      </c>
      <c r="K936" t="s">
        <v>41196</v>
      </c>
      <c r="M936" t="s">
        <v>41906</v>
      </c>
      <c r="N936" t="s">
        <v>45095</v>
      </c>
      <c r="O936" t="s">
        <v>45096</v>
      </c>
      <c r="P936">
        <v>0</v>
      </c>
      <c r="Q936">
        <v>0</v>
      </c>
      <c r="R936" t="s">
        <v>45097</v>
      </c>
      <c r="S936" t="s">
        <v>45222</v>
      </c>
      <c r="T936" t="s">
        <v>46918</v>
      </c>
      <c r="U936" t="s">
        <v>48253</v>
      </c>
      <c r="W936" t="s">
        <v>41906</v>
      </c>
      <c r="X936" t="s">
        <v>45098</v>
      </c>
    </row>
    <row r="937" spans="1:24">
      <c r="A937">
        <f>HYPERLINK("https://www.philgeps.gov.ph/GEPSNONPILOT/Tender/SplashBidNoticeAbstractUI.aspx?menuIndex=3&amp;refID=7045205&amp;Result=3","7045205")</f>
        <v>0</v>
      </c>
      <c r="B937" t="s">
        <v>415</v>
      </c>
      <c r="C937" t="s">
        <v>4088</v>
      </c>
      <c r="D937" t="s">
        <v>18022</v>
      </c>
      <c r="E937" t="s">
        <v>18993</v>
      </c>
      <c r="F937" t="s">
        <v>31574</v>
      </c>
      <c r="G937" t="s">
        <v>31583</v>
      </c>
      <c r="H937" t="s">
        <v>31590</v>
      </c>
      <c r="I937" t="s">
        <v>31624</v>
      </c>
      <c r="J937" t="s">
        <v>32463</v>
      </c>
      <c r="K937" t="s">
        <v>41190</v>
      </c>
      <c r="M937" t="s">
        <v>41907</v>
      </c>
      <c r="N937" t="s">
        <v>45095</v>
      </c>
      <c r="O937" t="s">
        <v>45096</v>
      </c>
      <c r="P937">
        <v>0</v>
      </c>
      <c r="Q937">
        <v>0</v>
      </c>
      <c r="R937" t="s">
        <v>45097</v>
      </c>
      <c r="S937" t="s">
        <v>45222</v>
      </c>
      <c r="T937" t="s">
        <v>47033</v>
      </c>
      <c r="U937" t="s">
        <v>48294</v>
      </c>
      <c r="V937" t="s">
        <v>59936</v>
      </c>
      <c r="W937" t="s">
        <v>41907</v>
      </c>
      <c r="X937" t="s">
        <v>45098</v>
      </c>
    </row>
    <row r="938" spans="1:24">
      <c r="A938">
        <f>HYPERLINK("https://www.philgeps.gov.ph/GEPSNONPILOT/Tender/SplashBidNoticeAbstractUI.aspx?menuIndex=3&amp;refID=7045208&amp;Result=3","7045208")</f>
        <v>0</v>
      </c>
      <c r="B938" t="s">
        <v>353</v>
      </c>
      <c r="C938" t="s">
        <v>4089</v>
      </c>
      <c r="D938" t="s">
        <v>18068</v>
      </c>
      <c r="E938" t="s">
        <v>18994</v>
      </c>
      <c r="F938" t="s">
        <v>31574</v>
      </c>
      <c r="G938" t="s">
        <v>31581</v>
      </c>
      <c r="H938" t="s">
        <v>31590</v>
      </c>
      <c r="I938" t="s">
        <v>31623</v>
      </c>
      <c r="J938" t="s">
        <v>31789</v>
      </c>
      <c r="K938" t="s">
        <v>41192</v>
      </c>
      <c r="M938" t="s">
        <v>41842</v>
      </c>
      <c r="N938" t="s">
        <v>45095</v>
      </c>
      <c r="O938" t="s">
        <v>45096</v>
      </c>
      <c r="P938">
        <v>0</v>
      </c>
      <c r="Q938">
        <v>0</v>
      </c>
      <c r="R938" t="s">
        <v>45097</v>
      </c>
      <c r="S938" t="s">
        <v>45222</v>
      </c>
      <c r="T938" t="s">
        <v>46932</v>
      </c>
      <c r="U938" t="s">
        <v>48295</v>
      </c>
      <c r="V938" t="s">
        <v>59923</v>
      </c>
      <c r="W938" t="s">
        <v>41842</v>
      </c>
      <c r="X938" t="s">
        <v>45098</v>
      </c>
    </row>
    <row r="939" spans="1:24">
      <c r="A939">
        <f>HYPERLINK("https://www.philgeps.gov.ph/GEPSNONPILOT/Tender/SplashBidNoticeAbstractUI.aspx?menuIndex=3&amp;refID=7045212&amp;Result=3","7045212")</f>
        <v>0</v>
      </c>
      <c r="B939" t="s">
        <v>412</v>
      </c>
      <c r="C939" t="s">
        <v>4090</v>
      </c>
      <c r="D939" t="s">
        <v>18045</v>
      </c>
      <c r="E939" t="s">
        <v>18995</v>
      </c>
      <c r="F939" t="s">
        <v>31574</v>
      </c>
      <c r="G939" t="s">
        <v>31582</v>
      </c>
      <c r="H939" t="s">
        <v>31591</v>
      </c>
      <c r="I939" t="s">
        <v>8822</v>
      </c>
      <c r="J939" t="s">
        <v>32458</v>
      </c>
      <c r="K939" t="s">
        <v>41198</v>
      </c>
      <c r="M939" t="s">
        <v>41903</v>
      </c>
      <c r="N939" t="s">
        <v>45095</v>
      </c>
      <c r="O939" t="s">
        <v>45096</v>
      </c>
      <c r="P939">
        <v>0</v>
      </c>
      <c r="Q939">
        <v>0</v>
      </c>
      <c r="R939" t="s">
        <v>45097</v>
      </c>
      <c r="S939" t="s">
        <v>45222</v>
      </c>
      <c r="T939" t="s">
        <v>46916</v>
      </c>
      <c r="U939" t="s">
        <v>48296</v>
      </c>
      <c r="W939" t="s">
        <v>41903</v>
      </c>
      <c r="X939" t="s">
        <v>45098</v>
      </c>
    </row>
    <row r="940" spans="1:24">
      <c r="A940">
        <f>HYPERLINK("https://www.philgeps.gov.ph/GEPSNONPILOT/Tender/SplashBidNoticeAbstractUI.aspx?menuIndex=3&amp;refID=7045209&amp;Result=3","7045209")</f>
        <v>0</v>
      </c>
      <c r="B940" t="s">
        <v>416</v>
      </c>
      <c r="C940" t="s">
        <v>4091</v>
      </c>
      <c r="D940" t="s">
        <v>18046</v>
      </c>
      <c r="E940" t="s">
        <v>18996</v>
      </c>
      <c r="F940" t="s">
        <v>31574</v>
      </c>
      <c r="G940" t="s">
        <v>31582</v>
      </c>
      <c r="H940" t="s">
        <v>31591</v>
      </c>
      <c r="I940" t="s">
        <v>8822</v>
      </c>
      <c r="J940" t="s">
        <v>32026</v>
      </c>
      <c r="K940" t="s">
        <v>41189</v>
      </c>
      <c r="M940" t="s">
        <v>41908</v>
      </c>
      <c r="N940" t="s">
        <v>45095</v>
      </c>
      <c r="O940" t="s">
        <v>45096</v>
      </c>
      <c r="P940">
        <v>0</v>
      </c>
      <c r="Q940">
        <v>0</v>
      </c>
      <c r="R940" t="s">
        <v>45097</v>
      </c>
      <c r="S940" t="s">
        <v>45222</v>
      </c>
      <c r="T940" t="s">
        <v>46924</v>
      </c>
      <c r="U940" t="s">
        <v>48297</v>
      </c>
      <c r="W940" t="s">
        <v>41908</v>
      </c>
      <c r="X940" t="s">
        <v>45098</v>
      </c>
    </row>
    <row r="941" spans="1:24">
      <c r="A941">
        <f>HYPERLINK("https://www.philgeps.gov.ph/GEPSNONPILOT/Tender/SplashBidNoticeAbstractUI.aspx?menuIndex=3&amp;refID=7045214&amp;Result=3","7045214")</f>
        <v>0</v>
      </c>
      <c r="B941" t="s">
        <v>417</v>
      </c>
      <c r="C941" t="s">
        <v>4092</v>
      </c>
      <c r="D941" t="s">
        <v>18095</v>
      </c>
      <c r="E941" t="s">
        <v>18997</v>
      </c>
      <c r="F941" t="s">
        <v>31574</v>
      </c>
      <c r="G941" t="s">
        <v>31581</v>
      </c>
      <c r="H941" t="s">
        <v>31590</v>
      </c>
      <c r="I941" t="s">
        <v>31626</v>
      </c>
      <c r="J941" t="s">
        <v>32389</v>
      </c>
      <c r="K941" t="s">
        <v>41186</v>
      </c>
      <c r="M941" t="s">
        <v>41909</v>
      </c>
      <c r="N941" t="s">
        <v>45095</v>
      </c>
      <c r="O941" t="s">
        <v>45096</v>
      </c>
      <c r="P941">
        <v>0</v>
      </c>
      <c r="Q941">
        <v>0</v>
      </c>
      <c r="R941" t="s">
        <v>45097</v>
      </c>
      <c r="S941" t="s">
        <v>45222</v>
      </c>
      <c r="T941" t="s">
        <v>46946</v>
      </c>
      <c r="U941" t="s">
        <v>48298</v>
      </c>
      <c r="W941" t="s">
        <v>41909</v>
      </c>
      <c r="X941" t="s">
        <v>45098</v>
      </c>
    </row>
    <row r="942" spans="1:24">
      <c r="A942">
        <f>HYPERLINK("https://www.philgeps.gov.ph/GEPSNONPILOT/Tender/SplashBidNoticeAbstractUI.aspx?menuIndex=3&amp;refID=7045202&amp;Result=3","7045202")</f>
        <v>0</v>
      </c>
      <c r="B942" t="s">
        <v>152</v>
      </c>
      <c r="C942" t="s">
        <v>4093</v>
      </c>
      <c r="D942" t="s">
        <v>18072</v>
      </c>
      <c r="E942" t="s">
        <v>18429</v>
      </c>
      <c r="F942" t="s">
        <v>31574</v>
      </c>
      <c r="G942" t="s">
        <v>31581</v>
      </c>
      <c r="H942" t="s">
        <v>31590</v>
      </c>
      <c r="I942" t="s">
        <v>3539</v>
      </c>
      <c r="J942" t="s">
        <v>32464</v>
      </c>
      <c r="K942" t="s">
        <v>41211</v>
      </c>
      <c r="M942" t="s">
        <v>41636</v>
      </c>
      <c r="N942" t="s">
        <v>45095</v>
      </c>
      <c r="O942" t="s">
        <v>45096</v>
      </c>
      <c r="P942">
        <v>0</v>
      </c>
      <c r="Q942">
        <v>0</v>
      </c>
      <c r="R942" t="s">
        <v>45097</v>
      </c>
      <c r="S942" t="s">
        <v>45222</v>
      </c>
      <c r="T942" t="s">
        <v>46918</v>
      </c>
      <c r="U942" t="s">
        <v>48299</v>
      </c>
      <c r="W942" t="s">
        <v>41636</v>
      </c>
      <c r="X942" t="s">
        <v>45098</v>
      </c>
    </row>
    <row r="943" spans="1:24">
      <c r="A943">
        <f>HYPERLINK("https://www.philgeps.gov.ph/GEPSNONPILOT/Tender/SplashBidNoticeAbstractUI.aspx?menuIndex=3&amp;refID=7045217&amp;Result=3","7045217")</f>
        <v>0</v>
      </c>
      <c r="B943" t="s">
        <v>408</v>
      </c>
      <c r="C943" t="s">
        <v>4094</v>
      </c>
      <c r="D943" t="s">
        <v>18059</v>
      </c>
      <c r="E943" t="s">
        <v>18998</v>
      </c>
      <c r="F943" t="s">
        <v>31574</v>
      </c>
      <c r="G943" t="s">
        <v>31582</v>
      </c>
      <c r="H943" t="s">
        <v>31590</v>
      </c>
      <c r="I943" t="s">
        <v>7185</v>
      </c>
      <c r="J943" t="s">
        <v>32465</v>
      </c>
      <c r="K943" t="s">
        <v>41184</v>
      </c>
      <c r="M943" t="s">
        <v>41899</v>
      </c>
      <c r="N943" t="s">
        <v>45095</v>
      </c>
      <c r="O943" t="s">
        <v>45096</v>
      </c>
      <c r="P943">
        <v>0</v>
      </c>
      <c r="Q943">
        <v>0</v>
      </c>
      <c r="R943" t="s">
        <v>45097</v>
      </c>
      <c r="S943" t="s">
        <v>45222</v>
      </c>
      <c r="T943" t="s">
        <v>46938</v>
      </c>
      <c r="U943" t="s">
        <v>48300</v>
      </c>
      <c r="W943" t="s">
        <v>41899</v>
      </c>
      <c r="X943" t="s">
        <v>45098</v>
      </c>
    </row>
    <row r="944" spans="1:24">
      <c r="A944">
        <f>HYPERLINK("https://www.philgeps.gov.ph/GEPSNONPILOT/Tender/SplashBidNoticeAbstractUI.aspx?menuIndex=3&amp;refID=7045229&amp;Result=3","7045229")</f>
        <v>0</v>
      </c>
      <c r="B944" t="s">
        <v>418</v>
      </c>
      <c r="C944" t="s">
        <v>4095</v>
      </c>
      <c r="D944" t="s">
        <v>18041</v>
      </c>
      <c r="E944" t="s">
        <v>18999</v>
      </c>
      <c r="F944" t="s">
        <v>31574</v>
      </c>
      <c r="G944" t="s">
        <v>31584</v>
      </c>
      <c r="H944" t="s">
        <v>31590</v>
      </c>
      <c r="I944" t="s">
        <v>4327</v>
      </c>
      <c r="J944" t="s">
        <v>32372</v>
      </c>
      <c r="K944" t="s">
        <v>41211</v>
      </c>
      <c r="M944" t="s">
        <v>41910</v>
      </c>
      <c r="N944" t="s">
        <v>45095</v>
      </c>
      <c r="O944" t="s">
        <v>45096</v>
      </c>
      <c r="P944">
        <v>0</v>
      </c>
      <c r="Q944">
        <v>0</v>
      </c>
      <c r="R944" t="s">
        <v>45097</v>
      </c>
      <c r="S944" t="s">
        <v>45222</v>
      </c>
      <c r="T944" t="s">
        <v>46913</v>
      </c>
      <c r="U944" t="s">
        <v>48301</v>
      </c>
      <c r="W944" t="s">
        <v>41910</v>
      </c>
      <c r="X944" t="s">
        <v>45098</v>
      </c>
    </row>
    <row r="945" spans="1:24">
      <c r="A945">
        <f>HYPERLINK("https://www.philgeps.gov.ph/GEPSNONPILOT/Tender/SplashBidNoticeAbstractUI.aspx?menuIndex=3&amp;refID=7045215&amp;Result=3","7045215")</f>
        <v>0</v>
      </c>
      <c r="B945" t="s">
        <v>409</v>
      </c>
      <c r="C945" t="s">
        <v>4096</v>
      </c>
      <c r="E945" t="s">
        <v>19000</v>
      </c>
      <c r="F945" t="s">
        <v>31574</v>
      </c>
      <c r="G945" t="s">
        <v>31581</v>
      </c>
      <c r="H945" t="s">
        <v>31590</v>
      </c>
      <c r="I945" t="s">
        <v>4046</v>
      </c>
      <c r="J945" t="s">
        <v>32466</v>
      </c>
      <c r="K945" t="s">
        <v>41196</v>
      </c>
      <c r="M945" t="s">
        <v>41900</v>
      </c>
      <c r="N945" t="s">
        <v>45095</v>
      </c>
      <c r="O945" t="s">
        <v>45096</v>
      </c>
      <c r="P945">
        <v>0</v>
      </c>
      <c r="Q945">
        <v>0</v>
      </c>
      <c r="R945" t="s">
        <v>45097</v>
      </c>
      <c r="S945" t="s">
        <v>45222</v>
      </c>
      <c r="T945" t="s">
        <v>46911</v>
      </c>
      <c r="U945" t="s">
        <v>48284</v>
      </c>
      <c r="W945" t="s">
        <v>41900</v>
      </c>
      <c r="X945" t="s">
        <v>45098</v>
      </c>
    </row>
    <row r="946" spans="1:24">
      <c r="A946">
        <f>HYPERLINK("https://www.philgeps.gov.ph/GEPSNONPILOT/Tender/SplashBidNoticeAbstractUI.aspx?menuIndex=3&amp;refID=7045189&amp;Result=3","7045189")</f>
        <v>0</v>
      </c>
      <c r="B946" t="s">
        <v>419</v>
      </c>
      <c r="C946" t="s">
        <v>4097</v>
      </c>
      <c r="D946" t="s">
        <v>18029</v>
      </c>
      <c r="E946" t="s">
        <v>19001</v>
      </c>
      <c r="F946" t="s">
        <v>31574</v>
      </c>
      <c r="G946" t="s">
        <v>31584</v>
      </c>
      <c r="H946" t="s">
        <v>31590</v>
      </c>
      <c r="I946" t="s">
        <v>31645</v>
      </c>
      <c r="J946" t="s">
        <v>32467</v>
      </c>
      <c r="K946" t="s">
        <v>41211</v>
      </c>
      <c r="M946" t="s">
        <v>41911</v>
      </c>
      <c r="N946" t="s">
        <v>45095</v>
      </c>
      <c r="O946" t="s">
        <v>45096</v>
      </c>
      <c r="P946">
        <v>0</v>
      </c>
      <c r="Q946">
        <v>0</v>
      </c>
      <c r="R946" t="s">
        <v>45097</v>
      </c>
      <c r="S946" t="s">
        <v>45222</v>
      </c>
      <c r="T946" t="s">
        <v>46946</v>
      </c>
      <c r="U946" t="s">
        <v>48302</v>
      </c>
      <c r="W946" t="s">
        <v>41911</v>
      </c>
      <c r="X946" t="s">
        <v>45098</v>
      </c>
    </row>
    <row r="947" spans="1:24">
      <c r="A947">
        <f>HYPERLINK("https://www.philgeps.gov.ph/GEPSNONPILOT/Tender/SplashBidNoticeAbstractUI.aspx?menuIndex=3&amp;refID=7045216&amp;Result=3","7045216")</f>
        <v>0</v>
      </c>
      <c r="B947" t="s">
        <v>420</v>
      </c>
      <c r="C947" t="s">
        <v>4098</v>
      </c>
      <c r="D947" t="s">
        <v>18044</v>
      </c>
      <c r="E947" t="s">
        <v>19002</v>
      </c>
      <c r="F947" t="s">
        <v>31574</v>
      </c>
      <c r="G947" t="s">
        <v>31581</v>
      </c>
      <c r="H947" t="s">
        <v>31590</v>
      </c>
      <c r="I947" t="s">
        <v>31633</v>
      </c>
      <c r="J947" t="s">
        <v>32468</v>
      </c>
      <c r="K947" t="s">
        <v>41184</v>
      </c>
      <c r="M947" t="s">
        <v>41912</v>
      </c>
      <c r="N947" t="s">
        <v>45095</v>
      </c>
      <c r="O947" t="s">
        <v>45096</v>
      </c>
      <c r="P947">
        <v>0</v>
      </c>
      <c r="Q947">
        <v>0</v>
      </c>
      <c r="R947" t="s">
        <v>45097</v>
      </c>
      <c r="S947" t="s">
        <v>45222</v>
      </c>
      <c r="T947" t="s">
        <v>46913</v>
      </c>
      <c r="U947" t="s">
        <v>48303</v>
      </c>
      <c r="W947" t="s">
        <v>41912</v>
      </c>
      <c r="X947" t="s">
        <v>45098</v>
      </c>
    </row>
    <row r="948" spans="1:24">
      <c r="A948">
        <f>HYPERLINK("https://www.philgeps.gov.ph/GEPSNONPILOT/Tender/SplashBidNoticeAbstractUI.aspx?menuIndex=3&amp;refID=7045213&amp;Result=3","7045213")</f>
        <v>0</v>
      </c>
      <c r="B948" t="s">
        <v>345</v>
      </c>
      <c r="C948" t="s">
        <v>4099</v>
      </c>
      <c r="D948" t="s">
        <v>18039</v>
      </c>
      <c r="E948" t="s">
        <v>19003</v>
      </c>
      <c r="F948" t="s">
        <v>31574</v>
      </c>
      <c r="G948" t="s">
        <v>31581</v>
      </c>
      <c r="H948" t="s">
        <v>31590</v>
      </c>
      <c r="I948" t="s">
        <v>31608</v>
      </c>
      <c r="J948" t="s">
        <v>32469</v>
      </c>
      <c r="K948" t="s">
        <v>41196</v>
      </c>
      <c r="M948" t="s">
        <v>41833</v>
      </c>
      <c r="N948" t="s">
        <v>45095</v>
      </c>
      <c r="O948" t="s">
        <v>45096</v>
      </c>
      <c r="P948">
        <v>0</v>
      </c>
      <c r="Q948">
        <v>0</v>
      </c>
      <c r="R948" t="s">
        <v>45097</v>
      </c>
      <c r="S948" t="s">
        <v>45222</v>
      </c>
      <c r="T948" t="s">
        <v>47014</v>
      </c>
      <c r="U948" t="s">
        <v>48143</v>
      </c>
      <c r="W948" t="s">
        <v>41833</v>
      </c>
      <c r="X948" t="s">
        <v>45098</v>
      </c>
    </row>
    <row r="949" spans="1:24">
      <c r="A949">
        <f>HYPERLINK("https://www.philgeps.gov.ph/GEPSNONPILOT/Tender/SplashBidNoticeAbstractUI.aspx?menuIndex=3&amp;refID=7045223&amp;Result=3","7045223")</f>
        <v>0</v>
      </c>
      <c r="B949" t="s">
        <v>408</v>
      </c>
      <c r="C949" t="s">
        <v>4100</v>
      </c>
      <c r="D949" t="s">
        <v>18059</v>
      </c>
      <c r="E949" t="s">
        <v>19004</v>
      </c>
      <c r="F949" t="s">
        <v>31574</v>
      </c>
      <c r="G949" t="s">
        <v>31582</v>
      </c>
      <c r="H949" t="s">
        <v>31590</v>
      </c>
      <c r="I949" t="s">
        <v>31608</v>
      </c>
      <c r="J949" t="s">
        <v>31909</v>
      </c>
      <c r="K949" t="s">
        <v>41184</v>
      </c>
      <c r="M949" t="s">
        <v>41899</v>
      </c>
      <c r="N949" t="s">
        <v>45095</v>
      </c>
      <c r="O949" t="s">
        <v>45096</v>
      </c>
      <c r="P949">
        <v>0</v>
      </c>
      <c r="Q949">
        <v>0</v>
      </c>
      <c r="R949" t="s">
        <v>45097</v>
      </c>
      <c r="S949" t="s">
        <v>45222</v>
      </c>
      <c r="T949" t="s">
        <v>46938</v>
      </c>
      <c r="U949" t="s">
        <v>48304</v>
      </c>
      <c r="W949" t="s">
        <v>41899</v>
      </c>
      <c r="X949" t="s">
        <v>45098</v>
      </c>
    </row>
    <row r="950" spans="1:24">
      <c r="A950">
        <f>HYPERLINK("https://www.philgeps.gov.ph/GEPSNONPILOT/Tender/SplashBidNoticeAbstractUI.aspx?menuIndex=3&amp;refID=7045228&amp;Result=3","7045228")</f>
        <v>0</v>
      </c>
      <c r="B950" t="s">
        <v>358</v>
      </c>
      <c r="C950" t="s">
        <v>4101</v>
      </c>
      <c r="D950" t="s">
        <v>18075</v>
      </c>
      <c r="E950" t="s">
        <v>4101</v>
      </c>
      <c r="F950" t="s">
        <v>31574</v>
      </c>
      <c r="G950" t="s">
        <v>31581</v>
      </c>
      <c r="H950" t="s">
        <v>31590</v>
      </c>
      <c r="I950" t="s">
        <v>4354</v>
      </c>
      <c r="J950" t="s">
        <v>32470</v>
      </c>
      <c r="K950" t="s">
        <v>41184</v>
      </c>
      <c r="M950" t="s">
        <v>41848</v>
      </c>
      <c r="N950" t="s">
        <v>45095</v>
      </c>
      <c r="O950" t="s">
        <v>45096</v>
      </c>
      <c r="P950">
        <v>0</v>
      </c>
      <c r="Q950">
        <v>0</v>
      </c>
      <c r="R950" t="s">
        <v>45097</v>
      </c>
      <c r="S950" t="s">
        <v>45222</v>
      </c>
      <c r="T950" t="s">
        <v>46904</v>
      </c>
      <c r="U950" t="s">
        <v>48305</v>
      </c>
      <c r="W950" t="s">
        <v>41848</v>
      </c>
      <c r="X950" t="s">
        <v>45098</v>
      </c>
    </row>
    <row r="951" spans="1:24">
      <c r="A951">
        <f>HYPERLINK("https://www.philgeps.gov.ph/GEPSNONPILOT/Tender/SplashBidNoticeAbstractUI.aspx?menuIndex=3&amp;refID=7045231&amp;Result=3","7045231")</f>
        <v>0</v>
      </c>
      <c r="B951" t="s">
        <v>50</v>
      </c>
      <c r="C951" t="s">
        <v>4102</v>
      </c>
      <c r="D951" t="s">
        <v>18042</v>
      </c>
      <c r="E951" t="s">
        <v>19005</v>
      </c>
      <c r="F951" t="s">
        <v>31574</v>
      </c>
      <c r="G951" t="s">
        <v>31582</v>
      </c>
      <c r="H951" t="s">
        <v>31590</v>
      </c>
      <c r="I951" t="s">
        <v>31601</v>
      </c>
      <c r="J951" t="s">
        <v>32471</v>
      </c>
      <c r="K951" t="s">
        <v>41186</v>
      </c>
      <c r="M951" t="s">
        <v>41533</v>
      </c>
      <c r="N951" t="s">
        <v>45095</v>
      </c>
      <c r="O951" t="s">
        <v>45096</v>
      </c>
      <c r="P951">
        <v>0</v>
      </c>
      <c r="Q951">
        <v>0</v>
      </c>
      <c r="R951" t="s">
        <v>45097</v>
      </c>
      <c r="S951" t="s">
        <v>45222</v>
      </c>
      <c r="T951" t="s">
        <v>46916</v>
      </c>
      <c r="U951" t="s">
        <v>48306</v>
      </c>
      <c r="W951" t="s">
        <v>41533</v>
      </c>
      <c r="X951" t="s">
        <v>45098</v>
      </c>
    </row>
    <row r="952" spans="1:24">
      <c r="A952">
        <f>HYPERLINK("https://www.philgeps.gov.ph/GEPSNONPILOT/Tender/SplashBidNoticeAbstractUI.aspx?menuIndex=3&amp;refID=7045224&amp;Result=3","7045224")</f>
        <v>0</v>
      </c>
      <c r="B952" t="s">
        <v>421</v>
      </c>
      <c r="C952" t="s">
        <v>4103</v>
      </c>
      <c r="D952" t="s">
        <v>18053</v>
      </c>
      <c r="E952" t="s">
        <v>19006</v>
      </c>
      <c r="F952" t="s">
        <v>31574</v>
      </c>
      <c r="G952" t="s">
        <v>31583</v>
      </c>
      <c r="H952" t="s">
        <v>31590</v>
      </c>
      <c r="I952" t="s">
        <v>5717</v>
      </c>
      <c r="J952" t="s">
        <v>32472</v>
      </c>
      <c r="K952" t="s">
        <v>41184</v>
      </c>
      <c r="L952" t="s">
        <v>421</v>
      </c>
      <c r="M952" t="s">
        <v>41913</v>
      </c>
      <c r="N952" t="s">
        <v>45095</v>
      </c>
      <c r="O952" t="s">
        <v>45096</v>
      </c>
      <c r="P952">
        <v>0</v>
      </c>
      <c r="Q952">
        <v>0</v>
      </c>
      <c r="R952" t="s">
        <v>45097</v>
      </c>
      <c r="S952" t="s">
        <v>45222</v>
      </c>
      <c r="T952" t="s">
        <v>46955</v>
      </c>
      <c r="U952" t="s">
        <v>48307</v>
      </c>
      <c r="W952" t="s">
        <v>41913</v>
      </c>
      <c r="X952" t="s">
        <v>45098</v>
      </c>
    </row>
    <row r="953" spans="1:24">
      <c r="A953">
        <f>HYPERLINK("https://www.philgeps.gov.ph/GEPSNONPILOT/Tender/SplashBidNoticeAbstractUI.aspx?menuIndex=3&amp;refID=7045225&amp;Result=3","7045225")</f>
        <v>0</v>
      </c>
      <c r="B953" t="s">
        <v>345</v>
      </c>
      <c r="C953" t="s">
        <v>4104</v>
      </c>
      <c r="D953" t="s">
        <v>18039</v>
      </c>
      <c r="E953" t="s">
        <v>19007</v>
      </c>
      <c r="F953" t="s">
        <v>31574</v>
      </c>
      <c r="G953" t="s">
        <v>31581</v>
      </c>
      <c r="H953" t="s">
        <v>31590</v>
      </c>
      <c r="I953" t="s">
        <v>31608</v>
      </c>
      <c r="J953" t="s">
        <v>31743</v>
      </c>
      <c r="K953" t="s">
        <v>41196</v>
      </c>
      <c r="M953" t="s">
        <v>41833</v>
      </c>
      <c r="N953" t="s">
        <v>45095</v>
      </c>
      <c r="O953" t="s">
        <v>45096</v>
      </c>
      <c r="P953">
        <v>0</v>
      </c>
      <c r="Q953">
        <v>0</v>
      </c>
      <c r="R953" t="s">
        <v>45097</v>
      </c>
      <c r="S953" t="s">
        <v>45222</v>
      </c>
      <c r="T953" t="s">
        <v>47014</v>
      </c>
      <c r="U953" t="s">
        <v>48143</v>
      </c>
      <c r="W953" t="s">
        <v>41833</v>
      </c>
      <c r="X953" t="s">
        <v>45098</v>
      </c>
    </row>
    <row r="954" spans="1:24">
      <c r="A954">
        <f>HYPERLINK("https://www.philgeps.gov.ph/GEPSNONPILOT/Tender/SplashBidNoticeAbstractUI.aspx?menuIndex=3&amp;refID=7045233&amp;Result=3","7045233")</f>
        <v>0</v>
      </c>
      <c r="B954" t="s">
        <v>362</v>
      </c>
      <c r="C954" t="s">
        <v>4105</v>
      </c>
      <c r="D954" t="s">
        <v>18068</v>
      </c>
      <c r="E954" t="s">
        <v>19008</v>
      </c>
      <c r="F954" t="s">
        <v>31574</v>
      </c>
      <c r="G954" t="s">
        <v>31582</v>
      </c>
      <c r="H954" t="s">
        <v>31591</v>
      </c>
      <c r="I954" t="s">
        <v>8822</v>
      </c>
      <c r="J954" t="s">
        <v>32019</v>
      </c>
      <c r="K954" t="s">
        <v>41217</v>
      </c>
      <c r="M954" t="s">
        <v>41852</v>
      </c>
      <c r="N954" t="s">
        <v>45095</v>
      </c>
      <c r="O954" t="s">
        <v>45096</v>
      </c>
      <c r="P954">
        <v>0</v>
      </c>
      <c r="Q954">
        <v>0</v>
      </c>
      <c r="R954" t="s">
        <v>45097</v>
      </c>
      <c r="S954" t="s">
        <v>45222</v>
      </c>
      <c r="T954" t="s">
        <v>46915</v>
      </c>
      <c r="U954" t="s">
        <v>48308</v>
      </c>
      <c r="W954" t="s">
        <v>41852</v>
      </c>
      <c r="X954" t="s">
        <v>45098</v>
      </c>
    </row>
    <row r="955" spans="1:24">
      <c r="A955">
        <f>HYPERLINK("https://www.philgeps.gov.ph/GEPSNONPILOT/Tender/SplashBidNoticeAbstractUI.aspx?menuIndex=3&amp;refID=7045221&amp;Result=3","7045221")</f>
        <v>0</v>
      </c>
      <c r="B955" t="s">
        <v>399</v>
      </c>
      <c r="C955" t="s">
        <v>4106</v>
      </c>
      <c r="D955" t="s">
        <v>18094</v>
      </c>
      <c r="E955" t="s">
        <v>19009</v>
      </c>
      <c r="F955" t="s">
        <v>31574</v>
      </c>
      <c r="G955" t="s">
        <v>31582</v>
      </c>
      <c r="H955" t="s">
        <v>31591</v>
      </c>
      <c r="I955" t="s">
        <v>8822</v>
      </c>
      <c r="J955" t="s">
        <v>32101</v>
      </c>
      <c r="K955" t="s">
        <v>41198</v>
      </c>
      <c r="M955" t="s">
        <v>41890</v>
      </c>
      <c r="N955" t="s">
        <v>45095</v>
      </c>
      <c r="O955" t="s">
        <v>45096</v>
      </c>
      <c r="P955">
        <v>0</v>
      </c>
      <c r="Q955">
        <v>0</v>
      </c>
      <c r="R955" t="s">
        <v>45097</v>
      </c>
      <c r="S955" t="s">
        <v>45222</v>
      </c>
      <c r="T955" t="s">
        <v>46972</v>
      </c>
      <c r="U955" t="s">
        <v>48309</v>
      </c>
      <c r="W955" t="s">
        <v>41890</v>
      </c>
      <c r="X955" t="s">
        <v>45098</v>
      </c>
    </row>
    <row r="956" spans="1:24">
      <c r="A956">
        <f>HYPERLINK("https://www.philgeps.gov.ph/GEPSNONPILOT/Tender/SplashBidNoticeAbstractUI.aspx?menuIndex=3&amp;refID=7045235&amp;Result=3","7045235")</f>
        <v>0</v>
      </c>
      <c r="B956" t="s">
        <v>422</v>
      </c>
      <c r="C956" t="s">
        <v>4107</v>
      </c>
      <c r="D956" t="s">
        <v>18056</v>
      </c>
      <c r="E956" t="s">
        <v>19010</v>
      </c>
      <c r="F956" t="s">
        <v>31574</v>
      </c>
      <c r="G956" t="s">
        <v>31583</v>
      </c>
      <c r="H956" t="s">
        <v>31590</v>
      </c>
      <c r="I956" t="s">
        <v>31595</v>
      </c>
      <c r="J956" t="s">
        <v>31727</v>
      </c>
      <c r="K956" t="s">
        <v>41193</v>
      </c>
      <c r="M956" t="s">
        <v>41914</v>
      </c>
      <c r="N956" t="s">
        <v>45095</v>
      </c>
      <c r="O956" t="s">
        <v>45096</v>
      </c>
      <c r="P956">
        <v>0</v>
      </c>
      <c r="Q956">
        <v>0</v>
      </c>
      <c r="R956" t="s">
        <v>45097</v>
      </c>
      <c r="S956" t="s">
        <v>45222</v>
      </c>
      <c r="T956" t="s">
        <v>46979</v>
      </c>
      <c r="U956" t="s">
        <v>48310</v>
      </c>
      <c r="W956" t="s">
        <v>41914</v>
      </c>
      <c r="X956" t="s">
        <v>45098</v>
      </c>
    </row>
    <row r="957" spans="1:24">
      <c r="A957">
        <f>HYPERLINK("https://www.philgeps.gov.ph/GEPSNONPILOT/Tender/SplashBidNoticeAbstractUI.aspx?menuIndex=3&amp;refID=7045219&amp;Result=3","7045219")</f>
        <v>0</v>
      </c>
      <c r="B957" t="s">
        <v>423</v>
      </c>
      <c r="C957" t="s">
        <v>3219</v>
      </c>
      <c r="D957" t="s">
        <v>18092</v>
      </c>
      <c r="E957" t="s">
        <v>19011</v>
      </c>
      <c r="F957" t="s">
        <v>31574</v>
      </c>
      <c r="G957" t="s">
        <v>31581</v>
      </c>
      <c r="H957" t="s">
        <v>31590</v>
      </c>
      <c r="I957" t="s">
        <v>4327</v>
      </c>
      <c r="J957" t="s">
        <v>32473</v>
      </c>
      <c r="K957" t="s">
        <v>41193</v>
      </c>
      <c r="M957" t="s">
        <v>41915</v>
      </c>
      <c r="N957" t="s">
        <v>45095</v>
      </c>
      <c r="O957" t="s">
        <v>45096</v>
      </c>
      <c r="P957">
        <v>0</v>
      </c>
      <c r="Q957">
        <v>0</v>
      </c>
      <c r="R957" t="s">
        <v>45097</v>
      </c>
      <c r="S957" t="s">
        <v>45222</v>
      </c>
      <c r="T957" t="s">
        <v>47008</v>
      </c>
      <c r="U957" t="s">
        <v>48311</v>
      </c>
      <c r="W957" t="s">
        <v>41915</v>
      </c>
      <c r="X957" t="s">
        <v>45098</v>
      </c>
    </row>
    <row r="958" spans="1:24">
      <c r="A958">
        <f>HYPERLINK("https://www.philgeps.gov.ph/GEPSNONPILOT/Tender/SplashBidNoticeAbstractUI.aspx?menuIndex=3&amp;refID=7045230&amp;Result=3","7045230")</f>
        <v>0</v>
      </c>
      <c r="B958" t="s">
        <v>300</v>
      </c>
      <c r="C958" t="s">
        <v>4108</v>
      </c>
      <c r="D958" t="s">
        <v>18060</v>
      </c>
      <c r="E958" t="s">
        <v>19012</v>
      </c>
      <c r="F958" t="s">
        <v>31574</v>
      </c>
      <c r="G958" t="s">
        <v>31581</v>
      </c>
      <c r="H958" t="s">
        <v>31590</v>
      </c>
      <c r="I958" t="s">
        <v>3487</v>
      </c>
      <c r="J958" t="s">
        <v>32474</v>
      </c>
      <c r="K958" t="s">
        <v>41193</v>
      </c>
      <c r="M958" t="s">
        <v>41786</v>
      </c>
      <c r="N958" t="s">
        <v>45095</v>
      </c>
      <c r="O958" t="s">
        <v>45096</v>
      </c>
      <c r="P958">
        <v>0</v>
      </c>
      <c r="Q958">
        <v>0</v>
      </c>
      <c r="R958" t="s">
        <v>45097</v>
      </c>
      <c r="S958" t="s">
        <v>45222</v>
      </c>
      <c r="T958" t="s">
        <v>46926</v>
      </c>
      <c r="U958" t="s">
        <v>48312</v>
      </c>
      <c r="W958" t="s">
        <v>41786</v>
      </c>
      <c r="X958" t="s">
        <v>45098</v>
      </c>
    </row>
    <row r="959" spans="1:24">
      <c r="A959">
        <f>HYPERLINK("https://www.philgeps.gov.ph/GEPSNONPILOT/Tender/SplashBidNoticeAbstractUI.aspx?menuIndex=3&amp;refID=7045236&amp;Result=3","7045236")</f>
        <v>0</v>
      </c>
      <c r="B959" t="s">
        <v>424</v>
      </c>
      <c r="C959" t="s">
        <v>4109</v>
      </c>
      <c r="D959" t="s">
        <v>18039</v>
      </c>
      <c r="E959" t="s">
        <v>19013</v>
      </c>
      <c r="F959" t="s">
        <v>31574</v>
      </c>
      <c r="G959" t="s">
        <v>31585</v>
      </c>
      <c r="H959" t="s">
        <v>31591</v>
      </c>
      <c r="I959" t="s">
        <v>8822</v>
      </c>
      <c r="J959" t="s">
        <v>32475</v>
      </c>
      <c r="K959" t="s">
        <v>41192</v>
      </c>
      <c r="M959" t="s">
        <v>41916</v>
      </c>
      <c r="N959" t="s">
        <v>45095</v>
      </c>
      <c r="O959" t="s">
        <v>45096</v>
      </c>
      <c r="P959">
        <v>0</v>
      </c>
      <c r="Q959">
        <v>0</v>
      </c>
      <c r="R959" t="s">
        <v>45097</v>
      </c>
      <c r="S959" t="s">
        <v>45222</v>
      </c>
      <c r="T959" t="s">
        <v>46914</v>
      </c>
      <c r="U959" t="s">
        <v>48313</v>
      </c>
      <c r="W959" t="s">
        <v>41916</v>
      </c>
      <c r="X959" t="s">
        <v>45098</v>
      </c>
    </row>
    <row r="960" spans="1:24">
      <c r="A960">
        <f>HYPERLINK("https://www.philgeps.gov.ph/GEPSNONPILOT/Tender/SplashBidNoticeAbstractUI.aspx?menuIndex=3&amp;refID=7045220&amp;Result=3","7045220")</f>
        <v>0</v>
      </c>
      <c r="B960" t="s">
        <v>425</v>
      </c>
      <c r="C960" t="s">
        <v>4110</v>
      </c>
      <c r="D960" t="s">
        <v>18030</v>
      </c>
      <c r="E960" t="s">
        <v>19014</v>
      </c>
      <c r="F960" t="s">
        <v>31574</v>
      </c>
      <c r="G960" t="s">
        <v>31582</v>
      </c>
      <c r="H960" t="s">
        <v>31591</v>
      </c>
      <c r="I960" t="s">
        <v>8822</v>
      </c>
      <c r="J960" t="s">
        <v>32476</v>
      </c>
      <c r="K960" t="s">
        <v>41186</v>
      </c>
      <c r="M960" t="s">
        <v>41917</v>
      </c>
      <c r="N960" t="s">
        <v>45095</v>
      </c>
      <c r="O960" t="s">
        <v>45096</v>
      </c>
      <c r="P960">
        <v>0</v>
      </c>
      <c r="Q960">
        <v>0</v>
      </c>
      <c r="R960" t="s">
        <v>45097</v>
      </c>
      <c r="S960" t="s">
        <v>45222</v>
      </c>
      <c r="T960" t="s">
        <v>46921</v>
      </c>
      <c r="U960" t="s">
        <v>48314</v>
      </c>
      <c r="W960" t="s">
        <v>61667</v>
      </c>
      <c r="X960" t="s">
        <v>45098</v>
      </c>
    </row>
    <row r="961" spans="1:24">
      <c r="A961">
        <f>HYPERLINK("https://www.philgeps.gov.ph/GEPSNONPILOT/Tender/SplashBidNoticeAbstractUI.aspx?menuIndex=3&amp;refID=7045248&amp;Result=3","7045248")</f>
        <v>0</v>
      </c>
      <c r="B961" t="s">
        <v>375</v>
      </c>
      <c r="C961" t="s">
        <v>4111</v>
      </c>
      <c r="D961" t="s">
        <v>18052</v>
      </c>
      <c r="E961" t="s">
        <v>19015</v>
      </c>
      <c r="F961" t="s">
        <v>31574</v>
      </c>
      <c r="G961" t="s">
        <v>31581</v>
      </c>
      <c r="H961" t="s">
        <v>31590</v>
      </c>
      <c r="I961" t="s">
        <v>3539</v>
      </c>
      <c r="J961" t="s">
        <v>32258</v>
      </c>
      <c r="K961" t="s">
        <v>41192</v>
      </c>
      <c r="M961" t="s">
        <v>41865</v>
      </c>
      <c r="N961" t="s">
        <v>45095</v>
      </c>
      <c r="O961" t="s">
        <v>45096</v>
      </c>
      <c r="P961">
        <v>0</v>
      </c>
      <c r="Q961">
        <v>0</v>
      </c>
      <c r="R961" t="s">
        <v>45097</v>
      </c>
      <c r="S961" t="s">
        <v>45222</v>
      </c>
      <c r="T961" t="s">
        <v>46913</v>
      </c>
      <c r="U961" t="s">
        <v>48315</v>
      </c>
      <c r="W961" t="s">
        <v>41865</v>
      </c>
      <c r="X961" t="s">
        <v>45098</v>
      </c>
    </row>
    <row r="962" spans="1:24">
      <c r="A962">
        <f>HYPERLINK("https://www.philgeps.gov.ph/GEPSNONPILOT/Tender/SplashBidNoticeAbstractUI.aspx?menuIndex=3&amp;refID=7045234&amp;Result=3","7045234")</f>
        <v>0</v>
      </c>
      <c r="B962" t="s">
        <v>426</v>
      </c>
      <c r="C962" t="s">
        <v>4112</v>
      </c>
      <c r="D962" t="s">
        <v>18068</v>
      </c>
      <c r="E962" t="s">
        <v>19016</v>
      </c>
      <c r="F962" t="s">
        <v>31574</v>
      </c>
      <c r="G962" t="s">
        <v>31581</v>
      </c>
      <c r="H962" t="s">
        <v>31590</v>
      </c>
      <c r="I962" t="s">
        <v>31661</v>
      </c>
      <c r="J962" t="s">
        <v>32046</v>
      </c>
      <c r="K962" t="s">
        <v>41190</v>
      </c>
      <c r="M962" t="s">
        <v>41918</v>
      </c>
      <c r="N962" t="s">
        <v>45095</v>
      </c>
      <c r="O962" t="s">
        <v>45096</v>
      </c>
      <c r="P962">
        <v>0</v>
      </c>
      <c r="Q962">
        <v>0</v>
      </c>
      <c r="R962" t="s">
        <v>45097</v>
      </c>
      <c r="S962" t="s">
        <v>45222</v>
      </c>
      <c r="T962" t="s">
        <v>46918</v>
      </c>
      <c r="U962" t="s">
        <v>48316</v>
      </c>
      <c r="V962" t="s">
        <v>59937</v>
      </c>
      <c r="W962" t="s">
        <v>41918</v>
      </c>
      <c r="X962" t="s">
        <v>45098</v>
      </c>
    </row>
    <row r="963" spans="1:24">
      <c r="A963">
        <f>HYPERLINK("https://www.philgeps.gov.ph/GEPSNONPILOT/Tender/SplashBidNoticeAbstractUI.aspx?menuIndex=3&amp;refID=7045243&amp;Result=3","7045243")</f>
        <v>0</v>
      </c>
      <c r="B963" t="s">
        <v>427</v>
      </c>
      <c r="C963" t="s">
        <v>4113</v>
      </c>
      <c r="D963" t="s">
        <v>18044</v>
      </c>
      <c r="E963" t="s">
        <v>19017</v>
      </c>
      <c r="F963" t="s">
        <v>31574</v>
      </c>
      <c r="G963" t="s">
        <v>31583</v>
      </c>
      <c r="H963" t="s">
        <v>31590</v>
      </c>
      <c r="I963" t="s">
        <v>4046</v>
      </c>
      <c r="J963" t="s">
        <v>32477</v>
      </c>
      <c r="K963" t="s">
        <v>41190</v>
      </c>
      <c r="M963" t="s">
        <v>41919</v>
      </c>
      <c r="N963" t="s">
        <v>45095</v>
      </c>
      <c r="O963" t="s">
        <v>45096</v>
      </c>
      <c r="P963">
        <v>0</v>
      </c>
      <c r="Q963">
        <v>0</v>
      </c>
      <c r="R963" t="s">
        <v>45097</v>
      </c>
      <c r="S963" t="s">
        <v>45222</v>
      </c>
      <c r="T963" t="s">
        <v>46918</v>
      </c>
      <c r="U963" t="s">
        <v>48317</v>
      </c>
      <c r="W963" t="s">
        <v>41919</v>
      </c>
      <c r="X963" t="s">
        <v>45098</v>
      </c>
    </row>
    <row r="964" spans="1:24">
      <c r="A964">
        <f>HYPERLINK("https://www.philgeps.gov.ph/GEPSNONPILOT/Tender/SplashBidNoticeAbstractUI.aspx?menuIndex=3&amp;refID=7045242&amp;Result=3","7045242")</f>
        <v>0</v>
      </c>
      <c r="B964" t="s">
        <v>393</v>
      </c>
      <c r="C964" t="s">
        <v>4114</v>
      </c>
      <c r="D964" t="s">
        <v>18022</v>
      </c>
      <c r="E964" t="s">
        <v>19018</v>
      </c>
      <c r="F964" t="s">
        <v>31574</v>
      </c>
      <c r="G964" t="s">
        <v>31584</v>
      </c>
      <c r="H964" t="s">
        <v>31590</v>
      </c>
      <c r="I964" t="s">
        <v>4327</v>
      </c>
      <c r="J964" t="s">
        <v>32478</v>
      </c>
      <c r="K964" t="s">
        <v>41196</v>
      </c>
      <c r="M964" t="s">
        <v>41920</v>
      </c>
      <c r="N964" t="s">
        <v>45095</v>
      </c>
      <c r="O964" t="s">
        <v>45096</v>
      </c>
      <c r="P964">
        <v>0</v>
      </c>
      <c r="Q964">
        <v>0</v>
      </c>
      <c r="R964" t="s">
        <v>45097</v>
      </c>
      <c r="S964" t="s">
        <v>45222</v>
      </c>
      <c r="T964" t="s">
        <v>46918</v>
      </c>
      <c r="U964" t="s">
        <v>48318</v>
      </c>
      <c r="W964" t="s">
        <v>41920</v>
      </c>
      <c r="X964" t="s">
        <v>45098</v>
      </c>
    </row>
    <row r="965" spans="1:24">
      <c r="A965">
        <f>HYPERLINK("https://www.philgeps.gov.ph/GEPSNONPILOT/Tender/SplashBidNoticeAbstractUI.aspx?menuIndex=3&amp;refID=7045249&amp;Result=3","7045249")</f>
        <v>0</v>
      </c>
      <c r="B965" t="s">
        <v>416</v>
      </c>
      <c r="C965" t="s">
        <v>4115</v>
      </c>
      <c r="D965" t="s">
        <v>18046</v>
      </c>
      <c r="E965" t="s">
        <v>19019</v>
      </c>
      <c r="F965" t="s">
        <v>31574</v>
      </c>
      <c r="G965" t="s">
        <v>31582</v>
      </c>
      <c r="H965" t="s">
        <v>31591</v>
      </c>
      <c r="I965" t="s">
        <v>8822</v>
      </c>
      <c r="J965" t="s">
        <v>31935</v>
      </c>
      <c r="K965" t="s">
        <v>41243</v>
      </c>
      <c r="M965" t="s">
        <v>41908</v>
      </c>
      <c r="N965" t="s">
        <v>45095</v>
      </c>
      <c r="O965" t="s">
        <v>45096</v>
      </c>
      <c r="P965">
        <v>0</v>
      </c>
      <c r="Q965">
        <v>0</v>
      </c>
      <c r="R965" t="s">
        <v>45097</v>
      </c>
      <c r="S965" t="s">
        <v>45222</v>
      </c>
      <c r="T965" t="s">
        <v>46924</v>
      </c>
      <c r="U965" t="s">
        <v>48319</v>
      </c>
      <c r="W965" t="s">
        <v>41908</v>
      </c>
      <c r="X965" t="s">
        <v>45098</v>
      </c>
    </row>
    <row r="966" spans="1:24">
      <c r="A966">
        <f>HYPERLINK("https://www.philgeps.gov.ph/GEPSNONPILOT/Tender/SplashBidNoticeAbstractUI.aspx?menuIndex=3&amp;refID=7045245&amp;Result=3","7045245")</f>
        <v>0</v>
      </c>
      <c r="B966" t="s">
        <v>333</v>
      </c>
      <c r="C966" t="s">
        <v>4116</v>
      </c>
      <c r="D966" t="s">
        <v>18081</v>
      </c>
      <c r="E966" t="s">
        <v>19020</v>
      </c>
      <c r="F966" t="s">
        <v>31574</v>
      </c>
      <c r="G966" t="s">
        <v>31581</v>
      </c>
      <c r="H966" t="s">
        <v>31590</v>
      </c>
      <c r="I966" t="s">
        <v>31594</v>
      </c>
      <c r="J966" t="s">
        <v>32479</v>
      </c>
      <c r="K966" t="s">
        <v>41196</v>
      </c>
      <c r="M966" t="s">
        <v>41821</v>
      </c>
      <c r="N966" t="s">
        <v>45095</v>
      </c>
      <c r="O966" t="s">
        <v>45096</v>
      </c>
      <c r="P966">
        <v>0</v>
      </c>
      <c r="Q966">
        <v>0</v>
      </c>
      <c r="R966" t="s">
        <v>45097</v>
      </c>
      <c r="S966" t="s">
        <v>45222</v>
      </c>
      <c r="T966" t="s">
        <v>46918</v>
      </c>
      <c r="U966" t="s">
        <v>48320</v>
      </c>
      <c r="W966" t="s">
        <v>41821</v>
      </c>
      <c r="X966" t="s">
        <v>45098</v>
      </c>
    </row>
    <row r="967" spans="1:24">
      <c r="A967">
        <f>HYPERLINK("https://www.philgeps.gov.ph/GEPSNONPILOT/Tender/SplashBidNoticeAbstractUI.aspx?menuIndex=3&amp;refID=7045241&amp;Result=3","7045241")</f>
        <v>0</v>
      </c>
      <c r="B967" t="s">
        <v>379</v>
      </c>
      <c r="C967" t="s">
        <v>4117</v>
      </c>
      <c r="D967" t="s">
        <v>18025</v>
      </c>
      <c r="E967" t="s">
        <v>18449</v>
      </c>
      <c r="F967" t="s">
        <v>31574</v>
      </c>
      <c r="G967" t="s">
        <v>31583</v>
      </c>
      <c r="H967" t="s">
        <v>31590</v>
      </c>
      <c r="I967" t="s">
        <v>31610</v>
      </c>
      <c r="J967" t="s">
        <v>32480</v>
      </c>
      <c r="K967" t="s">
        <v>41184</v>
      </c>
      <c r="M967" t="s">
        <v>41869</v>
      </c>
      <c r="N967" t="s">
        <v>45095</v>
      </c>
      <c r="O967" t="s">
        <v>45096</v>
      </c>
      <c r="P967">
        <v>0</v>
      </c>
      <c r="Q967">
        <v>0</v>
      </c>
      <c r="R967" t="s">
        <v>45097</v>
      </c>
      <c r="S967" t="s">
        <v>45222</v>
      </c>
      <c r="T967" t="s">
        <v>46980</v>
      </c>
      <c r="U967" t="s">
        <v>48321</v>
      </c>
      <c r="W967" t="s">
        <v>41869</v>
      </c>
      <c r="X967" t="s">
        <v>45098</v>
      </c>
    </row>
    <row r="968" spans="1:24">
      <c r="A968">
        <f>HYPERLINK("https://www.philgeps.gov.ph/GEPSNONPILOT/Tender/SplashBidNoticeAbstractUI.aspx?menuIndex=3&amp;refID=7045246&amp;Result=3","7045246")</f>
        <v>0</v>
      </c>
      <c r="B968" t="s">
        <v>344</v>
      </c>
      <c r="C968" t="s">
        <v>4118</v>
      </c>
      <c r="D968" t="s">
        <v>18027</v>
      </c>
      <c r="E968" t="s">
        <v>19021</v>
      </c>
      <c r="F968" t="s">
        <v>31574</v>
      </c>
      <c r="G968" t="s">
        <v>31582</v>
      </c>
      <c r="H968" t="s">
        <v>31591</v>
      </c>
      <c r="I968" t="s">
        <v>7162</v>
      </c>
      <c r="J968" t="s">
        <v>32481</v>
      </c>
      <c r="K968" t="s">
        <v>41185</v>
      </c>
      <c r="M968" t="s">
        <v>41832</v>
      </c>
      <c r="N968" t="s">
        <v>45095</v>
      </c>
      <c r="O968" t="s">
        <v>45096</v>
      </c>
      <c r="P968">
        <v>0</v>
      </c>
      <c r="Q968">
        <v>0</v>
      </c>
      <c r="R968" t="s">
        <v>45097</v>
      </c>
      <c r="S968" t="s">
        <v>45222</v>
      </c>
      <c r="T968" t="s">
        <v>47013</v>
      </c>
      <c r="U968" t="s">
        <v>48322</v>
      </c>
      <c r="W968" t="s">
        <v>41832</v>
      </c>
      <c r="X968" t="s">
        <v>45098</v>
      </c>
    </row>
    <row r="969" spans="1:24">
      <c r="A969">
        <f>HYPERLINK("https://www.philgeps.gov.ph/GEPSNONPILOT/Tender/SplashBidNoticeAbstractUI.aspx?menuIndex=3&amp;refID=7045226&amp;Result=3","7045226")</f>
        <v>0</v>
      </c>
      <c r="B969" t="s">
        <v>428</v>
      </c>
      <c r="C969" t="s">
        <v>4119</v>
      </c>
      <c r="D969" t="s">
        <v>18037</v>
      </c>
      <c r="E969" t="s">
        <v>19022</v>
      </c>
      <c r="F969" t="s">
        <v>31574</v>
      </c>
      <c r="G969" t="s">
        <v>31581</v>
      </c>
      <c r="H969" t="s">
        <v>31590</v>
      </c>
      <c r="I969" t="s">
        <v>4327</v>
      </c>
      <c r="J969" t="s">
        <v>31947</v>
      </c>
      <c r="K969" t="s">
        <v>41196</v>
      </c>
      <c r="M969" t="s">
        <v>41921</v>
      </c>
      <c r="N969" t="s">
        <v>45095</v>
      </c>
      <c r="O969" t="s">
        <v>45096</v>
      </c>
      <c r="P969">
        <v>0</v>
      </c>
      <c r="Q969">
        <v>0</v>
      </c>
      <c r="R969" t="s">
        <v>45097</v>
      </c>
      <c r="S969" t="s">
        <v>45222</v>
      </c>
      <c r="T969" t="s">
        <v>46918</v>
      </c>
      <c r="U969" t="s">
        <v>48323</v>
      </c>
      <c r="W969" t="s">
        <v>41921</v>
      </c>
      <c r="X969" t="s">
        <v>45098</v>
      </c>
    </row>
    <row r="970" spans="1:24">
      <c r="A970">
        <f>HYPERLINK("https://www.philgeps.gov.ph/GEPSNONPILOT/Tender/SplashBidNoticeAbstractUI.aspx?menuIndex=3&amp;refID=7045237&amp;Result=3","7045237")</f>
        <v>0</v>
      </c>
      <c r="B970" t="s">
        <v>408</v>
      </c>
      <c r="C970" t="s">
        <v>4120</v>
      </c>
      <c r="D970" t="s">
        <v>18059</v>
      </c>
      <c r="E970" t="s">
        <v>19023</v>
      </c>
      <c r="F970" t="s">
        <v>31574</v>
      </c>
      <c r="G970" t="s">
        <v>31582</v>
      </c>
      <c r="H970" t="s">
        <v>31590</v>
      </c>
      <c r="I970" t="s">
        <v>6800</v>
      </c>
      <c r="J970" t="s">
        <v>31949</v>
      </c>
      <c r="K970" t="s">
        <v>41184</v>
      </c>
      <c r="M970" t="s">
        <v>41899</v>
      </c>
      <c r="N970" t="s">
        <v>45095</v>
      </c>
      <c r="O970" t="s">
        <v>45096</v>
      </c>
      <c r="P970">
        <v>0</v>
      </c>
      <c r="Q970">
        <v>0</v>
      </c>
      <c r="R970" t="s">
        <v>45097</v>
      </c>
      <c r="S970" t="s">
        <v>45222</v>
      </c>
      <c r="T970" t="s">
        <v>46938</v>
      </c>
      <c r="U970" t="s">
        <v>48324</v>
      </c>
      <c r="W970" t="s">
        <v>41899</v>
      </c>
      <c r="X970" t="s">
        <v>45098</v>
      </c>
    </row>
    <row r="971" spans="1:24">
      <c r="A971">
        <f>HYPERLINK("https://www.philgeps.gov.ph/GEPSNONPILOT/Tender/SplashBidNoticeAbstractUI.aspx?menuIndex=3&amp;refID=7045252&amp;Result=3","7045252")</f>
        <v>0</v>
      </c>
      <c r="B971" t="s">
        <v>429</v>
      </c>
      <c r="C971" t="s">
        <v>4121</v>
      </c>
      <c r="D971" t="s">
        <v>18041</v>
      </c>
      <c r="E971" t="s">
        <v>19024</v>
      </c>
      <c r="F971" t="s">
        <v>31574</v>
      </c>
      <c r="G971" t="s">
        <v>31581</v>
      </c>
      <c r="H971" t="s">
        <v>31590</v>
      </c>
      <c r="I971" t="s">
        <v>4046</v>
      </c>
      <c r="J971" t="s">
        <v>32482</v>
      </c>
      <c r="K971" t="s">
        <v>41212</v>
      </c>
      <c r="M971" t="s">
        <v>41922</v>
      </c>
      <c r="N971" t="s">
        <v>45095</v>
      </c>
      <c r="O971" t="s">
        <v>45096</v>
      </c>
      <c r="P971">
        <v>0</v>
      </c>
      <c r="Q971">
        <v>0</v>
      </c>
      <c r="R971" t="s">
        <v>45097</v>
      </c>
      <c r="S971" t="s">
        <v>45222</v>
      </c>
      <c r="T971" t="s">
        <v>46904</v>
      </c>
      <c r="U971" t="s">
        <v>48325</v>
      </c>
      <c r="W971" t="s">
        <v>41922</v>
      </c>
      <c r="X971" t="s">
        <v>45098</v>
      </c>
    </row>
    <row r="972" spans="1:24">
      <c r="A972">
        <f>HYPERLINK("https://www.philgeps.gov.ph/GEPSNONPILOT/Tender/SplashBidNoticeAbstractUI.aspx?menuIndex=3&amp;refID=7045247&amp;Result=3","7045247")</f>
        <v>0</v>
      </c>
      <c r="B972" t="s">
        <v>430</v>
      </c>
      <c r="C972" t="s">
        <v>4122</v>
      </c>
      <c r="D972" t="s">
        <v>18061</v>
      </c>
      <c r="E972" t="s">
        <v>19025</v>
      </c>
      <c r="F972" t="s">
        <v>31576</v>
      </c>
      <c r="G972" t="s">
        <v>31583</v>
      </c>
      <c r="H972" t="s">
        <v>31591</v>
      </c>
      <c r="I972" t="s">
        <v>31602</v>
      </c>
      <c r="J972" t="s">
        <v>32483</v>
      </c>
      <c r="K972" t="s">
        <v>41184</v>
      </c>
      <c r="M972" t="s">
        <v>41923</v>
      </c>
      <c r="N972" t="s">
        <v>45095</v>
      </c>
      <c r="O972" t="s">
        <v>45096</v>
      </c>
      <c r="P972">
        <v>0</v>
      </c>
      <c r="Q972">
        <v>0</v>
      </c>
      <c r="R972" t="s">
        <v>45097</v>
      </c>
      <c r="S972" t="s">
        <v>45222</v>
      </c>
      <c r="T972" t="s">
        <v>46913</v>
      </c>
      <c r="U972" t="s">
        <v>48326</v>
      </c>
      <c r="W972" t="s">
        <v>41923</v>
      </c>
      <c r="X972" t="s">
        <v>45098</v>
      </c>
    </row>
    <row r="973" spans="1:24">
      <c r="A973">
        <f>HYPERLINK("https://www.philgeps.gov.ph/GEPSNONPILOT/Tender/SplashBidNoticeAbstractUI.aspx?menuIndex=3&amp;refID=7045238&amp;Result=3","7045238")</f>
        <v>0</v>
      </c>
      <c r="B973" t="s">
        <v>431</v>
      </c>
      <c r="C973" t="s">
        <v>4123</v>
      </c>
      <c r="D973" t="s">
        <v>18034</v>
      </c>
      <c r="E973" t="s">
        <v>19026</v>
      </c>
      <c r="F973" t="s">
        <v>31574</v>
      </c>
      <c r="G973" t="s">
        <v>31582</v>
      </c>
      <c r="H973" t="s">
        <v>31591</v>
      </c>
      <c r="I973" t="s">
        <v>8822</v>
      </c>
      <c r="J973" t="s">
        <v>32484</v>
      </c>
      <c r="K973" t="s">
        <v>41195</v>
      </c>
      <c r="M973" t="s">
        <v>41924</v>
      </c>
      <c r="N973" t="s">
        <v>45095</v>
      </c>
      <c r="O973" t="s">
        <v>45096</v>
      </c>
      <c r="P973">
        <v>0</v>
      </c>
      <c r="Q973">
        <v>0</v>
      </c>
      <c r="R973" t="s">
        <v>45097</v>
      </c>
      <c r="S973" t="s">
        <v>45222</v>
      </c>
      <c r="T973" t="s">
        <v>47028</v>
      </c>
      <c r="U973" t="s">
        <v>48327</v>
      </c>
      <c r="V973" t="s">
        <v>59938</v>
      </c>
      <c r="W973" t="s">
        <v>41924</v>
      </c>
      <c r="X973" t="s">
        <v>45098</v>
      </c>
    </row>
    <row r="974" spans="1:24">
      <c r="A974">
        <f>HYPERLINK("https://www.philgeps.gov.ph/GEPSNONPILOT/Tender/SplashBidNoticeAbstractUI.aspx?menuIndex=3&amp;refID=7045258&amp;Result=3","7045258")</f>
        <v>0</v>
      </c>
      <c r="B974" t="s">
        <v>58</v>
      </c>
      <c r="C974" t="s">
        <v>4124</v>
      </c>
      <c r="D974" t="s">
        <v>18047</v>
      </c>
      <c r="E974" t="s">
        <v>19027</v>
      </c>
      <c r="F974" t="s">
        <v>31574</v>
      </c>
      <c r="G974" t="s">
        <v>31582</v>
      </c>
      <c r="H974" t="s">
        <v>31591</v>
      </c>
      <c r="I974" t="s">
        <v>8822</v>
      </c>
      <c r="J974" t="s">
        <v>32485</v>
      </c>
      <c r="K974" t="s">
        <v>41244</v>
      </c>
      <c r="M974" t="s">
        <v>41542</v>
      </c>
      <c r="N974" t="s">
        <v>45095</v>
      </c>
      <c r="O974" t="s">
        <v>45096</v>
      </c>
      <c r="P974">
        <v>0</v>
      </c>
      <c r="Q974">
        <v>0</v>
      </c>
      <c r="R974" t="s">
        <v>45097</v>
      </c>
      <c r="S974" t="s">
        <v>45222</v>
      </c>
      <c r="T974" t="s">
        <v>47034</v>
      </c>
      <c r="U974" t="s">
        <v>48328</v>
      </c>
      <c r="V974" t="s">
        <v>59855</v>
      </c>
      <c r="W974" t="s">
        <v>41542</v>
      </c>
      <c r="X974" t="s">
        <v>45098</v>
      </c>
    </row>
    <row r="975" spans="1:24">
      <c r="A975">
        <f>HYPERLINK("https://www.philgeps.gov.ph/GEPSNONPILOT/Tender/SplashBidNoticeAbstractUI.aspx?menuIndex=3&amp;refID=7045256&amp;Result=3","7045256")</f>
        <v>0</v>
      </c>
      <c r="B975" t="s">
        <v>120</v>
      </c>
      <c r="C975" t="s">
        <v>4125</v>
      </c>
      <c r="D975" t="s">
        <v>18052</v>
      </c>
      <c r="E975" t="s">
        <v>19028</v>
      </c>
      <c r="F975" t="s">
        <v>31574</v>
      </c>
      <c r="G975" t="s">
        <v>31581</v>
      </c>
      <c r="H975" t="s">
        <v>31590</v>
      </c>
      <c r="I975" t="s">
        <v>3873</v>
      </c>
      <c r="J975" t="s">
        <v>32068</v>
      </c>
      <c r="K975" t="s">
        <v>41184</v>
      </c>
      <c r="M975" t="s">
        <v>41604</v>
      </c>
      <c r="N975" t="s">
        <v>45095</v>
      </c>
      <c r="O975" t="s">
        <v>45096</v>
      </c>
      <c r="P975">
        <v>0</v>
      </c>
      <c r="Q975">
        <v>0</v>
      </c>
      <c r="R975" t="s">
        <v>45097</v>
      </c>
      <c r="S975" t="s">
        <v>45222</v>
      </c>
      <c r="T975" t="s">
        <v>46918</v>
      </c>
      <c r="U975" t="s">
        <v>48329</v>
      </c>
      <c r="W975" t="s">
        <v>41604</v>
      </c>
      <c r="X975" t="s">
        <v>45098</v>
      </c>
    </row>
    <row r="976" spans="1:24">
      <c r="A976">
        <f>HYPERLINK("https://www.philgeps.gov.ph/GEPSNONPILOT/Tender/SplashBidNoticeAbstractUI.aspx?menuIndex=3&amp;refID=7045250&amp;Result=3","7045250")</f>
        <v>0</v>
      </c>
      <c r="B976" t="s">
        <v>415</v>
      </c>
      <c r="C976" t="s">
        <v>4126</v>
      </c>
      <c r="D976" t="s">
        <v>18022</v>
      </c>
      <c r="E976" t="s">
        <v>19029</v>
      </c>
      <c r="F976" t="s">
        <v>31574</v>
      </c>
      <c r="G976" t="s">
        <v>31583</v>
      </c>
      <c r="H976" t="s">
        <v>31590</v>
      </c>
      <c r="I976" t="s">
        <v>31624</v>
      </c>
      <c r="J976" t="s">
        <v>32486</v>
      </c>
      <c r="K976" t="s">
        <v>41190</v>
      </c>
      <c r="M976" t="s">
        <v>41907</v>
      </c>
      <c r="N976" t="s">
        <v>45095</v>
      </c>
      <c r="O976" t="s">
        <v>45096</v>
      </c>
      <c r="P976">
        <v>0</v>
      </c>
      <c r="Q976">
        <v>0</v>
      </c>
      <c r="R976" t="s">
        <v>45097</v>
      </c>
      <c r="S976" t="s">
        <v>45222</v>
      </c>
      <c r="T976" t="s">
        <v>47033</v>
      </c>
      <c r="U976" t="s">
        <v>48330</v>
      </c>
      <c r="V976" t="s">
        <v>59936</v>
      </c>
      <c r="W976" t="s">
        <v>41907</v>
      </c>
      <c r="X976" t="s">
        <v>45098</v>
      </c>
    </row>
    <row r="977" spans="1:24">
      <c r="A977">
        <f>HYPERLINK("https://www.philgeps.gov.ph/GEPSNONPILOT/Tender/SplashBidNoticeAbstractUI.aspx?menuIndex=3&amp;refID=7045253&amp;Result=3","7045253")</f>
        <v>0</v>
      </c>
      <c r="B977" t="s">
        <v>432</v>
      </c>
      <c r="C977" t="s">
        <v>4127</v>
      </c>
      <c r="D977" t="s">
        <v>18096</v>
      </c>
      <c r="E977" t="s">
        <v>19030</v>
      </c>
      <c r="F977" t="s">
        <v>31574</v>
      </c>
      <c r="G977" t="s">
        <v>31581</v>
      </c>
      <c r="H977" t="s">
        <v>31590</v>
      </c>
      <c r="I977" t="s">
        <v>31629</v>
      </c>
      <c r="J977" t="s">
        <v>31845</v>
      </c>
      <c r="K977" t="s">
        <v>41190</v>
      </c>
      <c r="M977" t="s">
        <v>41925</v>
      </c>
      <c r="N977" t="s">
        <v>45095</v>
      </c>
      <c r="O977" t="s">
        <v>45096</v>
      </c>
      <c r="P977">
        <v>0</v>
      </c>
      <c r="Q977">
        <v>0</v>
      </c>
      <c r="R977" t="s">
        <v>45097</v>
      </c>
      <c r="S977" t="s">
        <v>45222</v>
      </c>
      <c r="T977" t="s">
        <v>46946</v>
      </c>
      <c r="U977" t="s">
        <v>48331</v>
      </c>
      <c r="W977" t="s">
        <v>41925</v>
      </c>
      <c r="X977" t="s">
        <v>45098</v>
      </c>
    </row>
    <row r="978" spans="1:24">
      <c r="A978">
        <f>HYPERLINK("https://www.philgeps.gov.ph/GEPSNONPILOT/Tender/SplashBidNoticeAbstractUI.aspx?menuIndex=3&amp;refID=7045259&amp;Result=3","7045259")</f>
        <v>0</v>
      </c>
      <c r="B978" t="s">
        <v>50</v>
      </c>
      <c r="C978" t="s">
        <v>4128</v>
      </c>
      <c r="D978" t="s">
        <v>18042</v>
      </c>
      <c r="E978" t="s">
        <v>19031</v>
      </c>
      <c r="F978" t="s">
        <v>31574</v>
      </c>
      <c r="G978" t="s">
        <v>31584</v>
      </c>
      <c r="H978" t="s">
        <v>31590</v>
      </c>
      <c r="I978" t="s">
        <v>6800</v>
      </c>
      <c r="J978" t="s">
        <v>32487</v>
      </c>
      <c r="K978" t="s">
        <v>41191</v>
      </c>
      <c r="M978" t="s">
        <v>41533</v>
      </c>
      <c r="N978" t="s">
        <v>45095</v>
      </c>
      <c r="O978" t="s">
        <v>45096</v>
      </c>
      <c r="P978">
        <v>0</v>
      </c>
      <c r="Q978">
        <v>0</v>
      </c>
      <c r="R978" t="s">
        <v>45097</v>
      </c>
      <c r="S978" t="s">
        <v>45222</v>
      </c>
      <c r="T978" t="s">
        <v>46918</v>
      </c>
      <c r="U978" t="s">
        <v>48332</v>
      </c>
      <c r="W978" t="s">
        <v>41533</v>
      </c>
      <c r="X978" t="s">
        <v>45098</v>
      </c>
    </row>
    <row r="979" spans="1:24">
      <c r="A979">
        <f>HYPERLINK("https://www.philgeps.gov.ph/GEPSNONPILOT/Tender/SplashBidNoticeAbstractUI.aspx?menuIndex=3&amp;refID=7045261&amp;Result=3","7045261")</f>
        <v>0</v>
      </c>
      <c r="B979" t="s">
        <v>320</v>
      </c>
      <c r="C979" t="s">
        <v>4129</v>
      </c>
      <c r="D979" t="s">
        <v>18070</v>
      </c>
      <c r="E979" t="s">
        <v>19032</v>
      </c>
      <c r="F979" t="s">
        <v>31574</v>
      </c>
      <c r="G979" t="s">
        <v>31582</v>
      </c>
      <c r="H979" t="s">
        <v>31591</v>
      </c>
      <c r="I979" t="s">
        <v>8822</v>
      </c>
      <c r="J979" t="s">
        <v>32488</v>
      </c>
      <c r="K979" t="s">
        <v>41245</v>
      </c>
      <c r="M979" t="s">
        <v>41808</v>
      </c>
      <c r="N979" t="s">
        <v>45095</v>
      </c>
      <c r="O979" t="s">
        <v>45096</v>
      </c>
      <c r="P979">
        <v>0</v>
      </c>
      <c r="Q979">
        <v>0</v>
      </c>
      <c r="R979" t="s">
        <v>45097</v>
      </c>
      <c r="S979" t="s">
        <v>45222</v>
      </c>
      <c r="T979" t="s">
        <v>46908</v>
      </c>
      <c r="U979" t="s">
        <v>48333</v>
      </c>
      <c r="W979" t="s">
        <v>41808</v>
      </c>
      <c r="X979" t="s">
        <v>45098</v>
      </c>
    </row>
    <row r="980" spans="1:24">
      <c r="A980">
        <f>HYPERLINK("https://www.philgeps.gov.ph/GEPSNONPILOT/Tender/SplashBidNoticeAbstractUI.aspx?menuIndex=3&amp;refID=7045262&amp;Result=3","7045262")</f>
        <v>0</v>
      </c>
      <c r="B980" t="s">
        <v>433</v>
      </c>
      <c r="C980" t="s">
        <v>4130</v>
      </c>
      <c r="D980" t="s">
        <v>18027</v>
      </c>
      <c r="E980" t="s">
        <v>19033</v>
      </c>
      <c r="F980" t="s">
        <v>31574</v>
      </c>
      <c r="G980" t="s">
        <v>31581</v>
      </c>
      <c r="H980" t="s">
        <v>31590</v>
      </c>
      <c r="I980" t="s">
        <v>4327</v>
      </c>
      <c r="J980" t="s">
        <v>32489</v>
      </c>
      <c r="K980" t="s">
        <v>41184</v>
      </c>
      <c r="M980" t="s">
        <v>41926</v>
      </c>
      <c r="N980" t="s">
        <v>45095</v>
      </c>
      <c r="O980" t="s">
        <v>45096</v>
      </c>
      <c r="P980">
        <v>0</v>
      </c>
      <c r="Q980">
        <v>0</v>
      </c>
      <c r="R980" t="s">
        <v>45097</v>
      </c>
      <c r="S980" t="s">
        <v>45222</v>
      </c>
      <c r="T980" t="s">
        <v>46911</v>
      </c>
      <c r="U980" t="s">
        <v>48334</v>
      </c>
      <c r="W980" t="s">
        <v>41926</v>
      </c>
      <c r="X980" t="s">
        <v>45098</v>
      </c>
    </row>
    <row r="981" spans="1:24">
      <c r="A981">
        <f>HYPERLINK("https://www.philgeps.gov.ph/GEPSNONPILOT/Tender/SplashBidNoticeAbstractUI.aspx?menuIndex=3&amp;refID=7045255&amp;Result=3","7045255")</f>
        <v>0</v>
      </c>
      <c r="B981" t="s">
        <v>420</v>
      </c>
      <c r="C981" t="s">
        <v>4131</v>
      </c>
      <c r="D981" t="s">
        <v>18044</v>
      </c>
      <c r="E981" t="s">
        <v>19034</v>
      </c>
      <c r="F981" t="s">
        <v>31574</v>
      </c>
      <c r="G981" t="s">
        <v>31581</v>
      </c>
      <c r="H981" t="s">
        <v>31590</v>
      </c>
      <c r="I981" t="s">
        <v>31633</v>
      </c>
      <c r="J981" t="s">
        <v>32490</v>
      </c>
      <c r="K981" t="s">
        <v>41184</v>
      </c>
      <c r="M981" t="s">
        <v>41912</v>
      </c>
      <c r="N981" t="s">
        <v>45095</v>
      </c>
      <c r="O981" t="s">
        <v>45096</v>
      </c>
      <c r="P981">
        <v>0</v>
      </c>
      <c r="Q981">
        <v>0</v>
      </c>
      <c r="R981" t="s">
        <v>45097</v>
      </c>
      <c r="S981" t="s">
        <v>45222</v>
      </c>
      <c r="T981" t="s">
        <v>46913</v>
      </c>
      <c r="U981" t="s">
        <v>48303</v>
      </c>
      <c r="W981" t="s">
        <v>41912</v>
      </c>
      <c r="X981" t="s">
        <v>45098</v>
      </c>
    </row>
    <row r="982" spans="1:24">
      <c r="A982">
        <f>HYPERLINK("https://www.philgeps.gov.ph/GEPSNONPILOT/Tender/SplashBidNoticeAbstractUI.aspx?menuIndex=3&amp;refID=7045263&amp;Result=3","7045263")</f>
        <v>0</v>
      </c>
      <c r="B982" t="s">
        <v>218</v>
      </c>
      <c r="C982" t="s">
        <v>4132</v>
      </c>
      <c r="D982" t="s">
        <v>18070</v>
      </c>
      <c r="E982" t="s">
        <v>19035</v>
      </c>
      <c r="F982" t="s">
        <v>31574</v>
      </c>
      <c r="G982" t="s">
        <v>31583</v>
      </c>
      <c r="H982" t="s">
        <v>31590</v>
      </c>
      <c r="I982" t="s">
        <v>3487</v>
      </c>
      <c r="J982" t="s">
        <v>32491</v>
      </c>
      <c r="K982" t="s">
        <v>41193</v>
      </c>
      <c r="M982" t="s">
        <v>41703</v>
      </c>
      <c r="N982" t="s">
        <v>45095</v>
      </c>
      <c r="O982" t="s">
        <v>45096</v>
      </c>
      <c r="P982">
        <v>0</v>
      </c>
      <c r="Q982">
        <v>0</v>
      </c>
      <c r="R982" t="s">
        <v>45097</v>
      </c>
      <c r="S982" t="s">
        <v>45222</v>
      </c>
      <c r="T982" t="s">
        <v>46957</v>
      </c>
      <c r="U982" t="s">
        <v>47880</v>
      </c>
      <c r="W982" t="s">
        <v>41703</v>
      </c>
      <c r="X982" t="s">
        <v>45098</v>
      </c>
    </row>
    <row r="983" spans="1:24">
      <c r="A983">
        <f>HYPERLINK("https://www.philgeps.gov.ph/GEPSNONPILOT/Tender/SplashBidNoticeAbstractUI.aspx?menuIndex=3&amp;refID=7045266&amp;Result=3","7045266")</f>
        <v>0</v>
      </c>
      <c r="B983" t="s">
        <v>231</v>
      </c>
      <c r="C983" t="s">
        <v>4133</v>
      </c>
      <c r="D983" t="s">
        <v>18088</v>
      </c>
      <c r="E983" t="s">
        <v>19036</v>
      </c>
      <c r="F983" t="s">
        <v>31574</v>
      </c>
      <c r="G983" t="s">
        <v>31582</v>
      </c>
      <c r="H983" t="s">
        <v>31591</v>
      </c>
      <c r="I983" t="s">
        <v>8822</v>
      </c>
      <c r="J983" t="s">
        <v>32492</v>
      </c>
      <c r="K983" t="s">
        <v>41246</v>
      </c>
      <c r="M983" t="s">
        <v>41716</v>
      </c>
      <c r="N983" t="s">
        <v>45095</v>
      </c>
      <c r="O983" t="s">
        <v>45096</v>
      </c>
      <c r="P983">
        <v>0</v>
      </c>
      <c r="Q983">
        <v>0</v>
      </c>
      <c r="R983" t="s">
        <v>45097</v>
      </c>
      <c r="S983" t="s">
        <v>45222</v>
      </c>
      <c r="T983" t="s">
        <v>46916</v>
      </c>
      <c r="U983" t="s">
        <v>48335</v>
      </c>
      <c r="W983" t="s">
        <v>41716</v>
      </c>
      <c r="X983" t="s">
        <v>45098</v>
      </c>
    </row>
    <row r="984" spans="1:24">
      <c r="A984">
        <f>HYPERLINK("https://www.philgeps.gov.ph/GEPSNONPILOT/Tender/SplashBidNoticeAbstractUI.aspx?menuIndex=3&amp;refID=7045264&amp;Result=3","7045264")</f>
        <v>0</v>
      </c>
      <c r="B984" t="s">
        <v>434</v>
      </c>
      <c r="C984" t="s">
        <v>4134</v>
      </c>
      <c r="D984" t="s">
        <v>18041</v>
      </c>
      <c r="E984" t="s">
        <v>19037</v>
      </c>
      <c r="F984" t="s">
        <v>31574</v>
      </c>
      <c r="G984" t="s">
        <v>31581</v>
      </c>
      <c r="H984" t="s">
        <v>31590</v>
      </c>
      <c r="I984" t="s">
        <v>31600</v>
      </c>
      <c r="J984" t="s">
        <v>32019</v>
      </c>
      <c r="K984" t="s">
        <v>41186</v>
      </c>
      <c r="M984" t="s">
        <v>41927</v>
      </c>
      <c r="N984" t="s">
        <v>45095</v>
      </c>
      <c r="O984" t="s">
        <v>45096</v>
      </c>
      <c r="P984">
        <v>0</v>
      </c>
      <c r="Q984">
        <v>0</v>
      </c>
      <c r="R984" t="s">
        <v>45097</v>
      </c>
      <c r="S984" t="s">
        <v>45222</v>
      </c>
      <c r="T984" t="s">
        <v>46918</v>
      </c>
      <c r="U984" t="s">
        <v>48336</v>
      </c>
      <c r="V984" t="s">
        <v>59939</v>
      </c>
      <c r="W984" t="s">
        <v>41927</v>
      </c>
      <c r="X984" t="s">
        <v>45098</v>
      </c>
    </row>
    <row r="985" spans="1:24">
      <c r="A985">
        <f>HYPERLINK("https://www.philgeps.gov.ph/GEPSNONPILOT/Tender/SplashBidNoticeAbstractUI.aspx?menuIndex=3&amp;refID=7045284&amp;Result=3","7045284")</f>
        <v>0</v>
      </c>
      <c r="B985" t="s">
        <v>435</v>
      </c>
      <c r="C985" t="s">
        <v>4135</v>
      </c>
      <c r="D985" t="s">
        <v>18057</v>
      </c>
      <c r="E985" t="s">
        <v>18437</v>
      </c>
      <c r="F985" t="s">
        <v>31575</v>
      </c>
      <c r="G985" t="s">
        <v>31583</v>
      </c>
      <c r="H985" t="s">
        <v>31592</v>
      </c>
      <c r="I985" t="s">
        <v>31594</v>
      </c>
      <c r="J985" t="s">
        <v>32493</v>
      </c>
      <c r="K985" t="s">
        <v>41193</v>
      </c>
      <c r="M985" t="s">
        <v>41928</v>
      </c>
      <c r="N985" t="s">
        <v>45095</v>
      </c>
      <c r="O985" t="s">
        <v>45096</v>
      </c>
      <c r="P985">
        <v>0</v>
      </c>
      <c r="Q985">
        <v>0</v>
      </c>
      <c r="R985" t="s">
        <v>45097</v>
      </c>
      <c r="S985" t="s">
        <v>45222</v>
      </c>
      <c r="T985" t="s">
        <v>47035</v>
      </c>
      <c r="U985" t="s">
        <v>48337</v>
      </c>
      <c r="W985" t="s">
        <v>41928</v>
      </c>
      <c r="X985" t="s">
        <v>45098</v>
      </c>
    </row>
    <row r="986" spans="1:24">
      <c r="A986">
        <f>HYPERLINK("https://www.philgeps.gov.ph/GEPSNONPILOT/Tender/SplashBidNoticeAbstractUI.aspx?menuIndex=3&amp;refID=7045285&amp;Result=3","7045285")</f>
        <v>0</v>
      </c>
      <c r="B986" t="s">
        <v>392</v>
      </c>
      <c r="C986" t="s">
        <v>4136</v>
      </c>
      <c r="D986" t="s">
        <v>18040</v>
      </c>
      <c r="E986" t="s">
        <v>19038</v>
      </c>
      <c r="F986" t="s">
        <v>31574</v>
      </c>
      <c r="G986" t="s">
        <v>31583</v>
      </c>
      <c r="H986" t="s">
        <v>31590</v>
      </c>
      <c r="I986" t="s">
        <v>31608</v>
      </c>
      <c r="J986" t="s">
        <v>31727</v>
      </c>
      <c r="K986" t="s">
        <v>41211</v>
      </c>
      <c r="M986" t="s">
        <v>41883</v>
      </c>
      <c r="N986" t="s">
        <v>45095</v>
      </c>
      <c r="O986" t="s">
        <v>45096</v>
      </c>
      <c r="P986">
        <v>0</v>
      </c>
      <c r="Q986">
        <v>0</v>
      </c>
      <c r="R986" t="s">
        <v>45097</v>
      </c>
      <c r="S986" t="s">
        <v>45222</v>
      </c>
      <c r="T986" t="s">
        <v>46935</v>
      </c>
      <c r="U986" t="s">
        <v>48338</v>
      </c>
      <c r="W986" t="s">
        <v>41883</v>
      </c>
      <c r="X986" t="s">
        <v>45098</v>
      </c>
    </row>
    <row r="987" spans="1:24">
      <c r="A987">
        <f>HYPERLINK("https://www.philgeps.gov.ph/GEPSNONPILOT/Tender/SplashBidNoticeAbstractUI.aspx?menuIndex=3&amp;refID=7045272&amp;Result=3","7045272")</f>
        <v>0</v>
      </c>
      <c r="B987" t="s">
        <v>372</v>
      </c>
      <c r="C987" t="s">
        <v>4137</v>
      </c>
      <c r="D987" t="s">
        <v>18041</v>
      </c>
      <c r="E987" t="s">
        <v>19039</v>
      </c>
      <c r="F987" t="s">
        <v>31574</v>
      </c>
      <c r="G987" t="s">
        <v>31582</v>
      </c>
      <c r="H987" t="s">
        <v>31590</v>
      </c>
      <c r="I987" t="s">
        <v>31662</v>
      </c>
      <c r="J987" t="s">
        <v>32494</v>
      </c>
      <c r="K987" t="s">
        <v>41185</v>
      </c>
      <c r="M987" t="s">
        <v>41862</v>
      </c>
      <c r="N987" t="s">
        <v>45095</v>
      </c>
      <c r="O987" t="s">
        <v>45096</v>
      </c>
      <c r="P987">
        <v>0</v>
      </c>
      <c r="Q987">
        <v>0</v>
      </c>
      <c r="R987" t="s">
        <v>45097</v>
      </c>
      <c r="S987" t="s">
        <v>45222</v>
      </c>
      <c r="T987" t="s">
        <v>46919</v>
      </c>
      <c r="U987" t="s">
        <v>48339</v>
      </c>
      <c r="W987" t="s">
        <v>42332</v>
      </c>
      <c r="X987" t="s">
        <v>45098</v>
      </c>
    </row>
    <row r="988" spans="1:24">
      <c r="A988">
        <f>HYPERLINK("https://www.philgeps.gov.ph/GEPSNONPILOT/Tender/SplashBidNoticeAbstractUI.aspx?menuIndex=3&amp;refID=7045281&amp;Result=3","7045281")</f>
        <v>0</v>
      </c>
      <c r="B988" t="s">
        <v>362</v>
      </c>
      <c r="C988" t="s">
        <v>4138</v>
      </c>
      <c r="D988" t="s">
        <v>18068</v>
      </c>
      <c r="E988" t="s">
        <v>19040</v>
      </c>
      <c r="F988" t="s">
        <v>31574</v>
      </c>
      <c r="G988" t="s">
        <v>31582</v>
      </c>
      <c r="H988" t="s">
        <v>31591</v>
      </c>
      <c r="I988" t="s">
        <v>8822</v>
      </c>
      <c r="J988" t="s">
        <v>32019</v>
      </c>
      <c r="K988" t="s">
        <v>41192</v>
      </c>
      <c r="M988" t="s">
        <v>41852</v>
      </c>
      <c r="N988" t="s">
        <v>45095</v>
      </c>
      <c r="O988" t="s">
        <v>45096</v>
      </c>
      <c r="P988">
        <v>0</v>
      </c>
      <c r="Q988">
        <v>0</v>
      </c>
      <c r="R988" t="s">
        <v>45097</v>
      </c>
      <c r="S988" t="s">
        <v>45222</v>
      </c>
      <c r="T988" t="s">
        <v>46915</v>
      </c>
      <c r="U988" t="s">
        <v>48340</v>
      </c>
      <c r="W988" t="s">
        <v>41852</v>
      </c>
      <c r="X988" t="s">
        <v>45098</v>
      </c>
    </row>
    <row r="989" spans="1:24">
      <c r="A989">
        <f>HYPERLINK("https://www.philgeps.gov.ph/GEPSNONPILOT/Tender/SplashBidNoticeAbstractUI.aspx?menuIndex=3&amp;refID=7045280&amp;Result=3","7045280")</f>
        <v>0</v>
      </c>
      <c r="B989" t="s">
        <v>50</v>
      </c>
      <c r="C989" t="s">
        <v>3375</v>
      </c>
      <c r="D989" t="s">
        <v>18042</v>
      </c>
      <c r="E989" t="s">
        <v>19041</v>
      </c>
      <c r="F989" t="s">
        <v>31574</v>
      </c>
      <c r="G989" t="s">
        <v>31584</v>
      </c>
      <c r="H989" t="s">
        <v>31590</v>
      </c>
      <c r="I989" t="s">
        <v>6800</v>
      </c>
      <c r="J989" t="s">
        <v>32495</v>
      </c>
      <c r="K989" t="s">
        <v>41191</v>
      </c>
      <c r="M989" t="s">
        <v>41533</v>
      </c>
      <c r="N989" t="s">
        <v>45095</v>
      </c>
      <c r="O989" t="s">
        <v>45096</v>
      </c>
      <c r="P989">
        <v>0</v>
      </c>
      <c r="Q989">
        <v>0</v>
      </c>
      <c r="R989" t="s">
        <v>45097</v>
      </c>
      <c r="S989" t="s">
        <v>45222</v>
      </c>
      <c r="T989" t="s">
        <v>46918</v>
      </c>
      <c r="U989" t="s">
        <v>48341</v>
      </c>
      <c r="W989" t="s">
        <v>41533</v>
      </c>
      <c r="X989" t="s">
        <v>45098</v>
      </c>
    </row>
    <row r="990" spans="1:24">
      <c r="A990">
        <f>HYPERLINK("https://www.philgeps.gov.ph/GEPSNONPILOT/Tender/SplashBidNoticeAbstractUI.aspx?menuIndex=3&amp;refID=7045277&amp;Result=3","7045277")</f>
        <v>0</v>
      </c>
      <c r="B990" t="s">
        <v>436</v>
      </c>
      <c r="C990" t="s">
        <v>4139</v>
      </c>
      <c r="D990" t="s">
        <v>18022</v>
      </c>
      <c r="E990" t="s">
        <v>19042</v>
      </c>
      <c r="F990" t="s">
        <v>31574</v>
      </c>
      <c r="G990" t="s">
        <v>31584</v>
      </c>
      <c r="H990" t="s">
        <v>31590</v>
      </c>
      <c r="I990" t="s">
        <v>5717</v>
      </c>
      <c r="J990" t="s">
        <v>32496</v>
      </c>
      <c r="K990" t="s">
        <v>41196</v>
      </c>
      <c r="M990" t="s">
        <v>41929</v>
      </c>
      <c r="N990" t="s">
        <v>45095</v>
      </c>
      <c r="O990" t="s">
        <v>45096</v>
      </c>
      <c r="P990">
        <v>0</v>
      </c>
      <c r="Q990">
        <v>0</v>
      </c>
      <c r="R990" t="s">
        <v>45097</v>
      </c>
      <c r="S990" t="s">
        <v>45222</v>
      </c>
      <c r="T990" t="s">
        <v>46934</v>
      </c>
      <c r="U990" t="s">
        <v>48342</v>
      </c>
      <c r="V990" t="s">
        <v>59940</v>
      </c>
      <c r="W990" t="s">
        <v>41929</v>
      </c>
      <c r="X990" t="s">
        <v>45098</v>
      </c>
    </row>
    <row r="991" spans="1:24">
      <c r="A991">
        <f>HYPERLINK("https://www.philgeps.gov.ph/GEPSNONPILOT/Tender/SplashBidNoticeAbstractUI.aspx?menuIndex=3&amp;refID=7045271&amp;Result=3","7045271")</f>
        <v>0</v>
      </c>
      <c r="B991" t="s">
        <v>437</v>
      </c>
      <c r="C991" t="s">
        <v>4140</v>
      </c>
      <c r="D991" t="s">
        <v>18056</v>
      </c>
      <c r="E991" t="s">
        <v>19043</v>
      </c>
      <c r="F991" t="s">
        <v>31574</v>
      </c>
      <c r="G991" t="s">
        <v>31582</v>
      </c>
      <c r="H991" t="s">
        <v>31590</v>
      </c>
      <c r="I991" t="s">
        <v>31662</v>
      </c>
      <c r="J991" t="s">
        <v>32497</v>
      </c>
      <c r="K991" t="s">
        <v>41186</v>
      </c>
      <c r="M991" t="s">
        <v>41930</v>
      </c>
      <c r="N991" t="s">
        <v>45095</v>
      </c>
      <c r="O991" t="s">
        <v>45096</v>
      </c>
      <c r="P991">
        <v>0</v>
      </c>
      <c r="Q991">
        <v>0</v>
      </c>
      <c r="R991" t="s">
        <v>45097</v>
      </c>
      <c r="S991" t="s">
        <v>45222</v>
      </c>
      <c r="T991" t="s">
        <v>47036</v>
      </c>
      <c r="U991" t="s">
        <v>48343</v>
      </c>
      <c r="W991" t="s">
        <v>41930</v>
      </c>
      <c r="X991" t="s">
        <v>45098</v>
      </c>
    </row>
    <row r="992" spans="1:24">
      <c r="A992">
        <f>HYPERLINK("https://www.philgeps.gov.ph/GEPSNONPILOT/Tender/SplashBidNoticeAbstractUI.aspx?menuIndex=3&amp;refID=7045276&amp;Result=3","7045276")</f>
        <v>0</v>
      </c>
      <c r="B992" t="s">
        <v>83</v>
      </c>
      <c r="C992" t="s">
        <v>4141</v>
      </c>
      <c r="D992" t="s">
        <v>18097</v>
      </c>
      <c r="E992" t="s">
        <v>19044</v>
      </c>
      <c r="F992" t="s">
        <v>31574</v>
      </c>
      <c r="G992" t="s">
        <v>31581</v>
      </c>
      <c r="H992" t="s">
        <v>31590</v>
      </c>
      <c r="I992" t="s">
        <v>3651</v>
      </c>
      <c r="J992" t="s">
        <v>32498</v>
      </c>
      <c r="K992" t="s">
        <v>41196</v>
      </c>
      <c r="M992" t="s">
        <v>41567</v>
      </c>
      <c r="N992" t="s">
        <v>45095</v>
      </c>
      <c r="O992" t="s">
        <v>45096</v>
      </c>
      <c r="P992">
        <v>0</v>
      </c>
      <c r="Q992">
        <v>0</v>
      </c>
      <c r="R992" t="s">
        <v>45097</v>
      </c>
      <c r="S992" t="s">
        <v>45222</v>
      </c>
      <c r="T992" t="s">
        <v>46952</v>
      </c>
      <c r="U992" t="s">
        <v>48344</v>
      </c>
      <c r="W992" t="s">
        <v>41567</v>
      </c>
      <c r="X992" t="s">
        <v>45098</v>
      </c>
    </row>
    <row r="993" spans="1:24">
      <c r="A993">
        <f>HYPERLINK("https://www.philgeps.gov.ph/GEPSNONPILOT/Tender/SplashBidNoticeAbstractUI.aspx?menuIndex=3&amp;refID=7045275&amp;Result=3","7045275")</f>
        <v>0</v>
      </c>
      <c r="B993" t="s">
        <v>191</v>
      </c>
      <c r="C993" t="s">
        <v>4142</v>
      </c>
      <c r="D993" t="s">
        <v>18082</v>
      </c>
      <c r="E993" t="s">
        <v>19045</v>
      </c>
      <c r="F993" t="s">
        <v>31574</v>
      </c>
      <c r="G993" t="s">
        <v>31582</v>
      </c>
      <c r="H993" t="s">
        <v>31591</v>
      </c>
      <c r="I993" t="s">
        <v>8822</v>
      </c>
      <c r="J993" t="s">
        <v>31935</v>
      </c>
      <c r="K993" t="s">
        <v>41184</v>
      </c>
      <c r="M993" t="s">
        <v>41676</v>
      </c>
      <c r="N993" t="s">
        <v>45095</v>
      </c>
      <c r="O993" t="s">
        <v>45096</v>
      </c>
      <c r="P993">
        <v>0</v>
      </c>
      <c r="Q993">
        <v>0</v>
      </c>
      <c r="R993" t="s">
        <v>45097</v>
      </c>
      <c r="S993" t="s">
        <v>45222</v>
      </c>
      <c r="T993" t="s">
        <v>46924</v>
      </c>
      <c r="U993" t="s">
        <v>47828</v>
      </c>
      <c r="W993" t="s">
        <v>41676</v>
      </c>
      <c r="X993" t="s">
        <v>45098</v>
      </c>
    </row>
    <row r="994" spans="1:24">
      <c r="A994">
        <f>HYPERLINK("https://www.philgeps.gov.ph/GEPSNONPILOT/Tender/SplashBidNoticeAbstractUI.aspx?menuIndex=3&amp;refID=7045278&amp;Result=3","7045278")</f>
        <v>0</v>
      </c>
      <c r="B994" t="s">
        <v>438</v>
      </c>
      <c r="C994" t="s">
        <v>4143</v>
      </c>
      <c r="D994" t="s">
        <v>18040</v>
      </c>
      <c r="E994" t="s">
        <v>19046</v>
      </c>
      <c r="F994" t="s">
        <v>31574</v>
      </c>
      <c r="G994" t="s">
        <v>31581</v>
      </c>
      <c r="H994" t="s">
        <v>31591</v>
      </c>
      <c r="I994" t="s">
        <v>8822</v>
      </c>
      <c r="J994" t="s">
        <v>32499</v>
      </c>
      <c r="K994" t="s">
        <v>41244</v>
      </c>
      <c r="M994" t="s">
        <v>41931</v>
      </c>
      <c r="N994" t="s">
        <v>45095</v>
      </c>
      <c r="O994" t="s">
        <v>45096</v>
      </c>
      <c r="P994">
        <v>0</v>
      </c>
      <c r="Q994">
        <v>0</v>
      </c>
      <c r="R994" t="s">
        <v>45097</v>
      </c>
      <c r="S994" t="s">
        <v>45222</v>
      </c>
      <c r="T994" t="s">
        <v>46918</v>
      </c>
      <c r="U994" t="s">
        <v>48345</v>
      </c>
      <c r="W994" t="s">
        <v>41931</v>
      </c>
      <c r="X994" t="s">
        <v>45098</v>
      </c>
    </row>
    <row r="995" spans="1:24">
      <c r="A995">
        <f>HYPERLINK("https://www.philgeps.gov.ph/GEPSNONPILOT/Tender/SplashBidNoticeAbstractUI.aspx?menuIndex=3&amp;refID=7045274&amp;Result=3","7045274")</f>
        <v>0</v>
      </c>
      <c r="B995" t="s">
        <v>439</v>
      </c>
      <c r="C995" t="s">
        <v>4144</v>
      </c>
      <c r="D995" t="s">
        <v>18046</v>
      </c>
      <c r="E995" t="s">
        <v>19047</v>
      </c>
      <c r="F995" t="s">
        <v>31574</v>
      </c>
      <c r="G995" t="s">
        <v>31582</v>
      </c>
      <c r="H995" t="s">
        <v>31590</v>
      </c>
      <c r="I995" t="s">
        <v>3651</v>
      </c>
      <c r="J995" t="s">
        <v>32500</v>
      </c>
      <c r="K995" t="s">
        <v>41184</v>
      </c>
      <c r="M995" t="s">
        <v>41932</v>
      </c>
      <c r="N995" t="s">
        <v>45095</v>
      </c>
      <c r="O995" t="s">
        <v>45096</v>
      </c>
      <c r="P995">
        <v>0</v>
      </c>
      <c r="Q995">
        <v>0</v>
      </c>
      <c r="R995" t="s">
        <v>45097</v>
      </c>
      <c r="S995" t="s">
        <v>45222</v>
      </c>
      <c r="T995" t="s">
        <v>47037</v>
      </c>
      <c r="U995" t="s">
        <v>48346</v>
      </c>
      <c r="W995" t="s">
        <v>41932</v>
      </c>
      <c r="X995" t="s">
        <v>45098</v>
      </c>
    </row>
    <row r="996" spans="1:24">
      <c r="A996">
        <f>HYPERLINK("https://www.philgeps.gov.ph/GEPSNONPILOT/Tender/SplashBidNoticeAbstractUI.aspx?menuIndex=3&amp;refID=7045279&amp;Result=3","7045279")</f>
        <v>0</v>
      </c>
      <c r="B996" t="s">
        <v>440</v>
      </c>
      <c r="C996" t="s">
        <v>4145</v>
      </c>
      <c r="D996" t="s">
        <v>18073</v>
      </c>
      <c r="E996" t="s">
        <v>19048</v>
      </c>
      <c r="F996" t="s">
        <v>31574</v>
      </c>
      <c r="G996" t="s">
        <v>31581</v>
      </c>
      <c r="H996" t="s">
        <v>31590</v>
      </c>
      <c r="I996" t="s">
        <v>7185</v>
      </c>
      <c r="J996" t="s">
        <v>32501</v>
      </c>
      <c r="K996" t="s">
        <v>41186</v>
      </c>
      <c r="M996" t="s">
        <v>41933</v>
      </c>
      <c r="N996" t="s">
        <v>45095</v>
      </c>
      <c r="O996" t="s">
        <v>45096</v>
      </c>
      <c r="P996">
        <v>0</v>
      </c>
      <c r="Q996">
        <v>0</v>
      </c>
      <c r="R996" t="s">
        <v>45097</v>
      </c>
      <c r="S996" t="s">
        <v>45222</v>
      </c>
      <c r="T996" t="s">
        <v>46918</v>
      </c>
      <c r="U996" t="s">
        <v>48347</v>
      </c>
      <c r="W996" t="s">
        <v>41933</v>
      </c>
      <c r="X996" t="s">
        <v>45098</v>
      </c>
    </row>
    <row r="997" spans="1:24">
      <c r="A997">
        <f>HYPERLINK("https://www.philgeps.gov.ph/GEPSNONPILOT/Tender/SplashBidNoticeAbstractUI.aspx?menuIndex=3&amp;refID=7045267&amp;Result=3","7045267")</f>
        <v>0</v>
      </c>
      <c r="B997" t="s">
        <v>441</v>
      </c>
      <c r="C997" t="s">
        <v>4146</v>
      </c>
      <c r="D997" t="s">
        <v>18022</v>
      </c>
      <c r="E997" t="s">
        <v>19049</v>
      </c>
      <c r="F997" t="s">
        <v>31574</v>
      </c>
      <c r="G997" t="s">
        <v>31583</v>
      </c>
      <c r="H997" t="s">
        <v>31591</v>
      </c>
      <c r="I997" t="s">
        <v>31638</v>
      </c>
      <c r="J997" t="s">
        <v>31821</v>
      </c>
      <c r="K997" t="s">
        <v>41213</v>
      </c>
      <c r="M997" t="s">
        <v>41934</v>
      </c>
      <c r="N997" t="s">
        <v>45095</v>
      </c>
      <c r="O997" t="s">
        <v>45096</v>
      </c>
      <c r="P997">
        <v>0</v>
      </c>
      <c r="Q997">
        <v>0</v>
      </c>
      <c r="R997" t="s">
        <v>45097</v>
      </c>
      <c r="S997" t="s">
        <v>45222</v>
      </c>
      <c r="T997" t="s">
        <v>46910</v>
      </c>
      <c r="U997" t="s">
        <v>48348</v>
      </c>
      <c r="W997" t="s">
        <v>41934</v>
      </c>
      <c r="X997" t="s">
        <v>45098</v>
      </c>
    </row>
    <row r="998" spans="1:24">
      <c r="A998">
        <f>HYPERLINK("https://www.philgeps.gov.ph/GEPSNONPILOT/Tender/SplashBidNoticeAbstractUI.aspx?menuIndex=3&amp;refID=7045287&amp;Result=3","7045287")</f>
        <v>0</v>
      </c>
      <c r="B998" t="s">
        <v>442</v>
      </c>
      <c r="C998" t="s">
        <v>4147</v>
      </c>
      <c r="E998" t="s">
        <v>19050</v>
      </c>
      <c r="F998" t="s">
        <v>31574</v>
      </c>
      <c r="G998" t="s">
        <v>31582</v>
      </c>
      <c r="H998" t="s">
        <v>31590</v>
      </c>
      <c r="I998" t="s">
        <v>31605</v>
      </c>
      <c r="J998" t="s">
        <v>32502</v>
      </c>
      <c r="K998" t="s">
        <v>41184</v>
      </c>
      <c r="M998" t="s">
        <v>41935</v>
      </c>
      <c r="N998" t="s">
        <v>45095</v>
      </c>
      <c r="O998" t="s">
        <v>45096</v>
      </c>
      <c r="P998">
        <v>0</v>
      </c>
      <c r="Q998">
        <v>0</v>
      </c>
      <c r="R998" t="s">
        <v>45097</v>
      </c>
      <c r="S998" t="s">
        <v>45222</v>
      </c>
      <c r="T998" t="s">
        <v>46991</v>
      </c>
      <c r="U998" t="s">
        <v>48349</v>
      </c>
      <c r="W998" t="s">
        <v>41935</v>
      </c>
      <c r="X998" t="s">
        <v>45098</v>
      </c>
    </row>
    <row r="999" spans="1:24">
      <c r="A999">
        <f>HYPERLINK("https://www.philgeps.gov.ph/GEPSNONPILOT/Tender/SplashBidNoticeAbstractUI.aspx?menuIndex=3&amp;refID=7045273&amp;Result=3","7045273")</f>
        <v>0</v>
      </c>
      <c r="B999" t="s">
        <v>415</v>
      </c>
      <c r="C999" t="s">
        <v>4148</v>
      </c>
      <c r="D999" t="s">
        <v>18022</v>
      </c>
      <c r="E999" t="s">
        <v>19051</v>
      </c>
      <c r="F999" t="s">
        <v>31574</v>
      </c>
      <c r="G999" t="s">
        <v>31583</v>
      </c>
      <c r="H999" t="s">
        <v>31590</v>
      </c>
      <c r="I999" t="s">
        <v>3487</v>
      </c>
      <c r="J999" t="s">
        <v>32503</v>
      </c>
      <c r="K999" t="s">
        <v>41190</v>
      </c>
      <c r="M999" t="s">
        <v>41907</v>
      </c>
      <c r="N999" t="s">
        <v>45095</v>
      </c>
      <c r="O999" t="s">
        <v>45096</v>
      </c>
      <c r="P999">
        <v>0</v>
      </c>
      <c r="Q999">
        <v>0</v>
      </c>
      <c r="R999" t="s">
        <v>45097</v>
      </c>
      <c r="S999" t="s">
        <v>45222</v>
      </c>
      <c r="T999" t="s">
        <v>47033</v>
      </c>
      <c r="U999" t="s">
        <v>48350</v>
      </c>
      <c r="V999" t="s">
        <v>59936</v>
      </c>
      <c r="W999" t="s">
        <v>41907</v>
      </c>
      <c r="X999" t="s">
        <v>45098</v>
      </c>
    </row>
    <row r="1000" spans="1:24">
      <c r="A1000">
        <f>HYPERLINK("https://www.philgeps.gov.ph/GEPSNONPILOT/Tender/SplashBidNoticeAbstractUI.aspx?menuIndex=3&amp;refID=7045265&amp;Result=3","7045265")</f>
        <v>0</v>
      </c>
      <c r="B1000" t="s">
        <v>443</v>
      </c>
      <c r="C1000" t="s">
        <v>4149</v>
      </c>
      <c r="D1000" t="s">
        <v>18062</v>
      </c>
      <c r="E1000" t="s">
        <v>19052</v>
      </c>
      <c r="F1000" t="s">
        <v>31574</v>
      </c>
      <c r="G1000" t="s">
        <v>31582</v>
      </c>
      <c r="H1000" t="s">
        <v>31591</v>
      </c>
      <c r="I1000" t="s">
        <v>8822</v>
      </c>
      <c r="J1000" t="s">
        <v>32504</v>
      </c>
      <c r="K1000" t="s">
        <v>41189</v>
      </c>
      <c r="M1000" t="s">
        <v>41936</v>
      </c>
      <c r="N1000" t="s">
        <v>45095</v>
      </c>
      <c r="O1000" t="s">
        <v>45096</v>
      </c>
      <c r="P1000">
        <v>0</v>
      </c>
      <c r="Q1000">
        <v>0</v>
      </c>
      <c r="R1000" t="s">
        <v>45097</v>
      </c>
      <c r="S1000" t="s">
        <v>45222</v>
      </c>
      <c r="T1000" t="s">
        <v>46915</v>
      </c>
      <c r="U1000" t="s">
        <v>48351</v>
      </c>
      <c r="V1000" t="s">
        <v>59941</v>
      </c>
      <c r="W1000" t="s">
        <v>41936</v>
      </c>
      <c r="X1000" t="s">
        <v>45098</v>
      </c>
    </row>
    <row r="1001" spans="1:24">
      <c r="A1001">
        <f>HYPERLINK("https://www.philgeps.gov.ph/GEPSNONPILOT/Tender/SplashBidNoticeAbstractUI.aspx?menuIndex=3&amp;refID=7045301&amp;Result=3","7045301")</f>
        <v>0</v>
      </c>
      <c r="B1001" t="s">
        <v>433</v>
      </c>
      <c r="C1001" t="s">
        <v>4150</v>
      </c>
      <c r="D1001" t="s">
        <v>18027</v>
      </c>
      <c r="E1001" t="s">
        <v>19053</v>
      </c>
      <c r="F1001" t="s">
        <v>31574</v>
      </c>
      <c r="G1001" t="s">
        <v>31583</v>
      </c>
      <c r="H1001" t="s">
        <v>31590</v>
      </c>
      <c r="I1001" t="s">
        <v>6800</v>
      </c>
      <c r="J1001" t="s">
        <v>32505</v>
      </c>
      <c r="K1001" t="s">
        <v>41184</v>
      </c>
      <c r="M1001" t="s">
        <v>41926</v>
      </c>
      <c r="N1001" t="s">
        <v>45095</v>
      </c>
      <c r="O1001" t="s">
        <v>45096</v>
      </c>
      <c r="P1001">
        <v>0</v>
      </c>
      <c r="Q1001">
        <v>0</v>
      </c>
      <c r="R1001" t="s">
        <v>45097</v>
      </c>
      <c r="S1001" t="s">
        <v>45222</v>
      </c>
      <c r="T1001" t="s">
        <v>46911</v>
      </c>
      <c r="U1001" t="s">
        <v>48352</v>
      </c>
      <c r="W1001" t="s">
        <v>41926</v>
      </c>
      <c r="X1001" t="s">
        <v>45098</v>
      </c>
    </row>
    <row r="1002" spans="1:24">
      <c r="A1002">
        <f>HYPERLINK("https://www.philgeps.gov.ph/GEPSNONPILOT/Tender/SplashBidNoticeAbstractUI.aspx?menuIndex=3&amp;refID=7045268&amp;Result=3","7045268")</f>
        <v>0</v>
      </c>
      <c r="B1002" t="s">
        <v>393</v>
      </c>
      <c r="C1002" t="s">
        <v>4151</v>
      </c>
      <c r="D1002" t="s">
        <v>18022</v>
      </c>
      <c r="E1002" t="s">
        <v>19054</v>
      </c>
      <c r="F1002" t="s">
        <v>31574</v>
      </c>
      <c r="G1002" t="s">
        <v>31584</v>
      </c>
      <c r="H1002" t="s">
        <v>31590</v>
      </c>
      <c r="I1002" t="s">
        <v>31616</v>
      </c>
      <c r="J1002" t="s">
        <v>32506</v>
      </c>
      <c r="K1002" t="s">
        <v>41186</v>
      </c>
      <c r="M1002" t="s">
        <v>41920</v>
      </c>
      <c r="N1002" t="s">
        <v>45095</v>
      </c>
      <c r="O1002" t="s">
        <v>45096</v>
      </c>
      <c r="P1002">
        <v>0</v>
      </c>
      <c r="Q1002">
        <v>0</v>
      </c>
      <c r="R1002" t="s">
        <v>45097</v>
      </c>
      <c r="S1002" t="s">
        <v>45222</v>
      </c>
      <c r="T1002" t="s">
        <v>46918</v>
      </c>
      <c r="U1002" t="s">
        <v>48318</v>
      </c>
      <c r="W1002" t="s">
        <v>41920</v>
      </c>
      <c r="X1002" t="s">
        <v>45098</v>
      </c>
    </row>
    <row r="1003" spans="1:24">
      <c r="A1003">
        <f>HYPERLINK("https://www.philgeps.gov.ph/GEPSNONPILOT/Tender/SplashBidNoticeAbstractUI.aspx?menuIndex=3&amp;refID=7045304&amp;Result=3","7045304")</f>
        <v>0</v>
      </c>
      <c r="B1003" t="s">
        <v>50</v>
      </c>
      <c r="C1003" t="s">
        <v>4152</v>
      </c>
      <c r="D1003" t="s">
        <v>18042</v>
      </c>
      <c r="E1003" t="s">
        <v>19055</v>
      </c>
      <c r="F1003" t="s">
        <v>31574</v>
      </c>
      <c r="G1003" t="s">
        <v>31581</v>
      </c>
      <c r="H1003" t="s">
        <v>31590</v>
      </c>
      <c r="I1003" t="s">
        <v>31631</v>
      </c>
      <c r="J1003" t="s">
        <v>32507</v>
      </c>
      <c r="K1003" t="s">
        <v>41191</v>
      </c>
      <c r="M1003" t="s">
        <v>41533</v>
      </c>
      <c r="N1003" t="s">
        <v>45095</v>
      </c>
      <c r="O1003" t="s">
        <v>45096</v>
      </c>
      <c r="P1003">
        <v>0</v>
      </c>
      <c r="Q1003">
        <v>0</v>
      </c>
      <c r="R1003" t="s">
        <v>45097</v>
      </c>
      <c r="S1003" t="s">
        <v>45222</v>
      </c>
      <c r="T1003" t="s">
        <v>46918</v>
      </c>
      <c r="U1003" t="s">
        <v>48353</v>
      </c>
      <c r="W1003" t="s">
        <v>41533</v>
      </c>
      <c r="X1003" t="s">
        <v>45098</v>
      </c>
    </row>
    <row r="1004" spans="1:24">
      <c r="A1004">
        <f>HYPERLINK("https://www.philgeps.gov.ph/GEPSNONPILOT/Tender/SplashBidNoticeAbstractUI.aspx?menuIndex=3&amp;refID=7045286&amp;Result=3","7045286")</f>
        <v>0</v>
      </c>
      <c r="B1004" t="s">
        <v>415</v>
      </c>
      <c r="C1004" t="s">
        <v>4153</v>
      </c>
      <c r="D1004" t="s">
        <v>18022</v>
      </c>
      <c r="E1004" t="s">
        <v>19056</v>
      </c>
      <c r="F1004" t="s">
        <v>31574</v>
      </c>
      <c r="G1004" t="s">
        <v>31583</v>
      </c>
      <c r="H1004" t="s">
        <v>31590</v>
      </c>
      <c r="I1004" t="s">
        <v>31624</v>
      </c>
      <c r="J1004" t="s">
        <v>32508</v>
      </c>
      <c r="K1004" t="s">
        <v>41190</v>
      </c>
      <c r="M1004" t="s">
        <v>41907</v>
      </c>
      <c r="N1004" t="s">
        <v>45095</v>
      </c>
      <c r="O1004" t="s">
        <v>45096</v>
      </c>
      <c r="P1004">
        <v>0</v>
      </c>
      <c r="Q1004">
        <v>0</v>
      </c>
      <c r="R1004" t="s">
        <v>45097</v>
      </c>
      <c r="S1004" t="s">
        <v>45222</v>
      </c>
      <c r="T1004" t="s">
        <v>47033</v>
      </c>
      <c r="U1004" t="s">
        <v>48354</v>
      </c>
      <c r="V1004" t="s">
        <v>59936</v>
      </c>
      <c r="W1004" t="s">
        <v>41907</v>
      </c>
      <c r="X1004" t="s">
        <v>45098</v>
      </c>
    </row>
    <row r="1005" spans="1:24">
      <c r="A1005">
        <f>HYPERLINK("https://www.philgeps.gov.ph/GEPSNONPILOT/Tender/SplashBidNoticeAbstractUI.aspx?menuIndex=3&amp;refID=7045288&amp;Result=3","7045288")</f>
        <v>0</v>
      </c>
      <c r="B1005" t="s">
        <v>433</v>
      </c>
      <c r="C1005" t="s">
        <v>4154</v>
      </c>
      <c r="D1005" t="s">
        <v>18027</v>
      </c>
      <c r="E1005" t="s">
        <v>19057</v>
      </c>
      <c r="F1005" t="s">
        <v>31574</v>
      </c>
      <c r="G1005" t="s">
        <v>31581</v>
      </c>
      <c r="H1005" t="s">
        <v>31590</v>
      </c>
      <c r="I1005" t="s">
        <v>8258</v>
      </c>
      <c r="J1005" t="s">
        <v>32509</v>
      </c>
      <c r="K1005" t="s">
        <v>41184</v>
      </c>
      <c r="M1005" t="s">
        <v>41926</v>
      </c>
      <c r="N1005" t="s">
        <v>45095</v>
      </c>
      <c r="O1005" t="s">
        <v>45096</v>
      </c>
      <c r="P1005">
        <v>0</v>
      </c>
      <c r="Q1005">
        <v>0</v>
      </c>
      <c r="R1005" t="s">
        <v>45097</v>
      </c>
      <c r="S1005" t="s">
        <v>45222</v>
      </c>
      <c r="T1005" t="s">
        <v>46911</v>
      </c>
      <c r="U1005" t="s">
        <v>48355</v>
      </c>
      <c r="W1005" t="s">
        <v>41926</v>
      </c>
      <c r="X1005" t="s">
        <v>45098</v>
      </c>
    </row>
    <row r="1006" spans="1:24">
      <c r="A1006">
        <f>HYPERLINK("https://www.philgeps.gov.ph/GEPSNONPILOT/Tender/SplashBidNoticeAbstractUI.aspx?menuIndex=3&amp;refID=7045269&amp;Result=3","7045269")</f>
        <v>0</v>
      </c>
      <c r="B1006" t="s">
        <v>50</v>
      </c>
      <c r="C1006" t="s">
        <v>4155</v>
      </c>
      <c r="D1006" t="s">
        <v>18042</v>
      </c>
      <c r="E1006" t="s">
        <v>19058</v>
      </c>
      <c r="F1006" t="s">
        <v>31574</v>
      </c>
      <c r="G1006" t="s">
        <v>31581</v>
      </c>
      <c r="H1006" t="s">
        <v>31590</v>
      </c>
      <c r="I1006" t="s">
        <v>31613</v>
      </c>
      <c r="J1006" t="s">
        <v>32510</v>
      </c>
      <c r="K1006" t="s">
        <v>41191</v>
      </c>
      <c r="M1006" t="s">
        <v>41533</v>
      </c>
      <c r="N1006" t="s">
        <v>45095</v>
      </c>
      <c r="O1006" t="s">
        <v>45096</v>
      </c>
      <c r="P1006">
        <v>0</v>
      </c>
      <c r="Q1006">
        <v>0</v>
      </c>
      <c r="R1006" t="s">
        <v>45097</v>
      </c>
      <c r="S1006" t="s">
        <v>45222</v>
      </c>
      <c r="T1006" t="s">
        <v>46918</v>
      </c>
      <c r="U1006" t="s">
        <v>48356</v>
      </c>
      <c r="W1006" t="s">
        <v>41533</v>
      </c>
      <c r="X1006" t="s">
        <v>45098</v>
      </c>
    </row>
    <row r="1007" spans="1:24">
      <c r="A1007">
        <f>HYPERLINK("https://www.philgeps.gov.ph/GEPSNONPILOT/Tender/SplashBidNoticeAbstractUI.aspx?menuIndex=3&amp;refID=7045297&amp;Result=3","7045297")</f>
        <v>0</v>
      </c>
      <c r="B1007" t="s">
        <v>95</v>
      </c>
      <c r="C1007" t="s">
        <v>4156</v>
      </c>
      <c r="D1007" t="s">
        <v>18062</v>
      </c>
      <c r="E1007" t="s">
        <v>19059</v>
      </c>
      <c r="F1007" t="s">
        <v>31574</v>
      </c>
      <c r="G1007" t="s">
        <v>31582</v>
      </c>
      <c r="H1007" t="s">
        <v>31590</v>
      </c>
      <c r="I1007" t="s">
        <v>31626</v>
      </c>
      <c r="J1007" t="s">
        <v>32511</v>
      </c>
      <c r="K1007" t="s">
        <v>41186</v>
      </c>
      <c r="M1007" t="s">
        <v>41937</v>
      </c>
      <c r="N1007" t="s">
        <v>45095</v>
      </c>
      <c r="O1007" t="s">
        <v>45096</v>
      </c>
      <c r="P1007">
        <v>0</v>
      </c>
      <c r="Q1007">
        <v>0</v>
      </c>
      <c r="R1007" t="s">
        <v>45097</v>
      </c>
      <c r="S1007" t="s">
        <v>45222</v>
      </c>
      <c r="T1007" t="s">
        <v>46926</v>
      </c>
      <c r="U1007" t="s">
        <v>48357</v>
      </c>
      <c r="W1007" t="s">
        <v>41937</v>
      </c>
      <c r="X1007" t="s">
        <v>45098</v>
      </c>
    </row>
    <row r="1008" spans="1:24">
      <c r="A1008">
        <f>HYPERLINK("https://www.philgeps.gov.ph/GEPSNONPILOT/Tender/SplashBidNoticeAbstractUI.aspx?menuIndex=3&amp;refID=7045300&amp;Result=3","7045300")</f>
        <v>0</v>
      </c>
      <c r="B1008" t="s">
        <v>50</v>
      </c>
      <c r="C1008" t="s">
        <v>3375</v>
      </c>
      <c r="D1008" t="s">
        <v>18042</v>
      </c>
      <c r="E1008" t="s">
        <v>19060</v>
      </c>
      <c r="F1008" t="s">
        <v>31574</v>
      </c>
      <c r="G1008" t="s">
        <v>31584</v>
      </c>
      <c r="H1008" t="s">
        <v>31590</v>
      </c>
      <c r="I1008" t="s">
        <v>6800</v>
      </c>
      <c r="J1008" t="s">
        <v>32512</v>
      </c>
      <c r="K1008" t="s">
        <v>41191</v>
      </c>
      <c r="M1008" t="s">
        <v>41533</v>
      </c>
      <c r="N1008" t="s">
        <v>45095</v>
      </c>
      <c r="O1008" t="s">
        <v>45096</v>
      </c>
      <c r="P1008">
        <v>0</v>
      </c>
      <c r="Q1008">
        <v>0</v>
      </c>
      <c r="R1008" t="s">
        <v>45097</v>
      </c>
      <c r="S1008" t="s">
        <v>45222</v>
      </c>
      <c r="T1008" t="s">
        <v>46918</v>
      </c>
      <c r="U1008" t="s">
        <v>48358</v>
      </c>
      <c r="W1008" t="s">
        <v>41533</v>
      </c>
      <c r="X1008" t="s">
        <v>45098</v>
      </c>
    </row>
    <row r="1009" spans="1:24">
      <c r="A1009">
        <f>HYPERLINK("https://www.philgeps.gov.ph/GEPSNONPILOT/Tender/SplashBidNoticeAbstractUI.aspx?menuIndex=3&amp;refID=7045298&amp;Result=3","7045298")</f>
        <v>0</v>
      </c>
      <c r="B1009" t="s">
        <v>444</v>
      </c>
      <c r="C1009" t="s">
        <v>4157</v>
      </c>
      <c r="D1009" t="s">
        <v>18058</v>
      </c>
      <c r="E1009" t="s">
        <v>19061</v>
      </c>
      <c r="F1009" t="s">
        <v>31574</v>
      </c>
      <c r="G1009" t="s">
        <v>31582</v>
      </c>
      <c r="H1009" t="s">
        <v>31590</v>
      </c>
      <c r="I1009" t="s">
        <v>31598</v>
      </c>
      <c r="J1009" t="s">
        <v>31789</v>
      </c>
      <c r="K1009" t="s">
        <v>41190</v>
      </c>
      <c r="M1009" t="s">
        <v>41938</v>
      </c>
      <c r="N1009" t="s">
        <v>45095</v>
      </c>
      <c r="O1009" t="s">
        <v>45096</v>
      </c>
      <c r="P1009">
        <v>0</v>
      </c>
      <c r="Q1009">
        <v>0</v>
      </c>
      <c r="R1009" t="s">
        <v>45097</v>
      </c>
      <c r="S1009" t="s">
        <v>45222</v>
      </c>
      <c r="T1009" t="s">
        <v>46941</v>
      </c>
      <c r="U1009" t="s">
        <v>48359</v>
      </c>
      <c r="W1009" t="s">
        <v>41938</v>
      </c>
      <c r="X1009" t="s">
        <v>45098</v>
      </c>
    </row>
    <row r="1010" spans="1:24">
      <c r="A1010">
        <f>HYPERLINK("https://www.philgeps.gov.ph/GEPSNONPILOT/Tender/SplashBidNoticeAbstractUI.aspx?menuIndex=3&amp;refID=7045292&amp;Result=3","7045292")</f>
        <v>0</v>
      </c>
      <c r="B1010" t="s">
        <v>445</v>
      </c>
      <c r="C1010" t="s">
        <v>4158</v>
      </c>
      <c r="D1010" t="s">
        <v>18065</v>
      </c>
      <c r="E1010" t="s">
        <v>19062</v>
      </c>
      <c r="F1010" t="s">
        <v>31574</v>
      </c>
      <c r="G1010" t="s">
        <v>31583</v>
      </c>
      <c r="H1010" t="s">
        <v>31590</v>
      </c>
      <c r="I1010" t="s">
        <v>6800</v>
      </c>
      <c r="J1010" t="s">
        <v>32513</v>
      </c>
      <c r="K1010" t="s">
        <v>41190</v>
      </c>
      <c r="M1010" t="s">
        <v>41939</v>
      </c>
      <c r="N1010" t="s">
        <v>45095</v>
      </c>
      <c r="O1010" t="s">
        <v>45096</v>
      </c>
      <c r="P1010">
        <v>0</v>
      </c>
      <c r="Q1010">
        <v>0</v>
      </c>
      <c r="R1010" t="s">
        <v>45097</v>
      </c>
      <c r="S1010" t="s">
        <v>45222</v>
      </c>
      <c r="T1010" t="s">
        <v>46911</v>
      </c>
      <c r="U1010" t="s">
        <v>48360</v>
      </c>
      <c r="W1010" t="s">
        <v>41939</v>
      </c>
      <c r="X1010" t="s">
        <v>45098</v>
      </c>
    </row>
    <row r="1011" spans="1:24">
      <c r="A1011">
        <f>HYPERLINK("https://www.philgeps.gov.ph/GEPSNONPILOT/Tender/SplashBidNoticeAbstractUI.aspx?menuIndex=3&amp;refID=7045309&amp;Result=3","7045309")</f>
        <v>0</v>
      </c>
      <c r="B1011" t="s">
        <v>446</v>
      </c>
      <c r="C1011" t="s">
        <v>4159</v>
      </c>
      <c r="D1011" t="s">
        <v>18075</v>
      </c>
      <c r="E1011" t="s">
        <v>19063</v>
      </c>
      <c r="F1011" t="s">
        <v>31574</v>
      </c>
      <c r="G1011" t="s">
        <v>31581</v>
      </c>
      <c r="H1011" t="s">
        <v>31590</v>
      </c>
      <c r="I1011" t="s">
        <v>31611</v>
      </c>
      <c r="J1011" t="s">
        <v>32514</v>
      </c>
      <c r="K1011" t="s">
        <v>41192</v>
      </c>
      <c r="M1011" t="s">
        <v>41940</v>
      </c>
      <c r="N1011" t="s">
        <v>45095</v>
      </c>
      <c r="O1011" t="s">
        <v>45096</v>
      </c>
      <c r="P1011">
        <v>0</v>
      </c>
      <c r="Q1011">
        <v>0</v>
      </c>
      <c r="R1011" t="s">
        <v>45097</v>
      </c>
      <c r="S1011" t="s">
        <v>45222</v>
      </c>
      <c r="T1011" t="s">
        <v>46946</v>
      </c>
      <c r="U1011" t="s">
        <v>48361</v>
      </c>
      <c r="W1011" t="s">
        <v>41940</v>
      </c>
      <c r="X1011" t="s">
        <v>45098</v>
      </c>
    </row>
    <row r="1012" spans="1:24">
      <c r="A1012">
        <f>HYPERLINK("https://www.philgeps.gov.ph/GEPSNONPILOT/Tender/SplashBidNoticeAbstractUI.aspx?menuIndex=3&amp;refID=7045295&amp;Result=3","7045295")</f>
        <v>0</v>
      </c>
      <c r="B1012" t="s">
        <v>50</v>
      </c>
      <c r="C1012" t="s">
        <v>4160</v>
      </c>
      <c r="D1012" t="s">
        <v>18042</v>
      </c>
      <c r="E1012" t="s">
        <v>19064</v>
      </c>
      <c r="F1012" t="s">
        <v>31574</v>
      </c>
      <c r="G1012" t="s">
        <v>31581</v>
      </c>
      <c r="H1012" t="s">
        <v>31590</v>
      </c>
      <c r="I1012" t="s">
        <v>31646</v>
      </c>
      <c r="J1012" t="s">
        <v>32515</v>
      </c>
      <c r="K1012" t="s">
        <v>41191</v>
      </c>
      <c r="M1012" t="s">
        <v>41533</v>
      </c>
      <c r="N1012" t="s">
        <v>45095</v>
      </c>
      <c r="O1012" t="s">
        <v>45096</v>
      </c>
      <c r="P1012">
        <v>0</v>
      </c>
      <c r="Q1012">
        <v>0</v>
      </c>
      <c r="R1012" t="s">
        <v>45097</v>
      </c>
      <c r="S1012" t="s">
        <v>45222</v>
      </c>
      <c r="T1012" t="s">
        <v>46918</v>
      </c>
      <c r="U1012" t="s">
        <v>48362</v>
      </c>
      <c r="W1012" t="s">
        <v>41533</v>
      </c>
      <c r="X1012" t="s">
        <v>45098</v>
      </c>
    </row>
    <row r="1013" spans="1:24">
      <c r="A1013">
        <f>HYPERLINK("https://www.philgeps.gov.ph/GEPSNONPILOT/Tender/SplashBidNoticeAbstractUI.aspx?menuIndex=3&amp;refID=7045306&amp;Result=3","7045306")</f>
        <v>0</v>
      </c>
      <c r="B1013" t="s">
        <v>447</v>
      </c>
      <c r="C1013" t="s">
        <v>4161</v>
      </c>
      <c r="D1013" t="s">
        <v>18044</v>
      </c>
      <c r="E1013" t="s">
        <v>19065</v>
      </c>
      <c r="F1013" t="s">
        <v>31574</v>
      </c>
      <c r="G1013" t="s">
        <v>31582</v>
      </c>
      <c r="H1013" t="s">
        <v>31591</v>
      </c>
      <c r="I1013" t="s">
        <v>8822</v>
      </c>
      <c r="J1013" t="s">
        <v>31789</v>
      </c>
      <c r="K1013" t="s">
        <v>41186</v>
      </c>
      <c r="M1013" t="s">
        <v>41941</v>
      </c>
      <c r="N1013" t="s">
        <v>45095</v>
      </c>
      <c r="O1013" t="s">
        <v>45096</v>
      </c>
      <c r="P1013">
        <v>0</v>
      </c>
      <c r="Q1013">
        <v>0</v>
      </c>
      <c r="R1013" t="s">
        <v>45097</v>
      </c>
      <c r="S1013" t="s">
        <v>45222</v>
      </c>
      <c r="T1013" t="s">
        <v>47004</v>
      </c>
      <c r="U1013" t="s">
        <v>48363</v>
      </c>
      <c r="W1013" t="s">
        <v>41941</v>
      </c>
      <c r="X1013" t="s">
        <v>45098</v>
      </c>
    </row>
    <row r="1014" spans="1:24">
      <c r="A1014">
        <f>HYPERLINK("https://www.philgeps.gov.ph/GEPSNONPILOT/Tender/SplashBidNoticeAbstractUI.aspx?menuIndex=3&amp;refID=7045294&amp;Result=3","7045294")</f>
        <v>0</v>
      </c>
      <c r="B1014" t="s">
        <v>442</v>
      </c>
      <c r="C1014" t="s">
        <v>4162</v>
      </c>
      <c r="E1014" t="s">
        <v>19066</v>
      </c>
      <c r="F1014" t="s">
        <v>31574</v>
      </c>
      <c r="G1014" t="s">
        <v>31582</v>
      </c>
      <c r="H1014" t="s">
        <v>31590</v>
      </c>
      <c r="I1014" t="s">
        <v>4046</v>
      </c>
      <c r="J1014" t="s">
        <v>32516</v>
      </c>
      <c r="K1014" t="s">
        <v>41184</v>
      </c>
      <c r="M1014" t="s">
        <v>41935</v>
      </c>
      <c r="N1014" t="s">
        <v>45095</v>
      </c>
      <c r="O1014" t="s">
        <v>45096</v>
      </c>
      <c r="P1014">
        <v>0</v>
      </c>
      <c r="Q1014">
        <v>0</v>
      </c>
      <c r="R1014" t="s">
        <v>45097</v>
      </c>
      <c r="S1014" t="s">
        <v>45222</v>
      </c>
      <c r="T1014" t="s">
        <v>47038</v>
      </c>
      <c r="U1014" t="s">
        <v>48364</v>
      </c>
      <c r="W1014" t="s">
        <v>41935</v>
      </c>
      <c r="X1014" t="s">
        <v>45098</v>
      </c>
    </row>
    <row r="1015" spans="1:24">
      <c r="A1015">
        <f>HYPERLINK("https://www.philgeps.gov.ph/GEPSNONPILOT/Tender/SplashBidNoticeAbstractUI.aspx?menuIndex=3&amp;refID=7045308&amp;Result=3","7045308")</f>
        <v>0</v>
      </c>
      <c r="B1015" t="s">
        <v>50</v>
      </c>
      <c r="C1015" t="s">
        <v>4163</v>
      </c>
      <c r="D1015" t="s">
        <v>18042</v>
      </c>
      <c r="E1015" t="s">
        <v>19055</v>
      </c>
      <c r="F1015" t="s">
        <v>31574</v>
      </c>
      <c r="G1015" t="s">
        <v>31581</v>
      </c>
      <c r="H1015" t="s">
        <v>31590</v>
      </c>
      <c r="I1015" t="s">
        <v>31599</v>
      </c>
      <c r="J1015" t="s">
        <v>32517</v>
      </c>
      <c r="K1015" t="s">
        <v>41191</v>
      </c>
      <c r="M1015" t="s">
        <v>41533</v>
      </c>
      <c r="N1015" t="s">
        <v>45095</v>
      </c>
      <c r="O1015" t="s">
        <v>45096</v>
      </c>
      <c r="P1015">
        <v>0</v>
      </c>
      <c r="Q1015">
        <v>0</v>
      </c>
      <c r="R1015" t="s">
        <v>45097</v>
      </c>
      <c r="S1015" t="s">
        <v>45222</v>
      </c>
      <c r="T1015" t="s">
        <v>46918</v>
      </c>
      <c r="U1015" t="s">
        <v>48353</v>
      </c>
      <c r="W1015" t="s">
        <v>41533</v>
      </c>
      <c r="X1015" t="s">
        <v>45098</v>
      </c>
    </row>
    <row r="1016" spans="1:24">
      <c r="A1016">
        <f>HYPERLINK("https://www.philgeps.gov.ph/GEPSNONPILOT/Tender/SplashBidNoticeAbstractUI.aspx?menuIndex=3&amp;refID=7045310&amp;Result=3","7045310")</f>
        <v>0</v>
      </c>
      <c r="B1016" t="s">
        <v>50</v>
      </c>
      <c r="C1016" t="s">
        <v>4164</v>
      </c>
      <c r="D1016" t="s">
        <v>18042</v>
      </c>
      <c r="E1016" t="s">
        <v>19055</v>
      </c>
      <c r="F1016" t="s">
        <v>31574</v>
      </c>
      <c r="G1016" t="s">
        <v>31581</v>
      </c>
      <c r="H1016" t="s">
        <v>31590</v>
      </c>
      <c r="I1016" t="s">
        <v>3901</v>
      </c>
      <c r="J1016" t="s">
        <v>32518</v>
      </c>
      <c r="K1016" t="s">
        <v>41191</v>
      </c>
      <c r="M1016" t="s">
        <v>41533</v>
      </c>
      <c r="N1016" t="s">
        <v>45095</v>
      </c>
      <c r="O1016" t="s">
        <v>45096</v>
      </c>
      <c r="P1016">
        <v>0</v>
      </c>
      <c r="Q1016">
        <v>0</v>
      </c>
      <c r="R1016" t="s">
        <v>45097</v>
      </c>
      <c r="S1016" t="s">
        <v>45222</v>
      </c>
      <c r="T1016" t="s">
        <v>46918</v>
      </c>
      <c r="U1016" t="s">
        <v>48353</v>
      </c>
      <c r="W1016" t="s">
        <v>41533</v>
      </c>
      <c r="X1016" t="s">
        <v>45098</v>
      </c>
    </row>
    <row r="1017" spans="1:24">
      <c r="A1017">
        <f>HYPERLINK("https://www.philgeps.gov.ph/GEPSNONPILOT/Tender/SplashBidNoticeAbstractUI.aspx?menuIndex=3&amp;refID=7045305&amp;Result=3","7045305")</f>
        <v>0</v>
      </c>
      <c r="B1017" t="s">
        <v>320</v>
      </c>
      <c r="C1017" t="s">
        <v>4165</v>
      </c>
      <c r="D1017" t="s">
        <v>18070</v>
      </c>
      <c r="E1017" t="s">
        <v>19067</v>
      </c>
      <c r="F1017" t="s">
        <v>31574</v>
      </c>
      <c r="G1017" t="s">
        <v>31582</v>
      </c>
      <c r="H1017" t="s">
        <v>31591</v>
      </c>
      <c r="I1017" t="s">
        <v>8822</v>
      </c>
      <c r="J1017" t="s">
        <v>32519</v>
      </c>
      <c r="K1017" t="s">
        <v>41247</v>
      </c>
      <c r="M1017" t="s">
        <v>41808</v>
      </c>
      <c r="N1017" t="s">
        <v>45095</v>
      </c>
      <c r="O1017" t="s">
        <v>45096</v>
      </c>
      <c r="P1017">
        <v>0</v>
      </c>
      <c r="Q1017">
        <v>0</v>
      </c>
      <c r="R1017" t="s">
        <v>45097</v>
      </c>
      <c r="S1017" t="s">
        <v>45222</v>
      </c>
      <c r="T1017" t="s">
        <v>46908</v>
      </c>
      <c r="U1017" t="s">
        <v>48333</v>
      </c>
      <c r="W1017" t="s">
        <v>41808</v>
      </c>
      <c r="X1017" t="s">
        <v>45098</v>
      </c>
    </row>
    <row r="1018" spans="1:24">
      <c r="A1018">
        <f>HYPERLINK("https://www.philgeps.gov.ph/GEPSNONPILOT/Tender/SplashBidNoticeAbstractUI.aspx?menuIndex=3&amp;refID=7045318&amp;Result=3","7045318")</f>
        <v>0</v>
      </c>
      <c r="B1018" t="s">
        <v>441</v>
      </c>
      <c r="C1018" t="s">
        <v>4166</v>
      </c>
      <c r="D1018" t="s">
        <v>18022</v>
      </c>
      <c r="E1018" t="s">
        <v>19068</v>
      </c>
      <c r="F1018" t="s">
        <v>31574</v>
      </c>
      <c r="G1018" t="s">
        <v>31583</v>
      </c>
      <c r="H1018" t="s">
        <v>31590</v>
      </c>
      <c r="I1018" t="s">
        <v>3487</v>
      </c>
      <c r="J1018" t="s">
        <v>31914</v>
      </c>
      <c r="K1018" t="s">
        <v>41211</v>
      </c>
      <c r="M1018" t="s">
        <v>41934</v>
      </c>
      <c r="N1018" t="s">
        <v>45095</v>
      </c>
      <c r="O1018" t="s">
        <v>45096</v>
      </c>
      <c r="P1018">
        <v>0</v>
      </c>
      <c r="Q1018">
        <v>0</v>
      </c>
      <c r="R1018" t="s">
        <v>45097</v>
      </c>
      <c r="S1018" t="s">
        <v>45222</v>
      </c>
      <c r="T1018" t="s">
        <v>46910</v>
      </c>
      <c r="U1018" t="s">
        <v>48365</v>
      </c>
      <c r="W1018" t="s">
        <v>41934</v>
      </c>
      <c r="X1018" t="s">
        <v>45098</v>
      </c>
    </row>
    <row r="1019" spans="1:24">
      <c r="A1019">
        <f>HYPERLINK("https://www.philgeps.gov.ph/GEPSNONPILOT/Tender/SplashBidNoticeAbstractUI.aspx?menuIndex=3&amp;refID=7045289&amp;Result=3","7045289")</f>
        <v>0</v>
      </c>
      <c r="B1019" t="s">
        <v>50</v>
      </c>
      <c r="C1019" t="s">
        <v>4167</v>
      </c>
      <c r="D1019" t="s">
        <v>18042</v>
      </c>
      <c r="E1019" t="s">
        <v>19069</v>
      </c>
      <c r="F1019" t="s">
        <v>31574</v>
      </c>
      <c r="G1019" t="s">
        <v>31581</v>
      </c>
      <c r="H1019" t="s">
        <v>31590</v>
      </c>
      <c r="I1019" t="s">
        <v>31602</v>
      </c>
      <c r="J1019" t="s">
        <v>32258</v>
      </c>
      <c r="K1019" t="s">
        <v>41191</v>
      </c>
      <c r="M1019" t="s">
        <v>41533</v>
      </c>
      <c r="N1019" t="s">
        <v>45095</v>
      </c>
      <c r="O1019" t="s">
        <v>45096</v>
      </c>
      <c r="P1019">
        <v>0</v>
      </c>
      <c r="Q1019">
        <v>0</v>
      </c>
      <c r="R1019" t="s">
        <v>45097</v>
      </c>
      <c r="S1019" t="s">
        <v>45222</v>
      </c>
      <c r="T1019" t="s">
        <v>46918</v>
      </c>
      <c r="U1019" t="s">
        <v>48366</v>
      </c>
      <c r="W1019" t="s">
        <v>41533</v>
      </c>
      <c r="X1019" t="s">
        <v>45098</v>
      </c>
    </row>
    <row r="1020" spans="1:24">
      <c r="A1020">
        <f>HYPERLINK("https://www.philgeps.gov.ph/GEPSNONPILOT/Tender/SplashBidNoticeAbstractUI.aspx?menuIndex=3&amp;refID=7045317&amp;Result=3","7045317")</f>
        <v>0</v>
      </c>
      <c r="B1020" t="s">
        <v>329</v>
      </c>
      <c r="C1020" t="s">
        <v>4168</v>
      </c>
      <c r="D1020" t="s">
        <v>18092</v>
      </c>
      <c r="E1020" t="s">
        <v>19070</v>
      </c>
      <c r="F1020" t="s">
        <v>31574</v>
      </c>
      <c r="G1020" t="s">
        <v>31584</v>
      </c>
      <c r="H1020" t="s">
        <v>31590</v>
      </c>
      <c r="I1020" t="s">
        <v>14544</v>
      </c>
      <c r="J1020" t="s">
        <v>32136</v>
      </c>
      <c r="K1020" t="s">
        <v>41186</v>
      </c>
      <c r="M1020" t="s">
        <v>41817</v>
      </c>
      <c r="N1020" t="s">
        <v>45095</v>
      </c>
      <c r="O1020" t="s">
        <v>45096</v>
      </c>
      <c r="P1020">
        <v>0</v>
      </c>
      <c r="Q1020">
        <v>0</v>
      </c>
      <c r="R1020" t="s">
        <v>45097</v>
      </c>
      <c r="S1020" t="s">
        <v>45222</v>
      </c>
      <c r="T1020" t="s">
        <v>46904</v>
      </c>
      <c r="U1020" t="s">
        <v>48367</v>
      </c>
      <c r="W1020" t="s">
        <v>41817</v>
      </c>
      <c r="X1020" t="s">
        <v>45098</v>
      </c>
    </row>
    <row r="1021" spans="1:24">
      <c r="A1021">
        <f>HYPERLINK("https://www.philgeps.gov.ph/GEPSNONPILOT/Tender/SplashBidNoticeAbstractUI.aspx?menuIndex=3&amp;refID=7045307&amp;Result=3","7045307")</f>
        <v>0</v>
      </c>
      <c r="B1021" t="s">
        <v>448</v>
      </c>
      <c r="C1021" t="s">
        <v>4169</v>
      </c>
      <c r="D1021" t="s">
        <v>18044</v>
      </c>
      <c r="E1021" t="s">
        <v>19071</v>
      </c>
      <c r="F1021" t="s">
        <v>31574</v>
      </c>
      <c r="G1021" t="s">
        <v>31583</v>
      </c>
      <c r="H1021" t="s">
        <v>31590</v>
      </c>
      <c r="I1021" t="s">
        <v>8258</v>
      </c>
      <c r="J1021" t="s">
        <v>32520</v>
      </c>
      <c r="K1021" t="s">
        <v>41184</v>
      </c>
      <c r="M1021" t="s">
        <v>41942</v>
      </c>
      <c r="N1021" t="s">
        <v>45095</v>
      </c>
      <c r="O1021" t="s">
        <v>45096</v>
      </c>
      <c r="P1021">
        <v>0</v>
      </c>
      <c r="Q1021">
        <v>0</v>
      </c>
      <c r="R1021" t="s">
        <v>45097</v>
      </c>
      <c r="S1021" t="s">
        <v>45222</v>
      </c>
      <c r="T1021" t="s">
        <v>46936</v>
      </c>
      <c r="U1021" t="s">
        <v>48368</v>
      </c>
      <c r="W1021" t="s">
        <v>41942</v>
      </c>
      <c r="X1021" t="s">
        <v>45098</v>
      </c>
    </row>
    <row r="1022" spans="1:24">
      <c r="A1022">
        <f>HYPERLINK("https://www.philgeps.gov.ph/GEPSNONPILOT/Tender/SplashBidNoticeAbstractUI.aspx?menuIndex=3&amp;refID=7045311&amp;Result=3","7045311")</f>
        <v>0</v>
      </c>
      <c r="B1022" t="s">
        <v>279</v>
      </c>
      <c r="C1022" t="s">
        <v>4170</v>
      </c>
      <c r="D1022" t="s">
        <v>18041</v>
      </c>
      <c r="E1022" t="s">
        <v>18693</v>
      </c>
      <c r="F1022" t="s">
        <v>31574</v>
      </c>
      <c r="G1022" t="s">
        <v>31581</v>
      </c>
      <c r="H1022" t="s">
        <v>31590</v>
      </c>
      <c r="I1022" t="s">
        <v>6800</v>
      </c>
      <c r="J1022" t="s">
        <v>32521</v>
      </c>
      <c r="K1022" t="s">
        <v>41190</v>
      </c>
      <c r="M1022" t="s">
        <v>41765</v>
      </c>
      <c r="N1022" t="s">
        <v>45095</v>
      </c>
      <c r="O1022" t="s">
        <v>45096</v>
      </c>
      <c r="P1022">
        <v>0</v>
      </c>
      <c r="Q1022">
        <v>0</v>
      </c>
      <c r="R1022" t="s">
        <v>45097</v>
      </c>
      <c r="S1022" t="s">
        <v>45222</v>
      </c>
      <c r="T1022" t="s">
        <v>46911</v>
      </c>
      <c r="U1022" t="s">
        <v>48369</v>
      </c>
      <c r="W1022" t="s">
        <v>41765</v>
      </c>
      <c r="X1022" t="s">
        <v>45098</v>
      </c>
    </row>
    <row r="1023" spans="1:24">
      <c r="A1023">
        <f>HYPERLINK("https://www.philgeps.gov.ph/GEPSNONPILOT/Tender/SplashBidNoticeAbstractUI.aspx?menuIndex=3&amp;refID=7045291&amp;Result=3","7045291")</f>
        <v>0</v>
      </c>
      <c r="B1023" t="s">
        <v>449</v>
      </c>
      <c r="C1023" t="s">
        <v>4171</v>
      </c>
      <c r="D1023" t="s">
        <v>18033</v>
      </c>
      <c r="E1023" t="s">
        <v>19072</v>
      </c>
      <c r="F1023" t="s">
        <v>31574</v>
      </c>
      <c r="G1023" t="s">
        <v>31581</v>
      </c>
      <c r="H1023" t="s">
        <v>31590</v>
      </c>
      <c r="I1023" t="s">
        <v>3489</v>
      </c>
      <c r="J1023" t="s">
        <v>32522</v>
      </c>
      <c r="K1023" t="s">
        <v>41191</v>
      </c>
      <c r="M1023" t="s">
        <v>41943</v>
      </c>
      <c r="N1023" t="s">
        <v>45095</v>
      </c>
      <c r="O1023" t="s">
        <v>45096</v>
      </c>
      <c r="P1023">
        <v>0</v>
      </c>
      <c r="Q1023">
        <v>0</v>
      </c>
      <c r="R1023" t="s">
        <v>45097</v>
      </c>
      <c r="S1023" t="s">
        <v>45222</v>
      </c>
      <c r="T1023" t="s">
        <v>46904</v>
      </c>
      <c r="U1023" t="s">
        <v>48370</v>
      </c>
      <c r="W1023" t="s">
        <v>41943</v>
      </c>
      <c r="X1023" t="s">
        <v>45098</v>
      </c>
    </row>
    <row r="1024" spans="1:24">
      <c r="A1024">
        <f>HYPERLINK("https://www.philgeps.gov.ph/GEPSNONPILOT/Tender/SplashBidNoticeAbstractUI.aspx?menuIndex=3&amp;refID=7045315&amp;Result=3","7045315")</f>
        <v>0</v>
      </c>
      <c r="B1024" t="s">
        <v>438</v>
      </c>
      <c r="C1024" t="s">
        <v>4172</v>
      </c>
      <c r="D1024" t="s">
        <v>18040</v>
      </c>
      <c r="E1024" t="s">
        <v>19073</v>
      </c>
      <c r="F1024" t="s">
        <v>31574</v>
      </c>
      <c r="G1024" t="s">
        <v>31581</v>
      </c>
      <c r="H1024" t="s">
        <v>31590</v>
      </c>
      <c r="I1024" t="s">
        <v>4354</v>
      </c>
      <c r="J1024" t="s">
        <v>32240</v>
      </c>
      <c r="K1024" t="s">
        <v>41213</v>
      </c>
      <c r="M1024" t="s">
        <v>41931</v>
      </c>
      <c r="N1024" t="s">
        <v>45095</v>
      </c>
      <c r="O1024" t="s">
        <v>45096</v>
      </c>
      <c r="P1024">
        <v>0</v>
      </c>
      <c r="Q1024">
        <v>0</v>
      </c>
      <c r="R1024" t="s">
        <v>45097</v>
      </c>
      <c r="S1024" t="s">
        <v>45222</v>
      </c>
      <c r="T1024" t="s">
        <v>46918</v>
      </c>
      <c r="U1024" t="s">
        <v>48345</v>
      </c>
      <c r="W1024" t="s">
        <v>41931</v>
      </c>
      <c r="X1024" t="s">
        <v>45098</v>
      </c>
    </row>
    <row r="1025" spans="1:24">
      <c r="A1025">
        <f>HYPERLINK("https://www.philgeps.gov.ph/GEPSNONPILOT/Tender/SplashBidNoticeAbstractUI.aspx?menuIndex=3&amp;refID=7045328&amp;Result=3","7045328")</f>
        <v>0</v>
      </c>
      <c r="B1025" t="s">
        <v>450</v>
      </c>
      <c r="C1025" t="s">
        <v>4173</v>
      </c>
      <c r="D1025" t="s">
        <v>18039</v>
      </c>
      <c r="E1025" t="s">
        <v>19074</v>
      </c>
      <c r="F1025" t="s">
        <v>31574</v>
      </c>
      <c r="G1025" t="s">
        <v>31582</v>
      </c>
      <c r="H1025" t="s">
        <v>31591</v>
      </c>
      <c r="I1025" t="s">
        <v>8822</v>
      </c>
      <c r="J1025" t="s">
        <v>32232</v>
      </c>
      <c r="K1025" t="s">
        <v>41185</v>
      </c>
      <c r="M1025" t="s">
        <v>41944</v>
      </c>
      <c r="N1025" t="s">
        <v>45095</v>
      </c>
      <c r="O1025" t="s">
        <v>45096</v>
      </c>
      <c r="P1025">
        <v>0</v>
      </c>
      <c r="Q1025">
        <v>0</v>
      </c>
      <c r="R1025" t="s">
        <v>45097</v>
      </c>
      <c r="S1025" t="s">
        <v>45222</v>
      </c>
      <c r="T1025" t="s">
        <v>46915</v>
      </c>
      <c r="U1025" t="s">
        <v>48371</v>
      </c>
      <c r="W1025" t="s">
        <v>41944</v>
      </c>
      <c r="X1025" t="s">
        <v>45098</v>
      </c>
    </row>
    <row r="1026" spans="1:24">
      <c r="A1026">
        <f>HYPERLINK("https://www.philgeps.gov.ph/GEPSNONPILOT/Tender/SplashBidNoticeAbstractUI.aspx?menuIndex=3&amp;refID=7045296&amp;Result=3","7045296")</f>
        <v>0</v>
      </c>
      <c r="B1026" t="s">
        <v>233</v>
      </c>
      <c r="C1026" t="s">
        <v>4174</v>
      </c>
      <c r="D1026" t="s">
        <v>18052</v>
      </c>
      <c r="E1026" t="s">
        <v>19075</v>
      </c>
      <c r="F1026" t="s">
        <v>31574</v>
      </c>
      <c r="G1026" t="s">
        <v>31582</v>
      </c>
      <c r="H1026" t="s">
        <v>31590</v>
      </c>
      <c r="I1026" t="s">
        <v>31598</v>
      </c>
      <c r="J1026" t="s">
        <v>32523</v>
      </c>
      <c r="K1026" t="s">
        <v>41190</v>
      </c>
      <c r="M1026" t="s">
        <v>41718</v>
      </c>
      <c r="N1026" t="s">
        <v>45095</v>
      </c>
      <c r="O1026" t="s">
        <v>45096</v>
      </c>
      <c r="P1026">
        <v>0</v>
      </c>
      <c r="Q1026">
        <v>0</v>
      </c>
      <c r="R1026" t="s">
        <v>45097</v>
      </c>
      <c r="S1026" t="s">
        <v>45222</v>
      </c>
      <c r="T1026" t="s">
        <v>46916</v>
      </c>
      <c r="U1026" t="s">
        <v>48372</v>
      </c>
      <c r="W1026" t="s">
        <v>41718</v>
      </c>
      <c r="X1026" t="s">
        <v>45098</v>
      </c>
    </row>
    <row r="1027" spans="1:24">
      <c r="A1027">
        <f>HYPERLINK("https://www.philgeps.gov.ph/GEPSNONPILOT/Tender/SplashBidNoticeAbstractUI.aspx?menuIndex=3&amp;refID=7045312&amp;Result=3","7045312")</f>
        <v>0</v>
      </c>
      <c r="B1027" t="s">
        <v>329</v>
      </c>
      <c r="C1027" t="s">
        <v>4175</v>
      </c>
      <c r="D1027" t="s">
        <v>18092</v>
      </c>
      <c r="E1027" t="s">
        <v>19076</v>
      </c>
      <c r="F1027" t="s">
        <v>31574</v>
      </c>
      <c r="G1027" t="s">
        <v>31584</v>
      </c>
      <c r="H1027" t="s">
        <v>31590</v>
      </c>
      <c r="I1027" t="s">
        <v>14544</v>
      </c>
      <c r="J1027" t="s">
        <v>32524</v>
      </c>
      <c r="K1027" t="s">
        <v>41186</v>
      </c>
      <c r="M1027" t="s">
        <v>41817</v>
      </c>
      <c r="N1027" t="s">
        <v>45095</v>
      </c>
      <c r="O1027" t="s">
        <v>45096</v>
      </c>
      <c r="P1027">
        <v>0</v>
      </c>
      <c r="Q1027">
        <v>0</v>
      </c>
      <c r="R1027" t="s">
        <v>45097</v>
      </c>
      <c r="S1027" t="s">
        <v>45222</v>
      </c>
      <c r="T1027" t="s">
        <v>46904</v>
      </c>
      <c r="U1027" t="s">
        <v>48373</v>
      </c>
      <c r="W1027" t="s">
        <v>41817</v>
      </c>
      <c r="X1027" t="s">
        <v>45098</v>
      </c>
    </row>
    <row r="1028" spans="1:24">
      <c r="A1028">
        <f>HYPERLINK("https://www.philgeps.gov.ph/GEPSNONPILOT/Tender/SplashBidNoticeAbstractUI.aspx?menuIndex=3&amp;refID=7045325&amp;Result=3","7045325")</f>
        <v>0</v>
      </c>
      <c r="B1028" t="s">
        <v>451</v>
      </c>
      <c r="C1028" t="s">
        <v>4176</v>
      </c>
      <c r="D1028" t="s">
        <v>18040</v>
      </c>
      <c r="E1028" t="s">
        <v>19061</v>
      </c>
      <c r="F1028" t="s">
        <v>31574</v>
      </c>
      <c r="G1028" t="s">
        <v>31582</v>
      </c>
      <c r="H1028" t="s">
        <v>31590</v>
      </c>
      <c r="I1028" t="s">
        <v>31640</v>
      </c>
      <c r="J1028" t="s">
        <v>31843</v>
      </c>
      <c r="K1028" t="s">
        <v>41196</v>
      </c>
      <c r="L1028" t="s">
        <v>451</v>
      </c>
      <c r="M1028" t="s">
        <v>41945</v>
      </c>
      <c r="N1028" t="s">
        <v>45095</v>
      </c>
      <c r="O1028" t="s">
        <v>45096</v>
      </c>
      <c r="P1028">
        <v>0</v>
      </c>
      <c r="Q1028">
        <v>0</v>
      </c>
      <c r="R1028" t="s">
        <v>45097</v>
      </c>
      <c r="S1028" t="s">
        <v>45222</v>
      </c>
      <c r="T1028" t="s">
        <v>46935</v>
      </c>
      <c r="U1028" t="s">
        <v>48374</v>
      </c>
      <c r="V1028" t="s">
        <v>59942</v>
      </c>
      <c r="W1028" t="s">
        <v>41945</v>
      </c>
      <c r="X1028" t="s">
        <v>45098</v>
      </c>
    </row>
    <row r="1029" spans="1:24">
      <c r="A1029">
        <f>HYPERLINK("https://www.philgeps.gov.ph/GEPSNONPILOT/Tender/SplashBidNoticeAbstractUI.aspx?menuIndex=3&amp;refID=7045327&amp;Result=3","7045327")</f>
        <v>0</v>
      </c>
      <c r="B1029" t="s">
        <v>452</v>
      </c>
      <c r="C1029" t="s">
        <v>4177</v>
      </c>
      <c r="D1029" t="s">
        <v>18022</v>
      </c>
      <c r="E1029" t="s">
        <v>19077</v>
      </c>
      <c r="F1029" t="s">
        <v>31574</v>
      </c>
      <c r="G1029" t="s">
        <v>31581</v>
      </c>
      <c r="H1029" t="s">
        <v>31590</v>
      </c>
      <c r="I1029" t="s">
        <v>31608</v>
      </c>
      <c r="J1029" t="s">
        <v>31764</v>
      </c>
      <c r="K1029" t="s">
        <v>41196</v>
      </c>
      <c r="M1029" t="s">
        <v>41946</v>
      </c>
      <c r="N1029" t="s">
        <v>45095</v>
      </c>
      <c r="O1029" t="s">
        <v>45096</v>
      </c>
      <c r="P1029">
        <v>0</v>
      </c>
      <c r="Q1029">
        <v>0</v>
      </c>
      <c r="R1029" t="s">
        <v>45097</v>
      </c>
      <c r="S1029" t="s">
        <v>45222</v>
      </c>
      <c r="T1029" t="s">
        <v>47039</v>
      </c>
      <c r="U1029" t="s">
        <v>48375</v>
      </c>
      <c r="V1029" t="s">
        <v>59943</v>
      </c>
      <c r="W1029" t="s">
        <v>41946</v>
      </c>
      <c r="X1029" t="s">
        <v>45098</v>
      </c>
    </row>
    <row r="1030" spans="1:24">
      <c r="A1030">
        <f>HYPERLINK("https://www.philgeps.gov.ph/GEPSNONPILOT/Tender/SplashBidNoticeAbstractUI.aspx?menuIndex=3&amp;refID=7045323&amp;Result=3","7045323")</f>
        <v>0</v>
      </c>
      <c r="B1030" t="s">
        <v>326</v>
      </c>
      <c r="C1030" t="s">
        <v>4178</v>
      </c>
      <c r="D1030" t="s">
        <v>18050</v>
      </c>
      <c r="E1030" t="s">
        <v>19078</v>
      </c>
      <c r="F1030" t="s">
        <v>31574</v>
      </c>
      <c r="G1030" t="s">
        <v>31582</v>
      </c>
      <c r="H1030" t="s">
        <v>31590</v>
      </c>
      <c r="I1030" t="s">
        <v>31629</v>
      </c>
      <c r="J1030" t="s">
        <v>32525</v>
      </c>
      <c r="K1030" t="s">
        <v>41196</v>
      </c>
      <c r="M1030" t="s">
        <v>41814</v>
      </c>
      <c r="N1030" t="s">
        <v>45095</v>
      </c>
      <c r="O1030" t="s">
        <v>45096</v>
      </c>
      <c r="P1030">
        <v>0</v>
      </c>
      <c r="Q1030">
        <v>0</v>
      </c>
      <c r="R1030" t="s">
        <v>45097</v>
      </c>
      <c r="S1030" t="s">
        <v>45222</v>
      </c>
      <c r="T1030" t="s">
        <v>46937</v>
      </c>
      <c r="U1030" t="s">
        <v>48376</v>
      </c>
      <c r="W1030" t="s">
        <v>41814</v>
      </c>
      <c r="X1030" t="s">
        <v>45098</v>
      </c>
    </row>
    <row r="1031" spans="1:24">
      <c r="A1031">
        <f>HYPERLINK("https://www.philgeps.gov.ph/GEPSNONPILOT/Tender/SplashBidNoticeAbstractUI.aspx?menuIndex=3&amp;refID=7045290&amp;Result=3","7045290")</f>
        <v>0</v>
      </c>
      <c r="B1031" t="s">
        <v>453</v>
      </c>
      <c r="C1031" t="s">
        <v>4179</v>
      </c>
      <c r="D1031" t="s">
        <v>18066</v>
      </c>
      <c r="E1031" t="s">
        <v>19079</v>
      </c>
      <c r="F1031" t="s">
        <v>31574</v>
      </c>
      <c r="G1031" t="s">
        <v>31581</v>
      </c>
      <c r="H1031" t="s">
        <v>31590</v>
      </c>
      <c r="I1031" t="s">
        <v>31638</v>
      </c>
      <c r="J1031" t="s">
        <v>31744</v>
      </c>
      <c r="K1031" t="s">
        <v>41186</v>
      </c>
      <c r="M1031" t="s">
        <v>41947</v>
      </c>
      <c r="N1031" t="s">
        <v>45095</v>
      </c>
      <c r="O1031" t="s">
        <v>45096</v>
      </c>
      <c r="P1031">
        <v>0</v>
      </c>
      <c r="Q1031">
        <v>0</v>
      </c>
      <c r="R1031" t="s">
        <v>45097</v>
      </c>
      <c r="S1031" t="s">
        <v>45222</v>
      </c>
      <c r="T1031" t="s">
        <v>47040</v>
      </c>
      <c r="U1031" t="s">
        <v>48377</v>
      </c>
      <c r="V1031" t="s">
        <v>59944</v>
      </c>
      <c r="W1031" t="s">
        <v>41947</v>
      </c>
      <c r="X1031" t="s">
        <v>45098</v>
      </c>
    </row>
    <row r="1032" spans="1:24">
      <c r="A1032">
        <f>HYPERLINK("https://www.philgeps.gov.ph/GEPSNONPILOT/Tender/SplashBidNoticeAbstractUI.aspx?menuIndex=3&amp;refID=7045336&amp;Result=3","7045336")</f>
        <v>0</v>
      </c>
      <c r="B1032" t="s">
        <v>443</v>
      </c>
      <c r="C1032" t="s">
        <v>4180</v>
      </c>
      <c r="D1032" t="s">
        <v>18062</v>
      </c>
      <c r="E1032" t="s">
        <v>19080</v>
      </c>
      <c r="F1032" t="s">
        <v>31574</v>
      </c>
      <c r="G1032" t="s">
        <v>31582</v>
      </c>
      <c r="H1032" t="s">
        <v>31591</v>
      </c>
      <c r="I1032" t="s">
        <v>8822</v>
      </c>
      <c r="J1032" t="s">
        <v>32526</v>
      </c>
      <c r="K1032" t="s">
        <v>41228</v>
      </c>
      <c r="M1032" t="s">
        <v>41936</v>
      </c>
      <c r="N1032" t="s">
        <v>45095</v>
      </c>
      <c r="O1032" t="s">
        <v>45096</v>
      </c>
      <c r="P1032">
        <v>0</v>
      </c>
      <c r="Q1032">
        <v>0</v>
      </c>
      <c r="R1032" t="s">
        <v>45097</v>
      </c>
      <c r="S1032" t="s">
        <v>45222</v>
      </c>
      <c r="T1032" t="s">
        <v>46915</v>
      </c>
      <c r="U1032" t="s">
        <v>48351</v>
      </c>
      <c r="V1032" t="s">
        <v>59945</v>
      </c>
      <c r="W1032" t="s">
        <v>41936</v>
      </c>
      <c r="X1032" t="s">
        <v>45098</v>
      </c>
    </row>
    <row r="1033" spans="1:24">
      <c r="A1033">
        <f>HYPERLINK("https://www.philgeps.gov.ph/GEPSNONPILOT/Tender/SplashBidNoticeAbstractUI.aspx?menuIndex=3&amp;refID=7045332&amp;Result=3","7045332")</f>
        <v>0</v>
      </c>
      <c r="B1033" t="s">
        <v>326</v>
      </c>
      <c r="C1033" t="s">
        <v>4181</v>
      </c>
      <c r="D1033" t="s">
        <v>18050</v>
      </c>
      <c r="E1033" t="s">
        <v>19081</v>
      </c>
      <c r="F1033" t="s">
        <v>31574</v>
      </c>
      <c r="G1033" t="s">
        <v>31582</v>
      </c>
      <c r="H1033" t="s">
        <v>31590</v>
      </c>
      <c r="I1033" t="s">
        <v>31602</v>
      </c>
      <c r="J1033" t="s">
        <v>32527</v>
      </c>
      <c r="K1033" t="s">
        <v>41196</v>
      </c>
      <c r="M1033" t="s">
        <v>41814</v>
      </c>
      <c r="N1033" t="s">
        <v>45095</v>
      </c>
      <c r="O1033" t="s">
        <v>45096</v>
      </c>
      <c r="P1033">
        <v>0</v>
      </c>
      <c r="Q1033">
        <v>0</v>
      </c>
      <c r="R1033" t="s">
        <v>45097</v>
      </c>
      <c r="S1033" t="s">
        <v>45222</v>
      </c>
      <c r="T1033" t="s">
        <v>46937</v>
      </c>
      <c r="U1033" t="s">
        <v>48378</v>
      </c>
      <c r="W1033" t="s">
        <v>41814</v>
      </c>
      <c r="X1033" t="s">
        <v>45098</v>
      </c>
    </row>
    <row r="1034" spans="1:24">
      <c r="A1034">
        <f>HYPERLINK("https://www.philgeps.gov.ph/GEPSNONPILOT/Tender/SplashBidNoticeAbstractUI.aspx?menuIndex=3&amp;refID=7045322&amp;Result=3","7045322")</f>
        <v>0</v>
      </c>
      <c r="B1034" t="s">
        <v>454</v>
      </c>
      <c r="C1034" t="s">
        <v>4182</v>
      </c>
      <c r="D1034" t="s">
        <v>18024</v>
      </c>
      <c r="E1034" t="s">
        <v>19082</v>
      </c>
      <c r="F1034" t="s">
        <v>31574</v>
      </c>
      <c r="G1034" t="s">
        <v>31581</v>
      </c>
      <c r="H1034" t="s">
        <v>31590</v>
      </c>
      <c r="I1034" t="s">
        <v>31600</v>
      </c>
      <c r="J1034" t="s">
        <v>32528</v>
      </c>
      <c r="K1034" t="s">
        <v>41186</v>
      </c>
      <c r="M1034" t="s">
        <v>41948</v>
      </c>
      <c r="N1034" t="s">
        <v>45095</v>
      </c>
      <c r="O1034" t="s">
        <v>45096</v>
      </c>
      <c r="P1034">
        <v>0</v>
      </c>
      <c r="Q1034">
        <v>0</v>
      </c>
      <c r="R1034" t="s">
        <v>45097</v>
      </c>
      <c r="S1034" t="s">
        <v>45222</v>
      </c>
      <c r="T1034" t="s">
        <v>46961</v>
      </c>
      <c r="U1034" t="s">
        <v>48379</v>
      </c>
      <c r="W1034" t="s">
        <v>41948</v>
      </c>
      <c r="X1034" t="s">
        <v>45098</v>
      </c>
    </row>
    <row r="1035" spans="1:24">
      <c r="A1035">
        <f>HYPERLINK("https://www.philgeps.gov.ph/GEPSNONPILOT/Tender/SplashBidNoticeAbstractUI.aspx?menuIndex=3&amp;refID=7045330&amp;Result=3","7045330")</f>
        <v>0</v>
      </c>
      <c r="B1035" t="s">
        <v>455</v>
      </c>
      <c r="C1035" t="s">
        <v>4183</v>
      </c>
      <c r="D1035" t="s">
        <v>18022</v>
      </c>
      <c r="E1035" t="s">
        <v>19083</v>
      </c>
      <c r="F1035" t="s">
        <v>31574</v>
      </c>
      <c r="G1035" t="s">
        <v>31582</v>
      </c>
      <c r="H1035" t="s">
        <v>31590</v>
      </c>
      <c r="I1035" t="s">
        <v>31605</v>
      </c>
      <c r="J1035" t="s">
        <v>32232</v>
      </c>
      <c r="K1035" t="s">
        <v>41184</v>
      </c>
      <c r="M1035" t="s">
        <v>41949</v>
      </c>
      <c r="N1035" t="s">
        <v>45095</v>
      </c>
      <c r="O1035" t="s">
        <v>45096</v>
      </c>
      <c r="P1035">
        <v>0</v>
      </c>
      <c r="Q1035">
        <v>0</v>
      </c>
      <c r="R1035" t="s">
        <v>45097</v>
      </c>
      <c r="S1035" t="s">
        <v>45222</v>
      </c>
      <c r="T1035" t="s">
        <v>46935</v>
      </c>
      <c r="U1035" t="s">
        <v>48380</v>
      </c>
      <c r="W1035" t="s">
        <v>41949</v>
      </c>
      <c r="X1035" t="s">
        <v>45098</v>
      </c>
    </row>
    <row r="1036" spans="1:24">
      <c r="A1036">
        <f>HYPERLINK("https://www.philgeps.gov.ph/GEPSNONPILOT/Tender/SplashBidNoticeAbstractUI.aspx?menuIndex=3&amp;refID=7045335&amp;Result=3","7045335")</f>
        <v>0</v>
      </c>
      <c r="B1036" t="s">
        <v>455</v>
      </c>
      <c r="C1036" t="s">
        <v>4184</v>
      </c>
      <c r="D1036" t="s">
        <v>18022</v>
      </c>
      <c r="E1036" t="s">
        <v>19084</v>
      </c>
      <c r="F1036" t="s">
        <v>31574</v>
      </c>
      <c r="G1036" t="s">
        <v>31582</v>
      </c>
      <c r="H1036" t="s">
        <v>31590</v>
      </c>
      <c r="I1036" t="s">
        <v>4046</v>
      </c>
      <c r="J1036" t="s">
        <v>32001</v>
      </c>
      <c r="K1036" t="s">
        <v>41184</v>
      </c>
      <c r="M1036" t="s">
        <v>41949</v>
      </c>
      <c r="N1036" t="s">
        <v>45095</v>
      </c>
      <c r="O1036" t="s">
        <v>45096</v>
      </c>
      <c r="P1036">
        <v>0</v>
      </c>
      <c r="Q1036">
        <v>0</v>
      </c>
      <c r="R1036" t="s">
        <v>45097</v>
      </c>
      <c r="S1036" t="s">
        <v>45222</v>
      </c>
      <c r="T1036" t="s">
        <v>46935</v>
      </c>
      <c r="U1036" t="s">
        <v>48381</v>
      </c>
      <c r="W1036" t="s">
        <v>41949</v>
      </c>
      <c r="X1036" t="s">
        <v>45098</v>
      </c>
    </row>
    <row r="1037" spans="1:24">
      <c r="A1037">
        <f>HYPERLINK("https://www.philgeps.gov.ph/GEPSNONPILOT/Tender/SplashBidNoticeAbstractUI.aspx?menuIndex=3&amp;refID=7045321&amp;Result=3","7045321")</f>
        <v>0</v>
      </c>
      <c r="B1037" t="s">
        <v>456</v>
      </c>
      <c r="C1037" t="s">
        <v>4185</v>
      </c>
      <c r="D1037" t="s">
        <v>18025</v>
      </c>
      <c r="E1037" t="s">
        <v>19061</v>
      </c>
      <c r="F1037" t="s">
        <v>31574</v>
      </c>
      <c r="G1037" t="s">
        <v>31584</v>
      </c>
      <c r="H1037" t="s">
        <v>31590</v>
      </c>
      <c r="I1037" t="s">
        <v>4327</v>
      </c>
      <c r="J1037" t="s">
        <v>31830</v>
      </c>
      <c r="K1037" t="s">
        <v>41193</v>
      </c>
      <c r="M1037" t="s">
        <v>41950</v>
      </c>
      <c r="N1037" t="s">
        <v>45095</v>
      </c>
      <c r="O1037" t="s">
        <v>45096</v>
      </c>
      <c r="P1037">
        <v>0</v>
      </c>
      <c r="Q1037">
        <v>0</v>
      </c>
      <c r="R1037" t="s">
        <v>45097</v>
      </c>
      <c r="S1037" t="s">
        <v>45222</v>
      </c>
      <c r="T1037" t="s">
        <v>46945</v>
      </c>
      <c r="U1037" t="s">
        <v>48382</v>
      </c>
      <c r="W1037" t="s">
        <v>41950</v>
      </c>
      <c r="X1037" t="s">
        <v>45098</v>
      </c>
    </row>
    <row r="1038" spans="1:24">
      <c r="A1038">
        <f>HYPERLINK("https://www.philgeps.gov.ph/GEPSNONPILOT/Tender/SplashBidNoticeAbstractUI.aspx?menuIndex=3&amp;refID=7045329&amp;Result=3","7045329")</f>
        <v>0</v>
      </c>
      <c r="B1038" t="s">
        <v>329</v>
      </c>
      <c r="C1038" t="s">
        <v>4186</v>
      </c>
      <c r="D1038" t="s">
        <v>18092</v>
      </c>
      <c r="E1038" t="s">
        <v>19085</v>
      </c>
      <c r="F1038" t="s">
        <v>31574</v>
      </c>
      <c r="G1038" t="s">
        <v>31584</v>
      </c>
      <c r="H1038" t="s">
        <v>31590</v>
      </c>
      <c r="I1038" t="s">
        <v>31595</v>
      </c>
      <c r="J1038" t="s">
        <v>32529</v>
      </c>
      <c r="K1038" t="s">
        <v>41186</v>
      </c>
      <c r="M1038" t="s">
        <v>41817</v>
      </c>
      <c r="N1038" t="s">
        <v>45095</v>
      </c>
      <c r="O1038" t="s">
        <v>45096</v>
      </c>
      <c r="P1038">
        <v>0</v>
      </c>
      <c r="Q1038">
        <v>0</v>
      </c>
      <c r="R1038" t="s">
        <v>45097</v>
      </c>
      <c r="S1038" t="s">
        <v>45222</v>
      </c>
      <c r="T1038" t="s">
        <v>46904</v>
      </c>
      <c r="U1038" t="s">
        <v>48383</v>
      </c>
      <c r="W1038" t="s">
        <v>41817</v>
      </c>
      <c r="X1038" t="s">
        <v>45098</v>
      </c>
    </row>
    <row r="1039" spans="1:24">
      <c r="A1039">
        <f>HYPERLINK("https://www.philgeps.gov.ph/GEPSNONPILOT/Tender/SplashBidNoticeAbstractUI.aspx?menuIndex=3&amp;refID=7045333&amp;Result=3","7045333")</f>
        <v>0</v>
      </c>
      <c r="B1039" t="s">
        <v>457</v>
      </c>
      <c r="C1039" t="s">
        <v>4187</v>
      </c>
      <c r="D1039" t="s">
        <v>18033</v>
      </c>
      <c r="E1039" t="s">
        <v>19086</v>
      </c>
      <c r="F1039" t="s">
        <v>31574</v>
      </c>
      <c r="G1039" t="s">
        <v>31582</v>
      </c>
      <c r="H1039" t="s">
        <v>31590</v>
      </c>
      <c r="I1039" t="s">
        <v>31615</v>
      </c>
      <c r="J1039" t="s">
        <v>32530</v>
      </c>
      <c r="K1039" t="s">
        <v>41192</v>
      </c>
      <c r="M1039" t="s">
        <v>41951</v>
      </c>
      <c r="N1039" t="s">
        <v>45095</v>
      </c>
      <c r="O1039" t="s">
        <v>45096</v>
      </c>
      <c r="P1039">
        <v>0</v>
      </c>
      <c r="Q1039">
        <v>3</v>
      </c>
      <c r="R1039" t="s">
        <v>45097</v>
      </c>
      <c r="S1039" t="s">
        <v>45222</v>
      </c>
      <c r="T1039" t="s">
        <v>47041</v>
      </c>
      <c r="U1039" t="s">
        <v>48384</v>
      </c>
      <c r="W1039" t="s">
        <v>41951</v>
      </c>
      <c r="X1039" t="s">
        <v>45098</v>
      </c>
    </row>
    <row r="1040" spans="1:24">
      <c r="A1040">
        <f>HYPERLINK("https://www.philgeps.gov.ph/GEPSNONPILOT/Tender/SplashBidNoticeAbstractUI.aspx?menuIndex=3&amp;refID=7045319&amp;Result=3","7045319")</f>
        <v>0</v>
      </c>
      <c r="B1040" t="s">
        <v>450</v>
      </c>
      <c r="C1040" t="s">
        <v>4188</v>
      </c>
      <c r="D1040" t="s">
        <v>18039</v>
      </c>
      <c r="E1040" t="s">
        <v>19087</v>
      </c>
      <c r="F1040" t="s">
        <v>31574</v>
      </c>
      <c r="G1040" t="s">
        <v>31582</v>
      </c>
      <c r="H1040" t="s">
        <v>31591</v>
      </c>
      <c r="I1040" t="s">
        <v>8822</v>
      </c>
      <c r="J1040" t="s">
        <v>32504</v>
      </c>
      <c r="K1040" t="s">
        <v>41231</v>
      </c>
      <c r="M1040" t="s">
        <v>41944</v>
      </c>
      <c r="N1040" t="s">
        <v>45095</v>
      </c>
      <c r="O1040" t="s">
        <v>45096</v>
      </c>
      <c r="P1040">
        <v>0</v>
      </c>
      <c r="Q1040">
        <v>0</v>
      </c>
      <c r="R1040" t="s">
        <v>45097</v>
      </c>
      <c r="S1040" t="s">
        <v>45222</v>
      </c>
      <c r="T1040" t="s">
        <v>46915</v>
      </c>
      <c r="U1040" t="s">
        <v>48371</v>
      </c>
      <c r="W1040" t="s">
        <v>41944</v>
      </c>
      <c r="X1040" t="s">
        <v>45098</v>
      </c>
    </row>
    <row r="1041" spans="1:24">
      <c r="A1041">
        <f>HYPERLINK("https://www.philgeps.gov.ph/GEPSNONPILOT/Tender/SplashBidNoticeAbstractUI.aspx?menuIndex=3&amp;refID=7045337&amp;Result=3","7045337")</f>
        <v>0</v>
      </c>
      <c r="B1041" t="s">
        <v>458</v>
      </c>
      <c r="C1041" t="s">
        <v>4189</v>
      </c>
      <c r="D1041" t="s">
        <v>18045</v>
      </c>
      <c r="E1041" t="s">
        <v>18962</v>
      </c>
      <c r="F1041" t="s">
        <v>31574</v>
      </c>
      <c r="G1041" t="s">
        <v>31583</v>
      </c>
      <c r="H1041" t="s">
        <v>31590</v>
      </c>
      <c r="I1041" t="s">
        <v>4046</v>
      </c>
      <c r="J1041" t="s">
        <v>32531</v>
      </c>
      <c r="K1041" t="s">
        <v>41197</v>
      </c>
      <c r="M1041" t="s">
        <v>41952</v>
      </c>
      <c r="N1041" t="s">
        <v>45095</v>
      </c>
      <c r="O1041" t="s">
        <v>45096</v>
      </c>
      <c r="P1041">
        <v>0</v>
      </c>
      <c r="Q1041">
        <v>0</v>
      </c>
      <c r="R1041" t="s">
        <v>45097</v>
      </c>
      <c r="S1041" t="s">
        <v>45222</v>
      </c>
      <c r="T1041" t="s">
        <v>46936</v>
      </c>
      <c r="U1041" t="s">
        <v>48385</v>
      </c>
      <c r="W1041" t="s">
        <v>41952</v>
      </c>
      <c r="X1041" t="s">
        <v>45098</v>
      </c>
    </row>
    <row r="1042" spans="1:24">
      <c r="A1042">
        <f>HYPERLINK("https://www.philgeps.gov.ph/GEPSNONPILOT/Tender/SplashBidNoticeAbstractUI.aspx?menuIndex=3&amp;refID=7045320&amp;Result=3","7045320")</f>
        <v>0</v>
      </c>
      <c r="B1042" t="s">
        <v>435</v>
      </c>
      <c r="C1042" t="s">
        <v>4190</v>
      </c>
      <c r="D1042" t="s">
        <v>18057</v>
      </c>
      <c r="E1042" t="s">
        <v>19088</v>
      </c>
      <c r="F1042" t="s">
        <v>31575</v>
      </c>
      <c r="G1042" t="s">
        <v>31583</v>
      </c>
      <c r="H1042" t="s">
        <v>31590</v>
      </c>
      <c r="I1042" t="s">
        <v>4354</v>
      </c>
      <c r="J1042" t="s">
        <v>32532</v>
      </c>
      <c r="K1042" t="s">
        <v>41193</v>
      </c>
      <c r="M1042" t="s">
        <v>41928</v>
      </c>
      <c r="N1042" t="s">
        <v>45095</v>
      </c>
      <c r="O1042" t="s">
        <v>45096</v>
      </c>
      <c r="P1042">
        <v>0</v>
      </c>
      <c r="Q1042">
        <v>0</v>
      </c>
      <c r="R1042" t="s">
        <v>45097</v>
      </c>
      <c r="S1042" t="s">
        <v>45222</v>
      </c>
      <c r="T1042" t="s">
        <v>47035</v>
      </c>
      <c r="U1042" t="s">
        <v>48386</v>
      </c>
      <c r="W1042" t="s">
        <v>41928</v>
      </c>
      <c r="X1042" t="s">
        <v>45098</v>
      </c>
    </row>
    <row r="1043" spans="1:24">
      <c r="A1043">
        <f>HYPERLINK("https://www.philgeps.gov.ph/GEPSNONPILOT/Tender/SplashBidNoticeAbstractUI.aspx?menuIndex=3&amp;refID=7045343&amp;Result=3","7045343")</f>
        <v>0</v>
      </c>
      <c r="B1043" t="s">
        <v>459</v>
      </c>
      <c r="C1043" t="s">
        <v>4191</v>
      </c>
      <c r="D1043" t="s">
        <v>18079</v>
      </c>
      <c r="E1043" t="s">
        <v>19089</v>
      </c>
      <c r="F1043" t="s">
        <v>31574</v>
      </c>
      <c r="G1043" t="s">
        <v>31582</v>
      </c>
      <c r="H1043" t="s">
        <v>31591</v>
      </c>
      <c r="I1043" t="s">
        <v>8822</v>
      </c>
      <c r="J1043" t="s">
        <v>32533</v>
      </c>
      <c r="K1043" t="s">
        <v>41241</v>
      </c>
      <c r="M1043" t="s">
        <v>41953</v>
      </c>
      <c r="N1043" t="s">
        <v>45095</v>
      </c>
      <c r="O1043" t="s">
        <v>45096</v>
      </c>
      <c r="P1043">
        <v>0</v>
      </c>
      <c r="Q1043">
        <v>0</v>
      </c>
      <c r="R1043" t="s">
        <v>45097</v>
      </c>
      <c r="S1043" t="s">
        <v>45222</v>
      </c>
      <c r="T1043" t="s">
        <v>47042</v>
      </c>
      <c r="U1043" t="s">
        <v>48387</v>
      </c>
      <c r="V1043" t="s">
        <v>59946</v>
      </c>
      <c r="W1043" t="s">
        <v>41953</v>
      </c>
      <c r="X1043" t="s">
        <v>45098</v>
      </c>
    </row>
    <row r="1044" spans="1:24">
      <c r="A1044">
        <f>HYPERLINK("https://www.philgeps.gov.ph/GEPSNONPILOT/Tender/SplashBidNoticeAbstractUI.aspx?menuIndex=3&amp;refID=7045349&amp;Result=3","7045349")</f>
        <v>0</v>
      </c>
      <c r="B1044" t="s">
        <v>88</v>
      </c>
      <c r="C1044" t="s">
        <v>4192</v>
      </c>
      <c r="D1044" t="s">
        <v>18056</v>
      </c>
      <c r="E1044" t="s">
        <v>19090</v>
      </c>
      <c r="F1044" t="s">
        <v>31574</v>
      </c>
      <c r="G1044" t="s">
        <v>31582</v>
      </c>
      <c r="H1044" t="s">
        <v>31591</v>
      </c>
      <c r="I1044" t="s">
        <v>8822</v>
      </c>
      <c r="J1044" t="s">
        <v>32534</v>
      </c>
      <c r="K1044" t="s">
        <v>41248</v>
      </c>
      <c r="M1044" t="s">
        <v>41572</v>
      </c>
      <c r="N1044" t="s">
        <v>45095</v>
      </c>
      <c r="O1044" t="s">
        <v>45096</v>
      </c>
      <c r="P1044">
        <v>0</v>
      </c>
      <c r="Q1044">
        <v>0</v>
      </c>
      <c r="R1044" t="s">
        <v>45097</v>
      </c>
      <c r="S1044" t="s">
        <v>45222</v>
      </c>
      <c r="T1044" t="s">
        <v>46924</v>
      </c>
      <c r="U1044" t="s">
        <v>48388</v>
      </c>
      <c r="W1044" t="s">
        <v>41572</v>
      </c>
      <c r="X1044" t="s">
        <v>45098</v>
      </c>
    </row>
    <row r="1045" spans="1:24">
      <c r="A1045">
        <f>HYPERLINK("https://www.philgeps.gov.ph/GEPSNONPILOT/Tender/SplashBidNoticeAbstractUI.aspx?menuIndex=3&amp;refID=7045345&amp;Result=3","7045345")</f>
        <v>0</v>
      </c>
      <c r="B1045" t="s">
        <v>460</v>
      </c>
      <c r="C1045" t="s">
        <v>4193</v>
      </c>
      <c r="D1045" t="s">
        <v>18030</v>
      </c>
      <c r="E1045" t="s">
        <v>19091</v>
      </c>
      <c r="F1045" t="s">
        <v>31574</v>
      </c>
      <c r="G1045" t="s">
        <v>31582</v>
      </c>
      <c r="H1045" t="s">
        <v>31591</v>
      </c>
      <c r="I1045" t="s">
        <v>8822</v>
      </c>
      <c r="J1045" t="s">
        <v>31781</v>
      </c>
      <c r="K1045" t="s">
        <v>41184</v>
      </c>
      <c r="M1045" t="s">
        <v>41954</v>
      </c>
      <c r="N1045" t="s">
        <v>45095</v>
      </c>
      <c r="O1045" t="s">
        <v>45096</v>
      </c>
      <c r="P1045">
        <v>0</v>
      </c>
      <c r="Q1045">
        <v>0</v>
      </c>
      <c r="R1045" t="s">
        <v>45097</v>
      </c>
      <c r="S1045" t="s">
        <v>45222</v>
      </c>
      <c r="T1045" t="s">
        <v>46966</v>
      </c>
      <c r="U1045" t="s">
        <v>48389</v>
      </c>
      <c r="W1045" t="s">
        <v>41954</v>
      </c>
      <c r="X1045" t="s">
        <v>45098</v>
      </c>
    </row>
    <row r="1046" spans="1:24">
      <c r="A1046">
        <f>HYPERLINK("https://www.philgeps.gov.ph/GEPSNONPILOT/Tender/SplashBidNoticeAbstractUI.aspx?menuIndex=3&amp;refID=7045339&amp;Result=3","7045339")</f>
        <v>0</v>
      </c>
      <c r="B1046" t="s">
        <v>438</v>
      </c>
      <c r="C1046" t="s">
        <v>4194</v>
      </c>
      <c r="D1046" t="s">
        <v>18040</v>
      </c>
      <c r="E1046" t="s">
        <v>19092</v>
      </c>
      <c r="F1046" t="s">
        <v>31574</v>
      </c>
      <c r="G1046" t="s">
        <v>31584</v>
      </c>
      <c r="H1046" t="s">
        <v>31590</v>
      </c>
      <c r="I1046" t="s">
        <v>4327</v>
      </c>
      <c r="J1046" t="s">
        <v>32535</v>
      </c>
      <c r="K1046" t="s">
        <v>41213</v>
      </c>
      <c r="M1046" t="s">
        <v>41931</v>
      </c>
      <c r="N1046" t="s">
        <v>45095</v>
      </c>
      <c r="O1046" t="s">
        <v>45096</v>
      </c>
      <c r="P1046">
        <v>0</v>
      </c>
      <c r="Q1046">
        <v>0</v>
      </c>
      <c r="R1046" t="s">
        <v>45097</v>
      </c>
      <c r="S1046" t="s">
        <v>45222</v>
      </c>
      <c r="T1046" t="s">
        <v>46918</v>
      </c>
      <c r="U1046" t="s">
        <v>48345</v>
      </c>
      <c r="W1046" t="s">
        <v>41931</v>
      </c>
      <c r="X1046" t="s">
        <v>45098</v>
      </c>
    </row>
    <row r="1047" spans="1:24">
      <c r="A1047">
        <f>HYPERLINK("https://www.philgeps.gov.ph/GEPSNONPILOT/Tender/SplashBidNoticeAbstractUI.aspx?menuIndex=3&amp;refID=7045346&amp;Result=3","7045346")</f>
        <v>0</v>
      </c>
      <c r="B1047" t="s">
        <v>461</v>
      </c>
      <c r="C1047" t="s">
        <v>4195</v>
      </c>
      <c r="D1047" t="s">
        <v>18057</v>
      </c>
      <c r="E1047" t="s">
        <v>19093</v>
      </c>
      <c r="F1047" t="s">
        <v>31574</v>
      </c>
      <c r="G1047" t="s">
        <v>31582</v>
      </c>
      <c r="H1047" t="s">
        <v>31591</v>
      </c>
      <c r="I1047" t="s">
        <v>8822</v>
      </c>
      <c r="J1047" t="s">
        <v>32536</v>
      </c>
      <c r="K1047" t="s">
        <v>41185</v>
      </c>
      <c r="M1047" t="s">
        <v>41955</v>
      </c>
      <c r="N1047" t="s">
        <v>45095</v>
      </c>
      <c r="O1047" t="s">
        <v>45096</v>
      </c>
      <c r="P1047">
        <v>0</v>
      </c>
      <c r="Q1047">
        <v>0</v>
      </c>
      <c r="R1047" t="s">
        <v>45097</v>
      </c>
      <c r="S1047" t="s">
        <v>45222</v>
      </c>
      <c r="T1047" t="s">
        <v>46968</v>
      </c>
      <c r="U1047" t="s">
        <v>48390</v>
      </c>
      <c r="W1047" t="s">
        <v>41955</v>
      </c>
      <c r="X1047" t="s">
        <v>45098</v>
      </c>
    </row>
    <row r="1048" spans="1:24">
      <c r="A1048">
        <f>HYPERLINK("https://www.philgeps.gov.ph/GEPSNONPILOT/Tender/SplashBidNoticeAbstractUI.aspx?menuIndex=3&amp;refID=7045355&amp;Result=3","7045355")</f>
        <v>0</v>
      </c>
      <c r="B1048" t="s">
        <v>462</v>
      </c>
      <c r="C1048" t="s">
        <v>4196</v>
      </c>
      <c r="D1048" t="s">
        <v>18033</v>
      </c>
      <c r="E1048" t="s">
        <v>19094</v>
      </c>
      <c r="F1048" t="s">
        <v>31574</v>
      </c>
      <c r="G1048" t="s">
        <v>31582</v>
      </c>
      <c r="H1048" t="s">
        <v>31590</v>
      </c>
      <c r="I1048" t="s">
        <v>31655</v>
      </c>
      <c r="J1048" t="s">
        <v>32537</v>
      </c>
      <c r="K1048" t="s">
        <v>41185</v>
      </c>
      <c r="M1048" t="s">
        <v>41956</v>
      </c>
      <c r="N1048" t="s">
        <v>45095</v>
      </c>
      <c r="O1048" t="s">
        <v>45096</v>
      </c>
      <c r="P1048">
        <v>0</v>
      </c>
      <c r="Q1048">
        <v>0</v>
      </c>
      <c r="R1048" t="s">
        <v>45097</v>
      </c>
      <c r="S1048" t="s">
        <v>45222</v>
      </c>
      <c r="T1048" t="s">
        <v>46915</v>
      </c>
      <c r="U1048" t="s">
        <v>48391</v>
      </c>
      <c r="V1048" t="s">
        <v>59947</v>
      </c>
      <c r="W1048" t="s">
        <v>41956</v>
      </c>
      <c r="X1048" t="s">
        <v>45098</v>
      </c>
    </row>
    <row r="1049" spans="1:24">
      <c r="A1049">
        <f>HYPERLINK("https://www.philgeps.gov.ph/GEPSNONPILOT/Tender/SplashBidNoticeAbstractUI.aspx?menuIndex=3&amp;refID=7045338&amp;Result=3","7045338")</f>
        <v>0</v>
      </c>
      <c r="B1049" t="s">
        <v>450</v>
      </c>
      <c r="C1049" t="s">
        <v>4197</v>
      </c>
      <c r="D1049" t="s">
        <v>18039</v>
      </c>
      <c r="E1049" t="s">
        <v>19095</v>
      </c>
      <c r="F1049" t="s">
        <v>31574</v>
      </c>
      <c r="G1049" t="s">
        <v>31582</v>
      </c>
      <c r="H1049" t="s">
        <v>31591</v>
      </c>
      <c r="I1049" t="s">
        <v>8822</v>
      </c>
      <c r="J1049" t="s">
        <v>32121</v>
      </c>
      <c r="K1049" t="s">
        <v>41249</v>
      </c>
      <c r="M1049" t="s">
        <v>41944</v>
      </c>
      <c r="N1049" t="s">
        <v>45095</v>
      </c>
      <c r="O1049" t="s">
        <v>45096</v>
      </c>
      <c r="P1049">
        <v>0</v>
      </c>
      <c r="Q1049">
        <v>0</v>
      </c>
      <c r="R1049" t="s">
        <v>45097</v>
      </c>
      <c r="S1049" t="s">
        <v>45222</v>
      </c>
      <c r="T1049" t="s">
        <v>46915</v>
      </c>
      <c r="U1049" t="s">
        <v>48371</v>
      </c>
      <c r="W1049" t="s">
        <v>41944</v>
      </c>
      <c r="X1049" t="s">
        <v>45098</v>
      </c>
    </row>
    <row r="1050" spans="1:24">
      <c r="A1050">
        <f>HYPERLINK("https://www.philgeps.gov.ph/GEPSNONPILOT/Tender/SplashBidNoticeAbstractUI.aspx?menuIndex=3&amp;refID=7045354&amp;Result=3","7045354")</f>
        <v>0</v>
      </c>
      <c r="B1050" t="s">
        <v>455</v>
      </c>
      <c r="C1050" t="s">
        <v>4198</v>
      </c>
      <c r="D1050" t="s">
        <v>18022</v>
      </c>
      <c r="E1050" t="s">
        <v>19096</v>
      </c>
      <c r="F1050" t="s">
        <v>31574</v>
      </c>
      <c r="G1050" t="s">
        <v>31582</v>
      </c>
      <c r="H1050" t="s">
        <v>31590</v>
      </c>
      <c r="I1050" t="s">
        <v>3487</v>
      </c>
      <c r="J1050" t="s">
        <v>31947</v>
      </c>
      <c r="K1050" t="s">
        <v>41184</v>
      </c>
      <c r="M1050" t="s">
        <v>41949</v>
      </c>
      <c r="N1050" t="s">
        <v>45095</v>
      </c>
      <c r="O1050" t="s">
        <v>45096</v>
      </c>
      <c r="P1050">
        <v>0</v>
      </c>
      <c r="Q1050">
        <v>0</v>
      </c>
      <c r="R1050" t="s">
        <v>45097</v>
      </c>
      <c r="S1050" t="s">
        <v>45222</v>
      </c>
      <c r="T1050" t="s">
        <v>46935</v>
      </c>
      <c r="U1050" t="s">
        <v>48392</v>
      </c>
      <c r="W1050" t="s">
        <v>41949</v>
      </c>
      <c r="X1050" t="s">
        <v>45098</v>
      </c>
    </row>
    <row r="1051" spans="1:24">
      <c r="A1051">
        <f>HYPERLINK("https://www.philgeps.gov.ph/GEPSNONPILOT/Tender/SplashBidNoticeAbstractUI.aspx?menuIndex=3&amp;refID=7045347&amp;Result=3","7045347")</f>
        <v>0</v>
      </c>
      <c r="B1051" t="s">
        <v>463</v>
      </c>
      <c r="C1051" t="s">
        <v>4199</v>
      </c>
      <c r="D1051" t="s">
        <v>18033</v>
      </c>
      <c r="E1051" t="s">
        <v>19097</v>
      </c>
      <c r="F1051" t="s">
        <v>31574</v>
      </c>
      <c r="G1051" t="s">
        <v>31583</v>
      </c>
      <c r="H1051" t="s">
        <v>31592</v>
      </c>
      <c r="I1051" t="s">
        <v>31595</v>
      </c>
      <c r="J1051" t="s">
        <v>32538</v>
      </c>
      <c r="K1051" t="s">
        <v>41193</v>
      </c>
      <c r="M1051" t="s">
        <v>41957</v>
      </c>
      <c r="N1051" t="s">
        <v>45095</v>
      </c>
      <c r="O1051" t="s">
        <v>45096</v>
      </c>
      <c r="P1051">
        <v>0</v>
      </c>
      <c r="Q1051">
        <v>0</v>
      </c>
      <c r="R1051" t="s">
        <v>45097</v>
      </c>
      <c r="S1051" t="s">
        <v>45222</v>
      </c>
      <c r="T1051" t="s">
        <v>46973</v>
      </c>
      <c r="U1051" t="s">
        <v>48393</v>
      </c>
      <c r="W1051" t="s">
        <v>41957</v>
      </c>
      <c r="X1051" t="s">
        <v>45098</v>
      </c>
    </row>
    <row r="1052" spans="1:24">
      <c r="A1052">
        <f>HYPERLINK("https://www.philgeps.gov.ph/GEPSNONPILOT/Tender/SplashBidNoticeAbstractUI.aspx?menuIndex=3&amp;refID=7045351&amp;Result=3","7045351")</f>
        <v>0</v>
      </c>
      <c r="B1052" t="s">
        <v>458</v>
      </c>
      <c r="C1052" t="s">
        <v>4200</v>
      </c>
      <c r="D1052" t="s">
        <v>18045</v>
      </c>
      <c r="E1052" t="s">
        <v>19098</v>
      </c>
      <c r="F1052" t="s">
        <v>31574</v>
      </c>
      <c r="G1052" t="s">
        <v>31583</v>
      </c>
      <c r="H1052" t="s">
        <v>31590</v>
      </c>
      <c r="I1052" t="s">
        <v>4046</v>
      </c>
      <c r="J1052" t="s">
        <v>32539</v>
      </c>
      <c r="K1052" t="s">
        <v>41197</v>
      </c>
      <c r="M1052" t="s">
        <v>41952</v>
      </c>
      <c r="N1052" t="s">
        <v>45095</v>
      </c>
      <c r="O1052" t="s">
        <v>45096</v>
      </c>
      <c r="P1052">
        <v>0</v>
      </c>
      <c r="Q1052">
        <v>0</v>
      </c>
      <c r="R1052" t="s">
        <v>45097</v>
      </c>
      <c r="S1052" t="s">
        <v>45222</v>
      </c>
      <c r="T1052" t="s">
        <v>46936</v>
      </c>
      <c r="U1052" t="s">
        <v>48394</v>
      </c>
      <c r="W1052" t="s">
        <v>41952</v>
      </c>
      <c r="X1052" t="s">
        <v>45098</v>
      </c>
    </row>
    <row r="1053" spans="1:24">
      <c r="A1053">
        <f>HYPERLINK("https://www.philgeps.gov.ph/GEPSNONPILOT/Tender/SplashBidNoticeAbstractUI.aspx?menuIndex=3&amp;refID=7045340&amp;Result=3","7045340")</f>
        <v>0</v>
      </c>
      <c r="B1053" t="s">
        <v>392</v>
      </c>
      <c r="C1053" t="s">
        <v>4201</v>
      </c>
      <c r="D1053" t="s">
        <v>18040</v>
      </c>
      <c r="E1053" t="s">
        <v>19099</v>
      </c>
      <c r="F1053" t="s">
        <v>31574</v>
      </c>
      <c r="G1053" t="s">
        <v>31583</v>
      </c>
      <c r="H1053" t="s">
        <v>31590</v>
      </c>
      <c r="I1053" t="s">
        <v>4327</v>
      </c>
      <c r="J1053" t="s">
        <v>31744</v>
      </c>
      <c r="K1053" t="s">
        <v>41211</v>
      </c>
      <c r="M1053" t="s">
        <v>41883</v>
      </c>
      <c r="N1053" t="s">
        <v>45095</v>
      </c>
      <c r="O1053" t="s">
        <v>45096</v>
      </c>
      <c r="P1053">
        <v>0</v>
      </c>
      <c r="Q1053">
        <v>0</v>
      </c>
      <c r="R1053" t="s">
        <v>45097</v>
      </c>
      <c r="S1053" t="s">
        <v>45222</v>
      </c>
      <c r="T1053" t="s">
        <v>46921</v>
      </c>
      <c r="U1053" t="s">
        <v>48395</v>
      </c>
      <c r="W1053" t="s">
        <v>41883</v>
      </c>
      <c r="X1053" t="s">
        <v>45098</v>
      </c>
    </row>
    <row r="1054" spans="1:24">
      <c r="A1054">
        <f>HYPERLINK("https://www.philgeps.gov.ph/GEPSNONPILOT/Tender/SplashBidNoticeAbstractUI.aspx?menuIndex=3&amp;refID=7045348&amp;Result=3","7045348")</f>
        <v>0</v>
      </c>
      <c r="B1054" t="s">
        <v>464</v>
      </c>
      <c r="C1054" t="s">
        <v>3976</v>
      </c>
      <c r="D1054" t="s">
        <v>18050</v>
      </c>
      <c r="E1054" t="s">
        <v>19100</v>
      </c>
      <c r="F1054" t="s">
        <v>31574</v>
      </c>
      <c r="G1054" t="s">
        <v>31581</v>
      </c>
      <c r="H1054" t="s">
        <v>31590</v>
      </c>
      <c r="I1054" t="s">
        <v>6800</v>
      </c>
      <c r="J1054" t="s">
        <v>32540</v>
      </c>
      <c r="K1054" t="s">
        <v>41213</v>
      </c>
      <c r="M1054" t="s">
        <v>41958</v>
      </c>
      <c r="N1054" t="s">
        <v>45095</v>
      </c>
      <c r="O1054" t="s">
        <v>45096</v>
      </c>
      <c r="P1054">
        <v>0</v>
      </c>
      <c r="Q1054">
        <v>0</v>
      </c>
      <c r="R1054" t="s">
        <v>45097</v>
      </c>
      <c r="S1054" t="s">
        <v>45222</v>
      </c>
      <c r="T1054" t="s">
        <v>46934</v>
      </c>
      <c r="U1054" t="s">
        <v>48396</v>
      </c>
      <c r="W1054" t="s">
        <v>41958</v>
      </c>
      <c r="X1054" t="s">
        <v>45098</v>
      </c>
    </row>
    <row r="1055" spans="1:24">
      <c r="A1055">
        <f>HYPERLINK("https://www.philgeps.gov.ph/GEPSNONPILOT/Tender/SplashBidNoticeAbstractUI.aspx?menuIndex=3&amp;refID=7045361&amp;Result=3","7045361")</f>
        <v>0</v>
      </c>
      <c r="B1055" t="s">
        <v>88</v>
      </c>
      <c r="C1055" t="s">
        <v>4202</v>
      </c>
      <c r="D1055" t="s">
        <v>18056</v>
      </c>
      <c r="E1055" t="s">
        <v>19101</v>
      </c>
      <c r="F1055" t="s">
        <v>31574</v>
      </c>
      <c r="G1055" t="s">
        <v>31582</v>
      </c>
      <c r="H1055" t="s">
        <v>31591</v>
      </c>
      <c r="I1055" t="s">
        <v>8822</v>
      </c>
      <c r="J1055" t="s">
        <v>32541</v>
      </c>
      <c r="K1055" t="s">
        <v>41192</v>
      </c>
      <c r="M1055" t="s">
        <v>41572</v>
      </c>
      <c r="N1055" t="s">
        <v>45095</v>
      </c>
      <c r="O1055" t="s">
        <v>45096</v>
      </c>
      <c r="P1055">
        <v>0</v>
      </c>
      <c r="Q1055">
        <v>0</v>
      </c>
      <c r="R1055" t="s">
        <v>45097</v>
      </c>
      <c r="S1055" t="s">
        <v>45222</v>
      </c>
      <c r="T1055" t="s">
        <v>46924</v>
      </c>
      <c r="U1055" t="s">
        <v>48397</v>
      </c>
      <c r="W1055" t="s">
        <v>41572</v>
      </c>
      <c r="X1055" t="s">
        <v>45098</v>
      </c>
    </row>
    <row r="1056" spans="1:24">
      <c r="A1056">
        <f>HYPERLINK("https://www.philgeps.gov.ph/GEPSNONPILOT/Tender/SplashBidNoticeAbstractUI.aspx?menuIndex=3&amp;refID=7045342&amp;Result=3","7045342")</f>
        <v>0</v>
      </c>
      <c r="B1056" t="s">
        <v>462</v>
      </c>
      <c r="C1056" t="s">
        <v>4203</v>
      </c>
      <c r="D1056" t="s">
        <v>18033</v>
      </c>
      <c r="E1056" t="s">
        <v>19102</v>
      </c>
      <c r="F1056" t="s">
        <v>31574</v>
      </c>
      <c r="G1056" t="s">
        <v>31582</v>
      </c>
      <c r="H1056" t="s">
        <v>31590</v>
      </c>
      <c r="I1056" t="s">
        <v>5717</v>
      </c>
      <c r="J1056" t="s">
        <v>32542</v>
      </c>
      <c r="K1056" t="s">
        <v>41186</v>
      </c>
      <c r="M1056" t="s">
        <v>41956</v>
      </c>
      <c r="N1056" t="s">
        <v>45095</v>
      </c>
      <c r="O1056" t="s">
        <v>45096</v>
      </c>
      <c r="P1056">
        <v>0</v>
      </c>
      <c r="Q1056">
        <v>0</v>
      </c>
      <c r="R1056" t="s">
        <v>45097</v>
      </c>
      <c r="S1056" t="s">
        <v>45222</v>
      </c>
      <c r="T1056" t="s">
        <v>46922</v>
      </c>
      <c r="U1056" t="s">
        <v>48398</v>
      </c>
      <c r="V1056" t="s">
        <v>59948</v>
      </c>
      <c r="W1056" t="s">
        <v>41956</v>
      </c>
      <c r="X1056" t="s">
        <v>45098</v>
      </c>
    </row>
    <row r="1057" spans="1:24">
      <c r="A1057">
        <f>HYPERLINK("https://www.philgeps.gov.ph/GEPSNONPILOT/Tender/SplashBidNoticeAbstractUI.aspx?menuIndex=3&amp;refID=7045359&amp;Result=3","7045359")</f>
        <v>0</v>
      </c>
      <c r="B1057" t="s">
        <v>363</v>
      </c>
      <c r="C1057" t="s">
        <v>4204</v>
      </c>
      <c r="D1057" t="s">
        <v>18044</v>
      </c>
      <c r="E1057" t="s">
        <v>19103</v>
      </c>
      <c r="F1057" t="s">
        <v>31574</v>
      </c>
      <c r="G1057" t="s">
        <v>31583</v>
      </c>
      <c r="H1057" t="s">
        <v>31590</v>
      </c>
      <c r="I1057" t="s">
        <v>31608</v>
      </c>
      <c r="J1057" t="s">
        <v>32543</v>
      </c>
      <c r="K1057" t="s">
        <v>41184</v>
      </c>
      <c r="M1057" t="s">
        <v>41853</v>
      </c>
      <c r="N1057" t="s">
        <v>45095</v>
      </c>
      <c r="O1057" t="s">
        <v>45096</v>
      </c>
      <c r="P1057">
        <v>0</v>
      </c>
      <c r="Q1057">
        <v>0</v>
      </c>
      <c r="R1057" t="s">
        <v>45097</v>
      </c>
      <c r="S1057" t="s">
        <v>45222</v>
      </c>
      <c r="T1057" t="s">
        <v>47043</v>
      </c>
      <c r="U1057" t="s">
        <v>48399</v>
      </c>
      <c r="W1057" t="s">
        <v>41853</v>
      </c>
      <c r="X1057" t="s">
        <v>45098</v>
      </c>
    </row>
    <row r="1058" spans="1:24">
      <c r="A1058">
        <f>HYPERLINK("https://www.philgeps.gov.ph/GEPSNONPILOT/Tender/SplashBidNoticeAbstractUI.aspx?menuIndex=3&amp;refID=7045356&amp;Result=3","7045356")</f>
        <v>0</v>
      </c>
      <c r="B1058" t="s">
        <v>465</v>
      </c>
      <c r="C1058" t="s">
        <v>4205</v>
      </c>
      <c r="D1058" t="s">
        <v>18023</v>
      </c>
      <c r="E1058" t="s">
        <v>19104</v>
      </c>
      <c r="F1058" t="s">
        <v>31574</v>
      </c>
      <c r="G1058" t="s">
        <v>31581</v>
      </c>
      <c r="H1058" t="s">
        <v>31591</v>
      </c>
      <c r="I1058" t="s">
        <v>8822</v>
      </c>
      <c r="J1058" t="s">
        <v>32544</v>
      </c>
      <c r="K1058" t="s">
        <v>41200</v>
      </c>
      <c r="M1058" t="s">
        <v>41959</v>
      </c>
      <c r="N1058" t="s">
        <v>45095</v>
      </c>
      <c r="O1058" t="s">
        <v>45096</v>
      </c>
      <c r="P1058">
        <v>0</v>
      </c>
      <c r="Q1058">
        <v>0</v>
      </c>
      <c r="R1058" t="s">
        <v>45097</v>
      </c>
      <c r="S1058" t="s">
        <v>45222</v>
      </c>
      <c r="T1058" t="s">
        <v>47015</v>
      </c>
      <c r="U1058" t="s">
        <v>48400</v>
      </c>
      <c r="W1058" t="s">
        <v>41959</v>
      </c>
      <c r="X1058" t="s">
        <v>45098</v>
      </c>
    </row>
    <row r="1059" spans="1:24">
      <c r="A1059">
        <f>HYPERLINK("https://www.philgeps.gov.ph/GEPSNONPILOT/Tender/SplashBidNoticeAbstractUI.aspx?menuIndex=3&amp;refID=7045344&amp;Result=3","7045344")</f>
        <v>0</v>
      </c>
      <c r="B1059" t="s">
        <v>326</v>
      </c>
      <c r="C1059" t="s">
        <v>4206</v>
      </c>
      <c r="D1059" t="s">
        <v>18050</v>
      </c>
      <c r="E1059" t="s">
        <v>19105</v>
      </c>
      <c r="F1059" t="s">
        <v>31574</v>
      </c>
      <c r="G1059" t="s">
        <v>31582</v>
      </c>
      <c r="H1059" t="s">
        <v>31591</v>
      </c>
      <c r="I1059" t="s">
        <v>7162</v>
      </c>
      <c r="J1059" t="s">
        <v>32545</v>
      </c>
      <c r="K1059" t="s">
        <v>41185</v>
      </c>
      <c r="M1059" t="s">
        <v>41814</v>
      </c>
      <c r="N1059" t="s">
        <v>45095</v>
      </c>
      <c r="O1059" t="s">
        <v>45096</v>
      </c>
      <c r="P1059">
        <v>0</v>
      </c>
      <c r="Q1059">
        <v>0</v>
      </c>
      <c r="R1059" t="s">
        <v>45097</v>
      </c>
      <c r="S1059" t="s">
        <v>45222</v>
      </c>
      <c r="T1059" t="s">
        <v>46937</v>
      </c>
      <c r="U1059" t="s">
        <v>48401</v>
      </c>
      <c r="W1059" t="s">
        <v>41814</v>
      </c>
      <c r="X1059" t="s">
        <v>45098</v>
      </c>
    </row>
    <row r="1060" spans="1:24">
      <c r="A1060">
        <f>HYPERLINK("https://www.philgeps.gov.ph/GEPSNONPILOT/Tender/SplashBidNoticeAbstractUI.aspx?menuIndex=3&amp;refID=7045352&amp;Result=3","7045352")</f>
        <v>0</v>
      </c>
      <c r="B1060" t="s">
        <v>295</v>
      </c>
      <c r="C1060" t="s">
        <v>4207</v>
      </c>
      <c r="D1060" t="s">
        <v>18089</v>
      </c>
      <c r="E1060" t="s">
        <v>19106</v>
      </c>
      <c r="F1060" t="s">
        <v>31574</v>
      </c>
      <c r="G1060" t="s">
        <v>31582</v>
      </c>
      <c r="H1060" t="s">
        <v>31591</v>
      </c>
      <c r="I1060" t="s">
        <v>31593</v>
      </c>
      <c r="J1060" t="s">
        <v>32019</v>
      </c>
      <c r="K1060" t="s">
        <v>41185</v>
      </c>
      <c r="L1060" t="s">
        <v>295</v>
      </c>
      <c r="M1060" t="s">
        <v>41781</v>
      </c>
      <c r="N1060" t="s">
        <v>45095</v>
      </c>
      <c r="O1060" t="s">
        <v>45096</v>
      </c>
      <c r="P1060">
        <v>0</v>
      </c>
      <c r="Q1060">
        <v>0</v>
      </c>
      <c r="R1060" t="s">
        <v>45097</v>
      </c>
      <c r="S1060" t="s">
        <v>45222</v>
      </c>
      <c r="T1060" t="s">
        <v>46926</v>
      </c>
      <c r="U1060" t="s">
        <v>48402</v>
      </c>
      <c r="W1060" t="s">
        <v>41781</v>
      </c>
      <c r="X1060" t="s">
        <v>45098</v>
      </c>
    </row>
    <row r="1061" spans="1:24">
      <c r="A1061">
        <f>HYPERLINK("https://www.philgeps.gov.ph/GEPSNONPILOT/Tender/SplashBidNoticeAbstractUI.aspx?menuIndex=3&amp;refID=7045363&amp;Result=3","7045363")</f>
        <v>0</v>
      </c>
      <c r="B1061" t="s">
        <v>438</v>
      </c>
      <c r="C1061" t="s">
        <v>4208</v>
      </c>
      <c r="D1061" t="s">
        <v>18040</v>
      </c>
      <c r="E1061" t="s">
        <v>19107</v>
      </c>
      <c r="F1061" t="s">
        <v>31574</v>
      </c>
      <c r="G1061" t="s">
        <v>31584</v>
      </c>
      <c r="H1061" t="s">
        <v>31590</v>
      </c>
      <c r="I1061" t="s">
        <v>4327</v>
      </c>
      <c r="J1061" t="s">
        <v>32546</v>
      </c>
      <c r="K1061" t="s">
        <v>41213</v>
      </c>
      <c r="M1061" t="s">
        <v>41931</v>
      </c>
      <c r="N1061" t="s">
        <v>45095</v>
      </c>
      <c r="O1061" t="s">
        <v>45096</v>
      </c>
      <c r="P1061">
        <v>0</v>
      </c>
      <c r="Q1061">
        <v>0</v>
      </c>
      <c r="R1061" t="s">
        <v>45097</v>
      </c>
      <c r="S1061" t="s">
        <v>45222</v>
      </c>
      <c r="T1061" t="s">
        <v>46918</v>
      </c>
      <c r="U1061" t="s">
        <v>48345</v>
      </c>
      <c r="W1061" t="s">
        <v>41931</v>
      </c>
      <c r="X1061" t="s">
        <v>45098</v>
      </c>
    </row>
    <row r="1062" spans="1:24">
      <c r="A1062">
        <f>HYPERLINK("https://www.philgeps.gov.ph/GEPSNONPILOT/Tender/SplashBidNoticeAbstractUI.aspx?menuIndex=3&amp;refID=7045350&amp;Result=3","7045350")</f>
        <v>0</v>
      </c>
      <c r="B1062" t="s">
        <v>466</v>
      </c>
      <c r="C1062" t="s">
        <v>4209</v>
      </c>
      <c r="D1062" t="s">
        <v>18050</v>
      </c>
      <c r="E1062" t="s">
        <v>19108</v>
      </c>
      <c r="F1062" t="s">
        <v>31574</v>
      </c>
      <c r="G1062" t="s">
        <v>31582</v>
      </c>
      <c r="H1062" t="s">
        <v>31590</v>
      </c>
      <c r="I1062" t="s">
        <v>4046</v>
      </c>
      <c r="J1062" t="s">
        <v>32547</v>
      </c>
      <c r="K1062" t="s">
        <v>41190</v>
      </c>
      <c r="M1062" t="s">
        <v>41960</v>
      </c>
      <c r="N1062" t="s">
        <v>45095</v>
      </c>
      <c r="O1062" t="s">
        <v>45096</v>
      </c>
      <c r="P1062">
        <v>0</v>
      </c>
      <c r="Q1062">
        <v>0</v>
      </c>
      <c r="R1062" t="s">
        <v>45097</v>
      </c>
      <c r="S1062" t="s">
        <v>45222</v>
      </c>
      <c r="T1062" t="s">
        <v>47044</v>
      </c>
      <c r="U1062" t="s">
        <v>48403</v>
      </c>
      <c r="W1062" t="s">
        <v>41960</v>
      </c>
      <c r="X1062" t="s">
        <v>45098</v>
      </c>
    </row>
    <row r="1063" spans="1:24">
      <c r="A1063">
        <f>HYPERLINK("https://www.philgeps.gov.ph/GEPSNONPILOT/Tender/SplashBidNoticeAbstractUI.aspx?menuIndex=3&amp;refID=7045378&amp;Result=3","7045378")</f>
        <v>0</v>
      </c>
      <c r="B1063" t="s">
        <v>329</v>
      </c>
      <c r="C1063" t="s">
        <v>4210</v>
      </c>
      <c r="D1063" t="s">
        <v>18092</v>
      </c>
      <c r="E1063" t="s">
        <v>19109</v>
      </c>
      <c r="F1063" t="s">
        <v>31574</v>
      </c>
      <c r="G1063" t="s">
        <v>31581</v>
      </c>
      <c r="H1063" t="s">
        <v>31590</v>
      </c>
      <c r="I1063" t="s">
        <v>5222</v>
      </c>
      <c r="J1063" t="s">
        <v>32497</v>
      </c>
      <c r="K1063" t="s">
        <v>41196</v>
      </c>
      <c r="M1063" t="s">
        <v>41817</v>
      </c>
      <c r="N1063" t="s">
        <v>45095</v>
      </c>
      <c r="O1063" t="s">
        <v>45096</v>
      </c>
      <c r="P1063">
        <v>0</v>
      </c>
      <c r="Q1063">
        <v>0</v>
      </c>
      <c r="R1063" t="s">
        <v>45097</v>
      </c>
      <c r="S1063" t="s">
        <v>45222</v>
      </c>
      <c r="T1063" t="s">
        <v>46904</v>
      </c>
      <c r="U1063" t="s">
        <v>48404</v>
      </c>
      <c r="W1063" t="s">
        <v>41817</v>
      </c>
      <c r="X1063" t="s">
        <v>45098</v>
      </c>
    </row>
    <row r="1064" spans="1:24">
      <c r="A1064">
        <f>HYPERLINK("https://www.philgeps.gov.ph/GEPSNONPILOT/Tender/SplashBidNoticeAbstractUI.aspx?menuIndex=3&amp;refID=7045374&amp;Result=3","7045374")</f>
        <v>0</v>
      </c>
      <c r="B1064" t="s">
        <v>461</v>
      </c>
      <c r="C1064" t="s">
        <v>4211</v>
      </c>
      <c r="D1064" t="s">
        <v>18057</v>
      </c>
      <c r="E1064" t="s">
        <v>19110</v>
      </c>
      <c r="F1064" t="s">
        <v>31574</v>
      </c>
      <c r="G1064" t="s">
        <v>31582</v>
      </c>
      <c r="H1064" t="s">
        <v>31591</v>
      </c>
      <c r="I1064" t="s">
        <v>8822</v>
      </c>
      <c r="J1064" t="s">
        <v>32548</v>
      </c>
      <c r="K1064" t="s">
        <v>41191</v>
      </c>
      <c r="M1064" t="s">
        <v>41955</v>
      </c>
      <c r="N1064" t="s">
        <v>45095</v>
      </c>
      <c r="O1064" t="s">
        <v>45096</v>
      </c>
      <c r="P1064">
        <v>0</v>
      </c>
      <c r="Q1064">
        <v>0</v>
      </c>
      <c r="R1064" t="s">
        <v>45097</v>
      </c>
      <c r="S1064" t="s">
        <v>45222</v>
      </c>
      <c r="T1064" t="s">
        <v>46968</v>
      </c>
      <c r="U1064" t="s">
        <v>48405</v>
      </c>
      <c r="W1064" t="s">
        <v>41955</v>
      </c>
      <c r="X1064" t="s">
        <v>45098</v>
      </c>
    </row>
    <row r="1065" spans="1:24">
      <c r="A1065">
        <f>HYPERLINK("https://www.philgeps.gov.ph/GEPSNONPILOT/Tender/SplashBidNoticeAbstractUI.aspx?menuIndex=3&amp;refID=7045379&amp;Result=3","7045379")</f>
        <v>0</v>
      </c>
      <c r="B1065" t="s">
        <v>456</v>
      </c>
      <c r="C1065" t="s">
        <v>4212</v>
      </c>
      <c r="D1065" t="s">
        <v>18025</v>
      </c>
      <c r="E1065" t="s">
        <v>18722</v>
      </c>
      <c r="F1065" t="s">
        <v>31574</v>
      </c>
      <c r="G1065" t="s">
        <v>31581</v>
      </c>
      <c r="H1065" t="s">
        <v>31590</v>
      </c>
      <c r="I1065" t="s">
        <v>31621</v>
      </c>
      <c r="J1065" t="s">
        <v>32549</v>
      </c>
      <c r="K1065" t="s">
        <v>41193</v>
      </c>
      <c r="M1065" t="s">
        <v>41950</v>
      </c>
      <c r="N1065" t="s">
        <v>45095</v>
      </c>
      <c r="O1065" t="s">
        <v>45096</v>
      </c>
      <c r="P1065">
        <v>0</v>
      </c>
      <c r="Q1065">
        <v>0</v>
      </c>
      <c r="R1065" t="s">
        <v>45097</v>
      </c>
      <c r="S1065" t="s">
        <v>45222</v>
      </c>
      <c r="T1065" t="s">
        <v>47045</v>
      </c>
      <c r="U1065" t="s">
        <v>48406</v>
      </c>
      <c r="W1065" t="s">
        <v>41950</v>
      </c>
      <c r="X1065" t="s">
        <v>45098</v>
      </c>
    </row>
    <row r="1066" spans="1:24">
      <c r="A1066">
        <f>HYPERLINK("https://www.philgeps.gov.ph/GEPSNONPILOT/Tender/SplashBidNoticeAbstractUI.aspx?menuIndex=3&amp;refID=7045380&amp;Result=3","7045380")</f>
        <v>0</v>
      </c>
      <c r="B1066" t="s">
        <v>455</v>
      </c>
      <c r="C1066" t="s">
        <v>4213</v>
      </c>
      <c r="D1066" t="s">
        <v>18022</v>
      </c>
      <c r="E1066" t="s">
        <v>19111</v>
      </c>
      <c r="F1066" t="s">
        <v>31574</v>
      </c>
      <c r="G1066" t="s">
        <v>31582</v>
      </c>
      <c r="H1066" t="s">
        <v>31590</v>
      </c>
      <c r="I1066" t="s">
        <v>3487</v>
      </c>
      <c r="J1066" t="s">
        <v>32049</v>
      </c>
      <c r="K1066" t="s">
        <v>41184</v>
      </c>
      <c r="M1066" t="s">
        <v>41949</v>
      </c>
      <c r="N1066" t="s">
        <v>45095</v>
      </c>
      <c r="O1066" t="s">
        <v>45096</v>
      </c>
      <c r="P1066">
        <v>0</v>
      </c>
      <c r="Q1066">
        <v>0</v>
      </c>
      <c r="R1066" t="s">
        <v>45097</v>
      </c>
      <c r="S1066" t="s">
        <v>45222</v>
      </c>
      <c r="T1066" t="s">
        <v>46935</v>
      </c>
      <c r="U1066" t="s">
        <v>48407</v>
      </c>
      <c r="W1066" t="s">
        <v>41949</v>
      </c>
      <c r="X1066" t="s">
        <v>45098</v>
      </c>
    </row>
    <row r="1067" spans="1:24">
      <c r="A1067">
        <f>HYPERLINK("https://www.philgeps.gov.ph/GEPSNONPILOT/Tender/SplashBidNoticeAbstractUI.aspx?menuIndex=3&amp;refID=7045372&amp;Result=3","7045372")</f>
        <v>0</v>
      </c>
      <c r="B1067" t="s">
        <v>455</v>
      </c>
      <c r="C1067" t="s">
        <v>4009</v>
      </c>
      <c r="D1067" t="s">
        <v>18022</v>
      </c>
      <c r="E1067" t="s">
        <v>19112</v>
      </c>
      <c r="F1067" t="s">
        <v>31574</v>
      </c>
      <c r="G1067" t="s">
        <v>31582</v>
      </c>
      <c r="H1067" t="s">
        <v>31590</v>
      </c>
      <c r="I1067" t="s">
        <v>3487</v>
      </c>
      <c r="J1067" t="s">
        <v>31789</v>
      </c>
      <c r="K1067" t="s">
        <v>41184</v>
      </c>
      <c r="M1067" t="s">
        <v>41949</v>
      </c>
      <c r="N1067" t="s">
        <v>45095</v>
      </c>
      <c r="O1067" t="s">
        <v>45096</v>
      </c>
      <c r="P1067">
        <v>0</v>
      </c>
      <c r="Q1067">
        <v>0</v>
      </c>
      <c r="R1067" t="s">
        <v>45097</v>
      </c>
      <c r="S1067" t="s">
        <v>45222</v>
      </c>
      <c r="T1067" t="s">
        <v>46935</v>
      </c>
      <c r="U1067" t="s">
        <v>48408</v>
      </c>
      <c r="W1067" t="s">
        <v>41949</v>
      </c>
      <c r="X1067" t="s">
        <v>45098</v>
      </c>
    </row>
    <row r="1068" spans="1:24">
      <c r="A1068">
        <f>HYPERLINK("https://www.philgeps.gov.ph/GEPSNONPILOT/Tender/SplashBidNoticeAbstractUI.aspx?menuIndex=3&amp;refID=7045368&amp;Result=3","7045368")</f>
        <v>0</v>
      </c>
      <c r="B1068" t="s">
        <v>467</v>
      </c>
      <c r="C1068" t="s">
        <v>4214</v>
      </c>
      <c r="D1068" t="s">
        <v>18065</v>
      </c>
      <c r="E1068" t="s">
        <v>19113</v>
      </c>
      <c r="F1068" t="s">
        <v>31574</v>
      </c>
      <c r="G1068" t="s">
        <v>31583</v>
      </c>
      <c r="H1068" t="s">
        <v>31590</v>
      </c>
      <c r="I1068" t="s">
        <v>31648</v>
      </c>
      <c r="J1068" t="s">
        <v>32431</v>
      </c>
      <c r="K1068" t="s">
        <v>41213</v>
      </c>
      <c r="M1068" t="s">
        <v>41961</v>
      </c>
      <c r="N1068" t="s">
        <v>45095</v>
      </c>
      <c r="O1068" t="s">
        <v>45096</v>
      </c>
      <c r="P1068">
        <v>0</v>
      </c>
      <c r="Q1068">
        <v>0</v>
      </c>
      <c r="R1068" t="s">
        <v>45097</v>
      </c>
      <c r="S1068" t="s">
        <v>45222</v>
      </c>
      <c r="T1068" t="s">
        <v>47046</v>
      </c>
      <c r="U1068" t="s">
        <v>48409</v>
      </c>
      <c r="V1068" t="s">
        <v>59949</v>
      </c>
      <c r="W1068" t="s">
        <v>41961</v>
      </c>
      <c r="X1068" t="s">
        <v>45098</v>
      </c>
    </row>
    <row r="1069" spans="1:24">
      <c r="A1069">
        <f>HYPERLINK("https://www.philgeps.gov.ph/GEPSNONPILOT/Tender/SplashBidNoticeAbstractUI.aspx?menuIndex=3&amp;refID=7045375&amp;Result=3","7045375")</f>
        <v>0</v>
      </c>
      <c r="B1069" t="s">
        <v>468</v>
      </c>
      <c r="C1069" t="s">
        <v>4215</v>
      </c>
      <c r="D1069" t="s">
        <v>18083</v>
      </c>
      <c r="E1069" t="s">
        <v>19114</v>
      </c>
      <c r="F1069" t="s">
        <v>31574</v>
      </c>
      <c r="G1069" t="s">
        <v>31582</v>
      </c>
      <c r="H1069" t="s">
        <v>31591</v>
      </c>
      <c r="I1069" t="s">
        <v>8822</v>
      </c>
      <c r="J1069" t="s">
        <v>32550</v>
      </c>
      <c r="K1069" t="s">
        <v>41189</v>
      </c>
      <c r="M1069" t="s">
        <v>41962</v>
      </c>
      <c r="N1069" t="s">
        <v>45095</v>
      </c>
      <c r="O1069" t="s">
        <v>45096</v>
      </c>
      <c r="P1069">
        <v>0</v>
      </c>
      <c r="Q1069">
        <v>0</v>
      </c>
      <c r="R1069" t="s">
        <v>45097</v>
      </c>
      <c r="S1069" t="s">
        <v>45222</v>
      </c>
      <c r="T1069" t="s">
        <v>46908</v>
      </c>
      <c r="U1069" t="s">
        <v>48410</v>
      </c>
      <c r="W1069" t="s">
        <v>41962</v>
      </c>
      <c r="X1069" t="s">
        <v>45098</v>
      </c>
    </row>
    <row r="1070" spans="1:24">
      <c r="A1070">
        <f>HYPERLINK("https://www.philgeps.gov.ph/GEPSNONPILOT/Tender/SplashBidNoticeAbstractUI.aspx?menuIndex=3&amp;refID=7045387&amp;Result=3","7045387")</f>
        <v>0</v>
      </c>
      <c r="B1070" t="s">
        <v>469</v>
      </c>
      <c r="C1070" t="s">
        <v>4216</v>
      </c>
      <c r="D1070" t="s">
        <v>18091</v>
      </c>
      <c r="E1070" t="s">
        <v>19115</v>
      </c>
      <c r="F1070" t="s">
        <v>31574</v>
      </c>
      <c r="G1070" t="s">
        <v>31581</v>
      </c>
      <c r="H1070" t="s">
        <v>31590</v>
      </c>
      <c r="I1070" t="s">
        <v>6800</v>
      </c>
      <c r="J1070" t="s">
        <v>32551</v>
      </c>
      <c r="K1070" t="s">
        <v>41196</v>
      </c>
      <c r="M1070" t="s">
        <v>41963</v>
      </c>
      <c r="N1070" t="s">
        <v>45095</v>
      </c>
      <c r="O1070" t="s">
        <v>45096</v>
      </c>
      <c r="P1070">
        <v>0</v>
      </c>
      <c r="Q1070">
        <v>0</v>
      </c>
      <c r="R1070" t="s">
        <v>45097</v>
      </c>
      <c r="S1070" t="s">
        <v>45222</v>
      </c>
      <c r="T1070" t="s">
        <v>46961</v>
      </c>
      <c r="U1070" t="s">
        <v>48411</v>
      </c>
      <c r="W1070" t="s">
        <v>41963</v>
      </c>
      <c r="X1070" t="s">
        <v>45098</v>
      </c>
    </row>
    <row r="1071" spans="1:24">
      <c r="A1071">
        <f>HYPERLINK("https://www.philgeps.gov.ph/GEPSNONPILOT/Tender/SplashBidNoticeAbstractUI.aspx?menuIndex=3&amp;refID=7045376&amp;Result=3","7045376")</f>
        <v>0</v>
      </c>
      <c r="B1071" t="s">
        <v>458</v>
      </c>
      <c r="C1071" t="s">
        <v>4217</v>
      </c>
      <c r="D1071" t="s">
        <v>18045</v>
      </c>
      <c r="E1071" t="s">
        <v>19116</v>
      </c>
      <c r="F1071" t="s">
        <v>31574</v>
      </c>
      <c r="G1071" t="s">
        <v>31583</v>
      </c>
      <c r="H1071" t="s">
        <v>31590</v>
      </c>
      <c r="I1071" t="s">
        <v>4046</v>
      </c>
      <c r="J1071" t="s">
        <v>32552</v>
      </c>
      <c r="K1071" t="s">
        <v>41197</v>
      </c>
      <c r="M1071" t="s">
        <v>41952</v>
      </c>
      <c r="N1071" t="s">
        <v>45095</v>
      </c>
      <c r="O1071" t="s">
        <v>45096</v>
      </c>
      <c r="P1071">
        <v>0</v>
      </c>
      <c r="Q1071">
        <v>0</v>
      </c>
      <c r="R1071" t="s">
        <v>45097</v>
      </c>
      <c r="S1071" t="s">
        <v>45222</v>
      </c>
      <c r="T1071" t="s">
        <v>46936</v>
      </c>
      <c r="U1071" t="s">
        <v>48412</v>
      </c>
      <c r="W1071" t="s">
        <v>41952</v>
      </c>
      <c r="X1071" t="s">
        <v>45098</v>
      </c>
    </row>
    <row r="1072" spans="1:24">
      <c r="A1072">
        <f>HYPERLINK("https://www.philgeps.gov.ph/GEPSNONPILOT/Tender/SplashBidNoticeAbstractUI.aspx?menuIndex=3&amp;refID=7045370&amp;Result=3","7045370")</f>
        <v>0</v>
      </c>
      <c r="B1072" t="s">
        <v>470</v>
      </c>
      <c r="C1072" t="s">
        <v>4218</v>
      </c>
      <c r="D1072" t="s">
        <v>18022</v>
      </c>
      <c r="E1072" t="s">
        <v>19117</v>
      </c>
      <c r="F1072" t="s">
        <v>31574</v>
      </c>
      <c r="G1072" t="s">
        <v>31584</v>
      </c>
      <c r="H1072" t="s">
        <v>31590</v>
      </c>
      <c r="I1072" t="s">
        <v>8056</v>
      </c>
      <c r="J1072" t="s">
        <v>32116</v>
      </c>
      <c r="K1072" t="s">
        <v>41193</v>
      </c>
      <c r="M1072" t="s">
        <v>41964</v>
      </c>
      <c r="N1072" t="s">
        <v>45095</v>
      </c>
      <c r="O1072" t="s">
        <v>45096</v>
      </c>
      <c r="P1072">
        <v>0</v>
      </c>
      <c r="Q1072">
        <v>0</v>
      </c>
      <c r="R1072" t="s">
        <v>45097</v>
      </c>
      <c r="S1072" t="s">
        <v>45222</v>
      </c>
      <c r="T1072" t="s">
        <v>46910</v>
      </c>
      <c r="U1072" t="s">
        <v>48413</v>
      </c>
      <c r="W1072" t="s">
        <v>61668</v>
      </c>
      <c r="X1072" t="s">
        <v>45098</v>
      </c>
    </row>
    <row r="1073" spans="1:24">
      <c r="A1073">
        <f>HYPERLINK("https://www.philgeps.gov.ph/GEPSNONPILOT/Tender/SplashBidNoticeAbstractUI.aspx?menuIndex=3&amp;refID=7045386&amp;Result=3","7045386")</f>
        <v>0</v>
      </c>
      <c r="B1073" t="s">
        <v>36</v>
      </c>
      <c r="C1073" t="s">
        <v>4219</v>
      </c>
      <c r="D1073" t="s">
        <v>18031</v>
      </c>
      <c r="E1073" t="s">
        <v>19118</v>
      </c>
      <c r="F1073" t="s">
        <v>31575</v>
      </c>
      <c r="G1073" t="s">
        <v>31584</v>
      </c>
      <c r="H1073" t="s">
        <v>31590</v>
      </c>
      <c r="I1073" t="s">
        <v>6800</v>
      </c>
      <c r="J1073" t="s">
        <v>32012</v>
      </c>
      <c r="K1073" t="s">
        <v>41193</v>
      </c>
      <c r="M1073" t="s">
        <v>41519</v>
      </c>
      <c r="N1073" t="s">
        <v>45095</v>
      </c>
      <c r="O1073" t="s">
        <v>45096</v>
      </c>
      <c r="P1073">
        <v>0</v>
      </c>
      <c r="Q1073">
        <v>0</v>
      </c>
      <c r="R1073" t="s">
        <v>45097</v>
      </c>
      <c r="S1073" t="s">
        <v>45222</v>
      </c>
      <c r="T1073" t="s">
        <v>46905</v>
      </c>
      <c r="U1073" t="s">
        <v>48414</v>
      </c>
      <c r="W1073" t="s">
        <v>41519</v>
      </c>
      <c r="X1073" t="s">
        <v>45098</v>
      </c>
    </row>
    <row r="1074" spans="1:24">
      <c r="A1074">
        <f>HYPERLINK("https://www.philgeps.gov.ph/GEPSNONPILOT/Tender/SplashBidNoticeAbstractUI.aspx?menuIndex=3&amp;refID=7045366&amp;Result=3","7045366")</f>
        <v>0</v>
      </c>
      <c r="B1074" t="s">
        <v>455</v>
      </c>
      <c r="C1074" t="s">
        <v>4220</v>
      </c>
      <c r="D1074" t="s">
        <v>18022</v>
      </c>
      <c r="E1074" t="s">
        <v>19119</v>
      </c>
      <c r="F1074" t="s">
        <v>31574</v>
      </c>
      <c r="G1074" t="s">
        <v>31582</v>
      </c>
      <c r="H1074" t="s">
        <v>31590</v>
      </c>
      <c r="I1074" t="s">
        <v>3487</v>
      </c>
      <c r="J1074" t="s">
        <v>31947</v>
      </c>
      <c r="K1074" t="s">
        <v>41184</v>
      </c>
      <c r="M1074" t="s">
        <v>41949</v>
      </c>
      <c r="N1074" t="s">
        <v>45095</v>
      </c>
      <c r="O1074" t="s">
        <v>45096</v>
      </c>
      <c r="P1074">
        <v>0</v>
      </c>
      <c r="Q1074">
        <v>0</v>
      </c>
      <c r="R1074" t="s">
        <v>45097</v>
      </c>
      <c r="S1074" t="s">
        <v>45222</v>
      </c>
      <c r="T1074" t="s">
        <v>46935</v>
      </c>
      <c r="U1074" t="s">
        <v>48415</v>
      </c>
      <c r="W1074" t="s">
        <v>41949</v>
      </c>
      <c r="X1074" t="s">
        <v>45098</v>
      </c>
    </row>
    <row r="1075" spans="1:24">
      <c r="A1075">
        <f>HYPERLINK("https://www.philgeps.gov.ph/GEPSNONPILOT/Tender/SplashBidNoticeAbstractUI.aspx?menuIndex=3&amp;refID=7045367&amp;Result=3","7045367")</f>
        <v>0</v>
      </c>
      <c r="B1075" t="s">
        <v>95</v>
      </c>
      <c r="C1075" t="s">
        <v>4221</v>
      </c>
      <c r="D1075" t="s">
        <v>18062</v>
      </c>
      <c r="E1075" t="s">
        <v>19120</v>
      </c>
      <c r="F1075" t="s">
        <v>31574</v>
      </c>
      <c r="G1075" t="s">
        <v>31584</v>
      </c>
      <c r="H1075" t="s">
        <v>31590</v>
      </c>
      <c r="I1075" t="s">
        <v>3487</v>
      </c>
      <c r="J1075" t="s">
        <v>32553</v>
      </c>
      <c r="K1075" t="s">
        <v>41186</v>
      </c>
      <c r="M1075" t="s">
        <v>41937</v>
      </c>
      <c r="N1075" t="s">
        <v>45095</v>
      </c>
      <c r="O1075" t="s">
        <v>45096</v>
      </c>
      <c r="P1075">
        <v>0</v>
      </c>
      <c r="Q1075">
        <v>0</v>
      </c>
      <c r="R1075" t="s">
        <v>45097</v>
      </c>
      <c r="S1075" t="s">
        <v>45222</v>
      </c>
      <c r="T1075" t="s">
        <v>46949</v>
      </c>
      <c r="U1075" t="s">
        <v>48416</v>
      </c>
      <c r="W1075" t="s">
        <v>41937</v>
      </c>
      <c r="X1075" t="s">
        <v>45098</v>
      </c>
    </row>
    <row r="1076" spans="1:24">
      <c r="A1076">
        <f>HYPERLINK("https://www.philgeps.gov.ph/GEPSNONPILOT/Tender/SplashBidNoticeAbstractUI.aspx?menuIndex=3&amp;refID=7045384&amp;Result=3","7045384")</f>
        <v>0</v>
      </c>
      <c r="B1076" t="s">
        <v>105</v>
      </c>
      <c r="C1076" t="s">
        <v>4222</v>
      </c>
      <c r="D1076" t="s">
        <v>18062</v>
      </c>
      <c r="E1076" t="s">
        <v>19121</v>
      </c>
      <c r="F1076" t="s">
        <v>31574</v>
      </c>
      <c r="G1076" t="s">
        <v>31581</v>
      </c>
      <c r="H1076" t="s">
        <v>31590</v>
      </c>
      <c r="I1076" t="s">
        <v>31608</v>
      </c>
      <c r="J1076" t="s">
        <v>32554</v>
      </c>
      <c r="K1076" t="s">
        <v>41196</v>
      </c>
      <c r="M1076" t="s">
        <v>41589</v>
      </c>
      <c r="N1076" t="s">
        <v>45095</v>
      </c>
      <c r="O1076" t="s">
        <v>45096</v>
      </c>
      <c r="P1076">
        <v>0</v>
      </c>
      <c r="Q1076">
        <v>0</v>
      </c>
      <c r="R1076" t="s">
        <v>45097</v>
      </c>
      <c r="S1076" t="s">
        <v>45222</v>
      </c>
      <c r="T1076" t="s">
        <v>46966</v>
      </c>
      <c r="U1076" t="s">
        <v>48417</v>
      </c>
      <c r="W1076" t="s">
        <v>41589</v>
      </c>
      <c r="X1076" t="s">
        <v>45098</v>
      </c>
    </row>
    <row r="1077" spans="1:24">
      <c r="A1077">
        <f>HYPERLINK("https://www.philgeps.gov.ph/GEPSNONPILOT/Tender/SplashBidNoticeAbstractUI.aspx?menuIndex=3&amp;refID=7045381&amp;Result=3","7045381")</f>
        <v>0</v>
      </c>
      <c r="B1077" t="s">
        <v>393</v>
      </c>
      <c r="C1077" t="s">
        <v>4223</v>
      </c>
      <c r="D1077" t="s">
        <v>18022</v>
      </c>
      <c r="E1077" t="s">
        <v>19122</v>
      </c>
      <c r="F1077" t="s">
        <v>31574</v>
      </c>
      <c r="G1077" t="s">
        <v>31581</v>
      </c>
      <c r="H1077" t="s">
        <v>31590</v>
      </c>
      <c r="I1077" t="s">
        <v>3487</v>
      </c>
      <c r="J1077" t="s">
        <v>32555</v>
      </c>
      <c r="K1077" t="s">
        <v>41186</v>
      </c>
      <c r="M1077" t="s">
        <v>41965</v>
      </c>
      <c r="N1077" t="s">
        <v>45095</v>
      </c>
      <c r="O1077" t="s">
        <v>45096</v>
      </c>
      <c r="P1077">
        <v>0</v>
      </c>
      <c r="Q1077">
        <v>0</v>
      </c>
      <c r="R1077" t="s">
        <v>45097</v>
      </c>
      <c r="S1077" t="s">
        <v>45222</v>
      </c>
      <c r="T1077" t="s">
        <v>46918</v>
      </c>
      <c r="U1077" t="s">
        <v>48418</v>
      </c>
      <c r="W1077" t="s">
        <v>41965</v>
      </c>
      <c r="X1077" t="s">
        <v>45098</v>
      </c>
    </row>
    <row r="1078" spans="1:24">
      <c r="A1078">
        <f>HYPERLINK("https://www.philgeps.gov.ph/GEPSNONPILOT/Tender/SplashBidNoticeAbstractUI.aspx?menuIndex=3&amp;refID=7045377&amp;Result=3","7045377")</f>
        <v>0</v>
      </c>
      <c r="B1078" t="s">
        <v>471</v>
      </c>
      <c r="C1078" t="s">
        <v>4224</v>
      </c>
      <c r="D1078" t="s">
        <v>18052</v>
      </c>
      <c r="E1078" t="s">
        <v>19123</v>
      </c>
      <c r="F1078" t="s">
        <v>31574</v>
      </c>
      <c r="G1078" t="s">
        <v>31582</v>
      </c>
      <c r="H1078" t="s">
        <v>31591</v>
      </c>
      <c r="I1078" t="s">
        <v>4046</v>
      </c>
      <c r="J1078" t="s">
        <v>32001</v>
      </c>
      <c r="K1078" t="s">
        <v>41189</v>
      </c>
      <c r="M1078" t="s">
        <v>41966</v>
      </c>
      <c r="N1078" t="s">
        <v>45095</v>
      </c>
      <c r="O1078" t="s">
        <v>45096</v>
      </c>
      <c r="P1078">
        <v>0</v>
      </c>
      <c r="Q1078">
        <v>0</v>
      </c>
      <c r="R1078" t="s">
        <v>45097</v>
      </c>
      <c r="S1078" t="s">
        <v>45222</v>
      </c>
      <c r="T1078" t="s">
        <v>47047</v>
      </c>
      <c r="U1078" t="s">
        <v>48419</v>
      </c>
      <c r="W1078" t="s">
        <v>41966</v>
      </c>
      <c r="X1078" t="s">
        <v>45098</v>
      </c>
    </row>
    <row r="1079" spans="1:24">
      <c r="A1079">
        <f>HYPERLINK("https://www.philgeps.gov.ph/GEPSNONPILOT/Tender/SplashBidNoticeAbstractUI.aspx?menuIndex=3&amp;refID=7045385&amp;Result=3","7045385")</f>
        <v>0</v>
      </c>
      <c r="B1079" t="s">
        <v>472</v>
      </c>
      <c r="C1079" t="s">
        <v>4225</v>
      </c>
      <c r="D1079" t="s">
        <v>18041</v>
      </c>
      <c r="E1079" t="s">
        <v>19124</v>
      </c>
      <c r="F1079" t="s">
        <v>31574</v>
      </c>
      <c r="G1079" t="s">
        <v>31582</v>
      </c>
      <c r="H1079" t="s">
        <v>31591</v>
      </c>
      <c r="I1079" t="s">
        <v>4046</v>
      </c>
      <c r="J1079" t="s">
        <v>31845</v>
      </c>
      <c r="K1079" t="s">
        <v>41197</v>
      </c>
      <c r="M1079" t="s">
        <v>41967</v>
      </c>
      <c r="N1079" t="s">
        <v>45095</v>
      </c>
      <c r="O1079" t="s">
        <v>45096</v>
      </c>
      <c r="P1079">
        <v>0</v>
      </c>
      <c r="Q1079">
        <v>0</v>
      </c>
      <c r="R1079" t="s">
        <v>45097</v>
      </c>
      <c r="S1079" t="s">
        <v>45222</v>
      </c>
      <c r="T1079" t="s">
        <v>47048</v>
      </c>
      <c r="U1079" t="s">
        <v>48420</v>
      </c>
      <c r="W1079" t="s">
        <v>41967</v>
      </c>
      <c r="X1079" t="s">
        <v>45098</v>
      </c>
    </row>
    <row r="1080" spans="1:24">
      <c r="A1080">
        <f>HYPERLINK("https://www.philgeps.gov.ph/GEPSNONPILOT/Tender/SplashBidNoticeAbstractUI.aspx?menuIndex=3&amp;refID=7045383&amp;Result=3","7045383")</f>
        <v>0</v>
      </c>
      <c r="B1080" t="s">
        <v>76</v>
      </c>
      <c r="C1080" t="s">
        <v>4226</v>
      </c>
      <c r="D1080" t="s">
        <v>18035</v>
      </c>
      <c r="E1080" t="s">
        <v>19125</v>
      </c>
      <c r="F1080" t="s">
        <v>31574</v>
      </c>
      <c r="G1080" t="s">
        <v>31581</v>
      </c>
      <c r="H1080" t="s">
        <v>31591</v>
      </c>
      <c r="I1080" t="s">
        <v>8822</v>
      </c>
      <c r="J1080" t="s">
        <v>32556</v>
      </c>
      <c r="K1080" t="s">
        <v>41184</v>
      </c>
      <c r="L1080" t="s">
        <v>76</v>
      </c>
      <c r="M1080" t="s">
        <v>41797</v>
      </c>
      <c r="N1080" t="s">
        <v>45095</v>
      </c>
      <c r="O1080" t="s">
        <v>45096</v>
      </c>
      <c r="P1080">
        <v>0</v>
      </c>
      <c r="Q1080">
        <v>0</v>
      </c>
      <c r="R1080" t="s">
        <v>45097</v>
      </c>
      <c r="S1080" t="s">
        <v>45222</v>
      </c>
      <c r="T1080" t="s">
        <v>46904</v>
      </c>
      <c r="U1080" t="s">
        <v>48069</v>
      </c>
      <c r="W1080" t="s">
        <v>41797</v>
      </c>
      <c r="X1080" t="s">
        <v>45098</v>
      </c>
    </row>
    <row r="1081" spans="1:24">
      <c r="A1081">
        <f>HYPERLINK("https://www.philgeps.gov.ph/GEPSNONPILOT/Tender/SplashBidNoticeAbstractUI.aspx?menuIndex=3&amp;refID=7045382&amp;Result=3","7045382")</f>
        <v>0</v>
      </c>
      <c r="B1081" t="s">
        <v>473</v>
      </c>
      <c r="C1081" t="s">
        <v>4227</v>
      </c>
      <c r="D1081" t="s">
        <v>18030</v>
      </c>
      <c r="E1081" t="s">
        <v>18397</v>
      </c>
      <c r="F1081" t="s">
        <v>31575</v>
      </c>
      <c r="G1081" t="s">
        <v>31583</v>
      </c>
      <c r="H1081" t="s">
        <v>31590</v>
      </c>
      <c r="I1081" t="s">
        <v>31640</v>
      </c>
      <c r="J1081" t="s">
        <v>32431</v>
      </c>
      <c r="K1081" t="s">
        <v>41184</v>
      </c>
      <c r="M1081" t="s">
        <v>41968</v>
      </c>
      <c r="N1081" t="s">
        <v>45095</v>
      </c>
      <c r="O1081" t="s">
        <v>45096</v>
      </c>
      <c r="P1081">
        <v>0</v>
      </c>
      <c r="Q1081">
        <v>0</v>
      </c>
      <c r="R1081" t="s">
        <v>45097</v>
      </c>
      <c r="S1081" t="s">
        <v>45222</v>
      </c>
      <c r="T1081" t="s">
        <v>46936</v>
      </c>
      <c r="U1081" t="s">
        <v>48421</v>
      </c>
      <c r="W1081" t="s">
        <v>41968</v>
      </c>
      <c r="X1081" t="s">
        <v>45098</v>
      </c>
    </row>
    <row r="1082" spans="1:24">
      <c r="A1082">
        <f>HYPERLINK("https://www.philgeps.gov.ph/GEPSNONPILOT/Tender/SplashBidNoticeAbstractUI.aspx?menuIndex=3&amp;refID=7045389&amp;Result=3","7045389")</f>
        <v>0</v>
      </c>
      <c r="B1082" t="s">
        <v>214</v>
      </c>
      <c r="C1082" t="s">
        <v>4228</v>
      </c>
      <c r="D1082" t="s">
        <v>18040</v>
      </c>
      <c r="E1082" t="s">
        <v>18544</v>
      </c>
      <c r="F1082" t="s">
        <v>31574</v>
      </c>
      <c r="G1082" t="s">
        <v>31581</v>
      </c>
      <c r="H1082" t="s">
        <v>31592</v>
      </c>
      <c r="I1082" t="s">
        <v>31623</v>
      </c>
      <c r="J1082" t="s">
        <v>31806</v>
      </c>
      <c r="K1082" t="s">
        <v>41223</v>
      </c>
      <c r="M1082" t="s">
        <v>41699</v>
      </c>
      <c r="N1082" t="s">
        <v>45095</v>
      </c>
      <c r="O1082" t="s">
        <v>45096</v>
      </c>
      <c r="P1082">
        <v>0</v>
      </c>
      <c r="Q1082">
        <v>0</v>
      </c>
      <c r="R1082" t="s">
        <v>45097</v>
      </c>
      <c r="S1082" t="s">
        <v>45222</v>
      </c>
      <c r="T1082" t="s">
        <v>46911</v>
      </c>
      <c r="U1082" t="s">
        <v>48422</v>
      </c>
      <c r="W1082" t="s">
        <v>41699</v>
      </c>
      <c r="X1082" t="s">
        <v>45098</v>
      </c>
    </row>
    <row r="1083" spans="1:24">
      <c r="A1083">
        <f>HYPERLINK("https://www.philgeps.gov.ph/GEPSNONPILOT/Tender/SplashBidNoticeAbstractUI.aspx?menuIndex=3&amp;refID=7045392&amp;Result=3","7045392")</f>
        <v>0</v>
      </c>
      <c r="B1083" t="s">
        <v>474</v>
      </c>
      <c r="C1083" t="s">
        <v>4229</v>
      </c>
      <c r="D1083" t="s">
        <v>18025</v>
      </c>
      <c r="E1083" t="s">
        <v>18175</v>
      </c>
      <c r="F1083" t="s">
        <v>31574</v>
      </c>
      <c r="G1083" t="s">
        <v>31582</v>
      </c>
      <c r="H1083" t="s">
        <v>31590</v>
      </c>
      <c r="I1083" t="s">
        <v>7162</v>
      </c>
      <c r="J1083" t="s">
        <v>32557</v>
      </c>
      <c r="K1083" t="s">
        <v>41186</v>
      </c>
      <c r="M1083" t="s">
        <v>41969</v>
      </c>
      <c r="N1083" t="s">
        <v>45095</v>
      </c>
      <c r="O1083" t="s">
        <v>45096</v>
      </c>
      <c r="P1083">
        <v>0</v>
      </c>
      <c r="Q1083">
        <v>0</v>
      </c>
      <c r="R1083" t="s">
        <v>45097</v>
      </c>
      <c r="S1083" t="s">
        <v>45222</v>
      </c>
      <c r="T1083" t="s">
        <v>46935</v>
      </c>
      <c r="U1083" t="s">
        <v>48423</v>
      </c>
      <c r="W1083" t="s">
        <v>41969</v>
      </c>
      <c r="X1083" t="s">
        <v>45098</v>
      </c>
    </row>
    <row r="1084" spans="1:24">
      <c r="A1084">
        <f>HYPERLINK("https://www.philgeps.gov.ph/GEPSNONPILOT/Tender/SplashBidNoticeAbstractUI.aspx?menuIndex=3&amp;refID=7045410&amp;Result=3","7045410")</f>
        <v>0</v>
      </c>
      <c r="B1084" t="s">
        <v>392</v>
      </c>
      <c r="C1084" t="s">
        <v>4230</v>
      </c>
      <c r="D1084" t="s">
        <v>18040</v>
      </c>
      <c r="E1084" t="s">
        <v>19126</v>
      </c>
      <c r="F1084" t="s">
        <v>31574</v>
      </c>
      <c r="G1084" t="s">
        <v>31583</v>
      </c>
      <c r="H1084" t="s">
        <v>31590</v>
      </c>
      <c r="I1084" t="s">
        <v>31608</v>
      </c>
      <c r="J1084" t="s">
        <v>31845</v>
      </c>
      <c r="K1084" t="s">
        <v>41211</v>
      </c>
      <c r="M1084" t="s">
        <v>41883</v>
      </c>
      <c r="N1084" t="s">
        <v>45095</v>
      </c>
      <c r="O1084" t="s">
        <v>45096</v>
      </c>
      <c r="P1084">
        <v>0</v>
      </c>
      <c r="Q1084">
        <v>0</v>
      </c>
      <c r="R1084" t="s">
        <v>45097</v>
      </c>
      <c r="S1084" t="s">
        <v>45222</v>
      </c>
      <c r="T1084" t="s">
        <v>46921</v>
      </c>
      <c r="U1084" t="s">
        <v>48424</v>
      </c>
      <c r="W1084" t="s">
        <v>41883</v>
      </c>
      <c r="X1084" t="s">
        <v>45098</v>
      </c>
    </row>
    <row r="1085" spans="1:24">
      <c r="A1085">
        <f>HYPERLINK("https://www.philgeps.gov.ph/GEPSNONPILOT/Tender/SplashBidNoticeAbstractUI.aspx?menuIndex=3&amp;refID=7045393&amp;Result=3","7045393")</f>
        <v>0</v>
      </c>
      <c r="B1085" t="s">
        <v>407</v>
      </c>
      <c r="C1085" t="s">
        <v>4231</v>
      </c>
      <c r="D1085" t="s">
        <v>18036</v>
      </c>
      <c r="E1085" t="s">
        <v>19127</v>
      </c>
      <c r="F1085" t="s">
        <v>31574</v>
      </c>
      <c r="G1085" t="s">
        <v>31582</v>
      </c>
      <c r="H1085" t="s">
        <v>31593</v>
      </c>
      <c r="I1085" t="s">
        <v>31659</v>
      </c>
      <c r="J1085" t="s">
        <v>32558</v>
      </c>
      <c r="K1085" t="s">
        <v>41190</v>
      </c>
      <c r="M1085" t="s">
        <v>41898</v>
      </c>
      <c r="N1085" t="s">
        <v>45095</v>
      </c>
      <c r="O1085" t="s">
        <v>45096</v>
      </c>
      <c r="P1085">
        <v>0</v>
      </c>
      <c r="Q1085">
        <v>0</v>
      </c>
      <c r="R1085" t="s">
        <v>45097</v>
      </c>
      <c r="S1085" t="s">
        <v>45222</v>
      </c>
      <c r="T1085" t="s">
        <v>46935</v>
      </c>
      <c r="U1085" t="s">
        <v>48425</v>
      </c>
      <c r="W1085" t="s">
        <v>41898</v>
      </c>
      <c r="X1085" t="s">
        <v>45098</v>
      </c>
    </row>
    <row r="1086" spans="1:24">
      <c r="A1086">
        <f>HYPERLINK("https://www.philgeps.gov.ph/GEPSNONPILOT/Tender/SplashBidNoticeAbstractUI.aspx?menuIndex=3&amp;refID=7045404&amp;Result=3","7045404")</f>
        <v>0</v>
      </c>
      <c r="B1086" t="s">
        <v>50</v>
      </c>
      <c r="C1086" t="s">
        <v>4232</v>
      </c>
      <c r="D1086" t="s">
        <v>18042</v>
      </c>
      <c r="E1086" t="s">
        <v>19128</v>
      </c>
      <c r="F1086" t="s">
        <v>31574</v>
      </c>
      <c r="G1086" t="s">
        <v>31582</v>
      </c>
      <c r="H1086" t="s">
        <v>31590</v>
      </c>
      <c r="I1086" t="s">
        <v>6800</v>
      </c>
      <c r="J1086" t="s">
        <v>32559</v>
      </c>
      <c r="K1086" t="s">
        <v>41186</v>
      </c>
      <c r="M1086" t="s">
        <v>41533</v>
      </c>
      <c r="N1086" t="s">
        <v>45095</v>
      </c>
      <c r="O1086" t="s">
        <v>45096</v>
      </c>
      <c r="P1086">
        <v>0</v>
      </c>
      <c r="Q1086">
        <v>0</v>
      </c>
      <c r="R1086" t="s">
        <v>45097</v>
      </c>
      <c r="S1086" t="s">
        <v>45222</v>
      </c>
      <c r="T1086" t="s">
        <v>46916</v>
      </c>
      <c r="U1086" t="s">
        <v>48426</v>
      </c>
      <c r="W1086" t="s">
        <v>41533</v>
      </c>
      <c r="X1086" t="s">
        <v>45098</v>
      </c>
    </row>
    <row r="1087" spans="1:24">
      <c r="A1087">
        <f>HYPERLINK("https://www.philgeps.gov.ph/GEPSNONPILOT/Tender/SplashBidNoticeAbstractUI.aspx?menuIndex=3&amp;refID=7045403&amp;Result=3","7045403")</f>
        <v>0</v>
      </c>
      <c r="B1087" t="s">
        <v>83</v>
      </c>
      <c r="C1087" t="s">
        <v>4233</v>
      </c>
      <c r="D1087" t="s">
        <v>18043</v>
      </c>
      <c r="E1087" t="s">
        <v>19129</v>
      </c>
      <c r="F1087" t="s">
        <v>31574</v>
      </c>
      <c r="G1087" t="s">
        <v>31581</v>
      </c>
      <c r="H1087" t="s">
        <v>31590</v>
      </c>
      <c r="I1087" t="s">
        <v>3651</v>
      </c>
      <c r="J1087" t="s">
        <v>31973</v>
      </c>
      <c r="K1087" t="s">
        <v>41196</v>
      </c>
      <c r="M1087" t="s">
        <v>41567</v>
      </c>
      <c r="N1087" t="s">
        <v>45095</v>
      </c>
      <c r="O1087" t="s">
        <v>45096</v>
      </c>
      <c r="P1087">
        <v>0</v>
      </c>
      <c r="Q1087">
        <v>0</v>
      </c>
      <c r="R1087" t="s">
        <v>45097</v>
      </c>
      <c r="S1087" t="s">
        <v>45222</v>
      </c>
      <c r="T1087" t="s">
        <v>46952</v>
      </c>
      <c r="U1087" t="s">
        <v>48427</v>
      </c>
      <c r="W1087" t="s">
        <v>41567</v>
      </c>
      <c r="X1087" t="s">
        <v>45098</v>
      </c>
    </row>
    <row r="1088" spans="1:24">
      <c r="A1088">
        <f>HYPERLINK("https://www.philgeps.gov.ph/GEPSNONPILOT/Tender/SplashBidNoticeAbstractUI.aspx?menuIndex=3&amp;refID=7045402&amp;Result=3","7045402")</f>
        <v>0</v>
      </c>
      <c r="B1088" t="s">
        <v>296</v>
      </c>
      <c r="C1088" t="s">
        <v>4234</v>
      </c>
      <c r="D1088" t="s">
        <v>18040</v>
      </c>
      <c r="E1088" t="s">
        <v>19130</v>
      </c>
      <c r="F1088" t="s">
        <v>31574</v>
      </c>
      <c r="G1088" t="s">
        <v>31582</v>
      </c>
      <c r="H1088" t="s">
        <v>31590</v>
      </c>
      <c r="I1088" t="s">
        <v>3901</v>
      </c>
      <c r="J1088" t="s">
        <v>32019</v>
      </c>
      <c r="K1088" t="s">
        <v>41196</v>
      </c>
      <c r="M1088" t="s">
        <v>41782</v>
      </c>
      <c r="N1088" t="s">
        <v>45095</v>
      </c>
      <c r="O1088" t="s">
        <v>45096</v>
      </c>
      <c r="P1088">
        <v>0</v>
      </c>
      <c r="Q1088">
        <v>0</v>
      </c>
      <c r="R1088" t="s">
        <v>45097</v>
      </c>
      <c r="S1088" t="s">
        <v>45222</v>
      </c>
      <c r="T1088" t="s">
        <v>46922</v>
      </c>
      <c r="U1088" t="s">
        <v>48428</v>
      </c>
      <c r="V1088" t="s">
        <v>59950</v>
      </c>
      <c r="W1088" t="s">
        <v>41782</v>
      </c>
      <c r="X1088" t="s">
        <v>45098</v>
      </c>
    </row>
    <row r="1089" spans="1:24">
      <c r="A1089">
        <f>HYPERLINK("https://www.philgeps.gov.ph/GEPSNONPILOT/Tender/SplashBidNoticeAbstractUI.aspx?menuIndex=3&amp;refID=7045391&amp;Result=3","7045391")</f>
        <v>0</v>
      </c>
      <c r="B1089" t="s">
        <v>201</v>
      </c>
      <c r="C1089" t="s">
        <v>4235</v>
      </c>
      <c r="D1089" t="s">
        <v>18045</v>
      </c>
      <c r="E1089" t="s">
        <v>19131</v>
      </c>
      <c r="F1089" t="s">
        <v>31574</v>
      </c>
      <c r="G1089" t="s">
        <v>31581</v>
      </c>
      <c r="H1089" t="s">
        <v>31590</v>
      </c>
      <c r="I1089" t="s">
        <v>7185</v>
      </c>
      <c r="J1089" t="s">
        <v>32560</v>
      </c>
      <c r="K1089" t="s">
        <v>41184</v>
      </c>
      <c r="M1089" t="s">
        <v>41970</v>
      </c>
      <c r="N1089" t="s">
        <v>45095</v>
      </c>
      <c r="O1089" t="s">
        <v>45096</v>
      </c>
      <c r="P1089">
        <v>0</v>
      </c>
      <c r="Q1089">
        <v>0</v>
      </c>
      <c r="R1089" t="s">
        <v>45097</v>
      </c>
      <c r="S1089" t="s">
        <v>45222</v>
      </c>
      <c r="T1089" t="s">
        <v>46989</v>
      </c>
      <c r="U1089" t="s">
        <v>48429</v>
      </c>
      <c r="W1089" t="s">
        <v>41970</v>
      </c>
      <c r="X1089" t="s">
        <v>45098</v>
      </c>
    </row>
    <row r="1090" spans="1:24">
      <c r="A1090">
        <f>HYPERLINK("https://www.philgeps.gov.ph/GEPSNONPILOT/Tender/SplashBidNoticeAbstractUI.aspx?menuIndex=3&amp;refID=7045400&amp;Result=3","7045400")</f>
        <v>0</v>
      </c>
      <c r="B1090" t="s">
        <v>393</v>
      </c>
      <c r="C1090" t="s">
        <v>4236</v>
      </c>
      <c r="D1090" t="s">
        <v>18022</v>
      </c>
      <c r="E1090" t="s">
        <v>19132</v>
      </c>
      <c r="F1090" t="s">
        <v>31574</v>
      </c>
      <c r="G1090" t="s">
        <v>31581</v>
      </c>
      <c r="H1090" t="s">
        <v>31590</v>
      </c>
      <c r="I1090" t="s">
        <v>5717</v>
      </c>
      <c r="J1090" t="s">
        <v>32561</v>
      </c>
      <c r="K1090" t="s">
        <v>41186</v>
      </c>
      <c r="M1090" t="s">
        <v>41965</v>
      </c>
      <c r="N1090" t="s">
        <v>45095</v>
      </c>
      <c r="O1090" t="s">
        <v>45096</v>
      </c>
      <c r="P1090">
        <v>0</v>
      </c>
      <c r="Q1090">
        <v>0</v>
      </c>
      <c r="R1090" t="s">
        <v>45097</v>
      </c>
      <c r="S1090" t="s">
        <v>45222</v>
      </c>
      <c r="T1090" t="s">
        <v>46918</v>
      </c>
      <c r="U1090" t="s">
        <v>48418</v>
      </c>
      <c r="W1090" t="s">
        <v>41965</v>
      </c>
      <c r="X1090" t="s">
        <v>45098</v>
      </c>
    </row>
    <row r="1091" spans="1:24">
      <c r="A1091">
        <f>HYPERLINK("https://www.philgeps.gov.ph/GEPSNONPILOT/Tender/SplashBidNoticeAbstractUI.aspx?menuIndex=3&amp;refID=7045401&amp;Result=3","7045401")</f>
        <v>0</v>
      </c>
      <c r="B1091" t="s">
        <v>475</v>
      </c>
      <c r="C1091" t="s">
        <v>4237</v>
      </c>
      <c r="D1091" t="s">
        <v>18075</v>
      </c>
      <c r="E1091" t="s">
        <v>19133</v>
      </c>
      <c r="F1091" t="s">
        <v>31574</v>
      </c>
      <c r="G1091" t="s">
        <v>31583</v>
      </c>
      <c r="H1091" t="s">
        <v>31590</v>
      </c>
      <c r="I1091" t="s">
        <v>4046</v>
      </c>
      <c r="J1091" t="s">
        <v>32562</v>
      </c>
      <c r="K1091" t="s">
        <v>41196</v>
      </c>
      <c r="M1091" t="s">
        <v>41971</v>
      </c>
      <c r="N1091" t="s">
        <v>45095</v>
      </c>
      <c r="O1091" t="s">
        <v>45096</v>
      </c>
      <c r="P1091">
        <v>0</v>
      </c>
      <c r="Q1091">
        <v>0</v>
      </c>
      <c r="R1091" t="s">
        <v>45097</v>
      </c>
      <c r="S1091" t="s">
        <v>45222</v>
      </c>
      <c r="T1091" t="s">
        <v>46904</v>
      </c>
      <c r="U1091" t="s">
        <v>48430</v>
      </c>
      <c r="W1091" t="s">
        <v>61669</v>
      </c>
      <c r="X1091" t="s">
        <v>45098</v>
      </c>
    </row>
    <row r="1092" spans="1:24">
      <c r="A1092">
        <f>HYPERLINK("https://www.philgeps.gov.ph/GEPSNONPILOT/Tender/SplashBidNoticeAbstractUI.aspx?menuIndex=3&amp;refID=7045407&amp;Result=3","7045407")</f>
        <v>0</v>
      </c>
      <c r="B1092" t="s">
        <v>476</v>
      </c>
      <c r="C1092" t="s">
        <v>4238</v>
      </c>
      <c r="D1092" t="s">
        <v>18047</v>
      </c>
      <c r="E1092" t="s">
        <v>19134</v>
      </c>
      <c r="F1092" t="s">
        <v>31574</v>
      </c>
      <c r="G1092" t="s">
        <v>31582</v>
      </c>
      <c r="H1092" t="s">
        <v>31590</v>
      </c>
      <c r="I1092" t="s">
        <v>31594</v>
      </c>
      <c r="J1092" t="s">
        <v>32458</v>
      </c>
      <c r="K1092" t="s">
        <v>41185</v>
      </c>
      <c r="M1092" t="s">
        <v>41972</v>
      </c>
      <c r="N1092" t="s">
        <v>45095</v>
      </c>
      <c r="O1092" t="s">
        <v>45096</v>
      </c>
      <c r="P1092">
        <v>0</v>
      </c>
      <c r="Q1092">
        <v>0</v>
      </c>
      <c r="R1092" t="s">
        <v>45097</v>
      </c>
      <c r="S1092" t="s">
        <v>45222</v>
      </c>
      <c r="T1092" t="s">
        <v>47016</v>
      </c>
      <c r="U1092" t="s">
        <v>48431</v>
      </c>
      <c r="W1092" t="s">
        <v>41972</v>
      </c>
      <c r="X1092" t="s">
        <v>45098</v>
      </c>
    </row>
    <row r="1093" spans="1:24">
      <c r="A1093">
        <f>HYPERLINK("https://www.philgeps.gov.ph/GEPSNONPILOT/Tender/SplashBidNoticeAbstractUI.aspx?menuIndex=3&amp;refID=7045399&amp;Result=3","7045399")</f>
        <v>0</v>
      </c>
      <c r="B1093" t="s">
        <v>477</v>
      </c>
      <c r="C1093" t="s">
        <v>4239</v>
      </c>
      <c r="D1093" t="s">
        <v>18062</v>
      </c>
      <c r="E1093" t="s">
        <v>19135</v>
      </c>
      <c r="F1093" t="s">
        <v>31574</v>
      </c>
      <c r="G1093" t="s">
        <v>31581</v>
      </c>
      <c r="H1093" t="s">
        <v>31590</v>
      </c>
      <c r="I1093" t="s">
        <v>31663</v>
      </c>
      <c r="J1093" t="s">
        <v>31949</v>
      </c>
      <c r="K1093" t="s">
        <v>41196</v>
      </c>
      <c r="M1093" t="s">
        <v>41973</v>
      </c>
      <c r="N1093" t="s">
        <v>45095</v>
      </c>
      <c r="O1093" t="s">
        <v>45096</v>
      </c>
      <c r="P1093">
        <v>0</v>
      </c>
      <c r="Q1093">
        <v>0</v>
      </c>
      <c r="R1093" t="s">
        <v>45097</v>
      </c>
      <c r="S1093" t="s">
        <v>45222</v>
      </c>
      <c r="T1093" t="s">
        <v>46914</v>
      </c>
      <c r="U1093" t="s">
        <v>48432</v>
      </c>
      <c r="W1093" t="s">
        <v>41973</v>
      </c>
      <c r="X1093" t="s">
        <v>45098</v>
      </c>
    </row>
    <row r="1094" spans="1:24">
      <c r="A1094">
        <f>HYPERLINK("https://www.philgeps.gov.ph/GEPSNONPILOT/Tender/SplashBidNoticeAbstractUI.aspx?menuIndex=3&amp;refID=7045390&amp;Result=3","7045390")</f>
        <v>0</v>
      </c>
      <c r="B1094" t="s">
        <v>455</v>
      </c>
      <c r="C1094" t="s">
        <v>4240</v>
      </c>
      <c r="D1094" t="s">
        <v>18022</v>
      </c>
      <c r="E1094" t="s">
        <v>19136</v>
      </c>
      <c r="F1094" t="s">
        <v>31574</v>
      </c>
      <c r="G1094" t="s">
        <v>31582</v>
      </c>
      <c r="H1094" t="s">
        <v>31590</v>
      </c>
      <c r="I1094" t="s">
        <v>3489</v>
      </c>
      <c r="J1094" t="s">
        <v>32019</v>
      </c>
      <c r="K1094" t="s">
        <v>41184</v>
      </c>
      <c r="M1094" t="s">
        <v>41949</v>
      </c>
      <c r="N1094" t="s">
        <v>45095</v>
      </c>
      <c r="O1094" t="s">
        <v>45096</v>
      </c>
      <c r="P1094">
        <v>0</v>
      </c>
      <c r="Q1094">
        <v>0</v>
      </c>
      <c r="R1094" t="s">
        <v>45097</v>
      </c>
      <c r="S1094" t="s">
        <v>45222</v>
      </c>
      <c r="T1094" t="s">
        <v>46935</v>
      </c>
      <c r="U1094" t="s">
        <v>48433</v>
      </c>
      <c r="W1094" t="s">
        <v>41949</v>
      </c>
      <c r="X1094" t="s">
        <v>45098</v>
      </c>
    </row>
    <row r="1095" spans="1:24">
      <c r="A1095">
        <f>HYPERLINK("https://www.philgeps.gov.ph/GEPSNONPILOT/Tender/SplashBidNoticeAbstractUI.aspx?menuIndex=3&amp;refID=7045413&amp;Result=3","7045413")</f>
        <v>0</v>
      </c>
      <c r="B1095" t="s">
        <v>379</v>
      </c>
      <c r="C1095" t="s">
        <v>4241</v>
      </c>
      <c r="D1095" t="s">
        <v>18025</v>
      </c>
      <c r="E1095" t="s">
        <v>19137</v>
      </c>
      <c r="F1095" t="s">
        <v>31574</v>
      </c>
      <c r="G1095" t="s">
        <v>31583</v>
      </c>
      <c r="H1095" t="s">
        <v>31590</v>
      </c>
      <c r="I1095" t="s">
        <v>8258</v>
      </c>
      <c r="J1095" t="s">
        <v>32563</v>
      </c>
      <c r="K1095" t="s">
        <v>41184</v>
      </c>
      <c r="M1095" t="s">
        <v>41869</v>
      </c>
      <c r="N1095" t="s">
        <v>45095</v>
      </c>
      <c r="O1095" t="s">
        <v>45096</v>
      </c>
      <c r="P1095">
        <v>0</v>
      </c>
      <c r="Q1095">
        <v>0</v>
      </c>
      <c r="R1095" t="s">
        <v>45097</v>
      </c>
      <c r="S1095" t="s">
        <v>45222</v>
      </c>
      <c r="T1095" t="s">
        <v>47049</v>
      </c>
      <c r="U1095" t="s">
        <v>48434</v>
      </c>
      <c r="W1095" t="s">
        <v>41869</v>
      </c>
      <c r="X1095" t="s">
        <v>45098</v>
      </c>
    </row>
    <row r="1096" spans="1:24">
      <c r="A1096">
        <f>HYPERLINK("https://www.philgeps.gov.ph/GEPSNONPILOT/Tender/SplashBidNoticeAbstractUI.aspx?menuIndex=3&amp;refID=7045408&amp;Result=3","7045408")</f>
        <v>0</v>
      </c>
      <c r="B1096" t="s">
        <v>470</v>
      </c>
      <c r="C1096" t="s">
        <v>4242</v>
      </c>
      <c r="D1096" t="s">
        <v>18022</v>
      </c>
      <c r="E1096" t="s">
        <v>19138</v>
      </c>
      <c r="F1096" t="s">
        <v>31574</v>
      </c>
      <c r="G1096" t="s">
        <v>31584</v>
      </c>
      <c r="H1096" t="s">
        <v>31590</v>
      </c>
      <c r="I1096" t="s">
        <v>31600</v>
      </c>
      <c r="J1096" t="s">
        <v>32564</v>
      </c>
      <c r="K1096" t="s">
        <v>41193</v>
      </c>
      <c r="M1096" t="s">
        <v>41964</v>
      </c>
      <c r="N1096" t="s">
        <v>45095</v>
      </c>
      <c r="O1096" t="s">
        <v>45096</v>
      </c>
      <c r="P1096">
        <v>0</v>
      </c>
      <c r="Q1096">
        <v>0</v>
      </c>
      <c r="R1096" t="s">
        <v>45097</v>
      </c>
      <c r="S1096" t="s">
        <v>45222</v>
      </c>
      <c r="T1096" t="s">
        <v>46910</v>
      </c>
      <c r="U1096" t="s">
        <v>48435</v>
      </c>
      <c r="W1096" t="s">
        <v>61668</v>
      </c>
      <c r="X1096" t="s">
        <v>45098</v>
      </c>
    </row>
    <row r="1097" spans="1:24">
      <c r="A1097">
        <f>HYPERLINK("https://www.philgeps.gov.ph/GEPSNONPILOT/Tender/SplashBidNoticeAbstractUI.aspx?menuIndex=3&amp;refID=7045398&amp;Result=3","7045398")</f>
        <v>0</v>
      </c>
      <c r="B1097" t="s">
        <v>469</v>
      </c>
      <c r="C1097" t="s">
        <v>4243</v>
      </c>
      <c r="D1097" t="s">
        <v>18091</v>
      </c>
      <c r="E1097" t="s">
        <v>19139</v>
      </c>
      <c r="F1097" t="s">
        <v>31574</v>
      </c>
      <c r="G1097" t="s">
        <v>31581</v>
      </c>
      <c r="H1097" t="s">
        <v>31590</v>
      </c>
      <c r="I1097" t="s">
        <v>31615</v>
      </c>
      <c r="J1097" t="s">
        <v>32375</v>
      </c>
      <c r="K1097" t="s">
        <v>41196</v>
      </c>
      <c r="M1097" t="s">
        <v>41963</v>
      </c>
      <c r="N1097" t="s">
        <v>45095</v>
      </c>
      <c r="O1097" t="s">
        <v>45096</v>
      </c>
      <c r="P1097">
        <v>0</v>
      </c>
      <c r="Q1097">
        <v>0</v>
      </c>
      <c r="R1097" t="s">
        <v>45097</v>
      </c>
      <c r="S1097" t="s">
        <v>45222</v>
      </c>
      <c r="T1097" t="s">
        <v>46961</v>
      </c>
      <c r="U1097" t="s">
        <v>48436</v>
      </c>
      <c r="W1097" t="s">
        <v>41963</v>
      </c>
      <c r="X1097" t="s">
        <v>45098</v>
      </c>
    </row>
    <row r="1098" spans="1:24">
      <c r="A1098">
        <f>HYPERLINK("https://www.philgeps.gov.ph/GEPSNONPILOT/Tender/SplashBidNoticeAbstractUI.aspx?menuIndex=3&amp;refID=7045406&amp;Result=3","7045406")</f>
        <v>0</v>
      </c>
      <c r="B1098" t="s">
        <v>478</v>
      </c>
      <c r="C1098" t="s">
        <v>4244</v>
      </c>
      <c r="D1098" t="s">
        <v>18098</v>
      </c>
      <c r="E1098" t="s">
        <v>18533</v>
      </c>
      <c r="F1098" t="s">
        <v>31574</v>
      </c>
      <c r="G1098" t="s">
        <v>31583</v>
      </c>
      <c r="H1098" t="s">
        <v>31590</v>
      </c>
      <c r="I1098" t="s">
        <v>5717</v>
      </c>
      <c r="J1098" t="s">
        <v>32565</v>
      </c>
      <c r="K1098" t="s">
        <v>41186</v>
      </c>
      <c r="M1098" t="s">
        <v>41974</v>
      </c>
      <c r="N1098" t="s">
        <v>45095</v>
      </c>
      <c r="O1098" t="s">
        <v>45096</v>
      </c>
      <c r="P1098">
        <v>0</v>
      </c>
      <c r="Q1098">
        <v>0</v>
      </c>
      <c r="R1098" t="s">
        <v>45097</v>
      </c>
      <c r="S1098" t="s">
        <v>45222</v>
      </c>
      <c r="T1098" t="s">
        <v>47050</v>
      </c>
      <c r="U1098" t="s">
        <v>48437</v>
      </c>
      <c r="V1098" t="s">
        <v>59181</v>
      </c>
      <c r="W1098" t="s">
        <v>41974</v>
      </c>
      <c r="X1098" t="s">
        <v>45098</v>
      </c>
    </row>
    <row r="1099" spans="1:24">
      <c r="A1099">
        <f>HYPERLINK("https://www.philgeps.gov.ph/GEPSNONPILOT/Tender/SplashBidNoticeAbstractUI.aspx?menuIndex=3&amp;refID=7045411&amp;Result=3","7045411")</f>
        <v>0</v>
      </c>
      <c r="B1099" t="s">
        <v>438</v>
      </c>
      <c r="C1099" t="s">
        <v>4245</v>
      </c>
      <c r="D1099" t="s">
        <v>18040</v>
      </c>
      <c r="E1099" t="s">
        <v>19140</v>
      </c>
      <c r="F1099" t="s">
        <v>31574</v>
      </c>
      <c r="G1099" t="s">
        <v>31581</v>
      </c>
      <c r="H1099" t="s">
        <v>31590</v>
      </c>
      <c r="I1099" t="s">
        <v>3539</v>
      </c>
      <c r="J1099" t="s">
        <v>32566</v>
      </c>
      <c r="K1099" t="s">
        <v>41213</v>
      </c>
      <c r="M1099" t="s">
        <v>41931</v>
      </c>
      <c r="N1099" t="s">
        <v>45095</v>
      </c>
      <c r="O1099" t="s">
        <v>45096</v>
      </c>
      <c r="P1099">
        <v>0</v>
      </c>
      <c r="Q1099">
        <v>0</v>
      </c>
      <c r="R1099" t="s">
        <v>45097</v>
      </c>
      <c r="S1099" t="s">
        <v>45222</v>
      </c>
      <c r="T1099" t="s">
        <v>46918</v>
      </c>
      <c r="U1099" t="s">
        <v>48345</v>
      </c>
      <c r="W1099" t="s">
        <v>41931</v>
      </c>
      <c r="X1099" t="s">
        <v>45098</v>
      </c>
    </row>
    <row r="1100" spans="1:24">
      <c r="A1100">
        <f>HYPERLINK("https://www.philgeps.gov.ph/GEPSNONPILOT/Tender/SplashBidNoticeAbstractUI.aspx?menuIndex=3&amp;refID=7045397&amp;Result=3","7045397")</f>
        <v>0</v>
      </c>
      <c r="B1100" t="s">
        <v>479</v>
      </c>
      <c r="C1100" t="s">
        <v>4246</v>
      </c>
      <c r="D1100" t="s">
        <v>18079</v>
      </c>
      <c r="E1100" t="s">
        <v>19141</v>
      </c>
      <c r="F1100" t="s">
        <v>31574</v>
      </c>
      <c r="G1100" t="s">
        <v>31581</v>
      </c>
      <c r="H1100" t="s">
        <v>31590</v>
      </c>
      <c r="I1100" t="s">
        <v>31658</v>
      </c>
      <c r="J1100" t="s">
        <v>32567</v>
      </c>
      <c r="K1100" t="s">
        <v>41184</v>
      </c>
      <c r="M1100" t="s">
        <v>41975</v>
      </c>
      <c r="N1100" t="s">
        <v>45095</v>
      </c>
      <c r="O1100" t="s">
        <v>45096</v>
      </c>
      <c r="P1100">
        <v>0</v>
      </c>
      <c r="Q1100">
        <v>0</v>
      </c>
      <c r="R1100" t="s">
        <v>45097</v>
      </c>
      <c r="S1100" t="s">
        <v>45222</v>
      </c>
      <c r="T1100" t="s">
        <v>46980</v>
      </c>
      <c r="U1100" t="s">
        <v>48438</v>
      </c>
      <c r="W1100" t="s">
        <v>41975</v>
      </c>
      <c r="X1100" t="s">
        <v>45098</v>
      </c>
    </row>
    <row r="1101" spans="1:24">
      <c r="A1101">
        <f>HYPERLINK("https://www.philgeps.gov.ph/GEPSNONPILOT/Tender/SplashBidNoticeAbstractUI.aspx?menuIndex=3&amp;refID=7045412&amp;Result=3","7045412")</f>
        <v>0</v>
      </c>
      <c r="B1101" t="s">
        <v>480</v>
      </c>
      <c r="C1101" t="s">
        <v>4247</v>
      </c>
      <c r="D1101" t="s">
        <v>18065</v>
      </c>
      <c r="E1101" t="s">
        <v>19142</v>
      </c>
      <c r="F1101" t="s">
        <v>31574</v>
      </c>
      <c r="G1101" t="s">
        <v>31581</v>
      </c>
      <c r="H1101" t="s">
        <v>31590</v>
      </c>
      <c r="I1101" t="s">
        <v>8258</v>
      </c>
      <c r="J1101" t="s">
        <v>31789</v>
      </c>
      <c r="K1101" t="s">
        <v>41190</v>
      </c>
      <c r="M1101" t="s">
        <v>41976</v>
      </c>
      <c r="N1101" t="s">
        <v>45095</v>
      </c>
      <c r="O1101" t="s">
        <v>45096</v>
      </c>
      <c r="P1101">
        <v>0</v>
      </c>
      <c r="Q1101">
        <v>0</v>
      </c>
      <c r="R1101" t="s">
        <v>45097</v>
      </c>
      <c r="S1101" t="s">
        <v>45222</v>
      </c>
      <c r="T1101" t="s">
        <v>46918</v>
      </c>
      <c r="U1101" t="s">
        <v>48439</v>
      </c>
      <c r="V1101" t="s">
        <v>59951</v>
      </c>
      <c r="W1101" t="s">
        <v>41976</v>
      </c>
      <c r="X1101" t="s">
        <v>45098</v>
      </c>
    </row>
    <row r="1102" spans="1:24">
      <c r="A1102">
        <f>HYPERLINK("https://www.philgeps.gov.ph/GEPSNONPILOT/Tender/SplashBidNoticeAbstractUI.aspx?menuIndex=3&amp;refID=7045417&amp;Result=3","7045417")</f>
        <v>0</v>
      </c>
      <c r="B1102" t="s">
        <v>331</v>
      </c>
      <c r="C1102" t="s">
        <v>4248</v>
      </c>
      <c r="E1102" t="s">
        <v>19143</v>
      </c>
      <c r="F1102" t="s">
        <v>31574</v>
      </c>
      <c r="G1102" t="s">
        <v>31581</v>
      </c>
      <c r="H1102" t="s">
        <v>31590</v>
      </c>
      <c r="I1102" t="s">
        <v>5717</v>
      </c>
      <c r="J1102" t="s">
        <v>32375</v>
      </c>
      <c r="K1102" t="s">
        <v>41184</v>
      </c>
      <c r="M1102" t="s">
        <v>41819</v>
      </c>
      <c r="N1102" t="s">
        <v>45095</v>
      </c>
      <c r="O1102" t="s">
        <v>45096</v>
      </c>
      <c r="P1102">
        <v>0</v>
      </c>
      <c r="Q1102">
        <v>0</v>
      </c>
      <c r="R1102" t="s">
        <v>45097</v>
      </c>
      <c r="S1102" t="s">
        <v>45222</v>
      </c>
      <c r="T1102" t="s">
        <v>46934</v>
      </c>
      <c r="U1102" t="s">
        <v>48440</v>
      </c>
      <c r="W1102" t="s">
        <v>41819</v>
      </c>
      <c r="X1102" t="s">
        <v>45098</v>
      </c>
    </row>
    <row r="1103" spans="1:24">
      <c r="A1103">
        <f>HYPERLINK("https://www.philgeps.gov.ph/GEPSNONPILOT/Tender/SplashBidNoticeAbstractUI.aspx?menuIndex=3&amp;refID=7045415&amp;Result=3","7045415")</f>
        <v>0</v>
      </c>
      <c r="B1103" t="s">
        <v>475</v>
      </c>
      <c r="C1103" t="s">
        <v>4249</v>
      </c>
      <c r="D1103" t="s">
        <v>18075</v>
      </c>
      <c r="E1103" t="s">
        <v>19144</v>
      </c>
      <c r="F1103" t="s">
        <v>31574</v>
      </c>
      <c r="G1103" t="s">
        <v>31581</v>
      </c>
      <c r="H1103" t="s">
        <v>31590</v>
      </c>
      <c r="I1103" t="s">
        <v>8258</v>
      </c>
      <c r="J1103" t="s">
        <v>32497</v>
      </c>
      <c r="K1103" t="s">
        <v>41196</v>
      </c>
      <c r="M1103" t="s">
        <v>41971</v>
      </c>
      <c r="N1103" t="s">
        <v>45095</v>
      </c>
      <c r="O1103" t="s">
        <v>45096</v>
      </c>
      <c r="P1103">
        <v>0</v>
      </c>
      <c r="Q1103">
        <v>0</v>
      </c>
      <c r="R1103" t="s">
        <v>45097</v>
      </c>
      <c r="S1103" t="s">
        <v>45222</v>
      </c>
      <c r="T1103" t="s">
        <v>46904</v>
      </c>
      <c r="U1103" t="s">
        <v>48441</v>
      </c>
      <c r="W1103" t="s">
        <v>61669</v>
      </c>
      <c r="X1103" t="s">
        <v>45098</v>
      </c>
    </row>
    <row r="1104" spans="1:24">
      <c r="A1104">
        <f>HYPERLINK("https://www.philgeps.gov.ph/GEPSNONPILOT/Tender/SplashBidNoticeAbstractUI.aspx?menuIndex=3&amp;refID=7045429&amp;Result=3","7045429")</f>
        <v>0</v>
      </c>
      <c r="B1104" t="s">
        <v>93</v>
      </c>
      <c r="C1104" t="s">
        <v>4250</v>
      </c>
      <c r="D1104" t="s">
        <v>18061</v>
      </c>
      <c r="E1104" t="s">
        <v>19145</v>
      </c>
      <c r="F1104" t="s">
        <v>31574</v>
      </c>
      <c r="G1104" t="s">
        <v>31581</v>
      </c>
      <c r="H1104" t="s">
        <v>31590</v>
      </c>
      <c r="I1104" t="s">
        <v>8258</v>
      </c>
      <c r="J1104" t="s">
        <v>31845</v>
      </c>
      <c r="K1104" t="s">
        <v>41186</v>
      </c>
      <c r="M1104" t="s">
        <v>41577</v>
      </c>
      <c r="N1104" t="s">
        <v>45095</v>
      </c>
      <c r="O1104" t="s">
        <v>45096</v>
      </c>
      <c r="P1104">
        <v>0</v>
      </c>
      <c r="Q1104">
        <v>0</v>
      </c>
      <c r="R1104" t="s">
        <v>45097</v>
      </c>
      <c r="S1104" t="s">
        <v>45222</v>
      </c>
      <c r="T1104" t="s">
        <v>46949</v>
      </c>
      <c r="U1104" t="s">
        <v>47643</v>
      </c>
      <c r="W1104" t="s">
        <v>41577</v>
      </c>
      <c r="X1104" t="s">
        <v>45098</v>
      </c>
    </row>
    <row r="1105" spans="1:24">
      <c r="A1105">
        <f>HYPERLINK("https://www.philgeps.gov.ph/GEPSNONPILOT/Tender/SplashBidNoticeAbstractUI.aspx?menuIndex=3&amp;refID=7045414&amp;Result=3","7045414")</f>
        <v>0</v>
      </c>
      <c r="B1105" t="s">
        <v>481</v>
      </c>
      <c r="C1105" t="s">
        <v>4251</v>
      </c>
      <c r="E1105" t="s">
        <v>19146</v>
      </c>
      <c r="F1105" t="s">
        <v>31574</v>
      </c>
      <c r="G1105" t="s">
        <v>31581</v>
      </c>
      <c r="H1105" t="s">
        <v>31590</v>
      </c>
      <c r="I1105" t="s">
        <v>31664</v>
      </c>
      <c r="J1105" t="s">
        <v>32568</v>
      </c>
      <c r="K1105" t="s">
        <v>41184</v>
      </c>
      <c r="M1105" t="s">
        <v>41977</v>
      </c>
      <c r="N1105" t="s">
        <v>45095</v>
      </c>
      <c r="O1105" t="s">
        <v>45096</v>
      </c>
      <c r="P1105">
        <v>0</v>
      </c>
      <c r="Q1105">
        <v>0</v>
      </c>
      <c r="R1105" t="s">
        <v>45097</v>
      </c>
      <c r="S1105" t="s">
        <v>45222</v>
      </c>
      <c r="T1105" t="s">
        <v>46946</v>
      </c>
      <c r="U1105" t="s">
        <v>48442</v>
      </c>
      <c r="W1105" t="s">
        <v>41977</v>
      </c>
      <c r="X1105" t="s">
        <v>45098</v>
      </c>
    </row>
    <row r="1106" spans="1:24">
      <c r="A1106">
        <f>HYPERLINK("https://www.philgeps.gov.ph/GEPSNONPILOT/Tender/SplashBidNoticeAbstractUI.aspx?menuIndex=3&amp;refID=7045430&amp;Result=3","7045430")</f>
        <v>0</v>
      </c>
      <c r="B1106" t="s">
        <v>335</v>
      </c>
      <c r="C1106" t="s">
        <v>4252</v>
      </c>
      <c r="D1106" t="s">
        <v>18079</v>
      </c>
      <c r="E1106" t="s">
        <v>19147</v>
      </c>
      <c r="F1106" t="s">
        <v>31574</v>
      </c>
      <c r="G1106" t="s">
        <v>31581</v>
      </c>
      <c r="H1106" t="s">
        <v>31590</v>
      </c>
      <c r="I1106" t="s">
        <v>3539</v>
      </c>
      <c r="J1106" t="s">
        <v>32569</v>
      </c>
      <c r="K1106" t="s">
        <v>41184</v>
      </c>
      <c r="M1106" t="s">
        <v>41823</v>
      </c>
      <c r="N1106" t="s">
        <v>45095</v>
      </c>
      <c r="O1106" t="s">
        <v>45096</v>
      </c>
      <c r="P1106">
        <v>0</v>
      </c>
      <c r="Q1106">
        <v>0</v>
      </c>
      <c r="R1106" t="s">
        <v>45097</v>
      </c>
      <c r="S1106" t="s">
        <v>45222</v>
      </c>
      <c r="T1106" t="s">
        <v>46911</v>
      </c>
      <c r="U1106" t="s">
        <v>48443</v>
      </c>
      <c r="W1106" t="s">
        <v>41823</v>
      </c>
      <c r="X1106" t="s">
        <v>45098</v>
      </c>
    </row>
    <row r="1107" spans="1:24">
      <c r="A1107">
        <f>HYPERLINK("https://www.philgeps.gov.ph/GEPSNONPILOT/Tender/SplashBidNoticeAbstractUI.aspx?menuIndex=3&amp;refID=7045426&amp;Result=3","7045426")</f>
        <v>0</v>
      </c>
      <c r="B1107" t="s">
        <v>482</v>
      </c>
      <c r="C1107" t="s">
        <v>4253</v>
      </c>
      <c r="D1107" t="s">
        <v>18087</v>
      </c>
      <c r="E1107" t="s">
        <v>19148</v>
      </c>
      <c r="F1107" t="s">
        <v>31574</v>
      </c>
      <c r="G1107" t="s">
        <v>31582</v>
      </c>
      <c r="H1107" t="s">
        <v>31590</v>
      </c>
      <c r="I1107" t="s">
        <v>14544</v>
      </c>
      <c r="J1107" t="s">
        <v>32570</v>
      </c>
      <c r="K1107" t="s">
        <v>41186</v>
      </c>
      <c r="M1107" t="s">
        <v>41978</v>
      </c>
      <c r="N1107" t="s">
        <v>45095</v>
      </c>
      <c r="O1107" t="s">
        <v>45096</v>
      </c>
      <c r="P1107">
        <v>0</v>
      </c>
      <c r="Q1107">
        <v>0</v>
      </c>
      <c r="R1107" t="s">
        <v>45097</v>
      </c>
      <c r="S1107" t="s">
        <v>45222</v>
      </c>
      <c r="T1107" t="s">
        <v>46924</v>
      </c>
      <c r="U1107" t="s">
        <v>48444</v>
      </c>
      <c r="W1107" t="s">
        <v>41978</v>
      </c>
      <c r="X1107" t="s">
        <v>45098</v>
      </c>
    </row>
    <row r="1108" spans="1:24">
      <c r="A1108">
        <f>HYPERLINK("https://www.philgeps.gov.ph/GEPSNONPILOT/Tender/SplashBidNoticeAbstractUI.aspx?menuIndex=3&amp;refID=7045416&amp;Result=3","7045416")</f>
        <v>0</v>
      </c>
      <c r="B1108" t="s">
        <v>56</v>
      </c>
      <c r="C1108" t="s">
        <v>4254</v>
      </c>
      <c r="D1108" t="s">
        <v>18033</v>
      </c>
      <c r="E1108" t="s">
        <v>19149</v>
      </c>
      <c r="F1108" t="s">
        <v>31574</v>
      </c>
      <c r="G1108" t="s">
        <v>31582</v>
      </c>
      <c r="H1108" t="s">
        <v>31590</v>
      </c>
      <c r="I1108" t="s">
        <v>4046</v>
      </c>
      <c r="J1108" t="s">
        <v>32571</v>
      </c>
      <c r="K1108" t="s">
        <v>41186</v>
      </c>
      <c r="M1108" t="s">
        <v>41540</v>
      </c>
      <c r="N1108" t="s">
        <v>45095</v>
      </c>
      <c r="O1108" t="s">
        <v>45096</v>
      </c>
      <c r="P1108">
        <v>0</v>
      </c>
      <c r="Q1108">
        <v>0</v>
      </c>
      <c r="R1108" t="s">
        <v>45097</v>
      </c>
      <c r="S1108" t="s">
        <v>45222</v>
      </c>
      <c r="T1108" t="s">
        <v>46924</v>
      </c>
      <c r="U1108" t="s">
        <v>48445</v>
      </c>
      <c r="V1108" t="s">
        <v>59854</v>
      </c>
      <c r="W1108" t="s">
        <v>41540</v>
      </c>
      <c r="X1108" t="s">
        <v>45098</v>
      </c>
    </row>
    <row r="1109" spans="1:24">
      <c r="A1109">
        <f>HYPERLINK("https://www.philgeps.gov.ph/GEPSNONPILOT/Tender/SplashBidNoticeAbstractUI.aspx?menuIndex=3&amp;refID=7045428&amp;Result=3","7045428")</f>
        <v>0</v>
      </c>
      <c r="B1109" t="s">
        <v>483</v>
      </c>
      <c r="C1109" t="s">
        <v>4255</v>
      </c>
      <c r="D1109" t="s">
        <v>18042</v>
      </c>
      <c r="E1109" t="s">
        <v>19150</v>
      </c>
      <c r="F1109" t="s">
        <v>31574</v>
      </c>
      <c r="G1109" t="s">
        <v>31581</v>
      </c>
      <c r="H1109" t="s">
        <v>31590</v>
      </c>
      <c r="I1109" t="s">
        <v>31607</v>
      </c>
      <c r="J1109" t="s">
        <v>32572</v>
      </c>
      <c r="K1109" t="s">
        <v>41196</v>
      </c>
      <c r="M1109" t="s">
        <v>41979</v>
      </c>
      <c r="N1109" t="s">
        <v>45095</v>
      </c>
      <c r="O1109" t="s">
        <v>45096</v>
      </c>
      <c r="P1109">
        <v>0</v>
      </c>
      <c r="Q1109">
        <v>0</v>
      </c>
      <c r="R1109" t="s">
        <v>45097</v>
      </c>
      <c r="S1109" t="s">
        <v>45222</v>
      </c>
      <c r="T1109" t="s">
        <v>46955</v>
      </c>
      <c r="U1109" t="s">
        <v>48446</v>
      </c>
      <c r="W1109" t="s">
        <v>41979</v>
      </c>
      <c r="X1109" t="s">
        <v>45098</v>
      </c>
    </row>
    <row r="1110" spans="1:24">
      <c r="A1110">
        <f>HYPERLINK("https://www.philgeps.gov.ph/GEPSNONPILOT/Tender/SplashBidNoticeAbstractUI.aspx?menuIndex=3&amp;refID=7045423&amp;Result=3","7045423")</f>
        <v>0</v>
      </c>
      <c r="B1110" t="s">
        <v>484</v>
      </c>
      <c r="C1110" t="s">
        <v>4256</v>
      </c>
      <c r="D1110" t="s">
        <v>18040</v>
      </c>
      <c r="E1110" t="s">
        <v>18374</v>
      </c>
      <c r="F1110" t="s">
        <v>31578</v>
      </c>
      <c r="G1110" t="s">
        <v>31581</v>
      </c>
      <c r="H1110" t="s">
        <v>31590</v>
      </c>
      <c r="I1110" t="s">
        <v>31607</v>
      </c>
      <c r="J1110" t="s">
        <v>31927</v>
      </c>
      <c r="K1110" t="s">
        <v>41211</v>
      </c>
      <c r="M1110" t="s">
        <v>41980</v>
      </c>
      <c r="N1110" t="s">
        <v>45095</v>
      </c>
      <c r="O1110" t="s">
        <v>45096</v>
      </c>
      <c r="P1110">
        <v>0</v>
      </c>
      <c r="Q1110">
        <v>0</v>
      </c>
      <c r="R1110" t="s">
        <v>45097</v>
      </c>
      <c r="S1110" t="s">
        <v>45222</v>
      </c>
      <c r="T1110" t="s">
        <v>46926</v>
      </c>
      <c r="U1110" t="s">
        <v>48447</v>
      </c>
      <c r="W1110" t="s">
        <v>41980</v>
      </c>
      <c r="X1110" t="s">
        <v>45098</v>
      </c>
    </row>
    <row r="1111" spans="1:24">
      <c r="A1111">
        <f>HYPERLINK("https://www.philgeps.gov.ph/GEPSNONPILOT/Tender/SplashBidNoticeAbstractUI.aspx?menuIndex=3&amp;refID=7045422&amp;Result=3","7045422")</f>
        <v>0</v>
      </c>
      <c r="B1111" t="s">
        <v>477</v>
      </c>
      <c r="C1111" t="s">
        <v>4257</v>
      </c>
      <c r="D1111" t="s">
        <v>18062</v>
      </c>
      <c r="E1111" t="s">
        <v>19151</v>
      </c>
      <c r="F1111" t="s">
        <v>31574</v>
      </c>
      <c r="G1111" t="s">
        <v>31581</v>
      </c>
      <c r="H1111" t="s">
        <v>31590</v>
      </c>
      <c r="I1111" t="s">
        <v>31665</v>
      </c>
      <c r="J1111" t="s">
        <v>32573</v>
      </c>
      <c r="K1111" t="s">
        <v>41186</v>
      </c>
      <c r="M1111" t="s">
        <v>41973</v>
      </c>
      <c r="N1111" t="s">
        <v>45095</v>
      </c>
      <c r="O1111" t="s">
        <v>45096</v>
      </c>
      <c r="P1111">
        <v>0</v>
      </c>
      <c r="Q1111">
        <v>0</v>
      </c>
      <c r="R1111" t="s">
        <v>45097</v>
      </c>
      <c r="S1111" t="s">
        <v>45222</v>
      </c>
      <c r="T1111" t="s">
        <v>46992</v>
      </c>
      <c r="U1111" t="s">
        <v>48448</v>
      </c>
      <c r="W1111" t="s">
        <v>41973</v>
      </c>
      <c r="X1111" t="s">
        <v>45098</v>
      </c>
    </row>
    <row r="1112" spans="1:24">
      <c r="A1112">
        <f>HYPERLINK("https://www.philgeps.gov.ph/GEPSNONPILOT/Tender/SplashBidNoticeAbstractUI.aspx?menuIndex=3&amp;refID=7045421&amp;Result=3","7045421")</f>
        <v>0</v>
      </c>
      <c r="B1112" t="s">
        <v>485</v>
      </c>
      <c r="C1112" t="s">
        <v>4258</v>
      </c>
      <c r="D1112" t="s">
        <v>18048</v>
      </c>
      <c r="E1112" t="s">
        <v>19152</v>
      </c>
      <c r="F1112" t="s">
        <v>31574</v>
      </c>
      <c r="G1112" t="s">
        <v>31581</v>
      </c>
      <c r="H1112" t="s">
        <v>31590</v>
      </c>
      <c r="I1112" t="s">
        <v>3651</v>
      </c>
      <c r="J1112" t="s">
        <v>32574</v>
      </c>
      <c r="K1112" t="s">
        <v>41184</v>
      </c>
      <c r="M1112" t="s">
        <v>41981</v>
      </c>
      <c r="N1112" t="s">
        <v>45095</v>
      </c>
      <c r="O1112" t="s">
        <v>45096</v>
      </c>
      <c r="P1112">
        <v>0</v>
      </c>
      <c r="Q1112">
        <v>0</v>
      </c>
      <c r="R1112" t="s">
        <v>45097</v>
      </c>
      <c r="S1112" t="s">
        <v>45222</v>
      </c>
      <c r="T1112" t="s">
        <v>46989</v>
      </c>
      <c r="U1112" t="s">
        <v>48449</v>
      </c>
      <c r="W1112" t="s">
        <v>41981</v>
      </c>
      <c r="X1112" t="s">
        <v>45098</v>
      </c>
    </row>
    <row r="1113" spans="1:24">
      <c r="A1113">
        <f>HYPERLINK("https://www.philgeps.gov.ph/GEPSNONPILOT/Tender/SplashBidNoticeAbstractUI.aspx?menuIndex=3&amp;refID=7045425&amp;Result=3","7045425")</f>
        <v>0</v>
      </c>
      <c r="B1113" t="s">
        <v>476</v>
      </c>
      <c r="C1113" t="s">
        <v>4259</v>
      </c>
      <c r="D1113" t="s">
        <v>18047</v>
      </c>
      <c r="E1113" t="s">
        <v>19153</v>
      </c>
      <c r="F1113" t="s">
        <v>31574</v>
      </c>
      <c r="G1113" t="s">
        <v>31582</v>
      </c>
      <c r="H1113" t="s">
        <v>31590</v>
      </c>
      <c r="I1113" t="s">
        <v>31603</v>
      </c>
      <c r="J1113" t="s">
        <v>32575</v>
      </c>
      <c r="K1113" t="s">
        <v>41189</v>
      </c>
      <c r="M1113" t="s">
        <v>41972</v>
      </c>
      <c r="N1113" t="s">
        <v>45095</v>
      </c>
      <c r="O1113" t="s">
        <v>45096</v>
      </c>
      <c r="P1113">
        <v>0</v>
      </c>
      <c r="Q1113">
        <v>0</v>
      </c>
      <c r="R1113" t="s">
        <v>45097</v>
      </c>
      <c r="S1113" t="s">
        <v>45222</v>
      </c>
      <c r="T1113" t="s">
        <v>47051</v>
      </c>
      <c r="U1113" t="s">
        <v>48450</v>
      </c>
      <c r="W1113" t="s">
        <v>41972</v>
      </c>
      <c r="X1113" t="s">
        <v>45098</v>
      </c>
    </row>
    <row r="1114" spans="1:24">
      <c r="A1114">
        <f>HYPERLINK("https://www.philgeps.gov.ph/GEPSNONPILOT/Tender/SplashBidNoticeAbstractUI.aspx?menuIndex=3&amp;refID=7045427&amp;Result=3","7045427")</f>
        <v>0</v>
      </c>
      <c r="B1114" t="s">
        <v>486</v>
      </c>
      <c r="C1114" t="s">
        <v>4260</v>
      </c>
      <c r="D1114" t="s">
        <v>18023</v>
      </c>
      <c r="E1114" t="s">
        <v>19154</v>
      </c>
      <c r="F1114" t="s">
        <v>31574</v>
      </c>
      <c r="G1114" t="s">
        <v>31582</v>
      </c>
      <c r="H1114" t="s">
        <v>31590</v>
      </c>
      <c r="I1114" t="s">
        <v>3651</v>
      </c>
      <c r="J1114" t="s">
        <v>32576</v>
      </c>
      <c r="K1114" t="s">
        <v>41213</v>
      </c>
      <c r="M1114" t="s">
        <v>41982</v>
      </c>
      <c r="N1114" t="s">
        <v>45095</v>
      </c>
      <c r="O1114" t="s">
        <v>45096</v>
      </c>
      <c r="P1114">
        <v>0</v>
      </c>
      <c r="Q1114">
        <v>0</v>
      </c>
      <c r="R1114" t="s">
        <v>45097</v>
      </c>
      <c r="S1114" t="s">
        <v>45222</v>
      </c>
      <c r="T1114" t="s">
        <v>46923</v>
      </c>
      <c r="U1114" t="s">
        <v>48451</v>
      </c>
      <c r="W1114" t="s">
        <v>41982</v>
      </c>
      <c r="X1114" t="s">
        <v>45098</v>
      </c>
    </row>
    <row r="1115" spans="1:24">
      <c r="A1115">
        <f>HYPERLINK("https://www.philgeps.gov.ph/GEPSNONPILOT/Tender/SplashBidNoticeAbstractUI.aspx?menuIndex=3&amp;refID=7045434&amp;Result=3","7045434")</f>
        <v>0</v>
      </c>
      <c r="B1115" t="s">
        <v>456</v>
      </c>
      <c r="C1115" t="s">
        <v>4261</v>
      </c>
      <c r="D1115" t="s">
        <v>18025</v>
      </c>
      <c r="E1115" t="s">
        <v>18367</v>
      </c>
      <c r="F1115" t="s">
        <v>31574</v>
      </c>
      <c r="G1115" t="s">
        <v>31581</v>
      </c>
      <c r="H1115" t="s">
        <v>31592</v>
      </c>
      <c r="I1115" t="s">
        <v>31640</v>
      </c>
      <c r="J1115" t="s">
        <v>32090</v>
      </c>
      <c r="K1115" t="s">
        <v>41193</v>
      </c>
      <c r="M1115" t="s">
        <v>41950</v>
      </c>
      <c r="N1115" t="s">
        <v>45095</v>
      </c>
      <c r="O1115" t="s">
        <v>45096</v>
      </c>
      <c r="P1115">
        <v>0</v>
      </c>
      <c r="Q1115">
        <v>0</v>
      </c>
      <c r="R1115" t="s">
        <v>45097</v>
      </c>
      <c r="S1115" t="s">
        <v>45222</v>
      </c>
      <c r="T1115" t="s">
        <v>47045</v>
      </c>
      <c r="U1115" t="s">
        <v>48406</v>
      </c>
      <c r="W1115" t="s">
        <v>41950</v>
      </c>
      <c r="X1115" t="s">
        <v>45098</v>
      </c>
    </row>
    <row r="1116" spans="1:24">
      <c r="A1116">
        <f>HYPERLINK("https://www.philgeps.gov.ph/GEPSNONPILOT/Tender/SplashBidNoticeAbstractUI.aspx?menuIndex=3&amp;refID=7045431&amp;Result=3","7045431")</f>
        <v>0</v>
      </c>
      <c r="B1116" t="s">
        <v>201</v>
      </c>
      <c r="C1116" t="s">
        <v>4235</v>
      </c>
      <c r="D1116" t="s">
        <v>18045</v>
      </c>
      <c r="E1116" t="s">
        <v>19155</v>
      </c>
      <c r="F1116" t="s">
        <v>31574</v>
      </c>
      <c r="G1116" t="s">
        <v>31581</v>
      </c>
      <c r="H1116" t="s">
        <v>31590</v>
      </c>
      <c r="I1116" t="s">
        <v>7185</v>
      </c>
      <c r="J1116" t="s">
        <v>32577</v>
      </c>
      <c r="K1116" t="s">
        <v>41184</v>
      </c>
      <c r="M1116" t="s">
        <v>41970</v>
      </c>
      <c r="N1116" t="s">
        <v>45095</v>
      </c>
      <c r="O1116" t="s">
        <v>45096</v>
      </c>
      <c r="P1116">
        <v>0</v>
      </c>
      <c r="Q1116">
        <v>0</v>
      </c>
      <c r="R1116" t="s">
        <v>45097</v>
      </c>
      <c r="S1116" t="s">
        <v>45222</v>
      </c>
      <c r="T1116" t="s">
        <v>46989</v>
      </c>
      <c r="U1116" t="s">
        <v>48429</v>
      </c>
      <c r="W1116" t="s">
        <v>41970</v>
      </c>
      <c r="X1116" t="s">
        <v>45098</v>
      </c>
    </row>
    <row r="1117" spans="1:24">
      <c r="A1117">
        <f>HYPERLINK("https://www.philgeps.gov.ph/GEPSNONPILOT/Tender/SplashBidNoticeAbstractUI.aspx?menuIndex=3&amp;refID=7045420&amp;Result=3","7045420")</f>
        <v>0</v>
      </c>
      <c r="B1117" t="s">
        <v>249</v>
      </c>
      <c r="C1117" t="s">
        <v>4262</v>
      </c>
      <c r="D1117" t="s">
        <v>18091</v>
      </c>
      <c r="E1117" t="s">
        <v>19156</v>
      </c>
      <c r="F1117" t="s">
        <v>31574</v>
      </c>
      <c r="G1117" t="s">
        <v>31581</v>
      </c>
      <c r="H1117" t="s">
        <v>31590</v>
      </c>
      <c r="I1117" t="s">
        <v>31625</v>
      </c>
      <c r="J1117" t="s">
        <v>32578</v>
      </c>
      <c r="K1117" t="s">
        <v>41193</v>
      </c>
      <c r="M1117" t="s">
        <v>41735</v>
      </c>
      <c r="N1117" t="s">
        <v>45095</v>
      </c>
      <c r="O1117" t="s">
        <v>45096</v>
      </c>
      <c r="P1117">
        <v>0</v>
      </c>
      <c r="Q1117">
        <v>0</v>
      </c>
      <c r="R1117" t="s">
        <v>45097</v>
      </c>
      <c r="S1117" t="s">
        <v>45222</v>
      </c>
      <c r="T1117" t="s">
        <v>46935</v>
      </c>
      <c r="U1117" t="s">
        <v>48452</v>
      </c>
      <c r="W1117" t="s">
        <v>41735</v>
      </c>
      <c r="X1117" t="s">
        <v>45098</v>
      </c>
    </row>
    <row r="1118" spans="1:24">
      <c r="A1118">
        <f>HYPERLINK("https://www.philgeps.gov.ph/GEPSNONPILOT/Tender/SplashBidNoticeAbstractUI.aspx?menuIndex=3&amp;refID=7045418&amp;Result=3","7045418")</f>
        <v>0</v>
      </c>
      <c r="B1118" t="s">
        <v>191</v>
      </c>
      <c r="C1118" t="s">
        <v>4263</v>
      </c>
      <c r="D1118" t="s">
        <v>18082</v>
      </c>
      <c r="E1118" t="s">
        <v>19157</v>
      </c>
      <c r="F1118" t="s">
        <v>31574</v>
      </c>
      <c r="G1118" t="s">
        <v>31582</v>
      </c>
      <c r="H1118" t="s">
        <v>31591</v>
      </c>
      <c r="I1118" t="s">
        <v>8822</v>
      </c>
      <c r="J1118" t="s">
        <v>31935</v>
      </c>
      <c r="K1118" t="s">
        <v>41184</v>
      </c>
      <c r="M1118" t="s">
        <v>41676</v>
      </c>
      <c r="N1118" t="s">
        <v>45095</v>
      </c>
      <c r="O1118" t="s">
        <v>45096</v>
      </c>
      <c r="P1118">
        <v>0</v>
      </c>
      <c r="Q1118">
        <v>0</v>
      </c>
      <c r="R1118" t="s">
        <v>45097</v>
      </c>
      <c r="S1118" t="s">
        <v>45222</v>
      </c>
      <c r="T1118" t="s">
        <v>46924</v>
      </c>
      <c r="U1118" t="s">
        <v>47828</v>
      </c>
      <c r="W1118" t="s">
        <v>41676</v>
      </c>
      <c r="X1118" t="s">
        <v>45098</v>
      </c>
    </row>
    <row r="1119" spans="1:24">
      <c r="A1119">
        <f>HYPERLINK("https://www.philgeps.gov.ph/GEPSNONPILOT/Tender/SplashBidNoticeAbstractUI.aspx?menuIndex=3&amp;refID=7045433&amp;Result=3","7045433")</f>
        <v>0</v>
      </c>
      <c r="B1119" t="s">
        <v>333</v>
      </c>
      <c r="C1119" t="s">
        <v>4116</v>
      </c>
      <c r="D1119" t="s">
        <v>18081</v>
      </c>
      <c r="E1119" t="s">
        <v>19158</v>
      </c>
      <c r="F1119" t="s">
        <v>31574</v>
      </c>
      <c r="G1119" t="s">
        <v>31581</v>
      </c>
      <c r="H1119" t="s">
        <v>31590</v>
      </c>
      <c r="I1119" t="s">
        <v>31594</v>
      </c>
      <c r="J1119" t="s">
        <v>32579</v>
      </c>
      <c r="K1119" t="s">
        <v>41196</v>
      </c>
      <c r="M1119" t="s">
        <v>41821</v>
      </c>
      <c r="N1119" t="s">
        <v>45095</v>
      </c>
      <c r="O1119" t="s">
        <v>45096</v>
      </c>
      <c r="P1119">
        <v>0</v>
      </c>
      <c r="Q1119">
        <v>0</v>
      </c>
      <c r="R1119" t="s">
        <v>45097</v>
      </c>
      <c r="S1119" t="s">
        <v>45222</v>
      </c>
      <c r="T1119" t="s">
        <v>46918</v>
      </c>
      <c r="U1119" t="s">
        <v>48453</v>
      </c>
      <c r="W1119" t="s">
        <v>41821</v>
      </c>
      <c r="X1119" t="s">
        <v>45098</v>
      </c>
    </row>
    <row r="1120" spans="1:24">
      <c r="A1120">
        <f>HYPERLINK("https://www.philgeps.gov.ph/GEPSNONPILOT/Tender/SplashBidNoticeAbstractUI.aspx?menuIndex=3&amp;refID=7045419&amp;Result=3","7045419")</f>
        <v>0</v>
      </c>
      <c r="B1120" t="s">
        <v>201</v>
      </c>
      <c r="C1120" t="s">
        <v>4235</v>
      </c>
      <c r="D1120" t="s">
        <v>18045</v>
      </c>
      <c r="E1120" t="s">
        <v>19159</v>
      </c>
      <c r="F1120" t="s">
        <v>31574</v>
      </c>
      <c r="G1120" t="s">
        <v>31581</v>
      </c>
      <c r="H1120" t="s">
        <v>31590</v>
      </c>
      <c r="I1120" t="s">
        <v>7185</v>
      </c>
      <c r="J1120" t="s">
        <v>32580</v>
      </c>
      <c r="K1120" t="s">
        <v>41184</v>
      </c>
      <c r="M1120" t="s">
        <v>41970</v>
      </c>
      <c r="N1120" t="s">
        <v>45095</v>
      </c>
      <c r="O1120" t="s">
        <v>45096</v>
      </c>
      <c r="P1120">
        <v>0</v>
      </c>
      <c r="Q1120">
        <v>0</v>
      </c>
      <c r="R1120" t="s">
        <v>45097</v>
      </c>
      <c r="S1120" t="s">
        <v>45222</v>
      </c>
      <c r="T1120" t="s">
        <v>46989</v>
      </c>
      <c r="U1120" t="s">
        <v>48454</v>
      </c>
      <c r="W1120" t="s">
        <v>41970</v>
      </c>
      <c r="X1120" t="s">
        <v>45098</v>
      </c>
    </row>
    <row r="1121" spans="1:24">
      <c r="A1121">
        <f>HYPERLINK("https://www.philgeps.gov.ph/GEPSNONPILOT/Tender/SplashBidNoticeAbstractUI.aspx?menuIndex=3&amp;refID=7045432&amp;Result=3","7045432")</f>
        <v>0</v>
      </c>
      <c r="B1121" t="s">
        <v>348</v>
      </c>
      <c r="C1121" t="s">
        <v>4264</v>
      </c>
      <c r="D1121" t="s">
        <v>18065</v>
      </c>
      <c r="E1121" t="s">
        <v>19160</v>
      </c>
      <c r="F1121" t="s">
        <v>31574</v>
      </c>
      <c r="G1121" t="s">
        <v>31581</v>
      </c>
      <c r="H1121" t="s">
        <v>31590</v>
      </c>
      <c r="I1121" t="s">
        <v>31653</v>
      </c>
      <c r="J1121" t="s">
        <v>31930</v>
      </c>
      <c r="K1121" t="s">
        <v>41184</v>
      </c>
      <c r="M1121" t="s">
        <v>41836</v>
      </c>
      <c r="N1121" t="s">
        <v>45095</v>
      </c>
      <c r="O1121" t="s">
        <v>45096</v>
      </c>
      <c r="P1121">
        <v>0</v>
      </c>
      <c r="Q1121">
        <v>0</v>
      </c>
      <c r="R1121" t="s">
        <v>45097</v>
      </c>
      <c r="S1121" t="s">
        <v>45222</v>
      </c>
      <c r="T1121" t="s">
        <v>47014</v>
      </c>
      <c r="U1121" t="s">
        <v>48153</v>
      </c>
      <c r="W1121" t="s">
        <v>41836</v>
      </c>
      <c r="X1121" t="s">
        <v>45098</v>
      </c>
    </row>
    <row r="1122" spans="1:24">
      <c r="A1122">
        <f>HYPERLINK("https://www.philgeps.gov.ph/GEPSNONPILOT/Tender/SplashBidNoticeAbstractUI.aspx?menuIndex=3&amp;refID=7045436&amp;Result=3","7045436")</f>
        <v>0</v>
      </c>
      <c r="B1122" t="s">
        <v>449</v>
      </c>
      <c r="C1122" t="s">
        <v>4265</v>
      </c>
      <c r="D1122" t="s">
        <v>18033</v>
      </c>
      <c r="E1122" t="s">
        <v>19113</v>
      </c>
      <c r="F1122" t="s">
        <v>31574</v>
      </c>
      <c r="G1122" t="s">
        <v>31581</v>
      </c>
      <c r="H1122" t="s">
        <v>31590</v>
      </c>
      <c r="I1122" t="s">
        <v>4046</v>
      </c>
      <c r="J1122" t="s">
        <v>32246</v>
      </c>
      <c r="K1122" t="s">
        <v>41191</v>
      </c>
      <c r="M1122" t="s">
        <v>41943</v>
      </c>
      <c r="N1122" t="s">
        <v>45095</v>
      </c>
      <c r="O1122" t="s">
        <v>45096</v>
      </c>
      <c r="P1122">
        <v>0</v>
      </c>
      <c r="Q1122">
        <v>0</v>
      </c>
      <c r="R1122" t="s">
        <v>45097</v>
      </c>
      <c r="S1122" t="s">
        <v>45222</v>
      </c>
      <c r="T1122" t="s">
        <v>47014</v>
      </c>
      <c r="U1122" t="s">
        <v>48370</v>
      </c>
      <c r="W1122" t="s">
        <v>41943</v>
      </c>
      <c r="X1122" t="s">
        <v>45098</v>
      </c>
    </row>
    <row r="1123" spans="1:24">
      <c r="A1123">
        <f>HYPERLINK("https://www.philgeps.gov.ph/GEPSNONPILOT/Tender/SplashBidNoticeAbstractUI.aspx?menuIndex=3&amp;refID=7045441&amp;Result=3","7045441")</f>
        <v>0</v>
      </c>
      <c r="B1123" t="s">
        <v>76</v>
      </c>
      <c r="C1123" t="s">
        <v>4266</v>
      </c>
      <c r="D1123" t="s">
        <v>18035</v>
      </c>
      <c r="E1123" t="s">
        <v>19161</v>
      </c>
      <c r="F1123" t="s">
        <v>31574</v>
      </c>
      <c r="G1123" t="s">
        <v>31581</v>
      </c>
      <c r="H1123" t="s">
        <v>31590</v>
      </c>
      <c r="I1123" t="s">
        <v>31608</v>
      </c>
      <c r="J1123" t="s">
        <v>32581</v>
      </c>
      <c r="K1123" t="s">
        <v>41184</v>
      </c>
      <c r="L1123" t="s">
        <v>76</v>
      </c>
      <c r="M1123" t="s">
        <v>41797</v>
      </c>
      <c r="N1123" t="s">
        <v>45095</v>
      </c>
      <c r="O1123" t="s">
        <v>45096</v>
      </c>
      <c r="P1123">
        <v>0</v>
      </c>
      <c r="Q1123">
        <v>0</v>
      </c>
      <c r="R1123" t="s">
        <v>45097</v>
      </c>
      <c r="S1123" t="s">
        <v>45222</v>
      </c>
      <c r="T1123" t="s">
        <v>46904</v>
      </c>
      <c r="U1123" t="s">
        <v>48069</v>
      </c>
      <c r="W1123" t="s">
        <v>41797</v>
      </c>
      <c r="X1123" t="s">
        <v>45098</v>
      </c>
    </row>
    <row r="1124" spans="1:24">
      <c r="A1124">
        <f>HYPERLINK("https://www.philgeps.gov.ph/GEPSNONPILOT/Tender/SplashBidNoticeAbstractUI.aspx?menuIndex=3&amp;refID=7045440&amp;Result=3","7045440")</f>
        <v>0</v>
      </c>
      <c r="B1124" t="s">
        <v>487</v>
      </c>
      <c r="C1124" t="s">
        <v>4267</v>
      </c>
      <c r="D1124" t="s">
        <v>18035</v>
      </c>
      <c r="E1124" t="s">
        <v>19162</v>
      </c>
      <c r="F1124" t="s">
        <v>31574</v>
      </c>
      <c r="G1124" t="s">
        <v>31583</v>
      </c>
      <c r="H1124" t="s">
        <v>31590</v>
      </c>
      <c r="I1124" t="s">
        <v>31596</v>
      </c>
      <c r="J1124" t="s">
        <v>32582</v>
      </c>
      <c r="K1124" t="s">
        <v>41250</v>
      </c>
      <c r="M1124" t="s">
        <v>41983</v>
      </c>
      <c r="N1124" t="s">
        <v>45095</v>
      </c>
      <c r="O1124" t="s">
        <v>45096</v>
      </c>
      <c r="P1124">
        <v>0</v>
      </c>
      <c r="Q1124">
        <v>0</v>
      </c>
      <c r="R1124" t="s">
        <v>45097</v>
      </c>
      <c r="S1124" t="s">
        <v>45222</v>
      </c>
      <c r="T1124" t="s">
        <v>46913</v>
      </c>
      <c r="U1124" t="s">
        <v>48455</v>
      </c>
      <c r="W1124" t="s">
        <v>41983</v>
      </c>
      <c r="X1124" t="s">
        <v>45098</v>
      </c>
    </row>
    <row r="1125" spans="1:24">
      <c r="A1125">
        <f>HYPERLINK("https://www.philgeps.gov.ph/GEPSNONPILOT/Tender/SplashBidNoticeAbstractUI.aspx?menuIndex=3&amp;refID=7045447&amp;Result=3","7045447")</f>
        <v>0</v>
      </c>
      <c r="B1125" t="s">
        <v>476</v>
      </c>
      <c r="C1125" t="s">
        <v>4268</v>
      </c>
      <c r="D1125" t="s">
        <v>18047</v>
      </c>
      <c r="E1125" t="s">
        <v>19163</v>
      </c>
      <c r="F1125" t="s">
        <v>31574</v>
      </c>
      <c r="G1125" t="s">
        <v>31582</v>
      </c>
      <c r="H1125" t="s">
        <v>31590</v>
      </c>
      <c r="I1125" t="s">
        <v>31666</v>
      </c>
      <c r="J1125" t="s">
        <v>31935</v>
      </c>
      <c r="K1125" t="s">
        <v>41192</v>
      </c>
      <c r="M1125" t="s">
        <v>41972</v>
      </c>
      <c r="N1125" t="s">
        <v>45095</v>
      </c>
      <c r="O1125" t="s">
        <v>45096</v>
      </c>
      <c r="P1125">
        <v>0</v>
      </c>
      <c r="Q1125">
        <v>0</v>
      </c>
      <c r="R1125" t="s">
        <v>45097</v>
      </c>
      <c r="S1125" t="s">
        <v>45222</v>
      </c>
      <c r="T1125" t="s">
        <v>47052</v>
      </c>
      <c r="U1125" t="s">
        <v>48456</v>
      </c>
      <c r="W1125" t="s">
        <v>41972</v>
      </c>
      <c r="X1125" t="s">
        <v>45098</v>
      </c>
    </row>
    <row r="1126" spans="1:24">
      <c r="A1126">
        <f>HYPERLINK("https://www.philgeps.gov.ph/GEPSNONPILOT/Tender/SplashBidNoticeAbstractUI.aspx?menuIndex=3&amp;refID=7045439&amp;Result=3","7045439")</f>
        <v>0</v>
      </c>
      <c r="B1126" t="s">
        <v>335</v>
      </c>
      <c r="C1126" t="s">
        <v>4269</v>
      </c>
      <c r="D1126" t="s">
        <v>18079</v>
      </c>
      <c r="E1126" t="s">
        <v>19164</v>
      </c>
      <c r="F1126" t="s">
        <v>31574</v>
      </c>
      <c r="G1126" t="s">
        <v>31581</v>
      </c>
      <c r="H1126" t="s">
        <v>31590</v>
      </c>
      <c r="I1126" t="s">
        <v>31599</v>
      </c>
      <c r="J1126" t="s">
        <v>32583</v>
      </c>
      <c r="K1126" t="s">
        <v>41184</v>
      </c>
      <c r="M1126" t="s">
        <v>41823</v>
      </c>
      <c r="N1126" t="s">
        <v>45095</v>
      </c>
      <c r="O1126" t="s">
        <v>45096</v>
      </c>
      <c r="P1126">
        <v>0</v>
      </c>
      <c r="Q1126">
        <v>0</v>
      </c>
      <c r="R1126" t="s">
        <v>45097</v>
      </c>
      <c r="S1126" t="s">
        <v>45222</v>
      </c>
      <c r="T1126" t="s">
        <v>46911</v>
      </c>
      <c r="U1126" t="s">
        <v>48457</v>
      </c>
      <c r="W1126" t="s">
        <v>41823</v>
      </c>
      <c r="X1126" t="s">
        <v>45098</v>
      </c>
    </row>
    <row r="1127" spans="1:24">
      <c r="A1127">
        <f>HYPERLINK("https://www.philgeps.gov.ph/GEPSNONPILOT/Tender/SplashBidNoticeAbstractUI.aspx?menuIndex=3&amp;refID=7045437&amp;Result=3","7045437")</f>
        <v>0</v>
      </c>
      <c r="B1127" t="s">
        <v>58</v>
      </c>
      <c r="C1127" t="s">
        <v>4270</v>
      </c>
      <c r="D1127" t="s">
        <v>18047</v>
      </c>
      <c r="E1127" t="s">
        <v>19165</v>
      </c>
      <c r="F1127" t="s">
        <v>31574</v>
      </c>
      <c r="G1127" t="s">
        <v>31582</v>
      </c>
      <c r="H1127" t="s">
        <v>31590</v>
      </c>
      <c r="I1127" t="s">
        <v>8822</v>
      </c>
      <c r="J1127" t="s">
        <v>32584</v>
      </c>
      <c r="K1127" t="s">
        <v>41193</v>
      </c>
      <c r="M1127" t="s">
        <v>41542</v>
      </c>
      <c r="N1127" t="s">
        <v>45095</v>
      </c>
      <c r="O1127" t="s">
        <v>45096</v>
      </c>
      <c r="P1127">
        <v>0</v>
      </c>
      <c r="Q1127">
        <v>0</v>
      </c>
      <c r="R1127" t="s">
        <v>45097</v>
      </c>
      <c r="S1127" t="s">
        <v>45222</v>
      </c>
      <c r="T1127" t="s">
        <v>47053</v>
      </c>
      <c r="U1127" t="s">
        <v>48458</v>
      </c>
      <c r="V1127" t="s">
        <v>59855</v>
      </c>
      <c r="W1127" t="s">
        <v>41542</v>
      </c>
      <c r="X1127" t="s">
        <v>45098</v>
      </c>
    </row>
    <row r="1128" spans="1:24">
      <c r="A1128">
        <f>HYPERLINK("https://www.philgeps.gov.ph/GEPSNONPILOT/Tender/SplashBidNoticeAbstractUI.aspx?menuIndex=3&amp;refID=7045456&amp;Result=3","7045456")</f>
        <v>0</v>
      </c>
      <c r="B1128" t="s">
        <v>488</v>
      </c>
      <c r="C1128" t="s">
        <v>4271</v>
      </c>
      <c r="D1128" t="s">
        <v>18044</v>
      </c>
      <c r="E1128" t="s">
        <v>19166</v>
      </c>
      <c r="F1128" t="s">
        <v>31574</v>
      </c>
      <c r="G1128" t="s">
        <v>31581</v>
      </c>
      <c r="H1128" t="s">
        <v>31590</v>
      </c>
      <c r="I1128" t="s">
        <v>3487</v>
      </c>
      <c r="J1128" t="s">
        <v>32585</v>
      </c>
      <c r="K1128" t="s">
        <v>41190</v>
      </c>
      <c r="M1128" t="s">
        <v>41984</v>
      </c>
      <c r="N1128" t="s">
        <v>45095</v>
      </c>
      <c r="O1128" t="s">
        <v>45096</v>
      </c>
      <c r="P1128">
        <v>0</v>
      </c>
      <c r="Q1128">
        <v>0</v>
      </c>
      <c r="R1128" t="s">
        <v>45097</v>
      </c>
      <c r="S1128" t="s">
        <v>45222</v>
      </c>
      <c r="T1128" t="s">
        <v>46946</v>
      </c>
      <c r="U1128" t="s">
        <v>48459</v>
      </c>
      <c r="W1128" t="s">
        <v>61670</v>
      </c>
      <c r="X1128" t="s">
        <v>45098</v>
      </c>
    </row>
    <row r="1129" spans="1:24">
      <c r="A1129">
        <f>HYPERLINK("https://www.philgeps.gov.ph/GEPSNONPILOT/Tender/SplashBidNoticeAbstractUI.aspx?menuIndex=3&amp;refID=7045446&amp;Result=3","7045446")</f>
        <v>0</v>
      </c>
      <c r="B1129" t="s">
        <v>489</v>
      </c>
      <c r="C1129" t="s">
        <v>4272</v>
      </c>
      <c r="D1129" t="s">
        <v>18070</v>
      </c>
      <c r="E1129" t="s">
        <v>19167</v>
      </c>
      <c r="F1129" t="s">
        <v>31574</v>
      </c>
      <c r="G1129" t="s">
        <v>31582</v>
      </c>
      <c r="H1129" t="s">
        <v>31591</v>
      </c>
      <c r="I1129" t="s">
        <v>8822</v>
      </c>
      <c r="J1129" t="s">
        <v>32550</v>
      </c>
      <c r="K1129" t="s">
        <v>41243</v>
      </c>
      <c r="M1129" t="s">
        <v>41985</v>
      </c>
      <c r="N1129" t="s">
        <v>45095</v>
      </c>
      <c r="O1129" t="s">
        <v>45096</v>
      </c>
      <c r="P1129">
        <v>0</v>
      </c>
      <c r="Q1129">
        <v>0</v>
      </c>
      <c r="R1129" t="s">
        <v>45097</v>
      </c>
      <c r="S1129" t="s">
        <v>45222</v>
      </c>
      <c r="T1129" t="s">
        <v>46919</v>
      </c>
      <c r="U1129" t="s">
        <v>48460</v>
      </c>
      <c r="W1129" t="s">
        <v>41985</v>
      </c>
      <c r="X1129" t="s">
        <v>45098</v>
      </c>
    </row>
    <row r="1130" spans="1:24">
      <c r="A1130">
        <f>HYPERLINK("https://www.philgeps.gov.ph/GEPSNONPILOT/Tender/SplashBidNoticeAbstractUI.aspx?menuIndex=3&amp;refID=7045438&amp;Result=3","7045438")</f>
        <v>0</v>
      </c>
      <c r="B1130" t="s">
        <v>443</v>
      </c>
      <c r="C1130" t="s">
        <v>4273</v>
      </c>
      <c r="D1130" t="s">
        <v>18062</v>
      </c>
      <c r="E1130" t="s">
        <v>19168</v>
      </c>
      <c r="F1130" t="s">
        <v>31574</v>
      </c>
      <c r="G1130" t="s">
        <v>31582</v>
      </c>
      <c r="H1130" t="s">
        <v>31591</v>
      </c>
      <c r="I1130" t="s">
        <v>8822</v>
      </c>
      <c r="J1130" t="s">
        <v>32526</v>
      </c>
      <c r="K1130" t="s">
        <v>41228</v>
      </c>
      <c r="M1130" t="s">
        <v>41936</v>
      </c>
      <c r="N1130" t="s">
        <v>45095</v>
      </c>
      <c r="O1130" t="s">
        <v>45096</v>
      </c>
      <c r="P1130">
        <v>0</v>
      </c>
      <c r="Q1130">
        <v>0</v>
      </c>
      <c r="R1130" t="s">
        <v>45097</v>
      </c>
      <c r="S1130" t="s">
        <v>45222</v>
      </c>
      <c r="T1130" t="s">
        <v>46915</v>
      </c>
      <c r="U1130" t="s">
        <v>48351</v>
      </c>
      <c r="V1130" t="s">
        <v>59952</v>
      </c>
      <c r="W1130" t="s">
        <v>41936</v>
      </c>
      <c r="X1130" t="s">
        <v>45098</v>
      </c>
    </row>
    <row r="1131" spans="1:24">
      <c r="A1131">
        <f>HYPERLINK("https://www.philgeps.gov.ph/GEPSNONPILOT/Tender/SplashBidNoticeAbstractUI.aspx?menuIndex=3&amp;refID=7045455&amp;Result=3","7045455")</f>
        <v>0</v>
      </c>
      <c r="B1131" t="s">
        <v>490</v>
      </c>
      <c r="C1131" t="s">
        <v>4274</v>
      </c>
      <c r="E1131" t="s">
        <v>19169</v>
      </c>
      <c r="F1131" t="s">
        <v>31574</v>
      </c>
      <c r="G1131" t="s">
        <v>31581</v>
      </c>
      <c r="H1131" t="s">
        <v>31590</v>
      </c>
      <c r="I1131" t="s">
        <v>31667</v>
      </c>
      <c r="J1131" t="s">
        <v>32586</v>
      </c>
      <c r="K1131" t="s">
        <v>41184</v>
      </c>
      <c r="M1131" t="s">
        <v>41986</v>
      </c>
      <c r="N1131" t="s">
        <v>45095</v>
      </c>
      <c r="O1131" t="s">
        <v>45096</v>
      </c>
      <c r="P1131">
        <v>0</v>
      </c>
      <c r="Q1131">
        <v>0</v>
      </c>
      <c r="R1131" t="s">
        <v>45097</v>
      </c>
      <c r="S1131" t="s">
        <v>45222</v>
      </c>
      <c r="T1131" t="s">
        <v>46904</v>
      </c>
      <c r="U1131" t="s">
        <v>48461</v>
      </c>
      <c r="W1131" t="s">
        <v>41986</v>
      </c>
      <c r="X1131" t="s">
        <v>45098</v>
      </c>
    </row>
    <row r="1132" spans="1:24">
      <c r="A1132">
        <f>HYPERLINK("https://www.philgeps.gov.ph/GEPSNONPILOT/Tender/SplashBidNoticeAbstractUI.aspx?menuIndex=3&amp;refID=7045452&amp;Result=3","7045452")</f>
        <v>0</v>
      </c>
      <c r="B1132" t="s">
        <v>201</v>
      </c>
      <c r="C1132" t="s">
        <v>3965</v>
      </c>
      <c r="D1132" t="s">
        <v>18045</v>
      </c>
      <c r="E1132" t="s">
        <v>19170</v>
      </c>
      <c r="F1132" t="s">
        <v>31574</v>
      </c>
      <c r="G1132" t="s">
        <v>31583</v>
      </c>
      <c r="H1132" t="s">
        <v>31590</v>
      </c>
      <c r="I1132" t="s">
        <v>4327</v>
      </c>
      <c r="J1132" t="s">
        <v>32587</v>
      </c>
      <c r="K1132" t="s">
        <v>41184</v>
      </c>
      <c r="M1132" t="s">
        <v>41970</v>
      </c>
      <c r="N1132" t="s">
        <v>45095</v>
      </c>
      <c r="O1132" t="s">
        <v>45096</v>
      </c>
      <c r="P1132">
        <v>0</v>
      </c>
      <c r="Q1132">
        <v>0</v>
      </c>
      <c r="R1132" t="s">
        <v>45097</v>
      </c>
      <c r="S1132" t="s">
        <v>45222</v>
      </c>
      <c r="T1132" t="s">
        <v>46989</v>
      </c>
      <c r="U1132" t="s">
        <v>48429</v>
      </c>
      <c r="W1132" t="s">
        <v>41970</v>
      </c>
      <c r="X1132" t="s">
        <v>45098</v>
      </c>
    </row>
    <row r="1133" spans="1:24">
      <c r="A1133">
        <f>HYPERLINK("https://www.philgeps.gov.ph/GEPSNONPILOT/Tender/SplashBidNoticeAbstractUI.aspx?menuIndex=3&amp;refID=7045448&amp;Result=3","7045448")</f>
        <v>0</v>
      </c>
      <c r="B1133" t="s">
        <v>491</v>
      </c>
      <c r="C1133" t="s">
        <v>4275</v>
      </c>
      <c r="D1133" t="s">
        <v>18025</v>
      </c>
      <c r="E1133" t="s">
        <v>19171</v>
      </c>
      <c r="F1133" t="s">
        <v>31574</v>
      </c>
      <c r="G1133" t="s">
        <v>31581</v>
      </c>
      <c r="H1133" t="s">
        <v>31590</v>
      </c>
      <c r="I1133" t="s">
        <v>6800</v>
      </c>
      <c r="J1133" t="s">
        <v>32588</v>
      </c>
      <c r="K1133" t="s">
        <v>41193</v>
      </c>
      <c r="M1133" t="s">
        <v>41987</v>
      </c>
      <c r="N1133" t="s">
        <v>45095</v>
      </c>
      <c r="O1133" t="s">
        <v>45096</v>
      </c>
      <c r="P1133">
        <v>0</v>
      </c>
      <c r="Q1133">
        <v>0</v>
      </c>
      <c r="R1133" t="s">
        <v>45097</v>
      </c>
      <c r="S1133" t="s">
        <v>45222</v>
      </c>
      <c r="T1133" t="s">
        <v>47054</v>
      </c>
      <c r="U1133" t="s">
        <v>48462</v>
      </c>
      <c r="W1133" t="s">
        <v>41987</v>
      </c>
      <c r="X1133" t="s">
        <v>45098</v>
      </c>
    </row>
    <row r="1134" spans="1:24">
      <c r="A1134">
        <f>HYPERLINK("https://www.philgeps.gov.ph/GEPSNONPILOT/Tender/SplashBidNoticeAbstractUI.aspx?menuIndex=3&amp;refID=7045457&amp;Result=3","7045457")</f>
        <v>0</v>
      </c>
      <c r="B1134" t="s">
        <v>492</v>
      </c>
      <c r="C1134" t="s">
        <v>4276</v>
      </c>
      <c r="D1134" t="s">
        <v>18027</v>
      </c>
      <c r="E1134" t="s">
        <v>19172</v>
      </c>
      <c r="F1134" t="s">
        <v>31574</v>
      </c>
      <c r="G1134" t="s">
        <v>31581</v>
      </c>
      <c r="H1134" t="s">
        <v>31590</v>
      </c>
      <c r="I1134" t="s">
        <v>31595</v>
      </c>
      <c r="J1134" t="s">
        <v>32589</v>
      </c>
      <c r="K1134" t="s">
        <v>41184</v>
      </c>
      <c r="M1134" t="s">
        <v>41988</v>
      </c>
      <c r="N1134" t="s">
        <v>45095</v>
      </c>
      <c r="O1134" t="s">
        <v>45096</v>
      </c>
      <c r="P1134">
        <v>0</v>
      </c>
      <c r="Q1134">
        <v>0</v>
      </c>
      <c r="R1134" t="s">
        <v>45097</v>
      </c>
      <c r="S1134" t="s">
        <v>45222</v>
      </c>
      <c r="T1134" t="s">
        <v>46946</v>
      </c>
      <c r="U1134" t="s">
        <v>48463</v>
      </c>
      <c r="W1134" t="s">
        <v>41988</v>
      </c>
      <c r="X1134" t="s">
        <v>45098</v>
      </c>
    </row>
    <row r="1135" spans="1:24">
      <c r="A1135">
        <f>HYPERLINK("https://www.philgeps.gov.ph/GEPSNONPILOT/Tender/SplashBidNoticeAbstractUI.aspx?menuIndex=3&amp;refID=7045451&amp;Result=3","7045451")</f>
        <v>0</v>
      </c>
      <c r="B1135" t="s">
        <v>493</v>
      </c>
      <c r="C1135" t="s">
        <v>4277</v>
      </c>
      <c r="D1135" t="s">
        <v>18072</v>
      </c>
      <c r="E1135" t="s">
        <v>19173</v>
      </c>
      <c r="F1135" t="s">
        <v>31574</v>
      </c>
      <c r="G1135" t="s">
        <v>31582</v>
      </c>
      <c r="H1135" t="s">
        <v>31590</v>
      </c>
      <c r="I1135" t="s">
        <v>31608</v>
      </c>
      <c r="J1135" t="s">
        <v>32590</v>
      </c>
      <c r="K1135" t="s">
        <v>41186</v>
      </c>
      <c r="M1135" t="s">
        <v>41989</v>
      </c>
      <c r="N1135" t="s">
        <v>45095</v>
      </c>
      <c r="O1135" t="s">
        <v>45096</v>
      </c>
      <c r="P1135">
        <v>0</v>
      </c>
      <c r="Q1135">
        <v>0</v>
      </c>
      <c r="R1135" t="s">
        <v>45097</v>
      </c>
      <c r="S1135" t="s">
        <v>45222</v>
      </c>
      <c r="T1135" t="s">
        <v>47055</v>
      </c>
      <c r="U1135" t="s">
        <v>48464</v>
      </c>
      <c r="V1135" t="s">
        <v>59953</v>
      </c>
      <c r="W1135" t="s">
        <v>41989</v>
      </c>
      <c r="X1135" t="s">
        <v>45098</v>
      </c>
    </row>
    <row r="1136" spans="1:24">
      <c r="A1136">
        <f>HYPERLINK("https://www.philgeps.gov.ph/GEPSNONPILOT/Tender/SplashBidNoticeAbstractUI.aspx?menuIndex=3&amp;refID=7045454&amp;Result=3","7045454")</f>
        <v>0</v>
      </c>
      <c r="B1136" t="s">
        <v>480</v>
      </c>
      <c r="C1136" t="s">
        <v>4278</v>
      </c>
      <c r="D1136" t="s">
        <v>18065</v>
      </c>
      <c r="E1136" t="s">
        <v>19174</v>
      </c>
      <c r="F1136" t="s">
        <v>31574</v>
      </c>
      <c r="G1136" t="s">
        <v>31582</v>
      </c>
      <c r="H1136" t="s">
        <v>31590</v>
      </c>
      <c r="I1136" t="s">
        <v>3487</v>
      </c>
      <c r="J1136" t="s">
        <v>32114</v>
      </c>
      <c r="K1136" t="s">
        <v>41190</v>
      </c>
      <c r="M1136" t="s">
        <v>41976</v>
      </c>
      <c r="N1136" t="s">
        <v>45095</v>
      </c>
      <c r="O1136" t="s">
        <v>45096</v>
      </c>
      <c r="P1136">
        <v>0</v>
      </c>
      <c r="Q1136">
        <v>0</v>
      </c>
      <c r="R1136" t="s">
        <v>45097</v>
      </c>
      <c r="S1136" t="s">
        <v>45222</v>
      </c>
      <c r="T1136" t="s">
        <v>46935</v>
      </c>
      <c r="U1136" t="s">
        <v>48465</v>
      </c>
      <c r="V1136" t="s">
        <v>59954</v>
      </c>
      <c r="W1136" t="s">
        <v>41976</v>
      </c>
      <c r="X1136" t="s">
        <v>45098</v>
      </c>
    </row>
    <row r="1137" spans="1:24">
      <c r="A1137">
        <f>HYPERLINK("https://www.philgeps.gov.ph/GEPSNONPILOT/Tender/SplashBidNoticeAbstractUI.aspx?menuIndex=3&amp;refID=7045450&amp;Result=3","7045450")</f>
        <v>0</v>
      </c>
      <c r="B1137" t="s">
        <v>409</v>
      </c>
      <c r="C1137" t="s">
        <v>4279</v>
      </c>
      <c r="E1137" t="s">
        <v>19175</v>
      </c>
      <c r="F1137" t="s">
        <v>31574</v>
      </c>
      <c r="G1137" t="s">
        <v>31581</v>
      </c>
      <c r="H1137" t="s">
        <v>31590</v>
      </c>
      <c r="I1137" t="s">
        <v>4046</v>
      </c>
      <c r="J1137" t="s">
        <v>32591</v>
      </c>
      <c r="K1137" t="s">
        <v>41196</v>
      </c>
      <c r="M1137" t="s">
        <v>41900</v>
      </c>
      <c r="N1137" t="s">
        <v>45095</v>
      </c>
      <c r="O1137" t="s">
        <v>45096</v>
      </c>
      <c r="P1137">
        <v>0</v>
      </c>
      <c r="Q1137">
        <v>0</v>
      </c>
      <c r="R1137" t="s">
        <v>45097</v>
      </c>
      <c r="S1137" t="s">
        <v>45222</v>
      </c>
      <c r="T1137" t="s">
        <v>46911</v>
      </c>
      <c r="U1137" t="s">
        <v>48466</v>
      </c>
      <c r="W1137" t="s">
        <v>41900</v>
      </c>
      <c r="X1137" t="s">
        <v>45098</v>
      </c>
    </row>
    <row r="1138" spans="1:24">
      <c r="A1138">
        <f>HYPERLINK("https://www.philgeps.gov.ph/GEPSNONPILOT/Tender/SplashBidNoticeAbstractUI.aspx?menuIndex=3&amp;refID=7045459&amp;Result=3","7045459")</f>
        <v>0</v>
      </c>
      <c r="B1138" t="s">
        <v>50</v>
      </c>
      <c r="C1138" t="s">
        <v>4280</v>
      </c>
      <c r="D1138" t="s">
        <v>18042</v>
      </c>
      <c r="E1138" t="s">
        <v>19176</v>
      </c>
      <c r="F1138" t="s">
        <v>31574</v>
      </c>
      <c r="G1138" t="s">
        <v>31582</v>
      </c>
      <c r="H1138" t="s">
        <v>31590</v>
      </c>
      <c r="I1138" t="s">
        <v>31608</v>
      </c>
      <c r="J1138" t="s">
        <v>32592</v>
      </c>
      <c r="K1138" t="s">
        <v>41186</v>
      </c>
      <c r="M1138" t="s">
        <v>41533</v>
      </c>
      <c r="N1138" t="s">
        <v>45095</v>
      </c>
      <c r="O1138" t="s">
        <v>45096</v>
      </c>
      <c r="P1138">
        <v>0</v>
      </c>
      <c r="Q1138">
        <v>0</v>
      </c>
      <c r="R1138" t="s">
        <v>45097</v>
      </c>
      <c r="S1138" t="s">
        <v>45222</v>
      </c>
      <c r="T1138" t="s">
        <v>46916</v>
      </c>
      <c r="U1138" t="s">
        <v>48467</v>
      </c>
      <c r="W1138" t="s">
        <v>41533</v>
      </c>
      <c r="X1138" t="s">
        <v>45098</v>
      </c>
    </row>
    <row r="1139" spans="1:24">
      <c r="A1139">
        <f>HYPERLINK("https://www.philgeps.gov.ph/GEPSNONPILOT/Tender/SplashBidNoticeAbstractUI.aspx?menuIndex=3&amp;refID=7045445&amp;Result=3","7045445")</f>
        <v>0</v>
      </c>
      <c r="B1139" t="s">
        <v>477</v>
      </c>
      <c r="C1139" t="s">
        <v>4281</v>
      </c>
      <c r="D1139" t="s">
        <v>18062</v>
      </c>
      <c r="E1139" t="s">
        <v>19177</v>
      </c>
      <c r="F1139" t="s">
        <v>31574</v>
      </c>
      <c r="G1139" t="s">
        <v>31581</v>
      </c>
      <c r="H1139" t="s">
        <v>31590</v>
      </c>
      <c r="I1139" t="s">
        <v>31595</v>
      </c>
      <c r="J1139" t="s">
        <v>32049</v>
      </c>
      <c r="K1139" t="s">
        <v>41186</v>
      </c>
      <c r="M1139" t="s">
        <v>41973</v>
      </c>
      <c r="N1139" t="s">
        <v>45095</v>
      </c>
      <c r="O1139" t="s">
        <v>45096</v>
      </c>
      <c r="P1139">
        <v>0</v>
      </c>
      <c r="Q1139">
        <v>0</v>
      </c>
      <c r="R1139" t="s">
        <v>45097</v>
      </c>
      <c r="S1139" t="s">
        <v>45222</v>
      </c>
      <c r="T1139" t="s">
        <v>46992</v>
      </c>
      <c r="U1139" t="s">
        <v>48468</v>
      </c>
      <c r="W1139" t="s">
        <v>41973</v>
      </c>
      <c r="X1139" t="s">
        <v>45098</v>
      </c>
    </row>
    <row r="1140" spans="1:24">
      <c r="A1140">
        <f>HYPERLINK("https://www.philgeps.gov.ph/GEPSNONPILOT/Tender/SplashBidNoticeAbstractUI.aspx?menuIndex=3&amp;refID=7045473&amp;Result=3","7045473")</f>
        <v>0</v>
      </c>
      <c r="B1140" t="s">
        <v>379</v>
      </c>
      <c r="C1140" t="s">
        <v>4282</v>
      </c>
      <c r="D1140" t="s">
        <v>18025</v>
      </c>
      <c r="E1140" t="s">
        <v>19178</v>
      </c>
      <c r="F1140" t="s">
        <v>31574</v>
      </c>
      <c r="G1140" t="s">
        <v>31583</v>
      </c>
      <c r="H1140" t="s">
        <v>31590</v>
      </c>
      <c r="I1140" t="s">
        <v>31608</v>
      </c>
      <c r="J1140" t="s">
        <v>31782</v>
      </c>
      <c r="K1140" t="s">
        <v>41184</v>
      </c>
      <c r="M1140" t="s">
        <v>41869</v>
      </c>
      <c r="N1140" t="s">
        <v>45095</v>
      </c>
      <c r="O1140" t="s">
        <v>45096</v>
      </c>
      <c r="P1140">
        <v>0</v>
      </c>
      <c r="Q1140">
        <v>0</v>
      </c>
      <c r="R1140" t="s">
        <v>45097</v>
      </c>
      <c r="S1140" t="s">
        <v>45222</v>
      </c>
      <c r="T1140" t="s">
        <v>46980</v>
      </c>
      <c r="U1140" t="s">
        <v>48469</v>
      </c>
      <c r="W1140" t="s">
        <v>41869</v>
      </c>
      <c r="X1140" t="s">
        <v>45098</v>
      </c>
    </row>
    <row r="1141" spans="1:24">
      <c r="A1141">
        <f>HYPERLINK("https://www.philgeps.gov.ph/GEPSNONPILOT/Tender/SplashBidNoticeAbstractUI.aspx?menuIndex=3&amp;refID=7045460&amp;Result=3","7045460")</f>
        <v>0</v>
      </c>
      <c r="B1141" t="s">
        <v>116</v>
      </c>
      <c r="C1141" t="s">
        <v>4283</v>
      </c>
      <c r="D1141" t="s">
        <v>18068</v>
      </c>
      <c r="E1141" t="s">
        <v>19179</v>
      </c>
      <c r="F1141" t="s">
        <v>31574</v>
      </c>
      <c r="G1141" t="s">
        <v>31585</v>
      </c>
      <c r="H1141" t="s">
        <v>31590</v>
      </c>
      <c r="I1141" t="s">
        <v>31636</v>
      </c>
      <c r="J1141" t="s">
        <v>32120</v>
      </c>
      <c r="K1141" t="s">
        <v>41196</v>
      </c>
      <c r="M1141" t="s">
        <v>41600</v>
      </c>
      <c r="N1141" t="s">
        <v>45095</v>
      </c>
      <c r="O1141" t="s">
        <v>45096</v>
      </c>
      <c r="P1141">
        <v>0</v>
      </c>
      <c r="Q1141">
        <v>0</v>
      </c>
      <c r="R1141" t="s">
        <v>45097</v>
      </c>
      <c r="S1141" t="s">
        <v>45222</v>
      </c>
      <c r="T1141" t="s">
        <v>47056</v>
      </c>
      <c r="U1141" t="s">
        <v>48470</v>
      </c>
      <c r="V1141" t="s">
        <v>59955</v>
      </c>
      <c r="W1141" t="s">
        <v>41600</v>
      </c>
      <c r="X1141" t="s">
        <v>45098</v>
      </c>
    </row>
    <row r="1142" spans="1:24">
      <c r="A1142">
        <f>HYPERLINK("https://www.philgeps.gov.ph/GEPSNONPILOT/Tender/SplashBidNoticeAbstractUI.aspx?menuIndex=3&amp;refID=7045463&amp;Result=3","7045463")</f>
        <v>0</v>
      </c>
      <c r="B1142" t="s">
        <v>494</v>
      </c>
      <c r="C1142" t="s">
        <v>4284</v>
      </c>
      <c r="D1142" t="s">
        <v>18028</v>
      </c>
      <c r="E1142" t="s">
        <v>19180</v>
      </c>
      <c r="F1142" t="s">
        <v>31574</v>
      </c>
      <c r="G1142" t="s">
        <v>31582</v>
      </c>
      <c r="H1142" t="s">
        <v>31591</v>
      </c>
      <c r="I1142" t="s">
        <v>8822</v>
      </c>
      <c r="J1142" t="s">
        <v>32593</v>
      </c>
      <c r="K1142" t="s">
        <v>41189</v>
      </c>
      <c r="M1142" t="s">
        <v>41990</v>
      </c>
      <c r="N1142" t="s">
        <v>45095</v>
      </c>
      <c r="O1142" t="s">
        <v>45096</v>
      </c>
      <c r="P1142">
        <v>0</v>
      </c>
      <c r="Q1142">
        <v>0</v>
      </c>
      <c r="R1142" t="s">
        <v>45097</v>
      </c>
      <c r="S1142" t="s">
        <v>45222</v>
      </c>
      <c r="T1142" t="s">
        <v>46956</v>
      </c>
      <c r="U1142" t="s">
        <v>48471</v>
      </c>
      <c r="W1142" t="s">
        <v>41990</v>
      </c>
      <c r="X1142" t="s">
        <v>45098</v>
      </c>
    </row>
    <row r="1143" spans="1:24">
      <c r="A1143">
        <f>HYPERLINK("https://www.philgeps.gov.ph/GEPSNONPILOT/Tender/SplashBidNoticeAbstractUI.aspx?menuIndex=3&amp;refID=7045464&amp;Result=3","7045464")</f>
        <v>0</v>
      </c>
      <c r="B1143" t="s">
        <v>495</v>
      </c>
      <c r="C1143" t="s">
        <v>4285</v>
      </c>
      <c r="D1143" t="s">
        <v>18099</v>
      </c>
      <c r="E1143" t="s">
        <v>19181</v>
      </c>
      <c r="F1143" t="s">
        <v>31574</v>
      </c>
      <c r="G1143" t="s">
        <v>31581</v>
      </c>
      <c r="H1143" t="s">
        <v>31590</v>
      </c>
      <c r="I1143" t="s">
        <v>31598</v>
      </c>
      <c r="J1143" t="s">
        <v>31727</v>
      </c>
      <c r="K1143" t="s">
        <v>41190</v>
      </c>
      <c r="M1143" t="s">
        <v>41991</v>
      </c>
      <c r="N1143" t="s">
        <v>45095</v>
      </c>
      <c r="O1143" t="s">
        <v>45096</v>
      </c>
      <c r="P1143">
        <v>0</v>
      </c>
      <c r="Q1143">
        <v>0</v>
      </c>
      <c r="R1143" t="s">
        <v>45097</v>
      </c>
      <c r="S1143" t="s">
        <v>45222</v>
      </c>
      <c r="T1143" t="s">
        <v>47057</v>
      </c>
      <c r="U1143" t="s">
        <v>48472</v>
      </c>
      <c r="W1143" t="s">
        <v>41991</v>
      </c>
      <c r="X1143" t="s">
        <v>45098</v>
      </c>
    </row>
    <row r="1144" spans="1:24">
      <c r="A1144">
        <f>HYPERLINK("https://www.philgeps.gov.ph/GEPSNONPILOT/Tender/SplashBidNoticeAbstractUI.aspx?menuIndex=3&amp;refID=7045466&amp;Result=3","7045466")</f>
        <v>0</v>
      </c>
      <c r="B1144" t="s">
        <v>249</v>
      </c>
      <c r="C1144" t="s">
        <v>4286</v>
      </c>
      <c r="D1144" t="s">
        <v>18091</v>
      </c>
      <c r="E1144" t="s">
        <v>19182</v>
      </c>
      <c r="F1144" t="s">
        <v>31574</v>
      </c>
      <c r="G1144" t="s">
        <v>31581</v>
      </c>
      <c r="H1144" t="s">
        <v>31590</v>
      </c>
      <c r="I1144" t="s">
        <v>4046</v>
      </c>
      <c r="J1144" t="s">
        <v>32594</v>
      </c>
      <c r="K1144" t="s">
        <v>41193</v>
      </c>
      <c r="M1144" t="s">
        <v>41735</v>
      </c>
      <c r="N1144" t="s">
        <v>45095</v>
      </c>
      <c r="O1144" t="s">
        <v>45096</v>
      </c>
      <c r="P1144">
        <v>0</v>
      </c>
      <c r="Q1144">
        <v>0</v>
      </c>
      <c r="R1144" t="s">
        <v>45097</v>
      </c>
      <c r="S1144" t="s">
        <v>45222</v>
      </c>
      <c r="T1144" t="s">
        <v>46935</v>
      </c>
      <c r="U1144" t="s">
        <v>48473</v>
      </c>
      <c r="W1144" t="s">
        <v>41735</v>
      </c>
      <c r="X1144" t="s">
        <v>45098</v>
      </c>
    </row>
    <row r="1145" spans="1:24">
      <c r="A1145">
        <f>HYPERLINK("https://www.philgeps.gov.ph/GEPSNONPILOT/Tender/SplashBidNoticeAbstractUI.aspx?menuIndex=3&amp;refID=7045443&amp;Result=3","7045443")</f>
        <v>0</v>
      </c>
      <c r="B1145" t="s">
        <v>495</v>
      </c>
      <c r="C1145" t="s">
        <v>4287</v>
      </c>
      <c r="D1145" t="s">
        <v>18099</v>
      </c>
      <c r="E1145" t="s">
        <v>19183</v>
      </c>
      <c r="F1145" t="s">
        <v>31574</v>
      </c>
      <c r="G1145" t="s">
        <v>31581</v>
      </c>
      <c r="H1145" t="s">
        <v>31590</v>
      </c>
      <c r="I1145" t="s">
        <v>31598</v>
      </c>
      <c r="J1145" t="s">
        <v>32595</v>
      </c>
      <c r="K1145" t="s">
        <v>41190</v>
      </c>
      <c r="M1145" t="s">
        <v>41991</v>
      </c>
      <c r="N1145" t="s">
        <v>45095</v>
      </c>
      <c r="O1145" t="s">
        <v>45096</v>
      </c>
      <c r="P1145">
        <v>0</v>
      </c>
      <c r="Q1145">
        <v>0</v>
      </c>
      <c r="R1145" t="s">
        <v>45097</v>
      </c>
      <c r="S1145" t="s">
        <v>45222</v>
      </c>
      <c r="T1145" t="s">
        <v>47057</v>
      </c>
      <c r="U1145" t="s">
        <v>48472</v>
      </c>
      <c r="W1145" t="s">
        <v>41991</v>
      </c>
      <c r="X1145" t="s">
        <v>45098</v>
      </c>
    </row>
    <row r="1146" spans="1:24">
      <c r="A1146">
        <f>HYPERLINK("https://www.philgeps.gov.ph/GEPSNONPILOT/Tender/SplashBidNoticeAbstractUI.aspx?menuIndex=3&amp;refID=7045461&amp;Result=3","7045461")</f>
        <v>0</v>
      </c>
      <c r="B1146" t="s">
        <v>470</v>
      </c>
      <c r="C1146" t="s">
        <v>4288</v>
      </c>
      <c r="D1146" t="s">
        <v>18022</v>
      </c>
      <c r="E1146" t="s">
        <v>19184</v>
      </c>
      <c r="F1146" t="s">
        <v>31574</v>
      </c>
      <c r="G1146" t="s">
        <v>31584</v>
      </c>
      <c r="H1146" t="s">
        <v>31590</v>
      </c>
      <c r="I1146" t="s">
        <v>31600</v>
      </c>
      <c r="J1146" t="s">
        <v>32596</v>
      </c>
      <c r="K1146" t="s">
        <v>41193</v>
      </c>
      <c r="M1146" t="s">
        <v>41964</v>
      </c>
      <c r="N1146" t="s">
        <v>45095</v>
      </c>
      <c r="O1146" t="s">
        <v>45096</v>
      </c>
      <c r="P1146">
        <v>0</v>
      </c>
      <c r="Q1146">
        <v>0</v>
      </c>
      <c r="R1146" t="s">
        <v>45097</v>
      </c>
      <c r="S1146" t="s">
        <v>45222</v>
      </c>
      <c r="T1146" t="s">
        <v>46910</v>
      </c>
      <c r="U1146" t="s">
        <v>48474</v>
      </c>
      <c r="W1146" t="s">
        <v>61668</v>
      </c>
      <c r="X1146" t="s">
        <v>45098</v>
      </c>
    </row>
    <row r="1147" spans="1:24">
      <c r="A1147">
        <f>HYPERLINK("https://www.philgeps.gov.ph/GEPSNONPILOT/Tender/SplashBidNoticeAbstractUI.aspx?menuIndex=3&amp;refID=7045474&amp;Result=3","7045474")</f>
        <v>0</v>
      </c>
      <c r="B1147" t="s">
        <v>496</v>
      </c>
      <c r="C1147" t="s">
        <v>4289</v>
      </c>
      <c r="D1147" t="s">
        <v>18022</v>
      </c>
      <c r="E1147" t="s">
        <v>19185</v>
      </c>
      <c r="F1147" t="s">
        <v>31574</v>
      </c>
      <c r="G1147" t="s">
        <v>31583</v>
      </c>
      <c r="H1147" t="s">
        <v>31590</v>
      </c>
      <c r="I1147" t="s">
        <v>4046</v>
      </c>
      <c r="J1147" t="s">
        <v>32041</v>
      </c>
      <c r="K1147" t="s">
        <v>41212</v>
      </c>
      <c r="M1147" t="s">
        <v>41992</v>
      </c>
      <c r="N1147" t="s">
        <v>45095</v>
      </c>
      <c r="O1147" t="s">
        <v>45096</v>
      </c>
      <c r="P1147">
        <v>0</v>
      </c>
      <c r="Q1147">
        <v>0</v>
      </c>
      <c r="R1147" t="s">
        <v>45097</v>
      </c>
      <c r="S1147" t="s">
        <v>45222</v>
      </c>
      <c r="T1147" t="s">
        <v>47058</v>
      </c>
      <c r="U1147" t="s">
        <v>48475</v>
      </c>
      <c r="W1147" t="s">
        <v>61671</v>
      </c>
      <c r="X1147" t="s">
        <v>45098</v>
      </c>
    </row>
    <row r="1148" spans="1:24">
      <c r="A1148">
        <f>HYPERLINK("https://www.philgeps.gov.ph/GEPSNONPILOT/Tender/SplashBidNoticeAbstractUI.aspx?menuIndex=3&amp;refID=7045476&amp;Result=3","7045476")</f>
        <v>0</v>
      </c>
      <c r="B1148" t="s">
        <v>497</v>
      </c>
      <c r="C1148" t="s">
        <v>4290</v>
      </c>
      <c r="D1148" t="s">
        <v>18046</v>
      </c>
      <c r="E1148" t="s">
        <v>19186</v>
      </c>
      <c r="F1148" t="s">
        <v>31574</v>
      </c>
      <c r="G1148" t="s">
        <v>31584</v>
      </c>
      <c r="H1148" t="s">
        <v>31590</v>
      </c>
      <c r="I1148" t="s">
        <v>31655</v>
      </c>
      <c r="J1148" t="s">
        <v>32553</v>
      </c>
      <c r="K1148" t="s">
        <v>41186</v>
      </c>
      <c r="M1148" t="s">
        <v>41993</v>
      </c>
      <c r="N1148" t="s">
        <v>45095</v>
      </c>
      <c r="O1148" t="s">
        <v>45096</v>
      </c>
      <c r="P1148">
        <v>0</v>
      </c>
      <c r="Q1148">
        <v>0</v>
      </c>
      <c r="R1148" t="s">
        <v>45097</v>
      </c>
      <c r="S1148" t="s">
        <v>45222</v>
      </c>
      <c r="T1148" t="s">
        <v>46913</v>
      </c>
      <c r="U1148" t="s">
        <v>48476</v>
      </c>
      <c r="W1148" t="s">
        <v>41993</v>
      </c>
      <c r="X1148" t="s">
        <v>45098</v>
      </c>
    </row>
    <row r="1149" spans="1:24">
      <c r="A1149">
        <f>HYPERLINK("https://www.philgeps.gov.ph/GEPSNONPILOT/Tender/SplashBidNoticeAbstractUI.aspx?menuIndex=3&amp;refID=7045472&amp;Result=3","7045472")</f>
        <v>0</v>
      </c>
      <c r="B1149" t="s">
        <v>498</v>
      </c>
      <c r="C1149" t="s">
        <v>4291</v>
      </c>
      <c r="D1149" t="s">
        <v>18022</v>
      </c>
      <c r="E1149" t="s">
        <v>19187</v>
      </c>
      <c r="F1149" t="s">
        <v>31574</v>
      </c>
      <c r="G1149" t="s">
        <v>31582</v>
      </c>
      <c r="H1149" t="s">
        <v>31590</v>
      </c>
      <c r="I1149" t="s">
        <v>4046</v>
      </c>
      <c r="J1149" t="s">
        <v>31727</v>
      </c>
      <c r="K1149" t="s">
        <v>41213</v>
      </c>
      <c r="M1149" t="s">
        <v>41994</v>
      </c>
      <c r="N1149" t="s">
        <v>45095</v>
      </c>
      <c r="O1149" t="s">
        <v>45096</v>
      </c>
      <c r="P1149">
        <v>0</v>
      </c>
      <c r="Q1149">
        <v>0</v>
      </c>
      <c r="R1149" t="s">
        <v>45097</v>
      </c>
      <c r="S1149" t="s">
        <v>45222</v>
      </c>
      <c r="T1149" t="s">
        <v>46926</v>
      </c>
      <c r="U1149" t="s">
        <v>48477</v>
      </c>
      <c r="W1149" t="s">
        <v>41994</v>
      </c>
      <c r="X1149" t="s">
        <v>45098</v>
      </c>
    </row>
    <row r="1150" spans="1:24">
      <c r="A1150">
        <f>HYPERLINK("https://www.philgeps.gov.ph/GEPSNONPILOT/Tender/SplashBidNoticeAbstractUI.aspx?menuIndex=3&amp;refID=7045479&amp;Result=3","7045479")</f>
        <v>0</v>
      </c>
      <c r="B1150" t="s">
        <v>495</v>
      </c>
      <c r="C1150" t="s">
        <v>4292</v>
      </c>
      <c r="D1150" t="s">
        <v>18099</v>
      </c>
      <c r="E1150" t="s">
        <v>19188</v>
      </c>
      <c r="F1150" t="s">
        <v>31574</v>
      </c>
      <c r="G1150" t="s">
        <v>31581</v>
      </c>
      <c r="H1150" t="s">
        <v>31590</v>
      </c>
      <c r="I1150" t="s">
        <v>14544</v>
      </c>
      <c r="J1150" t="s">
        <v>32597</v>
      </c>
      <c r="K1150" t="s">
        <v>41190</v>
      </c>
      <c r="M1150" t="s">
        <v>41991</v>
      </c>
      <c r="N1150" t="s">
        <v>45095</v>
      </c>
      <c r="O1150" t="s">
        <v>45096</v>
      </c>
      <c r="P1150">
        <v>0</v>
      </c>
      <c r="Q1150">
        <v>0</v>
      </c>
      <c r="R1150" t="s">
        <v>45097</v>
      </c>
      <c r="S1150" t="s">
        <v>45222</v>
      </c>
      <c r="T1150" t="s">
        <v>47057</v>
      </c>
      <c r="U1150" t="s">
        <v>48472</v>
      </c>
      <c r="W1150" t="s">
        <v>41991</v>
      </c>
      <c r="X1150" t="s">
        <v>45098</v>
      </c>
    </row>
    <row r="1151" spans="1:24">
      <c r="A1151">
        <f>HYPERLINK("https://www.philgeps.gov.ph/GEPSNONPILOT/Tender/SplashBidNoticeAbstractUI.aspx?menuIndex=3&amp;refID=7045492&amp;Result=3","7045492")</f>
        <v>0</v>
      </c>
      <c r="B1151" t="s">
        <v>499</v>
      </c>
      <c r="C1151" t="s">
        <v>4293</v>
      </c>
      <c r="D1151" t="s">
        <v>18050</v>
      </c>
      <c r="E1151" t="s">
        <v>18250</v>
      </c>
      <c r="F1151" t="s">
        <v>31574</v>
      </c>
      <c r="G1151" t="s">
        <v>31581</v>
      </c>
      <c r="H1151" t="s">
        <v>31590</v>
      </c>
      <c r="I1151" t="s">
        <v>5717</v>
      </c>
      <c r="J1151" t="s">
        <v>32598</v>
      </c>
      <c r="K1151" t="s">
        <v>41190</v>
      </c>
      <c r="M1151" t="s">
        <v>41995</v>
      </c>
      <c r="N1151" t="s">
        <v>45095</v>
      </c>
      <c r="O1151" t="s">
        <v>45096</v>
      </c>
      <c r="P1151">
        <v>0</v>
      </c>
      <c r="Q1151">
        <v>0</v>
      </c>
      <c r="R1151" t="s">
        <v>45097</v>
      </c>
      <c r="S1151" t="s">
        <v>45222</v>
      </c>
      <c r="T1151" t="s">
        <v>46911</v>
      </c>
      <c r="U1151" t="s">
        <v>48478</v>
      </c>
      <c r="W1151" t="s">
        <v>41995</v>
      </c>
      <c r="X1151" t="s">
        <v>45098</v>
      </c>
    </row>
    <row r="1152" spans="1:24">
      <c r="A1152">
        <f>HYPERLINK("https://www.philgeps.gov.ph/GEPSNONPILOT/Tender/SplashBidNoticeAbstractUI.aspx?menuIndex=3&amp;refID=7045489&amp;Result=3","7045489")</f>
        <v>0</v>
      </c>
      <c r="B1152" t="s">
        <v>492</v>
      </c>
      <c r="C1152" t="s">
        <v>4294</v>
      </c>
      <c r="D1152" t="s">
        <v>18027</v>
      </c>
      <c r="E1152" t="s">
        <v>19189</v>
      </c>
      <c r="F1152" t="s">
        <v>31574</v>
      </c>
      <c r="G1152" t="s">
        <v>31581</v>
      </c>
      <c r="H1152" t="s">
        <v>31590</v>
      </c>
      <c r="I1152" t="s">
        <v>31603</v>
      </c>
      <c r="J1152" t="s">
        <v>32207</v>
      </c>
      <c r="K1152" t="s">
        <v>41184</v>
      </c>
      <c r="M1152" t="s">
        <v>41988</v>
      </c>
      <c r="N1152" t="s">
        <v>45095</v>
      </c>
      <c r="O1152" t="s">
        <v>45096</v>
      </c>
      <c r="P1152">
        <v>0</v>
      </c>
      <c r="Q1152">
        <v>0</v>
      </c>
      <c r="R1152" t="s">
        <v>45097</v>
      </c>
      <c r="S1152" t="s">
        <v>45222</v>
      </c>
      <c r="T1152" t="s">
        <v>46946</v>
      </c>
      <c r="U1152" t="s">
        <v>48479</v>
      </c>
      <c r="W1152" t="s">
        <v>41988</v>
      </c>
      <c r="X1152" t="s">
        <v>45098</v>
      </c>
    </row>
    <row r="1153" spans="1:24">
      <c r="A1153">
        <f>HYPERLINK("https://www.philgeps.gov.ph/GEPSNONPILOT/Tender/SplashBidNoticeAbstractUI.aspx?menuIndex=3&amp;refID=7045478&amp;Result=3","7045478")</f>
        <v>0</v>
      </c>
      <c r="B1153" t="s">
        <v>467</v>
      </c>
      <c r="C1153" t="s">
        <v>4295</v>
      </c>
      <c r="D1153" t="s">
        <v>18065</v>
      </c>
      <c r="E1153" t="s">
        <v>19190</v>
      </c>
      <c r="F1153" t="s">
        <v>31574</v>
      </c>
      <c r="G1153" t="s">
        <v>31583</v>
      </c>
      <c r="H1153" t="s">
        <v>31590</v>
      </c>
      <c r="I1153" t="s">
        <v>8258</v>
      </c>
      <c r="J1153" t="s">
        <v>32599</v>
      </c>
      <c r="K1153" t="s">
        <v>41213</v>
      </c>
      <c r="M1153" t="s">
        <v>41961</v>
      </c>
      <c r="N1153" t="s">
        <v>45095</v>
      </c>
      <c r="O1153" t="s">
        <v>45096</v>
      </c>
      <c r="P1153">
        <v>0</v>
      </c>
      <c r="Q1153">
        <v>0</v>
      </c>
      <c r="R1153" t="s">
        <v>45097</v>
      </c>
      <c r="S1153" t="s">
        <v>45222</v>
      </c>
      <c r="T1153" t="s">
        <v>47046</v>
      </c>
      <c r="U1153" t="s">
        <v>48480</v>
      </c>
      <c r="V1153" t="s">
        <v>59949</v>
      </c>
      <c r="W1153" t="s">
        <v>41961</v>
      </c>
      <c r="X1153" t="s">
        <v>45098</v>
      </c>
    </row>
    <row r="1154" spans="1:24">
      <c r="A1154">
        <f>HYPERLINK("https://www.philgeps.gov.ph/GEPSNONPILOT/Tender/SplashBidNoticeAbstractUI.aspx?menuIndex=3&amp;refID=7045485&amp;Result=3","7045485")</f>
        <v>0</v>
      </c>
      <c r="B1154" t="s">
        <v>500</v>
      </c>
      <c r="C1154" t="s">
        <v>4296</v>
      </c>
      <c r="D1154" t="s">
        <v>18100</v>
      </c>
      <c r="E1154" t="s">
        <v>19191</v>
      </c>
      <c r="F1154" t="s">
        <v>31574</v>
      </c>
      <c r="G1154" t="s">
        <v>31582</v>
      </c>
      <c r="H1154" t="s">
        <v>31591</v>
      </c>
      <c r="I1154" t="s">
        <v>8822</v>
      </c>
      <c r="J1154" t="s">
        <v>32600</v>
      </c>
      <c r="K1154" t="s">
        <v>41243</v>
      </c>
      <c r="M1154" t="s">
        <v>41996</v>
      </c>
      <c r="N1154" t="s">
        <v>45095</v>
      </c>
      <c r="O1154" t="s">
        <v>45096</v>
      </c>
      <c r="P1154">
        <v>0</v>
      </c>
      <c r="Q1154">
        <v>0</v>
      </c>
      <c r="R1154" t="s">
        <v>45097</v>
      </c>
      <c r="S1154" t="s">
        <v>45222</v>
      </c>
      <c r="T1154" t="s">
        <v>46954</v>
      </c>
      <c r="U1154" t="s">
        <v>48481</v>
      </c>
      <c r="W1154" t="s">
        <v>41996</v>
      </c>
      <c r="X1154" t="s">
        <v>45098</v>
      </c>
    </row>
    <row r="1155" spans="1:24">
      <c r="A1155">
        <f>HYPERLINK("https://www.philgeps.gov.ph/GEPSNONPILOT/Tender/SplashBidNoticeAbstractUI.aspx?menuIndex=3&amp;refID=7045475&amp;Result=3","7045475")</f>
        <v>0</v>
      </c>
      <c r="B1155" t="s">
        <v>501</v>
      </c>
      <c r="C1155" t="s">
        <v>4297</v>
      </c>
      <c r="D1155" t="s">
        <v>18073</v>
      </c>
      <c r="E1155" t="s">
        <v>19192</v>
      </c>
      <c r="F1155" t="s">
        <v>31574</v>
      </c>
      <c r="G1155" t="s">
        <v>31581</v>
      </c>
      <c r="H1155" t="s">
        <v>31590</v>
      </c>
      <c r="I1155" t="s">
        <v>31648</v>
      </c>
      <c r="J1155" t="s">
        <v>32601</v>
      </c>
      <c r="K1155" t="s">
        <v>41193</v>
      </c>
      <c r="M1155" t="s">
        <v>41997</v>
      </c>
      <c r="N1155" t="s">
        <v>45095</v>
      </c>
      <c r="O1155" t="s">
        <v>45096</v>
      </c>
      <c r="P1155">
        <v>0</v>
      </c>
      <c r="Q1155">
        <v>0</v>
      </c>
      <c r="R1155" t="s">
        <v>45097</v>
      </c>
      <c r="S1155" t="s">
        <v>45222</v>
      </c>
      <c r="T1155" t="s">
        <v>46913</v>
      </c>
      <c r="U1155" t="s">
        <v>48482</v>
      </c>
      <c r="W1155" t="s">
        <v>41997</v>
      </c>
      <c r="X1155" t="s">
        <v>45098</v>
      </c>
    </row>
    <row r="1156" spans="1:24">
      <c r="A1156">
        <f>HYPERLINK("https://www.philgeps.gov.ph/GEPSNONPILOT/Tender/SplashBidNoticeAbstractUI.aspx?menuIndex=3&amp;refID=7045488&amp;Result=3","7045488")</f>
        <v>0</v>
      </c>
      <c r="B1156" t="s">
        <v>471</v>
      </c>
      <c r="C1156" t="s">
        <v>4298</v>
      </c>
      <c r="D1156" t="s">
        <v>18052</v>
      </c>
      <c r="E1156" t="s">
        <v>19193</v>
      </c>
      <c r="F1156" t="s">
        <v>31574</v>
      </c>
      <c r="G1156" t="s">
        <v>31582</v>
      </c>
      <c r="H1156" t="s">
        <v>31591</v>
      </c>
      <c r="I1156" t="s">
        <v>4046</v>
      </c>
      <c r="J1156" t="s">
        <v>32019</v>
      </c>
      <c r="K1156" t="s">
        <v>41185</v>
      </c>
      <c r="M1156" t="s">
        <v>41966</v>
      </c>
      <c r="N1156" t="s">
        <v>45095</v>
      </c>
      <c r="O1156" t="s">
        <v>45096</v>
      </c>
      <c r="P1156">
        <v>0</v>
      </c>
      <c r="Q1156">
        <v>0</v>
      </c>
      <c r="R1156" t="s">
        <v>45097</v>
      </c>
      <c r="S1156" t="s">
        <v>45222</v>
      </c>
      <c r="T1156" t="s">
        <v>47047</v>
      </c>
      <c r="U1156" t="s">
        <v>48419</v>
      </c>
      <c r="W1156" t="s">
        <v>41966</v>
      </c>
      <c r="X1156" t="s">
        <v>45098</v>
      </c>
    </row>
    <row r="1157" spans="1:24">
      <c r="A1157">
        <f>HYPERLINK("https://www.philgeps.gov.ph/GEPSNONPILOT/Tender/SplashBidNoticeAbstractUI.aspx?menuIndex=3&amp;refID=7045480&amp;Result=3","7045480")</f>
        <v>0</v>
      </c>
      <c r="B1157" t="s">
        <v>201</v>
      </c>
      <c r="C1157" t="s">
        <v>4299</v>
      </c>
      <c r="D1157" t="s">
        <v>18045</v>
      </c>
      <c r="E1157" t="s">
        <v>19194</v>
      </c>
      <c r="F1157" t="s">
        <v>31574</v>
      </c>
      <c r="G1157" t="s">
        <v>31583</v>
      </c>
      <c r="H1157" t="s">
        <v>31590</v>
      </c>
      <c r="I1157" t="s">
        <v>5717</v>
      </c>
      <c r="J1157" t="s">
        <v>32315</v>
      </c>
      <c r="K1157" t="s">
        <v>41184</v>
      </c>
      <c r="M1157" t="s">
        <v>41970</v>
      </c>
      <c r="N1157" t="s">
        <v>45095</v>
      </c>
      <c r="O1157" t="s">
        <v>45096</v>
      </c>
      <c r="P1157">
        <v>0</v>
      </c>
      <c r="Q1157">
        <v>0</v>
      </c>
      <c r="R1157" t="s">
        <v>45097</v>
      </c>
      <c r="S1157" t="s">
        <v>45222</v>
      </c>
      <c r="T1157" t="s">
        <v>46989</v>
      </c>
      <c r="U1157" t="s">
        <v>48429</v>
      </c>
      <c r="W1157" t="s">
        <v>41970</v>
      </c>
      <c r="X1157" t="s">
        <v>45098</v>
      </c>
    </row>
    <row r="1158" spans="1:24">
      <c r="A1158">
        <f>HYPERLINK("https://www.philgeps.gov.ph/GEPSNONPILOT/Tender/SplashBidNoticeAbstractUI.aspx?menuIndex=3&amp;refID=7045482&amp;Result=3","7045482")</f>
        <v>0</v>
      </c>
      <c r="B1158" t="s">
        <v>50</v>
      </c>
      <c r="C1158" t="s">
        <v>4300</v>
      </c>
      <c r="D1158" t="s">
        <v>18042</v>
      </c>
      <c r="E1158" t="s">
        <v>19195</v>
      </c>
      <c r="F1158" t="s">
        <v>31574</v>
      </c>
      <c r="G1158" t="s">
        <v>31582</v>
      </c>
      <c r="H1158" t="s">
        <v>31590</v>
      </c>
      <c r="I1158" t="s">
        <v>3539</v>
      </c>
      <c r="J1158" t="s">
        <v>32602</v>
      </c>
      <c r="K1158" t="s">
        <v>41186</v>
      </c>
      <c r="M1158" t="s">
        <v>41533</v>
      </c>
      <c r="N1158" t="s">
        <v>45095</v>
      </c>
      <c r="O1158" t="s">
        <v>45096</v>
      </c>
      <c r="P1158">
        <v>0</v>
      </c>
      <c r="Q1158">
        <v>0</v>
      </c>
      <c r="R1158" t="s">
        <v>45097</v>
      </c>
      <c r="S1158" t="s">
        <v>45222</v>
      </c>
      <c r="T1158" t="s">
        <v>46916</v>
      </c>
      <c r="U1158" t="s">
        <v>48483</v>
      </c>
      <c r="W1158" t="s">
        <v>41533</v>
      </c>
      <c r="X1158" t="s">
        <v>45098</v>
      </c>
    </row>
    <row r="1159" spans="1:24">
      <c r="A1159">
        <f>HYPERLINK("https://www.philgeps.gov.ph/GEPSNONPILOT/Tender/SplashBidNoticeAbstractUI.aspx?menuIndex=3&amp;refID=7045493&amp;Result=3","7045493")</f>
        <v>0</v>
      </c>
      <c r="B1159" t="s">
        <v>273</v>
      </c>
      <c r="C1159" t="s">
        <v>4301</v>
      </c>
      <c r="D1159" t="s">
        <v>18046</v>
      </c>
      <c r="E1159" t="s">
        <v>19196</v>
      </c>
      <c r="F1159" t="s">
        <v>31574</v>
      </c>
      <c r="G1159" t="s">
        <v>31582</v>
      </c>
      <c r="H1159" t="s">
        <v>31590</v>
      </c>
      <c r="I1159" t="s">
        <v>4046</v>
      </c>
      <c r="J1159" t="s">
        <v>32550</v>
      </c>
      <c r="K1159" t="s">
        <v>41190</v>
      </c>
      <c r="M1159" t="s">
        <v>41759</v>
      </c>
      <c r="N1159" t="s">
        <v>45095</v>
      </c>
      <c r="O1159" t="s">
        <v>45096</v>
      </c>
      <c r="P1159">
        <v>0</v>
      </c>
      <c r="Q1159">
        <v>0</v>
      </c>
      <c r="R1159" t="s">
        <v>45097</v>
      </c>
      <c r="S1159" t="s">
        <v>45222</v>
      </c>
      <c r="T1159" t="s">
        <v>47016</v>
      </c>
      <c r="U1159" t="s">
        <v>47993</v>
      </c>
      <c r="W1159" t="s">
        <v>41759</v>
      </c>
      <c r="X1159" t="s">
        <v>45098</v>
      </c>
    </row>
    <row r="1160" spans="1:24">
      <c r="A1160">
        <f>HYPERLINK("https://www.philgeps.gov.ph/GEPSNONPILOT/Tender/SplashBidNoticeAbstractUI.aspx?menuIndex=3&amp;refID=7045442&amp;Result=3","7045442")</f>
        <v>0</v>
      </c>
      <c r="B1160" t="s">
        <v>201</v>
      </c>
      <c r="C1160" t="s">
        <v>4302</v>
      </c>
      <c r="D1160" t="s">
        <v>18045</v>
      </c>
      <c r="E1160" t="s">
        <v>19197</v>
      </c>
      <c r="F1160" t="s">
        <v>31574</v>
      </c>
      <c r="G1160" t="s">
        <v>31581</v>
      </c>
      <c r="H1160" t="s">
        <v>31590</v>
      </c>
      <c r="I1160" t="s">
        <v>8258</v>
      </c>
      <c r="J1160" t="s">
        <v>32603</v>
      </c>
      <c r="K1160" t="s">
        <v>41184</v>
      </c>
      <c r="M1160" t="s">
        <v>41970</v>
      </c>
      <c r="N1160" t="s">
        <v>45095</v>
      </c>
      <c r="O1160" t="s">
        <v>45096</v>
      </c>
      <c r="P1160">
        <v>0</v>
      </c>
      <c r="Q1160">
        <v>0</v>
      </c>
      <c r="R1160" t="s">
        <v>45097</v>
      </c>
      <c r="S1160" t="s">
        <v>45222</v>
      </c>
      <c r="T1160" t="s">
        <v>46989</v>
      </c>
      <c r="U1160" t="s">
        <v>48429</v>
      </c>
      <c r="W1160" t="s">
        <v>41970</v>
      </c>
      <c r="X1160" t="s">
        <v>45098</v>
      </c>
    </row>
    <row r="1161" spans="1:24">
      <c r="A1161">
        <f>HYPERLINK("https://www.philgeps.gov.ph/GEPSNONPILOT/Tender/SplashBidNoticeAbstractUI.aspx?menuIndex=3&amp;refID=7045487&amp;Result=3","7045487")</f>
        <v>0</v>
      </c>
      <c r="B1161" t="s">
        <v>489</v>
      </c>
      <c r="C1161" t="s">
        <v>4303</v>
      </c>
      <c r="D1161" t="s">
        <v>18070</v>
      </c>
      <c r="E1161" t="s">
        <v>19198</v>
      </c>
      <c r="F1161" t="s">
        <v>31574</v>
      </c>
      <c r="G1161" t="s">
        <v>31582</v>
      </c>
      <c r="H1161" t="s">
        <v>31591</v>
      </c>
      <c r="I1161" t="s">
        <v>8822</v>
      </c>
      <c r="J1161" t="s">
        <v>32604</v>
      </c>
      <c r="K1161" t="s">
        <v>41200</v>
      </c>
      <c r="M1161" t="s">
        <v>41985</v>
      </c>
      <c r="N1161" t="s">
        <v>45095</v>
      </c>
      <c r="O1161" t="s">
        <v>45096</v>
      </c>
      <c r="P1161">
        <v>0</v>
      </c>
      <c r="Q1161">
        <v>0</v>
      </c>
      <c r="R1161" t="s">
        <v>45097</v>
      </c>
      <c r="S1161" t="s">
        <v>45222</v>
      </c>
      <c r="T1161" t="s">
        <v>47016</v>
      </c>
      <c r="U1161" t="s">
        <v>48484</v>
      </c>
      <c r="W1161" t="s">
        <v>41985</v>
      </c>
      <c r="X1161" t="s">
        <v>45098</v>
      </c>
    </row>
    <row r="1162" spans="1:24">
      <c r="A1162">
        <f>HYPERLINK("https://www.philgeps.gov.ph/GEPSNONPILOT/Tender/SplashBidNoticeAbstractUI.aspx?menuIndex=3&amp;refID=7045507&amp;Result=3","7045507")</f>
        <v>0</v>
      </c>
      <c r="B1162" t="s">
        <v>502</v>
      </c>
      <c r="C1162" t="s">
        <v>4304</v>
      </c>
      <c r="D1162" t="s">
        <v>18022</v>
      </c>
      <c r="E1162" t="s">
        <v>19199</v>
      </c>
      <c r="F1162" t="s">
        <v>31574</v>
      </c>
      <c r="G1162" t="s">
        <v>31582</v>
      </c>
      <c r="H1162" t="s">
        <v>31590</v>
      </c>
      <c r="I1162" t="s">
        <v>3487</v>
      </c>
      <c r="J1162" t="s">
        <v>31821</v>
      </c>
      <c r="K1162" t="s">
        <v>41184</v>
      </c>
      <c r="M1162" t="s">
        <v>41998</v>
      </c>
      <c r="N1162" t="s">
        <v>45095</v>
      </c>
      <c r="O1162" t="s">
        <v>45096</v>
      </c>
      <c r="P1162">
        <v>0</v>
      </c>
      <c r="Q1162">
        <v>0</v>
      </c>
      <c r="R1162" t="s">
        <v>45097</v>
      </c>
      <c r="S1162" t="s">
        <v>45222</v>
      </c>
      <c r="T1162" t="s">
        <v>46920</v>
      </c>
      <c r="U1162" t="s">
        <v>48485</v>
      </c>
      <c r="W1162" t="s">
        <v>41998</v>
      </c>
      <c r="X1162" t="s">
        <v>45098</v>
      </c>
    </row>
    <row r="1163" spans="1:24">
      <c r="A1163">
        <f>HYPERLINK("https://www.philgeps.gov.ph/GEPSNONPILOT/Tender/SplashBidNoticeAbstractUI.aspx?menuIndex=3&amp;refID=7045486&amp;Result=3","7045486")</f>
        <v>0</v>
      </c>
      <c r="B1163" t="s">
        <v>191</v>
      </c>
      <c r="C1163" t="s">
        <v>4305</v>
      </c>
      <c r="D1163" t="s">
        <v>18082</v>
      </c>
      <c r="E1163" t="s">
        <v>19200</v>
      </c>
      <c r="F1163" t="s">
        <v>31574</v>
      </c>
      <c r="G1163" t="s">
        <v>31582</v>
      </c>
      <c r="H1163" t="s">
        <v>31591</v>
      </c>
      <c r="I1163" t="s">
        <v>8822</v>
      </c>
      <c r="J1163" t="s">
        <v>32026</v>
      </c>
      <c r="K1163" t="s">
        <v>41184</v>
      </c>
      <c r="M1163" t="s">
        <v>41676</v>
      </c>
      <c r="N1163" t="s">
        <v>45095</v>
      </c>
      <c r="O1163" t="s">
        <v>45096</v>
      </c>
      <c r="P1163">
        <v>0</v>
      </c>
      <c r="Q1163">
        <v>0</v>
      </c>
      <c r="R1163" t="s">
        <v>45097</v>
      </c>
      <c r="S1163" t="s">
        <v>45222</v>
      </c>
      <c r="T1163" t="s">
        <v>46924</v>
      </c>
      <c r="U1163" t="s">
        <v>47828</v>
      </c>
      <c r="W1163" t="s">
        <v>41676</v>
      </c>
      <c r="X1163" t="s">
        <v>45098</v>
      </c>
    </row>
    <row r="1164" spans="1:24">
      <c r="A1164">
        <f>HYPERLINK("https://www.philgeps.gov.ph/GEPSNONPILOT/Tender/SplashBidNoticeAbstractUI.aspx?menuIndex=3&amp;refID=7045505&amp;Result=3","7045505")</f>
        <v>0</v>
      </c>
      <c r="B1164" t="s">
        <v>401</v>
      </c>
      <c r="C1164" t="s">
        <v>4306</v>
      </c>
      <c r="D1164" t="s">
        <v>18052</v>
      </c>
      <c r="E1164" t="s">
        <v>19201</v>
      </c>
      <c r="F1164" t="s">
        <v>31574</v>
      </c>
      <c r="G1164" t="s">
        <v>31581</v>
      </c>
      <c r="H1164" t="s">
        <v>31590</v>
      </c>
      <c r="I1164" t="s">
        <v>8569</v>
      </c>
      <c r="J1164" t="s">
        <v>32605</v>
      </c>
      <c r="K1164" t="s">
        <v>41196</v>
      </c>
      <c r="M1164" t="s">
        <v>41892</v>
      </c>
      <c r="N1164" t="s">
        <v>45095</v>
      </c>
      <c r="O1164" t="s">
        <v>45096</v>
      </c>
      <c r="P1164">
        <v>0</v>
      </c>
      <c r="Q1164">
        <v>0</v>
      </c>
      <c r="R1164" t="s">
        <v>45097</v>
      </c>
      <c r="S1164" t="s">
        <v>45222</v>
      </c>
      <c r="T1164" t="s">
        <v>46926</v>
      </c>
      <c r="U1164" t="s">
        <v>48486</v>
      </c>
      <c r="W1164" t="s">
        <v>41892</v>
      </c>
      <c r="X1164" t="s">
        <v>45098</v>
      </c>
    </row>
    <row r="1165" spans="1:24">
      <c r="A1165">
        <f>HYPERLINK("https://www.philgeps.gov.ph/GEPSNONPILOT/Tender/SplashBidNoticeAbstractUI.aspx?menuIndex=3&amp;refID=7045498&amp;Result=3","7045498")</f>
        <v>0</v>
      </c>
      <c r="B1165" t="s">
        <v>503</v>
      </c>
      <c r="C1165" t="s">
        <v>4307</v>
      </c>
      <c r="D1165" t="s">
        <v>18101</v>
      </c>
      <c r="E1165" t="s">
        <v>18422</v>
      </c>
      <c r="F1165" t="s">
        <v>31574</v>
      </c>
      <c r="G1165" t="s">
        <v>31582</v>
      </c>
      <c r="H1165" t="s">
        <v>31591</v>
      </c>
      <c r="I1165" t="s">
        <v>4046</v>
      </c>
      <c r="J1165" t="s">
        <v>31935</v>
      </c>
      <c r="K1165" t="s">
        <v>41194</v>
      </c>
      <c r="M1165" t="s">
        <v>41999</v>
      </c>
      <c r="N1165" t="s">
        <v>45095</v>
      </c>
      <c r="O1165" t="s">
        <v>45096</v>
      </c>
      <c r="P1165">
        <v>0</v>
      </c>
      <c r="Q1165">
        <v>0</v>
      </c>
      <c r="R1165" t="s">
        <v>45097</v>
      </c>
      <c r="S1165" t="s">
        <v>45222</v>
      </c>
      <c r="T1165" t="s">
        <v>47059</v>
      </c>
      <c r="U1165" t="s">
        <v>48487</v>
      </c>
      <c r="W1165" t="s">
        <v>41999</v>
      </c>
      <c r="X1165" t="s">
        <v>45098</v>
      </c>
    </row>
    <row r="1166" spans="1:24">
      <c r="A1166">
        <f>HYPERLINK("https://www.philgeps.gov.ph/GEPSNONPILOT/Tender/SplashBidNoticeAbstractUI.aspx?menuIndex=3&amp;refID=7045495&amp;Result=3","7045495")</f>
        <v>0</v>
      </c>
      <c r="B1166" t="s">
        <v>504</v>
      </c>
      <c r="C1166" t="s">
        <v>4308</v>
      </c>
      <c r="D1166" t="s">
        <v>18070</v>
      </c>
      <c r="E1166" t="s">
        <v>19202</v>
      </c>
      <c r="F1166" t="s">
        <v>31574</v>
      </c>
      <c r="G1166" t="s">
        <v>31581</v>
      </c>
      <c r="H1166" t="s">
        <v>31590</v>
      </c>
      <c r="I1166" t="s">
        <v>31640</v>
      </c>
      <c r="J1166" t="s">
        <v>32149</v>
      </c>
      <c r="K1166" t="s">
        <v>41184</v>
      </c>
      <c r="M1166" t="s">
        <v>42000</v>
      </c>
      <c r="N1166" t="s">
        <v>45095</v>
      </c>
      <c r="O1166" t="s">
        <v>45096</v>
      </c>
      <c r="P1166">
        <v>0</v>
      </c>
      <c r="Q1166">
        <v>0</v>
      </c>
      <c r="R1166" t="s">
        <v>45097</v>
      </c>
      <c r="S1166" t="s">
        <v>45222</v>
      </c>
      <c r="T1166" t="s">
        <v>46955</v>
      </c>
      <c r="U1166" t="s">
        <v>48488</v>
      </c>
      <c r="W1166" t="s">
        <v>42000</v>
      </c>
      <c r="X1166" t="s">
        <v>45098</v>
      </c>
    </row>
    <row r="1167" spans="1:24">
      <c r="A1167">
        <f>HYPERLINK("https://www.philgeps.gov.ph/GEPSNONPILOT/Tender/SplashBidNoticeAbstractUI.aspx?menuIndex=3&amp;refID=7045497&amp;Result=3","7045497")</f>
        <v>0</v>
      </c>
      <c r="B1167" t="s">
        <v>505</v>
      </c>
      <c r="C1167" t="s">
        <v>4309</v>
      </c>
      <c r="D1167" t="s">
        <v>18048</v>
      </c>
      <c r="E1167" t="s">
        <v>4309</v>
      </c>
      <c r="F1167" t="s">
        <v>31574</v>
      </c>
      <c r="G1167" t="s">
        <v>31583</v>
      </c>
      <c r="H1167" t="s">
        <v>31590</v>
      </c>
      <c r="I1167" t="s">
        <v>4046</v>
      </c>
      <c r="J1167" t="s">
        <v>32606</v>
      </c>
      <c r="K1167" t="s">
        <v>41193</v>
      </c>
      <c r="M1167" t="s">
        <v>42001</v>
      </c>
      <c r="N1167" t="s">
        <v>45095</v>
      </c>
      <c r="O1167" t="s">
        <v>45096</v>
      </c>
      <c r="P1167">
        <v>0</v>
      </c>
      <c r="Q1167">
        <v>0</v>
      </c>
      <c r="R1167" t="s">
        <v>45097</v>
      </c>
      <c r="S1167" t="s">
        <v>45222</v>
      </c>
      <c r="T1167" t="s">
        <v>46973</v>
      </c>
      <c r="U1167" t="s">
        <v>48489</v>
      </c>
      <c r="W1167" t="s">
        <v>42001</v>
      </c>
      <c r="X1167" t="s">
        <v>45098</v>
      </c>
    </row>
    <row r="1168" spans="1:24">
      <c r="A1168">
        <f>HYPERLINK("https://www.philgeps.gov.ph/GEPSNONPILOT/Tender/SplashBidNoticeAbstractUI.aspx?menuIndex=3&amp;refID=7045500&amp;Result=3","7045500")</f>
        <v>0</v>
      </c>
      <c r="B1168" t="s">
        <v>506</v>
      </c>
      <c r="C1168" t="s">
        <v>4310</v>
      </c>
      <c r="E1168" t="s">
        <v>19203</v>
      </c>
      <c r="F1168" t="s">
        <v>31574</v>
      </c>
      <c r="G1168" t="s">
        <v>31582</v>
      </c>
      <c r="H1168" t="s">
        <v>31591</v>
      </c>
      <c r="I1168" t="s">
        <v>8822</v>
      </c>
      <c r="J1168" t="s">
        <v>32607</v>
      </c>
      <c r="K1168" t="s">
        <v>41184</v>
      </c>
      <c r="M1168" t="s">
        <v>42002</v>
      </c>
      <c r="N1168" t="s">
        <v>45095</v>
      </c>
      <c r="O1168" t="s">
        <v>45096</v>
      </c>
      <c r="P1168">
        <v>0</v>
      </c>
      <c r="Q1168">
        <v>0</v>
      </c>
      <c r="R1168" t="s">
        <v>45097</v>
      </c>
      <c r="S1168" t="s">
        <v>45222</v>
      </c>
      <c r="T1168" t="s">
        <v>46915</v>
      </c>
      <c r="U1168" t="s">
        <v>48490</v>
      </c>
      <c r="V1168" t="s">
        <v>59956</v>
      </c>
      <c r="W1168" t="s">
        <v>42002</v>
      </c>
      <c r="X1168" t="s">
        <v>45098</v>
      </c>
    </row>
    <row r="1169" spans="1:24">
      <c r="A1169">
        <f>HYPERLINK("https://www.philgeps.gov.ph/GEPSNONPILOT/Tender/SplashBidNoticeAbstractUI.aspx?menuIndex=3&amp;refID=7045494&amp;Result=3","7045494")</f>
        <v>0</v>
      </c>
      <c r="B1169" t="s">
        <v>507</v>
      </c>
      <c r="C1169" t="s">
        <v>4311</v>
      </c>
      <c r="D1169" t="s">
        <v>18079</v>
      </c>
      <c r="E1169" t="s">
        <v>4311</v>
      </c>
      <c r="F1169" t="s">
        <v>31574</v>
      </c>
      <c r="G1169" t="s">
        <v>31583</v>
      </c>
      <c r="H1169" t="s">
        <v>31590</v>
      </c>
      <c r="I1169" t="s">
        <v>5717</v>
      </c>
      <c r="J1169" t="s">
        <v>32608</v>
      </c>
      <c r="K1169" t="s">
        <v>41186</v>
      </c>
      <c r="M1169" t="s">
        <v>42003</v>
      </c>
      <c r="N1169" t="s">
        <v>45095</v>
      </c>
      <c r="O1169" t="s">
        <v>45096</v>
      </c>
      <c r="P1169">
        <v>0</v>
      </c>
      <c r="Q1169">
        <v>0</v>
      </c>
      <c r="R1169" t="s">
        <v>45097</v>
      </c>
      <c r="S1169" t="s">
        <v>45222</v>
      </c>
      <c r="T1169" t="s">
        <v>46911</v>
      </c>
      <c r="U1169" t="s">
        <v>48491</v>
      </c>
      <c r="W1169" t="s">
        <v>42003</v>
      </c>
      <c r="X1169" t="s">
        <v>45098</v>
      </c>
    </row>
    <row r="1170" spans="1:24">
      <c r="A1170">
        <f>HYPERLINK("https://www.philgeps.gov.ph/GEPSNONPILOT/Tender/SplashBidNoticeAbstractUI.aspx?menuIndex=3&amp;refID=7045496&amp;Result=3","7045496")</f>
        <v>0</v>
      </c>
      <c r="B1170" t="s">
        <v>76</v>
      </c>
      <c r="C1170" t="s">
        <v>4312</v>
      </c>
      <c r="D1170" t="s">
        <v>18035</v>
      </c>
      <c r="E1170" t="s">
        <v>19204</v>
      </c>
      <c r="F1170" t="s">
        <v>31574</v>
      </c>
      <c r="G1170" t="s">
        <v>31581</v>
      </c>
      <c r="H1170" t="s">
        <v>31590</v>
      </c>
      <c r="I1170" t="s">
        <v>31608</v>
      </c>
      <c r="J1170" t="s">
        <v>32609</v>
      </c>
      <c r="K1170" t="s">
        <v>41184</v>
      </c>
      <c r="L1170" t="s">
        <v>76</v>
      </c>
      <c r="M1170" t="s">
        <v>41797</v>
      </c>
      <c r="N1170" t="s">
        <v>45095</v>
      </c>
      <c r="O1170" t="s">
        <v>45096</v>
      </c>
      <c r="P1170">
        <v>0</v>
      </c>
      <c r="Q1170">
        <v>0</v>
      </c>
      <c r="R1170" t="s">
        <v>45097</v>
      </c>
      <c r="S1170" t="s">
        <v>45222</v>
      </c>
      <c r="T1170" t="s">
        <v>46904</v>
      </c>
      <c r="U1170" t="s">
        <v>48069</v>
      </c>
      <c r="W1170" t="s">
        <v>41797</v>
      </c>
      <c r="X1170" t="s">
        <v>45098</v>
      </c>
    </row>
    <row r="1171" spans="1:24">
      <c r="A1171">
        <f>HYPERLINK("https://www.philgeps.gov.ph/GEPSNONPILOT/Tender/SplashBidNoticeAbstractUI.aspx?menuIndex=3&amp;refID=7045499&amp;Result=3","7045499")</f>
        <v>0</v>
      </c>
      <c r="B1171" t="s">
        <v>246</v>
      </c>
      <c r="C1171" t="s">
        <v>4313</v>
      </c>
      <c r="D1171" t="s">
        <v>18033</v>
      </c>
      <c r="E1171" t="s">
        <v>19205</v>
      </c>
      <c r="F1171" t="s">
        <v>31574</v>
      </c>
      <c r="G1171" t="s">
        <v>31581</v>
      </c>
      <c r="H1171" t="s">
        <v>31590</v>
      </c>
      <c r="I1171" t="s">
        <v>3487</v>
      </c>
      <c r="J1171" t="s">
        <v>32610</v>
      </c>
      <c r="K1171" t="s">
        <v>41196</v>
      </c>
      <c r="M1171" t="s">
        <v>41732</v>
      </c>
      <c r="N1171" t="s">
        <v>45095</v>
      </c>
      <c r="O1171" t="s">
        <v>45096</v>
      </c>
      <c r="P1171">
        <v>0</v>
      </c>
      <c r="Q1171">
        <v>0</v>
      </c>
      <c r="R1171" t="s">
        <v>45097</v>
      </c>
      <c r="S1171" t="s">
        <v>45222</v>
      </c>
      <c r="T1171" t="s">
        <v>47003</v>
      </c>
      <c r="U1171" t="s">
        <v>48492</v>
      </c>
      <c r="W1171" t="s">
        <v>41732</v>
      </c>
      <c r="X1171" t="s">
        <v>45098</v>
      </c>
    </row>
    <row r="1172" spans="1:24">
      <c r="A1172">
        <f>HYPERLINK("https://www.philgeps.gov.ph/GEPSNONPILOT/Tender/SplashBidNoticeAbstractUI.aspx?menuIndex=3&amp;refID=7045519&amp;Result=3","7045519")</f>
        <v>0</v>
      </c>
      <c r="B1172" t="s">
        <v>49</v>
      </c>
      <c r="C1172" t="s">
        <v>4314</v>
      </c>
      <c r="D1172" t="s">
        <v>18040</v>
      </c>
      <c r="E1172" t="s">
        <v>19206</v>
      </c>
      <c r="F1172" t="s">
        <v>31574</v>
      </c>
      <c r="G1172" t="s">
        <v>31583</v>
      </c>
      <c r="H1172" t="s">
        <v>31590</v>
      </c>
      <c r="I1172" t="s">
        <v>4046</v>
      </c>
      <c r="J1172" t="s">
        <v>32611</v>
      </c>
      <c r="K1172" t="s">
        <v>41212</v>
      </c>
      <c r="M1172" t="s">
        <v>41532</v>
      </c>
      <c r="N1172" t="s">
        <v>45095</v>
      </c>
      <c r="O1172" t="s">
        <v>45096</v>
      </c>
      <c r="P1172">
        <v>0</v>
      </c>
      <c r="Q1172">
        <v>0</v>
      </c>
      <c r="R1172" t="s">
        <v>45097</v>
      </c>
      <c r="S1172" t="s">
        <v>45222</v>
      </c>
      <c r="T1172" t="s">
        <v>46918</v>
      </c>
      <c r="U1172" t="s">
        <v>48493</v>
      </c>
      <c r="W1172" t="s">
        <v>41532</v>
      </c>
      <c r="X1172" t="s">
        <v>45098</v>
      </c>
    </row>
    <row r="1173" spans="1:24">
      <c r="A1173">
        <f>HYPERLINK("https://www.philgeps.gov.ph/GEPSNONPILOT/Tender/SplashBidNoticeAbstractUI.aspx?menuIndex=3&amp;refID=7045504&amp;Result=3","7045504")</f>
        <v>0</v>
      </c>
      <c r="B1173" t="s">
        <v>265</v>
      </c>
      <c r="C1173" t="s">
        <v>4315</v>
      </c>
      <c r="D1173" t="s">
        <v>18052</v>
      </c>
      <c r="E1173" t="s">
        <v>19207</v>
      </c>
      <c r="F1173" t="s">
        <v>31574</v>
      </c>
      <c r="G1173" t="s">
        <v>31583</v>
      </c>
      <c r="H1173" t="s">
        <v>31590</v>
      </c>
      <c r="I1173" t="s">
        <v>6800</v>
      </c>
      <c r="J1173" t="s">
        <v>32612</v>
      </c>
      <c r="K1173" t="s">
        <v>41184</v>
      </c>
      <c r="M1173" t="s">
        <v>41751</v>
      </c>
      <c r="N1173" t="s">
        <v>45095</v>
      </c>
      <c r="O1173" t="s">
        <v>45096</v>
      </c>
      <c r="P1173">
        <v>0</v>
      </c>
      <c r="Q1173">
        <v>0</v>
      </c>
      <c r="R1173" t="s">
        <v>45097</v>
      </c>
      <c r="S1173" t="s">
        <v>45222</v>
      </c>
      <c r="T1173" t="s">
        <v>46920</v>
      </c>
      <c r="U1173" t="s">
        <v>48494</v>
      </c>
      <c r="W1173" t="s">
        <v>41751</v>
      </c>
      <c r="X1173" t="s">
        <v>45098</v>
      </c>
    </row>
    <row r="1174" spans="1:24">
      <c r="A1174">
        <f>HYPERLINK("https://www.philgeps.gov.ph/GEPSNONPILOT/Tender/SplashBidNoticeAbstractUI.aspx?menuIndex=3&amp;refID=7045503&amp;Result=3","7045503")</f>
        <v>0</v>
      </c>
      <c r="B1174" t="s">
        <v>218</v>
      </c>
      <c r="C1174" t="s">
        <v>4316</v>
      </c>
      <c r="D1174" t="s">
        <v>18070</v>
      </c>
      <c r="E1174" t="s">
        <v>19208</v>
      </c>
      <c r="F1174" t="s">
        <v>31574</v>
      </c>
      <c r="G1174" t="s">
        <v>31583</v>
      </c>
      <c r="H1174" t="s">
        <v>31590</v>
      </c>
      <c r="I1174" t="s">
        <v>31614</v>
      </c>
      <c r="J1174" t="s">
        <v>32613</v>
      </c>
      <c r="K1174" t="s">
        <v>41193</v>
      </c>
      <c r="M1174" t="s">
        <v>41703</v>
      </c>
      <c r="N1174" t="s">
        <v>45095</v>
      </c>
      <c r="O1174" t="s">
        <v>45096</v>
      </c>
      <c r="P1174">
        <v>0</v>
      </c>
      <c r="Q1174">
        <v>0</v>
      </c>
      <c r="R1174" t="s">
        <v>45097</v>
      </c>
      <c r="S1174" t="s">
        <v>45222</v>
      </c>
      <c r="T1174" t="s">
        <v>46957</v>
      </c>
      <c r="U1174" t="s">
        <v>47880</v>
      </c>
      <c r="W1174" t="s">
        <v>41703</v>
      </c>
      <c r="X1174" t="s">
        <v>45098</v>
      </c>
    </row>
    <row r="1175" spans="1:24">
      <c r="A1175">
        <f>HYPERLINK("https://www.philgeps.gov.ph/GEPSNONPILOT/Tender/SplashBidNoticeAbstractUI.aspx?menuIndex=3&amp;refID=7045511&amp;Result=3","7045511")</f>
        <v>0</v>
      </c>
      <c r="B1175" t="s">
        <v>495</v>
      </c>
      <c r="C1175" t="s">
        <v>4317</v>
      </c>
      <c r="D1175" t="s">
        <v>18099</v>
      </c>
      <c r="E1175" t="s">
        <v>19209</v>
      </c>
      <c r="F1175" t="s">
        <v>31574</v>
      </c>
      <c r="G1175" t="s">
        <v>31581</v>
      </c>
      <c r="H1175" t="s">
        <v>31590</v>
      </c>
      <c r="I1175" t="s">
        <v>31598</v>
      </c>
      <c r="J1175" t="s">
        <v>32614</v>
      </c>
      <c r="K1175" t="s">
        <v>41190</v>
      </c>
      <c r="M1175" t="s">
        <v>41991</v>
      </c>
      <c r="N1175" t="s">
        <v>45095</v>
      </c>
      <c r="O1175" t="s">
        <v>45096</v>
      </c>
      <c r="P1175">
        <v>0</v>
      </c>
      <c r="Q1175">
        <v>0</v>
      </c>
      <c r="R1175" t="s">
        <v>45097</v>
      </c>
      <c r="S1175" t="s">
        <v>45222</v>
      </c>
      <c r="T1175" t="s">
        <v>47057</v>
      </c>
      <c r="U1175" t="s">
        <v>48472</v>
      </c>
      <c r="W1175" t="s">
        <v>41991</v>
      </c>
      <c r="X1175" t="s">
        <v>45098</v>
      </c>
    </row>
    <row r="1176" spans="1:24">
      <c r="A1176">
        <f>HYPERLINK("https://www.philgeps.gov.ph/GEPSNONPILOT/Tender/SplashBidNoticeAbstractUI.aspx?menuIndex=3&amp;refID=7045510&amp;Result=3","7045510")</f>
        <v>0</v>
      </c>
      <c r="B1176" t="s">
        <v>116</v>
      </c>
      <c r="C1176" t="s">
        <v>4318</v>
      </c>
      <c r="D1176" t="s">
        <v>18068</v>
      </c>
      <c r="E1176" t="s">
        <v>19210</v>
      </c>
      <c r="F1176" t="s">
        <v>31574</v>
      </c>
      <c r="G1176" t="s">
        <v>31585</v>
      </c>
      <c r="H1176" t="s">
        <v>31590</v>
      </c>
      <c r="I1176" t="s">
        <v>31608</v>
      </c>
      <c r="J1176" t="s">
        <v>32090</v>
      </c>
      <c r="K1176" t="s">
        <v>41196</v>
      </c>
      <c r="M1176" t="s">
        <v>41600</v>
      </c>
      <c r="N1176" t="s">
        <v>45095</v>
      </c>
      <c r="O1176" t="s">
        <v>45096</v>
      </c>
      <c r="P1176">
        <v>0</v>
      </c>
      <c r="Q1176">
        <v>0</v>
      </c>
      <c r="R1176" t="s">
        <v>45097</v>
      </c>
      <c r="S1176" t="s">
        <v>45222</v>
      </c>
      <c r="T1176" t="s">
        <v>47056</v>
      </c>
      <c r="U1176" t="s">
        <v>48495</v>
      </c>
      <c r="V1176" t="s">
        <v>59888</v>
      </c>
      <c r="W1176" t="s">
        <v>41600</v>
      </c>
      <c r="X1176" t="s">
        <v>45098</v>
      </c>
    </row>
    <row r="1177" spans="1:24">
      <c r="A1177">
        <f>HYPERLINK("https://www.philgeps.gov.ph/GEPSNONPILOT/Tender/SplashBidNoticeAbstractUI.aspx?menuIndex=3&amp;refID=7045518&amp;Result=3","7045518")</f>
        <v>0</v>
      </c>
      <c r="B1177" t="s">
        <v>506</v>
      </c>
      <c r="C1177" t="s">
        <v>4319</v>
      </c>
      <c r="E1177" t="s">
        <v>19211</v>
      </c>
      <c r="F1177" t="s">
        <v>31574</v>
      </c>
      <c r="G1177" t="s">
        <v>31582</v>
      </c>
      <c r="H1177" t="s">
        <v>31591</v>
      </c>
      <c r="I1177" t="s">
        <v>8822</v>
      </c>
      <c r="J1177" t="s">
        <v>32615</v>
      </c>
      <c r="K1177" t="s">
        <v>41184</v>
      </c>
      <c r="M1177" t="s">
        <v>42002</v>
      </c>
      <c r="N1177" t="s">
        <v>45095</v>
      </c>
      <c r="O1177" t="s">
        <v>45096</v>
      </c>
      <c r="P1177">
        <v>0</v>
      </c>
      <c r="Q1177">
        <v>0</v>
      </c>
      <c r="R1177" t="s">
        <v>45097</v>
      </c>
      <c r="S1177" t="s">
        <v>45222</v>
      </c>
      <c r="T1177" t="s">
        <v>46915</v>
      </c>
      <c r="U1177" t="s">
        <v>48496</v>
      </c>
      <c r="V1177" t="s">
        <v>59957</v>
      </c>
      <c r="W1177" t="s">
        <v>42002</v>
      </c>
      <c r="X1177" t="s">
        <v>45098</v>
      </c>
    </row>
    <row r="1178" spans="1:24">
      <c r="A1178">
        <f>HYPERLINK("https://www.philgeps.gov.ph/GEPSNONPILOT/Tender/SplashBidNoticeAbstractUI.aspx?menuIndex=3&amp;refID=7045516&amp;Result=3","7045516")</f>
        <v>0</v>
      </c>
      <c r="B1178" t="s">
        <v>500</v>
      </c>
      <c r="C1178" t="s">
        <v>4320</v>
      </c>
      <c r="D1178" t="s">
        <v>18100</v>
      </c>
      <c r="E1178" t="s">
        <v>19212</v>
      </c>
      <c r="F1178" t="s">
        <v>31574</v>
      </c>
      <c r="G1178" t="s">
        <v>31582</v>
      </c>
      <c r="H1178" t="s">
        <v>31591</v>
      </c>
      <c r="I1178" t="s">
        <v>8822</v>
      </c>
      <c r="J1178" t="s">
        <v>32616</v>
      </c>
      <c r="K1178" t="s">
        <v>41243</v>
      </c>
      <c r="M1178" t="s">
        <v>41996</v>
      </c>
      <c r="N1178" t="s">
        <v>45095</v>
      </c>
      <c r="O1178" t="s">
        <v>45096</v>
      </c>
      <c r="P1178">
        <v>0</v>
      </c>
      <c r="Q1178">
        <v>0</v>
      </c>
      <c r="R1178" t="s">
        <v>45097</v>
      </c>
      <c r="S1178" t="s">
        <v>45222</v>
      </c>
      <c r="T1178" t="s">
        <v>46954</v>
      </c>
      <c r="U1178" t="s">
        <v>48497</v>
      </c>
      <c r="W1178" t="s">
        <v>41996</v>
      </c>
      <c r="X1178" t="s">
        <v>45098</v>
      </c>
    </row>
    <row r="1179" spans="1:24">
      <c r="A1179">
        <f>HYPERLINK("https://www.philgeps.gov.ph/GEPSNONPILOT/Tender/SplashBidNoticeAbstractUI.aspx?menuIndex=3&amp;refID=7045521&amp;Result=3","7045521")</f>
        <v>0</v>
      </c>
      <c r="B1179" t="s">
        <v>508</v>
      </c>
      <c r="C1179" t="s">
        <v>4321</v>
      </c>
      <c r="D1179" t="s">
        <v>18023</v>
      </c>
      <c r="E1179" t="s">
        <v>19213</v>
      </c>
      <c r="F1179" t="s">
        <v>31574</v>
      </c>
      <c r="G1179" t="s">
        <v>31583</v>
      </c>
      <c r="H1179" t="s">
        <v>31590</v>
      </c>
      <c r="I1179" t="s">
        <v>31638</v>
      </c>
      <c r="J1179" t="s">
        <v>32617</v>
      </c>
      <c r="K1179" t="s">
        <v>41184</v>
      </c>
      <c r="M1179" t="s">
        <v>42004</v>
      </c>
      <c r="N1179" t="s">
        <v>45095</v>
      </c>
      <c r="O1179" t="s">
        <v>45096</v>
      </c>
      <c r="P1179">
        <v>0</v>
      </c>
      <c r="Q1179">
        <v>0</v>
      </c>
      <c r="R1179" t="s">
        <v>45097</v>
      </c>
      <c r="S1179" t="s">
        <v>45222</v>
      </c>
      <c r="T1179" t="s">
        <v>46904</v>
      </c>
      <c r="U1179" t="s">
        <v>48498</v>
      </c>
      <c r="V1179" t="s">
        <v>59958</v>
      </c>
      <c r="W1179" t="s">
        <v>42004</v>
      </c>
      <c r="X1179" t="s">
        <v>45098</v>
      </c>
    </row>
    <row r="1180" spans="1:24">
      <c r="A1180">
        <f>HYPERLINK("https://www.philgeps.gov.ph/GEPSNONPILOT/Tender/SplashBidNoticeAbstractUI.aspx?menuIndex=3&amp;refID=7045517&amp;Result=3","7045517")</f>
        <v>0</v>
      </c>
      <c r="B1180" t="s">
        <v>509</v>
      </c>
      <c r="C1180" t="s">
        <v>4322</v>
      </c>
      <c r="D1180" t="s">
        <v>18063</v>
      </c>
      <c r="E1180" t="s">
        <v>19214</v>
      </c>
      <c r="F1180" t="s">
        <v>31574</v>
      </c>
      <c r="G1180" t="s">
        <v>31583</v>
      </c>
      <c r="H1180" t="s">
        <v>31590</v>
      </c>
      <c r="I1180" t="s">
        <v>31607</v>
      </c>
      <c r="J1180" t="s">
        <v>31759</v>
      </c>
      <c r="K1180" t="s">
        <v>41193</v>
      </c>
      <c r="M1180" t="s">
        <v>42005</v>
      </c>
      <c r="N1180" t="s">
        <v>45095</v>
      </c>
      <c r="O1180" t="s">
        <v>45096</v>
      </c>
      <c r="P1180">
        <v>0</v>
      </c>
      <c r="Q1180">
        <v>0</v>
      </c>
      <c r="R1180" t="s">
        <v>45097</v>
      </c>
      <c r="S1180" t="s">
        <v>45222</v>
      </c>
      <c r="T1180" t="s">
        <v>46963</v>
      </c>
      <c r="U1180" t="s">
        <v>48499</v>
      </c>
      <c r="V1180" t="s">
        <v>59959</v>
      </c>
      <c r="W1180" t="s">
        <v>42005</v>
      </c>
      <c r="X1180" t="s">
        <v>45098</v>
      </c>
    </row>
    <row r="1181" spans="1:24">
      <c r="A1181">
        <f>HYPERLINK("https://www.philgeps.gov.ph/GEPSNONPILOT/Tender/SplashBidNoticeAbstractUI.aspx?menuIndex=3&amp;refID=7045509&amp;Result=3","7045509")</f>
        <v>0</v>
      </c>
      <c r="B1181" t="s">
        <v>379</v>
      </c>
      <c r="C1181" t="s">
        <v>4323</v>
      </c>
      <c r="D1181" t="s">
        <v>18025</v>
      </c>
      <c r="E1181" t="s">
        <v>19215</v>
      </c>
      <c r="F1181" t="s">
        <v>31574</v>
      </c>
      <c r="G1181" t="s">
        <v>31583</v>
      </c>
      <c r="H1181" t="s">
        <v>31590</v>
      </c>
      <c r="I1181" t="s">
        <v>8258</v>
      </c>
      <c r="J1181" t="s">
        <v>32618</v>
      </c>
      <c r="K1181" t="s">
        <v>41184</v>
      </c>
      <c r="M1181" t="s">
        <v>41869</v>
      </c>
      <c r="N1181" t="s">
        <v>45095</v>
      </c>
      <c r="O1181" t="s">
        <v>45096</v>
      </c>
      <c r="P1181">
        <v>0</v>
      </c>
      <c r="Q1181">
        <v>0</v>
      </c>
      <c r="R1181" t="s">
        <v>45097</v>
      </c>
      <c r="S1181" t="s">
        <v>45222</v>
      </c>
      <c r="T1181" t="s">
        <v>47060</v>
      </c>
      <c r="U1181" t="s">
        <v>48500</v>
      </c>
      <c r="W1181" t="s">
        <v>41869</v>
      </c>
      <c r="X1181" t="s">
        <v>45098</v>
      </c>
    </row>
    <row r="1182" spans="1:24">
      <c r="A1182">
        <f>HYPERLINK("https://www.philgeps.gov.ph/GEPSNONPILOT/Tender/SplashBidNoticeAbstractUI.aspx?menuIndex=3&amp;refID=7045522&amp;Result=3","7045522")</f>
        <v>0</v>
      </c>
      <c r="B1182" t="s">
        <v>510</v>
      </c>
      <c r="C1182" t="s">
        <v>3965</v>
      </c>
      <c r="D1182" t="s">
        <v>18053</v>
      </c>
      <c r="E1182" t="s">
        <v>19216</v>
      </c>
      <c r="F1182" t="s">
        <v>31574</v>
      </c>
      <c r="G1182" t="s">
        <v>31582</v>
      </c>
      <c r="H1182" t="s">
        <v>31590</v>
      </c>
      <c r="I1182" t="s">
        <v>4327</v>
      </c>
      <c r="J1182" t="s">
        <v>31789</v>
      </c>
      <c r="K1182" t="s">
        <v>41193</v>
      </c>
      <c r="M1182" t="s">
        <v>42006</v>
      </c>
      <c r="N1182" t="s">
        <v>45095</v>
      </c>
      <c r="O1182" t="s">
        <v>45096</v>
      </c>
      <c r="P1182">
        <v>0</v>
      </c>
      <c r="Q1182">
        <v>0</v>
      </c>
      <c r="R1182" t="s">
        <v>45097</v>
      </c>
      <c r="S1182" t="s">
        <v>45222</v>
      </c>
      <c r="T1182" t="s">
        <v>47061</v>
      </c>
      <c r="U1182" t="s">
        <v>48501</v>
      </c>
      <c r="W1182" t="s">
        <v>42006</v>
      </c>
      <c r="X1182" t="s">
        <v>45098</v>
      </c>
    </row>
    <row r="1183" spans="1:24">
      <c r="A1183">
        <f>HYPERLINK("https://www.philgeps.gov.ph/GEPSNONPILOT/Tender/SplashBidNoticeAbstractUI.aspx?menuIndex=3&amp;refID=7045531&amp;Result=3","7045531")</f>
        <v>0</v>
      </c>
      <c r="B1183" t="s">
        <v>76</v>
      </c>
      <c r="C1183" t="s">
        <v>4324</v>
      </c>
      <c r="D1183" t="s">
        <v>18035</v>
      </c>
      <c r="E1183" t="s">
        <v>19217</v>
      </c>
      <c r="F1183" t="s">
        <v>31574</v>
      </c>
      <c r="G1183" t="s">
        <v>31581</v>
      </c>
      <c r="H1183" t="s">
        <v>31590</v>
      </c>
      <c r="I1183" t="s">
        <v>31656</v>
      </c>
      <c r="J1183" t="s">
        <v>32619</v>
      </c>
      <c r="K1183" t="s">
        <v>41184</v>
      </c>
      <c r="L1183" t="s">
        <v>76</v>
      </c>
      <c r="M1183" t="s">
        <v>41797</v>
      </c>
      <c r="N1183" t="s">
        <v>45095</v>
      </c>
      <c r="O1183" t="s">
        <v>45096</v>
      </c>
      <c r="P1183">
        <v>0</v>
      </c>
      <c r="Q1183">
        <v>0</v>
      </c>
      <c r="R1183" t="s">
        <v>45097</v>
      </c>
      <c r="S1183" t="s">
        <v>45222</v>
      </c>
      <c r="T1183" t="s">
        <v>46904</v>
      </c>
      <c r="U1183" t="s">
        <v>48069</v>
      </c>
      <c r="W1183" t="s">
        <v>41797</v>
      </c>
      <c r="X1183" t="s">
        <v>45098</v>
      </c>
    </row>
    <row r="1184" spans="1:24">
      <c r="A1184">
        <f>HYPERLINK("https://www.philgeps.gov.ph/GEPSNONPILOT/Tender/SplashBidNoticeAbstractUI.aspx?menuIndex=3&amp;refID=7045533&amp;Result=3","7045533")</f>
        <v>0</v>
      </c>
      <c r="B1184" t="s">
        <v>511</v>
      </c>
      <c r="C1184" t="s">
        <v>4325</v>
      </c>
      <c r="D1184" t="s">
        <v>18043</v>
      </c>
      <c r="E1184" t="s">
        <v>19218</v>
      </c>
      <c r="F1184" t="s">
        <v>31574</v>
      </c>
      <c r="G1184" t="s">
        <v>31581</v>
      </c>
      <c r="H1184" t="s">
        <v>31590</v>
      </c>
      <c r="I1184" t="s">
        <v>4046</v>
      </c>
      <c r="J1184" t="s">
        <v>32620</v>
      </c>
      <c r="K1184" t="s">
        <v>41186</v>
      </c>
      <c r="M1184" t="s">
        <v>42007</v>
      </c>
      <c r="N1184" t="s">
        <v>45095</v>
      </c>
      <c r="O1184" t="s">
        <v>45096</v>
      </c>
      <c r="P1184">
        <v>0</v>
      </c>
      <c r="Q1184">
        <v>0</v>
      </c>
      <c r="R1184" t="s">
        <v>45097</v>
      </c>
      <c r="S1184" t="s">
        <v>45222</v>
      </c>
      <c r="T1184" t="s">
        <v>46905</v>
      </c>
      <c r="U1184" t="s">
        <v>48502</v>
      </c>
      <c r="V1184" t="s">
        <v>59960</v>
      </c>
      <c r="W1184" t="s">
        <v>42007</v>
      </c>
      <c r="X1184" t="s">
        <v>45098</v>
      </c>
    </row>
    <row r="1185" spans="1:24">
      <c r="A1185">
        <f>HYPERLINK("https://www.philgeps.gov.ph/GEPSNONPILOT/Tender/SplashBidNoticeAbstractUI.aspx?menuIndex=3&amp;refID=7045525&amp;Result=3","7045525")</f>
        <v>0</v>
      </c>
      <c r="B1185" t="s">
        <v>512</v>
      </c>
      <c r="C1185" t="s">
        <v>4326</v>
      </c>
      <c r="D1185" t="s">
        <v>18065</v>
      </c>
      <c r="E1185" t="s">
        <v>19219</v>
      </c>
      <c r="F1185" t="s">
        <v>31574</v>
      </c>
      <c r="G1185" t="s">
        <v>31583</v>
      </c>
      <c r="H1185" t="s">
        <v>31590</v>
      </c>
      <c r="I1185" t="s">
        <v>4046</v>
      </c>
      <c r="J1185" t="s">
        <v>32017</v>
      </c>
      <c r="K1185" t="s">
        <v>41184</v>
      </c>
      <c r="M1185" t="s">
        <v>42008</v>
      </c>
      <c r="N1185" t="s">
        <v>45095</v>
      </c>
      <c r="O1185" t="s">
        <v>45096</v>
      </c>
      <c r="P1185">
        <v>0</v>
      </c>
      <c r="Q1185">
        <v>0</v>
      </c>
      <c r="R1185" t="s">
        <v>45097</v>
      </c>
      <c r="S1185" t="s">
        <v>45222</v>
      </c>
      <c r="T1185" t="s">
        <v>46971</v>
      </c>
      <c r="U1185" t="s">
        <v>48503</v>
      </c>
      <c r="W1185" t="s">
        <v>42008</v>
      </c>
      <c r="X1185" t="s">
        <v>45098</v>
      </c>
    </row>
    <row r="1186" spans="1:24">
      <c r="A1186">
        <f>HYPERLINK("https://www.philgeps.gov.ph/GEPSNONPILOT/Tender/SplashBidNoticeAbstractUI.aspx?menuIndex=3&amp;refID=7045544&amp;Result=3","7045544")</f>
        <v>0</v>
      </c>
      <c r="B1186" t="s">
        <v>513</v>
      </c>
      <c r="C1186" t="s">
        <v>4327</v>
      </c>
      <c r="D1186" t="s">
        <v>18039</v>
      </c>
      <c r="E1186" t="s">
        <v>19220</v>
      </c>
      <c r="F1186" t="s">
        <v>31574</v>
      </c>
      <c r="G1186" t="s">
        <v>31581</v>
      </c>
      <c r="H1186" t="s">
        <v>31590</v>
      </c>
      <c r="I1186" t="s">
        <v>4327</v>
      </c>
      <c r="J1186" t="s">
        <v>32621</v>
      </c>
      <c r="K1186" t="s">
        <v>41213</v>
      </c>
      <c r="M1186" t="s">
        <v>42009</v>
      </c>
      <c r="N1186" t="s">
        <v>45095</v>
      </c>
      <c r="O1186" t="s">
        <v>45096</v>
      </c>
      <c r="P1186">
        <v>0</v>
      </c>
      <c r="Q1186">
        <v>0</v>
      </c>
      <c r="R1186" t="s">
        <v>45097</v>
      </c>
      <c r="S1186" t="s">
        <v>45222</v>
      </c>
      <c r="T1186" t="s">
        <v>46913</v>
      </c>
      <c r="U1186" t="s">
        <v>48504</v>
      </c>
      <c r="W1186" t="s">
        <v>42009</v>
      </c>
      <c r="X1186" t="s">
        <v>45098</v>
      </c>
    </row>
    <row r="1187" spans="1:24">
      <c r="A1187">
        <f>HYPERLINK("https://www.philgeps.gov.ph/GEPSNONPILOT/Tender/SplashBidNoticeAbstractUI.aspx?menuIndex=3&amp;refID=7045536&amp;Result=3","7045536")</f>
        <v>0</v>
      </c>
      <c r="B1187" t="s">
        <v>95</v>
      </c>
      <c r="C1187" t="s">
        <v>4328</v>
      </c>
      <c r="D1187" t="s">
        <v>18062</v>
      </c>
      <c r="E1187" t="s">
        <v>19221</v>
      </c>
      <c r="F1187" t="s">
        <v>31574</v>
      </c>
      <c r="G1187" t="s">
        <v>31581</v>
      </c>
      <c r="H1187" t="s">
        <v>31590</v>
      </c>
      <c r="I1187" t="s">
        <v>31638</v>
      </c>
      <c r="J1187" t="s">
        <v>32622</v>
      </c>
      <c r="K1187" t="s">
        <v>41196</v>
      </c>
      <c r="M1187" t="s">
        <v>41937</v>
      </c>
      <c r="N1187" t="s">
        <v>45095</v>
      </c>
      <c r="O1187" t="s">
        <v>45096</v>
      </c>
      <c r="P1187">
        <v>0</v>
      </c>
      <c r="Q1187">
        <v>0</v>
      </c>
      <c r="R1187" t="s">
        <v>45097</v>
      </c>
      <c r="S1187" t="s">
        <v>45222</v>
      </c>
      <c r="T1187" t="s">
        <v>46949</v>
      </c>
      <c r="U1187" t="s">
        <v>48505</v>
      </c>
      <c r="W1187" t="s">
        <v>41937</v>
      </c>
      <c r="X1187" t="s">
        <v>45098</v>
      </c>
    </row>
    <row r="1188" spans="1:24">
      <c r="A1188">
        <f>HYPERLINK("https://www.philgeps.gov.ph/GEPSNONPILOT/Tender/SplashBidNoticeAbstractUI.aspx?menuIndex=3&amp;refID=7045523&amp;Result=3","7045523")</f>
        <v>0</v>
      </c>
      <c r="B1188" t="s">
        <v>514</v>
      </c>
      <c r="C1188" t="s">
        <v>4329</v>
      </c>
      <c r="D1188" t="s">
        <v>18089</v>
      </c>
      <c r="E1188" t="s">
        <v>19222</v>
      </c>
      <c r="F1188" t="s">
        <v>31574</v>
      </c>
      <c r="G1188" t="s">
        <v>31582</v>
      </c>
      <c r="H1188" t="s">
        <v>31590</v>
      </c>
      <c r="I1188" t="s">
        <v>31595</v>
      </c>
      <c r="J1188" t="s">
        <v>32623</v>
      </c>
      <c r="K1188" t="s">
        <v>41186</v>
      </c>
      <c r="M1188" t="s">
        <v>42010</v>
      </c>
      <c r="N1188" t="s">
        <v>45095</v>
      </c>
      <c r="O1188" t="s">
        <v>45096</v>
      </c>
      <c r="P1188">
        <v>0</v>
      </c>
      <c r="Q1188">
        <v>0</v>
      </c>
      <c r="R1188" t="s">
        <v>45097</v>
      </c>
      <c r="S1188" t="s">
        <v>45222</v>
      </c>
      <c r="T1188" t="s">
        <v>47062</v>
      </c>
      <c r="U1188" t="s">
        <v>48506</v>
      </c>
      <c r="V1188" t="s">
        <v>59961</v>
      </c>
      <c r="W1188" t="s">
        <v>42010</v>
      </c>
      <c r="X1188" t="s">
        <v>45098</v>
      </c>
    </row>
    <row r="1189" spans="1:24">
      <c r="A1189">
        <f>HYPERLINK("https://www.philgeps.gov.ph/GEPSNONPILOT/Tender/SplashBidNoticeAbstractUI.aspx?menuIndex=3&amp;refID=7045537&amp;Result=3","7045537")</f>
        <v>0</v>
      </c>
      <c r="B1189" t="s">
        <v>515</v>
      </c>
      <c r="C1189" t="s">
        <v>4330</v>
      </c>
      <c r="D1189" t="s">
        <v>18045</v>
      </c>
      <c r="E1189" t="s">
        <v>19223</v>
      </c>
      <c r="F1189" t="s">
        <v>31574</v>
      </c>
      <c r="G1189" t="s">
        <v>31585</v>
      </c>
      <c r="H1189" t="s">
        <v>31590</v>
      </c>
      <c r="I1189" t="s">
        <v>31615</v>
      </c>
      <c r="J1189" t="s">
        <v>32624</v>
      </c>
      <c r="K1189" t="s">
        <v>41196</v>
      </c>
      <c r="M1189" t="s">
        <v>42011</v>
      </c>
      <c r="N1189" t="s">
        <v>45095</v>
      </c>
      <c r="O1189" t="s">
        <v>45096</v>
      </c>
      <c r="P1189">
        <v>0</v>
      </c>
      <c r="Q1189">
        <v>4</v>
      </c>
      <c r="R1189" t="s">
        <v>45097</v>
      </c>
      <c r="S1189" t="s">
        <v>45222</v>
      </c>
      <c r="T1189" t="s">
        <v>46913</v>
      </c>
      <c r="U1189" t="s">
        <v>48507</v>
      </c>
      <c r="W1189" t="s">
        <v>42011</v>
      </c>
      <c r="X1189" t="s">
        <v>45098</v>
      </c>
    </row>
    <row r="1190" spans="1:24">
      <c r="A1190">
        <f>HYPERLINK("https://www.philgeps.gov.ph/GEPSNONPILOT/Tender/SplashBidNoticeAbstractUI.aspx?menuIndex=3&amp;refID=7045540&amp;Result=3","7045540")</f>
        <v>0</v>
      </c>
      <c r="B1190" t="s">
        <v>508</v>
      </c>
      <c r="C1190" t="s">
        <v>4331</v>
      </c>
      <c r="D1190" t="s">
        <v>18023</v>
      </c>
      <c r="E1190" t="s">
        <v>19224</v>
      </c>
      <c r="F1190" t="s">
        <v>31574</v>
      </c>
      <c r="G1190" t="s">
        <v>31583</v>
      </c>
      <c r="H1190" t="s">
        <v>31590</v>
      </c>
      <c r="I1190" t="s">
        <v>7185</v>
      </c>
      <c r="J1190" t="s">
        <v>32017</v>
      </c>
      <c r="K1190" t="s">
        <v>41184</v>
      </c>
      <c r="M1190" t="s">
        <v>42004</v>
      </c>
      <c r="N1190" t="s">
        <v>45095</v>
      </c>
      <c r="O1190" t="s">
        <v>45096</v>
      </c>
      <c r="P1190">
        <v>0</v>
      </c>
      <c r="Q1190">
        <v>0</v>
      </c>
      <c r="R1190" t="s">
        <v>45097</v>
      </c>
      <c r="S1190" t="s">
        <v>45222</v>
      </c>
      <c r="T1190" t="s">
        <v>46904</v>
      </c>
      <c r="U1190" t="s">
        <v>48508</v>
      </c>
      <c r="V1190" t="s">
        <v>59962</v>
      </c>
      <c r="W1190" t="s">
        <v>42004</v>
      </c>
      <c r="X1190" t="s">
        <v>45098</v>
      </c>
    </row>
    <row r="1191" spans="1:24">
      <c r="A1191">
        <f>HYPERLINK("https://www.philgeps.gov.ph/GEPSNONPILOT/Tender/SplashBidNoticeAbstractUI.aspx?menuIndex=3&amp;refID=7045529&amp;Result=3","7045529")</f>
        <v>0</v>
      </c>
      <c r="B1191" t="s">
        <v>116</v>
      </c>
      <c r="C1191" t="s">
        <v>4332</v>
      </c>
      <c r="D1191" t="s">
        <v>18068</v>
      </c>
      <c r="E1191" t="s">
        <v>19225</v>
      </c>
      <c r="F1191" t="s">
        <v>31574</v>
      </c>
      <c r="G1191" t="s">
        <v>31585</v>
      </c>
      <c r="H1191" t="s">
        <v>31590</v>
      </c>
      <c r="I1191" t="s">
        <v>31608</v>
      </c>
      <c r="J1191" t="s">
        <v>31927</v>
      </c>
      <c r="K1191" t="s">
        <v>41196</v>
      </c>
      <c r="M1191" t="s">
        <v>41600</v>
      </c>
      <c r="N1191" t="s">
        <v>45095</v>
      </c>
      <c r="O1191" t="s">
        <v>45096</v>
      </c>
      <c r="P1191">
        <v>0</v>
      </c>
      <c r="Q1191">
        <v>0</v>
      </c>
      <c r="R1191" t="s">
        <v>45097</v>
      </c>
      <c r="S1191" t="s">
        <v>45222</v>
      </c>
      <c r="T1191" t="s">
        <v>47056</v>
      </c>
      <c r="U1191" t="s">
        <v>48509</v>
      </c>
      <c r="V1191" t="s">
        <v>59888</v>
      </c>
      <c r="W1191" t="s">
        <v>41600</v>
      </c>
      <c r="X1191" t="s">
        <v>45098</v>
      </c>
    </row>
    <row r="1192" spans="1:24">
      <c r="A1192">
        <f>HYPERLINK("https://www.philgeps.gov.ph/GEPSNONPILOT/Tender/SplashBidNoticeAbstractUI.aspx?menuIndex=3&amp;refID=7045554&amp;Result=3","7045554")</f>
        <v>0</v>
      </c>
      <c r="B1192" t="s">
        <v>93</v>
      </c>
      <c r="C1192" t="s">
        <v>4333</v>
      </c>
      <c r="D1192" t="s">
        <v>18061</v>
      </c>
      <c r="E1192" t="s">
        <v>19226</v>
      </c>
      <c r="F1192" t="s">
        <v>31574</v>
      </c>
      <c r="G1192" t="s">
        <v>31585</v>
      </c>
      <c r="H1192" t="s">
        <v>31590</v>
      </c>
      <c r="I1192" t="s">
        <v>31619</v>
      </c>
      <c r="J1192" t="s">
        <v>31845</v>
      </c>
      <c r="K1192" t="s">
        <v>41186</v>
      </c>
      <c r="M1192" t="s">
        <v>41577</v>
      </c>
      <c r="N1192" t="s">
        <v>45095</v>
      </c>
      <c r="O1192" t="s">
        <v>45096</v>
      </c>
      <c r="P1192">
        <v>0</v>
      </c>
      <c r="Q1192">
        <v>0</v>
      </c>
      <c r="R1192" t="s">
        <v>45097</v>
      </c>
      <c r="S1192" t="s">
        <v>45222</v>
      </c>
      <c r="T1192" t="s">
        <v>46949</v>
      </c>
      <c r="U1192" t="s">
        <v>48510</v>
      </c>
      <c r="W1192" t="s">
        <v>41577</v>
      </c>
      <c r="X1192" t="s">
        <v>45098</v>
      </c>
    </row>
    <row r="1193" spans="1:24">
      <c r="A1193">
        <f>HYPERLINK("https://www.philgeps.gov.ph/GEPSNONPILOT/Tender/SplashBidNoticeAbstractUI.aspx?menuIndex=3&amp;refID=7045539&amp;Result=3","7045539")</f>
        <v>0</v>
      </c>
      <c r="B1193" t="s">
        <v>435</v>
      </c>
      <c r="C1193" t="s">
        <v>4334</v>
      </c>
      <c r="D1193" t="s">
        <v>18057</v>
      </c>
      <c r="E1193" t="s">
        <v>19227</v>
      </c>
      <c r="F1193" t="s">
        <v>31575</v>
      </c>
      <c r="G1193" t="s">
        <v>31583</v>
      </c>
      <c r="H1193" t="s">
        <v>31592</v>
      </c>
      <c r="I1193" t="s">
        <v>31599</v>
      </c>
      <c r="J1193" t="s">
        <v>32287</v>
      </c>
      <c r="K1193" t="s">
        <v>41193</v>
      </c>
      <c r="M1193" t="s">
        <v>41928</v>
      </c>
      <c r="N1193" t="s">
        <v>45095</v>
      </c>
      <c r="O1193" t="s">
        <v>45096</v>
      </c>
      <c r="P1193">
        <v>0</v>
      </c>
      <c r="Q1193">
        <v>0</v>
      </c>
      <c r="R1193" t="s">
        <v>45097</v>
      </c>
      <c r="S1193" t="s">
        <v>45222</v>
      </c>
      <c r="T1193" t="s">
        <v>47035</v>
      </c>
      <c r="U1193" t="s">
        <v>48511</v>
      </c>
      <c r="W1193" t="s">
        <v>41928</v>
      </c>
      <c r="X1193" t="s">
        <v>45098</v>
      </c>
    </row>
    <row r="1194" spans="1:24">
      <c r="A1194">
        <f>HYPERLINK("https://www.philgeps.gov.ph/GEPSNONPILOT/Tender/SplashBidNoticeAbstractUI.aspx?menuIndex=3&amp;refID=7045541&amp;Result=3","7045541")</f>
        <v>0</v>
      </c>
      <c r="B1194" t="s">
        <v>495</v>
      </c>
      <c r="C1194" t="s">
        <v>4335</v>
      </c>
      <c r="D1194" t="s">
        <v>18099</v>
      </c>
      <c r="E1194" t="s">
        <v>19228</v>
      </c>
      <c r="F1194" t="s">
        <v>31574</v>
      </c>
      <c r="G1194" t="s">
        <v>31581</v>
      </c>
      <c r="H1194" t="s">
        <v>31590</v>
      </c>
      <c r="I1194" t="s">
        <v>8258</v>
      </c>
      <c r="J1194" t="s">
        <v>32625</v>
      </c>
      <c r="K1194" t="s">
        <v>41190</v>
      </c>
      <c r="M1194" t="s">
        <v>41991</v>
      </c>
      <c r="N1194" t="s">
        <v>45095</v>
      </c>
      <c r="O1194" t="s">
        <v>45096</v>
      </c>
      <c r="P1194">
        <v>0</v>
      </c>
      <c r="Q1194">
        <v>0</v>
      </c>
      <c r="R1194" t="s">
        <v>45097</v>
      </c>
      <c r="S1194" t="s">
        <v>45222</v>
      </c>
      <c r="T1194" t="s">
        <v>47057</v>
      </c>
      <c r="U1194" t="s">
        <v>48472</v>
      </c>
      <c r="W1194" t="s">
        <v>41991</v>
      </c>
      <c r="X1194" t="s">
        <v>45098</v>
      </c>
    </row>
    <row r="1195" spans="1:24">
      <c r="A1195">
        <f>HYPERLINK("https://www.philgeps.gov.ph/GEPSNONPILOT/Tender/SplashBidNoticeAbstractUI.aspx?menuIndex=3&amp;refID=7045547&amp;Result=3","7045547")</f>
        <v>0</v>
      </c>
      <c r="B1195" t="s">
        <v>516</v>
      </c>
      <c r="C1195" t="s">
        <v>4336</v>
      </c>
      <c r="D1195" t="s">
        <v>18031</v>
      </c>
      <c r="E1195" t="s">
        <v>19229</v>
      </c>
      <c r="F1195" t="s">
        <v>31574</v>
      </c>
      <c r="G1195" t="s">
        <v>31581</v>
      </c>
      <c r="H1195" t="s">
        <v>31590</v>
      </c>
      <c r="I1195" t="s">
        <v>31668</v>
      </c>
      <c r="J1195" t="s">
        <v>32626</v>
      </c>
      <c r="K1195" t="s">
        <v>41193</v>
      </c>
      <c r="M1195" t="s">
        <v>42012</v>
      </c>
      <c r="N1195" t="s">
        <v>45095</v>
      </c>
      <c r="O1195" t="s">
        <v>45096</v>
      </c>
      <c r="P1195">
        <v>0</v>
      </c>
      <c r="Q1195">
        <v>0</v>
      </c>
      <c r="R1195" t="s">
        <v>45097</v>
      </c>
      <c r="S1195" t="s">
        <v>45222</v>
      </c>
      <c r="T1195" t="s">
        <v>46979</v>
      </c>
      <c r="U1195" t="s">
        <v>48512</v>
      </c>
      <c r="W1195" t="s">
        <v>42012</v>
      </c>
      <c r="X1195" t="s">
        <v>45098</v>
      </c>
    </row>
    <row r="1196" spans="1:24">
      <c r="A1196">
        <f>HYPERLINK("https://www.philgeps.gov.ph/GEPSNONPILOT/Tender/SplashBidNoticeAbstractUI.aspx?menuIndex=3&amp;refID=7045545&amp;Result=3","7045545")</f>
        <v>0</v>
      </c>
      <c r="B1196" t="s">
        <v>500</v>
      </c>
      <c r="C1196" t="s">
        <v>4337</v>
      </c>
      <c r="D1196" t="s">
        <v>18100</v>
      </c>
      <c r="E1196" t="s">
        <v>19230</v>
      </c>
      <c r="F1196" t="s">
        <v>31574</v>
      </c>
      <c r="G1196" t="s">
        <v>31582</v>
      </c>
      <c r="H1196" t="s">
        <v>31590</v>
      </c>
      <c r="I1196" t="s">
        <v>31601</v>
      </c>
      <c r="J1196" t="s">
        <v>31819</v>
      </c>
      <c r="K1196" t="s">
        <v>41184</v>
      </c>
      <c r="M1196" t="s">
        <v>41996</v>
      </c>
      <c r="N1196" t="s">
        <v>45095</v>
      </c>
      <c r="O1196" t="s">
        <v>45096</v>
      </c>
      <c r="P1196">
        <v>0</v>
      </c>
      <c r="Q1196">
        <v>0</v>
      </c>
      <c r="R1196" t="s">
        <v>45097</v>
      </c>
      <c r="S1196" t="s">
        <v>45222</v>
      </c>
      <c r="T1196" t="s">
        <v>46954</v>
      </c>
      <c r="U1196" t="s">
        <v>48513</v>
      </c>
      <c r="W1196" t="s">
        <v>41996</v>
      </c>
      <c r="X1196" t="s">
        <v>45098</v>
      </c>
    </row>
    <row r="1197" spans="1:24">
      <c r="A1197">
        <f>HYPERLINK("https://www.philgeps.gov.ph/GEPSNONPILOT/Tender/SplashBidNoticeAbstractUI.aspx?menuIndex=3&amp;refID=7045552&amp;Result=3","7045552")</f>
        <v>0</v>
      </c>
      <c r="B1197" t="s">
        <v>517</v>
      </c>
      <c r="C1197" t="s">
        <v>4338</v>
      </c>
      <c r="E1197" t="s">
        <v>19231</v>
      </c>
      <c r="F1197" t="s">
        <v>31574</v>
      </c>
      <c r="G1197" t="s">
        <v>31581</v>
      </c>
      <c r="H1197" t="s">
        <v>31590</v>
      </c>
      <c r="I1197" t="s">
        <v>4046</v>
      </c>
      <c r="J1197" t="s">
        <v>32627</v>
      </c>
      <c r="K1197" t="s">
        <v>41211</v>
      </c>
      <c r="M1197" t="s">
        <v>42013</v>
      </c>
      <c r="N1197" t="s">
        <v>45095</v>
      </c>
      <c r="O1197" t="s">
        <v>45096</v>
      </c>
      <c r="P1197">
        <v>0</v>
      </c>
      <c r="Q1197">
        <v>0</v>
      </c>
      <c r="R1197" t="s">
        <v>45097</v>
      </c>
      <c r="S1197" t="s">
        <v>45222</v>
      </c>
      <c r="T1197" t="s">
        <v>46911</v>
      </c>
      <c r="U1197" t="s">
        <v>48514</v>
      </c>
      <c r="W1197" t="s">
        <v>42013</v>
      </c>
      <c r="X1197" t="s">
        <v>45098</v>
      </c>
    </row>
    <row r="1198" spans="1:24">
      <c r="A1198">
        <f>HYPERLINK("https://www.philgeps.gov.ph/GEPSNONPILOT/Tender/SplashBidNoticeAbstractUI.aspx?menuIndex=3&amp;refID=7045532&amp;Result=3","7045532")</f>
        <v>0</v>
      </c>
      <c r="B1198" t="s">
        <v>518</v>
      </c>
      <c r="C1198" t="s">
        <v>4339</v>
      </c>
      <c r="D1198" t="s">
        <v>18040</v>
      </c>
      <c r="E1198" t="s">
        <v>4339</v>
      </c>
      <c r="F1198" t="s">
        <v>31574</v>
      </c>
      <c r="G1198" t="s">
        <v>31582</v>
      </c>
      <c r="H1198" t="s">
        <v>31591</v>
      </c>
      <c r="I1198" t="s">
        <v>8822</v>
      </c>
      <c r="J1198" t="s">
        <v>31962</v>
      </c>
      <c r="K1198" t="s">
        <v>41193</v>
      </c>
      <c r="M1198" t="s">
        <v>42014</v>
      </c>
      <c r="N1198" t="s">
        <v>45095</v>
      </c>
      <c r="O1198" t="s">
        <v>45096</v>
      </c>
      <c r="P1198">
        <v>0</v>
      </c>
      <c r="Q1198">
        <v>0</v>
      </c>
      <c r="R1198" t="s">
        <v>45097</v>
      </c>
      <c r="S1198" t="s">
        <v>45222</v>
      </c>
      <c r="T1198" t="s">
        <v>46984</v>
      </c>
      <c r="U1198" t="s">
        <v>48515</v>
      </c>
      <c r="W1198" t="s">
        <v>42014</v>
      </c>
      <c r="X1198" t="s">
        <v>45098</v>
      </c>
    </row>
    <row r="1199" spans="1:24">
      <c r="A1199">
        <f>HYPERLINK("https://www.philgeps.gov.ph/GEPSNONPILOT/Tender/SplashBidNoticeAbstractUI.aspx?menuIndex=3&amp;refID=7045543&amp;Result=3","7045543")</f>
        <v>0</v>
      </c>
      <c r="B1199" t="s">
        <v>218</v>
      </c>
      <c r="C1199" t="s">
        <v>4340</v>
      </c>
      <c r="D1199" t="s">
        <v>18070</v>
      </c>
      <c r="E1199" t="s">
        <v>19232</v>
      </c>
      <c r="F1199" t="s">
        <v>31574</v>
      </c>
      <c r="G1199" t="s">
        <v>31583</v>
      </c>
      <c r="H1199" t="s">
        <v>31590</v>
      </c>
      <c r="I1199" t="s">
        <v>4046</v>
      </c>
      <c r="J1199" t="s">
        <v>32628</v>
      </c>
      <c r="K1199" t="s">
        <v>41193</v>
      </c>
      <c r="M1199" t="s">
        <v>41703</v>
      </c>
      <c r="N1199" t="s">
        <v>45095</v>
      </c>
      <c r="O1199" t="s">
        <v>45096</v>
      </c>
      <c r="P1199">
        <v>0</v>
      </c>
      <c r="Q1199">
        <v>0</v>
      </c>
      <c r="R1199" t="s">
        <v>45097</v>
      </c>
      <c r="S1199" t="s">
        <v>45222</v>
      </c>
      <c r="T1199" t="s">
        <v>46957</v>
      </c>
      <c r="U1199" t="s">
        <v>47880</v>
      </c>
      <c r="W1199" t="s">
        <v>41703</v>
      </c>
      <c r="X1199" t="s">
        <v>45098</v>
      </c>
    </row>
    <row r="1200" spans="1:24">
      <c r="A1200">
        <f>HYPERLINK("https://www.philgeps.gov.ph/GEPSNONPILOT/Tender/SplashBidNoticeAbstractUI.aspx?menuIndex=3&amp;refID=7045550&amp;Result=3","7045550")</f>
        <v>0</v>
      </c>
      <c r="B1200" t="s">
        <v>519</v>
      </c>
      <c r="C1200" t="s">
        <v>4341</v>
      </c>
      <c r="D1200" t="s">
        <v>18100</v>
      </c>
      <c r="E1200" t="s">
        <v>19233</v>
      </c>
      <c r="F1200" t="s">
        <v>31574</v>
      </c>
      <c r="G1200" t="s">
        <v>31582</v>
      </c>
      <c r="H1200" t="s">
        <v>31591</v>
      </c>
      <c r="I1200" t="s">
        <v>4046</v>
      </c>
      <c r="J1200" t="s">
        <v>32629</v>
      </c>
      <c r="K1200" t="s">
        <v>41193</v>
      </c>
      <c r="M1200" t="s">
        <v>42015</v>
      </c>
      <c r="N1200" t="s">
        <v>45095</v>
      </c>
      <c r="O1200" t="s">
        <v>45096</v>
      </c>
      <c r="P1200">
        <v>0</v>
      </c>
      <c r="Q1200">
        <v>0</v>
      </c>
      <c r="R1200" t="s">
        <v>45097</v>
      </c>
      <c r="S1200" t="s">
        <v>45222</v>
      </c>
      <c r="T1200" t="s">
        <v>46935</v>
      </c>
      <c r="U1200" t="s">
        <v>48516</v>
      </c>
      <c r="W1200" t="s">
        <v>42015</v>
      </c>
      <c r="X1200" t="s">
        <v>45098</v>
      </c>
    </row>
    <row r="1201" spans="1:24">
      <c r="A1201">
        <f>HYPERLINK("https://www.philgeps.gov.ph/GEPSNONPILOT/Tender/SplashBidNoticeAbstractUI.aspx?menuIndex=3&amp;refID=7045555&amp;Result=3","7045555")</f>
        <v>0</v>
      </c>
      <c r="B1201" t="s">
        <v>520</v>
      </c>
      <c r="C1201" t="s">
        <v>4342</v>
      </c>
      <c r="D1201" t="s">
        <v>18025</v>
      </c>
      <c r="E1201" t="s">
        <v>19234</v>
      </c>
      <c r="F1201" t="s">
        <v>31574</v>
      </c>
      <c r="G1201" t="s">
        <v>31582</v>
      </c>
      <c r="H1201" t="s">
        <v>31590</v>
      </c>
      <c r="I1201" t="s">
        <v>3487</v>
      </c>
      <c r="J1201" t="s">
        <v>31741</v>
      </c>
      <c r="K1201" t="s">
        <v>41196</v>
      </c>
      <c r="M1201" t="s">
        <v>42016</v>
      </c>
      <c r="N1201" t="s">
        <v>45095</v>
      </c>
      <c r="O1201" t="s">
        <v>45096</v>
      </c>
      <c r="P1201">
        <v>0</v>
      </c>
      <c r="Q1201">
        <v>0</v>
      </c>
      <c r="R1201" t="s">
        <v>45097</v>
      </c>
      <c r="S1201" t="s">
        <v>45222</v>
      </c>
      <c r="T1201" t="s">
        <v>46926</v>
      </c>
      <c r="U1201" t="s">
        <v>48517</v>
      </c>
      <c r="W1201" t="s">
        <v>42016</v>
      </c>
      <c r="X1201" t="s">
        <v>45098</v>
      </c>
    </row>
    <row r="1202" spans="1:24">
      <c r="A1202">
        <f>HYPERLINK("https://www.philgeps.gov.ph/GEPSNONPILOT/Tender/SplashBidNoticeAbstractUI.aspx?menuIndex=3&amp;refID=7045558&amp;Result=3","7045558")</f>
        <v>0</v>
      </c>
      <c r="B1202" t="s">
        <v>402</v>
      </c>
      <c r="C1202" t="s">
        <v>4343</v>
      </c>
      <c r="D1202" t="s">
        <v>18078</v>
      </c>
      <c r="E1202" t="s">
        <v>19235</v>
      </c>
      <c r="F1202" t="s">
        <v>31574</v>
      </c>
      <c r="G1202" t="s">
        <v>31581</v>
      </c>
      <c r="H1202" t="s">
        <v>31590</v>
      </c>
      <c r="I1202" t="s">
        <v>3489</v>
      </c>
      <c r="J1202" t="s">
        <v>32630</v>
      </c>
      <c r="K1202" t="s">
        <v>41197</v>
      </c>
      <c r="M1202" t="s">
        <v>41893</v>
      </c>
      <c r="N1202" t="s">
        <v>45095</v>
      </c>
      <c r="O1202" t="s">
        <v>45096</v>
      </c>
      <c r="P1202">
        <v>0</v>
      </c>
      <c r="Q1202">
        <v>0</v>
      </c>
      <c r="R1202" t="s">
        <v>45097</v>
      </c>
      <c r="S1202" t="s">
        <v>45222</v>
      </c>
      <c r="T1202" t="s">
        <v>46961</v>
      </c>
      <c r="U1202" t="s">
        <v>48518</v>
      </c>
      <c r="W1202" t="s">
        <v>41893</v>
      </c>
      <c r="X1202" t="s">
        <v>45098</v>
      </c>
    </row>
    <row r="1203" spans="1:24">
      <c r="A1203">
        <f>HYPERLINK("https://www.philgeps.gov.ph/GEPSNONPILOT/Tender/SplashBidNoticeAbstractUI.aspx?menuIndex=3&amp;refID=7045557&amp;Result=3","7045557")</f>
        <v>0</v>
      </c>
      <c r="B1203" t="s">
        <v>502</v>
      </c>
      <c r="C1203" t="s">
        <v>4344</v>
      </c>
      <c r="D1203" t="s">
        <v>18022</v>
      </c>
      <c r="E1203" t="s">
        <v>19236</v>
      </c>
      <c r="F1203" t="s">
        <v>31574</v>
      </c>
      <c r="G1203" t="s">
        <v>31582</v>
      </c>
      <c r="H1203" t="s">
        <v>31590</v>
      </c>
      <c r="I1203" t="s">
        <v>3487</v>
      </c>
      <c r="J1203" t="s">
        <v>31789</v>
      </c>
      <c r="K1203" t="s">
        <v>41184</v>
      </c>
      <c r="M1203" t="s">
        <v>41998</v>
      </c>
      <c r="N1203" t="s">
        <v>45095</v>
      </c>
      <c r="O1203" t="s">
        <v>45096</v>
      </c>
      <c r="P1203">
        <v>0</v>
      </c>
      <c r="Q1203">
        <v>0</v>
      </c>
      <c r="R1203" t="s">
        <v>45097</v>
      </c>
      <c r="S1203" t="s">
        <v>45222</v>
      </c>
      <c r="T1203" t="s">
        <v>46920</v>
      </c>
      <c r="U1203" t="s">
        <v>48519</v>
      </c>
      <c r="W1203" t="s">
        <v>41998</v>
      </c>
      <c r="X1203" t="s">
        <v>45098</v>
      </c>
    </row>
    <row r="1204" spans="1:24">
      <c r="A1204">
        <f>HYPERLINK("https://www.philgeps.gov.ph/GEPSNONPILOT/Tender/SplashBidNoticeAbstractUI.aspx?menuIndex=3&amp;refID=7045546&amp;Result=3","7045546")</f>
        <v>0</v>
      </c>
      <c r="B1204" t="s">
        <v>521</v>
      </c>
      <c r="C1204" t="s">
        <v>4345</v>
      </c>
      <c r="D1204" t="s">
        <v>18052</v>
      </c>
      <c r="E1204" t="s">
        <v>19237</v>
      </c>
      <c r="F1204" t="s">
        <v>31574</v>
      </c>
      <c r="G1204" t="s">
        <v>31582</v>
      </c>
      <c r="H1204" t="s">
        <v>31591</v>
      </c>
      <c r="I1204" t="s">
        <v>8822</v>
      </c>
      <c r="J1204" t="s">
        <v>31907</v>
      </c>
      <c r="K1204" t="s">
        <v>41196</v>
      </c>
      <c r="M1204" t="s">
        <v>42017</v>
      </c>
      <c r="N1204" t="s">
        <v>45095</v>
      </c>
      <c r="O1204" t="s">
        <v>45096</v>
      </c>
      <c r="P1204">
        <v>0</v>
      </c>
      <c r="Q1204">
        <v>0</v>
      </c>
      <c r="R1204" t="s">
        <v>45097</v>
      </c>
      <c r="S1204" t="s">
        <v>45222</v>
      </c>
      <c r="T1204" t="s">
        <v>47063</v>
      </c>
      <c r="U1204" t="s">
        <v>48520</v>
      </c>
      <c r="V1204" t="s">
        <v>59963</v>
      </c>
      <c r="W1204" t="s">
        <v>42017</v>
      </c>
      <c r="X1204" t="s">
        <v>45098</v>
      </c>
    </row>
    <row r="1205" spans="1:24">
      <c r="A1205">
        <f>HYPERLINK("https://www.philgeps.gov.ph/GEPSNONPILOT/Tender/SplashBidNoticeAbstractUI.aspx?menuIndex=3&amp;refID=7045568&amp;Result=3","7045568")</f>
        <v>0</v>
      </c>
      <c r="B1205" t="s">
        <v>522</v>
      </c>
      <c r="C1205" t="s">
        <v>4346</v>
      </c>
      <c r="D1205" t="s">
        <v>18101</v>
      </c>
      <c r="E1205" t="s">
        <v>19238</v>
      </c>
      <c r="F1205" t="s">
        <v>31575</v>
      </c>
      <c r="G1205" t="s">
        <v>31581</v>
      </c>
      <c r="H1205" t="s">
        <v>31592</v>
      </c>
      <c r="I1205" t="s">
        <v>5717</v>
      </c>
      <c r="J1205" t="s">
        <v>32631</v>
      </c>
      <c r="K1205" t="s">
        <v>41193</v>
      </c>
      <c r="M1205" t="s">
        <v>42018</v>
      </c>
      <c r="N1205" t="s">
        <v>45095</v>
      </c>
      <c r="O1205" t="s">
        <v>45096</v>
      </c>
      <c r="P1205">
        <v>0</v>
      </c>
      <c r="Q1205">
        <v>0</v>
      </c>
      <c r="R1205" t="s">
        <v>45097</v>
      </c>
      <c r="S1205" t="s">
        <v>45222</v>
      </c>
      <c r="T1205" t="s">
        <v>46935</v>
      </c>
      <c r="U1205" t="s">
        <v>48521</v>
      </c>
      <c r="W1205" t="s">
        <v>42018</v>
      </c>
      <c r="X1205" t="s">
        <v>45098</v>
      </c>
    </row>
    <row r="1206" spans="1:24">
      <c r="A1206">
        <f>HYPERLINK("https://www.philgeps.gov.ph/GEPSNONPILOT/Tender/SplashBidNoticeAbstractUI.aspx?menuIndex=3&amp;refID=7045556&amp;Result=3","7045556")</f>
        <v>0</v>
      </c>
      <c r="B1206" t="s">
        <v>491</v>
      </c>
      <c r="C1206" t="s">
        <v>4347</v>
      </c>
      <c r="D1206" t="s">
        <v>18025</v>
      </c>
      <c r="E1206" t="s">
        <v>19239</v>
      </c>
      <c r="F1206" t="s">
        <v>31574</v>
      </c>
      <c r="G1206" t="s">
        <v>31581</v>
      </c>
      <c r="H1206" t="s">
        <v>31590</v>
      </c>
      <c r="I1206" t="s">
        <v>31626</v>
      </c>
      <c r="J1206" t="s">
        <v>32632</v>
      </c>
      <c r="K1206" t="s">
        <v>41193</v>
      </c>
      <c r="M1206" t="s">
        <v>41987</v>
      </c>
      <c r="N1206" t="s">
        <v>45095</v>
      </c>
      <c r="O1206" t="s">
        <v>45096</v>
      </c>
      <c r="P1206">
        <v>0</v>
      </c>
      <c r="Q1206">
        <v>0</v>
      </c>
      <c r="R1206" t="s">
        <v>45097</v>
      </c>
      <c r="S1206" t="s">
        <v>45222</v>
      </c>
      <c r="T1206" t="s">
        <v>47054</v>
      </c>
      <c r="U1206" t="s">
        <v>48462</v>
      </c>
      <c r="W1206" t="s">
        <v>41987</v>
      </c>
      <c r="X1206" t="s">
        <v>45098</v>
      </c>
    </row>
    <row r="1207" spans="1:24">
      <c r="A1207">
        <f>HYPERLINK("https://www.philgeps.gov.ph/GEPSNONPILOT/Tender/SplashBidNoticeAbstractUI.aspx?menuIndex=3&amp;refID=7045566&amp;Result=3","7045566")</f>
        <v>0</v>
      </c>
      <c r="B1207" t="s">
        <v>523</v>
      </c>
      <c r="C1207" t="s">
        <v>4348</v>
      </c>
      <c r="D1207" t="s">
        <v>18055</v>
      </c>
      <c r="E1207" t="s">
        <v>19240</v>
      </c>
      <c r="F1207" t="s">
        <v>31574</v>
      </c>
      <c r="G1207" t="s">
        <v>31582</v>
      </c>
      <c r="H1207" t="s">
        <v>31591</v>
      </c>
      <c r="I1207" t="s">
        <v>8822</v>
      </c>
      <c r="J1207" t="s">
        <v>32633</v>
      </c>
      <c r="K1207" t="s">
        <v>41193</v>
      </c>
      <c r="M1207" t="s">
        <v>42019</v>
      </c>
      <c r="N1207" t="s">
        <v>45095</v>
      </c>
      <c r="O1207" t="s">
        <v>45096</v>
      </c>
      <c r="P1207">
        <v>0</v>
      </c>
      <c r="Q1207">
        <v>0</v>
      </c>
      <c r="R1207" t="s">
        <v>45097</v>
      </c>
      <c r="S1207" t="s">
        <v>45222</v>
      </c>
      <c r="T1207" t="s">
        <v>46922</v>
      </c>
      <c r="U1207" t="s">
        <v>48522</v>
      </c>
      <c r="V1207" t="s">
        <v>59964</v>
      </c>
      <c r="W1207" t="s">
        <v>42019</v>
      </c>
      <c r="X1207" t="s">
        <v>45098</v>
      </c>
    </row>
    <row r="1208" spans="1:24">
      <c r="A1208">
        <f>HYPERLINK("https://www.philgeps.gov.ph/GEPSNONPILOT/Tender/SplashBidNoticeAbstractUI.aspx?menuIndex=3&amp;refID=7045567&amp;Result=3","7045567")</f>
        <v>0</v>
      </c>
      <c r="B1208" t="s">
        <v>524</v>
      </c>
      <c r="C1208" t="s">
        <v>4349</v>
      </c>
      <c r="D1208" t="s">
        <v>18094</v>
      </c>
      <c r="E1208" t="s">
        <v>19241</v>
      </c>
      <c r="F1208" t="s">
        <v>31574</v>
      </c>
      <c r="G1208" t="s">
        <v>31583</v>
      </c>
      <c r="H1208" t="s">
        <v>31590</v>
      </c>
      <c r="I1208" t="s">
        <v>4046</v>
      </c>
      <c r="J1208" t="s">
        <v>32634</v>
      </c>
      <c r="K1208" t="s">
        <v>41186</v>
      </c>
      <c r="M1208" t="s">
        <v>42020</v>
      </c>
      <c r="N1208" t="s">
        <v>45095</v>
      </c>
      <c r="O1208" t="s">
        <v>45096</v>
      </c>
      <c r="P1208">
        <v>0</v>
      </c>
      <c r="Q1208">
        <v>0</v>
      </c>
      <c r="R1208" t="s">
        <v>45097</v>
      </c>
      <c r="S1208" t="s">
        <v>45222</v>
      </c>
      <c r="T1208" t="s">
        <v>47064</v>
      </c>
      <c r="U1208" t="s">
        <v>48523</v>
      </c>
      <c r="W1208" t="s">
        <v>42020</v>
      </c>
      <c r="X1208" t="s">
        <v>45098</v>
      </c>
    </row>
    <row r="1209" spans="1:24">
      <c r="A1209">
        <f>HYPERLINK("https://www.philgeps.gov.ph/GEPSNONPILOT/Tender/SplashBidNoticeAbstractUI.aspx?menuIndex=3&amp;refID=7045561&amp;Result=3","7045561")</f>
        <v>0</v>
      </c>
      <c r="B1209" t="s">
        <v>288</v>
      </c>
      <c r="C1209" t="s">
        <v>4350</v>
      </c>
      <c r="D1209" t="s">
        <v>18075</v>
      </c>
      <c r="E1209" t="s">
        <v>19242</v>
      </c>
      <c r="F1209" t="s">
        <v>31574</v>
      </c>
      <c r="G1209" t="s">
        <v>31581</v>
      </c>
      <c r="H1209" t="s">
        <v>31590</v>
      </c>
      <c r="I1209" t="s">
        <v>31619</v>
      </c>
      <c r="J1209" t="s">
        <v>32635</v>
      </c>
      <c r="K1209" t="s">
        <v>41190</v>
      </c>
      <c r="M1209" t="s">
        <v>41774</v>
      </c>
      <c r="N1209" t="s">
        <v>45095</v>
      </c>
      <c r="O1209" t="s">
        <v>45096</v>
      </c>
      <c r="P1209">
        <v>0</v>
      </c>
      <c r="Q1209">
        <v>0</v>
      </c>
      <c r="R1209" t="s">
        <v>45097</v>
      </c>
      <c r="S1209" t="s">
        <v>45222</v>
      </c>
      <c r="T1209" t="s">
        <v>47006</v>
      </c>
      <c r="U1209" t="s">
        <v>48028</v>
      </c>
      <c r="W1209" t="s">
        <v>41774</v>
      </c>
      <c r="X1209" t="s">
        <v>45098</v>
      </c>
    </row>
    <row r="1210" spans="1:24">
      <c r="A1210">
        <f>HYPERLINK("https://www.philgeps.gov.ph/GEPSNONPILOT/Tender/SplashBidNoticeAbstractUI.aspx?menuIndex=3&amp;refID=7045563&amp;Result=3","7045563")</f>
        <v>0</v>
      </c>
      <c r="B1210" t="s">
        <v>525</v>
      </c>
      <c r="C1210" t="s">
        <v>4351</v>
      </c>
      <c r="D1210" t="s">
        <v>18091</v>
      </c>
      <c r="E1210" t="s">
        <v>4351</v>
      </c>
      <c r="F1210" t="s">
        <v>31574</v>
      </c>
      <c r="G1210" t="s">
        <v>31583</v>
      </c>
      <c r="H1210" t="s">
        <v>31590</v>
      </c>
      <c r="I1210" t="s">
        <v>4327</v>
      </c>
      <c r="J1210" t="s">
        <v>32636</v>
      </c>
      <c r="K1210" t="s">
        <v>41196</v>
      </c>
      <c r="L1210" t="s">
        <v>525</v>
      </c>
      <c r="M1210" t="s">
        <v>42021</v>
      </c>
      <c r="N1210" t="s">
        <v>45095</v>
      </c>
      <c r="O1210" t="s">
        <v>45096</v>
      </c>
      <c r="P1210">
        <v>0</v>
      </c>
      <c r="Q1210">
        <v>0</v>
      </c>
      <c r="R1210" t="s">
        <v>45097</v>
      </c>
      <c r="S1210" t="s">
        <v>45222</v>
      </c>
      <c r="T1210" t="s">
        <v>46946</v>
      </c>
      <c r="U1210" t="s">
        <v>48524</v>
      </c>
      <c r="W1210" t="s">
        <v>42021</v>
      </c>
      <c r="X1210" t="s">
        <v>45098</v>
      </c>
    </row>
    <row r="1211" spans="1:24">
      <c r="A1211">
        <f>HYPERLINK("https://www.philgeps.gov.ph/GEPSNONPILOT/Tender/SplashBidNoticeAbstractUI.aspx?menuIndex=3&amp;refID=7045570&amp;Result=3","7045570")</f>
        <v>0</v>
      </c>
      <c r="B1211" t="s">
        <v>508</v>
      </c>
      <c r="C1211" t="s">
        <v>4352</v>
      </c>
      <c r="D1211" t="s">
        <v>18023</v>
      </c>
      <c r="E1211" t="s">
        <v>19243</v>
      </c>
      <c r="F1211" t="s">
        <v>31574</v>
      </c>
      <c r="G1211" t="s">
        <v>31583</v>
      </c>
      <c r="H1211" t="s">
        <v>31590</v>
      </c>
      <c r="I1211" t="s">
        <v>7185</v>
      </c>
      <c r="J1211" t="s">
        <v>32637</v>
      </c>
      <c r="K1211" t="s">
        <v>41184</v>
      </c>
      <c r="M1211" t="s">
        <v>42004</v>
      </c>
      <c r="N1211" t="s">
        <v>45095</v>
      </c>
      <c r="O1211" t="s">
        <v>45096</v>
      </c>
      <c r="P1211">
        <v>0</v>
      </c>
      <c r="Q1211">
        <v>0</v>
      </c>
      <c r="R1211" t="s">
        <v>45097</v>
      </c>
      <c r="S1211" t="s">
        <v>45222</v>
      </c>
      <c r="T1211" t="s">
        <v>46904</v>
      </c>
      <c r="U1211" t="s">
        <v>48508</v>
      </c>
      <c r="V1211" t="s">
        <v>59965</v>
      </c>
      <c r="W1211" t="s">
        <v>42004</v>
      </c>
      <c r="X1211" t="s">
        <v>45098</v>
      </c>
    </row>
    <row r="1212" spans="1:24">
      <c r="A1212">
        <f>HYPERLINK("https://www.philgeps.gov.ph/GEPSNONPILOT/Tender/SplashBidNoticeAbstractUI.aspx?menuIndex=3&amp;refID=7045559&amp;Result=3","7045559")</f>
        <v>0</v>
      </c>
      <c r="B1212" t="s">
        <v>504</v>
      </c>
      <c r="C1212" t="s">
        <v>4353</v>
      </c>
      <c r="D1212" t="s">
        <v>18070</v>
      </c>
      <c r="E1212" t="s">
        <v>19244</v>
      </c>
      <c r="F1212" t="s">
        <v>31574</v>
      </c>
      <c r="G1212" t="s">
        <v>31581</v>
      </c>
      <c r="H1212" t="s">
        <v>31590</v>
      </c>
      <c r="I1212" t="s">
        <v>31633</v>
      </c>
      <c r="J1212" t="s">
        <v>31764</v>
      </c>
      <c r="K1212" t="s">
        <v>41184</v>
      </c>
      <c r="M1212" t="s">
        <v>42000</v>
      </c>
      <c r="N1212" t="s">
        <v>45095</v>
      </c>
      <c r="O1212" t="s">
        <v>45096</v>
      </c>
      <c r="P1212">
        <v>0</v>
      </c>
      <c r="Q1212">
        <v>0</v>
      </c>
      <c r="R1212" t="s">
        <v>45097</v>
      </c>
      <c r="S1212" t="s">
        <v>45222</v>
      </c>
      <c r="T1212" t="s">
        <v>46952</v>
      </c>
      <c r="U1212" t="s">
        <v>48488</v>
      </c>
      <c r="W1212" t="s">
        <v>42000</v>
      </c>
      <c r="X1212" t="s">
        <v>45098</v>
      </c>
    </row>
    <row r="1213" spans="1:24">
      <c r="A1213">
        <f>HYPERLINK("https://www.philgeps.gov.ph/GEPSNONPILOT/Tender/SplashBidNoticeAbstractUI.aspx?menuIndex=3&amp;refID=7045577&amp;Result=3","7045577")</f>
        <v>0</v>
      </c>
      <c r="B1213" t="s">
        <v>513</v>
      </c>
      <c r="C1213" t="s">
        <v>4354</v>
      </c>
      <c r="D1213" t="s">
        <v>18039</v>
      </c>
      <c r="E1213" t="s">
        <v>19245</v>
      </c>
      <c r="F1213" t="s">
        <v>31574</v>
      </c>
      <c r="G1213" t="s">
        <v>31581</v>
      </c>
      <c r="H1213" t="s">
        <v>31590</v>
      </c>
      <c r="I1213" t="s">
        <v>4354</v>
      </c>
      <c r="J1213" t="s">
        <v>32638</v>
      </c>
      <c r="K1213" t="s">
        <v>41213</v>
      </c>
      <c r="M1213" t="s">
        <v>42009</v>
      </c>
      <c r="N1213" t="s">
        <v>45095</v>
      </c>
      <c r="O1213" t="s">
        <v>45096</v>
      </c>
      <c r="P1213">
        <v>0</v>
      </c>
      <c r="Q1213">
        <v>0</v>
      </c>
      <c r="R1213" t="s">
        <v>45097</v>
      </c>
      <c r="S1213" t="s">
        <v>45222</v>
      </c>
      <c r="T1213" t="s">
        <v>46913</v>
      </c>
      <c r="U1213" t="s">
        <v>48504</v>
      </c>
      <c r="W1213" t="s">
        <v>42009</v>
      </c>
      <c r="X1213" t="s">
        <v>45098</v>
      </c>
    </row>
    <row r="1214" spans="1:24">
      <c r="A1214">
        <f>HYPERLINK("https://www.philgeps.gov.ph/GEPSNONPILOT/Tender/SplashBidNoticeAbstractUI.aspx?menuIndex=3&amp;refID=7045565&amp;Result=3","7045565")</f>
        <v>0</v>
      </c>
      <c r="B1214" t="s">
        <v>116</v>
      </c>
      <c r="C1214" t="s">
        <v>4355</v>
      </c>
      <c r="D1214" t="s">
        <v>18068</v>
      </c>
      <c r="E1214" t="s">
        <v>19246</v>
      </c>
      <c r="F1214" t="s">
        <v>31574</v>
      </c>
      <c r="G1214" t="s">
        <v>31585</v>
      </c>
      <c r="H1214" t="s">
        <v>31590</v>
      </c>
      <c r="I1214" t="s">
        <v>31608</v>
      </c>
      <c r="J1214" t="s">
        <v>31848</v>
      </c>
      <c r="K1214" t="s">
        <v>41196</v>
      </c>
      <c r="M1214" t="s">
        <v>41600</v>
      </c>
      <c r="N1214" t="s">
        <v>45095</v>
      </c>
      <c r="O1214" t="s">
        <v>45096</v>
      </c>
      <c r="P1214">
        <v>0</v>
      </c>
      <c r="Q1214">
        <v>0</v>
      </c>
      <c r="R1214" t="s">
        <v>45097</v>
      </c>
      <c r="S1214" t="s">
        <v>45222</v>
      </c>
      <c r="T1214" t="s">
        <v>47056</v>
      </c>
      <c r="U1214" t="s">
        <v>48525</v>
      </c>
      <c r="V1214" t="s">
        <v>59888</v>
      </c>
      <c r="W1214" t="s">
        <v>41600</v>
      </c>
      <c r="X1214" t="s">
        <v>45098</v>
      </c>
    </row>
    <row r="1215" spans="1:24">
      <c r="A1215">
        <f>HYPERLINK("https://www.philgeps.gov.ph/GEPSNONPILOT/Tender/SplashBidNoticeAbstractUI.aspx?menuIndex=3&amp;refID=7045569&amp;Result=3","7045569")</f>
        <v>0</v>
      </c>
      <c r="B1215" t="s">
        <v>502</v>
      </c>
      <c r="C1215" t="s">
        <v>4356</v>
      </c>
      <c r="D1215" t="s">
        <v>18022</v>
      </c>
      <c r="E1215" t="s">
        <v>19247</v>
      </c>
      <c r="F1215" t="s">
        <v>31574</v>
      </c>
      <c r="G1215" t="s">
        <v>31582</v>
      </c>
      <c r="H1215" t="s">
        <v>31590</v>
      </c>
      <c r="I1215" t="s">
        <v>6800</v>
      </c>
      <c r="J1215" t="s">
        <v>31727</v>
      </c>
      <c r="K1215" t="s">
        <v>41184</v>
      </c>
      <c r="M1215" t="s">
        <v>41998</v>
      </c>
      <c r="N1215" t="s">
        <v>45095</v>
      </c>
      <c r="O1215" t="s">
        <v>45096</v>
      </c>
      <c r="P1215">
        <v>0</v>
      </c>
      <c r="Q1215">
        <v>0</v>
      </c>
      <c r="R1215" t="s">
        <v>45097</v>
      </c>
      <c r="S1215" t="s">
        <v>45222</v>
      </c>
      <c r="T1215" t="s">
        <v>46935</v>
      </c>
      <c r="U1215" t="s">
        <v>48526</v>
      </c>
      <c r="W1215" t="s">
        <v>41998</v>
      </c>
      <c r="X1215" t="s">
        <v>45098</v>
      </c>
    </row>
    <row r="1216" spans="1:24">
      <c r="A1216">
        <f>HYPERLINK("https://www.philgeps.gov.ph/GEPSNONPILOT/Tender/SplashBidNoticeAbstractUI.aspx?menuIndex=3&amp;refID=7045560&amp;Result=3","7045560")</f>
        <v>0</v>
      </c>
      <c r="B1216" t="s">
        <v>191</v>
      </c>
      <c r="C1216" t="s">
        <v>4357</v>
      </c>
      <c r="D1216" t="s">
        <v>18082</v>
      </c>
      <c r="E1216" t="s">
        <v>19248</v>
      </c>
      <c r="F1216" t="s">
        <v>31574</v>
      </c>
      <c r="G1216" t="s">
        <v>31582</v>
      </c>
      <c r="H1216" t="s">
        <v>31591</v>
      </c>
      <c r="I1216" t="s">
        <v>8822</v>
      </c>
      <c r="J1216" t="s">
        <v>32639</v>
      </c>
      <c r="K1216" t="s">
        <v>41184</v>
      </c>
      <c r="M1216" t="s">
        <v>41676</v>
      </c>
      <c r="N1216" t="s">
        <v>45095</v>
      </c>
      <c r="O1216" t="s">
        <v>45096</v>
      </c>
      <c r="P1216">
        <v>0</v>
      </c>
      <c r="Q1216">
        <v>0</v>
      </c>
      <c r="R1216" t="s">
        <v>45097</v>
      </c>
      <c r="S1216" t="s">
        <v>45222</v>
      </c>
      <c r="T1216" t="s">
        <v>46924</v>
      </c>
      <c r="U1216" t="s">
        <v>47828</v>
      </c>
      <c r="W1216" t="s">
        <v>41676</v>
      </c>
      <c r="X1216" t="s">
        <v>45098</v>
      </c>
    </row>
    <row r="1217" spans="1:24">
      <c r="A1217">
        <f>HYPERLINK("https://www.philgeps.gov.ph/GEPSNONPILOT/Tender/SplashBidNoticeAbstractUI.aspx?menuIndex=3&amp;refID=7045576&amp;Result=3","7045576")</f>
        <v>0</v>
      </c>
      <c r="B1217" t="s">
        <v>305</v>
      </c>
      <c r="C1217" t="s">
        <v>4358</v>
      </c>
      <c r="D1217" t="s">
        <v>18066</v>
      </c>
      <c r="E1217" t="s">
        <v>19249</v>
      </c>
      <c r="F1217" t="s">
        <v>31574</v>
      </c>
      <c r="G1217" t="s">
        <v>31581</v>
      </c>
      <c r="H1217" t="s">
        <v>31590</v>
      </c>
      <c r="I1217" t="s">
        <v>4046</v>
      </c>
      <c r="J1217" t="s">
        <v>32640</v>
      </c>
      <c r="K1217" t="s">
        <v>41184</v>
      </c>
      <c r="M1217" t="s">
        <v>41791</v>
      </c>
      <c r="N1217" t="s">
        <v>45095</v>
      </c>
      <c r="O1217" t="s">
        <v>45096</v>
      </c>
      <c r="P1217">
        <v>0</v>
      </c>
      <c r="Q1217">
        <v>0</v>
      </c>
      <c r="R1217" t="s">
        <v>45097</v>
      </c>
      <c r="S1217" t="s">
        <v>45222</v>
      </c>
      <c r="T1217" t="s">
        <v>46913</v>
      </c>
      <c r="U1217" t="s">
        <v>48527</v>
      </c>
      <c r="W1217" t="s">
        <v>41791</v>
      </c>
      <c r="X1217" t="s">
        <v>45098</v>
      </c>
    </row>
    <row r="1218" spans="1:24">
      <c r="A1218">
        <f>HYPERLINK("https://www.philgeps.gov.ph/GEPSNONPILOT/Tender/SplashBidNoticeAbstractUI.aspx?menuIndex=3&amp;refID=7045572&amp;Result=3","7045572")</f>
        <v>0</v>
      </c>
      <c r="B1218" t="s">
        <v>526</v>
      </c>
      <c r="C1218" t="s">
        <v>4359</v>
      </c>
      <c r="D1218" t="s">
        <v>18086</v>
      </c>
      <c r="E1218" t="s">
        <v>19061</v>
      </c>
      <c r="F1218" t="s">
        <v>31574</v>
      </c>
      <c r="G1218" t="s">
        <v>31582</v>
      </c>
      <c r="H1218" t="s">
        <v>31590</v>
      </c>
      <c r="I1218" t="s">
        <v>4046</v>
      </c>
      <c r="J1218" t="s">
        <v>32641</v>
      </c>
      <c r="K1218" t="s">
        <v>41186</v>
      </c>
      <c r="M1218" t="s">
        <v>42022</v>
      </c>
      <c r="N1218" t="s">
        <v>45095</v>
      </c>
      <c r="O1218" t="s">
        <v>45096</v>
      </c>
      <c r="P1218">
        <v>0</v>
      </c>
      <c r="Q1218">
        <v>0</v>
      </c>
      <c r="R1218" t="s">
        <v>45097</v>
      </c>
      <c r="S1218" t="s">
        <v>45222</v>
      </c>
      <c r="T1218" t="s">
        <v>46914</v>
      </c>
      <c r="U1218" t="s">
        <v>48528</v>
      </c>
      <c r="W1218" t="s">
        <v>42022</v>
      </c>
      <c r="X1218" t="s">
        <v>45098</v>
      </c>
    </row>
    <row r="1219" spans="1:24">
      <c r="A1219">
        <f>HYPERLINK("https://www.philgeps.gov.ph/GEPSNONPILOT/Tender/SplashBidNoticeAbstractUI.aspx?menuIndex=3&amp;refID=7045574&amp;Result=3","7045574")</f>
        <v>0</v>
      </c>
      <c r="B1219" t="s">
        <v>24</v>
      </c>
      <c r="C1219" t="s">
        <v>4360</v>
      </c>
      <c r="D1219" t="s">
        <v>18022</v>
      </c>
      <c r="E1219" t="s">
        <v>19250</v>
      </c>
      <c r="F1219" t="s">
        <v>31574</v>
      </c>
      <c r="G1219" t="s">
        <v>31582</v>
      </c>
      <c r="H1219" t="s">
        <v>31591</v>
      </c>
      <c r="I1219" t="s">
        <v>8822</v>
      </c>
      <c r="J1219" t="s">
        <v>32642</v>
      </c>
      <c r="K1219" t="s">
        <v>41243</v>
      </c>
      <c r="M1219" t="s">
        <v>42023</v>
      </c>
      <c r="N1219" t="s">
        <v>45095</v>
      </c>
      <c r="O1219" t="s">
        <v>45096</v>
      </c>
      <c r="P1219">
        <v>0</v>
      </c>
      <c r="Q1219">
        <v>0</v>
      </c>
      <c r="R1219" t="s">
        <v>45097</v>
      </c>
      <c r="S1219" t="s">
        <v>45222</v>
      </c>
      <c r="T1219" t="s">
        <v>46909</v>
      </c>
      <c r="U1219" t="s">
        <v>48529</v>
      </c>
      <c r="V1219" t="s">
        <v>59966</v>
      </c>
      <c r="W1219" t="s">
        <v>42023</v>
      </c>
      <c r="X1219" t="s">
        <v>45098</v>
      </c>
    </row>
    <row r="1220" spans="1:24">
      <c r="A1220">
        <f>HYPERLINK("https://www.philgeps.gov.ph/GEPSNONPILOT/Tender/SplashBidNoticeAbstractUI.aspx?menuIndex=3&amp;refID=7045573&amp;Result=3","7045573")</f>
        <v>0</v>
      </c>
      <c r="B1220" t="s">
        <v>511</v>
      </c>
      <c r="C1220" t="s">
        <v>4361</v>
      </c>
      <c r="D1220" t="s">
        <v>18043</v>
      </c>
      <c r="E1220" t="s">
        <v>19251</v>
      </c>
      <c r="F1220" t="s">
        <v>31574</v>
      </c>
      <c r="G1220" t="s">
        <v>31581</v>
      </c>
      <c r="H1220" t="s">
        <v>31590</v>
      </c>
      <c r="I1220" t="s">
        <v>4046</v>
      </c>
      <c r="J1220" t="s">
        <v>32643</v>
      </c>
      <c r="K1220" t="s">
        <v>41186</v>
      </c>
      <c r="M1220" t="s">
        <v>42007</v>
      </c>
      <c r="N1220" t="s">
        <v>45095</v>
      </c>
      <c r="O1220" t="s">
        <v>45096</v>
      </c>
      <c r="P1220">
        <v>0</v>
      </c>
      <c r="Q1220">
        <v>0</v>
      </c>
      <c r="R1220" t="s">
        <v>45097</v>
      </c>
      <c r="S1220" t="s">
        <v>45222</v>
      </c>
      <c r="T1220" t="s">
        <v>46905</v>
      </c>
      <c r="U1220" t="s">
        <v>48502</v>
      </c>
      <c r="V1220" t="s">
        <v>59960</v>
      </c>
      <c r="W1220" t="s">
        <v>42007</v>
      </c>
      <c r="X1220" t="s">
        <v>45098</v>
      </c>
    </row>
    <row r="1221" spans="1:24">
      <c r="A1221">
        <f>HYPERLINK("https://www.philgeps.gov.ph/GEPSNONPILOT/Tender/SplashBidNoticeAbstractUI.aspx?menuIndex=3&amp;refID=7045578&amp;Result=3","7045578")</f>
        <v>0</v>
      </c>
      <c r="B1221" t="s">
        <v>527</v>
      </c>
      <c r="C1221" t="s">
        <v>4362</v>
      </c>
      <c r="D1221" t="s">
        <v>18075</v>
      </c>
      <c r="E1221" t="s">
        <v>19252</v>
      </c>
      <c r="F1221" t="s">
        <v>31574</v>
      </c>
      <c r="G1221" t="s">
        <v>31584</v>
      </c>
      <c r="H1221" t="s">
        <v>31590</v>
      </c>
      <c r="I1221" t="s">
        <v>31636</v>
      </c>
      <c r="J1221" t="s">
        <v>31727</v>
      </c>
      <c r="K1221" t="s">
        <v>41193</v>
      </c>
      <c r="M1221" t="s">
        <v>42024</v>
      </c>
      <c r="N1221" t="s">
        <v>45095</v>
      </c>
      <c r="O1221" t="s">
        <v>45096</v>
      </c>
      <c r="P1221">
        <v>0</v>
      </c>
      <c r="Q1221">
        <v>0</v>
      </c>
      <c r="R1221" t="s">
        <v>45097</v>
      </c>
      <c r="S1221" t="s">
        <v>45222</v>
      </c>
      <c r="T1221" t="s">
        <v>47065</v>
      </c>
      <c r="U1221" t="s">
        <v>48530</v>
      </c>
      <c r="W1221" t="s">
        <v>42024</v>
      </c>
      <c r="X1221" t="s">
        <v>45098</v>
      </c>
    </row>
    <row r="1222" spans="1:24">
      <c r="A1222">
        <f>HYPERLINK("https://www.philgeps.gov.ph/GEPSNONPILOT/Tender/SplashBidNoticeAbstractUI.aspx?menuIndex=3&amp;refID=7045585&amp;Result=3","7045585")</f>
        <v>0</v>
      </c>
      <c r="B1222" t="s">
        <v>528</v>
      </c>
      <c r="C1222" t="s">
        <v>4363</v>
      </c>
      <c r="D1222" t="s">
        <v>18041</v>
      </c>
      <c r="E1222" t="s">
        <v>18377</v>
      </c>
      <c r="F1222" t="s">
        <v>31574</v>
      </c>
      <c r="G1222" t="s">
        <v>31581</v>
      </c>
      <c r="H1222" t="s">
        <v>31590</v>
      </c>
      <c r="I1222" t="s">
        <v>31595</v>
      </c>
      <c r="J1222" t="s">
        <v>32644</v>
      </c>
      <c r="K1222" t="s">
        <v>41197</v>
      </c>
      <c r="M1222" t="s">
        <v>42025</v>
      </c>
      <c r="N1222" t="s">
        <v>45095</v>
      </c>
      <c r="O1222" t="s">
        <v>45096</v>
      </c>
      <c r="P1222">
        <v>0</v>
      </c>
      <c r="Q1222">
        <v>0</v>
      </c>
      <c r="R1222" t="s">
        <v>45097</v>
      </c>
      <c r="S1222" t="s">
        <v>45222</v>
      </c>
      <c r="T1222" t="s">
        <v>46913</v>
      </c>
      <c r="U1222" t="s">
        <v>48531</v>
      </c>
      <c r="V1222" t="s">
        <v>59967</v>
      </c>
      <c r="W1222" t="s">
        <v>42025</v>
      </c>
      <c r="X1222" t="s">
        <v>45098</v>
      </c>
    </row>
    <row r="1223" spans="1:24">
      <c r="A1223">
        <f>HYPERLINK("https://www.philgeps.gov.ph/GEPSNONPILOT/Tender/SplashBidNoticeAbstractUI.aspx?menuIndex=3&amp;refID=7045571&amp;Result=3","7045571")</f>
        <v>0</v>
      </c>
      <c r="B1223" t="s">
        <v>494</v>
      </c>
      <c r="C1223" t="s">
        <v>4364</v>
      </c>
      <c r="D1223" t="s">
        <v>18028</v>
      </c>
      <c r="E1223" t="s">
        <v>19253</v>
      </c>
      <c r="F1223" t="s">
        <v>31574</v>
      </c>
      <c r="G1223" t="s">
        <v>31582</v>
      </c>
      <c r="H1223" t="s">
        <v>31591</v>
      </c>
      <c r="I1223" t="s">
        <v>8822</v>
      </c>
      <c r="J1223" t="s">
        <v>32645</v>
      </c>
      <c r="K1223" t="s">
        <v>41192</v>
      </c>
      <c r="M1223" t="s">
        <v>41990</v>
      </c>
      <c r="N1223" t="s">
        <v>45095</v>
      </c>
      <c r="O1223" t="s">
        <v>45096</v>
      </c>
      <c r="P1223">
        <v>0</v>
      </c>
      <c r="Q1223">
        <v>0</v>
      </c>
      <c r="R1223" t="s">
        <v>45097</v>
      </c>
      <c r="S1223" t="s">
        <v>45222</v>
      </c>
      <c r="T1223" t="s">
        <v>46956</v>
      </c>
      <c r="U1223" t="s">
        <v>48532</v>
      </c>
      <c r="W1223" t="s">
        <v>41990</v>
      </c>
      <c r="X1223" t="s">
        <v>45098</v>
      </c>
    </row>
    <row r="1224" spans="1:24">
      <c r="A1224">
        <f>HYPERLINK("https://www.philgeps.gov.ph/GEPSNONPILOT/Tender/SplashBidNoticeAbstractUI.aspx?menuIndex=3&amp;refID=7045581&amp;Result=3","7045581")</f>
        <v>0</v>
      </c>
      <c r="B1224" t="s">
        <v>529</v>
      </c>
      <c r="C1224" t="s">
        <v>4365</v>
      </c>
      <c r="D1224" t="s">
        <v>18033</v>
      </c>
      <c r="E1224" t="s">
        <v>19254</v>
      </c>
      <c r="F1224" t="s">
        <v>31574</v>
      </c>
      <c r="G1224" t="s">
        <v>31581</v>
      </c>
      <c r="H1224" t="s">
        <v>31590</v>
      </c>
      <c r="I1224" t="s">
        <v>31606</v>
      </c>
      <c r="J1224" t="s">
        <v>32646</v>
      </c>
      <c r="K1224" t="s">
        <v>41184</v>
      </c>
      <c r="M1224" t="s">
        <v>42026</v>
      </c>
      <c r="N1224" t="s">
        <v>45095</v>
      </c>
      <c r="O1224" t="s">
        <v>45096</v>
      </c>
      <c r="P1224">
        <v>0</v>
      </c>
      <c r="Q1224">
        <v>0</v>
      </c>
      <c r="R1224" t="s">
        <v>45097</v>
      </c>
      <c r="S1224" t="s">
        <v>45222</v>
      </c>
      <c r="T1224" t="s">
        <v>46918</v>
      </c>
      <c r="U1224" t="s">
        <v>48533</v>
      </c>
      <c r="W1224" t="s">
        <v>42026</v>
      </c>
      <c r="X1224" t="s">
        <v>45098</v>
      </c>
    </row>
    <row r="1225" spans="1:24">
      <c r="A1225">
        <f>HYPERLINK("https://www.philgeps.gov.ph/GEPSNONPILOT/Tender/SplashBidNoticeAbstractUI.aspx?menuIndex=3&amp;refID=7045580&amp;Result=3","7045580")</f>
        <v>0</v>
      </c>
      <c r="B1225" t="s">
        <v>530</v>
      </c>
      <c r="C1225" t="s">
        <v>4366</v>
      </c>
      <c r="D1225" t="s">
        <v>18071</v>
      </c>
      <c r="E1225" t="s">
        <v>4366</v>
      </c>
      <c r="F1225" t="s">
        <v>31574</v>
      </c>
      <c r="G1225" t="s">
        <v>31582</v>
      </c>
      <c r="H1225" t="s">
        <v>31590</v>
      </c>
      <c r="I1225" t="s">
        <v>3651</v>
      </c>
      <c r="J1225" t="s">
        <v>32647</v>
      </c>
      <c r="K1225" t="s">
        <v>41184</v>
      </c>
      <c r="M1225" t="s">
        <v>42027</v>
      </c>
      <c r="N1225" t="s">
        <v>45095</v>
      </c>
      <c r="O1225" t="s">
        <v>45096</v>
      </c>
      <c r="P1225">
        <v>0</v>
      </c>
      <c r="Q1225">
        <v>0</v>
      </c>
      <c r="R1225" t="s">
        <v>45097</v>
      </c>
      <c r="S1225" t="s">
        <v>45222</v>
      </c>
      <c r="T1225" t="s">
        <v>47066</v>
      </c>
      <c r="U1225" t="s">
        <v>48534</v>
      </c>
      <c r="W1225" t="s">
        <v>42027</v>
      </c>
      <c r="X1225" t="s">
        <v>45098</v>
      </c>
    </row>
    <row r="1226" spans="1:24">
      <c r="A1226">
        <f>HYPERLINK("https://www.philgeps.gov.ph/GEPSNONPILOT/Tender/SplashBidNoticeAbstractUI.aspx?menuIndex=3&amp;refID=7045584&amp;Result=3","7045584")</f>
        <v>0</v>
      </c>
      <c r="B1226" t="s">
        <v>236</v>
      </c>
      <c r="C1226" t="s">
        <v>3663</v>
      </c>
      <c r="D1226" t="s">
        <v>18063</v>
      </c>
      <c r="E1226" t="s">
        <v>19255</v>
      </c>
      <c r="F1226" t="s">
        <v>31574</v>
      </c>
      <c r="G1226" t="s">
        <v>31581</v>
      </c>
      <c r="H1226" t="s">
        <v>31590</v>
      </c>
      <c r="I1226" t="s">
        <v>6800</v>
      </c>
      <c r="J1226" t="s">
        <v>32648</v>
      </c>
      <c r="K1226" t="s">
        <v>41186</v>
      </c>
      <c r="M1226" t="s">
        <v>41722</v>
      </c>
      <c r="N1226" t="s">
        <v>45095</v>
      </c>
      <c r="O1226" t="s">
        <v>45096</v>
      </c>
      <c r="P1226">
        <v>0</v>
      </c>
      <c r="Q1226">
        <v>0</v>
      </c>
      <c r="R1226" t="s">
        <v>45097</v>
      </c>
      <c r="S1226" t="s">
        <v>45222</v>
      </c>
      <c r="T1226" t="s">
        <v>46961</v>
      </c>
      <c r="U1226" t="s">
        <v>48535</v>
      </c>
      <c r="W1226" t="s">
        <v>41722</v>
      </c>
      <c r="X1226" t="s">
        <v>45098</v>
      </c>
    </row>
    <row r="1227" spans="1:24">
      <c r="A1227">
        <f>HYPERLINK("https://www.philgeps.gov.ph/GEPSNONPILOT/Tender/SplashBidNoticeAbstractUI.aspx?menuIndex=3&amp;refID=7045600&amp;Result=3","7045600")</f>
        <v>0</v>
      </c>
      <c r="B1227" t="s">
        <v>437</v>
      </c>
      <c r="C1227" t="s">
        <v>4367</v>
      </c>
      <c r="D1227" t="s">
        <v>18056</v>
      </c>
      <c r="E1227" t="s">
        <v>19256</v>
      </c>
      <c r="F1227" t="s">
        <v>31574</v>
      </c>
      <c r="G1227" t="s">
        <v>31581</v>
      </c>
      <c r="H1227" t="s">
        <v>31590</v>
      </c>
      <c r="I1227" t="s">
        <v>5717</v>
      </c>
      <c r="J1227" t="s">
        <v>32649</v>
      </c>
      <c r="K1227" t="s">
        <v>41193</v>
      </c>
      <c r="M1227" t="s">
        <v>41930</v>
      </c>
      <c r="N1227" t="s">
        <v>45095</v>
      </c>
      <c r="O1227" t="s">
        <v>45096</v>
      </c>
      <c r="P1227">
        <v>0</v>
      </c>
      <c r="Q1227">
        <v>0</v>
      </c>
      <c r="R1227" t="s">
        <v>45097</v>
      </c>
      <c r="S1227" t="s">
        <v>45222</v>
      </c>
      <c r="T1227" t="s">
        <v>46946</v>
      </c>
      <c r="U1227" t="s">
        <v>48536</v>
      </c>
      <c r="W1227" t="s">
        <v>41930</v>
      </c>
      <c r="X1227" t="s">
        <v>45098</v>
      </c>
    </row>
    <row r="1228" spans="1:24">
      <c r="A1228">
        <f>HYPERLINK("https://www.philgeps.gov.ph/GEPSNONPILOT/Tender/SplashBidNoticeAbstractUI.aspx?menuIndex=3&amp;refID=7045602&amp;Result=3","7045602")</f>
        <v>0</v>
      </c>
      <c r="B1228" t="s">
        <v>502</v>
      </c>
      <c r="C1228" t="s">
        <v>4368</v>
      </c>
      <c r="D1228" t="s">
        <v>18022</v>
      </c>
      <c r="E1228" t="s">
        <v>19257</v>
      </c>
      <c r="F1228" t="s">
        <v>31574</v>
      </c>
      <c r="G1228" t="s">
        <v>31583</v>
      </c>
      <c r="H1228" t="s">
        <v>31590</v>
      </c>
      <c r="I1228" t="s">
        <v>31629</v>
      </c>
      <c r="J1228" t="s">
        <v>31935</v>
      </c>
      <c r="K1228" t="s">
        <v>41184</v>
      </c>
      <c r="M1228" t="s">
        <v>41998</v>
      </c>
      <c r="N1228" t="s">
        <v>45095</v>
      </c>
      <c r="O1228" t="s">
        <v>45096</v>
      </c>
      <c r="P1228">
        <v>0</v>
      </c>
      <c r="Q1228">
        <v>0</v>
      </c>
      <c r="R1228" t="s">
        <v>45097</v>
      </c>
      <c r="S1228" t="s">
        <v>45222</v>
      </c>
      <c r="T1228" t="s">
        <v>46969</v>
      </c>
      <c r="U1228" t="s">
        <v>48537</v>
      </c>
      <c r="W1228" t="s">
        <v>41998</v>
      </c>
      <c r="X1228" t="s">
        <v>45098</v>
      </c>
    </row>
    <row r="1229" spans="1:24">
      <c r="A1229">
        <f>HYPERLINK("https://www.philgeps.gov.ph/GEPSNONPILOT/Tender/SplashBidNoticeAbstractUI.aspx?menuIndex=3&amp;refID=7045605&amp;Result=3","7045605")</f>
        <v>0</v>
      </c>
      <c r="B1229" t="s">
        <v>402</v>
      </c>
      <c r="C1229" t="s">
        <v>4369</v>
      </c>
      <c r="D1229" t="s">
        <v>18078</v>
      </c>
      <c r="E1229" t="s">
        <v>19258</v>
      </c>
      <c r="F1229" t="s">
        <v>31574</v>
      </c>
      <c r="G1229" t="s">
        <v>31581</v>
      </c>
      <c r="H1229" t="s">
        <v>31590</v>
      </c>
      <c r="I1229" t="s">
        <v>31612</v>
      </c>
      <c r="J1229" t="s">
        <v>32650</v>
      </c>
      <c r="K1229" t="s">
        <v>41197</v>
      </c>
      <c r="M1229" t="s">
        <v>41893</v>
      </c>
      <c r="N1229" t="s">
        <v>45095</v>
      </c>
      <c r="O1229" t="s">
        <v>45096</v>
      </c>
      <c r="P1229">
        <v>0</v>
      </c>
      <c r="Q1229">
        <v>0</v>
      </c>
      <c r="R1229" t="s">
        <v>45097</v>
      </c>
      <c r="S1229" t="s">
        <v>45222</v>
      </c>
      <c r="T1229" t="s">
        <v>46961</v>
      </c>
      <c r="U1229" t="s">
        <v>48538</v>
      </c>
      <c r="W1229" t="s">
        <v>41893</v>
      </c>
      <c r="X1229" t="s">
        <v>45098</v>
      </c>
    </row>
    <row r="1230" spans="1:24">
      <c r="A1230">
        <f>HYPERLINK("https://www.philgeps.gov.ph/GEPSNONPILOT/Tender/SplashBidNoticeAbstractUI.aspx?menuIndex=3&amp;refID=7045583&amp;Result=3","7045583")</f>
        <v>0</v>
      </c>
      <c r="B1230" t="s">
        <v>531</v>
      </c>
      <c r="C1230" t="s">
        <v>4370</v>
      </c>
      <c r="D1230" t="s">
        <v>18055</v>
      </c>
      <c r="E1230" t="s">
        <v>19061</v>
      </c>
      <c r="F1230" t="s">
        <v>31574</v>
      </c>
      <c r="G1230" t="s">
        <v>31583</v>
      </c>
      <c r="H1230" t="s">
        <v>31590</v>
      </c>
      <c r="I1230" t="s">
        <v>31597</v>
      </c>
      <c r="J1230" t="s">
        <v>31726</v>
      </c>
      <c r="K1230" t="s">
        <v>41184</v>
      </c>
      <c r="M1230" t="s">
        <v>42028</v>
      </c>
      <c r="N1230" t="s">
        <v>45095</v>
      </c>
      <c r="O1230" t="s">
        <v>45096</v>
      </c>
      <c r="P1230">
        <v>0</v>
      </c>
      <c r="Q1230">
        <v>0</v>
      </c>
      <c r="R1230" t="s">
        <v>45097</v>
      </c>
      <c r="S1230" t="s">
        <v>45222</v>
      </c>
      <c r="T1230" t="s">
        <v>46957</v>
      </c>
      <c r="U1230" t="s">
        <v>48539</v>
      </c>
      <c r="W1230" t="s">
        <v>61672</v>
      </c>
      <c r="X1230" t="s">
        <v>45098</v>
      </c>
    </row>
    <row r="1231" spans="1:24">
      <c r="A1231">
        <f>HYPERLINK("https://www.philgeps.gov.ph/GEPSNONPILOT/Tender/SplashBidNoticeAbstractUI.aspx?menuIndex=3&amp;refID=7045597&amp;Result=3","7045597")</f>
        <v>0</v>
      </c>
      <c r="B1231" t="s">
        <v>116</v>
      </c>
      <c r="C1231" t="s">
        <v>4371</v>
      </c>
      <c r="D1231" t="s">
        <v>18068</v>
      </c>
      <c r="E1231" t="s">
        <v>19259</v>
      </c>
      <c r="F1231" t="s">
        <v>31574</v>
      </c>
      <c r="G1231" t="s">
        <v>31585</v>
      </c>
      <c r="H1231" t="s">
        <v>31590</v>
      </c>
      <c r="I1231" t="s">
        <v>3539</v>
      </c>
      <c r="J1231" t="s">
        <v>32651</v>
      </c>
      <c r="K1231" t="s">
        <v>41184</v>
      </c>
      <c r="M1231" t="s">
        <v>41600</v>
      </c>
      <c r="N1231" t="s">
        <v>45095</v>
      </c>
      <c r="O1231" t="s">
        <v>45096</v>
      </c>
      <c r="P1231">
        <v>0</v>
      </c>
      <c r="Q1231">
        <v>0</v>
      </c>
      <c r="R1231" t="s">
        <v>45097</v>
      </c>
      <c r="S1231" t="s">
        <v>45222</v>
      </c>
      <c r="T1231" t="s">
        <v>47056</v>
      </c>
      <c r="U1231" t="s">
        <v>48540</v>
      </c>
      <c r="V1231" t="s">
        <v>59888</v>
      </c>
      <c r="W1231" t="s">
        <v>41600</v>
      </c>
      <c r="X1231" t="s">
        <v>45098</v>
      </c>
    </row>
    <row r="1232" spans="1:24">
      <c r="A1232">
        <f>HYPERLINK("https://www.philgeps.gov.ph/GEPSNONPILOT/Tender/SplashBidNoticeAbstractUI.aspx?menuIndex=3&amp;refID=7045603&amp;Result=3","7045603")</f>
        <v>0</v>
      </c>
      <c r="B1232" t="s">
        <v>532</v>
      </c>
      <c r="C1232" t="s">
        <v>4372</v>
      </c>
      <c r="D1232" t="s">
        <v>18027</v>
      </c>
      <c r="E1232" t="s">
        <v>19260</v>
      </c>
      <c r="F1232" t="s">
        <v>31574</v>
      </c>
      <c r="G1232" t="s">
        <v>31583</v>
      </c>
      <c r="H1232" t="s">
        <v>31590</v>
      </c>
      <c r="I1232" t="s">
        <v>5717</v>
      </c>
      <c r="J1232" t="s">
        <v>32583</v>
      </c>
      <c r="K1232" t="s">
        <v>41193</v>
      </c>
      <c r="M1232" t="s">
        <v>42029</v>
      </c>
      <c r="N1232" t="s">
        <v>45095</v>
      </c>
      <c r="O1232" t="s">
        <v>45096</v>
      </c>
      <c r="P1232">
        <v>0</v>
      </c>
      <c r="Q1232">
        <v>0</v>
      </c>
      <c r="R1232" t="s">
        <v>45097</v>
      </c>
      <c r="S1232" t="s">
        <v>45222</v>
      </c>
      <c r="T1232" t="s">
        <v>47067</v>
      </c>
      <c r="U1232" t="s">
        <v>48541</v>
      </c>
      <c r="W1232" t="s">
        <v>42029</v>
      </c>
      <c r="X1232" t="s">
        <v>45098</v>
      </c>
    </row>
    <row r="1233" spans="1:24">
      <c r="A1233">
        <f>HYPERLINK("https://www.philgeps.gov.ph/GEPSNONPILOT/Tender/SplashBidNoticeAbstractUI.aspx?menuIndex=3&amp;refID=7045598&amp;Result=3","7045598")</f>
        <v>0</v>
      </c>
      <c r="B1233" t="s">
        <v>533</v>
      </c>
      <c r="C1233" t="s">
        <v>4373</v>
      </c>
      <c r="E1233" t="s">
        <v>19261</v>
      </c>
      <c r="F1233" t="s">
        <v>31574</v>
      </c>
      <c r="G1233" t="s">
        <v>31581</v>
      </c>
      <c r="H1233" t="s">
        <v>31590</v>
      </c>
      <c r="I1233" t="s">
        <v>31608</v>
      </c>
      <c r="J1233" t="s">
        <v>31789</v>
      </c>
      <c r="K1233" t="s">
        <v>41186</v>
      </c>
      <c r="M1233" t="s">
        <v>42030</v>
      </c>
      <c r="N1233" t="s">
        <v>45095</v>
      </c>
      <c r="O1233" t="s">
        <v>45096</v>
      </c>
      <c r="P1233">
        <v>0</v>
      </c>
      <c r="Q1233">
        <v>0</v>
      </c>
      <c r="R1233" t="s">
        <v>45097</v>
      </c>
      <c r="S1233" t="s">
        <v>45222</v>
      </c>
      <c r="T1233" t="s">
        <v>47046</v>
      </c>
      <c r="U1233" t="s">
        <v>48542</v>
      </c>
      <c r="V1233" t="s">
        <v>59968</v>
      </c>
      <c r="W1233" t="s">
        <v>42945</v>
      </c>
      <c r="X1233" t="s">
        <v>45098</v>
      </c>
    </row>
    <row r="1234" spans="1:24">
      <c r="A1234">
        <f>HYPERLINK("https://www.philgeps.gov.ph/GEPSNONPILOT/Tender/SplashBidNoticeAbstractUI.aspx?menuIndex=3&amp;refID=7045596&amp;Result=3","7045596")</f>
        <v>0</v>
      </c>
      <c r="B1234" t="s">
        <v>534</v>
      </c>
      <c r="C1234" t="s">
        <v>4374</v>
      </c>
      <c r="D1234" t="s">
        <v>18035</v>
      </c>
      <c r="E1234" t="s">
        <v>19262</v>
      </c>
      <c r="F1234" t="s">
        <v>31574</v>
      </c>
      <c r="G1234" t="s">
        <v>31582</v>
      </c>
      <c r="H1234" t="s">
        <v>31590</v>
      </c>
      <c r="I1234" t="s">
        <v>4327</v>
      </c>
      <c r="J1234" t="s">
        <v>32652</v>
      </c>
      <c r="K1234" t="s">
        <v>41251</v>
      </c>
      <c r="M1234" t="s">
        <v>42031</v>
      </c>
      <c r="N1234" t="s">
        <v>45095</v>
      </c>
      <c r="O1234" t="s">
        <v>45096</v>
      </c>
      <c r="P1234">
        <v>0</v>
      </c>
      <c r="Q1234">
        <v>0</v>
      </c>
      <c r="R1234" t="s">
        <v>45097</v>
      </c>
      <c r="S1234" t="s">
        <v>45222</v>
      </c>
      <c r="T1234" t="s">
        <v>47044</v>
      </c>
      <c r="U1234" t="s">
        <v>48543</v>
      </c>
      <c r="W1234" t="s">
        <v>42031</v>
      </c>
      <c r="X1234" t="s">
        <v>45098</v>
      </c>
    </row>
    <row r="1235" spans="1:24">
      <c r="A1235">
        <f>HYPERLINK("https://www.philgeps.gov.ph/GEPSNONPILOT/Tender/SplashBidNoticeAbstractUI.aspx?menuIndex=3&amp;refID=7045601&amp;Result=3","7045601")</f>
        <v>0</v>
      </c>
      <c r="B1235" t="s">
        <v>508</v>
      </c>
      <c r="C1235" t="s">
        <v>4375</v>
      </c>
      <c r="D1235" t="s">
        <v>18023</v>
      </c>
      <c r="E1235" t="s">
        <v>19263</v>
      </c>
      <c r="F1235" t="s">
        <v>31574</v>
      </c>
      <c r="G1235" t="s">
        <v>31581</v>
      </c>
      <c r="H1235" t="s">
        <v>31590</v>
      </c>
      <c r="I1235" t="s">
        <v>8258</v>
      </c>
      <c r="J1235" t="s">
        <v>32653</v>
      </c>
      <c r="K1235" t="s">
        <v>41184</v>
      </c>
      <c r="M1235" t="s">
        <v>42004</v>
      </c>
      <c r="N1235" t="s">
        <v>45095</v>
      </c>
      <c r="O1235" t="s">
        <v>45096</v>
      </c>
      <c r="P1235">
        <v>0</v>
      </c>
      <c r="Q1235">
        <v>0</v>
      </c>
      <c r="R1235" t="s">
        <v>45097</v>
      </c>
      <c r="S1235" t="s">
        <v>45222</v>
      </c>
      <c r="T1235" t="s">
        <v>46904</v>
      </c>
      <c r="U1235" t="s">
        <v>48544</v>
      </c>
      <c r="V1235" t="s">
        <v>59969</v>
      </c>
      <c r="W1235" t="s">
        <v>42004</v>
      </c>
      <c r="X1235" t="s">
        <v>45098</v>
      </c>
    </row>
    <row r="1236" spans="1:24">
      <c r="A1236">
        <f>HYPERLINK("https://www.philgeps.gov.ph/GEPSNONPILOT/Tender/SplashBidNoticeAbstractUI.aspx?menuIndex=3&amp;refID=7045593&amp;Result=3","7045593")</f>
        <v>0</v>
      </c>
      <c r="B1236" t="s">
        <v>470</v>
      </c>
      <c r="C1236" t="s">
        <v>4376</v>
      </c>
      <c r="D1236" t="s">
        <v>18039</v>
      </c>
      <c r="E1236" t="s">
        <v>19264</v>
      </c>
      <c r="F1236" t="s">
        <v>31574</v>
      </c>
      <c r="G1236" t="s">
        <v>31581</v>
      </c>
      <c r="H1236" t="s">
        <v>31590</v>
      </c>
      <c r="I1236" t="s">
        <v>31626</v>
      </c>
      <c r="J1236" t="s">
        <v>31804</v>
      </c>
      <c r="K1236" t="s">
        <v>41184</v>
      </c>
      <c r="M1236" t="s">
        <v>41964</v>
      </c>
      <c r="N1236" t="s">
        <v>45095</v>
      </c>
      <c r="O1236" t="s">
        <v>45096</v>
      </c>
      <c r="P1236">
        <v>0</v>
      </c>
      <c r="Q1236">
        <v>0</v>
      </c>
      <c r="R1236" t="s">
        <v>45097</v>
      </c>
      <c r="S1236" t="s">
        <v>45222</v>
      </c>
      <c r="T1236" t="s">
        <v>46949</v>
      </c>
      <c r="U1236" t="s">
        <v>48545</v>
      </c>
      <c r="W1236" t="s">
        <v>61668</v>
      </c>
      <c r="X1236" t="s">
        <v>45098</v>
      </c>
    </row>
    <row r="1237" spans="1:24">
      <c r="A1237">
        <f>HYPERLINK("https://www.philgeps.gov.ph/GEPSNONPILOT/Tender/SplashBidNoticeAbstractUI.aspx?menuIndex=3&amp;refID=7045594&amp;Result=3","7045594")</f>
        <v>0</v>
      </c>
      <c r="B1237" t="s">
        <v>363</v>
      </c>
      <c r="C1237" t="s">
        <v>4377</v>
      </c>
      <c r="D1237" t="s">
        <v>18044</v>
      </c>
      <c r="E1237" t="s">
        <v>19265</v>
      </c>
      <c r="F1237" t="s">
        <v>31574</v>
      </c>
      <c r="G1237" t="s">
        <v>31583</v>
      </c>
      <c r="H1237" t="s">
        <v>31590</v>
      </c>
      <c r="I1237" t="s">
        <v>31626</v>
      </c>
      <c r="J1237" t="s">
        <v>32654</v>
      </c>
      <c r="K1237" t="s">
        <v>41184</v>
      </c>
      <c r="M1237" t="s">
        <v>41853</v>
      </c>
      <c r="N1237" t="s">
        <v>45095</v>
      </c>
      <c r="O1237" t="s">
        <v>45096</v>
      </c>
      <c r="P1237">
        <v>0</v>
      </c>
      <c r="Q1237">
        <v>0</v>
      </c>
      <c r="R1237" t="s">
        <v>45097</v>
      </c>
      <c r="S1237" t="s">
        <v>45222</v>
      </c>
      <c r="T1237" t="s">
        <v>47043</v>
      </c>
      <c r="U1237" t="s">
        <v>48546</v>
      </c>
      <c r="W1237" t="s">
        <v>41853</v>
      </c>
      <c r="X1237" t="s">
        <v>45098</v>
      </c>
    </row>
    <row r="1238" spans="1:24">
      <c r="A1238">
        <f>HYPERLINK("https://www.philgeps.gov.ph/GEPSNONPILOT/Tender/SplashBidNoticeAbstractUI.aspx?menuIndex=3&amp;refID=7045595&amp;Result=3","7045595")</f>
        <v>0</v>
      </c>
      <c r="B1238" t="s">
        <v>443</v>
      </c>
      <c r="C1238" t="s">
        <v>4378</v>
      </c>
      <c r="D1238" t="s">
        <v>18062</v>
      </c>
      <c r="E1238" t="s">
        <v>19266</v>
      </c>
      <c r="F1238" t="s">
        <v>31574</v>
      </c>
      <c r="G1238" t="s">
        <v>31582</v>
      </c>
      <c r="H1238" t="s">
        <v>31591</v>
      </c>
      <c r="I1238" t="s">
        <v>8822</v>
      </c>
      <c r="J1238" t="s">
        <v>32526</v>
      </c>
      <c r="K1238" t="s">
        <v>41252</v>
      </c>
      <c r="M1238" t="s">
        <v>41936</v>
      </c>
      <c r="N1238" t="s">
        <v>45095</v>
      </c>
      <c r="O1238" t="s">
        <v>45096</v>
      </c>
      <c r="P1238">
        <v>0</v>
      </c>
      <c r="Q1238">
        <v>0</v>
      </c>
      <c r="R1238" t="s">
        <v>45097</v>
      </c>
      <c r="S1238" t="s">
        <v>45222</v>
      </c>
      <c r="T1238" t="s">
        <v>46915</v>
      </c>
      <c r="U1238" t="s">
        <v>48547</v>
      </c>
      <c r="V1238" t="s">
        <v>59970</v>
      </c>
      <c r="W1238" t="s">
        <v>41936</v>
      </c>
      <c r="X1238" t="s">
        <v>45098</v>
      </c>
    </row>
    <row r="1239" spans="1:24">
      <c r="A1239">
        <f>HYPERLINK("https://www.philgeps.gov.ph/GEPSNONPILOT/Tender/SplashBidNoticeAbstractUI.aspx?menuIndex=3&amp;refID=7045590&amp;Result=3","7045590")</f>
        <v>0</v>
      </c>
      <c r="B1239" t="s">
        <v>535</v>
      </c>
      <c r="C1239" t="s">
        <v>4379</v>
      </c>
      <c r="D1239" t="s">
        <v>18068</v>
      </c>
      <c r="E1239" t="s">
        <v>19267</v>
      </c>
      <c r="F1239" t="s">
        <v>31574</v>
      </c>
      <c r="G1239" t="s">
        <v>31584</v>
      </c>
      <c r="H1239" t="s">
        <v>31590</v>
      </c>
      <c r="I1239" t="s">
        <v>31623</v>
      </c>
      <c r="J1239" t="s">
        <v>32655</v>
      </c>
      <c r="K1239" t="s">
        <v>41184</v>
      </c>
      <c r="M1239" t="s">
        <v>42032</v>
      </c>
      <c r="N1239" t="s">
        <v>45095</v>
      </c>
      <c r="O1239" t="s">
        <v>45096</v>
      </c>
      <c r="P1239">
        <v>0</v>
      </c>
      <c r="Q1239">
        <v>0</v>
      </c>
      <c r="R1239" t="s">
        <v>45097</v>
      </c>
      <c r="S1239" t="s">
        <v>45222</v>
      </c>
      <c r="T1239" t="s">
        <v>46946</v>
      </c>
      <c r="U1239" t="s">
        <v>48548</v>
      </c>
      <c r="W1239" t="s">
        <v>42032</v>
      </c>
      <c r="X1239" t="s">
        <v>45098</v>
      </c>
    </row>
    <row r="1240" spans="1:24">
      <c r="A1240">
        <f>HYPERLINK("https://www.philgeps.gov.ph/GEPSNONPILOT/Tender/SplashBidNoticeAbstractUI.aspx?menuIndex=3&amp;refID=7045591&amp;Result=3","7045591")</f>
        <v>0</v>
      </c>
      <c r="B1240" t="s">
        <v>524</v>
      </c>
      <c r="C1240" t="s">
        <v>4380</v>
      </c>
      <c r="D1240" t="s">
        <v>18094</v>
      </c>
      <c r="E1240" t="s">
        <v>19268</v>
      </c>
      <c r="F1240" t="s">
        <v>31574</v>
      </c>
      <c r="G1240" t="s">
        <v>31583</v>
      </c>
      <c r="H1240" t="s">
        <v>31590</v>
      </c>
      <c r="I1240" t="s">
        <v>4046</v>
      </c>
      <c r="J1240" t="s">
        <v>32656</v>
      </c>
      <c r="K1240" t="s">
        <v>41186</v>
      </c>
      <c r="M1240" t="s">
        <v>42020</v>
      </c>
      <c r="N1240" t="s">
        <v>45095</v>
      </c>
      <c r="O1240" t="s">
        <v>45096</v>
      </c>
      <c r="P1240">
        <v>0</v>
      </c>
      <c r="Q1240">
        <v>0</v>
      </c>
      <c r="R1240" t="s">
        <v>45097</v>
      </c>
      <c r="S1240" t="s">
        <v>45222</v>
      </c>
      <c r="T1240" t="s">
        <v>47064</v>
      </c>
      <c r="U1240" t="s">
        <v>48549</v>
      </c>
      <c r="W1240" t="s">
        <v>42020</v>
      </c>
      <c r="X1240" t="s">
        <v>45098</v>
      </c>
    </row>
    <row r="1241" spans="1:24">
      <c r="A1241">
        <f>HYPERLINK("https://www.philgeps.gov.ph/GEPSNONPILOT/Tender/SplashBidNoticeAbstractUI.aspx?menuIndex=3&amp;refID=7045607&amp;Result=3","7045607")</f>
        <v>0</v>
      </c>
      <c r="B1241" t="s">
        <v>511</v>
      </c>
      <c r="C1241" t="s">
        <v>4381</v>
      </c>
      <c r="D1241" t="s">
        <v>18043</v>
      </c>
      <c r="E1241" t="s">
        <v>19269</v>
      </c>
      <c r="F1241" t="s">
        <v>31574</v>
      </c>
      <c r="G1241" t="s">
        <v>31581</v>
      </c>
      <c r="H1241" t="s">
        <v>31590</v>
      </c>
      <c r="I1241" t="s">
        <v>4046</v>
      </c>
      <c r="J1241" t="s">
        <v>32657</v>
      </c>
      <c r="K1241" t="s">
        <v>41186</v>
      </c>
      <c r="M1241" t="s">
        <v>42007</v>
      </c>
      <c r="N1241" t="s">
        <v>45095</v>
      </c>
      <c r="O1241" t="s">
        <v>45096</v>
      </c>
      <c r="P1241">
        <v>0</v>
      </c>
      <c r="Q1241">
        <v>0</v>
      </c>
      <c r="R1241" t="s">
        <v>45097</v>
      </c>
      <c r="S1241" t="s">
        <v>45222</v>
      </c>
      <c r="T1241" t="s">
        <v>46935</v>
      </c>
      <c r="U1241" t="s">
        <v>48550</v>
      </c>
      <c r="V1241" t="s">
        <v>59960</v>
      </c>
      <c r="W1241" t="s">
        <v>42007</v>
      </c>
      <c r="X1241" t="s">
        <v>45098</v>
      </c>
    </row>
    <row r="1242" spans="1:24">
      <c r="A1242">
        <f>HYPERLINK("https://www.philgeps.gov.ph/GEPSNONPILOT/Tender/SplashBidNoticeAbstractUI.aspx?menuIndex=3&amp;refID=7045612&amp;Result=3","7045612")</f>
        <v>0</v>
      </c>
      <c r="B1242" t="s">
        <v>536</v>
      </c>
      <c r="C1242" t="s">
        <v>4382</v>
      </c>
      <c r="D1242" t="s">
        <v>18054</v>
      </c>
      <c r="E1242" t="s">
        <v>19270</v>
      </c>
      <c r="F1242" t="s">
        <v>31574</v>
      </c>
      <c r="G1242" t="s">
        <v>31582</v>
      </c>
      <c r="H1242" t="s">
        <v>31590</v>
      </c>
      <c r="I1242" t="s">
        <v>4046</v>
      </c>
      <c r="J1242" t="s">
        <v>32658</v>
      </c>
      <c r="K1242" t="s">
        <v>41186</v>
      </c>
      <c r="M1242" t="s">
        <v>42033</v>
      </c>
      <c r="N1242" t="s">
        <v>45095</v>
      </c>
      <c r="O1242" t="s">
        <v>45096</v>
      </c>
      <c r="P1242">
        <v>0</v>
      </c>
      <c r="Q1242">
        <v>0</v>
      </c>
      <c r="R1242" t="s">
        <v>45097</v>
      </c>
      <c r="S1242" t="s">
        <v>45222</v>
      </c>
      <c r="T1242" t="s">
        <v>46966</v>
      </c>
      <c r="U1242" t="s">
        <v>48551</v>
      </c>
      <c r="W1242" t="s">
        <v>42033</v>
      </c>
      <c r="X1242" t="s">
        <v>45098</v>
      </c>
    </row>
    <row r="1243" spans="1:24">
      <c r="A1243">
        <f>HYPERLINK("https://www.philgeps.gov.ph/GEPSNONPILOT/Tender/SplashBidNoticeAbstractUI.aspx?menuIndex=3&amp;refID=7045618&amp;Result=3","7045618")</f>
        <v>0</v>
      </c>
      <c r="B1243" t="s">
        <v>458</v>
      </c>
      <c r="C1243" t="s">
        <v>4383</v>
      </c>
      <c r="D1243" t="s">
        <v>18045</v>
      </c>
      <c r="E1243" t="s">
        <v>19271</v>
      </c>
      <c r="F1243" t="s">
        <v>31574</v>
      </c>
      <c r="G1243" t="s">
        <v>31583</v>
      </c>
      <c r="H1243" t="s">
        <v>31590</v>
      </c>
      <c r="I1243" t="s">
        <v>4046</v>
      </c>
      <c r="J1243" t="s">
        <v>31741</v>
      </c>
      <c r="K1243" t="s">
        <v>41211</v>
      </c>
      <c r="M1243" t="s">
        <v>41952</v>
      </c>
      <c r="N1243" t="s">
        <v>45095</v>
      </c>
      <c r="O1243" t="s">
        <v>45096</v>
      </c>
      <c r="P1243">
        <v>0</v>
      </c>
      <c r="Q1243">
        <v>0</v>
      </c>
      <c r="R1243" t="s">
        <v>45097</v>
      </c>
      <c r="S1243" t="s">
        <v>45222</v>
      </c>
      <c r="T1243" t="s">
        <v>46936</v>
      </c>
      <c r="U1243" t="s">
        <v>48552</v>
      </c>
      <c r="W1243" t="s">
        <v>41952</v>
      </c>
      <c r="X1243" t="s">
        <v>45098</v>
      </c>
    </row>
    <row r="1244" spans="1:24">
      <c r="A1244">
        <f>HYPERLINK("https://www.philgeps.gov.ph/GEPSNONPILOT/Tender/SplashBidNoticeAbstractUI.aspx?menuIndex=3&amp;refID=7045621&amp;Result=3","7045621")</f>
        <v>0</v>
      </c>
      <c r="B1244" t="s">
        <v>537</v>
      </c>
      <c r="C1244" t="s">
        <v>4384</v>
      </c>
      <c r="D1244" t="s">
        <v>18022</v>
      </c>
      <c r="E1244" t="s">
        <v>19272</v>
      </c>
      <c r="F1244" t="s">
        <v>31574</v>
      </c>
      <c r="G1244" t="s">
        <v>31581</v>
      </c>
      <c r="H1244" t="s">
        <v>31590</v>
      </c>
      <c r="I1244" t="s">
        <v>31603</v>
      </c>
      <c r="J1244" t="s">
        <v>32659</v>
      </c>
      <c r="K1244" t="s">
        <v>41193</v>
      </c>
      <c r="M1244" t="s">
        <v>42034</v>
      </c>
      <c r="N1244" t="s">
        <v>45095</v>
      </c>
      <c r="O1244" t="s">
        <v>45096</v>
      </c>
      <c r="P1244">
        <v>0</v>
      </c>
      <c r="Q1244">
        <v>0</v>
      </c>
      <c r="R1244" t="s">
        <v>45097</v>
      </c>
      <c r="S1244" t="s">
        <v>45222</v>
      </c>
      <c r="T1244" t="s">
        <v>47035</v>
      </c>
      <c r="U1244" t="s">
        <v>48553</v>
      </c>
      <c r="W1244" t="s">
        <v>42034</v>
      </c>
      <c r="X1244" t="s">
        <v>45098</v>
      </c>
    </row>
    <row r="1245" spans="1:24">
      <c r="A1245">
        <f>HYPERLINK("https://www.philgeps.gov.ph/GEPSNONPILOT/Tender/SplashBidNoticeAbstractUI.aspx?menuIndex=3&amp;refID=7045613&amp;Result=3","7045613")</f>
        <v>0</v>
      </c>
      <c r="B1245" t="s">
        <v>191</v>
      </c>
      <c r="C1245" t="s">
        <v>4385</v>
      </c>
      <c r="D1245" t="s">
        <v>18082</v>
      </c>
      <c r="E1245" t="s">
        <v>19273</v>
      </c>
      <c r="F1245" t="s">
        <v>31574</v>
      </c>
      <c r="G1245" t="s">
        <v>31582</v>
      </c>
      <c r="H1245" t="s">
        <v>31591</v>
      </c>
      <c r="I1245" t="s">
        <v>8822</v>
      </c>
      <c r="J1245" t="s">
        <v>31819</v>
      </c>
      <c r="K1245" t="s">
        <v>41184</v>
      </c>
      <c r="M1245" t="s">
        <v>41676</v>
      </c>
      <c r="N1245" t="s">
        <v>45095</v>
      </c>
      <c r="O1245" t="s">
        <v>45096</v>
      </c>
      <c r="P1245">
        <v>0</v>
      </c>
      <c r="Q1245">
        <v>0</v>
      </c>
      <c r="R1245" t="s">
        <v>45097</v>
      </c>
      <c r="S1245" t="s">
        <v>45222</v>
      </c>
      <c r="T1245" t="s">
        <v>46924</v>
      </c>
      <c r="U1245" t="s">
        <v>47828</v>
      </c>
      <c r="W1245" t="s">
        <v>41676</v>
      </c>
      <c r="X1245" t="s">
        <v>45098</v>
      </c>
    </row>
    <row r="1246" spans="1:24">
      <c r="A1246">
        <f>HYPERLINK("https://www.philgeps.gov.ph/GEPSNONPILOT/Tender/SplashBidNoticeAbstractUI.aspx?menuIndex=3&amp;refID=7045616&amp;Result=3","7045616")</f>
        <v>0</v>
      </c>
      <c r="B1246" t="s">
        <v>93</v>
      </c>
      <c r="C1246" t="s">
        <v>4386</v>
      </c>
      <c r="D1246" t="s">
        <v>18061</v>
      </c>
      <c r="E1246" t="s">
        <v>19274</v>
      </c>
      <c r="F1246" t="s">
        <v>31574</v>
      </c>
      <c r="G1246" t="s">
        <v>31585</v>
      </c>
      <c r="H1246" t="s">
        <v>31590</v>
      </c>
      <c r="I1246" t="s">
        <v>31595</v>
      </c>
      <c r="J1246" t="s">
        <v>31782</v>
      </c>
      <c r="K1246" t="s">
        <v>41185</v>
      </c>
      <c r="M1246" t="s">
        <v>41577</v>
      </c>
      <c r="N1246" t="s">
        <v>45095</v>
      </c>
      <c r="O1246" t="s">
        <v>45096</v>
      </c>
      <c r="P1246">
        <v>0</v>
      </c>
      <c r="Q1246">
        <v>0</v>
      </c>
      <c r="R1246" t="s">
        <v>45097</v>
      </c>
      <c r="S1246" t="s">
        <v>45222</v>
      </c>
      <c r="T1246" t="s">
        <v>46949</v>
      </c>
      <c r="U1246" t="s">
        <v>48510</v>
      </c>
      <c r="W1246" t="s">
        <v>41577</v>
      </c>
      <c r="X1246" t="s">
        <v>45098</v>
      </c>
    </row>
    <row r="1247" spans="1:24">
      <c r="A1247">
        <f>HYPERLINK("https://www.philgeps.gov.ph/GEPSNONPILOT/Tender/SplashBidNoticeAbstractUI.aspx?menuIndex=3&amp;refID=7045622&amp;Result=3","7045622")</f>
        <v>0</v>
      </c>
      <c r="B1247" t="s">
        <v>332</v>
      </c>
      <c r="C1247" t="s">
        <v>4387</v>
      </c>
      <c r="D1247" t="s">
        <v>18040</v>
      </c>
      <c r="E1247" t="s">
        <v>18795</v>
      </c>
      <c r="F1247" t="s">
        <v>31574</v>
      </c>
      <c r="G1247" t="s">
        <v>31581</v>
      </c>
      <c r="H1247" t="s">
        <v>31591</v>
      </c>
      <c r="I1247" t="s">
        <v>8822</v>
      </c>
      <c r="J1247" t="s">
        <v>31845</v>
      </c>
      <c r="K1247" t="s">
        <v>41184</v>
      </c>
      <c r="M1247" t="s">
        <v>41820</v>
      </c>
      <c r="N1247" t="s">
        <v>45095</v>
      </c>
      <c r="O1247" t="s">
        <v>45096</v>
      </c>
      <c r="P1247">
        <v>0</v>
      </c>
      <c r="Q1247">
        <v>0</v>
      </c>
      <c r="R1247" t="s">
        <v>45097</v>
      </c>
      <c r="S1247" t="s">
        <v>45222</v>
      </c>
      <c r="T1247" t="s">
        <v>46918</v>
      </c>
      <c r="U1247" t="s">
        <v>48554</v>
      </c>
      <c r="W1247" t="s">
        <v>41820</v>
      </c>
      <c r="X1247" t="s">
        <v>45098</v>
      </c>
    </row>
    <row r="1248" spans="1:24">
      <c r="A1248">
        <f>HYPERLINK("https://www.philgeps.gov.ph/GEPSNONPILOT/Tender/SplashBidNoticeAbstractUI.aspx?menuIndex=3&amp;refID=7045615&amp;Result=3","7045615")</f>
        <v>0</v>
      </c>
      <c r="B1248" t="s">
        <v>524</v>
      </c>
      <c r="C1248" t="s">
        <v>4388</v>
      </c>
      <c r="D1248" t="s">
        <v>18094</v>
      </c>
      <c r="E1248" t="s">
        <v>19275</v>
      </c>
      <c r="F1248" t="s">
        <v>31574</v>
      </c>
      <c r="G1248" t="s">
        <v>31583</v>
      </c>
      <c r="H1248" t="s">
        <v>31590</v>
      </c>
      <c r="I1248" t="s">
        <v>4046</v>
      </c>
      <c r="J1248" t="s">
        <v>32660</v>
      </c>
      <c r="K1248" t="s">
        <v>41186</v>
      </c>
      <c r="M1248" t="s">
        <v>42020</v>
      </c>
      <c r="N1248" t="s">
        <v>45095</v>
      </c>
      <c r="O1248" t="s">
        <v>45096</v>
      </c>
      <c r="P1248">
        <v>0</v>
      </c>
      <c r="Q1248">
        <v>0</v>
      </c>
      <c r="R1248" t="s">
        <v>45097</v>
      </c>
      <c r="S1248" t="s">
        <v>45222</v>
      </c>
      <c r="T1248" t="s">
        <v>47064</v>
      </c>
      <c r="U1248" t="s">
        <v>48555</v>
      </c>
      <c r="W1248" t="s">
        <v>42020</v>
      </c>
      <c r="X1248" t="s">
        <v>45098</v>
      </c>
    </row>
    <row r="1249" spans="1:24">
      <c r="A1249">
        <f>HYPERLINK("https://www.philgeps.gov.ph/GEPSNONPILOT/Tender/SplashBidNoticeAbstractUI.aspx?menuIndex=3&amp;refID=7045611&amp;Result=3","7045611")</f>
        <v>0</v>
      </c>
      <c r="B1249" t="s">
        <v>76</v>
      </c>
      <c r="C1249" t="s">
        <v>4389</v>
      </c>
      <c r="D1249" t="s">
        <v>18035</v>
      </c>
      <c r="E1249" t="s">
        <v>19276</v>
      </c>
      <c r="F1249" t="s">
        <v>31574</v>
      </c>
      <c r="G1249" t="s">
        <v>31581</v>
      </c>
      <c r="H1249" t="s">
        <v>31590</v>
      </c>
      <c r="I1249" t="s">
        <v>3487</v>
      </c>
      <c r="J1249" t="s">
        <v>32108</v>
      </c>
      <c r="K1249" t="s">
        <v>41184</v>
      </c>
      <c r="L1249" t="s">
        <v>76</v>
      </c>
      <c r="M1249" t="s">
        <v>41797</v>
      </c>
      <c r="N1249" t="s">
        <v>45095</v>
      </c>
      <c r="O1249" t="s">
        <v>45096</v>
      </c>
      <c r="P1249">
        <v>0</v>
      </c>
      <c r="Q1249">
        <v>0</v>
      </c>
      <c r="R1249" t="s">
        <v>45097</v>
      </c>
      <c r="S1249" t="s">
        <v>45222</v>
      </c>
      <c r="T1249" t="s">
        <v>46904</v>
      </c>
      <c r="U1249" t="s">
        <v>48069</v>
      </c>
      <c r="W1249" t="s">
        <v>41797</v>
      </c>
      <c r="X1249" t="s">
        <v>45098</v>
      </c>
    </row>
    <row r="1250" spans="1:24">
      <c r="A1250">
        <f>HYPERLINK("https://www.philgeps.gov.ph/GEPSNONPILOT/Tender/SplashBidNoticeAbstractUI.aspx?menuIndex=3&amp;refID=7045617&amp;Result=3","7045617")</f>
        <v>0</v>
      </c>
      <c r="B1250" t="s">
        <v>538</v>
      </c>
      <c r="C1250" t="s">
        <v>4390</v>
      </c>
      <c r="D1250" t="s">
        <v>18041</v>
      </c>
      <c r="E1250" t="s">
        <v>19277</v>
      </c>
      <c r="F1250" t="s">
        <v>31574</v>
      </c>
      <c r="G1250" t="s">
        <v>31581</v>
      </c>
      <c r="H1250" t="s">
        <v>31590</v>
      </c>
      <c r="I1250" t="s">
        <v>31648</v>
      </c>
      <c r="J1250" t="s">
        <v>32661</v>
      </c>
      <c r="K1250" t="s">
        <v>41197</v>
      </c>
      <c r="M1250" t="s">
        <v>42035</v>
      </c>
      <c r="N1250" t="s">
        <v>45095</v>
      </c>
      <c r="O1250" t="s">
        <v>45096</v>
      </c>
      <c r="P1250">
        <v>0</v>
      </c>
      <c r="Q1250">
        <v>0</v>
      </c>
      <c r="R1250" t="s">
        <v>45097</v>
      </c>
      <c r="S1250" t="s">
        <v>45222</v>
      </c>
      <c r="T1250" t="s">
        <v>46955</v>
      </c>
      <c r="U1250" t="s">
        <v>48556</v>
      </c>
      <c r="V1250" t="s">
        <v>59971</v>
      </c>
      <c r="W1250" t="s">
        <v>42035</v>
      </c>
      <c r="X1250" t="s">
        <v>45098</v>
      </c>
    </row>
    <row r="1251" spans="1:24">
      <c r="A1251">
        <f>HYPERLINK("https://www.philgeps.gov.ph/GEPSNONPILOT/Tender/SplashBidNoticeAbstractUI.aspx?menuIndex=3&amp;refID=7045620&amp;Result=3","7045620")</f>
        <v>0</v>
      </c>
      <c r="B1251" t="s">
        <v>539</v>
      </c>
      <c r="C1251" t="s">
        <v>4391</v>
      </c>
      <c r="D1251" t="s">
        <v>18027</v>
      </c>
      <c r="E1251" t="s">
        <v>18367</v>
      </c>
      <c r="F1251" t="s">
        <v>31574</v>
      </c>
      <c r="G1251" t="s">
        <v>31584</v>
      </c>
      <c r="H1251" t="s">
        <v>31590</v>
      </c>
      <c r="I1251" t="s">
        <v>4327</v>
      </c>
      <c r="J1251" t="s">
        <v>32147</v>
      </c>
      <c r="K1251" t="s">
        <v>41184</v>
      </c>
      <c r="M1251" t="s">
        <v>42036</v>
      </c>
      <c r="N1251" t="s">
        <v>45095</v>
      </c>
      <c r="O1251" t="s">
        <v>45096</v>
      </c>
      <c r="P1251">
        <v>0</v>
      </c>
      <c r="Q1251">
        <v>0</v>
      </c>
      <c r="R1251" t="s">
        <v>45097</v>
      </c>
      <c r="S1251" t="s">
        <v>45222</v>
      </c>
      <c r="T1251" t="s">
        <v>46971</v>
      </c>
      <c r="U1251" t="s">
        <v>48557</v>
      </c>
      <c r="W1251" t="s">
        <v>42036</v>
      </c>
      <c r="X1251" t="s">
        <v>45098</v>
      </c>
    </row>
    <row r="1252" spans="1:24">
      <c r="A1252">
        <f>HYPERLINK("https://www.philgeps.gov.ph/GEPSNONPILOT/Tender/SplashBidNoticeAbstractUI.aspx?menuIndex=3&amp;refID=7045610&amp;Result=3","7045610")</f>
        <v>0</v>
      </c>
      <c r="B1252" t="s">
        <v>540</v>
      </c>
      <c r="C1252" t="s">
        <v>4392</v>
      </c>
      <c r="D1252" t="s">
        <v>18022</v>
      </c>
      <c r="E1252" t="s">
        <v>19278</v>
      </c>
      <c r="F1252" t="s">
        <v>31574</v>
      </c>
      <c r="G1252" t="s">
        <v>31582</v>
      </c>
      <c r="H1252" t="s">
        <v>31590</v>
      </c>
      <c r="I1252" t="s">
        <v>31656</v>
      </c>
      <c r="J1252" t="s">
        <v>32662</v>
      </c>
      <c r="K1252" t="s">
        <v>41184</v>
      </c>
      <c r="M1252" t="s">
        <v>42037</v>
      </c>
      <c r="N1252" t="s">
        <v>45095</v>
      </c>
      <c r="O1252" t="s">
        <v>45096</v>
      </c>
      <c r="P1252">
        <v>0</v>
      </c>
      <c r="Q1252">
        <v>0</v>
      </c>
      <c r="R1252" t="s">
        <v>45097</v>
      </c>
      <c r="S1252" t="s">
        <v>45222</v>
      </c>
      <c r="T1252" t="s">
        <v>47024</v>
      </c>
      <c r="U1252" t="s">
        <v>48558</v>
      </c>
      <c r="W1252" t="s">
        <v>42037</v>
      </c>
      <c r="X1252" t="s">
        <v>45098</v>
      </c>
    </row>
    <row r="1253" spans="1:24">
      <c r="A1253">
        <f>HYPERLINK("https://www.philgeps.gov.ph/GEPSNONPILOT/Tender/SplashBidNoticeAbstractUI.aspx?menuIndex=3&amp;refID=7045629&amp;Result=3","7045629")</f>
        <v>0</v>
      </c>
      <c r="B1253" t="s">
        <v>218</v>
      </c>
      <c r="C1253" t="s">
        <v>4393</v>
      </c>
      <c r="D1253" t="s">
        <v>18070</v>
      </c>
      <c r="E1253" t="s">
        <v>19279</v>
      </c>
      <c r="F1253" t="s">
        <v>31574</v>
      </c>
      <c r="G1253" t="s">
        <v>31583</v>
      </c>
      <c r="H1253" t="s">
        <v>31590</v>
      </c>
      <c r="I1253" t="s">
        <v>3487</v>
      </c>
      <c r="J1253" t="s">
        <v>32663</v>
      </c>
      <c r="K1253" t="s">
        <v>41193</v>
      </c>
      <c r="M1253" t="s">
        <v>41703</v>
      </c>
      <c r="N1253" t="s">
        <v>45095</v>
      </c>
      <c r="O1253" t="s">
        <v>45096</v>
      </c>
      <c r="P1253">
        <v>0</v>
      </c>
      <c r="Q1253">
        <v>0</v>
      </c>
      <c r="R1253" t="s">
        <v>45097</v>
      </c>
      <c r="S1253" t="s">
        <v>45222</v>
      </c>
      <c r="T1253" t="s">
        <v>46957</v>
      </c>
      <c r="U1253" t="s">
        <v>47880</v>
      </c>
      <c r="W1253" t="s">
        <v>41703</v>
      </c>
      <c r="X1253" t="s">
        <v>45098</v>
      </c>
    </row>
    <row r="1254" spans="1:24">
      <c r="A1254">
        <f>HYPERLINK("https://www.philgeps.gov.ph/GEPSNONPILOT/Tender/SplashBidNoticeAbstractUI.aspx?menuIndex=3&amp;refID=7045614&amp;Result=3","7045614")</f>
        <v>0</v>
      </c>
      <c r="B1254" t="s">
        <v>527</v>
      </c>
      <c r="C1254" t="s">
        <v>4394</v>
      </c>
      <c r="D1254" t="s">
        <v>18075</v>
      </c>
      <c r="E1254" t="s">
        <v>19280</v>
      </c>
      <c r="F1254" t="s">
        <v>31574</v>
      </c>
      <c r="G1254" t="s">
        <v>31584</v>
      </c>
      <c r="H1254" t="s">
        <v>31590</v>
      </c>
      <c r="I1254" t="s">
        <v>5717</v>
      </c>
      <c r="J1254" t="s">
        <v>32664</v>
      </c>
      <c r="K1254" t="s">
        <v>41193</v>
      </c>
      <c r="M1254" t="s">
        <v>42024</v>
      </c>
      <c r="N1254" t="s">
        <v>45095</v>
      </c>
      <c r="O1254" t="s">
        <v>45096</v>
      </c>
      <c r="P1254">
        <v>0</v>
      </c>
      <c r="Q1254">
        <v>0</v>
      </c>
      <c r="R1254" t="s">
        <v>45097</v>
      </c>
      <c r="S1254" t="s">
        <v>45222</v>
      </c>
      <c r="T1254" t="s">
        <v>47065</v>
      </c>
      <c r="U1254" t="s">
        <v>48559</v>
      </c>
      <c r="W1254" t="s">
        <v>42024</v>
      </c>
      <c r="X1254" t="s">
        <v>45098</v>
      </c>
    </row>
    <row r="1255" spans="1:24">
      <c r="A1255">
        <f>HYPERLINK("https://www.philgeps.gov.ph/GEPSNONPILOT/Tender/SplashBidNoticeAbstractUI.aspx?menuIndex=3&amp;refID=7045619&amp;Result=3","7045619")</f>
        <v>0</v>
      </c>
      <c r="B1255" t="s">
        <v>530</v>
      </c>
      <c r="C1255" t="s">
        <v>4395</v>
      </c>
      <c r="D1255" t="s">
        <v>18071</v>
      </c>
      <c r="E1255" t="s">
        <v>4395</v>
      </c>
      <c r="F1255" t="s">
        <v>31574</v>
      </c>
      <c r="G1255" t="s">
        <v>31582</v>
      </c>
      <c r="H1255" t="s">
        <v>31590</v>
      </c>
      <c r="I1255" t="s">
        <v>8258</v>
      </c>
      <c r="J1255" t="s">
        <v>31842</v>
      </c>
      <c r="K1255" t="s">
        <v>41186</v>
      </c>
      <c r="M1255" t="s">
        <v>42027</v>
      </c>
      <c r="N1255" t="s">
        <v>45095</v>
      </c>
      <c r="O1255" t="s">
        <v>45096</v>
      </c>
      <c r="P1255">
        <v>0</v>
      </c>
      <c r="Q1255">
        <v>0</v>
      </c>
      <c r="R1255" t="s">
        <v>45097</v>
      </c>
      <c r="S1255" t="s">
        <v>45222</v>
      </c>
      <c r="T1255" t="s">
        <v>46929</v>
      </c>
      <c r="U1255" t="s">
        <v>48560</v>
      </c>
      <c r="W1255" t="s">
        <v>42027</v>
      </c>
      <c r="X1255" t="s">
        <v>45098</v>
      </c>
    </row>
    <row r="1256" spans="1:24">
      <c r="A1256">
        <f>HYPERLINK("https://www.philgeps.gov.ph/GEPSNONPILOT/Tender/SplashBidNoticeAbstractUI.aspx?menuIndex=3&amp;refID=7045630&amp;Result=3","7045630")</f>
        <v>0</v>
      </c>
      <c r="B1256" t="s">
        <v>541</v>
      </c>
      <c r="C1256" t="s">
        <v>4396</v>
      </c>
      <c r="D1256" t="s">
        <v>18062</v>
      </c>
      <c r="E1256" t="s">
        <v>19281</v>
      </c>
      <c r="F1256" t="s">
        <v>31574</v>
      </c>
      <c r="G1256" t="s">
        <v>31581</v>
      </c>
      <c r="H1256" t="s">
        <v>31590</v>
      </c>
      <c r="I1256" t="s">
        <v>4327</v>
      </c>
      <c r="J1256" t="s">
        <v>32665</v>
      </c>
      <c r="K1256" t="s">
        <v>41186</v>
      </c>
      <c r="M1256" t="s">
        <v>42038</v>
      </c>
      <c r="N1256" t="s">
        <v>45095</v>
      </c>
      <c r="O1256" t="s">
        <v>45096</v>
      </c>
      <c r="P1256">
        <v>0</v>
      </c>
      <c r="Q1256">
        <v>0</v>
      </c>
      <c r="R1256" t="s">
        <v>45097</v>
      </c>
      <c r="S1256" t="s">
        <v>45222</v>
      </c>
      <c r="T1256" t="s">
        <v>46904</v>
      </c>
      <c r="U1256" t="s">
        <v>48561</v>
      </c>
      <c r="W1256" t="s">
        <v>42038</v>
      </c>
      <c r="X1256" t="s">
        <v>45098</v>
      </c>
    </row>
    <row r="1257" spans="1:24">
      <c r="A1257">
        <f>HYPERLINK("https://www.philgeps.gov.ph/GEPSNONPILOT/Tender/SplashBidNoticeAbstractUI.aspx?menuIndex=3&amp;refID=7045625&amp;Result=3","7045625")</f>
        <v>0</v>
      </c>
      <c r="B1257" t="s">
        <v>157</v>
      </c>
      <c r="C1257" t="s">
        <v>4397</v>
      </c>
      <c r="D1257" t="s">
        <v>18039</v>
      </c>
      <c r="E1257" t="s">
        <v>19088</v>
      </c>
      <c r="F1257" t="s">
        <v>31574</v>
      </c>
      <c r="G1257" t="s">
        <v>31581</v>
      </c>
      <c r="H1257" t="s">
        <v>31590</v>
      </c>
      <c r="I1257" t="s">
        <v>7185</v>
      </c>
      <c r="J1257" t="s">
        <v>32666</v>
      </c>
      <c r="K1257" t="s">
        <v>41184</v>
      </c>
      <c r="M1257" t="s">
        <v>41641</v>
      </c>
      <c r="N1257" t="s">
        <v>45095</v>
      </c>
      <c r="O1257" t="s">
        <v>45096</v>
      </c>
      <c r="P1257">
        <v>0</v>
      </c>
      <c r="Q1257">
        <v>0</v>
      </c>
      <c r="R1257" t="s">
        <v>45097</v>
      </c>
      <c r="S1257" t="s">
        <v>45222</v>
      </c>
      <c r="T1257" t="s">
        <v>46961</v>
      </c>
      <c r="U1257" t="s">
        <v>48562</v>
      </c>
      <c r="W1257" t="s">
        <v>41641</v>
      </c>
      <c r="X1257" t="s">
        <v>45098</v>
      </c>
    </row>
    <row r="1258" spans="1:24">
      <c r="A1258">
        <f>HYPERLINK("https://www.philgeps.gov.ph/GEPSNONPILOT/Tender/SplashBidNoticeAbstractUI.aspx?menuIndex=3&amp;refID=7045627&amp;Result=3","7045627")</f>
        <v>0</v>
      </c>
      <c r="B1258" t="s">
        <v>502</v>
      </c>
      <c r="C1258" t="s">
        <v>4398</v>
      </c>
      <c r="E1258" t="s">
        <v>19282</v>
      </c>
      <c r="F1258" t="s">
        <v>31574</v>
      </c>
      <c r="G1258" t="s">
        <v>31583</v>
      </c>
      <c r="H1258" t="s">
        <v>31590</v>
      </c>
      <c r="I1258" t="s">
        <v>31629</v>
      </c>
      <c r="J1258" t="s">
        <v>31935</v>
      </c>
      <c r="K1258" t="s">
        <v>41184</v>
      </c>
      <c r="M1258" t="s">
        <v>41998</v>
      </c>
      <c r="N1258" t="s">
        <v>45095</v>
      </c>
      <c r="O1258" t="s">
        <v>45096</v>
      </c>
      <c r="P1258">
        <v>0</v>
      </c>
      <c r="Q1258">
        <v>0</v>
      </c>
      <c r="R1258" t="s">
        <v>45097</v>
      </c>
      <c r="S1258" t="s">
        <v>45222</v>
      </c>
      <c r="T1258" t="s">
        <v>46911</v>
      </c>
      <c r="U1258" t="s">
        <v>48563</v>
      </c>
      <c r="W1258" t="s">
        <v>41998</v>
      </c>
      <c r="X1258" t="s">
        <v>45098</v>
      </c>
    </row>
    <row r="1259" spans="1:24">
      <c r="A1259">
        <f>HYPERLINK("https://www.philgeps.gov.ph/GEPSNONPILOT/Tender/SplashBidNoticeAbstractUI.aspx?menuIndex=3&amp;refID=7045623&amp;Result=3","7045623")</f>
        <v>0</v>
      </c>
      <c r="B1259" t="s">
        <v>542</v>
      </c>
      <c r="C1259" t="s">
        <v>4399</v>
      </c>
      <c r="D1259" t="s">
        <v>18027</v>
      </c>
      <c r="E1259" t="s">
        <v>19283</v>
      </c>
      <c r="F1259" t="s">
        <v>31574</v>
      </c>
      <c r="G1259" t="s">
        <v>31581</v>
      </c>
      <c r="H1259" t="s">
        <v>31590</v>
      </c>
      <c r="I1259" t="s">
        <v>31619</v>
      </c>
      <c r="J1259" t="s">
        <v>32192</v>
      </c>
      <c r="K1259" t="s">
        <v>41184</v>
      </c>
      <c r="M1259" t="s">
        <v>42039</v>
      </c>
      <c r="N1259" t="s">
        <v>45095</v>
      </c>
      <c r="O1259" t="s">
        <v>45096</v>
      </c>
      <c r="P1259">
        <v>0</v>
      </c>
      <c r="Q1259">
        <v>0</v>
      </c>
      <c r="R1259" t="s">
        <v>45097</v>
      </c>
      <c r="S1259" t="s">
        <v>45222</v>
      </c>
      <c r="T1259" t="s">
        <v>46971</v>
      </c>
      <c r="U1259" t="s">
        <v>48564</v>
      </c>
      <c r="W1259" t="s">
        <v>42039</v>
      </c>
      <c r="X1259" t="s">
        <v>45098</v>
      </c>
    </row>
    <row r="1260" spans="1:24">
      <c r="A1260">
        <f>HYPERLINK("https://www.philgeps.gov.ph/GEPSNONPILOT/Tender/SplashBidNoticeAbstractUI.aspx?menuIndex=3&amp;refID=7045626&amp;Result=3","7045626")</f>
        <v>0</v>
      </c>
      <c r="B1260" t="s">
        <v>543</v>
      </c>
      <c r="C1260" t="s">
        <v>4400</v>
      </c>
      <c r="D1260" t="s">
        <v>18042</v>
      </c>
      <c r="E1260" t="s">
        <v>19284</v>
      </c>
      <c r="F1260" t="s">
        <v>31574</v>
      </c>
      <c r="G1260" t="s">
        <v>31581</v>
      </c>
      <c r="H1260" t="s">
        <v>31590</v>
      </c>
      <c r="I1260" t="s">
        <v>31602</v>
      </c>
      <c r="J1260" t="s">
        <v>32667</v>
      </c>
      <c r="K1260" t="s">
        <v>41190</v>
      </c>
      <c r="L1260" t="s">
        <v>543</v>
      </c>
      <c r="M1260" t="s">
        <v>42040</v>
      </c>
      <c r="N1260" t="s">
        <v>45095</v>
      </c>
      <c r="O1260" t="s">
        <v>45096</v>
      </c>
      <c r="P1260">
        <v>0</v>
      </c>
      <c r="Q1260">
        <v>0</v>
      </c>
      <c r="R1260" t="s">
        <v>45097</v>
      </c>
      <c r="S1260" t="s">
        <v>45222</v>
      </c>
      <c r="T1260" t="s">
        <v>46918</v>
      </c>
      <c r="U1260" t="s">
        <v>48565</v>
      </c>
      <c r="W1260" t="s">
        <v>42040</v>
      </c>
      <c r="X1260" t="s">
        <v>45098</v>
      </c>
    </row>
    <row r="1261" spans="1:24">
      <c r="A1261">
        <f>HYPERLINK("https://www.philgeps.gov.ph/GEPSNONPILOT/Tender/SplashBidNoticeAbstractUI.aspx?menuIndex=3&amp;refID=7045624&amp;Result=3","7045624")</f>
        <v>0</v>
      </c>
      <c r="B1261" t="s">
        <v>379</v>
      </c>
      <c r="C1261" t="s">
        <v>4401</v>
      </c>
      <c r="D1261" t="s">
        <v>18025</v>
      </c>
      <c r="E1261" t="s">
        <v>19285</v>
      </c>
      <c r="F1261" t="s">
        <v>31574</v>
      </c>
      <c r="G1261" t="s">
        <v>31583</v>
      </c>
      <c r="H1261" t="s">
        <v>31590</v>
      </c>
      <c r="I1261" t="s">
        <v>7185</v>
      </c>
      <c r="J1261" t="s">
        <v>32668</v>
      </c>
      <c r="K1261" t="s">
        <v>41184</v>
      </c>
      <c r="M1261" t="s">
        <v>41869</v>
      </c>
      <c r="N1261" t="s">
        <v>45095</v>
      </c>
      <c r="O1261" t="s">
        <v>45096</v>
      </c>
      <c r="P1261">
        <v>0</v>
      </c>
      <c r="Q1261">
        <v>0</v>
      </c>
      <c r="R1261" t="s">
        <v>45097</v>
      </c>
      <c r="S1261" t="s">
        <v>45222</v>
      </c>
      <c r="T1261" t="s">
        <v>47049</v>
      </c>
      <c r="U1261" t="s">
        <v>48566</v>
      </c>
      <c r="W1261" t="s">
        <v>41869</v>
      </c>
      <c r="X1261" t="s">
        <v>45098</v>
      </c>
    </row>
    <row r="1262" spans="1:24">
      <c r="A1262">
        <f>HYPERLINK("https://www.philgeps.gov.ph/GEPSNONPILOT/Tender/SplashBidNoticeAbstractUI.aspx?menuIndex=3&amp;refID=7045632&amp;Result=3","7045632")</f>
        <v>0</v>
      </c>
      <c r="B1262" t="s">
        <v>544</v>
      </c>
      <c r="C1262" t="s">
        <v>4402</v>
      </c>
      <c r="D1262" t="s">
        <v>18056</v>
      </c>
      <c r="E1262" t="s">
        <v>19286</v>
      </c>
      <c r="F1262" t="s">
        <v>31574</v>
      </c>
      <c r="G1262" t="s">
        <v>31581</v>
      </c>
      <c r="H1262" t="s">
        <v>31590</v>
      </c>
      <c r="I1262" t="s">
        <v>5717</v>
      </c>
      <c r="J1262" t="s">
        <v>32669</v>
      </c>
      <c r="K1262" t="s">
        <v>41213</v>
      </c>
      <c r="M1262" t="s">
        <v>42041</v>
      </c>
      <c r="N1262" t="s">
        <v>45095</v>
      </c>
      <c r="O1262" t="s">
        <v>45096</v>
      </c>
      <c r="P1262">
        <v>0</v>
      </c>
      <c r="Q1262">
        <v>0</v>
      </c>
      <c r="R1262" t="s">
        <v>45097</v>
      </c>
      <c r="S1262" t="s">
        <v>45222</v>
      </c>
      <c r="T1262" t="s">
        <v>46937</v>
      </c>
      <c r="U1262" t="s">
        <v>48567</v>
      </c>
      <c r="W1262" t="s">
        <v>42041</v>
      </c>
      <c r="X1262" t="s">
        <v>45098</v>
      </c>
    </row>
    <row r="1263" spans="1:24">
      <c r="A1263">
        <f>HYPERLINK("https://www.philgeps.gov.ph/GEPSNONPILOT/Tender/SplashBidNoticeAbstractUI.aspx?menuIndex=3&amp;refID=7045647&amp;Result=3","7045647")</f>
        <v>0</v>
      </c>
      <c r="B1263" t="s">
        <v>545</v>
      </c>
      <c r="C1263" t="s">
        <v>4403</v>
      </c>
      <c r="D1263" t="s">
        <v>18095</v>
      </c>
      <c r="E1263" t="s">
        <v>18533</v>
      </c>
      <c r="F1263" t="s">
        <v>31574</v>
      </c>
      <c r="G1263" t="s">
        <v>31582</v>
      </c>
      <c r="H1263" t="s">
        <v>31590</v>
      </c>
      <c r="I1263" t="s">
        <v>31595</v>
      </c>
      <c r="J1263" t="s">
        <v>31909</v>
      </c>
      <c r="K1263" t="s">
        <v>41197</v>
      </c>
      <c r="M1263" t="s">
        <v>42042</v>
      </c>
      <c r="N1263" t="s">
        <v>45095</v>
      </c>
      <c r="O1263" t="s">
        <v>45096</v>
      </c>
      <c r="P1263">
        <v>0</v>
      </c>
      <c r="Q1263">
        <v>0</v>
      </c>
      <c r="R1263" t="s">
        <v>45097</v>
      </c>
      <c r="S1263" t="s">
        <v>45222</v>
      </c>
      <c r="T1263" t="s">
        <v>46926</v>
      </c>
      <c r="U1263" t="s">
        <v>48568</v>
      </c>
      <c r="W1263" t="s">
        <v>42042</v>
      </c>
      <c r="X1263" t="s">
        <v>45098</v>
      </c>
    </row>
    <row r="1264" spans="1:24">
      <c r="A1264">
        <f>HYPERLINK("https://www.philgeps.gov.ph/GEPSNONPILOT/Tender/SplashBidNoticeAbstractUI.aspx?menuIndex=3&amp;refID=7045639&amp;Result=3","7045639")</f>
        <v>0</v>
      </c>
      <c r="B1264" t="s">
        <v>517</v>
      </c>
      <c r="C1264" t="s">
        <v>4404</v>
      </c>
      <c r="D1264" t="s">
        <v>18036</v>
      </c>
      <c r="E1264" t="s">
        <v>19287</v>
      </c>
      <c r="F1264" t="s">
        <v>31574</v>
      </c>
      <c r="G1264" t="s">
        <v>31581</v>
      </c>
      <c r="H1264" t="s">
        <v>31592</v>
      </c>
      <c r="I1264" t="s">
        <v>31627</v>
      </c>
      <c r="J1264" t="s">
        <v>32670</v>
      </c>
      <c r="K1264" t="s">
        <v>41185</v>
      </c>
      <c r="M1264" t="s">
        <v>42013</v>
      </c>
      <c r="N1264" t="s">
        <v>45095</v>
      </c>
      <c r="O1264" t="s">
        <v>45096</v>
      </c>
      <c r="P1264">
        <v>0</v>
      </c>
      <c r="Q1264">
        <v>0</v>
      </c>
      <c r="R1264" t="s">
        <v>45097</v>
      </c>
      <c r="S1264" t="s">
        <v>45222</v>
      </c>
      <c r="T1264" t="s">
        <v>46911</v>
      </c>
      <c r="U1264" t="s">
        <v>48569</v>
      </c>
      <c r="W1264" t="s">
        <v>42013</v>
      </c>
      <c r="X1264" t="s">
        <v>45098</v>
      </c>
    </row>
    <row r="1265" spans="1:24">
      <c r="A1265">
        <f>HYPERLINK("https://www.philgeps.gov.ph/GEPSNONPILOT/Tender/SplashBidNoticeAbstractUI.aspx?menuIndex=3&amp;refID=7045634&amp;Result=3","7045634")</f>
        <v>0</v>
      </c>
      <c r="B1265" t="s">
        <v>530</v>
      </c>
      <c r="C1265" t="s">
        <v>4405</v>
      </c>
      <c r="D1265" t="s">
        <v>18071</v>
      </c>
      <c r="E1265" t="s">
        <v>19288</v>
      </c>
      <c r="F1265" t="s">
        <v>31574</v>
      </c>
      <c r="G1265" t="s">
        <v>31582</v>
      </c>
      <c r="H1265" t="s">
        <v>31590</v>
      </c>
      <c r="I1265" t="s">
        <v>31669</v>
      </c>
      <c r="J1265" t="s">
        <v>32671</v>
      </c>
      <c r="K1265" t="s">
        <v>41191</v>
      </c>
      <c r="M1265" t="s">
        <v>42027</v>
      </c>
      <c r="N1265" t="s">
        <v>45095</v>
      </c>
      <c r="O1265" t="s">
        <v>45096</v>
      </c>
      <c r="P1265">
        <v>0</v>
      </c>
      <c r="Q1265">
        <v>0</v>
      </c>
      <c r="R1265" t="s">
        <v>45097</v>
      </c>
      <c r="S1265" t="s">
        <v>45222</v>
      </c>
      <c r="T1265" t="s">
        <v>47066</v>
      </c>
      <c r="U1265" t="s">
        <v>48570</v>
      </c>
      <c r="W1265" t="s">
        <v>42027</v>
      </c>
      <c r="X1265" t="s">
        <v>45098</v>
      </c>
    </row>
    <row r="1266" spans="1:24">
      <c r="A1266">
        <f>HYPERLINK("https://www.philgeps.gov.ph/GEPSNONPILOT/Tender/SplashBidNoticeAbstractUI.aspx?menuIndex=3&amp;refID=7045649&amp;Result=3","7045649")</f>
        <v>0</v>
      </c>
      <c r="B1266" t="s">
        <v>481</v>
      </c>
      <c r="C1266" t="s">
        <v>4406</v>
      </c>
      <c r="E1266" t="s">
        <v>19289</v>
      </c>
      <c r="F1266" t="s">
        <v>31574</v>
      </c>
      <c r="G1266" t="s">
        <v>31581</v>
      </c>
      <c r="H1266" t="s">
        <v>31590</v>
      </c>
      <c r="I1266" t="s">
        <v>31664</v>
      </c>
      <c r="J1266" t="s">
        <v>32672</v>
      </c>
      <c r="K1266" t="s">
        <v>41184</v>
      </c>
      <c r="M1266" t="s">
        <v>41977</v>
      </c>
      <c r="N1266" t="s">
        <v>45095</v>
      </c>
      <c r="O1266" t="s">
        <v>45096</v>
      </c>
      <c r="P1266">
        <v>0</v>
      </c>
      <c r="Q1266">
        <v>0</v>
      </c>
      <c r="R1266" t="s">
        <v>45097</v>
      </c>
      <c r="S1266" t="s">
        <v>45222</v>
      </c>
      <c r="T1266" t="s">
        <v>46946</v>
      </c>
      <c r="U1266" t="s">
        <v>48571</v>
      </c>
      <c r="W1266" t="s">
        <v>41977</v>
      </c>
      <c r="X1266" t="s">
        <v>45098</v>
      </c>
    </row>
    <row r="1267" spans="1:24">
      <c r="A1267">
        <f>HYPERLINK("https://www.philgeps.gov.ph/GEPSNONPILOT/Tender/SplashBidNoticeAbstractUI.aspx?menuIndex=3&amp;refID=7045663&amp;Result=3","7045663")</f>
        <v>0</v>
      </c>
      <c r="B1267" t="s">
        <v>546</v>
      </c>
      <c r="C1267" t="s">
        <v>4407</v>
      </c>
      <c r="D1267" t="s">
        <v>18055</v>
      </c>
      <c r="E1267" t="s">
        <v>19290</v>
      </c>
      <c r="F1267" t="s">
        <v>31574</v>
      </c>
      <c r="G1267" t="s">
        <v>31581</v>
      </c>
      <c r="H1267" t="s">
        <v>31590</v>
      </c>
      <c r="I1267" t="s">
        <v>14544</v>
      </c>
      <c r="J1267" t="s">
        <v>31726</v>
      </c>
      <c r="K1267" t="s">
        <v>41193</v>
      </c>
      <c r="M1267" t="s">
        <v>42043</v>
      </c>
      <c r="N1267" t="s">
        <v>45095</v>
      </c>
      <c r="O1267" t="s">
        <v>45096</v>
      </c>
      <c r="P1267">
        <v>0</v>
      </c>
      <c r="Q1267">
        <v>0</v>
      </c>
      <c r="R1267" t="s">
        <v>45097</v>
      </c>
      <c r="S1267" t="s">
        <v>45222</v>
      </c>
      <c r="T1267" t="s">
        <v>46918</v>
      </c>
      <c r="U1267" t="s">
        <v>48572</v>
      </c>
      <c r="V1267" t="s">
        <v>59972</v>
      </c>
      <c r="W1267" t="s">
        <v>42043</v>
      </c>
      <c r="X1267" t="s">
        <v>45098</v>
      </c>
    </row>
    <row r="1268" spans="1:24">
      <c r="A1268">
        <f>HYPERLINK("https://www.philgeps.gov.ph/GEPSNONPILOT/Tender/SplashBidNoticeAbstractUI.aspx?menuIndex=3&amp;refID=7045660&amp;Result=3","7045660")</f>
        <v>0</v>
      </c>
      <c r="B1268" t="s">
        <v>494</v>
      </c>
      <c r="C1268" t="s">
        <v>4408</v>
      </c>
      <c r="D1268" t="s">
        <v>18028</v>
      </c>
      <c r="E1268" t="s">
        <v>19291</v>
      </c>
      <c r="F1268" t="s">
        <v>31574</v>
      </c>
      <c r="G1268" t="s">
        <v>31582</v>
      </c>
      <c r="H1268" t="s">
        <v>31591</v>
      </c>
      <c r="I1268" t="s">
        <v>8822</v>
      </c>
      <c r="J1268" t="s">
        <v>32673</v>
      </c>
      <c r="K1268" t="s">
        <v>41192</v>
      </c>
      <c r="M1268" t="s">
        <v>41990</v>
      </c>
      <c r="N1268" t="s">
        <v>45095</v>
      </c>
      <c r="O1268" t="s">
        <v>45096</v>
      </c>
      <c r="P1268">
        <v>0</v>
      </c>
      <c r="Q1268">
        <v>0</v>
      </c>
      <c r="R1268" t="s">
        <v>45097</v>
      </c>
      <c r="S1268" t="s">
        <v>45222</v>
      </c>
      <c r="T1268" t="s">
        <v>46956</v>
      </c>
      <c r="U1268" t="s">
        <v>48573</v>
      </c>
      <c r="W1268" t="s">
        <v>41990</v>
      </c>
      <c r="X1268" t="s">
        <v>45098</v>
      </c>
    </row>
    <row r="1269" spans="1:24">
      <c r="A1269">
        <f>HYPERLINK("https://www.philgeps.gov.ph/GEPSNONPILOT/Tender/SplashBidNoticeAbstractUI.aspx?menuIndex=3&amp;refID=7045659&amp;Result=3","7045659")</f>
        <v>0</v>
      </c>
      <c r="B1269" t="s">
        <v>471</v>
      </c>
      <c r="C1269" t="s">
        <v>4409</v>
      </c>
      <c r="D1269" t="s">
        <v>18052</v>
      </c>
      <c r="E1269" t="s">
        <v>19185</v>
      </c>
      <c r="F1269" t="s">
        <v>31574</v>
      </c>
      <c r="G1269" t="s">
        <v>31582</v>
      </c>
      <c r="H1269" t="s">
        <v>31591</v>
      </c>
      <c r="I1269" t="s">
        <v>4046</v>
      </c>
      <c r="J1269" t="s">
        <v>31935</v>
      </c>
      <c r="K1269" t="s">
        <v>41192</v>
      </c>
      <c r="M1269" t="s">
        <v>41966</v>
      </c>
      <c r="N1269" t="s">
        <v>45095</v>
      </c>
      <c r="O1269" t="s">
        <v>45096</v>
      </c>
      <c r="P1269">
        <v>0</v>
      </c>
      <c r="Q1269">
        <v>0</v>
      </c>
      <c r="R1269" t="s">
        <v>45097</v>
      </c>
      <c r="S1269" t="s">
        <v>45222</v>
      </c>
      <c r="T1269" t="s">
        <v>47047</v>
      </c>
      <c r="U1269" t="s">
        <v>48574</v>
      </c>
      <c r="W1269" t="s">
        <v>41966</v>
      </c>
      <c r="X1269" t="s">
        <v>45098</v>
      </c>
    </row>
    <row r="1270" spans="1:24">
      <c r="A1270">
        <f>HYPERLINK("https://www.philgeps.gov.ph/GEPSNONPILOT/Tender/SplashBidNoticeAbstractUI.aspx?menuIndex=3&amp;refID=7045658&amp;Result=3","7045658")</f>
        <v>0</v>
      </c>
      <c r="B1270" t="s">
        <v>536</v>
      </c>
      <c r="C1270" t="s">
        <v>4410</v>
      </c>
      <c r="D1270" t="s">
        <v>18054</v>
      </c>
      <c r="E1270" t="s">
        <v>19292</v>
      </c>
      <c r="F1270" t="s">
        <v>31574</v>
      </c>
      <c r="G1270" t="s">
        <v>31582</v>
      </c>
      <c r="H1270" t="s">
        <v>31590</v>
      </c>
      <c r="I1270" t="s">
        <v>4046</v>
      </c>
      <c r="J1270" t="s">
        <v>32674</v>
      </c>
      <c r="K1270" t="s">
        <v>41186</v>
      </c>
      <c r="M1270" t="s">
        <v>42033</v>
      </c>
      <c r="N1270" t="s">
        <v>45095</v>
      </c>
      <c r="O1270" t="s">
        <v>45096</v>
      </c>
      <c r="P1270">
        <v>0</v>
      </c>
      <c r="Q1270">
        <v>0</v>
      </c>
      <c r="R1270" t="s">
        <v>45097</v>
      </c>
      <c r="S1270" t="s">
        <v>45222</v>
      </c>
      <c r="T1270" t="s">
        <v>46966</v>
      </c>
      <c r="U1270" t="s">
        <v>48551</v>
      </c>
      <c r="W1270" t="s">
        <v>42033</v>
      </c>
      <c r="X1270" t="s">
        <v>45098</v>
      </c>
    </row>
    <row r="1271" spans="1:24">
      <c r="A1271">
        <f>HYPERLINK("https://www.philgeps.gov.ph/GEPSNONPILOT/Tender/SplashBidNoticeAbstractUI.aspx?menuIndex=3&amp;refID=7045664&amp;Result=3","7045664")</f>
        <v>0</v>
      </c>
      <c r="B1271" t="s">
        <v>547</v>
      </c>
      <c r="C1271" t="s">
        <v>4411</v>
      </c>
      <c r="D1271" t="s">
        <v>18035</v>
      </c>
      <c r="E1271" t="s">
        <v>19293</v>
      </c>
      <c r="F1271" t="s">
        <v>31574</v>
      </c>
      <c r="G1271" t="s">
        <v>31582</v>
      </c>
      <c r="H1271" t="s">
        <v>31590</v>
      </c>
      <c r="I1271" t="s">
        <v>31631</v>
      </c>
      <c r="J1271" t="s">
        <v>32675</v>
      </c>
      <c r="K1271" t="s">
        <v>41196</v>
      </c>
      <c r="M1271" t="s">
        <v>42044</v>
      </c>
      <c r="N1271" t="s">
        <v>45095</v>
      </c>
      <c r="O1271" t="s">
        <v>45096</v>
      </c>
      <c r="P1271">
        <v>0</v>
      </c>
      <c r="Q1271">
        <v>0</v>
      </c>
      <c r="R1271" t="s">
        <v>45097</v>
      </c>
      <c r="S1271" t="s">
        <v>45222</v>
      </c>
      <c r="T1271" t="s">
        <v>47003</v>
      </c>
      <c r="U1271" t="s">
        <v>48575</v>
      </c>
      <c r="V1271" t="s">
        <v>59973</v>
      </c>
      <c r="W1271" t="s">
        <v>42044</v>
      </c>
      <c r="X1271" t="s">
        <v>45098</v>
      </c>
    </row>
    <row r="1272" spans="1:24">
      <c r="A1272">
        <f>HYPERLINK("https://www.philgeps.gov.ph/GEPSNONPILOT/Tender/SplashBidNoticeAbstractUI.aspx?menuIndex=3&amp;refID=7045657&amp;Result=3","7045657")</f>
        <v>0</v>
      </c>
      <c r="B1272" t="s">
        <v>482</v>
      </c>
      <c r="C1272" t="s">
        <v>4412</v>
      </c>
      <c r="D1272" t="s">
        <v>18087</v>
      </c>
      <c r="E1272" t="s">
        <v>19294</v>
      </c>
      <c r="F1272" t="s">
        <v>31574</v>
      </c>
      <c r="G1272" t="s">
        <v>31582</v>
      </c>
      <c r="H1272" t="s">
        <v>31590</v>
      </c>
      <c r="I1272" t="s">
        <v>31625</v>
      </c>
      <c r="J1272" t="s">
        <v>32676</v>
      </c>
      <c r="K1272" t="s">
        <v>41195</v>
      </c>
      <c r="M1272" t="s">
        <v>41978</v>
      </c>
      <c r="N1272" t="s">
        <v>45095</v>
      </c>
      <c r="O1272" t="s">
        <v>45096</v>
      </c>
      <c r="P1272">
        <v>0</v>
      </c>
      <c r="Q1272">
        <v>0</v>
      </c>
      <c r="R1272" t="s">
        <v>45097</v>
      </c>
      <c r="S1272" t="s">
        <v>45222</v>
      </c>
      <c r="T1272" t="s">
        <v>46924</v>
      </c>
      <c r="U1272" t="s">
        <v>48576</v>
      </c>
      <c r="W1272" t="s">
        <v>41978</v>
      </c>
      <c r="X1272" t="s">
        <v>45098</v>
      </c>
    </row>
    <row r="1273" spans="1:24">
      <c r="A1273">
        <f>HYPERLINK("https://www.philgeps.gov.ph/GEPSNONPILOT/Tender/SplashBidNoticeAbstractUI.aspx?menuIndex=3&amp;refID=7045661&amp;Result=3","7045661")</f>
        <v>0</v>
      </c>
      <c r="B1273" t="s">
        <v>548</v>
      </c>
      <c r="C1273" t="s">
        <v>4413</v>
      </c>
      <c r="D1273" t="s">
        <v>18040</v>
      </c>
      <c r="E1273" t="s">
        <v>19295</v>
      </c>
      <c r="F1273" t="s">
        <v>31574</v>
      </c>
      <c r="G1273" t="s">
        <v>31581</v>
      </c>
      <c r="H1273" t="s">
        <v>31590</v>
      </c>
      <c r="I1273" t="s">
        <v>31648</v>
      </c>
      <c r="J1273" t="s">
        <v>32677</v>
      </c>
      <c r="K1273" t="s">
        <v>41213</v>
      </c>
      <c r="M1273" t="s">
        <v>42045</v>
      </c>
      <c r="N1273" t="s">
        <v>45095</v>
      </c>
      <c r="O1273" t="s">
        <v>45096</v>
      </c>
      <c r="P1273">
        <v>0</v>
      </c>
      <c r="Q1273">
        <v>0</v>
      </c>
      <c r="R1273" t="s">
        <v>45097</v>
      </c>
      <c r="S1273" t="s">
        <v>45222</v>
      </c>
      <c r="T1273" t="s">
        <v>46918</v>
      </c>
      <c r="U1273" t="s">
        <v>48577</v>
      </c>
      <c r="W1273" t="s">
        <v>42045</v>
      </c>
      <c r="X1273" t="s">
        <v>45098</v>
      </c>
    </row>
    <row r="1274" spans="1:24">
      <c r="A1274">
        <f>HYPERLINK("https://www.philgeps.gov.ph/GEPSNONPILOT/Tender/SplashBidNoticeAbstractUI.aspx?menuIndex=3&amp;refID=7045652&amp;Result=3","7045652")</f>
        <v>0</v>
      </c>
      <c r="B1274" t="s">
        <v>549</v>
      </c>
      <c r="C1274" t="s">
        <v>4414</v>
      </c>
      <c r="D1274" t="s">
        <v>18073</v>
      </c>
      <c r="E1274" t="s">
        <v>19296</v>
      </c>
      <c r="F1274" t="s">
        <v>31574</v>
      </c>
      <c r="G1274" t="s">
        <v>31583</v>
      </c>
      <c r="H1274" t="s">
        <v>31590</v>
      </c>
      <c r="I1274" t="s">
        <v>31603</v>
      </c>
      <c r="J1274" t="s">
        <v>32678</v>
      </c>
      <c r="K1274" t="s">
        <v>41211</v>
      </c>
      <c r="M1274" t="s">
        <v>42046</v>
      </c>
      <c r="N1274" t="s">
        <v>45095</v>
      </c>
      <c r="O1274" t="s">
        <v>45096</v>
      </c>
      <c r="P1274">
        <v>0</v>
      </c>
      <c r="Q1274">
        <v>0</v>
      </c>
      <c r="R1274" t="s">
        <v>45097</v>
      </c>
      <c r="S1274" t="s">
        <v>45222</v>
      </c>
      <c r="T1274" t="s">
        <v>46973</v>
      </c>
      <c r="U1274" t="s">
        <v>48578</v>
      </c>
      <c r="W1274" t="s">
        <v>42046</v>
      </c>
      <c r="X1274" t="s">
        <v>45098</v>
      </c>
    </row>
    <row r="1275" spans="1:24">
      <c r="A1275">
        <f>HYPERLINK("https://www.philgeps.gov.ph/GEPSNONPILOT/Tender/SplashBidNoticeAbstractUI.aspx?menuIndex=3&amp;refID=7045641&amp;Result=3","7045641")</f>
        <v>0</v>
      </c>
      <c r="B1275" t="s">
        <v>550</v>
      </c>
      <c r="C1275" t="s">
        <v>4415</v>
      </c>
      <c r="D1275" t="s">
        <v>18035</v>
      </c>
      <c r="E1275" t="s">
        <v>19297</v>
      </c>
      <c r="F1275" t="s">
        <v>31574</v>
      </c>
      <c r="G1275" t="s">
        <v>31581</v>
      </c>
      <c r="H1275" t="s">
        <v>31591</v>
      </c>
      <c r="I1275" t="s">
        <v>8822</v>
      </c>
      <c r="J1275" t="s">
        <v>32679</v>
      </c>
      <c r="K1275" t="s">
        <v>41184</v>
      </c>
      <c r="M1275" t="s">
        <v>42047</v>
      </c>
      <c r="N1275" t="s">
        <v>45095</v>
      </c>
      <c r="O1275" t="s">
        <v>45096</v>
      </c>
      <c r="P1275">
        <v>0</v>
      </c>
      <c r="Q1275">
        <v>0</v>
      </c>
      <c r="R1275" t="s">
        <v>45097</v>
      </c>
      <c r="S1275" t="s">
        <v>45222</v>
      </c>
      <c r="T1275" t="s">
        <v>46949</v>
      </c>
      <c r="U1275" t="s">
        <v>48579</v>
      </c>
      <c r="W1275" t="s">
        <v>42047</v>
      </c>
      <c r="X1275" t="s">
        <v>45098</v>
      </c>
    </row>
    <row r="1276" spans="1:24">
      <c r="A1276">
        <f>HYPERLINK("https://www.philgeps.gov.ph/GEPSNONPILOT/Tender/SplashBidNoticeAbstractUI.aspx?menuIndex=3&amp;refID=7045669&amp;Result=3","7045669")</f>
        <v>0</v>
      </c>
      <c r="B1276" t="s">
        <v>551</v>
      </c>
      <c r="C1276" t="s">
        <v>4416</v>
      </c>
      <c r="D1276" t="s">
        <v>18096</v>
      </c>
      <c r="E1276" t="s">
        <v>19298</v>
      </c>
      <c r="F1276" t="s">
        <v>31574</v>
      </c>
      <c r="G1276" t="s">
        <v>31582</v>
      </c>
      <c r="H1276" t="s">
        <v>31590</v>
      </c>
      <c r="I1276" t="s">
        <v>31598</v>
      </c>
      <c r="J1276" t="s">
        <v>32537</v>
      </c>
      <c r="K1276" t="s">
        <v>41192</v>
      </c>
      <c r="M1276" t="s">
        <v>42048</v>
      </c>
      <c r="N1276" t="s">
        <v>45095</v>
      </c>
      <c r="O1276" t="s">
        <v>45096</v>
      </c>
      <c r="P1276">
        <v>0</v>
      </c>
      <c r="Q1276">
        <v>0</v>
      </c>
      <c r="R1276" t="s">
        <v>45097</v>
      </c>
      <c r="S1276" t="s">
        <v>45222</v>
      </c>
      <c r="T1276" t="s">
        <v>47037</v>
      </c>
      <c r="U1276" t="s">
        <v>48580</v>
      </c>
      <c r="W1276" t="s">
        <v>42048</v>
      </c>
      <c r="X1276" t="s">
        <v>45098</v>
      </c>
    </row>
    <row r="1277" spans="1:24">
      <c r="A1277">
        <f>HYPERLINK("https://www.philgeps.gov.ph/GEPSNONPILOT/Tender/SplashBidNoticeAbstractUI.aspx?menuIndex=3&amp;refID=7045653&amp;Result=3","7045653")</f>
        <v>0</v>
      </c>
      <c r="B1277" t="s">
        <v>552</v>
      </c>
      <c r="C1277" t="s">
        <v>4417</v>
      </c>
      <c r="D1277" t="s">
        <v>18040</v>
      </c>
      <c r="E1277" t="s">
        <v>19299</v>
      </c>
      <c r="F1277" t="s">
        <v>31574</v>
      </c>
      <c r="G1277" t="s">
        <v>31581</v>
      </c>
      <c r="H1277" t="s">
        <v>31590</v>
      </c>
      <c r="I1277" t="s">
        <v>5717</v>
      </c>
      <c r="J1277" t="s">
        <v>31843</v>
      </c>
      <c r="K1277" t="s">
        <v>41193</v>
      </c>
      <c r="M1277" t="s">
        <v>42049</v>
      </c>
      <c r="N1277" t="s">
        <v>45095</v>
      </c>
      <c r="O1277" t="s">
        <v>45096</v>
      </c>
      <c r="P1277">
        <v>0</v>
      </c>
      <c r="Q1277">
        <v>0</v>
      </c>
      <c r="R1277" t="s">
        <v>45097</v>
      </c>
      <c r="S1277" t="s">
        <v>45222</v>
      </c>
      <c r="T1277" t="s">
        <v>46920</v>
      </c>
      <c r="U1277" t="s">
        <v>48581</v>
      </c>
      <c r="W1277" t="s">
        <v>42049</v>
      </c>
      <c r="X1277" t="s">
        <v>45098</v>
      </c>
    </row>
    <row r="1278" spans="1:24">
      <c r="A1278">
        <f>HYPERLINK("https://www.philgeps.gov.ph/GEPSNONPILOT/Tender/SplashBidNoticeAbstractUI.aspx?menuIndex=3&amp;refID=7045646&amp;Result=3","7045646")</f>
        <v>0</v>
      </c>
      <c r="B1278" t="s">
        <v>502</v>
      </c>
      <c r="C1278" t="s">
        <v>4418</v>
      </c>
      <c r="D1278" t="s">
        <v>18022</v>
      </c>
      <c r="E1278" t="s">
        <v>19300</v>
      </c>
      <c r="F1278" t="s">
        <v>31574</v>
      </c>
      <c r="G1278" t="s">
        <v>31583</v>
      </c>
      <c r="H1278" t="s">
        <v>31590</v>
      </c>
      <c r="I1278" t="s">
        <v>7185</v>
      </c>
      <c r="J1278" t="s">
        <v>32019</v>
      </c>
      <c r="K1278" t="s">
        <v>41184</v>
      </c>
      <c r="M1278" t="s">
        <v>41998</v>
      </c>
      <c r="N1278" t="s">
        <v>45095</v>
      </c>
      <c r="O1278" t="s">
        <v>45096</v>
      </c>
      <c r="P1278">
        <v>0</v>
      </c>
      <c r="Q1278">
        <v>0</v>
      </c>
      <c r="R1278" t="s">
        <v>45097</v>
      </c>
      <c r="S1278" t="s">
        <v>45222</v>
      </c>
      <c r="T1278" t="s">
        <v>46969</v>
      </c>
      <c r="U1278" t="s">
        <v>48582</v>
      </c>
      <c r="W1278" t="s">
        <v>41998</v>
      </c>
      <c r="X1278" t="s">
        <v>45098</v>
      </c>
    </row>
    <row r="1279" spans="1:24">
      <c r="A1279">
        <f>HYPERLINK("https://www.philgeps.gov.ph/GEPSNONPILOT/Tender/SplashBidNoticeAbstractUI.aspx?menuIndex=3&amp;refID=7045651&amp;Result=3","7045651")</f>
        <v>0</v>
      </c>
      <c r="B1279" t="s">
        <v>524</v>
      </c>
      <c r="C1279" t="s">
        <v>4419</v>
      </c>
      <c r="D1279" t="s">
        <v>18094</v>
      </c>
      <c r="E1279" t="s">
        <v>19301</v>
      </c>
      <c r="F1279" t="s">
        <v>31574</v>
      </c>
      <c r="G1279" t="s">
        <v>31583</v>
      </c>
      <c r="H1279" t="s">
        <v>31590</v>
      </c>
      <c r="I1279" t="s">
        <v>4046</v>
      </c>
      <c r="J1279" t="s">
        <v>32680</v>
      </c>
      <c r="K1279" t="s">
        <v>41186</v>
      </c>
      <c r="M1279" t="s">
        <v>42020</v>
      </c>
      <c r="N1279" t="s">
        <v>45095</v>
      </c>
      <c r="O1279" t="s">
        <v>45096</v>
      </c>
      <c r="P1279">
        <v>0</v>
      </c>
      <c r="Q1279">
        <v>0</v>
      </c>
      <c r="R1279" t="s">
        <v>45097</v>
      </c>
      <c r="S1279" t="s">
        <v>45222</v>
      </c>
      <c r="T1279" t="s">
        <v>47064</v>
      </c>
      <c r="U1279" t="s">
        <v>48583</v>
      </c>
      <c r="W1279" t="s">
        <v>42020</v>
      </c>
      <c r="X1279" t="s">
        <v>45098</v>
      </c>
    </row>
    <row r="1280" spans="1:24">
      <c r="A1280">
        <f>HYPERLINK("https://www.philgeps.gov.ph/GEPSNONPILOT/Tender/SplashBidNoticeAbstractUI.aspx?menuIndex=3&amp;refID=7045689&amp;Result=3","7045689")</f>
        <v>0</v>
      </c>
      <c r="B1280" t="s">
        <v>80</v>
      </c>
      <c r="C1280" t="s">
        <v>4420</v>
      </c>
      <c r="D1280" t="s">
        <v>18041</v>
      </c>
      <c r="E1280" t="s">
        <v>19302</v>
      </c>
      <c r="F1280" t="s">
        <v>31574</v>
      </c>
      <c r="G1280" t="s">
        <v>31583</v>
      </c>
      <c r="H1280" t="s">
        <v>31590</v>
      </c>
      <c r="I1280" t="s">
        <v>4046</v>
      </c>
      <c r="J1280" t="s">
        <v>32681</v>
      </c>
      <c r="K1280" t="s">
        <v>41196</v>
      </c>
      <c r="M1280" t="s">
        <v>41564</v>
      </c>
      <c r="N1280" t="s">
        <v>45095</v>
      </c>
      <c r="O1280" t="s">
        <v>45096</v>
      </c>
      <c r="P1280">
        <v>0</v>
      </c>
      <c r="Q1280">
        <v>0</v>
      </c>
      <c r="R1280" t="s">
        <v>45097</v>
      </c>
      <c r="S1280" t="s">
        <v>45222</v>
      </c>
      <c r="T1280" t="s">
        <v>46905</v>
      </c>
      <c r="U1280" t="s">
        <v>48584</v>
      </c>
      <c r="W1280" t="s">
        <v>41564</v>
      </c>
      <c r="X1280" t="s">
        <v>45098</v>
      </c>
    </row>
    <row r="1281" spans="1:24">
      <c r="A1281">
        <f>HYPERLINK("https://www.philgeps.gov.ph/GEPSNONPILOT/Tender/SplashBidNoticeAbstractUI.aspx?menuIndex=3&amp;refID=7045640&amp;Result=3","7045640")</f>
        <v>0</v>
      </c>
      <c r="B1281" t="s">
        <v>493</v>
      </c>
      <c r="C1281" t="s">
        <v>4421</v>
      </c>
      <c r="D1281" t="s">
        <v>18072</v>
      </c>
      <c r="E1281" t="s">
        <v>19303</v>
      </c>
      <c r="F1281" t="s">
        <v>31574</v>
      </c>
      <c r="G1281" t="s">
        <v>31581</v>
      </c>
      <c r="H1281" t="s">
        <v>31590</v>
      </c>
      <c r="I1281" t="s">
        <v>31615</v>
      </c>
      <c r="J1281" t="s">
        <v>31843</v>
      </c>
      <c r="K1281" t="s">
        <v>41190</v>
      </c>
      <c r="M1281" t="s">
        <v>41989</v>
      </c>
      <c r="N1281" t="s">
        <v>45095</v>
      </c>
      <c r="O1281" t="s">
        <v>45096</v>
      </c>
      <c r="P1281">
        <v>0</v>
      </c>
      <c r="Q1281">
        <v>0</v>
      </c>
      <c r="R1281" t="s">
        <v>45097</v>
      </c>
      <c r="S1281" t="s">
        <v>45222</v>
      </c>
      <c r="T1281" t="s">
        <v>46904</v>
      </c>
      <c r="U1281" t="s">
        <v>48585</v>
      </c>
      <c r="W1281" t="s">
        <v>41989</v>
      </c>
      <c r="X1281" t="s">
        <v>45098</v>
      </c>
    </row>
    <row r="1282" spans="1:24">
      <c r="A1282">
        <f>HYPERLINK("https://www.philgeps.gov.ph/GEPSNONPILOT/Tender/SplashBidNoticeAbstractUI.aspx?menuIndex=3&amp;refID=7045687&amp;Result=3","7045687")</f>
        <v>0</v>
      </c>
      <c r="B1282" t="s">
        <v>530</v>
      </c>
      <c r="C1282" t="s">
        <v>4422</v>
      </c>
      <c r="D1282" t="s">
        <v>18071</v>
      </c>
      <c r="E1282" t="s">
        <v>19304</v>
      </c>
      <c r="F1282" t="s">
        <v>31574</v>
      </c>
      <c r="G1282" t="s">
        <v>31582</v>
      </c>
      <c r="H1282" t="s">
        <v>31590</v>
      </c>
      <c r="I1282" t="s">
        <v>31619</v>
      </c>
      <c r="J1282" t="s">
        <v>32682</v>
      </c>
      <c r="K1282" t="s">
        <v>41186</v>
      </c>
      <c r="M1282" t="s">
        <v>42027</v>
      </c>
      <c r="N1282" t="s">
        <v>45095</v>
      </c>
      <c r="O1282" t="s">
        <v>45096</v>
      </c>
      <c r="P1282">
        <v>0</v>
      </c>
      <c r="Q1282">
        <v>0</v>
      </c>
      <c r="R1282" t="s">
        <v>45097</v>
      </c>
      <c r="S1282" t="s">
        <v>45222</v>
      </c>
      <c r="T1282" t="s">
        <v>47066</v>
      </c>
      <c r="U1282" t="s">
        <v>48586</v>
      </c>
      <c r="W1282" t="s">
        <v>42027</v>
      </c>
      <c r="X1282" t="s">
        <v>45098</v>
      </c>
    </row>
    <row r="1283" spans="1:24">
      <c r="A1283">
        <f>HYPERLINK("https://www.philgeps.gov.ph/GEPSNONPILOT/Tender/SplashBidNoticeAbstractUI.aspx?menuIndex=3&amp;refID=7045688&amp;Result=3","7045688")</f>
        <v>0</v>
      </c>
      <c r="B1283" t="s">
        <v>517</v>
      </c>
      <c r="C1283" t="s">
        <v>4423</v>
      </c>
      <c r="E1283" t="s">
        <v>19305</v>
      </c>
      <c r="F1283" t="s">
        <v>31574</v>
      </c>
      <c r="G1283" t="s">
        <v>31581</v>
      </c>
      <c r="H1283" t="s">
        <v>31592</v>
      </c>
      <c r="I1283" t="s">
        <v>31627</v>
      </c>
      <c r="J1283" t="s">
        <v>32670</v>
      </c>
      <c r="K1283" t="s">
        <v>41186</v>
      </c>
      <c r="M1283" t="s">
        <v>42013</v>
      </c>
      <c r="N1283" t="s">
        <v>45095</v>
      </c>
      <c r="O1283" t="s">
        <v>45096</v>
      </c>
      <c r="P1283">
        <v>0</v>
      </c>
      <c r="Q1283">
        <v>0</v>
      </c>
      <c r="R1283" t="s">
        <v>45097</v>
      </c>
      <c r="S1283" t="s">
        <v>45222</v>
      </c>
      <c r="T1283" t="s">
        <v>46911</v>
      </c>
      <c r="U1283" t="s">
        <v>48587</v>
      </c>
      <c r="W1283" t="s">
        <v>42013</v>
      </c>
      <c r="X1283" t="s">
        <v>45098</v>
      </c>
    </row>
    <row r="1284" spans="1:24">
      <c r="A1284">
        <f>HYPERLINK("https://www.philgeps.gov.ph/GEPSNONPILOT/Tender/SplashBidNoticeAbstractUI.aspx?menuIndex=3&amp;refID=7045690&amp;Result=3","7045690")</f>
        <v>0</v>
      </c>
      <c r="B1284" t="s">
        <v>553</v>
      </c>
      <c r="C1284" t="s">
        <v>4424</v>
      </c>
      <c r="D1284" t="s">
        <v>18022</v>
      </c>
      <c r="E1284" t="s">
        <v>19306</v>
      </c>
      <c r="F1284" t="s">
        <v>31574</v>
      </c>
      <c r="G1284" t="s">
        <v>31584</v>
      </c>
      <c r="H1284" t="s">
        <v>31590</v>
      </c>
      <c r="I1284" t="s">
        <v>6800</v>
      </c>
      <c r="J1284" t="s">
        <v>32683</v>
      </c>
      <c r="K1284" t="s">
        <v>41184</v>
      </c>
      <c r="M1284" t="s">
        <v>42050</v>
      </c>
      <c r="N1284" t="s">
        <v>45095</v>
      </c>
      <c r="O1284" t="s">
        <v>45096</v>
      </c>
      <c r="P1284">
        <v>0</v>
      </c>
      <c r="Q1284">
        <v>0</v>
      </c>
      <c r="R1284" t="s">
        <v>45097</v>
      </c>
      <c r="S1284" t="s">
        <v>45222</v>
      </c>
      <c r="T1284" t="s">
        <v>47068</v>
      </c>
      <c r="U1284" t="s">
        <v>48588</v>
      </c>
      <c r="V1284" t="s">
        <v>59974</v>
      </c>
      <c r="W1284" t="s">
        <v>42050</v>
      </c>
      <c r="X1284" t="s">
        <v>45098</v>
      </c>
    </row>
    <row r="1285" spans="1:24">
      <c r="A1285">
        <f>HYPERLINK("https://www.philgeps.gov.ph/GEPSNONPILOT/Tender/SplashBidNoticeAbstractUI.aspx?menuIndex=3&amp;refID=7045666&amp;Result=3","7045666")</f>
        <v>0</v>
      </c>
      <c r="B1285" t="s">
        <v>554</v>
      </c>
      <c r="C1285" t="s">
        <v>4425</v>
      </c>
      <c r="D1285" t="s">
        <v>18072</v>
      </c>
      <c r="E1285" t="s">
        <v>19307</v>
      </c>
      <c r="F1285" t="s">
        <v>31574</v>
      </c>
      <c r="G1285" t="s">
        <v>31585</v>
      </c>
      <c r="H1285" t="s">
        <v>31590</v>
      </c>
      <c r="I1285" t="s">
        <v>31599</v>
      </c>
      <c r="J1285" t="s">
        <v>32684</v>
      </c>
      <c r="K1285" t="s">
        <v>41190</v>
      </c>
      <c r="L1285" t="s">
        <v>554</v>
      </c>
      <c r="M1285" t="s">
        <v>42051</v>
      </c>
      <c r="N1285" t="s">
        <v>45095</v>
      </c>
      <c r="O1285" t="s">
        <v>45096</v>
      </c>
      <c r="P1285">
        <v>0</v>
      </c>
      <c r="Q1285">
        <v>0</v>
      </c>
      <c r="R1285" t="s">
        <v>45097</v>
      </c>
      <c r="S1285" t="s">
        <v>45222</v>
      </c>
      <c r="T1285" t="s">
        <v>46949</v>
      </c>
      <c r="U1285" t="s">
        <v>48589</v>
      </c>
      <c r="W1285" t="s">
        <v>42051</v>
      </c>
      <c r="X1285" t="s">
        <v>45098</v>
      </c>
    </row>
    <row r="1286" spans="1:24">
      <c r="A1286">
        <f>HYPERLINK("https://www.philgeps.gov.ph/GEPSNONPILOT/Tender/SplashBidNoticeAbstractUI.aspx?menuIndex=3&amp;refID=7045681&amp;Result=3","7045681")</f>
        <v>0</v>
      </c>
      <c r="B1286" t="s">
        <v>290</v>
      </c>
      <c r="C1286" t="s">
        <v>4426</v>
      </c>
      <c r="D1286" t="s">
        <v>18043</v>
      </c>
      <c r="E1286" t="s">
        <v>19308</v>
      </c>
      <c r="F1286" t="s">
        <v>31574</v>
      </c>
      <c r="G1286" t="s">
        <v>31582</v>
      </c>
      <c r="H1286" t="s">
        <v>31590</v>
      </c>
      <c r="I1286" t="s">
        <v>8258</v>
      </c>
      <c r="J1286" t="s">
        <v>32685</v>
      </c>
      <c r="K1286" t="s">
        <v>41186</v>
      </c>
      <c r="M1286" t="s">
        <v>42052</v>
      </c>
      <c r="N1286" t="s">
        <v>45095</v>
      </c>
      <c r="O1286" t="s">
        <v>45096</v>
      </c>
      <c r="P1286">
        <v>0</v>
      </c>
      <c r="Q1286">
        <v>0</v>
      </c>
      <c r="R1286" t="s">
        <v>45097</v>
      </c>
      <c r="S1286" t="s">
        <v>45222</v>
      </c>
      <c r="T1286" t="s">
        <v>46988</v>
      </c>
      <c r="U1286" t="s">
        <v>48590</v>
      </c>
      <c r="W1286" t="s">
        <v>42052</v>
      </c>
      <c r="X1286" t="s">
        <v>45098</v>
      </c>
    </row>
    <row r="1287" spans="1:24">
      <c r="A1287">
        <f>HYPERLINK("https://www.philgeps.gov.ph/GEPSNONPILOT/Tender/SplashBidNoticeAbstractUI.aspx?menuIndex=3&amp;refID=7045685&amp;Result=3","7045685")</f>
        <v>0</v>
      </c>
      <c r="B1287" t="s">
        <v>435</v>
      </c>
      <c r="C1287" t="s">
        <v>4427</v>
      </c>
      <c r="D1287" t="s">
        <v>18057</v>
      </c>
      <c r="E1287" t="s">
        <v>19309</v>
      </c>
      <c r="F1287" t="s">
        <v>31575</v>
      </c>
      <c r="G1287" t="s">
        <v>31583</v>
      </c>
      <c r="H1287" t="s">
        <v>31592</v>
      </c>
      <c r="I1287" t="s">
        <v>3873</v>
      </c>
      <c r="J1287" t="s">
        <v>32686</v>
      </c>
      <c r="K1287" t="s">
        <v>41193</v>
      </c>
      <c r="M1287" t="s">
        <v>41928</v>
      </c>
      <c r="N1287" t="s">
        <v>45095</v>
      </c>
      <c r="O1287" t="s">
        <v>45096</v>
      </c>
      <c r="P1287">
        <v>0</v>
      </c>
      <c r="Q1287">
        <v>0</v>
      </c>
      <c r="R1287" t="s">
        <v>45097</v>
      </c>
      <c r="S1287" t="s">
        <v>45222</v>
      </c>
      <c r="T1287" t="s">
        <v>47035</v>
      </c>
      <c r="U1287" t="s">
        <v>48591</v>
      </c>
      <c r="W1287" t="s">
        <v>41928</v>
      </c>
      <c r="X1287" t="s">
        <v>45098</v>
      </c>
    </row>
    <row r="1288" spans="1:24">
      <c r="A1288">
        <f>HYPERLINK("https://www.philgeps.gov.ph/GEPSNONPILOT/Tender/SplashBidNoticeAbstractUI.aspx?menuIndex=3&amp;refID=7045682&amp;Result=3","7045682")</f>
        <v>0</v>
      </c>
      <c r="B1288" t="s">
        <v>318</v>
      </c>
      <c r="C1288" t="s">
        <v>4428</v>
      </c>
      <c r="D1288" t="s">
        <v>18033</v>
      </c>
      <c r="E1288" t="s">
        <v>19310</v>
      </c>
      <c r="F1288" t="s">
        <v>31574</v>
      </c>
      <c r="G1288" t="s">
        <v>31582</v>
      </c>
      <c r="H1288" t="s">
        <v>31590</v>
      </c>
      <c r="I1288" t="s">
        <v>4046</v>
      </c>
      <c r="J1288" t="s">
        <v>32687</v>
      </c>
      <c r="K1288" t="s">
        <v>41190</v>
      </c>
      <c r="M1288" t="s">
        <v>41806</v>
      </c>
      <c r="N1288" t="s">
        <v>45095</v>
      </c>
      <c r="O1288" t="s">
        <v>45096</v>
      </c>
      <c r="P1288">
        <v>0</v>
      </c>
      <c r="Q1288">
        <v>0</v>
      </c>
      <c r="R1288" t="s">
        <v>45097</v>
      </c>
      <c r="S1288" t="s">
        <v>45222</v>
      </c>
      <c r="T1288" t="s">
        <v>46943</v>
      </c>
      <c r="U1288" t="s">
        <v>48592</v>
      </c>
      <c r="W1288" t="s">
        <v>41806</v>
      </c>
      <c r="X1288" t="s">
        <v>45098</v>
      </c>
    </row>
    <row r="1289" spans="1:24">
      <c r="A1289">
        <f>HYPERLINK("https://www.philgeps.gov.ph/GEPSNONPILOT/Tender/SplashBidNoticeAbstractUI.aspx?menuIndex=3&amp;refID=7045680&amp;Result=3","7045680")</f>
        <v>0</v>
      </c>
      <c r="B1289" t="s">
        <v>508</v>
      </c>
      <c r="C1289" t="s">
        <v>4429</v>
      </c>
      <c r="D1289" t="s">
        <v>18023</v>
      </c>
      <c r="E1289" t="s">
        <v>19311</v>
      </c>
      <c r="F1289" t="s">
        <v>31574</v>
      </c>
      <c r="G1289" t="s">
        <v>31583</v>
      </c>
      <c r="H1289" t="s">
        <v>31590</v>
      </c>
      <c r="I1289" t="s">
        <v>31629</v>
      </c>
      <c r="J1289" t="s">
        <v>32688</v>
      </c>
      <c r="K1289" t="s">
        <v>41184</v>
      </c>
      <c r="M1289" t="s">
        <v>42004</v>
      </c>
      <c r="N1289" t="s">
        <v>45095</v>
      </c>
      <c r="O1289" t="s">
        <v>45096</v>
      </c>
      <c r="P1289">
        <v>0</v>
      </c>
      <c r="Q1289">
        <v>0</v>
      </c>
      <c r="R1289" t="s">
        <v>45097</v>
      </c>
      <c r="S1289" t="s">
        <v>45222</v>
      </c>
      <c r="T1289" t="s">
        <v>46904</v>
      </c>
      <c r="U1289" t="s">
        <v>48508</v>
      </c>
      <c r="V1289" t="s">
        <v>59975</v>
      </c>
      <c r="W1289" t="s">
        <v>42004</v>
      </c>
      <c r="X1289" t="s">
        <v>45098</v>
      </c>
    </row>
    <row r="1290" spans="1:24">
      <c r="A1290">
        <f>HYPERLINK("https://www.philgeps.gov.ph/GEPSNONPILOT/Tender/SplashBidNoticeAbstractUI.aspx?menuIndex=3&amp;refID=7045684&amp;Result=3","7045684")</f>
        <v>0</v>
      </c>
      <c r="B1290" t="s">
        <v>218</v>
      </c>
      <c r="C1290" t="s">
        <v>4430</v>
      </c>
      <c r="D1290" t="s">
        <v>18070</v>
      </c>
      <c r="E1290" t="s">
        <v>19312</v>
      </c>
      <c r="F1290" t="s">
        <v>31574</v>
      </c>
      <c r="G1290" t="s">
        <v>31583</v>
      </c>
      <c r="H1290" t="s">
        <v>31590</v>
      </c>
      <c r="I1290" t="s">
        <v>5222</v>
      </c>
      <c r="J1290" t="s">
        <v>32689</v>
      </c>
      <c r="K1290" t="s">
        <v>41193</v>
      </c>
      <c r="M1290" t="s">
        <v>41703</v>
      </c>
      <c r="N1290" t="s">
        <v>45095</v>
      </c>
      <c r="O1290" t="s">
        <v>45096</v>
      </c>
      <c r="P1290">
        <v>0</v>
      </c>
      <c r="Q1290">
        <v>0</v>
      </c>
      <c r="R1290" t="s">
        <v>45097</v>
      </c>
      <c r="S1290" t="s">
        <v>45222</v>
      </c>
      <c r="T1290" t="s">
        <v>46957</v>
      </c>
      <c r="U1290" t="s">
        <v>47880</v>
      </c>
      <c r="W1290" t="s">
        <v>41703</v>
      </c>
      <c r="X1290" t="s">
        <v>45098</v>
      </c>
    </row>
    <row r="1291" spans="1:24">
      <c r="A1291">
        <f>HYPERLINK("https://www.philgeps.gov.ph/GEPSNONPILOT/Tender/SplashBidNoticeAbstractUI.aspx?menuIndex=3&amp;refID=7045678&amp;Result=3","7045678")</f>
        <v>0</v>
      </c>
      <c r="B1291" t="s">
        <v>524</v>
      </c>
      <c r="C1291" t="s">
        <v>4431</v>
      </c>
      <c r="D1291" t="s">
        <v>18094</v>
      </c>
      <c r="E1291" t="s">
        <v>19313</v>
      </c>
      <c r="F1291" t="s">
        <v>31574</v>
      </c>
      <c r="G1291" t="s">
        <v>31583</v>
      </c>
      <c r="H1291" t="s">
        <v>31590</v>
      </c>
      <c r="I1291" t="s">
        <v>5717</v>
      </c>
      <c r="J1291" t="s">
        <v>32690</v>
      </c>
      <c r="K1291" t="s">
        <v>41186</v>
      </c>
      <c r="M1291" t="s">
        <v>42020</v>
      </c>
      <c r="N1291" t="s">
        <v>45095</v>
      </c>
      <c r="O1291" t="s">
        <v>45096</v>
      </c>
      <c r="P1291">
        <v>0</v>
      </c>
      <c r="Q1291">
        <v>0</v>
      </c>
      <c r="R1291" t="s">
        <v>45097</v>
      </c>
      <c r="S1291" t="s">
        <v>45222</v>
      </c>
      <c r="T1291" t="s">
        <v>47064</v>
      </c>
      <c r="U1291" t="s">
        <v>48593</v>
      </c>
      <c r="W1291" t="s">
        <v>42020</v>
      </c>
      <c r="X1291" t="s">
        <v>45098</v>
      </c>
    </row>
    <row r="1292" spans="1:24">
      <c r="A1292">
        <f>HYPERLINK("https://www.philgeps.gov.ph/GEPSNONPILOT/Tender/SplashBidNoticeAbstractUI.aspx?menuIndex=3&amp;refID=7045679&amp;Result=3","7045679")</f>
        <v>0</v>
      </c>
      <c r="B1292" t="s">
        <v>407</v>
      </c>
      <c r="C1292" t="s">
        <v>4432</v>
      </c>
      <c r="D1292" t="s">
        <v>18036</v>
      </c>
      <c r="E1292" t="s">
        <v>18169</v>
      </c>
      <c r="F1292" t="s">
        <v>31574</v>
      </c>
      <c r="G1292" t="s">
        <v>31581</v>
      </c>
      <c r="H1292" t="s">
        <v>31590</v>
      </c>
      <c r="I1292" t="s">
        <v>31599</v>
      </c>
      <c r="J1292" t="s">
        <v>32691</v>
      </c>
      <c r="K1292" t="s">
        <v>41196</v>
      </c>
      <c r="M1292" t="s">
        <v>41898</v>
      </c>
      <c r="N1292" t="s">
        <v>45095</v>
      </c>
      <c r="O1292" t="s">
        <v>45096</v>
      </c>
      <c r="P1292">
        <v>0</v>
      </c>
      <c r="Q1292">
        <v>0</v>
      </c>
      <c r="R1292" t="s">
        <v>45097</v>
      </c>
      <c r="S1292" t="s">
        <v>45222</v>
      </c>
      <c r="T1292" t="s">
        <v>46911</v>
      </c>
      <c r="U1292" t="s">
        <v>48594</v>
      </c>
      <c r="W1292" t="s">
        <v>41898</v>
      </c>
      <c r="X1292" t="s">
        <v>45098</v>
      </c>
    </row>
    <row r="1293" spans="1:24">
      <c r="A1293">
        <f>HYPERLINK("https://www.philgeps.gov.ph/GEPSNONPILOT/Tender/SplashBidNoticeAbstractUI.aspx?menuIndex=3&amp;refID=7045643&amp;Result=3","7045643")</f>
        <v>0</v>
      </c>
      <c r="B1293" t="s">
        <v>435</v>
      </c>
      <c r="C1293" t="s">
        <v>4433</v>
      </c>
      <c r="D1293" t="s">
        <v>18057</v>
      </c>
      <c r="E1293" t="s">
        <v>19314</v>
      </c>
      <c r="F1293" t="s">
        <v>31575</v>
      </c>
      <c r="G1293" t="s">
        <v>31583</v>
      </c>
      <c r="H1293" t="s">
        <v>31592</v>
      </c>
      <c r="I1293" t="s">
        <v>31599</v>
      </c>
      <c r="J1293" t="s">
        <v>32692</v>
      </c>
      <c r="K1293" t="s">
        <v>41193</v>
      </c>
      <c r="M1293" t="s">
        <v>41928</v>
      </c>
      <c r="N1293" t="s">
        <v>45095</v>
      </c>
      <c r="O1293" t="s">
        <v>45096</v>
      </c>
      <c r="P1293">
        <v>0</v>
      </c>
      <c r="Q1293">
        <v>0</v>
      </c>
      <c r="R1293" t="s">
        <v>45097</v>
      </c>
      <c r="S1293" t="s">
        <v>45222</v>
      </c>
      <c r="T1293" t="s">
        <v>47035</v>
      </c>
      <c r="U1293" t="s">
        <v>48595</v>
      </c>
      <c r="W1293" t="s">
        <v>41928</v>
      </c>
      <c r="X1293" t="s">
        <v>45098</v>
      </c>
    </row>
    <row r="1294" spans="1:24">
      <c r="A1294">
        <f>HYPERLINK("https://www.philgeps.gov.ph/GEPSNONPILOT/Tender/SplashBidNoticeAbstractUI.aspx?menuIndex=3&amp;refID=7045675&amp;Result=3","7045675")</f>
        <v>0</v>
      </c>
      <c r="B1294" t="s">
        <v>376</v>
      </c>
      <c r="C1294" t="s">
        <v>4434</v>
      </c>
      <c r="D1294" t="s">
        <v>18074</v>
      </c>
      <c r="E1294" t="s">
        <v>19315</v>
      </c>
      <c r="F1294" t="s">
        <v>31574</v>
      </c>
      <c r="G1294" t="s">
        <v>31581</v>
      </c>
      <c r="H1294" t="s">
        <v>31590</v>
      </c>
      <c r="I1294" t="s">
        <v>4046</v>
      </c>
      <c r="J1294" t="s">
        <v>32693</v>
      </c>
      <c r="K1294" t="s">
        <v>41190</v>
      </c>
      <c r="M1294" t="s">
        <v>41866</v>
      </c>
      <c r="N1294" t="s">
        <v>45095</v>
      </c>
      <c r="O1294" t="s">
        <v>45096</v>
      </c>
      <c r="P1294">
        <v>0</v>
      </c>
      <c r="Q1294">
        <v>0</v>
      </c>
      <c r="R1294" t="s">
        <v>45097</v>
      </c>
      <c r="S1294" t="s">
        <v>45222</v>
      </c>
      <c r="T1294" t="s">
        <v>46914</v>
      </c>
      <c r="U1294" t="s">
        <v>48596</v>
      </c>
      <c r="W1294" t="s">
        <v>41866</v>
      </c>
      <c r="X1294" t="s">
        <v>45098</v>
      </c>
    </row>
    <row r="1295" spans="1:24">
      <c r="A1295">
        <f>HYPERLINK("https://www.philgeps.gov.ph/GEPSNONPILOT/Tender/SplashBidNoticeAbstractUI.aspx?menuIndex=3&amp;refID=7045674&amp;Result=3","7045674")</f>
        <v>0</v>
      </c>
      <c r="B1295" t="s">
        <v>443</v>
      </c>
      <c r="C1295" t="s">
        <v>4435</v>
      </c>
      <c r="D1295" t="s">
        <v>18062</v>
      </c>
      <c r="E1295" t="s">
        <v>19316</v>
      </c>
      <c r="F1295" t="s">
        <v>31574</v>
      </c>
      <c r="G1295" t="s">
        <v>31582</v>
      </c>
      <c r="H1295" t="s">
        <v>31591</v>
      </c>
      <c r="I1295" t="s">
        <v>8822</v>
      </c>
      <c r="J1295" t="s">
        <v>32526</v>
      </c>
      <c r="K1295" t="s">
        <v>41252</v>
      </c>
      <c r="M1295" t="s">
        <v>41936</v>
      </c>
      <c r="N1295" t="s">
        <v>45095</v>
      </c>
      <c r="O1295" t="s">
        <v>45096</v>
      </c>
      <c r="P1295">
        <v>0</v>
      </c>
      <c r="Q1295">
        <v>0</v>
      </c>
      <c r="R1295" t="s">
        <v>45097</v>
      </c>
      <c r="S1295" t="s">
        <v>45222</v>
      </c>
      <c r="T1295" t="s">
        <v>46915</v>
      </c>
      <c r="U1295" t="s">
        <v>48547</v>
      </c>
      <c r="V1295" t="s">
        <v>59976</v>
      </c>
      <c r="W1295" t="s">
        <v>41936</v>
      </c>
      <c r="X1295" t="s">
        <v>45098</v>
      </c>
    </row>
    <row r="1296" spans="1:24">
      <c r="A1296">
        <f>HYPERLINK("https://www.philgeps.gov.ph/GEPSNONPILOT/Tender/SplashBidNoticeAbstractUI.aspx?menuIndex=3&amp;refID=7045676&amp;Result=3","7045676")</f>
        <v>0</v>
      </c>
      <c r="B1296" t="s">
        <v>93</v>
      </c>
      <c r="C1296" t="s">
        <v>4436</v>
      </c>
      <c r="D1296" t="s">
        <v>18061</v>
      </c>
      <c r="E1296" t="s">
        <v>19317</v>
      </c>
      <c r="F1296" t="s">
        <v>31574</v>
      </c>
      <c r="G1296" t="s">
        <v>31585</v>
      </c>
      <c r="H1296" t="s">
        <v>31590</v>
      </c>
      <c r="I1296" t="s">
        <v>31604</v>
      </c>
      <c r="J1296" t="s">
        <v>32258</v>
      </c>
      <c r="K1296" t="s">
        <v>41185</v>
      </c>
      <c r="M1296" t="s">
        <v>41577</v>
      </c>
      <c r="N1296" t="s">
        <v>45095</v>
      </c>
      <c r="O1296" t="s">
        <v>45096</v>
      </c>
      <c r="P1296">
        <v>0</v>
      </c>
      <c r="Q1296">
        <v>0</v>
      </c>
      <c r="R1296" t="s">
        <v>45097</v>
      </c>
      <c r="S1296" t="s">
        <v>45222</v>
      </c>
      <c r="T1296" t="s">
        <v>46949</v>
      </c>
      <c r="U1296" t="s">
        <v>48597</v>
      </c>
      <c r="W1296" t="s">
        <v>41577</v>
      </c>
      <c r="X1296" t="s">
        <v>45098</v>
      </c>
    </row>
    <row r="1297" spans="1:24">
      <c r="A1297">
        <f>HYPERLINK("https://www.philgeps.gov.ph/GEPSNONPILOT/Tender/SplashBidNoticeAbstractUI.aspx?menuIndex=3&amp;refID=7045677&amp;Result=3","7045677")</f>
        <v>0</v>
      </c>
      <c r="B1297" t="s">
        <v>281</v>
      </c>
      <c r="C1297" t="s">
        <v>4437</v>
      </c>
      <c r="D1297" t="s">
        <v>18041</v>
      </c>
      <c r="E1297" t="s">
        <v>19318</v>
      </c>
      <c r="F1297" t="s">
        <v>31574</v>
      </c>
      <c r="G1297" t="s">
        <v>31581</v>
      </c>
      <c r="H1297" t="s">
        <v>31591</v>
      </c>
      <c r="I1297" t="s">
        <v>4046</v>
      </c>
      <c r="J1297" t="s">
        <v>32694</v>
      </c>
      <c r="K1297" t="s">
        <v>41189</v>
      </c>
      <c r="M1297" t="s">
        <v>41767</v>
      </c>
      <c r="N1297" t="s">
        <v>45095</v>
      </c>
      <c r="O1297" t="s">
        <v>45096</v>
      </c>
      <c r="P1297">
        <v>0</v>
      </c>
      <c r="Q1297">
        <v>0</v>
      </c>
      <c r="R1297" t="s">
        <v>45097</v>
      </c>
      <c r="S1297" t="s">
        <v>45222</v>
      </c>
      <c r="T1297" t="s">
        <v>46910</v>
      </c>
      <c r="U1297" t="s">
        <v>48118</v>
      </c>
      <c r="W1297" t="s">
        <v>41767</v>
      </c>
      <c r="X1297" t="s">
        <v>45098</v>
      </c>
    </row>
    <row r="1298" spans="1:24">
      <c r="A1298">
        <f>HYPERLINK("https://www.philgeps.gov.ph/GEPSNONPILOT/Tender/SplashBidNoticeAbstractUI.aspx?menuIndex=3&amp;refID=7045673&amp;Result=3","7045673")</f>
        <v>0</v>
      </c>
      <c r="B1298" t="s">
        <v>95</v>
      </c>
      <c r="C1298" t="s">
        <v>4438</v>
      </c>
      <c r="D1298" t="s">
        <v>18062</v>
      </c>
      <c r="E1298" t="s">
        <v>19319</v>
      </c>
      <c r="F1298" t="s">
        <v>31574</v>
      </c>
      <c r="G1298" t="s">
        <v>31584</v>
      </c>
      <c r="H1298" t="s">
        <v>31590</v>
      </c>
      <c r="I1298" t="s">
        <v>3901</v>
      </c>
      <c r="J1298" t="s">
        <v>32695</v>
      </c>
      <c r="K1298" t="s">
        <v>41185</v>
      </c>
      <c r="M1298" t="s">
        <v>41937</v>
      </c>
      <c r="N1298" t="s">
        <v>45095</v>
      </c>
      <c r="O1298" t="s">
        <v>45096</v>
      </c>
      <c r="P1298">
        <v>0</v>
      </c>
      <c r="Q1298">
        <v>0</v>
      </c>
      <c r="R1298" t="s">
        <v>45097</v>
      </c>
      <c r="S1298" t="s">
        <v>45222</v>
      </c>
      <c r="T1298" t="s">
        <v>46949</v>
      </c>
      <c r="U1298" t="s">
        <v>48598</v>
      </c>
      <c r="W1298" t="s">
        <v>41937</v>
      </c>
      <c r="X1298" t="s">
        <v>45098</v>
      </c>
    </row>
    <row r="1299" spans="1:24">
      <c r="A1299">
        <f>HYPERLINK("https://www.philgeps.gov.ph/GEPSNONPILOT/Tender/SplashBidNoticeAbstractUI.aspx?menuIndex=3&amp;refID=7045671&amp;Result=3","7045671")</f>
        <v>0</v>
      </c>
      <c r="B1299" t="s">
        <v>530</v>
      </c>
      <c r="C1299" t="s">
        <v>4439</v>
      </c>
      <c r="D1299" t="s">
        <v>18071</v>
      </c>
      <c r="E1299" t="s">
        <v>4439</v>
      </c>
      <c r="F1299" t="s">
        <v>31574</v>
      </c>
      <c r="G1299" t="s">
        <v>31582</v>
      </c>
      <c r="H1299" t="s">
        <v>31590</v>
      </c>
      <c r="I1299" t="s">
        <v>31606</v>
      </c>
      <c r="J1299" t="s">
        <v>32696</v>
      </c>
      <c r="K1299" t="s">
        <v>41186</v>
      </c>
      <c r="M1299" t="s">
        <v>42027</v>
      </c>
      <c r="N1299" t="s">
        <v>45095</v>
      </c>
      <c r="O1299" t="s">
        <v>45096</v>
      </c>
      <c r="P1299">
        <v>0</v>
      </c>
      <c r="Q1299">
        <v>0</v>
      </c>
      <c r="R1299" t="s">
        <v>45097</v>
      </c>
      <c r="S1299" t="s">
        <v>45222</v>
      </c>
      <c r="T1299" t="s">
        <v>47066</v>
      </c>
      <c r="U1299" t="s">
        <v>48599</v>
      </c>
      <c r="W1299" t="s">
        <v>42027</v>
      </c>
      <c r="X1299" t="s">
        <v>45098</v>
      </c>
    </row>
    <row r="1300" spans="1:24">
      <c r="A1300">
        <f>HYPERLINK("https://www.philgeps.gov.ph/GEPSNONPILOT/Tender/SplashBidNoticeAbstractUI.aspx?menuIndex=3&amp;refID=7045645&amp;Result=3","7045645")</f>
        <v>0</v>
      </c>
      <c r="B1300" t="s">
        <v>495</v>
      </c>
      <c r="C1300" t="s">
        <v>4440</v>
      </c>
      <c r="D1300" t="s">
        <v>18099</v>
      </c>
      <c r="E1300" t="s">
        <v>19320</v>
      </c>
      <c r="F1300" t="s">
        <v>31574</v>
      </c>
      <c r="G1300" t="s">
        <v>31581</v>
      </c>
      <c r="H1300" t="s">
        <v>31590</v>
      </c>
      <c r="I1300" t="s">
        <v>31619</v>
      </c>
      <c r="J1300" t="s">
        <v>31753</v>
      </c>
      <c r="K1300" t="s">
        <v>41190</v>
      </c>
      <c r="M1300" t="s">
        <v>41991</v>
      </c>
      <c r="N1300" t="s">
        <v>45095</v>
      </c>
      <c r="O1300" t="s">
        <v>45096</v>
      </c>
      <c r="P1300">
        <v>0</v>
      </c>
      <c r="Q1300">
        <v>0</v>
      </c>
      <c r="R1300" t="s">
        <v>45097</v>
      </c>
      <c r="S1300" t="s">
        <v>45222</v>
      </c>
      <c r="T1300" t="s">
        <v>47057</v>
      </c>
      <c r="U1300" t="s">
        <v>48472</v>
      </c>
      <c r="W1300" t="s">
        <v>41991</v>
      </c>
      <c r="X1300" t="s">
        <v>45098</v>
      </c>
    </row>
    <row r="1301" spans="1:24">
      <c r="A1301">
        <f>HYPERLINK("https://www.philgeps.gov.ph/GEPSNONPILOT/Tender/SplashBidNoticeAbstractUI.aspx?menuIndex=3&amp;refID=7045706&amp;Result=3","7045706")</f>
        <v>0</v>
      </c>
      <c r="B1301" t="s">
        <v>511</v>
      </c>
      <c r="C1301" t="s">
        <v>4441</v>
      </c>
      <c r="D1301" t="s">
        <v>18043</v>
      </c>
      <c r="E1301" t="s">
        <v>19321</v>
      </c>
      <c r="F1301" t="s">
        <v>31574</v>
      </c>
      <c r="G1301" t="s">
        <v>31581</v>
      </c>
      <c r="H1301" t="s">
        <v>31590</v>
      </c>
      <c r="I1301" t="s">
        <v>31647</v>
      </c>
      <c r="J1301" t="s">
        <v>32697</v>
      </c>
      <c r="K1301" t="s">
        <v>41196</v>
      </c>
      <c r="M1301" t="s">
        <v>42007</v>
      </c>
      <c r="N1301" t="s">
        <v>45095</v>
      </c>
      <c r="O1301" t="s">
        <v>45096</v>
      </c>
      <c r="P1301">
        <v>0</v>
      </c>
      <c r="Q1301">
        <v>0</v>
      </c>
      <c r="R1301" t="s">
        <v>45097</v>
      </c>
      <c r="S1301" t="s">
        <v>45222</v>
      </c>
      <c r="T1301" t="s">
        <v>46905</v>
      </c>
      <c r="U1301" t="s">
        <v>48600</v>
      </c>
      <c r="V1301" t="s">
        <v>59977</v>
      </c>
      <c r="W1301" t="s">
        <v>42007</v>
      </c>
      <c r="X1301" t="s">
        <v>45098</v>
      </c>
    </row>
    <row r="1302" spans="1:24">
      <c r="A1302">
        <f>HYPERLINK("https://www.philgeps.gov.ph/GEPSNONPILOT/Tender/SplashBidNoticeAbstractUI.aspx?menuIndex=3&amp;refID=7045716&amp;Result=3","7045716")</f>
        <v>0</v>
      </c>
      <c r="B1302" t="s">
        <v>555</v>
      </c>
      <c r="C1302" t="s">
        <v>3983</v>
      </c>
      <c r="E1302" t="s">
        <v>19322</v>
      </c>
      <c r="F1302" t="s">
        <v>31574</v>
      </c>
      <c r="G1302" t="s">
        <v>31582</v>
      </c>
      <c r="H1302" t="s">
        <v>31591</v>
      </c>
      <c r="I1302" t="s">
        <v>8822</v>
      </c>
      <c r="J1302" t="s">
        <v>32698</v>
      </c>
      <c r="K1302" t="s">
        <v>41253</v>
      </c>
      <c r="M1302" t="s">
        <v>42053</v>
      </c>
      <c r="N1302" t="s">
        <v>45095</v>
      </c>
      <c r="O1302" t="s">
        <v>45096</v>
      </c>
      <c r="P1302">
        <v>0</v>
      </c>
      <c r="Q1302">
        <v>0</v>
      </c>
      <c r="R1302" t="s">
        <v>45097</v>
      </c>
      <c r="S1302" t="s">
        <v>45222</v>
      </c>
      <c r="T1302" t="s">
        <v>46984</v>
      </c>
      <c r="U1302" t="s">
        <v>48601</v>
      </c>
      <c r="W1302" t="s">
        <v>42053</v>
      </c>
      <c r="X1302" t="s">
        <v>45098</v>
      </c>
    </row>
    <row r="1303" spans="1:24">
      <c r="A1303">
        <f>HYPERLINK("https://www.philgeps.gov.ph/GEPSNONPILOT/Tender/SplashBidNoticeAbstractUI.aspx?menuIndex=3&amp;refID=7045703&amp;Result=3","7045703")</f>
        <v>0</v>
      </c>
      <c r="B1303" t="s">
        <v>530</v>
      </c>
      <c r="C1303" t="s">
        <v>4442</v>
      </c>
      <c r="D1303" t="s">
        <v>18071</v>
      </c>
      <c r="E1303" t="s">
        <v>4442</v>
      </c>
      <c r="F1303" t="s">
        <v>31574</v>
      </c>
      <c r="G1303" t="s">
        <v>31582</v>
      </c>
      <c r="H1303" t="s">
        <v>31590</v>
      </c>
      <c r="I1303" t="s">
        <v>31619</v>
      </c>
      <c r="J1303" t="s">
        <v>32699</v>
      </c>
      <c r="K1303" t="s">
        <v>41186</v>
      </c>
      <c r="M1303" t="s">
        <v>42027</v>
      </c>
      <c r="N1303" t="s">
        <v>45095</v>
      </c>
      <c r="O1303" t="s">
        <v>45096</v>
      </c>
      <c r="P1303">
        <v>0</v>
      </c>
      <c r="Q1303">
        <v>0</v>
      </c>
      <c r="R1303" t="s">
        <v>45097</v>
      </c>
      <c r="S1303" t="s">
        <v>45222</v>
      </c>
      <c r="T1303" t="s">
        <v>47066</v>
      </c>
      <c r="U1303" t="s">
        <v>48602</v>
      </c>
      <c r="W1303" t="s">
        <v>42027</v>
      </c>
      <c r="X1303" t="s">
        <v>45098</v>
      </c>
    </row>
    <row r="1304" spans="1:24">
      <c r="A1304">
        <f>HYPERLINK("https://www.philgeps.gov.ph/GEPSNONPILOT/Tender/SplashBidNoticeAbstractUI.aspx?menuIndex=3&amp;refID=7045712&amp;Result=3","7045712")</f>
        <v>0</v>
      </c>
      <c r="B1304" t="s">
        <v>218</v>
      </c>
      <c r="C1304" t="s">
        <v>4443</v>
      </c>
      <c r="D1304" t="s">
        <v>18070</v>
      </c>
      <c r="E1304" t="s">
        <v>19323</v>
      </c>
      <c r="F1304" t="s">
        <v>31574</v>
      </c>
      <c r="G1304" t="s">
        <v>31583</v>
      </c>
      <c r="H1304" t="s">
        <v>31590</v>
      </c>
      <c r="I1304" t="s">
        <v>5222</v>
      </c>
      <c r="J1304" t="s">
        <v>32700</v>
      </c>
      <c r="K1304" t="s">
        <v>41193</v>
      </c>
      <c r="M1304" t="s">
        <v>41703</v>
      </c>
      <c r="N1304" t="s">
        <v>45095</v>
      </c>
      <c r="O1304" t="s">
        <v>45096</v>
      </c>
      <c r="P1304">
        <v>0</v>
      </c>
      <c r="Q1304">
        <v>0</v>
      </c>
      <c r="R1304" t="s">
        <v>45097</v>
      </c>
      <c r="S1304" t="s">
        <v>45222</v>
      </c>
      <c r="T1304" t="s">
        <v>46957</v>
      </c>
      <c r="U1304" t="s">
        <v>48603</v>
      </c>
      <c r="W1304" t="s">
        <v>41703</v>
      </c>
      <c r="X1304" t="s">
        <v>45098</v>
      </c>
    </row>
    <row r="1305" spans="1:24">
      <c r="A1305">
        <f>HYPERLINK("https://www.philgeps.gov.ph/GEPSNONPILOT/Tender/SplashBidNoticeAbstractUI.aspx?menuIndex=3&amp;refID=7045713&amp;Result=3","7045713")</f>
        <v>0</v>
      </c>
      <c r="B1305" t="s">
        <v>517</v>
      </c>
      <c r="C1305" t="s">
        <v>4444</v>
      </c>
      <c r="D1305" t="s">
        <v>18036</v>
      </c>
      <c r="E1305" t="s">
        <v>19324</v>
      </c>
      <c r="F1305" t="s">
        <v>31574</v>
      </c>
      <c r="G1305" t="s">
        <v>31581</v>
      </c>
      <c r="H1305" t="s">
        <v>31592</v>
      </c>
      <c r="I1305" t="s">
        <v>31627</v>
      </c>
      <c r="J1305" t="s">
        <v>32670</v>
      </c>
      <c r="K1305" t="s">
        <v>41186</v>
      </c>
      <c r="M1305" t="s">
        <v>42013</v>
      </c>
      <c r="N1305" t="s">
        <v>45095</v>
      </c>
      <c r="O1305" t="s">
        <v>45096</v>
      </c>
      <c r="P1305">
        <v>0</v>
      </c>
      <c r="Q1305">
        <v>0</v>
      </c>
      <c r="R1305" t="s">
        <v>45097</v>
      </c>
      <c r="S1305" t="s">
        <v>45222</v>
      </c>
      <c r="T1305" t="s">
        <v>46911</v>
      </c>
      <c r="U1305" t="s">
        <v>48604</v>
      </c>
      <c r="W1305" t="s">
        <v>42013</v>
      </c>
      <c r="X1305" t="s">
        <v>45098</v>
      </c>
    </row>
    <row r="1306" spans="1:24">
      <c r="A1306">
        <f>HYPERLINK("https://www.philgeps.gov.ph/GEPSNONPILOT/Tender/SplashBidNoticeAbstractUI.aspx?menuIndex=3&amp;refID=7045710&amp;Result=3","7045710")</f>
        <v>0</v>
      </c>
      <c r="B1306" t="s">
        <v>299</v>
      </c>
      <c r="C1306" t="s">
        <v>4445</v>
      </c>
      <c r="D1306" t="s">
        <v>18081</v>
      </c>
      <c r="E1306" t="s">
        <v>19325</v>
      </c>
      <c r="F1306" t="s">
        <v>31574</v>
      </c>
      <c r="G1306" t="s">
        <v>31585</v>
      </c>
      <c r="H1306" t="s">
        <v>31590</v>
      </c>
      <c r="I1306" t="s">
        <v>31599</v>
      </c>
      <c r="J1306" t="s">
        <v>31947</v>
      </c>
      <c r="K1306" t="s">
        <v>41196</v>
      </c>
      <c r="M1306" t="s">
        <v>41785</v>
      </c>
      <c r="N1306" t="s">
        <v>45095</v>
      </c>
      <c r="O1306" t="s">
        <v>45096</v>
      </c>
      <c r="P1306">
        <v>0</v>
      </c>
      <c r="Q1306">
        <v>0</v>
      </c>
      <c r="R1306" t="s">
        <v>45097</v>
      </c>
      <c r="S1306" t="s">
        <v>45222</v>
      </c>
      <c r="T1306" t="s">
        <v>46932</v>
      </c>
      <c r="U1306" t="s">
        <v>48605</v>
      </c>
      <c r="V1306" t="s">
        <v>59978</v>
      </c>
      <c r="W1306" t="s">
        <v>41785</v>
      </c>
      <c r="X1306" t="s">
        <v>45098</v>
      </c>
    </row>
    <row r="1307" spans="1:24">
      <c r="A1307">
        <f>HYPERLINK("https://www.philgeps.gov.ph/GEPSNONPILOT/Tender/SplashBidNoticeAbstractUI.aspx?menuIndex=3&amp;refID=7045718&amp;Result=3","7045718")</f>
        <v>0</v>
      </c>
      <c r="B1307" t="s">
        <v>347</v>
      </c>
      <c r="C1307" t="s">
        <v>4446</v>
      </c>
      <c r="D1307" t="s">
        <v>18058</v>
      </c>
      <c r="E1307" t="s">
        <v>19326</v>
      </c>
      <c r="F1307" t="s">
        <v>31574</v>
      </c>
      <c r="G1307" t="s">
        <v>31581</v>
      </c>
      <c r="H1307" t="s">
        <v>31590</v>
      </c>
      <c r="I1307" t="s">
        <v>3539</v>
      </c>
      <c r="J1307" t="s">
        <v>31726</v>
      </c>
      <c r="K1307" t="s">
        <v>41186</v>
      </c>
      <c r="M1307" t="s">
        <v>41835</v>
      </c>
      <c r="N1307" t="s">
        <v>45095</v>
      </c>
      <c r="O1307" t="s">
        <v>45096</v>
      </c>
      <c r="P1307">
        <v>0</v>
      </c>
      <c r="Q1307">
        <v>0</v>
      </c>
      <c r="R1307" t="s">
        <v>45097</v>
      </c>
      <c r="S1307" t="s">
        <v>45222</v>
      </c>
      <c r="T1307" t="s">
        <v>46913</v>
      </c>
      <c r="U1307" t="s">
        <v>48606</v>
      </c>
      <c r="W1307" t="s">
        <v>41835</v>
      </c>
      <c r="X1307" t="s">
        <v>45098</v>
      </c>
    </row>
    <row r="1308" spans="1:24">
      <c r="A1308">
        <f>HYPERLINK("https://www.philgeps.gov.ph/GEPSNONPILOT/Tender/SplashBidNoticeAbstractUI.aspx?menuIndex=3&amp;refID=7045715&amp;Result=3","7045715")</f>
        <v>0</v>
      </c>
      <c r="B1308" t="s">
        <v>530</v>
      </c>
      <c r="C1308" t="s">
        <v>4447</v>
      </c>
      <c r="D1308" t="s">
        <v>18071</v>
      </c>
      <c r="E1308" t="s">
        <v>19327</v>
      </c>
      <c r="F1308" t="s">
        <v>31574</v>
      </c>
      <c r="G1308" t="s">
        <v>31582</v>
      </c>
      <c r="H1308" t="s">
        <v>31590</v>
      </c>
      <c r="I1308" t="s">
        <v>31669</v>
      </c>
      <c r="J1308" t="s">
        <v>32309</v>
      </c>
      <c r="K1308" t="s">
        <v>41184</v>
      </c>
      <c r="M1308" t="s">
        <v>42027</v>
      </c>
      <c r="N1308" t="s">
        <v>45095</v>
      </c>
      <c r="O1308" t="s">
        <v>45096</v>
      </c>
      <c r="P1308">
        <v>0</v>
      </c>
      <c r="Q1308">
        <v>0</v>
      </c>
      <c r="R1308" t="s">
        <v>45097</v>
      </c>
      <c r="S1308" t="s">
        <v>45222</v>
      </c>
      <c r="T1308" t="s">
        <v>47066</v>
      </c>
      <c r="U1308" t="s">
        <v>48607</v>
      </c>
      <c r="W1308" t="s">
        <v>42027</v>
      </c>
      <c r="X1308" t="s">
        <v>45098</v>
      </c>
    </row>
    <row r="1309" spans="1:24">
      <c r="A1309">
        <f>HYPERLINK("https://www.philgeps.gov.ph/GEPSNONPILOT/Tender/SplashBidNoticeAbstractUI.aspx?menuIndex=3&amp;refID=7045708&amp;Result=3","7045708")</f>
        <v>0</v>
      </c>
      <c r="B1309" t="s">
        <v>191</v>
      </c>
      <c r="C1309" t="s">
        <v>4448</v>
      </c>
      <c r="D1309" t="s">
        <v>18082</v>
      </c>
      <c r="E1309" t="s">
        <v>19328</v>
      </c>
      <c r="F1309" t="s">
        <v>31574</v>
      </c>
      <c r="G1309" t="s">
        <v>31582</v>
      </c>
      <c r="H1309" t="s">
        <v>31591</v>
      </c>
      <c r="I1309" t="s">
        <v>8822</v>
      </c>
      <c r="J1309" t="s">
        <v>31771</v>
      </c>
      <c r="K1309" t="s">
        <v>41184</v>
      </c>
      <c r="M1309" t="s">
        <v>41676</v>
      </c>
      <c r="N1309" t="s">
        <v>45095</v>
      </c>
      <c r="O1309" t="s">
        <v>45096</v>
      </c>
      <c r="P1309">
        <v>0</v>
      </c>
      <c r="Q1309">
        <v>0</v>
      </c>
      <c r="R1309" t="s">
        <v>45097</v>
      </c>
      <c r="S1309" t="s">
        <v>45222</v>
      </c>
      <c r="T1309" t="s">
        <v>46924</v>
      </c>
      <c r="U1309" t="s">
        <v>47828</v>
      </c>
      <c r="W1309" t="s">
        <v>41676</v>
      </c>
      <c r="X1309" t="s">
        <v>45098</v>
      </c>
    </row>
    <row r="1310" spans="1:24">
      <c r="A1310">
        <f>HYPERLINK("https://www.philgeps.gov.ph/GEPSNONPILOT/Tender/SplashBidNoticeAbstractUI.aspx?menuIndex=3&amp;refID=7045701&amp;Result=3","7045701")</f>
        <v>0</v>
      </c>
      <c r="B1310" t="s">
        <v>550</v>
      </c>
      <c r="C1310" t="s">
        <v>4449</v>
      </c>
      <c r="D1310" t="s">
        <v>18035</v>
      </c>
      <c r="E1310" t="s">
        <v>19329</v>
      </c>
      <c r="F1310" t="s">
        <v>31574</v>
      </c>
      <c r="G1310" t="s">
        <v>31581</v>
      </c>
      <c r="H1310" t="s">
        <v>31591</v>
      </c>
      <c r="I1310" t="s">
        <v>8822</v>
      </c>
      <c r="J1310" t="s">
        <v>32701</v>
      </c>
      <c r="K1310" t="s">
        <v>41184</v>
      </c>
      <c r="M1310" t="s">
        <v>42047</v>
      </c>
      <c r="N1310" t="s">
        <v>45095</v>
      </c>
      <c r="O1310" t="s">
        <v>45096</v>
      </c>
      <c r="P1310">
        <v>0</v>
      </c>
      <c r="Q1310">
        <v>0</v>
      </c>
      <c r="R1310" t="s">
        <v>45097</v>
      </c>
      <c r="S1310" t="s">
        <v>45222</v>
      </c>
      <c r="T1310" t="s">
        <v>46949</v>
      </c>
      <c r="U1310" t="s">
        <v>48608</v>
      </c>
      <c r="W1310" t="s">
        <v>42047</v>
      </c>
      <c r="X1310" t="s">
        <v>45098</v>
      </c>
    </row>
    <row r="1311" spans="1:24">
      <c r="A1311">
        <f>HYPERLINK("https://www.philgeps.gov.ph/GEPSNONPILOT/Tender/SplashBidNoticeAbstractUI.aspx?menuIndex=3&amp;refID=7045711&amp;Result=3","7045711")</f>
        <v>0</v>
      </c>
      <c r="B1311" t="s">
        <v>435</v>
      </c>
      <c r="C1311" t="s">
        <v>4450</v>
      </c>
      <c r="D1311" t="s">
        <v>18057</v>
      </c>
      <c r="E1311" t="s">
        <v>19330</v>
      </c>
      <c r="F1311" t="s">
        <v>31575</v>
      </c>
      <c r="G1311" t="s">
        <v>31583</v>
      </c>
      <c r="H1311" t="s">
        <v>31592</v>
      </c>
      <c r="I1311" t="s">
        <v>3873</v>
      </c>
      <c r="J1311" t="s">
        <v>32702</v>
      </c>
      <c r="K1311" t="s">
        <v>41193</v>
      </c>
      <c r="M1311" t="s">
        <v>41928</v>
      </c>
      <c r="N1311" t="s">
        <v>45095</v>
      </c>
      <c r="O1311" t="s">
        <v>45096</v>
      </c>
      <c r="P1311">
        <v>0</v>
      </c>
      <c r="Q1311">
        <v>0</v>
      </c>
      <c r="R1311" t="s">
        <v>45097</v>
      </c>
      <c r="S1311" t="s">
        <v>45222</v>
      </c>
      <c r="T1311" t="s">
        <v>47035</v>
      </c>
      <c r="U1311" t="s">
        <v>48609</v>
      </c>
      <c r="W1311" t="s">
        <v>41928</v>
      </c>
      <c r="X1311" t="s">
        <v>45098</v>
      </c>
    </row>
    <row r="1312" spans="1:24">
      <c r="A1312">
        <f>HYPERLINK("https://www.philgeps.gov.ph/GEPSNONPILOT/Tender/SplashBidNoticeAbstractUI.aspx?menuIndex=3&amp;refID=7045702&amp;Result=3","7045702")</f>
        <v>0</v>
      </c>
      <c r="B1312" t="s">
        <v>556</v>
      </c>
      <c r="C1312" t="s">
        <v>4451</v>
      </c>
      <c r="D1312" t="s">
        <v>18073</v>
      </c>
      <c r="E1312" t="s">
        <v>19331</v>
      </c>
      <c r="F1312" t="s">
        <v>31574</v>
      </c>
      <c r="G1312" t="s">
        <v>31581</v>
      </c>
      <c r="H1312" t="s">
        <v>31590</v>
      </c>
      <c r="I1312" t="s">
        <v>31670</v>
      </c>
      <c r="J1312" t="s">
        <v>32703</v>
      </c>
      <c r="K1312" t="s">
        <v>41186</v>
      </c>
      <c r="M1312" t="s">
        <v>42054</v>
      </c>
      <c r="N1312" t="s">
        <v>45095</v>
      </c>
      <c r="O1312" t="s">
        <v>45096</v>
      </c>
      <c r="P1312">
        <v>0</v>
      </c>
      <c r="Q1312">
        <v>0</v>
      </c>
      <c r="R1312" t="s">
        <v>45097</v>
      </c>
      <c r="S1312" t="s">
        <v>45222</v>
      </c>
      <c r="T1312" t="s">
        <v>46911</v>
      </c>
      <c r="U1312" t="s">
        <v>48610</v>
      </c>
      <c r="W1312" t="s">
        <v>42054</v>
      </c>
      <c r="X1312" t="s">
        <v>45098</v>
      </c>
    </row>
    <row r="1313" spans="1:24">
      <c r="A1313">
        <f>HYPERLINK("https://www.philgeps.gov.ph/GEPSNONPILOT/Tender/SplashBidNoticeAbstractUI.aspx?menuIndex=3&amp;refID=7045699&amp;Result=3","7045699")</f>
        <v>0</v>
      </c>
      <c r="B1313" t="s">
        <v>84</v>
      </c>
      <c r="C1313" t="s">
        <v>4452</v>
      </c>
      <c r="D1313" t="s">
        <v>18022</v>
      </c>
      <c r="E1313" t="s">
        <v>19332</v>
      </c>
      <c r="F1313" t="s">
        <v>31574</v>
      </c>
      <c r="G1313" t="s">
        <v>31581</v>
      </c>
      <c r="H1313" t="s">
        <v>31590</v>
      </c>
      <c r="I1313" t="s">
        <v>3651</v>
      </c>
      <c r="J1313" t="s">
        <v>32704</v>
      </c>
      <c r="K1313" t="s">
        <v>41193</v>
      </c>
      <c r="M1313" t="s">
        <v>42055</v>
      </c>
      <c r="N1313" t="s">
        <v>45095</v>
      </c>
      <c r="O1313" t="s">
        <v>45096</v>
      </c>
      <c r="P1313">
        <v>0</v>
      </c>
      <c r="Q1313">
        <v>0</v>
      </c>
      <c r="R1313" t="s">
        <v>45097</v>
      </c>
      <c r="S1313" t="s">
        <v>45222</v>
      </c>
      <c r="T1313" t="s">
        <v>46966</v>
      </c>
      <c r="U1313" t="s">
        <v>47589</v>
      </c>
      <c r="W1313" t="s">
        <v>42055</v>
      </c>
      <c r="X1313" t="s">
        <v>45098</v>
      </c>
    </row>
    <row r="1314" spans="1:24">
      <c r="A1314">
        <f>HYPERLINK("https://www.philgeps.gov.ph/GEPSNONPILOT/Tender/SplashBidNoticeAbstractUI.aspx?menuIndex=3&amp;refID=7045709&amp;Result=3","7045709")</f>
        <v>0</v>
      </c>
      <c r="B1314" t="s">
        <v>239</v>
      </c>
      <c r="C1314" t="s">
        <v>4453</v>
      </c>
      <c r="D1314" t="s">
        <v>18024</v>
      </c>
      <c r="E1314" t="s">
        <v>19333</v>
      </c>
      <c r="F1314" t="s">
        <v>31574</v>
      </c>
      <c r="G1314" t="s">
        <v>31582</v>
      </c>
      <c r="H1314" t="s">
        <v>31590</v>
      </c>
      <c r="I1314" t="s">
        <v>31595</v>
      </c>
      <c r="J1314" t="s">
        <v>32630</v>
      </c>
      <c r="K1314" t="s">
        <v>41190</v>
      </c>
      <c r="M1314" t="s">
        <v>41725</v>
      </c>
      <c r="N1314" t="s">
        <v>45095</v>
      </c>
      <c r="O1314" t="s">
        <v>45096</v>
      </c>
      <c r="P1314">
        <v>0</v>
      </c>
      <c r="Q1314">
        <v>0</v>
      </c>
      <c r="R1314" t="s">
        <v>45097</v>
      </c>
      <c r="S1314" t="s">
        <v>45222</v>
      </c>
      <c r="T1314" t="s">
        <v>46996</v>
      </c>
      <c r="U1314" t="s">
        <v>48611</v>
      </c>
      <c r="W1314" t="s">
        <v>41725</v>
      </c>
      <c r="X1314" t="s">
        <v>45098</v>
      </c>
    </row>
    <row r="1315" spans="1:24">
      <c r="A1315">
        <f>HYPERLINK("https://www.philgeps.gov.ph/GEPSNONPILOT/Tender/SplashBidNoticeAbstractUI.aspx?menuIndex=3&amp;refID=7045700&amp;Result=3","7045700")</f>
        <v>0</v>
      </c>
      <c r="B1315" t="s">
        <v>557</v>
      </c>
      <c r="C1315" t="s">
        <v>4454</v>
      </c>
      <c r="D1315" t="s">
        <v>18022</v>
      </c>
      <c r="E1315" t="s">
        <v>19334</v>
      </c>
      <c r="F1315" t="s">
        <v>31574</v>
      </c>
      <c r="G1315" t="s">
        <v>31582</v>
      </c>
      <c r="H1315" t="s">
        <v>31590</v>
      </c>
      <c r="I1315" t="s">
        <v>31594</v>
      </c>
      <c r="J1315" t="s">
        <v>32705</v>
      </c>
      <c r="K1315" t="s">
        <v>41226</v>
      </c>
      <c r="M1315" t="s">
        <v>42056</v>
      </c>
      <c r="N1315" t="s">
        <v>45095</v>
      </c>
      <c r="O1315" t="s">
        <v>45096</v>
      </c>
      <c r="P1315">
        <v>0</v>
      </c>
      <c r="Q1315">
        <v>0</v>
      </c>
      <c r="R1315" t="s">
        <v>45097</v>
      </c>
      <c r="S1315" t="s">
        <v>45222</v>
      </c>
      <c r="T1315" t="s">
        <v>46935</v>
      </c>
      <c r="U1315" t="s">
        <v>48612</v>
      </c>
      <c r="W1315" t="s">
        <v>42056</v>
      </c>
      <c r="X1315" t="s">
        <v>45098</v>
      </c>
    </row>
    <row r="1316" spans="1:24">
      <c r="A1316">
        <f>HYPERLINK("https://www.philgeps.gov.ph/GEPSNONPILOT/Tender/SplashBidNoticeAbstractUI.aspx?menuIndex=3&amp;refID=7045692&amp;Result=3","7045692")</f>
        <v>0</v>
      </c>
      <c r="B1316" t="s">
        <v>558</v>
      </c>
      <c r="C1316" t="s">
        <v>4455</v>
      </c>
      <c r="D1316" t="s">
        <v>18053</v>
      </c>
      <c r="E1316" t="s">
        <v>19335</v>
      </c>
      <c r="F1316" t="s">
        <v>31574</v>
      </c>
      <c r="G1316" t="s">
        <v>31581</v>
      </c>
      <c r="H1316" t="s">
        <v>31590</v>
      </c>
      <c r="I1316" t="s">
        <v>4046</v>
      </c>
      <c r="J1316" t="s">
        <v>32706</v>
      </c>
      <c r="K1316" t="s">
        <v>41190</v>
      </c>
      <c r="M1316" t="s">
        <v>42057</v>
      </c>
      <c r="N1316" t="s">
        <v>45095</v>
      </c>
      <c r="O1316" t="s">
        <v>45096</v>
      </c>
      <c r="P1316">
        <v>0</v>
      </c>
      <c r="Q1316">
        <v>0</v>
      </c>
      <c r="R1316" t="s">
        <v>45097</v>
      </c>
      <c r="S1316" t="s">
        <v>45222</v>
      </c>
      <c r="T1316" t="s">
        <v>46911</v>
      </c>
      <c r="U1316" t="s">
        <v>48613</v>
      </c>
      <c r="W1316" t="s">
        <v>42057</v>
      </c>
      <c r="X1316" t="s">
        <v>45098</v>
      </c>
    </row>
    <row r="1317" spans="1:24">
      <c r="A1317">
        <f>HYPERLINK("https://www.philgeps.gov.ph/GEPSNONPILOT/Tender/SplashBidNoticeAbstractUI.aspx?menuIndex=3&amp;refID=7045698&amp;Result=3","7045698")</f>
        <v>0</v>
      </c>
      <c r="B1317" t="s">
        <v>435</v>
      </c>
      <c r="C1317" t="s">
        <v>4456</v>
      </c>
      <c r="D1317" t="s">
        <v>18057</v>
      </c>
      <c r="E1317" t="s">
        <v>19336</v>
      </c>
      <c r="F1317" t="s">
        <v>31575</v>
      </c>
      <c r="G1317" t="s">
        <v>31583</v>
      </c>
      <c r="H1317" t="s">
        <v>31592</v>
      </c>
      <c r="I1317" t="s">
        <v>3873</v>
      </c>
      <c r="J1317" t="s">
        <v>32707</v>
      </c>
      <c r="K1317" t="s">
        <v>41193</v>
      </c>
      <c r="M1317" t="s">
        <v>41928</v>
      </c>
      <c r="N1317" t="s">
        <v>45095</v>
      </c>
      <c r="O1317" t="s">
        <v>45096</v>
      </c>
      <c r="P1317">
        <v>0</v>
      </c>
      <c r="Q1317">
        <v>0</v>
      </c>
      <c r="R1317" t="s">
        <v>45097</v>
      </c>
      <c r="S1317" t="s">
        <v>45222</v>
      </c>
      <c r="T1317" t="s">
        <v>47035</v>
      </c>
      <c r="U1317" t="s">
        <v>48614</v>
      </c>
      <c r="W1317" t="s">
        <v>41928</v>
      </c>
      <c r="X1317" t="s">
        <v>45098</v>
      </c>
    </row>
    <row r="1318" spans="1:24">
      <c r="A1318">
        <f>HYPERLINK("https://www.philgeps.gov.ph/GEPSNONPILOT/Tender/SplashBidNoticeAbstractUI.aspx?menuIndex=3&amp;refID=7045697&amp;Result=3","7045697")</f>
        <v>0</v>
      </c>
      <c r="B1318" t="s">
        <v>402</v>
      </c>
      <c r="C1318" t="s">
        <v>4457</v>
      </c>
      <c r="D1318" t="s">
        <v>18078</v>
      </c>
      <c r="E1318" t="s">
        <v>19337</v>
      </c>
      <c r="F1318" t="s">
        <v>31574</v>
      </c>
      <c r="G1318" t="s">
        <v>31581</v>
      </c>
      <c r="H1318" t="s">
        <v>31590</v>
      </c>
      <c r="I1318" t="s">
        <v>6800</v>
      </c>
      <c r="J1318" t="s">
        <v>32708</v>
      </c>
      <c r="K1318" t="s">
        <v>41197</v>
      </c>
      <c r="M1318" t="s">
        <v>41893</v>
      </c>
      <c r="N1318" t="s">
        <v>45095</v>
      </c>
      <c r="O1318" t="s">
        <v>45096</v>
      </c>
      <c r="P1318">
        <v>0</v>
      </c>
      <c r="Q1318">
        <v>0</v>
      </c>
      <c r="R1318" t="s">
        <v>45097</v>
      </c>
      <c r="S1318" t="s">
        <v>45222</v>
      </c>
      <c r="T1318" t="s">
        <v>46961</v>
      </c>
      <c r="U1318" t="s">
        <v>48615</v>
      </c>
      <c r="W1318" t="s">
        <v>41893</v>
      </c>
      <c r="X1318" t="s">
        <v>45098</v>
      </c>
    </row>
    <row r="1319" spans="1:24">
      <c r="A1319">
        <f>HYPERLINK("https://www.philgeps.gov.ph/GEPSNONPILOT/Tender/SplashBidNoticeAbstractUI.aspx?menuIndex=3&amp;refID=7045723&amp;Result=3","7045723")</f>
        <v>0</v>
      </c>
      <c r="B1319" t="s">
        <v>559</v>
      </c>
      <c r="C1319" t="s">
        <v>4458</v>
      </c>
      <c r="D1319" t="s">
        <v>18058</v>
      </c>
      <c r="E1319" t="s">
        <v>19338</v>
      </c>
      <c r="F1319" t="s">
        <v>31574</v>
      </c>
      <c r="G1319" t="s">
        <v>31581</v>
      </c>
      <c r="H1319" t="s">
        <v>31590</v>
      </c>
      <c r="I1319" t="s">
        <v>4046</v>
      </c>
      <c r="J1319" t="s">
        <v>32709</v>
      </c>
      <c r="K1319" t="s">
        <v>41190</v>
      </c>
      <c r="M1319" t="s">
        <v>42058</v>
      </c>
      <c r="N1319" t="s">
        <v>45095</v>
      </c>
      <c r="O1319" t="s">
        <v>45096</v>
      </c>
      <c r="P1319">
        <v>0</v>
      </c>
      <c r="Q1319">
        <v>0</v>
      </c>
      <c r="R1319" t="s">
        <v>45097</v>
      </c>
      <c r="S1319" t="s">
        <v>45222</v>
      </c>
      <c r="T1319" t="s">
        <v>46949</v>
      </c>
      <c r="U1319" t="s">
        <v>48616</v>
      </c>
      <c r="W1319" t="s">
        <v>42058</v>
      </c>
      <c r="X1319" t="s">
        <v>45098</v>
      </c>
    </row>
    <row r="1320" spans="1:24">
      <c r="A1320">
        <f>HYPERLINK("https://www.philgeps.gov.ph/GEPSNONPILOT/Tender/SplashBidNoticeAbstractUI.aspx?menuIndex=3&amp;refID=7045694&amp;Result=3","7045694")</f>
        <v>0</v>
      </c>
      <c r="B1320" t="s">
        <v>560</v>
      </c>
      <c r="C1320" t="s">
        <v>4459</v>
      </c>
      <c r="D1320" t="s">
        <v>18056</v>
      </c>
      <c r="E1320" t="s">
        <v>19339</v>
      </c>
      <c r="F1320" t="s">
        <v>31574</v>
      </c>
      <c r="G1320" t="s">
        <v>31581</v>
      </c>
      <c r="H1320" t="s">
        <v>31590</v>
      </c>
      <c r="I1320" t="s">
        <v>31599</v>
      </c>
      <c r="J1320" t="s">
        <v>31727</v>
      </c>
      <c r="K1320" t="s">
        <v>41213</v>
      </c>
      <c r="M1320" t="s">
        <v>42059</v>
      </c>
      <c r="N1320" t="s">
        <v>45095</v>
      </c>
      <c r="O1320" t="s">
        <v>45096</v>
      </c>
      <c r="P1320">
        <v>0</v>
      </c>
      <c r="Q1320">
        <v>0</v>
      </c>
      <c r="R1320" t="s">
        <v>45097</v>
      </c>
      <c r="S1320" t="s">
        <v>45222</v>
      </c>
      <c r="T1320" t="s">
        <v>46913</v>
      </c>
      <c r="U1320" t="s">
        <v>48617</v>
      </c>
      <c r="W1320" t="s">
        <v>42059</v>
      </c>
      <c r="X1320" t="s">
        <v>45098</v>
      </c>
    </row>
    <row r="1321" spans="1:24">
      <c r="A1321">
        <f>HYPERLINK("https://www.philgeps.gov.ph/GEPSNONPILOT/Tender/SplashBidNoticeAbstractUI.aspx?menuIndex=3&amp;refID=7045746&amp;Result=3","7045746")</f>
        <v>0</v>
      </c>
      <c r="B1321" t="s">
        <v>561</v>
      </c>
      <c r="C1321" t="s">
        <v>4460</v>
      </c>
      <c r="D1321" t="s">
        <v>18036</v>
      </c>
      <c r="E1321" t="s">
        <v>19340</v>
      </c>
      <c r="F1321" t="s">
        <v>31574</v>
      </c>
      <c r="G1321" t="s">
        <v>31583</v>
      </c>
      <c r="H1321" t="s">
        <v>31590</v>
      </c>
      <c r="I1321" t="s">
        <v>3901</v>
      </c>
      <c r="J1321" t="s">
        <v>31780</v>
      </c>
      <c r="K1321" t="s">
        <v>41186</v>
      </c>
      <c r="M1321" t="s">
        <v>42060</v>
      </c>
      <c r="N1321" t="s">
        <v>45095</v>
      </c>
      <c r="O1321" t="s">
        <v>45096</v>
      </c>
      <c r="P1321">
        <v>0</v>
      </c>
      <c r="Q1321">
        <v>0</v>
      </c>
      <c r="R1321" t="s">
        <v>45097</v>
      </c>
      <c r="S1321" t="s">
        <v>45222</v>
      </c>
      <c r="T1321" t="s">
        <v>46922</v>
      </c>
      <c r="U1321" t="s">
        <v>48618</v>
      </c>
      <c r="W1321" t="s">
        <v>42060</v>
      </c>
      <c r="X1321" t="s">
        <v>45098</v>
      </c>
    </row>
    <row r="1322" spans="1:24">
      <c r="A1322">
        <f>HYPERLINK("https://www.philgeps.gov.ph/GEPSNONPILOT/Tender/SplashBidNoticeAbstractUI.aspx?menuIndex=3&amp;refID=7045693&amp;Result=3","7045693")</f>
        <v>0</v>
      </c>
      <c r="B1322" t="s">
        <v>562</v>
      </c>
      <c r="C1322" t="s">
        <v>4461</v>
      </c>
      <c r="D1322" t="s">
        <v>18033</v>
      </c>
      <c r="E1322" t="s">
        <v>19341</v>
      </c>
      <c r="F1322" t="s">
        <v>31574</v>
      </c>
      <c r="G1322" t="s">
        <v>31581</v>
      </c>
      <c r="H1322" t="s">
        <v>31590</v>
      </c>
      <c r="I1322" t="s">
        <v>5717</v>
      </c>
      <c r="J1322" t="s">
        <v>32035</v>
      </c>
      <c r="K1322" t="s">
        <v>41190</v>
      </c>
      <c r="M1322" t="s">
        <v>42061</v>
      </c>
      <c r="N1322" t="s">
        <v>45095</v>
      </c>
      <c r="O1322" t="s">
        <v>45096</v>
      </c>
      <c r="P1322">
        <v>0</v>
      </c>
      <c r="Q1322">
        <v>0</v>
      </c>
      <c r="R1322" t="s">
        <v>45097</v>
      </c>
      <c r="S1322" t="s">
        <v>45222</v>
      </c>
      <c r="T1322" t="s">
        <v>46913</v>
      </c>
      <c r="U1322" t="s">
        <v>48619</v>
      </c>
      <c r="W1322" t="s">
        <v>42061</v>
      </c>
      <c r="X1322" t="s">
        <v>45098</v>
      </c>
    </row>
    <row r="1323" spans="1:24">
      <c r="A1323">
        <f>HYPERLINK("https://www.philgeps.gov.ph/GEPSNONPILOT/Tender/SplashBidNoticeAbstractUI.aspx?menuIndex=3&amp;refID=7045724&amp;Result=3","7045724")</f>
        <v>0</v>
      </c>
      <c r="B1323" t="s">
        <v>563</v>
      </c>
      <c r="C1323" t="s">
        <v>4462</v>
      </c>
      <c r="D1323" t="s">
        <v>18063</v>
      </c>
      <c r="E1323" t="s">
        <v>19342</v>
      </c>
      <c r="F1323" t="s">
        <v>31574</v>
      </c>
      <c r="G1323" t="s">
        <v>31583</v>
      </c>
      <c r="H1323" t="s">
        <v>31590</v>
      </c>
      <c r="I1323" t="s">
        <v>6800</v>
      </c>
      <c r="J1323" t="s">
        <v>32068</v>
      </c>
      <c r="K1323" t="s">
        <v>41193</v>
      </c>
      <c r="M1323" t="s">
        <v>42062</v>
      </c>
      <c r="N1323" t="s">
        <v>45095</v>
      </c>
      <c r="O1323" t="s">
        <v>45096</v>
      </c>
      <c r="P1323">
        <v>0</v>
      </c>
      <c r="Q1323">
        <v>0</v>
      </c>
      <c r="R1323" t="s">
        <v>45097</v>
      </c>
      <c r="S1323" t="s">
        <v>45222</v>
      </c>
      <c r="T1323" t="s">
        <v>46955</v>
      </c>
      <c r="U1323" t="s">
        <v>48620</v>
      </c>
      <c r="W1323" t="s">
        <v>42062</v>
      </c>
      <c r="X1323" t="s">
        <v>45098</v>
      </c>
    </row>
    <row r="1324" spans="1:24">
      <c r="A1324">
        <f>HYPERLINK("https://www.philgeps.gov.ph/GEPSNONPILOT/Tender/SplashBidNoticeAbstractUI.aspx?menuIndex=3&amp;refID=7045744&amp;Result=3","7045744")</f>
        <v>0</v>
      </c>
      <c r="B1324" t="s">
        <v>439</v>
      </c>
      <c r="C1324" t="s">
        <v>4463</v>
      </c>
      <c r="D1324" t="s">
        <v>18046</v>
      </c>
      <c r="E1324" t="s">
        <v>19343</v>
      </c>
      <c r="F1324" t="s">
        <v>31574</v>
      </c>
      <c r="G1324" t="s">
        <v>31581</v>
      </c>
      <c r="H1324" t="s">
        <v>31590</v>
      </c>
      <c r="I1324" t="s">
        <v>31623</v>
      </c>
      <c r="J1324" t="s">
        <v>31927</v>
      </c>
      <c r="K1324" t="s">
        <v>41184</v>
      </c>
      <c r="M1324" t="s">
        <v>41932</v>
      </c>
      <c r="N1324" t="s">
        <v>45095</v>
      </c>
      <c r="O1324" t="s">
        <v>45096</v>
      </c>
      <c r="P1324">
        <v>0</v>
      </c>
      <c r="Q1324">
        <v>0</v>
      </c>
      <c r="R1324" t="s">
        <v>45097</v>
      </c>
      <c r="S1324" t="s">
        <v>45222</v>
      </c>
      <c r="T1324" t="s">
        <v>46938</v>
      </c>
      <c r="U1324" t="s">
        <v>48621</v>
      </c>
      <c r="W1324" t="s">
        <v>41932</v>
      </c>
      <c r="X1324" t="s">
        <v>45098</v>
      </c>
    </row>
    <row r="1325" spans="1:24">
      <c r="A1325">
        <f>HYPERLINK("https://www.philgeps.gov.ph/GEPSNONPILOT/Tender/SplashBidNoticeAbstractUI.aspx?menuIndex=3&amp;refID=7045739&amp;Result=3","7045739")</f>
        <v>0</v>
      </c>
      <c r="B1325" t="s">
        <v>216</v>
      </c>
      <c r="C1325" t="s">
        <v>4464</v>
      </c>
      <c r="D1325" t="s">
        <v>18058</v>
      </c>
      <c r="E1325" t="s">
        <v>19344</v>
      </c>
      <c r="F1325" t="s">
        <v>31574</v>
      </c>
      <c r="G1325" t="s">
        <v>31583</v>
      </c>
      <c r="H1325" t="s">
        <v>31590</v>
      </c>
      <c r="I1325" t="s">
        <v>4046</v>
      </c>
      <c r="J1325" t="s">
        <v>32710</v>
      </c>
      <c r="K1325" t="s">
        <v>41193</v>
      </c>
      <c r="M1325" t="s">
        <v>41701</v>
      </c>
      <c r="N1325" t="s">
        <v>45095</v>
      </c>
      <c r="O1325" t="s">
        <v>45096</v>
      </c>
      <c r="P1325">
        <v>0</v>
      </c>
      <c r="Q1325">
        <v>0</v>
      </c>
      <c r="R1325" t="s">
        <v>45097</v>
      </c>
      <c r="S1325" t="s">
        <v>45222</v>
      </c>
      <c r="T1325" t="s">
        <v>46932</v>
      </c>
      <c r="U1325" t="s">
        <v>48622</v>
      </c>
      <c r="W1325" t="s">
        <v>41701</v>
      </c>
      <c r="X1325" t="s">
        <v>45098</v>
      </c>
    </row>
    <row r="1326" spans="1:24">
      <c r="A1326">
        <f>HYPERLINK("https://www.philgeps.gov.ph/GEPSNONPILOT/Tender/SplashBidNoticeAbstractUI.aspx?menuIndex=3&amp;refID=7045665&amp;Result=3","7045665")</f>
        <v>0</v>
      </c>
      <c r="B1326" t="s">
        <v>373</v>
      </c>
      <c r="C1326" t="s">
        <v>3983</v>
      </c>
      <c r="E1326" t="s">
        <v>19345</v>
      </c>
      <c r="F1326" t="s">
        <v>31574</v>
      </c>
      <c r="G1326" t="s">
        <v>31582</v>
      </c>
      <c r="H1326" t="s">
        <v>31591</v>
      </c>
      <c r="I1326" t="s">
        <v>8822</v>
      </c>
      <c r="J1326" t="s">
        <v>31843</v>
      </c>
      <c r="K1326" t="s">
        <v>41193</v>
      </c>
      <c r="M1326" t="s">
        <v>41863</v>
      </c>
      <c r="N1326" t="s">
        <v>45095</v>
      </c>
      <c r="O1326" t="s">
        <v>45096</v>
      </c>
      <c r="P1326">
        <v>0</v>
      </c>
      <c r="Q1326">
        <v>0</v>
      </c>
      <c r="R1326" t="s">
        <v>45097</v>
      </c>
      <c r="S1326" t="s">
        <v>45222</v>
      </c>
      <c r="T1326" t="s">
        <v>46984</v>
      </c>
      <c r="U1326" t="s">
        <v>48623</v>
      </c>
      <c r="W1326" t="s">
        <v>41863</v>
      </c>
      <c r="X1326" t="s">
        <v>45098</v>
      </c>
    </row>
    <row r="1327" spans="1:24">
      <c r="A1327">
        <f>HYPERLINK("https://www.philgeps.gov.ph/GEPSNONPILOT/Tender/SplashBidNoticeAbstractUI.aspx?menuIndex=3&amp;refID=7045745&amp;Result=3","7045745")</f>
        <v>0</v>
      </c>
      <c r="B1327" t="s">
        <v>550</v>
      </c>
      <c r="C1327" t="s">
        <v>4465</v>
      </c>
      <c r="D1327" t="s">
        <v>18035</v>
      </c>
      <c r="E1327" t="s">
        <v>19346</v>
      </c>
      <c r="F1327" t="s">
        <v>31574</v>
      </c>
      <c r="G1327" t="s">
        <v>31581</v>
      </c>
      <c r="H1327" t="s">
        <v>31591</v>
      </c>
      <c r="I1327" t="s">
        <v>8822</v>
      </c>
      <c r="J1327" t="s">
        <v>32711</v>
      </c>
      <c r="K1327" t="s">
        <v>41184</v>
      </c>
      <c r="M1327" t="s">
        <v>42047</v>
      </c>
      <c r="N1327" t="s">
        <v>45095</v>
      </c>
      <c r="O1327" t="s">
        <v>45096</v>
      </c>
      <c r="P1327">
        <v>0</v>
      </c>
      <c r="Q1327">
        <v>0</v>
      </c>
      <c r="R1327" t="s">
        <v>45097</v>
      </c>
      <c r="S1327" t="s">
        <v>45222</v>
      </c>
      <c r="T1327" t="s">
        <v>46949</v>
      </c>
      <c r="U1327" t="s">
        <v>48624</v>
      </c>
      <c r="W1327" t="s">
        <v>42047</v>
      </c>
      <c r="X1327" t="s">
        <v>45098</v>
      </c>
    </row>
    <row r="1328" spans="1:24">
      <c r="A1328">
        <f>HYPERLINK("https://www.philgeps.gov.ph/GEPSNONPILOT/Tender/SplashBidNoticeAbstractUI.aspx?menuIndex=3&amp;refID=7045736&amp;Result=3","7045736")</f>
        <v>0</v>
      </c>
      <c r="B1328" t="s">
        <v>290</v>
      </c>
      <c r="C1328" t="s">
        <v>4466</v>
      </c>
      <c r="D1328" t="s">
        <v>18043</v>
      </c>
      <c r="E1328" t="s">
        <v>19347</v>
      </c>
      <c r="F1328" t="s">
        <v>31574</v>
      </c>
      <c r="G1328" t="s">
        <v>31582</v>
      </c>
      <c r="H1328" t="s">
        <v>31590</v>
      </c>
      <c r="I1328" t="s">
        <v>31598</v>
      </c>
      <c r="J1328" t="s">
        <v>32498</v>
      </c>
      <c r="K1328" t="s">
        <v>41186</v>
      </c>
      <c r="M1328" t="s">
        <v>42052</v>
      </c>
      <c r="N1328" t="s">
        <v>45095</v>
      </c>
      <c r="O1328" t="s">
        <v>45096</v>
      </c>
      <c r="P1328">
        <v>0</v>
      </c>
      <c r="Q1328">
        <v>0</v>
      </c>
      <c r="R1328" t="s">
        <v>45097</v>
      </c>
      <c r="S1328" t="s">
        <v>45222</v>
      </c>
      <c r="T1328" t="s">
        <v>46988</v>
      </c>
      <c r="U1328" t="s">
        <v>48590</v>
      </c>
      <c r="W1328" t="s">
        <v>42052</v>
      </c>
      <c r="X1328" t="s">
        <v>45098</v>
      </c>
    </row>
    <row r="1329" spans="1:24">
      <c r="A1329">
        <f>HYPERLINK("https://www.philgeps.gov.ph/GEPSNONPILOT/Tender/SplashBidNoticeAbstractUI.aspx?menuIndex=3&amp;refID=7045738&amp;Result=3","7045738")</f>
        <v>0</v>
      </c>
      <c r="B1329" t="s">
        <v>564</v>
      </c>
      <c r="C1329" t="s">
        <v>4467</v>
      </c>
      <c r="D1329" t="s">
        <v>18057</v>
      </c>
      <c r="E1329" t="s">
        <v>19348</v>
      </c>
      <c r="F1329" t="s">
        <v>31574</v>
      </c>
      <c r="G1329" t="s">
        <v>31581</v>
      </c>
      <c r="H1329" t="s">
        <v>31590</v>
      </c>
      <c r="I1329" t="s">
        <v>8258</v>
      </c>
      <c r="J1329" t="s">
        <v>32712</v>
      </c>
      <c r="K1329" t="s">
        <v>41211</v>
      </c>
      <c r="M1329" t="s">
        <v>42063</v>
      </c>
      <c r="N1329" t="s">
        <v>45095</v>
      </c>
      <c r="O1329" t="s">
        <v>45096</v>
      </c>
      <c r="P1329">
        <v>0</v>
      </c>
      <c r="Q1329">
        <v>0</v>
      </c>
      <c r="R1329" t="s">
        <v>45097</v>
      </c>
      <c r="S1329" t="s">
        <v>45222</v>
      </c>
      <c r="T1329" t="s">
        <v>46971</v>
      </c>
      <c r="U1329" t="s">
        <v>48625</v>
      </c>
      <c r="W1329" t="s">
        <v>42063</v>
      </c>
      <c r="X1329" t="s">
        <v>45098</v>
      </c>
    </row>
    <row r="1330" spans="1:24">
      <c r="A1330">
        <f>HYPERLINK("https://www.philgeps.gov.ph/GEPSNONPILOT/Tender/SplashBidNoticeAbstractUI.aspx?menuIndex=3&amp;refID=7045734&amp;Result=3","7045734")</f>
        <v>0</v>
      </c>
      <c r="B1330" t="s">
        <v>528</v>
      </c>
      <c r="C1330" t="s">
        <v>4468</v>
      </c>
      <c r="D1330" t="s">
        <v>18041</v>
      </c>
      <c r="E1330" t="s">
        <v>18379</v>
      </c>
      <c r="F1330" t="s">
        <v>31574</v>
      </c>
      <c r="G1330" t="s">
        <v>31581</v>
      </c>
      <c r="H1330" t="s">
        <v>31590</v>
      </c>
      <c r="I1330" t="s">
        <v>4046</v>
      </c>
      <c r="J1330" t="s">
        <v>32713</v>
      </c>
      <c r="K1330" t="s">
        <v>41197</v>
      </c>
      <c r="M1330" t="s">
        <v>42025</v>
      </c>
      <c r="N1330" t="s">
        <v>45095</v>
      </c>
      <c r="O1330" t="s">
        <v>45096</v>
      </c>
      <c r="P1330">
        <v>0</v>
      </c>
      <c r="Q1330">
        <v>0</v>
      </c>
      <c r="R1330" t="s">
        <v>45097</v>
      </c>
      <c r="S1330" t="s">
        <v>45222</v>
      </c>
      <c r="T1330" t="s">
        <v>46913</v>
      </c>
      <c r="U1330" t="s">
        <v>48626</v>
      </c>
      <c r="V1330" t="s">
        <v>59979</v>
      </c>
      <c r="W1330" t="s">
        <v>42025</v>
      </c>
      <c r="X1330" t="s">
        <v>45098</v>
      </c>
    </row>
    <row r="1331" spans="1:24">
      <c r="A1331">
        <f>HYPERLINK("https://www.philgeps.gov.ph/GEPSNONPILOT/Tender/SplashBidNoticeAbstractUI.aspx?menuIndex=3&amp;refID=7045742&amp;Result=3","7045742")</f>
        <v>0</v>
      </c>
      <c r="B1331" t="s">
        <v>565</v>
      </c>
      <c r="C1331" t="s">
        <v>4469</v>
      </c>
      <c r="D1331" t="s">
        <v>18078</v>
      </c>
      <c r="E1331" t="s">
        <v>19349</v>
      </c>
      <c r="F1331" t="s">
        <v>31574</v>
      </c>
      <c r="G1331" t="s">
        <v>31584</v>
      </c>
      <c r="H1331" t="s">
        <v>31590</v>
      </c>
      <c r="I1331" t="s">
        <v>14034</v>
      </c>
      <c r="J1331" t="s">
        <v>32714</v>
      </c>
      <c r="K1331" t="s">
        <v>41193</v>
      </c>
      <c r="M1331" t="s">
        <v>42064</v>
      </c>
      <c r="N1331" t="s">
        <v>45095</v>
      </c>
      <c r="O1331" t="s">
        <v>45096</v>
      </c>
      <c r="P1331">
        <v>0</v>
      </c>
      <c r="Q1331">
        <v>0</v>
      </c>
      <c r="R1331" t="s">
        <v>45097</v>
      </c>
      <c r="S1331" t="s">
        <v>45222</v>
      </c>
      <c r="T1331" t="s">
        <v>46904</v>
      </c>
      <c r="U1331" t="s">
        <v>48627</v>
      </c>
      <c r="W1331" t="s">
        <v>42064</v>
      </c>
      <c r="X1331" t="s">
        <v>45098</v>
      </c>
    </row>
    <row r="1332" spans="1:24">
      <c r="A1332">
        <f>HYPERLINK("https://www.philgeps.gov.ph/GEPSNONPILOT/Tender/SplashBidNoticeAbstractUI.aspx?menuIndex=3&amp;refID=7045737&amp;Result=3","7045737")</f>
        <v>0</v>
      </c>
      <c r="B1332" t="s">
        <v>566</v>
      </c>
      <c r="C1332" t="s">
        <v>4470</v>
      </c>
      <c r="D1332" t="s">
        <v>18035</v>
      </c>
      <c r="E1332" t="s">
        <v>19350</v>
      </c>
      <c r="F1332" t="s">
        <v>31574</v>
      </c>
      <c r="G1332" t="s">
        <v>31582</v>
      </c>
      <c r="H1332" t="s">
        <v>31590</v>
      </c>
      <c r="I1332" t="s">
        <v>4046</v>
      </c>
      <c r="J1332" t="s">
        <v>32715</v>
      </c>
      <c r="K1332" t="s">
        <v>41194</v>
      </c>
      <c r="M1332" t="s">
        <v>42065</v>
      </c>
      <c r="N1332" t="s">
        <v>45095</v>
      </c>
      <c r="O1332" t="s">
        <v>45096</v>
      </c>
      <c r="P1332">
        <v>0</v>
      </c>
      <c r="Q1332">
        <v>0</v>
      </c>
      <c r="R1332" t="s">
        <v>45097</v>
      </c>
      <c r="S1332" t="s">
        <v>45222</v>
      </c>
      <c r="T1332" t="s">
        <v>46935</v>
      </c>
      <c r="U1332" t="s">
        <v>48628</v>
      </c>
      <c r="W1332" t="s">
        <v>42065</v>
      </c>
      <c r="X1332" t="s">
        <v>45098</v>
      </c>
    </row>
    <row r="1333" spans="1:24">
      <c r="A1333">
        <f>HYPERLINK("https://www.philgeps.gov.ph/GEPSNONPILOT/Tender/SplashBidNoticeAbstractUI.aspx?menuIndex=3&amp;refID=7045727&amp;Result=3","7045727")</f>
        <v>0</v>
      </c>
      <c r="B1333" t="s">
        <v>435</v>
      </c>
      <c r="C1333" t="s">
        <v>4471</v>
      </c>
      <c r="D1333" t="s">
        <v>18057</v>
      </c>
      <c r="E1333" t="s">
        <v>19351</v>
      </c>
      <c r="F1333" t="s">
        <v>31575</v>
      </c>
      <c r="G1333" t="s">
        <v>31583</v>
      </c>
      <c r="H1333" t="s">
        <v>31590</v>
      </c>
      <c r="I1333" t="s">
        <v>31594</v>
      </c>
      <c r="J1333" t="s">
        <v>32716</v>
      </c>
      <c r="K1333" t="s">
        <v>41193</v>
      </c>
      <c r="M1333" t="s">
        <v>41928</v>
      </c>
      <c r="N1333" t="s">
        <v>45095</v>
      </c>
      <c r="O1333" t="s">
        <v>45096</v>
      </c>
      <c r="P1333">
        <v>0</v>
      </c>
      <c r="Q1333">
        <v>0</v>
      </c>
      <c r="R1333" t="s">
        <v>45097</v>
      </c>
      <c r="S1333" t="s">
        <v>45222</v>
      </c>
      <c r="T1333" t="s">
        <v>47035</v>
      </c>
      <c r="U1333" t="s">
        <v>48629</v>
      </c>
      <c r="W1333" t="s">
        <v>41928</v>
      </c>
      <c r="X1333" t="s">
        <v>45098</v>
      </c>
    </row>
    <row r="1334" spans="1:24">
      <c r="A1334">
        <f>HYPERLINK("https://www.philgeps.gov.ph/GEPSNONPILOT/Tender/SplashBidNoticeAbstractUI.aspx?menuIndex=3&amp;refID=7045731&amp;Result=3","7045731")</f>
        <v>0</v>
      </c>
      <c r="B1334" t="s">
        <v>93</v>
      </c>
      <c r="C1334" t="s">
        <v>4472</v>
      </c>
      <c r="D1334" t="s">
        <v>18061</v>
      </c>
      <c r="E1334" t="s">
        <v>19352</v>
      </c>
      <c r="F1334" t="s">
        <v>31574</v>
      </c>
      <c r="G1334" t="s">
        <v>31585</v>
      </c>
      <c r="H1334" t="s">
        <v>31590</v>
      </c>
      <c r="I1334" t="s">
        <v>31599</v>
      </c>
      <c r="J1334" t="s">
        <v>32717</v>
      </c>
      <c r="K1334" t="s">
        <v>41185</v>
      </c>
      <c r="M1334" t="s">
        <v>41577</v>
      </c>
      <c r="N1334" t="s">
        <v>45095</v>
      </c>
      <c r="O1334" t="s">
        <v>45096</v>
      </c>
      <c r="P1334">
        <v>0</v>
      </c>
      <c r="Q1334">
        <v>0</v>
      </c>
      <c r="R1334" t="s">
        <v>45097</v>
      </c>
      <c r="S1334" t="s">
        <v>45222</v>
      </c>
      <c r="T1334" t="s">
        <v>46949</v>
      </c>
      <c r="U1334" t="s">
        <v>48597</v>
      </c>
      <c r="W1334" t="s">
        <v>41577</v>
      </c>
      <c r="X1334" t="s">
        <v>45098</v>
      </c>
    </row>
    <row r="1335" spans="1:24">
      <c r="A1335">
        <f>HYPERLINK("https://www.philgeps.gov.ph/GEPSNONPILOT/Tender/SplashBidNoticeAbstractUI.aspx?menuIndex=3&amp;refID=7045722&amp;Result=3","7045722")</f>
        <v>0</v>
      </c>
      <c r="B1335" t="s">
        <v>465</v>
      </c>
      <c r="C1335" t="s">
        <v>4473</v>
      </c>
      <c r="D1335" t="s">
        <v>18023</v>
      </c>
      <c r="E1335" t="s">
        <v>19353</v>
      </c>
      <c r="F1335" t="s">
        <v>31574</v>
      </c>
      <c r="G1335" t="s">
        <v>31581</v>
      </c>
      <c r="H1335" t="s">
        <v>31590</v>
      </c>
      <c r="I1335" t="s">
        <v>31602</v>
      </c>
      <c r="J1335" t="s">
        <v>32718</v>
      </c>
      <c r="K1335" t="s">
        <v>41186</v>
      </c>
      <c r="M1335" t="s">
        <v>42066</v>
      </c>
      <c r="N1335" t="s">
        <v>45095</v>
      </c>
      <c r="O1335" t="s">
        <v>45096</v>
      </c>
      <c r="P1335">
        <v>0</v>
      </c>
      <c r="Q1335">
        <v>0</v>
      </c>
      <c r="R1335" t="s">
        <v>45097</v>
      </c>
      <c r="S1335" t="s">
        <v>45222</v>
      </c>
      <c r="T1335" t="s">
        <v>46904</v>
      </c>
      <c r="U1335" t="s">
        <v>48630</v>
      </c>
      <c r="W1335" t="s">
        <v>41959</v>
      </c>
      <c r="X1335" t="s">
        <v>45098</v>
      </c>
    </row>
    <row r="1336" spans="1:24">
      <c r="A1336">
        <f>HYPERLINK("https://www.philgeps.gov.ph/GEPSNONPILOT/Tender/SplashBidNoticeAbstractUI.aspx?menuIndex=3&amp;refID=7045728&amp;Result=3","7045728")</f>
        <v>0</v>
      </c>
      <c r="B1336" t="s">
        <v>69</v>
      </c>
      <c r="C1336" t="s">
        <v>4474</v>
      </c>
      <c r="D1336" t="s">
        <v>18052</v>
      </c>
      <c r="E1336" t="s">
        <v>19354</v>
      </c>
      <c r="F1336" t="s">
        <v>31574</v>
      </c>
      <c r="G1336" t="s">
        <v>31582</v>
      </c>
      <c r="H1336" t="s">
        <v>31591</v>
      </c>
      <c r="I1336" t="s">
        <v>8822</v>
      </c>
      <c r="J1336" t="s">
        <v>32719</v>
      </c>
      <c r="K1336" t="s">
        <v>41254</v>
      </c>
      <c r="M1336" t="s">
        <v>41553</v>
      </c>
      <c r="N1336" t="s">
        <v>45095</v>
      </c>
      <c r="O1336" t="s">
        <v>45096</v>
      </c>
      <c r="P1336">
        <v>0</v>
      </c>
      <c r="Q1336">
        <v>0</v>
      </c>
      <c r="R1336" t="s">
        <v>45097</v>
      </c>
      <c r="S1336" t="s">
        <v>45222</v>
      </c>
      <c r="T1336" t="s">
        <v>46935</v>
      </c>
      <c r="U1336" t="s">
        <v>48631</v>
      </c>
      <c r="W1336" t="s">
        <v>41553</v>
      </c>
      <c r="X1336" t="s">
        <v>45098</v>
      </c>
    </row>
    <row r="1337" spans="1:24">
      <c r="A1337">
        <f>HYPERLINK("https://www.philgeps.gov.ph/GEPSNONPILOT/Tender/SplashBidNoticeAbstractUI.aspx?menuIndex=3&amp;refID=7045732&amp;Result=3","7045732")</f>
        <v>0</v>
      </c>
      <c r="B1337" t="s">
        <v>547</v>
      </c>
      <c r="C1337" t="s">
        <v>4475</v>
      </c>
      <c r="D1337" t="s">
        <v>18035</v>
      </c>
      <c r="E1337" t="s">
        <v>19355</v>
      </c>
      <c r="F1337" t="s">
        <v>31574</v>
      </c>
      <c r="G1337" t="s">
        <v>31582</v>
      </c>
      <c r="H1337" t="s">
        <v>31590</v>
      </c>
      <c r="I1337" t="s">
        <v>31631</v>
      </c>
      <c r="J1337" t="s">
        <v>32355</v>
      </c>
      <c r="K1337" t="s">
        <v>41196</v>
      </c>
      <c r="M1337" t="s">
        <v>42044</v>
      </c>
      <c r="N1337" t="s">
        <v>45095</v>
      </c>
      <c r="O1337" t="s">
        <v>45096</v>
      </c>
      <c r="P1337">
        <v>0</v>
      </c>
      <c r="Q1337">
        <v>0</v>
      </c>
      <c r="R1337" t="s">
        <v>45097</v>
      </c>
      <c r="S1337" t="s">
        <v>45222</v>
      </c>
      <c r="T1337" t="s">
        <v>47003</v>
      </c>
      <c r="U1337" t="s">
        <v>48632</v>
      </c>
      <c r="V1337" t="s">
        <v>59973</v>
      </c>
      <c r="W1337" t="s">
        <v>42044</v>
      </c>
      <c r="X1337" t="s">
        <v>45098</v>
      </c>
    </row>
    <row r="1338" spans="1:24">
      <c r="A1338">
        <f>HYPERLINK("https://www.philgeps.gov.ph/GEPSNONPILOT/Tender/SplashBidNoticeAbstractUI.aspx?menuIndex=3&amp;refID=7045749&amp;Result=3","7045749")</f>
        <v>0</v>
      </c>
      <c r="B1338" t="s">
        <v>402</v>
      </c>
      <c r="C1338" t="s">
        <v>4476</v>
      </c>
      <c r="D1338" t="s">
        <v>18078</v>
      </c>
      <c r="E1338" t="s">
        <v>19356</v>
      </c>
      <c r="F1338" t="s">
        <v>31574</v>
      </c>
      <c r="G1338" t="s">
        <v>31581</v>
      </c>
      <c r="H1338" t="s">
        <v>31590</v>
      </c>
      <c r="I1338" t="s">
        <v>6800</v>
      </c>
      <c r="J1338" t="s">
        <v>32720</v>
      </c>
      <c r="K1338" t="s">
        <v>41197</v>
      </c>
      <c r="M1338" t="s">
        <v>41893</v>
      </c>
      <c r="N1338" t="s">
        <v>45095</v>
      </c>
      <c r="O1338" t="s">
        <v>45096</v>
      </c>
      <c r="P1338">
        <v>0</v>
      </c>
      <c r="Q1338">
        <v>0</v>
      </c>
      <c r="R1338" t="s">
        <v>45097</v>
      </c>
      <c r="S1338" t="s">
        <v>45222</v>
      </c>
      <c r="T1338" t="s">
        <v>46961</v>
      </c>
      <c r="U1338" t="s">
        <v>48538</v>
      </c>
      <c r="W1338" t="s">
        <v>41893</v>
      </c>
      <c r="X1338" t="s">
        <v>45098</v>
      </c>
    </row>
    <row r="1339" spans="1:24">
      <c r="A1339">
        <f>HYPERLINK("https://www.philgeps.gov.ph/GEPSNONPILOT/Tender/SplashBidNoticeAbstractUI.aspx?menuIndex=3&amp;refID=7045725&amp;Result=3","7045725")</f>
        <v>0</v>
      </c>
      <c r="B1339" t="s">
        <v>567</v>
      </c>
      <c r="C1339" t="s">
        <v>4477</v>
      </c>
      <c r="D1339" t="s">
        <v>18023</v>
      </c>
      <c r="E1339" t="s">
        <v>19357</v>
      </c>
      <c r="F1339" t="s">
        <v>31574</v>
      </c>
      <c r="G1339" t="s">
        <v>31581</v>
      </c>
      <c r="H1339" t="s">
        <v>31590</v>
      </c>
      <c r="I1339" t="s">
        <v>7162</v>
      </c>
      <c r="J1339" t="s">
        <v>32721</v>
      </c>
      <c r="K1339" t="s">
        <v>41211</v>
      </c>
      <c r="L1339" t="s">
        <v>567</v>
      </c>
      <c r="M1339" t="s">
        <v>42067</v>
      </c>
      <c r="N1339" t="s">
        <v>45095</v>
      </c>
      <c r="O1339" t="s">
        <v>45096</v>
      </c>
      <c r="P1339">
        <v>0</v>
      </c>
      <c r="Q1339">
        <v>0</v>
      </c>
      <c r="R1339" t="s">
        <v>45097</v>
      </c>
      <c r="S1339" t="s">
        <v>45222</v>
      </c>
      <c r="T1339" t="s">
        <v>46913</v>
      </c>
      <c r="U1339" t="s">
        <v>48633</v>
      </c>
      <c r="W1339" t="s">
        <v>42067</v>
      </c>
      <c r="X1339" t="s">
        <v>45098</v>
      </c>
    </row>
    <row r="1340" spans="1:24">
      <c r="A1340">
        <f>HYPERLINK("https://www.philgeps.gov.ph/GEPSNONPILOT/Tender/SplashBidNoticeAbstractUI.aspx?menuIndex=3&amp;refID=7045740&amp;Result=3","7045740")</f>
        <v>0</v>
      </c>
      <c r="B1340" t="s">
        <v>558</v>
      </c>
      <c r="C1340" t="s">
        <v>4478</v>
      </c>
      <c r="D1340" t="s">
        <v>18053</v>
      </c>
      <c r="E1340" t="s">
        <v>19358</v>
      </c>
      <c r="F1340" t="s">
        <v>31574</v>
      </c>
      <c r="G1340" t="s">
        <v>31581</v>
      </c>
      <c r="H1340" t="s">
        <v>31590</v>
      </c>
      <c r="I1340" t="s">
        <v>4046</v>
      </c>
      <c r="J1340" t="s">
        <v>32722</v>
      </c>
      <c r="K1340" t="s">
        <v>41190</v>
      </c>
      <c r="M1340" t="s">
        <v>42057</v>
      </c>
      <c r="N1340" t="s">
        <v>45095</v>
      </c>
      <c r="O1340" t="s">
        <v>45096</v>
      </c>
      <c r="P1340">
        <v>0</v>
      </c>
      <c r="Q1340">
        <v>0</v>
      </c>
      <c r="R1340" t="s">
        <v>45097</v>
      </c>
      <c r="S1340" t="s">
        <v>45222</v>
      </c>
      <c r="T1340" t="s">
        <v>46911</v>
      </c>
      <c r="U1340" t="s">
        <v>48613</v>
      </c>
      <c r="W1340" t="s">
        <v>42057</v>
      </c>
      <c r="X1340" t="s">
        <v>45098</v>
      </c>
    </row>
    <row r="1341" spans="1:24">
      <c r="A1341">
        <f>HYPERLINK("https://www.philgeps.gov.ph/GEPSNONPILOT/Tender/SplashBidNoticeAbstractUI.aspx?menuIndex=3&amp;refID=7045726&amp;Result=3","7045726")</f>
        <v>0</v>
      </c>
      <c r="B1341" t="s">
        <v>357</v>
      </c>
      <c r="C1341" t="s">
        <v>4479</v>
      </c>
      <c r="D1341" t="s">
        <v>18026</v>
      </c>
      <c r="E1341" t="s">
        <v>19359</v>
      </c>
      <c r="F1341" t="s">
        <v>31574</v>
      </c>
      <c r="G1341" t="s">
        <v>31581</v>
      </c>
      <c r="H1341" t="s">
        <v>31590</v>
      </c>
      <c r="I1341" t="s">
        <v>31614</v>
      </c>
      <c r="J1341" t="s">
        <v>32723</v>
      </c>
      <c r="K1341" t="s">
        <v>41193</v>
      </c>
      <c r="M1341" t="s">
        <v>42068</v>
      </c>
      <c r="N1341" t="s">
        <v>45095</v>
      </c>
      <c r="O1341" t="s">
        <v>45096</v>
      </c>
      <c r="P1341">
        <v>0</v>
      </c>
      <c r="Q1341">
        <v>0</v>
      </c>
      <c r="R1341" t="s">
        <v>45097</v>
      </c>
      <c r="S1341" t="s">
        <v>45222</v>
      </c>
      <c r="T1341" t="s">
        <v>46980</v>
      </c>
      <c r="U1341" t="s">
        <v>48634</v>
      </c>
      <c r="W1341" t="s">
        <v>42068</v>
      </c>
      <c r="X1341" t="s">
        <v>45098</v>
      </c>
    </row>
    <row r="1342" spans="1:24">
      <c r="A1342">
        <f>HYPERLINK("https://www.philgeps.gov.ph/GEPSNONPILOT/Tender/SplashBidNoticeAbstractUI.aspx?menuIndex=3&amp;refID=7045748&amp;Result=3","7045748")</f>
        <v>0</v>
      </c>
      <c r="B1342" t="s">
        <v>568</v>
      </c>
      <c r="C1342" t="s">
        <v>4480</v>
      </c>
      <c r="D1342" t="s">
        <v>18102</v>
      </c>
      <c r="E1342" t="s">
        <v>19360</v>
      </c>
      <c r="F1342" t="s">
        <v>31574</v>
      </c>
      <c r="G1342" t="s">
        <v>31584</v>
      </c>
      <c r="H1342" t="s">
        <v>31590</v>
      </c>
      <c r="I1342" t="s">
        <v>5717</v>
      </c>
      <c r="J1342" t="s">
        <v>32724</v>
      </c>
      <c r="K1342" t="s">
        <v>41193</v>
      </c>
      <c r="M1342" t="s">
        <v>42069</v>
      </c>
      <c r="N1342" t="s">
        <v>45095</v>
      </c>
      <c r="O1342" t="s">
        <v>45096</v>
      </c>
      <c r="P1342">
        <v>0</v>
      </c>
      <c r="Q1342">
        <v>0</v>
      </c>
      <c r="R1342" t="s">
        <v>45097</v>
      </c>
      <c r="S1342" t="s">
        <v>45222</v>
      </c>
      <c r="T1342" t="s">
        <v>46934</v>
      </c>
      <c r="U1342" t="s">
        <v>48635</v>
      </c>
      <c r="W1342" t="s">
        <v>42069</v>
      </c>
      <c r="X1342" t="s">
        <v>45098</v>
      </c>
    </row>
    <row r="1343" spans="1:24">
      <c r="A1343">
        <f>HYPERLINK("https://www.philgeps.gov.ph/GEPSNONPILOT/Tender/SplashBidNoticeAbstractUI.aspx?menuIndex=3&amp;refID=7045775&amp;Result=3","7045775")</f>
        <v>0</v>
      </c>
      <c r="B1343" t="s">
        <v>566</v>
      </c>
      <c r="C1343" t="s">
        <v>4481</v>
      </c>
      <c r="D1343" t="s">
        <v>18035</v>
      </c>
      <c r="E1343" t="s">
        <v>19361</v>
      </c>
      <c r="F1343" t="s">
        <v>31574</v>
      </c>
      <c r="G1343" t="s">
        <v>31582</v>
      </c>
      <c r="H1343" t="s">
        <v>31590</v>
      </c>
      <c r="I1343" t="s">
        <v>31640</v>
      </c>
      <c r="J1343" t="s">
        <v>32725</v>
      </c>
      <c r="K1343" t="s">
        <v>41194</v>
      </c>
      <c r="M1343" t="s">
        <v>42065</v>
      </c>
      <c r="N1343" t="s">
        <v>45095</v>
      </c>
      <c r="O1343" t="s">
        <v>45096</v>
      </c>
      <c r="P1343">
        <v>0</v>
      </c>
      <c r="Q1343">
        <v>0</v>
      </c>
      <c r="R1343" t="s">
        <v>45097</v>
      </c>
      <c r="S1343" t="s">
        <v>45222</v>
      </c>
      <c r="T1343" t="s">
        <v>46935</v>
      </c>
      <c r="U1343" t="s">
        <v>48628</v>
      </c>
      <c r="W1343" t="s">
        <v>42065</v>
      </c>
      <c r="X1343" t="s">
        <v>45098</v>
      </c>
    </row>
    <row r="1344" spans="1:24">
      <c r="A1344">
        <f>HYPERLINK("https://www.philgeps.gov.ph/GEPSNONPILOT/Tender/SplashBidNoticeAbstractUI.aspx?menuIndex=3&amp;refID=7045747&amp;Result=3","7045747")</f>
        <v>0</v>
      </c>
      <c r="B1344" t="s">
        <v>567</v>
      </c>
      <c r="C1344" t="s">
        <v>4482</v>
      </c>
      <c r="D1344" t="s">
        <v>18023</v>
      </c>
      <c r="E1344" t="s">
        <v>19362</v>
      </c>
      <c r="F1344" t="s">
        <v>31574</v>
      </c>
      <c r="G1344" t="s">
        <v>31581</v>
      </c>
      <c r="H1344" t="s">
        <v>31590</v>
      </c>
      <c r="I1344" t="s">
        <v>14544</v>
      </c>
      <c r="J1344" t="s">
        <v>32726</v>
      </c>
      <c r="K1344" t="s">
        <v>41211</v>
      </c>
      <c r="L1344" t="s">
        <v>567</v>
      </c>
      <c r="M1344" t="s">
        <v>42067</v>
      </c>
      <c r="N1344" t="s">
        <v>45095</v>
      </c>
      <c r="O1344" t="s">
        <v>45096</v>
      </c>
      <c r="P1344">
        <v>0</v>
      </c>
      <c r="Q1344">
        <v>0</v>
      </c>
      <c r="R1344" t="s">
        <v>45097</v>
      </c>
      <c r="S1344" t="s">
        <v>45222</v>
      </c>
      <c r="T1344" t="s">
        <v>46918</v>
      </c>
      <c r="U1344" t="s">
        <v>48636</v>
      </c>
      <c r="W1344" t="s">
        <v>42067</v>
      </c>
      <c r="X1344" t="s">
        <v>45098</v>
      </c>
    </row>
    <row r="1345" spans="1:24">
      <c r="A1345">
        <f>HYPERLINK("https://www.philgeps.gov.ph/GEPSNONPILOT/Tender/SplashBidNoticeAbstractUI.aspx?menuIndex=3&amp;refID=7045761&amp;Result=3","7045761")</f>
        <v>0</v>
      </c>
      <c r="B1345" t="s">
        <v>226</v>
      </c>
      <c r="C1345" t="s">
        <v>4483</v>
      </c>
      <c r="D1345" t="s">
        <v>18041</v>
      </c>
      <c r="E1345" t="s">
        <v>19363</v>
      </c>
      <c r="F1345" t="s">
        <v>31574</v>
      </c>
      <c r="G1345" t="s">
        <v>31581</v>
      </c>
      <c r="H1345" t="s">
        <v>31590</v>
      </c>
      <c r="I1345" t="s">
        <v>14544</v>
      </c>
      <c r="J1345" t="s">
        <v>32163</v>
      </c>
      <c r="K1345" t="s">
        <v>41184</v>
      </c>
      <c r="M1345" t="s">
        <v>41711</v>
      </c>
      <c r="N1345" t="s">
        <v>45095</v>
      </c>
      <c r="O1345" t="s">
        <v>45096</v>
      </c>
      <c r="P1345">
        <v>0</v>
      </c>
      <c r="Q1345">
        <v>0</v>
      </c>
      <c r="R1345" t="s">
        <v>45097</v>
      </c>
      <c r="S1345" t="s">
        <v>45222</v>
      </c>
      <c r="T1345" t="s">
        <v>46926</v>
      </c>
      <c r="U1345" t="s">
        <v>48637</v>
      </c>
      <c r="W1345" t="s">
        <v>41711</v>
      </c>
      <c r="X1345" t="s">
        <v>45098</v>
      </c>
    </row>
    <row r="1346" spans="1:24">
      <c r="A1346">
        <f>HYPERLINK("https://www.philgeps.gov.ph/GEPSNONPILOT/Tender/SplashBidNoticeAbstractUI.aspx?menuIndex=3&amp;refID=7045774&amp;Result=3","7045774")</f>
        <v>0</v>
      </c>
      <c r="B1346" t="s">
        <v>569</v>
      </c>
      <c r="C1346" t="s">
        <v>4484</v>
      </c>
      <c r="D1346" t="s">
        <v>18033</v>
      </c>
      <c r="E1346" t="s">
        <v>19364</v>
      </c>
      <c r="F1346" t="s">
        <v>31574</v>
      </c>
      <c r="G1346" t="s">
        <v>31581</v>
      </c>
      <c r="H1346" t="s">
        <v>31590</v>
      </c>
      <c r="I1346" t="s">
        <v>31594</v>
      </c>
      <c r="J1346" t="s">
        <v>32727</v>
      </c>
      <c r="K1346" t="s">
        <v>41184</v>
      </c>
      <c r="M1346" t="s">
        <v>42070</v>
      </c>
      <c r="N1346" t="s">
        <v>45095</v>
      </c>
      <c r="O1346" t="s">
        <v>45096</v>
      </c>
      <c r="P1346">
        <v>0</v>
      </c>
      <c r="Q1346">
        <v>0</v>
      </c>
      <c r="R1346" t="s">
        <v>45097</v>
      </c>
      <c r="S1346" t="s">
        <v>45222</v>
      </c>
      <c r="T1346" t="s">
        <v>46980</v>
      </c>
      <c r="U1346" t="s">
        <v>48638</v>
      </c>
      <c r="W1346" t="s">
        <v>42070</v>
      </c>
      <c r="X1346" t="s">
        <v>45098</v>
      </c>
    </row>
    <row r="1347" spans="1:24">
      <c r="A1347">
        <f>HYPERLINK("https://www.philgeps.gov.ph/GEPSNONPILOT/Tender/SplashBidNoticeAbstractUI.aspx?menuIndex=3&amp;refID=7045776&amp;Result=3","7045776")</f>
        <v>0</v>
      </c>
      <c r="B1347" t="s">
        <v>570</v>
      </c>
      <c r="C1347" t="s">
        <v>4485</v>
      </c>
      <c r="D1347" t="s">
        <v>18047</v>
      </c>
      <c r="E1347" t="s">
        <v>19365</v>
      </c>
      <c r="F1347" t="s">
        <v>31574</v>
      </c>
      <c r="G1347" t="s">
        <v>31582</v>
      </c>
      <c r="H1347" t="s">
        <v>31590</v>
      </c>
      <c r="I1347" t="s">
        <v>31594</v>
      </c>
      <c r="J1347" t="s">
        <v>32728</v>
      </c>
      <c r="K1347" t="s">
        <v>41189</v>
      </c>
      <c r="M1347" t="s">
        <v>42071</v>
      </c>
      <c r="N1347" t="s">
        <v>45095</v>
      </c>
      <c r="O1347" t="s">
        <v>45096</v>
      </c>
      <c r="P1347">
        <v>0</v>
      </c>
      <c r="Q1347">
        <v>0</v>
      </c>
      <c r="R1347" t="s">
        <v>45097</v>
      </c>
      <c r="S1347" t="s">
        <v>45222</v>
      </c>
      <c r="T1347" t="s">
        <v>47069</v>
      </c>
      <c r="U1347" t="s">
        <v>48639</v>
      </c>
      <c r="V1347" t="s">
        <v>59980</v>
      </c>
      <c r="W1347" t="s">
        <v>42071</v>
      </c>
      <c r="X1347" t="s">
        <v>45098</v>
      </c>
    </row>
    <row r="1348" spans="1:24">
      <c r="A1348">
        <f>HYPERLINK("https://www.philgeps.gov.ph/GEPSNONPILOT/Tender/SplashBidNoticeAbstractUI.aspx?menuIndex=3&amp;refID=7045760&amp;Result=3","7045760")</f>
        <v>0</v>
      </c>
      <c r="B1348" t="s">
        <v>571</v>
      </c>
      <c r="C1348" t="s">
        <v>4486</v>
      </c>
      <c r="D1348" t="s">
        <v>18079</v>
      </c>
      <c r="E1348" t="s">
        <v>18175</v>
      </c>
      <c r="F1348" t="s">
        <v>31574</v>
      </c>
      <c r="G1348" t="s">
        <v>31583</v>
      </c>
      <c r="H1348" t="s">
        <v>31590</v>
      </c>
      <c r="I1348" t="s">
        <v>4046</v>
      </c>
      <c r="J1348" t="s">
        <v>31764</v>
      </c>
      <c r="K1348" t="s">
        <v>41191</v>
      </c>
      <c r="M1348" t="s">
        <v>42072</v>
      </c>
      <c r="N1348" t="s">
        <v>45095</v>
      </c>
      <c r="O1348" t="s">
        <v>45096</v>
      </c>
      <c r="P1348">
        <v>0</v>
      </c>
      <c r="Q1348">
        <v>0</v>
      </c>
      <c r="R1348" t="s">
        <v>45097</v>
      </c>
      <c r="S1348" t="s">
        <v>45222</v>
      </c>
      <c r="T1348" t="s">
        <v>46977</v>
      </c>
      <c r="U1348" t="s">
        <v>48640</v>
      </c>
      <c r="W1348" t="s">
        <v>42072</v>
      </c>
      <c r="X1348" t="s">
        <v>45098</v>
      </c>
    </row>
    <row r="1349" spans="1:24">
      <c r="A1349">
        <f>HYPERLINK("https://www.philgeps.gov.ph/GEPSNONPILOT/Tender/SplashBidNoticeAbstractUI.aspx?menuIndex=3&amp;refID=7045770&amp;Result=3","7045770")</f>
        <v>0</v>
      </c>
      <c r="B1349" t="s">
        <v>290</v>
      </c>
      <c r="C1349" t="s">
        <v>4487</v>
      </c>
      <c r="D1349" t="s">
        <v>18043</v>
      </c>
      <c r="E1349" t="s">
        <v>19366</v>
      </c>
      <c r="F1349" t="s">
        <v>31574</v>
      </c>
      <c r="G1349" t="s">
        <v>31582</v>
      </c>
      <c r="H1349" t="s">
        <v>31590</v>
      </c>
      <c r="I1349" t="s">
        <v>31636</v>
      </c>
      <c r="J1349" t="s">
        <v>32729</v>
      </c>
      <c r="K1349" t="s">
        <v>41186</v>
      </c>
      <c r="M1349" t="s">
        <v>42052</v>
      </c>
      <c r="N1349" t="s">
        <v>45095</v>
      </c>
      <c r="O1349" t="s">
        <v>45096</v>
      </c>
      <c r="P1349">
        <v>0</v>
      </c>
      <c r="Q1349">
        <v>0</v>
      </c>
      <c r="R1349" t="s">
        <v>45097</v>
      </c>
      <c r="S1349" t="s">
        <v>45222</v>
      </c>
      <c r="T1349" t="s">
        <v>46988</v>
      </c>
      <c r="U1349" t="s">
        <v>48590</v>
      </c>
      <c r="W1349" t="s">
        <v>42052</v>
      </c>
      <c r="X1349" t="s">
        <v>45098</v>
      </c>
    </row>
    <row r="1350" spans="1:24">
      <c r="A1350">
        <f>HYPERLINK("https://www.philgeps.gov.ph/GEPSNONPILOT/Tender/SplashBidNoticeAbstractUI.aspx?menuIndex=3&amp;refID=7045773&amp;Result=3","7045773")</f>
        <v>0</v>
      </c>
      <c r="B1350" t="s">
        <v>371</v>
      </c>
      <c r="C1350" t="s">
        <v>4354</v>
      </c>
      <c r="D1350" t="s">
        <v>18075</v>
      </c>
      <c r="E1350" t="s">
        <v>19367</v>
      </c>
      <c r="F1350" t="s">
        <v>31574</v>
      </c>
      <c r="G1350" t="s">
        <v>31581</v>
      </c>
      <c r="H1350" t="s">
        <v>31590</v>
      </c>
      <c r="I1350" t="s">
        <v>4354</v>
      </c>
      <c r="J1350" t="s">
        <v>32730</v>
      </c>
      <c r="K1350" t="s">
        <v>41193</v>
      </c>
      <c r="M1350" t="s">
        <v>41861</v>
      </c>
      <c r="N1350" t="s">
        <v>45095</v>
      </c>
      <c r="O1350" t="s">
        <v>45096</v>
      </c>
      <c r="P1350">
        <v>0</v>
      </c>
      <c r="Q1350">
        <v>0</v>
      </c>
      <c r="R1350" t="s">
        <v>45097</v>
      </c>
      <c r="S1350" t="s">
        <v>45222</v>
      </c>
      <c r="T1350" t="s">
        <v>46918</v>
      </c>
      <c r="U1350" t="s">
        <v>48641</v>
      </c>
      <c r="W1350" t="s">
        <v>41861</v>
      </c>
      <c r="X1350" t="s">
        <v>45098</v>
      </c>
    </row>
    <row r="1351" spans="1:24">
      <c r="A1351">
        <f>HYPERLINK("https://www.philgeps.gov.ph/GEPSNONPILOT/Tender/SplashBidNoticeAbstractUI.aspx?menuIndex=3&amp;refID=7045769&amp;Result=3","7045769")</f>
        <v>0</v>
      </c>
      <c r="B1351" t="s">
        <v>539</v>
      </c>
      <c r="C1351" t="s">
        <v>4488</v>
      </c>
      <c r="D1351" t="s">
        <v>18027</v>
      </c>
      <c r="E1351" t="s">
        <v>19368</v>
      </c>
      <c r="F1351" t="s">
        <v>31574</v>
      </c>
      <c r="G1351" t="s">
        <v>31582</v>
      </c>
      <c r="H1351" t="s">
        <v>31590</v>
      </c>
      <c r="I1351" t="s">
        <v>5222</v>
      </c>
      <c r="J1351" t="s">
        <v>31930</v>
      </c>
      <c r="K1351" t="s">
        <v>41184</v>
      </c>
      <c r="M1351" t="s">
        <v>42036</v>
      </c>
      <c r="N1351" t="s">
        <v>45095</v>
      </c>
      <c r="O1351" t="s">
        <v>45096</v>
      </c>
      <c r="P1351">
        <v>0</v>
      </c>
      <c r="Q1351">
        <v>0</v>
      </c>
      <c r="R1351" t="s">
        <v>45097</v>
      </c>
      <c r="S1351" t="s">
        <v>45222</v>
      </c>
      <c r="T1351" t="s">
        <v>47070</v>
      </c>
      <c r="U1351" t="s">
        <v>48642</v>
      </c>
      <c r="W1351" t="s">
        <v>42036</v>
      </c>
      <c r="X1351" t="s">
        <v>45098</v>
      </c>
    </row>
    <row r="1352" spans="1:24">
      <c r="A1352">
        <f>HYPERLINK("https://www.philgeps.gov.ph/GEPSNONPILOT/Tender/SplashBidNoticeAbstractUI.aspx?menuIndex=3&amp;refID=7045765&amp;Result=3","7045765")</f>
        <v>0</v>
      </c>
      <c r="B1352" t="s">
        <v>572</v>
      </c>
      <c r="C1352" t="s">
        <v>4489</v>
      </c>
      <c r="D1352" t="s">
        <v>18052</v>
      </c>
      <c r="E1352" t="s">
        <v>19369</v>
      </c>
      <c r="F1352" t="s">
        <v>31574</v>
      </c>
      <c r="G1352" t="s">
        <v>31582</v>
      </c>
      <c r="H1352" t="s">
        <v>31591</v>
      </c>
      <c r="I1352" t="s">
        <v>31607</v>
      </c>
      <c r="J1352" t="s">
        <v>32731</v>
      </c>
      <c r="K1352" t="s">
        <v>41194</v>
      </c>
      <c r="M1352" t="s">
        <v>42073</v>
      </c>
      <c r="N1352" t="s">
        <v>45095</v>
      </c>
      <c r="O1352" t="s">
        <v>45096</v>
      </c>
      <c r="P1352">
        <v>0</v>
      </c>
      <c r="Q1352">
        <v>0</v>
      </c>
      <c r="R1352" t="s">
        <v>45097</v>
      </c>
      <c r="S1352" t="s">
        <v>45222</v>
      </c>
      <c r="T1352" t="s">
        <v>46988</v>
      </c>
      <c r="U1352" t="s">
        <v>48643</v>
      </c>
      <c r="W1352" t="s">
        <v>42073</v>
      </c>
      <c r="X1352" t="s">
        <v>45098</v>
      </c>
    </row>
    <row r="1353" spans="1:24">
      <c r="A1353">
        <f>HYPERLINK("https://www.philgeps.gov.ph/GEPSNONPILOT/Tender/SplashBidNoticeAbstractUI.aspx?menuIndex=3&amp;refID=7045756&amp;Result=3","7045756")</f>
        <v>0</v>
      </c>
      <c r="B1353" t="s">
        <v>41</v>
      </c>
      <c r="C1353" t="s">
        <v>4490</v>
      </c>
      <c r="D1353" t="s">
        <v>18036</v>
      </c>
      <c r="E1353" t="s">
        <v>19370</v>
      </c>
      <c r="F1353" t="s">
        <v>31574</v>
      </c>
      <c r="G1353" t="s">
        <v>31581</v>
      </c>
      <c r="H1353" t="s">
        <v>31590</v>
      </c>
      <c r="I1353" t="s">
        <v>31647</v>
      </c>
      <c r="J1353" t="s">
        <v>31727</v>
      </c>
      <c r="K1353" t="s">
        <v>41186</v>
      </c>
      <c r="M1353" t="s">
        <v>41524</v>
      </c>
      <c r="N1353" t="s">
        <v>45095</v>
      </c>
      <c r="O1353" t="s">
        <v>45096</v>
      </c>
      <c r="P1353">
        <v>0</v>
      </c>
      <c r="Q1353">
        <v>0</v>
      </c>
      <c r="R1353" t="s">
        <v>45097</v>
      </c>
      <c r="S1353" t="s">
        <v>45222</v>
      </c>
      <c r="T1353" t="s">
        <v>46926</v>
      </c>
      <c r="U1353" t="s">
        <v>48644</v>
      </c>
      <c r="W1353" t="s">
        <v>41524</v>
      </c>
      <c r="X1353" t="s">
        <v>45098</v>
      </c>
    </row>
    <row r="1354" spans="1:24">
      <c r="A1354">
        <f>HYPERLINK("https://www.philgeps.gov.ph/GEPSNONPILOT/Tender/SplashBidNoticeAbstractUI.aspx?menuIndex=3&amp;refID=7045755&amp;Result=3","7045755")</f>
        <v>0</v>
      </c>
      <c r="B1354" t="s">
        <v>218</v>
      </c>
      <c r="C1354" t="s">
        <v>4491</v>
      </c>
      <c r="D1354" t="s">
        <v>18070</v>
      </c>
      <c r="E1354" t="s">
        <v>19371</v>
      </c>
      <c r="F1354" t="s">
        <v>31574</v>
      </c>
      <c r="G1354" t="s">
        <v>31583</v>
      </c>
      <c r="H1354" t="s">
        <v>31590</v>
      </c>
      <c r="I1354" t="s">
        <v>3487</v>
      </c>
      <c r="J1354" t="s">
        <v>32732</v>
      </c>
      <c r="K1354" t="s">
        <v>41193</v>
      </c>
      <c r="M1354" t="s">
        <v>41703</v>
      </c>
      <c r="N1354" t="s">
        <v>45095</v>
      </c>
      <c r="O1354" t="s">
        <v>45096</v>
      </c>
      <c r="P1354">
        <v>0</v>
      </c>
      <c r="Q1354">
        <v>0</v>
      </c>
      <c r="R1354" t="s">
        <v>45097</v>
      </c>
      <c r="S1354" t="s">
        <v>45222</v>
      </c>
      <c r="T1354" t="s">
        <v>46957</v>
      </c>
      <c r="U1354" t="s">
        <v>47880</v>
      </c>
      <c r="W1354" t="s">
        <v>41703</v>
      </c>
      <c r="X1354" t="s">
        <v>45098</v>
      </c>
    </row>
    <row r="1355" spans="1:24">
      <c r="A1355">
        <f>HYPERLINK("https://www.philgeps.gov.ph/GEPSNONPILOT/Tender/SplashBidNoticeAbstractUI.aspx?menuIndex=3&amp;refID=7045767&amp;Result=3","7045767")</f>
        <v>0</v>
      </c>
      <c r="B1355" t="s">
        <v>50</v>
      </c>
      <c r="C1355" t="s">
        <v>4492</v>
      </c>
      <c r="D1355" t="s">
        <v>18042</v>
      </c>
      <c r="E1355" t="s">
        <v>19372</v>
      </c>
      <c r="F1355" t="s">
        <v>31574</v>
      </c>
      <c r="G1355" t="s">
        <v>31582</v>
      </c>
      <c r="H1355" t="s">
        <v>31590</v>
      </c>
      <c r="I1355" t="s">
        <v>3487</v>
      </c>
      <c r="J1355" t="s">
        <v>32733</v>
      </c>
      <c r="K1355" t="s">
        <v>41186</v>
      </c>
      <c r="M1355" t="s">
        <v>41533</v>
      </c>
      <c r="N1355" t="s">
        <v>45095</v>
      </c>
      <c r="O1355" t="s">
        <v>45096</v>
      </c>
      <c r="P1355">
        <v>0</v>
      </c>
      <c r="Q1355">
        <v>0</v>
      </c>
      <c r="R1355" t="s">
        <v>45097</v>
      </c>
      <c r="S1355" t="s">
        <v>45222</v>
      </c>
      <c r="T1355" t="s">
        <v>46916</v>
      </c>
      <c r="U1355" t="s">
        <v>48645</v>
      </c>
      <c r="W1355" t="s">
        <v>41533</v>
      </c>
      <c r="X1355" t="s">
        <v>45098</v>
      </c>
    </row>
    <row r="1356" spans="1:24">
      <c r="A1356">
        <f>HYPERLINK("https://www.philgeps.gov.ph/GEPSNONPILOT/Tender/SplashBidNoticeAbstractUI.aspx?menuIndex=3&amp;refID=7045720&amp;Result=3","7045720")</f>
        <v>0</v>
      </c>
      <c r="B1356" t="s">
        <v>573</v>
      </c>
      <c r="C1356" t="s">
        <v>4493</v>
      </c>
      <c r="D1356" t="s">
        <v>18056</v>
      </c>
      <c r="E1356" t="s">
        <v>19373</v>
      </c>
      <c r="F1356" t="s">
        <v>31574</v>
      </c>
      <c r="G1356" t="s">
        <v>31581</v>
      </c>
      <c r="H1356" t="s">
        <v>31590</v>
      </c>
      <c r="I1356" t="s">
        <v>4046</v>
      </c>
      <c r="J1356" t="s">
        <v>31842</v>
      </c>
      <c r="K1356" t="s">
        <v>41190</v>
      </c>
      <c r="M1356" t="s">
        <v>42074</v>
      </c>
      <c r="N1356" t="s">
        <v>45095</v>
      </c>
      <c r="O1356" t="s">
        <v>45096</v>
      </c>
      <c r="P1356">
        <v>0</v>
      </c>
      <c r="Q1356">
        <v>0</v>
      </c>
      <c r="R1356" t="s">
        <v>45097</v>
      </c>
      <c r="S1356" t="s">
        <v>45222</v>
      </c>
      <c r="T1356" t="s">
        <v>46935</v>
      </c>
      <c r="U1356" t="s">
        <v>48646</v>
      </c>
      <c r="W1356" t="s">
        <v>42074</v>
      </c>
      <c r="X1356" t="s">
        <v>45098</v>
      </c>
    </row>
    <row r="1357" spans="1:24">
      <c r="A1357">
        <f>HYPERLINK("https://www.philgeps.gov.ph/GEPSNONPILOT/Tender/SplashBidNoticeAbstractUI.aspx?menuIndex=3&amp;refID=7045758&amp;Result=3","7045758")</f>
        <v>0</v>
      </c>
      <c r="B1357" t="s">
        <v>574</v>
      </c>
      <c r="C1357" t="s">
        <v>4494</v>
      </c>
      <c r="D1357" t="s">
        <v>18040</v>
      </c>
      <c r="E1357" t="s">
        <v>19374</v>
      </c>
      <c r="F1357" t="s">
        <v>31574</v>
      </c>
      <c r="G1357" t="s">
        <v>31581</v>
      </c>
      <c r="H1357" t="s">
        <v>31591</v>
      </c>
      <c r="I1357" t="s">
        <v>8822</v>
      </c>
      <c r="J1357" t="s">
        <v>32734</v>
      </c>
      <c r="K1357" t="s">
        <v>41196</v>
      </c>
      <c r="M1357" t="s">
        <v>42075</v>
      </c>
      <c r="N1357" t="s">
        <v>45095</v>
      </c>
      <c r="O1357" t="s">
        <v>45096</v>
      </c>
      <c r="P1357">
        <v>0</v>
      </c>
      <c r="Q1357">
        <v>0</v>
      </c>
      <c r="R1357" t="s">
        <v>45097</v>
      </c>
      <c r="S1357" t="s">
        <v>45222</v>
      </c>
      <c r="T1357" t="s">
        <v>46969</v>
      </c>
      <c r="U1357" t="s">
        <v>48647</v>
      </c>
      <c r="W1357" t="s">
        <v>42075</v>
      </c>
      <c r="X1357" t="s">
        <v>45098</v>
      </c>
    </row>
    <row r="1358" spans="1:24">
      <c r="A1358">
        <f>HYPERLINK("https://www.philgeps.gov.ph/GEPSNONPILOT/Tender/SplashBidNoticeAbstractUI.aspx?menuIndex=3&amp;refID=7045777&amp;Result=3","7045777")</f>
        <v>0</v>
      </c>
      <c r="B1358" t="s">
        <v>323</v>
      </c>
      <c r="C1358" t="s">
        <v>4495</v>
      </c>
      <c r="D1358" t="s">
        <v>18022</v>
      </c>
      <c r="E1358" t="s">
        <v>19375</v>
      </c>
      <c r="F1358" t="s">
        <v>31574</v>
      </c>
      <c r="G1358" t="s">
        <v>31581</v>
      </c>
      <c r="H1358" t="s">
        <v>31590</v>
      </c>
      <c r="I1358" t="s">
        <v>31671</v>
      </c>
      <c r="J1358" t="s">
        <v>32735</v>
      </c>
      <c r="K1358" t="s">
        <v>41196</v>
      </c>
      <c r="M1358" t="s">
        <v>41811</v>
      </c>
      <c r="N1358" t="s">
        <v>45095</v>
      </c>
      <c r="O1358" t="s">
        <v>45096</v>
      </c>
      <c r="P1358">
        <v>0</v>
      </c>
      <c r="Q1358">
        <v>0</v>
      </c>
      <c r="R1358" t="s">
        <v>45097</v>
      </c>
      <c r="S1358" t="s">
        <v>45222</v>
      </c>
      <c r="T1358" t="s">
        <v>46913</v>
      </c>
      <c r="U1358" t="s">
        <v>48648</v>
      </c>
      <c r="V1358" t="s">
        <v>59886</v>
      </c>
      <c r="W1358" t="s">
        <v>41811</v>
      </c>
      <c r="X1358" t="s">
        <v>45098</v>
      </c>
    </row>
    <row r="1359" spans="1:24">
      <c r="A1359">
        <f>HYPERLINK("https://www.philgeps.gov.ph/GEPSNONPILOT/Tender/SplashBidNoticeAbstractUI.aspx?menuIndex=3&amp;refID=7045771&amp;Result=3","7045771")</f>
        <v>0</v>
      </c>
      <c r="B1359" t="s">
        <v>530</v>
      </c>
      <c r="C1359" t="s">
        <v>4496</v>
      </c>
      <c r="D1359" t="s">
        <v>18071</v>
      </c>
      <c r="E1359" t="s">
        <v>19376</v>
      </c>
      <c r="F1359" t="s">
        <v>31574</v>
      </c>
      <c r="G1359" t="s">
        <v>31582</v>
      </c>
      <c r="H1359" t="s">
        <v>31590</v>
      </c>
      <c r="I1359" t="s">
        <v>31621</v>
      </c>
      <c r="J1359" t="s">
        <v>31888</v>
      </c>
      <c r="K1359" t="s">
        <v>41186</v>
      </c>
      <c r="M1359" t="s">
        <v>42027</v>
      </c>
      <c r="N1359" t="s">
        <v>45095</v>
      </c>
      <c r="O1359" t="s">
        <v>45096</v>
      </c>
      <c r="P1359">
        <v>0</v>
      </c>
      <c r="Q1359">
        <v>0</v>
      </c>
      <c r="R1359" t="s">
        <v>45097</v>
      </c>
      <c r="S1359" t="s">
        <v>45222</v>
      </c>
      <c r="T1359" t="s">
        <v>47066</v>
      </c>
      <c r="U1359" t="s">
        <v>48649</v>
      </c>
      <c r="W1359" t="s">
        <v>42027</v>
      </c>
      <c r="X1359" t="s">
        <v>45098</v>
      </c>
    </row>
    <row r="1360" spans="1:24">
      <c r="A1360">
        <f>HYPERLINK("https://www.philgeps.gov.ph/GEPSNONPILOT/Tender/SplashBidNoticeAbstractUI.aspx?menuIndex=3&amp;refID=7045753&amp;Result=3","7045753")</f>
        <v>0</v>
      </c>
      <c r="B1360" t="s">
        <v>239</v>
      </c>
      <c r="C1360" t="s">
        <v>4497</v>
      </c>
      <c r="D1360" t="s">
        <v>18024</v>
      </c>
      <c r="E1360" t="s">
        <v>19377</v>
      </c>
      <c r="F1360" t="s">
        <v>31574</v>
      </c>
      <c r="G1360" t="s">
        <v>31582</v>
      </c>
      <c r="H1360" t="s">
        <v>31590</v>
      </c>
      <c r="I1360" t="s">
        <v>6800</v>
      </c>
      <c r="J1360" t="s">
        <v>32736</v>
      </c>
      <c r="K1360" t="s">
        <v>41190</v>
      </c>
      <c r="M1360" t="s">
        <v>41725</v>
      </c>
      <c r="N1360" t="s">
        <v>45095</v>
      </c>
      <c r="O1360" t="s">
        <v>45096</v>
      </c>
      <c r="P1360">
        <v>0</v>
      </c>
      <c r="Q1360">
        <v>0</v>
      </c>
      <c r="R1360" t="s">
        <v>45097</v>
      </c>
      <c r="S1360" t="s">
        <v>45222</v>
      </c>
      <c r="T1360" t="s">
        <v>46996</v>
      </c>
      <c r="U1360" t="s">
        <v>48650</v>
      </c>
      <c r="W1360" t="s">
        <v>41725</v>
      </c>
      <c r="X1360" t="s">
        <v>45098</v>
      </c>
    </row>
    <row r="1361" spans="1:24">
      <c r="A1361">
        <f>HYPERLINK("https://www.philgeps.gov.ph/GEPSNONPILOT/Tender/SplashBidNoticeAbstractUI.aspx?menuIndex=3&amp;refID=7045764&amp;Result=3","7045764")</f>
        <v>0</v>
      </c>
      <c r="B1361" t="s">
        <v>517</v>
      </c>
      <c r="C1361" t="s">
        <v>4498</v>
      </c>
      <c r="D1361" t="s">
        <v>18036</v>
      </c>
      <c r="E1361" t="s">
        <v>19378</v>
      </c>
      <c r="F1361" t="s">
        <v>31574</v>
      </c>
      <c r="G1361" t="s">
        <v>31581</v>
      </c>
      <c r="H1361" t="s">
        <v>31592</v>
      </c>
      <c r="I1361" t="s">
        <v>31627</v>
      </c>
      <c r="J1361" t="s">
        <v>32077</v>
      </c>
      <c r="K1361" t="s">
        <v>41186</v>
      </c>
      <c r="M1361" t="s">
        <v>42013</v>
      </c>
      <c r="N1361" t="s">
        <v>45095</v>
      </c>
      <c r="O1361" t="s">
        <v>45096</v>
      </c>
      <c r="P1361">
        <v>0</v>
      </c>
      <c r="Q1361">
        <v>0</v>
      </c>
      <c r="R1361" t="s">
        <v>45097</v>
      </c>
      <c r="S1361" t="s">
        <v>45222</v>
      </c>
      <c r="T1361" t="s">
        <v>46911</v>
      </c>
      <c r="U1361" t="s">
        <v>48651</v>
      </c>
      <c r="W1361" t="s">
        <v>42013</v>
      </c>
      <c r="X1361" t="s">
        <v>45098</v>
      </c>
    </row>
    <row r="1362" spans="1:24">
      <c r="A1362">
        <f>HYPERLINK("https://www.philgeps.gov.ph/GEPSNONPILOT/Tender/SplashBidNoticeAbstractUI.aspx?menuIndex=3&amp;refID=7045772&amp;Result=3","7045772")</f>
        <v>0</v>
      </c>
      <c r="B1362" t="s">
        <v>439</v>
      </c>
      <c r="C1362" t="s">
        <v>4499</v>
      </c>
      <c r="D1362" t="s">
        <v>18046</v>
      </c>
      <c r="E1362" t="s">
        <v>19379</v>
      </c>
      <c r="F1362" t="s">
        <v>31574</v>
      </c>
      <c r="G1362" t="s">
        <v>31581</v>
      </c>
      <c r="H1362" t="s">
        <v>31590</v>
      </c>
      <c r="I1362" t="s">
        <v>6800</v>
      </c>
      <c r="J1362" t="s">
        <v>32737</v>
      </c>
      <c r="K1362" t="s">
        <v>41184</v>
      </c>
      <c r="M1362" t="s">
        <v>41932</v>
      </c>
      <c r="N1362" t="s">
        <v>45095</v>
      </c>
      <c r="O1362" t="s">
        <v>45096</v>
      </c>
      <c r="P1362">
        <v>0</v>
      </c>
      <c r="Q1362">
        <v>0</v>
      </c>
      <c r="R1362" t="s">
        <v>45097</v>
      </c>
      <c r="S1362" t="s">
        <v>45222</v>
      </c>
      <c r="T1362" t="s">
        <v>46938</v>
      </c>
      <c r="U1362" t="s">
        <v>48621</v>
      </c>
      <c r="W1362" t="s">
        <v>41932</v>
      </c>
      <c r="X1362" t="s">
        <v>45098</v>
      </c>
    </row>
    <row r="1363" spans="1:24">
      <c r="A1363">
        <f>HYPERLINK("https://www.philgeps.gov.ph/GEPSNONPILOT/Tender/SplashBidNoticeAbstractUI.aspx?menuIndex=3&amp;refID=7045795&amp;Result=3","7045795")</f>
        <v>0</v>
      </c>
      <c r="B1363" t="s">
        <v>575</v>
      </c>
      <c r="C1363" t="s">
        <v>4500</v>
      </c>
      <c r="D1363" t="s">
        <v>18027</v>
      </c>
      <c r="E1363" t="s">
        <v>19380</v>
      </c>
      <c r="F1363" t="s">
        <v>31574</v>
      </c>
      <c r="G1363" t="s">
        <v>31582</v>
      </c>
      <c r="H1363" t="s">
        <v>31590</v>
      </c>
      <c r="I1363" t="s">
        <v>3487</v>
      </c>
      <c r="J1363" t="s">
        <v>31947</v>
      </c>
      <c r="K1363" t="s">
        <v>41184</v>
      </c>
      <c r="M1363" t="s">
        <v>42076</v>
      </c>
      <c r="N1363" t="s">
        <v>45095</v>
      </c>
      <c r="O1363" t="s">
        <v>45096</v>
      </c>
      <c r="P1363">
        <v>0</v>
      </c>
      <c r="Q1363">
        <v>0</v>
      </c>
      <c r="R1363" t="s">
        <v>45097</v>
      </c>
      <c r="S1363" t="s">
        <v>45222</v>
      </c>
      <c r="T1363" t="s">
        <v>47056</v>
      </c>
      <c r="U1363" t="s">
        <v>48652</v>
      </c>
      <c r="W1363" t="s">
        <v>42076</v>
      </c>
      <c r="X1363" t="s">
        <v>45098</v>
      </c>
    </row>
    <row r="1364" spans="1:24">
      <c r="A1364">
        <f>HYPERLINK("https://www.philgeps.gov.ph/GEPSNONPILOT/Tender/SplashBidNoticeAbstractUI.aspx?menuIndex=3&amp;refID=7045794&amp;Result=3","7045794")</f>
        <v>0</v>
      </c>
      <c r="B1364" t="s">
        <v>95</v>
      </c>
      <c r="C1364" t="s">
        <v>4501</v>
      </c>
      <c r="D1364" t="s">
        <v>18062</v>
      </c>
      <c r="E1364" t="s">
        <v>19381</v>
      </c>
      <c r="F1364" t="s">
        <v>31574</v>
      </c>
      <c r="G1364" t="s">
        <v>31582</v>
      </c>
      <c r="H1364" t="s">
        <v>31590</v>
      </c>
      <c r="I1364" t="s">
        <v>31614</v>
      </c>
      <c r="J1364" t="s">
        <v>32738</v>
      </c>
      <c r="K1364" t="s">
        <v>41192</v>
      </c>
      <c r="M1364" t="s">
        <v>41937</v>
      </c>
      <c r="N1364" t="s">
        <v>45095</v>
      </c>
      <c r="O1364" t="s">
        <v>45096</v>
      </c>
      <c r="P1364">
        <v>0</v>
      </c>
      <c r="Q1364">
        <v>0</v>
      </c>
      <c r="R1364" t="s">
        <v>45097</v>
      </c>
      <c r="S1364" t="s">
        <v>45222</v>
      </c>
      <c r="T1364" t="s">
        <v>46926</v>
      </c>
      <c r="U1364" t="s">
        <v>48653</v>
      </c>
      <c r="W1364" t="s">
        <v>41937</v>
      </c>
      <c r="X1364" t="s">
        <v>45098</v>
      </c>
    </row>
    <row r="1365" spans="1:24">
      <c r="A1365">
        <f>HYPERLINK("https://www.philgeps.gov.ph/GEPSNONPILOT/Tender/SplashBidNoticeAbstractUI.aspx?menuIndex=3&amp;refID=7045790&amp;Result=3","7045790")</f>
        <v>0</v>
      </c>
      <c r="B1365" t="s">
        <v>498</v>
      </c>
      <c r="C1365" t="s">
        <v>4502</v>
      </c>
      <c r="D1365" t="s">
        <v>18022</v>
      </c>
      <c r="E1365" t="s">
        <v>19382</v>
      </c>
      <c r="F1365" t="s">
        <v>31574</v>
      </c>
      <c r="G1365" t="s">
        <v>31582</v>
      </c>
      <c r="H1365" t="s">
        <v>31590</v>
      </c>
      <c r="I1365" t="s">
        <v>31621</v>
      </c>
      <c r="J1365" t="s">
        <v>32367</v>
      </c>
      <c r="K1365" t="s">
        <v>41213</v>
      </c>
      <c r="M1365" t="s">
        <v>41994</v>
      </c>
      <c r="N1365" t="s">
        <v>45095</v>
      </c>
      <c r="O1365" t="s">
        <v>45096</v>
      </c>
      <c r="P1365">
        <v>0</v>
      </c>
      <c r="Q1365">
        <v>0</v>
      </c>
      <c r="R1365" t="s">
        <v>45097</v>
      </c>
      <c r="S1365" t="s">
        <v>45222</v>
      </c>
      <c r="T1365" t="s">
        <v>46910</v>
      </c>
      <c r="U1365" t="s">
        <v>48477</v>
      </c>
      <c r="W1365" t="s">
        <v>41994</v>
      </c>
      <c r="X1365" t="s">
        <v>45098</v>
      </c>
    </row>
    <row r="1366" spans="1:24">
      <c r="A1366">
        <f>HYPERLINK("https://www.philgeps.gov.ph/GEPSNONPILOT/Tender/SplashBidNoticeAbstractUI.aspx?menuIndex=3&amp;refID=7045796&amp;Result=3","7045796")</f>
        <v>0</v>
      </c>
      <c r="B1366" t="s">
        <v>443</v>
      </c>
      <c r="C1366" t="s">
        <v>4503</v>
      </c>
      <c r="D1366" t="s">
        <v>18062</v>
      </c>
      <c r="E1366" t="s">
        <v>19383</v>
      </c>
      <c r="F1366" t="s">
        <v>31574</v>
      </c>
      <c r="G1366" t="s">
        <v>31582</v>
      </c>
      <c r="H1366" t="s">
        <v>31591</v>
      </c>
      <c r="I1366" t="s">
        <v>8822</v>
      </c>
      <c r="J1366" t="s">
        <v>32739</v>
      </c>
      <c r="K1366" t="s">
        <v>41255</v>
      </c>
      <c r="M1366" t="s">
        <v>41936</v>
      </c>
      <c r="N1366" t="s">
        <v>45095</v>
      </c>
      <c r="O1366" t="s">
        <v>45096</v>
      </c>
      <c r="P1366">
        <v>0</v>
      </c>
      <c r="Q1366">
        <v>1</v>
      </c>
      <c r="R1366" t="s">
        <v>45097</v>
      </c>
      <c r="S1366" t="s">
        <v>45222</v>
      </c>
      <c r="T1366" t="s">
        <v>46915</v>
      </c>
      <c r="U1366" t="s">
        <v>48547</v>
      </c>
      <c r="V1366" t="s">
        <v>59981</v>
      </c>
      <c r="W1366" t="s">
        <v>41936</v>
      </c>
      <c r="X1366" t="s">
        <v>45098</v>
      </c>
    </row>
    <row r="1367" spans="1:24">
      <c r="A1367">
        <f>HYPERLINK("https://www.philgeps.gov.ph/GEPSNONPILOT/Tender/SplashBidNoticeAbstractUI.aspx?menuIndex=3&amp;refID=7045787&amp;Result=3","7045787")</f>
        <v>0</v>
      </c>
      <c r="B1367" t="s">
        <v>239</v>
      </c>
      <c r="C1367" t="s">
        <v>4504</v>
      </c>
      <c r="D1367" t="s">
        <v>18024</v>
      </c>
      <c r="E1367" t="s">
        <v>19384</v>
      </c>
      <c r="F1367" t="s">
        <v>31574</v>
      </c>
      <c r="G1367" t="s">
        <v>31582</v>
      </c>
      <c r="H1367" t="s">
        <v>31590</v>
      </c>
      <c r="I1367" t="s">
        <v>6800</v>
      </c>
      <c r="J1367" t="s">
        <v>32740</v>
      </c>
      <c r="K1367" t="s">
        <v>41190</v>
      </c>
      <c r="M1367" t="s">
        <v>41725</v>
      </c>
      <c r="N1367" t="s">
        <v>45095</v>
      </c>
      <c r="O1367" t="s">
        <v>45096</v>
      </c>
      <c r="P1367">
        <v>0</v>
      </c>
      <c r="Q1367">
        <v>0</v>
      </c>
      <c r="R1367" t="s">
        <v>45097</v>
      </c>
      <c r="S1367" t="s">
        <v>45222</v>
      </c>
      <c r="T1367" t="s">
        <v>46996</v>
      </c>
      <c r="U1367" t="s">
        <v>48650</v>
      </c>
      <c r="W1367" t="s">
        <v>41725</v>
      </c>
      <c r="X1367" t="s">
        <v>45098</v>
      </c>
    </row>
    <row r="1368" spans="1:24">
      <c r="A1368">
        <f>HYPERLINK("https://www.philgeps.gov.ph/GEPSNONPILOT/Tender/SplashBidNoticeAbstractUI.aspx?menuIndex=3&amp;refID=7045803&amp;Result=3","7045803")</f>
        <v>0</v>
      </c>
      <c r="B1368" t="s">
        <v>477</v>
      </c>
      <c r="C1368" t="s">
        <v>4505</v>
      </c>
      <c r="D1368" t="s">
        <v>18062</v>
      </c>
      <c r="E1368" t="s">
        <v>19385</v>
      </c>
      <c r="F1368" t="s">
        <v>31574</v>
      </c>
      <c r="G1368" t="s">
        <v>31581</v>
      </c>
      <c r="H1368" t="s">
        <v>31590</v>
      </c>
      <c r="I1368" t="s">
        <v>31672</v>
      </c>
      <c r="J1368" t="s">
        <v>32497</v>
      </c>
      <c r="K1368" t="s">
        <v>41186</v>
      </c>
      <c r="M1368" t="s">
        <v>41973</v>
      </c>
      <c r="N1368" t="s">
        <v>45095</v>
      </c>
      <c r="O1368" t="s">
        <v>45096</v>
      </c>
      <c r="P1368">
        <v>0</v>
      </c>
      <c r="Q1368">
        <v>0</v>
      </c>
      <c r="R1368" t="s">
        <v>45097</v>
      </c>
      <c r="S1368" t="s">
        <v>45222</v>
      </c>
      <c r="T1368" t="s">
        <v>46992</v>
      </c>
      <c r="U1368" t="s">
        <v>48654</v>
      </c>
      <c r="W1368" t="s">
        <v>41973</v>
      </c>
      <c r="X1368" t="s">
        <v>45098</v>
      </c>
    </row>
    <row r="1369" spans="1:24">
      <c r="A1369">
        <f>HYPERLINK("https://www.philgeps.gov.ph/GEPSNONPILOT/Tender/SplashBidNoticeAbstractUI.aspx?menuIndex=3&amp;refID=7045793&amp;Result=3","7045793")</f>
        <v>0</v>
      </c>
      <c r="B1369" t="s">
        <v>530</v>
      </c>
      <c r="C1369" t="s">
        <v>4506</v>
      </c>
      <c r="D1369" t="s">
        <v>18071</v>
      </c>
      <c r="E1369" t="s">
        <v>4506</v>
      </c>
      <c r="F1369" t="s">
        <v>31574</v>
      </c>
      <c r="G1369" t="s">
        <v>31582</v>
      </c>
      <c r="H1369" t="s">
        <v>31590</v>
      </c>
      <c r="I1369" t="s">
        <v>4327</v>
      </c>
      <c r="J1369" t="s">
        <v>32741</v>
      </c>
      <c r="K1369" t="s">
        <v>41186</v>
      </c>
      <c r="M1369" t="s">
        <v>42027</v>
      </c>
      <c r="N1369" t="s">
        <v>45095</v>
      </c>
      <c r="O1369" t="s">
        <v>45096</v>
      </c>
      <c r="P1369">
        <v>0</v>
      </c>
      <c r="Q1369">
        <v>0</v>
      </c>
      <c r="R1369" t="s">
        <v>45097</v>
      </c>
      <c r="S1369" t="s">
        <v>45222</v>
      </c>
      <c r="T1369" t="s">
        <v>47066</v>
      </c>
      <c r="U1369" t="s">
        <v>48655</v>
      </c>
      <c r="W1369" t="s">
        <v>42027</v>
      </c>
      <c r="X1369" t="s">
        <v>45098</v>
      </c>
    </row>
    <row r="1370" spans="1:24">
      <c r="A1370">
        <f>HYPERLINK("https://www.philgeps.gov.ph/GEPSNONPILOT/Tender/SplashBidNoticeAbstractUI.aspx?menuIndex=3&amp;refID=7045801&amp;Result=3","7045801")</f>
        <v>0</v>
      </c>
      <c r="B1370" t="s">
        <v>576</v>
      </c>
      <c r="C1370" t="s">
        <v>4507</v>
      </c>
      <c r="D1370" t="s">
        <v>18095</v>
      </c>
      <c r="E1370" t="s">
        <v>19386</v>
      </c>
      <c r="F1370" t="s">
        <v>31574</v>
      </c>
      <c r="G1370" t="s">
        <v>31582</v>
      </c>
      <c r="H1370" t="s">
        <v>31590</v>
      </c>
      <c r="I1370" t="s">
        <v>6800</v>
      </c>
      <c r="J1370" t="s">
        <v>32742</v>
      </c>
      <c r="K1370" t="s">
        <v>41213</v>
      </c>
      <c r="M1370" t="s">
        <v>42077</v>
      </c>
      <c r="N1370" t="s">
        <v>45095</v>
      </c>
      <c r="O1370" t="s">
        <v>45096</v>
      </c>
      <c r="P1370">
        <v>0</v>
      </c>
      <c r="Q1370">
        <v>0</v>
      </c>
      <c r="R1370" t="s">
        <v>45097</v>
      </c>
      <c r="S1370" t="s">
        <v>45222</v>
      </c>
      <c r="T1370" t="s">
        <v>46937</v>
      </c>
      <c r="U1370" t="s">
        <v>48656</v>
      </c>
      <c r="W1370" t="s">
        <v>42077</v>
      </c>
      <c r="X1370" t="s">
        <v>45098</v>
      </c>
    </row>
    <row r="1371" spans="1:24">
      <c r="A1371">
        <f>HYPERLINK("https://www.philgeps.gov.ph/GEPSNONPILOT/Tender/SplashBidNoticeAbstractUI.aspx?menuIndex=3&amp;refID=7045789&amp;Result=3","7045789")</f>
        <v>0</v>
      </c>
      <c r="B1371" t="s">
        <v>577</v>
      </c>
      <c r="C1371" t="s">
        <v>4508</v>
      </c>
      <c r="D1371" t="s">
        <v>18027</v>
      </c>
      <c r="E1371" t="s">
        <v>19387</v>
      </c>
      <c r="F1371" t="s">
        <v>31574</v>
      </c>
      <c r="G1371" t="s">
        <v>31581</v>
      </c>
      <c r="H1371" t="s">
        <v>31590</v>
      </c>
      <c r="I1371" t="s">
        <v>31623</v>
      </c>
      <c r="J1371" t="s">
        <v>32611</v>
      </c>
      <c r="K1371" t="s">
        <v>41184</v>
      </c>
      <c r="M1371" t="s">
        <v>42078</v>
      </c>
      <c r="N1371" t="s">
        <v>45095</v>
      </c>
      <c r="O1371" t="s">
        <v>45096</v>
      </c>
      <c r="P1371">
        <v>0</v>
      </c>
      <c r="Q1371">
        <v>0</v>
      </c>
      <c r="R1371" t="s">
        <v>45097</v>
      </c>
      <c r="S1371" t="s">
        <v>45222</v>
      </c>
      <c r="T1371" t="s">
        <v>46934</v>
      </c>
      <c r="U1371" t="s">
        <v>48657</v>
      </c>
      <c r="W1371" t="s">
        <v>42078</v>
      </c>
      <c r="X1371" t="s">
        <v>45098</v>
      </c>
    </row>
    <row r="1372" spans="1:24">
      <c r="A1372">
        <f>HYPERLINK("https://www.philgeps.gov.ph/GEPSNONPILOT/Tender/SplashBidNoticeAbstractUI.aspx?menuIndex=3&amp;refID=7045802&amp;Result=3","7045802")</f>
        <v>0</v>
      </c>
      <c r="B1372" t="s">
        <v>578</v>
      </c>
      <c r="C1372" t="s">
        <v>4509</v>
      </c>
      <c r="D1372" t="s">
        <v>18031</v>
      </c>
      <c r="E1372" t="s">
        <v>18722</v>
      </c>
      <c r="F1372" t="s">
        <v>31574</v>
      </c>
      <c r="G1372" t="s">
        <v>31583</v>
      </c>
      <c r="H1372" t="s">
        <v>31590</v>
      </c>
      <c r="I1372" t="s">
        <v>31607</v>
      </c>
      <c r="J1372" t="s">
        <v>32315</v>
      </c>
      <c r="K1372" t="s">
        <v>41196</v>
      </c>
      <c r="M1372" t="s">
        <v>42079</v>
      </c>
      <c r="N1372" t="s">
        <v>45095</v>
      </c>
      <c r="O1372" t="s">
        <v>45096</v>
      </c>
      <c r="P1372">
        <v>0</v>
      </c>
      <c r="Q1372">
        <v>0</v>
      </c>
      <c r="R1372" t="s">
        <v>45097</v>
      </c>
      <c r="S1372" t="s">
        <v>45222</v>
      </c>
      <c r="T1372" t="s">
        <v>47071</v>
      </c>
      <c r="U1372" t="s">
        <v>48658</v>
      </c>
      <c r="W1372" t="s">
        <v>42079</v>
      </c>
      <c r="X1372" t="s">
        <v>45098</v>
      </c>
    </row>
    <row r="1373" spans="1:24">
      <c r="A1373">
        <f>HYPERLINK("https://www.philgeps.gov.ph/GEPSNONPILOT/Tender/SplashBidNoticeAbstractUI.aspx?menuIndex=3&amp;refID=7045804&amp;Result=3","7045804")</f>
        <v>0</v>
      </c>
      <c r="B1373" t="s">
        <v>433</v>
      </c>
      <c r="C1373" t="s">
        <v>4510</v>
      </c>
      <c r="D1373" t="s">
        <v>18027</v>
      </c>
      <c r="E1373" t="s">
        <v>19388</v>
      </c>
      <c r="F1373" t="s">
        <v>31574</v>
      </c>
      <c r="G1373" t="s">
        <v>31582</v>
      </c>
      <c r="H1373" t="s">
        <v>31593</v>
      </c>
      <c r="I1373" t="s">
        <v>8822</v>
      </c>
      <c r="J1373" t="s">
        <v>32743</v>
      </c>
      <c r="K1373" t="s">
        <v>41184</v>
      </c>
      <c r="M1373" t="s">
        <v>42080</v>
      </c>
      <c r="N1373" t="s">
        <v>45095</v>
      </c>
      <c r="O1373" t="s">
        <v>45096</v>
      </c>
      <c r="P1373">
        <v>0</v>
      </c>
      <c r="Q1373">
        <v>0</v>
      </c>
      <c r="R1373" t="s">
        <v>45097</v>
      </c>
      <c r="S1373" t="s">
        <v>45222</v>
      </c>
      <c r="T1373" t="s">
        <v>46935</v>
      </c>
      <c r="U1373" t="s">
        <v>48659</v>
      </c>
      <c r="W1373" t="s">
        <v>42080</v>
      </c>
      <c r="X1373" t="s">
        <v>45098</v>
      </c>
    </row>
    <row r="1374" spans="1:24">
      <c r="A1374">
        <f>HYPERLINK("https://www.philgeps.gov.ph/GEPSNONPILOT/Tender/SplashBidNoticeAbstractUI.aspx?menuIndex=3&amp;refID=7045788&amp;Result=3","7045788")</f>
        <v>0</v>
      </c>
      <c r="B1374" t="s">
        <v>508</v>
      </c>
      <c r="C1374" t="s">
        <v>4511</v>
      </c>
      <c r="D1374" t="s">
        <v>18023</v>
      </c>
      <c r="E1374" t="s">
        <v>19389</v>
      </c>
      <c r="F1374" t="s">
        <v>31574</v>
      </c>
      <c r="G1374" t="s">
        <v>31581</v>
      </c>
      <c r="H1374" t="s">
        <v>31590</v>
      </c>
      <c r="I1374" t="s">
        <v>8258</v>
      </c>
      <c r="J1374" t="s">
        <v>31890</v>
      </c>
      <c r="K1374" t="s">
        <v>41184</v>
      </c>
      <c r="M1374" t="s">
        <v>42004</v>
      </c>
      <c r="N1374" t="s">
        <v>45095</v>
      </c>
      <c r="O1374" t="s">
        <v>45096</v>
      </c>
      <c r="P1374">
        <v>0</v>
      </c>
      <c r="Q1374">
        <v>0</v>
      </c>
      <c r="R1374" t="s">
        <v>45097</v>
      </c>
      <c r="S1374" t="s">
        <v>45222</v>
      </c>
      <c r="T1374" t="s">
        <v>46904</v>
      </c>
      <c r="U1374" t="s">
        <v>48660</v>
      </c>
      <c r="V1374" t="s">
        <v>59982</v>
      </c>
      <c r="W1374" t="s">
        <v>42004</v>
      </c>
      <c r="X1374" t="s">
        <v>45098</v>
      </c>
    </row>
    <row r="1375" spans="1:24">
      <c r="A1375">
        <f>HYPERLINK("https://www.philgeps.gov.ph/GEPSNONPILOT/Tender/SplashBidNoticeAbstractUI.aspx?menuIndex=3&amp;refID=7045800&amp;Result=3","7045800")</f>
        <v>0</v>
      </c>
      <c r="B1375" t="s">
        <v>402</v>
      </c>
      <c r="C1375" t="s">
        <v>4512</v>
      </c>
      <c r="D1375" t="s">
        <v>18078</v>
      </c>
      <c r="E1375" t="s">
        <v>19390</v>
      </c>
      <c r="F1375" t="s">
        <v>31574</v>
      </c>
      <c r="G1375" t="s">
        <v>31581</v>
      </c>
      <c r="H1375" t="s">
        <v>31590</v>
      </c>
      <c r="I1375" t="s">
        <v>31621</v>
      </c>
      <c r="J1375" t="s">
        <v>32744</v>
      </c>
      <c r="K1375" t="s">
        <v>41197</v>
      </c>
      <c r="M1375" t="s">
        <v>41893</v>
      </c>
      <c r="N1375" t="s">
        <v>45095</v>
      </c>
      <c r="O1375" t="s">
        <v>45096</v>
      </c>
      <c r="P1375">
        <v>0</v>
      </c>
      <c r="Q1375">
        <v>0</v>
      </c>
      <c r="R1375" t="s">
        <v>45097</v>
      </c>
      <c r="S1375" t="s">
        <v>45222</v>
      </c>
      <c r="T1375" t="s">
        <v>46961</v>
      </c>
      <c r="U1375" t="s">
        <v>48661</v>
      </c>
      <c r="W1375" t="s">
        <v>41893</v>
      </c>
      <c r="X1375" t="s">
        <v>45098</v>
      </c>
    </row>
    <row r="1376" spans="1:24">
      <c r="A1376">
        <f>HYPERLINK("https://www.philgeps.gov.ph/GEPSNONPILOT/Tender/SplashBidNoticeAbstractUI.aspx?menuIndex=3&amp;refID=7045780&amp;Result=3","7045780")</f>
        <v>0</v>
      </c>
      <c r="B1376" t="s">
        <v>579</v>
      </c>
      <c r="C1376" t="s">
        <v>4513</v>
      </c>
      <c r="D1376" t="s">
        <v>18022</v>
      </c>
      <c r="E1376" t="s">
        <v>19391</v>
      </c>
      <c r="F1376" t="s">
        <v>31574</v>
      </c>
      <c r="G1376" t="s">
        <v>31582</v>
      </c>
      <c r="H1376" t="s">
        <v>31590</v>
      </c>
      <c r="I1376" t="s">
        <v>31595</v>
      </c>
      <c r="J1376" t="s">
        <v>32745</v>
      </c>
      <c r="K1376" t="s">
        <v>41251</v>
      </c>
      <c r="M1376" t="s">
        <v>42081</v>
      </c>
      <c r="N1376" t="s">
        <v>45095</v>
      </c>
      <c r="O1376" t="s">
        <v>45096</v>
      </c>
      <c r="P1376">
        <v>0</v>
      </c>
      <c r="Q1376">
        <v>0</v>
      </c>
      <c r="R1376" t="s">
        <v>45097</v>
      </c>
      <c r="S1376" t="s">
        <v>45222</v>
      </c>
      <c r="T1376" t="s">
        <v>47072</v>
      </c>
      <c r="U1376" t="s">
        <v>48662</v>
      </c>
      <c r="W1376" t="s">
        <v>42081</v>
      </c>
      <c r="X1376" t="s">
        <v>45098</v>
      </c>
    </row>
    <row r="1377" spans="1:24">
      <c r="A1377">
        <f>HYPERLINK("https://www.philgeps.gov.ph/GEPSNONPILOT/Tender/SplashBidNoticeAbstractUI.aspx?menuIndex=3&amp;refID=7045798&amp;Result=3","7045798")</f>
        <v>0</v>
      </c>
      <c r="B1377" t="s">
        <v>580</v>
      </c>
      <c r="C1377" t="s">
        <v>4514</v>
      </c>
      <c r="D1377" t="s">
        <v>18048</v>
      </c>
      <c r="E1377" t="s">
        <v>4514</v>
      </c>
      <c r="F1377" t="s">
        <v>31574</v>
      </c>
      <c r="G1377" t="s">
        <v>31584</v>
      </c>
      <c r="H1377" t="s">
        <v>31590</v>
      </c>
      <c r="I1377" t="s">
        <v>3487</v>
      </c>
      <c r="J1377" t="s">
        <v>32746</v>
      </c>
      <c r="K1377" t="s">
        <v>41184</v>
      </c>
      <c r="M1377" t="s">
        <v>42082</v>
      </c>
      <c r="N1377" t="s">
        <v>45095</v>
      </c>
      <c r="O1377" t="s">
        <v>45096</v>
      </c>
      <c r="P1377">
        <v>0</v>
      </c>
      <c r="Q1377">
        <v>0</v>
      </c>
      <c r="R1377" t="s">
        <v>45097</v>
      </c>
      <c r="S1377" t="s">
        <v>45222</v>
      </c>
      <c r="T1377" t="s">
        <v>46918</v>
      </c>
      <c r="U1377" t="s">
        <v>48663</v>
      </c>
      <c r="W1377" t="s">
        <v>42082</v>
      </c>
      <c r="X1377" t="s">
        <v>45098</v>
      </c>
    </row>
    <row r="1378" spans="1:24">
      <c r="A1378">
        <f>HYPERLINK("https://www.philgeps.gov.ph/GEPSNONPILOT/Tender/SplashBidNoticeAbstractUI.aspx?menuIndex=3&amp;refID=7045806&amp;Result=3","7045806")</f>
        <v>0</v>
      </c>
      <c r="B1378" t="s">
        <v>565</v>
      </c>
      <c r="C1378" t="s">
        <v>4515</v>
      </c>
      <c r="D1378" t="s">
        <v>18078</v>
      </c>
      <c r="E1378" t="s">
        <v>19392</v>
      </c>
      <c r="F1378" t="s">
        <v>31574</v>
      </c>
      <c r="G1378" t="s">
        <v>31581</v>
      </c>
      <c r="H1378" t="s">
        <v>31590</v>
      </c>
      <c r="I1378" t="s">
        <v>4046</v>
      </c>
      <c r="J1378" t="s">
        <v>32747</v>
      </c>
      <c r="K1378" t="s">
        <v>41193</v>
      </c>
      <c r="M1378" t="s">
        <v>42064</v>
      </c>
      <c r="N1378" t="s">
        <v>45095</v>
      </c>
      <c r="O1378" t="s">
        <v>45096</v>
      </c>
      <c r="P1378">
        <v>0</v>
      </c>
      <c r="Q1378">
        <v>0</v>
      </c>
      <c r="R1378" t="s">
        <v>45097</v>
      </c>
      <c r="S1378" t="s">
        <v>45222</v>
      </c>
      <c r="T1378" t="s">
        <v>46904</v>
      </c>
      <c r="U1378" t="s">
        <v>48664</v>
      </c>
      <c r="W1378" t="s">
        <v>42064</v>
      </c>
      <c r="X1378" t="s">
        <v>45098</v>
      </c>
    </row>
    <row r="1379" spans="1:24">
      <c r="A1379">
        <f>HYPERLINK("https://www.philgeps.gov.ph/GEPSNONPILOT/Tender/SplashBidNoticeAbstractUI.aspx?menuIndex=3&amp;refID=7045797&amp;Result=3","7045797")</f>
        <v>0</v>
      </c>
      <c r="B1379" t="s">
        <v>581</v>
      </c>
      <c r="C1379" t="s">
        <v>4516</v>
      </c>
      <c r="D1379" t="s">
        <v>18092</v>
      </c>
      <c r="E1379" t="s">
        <v>19393</v>
      </c>
      <c r="F1379" t="s">
        <v>31574</v>
      </c>
      <c r="G1379" t="s">
        <v>31582</v>
      </c>
      <c r="H1379" t="s">
        <v>31590</v>
      </c>
      <c r="I1379" t="s">
        <v>8822</v>
      </c>
      <c r="J1379" t="s">
        <v>32026</v>
      </c>
      <c r="K1379" t="s">
        <v>41189</v>
      </c>
      <c r="M1379" t="s">
        <v>42083</v>
      </c>
      <c r="N1379" t="s">
        <v>45095</v>
      </c>
      <c r="O1379" t="s">
        <v>45096</v>
      </c>
      <c r="P1379">
        <v>0</v>
      </c>
      <c r="Q1379">
        <v>0</v>
      </c>
      <c r="R1379" t="s">
        <v>45097</v>
      </c>
      <c r="S1379" t="s">
        <v>45222</v>
      </c>
      <c r="T1379" t="s">
        <v>47073</v>
      </c>
      <c r="U1379" t="s">
        <v>48665</v>
      </c>
      <c r="W1379" t="s">
        <v>42083</v>
      </c>
      <c r="X1379" t="s">
        <v>45098</v>
      </c>
    </row>
    <row r="1380" spans="1:24">
      <c r="A1380">
        <f>HYPERLINK("https://www.philgeps.gov.ph/GEPSNONPILOT/Tender/SplashBidNoticeAbstractUI.aspx?menuIndex=3&amp;refID=7045809&amp;Result=3","7045809")</f>
        <v>0</v>
      </c>
      <c r="B1380" t="s">
        <v>439</v>
      </c>
      <c r="C1380" t="s">
        <v>4517</v>
      </c>
      <c r="D1380" t="s">
        <v>18046</v>
      </c>
      <c r="E1380" t="s">
        <v>19394</v>
      </c>
      <c r="F1380" t="s">
        <v>31574</v>
      </c>
      <c r="G1380" t="s">
        <v>31581</v>
      </c>
      <c r="H1380" t="s">
        <v>31590</v>
      </c>
      <c r="I1380" t="s">
        <v>4327</v>
      </c>
      <c r="J1380" t="s">
        <v>31842</v>
      </c>
      <c r="K1380" t="s">
        <v>41184</v>
      </c>
      <c r="M1380" t="s">
        <v>41932</v>
      </c>
      <c r="N1380" t="s">
        <v>45095</v>
      </c>
      <c r="O1380" t="s">
        <v>45096</v>
      </c>
      <c r="P1380">
        <v>0</v>
      </c>
      <c r="Q1380">
        <v>0</v>
      </c>
      <c r="R1380" t="s">
        <v>45097</v>
      </c>
      <c r="S1380" t="s">
        <v>45222</v>
      </c>
      <c r="T1380" t="s">
        <v>46938</v>
      </c>
      <c r="U1380" t="s">
        <v>48621</v>
      </c>
      <c r="W1380" t="s">
        <v>41932</v>
      </c>
      <c r="X1380" t="s">
        <v>45098</v>
      </c>
    </row>
    <row r="1381" spans="1:24">
      <c r="A1381">
        <f>HYPERLINK("https://www.philgeps.gov.ph/GEPSNONPILOT/Tender/SplashBidNoticeAbstractUI.aspx?menuIndex=3&amp;refID=7045785&amp;Result=3","7045785")</f>
        <v>0</v>
      </c>
      <c r="B1381" t="s">
        <v>553</v>
      </c>
      <c r="C1381" t="s">
        <v>4518</v>
      </c>
      <c r="D1381" t="s">
        <v>18022</v>
      </c>
      <c r="E1381" t="s">
        <v>19395</v>
      </c>
      <c r="F1381" t="s">
        <v>31574</v>
      </c>
      <c r="G1381" t="s">
        <v>31581</v>
      </c>
      <c r="H1381" t="s">
        <v>31590</v>
      </c>
      <c r="I1381" t="s">
        <v>31673</v>
      </c>
      <c r="J1381" t="s">
        <v>32748</v>
      </c>
      <c r="K1381" t="s">
        <v>41184</v>
      </c>
      <c r="M1381" t="s">
        <v>42050</v>
      </c>
      <c r="N1381" t="s">
        <v>45095</v>
      </c>
      <c r="O1381" t="s">
        <v>45096</v>
      </c>
      <c r="P1381">
        <v>0</v>
      </c>
      <c r="Q1381">
        <v>0</v>
      </c>
      <c r="R1381" t="s">
        <v>45097</v>
      </c>
      <c r="S1381" t="s">
        <v>45222</v>
      </c>
      <c r="T1381" t="s">
        <v>46989</v>
      </c>
      <c r="U1381" t="s">
        <v>48588</v>
      </c>
      <c r="V1381" t="s">
        <v>59983</v>
      </c>
      <c r="W1381" t="s">
        <v>42050</v>
      </c>
      <c r="X1381" t="s">
        <v>45098</v>
      </c>
    </row>
    <row r="1382" spans="1:24">
      <c r="A1382">
        <f>HYPERLINK("https://www.philgeps.gov.ph/GEPSNONPILOT/Tender/SplashBidNoticeAbstractUI.aspx?menuIndex=3&amp;refID=7045781&amp;Result=3","7045781")</f>
        <v>0</v>
      </c>
      <c r="B1382" t="s">
        <v>582</v>
      </c>
      <c r="C1382" t="s">
        <v>4519</v>
      </c>
      <c r="D1382" t="s">
        <v>18099</v>
      </c>
      <c r="E1382" t="s">
        <v>19396</v>
      </c>
      <c r="F1382" t="s">
        <v>31574</v>
      </c>
      <c r="G1382" t="s">
        <v>31581</v>
      </c>
      <c r="H1382" t="s">
        <v>31590</v>
      </c>
      <c r="I1382" t="s">
        <v>31636</v>
      </c>
      <c r="J1382" t="s">
        <v>32749</v>
      </c>
      <c r="K1382" t="s">
        <v>41211</v>
      </c>
      <c r="M1382" t="s">
        <v>42084</v>
      </c>
      <c r="N1382" t="s">
        <v>45095</v>
      </c>
      <c r="O1382" t="s">
        <v>45096</v>
      </c>
      <c r="P1382">
        <v>0</v>
      </c>
      <c r="Q1382">
        <v>0</v>
      </c>
      <c r="R1382" t="s">
        <v>45097</v>
      </c>
      <c r="S1382" t="s">
        <v>45222</v>
      </c>
      <c r="T1382" t="s">
        <v>46946</v>
      </c>
      <c r="U1382" t="s">
        <v>48666</v>
      </c>
      <c r="W1382" t="s">
        <v>42084</v>
      </c>
      <c r="X1382" t="s">
        <v>45098</v>
      </c>
    </row>
    <row r="1383" spans="1:24">
      <c r="A1383">
        <f>HYPERLINK("https://www.philgeps.gov.ph/GEPSNONPILOT/Tender/SplashBidNoticeAbstractUI.aspx?menuIndex=3&amp;refID=7045791&amp;Result=3","7045791")</f>
        <v>0</v>
      </c>
      <c r="B1383" t="s">
        <v>583</v>
      </c>
      <c r="C1383" t="s">
        <v>4520</v>
      </c>
      <c r="D1383" t="s">
        <v>18044</v>
      </c>
      <c r="E1383" t="s">
        <v>19397</v>
      </c>
      <c r="F1383" t="s">
        <v>31574</v>
      </c>
      <c r="G1383" t="s">
        <v>31581</v>
      </c>
      <c r="H1383" t="s">
        <v>31590</v>
      </c>
      <c r="I1383" t="s">
        <v>6800</v>
      </c>
      <c r="J1383" t="s">
        <v>32750</v>
      </c>
      <c r="K1383" t="s">
        <v>41211</v>
      </c>
      <c r="M1383" t="s">
        <v>42085</v>
      </c>
      <c r="N1383" t="s">
        <v>45095</v>
      </c>
      <c r="O1383" t="s">
        <v>45096</v>
      </c>
      <c r="P1383">
        <v>0</v>
      </c>
      <c r="Q1383">
        <v>0</v>
      </c>
      <c r="R1383" t="s">
        <v>45097</v>
      </c>
      <c r="S1383" t="s">
        <v>45222</v>
      </c>
      <c r="T1383" t="s">
        <v>46934</v>
      </c>
      <c r="U1383" t="s">
        <v>48667</v>
      </c>
      <c r="W1383" t="s">
        <v>42085</v>
      </c>
      <c r="X1383" t="s">
        <v>45098</v>
      </c>
    </row>
    <row r="1384" spans="1:24">
      <c r="A1384">
        <f>HYPERLINK("https://www.philgeps.gov.ph/GEPSNONPILOT/Tender/SplashBidNoticeAbstractUI.aspx?menuIndex=3&amp;refID=7045819&amp;Result=3","7045819")</f>
        <v>0</v>
      </c>
      <c r="B1384" t="s">
        <v>575</v>
      </c>
      <c r="C1384" t="s">
        <v>4521</v>
      </c>
      <c r="D1384" t="s">
        <v>18027</v>
      </c>
      <c r="E1384" t="s">
        <v>19398</v>
      </c>
      <c r="F1384" t="s">
        <v>31574</v>
      </c>
      <c r="G1384" t="s">
        <v>31582</v>
      </c>
      <c r="H1384" t="s">
        <v>31590</v>
      </c>
      <c r="I1384" t="s">
        <v>31603</v>
      </c>
      <c r="J1384" t="s">
        <v>32751</v>
      </c>
      <c r="K1384" t="s">
        <v>41184</v>
      </c>
      <c r="M1384" t="s">
        <v>42076</v>
      </c>
      <c r="N1384" t="s">
        <v>45095</v>
      </c>
      <c r="O1384" t="s">
        <v>45096</v>
      </c>
      <c r="P1384">
        <v>0</v>
      </c>
      <c r="Q1384">
        <v>0</v>
      </c>
      <c r="R1384" t="s">
        <v>45097</v>
      </c>
      <c r="S1384" t="s">
        <v>45222</v>
      </c>
      <c r="T1384" t="s">
        <v>47056</v>
      </c>
      <c r="U1384" t="s">
        <v>48668</v>
      </c>
      <c r="W1384" t="s">
        <v>42076</v>
      </c>
      <c r="X1384" t="s">
        <v>45098</v>
      </c>
    </row>
    <row r="1385" spans="1:24">
      <c r="A1385">
        <f>HYPERLINK("https://www.philgeps.gov.ph/GEPSNONPILOT/Tender/SplashBidNoticeAbstractUI.aspx?menuIndex=3&amp;refID=7045811&amp;Result=3","7045811")</f>
        <v>0</v>
      </c>
      <c r="B1385" t="s">
        <v>239</v>
      </c>
      <c r="C1385" t="s">
        <v>3670</v>
      </c>
      <c r="D1385" t="s">
        <v>18024</v>
      </c>
      <c r="E1385" t="s">
        <v>19399</v>
      </c>
      <c r="F1385" t="s">
        <v>31574</v>
      </c>
      <c r="G1385" t="s">
        <v>31582</v>
      </c>
      <c r="H1385" t="s">
        <v>31590</v>
      </c>
      <c r="I1385" t="s">
        <v>6800</v>
      </c>
      <c r="J1385" t="s">
        <v>32752</v>
      </c>
      <c r="K1385" t="s">
        <v>41190</v>
      </c>
      <c r="M1385" t="s">
        <v>41725</v>
      </c>
      <c r="N1385" t="s">
        <v>45095</v>
      </c>
      <c r="O1385" t="s">
        <v>45096</v>
      </c>
      <c r="P1385">
        <v>0</v>
      </c>
      <c r="Q1385">
        <v>0</v>
      </c>
      <c r="R1385" t="s">
        <v>45097</v>
      </c>
      <c r="S1385" t="s">
        <v>45222</v>
      </c>
      <c r="T1385" t="s">
        <v>46996</v>
      </c>
      <c r="U1385" t="s">
        <v>47916</v>
      </c>
      <c r="W1385" t="s">
        <v>41725</v>
      </c>
      <c r="X1385" t="s">
        <v>45098</v>
      </c>
    </row>
    <row r="1386" spans="1:24">
      <c r="A1386">
        <f>HYPERLINK("https://www.philgeps.gov.ph/GEPSNONPILOT/Tender/SplashBidNoticeAbstractUI.aspx?menuIndex=3&amp;refID=7045821&amp;Result=3","7045821")</f>
        <v>0</v>
      </c>
      <c r="B1386" t="s">
        <v>550</v>
      </c>
      <c r="C1386" t="s">
        <v>4522</v>
      </c>
      <c r="D1386" t="s">
        <v>18035</v>
      </c>
      <c r="E1386" t="s">
        <v>19400</v>
      </c>
      <c r="F1386" t="s">
        <v>31574</v>
      </c>
      <c r="G1386" t="s">
        <v>31581</v>
      </c>
      <c r="H1386" t="s">
        <v>31591</v>
      </c>
      <c r="I1386" t="s">
        <v>8822</v>
      </c>
      <c r="J1386" t="s">
        <v>32753</v>
      </c>
      <c r="K1386" t="s">
        <v>41184</v>
      </c>
      <c r="M1386" t="s">
        <v>42047</v>
      </c>
      <c r="N1386" t="s">
        <v>45095</v>
      </c>
      <c r="O1386" t="s">
        <v>45096</v>
      </c>
      <c r="P1386">
        <v>0</v>
      </c>
      <c r="Q1386">
        <v>0</v>
      </c>
      <c r="R1386" t="s">
        <v>45097</v>
      </c>
      <c r="S1386" t="s">
        <v>45222</v>
      </c>
      <c r="T1386" t="s">
        <v>46949</v>
      </c>
      <c r="U1386" t="s">
        <v>48669</v>
      </c>
      <c r="W1386" t="s">
        <v>42047</v>
      </c>
      <c r="X1386" t="s">
        <v>45098</v>
      </c>
    </row>
    <row r="1387" spans="1:24">
      <c r="A1387">
        <f>HYPERLINK("https://www.philgeps.gov.ph/GEPSNONPILOT/Tender/SplashBidNoticeAbstractUI.aspx?menuIndex=3&amp;refID=7045818&amp;Result=3","7045818")</f>
        <v>0</v>
      </c>
      <c r="B1387" t="s">
        <v>41</v>
      </c>
      <c r="C1387" t="s">
        <v>4523</v>
      </c>
      <c r="D1387" t="s">
        <v>18036</v>
      </c>
      <c r="E1387" t="s">
        <v>19401</v>
      </c>
      <c r="F1387" t="s">
        <v>31574</v>
      </c>
      <c r="G1387" t="s">
        <v>31581</v>
      </c>
      <c r="H1387" t="s">
        <v>31590</v>
      </c>
      <c r="I1387" t="s">
        <v>4046</v>
      </c>
      <c r="J1387" t="s">
        <v>32754</v>
      </c>
      <c r="K1387" t="s">
        <v>41189</v>
      </c>
      <c r="M1387" t="s">
        <v>41524</v>
      </c>
      <c r="N1387" t="s">
        <v>45095</v>
      </c>
      <c r="O1387" t="s">
        <v>45096</v>
      </c>
      <c r="P1387">
        <v>0</v>
      </c>
      <c r="Q1387">
        <v>0</v>
      </c>
      <c r="R1387" t="s">
        <v>45097</v>
      </c>
      <c r="S1387" t="s">
        <v>45222</v>
      </c>
      <c r="T1387" t="s">
        <v>46926</v>
      </c>
      <c r="U1387" t="s">
        <v>48670</v>
      </c>
      <c r="W1387" t="s">
        <v>41524</v>
      </c>
      <c r="X1387" t="s">
        <v>45098</v>
      </c>
    </row>
    <row r="1388" spans="1:24">
      <c r="A1388">
        <f>HYPERLINK("https://www.philgeps.gov.ph/GEPSNONPILOT/Tender/SplashBidNoticeAbstractUI.aspx?menuIndex=3&amp;refID=7045807&amp;Result=3","7045807")</f>
        <v>0</v>
      </c>
      <c r="B1388" t="s">
        <v>291</v>
      </c>
      <c r="C1388" t="s">
        <v>4524</v>
      </c>
      <c r="D1388" t="s">
        <v>18091</v>
      </c>
      <c r="E1388" t="s">
        <v>19402</v>
      </c>
      <c r="F1388" t="s">
        <v>31574</v>
      </c>
      <c r="G1388" t="s">
        <v>31581</v>
      </c>
      <c r="H1388" t="s">
        <v>31590</v>
      </c>
      <c r="I1388" t="s">
        <v>6800</v>
      </c>
      <c r="J1388" t="s">
        <v>32755</v>
      </c>
      <c r="K1388" t="s">
        <v>41193</v>
      </c>
      <c r="M1388" t="s">
        <v>41777</v>
      </c>
      <c r="N1388" t="s">
        <v>45095</v>
      </c>
      <c r="O1388" t="s">
        <v>45096</v>
      </c>
      <c r="P1388">
        <v>0</v>
      </c>
      <c r="Q1388">
        <v>0</v>
      </c>
      <c r="R1388" t="s">
        <v>45097</v>
      </c>
      <c r="S1388" t="s">
        <v>45222</v>
      </c>
      <c r="T1388" t="s">
        <v>46926</v>
      </c>
      <c r="U1388" t="s">
        <v>48671</v>
      </c>
      <c r="V1388" t="s">
        <v>59918</v>
      </c>
      <c r="W1388" t="s">
        <v>41777</v>
      </c>
      <c r="X1388" t="s">
        <v>45098</v>
      </c>
    </row>
    <row r="1389" spans="1:24">
      <c r="A1389">
        <f>HYPERLINK("https://www.philgeps.gov.ph/GEPSNONPILOT/Tender/SplashBidNoticeAbstractUI.aspx?menuIndex=3&amp;refID=7045810&amp;Result=3","7045810")</f>
        <v>0</v>
      </c>
      <c r="B1389" t="s">
        <v>564</v>
      </c>
      <c r="C1389" t="s">
        <v>4525</v>
      </c>
      <c r="D1389" t="s">
        <v>18057</v>
      </c>
      <c r="E1389" t="s">
        <v>19403</v>
      </c>
      <c r="F1389" t="s">
        <v>31574</v>
      </c>
      <c r="G1389" t="s">
        <v>31581</v>
      </c>
      <c r="H1389" t="s">
        <v>31590</v>
      </c>
      <c r="I1389" t="s">
        <v>31594</v>
      </c>
      <c r="J1389" t="s">
        <v>32756</v>
      </c>
      <c r="K1389" t="s">
        <v>41211</v>
      </c>
      <c r="M1389" t="s">
        <v>42063</v>
      </c>
      <c r="N1389" t="s">
        <v>45095</v>
      </c>
      <c r="O1389" t="s">
        <v>45096</v>
      </c>
      <c r="P1389">
        <v>0</v>
      </c>
      <c r="Q1389">
        <v>0</v>
      </c>
      <c r="R1389" t="s">
        <v>45097</v>
      </c>
      <c r="S1389" t="s">
        <v>45222</v>
      </c>
      <c r="T1389" t="s">
        <v>46971</v>
      </c>
      <c r="U1389" t="s">
        <v>48625</v>
      </c>
      <c r="W1389" t="s">
        <v>42063</v>
      </c>
      <c r="X1389" t="s">
        <v>45098</v>
      </c>
    </row>
    <row r="1390" spans="1:24">
      <c r="A1390">
        <f>HYPERLINK("https://www.philgeps.gov.ph/GEPSNONPILOT/Tender/SplashBidNoticeAbstractUI.aspx?menuIndex=3&amp;refID=7045814&amp;Result=3","7045814")</f>
        <v>0</v>
      </c>
      <c r="B1390" t="s">
        <v>584</v>
      </c>
      <c r="C1390" t="s">
        <v>4526</v>
      </c>
      <c r="D1390" t="s">
        <v>18043</v>
      </c>
      <c r="E1390" t="s">
        <v>19404</v>
      </c>
      <c r="F1390" t="s">
        <v>31574</v>
      </c>
      <c r="G1390" t="s">
        <v>31581</v>
      </c>
      <c r="H1390" t="s">
        <v>31590</v>
      </c>
      <c r="I1390" t="s">
        <v>31607</v>
      </c>
      <c r="J1390" t="s">
        <v>32757</v>
      </c>
      <c r="K1390" t="s">
        <v>41186</v>
      </c>
      <c r="M1390" t="s">
        <v>42086</v>
      </c>
      <c r="N1390" t="s">
        <v>45095</v>
      </c>
      <c r="O1390" t="s">
        <v>45096</v>
      </c>
      <c r="P1390">
        <v>0</v>
      </c>
      <c r="Q1390">
        <v>0</v>
      </c>
      <c r="R1390" t="s">
        <v>45097</v>
      </c>
      <c r="S1390" t="s">
        <v>45222</v>
      </c>
      <c r="T1390" t="s">
        <v>47014</v>
      </c>
      <c r="U1390" t="s">
        <v>48672</v>
      </c>
      <c r="W1390" t="s">
        <v>42086</v>
      </c>
      <c r="X1390" t="s">
        <v>45098</v>
      </c>
    </row>
    <row r="1391" spans="1:24">
      <c r="A1391">
        <f>HYPERLINK("https://www.philgeps.gov.ph/GEPSNONPILOT/Tender/SplashBidNoticeAbstractUI.aspx?menuIndex=3&amp;refID=7045823&amp;Result=3","7045823")</f>
        <v>0</v>
      </c>
      <c r="B1391" t="s">
        <v>50</v>
      </c>
      <c r="C1391" t="s">
        <v>4527</v>
      </c>
      <c r="D1391" t="s">
        <v>18042</v>
      </c>
      <c r="E1391" t="s">
        <v>19372</v>
      </c>
      <c r="F1391" t="s">
        <v>31574</v>
      </c>
      <c r="G1391" t="s">
        <v>31582</v>
      </c>
      <c r="H1391" t="s">
        <v>31590</v>
      </c>
      <c r="I1391" t="s">
        <v>3487</v>
      </c>
      <c r="J1391" t="s">
        <v>32758</v>
      </c>
      <c r="K1391" t="s">
        <v>41186</v>
      </c>
      <c r="M1391" t="s">
        <v>41533</v>
      </c>
      <c r="N1391" t="s">
        <v>45095</v>
      </c>
      <c r="O1391" t="s">
        <v>45096</v>
      </c>
      <c r="P1391">
        <v>0</v>
      </c>
      <c r="Q1391">
        <v>0</v>
      </c>
      <c r="R1391" t="s">
        <v>45097</v>
      </c>
      <c r="S1391" t="s">
        <v>45222</v>
      </c>
      <c r="T1391" t="s">
        <v>46916</v>
      </c>
      <c r="U1391" t="s">
        <v>48645</v>
      </c>
      <c r="W1391" t="s">
        <v>41533</v>
      </c>
      <c r="X1391" t="s">
        <v>45098</v>
      </c>
    </row>
    <row r="1392" spans="1:24">
      <c r="A1392">
        <f>HYPERLINK("https://www.philgeps.gov.ph/GEPSNONPILOT/Tender/SplashBidNoticeAbstractUI.aspx?menuIndex=3&amp;refID=7045815&amp;Result=3","7045815")</f>
        <v>0</v>
      </c>
      <c r="B1392" t="s">
        <v>585</v>
      </c>
      <c r="C1392" t="s">
        <v>4528</v>
      </c>
      <c r="D1392" t="s">
        <v>18089</v>
      </c>
      <c r="E1392" t="s">
        <v>19405</v>
      </c>
      <c r="F1392" t="s">
        <v>31574</v>
      </c>
      <c r="G1392" t="s">
        <v>31581</v>
      </c>
      <c r="H1392" t="s">
        <v>31590</v>
      </c>
      <c r="I1392" t="s">
        <v>4046</v>
      </c>
      <c r="J1392" t="s">
        <v>32640</v>
      </c>
      <c r="K1392" t="s">
        <v>41193</v>
      </c>
      <c r="M1392" t="s">
        <v>42087</v>
      </c>
      <c r="N1392" t="s">
        <v>45095</v>
      </c>
      <c r="O1392" t="s">
        <v>45096</v>
      </c>
      <c r="P1392">
        <v>0</v>
      </c>
      <c r="Q1392">
        <v>0</v>
      </c>
      <c r="R1392" t="s">
        <v>45097</v>
      </c>
      <c r="S1392" t="s">
        <v>45222</v>
      </c>
      <c r="T1392" t="s">
        <v>46949</v>
      </c>
      <c r="U1392" t="s">
        <v>48673</v>
      </c>
      <c r="V1392" t="s">
        <v>59984</v>
      </c>
      <c r="W1392" t="s">
        <v>42087</v>
      </c>
      <c r="X1392" t="s">
        <v>45098</v>
      </c>
    </row>
    <row r="1393" spans="1:24">
      <c r="A1393">
        <f>HYPERLINK("https://www.philgeps.gov.ph/GEPSNONPILOT/Tender/SplashBidNoticeAbstractUI.aspx?menuIndex=3&amp;refID=7045829&amp;Result=3","7045829")</f>
        <v>0</v>
      </c>
      <c r="B1393" t="s">
        <v>586</v>
      </c>
      <c r="C1393" t="s">
        <v>4529</v>
      </c>
      <c r="D1393" t="s">
        <v>18079</v>
      </c>
      <c r="E1393" t="s">
        <v>19406</v>
      </c>
      <c r="F1393" t="s">
        <v>31574</v>
      </c>
      <c r="G1393" t="s">
        <v>31581</v>
      </c>
      <c r="H1393" t="s">
        <v>31590</v>
      </c>
      <c r="I1393" t="s">
        <v>8258</v>
      </c>
      <c r="J1393" t="s">
        <v>31789</v>
      </c>
      <c r="K1393" t="s">
        <v>41196</v>
      </c>
      <c r="M1393" t="s">
        <v>42088</v>
      </c>
      <c r="N1393" t="s">
        <v>45095</v>
      </c>
      <c r="O1393" t="s">
        <v>45096</v>
      </c>
      <c r="P1393">
        <v>0</v>
      </c>
      <c r="Q1393">
        <v>0</v>
      </c>
      <c r="R1393" t="s">
        <v>45097</v>
      </c>
      <c r="S1393" t="s">
        <v>45222</v>
      </c>
      <c r="T1393" t="s">
        <v>46946</v>
      </c>
      <c r="U1393" t="s">
        <v>48674</v>
      </c>
      <c r="W1393" t="s">
        <v>42088</v>
      </c>
      <c r="X1393" t="s">
        <v>45098</v>
      </c>
    </row>
    <row r="1394" spans="1:24">
      <c r="A1394">
        <f>HYPERLINK("https://www.philgeps.gov.ph/GEPSNONPILOT/Tender/SplashBidNoticeAbstractUI.aspx?menuIndex=3&amp;refID=7045828&amp;Result=3","7045828")</f>
        <v>0</v>
      </c>
      <c r="B1394" t="s">
        <v>587</v>
      </c>
      <c r="C1394" t="s">
        <v>4530</v>
      </c>
      <c r="D1394" t="s">
        <v>18022</v>
      </c>
      <c r="E1394" t="s">
        <v>19407</v>
      </c>
      <c r="F1394" t="s">
        <v>31574</v>
      </c>
      <c r="G1394" t="s">
        <v>31581</v>
      </c>
      <c r="H1394" t="s">
        <v>31590</v>
      </c>
      <c r="I1394" t="s">
        <v>7185</v>
      </c>
      <c r="J1394" t="s">
        <v>32759</v>
      </c>
      <c r="K1394" t="s">
        <v>41186</v>
      </c>
      <c r="M1394" t="s">
        <v>42089</v>
      </c>
      <c r="N1394" t="s">
        <v>45095</v>
      </c>
      <c r="O1394" t="s">
        <v>45096</v>
      </c>
      <c r="P1394">
        <v>0</v>
      </c>
      <c r="Q1394">
        <v>0</v>
      </c>
      <c r="R1394" t="s">
        <v>45097</v>
      </c>
      <c r="S1394" t="s">
        <v>45222</v>
      </c>
      <c r="T1394" t="s">
        <v>47068</v>
      </c>
      <c r="U1394" t="s">
        <v>48675</v>
      </c>
      <c r="W1394" t="s">
        <v>42089</v>
      </c>
      <c r="X1394" t="s">
        <v>45098</v>
      </c>
    </row>
    <row r="1395" spans="1:24">
      <c r="A1395">
        <f>HYPERLINK("https://www.philgeps.gov.ph/GEPSNONPILOT/Tender/SplashBidNoticeAbstractUI.aspx?menuIndex=3&amp;refID=7045822&amp;Result=3","7045822")</f>
        <v>0</v>
      </c>
      <c r="B1395" t="s">
        <v>290</v>
      </c>
      <c r="C1395" t="s">
        <v>4531</v>
      </c>
      <c r="D1395" t="s">
        <v>18043</v>
      </c>
      <c r="E1395" t="s">
        <v>19408</v>
      </c>
      <c r="F1395" t="s">
        <v>31574</v>
      </c>
      <c r="G1395" t="s">
        <v>31582</v>
      </c>
      <c r="H1395" t="s">
        <v>31590</v>
      </c>
      <c r="I1395" t="s">
        <v>7162</v>
      </c>
      <c r="J1395" t="s">
        <v>32760</v>
      </c>
      <c r="K1395" t="s">
        <v>41192</v>
      </c>
      <c r="M1395" t="s">
        <v>42052</v>
      </c>
      <c r="N1395" t="s">
        <v>45095</v>
      </c>
      <c r="O1395" t="s">
        <v>45096</v>
      </c>
      <c r="P1395">
        <v>0</v>
      </c>
      <c r="Q1395">
        <v>0</v>
      </c>
      <c r="R1395" t="s">
        <v>45097</v>
      </c>
      <c r="S1395" t="s">
        <v>45222</v>
      </c>
      <c r="T1395" t="s">
        <v>46916</v>
      </c>
      <c r="U1395" t="s">
        <v>48590</v>
      </c>
      <c r="W1395" t="s">
        <v>42052</v>
      </c>
      <c r="X1395" t="s">
        <v>45098</v>
      </c>
    </row>
    <row r="1396" spans="1:24">
      <c r="A1396">
        <f>HYPERLINK("https://www.philgeps.gov.ph/GEPSNONPILOT/Tender/SplashBidNoticeAbstractUI.aspx?menuIndex=3&amp;refID=7045824&amp;Result=3","7045824")</f>
        <v>0</v>
      </c>
      <c r="B1396" t="s">
        <v>452</v>
      </c>
      <c r="C1396" t="s">
        <v>4532</v>
      </c>
      <c r="D1396" t="s">
        <v>18022</v>
      </c>
      <c r="E1396" t="s">
        <v>19409</v>
      </c>
      <c r="F1396" t="s">
        <v>31574</v>
      </c>
      <c r="G1396" t="s">
        <v>31581</v>
      </c>
      <c r="H1396" t="s">
        <v>31590</v>
      </c>
      <c r="I1396" t="s">
        <v>31608</v>
      </c>
      <c r="J1396" t="s">
        <v>31907</v>
      </c>
      <c r="K1396" t="s">
        <v>41196</v>
      </c>
      <c r="M1396" t="s">
        <v>41946</v>
      </c>
      <c r="N1396" t="s">
        <v>45095</v>
      </c>
      <c r="O1396" t="s">
        <v>45096</v>
      </c>
      <c r="P1396">
        <v>0</v>
      </c>
      <c r="Q1396">
        <v>0</v>
      </c>
      <c r="R1396" t="s">
        <v>45097</v>
      </c>
      <c r="S1396" t="s">
        <v>45222</v>
      </c>
      <c r="T1396" t="s">
        <v>47039</v>
      </c>
      <c r="U1396" t="s">
        <v>48375</v>
      </c>
      <c r="V1396" t="s">
        <v>59943</v>
      </c>
      <c r="W1396" t="s">
        <v>41946</v>
      </c>
      <c r="X1396" t="s">
        <v>45098</v>
      </c>
    </row>
    <row r="1397" spans="1:24">
      <c r="A1397">
        <f>HYPERLINK("https://www.philgeps.gov.ph/GEPSNONPILOT/Tender/SplashBidNoticeAbstractUI.aspx?menuIndex=3&amp;refID=7045817&amp;Result=3","7045817")</f>
        <v>0</v>
      </c>
      <c r="B1397" t="s">
        <v>588</v>
      </c>
      <c r="C1397" t="s">
        <v>4533</v>
      </c>
      <c r="D1397" t="s">
        <v>18064</v>
      </c>
      <c r="E1397" t="s">
        <v>19410</v>
      </c>
      <c r="F1397" t="s">
        <v>31574</v>
      </c>
      <c r="G1397" t="s">
        <v>31581</v>
      </c>
      <c r="H1397" t="s">
        <v>31590</v>
      </c>
      <c r="I1397" t="s">
        <v>31602</v>
      </c>
      <c r="J1397" t="s">
        <v>32761</v>
      </c>
      <c r="K1397" t="s">
        <v>41213</v>
      </c>
      <c r="M1397" t="s">
        <v>42090</v>
      </c>
      <c r="N1397" t="s">
        <v>45095</v>
      </c>
      <c r="O1397" t="s">
        <v>45096</v>
      </c>
      <c r="P1397">
        <v>0</v>
      </c>
      <c r="Q1397">
        <v>0</v>
      </c>
      <c r="R1397" t="s">
        <v>45097</v>
      </c>
      <c r="S1397" t="s">
        <v>45222</v>
      </c>
      <c r="T1397" t="s">
        <v>46913</v>
      </c>
      <c r="U1397" t="s">
        <v>48676</v>
      </c>
      <c r="W1397" t="s">
        <v>42090</v>
      </c>
      <c r="X1397" t="s">
        <v>45098</v>
      </c>
    </row>
    <row r="1398" spans="1:24">
      <c r="A1398">
        <f>HYPERLINK("https://www.philgeps.gov.ph/GEPSNONPILOT/Tender/SplashBidNoticeAbstractUI.aspx?menuIndex=3&amp;refID=7045826&amp;Result=3","7045826")</f>
        <v>0</v>
      </c>
      <c r="B1398" t="s">
        <v>508</v>
      </c>
      <c r="C1398" t="s">
        <v>4534</v>
      </c>
      <c r="D1398" t="s">
        <v>18023</v>
      </c>
      <c r="E1398" t="s">
        <v>19411</v>
      </c>
      <c r="F1398" t="s">
        <v>31574</v>
      </c>
      <c r="G1398" t="s">
        <v>31581</v>
      </c>
      <c r="H1398" t="s">
        <v>31590</v>
      </c>
      <c r="I1398" t="s">
        <v>8258</v>
      </c>
      <c r="J1398" t="s">
        <v>32762</v>
      </c>
      <c r="K1398" t="s">
        <v>41184</v>
      </c>
      <c r="M1398" t="s">
        <v>42004</v>
      </c>
      <c r="N1398" t="s">
        <v>45095</v>
      </c>
      <c r="O1398" t="s">
        <v>45096</v>
      </c>
      <c r="P1398">
        <v>0</v>
      </c>
      <c r="Q1398">
        <v>0</v>
      </c>
      <c r="R1398" t="s">
        <v>45097</v>
      </c>
      <c r="S1398" t="s">
        <v>45222</v>
      </c>
      <c r="T1398" t="s">
        <v>46904</v>
      </c>
      <c r="U1398" t="s">
        <v>48544</v>
      </c>
      <c r="V1398" t="s">
        <v>59985</v>
      </c>
      <c r="W1398" t="s">
        <v>42004</v>
      </c>
      <c r="X1398" t="s">
        <v>45098</v>
      </c>
    </row>
    <row r="1399" spans="1:24">
      <c r="A1399">
        <f>HYPERLINK("https://www.philgeps.gov.ph/GEPSNONPILOT/Tender/SplashBidNoticeAbstractUI.aspx?menuIndex=3&amp;refID=7045827&amp;Result=3","7045827")</f>
        <v>0</v>
      </c>
      <c r="B1399" t="s">
        <v>216</v>
      </c>
      <c r="C1399" t="s">
        <v>4535</v>
      </c>
      <c r="D1399" t="s">
        <v>18058</v>
      </c>
      <c r="E1399" t="s">
        <v>19412</v>
      </c>
      <c r="F1399" t="s">
        <v>31574</v>
      </c>
      <c r="G1399" t="s">
        <v>31583</v>
      </c>
      <c r="H1399" t="s">
        <v>31590</v>
      </c>
      <c r="I1399" t="s">
        <v>31595</v>
      </c>
      <c r="J1399" t="s">
        <v>31845</v>
      </c>
      <c r="K1399" t="s">
        <v>41193</v>
      </c>
      <c r="M1399" t="s">
        <v>41701</v>
      </c>
      <c r="N1399" t="s">
        <v>45095</v>
      </c>
      <c r="O1399" t="s">
        <v>45096</v>
      </c>
      <c r="P1399">
        <v>0</v>
      </c>
      <c r="Q1399">
        <v>0</v>
      </c>
      <c r="R1399" t="s">
        <v>45097</v>
      </c>
      <c r="S1399" t="s">
        <v>45222</v>
      </c>
      <c r="T1399" t="s">
        <v>46932</v>
      </c>
      <c r="U1399" t="s">
        <v>48677</v>
      </c>
      <c r="W1399" t="s">
        <v>41701</v>
      </c>
      <c r="X1399" t="s">
        <v>45098</v>
      </c>
    </row>
    <row r="1400" spans="1:24">
      <c r="A1400">
        <f>HYPERLINK("https://www.philgeps.gov.ph/GEPSNONPILOT/Tender/SplashBidNoticeAbstractUI.aspx?menuIndex=3&amp;refID=7045816&amp;Result=3","7045816")</f>
        <v>0</v>
      </c>
      <c r="B1400" t="s">
        <v>191</v>
      </c>
      <c r="C1400" t="s">
        <v>4536</v>
      </c>
      <c r="D1400" t="s">
        <v>18082</v>
      </c>
      <c r="E1400" t="s">
        <v>19413</v>
      </c>
      <c r="F1400" t="s">
        <v>31574</v>
      </c>
      <c r="G1400" t="s">
        <v>31582</v>
      </c>
      <c r="H1400" t="s">
        <v>31591</v>
      </c>
      <c r="I1400" t="s">
        <v>8822</v>
      </c>
      <c r="J1400" t="s">
        <v>32232</v>
      </c>
      <c r="K1400" t="s">
        <v>41184</v>
      </c>
      <c r="M1400" t="s">
        <v>41676</v>
      </c>
      <c r="N1400" t="s">
        <v>45095</v>
      </c>
      <c r="O1400" t="s">
        <v>45096</v>
      </c>
      <c r="P1400">
        <v>0</v>
      </c>
      <c r="Q1400">
        <v>0</v>
      </c>
      <c r="R1400" t="s">
        <v>45097</v>
      </c>
      <c r="S1400" t="s">
        <v>45222</v>
      </c>
      <c r="T1400" t="s">
        <v>46924</v>
      </c>
      <c r="U1400" t="s">
        <v>47828</v>
      </c>
      <c r="W1400" t="s">
        <v>41676</v>
      </c>
      <c r="X1400" t="s">
        <v>45098</v>
      </c>
    </row>
    <row r="1401" spans="1:24">
      <c r="A1401">
        <f>HYPERLINK("https://www.philgeps.gov.ph/GEPSNONPILOT/Tender/SplashBidNoticeAbstractUI.aspx?menuIndex=3&amp;refID=7045830&amp;Result=3","7045830")</f>
        <v>0</v>
      </c>
      <c r="B1401" t="s">
        <v>323</v>
      </c>
      <c r="C1401" t="s">
        <v>4537</v>
      </c>
      <c r="D1401" t="s">
        <v>18022</v>
      </c>
      <c r="E1401" t="s">
        <v>19414</v>
      </c>
      <c r="F1401" t="s">
        <v>31574</v>
      </c>
      <c r="G1401" t="s">
        <v>31581</v>
      </c>
      <c r="H1401" t="s">
        <v>31590</v>
      </c>
      <c r="I1401" t="s">
        <v>4046</v>
      </c>
      <c r="J1401" t="s">
        <v>32763</v>
      </c>
      <c r="K1401" t="s">
        <v>41196</v>
      </c>
      <c r="M1401" t="s">
        <v>41811</v>
      </c>
      <c r="N1401" t="s">
        <v>45095</v>
      </c>
      <c r="O1401" t="s">
        <v>45096</v>
      </c>
      <c r="P1401">
        <v>0</v>
      </c>
      <c r="Q1401">
        <v>0</v>
      </c>
      <c r="R1401" t="s">
        <v>45097</v>
      </c>
      <c r="S1401" t="s">
        <v>45222</v>
      </c>
      <c r="T1401" t="s">
        <v>46913</v>
      </c>
      <c r="U1401" t="s">
        <v>48678</v>
      </c>
      <c r="V1401" t="s">
        <v>59886</v>
      </c>
      <c r="W1401" t="s">
        <v>41811</v>
      </c>
      <c r="X1401" t="s">
        <v>45098</v>
      </c>
    </row>
    <row r="1402" spans="1:24">
      <c r="A1402">
        <f>HYPERLINK("https://www.philgeps.gov.ph/GEPSNONPILOT/Tender/SplashBidNoticeAbstractUI.aspx?menuIndex=3&amp;refID=7045825&amp;Result=3","7045825")</f>
        <v>0</v>
      </c>
      <c r="B1402" t="s">
        <v>581</v>
      </c>
      <c r="C1402" t="s">
        <v>4538</v>
      </c>
      <c r="D1402" t="s">
        <v>18092</v>
      </c>
      <c r="E1402" t="s">
        <v>19415</v>
      </c>
      <c r="F1402" t="s">
        <v>31574</v>
      </c>
      <c r="G1402" t="s">
        <v>31582</v>
      </c>
      <c r="H1402" t="s">
        <v>31591</v>
      </c>
      <c r="I1402" t="s">
        <v>8822</v>
      </c>
      <c r="J1402" t="s">
        <v>31935</v>
      </c>
      <c r="K1402" t="s">
        <v>41189</v>
      </c>
      <c r="M1402" t="s">
        <v>42083</v>
      </c>
      <c r="N1402" t="s">
        <v>45095</v>
      </c>
      <c r="O1402" t="s">
        <v>45096</v>
      </c>
      <c r="P1402">
        <v>0</v>
      </c>
      <c r="Q1402">
        <v>0</v>
      </c>
      <c r="R1402" t="s">
        <v>45097</v>
      </c>
      <c r="S1402" t="s">
        <v>45222</v>
      </c>
      <c r="T1402" t="s">
        <v>47073</v>
      </c>
      <c r="U1402" t="s">
        <v>48679</v>
      </c>
      <c r="W1402" t="s">
        <v>42083</v>
      </c>
      <c r="X1402" t="s">
        <v>45098</v>
      </c>
    </row>
    <row r="1403" spans="1:24">
      <c r="A1403">
        <f>HYPERLINK("https://www.philgeps.gov.ph/GEPSNONPILOT/Tender/SplashBidNoticeAbstractUI.aspx?menuIndex=3&amp;refID=7045832&amp;Result=3","7045832")</f>
        <v>0</v>
      </c>
      <c r="B1403" t="s">
        <v>416</v>
      </c>
      <c r="C1403" t="s">
        <v>4539</v>
      </c>
      <c r="D1403" t="s">
        <v>18046</v>
      </c>
      <c r="E1403" t="s">
        <v>19416</v>
      </c>
      <c r="F1403" t="s">
        <v>31574</v>
      </c>
      <c r="G1403" t="s">
        <v>31582</v>
      </c>
      <c r="H1403" t="s">
        <v>31590</v>
      </c>
      <c r="I1403" t="s">
        <v>14544</v>
      </c>
      <c r="J1403" t="s">
        <v>32764</v>
      </c>
      <c r="K1403" t="s">
        <v>41196</v>
      </c>
      <c r="M1403" t="s">
        <v>41908</v>
      </c>
      <c r="N1403" t="s">
        <v>45095</v>
      </c>
      <c r="O1403" t="s">
        <v>45096</v>
      </c>
      <c r="P1403">
        <v>0</v>
      </c>
      <c r="Q1403">
        <v>0</v>
      </c>
      <c r="R1403" t="s">
        <v>45097</v>
      </c>
      <c r="S1403" t="s">
        <v>45222</v>
      </c>
      <c r="T1403" t="s">
        <v>46930</v>
      </c>
      <c r="U1403" t="s">
        <v>48680</v>
      </c>
      <c r="W1403" t="s">
        <v>41908</v>
      </c>
      <c r="X1403" t="s">
        <v>45098</v>
      </c>
    </row>
    <row r="1404" spans="1:24">
      <c r="A1404">
        <f>HYPERLINK("https://www.philgeps.gov.ph/GEPSNONPILOT/Tender/SplashBidNoticeAbstractUI.aspx?menuIndex=3&amp;refID=7045842&amp;Result=3","7045842")</f>
        <v>0</v>
      </c>
      <c r="B1404" t="s">
        <v>579</v>
      </c>
      <c r="C1404" t="s">
        <v>4540</v>
      </c>
      <c r="D1404" t="s">
        <v>18022</v>
      </c>
      <c r="E1404" t="s">
        <v>19417</v>
      </c>
      <c r="F1404" t="s">
        <v>31574</v>
      </c>
      <c r="G1404" t="s">
        <v>31582</v>
      </c>
      <c r="H1404" t="s">
        <v>31590</v>
      </c>
      <c r="I1404" t="s">
        <v>31665</v>
      </c>
      <c r="J1404" t="s">
        <v>32765</v>
      </c>
      <c r="K1404" t="s">
        <v>41216</v>
      </c>
      <c r="M1404" t="s">
        <v>42081</v>
      </c>
      <c r="N1404" t="s">
        <v>45095</v>
      </c>
      <c r="O1404" t="s">
        <v>45096</v>
      </c>
      <c r="P1404">
        <v>0</v>
      </c>
      <c r="Q1404">
        <v>0</v>
      </c>
      <c r="R1404" t="s">
        <v>45097</v>
      </c>
      <c r="S1404" t="s">
        <v>45222</v>
      </c>
      <c r="T1404" t="s">
        <v>47072</v>
      </c>
      <c r="U1404" t="s">
        <v>48681</v>
      </c>
      <c r="W1404" t="s">
        <v>42081</v>
      </c>
      <c r="X1404" t="s">
        <v>45098</v>
      </c>
    </row>
    <row r="1405" spans="1:24">
      <c r="A1405">
        <f>HYPERLINK("https://www.philgeps.gov.ph/GEPSNONPILOT/Tender/SplashBidNoticeAbstractUI.aspx?menuIndex=3&amp;refID=7045831&amp;Result=3","7045831")</f>
        <v>0</v>
      </c>
      <c r="B1405" t="s">
        <v>75</v>
      </c>
      <c r="C1405" t="s">
        <v>4541</v>
      </c>
      <c r="D1405" t="s">
        <v>18054</v>
      </c>
      <c r="E1405" t="s">
        <v>19418</v>
      </c>
      <c r="F1405" t="s">
        <v>31574</v>
      </c>
      <c r="G1405" t="s">
        <v>31584</v>
      </c>
      <c r="H1405" t="s">
        <v>31590</v>
      </c>
      <c r="I1405" t="s">
        <v>14544</v>
      </c>
      <c r="J1405" t="s">
        <v>32766</v>
      </c>
      <c r="K1405" t="s">
        <v>41186</v>
      </c>
      <c r="M1405" t="s">
        <v>41559</v>
      </c>
      <c r="N1405" t="s">
        <v>45095</v>
      </c>
      <c r="O1405" t="s">
        <v>45096</v>
      </c>
      <c r="P1405">
        <v>0</v>
      </c>
      <c r="Q1405">
        <v>0</v>
      </c>
      <c r="R1405" t="s">
        <v>45097</v>
      </c>
      <c r="S1405" t="s">
        <v>45222</v>
      </c>
      <c r="T1405" t="s">
        <v>46918</v>
      </c>
      <c r="U1405" t="s">
        <v>48682</v>
      </c>
      <c r="W1405" t="s">
        <v>41559</v>
      </c>
      <c r="X1405" t="s">
        <v>45098</v>
      </c>
    </row>
    <row r="1406" spans="1:24">
      <c r="A1406">
        <f>HYPERLINK("https://www.philgeps.gov.ph/GEPSNONPILOT/Tender/SplashBidNoticeAbstractUI.aspx?menuIndex=3&amp;refID=7045853&amp;Result=3","7045853")</f>
        <v>0</v>
      </c>
      <c r="B1406" t="s">
        <v>589</v>
      </c>
      <c r="C1406" t="s">
        <v>4542</v>
      </c>
      <c r="D1406" t="s">
        <v>18079</v>
      </c>
      <c r="E1406" t="s">
        <v>19419</v>
      </c>
      <c r="F1406" t="s">
        <v>31574</v>
      </c>
      <c r="G1406" t="s">
        <v>31581</v>
      </c>
      <c r="H1406" t="s">
        <v>31592</v>
      </c>
      <c r="I1406" t="s">
        <v>4677</v>
      </c>
      <c r="J1406" t="s">
        <v>31753</v>
      </c>
      <c r="K1406" t="s">
        <v>41202</v>
      </c>
      <c r="M1406" t="s">
        <v>42091</v>
      </c>
      <c r="N1406" t="s">
        <v>45095</v>
      </c>
      <c r="O1406" t="s">
        <v>45096</v>
      </c>
      <c r="P1406">
        <v>0</v>
      </c>
      <c r="Q1406">
        <v>0</v>
      </c>
      <c r="R1406" t="s">
        <v>45097</v>
      </c>
      <c r="S1406" t="s">
        <v>45222</v>
      </c>
      <c r="T1406" t="s">
        <v>46968</v>
      </c>
      <c r="U1406" t="s">
        <v>48683</v>
      </c>
      <c r="W1406" t="s">
        <v>61673</v>
      </c>
      <c r="X1406" t="s">
        <v>45098</v>
      </c>
    </row>
    <row r="1407" spans="1:24">
      <c r="A1407">
        <f>HYPERLINK("https://www.philgeps.gov.ph/GEPSNONPILOT/Tender/SplashBidNoticeAbstractUI.aspx?menuIndex=3&amp;refID=7045839&amp;Result=3","7045839")</f>
        <v>0</v>
      </c>
      <c r="B1407" t="s">
        <v>590</v>
      </c>
      <c r="C1407" t="s">
        <v>4543</v>
      </c>
      <c r="D1407" t="s">
        <v>18022</v>
      </c>
      <c r="E1407" t="s">
        <v>19420</v>
      </c>
      <c r="F1407" t="s">
        <v>31574</v>
      </c>
      <c r="G1407" t="s">
        <v>31582</v>
      </c>
      <c r="H1407" t="s">
        <v>31590</v>
      </c>
      <c r="I1407" t="s">
        <v>4046</v>
      </c>
      <c r="J1407" t="s">
        <v>31727</v>
      </c>
      <c r="K1407" t="s">
        <v>41213</v>
      </c>
      <c r="M1407" t="s">
        <v>42092</v>
      </c>
      <c r="N1407" t="s">
        <v>45095</v>
      </c>
      <c r="O1407" t="s">
        <v>45096</v>
      </c>
      <c r="P1407">
        <v>0</v>
      </c>
      <c r="Q1407">
        <v>0</v>
      </c>
      <c r="R1407" t="s">
        <v>45097</v>
      </c>
      <c r="S1407" t="s">
        <v>45222</v>
      </c>
      <c r="T1407" t="s">
        <v>46910</v>
      </c>
      <c r="U1407" t="s">
        <v>48477</v>
      </c>
      <c r="W1407" t="s">
        <v>42092</v>
      </c>
      <c r="X1407" t="s">
        <v>45098</v>
      </c>
    </row>
    <row r="1408" spans="1:24">
      <c r="A1408">
        <f>HYPERLINK("https://www.philgeps.gov.ph/GEPSNONPILOT/Tender/SplashBidNoticeAbstractUI.aspx?menuIndex=3&amp;refID=7045836&amp;Result=3","7045836")</f>
        <v>0</v>
      </c>
      <c r="B1408" t="s">
        <v>33</v>
      </c>
      <c r="C1408" t="s">
        <v>4544</v>
      </c>
      <c r="E1408" t="s">
        <v>19421</v>
      </c>
      <c r="F1408" t="s">
        <v>31574</v>
      </c>
      <c r="G1408" t="s">
        <v>31581</v>
      </c>
      <c r="H1408" t="s">
        <v>31590</v>
      </c>
      <c r="I1408" t="s">
        <v>31599</v>
      </c>
      <c r="J1408" t="s">
        <v>32767</v>
      </c>
      <c r="K1408" t="s">
        <v>41184</v>
      </c>
      <c r="M1408" t="s">
        <v>41515</v>
      </c>
      <c r="N1408" t="s">
        <v>45095</v>
      </c>
      <c r="O1408" t="s">
        <v>45096</v>
      </c>
      <c r="P1408">
        <v>0</v>
      </c>
      <c r="Q1408">
        <v>0</v>
      </c>
      <c r="R1408" t="s">
        <v>45097</v>
      </c>
      <c r="S1408" t="s">
        <v>45222</v>
      </c>
      <c r="T1408" t="s">
        <v>46911</v>
      </c>
      <c r="U1408" t="s">
        <v>48684</v>
      </c>
      <c r="W1408" t="s">
        <v>41515</v>
      </c>
      <c r="X1408" t="s">
        <v>45098</v>
      </c>
    </row>
    <row r="1409" spans="1:24">
      <c r="A1409">
        <f>HYPERLINK("https://www.philgeps.gov.ph/GEPSNONPILOT/Tender/SplashBidNoticeAbstractUI.aspx?menuIndex=3&amp;refID=7045846&amp;Result=3","7045846")</f>
        <v>0</v>
      </c>
      <c r="B1409" t="s">
        <v>591</v>
      </c>
      <c r="C1409" t="s">
        <v>4545</v>
      </c>
      <c r="E1409" t="s">
        <v>19422</v>
      </c>
      <c r="F1409" t="s">
        <v>31574</v>
      </c>
      <c r="G1409" t="s">
        <v>31581</v>
      </c>
      <c r="H1409" t="s">
        <v>31590</v>
      </c>
      <c r="I1409" t="s">
        <v>6800</v>
      </c>
      <c r="J1409" t="s">
        <v>32768</v>
      </c>
      <c r="K1409" t="s">
        <v>41186</v>
      </c>
      <c r="M1409" t="s">
        <v>42093</v>
      </c>
      <c r="N1409" t="s">
        <v>45095</v>
      </c>
      <c r="O1409" t="s">
        <v>45096</v>
      </c>
      <c r="P1409">
        <v>0</v>
      </c>
      <c r="Q1409">
        <v>0</v>
      </c>
      <c r="R1409" t="s">
        <v>45097</v>
      </c>
      <c r="S1409" t="s">
        <v>45222</v>
      </c>
      <c r="T1409" t="s">
        <v>47074</v>
      </c>
      <c r="U1409" t="s">
        <v>48685</v>
      </c>
      <c r="W1409" t="s">
        <v>42093</v>
      </c>
      <c r="X1409" t="s">
        <v>45098</v>
      </c>
    </row>
    <row r="1410" spans="1:24">
      <c r="A1410">
        <f>HYPERLINK("https://www.philgeps.gov.ph/GEPSNONPILOT/Tender/SplashBidNoticeAbstractUI.aspx?menuIndex=3&amp;refID=7045852&amp;Result=3","7045852")</f>
        <v>0</v>
      </c>
      <c r="B1410" t="s">
        <v>530</v>
      </c>
      <c r="C1410" t="s">
        <v>4546</v>
      </c>
      <c r="D1410" t="s">
        <v>18071</v>
      </c>
      <c r="E1410" t="s">
        <v>19423</v>
      </c>
      <c r="F1410" t="s">
        <v>31574</v>
      </c>
      <c r="G1410" t="s">
        <v>31582</v>
      </c>
      <c r="H1410" t="s">
        <v>31590</v>
      </c>
      <c r="I1410" t="s">
        <v>14544</v>
      </c>
      <c r="J1410" t="s">
        <v>32769</v>
      </c>
      <c r="K1410" t="s">
        <v>41186</v>
      </c>
      <c r="M1410" t="s">
        <v>42027</v>
      </c>
      <c r="N1410" t="s">
        <v>45095</v>
      </c>
      <c r="O1410" t="s">
        <v>45096</v>
      </c>
      <c r="P1410">
        <v>0</v>
      </c>
      <c r="Q1410">
        <v>0</v>
      </c>
      <c r="R1410" t="s">
        <v>45097</v>
      </c>
      <c r="S1410" t="s">
        <v>45222</v>
      </c>
      <c r="T1410" t="s">
        <v>47066</v>
      </c>
      <c r="U1410" t="s">
        <v>48686</v>
      </c>
      <c r="W1410" t="s">
        <v>42027</v>
      </c>
      <c r="X1410" t="s">
        <v>45098</v>
      </c>
    </row>
    <row r="1411" spans="1:24">
      <c r="A1411">
        <f>HYPERLINK("https://www.philgeps.gov.ph/GEPSNONPILOT/Tender/SplashBidNoticeAbstractUI.aspx?menuIndex=3&amp;refID=7045840&amp;Result=3","7045840")</f>
        <v>0</v>
      </c>
      <c r="B1411" t="s">
        <v>239</v>
      </c>
      <c r="C1411" t="s">
        <v>4547</v>
      </c>
      <c r="D1411" t="s">
        <v>18024</v>
      </c>
      <c r="E1411" t="s">
        <v>19424</v>
      </c>
      <c r="F1411" t="s">
        <v>31574</v>
      </c>
      <c r="G1411" t="s">
        <v>31582</v>
      </c>
      <c r="H1411" t="s">
        <v>31590</v>
      </c>
      <c r="I1411" t="s">
        <v>6800</v>
      </c>
      <c r="J1411" t="s">
        <v>32770</v>
      </c>
      <c r="K1411" t="s">
        <v>41190</v>
      </c>
      <c r="M1411" t="s">
        <v>41725</v>
      </c>
      <c r="N1411" t="s">
        <v>45095</v>
      </c>
      <c r="O1411" t="s">
        <v>45096</v>
      </c>
      <c r="P1411">
        <v>0</v>
      </c>
      <c r="Q1411">
        <v>0</v>
      </c>
      <c r="R1411" t="s">
        <v>45097</v>
      </c>
      <c r="S1411" t="s">
        <v>45222</v>
      </c>
      <c r="T1411" t="s">
        <v>46996</v>
      </c>
      <c r="U1411" t="s">
        <v>47916</v>
      </c>
      <c r="W1411" t="s">
        <v>41725</v>
      </c>
      <c r="X1411" t="s">
        <v>45098</v>
      </c>
    </row>
    <row r="1412" spans="1:24">
      <c r="A1412">
        <f>HYPERLINK("https://www.philgeps.gov.ph/GEPSNONPILOT/Tender/SplashBidNoticeAbstractUI.aspx?menuIndex=3&amp;refID=7045845&amp;Result=3","7045845")</f>
        <v>0</v>
      </c>
      <c r="B1412" t="s">
        <v>439</v>
      </c>
      <c r="C1412" t="s">
        <v>4548</v>
      </c>
      <c r="D1412" t="s">
        <v>18046</v>
      </c>
      <c r="E1412" t="s">
        <v>19425</v>
      </c>
      <c r="F1412" t="s">
        <v>31574</v>
      </c>
      <c r="G1412" t="s">
        <v>31581</v>
      </c>
      <c r="H1412" t="s">
        <v>31590</v>
      </c>
      <c r="I1412" t="s">
        <v>31600</v>
      </c>
      <c r="J1412" t="s">
        <v>32046</v>
      </c>
      <c r="K1412" t="s">
        <v>41184</v>
      </c>
      <c r="M1412" t="s">
        <v>41932</v>
      </c>
      <c r="N1412" t="s">
        <v>45095</v>
      </c>
      <c r="O1412" t="s">
        <v>45096</v>
      </c>
      <c r="P1412">
        <v>0</v>
      </c>
      <c r="Q1412">
        <v>0</v>
      </c>
      <c r="R1412" t="s">
        <v>45097</v>
      </c>
      <c r="S1412" t="s">
        <v>45222</v>
      </c>
      <c r="T1412" t="s">
        <v>46938</v>
      </c>
      <c r="U1412" t="s">
        <v>48621</v>
      </c>
      <c r="W1412" t="s">
        <v>41932</v>
      </c>
      <c r="X1412" t="s">
        <v>45098</v>
      </c>
    </row>
    <row r="1413" spans="1:24">
      <c r="A1413">
        <f>HYPERLINK("https://www.philgeps.gov.ph/GEPSNONPILOT/Tender/SplashBidNoticeAbstractUI.aspx?menuIndex=3&amp;refID=7045838&amp;Result=3","7045838")</f>
        <v>0</v>
      </c>
      <c r="B1413" t="s">
        <v>592</v>
      </c>
      <c r="C1413" t="s">
        <v>4549</v>
      </c>
      <c r="D1413" t="s">
        <v>18033</v>
      </c>
      <c r="E1413" t="s">
        <v>4549</v>
      </c>
      <c r="F1413" t="s">
        <v>31574</v>
      </c>
      <c r="G1413" t="s">
        <v>31583</v>
      </c>
      <c r="H1413" t="s">
        <v>31590</v>
      </c>
      <c r="I1413" t="s">
        <v>6800</v>
      </c>
      <c r="J1413" t="s">
        <v>32017</v>
      </c>
      <c r="K1413" t="s">
        <v>41193</v>
      </c>
      <c r="M1413" t="s">
        <v>42094</v>
      </c>
      <c r="N1413" t="s">
        <v>45095</v>
      </c>
      <c r="O1413" t="s">
        <v>45096</v>
      </c>
      <c r="P1413">
        <v>0</v>
      </c>
      <c r="Q1413">
        <v>0</v>
      </c>
      <c r="R1413" t="s">
        <v>45097</v>
      </c>
      <c r="S1413" t="s">
        <v>45222</v>
      </c>
      <c r="T1413" t="s">
        <v>46936</v>
      </c>
      <c r="U1413" t="s">
        <v>48687</v>
      </c>
      <c r="W1413" t="s">
        <v>42094</v>
      </c>
      <c r="X1413" t="s">
        <v>45098</v>
      </c>
    </row>
    <row r="1414" spans="1:24">
      <c r="A1414">
        <f>HYPERLINK("https://www.philgeps.gov.ph/GEPSNONPILOT/Tender/SplashBidNoticeAbstractUI.aspx?menuIndex=3&amp;refID=7045849&amp;Result=3","7045849")</f>
        <v>0</v>
      </c>
      <c r="B1414" t="s">
        <v>593</v>
      </c>
      <c r="C1414" t="s">
        <v>4550</v>
      </c>
      <c r="D1414" t="s">
        <v>18022</v>
      </c>
      <c r="E1414" t="s">
        <v>19426</v>
      </c>
      <c r="F1414" t="s">
        <v>31574</v>
      </c>
      <c r="G1414" t="s">
        <v>31582</v>
      </c>
      <c r="H1414" t="s">
        <v>31590</v>
      </c>
      <c r="I1414" t="s">
        <v>3651</v>
      </c>
      <c r="J1414" t="s">
        <v>31727</v>
      </c>
      <c r="K1414" t="s">
        <v>41193</v>
      </c>
      <c r="M1414" t="s">
        <v>42095</v>
      </c>
      <c r="N1414" t="s">
        <v>45095</v>
      </c>
      <c r="O1414" t="s">
        <v>45096</v>
      </c>
      <c r="P1414">
        <v>0</v>
      </c>
      <c r="Q1414">
        <v>0</v>
      </c>
      <c r="R1414" t="s">
        <v>45097</v>
      </c>
      <c r="S1414" t="s">
        <v>45222</v>
      </c>
      <c r="T1414" t="s">
        <v>46908</v>
      </c>
      <c r="U1414" t="s">
        <v>48688</v>
      </c>
      <c r="W1414" t="s">
        <v>42095</v>
      </c>
      <c r="X1414" t="s">
        <v>45098</v>
      </c>
    </row>
    <row r="1415" spans="1:24">
      <c r="A1415">
        <f>HYPERLINK("https://www.philgeps.gov.ph/GEPSNONPILOT/Tender/SplashBidNoticeAbstractUI.aspx?menuIndex=3&amp;refID=7045859&amp;Result=3","7045859")</f>
        <v>0</v>
      </c>
      <c r="B1415" t="s">
        <v>239</v>
      </c>
      <c r="C1415" t="s">
        <v>4551</v>
      </c>
      <c r="D1415" t="s">
        <v>18024</v>
      </c>
      <c r="E1415" t="s">
        <v>19427</v>
      </c>
      <c r="F1415" t="s">
        <v>31574</v>
      </c>
      <c r="G1415" t="s">
        <v>31582</v>
      </c>
      <c r="H1415" t="s">
        <v>31590</v>
      </c>
      <c r="I1415" t="s">
        <v>3539</v>
      </c>
      <c r="J1415" t="s">
        <v>32771</v>
      </c>
      <c r="K1415" t="s">
        <v>41190</v>
      </c>
      <c r="M1415" t="s">
        <v>41725</v>
      </c>
      <c r="N1415" t="s">
        <v>45095</v>
      </c>
      <c r="O1415" t="s">
        <v>45096</v>
      </c>
      <c r="P1415">
        <v>0</v>
      </c>
      <c r="Q1415">
        <v>0</v>
      </c>
      <c r="R1415" t="s">
        <v>45097</v>
      </c>
      <c r="S1415" t="s">
        <v>45222</v>
      </c>
      <c r="T1415" t="s">
        <v>46996</v>
      </c>
      <c r="U1415" t="s">
        <v>48689</v>
      </c>
      <c r="W1415" t="s">
        <v>41725</v>
      </c>
      <c r="X1415" t="s">
        <v>45098</v>
      </c>
    </row>
    <row r="1416" spans="1:24">
      <c r="A1416">
        <f>HYPERLINK("https://www.philgeps.gov.ph/GEPSNONPILOT/Tender/SplashBidNoticeAbstractUI.aspx?menuIndex=3&amp;refID=7045848&amp;Result=3","7045848")</f>
        <v>0</v>
      </c>
      <c r="B1416" t="s">
        <v>472</v>
      </c>
      <c r="C1416" t="s">
        <v>4552</v>
      </c>
      <c r="D1416" t="s">
        <v>18041</v>
      </c>
      <c r="E1416" t="s">
        <v>19428</v>
      </c>
      <c r="F1416" t="s">
        <v>31574</v>
      </c>
      <c r="G1416" t="s">
        <v>31582</v>
      </c>
      <c r="H1416" t="s">
        <v>31591</v>
      </c>
      <c r="I1416" t="s">
        <v>31605</v>
      </c>
      <c r="J1416" t="s">
        <v>32772</v>
      </c>
      <c r="K1416" t="s">
        <v>41197</v>
      </c>
      <c r="M1416" t="s">
        <v>41967</v>
      </c>
      <c r="N1416" t="s">
        <v>45095</v>
      </c>
      <c r="O1416" t="s">
        <v>45096</v>
      </c>
      <c r="P1416">
        <v>0</v>
      </c>
      <c r="Q1416">
        <v>0</v>
      </c>
      <c r="R1416" t="s">
        <v>45097</v>
      </c>
      <c r="S1416" t="s">
        <v>45222</v>
      </c>
      <c r="T1416" t="s">
        <v>47075</v>
      </c>
      <c r="U1416" t="s">
        <v>48690</v>
      </c>
      <c r="W1416" t="s">
        <v>41967</v>
      </c>
      <c r="X1416" t="s">
        <v>45098</v>
      </c>
    </row>
    <row r="1417" spans="1:24">
      <c r="A1417">
        <f>HYPERLINK("https://www.philgeps.gov.ph/GEPSNONPILOT/Tender/SplashBidNoticeAbstractUI.aspx?menuIndex=3&amp;refID=7045835&amp;Result=3","7045835")</f>
        <v>0</v>
      </c>
      <c r="B1417" t="s">
        <v>158</v>
      </c>
      <c r="C1417" t="s">
        <v>4553</v>
      </c>
      <c r="D1417" t="s">
        <v>18027</v>
      </c>
      <c r="E1417" t="s">
        <v>19429</v>
      </c>
      <c r="F1417" t="s">
        <v>31574</v>
      </c>
      <c r="G1417" t="s">
        <v>31586</v>
      </c>
      <c r="H1417" t="s">
        <v>31591</v>
      </c>
      <c r="I1417" t="s">
        <v>8822</v>
      </c>
      <c r="J1417" t="s">
        <v>32773</v>
      </c>
      <c r="K1417" t="s">
        <v>41184</v>
      </c>
      <c r="M1417" t="s">
        <v>42096</v>
      </c>
      <c r="N1417" t="s">
        <v>45095</v>
      </c>
      <c r="O1417" t="s">
        <v>45096</v>
      </c>
      <c r="P1417">
        <v>0</v>
      </c>
      <c r="Q1417">
        <v>0</v>
      </c>
      <c r="R1417" t="s">
        <v>45097</v>
      </c>
      <c r="S1417" t="s">
        <v>45222</v>
      </c>
      <c r="T1417" t="s">
        <v>46904</v>
      </c>
      <c r="U1417" t="s">
        <v>48691</v>
      </c>
      <c r="W1417" t="s">
        <v>42096</v>
      </c>
      <c r="X1417" t="s">
        <v>45098</v>
      </c>
    </row>
    <row r="1418" spans="1:24">
      <c r="A1418">
        <f>HYPERLINK("https://www.philgeps.gov.ph/GEPSNONPILOT/Tender/SplashBidNoticeAbstractUI.aspx?menuIndex=3&amp;refID=7045856&amp;Result=3","7045856")</f>
        <v>0</v>
      </c>
      <c r="B1418" t="s">
        <v>216</v>
      </c>
      <c r="C1418" t="s">
        <v>3673</v>
      </c>
      <c r="D1418" t="s">
        <v>18058</v>
      </c>
      <c r="E1418" t="s">
        <v>19430</v>
      </c>
      <c r="F1418" t="s">
        <v>31574</v>
      </c>
      <c r="G1418" t="s">
        <v>31583</v>
      </c>
      <c r="H1418" t="s">
        <v>31590</v>
      </c>
      <c r="I1418" t="s">
        <v>31619</v>
      </c>
      <c r="J1418" t="s">
        <v>32147</v>
      </c>
      <c r="K1418" t="s">
        <v>41193</v>
      </c>
      <c r="M1418" t="s">
        <v>41701</v>
      </c>
      <c r="N1418" t="s">
        <v>45095</v>
      </c>
      <c r="O1418" t="s">
        <v>45096</v>
      </c>
      <c r="P1418">
        <v>0</v>
      </c>
      <c r="Q1418">
        <v>0</v>
      </c>
      <c r="R1418" t="s">
        <v>45097</v>
      </c>
      <c r="S1418" t="s">
        <v>45222</v>
      </c>
      <c r="T1418" t="s">
        <v>46932</v>
      </c>
      <c r="U1418" t="s">
        <v>48692</v>
      </c>
      <c r="W1418" t="s">
        <v>41701</v>
      </c>
      <c r="X1418" t="s">
        <v>45098</v>
      </c>
    </row>
    <row r="1419" spans="1:24">
      <c r="A1419">
        <f>HYPERLINK("https://www.philgeps.gov.ph/GEPSNONPILOT/Tender/SplashBidNoticeAbstractUI.aspx?menuIndex=3&amp;refID=7045858&amp;Result=3","7045858")</f>
        <v>0</v>
      </c>
      <c r="B1419" t="s">
        <v>594</v>
      </c>
      <c r="C1419" t="s">
        <v>4554</v>
      </c>
      <c r="D1419" t="s">
        <v>18022</v>
      </c>
      <c r="E1419" t="s">
        <v>19431</v>
      </c>
      <c r="F1419" t="s">
        <v>31574</v>
      </c>
      <c r="G1419" t="s">
        <v>31581</v>
      </c>
      <c r="H1419" t="s">
        <v>31590</v>
      </c>
      <c r="I1419" t="s">
        <v>31608</v>
      </c>
      <c r="J1419" t="s">
        <v>31728</v>
      </c>
      <c r="K1419" t="s">
        <v>41185</v>
      </c>
      <c r="M1419" t="s">
        <v>42097</v>
      </c>
      <c r="N1419" t="s">
        <v>45095</v>
      </c>
      <c r="O1419" t="s">
        <v>45096</v>
      </c>
      <c r="P1419">
        <v>0</v>
      </c>
      <c r="Q1419">
        <v>0</v>
      </c>
      <c r="R1419" t="s">
        <v>45097</v>
      </c>
      <c r="S1419" t="s">
        <v>45222</v>
      </c>
      <c r="T1419" t="s">
        <v>46905</v>
      </c>
      <c r="U1419" t="s">
        <v>48693</v>
      </c>
      <c r="W1419" t="s">
        <v>42097</v>
      </c>
      <c r="X1419" t="s">
        <v>45098</v>
      </c>
    </row>
    <row r="1420" spans="1:24">
      <c r="A1420">
        <f>HYPERLINK("https://www.philgeps.gov.ph/GEPSNONPILOT/Tender/SplashBidNoticeAbstractUI.aspx?menuIndex=3&amp;refID=7045854&amp;Result=3","7045854")</f>
        <v>0</v>
      </c>
      <c r="B1420" t="s">
        <v>595</v>
      </c>
      <c r="C1420" t="s">
        <v>4555</v>
      </c>
      <c r="D1420" t="s">
        <v>18022</v>
      </c>
      <c r="E1420" t="s">
        <v>19432</v>
      </c>
      <c r="F1420" t="s">
        <v>31574</v>
      </c>
      <c r="G1420" t="s">
        <v>31583</v>
      </c>
      <c r="H1420" t="s">
        <v>31590</v>
      </c>
      <c r="I1420" t="s">
        <v>8258</v>
      </c>
      <c r="J1420" t="s">
        <v>32774</v>
      </c>
      <c r="K1420" t="s">
        <v>41193</v>
      </c>
      <c r="M1420" t="s">
        <v>42098</v>
      </c>
      <c r="N1420" t="s">
        <v>45095</v>
      </c>
      <c r="O1420" t="s">
        <v>45096</v>
      </c>
      <c r="P1420">
        <v>0</v>
      </c>
      <c r="Q1420">
        <v>0</v>
      </c>
      <c r="R1420" t="s">
        <v>45097</v>
      </c>
      <c r="S1420" t="s">
        <v>45222</v>
      </c>
      <c r="T1420" t="s">
        <v>46957</v>
      </c>
      <c r="U1420" t="s">
        <v>48694</v>
      </c>
      <c r="V1420" t="s">
        <v>59986</v>
      </c>
      <c r="W1420" t="s">
        <v>42098</v>
      </c>
      <c r="X1420" t="s">
        <v>45098</v>
      </c>
    </row>
    <row r="1421" spans="1:24">
      <c r="A1421">
        <f>HYPERLINK("https://www.philgeps.gov.ph/GEPSNONPILOT/Tender/SplashBidNoticeAbstractUI.aspx?menuIndex=3&amp;refID=7045860&amp;Result=3","7045860")</f>
        <v>0</v>
      </c>
      <c r="B1421" t="s">
        <v>578</v>
      </c>
      <c r="C1421" t="s">
        <v>4556</v>
      </c>
      <c r="D1421" t="s">
        <v>18031</v>
      </c>
      <c r="E1421" t="s">
        <v>19061</v>
      </c>
      <c r="F1421" t="s">
        <v>31574</v>
      </c>
      <c r="G1421" t="s">
        <v>31583</v>
      </c>
      <c r="H1421" t="s">
        <v>31590</v>
      </c>
      <c r="I1421" t="s">
        <v>31607</v>
      </c>
      <c r="J1421" t="s">
        <v>32775</v>
      </c>
      <c r="K1421" t="s">
        <v>41196</v>
      </c>
      <c r="M1421" t="s">
        <v>42079</v>
      </c>
      <c r="N1421" t="s">
        <v>45095</v>
      </c>
      <c r="O1421" t="s">
        <v>45096</v>
      </c>
      <c r="P1421">
        <v>0</v>
      </c>
      <c r="Q1421">
        <v>0</v>
      </c>
      <c r="R1421" t="s">
        <v>45097</v>
      </c>
      <c r="S1421" t="s">
        <v>45222</v>
      </c>
      <c r="T1421" t="s">
        <v>47064</v>
      </c>
      <c r="U1421" t="s">
        <v>48695</v>
      </c>
      <c r="W1421" t="s">
        <v>42079</v>
      </c>
      <c r="X1421" t="s">
        <v>45098</v>
      </c>
    </row>
    <row r="1422" spans="1:24">
      <c r="A1422">
        <f>HYPERLINK("https://www.philgeps.gov.ph/GEPSNONPILOT/Tender/SplashBidNoticeAbstractUI.aspx?menuIndex=3&amp;refID=7045855&amp;Result=3","7045855")</f>
        <v>0</v>
      </c>
      <c r="B1422" t="s">
        <v>550</v>
      </c>
      <c r="C1422" t="s">
        <v>4557</v>
      </c>
      <c r="D1422" t="s">
        <v>18035</v>
      </c>
      <c r="E1422" t="s">
        <v>19433</v>
      </c>
      <c r="F1422" t="s">
        <v>31574</v>
      </c>
      <c r="G1422" t="s">
        <v>31581</v>
      </c>
      <c r="H1422" t="s">
        <v>31591</v>
      </c>
      <c r="I1422" t="s">
        <v>8822</v>
      </c>
      <c r="J1422" t="s">
        <v>32776</v>
      </c>
      <c r="K1422" t="s">
        <v>41184</v>
      </c>
      <c r="M1422" t="s">
        <v>42047</v>
      </c>
      <c r="N1422" t="s">
        <v>45095</v>
      </c>
      <c r="O1422" t="s">
        <v>45096</v>
      </c>
      <c r="P1422">
        <v>0</v>
      </c>
      <c r="Q1422">
        <v>0</v>
      </c>
      <c r="R1422" t="s">
        <v>45097</v>
      </c>
      <c r="S1422" t="s">
        <v>45222</v>
      </c>
      <c r="T1422" t="s">
        <v>46949</v>
      </c>
      <c r="U1422" t="s">
        <v>48696</v>
      </c>
      <c r="W1422" t="s">
        <v>42047</v>
      </c>
      <c r="X1422" t="s">
        <v>45098</v>
      </c>
    </row>
    <row r="1423" spans="1:24">
      <c r="A1423">
        <f>HYPERLINK("https://www.philgeps.gov.ph/GEPSNONPILOT/Tender/SplashBidNoticeAbstractUI.aspx?menuIndex=3&amp;refID=7045865&amp;Result=3","7045865")</f>
        <v>0</v>
      </c>
      <c r="B1423" t="s">
        <v>596</v>
      </c>
      <c r="C1423" t="s">
        <v>4558</v>
      </c>
      <c r="D1423" t="s">
        <v>18034</v>
      </c>
      <c r="E1423" t="s">
        <v>19434</v>
      </c>
      <c r="F1423" t="s">
        <v>31574</v>
      </c>
      <c r="G1423" t="s">
        <v>31582</v>
      </c>
      <c r="H1423" t="s">
        <v>31590</v>
      </c>
      <c r="I1423" t="s">
        <v>3487</v>
      </c>
      <c r="J1423" t="s">
        <v>32777</v>
      </c>
      <c r="K1423" t="s">
        <v>41195</v>
      </c>
      <c r="M1423" t="s">
        <v>42099</v>
      </c>
      <c r="N1423" t="s">
        <v>45095</v>
      </c>
      <c r="O1423" t="s">
        <v>45096</v>
      </c>
      <c r="P1423">
        <v>0</v>
      </c>
      <c r="Q1423">
        <v>0</v>
      </c>
      <c r="R1423" t="s">
        <v>45097</v>
      </c>
      <c r="S1423" t="s">
        <v>45222</v>
      </c>
      <c r="T1423" t="s">
        <v>47066</v>
      </c>
      <c r="U1423" t="s">
        <v>48697</v>
      </c>
      <c r="W1423" t="s">
        <v>42099</v>
      </c>
      <c r="X1423" t="s">
        <v>45098</v>
      </c>
    </row>
    <row r="1424" spans="1:24">
      <c r="A1424">
        <f>HYPERLINK("https://www.philgeps.gov.ph/GEPSNONPILOT/Tender/SplashBidNoticeAbstractUI.aspx?menuIndex=3&amp;refID=7045862&amp;Result=3","7045862")</f>
        <v>0</v>
      </c>
      <c r="B1424" t="s">
        <v>597</v>
      </c>
      <c r="C1424" t="s">
        <v>4559</v>
      </c>
      <c r="D1424" t="s">
        <v>18075</v>
      </c>
      <c r="E1424" t="s">
        <v>4559</v>
      </c>
      <c r="F1424" t="s">
        <v>31574</v>
      </c>
      <c r="G1424" t="s">
        <v>31581</v>
      </c>
      <c r="H1424" t="s">
        <v>31590</v>
      </c>
      <c r="I1424" t="s">
        <v>3487</v>
      </c>
      <c r="J1424" t="s">
        <v>32778</v>
      </c>
      <c r="K1424" t="s">
        <v>41190</v>
      </c>
      <c r="M1424" t="s">
        <v>42100</v>
      </c>
      <c r="N1424" t="s">
        <v>45095</v>
      </c>
      <c r="O1424" t="s">
        <v>45096</v>
      </c>
      <c r="P1424">
        <v>0</v>
      </c>
      <c r="Q1424">
        <v>0</v>
      </c>
      <c r="R1424" t="s">
        <v>45097</v>
      </c>
      <c r="S1424" t="s">
        <v>45222</v>
      </c>
      <c r="T1424" t="s">
        <v>46918</v>
      </c>
      <c r="U1424" t="s">
        <v>48698</v>
      </c>
      <c r="W1424" t="s">
        <v>42100</v>
      </c>
      <c r="X1424" t="s">
        <v>45098</v>
      </c>
    </row>
    <row r="1425" spans="1:24">
      <c r="A1425">
        <f>HYPERLINK("https://www.philgeps.gov.ph/GEPSNONPILOT/Tender/SplashBidNoticeAbstractUI.aspx?menuIndex=3&amp;refID=7045861&amp;Result=3","7045861")</f>
        <v>0</v>
      </c>
      <c r="B1425" t="s">
        <v>598</v>
      </c>
      <c r="C1425" t="s">
        <v>4560</v>
      </c>
      <c r="D1425" t="s">
        <v>18022</v>
      </c>
      <c r="E1425" t="s">
        <v>19435</v>
      </c>
      <c r="F1425" t="s">
        <v>31574</v>
      </c>
      <c r="G1425" t="s">
        <v>31581</v>
      </c>
      <c r="H1425" t="s">
        <v>31590</v>
      </c>
      <c r="I1425" t="s">
        <v>3487</v>
      </c>
      <c r="J1425" t="s">
        <v>32779</v>
      </c>
      <c r="K1425" t="s">
        <v>41213</v>
      </c>
      <c r="M1425" t="s">
        <v>42101</v>
      </c>
      <c r="N1425" t="s">
        <v>45095</v>
      </c>
      <c r="O1425" t="s">
        <v>45096</v>
      </c>
      <c r="P1425">
        <v>0</v>
      </c>
      <c r="Q1425">
        <v>0</v>
      </c>
      <c r="R1425" t="s">
        <v>45097</v>
      </c>
      <c r="S1425" t="s">
        <v>45222</v>
      </c>
      <c r="T1425" t="s">
        <v>46911</v>
      </c>
      <c r="U1425" t="s">
        <v>48699</v>
      </c>
      <c r="V1425" t="s">
        <v>59987</v>
      </c>
      <c r="W1425" t="s">
        <v>42101</v>
      </c>
      <c r="X1425" t="s">
        <v>45098</v>
      </c>
    </row>
    <row r="1426" spans="1:24">
      <c r="A1426">
        <f>HYPERLINK("https://www.philgeps.gov.ph/GEPSNONPILOT/Tender/SplashBidNoticeAbstractUI.aspx?menuIndex=3&amp;refID=7045880&amp;Result=3","7045880")</f>
        <v>0</v>
      </c>
      <c r="B1426" t="s">
        <v>599</v>
      </c>
      <c r="C1426" t="s">
        <v>4561</v>
      </c>
      <c r="D1426" t="s">
        <v>18040</v>
      </c>
      <c r="E1426" t="s">
        <v>19436</v>
      </c>
      <c r="F1426" t="s">
        <v>31574</v>
      </c>
      <c r="G1426" t="s">
        <v>31581</v>
      </c>
      <c r="H1426" t="s">
        <v>31590</v>
      </c>
      <c r="I1426" t="s">
        <v>31624</v>
      </c>
      <c r="J1426" t="s">
        <v>32780</v>
      </c>
      <c r="K1426" t="s">
        <v>41197</v>
      </c>
      <c r="M1426" t="s">
        <v>42102</v>
      </c>
      <c r="N1426" t="s">
        <v>45095</v>
      </c>
      <c r="O1426" t="s">
        <v>45096</v>
      </c>
      <c r="P1426">
        <v>0</v>
      </c>
      <c r="Q1426">
        <v>0</v>
      </c>
      <c r="R1426" t="s">
        <v>45097</v>
      </c>
      <c r="S1426" t="s">
        <v>45222</v>
      </c>
      <c r="T1426" t="s">
        <v>46904</v>
      </c>
      <c r="U1426" t="s">
        <v>47952</v>
      </c>
      <c r="W1426" t="s">
        <v>42102</v>
      </c>
      <c r="X1426" t="s">
        <v>45098</v>
      </c>
    </row>
    <row r="1427" spans="1:24">
      <c r="A1427">
        <f>HYPERLINK("https://www.philgeps.gov.ph/GEPSNONPILOT/Tender/SplashBidNoticeAbstractUI.aspx?menuIndex=3&amp;refID=7045879&amp;Result=3","7045879")</f>
        <v>0</v>
      </c>
      <c r="B1427" t="s">
        <v>600</v>
      </c>
      <c r="C1427" t="s">
        <v>4562</v>
      </c>
      <c r="D1427" t="s">
        <v>18064</v>
      </c>
      <c r="E1427" t="s">
        <v>19437</v>
      </c>
      <c r="F1427" t="s">
        <v>31574</v>
      </c>
      <c r="G1427" t="s">
        <v>31582</v>
      </c>
      <c r="H1427" t="s">
        <v>31590</v>
      </c>
      <c r="I1427" t="s">
        <v>4046</v>
      </c>
      <c r="J1427" t="s">
        <v>32781</v>
      </c>
      <c r="K1427" t="s">
        <v>41192</v>
      </c>
      <c r="M1427" t="s">
        <v>42103</v>
      </c>
      <c r="N1427" t="s">
        <v>45095</v>
      </c>
      <c r="O1427" t="s">
        <v>45096</v>
      </c>
      <c r="P1427">
        <v>0</v>
      </c>
      <c r="Q1427">
        <v>0</v>
      </c>
      <c r="R1427" t="s">
        <v>45097</v>
      </c>
      <c r="S1427" t="s">
        <v>45222</v>
      </c>
      <c r="T1427" t="s">
        <v>46908</v>
      </c>
      <c r="U1427" t="s">
        <v>48700</v>
      </c>
      <c r="W1427" t="s">
        <v>42103</v>
      </c>
      <c r="X1427" t="s">
        <v>45098</v>
      </c>
    </row>
    <row r="1428" spans="1:24">
      <c r="A1428">
        <f>HYPERLINK("https://www.philgeps.gov.ph/GEPSNONPILOT/Tender/SplashBidNoticeAbstractUI.aspx?menuIndex=3&amp;refID=7045876&amp;Result=3","7045876")</f>
        <v>0</v>
      </c>
      <c r="B1428" t="s">
        <v>264</v>
      </c>
      <c r="C1428" t="s">
        <v>4563</v>
      </c>
      <c r="D1428" t="s">
        <v>18066</v>
      </c>
      <c r="E1428" t="s">
        <v>19438</v>
      </c>
      <c r="F1428" t="s">
        <v>31574</v>
      </c>
      <c r="G1428" t="s">
        <v>31582</v>
      </c>
      <c r="H1428" t="s">
        <v>31590</v>
      </c>
      <c r="I1428" t="s">
        <v>6800</v>
      </c>
      <c r="J1428" t="s">
        <v>32782</v>
      </c>
      <c r="K1428" t="s">
        <v>41184</v>
      </c>
      <c r="M1428" t="s">
        <v>41750</v>
      </c>
      <c r="N1428" t="s">
        <v>45095</v>
      </c>
      <c r="O1428" t="s">
        <v>45096</v>
      </c>
      <c r="P1428">
        <v>0</v>
      </c>
      <c r="Q1428">
        <v>0</v>
      </c>
      <c r="R1428" t="s">
        <v>45097</v>
      </c>
      <c r="S1428" t="s">
        <v>45222</v>
      </c>
      <c r="T1428" t="s">
        <v>46926</v>
      </c>
      <c r="U1428" t="s">
        <v>48701</v>
      </c>
      <c r="W1428" t="s">
        <v>61674</v>
      </c>
      <c r="X1428" t="s">
        <v>45098</v>
      </c>
    </row>
    <row r="1429" spans="1:24">
      <c r="A1429">
        <f>HYPERLINK("https://www.philgeps.gov.ph/GEPSNONPILOT/Tender/SplashBidNoticeAbstractUI.aspx?menuIndex=3&amp;refID=7045868&amp;Result=3","7045868")</f>
        <v>0</v>
      </c>
      <c r="B1429" t="s">
        <v>601</v>
      </c>
      <c r="C1429" t="s">
        <v>4564</v>
      </c>
      <c r="D1429" t="s">
        <v>18023</v>
      </c>
      <c r="E1429" t="s">
        <v>18151</v>
      </c>
      <c r="F1429" t="s">
        <v>31574</v>
      </c>
      <c r="G1429" t="s">
        <v>31582</v>
      </c>
      <c r="H1429" t="s">
        <v>31590</v>
      </c>
      <c r="I1429" t="s">
        <v>4046</v>
      </c>
      <c r="J1429" t="s">
        <v>32783</v>
      </c>
      <c r="K1429" t="s">
        <v>41193</v>
      </c>
      <c r="M1429" t="s">
        <v>42104</v>
      </c>
      <c r="N1429" t="s">
        <v>45095</v>
      </c>
      <c r="O1429" t="s">
        <v>45096</v>
      </c>
      <c r="P1429">
        <v>0</v>
      </c>
      <c r="Q1429">
        <v>0</v>
      </c>
      <c r="R1429" t="s">
        <v>45097</v>
      </c>
      <c r="S1429" t="s">
        <v>45222</v>
      </c>
      <c r="T1429" t="s">
        <v>46984</v>
      </c>
      <c r="U1429" t="s">
        <v>48702</v>
      </c>
      <c r="W1429" t="s">
        <v>42104</v>
      </c>
      <c r="X1429" t="s">
        <v>45098</v>
      </c>
    </row>
    <row r="1430" spans="1:24">
      <c r="A1430">
        <f>HYPERLINK("https://www.philgeps.gov.ph/GEPSNONPILOT/Tender/SplashBidNoticeAbstractUI.aspx?menuIndex=3&amp;refID=7045874&amp;Result=3","7045874")</f>
        <v>0</v>
      </c>
      <c r="B1430" t="s">
        <v>592</v>
      </c>
      <c r="C1430" t="s">
        <v>4549</v>
      </c>
      <c r="D1430" t="s">
        <v>18033</v>
      </c>
      <c r="E1430" t="s">
        <v>4549</v>
      </c>
      <c r="F1430" t="s">
        <v>31574</v>
      </c>
      <c r="G1430" t="s">
        <v>31583</v>
      </c>
      <c r="H1430" t="s">
        <v>31590</v>
      </c>
      <c r="I1430" t="s">
        <v>6800</v>
      </c>
      <c r="J1430" t="s">
        <v>32381</v>
      </c>
      <c r="K1430" t="s">
        <v>41193</v>
      </c>
      <c r="M1430" t="s">
        <v>42094</v>
      </c>
      <c r="N1430" t="s">
        <v>45095</v>
      </c>
      <c r="O1430" t="s">
        <v>45096</v>
      </c>
      <c r="P1430">
        <v>0</v>
      </c>
      <c r="Q1430">
        <v>0</v>
      </c>
      <c r="R1430" t="s">
        <v>45097</v>
      </c>
      <c r="S1430" t="s">
        <v>45222</v>
      </c>
      <c r="T1430" t="s">
        <v>46936</v>
      </c>
      <c r="U1430" t="s">
        <v>48703</v>
      </c>
      <c r="W1430" t="s">
        <v>42094</v>
      </c>
      <c r="X1430" t="s">
        <v>45098</v>
      </c>
    </row>
    <row r="1431" spans="1:24">
      <c r="A1431">
        <f>HYPERLINK("https://www.philgeps.gov.ph/GEPSNONPILOT/Tender/SplashBidNoticeAbstractUI.aspx?menuIndex=3&amp;refID=7045882&amp;Result=3","7045882")</f>
        <v>0</v>
      </c>
      <c r="B1431" t="s">
        <v>550</v>
      </c>
      <c r="C1431" t="s">
        <v>4565</v>
      </c>
      <c r="D1431" t="s">
        <v>18035</v>
      </c>
      <c r="E1431" t="s">
        <v>19439</v>
      </c>
      <c r="F1431" t="s">
        <v>31574</v>
      </c>
      <c r="G1431" t="s">
        <v>31583</v>
      </c>
      <c r="H1431" t="s">
        <v>31590</v>
      </c>
      <c r="I1431" t="s">
        <v>31605</v>
      </c>
      <c r="J1431" t="s">
        <v>32784</v>
      </c>
      <c r="K1431" t="s">
        <v>41184</v>
      </c>
      <c r="M1431" t="s">
        <v>42047</v>
      </c>
      <c r="N1431" t="s">
        <v>45095</v>
      </c>
      <c r="O1431" t="s">
        <v>45096</v>
      </c>
      <c r="P1431">
        <v>0</v>
      </c>
      <c r="Q1431">
        <v>0</v>
      </c>
      <c r="R1431" t="s">
        <v>45097</v>
      </c>
      <c r="S1431" t="s">
        <v>45222</v>
      </c>
      <c r="T1431" t="s">
        <v>47076</v>
      </c>
      <c r="U1431" t="s">
        <v>48704</v>
      </c>
      <c r="W1431" t="s">
        <v>42047</v>
      </c>
      <c r="X1431" t="s">
        <v>45098</v>
      </c>
    </row>
    <row r="1432" spans="1:24">
      <c r="A1432">
        <f>HYPERLINK("https://www.philgeps.gov.ph/GEPSNONPILOT/Tender/SplashBidNoticeAbstractUI.aspx?menuIndex=3&amp;refID=7045875&amp;Result=3","7045875")</f>
        <v>0</v>
      </c>
      <c r="B1432" t="s">
        <v>602</v>
      </c>
      <c r="C1432" t="s">
        <v>4566</v>
      </c>
      <c r="D1432" t="s">
        <v>18023</v>
      </c>
      <c r="E1432" t="s">
        <v>19440</v>
      </c>
      <c r="F1432" t="s">
        <v>31574</v>
      </c>
      <c r="G1432" t="s">
        <v>31581</v>
      </c>
      <c r="H1432" t="s">
        <v>31590</v>
      </c>
      <c r="I1432" t="s">
        <v>31659</v>
      </c>
      <c r="J1432" t="s">
        <v>32785</v>
      </c>
      <c r="K1432" t="s">
        <v>41184</v>
      </c>
      <c r="M1432" t="s">
        <v>42105</v>
      </c>
      <c r="N1432" t="s">
        <v>45095</v>
      </c>
      <c r="O1432" t="s">
        <v>45096</v>
      </c>
      <c r="P1432">
        <v>0</v>
      </c>
      <c r="Q1432">
        <v>0</v>
      </c>
      <c r="R1432" t="s">
        <v>45097</v>
      </c>
      <c r="S1432" t="s">
        <v>45222</v>
      </c>
      <c r="T1432" t="s">
        <v>46904</v>
      </c>
      <c r="U1432" t="s">
        <v>48705</v>
      </c>
      <c r="W1432" t="s">
        <v>42105</v>
      </c>
      <c r="X1432" t="s">
        <v>45098</v>
      </c>
    </row>
    <row r="1433" spans="1:24">
      <c r="A1433">
        <f>HYPERLINK("https://www.philgeps.gov.ph/GEPSNONPILOT/Tender/SplashBidNoticeAbstractUI.aspx?menuIndex=3&amp;refID=7045866&amp;Result=3","7045866")</f>
        <v>0</v>
      </c>
      <c r="B1433" t="s">
        <v>323</v>
      </c>
      <c r="C1433" t="s">
        <v>4567</v>
      </c>
      <c r="D1433" t="s">
        <v>18022</v>
      </c>
      <c r="E1433" t="s">
        <v>19441</v>
      </c>
      <c r="F1433" t="s">
        <v>31574</v>
      </c>
      <c r="G1433" t="s">
        <v>31581</v>
      </c>
      <c r="H1433" t="s">
        <v>31590</v>
      </c>
      <c r="I1433" t="s">
        <v>4046</v>
      </c>
      <c r="J1433" t="s">
        <v>32786</v>
      </c>
      <c r="K1433" t="s">
        <v>41196</v>
      </c>
      <c r="M1433" t="s">
        <v>41811</v>
      </c>
      <c r="N1433" t="s">
        <v>45095</v>
      </c>
      <c r="O1433" t="s">
        <v>45096</v>
      </c>
      <c r="P1433">
        <v>0</v>
      </c>
      <c r="Q1433">
        <v>0</v>
      </c>
      <c r="R1433" t="s">
        <v>45097</v>
      </c>
      <c r="S1433" t="s">
        <v>45222</v>
      </c>
      <c r="T1433" t="s">
        <v>46911</v>
      </c>
      <c r="U1433" t="s">
        <v>48706</v>
      </c>
      <c r="V1433" t="s">
        <v>59886</v>
      </c>
      <c r="W1433" t="s">
        <v>41811</v>
      </c>
      <c r="X1433" t="s">
        <v>45098</v>
      </c>
    </row>
    <row r="1434" spans="1:24">
      <c r="A1434">
        <f>HYPERLINK("https://www.philgeps.gov.ph/GEPSNONPILOT/Tender/SplashBidNoticeAbstractUI.aspx?menuIndex=3&amp;refID=7045884&amp;Result=3","7045884")</f>
        <v>0</v>
      </c>
      <c r="B1434" t="s">
        <v>603</v>
      </c>
      <c r="C1434" t="s">
        <v>4568</v>
      </c>
      <c r="D1434" t="s">
        <v>18022</v>
      </c>
      <c r="E1434" t="s">
        <v>19442</v>
      </c>
      <c r="F1434" t="s">
        <v>31574</v>
      </c>
      <c r="G1434" t="s">
        <v>31583</v>
      </c>
      <c r="H1434" t="s">
        <v>31590</v>
      </c>
      <c r="I1434" t="s">
        <v>14544</v>
      </c>
      <c r="J1434" t="s">
        <v>32787</v>
      </c>
      <c r="K1434" t="s">
        <v>41196</v>
      </c>
      <c r="M1434" t="s">
        <v>42106</v>
      </c>
      <c r="N1434" t="s">
        <v>45095</v>
      </c>
      <c r="O1434" t="s">
        <v>45096</v>
      </c>
      <c r="P1434">
        <v>0</v>
      </c>
      <c r="Q1434">
        <v>0</v>
      </c>
      <c r="R1434" t="s">
        <v>45097</v>
      </c>
      <c r="S1434" t="s">
        <v>45222</v>
      </c>
      <c r="T1434" t="s">
        <v>47077</v>
      </c>
      <c r="U1434" t="s">
        <v>48707</v>
      </c>
      <c r="V1434" t="s">
        <v>59988</v>
      </c>
      <c r="W1434" t="s">
        <v>42106</v>
      </c>
      <c r="X1434" t="s">
        <v>45098</v>
      </c>
    </row>
    <row r="1435" spans="1:24">
      <c r="A1435">
        <f>HYPERLINK("https://www.philgeps.gov.ph/GEPSNONPILOT/Tender/SplashBidNoticeAbstractUI.aspx?menuIndex=3&amp;refID=7045873&amp;Result=3","7045873")</f>
        <v>0</v>
      </c>
      <c r="B1435" t="s">
        <v>604</v>
      </c>
      <c r="C1435" t="s">
        <v>4569</v>
      </c>
      <c r="D1435" t="s">
        <v>18039</v>
      </c>
      <c r="E1435" t="s">
        <v>19443</v>
      </c>
      <c r="F1435" t="s">
        <v>31574</v>
      </c>
      <c r="G1435" t="s">
        <v>31581</v>
      </c>
      <c r="H1435" t="s">
        <v>31590</v>
      </c>
      <c r="I1435" t="s">
        <v>14034</v>
      </c>
      <c r="J1435" t="s">
        <v>32017</v>
      </c>
      <c r="K1435" t="s">
        <v>41196</v>
      </c>
      <c r="M1435" t="s">
        <v>42107</v>
      </c>
      <c r="N1435" t="s">
        <v>45095</v>
      </c>
      <c r="O1435" t="s">
        <v>45096</v>
      </c>
      <c r="P1435">
        <v>0</v>
      </c>
      <c r="Q1435">
        <v>0</v>
      </c>
      <c r="R1435" t="s">
        <v>45097</v>
      </c>
      <c r="S1435" t="s">
        <v>45222</v>
      </c>
      <c r="T1435" t="s">
        <v>46961</v>
      </c>
      <c r="U1435" t="s">
        <v>48708</v>
      </c>
      <c r="V1435" t="s">
        <v>59989</v>
      </c>
      <c r="W1435" t="s">
        <v>42107</v>
      </c>
      <c r="X1435" t="s">
        <v>45098</v>
      </c>
    </row>
    <row r="1436" spans="1:24">
      <c r="A1436">
        <f>HYPERLINK("https://www.philgeps.gov.ph/GEPSNONPILOT/Tender/SplashBidNoticeAbstractUI.aspx?menuIndex=3&amp;refID=7045869&amp;Result=3","7045869")</f>
        <v>0</v>
      </c>
      <c r="B1436" t="s">
        <v>590</v>
      </c>
      <c r="C1436" t="s">
        <v>4570</v>
      </c>
      <c r="D1436" t="s">
        <v>18022</v>
      </c>
      <c r="E1436" t="s">
        <v>19444</v>
      </c>
      <c r="F1436" t="s">
        <v>31574</v>
      </c>
      <c r="G1436" t="s">
        <v>31582</v>
      </c>
      <c r="H1436" t="s">
        <v>31590</v>
      </c>
      <c r="I1436" t="s">
        <v>4046</v>
      </c>
      <c r="J1436" t="s">
        <v>31962</v>
      </c>
      <c r="K1436" t="s">
        <v>41213</v>
      </c>
      <c r="M1436" t="s">
        <v>42092</v>
      </c>
      <c r="N1436" t="s">
        <v>45095</v>
      </c>
      <c r="O1436" t="s">
        <v>45096</v>
      </c>
      <c r="P1436">
        <v>0</v>
      </c>
      <c r="Q1436">
        <v>0</v>
      </c>
      <c r="R1436" t="s">
        <v>45097</v>
      </c>
      <c r="S1436" t="s">
        <v>45222</v>
      </c>
      <c r="T1436" t="s">
        <v>46910</v>
      </c>
      <c r="U1436" t="s">
        <v>48477</v>
      </c>
      <c r="W1436" t="s">
        <v>42092</v>
      </c>
      <c r="X1436" t="s">
        <v>45098</v>
      </c>
    </row>
    <row r="1437" spans="1:24">
      <c r="A1437">
        <f>HYPERLINK("https://www.philgeps.gov.ph/GEPSNONPILOT/Tender/SplashBidNoticeAbstractUI.aspx?menuIndex=3&amp;refID=7045883&amp;Result=3","7045883")</f>
        <v>0</v>
      </c>
      <c r="B1437" t="s">
        <v>590</v>
      </c>
      <c r="C1437" t="s">
        <v>4571</v>
      </c>
      <c r="D1437" t="s">
        <v>18022</v>
      </c>
      <c r="E1437" t="s">
        <v>19445</v>
      </c>
      <c r="F1437" t="s">
        <v>31574</v>
      </c>
      <c r="G1437" t="s">
        <v>31582</v>
      </c>
      <c r="H1437" t="s">
        <v>31590</v>
      </c>
      <c r="I1437" t="s">
        <v>4046</v>
      </c>
      <c r="J1437" t="s">
        <v>31962</v>
      </c>
      <c r="K1437" t="s">
        <v>41213</v>
      </c>
      <c r="M1437" t="s">
        <v>42092</v>
      </c>
      <c r="N1437" t="s">
        <v>45095</v>
      </c>
      <c r="O1437" t="s">
        <v>45096</v>
      </c>
      <c r="P1437">
        <v>0</v>
      </c>
      <c r="Q1437">
        <v>0</v>
      </c>
      <c r="R1437" t="s">
        <v>45097</v>
      </c>
      <c r="S1437" t="s">
        <v>45222</v>
      </c>
      <c r="T1437" t="s">
        <v>46910</v>
      </c>
      <c r="U1437" t="s">
        <v>48477</v>
      </c>
      <c r="W1437" t="s">
        <v>42092</v>
      </c>
      <c r="X1437" t="s">
        <v>45098</v>
      </c>
    </row>
    <row r="1438" spans="1:24">
      <c r="A1438">
        <f>HYPERLINK("https://www.philgeps.gov.ph/GEPSNONPILOT/Tender/SplashBidNoticeAbstractUI.aspx?menuIndex=3&amp;refID=7045886&amp;Result=3","7045886")</f>
        <v>0</v>
      </c>
      <c r="B1438" t="s">
        <v>605</v>
      </c>
      <c r="C1438" t="s">
        <v>4572</v>
      </c>
      <c r="D1438" t="s">
        <v>18033</v>
      </c>
      <c r="E1438" t="s">
        <v>19446</v>
      </c>
      <c r="F1438" t="s">
        <v>31574</v>
      </c>
      <c r="G1438" t="s">
        <v>31581</v>
      </c>
      <c r="H1438" t="s">
        <v>31590</v>
      </c>
      <c r="I1438" t="s">
        <v>7185</v>
      </c>
      <c r="J1438" t="s">
        <v>32788</v>
      </c>
      <c r="K1438" t="s">
        <v>41190</v>
      </c>
      <c r="M1438" t="s">
        <v>42108</v>
      </c>
      <c r="N1438" t="s">
        <v>45095</v>
      </c>
      <c r="O1438" t="s">
        <v>45096</v>
      </c>
      <c r="P1438">
        <v>0</v>
      </c>
      <c r="Q1438">
        <v>0</v>
      </c>
      <c r="R1438" t="s">
        <v>45097</v>
      </c>
      <c r="S1438" t="s">
        <v>45222</v>
      </c>
      <c r="T1438" t="s">
        <v>46918</v>
      </c>
      <c r="U1438" t="s">
        <v>48709</v>
      </c>
      <c r="V1438" t="s">
        <v>59990</v>
      </c>
      <c r="W1438" t="s">
        <v>42108</v>
      </c>
      <c r="X1438" t="s">
        <v>45098</v>
      </c>
    </row>
    <row r="1439" spans="1:24">
      <c r="A1439">
        <f>HYPERLINK("https://www.philgeps.gov.ph/GEPSNONPILOT/Tender/SplashBidNoticeAbstractUI.aspx?menuIndex=3&amp;refID=7045864&amp;Result=3","7045864")</f>
        <v>0</v>
      </c>
      <c r="B1439" t="s">
        <v>508</v>
      </c>
      <c r="C1439" t="s">
        <v>4573</v>
      </c>
      <c r="D1439" t="s">
        <v>18023</v>
      </c>
      <c r="E1439" t="s">
        <v>19447</v>
      </c>
      <c r="F1439" t="s">
        <v>31574</v>
      </c>
      <c r="G1439" t="s">
        <v>31581</v>
      </c>
      <c r="H1439" t="s">
        <v>31590</v>
      </c>
      <c r="I1439" t="s">
        <v>4046</v>
      </c>
      <c r="J1439" t="s">
        <v>32789</v>
      </c>
      <c r="K1439" t="s">
        <v>41184</v>
      </c>
      <c r="M1439" t="s">
        <v>42004</v>
      </c>
      <c r="N1439" t="s">
        <v>45095</v>
      </c>
      <c r="O1439" t="s">
        <v>45096</v>
      </c>
      <c r="P1439">
        <v>0</v>
      </c>
      <c r="Q1439">
        <v>0</v>
      </c>
      <c r="R1439" t="s">
        <v>45097</v>
      </c>
      <c r="S1439" t="s">
        <v>45222</v>
      </c>
      <c r="T1439" t="s">
        <v>46904</v>
      </c>
      <c r="U1439" t="s">
        <v>48710</v>
      </c>
      <c r="V1439" t="s">
        <v>59991</v>
      </c>
      <c r="W1439" t="s">
        <v>42004</v>
      </c>
      <c r="X1439" t="s">
        <v>45098</v>
      </c>
    </row>
    <row r="1440" spans="1:24">
      <c r="A1440">
        <f>HYPERLINK("https://www.philgeps.gov.ph/GEPSNONPILOT/Tender/SplashBidNoticeAbstractUI.aspx?menuIndex=3&amp;refID=7045888&amp;Result=3","7045888")</f>
        <v>0</v>
      </c>
      <c r="B1440" t="s">
        <v>551</v>
      </c>
      <c r="C1440" t="s">
        <v>4574</v>
      </c>
      <c r="D1440" t="s">
        <v>18096</v>
      </c>
      <c r="E1440" t="s">
        <v>19448</v>
      </c>
      <c r="F1440" t="s">
        <v>31574</v>
      </c>
      <c r="G1440" t="s">
        <v>31582</v>
      </c>
      <c r="H1440" t="s">
        <v>31590</v>
      </c>
      <c r="I1440" t="s">
        <v>31594</v>
      </c>
      <c r="J1440" t="s">
        <v>32790</v>
      </c>
      <c r="K1440" t="s">
        <v>41192</v>
      </c>
      <c r="M1440" t="s">
        <v>42048</v>
      </c>
      <c r="N1440" t="s">
        <v>45095</v>
      </c>
      <c r="O1440" t="s">
        <v>45096</v>
      </c>
      <c r="P1440">
        <v>0</v>
      </c>
      <c r="Q1440">
        <v>0</v>
      </c>
      <c r="R1440" t="s">
        <v>45097</v>
      </c>
      <c r="S1440" t="s">
        <v>45222</v>
      </c>
      <c r="T1440" t="s">
        <v>47037</v>
      </c>
      <c r="U1440" t="s">
        <v>48711</v>
      </c>
      <c r="W1440" t="s">
        <v>42048</v>
      </c>
      <c r="X1440" t="s">
        <v>45098</v>
      </c>
    </row>
    <row r="1441" spans="1:24">
      <c r="A1441">
        <f>HYPERLINK("https://www.philgeps.gov.ph/GEPSNONPILOT/Tender/SplashBidNoticeAbstractUI.aspx?menuIndex=3&amp;refID=7045877&amp;Result=3","7045877")</f>
        <v>0</v>
      </c>
      <c r="B1441" t="s">
        <v>402</v>
      </c>
      <c r="C1441" t="s">
        <v>4575</v>
      </c>
      <c r="D1441" t="s">
        <v>18078</v>
      </c>
      <c r="E1441" t="s">
        <v>19449</v>
      </c>
      <c r="F1441" t="s">
        <v>31574</v>
      </c>
      <c r="G1441" t="s">
        <v>31581</v>
      </c>
      <c r="H1441" t="s">
        <v>31590</v>
      </c>
      <c r="I1441" t="s">
        <v>6800</v>
      </c>
      <c r="J1441" t="s">
        <v>32791</v>
      </c>
      <c r="K1441" t="s">
        <v>41197</v>
      </c>
      <c r="M1441" t="s">
        <v>41893</v>
      </c>
      <c r="N1441" t="s">
        <v>45095</v>
      </c>
      <c r="O1441" t="s">
        <v>45096</v>
      </c>
      <c r="P1441">
        <v>0</v>
      </c>
      <c r="Q1441">
        <v>0</v>
      </c>
      <c r="R1441" t="s">
        <v>45097</v>
      </c>
      <c r="S1441" t="s">
        <v>45222</v>
      </c>
      <c r="T1441" t="s">
        <v>46961</v>
      </c>
      <c r="U1441" t="s">
        <v>48615</v>
      </c>
      <c r="W1441" t="s">
        <v>41893</v>
      </c>
      <c r="X1441" t="s">
        <v>45098</v>
      </c>
    </row>
    <row r="1442" spans="1:24">
      <c r="A1442">
        <f>HYPERLINK("https://www.philgeps.gov.ph/GEPSNONPILOT/Tender/SplashBidNoticeAbstractUI.aspx?menuIndex=3&amp;refID=7045870&amp;Result=3","7045870")</f>
        <v>0</v>
      </c>
      <c r="B1442" t="s">
        <v>606</v>
      </c>
      <c r="C1442" t="s">
        <v>4576</v>
      </c>
      <c r="D1442" t="s">
        <v>18073</v>
      </c>
      <c r="E1442" t="s">
        <v>19450</v>
      </c>
      <c r="F1442" t="s">
        <v>31574</v>
      </c>
      <c r="G1442" t="s">
        <v>31581</v>
      </c>
      <c r="H1442" t="s">
        <v>31590</v>
      </c>
      <c r="I1442" t="s">
        <v>4327</v>
      </c>
      <c r="J1442" t="s">
        <v>31727</v>
      </c>
      <c r="K1442" t="s">
        <v>41184</v>
      </c>
      <c r="M1442" t="s">
        <v>42109</v>
      </c>
      <c r="N1442" t="s">
        <v>45095</v>
      </c>
      <c r="O1442" t="s">
        <v>45096</v>
      </c>
      <c r="P1442">
        <v>0</v>
      </c>
      <c r="Q1442">
        <v>0</v>
      </c>
      <c r="R1442" t="s">
        <v>45097</v>
      </c>
      <c r="S1442" t="s">
        <v>45222</v>
      </c>
      <c r="T1442" t="s">
        <v>46918</v>
      </c>
      <c r="U1442" t="s">
        <v>48712</v>
      </c>
      <c r="W1442" t="s">
        <v>61675</v>
      </c>
      <c r="X1442" t="s">
        <v>45098</v>
      </c>
    </row>
    <row r="1443" spans="1:24">
      <c r="A1443">
        <f>HYPERLINK("https://www.philgeps.gov.ph/GEPSNONPILOT/Tender/SplashBidNoticeAbstractUI.aspx?menuIndex=3&amp;refID=7045887&amp;Result=3","7045887")</f>
        <v>0</v>
      </c>
      <c r="B1443" t="s">
        <v>439</v>
      </c>
      <c r="C1443" t="s">
        <v>4577</v>
      </c>
      <c r="D1443" t="s">
        <v>18046</v>
      </c>
      <c r="E1443" t="s">
        <v>19451</v>
      </c>
      <c r="F1443" t="s">
        <v>31574</v>
      </c>
      <c r="G1443" t="s">
        <v>31581</v>
      </c>
      <c r="H1443" t="s">
        <v>31590</v>
      </c>
      <c r="I1443" t="s">
        <v>6800</v>
      </c>
      <c r="J1443" t="s">
        <v>32792</v>
      </c>
      <c r="K1443" t="s">
        <v>41184</v>
      </c>
      <c r="M1443" t="s">
        <v>41932</v>
      </c>
      <c r="N1443" t="s">
        <v>45095</v>
      </c>
      <c r="O1443" t="s">
        <v>45096</v>
      </c>
      <c r="P1443">
        <v>0</v>
      </c>
      <c r="Q1443">
        <v>0</v>
      </c>
      <c r="R1443" t="s">
        <v>45097</v>
      </c>
      <c r="S1443" t="s">
        <v>45222</v>
      </c>
      <c r="T1443" t="s">
        <v>46938</v>
      </c>
      <c r="U1443" t="s">
        <v>48621</v>
      </c>
      <c r="W1443" t="s">
        <v>41932</v>
      </c>
      <c r="X1443" t="s">
        <v>45098</v>
      </c>
    </row>
    <row r="1444" spans="1:24">
      <c r="A1444">
        <f>HYPERLINK("https://www.philgeps.gov.ph/GEPSNONPILOT/Tender/SplashBidNoticeAbstractUI.aspx?menuIndex=3&amp;refID=7045907&amp;Result=3","7045907")</f>
        <v>0</v>
      </c>
      <c r="B1444" t="s">
        <v>603</v>
      </c>
      <c r="C1444" t="s">
        <v>4578</v>
      </c>
      <c r="D1444" t="s">
        <v>18022</v>
      </c>
      <c r="E1444" t="s">
        <v>19452</v>
      </c>
      <c r="F1444" t="s">
        <v>31574</v>
      </c>
      <c r="G1444" t="s">
        <v>31583</v>
      </c>
      <c r="H1444" t="s">
        <v>31590</v>
      </c>
      <c r="I1444" t="s">
        <v>5717</v>
      </c>
      <c r="J1444" t="s">
        <v>32793</v>
      </c>
      <c r="K1444" t="s">
        <v>41196</v>
      </c>
      <c r="M1444" t="s">
        <v>42106</v>
      </c>
      <c r="N1444" t="s">
        <v>45095</v>
      </c>
      <c r="O1444" t="s">
        <v>45096</v>
      </c>
      <c r="P1444">
        <v>0</v>
      </c>
      <c r="Q1444">
        <v>0</v>
      </c>
      <c r="R1444" t="s">
        <v>45097</v>
      </c>
      <c r="S1444" t="s">
        <v>45222</v>
      </c>
      <c r="T1444" t="s">
        <v>47077</v>
      </c>
      <c r="U1444" t="s">
        <v>48713</v>
      </c>
      <c r="V1444" t="s">
        <v>59988</v>
      </c>
      <c r="W1444" t="s">
        <v>42106</v>
      </c>
      <c r="X1444" t="s">
        <v>45098</v>
      </c>
    </row>
    <row r="1445" spans="1:24">
      <c r="A1445">
        <f>HYPERLINK("https://www.philgeps.gov.ph/GEPSNONPILOT/Tender/SplashBidNoticeAbstractUI.aspx?menuIndex=3&amp;refID=7045901&amp;Result=3","7045901")</f>
        <v>0</v>
      </c>
      <c r="B1445" t="s">
        <v>607</v>
      </c>
      <c r="C1445" t="s">
        <v>4579</v>
      </c>
      <c r="D1445" t="s">
        <v>18044</v>
      </c>
      <c r="E1445" t="s">
        <v>19453</v>
      </c>
      <c r="F1445" t="s">
        <v>31574</v>
      </c>
      <c r="G1445" t="s">
        <v>31583</v>
      </c>
      <c r="H1445" t="s">
        <v>31590</v>
      </c>
      <c r="I1445" t="s">
        <v>4327</v>
      </c>
      <c r="J1445" t="s">
        <v>31727</v>
      </c>
      <c r="K1445" t="s">
        <v>41186</v>
      </c>
      <c r="M1445" t="s">
        <v>42110</v>
      </c>
      <c r="N1445" t="s">
        <v>45095</v>
      </c>
      <c r="O1445" t="s">
        <v>45096</v>
      </c>
      <c r="P1445">
        <v>0</v>
      </c>
      <c r="Q1445">
        <v>0</v>
      </c>
      <c r="R1445" t="s">
        <v>45097</v>
      </c>
      <c r="S1445" t="s">
        <v>45222</v>
      </c>
      <c r="T1445" t="s">
        <v>46917</v>
      </c>
      <c r="U1445" t="s">
        <v>48714</v>
      </c>
      <c r="W1445" t="s">
        <v>42110</v>
      </c>
      <c r="X1445" t="s">
        <v>45098</v>
      </c>
    </row>
    <row r="1446" spans="1:24">
      <c r="A1446">
        <f>HYPERLINK("https://www.philgeps.gov.ph/GEPSNONPILOT/Tender/SplashBidNoticeAbstractUI.aspx?menuIndex=3&amp;refID=7045899&amp;Result=3","7045899")</f>
        <v>0</v>
      </c>
      <c r="B1446" t="s">
        <v>578</v>
      </c>
      <c r="C1446" t="s">
        <v>4580</v>
      </c>
      <c r="D1446" t="s">
        <v>18031</v>
      </c>
      <c r="E1446" t="s">
        <v>18367</v>
      </c>
      <c r="F1446" t="s">
        <v>31574</v>
      </c>
      <c r="G1446" t="s">
        <v>31583</v>
      </c>
      <c r="H1446" t="s">
        <v>31590</v>
      </c>
      <c r="I1446" t="s">
        <v>31607</v>
      </c>
      <c r="J1446" t="s">
        <v>32794</v>
      </c>
      <c r="K1446" t="s">
        <v>41196</v>
      </c>
      <c r="M1446" t="s">
        <v>42079</v>
      </c>
      <c r="N1446" t="s">
        <v>45095</v>
      </c>
      <c r="O1446" t="s">
        <v>45096</v>
      </c>
      <c r="P1446">
        <v>0</v>
      </c>
      <c r="Q1446">
        <v>0</v>
      </c>
      <c r="R1446" t="s">
        <v>45097</v>
      </c>
      <c r="S1446" t="s">
        <v>45222</v>
      </c>
      <c r="T1446" t="s">
        <v>47064</v>
      </c>
      <c r="U1446" t="s">
        <v>48715</v>
      </c>
      <c r="W1446" t="s">
        <v>42079</v>
      </c>
      <c r="X1446" t="s">
        <v>45098</v>
      </c>
    </row>
    <row r="1447" spans="1:24">
      <c r="A1447">
        <f>HYPERLINK("https://www.philgeps.gov.ph/GEPSNONPILOT/Tender/SplashBidNoticeAbstractUI.aspx?menuIndex=3&amp;refID=7045889&amp;Result=3","7045889")</f>
        <v>0</v>
      </c>
      <c r="B1447" t="s">
        <v>264</v>
      </c>
      <c r="C1447" t="s">
        <v>4581</v>
      </c>
      <c r="D1447" t="s">
        <v>18066</v>
      </c>
      <c r="E1447" t="s">
        <v>19454</v>
      </c>
      <c r="F1447" t="s">
        <v>31574</v>
      </c>
      <c r="G1447" t="s">
        <v>31582</v>
      </c>
      <c r="H1447" t="s">
        <v>31590</v>
      </c>
      <c r="I1447" t="s">
        <v>4327</v>
      </c>
      <c r="J1447" t="s">
        <v>32795</v>
      </c>
      <c r="K1447" t="s">
        <v>41184</v>
      </c>
      <c r="M1447" t="s">
        <v>41750</v>
      </c>
      <c r="N1447" t="s">
        <v>45095</v>
      </c>
      <c r="O1447" t="s">
        <v>45096</v>
      </c>
      <c r="P1447">
        <v>0</v>
      </c>
      <c r="Q1447">
        <v>0</v>
      </c>
      <c r="R1447" t="s">
        <v>45097</v>
      </c>
      <c r="S1447" t="s">
        <v>45222</v>
      </c>
      <c r="T1447" t="s">
        <v>46926</v>
      </c>
      <c r="U1447" t="s">
        <v>48716</v>
      </c>
      <c r="W1447" t="s">
        <v>61674</v>
      </c>
      <c r="X1447" t="s">
        <v>45098</v>
      </c>
    </row>
    <row r="1448" spans="1:24">
      <c r="A1448">
        <f>HYPERLINK("https://www.philgeps.gov.ph/GEPSNONPILOT/Tender/SplashBidNoticeAbstractUI.aspx?menuIndex=3&amp;refID=7045909&amp;Result=3","7045909")</f>
        <v>0</v>
      </c>
      <c r="B1448" t="s">
        <v>239</v>
      </c>
      <c r="C1448" t="s">
        <v>4582</v>
      </c>
      <c r="D1448" t="s">
        <v>18024</v>
      </c>
      <c r="E1448" t="s">
        <v>19455</v>
      </c>
      <c r="F1448" t="s">
        <v>31574</v>
      </c>
      <c r="G1448" t="s">
        <v>31582</v>
      </c>
      <c r="H1448" t="s">
        <v>31590</v>
      </c>
      <c r="I1448" t="s">
        <v>31603</v>
      </c>
      <c r="J1448" t="s">
        <v>32382</v>
      </c>
      <c r="K1448" t="s">
        <v>41190</v>
      </c>
      <c r="M1448" t="s">
        <v>41725</v>
      </c>
      <c r="N1448" t="s">
        <v>45095</v>
      </c>
      <c r="O1448" t="s">
        <v>45096</v>
      </c>
      <c r="P1448">
        <v>0</v>
      </c>
      <c r="Q1448">
        <v>0</v>
      </c>
      <c r="R1448" t="s">
        <v>45097</v>
      </c>
      <c r="S1448" t="s">
        <v>45222</v>
      </c>
      <c r="T1448" t="s">
        <v>46996</v>
      </c>
      <c r="U1448" t="s">
        <v>48717</v>
      </c>
      <c r="W1448" t="s">
        <v>41725</v>
      </c>
      <c r="X1448" t="s">
        <v>45098</v>
      </c>
    </row>
    <row r="1449" spans="1:24">
      <c r="A1449">
        <f>HYPERLINK("https://www.philgeps.gov.ph/GEPSNONPILOT/Tender/SplashBidNoticeAbstractUI.aspx?menuIndex=3&amp;refID=7045897&amp;Result=3","7045897")</f>
        <v>0</v>
      </c>
      <c r="B1449" t="s">
        <v>604</v>
      </c>
      <c r="C1449" t="s">
        <v>4583</v>
      </c>
      <c r="D1449" t="s">
        <v>18039</v>
      </c>
      <c r="E1449" t="s">
        <v>19456</v>
      </c>
      <c r="F1449" t="s">
        <v>31574</v>
      </c>
      <c r="G1449" t="s">
        <v>31581</v>
      </c>
      <c r="H1449" t="s">
        <v>31590</v>
      </c>
      <c r="I1449" t="s">
        <v>31599</v>
      </c>
      <c r="J1449" t="s">
        <v>32796</v>
      </c>
      <c r="K1449" t="s">
        <v>41196</v>
      </c>
      <c r="M1449" t="s">
        <v>42107</v>
      </c>
      <c r="N1449" t="s">
        <v>45095</v>
      </c>
      <c r="O1449" t="s">
        <v>45096</v>
      </c>
      <c r="P1449">
        <v>0</v>
      </c>
      <c r="Q1449">
        <v>0</v>
      </c>
      <c r="R1449" t="s">
        <v>45097</v>
      </c>
      <c r="S1449" t="s">
        <v>45222</v>
      </c>
      <c r="T1449" t="s">
        <v>46961</v>
      </c>
      <c r="U1449" t="s">
        <v>48718</v>
      </c>
      <c r="V1449" t="s">
        <v>59989</v>
      </c>
      <c r="W1449" t="s">
        <v>42107</v>
      </c>
      <c r="X1449" t="s">
        <v>45098</v>
      </c>
    </row>
    <row r="1450" spans="1:24">
      <c r="A1450">
        <f>HYPERLINK("https://www.philgeps.gov.ph/GEPSNONPILOT/Tender/SplashBidNoticeAbstractUI.aspx?menuIndex=3&amp;refID=7045904&amp;Result=3","7045904")</f>
        <v>0</v>
      </c>
      <c r="B1450" t="s">
        <v>608</v>
      </c>
      <c r="C1450" t="s">
        <v>4584</v>
      </c>
      <c r="D1450" t="s">
        <v>18088</v>
      </c>
      <c r="E1450" t="s">
        <v>19457</v>
      </c>
      <c r="F1450" t="s">
        <v>31574</v>
      </c>
      <c r="G1450" t="s">
        <v>31581</v>
      </c>
      <c r="H1450" t="s">
        <v>31593</v>
      </c>
      <c r="I1450" t="s">
        <v>31674</v>
      </c>
      <c r="J1450" t="s">
        <v>31780</v>
      </c>
      <c r="K1450" t="s">
        <v>41192</v>
      </c>
      <c r="M1450" t="s">
        <v>42111</v>
      </c>
      <c r="N1450" t="s">
        <v>45095</v>
      </c>
      <c r="O1450" t="s">
        <v>45096</v>
      </c>
      <c r="P1450">
        <v>0</v>
      </c>
      <c r="Q1450">
        <v>0</v>
      </c>
      <c r="R1450" t="s">
        <v>45097</v>
      </c>
      <c r="S1450" t="s">
        <v>45222</v>
      </c>
      <c r="T1450" t="s">
        <v>46911</v>
      </c>
      <c r="U1450" t="s">
        <v>48719</v>
      </c>
      <c r="W1450" t="s">
        <v>42111</v>
      </c>
      <c r="X1450" t="s">
        <v>45098</v>
      </c>
    </row>
    <row r="1451" spans="1:24">
      <c r="A1451">
        <f>HYPERLINK("https://www.philgeps.gov.ph/GEPSNONPILOT/Tender/SplashBidNoticeAbstractUI.aspx?menuIndex=3&amp;refID=7045908&amp;Result=3","7045908")</f>
        <v>0</v>
      </c>
      <c r="B1451" t="s">
        <v>570</v>
      </c>
      <c r="C1451" t="s">
        <v>4585</v>
      </c>
      <c r="D1451" t="s">
        <v>18047</v>
      </c>
      <c r="E1451" t="s">
        <v>19458</v>
      </c>
      <c r="F1451" t="s">
        <v>31574</v>
      </c>
      <c r="G1451" t="s">
        <v>31582</v>
      </c>
      <c r="H1451" t="s">
        <v>31590</v>
      </c>
      <c r="I1451" t="s">
        <v>31594</v>
      </c>
      <c r="J1451" t="s">
        <v>31935</v>
      </c>
      <c r="K1451" t="s">
        <v>41189</v>
      </c>
      <c r="M1451" t="s">
        <v>42071</v>
      </c>
      <c r="N1451" t="s">
        <v>45095</v>
      </c>
      <c r="O1451" t="s">
        <v>45096</v>
      </c>
      <c r="P1451">
        <v>0</v>
      </c>
      <c r="Q1451">
        <v>0</v>
      </c>
      <c r="R1451" t="s">
        <v>45097</v>
      </c>
      <c r="S1451" t="s">
        <v>45222</v>
      </c>
      <c r="T1451" t="s">
        <v>47069</v>
      </c>
      <c r="U1451" t="s">
        <v>48720</v>
      </c>
      <c r="V1451" t="s">
        <v>59980</v>
      </c>
      <c r="W1451" t="s">
        <v>42071</v>
      </c>
      <c r="X1451" t="s">
        <v>45098</v>
      </c>
    </row>
    <row r="1452" spans="1:24">
      <c r="A1452">
        <f>HYPERLINK("https://www.philgeps.gov.ph/GEPSNONPILOT/Tender/SplashBidNoticeAbstractUI.aspx?menuIndex=3&amp;refID=7045902&amp;Result=3","7045902")</f>
        <v>0</v>
      </c>
      <c r="B1452" t="s">
        <v>609</v>
      </c>
      <c r="C1452" t="s">
        <v>4586</v>
      </c>
      <c r="D1452" t="s">
        <v>18062</v>
      </c>
      <c r="E1452" t="s">
        <v>19459</v>
      </c>
      <c r="F1452" t="s">
        <v>31574</v>
      </c>
      <c r="G1452" t="s">
        <v>31582</v>
      </c>
      <c r="H1452" t="s">
        <v>31591</v>
      </c>
      <c r="I1452" t="s">
        <v>3487</v>
      </c>
      <c r="J1452" t="s">
        <v>31888</v>
      </c>
      <c r="K1452" t="s">
        <v>41192</v>
      </c>
      <c r="M1452" t="s">
        <v>42112</v>
      </c>
      <c r="N1452" t="s">
        <v>45095</v>
      </c>
      <c r="O1452" t="s">
        <v>45096</v>
      </c>
      <c r="P1452">
        <v>0</v>
      </c>
      <c r="Q1452">
        <v>0</v>
      </c>
      <c r="R1452" t="s">
        <v>45097</v>
      </c>
      <c r="S1452" t="s">
        <v>45222</v>
      </c>
      <c r="T1452" t="s">
        <v>47030</v>
      </c>
      <c r="U1452" t="s">
        <v>48721</v>
      </c>
      <c r="W1452" t="s">
        <v>42112</v>
      </c>
      <c r="X1452" t="s">
        <v>45098</v>
      </c>
    </row>
    <row r="1453" spans="1:24">
      <c r="A1453">
        <f>HYPERLINK("https://www.philgeps.gov.ph/GEPSNONPILOT/Tender/SplashBidNoticeAbstractUI.aspx?menuIndex=3&amp;refID=7045894&amp;Result=3","7045894")</f>
        <v>0</v>
      </c>
      <c r="B1453" t="s">
        <v>610</v>
      </c>
      <c r="C1453" t="s">
        <v>4587</v>
      </c>
      <c r="D1453" t="s">
        <v>18075</v>
      </c>
      <c r="E1453" t="s">
        <v>19460</v>
      </c>
      <c r="F1453" t="s">
        <v>31574</v>
      </c>
      <c r="G1453" t="s">
        <v>31584</v>
      </c>
      <c r="H1453" t="s">
        <v>31590</v>
      </c>
      <c r="I1453" t="s">
        <v>31608</v>
      </c>
      <c r="J1453" t="s">
        <v>32797</v>
      </c>
      <c r="K1453" t="s">
        <v>41196</v>
      </c>
      <c r="M1453" t="s">
        <v>42113</v>
      </c>
      <c r="N1453" t="s">
        <v>45095</v>
      </c>
      <c r="O1453" t="s">
        <v>45096</v>
      </c>
      <c r="P1453">
        <v>0</v>
      </c>
      <c r="Q1453">
        <v>0</v>
      </c>
      <c r="R1453" t="s">
        <v>45097</v>
      </c>
      <c r="S1453" t="s">
        <v>45222</v>
      </c>
      <c r="T1453" t="s">
        <v>46971</v>
      </c>
      <c r="U1453" t="s">
        <v>48722</v>
      </c>
      <c r="W1453" t="s">
        <v>42113</v>
      </c>
      <c r="X1453" t="s">
        <v>45098</v>
      </c>
    </row>
    <row r="1454" spans="1:24">
      <c r="A1454">
        <f>HYPERLINK("https://www.philgeps.gov.ph/GEPSNONPILOT/Tender/SplashBidNoticeAbstractUI.aspx?menuIndex=3&amp;refID=7045896&amp;Result=3","7045896")</f>
        <v>0</v>
      </c>
      <c r="B1454" t="s">
        <v>264</v>
      </c>
      <c r="C1454" t="s">
        <v>4588</v>
      </c>
      <c r="D1454" t="s">
        <v>18066</v>
      </c>
      <c r="E1454" t="s">
        <v>19461</v>
      </c>
      <c r="F1454" t="s">
        <v>31574</v>
      </c>
      <c r="G1454" t="s">
        <v>31582</v>
      </c>
      <c r="H1454" t="s">
        <v>31590</v>
      </c>
      <c r="I1454" t="s">
        <v>6800</v>
      </c>
      <c r="J1454" t="s">
        <v>32798</v>
      </c>
      <c r="K1454" t="s">
        <v>41184</v>
      </c>
      <c r="M1454" t="s">
        <v>41750</v>
      </c>
      <c r="N1454" t="s">
        <v>45095</v>
      </c>
      <c r="O1454" t="s">
        <v>45096</v>
      </c>
      <c r="P1454">
        <v>0</v>
      </c>
      <c r="Q1454">
        <v>0</v>
      </c>
      <c r="R1454" t="s">
        <v>45097</v>
      </c>
      <c r="S1454" t="s">
        <v>45222</v>
      </c>
      <c r="T1454" t="s">
        <v>46926</v>
      </c>
      <c r="U1454" t="s">
        <v>48723</v>
      </c>
      <c r="W1454" t="s">
        <v>61674</v>
      </c>
      <c r="X1454" t="s">
        <v>45098</v>
      </c>
    </row>
    <row r="1455" spans="1:24">
      <c r="A1455">
        <f>HYPERLINK("https://www.philgeps.gov.ph/GEPSNONPILOT/Tender/SplashBidNoticeAbstractUI.aspx?menuIndex=3&amp;refID=7045893&amp;Result=3","7045893")</f>
        <v>0</v>
      </c>
      <c r="B1455" t="s">
        <v>588</v>
      </c>
      <c r="C1455" t="s">
        <v>4589</v>
      </c>
      <c r="D1455" t="s">
        <v>18064</v>
      </c>
      <c r="E1455" t="s">
        <v>19283</v>
      </c>
      <c r="F1455" t="s">
        <v>31574</v>
      </c>
      <c r="G1455" t="s">
        <v>31581</v>
      </c>
      <c r="H1455" t="s">
        <v>31590</v>
      </c>
      <c r="I1455" t="s">
        <v>3539</v>
      </c>
      <c r="J1455" t="s">
        <v>32799</v>
      </c>
      <c r="K1455" t="s">
        <v>41213</v>
      </c>
      <c r="M1455" t="s">
        <v>42090</v>
      </c>
      <c r="N1455" t="s">
        <v>45095</v>
      </c>
      <c r="O1455" t="s">
        <v>45096</v>
      </c>
      <c r="P1455">
        <v>0</v>
      </c>
      <c r="Q1455">
        <v>0</v>
      </c>
      <c r="R1455" t="s">
        <v>45097</v>
      </c>
      <c r="S1455" t="s">
        <v>45222</v>
      </c>
      <c r="T1455" t="s">
        <v>46913</v>
      </c>
      <c r="U1455" t="s">
        <v>48724</v>
      </c>
      <c r="W1455" t="s">
        <v>42090</v>
      </c>
      <c r="X1455" t="s">
        <v>45098</v>
      </c>
    </row>
    <row r="1456" spans="1:24">
      <c r="A1456">
        <f>HYPERLINK("https://www.philgeps.gov.ph/GEPSNONPILOT/Tender/SplashBidNoticeAbstractUI.aspx?menuIndex=3&amp;refID=7045911&amp;Result=3","7045911")</f>
        <v>0</v>
      </c>
      <c r="B1456" t="s">
        <v>611</v>
      </c>
      <c r="C1456" t="s">
        <v>4590</v>
      </c>
      <c r="D1456" t="s">
        <v>18044</v>
      </c>
      <c r="E1456" t="s">
        <v>19462</v>
      </c>
      <c r="F1456" t="s">
        <v>31574</v>
      </c>
      <c r="G1456" t="s">
        <v>31581</v>
      </c>
      <c r="H1456" t="s">
        <v>31590</v>
      </c>
      <c r="I1456" t="s">
        <v>31599</v>
      </c>
      <c r="J1456" t="s">
        <v>32800</v>
      </c>
      <c r="K1456" t="s">
        <v>41193</v>
      </c>
      <c r="M1456" t="s">
        <v>42114</v>
      </c>
      <c r="N1456" t="s">
        <v>45095</v>
      </c>
      <c r="O1456" t="s">
        <v>45096</v>
      </c>
      <c r="P1456">
        <v>0</v>
      </c>
      <c r="Q1456">
        <v>0</v>
      </c>
      <c r="R1456" t="s">
        <v>45097</v>
      </c>
      <c r="S1456" t="s">
        <v>45222</v>
      </c>
      <c r="T1456" t="s">
        <v>46911</v>
      </c>
      <c r="U1456" t="s">
        <v>48725</v>
      </c>
      <c r="W1456" t="s">
        <v>42114</v>
      </c>
      <c r="X1456" t="s">
        <v>45098</v>
      </c>
    </row>
    <row r="1457" spans="1:24">
      <c r="A1457">
        <f>HYPERLINK("https://www.philgeps.gov.ph/GEPSNONPILOT/Tender/SplashBidNoticeAbstractUI.aspx?menuIndex=3&amp;refID=7045891&amp;Result=3","7045891")</f>
        <v>0</v>
      </c>
      <c r="B1457" t="s">
        <v>612</v>
      </c>
      <c r="C1457" t="s">
        <v>4591</v>
      </c>
      <c r="D1457" t="s">
        <v>18044</v>
      </c>
      <c r="E1457" t="s">
        <v>19463</v>
      </c>
      <c r="F1457" t="s">
        <v>31574</v>
      </c>
      <c r="G1457" t="s">
        <v>31582</v>
      </c>
      <c r="H1457" t="s">
        <v>31590</v>
      </c>
      <c r="I1457" t="s">
        <v>7162</v>
      </c>
      <c r="J1457" t="s">
        <v>31741</v>
      </c>
      <c r="K1457" t="s">
        <v>41211</v>
      </c>
      <c r="M1457" t="s">
        <v>42115</v>
      </c>
      <c r="N1457" t="s">
        <v>45095</v>
      </c>
      <c r="O1457" t="s">
        <v>45096</v>
      </c>
      <c r="P1457">
        <v>0</v>
      </c>
      <c r="Q1457">
        <v>0</v>
      </c>
      <c r="R1457" t="s">
        <v>45097</v>
      </c>
      <c r="S1457" t="s">
        <v>45222</v>
      </c>
      <c r="T1457" t="s">
        <v>46935</v>
      </c>
      <c r="U1457" t="s">
        <v>48726</v>
      </c>
      <c r="W1457" t="s">
        <v>42115</v>
      </c>
      <c r="X1457" t="s">
        <v>45098</v>
      </c>
    </row>
    <row r="1458" spans="1:24">
      <c r="A1458">
        <f>HYPERLINK("https://www.philgeps.gov.ph/GEPSNONPILOT/Tender/SplashBidNoticeAbstractUI.aspx?menuIndex=3&amp;refID=7045912&amp;Result=3","7045912")</f>
        <v>0</v>
      </c>
      <c r="B1458" t="s">
        <v>216</v>
      </c>
      <c r="C1458" t="s">
        <v>4592</v>
      </c>
      <c r="D1458" t="s">
        <v>18058</v>
      </c>
      <c r="E1458" t="s">
        <v>19464</v>
      </c>
      <c r="F1458" t="s">
        <v>31574</v>
      </c>
      <c r="G1458" t="s">
        <v>31583</v>
      </c>
      <c r="H1458" t="s">
        <v>31590</v>
      </c>
      <c r="I1458" t="s">
        <v>31602</v>
      </c>
      <c r="J1458" t="s">
        <v>32801</v>
      </c>
      <c r="K1458" t="s">
        <v>41193</v>
      </c>
      <c r="M1458" t="s">
        <v>41701</v>
      </c>
      <c r="N1458" t="s">
        <v>45095</v>
      </c>
      <c r="O1458" t="s">
        <v>45096</v>
      </c>
      <c r="P1458">
        <v>0</v>
      </c>
      <c r="Q1458">
        <v>0</v>
      </c>
      <c r="R1458" t="s">
        <v>45097</v>
      </c>
      <c r="S1458" t="s">
        <v>45222</v>
      </c>
      <c r="T1458" t="s">
        <v>46932</v>
      </c>
      <c r="U1458" t="s">
        <v>48727</v>
      </c>
      <c r="W1458" t="s">
        <v>41701</v>
      </c>
      <c r="X1458" t="s">
        <v>45098</v>
      </c>
    </row>
    <row r="1459" spans="1:24">
      <c r="A1459">
        <f>HYPERLINK("https://www.philgeps.gov.ph/GEPSNONPILOT/Tender/SplashBidNoticeAbstractUI.aspx?menuIndex=3&amp;refID=7045892&amp;Result=3","7045892")</f>
        <v>0</v>
      </c>
      <c r="B1459" t="s">
        <v>613</v>
      </c>
      <c r="C1459" t="s">
        <v>4593</v>
      </c>
      <c r="D1459" t="s">
        <v>18065</v>
      </c>
      <c r="E1459" t="s">
        <v>19465</v>
      </c>
      <c r="F1459" t="s">
        <v>31574</v>
      </c>
      <c r="G1459" t="s">
        <v>31582</v>
      </c>
      <c r="H1459" t="s">
        <v>31591</v>
      </c>
      <c r="I1459" t="s">
        <v>8822</v>
      </c>
      <c r="J1459" t="s">
        <v>32510</v>
      </c>
      <c r="K1459" t="s">
        <v>41189</v>
      </c>
      <c r="M1459" t="s">
        <v>42116</v>
      </c>
      <c r="N1459" t="s">
        <v>45095</v>
      </c>
      <c r="O1459" t="s">
        <v>45096</v>
      </c>
      <c r="P1459">
        <v>0</v>
      </c>
      <c r="Q1459">
        <v>0</v>
      </c>
      <c r="R1459" t="s">
        <v>45097</v>
      </c>
      <c r="S1459" t="s">
        <v>45222</v>
      </c>
      <c r="T1459" t="s">
        <v>47009</v>
      </c>
      <c r="U1459" t="s">
        <v>48728</v>
      </c>
      <c r="V1459" t="s">
        <v>59992</v>
      </c>
      <c r="W1459" t="s">
        <v>42116</v>
      </c>
      <c r="X1459" t="s">
        <v>45098</v>
      </c>
    </row>
    <row r="1460" spans="1:24">
      <c r="A1460">
        <f>HYPERLINK("https://www.philgeps.gov.ph/GEPSNONPILOT/Tender/SplashBidNoticeAbstractUI.aspx?menuIndex=3&amp;refID=7045910&amp;Result=3","7045910")</f>
        <v>0</v>
      </c>
      <c r="B1460" t="s">
        <v>264</v>
      </c>
      <c r="C1460" t="s">
        <v>4594</v>
      </c>
      <c r="D1460" t="s">
        <v>18066</v>
      </c>
      <c r="E1460" t="s">
        <v>19466</v>
      </c>
      <c r="F1460" t="s">
        <v>31574</v>
      </c>
      <c r="G1460" t="s">
        <v>31582</v>
      </c>
      <c r="H1460" t="s">
        <v>31590</v>
      </c>
      <c r="I1460" t="s">
        <v>7185</v>
      </c>
      <c r="J1460" t="s">
        <v>32802</v>
      </c>
      <c r="K1460" t="s">
        <v>41184</v>
      </c>
      <c r="M1460" t="s">
        <v>41750</v>
      </c>
      <c r="N1460" t="s">
        <v>45095</v>
      </c>
      <c r="O1460" t="s">
        <v>45096</v>
      </c>
      <c r="P1460">
        <v>0</v>
      </c>
      <c r="Q1460">
        <v>0</v>
      </c>
      <c r="R1460" t="s">
        <v>45097</v>
      </c>
      <c r="S1460" t="s">
        <v>45222</v>
      </c>
      <c r="T1460" t="s">
        <v>46926</v>
      </c>
      <c r="U1460" t="s">
        <v>48729</v>
      </c>
      <c r="W1460" t="s">
        <v>61674</v>
      </c>
      <c r="X1460" t="s">
        <v>45098</v>
      </c>
    </row>
    <row r="1461" spans="1:24">
      <c r="A1461">
        <f>HYPERLINK("https://www.philgeps.gov.ph/GEPSNONPILOT/Tender/SplashBidNoticeAbstractUI.aspx?menuIndex=3&amp;refID=7045915&amp;Result=3","7045915")</f>
        <v>0</v>
      </c>
      <c r="B1461" t="s">
        <v>160</v>
      </c>
      <c r="C1461" t="s">
        <v>4595</v>
      </c>
      <c r="D1461" t="s">
        <v>18023</v>
      </c>
      <c r="E1461" t="s">
        <v>19467</v>
      </c>
      <c r="F1461" t="s">
        <v>31574</v>
      </c>
      <c r="G1461" t="s">
        <v>31581</v>
      </c>
      <c r="H1461" t="s">
        <v>31590</v>
      </c>
      <c r="I1461" t="s">
        <v>31600</v>
      </c>
      <c r="J1461" t="s">
        <v>32803</v>
      </c>
      <c r="K1461" t="s">
        <v>41186</v>
      </c>
      <c r="M1461" t="s">
        <v>41644</v>
      </c>
      <c r="N1461" t="s">
        <v>45095</v>
      </c>
      <c r="O1461" t="s">
        <v>45096</v>
      </c>
      <c r="P1461">
        <v>0</v>
      </c>
      <c r="Q1461">
        <v>0</v>
      </c>
      <c r="R1461" t="s">
        <v>45097</v>
      </c>
      <c r="S1461" t="s">
        <v>45222</v>
      </c>
      <c r="T1461" t="s">
        <v>46971</v>
      </c>
      <c r="U1461" t="s">
        <v>47774</v>
      </c>
      <c r="W1461" t="s">
        <v>61655</v>
      </c>
      <c r="X1461" t="s">
        <v>45098</v>
      </c>
    </row>
    <row r="1462" spans="1:24">
      <c r="A1462">
        <f>HYPERLINK("https://www.philgeps.gov.ph/GEPSNONPILOT/Tender/SplashBidNoticeAbstractUI.aspx?menuIndex=3&amp;refID=7045917&amp;Result=3","7045917")</f>
        <v>0</v>
      </c>
      <c r="B1462" t="s">
        <v>585</v>
      </c>
      <c r="C1462" t="s">
        <v>4596</v>
      </c>
      <c r="D1462" t="s">
        <v>18089</v>
      </c>
      <c r="E1462" t="s">
        <v>19468</v>
      </c>
      <c r="F1462" t="s">
        <v>31574</v>
      </c>
      <c r="G1462" t="s">
        <v>31581</v>
      </c>
      <c r="H1462" t="s">
        <v>31590</v>
      </c>
      <c r="I1462" t="s">
        <v>4046</v>
      </c>
      <c r="J1462" t="s">
        <v>32804</v>
      </c>
      <c r="K1462" t="s">
        <v>41193</v>
      </c>
      <c r="M1462" t="s">
        <v>42087</v>
      </c>
      <c r="N1462" t="s">
        <v>45095</v>
      </c>
      <c r="O1462" t="s">
        <v>45096</v>
      </c>
      <c r="P1462">
        <v>0</v>
      </c>
      <c r="Q1462">
        <v>0</v>
      </c>
      <c r="R1462" t="s">
        <v>45097</v>
      </c>
      <c r="S1462" t="s">
        <v>45222</v>
      </c>
      <c r="T1462" t="s">
        <v>46949</v>
      </c>
      <c r="U1462" t="s">
        <v>48730</v>
      </c>
      <c r="V1462" t="s">
        <v>59984</v>
      </c>
      <c r="W1462" t="s">
        <v>42087</v>
      </c>
      <c r="X1462" t="s">
        <v>45098</v>
      </c>
    </row>
    <row r="1463" spans="1:24">
      <c r="A1463">
        <f>HYPERLINK("https://www.philgeps.gov.ph/GEPSNONPILOT/Tender/SplashBidNoticeAbstractUI.aspx?menuIndex=3&amp;refID=7045931&amp;Result=3","7045931")</f>
        <v>0</v>
      </c>
      <c r="B1463" t="s">
        <v>614</v>
      </c>
      <c r="C1463" t="s">
        <v>4597</v>
      </c>
      <c r="D1463" t="s">
        <v>18022</v>
      </c>
      <c r="E1463" t="s">
        <v>19469</v>
      </c>
      <c r="F1463" t="s">
        <v>31574</v>
      </c>
      <c r="G1463" t="s">
        <v>31583</v>
      </c>
      <c r="H1463" t="s">
        <v>31590</v>
      </c>
      <c r="I1463" t="s">
        <v>31595</v>
      </c>
      <c r="J1463" t="s">
        <v>32490</v>
      </c>
      <c r="K1463" t="s">
        <v>41184</v>
      </c>
      <c r="M1463" t="s">
        <v>42117</v>
      </c>
      <c r="N1463" t="s">
        <v>45095</v>
      </c>
      <c r="O1463" t="s">
        <v>45096</v>
      </c>
      <c r="P1463">
        <v>0</v>
      </c>
      <c r="Q1463">
        <v>0</v>
      </c>
      <c r="R1463" t="s">
        <v>45097</v>
      </c>
      <c r="S1463" t="s">
        <v>45222</v>
      </c>
      <c r="T1463" t="s">
        <v>46911</v>
      </c>
      <c r="U1463" t="s">
        <v>48731</v>
      </c>
      <c r="W1463" t="s">
        <v>42117</v>
      </c>
      <c r="X1463" t="s">
        <v>45098</v>
      </c>
    </row>
    <row r="1464" spans="1:24">
      <c r="A1464">
        <f>HYPERLINK("https://www.philgeps.gov.ph/GEPSNONPILOT/Tender/SplashBidNoticeAbstractUI.aspx?menuIndex=3&amp;refID=7045930&amp;Result=3","7045930")</f>
        <v>0</v>
      </c>
      <c r="B1464" t="s">
        <v>615</v>
      </c>
      <c r="C1464" t="s">
        <v>4598</v>
      </c>
      <c r="D1464" t="s">
        <v>18092</v>
      </c>
      <c r="E1464" t="s">
        <v>19470</v>
      </c>
      <c r="F1464" t="s">
        <v>31574</v>
      </c>
      <c r="G1464" t="s">
        <v>31582</v>
      </c>
      <c r="H1464" t="s">
        <v>31591</v>
      </c>
      <c r="I1464" t="s">
        <v>8822</v>
      </c>
      <c r="J1464" t="s">
        <v>32026</v>
      </c>
      <c r="K1464" t="s">
        <v>41189</v>
      </c>
      <c r="M1464" t="s">
        <v>42118</v>
      </c>
      <c r="N1464" t="s">
        <v>45095</v>
      </c>
      <c r="O1464" t="s">
        <v>45096</v>
      </c>
      <c r="P1464">
        <v>0</v>
      </c>
      <c r="Q1464">
        <v>0</v>
      </c>
      <c r="R1464" t="s">
        <v>45097</v>
      </c>
      <c r="S1464" t="s">
        <v>45222</v>
      </c>
      <c r="T1464" t="s">
        <v>47078</v>
      </c>
      <c r="U1464" t="s">
        <v>48732</v>
      </c>
      <c r="W1464" t="s">
        <v>42118</v>
      </c>
      <c r="X1464" t="s">
        <v>45098</v>
      </c>
    </row>
    <row r="1465" spans="1:24">
      <c r="A1465">
        <f>HYPERLINK("https://www.philgeps.gov.ph/GEPSNONPILOT/Tender/SplashBidNoticeAbstractUI.aspx?menuIndex=3&amp;refID=7045913&amp;Result=3","7045913")</f>
        <v>0</v>
      </c>
      <c r="B1465" t="s">
        <v>291</v>
      </c>
      <c r="C1465" t="s">
        <v>4599</v>
      </c>
      <c r="D1465" t="s">
        <v>18091</v>
      </c>
      <c r="E1465" t="s">
        <v>19471</v>
      </c>
      <c r="F1465" t="s">
        <v>31574</v>
      </c>
      <c r="G1465" t="s">
        <v>31582</v>
      </c>
      <c r="H1465" t="s">
        <v>31590</v>
      </c>
      <c r="I1465" t="s">
        <v>31600</v>
      </c>
      <c r="J1465" t="s">
        <v>32805</v>
      </c>
      <c r="K1465" t="s">
        <v>41193</v>
      </c>
      <c r="M1465" t="s">
        <v>41777</v>
      </c>
      <c r="N1465" t="s">
        <v>45095</v>
      </c>
      <c r="O1465" t="s">
        <v>45096</v>
      </c>
      <c r="P1465">
        <v>0</v>
      </c>
      <c r="Q1465">
        <v>0</v>
      </c>
      <c r="R1465" t="s">
        <v>45097</v>
      </c>
      <c r="S1465" t="s">
        <v>45222</v>
      </c>
      <c r="T1465" t="s">
        <v>46987</v>
      </c>
      <c r="U1465" t="s">
        <v>48174</v>
      </c>
      <c r="V1465" t="s">
        <v>59918</v>
      </c>
      <c r="W1465" t="s">
        <v>41777</v>
      </c>
      <c r="X1465" t="s">
        <v>45098</v>
      </c>
    </row>
    <row r="1466" spans="1:24">
      <c r="A1466">
        <f>HYPERLINK("https://www.philgeps.gov.ph/GEPSNONPILOT/Tender/SplashBidNoticeAbstractUI.aspx?menuIndex=3&amp;refID=7045929&amp;Result=3","7045929")</f>
        <v>0</v>
      </c>
      <c r="B1466" t="s">
        <v>616</v>
      </c>
      <c r="C1466" t="s">
        <v>4600</v>
      </c>
      <c r="D1466" t="s">
        <v>18040</v>
      </c>
      <c r="E1466" t="s">
        <v>19472</v>
      </c>
      <c r="F1466" t="s">
        <v>31574</v>
      </c>
      <c r="G1466" t="s">
        <v>31581</v>
      </c>
      <c r="H1466" t="s">
        <v>31592</v>
      </c>
      <c r="I1466" t="s">
        <v>31664</v>
      </c>
      <c r="J1466" t="s">
        <v>32126</v>
      </c>
      <c r="K1466" t="s">
        <v>41193</v>
      </c>
      <c r="M1466" t="s">
        <v>42119</v>
      </c>
      <c r="N1466" t="s">
        <v>45095</v>
      </c>
      <c r="O1466" t="s">
        <v>45096</v>
      </c>
      <c r="P1466">
        <v>0</v>
      </c>
      <c r="Q1466">
        <v>0</v>
      </c>
      <c r="R1466" t="s">
        <v>45097</v>
      </c>
      <c r="S1466" t="s">
        <v>45222</v>
      </c>
      <c r="T1466" t="s">
        <v>46946</v>
      </c>
      <c r="U1466" t="s">
        <v>48733</v>
      </c>
      <c r="W1466" t="s">
        <v>42119</v>
      </c>
      <c r="X1466" t="s">
        <v>45098</v>
      </c>
    </row>
    <row r="1467" spans="1:24">
      <c r="A1467">
        <f>HYPERLINK("https://www.philgeps.gov.ph/GEPSNONPILOT/Tender/SplashBidNoticeAbstractUI.aspx?menuIndex=3&amp;refID=7045924&amp;Result=3","7045924")</f>
        <v>0</v>
      </c>
      <c r="B1467" t="s">
        <v>617</v>
      </c>
      <c r="C1467" t="s">
        <v>4601</v>
      </c>
      <c r="E1467" t="s">
        <v>19473</v>
      </c>
      <c r="F1467" t="s">
        <v>31574</v>
      </c>
      <c r="G1467" t="s">
        <v>31584</v>
      </c>
      <c r="H1467" t="s">
        <v>31590</v>
      </c>
      <c r="I1467" t="s">
        <v>6800</v>
      </c>
      <c r="J1467" t="s">
        <v>31993</v>
      </c>
      <c r="K1467" t="s">
        <v>41184</v>
      </c>
      <c r="M1467" t="s">
        <v>42120</v>
      </c>
      <c r="N1467" t="s">
        <v>45095</v>
      </c>
      <c r="O1467" t="s">
        <v>45096</v>
      </c>
      <c r="P1467">
        <v>0</v>
      </c>
      <c r="Q1467">
        <v>0</v>
      </c>
      <c r="R1467" t="s">
        <v>45097</v>
      </c>
      <c r="S1467" t="s">
        <v>45222</v>
      </c>
      <c r="T1467" t="s">
        <v>46979</v>
      </c>
      <c r="U1467" t="s">
        <v>48734</v>
      </c>
      <c r="W1467" t="s">
        <v>42120</v>
      </c>
      <c r="X1467" t="s">
        <v>45098</v>
      </c>
    </row>
    <row r="1468" spans="1:24">
      <c r="A1468">
        <f>HYPERLINK("https://www.philgeps.gov.ph/GEPSNONPILOT/Tender/SplashBidNoticeAbstractUI.aspx?menuIndex=3&amp;refID=7045926&amp;Result=3","7045926")</f>
        <v>0</v>
      </c>
      <c r="B1468" t="s">
        <v>603</v>
      </c>
      <c r="C1468" t="s">
        <v>4602</v>
      </c>
      <c r="D1468" t="s">
        <v>18022</v>
      </c>
      <c r="E1468" t="s">
        <v>19474</v>
      </c>
      <c r="F1468" t="s">
        <v>31574</v>
      </c>
      <c r="G1468" t="s">
        <v>31583</v>
      </c>
      <c r="H1468" t="s">
        <v>31590</v>
      </c>
      <c r="I1468" t="s">
        <v>6800</v>
      </c>
      <c r="J1468" t="s">
        <v>32806</v>
      </c>
      <c r="K1468" t="s">
        <v>41196</v>
      </c>
      <c r="M1468" t="s">
        <v>42106</v>
      </c>
      <c r="N1468" t="s">
        <v>45095</v>
      </c>
      <c r="O1468" t="s">
        <v>45096</v>
      </c>
      <c r="P1468">
        <v>0</v>
      </c>
      <c r="Q1468">
        <v>0</v>
      </c>
      <c r="R1468" t="s">
        <v>45097</v>
      </c>
      <c r="S1468" t="s">
        <v>45222</v>
      </c>
      <c r="T1468" t="s">
        <v>47077</v>
      </c>
      <c r="U1468" t="s">
        <v>48735</v>
      </c>
      <c r="V1468" t="s">
        <v>59988</v>
      </c>
      <c r="W1468" t="s">
        <v>42106</v>
      </c>
      <c r="X1468" t="s">
        <v>45098</v>
      </c>
    </row>
    <row r="1469" spans="1:24">
      <c r="A1469">
        <f>HYPERLINK("https://www.philgeps.gov.ph/GEPSNONPILOT/Tender/SplashBidNoticeAbstractUI.aspx?menuIndex=3&amp;refID=7045921&amp;Result=3","7045921")</f>
        <v>0</v>
      </c>
      <c r="B1469" t="s">
        <v>264</v>
      </c>
      <c r="C1469" t="s">
        <v>4603</v>
      </c>
      <c r="D1469" t="s">
        <v>18066</v>
      </c>
      <c r="E1469" t="s">
        <v>19475</v>
      </c>
      <c r="F1469" t="s">
        <v>31574</v>
      </c>
      <c r="G1469" t="s">
        <v>31582</v>
      </c>
      <c r="H1469" t="s">
        <v>31590</v>
      </c>
      <c r="I1469" t="s">
        <v>7185</v>
      </c>
      <c r="J1469" t="s">
        <v>32807</v>
      </c>
      <c r="K1469" t="s">
        <v>41184</v>
      </c>
      <c r="M1469" t="s">
        <v>41750</v>
      </c>
      <c r="N1469" t="s">
        <v>45095</v>
      </c>
      <c r="O1469" t="s">
        <v>45096</v>
      </c>
      <c r="P1469">
        <v>0</v>
      </c>
      <c r="Q1469">
        <v>0</v>
      </c>
      <c r="R1469" t="s">
        <v>45097</v>
      </c>
      <c r="S1469" t="s">
        <v>45222</v>
      </c>
      <c r="T1469" t="s">
        <v>46926</v>
      </c>
      <c r="U1469" t="s">
        <v>48736</v>
      </c>
      <c r="W1469" t="s">
        <v>61674</v>
      </c>
      <c r="X1469" t="s">
        <v>45098</v>
      </c>
    </row>
    <row r="1470" spans="1:24">
      <c r="A1470">
        <f>HYPERLINK("https://www.philgeps.gov.ph/GEPSNONPILOT/Tender/SplashBidNoticeAbstractUI.aspx?menuIndex=3&amp;refID=7045916&amp;Result=3","7045916")</f>
        <v>0</v>
      </c>
      <c r="B1470" t="s">
        <v>587</v>
      </c>
      <c r="C1470" t="s">
        <v>4604</v>
      </c>
      <c r="D1470" t="s">
        <v>18022</v>
      </c>
      <c r="E1470" t="s">
        <v>19476</v>
      </c>
      <c r="F1470" t="s">
        <v>31574</v>
      </c>
      <c r="G1470" t="s">
        <v>31581</v>
      </c>
      <c r="H1470" t="s">
        <v>31590</v>
      </c>
      <c r="I1470" t="s">
        <v>31620</v>
      </c>
      <c r="J1470" t="s">
        <v>32808</v>
      </c>
      <c r="K1470" t="s">
        <v>41196</v>
      </c>
      <c r="M1470" t="s">
        <v>42089</v>
      </c>
      <c r="N1470" t="s">
        <v>45095</v>
      </c>
      <c r="O1470" t="s">
        <v>45096</v>
      </c>
      <c r="P1470">
        <v>0</v>
      </c>
      <c r="Q1470">
        <v>0</v>
      </c>
      <c r="R1470" t="s">
        <v>45097</v>
      </c>
      <c r="S1470" t="s">
        <v>45222</v>
      </c>
      <c r="T1470" t="s">
        <v>47068</v>
      </c>
      <c r="U1470" t="s">
        <v>48675</v>
      </c>
      <c r="W1470" t="s">
        <v>42089</v>
      </c>
      <c r="X1470" t="s">
        <v>45098</v>
      </c>
    </row>
    <row r="1471" spans="1:24">
      <c r="A1471">
        <f>HYPERLINK("https://www.philgeps.gov.ph/GEPSNONPILOT/Tender/SplashBidNoticeAbstractUI.aspx?menuIndex=3&amp;refID=7045927&amp;Result=3","7045927")</f>
        <v>0</v>
      </c>
      <c r="B1471" t="s">
        <v>119</v>
      </c>
      <c r="C1471" t="s">
        <v>4605</v>
      </c>
      <c r="D1471" t="s">
        <v>18052</v>
      </c>
      <c r="E1471" t="s">
        <v>19477</v>
      </c>
      <c r="F1471" t="s">
        <v>31574</v>
      </c>
      <c r="G1471" t="s">
        <v>31581</v>
      </c>
      <c r="H1471" t="s">
        <v>31590</v>
      </c>
      <c r="I1471" t="s">
        <v>3901</v>
      </c>
      <c r="J1471" t="s">
        <v>31842</v>
      </c>
      <c r="K1471" t="s">
        <v>41197</v>
      </c>
      <c r="L1471" t="s">
        <v>119</v>
      </c>
      <c r="M1471" t="s">
        <v>41603</v>
      </c>
      <c r="N1471" t="s">
        <v>45095</v>
      </c>
      <c r="O1471" t="s">
        <v>45096</v>
      </c>
      <c r="P1471">
        <v>0</v>
      </c>
      <c r="Q1471">
        <v>0</v>
      </c>
      <c r="R1471" t="s">
        <v>45097</v>
      </c>
      <c r="S1471" t="s">
        <v>45222</v>
      </c>
      <c r="T1471" t="s">
        <v>47079</v>
      </c>
      <c r="U1471" t="s">
        <v>48737</v>
      </c>
      <c r="W1471" t="s">
        <v>41603</v>
      </c>
      <c r="X1471" t="s">
        <v>45098</v>
      </c>
    </row>
    <row r="1472" spans="1:24">
      <c r="A1472">
        <f>HYPERLINK("https://www.philgeps.gov.ph/GEPSNONPILOT/Tender/SplashBidNoticeAbstractUI.aspx?menuIndex=3&amp;refID=7045918&amp;Result=3","7045918")</f>
        <v>0</v>
      </c>
      <c r="B1472" t="s">
        <v>416</v>
      </c>
      <c r="C1472" t="s">
        <v>4606</v>
      </c>
      <c r="D1472" t="s">
        <v>18046</v>
      </c>
      <c r="E1472" t="s">
        <v>19478</v>
      </c>
      <c r="F1472" t="s">
        <v>31574</v>
      </c>
      <c r="G1472" t="s">
        <v>31582</v>
      </c>
      <c r="H1472" t="s">
        <v>31590</v>
      </c>
      <c r="I1472" t="s">
        <v>14544</v>
      </c>
      <c r="J1472" t="s">
        <v>32809</v>
      </c>
      <c r="K1472" t="s">
        <v>41196</v>
      </c>
      <c r="M1472" t="s">
        <v>41908</v>
      </c>
      <c r="N1472" t="s">
        <v>45095</v>
      </c>
      <c r="O1472" t="s">
        <v>45096</v>
      </c>
      <c r="P1472">
        <v>0</v>
      </c>
      <c r="Q1472">
        <v>0</v>
      </c>
      <c r="R1472" t="s">
        <v>45097</v>
      </c>
      <c r="S1472" t="s">
        <v>45222</v>
      </c>
      <c r="T1472" t="s">
        <v>46930</v>
      </c>
      <c r="U1472" t="s">
        <v>48738</v>
      </c>
      <c r="W1472" t="s">
        <v>41908</v>
      </c>
      <c r="X1472" t="s">
        <v>45098</v>
      </c>
    </row>
    <row r="1473" spans="1:24">
      <c r="A1473">
        <f>HYPERLINK("https://www.philgeps.gov.ph/GEPSNONPILOT/Tender/SplashBidNoticeAbstractUI.aspx?menuIndex=3&amp;refID=7045936&amp;Result=3","7045936")</f>
        <v>0</v>
      </c>
      <c r="B1473" t="s">
        <v>289</v>
      </c>
      <c r="C1473" t="s">
        <v>4607</v>
      </c>
      <c r="D1473" t="s">
        <v>18044</v>
      </c>
      <c r="E1473" t="s">
        <v>19479</v>
      </c>
      <c r="F1473" t="s">
        <v>31574</v>
      </c>
      <c r="G1473" t="s">
        <v>31583</v>
      </c>
      <c r="H1473" t="s">
        <v>31590</v>
      </c>
      <c r="I1473" t="s">
        <v>3487</v>
      </c>
      <c r="J1473" t="s">
        <v>32810</v>
      </c>
      <c r="K1473" t="s">
        <v>41192</v>
      </c>
      <c r="M1473" t="s">
        <v>41775</v>
      </c>
      <c r="N1473" t="s">
        <v>45095</v>
      </c>
      <c r="O1473" t="s">
        <v>45096</v>
      </c>
      <c r="P1473">
        <v>0</v>
      </c>
      <c r="Q1473">
        <v>0</v>
      </c>
      <c r="R1473" t="s">
        <v>45097</v>
      </c>
      <c r="S1473" t="s">
        <v>45222</v>
      </c>
      <c r="T1473" t="s">
        <v>46980</v>
      </c>
      <c r="U1473" t="s">
        <v>48739</v>
      </c>
      <c r="W1473" t="s">
        <v>61661</v>
      </c>
      <c r="X1473" t="s">
        <v>45098</v>
      </c>
    </row>
    <row r="1474" spans="1:24">
      <c r="A1474">
        <f>HYPERLINK("https://www.philgeps.gov.ph/GEPSNONPILOT/Tender/SplashBidNoticeAbstractUI.aspx?menuIndex=3&amp;refID=7045937&amp;Result=3","7045937")</f>
        <v>0</v>
      </c>
      <c r="B1474" t="s">
        <v>402</v>
      </c>
      <c r="C1474" t="s">
        <v>4608</v>
      </c>
      <c r="D1474" t="s">
        <v>18078</v>
      </c>
      <c r="E1474" t="s">
        <v>19480</v>
      </c>
      <c r="F1474" t="s">
        <v>31574</v>
      </c>
      <c r="G1474" t="s">
        <v>31581</v>
      </c>
      <c r="H1474" t="s">
        <v>31590</v>
      </c>
      <c r="I1474" t="s">
        <v>3539</v>
      </c>
      <c r="J1474" t="s">
        <v>31842</v>
      </c>
      <c r="K1474" t="s">
        <v>41197</v>
      </c>
      <c r="M1474" t="s">
        <v>41893</v>
      </c>
      <c r="N1474" t="s">
        <v>45095</v>
      </c>
      <c r="O1474" t="s">
        <v>45096</v>
      </c>
      <c r="P1474">
        <v>0</v>
      </c>
      <c r="Q1474">
        <v>0</v>
      </c>
      <c r="R1474" t="s">
        <v>45097</v>
      </c>
      <c r="S1474" t="s">
        <v>45222</v>
      </c>
      <c r="T1474" t="s">
        <v>46961</v>
      </c>
      <c r="U1474" t="s">
        <v>48740</v>
      </c>
      <c r="W1474" t="s">
        <v>41893</v>
      </c>
      <c r="X1474" t="s">
        <v>45098</v>
      </c>
    </row>
    <row r="1475" spans="1:24">
      <c r="A1475">
        <f>HYPERLINK("https://www.philgeps.gov.ph/GEPSNONPILOT/Tender/SplashBidNoticeAbstractUI.aspx?menuIndex=3&amp;refID=7045920&amp;Result=3","7045920")</f>
        <v>0</v>
      </c>
      <c r="B1475" t="s">
        <v>223</v>
      </c>
      <c r="C1475" t="s">
        <v>4609</v>
      </c>
      <c r="D1475" t="s">
        <v>18056</v>
      </c>
      <c r="E1475" t="s">
        <v>19481</v>
      </c>
      <c r="F1475" t="s">
        <v>31574</v>
      </c>
      <c r="G1475" t="s">
        <v>31582</v>
      </c>
      <c r="H1475" t="s">
        <v>31591</v>
      </c>
      <c r="I1475" t="s">
        <v>8822</v>
      </c>
      <c r="J1475" t="s">
        <v>32662</v>
      </c>
      <c r="K1475" t="s">
        <v>41200</v>
      </c>
      <c r="M1475" t="s">
        <v>41708</v>
      </c>
      <c r="N1475" t="s">
        <v>45095</v>
      </c>
      <c r="O1475" t="s">
        <v>45096</v>
      </c>
      <c r="P1475">
        <v>0</v>
      </c>
      <c r="Q1475">
        <v>0</v>
      </c>
      <c r="R1475" t="s">
        <v>45097</v>
      </c>
      <c r="S1475" t="s">
        <v>45222</v>
      </c>
      <c r="T1475" t="s">
        <v>46908</v>
      </c>
      <c r="U1475" t="s">
        <v>48741</v>
      </c>
      <c r="V1475" t="s">
        <v>59993</v>
      </c>
      <c r="W1475" t="s">
        <v>41708</v>
      </c>
      <c r="X1475" t="s">
        <v>45098</v>
      </c>
    </row>
    <row r="1476" spans="1:24">
      <c r="A1476">
        <f>HYPERLINK("https://www.philgeps.gov.ph/GEPSNONPILOT/Tender/SplashBidNoticeAbstractUI.aspx?menuIndex=3&amp;refID=7045922&amp;Result=3","7045922")</f>
        <v>0</v>
      </c>
      <c r="B1476" t="s">
        <v>580</v>
      </c>
      <c r="C1476" t="s">
        <v>4610</v>
      </c>
      <c r="D1476" t="s">
        <v>18048</v>
      </c>
      <c r="E1476" t="s">
        <v>4610</v>
      </c>
      <c r="F1476" t="s">
        <v>31574</v>
      </c>
      <c r="G1476" t="s">
        <v>31584</v>
      </c>
      <c r="H1476" t="s">
        <v>31590</v>
      </c>
      <c r="I1476" t="s">
        <v>14544</v>
      </c>
      <c r="J1476" t="s">
        <v>31789</v>
      </c>
      <c r="K1476" t="s">
        <v>41184</v>
      </c>
      <c r="M1476" t="s">
        <v>42082</v>
      </c>
      <c r="N1476" t="s">
        <v>45095</v>
      </c>
      <c r="O1476" t="s">
        <v>45096</v>
      </c>
      <c r="P1476">
        <v>0</v>
      </c>
      <c r="Q1476">
        <v>0</v>
      </c>
      <c r="R1476" t="s">
        <v>45097</v>
      </c>
      <c r="S1476" t="s">
        <v>45222</v>
      </c>
      <c r="T1476" t="s">
        <v>46918</v>
      </c>
      <c r="U1476" t="s">
        <v>48742</v>
      </c>
      <c r="W1476" t="s">
        <v>42082</v>
      </c>
      <c r="X1476" t="s">
        <v>45098</v>
      </c>
    </row>
    <row r="1477" spans="1:24">
      <c r="A1477">
        <f>HYPERLINK("https://www.philgeps.gov.ph/GEPSNONPILOT/Tender/SplashBidNoticeAbstractUI.aspx?menuIndex=3&amp;refID=7045939&amp;Result=3","7045939")</f>
        <v>0</v>
      </c>
      <c r="B1477" t="s">
        <v>598</v>
      </c>
      <c r="C1477" t="s">
        <v>4611</v>
      </c>
      <c r="D1477" t="s">
        <v>18022</v>
      </c>
      <c r="E1477" t="s">
        <v>19482</v>
      </c>
      <c r="F1477" t="s">
        <v>31574</v>
      </c>
      <c r="G1477" t="s">
        <v>31581</v>
      </c>
      <c r="H1477" t="s">
        <v>31590</v>
      </c>
      <c r="I1477" t="s">
        <v>8258</v>
      </c>
      <c r="J1477" t="s">
        <v>32382</v>
      </c>
      <c r="K1477" t="s">
        <v>41213</v>
      </c>
      <c r="M1477" t="s">
        <v>42101</v>
      </c>
      <c r="N1477" t="s">
        <v>45095</v>
      </c>
      <c r="O1477" t="s">
        <v>45096</v>
      </c>
      <c r="P1477">
        <v>0</v>
      </c>
      <c r="Q1477">
        <v>0</v>
      </c>
      <c r="R1477" t="s">
        <v>45097</v>
      </c>
      <c r="S1477" t="s">
        <v>45222</v>
      </c>
      <c r="T1477" t="s">
        <v>46911</v>
      </c>
      <c r="U1477" t="s">
        <v>48743</v>
      </c>
      <c r="V1477" t="s">
        <v>59987</v>
      </c>
      <c r="W1477" t="s">
        <v>42101</v>
      </c>
      <c r="X1477" t="s">
        <v>45098</v>
      </c>
    </row>
    <row r="1478" spans="1:24">
      <c r="A1478">
        <f>HYPERLINK("https://www.philgeps.gov.ph/GEPSNONPILOT/Tender/SplashBidNoticeAbstractUI.aspx?menuIndex=3&amp;refID=7045938&amp;Result=3","7045938")</f>
        <v>0</v>
      </c>
      <c r="B1478" t="s">
        <v>618</v>
      </c>
      <c r="C1478" t="s">
        <v>4612</v>
      </c>
      <c r="D1478" t="s">
        <v>18065</v>
      </c>
      <c r="E1478" t="s">
        <v>19483</v>
      </c>
      <c r="F1478" t="s">
        <v>31574</v>
      </c>
      <c r="G1478" t="s">
        <v>31583</v>
      </c>
      <c r="H1478" t="s">
        <v>31592</v>
      </c>
      <c r="I1478" t="s">
        <v>31667</v>
      </c>
      <c r="J1478" t="s">
        <v>32811</v>
      </c>
      <c r="K1478" t="s">
        <v>41197</v>
      </c>
      <c r="M1478" t="s">
        <v>42121</v>
      </c>
      <c r="N1478" t="s">
        <v>45095</v>
      </c>
      <c r="O1478" t="s">
        <v>45096</v>
      </c>
      <c r="P1478">
        <v>0</v>
      </c>
      <c r="Q1478">
        <v>0</v>
      </c>
      <c r="R1478" t="s">
        <v>45097</v>
      </c>
      <c r="S1478" t="s">
        <v>45222</v>
      </c>
      <c r="T1478" t="s">
        <v>46984</v>
      </c>
      <c r="U1478" t="s">
        <v>48744</v>
      </c>
      <c r="W1478" t="s">
        <v>42121</v>
      </c>
      <c r="X1478" t="s">
        <v>45098</v>
      </c>
    </row>
    <row r="1479" spans="1:24">
      <c r="A1479">
        <f>HYPERLINK("https://www.philgeps.gov.ph/GEPSNONPILOT/Tender/SplashBidNoticeAbstractUI.aspx?menuIndex=3&amp;refID=7045923&amp;Result=3","7045923")</f>
        <v>0</v>
      </c>
      <c r="B1479" t="s">
        <v>619</v>
      </c>
      <c r="C1479" t="s">
        <v>4613</v>
      </c>
      <c r="D1479" t="s">
        <v>18063</v>
      </c>
      <c r="E1479" t="s">
        <v>19484</v>
      </c>
      <c r="F1479" t="s">
        <v>31575</v>
      </c>
      <c r="G1479" t="s">
        <v>31583</v>
      </c>
      <c r="H1479" t="s">
        <v>31590</v>
      </c>
      <c r="I1479" t="s">
        <v>3487</v>
      </c>
      <c r="J1479" t="s">
        <v>32812</v>
      </c>
      <c r="K1479" t="s">
        <v>41184</v>
      </c>
      <c r="M1479" t="s">
        <v>42122</v>
      </c>
      <c r="N1479" t="s">
        <v>45095</v>
      </c>
      <c r="O1479" t="s">
        <v>45096</v>
      </c>
      <c r="P1479">
        <v>0</v>
      </c>
      <c r="Q1479">
        <v>0</v>
      </c>
      <c r="R1479" t="s">
        <v>45097</v>
      </c>
      <c r="S1479" t="s">
        <v>45222</v>
      </c>
      <c r="T1479" t="s">
        <v>46935</v>
      </c>
      <c r="U1479" t="s">
        <v>48745</v>
      </c>
      <c r="W1479" t="s">
        <v>42122</v>
      </c>
      <c r="X1479" t="s">
        <v>45098</v>
      </c>
    </row>
    <row r="1480" spans="1:24">
      <c r="A1480">
        <f>HYPERLINK("https://www.philgeps.gov.ph/GEPSNONPILOT/Tender/SplashBidNoticeAbstractUI.aspx?menuIndex=3&amp;refID=7045932&amp;Result=3","7045932")</f>
        <v>0</v>
      </c>
      <c r="B1480" t="s">
        <v>264</v>
      </c>
      <c r="C1480" t="s">
        <v>4614</v>
      </c>
      <c r="D1480" t="s">
        <v>18066</v>
      </c>
      <c r="E1480" t="s">
        <v>19485</v>
      </c>
      <c r="F1480" t="s">
        <v>31574</v>
      </c>
      <c r="G1480" t="s">
        <v>31582</v>
      </c>
      <c r="H1480" t="s">
        <v>31590</v>
      </c>
      <c r="I1480" t="s">
        <v>31608</v>
      </c>
      <c r="J1480" t="s">
        <v>32813</v>
      </c>
      <c r="K1480" t="s">
        <v>41184</v>
      </c>
      <c r="M1480" t="s">
        <v>41750</v>
      </c>
      <c r="N1480" t="s">
        <v>45095</v>
      </c>
      <c r="O1480" t="s">
        <v>45096</v>
      </c>
      <c r="P1480">
        <v>0</v>
      </c>
      <c r="Q1480">
        <v>0</v>
      </c>
      <c r="R1480" t="s">
        <v>45097</v>
      </c>
      <c r="S1480" t="s">
        <v>45222</v>
      </c>
      <c r="T1480" t="s">
        <v>46926</v>
      </c>
      <c r="U1480" t="s">
        <v>48746</v>
      </c>
      <c r="W1480" t="s">
        <v>61674</v>
      </c>
      <c r="X1480" t="s">
        <v>45098</v>
      </c>
    </row>
    <row r="1481" spans="1:24">
      <c r="A1481">
        <f>HYPERLINK("https://www.philgeps.gov.ph/GEPSNONPILOT/Tender/SplashBidNoticeAbstractUI.aspx?menuIndex=3&amp;refID=7045919&amp;Result=3","7045919")</f>
        <v>0</v>
      </c>
      <c r="B1481" t="s">
        <v>421</v>
      </c>
      <c r="C1481" t="s">
        <v>4615</v>
      </c>
      <c r="D1481" t="s">
        <v>18053</v>
      </c>
      <c r="E1481" t="s">
        <v>19486</v>
      </c>
      <c r="F1481" t="s">
        <v>31574</v>
      </c>
      <c r="G1481" t="s">
        <v>31581</v>
      </c>
      <c r="H1481" t="s">
        <v>31590</v>
      </c>
      <c r="I1481" t="s">
        <v>3539</v>
      </c>
      <c r="J1481" t="s">
        <v>32814</v>
      </c>
      <c r="K1481" t="s">
        <v>41184</v>
      </c>
      <c r="L1481" t="s">
        <v>421</v>
      </c>
      <c r="M1481" t="s">
        <v>41913</v>
      </c>
      <c r="N1481" t="s">
        <v>45095</v>
      </c>
      <c r="O1481" t="s">
        <v>45096</v>
      </c>
      <c r="P1481">
        <v>0</v>
      </c>
      <c r="Q1481">
        <v>0</v>
      </c>
      <c r="R1481" t="s">
        <v>45097</v>
      </c>
      <c r="S1481" t="s">
        <v>45222</v>
      </c>
      <c r="T1481" t="s">
        <v>46955</v>
      </c>
      <c r="U1481" t="s">
        <v>48307</v>
      </c>
      <c r="W1481" t="s">
        <v>41913</v>
      </c>
      <c r="X1481" t="s">
        <v>45098</v>
      </c>
    </row>
    <row r="1482" spans="1:24">
      <c r="A1482">
        <f>HYPERLINK("https://www.philgeps.gov.ph/GEPSNONPILOT/Tender/SplashBidNoticeAbstractUI.aspx?menuIndex=3&amp;refID=7045941&amp;Result=3","7045941")</f>
        <v>0</v>
      </c>
      <c r="B1482" t="s">
        <v>620</v>
      </c>
      <c r="C1482" t="s">
        <v>4616</v>
      </c>
      <c r="D1482" t="s">
        <v>18052</v>
      </c>
      <c r="E1482" t="s">
        <v>18169</v>
      </c>
      <c r="F1482" t="s">
        <v>31574</v>
      </c>
      <c r="G1482" t="s">
        <v>31581</v>
      </c>
      <c r="H1482" t="s">
        <v>31590</v>
      </c>
      <c r="I1482" t="s">
        <v>5717</v>
      </c>
      <c r="J1482" t="s">
        <v>32815</v>
      </c>
      <c r="K1482" t="s">
        <v>41193</v>
      </c>
      <c r="M1482" t="s">
        <v>42123</v>
      </c>
      <c r="N1482" t="s">
        <v>45095</v>
      </c>
      <c r="O1482" t="s">
        <v>45096</v>
      </c>
      <c r="P1482">
        <v>0</v>
      </c>
      <c r="Q1482">
        <v>0</v>
      </c>
      <c r="R1482" t="s">
        <v>45097</v>
      </c>
      <c r="S1482" t="s">
        <v>45222</v>
      </c>
      <c r="T1482" t="s">
        <v>46949</v>
      </c>
      <c r="U1482" t="s">
        <v>48747</v>
      </c>
      <c r="W1482" t="s">
        <v>42123</v>
      </c>
      <c r="X1482" t="s">
        <v>45098</v>
      </c>
    </row>
    <row r="1483" spans="1:24">
      <c r="A1483">
        <f>HYPERLINK("https://www.philgeps.gov.ph/GEPSNONPILOT/Tender/SplashBidNoticeAbstractUI.aspx?menuIndex=3&amp;refID=7045942&amp;Result=3","7045942")</f>
        <v>0</v>
      </c>
      <c r="B1483" t="s">
        <v>379</v>
      </c>
      <c r="C1483" t="s">
        <v>4617</v>
      </c>
      <c r="D1483" t="s">
        <v>18025</v>
      </c>
      <c r="E1483" t="s">
        <v>19487</v>
      </c>
      <c r="F1483" t="s">
        <v>31574</v>
      </c>
      <c r="G1483" t="s">
        <v>31583</v>
      </c>
      <c r="H1483" t="s">
        <v>31590</v>
      </c>
      <c r="I1483" t="s">
        <v>8258</v>
      </c>
      <c r="J1483" t="s">
        <v>32816</v>
      </c>
      <c r="K1483" t="s">
        <v>41184</v>
      </c>
      <c r="M1483" t="s">
        <v>41869</v>
      </c>
      <c r="N1483" t="s">
        <v>45095</v>
      </c>
      <c r="O1483" t="s">
        <v>45096</v>
      </c>
      <c r="P1483">
        <v>0</v>
      </c>
      <c r="Q1483">
        <v>0</v>
      </c>
      <c r="R1483" t="s">
        <v>45097</v>
      </c>
      <c r="S1483" t="s">
        <v>45222</v>
      </c>
      <c r="T1483" t="s">
        <v>47049</v>
      </c>
      <c r="U1483" t="s">
        <v>48748</v>
      </c>
      <c r="W1483" t="s">
        <v>41869</v>
      </c>
      <c r="X1483" t="s">
        <v>45098</v>
      </c>
    </row>
    <row r="1484" spans="1:24">
      <c r="A1484">
        <f>HYPERLINK("https://www.philgeps.gov.ph/GEPSNONPILOT/Tender/SplashBidNoticeAbstractUI.aspx?menuIndex=3&amp;refID=7045946&amp;Result=3","7045946")</f>
        <v>0</v>
      </c>
      <c r="B1484" t="s">
        <v>603</v>
      </c>
      <c r="C1484" t="s">
        <v>4618</v>
      </c>
      <c r="D1484" t="s">
        <v>18022</v>
      </c>
      <c r="E1484" t="s">
        <v>19488</v>
      </c>
      <c r="F1484" t="s">
        <v>31574</v>
      </c>
      <c r="G1484" t="s">
        <v>31583</v>
      </c>
      <c r="H1484" t="s">
        <v>31590</v>
      </c>
      <c r="I1484" t="s">
        <v>4046</v>
      </c>
      <c r="J1484" t="s">
        <v>32817</v>
      </c>
      <c r="K1484" t="s">
        <v>41196</v>
      </c>
      <c r="M1484" t="s">
        <v>42106</v>
      </c>
      <c r="N1484" t="s">
        <v>45095</v>
      </c>
      <c r="O1484" t="s">
        <v>45096</v>
      </c>
      <c r="P1484">
        <v>0</v>
      </c>
      <c r="Q1484">
        <v>0</v>
      </c>
      <c r="R1484" t="s">
        <v>45097</v>
      </c>
      <c r="S1484" t="s">
        <v>45222</v>
      </c>
      <c r="T1484" t="s">
        <v>47077</v>
      </c>
      <c r="U1484" t="s">
        <v>48749</v>
      </c>
      <c r="V1484" t="s">
        <v>59988</v>
      </c>
      <c r="W1484" t="s">
        <v>42106</v>
      </c>
      <c r="X1484" t="s">
        <v>45098</v>
      </c>
    </row>
    <row r="1485" spans="1:24">
      <c r="A1485">
        <f>HYPERLINK("https://www.philgeps.gov.ph/GEPSNONPILOT/Tender/SplashBidNoticeAbstractUI.aspx?menuIndex=3&amp;refID=7045943&amp;Result=3","7045943")</f>
        <v>0</v>
      </c>
      <c r="B1485" t="s">
        <v>434</v>
      </c>
      <c r="C1485" t="s">
        <v>4619</v>
      </c>
      <c r="D1485" t="s">
        <v>18041</v>
      </c>
      <c r="E1485" t="s">
        <v>19489</v>
      </c>
      <c r="F1485" t="s">
        <v>31574</v>
      </c>
      <c r="G1485" t="s">
        <v>31581</v>
      </c>
      <c r="H1485" t="s">
        <v>31590</v>
      </c>
      <c r="I1485" t="s">
        <v>3489</v>
      </c>
      <c r="J1485" t="s">
        <v>32068</v>
      </c>
      <c r="K1485" t="s">
        <v>41186</v>
      </c>
      <c r="M1485" t="s">
        <v>41927</v>
      </c>
      <c r="N1485" t="s">
        <v>45095</v>
      </c>
      <c r="O1485" t="s">
        <v>45096</v>
      </c>
      <c r="P1485">
        <v>0</v>
      </c>
      <c r="Q1485">
        <v>0</v>
      </c>
      <c r="R1485" t="s">
        <v>45097</v>
      </c>
      <c r="S1485" t="s">
        <v>45222</v>
      </c>
      <c r="T1485" t="s">
        <v>46918</v>
      </c>
      <c r="U1485" t="s">
        <v>48336</v>
      </c>
      <c r="V1485" t="s">
        <v>59939</v>
      </c>
      <c r="W1485" t="s">
        <v>41927</v>
      </c>
      <c r="X1485" t="s">
        <v>45098</v>
      </c>
    </row>
    <row r="1486" spans="1:24">
      <c r="A1486">
        <f>HYPERLINK("https://www.philgeps.gov.ph/GEPSNONPILOT/Tender/SplashBidNoticeAbstractUI.aspx?menuIndex=3&amp;refID=7045965&amp;Result=3","7045965")</f>
        <v>0</v>
      </c>
      <c r="B1486" t="s">
        <v>603</v>
      </c>
      <c r="C1486" t="s">
        <v>4620</v>
      </c>
      <c r="D1486" t="s">
        <v>18022</v>
      </c>
      <c r="E1486" t="s">
        <v>19490</v>
      </c>
      <c r="F1486" t="s">
        <v>31574</v>
      </c>
      <c r="G1486" t="s">
        <v>31583</v>
      </c>
      <c r="H1486" t="s">
        <v>31590</v>
      </c>
      <c r="I1486" t="s">
        <v>4046</v>
      </c>
      <c r="J1486" t="s">
        <v>32818</v>
      </c>
      <c r="K1486" t="s">
        <v>41196</v>
      </c>
      <c r="M1486" t="s">
        <v>42106</v>
      </c>
      <c r="N1486" t="s">
        <v>45095</v>
      </c>
      <c r="O1486" t="s">
        <v>45096</v>
      </c>
      <c r="P1486">
        <v>0</v>
      </c>
      <c r="Q1486">
        <v>0</v>
      </c>
      <c r="R1486" t="s">
        <v>45097</v>
      </c>
      <c r="S1486" t="s">
        <v>45222</v>
      </c>
      <c r="T1486" t="s">
        <v>47077</v>
      </c>
      <c r="U1486" t="s">
        <v>48750</v>
      </c>
      <c r="V1486" t="s">
        <v>59988</v>
      </c>
      <c r="W1486" t="s">
        <v>42106</v>
      </c>
      <c r="X1486" t="s">
        <v>45098</v>
      </c>
    </row>
    <row r="1487" spans="1:24">
      <c r="A1487">
        <f>HYPERLINK("https://www.philgeps.gov.ph/GEPSNONPILOT/Tender/SplashBidNoticeAbstractUI.aspx?menuIndex=3&amp;refID=7045944&amp;Result=3","7045944")</f>
        <v>0</v>
      </c>
      <c r="B1487" t="s">
        <v>621</v>
      </c>
      <c r="C1487" t="s">
        <v>4621</v>
      </c>
      <c r="D1487" t="s">
        <v>18050</v>
      </c>
      <c r="E1487" t="s">
        <v>19491</v>
      </c>
      <c r="F1487" t="s">
        <v>31574</v>
      </c>
      <c r="G1487" t="s">
        <v>31584</v>
      </c>
      <c r="H1487" t="s">
        <v>31590</v>
      </c>
      <c r="I1487" t="s">
        <v>31630</v>
      </c>
      <c r="J1487" t="s">
        <v>32819</v>
      </c>
      <c r="K1487" t="s">
        <v>41197</v>
      </c>
      <c r="M1487" t="s">
        <v>42124</v>
      </c>
      <c r="N1487" t="s">
        <v>45095</v>
      </c>
      <c r="O1487" t="s">
        <v>45096</v>
      </c>
      <c r="P1487">
        <v>0</v>
      </c>
      <c r="Q1487">
        <v>0</v>
      </c>
      <c r="R1487" t="s">
        <v>45097</v>
      </c>
      <c r="S1487" t="s">
        <v>45222</v>
      </c>
      <c r="T1487" t="s">
        <v>46946</v>
      </c>
      <c r="U1487" t="s">
        <v>48751</v>
      </c>
      <c r="W1487" t="s">
        <v>42124</v>
      </c>
      <c r="X1487" t="s">
        <v>45098</v>
      </c>
    </row>
    <row r="1488" spans="1:24">
      <c r="A1488">
        <f>HYPERLINK("https://www.philgeps.gov.ph/GEPSNONPILOT/Tender/SplashBidNoticeAbstractUI.aspx?menuIndex=3&amp;refID=7045964&amp;Result=3","7045964")</f>
        <v>0</v>
      </c>
      <c r="B1488" t="s">
        <v>264</v>
      </c>
      <c r="C1488" t="s">
        <v>4622</v>
      </c>
      <c r="D1488" t="s">
        <v>18066</v>
      </c>
      <c r="E1488" t="s">
        <v>19492</v>
      </c>
      <c r="F1488" t="s">
        <v>31574</v>
      </c>
      <c r="G1488" t="s">
        <v>31582</v>
      </c>
      <c r="H1488" t="s">
        <v>31590</v>
      </c>
      <c r="I1488" t="s">
        <v>4046</v>
      </c>
      <c r="J1488" t="s">
        <v>32820</v>
      </c>
      <c r="K1488" t="s">
        <v>41184</v>
      </c>
      <c r="M1488" t="s">
        <v>41750</v>
      </c>
      <c r="N1488" t="s">
        <v>45095</v>
      </c>
      <c r="O1488" t="s">
        <v>45096</v>
      </c>
      <c r="P1488">
        <v>0</v>
      </c>
      <c r="Q1488">
        <v>0</v>
      </c>
      <c r="R1488" t="s">
        <v>45097</v>
      </c>
      <c r="S1488" t="s">
        <v>45222</v>
      </c>
      <c r="T1488" t="s">
        <v>46926</v>
      </c>
      <c r="U1488" t="s">
        <v>48752</v>
      </c>
      <c r="W1488" t="s">
        <v>61674</v>
      </c>
      <c r="X1488" t="s">
        <v>45098</v>
      </c>
    </row>
    <row r="1489" spans="1:24">
      <c r="A1489">
        <f>HYPERLINK("https://www.philgeps.gov.ph/GEPSNONPILOT/Tender/SplashBidNoticeAbstractUI.aspx?menuIndex=3&amp;refID=7045960&amp;Result=3","7045960")</f>
        <v>0</v>
      </c>
      <c r="B1489" t="s">
        <v>124</v>
      </c>
      <c r="C1489" t="s">
        <v>4623</v>
      </c>
      <c r="D1489" t="s">
        <v>18065</v>
      </c>
      <c r="E1489" t="s">
        <v>19493</v>
      </c>
      <c r="F1489" t="s">
        <v>31574</v>
      </c>
      <c r="G1489" t="s">
        <v>31582</v>
      </c>
      <c r="H1489" t="s">
        <v>31590</v>
      </c>
      <c r="I1489" t="s">
        <v>31615</v>
      </c>
      <c r="J1489" t="s">
        <v>32258</v>
      </c>
      <c r="K1489" t="s">
        <v>41184</v>
      </c>
      <c r="M1489" t="s">
        <v>42125</v>
      </c>
      <c r="N1489" t="s">
        <v>45095</v>
      </c>
      <c r="O1489" t="s">
        <v>45096</v>
      </c>
      <c r="P1489">
        <v>0</v>
      </c>
      <c r="Q1489">
        <v>1</v>
      </c>
      <c r="R1489" t="s">
        <v>45097</v>
      </c>
      <c r="S1489" t="s">
        <v>45222</v>
      </c>
      <c r="T1489" t="s">
        <v>47003</v>
      </c>
      <c r="U1489" t="s">
        <v>48753</v>
      </c>
      <c r="W1489" t="s">
        <v>42125</v>
      </c>
      <c r="X1489" t="s">
        <v>45098</v>
      </c>
    </row>
    <row r="1490" spans="1:24">
      <c r="A1490">
        <f>HYPERLINK("https://www.philgeps.gov.ph/GEPSNONPILOT/Tender/SplashBidNoticeAbstractUI.aspx?menuIndex=3&amp;refID=7045954&amp;Result=3","7045954")</f>
        <v>0</v>
      </c>
      <c r="B1490" t="s">
        <v>343</v>
      </c>
      <c r="C1490" t="s">
        <v>4624</v>
      </c>
      <c r="D1490" t="s">
        <v>18041</v>
      </c>
      <c r="E1490" t="s">
        <v>19494</v>
      </c>
      <c r="F1490" t="s">
        <v>31576</v>
      </c>
      <c r="G1490" t="s">
        <v>31584</v>
      </c>
      <c r="H1490" t="s">
        <v>31590</v>
      </c>
      <c r="I1490" t="s">
        <v>8569</v>
      </c>
      <c r="J1490" t="s">
        <v>32012</v>
      </c>
      <c r="K1490" t="s">
        <v>41211</v>
      </c>
      <c r="M1490" t="s">
        <v>41831</v>
      </c>
      <c r="N1490" t="s">
        <v>45095</v>
      </c>
      <c r="O1490" t="s">
        <v>45096</v>
      </c>
      <c r="P1490">
        <v>0</v>
      </c>
      <c r="Q1490">
        <v>0</v>
      </c>
      <c r="R1490" t="s">
        <v>45097</v>
      </c>
      <c r="S1490" t="s">
        <v>45222</v>
      </c>
      <c r="T1490" t="s">
        <v>46935</v>
      </c>
      <c r="U1490" t="s">
        <v>48754</v>
      </c>
      <c r="W1490" t="s">
        <v>41831</v>
      </c>
      <c r="X1490" t="s">
        <v>45098</v>
      </c>
    </row>
    <row r="1491" spans="1:24">
      <c r="A1491">
        <f>HYPERLINK("https://www.philgeps.gov.ph/GEPSNONPILOT/Tender/SplashBidNoticeAbstractUI.aspx?menuIndex=3&amp;refID=7045940&amp;Result=3","7045940")</f>
        <v>0</v>
      </c>
      <c r="B1491" t="s">
        <v>586</v>
      </c>
      <c r="C1491" t="s">
        <v>4625</v>
      </c>
      <c r="D1491" t="s">
        <v>18079</v>
      </c>
      <c r="E1491" t="s">
        <v>19495</v>
      </c>
      <c r="F1491" t="s">
        <v>31574</v>
      </c>
      <c r="G1491" t="s">
        <v>31581</v>
      </c>
      <c r="H1491" t="s">
        <v>31590</v>
      </c>
      <c r="I1491" t="s">
        <v>4046</v>
      </c>
      <c r="J1491" t="s">
        <v>32821</v>
      </c>
      <c r="K1491" t="s">
        <v>41196</v>
      </c>
      <c r="M1491" t="s">
        <v>42088</v>
      </c>
      <c r="N1491" t="s">
        <v>45095</v>
      </c>
      <c r="O1491" t="s">
        <v>45096</v>
      </c>
      <c r="P1491">
        <v>0</v>
      </c>
      <c r="Q1491">
        <v>0</v>
      </c>
      <c r="R1491" t="s">
        <v>45097</v>
      </c>
      <c r="S1491" t="s">
        <v>45222</v>
      </c>
      <c r="T1491" t="s">
        <v>46946</v>
      </c>
      <c r="U1491" t="s">
        <v>48755</v>
      </c>
      <c r="W1491" t="s">
        <v>42088</v>
      </c>
      <c r="X1491" t="s">
        <v>45098</v>
      </c>
    </row>
    <row r="1492" spans="1:24">
      <c r="A1492">
        <f>HYPERLINK("https://www.philgeps.gov.ph/GEPSNONPILOT/Tender/SplashBidNoticeAbstractUI.aspx?menuIndex=3&amp;refID=7045959&amp;Result=3","7045959")</f>
        <v>0</v>
      </c>
      <c r="B1492" t="s">
        <v>439</v>
      </c>
      <c r="C1492" t="s">
        <v>4626</v>
      </c>
      <c r="D1492" t="s">
        <v>18046</v>
      </c>
      <c r="E1492" t="s">
        <v>19496</v>
      </c>
      <c r="F1492" t="s">
        <v>31574</v>
      </c>
      <c r="G1492" t="s">
        <v>31581</v>
      </c>
      <c r="H1492" t="s">
        <v>31590</v>
      </c>
      <c r="I1492" t="s">
        <v>31608</v>
      </c>
      <c r="J1492" t="s">
        <v>32822</v>
      </c>
      <c r="K1492" t="s">
        <v>41184</v>
      </c>
      <c r="M1492" t="s">
        <v>41932</v>
      </c>
      <c r="N1492" t="s">
        <v>45095</v>
      </c>
      <c r="O1492" t="s">
        <v>45096</v>
      </c>
      <c r="P1492">
        <v>0</v>
      </c>
      <c r="Q1492">
        <v>0</v>
      </c>
      <c r="R1492" t="s">
        <v>45097</v>
      </c>
      <c r="S1492" t="s">
        <v>45222</v>
      </c>
      <c r="T1492" t="s">
        <v>46938</v>
      </c>
      <c r="U1492" t="s">
        <v>48621</v>
      </c>
      <c r="W1492" t="s">
        <v>41932</v>
      </c>
      <c r="X1492" t="s">
        <v>45098</v>
      </c>
    </row>
    <row r="1493" spans="1:24">
      <c r="A1493">
        <f>HYPERLINK("https://www.philgeps.gov.ph/GEPSNONPILOT/Tender/SplashBidNoticeAbstractUI.aspx?menuIndex=3&amp;refID=7045961&amp;Result=3","7045961")</f>
        <v>0</v>
      </c>
      <c r="B1493" t="s">
        <v>216</v>
      </c>
      <c r="C1493" t="s">
        <v>3621</v>
      </c>
      <c r="D1493" t="s">
        <v>18058</v>
      </c>
      <c r="E1493" t="s">
        <v>19497</v>
      </c>
      <c r="F1493" t="s">
        <v>31574</v>
      </c>
      <c r="G1493" t="s">
        <v>31583</v>
      </c>
      <c r="H1493" t="s">
        <v>31590</v>
      </c>
      <c r="I1493" t="s">
        <v>6800</v>
      </c>
      <c r="J1493" t="s">
        <v>32334</v>
      </c>
      <c r="K1493" t="s">
        <v>41193</v>
      </c>
      <c r="M1493" t="s">
        <v>41701</v>
      </c>
      <c r="N1493" t="s">
        <v>45095</v>
      </c>
      <c r="O1493" t="s">
        <v>45096</v>
      </c>
      <c r="P1493">
        <v>0</v>
      </c>
      <c r="Q1493">
        <v>0</v>
      </c>
      <c r="R1493" t="s">
        <v>45097</v>
      </c>
      <c r="S1493" t="s">
        <v>45222</v>
      </c>
      <c r="T1493" t="s">
        <v>46932</v>
      </c>
      <c r="U1493" t="s">
        <v>48756</v>
      </c>
      <c r="W1493" t="s">
        <v>41701</v>
      </c>
      <c r="X1493" t="s">
        <v>45098</v>
      </c>
    </row>
    <row r="1494" spans="1:24">
      <c r="A1494">
        <f>HYPERLINK("https://www.philgeps.gov.ph/GEPSNONPILOT/Tender/SplashBidNoticeAbstractUI.aspx?menuIndex=3&amp;refID=7045957&amp;Result=3","7045957")</f>
        <v>0</v>
      </c>
      <c r="B1494" t="s">
        <v>622</v>
      </c>
      <c r="C1494" t="s">
        <v>4627</v>
      </c>
      <c r="D1494" t="s">
        <v>18025</v>
      </c>
      <c r="E1494" t="s">
        <v>19498</v>
      </c>
      <c r="F1494" t="s">
        <v>31574</v>
      </c>
      <c r="G1494" t="s">
        <v>31581</v>
      </c>
      <c r="H1494" t="s">
        <v>31590</v>
      </c>
      <c r="I1494" t="s">
        <v>4046</v>
      </c>
      <c r="J1494" t="s">
        <v>32611</v>
      </c>
      <c r="K1494" t="s">
        <v>41190</v>
      </c>
      <c r="M1494" t="s">
        <v>42126</v>
      </c>
      <c r="N1494" t="s">
        <v>45095</v>
      </c>
      <c r="O1494" t="s">
        <v>45096</v>
      </c>
      <c r="P1494">
        <v>0</v>
      </c>
      <c r="Q1494">
        <v>0</v>
      </c>
      <c r="R1494" t="s">
        <v>45097</v>
      </c>
      <c r="S1494" t="s">
        <v>45222</v>
      </c>
      <c r="T1494" t="s">
        <v>47065</v>
      </c>
      <c r="U1494" t="s">
        <v>48757</v>
      </c>
      <c r="V1494" t="s">
        <v>59994</v>
      </c>
      <c r="W1494" t="s">
        <v>42126</v>
      </c>
      <c r="X1494" t="s">
        <v>45098</v>
      </c>
    </row>
    <row r="1495" spans="1:24">
      <c r="A1495">
        <f>HYPERLINK("https://www.philgeps.gov.ph/GEPSNONPILOT/Tender/SplashBidNoticeAbstractUI.aspx?menuIndex=3&amp;refID=7045948&amp;Result=3","7045948")</f>
        <v>0</v>
      </c>
      <c r="B1495" t="s">
        <v>623</v>
      </c>
      <c r="C1495" t="s">
        <v>4628</v>
      </c>
      <c r="D1495" t="s">
        <v>18031</v>
      </c>
      <c r="E1495" t="s">
        <v>19499</v>
      </c>
      <c r="F1495" t="s">
        <v>31574</v>
      </c>
      <c r="G1495" t="s">
        <v>31582</v>
      </c>
      <c r="H1495" t="s">
        <v>31590</v>
      </c>
      <c r="I1495" t="s">
        <v>31608</v>
      </c>
      <c r="J1495" t="s">
        <v>32742</v>
      </c>
      <c r="K1495" t="s">
        <v>41186</v>
      </c>
      <c r="M1495" t="s">
        <v>42127</v>
      </c>
      <c r="N1495" t="s">
        <v>45095</v>
      </c>
      <c r="O1495" t="s">
        <v>45096</v>
      </c>
      <c r="P1495">
        <v>0</v>
      </c>
      <c r="Q1495">
        <v>0</v>
      </c>
      <c r="R1495" t="s">
        <v>45097</v>
      </c>
      <c r="S1495" t="s">
        <v>45222</v>
      </c>
      <c r="T1495" t="s">
        <v>46977</v>
      </c>
      <c r="U1495" t="s">
        <v>48758</v>
      </c>
      <c r="V1495" t="s">
        <v>59995</v>
      </c>
      <c r="W1495" t="s">
        <v>42127</v>
      </c>
      <c r="X1495" t="s">
        <v>45098</v>
      </c>
    </row>
    <row r="1496" spans="1:24">
      <c r="A1496">
        <f>HYPERLINK("https://www.philgeps.gov.ph/GEPSNONPILOT/Tender/SplashBidNoticeAbstractUI.aspx?menuIndex=3&amp;refID=7045956&amp;Result=3","7045956")</f>
        <v>0</v>
      </c>
      <c r="B1496" t="s">
        <v>264</v>
      </c>
      <c r="C1496" t="s">
        <v>4629</v>
      </c>
      <c r="D1496" t="s">
        <v>18066</v>
      </c>
      <c r="E1496" t="s">
        <v>19500</v>
      </c>
      <c r="F1496" t="s">
        <v>31574</v>
      </c>
      <c r="G1496" t="s">
        <v>31582</v>
      </c>
      <c r="H1496" t="s">
        <v>31590</v>
      </c>
      <c r="I1496" t="s">
        <v>6800</v>
      </c>
      <c r="J1496" t="s">
        <v>32823</v>
      </c>
      <c r="K1496" t="s">
        <v>41184</v>
      </c>
      <c r="M1496" t="s">
        <v>41750</v>
      </c>
      <c r="N1496" t="s">
        <v>45095</v>
      </c>
      <c r="O1496" t="s">
        <v>45096</v>
      </c>
      <c r="P1496">
        <v>0</v>
      </c>
      <c r="Q1496">
        <v>0</v>
      </c>
      <c r="R1496" t="s">
        <v>45097</v>
      </c>
      <c r="S1496" t="s">
        <v>45222</v>
      </c>
      <c r="T1496" t="s">
        <v>46926</v>
      </c>
      <c r="U1496" t="s">
        <v>48759</v>
      </c>
      <c r="W1496" t="s">
        <v>61674</v>
      </c>
      <c r="X1496" t="s">
        <v>45098</v>
      </c>
    </row>
    <row r="1497" spans="1:24">
      <c r="A1497">
        <f>HYPERLINK("https://www.philgeps.gov.ph/GEPSNONPILOT/Tender/SplashBidNoticeAbstractUI.aspx?menuIndex=3&amp;refID=7045963&amp;Result=3","7045963")</f>
        <v>0</v>
      </c>
      <c r="B1497" t="s">
        <v>419</v>
      </c>
      <c r="C1497" t="s">
        <v>4630</v>
      </c>
      <c r="D1497" t="s">
        <v>18029</v>
      </c>
      <c r="E1497" t="s">
        <v>19501</v>
      </c>
      <c r="F1497" t="s">
        <v>31574</v>
      </c>
      <c r="G1497" t="s">
        <v>31581</v>
      </c>
      <c r="H1497" t="s">
        <v>31590</v>
      </c>
      <c r="I1497" t="s">
        <v>3651</v>
      </c>
      <c r="J1497" t="s">
        <v>32824</v>
      </c>
      <c r="K1497" t="s">
        <v>41211</v>
      </c>
      <c r="M1497" t="s">
        <v>41911</v>
      </c>
      <c r="N1497" t="s">
        <v>45095</v>
      </c>
      <c r="O1497" t="s">
        <v>45096</v>
      </c>
      <c r="P1497">
        <v>0</v>
      </c>
      <c r="Q1497">
        <v>0</v>
      </c>
      <c r="R1497" t="s">
        <v>45097</v>
      </c>
      <c r="S1497" t="s">
        <v>45222</v>
      </c>
      <c r="T1497" t="s">
        <v>46946</v>
      </c>
      <c r="U1497" t="s">
        <v>48302</v>
      </c>
      <c r="W1497" t="s">
        <v>41911</v>
      </c>
      <c r="X1497" t="s">
        <v>45098</v>
      </c>
    </row>
    <row r="1498" spans="1:24">
      <c r="A1498">
        <f>HYPERLINK("https://www.philgeps.gov.ph/GEPSNONPILOT/Tender/SplashBidNoticeAbstractUI.aspx?menuIndex=3&amp;refID=7045950&amp;Result=3","7045950")</f>
        <v>0</v>
      </c>
      <c r="B1498" t="s">
        <v>624</v>
      </c>
      <c r="C1498" t="s">
        <v>4631</v>
      </c>
      <c r="D1498" t="s">
        <v>18089</v>
      </c>
      <c r="E1498" t="s">
        <v>19502</v>
      </c>
      <c r="F1498" t="s">
        <v>31574</v>
      </c>
      <c r="G1498" t="s">
        <v>31582</v>
      </c>
      <c r="H1498" t="s">
        <v>31590</v>
      </c>
      <c r="I1498" t="s">
        <v>3901</v>
      </c>
      <c r="J1498" t="s">
        <v>32497</v>
      </c>
      <c r="K1498" t="s">
        <v>41185</v>
      </c>
      <c r="M1498" t="s">
        <v>42128</v>
      </c>
      <c r="N1498" t="s">
        <v>45095</v>
      </c>
      <c r="O1498" t="s">
        <v>45096</v>
      </c>
      <c r="P1498">
        <v>0</v>
      </c>
      <c r="Q1498">
        <v>0</v>
      </c>
      <c r="R1498" t="s">
        <v>45097</v>
      </c>
      <c r="S1498" t="s">
        <v>45222</v>
      </c>
      <c r="T1498" t="s">
        <v>46937</v>
      </c>
      <c r="U1498" t="s">
        <v>48760</v>
      </c>
      <c r="W1498" t="s">
        <v>42128</v>
      </c>
      <c r="X1498" t="s">
        <v>45098</v>
      </c>
    </row>
    <row r="1499" spans="1:24">
      <c r="A1499">
        <f>HYPERLINK("https://www.philgeps.gov.ph/GEPSNONPILOT/Tender/SplashBidNoticeAbstractUI.aspx?menuIndex=3&amp;refID=7045977&amp;Result=3","7045977")</f>
        <v>0</v>
      </c>
      <c r="B1499" t="s">
        <v>379</v>
      </c>
      <c r="C1499" t="s">
        <v>4632</v>
      </c>
      <c r="D1499" t="s">
        <v>18025</v>
      </c>
      <c r="E1499" t="s">
        <v>19503</v>
      </c>
      <c r="F1499" t="s">
        <v>31574</v>
      </c>
      <c r="G1499" t="s">
        <v>31583</v>
      </c>
      <c r="H1499" t="s">
        <v>31590</v>
      </c>
      <c r="I1499" t="s">
        <v>8258</v>
      </c>
      <c r="J1499" t="s">
        <v>32825</v>
      </c>
      <c r="K1499" t="s">
        <v>41184</v>
      </c>
      <c r="M1499" t="s">
        <v>41869</v>
      </c>
      <c r="N1499" t="s">
        <v>45095</v>
      </c>
      <c r="O1499" t="s">
        <v>45096</v>
      </c>
      <c r="P1499">
        <v>0</v>
      </c>
      <c r="Q1499">
        <v>0</v>
      </c>
      <c r="R1499" t="s">
        <v>45097</v>
      </c>
      <c r="S1499" t="s">
        <v>45222</v>
      </c>
      <c r="T1499" t="s">
        <v>47049</v>
      </c>
      <c r="U1499" t="s">
        <v>48761</v>
      </c>
      <c r="W1499" t="s">
        <v>41869</v>
      </c>
      <c r="X1499" t="s">
        <v>45098</v>
      </c>
    </row>
    <row r="1500" spans="1:24">
      <c r="A1500">
        <f>HYPERLINK("https://www.philgeps.gov.ph/GEPSNONPILOT/Tender/SplashBidNoticeAbstractUI.aspx?menuIndex=3&amp;refID=7045976&amp;Result=3","7045976")</f>
        <v>0</v>
      </c>
      <c r="B1500" t="s">
        <v>264</v>
      </c>
      <c r="C1500" t="s">
        <v>4633</v>
      </c>
      <c r="D1500" t="s">
        <v>18066</v>
      </c>
      <c r="E1500" t="s">
        <v>19504</v>
      </c>
      <c r="F1500" t="s">
        <v>31574</v>
      </c>
      <c r="G1500" t="s">
        <v>31582</v>
      </c>
      <c r="H1500" t="s">
        <v>31590</v>
      </c>
      <c r="I1500" t="s">
        <v>31600</v>
      </c>
      <c r="J1500" t="s">
        <v>32826</v>
      </c>
      <c r="K1500" t="s">
        <v>41184</v>
      </c>
      <c r="M1500" t="s">
        <v>41750</v>
      </c>
      <c r="N1500" t="s">
        <v>45095</v>
      </c>
      <c r="O1500" t="s">
        <v>45096</v>
      </c>
      <c r="P1500">
        <v>0</v>
      </c>
      <c r="Q1500">
        <v>0</v>
      </c>
      <c r="R1500" t="s">
        <v>45097</v>
      </c>
      <c r="S1500" t="s">
        <v>45222</v>
      </c>
      <c r="T1500" t="s">
        <v>46926</v>
      </c>
      <c r="U1500" t="s">
        <v>48762</v>
      </c>
      <c r="W1500" t="s">
        <v>61674</v>
      </c>
      <c r="X1500" t="s">
        <v>45098</v>
      </c>
    </row>
    <row r="1501" spans="1:24">
      <c r="A1501">
        <f>HYPERLINK("https://www.philgeps.gov.ph/GEPSNONPILOT/Tender/SplashBidNoticeAbstractUI.aspx?menuIndex=3&amp;refID=7045951&amp;Result=3","7045951")</f>
        <v>0</v>
      </c>
      <c r="B1501" t="s">
        <v>625</v>
      </c>
      <c r="C1501" t="s">
        <v>4634</v>
      </c>
      <c r="D1501" t="s">
        <v>18072</v>
      </c>
      <c r="E1501" t="s">
        <v>18374</v>
      </c>
      <c r="F1501" t="s">
        <v>31574</v>
      </c>
      <c r="G1501" t="s">
        <v>31582</v>
      </c>
      <c r="H1501" t="s">
        <v>31590</v>
      </c>
      <c r="I1501" t="s">
        <v>31607</v>
      </c>
      <c r="J1501" t="s">
        <v>32827</v>
      </c>
      <c r="K1501" t="s">
        <v>41190</v>
      </c>
      <c r="M1501" t="s">
        <v>42129</v>
      </c>
      <c r="N1501" t="s">
        <v>45095</v>
      </c>
      <c r="O1501" t="s">
        <v>45096</v>
      </c>
      <c r="P1501">
        <v>0</v>
      </c>
      <c r="Q1501">
        <v>0</v>
      </c>
      <c r="R1501" t="s">
        <v>45097</v>
      </c>
      <c r="S1501" t="s">
        <v>45222</v>
      </c>
      <c r="T1501" t="s">
        <v>47000</v>
      </c>
      <c r="U1501" t="s">
        <v>48763</v>
      </c>
      <c r="W1501" t="s">
        <v>44710</v>
      </c>
      <c r="X1501" t="s">
        <v>45098</v>
      </c>
    </row>
    <row r="1502" spans="1:24">
      <c r="A1502">
        <f>HYPERLINK("https://www.philgeps.gov.ph/GEPSNONPILOT/Tender/SplashBidNoticeAbstractUI.aspx?menuIndex=3&amp;refID=7045958&amp;Result=3","7045958")</f>
        <v>0</v>
      </c>
      <c r="B1502" t="s">
        <v>467</v>
      </c>
      <c r="C1502" t="s">
        <v>4635</v>
      </c>
      <c r="D1502" t="s">
        <v>18065</v>
      </c>
      <c r="E1502" t="s">
        <v>19505</v>
      </c>
      <c r="F1502" t="s">
        <v>31574</v>
      </c>
      <c r="G1502" t="s">
        <v>31583</v>
      </c>
      <c r="H1502" t="s">
        <v>31590</v>
      </c>
      <c r="I1502" t="s">
        <v>31597</v>
      </c>
      <c r="J1502" t="s">
        <v>31805</v>
      </c>
      <c r="K1502" t="s">
        <v>41213</v>
      </c>
      <c r="M1502" t="s">
        <v>41961</v>
      </c>
      <c r="N1502" t="s">
        <v>45095</v>
      </c>
      <c r="O1502" t="s">
        <v>45096</v>
      </c>
      <c r="P1502">
        <v>0</v>
      </c>
      <c r="Q1502">
        <v>0</v>
      </c>
      <c r="R1502" t="s">
        <v>45097</v>
      </c>
      <c r="S1502" t="s">
        <v>45222</v>
      </c>
      <c r="T1502" t="s">
        <v>47046</v>
      </c>
      <c r="U1502" t="s">
        <v>48764</v>
      </c>
      <c r="V1502" t="s">
        <v>59949</v>
      </c>
      <c r="W1502" t="s">
        <v>41961</v>
      </c>
      <c r="X1502" t="s">
        <v>45098</v>
      </c>
    </row>
    <row r="1503" spans="1:24">
      <c r="A1503">
        <f>HYPERLINK("https://www.philgeps.gov.ph/GEPSNONPILOT/Tender/SplashBidNoticeAbstractUI.aspx?menuIndex=3&amp;refID=7045974&amp;Result=3","7045974")</f>
        <v>0</v>
      </c>
      <c r="B1503" t="s">
        <v>626</v>
      </c>
      <c r="C1503" t="s">
        <v>4636</v>
      </c>
      <c r="D1503" t="s">
        <v>18072</v>
      </c>
      <c r="E1503" t="s">
        <v>18162</v>
      </c>
      <c r="F1503" t="s">
        <v>31574</v>
      </c>
      <c r="G1503" t="s">
        <v>31582</v>
      </c>
      <c r="H1503" t="s">
        <v>31590</v>
      </c>
      <c r="I1503" t="s">
        <v>4046</v>
      </c>
      <c r="J1503" t="s">
        <v>32828</v>
      </c>
      <c r="K1503" t="s">
        <v>41193</v>
      </c>
      <c r="L1503" t="s">
        <v>626</v>
      </c>
      <c r="M1503" t="s">
        <v>42130</v>
      </c>
      <c r="N1503" t="s">
        <v>45095</v>
      </c>
      <c r="O1503" t="s">
        <v>45096</v>
      </c>
      <c r="P1503">
        <v>0</v>
      </c>
      <c r="Q1503">
        <v>0</v>
      </c>
      <c r="R1503" t="s">
        <v>45097</v>
      </c>
      <c r="S1503" t="s">
        <v>45222</v>
      </c>
      <c r="T1503" t="s">
        <v>46910</v>
      </c>
      <c r="U1503" t="s">
        <v>48765</v>
      </c>
      <c r="W1503" t="s">
        <v>42130</v>
      </c>
      <c r="X1503" t="s">
        <v>45098</v>
      </c>
    </row>
    <row r="1504" spans="1:24">
      <c r="A1504">
        <f>HYPERLINK("https://www.philgeps.gov.ph/GEPSNONPILOT/Tender/SplashBidNoticeAbstractUI.aspx?menuIndex=3&amp;refID=7045987&amp;Result=3","7045987")</f>
        <v>0</v>
      </c>
      <c r="B1504" t="s">
        <v>616</v>
      </c>
      <c r="C1504" t="s">
        <v>4637</v>
      </c>
      <c r="D1504" t="s">
        <v>18040</v>
      </c>
      <c r="E1504" t="s">
        <v>19506</v>
      </c>
      <c r="F1504" t="s">
        <v>31574</v>
      </c>
      <c r="G1504" t="s">
        <v>31581</v>
      </c>
      <c r="H1504" t="s">
        <v>31590</v>
      </c>
      <c r="I1504" t="s">
        <v>6800</v>
      </c>
      <c r="J1504" t="s">
        <v>31844</v>
      </c>
      <c r="K1504" t="s">
        <v>41211</v>
      </c>
      <c r="M1504" t="s">
        <v>42119</v>
      </c>
      <c r="N1504" t="s">
        <v>45095</v>
      </c>
      <c r="O1504" t="s">
        <v>45096</v>
      </c>
      <c r="P1504">
        <v>0</v>
      </c>
      <c r="Q1504">
        <v>0</v>
      </c>
      <c r="R1504" t="s">
        <v>45097</v>
      </c>
      <c r="S1504" t="s">
        <v>45222</v>
      </c>
      <c r="T1504" t="s">
        <v>46946</v>
      </c>
      <c r="U1504" t="s">
        <v>48766</v>
      </c>
      <c r="W1504" t="s">
        <v>42119</v>
      </c>
      <c r="X1504" t="s">
        <v>45098</v>
      </c>
    </row>
    <row r="1505" spans="1:24">
      <c r="A1505">
        <f>HYPERLINK("https://www.philgeps.gov.ph/GEPSNONPILOT/Tender/SplashBidNoticeAbstractUI.aspx?menuIndex=3&amp;refID=7045978&amp;Result=3","7045978")</f>
        <v>0</v>
      </c>
      <c r="B1505" t="s">
        <v>603</v>
      </c>
      <c r="C1505" t="s">
        <v>4638</v>
      </c>
      <c r="D1505" t="s">
        <v>18022</v>
      </c>
      <c r="E1505" t="s">
        <v>19507</v>
      </c>
      <c r="F1505" t="s">
        <v>31574</v>
      </c>
      <c r="G1505" t="s">
        <v>31583</v>
      </c>
      <c r="H1505" t="s">
        <v>31590</v>
      </c>
      <c r="I1505" t="s">
        <v>4046</v>
      </c>
      <c r="J1505" t="s">
        <v>32829</v>
      </c>
      <c r="K1505" t="s">
        <v>41196</v>
      </c>
      <c r="M1505" t="s">
        <v>42106</v>
      </c>
      <c r="N1505" t="s">
        <v>45095</v>
      </c>
      <c r="O1505" t="s">
        <v>45096</v>
      </c>
      <c r="P1505">
        <v>0</v>
      </c>
      <c r="Q1505">
        <v>0</v>
      </c>
      <c r="R1505" t="s">
        <v>45097</v>
      </c>
      <c r="S1505" t="s">
        <v>45222</v>
      </c>
      <c r="T1505" t="s">
        <v>47077</v>
      </c>
      <c r="U1505" t="s">
        <v>48767</v>
      </c>
      <c r="V1505" t="s">
        <v>59988</v>
      </c>
      <c r="W1505" t="s">
        <v>42106</v>
      </c>
      <c r="X1505" t="s">
        <v>45098</v>
      </c>
    </row>
    <row r="1506" spans="1:24">
      <c r="A1506">
        <f>HYPERLINK("https://www.philgeps.gov.ph/GEPSNONPILOT/Tender/SplashBidNoticeAbstractUI.aspx?menuIndex=3&amp;refID=7045979&amp;Result=3","7045979")</f>
        <v>0</v>
      </c>
      <c r="B1506" t="s">
        <v>627</v>
      </c>
      <c r="C1506" t="s">
        <v>4639</v>
      </c>
      <c r="E1506" t="s">
        <v>19508</v>
      </c>
      <c r="F1506" t="s">
        <v>31574</v>
      </c>
      <c r="G1506" t="s">
        <v>31581</v>
      </c>
      <c r="H1506" t="s">
        <v>31590</v>
      </c>
      <c r="I1506" t="s">
        <v>3651</v>
      </c>
      <c r="J1506" t="s">
        <v>32830</v>
      </c>
      <c r="K1506" t="s">
        <v>41184</v>
      </c>
      <c r="M1506" t="s">
        <v>42131</v>
      </c>
      <c r="N1506" t="s">
        <v>45095</v>
      </c>
      <c r="O1506" t="s">
        <v>45096</v>
      </c>
      <c r="P1506">
        <v>0</v>
      </c>
      <c r="Q1506">
        <v>0</v>
      </c>
      <c r="R1506" t="s">
        <v>45097</v>
      </c>
      <c r="S1506" t="s">
        <v>45222</v>
      </c>
      <c r="T1506" t="s">
        <v>46910</v>
      </c>
      <c r="U1506" t="s">
        <v>48768</v>
      </c>
      <c r="W1506" t="s">
        <v>42131</v>
      </c>
      <c r="X1506" t="s">
        <v>45098</v>
      </c>
    </row>
    <row r="1507" spans="1:24">
      <c r="A1507">
        <f>HYPERLINK("https://www.philgeps.gov.ph/GEPSNONPILOT/Tender/SplashBidNoticeAbstractUI.aspx?menuIndex=3&amp;refID=7045955&amp;Result=3","7045955")</f>
        <v>0</v>
      </c>
      <c r="B1507" t="s">
        <v>588</v>
      </c>
      <c r="C1507" t="s">
        <v>4640</v>
      </c>
      <c r="D1507" t="s">
        <v>18064</v>
      </c>
      <c r="E1507" t="s">
        <v>19509</v>
      </c>
      <c r="F1507" t="s">
        <v>31574</v>
      </c>
      <c r="G1507" t="s">
        <v>31581</v>
      </c>
      <c r="H1507" t="s">
        <v>31590</v>
      </c>
      <c r="I1507" t="s">
        <v>31608</v>
      </c>
      <c r="J1507" t="s">
        <v>31744</v>
      </c>
      <c r="K1507" t="s">
        <v>41190</v>
      </c>
      <c r="M1507" t="s">
        <v>42090</v>
      </c>
      <c r="N1507" t="s">
        <v>45095</v>
      </c>
      <c r="O1507" t="s">
        <v>45096</v>
      </c>
      <c r="P1507">
        <v>0</v>
      </c>
      <c r="Q1507">
        <v>0</v>
      </c>
      <c r="R1507" t="s">
        <v>45097</v>
      </c>
      <c r="S1507" t="s">
        <v>45222</v>
      </c>
      <c r="T1507" t="s">
        <v>46913</v>
      </c>
      <c r="U1507" t="s">
        <v>48769</v>
      </c>
      <c r="W1507" t="s">
        <v>42090</v>
      </c>
      <c r="X1507" t="s">
        <v>45098</v>
      </c>
    </row>
    <row r="1508" spans="1:24">
      <c r="A1508">
        <f>HYPERLINK("https://www.philgeps.gov.ph/GEPSNONPILOT/Tender/SplashBidNoticeAbstractUI.aspx?menuIndex=3&amp;refID=7045986&amp;Result=3","7045986")</f>
        <v>0</v>
      </c>
      <c r="B1508" t="s">
        <v>603</v>
      </c>
      <c r="C1508" t="s">
        <v>4641</v>
      </c>
      <c r="D1508" t="s">
        <v>18022</v>
      </c>
      <c r="E1508" t="s">
        <v>19510</v>
      </c>
      <c r="F1508" t="s">
        <v>31574</v>
      </c>
      <c r="G1508" t="s">
        <v>31583</v>
      </c>
      <c r="H1508" t="s">
        <v>31590</v>
      </c>
      <c r="I1508" t="s">
        <v>4046</v>
      </c>
      <c r="J1508" t="s">
        <v>31727</v>
      </c>
      <c r="K1508" t="s">
        <v>41196</v>
      </c>
      <c r="M1508" t="s">
        <v>42106</v>
      </c>
      <c r="N1508" t="s">
        <v>45095</v>
      </c>
      <c r="O1508" t="s">
        <v>45096</v>
      </c>
      <c r="P1508">
        <v>0</v>
      </c>
      <c r="Q1508">
        <v>0</v>
      </c>
      <c r="R1508" t="s">
        <v>45097</v>
      </c>
      <c r="S1508" t="s">
        <v>45222</v>
      </c>
      <c r="T1508" t="s">
        <v>47077</v>
      </c>
      <c r="U1508" t="s">
        <v>48770</v>
      </c>
      <c r="V1508" t="s">
        <v>59988</v>
      </c>
      <c r="W1508" t="s">
        <v>42106</v>
      </c>
      <c r="X1508" t="s">
        <v>45098</v>
      </c>
    </row>
    <row r="1509" spans="1:24">
      <c r="A1509">
        <f>HYPERLINK("https://www.philgeps.gov.ph/GEPSNONPILOT/Tender/SplashBidNoticeAbstractUI.aspx?menuIndex=3&amp;refID=7045967&amp;Result=3","7045967")</f>
        <v>0</v>
      </c>
      <c r="B1509" t="s">
        <v>399</v>
      </c>
      <c r="C1509" t="s">
        <v>4642</v>
      </c>
      <c r="D1509" t="s">
        <v>18094</v>
      </c>
      <c r="E1509" t="s">
        <v>19511</v>
      </c>
      <c r="F1509" t="s">
        <v>31574</v>
      </c>
      <c r="G1509" t="s">
        <v>31581</v>
      </c>
      <c r="H1509" t="s">
        <v>31590</v>
      </c>
      <c r="I1509" t="s">
        <v>4046</v>
      </c>
      <c r="J1509" t="s">
        <v>32831</v>
      </c>
      <c r="K1509" t="s">
        <v>41213</v>
      </c>
      <c r="M1509" t="s">
        <v>41890</v>
      </c>
      <c r="N1509" t="s">
        <v>45095</v>
      </c>
      <c r="O1509" t="s">
        <v>45096</v>
      </c>
      <c r="P1509">
        <v>0</v>
      </c>
      <c r="Q1509">
        <v>0</v>
      </c>
      <c r="R1509" t="s">
        <v>45097</v>
      </c>
      <c r="S1509" t="s">
        <v>45222</v>
      </c>
      <c r="T1509" t="s">
        <v>46918</v>
      </c>
      <c r="U1509" t="s">
        <v>48771</v>
      </c>
      <c r="W1509" t="s">
        <v>41890</v>
      </c>
      <c r="X1509" t="s">
        <v>45098</v>
      </c>
    </row>
    <row r="1510" spans="1:24">
      <c r="A1510">
        <f>HYPERLINK("https://www.philgeps.gov.ph/GEPSNONPILOT/Tender/SplashBidNoticeAbstractUI.aspx?menuIndex=3&amp;refID=7045983&amp;Result=3","7045983")</f>
        <v>0</v>
      </c>
      <c r="B1510" t="s">
        <v>194</v>
      </c>
      <c r="C1510" t="s">
        <v>4643</v>
      </c>
      <c r="D1510" t="s">
        <v>18065</v>
      </c>
      <c r="E1510" t="s">
        <v>19512</v>
      </c>
      <c r="F1510" t="s">
        <v>31574</v>
      </c>
      <c r="G1510" t="s">
        <v>31581</v>
      </c>
      <c r="H1510" t="s">
        <v>31590</v>
      </c>
      <c r="I1510" t="s">
        <v>6800</v>
      </c>
      <c r="J1510" t="s">
        <v>32832</v>
      </c>
      <c r="K1510" t="s">
        <v>41184</v>
      </c>
      <c r="M1510" t="s">
        <v>41679</v>
      </c>
      <c r="N1510" t="s">
        <v>45095</v>
      </c>
      <c r="O1510" t="s">
        <v>45096</v>
      </c>
      <c r="P1510">
        <v>0</v>
      </c>
      <c r="Q1510">
        <v>0</v>
      </c>
      <c r="R1510" t="s">
        <v>45097</v>
      </c>
      <c r="S1510" t="s">
        <v>45222</v>
      </c>
      <c r="T1510" t="s">
        <v>46923</v>
      </c>
      <c r="U1510" t="s">
        <v>47832</v>
      </c>
      <c r="W1510" t="s">
        <v>41679</v>
      </c>
      <c r="X1510" t="s">
        <v>45098</v>
      </c>
    </row>
    <row r="1511" spans="1:24">
      <c r="A1511">
        <f>HYPERLINK("https://www.philgeps.gov.ph/GEPSNONPILOT/Tender/SplashBidNoticeAbstractUI.aspx?menuIndex=3&amp;refID=7045982&amp;Result=3","7045982")</f>
        <v>0</v>
      </c>
      <c r="B1511" t="s">
        <v>264</v>
      </c>
      <c r="C1511" t="s">
        <v>4644</v>
      </c>
      <c r="D1511" t="s">
        <v>18066</v>
      </c>
      <c r="E1511" t="s">
        <v>19513</v>
      </c>
      <c r="F1511" t="s">
        <v>31574</v>
      </c>
      <c r="G1511" t="s">
        <v>31582</v>
      </c>
      <c r="H1511" t="s">
        <v>31590</v>
      </c>
      <c r="I1511" t="s">
        <v>4046</v>
      </c>
      <c r="J1511" t="s">
        <v>32833</v>
      </c>
      <c r="K1511" t="s">
        <v>41184</v>
      </c>
      <c r="M1511" t="s">
        <v>41750</v>
      </c>
      <c r="N1511" t="s">
        <v>45095</v>
      </c>
      <c r="O1511" t="s">
        <v>45096</v>
      </c>
      <c r="P1511">
        <v>0</v>
      </c>
      <c r="Q1511">
        <v>0</v>
      </c>
      <c r="R1511" t="s">
        <v>45097</v>
      </c>
      <c r="S1511" t="s">
        <v>45222</v>
      </c>
      <c r="T1511" t="s">
        <v>46926</v>
      </c>
      <c r="U1511" t="s">
        <v>48772</v>
      </c>
      <c r="W1511" t="s">
        <v>61674</v>
      </c>
      <c r="X1511" t="s">
        <v>45098</v>
      </c>
    </row>
    <row r="1512" spans="1:24">
      <c r="A1512">
        <f>HYPERLINK("https://www.philgeps.gov.ph/GEPSNONPILOT/Tender/SplashBidNoticeAbstractUI.aspx?menuIndex=3&amp;refID=7045985&amp;Result=3","7045985")</f>
        <v>0</v>
      </c>
      <c r="B1512" t="s">
        <v>628</v>
      </c>
      <c r="C1512" t="s">
        <v>4645</v>
      </c>
      <c r="D1512" t="s">
        <v>18056</v>
      </c>
      <c r="E1512" t="s">
        <v>19514</v>
      </c>
      <c r="F1512" t="s">
        <v>31574</v>
      </c>
      <c r="G1512" t="s">
        <v>31581</v>
      </c>
      <c r="H1512" t="s">
        <v>31590</v>
      </c>
      <c r="I1512" t="s">
        <v>3539</v>
      </c>
      <c r="J1512" t="s">
        <v>31741</v>
      </c>
      <c r="K1512" t="s">
        <v>41184</v>
      </c>
      <c r="M1512" t="s">
        <v>42132</v>
      </c>
      <c r="N1512" t="s">
        <v>45095</v>
      </c>
      <c r="O1512" t="s">
        <v>45096</v>
      </c>
      <c r="P1512">
        <v>0</v>
      </c>
      <c r="Q1512">
        <v>0</v>
      </c>
      <c r="R1512" t="s">
        <v>45097</v>
      </c>
      <c r="S1512" t="s">
        <v>45222</v>
      </c>
      <c r="T1512" t="s">
        <v>46946</v>
      </c>
      <c r="U1512" t="s">
        <v>48773</v>
      </c>
      <c r="W1512" t="s">
        <v>42132</v>
      </c>
      <c r="X1512" t="s">
        <v>45098</v>
      </c>
    </row>
    <row r="1513" spans="1:24">
      <c r="A1513">
        <f>HYPERLINK("https://www.philgeps.gov.ph/GEPSNONPILOT/Tender/SplashBidNoticeAbstractUI.aspx?menuIndex=3&amp;refID=7045981&amp;Result=3","7045981")</f>
        <v>0</v>
      </c>
      <c r="B1513" t="s">
        <v>629</v>
      </c>
      <c r="C1513" t="s">
        <v>4646</v>
      </c>
      <c r="D1513" t="s">
        <v>18075</v>
      </c>
      <c r="E1513" t="s">
        <v>18271</v>
      </c>
      <c r="F1513" t="s">
        <v>31574</v>
      </c>
      <c r="G1513" t="s">
        <v>31582</v>
      </c>
      <c r="H1513" t="s">
        <v>31590</v>
      </c>
      <c r="I1513" t="s">
        <v>31653</v>
      </c>
      <c r="J1513" t="s">
        <v>32049</v>
      </c>
      <c r="K1513" t="s">
        <v>41196</v>
      </c>
      <c r="M1513" t="s">
        <v>42133</v>
      </c>
      <c r="N1513" t="s">
        <v>45095</v>
      </c>
      <c r="O1513" t="s">
        <v>45096</v>
      </c>
      <c r="P1513">
        <v>0</v>
      </c>
      <c r="Q1513">
        <v>0</v>
      </c>
      <c r="R1513" t="s">
        <v>45097</v>
      </c>
      <c r="S1513" t="s">
        <v>45222</v>
      </c>
      <c r="T1513" t="s">
        <v>46905</v>
      </c>
      <c r="U1513" t="s">
        <v>48774</v>
      </c>
      <c r="W1513" t="s">
        <v>42133</v>
      </c>
      <c r="X1513" t="s">
        <v>45098</v>
      </c>
    </row>
    <row r="1514" spans="1:24">
      <c r="A1514">
        <f>HYPERLINK("https://www.philgeps.gov.ph/GEPSNONPILOT/Tender/SplashBidNoticeAbstractUI.aspx?menuIndex=3&amp;refID=7045984&amp;Result=3","7045984")</f>
        <v>0</v>
      </c>
      <c r="B1514" t="s">
        <v>630</v>
      </c>
      <c r="C1514" t="s">
        <v>4647</v>
      </c>
      <c r="D1514" t="s">
        <v>18086</v>
      </c>
      <c r="E1514" t="s">
        <v>19515</v>
      </c>
      <c r="F1514" t="s">
        <v>31574</v>
      </c>
      <c r="G1514" t="s">
        <v>31583</v>
      </c>
      <c r="H1514" t="s">
        <v>31590</v>
      </c>
      <c r="I1514" t="s">
        <v>31595</v>
      </c>
      <c r="J1514" t="s">
        <v>32834</v>
      </c>
      <c r="K1514" t="s">
        <v>41196</v>
      </c>
      <c r="M1514" t="s">
        <v>42134</v>
      </c>
      <c r="N1514" t="s">
        <v>45095</v>
      </c>
      <c r="O1514" t="s">
        <v>45096</v>
      </c>
      <c r="P1514">
        <v>0</v>
      </c>
      <c r="Q1514">
        <v>0</v>
      </c>
      <c r="R1514" t="s">
        <v>45097</v>
      </c>
      <c r="S1514" t="s">
        <v>45222</v>
      </c>
      <c r="T1514" t="s">
        <v>47080</v>
      </c>
      <c r="U1514" t="s">
        <v>48775</v>
      </c>
      <c r="W1514" t="s">
        <v>42134</v>
      </c>
      <c r="X1514" t="s">
        <v>45098</v>
      </c>
    </row>
    <row r="1515" spans="1:24">
      <c r="A1515">
        <f>HYPERLINK("https://www.philgeps.gov.ph/GEPSNONPILOT/Tender/SplashBidNoticeAbstractUI.aspx?menuIndex=3&amp;refID=7045969&amp;Result=3","7045969")</f>
        <v>0</v>
      </c>
      <c r="B1515" t="s">
        <v>631</v>
      </c>
      <c r="C1515" t="s">
        <v>4648</v>
      </c>
      <c r="D1515" t="s">
        <v>18022</v>
      </c>
      <c r="E1515" t="s">
        <v>19516</v>
      </c>
      <c r="F1515" t="s">
        <v>31574</v>
      </c>
      <c r="G1515" t="s">
        <v>31581</v>
      </c>
      <c r="H1515" t="s">
        <v>31590</v>
      </c>
      <c r="I1515" t="s">
        <v>31603</v>
      </c>
      <c r="J1515" t="s">
        <v>32835</v>
      </c>
      <c r="K1515" t="s">
        <v>41193</v>
      </c>
      <c r="M1515" t="s">
        <v>42135</v>
      </c>
      <c r="N1515" t="s">
        <v>45095</v>
      </c>
      <c r="O1515" t="s">
        <v>45096</v>
      </c>
      <c r="P1515">
        <v>0</v>
      </c>
      <c r="Q1515">
        <v>0</v>
      </c>
      <c r="R1515" t="s">
        <v>45097</v>
      </c>
      <c r="S1515" t="s">
        <v>45222</v>
      </c>
      <c r="T1515" t="s">
        <v>46932</v>
      </c>
      <c r="U1515" t="s">
        <v>48776</v>
      </c>
      <c r="W1515" t="s">
        <v>42135</v>
      </c>
      <c r="X1515" t="s">
        <v>45098</v>
      </c>
    </row>
    <row r="1516" spans="1:24">
      <c r="A1516">
        <f>HYPERLINK("https://www.philgeps.gov.ph/GEPSNONPILOT/Tender/SplashBidNoticeAbstractUI.aspx?menuIndex=3&amp;refID=7045972&amp;Result=3","7045972")</f>
        <v>0</v>
      </c>
      <c r="B1516" t="s">
        <v>587</v>
      </c>
      <c r="C1516" t="s">
        <v>4649</v>
      </c>
      <c r="D1516" t="s">
        <v>18022</v>
      </c>
      <c r="E1516" t="s">
        <v>19517</v>
      </c>
      <c r="F1516" t="s">
        <v>31574</v>
      </c>
      <c r="G1516" t="s">
        <v>31581</v>
      </c>
      <c r="H1516" t="s">
        <v>31590</v>
      </c>
      <c r="I1516" t="s">
        <v>31619</v>
      </c>
      <c r="J1516" t="s">
        <v>32836</v>
      </c>
      <c r="K1516" t="s">
        <v>41186</v>
      </c>
      <c r="M1516" t="s">
        <v>42089</v>
      </c>
      <c r="N1516" t="s">
        <v>45095</v>
      </c>
      <c r="O1516" t="s">
        <v>45096</v>
      </c>
      <c r="P1516">
        <v>0</v>
      </c>
      <c r="Q1516">
        <v>0</v>
      </c>
      <c r="R1516" t="s">
        <v>45097</v>
      </c>
      <c r="S1516" t="s">
        <v>45222</v>
      </c>
      <c r="T1516" t="s">
        <v>47068</v>
      </c>
      <c r="U1516" t="s">
        <v>48675</v>
      </c>
      <c r="W1516" t="s">
        <v>42089</v>
      </c>
      <c r="X1516" t="s">
        <v>45098</v>
      </c>
    </row>
    <row r="1517" spans="1:24">
      <c r="A1517">
        <f>HYPERLINK("https://www.philgeps.gov.ph/GEPSNONPILOT/Tender/SplashBidNoticeAbstractUI.aspx?menuIndex=3&amp;refID=7045973&amp;Result=3","7045973")</f>
        <v>0</v>
      </c>
      <c r="B1517" t="s">
        <v>632</v>
      </c>
      <c r="C1517" t="s">
        <v>4650</v>
      </c>
      <c r="D1517" t="s">
        <v>18033</v>
      </c>
      <c r="E1517" t="s">
        <v>19518</v>
      </c>
      <c r="F1517" t="s">
        <v>31574</v>
      </c>
      <c r="G1517" t="s">
        <v>31583</v>
      </c>
      <c r="H1517" t="s">
        <v>31590</v>
      </c>
      <c r="I1517" t="s">
        <v>4354</v>
      </c>
      <c r="J1517" t="s">
        <v>32666</v>
      </c>
      <c r="K1517" t="s">
        <v>41193</v>
      </c>
      <c r="M1517" t="s">
        <v>42136</v>
      </c>
      <c r="N1517" t="s">
        <v>45095</v>
      </c>
      <c r="O1517" t="s">
        <v>45096</v>
      </c>
      <c r="P1517">
        <v>0</v>
      </c>
      <c r="Q1517">
        <v>0</v>
      </c>
      <c r="R1517" t="s">
        <v>45097</v>
      </c>
      <c r="S1517" t="s">
        <v>45222</v>
      </c>
      <c r="T1517" t="s">
        <v>46911</v>
      </c>
      <c r="U1517" t="s">
        <v>48777</v>
      </c>
      <c r="W1517" t="s">
        <v>42136</v>
      </c>
      <c r="X1517" t="s">
        <v>45098</v>
      </c>
    </row>
    <row r="1518" spans="1:24">
      <c r="A1518">
        <f>HYPERLINK("https://www.philgeps.gov.ph/GEPSNONPILOT/Tender/SplashBidNoticeAbstractUI.aspx?menuIndex=3&amp;refID=7045988&amp;Result=3","7045988")</f>
        <v>0</v>
      </c>
      <c r="B1518" t="s">
        <v>137</v>
      </c>
      <c r="C1518" t="s">
        <v>4651</v>
      </c>
      <c r="D1518" t="s">
        <v>18072</v>
      </c>
      <c r="E1518" t="s">
        <v>19519</v>
      </c>
      <c r="F1518" t="s">
        <v>31574</v>
      </c>
      <c r="G1518" t="s">
        <v>31581</v>
      </c>
      <c r="H1518" t="s">
        <v>31593</v>
      </c>
      <c r="I1518" t="s">
        <v>31593</v>
      </c>
      <c r="J1518" t="s">
        <v>32703</v>
      </c>
      <c r="K1518" t="s">
        <v>41225</v>
      </c>
      <c r="M1518" t="s">
        <v>41621</v>
      </c>
      <c r="N1518" t="s">
        <v>45095</v>
      </c>
      <c r="O1518" t="s">
        <v>45096</v>
      </c>
      <c r="P1518">
        <v>0</v>
      </c>
      <c r="Q1518">
        <v>0</v>
      </c>
      <c r="R1518" t="s">
        <v>45097</v>
      </c>
      <c r="S1518" t="s">
        <v>45222</v>
      </c>
      <c r="T1518" t="s">
        <v>46961</v>
      </c>
      <c r="U1518" t="s">
        <v>48778</v>
      </c>
      <c r="W1518" t="s">
        <v>41621</v>
      </c>
      <c r="X1518" t="s">
        <v>45098</v>
      </c>
    </row>
    <row r="1519" spans="1:24">
      <c r="A1519">
        <f>HYPERLINK("https://www.philgeps.gov.ph/GEPSNONPILOT/Tender/SplashBidNoticeAbstractUI.aspx?menuIndex=3&amp;refID=7045980&amp;Result=3","7045980")</f>
        <v>0</v>
      </c>
      <c r="B1519" t="s">
        <v>362</v>
      </c>
      <c r="C1519" t="s">
        <v>4652</v>
      </c>
      <c r="D1519" t="s">
        <v>18068</v>
      </c>
      <c r="E1519" t="s">
        <v>19520</v>
      </c>
      <c r="F1519" t="s">
        <v>31574</v>
      </c>
      <c r="G1519" t="s">
        <v>31582</v>
      </c>
      <c r="H1519" t="s">
        <v>31591</v>
      </c>
      <c r="I1519" t="s">
        <v>8822</v>
      </c>
      <c r="J1519" t="s">
        <v>32019</v>
      </c>
      <c r="K1519" t="s">
        <v>41217</v>
      </c>
      <c r="M1519" t="s">
        <v>41852</v>
      </c>
      <c r="N1519" t="s">
        <v>45095</v>
      </c>
      <c r="O1519" t="s">
        <v>45096</v>
      </c>
      <c r="P1519">
        <v>0</v>
      </c>
      <c r="Q1519">
        <v>0</v>
      </c>
      <c r="R1519" t="s">
        <v>45097</v>
      </c>
      <c r="S1519" t="s">
        <v>45222</v>
      </c>
      <c r="T1519" t="s">
        <v>46915</v>
      </c>
      <c r="U1519" t="s">
        <v>48779</v>
      </c>
      <c r="W1519" t="s">
        <v>41852</v>
      </c>
      <c r="X1519" t="s">
        <v>45098</v>
      </c>
    </row>
    <row r="1520" spans="1:24">
      <c r="A1520">
        <f>HYPERLINK("https://www.philgeps.gov.ph/GEPSNONPILOT/Tender/SplashBidNoticeAbstractUI.aspx?menuIndex=3&amp;refID=7045968&amp;Result=3","7045968")</f>
        <v>0</v>
      </c>
      <c r="B1520" t="s">
        <v>581</v>
      </c>
      <c r="C1520" t="s">
        <v>4653</v>
      </c>
      <c r="D1520" t="s">
        <v>18092</v>
      </c>
      <c r="E1520" t="s">
        <v>19521</v>
      </c>
      <c r="F1520" t="s">
        <v>31574</v>
      </c>
      <c r="G1520" t="s">
        <v>31582</v>
      </c>
      <c r="H1520" t="s">
        <v>31590</v>
      </c>
      <c r="I1520" t="s">
        <v>4046</v>
      </c>
      <c r="J1520" t="s">
        <v>32837</v>
      </c>
      <c r="K1520" t="s">
        <v>41196</v>
      </c>
      <c r="M1520" t="s">
        <v>42083</v>
      </c>
      <c r="N1520" t="s">
        <v>45095</v>
      </c>
      <c r="O1520" t="s">
        <v>45096</v>
      </c>
      <c r="P1520">
        <v>0</v>
      </c>
      <c r="Q1520">
        <v>0</v>
      </c>
      <c r="R1520" t="s">
        <v>45097</v>
      </c>
      <c r="S1520" t="s">
        <v>45222</v>
      </c>
      <c r="T1520" t="s">
        <v>47073</v>
      </c>
      <c r="U1520" t="s">
        <v>48780</v>
      </c>
      <c r="W1520" t="s">
        <v>42083</v>
      </c>
      <c r="X1520" t="s">
        <v>45098</v>
      </c>
    </row>
    <row r="1521" spans="1:24">
      <c r="A1521">
        <f>HYPERLINK("https://www.philgeps.gov.ph/GEPSNONPILOT/Tender/SplashBidNoticeAbstractUI.aspx?menuIndex=3&amp;refID=7046003&amp;Result=3","7046003")</f>
        <v>0</v>
      </c>
      <c r="B1521" t="s">
        <v>633</v>
      </c>
      <c r="C1521" t="s">
        <v>4654</v>
      </c>
      <c r="D1521" t="s">
        <v>18023</v>
      </c>
      <c r="E1521" t="s">
        <v>19522</v>
      </c>
      <c r="F1521" t="s">
        <v>31574</v>
      </c>
      <c r="G1521" t="s">
        <v>31583</v>
      </c>
      <c r="H1521" t="s">
        <v>31590</v>
      </c>
      <c r="I1521" t="s">
        <v>31594</v>
      </c>
      <c r="J1521" t="s">
        <v>32838</v>
      </c>
      <c r="K1521" t="s">
        <v>41195</v>
      </c>
      <c r="M1521" t="s">
        <v>42137</v>
      </c>
      <c r="N1521" t="s">
        <v>45095</v>
      </c>
      <c r="O1521" t="s">
        <v>45096</v>
      </c>
      <c r="P1521">
        <v>0</v>
      </c>
      <c r="Q1521">
        <v>0</v>
      </c>
      <c r="R1521" t="s">
        <v>45097</v>
      </c>
      <c r="S1521" t="s">
        <v>45222</v>
      </c>
      <c r="T1521" t="s">
        <v>46936</v>
      </c>
      <c r="U1521" t="s">
        <v>48781</v>
      </c>
      <c r="W1521" t="s">
        <v>42137</v>
      </c>
      <c r="X1521" t="s">
        <v>45098</v>
      </c>
    </row>
    <row r="1522" spans="1:24">
      <c r="A1522">
        <f>HYPERLINK("https://www.philgeps.gov.ph/GEPSNONPILOT/Tender/SplashBidNoticeAbstractUI.aspx?menuIndex=3&amp;refID=7045998&amp;Result=3","7045998")</f>
        <v>0</v>
      </c>
      <c r="B1522" t="s">
        <v>634</v>
      </c>
      <c r="C1522" t="s">
        <v>4655</v>
      </c>
      <c r="D1522" t="s">
        <v>18052</v>
      </c>
      <c r="E1522" t="s">
        <v>19523</v>
      </c>
      <c r="F1522" t="s">
        <v>31574</v>
      </c>
      <c r="G1522" t="s">
        <v>31581</v>
      </c>
      <c r="H1522" t="s">
        <v>31590</v>
      </c>
      <c r="I1522" t="s">
        <v>31607</v>
      </c>
      <c r="J1522" t="s">
        <v>31727</v>
      </c>
      <c r="K1522" t="s">
        <v>41193</v>
      </c>
      <c r="M1522" t="s">
        <v>42138</v>
      </c>
      <c r="N1522" t="s">
        <v>45095</v>
      </c>
      <c r="O1522" t="s">
        <v>45096</v>
      </c>
      <c r="P1522">
        <v>0</v>
      </c>
      <c r="Q1522">
        <v>0</v>
      </c>
      <c r="R1522" t="s">
        <v>45097</v>
      </c>
      <c r="S1522" t="s">
        <v>45222</v>
      </c>
      <c r="T1522" t="s">
        <v>46918</v>
      </c>
      <c r="U1522" t="s">
        <v>48782</v>
      </c>
      <c r="W1522" t="s">
        <v>42138</v>
      </c>
      <c r="X1522" t="s">
        <v>45098</v>
      </c>
    </row>
    <row r="1523" spans="1:24">
      <c r="A1523">
        <f>HYPERLINK("https://www.philgeps.gov.ph/GEPSNONPILOT/Tender/SplashBidNoticeAbstractUI.aspx?menuIndex=3&amp;refID=7045994&amp;Result=3","7045994")</f>
        <v>0</v>
      </c>
      <c r="B1523" t="s">
        <v>627</v>
      </c>
      <c r="C1523" t="s">
        <v>4656</v>
      </c>
      <c r="E1523" t="s">
        <v>19524</v>
      </c>
      <c r="F1523" t="s">
        <v>31574</v>
      </c>
      <c r="G1523" t="s">
        <v>31581</v>
      </c>
      <c r="H1523" t="s">
        <v>31590</v>
      </c>
      <c r="I1523" t="s">
        <v>31602</v>
      </c>
      <c r="J1523" t="s">
        <v>32839</v>
      </c>
      <c r="K1523" t="s">
        <v>41184</v>
      </c>
      <c r="M1523" t="s">
        <v>42131</v>
      </c>
      <c r="N1523" t="s">
        <v>45095</v>
      </c>
      <c r="O1523" t="s">
        <v>45096</v>
      </c>
      <c r="P1523">
        <v>0</v>
      </c>
      <c r="Q1523">
        <v>0</v>
      </c>
      <c r="R1523" t="s">
        <v>45097</v>
      </c>
      <c r="S1523" t="s">
        <v>45222</v>
      </c>
      <c r="T1523" t="s">
        <v>46910</v>
      </c>
      <c r="U1523" t="s">
        <v>48783</v>
      </c>
      <c r="W1523" t="s">
        <v>42131</v>
      </c>
      <c r="X1523" t="s">
        <v>45098</v>
      </c>
    </row>
    <row r="1524" spans="1:24">
      <c r="A1524">
        <f>HYPERLINK("https://www.philgeps.gov.ph/GEPSNONPILOT/Tender/SplashBidNoticeAbstractUI.aspx?menuIndex=3&amp;refID=7046002&amp;Result=3","7046002")</f>
        <v>0</v>
      </c>
      <c r="B1524" t="s">
        <v>557</v>
      </c>
      <c r="C1524" t="s">
        <v>4657</v>
      </c>
      <c r="D1524" t="s">
        <v>18022</v>
      </c>
      <c r="E1524" t="s">
        <v>19525</v>
      </c>
      <c r="F1524" t="s">
        <v>31574</v>
      </c>
      <c r="G1524" t="s">
        <v>31582</v>
      </c>
      <c r="H1524" t="s">
        <v>31592</v>
      </c>
      <c r="I1524" t="s">
        <v>8822</v>
      </c>
      <c r="J1524" t="s">
        <v>32017</v>
      </c>
      <c r="K1524" t="s">
        <v>41226</v>
      </c>
      <c r="M1524" t="s">
        <v>42056</v>
      </c>
      <c r="N1524" t="s">
        <v>45095</v>
      </c>
      <c r="O1524" t="s">
        <v>45096</v>
      </c>
      <c r="P1524">
        <v>0</v>
      </c>
      <c r="Q1524">
        <v>0</v>
      </c>
      <c r="R1524" t="s">
        <v>45097</v>
      </c>
      <c r="S1524" t="s">
        <v>45222</v>
      </c>
      <c r="T1524" t="s">
        <v>47081</v>
      </c>
      <c r="U1524" t="s">
        <v>48784</v>
      </c>
      <c r="W1524" t="s">
        <v>42056</v>
      </c>
      <c r="X1524" t="s">
        <v>45098</v>
      </c>
    </row>
    <row r="1525" spans="1:24">
      <c r="A1525">
        <f>HYPERLINK("https://www.philgeps.gov.ph/GEPSNONPILOT/Tender/SplashBidNoticeAbstractUI.aspx?menuIndex=3&amp;refID=7046014&amp;Result=3","7046014")</f>
        <v>0</v>
      </c>
      <c r="B1525" t="s">
        <v>635</v>
      </c>
      <c r="C1525" t="s">
        <v>4658</v>
      </c>
      <c r="D1525" t="s">
        <v>18040</v>
      </c>
      <c r="E1525" t="s">
        <v>19526</v>
      </c>
      <c r="F1525" t="s">
        <v>31574</v>
      </c>
      <c r="G1525" t="s">
        <v>31582</v>
      </c>
      <c r="H1525" t="s">
        <v>31591</v>
      </c>
      <c r="I1525" t="s">
        <v>8822</v>
      </c>
      <c r="J1525" t="s">
        <v>32840</v>
      </c>
      <c r="K1525" t="s">
        <v>41247</v>
      </c>
      <c r="M1525" t="s">
        <v>42139</v>
      </c>
      <c r="N1525" t="s">
        <v>45095</v>
      </c>
      <c r="O1525" t="s">
        <v>45096</v>
      </c>
      <c r="P1525">
        <v>0</v>
      </c>
      <c r="Q1525">
        <v>0</v>
      </c>
      <c r="R1525" t="s">
        <v>45097</v>
      </c>
      <c r="S1525" t="s">
        <v>45222</v>
      </c>
      <c r="T1525" t="s">
        <v>47016</v>
      </c>
      <c r="U1525" t="s">
        <v>48785</v>
      </c>
      <c r="V1525" t="s">
        <v>59996</v>
      </c>
      <c r="W1525" t="s">
        <v>42139</v>
      </c>
      <c r="X1525" t="s">
        <v>45098</v>
      </c>
    </row>
    <row r="1526" spans="1:24">
      <c r="A1526">
        <f>HYPERLINK("https://www.philgeps.gov.ph/GEPSNONPILOT/Tender/SplashBidNoticeAbstractUI.aspx?menuIndex=3&amp;refID=7045997&amp;Result=3","7045997")</f>
        <v>0</v>
      </c>
      <c r="B1526" t="s">
        <v>70</v>
      </c>
      <c r="C1526" t="s">
        <v>4659</v>
      </c>
      <c r="D1526" t="s">
        <v>18041</v>
      </c>
      <c r="E1526" t="s">
        <v>18377</v>
      </c>
      <c r="F1526" t="s">
        <v>31574</v>
      </c>
      <c r="G1526" t="s">
        <v>31583</v>
      </c>
      <c r="H1526" t="s">
        <v>31590</v>
      </c>
      <c r="I1526" t="s">
        <v>3520</v>
      </c>
      <c r="J1526" t="s">
        <v>31832</v>
      </c>
      <c r="K1526" t="s">
        <v>41184</v>
      </c>
      <c r="M1526" t="s">
        <v>41554</v>
      </c>
      <c r="N1526" t="s">
        <v>45095</v>
      </c>
      <c r="O1526" t="s">
        <v>45096</v>
      </c>
      <c r="P1526">
        <v>0</v>
      </c>
      <c r="Q1526">
        <v>0</v>
      </c>
      <c r="R1526" t="s">
        <v>45097</v>
      </c>
      <c r="S1526" t="s">
        <v>45222</v>
      </c>
      <c r="T1526" t="s">
        <v>46936</v>
      </c>
      <c r="U1526" t="s">
        <v>48786</v>
      </c>
      <c r="W1526" t="s">
        <v>41554</v>
      </c>
      <c r="X1526" t="s">
        <v>45098</v>
      </c>
    </row>
    <row r="1527" spans="1:24">
      <c r="A1527">
        <f>HYPERLINK("https://www.philgeps.gov.ph/GEPSNONPILOT/Tender/SplashBidNoticeAbstractUI.aspx?menuIndex=3&amp;refID=7045993&amp;Result=3","7045993")</f>
        <v>0</v>
      </c>
      <c r="B1527" t="s">
        <v>264</v>
      </c>
      <c r="C1527" t="s">
        <v>4660</v>
      </c>
      <c r="D1527" t="s">
        <v>18066</v>
      </c>
      <c r="E1527" t="s">
        <v>19527</v>
      </c>
      <c r="F1527" t="s">
        <v>31574</v>
      </c>
      <c r="G1527" t="s">
        <v>31582</v>
      </c>
      <c r="H1527" t="s">
        <v>31590</v>
      </c>
      <c r="I1527" t="s">
        <v>4046</v>
      </c>
      <c r="J1527" t="s">
        <v>32841</v>
      </c>
      <c r="K1527" t="s">
        <v>41184</v>
      </c>
      <c r="M1527" t="s">
        <v>41750</v>
      </c>
      <c r="N1527" t="s">
        <v>45095</v>
      </c>
      <c r="O1527" t="s">
        <v>45096</v>
      </c>
      <c r="P1527">
        <v>0</v>
      </c>
      <c r="Q1527">
        <v>0</v>
      </c>
      <c r="R1527" t="s">
        <v>45097</v>
      </c>
      <c r="S1527" t="s">
        <v>45222</v>
      </c>
      <c r="T1527" t="s">
        <v>46926</v>
      </c>
      <c r="U1527" t="s">
        <v>48787</v>
      </c>
      <c r="W1527" t="s">
        <v>61674</v>
      </c>
      <c r="X1527" t="s">
        <v>45098</v>
      </c>
    </row>
    <row r="1528" spans="1:24">
      <c r="A1528">
        <f>HYPERLINK("https://www.philgeps.gov.ph/GEPSNONPILOT/Tender/SplashBidNoticeAbstractUI.aspx?menuIndex=3&amp;refID=7046013&amp;Result=3","7046013")</f>
        <v>0</v>
      </c>
      <c r="B1528" t="s">
        <v>636</v>
      </c>
      <c r="C1528" t="s">
        <v>4661</v>
      </c>
      <c r="D1528" t="s">
        <v>18022</v>
      </c>
      <c r="E1528" t="s">
        <v>19528</v>
      </c>
      <c r="F1528" t="s">
        <v>31574</v>
      </c>
      <c r="G1528" t="s">
        <v>31581</v>
      </c>
      <c r="H1528" t="s">
        <v>31590</v>
      </c>
      <c r="I1528" t="s">
        <v>3539</v>
      </c>
      <c r="J1528" t="s">
        <v>32353</v>
      </c>
      <c r="K1528" t="s">
        <v>41184</v>
      </c>
      <c r="M1528" t="s">
        <v>42140</v>
      </c>
      <c r="N1528" t="s">
        <v>45095</v>
      </c>
      <c r="O1528" t="s">
        <v>45096</v>
      </c>
      <c r="P1528">
        <v>0</v>
      </c>
      <c r="Q1528">
        <v>0</v>
      </c>
      <c r="R1528" t="s">
        <v>45097</v>
      </c>
      <c r="S1528" t="s">
        <v>45222</v>
      </c>
      <c r="T1528" t="s">
        <v>46969</v>
      </c>
      <c r="U1528" t="s">
        <v>48788</v>
      </c>
      <c r="W1528" t="s">
        <v>42140</v>
      </c>
      <c r="X1528" t="s">
        <v>45098</v>
      </c>
    </row>
    <row r="1529" spans="1:24">
      <c r="A1529">
        <f>HYPERLINK("https://www.philgeps.gov.ph/GEPSNONPILOT/Tender/SplashBidNoticeAbstractUI.aspx?menuIndex=3&amp;refID=7045971&amp;Result=3","7045971")</f>
        <v>0</v>
      </c>
      <c r="B1529" t="s">
        <v>291</v>
      </c>
      <c r="C1529" t="s">
        <v>4662</v>
      </c>
      <c r="D1529" t="s">
        <v>18091</v>
      </c>
      <c r="E1529" t="s">
        <v>19529</v>
      </c>
      <c r="F1529" t="s">
        <v>31574</v>
      </c>
      <c r="G1529" t="s">
        <v>31581</v>
      </c>
      <c r="H1529" t="s">
        <v>31590</v>
      </c>
      <c r="I1529" t="s">
        <v>6800</v>
      </c>
      <c r="J1529" t="s">
        <v>31909</v>
      </c>
      <c r="K1529" t="s">
        <v>41193</v>
      </c>
      <c r="M1529" t="s">
        <v>41777</v>
      </c>
      <c r="N1529" t="s">
        <v>45095</v>
      </c>
      <c r="O1529" t="s">
        <v>45096</v>
      </c>
      <c r="P1529">
        <v>0</v>
      </c>
      <c r="Q1529">
        <v>0</v>
      </c>
      <c r="R1529" t="s">
        <v>45097</v>
      </c>
      <c r="S1529" t="s">
        <v>45222</v>
      </c>
      <c r="T1529" t="s">
        <v>46926</v>
      </c>
      <c r="U1529" t="s">
        <v>48671</v>
      </c>
      <c r="V1529" t="s">
        <v>59918</v>
      </c>
      <c r="W1529" t="s">
        <v>41777</v>
      </c>
      <c r="X1529" t="s">
        <v>45098</v>
      </c>
    </row>
    <row r="1530" spans="1:24">
      <c r="A1530">
        <f>HYPERLINK("https://www.philgeps.gov.ph/GEPSNONPILOT/Tender/SplashBidNoticeAbstractUI.aspx?menuIndex=3&amp;refID=7045992&amp;Result=3","7045992")</f>
        <v>0</v>
      </c>
      <c r="B1530" t="s">
        <v>637</v>
      </c>
      <c r="C1530" t="s">
        <v>4663</v>
      </c>
      <c r="D1530" t="s">
        <v>18040</v>
      </c>
      <c r="E1530" t="s">
        <v>18754</v>
      </c>
      <c r="F1530" t="s">
        <v>31574</v>
      </c>
      <c r="G1530" t="s">
        <v>31584</v>
      </c>
      <c r="H1530" t="s">
        <v>31590</v>
      </c>
      <c r="I1530" t="s">
        <v>31607</v>
      </c>
      <c r="J1530" t="s">
        <v>32842</v>
      </c>
      <c r="K1530" t="s">
        <v>41213</v>
      </c>
      <c r="M1530" t="s">
        <v>42141</v>
      </c>
      <c r="N1530" t="s">
        <v>45095</v>
      </c>
      <c r="O1530" t="s">
        <v>45096</v>
      </c>
      <c r="P1530">
        <v>0</v>
      </c>
      <c r="Q1530">
        <v>0</v>
      </c>
      <c r="R1530" t="s">
        <v>45097</v>
      </c>
      <c r="S1530" t="s">
        <v>45222</v>
      </c>
      <c r="T1530" t="s">
        <v>46911</v>
      </c>
      <c r="U1530" t="s">
        <v>48789</v>
      </c>
      <c r="W1530" t="s">
        <v>42141</v>
      </c>
      <c r="X1530" t="s">
        <v>45098</v>
      </c>
    </row>
    <row r="1531" spans="1:24">
      <c r="A1531">
        <f>HYPERLINK("https://www.philgeps.gov.ph/GEPSNONPILOT/Tender/SplashBidNoticeAbstractUI.aspx?menuIndex=3&amp;refID=7046009&amp;Result=3","7046009")</f>
        <v>0</v>
      </c>
      <c r="B1531" t="s">
        <v>638</v>
      </c>
      <c r="C1531" t="s">
        <v>4664</v>
      </c>
      <c r="D1531" t="s">
        <v>18083</v>
      </c>
      <c r="E1531" t="s">
        <v>19530</v>
      </c>
      <c r="F1531" t="s">
        <v>31574</v>
      </c>
      <c r="G1531" t="s">
        <v>31582</v>
      </c>
      <c r="H1531" t="s">
        <v>31591</v>
      </c>
      <c r="I1531" t="s">
        <v>8822</v>
      </c>
      <c r="J1531" t="s">
        <v>32510</v>
      </c>
      <c r="K1531" t="s">
        <v>41189</v>
      </c>
      <c r="M1531" t="s">
        <v>42142</v>
      </c>
      <c r="N1531" t="s">
        <v>45095</v>
      </c>
      <c r="O1531" t="s">
        <v>45096</v>
      </c>
      <c r="P1531">
        <v>0</v>
      </c>
      <c r="Q1531">
        <v>0</v>
      </c>
      <c r="R1531" t="s">
        <v>45097</v>
      </c>
      <c r="S1531" t="s">
        <v>45222</v>
      </c>
      <c r="T1531" t="s">
        <v>46929</v>
      </c>
      <c r="U1531" t="s">
        <v>48790</v>
      </c>
      <c r="W1531" t="s">
        <v>42142</v>
      </c>
      <c r="X1531" t="s">
        <v>45098</v>
      </c>
    </row>
    <row r="1532" spans="1:24">
      <c r="A1532">
        <f>HYPERLINK("https://www.philgeps.gov.ph/GEPSNONPILOT/Tender/SplashBidNoticeAbstractUI.aspx?menuIndex=3&amp;refID=7045970&amp;Result=3","7045970")</f>
        <v>0</v>
      </c>
      <c r="B1532" t="s">
        <v>239</v>
      </c>
      <c r="C1532" t="s">
        <v>4665</v>
      </c>
      <c r="D1532" t="s">
        <v>18024</v>
      </c>
      <c r="E1532" t="s">
        <v>19531</v>
      </c>
      <c r="F1532" t="s">
        <v>31574</v>
      </c>
      <c r="G1532" t="s">
        <v>31582</v>
      </c>
      <c r="H1532" t="s">
        <v>31590</v>
      </c>
      <c r="I1532" t="s">
        <v>6800</v>
      </c>
      <c r="J1532" t="s">
        <v>32843</v>
      </c>
      <c r="K1532" t="s">
        <v>41190</v>
      </c>
      <c r="M1532" t="s">
        <v>41725</v>
      </c>
      <c r="N1532" t="s">
        <v>45095</v>
      </c>
      <c r="O1532" t="s">
        <v>45096</v>
      </c>
      <c r="P1532">
        <v>0</v>
      </c>
      <c r="Q1532">
        <v>0</v>
      </c>
      <c r="R1532" t="s">
        <v>45097</v>
      </c>
      <c r="S1532" t="s">
        <v>45222</v>
      </c>
      <c r="T1532" t="s">
        <v>46996</v>
      </c>
      <c r="U1532" t="s">
        <v>47916</v>
      </c>
      <c r="W1532" t="s">
        <v>41725</v>
      </c>
      <c r="X1532" t="s">
        <v>45098</v>
      </c>
    </row>
    <row r="1533" spans="1:24">
      <c r="A1533">
        <f>HYPERLINK("https://www.philgeps.gov.ph/GEPSNONPILOT/Tender/SplashBidNoticeAbstractUI.aspx?menuIndex=3&amp;refID=7046006&amp;Result=3","7046006")</f>
        <v>0</v>
      </c>
      <c r="B1533" t="s">
        <v>639</v>
      </c>
      <c r="C1533" t="s">
        <v>4666</v>
      </c>
      <c r="D1533" t="s">
        <v>18056</v>
      </c>
      <c r="E1533" t="s">
        <v>19532</v>
      </c>
      <c r="F1533" t="s">
        <v>31574</v>
      </c>
      <c r="G1533" t="s">
        <v>31581</v>
      </c>
      <c r="H1533" t="s">
        <v>31590</v>
      </c>
      <c r="I1533" t="s">
        <v>4046</v>
      </c>
      <c r="J1533" t="s">
        <v>32844</v>
      </c>
      <c r="K1533" t="s">
        <v>41195</v>
      </c>
      <c r="M1533" t="s">
        <v>42143</v>
      </c>
      <c r="N1533" t="s">
        <v>45095</v>
      </c>
      <c r="O1533" t="s">
        <v>45096</v>
      </c>
      <c r="P1533">
        <v>0</v>
      </c>
      <c r="Q1533">
        <v>0</v>
      </c>
      <c r="R1533" t="s">
        <v>45097</v>
      </c>
      <c r="S1533" t="s">
        <v>45222</v>
      </c>
      <c r="T1533" t="s">
        <v>46904</v>
      </c>
      <c r="U1533" t="s">
        <v>48791</v>
      </c>
      <c r="W1533" t="s">
        <v>42143</v>
      </c>
      <c r="X1533" t="s">
        <v>45098</v>
      </c>
    </row>
    <row r="1534" spans="1:24">
      <c r="A1534">
        <f>HYPERLINK("https://www.philgeps.gov.ph/GEPSNONPILOT/Tender/SplashBidNoticeAbstractUI.aspx?menuIndex=3&amp;refID=7046005&amp;Result=3","7046005")</f>
        <v>0</v>
      </c>
      <c r="B1534" t="s">
        <v>264</v>
      </c>
      <c r="C1534" t="s">
        <v>4667</v>
      </c>
      <c r="D1534" t="s">
        <v>18066</v>
      </c>
      <c r="E1534" t="s">
        <v>19533</v>
      </c>
      <c r="F1534" t="s">
        <v>31574</v>
      </c>
      <c r="G1534" t="s">
        <v>31582</v>
      </c>
      <c r="H1534" t="s">
        <v>31590</v>
      </c>
      <c r="I1534" t="s">
        <v>31612</v>
      </c>
      <c r="J1534" t="s">
        <v>32845</v>
      </c>
      <c r="K1534" t="s">
        <v>41184</v>
      </c>
      <c r="M1534" t="s">
        <v>41750</v>
      </c>
      <c r="N1534" t="s">
        <v>45095</v>
      </c>
      <c r="O1534" t="s">
        <v>45096</v>
      </c>
      <c r="P1534">
        <v>0</v>
      </c>
      <c r="Q1534">
        <v>0</v>
      </c>
      <c r="R1534" t="s">
        <v>45097</v>
      </c>
      <c r="S1534" t="s">
        <v>45222</v>
      </c>
      <c r="T1534" t="s">
        <v>47028</v>
      </c>
      <c r="U1534" t="s">
        <v>48792</v>
      </c>
      <c r="W1534" t="s">
        <v>61674</v>
      </c>
      <c r="X1534" t="s">
        <v>45098</v>
      </c>
    </row>
    <row r="1535" spans="1:24">
      <c r="A1535">
        <f>HYPERLINK("https://www.philgeps.gov.ph/GEPSNONPILOT/Tender/SplashBidNoticeAbstractUI.aspx?menuIndex=3&amp;refID=7046000&amp;Result=3","7046000")</f>
        <v>0</v>
      </c>
      <c r="B1535" t="s">
        <v>119</v>
      </c>
      <c r="C1535" t="s">
        <v>4668</v>
      </c>
      <c r="D1535" t="s">
        <v>18052</v>
      </c>
      <c r="E1535" t="s">
        <v>19534</v>
      </c>
      <c r="F1535" t="s">
        <v>31574</v>
      </c>
      <c r="G1535" t="s">
        <v>31584</v>
      </c>
      <c r="H1535" t="s">
        <v>31590</v>
      </c>
      <c r="I1535" t="s">
        <v>31603</v>
      </c>
      <c r="J1535" t="s">
        <v>32846</v>
      </c>
      <c r="K1535" t="s">
        <v>41197</v>
      </c>
      <c r="L1535" t="s">
        <v>119</v>
      </c>
      <c r="M1535" t="s">
        <v>41603</v>
      </c>
      <c r="N1535" t="s">
        <v>45095</v>
      </c>
      <c r="O1535" t="s">
        <v>45096</v>
      </c>
      <c r="P1535">
        <v>0</v>
      </c>
      <c r="Q1535">
        <v>0</v>
      </c>
      <c r="R1535" t="s">
        <v>45097</v>
      </c>
      <c r="S1535" t="s">
        <v>45222</v>
      </c>
      <c r="T1535" t="s">
        <v>47079</v>
      </c>
      <c r="U1535" t="s">
        <v>48793</v>
      </c>
      <c r="W1535" t="s">
        <v>41603</v>
      </c>
      <c r="X1535" t="s">
        <v>45098</v>
      </c>
    </row>
    <row r="1536" spans="1:24">
      <c r="A1536">
        <f>HYPERLINK("https://www.philgeps.gov.ph/GEPSNONPILOT/Tender/SplashBidNoticeAbstractUI.aspx?menuIndex=3&amp;refID=7046008&amp;Result=3","7046008")</f>
        <v>0</v>
      </c>
      <c r="B1536" t="s">
        <v>471</v>
      </c>
      <c r="C1536" t="s">
        <v>4669</v>
      </c>
      <c r="D1536" t="s">
        <v>18052</v>
      </c>
      <c r="E1536" t="s">
        <v>19535</v>
      </c>
      <c r="F1536" t="s">
        <v>31574</v>
      </c>
      <c r="G1536" t="s">
        <v>31582</v>
      </c>
      <c r="H1536" t="s">
        <v>31591</v>
      </c>
      <c r="I1536" t="s">
        <v>4046</v>
      </c>
      <c r="J1536" t="s">
        <v>32847</v>
      </c>
      <c r="K1536" t="s">
        <v>41185</v>
      </c>
      <c r="M1536" t="s">
        <v>41966</v>
      </c>
      <c r="N1536" t="s">
        <v>45095</v>
      </c>
      <c r="O1536" t="s">
        <v>45096</v>
      </c>
      <c r="P1536">
        <v>0</v>
      </c>
      <c r="Q1536">
        <v>0</v>
      </c>
      <c r="R1536" t="s">
        <v>45097</v>
      </c>
      <c r="S1536" t="s">
        <v>45222</v>
      </c>
      <c r="T1536" t="s">
        <v>47047</v>
      </c>
      <c r="U1536" t="s">
        <v>48794</v>
      </c>
      <c r="W1536" t="s">
        <v>41966</v>
      </c>
      <c r="X1536" t="s">
        <v>45098</v>
      </c>
    </row>
    <row r="1537" spans="1:24">
      <c r="A1537">
        <f>HYPERLINK("https://www.philgeps.gov.ph/GEPSNONPILOT/Tender/SplashBidNoticeAbstractUI.aspx?menuIndex=3&amp;refID=7045989&amp;Result=3","7045989")</f>
        <v>0</v>
      </c>
      <c r="B1537" t="s">
        <v>570</v>
      </c>
      <c r="C1537" t="s">
        <v>4670</v>
      </c>
      <c r="D1537" t="s">
        <v>18047</v>
      </c>
      <c r="E1537" t="s">
        <v>19536</v>
      </c>
      <c r="F1537" t="s">
        <v>31574</v>
      </c>
      <c r="G1537" t="s">
        <v>31582</v>
      </c>
      <c r="H1537" t="s">
        <v>31590</v>
      </c>
      <c r="I1537" t="s">
        <v>31594</v>
      </c>
      <c r="J1537" t="s">
        <v>32848</v>
      </c>
      <c r="K1537" t="s">
        <v>41189</v>
      </c>
      <c r="M1537" t="s">
        <v>42071</v>
      </c>
      <c r="N1537" t="s">
        <v>45095</v>
      </c>
      <c r="O1537" t="s">
        <v>45096</v>
      </c>
      <c r="P1537">
        <v>0</v>
      </c>
      <c r="Q1537">
        <v>0</v>
      </c>
      <c r="R1537" t="s">
        <v>45097</v>
      </c>
      <c r="S1537" t="s">
        <v>45222</v>
      </c>
      <c r="T1537" t="s">
        <v>47069</v>
      </c>
      <c r="U1537" t="s">
        <v>48795</v>
      </c>
      <c r="V1537" t="s">
        <v>59980</v>
      </c>
      <c r="W1537" t="s">
        <v>42071</v>
      </c>
      <c r="X1537" t="s">
        <v>45098</v>
      </c>
    </row>
    <row r="1538" spans="1:24">
      <c r="A1538">
        <f>HYPERLINK("https://www.philgeps.gov.ph/GEPSNONPILOT/Tender/SplashBidNoticeAbstractUI.aspx?menuIndex=3&amp;refID=7046019&amp;Result=3","7046019")</f>
        <v>0</v>
      </c>
      <c r="B1538" t="s">
        <v>291</v>
      </c>
      <c r="C1538" t="s">
        <v>4671</v>
      </c>
      <c r="D1538" t="s">
        <v>18091</v>
      </c>
      <c r="E1538" t="s">
        <v>19537</v>
      </c>
      <c r="F1538" t="s">
        <v>31574</v>
      </c>
      <c r="G1538" t="s">
        <v>31581</v>
      </c>
      <c r="H1538" t="s">
        <v>31590</v>
      </c>
      <c r="I1538" t="s">
        <v>14034</v>
      </c>
      <c r="J1538" t="s">
        <v>32849</v>
      </c>
      <c r="K1538" t="s">
        <v>41193</v>
      </c>
      <c r="M1538" t="s">
        <v>41777</v>
      </c>
      <c r="N1538" t="s">
        <v>45095</v>
      </c>
      <c r="O1538" t="s">
        <v>45096</v>
      </c>
      <c r="P1538">
        <v>0</v>
      </c>
      <c r="Q1538">
        <v>0</v>
      </c>
      <c r="R1538" t="s">
        <v>45097</v>
      </c>
      <c r="S1538" t="s">
        <v>45222</v>
      </c>
      <c r="T1538" t="s">
        <v>46926</v>
      </c>
      <c r="U1538" t="s">
        <v>48671</v>
      </c>
      <c r="V1538" t="s">
        <v>59918</v>
      </c>
      <c r="W1538" t="s">
        <v>41777</v>
      </c>
      <c r="X1538" t="s">
        <v>45098</v>
      </c>
    </row>
    <row r="1539" spans="1:24">
      <c r="A1539">
        <f>HYPERLINK("https://www.philgeps.gov.ph/GEPSNONPILOT/Tender/SplashBidNoticeAbstractUI.aspx?menuIndex=3&amp;refID=7046015&amp;Result=3","7046015")</f>
        <v>0</v>
      </c>
      <c r="B1539" t="s">
        <v>587</v>
      </c>
      <c r="C1539" t="s">
        <v>4672</v>
      </c>
      <c r="D1539" t="s">
        <v>18022</v>
      </c>
      <c r="E1539" t="s">
        <v>19538</v>
      </c>
      <c r="F1539" t="s">
        <v>31574</v>
      </c>
      <c r="G1539" t="s">
        <v>31581</v>
      </c>
      <c r="H1539" t="s">
        <v>31590</v>
      </c>
      <c r="I1539" t="s">
        <v>4327</v>
      </c>
      <c r="J1539" t="s">
        <v>31907</v>
      </c>
      <c r="K1539" t="s">
        <v>41196</v>
      </c>
      <c r="M1539" t="s">
        <v>42089</v>
      </c>
      <c r="N1539" t="s">
        <v>45095</v>
      </c>
      <c r="O1539" t="s">
        <v>45096</v>
      </c>
      <c r="P1539">
        <v>0</v>
      </c>
      <c r="Q1539">
        <v>0</v>
      </c>
      <c r="R1539" t="s">
        <v>45097</v>
      </c>
      <c r="S1539" t="s">
        <v>45222</v>
      </c>
      <c r="T1539" t="s">
        <v>47068</v>
      </c>
      <c r="U1539" t="s">
        <v>48675</v>
      </c>
      <c r="W1539" t="s">
        <v>42089</v>
      </c>
      <c r="X1539" t="s">
        <v>45098</v>
      </c>
    </row>
    <row r="1540" spans="1:24">
      <c r="A1540">
        <f>HYPERLINK("https://www.philgeps.gov.ph/GEPSNONPILOT/Tender/SplashBidNoticeAbstractUI.aspx?menuIndex=3&amp;refID=7046004&amp;Result=3","7046004")</f>
        <v>0</v>
      </c>
      <c r="B1540" t="s">
        <v>239</v>
      </c>
      <c r="C1540" t="s">
        <v>4673</v>
      </c>
      <c r="D1540" t="s">
        <v>18024</v>
      </c>
      <c r="E1540" t="s">
        <v>19539</v>
      </c>
      <c r="F1540" t="s">
        <v>31574</v>
      </c>
      <c r="G1540" t="s">
        <v>31582</v>
      </c>
      <c r="H1540" t="s">
        <v>31590</v>
      </c>
      <c r="I1540" t="s">
        <v>6800</v>
      </c>
      <c r="J1540" t="s">
        <v>32850</v>
      </c>
      <c r="K1540" t="s">
        <v>41190</v>
      </c>
      <c r="M1540" t="s">
        <v>41725</v>
      </c>
      <c r="N1540" t="s">
        <v>45095</v>
      </c>
      <c r="O1540" t="s">
        <v>45096</v>
      </c>
      <c r="P1540">
        <v>0</v>
      </c>
      <c r="Q1540">
        <v>0</v>
      </c>
      <c r="R1540" t="s">
        <v>45097</v>
      </c>
      <c r="S1540" t="s">
        <v>45222</v>
      </c>
      <c r="T1540" t="s">
        <v>46996</v>
      </c>
      <c r="U1540" t="s">
        <v>47916</v>
      </c>
      <c r="W1540" t="s">
        <v>41725</v>
      </c>
      <c r="X1540" t="s">
        <v>45098</v>
      </c>
    </row>
    <row r="1541" spans="1:24">
      <c r="A1541">
        <f>HYPERLINK("https://www.philgeps.gov.ph/GEPSNONPILOT/Tender/SplashBidNoticeAbstractUI.aspx?menuIndex=3&amp;refID=7046020&amp;Result=3","7046020")</f>
        <v>0</v>
      </c>
      <c r="B1541" t="s">
        <v>640</v>
      </c>
      <c r="C1541" t="s">
        <v>4674</v>
      </c>
      <c r="D1541" t="s">
        <v>18078</v>
      </c>
      <c r="E1541" t="s">
        <v>19540</v>
      </c>
      <c r="F1541" t="s">
        <v>31574</v>
      </c>
      <c r="G1541" t="s">
        <v>31581</v>
      </c>
      <c r="H1541" t="s">
        <v>31590</v>
      </c>
      <c r="I1541" t="s">
        <v>4327</v>
      </c>
      <c r="J1541" t="s">
        <v>31743</v>
      </c>
      <c r="K1541" t="s">
        <v>41184</v>
      </c>
      <c r="M1541" t="s">
        <v>42144</v>
      </c>
      <c r="N1541" t="s">
        <v>45095</v>
      </c>
      <c r="O1541" t="s">
        <v>45096</v>
      </c>
      <c r="P1541">
        <v>0</v>
      </c>
      <c r="Q1541">
        <v>0</v>
      </c>
      <c r="R1541" t="s">
        <v>45097</v>
      </c>
      <c r="S1541" t="s">
        <v>45222</v>
      </c>
      <c r="T1541" t="s">
        <v>46913</v>
      </c>
      <c r="U1541" t="s">
        <v>48796</v>
      </c>
      <c r="W1541" t="s">
        <v>42144</v>
      </c>
      <c r="X1541" t="s">
        <v>45098</v>
      </c>
    </row>
    <row r="1542" spans="1:24">
      <c r="A1542">
        <f>HYPERLINK("https://www.philgeps.gov.ph/GEPSNONPILOT/Tender/SplashBidNoticeAbstractUI.aspx?menuIndex=3&amp;refID=7046037&amp;Result=3","7046037")</f>
        <v>0</v>
      </c>
      <c r="B1542" t="s">
        <v>239</v>
      </c>
      <c r="C1542" t="s">
        <v>4675</v>
      </c>
      <c r="D1542" t="s">
        <v>18024</v>
      </c>
      <c r="E1542" t="s">
        <v>19541</v>
      </c>
      <c r="F1542" t="s">
        <v>31574</v>
      </c>
      <c r="G1542" t="s">
        <v>31582</v>
      </c>
      <c r="H1542" t="s">
        <v>31590</v>
      </c>
      <c r="I1542" t="s">
        <v>4354</v>
      </c>
      <c r="J1542" t="s">
        <v>32851</v>
      </c>
      <c r="K1542" t="s">
        <v>41190</v>
      </c>
      <c r="M1542" t="s">
        <v>41725</v>
      </c>
      <c r="N1542" t="s">
        <v>45095</v>
      </c>
      <c r="O1542" t="s">
        <v>45096</v>
      </c>
      <c r="P1542">
        <v>0</v>
      </c>
      <c r="Q1542">
        <v>0</v>
      </c>
      <c r="R1542" t="s">
        <v>45097</v>
      </c>
      <c r="S1542" t="s">
        <v>45222</v>
      </c>
      <c r="T1542" t="s">
        <v>46996</v>
      </c>
      <c r="U1542" t="s">
        <v>48650</v>
      </c>
      <c r="W1542" t="s">
        <v>41725</v>
      </c>
      <c r="X1542" t="s">
        <v>45098</v>
      </c>
    </row>
    <row r="1543" spans="1:24">
      <c r="A1543">
        <f>HYPERLINK("https://www.philgeps.gov.ph/GEPSNONPILOT/Tender/SplashBidNoticeAbstractUI.aspx?menuIndex=3&amp;refID=7046018&amp;Result=3","7046018")</f>
        <v>0</v>
      </c>
      <c r="B1543" t="s">
        <v>609</v>
      </c>
      <c r="C1543" t="s">
        <v>4676</v>
      </c>
      <c r="D1543" t="s">
        <v>18062</v>
      </c>
      <c r="E1543" t="s">
        <v>19542</v>
      </c>
      <c r="F1543" t="s">
        <v>31574</v>
      </c>
      <c r="G1543" t="s">
        <v>31582</v>
      </c>
      <c r="H1543" t="s">
        <v>31590</v>
      </c>
      <c r="I1543" t="s">
        <v>6800</v>
      </c>
      <c r="J1543" t="s">
        <v>32852</v>
      </c>
      <c r="K1543" t="s">
        <v>41192</v>
      </c>
      <c r="M1543" t="s">
        <v>42112</v>
      </c>
      <c r="N1543" t="s">
        <v>45095</v>
      </c>
      <c r="O1543" t="s">
        <v>45096</v>
      </c>
      <c r="P1543">
        <v>0</v>
      </c>
      <c r="Q1543">
        <v>0</v>
      </c>
      <c r="R1543" t="s">
        <v>45097</v>
      </c>
      <c r="S1543" t="s">
        <v>45222</v>
      </c>
      <c r="T1543" t="s">
        <v>47030</v>
      </c>
      <c r="U1543" t="s">
        <v>48797</v>
      </c>
      <c r="W1543" t="s">
        <v>42112</v>
      </c>
      <c r="X1543" t="s">
        <v>45098</v>
      </c>
    </row>
    <row r="1544" spans="1:24">
      <c r="A1544">
        <f>HYPERLINK("https://www.philgeps.gov.ph/GEPSNONPILOT/Tender/SplashBidNoticeAbstractUI.aspx?menuIndex=3&amp;refID=7046034&amp;Result=3","7046034")</f>
        <v>0</v>
      </c>
      <c r="B1544" t="s">
        <v>641</v>
      </c>
      <c r="C1544" t="s">
        <v>4677</v>
      </c>
      <c r="D1544" t="s">
        <v>18022</v>
      </c>
      <c r="E1544" t="s">
        <v>19543</v>
      </c>
      <c r="F1544" t="s">
        <v>31574</v>
      </c>
      <c r="G1544" t="s">
        <v>31581</v>
      </c>
      <c r="H1544" t="s">
        <v>31590</v>
      </c>
      <c r="I1544" t="s">
        <v>4677</v>
      </c>
      <c r="J1544" t="s">
        <v>32853</v>
      </c>
      <c r="K1544" t="s">
        <v>41193</v>
      </c>
      <c r="M1544" t="s">
        <v>42145</v>
      </c>
      <c r="N1544" t="s">
        <v>45095</v>
      </c>
      <c r="O1544" t="s">
        <v>45096</v>
      </c>
      <c r="P1544">
        <v>0</v>
      </c>
      <c r="Q1544">
        <v>0</v>
      </c>
      <c r="R1544" t="s">
        <v>45097</v>
      </c>
      <c r="S1544" t="s">
        <v>45222</v>
      </c>
      <c r="T1544" t="s">
        <v>46918</v>
      </c>
      <c r="U1544" t="s">
        <v>48798</v>
      </c>
      <c r="W1544" t="s">
        <v>42145</v>
      </c>
      <c r="X1544" t="s">
        <v>45098</v>
      </c>
    </row>
    <row r="1545" spans="1:24">
      <c r="A1545">
        <f>HYPERLINK("https://www.philgeps.gov.ph/GEPSNONPILOT/Tender/SplashBidNoticeAbstractUI.aspx?menuIndex=3&amp;refID=7045990&amp;Result=3","7045990")</f>
        <v>0</v>
      </c>
      <c r="B1545" t="s">
        <v>642</v>
      </c>
      <c r="C1545" t="s">
        <v>4009</v>
      </c>
      <c r="D1545" t="s">
        <v>18052</v>
      </c>
      <c r="E1545" t="s">
        <v>19544</v>
      </c>
      <c r="F1545" t="s">
        <v>31575</v>
      </c>
      <c r="G1545" t="s">
        <v>31582</v>
      </c>
      <c r="H1545" t="s">
        <v>31590</v>
      </c>
      <c r="I1545" t="s">
        <v>6800</v>
      </c>
      <c r="J1545" t="s">
        <v>32854</v>
      </c>
      <c r="K1545" t="s">
        <v>41193</v>
      </c>
      <c r="M1545" t="s">
        <v>42146</v>
      </c>
      <c r="N1545" t="s">
        <v>45095</v>
      </c>
      <c r="O1545" t="s">
        <v>45096</v>
      </c>
      <c r="P1545">
        <v>0</v>
      </c>
      <c r="Q1545">
        <v>0</v>
      </c>
      <c r="R1545" t="s">
        <v>45097</v>
      </c>
      <c r="S1545" t="s">
        <v>45222</v>
      </c>
      <c r="T1545" t="s">
        <v>46916</v>
      </c>
      <c r="U1545" t="s">
        <v>48799</v>
      </c>
      <c r="V1545" t="s">
        <v>59997</v>
      </c>
      <c r="W1545" t="s">
        <v>42146</v>
      </c>
      <c r="X1545" t="s">
        <v>45098</v>
      </c>
    </row>
    <row r="1546" spans="1:24">
      <c r="A1546">
        <f>HYPERLINK("https://www.philgeps.gov.ph/GEPSNONPILOT/Tender/SplashBidNoticeAbstractUI.aspx?menuIndex=3&amp;refID=7046012&amp;Result=3","7046012")</f>
        <v>0</v>
      </c>
      <c r="B1546" t="s">
        <v>467</v>
      </c>
      <c r="C1546" t="s">
        <v>4678</v>
      </c>
      <c r="D1546" t="s">
        <v>18065</v>
      </c>
      <c r="E1546" t="s">
        <v>19545</v>
      </c>
      <c r="F1546" t="s">
        <v>31574</v>
      </c>
      <c r="G1546" t="s">
        <v>31583</v>
      </c>
      <c r="H1546" t="s">
        <v>31590</v>
      </c>
      <c r="I1546" t="s">
        <v>4046</v>
      </c>
      <c r="J1546" t="s">
        <v>32855</v>
      </c>
      <c r="K1546" t="s">
        <v>41213</v>
      </c>
      <c r="M1546" t="s">
        <v>41961</v>
      </c>
      <c r="N1546" t="s">
        <v>45095</v>
      </c>
      <c r="O1546" t="s">
        <v>45096</v>
      </c>
      <c r="P1546">
        <v>0</v>
      </c>
      <c r="Q1546">
        <v>0</v>
      </c>
      <c r="R1546" t="s">
        <v>45097</v>
      </c>
      <c r="S1546" t="s">
        <v>45222</v>
      </c>
      <c r="T1546" t="s">
        <v>47046</v>
      </c>
      <c r="U1546" t="s">
        <v>48800</v>
      </c>
      <c r="V1546" t="s">
        <v>59949</v>
      </c>
      <c r="W1546" t="s">
        <v>41961</v>
      </c>
      <c r="X1546" t="s">
        <v>45098</v>
      </c>
    </row>
    <row r="1547" spans="1:24">
      <c r="A1547">
        <f>HYPERLINK("https://www.philgeps.gov.ph/GEPSNONPILOT/Tender/SplashBidNoticeAbstractUI.aspx?menuIndex=3&amp;refID=7046031&amp;Result=3","7046031")</f>
        <v>0</v>
      </c>
      <c r="B1547" t="s">
        <v>588</v>
      </c>
      <c r="C1547" t="s">
        <v>4679</v>
      </c>
      <c r="D1547" t="s">
        <v>18064</v>
      </c>
      <c r="E1547" t="s">
        <v>19546</v>
      </c>
      <c r="F1547" t="s">
        <v>31574</v>
      </c>
      <c r="G1547" t="s">
        <v>31581</v>
      </c>
      <c r="H1547" t="s">
        <v>31590</v>
      </c>
      <c r="I1547" t="s">
        <v>8258</v>
      </c>
      <c r="J1547" t="s">
        <v>31726</v>
      </c>
      <c r="K1547" t="s">
        <v>41190</v>
      </c>
      <c r="M1547" t="s">
        <v>42090</v>
      </c>
      <c r="N1547" t="s">
        <v>45095</v>
      </c>
      <c r="O1547" t="s">
        <v>45096</v>
      </c>
      <c r="P1547">
        <v>0</v>
      </c>
      <c r="Q1547">
        <v>0</v>
      </c>
      <c r="R1547" t="s">
        <v>45097</v>
      </c>
      <c r="S1547" t="s">
        <v>45222</v>
      </c>
      <c r="T1547" t="s">
        <v>46913</v>
      </c>
      <c r="U1547" t="s">
        <v>48801</v>
      </c>
      <c r="W1547" t="s">
        <v>42090</v>
      </c>
      <c r="X1547" t="s">
        <v>45098</v>
      </c>
    </row>
    <row r="1548" spans="1:24">
      <c r="A1548">
        <f>HYPERLINK("https://www.philgeps.gov.ph/GEPSNONPILOT/Tender/SplashBidNoticeAbstractUI.aspx?menuIndex=3&amp;refID=7046035&amp;Result=3","7046035")</f>
        <v>0</v>
      </c>
      <c r="B1548" t="s">
        <v>416</v>
      </c>
      <c r="C1548" t="s">
        <v>4680</v>
      </c>
      <c r="D1548" t="s">
        <v>18046</v>
      </c>
      <c r="E1548" t="s">
        <v>19547</v>
      </c>
      <c r="F1548" t="s">
        <v>31574</v>
      </c>
      <c r="G1548" t="s">
        <v>31582</v>
      </c>
      <c r="H1548" t="s">
        <v>31590</v>
      </c>
      <c r="I1548" t="s">
        <v>31644</v>
      </c>
      <c r="J1548" t="s">
        <v>31962</v>
      </c>
      <c r="K1548" t="s">
        <v>41196</v>
      </c>
      <c r="M1548" t="s">
        <v>41908</v>
      </c>
      <c r="N1548" t="s">
        <v>45095</v>
      </c>
      <c r="O1548" t="s">
        <v>45096</v>
      </c>
      <c r="P1548">
        <v>0</v>
      </c>
      <c r="Q1548">
        <v>0</v>
      </c>
      <c r="R1548" t="s">
        <v>45097</v>
      </c>
      <c r="S1548" t="s">
        <v>45222</v>
      </c>
      <c r="T1548" t="s">
        <v>46930</v>
      </c>
      <c r="U1548" t="s">
        <v>48802</v>
      </c>
      <c r="W1548" t="s">
        <v>41908</v>
      </c>
      <c r="X1548" t="s">
        <v>45098</v>
      </c>
    </row>
    <row r="1549" spans="1:24">
      <c r="A1549">
        <f>HYPERLINK("https://www.philgeps.gov.ph/GEPSNONPILOT/Tender/SplashBidNoticeAbstractUI.aspx?menuIndex=3&amp;refID=7046036&amp;Result=3","7046036")</f>
        <v>0</v>
      </c>
      <c r="B1549" t="s">
        <v>142</v>
      </c>
      <c r="C1549" t="s">
        <v>4681</v>
      </c>
      <c r="D1549" t="s">
        <v>18052</v>
      </c>
      <c r="E1549" t="s">
        <v>19548</v>
      </c>
      <c r="F1549" t="s">
        <v>31574</v>
      </c>
      <c r="G1549" t="s">
        <v>31582</v>
      </c>
      <c r="H1549" t="s">
        <v>31591</v>
      </c>
      <c r="I1549" t="s">
        <v>8822</v>
      </c>
      <c r="J1549" t="s">
        <v>32856</v>
      </c>
      <c r="K1549" t="s">
        <v>41256</v>
      </c>
      <c r="M1549" t="s">
        <v>41626</v>
      </c>
      <c r="N1549" t="s">
        <v>45095</v>
      </c>
      <c r="O1549" t="s">
        <v>45096</v>
      </c>
      <c r="P1549">
        <v>0</v>
      </c>
      <c r="Q1549">
        <v>0</v>
      </c>
      <c r="R1549" t="s">
        <v>45097</v>
      </c>
      <c r="S1549" t="s">
        <v>45222</v>
      </c>
      <c r="T1549" t="s">
        <v>47044</v>
      </c>
      <c r="U1549" t="s">
        <v>48803</v>
      </c>
      <c r="W1549" t="s">
        <v>41626</v>
      </c>
      <c r="X1549" t="s">
        <v>45098</v>
      </c>
    </row>
    <row r="1550" spans="1:24">
      <c r="A1550">
        <f>HYPERLINK("https://www.philgeps.gov.ph/GEPSNONPILOT/Tender/SplashBidNoticeAbstractUI.aspx?menuIndex=3&amp;refID=7046041&amp;Result=3","7046041")</f>
        <v>0</v>
      </c>
      <c r="B1550" t="s">
        <v>33</v>
      </c>
      <c r="C1550" t="s">
        <v>4682</v>
      </c>
      <c r="D1550" t="s">
        <v>18037</v>
      </c>
      <c r="E1550" t="s">
        <v>19549</v>
      </c>
      <c r="F1550" t="s">
        <v>31574</v>
      </c>
      <c r="G1550" t="s">
        <v>31581</v>
      </c>
      <c r="H1550" t="s">
        <v>31590</v>
      </c>
      <c r="I1550" t="s">
        <v>3487</v>
      </c>
      <c r="J1550" t="s">
        <v>32068</v>
      </c>
      <c r="K1550" t="s">
        <v>41184</v>
      </c>
      <c r="M1550" t="s">
        <v>41515</v>
      </c>
      <c r="N1550" t="s">
        <v>45095</v>
      </c>
      <c r="O1550" t="s">
        <v>45096</v>
      </c>
      <c r="P1550">
        <v>0</v>
      </c>
      <c r="Q1550">
        <v>0</v>
      </c>
      <c r="R1550" t="s">
        <v>45097</v>
      </c>
      <c r="S1550" t="s">
        <v>45222</v>
      </c>
      <c r="T1550" t="s">
        <v>46911</v>
      </c>
      <c r="U1550" t="s">
        <v>48804</v>
      </c>
      <c r="W1550" t="s">
        <v>41515</v>
      </c>
      <c r="X1550" t="s">
        <v>45098</v>
      </c>
    </row>
    <row r="1551" spans="1:24">
      <c r="A1551">
        <f>HYPERLINK("https://www.philgeps.gov.ph/GEPSNONPILOT/Tender/SplashBidNoticeAbstractUI.aspx?menuIndex=3&amp;refID=7046030&amp;Result=3","7046030")</f>
        <v>0</v>
      </c>
      <c r="B1551" t="s">
        <v>371</v>
      </c>
      <c r="C1551" t="s">
        <v>4683</v>
      </c>
      <c r="D1551" t="s">
        <v>18075</v>
      </c>
      <c r="E1551" t="s">
        <v>19550</v>
      </c>
      <c r="F1551" t="s">
        <v>31574</v>
      </c>
      <c r="G1551" t="s">
        <v>31581</v>
      </c>
      <c r="H1551" t="s">
        <v>31590</v>
      </c>
      <c r="I1551" t="s">
        <v>4046</v>
      </c>
      <c r="J1551" t="s">
        <v>32857</v>
      </c>
      <c r="K1551" t="s">
        <v>41193</v>
      </c>
      <c r="M1551" t="s">
        <v>41861</v>
      </c>
      <c r="N1551" t="s">
        <v>45095</v>
      </c>
      <c r="O1551" t="s">
        <v>45096</v>
      </c>
      <c r="P1551">
        <v>0</v>
      </c>
      <c r="Q1551">
        <v>0</v>
      </c>
      <c r="R1551" t="s">
        <v>45097</v>
      </c>
      <c r="S1551" t="s">
        <v>45222</v>
      </c>
      <c r="T1551" t="s">
        <v>46918</v>
      </c>
      <c r="U1551" t="s">
        <v>48805</v>
      </c>
      <c r="W1551" t="s">
        <v>41861</v>
      </c>
      <c r="X1551" t="s">
        <v>45098</v>
      </c>
    </row>
    <row r="1552" spans="1:24">
      <c r="A1552">
        <f>HYPERLINK("https://www.philgeps.gov.ph/GEPSNONPILOT/Tender/SplashBidNoticeAbstractUI.aspx?menuIndex=3&amp;refID=7046038&amp;Result=3","7046038")</f>
        <v>0</v>
      </c>
      <c r="B1552" t="s">
        <v>399</v>
      </c>
      <c r="C1552" t="s">
        <v>4684</v>
      </c>
      <c r="D1552" t="s">
        <v>18094</v>
      </c>
      <c r="E1552" t="s">
        <v>19551</v>
      </c>
      <c r="F1552" t="s">
        <v>31574</v>
      </c>
      <c r="G1552" t="s">
        <v>31581</v>
      </c>
      <c r="H1552" t="s">
        <v>31590</v>
      </c>
      <c r="I1552" t="s">
        <v>4046</v>
      </c>
      <c r="J1552" t="s">
        <v>32315</v>
      </c>
      <c r="K1552" t="s">
        <v>41213</v>
      </c>
      <c r="M1552" t="s">
        <v>41890</v>
      </c>
      <c r="N1552" t="s">
        <v>45095</v>
      </c>
      <c r="O1552" t="s">
        <v>45096</v>
      </c>
      <c r="P1552">
        <v>0</v>
      </c>
      <c r="Q1552">
        <v>0</v>
      </c>
      <c r="R1552" t="s">
        <v>45097</v>
      </c>
      <c r="S1552" t="s">
        <v>45222</v>
      </c>
      <c r="T1552" t="s">
        <v>46918</v>
      </c>
      <c r="U1552" t="s">
        <v>48806</v>
      </c>
      <c r="W1552" t="s">
        <v>41890</v>
      </c>
      <c r="X1552" t="s">
        <v>45098</v>
      </c>
    </row>
    <row r="1553" spans="1:24">
      <c r="A1553">
        <f>HYPERLINK("https://www.philgeps.gov.ph/GEPSNONPILOT/Tender/SplashBidNoticeAbstractUI.aspx?menuIndex=3&amp;refID=7045991&amp;Result=3","7045991")</f>
        <v>0</v>
      </c>
      <c r="B1553" t="s">
        <v>528</v>
      </c>
      <c r="C1553" t="s">
        <v>4685</v>
      </c>
      <c r="D1553" t="s">
        <v>18041</v>
      </c>
      <c r="E1553" t="s">
        <v>18936</v>
      </c>
      <c r="F1553" t="s">
        <v>31574</v>
      </c>
      <c r="G1553" t="s">
        <v>31581</v>
      </c>
      <c r="H1553" t="s">
        <v>31590</v>
      </c>
      <c r="I1553" t="s">
        <v>3487</v>
      </c>
      <c r="J1553" t="s">
        <v>32858</v>
      </c>
      <c r="K1553" t="s">
        <v>41197</v>
      </c>
      <c r="M1553" t="s">
        <v>42025</v>
      </c>
      <c r="N1553" t="s">
        <v>45095</v>
      </c>
      <c r="O1553" t="s">
        <v>45096</v>
      </c>
      <c r="P1553">
        <v>0</v>
      </c>
      <c r="Q1553">
        <v>0</v>
      </c>
      <c r="R1553" t="s">
        <v>45097</v>
      </c>
      <c r="S1553" t="s">
        <v>45222</v>
      </c>
      <c r="T1553" t="s">
        <v>46913</v>
      </c>
      <c r="U1553" t="s">
        <v>48807</v>
      </c>
      <c r="V1553" t="s">
        <v>59979</v>
      </c>
      <c r="W1553" t="s">
        <v>42025</v>
      </c>
      <c r="X1553" t="s">
        <v>45098</v>
      </c>
    </row>
    <row r="1554" spans="1:24">
      <c r="A1554">
        <f>HYPERLINK("https://www.philgeps.gov.ph/GEPSNONPILOT/Tender/SplashBidNoticeAbstractUI.aspx?menuIndex=3&amp;refID=7046027&amp;Result=3","7046027")</f>
        <v>0</v>
      </c>
      <c r="B1554" t="s">
        <v>621</v>
      </c>
      <c r="C1554" t="s">
        <v>4686</v>
      </c>
      <c r="D1554" t="s">
        <v>18050</v>
      </c>
      <c r="E1554" t="s">
        <v>19491</v>
      </c>
      <c r="F1554" t="s">
        <v>31574</v>
      </c>
      <c r="G1554" t="s">
        <v>31584</v>
      </c>
      <c r="H1554" t="s">
        <v>31590</v>
      </c>
      <c r="I1554" t="s">
        <v>31630</v>
      </c>
      <c r="J1554" t="s">
        <v>32859</v>
      </c>
      <c r="K1554" t="s">
        <v>41197</v>
      </c>
      <c r="M1554" t="s">
        <v>42124</v>
      </c>
      <c r="N1554" t="s">
        <v>45095</v>
      </c>
      <c r="O1554" t="s">
        <v>45096</v>
      </c>
      <c r="P1554">
        <v>0</v>
      </c>
      <c r="Q1554">
        <v>0</v>
      </c>
      <c r="R1554" t="s">
        <v>45097</v>
      </c>
      <c r="S1554" t="s">
        <v>45222</v>
      </c>
      <c r="T1554" t="s">
        <v>46946</v>
      </c>
      <c r="U1554" t="s">
        <v>48808</v>
      </c>
      <c r="W1554" t="s">
        <v>42124</v>
      </c>
      <c r="X1554" t="s">
        <v>45098</v>
      </c>
    </row>
    <row r="1555" spans="1:24">
      <c r="A1555">
        <f>HYPERLINK("https://www.philgeps.gov.ph/GEPSNONPILOT/Tender/SplashBidNoticeAbstractUI.aspx?menuIndex=3&amp;refID=7046024&amp;Result=3","7046024")</f>
        <v>0</v>
      </c>
      <c r="B1555" t="s">
        <v>64</v>
      </c>
      <c r="C1555" t="s">
        <v>4687</v>
      </c>
      <c r="D1555" t="s">
        <v>18050</v>
      </c>
      <c r="E1555" t="s">
        <v>19552</v>
      </c>
      <c r="F1555" t="s">
        <v>31574</v>
      </c>
      <c r="G1555" t="s">
        <v>31583</v>
      </c>
      <c r="H1555" t="s">
        <v>31590</v>
      </c>
      <c r="I1555" t="s">
        <v>4046</v>
      </c>
      <c r="J1555" t="s">
        <v>32860</v>
      </c>
      <c r="K1555" t="s">
        <v>41190</v>
      </c>
      <c r="M1555" t="s">
        <v>41548</v>
      </c>
      <c r="N1555" t="s">
        <v>45095</v>
      </c>
      <c r="O1555" t="s">
        <v>45096</v>
      </c>
      <c r="P1555">
        <v>0</v>
      </c>
      <c r="Q1555">
        <v>0</v>
      </c>
      <c r="R1555" t="s">
        <v>45097</v>
      </c>
      <c r="S1555" t="s">
        <v>45222</v>
      </c>
      <c r="T1555" t="s">
        <v>46918</v>
      </c>
      <c r="U1555" t="s">
        <v>48809</v>
      </c>
      <c r="V1555" t="s">
        <v>59998</v>
      </c>
      <c r="W1555" t="s">
        <v>41548</v>
      </c>
      <c r="X1555" t="s">
        <v>45098</v>
      </c>
    </row>
    <row r="1556" spans="1:24">
      <c r="A1556">
        <f>HYPERLINK("https://www.philgeps.gov.ph/GEPSNONPILOT/Tender/SplashBidNoticeAbstractUI.aspx?menuIndex=3&amp;refID=7046026&amp;Result=3","7046026")</f>
        <v>0</v>
      </c>
      <c r="B1556" t="s">
        <v>627</v>
      </c>
      <c r="C1556" t="s">
        <v>4688</v>
      </c>
      <c r="E1556" t="s">
        <v>19553</v>
      </c>
      <c r="F1556" t="s">
        <v>31574</v>
      </c>
      <c r="G1556" t="s">
        <v>31581</v>
      </c>
      <c r="H1556" t="s">
        <v>31590</v>
      </c>
      <c r="I1556" t="s">
        <v>7185</v>
      </c>
      <c r="J1556" t="s">
        <v>32861</v>
      </c>
      <c r="K1556" t="s">
        <v>41184</v>
      </c>
      <c r="M1556" t="s">
        <v>42131</v>
      </c>
      <c r="N1556" t="s">
        <v>45095</v>
      </c>
      <c r="O1556" t="s">
        <v>45096</v>
      </c>
      <c r="P1556">
        <v>0</v>
      </c>
      <c r="Q1556">
        <v>0</v>
      </c>
      <c r="R1556" t="s">
        <v>45097</v>
      </c>
      <c r="S1556" t="s">
        <v>45222</v>
      </c>
      <c r="T1556" t="s">
        <v>46910</v>
      </c>
      <c r="U1556" t="s">
        <v>48810</v>
      </c>
      <c r="W1556" t="s">
        <v>42131</v>
      </c>
      <c r="X1556" t="s">
        <v>45098</v>
      </c>
    </row>
    <row r="1557" spans="1:24">
      <c r="A1557">
        <f>HYPERLINK("https://www.philgeps.gov.ph/GEPSNONPILOT/Tender/SplashBidNoticeAbstractUI.aspx?menuIndex=3&amp;refID=7046023&amp;Result=3","7046023")</f>
        <v>0</v>
      </c>
      <c r="B1557" t="s">
        <v>264</v>
      </c>
      <c r="C1557" t="s">
        <v>4689</v>
      </c>
      <c r="D1557" t="s">
        <v>18066</v>
      </c>
      <c r="E1557" t="s">
        <v>19554</v>
      </c>
      <c r="F1557" t="s">
        <v>31574</v>
      </c>
      <c r="G1557" t="s">
        <v>31582</v>
      </c>
      <c r="H1557" t="s">
        <v>31590</v>
      </c>
      <c r="I1557" t="s">
        <v>4046</v>
      </c>
      <c r="J1557" t="s">
        <v>32862</v>
      </c>
      <c r="K1557" t="s">
        <v>41184</v>
      </c>
      <c r="M1557" t="s">
        <v>41750</v>
      </c>
      <c r="N1557" t="s">
        <v>45095</v>
      </c>
      <c r="O1557" t="s">
        <v>45096</v>
      </c>
      <c r="P1557">
        <v>0</v>
      </c>
      <c r="Q1557">
        <v>0</v>
      </c>
      <c r="R1557" t="s">
        <v>45097</v>
      </c>
      <c r="S1557" t="s">
        <v>45222</v>
      </c>
      <c r="T1557" t="s">
        <v>47028</v>
      </c>
      <c r="U1557" t="s">
        <v>48811</v>
      </c>
      <c r="W1557" t="s">
        <v>61674</v>
      </c>
      <c r="X1557" t="s">
        <v>45098</v>
      </c>
    </row>
    <row r="1558" spans="1:24">
      <c r="A1558">
        <f>HYPERLINK("https://www.philgeps.gov.ph/GEPSNONPILOT/Tender/SplashBidNoticeAbstractUI.aspx?menuIndex=3&amp;refID=7046033&amp;Result=3","7046033")</f>
        <v>0</v>
      </c>
      <c r="B1558" t="s">
        <v>643</v>
      </c>
      <c r="C1558" t="s">
        <v>4690</v>
      </c>
      <c r="D1558" t="s">
        <v>18063</v>
      </c>
      <c r="E1558" t="s">
        <v>18808</v>
      </c>
      <c r="F1558" t="s">
        <v>31574</v>
      </c>
      <c r="G1558" t="s">
        <v>31581</v>
      </c>
      <c r="H1558" t="s">
        <v>31590</v>
      </c>
      <c r="I1558" t="s">
        <v>31614</v>
      </c>
      <c r="J1558" t="s">
        <v>31968</v>
      </c>
      <c r="K1558" t="s">
        <v>41196</v>
      </c>
      <c r="M1558" t="s">
        <v>42147</v>
      </c>
      <c r="N1558" t="s">
        <v>45095</v>
      </c>
      <c r="O1558" t="s">
        <v>45096</v>
      </c>
      <c r="P1558">
        <v>0</v>
      </c>
      <c r="Q1558">
        <v>0</v>
      </c>
      <c r="R1558" t="s">
        <v>45097</v>
      </c>
      <c r="S1558" t="s">
        <v>45222</v>
      </c>
      <c r="T1558" t="s">
        <v>46904</v>
      </c>
      <c r="U1558" t="s">
        <v>48812</v>
      </c>
      <c r="V1558" t="s">
        <v>59999</v>
      </c>
      <c r="W1558" t="s">
        <v>42147</v>
      </c>
      <c r="X1558" t="s">
        <v>45098</v>
      </c>
    </row>
    <row r="1559" spans="1:24">
      <c r="A1559">
        <f>HYPERLINK("https://www.philgeps.gov.ph/GEPSNONPILOT/Tender/SplashBidNoticeAbstractUI.aspx?menuIndex=3&amp;refID=7046022&amp;Result=3","7046022")</f>
        <v>0</v>
      </c>
      <c r="B1559" t="s">
        <v>630</v>
      </c>
      <c r="C1559" t="s">
        <v>4691</v>
      </c>
      <c r="D1559" t="s">
        <v>18086</v>
      </c>
      <c r="E1559" t="s">
        <v>19555</v>
      </c>
      <c r="F1559" t="s">
        <v>31574</v>
      </c>
      <c r="G1559" t="s">
        <v>31581</v>
      </c>
      <c r="H1559" t="s">
        <v>31590</v>
      </c>
      <c r="I1559" t="s">
        <v>31629</v>
      </c>
      <c r="J1559" t="s">
        <v>32863</v>
      </c>
      <c r="K1559" t="s">
        <v>41196</v>
      </c>
      <c r="M1559" t="s">
        <v>42134</v>
      </c>
      <c r="N1559" t="s">
        <v>45095</v>
      </c>
      <c r="O1559" t="s">
        <v>45096</v>
      </c>
      <c r="P1559">
        <v>0</v>
      </c>
      <c r="Q1559">
        <v>0</v>
      </c>
      <c r="R1559" t="s">
        <v>45097</v>
      </c>
      <c r="S1559" t="s">
        <v>45222</v>
      </c>
      <c r="T1559" t="s">
        <v>47070</v>
      </c>
      <c r="U1559" t="s">
        <v>48813</v>
      </c>
      <c r="W1559" t="s">
        <v>42134</v>
      </c>
      <c r="X1559" t="s">
        <v>45098</v>
      </c>
    </row>
    <row r="1560" spans="1:24">
      <c r="A1560">
        <f>HYPERLINK("https://www.philgeps.gov.ph/GEPSNONPILOT/Tender/SplashBidNoticeAbstractUI.aspx?menuIndex=3&amp;refID=7046016&amp;Result=3","7046016")</f>
        <v>0</v>
      </c>
      <c r="B1560" t="s">
        <v>644</v>
      </c>
      <c r="C1560" t="s">
        <v>4692</v>
      </c>
      <c r="D1560" t="s">
        <v>18040</v>
      </c>
      <c r="E1560" t="s">
        <v>19556</v>
      </c>
      <c r="F1560" t="s">
        <v>31574</v>
      </c>
      <c r="G1560" t="s">
        <v>31583</v>
      </c>
      <c r="H1560" t="s">
        <v>31590</v>
      </c>
      <c r="I1560" t="s">
        <v>31612</v>
      </c>
      <c r="J1560" t="s">
        <v>32864</v>
      </c>
      <c r="K1560" t="s">
        <v>41211</v>
      </c>
      <c r="M1560" t="s">
        <v>42148</v>
      </c>
      <c r="N1560" t="s">
        <v>45095</v>
      </c>
      <c r="O1560" t="s">
        <v>45096</v>
      </c>
      <c r="P1560">
        <v>0</v>
      </c>
      <c r="Q1560">
        <v>0</v>
      </c>
      <c r="R1560" t="s">
        <v>45097</v>
      </c>
      <c r="S1560" t="s">
        <v>45222</v>
      </c>
      <c r="T1560" t="s">
        <v>46971</v>
      </c>
      <c r="U1560" t="s">
        <v>48814</v>
      </c>
      <c r="W1560" t="s">
        <v>42148</v>
      </c>
      <c r="X1560" t="s">
        <v>45098</v>
      </c>
    </row>
    <row r="1561" spans="1:24">
      <c r="A1561">
        <f>HYPERLINK("https://www.philgeps.gov.ph/GEPSNONPILOT/Tender/SplashBidNoticeAbstractUI.aspx?menuIndex=3&amp;refID=7046045&amp;Result=3","7046045")</f>
        <v>0</v>
      </c>
      <c r="B1561" t="s">
        <v>630</v>
      </c>
      <c r="C1561" t="s">
        <v>4693</v>
      </c>
      <c r="D1561" t="s">
        <v>18086</v>
      </c>
      <c r="E1561" t="s">
        <v>19557</v>
      </c>
      <c r="F1561" t="s">
        <v>31574</v>
      </c>
      <c r="G1561" t="s">
        <v>31583</v>
      </c>
      <c r="H1561" t="s">
        <v>31590</v>
      </c>
      <c r="I1561" t="s">
        <v>5717</v>
      </c>
      <c r="J1561" t="s">
        <v>32865</v>
      </c>
      <c r="K1561" t="s">
        <v>41196</v>
      </c>
      <c r="M1561" t="s">
        <v>42134</v>
      </c>
      <c r="N1561" t="s">
        <v>45095</v>
      </c>
      <c r="O1561" t="s">
        <v>45096</v>
      </c>
      <c r="P1561">
        <v>0</v>
      </c>
      <c r="Q1561">
        <v>0</v>
      </c>
      <c r="R1561" t="s">
        <v>45097</v>
      </c>
      <c r="S1561" t="s">
        <v>45222</v>
      </c>
      <c r="T1561" t="s">
        <v>47070</v>
      </c>
      <c r="U1561" t="s">
        <v>48815</v>
      </c>
      <c r="W1561" t="s">
        <v>42134</v>
      </c>
      <c r="X1561" t="s">
        <v>45098</v>
      </c>
    </row>
    <row r="1562" spans="1:24">
      <c r="A1562">
        <f>HYPERLINK("https://www.philgeps.gov.ph/GEPSNONPILOT/Tender/SplashBidNoticeAbstractUI.aspx?menuIndex=3&amp;refID=7046047&amp;Result=3","7046047")</f>
        <v>0</v>
      </c>
      <c r="B1562" t="s">
        <v>645</v>
      </c>
      <c r="C1562" t="s">
        <v>4694</v>
      </c>
      <c r="D1562" t="s">
        <v>18035</v>
      </c>
      <c r="E1562" t="s">
        <v>4694</v>
      </c>
      <c r="F1562" t="s">
        <v>31574</v>
      </c>
      <c r="G1562" t="s">
        <v>31583</v>
      </c>
      <c r="H1562" t="s">
        <v>31590</v>
      </c>
      <c r="I1562" t="s">
        <v>31605</v>
      </c>
      <c r="J1562" t="s">
        <v>32780</v>
      </c>
      <c r="K1562" t="s">
        <v>41213</v>
      </c>
      <c r="M1562" t="s">
        <v>42149</v>
      </c>
      <c r="N1562" t="s">
        <v>45095</v>
      </c>
      <c r="O1562" t="s">
        <v>45096</v>
      </c>
      <c r="P1562">
        <v>0</v>
      </c>
      <c r="Q1562">
        <v>0</v>
      </c>
      <c r="R1562" t="s">
        <v>45097</v>
      </c>
      <c r="S1562" t="s">
        <v>45222</v>
      </c>
      <c r="T1562" t="s">
        <v>47064</v>
      </c>
      <c r="U1562" t="s">
        <v>48816</v>
      </c>
      <c r="W1562" t="s">
        <v>42149</v>
      </c>
      <c r="X1562" t="s">
        <v>45098</v>
      </c>
    </row>
    <row r="1563" spans="1:24">
      <c r="A1563">
        <f>HYPERLINK("https://www.philgeps.gov.ph/GEPSNONPILOT/Tender/SplashBidNoticeAbstractUI.aspx?menuIndex=3&amp;refID=7046060&amp;Result=3","7046060")</f>
        <v>0</v>
      </c>
      <c r="B1563" t="s">
        <v>239</v>
      </c>
      <c r="C1563" t="s">
        <v>4695</v>
      </c>
      <c r="D1563" t="s">
        <v>18024</v>
      </c>
      <c r="E1563" t="s">
        <v>19558</v>
      </c>
      <c r="F1563" t="s">
        <v>31574</v>
      </c>
      <c r="G1563" t="s">
        <v>31582</v>
      </c>
      <c r="H1563" t="s">
        <v>31590</v>
      </c>
      <c r="I1563" t="s">
        <v>31603</v>
      </c>
      <c r="J1563" t="s">
        <v>31871</v>
      </c>
      <c r="K1563" t="s">
        <v>41190</v>
      </c>
      <c r="M1563" t="s">
        <v>41725</v>
      </c>
      <c r="N1563" t="s">
        <v>45095</v>
      </c>
      <c r="O1563" t="s">
        <v>45096</v>
      </c>
      <c r="P1563">
        <v>0</v>
      </c>
      <c r="Q1563">
        <v>0</v>
      </c>
      <c r="R1563" t="s">
        <v>45097</v>
      </c>
      <c r="S1563" t="s">
        <v>45222</v>
      </c>
      <c r="T1563" t="s">
        <v>46996</v>
      </c>
      <c r="U1563" t="s">
        <v>48817</v>
      </c>
      <c r="W1563" t="s">
        <v>41725</v>
      </c>
      <c r="X1563" t="s">
        <v>45098</v>
      </c>
    </row>
    <row r="1564" spans="1:24">
      <c r="A1564">
        <f>HYPERLINK("https://www.philgeps.gov.ph/GEPSNONPILOT/Tender/SplashBidNoticeAbstractUI.aspx?menuIndex=3&amp;refID=7046040&amp;Result=3","7046040")</f>
        <v>0</v>
      </c>
      <c r="B1564" t="s">
        <v>557</v>
      </c>
      <c r="C1564" t="s">
        <v>4657</v>
      </c>
      <c r="D1564" t="s">
        <v>18022</v>
      </c>
      <c r="E1564" t="s">
        <v>19559</v>
      </c>
      <c r="F1564" t="s">
        <v>31574</v>
      </c>
      <c r="G1564" t="s">
        <v>31582</v>
      </c>
      <c r="H1564" t="s">
        <v>31592</v>
      </c>
      <c r="I1564" t="s">
        <v>8822</v>
      </c>
      <c r="J1564" t="s">
        <v>32017</v>
      </c>
      <c r="K1564" t="s">
        <v>41226</v>
      </c>
      <c r="M1564" t="s">
        <v>42056</v>
      </c>
      <c r="N1564" t="s">
        <v>45095</v>
      </c>
      <c r="O1564" t="s">
        <v>45096</v>
      </c>
      <c r="P1564">
        <v>0</v>
      </c>
      <c r="Q1564">
        <v>0</v>
      </c>
      <c r="R1564" t="s">
        <v>45097</v>
      </c>
      <c r="S1564" t="s">
        <v>45222</v>
      </c>
      <c r="T1564" t="s">
        <v>47081</v>
      </c>
      <c r="U1564" t="s">
        <v>48818</v>
      </c>
      <c r="W1564" t="s">
        <v>42056</v>
      </c>
      <c r="X1564" t="s">
        <v>45098</v>
      </c>
    </row>
    <row r="1565" spans="1:24">
      <c r="A1565">
        <f>HYPERLINK("https://www.philgeps.gov.ph/GEPSNONPILOT/Tender/SplashBidNoticeAbstractUI.aspx?menuIndex=3&amp;refID=7046058&amp;Result=3","7046058")</f>
        <v>0</v>
      </c>
      <c r="B1565" t="s">
        <v>467</v>
      </c>
      <c r="C1565" t="s">
        <v>4696</v>
      </c>
      <c r="D1565" t="s">
        <v>18065</v>
      </c>
      <c r="E1565" t="s">
        <v>19560</v>
      </c>
      <c r="F1565" t="s">
        <v>31574</v>
      </c>
      <c r="G1565" t="s">
        <v>31583</v>
      </c>
      <c r="H1565" t="s">
        <v>31590</v>
      </c>
      <c r="I1565" t="s">
        <v>31605</v>
      </c>
      <c r="J1565" t="s">
        <v>32866</v>
      </c>
      <c r="K1565" t="s">
        <v>41213</v>
      </c>
      <c r="M1565" t="s">
        <v>41961</v>
      </c>
      <c r="N1565" t="s">
        <v>45095</v>
      </c>
      <c r="O1565" t="s">
        <v>45096</v>
      </c>
      <c r="P1565">
        <v>0</v>
      </c>
      <c r="Q1565">
        <v>0</v>
      </c>
      <c r="R1565" t="s">
        <v>45097</v>
      </c>
      <c r="S1565" t="s">
        <v>45222</v>
      </c>
      <c r="T1565" t="s">
        <v>47046</v>
      </c>
      <c r="U1565" t="s">
        <v>48819</v>
      </c>
      <c r="V1565" t="s">
        <v>59949</v>
      </c>
      <c r="W1565" t="s">
        <v>41961</v>
      </c>
      <c r="X1565" t="s">
        <v>45098</v>
      </c>
    </row>
    <row r="1566" spans="1:24">
      <c r="A1566">
        <f>HYPERLINK("https://www.philgeps.gov.ph/GEPSNONPILOT/Tender/SplashBidNoticeAbstractUI.aspx?menuIndex=3&amp;refID=7046046&amp;Result=3","7046046")</f>
        <v>0</v>
      </c>
      <c r="B1566" t="s">
        <v>627</v>
      </c>
      <c r="C1566" t="s">
        <v>4697</v>
      </c>
      <c r="E1566" t="s">
        <v>19561</v>
      </c>
      <c r="F1566" t="s">
        <v>31574</v>
      </c>
      <c r="G1566" t="s">
        <v>31581</v>
      </c>
      <c r="H1566" t="s">
        <v>31590</v>
      </c>
      <c r="I1566" t="s">
        <v>31608</v>
      </c>
      <c r="J1566" t="s">
        <v>32568</v>
      </c>
      <c r="K1566" t="s">
        <v>41184</v>
      </c>
      <c r="M1566" t="s">
        <v>42131</v>
      </c>
      <c r="N1566" t="s">
        <v>45095</v>
      </c>
      <c r="O1566" t="s">
        <v>45096</v>
      </c>
      <c r="P1566">
        <v>0</v>
      </c>
      <c r="Q1566">
        <v>0</v>
      </c>
      <c r="R1566" t="s">
        <v>45097</v>
      </c>
      <c r="S1566" t="s">
        <v>45222</v>
      </c>
      <c r="T1566" t="s">
        <v>46910</v>
      </c>
      <c r="U1566" t="s">
        <v>48820</v>
      </c>
      <c r="W1566" t="s">
        <v>42131</v>
      </c>
      <c r="X1566" t="s">
        <v>45098</v>
      </c>
    </row>
    <row r="1567" spans="1:24">
      <c r="A1567">
        <f>HYPERLINK("https://www.philgeps.gov.ph/GEPSNONPILOT/Tender/SplashBidNoticeAbstractUI.aspx?menuIndex=3&amp;refID=7046059&amp;Result=3","7046059")</f>
        <v>0</v>
      </c>
      <c r="B1567" t="s">
        <v>646</v>
      </c>
      <c r="C1567" t="s">
        <v>4698</v>
      </c>
      <c r="E1567" t="s">
        <v>19562</v>
      </c>
      <c r="F1567" t="s">
        <v>31574</v>
      </c>
      <c r="G1567" t="s">
        <v>31581</v>
      </c>
      <c r="H1567" t="s">
        <v>31590</v>
      </c>
      <c r="I1567" t="s">
        <v>31611</v>
      </c>
      <c r="J1567" t="s">
        <v>32001</v>
      </c>
      <c r="K1567" t="s">
        <v>41184</v>
      </c>
      <c r="M1567" t="s">
        <v>42150</v>
      </c>
      <c r="N1567" t="s">
        <v>45095</v>
      </c>
      <c r="O1567" t="s">
        <v>45096</v>
      </c>
      <c r="P1567">
        <v>0</v>
      </c>
      <c r="Q1567">
        <v>0</v>
      </c>
      <c r="R1567" t="s">
        <v>45097</v>
      </c>
      <c r="S1567" t="s">
        <v>45222</v>
      </c>
      <c r="T1567" t="s">
        <v>46946</v>
      </c>
      <c r="U1567" t="s">
        <v>48821</v>
      </c>
      <c r="W1567" t="s">
        <v>42150</v>
      </c>
      <c r="X1567" t="s">
        <v>45098</v>
      </c>
    </row>
    <row r="1568" spans="1:24">
      <c r="A1568">
        <f>HYPERLINK("https://www.philgeps.gov.ph/GEPSNONPILOT/Tender/SplashBidNoticeAbstractUI.aspx?menuIndex=3&amp;refID=7046050&amp;Result=3","7046050")</f>
        <v>0</v>
      </c>
      <c r="B1568" t="s">
        <v>647</v>
      </c>
      <c r="C1568" t="s">
        <v>4699</v>
      </c>
      <c r="D1568" t="s">
        <v>18030</v>
      </c>
      <c r="E1568" t="s">
        <v>18227</v>
      </c>
      <c r="F1568" t="s">
        <v>31574</v>
      </c>
      <c r="G1568" t="s">
        <v>31582</v>
      </c>
      <c r="H1568" t="s">
        <v>31590</v>
      </c>
      <c r="I1568" t="s">
        <v>31615</v>
      </c>
      <c r="J1568" t="s">
        <v>32019</v>
      </c>
      <c r="K1568" t="s">
        <v>41193</v>
      </c>
      <c r="M1568" t="s">
        <v>42151</v>
      </c>
      <c r="N1568" t="s">
        <v>45095</v>
      </c>
      <c r="O1568" t="s">
        <v>45096</v>
      </c>
      <c r="P1568">
        <v>0</v>
      </c>
      <c r="Q1568">
        <v>0</v>
      </c>
      <c r="R1568" t="s">
        <v>45097</v>
      </c>
      <c r="S1568" t="s">
        <v>45222</v>
      </c>
      <c r="T1568" t="s">
        <v>46926</v>
      </c>
      <c r="U1568" t="s">
        <v>48822</v>
      </c>
      <c r="W1568" t="s">
        <v>42151</v>
      </c>
      <c r="X1568" t="s">
        <v>45098</v>
      </c>
    </row>
    <row r="1569" spans="1:24">
      <c r="A1569">
        <f>HYPERLINK("https://www.philgeps.gov.ph/GEPSNONPILOT/Tender/SplashBidNoticeAbstractUI.aspx?menuIndex=3&amp;refID=7046054&amp;Result=3","7046054")</f>
        <v>0</v>
      </c>
      <c r="B1569" t="s">
        <v>394</v>
      </c>
      <c r="C1569" t="s">
        <v>4700</v>
      </c>
      <c r="D1569" t="s">
        <v>18056</v>
      </c>
      <c r="E1569" t="s">
        <v>19563</v>
      </c>
      <c r="F1569" t="s">
        <v>31574</v>
      </c>
      <c r="G1569" t="s">
        <v>31581</v>
      </c>
      <c r="H1569" t="s">
        <v>31590</v>
      </c>
      <c r="I1569" t="s">
        <v>7185</v>
      </c>
      <c r="J1569" t="s">
        <v>32867</v>
      </c>
      <c r="K1569" t="s">
        <v>41211</v>
      </c>
      <c r="M1569" t="s">
        <v>41885</v>
      </c>
      <c r="N1569" t="s">
        <v>45095</v>
      </c>
      <c r="O1569" t="s">
        <v>45096</v>
      </c>
      <c r="P1569">
        <v>0</v>
      </c>
      <c r="Q1569">
        <v>0</v>
      </c>
      <c r="R1569" t="s">
        <v>45097</v>
      </c>
      <c r="S1569" t="s">
        <v>45222</v>
      </c>
      <c r="T1569" t="s">
        <v>46904</v>
      </c>
      <c r="U1569" t="s">
        <v>48823</v>
      </c>
      <c r="V1569" t="s">
        <v>59934</v>
      </c>
      <c r="W1569" t="s">
        <v>41885</v>
      </c>
      <c r="X1569" t="s">
        <v>45098</v>
      </c>
    </row>
    <row r="1570" spans="1:24">
      <c r="A1570">
        <f>HYPERLINK("https://www.philgeps.gov.ph/GEPSNONPILOT/Tender/SplashBidNoticeAbstractUI.aspx?menuIndex=3&amp;refID=7046063&amp;Result=3","7046063")</f>
        <v>0</v>
      </c>
      <c r="B1570" t="s">
        <v>648</v>
      </c>
      <c r="C1570" t="s">
        <v>4701</v>
      </c>
      <c r="D1570" t="s">
        <v>18072</v>
      </c>
      <c r="E1570" t="s">
        <v>19564</v>
      </c>
      <c r="F1570" t="s">
        <v>31574</v>
      </c>
      <c r="G1570" t="s">
        <v>31583</v>
      </c>
      <c r="H1570" t="s">
        <v>31590</v>
      </c>
      <c r="I1570" t="s">
        <v>31633</v>
      </c>
      <c r="J1570" t="s">
        <v>32290</v>
      </c>
      <c r="K1570" t="s">
        <v>41193</v>
      </c>
      <c r="M1570" t="s">
        <v>42152</v>
      </c>
      <c r="N1570" t="s">
        <v>45095</v>
      </c>
      <c r="O1570" t="s">
        <v>45096</v>
      </c>
      <c r="P1570">
        <v>0</v>
      </c>
      <c r="Q1570">
        <v>0</v>
      </c>
      <c r="R1570" t="s">
        <v>45097</v>
      </c>
      <c r="S1570" t="s">
        <v>45222</v>
      </c>
      <c r="T1570" t="s">
        <v>46936</v>
      </c>
      <c r="U1570" t="s">
        <v>48824</v>
      </c>
      <c r="W1570" t="s">
        <v>42152</v>
      </c>
      <c r="X1570" t="s">
        <v>45098</v>
      </c>
    </row>
    <row r="1571" spans="1:24">
      <c r="A1571">
        <f>HYPERLINK("https://www.philgeps.gov.ph/GEPSNONPILOT/Tender/SplashBidNoticeAbstractUI.aspx?menuIndex=3&amp;refID=7046055&amp;Result=3","7046055")</f>
        <v>0</v>
      </c>
      <c r="B1571" t="s">
        <v>291</v>
      </c>
      <c r="C1571" t="s">
        <v>4702</v>
      </c>
      <c r="D1571" t="s">
        <v>18091</v>
      </c>
      <c r="E1571" t="s">
        <v>19565</v>
      </c>
      <c r="F1571" t="s">
        <v>31574</v>
      </c>
      <c r="G1571" t="s">
        <v>31581</v>
      </c>
      <c r="H1571" t="s">
        <v>31590</v>
      </c>
      <c r="I1571" t="s">
        <v>31633</v>
      </c>
      <c r="J1571" t="s">
        <v>32017</v>
      </c>
      <c r="K1571" t="s">
        <v>41193</v>
      </c>
      <c r="M1571" t="s">
        <v>41777</v>
      </c>
      <c r="N1571" t="s">
        <v>45095</v>
      </c>
      <c r="O1571" t="s">
        <v>45096</v>
      </c>
      <c r="P1571">
        <v>0</v>
      </c>
      <c r="Q1571">
        <v>0</v>
      </c>
      <c r="R1571" t="s">
        <v>45097</v>
      </c>
      <c r="S1571" t="s">
        <v>45222</v>
      </c>
      <c r="T1571" t="s">
        <v>46926</v>
      </c>
      <c r="U1571" t="s">
        <v>48174</v>
      </c>
      <c r="V1571" t="s">
        <v>59918</v>
      </c>
      <c r="W1571" t="s">
        <v>41777</v>
      </c>
      <c r="X1571" t="s">
        <v>45098</v>
      </c>
    </row>
    <row r="1572" spans="1:24">
      <c r="A1572">
        <f>HYPERLINK("https://www.philgeps.gov.ph/GEPSNONPILOT/Tender/SplashBidNoticeAbstractUI.aspx?menuIndex=3&amp;refID=7046064&amp;Result=3","7046064")</f>
        <v>0</v>
      </c>
      <c r="B1572" t="s">
        <v>587</v>
      </c>
      <c r="C1572" t="s">
        <v>4703</v>
      </c>
      <c r="D1572" t="s">
        <v>18022</v>
      </c>
      <c r="E1572" t="s">
        <v>19566</v>
      </c>
      <c r="F1572" t="s">
        <v>31574</v>
      </c>
      <c r="G1572" t="s">
        <v>31581</v>
      </c>
      <c r="H1572" t="s">
        <v>31590</v>
      </c>
      <c r="I1572" t="s">
        <v>31615</v>
      </c>
      <c r="J1572" t="s">
        <v>32121</v>
      </c>
      <c r="K1572" t="s">
        <v>41186</v>
      </c>
      <c r="M1572" t="s">
        <v>42089</v>
      </c>
      <c r="N1572" t="s">
        <v>45095</v>
      </c>
      <c r="O1572" t="s">
        <v>45096</v>
      </c>
      <c r="P1572">
        <v>0</v>
      </c>
      <c r="Q1572">
        <v>4</v>
      </c>
      <c r="R1572" t="s">
        <v>45097</v>
      </c>
      <c r="S1572" t="s">
        <v>45222</v>
      </c>
      <c r="T1572" t="s">
        <v>47068</v>
      </c>
      <c r="U1572" t="s">
        <v>48675</v>
      </c>
      <c r="W1572" t="s">
        <v>42089</v>
      </c>
      <c r="X1572" t="s">
        <v>45098</v>
      </c>
    </row>
    <row r="1573" spans="1:24">
      <c r="A1573">
        <f>HYPERLINK("https://www.philgeps.gov.ph/GEPSNONPILOT/Tender/SplashBidNoticeAbstractUI.aspx?menuIndex=3&amp;refID=7046066&amp;Result=3","7046066")</f>
        <v>0</v>
      </c>
      <c r="B1573" t="s">
        <v>124</v>
      </c>
      <c r="C1573" t="s">
        <v>4704</v>
      </c>
      <c r="D1573" t="s">
        <v>18065</v>
      </c>
      <c r="E1573" t="s">
        <v>19567</v>
      </c>
      <c r="F1573" t="s">
        <v>31574</v>
      </c>
      <c r="G1573" t="s">
        <v>31582</v>
      </c>
      <c r="H1573" t="s">
        <v>31590</v>
      </c>
      <c r="I1573" t="s">
        <v>31608</v>
      </c>
      <c r="J1573" t="s">
        <v>31947</v>
      </c>
      <c r="K1573" t="s">
        <v>41184</v>
      </c>
      <c r="M1573" t="s">
        <v>42125</v>
      </c>
      <c r="N1573" t="s">
        <v>45095</v>
      </c>
      <c r="O1573" t="s">
        <v>45096</v>
      </c>
      <c r="P1573">
        <v>0</v>
      </c>
      <c r="Q1573">
        <v>0</v>
      </c>
      <c r="R1573" t="s">
        <v>45097</v>
      </c>
      <c r="S1573" t="s">
        <v>45222</v>
      </c>
      <c r="T1573" t="s">
        <v>47003</v>
      </c>
      <c r="U1573" t="s">
        <v>48825</v>
      </c>
      <c r="W1573" t="s">
        <v>42125</v>
      </c>
      <c r="X1573" t="s">
        <v>45098</v>
      </c>
    </row>
    <row r="1574" spans="1:24">
      <c r="A1574">
        <f>HYPERLINK("https://www.philgeps.gov.ph/GEPSNONPILOT/Tender/SplashBidNoticeAbstractUI.aspx?menuIndex=3&amp;refID=7046057&amp;Result=3","7046057")</f>
        <v>0</v>
      </c>
      <c r="B1574" t="s">
        <v>649</v>
      </c>
      <c r="C1574" t="s">
        <v>4705</v>
      </c>
      <c r="D1574" t="s">
        <v>18033</v>
      </c>
      <c r="E1574" t="s">
        <v>19568</v>
      </c>
      <c r="F1574" t="s">
        <v>31574</v>
      </c>
      <c r="G1574" t="s">
        <v>31581</v>
      </c>
      <c r="H1574" t="s">
        <v>31590</v>
      </c>
      <c r="I1574" t="s">
        <v>31595</v>
      </c>
      <c r="J1574" t="s">
        <v>31947</v>
      </c>
      <c r="K1574" t="s">
        <v>41192</v>
      </c>
      <c r="M1574" t="s">
        <v>42153</v>
      </c>
      <c r="N1574" t="s">
        <v>45095</v>
      </c>
      <c r="O1574" t="s">
        <v>45096</v>
      </c>
      <c r="P1574">
        <v>0</v>
      </c>
      <c r="Q1574">
        <v>0</v>
      </c>
      <c r="R1574" t="s">
        <v>45097</v>
      </c>
      <c r="S1574" t="s">
        <v>45222</v>
      </c>
      <c r="T1574" t="s">
        <v>46949</v>
      </c>
      <c r="U1574" t="s">
        <v>48826</v>
      </c>
      <c r="W1574" t="s">
        <v>42153</v>
      </c>
      <c r="X1574" t="s">
        <v>45098</v>
      </c>
    </row>
    <row r="1575" spans="1:24">
      <c r="A1575">
        <f>HYPERLINK("https://www.philgeps.gov.ph/GEPSNONPILOT/Tender/SplashBidNoticeAbstractUI.aspx?menuIndex=3&amp;refID=7046061&amp;Result=3","7046061")</f>
        <v>0</v>
      </c>
      <c r="B1575" t="s">
        <v>650</v>
      </c>
      <c r="C1575" t="s">
        <v>4706</v>
      </c>
      <c r="D1575" t="s">
        <v>18030</v>
      </c>
      <c r="E1575" t="s">
        <v>19569</v>
      </c>
      <c r="F1575" t="s">
        <v>31574</v>
      </c>
      <c r="G1575" t="s">
        <v>31582</v>
      </c>
      <c r="H1575" t="s">
        <v>31591</v>
      </c>
      <c r="I1575" t="s">
        <v>8822</v>
      </c>
      <c r="J1575" t="s">
        <v>32868</v>
      </c>
      <c r="K1575" t="s">
        <v>41253</v>
      </c>
      <c r="M1575" t="s">
        <v>42154</v>
      </c>
      <c r="N1575" t="s">
        <v>45095</v>
      </c>
      <c r="O1575" t="s">
        <v>45096</v>
      </c>
      <c r="P1575">
        <v>0</v>
      </c>
      <c r="Q1575">
        <v>0</v>
      </c>
      <c r="R1575" t="s">
        <v>45097</v>
      </c>
      <c r="S1575" t="s">
        <v>45222</v>
      </c>
      <c r="T1575" t="s">
        <v>46991</v>
      </c>
      <c r="U1575" t="s">
        <v>48827</v>
      </c>
      <c r="W1575" t="s">
        <v>42154</v>
      </c>
      <c r="X1575" t="s">
        <v>45098</v>
      </c>
    </row>
    <row r="1576" spans="1:24">
      <c r="A1576">
        <f>HYPERLINK("https://www.philgeps.gov.ph/GEPSNONPILOT/Tender/SplashBidNoticeAbstractUI.aspx?menuIndex=3&amp;refID=7046049&amp;Result=3","7046049")</f>
        <v>0</v>
      </c>
      <c r="B1576" t="s">
        <v>419</v>
      </c>
      <c r="C1576" t="s">
        <v>4707</v>
      </c>
      <c r="D1576" t="s">
        <v>18029</v>
      </c>
      <c r="E1576" t="s">
        <v>19570</v>
      </c>
      <c r="F1576" t="s">
        <v>31574</v>
      </c>
      <c r="G1576" t="s">
        <v>31584</v>
      </c>
      <c r="H1576" t="s">
        <v>31590</v>
      </c>
      <c r="I1576" t="s">
        <v>31595</v>
      </c>
      <c r="J1576" t="s">
        <v>31741</v>
      </c>
      <c r="K1576" t="s">
        <v>41211</v>
      </c>
      <c r="M1576" t="s">
        <v>41911</v>
      </c>
      <c r="N1576" t="s">
        <v>45095</v>
      </c>
      <c r="O1576" t="s">
        <v>45096</v>
      </c>
      <c r="P1576">
        <v>0</v>
      </c>
      <c r="Q1576">
        <v>0</v>
      </c>
      <c r="R1576" t="s">
        <v>45097</v>
      </c>
      <c r="S1576" t="s">
        <v>45222</v>
      </c>
      <c r="T1576" t="s">
        <v>46946</v>
      </c>
      <c r="U1576" t="s">
        <v>48302</v>
      </c>
      <c r="W1576" t="s">
        <v>41911</v>
      </c>
      <c r="X1576" t="s">
        <v>45098</v>
      </c>
    </row>
    <row r="1577" spans="1:24">
      <c r="A1577">
        <f>HYPERLINK("https://www.philgeps.gov.ph/GEPSNONPILOT/Tender/SplashBidNoticeAbstractUI.aspx?menuIndex=3&amp;refID=7046053&amp;Result=3","7046053")</f>
        <v>0</v>
      </c>
      <c r="B1577" t="s">
        <v>570</v>
      </c>
      <c r="C1577" t="s">
        <v>4708</v>
      </c>
      <c r="D1577" t="s">
        <v>18047</v>
      </c>
      <c r="E1577" t="s">
        <v>19571</v>
      </c>
      <c r="F1577" t="s">
        <v>31574</v>
      </c>
      <c r="G1577" t="s">
        <v>31582</v>
      </c>
      <c r="H1577" t="s">
        <v>31590</v>
      </c>
      <c r="I1577" t="s">
        <v>31594</v>
      </c>
      <c r="J1577" t="s">
        <v>32869</v>
      </c>
      <c r="K1577" t="s">
        <v>41189</v>
      </c>
      <c r="M1577" t="s">
        <v>42071</v>
      </c>
      <c r="N1577" t="s">
        <v>45095</v>
      </c>
      <c r="O1577" t="s">
        <v>45096</v>
      </c>
      <c r="P1577">
        <v>0</v>
      </c>
      <c r="Q1577">
        <v>0</v>
      </c>
      <c r="R1577" t="s">
        <v>45097</v>
      </c>
      <c r="S1577" t="s">
        <v>45222</v>
      </c>
      <c r="T1577" t="s">
        <v>47069</v>
      </c>
      <c r="U1577" t="s">
        <v>48828</v>
      </c>
      <c r="V1577" t="s">
        <v>59980</v>
      </c>
      <c r="W1577" t="s">
        <v>42071</v>
      </c>
      <c r="X1577" t="s">
        <v>45098</v>
      </c>
    </row>
    <row r="1578" spans="1:24">
      <c r="A1578">
        <f>HYPERLINK("https://www.philgeps.gov.ph/GEPSNONPILOT/Tender/SplashBidNoticeAbstractUI.aspx?menuIndex=3&amp;refID=7046048&amp;Result=3","7046048")</f>
        <v>0</v>
      </c>
      <c r="B1578" t="s">
        <v>194</v>
      </c>
      <c r="C1578" t="s">
        <v>4709</v>
      </c>
      <c r="D1578" t="s">
        <v>18065</v>
      </c>
      <c r="E1578" t="s">
        <v>19572</v>
      </c>
      <c r="F1578" t="s">
        <v>31574</v>
      </c>
      <c r="G1578" t="s">
        <v>31581</v>
      </c>
      <c r="H1578" t="s">
        <v>31590</v>
      </c>
      <c r="I1578" t="s">
        <v>31612</v>
      </c>
      <c r="J1578" t="s">
        <v>32870</v>
      </c>
      <c r="K1578" t="s">
        <v>41184</v>
      </c>
      <c r="M1578" t="s">
        <v>41679</v>
      </c>
      <c r="N1578" t="s">
        <v>45095</v>
      </c>
      <c r="O1578" t="s">
        <v>45096</v>
      </c>
      <c r="P1578">
        <v>0</v>
      </c>
      <c r="Q1578">
        <v>0</v>
      </c>
      <c r="R1578" t="s">
        <v>45097</v>
      </c>
      <c r="S1578" t="s">
        <v>45222</v>
      </c>
      <c r="T1578" t="s">
        <v>46923</v>
      </c>
      <c r="U1578" t="s">
        <v>47832</v>
      </c>
      <c r="W1578" t="s">
        <v>41679</v>
      </c>
      <c r="X1578" t="s">
        <v>45098</v>
      </c>
    </row>
    <row r="1579" spans="1:24">
      <c r="A1579">
        <f>HYPERLINK("https://www.philgeps.gov.ph/GEPSNONPILOT/Tender/SplashBidNoticeAbstractUI.aspx?menuIndex=3&amp;refID=7046065&amp;Result=3","7046065")</f>
        <v>0</v>
      </c>
      <c r="B1579" t="s">
        <v>50</v>
      </c>
      <c r="C1579" t="s">
        <v>4710</v>
      </c>
      <c r="D1579" t="s">
        <v>18042</v>
      </c>
      <c r="E1579" t="s">
        <v>19573</v>
      </c>
      <c r="F1579" t="s">
        <v>31574</v>
      </c>
      <c r="G1579" t="s">
        <v>31582</v>
      </c>
      <c r="H1579" t="s">
        <v>31590</v>
      </c>
      <c r="I1579" t="s">
        <v>31599</v>
      </c>
      <c r="J1579" t="s">
        <v>31845</v>
      </c>
      <c r="K1579" t="s">
        <v>41186</v>
      </c>
      <c r="M1579" t="s">
        <v>41533</v>
      </c>
      <c r="N1579" t="s">
        <v>45095</v>
      </c>
      <c r="O1579" t="s">
        <v>45096</v>
      </c>
      <c r="P1579">
        <v>0</v>
      </c>
      <c r="Q1579">
        <v>0</v>
      </c>
      <c r="R1579" t="s">
        <v>45097</v>
      </c>
      <c r="S1579" t="s">
        <v>45222</v>
      </c>
      <c r="T1579" t="s">
        <v>46916</v>
      </c>
      <c r="U1579" t="s">
        <v>48829</v>
      </c>
      <c r="W1579" t="s">
        <v>41533</v>
      </c>
      <c r="X1579" t="s">
        <v>45098</v>
      </c>
    </row>
    <row r="1580" spans="1:24">
      <c r="A1580">
        <f>HYPERLINK("https://www.philgeps.gov.ph/GEPSNONPILOT/Tender/SplashBidNoticeAbstractUI.aspx?menuIndex=3&amp;refID=7046083&amp;Result=3","7046083")</f>
        <v>0</v>
      </c>
      <c r="B1580" t="s">
        <v>651</v>
      </c>
      <c r="C1580" t="s">
        <v>4711</v>
      </c>
      <c r="D1580" t="s">
        <v>18023</v>
      </c>
      <c r="E1580" t="s">
        <v>19574</v>
      </c>
      <c r="F1580" t="s">
        <v>31574</v>
      </c>
      <c r="G1580" t="s">
        <v>31581</v>
      </c>
      <c r="H1580" t="s">
        <v>31590</v>
      </c>
      <c r="I1580" t="s">
        <v>3487</v>
      </c>
      <c r="J1580" t="s">
        <v>32871</v>
      </c>
      <c r="K1580" t="s">
        <v>41193</v>
      </c>
      <c r="M1580" t="s">
        <v>42155</v>
      </c>
      <c r="N1580" t="s">
        <v>45095</v>
      </c>
      <c r="O1580" t="s">
        <v>45096</v>
      </c>
      <c r="P1580">
        <v>0</v>
      </c>
      <c r="Q1580">
        <v>0</v>
      </c>
      <c r="R1580" t="s">
        <v>45097</v>
      </c>
      <c r="S1580" t="s">
        <v>45222</v>
      </c>
      <c r="T1580" t="s">
        <v>47074</v>
      </c>
      <c r="U1580" t="s">
        <v>48830</v>
      </c>
      <c r="V1580" t="s">
        <v>60000</v>
      </c>
      <c r="W1580" t="s">
        <v>42155</v>
      </c>
      <c r="X1580" t="s">
        <v>45098</v>
      </c>
    </row>
    <row r="1581" spans="1:24">
      <c r="A1581">
        <f>HYPERLINK("https://www.philgeps.gov.ph/GEPSNONPILOT/Tender/SplashBidNoticeAbstractUI.aspx?menuIndex=3&amp;refID=7046070&amp;Result=3","7046070")</f>
        <v>0</v>
      </c>
      <c r="B1581" t="s">
        <v>216</v>
      </c>
      <c r="C1581" t="s">
        <v>4712</v>
      </c>
      <c r="D1581" t="s">
        <v>18058</v>
      </c>
      <c r="E1581" t="s">
        <v>19575</v>
      </c>
      <c r="F1581" t="s">
        <v>31574</v>
      </c>
      <c r="G1581" t="s">
        <v>31583</v>
      </c>
      <c r="H1581" t="s">
        <v>31590</v>
      </c>
      <c r="I1581" t="s">
        <v>6800</v>
      </c>
      <c r="J1581" t="s">
        <v>32872</v>
      </c>
      <c r="K1581" t="s">
        <v>41193</v>
      </c>
      <c r="M1581" t="s">
        <v>41701</v>
      </c>
      <c r="N1581" t="s">
        <v>45095</v>
      </c>
      <c r="O1581" t="s">
        <v>45096</v>
      </c>
      <c r="P1581">
        <v>0</v>
      </c>
      <c r="Q1581">
        <v>0</v>
      </c>
      <c r="R1581" t="s">
        <v>45097</v>
      </c>
      <c r="S1581" t="s">
        <v>45222</v>
      </c>
      <c r="T1581" t="s">
        <v>46932</v>
      </c>
      <c r="U1581" t="s">
        <v>48831</v>
      </c>
      <c r="W1581" t="s">
        <v>41701</v>
      </c>
      <c r="X1581" t="s">
        <v>45098</v>
      </c>
    </row>
    <row r="1582" spans="1:24">
      <c r="A1582">
        <f>HYPERLINK("https://www.philgeps.gov.ph/GEPSNONPILOT/Tender/SplashBidNoticeAbstractUI.aspx?menuIndex=3&amp;refID=7046069&amp;Result=3","7046069")</f>
        <v>0</v>
      </c>
      <c r="B1582" t="s">
        <v>416</v>
      </c>
      <c r="C1582" t="s">
        <v>4713</v>
      </c>
      <c r="D1582" t="s">
        <v>18046</v>
      </c>
      <c r="E1582" t="s">
        <v>19576</v>
      </c>
      <c r="F1582" t="s">
        <v>31574</v>
      </c>
      <c r="G1582" t="s">
        <v>31582</v>
      </c>
      <c r="H1582" t="s">
        <v>31590</v>
      </c>
      <c r="I1582" t="s">
        <v>7185</v>
      </c>
      <c r="J1582" t="s">
        <v>32873</v>
      </c>
      <c r="K1582" t="s">
        <v>41196</v>
      </c>
      <c r="M1582" t="s">
        <v>41908</v>
      </c>
      <c r="N1582" t="s">
        <v>45095</v>
      </c>
      <c r="O1582" t="s">
        <v>45096</v>
      </c>
      <c r="P1582">
        <v>0</v>
      </c>
      <c r="Q1582">
        <v>0</v>
      </c>
      <c r="R1582" t="s">
        <v>45097</v>
      </c>
      <c r="S1582" t="s">
        <v>45222</v>
      </c>
      <c r="T1582" t="s">
        <v>46924</v>
      </c>
      <c r="U1582" t="s">
        <v>48832</v>
      </c>
      <c r="W1582" t="s">
        <v>41908</v>
      </c>
      <c r="X1582" t="s">
        <v>45098</v>
      </c>
    </row>
    <row r="1583" spans="1:24">
      <c r="A1583">
        <f>HYPERLINK("https://www.philgeps.gov.ph/GEPSNONPILOT/Tender/SplashBidNoticeAbstractUI.aspx?menuIndex=3&amp;refID=7046071&amp;Result=3","7046071")</f>
        <v>0</v>
      </c>
      <c r="B1583" t="s">
        <v>645</v>
      </c>
      <c r="C1583" t="s">
        <v>4714</v>
      </c>
      <c r="D1583" t="s">
        <v>18035</v>
      </c>
      <c r="E1583" t="s">
        <v>4714</v>
      </c>
      <c r="F1583" t="s">
        <v>31574</v>
      </c>
      <c r="G1583" t="s">
        <v>31583</v>
      </c>
      <c r="H1583" t="s">
        <v>31590</v>
      </c>
      <c r="I1583" t="s">
        <v>4327</v>
      </c>
      <c r="J1583" t="s">
        <v>31782</v>
      </c>
      <c r="K1583" t="s">
        <v>41213</v>
      </c>
      <c r="M1583" t="s">
        <v>42149</v>
      </c>
      <c r="N1583" t="s">
        <v>45095</v>
      </c>
      <c r="O1583" t="s">
        <v>45096</v>
      </c>
      <c r="P1583">
        <v>0</v>
      </c>
      <c r="Q1583">
        <v>0</v>
      </c>
      <c r="R1583" t="s">
        <v>45097</v>
      </c>
      <c r="S1583" t="s">
        <v>45222</v>
      </c>
      <c r="T1583" t="s">
        <v>47064</v>
      </c>
      <c r="U1583" t="s">
        <v>48816</v>
      </c>
      <c r="W1583" t="s">
        <v>42149</v>
      </c>
      <c r="X1583" t="s">
        <v>45098</v>
      </c>
    </row>
    <row r="1584" spans="1:24">
      <c r="A1584">
        <f>HYPERLINK("https://www.philgeps.gov.ph/GEPSNONPILOT/Tender/SplashBidNoticeAbstractUI.aspx?menuIndex=3&amp;refID=7046082&amp;Result=3","7046082")</f>
        <v>0</v>
      </c>
      <c r="B1584" t="s">
        <v>645</v>
      </c>
      <c r="C1584" t="s">
        <v>4715</v>
      </c>
      <c r="D1584" t="s">
        <v>18035</v>
      </c>
      <c r="E1584" t="s">
        <v>4715</v>
      </c>
      <c r="F1584" t="s">
        <v>31574</v>
      </c>
      <c r="G1584" t="s">
        <v>31583</v>
      </c>
      <c r="H1584" t="s">
        <v>31590</v>
      </c>
      <c r="I1584" t="s">
        <v>6800</v>
      </c>
      <c r="J1584" t="s">
        <v>32093</v>
      </c>
      <c r="K1584" t="s">
        <v>41213</v>
      </c>
      <c r="M1584" t="s">
        <v>42149</v>
      </c>
      <c r="N1584" t="s">
        <v>45095</v>
      </c>
      <c r="O1584" t="s">
        <v>45096</v>
      </c>
      <c r="P1584">
        <v>0</v>
      </c>
      <c r="Q1584">
        <v>0</v>
      </c>
      <c r="R1584" t="s">
        <v>45097</v>
      </c>
      <c r="S1584" t="s">
        <v>45222</v>
      </c>
      <c r="T1584" t="s">
        <v>47064</v>
      </c>
      <c r="U1584" t="s">
        <v>48816</v>
      </c>
      <c r="W1584" t="s">
        <v>42149</v>
      </c>
      <c r="X1584" t="s">
        <v>45098</v>
      </c>
    </row>
    <row r="1585" spans="1:24">
      <c r="A1585">
        <f>HYPERLINK("https://www.philgeps.gov.ph/GEPSNONPILOT/Tender/SplashBidNoticeAbstractUI.aspx?menuIndex=3&amp;refID=7046076&amp;Result=3","7046076")</f>
        <v>0</v>
      </c>
      <c r="B1585" t="s">
        <v>622</v>
      </c>
      <c r="C1585" t="s">
        <v>4716</v>
      </c>
      <c r="D1585" t="s">
        <v>18025</v>
      </c>
      <c r="E1585" t="s">
        <v>19577</v>
      </c>
      <c r="F1585" t="s">
        <v>31574</v>
      </c>
      <c r="G1585" t="s">
        <v>31581</v>
      </c>
      <c r="H1585" t="s">
        <v>31590</v>
      </c>
      <c r="I1585" t="s">
        <v>14034</v>
      </c>
      <c r="J1585" t="s">
        <v>32874</v>
      </c>
      <c r="K1585" t="s">
        <v>41190</v>
      </c>
      <c r="M1585" t="s">
        <v>42126</v>
      </c>
      <c r="N1585" t="s">
        <v>45095</v>
      </c>
      <c r="O1585" t="s">
        <v>45096</v>
      </c>
      <c r="P1585">
        <v>0</v>
      </c>
      <c r="Q1585">
        <v>0</v>
      </c>
      <c r="R1585" t="s">
        <v>45097</v>
      </c>
      <c r="S1585" t="s">
        <v>45222</v>
      </c>
      <c r="T1585" t="s">
        <v>47065</v>
      </c>
      <c r="U1585" t="s">
        <v>48833</v>
      </c>
      <c r="V1585" t="s">
        <v>59994</v>
      </c>
      <c r="W1585" t="s">
        <v>42126</v>
      </c>
      <c r="X1585" t="s">
        <v>45098</v>
      </c>
    </row>
    <row r="1586" spans="1:24">
      <c r="A1586">
        <f>HYPERLINK("https://www.philgeps.gov.ph/GEPSNONPILOT/Tender/SplashBidNoticeAbstractUI.aspx?menuIndex=3&amp;refID=7046073&amp;Result=3","7046073")</f>
        <v>0</v>
      </c>
      <c r="B1586" t="s">
        <v>223</v>
      </c>
      <c r="C1586" t="s">
        <v>4717</v>
      </c>
      <c r="D1586" t="s">
        <v>18056</v>
      </c>
      <c r="E1586" t="s">
        <v>19578</v>
      </c>
      <c r="F1586" t="s">
        <v>31574</v>
      </c>
      <c r="G1586" t="s">
        <v>31582</v>
      </c>
      <c r="H1586" t="s">
        <v>31591</v>
      </c>
      <c r="I1586" t="s">
        <v>8822</v>
      </c>
      <c r="J1586" t="s">
        <v>32875</v>
      </c>
      <c r="K1586" t="s">
        <v>41192</v>
      </c>
      <c r="M1586" t="s">
        <v>41708</v>
      </c>
      <c r="N1586" t="s">
        <v>45095</v>
      </c>
      <c r="O1586" t="s">
        <v>45096</v>
      </c>
      <c r="P1586">
        <v>0</v>
      </c>
      <c r="Q1586">
        <v>0</v>
      </c>
      <c r="R1586" t="s">
        <v>45097</v>
      </c>
      <c r="S1586" t="s">
        <v>45222</v>
      </c>
      <c r="T1586" t="s">
        <v>46908</v>
      </c>
      <c r="U1586" t="s">
        <v>48834</v>
      </c>
      <c r="V1586" t="s">
        <v>60001</v>
      </c>
      <c r="W1586" t="s">
        <v>41708</v>
      </c>
      <c r="X1586" t="s">
        <v>45098</v>
      </c>
    </row>
    <row r="1587" spans="1:24">
      <c r="A1587">
        <f>HYPERLINK("https://www.philgeps.gov.ph/GEPSNONPILOT/Tender/SplashBidNoticeAbstractUI.aspx?menuIndex=3&amp;refID=7046080&amp;Result=3","7046080")</f>
        <v>0</v>
      </c>
      <c r="B1587" t="s">
        <v>650</v>
      </c>
      <c r="C1587" t="s">
        <v>4718</v>
      </c>
      <c r="D1587" t="s">
        <v>18030</v>
      </c>
      <c r="E1587" t="s">
        <v>19579</v>
      </c>
      <c r="F1587" t="s">
        <v>31574</v>
      </c>
      <c r="G1587" t="s">
        <v>31582</v>
      </c>
      <c r="H1587" t="s">
        <v>31591</v>
      </c>
      <c r="I1587" t="s">
        <v>8822</v>
      </c>
      <c r="J1587" t="s">
        <v>32876</v>
      </c>
      <c r="K1587" t="s">
        <v>41215</v>
      </c>
      <c r="M1587" t="s">
        <v>42154</v>
      </c>
      <c r="N1587" t="s">
        <v>45095</v>
      </c>
      <c r="O1587" t="s">
        <v>45096</v>
      </c>
      <c r="P1587">
        <v>0</v>
      </c>
      <c r="Q1587">
        <v>0</v>
      </c>
      <c r="R1587" t="s">
        <v>45097</v>
      </c>
      <c r="S1587" t="s">
        <v>45222</v>
      </c>
      <c r="T1587" t="s">
        <v>46991</v>
      </c>
      <c r="U1587" t="s">
        <v>48827</v>
      </c>
      <c r="W1587" t="s">
        <v>42154</v>
      </c>
      <c r="X1587" t="s">
        <v>45098</v>
      </c>
    </row>
    <row r="1588" spans="1:24">
      <c r="A1588">
        <f>HYPERLINK("https://www.philgeps.gov.ph/GEPSNONPILOT/Tender/SplashBidNoticeAbstractUI.aspx?menuIndex=3&amp;refID=7046096&amp;Result=3","7046096")</f>
        <v>0</v>
      </c>
      <c r="B1588" t="s">
        <v>652</v>
      </c>
      <c r="C1588" t="s">
        <v>4719</v>
      </c>
      <c r="D1588" t="s">
        <v>18073</v>
      </c>
      <c r="E1588" t="s">
        <v>19580</v>
      </c>
      <c r="F1588" t="s">
        <v>31574</v>
      </c>
      <c r="G1588" t="s">
        <v>31582</v>
      </c>
      <c r="H1588" t="s">
        <v>31591</v>
      </c>
      <c r="I1588" t="s">
        <v>8822</v>
      </c>
      <c r="J1588" t="s">
        <v>32877</v>
      </c>
      <c r="K1588" t="s">
        <v>41240</v>
      </c>
      <c r="M1588" t="s">
        <v>42156</v>
      </c>
      <c r="N1588" t="s">
        <v>45095</v>
      </c>
      <c r="O1588" t="s">
        <v>45096</v>
      </c>
      <c r="P1588">
        <v>0</v>
      </c>
      <c r="Q1588">
        <v>0</v>
      </c>
      <c r="R1588" t="s">
        <v>45097</v>
      </c>
      <c r="S1588" t="s">
        <v>45222</v>
      </c>
      <c r="T1588" t="s">
        <v>46984</v>
      </c>
      <c r="U1588" t="s">
        <v>48835</v>
      </c>
      <c r="W1588" t="s">
        <v>42156</v>
      </c>
      <c r="X1588" t="s">
        <v>45098</v>
      </c>
    </row>
    <row r="1589" spans="1:24">
      <c r="A1589">
        <f>HYPERLINK("https://www.philgeps.gov.ph/GEPSNONPILOT/Tender/SplashBidNoticeAbstractUI.aspx?menuIndex=3&amp;refID=7046077&amp;Result=3","7046077")</f>
        <v>0</v>
      </c>
      <c r="B1589" t="s">
        <v>653</v>
      </c>
      <c r="C1589" t="s">
        <v>4720</v>
      </c>
      <c r="D1589" t="s">
        <v>18040</v>
      </c>
      <c r="E1589" t="s">
        <v>19581</v>
      </c>
      <c r="F1589" t="s">
        <v>31574</v>
      </c>
      <c r="G1589" t="s">
        <v>31582</v>
      </c>
      <c r="H1589" t="s">
        <v>31591</v>
      </c>
      <c r="I1589" t="s">
        <v>8822</v>
      </c>
      <c r="J1589" t="s">
        <v>32878</v>
      </c>
      <c r="K1589" t="s">
        <v>41185</v>
      </c>
      <c r="M1589" t="s">
        <v>42157</v>
      </c>
      <c r="N1589" t="s">
        <v>45095</v>
      </c>
      <c r="O1589" t="s">
        <v>45096</v>
      </c>
      <c r="P1589">
        <v>0</v>
      </c>
      <c r="Q1589">
        <v>0</v>
      </c>
      <c r="R1589" t="s">
        <v>45097</v>
      </c>
      <c r="S1589" t="s">
        <v>45222</v>
      </c>
      <c r="T1589" t="s">
        <v>46905</v>
      </c>
      <c r="U1589" t="s">
        <v>48836</v>
      </c>
      <c r="W1589" t="s">
        <v>42157</v>
      </c>
      <c r="X1589" t="s">
        <v>45098</v>
      </c>
    </row>
    <row r="1590" spans="1:24">
      <c r="A1590">
        <f>HYPERLINK("https://www.philgeps.gov.ph/GEPSNONPILOT/Tender/SplashBidNoticeAbstractUI.aspx?menuIndex=3&amp;refID=7046068&amp;Result=3","7046068")</f>
        <v>0</v>
      </c>
      <c r="B1590" t="s">
        <v>654</v>
      </c>
      <c r="C1590" t="s">
        <v>4721</v>
      </c>
      <c r="D1590" t="s">
        <v>18027</v>
      </c>
      <c r="E1590" t="s">
        <v>19582</v>
      </c>
      <c r="F1590" t="s">
        <v>31574</v>
      </c>
      <c r="G1590" t="s">
        <v>31582</v>
      </c>
      <c r="H1590" t="s">
        <v>31590</v>
      </c>
      <c r="I1590" t="s">
        <v>31594</v>
      </c>
      <c r="J1590" t="s">
        <v>31781</v>
      </c>
      <c r="K1590" t="s">
        <v>41193</v>
      </c>
      <c r="M1590" t="s">
        <v>42158</v>
      </c>
      <c r="N1590" t="s">
        <v>45095</v>
      </c>
      <c r="O1590" t="s">
        <v>45096</v>
      </c>
      <c r="P1590">
        <v>0</v>
      </c>
      <c r="Q1590">
        <v>0</v>
      </c>
      <c r="R1590" t="s">
        <v>45097</v>
      </c>
      <c r="S1590" t="s">
        <v>45222</v>
      </c>
      <c r="T1590" t="s">
        <v>47028</v>
      </c>
      <c r="U1590" t="s">
        <v>48837</v>
      </c>
      <c r="W1590" t="s">
        <v>42158</v>
      </c>
      <c r="X1590" t="s">
        <v>45098</v>
      </c>
    </row>
    <row r="1591" spans="1:24">
      <c r="A1591">
        <f>HYPERLINK("https://www.philgeps.gov.ph/GEPSNONPILOT/Tender/SplashBidNoticeAbstractUI.aspx?menuIndex=3&amp;refID=7046092&amp;Result=3","7046092")</f>
        <v>0</v>
      </c>
      <c r="B1591" t="s">
        <v>655</v>
      </c>
      <c r="C1591" t="s">
        <v>4722</v>
      </c>
      <c r="D1591" t="s">
        <v>18041</v>
      </c>
      <c r="E1591" t="s">
        <v>19583</v>
      </c>
      <c r="F1591" t="s">
        <v>31575</v>
      </c>
      <c r="G1591" t="s">
        <v>31581</v>
      </c>
      <c r="H1591" t="s">
        <v>31590</v>
      </c>
      <c r="I1591" t="s">
        <v>4046</v>
      </c>
      <c r="J1591" t="s">
        <v>32879</v>
      </c>
      <c r="K1591" t="s">
        <v>41186</v>
      </c>
      <c r="M1591" t="s">
        <v>42159</v>
      </c>
      <c r="N1591" t="s">
        <v>45095</v>
      </c>
      <c r="O1591" t="s">
        <v>45096</v>
      </c>
      <c r="P1591">
        <v>0</v>
      </c>
      <c r="Q1591">
        <v>0</v>
      </c>
      <c r="R1591" t="s">
        <v>45097</v>
      </c>
      <c r="S1591" t="s">
        <v>45222</v>
      </c>
      <c r="T1591" t="s">
        <v>47082</v>
      </c>
      <c r="U1591" t="s">
        <v>48838</v>
      </c>
      <c r="W1591" t="s">
        <v>42159</v>
      </c>
      <c r="X1591" t="s">
        <v>45098</v>
      </c>
    </row>
    <row r="1592" spans="1:24">
      <c r="A1592">
        <f>HYPERLINK("https://www.philgeps.gov.ph/GEPSNONPILOT/Tender/SplashBidNoticeAbstractUI.aspx?menuIndex=3&amp;refID=7046097&amp;Result=3","7046097")</f>
        <v>0</v>
      </c>
      <c r="B1592" t="s">
        <v>656</v>
      </c>
      <c r="C1592" t="s">
        <v>4723</v>
      </c>
      <c r="D1592" t="s">
        <v>18098</v>
      </c>
      <c r="E1592" t="s">
        <v>19584</v>
      </c>
      <c r="F1592" t="s">
        <v>31574</v>
      </c>
      <c r="G1592" t="s">
        <v>31582</v>
      </c>
      <c r="H1592" t="s">
        <v>31590</v>
      </c>
      <c r="I1592" t="s">
        <v>4046</v>
      </c>
      <c r="J1592" t="s">
        <v>32880</v>
      </c>
      <c r="K1592" t="s">
        <v>41186</v>
      </c>
      <c r="M1592" t="s">
        <v>42160</v>
      </c>
      <c r="N1592" t="s">
        <v>45095</v>
      </c>
      <c r="O1592" t="s">
        <v>45096</v>
      </c>
      <c r="P1592">
        <v>0</v>
      </c>
      <c r="Q1592">
        <v>0</v>
      </c>
      <c r="R1592" t="s">
        <v>45097</v>
      </c>
      <c r="S1592" t="s">
        <v>45222</v>
      </c>
      <c r="T1592" t="s">
        <v>46926</v>
      </c>
      <c r="U1592" t="s">
        <v>48839</v>
      </c>
      <c r="W1592" t="s">
        <v>42160</v>
      </c>
      <c r="X1592" t="s">
        <v>45098</v>
      </c>
    </row>
    <row r="1593" spans="1:24">
      <c r="A1593">
        <f>HYPERLINK("https://www.philgeps.gov.ph/GEPSNONPILOT/Tender/SplashBidNoticeAbstractUI.aspx?menuIndex=3&amp;refID=7046089&amp;Result=3","7046089")</f>
        <v>0</v>
      </c>
      <c r="B1593" t="s">
        <v>194</v>
      </c>
      <c r="C1593" t="s">
        <v>4724</v>
      </c>
      <c r="D1593" t="s">
        <v>18065</v>
      </c>
      <c r="E1593" t="s">
        <v>19585</v>
      </c>
      <c r="F1593" t="s">
        <v>31574</v>
      </c>
      <c r="G1593" t="s">
        <v>31581</v>
      </c>
      <c r="H1593" t="s">
        <v>31590</v>
      </c>
      <c r="I1593" t="s">
        <v>3539</v>
      </c>
      <c r="J1593" t="s">
        <v>32881</v>
      </c>
      <c r="K1593" t="s">
        <v>41184</v>
      </c>
      <c r="M1593" t="s">
        <v>41679</v>
      </c>
      <c r="N1593" t="s">
        <v>45095</v>
      </c>
      <c r="O1593" t="s">
        <v>45096</v>
      </c>
      <c r="P1593">
        <v>0</v>
      </c>
      <c r="Q1593">
        <v>0</v>
      </c>
      <c r="R1593" t="s">
        <v>45097</v>
      </c>
      <c r="S1593" t="s">
        <v>45222</v>
      </c>
      <c r="T1593" t="s">
        <v>46923</v>
      </c>
      <c r="U1593" t="s">
        <v>47832</v>
      </c>
      <c r="W1593" t="s">
        <v>41679</v>
      </c>
      <c r="X1593" t="s">
        <v>45098</v>
      </c>
    </row>
    <row r="1594" spans="1:24">
      <c r="A1594">
        <f>HYPERLINK("https://www.philgeps.gov.ph/GEPSNONPILOT/Tender/SplashBidNoticeAbstractUI.aspx?menuIndex=3&amp;refID=7046086&amp;Result=3","7046086")</f>
        <v>0</v>
      </c>
      <c r="B1594" t="s">
        <v>657</v>
      </c>
      <c r="C1594" t="s">
        <v>4725</v>
      </c>
      <c r="D1594" t="s">
        <v>18027</v>
      </c>
      <c r="E1594" t="s">
        <v>19586</v>
      </c>
      <c r="F1594" t="s">
        <v>31575</v>
      </c>
      <c r="G1594" t="s">
        <v>31583</v>
      </c>
      <c r="H1594" t="s">
        <v>31593</v>
      </c>
      <c r="I1594" t="s">
        <v>31605</v>
      </c>
      <c r="J1594" t="s">
        <v>32882</v>
      </c>
      <c r="K1594" t="s">
        <v>41197</v>
      </c>
      <c r="M1594" t="s">
        <v>42161</v>
      </c>
      <c r="N1594" t="s">
        <v>45095</v>
      </c>
      <c r="O1594" t="s">
        <v>45096</v>
      </c>
      <c r="P1594">
        <v>0</v>
      </c>
      <c r="Q1594">
        <v>0</v>
      </c>
      <c r="R1594" t="s">
        <v>45097</v>
      </c>
      <c r="S1594" t="s">
        <v>45222</v>
      </c>
      <c r="T1594" t="s">
        <v>47083</v>
      </c>
      <c r="U1594" t="s">
        <v>48840</v>
      </c>
      <c r="W1594" t="s">
        <v>42161</v>
      </c>
      <c r="X1594" t="s">
        <v>45098</v>
      </c>
    </row>
    <row r="1595" spans="1:24">
      <c r="A1595">
        <f>HYPERLINK("https://www.philgeps.gov.ph/GEPSNONPILOT/Tender/SplashBidNoticeAbstractUI.aspx?menuIndex=3&amp;refID=7046093&amp;Result=3","7046093")</f>
        <v>0</v>
      </c>
      <c r="B1595" t="s">
        <v>218</v>
      </c>
      <c r="C1595" t="s">
        <v>4726</v>
      </c>
      <c r="D1595" t="s">
        <v>18070</v>
      </c>
      <c r="E1595" t="s">
        <v>19587</v>
      </c>
      <c r="F1595" t="s">
        <v>31574</v>
      </c>
      <c r="G1595" t="s">
        <v>31583</v>
      </c>
      <c r="H1595" t="s">
        <v>31590</v>
      </c>
      <c r="I1595" t="s">
        <v>3487</v>
      </c>
      <c r="J1595" t="s">
        <v>32883</v>
      </c>
      <c r="K1595" t="s">
        <v>41193</v>
      </c>
      <c r="M1595" t="s">
        <v>41703</v>
      </c>
      <c r="N1595" t="s">
        <v>45095</v>
      </c>
      <c r="O1595" t="s">
        <v>45096</v>
      </c>
      <c r="P1595">
        <v>0</v>
      </c>
      <c r="Q1595">
        <v>0</v>
      </c>
      <c r="R1595" t="s">
        <v>45097</v>
      </c>
      <c r="S1595" t="s">
        <v>45222</v>
      </c>
      <c r="T1595" t="s">
        <v>46957</v>
      </c>
      <c r="U1595" t="s">
        <v>47880</v>
      </c>
      <c r="W1595" t="s">
        <v>41703</v>
      </c>
      <c r="X1595" t="s">
        <v>45098</v>
      </c>
    </row>
    <row r="1596" spans="1:24">
      <c r="A1596">
        <f>HYPERLINK("https://www.philgeps.gov.ph/GEPSNONPILOT/Tender/SplashBidNoticeAbstractUI.aspx?menuIndex=3&amp;refID=7046099&amp;Result=3","7046099")</f>
        <v>0</v>
      </c>
      <c r="B1596" t="s">
        <v>353</v>
      </c>
      <c r="C1596" t="s">
        <v>4727</v>
      </c>
      <c r="D1596" t="s">
        <v>18068</v>
      </c>
      <c r="E1596" t="s">
        <v>19588</v>
      </c>
      <c r="F1596" t="s">
        <v>31574</v>
      </c>
      <c r="G1596" t="s">
        <v>31581</v>
      </c>
      <c r="H1596" t="s">
        <v>31590</v>
      </c>
      <c r="I1596" t="s">
        <v>31623</v>
      </c>
      <c r="J1596" t="s">
        <v>32884</v>
      </c>
      <c r="K1596" t="s">
        <v>41186</v>
      </c>
      <c r="M1596" t="s">
        <v>41842</v>
      </c>
      <c r="N1596" t="s">
        <v>45095</v>
      </c>
      <c r="O1596" t="s">
        <v>45096</v>
      </c>
      <c r="P1596">
        <v>0</v>
      </c>
      <c r="Q1596">
        <v>0</v>
      </c>
      <c r="R1596" t="s">
        <v>45097</v>
      </c>
      <c r="S1596" t="s">
        <v>45222</v>
      </c>
      <c r="T1596" t="s">
        <v>46932</v>
      </c>
      <c r="U1596" t="s">
        <v>48841</v>
      </c>
      <c r="V1596" t="s">
        <v>59927</v>
      </c>
      <c r="W1596" t="s">
        <v>41842</v>
      </c>
      <c r="X1596" t="s">
        <v>45098</v>
      </c>
    </row>
    <row r="1597" spans="1:24">
      <c r="A1597">
        <f>HYPERLINK("https://www.philgeps.gov.ph/GEPSNONPILOT/Tender/SplashBidNoticeAbstractUI.aspx?menuIndex=3&amp;refID=7046085&amp;Result=3","7046085")</f>
        <v>0</v>
      </c>
      <c r="B1597" t="s">
        <v>658</v>
      </c>
      <c r="C1597" t="s">
        <v>4728</v>
      </c>
      <c r="D1597" t="s">
        <v>18039</v>
      </c>
      <c r="E1597" t="s">
        <v>19589</v>
      </c>
      <c r="F1597" t="s">
        <v>31574</v>
      </c>
      <c r="G1597" t="s">
        <v>31583</v>
      </c>
      <c r="H1597" t="s">
        <v>31590</v>
      </c>
      <c r="I1597" t="s">
        <v>8258</v>
      </c>
      <c r="J1597" t="s">
        <v>32885</v>
      </c>
      <c r="K1597" t="s">
        <v>41190</v>
      </c>
      <c r="M1597" t="s">
        <v>42162</v>
      </c>
      <c r="N1597" t="s">
        <v>45095</v>
      </c>
      <c r="O1597" t="s">
        <v>45096</v>
      </c>
      <c r="P1597">
        <v>0</v>
      </c>
      <c r="Q1597">
        <v>0</v>
      </c>
      <c r="R1597" t="s">
        <v>45097</v>
      </c>
      <c r="S1597" t="s">
        <v>45222</v>
      </c>
      <c r="T1597" t="s">
        <v>46989</v>
      </c>
      <c r="U1597" t="s">
        <v>48842</v>
      </c>
      <c r="V1597" t="s">
        <v>60002</v>
      </c>
      <c r="W1597" t="s">
        <v>42162</v>
      </c>
      <c r="X1597" t="s">
        <v>45098</v>
      </c>
    </row>
    <row r="1598" spans="1:24">
      <c r="A1598">
        <f>HYPERLINK("https://www.philgeps.gov.ph/GEPSNONPILOT/Tender/SplashBidNoticeAbstractUI.aspx?menuIndex=3&amp;refID=7046095&amp;Result=3","7046095")</f>
        <v>0</v>
      </c>
      <c r="B1598" t="s">
        <v>379</v>
      </c>
      <c r="C1598" t="s">
        <v>4729</v>
      </c>
      <c r="D1598" t="s">
        <v>18025</v>
      </c>
      <c r="E1598" t="s">
        <v>18848</v>
      </c>
      <c r="F1598" t="s">
        <v>31574</v>
      </c>
      <c r="G1598" t="s">
        <v>31583</v>
      </c>
      <c r="H1598" t="s">
        <v>31590</v>
      </c>
      <c r="I1598" t="s">
        <v>31600</v>
      </c>
      <c r="J1598" t="s">
        <v>32886</v>
      </c>
      <c r="K1598" t="s">
        <v>41184</v>
      </c>
      <c r="M1598" t="s">
        <v>41869</v>
      </c>
      <c r="N1598" t="s">
        <v>45095</v>
      </c>
      <c r="O1598" t="s">
        <v>45096</v>
      </c>
      <c r="P1598">
        <v>0</v>
      </c>
      <c r="Q1598">
        <v>0</v>
      </c>
      <c r="R1598" t="s">
        <v>45097</v>
      </c>
      <c r="S1598" t="s">
        <v>45222</v>
      </c>
      <c r="T1598" t="s">
        <v>47049</v>
      </c>
      <c r="U1598" t="s">
        <v>48843</v>
      </c>
      <c r="W1598" t="s">
        <v>41869</v>
      </c>
      <c r="X1598" t="s">
        <v>45098</v>
      </c>
    </row>
    <row r="1599" spans="1:24">
      <c r="A1599">
        <f>HYPERLINK("https://www.philgeps.gov.ph/GEPSNONPILOT/Tender/SplashBidNoticeAbstractUI.aspx?menuIndex=3&amp;refID=7046098&amp;Result=3","7046098")</f>
        <v>0</v>
      </c>
      <c r="B1599" t="s">
        <v>659</v>
      </c>
      <c r="C1599" t="s">
        <v>4730</v>
      </c>
      <c r="D1599" t="s">
        <v>18063</v>
      </c>
      <c r="E1599" t="s">
        <v>18815</v>
      </c>
      <c r="F1599" t="s">
        <v>31574</v>
      </c>
      <c r="G1599" t="s">
        <v>31581</v>
      </c>
      <c r="H1599" t="s">
        <v>31591</v>
      </c>
      <c r="I1599" t="s">
        <v>8822</v>
      </c>
      <c r="J1599" t="s">
        <v>31741</v>
      </c>
      <c r="K1599" t="s">
        <v>41204</v>
      </c>
      <c r="M1599" t="s">
        <v>42163</v>
      </c>
      <c r="N1599" t="s">
        <v>45095</v>
      </c>
      <c r="O1599" t="s">
        <v>45096</v>
      </c>
      <c r="P1599">
        <v>0</v>
      </c>
      <c r="Q1599">
        <v>0</v>
      </c>
      <c r="R1599" t="s">
        <v>45097</v>
      </c>
      <c r="S1599" t="s">
        <v>45222</v>
      </c>
      <c r="T1599" t="s">
        <v>47084</v>
      </c>
      <c r="U1599" t="s">
        <v>48844</v>
      </c>
      <c r="W1599" t="s">
        <v>42163</v>
      </c>
      <c r="X1599" t="s">
        <v>45098</v>
      </c>
    </row>
    <row r="1600" spans="1:24">
      <c r="A1600">
        <f>HYPERLINK("https://www.philgeps.gov.ph/GEPSNONPILOT/Tender/SplashBidNoticeAbstractUI.aspx?menuIndex=3&amp;refID=7046084&amp;Result=3","7046084")</f>
        <v>0</v>
      </c>
      <c r="B1600" t="s">
        <v>570</v>
      </c>
      <c r="C1600" t="s">
        <v>4731</v>
      </c>
      <c r="D1600" t="s">
        <v>18047</v>
      </c>
      <c r="E1600" t="s">
        <v>19590</v>
      </c>
      <c r="F1600" t="s">
        <v>31574</v>
      </c>
      <c r="G1600" t="s">
        <v>31582</v>
      </c>
      <c r="H1600" t="s">
        <v>31590</v>
      </c>
      <c r="I1600" t="s">
        <v>31594</v>
      </c>
      <c r="J1600" t="s">
        <v>32232</v>
      </c>
      <c r="K1600" t="s">
        <v>41189</v>
      </c>
      <c r="M1600" t="s">
        <v>42071</v>
      </c>
      <c r="N1600" t="s">
        <v>45095</v>
      </c>
      <c r="O1600" t="s">
        <v>45096</v>
      </c>
      <c r="P1600">
        <v>0</v>
      </c>
      <c r="Q1600">
        <v>0</v>
      </c>
      <c r="R1600" t="s">
        <v>45097</v>
      </c>
      <c r="S1600" t="s">
        <v>45222</v>
      </c>
      <c r="T1600" t="s">
        <v>47069</v>
      </c>
      <c r="U1600" t="s">
        <v>48845</v>
      </c>
      <c r="V1600" t="s">
        <v>59980</v>
      </c>
      <c r="W1600" t="s">
        <v>42071</v>
      </c>
      <c r="X1600" t="s">
        <v>45098</v>
      </c>
    </row>
    <row r="1601" spans="1:24">
      <c r="A1601">
        <f>HYPERLINK("https://www.philgeps.gov.ph/GEPSNONPILOT/Tender/SplashBidNoticeAbstractUI.aspx?menuIndex=3&amp;refID=7046088&amp;Result=3","7046088")</f>
        <v>0</v>
      </c>
      <c r="B1601" t="s">
        <v>640</v>
      </c>
      <c r="C1601" t="s">
        <v>4732</v>
      </c>
      <c r="D1601" t="s">
        <v>18078</v>
      </c>
      <c r="E1601" t="s">
        <v>19591</v>
      </c>
      <c r="F1601" t="s">
        <v>31574</v>
      </c>
      <c r="G1601" t="s">
        <v>31581</v>
      </c>
      <c r="H1601" t="s">
        <v>31590</v>
      </c>
      <c r="I1601" t="s">
        <v>31598</v>
      </c>
      <c r="J1601" t="s">
        <v>32887</v>
      </c>
      <c r="K1601" t="s">
        <v>41184</v>
      </c>
      <c r="M1601" t="s">
        <v>42144</v>
      </c>
      <c r="N1601" t="s">
        <v>45095</v>
      </c>
      <c r="O1601" t="s">
        <v>45096</v>
      </c>
      <c r="P1601">
        <v>0</v>
      </c>
      <c r="Q1601">
        <v>0</v>
      </c>
      <c r="R1601" t="s">
        <v>45097</v>
      </c>
      <c r="S1601" t="s">
        <v>45222</v>
      </c>
      <c r="T1601" t="s">
        <v>46913</v>
      </c>
      <c r="U1601" t="s">
        <v>48846</v>
      </c>
      <c r="W1601" t="s">
        <v>42144</v>
      </c>
      <c r="X1601" t="s">
        <v>45098</v>
      </c>
    </row>
    <row r="1602" spans="1:24">
      <c r="A1602">
        <f>HYPERLINK("https://www.philgeps.gov.ph/GEPSNONPILOT/Tender/SplashBidNoticeAbstractUI.aspx?menuIndex=3&amp;refID=7046101&amp;Result=3","7046101")</f>
        <v>0</v>
      </c>
      <c r="B1602" t="s">
        <v>344</v>
      </c>
      <c r="C1602" t="s">
        <v>4733</v>
      </c>
      <c r="D1602" t="s">
        <v>18027</v>
      </c>
      <c r="E1602" t="s">
        <v>19021</v>
      </c>
      <c r="F1602" t="s">
        <v>31574</v>
      </c>
      <c r="G1602" t="s">
        <v>31582</v>
      </c>
      <c r="H1602" t="s">
        <v>31591</v>
      </c>
      <c r="I1602" t="s">
        <v>7162</v>
      </c>
      <c r="J1602" t="s">
        <v>32481</v>
      </c>
      <c r="K1602" t="s">
        <v>41185</v>
      </c>
      <c r="M1602" t="s">
        <v>41832</v>
      </c>
      <c r="N1602" t="s">
        <v>45095</v>
      </c>
      <c r="O1602" t="s">
        <v>45096</v>
      </c>
      <c r="P1602">
        <v>0</v>
      </c>
      <c r="Q1602">
        <v>0</v>
      </c>
      <c r="R1602" t="s">
        <v>45097</v>
      </c>
      <c r="S1602" t="s">
        <v>45222</v>
      </c>
      <c r="T1602" t="s">
        <v>47013</v>
      </c>
      <c r="U1602" t="s">
        <v>48847</v>
      </c>
      <c r="W1602" t="s">
        <v>41832</v>
      </c>
      <c r="X1602" t="s">
        <v>45098</v>
      </c>
    </row>
    <row r="1603" spans="1:24">
      <c r="A1603">
        <f>HYPERLINK("https://www.philgeps.gov.ph/GEPSNONPILOT/Tender/SplashBidNoticeAbstractUI.aspx?menuIndex=3&amp;refID=7046116&amp;Result=3","7046116")</f>
        <v>0</v>
      </c>
      <c r="B1603" t="s">
        <v>45</v>
      </c>
      <c r="C1603" t="s">
        <v>4734</v>
      </c>
      <c r="D1603" t="s">
        <v>18037</v>
      </c>
      <c r="E1603" t="s">
        <v>19592</v>
      </c>
      <c r="F1603" t="s">
        <v>31574</v>
      </c>
      <c r="G1603" t="s">
        <v>31581</v>
      </c>
      <c r="H1603" t="s">
        <v>31590</v>
      </c>
      <c r="I1603" t="s">
        <v>6800</v>
      </c>
      <c r="J1603" t="s">
        <v>32888</v>
      </c>
      <c r="K1603" t="s">
        <v>41196</v>
      </c>
      <c r="M1603" t="s">
        <v>41528</v>
      </c>
      <c r="N1603" t="s">
        <v>45095</v>
      </c>
      <c r="O1603" t="s">
        <v>45096</v>
      </c>
      <c r="P1603">
        <v>0</v>
      </c>
      <c r="Q1603">
        <v>0</v>
      </c>
      <c r="R1603" t="s">
        <v>45097</v>
      </c>
      <c r="S1603" t="s">
        <v>45222</v>
      </c>
      <c r="T1603" t="s">
        <v>46918</v>
      </c>
      <c r="U1603" t="s">
        <v>48848</v>
      </c>
      <c r="W1603" t="s">
        <v>41528</v>
      </c>
      <c r="X1603" t="s">
        <v>45098</v>
      </c>
    </row>
    <row r="1604" spans="1:24">
      <c r="A1604">
        <f>HYPERLINK("https://www.philgeps.gov.ph/GEPSNONPILOT/Tender/SplashBidNoticeAbstractUI.aspx?menuIndex=3&amp;refID=7046109&amp;Result=3","7046109")</f>
        <v>0</v>
      </c>
      <c r="B1604" t="s">
        <v>650</v>
      </c>
      <c r="C1604" t="s">
        <v>4735</v>
      </c>
      <c r="D1604" t="s">
        <v>18030</v>
      </c>
      <c r="E1604" t="s">
        <v>19593</v>
      </c>
      <c r="F1604" t="s">
        <v>31574</v>
      </c>
      <c r="G1604" t="s">
        <v>31582</v>
      </c>
      <c r="H1604" t="s">
        <v>31591</v>
      </c>
      <c r="I1604" t="s">
        <v>8822</v>
      </c>
      <c r="J1604" t="s">
        <v>32889</v>
      </c>
      <c r="K1604" t="s">
        <v>41218</v>
      </c>
      <c r="M1604" t="s">
        <v>42154</v>
      </c>
      <c r="N1604" t="s">
        <v>45095</v>
      </c>
      <c r="O1604" t="s">
        <v>45096</v>
      </c>
      <c r="P1604">
        <v>0</v>
      </c>
      <c r="Q1604">
        <v>0</v>
      </c>
      <c r="R1604" t="s">
        <v>45097</v>
      </c>
      <c r="S1604" t="s">
        <v>45222</v>
      </c>
      <c r="T1604" t="s">
        <v>46956</v>
      </c>
      <c r="U1604" t="s">
        <v>48827</v>
      </c>
      <c r="W1604" t="s">
        <v>42154</v>
      </c>
      <c r="X1604" t="s">
        <v>45098</v>
      </c>
    </row>
    <row r="1605" spans="1:24">
      <c r="A1605">
        <f>HYPERLINK("https://www.philgeps.gov.ph/GEPSNONPILOT/Tender/SplashBidNoticeAbstractUI.aspx?menuIndex=3&amp;refID=7046107&amp;Result=3","7046107")</f>
        <v>0</v>
      </c>
      <c r="B1605" t="s">
        <v>321</v>
      </c>
      <c r="C1605" t="s">
        <v>4736</v>
      </c>
      <c r="D1605" t="s">
        <v>18050</v>
      </c>
      <c r="E1605" t="s">
        <v>19594</v>
      </c>
      <c r="F1605" t="s">
        <v>31574</v>
      </c>
      <c r="G1605" t="s">
        <v>31583</v>
      </c>
      <c r="H1605" t="s">
        <v>31590</v>
      </c>
      <c r="I1605" t="s">
        <v>3651</v>
      </c>
      <c r="J1605" t="s">
        <v>32158</v>
      </c>
      <c r="K1605" t="s">
        <v>41184</v>
      </c>
      <c r="M1605" t="s">
        <v>42164</v>
      </c>
      <c r="N1605" t="s">
        <v>45095</v>
      </c>
      <c r="O1605" t="s">
        <v>45096</v>
      </c>
      <c r="P1605">
        <v>0</v>
      </c>
      <c r="Q1605">
        <v>0</v>
      </c>
      <c r="R1605" t="s">
        <v>45097</v>
      </c>
      <c r="S1605" t="s">
        <v>45222</v>
      </c>
      <c r="T1605" t="s">
        <v>46936</v>
      </c>
      <c r="U1605" t="s">
        <v>48849</v>
      </c>
      <c r="W1605" t="s">
        <v>42164</v>
      </c>
      <c r="X1605" t="s">
        <v>45098</v>
      </c>
    </row>
    <row r="1606" spans="1:24">
      <c r="A1606">
        <f>HYPERLINK("https://www.philgeps.gov.ph/GEPSNONPILOT/Tender/SplashBidNoticeAbstractUI.aspx?menuIndex=3&amp;refID=7046111&amp;Result=3","7046111")</f>
        <v>0</v>
      </c>
      <c r="B1606" t="s">
        <v>151</v>
      </c>
      <c r="C1606" t="s">
        <v>4737</v>
      </c>
      <c r="D1606" t="s">
        <v>18070</v>
      </c>
      <c r="E1606" t="s">
        <v>19595</v>
      </c>
      <c r="F1606" t="s">
        <v>31574</v>
      </c>
      <c r="G1606" t="s">
        <v>31581</v>
      </c>
      <c r="H1606" t="s">
        <v>31590</v>
      </c>
      <c r="I1606" t="s">
        <v>3651</v>
      </c>
      <c r="J1606" t="s">
        <v>32890</v>
      </c>
      <c r="K1606" t="s">
        <v>41193</v>
      </c>
      <c r="M1606" t="s">
        <v>41635</v>
      </c>
      <c r="N1606" t="s">
        <v>45095</v>
      </c>
      <c r="O1606" t="s">
        <v>45096</v>
      </c>
      <c r="P1606">
        <v>0</v>
      </c>
      <c r="Q1606">
        <v>0</v>
      </c>
      <c r="R1606" t="s">
        <v>45097</v>
      </c>
      <c r="S1606" t="s">
        <v>45222</v>
      </c>
      <c r="T1606" t="s">
        <v>46913</v>
      </c>
      <c r="U1606" t="s">
        <v>48850</v>
      </c>
      <c r="W1606" t="s">
        <v>61654</v>
      </c>
      <c r="X1606" t="s">
        <v>45098</v>
      </c>
    </row>
    <row r="1607" spans="1:24">
      <c r="A1607">
        <f>HYPERLINK("https://www.philgeps.gov.ph/GEPSNONPILOT/Tender/SplashBidNoticeAbstractUI.aspx?menuIndex=3&amp;refID=7046105&amp;Result=3","7046105")</f>
        <v>0</v>
      </c>
      <c r="B1607" t="s">
        <v>124</v>
      </c>
      <c r="C1607" t="s">
        <v>4738</v>
      </c>
      <c r="D1607" t="s">
        <v>18065</v>
      </c>
      <c r="E1607" t="s">
        <v>19596</v>
      </c>
      <c r="F1607" t="s">
        <v>31574</v>
      </c>
      <c r="G1607" t="s">
        <v>31582</v>
      </c>
      <c r="H1607" t="s">
        <v>31590</v>
      </c>
      <c r="I1607" t="s">
        <v>8258</v>
      </c>
      <c r="J1607" t="s">
        <v>32891</v>
      </c>
      <c r="K1607" t="s">
        <v>41184</v>
      </c>
      <c r="M1607" t="s">
        <v>42125</v>
      </c>
      <c r="N1607" t="s">
        <v>45095</v>
      </c>
      <c r="O1607" t="s">
        <v>45096</v>
      </c>
      <c r="P1607">
        <v>0</v>
      </c>
      <c r="Q1607">
        <v>0</v>
      </c>
      <c r="R1607" t="s">
        <v>45097</v>
      </c>
      <c r="S1607" t="s">
        <v>45222</v>
      </c>
      <c r="T1607" t="s">
        <v>47003</v>
      </c>
      <c r="U1607" t="s">
        <v>48851</v>
      </c>
      <c r="W1607" t="s">
        <v>42125</v>
      </c>
      <c r="X1607" t="s">
        <v>45098</v>
      </c>
    </row>
    <row r="1608" spans="1:24">
      <c r="A1608">
        <f>HYPERLINK("https://www.philgeps.gov.ph/GEPSNONPILOT/Tender/SplashBidNoticeAbstractUI.aspx?menuIndex=3&amp;refID=7046110&amp;Result=3","7046110")</f>
        <v>0</v>
      </c>
      <c r="B1608" t="s">
        <v>660</v>
      </c>
      <c r="C1608" t="s">
        <v>4739</v>
      </c>
      <c r="D1608" t="s">
        <v>18022</v>
      </c>
      <c r="E1608" t="s">
        <v>19597</v>
      </c>
      <c r="F1608" t="s">
        <v>31574</v>
      </c>
      <c r="G1608" t="s">
        <v>31583</v>
      </c>
      <c r="H1608" t="s">
        <v>31590</v>
      </c>
      <c r="I1608" t="s">
        <v>8258</v>
      </c>
      <c r="J1608" t="s">
        <v>31947</v>
      </c>
      <c r="K1608" t="s">
        <v>41184</v>
      </c>
      <c r="M1608" t="s">
        <v>42165</v>
      </c>
      <c r="N1608" t="s">
        <v>45095</v>
      </c>
      <c r="O1608" t="s">
        <v>45096</v>
      </c>
      <c r="P1608">
        <v>0</v>
      </c>
      <c r="Q1608">
        <v>0</v>
      </c>
      <c r="R1608" t="s">
        <v>45097</v>
      </c>
      <c r="S1608" t="s">
        <v>45222</v>
      </c>
      <c r="T1608" t="s">
        <v>46957</v>
      </c>
      <c r="U1608" t="s">
        <v>48852</v>
      </c>
      <c r="W1608" t="s">
        <v>42165</v>
      </c>
      <c r="X1608" t="s">
        <v>45098</v>
      </c>
    </row>
    <row r="1609" spans="1:24">
      <c r="A1609">
        <f>HYPERLINK("https://www.philgeps.gov.ph/GEPSNONPILOT/Tender/SplashBidNoticeAbstractUI.aspx?menuIndex=3&amp;refID=7046102&amp;Result=3","7046102")</f>
        <v>0</v>
      </c>
      <c r="B1609" t="s">
        <v>50</v>
      </c>
      <c r="C1609" t="s">
        <v>4740</v>
      </c>
      <c r="D1609" t="s">
        <v>18042</v>
      </c>
      <c r="E1609" t="s">
        <v>19598</v>
      </c>
      <c r="F1609" t="s">
        <v>31574</v>
      </c>
      <c r="G1609" t="s">
        <v>31582</v>
      </c>
      <c r="H1609" t="s">
        <v>31590</v>
      </c>
      <c r="I1609" t="s">
        <v>31599</v>
      </c>
      <c r="J1609" t="s">
        <v>32892</v>
      </c>
      <c r="K1609" t="s">
        <v>41186</v>
      </c>
      <c r="M1609" t="s">
        <v>41533</v>
      </c>
      <c r="N1609" t="s">
        <v>45095</v>
      </c>
      <c r="O1609" t="s">
        <v>45096</v>
      </c>
      <c r="P1609">
        <v>0</v>
      </c>
      <c r="Q1609">
        <v>0</v>
      </c>
      <c r="R1609" t="s">
        <v>45097</v>
      </c>
      <c r="S1609" t="s">
        <v>45222</v>
      </c>
      <c r="T1609" t="s">
        <v>46916</v>
      </c>
      <c r="U1609" t="s">
        <v>48853</v>
      </c>
      <c r="W1609" t="s">
        <v>41533</v>
      </c>
      <c r="X1609" t="s">
        <v>45098</v>
      </c>
    </row>
    <row r="1610" spans="1:24">
      <c r="A1610">
        <f>HYPERLINK("https://www.philgeps.gov.ph/GEPSNONPILOT/Tender/SplashBidNoticeAbstractUI.aspx?menuIndex=3&amp;refID=7046121&amp;Result=3","7046121")</f>
        <v>0</v>
      </c>
      <c r="B1610" t="s">
        <v>124</v>
      </c>
      <c r="C1610" t="s">
        <v>4741</v>
      </c>
      <c r="D1610" t="s">
        <v>18065</v>
      </c>
      <c r="E1610" t="s">
        <v>19599</v>
      </c>
      <c r="F1610" t="s">
        <v>31574</v>
      </c>
      <c r="G1610" t="s">
        <v>31582</v>
      </c>
      <c r="H1610" t="s">
        <v>31590</v>
      </c>
      <c r="I1610" t="s">
        <v>31600</v>
      </c>
      <c r="J1610" t="s">
        <v>32893</v>
      </c>
      <c r="K1610" t="s">
        <v>41184</v>
      </c>
      <c r="M1610" t="s">
        <v>42125</v>
      </c>
      <c r="N1610" t="s">
        <v>45095</v>
      </c>
      <c r="O1610" t="s">
        <v>45096</v>
      </c>
      <c r="P1610">
        <v>0</v>
      </c>
      <c r="Q1610">
        <v>0</v>
      </c>
      <c r="R1610" t="s">
        <v>45097</v>
      </c>
      <c r="S1610" t="s">
        <v>45222</v>
      </c>
      <c r="T1610" t="s">
        <v>47003</v>
      </c>
      <c r="U1610" t="s">
        <v>48854</v>
      </c>
      <c r="W1610" t="s">
        <v>42125</v>
      </c>
      <c r="X1610" t="s">
        <v>45098</v>
      </c>
    </row>
    <row r="1611" spans="1:24">
      <c r="A1611">
        <f>HYPERLINK("https://www.philgeps.gov.ph/GEPSNONPILOT/Tender/SplashBidNoticeAbstractUI.aspx?menuIndex=3&amp;refID=7046120&amp;Result=3","7046120")</f>
        <v>0</v>
      </c>
      <c r="B1611" t="s">
        <v>661</v>
      </c>
      <c r="C1611" t="s">
        <v>4742</v>
      </c>
      <c r="D1611" t="s">
        <v>18023</v>
      </c>
      <c r="E1611" t="s">
        <v>19600</v>
      </c>
      <c r="F1611" t="s">
        <v>31574</v>
      </c>
      <c r="G1611" t="s">
        <v>31582</v>
      </c>
      <c r="H1611" t="s">
        <v>31591</v>
      </c>
      <c r="I1611" t="s">
        <v>8822</v>
      </c>
      <c r="J1611" t="s">
        <v>31727</v>
      </c>
      <c r="K1611" t="s">
        <v>41186</v>
      </c>
      <c r="M1611" t="s">
        <v>42166</v>
      </c>
      <c r="N1611" t="s">
        <v>45095</v>
      </c>
      <c r="O1611" t="s">
        <v>45096</v>
      </c>
      <c r="P1611">
        <v>0</v>
      </c>
      <c r="Q1611">
        <v>0</v>
      </c>
      <c r="R1611" t="s">
        <v>45097</v>
      </c>
      <c r="S1611" t="s">
        <v>45222</v>
      </c>
      <c r="T1611" t="s">
        <v>46920</v>
      </c>
      <c r="U1611" t="s">
        <v>48855</v>
      </c>
      <c r="W1611" t="s">
        <v>42166</v>
      </c>
      <c r="X1611" t="s">
        <v>45098</v>
      </c>
    </row>
    <row r="1612" spans="1:24">
      <c r="A1612">
        <f>HYPERLINK("https://www.philgeps.gov.ph/GEPSNONPILOT/Tender/SplashBidNoticeAbstractUI.aspx?menuIndex=3&amp;refID=7046117&amp;Result=3","7046117")</f>
        <v>0</v>
      </c>
      <c r="B1612" t="s">
        <v>567</v>
      </c>
      <c r="C1612" t="s">
        <v>4743</v>
      </c>
      <c r="D1612" t="s">
        <v>18023</v>
      </c>
      <c r="E1612" t="s">
        <v>19601</v>
      </c>
      <c r="F1612" t="s">
        <v>31574</v>
      </c>
      <c r="G1612" t="s">
        <v>31582</v>
      </c>
      <c r="H1612" t="s">
        <v>31591</v>
      </c>
      <c r="I1612" t="s">
        <v>8822</v>
      </c>
      <c r="J1612" t="s">
        <v>32019</v>
      </c>
      <c r="K1612" t="s">
        <v>41244</v>
      </c>
      <c r="L1612" t="s">
        <v>567</v>
      </c>
      <c r="M1612" t="s">
        <v>42067</v>
      </c>
      <c r="N1612" t="s">
        <v>45095</v>
      </c>
      <c r="O1612" t="s">
        <v>45096</v>
      </c>
      <c r="P1612">
        <v>0</v>
      </c>
      <c r="Q1612">
        <v>0</v>
      </c>
      <c r="R1612" t="s">
        <v>45097</v>
      </c>
      <c r="S1612" t="s">
        <v>45222</v>
      </c>
      <c r="T1612" t="s">
        <v>46926</v>
      </c>
      <c r="U1612" t="s">
        <v>48856</v>
      </c>
      <c r="W1612" t="s">
        <v>42067</v>
      </c>
      <c r="X1612" t="s">
        <v>45098</v>
      </c>
    </row>
    <row r="1613" spans="1:24">
      <c r="A1613">
        <f>HYPERLINK("https://www.philgeps.gov.ph/GEPSNONPILOT/Tender/SplashBidNoticeAbstractUI.aspx?menuIndex=3&amp;refID=7046103&amp;Result=3","7046103")</f>
        <v>0</v>
      </c>
      <c r="B1613" t="s">
        <v>216</v>
      </c>
      <c r="C1613" t="s">
        <v>4712</v>
      </c>
      <c r="D1613" t="s">
        <v>18058</v>
      </c>
      <c r="E1613" t="s">
        <v>19602</v>
      </c>
      <c r="F1613" t="s">
        <v>31574</v>
      </c>
      <c r="G1613" t="s">
        <v>31583</v>
      </c>
      <c r="H1613" t="s">
        <v>31590</v>
      </c>
      <c r="I1613" t="s">
        <v>6800</v>
      </c>
      <c r="J1613" t="s">
        <v>32894</v>
      </c>
      <c r="K1613" t="s">
        <v>41193</v>
      </c>
      <c r="M1613" t="s">
        <v>41701</v>
      </c>
      <c r="N1613" t="s">
        <v>45095</v>
      </c>
      <c r="O1613" t="s">
        <v>45096</v>
      </c>
      <c r="P1613">
        <v>0</v>
      </c>
      <c r="Q1613">
        <v>0</v>
      </c>
      <c r="R1613" t="s">
        <v>45097</v>
      </c>
      <c r="S1613" t="s">
        <v>45222</v>
      </c>
      <c r="T1613" t="s">
        <v>46932</v>
      </c>
      <c r="U1613" t="s">
        <v>48857</v>
      </c>
      <c r="W1613" t="s">
        <v>41701</v>
      </c>
      <c r="X1613" t="s">
        <v>45098</v>
      </c>
    </row>
    <row r="1614" spans="1:24">
      <c r="A1614">
        <f>HYPERLINK("https://www.philgeps.gov.ph/GEPSNONPILOT/Tender/SplashBidNoticeAbstractUI.aspx?menuIndex=3&amp;refID=7046119&amp;Result=3","7046119")</f>
        <v>0</v>
      </c>
      <c r="B1614" t="s">
        <v>662</v>
      </c>
      <c r="C1614" t="s">
        <v>4744</v>
      </c>
      <c r="E1614" t="s">
        <v>19603</v>
      </c>
      <c r="F1614" t="s">
        <v>31574</v>
      </c>
      <c r="G1614" t="s">
        <v>31581</v>
      </c>
      <c r="H1614" t="s">
        <v>31590</v>
      </c>
      <c r="I1614" t="s">
        <v>31623</v>
      </c>
      <c r="J1614" t="s">
        <v>32895</v>
      </c>
      <c r="K1614" t="s">
        <v>41184</v>
      </c>
      <c r="M1614" t="s">
        <v>42167</v>
      </c>
      <c r="N1614" t="s">
        <v>45095</v>
      </c>
      <c r="O1614" t="s">
        <v>45096</v>
      </c>
      <c r="P1614">
        <v>0</v>
      </c>
      <c r="Q1614">
        <v>0</v>
      </c>
      <c r="R1614" t="s">
        <v>45097</v>
      </c>
      <c r="S1614" t="s">
        <v>45222</v>
      </c>
      <c r="T1614" t="s">
        <v>46918</v>
      </c>
      <c r="U1614" t="s">
        <v>48858</v>
      </c>
      <c r="V1614" t="s">
        <v>60003</v>
      </c>
      <c r="W1614" t="s">
        <v>42167</v>
      </c>
      <c r="X1614" t="s">
        <v>45098</v>
      </c>
    </row>
    <row r="1615" spans="1:24">
      <c r="A1615">
        <f>HYPERLINK("https://www.philgeps.gov.ph/GEPSNONPILOT/Tender/SplashBidNoticeAbstractUI.aspx?menuIndex=3&amp;refID=7046104&amp;Result=3","7046104")</f>
        <v>0</v>
      </c>
      <c r="B1615" t="s">
        <v>663</v>
      </c>
      <c r="C1615" t="s">
        <v>4745</v>
      </c>
      <c r="E1615" t="s">
        <v>19604</v>
      </c>
      <c r="F1615" t="s">
        <v>31574</v>
      </c>
      <c r="G1615" t="s">
        <v>31581</v>
      </c>
      <c r="H1615" t="s">
        <v>31590</v>
      </c>
      <c r="I1615" t="s">
        <v>8258</v>
      </c>
      <c r="J1615" t="s">
        <v>32896</v>
      </c>
      <c r="K1615" t="s">
        <v>41184</v>
      </c>
      <c r="M1615" t="s">
        <v>42168</v>
      </c>
      <c r="N1615" t="s">
        <v>45095</v>
      </c>
      <c r="O1615" t="s">
        <v>45096</v>
      </c>
      <c r="P1615">
        <v>0</v>
      </c>
      <c r="Q1615">
        <v>0</v>
      </c>
      <c r="R1615" t="s">
        <v>45097</v>
      </c>
      <c r="S1615" t="s">
        <v>45222</v>
      </c>
      <c r="T1615" t="s">
        <v>46926</v>
      </c>
      <c r="U1615" t="s">
        <v>48859</v>
      </c>
      <c r="W1615" t="s">
        <v>42168</v>
      </c>
      <c r="X1615" t="s">
        <v>45098</v>
      </c>
    </row>
    <row r="1616" spans="1:24">
      <c r="A1616">
        <f>HYPERLINK("https://www.philgeps.gov.ph/GEPSNONPILOT/Tender/SplashBidNoticeAbstractUI.aspx?menuIndex=3&amp;refID=7046123&amp;Result=3","7046123")</f>
        <v>0</v>
      </c>
      <c r="B1616" t="s">
        <v>194</v>
      </c>
      <c r="C1616" t="s">
        <v>4746</v>
      </c>
      <c r="D1616" t="s">
        <v>18065</v>
      </c>
      <c r="E1616" t="s">
        <v>19605</v>
      </c>
      <c r="F1616" t="s">
        <v>31574</v>
      </c>
      <c r="G1616" t="s">
        <v>31581</v>
      </c>
      <c r="H1616" t="s">
        <v>31590</v>
      </c>
      <c r="I1616" t="s">
        <v>3539</v>
      </c>
      <c r="J1616" t="s">
        <v>31843</v>
      </c>
      <c r="K1616" t="s">
        <v>41184</v>
      </c>
      <c r="M1616" t="s">
        <v>41679</v>
      </c>
      <c r="N1616" t="s">
        <v>45095</v>
      </c>
      <c r="O1616" t="s">
        <v>45096</v>
      </c>
      <c r="P1616">
        <v>0</v>
      </c>
      <c r="Q1616">
        <v>0</v>
      </c>
      <c r="R1616" t="s">
        <v>45097</v>
      </c>
      <c r="S1616" t="s">
        <v>45222</v>
      </c>
      <c r="T1616" t="s">
        <v>46923</v>
      </c>
      <c r="U1616" t="s">
        <v>47832</v>
      </c>
      <c r="W1616" t="s">
        <v>41679</v>
      </c>
      <c r="X1616" t="s">
        <v>45098</v>
      </c>
    </row>
    <row r="1617" spans="1:24">
      <c r="A1617">
        <f>HYPERLINK("https://www.philgeps.gov.ph/GEPSNONPILOT/Tender/SplashBidNoticeAbstractUI.aspx?menuIndex=3&amp;refID=7046115&amp;Result=3","7046115")</f>
        <v>0</v>
      </c>
      <c r="B1617" t="s">
        <v>244</v>
      </c>
      <c r="C1617" t="s">
        <v>4747</v>
      </c>
      <c r="D1617" t="s">
        <v>18053</v>
      </c>
      <c r="E1617" t="s">
        <v>19606</v>
      </c>
      <c r="F1617" t="s">
        <v>31574</v>
      </c>
      <c r="G1617" t="s">
        <v>31581</v>
      </c>
      <c r="H1617" t="s">
        <v>31591</v>
      </c>
      <c r="I1617" t="s">
        <v>8822</v>
      </c>
      <c r="J1617" t="s">
        <v>31789</v>
      </c>
      <c r="K1617" t="s">
        <v>41226</v>
      </c>
      <c r="M1617" t="s">
        <v>41730</v>
      </c>
      <c r="N1617" t="s">
        <v>45095</v>
      </c>
      <c r="O1617" t="s">
        <v>45096</v>
      </c>
      <c r="P1617">
        <v>0</v>
      </c>
      <c r="Q1617">
        <v>0</v>
      </c>
      <c r="R1617" t="s">
        <v>45097</v>
      </c>
      <c r="S1617" t="s">
        <v>45222</v>
      </c>
      <c r="T1617" t="s">
        <v>46913</v>
      </c>
      <c r="U1617" t="s">
        <v>48860</v>
      </c>
      <c r="W1617" t="s">
        <v>41730</v>
      </c>
      <c r="X1617" t="s">
        <v>45098</v>
      </c>
    </row>
    <row r="1618" spans="1:24">
      <c r="A1618">
        <f>HYPERLINK("https://www.philgeps.gov.ph/GEPSNONPILOT/Tender/SplashBidNoticeAbstractUI.aspx?menuIndex=3&amp;refID=7046122&amp;Result=3","7046122")</f>
        <v>0</v>
      </c>
      <c r="B1618" t="s">
        <v>377</v>
      </c>
      <c r="C1618" t="s">
        <v>4748</v>
      </c>
      <c r="E1618" t="s">
        <v>19607</v>
      </c>
      <c r="F1618" t="s">
        <v>31574</v>
      </c>
      <c r="G1618" t="s">
        <v>31582</v>
      </c>
      <c r="H1618" t="s">
        <v>31590</v>
      </c>
      <c r="I1618" t="s">
        <v>31599</v>
      </c>
      <c r="J1618" t="s">
        <v>32897</v>
      </c>
      <c r="K1618" t="s">
        <v>41184</v>
      </c>
      <c r="M1618" t="s">
        <v>41867</v>
      </c>
      <c r="N1618" t="s">
        <v>45095</v>
      </c>
      <c r="O1618" t="s">
        <v>45096</v>
      </c>
      <c r="P1618">
        <v>0</v>
      </c>
      <c r="Q1618">
        <v>0</v>
      </c>
      <c r="R1618" t="s">
        <v>45097</v>
      </c>
      <c r="S1618" t="s">
        <v>45222</v>
      </c>
      <c r="T1618" t="s">
        <v>46939</v>
      </c>
      <c r="U1618" t="s">
        <v>48861</v>
      </c>
      <c r="V1618" t="s">
        <v>60004</v>
      </c>
      <c r="W1618" t="s">
        <v>41867</v>
      </c>
      <c r="X1618" t="s">
        <v>45098</v>
      </c>
    </row>
    <row r="1619" spans="1:24">
      <c r="A1619">
        <f>HYPERLINK("https://www.philgeps.gov.ph/GEPSNONPILOT/Tender/SplashBidNoticeAbstractUI.aspx?menuIndex=3&amp;refID=7046118&amp;Result=3","7046118")</f>
        <v>0</v>
      </c>
      <c r="B1619" t="s">
        <v>664</v>
      </c>
      <c r="C1619" t="s">
        <v>4749</v>
      </c>
      <c r="E1619" t="s">
        <v>19608</v>
      </c>
      <c r="F1619" t="s">
        <v>31575</v>
      </c>
      <c r="G1619" t="s">
        <v>31581</v>
      </c>
      <c r="H1619" t="s">
        <v>31590</v>
      </c>
      <c r="I1619" t="s">
        <v>7185</v>
      </c>
      <c r="J1619" t="s">
        <v>31754</v>
      </c>
      <c r="K1619" t="s">
        <v>41184</v>
      </c>
      <c r="M1619" t="s">
        <v>42169</v>
      </c>
      <c r="N1619" t="s">
        <v>45095</v>
      </c>
      <c r="O1619" t="s">
        <v>45096</v>
      </c>
      <c r="P1619">
        <v>0</v>
      </c>
      <c r="Q1619">
        <v>0</v>
      </c>
      <c r="R1619" t="s">
        <v>45097</v>
      </c>
      <c r="S1619" t="s">
        <v>45222</v>
      </c>
      <c r="T1619" t="s">
        <v>46930</v>
      </c>
      <c r="U1619" t="s">
        <v>48862</v>
      </c>
      <c r="W1619" t="s">
        <v>42169</v>
      </c>
      <c r="X1619" t="s">
        <v>45098</v>
      </c>
    </row>
    <row r="1620" spans="1:24">
      <c r="A1620">
        <f>HYPERLINK("https://www.philgeps.gov.ph/GEPSNONPILOT/Tender/SplashBidNoticeAbstractUI.aspx?menuIndex=3&amp;refID=7046124&amp;Result=3","7046124")</f>
        <v>0</v>
      </c>
      <c r="B1620" t="s">
        <v>570</v>
      </c>
      <c r="C1620" t="s">
        <v>4750</v>
      </c>
      <c r="D1620" t="s">
        <v>18047</v>
      </c>
      <c r="E1620" t="s">
        <v>19609</v>
      </c>
      <c r="F1620" t="s">
        <v>31574</v>
      </c>
      <c r="G1620" t="s">
        <v>31582</v>
      </c>
      <c r="H1620" t="s">
        <v>31590</v>
      </c>
      <c r="I1620" t="s">
        <v>31594</v>
      </c>
      <c r="J1620" t="s">
        <v>32417</v>
      </c>
      <c r="K1620" t="s">
        <v>41189</v>
      </c>
      <c r="M1620" t="s">
        <v>42071</v>
      </c>
      <c r="N1620" t="s">
        <v>45095</v>
      </c>
      <c r="O1620" t="s">
        <v>45096</v>
      </c>
      <c r="P1620">
        <v>0</v>
      </c>
      <c r="Q1620">
        <v>0</v>
      </c>
      <c r="R1620" t="s">
        <v>45097</v>
      </c>
      <c r="S1620" t="s">
        <v>45222</v>
      </c>
      <c r="T1620" t="s">
        <v>47069</v>
      </c>
      <c r="U1620" t="s">
        <v>48863</v>
      </c>
      <c r="V1620" t="s">
        <v>59980</v>
      </c>
      <c r="W1620" t="s">
        <v>42071</v>
      </c>
      <c r="X1620" t="s">
        <v>45098</v>
      </c>
    </row>
    <row r="1621" spans="1:24">
      <c r="A1621">
        <f>HYPERLINK("https://www.philgeps.gov.ph/GEPSNONPILOT/Tender/SplashBidNoticeAbstractUI.aspx?menuIndex=3&amp;refID=7046114&amp;Result=3","7046114")</f>
        <v>0</v>
      </c>
      <c r="B1621" t="s">
        <v>665</v>
      </c>
      <c r="C1621" t="s">
        <v>4751</v>
      </c>
      <c r="D1621" t="s">
        <v>18050</v>
      </c>
      <c r="E1621" t="s">
        <v>19610</v>
      </c>
      <c r="F1621" t="s">
        <v>31574</v>
      </c>
      <c r="G1621" t="s">
        <v>31581</v>
      </c>
      <c r="H1621" t="s">
        <v>31590</v>
      </c>
      <c r="I1621" t="s">
        <v>4677</v>
      </c>
      <c r="J1621" t="s">
        <v>32898</v>
      </c>
      <c r="K1621" t="s">
        <v>41186</v>
      </c>
      <c r="M1621" t="s">
        <v>42170</v>
      </c>
      <c r="N1621" t="s">
        <v>45095</v>
      </c>
      <c r="O1621" t="s">
        <v>45096</v>
      </c>
      <c r="P1621">
        <v>0</v>
      </c>
      <c r="Q1621">
        <v>0</v>
      </c>
      <c r="R1621" t="s">
        <v>45097</v>
      </c>
      <c r="S1621" t="s">
        <v>45222</v>
      </c>
      <c r="T1621" t="s">
        <v>46904</v>
      </c>
      <c r="U1621" t="s">
        <v>48864</v>
      </c>
      <c r="W1621" t="s">
        <v>42170</v>
      </c>
      <c r="X1621" t="s">
        <v>45098</v>
      </c>
    </row>
    <row r="1622" spans="1:24">
      <c r="A1622">
        <f>HYPERLINK("https://www.philgeps.gov.ph/GEPSNONPILOT/Tender/SplashBidNoticeAbstractUI.aspx?menuIndex=3&amp;refID=7046126&amp;Result=3","7046126")</f>
        <v>0</v>
      </c>
      <c r="B1622" t="s">
        <v>50</v>
      </c>
      <c r="C1622" t="s">
        <v>4752</v>
      </c>
      <c r="D1622" t="s">
        <v>18042</v>
      </c>
      <c r="E1622" t="s">
        <v>19611</v>
      </c>
      <c r="F1622" t="s">
        <v>31574</v>
      </c>
      <c r="G1622" t="s">
        <v>31582</v>
      </c>
      <c r="H1622" t="s">
        <v>31590</v>
      </c>
      <c r="I1622" t="s">
        <v>3539</v>
      </c>
      <c r="J1622" t="s">
        <v>32899</v>
      </c>
      <c r="K1622" t="s">
        <v>41186</v>
      </c>
      <c r="M1622" t="s">
        <v>41533</v>
      </c>
      <c r="N1622" t="s">
        <v>45095</v>
      </c>
      <c r="O1622" t="s">
        <v>45096</v>
      </c>
      <c r="P1622">
        <v>0</v>
      </c>
      <c r="Q1622">
        <v>0</v>
      </c>
      <c r="R1622" t="s">
        <v>45097</v>
      </c>
      <c r="S1622" t="s">
        <v>45222</v>
      </c>
      <c r="T1622" t="s">
        <v>46916</v>
      </c>
      <c r="U1622" t="s">
        <v>48865</v>
      </c>
      <c r="W1622" t="s">
        <v>41533</v>
      </c>
      <c r="X1622" t="s">
        <v>45098</v>
      </c>
    </row>
    <row r="1623" spans="1:24">
      <c r="A1623">
        <f>HYPERLINK("https://www.philgeps.gov.ph/GEPSNONPILOT/Tender/SplashBidNoticeAbstractUI.aspx?menuIndex=3&amp;refID=7046137&amp;Result=3","7046137")</f>
        <v>0</v>
      </c>
      <c r="B1623" t="s">
        <v>666</v>
      </c>
      <c r="C1623" t="s">
        <v>4753</v>
      </c>
      <c r="D1623" t="s">
        <v>18072</v>
      </c>
      <c r="E1623" t="s">
        <v>19612</v>
      </c>
      <c r="F1623" t="s">
        <v>31574</v>
      </c>
      <c r="G1623" t="s">
        <v>31582</v>
      </c>
      <c r="H1623" t="s">
        <v>31591</v>
      </c>
      <c r="I1623" t="s">
        <v>8822</v>
      </c>
      <c r="J1623" t="s">
        <v>32019</v>
      </c>
      <c r="K1623" t="s">
        <v>41192</v>
      </c>
      <c r="M1623" t="s">
        <v>42171</v>
      </c>
      <c r="N1623" t="s">
        <v>45095</v>
      </c>
      <c r="O1623" t="s">
        <v>45096</v>
      </c>
      <c r="P1623">
        <v>0</v>
      </c>
      <c r="Q1623">
        <v>0</v>
      </c>
      <c r="R1623" t="s">
        <v>45097</v>
      </c>
      <c r="S1623" t="s">
        <v>45222</v>
      </c>
      <c r="T1623" t="s">
        <v>46914</v>
      </c>
      <c r="U1623" t="s">
        <v>48866</v>
      </c>
      <c r="W1623" t="s">
        <v>42171</v>
      </c>
      <c r="X1623" t="s">
        <v>45098</v>
      </c>
    </row>
    <row r="1624" spans="1:24">
      <c r="A1624">
        <f>HYPERLINK("https://www.philgeps.gov.ph/GEPSNONPILOT/Tender/SplashBidNoticeAbstractUI.aspx?menuIndex=3&amp;refID=7046135&amp;Result=3","7046135")</f>
        <v>0</v>
      </c>
      <c r="B1624" t="s">
        <v>551</v>
      </c>
      <c r="C1624" t="s">
        <v>4754</v>
      </c>
      <c r="D1624" t="s">
        <v>18096</v>
      </c>
      <c r="E1624" t="s">
        <v>19613</v>
      </c>
      <c r="F1624" t="s">
        <v>31574</v>
      </c>
      <c r="G1624" t="s">
        <v>31582</v>
      </c>
      <c r="H1624" t="s">
        <v>31590</v>
      </c>
      <c r="I1624" t="s">
        <v>31594</v>
      </c>
      <c r="J1624" t="s">
        <v>31771</v>
      </c>
      <c r="K1624" t="s">
        <v>41192</v>
      </c>
      <c r="M1624" t="s">
        <v>42048</v>
      </c>
      <c r="N1624" t="s">
        <v>45095</v>
      </c>
      <c r="O1624" t="s">
        <v>45096</v>
      </c>
      <c r="P1624">
        <v>0</v>
      </c>
      <c r="Q1624">
        <v>0</v>
      </c>
      <c r="R1624" t="s">
        <v>45097</v>
      </c>
      <c r="S1624" t="s">
        <v>45222</v>
      </c>
      <c r="T1624" t="s">
        <v>47037</v>
      </c>
      <c r="U1624" t="s">
        <v>48867</v>
      </c>
      <c r="W1624" t="s">
        <v>42048</v>
      </c>
      <c r="X1624" t="s">
        <v>45098</v>
      </c>
    </row>
    <row r="1625" spans="1:24">
      <c r="A1625">
        <f>HYPERLINK("https://www.philgeps.gov.ph/GEPSNONPILOT/Tender/SplashBidNoticeAbstractUI.aspx?menuIndex=3&amp;refID=7046132&amp;Result=3","7046132")</f>
        <v>0</v>
      </c>
      <c r="B1625" t="s">
        <v>467</v>
      </c>
      <c r="C1625" t="s">
        <v>4356</v>
      </c>
      <c r="D1625" t="s">
        <v>18065</v>
      </c>
      <c r="E1625" t="s">
        <v>19614</v>
      </c>
      <c r="F1625" t="s">
        <v>31574</v>
      </c>
      <c r="G1625" t="s">
        <v>31583</v>
      </c>
      <c r="H1625" t="s">
        <v>31590</v>
      </c>
      <c r="I1625" t="s">
        <v>6800</v>
      </c>
      <c r="J1625" t="s">
        <v>32900</v>
      </c>
      <c r="K1625" t="s">
        <v>41213</v>
      </c>
      <c r="M1625" t="s">
        <v>41961</v>
      </c>
      <c r="N1625" t="s">
        <v>45095</v>
      </c>
      <c r="O1625" t="s">
        <v>45096</v>
      </c>
      <c r="P1625">
        <v>0</v>
      </c>
      <c r="Q1625">
        <v>0</v>
      </c>
      <c r="R1625" t="s">
        <v>45097</v>
      </c>
      <c r="S1625" t="s">
        <v>45222</v>
      </c>
      <c r="T1625" t="s">
        <v>47046</v>
      </c>
      <c r="U1625" t="s">
        <v>48868</v>
      </c>
      <c r="V1625" t="s">
        <v>59949</v>
      </c>
      <c r="W1625" t="s">
        <v>41961</v>
      </c>
      <c r="X1625" t="s">
        <v>45098</v>
      </c>
    </row>
    <row r="1626" spans="1:24">
      <c r="A1626">
        <f>HYPERLINK("https://www.philgeps.gov.ph/GEPSNONPILOT/Tender/SplashBidNoticeAbstractUI.aspx?menuIndex=3&amp;refID=7046131&amp;Result=3","7046131")</f>
        <v>0</v>
      </c>
      <c r="B1626" t="s">
        <v>291</v>
      </c>
      <c r="C1626" t="s">
        <v>4755</v>
      </c>
      <c r="D1626" t="s">
        <v>18091</v>
      </c>
      <c r="E1626" t="s">
        <v>19615</v>
      </c>
      <c r="F1626" t="s">
        <v>31574</v>
      </c>
      <c r="G1626" t="s">
        <v>31581</v>
      </c>
      <c r="H1626" t="s">
        <v>31590</v>
      </c>
      <c r="I1626" t="s">
        <v>31633</v>
      </c>
      <c r="J1626" t="s">
        <v>31744</v>
      </c>
      <c r="K1626" t="s">
        <v>41193</v>
      </c>
      <c r="M1626" t="s">
        <v>41777</v>
      </c>
      <c r="N1626" t="s">
        <v>45095</v>
      </c>
      <c r="O1626" t="s">
        <v>45096</v>
      </c>
      <c r="P1626">
        <v>0</v>
      </c>
      <c r="Q1626">
        <v>0</v>
      </c>
      <c r="R1626" t="s">
        <v>45097</v>
      </c>
      <c r="S1626" t="s">
        <v>45222</v>
      </c>
      <c r="T1626" t="s">
        <v>46926</v>
      </c>
      <c r="U1626" t="s">
        <v>48671</v>
      </c>
      <c r="V1626" t="s">
        <v>59918</v>
      </c>
      <c r="W1626" t="s">
        <v>41777</v>
      </c>
      <c r="X1626" t="s">
        <v>45098</v>
      </c>
    </row>
    <row r="1627" spans="1:24">
      <c r="A1627">
        <f>HYPERLINK("https://www.philgeps.gov.ph/GEPSNONPILOT/Tender/SplashBidNoticeAbstractUI.aspx?menuIndex=3&amp;refID=7046129&amp;Result=3","7046129")</f>
        <v>0</v>
      </c>
      <c r="B1627" t="s">
        <v>650</v>
      </c>
      <c r="C1627" t="s">
        <v>4756</v>
      </c>
      <c r="D1627" t="s">
        <v>18030</v>
      </c>
      <c r="E1627" t="s">
        <v>19616</v>
      </c>
      <c r="F1627" t="s">
        <v>31574</v>
      </c>
      <c r="G1627" t="s">
        <v>31582</v>
      </c>
      <c r="H1627" t="s">
        <v>31591</v>
      </c>
      <c r="I1627" t="s">
        <v>8822</v>
      </c>
      <c r="J1627" t="s">
        <v>32901</v>
      </c>
      <c r="K1627" t="s">
        <v>41257</v>
      </c>
      <c r="M1627" t="s">
        <v>42154</v>
      </c>
      <c r="N1627" t="s">
        <v>45095</v>
      </c>
      <c r="O1627" t="s">
        <v>45096</v>
      </c>
      <c r="P1627">
        <v>0</v>
      </c>
      <c r="Q1627">
        <v>0</v>
      </c>
      <c r="R1627" t="s">
        <v>45097</v>
      </c>
      <c r="S1627" t="s">
        <v>45222</v>
      </c>
      <c r="T1627" t="s">
        <v>46956</v>
      </c>
      <c r="U1627" t="s">
        <v>48827</v>
      </c>
      <c r="W1627" t="s">
        <v>42154</v>
      </c>
      <c r="X1627" t="s">
        <v>45098</v>
      </c>
    </row>
    <row r="1628" spans="1:24">
      <c r="A1628">
        <f>HYPERLINK("https://www.philgeps.gov.ph/GEPSNONPILOT/Tender/SplashBidNoticeAbstractUI.aspx?menuIndex=3&amp;refID=7046143&amp;Result=3","7046143")</f>
        <v>0</v>
      </c>
      <c r="B1628" t="s">
        <v>629</v>
      </c>
      <c r="C1628" t="s">
        <v>4757</v>
      </c>
      <c r="D1628" t="s">
        <v>18075</v>
      </c>
      <c r="E1628" t="s">
        <v>18270</v>
      </c>
      <c r="F1628" t="s">
        <v>31574</v>
      </c>
      <c r="G1628" t="s">
        <v>31581</v>
      </c>
      <c r="H1628" t="s">
        <v>31590</v>
      </c>
      <c r="I1628" t="s">
        <v>4046</v>
      </c>
      <c r="J1628" t="s">
        <v>32902</v>
      </c>
      <c r="K1628" t="s">
        <v>41211</v>
      </c>
      <c r="M1628" t="s">
        <v>42133</v>
      </c>
      <c r="N1628" t="s">
        <v>45095</v>
      </c>
      <c r="O1628" t="s">
        <v>45096</v>
      </c>
      <c r="P1628">
        <v>0</v>
      </c>
      <c r="Q1628">
        <v>0</v>
      </c>
      <c r="R1628" t="s">
        <v>45097</v>
      </c>
      <c r="S1628" t="s">
        <v>45222</v>
      </c>
      <c r="T1628" t="s">
        <v>47085</v>
      </c>
      <c r="U1628" t="s">
        <v>48869</v>
      </c>
      <c r="W1628" t="s">
        <v>42133</v>
      </c>
      <c r="X1628" t="s">
        <v>45098</v>
      </c>
    </row>
    <row r="1629" spans="1:24">
      <c r="A1629">
        <f>HYPERLINK("https://www.philgeps.gov.ph/GEPSNONPILOT/Tender/SplashBidNoticeAbstractUI.aspx?menuIndex=3&amp;refID=7046149&amp;Result=3","7046149")</f>
        <v>0</v>
      </c>
      <c r="B1629" t="s">
        <v>528</v>
      </c>
      <c r="C1629" t="s">
        <v>4758</v>
      </c>
      <c r="D1629" t="s">
        <v>18041</v>
      </c>
      <c r="E1629" t="s">
        <v>18754</v>
      </c>
      <c r="F1629" t="s">
        <v>31574</v>
      </c>
      <c r="G1629" t="s">
        <v>31581</v>
      </c>
      <c r="H1629" t="s">
        <v>31590</v>
      </c>
      <c r="I1629" t="s">
        <v>14034</v>
      </c>
      <c r="J1629" t="s">
        <v>32012</v>
      </c>
      <c r="K1629" t="s">
        <v>41197</v>
      </c>
      <c r="M1629" t="s">
        <v>42025</v>
      </c>
      <c r="N1629" t="s">
        <v>45095</v>
      </c>
      <c r="O1629" t="s">
        <v>45096</v>
      </c>
      <c r="P1629">
        <v>0</v>
      </c>
      <c r="Q1629">
        <v>0</v>
      </c>
      <c r="R1629" t="s">
        <v>45097</v>
      </c>
      <c r="S1629" t="s">
        <v>45222</v>
      </c>
      <c r="T1629" t="s">
        <v>46913</v>
      </c>
      <c r="U1629" t="s">
        <v>48870</v>
      </c>
      <c r="V1629" t="s">
        <v>59967</v>
      </c>
      <c r="W1629" t="s">
        <v>42025</v>
      </c>
      <c r="X1629" t="s">
        <v>45098</v>
      </c>
    </row>
    <row r="1630" spans="1:24">
      <c r="A1630">
        <f>HYPERLINK("https://www.philgeps.gov.ph/GEPSNONPILOT/Tender/SplashBidNoticeAbstractUI.aspx?menuIndex=3&amp;refID=7046134&amp;Result=3","7046134")</f>
        <v>0</v>
      </c>
      <c r="B1630" t="s">
        <v>667</v>
      </c>
      <c r="C1630" t="s">
        <v>4759</v>
      </c>
      <c r="D1630" t="s">
        <v>18035</v>
      </c>
      <c r="E1630" t="s">
        <v>4759</v>
      </c>
      <c r="F1630" t="s">
        <v>31574</v>
      </c>
      <c r="G1630" t="s">
        <v>31581</v>
      </c>
      <c r="H1630" t="s">
        <v>31590</v>
      </c>
      <c r="I1630" t="s">
        <v>4046</v>
      </c>
      <c r="J1630" t="s">
        <v>32903</v>
      </c>
      <c r="K1630" t="s">
        <v>41184</v>
      </c>
      <c r="M1630" t="s">
        <v>42172</v>
      </c>
      <c r="N1630" t="s">
        <v>45095</v>
      </c>
      <c r="O1630" t="s">
        <v>45096</v>
      </c>
      <c r="P1630">
        <v>0</v>
      </c>
      <c r="Q1630">
        <v>0</v>
      </c>
      <c r="R1630" t="s">
        <v>45097</v>
      </c>
      <c r="S1630" t="s">
        <v>45222</v>
      </c>
      <c r="T1630" t="s">
        <v>47086</v>
      </c>
      <c r="U1630" t="s">
        <v>48871</v>
      </c>
      <c r="W1630" t="s">
        <v>42172</v>
      </c>
      <c r="X1630" t="s">
        <v>45098</v>
      </c>
    </row>
    <row r="1631" spans="1:24">
      <c r="A1631">
        <f>HYPERLINK("https://www.philgeps.gov.ph/GEPSNONPILOT/Tender/SplashBidNoticeAbstractUI.aspx?menuIndex=3&amp;refID=7046146&amp;Result=3","7046146")</f>
        <v>0</v>
      </c>
      <c r="B1631" t="s">
        <v>668</v>
      </c>
      <c r="C1631" t="s">
        <v>4760</v>
      </c>
      <c r="D1631" t="s">
        <v>18086</v>
      </c>
      <c r="E1631" t="s">
        <v>19617</v>
      </c>
      <c r="F1631" t="s">
        <v>31574</v>
      </c>
      <c r="G1631" t="s">
        <v>31582</v>
      </c>
      <c r="H1631" t="s">
        <v>31593</v>
      </c>
      <c r="I1631" t="s">
        <v>31593</v>
      </c>
      <c r="J1631" t="s">
        <v>32026</v>
      </c>
      <c r="K1631" t="s">
        <v>41189</v>
      </c>
      <c r="M1631" t="s">
        <v>42173</v>
      </c>
      <c r="N1631" t="s">
        <v>45095</v>
      </c>
      <c r="O1631" t="s">
        <v>45096</v>
      </c>
      <c r="P1631">
        <v>0</v>
      </c>
      <c r="Q1631">
        <v>0</v>
      </c>
      <c r="R1631" t="s">
        <v>45097</v>
      </c>
      <c r="S1631" t="s">
        <v>45222</v>
      </c>
      <c r="T1631" t="s">
        <v>47024</v>
      </c>
      <c r="U1631" t="s">
        <v>48872</v>
      </c>
      <c r="W1631" t="s">
        <v>42173</v>
      </c>
      <c r="X1631" t="s">
        <v>45098</v>
      </c>
    </row>
    <row r="1632" spans="1:24">
      <c r="A1632">
        <f>HYPERLINK("https://www.philgeps.gov.ph/GEPSNONPILOT/Tender/SplashBidNoticeAbstractUI.aspx?menuIndex=3&amp;refID=7046154&amp;Result=3","7046154")</f>
        <v>0</v>
      </c>
      <c r="B1632" t="s">
        <v>659</v>
      </c>
      <c r="C1632" t="s">
        <v>4761</v>
      </c>
      <c r="D1632" t="s">
        <v>18063</v>
      </c>
      <c r="E1632" t="s">
        <v>19618</v>
      </c>
      <c r="F1632" t="s">
        <v>31574</v>
      </c>
      <c r="G1632" t="s">
        <v>31581</v>
      </c>
      <c r="H1632" t="s">
        <v>31591</v>
      </c>
      <c r="I1632" t="s">
        <v>8822</v>
      </c>
      <c r="J1632" t="s">
        <v>31789</v>
      </c>
      <c r="K1632" t="s">
        <v>41191</v>
      </c>
      <c r="M1632" t="s">
        <v>42163</v>
      </c>
      <c r="N1632" t="s">
        <v>45095</v>
      </c>
      <c r="O1632" t="s">
        <v>45096</v>
      </c>
      <c r="P1632">
        <v>0</v>
      </c>
      <c r="Q1632">
        <v>0</v>
      </c>
      <c r="R1632" t="s">
        <v>45097</v>
      </c>
      <c r="S1632" t="s">
        <v>45222</v>
      </c>
      <c r="T1632" t="s">
        <v>47084</v>
      </c>
      <c r="U1632" t="s">
        <v>48873</v>
      </c>
      <c r="W1632" t="s">
        <v>42163</v>
      </c>
      <c r="X1632" t="s">
        <v>45098</v>
      </c>
    </row>
    <row r="1633" spans="1:24">
      <c r="A1633">
        <f>HYPERLINK("https://www.philgeps.gov.ph/GEPSNONPILOT/Tender/SplashBidNoticeAbstractUI.aspx?menuIndex=3&amp;refID=7046152&amp;Result=3","7046152")</f>
        <v>0</v>
      </c>
      <c r="B1633" t="s">
        <v>124</v>
      </c>
      <c r="C1633" t="s">
        <v>4762</v>
      </c>
      <c r="D1633" t="s">
        <v>18065</v>
      </c>
      <c r="E1633" t="s">
        <v>19619</v>
      </c>
      <c r="F1633" t="s">
        <v>31574</v>
      </c>
      <c r="G1633" t="s">
        <v>31582</v>
      </c>
      <c r="H1633" t="s">
        <v>31590</v>
      </c>
      <c r="I1633" t="s">
        <v>31616</v>
      </c>
      <c r="J1633" t="s">
        <v>32904</v>
      </c>
      <c r="K1633" t="s">
        <v>41184</v>
      </c>
      <c r="M1633" t="s">
        <v>42125</v>
      </c>
      <c r="N1633" t="s">
        <v>45095</v>
      </c>
      <c r="O1633" t="s">
        <v>45096</v>
      </c>
      <c r="P1633">
        <v>0</v>
      </c>
      <c r="Q1633">
        <v>0</v>
      </c>
      <c r="R1633" t="s">
        <v>45097</v>
      </c>
      <c r="S1633" t="s">
        <v>45222</v>
      </c>
      <c r="T1633" t="s">
        <v>47003</v>
      </c>
      <c r="U1633" t="s">
        <v>48874</v>
      </c>
      <c r="W1633" t="s">
        <v>42125</v>
      </c>
      <c r="X1633" t="s">
        <v>45098</v>
      </c>
    </row>
    <row r="1634" spans="1:24">
      <c r="A1634">
        <f>HYPERLINK("https://www.philgeps.gov.ph/GEPSNONPILOT/Tender/SplashBidNoticeAbstractUI.aspx?menuIndex=3&amp;refID=7046147&amp;Result=3","7046147")</f>
        <v>0</v>
      </c>
      <c r="B1634" t="s">
        <v>239</v>
      </c>
      <c r="C1634" t="s">
        <v>4763</v>
      </c>
      <c r="D1634" t="s">
        <v>18024</v>
      </c>
      <c r="E1634" t="s">
        <v>19620</v>
      </c>
      <c r="F1634" t="s">
        <v>31574</v>
      </c>
      <c r="G1634" t="s">
        <v>31582</v>
      </c>
      <c r="H1634" t="s">
        <v>31590</v>
      </c>
      <c r="I1634" t="s">
        <v>3539</v>
      </c>
      <c r="J1634" t="s">
        <v>32905</v>
      </c>
      <c r="K1634" t="s">
        <v>41190</v>
      </c>
      <c r="M1634" t="s">
        <v>41725</v>
      </c>
      <c r="N1634" t="s">
        <v>45095</v>
      </c>
      <c r="O1634" t="s">
        <v>45096</v>
      </c>
      <c r="P1634">
        <v>0</v>
      </c>
      <c r="Q1634">
        <v>0</v>
      </c>
      <c r="R1634" t="s">
        <v>45097</v>
      </c>
      <c r="S1634" t="s">
        <v>45222</v>
      </c>
      <c r="T1634" t="s">
        <v>46996</v>
      </c>
      <c r="U1634" t="s">
        <v>48875</v>
      </c>
      <c r="W1634" t="s">
        <v>41725</v>
      </c>
      <c r="X1634" t="s">
        <v>45098</v>
      </c>
    </row>
    <row r="1635" spans="1:24">
      <c r="A1635">
        <f>HYPERLINK("https://www.philgeps.gov.ph/GEPSNONPILOT/Tender/SplashBidNoticeAbstractUI.aspx?menuIndex=3&amp;refID=7046150&amp;Result=3","7046150")</f>
        <v>0</v>
      </c>
      <c r="B1635" t="s">
        <v>638</v>
      </c>
      <c r="C1635" t="s">
        <v>4764</v>
      </c>
      <c r="D1635" t="s">
        <v>18083</v>
      </c>
      <c r="E1635" t="s">
        <v>19621</v>
      </c>
      <c r="F1635" t="s">
        <v>31574</v>
      </c>
      <c r="G1635" t="s">
        <v>31582</v>
      </c>
      <c r="H1635" t="s">
        <v>31591</v>
      </c>
      <c r="I1635" t="s">
        <v>8822</v>
      </c>
      <c r="J1635" t="s">
        <v>32906</v>
      </c>
      <c r="K1635" t="s">
        <v>41258</v>
      </c>
      <c r="M1635" t="s">
        <v>42142</v>
      </c>
      <c r="N1635" t="s">
        <v>45095</v>
      </c>
      <c r="O1635" t="s">
        <v>45096</v>
      </c>
      <c r="P1635">
        <v>0</v>
      </c>
      <c r="Q1635">
        <v>0</v>
      </c>
      <c r="R1635" t="s">
        <v>45097</v>
      </c>
      <c r="S1635" t="s">
        <v>45222</v>
      </c>
      <c r="T1635" t="s">
        <v>47049</v>
      </c>
      <c r="U1635" t="s">
        <v>48876</v>
      </c>
      <c r="W1635" t="s">
        <v>42142</v>
      </c>
      <c r="X1635" t="s">
        <v>45098</v>
      </c>
    </row>
    <row r="1636" spans="1:24">
      <c r="A1636">
        <f>HYPERLINK("https://www.philgeps.gov.ph/GEPSNONPILOT/Tender/SplashBidNoticeAbstractUI.aspx?menuIndex=3&amp;refID=7046145&amp;Result=3","7046145")</f>
        <v>0</v>
      </c>
      <c r="B1636" t="s">
        <v>567</v>
      </c>
      <c r="C1636" t="s">
        <v>4765</v>
      </c>
      <c r="D1636" t="s">
        <v>18023</v>
      </c>
      <c r="E1636" t="s">
        <v>19622</v>
      </c>
      <c r="F1636" t="s">
        <v>31574</v>
      </c>
      <c r="G1636" t="s">
        <v>31582</v>
      </c>
      <c r="H1636" t="s">
        <v>31591</v>
      </c>
      <c r="I1636" t="s">
        <v>8822</v>
      </c>
      <c r="J1636" t="s">
        <v>32019</v>
      </c>
      <c r="K1636" t="s">
        <v>41244</v>
      </c>
      <c r="L1636" t="s">
        <v>567</v>
      </c>
      <c r="M1636" t="s">
        <v>42067</v>
      </c>
      <c r="N1636" t="s">
        <v>45095</v>
      </c>
      <c r="O1636" t="s">
        <v>45096</v>
      </c>
      <c r="P1636">
        <v>0</v>
      </c>
      <c r="Q1636">
        <v>0</v>
      </c>
      <c r="R1636" t="s">
        <v>45097</v>
      </c>
      <c r="S1636" t="s">
        <v>45222</v>
      </c>
      <c r="T1636" t="s">
        <v>46994</v>
      </c>
      <c r="U1636" t="s">
        <v>48877</v>
      </c>
      <c r="W1636" t="s">
        <v>42067</v>
      </c>
      <c r="X1636" t="s">
        <v>45098</v>
      </c>
    </row>
    <row r="1637" spans="1:24">
      <c r="A1637">
        <f>HYPERLINK("https://www.philgeps.gov.ph/GEPSNONPILOT/Tender/SplashBidNoticeAbstractUI.aspx?menuIndex=3&amp;refID=7046155&amp;Result=3","7046155")</f>
        <v>0</v>
      </c>
      <c r="B1637" t="s">
        <v>29</v>
      </c>
      <c r="C1637" t="s">
        <v>4766</v>
      </c>
      <c r="D1637" t="s">
        <v>18026</v>
      </c>
      <c r="E1637" t="s">
        <v>19623</v>
      </c>
      <c r="F1637" t="s">
        <v>31574</v>
      </c>
      <c r="G1637" t="s">
        <v>31581</v>
      </c>
      <c r="H1637" t="s">
        <v>31590</v>
      </c>
      <c r="I1637" t="s">
        <v>4046</v>
      </c>
      <c r="J1637" t="s">
        <v>32907</v>
      </c>
      <c r="K1637" t="s">
        <v>41193</v>
      </c>
      <c r="M1637" t="s">
        <v>41511</v>
      </c>
      <c r="N1637" t="s">
        <v>45095</v>
      </c>
      <c r="O1637" t="s">
        <v>45096</v>
      </c>
      <c r="P1637">
        <v>0</v>
      </c>
      <c r="Q1637">
        <v>0</v>
      </c>
      <c r="R1637" t="s">
        <v>45097</v>
      </c>
      <c r="S1637" t="s">
        <v>45222</v>
      </c>
      <c r="T1637" t="s">
        <v>46918</v>
      </c>
      <c r="U1637" t="s">
        <v>48878</v>
      </c>
      <c r="W1637" t="s">
        <v>41511</v>
      </c>
      <c r="X1637" t="s">
        <v>45098</v>
      </c>
    </row>
    <row r="1638" spans="1:24">
      <c r="A1638">
        <f>HYPERLINK("https://www.philgeps.gov.ph/GEPSNONPILOT/Tender/SplashBidNoticeAbstractUI.aspx?menuIndex=3&amp;refID=7046169&amp;Result=3","7046169")</f>
        <v>0</v>
      </c>
      <c r="B1638" t="s">
        <v>124</v>
      </c>
      <c r="C1638" t="s">
        <v>4767</v>
      </c>
      <c r="D1638" t="s">
        <v>18065</v>
      </c>
      <c r="E1638" t="s">
        <v>19624</v>
      </c>
      <c r="F1638" t="s">
        <v>31574</v>
      </c>
      <c r="G1638" t="s">
        <v>31582</v>
      </c>
      <c r="H1638" t="s">
        <v>31590</v>
      </c>
      <c r="I1638" t="s">
        <v>31629</v>
      </c>
      <c r="J1638" t="s">
        <v>32908</v>
      </c>
      <c r="K1638" t="s">
        <v>41184</v>
      </c>
      <c r="M1638" t="s">
        <v>42125</v>
      </c>
      <c r="N1638" t="s">
        <v>45095</v>
      </c>
      <c r="O1638" t="s">
        <v>45096</v>
      </c>
      <c r="P1638">
        <v>0</v>
      </c>
      <c r="Q1638">
        <v>0</v>
      </c>
      <c r="R1638" t="s">
        <v>45097</v>
      </c>
      <c r="S1638" t="s">
        <v>45222</v>
      </c>
      <c r="T1638" t="s">
        <v>47003</v>
      </c>
      <c r="U1638" t="s">
        <v>48879</v>
      </c>
      <c r="W1638" t="s">
        <v>42125</v>
      </c>
      <c r="X1638" t="s">
        <v>45098</v>
      </c>
    </row>
    <row r="1639" spans="1:24">
      <c r="A1639">
        <f>HYPERLINK("https://www.philgeps.gov.ph/GEPSNONPILOT/Tender/SplashBidNoticeAbstractUI.aspx?menuIndex=3&amp;refID=7046151&amp;Result=3","7046151")</f>
        <v>0</v>
      </c>
      <c r="B1639" t="s">
        <v>650</v>
      </c>
      <c r="C1639" t="s">
        <v>4768</v>
      </c>
      <c r="D1639" t="s">
        <v>18030</v>
      </c>
      <c r="E1639" t="s">
        <v>19625</v>
      </c>
      <c r="F1639" t="s">
        <v>31574</v>
      </c>
      <c r="G1639" t="s">
        <v>31582</v>
      </c>
      <c r="H1639" t="s">
        <v>31591</v>
      </c>
      <c r="I1639" t="s">
        <v>8822</v>
      </c>
      <c r="J1639" t="s">
        <v>32909</v>
      </c>
      <c r="K1639" t="s">
        <v>41259</v>
      </c>
      <c r="M1639" t="s">
        <v>42154</v>
      </c>
      <c r="N1639" t="s">
        <v>45095</v>
      </c>
      <c r="O1639" t="s">
        <v>45096</v>
      </c>
      <c r="P1639">
        <v>0</v>
      </c>
      <c r="Q1639">
        <v>0</v>
      </c>
      <c r="R1639" t="s">
        <v>45097</v>
      </c>
      <c r="S1639" t="s">
        <v>45222</v>
      </c>
      <c r="T1639" t="s">
        <v>46991</v>
      </c>
      <c r="U1639" t="s">
        <v>48827</v>
      </c>
      <c r="W1639" t="s">
        <v>42154</v>
      </c>
      <c r="X1639" t="s">
        <v>45098</v>
      </c>
    </row>
    <row r="1640" spans="1:24">
      <c r="A1640">
        <f>HYPERLINK("https://www.philgeps.gov.ph/GEPSNONPILOT/Tender/SplashBidNoticeAbstractUI.aspx?menuIndex=3&amp;refID=7046141&amp;Result=3","7046141")</f>
        <v>0</v>
      </c>
      <c r="B1640" t="s">
        <v>669</v>
      </c>
      <c r="C1640" t="s">
        <v>4769</v>
      </c>
      <c r="D1640" t="s">
        <v>18050</v>
      </c>
      <c r="E1640" t="s">
        <v>19626</v>
      </c>
      <c r="F1640" t="s">
        <v>31574</v>
      </c>
      <c r="G1640" t="s">
        <v>31582</v>
      </c>
      <c r="H1640" t="s">
        <v>31591</v>
      </c>
      <c r="I1640" t="s">
        <v>8822</v>
      </c>
      <c r="J1640" t="s">
        <v>32739</v>
      </c>
      <c r="K1640" t="s">
        <v>41260</v>
      </c>
      <c r="M1640" t="s">
        <v>42174</v>
      </c>
      <c r="N1640" t="s">
        <v>45095</v>
      </c>
      <c r="O1640" t="s">
        <v>45096</v>
      </c>
      <c r="P1640">
        <v>0</v>
      </c>
      <c r="Q1640">
        <v>0</v>
      </c>
      <c r="R1640" t="s">
        <v>45097</v>
      </c>
      <c r="S1640" t="s">
        <v>45222</v>
      </c>
      <c r="T1640" t="s">
        <v>46915</v>
      </c>
      <c r="U1640" t="s">
        <v>48880</v>
      </c>
      <c r="W1640" t="s">
        <v>42174</v>
      </c>
      <c r="X1640" t="s">
        <v>45098</v>
      </c>
    </row>
    <row r="1641" spans="1:24">
      <c r="A1641">
        <f>HYPERLINK("https://www.philgeps.gov.ph/GEPSNONPILOT/Tender/SplashBidNoticeAbstractUI.aspx?menuIndex=3&amp;refID=7046157&amp;Result=3","7046157")</f>
        <v>0</v>
      </c>
      <c r="B1641" t="s">
        <v>670</v>
      </c>
      <c r="C1641" t="s">
        <v>4770</v>
      </c>
      <c r="D1641" t="s">
        <v>18022</v>
      </c>
      <c r="E1641" t="s">
        <v>19627</v>
      </c>
      <c r="F1641" t="s">
        <v>31574</v>
      </c>
      <c r="G1641" t="s">
        <v>31582</v>
      </c>
      <c r="H1641" t="s">
        <v>31590</v>
      </c>
      <c r="I1641" t="s">
        <v>31622</v>
      </c>
      <c r="J1641" t="s">
        <v>32910</v>
      </c>
      <c r="K1641" t="s">
        <v>41186</v>
      </c>
      <c r="M1641" t="s">
        <v>42175</v>
      </c>
      <c r="N1641" t="s">
        <v>45095</v>
      </c>
      <c r="O1641" t="s">
        <v>45096</v>
      </c>
      <c r="P1641">
        <v>0</v>
      </c>
      <c r="Q1641">
        <v>0</v>
      </c>
      <c r="R1641" t="s">
        <v>45097</v>
      </c>
      <c r="S1641" t="s">
        <v>45222</v>
      </c>
      <c r="T1641" t="s">
        <v>46919</v>
      </c>
      <c r="U1641" t="s">
        <v>48881</v>
      </c>
      <c r="W1641" t="s">
        <v>42175</v>
      </c>
      <c r="X1641" t="s">
        <v>45098</v>
      </c>
    </row>
    <row r="1642" spans="1:24">
      <c r="A1642">
        <f>HYPERLINK("https://www.philgeps.gov.ph/GEPSNONPILOT/Tender/SplashBidNoticeAbstractUI.aspx?menuIndex=3&amp;refID=7046166&amp;Result=3","7046166")</f>
        <v>0</v>
      </c>
      <c r="B1642" t="s">
        <v>553</v>
      </c>
      <c r="C1642" t="s">
        <v>4771</v>
      </c>
      <c r="D1642" t="s">
        <v>18022</v>
      </c>
      <c r="E1642" t="s">
        <v>19628</v>
      </c>
      <c r="F1642" t="s">
        <v>31574</v>
      </c>
      <c r="G1642" t="s">
        <v>31581</v>
      </c>
      <c r="H1642" t="s">
        <v>31590</v>
      </c>
      <c r="I1642" t="s">
        <v>3489</v>
      </c>
      <c r="J1642" t="s">
        <v>31931</v>
      </c>
      <c r="K1642" t="s">
        <v>41186</v>
      </c>
      <c r="M1642" t="s">
        <v>42176</v>
      </c>
      <c r="N1642" t="s">
        <v>45095</v>
      </c>
      <c r="O1642" t="s">
        <v>45096</v>
      </c>
      <c r="P1642">
        <v>0</v>
      </c>
      <c r="Q1642">
        <v>0</v>
      </c>
      <c r="R1642" t="s">
        <v>45097</v>
      </c>
      <c r="S1642" t="s">
        <v>45222</v>
      </c>
      <c r="T1642" t="s">
        <v>46961</v>
      </c>
      <c r="U1642" t="s">
        <v>48882</v>
      </c>
      <c r="V1642" t="s">
        <v>60005</v>
      </c>
      <c r="W1642" t="s">
        <v>42176</v>
      </c>
      <c r="X1642" t="s">
        <v>45098</v>
      </c>
    </row>
    <row r="1643" spans="1:24">
      <c r="A1643">
        <f>HYPERLINK("https://www.philgeps.gov.ph/GEPSNONPILOT/Tender/SplashBidNoticeAbstractUI.aspx?menuIndex=3&amp;refID=7046165&amp;Result=3","7046165")</f>
        <v>0</v>
      </c>
      <c r="B1643" t="s">
        <v>45</v>
      </c>
      <c r="C1643" t="s">
        <v>4772</v>
      </c>
      <c r="D1643" t="s">
        <v>18037</v>
      </c>
      <c r="E1643" t="s">
        <v>19629</v>
      </c>
      <c r="F1643" t="s">
        <v>31574</v>
      </c>
      <c r="G1643" t="s">
        <v>31581</v>
      </c>
      <c r="H1643" t="s">
        <v>31590</v>
      </c>
      <c r="I1643" t="s">
        <v>31595</v>
      </c>
      <c r="J1643" t="s">
        <v>32911</v>
      </c>
      <c r="K1643" t="s">
        <v>41186</v>
      </c>
      <c r="M1643" t="s">
        <v>41528</v>
      </c>
      <c r="N1643" t="s">
        <v>45095</v>
      </c>
      <c r="O1643" t="s">
        <v>45096</v>
      </c>
      <c r="P1643">
        <v>0</v>
      </c>
      <c r="Q1643">
        <v>0</v>
      </c>
      <c r="R1643" t="s">
        <v>45097</v>
      </c>
      <c r="S1643" t="s">
        <v>45222</v>
      </c>
      <c r="T1643" t="s">
        <v>46918</v>
      </c>
      <c r="U1643" t="s">
        <v>48848</v>
      </c>
      <c r="W1643" t="s">
        <v>41528</v>
      </c>
      <c r="X1643" t="s">
        <v>45098</v>
      </c>
    </row>
    <row r="1644" spans="1:24">
      <c r="A1644">
        <f>HYPERLINK("https://www.philgeps.gov.ph/GEPSNONPILOT/Tender/SplashBidNoticeAbstractUI.aspx?menuIndex=3&amp;refID=7046138&amp;Result=3","7046138")</f>
        <v>0</v>
      </c>
      <c r="B1644" t="s">
        <v>656</v>
      </c>
      <c r="C1644" t="s">
        <v>4773</v>
      </c>
      <c r="D1644" t="s">
        <v>18098</v>
      </c>
      <c r="E1644" t="s">
        <v>19630</v>
      </c>
      <c r="F1644" t="s">
        <v>31574</v>
      </c>
      <c r="G1644" t="s">
        <v>31582</v>
      </c>
      <c r="H1644" t="s">
        <v>31592</v>
      </c>
      <c r="I1644" t="s">
        <v>31601</v>
      </c>
      <c r="J1644" t="s">
        <v>32912</v>
      </c>
      <c r="K1644" t="s">
        <v>41186</v>
      </c>
      <c r="M1644" t="s">
        <v>42160</v>
      </c>
      <c r="N1644" t="s">
        <v>45095</v>
      </c>
      <c r="O1644" t="s">
        <v>45096</v>
      </c>
      <c r="P1644">
        <v>0</v>
      </c>
      <c r="Q1644">
        <v>0</v>
      </c>
      <c r="R1644" t="s">
        <v>45097</v>
      </c>
      <c r="S1644" t="s">
        <v>45222</v>
      </c>
      <c r="T1644" t="s">
        <v>46988</v>
      </c>
      <c r="U1644" t="s">
        <v>48883</v>
      </c>
      <c r="W1644" t="s">
        <v>42160</v>
      </c>
      <c r="X1644" t="s">
        <v>45098</v>
      </c>
    </row>
    <row r="1645" spans="1:24">
      <c r="A1645">
        <f>HYPERLINK("https://www.philgeps.gov.ph/GEPSNONPILOT/Tender/SplashBidNoticeAbstractUI.aspx?menuIndex=3&amp;refID=7046164&amp;Result=3","7046164")</f>
        <v>0</v>
      </c>
      <c r="B1645" t="s">
        <v>291</v>
      </c>
      <c r="C1645" t="s">
        <v>4774</v>
      </c>
      <c r="D1645" t="s">
        <v>18091</v>
      </c>
      <c r="E1645" t="s">
        <v>19631</v>
      </c>
      <c r="F1645" t="s">
        <v>31574</v>
      </c>
      <c r="G1645" t="s">
        <v>31581</v>
      </c>
      <c r="H1645" t="s">
        <v>31590</v>
      </c>
      <c r="I1645" t="s">
        <v>31612</v>
      </c>
      <c r="J1645" t="s">
        <v>31780</v>
      </c>
      <c r="K1645" t="s">
        <v>41193</v>
      </c>
      <c r="M1645" t="s">
        <v>41777</v>
      </c>
      <c r="N1645" t="s">
        <v>45095</v>
      </c>
      <c r="O1645" t="s">
        <v>45096</v>
      </c>
      <c r="P1645">
        <v>0</v>
      </c>
      <c r="Q1645">
        <v>0</v>
      </c>
      <c r="R1645" t="s">
        <v>45097</v>
      </c>
      <c r="S1645" t="s">
        <v>45222</v>
      </c>
      <c r="T1645" t="s">
        <v>46926</v>
      </c>
      <c r="U1645" t="s">
        <v>48671</v>
      </c>
      <c r="V1645" t="s">
        <v>59918</v>
      </c>
      <c r="W1645" t="s">
        <v>41777</v>
      </c>
      <c r="X1645" t="s">
        <v>45098</v>
      </c>
    </row>
    <row r="1646" spans="1:24">
      <c r="A1646">
        <f>HYPERLINK("https://www.philgeps.gov.ph/GEPSNONPILOT/Tender/SplashBidNoticeAbstractUI.aspx?menuIndex=3&amp;refID=7046167&amp;Result=3","7046167")</f>
        <v>0</v>
      </c>
      <c r="B1646" t="s">
        <v>671</v>
      </c>
      <c r="C1646" t="s">
        <v>4775</v>
      </c>
      <c r="D1646" t="s">
        <v>18022</v>
      </c>
      <c r="E1646" t="s">
        <v>19632</v>
      </c>
      <c r="F1646" t="s">
        <v>31574</v>
      </c>
      <c r="G1646" t="s">
        <v>31581</v>
      </c>
      <c r="H1646" t="s">
        <v>31592</v>
      </c>
      <c r="I1646" t="s">
        <v>31623</v>
      </c>
      <c r="J1646" t="s">
        <v>32913</v>
      </c>
      <c r="K1646" t="s">
        <v>41192</v>
      </c>
      <c r="M1646" t="s">
        <v>42177</v>
      </c>
      <c r="N1646" t="s">
        <v>45095</v>
      </c>
      <c r="O1646" t="s">
        <v>45096</v>
      </c>
      <c r="P1646">
        <v>0</v>
      </c>
      <c r="Q1646">
        <v>0</v>
      </c>
      <c r="R1646" t="s">
        <v>45097</v>
      </c>
      <c r="S1646" t="s">
        <v>45222</v>
      </c>
      <c r="T1646" t="s">
        <v>47003</v>
      </c>
      <c r="U1646" t="s">
        <v>48884</v>
      </c>
      <c r="W1646" t="s">
        <v>42177</v>
      </c>
      <c r="X1646" t="s">
        <v>45098</v>
      </c>
    </row>
    <row r="1647" spans="1:24">
      <c r="A1647">
        <f>HYPERLINK("https://www.philgeps.gov.ph/GEPSNONPILOT/Tender/SplashBidNoticeAbstractUI.aspx?menuIndex=3&amp;refID=7046140&amp;Result=3","7046140")</f>
        <v>0</v>
      </c>
      <c r="B1647" t="s">
        <v>672</v>
      </c>
      <c r="C1647" t="s">
        <v>4776</v>
      </c>
      <c r="D1647" t="s">
        <v>18093</v>
      </c>
      <c r="E1647" t="s">
        <v>19633</v>
      </c>
      <c r="F1647" t="s">
        <v>31574</v>
      </c>
      <c r="G1647" t="s">
        <v>31583</v>
      </c>
      <c r="H1647" t="s">
        <v>31590</v>
      </c>
      <c r="I1647" t="s">
        <v>31594</v>
      </c>
      <c r="J1647" t="s">
        <v>31782</v>
      </c>
      <c r="K1647" t="s">
        <v>41223</v>
      </c>
      <c r="M1647" t="s">
        <v>42178</v>
      </c>
      <c r="N1647" t="s">
        <v>45095</v>
      </c>
      <c r="O1647" t="s">
        <v>45096</v>
      </c>
      <c r="P1647">
        <v>0</v>
      </c>
      <c r="Q1647">
        <v>0</v>
      </c>
      <c r="R1647" t="s">
        <v>45097</v>
      </c>
      <c r="S1647" t="s">
        <v>45222</v>
      </c>
      <c r="T1647" t="s">
        <v>47050</v>
      </c>
      <c r="U1647" t="s">
        <v>48885</v>
      </c>
      <c r="W1647" t="s">
        <v>61676</v>
      </c>
      <c r="X1647" t="s">
        <v>45098</v>
      </c>
    </row>
    <row r="1648" spans="1:24">
      <c r="A1648">
        <f>HYPERLINK("https://www.philgeps.gov.ph/GEPSNONPILOT/Tender/SplashBidNoticeAbstractUI.aspx?menuIndex=3&amp;refID=7046168&amp;Result=3","7046168")</f>
        <v>0</v>
      </c>
      <c r="B1648" t="s">
        <v>652</v>
      </c>
      <c r="C1648" t="s">
        <v>4777</v>
      </c>
      <c r="D1648" t="s">
        <v>18073</v>
      </c>
      <c r="E1648" t="s">
        <v>19634</v>
      </c>
      <c r="F1648" t="s">
        <v>31574</v>
      </c>
      <c r="G1648" t="s">
        <v>31582</v>
      </c>
      <c r="H1648" t="s">
        <v>31590</v>
      </c>
      <c r="I1648" t="s">
        <v>31648</v>
      </c>
      <c r="J1648" t="s">
        <v>32914</v>
      </c>
      <c r="K1648" t="s">
        <v>41213</v>
      </c>
      <c r="M1648" t="s">
        <v>42156</v>
      </c>
      <c r="N1648" t="s">
        <v>45095</v>
      </c>
      <c r="O1648" t="s">
        <v>45096</v>
      </c>
      <c r="P1648">
        <v>0</v>
      </c>
      <c r="Q1648">
        <v>0</v>
      </c>
      <c r="R1648" t="s">
        <v>45097</v>
      </c>
      <c r="S1648" t="s">
        <v>45222</v>
      </c>
      <c r="T1648" t="s">
        <v>46984</v>
      </c>
      <c r="U1648" t="s">
        <v>48886</v>
      </c>
      <c r="W1648" t="s">
        <v>42156</v>
      </c>
      <c r="X1648" t="s">
        <v>45098</v>
      </c>
    </row>
    <row r="1649" spans="1:24">
      <c r="A1649">
        <f>HYPERLINK("https://www.philgeps.gov.ph/GEPSNONPILOT/Tender/SplashBidNoticeAbstractUI.aspx?menuIndex=3&amp;refID=7046177&amp;Result=3","7046177")</f>
        <v>0</v>
      </c>
      <c r="B1649" t="s">
        <v>336</v>
      </c>
      <c r="C1649" t="s">
        <v>4778</v>
      </c>
      <c r="D1649" t="s">
        <v>18056</v>
      </c>
      <c r="E1649" t="s">
        <v>18146</v>
      </c>
      <c r="F1649" t="s">
        <v>31574</v>
      </c>
      <c r="G1649" t="s">
        <v>31582</v>
      </c>
      <c r="H1649" t="s">
        <v>31590</v>
      </c>
      <c r="I1649" t="s">
        <v>31615</v>
      </c>
      <c r="J1649" t="s">
        <v>32915</v>
      </c>
      <c r="K1649" t="s">
        <v>41189</v>
      </c>
      <c r="M1649" t="s">
        <v>41824</v>
      </c>
      <c r="N1649" t="s">
        <v>45095</v>
      </c>
      <c r="O1649" t="s">
        <v>45096</v>
      </c>
      <c r="P1649">
        <v>0</v>
      </c>
      <c r="Q1649">
        <v>4</v>
      </c>
      <c r="R1649" t="s">
        <v>45097</v>
      </c>
      <c r="S1649" t="s">
        <v>45222</v>
      </c>
      <c r="T1649" t="s">
        <v>46924</v>
      </c>
      <c r="U1649" t="s">
        <v>48887</v>
      </c>
      <c r="W1649" t="s">
        <v>41824</v>
      </c>
      <c r="X1649" t="s">
        <v>45098</v>
      </c>
    </row>
    <row r="1650" spans="1:24">
      <c r="A1650">
        <f>HYPERLINK("https://www.philgeps.gov.ph/GEPSNONPILOT/Tender/SplashBidNoticeAbstractUI.aspx?menuIndex=3&amp;refID=7046174&amp;Result=3","7046174")</f>
        <v>0</v>
      </c>
      <c r="B1650" t="s">
        <v>272</v>
      </c>
      <c r="C1650" t="s">
        <v>4779</v>
      </c>
      <c r="D1650" t="s">
        <v>18052</v>
      </c>
      <c r="E1650" t="s">
        <v>19635</v>
      </c>
      <c r="F1650" t="s">
        <v>31574</v>
      </c>
      <c r="G1650" t="s">
        <v>31581</v>
      </c>
      <c r="H1650" t="s">
        <v>31590</v>
      </c>
      <c r="I1650" t="s">
        <v>3539</v>
      </c>
      <c r="J1650" t="s">
        <v>32375</v>
      </c>
      <c r="K1650" t="s">
        <v>41196</v>
      </c>
      <c r="M1650" t="s">
        <v>41758</v>
      </c>
      <c r="N1650" t="s">
        <v>45095</v>
      </c>
      <c r="O1650" t="s">
        <v>45096</v>
      </c>
      <c r="P1650">
        <v>0</v>
      </c>
      <c r="Q1650">
        <v>0</v>
      </c>
      <c r="R1650" t="s">
        <v>45097</v>
      </c>
      <c r="S1650" t="s">
        <v>45222</v>
      </c>
      <c r="T1650" t="s">
        <v>46918</v>
      </c>
      <c r="U1650" t="s">
        <v>48888</v>
      </c>
      <c r="W1650" t="s">
        <v>41758</v>
      </c>
      <c r="X1650" t="s">
        <v>45098</v>
      </c>
    </row>
    <row r="1651" spans="1:24">
      <c r="A1651">
        <f>HYPERLINK("https://www.philgeps.gov.ph/GEPSNONPILOT/Tender/SplashBidNoticeAbstractUI.aspx?menuIndex=3&amp;refID=7046176&amp;Result=3","7046176")</f>
        <v>0</v>
      </c>
      <c r="B1651" t="s">
        <v>362</v>
      </c>
      <c r="C1651" t="s">
        <v>4780</v>
      </c>
      <c r="D1651" t="s">
        <v>18068</v>
      </c>
      <c r="E1651" t="s">
        <v>19636</v>
      </c>
      <c r="F1651" t="s">
        <v>31574</v>
      </c>
      <c r="G1651" t="s">
        <v>31581</v>
      </c>
      <c r="H1651" t="s">
        <v>31590</v>
      </c>
      <c r="I1651" t="s">
        <v>4046</v>
      </c>
      <c r="J1651" t="s">
        <v>32916</v>
      </c>
      <c r="K1651" t="s">
        <v>41211</v>
      </c>
      <c r="M1651" t="s">
        <v>41852</v>
      </c>
      <c r="N1651" t="s">
        <v>45095</v>
      </c>
      <c r="O1651" t="s">
        <v>45096</v>
      </c>
      <c r="P1651">
        <v>0</v>
      </c>
      <c r="Q1651">
        <v>0</v>
      </c>
      <c r="R1651" t="s">
        <v>45097</v>
      </c>
      <c r="S1651" t="s">
        <v>45222</v>
      </c>
      <c r="T1651" t="s">
        <v>46913</v>
      </c>
      <c r="U1651" t="s">
        <v>48889</v>
      </c>
      <c r="W1651" t="s">
        <v>41852</v>
      </c>
      <c r="X1651" t="s">
        <v>45098</v>
      </c>
    </row>
    <row r="1652" spans="1:24">
      <c r="A1652">
        <f>HYPERLINK("https://www.philgeps.gov.ph/GEPSNONPILOT/Tender/SplashBidNoticeAbstractUI.aspx?menuIndex=3&amp;refID=7046170&amp;Result=3","7046170")</f>
        <v>0</v>
      </c>
      <c r="B1652" t="s">
        <v>667</v>
      </c>
      <c r="C1652" t="s">
        <v>4781</v>
      </c>
      <c r="D1652" t="s">
        <v>18035</v>
      </c>
      <c r="E1652" t="s">
        <v>4781</v>
      </c>
      <c r="F1652" t="s">
        <v>31574</v>
      </c>
      <c r="G1652" t="s">
        <v>31581</v>
      </c>
      <c r="H1652" t="s">
        <v>31590</v>
      </c>
      <c r="I1652" t="s">
        <v>31607</v>
      </c>
      <c r="J1652" t="s">
        <v>32917</v>
      </c>
      <c r="K1652" t="s">
        <v>41184</v>
      </c>
      <c r="M1652" t="s">
        <v>42172</v>
      </c>
      <c r="N1652" t="s">
        <v>45095</v>
      </c>
      <c r="O1652" t="s">
        <v>45096</v>
      </c>
      <c r="P1652">
        <v>0</v>
      </c>
      <c r="Q1652">
        <v>0</v>
      </c>
      <c r="R1652" t="s">
        <v>45097</v>
      </c>
      <c r="S1652" t="s">
        <v>45222</v>
      </c>
      <c r="T1652" t="s">
        <v>47086</v>
      </c>
      <c r="U1652" t="s">
        <v>48890</v>
      </c>
      <c r="W1652" t="s">
        <v>42172</v>
      </c>
      <c r="X1652" t="s">
        <v>45098</v>
      </c>
    </row>
    <row r="1653" spans="1:24">
      <c r="A1653">
        <f>HYPERLINK("https://www.philgeps.gov.ph/GEPSNONPILOT/Tender/SplashBidNoticeAbstractUI.aspx?menuIndex=3&amp;refID=7046173&amp;Result=3","7046173")</f>
        <v>0</v>
      </c>
      <c r="B1653" t="s">
        <v>673</v>
      </c>
      <c r="C1653" t="s">
        <v>4782</v>
      </c>
      <c r="D1653" t="s">
        <v>18076</v>
      </c>
      <c r="E1653" t="s">
        <v>19637</v>
      </c>
      <c r="F1653" t="s">
        <v>31574</v>
      </c>
      <c r="G1653" t="s">
        <v>31583</v>
      </c>
      <c r="H1653" t="s">
        <v>31590</v>
      </c>
      <c r="I1653" t="s">
        <v>14544</v>
      </c>
      <c r="J1653" t="s">
        <v>32918</v>
      </c>
      <c r="K1653" t="s">
        <v>41196</v>
      </c>
      <c r="M1653" t="s">
        <v>42179</v>
      </c>
      <c r="N1653" t="s">
        <v>45095</v>
      </c>
      <c r="O1653" t="s">
        <v>45096</v>
      </c>
      <c r="P1653">
        <v>0</v>
      </c>
      <c r="Q1653">
        <v>0</v>
      </c>
      <c r="R1653" t="s">
        <v>45097</v>
      </c>
      <c r="S1653" t="s">
        <v>45222</v>
      </c>
      <c r="T1653" t="s">
        <v>46973</v>
      </c>
      <c r="U1653" t="s">
        <v>48891</v>
      </c>
      <c r="W1653" t="s">
        <v>42179</v>
      </c>
      <c r="X1653" t="s">
        <v>45098</v>
      </c>
    </row>
    <row r="1654" spans="1:24">
      <c r="A1654">
        <f>HYPERLINK("https://www.philgeps.gov.ph/GEPSNONPILOT/Tender/SplashBidNoticeAbstractUI.aspx?menuIndex=3&amp;refID=7046162&amp;Result=3","7046162")</f>
        <v>0</v>
      </c>
      <c r="B1654" t="s">
        <v>50</v>
      </c>
      <c r="C1654" t="s">
        <v>4783</v>
      </c>
      <c r="D1654" t="s">
        <v>18042</v>
      </c>
      <c r="E1654" t="s">
        <v>19611</v>
      </c>
      <c r="F1654" t="s">
        <v>31574</v>
      </c>
      <c r="G1654" t="s">
        <v>31582</v>
      </c>
      <c r="H1654" t="s">
        <v>31590</v>
      </c>
      <c r="I1654" t="s">
        <v>6800</v>
      </c>
      <c r="J1654" t="s">
        <v>32919</v>
      </c>
      <c r="K1654" t="s">
        <v>41186</v>
      </c>
      <c r="M1654" t="s">
        <v>41533</v>
      </c>
      <c r="N1654" t="s">
        <v>45095</v>
      </c>
      <c r="O1654" t="s">
        <v>45096</v>
      </c>
      <c r="P1654">
        <v>0</v>
      </c>
      <c r="Q1654">
        <v>0</v>
      </c>
      <c r="R1654" t="s">
        <v>45097</v>
      </c>
      <c r="S1654" t="s">
        <v>45222</v>
      </c>
      <c r="T1654" t="s">
        <v>46916</v>
      </c>
      <c r="U1654" t="s">
        <v>48865</v>
      </c>
      <c r="W1654" t="s">
        <v>41533</v>
      </c>
      <c r="X1654" t="s">
        <v>45098</v>
      </c>
    </row>
    <row r="1655" spans="1:24">
      <c r="A1655">
        <f>HYPERLINK("https://www.philgeps.gov.ph/GEPSNONPILOT/Tender/SplashBidNoticeAbstractUI.aspx?menuIndex=3&amp;refID=7046163&amp;Result=3","7046163")</f>
        <v>0</v>
      </c>
      <c r="B1655" t="s">
        <v>570</v>
      </c>
      <c r="C1655" t="s">
        <v>4784</v>
      </c>
      <c r="D1655" t="s">
        <v>18047</v>
      </c>
      <c r="E1655" t="s">
        <v>19638</v>
      </c>
      <c r="F1655" t="s">
        <v>31574</v>
      </c>
      <c r="G1655" t="s">
        <v>31582</v>
      </c>
      <c r="H1655" t="s">
        <v>31590</v>
      </c>
      <c r="I1655" t="s">
        <v>31594</v>
      </c>
      <c r="J1655" t="s">
        <v>32920</v>
      </c>
      <c r="K1655" t="s">
        <v>41189</v>
      </c>
      <c r="M1655" t="s">
        <v>42071</v>
      </c>
      <c r="N1655" t="s">
        <v>45095</v>
      </c>
      <c r="O1655" t="s">
        <v>45096</v>
      </c>
      <c r="P1655">
        <v>0</v>
      </c>
      <c r="Q1655">
        <v>0</v>
      </c>
      <c r="R1655" t="s">
        <v>45097</v>
      </c>
      <c r="S1655" t="s">
        <v>45222</v>
      </c>
      <c r="T1655" t="s">
        <v>47069</v>
      </c>
      <c r="U1655" t="s">
        <v>48892</v>
      </c>
      <c r="V1655" t="s">
        <v>59980</v>
      </c>
      <c r="W1655" t="s">
        <v>42071</v>
      </c>
      <c r="X1655" t="s">
        <v>45098</v>
      </c>
    </row>
    <row r="1656" spans="1:24">
      <c r="A1656">
        <f>HYPERLINK("https://www.philgeps.gov.ph/GEPSNONPILOT/Tender/SplashBidNoticeAbstractUI.aspx?menuIndex=3&amp;refID=7046161&amp;Result=3","7046161")</f>
        <v>0</v>
      </c>
      <c r="B1656" t="s">
        <v>674</v>
      </c>
      <c r="C1656" t="s">
        <v>4785</v>
      </c>
      <c r="D1656" t="s">
        <v>18071</v>
      </c>
      <c r="E1656" t="s">
        <v>19639</v>
      </c>
      <c r="F1656" t="s">
        <v>31574</v>
      </c>
      <c r="G1656" t="s">
        <v>31581</v>
      </c>
      <c r="H1656" t="s">
        <v>31590</v>
      </c>
      <c r="I1656" t="s">
        <v>3487</v>
      </c>
      <c r="J1656" t="s">
        <v>32921</v>
      </c>
      <c r="K1656" t="s">
        <v>41191</v>
      </c>
      <c r="M1656" t="s">
        <v>42180</v>
      </c>
      <c r="N1656" t="s">
        <v>45095</v>
      </c>
      <c r="O1656" t="s">
        <v>45096</v>
      </c>
      <c r="P1656">
        <v>0</v>
      </c>
      <c r="Q1656">
        <v>0</v>
      </c>
      <c r="R1656" t="s">
        <v>45097</v>
      </c>
      <c r="S1656" t="s">
        <v>45222</v>
      </c>
      <c r="T1656" t="s">
        <v>46926</v>
      </c>
      <c r="U1656" t="s">
        <v>48893</v>
      </c>
      <c r="W1656" t="s">
        <v>42180</v>
      </c>
      <c r="X1656" t="s">
        <v>45098</v>
      </c>
    </row>
    <row r="1657" spans="1:24">
      <c r="A1657">
        <f>HYPERLINK("https://www.philgeps.gov.ph/GEPSNONPILOT/Tender/SplashBidNoticeAbstractUI.aspx?menuIndex=3&amp;refID=7046142&amp;Result=3","7046142")</f>
        <v>0</v>
      </c>
      <c r="B1657" t="s">
        <v>675</v>
      </c>
      <c r="C1657" t="s">
        <v>4061</v>
      </c>
      <c r="E1657" t="s">
        <v>19061</v>
      </c>
      <c r="F1657" t="s">
        <v>31574</v>
      </c>
      <c r="G1657" t="s">
        <v>31582</v>
      </c>
      <c r="H1657" t="s">
        <v>31590</v>
      </c>
      <c r="I1657" t="s">
        <v>31625</v>
      </c>
      <c r="J1657" t="s">
        <v>32922</v>
      </c>
      <c r="K1657" t="s">
        <v>41184</v>
      </c>
      <c r="M1657" t="s">
        <v>42181</v>
      </c>
      <c r="N1657" t="s">
        <v>45095</v>
      </c>
      <c r="O1657" t="s">
        <v>45096</v>
      </c>
      <c r="P1657">
        <v>0</v>
      </c>
      <c r="Q1657">
        <v>0</v>
      </c>
      <c r="R1657" t="s">
        <v>45097</v>
      </c>
      <c r="S1657" t="s">
        <v>45222</v>
      </c>
      <c r="T1657" t="s">
        <v>46966</v>
      </c>
      <c r="U1657" t="s">
        <v>48894</v>
      </c>
      <c r="W1657" t="s">
        <v>42181</v>
      </c>
      <c r="X1657" t="s">
        <v>45098</v>
      </c>
    </row>
    <row r="1658" spans="1:24">
      <c r="A1658">
        <f>HYPERLINK("https://www.philgeps.gov.ph/GEPSNONPILOT/Tender/SplashBidNoticeAbstractUI.aspx?menuIndex=3&amp;refID=7046158&amp;Result=3","7046158")</f>
        <v>0</v>
      </c>
      <c r="B1658" t="s">
        <v>363</v>
      </c>
      <c r="C1658" t="s">
        <v>4786</v>
      </c>
      <c r="D1658" t="s">
        <v>18044</v>
      </c>
      <c r="E1658" t="s">
        <v>19640</v>
      </c>
      <c r="F1658" t="s">
        <v>31574</v>
      </c>
      <c r="G1658" t="s">
        <v>31583</v>
      </c>
      <c r="H1658" t="s">
        <v>31590</v>
      </c>
      <c r="I1658" t="s">
        <v>31604</v>
      </c>
      <c r="J1658" t="s">
        <v>31878</v>
      </c>
      <c r="K1658" t="s">
        <v>41184</v>
      </c>
      <c r="M1658" t="s">
        <v>41853</v>
      </c>
      <c r="N1658" t="s">
        <v>45095</v>
      </c>
      <c r="O1658" t="s">
        <v>45096</v>
      </c>
      <c r="P1658">
        <v>0</v>
      </c>
      <c r="Q1658">
        <v>0</v>
      </c>
      <c r="R1658" t="s">
        <v>45097</v>
      </c>
      <c r="S1658" t="s">
        <v>45222</v>
      </c>
      <c r="T1658" t="s">
        <v>47043</v>
      </c>
      <c r="U1658" t="s">
        <v>48895</v>
      </c>
      <c r="W1658" t="s">
        <v>41853</v>
      </c>
      <c r="X1658" t="s">
        <v>45098</v>
      </c>
    </row>
    <row r="1659" spans="1:24">
      <c r="A1659">
        <f>HYPERLINK("https://www.philgeps.gov.ph/GEPSNONPILOT/Tender/SplashBidNoticeAbstractUI.aspx?menuIndex=3&amp;refID=7046178&amp;Result=3","7046178")</f>
        <v>0</v>
      </c>
      <c r="B1659" t="s">
        <v>124</v>
      </c>
      <c r="C1659" t="s">
        <v>4787</v>
      </c>
      <c r="D1659" t="s">
        <v>18065</v>
      </c>
      <c r="E1659" t="s">
        <v>4787</v>
      </c>
      <c r="F1659" t="s">
        <v>31574</v>
      </c>
      <c r="G1659" t="s">
        <v>31582</v>
      </c>
      <c r="H1659" t="s">
        <v>31591</v>
      </c>
      <c r="I1659" t="s">
        <v>31627</v>
      </c>
      <c r="J1659" t="s">
        <v>32923</v>
      </c>
      <c r="K1659" t="s">
        <v>41184</v>
      </c>
      <c r="M1659" t="s">
        <v>42182</v>
      </c>
      <c r="N1659" t="s">
        <v>45095</v>
      </c>
      <c r="O1659" t="s">
        <v>45096</v>
      </c>
      <c r="P1659">
        <v>0</v>
      </c>
      <c r="Q1659">
        <v>0</v>
      </c>
      <c r="R1659" t="s">
        <v>45097</v>
      </c>
      <c r="S1659" t="s">
        <v>45222</v>
      </c>
      <c r="T1659" t="s">
        <v>47062</v>
      </c>
      <c r="U1659" t="s">
        <v>48896</v>
      </c>
      <c r="W1659" t="s">
        <v>42182</v>
      </c>
      <c r="X1659" t="s">
        <v>45098</v>
      </c>
    </row>
    <row r="1660" spans="1:24">
      <c r="A1660">
        <f>HYPERLINK("https://www.philgeps.gov.ph/GEPSNONPILOT/Tender/SplashBidNoticeAbstractUI.aspx?menuIndex=3&amp;refID=7046171&amp;Result=3","7046171")</f>
        <v>0</v>
      </c>
      <c r="B1660" t="s">
        <v>223</v>
      </c>
      <c r="C1660" t="s">
        <v>4788</v>
      </c>
      <c r="D1660" t="s">
        <v>18056</v>
      </c>
      <c r="E1660" t="s">
        <v>19641</v>
      </c>
      <c r="F1660" t="s">
        <v>31574</v>
      </c>
      <c r="G1660" t="s">
        <v>31582</v>
      </c>
      <c r="H1660" t="s">
        <v>31591</v>
      </c>
      <c r="I1660" t="s">
        <v>8822</v>
      </c>
      <c r="J1660" t="s">
        <v>31789</v>
      </c>
      <c r="K1660" t="s">
        <v>41206</v>
      </c>
      <c r="M1660" t="s">
        <v>41708</v>
      </c>
      <c r="N1660" t="s">
        <v>45095</v>
      </c>
      <c r="O1660" t="s">
        <v>45096</v>
      </c>
      <c r="P1660">
        <v>0</v>
      </c>
      <c r="Q1660">
        <v>0</v>
      </c>
      <c r="R1660" t="s">
        <v>45097</v>
      </c>
      <c r="S1660" t="s">
        <v>45222</v>
      </c>
      <c r="T1660" t="s">
        <v>46908</v>
      </c>
      <c r="U1660" t="s">
        <v>48897</v>
      </c>
      <c r="V1660" t="s">
        <v>59904</v>
      </c>
      <c r="W1660" t="s">
        <v>41708</v>
      </c>
      <c r="X1660" t="s">
        <v>45098</v>
      </c>
    </row>
    <row r="1661" spans="1:24">
      <c r="A1661">
        <f>HYPERLINK("https://www.philgeps.gov.ph/GEPSNONPILOT/Tender/SplashBidNoticeAbstractUI.aspx?menuIndex=3&amp;refID=7046160&amp;Result=3","7046160")</f>
        <v>0</v>
      </c>
      <c r="B1661" t="s">
        <v>605</v>
      </c>
      <c r="C1661" t="s">
        <v>4789</v>
      </c>
      <c r="D1661" t="s">
        <v>18033</v>
      </c>
      <c r="E1661" t="s">
        <v>19642</v>
      </c>
      <c r="F1661" t="s">
        <v>31574</v>
      </c>
      <c r="G1661" t="s">
        <v>31581</v>
      </c>
      <c r="H1661" t="s">
        <v>31590</v>
      </c>
      <c r="I1661" t="s">
        <v>31644</v>
      </c>
      <c r="J1661" t="s">
        <v>32066</v>
      </c>
      <c r="K1661" t="s">
        <v>41190</v>
      </c>
      <c r="M1661" t="s">
        <v>42108</v>
      </c>
      <c r="N1661" t="s">
        <v>45095</v>
      </c>
      <c r="O1661" t="s">
        <v>45096</v>
      </c>
      <c r="P1661">
        <v>0</v>
      </c>
      <c r="Q1661">
        <v>0</v>
      </c>
      <c r="R1661" t="s">
        <v>45097</v>
      </c>
      <c r="S1661" t="s">
        <v>45222</v>
      </c>
      <c r="T1661" t="s">
        <v>46918</v>
      </c>
      <c r="U1661" t="s">
        <v>48898</v>
      </c>
      <c r="V1661" t="s">
        <v>60006</v>
      </c>
      <c r="W1661" t="s">
        <v>42108</v>
      </c>
      <c r="X1661" t="s">
        <v>45098</v>
      </c>
    </row>
    <row r="1662" spans="1:24">
      <c r="A1662">
        <f>HYPERLINK("https://www.philgeps.gov.ph/GEPSNONPILOT/Tender/SplashBidNoticeAbstractUI.aspx?menuIndex=3&amp;refID=7046179&amp;Result=3","7046179")</f>
        <v>0</v>
      </c>
      <c r="B1662" t="s">
        <v>567</v>
      </c>
      <c r="C1662" t="s">
        <v>4790</v>
      </c>
      <c r="D1662" t="s">
        <v>18023</v>
      </c>
      <c r="E1662" t="s">
        <v>19643</v>
      </c>
      <c r="F1662" t="s">
        <v>31574</v>
      </c>
      <c r="G1662" t="s">
        <v>31582</v>
      </c>
      <c r="H1662" t="s">
        <v>31591</v>
      </c>
      <c r="I1662" t="s">
        <v>8822</v>
      </c>
      <c r="J1662" t="s">
        <v>31935</v>
      </c>
      <c r="K1662" t="s">
        <v>41240</v>
      </c>
      <c r="L1662" t="s">
        <v>567</v>
      </c>
      <c r="M1662" t="s">
        <v>42067</v>
      </c>
      <c r="N1662" t="s">
        <v>45095</v>
      </c>
      <c r="O1662" t="s">
        <v>45096</v>
      </c>
      <c r="P1662">
        <v>0</v>
      </c>
      <c r="Q1662">
        <v>0</v>
      </c>
      <c r="R1662" t="s">
        <v>45097</v>
      </c>
      <c r="S1662" t="s">
        <v>45222</v>
      </c>
      <c r="T1662" t="s">
        <v>46915</v>
      </c>
      <c r="U1662" t="s">
        <v>48899</v>
      </c>
      <c r="W1662" t="s">
        <v>42067</v>
      </c>
      <c r="X1662" t="s">
        <v>45098</v>
      </c>
    </row>
    <row r="1663" spans="1:24">
      <c r="A1663">
        <f>HYPERLINK("https://www.philgeps.gov.ph/GEPSNONPILOT/Tender/SplashBidNoticeAbstractUI.aspx?menuIndex=3&amp;refID=7046184&amp;Result=3","7046184")</f>
        <v>0</v>
      </c>
      <c r="B1663" t="s">
        <v>676</v>
      </c>
      <c r="C1663" t="s">
        <v>4791</v>
      </c>
      <c r="D1663" t="s">
        <v>18072</v>
      </c>
      <c r="E1663" t="s">
        <v>18448</v>
      </c>
      <c r="F1663" t="s">
        <v>31574</v>
      </c>
      <c r="G1663" t="s">
        <v>31582</v>
      </c>
      <c r="H1663" t="s">
        <v>31590</v>
      </c>
      <c r="I1663" t="s">
        <v>4046</v>
      </c>
      <c r="J1663" t="s">
        <v>32924</v>
      </c>
      <c r="K1663" t="s">
        <v>41193</v>
      </c>
      <c r="L1663" t="s">
        <v>676</v>
      </c>
      <c r="M1663" t="s">
        <v>42183</v>
      </c>
      <c r="N1663" t="s">
        <v>45095</v>
      </c>
      <c r="O1663" t="s">
        <v>45096</v>
      </c>
      <c r="P1663">
        <v>0</v>
      </c>
      <c r="Q1663">
        <v>0</v>
      </c>
      <c r="R1663" t="s">
        <v>45097</v>
      </c>
      <c r="S1663" t="s">
        <v>45222</v>
      </c>
      <c r="T1663" t="s">
        <v>46937</v>
      </c>
      <c r="U1663" t="s">
        <v>48900</v>
      </c>
      <c r="W1663" t="s">
        <v>42183</v>
      </c>
      <c r="X1663" t="s">
        <v>45098</v>
      </c>
    </row>
    <row r="1664" spans="1:24">
      <c r="A1664">
        <f>HYPERLINK("https://www.philgeps.gov.ph/GEPSNONPILOT/Tender/SplashBidNoticeAbstractUI.aspx?menuIndex=3&amp;refID=7046159&amp;Result=3","7046159")</f>
        <v>0</v>
      </c>
      <c r="B1664" t="s">
        <v>677</v>
      </c>
      <c r="C1664" t="s">
        <v>4792</v>
      </c>
      <c r="D1664" t="s">
        <v>18058</v>
      </c>
      <c r="E1664" t="s">
        <v>19644</v>
      </c>
      <c r="F1664" t="s">
        <v>31574</v>
      </c>
      <c r="G1664" t="s">
        <v>31582</v>
      </c>
      <c r="H1664" t="s">
        <v>31590</v>
      </c>
      <c r="I1664" t="s">
        <v>31615</v>
      </c>
      <c r="J1664" t="s">
        <v>32925</v>
      </c>
      <c r="K1664" t="s">
        <v>41192</v>
      </c>
      <c r="M1664" t="s">
        <v>42184</v>
      </c>
      <c r="N1664" t="s">
        <v>45095</v>
      </c>
      <c r="O1664" t="s">
        <v>45096</v>
      </c>
      <c r="P1664">
        <v>0</v>
      </c>
      <c r="Q1664">
        <v>5</v>
      </c>
      <c r="R1664" t="s">
        <v>45097</v>
      </c>
      <c r="S1664" t="s">
        <v>45222</v>
      </c>
      <c r="T1664" t="s">
        <v>46912</v>
      </c>
      <c r="U1664" t="s">
        <v>48901</v>
      </c>
      <c r="V1664" t="s">
        <v>60007</v>
      </c>
      <c r="W1664" t="s">
        <v>42184</v>
      </c>
      <c r="X1664" t="s">
        <v>45098</v>
      </c>
    </row>
    <row r="1665" spans="1:24">
      <c r="A1665">
        <f>HYPERLINK("https://www.philgeps.gov.ph/GEPSNONPILOT/Tender/SplashBidNoticeAbstractUI.aspx?menuIndex=3&amp;refID=7046197&amp;Result=3","7046197")</f>
        <v>0</v>
      </c>
      <c r="B1665" t="s">
        <v>678</v>
      </c>
      <c r="C1665" t="s">
        <v>4793</v>
      </c>
      <c r="D1665" t="s">
        <v>18042</v>
      </c>
      <c r="E1665" t="s">
        <v>19645</v>
      </c>
      <c r="F1665" t="s">
        <v>31574</v>
      </c>
      <c r="G1665" t="s">
        <v>31581</v>
      </c>
      <c r="H1665" t="s">
        <v>31590</v>
      </c>
      <c r="I1665" t="s">
        <v>4046</v>
      </c>
      <c r="J1665" t="s">
        <v>32926</v>
      </c>
      <c r="K1665" t="s">
        <v>41213</v>
      </c>
      <c r="M1665" t="s">
        <v>42185</v>
      </c>
      <c r="N1665" t="s">
        <v>45095</v>
      </c>
      <c r="O1665" t="s">
        <v>45096</v>
      </c>
      <c r="P1665">
        <v>0</v>
      </c>
      <c r="Q1665">
        <v>0</v>
      </c>
      <c r="R1665" t="s">
        <v>45097</v>
      </c>
      <c r="S1665" t="s">
        <v>45222</v>
      </c>
      <c r="T1665" t="s">
        <v>46911</v>
      </c>
      <c r="U1665" t="s">
        <v>48902</v>
      </c>
      <c r="W1665" t="s">
        <v>42185</v>
      </c>
      <c r="X1665" t="s">
        <v>45098</v>
      </c>
    </row>
    <row r="1666" spans="1:24">
      <c r="A1666">
        <f>HYPERLINK("https://www.philgeps.gov.ph/GEPSNONPILOT/Tender/SplashBidNoticeAbstractUI.aspx?menuIndex=3&amp;refID=7046183&amp;Result=3","7046183")</f>
        <v>0</v>
      </c>
      <c r="B1666" t="s">
        <v>670</v>
      </c>
      <c r="C1666" t="s">
        <v>4794</v>
      </c>
      <c r="D1666" t="s">
        <v>18022</v>
      </c>
      <c r="E1666" t="s">
        <v>19646</v>
      </c>
      <c r="F1666" t="s">
        <v>31574</v>
      </c>
      <c r="G1666" t="s">
        <v>31582</v>
      </c>
      <c r="H1666" t="s">
        <v>31590</v>
      </c>
      <c r="I1666" t="s">
        <v>31594</v>
      </c>
      <c r="J1666" t="s">
        <v>32927</v>
      </c>
      <c r="K1666" t="s">
        <v>41200</v>
      </c>
      <c r="M1666" t="s">
        <v>42175</v>
      </c>
      <c r="N1666" t="s">
        <v>45095</v>
      </c>
      <c r="O1666" t="s">
        <v>45096</v>
      </c>
      <c r="P1666">
        <v>0</v>
      </c>
      <c r="Q1666">
        <v>0</v>
      </c>
      <c r="R1666" t="s">
        <v>45097</v>
      </c>
      <c r="S1666" t="s">
        <v>45222</v>
      </c>
      <c r="T1666" t="s">
        <v>46919</v>
      </c>
      <c r="U1666" t="s">
        <v>48903</v>
      </c>
      <c r="W1666" t="s">
        <v>42175</v>
      </c>
      <c r="X1666" t="s">
        <v>45098</v>
      </c>
    </row>
    <row r="1667" spans="1:24">
      <c r="A1667">
        <f>HYPERLINK("https://www.philgeps.gov.ph/GEPSNONPILOT/Tender/SplashBidNoticeAbstractUI.aspx?menuIndex=3&amp;refID=7046182&amp;Result=3","7046182")</f>
        <v>0</v>
      </c>
      <c r="B1667" t="s">
        <v>679</v>
      </c>
      <c r="C1667" t="s">
        <v>4795</v>
      </c>
      <c r="D1667" t="s">
        <v>18050</v>
      </c>
      <c r="E1667" t="s">
        <v>19647</v>
      </c>
      <c r="F1667" t="s">
        <v>31574</v>
      </c>
      <c r="G1667" t="s">
        <v>31581</v>
      </c>
      <c r="H1667" t="s">
        <v>31590</v>
      </c>
      <c r="I1667" t="s">
        <v>31629</v>
      </c>
      <c r="J1667" t="s">
        <v>32928</v>
      </c>
      <c r="K1667" t="s">
        <v>41196</v>
      </c>
      <c r="M1667" t="s">
        <v>42186</v>
      </c>
      <c r="N1667" t="s">
        <v>45095</v>
      </c>
      <c r="O1667" t="s">
        <v>45096</v>
      </c>
      <c r="P1667">
        <v>0</v>
      </c>
      <c r="Q1667">
        <v>0</v>
      </c>
      <c r="R1667" t="s">
        <v>45097</v>
      </c>
      <c r="S1667" t="s">
        <v>45222</v>
      </c>
      <c r="T1667" t="s">
        <v>46913</v>
      </c>
      <c r="U1667" t="s">
        <v>48904</v>
      </c>
      <c r="W1667" t="s">
        <v>42186</v>
      </c>
      <c r="X1667" t="s">
        <v>45098</v>
      </c>
    </row>
    <row r="1668" spans="1:24">
      <c r="A1668">
        <f>HYPERLINK("https://www.philgeps.gov.ph/GEPSNONPILOT/Tender/SplashBidNoticeAbstractUI.aspx?menuIndex=3&amp;refID=7046195&amp;Result=3","7046195")</f>
        <v>0</v>
      </c>
      <c r="B1668" t="s">
        <v>680</v>
      </c>
      <c r="C1668" t="s">
        <v>4796</v>
      </c>
      <c r="D1668" t="s">
        <v>18037</v>
      </c>
      <c r="E1668" t="s">
        <v>19648</v>
      </c>
      <c r="F1668" t="s">
        <v>31574</v>
      </c>
      <c r="G1668" t="s">
        <v>31583</v>
      </c>
      <c r="H1668" t="s">
        <v>31590</v>
      </c>
      <c r="I1668" t="s">
        <v>31607</v>
      </c>
      <c r="J1668" t="s">
        <v>32929</v>
      </c>
      <c r="K1668" t="s">
        <v>41190</v>
      </c>
      <c r="M1668" t="s">
        <v>42187</v>
      </c>
      <c r="N1668" t="s">
        <v>45095</v>
      </c>
      <c r="O1668" t="s">
        <v>45096</v>
      </c>
      <c r="P1668">
        <v>0</v>
      </c>
      <c r="Q1668">
        <v>0</v>
      </c>
      <c r="R1668" t="s">
        <v>45097</v>
      </c>
      <c r="S1668" t="s">
        <v>45222</v>
      </c>
      <c r="T1668" t="s">
        <v>46905</v>
      </c>
      <c r="U1668" t="s">
        <v>48905</v>
      </c>
      <c r="W1668" t="s">
        <v>42187</v>
      </c>
      <c r="X1668" t="s">
        <v>45098</v>
      </c>
    </row>
    <row r="1669" spans="1:24">
      <c r="A1669">
        <f>HYPERLINK("https://www.philgeps.gov.ph/GEPSNONPILOT/Tender/SplashBidNoticeAbstractUI.aspx?menuIndex=3&amp;refID=7046199&amp;Result=3","7046199")</f>
        <v>0</v>
      </c>
      <c r="B1669" t="s">
        <v>681</v>
      </c>
      <c r="C1669" t="s">
        <v>4797</v>
      </c>
      <c r="D1669" t="s">
        <v>18039</v>
      </c>
      <c r="E1669" t="s">
        <v>19649</v>
      </c>
      <c r="F1669" t="s">
        <v>31574</v>
      </c>
      <c r="G1669" t="s">
        <v>31582</v>
      </c>
      <c r="H1669" t="s">
        <v>31590</v>
      </c>
      <c r="I1669" t="s">
        <v>31620</v>
      </c>
      <c r="J1669" t="s">
        <v>32101</v>
      </c>
      <c r="K1669" t="s">
        <v>41184</v>
      </c>
      <c r="M1669" t="s">
        <v>42188</v>
      </c>
      <c r="N1669" t="s">
        <v>45095</v>
      </c>
      <c r="O1669" t="s">
        <v>45096</v>
      </c>
      <c r="P1669">
        <v>0</v>
      </c>
      <c r="Q1669">
        <v>0</v>
      </c>
      <c r="R1669" t="s">
        <v>45097</v>
      </c>
      <c r="S1669" t="s">
        <v>45222</v>
      </c>
      <c r="T1669" t="s">
        <v>46924</v>
      </c>
      <c r="U1669" t="s">
        <v>48906</v>
      </c>
      <c r="W1669" t="s">
        <v>42188</v>
      </c>
      <c r="X1669" t="s">
        <v>45098</v>
      </c>
    </row>
    <row r="1670" spans="1:24">
      <c r="A1670">
        <f>HYPERLINK("https://www.philgeps.gov.ph/GEPSNONPILOT/Tender/SplashBidNoticeAbstractUI.aspx?menuIndex=3&amp;refID=7046196&amp;Result=3","7046196")</f>
        <v>0</v>
      </c>
      <c r="B1670" t="s">
        <v>682</v>
      </c>
      <c r="C1670" t="s">
        <v>4798</v>
      </c>
      <c r="D1670" t="s">
        <v>18079</v>
      </c>
      <c r="E1670" t="s">
        <v>19650</v>
      </c>
      <c r="F1670" t="s">
        <v>31574</v>
      </c>
      <c r="G1670" t="s">
        <v>31582</v>
      </c>
      <c r="H1670" t="s">
        <v>31590</v>
      </c>
      <c r="I1670" t="s">
        <v>31615</v>
      </c>
      <c r="J1670" t="s">
        <v>32101</v>
      </c>
      <c r="K1670" t="s">
        <v>41186</v>
      </c>
      <c r="M1670" t="s">
        <v>42189</v>
      </c>
      <c r="N1670" t="s">
        <v>45095</v>
      </c>
      <c r="O1670" t="s">
        <v>45096</v>
      </c>
      <c r="P1670">
        <v>0</v>
      </c>
      <c r="Q1670">
        <v>3</v>
      </c>
      <c r="R1670" t="s">
        <v>45097</v>
      </c>
      <c r="S1670" t="s">
        <v>45222</v>
      </c>
      <c r="T1670" t="s">
        <v>46909</v>
      </c>
      <c r="U1670" t="s">
        <v>48907</v>
      </c>
      <c r="W1670" t="s">
        <v>42189</v>
      </c>
      <c r="X1670" t="s">
        <v>45098</v>
      </c>
    </row>
    <row r="1671" spans="1:24">
      <c r="A1671">
        <f>HYPERLINK("https://www.philgeps.gov.ph/GEPSNONPILOT/Tender/SplashBidNoticeAbstractUI.aspx?menuIndex=3&amp;refID=7046187&amp;Result=3","7046187")</f>
        <v>0</v>
      </c>
      <c r="B1671" t="s">
        <v>434</v>
      </c>
      <c r="C1671" t="s">
        <v>4799</v>
      </c>
      <c r="D1671" t="s">
        <v>18041</v>
      </c>
      <c r="E1671" t="s">
        <v>19651</v>
      </c>
      <c r="F1671" t="s">
        <v>31574</v>
      </c>
      <c r="G1671" t="s">
        <v>31581</v>
      </c>
      <c r="H1671" t="s">
        <v>31590</v>
      </c>
      <c r="I1671" t="s">
        <v>31600</v>
      </c>
      <c r="J1671" t="s">
        <v>32930</v>
      </c>
      <c r="K1671" t="s">
        <v>41186</v>
      </c>
      <c r="M1671" t="s">
        <v>41927</v>
      </c>
      <c r="N1671" t="s">
        <v>45095</v>
      </c>
      <c r="O1671" t="s">
        <v>45096</v>
      </c>
      <c r="P1671">
        <v>0</v>
      </c>
      <c r="Q1671">
        <v>0</v>
      </c>
      <c r="R1671" t="s">
        <v>45097</v>
      </c>
      <c r="S1671" t="s">
        <v>45222</v>
      </c>
      <c r="T1671" t="s">
        <v>46918</v>
      </c>
      <c r="U1671" t="s">
        <v>48908</v>
      </c>
      <c r="V1671" t="s">
        <v>59939</v>
      </c>
      <c r="W1671" t="s">
        <v>41927</v>
      </c>
      <c r="X1671" t="s">
        <v>45098</v>
      </c>
    </row>
    <row r="1672" spans="1:24">
      <c r="A1672">
        <f>HYPERLINK("https://www.philgeps.gov.ph/GEPSNONPILOT/Tender/SplashBidNoticeAbstractUI.aspx?menuIndex=3&amp;refID=7046193&amp;Result=3","7046193")</f>
        <v>0</v>
      </c>
      <c r="B1672" t="s">
        <v>124</v>
      </c>
      <c r="C1672" t="s">
        <v>4800</v>
      </c>
      <c r="D1672" t="s">
        <v>18065</v>
      </c>
      <c r="E1672" t="s">
        <v>19652</v>
      </c>
      <c r="F1672" t="s">
        <v>31574</v>
      </c>
      <c r="G1672" t="s">
        <v>31582</v>
      </c>
      <c r="H1672" t="s">
        <v>31590</v>
      </c>
      <c r="I1672" t="s">
        <v>3487</v>
      </c>
      <c r="J1672" t="s">
        <v>31741</v>
      </c>
      <c r="K1672" t="s">
        <v>41184</v>
      </c>
      <c r="M1672" t="s">
        <v>42125</v>
      </c>
      <c r="N1672" t="s">
        <v>45095</v>
      </c>
      <c r="O1672" t="s">
        <v>45096</v>
      </c>
      <c r="P1672">
        <v>0</v>
      </c>
      <c r="Q1672">
        <v>0</v>
      </c>
      <c r="R1672" t="s">
        <v>45097</v>
      </c>
      <c r="S1672" t="s">
        <v>45222</v>
      </c>
      <c r="T1672" t="s">
        <v>47003</v>
      </c>
      <c r="U1672" t="s">
        <v>48909</v>
      </c>
      <c r="W1672" t="s">
        <v>42125</v>
      </c>
      <c r="X1672" t="s">
        <v>45098</v>
      </c>
    </row>
    <row r="1673" spans="1:24">
      <c r="A1673">
        <f>HYPERLINK("https://www.philgeps.gov.ph/GEPSNONPILOT/Tender/SplashBidNoticeAbstractUI.aspx?menuIndex=3&amp;refID=7046192&amp;Result=3","7046192")</f>
        <v>0</v>
      </c>
      <c r="B1673" t="s">
        <v>50</v>
      </c>
      <c r="C1673" t="s">
        <v>4801</v>
      </c>
      <c r="D1673" t="s">
        <v>18042</v>
      </c>
      <c r="E1673" t="s">
        <v>19653</v>
      </c>
      <c r="F1673" t="s">
        <v>31574</v>
      </c>
      <c r="G1673" t="s">
        <v>31582</v>
      </c>
      <c r="H1673" t="s">
        <v>31590</v>
      </c>
      <c r="I1673" t="s">
        <v>3539</v>
      </c>
      <c r="J1673" t="s">
        <v>32931</v>
      </c>
      <c r="K1673" t="s">
        <v>41186</v>
      </c>
      <c r="M1673" t="s">
        <v>41533</v>
      </c>
      <c r="N1673" t="s">
        <v>45095</v>
      </c>
      <c r="O1673" t="s">
        <v>45096</v>
      </c>
      <c r="P1673">
        <v>0</v>
      </c>
      <c r="Q1673">
        <v>0</v>
      </c>
      <c r="R1673" t="s">
        <v>45097</v>
      </c>
      <c r="S1673" t="s">
        <v>45222</v>
      </c>
      <c r="T1673" t="s">
        <v>46916</v>
      </c>
      <c r="U1673" t="s">
        <v>48910</v>
      </c>
      <c r="W1673" t="s">
        <v>41533</v>
      </c>
      <c r="X1673" t="s">
        <v>45098</v>
      </c>
    </row>
    <row r="1674" spans="1:24">
      <c r="A1674">
        <f>HYPERLINK("https://www.philgeps.gov.ph/GEPSNONPILOT/Tender/SplashBidNoticeAbstractUI.aspx?menuIndex=3&amp;refID=7046189&amp;Result=3","7046189")</f>
        <v>0</v>
      </c>
      <c r="B1674" t="s">
        <v>291</v>
      </c>
      <c r="C1674" t="s">
        <v>4802</v>
      </c>
      <c r="D1674" t="s">
        <v>18091</v>
      </c>
      <c r="E1674" t="s">
        <v>19654</v>
      </c>
      <c r="F1674" t="s">
        <v>31574</v>
      </c>
      <c r="G1674" t="s">
        <v>31581</v>
      </c>
      <c r="H1674" t="s">
        <v>31590</v>
      </c>
      <c r="I1674" t="s">
        <v>31602</v>
      </c>
      <c r="J1674" t="s">
        <v>32932</v>
      </c>
      <c r="K1674" t="s">
        <v>41189</v>
      </c>
      <c r="M1674" t="s">
        <v>41777</v>
      </c>
      <c r="N1674" t="s">
        <v>45095</v>
      </c>
      <c r="O1674" t="s">
        <v>45096</v>
      </c>
      <c r="P1674">
        <v>0</v>
      </c>
      <c r="Q1674">
        <v>0</v>
      </c>
      <c r="R1674" t="s">
        <v>45097</v>
      </c>
      <c r="S1674" t="s">
        <v>45222</v>
      </c>
      <c r="T1674" t="s">
        <v>46926</v>
      </c>
      <c r="U1674" t="s">
        <v>48671</v>
      </c>
      <c r="V1674" t="s">
        <v>59918</v>
      </c>
      <c r="W1674" t="s">
        <v>41777</v>
      </c>
      <c r="X1674" t="s">
        <v>45098</v>
      </c>
    </row>
    <row r="1675" spans="1:24">
      <c r="A1675">
        <f>HYPERLINK("https://www.philgeps.gov.ph/GEPSNONPILOT/Tender/SplashBidNoticeAbstractUI.aspx?menuIndex=3&amp;refID=7046204&amp;Result=3","7046204")</f>
        <v>0</v>
      </c>
      <c r="B1675" t="s">
        <v>683</v>
      </c>
      <c r="C1675" t="s">
        <v>4803</v>
      </c>
      <c r="D1675" t="s">
        <v>18059</v>
      </c>
      <c r="E1675" t="s">
        <v>19655</v>
      </c>
      <c r="F1675" t="s">
        <v>31574</v>
      </c>
      <c r="G1675" t="s">
        <v>31585</v>
      </c>
      <c r="H1675" t="s">
        <v>31591</v>
      </c>
      <c r="I1675" t="s">
        <v>8822</v>
      </c>
      <c r="J1675" t="s">
        <v>32933</v>
      </c>
      <c r="K1675" t="s">
        <v>41184</v>
      </c>
      <c r="M1675" t="s">
        <v>42190</v>
      </c>
      <c r="N1675" t="s">
        <v>45095</v>
      </c>
      <c r="O1675" t="s">
        <v>45096</v>
      </c>
      <c r="P1675">
        <v>0</v>
      </c>
      <c r="Q1675">
        <v>0</v>
      </c>
      <c r="R1675" t="s">
        <v>45097</v>
      </c>
      <c r="S1675" t="s">
        <v>45222</v>
      </c>
      <c r="T1675" t="s">
        <v>46926</v>
      </c>
      <c r="U1675" t="s">
        <v>48911</v>
      </c>
      <c r="W1675" t="s">
        <v>42190</v>
      </c>
      <c r="X1675" t="s">
        <v>45098</v>
      </c>
    </row>
    <row r="1676" spans="1:24">
      <c r="A1676">
        <f>HYPERLINK("https://www.philgeps.gov.ph/GEPSNONPILOT/Tender/SplashBidNoticeAbstractUI.aspx?menuIndex=3&amp;refID=7046188&amp;Result=3","7046188")</f>
        <v>0</v>
      </c>
      <c r="B1676" t="s">
        <v>667</v>
      </c>
      <c r="C1676" t="s">
        <v>4804</v>
      </c>
      <c r="D1676" t="s">
        <v>18035</v>
      </c>
      <c r="E1676" t="s">
        <v>19656</v>
      </c>
      <c r="F1676" t="s">
        <v>31574</v>
      </c>
      <c r="G1676" t="s">
        <v>31581</v>
      </c>
      <c r="H1676" t="s">
        <v>31590</v>
      </c>
      <c r="I1676" t="s">
        <v>31607</v>
      </c>
      <c r="J1676" t="s">
        <v>32934</v>
      </c>
      <c r="K1676" t="s">
        <v>41184</v>
      </c>
      <c r="M1676" t="s">
        <v>42172</v>
      </c>
      <c r="N1676" t="s">
        <v>45095</v>
      </c>
      <c r="O1676" t="s">
        <v>45096</v>
      </c>
      <c r="P1676">
        <v>0</v>
      </c>
      <c r="Q1676">
        <v>0</v>
      </c>
      <c r="R1676" t="s">
        <v>45097</v>
      </c>
      <c r="S1676" t="s">
        <v>45222</v>
      </c>
      <c r="T1676" t="s">
        <v>47086</v>
      </c>
      <c r="U1676" t="s">
        <v>48912</v>
      </c>
      <c r="W1676" t="s">
        <v>42172</v>
      </c>
      <c r="X1676" t="s">
        <v>45098</v>
      </c>
    </row>
    <row r="1677" spans="1:24">
      <c r="A1677">
        <f>HYPERLINK("https://www.philgeps.gov.ph/GEPSNONPILOT/Tender/SplashBidNoticeAbstractUI.aspx?menuIndex=3&amp;refID=7046185&amp;Result=3","7046185")</f>
        <v>0</v>
      </c>
      <c r="B1677" t="s">
        <v>652</v>
      </c>
      <c r="C1677" t="s">
        <v>4805</v>
      </c>
      <c r="D1677" t="s">
        <v>18073</v>
      </c>
      <c r="E1677" t="s">
        <v>19657</v>
      </c>
      <c r="F1677" t="s">
        <v>31574</v>
      </c>
      <c r="G1677" t="s">
        <v>31582</v>
      </c>
      <c r="H1677" t="s">
        <v>31591</v>
      </c>
      <c r="I1677" t="s">
        <v>31663</v>
      </c>
      <c r="J1677" t="s">
        <v>31789</v>
      </c>
      <c r="K1677" t="s">
        <v>41196</v>
      </c>
      <c r="M1677" t="s">
        <v>42156</v>
      </c>
      <c r="N1677" t="s">
        <v>45095</v>
      </c>
      <c r="O1677" t="s">
        <v>45096</v>
      </c>
      <c r="P1677">
        <v>0</v>
      </c>
      <c r="Q1677">
        <v>0</v>
      </c>
      <c r="R1677" t="s">
        <v>45097</v>
      </c>
      <c r="S1677" t="s">
        <v>45222</v>
      </c>
      <c r="T1677" t="s">
        <v>46984</v>
      </c>
      <c r="U1677" t="s">
        <v>48913</v>
      </c>
      <c r="W1677" t="s">
        <v>42156</v>
      </c>
      <c r="X1677" t="s">
        <v>45098</v>
      </c>
    </row>
    <row r="1678" spans="1:24">
      <c r="A1678">
        <f>HYPERLINK("https://www.philgeps.gov.ph/GEPSNONPILOT/Tender/SplashBidNoticeAbstractUI.aspx?menuIndex=3&amp;refID=7046200&amp;Result=3","7046200")</f>
        <v>0</v>
      </c>
      <c r="B1678" t="s">
        <v>684</v>
      </c>
      <c r="C1678" t="s">
        <v>4806</v>
      </c>
      <c r="E1678" t="s">
        <v>19658</v>
      </c>
      <c r="F1678" t="s">
        <v>31574</v>
      </c>
      <c r="G1678" t="s">
        <v>31581</v>
      </c>
      <c r="H1678" t="s">
        <v>31590</v>
      </c>
      <c r="I1678" t="s">
        <v>4327</v>
      </c>
      <c r="J1678" t="s">
        <v>32935</v>
      </c>
      <c r="K1678" t="s">
        <v>41184</v>
      </c>
      <c r="M1678" t="s">
        <v>42191</v>
      </c>
      <c r="N1678" t="s">
        <v>45095</v>
      </c>
      <c r="O1678" t="s">
        <v>45096</v>
      </c>
      <c r="P1678">
        <v>0</v>
      </c>
      <c r="Q1678">
        <v>0</v>
      </c>
      <c r="R1678" t="s">
        <v>45097</v>
      </c>
      <c r="S1678" t="s">
        <v>45222</v>
      </c>
      <c r="T1678" t="s">
        <v>46979</v>
      </c>
      <c r="U1678" t="s">
        <v>48914</v>
      </c>
      <c r="W1678" t="s">
        <v>42191</v>
      </c>
      <c r="X1678" t="s">
        <v>45098</v>
      </c>
    </row>
    <row r="1679" spans="1:24">
      <c r="A1679">
        <f>HYPERLINK("https://www.philgeps.gov.ph/GEPSNONPILOT/Tender/SplashBidNoticeAbstractUI.aspx?menuIndex=3&amp;refID=7046202&amp;Result=3","7046202")</f>
        <v>0</v>
      </c>
      <c r="B1679" t="s">
        <v>587</v>
      </c>
      <c r="C1679" t="s">
        <v>4703</v>
      </c>
      <c r="D1679" t="s">
        <v>18022</v>
      </c>
      <c r="E1679" t="s">
        <v>19659</v>
      </c>
      <c r="F1679" t="s">
        <v>31574</v>
      </c>
      <c r="G1679" t="s">
        <v>31581</v>
      </c>
      <c r="H1679" t="s">
        <v>31590</v>
      </c>
      <c r="I1679" t="s">
        <v>31615</v>
      </c>
      <c r="J1679" t="s">
        <v>32936</v>
      </c>
      <c r="K1679" t="s">
        <v>41186</v>
      </c>
      <c r="M1679" t="s">
        <v>42089</v>
      </c>
      <c r="N1679" t="s">
        <v>45095</v>
      </c>
      <c r="O1679" t="s">
        <v>45096</v>
      </c>
      <c r="P1679">
        <v>0</v>
      </c>
      <c r="Q1679">
        <v>4</v>
      </c>
      <c r="R1679" t="s">
        <v>45097</v>
      </c>
      <c r="S1679" t="s">
        <v>45222</v>
      </c>
      <c r="T1679" t="s">
        <v>47068</v>
      </c>
      <c r="U1679" t="s">
        <v>48675</v>
      </c>
      <c r="W1679" t="s">
        <v>42089</v>
      </c>
      <c r="X1679" t="s">
        <v>45098</v>
      </c>
    </row>
    <row r="1680" spans="1:24">
      <c r="A1680">
        <f>HYPERLINK("https://www.philgeps.gov.ph/GEPSNONPILOT/Tender/SplashBidNoticeAbstractUI.aspx?menuIndex=3&amp;refID=7046201&amp;Result=3","7046201")</f>
        <v>0</v>
      </c>
      <c r="B1680" t="s">
        <v>685</v>
      </c>
      <c r="C1680" t="s">
        <v>4807</v>
      </c>
      <c r="D1680" t="s">
        <v>18022</v>
      </c>
      <c r="E1680" t="s">
        <v>18259</v>
      </c>
      <c r="F1680" t="s">
        <v>31574</v>
      </c>
      <c r="G1680" t="s">
        <v>31583</v>
      </c>
      <c r="H1680" t="s">
        <v>31590</v>
      </c>
      <c r="I1680" t="s">
        <v>3487</v>
      </c>
      <c r="J1680" t="s">
        <v>32937</v>
      </c>
      <c r="K1680" t="s">
        <v>41184</v>
      </c>
      <c r="M1680" t="s">
        <v>42192</v>
      </c>
      <c r="N1680" t="s">
        <v>45095</v>
      </c>
      <c r="O1680" t="s">
        <v>45096</v>
      </c>
      <c r="P1680">
        <v>0</v>
      </c>
      <c r="Q1680">
        <v>0</v>
      </c>
      <c r="R1680" t="s">
        <v>45097</v>
      </c>
      <c r="S1680" t="s">
        <v>45222</v>
      </c>
      <c r="T1680" t="s">
        <v>46957</v>
      </c>
      <c r="U1680" t="s">
        <v>48915</v>
      </c>
      <c r="W1680" t="s">
        <v>42192</v>
      </c>
      <c r="X1680" t="s">
        <v>45098</v>
      </c>
    </row>
    <row r="1681" spans="1:24">
      <c r="A1681">
        <f>HYPERLINK("https://www.philgeps.gov.ph/GEPSNONPILOT/Tender/SplashBidNoticeAbstractUI.aspx?menuIndex=3&amp;refID=7046203&amp;Result=3","7046203")</f>
        <v>0</v>
      </c>
      <c r="B1681" t="s">
        <v>651</v>
      </c>
      <c r="C1681" t="s">
        <v>4808</v>
      </c>
      <c r="D1681" t="s">
        <v>18023</v>
      </c>
      <c r="E1681" t="s">
        <v>19660</v>
      </c>
      <c r="F1681" t="s">
        <v>31574</v>
      </c>
      <c r="G1681" t="s">
        <v>31581</v>
      </c>
      <c r="H1681" t="s">
        <v>31590</v>
      </c>
      <c r="I1681" t="s">
        <v>3651</v>
      </c>
      <c r="J1681" t="s">
        <v>32583</v>
      </c>
      <c r="K1681" t="s">
        <v>41193</v>
      </c>
      <c r="M1681" t="s">
        <v>42155</v>
      </c>
      <c r="N1681" t="s">
        <v>45095</v>
      </c>
      <c r="O1681" t="s">
        <v>45096</v>
      </c>
      <c r="P1681">
        <v>0</v>
      </c>
      <c r="Q1681">
        <v>0</v>
      </c>
      <c r="R1681" t="s">
        <v>45097</v>
      </c>
      <c r="S1681" t="s">
        <v>45222</v>
      </c>
      <c r="T1681" t="s">
        <v>46918</v>
      </c>
      <c r="U1681" t="s">
        <v>48916</v>
      </c>
      <c r="V1681" t="s">
        <v>60008</v>
      </c>
      <c r="W1681" t="s">
        <v>42155</v>
      </c>
      <c r="X1681" t="s">
        <v>45098</v>
      </c>
    </row>
    <row r="1682" spans="1:24">
      <c r="A1682">
        <f>HYPERLINK("https://www.philgeps.gov.ph/GEPSNONPILOT/Tender/SplashBidNoticeAbstractUI.aspx?menuIndex=3&amp;refID=7046207&amp;Result=3","7046207")</f>
        <v>0</v>
      </c>
      <c r="B1682" t="s">
        <v>686</v>
      </c>
      <c r="C1682" t="s">
        <v>4809</v>
      </c>
      <c r="D1682" t="s">
        <v>18075</v>
      </c>
      <c r="E1682" t="s">
        <v>18367</v>
      </c>
      <c r="F1682" t="s">
        <v>31574</v>
      </c>
      <c r="G1682" t="s">
        <v>31581</v>
      </c>
      <c r="H1682" t="s">
        <v>31590</v>
      </c>
      <c r="I1682" t="s">
        <v>31647</v>
      </c>
      <c r="J1682" t="s">
        <v>32938</v>
      </c>
      <c r="K1682" t="s">
        <v>41213</v>
      </c>
      <c r="M1682" t="s">
        <v>42193</v>
      </c>
      <c r="N1682" t="s">
        <v>45095</v>
      </c>
      <c r="O1682" t="s">
        <v>45096</v>
      </c>
      <c r="P1682">
        <v>0</v>
      </c>
      <c r="Q1682">
        <v>0</v>
      </c>
      <c r="R1682" t="s">
        <v>45097</v>
      </c>
      <c r="S1682" t="s">
        <v>45222</v>
      </c>
      <c r="T1682" t="s">
        <v>46904</v>
      </c>
      <c r="U1682" t="s">
        <v>48917</v>
      </c>
      <c r="W1682" t="s">
        <v>42193</v>
      </c>
      <c r="X1682" t="s">
        <v>45098</v>
      </c>
    </row>
    <row r="1683" spans="1:24">
      <c r="A1683">
        <f>HYPERLINK("https://www.philgeps.gov.ph/GEPSNONPILOT/Tender/SplashBidNoticeAbstractUI.aspx?menuIndex=3&amp;refID=7046219&amp;Result=3","7046219")</f>
        <v>0</v>
      </c>
      <c r="B1683" t="s">
        <v>687</v>
      </c>
      <c r="C1683" t="s">
        <v>4810</v>
      </c>
      <c r="D1683" t="s">
        <v>18070</v>
      </c>
      <c r="E1683" t="s">
        <v>19661</v>
      </c>
      <c r="F1683" t="s">
        <v>31574</v>
      </c>
      <c r="G1683" t="s">
        <v>31581</v>
      </c>
      <c r="H1683" t="s">
        <v>31590</v>
      </c>
      <c r="I1683" t="s">
        <v>6800</v>
      </c>
      <c r="J1683" t="s">
        <v>32939</v>
      </c>
      <c r="K1683" t="s">
        <v>41193</v>
      </c>
      <c r="M1683" t="s">
        <v>42194</v>
      </c>
      <c r="N1683" t="s">
        <v>45095</v>
      </c>
      <c r="O1683" t="s">
        <v>45096</v>
      </c>
      <c r="P1683">
        <v>0</v>
      </c>
      <c r="Q1683">
        <v>0</v>
      </c>
      <c r="R1683" t="s">
        <v>45097</v>
      </c>
      <c r="S1683" t="s">
        <v>45222</v>
      </c>
      <c r="T1683" t="s">
        <v>46946</v>
      </c>
      <c r="U1683" t="s">
        <v>48918</v>
      </c>
      <c r="V1683" t="s">
        <v>60009</v>
      </c>
      <c r="W1683" t="s">
        <v>42194</v>
      </c>
      <c r="X1683" t="s">
        <v>45098</v>
      </c>
    </row>
    <row r="1684" spans="1:24">
      <c r="A1684">
        <f>HYPERLINK("https://www.philgeps.gov.ph/GEPSNONPILOT/Tender/SplashBidNoticeAbstractUI.aspx?menuIndex=3&amp;refID=7046212&amp;Result=3","7046212")</f>
        <v>0</v>
      </c>
      <c r="B1684" t="s">
        <v>567</v>
      </c>
      <c r="C1684" t="s">
        <v>4811</v>
      </c>
      <c r="D1684" t="s">
        <v>18023</v>
      </c>
      <c r="E1684" t="s">
        <v>19662</v>
      </c>
      <c r="F1684" t="s">
        <v>31574</v>
      </c>
      <c r="G1684" t="s">
        <v>31582</v>
      </c>
      <c r="H1684" t="s">
        <v>31591</v>
      </c>
      <c r="I1684" t="s">
        <v>8822</v>
      </c>
      <c r="J1684" t="s">
        <v>32019</v>
      </c>
      <c r="K1684" t="s">
        <v>41244</v>
      </c>
      <c r="L1684" t="s">
        <v>567</v>
      </c>
      <c r="M1684" t="s">
        <v>42067</v>
      </c>
      <c r="N1684" t="s">
        <v>45095</v>
      </c>
      <c r="O1684" t="s">
        <v>45096</v>
      </c>
      <c r="P1684">
        <v>0</v>
      </c>
      <c r="Q1684">
        <v>0</v>
      </c>
      <c r="R1684" t="s">
        <v>45097</v>
      </c>
      <c r="S1684" t="s">
        <v>45222</v>
      </c>
      <c r="T1684" t="s">
        <v>46920</v>
      </c>
      <c r="U1684" t="s">
        <v>48919</v>
      </c>
      <c r="W1684" t="s">
        <v>42067</v>
      </c>
      <c r="X1684" t="s">
        <v>45098</v>
      </c>
    </row>
    <row r="1685" spans="1:24">
      <c r="A1685">
        <f>HYPERLINK("https://www.philgeps.gov.ph/GEPSNONPILOT/Tender/SplashBidNoticeAbstractUI.aspx?menuIndex=3&amp;refID=7046215&amp;Result=3","7046215")</f>
        <v>0</v>
      </c>
      <c r="B1685" t="s">
        <v>660</v>
      </c>
      <c r="C1685" t="s">
        <v>4812</v>
      </c>
      <c r="D1685" t="s">
        <v>18022</v>
      </c>
      <c r="E1685" t="s">
        <v>19663</v>
      </c>
      <c r="F1685" t="s">
        <v>31574</v>
      </c>
      <c r="G1685" t="s">
        <v>31583</v>
      </c>
      <c r="H1685" t="s">
        <v>31590</v>
      </c>
      <c r="I1685" t="s">
        <v>7185</v>
      </c>
      <c r="J1685" t="s">
        <v>32940</v>
      </c>
      <c r="K1685" t="s">
        <v>41184</v>
      </c>
      <c r="M1685" t="s">
        <v>42165</v>
      </c>
      <c r="N1685" t="s">
        <v>45095</v>
      </c>
      <c r="O1685" t="s">
        <v>45096</v>
      </c>
      <c r="P1685">
        <v>0</v>
      </c>
      <c r="Q1685">
        <v>0</v>
      </c>
      <c r="R1685" t="s">
        <v>45097</v>
      </c>
      <c r="S1685" t="s">
        <v>45222</v>
      </c>
      <c r="T1685" t="s">
        <v>46957</v>
      </c>
      <c r="U1685" t="s">
        <v>48920</v>
      </c>
      <c r="W1685" t="s">
        <v>42165</v>
      </c>
      <c r="X1685" t="s">
        <v>45098</v>
      </c>
    </row>
    <row r="1686" spans="1:24">
      <c r="A1686">
        <f>HYPERLINK("https://www.philgeps.gov.ph/GEPSNONPILOT/Tender/SplashBidNoticeAbstractUI.aspx?menuIndex=3&amp;refID=7046209&amp;Result=3","7046209")</f>
        <v>0</v>
      </c>
      <c r="B1686" t="s">
        <v>688</v>
      </c>
      <c r="C1686" t="s">
        <v>4813</v>
      </c>
      <c r="D1686" t="s">
        <v>18103</v>
      </c>
      <c r="E1686" t="s">
        <v>19664</v>
      </c>
      <c r="F1686" t="s">
        <v>31574</v>
      </c>
      <c r="G1686" t="s">
        <v>31581</v>
      </c>
      <c r="H1686" t="s">
        <v>31590</v>
      </c>
      <c r="I1686" t="s">
        <v>31630</v>
      </c>
      <c r="J1686" t="s">
        <v>32746</v>
      </c>
      <c r="K1686" t="s">
        <v>41190</v>
      </c>
      <c r="M1686" t="s">
        <v>42195</v>
      </c>
      <c r="N1686" t="s">
        <v>45095</v>
      </c>
      <c r="O1686" t="s">
        <v>45096</v>
      </c>
      <c r="P1686">
        <v>0</v>
      </c>
      <c r="Q1686">
        <v>0</v>
      </c>
      <c r="R1686" t="s">
        <v>45097</v>
      </c>
      <c r="S1686" t="s">
        <v>45222</v>
      </c>
      <c r="T1686" t="s">
        <v>46918</v>
      </c>
      <c r="U1686" t="s">
        <v>48921</v>
      </c>
      <c r="W1686" t="s">
        <v>42195</v>
      </c>
      <c r="X1686" t="s">
        <v>45098</v>
      </c>
    </row>
    <row r="1687" spans="1:24">
      <c r="A1687">
        <f>HYPERLINK("https://www.philgeps.gov.ph/GEPSNONPILOT/Tender/SplashBidNoticeAbstractUI.aspx?menuIndex=3&amp;refID=7046208&amp;Result=3","7046208")</f>
        <v>0</v>
      </c>
      <c r="B1687" t="s">
        <v>667</v>
      </c>
      <c r="C1687" t="s">
        <v>4814</v>
      </c>
      <c r="D1687" t="s">
        <v>18035</v>
      </c>
      <c r="E1687" t="s">
        <v>4814</v>
      </c>
      <c r="F1687" t="s">
        <v>31574</v>
      </c>
      <c r="G1687" t="s">
        <v>31581</v>
      </c>
      <c r="H1687" t="s">
        <v>31590</v>
      </c>
      <c r="I1687" t="s">
        <v>31607</v>
      </c>
      <c r="J1687" t="s">
        <v>32941</v>
      </c>
      <c r="K1687" t="s">
        <v>41184</v>
      </c>
      <c r="M1687" t="s">
        <v>42172</v>
      </c>
      <c r="N1687" t="s">
        <v>45095</v>
      </c>
      <c r="O1687" t="s">
        <v>45096</v>
      </c>
      <c r="P1687">
        <v>0</v>
      </c>
      <c r="Q1687">
        <v>0</v>
      </c>
      <c r="R1687" t="s">
        <v>45097</v>
      </c>
      <c r="S1687" t="s">
        <v>45222</v>
      </c>
      <c r="T1687" t="s">
        <v>47086</v>
      </c>
      <c r="U1687" t="s">
        <v>48922</v>
      </c>
      <c r="W1687" t="s">
        <v>42172</v>
      </c>
      <c r="X1687" t="s">
        <v>45098</v>
      </c>
    </row>
    <row r="1688" spans="1:24">
      <c r="A1688">
        <f>HYPERLINK("https://www.philgeps.gov.ph/GEPSNONPILOT/Tender/SplashBidNoticeAbstractUI.aspx?menuIndex=3&amp;refID=7046211&amp;Result=3","7046211")</f>
        <v>0</v>
      </c>
      <c r="B1688" t="s">
        <v>570</v>
      </c>
      <c r="C1688" t="s">
        <v>4815</v>
      </c>
      <c r="D1688" t="s">
        <v>18047</v>
      </c>
      <c r="E1688" t="s">
        <v>19665</v>
      </c>
      <c r="F1688" t="s">
        <v>31574</v>
      </c>
      <c r="G1688" t="s">
        <v>31582</v>
      </c>
      <c r="H1688" t="s">
        <v>31590</v>
      </c>
      <c r="I1688" t="s">
        <v>31594</v>
      </c>
      <c r="J1688" t="s">
        <v>32026</v>
      </c>
      <c r="K1688" t="s">
        <v>41192</v>
      </c>
      <c r="M1688" t="s">
        <v>42071</v>
      </c>
      <c r="N1688" t="s">
        <v>45095</v>
      </c>
      <c r="O1688" t="s">
        <v>45096</v>
      </c>
      <c r="P1688">
        <v>0</v>
      </c>
      <c r="Q1688">
        <v>0</v>
      </c>
      <c r="R1688" t="s">
        <v>45097</v>
      </c>
      <c r="S1688" t="s">
        <v>45222</v>
      </c>
      <c r="T1688" t="s">
        <v>47087</v>
      </c>
      <c r="U1688" t="s">
        <v>48923</v>
      </c>
      <c r="V1688" t="s">
        <v>59980</v>
      </c>
      <c r="W1688" t="s">
        <v>42071</v>
      </c>
      <c r="X1688" t="s">
        <v>45098</v>
      </c>
    </row>
    <row r="1689" spans="1:24">
      <c r="A1689">
        <f>HYPERLINK("https://www.philgeps.gov.ph/GEPSNONPILOT/Tender/SplashBidNoticeAbstractUI.aspx?menuIndex=3&amp;refID=7046230&amp;Result=3","7046230")</f>
        <v>0</v>
      </c>
      <c r="B1689" t="s">
        <v>689</v>
      </c>
      <c r="C1689" t="s">
        <v>4816</v>
      </c>
      <c r="D1689" t="s">
        <v>18023</v>
      </c>
      <c r="E1689" t="s">
        <v>19666</v>
      </c>
      <c r="F1689" t="s">
        <v>31574</v>
      </c>
      <c r="G1689" t="s">
        <v>31582</v>
      </c>
      <c r="H1689" t="s">
        <v>31591</v>
      </c>
      <c r="I1689" t="s">
        <v>8822</v>
      </c>
      <c r="J1689" t="s">
        <v>32942</v>
      </c>
      <c r="K1689" t="s">
        <v>41261</v>
      </c>
      <c r="M1689" t="s">
        <v>42196</v>
      </c>
      <c r="N1689" t="s">
        <v>45095</v>
      </c>
      <c r="O1689" t="s">
        <v>45096</v>
      </c>
      <c r="P1689">
        <v>0</v>
      </c>
      <c r="Q1689">
        <v>0</v>
      </c>
      <c r="R1689" t="s">
        <v>45097</v>
      </c>
      <c r="S1689" t="s">
        <v>45222</v>
      </c>
      <c r="T1689" t="s">
        <v>47088</v>
      </c>
      <c r="U1689" t="s">
        <v>48924</v>
      </c>
      <c r="W1689" t="s">
        <v>61677</v>
      </c>
      <c r="X1689" t="s">
        <v>45098</v>
      </c>
    </row>
    <row r="1690" spans="1:24">
      <c r="A1690">
        <f>HYPERLINK("https://www.philgeps.gov.ph/GEPSNONPILOT/Tender/SplashBidNoticeAbstractUI.aspx?menuIndex=3&amp;refID=7046229&amp;Result=3","7046229")</f>
        <v>0</v>
      </c>
      <c r="B1690" t="s">
        <v>690</v>
      </c>
      <c r="C1690" t="s">
        <v>4817</v>
      </c>
      <c r="D1690" t="s">
        <v>18079</v>
      </c>
      <c r="E1690" t="s">
        <v>19667</v>
      </c>
      <c r="F1690" t="s">
        <v>31574</v>
      </c>
      <c r="G1690" t="s">
        <v>31581</v>
      </c>
      <c r="H1690" t="s">
        <v>31590</v>
      </c>
      <c r="I1690" t="s">
        <v>31602</v>
      </c>
      <c r="J1690" t="s">
        <v>32943</v>
      </c>
      <c r="K1690" t="s">
        <v>41190</v>
      </c>
      <c r="M1690" t="s">
        <v>42197</v>
      </c>
      <c r="N1690" t="s">
        <v>45095</v>
      </c>
      <c r="O1690" t="s">
        <v>45096</v>
      </c>
      <c r="P1690">
        <v>0</v>
      </c>
      <c r="Q1690">
        <v>0</v>
      </c>
      <c r="R1690" t="s">
        <v>45097</v>
      </c>
      <c r="S1690" t="s">
        <v>45222</v>
      </c>
      <c r="T1690" t="s">
        <v>46918</v>
      </c>
      <c r="U1690" t="s">
        <v>48925</v>
      </c>
      <c r="V1690" t="s">
        <v>60010</v>
      </c>
      <c r="W1690" t="s">
        <v>42197</v>
      </c>
      <c r="X1690" t="s">
        <v>45098</v>
      </c>
    </row>
    <row r="1691" spans="1:24">
      <c r="A1691">
        <f>HYPERLINK("https://www.philgeps.gov.ph/GEPSNONPILOT/Tender/SplashBidNoticeAbstractUI.aspx?menuIndex=3&amp;refID=7046228&amp;Result=3","7046228")</f>
        <v>0</v>
      </c>
      <c r="B1691" t="s">
        <v>401</v>
      </c>
      <c r="C1691" t="s">
        <v>4818</v>
      </c>
      <c r="D1691" t="s">
        <v>18052</v>
      </c>
      <c r="E1691" t="s">
        <v>19668</v>
      </c>
      <c r="F1691" t="s">
        <v>31574</v>
      </c>
      <c r="G1691" t="s">
        <v>31581</v>
      </c>
      <c r="H1691" t="s">
        <v>31590</v>
      </c>
      <c r="I1691" t="s">
        <v>31608</v>
      </c>
      <c r="J1691" t="s">
        <v>32944</v>
      </c>
      <c r="K1691" t="s">
        <v>41196</v>
      </c>
      <c r="M1691" t="s">
        <v>41892</v>
      </c>
      <c r="N1691" t="s">
        <v>45095</v>
      </c>
      <c r="O1691" t="s">
        <v>45096</v>
      </c>
      <c r="P1691">
        <v>0</v>
      </c>
      <c r="Q1691">
        <v>0</v>
      </c>
      <c r="R1691" t="s">
        <v>45097</v>
      </c>
      <c r="S1691" t="s">
        <v>45222</v>
      </c>
      <c r="T1691" t="s">
        <v>46926</v>
      </c>
      <c r="U1691" t="s">
        <v>48486</v>
      </c>
      <c r="W1691" t="s">
        <v>41892</v>
      </c>
      <c r="X1691" t="s">
        <v>45098</v>
      </c>
    </row>
    <row r="1692" spans="1:24">
      <c r="A1692">
        <f>HYPERLINK("https://www.philgeps.gov.ph/GEPSNONPILOT/Tender/SplashBidNoticeAbstractUI.aspx?menuIndex=3&amp;refID=7046213&amp;Result=3","7046213")</f>
        <v>0</v>
      </c>
      <c r="B1692" t="s">
        <v>683</v>
      </c>
      <c r="C1692" t="s">
        <v>4819</v>
      </c>
      <c r="D1692" t="s">
        <v>18059</v>
      </c>
      <c r="E1692" t="s">
        <v>19669</v>
      </c>
      <c r="F1692" t="s">
        <v>31574</v>
      </c>
      <c r="G1692" t="s">
        <v>31585</v>
      </c>
      <c r="H1692" t="s">
        <v>31591</v>
      </c>
      <c r="I1692" t="s">
        <v>8822</v>
      </c>
      <c r="J1692" t="s">
        <v>32945</v>
      </c>
      <c r="K1692" t="s">
        <v>41184</v>
      </c>
      <c r="M1692" t="s">
        <v>42190</v>
      </c>
      <c r="N1692" t="s">
        <v>45095</v>
      </c>
      <c r="O1692" t="s">
        <v>45096</v>
      </c>
      <c r="P1692">
        <v>0</v>
      </c>
      <c r="Q1692">
        <v>0</v>
      </c>
      <c r="R1692" t="s">
        <v>45097</v>
      </c>
      <c r="S1692" t="s">
        <v>45222</v>
      </c>
      <c r="T1692" t="s">
        <v>46926</v>
      </c>
      <c r="U1692" t="s">
        <v>48926</v>
      </c>
      <c r="W1692" t="s">
        <v>42190</v>
      </c>
      <c r="X1692" t="s">
        <v>45098</v>
      </c>
    </row>
    <row r="1693" spans="1:24">
      <c r="A1693">
        <f>HYPERLINK("https://www.philgeps.gov.ph/GEPSNONPILOT/Tender/SplashBidNoticeAbstractUI.aspx?menuIndex=3&amp;refID=7046225&amp;Result=3","7046225")</f>
        <v>0</v>
      </c>
      <c r="B1693" t="s">
        <v>291</v>
      </c>
      <c r="C1693" t="s">
        <v>4820</v>
      </c>
      <c r="D1693" t="s">
        <v>18091</v>
      </c>
      <c r="E1693" t="s">
        <v>19670</v>
      </c>
      <c r="F1693" t="s">
        <v>31574</v>
      </c>
      <c r="G1693" t="s">
        <v>31581</v>
      </c>
      <c r="H1693" t="s">
        <v>31590</v>
      </c>
      <c r="I1693" t="s">
        <v>7162</v>
      </c>
      <c r="J1693" t="s">
        <v>31741</v>
      </c>
      <c r="K1693" t="s">
        <v>41193</v>
      </c>
      <c r="M1693" t="s">
        <v>41777</v>
      </c>
      <c r="N1693" t="s">
        <v>45095</v>
      </c>
      <c r="O1693" t="s">
        <v>45096</v>
      </c>
      <c r="P1693">
        <v>0</v>
      </c>
      <c r="Q1693">
        <v>0</v>
      </c>
      <c r="R1693" t="s">
        <v>45097</v>
      </c>
      <c r="S1693" t="s">
        <v>45222</v>
      </c>
      <c r="T1693" t="s">
        <v>46926</v>
      </c>
      <c r="U1693" t="s">
        <v>48671</v>
      </c>
      <c r="V1693" t="s">
        <v>59918</v>
      </c>
      <c r="W1693" t="s">
        <v>41777</v>
      </c>
      <c r="X1693" t="s">
        <v>45098</v>
      </c>
    </row>
    <row r="1694" spans="1:24">
      <c r="A1694">
        <f>HYPERLINK("https://www.philgeps.gov.ph/GEPSNONPILOT/Tender/SplashBidNoticeAbstractUI.aspx?menuIndex=3&amp;refID=7046226&amp;Result=3","7046226")</f>
        <v>0</v>
      </c>
      <c r="B1694" t="s">
        <v>656</v>
      </c>
      <c r="C1694" t="s">
        <v>4821</v>
      </c>
      <c r="D1694" t="s">
        <v>18098</v>
      </c>
      <c r="E1694" t="s">
        <v>19671</v>
      </c>
      <c r="F1694" t="s">
        <v>31574</v>
      </c>
      <c r="G1694" t="s">
        <v>31582</v>
      </c>
      <c r="H1694" t="s">
        <v>31590</v>
      </c>
      <c r="I1694" t="s">
        <v>31605</v>
      </c>
      <c r="J1694" t="s">
        <v>32946</v>
      </c>
      <c r="K1694" t="s">
        <v>41186</v>
      </c>
      <c r="M1694" t="s">
        <v>42160</v>
      </c>
      <c r="N1694" t="s">
        <v>45095</v>
      </c>
      <c r="O1694" t="s">
        <v>45096</v>
      </c>
      <c r="P1694">
        <v>0</v>
      </c>
      <c r="Q1694">
        <v>0</v>
      </c>
      <c r="R1694" t="s">
        <v>45097</v>
      </c>
      <c r="S1694" t="s">
        <v>45222</v>
      </c>
      <c r="T1694" t="s">
        <v>46926</v>
      </c>
      <c r="U1694" t="s">
        <v>48927</v>
      </c>
      <c r="W1694" t="s">
        <v>42160</v>
      </c>
      <c r="X1694" t="s">
        <v>45098</v>
      </c>
    </row>
    <row r="1695" spans="1:24">
      <c r="A1695">
        <f>HYPERLINK("https://www.philgeps.gov.ph/GEPSNONPILOT/Tender/SplashBidNoticeAbstractUI.aspx?menuIndex=3&amp;refID=7046234&amp;Result=3","7046234")</f>
        <v>0</v>
      </c>
      <c r="B1695" t="s">
        <v>588</v>
      </c>
      <c r="C1695" t="s">
        <v>4822</v>
      </c>
      <c r="D1695" t="s">
        <v>18064</v>
      </c>
      <c r="E1695" t="s">
        <v>19672</v>
      </c>
      <c r="F1695" t="s">
        <v>31574</v>
      </c>
      <c r="G1695" t="s">
        <v>31581</v>
      </c>
      <c r="H1695" t="s">
        <v>31590</v>
      </c>
      <c r="I1695" t="s">
        <v>8258</v>
      </c>
      <c r="J1695" t="s">
        <v>32780</v>
      </c>
      <c r="K1695" t="s">
        <v>41190</v>
      </c>
      <c r="M1695" t="s">
        <v>42090</v>
      </c>
      <c r="N1695" t="s">
        <v>45095</v>
      </c>
      <c r="O1695" t="s">
        <v>45096</v>
      </c>
      <c r="P1695">
        <v>0</v>
      </c>
      <c r="Q1695">
        <v>0</v>
      </c>
      <c r="R1695" t="s">
        <v>45097</v>
      </c>
      <c r="S1695" t="s">
        <v>45222</v>
      </c>
      <c r="T1695" t="s">
        <v>46913</v>
      </c>
      <c r="U1695" t="s">
        <v>48928</v>
      </c>
      <c r="W1695" t="s">
        <v>42090</v>
      </c>
      <c r="X1695" t="s">
        <v>45098</v>
      </c>
    </row>
    <row r="1696" spans="1:24">
      <c r="A1696">
        <f>HYPERLINK("https://www.philgeps.gov.ph/GEPSNONPILOT/Tender/SplashBidNoticeAbstractUI.aspx?menuIndex=3&amp;refID=7046220&amp;Result=3","7046220")</f>
        <v>0</v>
      </c>
      <c r="B1696" t="s">
        <v>506</v>
      </c>
      <c r="C1696" t="s">
        <v>4823</v>
      </c>
      <c r="E1696" t="s">
        <v>19673</v>
      </c>
      <c r="F1696" t="s">
        <v>31574</v>
      </c>
      <c r="G1696" t="s">
        <v>31582</v>
      </c>
      <c r="H1696" t="s">
        <v>31593</v>
      </c>
      <c r="I1696" t="s">
        <v>31593</v>
      </c>
      <c r="J1696" t="s">
        <v>32947</v>
      </c>
      <c r="K1696" t="s">
        <v>41184</v>
      </c>
      <c r="M1696" t="s">
        <v>42002</v>
      </c>
      <c r="N1696" t="s">
        <v>45095</v>
      </c>
      <c r="O1696" t="s">
        <v>45096</v>
      </c>
      <c r="P1696">
        <v>0</v>
      </c>
      <c r="Q1696">
        <v>0</v>
      </c>
      <c r="R1696" t="s">
        <v>45097</v>
      </c>
      <c r="S1696" t="s">
        <v>45222</v>
      </c>
      <c r="T1696" t="s">
        <v>46926</v>
      </c>
      <c r="U1696" t="s">
        <v>48929</v>
      </c>
      <c r="V1696" t="s">
        <v>60011</v>
      </c>
      <c r="W1696" t="s">
        <v>42002</v>
      </c>
      <c r="X1696" t="s">
        <v>45098</v>
      </c>
    </row>
    <row r="1697" spans="1:24">
      <c r="A1697">
        <f>HYPERLINK("https://www.philgeps.gov.ph/GEPSNONPILOT/Tender/SplashBidNoticeAbstractUI.aspx?menuIndex=3&amp;refID=7046233&amp;Result=3","7046233")</f>
        <v>0</v>
      </c>
      <c r="B1697" t="s">
        <v>691</v>
      </c>
      <c r="C1697" t="s">
        <v>4824</v>
      </c>
      <c r="D1697" t="s">
        <v>18043</v>
      </c>
      <c r="E1697" t="s">
        <v>18825</v>
      </c>
      <c r="F1697" t="s">
        <v>31574</v>
      </c>
      <c r="G1697" t="s">
        <v>31581</v>
      </c>
      <c r="H1697" t="s">
        <v>31590</v>
      </c>
      <c r="I1697" t="s">
        <v>7162</v>
      </c>
      <c r="J1697" t="s">
        <v>32013</v>
      </c>
      <c r="K1697" t="s">
        <v>41186</v>
      </c>
      <c r="M1697" t="s">
        <v>42198</v>
      </c>
      <c r="N1697" t="s">
        <v>45095</v>
      </c>
      <c r="O1697" t="s">
        <v>45096</v>
      </c>
      <c r="P1697">
        <v>0</v>
      </c>
      <c r="Q1697">
        <v>0</v>
      </c>
      <c r="R1697" t="s">
        <v>45097</v>
      </c>
      <c r="S1697" t="s">
        <v>45222</v>
      </c>
      <c r="T1697" t="s">
        <v>46979</v>
      </c>
      <c r="U1697" t="s">
        <v>48930</v>
      </c>
      <c r="W1697" t="s">
        <v>42198</v>
      </c>
      <c r="X1697" t="s">
        <v>45098</v>
      </c>
    </row>
    <row r="1698" spans="1:24">
      <c r="A1698">
        <f>HYPERLINK("https://www.philgeps.gov.ph/GEPSNONPILOT/Tender/SplashBidNoticeAbstractUI.aspx?menuIndex=3&amp;refID=7046224&amp;Result=3","7046224")</f>
        <v>0</v>
      </c>
      <c r="B1698" t="s">
        <v>692</v>
      </c>
      <c r="C1698" t="s">
        <v>4825</v>
      </c>
      <c r="E1698" t="s">
        <v>19674</v>
      </c>
      <c r="F1698" t="s">
        <v>31574</v>
      </c>
      <c r="G1698" t="s">
        <v>31582</v>
      </c>
      <c r="H1698" t="s">
        <v>31591</v>
      </c>
      <c r="I1698" t="s">
        <v>8822</v>
      </c>
      <c r="J1698" t="s">
        <v>32948</v>
      </c>
      <c r="K1698" t="s">
        <v>41184</v>
      </c>
      <c r="M1698" t="s">
        <v>42199</v>
      </c>
      <c r="N1698" t="s">
        <v>45095</v>
      </c>
      <c r="O1698" t="s">
        <v>45096</v>
      </c>
      <c r="P1698">
        <v>0</v>
      </c>
      <c r="Q1698">
        <v>0</v>
      </c>
      <c r="R1698" t="s">
        <v>45097</v>
      </c>
      <c r="S1698" t="s">
        <v>45222</v>
      </c>
      <c r="T1698" t="s">
        <v>46915</v>
      </c>
      <c r="U1698" t="s">
        <v>48931</v>
      </c>
      <c r="W1698" t="s">
        <v>42199</v>
      </c>
      <c r="X1698" t="s">
        <v>45098</v>
      </c>
    </row>
    <row r="1699" spans="1:24">
      <c r="A1699">
        <f>HYPERLINK("https://www.philgeps.gov.ph/GEPSNONPILOT/Tender/SplashBidNoticeAbstractUI.aspx?menuIndex=3&amp;refID=7046255&amp;Result=3","7046255")</f>
        <v>0</v>
      </c>
      <c r="B1699" t="s">
        <v>326</v>
      </c>
      <c r="C1699" t="s">
        <v>4826</v>
      </c>
      <c r="D1699" t="s">
        <v>18050</v>
      </c>
      <c r="E1699" t="s">
        <v>19675</v>
      </c>
      <c r="F1699" t="s">
        <v>31574</v>
      </c>
      <c r="G1699" t="s">
        <v>31582</v>
      </c>
      <c r="H1699" t="s">
        <v>31590</v>
      </c>
      <c r="I1699" t="s">
        <v>31595</v>
      </c>
      <c r="J1699" t="s">
        <v>32949</v>
      </c>
      <c r="K1699" t="s">
        <v>41196</v>
      </c>
      <c r="M1699" t="s">
        <v>41814</v>
      </c>
      <c r="N1699" t="s">
        <v>45095</v>
      </c>
      <c r="O1699" t="s">
        <v>45096</v>
      </c>
      <c r="P1699">
        <v>0</v>
      </c>
      <c r="Q1699">
        <v>0</v>
      </c>
      <c r="R1699" t="s">
        <v>45097</v>
      </c>
      <c r="S1699" t="s">
        <v>45222</v>
      </c>
      <c r="T1699" t="s">
        <v>47030</v>
      </c>
      <c r="U1699" t="s">
        <v>48932</v>
      </c>
      <c r="W1699" t="s">
        <v>41814</v>
      </c>
      <c r="X1699" t="s">
        <v>45098</v>
      </c>
    </row>
    <row r="1700" spans="1:24">
      <c r="A1700">
        <f>HYPERLINK("https://www.philgeps.gov.ph/GEPSNONPILOT/Tender/SplashBidNoticeAbstractUI.aspx?menuIndex=3&amp;refID=7046216&amp;Result=3","7046216")</f>
        <v>0</v>
      </c>
      <c r="B1700" t="s">
        <v>528</v>
      </c>
      <c r="C1700" t="s">
        <v>4827</v>
      </c>
      <c r="D1700" t="s">
        <v>18041</v>
      </c>
      <c r="E1700" t="s">
        <v>19676</v>
      </c>
      <c r="F1700" t="s">
        <v>31574</v>
      </c>
      <c r="G1700" t="s">
        <v>31581</v>
      </c>
      <c r="H1700" t="s">
        <v>31590</v>
      </c>
      <c r="I1700" t="s">
        <v>7185</v>
      </c>
      <c r="J1700" t="s">
        <v>31871</v>
      </c>
      <c r="K1700" t="s">
        <v>41197</v>
      </c>
      <c r="M1700" t="s">
        <v>42025</v>
      </c>
      <c r="N1700" t="s">
        <v>45095</v>
      </c>
      <c r="O1700" t="s">
        <v>45096</v>
      </c>
      <c r="P1700">
        <v>0</v>
      </c>
      <c r="Q1700">
        <v>0</v>
      </c>
      <c r="R1700" t="s">
        <v>45097</v>
      </c>
      <c r="S1700" t="s">
        <v>45222</v>
      </c>
      <c r="T1700" t="s">
        <v>46913</v>
      </c>
      <c r="U1700" t="s">
        <v>48933</v>
      </c>
      <c r="V1700" t="s">
        <v>59967</v>
      </c>
      <c r="W1700" t="s">
        <v>42025</v>
      </c>
      <c r="X1700" t="s">
        <v>45098</v>
      </c>
    </row>
    <row r="1701" spans="1:24">
      <c r="A1701">
        <f>HYPERLINK("https://www.philgeps.gov.ph/GEPSNONPILOT/Tender/SplashBidNoticeAbstractUI.aspx?menuIndex=3&amp;refID=7046251&amp;Result=3","7046251")</f>
        <v>0</v>
      </c>
      <c r="B1701" t="s">
        <v>693</v>
      </c>
      <c r="C1701" t="s">
        <v>4828</v>
      </c>
      <c r="D1701" t="s">
        <v>18022</v>
      </c>
      <c r="E1701" t="s">
        <v>19677</v>
      </c>
      <c r="F1701" t="s">
        <v>31574</v>
      </c>
      <c r="G1701" t="s">
        <v>31581</v>
      </c>
      <c r="H1701" t="s">
        <v>31590</v>
      </c>
      <c r="I1701" t="s">
        <v>4046</v>
      </c>
      <c r="J1701" t="s">
        <v>32950</v>
      </c>
      <c r="K1701" t="s">
        <v>41213</v>
      </c>
      <c r="M1701" t="s">
        <v>42200</v>
      </c>
      <c r="N1701" t="s">
        <v>45095</v>
      </c>
      <c r="O1701" t="s">
        <v>45096</v>
      </c>
      <c r="P1701">
        <v>0</v>
      </c>
      <c r="Q1701">
        <v>0</v>
      </c>
      <c r="R1701" t="s">
        <v>45097</v>
      </c>
      <c r="S1701" t="s">
        <v>45222</v>
      </c>
      <c r="T1701" t="s">
        <v>46918</v>
      </c>
      <c r="U1701" t="s">
        <v>48934</v>
      </c>
      <c r="W1701" t="s">
        <v>42200</v>
      </c>
      <c r="X1701" t="s">
        <v>45098</v>
      </c>
    </row>
    <row r="1702" spans="1:24">
      <c r="A1702">
        <f>HYPERLINK("https://www.philgeps.gov.ph/GEPSNONPILOT/Tender/SplashBidNoticeAbstractUI.aspx?menuIndex=3&amp;refID=7046222&amp;Result=3","7046222")</f>
        <v>0</v>
      </c>
      <c r="B1702" t="s">
        <v>694</v>
      </c>
      <c r="C1702" t="s">
        <v>4829</v>
      </c>
      <c r="D1702" t="s">
        <v>18056</v>
      </c>
      <c r="E1702" t="s">
        <v>19678</v>
      </c>
      <c r="F1702" t="s">
        <v>31574</v>
      </c>
      <c r="G1702" t="s">
        <v>31581</v>
      </c>
      <c r="H1702" t="s">
        <v>31590</v>
      </c>
      <c r="I1702" t="s">
        <v>31623</v>
      </c>
      <c r="J1702" t="s">
        <v>32951</v>
      </c>
      <c r="K1702" t="s">
        <v>41211</v>
      </c>
      <c r="M1702" t="s">
        <v>42201</v>
      </c>
      <c r="N1702" t="s">
        <v>45095</v>
      </c>
      <c r="O1702" t="s">
        <v>45096</v>
      </c>
      <c r="P1702">
        <v>0</v>
      </c>
      <c r="Q1702">
        <v>0</v>
      </c>
      <c r="R1702" t="s">
        <v>45097</v>
      </c>
      <c r="S1702" t="s">
        <v>45222</v>
      </c>
      <c r="T1702" t="s">
        <v>46974</v>
      </c>
      <c r="U1702" t="s">
        <v>48935</v>
      </c>
      <c r="W1702" t="s">
        <v>42201</v>
      </c>
      <c r="X1702" t="s">
        <v>45098</v>
      </c>
    </row>
    <row r="1703" spans="1:24">
      <c r="A1703">
        <f>HYPERLINK("https://www.philgeps.gov.ph/GEPSNONPILOT/Tender/SplashBidNoticeAbstractUI.aspx?menuIndex=3&amp;refID=7046232&amp;Result=3","7046232")</f>
        <v>0</v>
      </c>
      <c r="B1703" t="s">
        <v>361</v>
      </c>
      <c r="C1703" t="s">
        <v>4830</v>
      </c>
      <c r="D1703" t="s">
        <v>18022</v>
      </c>
      <c r="E1703" t="s">
        <v>19679</v>
      </c>
      <c r="F1703" t="s">
        <v>31574</v>
      </c>
      <c r="G1703" t="s">
        <v>31581</v>
      </c>
      <c r="H1703" t="s">
        <v>31590</v>
      </c>
      <c r="I1703" t="s">
        <v>31603</v>
      </c>
      <c r="J1703" t="s">
        <v>31727</v>
      </c>
      <c r="K1703" t="s">
        <v>41186</v>
      </c>
      <c r="M1703" t="s">
        <v>41851</v>
      </c>
      <c r="N1703" t="s">
        <v>45095</v>
      </c>
      <c r="O1703" t="s">
        <v>45096</v>
      </c>
      <c r="P1703">
        <v>0</v>
      </c>
      <c r="Q1703">
        <v>0</v>
      </c>
      <c r="R1703" t="s">
        <v>45097</v>
      </c>
      <c r="S1703" t="s">
        <v>45222</v>
      </c>
      <c r="T1703" t="s">
        <v>46904</v>
      </c>
      <c r="U1703" t="s">
        <v>48936</v>
      </c>
      <c r="V1703" t="s">
        <v>59926</v>
      </c>
      <c r="W1703" t="s">
        <v>41851</v>
      </c>
      <c r="X1703" t="s">
        <v>45098</v>
      </c>
    </row>
    <row r="1704" spans="1:24">
      <c r="A1704">
        <f>HYPERLINK("https://www.philgeps.gov.ph/GEPSNONPILOT/Tender/SplashBidNoticeAbstractUI.aspx?menuIndex=3&amp;refID=7046221&amp;Result=3","7046221")</f>
        <v>0</v>
      </c>
      <c r="B1704" t="s">
        <v>679</v>
      </c>
      <c r="C1704" t="s">
        <v>4831</v>
      </c>
      <c r="D1704" t="s">
        <v>18050</v>
      </c>
      <c r="E1704" t="s">
        <v>19680</v>
      </c>
      <c r="F1704" t="s">
        <v>31574</v>
      </c>
      <c r="G1704" t="s">
        <v>31581</v>
      </c>
      <c r="H1704" t="s">
        <v>31590</v>
      </c>
      <c r="I1704" t="s">
        <v>31605</v>
      </c>
      <c r="J1704" t="s">
        <v>32952</v>
      </c>
      <c r="K1704" t="s">
        <v>41196</v>
      </c>
      <c r="M1704" t="s">
        <v>42186</v>
      </c>
      <c r="N1704" t="s">
        <v>45095</v>
      </c>
      <c r="O1704" t="s">
        <v>45096</v>
      </c>
      <c r="P1704">
        <v>0</v>
      </c>
      <c r="Q1704">
        <v>0</v>
      </c>
      <c r="R1704" t="s">
        <v>45097</v>
      </c>
      <c r="S1704" t="s">
        <v>45222</v>
      </c>
      <c r="T1704" t="s">
        <v>46913</v>
      </c>
      <c r="U1704" t="s">
        <v>48937</v>
      </c>
      <c r="W1704" t="s">
        <v>42186</v>
      </c>
      <c r="X1704" t="s">
        <v>45098</v>
      </c>
    </row>
    <row r="1705" spans="1:24">
      <c r="A1705">
        <f>HYPERLINK("https://www.philgeps.gov.ph/GEPSNONPILOT/Tender/SplashBidNoticeAbstractUI.aspx?menuIndex=3&amp;refID=7046258&amp;Result=3","7046258")</f>
        <v>0</v>
      </c>
      <c r="B1705" t="s">
        <v>570</v>
      </c>
      <c r="C1705" t="s">
        <v>4832</v>
      </c>
      <c r="D1705" t="s">
        <v>18047</v>
      </c>
      <c r="E1705" t="s">
        <v>19681</v>
      </c>
      <c r="F1705" t="s">
        <v>31574</v>
      </c>
      <c r="G1705" t="s">
        <v>31582</v>
      </c>
      <c r="H1705" t="s">
        <v>31590</v>
      </c>
      <c r="I1705" t="s">
        <v>31594</v>
      </c>
      <c r="J1705" t="s">
        <v>32953</v>
      </c>
      <c r="K1705" t="s">
        <v>41192</v>
      </c>
      <c r="M1705" t="s">
        <v>42071</v>
      </c>
      <c r="N1705" t="s">
        <v>45095</v>
      </c>
      <c r="O1705" t="s">
        <v>45096</v>
      </c>
      <c r="P1705">
        <v>0</v>
      </c>
      <c r="Q1705">
        <v>0</v>
      </c>
      <c r="R1705" t="s">
        <v>45097</v>
      </c>
      <c r="S1705" t="s">
        <v>45222</v>
      </c>
      <c r="T1705" t="s">
        <v>47087</v>
      </c>
      <c r="U1705" t="s">
        <v>48938</v>
      </c>
      <c r="V1705" t="s">
        <v>59980</v>
      </c>
      <c r="W1705" t="s">
        <v>42071</v>
      </c>
      <c r="X1705" t="s">
        <v>45098</v>
      </c>
    </row>
    <row r="1706" spans="1:24">
      <c r="A1706">
        <f>HYPERLINK("https://www.philgeps.gov.ph/GEPSNONPILOT/Tender/SplashBidNoticeAbstractUI.aspx?menuIndex=3&amp;refID=7046257&amp;Result=3","7046257")</f>
        <v>0</v>
      </c>
      <c r="B1706" t="s">
        <v>694</v>
      </c>
      <c r="C1706" t="s">
        <v>4833</v>
      </c>
      <c r="D1706" t="s">
        <v>18056</v>
      </c>
      <c r="E1706" t="s">
        <v>19678</v>
      </c>
      <c r="F1706" t="s">
        <v>31574</v>
      </c>
      <c r="G1706" t="s">
        <v>31581</v>
      </c>
      <c r="H1706" t="s">
        <v>31590</v>
      </c>
      <c r="I1706" t="s">
        <v>31623</v>
      </c>
      <c r="J1706" t="s">
        <v>32954</v>
      </c>
      <c r="K1706" t="s">
        <v>41211</v>
      </c>
      <c r="M1706" t="s">
        <v>42201</v>
      </c>
      <c r="N1706" t="s">
        <v>45095</v>
      </c>
      <c r="O1706" t="s">
        <v>45096</v>
      </c>
      <c r="P1706">
        <v>0</v>
      </c>
      <c r="Q1706">
        <v>0</v>
      </c>
      <c r="R1706" t="s">
        <v>45097</v>
      </c>
      <c r="S1706" t="s">
        <v>45222</v>
      </c>
      <c r="T1706" t="s">
        <v>46904</v>
      </c>
      <c r="U1706" t="s">
        <v>47721</v>
      </c>
      <c r="W1706" t="s">
        <v>42201</v>
      </c>
      <c r="X1706" t="s">
        <v>45098</v>
      </c>
    </row>
    <row r="1707" spans="1:24">
      <c r="A1707">
        <f>HYPERLINK("https://www.philgeps.gov.ph/GEPSNONPILOT/Tender/SplashBidNoticeAbstractUI.aspx?menuIndex=3&amp;refID=7046259&amp;Result=3","7046259")</f>
        <v>0</v>
      </c>
      <c r="B1707" t="s">
        <v>48</v>
      </c>
      <c r="C1707" t="s">
        <v>4834</v>
      </c>
      <c r="D1707" t="s">
        <v>18041</v>
      </c>
      <c r="E1707" t="s">
        <v>19682</v>
      </c>
      <c r="F1707" t="s">
        <v>31574</v>
      </c>
      <c r="G1707" t="s">
        <v>31581</v>
      </c>
      <c r="H1707" t="s">
        <v>31590</v>
      </c>
      <c r="I1707" t="s">
        <v>31606</v>
      </c>
      <c r="J1707" t="s">
        <v>32944</v>
      </c>
      <c r="K1707" t="s">
        <v>41184</v>
      </c>
      <c r="M1707" t="s">
        <v>41531</v>
      </c>
      <c r="N1707" t="s">
        <v>45095</v>
      </c>
      <c r="O1707" t="s">
        <v>45096</v>
      </c>
      <c r="P1707">
        <v>0</v>
      </c>
      <c r="Q1707">
        <v>0</v>
      </c>
      <c r="R1707" t="s">
        <v>45097</v>
      </c>
      <c r="S1707" t="s">
        <v>45222</v>
      </c>
      <c r="T1707" t="s">
        <v>46904</v>
      </c>
      <c r="U1707" t="s">
        <v>47503</v>
      </c>
      <c r="W1707" t="s">
        <v>41531</v>
      </c>
      <c r="X1707" t="s">
        <v>45098</v>
      </c>
    </row>
    <row r="1708" spans="1:24">
      <c r="A1708">
        <f>HYPERLINK("https://www.philgeps.gov.ph/GEPSNONPILOT/Tender/SplashBidNoticeAbstractUI.aspx?menuIndex=3&amp;refID=7046218&amp;Result=3","7046218")</f>
        <v>0</v>
      </c>
      <c r="B1708" t="s">
        <v>50</v>
      </c>
      <c r="C1708" t="s">
        <v>4835</v>
      </c>
      <c r="D1708" t="s">
        <v>18042</v>
      </c>
      <c r="E1708" t="s">
        <v>19653</v>
      </c>
      <c r="F1708" t="s">
        <v>31574</v>
      </c>
      <c r="G1708" t="s">
        <v>31582</v>
      </c>
      <c r="H1708" t="s">
        <v>31590</v>
      </c>
      <c r="I1708" t="s">
        <v>31617</v>
      </c>
      <c r="J1708" t="s">
        <v>32955</v>
      </c>
      <c r="K1708" t="s">
        <v>41186</v>
      </c>
      <c r="M1708" t="s">
        <v>41533</v>
      </c>
      <c r="N1708" t="s">
        <v>45095</v>
      </c>
      <c r="O1708" t="s">
        <v>45096</v>
      </c>
      <c r="P1708">
        <v>0</v>
      </c>
      <c r="Q1708">
        <v>0</v>
      </c>
      <c r="R1708" t="s">
        <v>45097</v>
      </c>
      <c r="S1708" t="s">
        <v>45222</v>
      </c>
      <c r="T1708" t="s">
        <v>46916</v>
      </c>
      <c r="U1708" t="s">
        <v>48910</v>
      </c>
      <c r="W1708" t="s">
        <v>41533</v>
      </c>
      <c r="X1708" t="s">
        <v>45098</v>
      </c>
    </row>
    <row r="1709" spans="1:24">
      <c r="A1709">
        <f>HYPERLINK("https://www.philgeps.gov.ph/GEPSNONPILOT/Tender/SplashBidNoticeAbstractUI.aspx?menuIndex=3&amp;refID=7046247&amp;Result=3","7046247")</f>
        <v>0</v>
      </c>
      <c r="B1709" t="s">
        <v>695</v>
      </c>
      <c r="C1709" t="s">
        <v>4836</v>
      </c>
      <c r="D1709" t="s">
        <v>18033</v>
      </c>
      <c r="E1709" t="s">
        <v>19683</v>
      </c>
      <c r="F1709" t="s">
        <v>31574</v>
      </c>
      <c r="G1709" t="s">
        <v>31583</v>
      </c>
      <c r="H1709" t="s">
        <v>31590</v>
      </c>
      <c r="I1709" t="s">
        <v>5717</v>
      </c>
      <c r="J1709" t="s">
        <v>32956</v>
      </c>
      <c r="K1709" t="s">
        <v>41213</v>
      </c>
      <c r="M1709" t="s">
        <v>42202</v>
      </c>
      <c r="N1709" t="s">
        <v>45095</v>
      </c>
      <c r="O1709" t="s">
        <v>45096</v>
      </c>
      <c r="P1709">
        <v>0</v>
      </c>
      <c r="Q1709">
        <v>0</v>
      </c>
      <c r="R1709" t="s">
        <v>45097</v>
      </c>
      <c r="S1709" t="s">
        <v>45222</v>
      </c>
      <c r="T1709" t="s">
        <v>46980</v>
      </c>
      <c r="U1709" t="s">
        <v>48939</v>
      </c>
      <c r="W1709" t="s">
        <v>42202</v>
      </c>
      <c r="X1709" t="s">
        <v>45098</v>
      </c>
    </row>
    <row r="1710" spans="1:24">
      <c r="A1710">
        <f>HYPERLINK("https://www.philgeps.gov.ph/GEPSNONPILOT/Tender/SplashBidNoticeAbstractUI.aspx?menuIndex=3&amp;refID=7046256&amp;Result=3","7046256")</f>
        <v>0</v>
      </c>
      <c r="B1710" t="s">
        <v>567</v>
      </c>
      <c r="C1710" t="s">
        <v>4837</v>
      </c>
      <c r="D1710" t="s">
        <v>18023</v>
      </c>
      <c r="E1710" t="s">
        <v>19684</v>
      </c>
      <c r="F1710" t="s">
        <v>31574</v>
      </c>
      <c r="G1710" t="s">
        <v>31582</v>
      </c>
      <c r="H1710" t="s">
        <v>31591</v>
      </c>
      <c r="I1710" t="s">
        <v>8822</v>
      </c>
      <c r="J1710" t="s">
        <v>31730</v>
      </c>
      <c r="K1710" t="s">
        <v>41198</v>
      </c>
      <c r="L1710" t="s">
        <v>567</v>
      </c>
      <c r="M1710" t="s">
        <v>42067</v>
      </c>
      <c r="N1710" t="s">
        <v>45095</v>
      </c>
      <c r="O1710" t="s">
        <v>45096</v>
      </c>
      <c r="P1710">
        <v>0</v>
      </c>
      <c r="Q1710">
        <v>0</v>
      </c>
      <c r="R1710" t="s">
        <v>45097</v>
      </c>
      <c r="S1710" t="s">
        <v>45222</v>
      </c>
      <c r="T1710" t="s">
        <v>46924</v>
      </c>
      <c r="U1710" t="s">
        <v>48940</v>
      </c>
      <c r="W1710" t="s">
        <v>42067</v>
      </c>
      <c r="X1710" t="s">
        <v>45098</v>
      </c>
    </row>
    <row r="1711" spans="1:24">
      <c r="A1711">
        <f>HYPERLINK("https://www.philgeps.gov.ph/GEPSNONPILOT/Tender/SplashBidNoticeAbstractUI.aspx?menuIndex=3&amp;refID=7046245&amp;Result=3","7046245")</f>
        <v>0</v>
      </c>
      <c r="B1711" t="s">
        <v>333</v>
      </c>
      <c r="C1711" t="s">
        <v>4838</v>
      </c>
      <c r="D1711" t="s">
        <v>18081</v>
      </c>
      <c r="E1711" t="s">
        <v>19685</v>
      </c>
      <c r="F1711" t="s">
        <v>31574</v>
      </c>
      <c r="G1711" t="s">
        <v>31581</v>
      </c>
      <c r="H1711" t="s">
        <v>31590</v>
      </c>
      <c r="I1711" t="s">
        <v>31594</v>
      </c>
      <c r="J1711" t="s">
        <v>32957</v>
      </c>
      <c r="K1711" t="s">
        <v>41196</v>
      </c>
      <c r="M1711" t="s">
        <v>41821</v>
      </c>
      <c r="N1711" t="s">
        <v>45095</v>
      </c>
      <c r="O1711" t="s">
        <v>45096</v>
      </c>
      <c r="P1711">
        <v>0</v>
      </c>
      <c r="Q1711">
        <v>0</v>
      </c>
      <c r="R1711" t="s">
        <v>45097</v>
      </c>
      <c r="S1711" t="s">
        <v>45222</v>
      </c>
      <c r="T1711" t="s">
        <v>46918</v>
      </c>
      <c r="U1711" t="s">
        <v>48941</v>
      </c>
      <c r="W1711" t="s">
        <v>41821</v>
      </c>
      <c r="X1711" t="s">
        <v>45098</v>
      </c>
    </row>
    <row r="1712" spans="1:24">
      <c r="A1712">
        <f>HYPERLINK("https://www.philgeps.gov.ph/GEPSNONPILOT/Tender/SplashBidNoticeAbstractUI.aspx?menuIndex=3&amp;refID=7046248&amp;Result=3","7046248")</f>
        <v>0</v>
      </c>
      <c r="B1712" t="s">
        <v>50</v>
      </c>
      <c r="C1712" t="s">
        <v>4839</v>
      </c>
      <c r="D1712" t="s">
        <v>18042</v>
      </c>
      <c r="E1712" t="s">
        <v>19653</v>
      </c>
      <c r="F1712" t="s">
        <v>31574</v>
      </c>
      <c r="G1712" t="s">
        <v>31582</v>
      </c>
      <c r="H1712" t="s">
        <v>31590</v>
      </c>
      <c r="I1712" t="s">
        <v>6800</v>
      </c>
      <c r="J1712" t="s">
        <v>32958</v>
      </c>
      <c r="K1712" t="s">
        <v>41186</v>
      </c>
      <c r="M1712" t="s">
        <v>41533</v>
      </c>
      <c r="N1712" t="s">
        <v>45095</v>
      </c>
      <c r="O1712" t="s">
        <v>45096</v>
      </c>
      <c r="P1712">
        <v>0</v>
      </c>
      <c r="Q1712">
        <v>0</v>
      </c>
      <c r="R1712" t="s">
        <v>45097</v>
      </c>
      <c r="S1712" t="s">
        <v>45222</v>
      </c>
      <c r="T1712" t="s">
        <v>46916</v>
      </c>
      <c r="U1712" t="s">
        <v>48910</v>
      </c>
      <c r="W1712" t="s">
        <v>41533</v>
      </c>
      <c r="X1712" t="s">
        <v>45098</v>
      </c>
    </row>
    <row r="1713" spans="1:24">
      <c r="A1713">
        <f>HYPERLINK("https://www.philgeps.gov.ph/GEPSNONPILOT/Tender/SplashBidNoticeAbstractUI.aspx?menuIndex=3&amp;refID=7046214&amp;Result=3","7046214")</f>
        <v>0</v>
      </c>
      <c r="B1713" t="s">
        <v>696</v>
      </c>
      <c r="C1713" t="s">
        <v>4840</v>
      </c>
      <c r="D1713" t="s">
        <v>18048</v>
      </c>
      <c r="E1713" t="s">
        <v>19686</v>
      </c>
      <c r="F1713" t="s">
        <v>31574</v>
      </c>
      <c r="G1713" t="s">
        <v>31581</v>
      </c>
      <c r="H1713" t="s">
        <v>31590</v>
      </c>
      <c r="I1713" t="s">
        <v>4046</v>
      </c>
      <c r="J1713" t="s">
        <v>32959</v>
      </c>
      <c r="K1713" t="s">
        <v>41184</v>
      </c>
      <c r="M1713" t="s">
        <v>42203</v>
      </c>
      <c r="N1713" t="s">
        <v>45095</v>
      </c>
      <c r="O1713" t="s">
        <v>45096</v>
      </c>
      <c r="P1713">
        <v>0</v>
      </c>
      <c r="Q1713">
        <v>0</v>
      </c>
      <c r="R1713" t="s">
        <v>45097</v>
      </c>
      <c r="S1713" t="s">
        <v>45222</v>
      </c>
      <c r="T1713" t="s">
        <v>46955</v>
      </c>
      <c r="U1713" t="s">
        <v>48942</v>
      </c>
      <c r="W1713" t="s">
        <v>42203</v>
      </c>
      <c r="X1713" t="s">
        <v>45098</v>
      </c>
    </row>
    <row r="1714" spans="1:24">
      <c r="A1714">
        <f>HYPERLINK("https://www.philgeps.gov.ph/GEPSNONPILOT/Tender/SplashBidNoticeAbstractUI.aspx?menuIndex=3&amp;refID=7046243&amp;Result=3","7046243")</f>
        <v>0</v>
      </c>
      <c r="B1714" t="s">
        <v>316</v>
      </c>
      <c r="C1714" t="s">
        <v>4841</v>
      </c>
      <c r="D1714" t="s">
        <v>18065</v>
      </c>
      <c r="E1714" t="s">
        <v>19687</v>
      </c>
      <c r="F1714" t="s">
        <v>31574</v>
      </c>
      <c r="G1714" t="s">
        <v>31581</v>
      </c>
      <c r="H1714" t="s">
        <v>31590</v>
      </c>
      <c r="I1714" t="s">
        <v>31602</v>
      </c>
      <c r="J1714" t="s">
        <v>32337</v>
      </c>
      <c r="K1714" t="s">
        <v>41191</v>
      </c>
      <c r="M1714" t="s">
        <v>41804</v>
      </c>
      <c r="N1714" t="s">
        <v>45095</v>
      </c>
      <c r="O1714" t="s">
        <v>45096</v>
      </c>
      <c r="P1714">
        <v>0</v>
      </c>
      <c r="Q1714">
        <v>0</v>
      </c>
      <c r="R1714" t="s">
        <v>45097</v>
      </c>
      <c r="S1714" t="s">
        <v>45222</v>
      </c>
      <c r="T1714" t="s">
        <v>46920</v>
      </c>
      <c r="U1714" t="s">
        <v>48943</v>
      </c>
      <c r="W1714" t="s">
        <v>41804</v>
      </c>
      <c r="X1714" t="s">
        <v>45098</v>
      </c>
    </row>
    <row r="1715" spans="1:24">
      <c r="A1715">
        <f>HYPERLINK("https://www.philgeps.gov.ph/GEPSNONPILOT/Tender/SplashBidNoticeAbstractUI.aspx?menuIndex=3&amp;refID=7046249&amp;Result=3","7046249")</f>
        <v>0</v>
      </c>
      <c r="B1715" t="s">
        <v>697</v>
      </c>
      <c r="C1715" t="s">
        <v>4842</v>
      </c>
      <c r="D1715" t="s">
        <v>18072</v>
      </c>
      <c r="E1715" t="s">
        <v>19688</v>
      </c>
      <c r="F1715" t="s">
        <v>31574</v>
      </c>
      <c r="G1715" t="s">
        <v>31582</v>
      </c>
      <c r="H1715" t="s">
        <v>31590</v>
      </c>
      <c r="I1715" t="s">
        <v>5717</v>
      </c>
      <c r="J1715" t="s">
        <v>32960</v>
      </c>
      <c r="K1715" t="s">
        <v>41186</v>
      </c>
      <c r="M1715" t="s">
        <v>42204</v>
      </c>
      <c r="N1715" t="s">
        <v>45095</v>
      </c>
      <c r="O1715" t="s">
        <v>45096</v>
      </c>
      <c r="P1715">
        <v>0</v>
      </c>
      <c r="Q1715">
        <v>0</v>
      </c>
      <c r="R1715" t="s">
        <v>45097</v>
      </c>
      <c r="S1715" t="s">
        <v>45222</v>
      </c>
      <c r="T1715" t="s">
        <v>46922</v>
      </c>
      <c r="U1715" t="s">
        <v>48944</v>
      </c>
      <c r="W1715" t="s">
        <v>42204</v>
      </c>
      <c r="X1715" t="s">
        <v>45098</v>
      </c>
    </row>
    <row r="1716" spans="1:24">
      <c r="A1716">
        <f>HYPERLINK("https://www.philgeps.gov.ph/GEPSNONPILOT/Tender/SplashBidNoticeAbstractUI.aspx?menuIndex=3&amp;refID=7046246&amp;Result=3","7046246")</f>
        <v>0</v>
      </c>
      <c r="B1716" t="s">
        <v>698</v>
      </c>
      <c r="C1716" t="s">
        <v>4843</v>
      </c>
      <c r="D1716" t="s">
        <v>18070</v>
      </c>
      <c r="E1716" t="s">
        <v>19618</v>
      </c>
      <c r="F1716" t="s">
        <v>31574</v>
      </c>
      <c r="G1716" t="s">
        <v>31581</v>
      </c>
      <c r="H1716" t="s">
        <v>31590</v>
      </c>
      <c r="I1716" t="s">
        <v>4327</v>
      </c>
      <c r="J1716" t="s">
        <v>32961</v>
      </c>
      <c r="K1716" t="s">
        <v>41186</v>
      </c>
      <c r="M1716" t="s">
        <v>42205</v>
      </c>
      <c r="N1716" t="s">
        <v>45095</v>
      </c>
      <c r="O1716" t="s">
        <v>45096</v>
      </c>
      <c r="P1716">
        <v>0</v>
      </c>
      <c r="Q1716">
        <v>0</v>
      </c>
      <c r="R1716" t="s">
        <v>45097</v>
      </c>
      <c r="S1716" t="s">
        <v>45222</v>
      </c>
      <c r="T1716" t="s">
        <v>46913</v>
      </c>
      <c r="U1716" t="s">
        <v>48945</v>
      </c>
      <c r="W1716" t="s">
        <v>42205</v>
      </c>
      <c r="X1716" t="s">
        <v>45098</v>
      </c>
    </row>
    <row r="1717" spans="1:24">
      <c r="A1717">
        <f>HYPERLINK("https://www.philgeps.gov.ph/GEPSNONPILOT/Tender/SplashBidNoticeAbstractUI.aspx?menuIndex=3&amp;refID=7046237&amp;Result=3","7046237")</f>
        <v>0</v>
      </c>
      <c r="B1717" t="s">
        <v>523</v>
      </c>
      <c r="C1717" t="s">
        <v>4844</v>
      </c>
      <c r="D1717" t="s">
        <v>18055</v>
      </c>
      <c r="E1717" t="s">
        <v>19689</v>
      </c>
      <c r="F1717" t="s">
        <v>31574</v>
      </c>
      <c r="G1717" t="s">
        <v>31582</v>
      </c>
      <c r="H1717" t="s">
        <v>31591</v>
      </c>
      <c r="I1717" t="s">
        <v>8822</v>
      </c>
      <c r="J1717" t="s">
        <v>31782</v>
      </c>
      <c r="K1717" t="s">
        <v>41193</v>
      </c>
      <c r="M1717" t="s">
        <v>42019</v>
      </c>
      <c r="N1717" t="s">
        <v>45095</v>
      </c>
      <c r="O1717" t="s">
        <v>45096</v>
      </c>
      <c r="P1717">
        <v>0</v>
      </c>
      <c r="Q1717">
        <v>0</v>
      </c>
      <c r="R1717" t="s">
        <v>45097</v>
      </c>
      <c r="S1717" t="s">
        <v>45222</v>
      </c>
      <c r="T1717" t="s">
        <v>46922</v>
      </c>
      <c r="U1717" t="s">
        <v>48946</v>
      </c>
      <c r="V1717" t="s">
        <v>60012</v>
      </c>
      <c r="W1717" t="s">
        <v>42019</v>
      </c>
      <c r="X1717" t="s">
        <v>45098</v>
      </c>
    </row>
    <row r="1718" spans="1:24">
      <c r="A1718">
        <f>HYPERLINK("https://www.philgeps.gov.ph/GEPSNONPILOT/Tender/SplashBidNoticeAbstractUI.aspx?menuIndex=3&amp;refID=7046240&amp;Result=3","7046240")</f>
        <v>0</v>
      </c>
      <c r="B1718" t="s">
        <v>699</v>
      </c>
      <c r="C1718" t="s">
        <v>4845</v>
      </c>
      <c r="D1718" t="s">
        <v>18066</v>
      </c>
      <c r="E1718" t="s">
        <v>19690</v>
      </c>
      <c r="F1718" t="s">
        <v>31574</v>
      </c>
      <c r="G1718" t="s">
        <v>31582</v>
      </c>
      <c r="H1718" t="s">
        <v>31590</v>
      </c>
      <c r="I1718" t="s">
        <v>31600</v>
      </c>
      <c r="J1718" t="s">
        <v>32962</v>
      </c>
      <c r="K1718" t="s">
        <v>41184</v>
      </c>
      <c r="M1718" t="s">
        <v>42206</v>
      </c>
      <c r="N1718" t="s">
        <v>45095</v>
      </c>
      <c r="O1718" t="s">
        <v>45096</v>
      </c>
      <c r="P1718">
        <v>0</v>
      </c>
      <c r="Q1718">
        <v>0</v>
      </c>
      <c r="R1718" t="s">
        <v>45097</v>
      </c>
      <c r="S1718" t="s">
        <v>45222</v>
      </c>
      <c r="T1718" t="s">
        <v>46937</v>
      </c>
      <c r="U1718" t="s">
        <v>48947</v>
      </c>
      <c r="V1718" t="s">
        <v>60013</v>
      </c>
      <c r="W1718" t="s">
        <v>42206</v>
      </c>
      <c r="X1718" t="s">
        <v>45098</v>
      </c>
    </row>
    <row r="1719" spans="1:24">
      <c r="A1719">
        <f>HYPERLINK("https://www.philgeps.gov.ph/GEPSNONPILOT/Tender/SplashBidNoticeAbstractUI.aspx?menuIndex=3&amp;refID=7046244&amp;Result=3","7046244")</f>
        <v>0</v>
      </c>
      <c r="B1719" t="s">
        <v>672</v>
      </c>
      <c r="C1719" t="s">
        <v>4846</v>
      </c>
      <c r="D1719" t="s">
        <v>18093</v>
      </c>
      <c r="E1719" t="s">
        <v>18846</v>
      </c>
      <c r="F1719" t="s">
        <v>31574</v>
      </c>
      <c r="G1719" t="s">
        <v>31583</v>
      </c>
      <c r="H1719" t="s">
        <v>31590</v>
      </c>
      <c r="I1719" t="s">
        <v>7185</v>
      </c>
      <c r="J1719" t="s">
        <v>31914</v>
      </c>
      <c r="K1719" t="s">
        <v>41223</v>
      </c>
      <c r="M1719" t="s">
        <v>42178</v>
      </c>
      <c r="N1719" t="s">
        <v>45095</v>
      </c>
      <c r="O1719" t="s">
        <v>45096</v>
      </c>
      <c r="P1719">
        <v>0</v>
      </c>
      <c r="Q1719">
        <v>0</v>
      </c>
      <c r="R1719" t="s">
        <v>45097</v>
      </c>
      <c r="S1719" t="s">
        <v>45222</v>
      </c>
      <c r="T1719" t="s">
        <v>47050</v>
      </c>
      <c r="U1719" t="s">
        <v>48948</v>
      </c>
      <c r="W1719" t="s">
        <v>61676</v>
      </c>
      <c r="X1719" t="s">
        <v>45098</v>
      </c>
    </row>
    <row r="1720" spans="1:24">
      <c r="A1720">
        <f>HYPERLINK("https://www.philgeps.gov.ph/GEPSNONPILOT/Tender/SplashBidNoticeAbstractUI.aspx?menuIndex=3&amp;refID=7046261&amp;Result=3","7046261")</f>
        <v>0</v>
      </c>
      <c r="B1720" t="s">
        <v>587</v>
      </c>
      <c r="C1720" t="s">
        <v>4847</v>
      </c>
      <c r="D1720" t="s">
        <v>18022</v>
      </c>
      <c r="E1720" t="s">
        <v>19691</v>
      </c>
      <c r="F1720" t="s">
        <v>31574</v>
      </c>
      <c r="G1720" t="s">
        <v>31581</v>
      </c>
      <c r="H1720" t="s">
        <v>31590</v>
      </c>
      <c r="I1720" t="s">
        <v>31655</v>
      </c>
      <c r="J1720" t="s">
        <v>32963</v>
      </c>
      <c r="K1720" t="s">
        <v>41185</v>
      </c>
      <c r="M1720" t="s">
        <v>42089</v>
      </c>
      <c r="N1720" t="s">
        <v>45095</v>
      </c>
      <c r="O1720" t="s">
        <v>45096</v>
      </c>
      <c r="P1720">
        <v>0</v>
      </c>
      <c r="Q1720">
        <v>0</v>
      </c>
      <c r="R1720" t="s">
        <v>45097</v>
      </c>
      <c r="S1720" t="s">
        <v>45222</v>
      </c>
      <c r="T1720" t="s">
        <v>47068</v>
      </c>
      <c r="U1720" t="s">
        <v>48675</v>
      </c>
      <c r="W1720" t="s">
        <v>42089</v>
      </c>
      <c r="X1720" t="s">
        <v>45098</v>
      </c>
    </row>
    <row r="1721" spans="1:24">
      <c r="A1721">
        <f>HYPERLINK("https://www.philgeps.gov.ph/GEPSNONPILOT/Tender/SplashBidNoticeAbstractUI.aspx?menuIndex=3&amp;refID=7046265&amp;Result=3","7046265")</f>
        <v>0</v>
      </c>
      <c r="B1721" t="s">
        <v>685</v>
      </c>
      <c r="C1721" t="s">
        <v>4848</v>
      </c>
      <c r="D1721" t="s">
        <v>18022</v>
      </c>
      <c r="E1721" t="s">
        <v>19692</v>
      </c>
      <c r="F1721" t="s">
        <v>31574</v>
      </c>
      <c r="G1721" t="s">
        <v>31583</v>
      </c>
      <c r="H1721" t="s">
        <v>31590</v>
      </c>
      <c r="I1721" t="s">
        <v>3487</v>
      </c>
      <c r="J1721" t="s">
        <v>32964</v>
      </c>
      <c r="K1721" t="s">
        <v>41184</v>
      </c>
      <c r="M1721" t="s">
        <v>42192</v>
      </c>
      <c r="N1721" t="s">
        <v>45095</v>
      </c>
      <c r="O1721" t="s">
        <v>45096</v>
      </c>
      <c r="P1721">
        <v>0</v>
      </c>
      <c r="Q1721">
        <v>0</v>
      </c>
      <c r="R1721" t="s">
        <v>45097</v>
      </c>
      <c r="S1721" t="s">
        <v>45222</v>
      </c>
      <c r="T1721" t="s">
        <v>46957</v>
      </c>
      <c r="U1721" t="s">
        <v>48915</v>
      </c>
      <c r="W1721" t="s">
        <v>42192</v>
      </c>
      <c r="X1721" t="s">
        <v>45098</v>
      </c>
    </row>
    <row r="1722" spans="1:24">
      <c r="A1722">
        <f>HYPERLINK("https://www.philgeps.gov.ph/GEPSNONPILOT/Tender/SplashBidNoticeAbstractUI.aspx?menuIndex=3&amp;refID=7046238&amp;Result=3","7046238")</f>
        <v>0</v>
      </c>
      <c r="B1722" t="s">
        <v>662</v>
      </c>
      <c r="C1722" t="s">
        <v>4849</v>
      </c>
      <c r="E1722" t="s">
        <v>19693</v>
      </c>
      <c r="F1722" t="s">
        <v>31574</v>
      </c>
      <c r="G1722" t="s">
        <v>31581</v>
      </c>
      <c r="H1722" t="s">
        <v>31590</v>
      </c>
      <c r="I1722" t="s">
        <v>31619</v>
      </c>
      <c r="J1722" t="s">
        <v>32965</v>
      </c>
      <c r="K1722" t="s">
        <v>41184</v>
      </c>
      <c r="M1722" t="s">
        <v>42167</v>
      </c>
      <c r="N1722" t="s">
        <v>45095</v>
      </c>
      <c r="O1722" t="s">
        <v>45096</v>
      </c>
      <c r="P1722">
        <v>0</v>
      </c>
      <c r="Q1722">
        <v>0</v>
      </c>
      <c r="R1722" t="s">
        <v>45097</v>
      </c>
      <c r="S1722" t="s">
        <v>45222</v>
      </c>
      <c r="T1722" t="s">
        <v>46918</v>
      </c>
      <c r="U1722" t="s">
        <v>48949</v>
      </c>
      <c r="V1722" t="s">
        <v>60003</v>
      </c>
      <c r="W1722" t="s">
        <v>42167</v>
      </c>
      <c r="X1722" t="s">
        <v>45098</v>
      </c>
    </row>
    <row r="1723" spans="1:24">
      <c r="A1723">
        <f>HYPERLINK("https://www.philgeps.gov.ph/GEPSNONPILOT/Tender/SplashBidNoticeAbstractUI.aspx?menuIndex=3&amp;refID=7046263&amp;Result=3","7046263")</f>
        <v>0</v>
      </c>
      <c r="B1723" t="s">
        <v>551</v>
      </c>
      <c r="C1723" t="s">
        <v>4850</v>
      </c>
      <c r="D1723" t="s">
        <v>18096</v>
      </c>
      <c r="E1723" t="s">
        <v>19694</v>
      </c>
      <c r="F1723" t="s">
        <v>31574</v>
      </c>
      <c r="G1723" t="s">
        <v>31581</v>
      </c>
      <c r="H1723" t="s">
        <v>31590</v>
      </c>
      <c r="I1723" t="s">
        <v>31631</v>
      </c>
      <c r="J1723" t="s">
        <v>32966</v>
      </c>
      <c r="K1723" t="s">
        <v>41190</v>
      </c>
      <c r="M1723" t="s">
        <v>42207</v>
      </c>
      <c r="N1723" t="s">
        <v>45095</v>
      </c>
      <c r="O1723" t="s">
        <v>45096</v>
      </c>
      <c r="P1723">
        <v>0</v>
      </c>
      <c r="Q1723">
        <v>0</v>
      </c>
      <c r="R1723" t="s">
        <v>45097</v>
      </c>
      <c r="S1723" t="s">
        <v>45222</v>
      </c>
      <c r="T1723" t="s">
        <v>46931</v>
      </c>
      <c r="U1723" t="s">
        <v>48950</v>
      </c>
      <c r="W1723" t="s">
        <v>42207</v>
      </c>
      <c r="X1723" t="s">
        <v>45098</v>
      </c>
    </row>
    <row r="1724" spans="1:24">
      <c r="A1724">
        <f>HYPERLINK("https://www.philgeps.gov.ph/GEPSNONPILOT/Tender/SplashBidNoticeAbstractUI.aspx?menuIndex=3&amp;refID=7046275&amp;Result=3","7046275")</f>
        <v>0</v>
      </c>
      <c r="B1724" t="s">
        <v>700</v>
      </c>
      <c r="C1724" t="s">
        <v>4851</v>
      </c>
      <c r="D1724" t="s">
        <v>18025</v>
      </c>
      <c r="E1724" t="s">
        <v>19695</v>
      </c>
      <c r="F1724" t="s">
        <v>31574</v>
      </c>
      <c r="G1724" t="s">
        <v>31581</v>
      </c>
      <c r="H1724" t="s">
        <v>31590</v>
      </c>
      <c r="I1724" t="s">
        <v>4046</v>
      </c>
      <c r="J1724" t="s">
        <v>32967</v>
      </c>
      <c r="K1724" t="s">
        <v>41211</v>
      </c>
      <c r="M1724" t="s">
        <v>42208</v>
      </c>
      <c r="N1724" t="s">
        <v>45095</v>
      </c>
      <c r="O1724" t="s">
        <v>45096</v>
      </c>
      <c r="P1724">
        <v>0</v>
      </c>
      <c r="Q1724">
        <v>0</v>
      </c>
      <c r="R1724" t="s">
        <v>45097</v>
      </c>
      <c r="S1724" t="s">
        <v>45222</v>
      </c>
      <c r="T1724" t="s">
        <v>46904</v>
      </c>
      <c r="U1724" t="s">
        <v>48951</v>
      </c>
      <c r="W1724" t="s">
        <v>42208</v>
      </c>
      <c r="X1724" t="s">
        <v>45098</v>
      </c>
    </row>
    <row r="1725" spans="1:24">
      <c r="A1725">
        <f>HYPERLINK("https://www.philgeps.gov.ph/GEPSNONPILOT/Tender/SplashBidNoticeAbstractUI.aspx?menuIndex=3&amp;refID=7046262&amp;Result=3","7046262")</f>
        <v>0</v>
      </c>
      <c r="B1725" t="s">
        <v>701</v>
      </c>
      <c r="C1725" t="s">
        <v>4852</v>
      </c>
      <c r="D1725" t="s">
        <v>18056</v>
      </c>
      <c r="E1725" t="s">
        <v>19696</v>
      </c>
      <c r="F1725" t="s">
        <v>31574</v>
      </c>
      <c r="G1725" t="s">
        <v>31581</v>
      </c>
      <c r="H1725" t="s">
        <v>31590</v>
      </c>
      <c r="I1725" t="s">
        <v>31602</v>
      </c>
      <c r="J1725" t="s">
        <v>32968</v>
      </c>
      <c r="K1725" t="s">
        <v>41210</v>
      </c>
      <c r="M1725" t="s">
        <v>42209</v>
      </c>
      <c r="N1725" t="s">
        <v>45095</v>
      </c>
      <c r="O1725" t="s">
        <v>45096</v>
      </c>
      <c r="P1725">
        <v>0</v>
      </c>
      <c r="Q1725">
        <v>0</v>
      </c>
      <c r="R1725" t="s">
        <v>45097</v>
      </c>
      <c r="S1725" t="s">
        <v>45222</v>
      </c>
      <c r="T1725" t="s">
        <v>46911</v>
      </c>
      <c r="U1725" t="s">
        <v>48952</v>
      </c>
      <c r="W1725" t="s">
        <v>42209</v>
      </c>
      <c r="X1725" t="s">
        <v>45098</v>
      </c>
    </row>
    <row r="1726" spans="1:24">
      <c r="A1726">
        <f>HYPERLINK("https://www.philgeps.gov.ph/GEPSNONPILOT/Tender/SplashBidNoticeAbstractUI.aspx?menuIndex=3&amp;refID=7046264&amp;Result=3","7046264")</f>
        <v>0</v>
      </c>
      <c r="B1726" t="s">
        <v>696</v>
      </c>
      <c r="C1726" t="s">
        <v>4853</v>
      </c>
      <c r="D1726" t="s">
        <v>18048</v>
      </c>
      <c r="E1726" t="s">
        <v>19697</v>
      </c>
      <c r="F1726" t="s">
        <v>31574</v>
      </c>
      <c r="G1726" t="s">
        <v>31581</v>
      </c>
      <c r="H1726" t="s">
        <v>31590</v>
      </c>
      <c r="I1726" t="s">
        <v>4046</v>
      </c>
      <c r="J1726" t="s">
        <v>32969</v>
      </c>
      <c r="K1726" t="s">
        <v>41184</v>
      </c>
      <c r="M1726" t="s">
        <v>42203</v>
      </c>
      <c r="N1726" t="s">
        <v>45095</v>
      </c>
      <c r="O1726" t="s">
        <v>45096</v>
      </c>
      <c r="P1726">
        <v>0</v>
      </c>
      <c r="Q1726">
        <v>0</v>
      </c>
      <c r="R1726" t="s">
        <v>45097</v>
      </c>
      <c r="S1726" t="s">
        <v>45222</v>
      </c>
      <c r="T1726" t="s">
        <v>46955</v>
      </c>
      <c r="U1726" t="s">
        <v>48942</v>
      </c>
      <c r="W1726" t="s">
        <v>42203</v>
      </c>
      <c r="X1726" t="s">
        <v>45098</v>
      </c>
    </row>
    <row r="1727" spans="1:24">
      <c r="A1727">
        <f>HYPERLINK("https://www.philgeps.gov.ph/GEPSNONPILOT/Tender/SplashBidNoticeAbstractUI.aspx?menuIndex=3&amp;refID=7046274&amp;Result=3","7046274")</f>
        <v>0</v>
      </c>
      <c r="B1727" t="s">
        <v>408</v>
      </c>
      <c r="C1727" t="s">
        <v>4854</v>
      </c>
      <c r="D1727" t="s">
        <v>18059</v>
      </c>
      <c r="E1727" t="s">
        <v>19698</v>
      </c>
      <c r="F1727" t="s">
        <v>31574</v>
      </c>
      <c r="G1727" t="s">
        <v>31581</v>
      </c>
      <c r="H1727" t="s">
        <v>31590</v>
      </c>
      <c r="I1727" t="s">
        <v>31599</v>
      </c>
      <c r="J1727" t="s">
        <v>32017</v>
      </c>
      <c r="K1727" t="s">
        <v>41184</v>
      </c>
      <c r="M1727" t="s">
        <v>41899</v>
      </c>
      <c r="N1727" t="s">
        <v>45095</v>
      </c>
      <c r="O1727" t="s">
        <v>45096</v>
      </c>
      <c r="P1727">
        <v>0</v>
      </c>
      <c r="Q1727">
        <v>0</v>
      </c>
      <c r="R1727" t="s">
        <v>45097</v>
      </c>
      <c r="S1727" t="s">
        <v>45222</v>
      </c>
      <c r="T1727" t="s">
        <v>46938</v>
      </c>
      <c r="U1727" t="s">
        <v>48953</v>
      </c>
      <c r="W1727" t="s">
        <v>41899</v>
      </c>
      <c r="X1727" t="s">
        <v>45098</v>
      </c>
    </row>
    <row r="1728" spans="1:24">
      <c r="A1728">
        <f>HYPERLINK("https://www.philgeps.gov.ph/GEPSNONPILOT/Tender/SplashBidNoticeAbstractUI.aspx?menuIndex=3&amp;refID=7046268&amp;Result=3","7046268")</f>
        <v>0</v>
      </c>
      <c r="B1728" t="s">
        <v>130</v>
      </c>
      <c r="C1728" t="s">
        <v>4855</v>
      </c>
      <c r="D1728" t="s">
        <v>18070</v>
      </c>
      <c r="E1728" t="s">
        <v>19699</v>
      </c>
      <c r="F1728" t="s">
        <v>31574</v>
      </c>
      <c r="G1728" t="s">
        <v>31583</v>
      </c>
      <c r="H1728" t="s">
        <v>31590</v>
      </c>
      <c r="I1728" t="s">
        <v>8056</v>
      </c>
      <c r="J1728" t="s">
        <v>32970</v>
      </c>
      <c r="K1728" t="s">
        <v>41186</v>
      </c>
      <c r="M1728" t="s">
        <v>41614</v>
      </c>
      <c r="N1728" t="s">
        <v>45095</v>
      </c>
      <c r="O1728" t="s">
        <v>45096</v>
      </c>
      <c r="P1728">
        <v>0</v>
      </c>
      <c r="Q1728">
        <v>0</v>
      </c>
      <c r="R1728" t="s">
        <v>45097</v>
      </c>
      <c r="S1728" t="s">
        <v>45222</v>
      </c>
      <c r="T1728" t="s">
        <v>46979</v>
      </c>
      <c r="U1728" t="s">
        <v>48954</v>
      </c>
      <c r="W1728" t="s">
        <v>41614</v>
      </c>
      <c r="X1728" t="s">
        <v>45098</v>
      </c>
    </row>
    <row r="1729" spans="1:24">
      <c r="A1729">
        <f>HYPERLINK("https://www.philgeps.gov.ph/GEPSNONPILOT/Tender/SplashBidNoticeAbstractUI.aspx?menuIndex=3&amp;refID=7046273&amp;Result=3","7046273")</f>
        <v>0</v>
      </c>
      <c r="B1729" t="s">
        <v>29</v>
      </c>
      <c r="C1729" t="s">
        <v>4856</v>
      </c>
      <c r="D1729" t="s">
        <v>18026</v>
      </c>
      <c r="E1729" t="s">
        <v>18139</v>
      </c>
      <c r="F1729" t="s">
        <v>31574</v>
      </c>
      <c r="G1729" t="s">
        <v>31582</v>
      </c>
      <c r="H1729" t="s">
        <v>31590</v>
      </c>
      <c r="I1729" t="s">
        <v>6800</v>
      </c>
      <c r="J1729" t="s">
        <v>32971</v>
      </c>
      <c r="K1729" t="s">
        <v>41196</v>
      </c>
      <c r="M1729" t="s">
        <v>41511</v>
      </c>
      <c r="N1729" t="s">
        <v>45095</v>
      </c>
      <c r="O1729" t="s">
        <v>45096</v>
      </c>
      <c r="P1729">
        <v>0</v>
      </c>
      <c r="Q1729">
        <v>0</v>
      </c>
      <c r="R1729" t="s">
        <v>45097</v>
      </c>
      <c r="S1729" t="s">
        <v>45222</v>
      </c>
      <c r="T1729" t="s">
        <v>46909</v>
      </c>
      <c r="U1729" t="s">
        <v>48955</v>
      </c>
      <c r="W1729" t="s">
        <v>41511</v>
      </c>
      <c r="X1729" t="s">
        <v>45098</v>
      </c>
    </row>
    <row r="1730" spans="1:24">
      <c r="A1730">
        <f>HYPERLINK("https://www.philgeps.gov.ph/GEPSNONPILOT/Tender/SplashBidNoticeAbstractUI.aspx?menuIndex=3&amp;refID=7046270&amp;Result=3","7046270")</f>
        <v>0</v>
      </c>
      <c r="B1730" t="s">
        <v>702</v>
      </c>
      <c r="C1730" t="s">
        <v>4857</v>
      </c>
      <c r="D1730" t="s">
        <v>18041</v>
      </c>
      <c r="E1730" t="s">
        <v>19700</v>
      </c>
      <c r="F1730" t="s">
        <v>31574</v>
      </c>
      <c r="G1730" t="s">
        <v>31581</v>
      </c>
      <c r="H1730" t="s">
        <v>31590</v>
      </c>
      <c r="I1730" t="s">
        <v>31603</v>
      </c>
      <c r="J1730" t="s">
        <v>32972</v>
      </c>
      <c r="K1730" t="s">
        <v>41193</v>
      </c>
      <c r="M1730" t="s">
        <v>42210</v>
      </c>
      <c r="N1730" t="s">
        <v>45095</v>
      </c>
      <c r="O1730" t="s">
        <v>45096</v>
      </c>
      <c r="P1730">
        <v>0</v>
      </c>
      <c r="Q1730">
        <v>0</v>
      </c>
      <c r="R1730" t="s">
        <v>45097</v>
      </c>
      <c r="S1730" t="s">
        <v>45222</v>
      </c>
      <c r="T1730" t="s">
        <v>46969</v>
      </c>
      <c r="U1730" t="s">
        <v>48956</v>
      </c>
      <c r="W1730" t="s">
        <v>42210</v>
      </c>
      <c r="X1730" t="s">
        <v>45098</v>
      </c>
    </row>
    <row r="1731" spans="1:24">
      <c r="A1731">
        <f>HYPERLINK("https://www.philgeps.gov.ph/GEPSNONPILOT/Tender/SplashBidNoticeAbstractUI.aspx?menuIndex=3&amp;refID=7046269&amp;Result=3","7046269")</f>
        <v>0</v>
      </c>
      <c r="B1731" t="s">
        <v>703</v>
      </c>
      <c r="C1731" t="s">
        <v>4858</v>
      </c>
      <c r="D1731" t="s">
        <v>18022</v>
      </c>
      <c r="E1731" t="s">
        <v>19701</v>
      </c>
      <c r="F1731" t="s">
        <v>31574</v>
      </c>
      <c r="G1731" t="s">
        <v>31581</v>
      </c>
      <c r="H1731" t="s">
        <v>31590</v>
      </c>
      <c r="I1731" t="s">
        <v>8258</v>
      </c>
      <c r="J1731" t="s">
        <v>31883</v>
      </c>
      <c r="K1731" t="s">
        <v>41186</v>
      </c>
      <c r="M1731" t="s">
        <v>42211</v>
      </c>
      <c r="N1731" t="s">
        <v>45095</v>
      </c>
      <c r="O1731" t="s">
        <v>45096</v>
      </c>
      <c r="P1731">
        <v>0</v>
      </c>
      <c r="Q1731">
        <v>0</v>
      </c>
      <c r="R1731" t="s">
        <v>45097</v>
      </c>
      <c r="S1731" t="s">
        <v>45222</v>
      </c>
      <c r="T1731" t="s">
        <v>46904</v>
      </c>
      <c r="U1731" t="s">
        <v>48957</v>
      </c>
      <c r="W1731" t="s">
        <v>42211</v>
      </c>
      <c r="X1731" t="s">
        <v>45098</v>
      </c>
    </row>
    <row r="1732" spans="1:24">
      <c r="A1732">
        <f>HYPERLINK("https://www.philgeps.gov.ph/GEPSNONPILOT/Tender/SplashBidNoticeAbstractUI.aspx?menuIndex=3&amp;refID=7046276&amp;Result=3","7046276")</f>
        <v>0</v>
      </c>
      <c r="B1732" t="s">
        <v>434</v>
      </c>
      <c r="C1732" t="s">
        <v>4859</v>
      </c>
      <c r="D1732" t="s">
        <v>18041</v>
      </c>
      <c r="E1732" t="s">
        <v>19702</v>
      </c>
      <c r="F1732" t="s">
        <v>31574</v>
      </c>
      <c r="G1732" t="s">
        <v>31581</v>
      </c>
      <c r="H1732" t="s">
        <v>31590</v>
      </c>
      <c r="I1732" t="s">
        <v>31600</v>
      </c>
      <c r="J1732" t="s">
        <v>32973</v>
      </c>
      <c r="K1732" t="s">
        <v>41186</v>
      </c>
      <c r="M1732" t="s">
        <v>41927</v>
      </c>
      <c r="N1732" t="s">
        <v>45095</v>
      </c>
      <c r="O1732" t="s">
        <v>45096</v>
      </c>
      <c r="P1732">
        <v>0</v>
      </c>
      <c r="Q1732">
        <v>0</v>
      </c>
      <c r="R1732" t="s">
        <v>45097</v>
      </c>
      <c r="S1732" t="s">
        <v>45222</v>
      </c>
      <c r="T1732" t="s">
        <v>46918</v>
      </c>
      <c r="U1732" t="s">
        <v>48336</v>
      </c>
      <c r="V1732" t="s">
        <v>59939</v>
      </c>
      <c r="W1732" t="s">
        <v>41927</v>
      </c>
      <c r="X1732" t="s">
        <v>45098</v>
      </c>
    </row>
    <row r="1733" spans="1:24">
      <c r="A1733">
        <f>HYPERLINK("https://www.philgeps.gov.ph/GEPSNONPILOT/Tender/SplashBidNoticeAbstractUI.aspx?menuIndex=3&amp;refID=7046277&amp;Result=3","7046277")</f>
        <v>0</v>
      </c>
      <c r="B1733" t="s">
        <v>45</v>
      </c>
      <c r="C1733" t="s">
        <v>4860</v>
      </c>
      <c r="D1733" t="s">
        <v>18037</v>
      </c>
      <c r="E1733" t="s">
        <v>19703</v>
      </c>
      <c r="F1733" t="s">
        <v>31574</v>
      </c>
      <c r="G1733" t="s">
        <v>31581</v>
      </c>
      <c r="H1733" t="s">
        <v>31590</v>
      </c>
      <c r="I1733" t="s">
        <v>31595</v>
      </c>
      <c r="J1733" t="s">
        <v>32974</v>
      </c>
      <c r="K1733" t="s">
        <v>41186</v>
      </c>
      <c r="M1733" t="s">
        <v>41528</v>
      </c>
      <c r="N1733" t="s">
        <v>45095</v>
      </c>
      <c r="O1733" t="s">
        <v>45096</v>
      </c>
      <c r="P1733">
        <v>0</v>
      </c>
      <c r="Q1733">
        <v>0</v>
      </c>
      <c r="R1733" t="s">
        <v>45097</v>
      </c>
      <c r="S1733" t="s">
        <v>45222</v>
      </c>
      <c r="T1733" t="s">
        <v>46918</v>
      </c>
      <c r="U1733" t="s">
        <v>48958</v>
      </c>
      <c r="W1733" t="s">
        <v>41528</v>
      </c>
      <c r="X1733" t="s">
        <v>45098</v>
      </c>
    </row>
    <row r="1734" spans="1:24">
      <c r="A1734">
        <f>HYPERLINK("https://www.philgeps.gov.ph/GEPSNONPILOT/Tender/SplashBidNoticeAbstractUI.aspx?menuIndex=3&amp;refID=7046284&amp;Result=3","7046284")</f>
        <v>0</v>
      </c>
      <c r="B1734" t="s">
        <v>655</v>
      </c>
      <c r="C1734" t="s">
        <v>4861</v>
      </c>
      <c r="D1734" t="s">
        <v>18041</v>
      </c>
      <c r="E1734" t="s">
        <v>19704</v>
      </c>
      <c r="F1734" t="s">
        <v>31575</v>
      </c>
      <c r="G1734" t="s">
        <v>31583</v>
      </c>
      <c r="H1734" t="s">
        <v>31590</v>
      </c>
      <c r="I1734" t="s">
        <v>6800</v>
      </c>
      <c r="J1734" t="s">
        <v>32975</v>
      </c>
      <c r="K1734" t="s">
        <v>41186</v>
      </c>
      <c r="M1734" t="s">
        <v>42159</v>
      </c>
      <c r="N1734" t="s">
        <v>45095</v>
      </c>
      <c r="O1734" t="s">
        <v>45096</v>
      </c>
      <c r="P1734">
        <v>0</v>
      </c>
      <c r="Q1734">
        <v>0</v>
      </c>
      <c r="R1734" t="s">
        <v>45097</v>
      </c>
      <c r="S1734" t="s">
        <v>45222</v>
      </c>
      <c r="T1734" t="s">
        <v>47082</v>
      </c>
      <c r="U1734" t="s">
        <v>48959</v>
      </c>
      <c r="W1734" t="s">
        <v>42159</v>
      </c>
      <c r="X1734" t="s">
        <v>45098</v>
      </c>
    </row>
    <row r="1735" spans="1:24">
      <c r="A1735">
        <f>HYPERLINK("https://www.philgeps.gov.ph/GEPSNONPILOT/Tender/SplashBidNoticeAbstractUI.aspx?menuIndex=3&amp;refID=7046281&amp;Result=3","7046281")</f>
        <v>0</v>
      </c>
      <c r="B1735" t="s">
        <v>50</v>
      </c>
      <c r="C1735" t="s">
        <v>4862</v>
      </c>
      <c r="D1735" t="s">
        <v>18042</v>
      </c>
      <c r="E1735" t="s">
        <v>19653</v>
      </c>
      <c r="F1735" t="s">
        <v>31574</v>
      </c>
      <c r="G1735" t="s">
        <v>31582</v>
      </c>
      <c r="H1735" t="s">
        <v>31590</v>
      </c>
      <c r="I1735" t="s">
        <v>31614</v>
      </c>
      <c r="J1735" t="s">
        <v>32976</v>
      </c>
      <c r="K1735" t="s">
        <v>41186</v>
      </c>
      <c r="M1735" t="s">
        <v>41533</v>
      </c>
      <c r="N1735" t="s">
        <v>45095</v>
      </c>
      <c r="O1735" t="s">
        <v>45096</v>
      </c>
      <c r="P1735">
        <v>0</v>
      </c>
      <c r="Q1735">
        <v>0</v>
      </c>
      <c r="R1735" t="s">
        <v>45097</v>
      </c>
      <c r="S1735" t="s">
        <v>45222</v>
      </c>
      <c r="T1735" t="s">
        <v>46916</v>
      </c>
      <c r="U1735" t="s">
        <v>48910</v>
      </c>
      <c r="W1735" t="s">
        <v>41533</v>
      </c>
      <c r="X1735" t="s">
        <v>45098</v>
      </c>
    </row>
    <row r="1736" spans="1:24">
      <c r="A1736">
        <f>HYPERLINK("https://www.philgeps.gov.ph/GEPSNONPILOT/Tender/SplashBidNoticeAbstractUI.aspx?menuIndex=3&amp;refID=7046272&amp;Result=3","7046272")</f>
        <v>0</v>
      </c>
      <c r="B1736" t="s">
        <v>159</v>
      </c>
      <c r="C1736" t="s">
        <v>4863</v>
      </c>
      <c r="D1736" t="s">
        <v>18046</v>
      </c>
      <c r="E1736" t="s">
        <v>19705</v>
      </c>
      <c r="F1736" t="s">
        <v>31574</v>
      </c>
      <c r="G1736" t="s">
        <v>31581</v>
      </c>
      <c r="H1736" t="s">
        <v>31590</v>
      </c>
      <c r="I1736" t="s">
        <v>3539</v>
      </c>
      <c r="J1736" t="s">
        <v>31727</v>
      </c>
      <c r="K1736" t="s">
        <v>41186</v>
      </c>
      <c r="M1736" t="s">
        <v>42212</v>
      </c>
      <c r="N1736" t="s">
        <v>45095</v>
      </c>
      <c r="O1736" t="s">
        <v>45096</v>
      </c>
      <c r="P1736">
        <v>0</v>
      </c>
      <c r="Q1736">
        <v>0</v>
      </c>
      <c r="R1736" t="s">
        <v>45097</v>
      </c>
      <c r="S1736" t="s">
        <v>45222</v>
      </c>
      <c r="T1736" t="s">
        <v>46913</v>
      </c>
      <c r="U1736" t="s">
        <v>48960</v>
      </c>
      <c r="W1736" t="s">
        <v>42212</v>
      </c>
      <c r="X1736" t="s">
        <v>45098</v>
      </c>
    </row>
    <row r="1737" spans="1:24">
      <c r="A1737">
        <f>HYPERLINK("https://www.philgeps.gov.ph/GEPSNONPILOT/Tender/SplashBidNoticeAbstractUI.aspx?menuIndex=3&amp;refID=7046239&amp;Result=3","7046239")</f>
        <v>0</v>
      </c>
      <c r="B1737" t="s">
        <v>704</v>
      </c>
      <c r="C1737" t="s">
        <v>4864</v>
      </c>
      <c r="E1737" t="s">
        <v>19706</v>
      </c>
      <c r="F1737" t="s">
        <v>31574</v>
      </c>
      <c r="G1737" t="s">
        <v>31582</v>
      </c>
      <c r="H1737" t="s">
        <v>31591</v>
      </c>
      <c r="I1737" t="s">
        <v>8822</v>
      </c>
      <c r="J1737" t="s">
        <v>32977</v>
      </c>
      <c r="K1737" t="s">
        <v>41262</v>
      </c>
      <c r="M1737" t="s">
        <v>42213</v>
      </c>
      <c r="N1737" t="s">
        <v>45095</v>
      </c>
      <c r="O1737" t="s">
        <v>45096</v>
      </c>
      <c r="P1737">
        <v>0</v>
      </c>
      <c r="Q1737">
        <v>0</v>
      </c>
      <c r="R1737" t="s">
        <v>45097</v>
      </c>
      <c r="S1737" t="s">
        <v>45222</v>
      </c>
      <c r="T1737" t="s">
        <v>46908</v>
      </c>
      <c r="U1737" t="s">
        <v>48961</v>
      </c>
      <c r="W1737" t="s">
        <v>42213</v>
      </c>
      <c r="X1737" t="s">
        <v>45098</v>
      </c>
    </row>
    <row r="1738" spans="1:24">
      <c r="A1738">
        <f>HYPERLINK("https://www.philgeps.gov.ph/GEPSNONPILOT/Tender/SplashBidNoticeAbstractUI.aspx?menuIndex=3&amp;refID=7046282&amp;Result=3","7046282")</f>
        <v>0</v>
      </c>
      <c r="B1738" t="s">
        <v>705</v>
      </c>
      <c r="C1738" t="s">
        <v>4865</v>
      </c>
      <c r="D1738" t="s">
        <v>18022</v>
      </c>
      <c r="E1738" t="s">
        <v>19707</v>
      </c>
      <c r="F1738" t="s">
        <v>31574</v>
      </c>
      <c r="G1738" t="s">
        <v>31581</v>
      </c>
      <c r="H1738" t="s">
        <v>31590</v>
      </c>
      <c r="I1738" t="s">
        <v>31675</v>
      </c>
      <c r="J1738" t="s">
        <v>32090</v>
      </c>
      <c r="K1738" t="s">
        <v>41184</v>
      </c>
      <c r="M1738" t="s">
        <v>42214</v>
      </c>
      <c r="N1738" t="s">
        <v>45095</v>
      </c>
      <c r="O1738" t="s">
        <v>45096</v>
      </c>
      <c r="P1738">
        <v>0</v>
      </c>
      <c r="Q1738">
        <v>0</v>
      </c>
      <c r="R1738" t="s">
        <v>45097</v>
      </c>
      <c r="S1738" t="s">
        <v>45222</v>
      </c>
      <c r="T1738" t="s">
        <v>46969</v>
      </c>
      <c r="U1738" t="s">
        <v>48962</v>
      </c>
      <c r="W1738" t="s">
        <v>61678</v>
      </c>
      <c r="X1738" t="s">
        <v>45098</v>
      </c>
    </row>
    <row r="1739" spans="1:24">
      <c r="A1739">
        <f>HYPERLINK("https://www.philgeps.gov.ph/GEPSNONPILOT/Tender/SplashBidNoticeAbstractUI.aspx?menuIndex=3&amp;refID=7046287&amp;Result=3","7046287")</f>
        <v>0</v>
      </c>
      <c r="B1739" t="s">
        <v>706</v>
      </c>
      <c r="C1739" t="s">
        <v>4866</v>
      </c>
      <c r="D1739" t="s">
        <v>18022</v>
      </c>
      <c r="E1739" t="s">
        <v>19708</v>
      </c>
      <c r="F1739" t="s">
        <v>31574</v>
      </c>
      <c r="G1739" t="s">
        <v>31581</v>
      </c>
      <c r="H1739" t="s">
        <v>31590</v>
      </c>
      <c r="I1739" t="s">
        <v>31603</v>
      </c>
      <c r="J1739" t="s">
        <v>31848</v>
      </c>
      <c r="K1739" t="s">
        <v>41191</v>
      </c>
      <c r="M1739" t="s">
        <v>42215</v>
      </c>
      <c r="N1739" t="s">
        <v>45095</v>
      </c>
      <c r="O1739" t="s">
        <v>45096</v>
      </c>
      <c r="P1739">
        <v>0</v>
      </c>
      <c r="Q1739">
        <v>0</v>
      </c>
      <c r="R1739" t="s">
        <v>45097</v>
      </c>
      <c r="S1739" t="s">
        <v>45222</v>
      </c>
      <c r="T1739" t="s">
        <v>46918</v>
      </c>
      <c r="U1739" t="s">
        <v>48963</v>
      </c>
      <c r="V1739" t="s">
        <v>60014</v>
      </c>
      <c r="W1739" t="s">
        <v>42215</v>
      </c>
      <c r="X1739" t="s">
        <v>45098</v>
      </c>
    </row>
    <row r="1740" spans="1:24">
      <c r="A1740">
        <f>HYPERLINK("https://www.philgeps.gov.ph/GEPSNONPILOT/Tender/SplashBidNoticeAbstractUI.aspx?menuIndex=3&amp;refID=7046278&amp;Result=3","7046278")</f>
        <v>0</v>
      </c>
      <c r="B1740" t="s">
        <v>707</v>
      </c>
      <c r="C1740" t="s">
        <v>4867</v>
      </c>
      <c r="D1740" t="s">
        <v>18040</v>
      </c>
      <c r="E1740" t="s">
        <v>19368</v>
      </c>
      <c r="F1740" t="s">
        <v>31574</v>
      </c>
      <c r="G1740" t="s">
        <v>31582</v>
      </c>
      <c r="H1740" t="s">
        <v>31591</v>
      </c>
      <c r="I1740" t="s">
        <v>8822</v>
      </c>
      <c r="J1740" t="s">
        <v>32978</v>
      </c>
      <c r="K1740" t="s">
        <v>41212</v>
      </c>
      <c r="M1740" t="s">
        <v>42216</v>
      </c>
      <c r="N1740" t="s">
        <v>45095</v>
      </c>
      <c r="O1740" t="s">
        <v>45096</v>
      </c>
      <c r="P1740">
        <v>0</v>
      </c>
      <c r="Q1740">
        <v>0</v>
      </c>
      <c r="R1740" t="s">
        <v>45097</v>
      </c>
      <c r="S1740" t="s">
        <v>45222</v>
      </c>
      <c r="T1740" t="s">
        <v>46915</v>
      </c>
      <c r="U1740" t="s">
        <v>48964</v>
      </c>
      <c r="V1740" t="s">
        <v>60015</v>
      </c>
      <c r="W1740" t="s">
        <v>42216</v>
      </c>
      <c r="X1740" t="s">
        <v>45098</v>
      </c>
    </row>
    <row r="1741" spans="1:24">
      <c r="A1741">
        <f>HYPERLINK("https://www.philgeps.gov.ph/GEPSNONPILOT/Tender/SplashBidNoticeAbstractUI.aspx?menuIndex=3&amp;refID=7046279&amp;Result=3","7046279")</f>
        <v>0</v>
      </c>
      <c r="B1741" t="s">
        <v>708</v>
      </c>
      <c r="C1741" t="s">
        <v>4868</v>
      </c>
      <c r="D1741" t="s">
        <v>18028</v>
      </c>
      <c r="E1741" t="s">
        <v>19709</v>
      </c>
      <c r="F1741" t="s">
        <v>31574</v>
      </c>
      <c r="G1741" t="s">
        <v>31581</v>
      </c>
      <c r="H1741" t="s">
        <v>31590</v>
      </c>
      <c r="I1741" t="s">
        <v>31600</v>
      </c>
      <c r="J1741" t="s">
        <v>32979</v>
      </c>
      <c r="K1741" t="s">
        <v>41213</v>
      </c>
      <c r="M1741" t="s">
        <v>42217</v>
      </c>
      <c r="N1741" t="s">
        <v>45095</v>
      </c>
      <c r="O1741" t="s">
        <v>45096</v>
      </c>
      <c r="P1741">
        <v>0</v>
      </c>
      <c r="Q1741">
        <v>0</v>
      </c>
      <c r="R1741" t="s">
        <v>45097</v>
      </c>
      <c r="S1741" t="s">
        <v>45222</v>
      </c>
      <c r="T1741" t="s">
        <v>46918</v>
      </c>
      <c r="U1741" t="s">
        <v>48965</v>
      </c>
      <c r="V1741" t="s">
        <v>59855</v>
      </c>
      <c r="W1741" t="s">
        <v>42217</v>
      </c>
      <c r="X1741" t="s">
        <v>45098</v>
      </c>
    </row>
    <row r="1742" spans="1:24">
      <c r="A1742">
        <f>HYPERLINK("https://www.philgeps.gov.ph/GEPSNONPILOT/Tender/SplashBidNoticeAbstractUI.aspx?menuIndex=3&amp;refID=7046286&amp;Result=3","7046286")</f>
        <v>0</v>
      </c>
      <c r="B1742" t="s">
        <v>704</v>
      </c>
      <c r="C1742" t="s">
        <v>4869</v>
      </c>
      <c r="E1742" t="s">
        <v>19710</v>
      </c>
      <c r="F1742" t="s">
        <v>31574</v>
      </c>
      <c r="G1742" t="s">
        <v>31582</v>
      </c>
      <c r="H1742" t="s">
        <v>31591</v>
      </c>
      <c r="I1742" t="s">
        <v>8822</v>
      </c>
      <c r="J1742" t="s">
        <v>32980</v>
      </c>
      <c r="K1742" t="s">
        <v>41262</v>
      </c>
      <c r="M1742" t="s">
        <v>42213</v>
      </c>
      <c r="N1742" t="s">
        <v>45095</v>
      </c>
      <c r="O1742" t="s">
        <v>45096</v>
      </c>
      <c r="P1742">
        <v>0</v>
      </c>
      <c r="Q1742">
        <v>0</v>
      </c>
      <c r="R1742" t="s">
        <v>45097</v>
      </c>
      <c r="S1742" t="s">
        <v>45222</v>
      </c>
      <c r="T1742" t="s">
        <v>46908</v>
      </c>
      <c r="U1742" t="s">
        <v>48966</v>
      </c>
      <c r="W1742" t="s">
        <v>42213</v>
      </c>
      <c r="X1742" t="s">
        <v>45098</v>
      </c>
    </row>
    <row r="1743" spans="1:24">
      <c r="A1743">
        <f>HYPERLINK("https://www.philgeps.gov.ph/GEPSNONPILOT/Tender/SplashBidNoticeAbstractUI.aspx?menuIndex=3&amp;refID=7046296&amp;Result=3","7046296")</f>
        <v>0</v>
      </c>
      <c r="B1743" t="s">
        <v>326</v>
      </c>
      <c r="C1743" t="s">
        <v>4870</v>
      </c>
      <c r="D1743" t="s">
        <v>18050</v>
      </c>
      <c r="E1743" t="s">
        <v>19711</v>
      </c>
      <c r="F1743" t="s">
        <v>31574</v>
      </c>
      <c r="G1743" t="s">
        <v>31581</v>
      </c>
      <c r="H1743" t="s">
        <v>31590</v>
      </c>
      <c r="I1743" t="s">
        <v>3487</v>
      </c>
      <c r="J1743" t="s">
        <v>32981</v>
      </c>
      <c r="K1743" t="s">
        <v>41196</v>
      </c>
      <c r="M1743" t="s">
        <v>42218</v>
      </c>
      <c r="N1743" t="s">
        <v>45095</v>
      </c>
      <c r="O1743" t="s">
        <v>45096</v>
      </c>
      <c r="P1743">
        <v>0</v>
      </c>
      <c r="Q1743">
        <v>0</v>
      </c>
      <c r="R1743" t="s">
        <v>45097</v>
      </c>
      <c r="S1743" t="s">
        <v>45222</v>
      </c>
      <c r="T1743" t="s">
        <v>46949</v>
      </c>
      <c r="U1743" t="s">
        <v>48967</v>
      </c>
      <c r="W1743" t="s">
        <v>42218</v>
      </c>
      <c r="X1743" t="s">
        <v>45098</v>
      </c>
    </row>
    <row r="1744" spans="1:24">
      <c r="A1744">
        <f>HYPERLINK("https://www.philgeps.gov.ph/GEPSNONPILOT/Tender/SplashBidNoticeAbstractUI.aspx?menuIndex=3&amp;refID=7046294&amp;Result=3","7046294")</f>
        <v>0</v>
      </c>
      <c r="B1744" t="s">
        <v>70</v>
      </c>
      <c r="C1744" t="s">
        <v>4871</v>
      </c>
      <c r="E1744" t="s">
        <v>18379</v>
      </c>
      <c r="F1744" t="s">
        <v>31574</v>
      </c>
      <c r="G1744" t="s">
        <v>31583</v>
      </c>
      <c r="H1744" t="s">
        <v>31590</v>
      </c>
      <c r="I1744" t="s">
        <v>6800</v>
      </c>
      <c r="J1744" t="s">
        <v>32982</v>
      </c>
      <c r="K1744" t="s">
        <v>41184</v>
      </c>
      <c r="M1744" t="s">
        <v>41554</v>
      </c>
      <c r="N1744" t="s">
        <v>45095</v>
      </c>
      <c r="O1744" t="s">
        <v>45096</v>
      </c>
      <c r="P1744">
        <v>0</v>
      </c>
      <c r="Q1744">
        <v>0</v>
      </c>
      <c r="R1744" t="s">
        <v>45097</v>
      </c>
      <c r="S1744" t="s">
        <v>45222</v>
      </c>
      <c r="T1744" t="s">
        <v>46936</v>
      </c>
      <c r="U1744" t="s">
        <v>48968</v>
      </c>
      <c r="W1744" t="s">
        <v>41554</v>
      </c>
      <c r="X1744" t="s">
        <v>45098</v>
      </c>
    </row>
    <row r="1745" spans="1:24">
      <c r="A1745">
        <f>HYPERLINK("https://www.philgeps.gov.ph/GEPSNONPILOT/Tender/SplashBidNoticeAbstractUI.aspx?menuIndex=3&amp;refID=7046293&amp;Result=3","7046293")</f>
        <v>0</v>
      </c>
      <c r="B1745" t="s">
        <v>709</v>
      </c>
      <c r="C1745" t="s">
        <v>4872</v>
      </c>
      <c r="D1745" t="s">
        <v>18026</v>
      </c>
      <c r="E1745" t="s">
        <v>19712</v>
      </c>
      <c r="F1745" t="s">
        <v>31574</v>
      </c>
      <c r="G1745" t="s">
        <v>31581</v>
      </c>
      <c r="H1745" t="s">
        <v>31590</v>
      </c>
      <c r="I1745" t="s">
        <v>31629</v>
      </c>
      <c r="J1745" t="s">
        <v>32732</v>
      </c>
      <c r="K1745" t="s">
        <v>41211</v>
      </c>
      <c r="M1745" t="s">
        <v>42219</v>
      </c>
      <c r="N1745" t="s">
        <v>45095</v>
      </c>
      <c r="O1745" t="s">
        <v>45096</v>
      </c>
      <c r="P1745">
        <v>0</v>
      </c>
      <c r="Q1745">
        <v>0</v>
      </c>
      <c r="R1745" t="s">
        <v>45097</v>
      </c>
      <c r="S1745" t="s">
        <v>45222</v>
      </c>
      <c r="T1745" t="s">
        <v>46918</v>
      </c>
      <c r="U1745" t="s">
        <v>48969</v>
      </c>
      <c r="W1745" t="s">
        <v>42219</v>
      </c>
      <c r="X1745" t="s">
        <v>45098</v>
      </c>
    </row>
    <row r="1746" spans="1:24">
      <c r="A1746">
        <f>HYPERLINK("https://www.philgeps.gov.ph/GEPSNONPILOT/Tender/SplashBidNoticeAbstractUI.aspx?menuIndex=3&amp;refID=7046291&amp;Result=3","7046291")</f>
        <v>0</v>
      </c>
      <c r="B1746" t="s">
        <v>588</v>
      </c>
      <c r="C1746" t="s">
        <v>4873</v>
      </c>
      <c r="D1746" t="s">
        <v>18064</v>
      </c>
      <c r="E1746" t="s">
        <v>19097</v>
      </c>
      <c r="F1746" t="s">
        <v>31574</v>
      </c>
      <c r="G1746" t="s">
        <v>31581</v>
      </c>
      <c r="H1746" t="s">
        <v>31590</v>
      </c>
      <c r="I1746" t="s">
        <v>31608</v>
      </c>
      <c r="J1746" t="s">
        <v>32983</v>
      </c>
      <c r="K1746" t="s">
        <v>41190</v>
      </c>
      <c r="M1746" t="s">
        <v>42090</v>
      </c>
      <c r="N1746" t="s">
        <v>45095</v>
      </c>
      <c r="O1746" t="s">
        <v>45096</v>
      </c>
      <c r="P1746">
        <v>0</v>
      </c>
      <c r="Q1746">
        <v>0</v>
      </c>
      <c r="R1746" t="s">
        <v>45097</v>
      </c>
      <c r="S1746" t="s">
        <v>45222</v>
      </c>
      <c r="T1746" t="s">
        <v>46913</v>
      </c>
      <c r="U1746" t="s">
        <v>48970</v>
      </c>
      <c r="W1746" t="s">
        <v>42090</v>
      </c>
      <c r="X1746" t="s">
        <v>45098</v>
      </c>
    </row>
    <row r="1747" spans="1:24">
      <c r="A1747">
        <f>HYPERLINK("https://www.philgeps.gov.ph/GEPSNONPILOT/Tender/SplashBidNoticeAbstractUI.aspx?menuIndex=3&amp;refID=7046288&amp;Result=3","7046288")</f>
        <v>0</v>
      </c>
      <c r="B1747" t="s">
        <v>326</v>
      </c>
      <c r="C1747" t="s">
        <v>4874</v>
      </c>
      <c r="D1747" t="s">
        <v>18050</v>
      </c>
      <c r="E1747" t="s">
        <v>19713</v>
      </c>
      <c r="F1747" t="s">
        <v>31574</v>
      </c>
      <c r="G1747" t="s">
        <v>31582</v>
      </c>
      <c r="H1747" t="s">
        <v>31590</v>
      </c>
      <c r="I1747" t="s">
        <v>31676</v>
      </c>
      <c r="J1747" t="s">
        <v>32984</v>
      </c>
      <c r="K1747" t="s">
        <v>41196</v>
      </c>
      <c r="M1747" t="s">
        <v>41814</v>
      </c>
      <c r="N1747" t="s">
        <v>45095</v>
      </c>
      <c r="O1747" t="s">
        <v>45096</v>
      </c>
      <c r="P1747">
        <v>0</v>
      </c>
      <c r="Q1747">
        <v>0</v>
      </c>
      <c r="R1747" t="s">
        <v>45097</v>
      </c>
      <c r="S1747" t="s">
        <v>45222</v>
      </c>
      <c r="T1747" t="s">
        <v>47030</v>
      </c>
      <c r="U1747" t="s">
        <v>48971</v>
      </c>
      <c r="W1747" t="s">
        <v>41814</v>
      </c>
      <c r="X1747" t="s">
        <v>45098</v>
      </c>
    </row>
    <row r="1748" spans="1:24">
      <c r="A1748">
        <f>HYPERLINK("https://www.philgeps.gov.ph/GEPSNONPILOT/Tender/SplashBidNoticeAbstractUI.aspx?menuIndex=3&amp;refID=7046280&amp;Result=3","7046280")</f>
        <v>0</v>
      </c>
      <c r="B1748" t="s">
        <v>710</v>
      </c>
      <c r="C1748" t="s">
        <v>4875</v>
      </c>
      <c r="D1748" t="s">
        <v>18104</v>
      </c>
      <c r="E1748" t="s">
        <v>19714</v>
      </c>
      <c r="F1748" t="s">
        <v>31574</v>
      </c>
      <c r="G1748" t="s">
        <v>31582</v>
      </c>
      <c r="H1748" t="s">
        <v>31591</v>
      </c>
      <c r="I1748" t="s">
        <v>8822</v>
      </c>
      <c r="J1748" t="s">
        <v>32985</v>
      </c>
      <c r="K1748" t="s">
        <v>41245</v>
      </c>
      <c r="M1748" t="s">
        <v>42220</v>
      </c>
      <c r="N1748" t="s">
        <v>45095</v>
      </c>
      <c r="O1748" t="s">
        <v>45096</v>
      </c>
      <c r="P1748">
        <v>0</v>
      </c>
      <c r="Q1748">
        <v>0</v>
      </c>
      <c r="R1748" t="s">
        <v>45097</v>
      </c>
      <c r="S1748" t="s">
        <v>45222</v>
      </c>
      <c r="T1748" t="s">
        <v>47089</v>
      </c>
      <c r="U1748" t="s">
        <v>48972</v>
      </c>
      <c r="W1748" t="s">
        <v>42220</v>
      </c>
      <c r="X1748" t="s">
        <v>45098</v>
      </c>
    </row>
    <row r="1749" spans="1:24">
      <c r="A1749">
        <f>HYPERLINK("https://www.philgeps.gov.ph/GEPSNONPILOT/Tender/SplashBidNoticeAbstractUI.aspx?menuIndex=3&amp;refID=7046299&amp;Result=3","7046299")</f>
        <v>0</v>
      </c>
      <c r="B1749" t="s">
        <v>677</v>
      </c>
      <c r="C1749" t="s">
        <v>4876</v>
      </c>
      <c r="D1749" t="s">
        <v>18058</v>
      </c>
      <c r="E1749" t="s">
        <v>19715</v>
      </c>
      <c r="F1749" t="s">
        <v>31574</v>
      </c>
      <c r="G1749" t="s">
        <v>31582</v>
      </c>
      <c r="H1749" t="s">
        <v>31591</v>
      </c>
      <c r="I1749" t="s">
        <v>31622</v>
      </c>
      <c r="J1749" t="s">
        <v>32986</v>
      </c>
      <c r="K1749" t="s">
        <v>41263</v>
      </c>
      <c r="M1749" t="s">
        <v>42184</v>
      </c>
      <c r="N1749" t="s">
        <v>45095</v>
      </c>
      <c r="O1749" t="s">
        <v>45096</v>
      </c>
      <c r="P1749">
        <v>0</v>
      </c>
      <c r="Q1749">
        <v>0</v>
      </c>
      <c r="R1749" t="s">
        <v>45097</v>
      </c>
      <c r="S1749" t="s">
        <v>45222</v>
      </c>
      <c r="T1749" t="s">
        <v>47090</v>
      </c>
      <c r="U1749" t="s">
        <v>48973</v>
      </c>
      <c r="V1749" t="s">
        <v>60016</v>
      </c>
      <c r="W1749" t="s">
        <v>42184</v>
      </c>
      <c r="X1749" t="s">
        <v>45098</v>
      </c>
    </row>
    <row r="1750" spans="1:24">
      <c r="A1750">
        <f>HYPERLINK("https://www.philgeps.gov.ph/GEPSNONPILOT/Tender/SplashBidNoticeAbstractUI.aspx?menuIndex=3&amp;refID=7046298&amp;Result=3","7046298")</f>
        <v>0</v>
      </c>
      <c r="B1750" t="s">
        <v>291</v>
      </c>
      <c r="C1750" t="s">
        <v>4043</v>
      </c>
      <c r="D1750" t="s">
        <v>18091</v>
      </c>
      <c r="E1750" t="s">
        <v>19716</v>
      </c>
      <c r="F1750" t="s">
        <v>31574</v>
      </c>
      <c r="G1750" t="s">
        <v>31581</v>
      </c>
      <c r="H1750" t="s">
        <v>31590</v>
      </c>
      <c r="I1750" t="s">
        <v>31602</v>
      </c>
      <c r="J1750" t="s">
        <v>31726</v>
      </c>
      <c r="K1750" t="s">
        <v>41189</v>
      </c>
      <c r="M1750" t="s">
        <v>41777</v>
      </c>
      <c r="N1750" t="s">
        <v>45095</v>
      </c>
      <c r="O1750" t="s">
        <v>45096</v>
      </c>
      <c r="P1750">
        <v>0</v>
      </c>
      <c r="Q1750">
        <v>0</v>
      </c>
      <c r="R1750" t="s">
        <v>45097</v>
      </c>
      <c r="S1750" t="s">
        <v>45222</v>
      </c>
      <c r="T1750" t="s">
        <v>46926</v>
      </c>
      <c r="U1750" t="s">
        <v>48174</v>
      </c>
      <c r="V1750" t="s">
        <v>59918</v>
      </c>
      <c r="W1750" t="s">
        <v>41777</v>
      </c>
      <c r="X1750" t="s">
        <v>45098</v>
      </c>
    </row>
    <row r="1751" spans="1:24">
      <c r="A1751">
        <f>HYPERLINK("https://www.philgeps.gov.ph/GEPSNONPILOT/Tender/SplashBidNoticeAbstractUI.aspx?menuIndex=3&amp;refID=7046292&amp;Result=3","7046292")</f>
        <v>0</v>
      </c>
      <c r="B1751" t="s">
        <v>464</v>
      </c>
      <c r="C1751" t="s">
        <v>3976</v>
      </c>
      <c r="D1751" t="s">
        <v>18050</v>
      </c>
      <c r="E1751" t="s">
        <v>19717</v>
      </c>
      <c r="F1751" t="s">
        <v>31574</v>
      </c>
      <c r="G1751" t="s">
        <v>31581</v>
      </c>
      <c r="H1751" t="s">
        <v>31590</v>
      </c>
      <c r="I1751" t="s">
        <v>6800</v>
      </c>
      <c r="J1751" t="s">
        <v>32987</v>
      </c>
      <c r="K1751" t="s">
        <v>41213</v>
      </c>
      <c r="M1751" t="s">
        <v>41958</v>
      </c>
      <c r="N1751" t="s">
        <v>45095</v>
      </c>
      <c r="O1751" t="s">
        <v>45096</v>
      </c>
      <c r="P1751">
        <v>0</v>
      </c>
      <c r="Q1751">
        <v>0</v>
      </c>
      <c r="R1751" t="s">
        <v>45097</v>
      </c>
      <c r="S1751" t="s">
        <v>45222</v>
      </c>
      <c r="T1751" t="s">
        <v>46946</v>
      </c>
      <c r="U1751" t="s">
        <v>48974</v>
      </c>
      <c r="W1751" t="s">
        <v>41958</v>
      </c>
      <c r="X1751" t="s">
        <v>45098</v>
      </c>
    </row>
    <row r="1752" spans="1:24">
      <c r="A1752">
        <f>HYPERLINK("https://www.philgeps.gov.ph/GEPSNONPILOT/Tender/SplashBidNoticeAbstractUI.aspx?menuIndex=3&amp;refID=7046305&amp;Result=3","7046305")</f>
        <v>0</v>
      </c>
      <c r="B1752" t="s">
        <v>408</v>
      </c>
      <c r="C1752" t="s">
        <v>4877</v>
      </c>
      <c r="D1752" t="s">
        <v>18059</v>
      </c>
      <c r="E1752" t="s">
        <v>19718</v>
      </c>
      <c r="F1752" t="s">
        <v>31574</v>
      </c>
      <c r="G1752" t="s">
        <v>31581</v>
      </c>
      <c r="H1752" t="s">
        <v>31590</v>
      </c>
      <c r="I1752" t="s">
        <v>4327</v>
      </c>
      <c r="J1752" t="s">
        <v>32258</v>
      </c>
      <c r="K1752" t="s">
        <v>41184</v>
      </c>
      <c r="M1752" t="s">
        <v>41899</v>
      </c>
      <c r="N1752" t="s">
        <v>45095</v>
      </c>
      <c r="O1752" t="s">
        <v>45096</v>
      </c>
      <c r="P1752">
        <v>0</v>
      </c>
      <c r="Q1752">
        <v>0</v>
      </c>
      <c r="R1752" t="s">
        <v>45097</v>
      </c>
      <c r="S1752" t="s">
        <v>45222</v>
      </c>
      <c r="T1752" t="s">
        <v>46938</v>
      </c>
      <c r="U1752" t="s">
        <v>48953</v>
      </c>
      <c r="W1752" t="s">
        <v>41899</v>
      </c>
      <c r="X1752" t="s">
        <v>45098</v>
      </c>
    </row>
    <row r="1753" spans="1:24">
      <c r="A1753">
        <f>HYPERLINK("https://www.philgeps.gov.ph/GEPSNONPILOT/Tender/SplashBidNoticeAbstractUI.aspx?menuIndex=3&amp;refID=7046290&amp;Result=3","7046290")</f>
        <v>0</v>
      </c>
      <c r="B1753" t="s">
        <v>711</v>
      </c>
      <c r="C1753" t="s">
        <v>4878</v>
      </c>
      <c r="D1753" t="s">
        <v>18079</v>
      </c>
      <c r="E1753" t="s">
        <v>19719</v>
      </c>
      <c r="F1753" t="s">
        <v>31574</v>
      </c>
      <c r="G1753" t="s">
        <v>31581</v>
      </c>
      <c r="H1753" t="s">
        <v>31590</v>
      </c>
      <c r="I1753" t="s">
        <v>4327</v>
      </c>
      <c r="J1753" t="s">
        <v>32988</v>
      </c>
      <c r="K1753" t="s">
        <v>41190</v>
      </c>
      <c r="M1753" t="s">
        <v>42221</v>
      </c>
      <c r="N1753" t="s">
        <v>45095</v>
      </c>
      <c r="O1753" t="s">
        <v>45096</v>
      </c>
      <c r="P1753">
        <v>0</v>
      </c>
      <c r="Q1753">
        <v>0</v>
      </c>
      <c r="R1753" t="s">
        <v>45097</v>
      </c>
      <c r="S1753" t="s">
        <v>45222</v>
      </c>
      <c r="T1753" t="s">
        <v>46913</v>
      </c>
      <c r="U1753" t="s">
        <v>47575</v>
      </c>
      <c r="V1753" t="s">
        <v>60017</v>
      </c>
      <c r="W1753" t="s">
        <v>42221</v>
      </c>
      <c r="X1753" t="s">
        <v>45098</v>
      </c>
    </row>
    <row r="1754" spans="1:24">
      <c r="A1754">
        <f>HYPERLINK("https://www.philgeps.gov.ph/GEPSNONPILOT/Tender/SplashBidNoticeAbstractUI.aspx?menuIndex=3&amp;refID=7046304&amp;Result=3","7046304")</f>
        <v>0</v>
      </c>
      <c r="B1754" t="s">
        <v>387</v>
      </c>
      <c r="C1754" t="s">
        <v>4879</v>
      </c>
      <c r="D1754" t="s">
        <v>18076</v>
      </c>
      <c r="E1754" t="s">
        <v>18379</v>
      </c>
      <c r="F1754" t="s">
        <v>31574</v>
      </c>
      <c r="G1754" t="s">
        <v>31581</v>
      </c>
      <c r="H1754" t="s">
        <v>31590</v>
      </c>
      <c r="I1754" t="s">
        <v>3487</v>
      </c>
      <c r="J1754" t="s">
        <v>32017</v>
      </c>
      <c r="K1754" t="s">
        <v>41193</v>
      </c>
      <c r="M1754" t="s">
        <v>41878</v>
      </c>
      <c r="N1754" t="s">
        <v>45095</v>
      </c>
      <c r="O1754" t="s">
        <v>45096</v>
      </c>
      <c r="P1754">
        <v>0</v>
      </c>
      <c r="Q1754">
        <v>0</v>
      </c>
      <c r="R1754" t="s">
        <v>45097</v>
      </c>
      <c r="S1754" t="s">
        <v>45222</v>
      </c>
      <c r="T1754" t="s">
        <v>47035</v>
      </c>
      <c r="U1754" t="s">
        <v>48975</v>
      </c>
      <c r="W1754" t="s">
        <v>41878</v>
      </c>
      <c r="X1754" t="s">
        <v>45098</v>
      </c>
    </row>
    <row r="1755" spans="1:24">
      <c r="A1755">
        <f>HYPERLINK("https://www.philgeps.gov.ph/GEPSNONPILOT/Tender/SplashBidNoticeAbstractUI.aspx?menuIndex=3&amp;refID=7046301&amp;Result=3","7046301")</f>
        <v>0</v>
      </c>
      <c r="B1755" t="s">
        <v>712</v>
      </c>
      <c r="C1755" t="s">
        <v>4880</v>
      </c>
      <c r="D1755" t="s">
        <v>18041</v>
      </c>
      <c r="E1755" t="s">
        <v>19720</v>
      </c>
      <c r="F1755" t="s">
        <v>31574</v>
      </c>
      <c r="G1755" t="s">
        <v>31582</v>
      </c>
      <c r="H1755" t="s">
        <v>31590</v>
      </c>
      <c r="I1755" t="s">
        <v>4327</v>
      </c>
      <c r="J1755" t="s">
        <v>31957</v>
      </c>
      <c r="K1755" t="s">
        <v>41184</v>
      </c>
      <c r="M1755" t="s">
        <v>42222</v>
      </c>
      <c r="N1755" t="s">
        <v>45095</v>
      </c>
      <c r="O1755" t="s">
        <v>45096</v>
      </c>
      <c r="P1755">
        <v>0</v>
      </c>
      <c r="Q1755">
        <v>0</v>
      </c>
      <c r="R1755" t="s">
        <v>45097</v>
      </c>
      <c r="S1755" t="s">
        <v>45222</v>
      </c>
      <c r="T1755" t="s">
        <v>47091</v>
      </c>
      <c r="U1755" t="s">
        <v>48976</v>
      </c>
      <c r="W1755" t="s">
        <v>42222</v>
      </c>
      <c r="X1755" t="s">
        <v>45098</v>
      </c>
    </row>
    <row r="1756" spans="1:24">
      <c r="A1756">
        <f>HYPERLINK("https://www.philgeps.gov.ph/GEPSNONPILOT/Tender/SplashBidNoticeAbstractUI.aspx?menuIndex=3&amp;refID=7046307&amp;Result=3","7046307")</f>
        <v>0</v>
      </c>
      <c r="B1756" t="s">
        <v>333</v>
      </c>
      <c r="C1756" t="s">
        <v>4881</v>
      </c>
      <c r="D1756" t="s">
        <v>18081</v>
      </c>
      <c r="E1756" t="s">
        <v>19721</v>
      </c>
      <c r="F1756" t="s">
        <v>31574</v>
      </c>
      <c r="G1756" t="s">
        <v>31581</v>
      </c>
      <c r="H1756" t="s">
        <v>31590</v>
      </c>
      <c r="I1756" t="s">
        <v>31619</v>
      </c>
      <c r="J1756" t="s">
        <v>32989</v>
      </c>
      <c r="K1756" t="s">
        <v>41196</v>
      </c>
      <c r="M1756" t="s">
        <v>41821</v>
      </c>
      <c r="N1756" t="s">
        <v>45095</v>
      </c>
      <c r="O1756" t="s">
        <v>45096</v>
      </c>
      <c r="P1756">
        <v>0</v>
      </c>
      <c r="Q1756">
        <v>0</v>
      </c>
      <c r="R1756" t="s">
        <v>45097</v>
      </c>
      <c r="S1756" t="s">
        <v>45222</v>
      </c>
      <c r="T1756" t="s">
        <v>46918</v>
      </c>
      <c r="U1756" t="s">
        <v>48977</v>
      </c>
      <c r="W1756" t="s">
        <v>41821</v>
      </c>
      <c r="X1756" t="s">
        <v>45098</v>
      </c>
    </row>
    <row r="1757" spans="1:24">
      <c r="A1757">
        <f>HYPERLINK("https://www.philgeps.gov.ph/GEPSNONPILOT/Tender/SplashBidNoticeAbstractUI.aspx?menuIndex=3&amp;refID=7046289&amp;Result=3","7046289")</f>
        <v>0</v>
      </c>
      <c r="B1757" t="s">
        <v>713</v>
      </c>
      <c r="C1757" t="s">
        <v>4882</v>
      </c>
      <c r="D1757" t="s">
        <v>18071</v>
      </c>
      <c r="E1757" t="s">
        <v>19722</v>
      </c>
      <c r="F1757" t="s">
        <v>31574</v>
      </c>
      <c r="G1757" t="s">
        <v>31582</v>
      </c>
      <c r="H1757" t="s">
        <v>31591</v>
      </c>
      <c r="I1757" t="s">
        <v>8822</v>
      </c>
      <c r="J1757" t="s">
        <v>32019</v>
      </c>
      <c r="K1757" t="s">
        <v>41192</v>
      </c>
      <c r="L1757" t="s">
        <v>713</v>
      </c>
      <c r="M1757" t="s">
        <v>42223</v>
      </c>
      <c r="N1757" t="s">
        <v>45095</v>
      </c>
      <c r="O1757" t="s">
        <v>45096</v>
      </c>
      <c r="P1757">
        <v>0</v>
      </c>
      <c r="Q1757">
        <v>0</v>
      </c>
      <c r="R1757" t="s">
        <v>45097</v>
      </c>
      <c r="S1757" t="s">
        <v>45222</v>
      </c>
      <c r="T1757" t="s">
        <v>46922</v>
      </c>
      <c r="U1757" t="s">
        <v>48978</v>
      </c>
      <c r="W1757" t="s">
        <v>42223</v>
      </c>
      <c r="X1757" t="s">
        <v>45098</v>
      </c>
    </row>
    <row r="1758" spans="1:24">
      <c r="A1758">
        <f>HYPERLINK("https://www.philgeps.gov.ph/GEPSNONPILOT/Tender/SplashBidNoticeAbstractUI.aspx?menuIndex=3&amp;refID=7046309&amp;Result=3","7046309")</f>
        <v>0</v>
      </c>
      <c r="B1758" t="s">
        <v>714</v>
      </c>
      <c r="C1758" t="s">
        <v>4883</v>
      </c>
      <c r="D1758" t="s">
        <v>18022</v>
      </c>
      <c r="E1758" t="s">
        <v>19723</v>
      </c>
      <c r="F1758" t="s">
        <v>31574</v>
      </c>
      <c r="G1758" t="s">
        <v>31581</v>
      </c>
      <c r="H1758" t="s">
        <v>31590</v>
      </c>
      <c r="I1758" t="s">
        <v>31656</v>
      </c>
      <c r="J1758" t="s">
        <v>32017</v>
      </c>
      <c r="K1758" t="s">
        <v>41225</v>
      </c>
      <c r="M1758" t="s">
        <v>42224</v>
      </c>
      <c r="N1758" t="s">
        <v>45095</v>
      </c>
      <c r="O1758" t="s">
        <v>45096</v>
      </c>
      <c r="P1758">
        <v>0</v>
      </c>
      <c r="Q1758">
        <v>0</v>
      </c>
      <c r="R1758" t="s">
        <v>45097</v>
      </c>
      <c r="S1758" t="s">
        <v>45222</v>
      </c>
      <c r="T1758" t="s">
        <v>46918</v>
      </c>
      <c r="U1758" t="s">
        <v>48979</v>
      </c>
      <c r="W1758" t="s">
        <v>42224</v>
      </c>
      <c r="X1758" t="s">
        <v>45098</v>
      </c>
    </row>
    <row r="1759" spans="1:24">
      <c r="A1759">
        <f>HYPERLINK("https://www.philgeps.gov.ph/GEPSNONPILOT/Tender/SplashBidNoticeAbstractUI.aspx?menuIndex=3&amp;refID=7046311&amp;Result=3","7046311")</f>
        <v>0</v>
      </c>
      <c r="B1759" t="s">
        <v>710</v>
      </c>
      <c r="C1759" t="s">
        <v>4884</v>
      </c>
      <c r="D1759" t="s">
        <v>18104</v>
      </c>
      <c r="E1759" t="s">
        <v>19724</v>
      </c>
      <c r="F1759" t="s">
        <v>31574</v>
      </c>
      <c r="G1759" t="s">
        <v>31582</v>
      </c>
      <c r="H1759" t="s">
        <v>31591</v>
      </c>
      <c r="I1759" t="s">
        <v>8822</v>
      </c>
      <c r="J1759" t="s">
        <v>32990</v>
      </c>
      <c r="K1759" t="s">
        <v>41264</v>
      </c>
      <c r="M1759" t="s">
        <v>42220</v>
      </c>
      <c r="N1759" t="s">
        <v>45095</v>
      </c>
      <c r="O1759" t="s">
        <v>45096</v>
      </c>
      <c r="P1759">
        <v>0</v>
      </c>
      <c r="Q1759">
        <v>0</v>
      </c>
      <c r="R1759" t="s">
        <v>45097</v>
      </c>
      <c r="S1759" t="s">
        <v>45222</v>
      </c>
      <c r="T1759" t="s">
        <v>47089</v>
      </c>
      <c r="U1759" t="s">
        <v>48980</v>
      </c>
      <c r="W1759" t="s">
        <v>42220</v>
      </c>
      <c r="X1759" t="s">
        <v>45098</v>
      </c>
    </row>
    <row r="1760" spans="1:24">
      <c r="A1760">
        <f>HYPERLINK("https://www.philgeps.gov.ph/GEPSNONPILOT/Tender/SplashBidNoticeAbstractUI.aspx?menuIndex=3&amp;refID=7046303&amp;Result=3","7046303")</f>
        <v>0</v>
      </c>
      <c r="B1760" t="s">
        <v>704</v>
      </c>
      <c r="C1760" t="s">
        <v>4885</v>
      </c>
      <c r="E1760" t="s">
        <v>19725</v>
      </c>
      <c r="F1760" t="s">
        <v>31574</v>
      </c>
      <c r="G1760" t="s">
        <v>31582</v>
      </c>
      <c r="H1760" t="s">
        <v>31591</v>
      </c>
      <c r="I1760" t="s">
        <v>8822</v>
      </c>
      <c r="J1760" t="s">
        <v>32991</v>
      </c>
      <c r="K1760" t="s">
        <v>41203</v>
      </c>
      <c r="M1760" t="s">
        <v>42213</v>
      </c>
      <c r="N1760" t="s">
        <v>45095</v>
      </c>
      <c r="O1760" t="s">
        <v>45096</v>
      </c>
      <c r="P1760">
        <v>0</v>
      </c>
      <c r="Q1760">
        <v>0</v>
      </c>
      <c r="R1760" t="s">
        <v>45097</v>
      </c>
      <c r="S1760" t="s">
        <v>45222</v>
      </c>
      <c r="T1760" t="s">
        <v>46908</v>
      </c>
      <c r="U1760" t="s">
        <v>48981</v>
      </c>
      <c r="W1760" t="s">
        <v>42213</v>
      </c>
      <c r="X1760" t="s">
        <v>45098</v>
      </c>
    </row>
    <row r="1761" spans="1:24">
      <c r="A1761">
        <f>HYPERLINK("https://www.philgeps.gov.ph/GEPSNONPILOT/Tender/SplashBidNoticeAbstractUI.aspx?menuIndex=3&amp;refID=7046306&amp;Result=3","7046306")</f>
        <v>0</v>
      </c>
      <c r="B1761" t="s">
        <v>289</v>
      </c>
      <c r="C1761" t="s">
        <v>4886</v>
      </c>
      <c r="D1761" t="s">
        <v>18044</v>
      </c>
      <c r="E1761" t="s">
        <v>19726</v>
      </c>
      <c r="F1761" t="s">
        <v>31574</v>
      </c>
      <c r="G1761" t="s">
        <v>31581</v>
      </c>
      <c r="H1761" t="s">
        <v>31590</v>
      </c>
      <c r="I1761" t="s">
        <v>3487</v>
      </c>
      <c r="J1761" t="s">
        <v>32992</v>
      </c>
      <c r="K1761" t="s">
        <v>41189</v>
      </c>
      <c r="M1761" t="s">
        <v>41775</v>
      </c>
      <c r="N1761" t="s">
        <v>45095</v>
      </c>
      <c r="O1761" t="s">
        <v>45096</v>
      </c>
      <c r="P1761">
        <v>0</v>
      </c>
      <c r="Q1761">
        <v>0</v>
      </c>
      <c r="R1761" t="s">
        <v>45097</v>
      </c>
      <c r="S1761" t="s">
        <v>45222</v>
      </c>
      <c r="T1761" t="s">
        <v>46980</v>
      </c>
      <c r="U1761" t="s">
        <v>48982</v>
      </c>
      <c r="W1761" t="s">
        <v>61661</v>
      </c>
      <c r="X1761" t="s">
        <v>45098</v>
      </c>
    </row>
    <row r="1762" spans="1:24">
      <c r="A1762">
        <f>HYPERLINK("https://www.philgeps.gov.ph/GEPSNONPILOT/Tender/SplashBidNoticeAbstractUI.aspx?menuIndex=3&amp;refID=7046326&amp;Result=3","7046326")</f>
        <v>0</v>
      </c>
      <c r="B1762" t="s">
        <v>551</v>
      </c>
      <c r="C1762" t="s">
        <v>4887</v>
      </c>
      <c r="D1762" t="s">
        <v>18096</v>
      </c>
      <c r="E1762" t="s">
        <v>19727</v>
      </c>
      <c r="F1762" t="s">
        <v>31574</v>
      </c>
      <c r="G1762" t="s">
        <v>31583</v>
      </c>
      <c r="H1762" t="s">
        <v>31590</v>
      </c>
      <c r="I1762" t="s">
        <v>31619</v>
      </c>
      <c r="J1762" t="s">
        <v>32993</v>
      </c>
      <c r="K1762" t="s">
        <v>41190</v>
      </c>
      <c r="M1762" t="s">
        <v>42207</v>
      </c>
      <c r="N1762" t="s">
        <v>45095</v>
      </c>
      <c r="O1762" t="s">
        <v>45096</v>
      </c>
      <c r="P1762">
        <v>0</v>
      </c>
      <c r="Q1762">
        <v>0</v>
      </c>
      <c r="R1762" t="s">
        <v>45097</v>
      </c>
      <c r="S1762" t="s">
        <v>45222</v>
      </c>
      <c r="T1762" t="s">
        <v>47092</v>
      </c>
      <c r="U1762" t="s">
        <v>48983</v>
      </c>
      <c r="W1762" t="s">
        <v>42207</v>
      </c>
      <c r="X1762" t="s">
        <v>45098</v>
      </c>
    </row>
    <row r="1763" spans="1:24">
      <c r="A1763">
        <f>HYPERLINK("https://www.philgeps.gov.ph/GEPSNONPILOT/Tender/SplashBidNoticeAbstractUI.aspx?menuIndex=3&amp;refID=7046310&amp;Result=3","7046310")</f>
        <v>0</v>
      </c>
      <c r="B1763" t="s">
        <v>528</v>
      </c>
      <c r="C1763" t="s">
        <v>4888</v>
      </c>
      <c r="D1763" t="s">
        <v>18041</v>
      </c>
      <c r="E1763" t="s">
        <v>19469</v>
      </c>
      <c r="F1763" t="s">
        <v>31574</v>
      </c>
      <c r="G1763" t="s">
        <v>31581</v>
      </c>
      <c r="H1763" t="s">
        <v>31590</v>
      </c>
      <c r="I1763" t="s">
        <v>4354</v>
      </c>
      <c r="J1763" t="s">
        <v>32178</v>
      </c>
      <c r="K1763" t="s">
        <v>41197</v>
      </c>
      <c r="M1763" t="s">
        <v>42025</v>
      </c>
      <c r="N1763" t="s">
        <v>45095</v>
      </c>
      <c r="O1763" t="s">
        <v>45096</v>
      </c>
      <c r="P1763">
        <v>0</v>
      </c>
      <c r="Q1763">
        <v>0</v>
      </c>
      <c r="R1763" t="s">
        <v>45097</v>
      </c>
      <c r="S1763" t="s">
        <v>45222</v>
      </c>
      <c r="T1763" t="s">
        <v>46913</v>
      </c>
      <c r="U1763" t="s">
        <v>48984</v>
      </c>
      <c r="V1763" t="s">
        <v>59967</v>
      </c>
      <c r="W1763" t="s">
        <v>42025</v>
      </c>
      <c r="X1763" t="s">
        <v>45098</v>
      </c>
    </row>
    <row r="1764" spans="1:24">
      <c r="A1764">
        <f>HYPERLINK("https://www.philgeps.gov.ph/GEPSNONPILOT/Tender/SplashBidNoticeAbstractUI.aspx?menuIndex=3&amp;refID=7046320&amp;Result=3","7046320")</f>
        <v>0</v>
      </c>
      <c r="B1764" t="s">
        <v>715</v>
      </c>
      <c r="C1764" t="s">
        <v>4889</v>
      </c>
      <c r="D1764" t="s">
        <v>18058</v>
      </c>
      <c r="E1764" t="s">
        <v>19728</v>
      </c>
      <c r="F1764" t="s">
        <v>31574</v>
      </c>
      <c r="G1764" t="s">
        <v>31581</v>
      </c>
      <c r="H1764" t="s">
        <v>31590</v>
      </c>
      <c r="I1764" t="s">
        <v>4327</v>
      </c>
      <c r="J1764" t="s">
        <v>31780</v>
      </c>
      <c r="K1764" t="s">
        <v>41190</v>
      </c>
      <c r="M1764" t="s">
        <v>42225</v>
      </c>
      <c r="N1764" t="s">
        <v>45095</v>
      </c>
      <c r="O1764" t="s">
        <v>45096</v>
      </c>
      <c r="P1764">
        <v>0</v>
      </c>
      <c r="Q1764">
        <v>2</v>
      </c>
      <c r="R1764" t="s">
        <v>45097</v>
      </c>
      <c r="S1764" t="s">
        <v>45222</v>
      </c>
      <c r="T1764" t="s">
        <v>46949</v>
      </c>
      <c r="U1764" t="s">
        <v>48985</v>
      </c>
      <c r="W1764" t="s">
        <v>42225</v>
      </c>
      <c r="X1764" t="s">
        <v>45098</v>
      </c>
    </row>
    <row r="1765" spans="1:24">
      <c r="A1765">
        <f>HYPERLINK("https://www.philgeps.gov.ph/GEPSNONPILOT/Tender/SplashBidNoticeAbstractUI.aspx?menuIndex=3&amp;refID=7046317&amp;Result=3","7046317")</f>
        <v>0</v>
      </c>
      <c r="B1765" t="s">
        <v>172</v>
      </c>
      <c r="C1765" t="s">
        <v>4890</v>
      </c>
      <c r="D1765" t="s">
        <v>18022</v>
      </c>
      <c r="E1765" t="s">
        <v>19729</v>
      </c>
      <c r="F1765" t="s">
        <v>31574</v>
      </c>
      <c r="G1765" t="s">
        <v>31581</v>
      </c>
      <c r="H1765" t="s">
        <v>31590</v>
      </c>
      <c r="I1765" t="s">
        <v>31608</v>
      </c>
      <c r="J1765" t="s">
        <v>32994</v>
      </c>
      <c r="K1765" t="s">
        <v>41184</v>
      </c>
      <c r="M1765" t="s">
        <v>41656</v>
      </c>
      <c r="N1765" t="s">
        <v>45095</v>
      </c>
      <c r="O1765" t="s">
        <v>45096</v>
      </c>
      <c r="P1765">
        <v>0</v>
      </c>
      <c r="Q1765">
        <v>0</v>
      </c>
      <c r="R1765" t="s">
        <v>45097</v>
      </c>
      <c r="S1765" t="s">
        <v>45222</v>
      </c>
      <c r="T1765" t="s">
        <v>46976</v>
      </c>
      <c r="U1765" t="s">
        <v>48986</v>
      </c>
      <c r="W1765" t="s">
        <v>41656</v>
      </c>
      <c r="X1765" t="s">
        <v>45098</v>
      </c>
    </row>
    <row r="1766" spans="1:24">
      <c r="A1766">
        <f>HYPERLINK("https://www.philgeps.gov.ph/GEPSNONPILOT/Tender/SplashBidNoticeAbstractUI.aspx?menuIndex=3&amp;refID=7046324&amp;Result=3","7046324")</f>
        <v>0</v>
      </c>
      <c r="B1766" t="s">
        <v>716</v>
      </c>
      <c r="C1766" t="s">
        <v>4891</v>
      </c>
      <c r="D1766" t="s">
        <v>18041</v>
      </c>
      <c r="E1766" t="s">
        <v>19061</v>
      </c>
      <c r="F1766" t="s">
        <v>31574</v>
      </c>
      <c r="G1766" t="s">
        <v>31581</v>
      </c>
      <c r="H1766" t="s">
        <v>31590</v>
      </c>
      <c r="I1766" t="s">
        <v>3520</v>
      </c>
      <c r="J1766" t="s">
        <v>32995</v>
      </c>
      <c r="K1766" t="s">
        <v>41211</v>
      </c>
      <c r="L1766" t="s">
        <v>716</v>
      </c>
      <c r="M1766" t="s">
        <v>42226</v>
      </c>
      <c r="N1766" t="s">
        <v>45095</v>
      </c>
      <c r="O1766" t="s">
        <v>45096</v>
      </c>
      <c r="P1766">
        <v>0</v>
      </c>
      <c r="Q1766">
        <v>0</v>
      </c>
      <c r="R1766" t="s">
        <v>45097</v>
      </c>
      <c r="S1766" t="s">
        <v>45222</v>
      </c>
      <c r="T1766" t="s">
        <v>46969</v>
      </c>
      <c r="U1766" t="s">
        <v>48987</v>
      </c>
      <c r="V1766" t="s">
        <v>60018</v>
      </c>
      <c r="W1766" t="s">
        <v>42226</v>
      </c>
      <c r="X1766" t="s">
        <v>45098</v>
      </c>
    </row>
    <row r="1767" spans="1:24">
      <c r="A1767">
        <f>HYPERLINK("https://www.philgeps.gov.ph/GEPSNONPILOT/Tender/SplashBidNoticeAbstractUI.aspx?menuIndex=3&amp;refID=7046321&amp;Result=3","7046321")</f>
        <v>0</v>
      </c>
      <c r="B1767" t="s">
        <v>709</v>
      </c>
      <c r="C1767" t="s">
        <v>4892</v>
      </c>
      <c r="D1767" t="s">
        <v>18026</v>
      </c>
      <c r="E1767" t="s">
        <v>19730</v>
      </c>
      <c r="F1767" t="s">
        <v>31574</v>
      </c>
      <c r="G1767" t="s">
        <v>31581</v>
      </c>
      <c r="H1767" t="s">
        <v>31590</v>
      </c>
      <c r="I1767" t="s">
        <v>6800</v>
      </c>
      <c r="J1767" t="s">
        <v>32996</v>
      </c>
      <c r="K1767" t="s">
        <v>41211</v>
      </c>
      <c r="M1767" t="s">
        <v>42219</v>
      </c>
      <c r="N1767" t="s">
        <v>45095</v>
      </c>
      <c r="O1767" t="s">
        <v>45096</v>
      </c>
      <c r="P1767">
        <v>0</v>
      </c>
      <c r="Q1767">
        <v>0</v>
      </c>
      <c r="R1767" t="s">
        <v>45097</v>
      </c>
      <c r="S1767" t="s">
        <v>45222</v>
      </c>
      <c r="T1767" t="s">
        <v>46918</v>
      </c>
      <c r="U1767" t="s">
        <v>48988</v>
      </c>
      <c r="W1767" t="s">
        <v>42219</v>
      </c>
      <c r="X1767" t="s">
        <v>45098</v>
      </c>
    </row>
    <row r="1768" spans="1:24">
      <c r="A1768">
        <f>HYPERLINK("https://www.philgeps.gov.ph/GEPSNONPILOT/Tender/SplashBidNoticeAbstractUI.aspx?menuIndex=3&amp;refID=7046315&amp;Result=3","7046315")</f>
        <v>0</v>
      </c>
      <c r="B1768" t="s">
        <v>717</v>
      </c>
      <c r="C1768" t="s">
        <v>4893</v>
      </c>
      <c r="D1768" t="s">
        <v>18044</v>
      </c>
      <c r="E1768" t="s">
        <v>19731</v>
      </c>
      <c r="F1768" t="s">
        <v>31574</v>
      </c>
      <c r="G1768" t="s">
        <v>31581</v>
      </c>
      <c r="H1768" t="s">
        <v>31591</v>
      </c>
      <c r="I1768" t="s">
        <v>8822</v>
      </c>
      <c r="J1768" t="s">
        <v>32997</v>
      </c>
      <c r="K1768" t="s">
        <v>41184</v>
      </c>
      <c r="M1768" t="s">
        <v>42227</v>
      </c>
      <c r="N1768" t="s">
        <v>45095</v>
      </c>
      <c r="O1768" t="s">
        <v>45096</v>
      </c>
      <c r="P1768">
        <v>0</v>
      </c>
      <c r="Q1768">
        <v>0</v>
      </c>
      <c r="R1768" t="s">
        <v>45097</v>
      </c>
      <c r="S1768" t="s">
        <v>45222</v>
      </c>
      <c r="T1768" t="s">
        <v>46953</v>
      </c>
      <c r="U1768" t="s">
        <v>48989</v>
      </c>
      <c r="W1768" t="s">
        <v>42227</v>
      </c>
      <c r="X1768" t="s">
        <v>45098</v>
      </c>
    </row>
    <row r="1769" spans="1:24">
      <c r="A1769">
        <f>HYPERLINK("https://www.philgeps.gov.ph/GEPSNONPILOT/Tender/SplashBidNoticeAbstractUI.aspx?menuIndex=3&amp;refID=7046316&amp;Result=3","7046316")</f>
        <v>0</v>
      </c>
      <c r="B1769" t="s">
        <v>84</v>
      </c>
      <c r="C1769" t="s">
        <v>4894</v>
      </c>
      <c r="D1769" t="s">
        <v>18022</v>
      </c>
      <c r="E1769" t="s">
        <v>19732</v>
      </c>
      <c r="F1769" t="s">
        <v>31574</v>
      </c>
      <c r="G1769" t="s">
        <v>31581</v>
      </c>
      <c r="H1769" t="s">
        <v>31590</v>
      </c>
      <c r="I1769" t="s">
        <v>31595</v>
      </c>
      <c r="J1769" t="s">
        <v>32998</v>
      </c>
      <c r="K1769" t="s">
        <v>41193</v>
      </c>
      <c r="M1769" t="s">
        <v>41568</v>
      </c>
      <c r="N1769" t="s">
        <v>45095</v>
      </c>
      <c r="O1769" t="s">
        <v>45096</v>
      </c>
      <c r="P1769">
        <v>0</v>
      </c>
      <c r="Q1769">
        <v>0</v>
      </c>
      <c r="R1769" t="s">
        <v>45097</v>
      </c>
      <c r="S1769" t="s">
        <v>45222</v>
      </c>
      <c r="T1769" t="s">
        <v>46966</v>
      </c>
      <c r="U1769" t="s">
        <v>48990</v>
      </c>
      <c r="W1769" t="s">
        <v>41568</v>
      </c>
      <c r="X1769" t="s">
        <v>45098</v>
      </c>
    </row>
    <row r="1770" spans="1:24">
      <c r="A1770">
        <f>HYPERLINK("https://www.philgeps.gov.ph/GEPSNONPILOT/Tender/SplashBidNoticeAbstractUI.aspx?menuIndex=3&amp;refID=7046325&amp;Result=3","7046325")</f>
        <v>0</v>
      </c>
      <c r="B1770" t="s">
        <v>718</v>
      </c>
      <c r="C1770" t="s">
        <v>4895</v>
      </c>
      <c r="D1770" t="s">
        <v>18023</v>
      </c>
      <c r="E1770" t="s">
        <v>19733</v>
      </c>
      <c r="F1770" t="s">
        <v>31574</v>
      </c>
      <c r="G1770" t="s">
        <v>31581</v>
      </c>
      <c r="H1770" t="s">
        <v>31590</v>
      </c>
      <c r="I1770" t="s">
        <v>31661</v>
      </c>
      <c r="J1770" t="s">
        <v>32020</v>
      </c>
      <c r="K1770" t="s">
        <v>41196</v>
      </c>
      <c r="M1770" t="s">
        <v>42228</v>
      </c>
      <c r="N1770" t="s">
        <v>45095</v>
      </c>
      <c r="O1770" t="s">
        <v>45096</v>
      </c>
      <c r="P1770">
        <v>0</v>
      </c>
      <c r="Q1770">
        <v>0</v>
      </c>
      <c r="R1770" t="s">
        <v>45097</v>
      </c>
      <c r="S1770" t="s">
        <v>45222</v>
      </c>
      <c r="T1770" t="s">
        <v>46904</v>
      </c>
      <c r="U1770" t="s">
        <v>48991</v>
      </c>
      <c r="W1770" t="s">
        <v>42228</v>
      </c>
      <c r="X1770" t="s">
        <v>45098</v>
      </c>
    </row>
    <row r="1771" spans="1:24">
      <c r="A1771">
        <f>HYPERLINK("https://www.philgeps.gov.ph/GEPSNONPILOT/Tender/SplashBidNoticeAbstractUI.aspx?menuIndex=3&amp;refID=7046312&amp;Result=3","7046312")</f>
        <v>0</v>
      </c>
      <c r="B1771" t="s">
        <v>699</v>
      </c>
      <c r="C1771" t="s">
        <v>4896</v>
      </c>
      <c r="D1771" t="s">
        <v>18066</v>
      </c>
      <c r="E1771" t="s">
        <v>19734</v>
      </c>
      <c r="F1771" t="s">
        <v>31574</v>
      </c>
      <c r="G1771" t="s">
        <v>31582</v>
      </c>
      <c r="H1771" t="s">
        <v>31590</v>
      </c>
      <c r="I1771" t="s">
        <v>31600</v>
      </c>
      <c r="J1771" t="s">
        <v>32999</v>
      </c>
      <c r="K1771" t="s">
        <v>41184</v>
      </c>
      <c r="M1771" t="s">
        <v>42206</v>
      </c>
      <c r="N1771" t="s">
        <v>45095</v>
      </c>
      <c r="O1771" t="s">
        <v>45096</v>
      </c>
      <c r="P1771">
        <v>0</v>
      </c>
      <c r="Q1771">
        <v>0</v>
      </c>
      <c r="R1771" t="s">
        <v>45097</v>
      </c>
      <c r="S1771" t="s">
        <v>45222</v>
      </c>
      <c r="T1771" t="s">
        <v>46937</v>
      </c>
      <c r="U1771" t="s">
        <v>48947</v>
      </c>
      <c r="V1771" t="s">
        <v>60013</v>
      </c>
      <c r="W1771" t="s">
        <v>42206</v>
      </c>
      <c r="X1771" t="s">
        <v>45098</v>
      </c>
    </row>
    <row r="1772" spans="1:24">
      <c r="A1772">
        <f>HYPERLINK("https://www.philgeps.gov.ph/GEPSNONPILOT/Tender/SplashBidNoticeAbstractUI.aspx?menuIndex=3&amp;refID=7046335&amp;Result=3","7046335")</f>
        <v>0</v>
      </c>
      <c r="B1772" t="s">
        <v>691</v>
      </c>
      <c r="C1772" t="s">
        <v>4897</v>
      </c>
      <c r="D1772" t="s">
        <v>18043</v>
      </c>
      <c r="E1772" t="s">
        <v>19735</v>
      </c>
      <c r="F1772" t="s">
        <v>31574</v>
      </c>
      <c r="G1772" t="s">
        <v>31584</v>
      </c>
      <c r="H1772" t="s">
        <v>31590</v>
      </c>
      <c r="I1772" t="s">
        <v>14544</v>
      </c>
      <c r="J1772" t="s">
        <v>33000</v>
      </c>
      <c r="K1772" t="s">
        <v>41186</v>
      </c>
      <c r="M1772" t="s">
        <v>42198</v>
      </c>
      <c r="N1772" t="s">
        <v>45095</v>
      </c>
      <c r="O1772" t="s">
        <v>45096</v>
      </c>
      <c r="P1772">
        <v>0</v>
      </c>
      <c r="Q1772">
        <v>0</v>
      </c>
      <c r="R1772" t="s">
        <v>45097</v>
      </c>
      <c r="S1772" t="s">
        <v>45222</v>
      </c>
      <c r="T1772" t="s">
        <v>46979</v>
      </c>
      <c r="U1772" t="s">
        <v>48930</v>
      </c>
      <c r="W1772" t="s">
        <v>42198</v>
      </c>
      <c r="X1772" t="s">
        <v>45098</v>
      </c>
    </row>
    <row r="1773" spans="1:24">
      <c r="A1773">
        <f>HYPERLINK("https://www.philgeps.gov.ph/GEPSNONPILOT/Tender/SplashBidNoticeAbstractUI.aspx?menuIndex=3&amp;refID=7046322&amp;Result=3","7046322")</f>
        <v>0</v>
      </c>
      <c r="B1773" t="s">
        <v>719</v>
      </c>
      <c r="C1773" t="s">
        <v>4898</v>
      </c>
      <c r="D1773" t="s">
        <v>18055</v>
      </c>
      <c r="E1773" t="s">
        <v>19127</v>
      </c>
      <c r="F1773" t="s">
        <v>31574</v>
      </c>
      <c r="G1773" t="s">
        <v>31582</v>
      </c>
      <c r="H1773" t="s">
        <v>31590</v>
      </c>
      <c r="I1773" t="s">
        <v>4046</v>
      </c>
      <c r="J1773" t="s">
        <v>32001</v>
      </c>
      <c r="K1773" t="s">
        <v>41186</v>
      </c>
      <c r="M1773" t="s">
        <v>42229</v>
      </c>
      <c r="N1773" t="s">
        <v>45095</v>
      </c>
      <c r="O1773" t="s">
        <v>45096</v>
      </c>
      <c r="P1773">
        <v>0</v>
      </c>
      <c r="Q1773">
        <v>0</v>
      </c>
      <c r="R1773" t="s">
        <v>45097</v>
      </c>
      <c r="S1773" t="s">
        <v>45222</v>
      </c>
      <c r="T1773" t="s">
        <v>46920</v>
      </c>
      <c r="U1773" t="s">
        <v>48992</v>
      </c>
      <c r="W1773" t="s">
        <v>42229</v>
      </c>
      <c r="X1773" t="s">
        <v>45098</v>
      </c>
    </row>
    <row r="1774" spans="1:24">
      <c r="A1774">
        <f>HYPERLINK("https://www.philgeps.gov.ph/GEPSNONPILOT/Tender/SplashBidNoticeAbstractUI.aspx?menuIndex=3&amp;refID=7046331&amp;Result=3","7046331")</f>
        <v>0</v>
      </c>
      <c r="B1774" t="s">
        <v>408</v>
      </c>
      <c r="C1774" t="s">
        <v>4899</v>
      </c>
      <c r="D1774" t="s">
        <v>18059</v>
      </c>
      <c r="E1774" t="s">
        <v>19736</v>
      </c>
      <c r="F1774" t="s">
        <v>31574</v>
      </c>
      <c r="G1774" t="s">
        <v>31581</v>
      </c>
      <c r="H1774" t="s">
        <v>31590</v>
      </c>
      <c r="I1774" t="s">
        <v>31615</v>
      </c>
      <c r="J1774" t="s">
        <v>31843</v>
      </c>
      <c r="K1774" t="s">
        <v>41184</v>
      </c>
      <c r="M1774" t="s">
        <v>41899</v>
      </c>
      <c r="N1774" t="s">
        <v>45095</v>
      </c>
      <c r="O1774" t="s">
        <v>45096</v>
      </c>
      <c r="P1774">
        <v>0</v>
      </c>
      <c r="Q1774">
        <v>0</v>
      </c>
      <c r="R1774" t="s">
        <v>45097</v>
      </c>
      <c r="S1774" t="s">
        <v>45222</v>
      </c>
      <c r="T1774" t="s">
        <v>46938</v>
      </c>
      <c r="U1774" t="s">
        <v>48953</v>
      </c>
      <c r="W1774" t="s">
        <v>41899</v>
      </c>
      <c r="X1774" t="s">
        <v>45098</v>
      </c>
    </row>
    <row r="1775" spans="1:24">
      <c r="A1775">
        <f>HYPERLINK("https://www.philgeps.gov.ph/GEPSNONPILOT/Tender/SplashBidNoticeAbstractUI.aspx?menuIndex=3&amp;refID=7046333&amp;Result=3","7046333")</f>
        <v>0</v>
      </c>
      <c r="B1775" t="s">
        <v>712</v>
      </c>
      <c r="C1775" t="s">
        <v>4900</v>
      </c>
      <c r="D1775" t="s">
        <v>18041</v>
      </c>
      <c r="E1775" t="s">
        <v>19737</v>
      </c>
      <c r="F1775" t="s">
        <v>31574</v>
      </c>
      <c r="G1775" t="s">
        <v>31582</v>
      </c>
      <c r="H1775" t="s">
        <v>31590</v>
      </c>
      <c r="I1775" t="s">
        <v>4046</v>
      </c>
      <c r="J1775" t="s">
        <v>33001</v>
      </c>
      <c r="K1775" t="s">
        <v>41184</v>
      </c>
      <c r="M1775" t="s">
        <v>42222</v>
      </c>
      <c r="N1775" t="s">
        <v>45095</v>
      </c>
      <c r="O1775" t="s">
        <v>45096</v>
      </c>
      <c r="P1775">
        <v>0</v>
      </c>
      <c r="Q1775">
        <v>0</v>
      </c>
      <c r="R1775" t="s">
        <v>45097</v>
      </c>
      <c r="S1775" t="s">
        <v>45222</v>
      </c>
      <c r="T1775" t="s">
        <v>47091</v>
      </c>
      <c r="U1775" t="s">
        <v>48993</v>
      </c>
      <c r="W1775" t="s">
        <v>42222</v>
      </c>
      <c r="X1775" t="s">
        <v>45098</v>
      </c>
    </row>
    <row r="1776" spans="1:24">
      <c r="A1776">
        <f>HYPERLINK("https://www.philgeps.gov.ph/GEPSNONPILOT/Tender/SplashBidNoticeAbstractUI.aspx?menuIndex=3&amp;refID=7046319&amp;Result=3","7046319")</f>
        <v>0</v>
      </c>
      <c r="B1776" t="s">
        <v>720</v>
      </c>
      <c r="C1776" t="s">
        <v>4901</v>
      </c>
      <c r="D1776" t="s">
        <v>18048</v>
      </c>
      <c r="E1776" t="s">
        <v>19223</v>
      </c>
      <c r="F1776" t="s">
        <v>31574</v>
      </c>
      <c r="G1776" t="s">
        <v>31582</v>
      </c>
      <c r="H1776" t="s">
        <v>31592</v>
      </c>
      <c r="I1776" t="s">
        <v>4046</v>
      </c>
      <c r="J1776" t="s">
        <v>31962</v>
      </c>
      <c r="K1776" t="s">
        <v>41186</v>
      </c>
      <c r="M1776" t="s">
        <v>42230</v>
      </c>
      <c r="N1776" t="s">
        <v>45095</v>
      </c>
      <c r="O1776" t="s">
        <v>45096</v>
      </c>
      <c r="P1776">
        <v>0</v>
      </c>
      <c r="Q1776">
        <v>0</v>
      </c>
      <c r="R1776" t="s">
        <v>45097</v>
      </c>
      <c r="S1776" t="s">
        <v>45222</v>
      </c>
      <c r="T1776" t="s">
        <v>46941</v>
      </c>
      <c r="U1776" t="s">
        <v>48994</v>
      </c>
      <c r="W1776" t="s">
        <v>42230</v>
      </c>
      <c r="X1776" t="s">
        <v>45098</v>
      </c>
    </row>
    <row r="1777" spans="1:24">
      <c r="A1777">
        <f>HYPERLINK("https://www.philgeps.gov.ph/GEPSNONPILOT/Tender/SplashBidNoticeAbstractUI.aspx?menuIndex=3&amp;refID=7046328&amp;Result=3","7046328")</f>
        <v>0</v>
      </c>
      <c r="B1777" t="s">
        <v>721</v>
      </c>
      <c r="C1777" t="s">
        <v>4902</v>
      </c>
      <c r="D1777" t="s">
        <v>18041</v>
      </c>
      <c r="E1777" t="s">
        <v>19738</v>
      </c>
      <c r="F1777" t="s">
        <v>31574</v>
      </c>
      <c r="G1777" t="s">
        <v>31581</v>
      </c>
      <c r="H1777" t="s">
        <v>31590</v>
      </c>
      <c r="I1777" t="s">
        <v>14544</v>
      </c>
      <c r="J1777" t="s">
        <v>33002</v>
      </c>
      <c r="K1777" t="s">
        <v>41190</v>
      </c>
      <c r="M1777" t="s">
        <v>42231</v>
      </c>
      <c r="N1777" t="s">
        <v>45095</v>
      </c>
      <c r="O1777" t="s">
        <v>45096</v>
      </c>
      <c r="P1777">
        <v>0</v>
      </c>
      <c r="Q1777">
        <v>0</v>
      </c>
      <c r="R1777" t="s">
        <v>45097</v>
      </c>
      <c r="S1777" t="s">
        <v>45222</v>
      </c>
      <c r="T1777" t="s">
        <v>46911</v>
      </c>
      <c r="U1777" t="s">
        <v>48995</v>
      </c>
      <c r="W1777" t="s">
        <v>42231</v>
      </c>
      <c r="X1777" t="s">
        <v>45098</v>
      </c>
    </row>
    <row r="1778" spans="1:24">
      <c r="A1778">
        <f>HYPERLINK("https://www.philgeps.gov.ph/GEPSNONPILOT/Tender/SplashBidNoticeAbstractUI.aspx?menuIndex=3&amp;refID=7046330&amp;Result=3","7046330")</f>
        <v>0</v>
      </c>
      <c r="B1778" t="s">
        <v>711</v>
      </c>
      <c r="C1778" t="s">
        <v>4903</v>
      </c>
      <c r="D1778" t="s">
        <v>18079</v>
      </c>
      <c r="E1778" t="s">
        <v>19739</v>
      </c>
      <c r="F1778" t="s">
        <v>31574</v>
      </c>
      <c r="G1778" t="s">
        <v>31581</v>
      </c>
      <c r="H1778" t="s">
        <v>31590</v>
      </c>
      <c r="I1778" t="s">
        <v>14544</v>
      </c>
      <c r="J1778" t="s">
        <v>33003</v>
      </c>
      <c r="K1778" t="s">
        <v>41190</v>
      </c>
      <c r="M1778" t="s">
        <v>42221</v>
      </c>
      <c r="N1778" t="s">
        <v>45095</v>
      </c>
      <c r="O1778" t="s">
        <v>45096</v>
      </c>
      <c r="P1778">
        <v>0</v>
      </c>
      <c r="Q1778">
        <v>0</v>
      </c>
      <c r="R1778" t="s">
        <v>45097</v>
      </c>
      <c r="S1778" t="s">
        <v>45222</v>
      </c>
      <c r="T1778" t="s">
        <v>46913</v>
      </c>
      <c r="U1778" t="s">
        <v>48996</v>
      </c>
      <c r="V1778" t="s">
        <v>60017</v>
      </c>
      <c r="W1778" t="s">
        <v>42221</v>
      </c>
      <c r="X1778" t="s">
        <v>45098</v>
      </c>
    </row>
    <row r="1779" spans="1:24">
      <c r="A1779">
        <f>HYPERLINK("https://www.philgeps.gov.ph/GEPSNONPILOT/Tender/SplashBidNoticeAbstractUI.aspx?menuIndex=3&amp;refID=7046340&amp;Result=3","7046340")</f>
        <v>0</v>
      </c>
      <c r="B1779" t="s">
        <v>722</v>
      </c>
      <c r="C1779" t="s">
        <v>4904</v>
      </c>
      <c r="D1779" t="s">
        <v>18031</v>
      </c>
      <c r="E1779" t="s">
        <v>19740</v>
      </c>
      <c r="F1779" t="s">
        <v>31574</v>
      </c>
      <c r="G1779" t="s">
        <v>31584</v>
      </c>
      <c r="H1779" t="s">
        <v>31590</v>
      </c>
      <c r="I1779" t="s">
        <v>4327</v>
      </c>
      <c r="J1779" t="s">
        <v>33004</v>
      </c>
      <c r="K1779" t="s">
        <v>41193</v>
      </c>
      <c r="M1779" t="s">
        <v>42232</v>
      </c>
      <c r="N1779" t="s">
        <v>45095</v>
      </c>
      <c r="O1779" t="s">
        <v>45096</v>
      </c>
      <c r="P1779">
        <v>0</v>
      </c>
      <c r="Q1779">
        <v>0</v>
      </c>
      <c r="R1779" t="s">
        <v>45097</v>
      </c>
      <c r="S1779" t="s">
        <v>45222</v>
      </c>
      <c r="T1779" t="s">
        <v>46961</v>
      </c>
      <c r="U1779" t="s">
        <v>48997</v>
      </c>
      <c r="W1779" t="s">
        <v>42232</v>
      </c>
      <c r="X1779" t="s">
        <v>45098</v>
      </c>
    </row>
    <row r="1780" spans="1:24">
      <c r="A1780">
        <f>HYPERLINK("https://www.philgeps.gov.ph/GEPSNONPILOT/Tender/SplashBidNoticeAbstractUI.aspx?menuIndex=3&amp;refID=7046336&amp;Result=3","7046336")</f>
        <v>0</v>
      </c>
      <c r="B1780" t="s">
        <v>723</v>
      </c>
      <c r="C1780" t="s">
        <v>4905</v>
      </c>
      <c r="D1780" t="s">
        <v>18022</v>
      </c>
      <c r="E1780" t="s">
        <v>19741</v>
      </c>
      <c r="F1780" t="s">
        <v>31574</v>
      </c>
      <c r="G1780" t="s">
        <v>31581</v>
      </c>
      <c r="H1780" t="s">
        <v>31590</v>
      </c>
      <c r="I1780" t="s">
        <v>31645</v>
      </c>
      <c r="J1780" t="s">
        <v>31848</v>
      </c>
      <c r="K1780" t="s">
        <v>41196</v>
      </c>
      <c r="M1780" t="s">
        <v>42233</v>
      </c>
      <c r="N1780" t="s">
        <v>45095</v>
      </c>
      <c r="O1780" t="s">
        <v>45096</v>
      </c>
      <c r="P1780">
        <v>0</v>
      </c>
      <c r="Q1780">
        <v>0</v>
      </c>
      <c r="R1780" t="s">
        <v>45097</v>
      </c>
      <c r="S1780" t="s">
        <v>45222</v>
      </c>
      <c r="T1780" t="s">
        <v>46904</v>
      </c>
      <c r="U1780" t="s">
        <v>48998</v>
      </c>
      <c r="V1780" t="s">
        <v>60019</v>
      </c>
      <c r="W1780" t="s">
        <v>42233</v>
      </c>
      <c r="X1780" t="s">
        <v>45098</v>
      </c>
    </row>
    <row r="1781" spans="1:24">
      <c r="A1781">
        <f>HYPERLINK("https://www.philgeps.gov.ph/GEPSNONPILOT/Tender/SplashBidNoticeAbstractUI.aspx?menuIndex=3&amp;refID=7046339&amp;Result=3","7046339")</f>
        <v>0</v>
      </c>
      <c r="B1781" t="s">
        <v>724</v>
      </c>
      <c r="C1781" t="s">
        <v>4906</v>
      </c>
      <c r="D1781" t="s">
        <v>18027</v>
      </c>
      <c r="E1781" t="s">
        <v>19742</v>
      </c>
      <c r="F1781" t="s">
        <v>31574</v>
      </c>
      <c r="G1781" t="s">
        <v>31581</v>
      </c>
      <c r="H1781" t="s">
        <v>31590</v>
      </c>
      <c r="I1781" t="s">
        <v>31633</v>
      </c>
      <c r="J1781" t="s">
        <v>33005</v>
      </c>
      <c r="K1781" t="s">
        <v>41212</v>
      </c>
      <c r="M1781" t="s">
        <v>42234</v>
      </c>
      <c r="N1781" t="s">
        <v>45095</v>
      </c>
      <c r="O1781" t="s">
        <v>45096</v>
      </c>
      <c r="P1781">
        <v>0</v>
      </c>
      <c r="Q1781">
        <v>0</v>
      </c>
      <c r="R1781" t="s">
        <v>45097</v>
      </c>
      <c r="S1781" t="s">
        <v>45222</v>
      </c>
      <c r="T1781" t="s">
        <v>46918</v>
      </c>
      <c r="U1781" t="s">
        <v>48999</v>
      </c>
      <c r="W1781" t="s">
        <v>42234</v>
      </c>
      <c r="X1781" t="s">
        <v>45098</v>
      </c>
    </row>
    <row r="1782" spans="1:24">
      <c r="A1782">
        <f>HYPERLINK("https://www.philgeps.gov.ph/GEPSNONPILOT/Tender/SplashBidNoticeAbstractUI.aspx?menuIndex=3&amp;refID=7046341&amp;Result=3","7046341")</f>
        <v>0</v>
      </c>
      <c r="B1782" t="s">
        <v>331</v>
      </c>
      <c r="C1782" t="s">
        <v>4907</v>
      </c>
      <c r="E1782" t="s">
        <v>19743</v>
      </c>
      <c r="F1782" t="s">
        <v>31574</v>
      </c>
      <c r="G1782" t="s">
        <v>31581</v>
      </c>
      <c r="H1782" t="s">
        <v>31590</v>
      </c>
      <c r="I1782" t="s">
        <v>31676</v>
      </c>
      <c r="J1782" t="s">
        <v>33006</v>
      </c>
      <c r="K1782" t="s">
        <v>41184</v>
      </c>
      <c r="M1782" t="s">
        <v>41819</v>
      </c>
      <c r="N1782" t="s">
        <v>45095</v>
      </c>
      <c r="O1782" t="s">
        <v>45096</v>
      </c>
      <c r="P1782">
        <v>0</v>
      </c>
      <c r="Q1782">
        <v>0</v>
      </c>
      <c r="R1782" t="s">
        <v>45097</v>
      </c>
      <c r="S1782" t="s">
        <v>45222</v>
      </c>
      <c r="T1782" t="s">
        <v>46934</v>
      </c>
      <c r="U1782" t="s">
        <v>49000</v>
      </c>
      <c r="W1782" t="s">
        <v>41819</v>
      </c>
      <c r="X1782" t="s">
        <v>45098</v>
      </c>
    </row>
    <row r="1783" spans="1:24">
      <c r="A1783">
        <f>HYPERLINK("https://www.philgeps.gov.ph/GEPSNONPILOT/Tender/SplashBidNoticeAbstractUI.aspx?menuIndex=3&amp;refID=7046346&amp;Result=3","7046346")</f>
        <v>0</v>
      </c>
      <c r="B1783" t="s">
        <v>709</v>
      </c>
      <c r="C1783" t="s">
        <v>4908</v>
      </c>
      <c r="D1783" t="s">
        <v>18026</v>
      </c>
      <c r="E1783" t="s">
        <v>19744</v>
      </c>
      <c r="F1783" t="s">
        <v>31574</v>
      </c>
      <c r="G1783" t="s">
        <v>31581</v>
      </c>
      <c r="H1783" t="s">
        <v>31590</v>
      </c>
      <c r="I1783" t="s">
        <v>7185</v>
      </c>
      <c r="J1783" t="s">
        <v>31789</v>
      </c>
      <c r="K1783" t="s">
        <v>41211</v>
      </c>
      <c r="M1783" t="s">
        <v>42219</v>
      </c>
      <c r="N1783" t="s">
        <v>45095</v>
      </c>
      <c r="O1783" t="s">
        <v>45096</v>
      </c>
      <c r="P1783">
        <v>0</v>
      </c>
      <c r="Q1783">
        <v>0</v>
      </c>
      <c r="R1783" t="s">
        <v>45097</v>
      </c>
      <c r="S1783" t="s">
        <v>45222</v>
      </c>
      <c r="T1783" t="s">
        <v>46918</v>
      </c>
      <c r="U1783" t="s">
        <v>49001</v>
      </c>
      <c r="W1783" t="s">
        <v>42219</v>
      </c>
      <c r="X1783" t="s">
        <v>45098</v>
      </c>
    </row>
    <row r="1784" spans="1:24">
      <c r="A1784">
        <f>HYPERLINK("https://www.philgeps.gov.ph/GEPSNONPILOT/Tender/SplashBidNoticeAbstractUI.aspx?menuIndex=3&amp;refID=7046358&amp;Result=3","7046358")</f>
        <v>0</v>
      </c>
      <c r="B1784" t="s">
        <v>660</v>
      </c>
      <c r="C1784" t="s">
        <v>4909</v>
      </c>
      <c r="D1784" t="s">
        <v>18022</v>
      </c>
      <c r="E1784" t="s">
        <v>19745</v>
      </c>
      <c r="F1784" t="s">
        <v>31574</v>
      </c>
      <c r="G1784" t="s">
        <v>31583</v>
      </c>
      <c r="H1784" t="s">
        <v>31590</v>
      </c>
      <c r="I1784" t="s">
        <v>5717</v>
      </c>
      <c r="J1784" t="s">
        <v>33007</v>
      </c>
      <c r="K1784" t="s">
        <v>41184</v>
      </c>
      <c r="M1784" t="s">
        <v>42165</v>
      </c>
      <c r="N1784" t="s">
        <v>45095</v>
      </c>
      <c r="O1784" t="s">
        <v>45096</v>
      </c>
      <c r="P1784">
        <v>0</v>
      </c>
      <c r="Q1784">
        <v>0</v>
      </c>
      <c r="R1784" t="s">
        <v>45097</v>
      </c>
      <c r="S1784" t="s">
        <v>45222</v>
      </c>
      <c r="T1784" t="s">
        <v>46957</v>
      </c>
      <c r="U1784" t="s">
        <v>49002</v>
      </c>
      <c r="W1784" t="s">
        <v>42165</v>
      </c>
      <c r="X1784" t="s">
        <v>45098</v>
      </c>
    </row>
    <row r="1785" spans="1:24">
      <c r="A1785">
        <f>HYPERLINK("https://www.philgeps.gov.ph/GEPSNONPILOT/Tender/SplashBidNoticeAbstractUI.aspx?menuIndex=3&amp;refID=7046351&amp;Result=3","7046351")</f>
        <v>0</v>
      </c>
      <c r="B1785" t="s">
        <v>704</v>
      </c>
      <c r="C1785" t="s">
        <v>4910</v>
      </c>
      <c r="E1785" t="s">
        <v>19746</v>
      </c>
      <c r="F1785" t="s">
        <v>31574</v>
      </c>
      <c r="G1785" t="s">
        <v>31582</v>
      </c>
      <c r="H1785" t="s">
        <v>31591</v>
      </c>
      <c r="I1785" t="s">
        <v>8822</v>
      </c>
      <c r="J1785" t="s">
        <v>33008</v>
      </c>
      <c r="K1785" t="s">
        <v>41265</v>
      </c>
      <c r="M1785" t="s">
        <v>42213</v>
      </c>
      <c r="N1785" t="s">
        <v>45095</v>
      </c>
      <c r="O1785" t="s">
        <v>45096</v>
      </c>
      <c r="P1785">
        <v>0</v>
      </c>
      <c r="Q1785">
        <v>0</v>
      </c>
      <c r="R1785" t="s">
        <v>45097</v>
      </c>
      <c r="S1785" t="s">
        <v>45222</v>
      </c>
      <c r="T1785" t="s">
        <v>46908</v>
      </c>
      <c r="U1785" t="s">
        <v>48981</v>
      </c>
      <c r="W1785" t="s">
        <v>42213</v>
      </c>
      <c r="X1785" t="s">
        <v>45098</v>
      </c>
    </row>
    <row r="1786" spans="1:24">
      <c r="A1786">
        <f>HYPERLINK("https://www.philgeps.gov.ph/GEPSNONPILOT/Tender/SplashBidNoticeAbstractUI.aspx?menuIndex=3&amp;refID=7046345&amp;Result=3","7046345")</f>
        <v>0</v>
      </c>
      <c r="B1786" t="s">
        <v>725</v>
      </c>
      <c r="C1786" t="s">
        <v>4911</v>
      </c>
      <c r="D1786" t="s">
        <v>18092</v>
      </c>
      <c r="E1786" t="s">
        <v>19747</v>
      </c>
      <c r="F1786" t="s">
        <v>31574</v>
      </c>
      <c r="G1786" t="s">
        <v>31582</v>
      </c>
      <c r="H1786" t="s">
        <v>31590</v>
      </c>
      <c r="I1786" t="s">
        <v>8258</v>
      </c>
      <c r="J1786" t="s">
        <v>33009</v>
      </c>
      <c r="K1786" t="s">
        <v>41193</v>
      </c>
      <c r="M1786" t="s">
        <v>42235</v>
      </c>
      <c r="N1786" t="s">
        <v>45095</v>
      </c>
      <c r="O1786" t="s">
        <v>45096</v>
      </c>
      <c r="P1786">
        <v>0</v>
      </c>
      <c r="Q1786">
        <v>0</v>
      </c>
      <c r="R1786" t="s">
        <v>45097</v>
      </c>
      <c r="S1786" t="s">
        <v>45222</v>
      </c>
      <c r="T1786" t="s">
        <v>46937</v>
      </c>
      <c r="U1786" t="s">
        <v>49003</v>
      </c>
      <c r="V1786" t="s">
        <v>60020</v>
      </c>
      <c r="W1786" t="s">
        <v>42235</v>
      </c>
      <c r="X1786" t="s">
        <v>45098</v>
      </c>
    </row>
    <row r="1787" spans="1:24">
      <c r="A1787">
        <f>HYPERLINK("https://www.philgeps.gov.ph/GEPSNONPILOT/Tender/SplashBidNoticeAbstractUI.aspx?menuIndex=3&amp;refID=7046350&amp;Result=3","7046350")</f>
        <v>0</v>
      </c>
      <c r="B1787" t="s">
        <v>89</v>
      </c>
      <c r="C1787" t="s">
        <v>4912</v>
      </c>
      <c r="D1787" t="s">
        <v>18059</v>
      </c>
      <c r="E1787" t="s">
        <v>19748</v>
      </c>
      <c r="F1787" t="s">
        <v>31574</v>
      </c>
      <c r="G1787" t="s">
        <v>31581</v>
      </c>
      <c r="H1787" t="s">
        <v>31590</v>
      </c>
      <c r="I1787" t="s">
        <v>31605</v>
      </c>
      <c r="J1787" t="s">
        <v>33010</v>
      </c>
      <c r="K1787" t="s">
        <v>41184</v>
      </c>
      <c r="M1787" t="s">
        <v>41573</v>
      </c>
      <c r="N1787" t="s">
        <v>45095</v>
      </c>
      <c r="O1787" t="s">
        <v>45096</v>
      </c>
      <c r="P1787">
        <v>0</v>
      </c>
      <c r="Q1787">
        <v>0</v>
      </c>
      <c r="R1787" t="s">
        <v>45097</v>
      </c>
      <c r="S1787" t="s">
        <v>45222</v>
      </c>
      <c r="T1787" t="s">
        <v>46946</v>
      </c>
      <c r="U1787" t="s">
        <v>49004</v>
      </c>
      <c r="W1787" t="s">
        <v>41573</v>
      </c>
      <c r="X1787" t="s">
        <v>45098</v>
      </c>
    </row>
    <row r="1788" spans="1:24">
      <c r="A1788">
        <f>HYPERLINK("https://www.philgeps.gov.ph/GEPSNONPILOT/Tender/SplashBidNoticeAbstractUI.aspx?menuIndex=3&amp;refID=7046353&amp;Result=3","7046353")</f>
        <v>0</v>
      </c>
      <c r="B1788" t="s">
        <v>726</v>
      </c>
      <c r="C1788" t="s">
        <v>4913</v>
      </c>
      <c r="D1788" t="s">
        <v>18058</v>
      </c>
      <c r="E1788" t="s">
        <v>19749</v>
      </c>
      <c r="F1788" t="s">
        <v>31574</v>
      </c>
      <c r="G1788" t="s">
        <v>31581</v>
      </c>
      <c r="H1788" t="s">
        <v>31590</v>
      </c>
      <c r="I1788" t="s">
        <v>4046</v>
      </c>
      <c r="J1788" t="s">
        <v>33011</v>
      </c>
      <c r="K1788" t="s">
        <v>41184</v>
      </c>
      <c r="M1788" t="s">
        <v>42236</v>
      </c>
      <c r="N1788" t="s">
        <v>45095</v>
      </c>
      <c r="O1788" t="s">
        <v>45096</v>
      </c>
      <c r="P1788">
        <v>0</v>
      </c>
      <c r="Q1788">
        <v>0</v>
      </c>
      <c r="R1788" t="s">
        <v>45097</v>
      </c>
      <c r="S1788" t="s">
        <v>45222</v>
      </c>
      <c r="T1788" t="s">
        <v>47084</v>
      </c>
      <c r="U1788" t="s">
        <v>49005</v>
      </c>
      <c r="W1788" t="s">
        <v>42236</v>
      </c>
      <c r="X1788" t="s">
        <v>45098</v>
      </c>
    </row>
    <row r="1789" spans="1:24">
      <c r="A1789">
        <f>HYPERLINK("https://www.philgeps.gov.ph/GEPSNONPILOT/Tender/SplashBidNoticeAbstractUI.aspx?menuIndex=3&amp;refID=7046344&amp;Result=3","7046344")</f>
        <v>0</v>
      </c>
      <c r="B1789" t="s">
        <v>404</v>
      </c>
      <c r="C1789" t="s">
        <v>4914</v>
      </c>
      <c r="D1789" t="s">
        <v>18079</v>
      </c>
      <c r="E1789" t="s">
        <v>19750</v>
      </c>
      <c r="F1789" t="s">
        <v>31574</v>
      </c>
      <c r="G1789" t="s">
        <v>31582</v>
      </c>
      <c r="H1789" t="s">
        <v>31590</v>
      </c>
      <c r="I1789" t="s">
        <v>4046</v>
      </c>
      <c r="J1789" t="s">
        <v>33012</v>
      </c>
      <c r="K1789" t="s">
        <v>41193</v>
      </c>
      <c r="M1789" t="s">
        <v>41895</v>
      </c>
      <c r="N1789" t="s">
        <v>45095</v>
      </c>
      <c r="O1789" t="s">
        <v>45096</v>
      </c>
      <c r="P1789">
        <v>0</v>
      </c>
      <c r="Q1789">
        <v>0</v>
      </c>
      <c r="R1789" t="s">
        <v>45097</v>
      </c>
      <c r="S1789" t="s">
        <v>45222</v>
      </c>
      <c r="T1789" t="s">
        <v>47036</v>
      </c>
      <c r="U1789" t="s">
        <v>49006</v>
      </c>
      <c r="W1789" t="s">
        <v>41895</v>
      </c>
      <c r="X1789" t="s">
        <v>45098</v>
      </c>
    </row>
    <row r="1790" spans="1:24">
      <c r="A1790">
        <f>HYPERLINK("https://www.philgeps.gov.ph/GEPSNONPILOT/Tender/SplashBidNoticeAbstractUI.aspx?menuIndex=3&amp;refID=7046363&amp;Result=3","7046363")</f>
        <v>0</v>
      </c>
      <c r="B1790" t="s">
        <v>551</v>
      </c>
      <c r="C1790" t="s">
        <v>4915</v>
      </c>
      <c r="D1790" t="s">
        <v>18096</v>
      </c>
      <c r="E1790" t="s">
        <v>19751</v>
      </c>
      <c r="F1790" t="s">
        <v>31574</v>
      </c>
      <c r="G1790" t="s">
        <v>31581</v>
      </c>
      <c r="H1790" t="s">
        <v>31590</v>
      </c>
      <c r="I1790" t="s">
        <v>31619</v>
      </c>
      <c r="J1790" t="s">
        <v>31727</v>
      </c>
      <c r="K1790" t="s">
        <v>41196</v>
      </c>
      <c r="M1790" t="s">
        <v>42207</v>
      </c>
      <c r="N1790" t="s">
        <v>45095</v>
      </c>
      <c r="O1790" t="s">
        <v>45096</v>
      </c>
      <c r="P1790">
        <v>0</v>
      </c>
      <c r="Q1790">
        <v>0</v>
      </c>
      <c r="R1790" t="s">
        <v>45097</v>
      </c>
      <c r="S1790" t="s">
        <v>45222</v>
      </c>
      <c r="T1790" t="s">
        <v>46931</v>
      </c>
      <c r="U1790" t="s">
        <v>49007</v>
      </c>
      <c r="W1790" t="s">
        <v>42207</v>
      </c>
      <c r="X1790" t="s">
        <v>45098</v>
      </c>
    </row>
    <row r="1791" spans="1:24">
      <c r="A1791">
        <f>HYPERLINK("https://www.philgeps.gov.ph/GEPSNONPILOT/Tender/SplashBidNoticeAbstractUI.aspx?menuIndex=3&amp;refID=7046343&amp;Result=3","7046343")</f>
        <v>0</v>
      </c>
      <c r="B1791" t="s">
        <v>248</v>
      </c>
      <c r="C1791" t="s">
        <v>4916</v>
      </c>
      <c r="D1791" t="s">
        <v>18075</v>
      </c>
      <c r="E1791" t="s">
        <v>19752</v>
      </c>
      <c r="F1791" t="s">
        <v>31574</v>
      </c>
      <c r="G1791" t="s">
        <v>31581</v>
      </c>
      <c r="H1791" t="s">
        <v>31590</v>
      </c>
      <c r="I1791" t="s">
        <v>4046</v>
      </c>
      <c r="J1791" t="s">
        <v>33013</v>
      </c>
      <c r="K1791" t="s">
        <v>41184</v>
      </c>
      <c r="M1791" t="s">
        <v>41734</v>
      </c>
      <c r="N1791" t="s">
        <v>45095</v>
      </c>
      <c r="O1791" t="s">
        <v>45096</v>
      </c>
      <c r="P1791">
        <v>0</v>
      </c>
      <c r="Q1791">
        <v>0</v>
      </c>
      <c r="R1791" t="s">
        <v>45097</v>
      </c>
      <c r="S1791" t="s">
        <v>45222</v>
      </c>
      <c r="T1791" t="s">
        <v>46904</v>
      </c>
      <c r="U1791" t="s">
        <v>49008</v>
      </c>
      <c r="W1791" t="s">
        <v>41734</v>
      </c>
      <c r="X1791" t="s">
        <v>45098</v>
      </c>
    </row>
    <row r="1792" spans="1:24">
      <c r="A1792">
        <f>HYPERLINK("https://www.philgeps.gov.ph/GEPSNONPILOT/Tender/SplashBidNoticeAbstractUI.aspx?menuIndex=3&amp;refID=7046362&amp;Result=3","7046362")</f>
        <v>0</v>
      </c>
      <c r="B1792" t="s">
        <v>727</v>
      </c>
      <c r="C1792" t="s">
        <v>4917</v>
      </c>
      <c r="D1792" t="s">
        <v>18079</v>
      </c>
      <c r="E1792" t="s">
        <v>19753</v>
      </c>
      <c r="F1792" t="s">
        <v>31574</v>
      </c>
      <c r="G1792" t="s">
        <v>31583</v>
      </c>
      <c r="H1792" t="s">
        <v>31593</v>
      </c>
      <c r="I1792" t="s">
        <v>31603</v>
      </c>
      <c r="J1792" t="s">
        <v>33007</v>
      </c>
      <c r="K1792" t="s">
        <v>41184</v>
      </c>
      <c r="M1792" t="s">
        <v>42237</v>
      </c>
      <c r="N1792" t="s">
        <v>45095</v>
      </c>
      <c r="O1792" t="s">
        <v>45096</v>
      </c>
      <c r="P1792">
        <v>0</v>
      </c>
      <c r="Q1792">
        <v>0</v>
      </c>
      <c r="R1792" t="s">
        <v>45097</v>
      </c>
      <c r="S1792" t="s">
        <v>45222</v>
      </c>
      <c r="T1792" t="s">
        <v>47064</v>
      </c>
      <c r="U1792" t="s">
        <v>49009</v>
      </c>
      <c r="W1792" t="s">
        <v>42237</v>
      </c>
      <c r="X1792" t="s">
        <v>45098</v>
      </c>
    </row>
    <row r="1793" spans="1:24">
      <c r="A1793">
        <f>HYPERLINK("https://www.philgeps.gov.ph/GEPSNONPILOT/Tender/SplashBidNoticeAbstractUI.aspx?menuIndex=3&amp;refID=7046357&amp;Result=3","7046357")</f>
        <v>0</v>
      </c>
      <c r="B1793" t="s">
        <v>408</v>
      </c>
      <c r="C1793" t="s">
        <v>4918</v>
      </c>
      <c r="D1793" t="s">
        <v>18059</v>
      </c>
      <c r="E1793" t="s">
        <v>19754</v>
      </c>
      <c r="F1793" t="s">
        <v>31574</v>
      </c>
      <c r="G1793" t="s">
        <v>31581</v>
      </c>
      <c r="H1793" t="s">
        <v>31590</v>
      </c>
      <c r="I1793" t="s">
        <v>31599</v>
      </c>
      <c r="J1793" t="s">
        <v>33014</v>
      </c>
      <c r="K1793" t="s">
        <v>41184</v>
      </c>
      <c r="M1793" t="s">
        <v>41899</v>
      </c>
      <c r="N1793" t="s">
        <v>45095</v>
      </c>
      <c r="O1793" t="s">
        <v>45096</v>
      </c>
      <c r="P1793">
        <v>0</v>
      </c>
      <c r="Q1793">
        <v>0</v>
      </c>
      <c r="R1793" t="s">
        <v>45097</v>
      </c>
      <c r="S1793" t="s">
        <v>45222</v>
      </c>
      <c r="T1793" t="s">
        <v>46938</v>
      </c>
      <c r="U1793" t="s">
        <v>48953</v>
      </c>
      <c r="W1793" t="s">
        <v>41899</v>
      </c>
      <c r="X1793" t="s">
        <v>45098</v>
      </c>
    </row>
    <row r="1794" spans="1:24">
      <c r="A1794">
        <f>HYPERLINK("https://www.philgeps.gov.ph/GEPSNONPILOT/Tender/SplashBidNoticeAbstractUI.aspx?menuIndex=3&amp;refID=7046359&amp;Result=3","7046359")</f>
        <v>0</v>
      </c>
      <c r="B1794" t="s">
        <v>728</v>
      </c>
      <c r="C1794" t="s">
        <v>4919</v>
      </c>
      <c r="D1794" t="s">
        <v>18053</v>
      </c>
      <c r="E1794" t="s">
        <v>19755</v>
      </c>
      <c r="F1794" t="s">
        <v>31574</v>
      </c>
      <c r="G1794" t="s">
        <v>31582</v>
      </c>
      <c r="H1794" t="s">
        <v>31590</v>
      </c>
      <c r="I1794" t="s">
        <v>31600</v>
      </c>
      <c r="J1794" t="s">
        <v>33015</v>
      </c>
      <c r="K1794" t="s">
        <v>41186</v>
      </c>
      <c r="M1794" t="s">
        <v>42238</v>
      </c>
      <c r="N1794" t="s">
        <v>45095</v>
      </c>
      <c r="O1794" t="s">
        <v>45096</v>
      </c>
      <c r="P1794">
        <v>0</v>
      </c>
      <c r="Q1794">
        <v>0</v>
      </c>
      <c r="R1794" t="s">
        <v>45097</v>
      </c>
      <c r="S1794" t="s">
        <v>45222</v>
      </c>
      <c r="T1794" t="s">
        <v>47093</v>
      </c>
      <c r="U1794" t="s">
        <v>49010</v>
      </c>
      <c r="W1794" t="s">
        <v>42238</v>
      </c>
      <c r="X1794" t="s">
        <v>45098</v>
      </c>
    </row>
    <row r="1795" spans="1:24">
      <c r="A1795">
        <f>HYPERLINK("https://www.philgeps.gov.ph/GEPSNONPILOT/Tender/SplashBidNoticeAbstractUI.aspx?menuIndex=3&amp;refID=7046360&amp;Result=3","7046360")</f>
        <v>0</v>
      </c>
      <c r="B1795" t="s">
        <v>713</v>
      </c>
      <c r="C1795" t="s">
        <v>4920</v>
      </c>
      <c r="D1795" t="s">
        <v>18071</v>
      </c>
      <c r="E1795" t="s">
        <v>19756</v>
      </c>
      <c r="F1795" t="s">
        <v>31574</v>
      </c>
      <c r="G1795" t="s">
        <v>31582</v>
      </c>
      <c r="H1795" t="s">
        <v>31590</v>
      </c>
      <c r="I1795" t="s">
        <v>31616</v>
      </c>
      <c r="J1795" t="s">
        <v>33016</v>
      </c>
      <c r="K1795" t="s">
        <v>41193</v>
      </c>
      <c r="L1795" t="s">
        <v>713</v>
      </c>
      <c r="M1795" t="s">
        <v>42223</v>
      </c>
      <c r="N1795" t="s">
        <v>45095</v>
      </c>
      <c r="O1795" t="s">
        <v>45096</v>
      </c>
      <c r="P1795">
        <v>0</v>
      </c>
      <c r="Q1795">
        <v>0</v>
      </c>
      <c r="R1795" t="s">
        <v>45097</v>
      </c>
      <c r="S1795" t="s">
        <v>45222</v>
      </c>
      <c r="T1795" t="s">
        <v>46922</v>
      </c>
      <c r="U1795" t="s">
        <v>49011</v>
      </c>
      <c r="W1795" t="s">
        <v>42223</v>
      </c>
      <c r="X1795" t="s">
        <v>45098</v>
      </c>
    </row>
    <row r="1796" spans="1:24">
      <c r="A1796">
        <f>HYPERLINK("https://www.philgeps.gov.ph/GEPSNONPILOT/Tender/SplashBidNoticeAbstractUI.aspx?menuIndex=3&amp;refID=7046366&amp;Result=3","7046366")</f>
        <v>0</v>
      </c>
      <c r="B1796" t="s">
        <v>725</v>
      </c>
      <c r="C1796" t="s">
        <v>4921</v>
      </c>
      <c r="D1796" t="s">
        <v>18092</v>
      </c>
      <c r="E1796" t="s">
        <v>19757</v>
      </c>
      <c r="F1796" t="s">
        <v>31574</v>
      </c>
      <c r="G1796" t="s">
        <v>31582</v>
      </c>
      <c r="H1796" t="s">
        <v>31590</v>
      </c>
      <c r="I1796" t="s">
        <v>31600</v>
      </c>
      <c r="J1796" t="s">
        <v>33017</v>
      </c>
      <c r="K1796" t="s">
        <v>41193</v>
      </c>
      <c r="M1796" t="s">
        <v>42235</v>
      </c>
      <c r="N1796" t="s">
        <v>45095</v>
      </c>
      <c r="O1796" t="s">
        <v>45096</v>
      </c>
      <c r="P1796">
        <v>0</v>
      </c>
      <c r="Q1796">
        <v>0</v>
      </c>
      <c r="R1796" t="s">
        <v>45097</v>
      </c>
      <c r="S1796" t="s">
        <v>45222</v>
      </c>
      <c r="T1796" t="s">
        <v>46937</v>
      </c>
      <c r="U1796" t="s">
        <v>49012</v>
      </c>
      <c r="V1796" t="s">
        <v>60021</v>
      </c>
      <c r="W1796" t="s">
        <v>42235</v>
      </c>
      <c r="X1796" t="s">
        <v>45098</v>
      </c>
    </row>
    <row r="1797" spans="1:24">
      <c r="A1797">
        <f>HYPERLINK("https://www.philgeps.gov.ph/GEPSNONPILOT/Tender/SplashBidNoticeAbstractUI.aspx?menuIndex=3&amp;refID=7046356&amp;Result=3","7046356")</f>
        <v>0</v>
      </c>
      <c r="B1797" t="s">
        <v>719</v>
      </c>
      <c r="C1797" t="s">
        <v>4922</v>
      </c>
      <c r="D1797" t="s">
        <v>18055</v>
      </c>
      <c r="E1797" t="s">
        <v>19758</v>
      </c>
      <c r="F1797" t="s">
        <v>31574</v>
      </c>
      <c r="G1797" t="s">
        <v>31582</v>
      </c>
      <c r="H1797" t="s">
        <v>31591</v>
      </c>
      <c r="I1797" t="s">
        <v>8822</v>
      </c>
      <c r="J1797" t="s">
        <v>33018</v>
      </c>
      <c r="K1797" t="s">
        <v>41217</v>
      </c>
      <c r="M1797" t="s">
        <v>42229</v>
      </c>
      <c r="N1797" t="s">
        <v>45095</v>
      </c>
      <c r="O1797" t="s">
        <v>45096</v>
      </c>
      <c r="P1797">
        <v>0</v>
      </c>
      <c r="Q1797">
        <v>0</v>
      </c>
      <c r="R1797" t="s">
        <v>45097</v>
      </c>
      <c r="S1797" t="s">
        <v>45222</v>
      </c>
      <c r="T1797" t="s">
        <v>46938</v>
      </c>
      <c r="U1797" t="s">
        <v>49013</v>
      </c>
      <c r="W1797" t="s">
        <v>42229</v>
      </c>
      <c r="X1797" t="s">
        <v>45098</v>
      </c>
    </row>
    <row r="1798" spans="1:24">
      <c r="A1798">
        <f>HYPERLINK("https://www.philgeps.gov.ph/GEPSNONPILOT/Tender/SplashBidNoticeAbstractUI.aspx?menuIndex=3&amp;refID=7046354&amp;Result=3","7046354")</f>
        <v>0</v>
      </c>
      <c r="B1798" t="s">
        <v>651</v>
      </c>
      <c r="C1798" t="s">
        <v>4923</v>
      </c>
      <c r="D1798" t="s">
        <v>18023</v>
      </c>
      <c r="E1798" t="s">
        <v>19759</v>
      </c>
      <c r="F1798" t="s">
        <v>31574</v>
      </c>
      <c r="G1798" t="s">
        <v>31581</v>
      </c>
      <c r="H1798" t="s">
        <v>31590</v>
      </c>
      <c r="I1798" t="s">
        <v>3651</v>
      </c>
      <c r="J1798" t="s">
        <v>32381</v>
      </c>
      <c r="K1798" t="s">
        <v>41193</v>
      </c>
      <c r="M1798" t="s">
        <v>42155</v>
      </c>
      <c r="N1798" t="s">
        <v>45095</v>
      </c>
      <c r="O1798" t="s">
        <v>45096</v>
      </c>
      <c r="P1798">
        <v>0</v>
      </c>
      <c r="Q1798">
        <v>0</v>
      </c>
      <c r="R1798" t="s">
        <v>45097</v>
      </c>
      <c r="S1798" t="s">
        <v>45222</v>
      </c>
      <c r="T1798" t="s">
        <v>47094</v>
      </c>
      <c r="U1798" t="s">
        <v>49014</v>
      </c>
      <c r="V1798" t="s">
        <v>60022</v>
      </c>
      <c r="W1798" t="s">
        <v>42155</v>
      </c>
      <c r="X1798" t="s">
        <v>45098</v>
      </c>
    </row>
    <row r="1799" spans="1:24">
      <c r="A1799">
        <f>HYPERLINK("https://www.philgeps.gov.ph/GEPSNONPILOT/Tender/SplashBidNoticeAbstractUI.aspx?menuIndex=3&amp;refID=7046348&amp;Result=3","7046348")</f>
        <v>0</v>
      </c>
      <c r="B1799" t="s">
        <v>729</v>
      </c>
      <c r="C1799" t="s">
        <v>4924</v>
      </c>
      <c r="D1799" t="s">
        <v>18073</v>
      </c>
      <c r="E1799" t="s">
        <v>19760</v>
      </c>
      <c r="F1799" t="s">
        <v>31574</v>
      </c>
      <c r="G1799" t="s">
        <v>31582</v>
      </c>
      <c r="H1799" t="s">
        <v>31591</v>
      </c>
      <c r="I1799" t="s">
        <v>8822</v>
      </c>
      <c r="J1799" t="s">
        <v>33019</v>
      </c>
      <c r="K1799" t="s">
        <v>41218</v>
      </c>
      <c r="M1799" t="s">
        <v>42239</v>
      </c>
      <c r="N1799" t="s">
        <v>45095</v>
      </c>
      <c r="O1799" t="s">
        <v>45096</v>
      </c>
      <c r="P1799">
        <v>0</v>
      </c>
      <c r="Q1799">
        <v>0</v>
      </c>
      <c r="R1799" t="s">
        <v>45097</v>
      </c>
      <c r="S1799" t="s">
        <v>45222</v>
      </c>
      <c r="T1799" t="s">
        <v>46984</v>
      </c>
      <c r="U1799" t="s">
        <v>49015</v>
      </c>
      <c r="W1799" t="s">
        <v>42239</v>
      </c>
      <c r="X1799" t="s">
        <v>45098</v>
      </c>
    </row>
    <row r="1800" spans="1:24">
      <c r="A1800">
        <f>HYPERLINK("https://www.philgeps.gov.ph/GEPSNONPILOT/Tender/SplashBidNoticeAbstractUI.aspx?menuIndex=3&amp;refID=7046365&amp;Result=3","7046365")</f>
        <v>0</v>
      </c>
      <c r="B1800" t="s">
        <v>161</v>
      </c>
      <c r="C1800" t="s">
        <v>4925</v>
      </c>
      <c r="D1800" t="s">
        <v>18056</v>
      </c>
      <c r="E1800" t="s">
        <v>19761</v>
      </c>
      <c r="F1800" t="s">
        <v>31574</v>
      </c>
      <c r="G1800" t="s">
        <v>31581</v>
      </c>
      <c r="H1800" t="s">
        <v>31590</v>
      </c>
      <c r="I1800" t="s">
        <v>3539</v>
      </c>
      <c r="J1800" t="s">
        <v>31743</v>
      </c>
      <c r="K1800" t="s">
        <v>41184</v>
      </c>
      <c r="M1800" t="s">
        <v>41721</v>
      </c>
      <c r="N1800" t="s">
        <v>45095</v>
      </c>
      <c r="O1800" t="s">
        <v>45096</v>
      </c>
      <c r="P1800">
        <v>0</v>
      </c>
      <c r="Q1800">
        <v>0</v>
      </c>
      <c r="R1800" t="s">
        <v>45097</v>
      </c>
      <c r="S1800" t="s">
        <v>45222</v>
      </c>
      <c r="T1800" t="s">
        <v>46913</v>
      </c>
      <c r="U1800" t="s">
        <v>49016</v>
      </c>
      <c r="W1800" t="s">
        <v>41721</v>
      </c>
      <c r="X1800" t="s">
        <v>45098</v>
      </c>
    </row>
    <row r="1801" spans="1:24">
      <c r="A1801">
        <f>HYPERLINK("https://www.philgeps.gov.ph/GEPSNONPILOT/Tender/SplashBidNoticeAbstractUI.aspx?menuIndex=3&amp;refID=7046380&amp;Result=3","7046380")</f>
        <v>0</v>
      </c>
      <c r="B1801" t="s">
        <v>272</v>
      </c>
      <c r="C1801" t="s">
        <v>4926</v>
      </c>
      <c r="D1801" t="s">
        <v>18052</v>
      </c>
      <c r="E1801" t="s">
        <v>19762</v>
      </c>
      <c r="F1801" t="s">
        <v>31574</v>
      </c>
      <c r="G1801" t="s">
        <v>31581</v>
      </c>
      <c r="H1801" t="s">
        <v>31592</v>
      </c>
      <c r="I1801" t="s">
        <v>8822</v>
      </c>
      <c r="J1801" t="s">
        <v>33020</v>
      </c>
      <c r="K1801" t="s">
        <v>41186</v>
      </c>
      <c r="M1801" t="s">
        <v>41758</v>
      </c>
      <c r="N1801" t="s">
        <v>45095</v>
      </c>
      <c r="O1801" t="s">
        <v>45096</v>
      </c>
      <c r="P1801">
        <v>0</v>
      </c>
      <c r="Q1801">
        <v>0</v>
      </c>
      <c r="R1801" t="s">
        <v>45097</v>
      </c>
      <c r="S1801" t="s">
        <v>45222</v>
      </c>
      <c r="T1801" t="s">
        <v>46926</v>
      </c>
      <c r="U1801" t="s">
        <v>49017</v>
      </c>
      <c r="W1801" t="s">
        <v>41758</v>
      </c>
      <c r="X1801" t="s">
        <v>45098</v>
      </c>
    </row>
    <row r="1802" spans="1:24">
      <c r="A1802">
        <f>HYPERLINK("https://www.philgeps.gov.ph/GEPSNONPILOT/Tender/SplashBidNoticeAbstractUI.aspx?menuIndex=3&amp;refID=7046375&amp;Result=3","7046375")</f>
        <v>0</v>
      </c>
      <c r="B1802" t="s">
        <v>70</v>
      </c>
      <c r="C1802" t="s">
        <v>4927</v>
      </c>
      <c r="E1802" t="s">
        <v>18936</v>
      </c>
      <c r="F1802" t="s">
        <v>31574</v>
      </c>
      <c r="G1802" t="s">
        <v>31583</v>
      </c>
      <c r="H1802" t="s">
        <v>31590</v>
      </c>
      <c r="I1802" t="s">
        <v>31605</v>
      </c>
      <c r="J1802" t="s">
        <v>33021</v>
      </c>
      <c r="K1802" t="s">
        <v>41184</v>
      </c>
      <c r="M1802" t="s">
        <v>41554</v>
      </c>
      <c r="N1802" t="s">
        <v>45095</v>
      </c>
      <c r="O1802" t="s">
        <v>45096</v>
      </c>
      <c r="P1802">
        <v>0</v>
      </c>
      <c r="Q1802">
        <v>0</v>
      </c>
      <c r="R1802" t="s">
        <v>45097</v>
      </c>
      <c r="S1802" t="s">
        <v>45222</v>
      </c>
      <c r="T1802" t="s">
        <v>46936</v>
      </c>
      <c r="U1802" t="s">
        <v>49018</v>
      </c>
      <c r="W1802" t="s">
        <v>41554</v>
      </c>
      <c r="X1802" t="s">
        <v>45098</v>
      </c>
    </row>
    <row r="1803" spans="1:24">
      <c r="A1803">
        <f>HYPERLINK("https://www.philgeps.gov.ph/GEPSNONPILOT/Tender/SplashBidNoticeAbstractUI.aspx?menuIndex=3&amp;refID=7046378&amp;Result=3","7046378")</f>
        <v>0</v>
      </c>
      <c r="B1803" t="s">
        <v>730</v>
      </c>
      <c r="C1803" t="s">
        <v>4928</v>
      </c>
      <c r="D1803" t="s">
        <v>18028</v>
      </c>
      <c r="E1803" t="s">
        <v>19763</v>
      </c>
      <c r="F1803" t="s">
        <v>31574</v>
      </c>
      <c r="G1803" t="s">
        <v>31583</v>
      </c>
      <c r="H1803" t="s">
        <v>31590</v>
      </c>
      <c r="I1803" t="s">
        <v>3487</v>
      </c>
      <c r="J1803" t="s">
        <v>33022</v>
      </c>
      <c r="K1803" t="s">
        <v>41193</v>
      </c>
      <c r="M1803" t="s">
        <v>42240</v>
      </c>
      <c r="N1803" t="s">
        <v>45095</v>
      </c>
      <c r="O1803" t="s">
        <v>45096</v>
      </c>
      <c r="P1803">
        <v>0</v>
      </c>
      <c r="Q1803">
        <v>0</v>
      </c>
      <c r="R1803" t="s">
        <v>45097</v>
      </c>
      <c r="S1803" t="s">
        <v>45222</v>
      </c>
      <c r="T1803" t="s">
        <v>46930</v>
      </c>
      <c r="U1803" t="s">
        <v>49019</v>
      </c>
      <c r="W1803" t="s">
        <v>42240</v>
      </c>
      <c r="X1803" t="s">
        <v>45098</v>
      </c>
    </row>
    <row r="1804" spans="1:24">
      <c r="A1804">
        <f>HYPERLINK("https://www.philgeps.gov.ph/GEPSNONPILOT/Tender/SplashBidNoticeAbstractUI.aspx?menuIndex=3&amp;refID=7046368&amp;Result=3","7046368")</f>
        <v>0</v>
      </c>
      <c r="B1804" t="s">
        <v>731</v>
      </c>
      <c r="C1804" t="s">
        <v>4929</v>
      </c>
      <c r="D1804" t="s">
        <v>18041</v>
      </c>
      <c r="E1804" t="s">
        <v>19764</v>
      </c>
      <c r="F1804" t="s">
        <v>31574</v>
      </c>
      <c r="G1804" t="s">
        <v>31581</v>
      </c>
      <c r="H1804" t="s">
        <v>31590</v>
      </c>
      <c r="I1804" t="s">
        <v>4046</v>
      </c>
      <c r="J1804" t="s">
        <v>33023</v>
      </c>
      <c r="K1804" t="s">
        <v>41193</v>
      </c>
      <c r="M1804" t="s">
        <v>42241</v>
      </c>
      <c r="N1804" t="s">
        <v>45095</v>
      </c>
      <c r="O1804" t="s">
        <v>45096</v>
      </c>
      <c r="P1804">
        <v>0</v>
      </c>
      <c r="Q1804">
        <v>0</v>
      </c>
      <c r="R1804" t="s">
        <v>45097</v>
      </c>
      <c r="S1804" t="s">
        <v>45222</v>
      </c>
      <c r="T1804" t="s">
        <v>46969</v>
      </c>
      <c r="U1804" t="s">
        <v>49020</v>
      </c>
      <c r="W1804" t="s">
        <v>42241</v>
      </c>
      <c r="X1804" t="s">
        <v>45098</v>
      </c>
    </row>
    <row r="1805" spans="1:24">
      <c r="A1805">
        <f>HYPERLINK("https://www.philgeps.gov.ph/GEPSNONPILOT/Tender/SplashBidNoticeAbstractUI.aspx?menuIndex=3&amp;refID=7046379&amp;Result=3","7046379")</f>
        <v>0</v>
      </c>
      <c r="B1805" t="s">
        <v>732</v>
      </c>
      <c r="C1805" t="s">
        <v>4930</v>
      </c>
      <c r="E1805" t="s">
        <v>19765</v>
      </c>
      <c r="F1805" t="s">
        <v>31574</v>
      </c>
      <c r="G1805" t="s">
        <v>31583</v>
      </c>
      <c r="H1805" t="s">
        <v>31590</v>
      </c>
      <c r="I1805" t="s">
        <v>6800</v>
      </c>
      <c r="J1805" t="s">
        <v>33024</v>
      </c>
      <c r="K1805" t="s">
        <v>41184</v>
      </c>
      <c r="M1805" t="s">
        <v>42242</v>
      </c>
      <c r="N1805" t="s">
        <v>45095</v>
      </c>
      <c r="O1805" t="s">
        <v>45096</v>
      </c>
      <c r="P1805">
        <v>0</v>
      </c>
      <c r="Q1805">
        <v>0</v>
      </c>
      <c r="R1805" t="s">
        <v>45097</v>
      </c>
      <c r="S1805" t="s">
        <v>45222</v>
      </c>
      <c r="T1805" t="s">
        <v>47008</v>
      </c>
      <c r="U1805" t="s">
        <v>49021</v>
      </c>
      <c r="W1805" t="s">
        <v>42242</v>
      </c>
      <c r="X1805" t="s">
        <v>45098</v>
      </c>
    </row>
    <row r="1806" spans="1:24">
      <c r="A1806">
        <f>HYPERLINK("https://www.philgeps.gov.ph/GEPSNONPILOT/Tender/SplashBidNoticeAbstractUI.aspx?menuIndex=3&amp;refID=7046372&amp;Result=3","7046372")</f>
        <v>0</v>
      </c>
      <c r="B1806" t="s">
        <v>479</v>
      </c>
      <c r="C1806" t="s">
        <v>4931</v>
      </c>
      <c r="D1806" t="s">
        <v>18079</v>
      </c>
      <c r="E1806" t="s">
        <v>19766</v>
      </c>
      <c r="F1806" t="s">
        <v>31574</v>
      </c>
      <c r="G1806" t="s">
        <v>31585</v>
      </c>
      <c r="H1806" t="s">
        <v>31590</v>
      </c>
      <c r="I1806" t="s">
        <v>5717</v>
      </c>
      <c r="J1806" t="s">
        <v>33025</v>
      </c>
      <c r="K1806" t="s">
        <v>41184</v>
      </c>
      <c r="M1806" t="s">
        <v>42243</v>
      </c>
      <c r="N1806" t="s">
        <v>45095</v>
      </c>
      <c r="O1806" t="s">
        <v>45096</v>
      </c>
      <c r="P1806">
        <v>0</v>
      </c>
      <c r="Q1806">
        <v>0</v>
      </c>
      <c r="R1806" t="s">
        <v>45097</v>
      </c>
      <c r="S1806" t="s">
        <v>45222</v>
      </c>
      <c r="T1806" t="s">
        <v>46904</v>
      </c>
      <c r="U1806" t="s">
        <v>49022</v>
      </c>
      <c r="V1806" t="s">
        <v>60023</v>
      </c>
      <c r="W1806" t="s">
        <v>42243</v>
      </c>
      <c r="X1806" t="s">
        <v>45098</v>
      </c>
    </row>
    <row r="1807" spans="1:24">
      <c r="A1807">
        <f>HYPERLINK("https://www.philgeps.gov.ph/GEPSNONPILOT/Tender/SplashBidNoticeAbstractUI.aspx?menuIndex=3&amp;refID=7046377&amp;Result=3","7046377")</f>
        <v>0</v>
      </c>
      <c r="B1807" t="s">
        <v>404</v>
      </c>
      <c r="C1807" t="s">
        <v>4932</v>
      </c>
      <c r="D1807" t="s">
        <v>18079</v>
      </c>
      <c r="E1807" t="s">
        <v>19767</v>
      </c>
      <c r="F1807" t="s">
        <v>31574</v>
      </c>
      <c r="G1807" t="s">
        <v>31582</v>
      </c>
      <c r="H1807" t="s">
        <v>31590</v>
      </c>
      <c r="I1807" t="s">
        <v>5717</v>
      </c>
      <c r="J1807" t="s">
        <v>33026</v>
      </c>
      <c r="K1807" t="s">
        <v>41193</v>
      </c>
      <c r="M1807" t="s">
        <v>41895</v>
      </c>
      <c r="N1807" t="s">
        <v>45095</v>
      </c>
      <c r="O1807" t="s">
        <v>45096</v>
      </c>
      <c r="P1807">
        <v>0</v>
      </c>
      <c r="Q1807">
        <v>0</v>
      </c>
      <c r="R1807" t="s">
        <v>45097</v>
      </c>
      <c r="S1807" t="s">
        <v>45222</v>
      </c>
      <c r="T1807" t="s">
        <v>47036</v>
      </c>
      <c r="U1807" t="s">
        <v>49023</v>
      </c>
      <c r="W1807" t="s">
        <v>41895</v>
      </c>
      <c r="X1807" t="s">
        <v>45098</v>
      </c>
    </row>
    <row r="1808" spans="1:24">
      <c r="A1808">
        <f>HYPERLINK("https://www.philgeps.gov.ph/GEPSNONPILOT/Tender/SplashBidNoticeAbstractUI.aspx?menuIndex=3&amp;refID=7046373&amp;Result=3","7046373")</f>
        <v>0</v>
      </c>
      <c r="B1808" t="s">
        <v>733</v>
      </c>
      <c r="C1808" t="s">
        <v>4933</v>
      </c>
      <c r="D1808" t="s">
        <v>18054</v>
      </c>
      <c r="E1808" t="s">
        <v>19768</v>
      </c>
      <c r="F1808" t="s">
        <v>31574</v>
      </c>
      <c r="G1808" t="s">
        <v>31583</v>
      </c>
      <c r="H1808" t="s">
        <v>31590</v>
      </c>
      <c r="I1808" t="s">
        <v>31651</v>
      </c>
      <c r="J1808" t="s">
        <v>32746</v>
      </c>
      <c r="K1808" t="s">
        <v>41211</v>
      </c>
      <c r="M1808" t="s">
        <v>42244</v>
      </c>
      <c r="N1808" t="s">
        <v>45095</v>
      </c>
      <c r="O1808" t="s">
        <v>45096</v>
      </c>
      <c r="P1808">
        <v>0</v>
      </c>
      <c r="Q1808">
        <v>0</v>
      </c>
      <c r="R1808" t="s">
        <v>45097</v>
      </c>
      <c r="S1808" t="s">
        <v>45222</v>
      </c>
      <c r="T1808" t="s">
        <v>46936</v>
      </c>
      <c r="U1808" t="s">
        <v>49024</v>
      </c>
      <c r="W1808" t="s">
        <v>42244</v>
      </c>
      <c r="X1808" t="s">
        <v>45098</v>
      </c>
    </row>
    <row r="1809" spans="1:24">
      <c r="A1809">
        <f>HYPERLINK("https://www.philgeps.gov.ph/GEPSNONPILOT/Tender/SplashBidNoticeAbstractUI.aspx?menuIndex=3&amp;refID=7046369&amp;Result=3","7046369")</f>
        <v>0</v>
      </c>
      <c r="B1809" t="s">
        <v>734</v>
      </c>
      <c r="C1809" t="s">
        <v>4934</v>
      </c>
      <c r="D1809" t="s">
        <v>18092</v>
      </c>
      <c r="E1809" t="s">
        <v>19769</v>
      </c>
      <c r="F1809" t="s">
        <v>31574</v>
      </c>
      <c r="G1809" t="s">
        <v>31581</v>
      </c>
      <c r="H1809" t="s">
        <v>31590</v>
      </c>
      <c r="I1809" t="s">
        <v>6800</v>
      </c>
      <c r="J1809" t="s">
        <v>33027</v>
      </c>
      <c r="K1809" t="s">
        <v>41196</v>
      </c>
      <c r="M1809" t="s">
        <v>42245</v>
      </c>
      <c r="N1809" t="s">
        <v>45095</v>
      </c>
      <c r="O1809" t="s">
        <v>45096</v>
      </c>
      <c r="P1809">
        <v>0</v>
      </c>
      <c r="Q1809">
        <v>0</v>
      </c>
      <c r="R1809" t="s">
        <v>45097</v>
      </c>
      <c r="S1809" t="s">
        <v>45222</v>
      </c>
      <c r="T1809" t="s">
        <v>46911</v>
      </c>
      <c r="U1809" t="s">
        <v>49025</v>
      </c>
      <c r="W1809" t="s">
        <v>42245</v>
      </c>
      <c r="X1809" t="s">
        <v>45098</v>
      </c>
    </row>
    <row r="1810" spans="1:24">
      <c r="A1810">
        <f>HYPERLINK("https://www.philgeps.gov.ph/GEPSNONPILOT/Tender/SplashBidNoticeAbstractUI.aspx?menuIndex=3&amp;refID=7046347&amp;Result=3","7046347")</f>
        <v>0</v>
      </c>
      <c r="B1810" t="s">
        <v>699</v>
      </c>
      <c r="C1810" t="s">
        <v>4935</v>
      </c>
      <c r="D1810" t="s">
        <v>18066</v>
      </c>
      <c r="E1810" t="s">
        <v>19770</v>
      </c>
      <c r="F1810" t="s">
        <v>31574</v>
      </c>
      <c r="G1810" t="s">
        <v>31582</v>
      </c>
      <c r="H1810" t="s">
        <v>31590</v>
      </c>
      <c r="I1810" t="s">
        <v>8258</v>
      </c>
      <c r="J1810" t="s">
        <v>33028</v>
      </c>
      <c r="K1810" t="s">
        <v>41184</v>
      </c>
      <c r="M1810" t="s">
        <v>42206</v>
      </c>
      <c r="N1810" t="s">
        <v>45095</v>
      </c>
      <c r="O1810" t="s">
        <v>45096</v>
      </c>
      <c r="P1810">
        <v>0</v>
      </c>
      <c r="Q1810">
        <v>0</v>
      </c>
      <c r="R1810" t="s">
        <v>45097</v>
      </c>
      <c r="S1810" t="s">
        <v>45222</v>
      </c>
      <c r="T1810" t="s">
        <v>46937</v>
      </c>
      <c r="U1810" t="s">
        <v>48947</v>
      </c>
      <c r="V1810" t="s">
        <v>60013</v>
      </c>
      <c r="W1810" t="s">
        <v>42206</v>
      </c>
      <c r="X1810" t="s">
        <v>45098</v>
      </c>
    </row>
    <row r="1811" spans="1:24">
      <c r="A1811">
        <f>HYPERLINK("https://www.philgeps.gov.ph/GEPSNONPILOT/Tender/SplashBidNoticeAbstractUI.aspx?menuIndex=3&amp;refID=7046383&amp;Result=3","7046383")</f>
        <v>0</v>
      </c>
      <c r="B1811" t="s">
        <v>735</v>
      </c>
      <c r="C1811" t="s">
        <v>4936</v>
      </c>
      <c r="D1811" t="s">
        <v>18096</v>
      </c>
      <c r="E1811" t="s">
        <v>19771</v>
      </c>
      <c r="F1811" t="s">
        <v>31574</v>
      </c>
      <c r="G1811" t="s">
        <v>31581</v>
      </c>
      <c r="H1811" t="s">
        <v>31590</v>
      </c>
      <c r="I1811" t="s">
        <v>31605</v>
      </c>
      <c r="J1811" t="s">
        <v>33029</v>
      </c>
      <c r="K1811" t="s">
        <v>41186</v>
      </c>
      <c r="M1811" t="s">
        <v>42246</v>
      </c>
      <c r="N1811" t="s">
        <v>45095</v>
      </c>
      <c r="O1811" t="s">
        <v>45096</v>
      </c>
      <c r="P1811">
        <v>0</v>
      </c>
      <c r="Q1811">
        <v>0</v>
      </c>
      <c r="R1811" t="s">
        <v>45097</v>
      </c>
      <c r="S1811" t="s">
        <v>45222</v>
      </c>
      <c r="T1811" t="s">
        <v>46979</v>
      </c>
      <c r="U1811" t="s">
        <v>49026</v>
      </c>
      <c r="W1811" t="s">
        <v>42246</v>
      </c>
      <c r="X1811" t="s">
        <v>45098</v>
      </c>
    </row>
    <row r="1812" spans="1:24">
      <c r="A1812">
        <f>HYPERLINK("https://www.philgeps.gov.ph/GEPSNONPILOT/Tender/SplashBidNoticeAbstractUI.aspx?menuIndex=3&amp;refID=7046385&amp;Result=3","7046385")</f>
        <v>0</v>
      </c>
      <c r="B1812" t="s">
        <v>487</v>
      </c>
      <c r="C1812" t="s">
        <v>4937</v>
      </c>
      <c r="D1812" t="s">
        <v>18035</v>
      </c>
      <c r="E1812" t="s">
        <v>19772</v>
      </c>
      <c r="F1812" t="s">
        <v>31574</v>
      </c>
      <c r="G1812" t="s">
        <v>31583</v>
      </c>
      <c r="H1812" t="s">
        <v>31590</v>
      </c>
      <c r="I1812" t="s">
        <v>31642</v>
      </c>
      <c r="J1812" t="s">
        <v>33030</v>
      </c>
      <c r="K1812" t="s">
        <v>41197</v>
      </c>
      <c r="M1812" t="s">
        <v>41983</v>
      </c>
      <c r="N1812" t="s">
        <v>45095</v>
      </c>
      <c r="O1812" t="s">
        <v>45096</v>
      </c>
      <c r="P1812">
        <v>0</v>
      </c>
      <c r="Q1812">
        <v>0</v>
      </c>
      <c r="R1812" t="s">
        <v>45097</v>
      </c>
      <c r="S1812" t="s">
        <v>45222</v>
      </c>
      <c r="T1812" t="s">
        <v>46913</v>
      </c>
      <c r="U1812" t="s">
        <v>49027</v>
      </c>
      <c r="W1812" t="s">
        <v>41983</v>
      </c>
      <c r="X1812" t="s">
        <v>45098</v>
      </c>
    </row>
    <row r="1813" spans="1:24">
      <c r="A1813">
        <f>HYPERLINK("https://www.philgeps.gov.ph/GEPSNONPILOT/Tender/SplashBidNoticeAbstractUI.aspx?menuIndex=3&amp;refID=7046392&amp;Result=3","7046392")</f>
        <v>0</v>
      </c>
      <c r="B1813" t="s">
        <v>736</v>
      </c>
      <c r="C1813" t="s">
        <v>4938</v>
      </c>
      <c r="D1813" t="s">
        <v>18079</v>
      </c>
      <c r="E1813" t="s">
        <v>19773</v>
      </c>
      <c r="F1813" t="s">
        <v>31574</v>
      </c>
      <c r="G1813" t="s">
        <v>31581</v>
      </c>
      <c r="H1813" t="s">
        <v>31590</v>
      </c>
      <c r="I1813" t="s">
        <v>8258</v>
      </c>
      <c r="J1813" t="s">
        <v>33031</v>
      </c>
      <c r="K1813" t="s">
        <v>41186</v>
      </c>
      <c r="M1813" t="s">
        <v>42247</v>
      </c>
      <c r="N1813" t="s">
        <v>45095</v>
      </c>
      <c r="O1813" t="s">
        <v>45096</v>
      </c>
      <c r="P1813">
        <v>0</v>
      </c>
      <c r="Q1813">
        <v>0</v>
      </c>
      <c r="R1813" t="s">
        <v>45097</v>
      </c>
      <c r="S1813" t="s">
        <v>45222</v>
      </c>
      <c r="T1813" t="s">
        <v>46946</v>
      </c>
      <c r="U1813" t="s">
        <v>49028</v>
      </c>
      <c r="W1813" t="s">
        <v>42247</v>
      </c>
      <c r="X1813" t="s">
        <v>45098</v>
      </c>
    </row>
    <row r="1814" spans="1:24">
      <c r="A1814">
        <f>HYPERLINK("https://www.philgeps.gov.ph/GEPSNONPILOT/Tender/SplashBidNoticeAbstractUI.aspx?menuIndex=3&amp;refID=7046384&amp;Result=3","7046384")</f>
        <v>0</v>
      </c>
      <c r="B1814" t="s">
        <v>737</v>
      </c>
      <c r="C1814" t="s">
        <v>4939</v>
      </c>
      <c r="D1814" t="s">
        <v>18074</v>
      </c>
      <c r="E1814" t="s">
        <v>19774</v>
      </c>
      <c r="F1814" t="s">
        <v>31574</v>
      </c>
      <c r="G1814" t="s">
        <v>31582</v>
      </c>
      <c r="H1814" t="s">
        <v>31591</v>
      </c>
      <c r="I1814" t="s">
        <v>31663</v>
      </c>
      <c r="J1814" t="s">
        <v>31819</v>
      </c>
      <c r="K1814" t="s">
        <v>41185</v>
      </c>
      <c r="M1814" t="s">
        <v>42248</v>
      </c>
      <c r="N1814" t="s">
        <v>45095</v>
      </c>
      <c r="O1814" t="s">
        <v>45096</v>
      </c>
      <c r="P1814">
        <v>0</v>
      </c>
      <c r="Q1814">
        <v>0</v>
      </c>
      <c r="R1814" t="s">
        <v>45097</v>
      </c>
      <c r="S1814" t="s">
        <v>45222</v>
      </c>
      <c r="T1814" t="s">
        <v>47095</v>
      </c>
      <c r="U1814" t="s">
        <v>49029</v>
      </c>
      <c r="W1814" t="s">
        <v>42248</v>
      </c>
      <c r="X1814" t="s">
        <v>45098</v>
      </c>
    </row>
    <row r="1815" spans="1:24">
      <c r="A1815">
        <f>HYPERLINK("https://www.philgeps.gov.ph/GEPSNONPILOT/Tender/SplashBidNoticeAbstractUI.aspx?menuIndex=3&amp;refID=7046382&amp;Result=3","7046382")</f>
        <v>0</v>
      </c>
      <c r="B1815" t="s">
        <v>83</v>
      </c>
      <c r="C1815" t="s">
        <v>4940</v>
      </c>
      <c r="D1815" t="s">
        <v>18043</v>
      </c>
      <c r="E1815" t="s">
        <v>19775</v>
      </c>
      <c r="F1815" t="s">
        <v>31574</v>
      </c>
      <c r="G1815" t="s">
        <v>31581</v>
      </c>
      <c r="H1815" t="s">
        <v>31590</v>
      </c>
      <c r="I1815" t="s">
        <v>3873</v>
      </c>
      <c r="J1815" t="s">
        <v>31947</v>
      </c>
      <c r="K1815" t="s">
        <v>41190</v>
      </c>
      <c r="M1815" t="s">
        <v>41567</v>
      </c>
      <c r="N1815" t="s">
        <v>45095</v>
      </c>
      <c r="O1815" t="s">
        <v>45096</v>
      </c>
      <c r="P1815">
        <v>0</v>
      </c>
      <c r="Q1815">
        <v>0</v>
      </c>
      <c r="R1815" t="s">
        <v>45097</v>
      </c>
      <c r="S1815" t="s">
        <v>45222</v>
      </c>
      <c r="T1815" t="s">
        <v>46952</v>
      </c>
      <c r="U1815" t="s">
        <v>49030</v>
      </c>
      <c r="W1815" t="s">
        <v>41567</v>
      </c>
      <c r="X1815" t="s">
        <v>45098</v>
      </c>
    </row>
    <row r="1816" spans="1:24">
      <c r="A1816">
        <f>HYPERLINK("https://www.philgeps.gov.ph/GEPSNONPILOT/Tender/SplashBidNoticeAbstractUI.aspx?menuIndex=3&amp;refID=7046388&amp;Result=3","7046388")</f>
        <v>0</v>
      </c>
      <c r="B1816" t="s">
        <v>738</v>
      </c>
      <c r="C1816" t="s">
        <v>4941</v>
      </c>
      <c r="D1816" t="s">
        <v>18056</v>
      </c>
      <c r="E1816" t="s">
        <v>19776</v>
      </c>
      <c r="F1816" t="s">
        <v>31574</v>
      </c>
      <c r="G1816" t="s">
        <v>31585</v>
      </c>
      <c r="H1816" t="s">
        <v>31591</v>
      </c>
      <c r="I1816" t="s">
        <v>8822</v>
      </c>
      <c r="J1816" t="s">
        <v>32799</v>
      </c>
      <c r="K1816" t="s">
        <v>41266</v>
      </c>
      <c r="M1816" t="s">
        <v>42249</v>
      </c>
      <c r="N1816" t="s">
        <v>45095</v>
      </c>
      <c r="O1816" t="s">
        <v>45096</v>
      </c>
      <c r="P1816">
        <v>0</v>
      </c>
      <c r="Q1816">
        <v>0</v>
      </c>
      <c r="R1816" t="s">
        <v>45097</v>
      </c>
      <c r="S1816" t="s">
        <v>45222</v>
      </c>
      <c r="T1816" t="s">
        <v>46989</v>
      </c>
      <c r="U1816" t="s">
        <v>49031</v>
      </c>
      <c r="V1816" t="s">
        <v>59904</v>
      </c>
      <c r="W1816" t="s">
        <v>42249</v>
      </c>
      <c r="X1816" t="s">
        <v>45098</v>
      </c>
    </row>
    <row r="1817" spans="1:24">
      <c r="A1817">
        <f>HYPERLINK("https://www.philgeps.gov.ph/GEPSNONPILOT/Tender/SplashBidNoticeAbstractUI.aspx?menuIndex=3&amp;refID=7046386&amp;Result=3","7046386")</f>
        <v>0</v>
      </c>
      <c r="B1817" t="s">
        <v>710</v>
      </c>
      <c r="C1817" t="s">
        <v>4942</v>
      </c>
      <c r="D1817" t="s">
        <v>18104</v>
      </c>
      <c r="E1817" t="s">
        <v>19777</v>
      </c>
      <c r="F1817" t="s">
        <v>31574</v>
      </c>
      <c r="G1817" t="s">
        <v>31582</v>
      </c>
      <c r="H1817" t="s">
        <v>31591</v>
      </c>
      <c r="I1817" t="s">
        <v>8822</v>
      </c>
      <c r="J1817" t="s">
        <v>33032</v>
      </c>
      <c r="K1817" t="s">
        <v>41195</v>
      </c>
      <c r="M1817" t="s">
        <v>42220</v>
      </c>
      <c r="N1817" t="s">
        <v>45095</v>
      </c>
      <c r="O1817" t="s">
        <v>45096</v>
      </c>
      <c r="P1817">
        <v>0</v>
      </c>
      <c r="Q1817">
        <v>0</v>
      </c>
      <c r="R1817" t="s">
        <v>45097</v>
      </c>
      <c r="S1817" t="s">
        <v>45222</v>
      </c>
      <c r="T1817" t="s">
        <v>47089</v>
      </c>
      <c r="U1817" t="s">
        <v>49032</v>
      </c>
      <c r="W1817" t="s">
        <v>42220</v>
      </c>
      <c r="X1817" t="s">
        <v>45098</v>
      </c>
    </row>
    <row r="1818" spans="1:24">
      <c r="A1818">
        <f>HYPERLINK("https://www.philgeps.gov.ph/GEPSNONPILOT/Tender/SplashBidNoticeAbstractUI.aspx?menuIndex=3&amp;refID=7046389&amp;Result=3","7046389")</f>
        <v>0</v>
      </c>
      <c r="B1818" t="s">
        <v>699</v>
      </c>
      <c r="C1818" t="s">
        <v>4943</v>
      </c>
      <c r="D1818" t="s">
        <v>18066</v>
      </c>
      <c r="E1818" t="s">
        <v>19778</v>
      </c>
      <c r="F1818" t="s">
        <v>31574</v>
      </c>
      <c r="G1818" t="s">
        <v>31582</v>
      </c>
      <c r="H1818" t="s">
        <v>31590</v>
      </c>
      <c r="I1818" t="s">
        <v>4327</v>
      </c>
      <c r="J1818" t="s">
        <v>33033</v>
      </c>
      <c r="K1818" t="s">
        <v>41184</v>
      </c>
      <c r="M1818" t="s">
        <v>42206</v>
      </c>
      <c r="N1818" t="s">
        <v>45095</v>
      </c>
      <c r="O1818" t="s">
        <v>45096</v>
      </c>
      <c r="P1818">
        <v>0</v>
      </c>
      <c r="Q1818">
        <v>0</v>
      </c>
      <c r="R1818" t="s">
        <v>45097</v>
      </c>
      <c r="S1818" t="s">
        <v>45222</v>
      </c>
      <c r="T1818" t="s">
        <v>46937</v>
      </c>
      <c r="U1818" t="s">
        <v>48947</v>
      </c>
      <c r="V1818" t="s">
        <v>60013</v>
      </c>
      <c r="W1818" t="s">
        <v>42206</v>
      </c>
      <c r="X1818" t="s">
        <v>45098</v>
      </c>
    </row>
    <row r="1819" spans="1:24">
      <c r="A1819">
        <f>HYPERLINK("https://www.philgeps.gov.ph/GEPSNONPILOT/Tender/SplashBidNoticeAbstractUI.aspx?menuIndex=3&amp;refID=7046381&amp;Result=3","7046381")</f>
        <v>0</v>
      </c>
      <c r="B1819" t="s">
        <v>704</v>
      </c>
      <c r="C1819" t="s">
        <v>4944</v>
      </c>
      <c r="E1819" t="s">
        <v>19779</v>
      </c>
      <c r="F1819" t="s">
        <v>31574</v>
      </c>
      <c r="G1819" t="s">
        <v>31582</v>
      </c>
      <c r="H1819" t="s">
        <v>31591</v>
      </c>
      <c r="I1819" t="s">
        <v>8822</v>
      </c>
      <c r="J1819" t="s">
        <v>33034</v>
      </c>
      <c r="K1819" t="s">
        <v>41192</v>
      </c>
      <c r="M1819" t="s">
        <v>42213</v>
      </c>
      <c r="N1819" t="s">
        <v>45095</v>
      </c>
      <c r="O1819" t="s">
        <v>45096</v>
      </c>
      <c r="P1819">
        <v>0</v>
      </c>
      <c r="Q1819">
        <v>0</v>
      </c>
      <c r="R1819" t="s">
        <v>45097</v>
      </c>
      <c r="S1819" t="s">
        <v>45222</v>
      </c>
      <c r="T1819" t="s">
        <v>46908</v>
      </c>
      <c r="U1819" t="s">
        <v>48966</v>
      </c>
      <c r="W1819" t="s">
        <v>42213</v>
      </c>
      <c r="X1819" t="s">
        <v>45098</v>
      </c>
    </row>
    <row r="1820" spans="1:24">
      <c r="A1820">
        <f>HYPERLINK("https://www.philgeps.gov.ph/GEPSNONPILOT/Tender/SplashBidNoticeAbstractUI.aspx?menuIndex=3&amp;refID=7046387&amp;Result=3","7046387")</f>
        <v>0</v>
      </c>
      <c r="B1820" t="s">
        <v>68</v>
      </c>
      <c r="C1820" t="s">
        <v>4945</v>
      </c>
      <c r="D1820" t="s">
        <v>18051</v>
      </c>
      <c r="E1820" t="s">
        <v>19780</v>
      </c>
      <c r="F1820" t="s">
        <v>31574</v>
      </c>
      <c r="G1820" t="s">
        <v>31583</v>
      </c>
      <c r="H1820" t="s">
        <v>31590</v>
      </c>
      <c r="I1820" t="s">
        <v>8258</v>
      </c>
      <c r="J1820" t="s">
        <v>31927</v>
      </c>
      <c r="K1820" t="s">
        <v>41193</v>
      </c>
      <c r="M1820" t="s">
        <v>41552</v>
      </c>
      <c r="N1820" t="s">
        <v>45095</v>
      </c>
      <c r="O1820" t="s">
        <v>45096</v>
      </c>
      <c r="P1820">
        <v>0</v>
      </c>
      <c r="Q1820">
        <v>0</v>
      </c>
      <c r="R1820" t="s">
        <v>45097</v>
      </c>
      <c r="S1820" t="s">
        <v>45222</v>
      </c>
      <c r="T1820" t="s">
        <v>46913</v>
      </c>
      <c r="U1820" t="s">
        <v>49033</v>
      </c>
      <c r="V1820" t="s">
        <v>60024</v>
      </c>
      <c r="W1820" t="s">
        <v>41552</v>
      </c>
      <c r="X1820" t="s">
        <v>45098</v>
      </c>
    </row>
    <row r="1821" spans="1:24">
      <c r="A1821">
        <f>HYPERLINK("https://www.philgeps.gov.ph/GEPSNONPILOT/Tender/SplashBidNoticeAbstractUI.aspx?menuIndex=3&amp;refID=7046390&amp;Result=3","7046390")</f>
        <v>0</v>
      </c>
      <c r="B1821" t="s">
        <v>725</v>
      </c>
      <c r="C1821" t="s">
        <v>4946</v>
      </c>
      <c r="D1821" t="s">
        <v>18092</v>
      </c>
      <c r="E1821" t="s">
        <v>19781</v>
      </c>
      <c r="F1821" t="s">
        <v>31574</v>
      </c>
      <c r="G1821" t="s">
        <v>31582</v>
      </c>
      <c r="H1821" t="s">
        <v>31590</v>
      </c>
      <c r="I1821" t="s">
        <v>14544</v>
      </c>
      <c r="J1821" t="s">
        <v>33035</v>
      </c>
      <c r="K1821" t="s">
        <v>41193</v>
      </c>
      <c r="M1821" t="s">
        <v>42235</v>
      </c>
      <c r="N1821" t="s">
        <v>45095</v>
      </c>
      <c r="O1821" t="s">
        <v>45096</v>
      </c>
      <c r="P1821">
        <v>0</v>
      </c>
      <c r="Q1821">
        <v>0</v>
      </c>
      <c r="R1821" t="s">
        <v>45097</v>
      </c>
      <c r="S1821" t="s">
        <v>45222</v>
      </c>
      <c r="T1821" t="s">
        <v>46937</v>
      </c>
      <c r="U1821" t="s">
        <v>49034</v>
      </c>
      <c r="V1821" t="s">
        <v>60025</v>
      </c>
      <c r="W1821" t="s">
        <v>42235</v>
      </c>
      <c r="X1821" t="s">
        <v>45098</v>
      </c>
    </row>
    <row r="1822" spans="1:24">
      <c r="A1822">
        <f>HYPERLINK("https://www.philgeps.gov.ph/GEPSNONPILOT/Tender/SplashBidNoticeAbstractUI.aspx?menuIndex=3&amp;refID=7046393&amp;Result=3","7046393")</f>
        <v>0</v>
      </c>
      <c r="B1822" t="s">
        <v>89</v>
      </c>
      <c r="C1822" t="s">
        <v>4947</v>
      </c>
      <c r="D1822" t="s">
        <v>18059</v>
      </c>
      <c r="E1822" t="s">
        <v>19782</v>
      </c>
      <c r="F1822" t="s">
        <v>31574</v>
      </c>
      <c r="G1822" t="s">
        <v>31582</v>
      </c>
      <c r="H1822" t="s">
        <v>31590</v>
      </c>
      <c r="I1822" t="s">
        <v>6800</v>
      </c>
      <c r="J1822" t="s">
        <v>33036</v>
      </c>
      <c r="K1822" t="s">
        <v>41184</v>
      </c>
      <c r="M1822" t="s">
        <v>41573</v>
      </c>
      <c r="N1822" t="s">
        <v>45095</v>
      </c>
      <c r="O1822" t="s">
        <v>45096</v>
      </c>
      <c r="P1822">
        <v>0</v>
      </c>
      <c r="Q1822">
        <v>0</v>
      </c>
      <c r="R1822" t="s">
        <v>45097</v>
      </c>
      <c r="S1822" t="s">
        <v>45222</v>
      </c>
      <c r="T1822" t="s">
        <v>46937</v>
      </c>
      <c r="U1822" t="s">
        <v>49035</v>
      </c>
      <c r="W1822" t="s">
        <v>41573</v>
      </c>
      <c r="X1822" t="s">
        <v>45098</v>
      </c>
    </row>
    <row r="1823" spans="1:24">
      <c r="A1823">
        <f>HYPERLINK("https://www.philgeps.gov.ph/GEPSNONPILOT/Tender/SplashBidNoticeAbstractUI.aspx?menuIndex=3&amp;refID=7046403&amp;Result=3","7046403")</f>
        <v>0</v>
      </c>
      <c r="B1823" t="s">
        <v>739</v>
      </c>
      <c r="C1823" t="s">
        <v>4948</v>
      </c>
      <c r="D1823" t="s">
        <v>18074</v>
      </c>
      <c r="E1823" t="s">
        <v>19783</v>
      </c>
      <c r="F1823" t="s">
        <v>31574</v>
      </c>
      <c r="G1823" t="s">
        <v>31582</v>
      </c>
      <c r="H1823" t="s">
        <v>31590</v>
      </c>
      <c r="I1823" t="s">
        <v>4327</v>
      </c>
      <c r="J1823" t="s">
        <v>31780</v>
      </c>
      <c r="K1823" t="s">
        <v>41196</v>
      </c>
      <c r="M1823" t="s">
        <v>42250</v>
      </c>
      <c r="N1823" t="s">
        <v>45095</v>
      </c>
      <c r="O1823" t="s">
        <v>45096</v>
      </c>
      <c r="P1823">
        <v>0</v>
      </c>
      <c r="Q1823">
        <v>0</v>
      </c>
      <c r="R1823" t="s">
        <v>45097</v>
      </c>
      <c r="S1823" t="s">
        <v>45222</v>
      </c>
      <c r="T1823" t="s">
        <v>46922</v>
      </c>
      <c r="U1823" t="s">
        <v>49036</v>
      </c>
      <c r="W1823" t="s">
        <v>42250</v>
      </c>
      <c r="X1823" t="s">
        <v>45098</v>
      </c>
    </row>
    <row r="1824" spans="1:24">
      <c r="A1824">
        <f>HYPERLINK("https://www.philgeps.gov.ph/GEPSNONPILOT/Tender/SplashBidNoticeAbstractUI.aspx?menuIndex=3&amp;refID=7046401&amp;Result=3","7046401")</f>
        <v>0</v>
      </c>
      <c r="B1824" t="s">
        <v>740</v>
      </c>
      <c r="C1824" t="s">
        <v>4949</v>
      </c>
      <c r="D1824" t="s">
        <v>18079</v>
      </c>
      <c r="E1824" t="s">
        <v>19061</v>
      </c>
      <c r="F1824" t="s">
        <v>31574</v>
      </c>
      <c r="G1824" t="s">
        <v>31581</v>
      </c>
      <c r="H1824" t="s">
        <v>31590</v>
      </c>
      <c r="I1824" t="s">
        <v>4046</v>
      </c>
      <c r="J1824" t="s">
        <v>33037</v>
      </c>
      <c r="K1824" t="s">
        <v>41184</v>
      </c>
      <c r="M1824" t="s">
        <v>42251</v>
      </c>
      <c r="N1824" t="s">
        <v>45095</v>
      </c>
      <c r="O1824" t="s">
        <v>45096</v>
      </c>
      <c r="P1824">
        <v>0</v>
      </c>
      <c r="Q1824">
        <v>0</v>
      </c>
      <c r="R1824" t="s">
        <v>45097</v>
      </c>
      <c r="S1824" t="s">
        <v>45222</v>
      </c>
      <c r="T1824" t="s">
        <v>46904</v>
      </c>
      <c r="U1824" t="s">
        <v>49037</v>
      </c>
      <c r="W1824" t="s">
        <v>42251</v>
      </c>
      <c r="X1824" t="s">
        <v>45098</v>
      </c>
    </row>
    <row r="1825" spans="1:24">
      <c r="A1825">
        <f>HYPERLINK("https://www.philgeps.gov.ph/GEPSNONPILOT/Tender/SplashBidNoticeAbstractUI.aspx?menuIndex=3&amp;refID=7046400&amp;Result=3","7046400")</f>
        <v>0</v>
      </c>
      <c r="B1825" t="s">
        <v>720</v>
      </c>
      <c r="C1825" t="s">
        <v>4950</v>
      </c>
      <c r="D1825" t="s">
        <v>18048</v>
      </c>
      <c r="E1825" t="s">
        <v>19784</v>
      </c>
      <c r="F1825" t="s">
        <v>31574</v>
      </c>
      <c r="G1825" t="s">
        <v>31582</v>
      </c>
      <c r="H1825" t="s">
        <v>31592</v>
      </c>
      <c r="I1825" t="s">
        <v>4046</v>
      </c>
      <c r="J1825" t="s">
        <v>33038</v>
      </c>
      <c r="K1825" t="s">
        <v>41192</v>
      </c>
      <c r="M1825" t="s">
        <v>42230</v>
      </c>
      <c r="N1825" t="s">
        <v>45095</v>
      </c>
      <c r="O1825" t="s">
        <v>45096</v>
      </c>
      <c r="P1825">
        <v>0</v>
      </c>
      <c r="Q1825">
        <v>0</v>
      </c>
      <c r="R1825" t="s">
        <v>45097</v>
      </c>
      <c r="S1825" t="s">
        <v>45222</v>
      </c>
      <c r="T1825" t="s">
        <v>47096</v>
      </c>
      <c r="U1825" t="s">
        <v>48994</v>
      </c>
      <c r="W1825" t="s">
        <v>42230</v>
      </c>
      <c r="X1825" t="s">
        <v>45098</v>
      </c>
    </row>
    <row r="1826" spans="1:24">
      <c r="A1826">
        <f>HYPERLINK("https://www.philgeps.gov.ph/GEPSNONPILOT/Tender/SplashBidNoticeAbstractUI.aspx?menuIndex=3&amp;refID=7046412&amp;Result=3","7046412")</f>
        <v>0</v>
      </c>
      <c r="B1826" t="s">
        <v>681</v>
      </c>
      <c r="C1826" t="s">
        <v>4951</v>
      </c>
      <c r="D1826" t="s">
        <v>18039</v>
      </c>
      <c r="E1826" t="s">
        <v>19785</v>
      </c>
      <c r="F1826" t="s">
        <v>31574</v>
      </c>
      <c r="G1826" t="s">
        <v>31581</v>
      </c>
      <c r="H1826" t="s">
        <v>31590</v>
      </c>
      <c r="I1826" t="s">
        <v>31620</v>
      </c>
      <c r="J1826" t="s">
        <v>32019</v>
      </c>
      <c r="K1826" t="s">
        <v>41184</v>
      </c>
      <c r="M1826" t="s">
        <v>42188</v>
      </c>
      <c r="N1826" t="s">
        <v>45095</v>
      </c>
      <c r="O1826" t="s">
        <v>45096</v>
      </c>
      <c r="P1826">
        <v>0</v>
      </c>
      <c r="Q1826">
        <v>0</v>
      </c>
      <c r="R1826" t="s">
        <v>45097</v>
      </c>
      <c r="S1826" t="s">
        <v>45222</v>
      </c>
      <c r="T1826" t="s">
        <v>46935</v>
      </c>
      <c r="U1826" t="s">
        <v>49038</v>
      </c>
      <c r="W1826" t="s">
        <v>42188</v>
      </c>
      <c r="X1826" t="s">
        <v>45098</v>
      </c>
    </row>
    <row r="1827" spans="1:24">
      <c r="A1827">
        <f>HYPERLINK("https://www.philgeps.gov.ph/GEPSNONPILOT/Tender/SplashBidNoticeAbstractUI.aspx?menuIndex=3&amp;refID=7046395&amp;Result=3","7046395")</f>
        <v>0</v>
      </c>
      <c r="B1827" t="s">
        <v>678</v>
      </c>
      <c r="C1827" t="s">
        <v>4952</v>
      </c>
      <c r="D1827" t="s">
        <v>18042</v>
      </c>
      <c r="E1827" t="s">
        <v>19786</v>
      </c>
      <c r="F1827" t="s">
        <v>31574</v>
      </c>
      <c r="G1827" t="s">
        <v>31582</v>
      </c>
      <c r="H1827" t="s">
        <v>31590</v>
      </c>
      <c r="I1827" t="s">
        <v>31620</v>
      </c>
      <c r="J1827" t="s">
        <v>33039</v>
      </c>
      <c r="K1827" t="s">
        <v>41186</v>
      </c>
      <c r="M1827" t="s">
        <v>42185</v>
      </c>
      <c r="N1827" t="s">
        <v>45095</v>
      </c>
      <c r="O1827" t="s">
        <v>45096</v>
      </c>
      <c r="P1827">
        <v>0</v>
      </c>
      <c r="Q1827">
        <v>0</v>
      </c>
      <c r="R1827" t="s">
        <v>45097</v>
      </c>
      <c r="S1827" t="s">
        <v>45222</v>
      </c>
      <c r="T1827" t="s">
        <v>46919</v>
      </c>
      <c r="U1827" t="s">
        <v>49039</v>
      </c>
      <c r="W1827" t="s">
        <v>42185</v>
      </c>
      <c r="X1827" t="s">
        <v>45098</v>
      </c>
    </row>
    <row r="1828" spans="1:24">
      <c r="A1828">
        <f>HYPERLINK("https://www.philgeps.gov.ph/GEPSNONPILOT/Tender/SplashBidNoticeAbstractUI.aspx?menuIndex=3&amp;refID=7046396&amp;Result=3","7046396")</f>
        <v>0</v>
      </c>
      <c r="B1828" t="s">
        <v>242</v>
      </c>
      <c r="C1828" t="s">
        <v>4953</v>
      </c>
      <c r="E1828" t="s">
        <v>19787</v>
      </c>
      <c r="F1828" t="s">
        <v>31574</v>
      </c>
      <c r="G1828" t="s">
        <v>31583</v>
      </c>
      <c r="H1828" t="s">
        <v>31590</v>
      </c>
      <c r="I1828" t="s">
        <v>4046</v>
      </c>
      <c r="J1828" t="s">
        <v>33040</v>
      </c>
      <c r="K1828" t="s">
        <v>41196</v>
      </c>
      <c r="M1828" t="s">
        <v>41728</v>
      </c>
      <c r="N1828" t="s">
        <v>45095</v>
      </c>
      <c r="O1828" t="s">
        <v>45096</v>
      </c>
      <c r="P1828">
        <v>0</v>
      </c>
      <c r="Q1828">
        <v>0</v>
      </c>
      <c r="R1828" t="s">
        <v>45097</v>
      </c>
      <c r="S1828" t="s">
        <v>45222</v>
      </c>
      <c r="T1828" t="s">
        <v>46937</v>
      </c>
      <c r="U1828" t="s">
        <v>49040</v>
      </c>
      <c r="V1828" t="s">
        <v>60026</v>
      </c>
      <c r="W1828" t="s">
        <v>41728</v>
      </c>
      <c r="X1828" t="s">
        <v>45098</v>
      </c>
    </row>
    <row r="1829" spans="1:24">
      <c r="A1829">
        <f>HYPERLINK("https://www.philgeps.gov.ph/GEPSNONPILOT/Tender/SplashBidNoticeAbstractUI.aspx?menuIndex=3&amp;refID=7046397&amp;Result=3","7046397")</f>
        <v>0</v>
      </c>
      <c r="B1829" t="s">
        <v>718</v>
      </c>
      <c r="C1829" t="s">
        <v>4954</v>
      </c>
      <c r="D1829" t="s">
        <v>18023</v>
      </c>
      <c r="E1829" t="s">
        <v>19788</v>
      </c>
      <c r="F1829" t="s">
        <v>31574</v>
      </c>
      <c r="G1829" t="s">
        <v>31581</v>
      </c>
      <c r="H1829" t="s">
        <v>31592</v>
      </c>
      <c r="I1829" t="s">
        <v>31661</v>
      </c>
      <c r="J1829" t="s">
        <v>31931</v>
      </c>
      <c r="K1829" t="s">
        <v>41196</v>
      </c>
      <c r="M1829" t="s">
        <v>42228</v>
      </c>
      <c r="N1829" t="s">
        <v>45095</v>
      </c>
      <c r="O1829" t="s">
        <v>45096</v>
      </c>
      <c r="P1829">
        <v>0</v>
      </c>
      <c r="Q1829">
        <v>0</v>
      </c>
      <c r="R1829" t="s">
        <v>45097</v>
      </c>
      <c r="S1829" t="s">
        <v>45222</v>
      </c>
      <c r="T1829" t="s">
        <v>46904</v>
      </c>
      <c r="U1829" t="s">
        <v>49041</v>
      </c>
      <c r="W1829" t="s">
        <v>42228</v>
      </c>
      <c r="X1829" t="s">
        <v>45098</v>
      </c>
    </row>
    <row r="1830" spans="1:24">
      <c r="A1830">
        <f>HYPERLINK("https://www.philgeps.gov.ph/GEPSNONPILOT/Tender/SplashBidNoticeAbstractUI.aspx?menuIndex=3&amp;refID=7046407&amp;Result=3","7046407")</f>
        <v>0</v>
      </c>
      <c r="B1830" t="s">
        <v>645</v>
      </c>
      <c r="C1830" t="s">
        <v>4955</v>
      </c>
      <c r="D1830" t="s">
        <v>18035</v>
      </c>
      <c r="E1830" t="s">
        <v>4955</v>
      </c>
      <c r="F1830" t="s">
        <v>31574</v>
      </c>
      <c r="G1830" t="s">
        <v>31583</v>
      </c>
      <c r="H1830" t="s">
        <v>31590</v>
      </c>
      <c r="I1830" t="s">
        <v>31603</v>
      </c>
      <c r="J1830" t="s">
        <v>33041</v>
      </c>
      <c r="K1830" t="s">
        <v>41213</v>
      </c>
      <c r="M1830" t="s">
        <v>42149</v>
      </c>
      <c r="N1830" t="s">
        <v>45095</v>
      </c>
      <c r="O1830" t="s">
        <v>45096</v>
      </c>
      <c r="P1830">
        <v>0</v>
      </c>
      <c r="Q1830">
        <v>0</v>
      </c>
      <c r="R1830" t="s">
        <v>45097</v>
      </c>
      <c r="S1830" t="s">
        <v>45222</v>
      </c>
      <c r="T1830" t="s">
        <v>47064</v>
      </c>
      <c r="U1830" t="s">
        <v>48816</v>
      </c>
      <c r="W1830" t="s">
        <v>42149</v>
      </c>
      <c r="X1830" t="s">
        <v>45098</v>
      </c>
    </row>
    <row r="1831" spans="1:24">
      <c r="A1831">
        <f>HYPERLINK("https://www.philgeps.gov.ph/GEPSNONPILOT/Tender/SplashBidNoticeAbstractUI.aspx?menuIndex=3&amp;refID=7046420&amp;Result=3","7046420")</f>
        <v>0</v>
      </c>
      <c r="B1831" t="s">
        <v>627</v>
      </c>
      <c r="C1831" t="s">
        <v>4956</v>
      </c>
      <c r="E1831" t="s">
        <v>19789</v>
      </c>
      <c r="F1831" t="s">
        <v>31574</v>
      </c>
      <c r="G1831" t="s">
        <v>31582</v>
      </c>
      <c r="H1831" t="s">
        <v>31590</v>
      </c>
      <c r="I1831" t="s">
        <v>31612</v>
      </c>
      <c r="J1831" t="s">
        <v>33042</v>
      </c>
      <c r="K1831" t="s">
        <v>41184</v>
      </c>
      <c r="M1831" t="s">
        <v>42131</v>
      </c>
      <c r="N1831" t="s">
        <v>45095</v>
      </c>
      <c r="O1831" t="s">
        <v>45096</v>
      </c>
      <c r="P1831">
        <v>0</v>
      </c>
      <c r="Q1831">
        <v>0</v>
      </c>
      <c r="R1831" t="s">
        <v>45097</v>
      </c>
      <c r="S1831" t="s">
        <v>45222</v>
      </c>
      <c r="T1831" t="s">
        <v>46956</v>
      </c>
      <c r="U1831" t="s">
        <v>49042</v>
      </c>
      <c r="W1831" t="s">
        <v>42131</v>
      </c>
      <c r="X1831" t="s">
        <v>45098</v>
      </c>
    </row>
    <row r="1832" spans="1:24">
      <c r="A1832">
        <f>HYPERLINK("https://www.philgeps.gov.ph/GEPSNONPILOT/Tender/SplashBidNoticeAbstractUI.aspx?menuIndex=3&amp;refID=7046419&amp;Result=3","7046419")</f>
        <v>0</v>
      </c>
      <c r="B1832" t="s">
        <v>727</v>
      </c>
      <c r="C1832" t="s">
        <v>4957</v>
      </c>
      <c r="D1832" t="s">
        <v>18079</v>
      </c>
      <c r="E1832" t="s">
        <v>19790</v>
      </c>
      <c r="F1832" t="s">
        <v>31574</v>
      </c>
      <c r="G1832" t="s">
        <v>31583</v>
      </c>
      <c r="H1832" t="s">
        <v>31590</v>
      </c>
      <c r="I1832" t="s">
        <v>4046</v>
      </c>
      <c r="J1832" t="s">
        <v>33043</v>
      </c>
      <c r="K1832" t="s">
        <v>41184</v>
      </c>
      <c r="M1832" t="s">
        <v>42237</v>
      </c>
      <c r="N1832" t="s">
        <v>45095</v>
      </c>
      <c r="O1832" t="s">
        <v>45096</v>
      </c>
      <c r="P1832">
        <v>0</v>
      </c>
      <c r="Q1832">
        <v>0</v>
      </c>
      <c r="R1832" t="s">
        <v>45097</v>
      </c>
      <c r="S1832" t="s">
        <v>45222</v>
      </c>
      <c r="T1832" t="s">
        <v>47064</v>
      </c>
      <c r="U1832" t="s">
        <v>49043</v>
      </c>
      <c r="W1832" t="s">
        <v>42237</v>
      </c>
      <c r="X1832" t="s">
        <v>45098</v>
      </c>
    </row>
    <row r="1833" spans="1:24">
      <c r="A1833">
        <f>HYPERLINK("https://www.philgeps.gov.ph/GEPSNONPILOT/Tender/SplashBidNoticeAbstractUI.aspx?menuIndex=3&amp;refID=7046418&amp;Result=3","7046418")</f>
        <v>0</v>
      </c>
      <c r="B1833" t="s">
        <v>458</v>
      </c>
      <c r="C1833" t="s">
        <v>4958</v>
      </c>
      <c r="D1833" t="s">
        <v>18045</v>
      </c>
      <c r="E1833" t="s">
        <v>19791</v>
      </c>
      <c r="F1833" t="s">
        <v>31574</v>
      </c>
      <c r="G1833" t="s">
        <v>31583</v>
      </c>
      <c r="H1833" t="s">
        <v>31590</v>
      </c>
      <c r="I1833" t="s">
        <v>4046</v>
      </c>
      <c r="J1833" t="s">
        <v>33044</v>
      </c>
      <c r="K1833" t="s">
        <v>41211</v>
      </c>
      <c r="M1833" t="s">
        <v>41952</v>
      </c>
      <c r="N1833" t="s">
        <v>45095</v>
      </c>
      <c r="O1833" t="s">
        <v>45096</v>
      </c>
      <c r="P1833">
        <v>0</v>
      </c>
      <c r="Q1833">
        <v>0</v>
      </c>
      <c r="R1833" t="s">
        <v>45097</v>
      </c>
      <c r="S1833" t="s">
        <v>45222</v>
      </c>
      <c r="T1833" t="s">
        <v>46936</v>
      </c>
      <c r="U1833" t="s">
        <v>49044</v>
      </c>
      <c r="W1833" t="s">
        <v>41952</v>
      </c>
      <c r="X1833" t="s">
        <v>45098</v>
      </c>
    </row>
    <row r="1834" spans="1:24">
      <c r="A1834">
        <f>HYPERLINK("https://www.philgeps.gov.ph/GEPSNONPILOT/Tender/SplashBidNoticeAbstractUI.aspx?menuIndex=3&amp;refID=7046408&amp;Result=3","7046408")</f>
        <v>0</v>
      </c>
      <c r="B1834" t="s">
        <v>722</v>
      </c>
      <c r="C1834" t="s">
        <v>4959</v>
      </c>
      <c r="D1834" t="s">
        <v>18031</v>
      </c>
      <c r="E1834" t="s">
        <v>18623</v>
      </c>
      <c r="F1834" t="s">
        <v>31574</v>
      </c>
      <c r="G1834" t="s">
        <v>31584</v>
      </c>
      <c r="H1834" t="s">
        <v>31590</v>
      </c>
      <c r="I1834" t="s">
        <v>4327</v>
      </c>
      <c r="J1834" t="s">
        <v>31727</v>
      </c>
      <c r="K1834" t="s">
        <v>41193</v>
      </c>
      <c r="M1834" t="s">
        <v>42232</v>
      </c>
      <c r="N1834" t="s">
        <v>45095</v>
      </c>
      <c r="O1834" t="s">
        <v>45096</v>
      </c>
      <c r="P1834">
        <v>0</v>
      </c>
      <c r="Q1834">
        <v>0</v>
      </c>
      <c r="R1834" t="s">
        <v>45097</v>
      </c>
      <c r="S1834" t="s">
        <v>45222</v>
      </c>
      <c r="T1834" t="s">
        <v>46961</v>
      </c>
      <c r="U1834" t="s">
        <v>49045</v>
      </c>
      <c r="W1834" t="s">
        <v>42232</v>
      </c>
      <c r="X1834" t="s">
        <v>45098</v>
      </c>
    </row>
    <row r="1835" spans="1:24">
      <c r="A1835">
        <f>HYPERLINK("https://www.philgeps.gov.ph/GEPSNONPILOT/Tender/SplashBidNoticeAbstractUI.aspx?menuIndex=3&amp;refID=7046417&amp;Result=3","7046417")</f>
        <v>0</v>
      </c>
      <c r="B1835" t="s">
        <v>135</v>
      </c>
      <c r="C1835" t="s">
        <v>4960</v>
      </c>
      <c r="D1835" t="s">
        <v>18022</v>
      </c>
      <c r="E1835" t="s">
        <v>19792</v>
      </c>
      <c r="F1835" t="s">
        <v>31574</v>
      </c>
      <c r="G1835" t="s">
        <v>31582</v>
      </c>
      <c r="H1835" t="s">
        <v>31591</v>
      </c>
      <c r="I1835" t="s">
        <v>8822</v>
      </c>
      <c r="J1835" t="s">
        <v>33045</v>
      </c>
      <c r="K1835" t="s">
        <v>41267</v>
      </c>
      <c r="M1835" t="s">
        <v>42252</v>
      </c>
      <c r="N1835" t="s">
        <v>45095</v>
      </c>
      <c r="O1835" t="s">
        <v>45096</v>
      </c>
      <c r="P1835">
        <v>0</v>
      </c>
      <c r="Q1835">
        <v>0</v>
      </c>
      <c r="R1835" t="s">
        <v>45097</v>
      </c>
      <c r="S1835" t="s">
        <v>45222</v>
      </c>
      <c r="T1835" t="s">
        <v>46919</v>
      </c>
      <c r="U1835" t="s">
        <v>49046</v>
      </c>
      <c r="W1835" t="s">
        <v>42252</v>
      </c>
      <c r="X1835" t="s">
        <v>45098</v>
      </c>
    </row>
    <row r="1836" spans="1:24">
      <c r="A1836">
        <f>HYPERLINK("https://www.philgeps.gov.ph/GEPSNONPILOT/Tender/SplashBidNoticeAbstractUI.aspx?menuIndex=3&amp;refID=7046413&amp;Result=3","7046413")</f>
        <v>0</v>
      </c>
      <c r="B1836" t="s">
        <v>741</v>
      </c>
      <c r="C1836" t="s">
        <v>4961</v>
      </c>
      <c r="D1836" t="s">
        <v>18056</v>
      </c>
      <c r="E1836" t="s">
        <v>19793</v>
      </c>
      <c r="F1836" t="s">
        <v>31574</v>
      </c>
      <c r="G1836" t="s">
        <v>31581</v>
      </c>
      <c r="H1836" t="s">
        <v>31590</v>
      </c>
      <c r="I1836" t="s">
        <v>31630</v>
      </c>
      <c r="J1836" t="s">
        <v>33046</v>
      </c>
      <c r="K1836" t="s">
        <v>41186</v>
      </c>
      <c r="M1836" t="s">
        <v>42253</v>
      </c>
      <c r="N1836" t="s">
        <v>45095</v>
      </c>
      <c r="O1836" t="s">
        <v>45096</v>
      </c>
      <c r="P1836">
        <v>0</v>
      </c>
      <c r="Q1836">
        <v>0</v>
      </c>
      <c r="R1836" t="s">
        <v>45097</v>
      </c>
      <c r="S1836" t="s">
        <v>45222</v>
      </c>
      <c r="T1836" t="s">
        <v>47074</v>
      </c>
      <c r="U1836" t="s">
        <v>49047</v>
      </c>
      <c r="W1836" t="s">
        <v>42253</v>
      </c>
      <c r="X1836" t="s">
        <v>45098</v>
      </c>
    </row>
    <row r="1837" spans="1:24">
      <c r="A1837">
        <f>HYPERLINK("https://www.philgeps.gov.ph/GEPSNONPILOT/Tender/SplashBidNoticeAbstractUI.aspx?menuIndex=3&amp;refID=7046411&amp;Result=3","7046411")</f>
        <v>0</v>
      </c>
      <c r="B1837" t="s">
        <v>742</v>
      </c>
      <c r="C1837" t="s">
        <v>4962</v>
      </c>
      <c r="D1837" t="s">
        <v>18027</v>
      </c>
      <c r="E1837" t="s">
        <v>19794</v>
      </c>
      <c r="F1837" t="s">
        <v>31574</v>
      </c>
      <c r="G1837" t="s">
        <v>31582</v>
      </c>
      <c r="H1837" t="s">
        <v>31591</v>
      </c>
      <c r="I1837" t="s">
        <v>7162</v>
      </c>
      <c r="J1837" t="s">
        <v>31789</v>
      </c>
      <c r="K1837" t="s">
        <v>41195</v>
      </c>
      <c r="M1837" t="s">
        <v>42254</v>
      </c>
      <c r="N1837" t="s">
        <v>45095</v>
      </c>
      <c r="O1837" t="s">
        <v>45096</v>
      </c>
      <c r="P1837">
        <v>0</v>
      </c>
      <c r="Q1837">
        <v>0</v>
      </c>
      <c r="R1837" t="s">
        <v>45097</v>
      </c>
      <c r="S1837" t="s">
        <v>45222</v>
      </c>
      <c r="T1837" t="s">
        <v>47003</v>
      </c>
      <c r="U1837" t="s">
        <v>49048</v>
      </c>
      <c r="W1837" t="s">
        <v>42254</v>
      </c>
      <c r="X1837" t="s">
        <v>45098</v>
      </c>
    </row>
    <row r="1838" spans="1:24">
      <c r="A1838">
        <f>HYPERLINK("https://www.philgeps.gov.ph/GEPSNONPILOT/Tender/SplashBidNoticeAbstractUI.aspx?menuIndex=3&amp;refID=7046416&amp;Result=3","7046416")</f>
        <v>0</v>
      </c>
      <c r="B1838" t="s">
        <v>743</v>
      </c>
      <c r="C1838" t="s">
        <v>4963</v>
      </c>
      <c r="D1838" t="s">
        <v>18099</v>
      </c>
      <c r="E1838" t="s">
        <v>19795</v>
      </c>
      <c r="F1838" t="s">
        <v>31574</v>
      </c>
      <c r="G1838" t="s">
        <v>31588</v>
      </c>
      <c r="H1838" t="s">
        <v>31591</v>
      </c>
      <c r="I1838" t="s">
        <v>8822</v>
      </c>
      <c r="J1838" t="s">
        <v>33047</v>
      </c>
      <c r="K1838" t="s">
        <v>41200</v>
      </c>
      <c r="M1838" t="s">
        <v>42255</v>
      </c>
      <c r="N1838" t="s">
        <v>45095</v>
      </c>
      <c r="O1838" t="s">
        <v>45096</v>
      </c>
      <c r="P1838">
        <v>0</v>
      </c>
      <c r="Q1838">
        <v>0</v>
      </c>
      <c r="R1838" t="s">
        <v>45097</v>
      </c>
      <c r="S1838" t="s">
        <v>45222</v>
      </c>
      <c r="T1838" t="s">
        <v>46916</v>
      </c>
      <c r="U1838" t="s">
        <v>49049</v>
      </c>
      <c r="V1838" t="s">
        <v>60027</v>
      </c>
      <c r="W1838" t="s">
        <v>44905</v>
      </c>
      <c r="X1838" t="s">
        <v>45098</v>
      </c>
    </row>
    <row r="1839" spans="1:24">
      <c r="A1839">
        <f>HYPERLINK("https://www.philgeps.gov.ph/GEPSNONPILOT/Tender/SplashBidNoticeAbstractUI.aspx?menuIndex=3&amp;refID=7046404&amp;Result=3","7046404")</f>
        <v>0</v>
      </c>
      <c r="B1839" t="s">
        <v>83</v>
      </c>
      <c r="C1839" t="s">
        <v>4964</v>
      </c>
      <c r="D1839" t="s">
        <v>18043</v>
      </c>
      <c r="E1839" t="s">
        <v>19796</v>
      </c>
      <c r="F1839" t="s">
        <v>31574</v>
      </c>
      <c r="G1839" t="s">
        <v>31581</v>
      </c>
      <c r="H1839" t="s">
        <v>31590</v>
      </c>
      <c r="I1839" t="s">
        <v>3873</v>
      </c>
      <c r="J1839" t="s">
        <v>31947</v>
      </c>
      <c r="K1839" t="s">
        <v>41190</v>
      </c>
      <c r="M1839" t="s">
        <v>41567</v>
      </c>
      <c r="N1839" t="s">
        <v>45095</v>
      </c>
      <c r="O1839" t="s">
        <v>45096</v>
      </c>
      <c r="P1839">
        <v>0</v>
      </c>
      <c r="Q1839">
        <v>0</v>
      </c>
      <c r="R1839" t="s">
        <v>45097</v>
      </c>
      <c r="S1839" t="s">
        <v>45222</v>
      </c>
      <c r="T1839" t="s">
        <v>46952</v>
      </c>
      <c r="U1839" t="s">
        <v>49050</v>
      </c>
      <c r="W1839" t="s">
        <v>41567</v>
      </c>
      <c r="X1839" t="s">
        <v>45098</v>
      </c>
    </row>
    <row r="1840" spans="1:24">
      <c r="A1840">
        <f>HYPERLINK("https://www.philgeps.gov.ph/GEPSNONPILOT/Tender/SplashBidNoticeAbstractUI.aspx?menuIndex=3&amp;refID=7046414&amp;Result=3","7046414")</f>
        <v>0</v>
      </c>
      <c r="B1840" t="s">
        <v>725</v>
      </c>
      <c r="C1840" t="s">
        <v>4911</v>
      </c>
      <c r="D1840" t="s">
        <v>18092</v>
      </c>
      <c r="E1840" t="s">
        <v>19797</v>
      </c>
      <c r="F1840" t="s">
        <v>31574</v>
      </c>
      <c r="G1840" t="s">
        <v>31582</v>
      </c>
      <c r="H1840" t="s">
        <v>31590</v>
      </c>
      <c r="I1840" t="s">
        <v>8258</v>
      </c>
      <c r="J1840" t="s">
        <v>33048</v>
      </c>
      <c r="K1840" t="s">
        <v>41193</v>
      </c>
      <c r="M1840" t="s">
        <v>42235</v>
      </c>
      <c r="N1840" t="s">
        <v>45095</v>
      </c>
      <c r="O1840" t="s">
        <v>45096</v>
      </c>
      <c r="P1840">
        <v>0</v>
      </c>
      <c r="Q1840">
        <v>0</v>
      </c>
      <c r="R1840" t="s">
        <v>45097</v>
      </c>
      <c r="S1840" t="s">
        <v>45222</v>
      </c>
      <c r="T1840" t="s">
        <v>46937</v>
      </c>
      <c r="U1840" t="s">
        <v>49051</v>
      </c>
      <c r="V1840" t="s">
        <v>60028</v>
      </c>
      <c r="W1840" t="s">
        <v>42235</v>
      </c>
      <c r="X1840" t="s">
        <v>45098</v>
      </c>
    </row>
    <row r="1841" spans="1:24">
      <c r="A1841">
        <f>HYPERLINK("https://www.philgeps.gov.ph/GEPSNONPILOT/Tender/SplashBidNoticeAbstractUI.aspx?menuIndex=3&amp;refID=7046421&amp;Result=3","7046421")</f>
        <v>0</v>
      </c>
      <c r="B1841" t="s">
        <v>553</v>
      </c>
      <c r="C1841" t="s">
        <v>4965</v>
      </c>
      <c r="D1841" t="s">
        <v>18022</v>
      </c>
      <c r="E1841" t="s">
        <v>19798</v>
      </c>
      <c r="F1841" t="s">
        <v>31574</v>
      </c>
      <c r="G1841" t="s">
        <v>31582</v>
      </c>
      <c r="H1841" t="s">
        <v>31590</v>
      </c>
      <c r="I1841" t="s">
        <v>31638</v>
      </c>
      <c r="J1841" t="s">
        <v>33049</v>
      </c>
      <c r="K1841" t="s">
        <v>41184</v>
      </c>
      <c r="M1841" t="s">
        <v>42256</v>
      </c>
      <c r="N1841" t="s">
        <v>45095</v>
      </c>
      <c r="O1841" t="s">
        <v>45096</v>
      </c>
      <c r="P1841">
        <v>0</v>
      </c>
      <c r="Q1841">
        <v>0</v>
      </c>
      <c r="R1841" t="s">
        <v>45097</v>
      </c>
      <c r="S1841" t="s">
        <v>45222</v>
      </c>
      <c r="T1841" t="s">
        <v>46972</v>
      </c>
      <c r="U1841" t="s">
        <v>49052</v>
      </c>
      <c r="V1841" t="s">
        <v>60029</v>
      </c>
      <c r="W1841" t="s">
        <v>42256</v>
      </c>
      <c r="X1841" t="s">
        <v>45098</v>
      </c>
    </row>
    <row r="1842" spans="1:24">
      <c r="A1842">
        <f>HYPERLINK("https://www.philgeps.gov.ph/GEPSNONPILOT/Tender/SplashBidNoticeAbstractUI.aspx?menuIndex=3&amp;refID=7046409&amp;Result=3","7046409")</f>
        <v>0</v>
      </c>
      <c r="B1842" t="s">
        <v>172</v>
      </c>
      <c r="C1842" t="s">
        <v>4966</v>
      </c>
      <c r="D1842" t="s">
        <v>18022</v>
      </c>
      <c r="E1842" t="s">
        <v>19799</v>
      </c>
      <c r="F1842" t="s">
        <v>31574</v>
      </c>
      <c r="G1842" t="s">
        <v>31581</v>
      </c>
      <c r="H1842" t="s">
        <v>31590</v>
      </c>
      <c r="I1842" t="s">
        <v>31623</v>
      </c>
      <c r="J1842" t="s">
        <v>31962</v>
      </c>
      <c r="K1842" t="s">
        <v>41184</v>
      </c>
      <c r="M1842" t="s">
        <v>41656</v>
      </c>
      <c r="N1842" t="s">
        <v>45095</v>
      </c>
      <c r="O1842" t="s">
        <v>45096</v>
      </c>
      <c r="P1842">
        <v>0</v>
      </c>
      <c r="Q1842">
        <v>0</v>
      </c>
      <c r="R1842" t="s">
        <v>45097</v>
      </c>
      <c r="S1842" t="s">
        <v>45222</v>
      </c>
      <c r="T1842" t="s">
        <v>46976</v>
      </c>
      <c r="U1842" t="s">
        <v>49053</v>
      </c>
      <c r="W1842" t="s">
        <v>41656</v>
      </c>
      <c r="X1842" t="s">
        <v>45098</v>
      </c>
    </row>
    <row r="1843" spans="1:24">
      <c r="A1843">
        <f>HYPERLINK("https://www.philgeps.gov.ph/GEPSNONPILOT/Tender/SplashBidNoticeAbstractUI.aspx?menuIndex=3&amp;refID=7046424&amp;Result=3","7046424")</f>
        <v>0</v>
      </c>
      <c r="B1843" t="s">
        <v>408</v>
      </c>
      <c r="C1843" t="s">
        <v>4967</v>
      </c>
      <c r="D1843" t="s">
        <v>18059</v>
      </c>
      <c r="E1843" t="s">
        <v>19800</v>
      </c>
      <c r="F1843" t="s">
        <v>31574</v>
      </c>
      <c r="G1843" t="s">
        <v>31581</v>
      </c>
      <c r="H1843" t="s">
        <v>31590</v>
      </c>
      <c r="I1843" t="s">
        <v>3489</v>
      </c>
      <c r="J1843" t="s">
        <v>33050</v>
      </c>
      <c r="K1843" t="s">
        <v>41184</v>
      </c>
      <c r="M1843" t="s">
        <v>41899</v>
      </c>
      <c r="N1843" t="s">
        <v>45095</v>
      </c>
      <c r="O1843" t="s">
        <v>45096</v>
      </c>
      <c r="P1843">
        <v>0</v>
      </c>
      <c r="Q1843">
        <v>0</v>
      </c>
      <c r="R1843" t="s">
        <v>45097</v>
      </c>
      <c r="S1843" t="s">
        <v>45222</v>
      </c>
      <c r="T1843" t="s">
        <v>46938</v>
      </c>
      <c r="U1843" t="s">
        <v>48953</v>
      </c>
      <c r="W1843" t="s">
        <v>41899</v>
      </c>
      <c r="X1843" t="s">
        <v>45098</v>
      </c>
    </row>
    <row r="1844" spans="1:24">
      <c r="A1844">
        <f>HYPERLINK("https://www.philgeps.gov.ph/GEPSNONPILOT/Tender/SplashBidNoticeAbstractUI.aspx?menuIndex=3&amp;refID=7046423&amp;Result=3","7046423")</f>
        <v>0</v>
      </c>
      <c r="B1844" t="s">
        <v>734</v>
      </c>
      <c r="C1844" t="s">
        <v>4968</v>
      </c>
      <c r="D1844" t="s">
        <v>18092</v>
      </c>
      <c r="E1844" t="s">
        <v>19801</v>
      </c>
      <c r="F1844" t="s">
        <v>31574</v>
      </c>
      <c r="G1844" t="s">
        <v>31581</v>
      </c>
      <c r="H1844" t="s">
        <v>31590</v>
      </c>
      <c r="I1844" t="s">
        <v>6800</v>
      </c>
      <c r="J1844" t="s">
        <v>33051</v>
      </c>
      <c r="K1844" t="s">
        <v>41196</v>
      </c>
      <c r="M1844" t="s">
        <v>42245</v>
      </c>
      <c r="N1844" t="s">
        <v>45095</v>
      </c>
      <c r="O1844" t="s">
        <v>45096</v>
      </c>
      <c r="P1844">
        <v>0</v>
      </c>
      <c r="Q1844">
        <v>0</v>
      </c>
      <c r="R1844" t="s">
        <v>45097</v>
      </c>
      <c r="S1844" t="s">
        <v>45222</v>
      </c>
      <c r="T1844" t="s">
        <v>46911</v>
      </c>
      <c r="U1844" t="s">
        <v>49025</v>
      </c>
      <c r="W1844" t="s">
        <v>42245</v>
      </c>
      <c r="X1844" t="s">
        <v>45098</v>
      </c>
    </row>
    <row r="1845" spans="1:24">
      <c r="A1845">
        <f>HYPERLINK("https://www.philgeps.gov.ph/GEPSNONPILOT/Tender/SplashBidNoticeAbstractUI.aspx?menuIndex=3&amp;refID=7046428&amp;Result=3","7046428")</f>
        <v>0</v>
      </c>
      <c r="B1845" t="s">
        <v>704</v>
      </c>
      <c r="C1845" t="s">
        <v>4969</v>
      </c>
      <c r="E1845" t="s">
        <v>19802</v>
      </c>
      <c r="F1845" t="s">
        <v>31574</v>
      </c>
      <c r="G1845" t="s">
        <v>31582</v>
      </c>
      <c r="H1845" t="s">
        <v>31591</v>
      </c>
      <c r="I1845" t="s">
        <v>8822</v>
      </c>
      <c r="J1845" t="s">
        <v>33052</v>
      </c>
      <c r="K1845" t="s">
        <v>41268</v>
      </c>
      <c r="M1845" t="s">
        <v>42213</v>
      </c>
      <c r="N1845" t="s">
        <v>45095</v>
      </c>
      <c r="O1845" t="s">
        <v>45096</v>
      </c>
      <c r="P1845">
        <v>0</v>
      </c>
      <c r="Q1845">
        <v>0</v>
      </c>
      <c r="R1845" t="s">
        <v>45097</v>
      </c>
      <c r="S1845" t="s">
        <v>45222</v>
      </c>
      <c r="T1845" t="s">
        <v>46908</v>
      </c>
      <c r="U1845" t="s">
        <v>48961</v>
      </c>
      <c r="W1845" t="s">
        <v>42213</v>
      </c>
      <c r="X1845" t="s">
        <v>45098</v>
      </c>
    </row>
    <row r="1846" spans="1:24">
      <c r="A1846">
        <f>HYPERLINK("https://www.philgeps.gov.ph/GEPSNONPILOT/Tender/SplashBidNoticeAbstractUI.aspx?menuIndex=3&amp;refID=7046425&amp;Result=3","7046425")</f>
        <v>0</v>
      </c>
      <c r="B1846" t="s">
        <v>660</v>
      </c>
      <c r="C1846" t="s">
        <v>4970</v>
      </c>
      <c r="D1846" t="s">
        <v>18022</v>
      </c>
      <c r="E1846" t="s">
        <v>19803</v>
      </c>
      <c r="F1846" t="s">
        <v>31574</v>
      </c>
      <c r="G1846" t="s">
        <v>31583</v>
      </c>
      <c r="H1846" t="s">
        <v>31590</v>
      </c>
      <c r="I1846" t="s">
        <v>6800</v>
      </c>
      <c r="J1846" t="s">
        <v>33053</v>
      </c>
      <c r="K1846" t="s">
        <v>41184</v>
      </c>
      <c r="M1846" t="s">
        <v>42165</v>
      </c>
      <c r="N1846" t="s">
        <v>45095</v>
      </c>
      <c r="O1846" t="s">
        <v>45096</v>
      </c>
      <c r="P1846">
        <v>0</v>
      </c>
      <c r="Q1846">
        <v>0</v>
      </c>
      <c r="R1846" t="s">
        <v>45097</v>
      </c>
      <c r="S1846" t="s">
        <v>45222</v>
      </c>
      <c r="T1846" t="s">
        <v>46957</v>
      </c>
      <c r="U1846" t="s">
        <v>49054</v>
      </c>
      <c r="W1846" t="s">
        <v>42165</v>
      </c>
      <c r="X1846" t="s">
        <v>45098</v>
      </c>
    </row>
    <row r="1847" spans="1:24">
      <c r="A1847">
        <f>HYPERLINK("https://www.philgeps.gov.ph/GEPSNONPILOT/Tender/SplashBidNoticeAbstractUI.aspx?menuIndex=3&amp;refID=7046427&amp;Result=3","7046427")</f>
        <v>0</v>
      </c>
      <c r="B1847" t="s">
        <v>89</v>
      </c>
      <c r="C1847" t="s">
        <v>4971</v>
      </c>
      <c r="D1847" t="s">
        <v>18059</v>
      </c>
      <c r="E1847" t="s">
        <v>19804</v>
      </c>
      <c r="F1847" t="s">
        <v>31574</v>
      </c>
      <c r="G1847" t="s">
        <v>31582</v>
      </c>
      <c r="H1847" t="s">
        <v>31590</v>
      </c>
      <c r="I1847" t="s">
        <v>6800</v>
      </c>
      <c r="J1847" t="s">
        <v>33054</v>
      </c>
      <c r="K1847" t="s">
        <v>41184</v>
      </c>
      <c r="M1847" t="s">
        <v>41573</v>
      </c>
      <c r="N1847" t="s">
        <v>45095</v>
      </c>
      <c r="O1847" t="s">
        <v>45096</v>
      </c>
      <c r="P1847">
        <v>0</v>
      </c>
      <c r="Q1847">
        <v>0</v>
      </c>
      <c r="R1847" t="s">
        <v>45097</v>
      </c>
      <c r="S1847" t="s">
        <v>45222</v>
      </c>
      <c r="T1847" t="s">
        <v>46937</v>
      </c>
      <c r="U1847" t="s">
        <v>49035</v>
      </c>
      <c r="W1847" t="s">
        <v>41573</v>
      </c>
      <c r="X1847" t="s">
        <v>45098</v>
      </c>
    </row>
    <row r="1848" spans="1:24">
      <c r="A1848">
        <f>HYPERLINK("https://www.philgeps.gov.ph/GEPSNONPILOT/Tender/SplashBidNoticeAbstractUI.aspx?menuIndex=3&amp;refID=7046443&amp;Result=3","7046443")</f>
        <v>0</v>
      </c>
      <c r="B1848" t="s">
        <v>744</v>
      </c>
      <c r="C1848" t="s">
        <v>4972</v>
      </c>
      <c r="D1848" t="s">
        <v>18040</v>
      </c>
      <c r="E1848" t="s">
        <v>19805</v>
      </c>
      <c r="F1848" t="s">
        <v>31574</v>
      </c>
      <c r="G1848" t="s">
        <v>31582</v>
      </c>
      <c r="H1848" t="s">
        <v>31591</v>
      </c>
      <c r="I1848" t="s">
        <v>8822</v>
      </c>
      <c r="J1848" t="s">
        <v>31947</v>
      </c>
      <c r="K1848" t="s">
        <v>41269</v>
      </c>
      <c r="M1848" t="s">
        <v>42257</v>
      </c>
      <c r="N1848" t="s">
        <v>45095</v>
      </c>
      <c r="O1848" t="s">
        <v>45096</v>
      </c>
      <c r="P1848">
        <v>0</v>
      </c>
      <c r="Q1848">
        <v>0</v>
      </c>
      <c r="R1848" t="s">
        <v>45097</v>
      </c>
      <c r="S1848" t="s">
        <v>45222</v>
      </c>
      <c r="T1848" t="s">
        <v>46930</v>
      </c>
      <c r="U1848" t="s">
        <v>49055</v>
      </c>
      <c r="W1848" t="s">
        <v>42257</v>
      </c>
      <c r="X1848" t="s">
        <v>45098</v>
      </c>
    </row>
    <row r="1849" spans="1:24">
      <c r="A1849">
        <f>HYPERLINK("https://www.philgeps.gov.ph/GEPSNONPILOT/Tender/SplashBidNoticeAbstractUI.aspx?menuIndex=3&amp;refID=7046440&amp;Result=3","7046440")</f>
        <v>0</v>
      </c>
      <c r="B1849" t="s">
        <v>291</v>
      </c>
      <c r="C1849" t="s">
        <v>4973</v>
      </c>
      <c r="D1849" t="s">
        <v>18091</v>
      </c>
      <c r="E1849" t="s">
        <v>19806</v>
      </c>
      <c r="F1849" t="s">
        <v>31574</v>
      </c>
      <c r="G1849" t="s">
        <v>31581</v>
      </c>
      <c r="H1849" t="s">
        <v>31590</v>
      </c>
      <c r="I1849" t="s">
        <v>3489</v>
      </c>
      <c r="J1849" t="s">
        <v>33055</v>
      </c>
      <c r="K1849" t="s">
        <v>41193</v>
      </c>
      <c r="M1849" t="s">
        <v>41777</v>
      </c>
      <c r="N1849" t="s">
        <v>45095</v>
      </c>
      <c r="O1849" t="s">
        <v>45096</v>
      </c>
      <c r="P1849">
        <v>0</v>
      </c>
      <c r="Q1849">
        <v>0</v>
      </c>
      <c r="R1849" t="s">
        <v>45097</v>
      </c>
      <c r="S1849" t="s">
        <v>45222</v>
      </c>
      <c r="T1849" t="s">
        <v>46926</v>
      </c>
      <c r="U1849" t="s">
        <v>48174</v>
      </c>
      <c r="V1849" t="s">
        <v>59918</v>
      </c>
      <c r="W1849" t="s">
        <v>41777</v>
      </c>
      <c r="X1849" t="s">
        <v>45098</v>
      </c>
    </row>
    <row r="1850" spans="1:24">
      <c r="A1850">
        <f>HYPERLINK("https://www.philgeps.gov.ph/GEPSNONPILOT/Tender/SplashBidNoticeAbstractUI.aspx?menuIndex=3&amp;refID=7046426&amp;Result=3","7046426")</f>
        <v>0</v>
      </c>
      <c r="B1850" t="s">
        <v>135</v>
      </c>
      <c r="C1850" t="s">
        <v>4974</v>
      </c>
      <c r="D1850" t="s">
        <v>18022</v>
      </c>
      <c r="E1850" t="s">
        <v>19294</v>
      </c>
      <c r="F1850" t="s">
        <v>31574</v>
      </c>
      <c r="G1850" t="s">
        <v>31581</v>
      </c>
      <c r="H1850" t="s">
        <v>31590</v>
      </c>
      <c r="I1850" t="s">
        <v>31677</v>
      </c>
      <c r="J1850" t="s">
        <v>33056</v>
      </c>
      <c r="K1850" t="s">
        <v>41184</v>
      </c>
      <c r="M1850" t="s">
        <v>42258</v>
      </c>
      <c r="N1850" t="s">
        <v>45095</v>
      </c>
      <c r="O1850" t="s">
        <v>45096</v>
      </c>
      <c r="P1850">
        <v>0</v>
      </c>
      <c r="Q1850">
        <v>0</v>
      </c>
      <c r="R1850" t="s">
        <v>45097</v>
      </c>
      <c r="S1850" t="s">
        <v>45222</v>
      </c>
      <c r="T1850" t="s">
        <v>46914</v>
      </c>
      <c r="U1850" t="s">
        <v>49056</v>
      </c>
      <c r="V1850" t="s">
        <v>60030</v>
      </c>
      <c r="W1850" t="s">
        <v>42258</v>
      </c>
      <c r="X1850" t="s">
        <v>45098</v>
      </c>
    </row>
    <row r="1851" spans="1:24">
      <c r="A1851">
        <f>HYPERLINK("https://www.philgeps.gov.ph/GEPSNONPILOT/Tender/SplashBidNoticeAbstractUI.aspx?menuIndex=3&amp;refID=7046449&amp;Result=3","7046449")</f>
        <v>0</v>
      </c>
      <c r="B1851" t="s">
        <v>745</v>
      </c>
      <c r="C1851" t="s">
        <v>4975</v>
      </c>
      <c r="D1851" t="s">
        <v>18076</v>
      </c>
      <c r="E1851" t="s">
        <v>19807</v>
      </c>
      <c r="F1851" t="s">
        <v>31574</v>
      </c>
      <c r="G1851" t="s">
        <v>31581</v>
      </c>
      <c r="H1851" t="s">
        <v>31590</v>
      </c>
      <c r="I1851" t="s">
        <v>4046</v>
      </c>
      <c r="J1851" t="s">
        <v>32036</v>
      </c>
      <c r="K1851" t="s">
        <v>41186</v>
      </c>
      <c r="M1851" t="s">
        <v>42259</v>
      </c>
      <c r="N1851" t="s">
        <v>45095</v>
      </c>
      <c r="O1851" t="s">
        <v>45096</v>
      </c>
      <c r="P1851">
        <v>0</v>
      </c>
      <c r="Q1851">
        <v>0</v>
      </c>
      <c r="R1851" t="s">
        <v>45097</v>
      </c>
      <c r="S1851" t="s">
        <v>45222</v>
      </c>
      <c r="T1851" t="s">
        <v>46946</v>
      </c>
      <c r="U1851" t="s">
        <v>49057</v>
      </c>
      <c r="W1851" t="s">
        <v>42259</v>
      </c>
      <c r="X1851" t="s">
        <v>45098</v>
      </c>
    </row>
    <row r="1852" spans="1:24">
      <c r="A1852">
        <f>HYPERLINK("https://www.philgeps.gov.ph/GEPSNONPILOT/Tender/SplashBidNoticeAbstractUI.aspx?menuIndex=3&amp;refID=7046438&amp;Result=3","7046438")</f>
        <v>0</v>
      </c>
      <c r="B1852" t="s">
        <v>746</v>
      </c>
      <c r="C1852" t="s">
        <v>4976</v>
      </c>
      <c r="D1852" t="s">
        <v>18053</v>
      </c>
      <c r="E1852" t="s">
        <v>18422</v>
      </c>
      <c r="F1852" t="s">
        <v>31574</v>
      </c>
      <c r="G1852" t="s">
        <v>31582</v>
      </c>
      <c r="H1852" t="s">
        <v>31591</v>
      </c>
      <c r="I1852" t="s">
        <v>8822</v>
      </c>
      <c r="J1852" t="s">
        <v>32101</v>
      </c>
      <c r="K1852" t="s">
        <v>41192</v>
      </c>
      <c r="M1852" t="s">
        <v>42260</v>
      </c>
      <c r="N1852" t="s">
        <v>45095</v>
      </c>
      <c r="O1852" t="s">
        <v>45096</v>
      </c>
      <c r="P1852">
        <v>0</v>
      </c>
      <c r="Q1852">
        <v>0</v>
      </c>
      <c r="R1852" t="s">
        <v>45097</v>
      </c>
      <c r="S1852" t="s">
        <v>45222</v>
      </c>
      <c r="T1852" t="s">
        <v>46919</v>
      </c>
      <c r="U1852" t="s">
        <v>49058</v>
      </c>
      <c r="W1852" t="s">
        <v>42260</v>
      </c>
      <c r="X1852" t="s">
        <v>45098</v>
      </c>
    </row>
    <row r="1853" spans="1:24">
      <c r="A1853">
        <f>HYPERLINK("https://www.philgeps.gov.ph/GEPSNONPILOT/Tender/SplashBidNoticeAbstractUI.aspx?menuIndex=3&amp;refID=7046446&amp;Result=3","7046446")</f>
        <v>0</v>
      </c>
      <c r="B1853" t="s">
        <v>724</v>
      </c>
      <c r="C1853" t="s">
        <v>4977</v>
      </c>
      <c r="D1853" t="s">
        <v>18027</v>
      </c>
      <c r="E1853" t="s">
        <v>19808</v>
      </c>
      <c r="F1853" t="s">
        <v>31574</v>
      </c>
      <c r="G1853" t="s">
        <v>31582</v>
      </c>
      <c r="H1853" t="s">
        <v>31591</v>
      </c>
      <c r="I1853" t="s">
        <v>8822</v>
      </c>
      <c r="J1853" t="s">
        <v>33057</v>
      </c>
      <c r="K1853" t="s">
        <v>41186</v>
      </c>
      <c r="M1853" t="s">
        <v>42234</v>
      </c>
      <c r="N1853" t="s">
        <v>45095</v>
      </c>
      <c r="O1853" t="s">
        <v>45096</v>
      </c>
      <c r="P1853">
        <v>0</v>
      </c>
      <c r="Q1853">
        <v>0</v>
      </c>
      <c r="R1853" t="s">
        <v>45097</v>
      </c>
      <c r="S1853" t="s">
        <v>45222</v>
      </c>
      <c r="T1853" t="s">
        <v>46935</v>
      </c>
      <c r="U1853" t="s">
        <v>49059</v>
      </c>
      <c r="W1853" t="s">
        <v>42234</v>
      </c>
      <c r="X1853" t="s">
        <v>45098</v>
      </c>
    </row>
    <row r="1854" spans="1:24">
      <c r="A1854">
        <f>HYPERLINK("https://www.philgeps.gov.ph/GEPSNONPILOT/Tender/SplashBidNoticeAbstractUI.aspx?menuIndex=3&amp;refID=7046441&amp;Result=3","7046441")</f>
        <v>0</v>
      </c>
      <c r="B1854" t="s">
        <v>747</v>
      </c>
      <c r="C1854" t="s">
        <v>4978</v>
      </c>
      <c r="D1854" t="s">
        <v>18040</v>
      </c>
      <c r="E1854" t="s">
        <v>19809</v>
      </c>
      <c r="F1854" t="s">
        <v>31574</v>
      </c>
      <c r="G1854" t="s">
        <v>31581</v>
      </c>
      <c r="H1854" t="s">
        <v>31590</v>
      </c>
      <c r="I1854" t="s">
        <v>31619</v>
      </c>
      <c r="J1854" t="s">
        <v>31744</v>
      </c>
      <c r="K1854" t="s">
        <v>41196</v>
      </c>
      <c r="M1854" t="s">
        <v>42261</v>
      </c>
      <c r="N1854" t="s">
        <v>45095</v>
      </c>
      <c r="O1854" t="s">
        <v>45096</v>
      </c>
      <c r="P1854">
        <v>0</v>
      </c>
      <c r="Q1854">
        <v>0</v>
      </c>
      <c r="R1854" t="s">
        <v>45097</v>
      </c>
      <c r="S1854" t="s">
        <v>45222</v>
      </c>
      <c r="T1854" t="s">
        <v>46946</v>
      </c>
      <c r="U1854" t="s">
        <v>49060</v>
      </c>
      <c r="W1854" t="s">
        <v>42261</v>
      </c>
      <c r="X1854" t="s">
        <v>45098</v>
      </c>
    </row>
    <row r="1855" spans="1:24">
      <c r="A1855">
        <f>HYPERLINK("https://www.philgeps.gov.ph/GEPSNONPILOT/Tender/SplashBidNoticeAbstractUI.aspx?menuIndex=3&amp;refID=7046432&amp;Result=3","7046432")</f>
        <v>0</v>
      </c>
      <c r="B1855" t="s">
        <v>748</v>
      </c>
      <c r="C1855" t="s">
        <v>4979</v>
      </c>
      <c r="D1855" t="s">
        <v>18081</v>
      </c>
      <c r="E1855" t="s">
        <v>19810</v>
      </c>
      <c r="F1855" t="s">
        <v>31574</v>
      </c>
      <c r="G1855" t="s">
        <v>31582</v>
      </c>
      <c r="H1855" t="s">
        <v>31590</v>
      </c>
      <c r="I1855" t="s">
        <v>7185</v>
      </c>
      <c r="J1855" t="s">
        <v>33058</v>
      </c>
      <c r="K1855" t="s">
        <v>41184</v>
      </c>
      <c r="L1855" t="s">
        <v>748</v>
      </c>
      <c r="M1855" t="s">
        <v>42262</v>
      </c>
      <c r="N1855" t="s">
        <v>45095</v>
      </c>
      <c r="O1855" t="s">
        <v>45096</v>
      </c>
      <c r="P1855">
        <v>0</v>
      </c>
      <c r="Q1855">
        <v>0</v>
      </c>
      <c r="R1855" t="s">
        <v>45097</v>
      </c>
      <c r="S1855" t="s">
        <v>45222</v>
      </c>
      <c r="T1855" t="s">
        <v>47097</v>
      </c>
      <c r="U1855" t="s">
        <v>49061</v>
      </c>
      <c r="W1855" t="s">
        <v>42262</v>
      </c>
      <c r="X1855" t="s">
        <v>45098</v>
      </c>
    </row>
    <row r="1856" spans="1:24">
      <c r="A1856">
        <f>HYPERLINK("https://www.philgeps.gov.ph/GEPSNONPILOT/Tender/SplashBidNoticeAbstractUI.aspx?menuIndex=3&amp;refID=7046439&amp;Result=3","7046439")</f>
        <v>0</v>
      </c>
      <c r="B1856" t="s">
        <v>749</v>
      </c>
      <c r="C1856" t="s">
        <v>4980</v>
      </c>
      <c r="D1856" t="s">
        <v>18036</v>
      </c>
      <c r="E1856" t="s">
        <v>19811</v>
      </c>
      <c r="F1856" t="s">
        <v>31574</v>
      </c>
      <c r="G1856" t="s">
        <v>31582</v>
      </c>
      <c r="H1856" t="s">
        <v>31591</v>
      </c>
      <c r="I1856" t="s">
        <v>8822</v>
      </c>
      <c r="J1856" t="s">
        <v>31935</v>
      </c>
      <c r="K1856" t="s">
        <v>41203</v>
      </c>
      <c r="M1856" t="s">
        <v>42263</v>
      </c>
      <c r="N1856" t="s">
        <v>45095</v>
      </c>
      <c r="O1856" t="s">
        <v>45096</v>
      </c>
      <c r="P1856">
        <v>0</v>
      </c>
      <c r="Q1856">
        <v>0</v>
      </c>
      <c r="R1856" t="s">
        <v>45097</v>
      </c>
      <c r="S1856" t="s">
        <v>45222</v>
      </c>
      <c r="T1856" t="s">
        <v>46992</v>
      </c>
      <c r="U1856" t="s">
        <v>49062</v>
      </c>
      <c r="W1856" t="s">
        <v>42263</v>
      </c>
      <c r="X1856" t="s">
        <v>45098</v>
      </c>
    </row>
    <row r="1857" spans="1:24">
      <c r="A1857">
        <f>HYPERLINK("https://www.philgeps.gov.ph/GEPSNONPILOT/Tender/SplashBidNoticeAbstractUI.aspx?menuIndex=3&amp;refID=7046430&amp;Result=3","7046430")</f>
        <v>0</v>
      </c>
      <c r="B1857" t="s">
        <v>677</v>
      </c>
      <c r="C1857" t="s">
        <v>4981</v>
      </c>
      <c r="D1857" t="s">
        <v>18058</v>
      </c>
      <c r="E1857" t="s">
        <v>19812</v>
      </c>
      <c r="F1857" t="s">
        <v>31574</v>
      </c>
      <c r="G1857" t="s">
        <v>31582</v>
      </c>
      <c r="H1857" t="s">
        <v>31590</v>
      </c>
      <c r="I1857" t="s">
        <v>31599</v>
      </c>
      <c r="J1857" t="s">
        <v>33059</v>
      </c>
      <c r="K1857" t="s">
        <v>41194</v>
      </c>
      <c r="M1857" t="s">
        <v>42184</v>
      </c>
      <c r="N1857" t="s">
        <v>45095</v>
      </c>
      <c r="O1857" t="s">
        <v>45096</v>
      </c>
      <c r="P1857">
        <v>0</v>
      </c>
      <c r="Q1857">
        <v>0</v>
      </c>
      <c r="R1857" t="s">
        <v>45097</v>
      </c>
      <c r="S1857" t="s">
        <v>45222</v>
      </c>
      <c r="T1857" t="s">
        <v>47098</v>
      </c>
      <c r="U1857" t="s">
        <v>49063</v>
      </c>
      <c r="V1857" t="s">
        <v>60016</v>
      </c>
      <c r="W1857" t="s">
        <v>42184</v>
      </c>
      <c r="X1857" t="s">
        <v>45098</v>
      </c>
    </row>
    <row r="1858" spans="1:24">
      <c r="A1858">
        <f>HYPERLINK("https://www.philgeps.gov.ph/GEPSNONPILOT/Tender/SplashBidNoticeAbstractUI.aspx?menuIndex=3&amp;refID=7046450&amp;Result=3","7046450")</f>
        <v>0</v>
      </c>
      <c r="B1858" t="s">
        <v>734</v>
      </c>
      <c r="C1858" t="s">
        <v>4982</v>
      </c>
      <c r="D1858" t="s">
        <v>18092</v>
      </c>
      <c r="E1858" t="s">
        <v>19813</v>
      </c>
      <c r="F1858" t="s">
        <v>31574</v>
      </c>
      <c r="G1858" t="s">
        <v>31581</v>
      </c>
      <c r="H1858" t="s">
        <v>31590</v>
      </c>
      <c r="I1858" t="s">
        <v>6800</v>
      </c>
      <c r="J1858" t="s">
        <v>33060</v>
      </c>
      <c r="K1858" t="s">
        <v>41196</v>
      </c>
      <c r="M1858" t="s">
        <v>42245</v>
      </c>
      <c r="N1858" t="s">
        <v>45095</v>
      </c>
      <c r="O1858" t="s">
        <v>45096</v>
      </c>
      <c r="P1858">
        <v>0</v>
      </c>
      <c r="Q1858">
        <v>0</v>
      </c>
      <c r="R1858" t="s">
        <v>45097</v>
      </c>
      <c r="S1858" t="s">
        <v>45222</v>
      </c>
      <c r="T1858" t="s">
        <v>46911</v>
      </c>
      <c r="U1858" t="s">
        <v>49064</v>
      </c>
      <c r="W1858" t="s">
        <v>42245</v>
      </c>
      <c r="X1858" t="s">
        <v>45098</v>
      </c>
    </row>
    <row r="1859" spans="1:24">
      <c r="A1859">
        <f>HYPERLINK("https://www.philgeps.gov.ph/GEPSNONPILOT/Tender/SplashBidNoticeAbstractUI.aspx?menuIndex=3&amp;refID=7046431&amp;Result=3","7046431")</f>
        <v>0</v>
      </c>
      <c r="B1859" t="s">
        <v>724</v>
      </c>
      <c r="C1859" t="s">
        <v>4983</v>
      </c>
      <c r="D1859" t="s">
        <v>18027</v>
      </c>
      <c r="E1859" t="s">
        <v>19814</v>
      </c>
      <c r="F1859" t="s">
        <v>31574</v>
      </c>
      <c r="G1859" t="s">
        <v>31582</v>
      </c>
      <c r="H1859" t="s">
        <v>31591</v>
      </c>
      <c r="I1859" t="s">
        <v>8822</v>
      </c>
      <c r="J1859" t="s">
        <v>33061</v>
      </c>
      <c r="K1859" t="s">
        <v>41217</v>
      </c>
      <c r="M1859" t="s">
        <v>42234</v>
      </c>
      <c r="N1859" t="s">
        <v>45095</v>
      </c>
      <c r="O1859" t="s">
        <v>45096</v>
      </c>
      <c r="P1859">
        <v>0</v>
      </c>
      <c r="Q1859">
        <v>0</v>
      </c>
      <c r="R1859" t="s">
        <v>45097</v>
      </c>
      <c r="S1859" t="s">
        <v>45222</v>
      </c>
      <c r="T1859" t="s">
        <v>46926</v>
      </c>
      <c r="U1859" t="s">
        <v>49065</v>
      </c>
      <c r="W1859" t="s">
        <v>42234</v>
      </c>
      <c r="X1859" t="s">
        <v>45098</v>
      </c>
    </row>
    <row r="1860" spans="1:24">
      <c r="A1860">
        <f>HYPERLINK("https://www.philgeps.gov.ph/GEPSNONPILOT/Tender/SplashBidNoticeAbstractUI.aspx?menuIndex=3&amp;refID=7046433&amp;Result=3","7046433")</f>
        <v>0</v>
      </c>
      <c r="B1860" t="s">
        <v>750</v>
      </c>
      <c r="C1860" t="s">
        <v>4984</v>
      </c>
      <c r="D1860" t="s">
        <v>18063</v>
      </c>
      <c r="E1860" t="s">
        <v>19815</v>
      </c>
      <c r="F1860" t="s">
        <v>31574</v>
      </c>
      <c r="G1860" t="s">
        <v>31581</v>
      </c>
      <c r="H1860" t="s">
        <v>31590</v>
      </c>
      <c r="I1860" t="s">
        <v>31607</v>
      </c>
      <c r="J1860" t="s">
        <v>33062</v>
      </c>
      <c r="K1860" t="s">
        <v>41184</v>
      </c>
      <c r="M1860" t="s">
        <v>42264</v>
      </c>
      <c r="N1860" t="s">
        <v>45095</v>
      </c>
      <c r="O1860" t="s">
        <v>45096</v>
      </c>
      <c r="P1860">
        <v>0</v>
      </c>
      <c r="Q1860">
        <v>0</v>
      </c>
      <c r="R1860" t="s">
        <v>45097</v>
      </c>
      <c r="S1860" t="s">
        <v>45222</v>
      </c>
      <c r="T1860" t="s">
        <v>46904</v>
      </c>
      <c r="U1860" t="s">
        <v>49066</v>
      </c>
      <c r="W1860" t="s">
        <v>42264</v>
      </c>
      <c r="X1860" t="s">
        <v>45098</v>
      </c>
    </row>
    <row r="1861" spans="1:24">
      <c r="A1861">
        <f>HYPERLINK("https://www.philgeps.gov.ph/GEPSNONPILOT/Tender/SplashBidNoticeAbstractUI.aspx?menuIndex=3&amp;refID=7046451&amp;Result=3","7046451")</f>
        <v>0</v>
      </c>
      <c r="B1861" t="s">
        <v>702</v>
      </c>
      <c r="C1861" t="s">
        <v>4985</v>
      </c>
      <c r="D1861" t="s">
        <v>18041</v>
      </c>
      <c r="E1861" t="s">
        <v>19816</v>
      </c>
      <c r="F1861" t="s">
        <v>31574</v>
      </c>
      <c r="G1861" t="s">
        <v>31581</v>
      </c>
      <c r="H1861" t="s">
        <v>31590</v>
      </c>
      <c r="I1861" t="s">
        <v>31644</v>
      </c>
      <c r="J1861" t="s">
        <v>33063</v>
      </c>
      <c r="K1861" t="s">
        <v>41193</v>
      </c>
      <c r="M1861" t="s">
        <v>42210</v>
      </c>
      <c r="N1861" t="s">
        <v>45095</v>
      </c>
      <c r="O1861" t="s">
        <v>45096</v>
      </c>
      <c r="P1861">
        <v>0</v>
      </c>
      <c r="Q1861">
        <v>0</v>
      </c>
      <c r="R1861" t="s">
        <v>45097</v>
      </c>
      <c r="S1861" t="s">
        <v>45222</v>
      </c>
      <c r="T1861" t="s">
        <v>46969</v>
      </c>
      <c r="U1861" t="s">
        <v>49067</v>
      </c>
      <c r="W1861" t="s">
        <v>42210</v>
      </c>
      <c r="X1861" t="s">
        <v>45098</v>
      </c>
    </row>
    <row r="1862" spans="1:24">
      <c r="A1862">
        <f>HYPERLINK("https://www.philgeps.gov.ph/GEPSNONPILOT/Tender/SplashBidNoticeAbstractUI.aspx?menuIndex=3&amp;refID=7046463&amp;Result=3","7046463")</f>
        <v>0</v>
      </c>
      <c r="B1862" t="s">
        <v>479</v>
      </c>
      <c r="C1862" t="s">
        <v>4986</v>
      </c>
      <c r="D1862" t="s">
        <v>18079</v>
      </c>
      <c r="E1862" t="s">
        <v>19817</v>
      </c>
      <c r="F1862" t="s">
        <v>31574</v>
      </c>
      <c r="G1862" t="s">
        <v>31585</v>
      </c>
      <c r="H1862" t="s">
        <v>31590</v>
      </c>
      <c r="I1862" t="s">
        <v>31594</v>
      </c>
      <c r="J1862" t="s">
        <v>33064</v>
      </c>
      <c r="K1862" t="s">
        <v>41184</v>
      </c>
      <c r="M1862" t="s">
        <v>42243</v>
      </c>
      <c r="N1862" t="s">
        <v>45095</v>
      </c>
      <c r="O1862" t="s">
        <v>45096</v>
      </c>
      <c r="P1862">
        <v>0</v>
      </c>
      <c r="Q1862">
        <v>0</v>
      </c>
      <c r="R1862" t="s">
        <v>45097</v>
      </c>
      <c r="S1862" t="s">
        <v>45222</v>
      </c>
      <c r="T1862" t="s">
        <v>46904</v>
      </c>
      <c r="U1862" t="s">
        <v>49068</v>
      </c>
      <c r="V1862" t="s">
        <v>60031</v>
      </c>
      <c r="W1862" t="s">
        <v>42243</v>
      </c>
      <c r="X1862" t="s">
        <v>45098</v>
      </c>
    </row>
    <row r="1863" spans="1:24">
      <c r="A1863">
        <f>HYPERLINK("https://www.philgeps.gov.ph/GEPSNONPILOT/Tender/SplashBidNoticeAbstractUI.aspx?menuIndex=3&amp;refID=7046457&amp;Result=3","7046457")</f>
        <v>0</v>
      </c>
      <c r="B1863" t="s">
        <v>751</v>
      </c>
      <c r="C1863" t="s">
        <v>4987</v>
      </c>
      <c r="D1863" t="s">
        <v>18065</v>
      </c>
      <c r="E1863" t="s">
        <v>19818</v>
      </c>
      <c r="F1863" t="s">
        <v>31574</v>
      </c>
      <c r="G1863" t="s">
        <v>31582</v>
      </c>
      <c r="H1863" t="s">
        <v>31591</v>
      </c>
      <c r="I1863" t="s">
        <v>8822</v>
      </c>
      <c r="J1863" t="s">
        <v>31935</v>
      </c>
      <c r="K1863" t="s">
        <v>41189</v>
      </c>
      <c r="M1863" t="s">
        <v>42265</v>
      </c>
      <c r="N1863" t="s">
        <v>45095</v>
      </c>
      <c r="O1863" t="s">
        <v>45096</v>
      </c>
      <c r="P1863">
        <v>0</v>
      </c>
      <c r="Q1863">
        <v>0</v>
      </c>
      <c r="R1863" t="s">
        <v>45097</v>
      </c>
      <c r="S1863" t="s">
        <v>45222</v>
      </c>
      <c r="T1863" t="s">
        <v>47099</v>
      </c>
      <c r="U1863" t="s">
        <v>49069</v>
      </c>
      <c r="W1863" t="s">
        <v>42265</v>
      </c>
      <c r="X1863" t="s">
        <v>45098</v>
      </c>
    </row>
    <row r="1864" spans="1:24">
      <c r="A1864">
        <f>HYPERLINK("https://www.philgeps.gov.ph/GEPSNONPILOT/Tender/SplashBidNoticeAbstractUI.aspx?menuIndex=3&amp;refID=7046456&amp;Result=3","7046456")</f>
        <v>0</v>
      </c>
      <c r="B1864" t="s">
        <v>752</v>
      </c>
      <c r="C1864" t="s">
        <v>4988</v>
      </c>
      <c r="D1864" t="s">
        <v>18079</v>
      </c>
      <c r="E1864" t="s">
        <v>19819</v>
      </c>
      <c r="F1864" t="s">
        <v>31574</v>
      </c>
      <c r="G1864" t="s">
        <v>31583</v>
      </c>
      <c r="H1864" t="s">
        <v>31590</v>
      </c>
      <c r="I1864" t="s">
        <v>31605</v>
      </c>
      <c r="J1864" t="s">
        <v>33065</v>
      </c>
      <c r="K1864" t="s">
        <v>41211</v>
      </c>
      <c r="M1864" t="s">
        <v>42266</v>
      </c>
      <c r="N1864" t="s">
        <v>45095</v>
      </c>
      <c r="O1864" t="s">
        <v>45096</v>
      </c>
      <c r="P1864">
        <v>0</v>
      </c>
      <c r="Q1864">
        <v>0</v>
      </c>
      <c r="R1864" t="s">
        <v>45097</v>
      </c>
      <c r="S1864" t="s">
        <v>45222</v>
      </c>
      <c r="T1864" t="s">
        <v>47080</v>
      </c>
      <c r="U1864" t="s">
        <v>49070</v>
      </c>
      <c r="V1864" t="s">
        <v>60032</v>
      </c>
      <c r="W1864" t="s">
        <v>42266</v>
      </c>
      <c r="X1864" t="s">
        <v>45098</v>
      </c>
    </row>
    <row r="1865" spans="1:24">
      <c r="A1865">
        <f>HYPERLINK("https://www.philgeps.gov.ph/GEPSNONPILOT/Tender/SplashBidNoticeAbstractUI.aspx?menuIndex=3&amp;refID=7046434&amp;Result=3","7046434")</f>
        <v>0</v>
      </c>
      <c r="B1865" t="s">
        <v>715</v>
      </c>
      <c r="C1865" t="s">
        <v>4989</v>
      </c>
      <c r="D1865" t="s">
        <v>18058</v>
      </c>
      <c r="E1865" t="s">
        <v>19820</v>
      </c>
      <c r="F1865" t="s">
        <v>31574</v>
      </c>
      <c r="G1865" t="s">
        <v>31581</v>
      </c>
      <c r="H1865" t="s">
        <v>31590</v>
      </c>
      <c r="I1865" t="s">
        <v>3539</v>
      </c>
      <c r="J1865" t="s">
        <v>32528</v>
      </c>
      <c r="K1865" t="s">
        <v>41197</v>
      </c>
      <c r="M1865" t="s">
        <v>42225</v>
      </c>
      <c r="N1865" t="s">
        <v>45095</v>
      </c>
      <c r="O1865" t="s">
        <v>45096</v>
      </c>
      <c r="P1865">
        <v>0</v>
      </c>
      <c r="Q1865">
        <v>0</v>
      </c>
      <c r="R1865" t="s">
        <v>45097</v>
      </c>
      <c r="S1865" t="s">
        <v>45222</v>
      </c>
      <c r="T1865" t="s">
        <v>46949</v>
      </c>
      <c r="U1865" t="s">
        <v>49071</v>
      </c>
      <c r="W1865" t="s">
        <v>42225</v>
      </c>
      <c r="X1865" t="s">
        <v>45098</v>
      </c>
    </row>
    <row r="1866" spans="1:24">
      <c r="A1866">
        <f>HYPERLINK("https://www.philgeps.gov.ph/GEPSNONPILOT/Tender/SplashBidNoticeAbstractUI.aspx?menuIndex=3&amp;refID=7046455&amp;Result=3","7046455")</f>
        <v>0</v>
      </c>
      <c r="B1866" t="s">
        <v>710</v>
      </c>
      <c r="C1866" t="s">
        <v>4990</v>
      </c>
      <c r="D1866" t="s">
        <v>18104</v>
      </c>
      <c r="E1866" t="s">
        <v>19821</v>
      </c>
      <c r="F1866" t="s">
        <v>31574</v>
      </c>
      <c r="G1866" t="s">
        <v>31582</v>
      </c>
      <c r="H1866" t="s">
        <v>31590</v>
      </c>
      <c r="I1866" t="s">
        <v>4046</v>
      </c>
      <c r="J1866" t="s">
        <v>33066</v>
      </c>
      <c r="K1866" t="s">
        <v>41270</v>
      </c>
      <c r="M1866" t="s">
        <v>42220</v>
      </c>
      <c r="N1866" t="s">
        <v>45095</v>
      </c>
      <c r="O1866" t="s">
        <v>45096</v>
      </c>
      <c r="P1866">
        <v>0</v>
      </c>
      <c r="Q1866">
        <v>0</v>
      </c>
      <c r="R1866" t="s">
        <v>45097</v>
      </c>
      <c r="S1866" t="s">
        <v>45222</v>
      </c>
      <c r="T1866" t="s">
        <v>47089</v>
      </c>
      <c r="U1866" t="s">
        <v>49072</v>
      </c>
      <c r="W1866" t="s">
        <v>42220</v>
      </c>
      <c r="X1866" t="s">
        <v>45098</v>
      </c>
    </row>
    <row r="1867" spans="1:24">
      <c r="A1867">
        <f>HYPERLINK("https://www.philgeps.gov.ph/GEPSNONPILOT/Tender/SplashBidNoticeAbstractUI.aspx?menuIndex=3&amp;refID=7046452&amp;Result=3","7046452")</f>
        <v>0</v>
      </c>
      <c r="B1867" t="s">
        <v>161</v>
      </c>
      <c r="C1867" t="s">
        <v>4991</v>
      </c>
      <c r="E1867" t="s">
        <v>19822</v>
      </c>
      <c r="F1867" t="s">
        <v>31574</v>
      </c>
      <c r="G1867" t="s">
        <v>31581</v>
      </c>
      <c r="H1867" t="s">
        <v>31590</v>
      </c>
      <c r="I1867" t="s">
        <v>3539</v>
      </c>
      <c r="J1867" t="s">
        <v>31726</v>
      </c>
      <c r="K1867" t="s">
        <v>41184</v>
      </c>
      <c r="M1867" t="s">
        <v>41645</v>
      </c>
      <c r="N1867" t="s">
        <v>45095</v>
      </c>
      <c r="O1867" t="s">
        <v>45096</v>
      </c>
      <c r="P1867">
        <v>0</v>
      </c>
      <c r="Q1867">
        <v>0</v>
      </c>
      <c r="R1867" t="s">
        <v>45097</v>
      </c>
      <c r="S1867" t="s">
        <v>45222</v>
      </c>
      <c r="T1867" t="s">
        <v>46911</v>
      </c>
      <c r="U1867" t="s">
        <v>49073</v>
      </c>
      <c r="W1867" t="s">
        <v>41645</v>
      </c>
      <c r="X1867" t="s">
        <v>45098</v>
      </c>
    </row>
    <row r="1868" spans="1:24">
      <c r="A1868">
        <f>HYPERLINK("https://www.philgeps.gov.ph/GEPSNONPILOT/Tender/SplashBidNoticeAbstractUI.aspx?menuIndex=3&amp;refID=7046453&amp;Result=3","7046453")</f>
        <v>0</v>
      </c>
      <c r="B1868" t="s">
        <v>743</v>
      </c>
      <c r="C1868" t="s">
        <v>4992</v>
      </c>
      <c r="D1868" t="s">
        <v>18099</v>
      </c>
      <c r="E1868" t="s">
        <v>19823</v>
      </c>
      <c r="F1868" t="s">
        <v>31574</v>
      </c>
      <c r="G1868" t="s">
        <v>31588</v>
      </c>
      <c r="H1868" t="s">
        <v>31591</v>
      </c>
      <c r="I1868" t="s">
        <v>8822</v>
      </c>
      <c r="J1868" t="s">
        <v>33067</v>
      </c>
      <c r="K1868" t="s">
        <v>41245</v>
      </c>
      <c r="M1868" t="s">
        <v>42255</v>
      </c>
      <c r="N1868" t="s">
        <v>45095</v>
      </c>
      <c r="O1868" t="s">
        <v>45096</v>
      </c>
      <c r="P1868">
        <v>0</v>
      </c>
      <c r="Q1868">
        <v>0</v>
      </c>
      <c r="R1868" t="s">
        <v>45097</v>
      </c>
      <c r="S1868" t="s">
        <v>45222</v>
      </c>
      <c r="T1868" t="s">
        <v>46916</v>
      </c>
      <c r="U1868" t="s">
        <v>49049</v>
      </c>
      <c r="V1868" t="s">
        <v>60033</v>
      </c>
      <c r="W1868" t="s">
        <v>44905</v>
      </c>
      <c r="X1868" t="s">
        <v>45098</v>
      </c>
    </row>
    <row r="1869" spans="1:24">
      <c r="A1869">
        <f>HYPERLINK("https://www.philgeps.gov.ph/GEPSNONPILOT/Tender/SplashBidNoticeAbstractUI.aspx?menuIndex=3&amp;refID=7046473&amp;Result=3","7046473")</f>
        <v>0</v>
      </c>
      <c r="B1869" t="s">
        <v>45</v>
      </c>
      <c r="C1869" t="s">
        <v>4860</v>
      </c>
      <c r="D1869" t="s">
        <v>18037</v>
      </c>
      <c r="E1869" t="s">
        <v>19824</v>
      </c>
      <c r="F1869" t="s">
        <v>31574</v>
      </c>
      <c r="G1869" t="s">
        <v>31581</v>
      </c>
      <c r="H1869" t="s">
        <v>31590</v>
      </c>
      <c r="I1869" t="s">
        <v>31595</v>
      </c>
      <c r="J1869" t="s">
        <v>32126</v>
      </c>
      <c r="K1869" t="s">
        <v>41186</v>
      </c>
      <c r="M1869" t="s">
        <v>41528</v>
      </c>
      <c r="N1869" t="s">
        <v>45095</v>
      </c>
      <c r="O1869" t="s">
        <v>45096</v>
      </c>
      <c r="P1869">
        <v>0</v>
      </c>
      <c r="Q1869">
        <v>0</v>
      </c>
      <c r="R1869" t="s">
        <v>45097</v>
      </c>
      <c r="S1869" t="s">
        <v>45222</v>
      </c>
      <c r="T1869" t="s">
        <v>46918</v>
      </c>
      <c r="U1869" t="s">
        <v>49074</v>
      </c>
      <c r="W1869" t="s">
        <v>41528</v>
      </c>
      <c r="X1869" t="s">
        <v>45098</v>
      </c>
    </row>
    <row r="1870" spans="1:24">
      <c r="A1870">
        <f>HYPERLINK("https://www.philgeps.gov.ph/GEPSNONPILOT/Tender/SplashBidNoticeAbstractUI.aspx?menuIndex=3&amp;refID=7046464&amp;Result=3","7046464")</f>
        <v>0</v>
      </c>
      <c r="B1870" t="s">
        <v>724</v>
      </c>
      <c r="C1870" t="s">
        <v>4993</v>
      </c>
      <c r="D1870" t="s">
        <v>18027</v>
      </c>
      <c r="E1870" t="s">
        <v>19825</v>
      </c>
      <c r="F1870" t="s">
        <v>31574</v>
      </c>
      <c r="G1870" t="s">
        <v>31582</v>
      </c>
      <c r="H1870" t="s">
        <v>31591</v>
      </c>
      <c r="I1870" t="s">
        <v>8822</v>
      </c>
      <c r="J1870" t="s">
        <v>33068</v>
      </c>
      <c r="K1870" t="s">
        <v>41186</v>
      </c>
      <c r="M1870" t="s">
        <v>42234</v>
      </c>
      <c r="N1870" t="s">
        <v>45095</v>
      </c>
      <c r="O1870" t="s">
        <v>45096</v>
      </c>
      <c r="P1870">
        <v>0</v>
      </c>
      <c r="Q1870">
        <v>0</v>
      </c>
      <c r="R1870" t="s">
        <v>45097</v>
      </c>
      <c r="S1870" t="s">
        <v>45222</v>
      </c>
      <c r="T1870" t="s">
        <v>46935</v>
      </c>
      <c r="U1870" t="s">
        <v>49075</v>
      </c>
      <c r="W1870" t="s">
        <v>42234</v>
      </c>
      <c r="X1870" t="s">
        <v>45098</v>
      </c>
    </row>
    <row r="1871" spans="1:24">
      <c r="A1871">
        <f>HYPERLINK("https://www.philgeps.gov.ph/GEPSNONPILOT/Tender/SplashBidNoticeAbstractUI.aspx?menuIndex=3&amp;refID=7046471&amp;Result=3","7046471")</f>
        <v>0</v>
      </c>
      <c r="B1871" t="s">
        <v>291</v>
      </c>
      <c r="C1871" t="s">
        <v>4994</v>
      </c>
      <c r="D1871" t="s">
        <v>18091</v>
      </c>
      <c r="E1871" t="s">
        <v>19826</v>
      </c>
      <c r="F1871" t="s">
        <v>31574</v>
      </c>
      <c r="G1871" t="s">
        <v>31581</v>
      </c>
      <c r="H1871" t="s">
        <v>31590</v>
      </c>
      <c r="I1871" t="s">
        <v>31633</v>
      </c>
      <c r="J1871" t="s">
        <v>33069</v>
      </c>
      <c r="K1871" t="s">
        <v>41193</v>
      </c>
      <c r="M1871" t="s">
        <v>41777</v>
      </c>
      <c r="N1871" t="s">
        <v>45095</v>
      </c>
      <c r="O1871" t="s">
        <v>45096</v>
      </c>
      <c r="P1871">
        <v>0</v>
      </c>
      <c r="Q1871">
        <v>0</v>
      </c>
      <c r="R1871" t="s">
        <v>45097</v>
      </c>
      <c r="S1871" t="s">
        <v>45222</v>
      </c>
      <c r="T1871" t="s">
        <v>46926</v>
      </c>
      <c r="U1871" t="s">
        <v>48671</v>
      </c>
      <c r="V1871" t="s">
        <v>59918</v>
      </c>
      <c r="W1871" t="s">
        <v>41777</v>
      </c>
      <c r="X1871" t="s">
        <v>45098</v>
      </c>
    </row>
    <row r="1872" spans="1:24">
      <c r="A1872">
        <f>HYPERLINK("https://www.philgeps.gov.ph/GEPSNONPILOT/Tender/SplashBidNoticeAbstractUI.aspx?menuIndex=3&amp;refID=7046470&amp;Result=3","7046470")</f>
        <v>0</v>
      </c>
      <c r="B1872" t="s">
        <v>753</v>
      </c>
      <c r="C1872" t="s">
        <v>4995</v>
      </c>
      <c r="D1872" t="s">
        <v>18073</v>
      </c>
      <c r="E1872" t="s">
        <v>19827</v>
      </c>
      <c r="F1872" t="s">
        <v>31574</v>
      </c>
      <c r="G1872" t="s">
        <v>31581</v>
      </c>
      <c r="H1872" t="s">
        <v>31590</v>
      </c>
      <c r="I1872" t="s">
        <v>3651</v>
      </c>
      <c r="J1872" t="s">
        <v>33070</v>
      </c>
      <c r="K1872" t="s">
        <v>41211</v>
      </c>
      <c r="M1872" t="s">
        <v>42267</v>
      </c>
      <c r="N1872" t="s">
        <v>45095</v>
      </c>
      <c r="O1872" t="s">
        <v>45096</v>
      </c>
      <c r="P1872">
        <v>0</v>
      </c>
      <c r="Q1872">
        <v>0</v>
      </c>
      <c r="R1872" t="s">
        <v>45097</v>
      </c>
      <c r="S1872" t="s">
        <v>45222</v>
      </c>
      <c r="T1872" t="s">
        <v>46904</v>
      </c>
      <c r="U1872" t="s">
        <v>49076</v>
      </c>
      <c r="W1872" t="s">
        <v>42267</v>
      </c>
      <c r="X1872" t="s">
        <v>45098</v>
      </c>
    </row>
    <row r="1873" spans="1:24">
      <c r="A1873">
        <f>HYPERLINK("https://www.philgeps.gov.ph/GEPSNONPILOT/Tender/SplashBidNoticeAbstractUI.aspx?menuIndex=3&amp;refID=7046469&amp;Result=3","7046469")</f>
        <v>0</v>
      </c>
      <c r="B1873" t="s">
        <v>458</v>
      </c>
      <c r="C1873" t="s">
        <v>4996</v>
      </c>
      <c r="D1873" t="s">
        <v>18045</v>
      </c>
      <c r="E1873" t="s">
        <v>19828</v>
      </c>
      <c r="F1873" t="s">
        <v>31574</v>
      </c>
      <c r="G1873" t="s">
        <v>31583</v>
      </c>
      <c r="H1873" t="s">
        <v>31590</v>
      </c>
      <c r="I1873" t="s">
        <v>3539</v>
      </c>
      <c r="J1873" t="s">
        <v>31782</v>
      </c>
      <c r="K1873" t="s">
        <v>41211</v>
      </c>
      <c r="M1873" t="s">
        <v>41952</v>
      </c>
      <c r="N1873" t="s">
        <v>45095</v>
      </c>
      <c r="O1873" t="s">
        <v>45096</v>
      </c>
      <c r="P1873">
        <v>0</v>
      </c>
      <c r="Q1873">
        <v>0</v>
      </c>
      <c r="R1873" t="s">
        <v>45097</v>
      </c>
      <c r="S1873" t="s">
        <v>45222</v>
      </c>
      <c r="T1873" t="s">
        <v>46936</v>
      </c>
      <c r="U1873" t="s">
        <v>49077</v>
      </c>
      <c r="W1873" t="s">
        <v>41952</v>
      </c>
      <c r="X1873" t="s">
        <v>45098</v>
      </c>
    </row>
    <row r="1874" spans="1:24">
      <c r="A1874">
        <f>HYPERLINK("https://www.philgeps.gov.ph/GEPSNONPILOT/Tender/SplashBidNoticeAbstractUI.aspx?menuIndex=3&amp;refID=7046468&amp;Result=3","7046468")</f>
        <v>0</v>
      </c>
      <c r="B1874" t="s">
        <v>434</v>
      </c>
      <c r="C1874" t="s">
        <v>4997</v>
      </c>
      <c r="D1874" t="s">
        <v>18041</v>
      </c>
      <c r="E1874" t="s">
        <v>19829</v>
      </c>
      <c r="F1874" t="s">
        <v>31574</v>
      </c>
      <c r="G1874" t="s">
        <v>31581</v>
      </c>
      <c r="H1874" t="s">
        <v>31590</v>
      </c>
      <c r="I1874" t="s">
        <v>31605</v>
      </c>
      <c r="J1874" t="s">
        <v>33071</v>
      </c>
      <c r="K1874" t="s">
        <v>41186</v>
      </c>
      <c r="M1874" t="s">
        <v>41927</v>
      </c>
      <c r="N1874" t="s">
        <v>45095</v>
      </c>
      <c r="O1874" t="s">
        <v>45096</v>
      </c>
      <c r="P1874">
        <v>0</v>
      </c>
      <c r="Q1874">
        <v>0</v>
      </c>
      <c r="R1874" t="s">
        <v>45097</v>
      </c>
      <c r="S1874" t="s">
        <v>45222</v>
      </c>
      <c r="T1874" t="s">
        <v>46918</v>
      </c>
      <c r="U1874" t="s">
        <v>48336</v>
      </c>
      <c r="V1874" t="s">
        <v>59939</v>
      </c>
      <c r="W1874" t="s">
        <v>41927</v>
      </c>
      <c r="X1874" t="s">
        <v>45098</v>
      </c>
    </row>
    <row r="1875" spans="1:24">
      <c r="A1875">
        <f>HYPERLINK("https://www.philgeps.gov.ph/GEPSNONPILOT/Tender/SplashBidNoticeAbstractUI.aspx?menuIndex=3&amp;refID=7046467&amp;Result=3","7046467")</f>
        <v>0</v>
      </c>
      <c r="B1875" t="s">
        <v>725</v>
      </c>
      <c r="C1875" t="s">
        <v>4998</v>
      </c>
      <c r="D1875" t="s">
        <v>18092</v>
      </c>
      <c r="E1875" t="s">
        <v>19830</v>
      </c>
      <c r="F1875" t="s">
        <v>31574</v>
      </c>
      <c r="G1875" t="s">
        <v>31582</v>
      </c>
      <c r="H1875" t="s">
        <v>31590</v>
      </c>
      <c r="I1875" t="s">
        <v>31631</v>
      </c>
      <c r="J1875" t="s">
        <v>32287</v>
      </c>
      <c r="K1875" t="s">
        <v>41193</v>
      </c>
      <c r="M1875" t="s">
        <v>42235</v>
      </c>
      <c r="N1875" t="s">
        <v>45095</v>
      </c>
      <c r="O1875" t="s">
        <v>45096</v>
      </c>
      <c r="P1875">
        <v>0</v>
      </c>
      <c r="Q1875">
        <v>0</v>
      </c>
      <c r="R1875" t="s">
        <v>45097</v>
      </c>
      <c r="S1875" t="s">
        <v>45222</v>
      </c>
      <c r="T1875" t="s">
        <v>46937</v>
      </c>
      <c r="U1875" t="s">
        <v>49078</v>
      </c>
      <c r="V1875" t="s">
        <v>60034</v>
      </c>
      <c r="W1875" t="s">
        <v>42235</v>
      </c>
      <c r="X1875" t="s">
        <v>45098</v>
      </c>
    </row>
    <row r="1876" spans="1:24">
      <c r="A1876">
        <f>HYPERLINK("https://www.philgeps.gov.ph/GEPSNONPILOT/Tender/SplashBidNoticeAbstractUI.aspx?menuIndex=3&amp;refID=7046475&amp;Result=3","7046475")</f>
        <v>0</v>
      </c>
      <c r="B1876" t="s">
        <v>754</v>
      </c>
      <c r="C1876" t="s">
        <v>4999</v>
      </c>
      <c r="D1876" t="s">
        <v>18027</v>
      </c>
      <c r="E1876" t="s">
        <v>19831</v>
      </c>
      <c r="F1876" t="s">
        <v>31574</v>
      </c>
      <c r="G1876" t="s">
        <v>31582</v>
      </c>
      <c r="H1876" t="s">
        <v>31590</v>
      </c>
      <c r="I1876" t="s">
        <v>3487</v>
      </c>
      <c r="J1876" t="s">
        <v>31727</v>
      </c>
      <c r="K1876" t="s">
        <v>41184</v>
      </c>
      <c r="M1876" t="s">
        <v>42268</v>
      </c>
      <c r="N1876" t="s">
        <v>45095</v>
      </c>
      <c r="O1876" t="s">
        <v>45096</v>
      </c>
      <c r="P1876">
        <v>0</v>
      </c>
      <c r="Q1876">
        <v>0</v>
      </c>
      <c r="R1876" t="s">
        <v>45097</v>
      </c>
      <c r="S1876" t="s">
        <v>45222</v>
      </c>
      <c r="T1876" t="s">
        <v>47030</v>
      </c>
      <c r="U1876" t="s">
        <v>49079</v>
      </c>
      <c r="W1876" t="s">
        <v>42268</v>
      </c>
      <c r="X1876" t="s">
        <v>45098</v>
      </c>
    </row>
    <row r="1877" spans="1:24">
      <c r="A1877">
        <f>HYPERLINK("https://www.philgeps.gov.ph/GEPSNONPILOT/Tender/SplashBidNoticeAbstractUI.aspx?menuIndex=3&amp;refID=7046472&amp;Result=3","7046472")</f>
        <v>0</v>
      </c>
      <c r="B1877" t="s">
        <v>734</v>
      </c>
      <c r="C1877" t="s">
        <v>5000</v>
      </c>
      <c r="D1877" t="s">
        <v>18092</v>
      </c>
      <c r="E1877" t="s">
        <v>19832</v>
      </c>
      <c r="F1877" t="s">
        <v>31574</v>
      </c>
      <c r="G1877" t="s">
        <v>31581</v>
      </c>
      <c r="H1877" t="s">
        <v>31590</v>
      </c>
      <c r="I1877" t="s">
        <v>6800</v>
      </c>
      <c r="J1877" t="s">
        <v>33072</v>
      </c>
      <c r="K1877" t="s">
        <v>41196</v>
      </c>
      <c r="M1877" t="s">
        <v>42245</v>
      </c>
      <c r="N1877" t="s">
        <v>45095</v>
      </c>
      <c r="O1877" t="s">
        <v>45096</v>
      </c>
      <c r="P1877">
        <v>0</v>
      </c>
      <c r="Q1877">
        <v>0</v>
      </c>
      <c r="R1877" t="s">
        <v>45097</v>
      </c>
      <c r="S1877" t="s">
        <v>45222</v>
      </c>
      <c r="T1877" t="s">
        <v>46911</v>
      </c>
      <c r="U1877" t="s">
        <v>49025</v>
      </c>
      <c r="W1877" t="s">
        <v>42245</v>
      </c>
      <c r="X1877" t="s">
        <v>45098</v>
      </c>
    </row>
    <row r="1878" spans="1:24">
      <c r="A1878">
        <f>HYPERLINK("https://www.philgeps.gov.ph/GEPSNONPILOT/Tender/SplashBidNoticeAbstractUI.aspx?menuIndex=3&amp;refID=7046462&amp;Result=3","7046462")</f>
        <v>0</v>
      </c>
      <c r="B1878" t="s">
        <v>84</v>
      </c>
      <c r="C1878" t="s">
        <v>5001</v>
      </c>
      <c r="D1878" t="s">
        <v>18022</v>
      </c>
      <c r="E1878" t="s">
        <v>19833</v>
      </c>
      <c r="F1878" t="s">
        <v>31574</v>
      </c>
      <c r="G1878" t="s">
        <v>31584</v>
      </c>
      <c r="H1878" t="s">
        <v>31590</v>
      </c>
      <c r="I1878" t="s">
        <v>6800</v>
      </c>
      <c r="J1878" t="s">
        <v>33073</v>
      </c>
      <c r="K1878" t="s">
        <v>41193</v>
      </c>
      <c r="M1878" t="s">
        <v>41568</v>
      </c>
      <c r="N1878" t="s">
        <v>45095</v>
      </c>
      <c r="O1878" t="s">
        <v>45096</v>
      </c>
      <c r="P1878">
        <v>0</v>
      </c>
      <c r="Q1878">
        <v>0</v>
      </c>
      <c r="R1878" t="s">
        <v>45097</v>
      </c>
      <c r="S1878" t="s">
        <v>45222</v>
      </c>
      <c r="T1878" t="s">
        <v>46966</v>
      </c>
      <c r="U1878" t="s">
        <v>49080</v>
      </c>
      <c r="W1878" t="s">
        <v>41568</v>
      </c>
      <c r="X1878" t="s">
        <v>45098</v>
      </c>
    </row>
    <row r="1879" spans="1:24">
      <c r="A1879">
        <f>HYPERLINK("https://www.philgeps.gov.ph/GEPSNONPILOT/Tender/SplashBidNoticeAbstractUI.aspx?menuIndex=3&amp;refID=7046490&amp;Result=3","7046490")</f>
        <v>0</v>
      </c>
      <c r="B1879" t="s">
        <v>710</v>
      </c>
      <c r="C1879" t="s">
        <v>5002</v>
      </c>
      <c r="D1879" t="s">
        <v>18104</v>
      </c>
      <c r="E1879" t="s">
        <v>19834</v>
      </c>
      <c r="F1879" t="s">
        <v>31574</v>
      </c>
      <c r="G1879" t="s">
        <v>31582</v>
      </c>
      <c r="H1879" t="s">
        <v>31591</v>
      </c>
      <c r="I1879" t="s">
        <v>8822</v>
      </c>
      <c r="J1879" t="s">
        <v>33074</v>
      </c>
      <c r="K1879" t="s">
        <v>41199</v>
      </c>
      <c r="M1879" t="s">
        <v>42220</v>
      </c>
      <c r="N1879" t="s">
        <v>45095</v>
      </c>
      <c r="O1879" t="s">
        <v>45096</v>
      </c>
      <c r="P1879">
        <v>0</v>
      </c>
      <c r="Q1879">
        <v>0</v>
      </c>
      <c r="R1879" t="s">
        <v>45097</v>
      </c>
      <c r="S1879" t="s">
        <v>45222</v>
      </c>
      <c r="T1879" t="s">
        <v>47089</v>
      </c>
      <c r="U1879" t="s">
        <v>49081</v>
      </c>
      <c r="W1879" t="s">
        <v>42220</v>
      </c>
      <c r="X1879" t="s">
        <v>45098</v>
      </c>
    </row>
    <row r="1880" spans="1:24">
      <c r="A1880">
        <f>HYPERLINK("https://www.philgeps.gov.ph/GEPSNONPILOT/Tender/SplashBidNoticeAbstractUI.aspx?menuIndex=3&amp;refID=7046474&amp;Result=3","7046474")</f>
        <v>0</v>
      </c>
      <c r="B1880" t="s">
        <v>749</v>
      </c>
      <c r="C1880" t="s">
        <v>5003</v>
      </c>
      <c r="D1880" t="s">
        <v>18036</v>
      </c>
      <c r="E1880" t="s">
        <v>19835</v>
      </c>
      <c r="F1880" t="s">
        <v>31574</v>
      </c>
      <c r="G1880" t="s">
        <v>31582</v>
      </c>
      <c r="H1880" t="s">
        <v>31591</v>
      </c>
      <c r="I1880" t="s">
        <v>8822</v>
      </c>
      <c r="J1880" t="s">
        <v>32026</v>
      </c>
      <c r="K1880" t="s">
        <v>41203</v>
      </c>
      <c r="M1880" t="s">
        <v>42263</v>
      </c>
      <c r="N1880" t="s">
        <v>45095</v>
      </c>
      <c r="O1880" t="s">
        <v>45096</v>
      </c>
      <c r="P1880">
        <v>0</v>
      </c>
      <c r="Q1880">
        <v>0</v>
      </c>
      <c r="R1880" t="s">
        <v>45097</v>
      </c>
      <c r="S1880" t="s">
        <v>45222</v>
      </c>
      <c r="T1880" t="s">
        <v>46992</v>
      </c>
      <c r="U1880" t="s">
        <v>49082</v>
      </c>
      <c r="W1880" t="s">
        <v>42263</v>
      </c>
      <c r="X1880" t="s">
        <v>45098</v>
      </c>
    </row>
    <row r="1881" spans="1:24">
      <c r="A1881">
        <f>HYPERLINK("https://www.philgeps.gov.ph/GEPSNONPILOT/Tender/SplashBidNoticeAbstractUI.aspx?menuIndex=3&amp;refID=7046487&amp;Result=3","7046487")</f>
        <v>0</v>
      </c>
      <c r="B1881" t="s">
        <v>743</v>
      </c>
      <c r="C1881" t="s">
        <v>5004</v>
      </c>
      <c r="D1881" t="s">
        <v>18099</v>
      </c>
      <c r="E1881" t="s">
        <v>19836</v>
      </c>
      <c r="F1881" t="s">
        <v>31574</v>
      </c>
      <c r="G1881" t="s">
        <v>31588</v>
      </c>
      <c r="H1881" t="s">
        <v>31591</v>
      </c>
      <c r="I1881" t="s">
        <v>8822</v>
      </c>
      <c r="J1881" t="s">
        <v>33075</v>
      </c>
      <c r="K1881" t="s">
        <v>41189</v>
      </c>
      <c r="M1881" t="s">
        <v>42255</v>
      </c>
      <c r="N1881" t="s">
        <v>45095</v>
      </c>
      <c r="O1881" t="s">
        <v>45096</v>
      </c>
      <c r="P1881">
        <v>0</v>
      </c>
      <c r="Q1881">
        <v>0</v>
      </c>
      <c r="R1881" t="s">
        <v>45097</v>
      </c>
      <c r="S1881" t="s">
        <v>45222</v>
      </c>
      <c r="T1881" t="s">
        <v>46916</v>
      </c>
      <c r="U1881" t="s">
        <v>49049</v>
      </c>
      <c r="V1881" t="s">
        <v>60027</v>
      </c>
      <c r="W1881" t="s">
        <v>44905</v>
      </c>
      <c r="X1881" t="s">
        <v>45098</v>
      </c>
    </row>
    <row r="1882" spans="1:24">
      <c r="A1882">
        <f>HYPERLINK("https://www.philgeps.gov.ph/GEPSNONPILOT/Tender/SplashBidNoticeAbstractUI.aspx?menuIndex=3&amp;refID=7046458&amp;Result=3","7046458")</f>
        <v>0</v>
      </c>
      <c r="B1882" t="s">
        <v>755</v>
      </c>
      <c r="C1882" t="s">
        <v>5005</v>
      </c>
      <c r="D1882" t="s">
        <v>18045</v>
      </c>
      <c r="E1882" t="s">
        <v>19837</v>
      </c>
      <c r="F1882" t="s">
        <v>31574</v>
      </c>
      <c r="G1882" t="s">
        <v>31582</v>
      </c>
      <c r="H1882" t="s">
        <v>31590</v>
      </c>
      <c r="I1882" t="s">
        <v>3873</v>
      </c>
      <c r="J1882" t="s">
        <v>33076</v>
      </c>
      <c r="K1882" t="s">
        <v>41186</v>
      </c>
      <c r="M1882" t="s">
        <v>42269</v>
      </c>
      <c r="N1882" t="s">
        <v>45095</v>
      </c>
      <c r="O1882" t="s">
        <v>45096</v>
      </c>
      <c r="P1882">
        <v>0</v>
      </c>
      <c r="Q1882">
        <v>0</v>
      </c>
      <c r="R1882" t="s">
        <v>45097</v>
      </c>
      <c r="S1882" t="s">
        <v>45222</v>
      </c>
      <c r="T1882" t="s">
        <v>47100</v>
      </c>
      <c r="U1882" t="s">
        <v>49083</v>
      </c>
      <c r="W1882" t="s">
        <v>42269</v>
      </c>
      <c r="X1882" t="s">
        <v>45098</v>
      </c>
    </row>
    <row r="1883" spans="1:24">
      <c r="A1883">
        <f>HYPERLINK("https://www.philgeps.gov.ph/GEPSNONPILOT/Tender/SplashBidNoticeAbstractUI.aspx?menuIndex=3&amp;refID=7046461&amp;Result=3","7046461")</f>
        <v>0</v>
      </c>
      <c r="B1883" t="s">
        <v>89</v>
      </c>
      <c r="C1883" t="s">
        <v>5006</v>
      </c>
      <c r="D1883" t="s">
        <v>18059</v>
      </c>
      <c r="E1883" t="s">
        <v>19838</v>
      </c>
      <c r="F1883" t="s">
        <v>31574</v>
      </c>
      <c r="G1883" t="s">
        <v>31582</v>
      </c>
      <c r="H1883" t="s">
        <v>31590</v>
      </c>
      <c r="I1883" t="s">
        <v>6800</v>
      </c>
      <c r="J1883" t="s">
        <v>33077</v>
      </c>
      <c r="K1883" t="s">
        <v>41184</v>
      </c>
      <c r="M1883" t="s">
        <v>41573</v>
      </c>
      <c r="N1883" t="s">
        <v>45095</v>
      </c>
      <c r="O1883" t="s">
        <v>45096</v>
      </c>
      <c r="P1883">
        <v>0</v>
      </c>
      <c r="Q1883">
        <v>0</v>
      </c>
      <c r="R1883" t="s">
        <v>45097</v>
      </c>
      <c r="S1883" t="s">
        <v>45222</v>
      </c>
      <c r="T1883" t="s">
        <v>46937</v>
      </c>
      <c r="U1883" t="s">
        <v>49035</v>
      </c>
      <c r="W1883" t="s">
        <v>41573</v>
      </c>
      <c r="X1883" t="s">
        <v>45098</v>
      </c>
    </row>
    <row r="1884" spans="1:24">
      <c r="A1884">
        <f>HYPERLINK("https://www.philgeps.gov.ph/GEPSNONPILOT/Tender/SplashBidNoticeAbstractUI.aspx?menuIndex=3&amp;refID=7046488&amp;Result=3","7046488")</f>
        <v>0</v>
      </c>
      <c r="B1884" t="s">
        <v>423</v>
      </c>
      <c r="C1884" t="s">
        <v>5007</v>
      </c>
      <c r="D1884" t="s">
        <v>18092</v>
      </c>
      <c r="E1884" t="s">
        <v>19839</v>
      </c>
      <c r="F1884" t="s">
        <v>31574</v>
      </c>
      <c r="G1884" t="s">
        <v>31581</v>
      </c>
      <c r="H1884" t="s">
        <v>31590</v>
      </c>
      <c r="I1884" t="s">
        <v>31630</v>
      </c>
      <c r="J1884" t="s">
        <v>31950</v>
      </c>
      <c r="K1884" t="s">
        <v>41193</v>
      </c>
      <c r="M1884" t="s">
        <v>41915</v>
      </c>
      <c r="N1884" t="s">
        <v>45095</v>
      </c>
      <c r="O1884" t="s">
        <v>45096</v>
      </c>
      <c r="P1884">
        <v>0</v>
      </c>
      <c r="Q1884">
        <v>0</v>
      </c>
      <c r="R1884" t="s">
        <v>45097</v>
      </c>
      <c r="S1884" t="s">
        <v>45222</v>
      </c>
      <c r="T1884" t="s">
        <v>47008</v>
      </c>
      <c r="U1884" t="s">
        <v>49084</v>
      </c>
      <c r="W1884" t="s">
        <v>41915</v>
      </c>
      <c r="X1884" t="s">
        <v>45098</v>
      </c>
    </row>
    <row r="1885" spans="1:24">
      <c r="A1885">
        <f>HYPERLINK("https://www.philgeps.gov.ph/GEPSNONPILOT/Tender/SplashBidNoticeAbstractUI.aspx?menuIndex=3&amp;refID=7046482&amp;Result=3","7046482")</f>
        <v>0</v>
      </c>
      <c r="B1885" t="s">
        <v>724</v>
      </c>
      <c r="C1885" t="s">
        <v>5008</v>
      </c>
      <c r="D1885" t="s">
        <v>18027</v>
      </c>
      <c r="E1885" t="s">
        <v>19840</v>
      </c>
      <c r="F1885" t="s">
        <v>31574</v>
      </c>
      <c r="G1885" t="s">
        <v>31582</v>
      </c>
      <c r="H1885" t="s">
        <v>31591</v>
      </c>
      <c r="I1885" t="s">
        <v>8822</v>
      </c>
      <c r="J1885" t="s">
        <v>33078</v>
      </c>
      <c r="K1885" t="s">
        <v>41186</v>
      </c>
      <c r="M1885" t="s">
        <v>42234</v>
      </c>
      <c r="N1885" t="s">
        <v>45095</v>
      </c>
      <c r="O1885" t="s">
        <v>45096</v>
      </c>
      <c r="P1885">
        <v>0</v>
      </c>
      <c r="Q1885">
        <v>0</v>
      </c>
      <c r="R1885" t="s">
        <v>45097</v>
      </c>
      <c r="S1885" t="s">
        <v>45222</v>
      </c>
      <c r="T1885" t="s">
        <v>46935</v>
      </c>
      <c r="U1885" t="s">
        <v>49085</v>
      </c>
      <c r="W1885" t="s">
        <v>42234</v>
      </c>
      <c r="X1885" t="s">
        <v>45098</v>
      </c>
    </row>
    <row r="1886" spans="1:24">
      <c r="A1886">
        <f>HYPERLINK("https://www.philgeps.gov.ph/GEPSNONPILOT/Tender/SplashBidNoticeAbstractUI.aspx?menuIndex=3&amp;refID=7046486&amp;Result=3","7046486")</f>
        <v>0</v>
      </c>
      <c r="B1886" t="s">
        <v>247</v>
      </c>
      <c r="C1886" t="s">
        <v>5009</v>
      </c>
      <c r="D1886" t="s">
        <v>18072</v>
      </c>
      <c r="E1886" t="s">
        <v>19841</v>
      </c>
      <c r="F1886" t="s">
        <v>31575</v>
      </c>
      <c r="G1886" t="s">
        <v>31583</v>
      </c>
      <c r="H1886" t="s">
        <v>31590</v>
      </c>
      <c r="I1886" t="s">
        <v>31654</v>
      </c>
      <c r="J1886" t="s">
        <v>33079</v>
      </c>
      <c r="K1886" t="s">
        <v>41190</v>
      </c>
      <c r="M1886" t="s">
        <v>41733</v>
      </c>
      <c r="N1886" t="s">
        <v>45095</v>
      </c>
      <c r="O1886" t="s">
        <v>45096</v>
      </c>
      <c r="P1886">
        <v>0</v>
      </c>
      <c r="Q1886">
        <v>0</v>
      </c>
      <c r="R1886" t="s">
        <v>45097</v>
      </c>
      <c r="S1886" t="s">
        <v>45222</v>
      </c>
      <c r="T1886" t="s">
        <v>46988</v>
      </c>
      <c r="U1886" t="s">
        <v>49086</v>
      </c>
      <c r="W1886" t="s">
        <v>41733</v>
      </c>
      <c r="X1886" t="s">
        <v>45098</v>
      </c>
    </row>
    <row r="1887" spans="1:24">
      <c r="A1887">
        <f>HYPERLINK("https://www.philgeps.gov.ph/GEPSNONPILOT/Tender/SplashBidNoticeAbstractUI.aspx?menuIndex=3&amp;refID=7046496&amp;Result=3","7046496")</f>
        <v>0</v>
      </c>
      <c r="B1887" t="s">
        <v>70</v>
      </c>
      <c r="C1887" t="s">
        <v>5010</v>
      </c>
      <c r="E1887" t="s">
        <v>18754</v>
      </c>
      <c r="F1887" t="s">
        <v>31574</v>
      </c>
      <c r="G1887" t="s">
        <v>31583</v>
      </c>
      <c r="H1887" t="s">
        <v>31590</v>
      </c>
      <c r="I1887" t="s">
        <v>31607</v>
      </c>
      <c r="J1887" t="s">
        <v>32359</v>
      </c>
      <c r="K1887" t="s">
        <v>41184</v>
      </c>
      <c r="M1887" t="s">
        <v>41554</v>
      </c>
      <c r="N1887" t="s">
        <v>45095</v>
      </c>
      <c r="O1887" t="s">
        <v>45096</v>
      </c>
      <c r="P1887">
        <v>0</v>
      </c>
      <c r="Q1887">
        <v>0</v>
      </c>
      <c r="R1887" t="s">
        <v>45097</v>
      </c>
      <c r="S1887" t="s">
        <v>45222</v>
      </c>
      <c r="T1887" t="s">
        <v>46936</v>
      </c>
      <c r="U1887" t="s">
        <v>49087</v>
      </c>
      <c r="W1887" t="s">
        <v>41554</v>
      </c>
      <c r="X1887" t="s">
        <v>45098</v>
      </c>
    </row>
    <row r="1888" spans="1:24">
      <c r="A1888">
        <f>HYPERLINK("https://www.philgeps.gov.ph/GEPSNONPILOT/Tender/SplashBidNoticeAbstractUI.aspx?menuIndex=3&amp;refID=7046489&amp;Result=3","7046489")</f>
        <v>0</v>
      </c>
      <c r="B1888" t="s">
        <v>746</v>
      </c>
      <c r="C1888" t="s">
        <v>5011</v>
      </c>
      <c r="D1888" t="s">
        <v>18053</v>
      </c>
      <c r="E1888" t="s">
        <v>18788</v>
      </c>
      <c r="F1888" t="s">
        <v>31574</v>
      </c>
      <c r="G1888" t="s">
        <v>31582</v>
      </c>
      <c r="H1888" t="s">
        <v>31591</v>
      </c>
      <c r="I1888" t="s">
        <v>8822</v>
      </c>
      <c r="J1888" t="s">
        <v>31730</v>
      </c>
      <c r="K1888" t="s">
        <v>41189</v>
      </c>
      <c r="M1888" t="s">
        <v>42260</v>
      </c>
      <c r="N1888" t="s">
        <v>45095</v>
      </c>
      <c r="O1888" t="s">
        <v>45096</v>
      </c>
      <c r="P1888">
        <v>0</v>
      </c>
      <c r="Q1888">
        <v>0</v>
      </c>
      <c r="R1888" t="s">
        <v>45097</v>
      </c>
      <c r="S1888" t="s">
        <v>45222</v>
      </c>
      <c r="T1888" t="s">
        <v>46919</v>
      </c>
      <c r="U1888" t="s">
        <v>49088</v>
      </c>
      <c r="W1888" t="s">
        <v>42260</v>
      </c>
      <c r="X1888" t="s">
        <v>45098</v>
      </c>
    </row>
    <row r="1889" spans="1:24">
      <c r="A1889">
        <f>HYPERLINK("https://www.philgeps.gov.ph/GEPSNONPILOT/Tender/SplashBidNoticeAbstractUI.aspx?menuIndex=3&amp;refID=7046495&amp;Result=3","7046495")</f>
        <v>0</v>
      </c>
      <c r="B1889" t="s">
        <v>756</v>
      </c>
      <c r="C1889" t="s">
        <v>5012</v>
      </c>
      <c r="D1889" t="s">
        <v>18102</v>
      </c>
      <c r="E1889" t="s">
        <v>19842</v>
      </c>
      <c r="F1889" t="s">
        <v>31574</v>
      </c>
      <c r="G1889" t="s">
        <v>31581</v>
      </c>
      <c r="H1889" t="s">
        <v>31591</v>
      </c>
      <c r="I1889" t="s">
        <v>31638</v>
      </c>
      <c r="J1889" t="s">
        <v>33080</v>
      </c>
      <c r="K1889" t="s">
        <v>41201</v>
      </c>
      <c r="M1889" t="s">
        <v>42270</v>
      </c>
      <c r="N1889" t="s">
        <v>45095</v>
      </c>
      <c r="O1889" t="s">
        <v>45096</v>
      </c>
      <c r="P1889">
        <v>0</v>
      </c>
      <c r="Q1889">
        <v>0</v>
      </c>
      <c r="R1889" t="s">
        <v>45097</v>
      </c>
      <c r="S1889" t="s">
        <v>45222</v>
      </c>
      <c r="T1889" t="s">
        <v>46910</v>
      </c>
      <c r="U1889" t="s">
        <v>49089</v>
      </c>
      <c r="W1889" t="s">
        <v>42270</v>
      </c>
      <c r="X1889" t="s">
        <v>45098</v>
      </c>
    </row>
    <row r="1890" spans="1:24">
      <c r="A1890">
        <f>HYPERLINK("https://www.philgeps.gov.ph/GEPSNONPILOT/Tender/SplashBidNoticeAbstractUI.aspx?menuIndex=3&amp;refID=7046466&amp;Result=3","7046466")</f>
        <v>0</v>
      </c>
      <c r="B1890" t="s">
        <v>722</v>
      </c>
      <c r="C1890" t="s">
        <v>5013</v>
      </c>
      <c r="D1890" t="s">
        <v>18031</v>
      </c>
      <c r="E1890" t="s">
        <v>19843</v>
      </c>
      <c r="F1890" t="s">
        <v>31574</v>
      </c>
      <c r="G1890" t="s">
        <v>31584</v>
      </c>
      <c r="H1890" t="s">
        <v>31590</v>
      </c>
      <c r="I1890" t="s">
        <v>5717</v>
      </c>
      <c r="J1890" t="s">
        <v>33081</v>
      </c>
      <c r="K1890" t="s">
        <v>41193</v>
      </c>
      <c r="M1890" t="s">
        <v>42232</v>
      </c>
      <c r="N1890" t="s">
        <v>45095</v>
      </c>
      <c r="O1890" t="s">
        <v>45096</v>
      </c>
      <c r="P1890">
        <v>0</v>
      </c>
      <c r="Q1890">
        <v>0</v>
      </c>
      <c r="R1890" t="s">
        <v>45097</v>
      </c>
      <c r="S1890" t="s">
        <v>45222</v>
      </c>
      <c r="T1890" t="s">
        <v>46961</v>
      </c>
      <c r="U1890" t="s">
        <v>49090</v>
      </c>
      <c r="W1890" t="s">
        <v>42232</v>
      </c>
      <c r="X1890" t="s">
        <v>45098</v>
      </c>
    </row>
    <row r="1891" spans="1:24">
      <c r="A1891">
        <f>HYPERLINK("https://www.philgeps.gov.ph/GEPSNONPILOT/Tender/SplashBidNoticeAbstractUI.aspx?menuIndex=3&amp;refID=7046492&amp;Result=3","7046492")</f>
        <v>0</v>
      </c>
      <c r="B1891" t="s">
        <v>757</v>
      </c>
      <c r="C1891" t="s">
        <v>5014</v>
      </c>
      <c r="D1891" t="s">
        <v>18095</v>
      </c>
      <c r="E1891" t="s">
        <v>19844</v>
      </c>
      <c r="F1891" t="s">
        <v>31574</v>
      </c>
      <c r="G1891" t="s">
        <v>31583</v>
      </c>
      <c r="H1891" t="s">
        <v>31592</v>
      </c>
      <c r="I1891" t="s">
        <v>4046</v>
      </c>
      <c r="J1891" t="s">
        <v>33082</v>
      </c>
      <c r="K1891" t="s">
        <v>41193</v>
      </c>
      <c r="M1891" t="s">
        <v>42271</v>
      </c>
      <c r="N1891" t="s">
        <v>45095</v>
      </c>
      <c r="O1891" t="s">
        <v>45096</v>
      </c>
      <c r="P1891">
        <v>0</v>
      </c>
      <c r="Q1891">
        <v>0</v>
      </c>
      <c r="R1891" t="s">
        <v>45097</v>
      </c>
      <c r="S1891" t="s">
        <v>45222</v>
      </c>
      <c r="T1891" t="s">
        <v>46973</v>
      </c>
      <c r="U1891" t="s">
        <v>49091</v>
      </c>
      <c r="W1891" t="s">
        <v>42271</v>
      </c>
      <c r="X1891" t="s">
        <v>45098</v>
      </c>
    </row>
    <row r="1892" spans="1:24">
      <c r="A1892">
        <f>HYPERLINK("https://www.philgeps.gov.ph/GEPSNONPILOT/Tender/SplashBidNoticeAbstractUI.aspx?menuIndex=3&amp;refID=7046494&amp;Result=3","7046494")</f>
        <v>0</v>
      </c>
      <c r="B1892" t="s">
        <v>758</v>
      </c>
      <c r="C1892" t="s">
        <v>5015</v>
      </c>
      <c r="D1892" t="s">
        <v>18025</v>
      </c>
      <c r="E1892" t="s">
        <v>19845</v>
      </c>
      <c r="F1892" t="s">
        <v>31574</v>
      </c>
      <c r="G1892" t="s">
        <v>31581</v>
      </c>
      <c r="H1892" t="s">
        <v>31590</v>
      </c>
      <c r="I1892" t="s">
        <v>3487</v>
      </c>
      <c r="J1892" t="s">
        <v>33083</v>
      </c>
      <c r="K1892" t="s">
        <v>41196</v>
      </c>
      <c r="M1892" t="s">
        <v>42272</v>
      </c>
      <c r="N1892" t="s">
        <v>45095</v>
      </c>
      <c r="O1892" t="s">
        <v>45096</v>
      </c>
      <c r="P1892">
        <v>0</v>
      </c>
      <c r="Q1892">
        <v>0</v>
      </c>
      <c r="R1892" t="s">
        <v>45097</v>
      </c>
      <c r="S1892" t="s">
        <v>45222</v>
      </c>
      <c r="T1892" t="s">
        <v>46910</v>
      </c>
      <c r="U1892" t="s">
        <v>49092</v>
      </c>
      <c r="W1892" t="s">
        <v>42272</v>
      </c>
      <c r="X1892" t="s">
        <v>45098</v>
      </c>
    </row>
    <row r="1893" spans="1:24">
      <c r="A1893">
        <f>HYPERLINK("https://www.philgeps.gov.ph/GEPSNONPILOT/Tender/SplashBidNoticeAbstractUI.aspx?menuIndex=3&amp;refID=7046483&amp;Result=3","7046483")</f>
        <v>0</v>
      </c>
      <c r="B1893" t="s">
        <v>671</v>
      </c>
      <c r="C1893" t="s">
        <v>5016</v>
      </c>
      <c r="D1893" t="s">
        <v>18022</v>
      </c>
      <c r="E1893" t="s">
        <v>19846</v>
      </c>
      <c r="F1893" t="s">
        <v>31574</v>
      </c>
      <c r="G1893" t="s">
        <v>31581</v>
      </c>
      <c r="H1893" t="s">
        <v>31590</v>
      </c>
      <c r="I1893" t="s">
        <v>5717</v>
      </c>
      <c r="J1893" t="s">
        <v>33084</v>
      </c>
      <c r="K1893" t="s">
        <v>41193</v>
      </c>
      <c r="M1893" t="s">
        <v>42177</v>
      </c>
      <c r="N1893" t="s">
        <v>45095</v>
      </c>
      <c r="O1893" t="s">
        <v>45096</v>
      </c>
      <c r="P1893">
        <v>0</v>
      </c>
      <c r="Q1893">
        <v>0</v>
      </c>
      <c r="R1893" t="s">
        <v>45097</v>
      </c>
      <c r="S1893" t="s">
        <v>45222</v>
      </c>
      <c r="T1893" t="s">
        <v>47003</v>
      </c>
      <c r="U1893" t="s">
        <v>49093</v>
      </c>
      <c r="W1893" t="s">
        <v>42177</v>
      </c>
      <c r="X1893" t="s">
        <v>45098</v>
      </c>
    </row>
    <row r="1894" spans="1:24">
      <c r="A1894">
        <f>HYPERLINK("https://www.philgeps.gov.ph/GEPSNONPILOT/Tender/SplashBidNoticeAbstractUI.aspx?menuIndex=3&amp;refID=7046478&amp;Result=3","7046478")</f>
        <v>0</v>
      </c>
      <c r="B1894" t="s">
        <v>351</v>
      </c>
      <c r="C1894" t="s">
        <v>5017</v>
      </c>
      <c r="D1894" t="s">
        <v>18050</v>
      </c>
      <c r="E1894" t="s">
        <v>19847</v>
      </c>
      <c r="F1894" t="s">
        <v>31574</v>
      </c>
      <c r="G1894" t="s">
        <v>31581</v>
      </c>
      <c r="H1894" t="s">
        <v>31590</v>
      </c>
      <c r="I1894" t="s">
        <v>31614</v>
      </c>
      <c r="J1894" t="s">
        <v>33085</v>
      </c>
      <c r="K1894" t="s">
        <v>41184</v>
      </c>
      <c r="M1894" t="s">
        <v>41839</v>
      </c>
      <c r="N1894" t="s">
        <v>45095</v>
      </c>
      <c r="O1894" t="s">
        <v>45096</v>
      </c>
      <c r="P1894">
        <v>0</v>
      </c>
      <c r="Q1894">
        <v>0</v>
      </c>
      <c r="R1894" t="s">
        <v>45097</v>
      </c>
      <c r="S1894" t="s">
        <v>45222</v>
      </c>
      <c r="T1894" t="s">
        <v>47002</v>
      </c>
      <c r="U1894" t="s">
        <v>49094</v>
      </c>
      <c r="W1894" t="s">
        <v>41839</v>
      </c>
      <c r="X1894" t="s">
        <v>45098</v>
      </c>
    </row>
    <row r="1895" spans="1:24">
      <c r="A1895">
        <f>HYPERLINK("https://www.philgeps.gov.ph/GEPSNONPILOT/Tender/SplashBidNoticeAbstractUI.aspx?menuIndex=3&amp;refID=7046481&amp;Result=3","7046481")</f>
        <v>0</v>
      </c>
      <c r="B1895" t="s">
        <v>218</v>
      </c>
      <c r="C1895" t="s">
        <v>5018</v>
      </c>
      <c r="D1895" t="s">
        <v>18070</v>
      </c>
      <c r="E1895" t="s">
        <v>19848</v>
      </c>
      <c r="F1895" t="s">
        <v>31574</v>
      </c>
      <c r="G1895" t="s">
        <v>31583</v>
      </c>
      <c r="H1895" t="s">
        <v>31590</v>
      </c>
      <c r="I1895" t="s">
        <v>3487</v>
      </c>
      <c r="J1895" t="s">
        <v>33086</v>
      </c>
      <c r="K1895" t="s">
        <v>41193</v>
      </c>
      <c r="M1895" t="s">
        <v>41703</v>
      </c>
      <c r="N1895" t="s">
        <v>45095</v>
      </c>
      <c r="O1895" t="s">
        <v>45096</v>
      </c>
      <c r="P1895">
        <v>0</v>
      </c>
      <c r="Q1895">
        <v>0</v>
      </c>
      <c r="R1895" t="s">
        <v>45097</v>
      </c>
      <c r="S1895" t="s">
        <v>45222</v>
      </c>
      <c r="T1895" t="s">
        <v>46957</v>
      </c>
      <c r="U1895" t="s">
        <v>47880</v>
      </c>
      <c r="W1895" t="s">
        <v>41703</v>
      </c>
      <c r="X1895" t="s">
        <v>45098</v>
      </c>
    </row>
    <row r="1896" spans="1:24">
      <c r="A1896">
        <f>HYPERLINK("https://www.philgeps.gov.ph/GEPSNONPILOT/Tender/SplashBidNoticeAbstractUI.aspx?menuIndex=3&amp;refID=7046479&amp;Result=3","7046479")</f>
        <v>0</v>
      </c>
      <c r="B1896" t="s">
        <v>759</v>
      </c>
      <c r="C1896" t="s">
        <v>5019</v>
      </c>
      <c r="E1896" t="s">
        <v>19849</v>
      </c>
      <c r="F1896" t="s">
        <v>31574</v>
      </c>
      <c r="G1896" t="s">
        <v>31581</v>
      </c>
      <c r="H1896" t="s">
        <v>31590</v>
      </c>
      <c r="I1896" t="s">
        <v>4354</v>
      </c>
      <c r="J1896" t="s">
        <v>33087</v>
      </c>
      <c r="K1896" t="s">
        <v>41184</v>
      </c>
      <c r="M1896" t="s">
        <v>42273</v>
      </c>
      <c r="N1896" t="s">
        <v>45095</v>
      </c>
      <c r="O1896" t="s">
        <v>45096</v>
      </c>
      <c r="P1896">
        <v>0</v>
      </c>
      <c r="Q1896">
        <v>0</v>
      </c>
      <c r="R1896" t="s">
        <v>45097</v>
      </c>
      <c r="S1896" t="s">
        <v>45222</v>
      </c>
      <c r="T1896" t="s">
        <v>46904</v>
      </c>
      <c r="U1896" t="s">
        <v>49095</v>
      </c>
      <c r="V1896" t="s">
        <v>60035</v>
      </c>
      <c r="W1896" t="s">
        <v>42273</v>
      </c>
      <c r="X1896" t="s">
        <v>45098</v>
      </c>
    </row>
    <row r="1897" spans="1:24">
      <c r="A1897">
        <f>HYPERLINK("https://www.philgeps.gov.ph/GEPSNONPILOT/Tender/SplashBidNoticeAbstractUI.aspx?menuIndex=3&amp;refID=7046491&amp;Result=3","7046491")</f>
        <v>0</v>
      </c>
      <c r="B1897" t="s">
        <v>760</v>
      </c>
      <c r="C1897" t="s">
        <v>5020</v>
      </c>
      <c r="D1897" t="s">
        <v>18073</v>
      </c>
      <c r="E1897" t="s">
        <v>19850</v>
      </c>
      <c r="F1897" t="s">
        <v>31574</v>
      </c>
      <c r="G1897" t="s">
        <v>31581</v>
      </c>
      <c r="H1897" t="s">
        <v>31590</v>
      </c>
      <c r="I1897" t="s">
        <v>31620</v>
      </c>
      <c r="J1897" t="s">
        <v>33088</v>
      </c>
      <c r="K1897" t="s">
        <v>41186</v>
      </c>
      <c r="M1897" t="s">
        <v>42274</v>
      </c>
      <c r="N1897" t="s">
        <v>45095</v>
      </c>
      <c r="O1897" t="s">
        <v>45096</v>
      </c>
      <c r="P1897">
        <v>0</v>
      </c>
      <c r="Q1897">
        <v>0</v>
      </c>
      <c r="R1897" t="s">
        <v>45097</v>
      </c>
      <c r="S1897" t="s">
        <v>45222</v>
      </c>
      <c r="T1897" t="s">
        <v>46980</v>
      </c>
      <c r="U1897" t="s">
        <v>49096</v>
      </c>
      <c r="W1897" t="s">
        <v>42274</v>
      </c>
      <c r="X1897" t="s">
        <v>45098</v>
      </c>
    </row>
    <row r="1898" spans="1:24">
      <c r="A1898">
        <f>HYPERLINK("https://www.philgeps.gov.ph/GEPSNONPILOT/Tender/SplashBidNoticeAbstractUI.aspx?menuIndex=3&amp;refID=7046477&amp;Result=3","7046477")</f>
        <v>0</v>
      </c>
      <c r="B1898" t="s">
        <v>428</v>
      </c>
      <c r="C1898" t="s">
        <v>5021</v>
      </c>
      <c r="D1898" t="s">
        <v>18037</v>
      </c>
      <c r="E1898" t="s">
        <v>19851</v>
      </c>
      <c r="F1898" t="s">
        <v>31574</v>
      </c>
      <c r="G1898" t="s">
        <v>31581</v>
      </c>
      <c r="H1898" t="s">
        <v>31590</v>
      </c>
      <c r="I1898" t="s">
        <v>3489</v>
      </c>
      <c r="J1898" t="s">
        <v>33089</v>
      </c>
      <c r="K1898" t="s">
        <v>41196</v>
      </c>
      <c r="M1898" t="s">
        <v>41921</v>
      </c>
      <c r="N1898" t="s">
        <v>45095</v>
      </c>
      <c r="O1898" t="s">
        <v>45096</v>
      </c>
      <c r="P1898">
        <v>0</v>
      </c>
      <c r="Q1898">
        <v>0</v>
      </c>
      <c r="R1898" t="s">
        <v>45097</v>
      </c>
      <c r="S1898" t="s">
        <v>45222</v>
      </c>
      <c r="T1898" t="s">
        <v>46918</v>
      </c>
      <c r="U1898" t="s">
        <v>49097</v>
      </c>
      <c r="W1898" t="s">
        <v>41921</v>
      </c>
      <c r="X1898" t="s">
        <v>45098</v>
      </c>
    </row>
    <row r="1899" spans="1:24">
      <c r="A1899">
        <f>HYPERLINK("https://www.philgeps.gov.ph/GEPSNONPILOT/Tender/SplashBidNoticeAbstractUI.aspx?menuIndex=3&amp;refID=7046476&amp;Result=3","7046476")</f>
        <v>0</v>
      </c>
      <c r="B1899" t="s">
        <v>761</v>
      </c>
      <c r="C1899" t="s">
        <v>5022</v>
      </c>
      <c r="D1899" t="s">
        <v>18056</v>
      </c>
      <c r="E1899" t="s">
        <v>19852</v>
      </c>
      <c r="F1899" t="s">
        <v>31574</v>
      </c>
      <c r="G1899" t="s">
        <v>31581</v>
      </c>
      <c r="H1899" t="s">
        <v>31590</v>
      </c>
      <c r="I1899" t="s">
        <v>5717</v>
      </c>
      <c r="J1899" t="s">
        <v>33090</v>
      </c>
      <c r="K1899" t="s">
        <v>41190</v>
      </c>
      <c r="M1899" t="s">
        <v>42275</v>
      </c>
      <c r="N1899" t="s">
        <v>45095</v>
      </c>
      <c r="O1899" t="s">
        <v>45096</v>
      </c>
      <c r="P1899">
        <v>0</v>
      </c>
      <c r="Q1899">
        <v>0</v>
      </c>
      <c r="R1899" t="s">
        <v>45097</v>
      </c>
      <c r="S1899" t="s">
        <v>45222</v>
      </c>
      <c r="T1899" t="s">
        <v>46949</v>
      </c>
      <c r="U1899" t="s">
        <v>49098</v>
      </c>
      <c r="W1899" t="s">
        <v>42275</v>
      </c>
      <c r="X1899" t="s">
        <v>45098</v>
      </c>
    </row>
    <row r="1900" spans="1:24">
      <c r="A1900">
        <f>HYPERLINK("https://www.philgeps.gov.ph/GEPSNONPILOT/Tender/SplashBidNoticeAbstractUI.aspx?menuIndex=3&amp;refID=7046459&amp;Result=3","7046459")</f>
        <v>0</v>
      </c>
      <c r="B1900" t="s">
        <v>762</v>
      </c>
      <c r="C1900" t="s">
        <v>4999</v>
      </c>
      <c r="D1900" t="s">
        <v>18027</v>
      </c>
      <c r="E1900" t="s">
        <v>19831</v>
      </c>
      <c r="F1900" t="s">
        <v>31574</v>
      </c>
      <c r="G1900" t="s">
        <v>31582</v>
      </c>
      <c r="H1900" t="s">
        <v>31590</v>
      </c>
      <c r="I1900" t="s">
        <v>3487</v>
      </c>
      <c r="J1900" t="s">
        <v>33091</v>
      </c>
      <c r="K1900" t="s">
        <v>41184</v>
      </c>
      <c r="M1900" t="s">
        <v>42276</v>
      </c>
      <c r="N1900" t="s">
        <v>45095</v>
      </c>
      <c r="O1900" t="s">
        <v>45096</v>
      </c>
      <c r="P1900">
        <v>0</v>
      </c>
      <c r="Q1900">
        <v>0</v>
      </c>
      <c r="R1900" t="s">
        <v>45097</v>
      </c>
      <c r="S1900" t="s">
        <v>45222</v>
      </c>
      <c r="T1900" t="s">
        <v>47101</v>
      </c>
      <c r="U1900" t="s">
        <v>49099</v>
      </c>
      <c r="W1900" t="s">
        <v>42276</v>
      </c>
      <c r="X1900" t="s">
        <v>45098</v>
      </c>
    </row>
    <row r="1901" spans="1:24">
      <c r="A1901">
        <f>HYPERLINK("https://www.philgeps.gov.ph/GEPSNONPILOT/Tender/SplashBidNoticeAbstractUI.aspx?menuIndex=3&amp;refID=7046493&amp;Result=3","7046493")</f>
        <v>0</v>
      </c>
      <c r="B1901" t="s">
        <v>33</v>
      </c>
      <c r="C1901" t="s">
        <v>5023</v>
      </c>
      <c r="D1901" t="s">
        <v>18037</v>
      </c>
      <c r="E1901" t="s">
        <v>19853</v>
      </c>
      <c r="F1901" t="s">
        <v>31574</v>
      </c>
      <c r="G1901" t="s">
        <v>31581</v>
      </c>
      <c r="H1901" t="s">
        <v>31590</v>
      </c>
      <c r="I1901" t="s">
        <v>31604</v>
      </c>
      <c r="J1901" t="s">
        <v>33092</v>
      </c>
      <c r="K1901" t="s">
        <v>41184</v>
      </c>
      <c r="M1901" t="s">
        <v>41515</v>
      </c>
      <c r="N1901" t="s">
        <v>45095</v>
      </c>
      <c r="O1901" t="s">
        <v>45096</v>
      </c>
      <c r="P1901">
        <v>0</v>
      </c>
      <c r="Q1901">
        <v>0</v>
      </c>
      <c r="R1901" t="s">
        <v>45097</v>
      </c>
      <c r="S1901" t="s">
        <v>45222</v>
      </c>
      <c r="T1901" t="s">
        <v>46911</v>
      </c>
      <c r="U1901" t="s">
        <v>49100</v>
      </c>
      <c r="W1901" t="s">
        <v>41515</v>
      </c>
      <c r="X1901" t="s">
        <v>45098</v>
      </c>
    </row>
    <row r="1902" spans="1:24">
      <c r="A1902">
        <f>HYPERLINK("https://www.philgeps.gov.ph/GEPSNONPILOT/Tender/SplashBidNoticeAbstractUI.aspx?menuIndex=3&amp;refID=7046502&amp;Result=3","7046502")</f>
        <v>0</v>
      </c>
      <c r="B1902" t="s">
        <v>725</v>
      </c>
      <c r="C1902" t="s">
        <v>5024</v>
      </c>
      <c r="D1902" t="s">
        <v>18092</v>
      </c>
      <c r="E1902" t="s">
        <v>19854</v>
      </c>
      <c r="F1902" t="s">
        <v>31574</v>
      </c>
      <c r="G1902" t="s">
        <v>31582</v>
      </c>
      <c r="H1902" t="s">
        <v>31590</v>
      </c>
      <c r="I1902" t="s">
        <v>31600</v>
      </c>
      <c r="J1902" t="s">
        <v>33093</v>
      </c>
      <c r="K1902" t="s">
        <v>41193</v>
      </c>
      <c r="M1902" t="s">
        <v>42235</v>
      </c>
      <c r="N1902" t="s">
        <v>45095</v>
      </c>
      <c r="O1902" t="s">
        <v>45096</v>
      </c>
      <c r="P1902">
        <v>0</v>
      </c>
      <c r="Q1902">
        <v>0</v>
      </c>
      <c r="R1902" t="s">
        <v>45097</v>
      </c>
      <c r="S1902" t="s">
        <v>45222</v>
      </c>
      <c r="T1902" t="s">
        <v>46937</v>
      </c>
      <c r="U1902" t="s">
        <v>49101</v>
      </c>
      <c r="V1902" t="s">
        <v>60036</v>
      </c>
      <c r="W1902" t="s">
        <v>42235</v>
      </c>
      <c r="X1902" t="s">
        <v>45098</v>
      </c>
    </row>
    <row r="1903" spans="1:24">
      <c r="A1903">
        <f>HYPERLINK("https://www.philgeps.gov.ph/GEPSNONPILOT/Tender/SplashBidNoticeAbstractUI.aspx?menuIndex=3&amp;refID=7046516&amp;Result=3","7046516")</f>
        <v>0</v>
      </c>
      <c r="B1903" t="s">
        <v>763</v>
      </c>
      <c r="C1903" t="s">
        <v>5025</v>
      </c>
      <c r="D1903" t="s">
        <v>18087</v>
      </c>
      <c r="E1903" t="s">
        <v>19855</v>
      </c>
      <c r="F1903" t="s">
        <v>31574</v>
      </c>
      <c r="G1903" t="s">
        <v>31581</v>
      </c>
      <c r="H1903" t="s">
        <v>31590</v>
      </c>
      <c r="I1903" t="s">
        <v>31678</v>
      </c>
      <c r="J1903" t="s">
        <v>32707</v>
      </c>
      <c r="K1903" t="s">
        <v>41186</v>
      </c>
      <c r="M1903" t="s">
        <v>42277</v>
      </c>
      <c r="N1903" t="s">
        <v>45095</v>
      </c>
      <c r="O1903" t="s">
        <v>45096</v>
      </c>
      <c r="P1903">
        <v>0</v>
      </c>
      <c r="Q1903">
        <v>0</v>
      </c>
      <c r="R1903" t="s">
        <v>45097</v>
      </c>
      <c r="S1903" t="s">
        <v>45222</v>
      </c>
      <c r="T1903" t="s">
        <v>46934</v>
      </c>
      <c r="U1903" t="s">
        <v>49102</v>
      </c>
      <c r="W1903" t="s">
        <v>42277</v>
      </c>
      <c r="X1903" t="s">
        <v>45098</v>
      </c>
    </row>
    <row r="1904" spans="1:24">
      <c r="A1904">
        <f>HYPERLINK("https://www.philgeps.gov.ph/GEPSNONPILOT/Tender/SplashBidNoticeAbstractUI.aspx?menuIndex=3&amp;refID=7046501&amp;Result=3","7046501")</f>
        <v>0</v>
      </c>
      <c r="B1904" t="s">
        <v>532</v>
      </c>
      <c r="C1904" t="s">
        <v>5026</v>
      </c>
      <c r="D1904" t="s">
        <v>18027</v>
      </c>
      <c r="E1904" t="s">
        <v>18368</v>
      </c>
      <c r="F1904" t="s">
        <v>31574</v>
      </c>
      <c r="G1904" t="s">
        <v>31583</v>
      </c>
      <c r="H1904" t="s">
        <v>31590</v>
      </c>
      <c r="I1904" t="s">
        <v>6800</v>
      </c>
      <c r="J1904" t="s">
        <v>32318</v>
      </c>
      <c r="K1904" t="s">
        <v>41193</v>
      </c>
      <c r="M1904" t="s">
        <v>42029</v>
      </c>
      <c r="N1904" t="s">
        <v>45095</v>
      </c>
      <c r="O1904" t="s">
        <v>45096</v>
      </c>
      <c r="P1904">
        <v>0</v>
      </c>
      <c r="Q1904">
        <v>0</v>
      </c>
      <c r="R1904" t="s">
        <v>45097</v>
      </c>
      <c r="S1904" t="s">
        <v>45222</v>
      </c>
      <c r="T1904" t="s">
        <v>47067</v>
      </c>
      <c r="U1904" t="s">
        <v>48541</v>
      </c>
      <c r="W1904" t="s">
        <v>42029</v>
      </c>
      <c r="X1904" t="s">
        <v>45098</v>
      </c>
    </row>
    <row r="1905" spans="1:24">
      <c r="A1905">
        <f>HYPERLINK("https://www.philgeps.gov.ph/GEPSNONPILOT/Tender/SplashBidNoticeAbstractUI.aspx?menuIndex=3&amp;refID=7046517&amp;Result=3","7046517")</f>
        <v>0</v>
      </c>
      <c r="B1905" t="s">
        <v>764</v>
      </c>
      <c r="C1905" t="s">
        <v>5027</v>
      </c>
      <c r="D1905" t="s">
        <v>18027</v>
      </c>
      <c r="E1905" t="s">
        <v>19856</v>
      </c>
      <c r="F1905" t="s">
        <v>31574</v>
      </c>
      <c r="G1905" t="s">
        <v>31582</v>
      </c>
      <c r="H1905" t="s">
        <v>31591</v>
      </c>
      <c r="I1905" t="s">
        <v>8822</v>
      </c>
      <c r="J1905" t="s">
        <v>33094</v>
      </c>
      <c r="K1905" t="s">
        <v>41191</v>
      </c>
      <c r="M1905" t="s">
        <v>42278</v>
      </c>
      <c r="N1905" t="s">
        <v>45095</v>
      </c>
      <c r="O1905" t="s">
        <v>45096</v>
      </c>
      <c r="P1905">
        <v>0</v>
      </c>
      <c r="Q1905">
        <v>0</v>
      </c>
      <c r="R1905" t="s">
        <v>45097</v>
      </c>
      <c r="S1905" t="s">
        <v>45222</v>
      </c>
      <c r="T1905" t="s">
        <v>47102</v>
      </c>
      <c r="U1905" t="s">
        <v>49103</v>
      </c>
      <c r="W1905" t="s">
        <v>42278</v>
      </c>
      <c r="X1905" t="s">
        <v>45098</v>
      </c>
    </row>
    <row r="1906" spans="1:24">
      <c r="A1906">
        <f>HYPERLINK("https://www.philgeps.gov.ph/GEPSNONPILOT/Tender/SplashBidNoticeAbstractUI.aspx?menuIndex=3&amp;refID=7046500&amp;Result=3","7046500")</f>
        <v>0</v>
      </c>
      <c r="B1906" t="s">
        <v>753</v>
      </c>
      <c r="C1906" t="s">
        <v>5028</v>
      </c>
      <c r="D1906" t="s">
        <v>18073</v>
      </c>
      <c r="E1906" t="s">
        <v>19857</v>
      </c>
      <c r="F1906" t="s">
        <v>31574</v>
      </c>
      <c r="G1906" t="s">
        <v>31581</v>
      </c>
      <c r="H1906" t="s">
        <v>31590</v>
      </c>
      <c r="I1906" t="s">
        <v>31600</v>
      </c>
      <c r="J1906" t="s">
        <v>31727</v>
      </c>
      <c r="K1906" t="s">
        <v>41211</v>
      </c>
      <c r="M1906" t="s">
        <v>42267</v>
      </c>
      <c r="N1906" t="s">
        <v>45095</v>
      </c>
      <c r="O1906" t="s">
        <v>45096</v>
      </c>
      <c r="P1906">
        <v>0</v>
      </c>
      <c r="Q1906">
        <v>0</v>
      </c>
      <c r="R1906" t="s">
        <v>45097</v>
      </c>
      <c r="S1906" t="s">
        <v>45222</v>
      </c>
      <c r="T1906" t="s">
        <v>46904</v>
      </c>
      <c r="U1906" t="s">
        <v>49104</v>
      </c>
      <c r="W1906" t="s">
        <v>42267</v>
      </c>
      <c r="X1906" t="s">
        <v>45098</v>
      </c>
    </row>
    <row r="1907" spans="1:24">
      <c r="A1907">
        <f>HYPERLINK("https://www.philgeps.gov.ph/GEPSNONPILOT/Tender/SplashBidNoticeAbstractUI.aspx?menuIndex=3&amp;refID=7046513&amp;Result=3","7046513")</f>
        <v>0</v>
      </c>
      <c r="B1907" t="s">
        <v>760</v>
      </c>
      <c r="C1907" t="s">
        <v>5029</v>
      </c>
      <c r="D1907" t="s">
        <v>18073</v>
      </c>
      <c r="E1907" t="s">
        <v>19858</v>
      </c>
      <c r="F1907" t="s">
        <v>31574</v>
      </c>
      <c r="G1907" t="s">
        <v>31581</v>
      </c>
      <c r="H1907" t="s">
        <v>31590</v>
      </c>
      <c r="I1907" t="s">
        <v>31660</v>
      </c>
      <c r="J1907" t="s">
        <v>31890</v>
      </c>
      <c r="K1907" t="s">
        <v>41186</v>
      </c>
      <c r="M1907" t="s">
        <v>42274</v>
      </c>
      <c r="N1907" t="s">
        <v>45095</v>
      </c>
      <c r="O1907" t="s">
        <v>45096</v>
      </c>
      <c r="P1907">
        <v>0</v>
      </c>
      <c r="Q1907">
        <v>0</v>
      </c>
      <c r="R1907" t="s">
        <v>45097</v>
      </c>
      <c r="S1907" t="s">
        <v>45222</v>
      </c>
      <c r="T1907" t="s">
        <v>46980</v>
      </c>
      <c r="U1907" t="s">
        <v>49096</v>
      </c>
      <c r="W1907" t="s">
        <v>42274</v>
      </c>
      <c r="X1907" t="s">
        <v>45098</v>
      </c>
    </row>
    <row r="1908" spans="1:24">
      <c r="A1908">
        <f>HYPERLINK("https://www.philgeps.gov.ph/GEPSNONPILOT/Tender/SplashBidNoticeAbstractUI.aspx?menuIndex=3&amp;refID=7046497&amp;Result=3","7046497")</f>
        <v>0</v>
      </c>
      <c r="B1908" t="s">
        <v>765</v>
      </c>
      <c r="C1908" t="s">
        <v>5030</v>
      </c>
      <c r="D1908" t="s">
        <v>18053</v>
      </c>
      <c r="E1908" t="s">
        <v>18377</v>
      </c>
      <c r="F1908" t="s">
        <v>31574</v>
      </c>
      <c r="G1908" t="s">
        <v>31584</v>
      </c>
      <c r="H1908" t="s">
        <v>31590</v>
      </c>
      <c r="I1908" t="s">
        <v>8258</v>
      </c>
      <c r="J1908" t="s">
        <v>33095</v>
      </c>
      <c r="K1908" t="s">
        <v>41211</v>
      </c>
      <c r="M1908" t="s">
        <v>42279</v>
      </c>
      <c r="N1908" t="s">
        <v>45095</v>
      </c>
      <c r="O1908" t="s">
        <v>45096</v>
      </c>
      <c r="P1908">
        <v>0</v>
      </c>
      <c r="Q1908">
        <v>0</v>
      </c>
      <c r="R1908" t="s">
        <v>45097</v>
      </c>
      <c r="S1908" t="s">
        <v>45222</v>
      </c>
      <c r="T1908" t="s">
        <v>46904</v>
      </c>
      <c r="U1908" t="s">
        <v>49105</v>
      </c>
      <c r="W1908" t="s">
        <v>42279</v>
      </c>
      <c r="X1908" t="s">
        <v>45098</v>
      </c>
    </row>
    <row r="1909" spans="1:24">
      <c r="A1909">
        <f>HYPERLINK("https://www.philgeps.gov.ph/GEPSNONPILOT/Tender/SplashBidNoticeAbstractUI.aspx?menuIndex=3&amp;refID=7046518&amp;Result=3","7046518")</f>
        <v>0</v>
      </c>
      <c r="B1909" t="s">
        <v>766</v>
      </c>
      <c r="C1909" t="s">
        <v>5031</v>
      </c>
      <c r="D1909" t="s">
        <v>18040</v>
      </c>
      <c r="E1909" t="s">
        <v>19859</v>
      </c>
      <c r="F1909" t="s">
        <v>31574</v>
      </c>
      <c r="G1909" t="s">
        <v>31582</v>
      </c>
      <c r="H1909" t="s">
        <v>31591</v>
      </c>
      <c r="I1909" t="s">
        <v>4046</v>
      </c>
      <c r="J1909" t="s">
        <v>31780</v>
      </c>
      <c r="K1909" t="s">
        <v>41193</v>
      </c>
      <c r="M1909" t="s">
        <v>42280</v>
      </c>
      <c r="N1909" t="s">
        <v>45095</v>
      </c>
      <c r="O1909" t="s">
        <v>45096</v>
      </c>
      <c r="P1909">
        <v>0</v>
      </c>
      <c r="Q1909">
        <v>0</v>
      </c>
      <c r="R1909" t="s">
        <v>45097</v>
      </c>
      <c r="S1909" t="s">
        <v>45222</v>
      </c>
      <c r="T1909" t="s">
        <v>46905</v>
      </c>
      <c r="U1909" t="s">
        <v>49106</v>
      </c>
      <c r="W1909" t="s">
        <v>42280</v>
      </c>
      <c r="X1909" t="s">
        <v>45098</v>
      </c>
    </row>
    <row r="1910" spans="1:24">
      <c r="A1910">
        <f>HYPERLINK("https://www.philgeps.gov.ph/GEPSNONPILOT/Tender/SplashBidNoticeAbstractUI.aspx?menuIndex=3&amp;refID=7046511&amp;Result=3","7046511")</f>
        <v>0</v>
      </c>
      <c r="B1910" t="s">
        <v>89</v>
      </c>
      <c r="C1910" t="s">
        <v>5032</v>
      </c>
      <c r="D1910" t="s">
        <v>18059</v>
      </c>
      <c r="E1910" t="s">
        <v>19860</v>
      </c>
      <c r="F1910" t="s">
        <v>31574</v>
      </c>
      <c r="G1910" t="s">
        <v>31582</v>
      </c>
      <c r="H1910" t="s">
        <v>31590</v>
      </c>
      <c r="I1910" t="s">
        <v>6800</v>
      </c>
      <c r="J1910" t="s">
        <v>33096</v>
      </c>
      <c r="K1910" t="s">
        <v>41184</v>
      </c>
      <c r="M1910" t="s">
        <v>41573</v>
      </c>
      <c r="N1910" t="s">
        <v>45095</v>
      </c>
      <c r="O1910" t="s">
        <v>45096</v>
      </c>
      <c r="P1910">
        <v>0</v>
      </c>
      <c r="Q1910">
        <v>0</v>
      </c>
      <c r="R1910" t="s">
        <v>45097</v>
      </c>
      <c r="S1910" t="s">
        <v>45222</v>
      </c>
      <c r="T1910" t="s">
        <v>46937</v>
      </c>
      <c r="U1910" t="s">
        <v>49035</v>
      </c>
      <c r="W1910" t="s">
        <v>41573</v>
      </c>
      <c r="X1910" t="s">
        <v>45098</v>
      </c>
    </row>
    <row r="1911" spans="1:24">
      <c r="A1911">
        <f>HYPERLINK("https://www.philgeps.gov.ph/GEPSNONPILOT/Tender/SplashBidNoticeAbstractUI.aspx?menuIndex=3&amp;refID=7046510&amp;Result=3","7046510")</f>
        <v>0</v>
      </c>
      <c r="B1911" t="s">
        <v>481</v>
      </c>
      <c r="C1911" t="s">
        <v>5033</v>
      </c>
      <c r="E1911" t="s">
        <v>19861</v>
      </c>
      <c r="F1911" t="s">
        <v>31574</v>
      </c>
      <c r="G1911" t="s">
        <v>31583</v>
      </c>
      <c r="H1911" t="s">
        <v>31590</v>
      </c>
      <c r="I1911" t="s">
        <v>3487</v>
      </c>
      <c r="J1911" t="s">
        <v>33097</v>
      </c>
      <c r="K1911" t="s">
        <v>41184</v>
      </c>
      <c r="M1911" t="s">
        <v>41977</v>
      </c>
      <c r="N1911" t="s">
        <v>45095</v>
      </c>
      <c r="O1911" t="s">
        <v>45096</v>
      </c>
      <c r="P1911">
        <v>0</v>
      </c>
      <c r="Q1911">
        <v>0</v>
      </c>
      <c r="R1911" t="s">
        <v>45097</v>
      </c>
      <c r="S1911" t="s">
        <v>45222</v>
      </c>
      <c r="T1911" t="s">
        <v>46946</v>
      </c>
      <c r="U1911" t="s">
        <v>49107</v>
      </c>
      <c r="W1911" t="s">
        <v>41977</v>
      </c>
      <c r="X1911" t="s">
        <v>45098</v>
      </c>
    </row>
    <row r="1912" spans="1:24">
      <c r="A1912">
        <f>HYPERLINK("https://www.philgeps.gov.ph/GEPSNONPILOT/Tender/SplashBidNoticeAbstractUI.aspx?menuIndex=3&amp;refID=7046512&amp;Result=3","7046512")</f>
        <v>0</v>
      </c>
      <c r="B1912" t="s">
        <v>767</v>
      </c>
      <c r="C1912" t="s">
        <v>5034</v>
      </c>
      <c r="D1912" t="s">
        <v>18068</v>
      </c>
      <c r="E1912" t="s">
        <v>19862</v>
      </c>
      <c r="F1912" t="s">
        <v>31574</v>
      </c>
      <c r="G1912" t="s">
        <v>31581</v>
      </c>
      <c r="H1912" t="s">
        <v>31590</v>
      </c>
      <c r="I1912" t="s">
        <v>31618</v>
      </c>
      <c r="J1912" t="s">
        <v>31780</v>
      </c>
      <c r="K1912" t="s">
        <v>41211</v>
      </c>
      <c r="M1912" t="s">
        <v>42281</v>
      </c>
      <c r="N1912" t="s">
        <v>45095</v>
      </c>
      <c r="O1912" t="s">
        <v>45096</v>
      </c>
      <c r="P1912">
        <v>0</v>
      </c>
      <c r="Q1912">
        <v>0</v>
      </c>
      <c r="R1912" t="s">
        <v>45097</v>
      </c>
      <c r="S1912" t="s">
        <v>45222</v>
      </c>
      <c r="T1912" t="s">
        <v>46969</v>
      </c>
      <c r="U1912" t="s">
        <v>49108</v>
      </c>
      <c r="V1912" t="s">
        <v>60037</v>
      </c>
      <c r="W1912" t="s">
        <v>42281</v>
      </c>
      <c r="X1912" t="s">
        <v>45098</v>
      </c>
    </row>
    <row r="1913" spans="1:24">
      <c r="A1913">
        <f>HYPERLINK("https://www.philgeps.gov.ph/GEPSNONPILOT/Tender/SplashBidNoticeAbstractUI.aspx?menuIndex=3&amp;refID=7046506&amp;Result=3","7046506")</f>
        <v>0</v>
      </c>
      <c r="B1913" t="s">
        <v>291</v>
      </c>
      <c r="C1913" t="s">
        <v>5035</v>
      </c>
      <c r="D1913" t="s">
        <v>18091</v>
      </c>
      <c r="E1913" t="s">
        <v>19863</v>
      </c>
      <c r="F1913" t="s">
        <v>31574</v>
      </c>
      <c r="G1913" t="s">
        <v>31581</v>
      </c>
      <c r="H1913" t="s">
        <v>31590</v>
      </c>
      <c r="I1913" t="s">
        <v>31600</v>
      </c>
      <c r="J1913" t="s">
        <v>33098</v>
      </c>
      <c r="K1913" t="s">
        <v>41193</v>
      </c>
      <c r="M1913" t="s">
        <v>41777</v>
      </c>
      <c r="N1913" t="s">
        <v>45095</v>
      </c>
      <c r="O1913" t="s">
        <v>45096</v>
      </c>
      <c r="P1913">
        <v>0</v>
      </c>
      <c r="Q1913">
        <v>0</v>
      </c>
      <c r="R1913" t="s">
        <v>45097</v>
      </c>
      <c r="S1913" t="s">
        <v>45222</v>
      </c>
      <c r="T1913" t="s">
        <v>46926</v>
      </c>
      <c r="U1913" t="s">
        <v>48671</v>
      </c>
      <c r="V1913" t="s">
        <v>59918</v>
      </c>
      <c r="W1913" t="s">
        <v>41777</v>
      </c>
      <c r="X1913" t="s">
        <v>45098</v>
      </c>
    </row>
    <row r="1914" spans="1:24">
      <c r="A1914">
        <f>HYPERLINK("https://www.philgeps.gov.ph/GEPSNONPILOT/Tender/SplashBidNoticeAbstractUI.aspx?menuIndex=3&amp;refID=7046509&amp;Result=3","7046509")</f>
        <v>0</v>
      </c>
      <c r="B1914" t="s">
        <v>50</v>
      </c>
      <c r="C1914" t="s">
        <v>5036</v>
      </c>
      <c r="D1914" t="s">
        <v>18042</v>
      </c>
      <c r="E1914" t="s">
        <v>19864</v>
      </c>
      <c r="F1914" t="s">
        <v>31574</v>
      </c>
      <c r="G1914" t="s">
        <v>31582</v>
      </c>
      <c r="H1914" t="s">
        <v>31590</v>
      </c>
      <c r="I1914" t="s">
        <v>3539</v>
      </c>
      <c r="J1914" t="s">
        <v>33099</v>
      </c>
      <c r="K1914" t="s">
        <v>41186</v>
      </c>
      <c r="M1914" t="s">
        <v>41533</v>
      </c>
      <c r="N1914" t="s">
        <v>45095</v>
      </c>
      <c r="O1914" t="s">
        <v>45096</v>
      </c>
      <c r="P1914">
        <v>0</v>
      </c>
      <c r="Q1914">
        <v>0</v>
      </c>
      <c r="R1914" t="s">
        <v>45097</v>
      </c>
      <c r="S1914" t="s">
        <v>45222</v>
      </c>
      <c r="T1914" t="s">
        <v>46916</v>
      </c>
      <c r="U1914" t="s">
        <v>49109</v>
      </c>
      <c r="W1914" t="s">
        <v>41533</v>
      </c>
      <c r="X1914" t="s">
        <v>45098</v>
      </c>
    </row>
    <row r="1915" spans="1:24">
      <c r="A1915">
        <f>HYPERLINK("https://www.philgeps.gov.ph/GEPSNONPILOT/Tender/SplashBidNoticeAbstractUI.aspx?menuIndex=3&amp;refID=7046498&amp;Result=3","7046498")</f>
        <v>0</v>
      </c>
      <c r="B1915" t="s">
        <v>768</v>
      </c>
      <c r="C1915" t="s">
        <v>5037</v>
      </c>
      <c r="D1915" t="s">
        <v>18086</v>
      </c>
      <c r="E1915" t="s">
        <v>19865</v>
      </c>
      <c r="F1915" t="s">
        <v>31574</v>
      </c>
      <c r="G1915" t="s">
        <v>31584</v>
      </c>
      <c r="H1915" t="s">
        <v>31590</v>
      </c>
      <c r="I1915" t="s">
        <v>31608</v>
      </c>
      <c r="J1915" t="s">
        <v>32315</v>
      </c>
      <c r="K1915" t="s">
        <v>41196</v>
      </c>
      <c r="M1915" t="s">
        <v>42282</v>
      </c>
      <c r="N1915" t="s">
        <v>45095</v>
      </c>
      <c r="O1915" t="s">
        <v>45096</v>
      </c>
      <c r="P1915">
        <v>0</v>
      </c>
      <c r="Q1915">
        <v>0</v>
      </c>
      <c r="R1915" t="s">
        <v>45097</v>
      </c>
      <c r="S1915" t="s">
        <v>45222</v>
      </c>
      <c r="T1915" t="s">
        <v>46949</v>
      </c>
      <c r="U1915" t="s">
        <v>49110</v>
      </c>
      <c r="W1915" t="s">
        <v>42282</v>
      </c>
      <c r="X1915" t="s">
        <v>45098</v>
      </c>
    </row>
    <row r="1916" spans="1:24">
      <c r="A1916">
        <f>HYPERLINK("https://www.philgeps.gov.ph/GEPSNONPILOT/Tender/SplashBidNoticeAbstractUI.aspx?menuIndex=3&amp;refID=7046508&amp;Result=3","7046508")</f>
        <v>0</v>
      </c>
      <c r="B1916" t="s">
        <v>641</v>
      </c>
      <c r="C1916" t="s">
        <v>5038</v>
      </c>
      <c r="D1916" t="s">
        <v>18022</v>
      </c>
      <c r="E1916" t="s">
        <v>19866</v>
      </c>
      <c r="F1916" t="s">
        <v>31574</v>
      </c>
      <c r="G1916" t="s">
        <v>31581</v>
      </c>
      <c r="H1916" t="s">
        <v>31590</v>
      </c>
      <c r="I1916" t="s">
        <v>4046</v>
      </c>
      <c r="J1916" t="s">
        <v>33100</v>
      </c>
      <c r="K1916" t="s">
        <v>41185</v>
      </c>
      <c r="M1916" t="s">
        <v>42145</v>
      </c>
      <c r="N1916" t="s">
        <v>45095</v>
      </c>
      <c r="O1916" t="s">
        <v>45096</v>
      </c>
      <c r="P1916">
        <v>0</v>
      </c>
      <c r="Q1916">
        <v>0</v>
      </c>
      <c r="R1916" t="s">
        <v>45097</v>
      </c>
      <c r="S1916" t="s">
        <v>45222</v>
      </c>
      <c r="T1916" t="s">
        <v>46918</v>
      </c>
      <c r="U1916" t="s">
        <v>49111</v>
      </c>
      <c r="W1916" t="s">
        <v>42145</v>
      </c>
      <c r="X1916" t="s">
        <v>45098</v>
      </c>
    </row>
    <row r="1917" spans="1:24">
      <c r="A1917">
        <f>HYPERLINK("https://www.philgeps.gov.ph/GEPSNONPILOT/Tender/SplashBidNoticeAbstractUI.aspx?menuIndex=3&amp;refID=7046514&amp;Result=3","7046514")</f>
        <v>0</v>
      </c>
      <c r="B1917" t="s">
        <v>769</v>
      </c>
      <c r="C1917" t="s">
        <v>5039</v>
      </c>
      <c r="D1917" t="s">
        <v>18023</v>
      </c>
      <c r="E1917" t="s">
        <v>19867</v>
      </c>
      <c r="F1917" t="s">
        <v>31574</v>
      </c>
      <c r="G1917" t="s">
        <v>31583</v>
      </c>
      <c r="H1917" t="s">
        <v>31590</v>
      </c>
      <c r="I1917" t="s">
        <v>4327</v>
      </c>
      <c r="J1917" t="s">
        <v>33101</v>
      </c>
      <c r="K1917" t="s">
        <v>41196</v>
      </c>
      <c r="M1917" t="s">
        <v>42283</v>
      </c>
      <c r="N1917" t="s">
        <v>45095</v>
      </c>
      <c r="O1917" t="s">
        <v>45096</v>
      </c>
      <c r="P1917">
        <v>0</v>
      </c>
      <c r="Q1917">
        <v>0</v>
      </c>
      <c r="R1917" t="s">
        <v>45097</v>
      </c>
      <c r="S1917" t="s">
        <v>45222</v>
      </c>
      <c r="T1917" t="s">
        <v>46963</v>
      </c>
      <c r="U1917" t="s">
        <v>49112</v>
      </c>
      <c r="W1917" t="s">
        <v>42283</v>
      </c>
      <c r="X1917" t="s">
        <v>45098</v>
      </c>
    </row>
    <row r="1918" spans="1:24">
      <c r="A1918">
        <f>HYPERLINK("https://www.philgeps.gov.ph/GEPSNONPILOT/Tender/SplashBidNoticeAbstractUI.aspx?menuIndex=3&amp;refID=7046504&amp;Result=3","7046504")</f>
        <v>0</v>
      </c>
      <c r="B1918" t="s">
        <v>724</v>
      </c>
      <c r="C1918" t="s">
        <v>5040</v>
      </c>
      <c r="D1918" t="s">
        <v>18027</v>
      </c>
      <c r="E1918" t="s">
        <v>19868</v>
      </c>
      <c r="F1918" t="s">
        <v>31574</v>
      </c>
      <c r="G1918" t="s">
        <v>31582</v>
      </c>
      <c r="H1918" t="s">
        <v>31591</v>
      </c>
      <c r="I1918" t="s">
        <v>8822</v>
      </c>
      <c r="J1918" t="s">
        <v>33068</v>
      </c>
      <c r="K1918" t="s">
        <v>41186</v>
      </c>
      <c r="M1918" t="s">
        <v>42234</v>
      </c>
      <c r="N1918" t="s">
        <v>45095</v>
      </c>
      <c r="O1918" t="s">
        <v>45096</v>
      </c>
      <c r="P1918">
        <v>0</v>
      </c>
      <c r="Q1918">
        <v>0</v>
      </c>
      <c r="R1918" t="s">
        <v>45097</v>
      </c>
      <c r="S1918" t="s">
        <v>45222</v>
      </c>
      <c r="T1918" t="s">
        <v>46935</v>
      </c>
      <c r="U1918" t="s">
        <v>49113</v>
      </c>
      <c r="W1918" t="s">
        <v>42234</v>
      </c>
      <c r="X1918" t="s">
        <v>45098</v>
      </c>
    </row>
    <row r="1919" spans="1:24">
      <c r="A1919">
        <f>HYPERLINK("https://www.philgeps.gov.ph/GEPSNONPILOT/Tender/SplashBidNoticeAbstractUI.aspx?menuIndex=3&amp;refID=7046503&amp;Result=3","7046503")</f>
        <v>0</v>
      </c>
      <c r="B1919" t="s">
        <v>770</v>
      </c>
      <c r="C1919" t="s">
        <v>5041</v>
      </c>
      <c r="D1919" t="s">
        <v>18081</v>
      </c>
      <c r="E1919" t="s">
        <v>19118</v>
      </c>
      <c r="F1919" t="s">
        <v>31575</v>
      </c>
      <c r="G1919" t="s">
        <v>31582</v>
      </c>
      <c r="H1919" t="s">
        <v>31590</v>
      </c>
      <c r="I1919" t="s">
        <v>4046</v>
      </c>
      <c r="J1919" t="s">
        <v>33102</v>
      </c>
      <c r="K1919" t="s">
        <v>41200</v>
      </c>
      <c r="M1919" t="s">
        <v>42284</v>
      </c>
      <c r="N1919" t="s">
        <v>45095</v>
      </c>
      <c r="O1919" t="s">
        <v>45096</v>
      </c>
      <c r="P1919">
        <v>0</v>
      </c>
      <c r="Q1919">
        <v>0</v>
      </c>
      <c r="R1919" t="s">
        <v>45097</v>
      </c>
      <c r="S1919" t="s">
        <v>45222</v>
      </c>
      <c r="T1919" t="s">
        <v>46908</v>
      </c>
      <c r="U1919" t="s">
        <v>49114</v>
      </c>
      <c r="W1919" t="s">
        <v>42284</v>
      </c>
      <c r="X1919" t="s">
        <v>45098</v>
      </c>
    </row>
    <row r="1920" spans="1:24">
      <c r="A1920">
        <f>HYPERLINK("https://www.philgeps.gov.ph/GEPSNONPILOT/Tender/SplashBidNoticeAbstractUI.aspx?menuIndex=3&amp;refID=7046519&amp;Result=3","7046519")</f>
        <v>0</v>
      </c>
      <c r="B1920" t="s">
        <v>771</v>
      </c>
      <c r="C1920" t="s">
        <v>5042</v>
      </c>
      <c r="D1920" t="s">
        <v>18050</v>
      </c>
      <c r="E1920" t="s">
        <v>19869</v>
      </c>
      <c r="F1920" t="s">
        <v>31575</v>
      </c>
      <c r="G1920" t="s">
        <v>31582</v>
      </c>
      <c r="H1920" t="s">
        <v>31590</v>
      </c>
      <c r="I1920" t="s">
        <v>3651</v>
      </c>
      <c r="J1920" t="s">
        <v>33103</v>
      </c>
      <c r="K1920" t="s">
        <v>41210</v>
      </c>
      <c r="M1920" t="s">
        <v>42285</v>
      </c>
      <c r="N1920" t="s">
        <v>45095</v>
      </c>
      <c r="O1920" t="s">
        <v>45096</v>
      </c>
      <c r="P1920">
        <v>0</v>
      </c>
      <c r="Q1920">
        <v>0</v>
      </c>
      <c r="R1920" t="s">
        <v>45097</v>
      </c>
      <c r="S1920" t="s">
        <v>45222</v>
      </c>
      <c r="T1920" t="s">
        <v>46919</v>
      </c>
      <c r="U1920" t="s">
        <v>49115</v>
      </c>
      <c r="W1920" t="s">
        <v>42285</v>
      </c>
      <c r="X1920" t="s">
        <v>45098</v>
      </c>
    </row>
    <row r="1921" spans="1:24">
      <c r="A1921">
        <f>HYPERLINK("https://www.philgeps.gov.ph/GEPSNONPILOT/Tender/SplashBidNoticeAbstractUI.aspx?menuIndex=3&amp;refID=7046499&amp;Result=3","7046499")</f>
        <v>0</v>
      </c>
      <c r="B1921" t="s">
        <v>772</v>
      </c>
      <c r="C1921" t="s">
        <v>4999</v>
      </c>
      <c r="D1921" t="s">
        <v>18027</v>
      </c>
      <c r="E1921" t="s">
        <v>19831</v>
      </c>
      <c r="F1921" t="s">
        <v>31574</v>
      </c>
      <c r="G1921" t="s">
        <v>31582</v>
      </c>
      <c r="H1921" t="s">
        <v>31590</v>
      </c>
      <c r="I1921" t="s">
        <v>3487</v>
      </c>
      <c r="J1921" t="s">
        <v>33104</v>
      </c>
      <c r="K1921" t="s">
        <v>41184</v>
      </c>
      <c r="M1921" t="s">
        <v>42286</v>
      </c>
      <c r="N1921" t="s">
        <v>45095</v>
      </c>
      <c r="O1921" t="s">
        <v>45096</v>
      </c>
      <c r="P1921">
        <v>0</v>
      </c>
      <c r="Q1921">
        <v>0</v>
      </c>
      <c r="R1921" t="s">
        <v>45097</v>
      </c>
      <c r="S1921" t="s">
        <v>45222</v>
      </c>
      <c r="T1921" t="s">
        <v>47103</v>
      </c>
      <c r="U1921" t="s">
        <v>49116</v>
      </c>
      <c r="W1921" t="s">
        <v>42286</v>
      </c>
      <c r="X1921" t="s">
        <v>45098</v>
      </c>
    </row>
    <row r="1922" spans="1:24">
      <c r="A1922">
        <f>HYPERLINK("https://www.philgeps.gov.ph/GEPSNONPILOT/Tender/SplashBidNoticeAbstractUI.aspx?menuIndex=3&amp;refID=7046505&amp;Result=3","7046505")</f>
        <v>0</v>
      </c>
      <c r="B1922" t="s">
        <v>773</v>
      </c>
      <c r="C1922" t="s">
        <v>5043</v>
      </c>
      <c r="D1922" t="s">
        <v>18077</v>
      </c>
      <c r="E1922" t="s">
        <v>19870</v>
      </c>
      <c r="F1922" t="s">
        <v>31574</v>
      </c>
      <c r="G1922" t="s">
        <v>31581</v>
      </c>
      <c r="H1922" t="s">
        <v>31590</v>
      </c>
      <c r="I1922" t="s">
        <v>6800</v>
      </c>
      <c r="J1922" t="s">
        <v>31842</v>
      </c>
      <c r="K1922" t="s">
        <v>41184</v>
      </c>
      <c r="M1922" t="s">
        <v>42287</v>
      </c>
      <c r="N1922" t="s">
        <v>45095</v>
      </c>
      <c r="O1922" t="s">
        <v>45096</v>
      </c>
      <c r="P1922">
        <v>0</v>
      </c>
      <c r="Q1922">
        <v>0</v>
      </c>
      <c r="R1922" t="s">
        <v>45097</v>
      </c>
      <c r="S1922" t="s">
        <v>45222</v>
      </c>
      <c r="T1922" t="s">
        <v>46952</v>
      </c>
      <c r="U1922" t="s">
        <v>49117</v>
      </c>
      <c r="W1922" t="s">
        <v>42287</v>
      </c>
      <c r="X1922" t="s">
        <v>45098</v>
      </c>
    </row>
    <row r="1923" spans="1:24">
      <c r="A1923">
        <f>HYPERLINK("https://www.philgeps.gov.ph/GEPSNONPILOT/Tender/SplashBidNoticeAbstractUI.aspx?menuIndex=3&amp;refID=7046528&amp;Result=3","7046528")</f>
        <v>0</v>
      </c>
      <c r="B1923" t="s">
        <v>725</v>
      </c>
      <c r="C1923" t="s">
        <v>5044</v>
      </c>
      <c r="D1923" t="s">
        <v>18092</v>
      </c>
      <c r="E1923" t="s">
        <v>19871</v>
      </c>
      <c r="F1923" t="s">
        <v>31574</v>
      </c>
      <c r="G1923" t="s">
        <v>31582</v>
      </c>
      <c r="H1923" t="s">
        <v>31590</v>
      </c>
      <c r="I1923" t="s">
        <v>31600</v>
      </c>
      <c r="J1923" t="s">
        <v>33105</v>
      </c>
      <c r="K1923" t="s">
        <v>41193</v>
      </c>
      <c r="M1923" t="s">
        <v>42235</v>
      </c>
      <c r="N1923" t="s">
        <v>45095</v>
      </c>
      <c r="O1923" t="s">
        <v>45096</v>
      </c>
      <c r="P1923">
        <v>0</v>
      </c>
      <c r="Q1923">
        <v>0</v>
      </c>
      <c r="R1923" t="s">
        <v>45097</v>
      </c>
      <c r="S1923" t="s">
        <v>45222</v>
      </c>
      <c r="T1923" t="s">
        <v>46937</v>
      </c>
      <c r="U1923" t="s">
        <v>49118</v>
      </c>
      <c r="V1923" t="s">
        <v>60038</v>
      </c>
      <c r="W1923" t="s">
        <v>42235</v>
      </c>
      <c r="X1923" t="s">
        <v>45098</v>
      </c>
    </row>
    <row r="1924" spans="1:24">
      <c r="A1924">
        <f>HYPERLINK("https://www.philgeps.gov.ph/GEPSNONPILOT/Tender/SplashBidNoticeAbstractUI.aspx?menuIndex=3&amp;refID=7046526&amp;Result=3","7046526")</f>
        <v>0</v>
      </c>
      <c r="B1924" t="s">
        <v>774</v>
      </c>
      <c r="C1924" t="s">
        <v>5045</v>
      </c>
      <c r="E1924" t="s">
        <v>19872</v>
      </c>
      <c r="F1924" t="s">
        <v>31574</v>
      </c>
      <c r="G1924" t="s">
        <v>31581</v>
      </c>
      <c r="H1924" t="s">
        <v>31590</v>
      </c>
      <c r="I1924" t="s">
        <v>31614</v>
      </c>
      <c r="J1924" t="s">
        <v>33106</v>
      </c>
      <c r="K1924" t="s">
        <v>41184</v>
      </c>
      <c r="M1924" t="s">
        <v>42288</v>
      </c>
      <c r="N1924" t="s">
        <v>45095</v>
      </c>
      <c r="O1924" t="s">
        <v>45096</v>
      </c>
      <c r="P1924">
        <v>0</v>
      </c>
      <c r="Q1924">
        <v>0</v>
      </c>
      <c r="R1924" t="s">
        <v>45097</v>
      </c>
      <c r="S1924" t="s">
        <v>45222</v>
      </c>
      <c r="T1924" t="s">
        <v>46913</v>
      </c>
      <c r="U1924" t="s">
        <v>49119</v>
      </c>
      <c r="W1924" t="s">
        <v>42288</v>
      </c>
      <c r="X1924" t="s">
        <v>45098</v>
      </c>
    </row>
    <row r="1925" spans="1:24">
      <c r="A1925">
        <f>HYPERLINK("https://www.philgeps.gov.ph/GEPSNONPILOT/Tender/SplashBidNoticeAbstractUI.aspx?menuIndex=3&amp;refID=7046521&amp;Result=3","7046521")</f>
        <v>0</v>
      </c>
      <c r="B1925" t="s">
        <v>47</v>
      </c>
      <c r="C1925" t="s">
        <v>5046</v>
      </c>
      <c r="D1925" t="s">
        <v>18040</v>
      </c>
      <c r="E1925" t="s">
        <v>18430</v>
      </c>
      <c r="F1925" t="s">
        <v>31574</v>
      </c>
      <c r="G1925" t="s">
        <v>31584</v>
      </c>
      <c r="H1925" t="s">
        <v>31590</v>
      </c>
      <c r="I1925" t="s">
        <v>4327</v>
      </c>
      <c r="J1925" t="s">
        <v>32528</v>
      </c>
      <c r="K1925" t="s">
        <v>41193</v>
      </c>
      <c r="M1925" t="s">
        <v>41530</v>
      </c>
      <c r="N1925" t="s">
        <v>45095</v>
      </c>
      <c r="O1925" t="s">
        <v>45096</v>
      </c>
      <c r="P1925">
        <v>0</v>
      </c>
      <c r="Q1925">
        <v>0</v>
      </c>
      <c r="R1925" t="s">
        <v>45097</v>
      </c>
      <c r="S1925" t="s">
        <v>45222</v>
      </c>
      <c r="T1925" t="s">
        <v>46911</v>
      </c>
      <c r="U1925" t="s">
        <v>49120</v>
      </c>
      <c r="W1925" t="s">
        <v>41530</v>
      </c>
      <c r="X1925" t="s">
        <v>45098</v>
      </c>
    </row>
    <row r="1926" spans="1:24">
      <c r="A1926">
        <f>HYPERLINK("https://www.philgeps.gov.ph/GEPSNONPILOT/Tender/SplashBidNoticeAbstractUI.aspx?menuIndex=3&amp;refID=7046542&amp;Result=3","7046542")</f>
        <v>0</v>
      </c>
      <c r="B1926" t="s">
        <v>775</v>
      </c>
      <c r="C1926" t="s">
        <v>5047</v>
      </c>
      <c r="D1926" t="s">
        <v>18065</v>
      </c>
      <c r="E1926" t="s">
        <v>19873</v>
      </c>
      <c r="F1926" t="s">
        <v>31574</v>
      </c>
      <c r="G1926" t="s">
        <v>31582</v>
      </c>
      <c r="H1926" t="s">
        <v>31591</v>
      </c>
      <c r="I1926" t="s">
        <v>8822</v>
      </c>
      <c r="J1926" t="s">
        <v>32101</v>
      </c>
      <c r="K1926" t="s">
        <v>41192</v>
      </c>
      <c r="M1926" t="s">
        <v>42289</v>
      </c>
      <c r="N1926" t="s">
        <v>45095</v>
      </c>
      <c r="O1926" t="s">
        <v>45096</v>
      </c>
      <c r="P1926">
        <v>0</v>
      </c>
      <c r="Q1926">
        <v>0</v>
      </c>
      <c r="R1926" t="s">
        <v>45097</v>
      </c>
      <c r="S1926" t="s">
        <v>45222</v>
      </c>
      <c r="T1926" t="s">
        <v>47072</v>
      </c>
      <c r="U1926" t="s">
        <v>49121</v>
      </c>
      <c r="W1926" t="s">
        <v>42289</v>
      </c>
      <c r="X1926" t="s">
        <v>45098</v>
      </c>
    </row>
    <row r="1927" spans="1:24">
      <c r="A1927">
        <f>HYPERLINK("https://www.philgeps.gov.ph/GEPSNONPILOT/Tender/SplashBidNoticeAbstractUI.aspx?menuIndex=3&amp;refID=7046527&amp;Result=3","7046527")</f>
        <v>0</v>
      </c>
      <c r="B1927" t="s">
        <v>757</v>
      </c>
      <c r="C1927" t="s">
        <v>5048</v>
      </c>
      <c r="D1927" t="s">
        <v>18095</v>
      </c>
      <c r="E1927" t="s">
        <v>19874</v>
      </c>
      <c r="F1927" t="s">
        <v>31574</v>
      </c>
      <c r="G1927" t="s">
        <v>31581</v>
      </c>
      <c r="H1927" t="s">
        <v>31592</v>
      </c>
      <c r="I1927" t="s">
        <v>4046</v>
      </c>
      <c r="J1927" t="s">
        <v>33107</v>
      </c>
      <c r="K1927" t="s">
        <v>41193</v>
      </c>
      <c r="M1927" t="s">
        <v>42271</v>
      </c>
      <c r="N1927" t="s">
        <v>45095</v>
      </c>
      <c r="O1927" t="s">
        <v>45096</v>
      </c>
      <c r="P1927">
        <v>0</v>
      </c>
      <c r="Q1927">
        <v>0</v>
      </c>
      <c r="R1927" t="s">
        <v>45097</v>
      </c>
      <c r="S1927" t="s">
        <v>45222</v>
      </c>
      <c r="T1927" t="s">
        <v>46918</v>
      </c>
      <c r="U1927" t="s">
        <v>49091</v>
      </c>
      <c r="W1927" t="s">
        <v>42271</v>
      </c>
      <c r="X1927" t="s">
        <v>45098</v>
      </c>
    </row>
    <row r="1928" spans="1:24">
      <c r="A1928">
        <f>HYPERLINK("https://www.philgeps.gov.ph/GEPSNONPILOT/Tender/SplashBidNoticeAbstractUI.aspx?menuIndex=3&amp;refID=7046541&amp;Result=3","7046541")</f>
        <v>0</v>
      </c>
      <c r="B1928" t="s">
        <v>766</v>
      </c>
      <c r="C1928" t="s">
        <v>5049</v>
      </c>
      <c r="D1928" t="s">
        <v>18040</v>
      </c>
      <c r="E1928" t="s">
        <v>19875</v>
      </c>
      <c r="F1928" t="s">
        <v>31574</v>
      </c>
      <c r="G1928" t="s">
        <v>31582</v>
      </c>
      <c r="H1928" t="s">
        <v>31591</v>
      </c>
      <c r="I1928" t="s">
        <v>4046</v>
      </c>
      <c r="J1928" t="s">
        <v>31949</v>
      </c>
      <c r="K1928" t="s">
        <v>41190</v>
      </c>
      <c r="M1928" t="s">
        <v>42280</v>
      </c>
      <c r="N1928" t="s">
        <v>45095</v>
      </c>
      <c r="O1928" t="s">
        <v>45096</v>
      </c>
      <c r="P1928">
        <v>0</v>
      </c>
      <c r="Q1928">
        <v>0</v>
      </c>
      <c r="R1928" t="s">
        <v>45097</v>
      </c>
      <c r="S1928" t="s">
        <v>45222</v>
      </c>
      <c r="T1928" t="s">
        <v>46905</v>
      </c>
      <c r="U1928" t="s">
        <v>49122</v>
      </c>
      <c r="W1928" t="s">
        <v>42280</v>
      </c>
      <c r="X1928" t="s">
        <v>45098</v>
      </c>
    </row>
    <row r="1929" spans="1:24">
      <c r="A1929">
        <f>HYPERLINK("https://www.philgeps.gov.ph/GEPSNONPILOT/Tender/SplashBidNoticeAbstractUI.aspx?menuIndex=3&amp;refID=7046524&amp;Result=3","7046524")</f>
        <v>0</v>
      </c>
      <c r="B1929" t="s">
        <v>434</v>
      </c>
      <c r="C1929" t="s">
        <v>5050</v>
      </c>
      <c r="D1929" t="s">
        <v>18041</v>
      </c>
      <c r="E1929" t="s">
        <v>19876</v>
      </c>
      <c r="F1929" t="s">
        <v>31574</v>
      </c>
      <c r="G1929" t="s">
        <v>31581</v>
      </c>
      <c r="H1929" t="s">
        <v>31591</v>
      </c>
      <c r="I1929" t="s">
        <v>8822</v>
      </c>
      <c r="J1929" t="s">
        <v>33108</v>
      </c>
      <c r="K1929" t="s">
        <v>41186</v>
      </c>
      <c r="M1929" t="s">
        <v>41927</v>
      </c>
      <c r="N1929" t="s">
        <v>45095</v>
      </c>
      <c r="O1929" t="s">
        <v>45096</v>
      </c>
      <c r="P1929">
        <v>0</v>
      </c>
      <c r="Q1929">
        <v>0</v>
      </c>
      <c r="R1929" t="s">
        <v>45097</v>
      </c>
      <c r="S1929" t="s">
        <v>45222</v>
      </c>
      <c r="T1929" t="s">
        <v>46918</v>
      </c>
      <c r="U1929" t="s">
        <v>48336</v>
      </c>
      <c r="V1929" t="s">
        <v>59939</v>
      </c>
      <c r="W1929" t="s">
        <v>41927</v>
      </c>
      <c r="X1929" t="s">
        <v>45098</v>
      </c>
    </row>
    <row r="1930" spans="1:24">
      <c r="A1930">
        <f>HYPERLINK("https://www.philgeps.gov.ph/GEPSNONPILOT/Tender/SplashBidNoticeAbstractUI.aspx?menuIndex=3&amp;refID=7046537&amp;Result=3","7046537")</f>
        <v>0</v>
      </c>
      <c r="B1930" t="s">
        <v>768</v>
      </c>
      <c r="C1930" t="s">
        <v>5051</v>
      </c>
      <c r="D1930" t="s">
        <v>18086</v>
      </c>
      <c r="E1930" t="s">
        <v>19877</v>
      </c>
      <c r="F1930" t="s">
        <v>31574</v>
      </c>
      <c r="G1930" t="s">
        <v>31584</v>
      </c>
      <c r="H1930" t="s">
        <v>31590</v>
      </c>
      <c r="I1930" t="s">
        <v>31608</v>
      </c>
      <c r="J1930" t="s">
        <v>33109</v>
      </c>
      <c r="K1930" t="s">
        <v>41196</v>
      </c>
      <c r="M1930" t="s">
        <v>42282</v>
      </c>
      <c r="N1930" t="s">
        <v>45095</v>
      </c>
      <c r="O1930" t="s">
        <v>45096</v>
      </c>
      <c r="P1930">
        <v>0</v>
      </c>
      <c r="Q1930">
        <v>0</v>
      </c>
      <c r="R1930" t="s">
        <v>45097</v>
      </c>
      <c r="S1930" t="s">
        <v>45222</v>
      </c>
      <c r="T1930" t="s">
        <v>46949</v>
      </c>
      <c r="U1930" t="s">
        <v>49123</v>
      </c>
      <c r="W1930" t="s">
        <v>42282</v>
      </c>
      <c r="X1930" t="s">
        <v>45098</v>
      </c>
    </row>
    <row r="1931" spans="1:24">
      <c r="A1931">
        <f>HYPERLINK("https://www.philgeps.gov.ph/GEPSNONPILOT/Tender/SplashBidNoticeAbstractUI.aspx?menuIndex=3&amp;refID=7046538&amp;Result=3","7046538")</f>
        <v>0</v>
      </c>
      <c r="B1931" t="s">
        <v>776</v>
      </c>
      <c r="C1931" t="s">
        <v>5052</v>
      </c>
      <c r="E1931" t="s">
        <v>19878</v>
      </c>
      <c r="F1931" t="s">
        <v>31574</v>
      </c>
      <c r="G1931" t="s">
        <v>31582</v>
      </c>
      <c r="H1931" t="s">
        <v>31593</v>
      </c>
      <c r="I1931" t="s">
        <v>31593</v>
      </c>
      <c r="J1931" t="s">
        <v>33110</v>
      </c>
      <c r="K1931" t="s">
        <v>41229</v>
      </c>
      <c r="M1931" t="s">
        <v>42290</v>
      </c>
      <c r="N1931" t="s">
        <v>45095</v>
      </c>
      <c r="O1931" t="s">
        <v>45096</v>
      </c>
      <c r="P1931">
        <v>0</v>
      </c>
      <c r="Q1931">
        <v>0</v>
      </c>
      <c r="R1931" t="s">
        <v>45097</v>
      </c>
      <c r="S1931" t="s">
        <v>45222</v>
      </c>
      <c r="T1931" t="s">
        <v>46930</v>
      </c>
      <c r="U1931" t="s">
        <v>49124</v>
      </c>
      <c r="W1931" t="s">
        <v>42290</v>
      </c>
      <c r="X1931" t="s">
        <v>45098</v>
      </c>
    </row>
    <row r="1932" spans="1:24">
      <c r="A1932">
        <f>HYPERLINK("https://www.philgeps.gov.ph/GEPSNONPILOT/Tender/SplashBidNoticeAbstractUI.aspx?menuIndex=3&amp;refID=7046525&amp;Result=3","7046525")</f>
        <v>0</v>
      </c>
      <c r="B1932" t="s">
        <v>84</v>
      </c>
      <c r="C1932" t="s">
        <v>5053</v>
      </c>
      <c r="D1932" t="s">
        <v>18022</v>
      </c>
      <c r="E1932" t="s">
        <v>19879</v>
      </c>
      <c r="F1932" t="s">
        <v>31574</v>
      </c>
      <c r="G1932" t="s">
        <v>31581</v>
      </c>
      <c r="H1932" t="s">
        <v>31590</v>
      </c>
      <c r="I1932" t="s">
        <v>8822</v>
      </c>
      <c r="J1932" t="s">
        <v>33111</v>
      </c>
      <c r="K1932" t="s">
        <v>41201</v>
      </c>
      <c r="M1932" t="s">
        <v>42055</v>
      </c>
      <c r="N1932" t="s">
        <v>45095</v>
      </c>
      <c r="O1932" t="s">
        <v>45096</v>
      </c>
      <c r="P1932">
        <v>0</v>
      </c>
      <c r="Q1932">
        <v>0</v>
      </c>
      <c r="R1932" t="s">
        <v>45097</v>
      </c>
      <c r="S1932" t="s">
        <v>45222</v>
      </c>
      <c r="T1932" t="s">
        <v>46966</v>
      </c>
      <c r="U1932" t="s">
        <v>49125</v>
      </c>
      <c r="W1932" t="s">
        <v>42055</v>
      </c>
      <c r="X1932" t="s">
        <v>45098</v>
      </c>
    </row>
    <row r="1933" spans="1:24">
      <c r="A1933">
        <f>HYPERLINK("https://www.philgeps.gov.ph/GEPSNONPILOT/Tender/SplashBidNoticeAbstractUI.aspx?menuIndex=3&amp;refID=7046534&amp;Result=3","7046534")</f>
        <v>0</v>
      </c>
      <c r="B1933" t="s">
        <v>704</v>
      </c>
      <c r="C1933" t="s">
        <v>5054</v>
      </c>
      <c r="E1933" t="s">
        <v>19880</v>
      </c>
      <c r="F1933" t="s">
        <v>31574</v>
      </c>
      <c r="G1933" t="s">
        <v>31582</v>
      </c>
      <c r="H1933" t="s">
        <v>31591</v>
      </c>
      <c r="I1933" t="s">
        <v>8822</v>
      </c>
      <c r="J1933" t="s">
        <v>33112</v>
      </c>
      <c r="K1933" t="s">
        <v>41271</v>
      </c>
      <c r="M1933" t="s">
        <v>42213</v>
      </c>
      <c r="N1933" t="s">
        <v>45095</v>
      </c>
      <c r="O1933" t="s">
        <v>45096</v>
      </c>
      <c r="P1933">
        <v>0</v>
      </c>
      <c r="Q1933">
        <v>0</v>
      </c>
      <c r="R1933" t="s">
        <v>45097</v>
      </c>
      <c r="S1933" t="s">
        <v>45222</v>
      </c>
      <c r="T1933" t="s">
        <v>46908</v>
      </c>
      <c r="U1933" t="s">
        <v>49126</v>
      </c>
      <c r="W1933" t="s">
        <v>42213</v>
      </c>
      <c r="X1933" t="s">
        <v>45098</v>
      </c>
    </row>
    <row r="1934" spans="1:24">
      <c r="A1934">
        <f>HYPERLINK("https://www.philgeps.gov.ph/GEPSNONPILOT/Tender/SplashBidNoticeAbstractUI.aspx?menuIndex=3&amp;refID=7046536&amp;Result=3","7046536")</f>
        <v>0</v>
      </c>
      <c r="B1934" t="s">
        <v>777</v>
      </c>
      <c r="C1934" t="s">
        <v>5055</v>
      </c>
      <c r="D1934" t="s">
        <v>18070</v>
      </c>
      <c r="E1934" t="s">
        <v>19881</v>
      </c>
      <c r="F1934" t="s">
        <v>31574</v>
      </c>
      <c r="G1934" t="s">
        <v>31583</v>
      </c>
      <c r="H1934" t="s">
        <v>31590</v>
      </c>
      <c r="I1934" t="s">
        <v>31607</v>
      </c>
      <c r="J1934" t="s">
        <v>31827</v>
      </c>
      <c r="K1934" t="s">
        <v>41186</v>
      </c>
      <c r="M1934" t="s">
        <v>42291</v>
      </c>
      <c r="N1934" t="s">
        <v>45095</v>
      </c>
      <c r="O1934" t="s">
        <v>45096</v>
      </c>
      <c r="P1934">
        <v>0</v>
      </c>
      <c r="Q1934">
        <v>0</v>
      </c>
      <c r="R1934" t="s">
        <v>45097</v>
      </c>
      <c r="S1934" t="s">
        <v>45222</v>
      </c>
      <c r="T1934" t="s">
        <v>47025</v>
      </c>
      <c r="U1934" t="s">
        <v>49127</v>
      </c>
      <c r="W1934" t="s">
        <v>42291</v>
      </c>
      <c r="X1934" t="s">
        <v>45098</v>
      </c>
    </row>
    <row r="1935" spans="1:24">
      <c r="A1935">
        <f>HYPERLINK("https://www.philgeps.gov.ph/GEPSNONPILOT/Tender/SplashBidNoticeAbstractUI.aspx?menuIndex=3&amp;refID=7046539&amp;Result=3","7046539")</f>
        <v>0</v>
      </c>
      <c r="B1935" t="s">
        <v>778</v>
      </c>
      <c r="C1935" t="s">
        <v>5056</v>
      </c>
      <c r="D1935" t="s">
        <v>18054</v>
      </c>
      <c r="E1935" t="s">
        <v>19882</v>
      </c>
      <c r="F1935" t="s">
        <v>31574</v>
      </c>
      <c r="G1935" t="s">
        <v>31582</v>
      </c>
      <c r="H1935" t="s">
        <v>31591</v>
      </c>
      <c r="I1935" t="s">
        <v>8822</v>
      </c>
      <c r="J1935" t="s">
        <v>31935</v>
      </c>
      <c r="K1935" t="s">
        <v>41198</v>
      </c>
      <c r="M1935" t="s">
        <v>42292</v>
      </c>
      <c r="N1935" t="s">
        <v>45095</v>
      </c>
      <c r="O1935" t="s">
        <v>45096</v>
      </c>
      <c r="P1935">
        <v>0</v>
      </c>
      <c r="Q1935">
        <v>0</v>
      </c>
      <c r="R1935" t="s">
        <v>45097</v>
      </c>
      <c r="S1935" t="s">
        <v>45222</v>
      </c>
      <c r="T1935" t="s">
        <v>47062</v>
      </c>
      <c r="U1935" t="s">
        <v>49128</v>
      </c>
      <c r="W1935" t="s">
        <v>42292</v>
      </c>
      <c r="X1935" t="s">
        <v>45098</v>
      </c>
    </row>
    <row r="1936" spans="1:24">
      <c r="A1936">
        <f>HYPERLINK("https://www.philgeps.gov.ph/GEPSNONPILOT/Tender/SplashBidNoticeAbstractUI.aspx?menuIndex=3&amp;refID=7046532&amp;Result=3","7046532")</f>
        <v>0</v>
      </c>
      <c r="B1936" t="s">
        <v>779</v>
      </c>
      <c r="C1936" t="s">
        <v>5057</v>
      </c>
      <c r="D1936" t="s">
        <v>18081</v>
      </c>
      <c r="E1936" t="s">
        <v>19883</v>
      </c>
      <c r="F1936" t="s">
        <v>31574</v>
      </c>
      <c r="G1936" t="s">
        <v>31581</v>
      </c>
      <c r="H1936" t="s">
        <v>31590</v>
      </c>
      <c r="I1936" t="s">
        <v>31679</v>
      </c>
      <c r="J1936" t="s">
        <v>33113</v>
      </c>
      <c r="K1936" t="s">
        <v>41193</v>
      </c>
      <c r="L1936" t="s">
        <v>779</v>
      </c>
      <c r="M1936" t="s">
        <v>42293</v>
      </c>
      <c r="N1936" t="s">
        <v>45095</v>
      </c>
      <c r="O1936" t="s">
        <v>45096</v>
      </c>
      <c r="P1936">
        <v>0</v>
      </c>
      <c r="Q1936">
        <v>0</v>
      </c>
      <c r="R1936" t="s">
        <v>45097</v>
      </c>
      <c r="S1936" t="s">
        <v>45222</v>
      </c>
      <c r="T1936" t="s">
        <v>46917</v>
      </c>
      <c r="U1936" t="s">
        <v>49129</v>
      </c>
      <c r="V1936" t="s">
        <v>60039</v>
      </c>
      <c r="W1936" t="s">
        <v>42293</v>
      </c>
      <c r="X1936" t="s">
        <v>45098</v>
      </c>
    </row>
    <row r="1937" spans="1:24">
      <c r="A1937">
        <f>HYPERLINK("https://www.philgeps.gov.ph/GEPSNONPILOT/Tender/SplashBidNoticeAbstractUI.aspx?menuIndex=3&amp;refID=7046533&amp;Result=3","7046533")</f>
        <v>0</v>
      </c>
      <c r="B1937" t="s">
        <v>736</v>
      </c>
      <c r="C1937" t="s">
        <v>5058</v>
      </c>
      <c r="D1937" t="s">
        <v>18079</v>
      </c>
      <c r="E1937" t="s">
        <v>19884</v>
      </c>
      <c r="F1937" t="s">
        <v>31574</v>
      </c>
      <c r="G1937" t="s">
        <v>31581</v>
      </c>
      <c r="H1937" t="s">
        <v>31590</v>
      </c>
      <c r="I1937" t="s">
        <v>8258</v>
      </c>
      <c r="J1937" t="s">
        <v>33114</v>
      </c>
      <c r="K1937" t="s">
        <v>41186</v>
      </c>
      <c r="M1937" t="s">
        <v>42247</v>
      </c>
      <c r="N1937" t="s">
        <v>45095</v>
      </c>
      <c r="O1937" t="s">
        <v>45096</v>
      </c>
      <c r="P1937">
        <v>0</v>
      </c>
      <c r="Q1937">
        <v>0</v>
      </c>
      <c r="R1937" t="s">
        <v>45097</v>
      </c>
      <c r="S1937" t="s">
        <v>45222</v>
      </c>
      <c r="T1937" t="s">
        <v>46911</v>
      </c>
      <c r="U1937" t="s">
        <v>49028</v>
      </c>
      <c r="W1937" t="s">
        <v>42247</v>
      </c>
      <c r="X1937" t="s">
        <v>45098</v>
      </c>
    </row>
    <row r="1938" spans="1:24">
      <c r="A1938">
        <f>HYPERLINK("https://www.philgeps.gov.ph/GEPSNONPILOT/Tender/SplashBidNoticeAbstractUI.aspx?menuIndex=3&amp;refID=7046522&amp;Result=3","7046522")</f>
        <v>0</v>
      </c>
      <c r="B1938" t="s">
        <v>190</v>
      </c>
      <c r="C1938" t="s">
        <v>5059</v>
      </c>
      <c r="D1938" t="s">
        <v>18036</v>
      </c>
      <c r="E1938" t="s">
        <v>19885</v>
      </c>
      <c r="F1938" t="s">
        <v>31574</v>
      </c>
      <c r="G1938" t="s">
        <v>31581</v>
      </c>
      <c r="H1938" t="s">
        <v>31590</v>
      </c>
      <c r="I1938" t="s">
        <v>8258</v>
      </c>
      <c r="J1938" t="s">
        <v>32258</v>
      </c>
      <c r="K1938" t="s">
        <v>41190</v>
      </c>
      <c r="M1938" t="s">
        <v>41675</v>
      </c>
      <c r="N1938" t="s">
        <v>45095</v>
      </c>
      <c r="O1938" t="s">
        <v>45096</v>
      </c>
      <c r="P1938">
        <v>0</v>
      </c>
      <c r="Q1938">
        <v>0</v>
      </c>
      <c r="R1938" t="s">
        <v>45097</v>
      </c>
      <c r="S1938" t="s">
        <v>45222</v>
      </c>
      <c r="T1938" t="s">
        <v>46922</v>
      </c>
      <c r="U1938" t="s">
        <v>49130</v>
      </c>
      <c r="W1938" t="s">
        <v>41675</v>
      </c>
      <c r="X1938" t="s">
        <v>45098</v>
      </c>
    </row>
    <row r="1939" spans="1:24">
      <c r="A1939">
        <f>HYPERLINK("https://www.philgeps.gov.ph/GEPSNONPILOT/Tender/SplashBidNoticeAbstractUI.aspx?menuIndex=3&amp;refID=7046535&amp;Result=3","7046535")</f>
        <v>0</v>
      </c>
      <c r="B1939" t="s">
        <v>756</v>
      </c>
      <c r="C1939" t="s">
        <v>5060</v>
      </c>
      <c r="D1939" t="s">
        <v>18028</v>
      </c>
      <c r="E1939" t="s">
        <v>19886</v>
      </c>
      <c r="F1939" t="s">
        <v>31574</v>
      </c>
      <c r="G1939" t="s">
        <v>31581</v>
      </c>
      <c r="H1939" t="s">
        <v>31591</v>
      </c>
      <c r="I1939" t="s">
        <v>31638</v>
      </c>
      <c r="J1939" t="s">
        <v>33115</v>
      </c>
      <c r="K1939" t="s">
        <v>41228</v>
      </c>
      <c r="M1939" t="s">
        <v>42270</v>
      </c>
      <c r="N1939" t="s">
        <v>45095</v>
      </c>
      <c r="O1939" t="s">
        <v>45096</v>
      </c>
      <c r="P1939">
        <v>0</v>
      </c>
      <c r="Q1939">
        <v>0</v>
      </c>
      <c r="R1939" t="s">
        <v>45097</v>
      </c>
      <c r="S1939" t="s">
        <v>45222</v>
      </c>
      <c r="T1939" t="s">
        <v>46910</v>
      </c>
      <c r="U1939" t="s">
        <v>49131</v>
      </c>
      <c r="W1939" t="s">
        <v>42270</v>
      </c>
      <c r="X1939" t="s">
        <v>45098</v>
      </c>
    </row>
    <row r="1940" spans="1:24">
      <c r="A1940">
        <f>HYPERLINK("https://www.philgeps.gov.ph/GEPSNONPILOT/Tender/SplashBidNoticeAbstractUI.aspx?menuIndex=3&amp;refID=7046529&amp;Result=3","7046529")</f>
        <v>0</v>
      </c>
      <c r="B1940" t="s">
        <v>45</v>
      </c>
      <c r="C1940" t="s">
        <v>5061</v>
      </c>
      <c r="D1940" t="s">
        <v>18037</v>
      </c>
      <c r="E1940" t="s">
        <v>19887</v>
      </c>
      <c r="F1940" t="s">
        <v>31574</v>
      </c>
      <c r="G1940" t="s">
        <v>31581</v>
      </c>
      <c r="H1940" t="s">
        <v>31590</v>
      </c>
      <c r="I1940" t="s">
        <v>31595</v>
      </c>
      <c r="J1940" t="s">
        <v>33116</v>
      </c>
      <c r="K1940" t="s">
        <v>41186</v>
      </c>
      <c r="M1940" t="s">
        <v>41528</v>
      </c>
      <c r="N1940" t="s">
        <v>45095</v>
      </c>
      <c r="O1940" t="s">
        <v>45096</v>
      </c>
      <c r="P1940">
        <v>0</v>
      </c>
      <c r="Q1940">
        <v>0</v>
      </c>
      <c r="R1940" t="s">
        <v>45097</v>
      </c>
      <c r="S1940" t="s">
        <v>45222</v>
      </c>
      <c r="T1940" t="s">
        <v>46918</v>
      </c>
      <c r="U1940" t="s">
        <v>49074</v>
      </c>
      <c r="W1940" t="s">
        <v>41528</v>
      </c>
      <c r="X1940" t="s">
        <v>45098</v>
      </c>
    </row>
    <row r="1941" spans="1:24">
      <c r="A1941">
        <f>HYPERLINK("https://www.philgeps.gov.ph/GEPSNONPILOT/Tender/SplashBidNoticeAbstractUI.aspx?menuIndex=3&amp;refID=7046544&amp;Result=3","7046544")</f>
        <v>0</v>
      </c>
      <c r="B1941" t="s">
        <v>724</v>
      </c>
      <c r="C1941" t="s">
        <v>5062</v>
      </c>
      <c r="D1941" t="s">
        <v>18027</v>
      </c>
      <c r="E1941" t="s">
        <v>19888</v>
      </c>
      <c r="F1941" t="s">
        <v>31574</v>
      </c>
      <c r="G1941" t="s">
        <v>31582</v>
      </c>
      <c r="H1941" t="s">
        <v>31591</v>
      </c>
      <c r="I1941" t="s">
        <v>8822</v>
      </c>
      <c r="J1941" t="s">
        <v>33117</v>
      </c>
      <c r="K1941" t="s">
        <v>41186</v>
      </c>
      <c r="M1941" t="s">
        <v>42234</v>
      </c>
      <c r="N1941" t="s">
        <v>45095</v>
      </c>
      <c r="O1941" t="s">
        <v>45096</v>
      </c>
      <c r="P1941">
        <v>0</v>
      </c>
      <c r="Q1941">
        <v>0</v>
      </c>
      <c r="R1941" t="s">
        <v>45097</v>
      </c>
      <c r="S1941" t="s">
        <v>45222</v>
      </c>
      <c r="T1941" t="s">
        <v>46935</v>
      </c>
      <c r="U1941" t="s">
        <v>49132</v>
      </c>
      <c r="W1941" t="s">
        <v>42234</v>
      </c>
      <c r="X1941" t="s">
        <v>45098</v>
      </c>
    </row>
    <row r="1942" spans="1:24">
      <c r="A1942">
        <f>HYPERLINK("https://www.philgeps.gov.ph/GEPSNONPILOT/Tender/SplashBidNoticeAbstractUI.aspx?menuIndex=3&amp;refID=7046543&amp;Result=3","7046543")</f>
        <v>0</v>
      </c>
      <c r="B1942" t="s">
        <v>569</v>
      </c>
      <c r="C1942" t="s">
        <v>5063</v>
      </c>
      <c r="D1942" t="s">
        <v>18033</v>
      </c>
      <c r="E1942" t="s">
        <v>19889</v>
      </c>
      <c r="F1942" t="s">
        <v>31574</v>
      </c>
      <c r="G1942" t="s">
        <v>31581</v>
      </c>
      <c r="H1942" t="s">
        <v>31590</v>
      </c>
      <c r="I1942" t="s">
        <v>31594</v>
      </c>
      <c r="J1942" t="s">
        <v>33118</v>
      </c>
      <c r="K1942" t="s">
        <v>41184</v>
      </c>
      <c r="M1942" t="s">
        <v>42070</v>
      </c>
      <c r="N1942" t="s">
        <v>45095</v>
      </c>
      <c r="O1942" t="s">
        <v>45096</v>
      </c>
      <c r="P1942">
        <v>0</v>
      </c>
      <c r="Q1942">
        <v>0</v>
      </c>
      <c r="R1942" t="s">
        <v>45097</v>
      </c>
      <c r="S1942" t="s">
        <v>45222</v>
      </c>
      <c r="T1942" t="s">
        <v>46980</v>
      </c>
      <c r="U1942" t="s">
        <v>49133</v>
      </c>
      <c r="W1942" t="s">
        <v>42070</v>
      </c>
      <c r="X1942" t="s">
        <v>45098</v>
      </c>
    </row>
    <row r="1943" spans="1:24">
      <c r="A1943">
        <f>HYPERLINK("https://www.philgeps.gov.ph/GEPSNONPILOT/Tender/SplashBidNoticeAbstractUI.aspx?menuIndex=3&amp;refID=7046523&amp;Result=3","7046523")</f>
        <v>0</v>
      </c>
      <c r="B1943" t="s">
        <v>743</v>
      </c>
      <c r="C1943" t="s">
        <v>5064</v>
      </c>
      <c r="D1943" t="s">
        <v>18099</v>
      </c>
      <c r="E1943" t="s">
        <v>19890</v>
      </c>
      <c r="F1943" t="s">
        <v>31574</v>
      </c>
      <c r="G1943" t="s">
        <v>31588</v>
      </c>
      <c r="H1943" t="s">
        <v>31591</v>
      </c>
      <c r="I1943" t="s">
        <v>8822</v>
      </c>
      <c r="J1943" t="s">
        <v>33119</v>
      </c>
      <c r="K1943" t="s">
        <v>41189</v>
      </c>
      <c r="M1943" t="s">
        <v>42255</v>
      </c>
      <c r="N1943" t="s">
        <v>45095</v>
      </c>
      <c r="O1943" t="s">
        <v>45096</v>
      </c>
      <c r="P1943">
        <v>0</v>
      </c>
      <c r="Q1943">
        <v>0</v>
      </c>
      <c r="R1943" t="s">
        <v>45097</v>
      </c>
      <c r="S1943" t="s">
        <v>45222</v>
      </c>
      <c r="T1943" t="s">
        <v>46916</v>
      </c>
      <c r="U1943" t="s">
        <v>49049</v>
      </c>
      <c r="V1943" t="s">
        <v>60040</v>
      </c>
      <c r="W1943" t="s">
        <v>44905</v>
      </c>
      <c r="X1943" t="s">
        <v>45098</v>
      </c>
    </row>
    <row r="1944" spans="1:24">
      <c r="A1944">
        <f>HYPERLINK("https://www.philgeps.gov.ph/GEPSNONPILOT/Tender/SplashBidNoticeAbstractUI.aspx?menuIndex=3&amp;refID=7046556&amp;Result=3","7046556")</f>
        <v>0</v>
      </c>
      <c r="B1944" t="s">
        <v>605</v>
      </c>
      <c r="C1944" t="s">
        <v>5065</v>
      </c>
      <c r="D1944" t="s">
        <v>18033</v>
      </c>
      <c r="E1944" t="s">
        <v>19891</v>
      </c>
      <c r="F1944" t="s">
        <v>31574</v>
      </c>
      <c r="G1944" t="s">
        <v>31581</v>
      </c>
      <c r="H1944" t="s">
        <v>31590</v>
      </c>
      <c r="I1944" t="s">
        <v>31612</v>
      </c>
      <c r="J1944" t="s">
        <v>32969</v>
      </c>
      <c r="K1944" t="s">
        <v>41190</v>
      </c>
      <c r="M1944" t="s">
        <v>42108</v>
      </c>
      <c r="N1944" t="s">
        <v>45095</v>
      </c>
      <c r="O1944" t="s">
        <v>45096</v>
      </c>
      <c r="P1944">
        <v>0</v>
      </c>
      <c r="Q1944">
        <v>0</v>
      </c>
      <c r="R1944" t="s">
        <v>45097</v>
      </c>
      <c r="S1944" t="s">
        <v>45222</v>
      </c>
      <c r="T1944" t="s">
        <v>46918</v>
      </c>
      <c r="U1944" t="s">
        <v>49134</v>
      </c>
      <c r="V1944" t="s">
        <v>60041</v>
      </c>
      <c r="W1944" t="s">
        <v>42108</v>
      </c>
      <c r="X1944" t="s">
        <v>45098</v>
      </c>
    </row>
    <row r="1945" spans="1:24">
      <c r="A1945">
        <f>HYPERLINK("https://www.philgeps.gov.ph/GEPSNONPILOT/Tender/SplashBidNoticeAbstractUI.aspx?menuIndex=3&amp;refID=7046554&amp;Result=3","7046554")</f>
        <v>0</v>
      </c>
      <c r="B1945" t="s">
        <v>766</v>
      </c>
      <c r="C1945" t="s">
        <v>5066</v>
      </c>
      <c r="D1945" t="s">
        <v>18040</v>
      </c>
      <c r="E1945" t="s">
        <v>19892</v>
      </c>
      <c r="F1945" t="s">
        <v>31574</v>
      </c>
      <c r="G1945" t="s">
        <v>31582</v>
      </c>
      <c r="H1945" t="s">
        <v>31591</v>
      </c>
      <c r="I1945" t="s">
        <v>4046</v>
      </c>
      <c r="J1945" t="s">
        <v>31949</v>
      </c>
      <c r="K1945" t="s">
        <v>41196</v>
      </c>
      <c r="M1945" t="s">
        <v>42280</v>
      </c>
      <c r="N1945" t="s">
        <v>45095</v>
      </c>
      <c r="O1945" t="s">
        <v>45096</v>
      </c>
      <c r="P1945">
        <v>0</v>
      </c>
      <c r="Q1945">
        <v>0</v>
      </c>
      <c r="R1945" t="s">
        <v>45097</v>
      </c>
      <c r="S1945" t="s">
        <v>45222</v>
      </c>
      <c r="T1945" t="s">
        <v>46905</v>
      </c>
      <c r="U1945" t="s">
        <v>49135</v>
      </c>
      <c r="W1945" t="s">
        <v>42280</v>
      </c>
      <c r="X1945" t="s">
        <v>45098</v>
      </c>
    </row>
    <row r="1946" spans="1:24">
      <c r="A1946">
        <f>HYPERLINK("https://www.philgeps.gov.ph/GEPSNONPILOT/Tender/SplashBidNoticeAbstractUI.aspx?menuIndex=3&amp;refID=7046552&amp;Result=3","7046552")</f>
        <v>0</v>
      </c>
      <c r="B1946" t="s">
        <v>780</v>
      </c>
      <c r="C1946" t="s">
        <v>5067</v>
      </c>
      <c r="D1946" t="s">
        <v>18034</v>
      </c>
      <c r="E1946" t="s">
        <v>19893</v>
      </c>
      <c r="F1946" t="s">
        <v>31574</v>
      </c>
      <c r="G1946" t="s">
        <v>31582</v>
      </c>
      <c r="H1946" t="s">
        <v>31591</v>
      </c>
      <c r="I1946" t="s">
        <v>8822</v>
      </c>
      <c r="J1946" t="s">
        <v>33120</v>
      </c>
      <c r="K1946" t="s">
        <v>41272</v>
      </c>
      <c r="L1946" t="s">
        <v>780</v>
      </c>
      <c r="M1946" t="s">
        <v>42294</v>
      </c>
      <c r="N1946" t="s">
        <v>45095</v>
      </c>
      <c r="O1946" t="s">
        <v>45096</v>
      </c>
      <c r="P1946">
        <v>0</v>
      </c>
      <c r="Q1946">
        <v>0</v>
      </c>
      <c r="R1946" t="s">
        <v>45097</v>
      </c>
      <c r="S1946" t="s">
        <v>45222</v>
      </c>
      <c r="T1946" t="s">
        <v>46915</v>
      </c>
      <c r="U1946" t="s">
        <v>49136</v>
      </c>
      <c r="V1946" t="s">
        <v>60042</v>
      </c>
      <c r="W1946" t="s">
        <v>42294</v>
      </c>
      <c r="X1946" t="s">
        <v>45098</v>
      </c>
    </row>
    <row r="1947" spans="1:24">
      <c r="A1947">
        <f>HYPERLINK("https://www.philgeps.gov.ph/GEPSNONPILOT/Tender/SplashBidNoticeAbstractUI.aspx?menuIndex=3&amp;refID=7046546&amp;Result=3","7046546")</f>
        <v>0</v>
      </c>
      <c r="B1947" t="s">
        <v>722</v>
      </c>
      <c r="C1947" t="s">
        <v>5068</v>
      </c>
      <c r="D1947" t="s">
        <v>18105</v>
      </c>
      <c r="E1947" t="s">
        <v>19894</v>
      </c>
      <c r="F1947" t="s">
        <v>31574</v>
      </c>
      <c r="G1947" t="s">
        <v>31584</v>
      </c>
      <c r="H1947" t="s">
        <v>31590</v>
      </c>
      <c r="I1947" t="s">
        <v>4327</v>
      </c>
      <c r="J1947" t="s">
        <v>33121</v>
      </c>
      <c r="K1947" t="s">
        <v>41193</v>
      </c>
      <c r="M1947" t="s">
        <v>42232</v>
      </c>
      <c r="N1947" t="s">
        <v>45095</v>
      </c>
      <c r="O1947" t="s">
        <v>45096</v>
      </c>
      <c r="P1947">
        <v>0</v>
      </c>
      <c r="Q1947">
        <v>0</v>
      </c>
      <c r="R1947" t="s">
        <v>45097</v>
      </c>
      <c r="S1947" t="s">
        <v>45222</v>
      </c>
      <c r="T1947" t="s">
        <v>46961</v>
      </c>
      <c r="U1947" t="s">
        <v>49137</v>
      </c>
      <c r="W1947" t="s">
        <v>42232</v>
      </c>
      <c r="X1947" t="s">
        <v>45098</v>
      </c>
    </row>
    <row r="1948" spans="1:24">
      <c r="A1948">
        <f>HYPERLINK("https://www.philgeps.gov.ph/GEPSNONPILOT/Tender/SplashBidNoticeAbstractUI.aspx?menuIndex=3&amp;refID=7046547&amp;Result=3","7046547")</f>
        <v>0</v>
      </c>
      <c r="B1948" t="s">
        <v>731</v>
      </c>
      <c r="C1948" t="s">
        <v>5069</v>
      </c>
      <c r="D1948" t="s">
        <v>18041</v>
      </c>
      <c r="E1948" t="s">
        <v>19895</v>
      </c>
      <c r="F1948" t="s">
        <v>31574</v>
      </c>
      <c r="G1948" t="s">
        <v>31581</v>
      </c>
      <c r="H1948" t="s">
        <v>31590</v>
      </c>
      <c r="I1948" t="s">
        <v>5717</v>
      </c>
      <c r="J1948" t="s">
        <v>33122</v>
      </c>
      <c r="K1948" t="s">
        <v>41193</v>
      </c>
      <c r="M1948" t="s">
        <v>42241</v>
      </c>
      <c r="N1948" t="s">
        <v>45095</v>
      </c>
      <c r="O1948" t="s">
        <v>45096</v>
      </c>
      <c r="P1948">
        <v>0</v>
      </c>
      <c r="Q1948">
        <v>0</v>
      </c>
      <c r="R1948" t="s">
        <v>45097</v>
      </c>
      <c r="S1948" t="s">
        <v>45222</v>
      </c>
      <c r="T1948" t="s">
        <v>46969</v>
      </c>
      <c r="U1948" t="s">
        <v>49138</v>
      </c>
      <c r="W1948" t="s">
        <v>42241</v>
      </c>
      <c r="X1948" t="s">
        <v>45098</v>
      </c>
    </row>
    <row r="1949" spans="1:24">
      <c r="A1949">
        <f>HYPERLINK("https://www.philgeps.gov.ph/GEPSNONPILOT/Tender/SplashBidNoticeAbstractUI.aspx?menuIndex=3&amp;refID=7046545&amp;Result=3","7046545")</f>
        <v>0</v>
      </c>
      <c r="B1949" t="s">
        <v>781</v>
      </c>
      <c r="C1949" t="s">
        <v>5070</v>
      </c>
      <c r="D1949" t="s">
        <v>18047</v>
      </c>
      <c r="E1949" t="s">
        <v>19896</v>
      </c>
      <c r="F1949" t="s">
        <v>31574</v>
      </c>
      <c r="G1949" t="s">
        <v>31582</v>
      </c>
      <c r="H1949" t="s">
        <v>31590</v>
      </c>
      <c r="I1949" t="s">
        <v>7185</v>
      </c>
      <c r="J1949" t="s">
        <v>33123</v>
      </c>
      <c r="K1949" t="s">
        <v>41184</v>
      </c>
      <c r="M1949" t="s">
        <v>42295</v>
      </c>
      <c r="N1949" t="s">
        <v>45095</v>
      </c>
      <c r="O1949" t="s">
        <v>45096</v>
      </c>
      <c r="P1949">
        <v>0</v>
      </c>
      <c r="Q1949">
        <v>0</v>
      </c>
      <c r="R1949" t="s">
        <v>45097</v>
      </c>
      <c r="S1949" t="s">
        <v>45222</v>
      </c>
      <c r="T1949" t="s">
        <v>46910</v>
      </c>
      <c r="U1949" t="s">
        <v>49139</v>
      </c>
      <c r="W1949" t="s">
        <v>42295</v>
      </c>
      <c r="X1949" t="s">
        <v>45098</v>
      </c>
    </row>
    <row r="1950" spans="1:24">
      <c r="A1950">
        <f>HYPERLINK("https://www.philgeps.gov.ph/GEPSNONPILOT/Tender/SplashBidNoticeAbstractUI.aspx?menuIndex=3&amp;refID=7046567&amp;Result=3","7046567")</f>
        <v>0</v>
      </c>
      <c r="B1950" t="s">
        <v>704</v>
      </c>
      <c r="C1950" t="s">
        <v>5071</v>
      </c>
      <c r="E1950" t="s">
        <v>19897</v>
      </c>
      <c r="F1950" t="s">
        <v>31574</v>
      </c>
      <c r="G1950" t="s">
        <v>31582</v>
      </c>
      <c r="H1950" t="s">
        <v>31590</v>
      </c>
      <c r="I1950" t="s">
        <v>31640</v>
      </c>
      <c r="J1950" t="s">
        <v>33124</v>
      </c>
      <c r="K1950" t="s">
        <v>41217</v>
      </c>
      <c r="M1950" t="s">
        <v>42213</v>
      </c>
      <c r="N1950" t="s">
        <v>45095</v>
      </c>
      <c r="O1950" t="s">
        <v>45096</v>
      </c>
      <c r="P1950">
        <v>0</v>
      </c>
      <c r="Q1950">
        <v>0</v>
      </c>
      <c r="R1950" t="s">
        <v>45097</v>
      </c>
      <c r="S1950" t="s">
        <v>45222</v>
      </c>
      <c r="T1950" t="s">
        <v>46908</v>
      </c>
      <c r="U1950" t="s">
        <v>49140</v>
      </c>
      <c r="W1950" t="s">
        <v>42213</v>
      </c>
      <c r="X1950" t="s">
        <v>45098</v>
      </c>
    </row>
    <row r="1951" spans="1:24">
      <c r="A1951">
        <f>HYPERLINK("https://www.philgeps.gov.ph/GEPSNONPILOT/Tender/SplashBidNoticeAbstractUI.aspx?menuIndex=3&amp;refID=7046555&amp;Result=3","7046555")</f>
        <v>0</v>
      </c>
      <c r="B1951" t="s">
        <v>782</v>
      </c>
      <c r="C1951" t="s">
        <v>5072</v>
      </c>
      <c r="D1951" t="s">
        <v>18077</v>
      </c>
      <c r="E1951" t="s">
        <v>19898</v>
      </c>
      <c r="F1951" t="s">
        <v>31574</v>
      </c>
      <c r="G1951" t="s">
        <v>31581</v>
      </c>
      <c r="H1951" t="s">
        <v>31590</v>
      </c>
      <c r="I1951" t="s">
        <v>6800</v>
      </c>
      <c r="J1951" t="s">
        <v>32012</v>
      </c>
      <c r="K1951" t="s">
        <v>41193</v>
      </c>
      <c r="M1951" t="s">
        <v>42296</v>
      </c>
      <c r="N1951" t="s">
        <v>45095</v>
      </c>
      <c r="O1951" t="s">
        <v>45096</v>
      </c>
      <c r="P1951">
        <v>0</v>
      </c>
      <c r="Q1951">
        <v>0</v>
      </c>
      <c r="R1951" t="s">
        <v>45097</v>
      </c>
      <c r="S1951" t="s">
        <v>45222</v>
      </c>
      <c r="T1951" t="s">
        <v>46911</v>
      </c>
      <c r="U1951" t="s">
        <v>49141</v>
      </c>
      <c r="W1951" t="s">
        <v>42296</v>
      </c>
      <c r="X1951" t="s">
        <v>45098</v>
      </c>
    </row>
    <row r="1952" spans="1:24">
      <c r="A1952">
        <f>HYPERLINK("https://www.philgeps.gov.ph/GEPSNONPILOT/Tender/SplashBidNoticeAbstractUI.aspx?menuIndex=3&amp;refID=7046566&amp;Result=3","7046566")</f>
        <v>0</v>
      </c>
      <c r="B1952" t="s">
        <v>351</v>
      </c>
      <c r="C1952" t="s">
        <v>5073</v>
      </c>
      <c r="D1952" t="s">
        <v>18050</v>
      </c>
      <c r="E1952" t="s">
        <v>19899</v>
      </c>
      <c r="F1952" t="s">
        <v>31574</v>
      </c>
      <c r="G1952" t="s">
        <v>31581</v>
      </c>
      <c r="H1952" t="s">
        <v>31590</v>
      </c>
      <c r="I1952" t="s">
        <v>3487</v>
      </c>
      <c r="J1952" t="s">
        <v>33125</v>
      </c>
      <c r="K1952" t="s">
        <v>41184</v>
      </c>
      <c r="M1952" t="s">
        <v>41839</v>
      </c>
      <c r="N1952" t="s">
        <v>45095</v>
      </c>
      <c r="O1952" t="s">
        <v>45096</v>
      </c>
      <c r="P1952">
        <v>0</v>
      </c>
      <c r="Q1952">
        <v>0</v>
      </c>
      <c r="R1952" t="s">
        <v>45097</v>
      </c>
      <c r="S1952" t="s">
        <v>45222</v>
      </c>
      <c r="T1952" t="s">
        <v>47002</v>
      </c>
      <c r="U1952" t="s">
        <v>49142</v>
      </c>
      <c r="W1952" t="s">
        <v>41839</v>
      </c>
      <c r="X1952" t="s">
        <v>45098</v>
      </c>
    </row>
    <row r="1953" spans="1:24">
      <c r="A1953">
        <f>HYPERLINK("https://www.philgeps.gov.ph/GEPSNONPILOT/Tender/SplashBidNoticeAbstractUI.aspx?menuIndex=3&amp;refID=7046565&amp;Result=3","7046565")</f>
        <v>0</v>
      </c>
      <c r="B1953" t="s">
        <v>768</v>
      </c>
      <c r="C1953" t="s">
        <v>5074</v>
      </c>
      <c r="D1953" t="s">
        <v>18086</v>
      </c>
      <c r="E1953" t="s">
        <v>19900</v>
      </c>
      <c r="F1953" t="s">
        <v>31574</v>
      </c>
      <c r="G1953" t="s">
        <v>31584</v>
      </c>
      <c r="H1953" t="s">
        <v>31590</v>
      </c>
      <c r="I1953" t="s">
        <v>31608</v>
      </c>
      <c r="J1953" t="s">
        <v>32146</v>
      </c>
      <c r="K1953" t="s">
        <v>41196</v>
      </c>
      <c r="M1953" t="s">
        <v>42282</v>
      </c>
      <c r="N1953" t="s">
        <v>45095</v>
      </c>
      <c r="O1953" t="s">
        <v>45096</v>
      </c>
      <c r="P1953">
        <v>0</v>
      </c>
      <c r="Q1953">
        <v>0</v>
      </c>
      <c r="R1953" t="s">
        <v>45097</v>
      </c>
      <c r="S1953" t="s">
        <v>45222</v>
      </c>
      <c r="T1953" t="s">
        <v>46949</v>
      </c>
      <c r="U1953" t="s">
        <v>49143</v>
      </c>
      <c r="W1953" t="s">
        <v>42282</v>
      </c>
      <c r="X1953" t="s">
        <v>45098</v>
      </c>
    </row>
    <row r="1954" spans="1:24">
      <c r="A1954">
        <f>HYPERLINK("https://www.philgeps.gov.ph/GEPSNONPILOT/Tender/SplashBidNoticeAbstractUI.aspx?menuIndex=3&amp;refID=7046553&amp;Result=3","7046553")</f>
        <v>0</v>
      </c>
      <c r="B1954" t="s">
        <v>783</v>
      </c>
      <c r="C1954" t="s">
        <v>5075</v>
      </c>
      <c r="D1954" t="s">
        <v>18079</v>
      </c>
      <c r="E1954" t="s">
        <v>19901</v>
      </c>
      <c r="F1954" t="s">
        <v>31574</v>
      </c>
      <c r="G1954" t="s">
        <v>31582</v>
      </c>
      <c r="H1954" t="s">
        <v>31590</v>
      </c>
      <c r="I1954" t="s">
        <v>4046</v>
      </c>
      <c r="J1954" t="s">
        <v>33126</v>
      </c>
      <c r="K1954" t="s">
        <v>41196</v>
      </c>
      <c r="M1954" t="s">
        <v>42297</v>
      </c>
      <c r="N1954" t="s">
        <v>45095</v>
      </c>
      <c r="O1954" t="s">
        <v>45096</v>
      </c>
      <c r="P1954">
        <v>0</v>
      </c>
      <c r="Q1954">
        <v>0</v>
      </c>
      <c r="R1954" t="s">
        <v>45097</v>
      </c>
      <c r="S1954" t="s">
        <v>45222</v>
      </c>
      <c r="T1954" t="s">
        <v>46941</v>
      </c>
      <c r="U1954" t="s">
        <v>49144</v>
      </c>
      <c r="W1954" t="s">
        <v>42297</v>
      </c>
      <c r="X1954" t="s">
        <v>45098</v>
      </c>
    </row>
    <row r="1955" spans="1:24">
      <c r="A1955">
        <f>HYPERLINK("https://www.philgeps.gov.ph/GEPSNONPILOT/Tender/SplashBidNoticeAbstractUI.aspx?menuIndex=3&amp;refID=7046550&amp;Result=3","7046550")</f>
        <v>0</v>
      </c>
      <c r="B1955" t="s">
        <v>351</v>
      </c>
      <c r="C1955" t="s">
        <v>5076</v>
      </c>
      <c r="D1955" t="s">
        <v>18050</v>
      </c>
      <c r="E1955" t="s">
        <v>19137</v>
      </c>
      <c r="F1955" t="s">
        <v>31574</v>
      </c>
      <c r="G1955" t="s">
        <v>31581</v>
      </c>
      <c r="H1955" t="s">
        <v>31590</v>
      </c>
      <c r="I1955" t="s">
        <v>4046</v>
      </c>
      <c r="J1955" t="s">
        <v>33127</v>
      </c>
      <c r="K1955" t="s">
        <v>41184</v>
      </c>
      <c r="M1955" t="s">
        <v>41839</v>
      </c>
      <c r="N1955" t="s">
        <v>45095</v>
      </c>
      <c r="O1955" t="s">
        <v>45096</v>
      </c>
      <c r="P1955">
        <v>0</v>
      </c>
      <c r="Q1955">
        <v>0</v>
      </c>
      <c r="R1955" t="s">
        <v>45097</v>
      </c>
      <c r="S1955" t="s">
        <v>45222</v>
      </c>
      <c r="T1955" t="s">
        <v>47002</v>
      </c>
      <c r="U1955" t="s">
        <v>49145</v>
      </c>
      <c r="W1955" t="s">
        <v>41839</v>
      </c>
      <c r="X1955" t="s">
        <v>45098</v>
      </c>
    </row>
    <row r="1956" spans="1:24">
      <c r="A1956">
        <f>HYPERLINK("https://www.philgeps.gov.ph/GEPSNONPILOT/Tender/SplashBidNoticeAbstractUI.aspx?menuIndex=3&amp;refID=7046562&amp;Result=3","7046562")</f>
        <v>0</v>
      </c>
      <c r="B1956" t="s">
        <v>781</v>
      </c>
      <c r="C1956" t="s">
        <v>5077</v>
      </c>
      <c r="D1956" t="s">
        <v>18047</v>
      </c>
      <c r="E1956" t="s">
        <v>19902</v>
      </c>
      <c r="F1956" t="s">
        <v>31574</v>
      </c>
      <c r="G1956" t="s">
        <v>31581</v>
      </c>
      <c r="H1956" t="s">
        <v>31590</v>
      </c>
      <c r="I1956" t="s">
        <v>3539</v>
      </c>
      <c r="J1956" t="s">
        <v>33128</v>
      </c>
      <c r="K1956" t="s">
        <v>41184</v>
      </c>
      <c r="M1956" t="s">
        <v>42295</v>
      </c>
      <c r="N1956" t="s">
        <v>45095</v>
      </c>
      <c r="O1956" t="s">
        <v>45096</v>
      </c>
      <c r="P1956">
        <v>0</v>
      </c>
      <c r="Q1956">
        <v>0</v>
      </c>
      <c r="R1956" t="s">
        <v>45097</v>
      </c>
      <c r="S1956" t="s">
        <v>45222</v>
      </c>
      <c r="T1956" t="s">
        <v>46910</v>
      </c>
      <c r="U1956" t="s">
        <v>49139</v>
      </c>
      <c r="W1956" t="s">
        <v>42295</v>
      </c>
      <c r="X1956" t="s">
        <v>45098</v>
      </c>
    </row>
    <row r="1957" spans="1:24">
      <c r="A1957">
        <f>HYPERLINK("https://www.philgeps.gov.ph/GEPSNONPILOT/Tender/SplashBidNoticeAbstractUI.aspx?menuIndex=3&amp;refID=7046561&amp;Result=3","7046561")</f>
        <v>0</v>
      </c>
      <c r="B1957" t="s">
        <v>724</v>
      </c>
      <c r="C1957" t="s">
        <v>5078</v>
      </c>
      <c r="D1957" t="s">
        <v>18027</v>
      </c>
      <c r="E1957" t="s">
        <v>19903</v>
      </c>
      <c r="F1957" t="s">
        <v>31574</v>
      </c>
      <c r="G1957" t="s">
        <v>31582</v>
      </c>
      <c r="H1957" t="s">
        <v>31591</v>
      </c>
      <c r="I1957" t="s">
        <v>8822</v>
      </c>
      <c r="J1957" t="s">
        <v>33129</v>
      </c>
      <c r="K1957" t="s">
        <v>41186</v>
      </c>
      <c r="M1957" t="s">
        <v>42234</v>
      </c>
      <c r="N1957" t="s">
        <v>45095</v>
      </c>
      <c r="O1957" t="s">
        <v>45096</v>
      </c>
      <c r="P1957">
        <v>0</v>
      </c>
      <c r="Q1957">
        <v>0</v>
      </c>
      <c r="R1957" t="s">
        <v>45097</v>
      </c>
      <c r="S1957" t="s">
        <v>45222</v>
      </c>
      <c r="T1957" t="s">
        <v>46926</v>
      </c>
      <c r="U1957" t="s">
        <v>49146</v>
      </c>
      <c r="W1957" t="s">
        <v>42234</v>
      </c>
      <c r="X1957" t="s">
        <v>45098</v>
      </c>
    </row>
    <row r="1958" spans="1:24">
      <c r="A1958">
        <f>HYPERLINK("https://www.philgeps.gov.ph/GEPSNONPILOT/Tender/SplashBidNoticeAbstractUI.aspx?menuIndex=3&amp;refID=7046564&amp;Result=3","7046564")</f>
        <v>0</v>
      </c>
      <c r="B1958" t="s">
        <v>744</v>
      </c>
      <c r="C1958" t="s">
        <v>5079</v>
      </c>
      <c r="D1958" t="s">
        <v>18040</v>
      </c>
      <c r="E1958" t="s">
        <v>19904</v>
      </c>
      <c r="F1958" t="s">
        <v>31574</v>
      </c>
      <c r="G1958" t="s">
        <v>31582</v>
      </c>
      <c r="H1958" t="s">
        <v>31591</v>
      </c>
      <c r="I1958" t="s">
        <v>8822</v>
      </c>
      <c r="J1958" t="s">
        <v>31947</v>
      </c>
      <c r="K1958" t="s">
        <v>41273</v>
      </c>
      <c r="M1958" t="s">
        <v>42257</v>
      </c>
      <c r="N1958" t="s">
        <v>45095</v>
      </c>
      <c r="O1958" t="s">
        <v>45096</v>
      </c>
      <c r="P1958">
        <v>0</v>
      </c>
      <c r="Q1958">
        <v>0</v>
      </c>
      <c r="R1958" t="s">
        <v>45097</v>
      </c>
      <c r="S1958" t="s">
        <v>45222</v>
      </c>
      <c r="T1958" t="s">
        <v>46922</v>
      </c>
      <c r="U1958" t="s">
        <v>49147</v>
      </c>
      <c r="W1958" t="s">
        <v>42257</v>
      </c>
      <c r="X1958" t="s">
        <v>45098</v>
      </c>
    </row>
    <row r="1959" spans="1:24">
      <c r="A1959">
        <f>HYPERLINK("https://www.philgeps.gov.ph/GEPSNONPILOT/Tender/SplashBidNoticeAbstractUI.aspx?menuIndex=3&amp;refID=7046549&amp;Result=3","7046549")</f>
        <v>0</v>
      </c>
      <c r="B1959" t="s">
        <v>784</v>
      </c>
      <c r="C1959" t="s">
        <v>5080</v>
      </c>
      <c r="E1959" t="s">
        <v>19905</v>
      </c>
      <c r="F1959" t="s">
        <v>31574</v>
      </c>
      <c r="G1959" t="s">
        <v>31581</v>
      </c>
      <c r="H1959" t="s">
        <v>31590</v>
      </c>
      <c r="I1959" t="s">
        <v>7185</v>
      </c>
      <c r="J1959" t="s">
        <v>32375</v>
      </c>
      <c r="K1959" t="s">
        <v>41196</v>
      </c>
      <c r="M1959" t="s">
        <v>42298</v>
      </c>
      <c r="N1959" t="s">
        <v>45095</v>
      </c>
      <c r="O1959" t="s">
        <v>45096</v>
      </c>
      <c r="P1959">
        <v>0</v>
      </c>
      <c r="Q1959">
        <v>0</v>
      </c>
      <c r="R1959" t="s">
        <v>45097</v>
      </c>
      <c r="S1959" t="s">
        <v>45222</v>
      </c>
      <c r="T1959" t="s">
        <v>46913</v>
      </c>
      <c r="U1959" t="s">
        <v>49148</v>
      </c>
      <c r="W1959" t="s">
        <v>42298</v>
      </c>
      <c r="X1959" t="s">
        <v>45098</v>
      </c>
    </row>
    <row r="1960" spans="1:24">
      <c r="A1960">
        <f>HYPERLINK("https://www.philgeps.gov.ph/GEPSNONPILOT/Tender/SplashBidNoticeAbstractUI.aspx?menuIndex=3&amp;refID=7046557&amp;Result=3","7046557")</f>
        <v>0</v>
      </c>
      <c r="B1960" t="s">
        <v>89</v>
      </c>
      <c r="C1960" t="s">
        <v>5081</v>
      </c>
      <c r="D1960" t="s">
        <v>18059</v>
      </c>
      <c r="E1960" t="s">
        <v>19906</v>
      </c>
      <c r="F1960" t="s">
        <v>31574</v>
      </c>
      <c r="G1960" t="s">
        <v>31581</v>
      </c>
      <c r="H1960" t="s">
        <v>31590</v>
      </c>
      <c r="I1960" t="s">
        <v>31619</v>
      </c>
      <c r="J1960" t="s">
        <v>33130</v>
      </c>
      <c r="K1960" t="s">
        <v>41184</v>
      </c>
      <c r="M1960" t="s">
        <v>41573</v>
      </c>
      <c r="N1960" t="s">
        <v>45095</v>
      </c>
      <c r="O1960" t="s">
        <v>45096</v>
      </c>
      <c r="P1960">
        <v>0</v>
      </c>
      <c r="Q1960">
        <v>0</v>
      </c>
      <c r="R1960" t="s">
        <v>45097</v>
      </c>
      <c r="S1960" t="s">
        <v>45222</v>
      </c>
      <c r="T1960" t="s">
        <v>46946</v>
      </c>
      <c r="U1960" t="s">
        <v>49149</v>
      </c>
      <c r="W1960" t="s">
        <v>41573</v>
      </c>
      <c r="X1960" t="s">
        <v>45098</v>
      </c>
    </row>
    <row r="1961" spans="1:24">
      <c r="A1961">
        <f>HYPERLINK("https://www.philgeps.gov.ph/GEPSNONPILOT/Tender/SplashBidNoticeAbstractUI.aspx?menuIndex=3&amp;refID=7046568&amp;Result=3","7046568")</f>
        <v>0</v>
      </c>
      <c r="B1961" t="s">
        <v>746</v>
      </c>
      <c r="C1961" t="s">
        <v>5082</v>
      </c>
      <c r="D1961" t="s">
        <v>18053</v>
      </c>
      <c r="E1961" t="s">
        <v>18316</v>
      </c>
      <c r="F1961" t="s">
        <v>31574</v>
      </c>
      <c r="G1961" t="s">
        <v>31582</v>
      </c>
      <c r="H1961" t="s">
        <v>31591</v>
      </c>
      <c r="I1961" t="s">
        <v>8822</v>
      </c>
      <c r="J1961" t="s">
        <v>32241</v>
      </c>
      <c r="K1961" t="s">
        <v>41243</v>
      </c>
      <c r="M1961" t="s">
        <v>42260</v>
      </c>
      <c r="N1961" t="s">
        <v>45095</v>
      </c>
      <c r="O1961" t="s">
        <v>45096</v>
      </c>
      <c r="P1961">
        <v>0</v>
      </c>
      <c r="Q1961">
        <v>0</v>
      </c>
      <c r="R1961" t="s">
        <v>45097</v>
      </c>
      <c r="S1961" t="s">
        <v>45222</v>
      </c>
      <c r="T1961" t="s">
        <v>46919</v>
      </c>
      <c r="U1961" t="s">
        <v>49150</v>
      </c>
      <c r="W1961" t="s">
        <v>42260</v>
      </c>
      <c r="X1961" t="s">
        <v>45098</v>
      </c>
    </row>
    <row r="1962" spans="1:24">
      <c r="A1962">
        <f>HYPERLINK("https://www.philgeps.gov.ph/GEPSNONPILOT/Tender/SplashBidNoticeAbstractUI.aspx?menuIndex=3&amp;refID=7046559&amp;Result=3","7046559")</f>
        <v>0</v>
      </c>
      <c r="B1962" t="s">
        <v>785</v>
      </c>
      <c r="C1962" t="s">
        <v>5083</v>
      </c>
      <c r="D1962" t="s">
        <v>18096</v>
      </c>
      <c r="E1962" t="s">
        <v>19907</v>
      </c>
      <c r="F1962" t="s">
        <v>31574</v>
      </c>
      <c r="G1962" t="s">
        <v>31581</v>
      </c>
      <c r="H1962" t="s">
        <v>31590</v>
      </c>
      <c r="I1962" t="s">
        <v>3901</v>
      </c>
      <c r="J1962" t="s">
        <v>32001</v>
      </c>
      <c r="K1962" t="s">
        <v>41192</v>
      </c>
      <c r="M1962" t="s">
        <v>42299</v>
      </c>
      <c r="N1962" t="s">
        <v>45095</v>
      </c>
      <c r="O1962" t="s">
        <v>45096</v>
      </c>
      <c r="P1962">
        <v>0</v>
      </c>
      <c r="Q1962">
        <v>0</v>
      </c>
      <c r="R1962" t="s">
        <v>45097</v>
      </c>
      <c r="S1962" t="s">
        <v>45222</v>
      </c>
      <c r="T1962" t="s">
        <v>46952</v>
      </c>
      <c r="U1962" t="s">
        <v>49151</v>
      </c>
      <c r="W1962" t="s">
        <v>42299</v>
      </c>
      <c r="X1962" t="s">
        <v>45098</v>
      </c>
    </row>
    <row r="1963" spans="1:24">
      <c r="A1963">
        <f>HYPERLINK("https://www.philgeps.gov.ph/GEPSNONPILOT/Tender/SplashBidNoticeAbstractUI.aspx?menuIndex=3&amp;refID=7046575&amp;Result=3","7046575")</f>
        <v>0</v>
      </c>
      <c r="B1963" t="s">
        <v>786</v>
      </c>
      <c r="C1963" t="s">
        <v>5084</v>
      </c>
      <c r="D1963" t="s">
        <v>18037</v>
      </c>
      <c r="E1963" t="s">
        <v>19908</v>
      </c>
      <c r="F1963" t="s">
        <v>31574</v>
      </c>
      <c r="G1963" t="s">
        <v>31581</v>
      </c>
      <c r="H1963" t="s">
        <v>31590</v>
      </c>
      <c r="I1963" t="s">
        <v>31625</v>
      </c>
      <c r="J1963" t="s">
        <v>33131</v>
      </c>
      <c r="K1963" t="s">
        <v>41196</v>
      </c>
      <c r="M1963" t="s">
        <v>42300</v>
      </c>
      <c r="N1963" t="s">
        <v>45095</v>
      </c>
      <c r="O1963" t="s">
        <v>45096</v>
      </c>
      <c r="P1963">
        <v>0</v>
      </c>
      <c r="Q1963">
        <v>0</v>
      </c>
      <c r="R1963" t="s">
        <v>45097</v>
      </c>
      <c r="S1963" t="s">
        <v>45222</v>
      </c>
      <c r="T1963" t="s">
        <v>46974</v>
      </c>
      <c r="U1963" t="s">
        <v>49152</v>
      </c>
      <c r="V1963" t="s">
        <v>60043</v>
      </c>
      <c r="W1963" t="s">
        <v>42300</v>
      </c>
      <c r="X1963" t="s">
        <v>45098</v>
      </c>
    </row>
    <row r="1964" spans="1:24">
      <c r="A1964">
        <f>HYPERLINK("https://www.philgeps.gov.ph/GEPSNONPILOT/Tender/SplashBidNoticeAbstractUI.aspx?menuIndex=3&amp;refID=7046570&amp;Result=3","7046570")</f>
        <v>0</v>
      </c>
      <c r="B1964" t="s">
        <v>709</v>
      </c>
      <c r="C1964" t="s">
        <v>5085</v>
      </c>
      <c r="D1964" t="s">
        <v>18026</v>
      </c>
      <c r="E1964" t="s">
        <v>19909</v>
      </c>
      <c r="F1964" t="s">
        <v>31574</v>
      </c>
      <c r="G1964" t="s">
        <v>31581</v>
      </c>
      <c r="H1964" t="s">
        <v>31590</v>
      </c>
      <c r="I1964" t="s">
        <v>6800</v>
      </c>
      <c r="J1964" t="s">
        <v>32041</v>
      </c>
      <c r="K1964" t="s">
        <v>41211</v>
      </c>
      <c r="M1964" t="s">
        <v>42219</v>
      </c>
      <c r="N1964" t="s">
        <v>45095</v>
      </c>
      <c r="O1964" t="s">
        <v>45096</v>
      </c>
      <c r="P1964">
        <v>0</v>
      </c>
      <c r="Q1964">
        <v>0</v>
      </c>
      <c r="R1964" t="s">
        <v>45097</v>
      </c>
      <c r="S1964" t="s">
        <v>45222</v>
      </c>
      <c r="T1964" t="s">
        <v>46918</v>
      </c>
      <c r="U1964" t="s">
        <v>49153</v>
      </c>
      <c r="W1964" t="s">
        <v>42219</v>
      </c>
      <c r="X1964" t="s">
        <v>45098</v>
      </c>
    </row>
    <row r="1965" spans="1:24">
      <c r="A1965">
        <f>HYPERLINK("https://www.philgeps.gov.ph/GEPSNONPILOT/Tender/SplashBidNoticeAbstractUI.aspx?menuIndex=3&amp;refID=7046574&amp;Result=3","7046574")</f>
        <v>0</v>
      </c>
      <c r="B1965" t="s">
        <v>781</v>
      </c>
      <c r="C1965" t="s">
        <v>5086</v>
      </c>
      <c r="D1965" t="s">
        <v>18047</v>
      </c>
      <c r="E1965" t="s">
        <v>19910</v>
      </c>
      <c r="F1965" t="s">
        <v>31574</v>
      </c>
      <c r="G1965" t="s">
        <v>31581</v>
      </c>
      <c r="H1965" t="s">
        <v>31590</v>
      </c>
      <c r="I1965" t="s">
        <v>14544</v>
      </c>
      <c r="J1965" t="s">
        <v>32236</v>
      </c>
      <c r="K1965" t="s">
        <v>41184</v>
      </c>
      <c r="M1965" t="s">
        <v>42295</v>
      </c>
      <c r="N1965" t="s">
        <v>45095</v>
      </c>
      <c r="O1965" t="s">
        <v>45096</v>
      </c>
      <c r="P1965">
        <v>0</v>
      </c>
      <c r="Q1965">
        <v>0</v>
      </c>
      <c r="R1965" t="s">
        <v>45097</v>
      </c>
      <c r="S1965" t="s">
        <v>45222</v>
      </c>
      <c r="T1965" t="s">
        <v>46910</v>
      </c>
      <c r="U1965" t="s">
        <v>49139</v>
      </c>
      <c r="W1965" t="s">
        <v>42295</v>
      </c>
      <c r="X1965" t="s">
        <v>45098</v>
      </c>
    </row>
    <row r="1966" spans="1:24">
      <c r="A1966">
        <f>HYPERLINK("https://www.philgeps.gov.ph/GEPSNONPILOT/Tender/SplashBidNoticeAbstractUI.aspx?menuIndex=3&amp;refID=7046581&amp;Result=3","7046581")</f>
        <v>0</v>
      </c>
      <c r="B1966" t="s">
        <v>780</v>
      </c>
      <c r="C1966" t="s">
        <v>5087</v>
      </c>
      <c r="D1966" t="s">
        <v>18034</v>
      </c>
      <c r="E1966" t="s">
        <v>19911</v>
      </c>
      <c r="F1966" t="s">
        <v>31574</v>
      </c>
      <c r="G1966" t="s">
        <v>31582</v>
      </c>
      <c r="H1966" t="s">
        <v>31591</v>
      </c>
      <c r="I1966" t="s">
        <v>8822</v>
      </c>
      <c r="J1966" t="s">
        <v>33132</v>
      </c>
      <c r="K1966" t="s">
        <v>41274</v>
      </c>
      <c r="L1966" t="s">
        <v>780</v>
      </c>
      <c r="M1966" t="s">
        <v>42294</v>
      </c>
      <c r="N1966" t="s">
        <v>45095</v>
      </c>
      <c r="O1966" t="s">
        <v>45096</v>
      </c>
      <c r="P1966">
        <v>0</v>
      </c>
      <c r="Q1966">
        <v>0</v>
      </c>
      <c r="R1966" t="s">
        <v>45097</v>
      </c>
      <c r="S1966" t="s">
        <v>45222</v>
      </c>
      <c r="T1966" t="s">
        <v>46915</v>
      </c>
      <c r="U1966" t="s">
        <v>49154</v>
      </c>
      <c r="V1966" t="s">
        <v>60044</v>
      </c>
      <c r="W1966" t="s">
        <v>42294</v>
      </c>
      <c r="X1966" t="s">
        <v>45098</v>
      </c>
    </row>
    <row r="1967" spans="1:24">
      <c r="A1967">
        <f>HYPERLINK("https://www.philgeps.gov.ph/GEPSNONPILOT/Tender/SplashBidNoticeAbstractUI.aspx?menuIndex=3&amp;refID=7046582&amp;Result=3","7046582")</f>
        <v>0</v>
      </c>
      <c r="B1967" t="s">
        <v>787</v>
      </c>
      <c r="C1967" t="s">
        <v>5088</v>
      </c>
      <c r="D1967" t="s">
        <v>18027</v>
      </c>
      <c r="E1967" t="s">
        <v>19856</v>
      </c>
      <c r="F1967" t="s">
        <v>31574</v>
      </c>
      <c r="G1967" t="s">
        <v>31582</v>
      </c>
      <c r="H1967" t="s">
        <v>31591</v>
      </c>
      <c r="I1967" t="s">
        <v>8822</v>
      </c>
      <c r="J1967" t="s">
        <v>31727</v>
      </c>
      <c r="K1967" t="s">
        <v>41186</v>
      </c>
      <c r="M1967" t="s">
        <v>42301</v>
      </c>
      <c r="N1967" t="s">
        <v>45095</v>
      </c>
      <c r="O1967" t="s">
        <v>45096</v>
      </c>
      <c r="P1967">
        <v>0</v>
      </c>
      <c r="Q1967">
        <v>0</v>
      </c>
      <c r="R1967" t="s">
        <v>45097</v>
      </c>
      <c r="S1967" t="s">
        <v>45222</v>
      </c>
      <c r="T1967" t="s">
        <v>47030</v>
      </c>
      <c r="U1967" t="s">
        <v>49155</v>
      </c>
      <c r="W1967" t="s">
        <v>42301</v>
      </c>
      <c r="X1967" t="s">
        <v>45098</v>
      </c>
    </row>
    <row r="1968" spans="1:24">
      <c r="A1968">
        <f>HYPERLINK("https://www.philgeps.gov.ph/GEPSNONPILOT/Tender/SplashBidNoticeAbstractUI.aspx?menuIndex=3&amp;refID=7046579&amp;Result=3","7046579")</f>
        <v>0</v>
      </c>
      <c r="B1968" t="s">
        <v>50</v>
      </c>
      <c r="C1968" t="s">
        <v>5089</v>
      </c>
      <c r="D1968" t="s">
        <v>18042</v>
      </c>
      <c r="E1968" t="s">
        <v>19912</v>
      </c>
      <c r="F1968" t="s">
        <v>31574</v>
      </c>
      <c r="G1968" t="s">
        <v>31582</v>
      </c>
      <c r="H1968" t="s">
        <v>31590</v>
      </c>
      <c r="I1968" t="s">
        <v>31602</v>
      </c>
      <c r="J1968" t="s">
        <v>33133</v>
      </c>
      <c r="K1968" t="s">
        <v>41186</v>
      </c>
      <c r="M1968" t="s">
        <v>41533</v>
      </c>
      <c r="N1968" t="s">
        <v>45095</v>
      </c>
      <c r="O1968" t="s">
        <v>45096</v>
      </c>
      <c r="P1968">
        <v>0</v>
      </c>
      <c r="Q1968">
        <v>0</v>
      </c>
      <c r="R1968" t="s">
        <v>45097</v>
      </c>
      <c r="S1968" t="s">
        <v>45222</v>
      </c>
      <c r="T1968" t="s">
        <v>46916</v>
      </c>
      <c r="U1968" t="s">
        <v>49156</v>
      </c>
      <c r="W1968" t="s">
        <v>41533</v>
      </c>
      <c r="X1968" t="s">
        <v>45098</v>
      </c>
    </row>
    <row r="1969" spans="1:24">
      <c r="A1969">
        <f>HYPERLINK("https://www.philgeps.gov.ph/GEPSNONPILOT/Tender/SplashBidNoticeAbstractUI.aspx?menuIndex=3&amp;refID=7046594&amp;Result=3","7046594")</f>
        <v>0</v>
      </c>
      <c r="B1969" t="s">
        <v>788</v>
      </c>
      <c r="C1969" t="s">
        <v>5090</v>
      </c>
      <c r="D1969" t="s">
        <v>18027</v>
      </c>
      <c r="E1969" t="s">
        <v>19913</v>
      </c>
      <c r="F1969" t="s">
        <v>31574</v>
      </c>
      <c r="G1969" t="s">
        <v>31583</v>
      </c>
      <c r="H1969" t="s">
        <v>31592</v>
      </c>
      <c r="I1969" t="s">
        <v>31616</v>
      </c>
      <c r="J1969" t="s">
        <v>32334</v>
      </c>
      <c r="K1969" t="s">
        <v>41193</v>
      </c>
      <c r="M1969" t="s">
        <v>42302</v>
      </c>
      <c r="N1969" t="s">
        <v>45095</v>
      </c>
      <c r="O1969" t="s">
        <v>45096</v>
      </c>
      <c r="P1969">
        <v>0</v>
      </c>
      <c r="Q1969">
        <v>0</v>
      </c>
      <c r="R1969" t="s">
        <v>45097</v>
      </c>
      <c r="S1969" t="s">
        <v>45222</v>
      </c>
      <c r="T1969" t="s">
        <v>46989</v>
      </c>
      <c r="U1969" t="s">
        <v>49157</v>
      </c>
      <c r="W1969" t="s">
        <v>42302</v>
      </c>
      <c r="X1969" t="s">
        <v>45098</v>
      </c>
    </row>
    <row r="1970" spans="1:24">
      <c r="A1970">
        <f>HYPERLINK("https://www.philgeps.gov.ph/GEPSNONPILOT/Tender/SplashBidNoticeAbstractUI.aspx?menuIndex=3&amp;refID=7046580&amp;Result=3","7046580")</f>
        <v>0</v>
      </c>
      <c r="B1970" t="s">
        <v>681</v>
      </c>
      <c r="C1970" t="s">
        <v>5091</v>
      </c>
      <c r="D1970" t="s">
        <v>18039</v>
      </c>
      <c r="E1970" t="s">
        <v>19914</v>
      </c>
      <c r="F1970" t="s">
        <v>31574</v>
      </c>
      <c r="G1970" t="s">
        <v>31583</v>
      </c>
      <c r="H1970" t="s">
        <v>31590</v>
      </c>
      <c r="I1970" t="s">
        <v>31620</v>
      </c>
      <c r="J1970" t="s">
        <v>33134</v>
      </c>
      <c r="K1970" t="s">
        <v>41184</v>
      </c>
      <c r="M1970" t="s">
        <v>42188</v>
      </c>
      <c r="N1970" t="s">
        <v>45095</v>
      </c>
      <c r="O1970" t="s">
        <v>45096</v>
      </c>
      <c r="P1970">
        <v>0</v>
      </c>
      <c r="Q1970">
        <v>0</v>
      </c>
      <c r="R1970" t="s">
        <v>45097</v>
      </c>
      <c r="S1970" t="s">
        <v>45222</v>
      </c>
      <c r="T1970" t="s">
        <v>46935</v>
      </c>
      <c r="U1970" t="s">
        <v>49158</v>
      </c>
      <c r="W1970" t="s">
        <v>42188</v>
      </c>
      <c r="X1970" t="s">
        <v>45098</v>
      </c>
    </row>
    <row r="1971" spans="1:24">
      <c r="A1971">
        <f>HYPERLINK("https://www.philgeps.gov.ph/GEPSNONPILOT/Tender/SplashBidNoticeAbstractUI.aspx?menuIndex=3&amp;refID=7046591&amp;Result=3","7046591")</f>
        <v>0</v>
      </c>
      <c r="B1971" t="s">
        <v>767</v>
      </c>
      <c r="C1971" t="s">
        <v>5092</v>
      </c>
      <c r="D1971" t="s">
        <v>18068</v>
      </c>
      <c r="E1971" t="s">
        <v>19915</v>
      </c>
      <c r="F1971" t="s">
        <v>31574</v>
      </c>
      <c r="G1971" t="s">
        <v>31581</v>
      </c>
      <c r="H1971" t="s">
        <v>31590</v>
      </c>
      <c r="I1971" t="s">
        <v>31641</v>
      </c>
      <c r="J1971" t="s">
        <v>32017</v>
      </c>
      <c r="K1971" t="s">
        <v>41211</v>
      </c>
      <c r="M1971" t="s">
        <v>42281</v>
      </c>
      <c r="N1971" t="s">
        <v>45095</v>
      </c>
      <c r="O1971" t="s">
        <v>45096</v>
      </c>
      <c r="P1971">
        <v>0</v>
      </c>
      <c r="Q1971">
        <v>0</v>
      </c>
      <c r="R1971" t="s">
        <v>45097</v>
      </c>
      <c r="S1971" t="s">
        <v>45222</v>
      </c>
      <c r="T1971" t="s">
        <v>46969</v>
      </c>
      <c r="U1971" t="s">
        <v>49159</v>
      </c>
      <c r="V1971" t="s">
        <v>60037</v>
      </c>
      <c r="W1971" t="s">
        <v>42281</v>
      </c>
      <c r="X1971" t="s">
        <v>45098</v>
      </c>
    </row>
    <row r="1972" spans="1:24">
      <c r="A1972">
        <f>HYPERLINK("https://www.philgeps.gov.ph/GEPSNONPILOT/Tender/SplashBidNoticeAbstractUI.aspx?menuIndex=3&amp;refID=7046577&amp;Result=3","7046577")</f>
        <v>0</v>
      </c>
      <c r="B1972" t="s">
        <v>766</v>
      </c>
      <c r="C1972" t="s">
        <v>5093</v>
      </c>
      <c r="D1972" t="s">
        <v>18040</v>
      </c>
      <c r="E1972" t="s">
        <v>19916</v>
      </c>
      <c r="F1972" t="s">
        <v>31574</v>
      </c>
      <c r="G1972" t="s">
        <v>31582</v>
      </c>
      <c r="H1972" t="s">
        <v>31591</v>
      </c>
      <c r="I1972" t="s">
        <v>4046</v>
      </c>
      <c r="J1972" t="s">
        <v>33135</v>
      </c>
      <c r="K1972" t="s">
        <v>41190</v>
      </c>
      <c r="M1972" t="s">
        <v>42280</v>
      </c>
      <c r="N1972" t="s">
        <v>45095</v>
      </c>
      <c r="O1972" t="s">
        <v>45096</v>
      </c>
      <c r="P1972">
        <v>0</v>
      </c>
      <c r="Q1972">
        <v>0</v>
      </c>
      <c r="R1972" t="s">
        <v>45097</v>
      </c>
      <c r="S1972" t="s">
        <v>45222</v>
      </c>
      <c r="T1972" t="s">
        <v>46975</v>
      </c>
      <c r="U1972" t="s">
        <v>49160</v>
      </c>
      <c r="W1972" t="s">
        <v>42280</v>
      </c>
      <c r="X1972" t="s">
        <v>45098</v>
      </c>
    </row>
    <row r="1973" spans="1:24">
      <c r="A1973">
        <f>HYPERLINK("https://www.philgeps.gov.ph/GEPSNONPILOT/Tender/SplashBidNoticeAbstractUI.aspx?menuIndex=3&amp;refID=7046593&amp;Result=3","7046593")</f>
        <v>0</v>
      </c>
      <c r="B1973" t="s">
        <v>75</v>
      </c>
      <c r="C1973" t="s">
        <v>5094</v>
      </c>
      <c r="D1973" t="s">
        <v>18054</v>
      </c>
      <c r="E1973" t="s">
        <v>19917</v>
      </c>
      <c r="F1973" t="s">
        <v>31574</v>
      </c>
      <c r="G1973" t="s">
        <v>31581</v>
      </c>
      <c r="H1973" t="s">
        <v>31590</v>
      </c>
      <c r="I1973" t="s">
        <v>14034</v>
      </c>
      <c r="J1973" t="s">
        <v>33136</v>
      </c>
      <c r="K1973" t="s">
        <v>41186</v>
      </c>
      <c r="M1973" t="s">
        <v>41559</v>
      </c>
      <c r="N1973" t="s">
        <v>45095</v>
      </c>
      <c r="O1973" t="s">
        <v>45096</v>
      </c>
      <c r="P1973">
        <v>0</v>
      </c>
      <c r="Q1973">
        <v>0</v>
      </c>
      <c r="R1973" t="s">
        <v>45097</v>
      </c>
      <c r="S1973" t="s">
        <v>45222</v>
      </c>
      <c r="T1973" t="s">
        <v>46918</v>
      </c>
      <c r="U1973" t="s">
        <v>49161</v>
      </c>
      <c r="W1973" t="s">
        <v>41559</v>
      </c>
      <c r="X1973" t="s">
        <v>45098</v>
      </c>
    </row>
    <row r="1974" spans="1:24">
      <c r="A1974">
        <f>HYPERLINK("https://www.philgeps.gov.ph/GEPSNONPILOT/Tender/SplashBidNoticeAbstractUI.aspx?menuIndex=3&amp;refID=7046585&amp;Result=3","7046585")</f>
        <v>0</v>
      </c>
      <c r="B1974" t="s">
        <v>602</v>
      </c>
      <c r="C1974" t="s">
        <v>5095</v>
      </c>
      <c r="D1974" t="s">
        <v>18023</v>
      </c>
      <c r="E1974" t="s">
        <v>19918</v>
      </c>
      <c r="F1974" t="s">
        <v>31574</v>
      </c>
      <c r="G1974" t="s">
        <v>31581</v>
      </c>
      <c r="H1974" t="s">
        <v>31590</v>
      </c>
      <c r="I1974" t="s">
        <v>31612</v>
      </c>
      <c r="J1974" t="s">
        <v>32381</v>
      </c>
      <c r="K1974" t="s">
        <v>41184</v>
      </c>
      <c r="M1974" t="s">
        <v>42105</v>
      </c>
      <c r="N1974" t="s">
        <v>45095</v>
      </c>
      <c r="O1974" t="s">
        <v>45096</v>
      </c>
      <c r="P1974">
        <v>0</v>
      </c>
      <c r="Q1974">
        <v>0</v>
      </c>
      <c r="R1974" t="s">
        <v>45097</v>
      </c>
      <c r="S1974" t="s">
        <v>45222</v>
      </c>
      <c r="T1974" t="s">
        <v>47025</v>
      </c>
      <c r="U1974" t="s">
        <v>49162</v>
      </c>
      <c r="W1974" t="s">
        <v>42105</v>
      </c>
      <c r="X1974" t="s">
        <v>45098</v>
      </c>
    </row>
    <row r="1975" spans="1:24">
      <c r="A1975">
        <f>HYPERLINK("https://www.philgeps.gov.ph/GEPSNONPILOT/Tender/SplashBidNoticeAbstractUI.aspx?menuIndex=3&amp;refID=7046584&amp;Result=3","7046584")</f>
        <v>0</v>
      </c>
      <c r="B1975" t="s">
        <v>789</v>
      </c>
      <c r="C1975" t="s">
        <v>5096</v>
      </c>
      <c r="D1975" t="s">
        <v>18027</v>
      </c>
      <c r="E1975" t="s">
        <v>5096</v>
      </c>
      <c r="F1975" t="s">
        <v>31574</v>
      </c>
      <c r="G1975" t="s">
        <v>31581</v>
      </c>
      <c r="H1975" t="s">
        <v>31590</v>
      </c>
      <c r="I1975" t="s">
        <v>8258</v>
      </c>
      <c r="J1975" t="s">
        <v>33137</v>
      </c>
      <c r="K1975" t="s">
        <v>41184</v>
      </c>
      <c r="M1975" t="s">
        <v>42303</v>
      </c>
      <c r="N1975" t="s">
        <v>45095</v>
      </c>
      <c r="O1975" t="s">
        <v>45096</v>
      </c>
      <c r="P1975">
        <v>0</v>
      </c>
      <c r="Q1975">
        <v>0</v>
      </c>
      <c r="R1975" t="s">
        <v>45097</v>
      </c>
      <c r="S1975" t="s">
        <v>45222</v>
      </c>
      <c r="T1975" t="s">
        <v>46911</v>
      </c>
      <c r="U1975" t="s">
        <v>49163</v>
      </c>
      <c r="W1975" t="s">
        <v>42303</v>
      </c>
      <c r="X1975" t="s">
        <v>45098</v>
      </c>
    </row>
    <row r="1976" spans="1:24">
      <c r="A1976">
        <f>HYPERLINK("https://www.philgeps.gov.ph/GEPSNONPILOT/Tender/SplashBidNoticeAbstractUI.aspx?menuIndex=3&amp;refID=7046588&amp;Result=3","7046588")</f>
        <v>0</v>
      </c>
      <c r="B1976" t="s">
        <v>790</v>
      </c>
      <c r="C1976" t="s">
        <v>5097</v>
      </c>
      <c r="D1976" t="s">
        <v>18079</v>
      </c>
      <c r="E1976" t="s">
        <v>19919</v>
      </c>
      <c r="F1976" t="s">
        <v>31574</v>
      </c>
      <c r="G1976" t="s">
        <v>31584</v>
      </c>
      <c r="H1976" t="s">
        <v>31590</v>
      </c>
      <c r="I1976" t="s">
        <v>5717</v>
      </c>
      <c r="J1976" t="s">
        <v>33138</v>
      </c>
      <c r="K1976" t="s">
        <v>41193</v>
      </c>
      <c r="M1976" t="s">
        <v>42304</v>
      </c>
      <c r="N1976" t="s">
        <v>45095</v>
      </c>
      <c r="O1976" t="s">
        <v>45096</v>
      </c>
      <c r="P1976">
        <v>0</v>
      </c>
      <c r="Q1976">
        <v>0</v>
      </c>
      <c r="R1976" t="s">
        <v>45097</v>
      </c>
      <c r="S1976" t="s">
        <v>45222</v>
      </c>
      <c r="T1976" t="s">
        <v>46911</v>
      </c>
      <c r="U1976" t="s">
        <v>49164</v>
      </c>
      <c r="V1976" t="s">
        <v>60045</v>
      </c>
      <c r="W1976" t="s">
        <v>42304</v>
      </c>
      <c r="X1976" t="s">
        <v>45098</v>
      </c>
    </row>
    <row r="1977" spans="1:24">
      <c r="A1977">
        <f>HYPERLINK("https://www.philgeps.gov.ph/GEPSNONPILOT/Tender/SplashBidNoticeAbstractUI.aspx?menuIndex=3&amp;refID=7046589&amp;Result=3","7046589")</f>
        <v>0</v>
      </c>
      <c r="B1977" t="s">
        <v>89</v>
      </c>
      <c r="C1977" t="s">
        <v>5098</v>
      </c>
      <c r="D1977" t="s">
        <v>18059</v>
      </c>
      <c r="E1977" t="s">
        <v>19920</v>
      </c>
      <c r="F1977" t="s">
        <v>31574</v>
      </c>
      <c r="G1977" t="s">
        <v>31582</v>
      </c>
      <c r="H1977" t="s">
        <v>31590</v>
      </c>
      <c r="I1977" t="s">
        <v>4327</v>
      </c>
      <c r="J1977" t="s">
        <v>31845</v>
      </c>
      <c r="K1977" t="s">
        <v>41184</v>
      </c>
      <c r="M1977" t="s">
        <v>41573</v>
      </c>
      <c r="N1977" t="s">
        <v>45095</v>
      </c>
      <c r="O1977" t="s">
        <v>45096</v>
      </c>
      <c r="P1977">
        <v>0</v>
      </c>
      <c r="Q1977">
        <v>0</v>
      </c>
      <c r="R1977" t="s">
        <v>45097</v>
      </c>
      <c r="S1977" t="s">
        <v>45222</v>
      </c>
      <c r="T1977" t="s">
        <v>46937</v>
      </c>
      <c r="U1977" t="s">
        <v>49035</v>
      </c>
      <c r="W1977" t="s">
        <v>41573</v>
      </c>
      <c r="X1977" t="s">
        <v>45098</v>
      </c>
    </row>
    <row r="1978" spans="1:24">
      <c r="A1978">
        <f>HYPERLINK("https://www.philgeps.gov.ph/GEPSNONPILOT/Tender/SplashBidNoticeAbstractUI.aspx?menuIndex=3&amp;refID=7046595&amp;Result=3","7046595")</f>
        <v>0</v>
      </c>
      <c r="B1978" t="s">
        <v>791</v>
      </c>
      <c r="C1978" t="s">
        <v>5099</v>
      </c>
      <c r="D1978" t="s">
        <v>18022</v>
      </c>
      <c r="E1978" t="s">
        <v>19921</v>
      </c>
      <c r="F1978" t="s">
        <v>31574</v>
      </c>
      <c r="G1978" t="s">
        <v>31583</v>
      </c>
      <c r="H1978" t="s">
        <v>31590</v>
      </c>
      <c r="I1978" t="s">
        <v>6800</v>
      </c>
      <c r="J1978" t="s">
        <v>33139</v>
      </c>
      <c r="K1978" t="s">
        <v>41213</v>
      </c>
      <c r="M1978" t="s">
        <v>42305</v>
      </c>
      <c r="N1978" t="s">
        <v>45095</v>
      </c>
      <c r="O1978" t="s">
        <v>45096</v>
      </c>
      <c r="P1978">
        <v>0</v>
      </c>
      <c r="Q1978">
        <v>0</v>
      </c>
      <c r="R1978" t="s">
        <v>45097</v>
      </c>
      <c r="S1978" t="s">
        <v>45222</v>
      </c>
      <c r="T1978" t="s">
        <v>46905</v>
      </c>
      <c r="U1978" t="s">
        <v>47928</v>
      </c>
      <c r="W1978" t="s">
        <v>42305</v>
      </c>
      <c r="X1978" t="s">
        <v>45098</v>
      </c>
    </row>
    <row r="1979" spans="1:24">
      <c r="A1979">
        <f>HYPERLINK("https://www.philgeps.gov.ph/GEPSNONPILOT/Tender/SplashBidNoticeAbstractUI.aspx?menuIndex=3&amp;refID=7046573&amp;Result=3","7046573")</f>
        <v>0</v>
      </c>
      <c r="B1979" t="s">
        <v>724</v>
      </c>
      <c r="C1979" t="s">
        <v>5100</v>
      </c>
      <c r="D1979" t="s">
        <v>18027</v>
      </c>
      <c r="E1979" t="s">
        <v>19922</v>
      </c>
      <c r="F1979" t="s">
        <v>31574</v>
      </c>
      <c r="G1979" t="s">
        <v>31582</v>
      </c>
      <c r="H1979" t="s">
        <v>31591</v>
      </c>
      <c r="I1979" t="s">
        <v>8822</v>
      </c>
      <c r="J1979" t="s">
        <v>33140</v>
      </c>
      <c r="K1979" t="s">
        <v>41186</v>
      </c>
      <c r="M1979" t="s">
        <v>42234</v>
      </c>
      <c r="N1979" t="s">
        <v>45095</v>
      </c>
      <c r="O1979" t="s">
        <v>45096</v>
      </c>
      <c r="P1979">
        <v>0</v>
      </c>
      <c r="Q1979">
        <v>0</v>
      </c>
      <c r="R1979" t="s">
        <v>45097</v>
      </c>
      <c r="S1979" t="s">
        <v>45222</v>
      </c>
      <c r="T1979" t="s">
        <v>46935</v>
      </c>
      <c r="U1979" t="s">
        <v>49165</v>
      </c>
      <c r="W1979" t="s">
        <v>42234</v>
      </c>
      <c r="X1979" t="s">
        <v>45098</v>
      </c>
    </row>
    <row r="1980" spans="1:24">
      <c r="A1980">
        <f>HYPERLINK("https://www.philgeps.gov.ph/GEPSNONPILOT/Tender/SplashBidNoticeAbstractUI.aspx?menuIndex=3&amp;refID=7046583&amp;Result=3","7046583")</f>
        <v>0</v>
      </c>
      <c r="B1980" t="s">
        <v>152</v>
      </c>
      <c r="C1980" t="s">
        <v>5101</v>
      </c>
      <c r="D1980" t="s">
        <v>18072</v>
      </c>
      <c r="E1980" t="s">
        <v>18429</v>
      </c>
      <c r="F1980" t="s">
        <v>31574</v>
      </c>
      <c r="G1980" t="s">
        <v>31581</v>
      </c>
      <c r="H1980" t="s">
        <v>31590</v>
      </c>
      <c r="I1980" t="s">
        <v>31673</v>
      </c>
      <c r="J1980" t="s">
        <v>31871</v>
      </c>
      <c r="K1980" t="s">
        <v>41211</v>
      </c>
      <c r="M1980" t="s">
        <v>41636</v>
      </c>
      <c r="N1980" t="s">
        <v>45095</v>
      </c>
      <c r="O1980" t="s">
        <v>45096</v>
      </c>
      <c r="P1980">
        <v>0</v>
      </c>
      <c r="Q1980">
        <v>0</v>
      </c>
      <c r="R1980" t="s">
        <v>45097</v>
      </c>
      <c r="S1980" t="s">
        <v>45222</v>
      </c>
      <c r="T1980" t="s">
        <v>46918</v>
      </c>
      <c r="U1980" t="s">
        <v>49166</v>
      </c>
      <c r="W1980" t="s">
        <v>41636</v>
      </c>
      <c r="X1980" t="s">
        <v>45098</v>
      </c>
    </row>
    <row r="1981" spans="1:24">
      <c r="A1981">
        <f>HYPERLINK("https://www.philgeps.gov.ph/GEPSNONPILOT/Tender/SplashBidNoticeAbstractUI.aspx?menuIndex=3&amp;refID=7046590&amp;Result=3","7046590")</f>
        <v>0</v>
      </c>
      <c r="B1981" t="s">
        <v>792</v>
      </c>
      <c r="C1981" t="s">
        <v>5102</v>
      </c>
      <c r="D1981" t="s">
        <v>18060</v>
      </c>
      <c r="E1981" t="s">
        <v>5102</v>
      </c>
      <c r="F1981" t="s">
        <v>31574</v>
      </c>
      <c r="G1981" t="s">
        <v>31582</v>
      </c>
      <c r="H1981" t="s">
        <v>31590</v>
      </c>
      <c r="I1981" t="s">
        <v>31615</v>
      </c>
      <c r="J1981" t="s">
        <v>32530</v>
      </c>
      <c r="K1981" t="s">
        <v>41196</v>
      </c>
      <c r="M1981" t="s">
        <v>42306</v>
      </c>
      <c r="N1981" t="s">
        <v>45095</v>
      </c>
      <c r="O1981" t="s">
        <v>45096</v>
      </c>
      <c r="P1981">
        <v>0</v>
      </c>
      <c r="Q1981">
        <v>5</v>
      </c>
      <c r="R1981" t="s">
        <v>45097</v>
      </c>
      <c r="S1981" t="s">
        <v>45222</v>
      </c>
      <c r="T1981" t="s">
        <v>47017</v>
      </c>
      <c r="U1981" t="s">
        <v>49167</v>
      </c>
      <c r="W1981" t="s">
        <v>42306</v>
      </c>
      <c r="X1981" t="s">
        <v>45098</v>
      </c>
    </row>
    <row r="1982" spans="1:24">
      <c r="A1982">
        <f>HYPERLINK("https://www.philgeps.gov.ph/GEPSNONPILOT/Tender/SplashBidNoticeAbstractUI.aspx?menuIndex=3&amp;refID=7046576&amp;Result=3","7046576")</f>
        <v>0</v>
      </c>
      <c r="B1982" t="s">
        <v>793</v>
      </c>
      <c r="C1982" t="s">
        <v>5103</v>
      </c>
      <c r="D1982" t="s">
        <v>18044</v>
      </c>
      <c r="E1982" t="s">
        <v>19923</v>
      </c>
      <c r="F1982" t="s">
        <v>31574</v>
      </c>
      <c r="G1982" t="s">
        <v>31582</v>
      </c>
      <c r="H1982" t="s">
        <v>31591</v>
      </c>
      <c r="I1982" t="s">
        <v>8822</v>
      </c>
      <c r="J1982" t="s">
        <v>32232</v>
      </c>
      <c r="K1982" t="s">
        <v>41191</v>
      </c>
      <c r="M1982" t="s">
        <v>42307</v>
      </c>
      <c r="N1982" t="s">
        <v>45095</v>
      </c>
      <c r="O1982" t="s">
        <v>45096</v>
      </c>
      <c r="P1982">
        <v>0</v>
      </c>
      <c r="Q1982">
        <v>0</v>
      </c>
      <c r="R1982" t="s">
        <v>45097</v>
      </c>
      <c r="S1982" t="s">
        <v>45222</v>
      </c>
      <c r="T1982" t="s">
        <v>46914</v>
      </c>
      <c r="U1982" t="s">
        <v>49168</v>
      </c>
      <c r="W1982" t="s">
        <v>42307</v>
      </c>
      <c r="X1982" t="s">
        <v>45098</v>
      </c>
    </row>
    <row r="1983" spans="1:24">
      <c r="A1983">
        <f>HYPERLINK("https://www.philgeps.gov.ph/GEPSNONPILOT/Tender/SplashBidNoticeAbstractUI.aspx?menuIndex=3&amp;refID=7046598&amp;Result=3","7046598")</f>
        <v>0</v>
      </c>
      <c r="B1983" t="s">
        <v>736</v>
      </c>
      <c r="C1983" t="s">
        <v>5104</v>
      </c>
      <c r="D1983" t="s">
        <v>18079</v>
      </c>
      <c r="E1983" t="s">
        <v>19924</v>
      </c>
      <c r="F1983" t="s">
        <v>31574</v>
      </c>
      <c r="G1983" t="s">
        <v>31581</v>
      </c>
      <c r="H1983" t="s">
        <v>31590</v>
      </c>
      <c r="I1983" t="s">
        <v>31629</v>
      </c>
      <c r="J1983" t="s">
        <v>33141</v>
      </c>
      <c r="K1983" t="s">
        <v>41186</v>
      </c>
      <c r="M1983" t="s">
        <v>42247</v>
      </c>
      <c r="N1983" t="s">
        <v>45095</v>
      </c>
      <c r="O1983" t="s">
        <v>45096</v>
      </c>
      <c r="P1983">
        <v>0</v>
      </c>
      <c r="Q1983">
        <v>0</v>
      </c>
      <c r="R1983" t="s">
        <v>45097</v>
      </c>
      <c r="S1983" t="s">
        <v>45222</v>
      </c>
      <c r="T1983" t="s">
        <v>46946</v>
      </c>
      <c r="U1983" t="s">
        <v>49028</v>
      </c>
      <c r="W1983" t="s">
        <v>42247</v>
      </c>
      <c r="X1983" t="s">
        <v>45098</v>
      </c>
    </row>
    <row r="1984" spans="1:24">
      <c r="A1984">
        <f>HYPERLINK("https://www.philgeps.gov.ph/GEPSNONPILOT/Tender/SplashBidNoticeAbstractUI.aspx?menuIndex=3&amp;refID=7046600&amp;Result=3","7046600")</f>
        <v>0</v>
      </c>
      <c r="B1984" t="s">
        <v>351</v>
      </c>
      <c r="C1984" t="s">
        <v>5105</v>
      </c>
      <c r="D1984" t="s">
        <v>18050</v>
      </c>
      <c r="E1984" t="s">
        <v>19925</v>
      </c>
      <c r="F1984" t="s">
        <v>31574</v>
      </c>
      <c r="G1984" t="s">
        <v>31581</v>
      </c>
      <c r="H1984" t="s">
        <v>31590</v>
      </c>
      <c r="I1984" t="s">
        <v>31595</v>
      </c>
      <c r="J1984" t="s">
        <v>31843</v>
      </c>
      <c r="K1984" t="s">
        <v>41184</v>
      </c>
      <c r="M1984" t="s">
        <v>41839</v>
      </c>
      <c r="N1984" t="s">
        <v>45095</v>
      </c>
      <c r="O1984" t="s">
        <v>45096</v>
      </c>
      <c r="P1984">
        <v>0</v>
      </c>
      <c r="Q1984">
        <v>0</v>
      </c>
      <c r="R1984" t="s">
        <v>45097</v>
      </c>
      <c r="S1984" t="s">
        <v>45222</v>
      </c>
      <c r="T1984" t="s">
        <v>47002</v>
      </c>
      <c r="U1984" t="s">
        <v>49169</v>
      </c>
      <c r="W1984" t="s">
        <v>41839</v>
      </c>
      <c r="X1984" t="s">
        <v>45098</v>
      </c>
    </row>
    <row r="1985" spans="1:24">
      <c r="A1985">
        <f>HYPERLINK("https://www.philgeps.gov.ph/GEPSNONPILOT/Tender/SplashBidNoticeAbstractUI.aspx?menuIndex=3&amp;refID=7046599&amp;Result=3","7046599")</f>
        <v>0</v>
      </c>
      <c r="B1985" t="s">
        <v>794</v>
      </c>
      <c r="C1985" t="s">
        <v>5106</v>
      </c>
      <c r="D1985" t="s">
        <v>18043</v>
      </c>
      <c r="E1985" t="s">
        <v>19926</v>
      </c>
      <c r="F1985" t="s">
        <v>31574</v>
      </c>
      <c r="G1985" t="s">
        <v>31583</v>
      </c>
      <c r="H1985" t="s">
        <v>31590</v>
      </c>
      <c r="I1985" t="s">
        <v>5717</v>
      </c>
      <c r="J1985" t="s">
        <v>33142</v>
      </c>
      <c r="K1985" t="s">
        <v>41211</v>
      </c>
      <c r="M1985" t="s">
        <v>42308</v>
      </c>
      <c r="N1985" t="s">
        <v>45095</v>
      </c>
      <c r="O1985" t="s">
        <v>45096</v>
      </c>
      <c r="P1985">
        <v>0</v>
      </c>
      <c r="Q1985">
        <v>0</v>
      </c>
      <c r="R1985" t="s">
        <v>45097</v>
      </c>
      <c r="S1985" t="s">
        <v>45222</v>
      </c>
      <c r="T1985" t="s">
        <v>46936</v>
      </c>
      <c r="U1985" t="s">
        <v>49170</v>
      </c>
      <c r="V1985" t="s">
        <v>60046</v>
      </c>
      <c r="W1985" t="s">
        <v>42308</v>
      </c>
      <c r="X1985" t="s">
        <v>45098</v>
      </c>
    </row>
    <row r="1986" spans="1:24">
      <c r="A1986">
        <f>HYPERLINK("https://www.philgeps.gov.ph/GEPSNONPILOT/Tender/SplashBidNoticeAbstractUI.aspx?menuIndex=3&amp;refID=7046596&amp;Result=3","7046596")</f>
        <v>0</v>
      </c>
      <c r="B1986" t="s">
        <v>724</v>
      </c>
      <c r="C1986" t="s">
        <v>5107</v>
      </c>
      <c r="D1986" t="s">
        <v>18027</v>
      </c>
      <c r="E1986" t="s">
        <v>19927</v>
      </c>
      <c r="F1986" t="s">
        <v>31574</v>
      </c>
      <c r="G1986" t="s">
        <v>31582</v>
      </c>
      <c r="H1986" t="s">
        <v>31591</v>
      </c>
      <c r="I1986" t="s">
        <v>8822</v>
      </c>
      <c r="J1986" t="s">
        <v>33143</v>
      </c>
      <c r="K1986" t="s">
        <v>41186</v>
      </c>
      <c r="M1986" t="s">
        <v>42234</v>
      </c>
      <c r="N1986" t="s">
        <v>45095</v>
      </c>
      <c r="O1986" t="s">
        <v>45096</v>
      </c>
      <c r="P1986">
        <v>0</v>
      </c>
      <c r="Q1986">
        <v>0</v>
      </c>
      <c r="R1986" t="s">
        <v>45097</v>
      </c>
      <c r="S1986" t="s">
        <v>45222</v>
      </c>
      <c r="T1986" t="s">
        <v>46935</v>
      </c>
      <c r="U1986" t="s">
        <v>49171</v>
      </c>
      <c r="W1986" t="s">
        <v>42234</v>
      </c>
      <c r="X1986" t="s">
        <v>45098</v>
      </c>
    </row>
    <row r="1987" spans="1:24">
      <c r="A1987">
        <f>HYPERLINK("https://www.philgeps.gov.ph/GEPSNONPILOT/Tender/SplashBidNoticeAbstractUI.aspx?menuIndex=3&amp;refID=7046601&amp;Result=3","7046601")</f>
        <v>0</v>
      </c>
      <c r="B1987" t="s">
        <v>795</v>
      </c>
      <c r="C1987" t="s">
        <v>5108</v>
      </c>
      <c r="D1987" t="s">
        <v>18033</v>
      </c>
      <c r="E1987" t="s">
        <v>19928</v>
      </c>
      <c r="F1987" t="s">
        <v>31574</v>
      </c>
      <c r="G1987" t="s">
        <v>31582</v>
      </c>
      <c r="H1987" t="s">
        <v>31590</v>
      </c>
      <c r="I1987" t="s">
        <v>31598</v>
      </c>
      <c r="J1987" t="s">
        <v>33144</v>
      </c>
      <c r="K1987" t="s">
        <v>41184</v>
      </c>
      <c r="M1987" t="s">
        <v>42309</v>
      </c>
      <c r="N1987" t="s">
        <v>45095</v>
      </c>
      <c r="O1987" t="s">
        <v>45096</v>
      </c>
      <c r="P1987">
        <v>0</v>
      </c>
      <c r="Q1987">
        <v>1</v>
      </c>
      <c r="R1987" t="s">
        <v>45097</v>
      </c>
      <c r="S1987" t="s">
        <v>45222</v>
      </c>
      <c r="T1987" t="s">
        <v>46915</v>
      </c>
      <c r="U1987" t="s">
        <v>49172</v>
      </c>
      <c r="W1987" t="s">
        <v>42309</v>
      </c>
      <c r="X1987" t="s">
        <v>45098</v>
      </c>
    </row>
    <row r="1988" spans="1:24">
      <c r="A1988">
        <f>HYPERLINK("https://www.philgeps.gov.ph/GEPSNONPILOT/Tender/SplashBidNoticeAbstractUI.aspx?menuIndex=3&amp;refID=7046607&amp;Result=3","7046607")</f>
        <v>0</v>
      </c>
      <c r="B1988" t="s">
        <v>796</v>
      </c>
      <c r="C1988" t="s">
        <v>5109</v>
      </c>
      <c r="D1988" t="s">
        <v>18023</v>
      </c>
      <c r="E1988" t="s">
        <v>19929</v>
      </c>
      <c r="F1988" t="s">
        <v>31574</v>
      </c>
      <c r="G1988" t="s">
        <v>31587</v>
      </c>
      <c r="H1988" t="s">
        <v>31593</v>
      </c>
      <c r="I1988" t="s">
        <v>31593</v>
      </c>
      <c r="J1988" t="s">
        <v>33145</v>
      </c>
      <c r="K1988" t="s">
        <v>41198</v>
      </c>
      <c r="M1988" t="s">
        <v>42310</v>
      </c>
      <c r="N1988" t="s">
        <v>45095</v>
      </c>
      <c r="O1988" t="s">
        <v>45096</v>
      </c>
      <c r="P1988">
        <v>0</v>
      </c>
      <c r="Q1988">
        <v>0</v>
      </c>
      <c r="R1988" t="s">
        <v>45097</v>
      </c>
      <c r="S1988" t="s">
        <v>45222</v>
      </c>
      <c r="T1988" t="s">
        <v>47104</v>
      </c>
      <c r="U1988" t="s">
        <v>49173</v>
      </c>
      <c r="W1988" t="s">
        <v>42310</v>
      </c>
      <c r="X1988" t="s">
        <v>45098</v>
      </c>
    </row>
    <row r="1989" spans="1:24">
      <c r="A1989">
        <f>HYPERLINK("https://www.philgeps.gov.ph/GEPSNONPILOT/Tender/SplashBidNoticeAbstractUI.aspx?menuIndex=3&amp;refID=7046606&amp;Result=3","7046606")</f>
        <v>0</v>
      </c>
      <c r="B1989" t="s">
        <v>797</v>
      </c>
      <c r="C1989" t="s">
        <v>5110</v>
      </c>
      <c r="D1989" t="s">
        <v>18056</v>
      </c>
      <c r="E1989" t="s">
        <v>19930</v>
      </c>
      <c r="F1989" t="s">
        <v>31574</v>
      </c>
      <c r="G1989" t="s">
        <v>31581</v>
      </c>
      <c r="H1989" t="s">
        <v>31590</v>
      </c>
      <c r="I1989" t="s">
        <v>31599</v>
      </c>
      <c r="J1989" t="s">
        <v>33146</v>
      </c>
      <c r="K1989" t="s">
        <v>41196</v>
      </c>
      <c r="M1989" t="s">
        <v>42311</v>
      </c>
      <c r="N1989" t="s">
        <v>45095</v>
      </c>
      <c r="O1989" t="s">
        <v>45096</v>
      </c>
      <c r="P1989">
        <v>0</v>
      </c>
      <c r="Q1989">
        <v>0</v>
      </c>
      <c r="R1989" t="s">
        <v>45097</v>
      </c>
      <c r="S1989" t="s">
        <v>45222</v>
      </c>
      <c r="T1989" t="s">
        <v>46918</v>
      </c>
      <c r="U1989" t="s">
        <v>49174</v>
      </c>
      <c r="W1989" t="s">
        <v>42311</v>
      </c>
      <c r="X1989" t="s">
        <v>45098</v>
      </c>
    </row>
    <row r="1990" spans="1:24">
      <c r="A1990">
        <f>HYPERLINK("https://www.philgeps.gov.ph/GEPSNONPILOT/Tender/SplashBidNoticeAbstractUI.aspx?menuIndex=3&amp;refID=7046597&amp;Result=3","7046597")</f>
        <v>0</v>
      </c>
      <c r="B1990" t="s">
        <v>756</v>
      </c>
      <c r="C1990" t="s">
        <v>5111</v>
      </c>
      <c r="D1990" t="s">
        <v>18055</v>
      </c>
      <c r="E1990" t="s">
        <v>19931</v>
      </c>
      <c r="F1990" t="s">
        <v>31574</v>
      </c>
      <c r="G1990" t="s">
        <v>31581</v>
      </c>
      <c r="H1990" t="s">
        <v>31591</v>
      </c>
      <c r="I1990" t="s">
        <v>31638</v>
      </c>
      <c r="J1990" t="s">
        <v>33147</v>
      </c>
      <c r="K1990" t="s">
        <v>41204</v>
      </c>
      <c r="M1990" t="s">
        <v>42270</v>
      </c>
      <c r="N1990" t="s">
        <v>45095</v>
      </c>
      <c r="O1990" t="s">
        <v>45096</v>
      </c>
      <c r="P1990">
        <v>0</v>
      </c>
      <c r="Q1990">
        <v>0</v>
      </c>
      <c r="R1990" t="s">
        <v>45097</v>
      </c>
      <c r="S1990" t="s">
        <v>45222</v>
      </c>
      <c r="T1990" t="s">
        <v>46910</v>
      </c>
      <c r="U1990" t="s">
        <v>49175</v>
      </c>
      <c r="W1990" t="s">
        <v>42270</v>
      </c>
      <c r="X1990" t="s">
        <v>45098</v>
      </c>
    </row>
    <row r="1991" spans="1:24">
      <c r="A1991">
        <f>HYPERLINK("https://www.philgeps.gov.ph/GEPSNONPILOT/Tender/SplashBidNoticeAbstractUI.aspx?menuIndex=3&amp;refID=7046605&amp;Result=3","7046605")</f>
        <v>0</v>
      </c>
      <c r="B1991" t="s">
        <v>798</v>
      </c>
      <c r="C1991" t="s">
        <v>5112</v>
      </c>
      <c r="D1991" t="s">
        <v>18052</v>
      </c>
      <c r="E1991" t="s">
        <v>19932</v>
      </c>
      <c r="F1991" t="s">
        <v>31574</v>
      </c>
      <c r="G1991" t="s">
        <v>31581</v>
      </c>
      <c r="H1991" t="s">
        <v>31590</v>
      </c>
      <c r="I1991" t="s">
        <v>31595</v>
      </c>
      <c r="J1991" t="s">
        <v>31726</v>
      </c>
      <c r="K1991" t="s">
        <v>41184</v>
      </c>
      <c r="M1991" t="s">
        <v>42312</v>
      </c>
      <c r="N1991" t="s">
        <v>45095</v>
      </c>
      <c r="O1991" t="s">
        <v>45096</v>
      </c>
      <c r="P1991">
        <v>0</v>
      </c>
      <c r="Q1991">
        <v>0</v>
      </c>
      <c r="R1991" t="s">
        <v>45097</v>
      </c>
      <c r="S1991" t="s">
        <v>45222</v>
      </c>
      <c r="T1991" t="s">
        <v>46918</v>
      </c>
      <c r="U1991" t="s">
        <v>49176</v>
      </c>
      <c r="W1991" t="s">
        <v>42312</v>
      </c>
      <c r="X1991" t="s">
        <v>45098</v>
      </c>
    </row>
    <row r="1992" spans="1:24">
      <c r="A1992">
        <f>HYPERLINK("https://www.philgeps.gov.ph/GEPSNONPILOT/Tender/SplashBidNoticeAbstractUI.aspx?menuIndex=3&amp;refID=7046613&amp;Result=3","7046613")</f>
        <v>0</v>
      </c>
      <c r="B1992" t="s">
        <v>724</v>
      </c>
      <c r="C1992" t="s">
        <v>5113</v>
      </c>
      <c r="D1992" t="s">
        <v>18061</v>
      </c>
      <c r="E1992" t="s">
        <v>19933</v>
      </c>
      <c r="F1992" t="s">
        <v>31574</v>
      </c>
      <c r="G1992" t="s">
        <v>31582</v>
      </c>
      <c r="H1992" t="s">
        <v>31590</v>
      </c>
      <c r="I1992" t="s">
        <v>31629</v>
      </c>
      <c r="J1992" t="s">
        <v>33148</v>
      </c>
      <c r="K1992" t="s">
        <v>41213</v>
      </c>
      <c r="M1992" t="s">
        <v>42234</v>
      </c>
      <c r="N1992" t="s">
        <v>45095</v>
      </c>
      <c r="O1992" t="s">
        <v>45096</v>
      </c>
      <c r="P1992">
        <v>0</v>
      </c>
      <c r="Q1992">
        <v>0</v>
      </c>
      <c r="R1992" t="s">
        <v>45097</v>
      </c>
      <c r="S1992" t="s">
        <v>45222</v>
      </c>
      <c r="T1992" t="s">
        <v>46935</v>
      </c>
      <c r="U1992" t="s">
        <v>49177</v>
      </c>
      <c r="W1992" t="s">
        <v>42234</v>
      </c>
      <c r="X1992" t="s">
        <v>45098</v>
      </c>
    </row>
    <row r="1993" spans="1:24">
      <c r="A1993">
        <f>HYPERLINK("https://www.philgeps.gov.ph/GEPSNONPILOT/Tender/SplashBidNoticeAbstractUI.aspx?menuIndex=3&amp;refID=7046610&amp;Result=3","7046610")</f>
        <v>0</v>
      </c>
      <c r="B1993" t="s">
        <v>50</v>
      </c>
      <c r="C1993" t="s">
        <v>4232</v>
      </c>
      <c r="D1993" t="s">
        <v>18042</v>
      </c>
      <c r="E1993" t="s">
        <v>19934</v>
      </c>
      <c r="F1993" t="s">
        <v>31574</v>
      </c>
      <c r="G1993" t="s">
        <v>31582</v>
      </c>
      <c r="H1993" t="s">
        <v>31590</v>
      </c>
      <c r="I1993" t="s">
        <v>6800</v>
      </c>
      <c r="J1993" t="s">
        <v>33133</v>
      </c>
      <c r="K1993" t="s">
        <v>41186</v>
      </c>
      <c r="M1993" t="s">
        <v>41533</v>
      </c>
      <c r="N1993" t="s">
        <v>45095</v>
      </c>
      <c r="O1993" t="s">
        <v>45096</v>
      </c>
      <c r="P1993">
        <v>0</v>
      </c>
      <c r="Q1993">
        <v>0</v>
      </c>
      <c r="R1993" t="s">
        <v>45097</v>
      </c>
      <c r="S1993" t="s">
        <v>45222</v>
      </c>
      <c r="T1993" t="s">
        <v>46916</v>
      </c>
      <c r="U1993" t="s">
        <v>49178</v>
      </c>
      <c r="W1993" t="s">
        <v>41533</v>
      </c>
      <c r="X1993" t="s">
        <v>45098</v>
      </c>
    </row>
    <row r="1994" spans="1:24">
      <c r="A1994">
        <f>HYPERLINK("https://www.philgeps.gov.ph/GEPSNONPILOT/Tender/SplashBidNoticeAbstractUI.aspx?menuIndex=3&amp;refID=7046612&amp;Result=3","7046612")</f>
        <v>0</v>
      </c>
      <c r="B1994" t="s">
        <v>766</v>
      </c>
      <c r="C1994" t="s">
        <v>5114</v>
      </c>
      <c r="D1994" t="s">
        <v>18040</v>
      </c>
      <c r="E1994" t="s">
        <v>19935</v>
      </c>
      <c r="F1994" t="s">
        <v>31574</v>
      </c>
      <c r="G1994" t="s">
        <v>31582</v>
      </c>
      <c r="H1994" t="s">
        <v>31591</v>
      </c>
      <c r="I1994" t="s">
        <v>4046</v>
      </c>
      <c r="J1994" t="s">
        <v>32799</v>
      </c>
      <c r="K1994" t="s">
        <v>41190</v>
      </c>
      <c r="M1994" t="s">
        <v>42280</v>
      </c>
      <c r="N1994" t="s">
        <v>45095</v>
      </c>
      <c r="O1994" t="s">
        <v>45096</v>
      </c>
      <c r="P1994">
        <v>0</v>
      </c>
      <c r="Q1994">
        <v>0</v>
      </c>
      <c r="R1994" t="s">
        <v>45097</v>
      </c>
      <c r="S1994" t="s">
        <v>45222</v>
      </c>
      <c r="T1994" t="s">
        <v>46905</v>
      </c>
      <c r="U1994" t="s">
        <v>49179</v>
      </c>
      <c r="W1994" t="s">
        <v>42280</v>
      </c>
      <c r="X1994" t="s">
        <v>45098</v>
      </c>
    </row>
    <row r="1995" spans="1:24">
      <c r="A1995">
        <f>HYPERLINK("https://www.philgeps.gov.ph/GEPSNONPILOT/Tender/SplashBidNoticeAbstractUI.aspx?menuIndex=3&amp;refID=7046602&amp;Result=3","7046602")</f>
        <v>0</v>
      </c>
      <c r="B1995" t="s">
        <v>793</v>
      </c>
      <c r="C1995" t="s">
        <v>5115</v>
      </c>
      <c r="D1995" t="s">
        <v>18044</v>
      </c>
      <c r="E1995" t="s">
        <v>19936</v>
      </c>
      <c r="F1995" t="s">
        <v>31574</v>
      </c>
      <c r="G1995" t="s">
        <v>31582</v>
      </c>
      <c r="H1995" t="s">
        <v>31590</v>
      </c>
      <c r="I1995" t="s">
        <v>31640</v>
      </c>
      <c r="J1995" t="s">
        <v>33149</v>
      </c>
      <c r="K1995" t="s">
        <v>41190</v>
      </c>
      <c r="M1995" t="s">
        <v>42307</v>
      </c>
      <c r="N1995" t="s">
        <v>45095</v>
      </c>
      <c r="O1995" t="s">
        <v>45096</v>
      </c>
      <c r="P1995">
        <v>0</v>
      </c>
      <c r="Q1995">
        <v>0</v>
      </c>
      <c r="R1995" t="s">
        <v>45097</v>
      </c>
      <c r="S1995" t="s">
        <v>45222</v>
      </c>
      <c r="T1995" t="s">
        <v>46914</v>
      </c>
      <c r="U1995" t="s">
        <v>49180</v>
      </c>
      <c r="W1995" t="s">
        <v>42307</v>
      </c>
      <c r="X1995" t="s">
        <v>45098</v>
      </c>
    </row>
    <row r="1996" spans="1:24">
      <c r="A1996">
        <f>HYPERLINK("https://www.philgeps.gov.ph/GEPSNONPILOT/Tender/SplashBidNoticeAbstractUI.aspx?menuIndex=3&amp;refID=7046609&amp;Result=3","7046609")</f>
        <v>0</v>
      </c>
      <c r="B1996" t="s">
        <v>790</v>
      </c>
      <c r="C1996" t="s">
        <v>5116</v>
      </c>
      <c r="D1996" t="s">
        <v>18079</v>
      </c>
      <c r="E1996" t="s">
        <v>19937</v>
      </c>
      <c r="F1996" t="s">
        <v>31574</v>
      </c>
      <c r="G1996" t="s">
        <v>31583</v>
      </c>
      <c r="H1996" t="s">
        <v>31590</v>
      </c>
      <c r="I1996" t="s">
        <v>6800</v>
      </c>
      <c r="J1996" t="s">
        <v>33150</v>
      </c>
      <c r="K1996" t="s">
        <v>41193</v>
      </c>
      <c r="M1996" t="s">
        <v>42304</v>
      </c>
      <c r="N1996" t="s">
        <v>45095</v>
      </c>
      <c r="O1996" t="s">
        <v>45096</v>
      </c>
      <c r="P1996">
        <v>0</v>
      </c>
      <c r="Q1996">
        <v>0</v>
      </c>
      <c r="R1996" t="s">
        <v>45097</v>
      </c>
      <c r="S1996" t="s">
        <v>45222</v>
      </c>
      <c r="T1996" t="s">
        <v>46911</v>
      </c>
      <c r="U1996" t="s">
        <v>49164</v>
      </c>
      <c r="W1996" t="s">
        <v>42304</v>
      </c>
      <c r="X1996" t="s">
        <v>45098</v>
      </c>
    </row>
    <row r="1997" spans="1:24">
      <c r="A1997">
        <f>HYPERLINK("https://www.philgeps.gov.ph/GEPSNONPILOT/Tender/SplashBidNoticeAbstractUI.aspx?menuIndex=3&amp;refID=7046611&amp;Result=3","7046611")</f>
        <v>0</v>
      </c>
      <c r="B1997" t="s">
        <v>351</v>
      </c>
      <c r="C1997" t="s">
        <v>5117</v>
      </c>
      <c r="D1997" t="s">
        <v>18050</v>
      </c>
      <c r="E1997" t="s">
        <v>19938</v>
      </c>
      <c r="F1997" t="s">
        <v>31574</v>
      </c>
      <c r="G1997" t="s">
        <v>31581</v>
      </c>
      <c r="H1997" t="s">
        <v>31590</v>
      </c>
      <c r="I1997" t="s">
        <v>31614</v>
      </c>
      <c r="J1997" t="s">
        <v>31843</v>
      </c>
      <c r="K1997" t="s">
        <v>41184</v>
      </c>
      <c r="M1997" t="s">
        <v>41839</v>
      </c>
      <c r="N1997" t="s">
        <v>45095</v>
      </c>
      <c r="O1997" t="s">
        <v>45096</v>
      </c>
      <c r="P1997">
        <v>0</v>
      </c>
      <c r="Q1997">
        <v>0</v>
      </c>
      <c r="R1997" t="s">
        <v>45097</v>
      </c>
      <c r="S1997" t="s">
        <v>45222</v>
      </c>
      <c r="T1997" t="s">
        <v>47002</v>
      </c>
      <c r="U1997" t="s">
        <v>49181</v>
      </c>
      <c r="W1997" t="s">
        <v>41839</v>
      </c>
      <c r="X1997" t="s">
        <v>45098</v>
      </c>
    </row>
    <row r="1998" spans="1:24">
      <c r="A1998">
        <f>HYPERLINK("https://www.philgeps.gov.ph/GEPSNONPILOT/Tender/SplashBidNoticeAbstractUI.aspx?menuIndex=3&amp;refID=7046603&amp;Result=3","7046603")</f>
        <v>0</v>
      </c>
      <c r="B1998" t="s">
        <v>799</v>
      </c>
      <c r="C1998" t="s">
        <v>5118</v>
      </c>
      <c r="D1998" t="s">
        <v>18040</v>
      </c>
      <c r="E1998" t="s">
        <v>19939</v>
      </c>
      <c r="F1998" t="s">
        <v>31574</v>
      </c>
      <c r="G1998" t="s">
        <v>31583</v>
      </c>
      <c r="H1998" t="s">
        <v>31590</v>
      </c>
      <c r="I1998" t="s">
        <v>4327</v>
      </c>
      <c r="J1998" t="s">
        <v>31993</v>
      </c>
      <c r="K1998" t="s">
        <v>41193</v>
      </c>
      <c r="M1998" t="s">
        <v>42313</v>
      </c>
      <c r="N1998" t="s">
        <v>45095</v>
      </c>
      <c r="O1998" t="s">
        <v>45096</v>
      </c>
      <c r="P1998">
        <v>0</v>
      </c>
      <c r="Q1998">
        <v>0</v>
      </c>
      <c r="R1998" t="s">
        <v>45097</v>
      </c>
      <c r="S1998" t="s">
        <v>45222</v>
      </c>
      <c r="T1998" t="s">
        <v>46963</v>
      </c>
      <c r="U1998" t="s">
        <v>49182</v>
      </c>
      <c r="W1998" t="s">
        <v>42313</v>
      </c>
      <c r="X1998" t="s">
        <v>45098</v>
      </c>
    </row>
    <row r="1999" spans="1:24">
      <c r="A1999">
        <f>HYPERLINK("https://www.philgeps.gov.ph/GEPSNONPILOT/Tender/SplashBidNoticeAbstractUI.aspx?menuIndex=3&amp;refID=7046614&amp;Result=3","7046614")</f>
        <v>0</v>
      </c>
      <c r="B1999" t="s">
        <v>190</v>
      </c>
      <c r="C1999" t="s">
        <v>5059</v>
      </c>
      <c r="D1999" t="s">
        <v>18036</v>
      </c>
      <c r="E1999" t="s">
        <v>19940</v>
      </c>
      <c r="F1999" t="s">
        <v>31574</v>
      </c>
      <c r="G1999" t="s">
        <v>31581</v>
      </c>
      <c r="H1999" t="s">
        <v>31590</v>
      </c>
      <c r="I1999" t="s">
        <v>8258</v>
      </c>
      <c r="J1999" t="s">
        <v>33151</v>
      </c>
      <c r="K1999" t="s">
        <v>41190</v>
      </c>
      <c r="M1999" t="s">
        <v>41675</v>
      </c>
      <c r="N1999" t="s">
        <v>45095</v>
      </c>
      <c r="O1999" t="s">
        <v>45096</v>
      </c>
      <c r="P1999">
        <v>0</v>
      </c>
      <c r="Q1999">
        <v>0</v>
      </c>
      <c r="R1999" t="s">
        <v>45097</v>
      </c>
      <c r="S1999" t="s">
        <v>45222</v>
      </c>
      <c r="T1999" t="s">
        <v>46922</v>
      </c>
      <c r="U1999" t="s">
        <v>49183</v>
      </c>
      <c r="W1999" t="s">
        <v>41675</v>
      </c>
      <c r="X1999" t="s">
        <v>45098</v>
      </c>
    </row>
    <row r="2000" spans="1:24">
      <c r="A2000">
        <f>HYPERLINK("https://www.philgeps.gov.ph/GEPSNONPILOT/Tender/SplashBidNoticeAbstractUI.aspx?menuIndex=3&amp;refID=7046615&amp;Result=3","7046615")</f>
        <v>0</v>
      </c>
      <c r="B2000" t="s">
        <v>63</v>
      </c>
      <c r="C2000" t="s">
        <v>5119</v>
      </c>
      <c r="D2000" t="s">
        <v>18049</v>
      </c>
      <c r="E2000" t="s">
        <v>19941</v>
      </c>
      <c r="F2000" t="s">
        <v>31574</v>
      </c>
      <c r="G2000" t="s">
        <v>31582</v>
      </c>
      <c r="H2000" t="s">
        <v>31591</v>
      </c>
      <c r="I2000" t="s">
        <v>8822</v>
      </c>
      <c r="J2000" t="s">
        <v>33152</v>
      </c>
      <c r="K2000" t="s">
        <v>41275</v>
      </c>
      <c r="M2000" t="s">
        <v>41547</v>
      </c>
      <c r="N2000" t="s">
        <v>45095</v>
      </c>
      <c r="O2000" t="s">
        <v>45096</v>
      </c>
      <c r="P2000">
        <v>0</v>
      </c>
      <c r="Q2000">
        <v>0</v>
      </c>
      <c r="R2000" t="s">
        <v>45097</v>
      </c>
      <c r="S2000" t="s">
        <v>45222</v>
      </c>
      <c r="T2000" t="s">
        <v>46972</v>
      </c>
      <c r="U2000" t="s">
        <v>49184</v>
      </c>
      <c r="W2000" t="s">
        <v>41547</v>
      </c>
      <c r="X2000" t="s">
        <v>45098</v>
      </c>
    </row>
    <row r="2001" spans="1:24">
      <c r="A2001">
        <f>HYPERLINK("https://www.philgeps.gov.ph/GEPSNONPILOT/Tender/SplashBidNoticeAbstractUI.aspx?menuIndex=3&amp;refID=7046616&amp;Result=3","7046616")</f>
        <v>0</v>
      </c>
      <c r="B2001" t="s">
        <v>769</v>
      </c>
      <c r="C2001" t="s">
        <v>5120</v>
      </c>
      <c r="D2001" t="s">
        <v>18023</v>
      </c>
      <c r="E2001" t="s">
        <v>19942</v>
      </c>
      <c r="F2001" t="s">
        <v>31574</v>
      </c>
      <c r="G2001" t="s">
        <v>31583</v>
      </c>
      <c r="H2001" t="s">
        <v>31590</v>
      </c>
      <c r="I2001" t="s">
        <v>8258</v>
      </c>
      <c r="J2001" t="s">
        <v>33153</v>
      </c>
      <c r="K2001" t="s">
        <v>41196</v>
      </c>
      <c r="M2001" t="s">
        <v>42283</v>
      </c>
      <c r="N2001" t="s">
        <v>45095</v>
      </c>
      <c r="O2001" t="s">
        <v>45096</v>
      </c>
      <c r="P2001">
        <v>0</v>
      </c>
      <c r="Q2001">
        <v>0</v>
      </c>
      <c r="R2001" t="s">
        <v>45097</v>
      </c>
      <c r="S2001" t="s">
        <v>45222</v>
      </c>
      <c r="T2001" t="s">
        <v>46963</v>
      </c>
      <c r="U2001" t="s">
        <v>49112</v>
      </c>
      <c r="W2001" t="s">
        <v>42283</v>
      </c>
      <c r="X2001" t="s">
        <v>45098</v>
      </c>
    </row>
    <row r="2002" spans="1:24">
      <c r="A2002">
        <f>HYPERLINK("https://www.philgeps.gov.ph/GEPSNONPILOT/Tender/SplashBidNoticeAbstractUI.aspx?menuIndex=3&amp;refID=7046634&amp;Result=3","7046634")</f>
        <v>0</v>
      </c>
      <c r="B2002" t="s">
        <v>800</v>
      </c>
      <c r="C2002" t="s">
        <v>5121</v>
      </c>
      <c r="D2002" t="s">
        <v>18072</v>
      </c>
      <c r="E2002" t="s">
        <v>19943</v>
      </c>
      <c r="F2002" t="s">
        <v>31574</v>
      </c>
      <c r="G2002" t="s">
        <v>31582</v>
      </c>
      <c r="H2002" t="s">
        <v>31590</v>
      </c>
      <c r="I2002" t="s">
        <v>31676</v>
      </c>
      <c r="J2002" t="s">
        <v>33154</v>
      </c>
      <c r="K2002" t="s">
        <v>41188</v>
      </c>
      <c r="M2002" t="s">
        <v>42314</v>
      </c>
      <c r="N2002" t="s">
        <v>45095</v>
      </c>
      <c r="O2002" t="s">
        <v>45096</v>
      </c>
      <c r="P2002">
        <v>0</v>
      </c>
      <c r="Q2002">
        <v>0</v>
      </c>
      <c r="R2002" t="s">
        <v>45097</v>
      </c>
      <c r="S2002" t="s">
        <v>45222</v>
      </c>
      <c r="T2002" t="s">
        <v>47016</v>
      </c>
      <c r="U2002" t="s">
        <v>49185</v>
      </c>
      <c r="V2002" t="s">
        <v>60047</v>
      </c>
      <c r="W2002" t="s">
        <v>42314</v>
      </c>
      <c r="X2002" t="s">
        <v>45098</v>
      </c>
    </row>
    <row r="2003" spans="1:24">
      <c r="A2003">
        <f>HYPERLINK("https://www.philgeps.gov.ph/GEPSNONPILOT/Tender/SplashBidNoticeAbstractUI.aspx?menuIndex=3&amp;refID=7046633&amp;Result=3","7046633")</f>
        <v>0</v>
      </c>
      <c r="B2003" t="s">
        <v>736</v>
      </c>
      <c r="C2003" t="s">
        <v>5122</v>
      </c>
      <c r="D2003" t="s">
        <v>18079</v>
      </c>
      <c r="E2003" t="s">
        <v>19944</v>
      </c>
      <c r="F2003" t="s">
        <v>31574</v>
      </c>
      <c r="G2003" t="s">
        <v>31581</v>
      </c>
      <c r="H2003" t="s">
        <v>31590</v>
      </c>
      <c r="I2003" t="s">
        <v>31656</v>
      </c>
      <c r="J2003" t="s">
        <v>33155</v>
      </c>
      <c r="K2003" t="s">
        <v>41186</v>
      </c>
      <c r="M2003" t="s">
        <v>42247</v>
      </c>
      <c r="N2003" t="s">
        <v>45095</v>
      </c>
      <c r="O2003" t="s">
        <v>45096</v>
      </c>
      <c r="P2003">
        <v>0</v>
      </c>
      <c r="Q2003">
        <v>0</v>
      </c>
      <c r="R2003" t="s">
        <v>45097</v>
      </c>
      <c r="S2003" t="s">
        <v>45222</v>
      </c>
      <c r="T2003" t="s">
        <v>46946</v>
      </c>
      <c r="U2003" t="s">
        <v>49028</v>
      </c>
      <c r="W2003" t="s">
        <v>42247</v>
      </c>
      <c r="X2003" t="s">
        <v>45098</v>
      </c>
    </row>
    <row r="2004" spans="1:24">
      <c r="A2004">
        <f>HYPERLINK("https://www.philgeps.gov.ph/GEPSNONPILOT/Tender/SplashBidNoticeAbstractUI.aspx?menuIndex=3&amp;refID=7046630&amp;Result=3","7046630")</f>
        <v>0</v>
      </c>
      <c r="B2004" t="s">
        <v>801</v>
      </c>
      <c r="C2004" t="s">
        <v>5123</v>
      </c>
      <c r="D2004" t="s">
        <v>18103</v>
      </c>
      <c r="E2004" t="s">
        <v>19945</v>
      </c>
      <c r="F2004" t="s">
        <v>31574</v>
      </c>
      <c r="G2004" t="s">
        <v>31581</v>
      </c>
      <c r="H2004" t="s">
        <v>31590</v>
      </c>
      <c r="I2004" t="s">
        <v>31603</v>
      </c>
      <c r="J2004" t="s">
        <v>33156</v>
      </c>
      <c r="K2004" t="s">
        <v>41184</v>
      </c>
      <c r="M2004" t="s">
        <v>42315</v>
      </c>
      <c r="N2004" t="s">
        <v>45095</v>
      </c>
      <c r="O2004" t="s">
        <v>45096</v>
      </c>
      <c r="P2004">
        <v>0</v>
      </c>
      <c r="Q2004">
        <v>0</v>
      </c>
      <c r="R2004" t="s">
        <v>45097</v>
      </c>
      <c r="S2004" t="s">
        <v>45222</v>
      </c>
      <c r="T2004" t="s">
        <v>46904</v>
      </c>
      <c r="U2004" t="s">
        <v>49186</v>
      </c>
      <c r="W2004" t="s">
        <v>61679</v>
      </c>
      <c r="X2004" t="s">
        <v>45098</v>
      </c>
    </row>
    <row r="2005" spans="1:24">
      <c r="A2005">
        <f>HYPERLINK("https://www.philgeps.gov.ph/GEPSNONPILOT/Tender/SplashBidNoticeAbstractUI.aspx?menuIndex=3&amp;refID=7046629&amp;Result=3","7046629")</f>
        <v>0</v>
      </c>
      <c r="B2005" t="s">
        <v>781</v>
      </c>
      <c r="C2005" t="s">
        <v>5124</v>
      </c>
      <c r="D2005" t="s">
        <v>18047</v>
      </c>
      <c r="E2005" t="s">
        <v>19946</v>
      </c>
      <c r="F2005" t="s">
        <v>31574</v>
      </c>
      <c r="G2005" t="s">
        <v>31582</v>
      </c>
      <c r="H2005" t="s">
        <v>31591</v>
      </c>
      <c r="I2005" t="s">
        <v>8822</v>
      </c>
      <c r="J2005" t="s">
        <v>33157</v>
      </c>
      <c r="K2005" t="s">
        <v>41184</v>
      </c>
      <c r="M2005" t="s">
        <v>42316</v>
      </c>
      <c r="N2005" t="s">
        <v>45095</v>
      </c>
      <c r="O2005" t="s">
        <v>45096</v>
      </c>
      <c r="P2005">
        <v>0</v>
      </c>
      <c r="Q2005">
        <v>0</v>
      </c>
      <c r="R2005" t="s">
        <v>45097</v>
      </c>
      <c r="S2005" t="s">
        <v>45222</v>
      </c>
      <c r="T2005" t="s">
        <v>46956</v>
      </c>
      <c r="U2005" t="s">
        <v>49139</v>
      </c>
      <c r="W2005" t="s">
        <v>42316</v>
      </c>
      <c r="X2005" t="s">
        <v>45098</v>
      </c>
    </row>
    <row r="2006" spans="1:24">
      <c r="A2006">
        <f>HYPERLINK("https://www.philgeps.gov.ph/GEPSNONPILOT/Tender/SplashBidNoticeAbstractUI.aspx?menuIndex=3&amp;refID=7046617&amp;Result=3","7046617")</f>
        <v>0</v>
      </c>
      <c r="B2006" t="s">
        <v>756</v>
      </c>
      <c r="C2006" t="s">
        <v>5125</v>
      </c>
      <c r="D2006" t="s">
        <v>18055</v>
      </c>
      <c r="E2006" t="s">
        <v>19947</v>
      </c>
      <c r="F2006" t="s">
        <v>31574</v>
      </c>
      <c r="G2006" t="s">
        <v>31581</v>
      </c>
      <c r="H2006" t="s">
        <v>31591</v>
      </c>
      <c r="I2006" t="s">
        <v>31638</v>
      </c>
      <c r="J2006" t="s">
        <v>33158</v>
      </c>
      <c r="K2006" t="s">
        <v>41276</v>
      </c>
      <c r="M2006" t="s">
        <v>42270</v>
      </c>
      <c r="N2006" t="s">
        <v>45095</v>
      </c>
      <c r="O2006" t="s">
        <v>45096</v>
      </c>
      <c r="P2006">
        <v>0</v>
      </c>
      <c r="Q2006">
        <v>0</v>
      </c>
      <c r="R2006" t="s">
        <v>45097</v>
      </c>
      <c r="S2006" t="s">
        <v>45222</v>
      </c>
      <c r="T2006" t="s">
        <v>46910</v>
      </c>
      <c r="U2006" t="s">
        <v>49187</v>
      </c>
      <c r="W2006" t="s">
        <v>42270</v>
      </c>
      <c r="X2006" t="s">
        <v>45098</v>
      </c>
    </row>
    <row r="2007" spans="1:24">
      <c r="A2007">
        <f>HYPERLINK("https://www.philgeps.gov.ph/GEPSNONPILOT/Tender/SplashBidNoticeAbstractUI.aspx?menuIndex=3&amp;refID=7046608&amp;Result=3","7046608")</f>
        <v>0</v>
      </c>
      <c r="B2007" t="s">
        <v>780</v>
      </c>
      <c r="C2007" t="s">
        <v>5126</v>
      </c>
      <c r="D2007" t="s">
        <v>18034</v>
      </c>
      <c r="E2007" t="s">
        <v>19948</v>
      </c>
      <c r="F2007" t="s">
        <v>31574</v>
      </c>
      <c r="G2007" t="s">
        <v>31582</v>
      </c>
      <c r="H2007" t="s">
        <v>31591</v>
      </c>
      <c r="I2007" t="s">
        <v>8822</v>
      </c>
      <c r="J2007" t="s">
        <v>33159</v>
      </c>
      <c r="K2007" t="s">
        <v>41277</v>
      </c>
      <c r="L2007" t="s">
        <v>780</v>
      </c>
      <c r="M2007" t="s">
        <v>42294</v>
      </c>
      <c r="N2007" t="s">
        <v>45095</v>
      </c>
      <c r="O2007" t="s">
        <v>45096</v>
      </c>
      <c r="P2007">
        <v>0</v>
      </c>
      <c r="Q2007">
        <v>0</v>
      </c>
      <c r="R2007" t="s">
        <v>45097</v>
      </c>
      <c r="S2007" t="s">
        <v>45222</v>
      </c>
      <c r="T2007" t="s">
        <v>46915</v>
      </c>
      <c r="U2007" t="s">
        <v>49188</v>
      </c>
      <c r="V2007" t="s">
        <v>60048</v>
      </c>
      <c r="W2007" t="s">
        <v>42294</v>
      </c>
      <c r="X2007" t="s">
        <v>45098</v>
      </c>
    </row>
    <row r="2008" spans="1:24">
      <c r="A2008">
        <f>HYPERLINK("https://www.philgeps.gov.ph/GEPSNONPILOT/Tender/SplashBidNoticeAbstractUI.aspx?menuIndex=3&amp;refID=7046627&amp;Result=3","7046627")</f>
        <v>0</v>
      </c>
      <c r="B2008" t="s">
        <v>746</v>
      </c>
      <c r="C2008" t="s">
        <v>5127</v>
      </c>
      <c r="D2008" t="s">
        <v>18053</v>
      </c>
      <c r="E2008" t="s">
        <v>18607</v>
      </c>
      <c r="F2008" t="s">
        <v>31574</v>
      </c>
      <c r="G2008" t="s">
        <v>31582</v>
      </c>
      <c r="H2008" t="s">
        <v>31591</v>
      </c>
      <c r="I2008" t="s">
        <v>8822</v>
      </c>
      <c r="J2008" t="s">
        <v>32241</v>
      </c>
      <c r="K2008" t="s">
        <v>41243</v>
      </c>
      <c r="M2008" t="s">
        <v>42260</v>
      </c>
      <c r="N2008" t="s">
        <v>45095</v>
      </c>
      <c r="O2008" t="s">
        <v>45096</v>
      </c>
      <c r="P2008">
        <v>0</v>
      </c>
      <c r="Q2008">
        <v>0</v>
      </c>
      <c r="R2008" t="s">
        <v>45097</v>
      </c>
      <c r="S2008" t="s">
        <v>45222</v>
      </c>
      <c r="T2008" t="s">
        <v>46919</v>
      </c>
      <c r="U2008" t="s">
        <v>49189</v>
      </c>
      <c r="W2008" t="s">
        <v>42260</v>
      </c>
      <c r="X2008" t="s">
        <v>45098</v>
      </c>
    </row>
    <row r="2009" spans="1:24">
      <c r="A2009">
        <f>HYPERLINK("https://www.philgeps.gov.ph/GEPSNONPILOT/Tender/SplashBidNoticeAbstractUI.aspx?menuIndex=3&amp;refID=7046626&amp;Result=3","7046626")</f>
        <v>0</v>
      </c>
      <c r="B2009" t="s">
        <v>802</v>
      </c>
      <c r="C2009" t="s">
        <v>5128</v>
      </c>
      <c r="D2009" t="s">
        <v>18081</v>
      </c>
      <c r="E2009" t="s">
        <v>19949</v>
      </c>
      <c r="F2009" t="s">
        <v>31574</v>
      </c>
      <c r="G2009" t="s">
        <v>31582</v>
      </c>
      <c r="H2009" t="s">
        <v>31591</v>
      </c>
      <c r="I2009" t="s">
        <v>8822</v>
      </c>
      <c r="J2009" t="s">
        <v>33160</v>
      </c>
      <c r="K2009" t="s">
        <v>41243</v>
      </c>
      <c r="M2009" t="s">
        <v>42317</v>
      </c>
      <c r="N2009" t="s">
        <v>45095</v>
      </c>
      <c r="O2009" t="s">
        <v>45096</v>
      </c>
      <c r="P2009">
        <v>0</v>
      </c>
      <c r="Q2009">
        <v>0</v>
      </c>
      <c r="R2009" t="s">
        <v>45097</v>
      </c>
      <c r="S2009" t="s">
        <v>45222</v>
      </c>
      <c r="T2009" t="s">
        <v>46915</v>
      </c>
      <c r="U2009" t="s">
        <v>49190</v>
      </c>
      <c r="W2009" t="s">
        <v>42317</v>
      </c>
      <c r="X2009" t="s">
        <v>45098</v>
      </c>
    </row>
    <row r="2010" spans="1:24">
      <c r="A2010">
        <f>HYPERLINK("https://www.philgeps.gov.ph/GEPSNONPILOT/Tender/SplashBidNoticeAbstractUI.aspx?menuIndex=3&amp;refID=7046635&amp;Result=3","7046635")</f>
        <v>0</v>
      </c>
      <c r="B2010" t="s">
        <v>803</v>
      </c>
      <c r="C2010" t="s">
        <v>5129</v>
      </c>
      <c r="D2010" t="s">
        <v>18058</v>
      </c>
      <c r="E2010" t="s">
        <v>19950</v>
      </c>
      <c r="F2010" t="s">
        <v>31574</v>
      </c>
      <c r="G2010" t="s">
        <v>31581</v>
      </c>
      <c r="H2010" t="s">
        <v>31590</v>
      </c>
      <c r="I2010" t="s">
        <v>31622</v>
      </c>
      <c r="J2010" t="s">
        <v>33161</v>
      </c>
      <c r="K2010" t="s">
        <v>41196</v>
      </c>
      <c r="M2010" t="s">
        <v>42318</v>
      </c>
      <c r="N2010" t="s">
        <v>45095</v>
      </c>
      <c r="O2010" t="s">
        <v>45096</v>
      </c>
      <c r="P2010">
        <v>0</v>
      </c>
      <c r="Q2010">
        <v>0</v>
      </c>
      <c r="R2010" t="s">
        <v>45097</v>
      </c>
      <c r="S2010" t="s">
        <v>45222</v>
      </c>
      <c r="T2010" t="s">
        <v>46918</v>
      </c>
      <c r="U2010" t="s">
        <v>49191</v>
      </c>
      <c r="V2010" t="s">
        <v>51128</v>
      </c>
      <c r="W2010" t="s">
        <v>42318</v>
      </c>
      <c r="X2010" t="s">
        <v>45098</v>
      </c>
    </row>
    <row r="2011" spans="1:24">
      <c r="A2011">
        <f>HYPERLINK("https://www.philgeps.gov.ph/GEPSNONPILOT/Tender/SplashBidNoticeAbstractUI.aspx?menuIndex=3&amp;refID=7046619&amp;Result=3","7046619")</f>
        <v>0</v>
      </c>
      <c r="B2011" t="s">
        <v>781</v>
      </c>
      <c r="C2011" t="s">
        <v>5130</v>
      </c>
      <c r="D2011" t="s">
        <v>18047</v>
      </c>
      <c r="E2011" t="s">
        <v>19951</v>
      </c>
      <c r="F2011" t="s">
        <v>31574</v>
      </c>
      <c r="G2011" t="s">
        <v>31582</v>
      </c>
      <c r="H2011" t="s">
        <v>31591</v>
      </c>
      <c r="I2011" t="s">
        <v>8822</v>
      </c>
      <c r="J2011" t="s">
        <v>33162</v>
      </c>
      <c r="K2011" t="s">
        <v>41184</v>
      </c>
      <c r="M2011" t="s">
        <v>42316</v>
      </c>
      <c r="N2011" t="s">
        <v>45095</v>
      </c>
      <c r="O2011" t="s">
        <v>45096</v>
      </c>
      <c r="P2011">
        <v>0</v>
      </c>
      <c r="Q2011">
        <v>0</v>
      </c>
      <c r="R2011" t="s">
        <v>45097</v>
      </c>
      <c r="S2011" t="s">
        <v>45222</v>
      </c>
      <c r="T2011" t="s">
        <v>46956</v>
      </c>
      <c r="U2011" t="s">
        <v>49139</v>
      </c>
      <c r="W2011" t="s">
        <v>42316</v>
      </c>
      <c r="X2011" t="s">
        <v>45098</v>
      </c>
    </row>
    <row r="2012" spans="1:24">
      <c r="A2012">
        <f>HYPERLINK("https://www.philgeps.gov.ph/GEPSNONPILOT/Tender/SplashBidNoticeAbstractUI.aspx?menuIndex=3&amp;refID=7046631&amp;Result=3","7046631")</f>
        <v>0</v>
      </c>
      <c r="B2012" t="s">
        <v>408</v>
      </c>
      <c r="C2012" t="s">
        <v>5131</v>
      </c>
      <c r="D2012" t="s">
        <v>18059</v>
      </c>
      <c r="E2012" t="s">
        <v>19952</v>
      </c>
      <c r="F2012" t="s">
        <v>31574</v>
      </c>
      <c r="G2012" t="s">
        <v>31581</v>
      </c>
      <c r="H2012" t="s">
        <v>31590</v>
      </c>
      <c r="I2012" t="s">
        <v>5717</v>
      </c>
      <c r="J2012" t="s">
        <v>33163</v>
      </c>
      <c r="K2012" t="s">
        <v>41184</v>
      </c>
      <c r="M2012" t="s">
        <v>41899</v>
      </c>
      <c r="N2012" t="s">
        <v>45095</v>
      </c>
      <c r="O2012" t="s">
        <v>45096</v>
      </c>
      <c r="P2012">
        <v>0</v>
      </c>
      <c r="Q2012">
        <v>0</v>
      </c>
      <c r="R2012" t="s">
        <v>45097</v>
      </c>
      <c r="S2012" t="s">
        <v>45222</v>
      </c>
      <c r="T2012" t="s">
        <v>46938</v>
      </c>
      <c r="U2012" t="s">
        <v>48953</v>
      </c>
      <c r="W2012" t="s">
        <v>41899</v>
      </c>
      <c r="X2012" t="s">
        <v>45098</v>
      </c>
    </row>
    <row r="2013" spans="1:24">
      <c r="A2013">
        <f>HYPERLINK("https://www.philgeps.gov.ph/GEPSNONPILOT/Tender/SplashBidNoticeAbstractUI.aspx?menuIndex=3&amp;refID=7046625&amp;Result=3","7046625")</f>
        <v>0</v>
      </c>
      <c r="B2013" t="s">
        <v>797</v>
      </c>
      <c r="C2013" t="s">
        <v>5132</v>
      </c>
      <c r="D2013" t="s">
        <v>18056</v>
      </c>
      <c r="E2013" t="s">
        <v>19953</v>
      </c>
      <c r="F2013" t="s">
        <v>31574</v>
      </c>
      <c r="G2013" t="s">
        <v>31581</v>
      </c>
      <c r="H2013" t="s">
        <v>31590</v>
      </c>
      <c r="I2013" t="s">
        <v>31603</v>
      </c>
      <c r="J2013" t="s">
        <v>32017</v>
      </c>
      <c r="K2013" t="s">
        <v>41196</v>
      </c>
      <c r="M2013" t="s">
        <v>42311</v>
      </c>
      <c r="N2013" t="s">
        <v>45095</v>
      </c>
      <c r="O2013" t="s">
        <v>45096</v>
      </c>
      <c r="P2013">
        <v>0</v>
      </c>
      <c r="Q2013">
        <v>0</v>
      </c>
      <c r="R2013" t="s">
        <v>45097</v>
      </c>
      <c r="S2013" t="s">
        <v>45222</v>
      </c>
      <c r="T2013" t="s">
        <v>46979</v>
      </c>
      <c r="U2013" t="s">
        <v>49174</v>
      </c>
      <c r="W2013" t="s">
        <v>42311</v>
      </c>
      <c r="X2013" t="s">
        <v>45098</v>
      </c>
    </row>
    <row r="2014" spans="1:24">
      <c r="A2014">
        <f>HYPERLINK("https://www.philgeps.gov.ph/GEPSNONPILOT/Tender/SplashBidNoticeAbstractUI.aspx?menuIndex=3&amp;refID=7046618&amp;Result=3","7046618")</f>
        <v>0</v>
      </c>
      <c r="B2014" t="s">
        <v>801</v>
      </c>
      <c r="C2014" t="s">
        <v>5133</v>
      </c>
      <c r="D2014" t="s">
        <v>18103</v>
      </c>
      <c r="E2014" t="s">
        <v>19954</v>
      </c>
      <c r="F2014" t="s">
        <v>31574</v>
      </c>
      <c r="G2014" t="s">
        <v>31581</v>
      </c>
      <c r="H2014" t="s">
        <v>31590</v>
      </c>
      <c r="I2014" t="s">
        <v>31608</v>
      </c>
      <c r="J2014" t="s">
        <v>33164</v>
      </c>
      <c r="K2014" t="s">
        <v>41184</v>
      </c>
      <c r="M2014" t="s">
        <v>42315</v>
      </c>
      <c r="N2014" t="s">
        <v>45095</v>
      </c>
      <c r="O2014" t="s">
        <v>45096</v>
      </c>
      <c r="P2014">
        <v>0</v>
      </c>
      <c r="Q2014">
        <v>0</v>
      </c>
      <c r="R2014" t="s">
        <v>45097</v>
      </c>
      <c r="S2014" t="s">
        <v>45222</v>
      </c>
      <c r="T2014" t="s">
        <v>46904</v>
      </c>
      <c r="U2014" t="s">
        <v>49186</v>
      </c>
      <c r="W2014" t="s">
        <v>61679</v>
      </c>
      <c r="X2014" t="s">
        <v>45098</v>
      </c>
    </row>
    <row r="2015" spans="1:24">
      <c r="A2015">
        <f>HYPERLINK("https://www.philgeps.gov.ph/GEPSNONPILOT/Tender/SplashBidNoticeAbstractUI.aspx?menuIndex=3&amp;refID=7046636&amp;Result=3","7046636")</f>
        <v>0</v>
      </c>
      <c r="B2015" t="s">
        <v>151</v>
      </c>
      <c r="C2015" t="s">
        <v>5134</v>
      </c>
      <c r="D2015" t="s">
        <v>18070</v>
      </c>
      <c r="E2015" t="s">
        <v>19955</v>
      </c>
      <c r="F2015" t="s">
        <v>31574</v>
      </c>
      <c r="G2015" t="s">
        <v>31584</v>
      </c>
      <c r="H2015" t="s">
        <v>31590</v>
      </c>
      <c r="I2015" t="s">
        <v>6800</v>
      </c>
      <c r="J2015" t="s">
        <v>33165</v>
      </c>
      <c r="K2015" t="s">
        <v>41193</v>
      </c>
      <c r="M2015" t="s">
        <v>41635</v>
      </c>
      <c r="N2015" t="s">
        <v>45095</v>
      </c>
      <c r="O2015" t="s">
        <v>45096</v>
      </c>
      <c r="P2015">
        <v>0</v>
      </c>
      <c r="Q2015">
        <v>0</v>
      </c>
      <c r="R2015" t="s">
        <v>45097</v>
      </c>
      <c r="S2015" t="s">
        <v>45222</v>
      </c>
      <c r="T2015" t="s">
        <v>46913</v>
      </c>
      <c r="U2015" t="s">
        <v>49192</v>
      </c>
      <c r="W2015" t="s">
        <v>61654</v>
      </c>
      <c r="X2015" t="s">
        <v>45098</v>
      </c>
    </row>
    <row r="2016" spans="1:24">
      <c r="A2016">
        <f>HYPERLINK("https://www.philgeps.gov.ph/GEPSNONPILOT/Tender/SplashBidNoticeAbstractUI.aspx?menuIndex=3&amp;refID=7046624&amp;Result=3","7046624")</f>
        <v>0</v>
      </c>
      <c r="B2016" t="s">
        <v>191</v>
      </c>
      <c r="C2016" t="s">
        <v>5135</v>
      </c>
      <c r="D2016" t="s">
        <v>18082</v>
      </c>
      <c r="E2016" t="s">
        <v>19956</v>
      </c>
      <c r="F2016" t="s">
        <v>31574</v>
      </c>
      <c r="G2016" t="s">
        <v>31582</v>
      </c>
      <c r="H2016" t="s">
        <v>31590</v>
      </c>
      <c r="I2016" t="s">
        <v>31640</v>
      </c>
      <c r="J2016" t="s">
        <v>33166</v>
      </c>
      <c r="K2016" t="s">
        <v>41184</v>
      </c>
      <c r="M2016" t="s">
        <v>41676</v>
      </c>
      <c r="N2016" t="s">
        <v>45095</v>
      </c>
      <c r="O2016" t="s">
        <v>45096</v>
      </c>
      <c r="P2016">
        <v>0</v>
      </c>
      <c r="Q2016">
        <v>0</v>
      </c>
      <c r="R2016" t="s">
        <v>45097</v>
      </c>
      <c r="S2016" t="s">
        <v>45222</v>
      </c>
      <c r="T2016" t="s">
        <v>46924</v>
      </c>
      <c r="U2016" t="s">
        <v>49193</v>
      </c>
      <c r="W2016" t="s">
        <v>41676</v>
      </c>
      <c r="X2016" t="s">
        <v>45098</v>
      </c>
    </row>
    <row r="2017" spans="1:24">
      <c r="A2017">
        <f>HYPERLINK("https://www.philgeps.gov.ph/GEPSNONPILOT/Tender/SplashBidNoticeAbstractUI.aspx?menuIndex=3&amp;refID=7046604&amp;Result=3","7046604")</f>
        <v>0</v>
      </c>
      <c r="B2017" t="s">
        <v>804</v>
      </c>
      <c r="C2017" t="s">
        <v>5136</v>
      </c>
      <c r="D2017" t="s">
        <v>18035</v>
      </c>
      <c r="E2017" t="s">
        <v>19957</v>
      </c>
      <c r="F2017" t="s">
        <v>31574</v>
      </c>
      <c r="G2017" t="s">
        <v>31581</v>
      </c>
      <c r="H2017" t="s">
        <v>31590</v>
      </c>
      <c r="I2017" t="s">
        <v>31612</v>
      </c>
      <c r="J2017" t="s">
        <v>31789</v>
      </c>
      <c r="K2017" t="s">
        <v>41196</v>
      </c>
      <c r="M2017" t="s">
        <v>42319</v>
      </c>
      <c r="N2017" t="s">
        <v>45095</v>
      </c>
      <c r="O2017" t="s">
        <v>45096</v>
      </c>
      <c r="P2017">
        <v>0</v>
      </c>
      <c r="Q2017">
        <v>0</v>
      </c>
      <c r="R2017" t="s">
        <v>45097</v>
      </c>
      <c r="S2017" t="s">
        <v>45222</v>
      </c>
      <c r="T2017" t="s">
        <v>46918</v>
      </c>
      <c r="U2017" t="s">
        <v>49194</v>
      </c>
      <c r="W2017" t="s">
        <v>42319</v>
      </c>
      <c r="X2017" t="s">
        <v>45098</v>
      </c>
    </row>
    <row r="2018" spans="1:24">
      <c r="A2018">
        <f>HYPERLINK("https://www.philgeps.gov.ph/GEPSNONPILOT/Tender/SplashBidNoticeAbstractUI.aspx?menuIndex=3&amp;refID=7046620&amp;Result=3","7046620")</f>
        <v>0</v>
      </c>
      <c r="B2018" t="s">
        <v>805</v>
      </c>
      <c r="C2018" t="s">
        <v>5137</v>
      </c>
      <c r="D2018" t="s">
        <v>18039</v>
      </c>
      <c r="E2018" t="s">
        <v>18374</v>
      </c>
      <c r="F2018" t="s">
        <v>31574</v>
      </c>
      <c r="G2018" t="s">
        <v>31581</v>
      </c>
      <c r="H2018" t="s">
        <v>31591</v>
      </c>
      <c r="I2018" t="s">
        <v>8822</v>
      </c>
      <c r="J2018" t="s">
        <v>32019</v>
      </c>
      <c r="K2018" t="s">
        <v>41243</v>
      </c>
      <c r="M2018" t="s">
        <v>42320</v>
      </c>
      <c r="N2018" t="s">
        <v>45095</v>
      </c>
      <c r="O2018" t="s">
        <v>45096</v>
      </c>
      <c r="P2018">
        <v>0</v>
      </c>
      <c r="Q2018">
        <v>0</v>
      </c>
      <c r="R2018" t="s">
        <v>45097</v>
      </c>
      <c r="S2018" t="s">
        <v>45222</v>
      </c>
      <c r="T2018" t="s">
        <v>46904</v>
      </c>
      <c r="U2018" t="s">
        <v>49195</v>
      </c>
      <c r="W2018" t="s">
        <v>42320</v>
      </c>
      <c r="X2018" t="s">
        <v>45098</v>
      </c>
    </row>
    <row r="2019" spans="1:24">
      <c r="A2019">
        <f>HYPERLINK("https://www.philgeps.gov.ph/GEPSNONPILOT/Tender/SplashBidNoticeAbstractUI.aspx?menuIndex=3&amp;refID=7046623&amp;Result=3","7046623")</f>
        <v>0</v>
      </c>
      <c r="B2019" t="s">
        <v>90</v>
      </c>
      <c r="C2019" t="s">
        <v>5138</v>
      </c>
      <c r="D2019" t="s">
        <v>18073</v>
      </c>
      <c r="E2019" t="s">
        <v>19958</v>
      </c>
      <c r="F2019" t="s">
        <v>31574</v>
      </c>
      <c r="G2019" t="s">
        <v>31583</v>
      </c>
      <c r="H2019" t="s">
        <v>31590</v>
      </c>
      <c r="I2019" t="s">
        <v>4327</v>
      </c>
      <c r="J2019" t="s">
        <v>33167</v>
      </c>
      <c r="K2019" t="s">
        <v>41184</v>
      </c>
      <c r="M2019" t="s">
        <v>41574</v>
      </c>
      <c r="N2019" t="s">
        <v>45095</v>
      </c>
      <c r="O2019" t="s">
        <v>45096</v>
      </c>
      <c r="P2019">
        <v>0</v>
      </c>
      <c r="Q2019">
        <v>0</v>
      </c>
      <c r="R2019" t="s">
        <v>45097</v>
      </c>
      <c r="S2019" t="s">
        <v>45222</v>
      </c>
      <c r="T2019" t="s">
        <v>46913</v>
      </c>
      <c r="U2019" t="s">
        <v>49196</v>
      </c>
      <c r="V2019" t="s">
        <v>59883</v>
      </c>
      <c r="W2019" t="s">
        <v>41574</v>
      </c>
      <c r="X2019" t="s">
        <v>45098</v>
      </c>
    </row>
    <row r="2020" spans="1:24">
      <c r="A2020">
        <f>HYPERLINK("https://www.philgeps.gov.ph/GEPSNONPILOT/Tender/SplashBidNoticeAbstractUI.aspx?menuIndex=3&amp;refID=7046622&amp;Result=3","7046622")</f>
        <v>0</v>
      </c>
      <c r="B2020" t="s">
        <v>351</v>
      </c>
      <c r="C2020" t="s">
        <v>5139</v>
      </c>
      <c r="D2020" t="s">
        <v>18050</v>
      </c>
      <c r="E2020" t="s">
        <v>19959</v>
      </c>
      <c r="F2020" t="s">
        <v>31574</v>
      </c>
      <c r="G2020" t="s">
        <v>31581</v>
      </c>
      <c r="H2020" t="s">
        <v>31590</v>
      </c>
      <c r="I2020" t="s">
        <v>31614</v>
      </c>
      <c r="J2020" t="s">
        <v>32017</v>
      </c>
      <c r="K2020" t="s">
        <v>41184</v>
      </c>
      <c r="M2020" t="s">
        <v>41839</v>
      </c>
      <c r="N2020" t="s">
        <v>45095</v>
      </c>
      <c r="O2020" t="s">
        <v>45096</v>
      </c>
      <c r="P2020">
        <v>0</v>
      </c>
      <c r="Q2020">
        <v>0</v>
      </c>
      <c r="R2020" t="s">
        <v>45097</v>
      </c>
      <c r="S2020" t="s">
        <v>45222</v>
      </c>
      <c r="T2020" t="s">
        <v>47002</v>
      </c>
      <c r="U2020" t="s">
        <v>49197</v>
      </c>
      <c r="W2020" t="s">
        <v>41839</v>
      </c>
      <c r="X2020" t="s">
        <v>45098</v>
      </c>
    </row>
    <row r="2021" spans="1:24">
      <c r="A2021">
        <f>HYPERLINK("https://www.philgeps.gov.ph/GEPSNONPILOT/Tender/SplashBidNoticeAbstractUI.aspx?menuIndex=3&amp;refID=7046638&amp;Result=3","7046638")</f>
        <v>0</v>
      </c>
      <c r="B2021" t="s">
        <v>50</v>
      </c>
      <c r="C2021" t="s">
        <v>5140</v>
      </c>
      <c r="D2021" t="s">
        <v>18042</v>
      </c>
      <c r="E2021" t="s">
        <v>19960</v>
      </c>
      <c r="F2021" t="s">
        <v>31574</v>
      </c>
      <c r="G2021" t="s">
        <v>31582</v>
      </c>
      <c r="H2021" t="s">
        <v>31590</v>
      </c>
      <c r="I2021" t="s">
        <v>31599</v>
      </c>
      <c r="J2021" t="s">
        <v>33168</v>
      </c>
      <c r="K2021" t="s">
        <v>41186</v>
      </c>
      <c r="M2021" t="s">
        <v>41533</v>
      </c>
      <c r="N2021" t="s">
        <v>45095</v>
      </c>
      <c r="O2021" t="s">
        <v>45096</v>
      </c>
      <c r="P2021">
        <v>0</v>
      </c>
      <c r="Q2021">
        <v>0</v>
      </c>
      <c r="R2021" t="s">
        <v>45097</v>
      </c>
      <c r="S2021" t="s">
        <v>45222</v>
      </c>
      <c r="T2021" t="s">
        <v>46916</v>
      </c>
      <c r="U2021" t="s">
        <v>49198</v>
      </c>
      <c r="W2021" t="s">
        <v>41533</v>
      </c>
      <c r="X2021" t="s">
        <v>45098</v>
      </c>
    </row>
    <row r="2022" spans="1:24">
      <c r="A2022">
        <f>HYPERLINK("https://www.philgeps.gov.ph/GEPSNONPILOT/Tender/SplashBidNoticeAbstractUI.aspx?menuIndex=3&amp;refID=7046637&amp;Result=3","7046637")</f>
        <v>0</v>
      </c>
      <c r="B2022" t="s">
        <v>806</v>
      </c>
      <c r="C2022" t="s">
        <v>5141</v>
      </c>
      <c r="D2022" t="s">
        <v>18025</v>
      </c>
      <c r="E2022" t="s">
        <v>19123</v>
      </c>
      <c r="F2022" t="s">
        <v>31574</v>
      </c>
      <c r="G2022" t="s">
        <v>31585</v>
      </c>
      <c r="H2022" t="s">
        <v>31591</v>
      </c>
      <c r="I2022" t="s">
        <v>8822</v>
      </c>
      <c r="J2022" t="s">
        <v>33169</v>
      </c>
      <c r="K2022" t="s">
        <v>41208</v>
      </c>
      <c r="M2022" t="s">
        <v>42321</v>
      </c>
      <c r="N2022" t="s">
        <v>45095</v>
      </c>
      <c r="O2022" t="s">
        <v>45096</v>
      </c>
      <c r="P2022">
        <v>0</v>
      </c>
      <c r="Q2022">
        <v>0</v>
      </c>
      <c r="R2022" t="s">
        <v>45097</v>
      </c>
      <c r="S2022" t="s">
        <v>45222</v>
      </c>
      <c r="T2022" t="s">
        <v>46934</v>
      </c>
      <c r="U2022" t="s">
        <v>49199</v>
      </c>
      <c r="V2022" t="s">
        <v>60049</v>
      </c>
      <c r="W2022" t="s">
        <v>42321</v>
      </c>
      <c r="X2022" t="s">
        <v>45098</v>
      </c>
    </row>
    <row r="2023" spans="1:24">
      <c r="A2023">
        <f>HYPERLINK("https://www.philgeps.gov.ph/GEPSNONPILOT/Tender/SplashBidNoticeAbstractUI.aspx?menuIndex=3&amp;refID=7046644&amp;Result=3","7046644")</f>
        <v>0</v>
      </c>
      <c r="B2023" t="s">
        <v>807</v>
      </c>
      <c r="C2023" t="s">
        <v>5142</v>
      </c>
      <c r="D2023" t="s">
        <v>18047</v>
      </c>
      <c r="E2023" t="s">
        <v>19961</v>
      </c>
      <c r="F2023" t="s">
        <v>31574</v>
      </c>
      <c r="G2023" t="s">
        <v>31582</v>
      </c>
      <c r="H2023" t="s">
        <v>31590</v>
      </c>
      <c r="I2023" t="s">
        <v>31625</v>
      </c>
      <c r="J2023" t="s">
        <v>33170</v>
      </c>
      <c r="K2023" t="s">
        <v>41186</v>
      </c>
      <c r="M2023" t="s">
        <v>42322</v>
      </c>
      <c r="N2023" t="s">
        <v>45095</v>
      </c>
      <c r="O2023" t="s">
        <v>45096</v>
      </c>
      <c r="P2023">
        <v>0</v>
      </c>
      <c r="Q2023">
        <v>0</v>
      </c>
      <c r="R2023" t="s">
        <v>45097</v>
      </c>
      <c r="S2023" t="s">
        <v>45222</v>
      </c>
      <c r="T2023" t="s">
        <v>47105</v>
      </c>
      <c r="U2023" t="s">
        <v>49200</v>
      </c>
      <c r="W2023" t="s">
        <v>42322</v>
      </c>
      <c r="X2023" t="s">
        <v>45098</v>
      </c>
    </row>
    <row r="2024" spans="1:24">
      <c r="A2024">
        <f>HYPERLINK("https://www.philgeps.gov.ph/GEPSNONPILOT/Tender/SplashBidNoticeAbstractUI.aspx?menuIndex=3&amp;refID=7046640&amp;Result=3","7046640")</f>
        <v>0</v>
      </c>
      <c r="B2024" t="s">
        <v>766</v>
      </c>
      <c r="C2024" t="s">
        <v>5143</v>
      </c>
      <c r="D2024" t="s">
        <v>18040</v>
      </c>
      <c r="E2024" t="s">
        <v>19962</v>
      </c>
      <c r="F2024" t="s">
        <v>31574</v>
      </c>
      <c r="G2024" t="s">
        <v>31582</v>
      </c>
      <c r="H2024" t="s">
        <v>31591</v>
      </c>
      <c r="I2024" t="s">
        <v>4046</v>
      </c>
      <c r="J2024" t="s">
        <v>33171</v>
      </c>
      <c r="K2024" t="s">
        <v>41196</v>
      </c>
      <c r="M2024" t="s">
        <v>42280</v>
      </c>
      <c r="N2024" t="s">
        <v>45095</v>
      </c>
      <c r="O2024" t="s">
        <v>45096</v>
      </c>
      <c r="P2024">
        <v>0</v>
      </c>
      <c r="Q2024">
        <v>0</v>
      </c>
      <c r="R2024" t="s">
        <v>45097</v>
      </c>
      <c r="S2024" t="s">
        <v>45222</v>
      </c>
      <c r="T2024" t="s">
        <v>46905</v>
      </c>
      <c r="U2024" t="s">
        <v>49201</v>
      </c>
      <c r="W2024" t="s">
        <v>42280</v>
      </c>
      <c r="X2024" t="s">
        <v>45098</v>
      </c>
    </row>
    <row r="2025" spans="1:24">
      <c r="A2025">
        <f>HYPERLINK("https://www.philgeps.gov.ph/GEPSNONPILOT/Tender/SplashBidNoticeAbstractUI.aspx?menuIndex=3&amp;refID=7046642&amp;Result=3","7046642")</f>
        <v>0</v>
      </c>
      <c r="B2025" t="s">
        <v>781</v>
      </c>
      <c r="C2025" t="s">
        <v>5144</v>
      </c>
      <c r="D2025" t="s">
        <v>18047</v>
      </c>
      <c r="E2025" t="s">
        <v>19963</v>
      </c>
      <c r="F2025" t="s">
        <v>31574</v>
      </c>
      <c r="G2025" t="s">
        <v>31582</v>
      </c>
      <c r="H2025" t="s">
        <v>31591</v>
      </c>
      <c r="I2025" t="s">
        <v>8822</v>
      </c>
      <c r="J2025" t="s">
        <v>33172</v>
      </c>
      <c r="K2025" t="s">
        <v>41184</v>
      </c>
      <c r="M2025" t="s">
        <v>42316</v>
      </c>
      <c r="N2025" t="s">
        <v>45095</v>
      </c>
      <c r="O2025" t="s">
        <v>45096</v>
      </c>
      <c r="P2025">
        <v>0</v>
      </c>
      <c r="Q2025">
        <v>0</v>
      </c>
      <c r="R2025" t="s">
        <v>45097</v>
      </c>
      <c r="S2025" t="s">
        <v>45222</v>
      </c>
      <c r="T2025" t="s">
        <v>46956</v>
      </c>
      <c r="U2025" t="s">
        <v>49139</v>
      </c>
      <c r="W2025" t="s">
        <v>42316</v>
      </c>
      <c r="X2025" t="s">
        <v>45098</v>
      </c>
    </row>
    <row r="2026" spans="1:24">
      <c r="A2026">
        <f>HYPERLINK("https://www.philgeps.gov.ph/GEPSNONPILOT/Tender/SplashBidNoticeAbstractUI.aspx?menuIndex=3&amp;refID=7046639&amp;Result=3","7046639")</f>
        <v>0</v>
      </c>
      <c r="B2026" t="s">
        <v>808</v>
      </c>
      <c r="C2026" t="s">
        <v>5145</v>
      </c>
      <c r="D2026" t="s">
        <v>18031</v>
      </c>
      <c r="E2026" t="s">
        <v>19964</v>
      </c>
      <c r="F2026" t="s">
        <v>31574</v>
      </c>
      <c r="G2026" t="s">
        <v>31583</v>
      </c>
      <c r="H2026" t="s">
        <v>31590</v>
      </c>
      <c r="I2026" t="s">
        <v>31607</v>
      </c>
      <c r="J2026" t="s">
        <v>31962</v>
      </c>
      <c r="K2026" t="s">
        <v>41186</v>
      </c>
      <c r="M2026" t="s">
        <v>42323</v>
      </c>
      <c r="N2026" t="s">
        <v>45095</v>
      </c>
      <c r="O2026" t="s">
        <v>45096</v>
      </c>
      <c r="P2026">
        <v>0</v>
      </c>
      <c r="Q2026">
        <v>0</v>
      </c>
      <c r="R2026" t="s">
        <v>45097</v>
      </c>
      <c r="S2026" t="s">
        <v>45222</v>
      </c>
      <c r="T2026" t="s">
        <v>47106</v>
      </c>
      <c r="U2026" t="s">
        <v>49202</v>
      </c>
      <c r="W2026" t="s">
        <v>42323</v>
      </c>
      <c r="X2026" t="s">
        <v>45098</v>
      </c>
    </row>
    <row r="2027" spans="1:24">
      <c r="A2027">
        <f>HYPERLINK("https://www.philgeps.gov.ph/GEPSNONPILOT/Tender/SplashBidNoticeAbstractUI.aspx?menuIndex=3&amp;refID=7046641&amp;Result=3","7046641")</f>
        <v>0</v>
      </c>
      <c r="B2027" t="s">
        <v>70</v>
      </c>
      <c r="C2027" t="s">
        <v>5146</v>
      </c>
      <c r="E2027" t="s">
        <v>19676</v>
      </c>
      <c r="F2027" t="s">
        <v>31574</v>
      </c>
      <c r="G2027" t="s">
        <v>31583</v>
      </c>
      <c r="H2027" t="s">
        <v>31590</v>
      </c>
      <c r="I2027" t="s">
        <v>3520</v>
      </c>
      <c r="J2027" t="s">
        <v>33173</v>
      </c>
      <c r="K2027" t="s">
        <v>41184</v>
      </c>
      <c r="M2027" t="s">
        <v>41554</v>
      </c>
      <c r="N2027" t="s">
        <v>45095</v>
      </c>
      <c r="O2027" t="s">
        <v>45096</v>
      </c>
      <c r="P2027">
        <v>0</v>
      </c>
      <c r="Q2027">
        <v>0</v>
      </c>
      <c r="R2027" t="s">
        <v>45097</v>
      </c>
      <c r="S2027" t="s">
        <v>45222</v>
      </c>
      <c r="T2027" t="s">
        <v>46936</v>
      </c>
      <c r="U2027" t="s">
        <v>49203</v>
      </c>
      <c r="W2027" t="s">
        <v>41554</v>
      </c>
      <c r="X2027" t="s">
        <v>45098</v>
      </c>
    </row>
    <row r="2028" spans="1:24">
      <c r="A2028">
        <f>HYPERLINK("https://www.philgeps.gov.ph/GEPSNONPILOT/Tender/SplashBidNoticeAbstractUI.aspx?menuIndex=3&amp;refID=7046649&amp;Result=3","7046649")</f>
        <v>0</v>
      </c>
      <c r="B2028" t="s">
        <v>809</v>
      </c>
      <c r="C2028" t="s">
        <v>5147</v>
      </c>
      <c r="D2028" t="s">
        <v>18041</v>
      </c>
      <c r="E2028" t="s">
        <v>19965</v>
      </c>
      <c r="F2028" t="s">
        <v>31574</v>
      </c>
      <c r="G2028" t="s">
        <v>31581</v>
      </c>
      <c r="H2028" t="s">
        <v>31590</v>
      </c>
      <c r="I2028" t="s">
        <v>5717</v>
      </c>
      <c r="J2028" t="s">
        <v>33174</v>
      </c>
      <c r="K2028" t="s">
        <v>41193</v>
      </c>
      <c r="L2028" t="s">
        <v>809</v>
      </c>
      <c r="M2028" t="s">
        <v>42324</v>
      </c>
      <c r="N2028" t="s">
        <v>45095</v>
      </c>
      <c r="O2028" t="s">
        <v>45096</v>
      </c>
      <c r="P2028">
        <v>0</v>
      </c>
      <c r="Q2028">
        <v>0</v>
      </c>
      <c r="R2028" t="s">
        <v>45097</v>
      </c>
      <c r="S2028" t="s">
        <v>45222</v>
      </c>
      <c r="T2028" t="s">
        <v>46946</v>
      </c>
      <c r="U2028" t="s">
        <v>49204</v>
      </c>
      <c r="W2028" t="s">
        <v>42324</v>
      </c>
      <c r="X2028" t="s">
        <v>45098</v>
      </c>
    </row>
    <row r="2029" spans="1:24">
      <c r="A2029">
        <f>HYPERLINK("https://www.philgeps.gov.ph/GEPSNONPILOT/Tender/SplashBidNoticeAbstractUI.aspx?menuIndex=3&amp;refID=7046658&amp;Result=3","7046658")</f>
        <v>0</v>
      </c>
      <c r="B2029" t="s">
        <v>746</v>
      </c>
      <c r="C2029" t="s">
        <v>5148</v>
      </c>
      <c r="D2029" t="s">
        <v>18053</v>
      </c>
      <c r="E2029" t="s">
        <v>18629</v>
      </c>
      <c r="F2029" t="s">
        <v>31574</v>
      </c>
      <c r="G2029" t="s">
        <v>31582</v>
      </c>
      <c r="H2029" t="s">
        <v>31591</v>
      </c>
      <c r="I2029" t="s">
        <v>8822</v>
      </c>
      <c r="J2029" t="s">
        <v>31947</v>
      </c>
      <c r="K2029" t="s">
        <v>41217</v>
      </c>
      <c r="M2029" t="s">
        <v>42260</v>
      </c>
      <c r="N2029" t="s">
        <v>45095</v>
      </c>
      <c r="O2029" t="s">
        <v>45096</v>
      </c>
      <c r="P2029">
        <v>0</v>
      </c>
      <c r="Q2029">
        <v>0</v>
      </c>
      <c r="R2029" t="s">
        <v>45097</v>
      </c>
      <c r="S2029" t="s">
        <v>45222</v>
      </c>
      <c r="T2029" t="s">
        <v>46919</v>
      </c>
      <c r="U2029" t="s">
        <v>49205</v>
      </c>
      <c r="W2029" t="s">
        <v>42260</v>
      </c>
      <c r="X2029" t="s">
        <v>45098</v>
      </c>
    </row>
    <row r="2030" spans="1:24">
      <c r="A2030">
        <f>HYPERLINK("https://www.philgeps.gov.ph/GEPSNONPILOT/Tender/SplashBidNoticeAbstractUI.aspx?menuIndex=3&amp;refID=7046656&amp;Result=3","7046656")</f>
        <v>0</v>
      </c>
      <c r="B2030" t="s">
        <v>797</v>
      </c>
      <c r="C2030" t="s">
        <v>5149</v>
      </c>
      <c r="D2030" t="s">
        <v>18056</v>
      </c>
      <c r="E2030" t="s">
        <v>19966</v>
      </c>
      <c r="F2030" t="s">
        <v>31574</v>
      </c>
      <c r="G2030" t="s">
        <v>31582</v>
      </c>
      <c r="H2030" t="s">
        <v>31590</v>
      </c>
      <c r="I2030" t="s">
        <v>4046</v>
      </c>
      <c r="J2030" t="s">
        <v>33175</v>
      </c>
      <c r="K2030" t="s">
        <v>41186</v>
      </c>
      <c r="M2030" t="s">
        <v>42325</v>
      </c>
      <c r="N2030" t="s">
        <v>45095</v>
      </c>
      <c r="O2030" t="s">
        <v>45096</v>
      </c>
      <c r="P2030">
        <v>0</v>
      </c>
      <c r="Q2030">
        <v>0</v>
      </c>
      <c r="R2030" t="s">
        <v>45097</v>
      </c>
      <c r="S2030" t="s">
        <v>45222</v>
      </c>
      <c r="T2030" t="s">
        <v>47107</v>
      </c>
      <c r="U2030" t="s">
        <v>49206</v>
      </c>
      <c r="V2030" t="s">
        <v>60050</v>
      </c>
      <c r="W2030" t="s">
        <v>42325</v>
      </c>
      <c r="X2030" t="s">
        <v>45098</v>
      </c>
    </row>
    <row r="2031" spans="1:24">
      <c r="A2031">
        <f>HYPERLINK("https://www.philgeps.gov.ph/GEPSNONPILOT/Tender/SplashBidNoticeAbstractUI.aspx?menuIndex=3&amp;refID=7046643&amp;Result=3","7046643")</f>
        <v>0</v>
      </c>
      <c r="B2031" t="s">
        <v>810</v>
      </c>
      <c r="C2031" t="s">
        <v>4159</v>
      </c>
      <c r="D2031" t="s">
        <v>18095</v>
      </c>
      <c r="E2031" t="s">
        <v>19967</v>
      </c>
      <c r="F2031" t="s">
        <v>31574</v>
      </c>
      <c r="G2031" t="s">
        <v>31581</v>
      </c>
      <c r="H2031" t="s">
        <v>31590</v>
      </c>
      <c r="I2031" t="s">
        <v>4046</v>
      </c>
      <c r="J2031" t="s">
        <v>33176</v>
      </c>
      <c r="K2031" t="s">
        <v>41196</v>
      </c>
      <c r="M2031" t="s">
        <v>42326</v>
      </c>
      <c r="N2031" t="s">
        <v>45095</v>
      </c>
      <c r="O2031" t="s">
        <v>45096</v>
      </c>
      <c r="P2031">
        <v>0</v>
      </c>
      <c r="Q2031">
        <v>0</v>
      </c>
      <c r="R2031" t="s">
        <v>45097</v>
      </c>
      <c r="S2031" t="s">
        <v>45222</v>
      </c>
      <c r="T2031" t="s">
        <v>46918</v>
      </c>
      <c r="U2031" t="s">
        <v>49207</v>
      </c>
      <c r="V2031" t="s">
        <v>60051</v>
      </c>
      <c r="W2031" t="s">
        <v>42326</v>
      </c>
      <c r="X2031" t="s">
        <v>45098</v>
      </c>
    </row>
    <row r="2032" spans="1:24">
      <c r="A2032">
        <f>HYPERLINK("https://www.philgeps.gov.ph/GEPSNONPILOT/Tender/SplashBidNoticeAbstractUI.aspx?menuIndex=3&amp;refID=7046659&amp;Result=3","7046659")</f>
        <v>0</v>
      </c>
      <c r="B2032" t="s">
        <v>790</v>
      </c>
      <c r="C2032" t="s">
        <v>5150</v>
      </c>
      <c r="D2032" t="s">
        <v>18079</v>
      </c>
      <c r="E2032" t="s">
        <v>19968</v>
      </c>
      <c r="F2032" t="s">
        <v>31574</v>
      </c>
      <c r="G2032" t="s">
        <v>31584</v>
      </c>
      <c r="H2032" t="s">
        <v>31590</v>
      </c>
      <c r="I2032" t="s">
        <v>5717</v>
      </c>
      <c r="J2032" t="s">
        <v>33177</v>
      </c>
      <c r="K2032" t="s">
        <v>41193</v>
      </c>
      <c r="M2032" t="s">
        <v>42304</v>
      </c>
      <c r="N2032" t="s">
        <v>45095</v>
      </c>
      <c r="O2032" t="s">
        <v>45096</v>
      </c>
      <c r="P2032">
        <v>0</v>
      </c>
      <c r="Q2032">
        <v>0</v>
      </c>
      <c r="R2032" t="s">
        <v>45097</v>
      </c>
      <c r="S2032" t="s">
        <v>45222</v>
      </c>
      <c r="T2032" t="s">
        <v>46911</v>
      </c>
      <c r="U2032" t="s">
        <v>49164</v>
      </c>
      <c r="V2032" t="s">
        <v>60045</v>
      </c>
      <c r="W2032" t="s">
        <v>42304</v>
      </c>
      <c r="X2032" t="s">
        <v>45098</v>
      </c>
    </row>
    <row r="2033" spans="1:24">
      <c r="A2033">
        <f>HYPERLINK("https://www.philgeps.gov.ph/GEPSNONPILOT/Tender/SplashBidNoticeAbstractUI.aspx?menuIndex=3&amp;refID=7046655&amp;Result=3","7046655")</f>
        <v>0</v>
      </c>
      <c r="B2033" t="s">
        <v>811</v>
      </c>
      <c r="C2033" t="s">
        <v>3375</v>
      </c>
      <c r="D2033" t="s">
        <v>18036</v>
      </c>
      <c r="E2033" t="s">
        <v>19969</v>
      </c>
      <c r="F2033" t="s">
        <v>31574</v>
      </c>
      <c r="G2033" t="s">
        <v>31582</v>
      </c>
      <c r="H2033" t="s">
        <v>31590</v>
      </c>
      <c r="I2033" t="s">
        <v>6800</v>
      </c>
      <c r="J2033" t="s">
        <v>33178</v>
      </c>
      <c r="K2033" t="s">
        <v>41196</v>
      </c>
      <c r="M2033" t="s">
        <v>42327</v>
      </c>
      <c r="N2033" t="s">
        <v>45095</v>
      </c>
      <c r="O2033" t="s">
        <v>45096</v>
      </c>
      <c r="P2033">
        <v>0</v>
      </c>
      <c r="Q2033">
        <v>0</v>
      </c>
      <c r="R2033" t="s">
        <v>45097</v>
      </c>
      <c r="S2033" t="s">
        <v>45222</v>
      </c>
      <c r="T2033" t="s">
        <v>46943</v>
      </c>
      <c r="U2033" t="s">
        <v>49208</v>
      </c>
      <c r="W2033" t="s">
        <v>42327</v>
      </c>
      <c r="X2033" t="s">
        <v>45098</v>
      </c>
    </row>
    <row r="2034" spans="1:24">
      <c r="A2034">
        <f>HYPERLINK("https://www.philgeps.gov.ph/GEPSNONPILOT/Tender/SplashBidNoticeAbstractUI.aspx?menuIndex=3&amp;refID=7046657&amp;Result=3","7046657")</f>
        <v>0</v>
      </c>
      <c r="B2034" t="s">
        <v>812</v>
      </c>
      <c r="C2034" t="s">
        <v>3764</v>
      </c>
      <c r="D2034" t="s">
        <v>18102</v>
      </c>
      <c r="E2034" t="s">
        <v>19970</v>
      </c>
      <c r="F2034" t="s">
        <v>31574</v>
      </c>
      <c r="G2034" t="s">
        <v>31582</v>
      </c>
      <c r="H2034" t="s">
        <v>31590</v>
      </c>
      <c r="I2034" t="s">
        <v>7185</v>
      </c>
      <c r="J2034" t="s">
        <v>33179</v>
      </c>
      <c r="K2034" t="s">
        <v>41186</v>
      </c>
      <c r="M2034" t="s">
        <v>42328</v>
      </c>
      <c r="N2034" t="s">
        <v>45095</v>
      </c>
      <c r="O2034" t="s">
        <v>45096</v>
      </c>
      <c r="P2034">
        <v>0</v>
      </c>
      <c r="Q2034">
        <v>0</v>
      </c>
      <c r="R2034" t="s">
        <v>45097</v>
      </c>
      <c r="S2034" t="s">
        <v>45222</v>
      </c>
      <c r="T2034" t="s">
        <v>46910</v>
      </c>
      <c r="U2034" t="s">
        <v>49209</v>
      </c>
      <c r="W2034" t="s">
        <v>42328</v>
      </c>
      <c r="X2034" t="s">
        <v>45098</v>
      </c>
    </row>
    <row r="2035" spans="1:24">
      <c r="A2035">
        <f>HYPERLINK("https://www.philgeps.gov.ph/GEPSNONPILOT/Tender/SplashBidNoticeAbstractUI.aspx?menuIndex=3&amp;refID=7046647&amp;Result=3","7046647")</f>
        <v>0</v>
      </c>
      <c r="B2035" t="s">
        <v>790</v>
      </c>
      <c r="C2035" t="s">
        <v>5151</v>
      </c>
      <c r="D2035" t="s">
        <v>18079</v>
      </c>
      <c r="E2035" t="s">
        <v>19971</v>
      </c>
      <c r="F2035" t="s">
        <v>31574</v>
      </c>
      <c r="G2035" t="s">
        <v>31581</v>
      </c>
      <c r="H2035" t="s">
        <v>31590</v>
      </c>
      <c r="I2035" t="s">
        <v>3489</v>
      </c>
      <c r="J2035" t="s">
        <v>33180</v>
      </c>
      <c r="K2035" t="s">
        <v>41193</v>
      </c>
      <c r="M2035" t="s">
        <v>42304</v>
      </c>
      <c r="N2035" t="s">
        <v>45095</v>
      </c>
      <c r="O2035" t="s">
        <v>45096</v>
      </c>
      <c r="P2035">
        <v>0</v>
      </c>
      <c r="Q2035">
        <v>0</v>
      </c>
      <c r="R2035" t="s">
        <v>45097</v>
      </c>
      <c r="S2035" t="s">
        <v>45222</v>
      </c>
      <c r="T2035" t="s">
        <v>46911</v>
      </c>
      <c r="U2035" t="s">
        <v>49164</v>
      </c>
      <c r="W2035" t="s">
        <v>42304</v>
      </c>
      <c r="X2035" t="s">
        <v>45098</v>
      </c>
    </row>
    <row r="2036" spans="1:24">
      <c r="A2036">
        <f>HYPERLINK("https://www.philgeps.gov.ph/GEPSNONPILOT/Tender/SplashBidNoticeAbstractUI.aspx?menuIndex=3&amp;refID=7046652&amp;Result=3","7046652")</f>
        <v>0</v>
      </c>
      <c r="B2036" t="s">
        <v>781</v>
      </c>
      <c r="C2036" t="s">
        <v>5152</v>
      </c>
      <c r="D2036" t="s">
        <v>18047</v>
      </c>
      <c r="E2036" t="s">
        <v>19972</v>
      </c>
      <c r="F2036" t="s">
        <v>31574</v>
      </c>
      <c r="G2036" t="s">
        <v>31582</v>
      </c>
      <c r="H2036" t="s">
        <v>31591</v>
      </c>
      <c r="I2036" t="s">
        <v>8822</v>
      </c>
      <c r="J2036" t="s">
        <v>33181</v>
      </c>
      <c r="K2036" t="s">
        <v>41184</v>
      </c>
      <c r="M2036" t="s">
        <v>42316</v>
      </c>
      <c r="N2036" t="s">
        <v>45095</v>
      </c>
      <c r="O2036" t="s">
        <v>45096</v>
      </c>
      <c r="P2036">
        <v>0</v>
      </c>
      <c r="Q2036">
        <v>0</v>
      </c>
      <c r="R2036" t="s">
        <v>45097</v>
      </c>
      <c r="S2036" t="s">
        <v>45222</v>
      </c>
      <c r="T2036" t="s">
        <v>46956</v>
      </c>
      <c r="U2036" t="s">
        <v>49139</v>
      </c>
      <c r="W2036" t="s">
        <v>42316</v>
      </c>
      <c r="X2036" t="s">
        <v>45098</v>
      </c>
    </row>
    <row r="2037" spans="1:24">
      <c r="A2037">
        <f>HYPERLINK("https://www.philgeps.gov.ph/GEPSNONPILOT/Tender/SplashBidNoticeAbstractUI.aspx?menuIndex=3&amp;refID=7046660&amp;Result=3","7046660")</f>
        <v>0</v>
      </c>
      <c r="B2037" t="s">
        <v>781</v>
      </c>
      <c r="C2037" t="s">
        <v>5153</v>
      </c>
      <c r="D2037" t="s">
        <v>18047</v>
      </c>
      <c r="E2037" t="s">
        <v>19973</v>
      </c>
      <c r="F2037" t="s">
        <v>31574</v>
      </c>
      <c r="G2037" t="s">
        <v>31582</v>
      </c>
      <c r="H2037" t="s">
        <v>31591</v>
      </c>
      <c r="I2037" t="s">
        <v>8822</v>
      </c>
      <c r="J2037" t="s">
        <v>33182</v>
      </c>
      <c r="K2037" t="s">
        <v>41184</v>
      </c>
      <c r="M2037" t="s">
        <v>42316</v>
      </c>
      <c r="N2037" t="s">
        <v>45095</v>
      </c>
      <c r="O2037" t="s">
        <v>45096</v>
      </c>
      <c r="P2037">
        <v>0</v>
      </c>
      <c r="Q2037">
        <v>0</v>
      </c>
      <c r="R2037" t="s">
        <v>45097</v>
      </c>
      <c r="S2037" t="s">
        <v>45222</v>
      </c>
      <c r="T2037" t="s">
        <v>46956</v>
      </c>
      <c r="U2037" t="s">
        <v>49139</v>
      </c>
      <c r="W2037" t="s">
        <v>42316</v>
      </c>
      <c r="X2037" t="s">
        <v>45098</v>
      </c>
    </row>
    <row r="2038" spans="1:24">
      <c r="A2038">
        <f>HYPERLINK("https://www.philgeps.gov.ph/GEPSNONPILOT/Tender/SplashBidNoticeAbstractUI.aspx?menuIndex=3&amp;refID=7046645&amp;Result=3","7046645")</f>
        <v>0</v>
      </c>
      <c r="B2038" t="s">
        <v>813</v>
      </c>
      <c r="C2038" t="s">
        <v>5154</v>
      </c>
      <c r="D2038" t="s">
        <v>18027</v>
      </c>
      <c r="E2038" t="s">
        <v>19856</v>
      </c>
      <c r="F2038" t="s">
        <v>31574</v>
      </c>
      <c r="G2038" t="s">
        <v>31582</v>
      </c>
      <c r="H2038" t="s">
        <v>31591</v>
      </c>
      <c r="I2038" t="s">
        <v>8822</v>
      </c>
      <c r="J2038" t="s">
        <v>33183</v>
      </c>
      <c r="K2038" t="s">
        <v>41192</v>
      </c>
      <c r="M2038" t="s">
        <v>42329</v>
      </c>
      <c r="N2038" t="s">
        <v>45095</v>
      </c>
      <c r="O2038" t="s">
        <v>45096</v>
      </c>
      <c r="P2038">
        <v>0</v>
      </c>
      <c r="Q2038">
        <v>0</v>
      </c>
      <c r="R2038" t="s">
        <v>45097</v>
      </c>
      <c r="S2038" t="s">
        <v>45222</v>
      </c>
      <c r="T2038" t="s">
        <v>47024</v>
      </c>
      <c r="U2038" t="s">
        <v>49210</v>
      </c>
      <c r="W2038" t="s">
        <v>42329</v>
      </c>
      <c r="X2038" t="s">
        <v>45098</v>
      </c>
    </row>
    <row r="2039" spans="1:24">
      <c r="A2039">
        <f>HYPERLINK("https://www.philgeps.gov.ph/GEPSNONPILOT/Tender/SplashBidNoticeAbstractUI.aspx?menuIndex=3&amp;refID=7046650&amp;Result=3","7046650")</f>
        <v>0</v>
      </c>
      <c r="B2039" t="s">
        <v>72</v>
      </c>
      <c r="C2039" t="s">
        <v>5155</v>
      </c>
      <c r="D2039" t="s">
        <v>18033</v>
      </c>
      <c r="E2039" t="s">
        <v>18626</v>
      </c>
      <c r="F2039" t="s">
        <v>31574</v>
      </c>
      <c r="G2039" t="s">
        <v>31581</v>
      </c>
      <c r="H2039" t="s">
        <v>31592</v>
      </c>
      <c r="I2039" t="s">
        <v>31594</v>
      </c>
      <c r="J2039" t="s">
        <v>31964</v>
      </c>
      <c r="K2039" t="s">
        <v>41186</v>
      </c>
      <c r="M2039" t="s">
        <v>41556</v>
      </c>
      <c r="N2039" t="s">
        <v>45095</v>
      </c>
      <c r="O2039" t="s">
        <v>45096</v>
      </c>
      <c r="P2039">
        <v>0</v>
      </c>
      <c r="Q2039">
        <v>0</v>
      </c>
      <c r="R2039" t="s">
        <v>45097</v>
      </c>
      <c r="S2039" t="s">
        <v>45222</v>
      </c>
      <c r="T2039" t="s">
        <v>46911</v>
      </c>
      <c r="U2039" t="s">
        <v>49211</v>
      </c>
      <c r="W2039" t="s">
        <v>41556</v>
      </c>
      <c r="X2039" t="s">
        <v>45098</v>
      </c>
    </row>
    <row r="2040" spans="1:24">
      <c r="A2040">
        <f>HYPERLINK("https://www.philgeps.gov.ph/GEPSNONPILOT/Tender/SplashBidNoticeAbstractUI.aspx?menuIndex=3&amp;refID=7046648&amp;Result=3","7046648")</f>
        <v>0</v>
      </c>
      <c r="B2040" t="s">
        <v>91</v>
      </c>
      <c r="C2040" t="s">
        <v>5156</v>
      </c>
      <c r="D2040" t="s">
        <v>18060</v>
      </c>
      <c r="E2040" t="s">
        <v>19974</v>
      </c>
      <c r="F2040" t="s">
        <v>31574</v>
      </c>
      <c r="G2040" t="s">
        <v>31582</v>
      </c>
      <c r="H2040" t="s">
        <v>31590</v>
      </c>
      <c r="I2040" t="s">
        <v>31615</v>
      </c>
      <c r="J2040" t="s">
        <v>33184</v>
      </c>
      <c r="K2040" t="s">
        <v>41196</v>
      </c>
      <c r="M2040" t="s">
        <v>42330</v>
      </c>
      <c r="N2040" t="s">
        <v>45095</v>
      </c>
      <c r="O2040" t="s">
        <v>45096</v>
      </c>
      <c r="P2040">
        <v>0</v>
      </c>
      <c r="Q2040">
        <v>2</v>
      </c>
      <c r="R2040" t="s">
        <v>45097</v>
      </c>
      <c r="S2040" t="s">
        <v>45222</v>
      </c>
      <c r="T2040" t="s">
        <v>46956</v>
      </c>
      <c r="U2040" t="s">
        <v>49212</v>
      </c>
      <c r="W2040" t="s">
        <v>42330</v>
      </c>
      <c r="X2040" t="s">
        <v>45098</v>
      </c>
    </row>
    <row r="2041" spans="1:24">
      <c r="A2041">
        <f>HYPERLINK("https://www.philgeps.gov.ph/GEPSNONPILOT/Tender/SplashBidNoticeAbstractUI.aspx?menuIndex=3&amp;refID=7046677&amp;Result=3","7046677")</f>
        <v>0</v>
      </c>
      <c r="B2041" t="s">
        <v>790</v>
      </c>
      <c r="C2041" t="s">
        <v>5157</v>
      </c>
      <c r="D2041" t="s">
        <v>18079</v>
      </c>
      <c r="E2041" t="s">
        <v>19975</v>
      </c>
      <c r="F2041" t="s">
        <v>31574</v>
      </c>
      <c r="G2041" t="s">
        <v>31584</v>
      </c>
      <c r="H2041" t="s">
        <v>31590</v>
      </c>
      <c r="I2041" t="s">
        <v>5717</v>
      </c>
      <c r="J2041" t="s">
        <v>33185</v>
      </c>
      <c r="K2041" t="s">
        <v>41193</v>
      </c>
      <c r="M2041" t="s">
        <v>42304</v>
      </c>
      <c r="N2041" t="s">
        <v>45095</v>
      </c>
      <c r="O2041" t="s">
        <v>45096</v>
      </c>
      <c r="P2041">
        <v>0</v>
      </c>
      <c r="Q2041">
        <v>0</v>
      </c>
      <c r="R2041" t="s">
        <v>45097</v>
      </c>
      <c r="S2041" t="s">
        <v>45222</v>
      </c>
      <c r="T2041" t="s">
        <v>46911</v>
      </c>
      <c r="U2041" t="s">
        <v>49164</v>
      </c>
      <c r="V2041" t="s">
        <v>60045</v>
      </c>
      <c r="W2041" t="s">
        <v>42304</v>
      </c>
      <c r="X2041" t="s">
        <v>45098</v>
      </c>
    </row>
    <row r="2042" spans="1:24">
      <c r="A2042">
        <f>HYPERLINK("https://www.philgeps.gov.ph/GEPSNONPILOT/Tender/SplashBidNoticeAbstractUI.aspx?menuIndex=3&amp;refID=7046661&amp;Result=3","7046661")</f>
        <v>0</v>
      </c>
      <c r="B2042" t="s">
        <v>814</v>
      </c>
      <c r="C2042" t="s">
        <v>5158</v>
      </c>
      <c r="D2042" t="s">
        <v>18100</v>
      </c>
      <c r="E2042" t="s">
        <v>19976</v>
      </c>
      <c r="F2042" t="s">
        <v>31574</v>
      </c>
      <c r="G2042" t="s">
        <v>31581</v>
      </c>
      <c r="H2042" t="s">
        <v>31590</v>
      </c>
      <c r="I2042" t="s">
        <v>31680</v>
      </c>
      <c r="J2042" t="s">
        <v>33186</v>
      </c>
      <c r="K2042" t="s">
        <v>41237</v>
      </c>
      <c r="M2042" t="s">
        <v>42331</v>
      </c>
      <c r="N2042" t="s">
        <v>45095</v>
      </c>
      <c r="O2042" t="s">
        <v>45096</v>
      </c>
      <c r="P2042">
        <v>0</v>
      </c>
      <c r="Q2042">
        <v>0</v>
      </c>
      <c r="R2042" t="s">
        <v>45097</v>
      </c>
      <c r="S2042" t="s">
        <v>45222</v>
      </c>
      <c r="T2042" t="s">
        <v>46904</v>
      </c>
      <c r="U2042" t="s">
        <v>49213</v>
      </c>
      <c r="V2042" t="s">
        <v>60052</v>
      </c>
      <c r="W2042" t="s">
        <v>42331</v>
      </c>
      <c r="X2042" t="s">
        <v>45098</v>
      </c>
    </row>
    <row r="2043" spans="1:24">
      <c r="A2043">
        <f>HYPERLINK("https://www.philgeps.gov.ph/GEPSNONPILOT/Tender/SplashBidNoticeAbstractUI.aspx?menuIndex=3&amp;refID=7046679&amp;Result=3","7046679")</f>
        <v>0</v>
      </c>
      <c r="B2043" t="s">
        <v>372</v>
      </c>
      <c r="C2043" t="s">
        <v>5159</v>
      </c>
      <c r="D2043" t="s">
        <v>18041</v>
      </c>
      <c r="E2043" t="s">
        <v>19977</v>
      </c>
      <c r="F2043" t="s">
        <v>31574</v>
      </c>
      <c r="G2043" t="s">
        <v>31581</v>
      </c>
      <c r="H2043" t="s">
        <v>31590</v>
      </c>
      <c r="I2043" t="s">
        <v>31606</v>
      </c>
      <c r="J2043" t="s">
        <v>33187</v>
      </c>
      <c r="K2043" t="s">
        <v>41186</v>
      </c>
      <c r="M2043" t="s">
        <v>42332</v>
      </c>
      <c r="N2043" t="s">
        <v>45095</v>
      </c>
      <c r="O2043" t="s">
        <v>45096</v>
      </c>
      <c r="P2043">
        <v>0</v>
      </c>
      <c r="Q2043">
        <v>0</v>
      </c>
      <c r="R2043" t="s">
        <v>45097</v>
      </c>
      <c r="S2043" t="s">
        <v>45222</v>
      </c>
      <c r="T2043" t="s">
        <v>46926</v>
      </c>
      <c r="U2043" t="s">
        <v>49214</v>
      </c>
      <c r="W2043" t="s">
        <v>42332</v>
      </c>
      <c r="X2043" t="s">
        <v>45098</v>
      </c>
    </row>
    <row r="2044" spans="1:24">
      <c r="A2044">
        <f>HYPERLINK("https://www.philgeps.gov.ph/GEPSNONPILOT/Tender/SplashBidNoticeAbstractUI.aspx?menuIndex=3&amp;refID=7046651&amp;Result=3","7046651")</f>
        <v>0</v>
      </c>
      <c r="B2044" t="s">
        <v>353</v>
      </c>
      <c r="C2044" t="s">
        <v>5160</v>
      </c>
      <c r="D2044" t="s">
        <v>18068</v>
      </c>
      <c r="E2044" t="s">
        <v>19588</v>
      </c>
      <c r="F2044" t="s">
        <v>31574</v>
      </c>
      <c r="G2044" t="s">
        <v>31581</v>
      </c>
      <c r="H2044" t="s">
        <v>31590</v>
      </c>
      <c r="I2044" t="s">
        <v>31623</v>
      </c>
      <c r="J2044" t="s">
        <v>32017</v>
      </c>
      <c r="K2044" t="s">
        <v>41186</v>
      </c>
      <c r="M2044" t="s">
        <v>41842</v>
      </c>
      <c r="N2044" t="s">
        <v>45095</v>
      </c>
      <c r="O2044" t="s">
        <v>45096</v>
      </c>
      <c r="P2044">
        <v>0</v>
      </c>
      <c r="Q2044">
        <v>0</v>
      </c>
      <c r="R2044" t="s">
        <v>45097</v>
      </c>
      <c r="S2044" t="s">
        <v>45222</v>
      </c>
      <c r="T2044" t="s">
        <v>46932</v>
      </c>
      <c r="U2044" t="s">
        <v>49215</v>
      </c>
      <c r="V2044" t="s">
        <v>59923</v>
      </c>
      <c r="W2044" t="s">
        <v>41842</v>
      </c>
      <c r="X2044" t="s">
        <v>45098</v>
      </c>
    </row>
    <row r="2045" spans="1:24">
      <c r="A2045">
        <f>HYPERLINK("https://www.philgeps.gov.ph/GEPSNONPILOT/Tender/SplashBidNoticeAbstractUI.aspx?menuIndex=3&amp;refID=7046662&amp;Result=3","7046662")</f>
        <v>0</v>
      </c>
      <c r="B2045" t="s">
        <v>191</v>
      </c>
      <c r="C2045" t="s">
        <v>5161</v>
      </c>
      <c r="D2045" t="s">
        <v>18082</v>
      </c>
      <c r="E2045" t="s">
        <v>19978</v>
      </c>
      <c r="F2045" t="s">
        <v>31574</v>
      </c>
      <c r="G2045" t="s">
        <v>31582</v>
      </c>
      <c r="H2045" t="s">
        <v>31590</v>
      </c>
      <c r="I2045" t="s">
        <v>6800</v>
      </c>
      <c r="J2045" t="s">
        <v>33188</v>
      </c>
      <c r="K2045" t="s">
        <v>41184</v>
      </c>
      <c r="M2045" t="s">
        <v>41676</v>
      </c>
      <c r="N2045" t="s">
        <v>45095</v>
      </c>
      <c r="O2045" t="s">
        <v>45096</v>
      </c>
      <c r="P2045">
        <v>0</v>
      </c>
      <c r="Q2045">
        <v>0</v>
      </c>
      <c r="R2045" t="s">
        <v>45097</v>
      </c>
      <c r="S2045" t="s">
        <v>45222</v>
      </c>
      <c r="T2045" t="s">
        <v>46924</v>
      </c>
      <c r="U2045" t="s">
        <v>49193</v>
      </c>
      <c r="W2045" t="s">
        <v>41676</v>
      </c>
      <c r="X2045" t="s">
        <v>45098</v>
      </c>
    </row>
    <row r="2046" spans="1:24">
      <c r="A2046">
        <f>HYPERLINK("https://www.philgeps.gov.ph/GEPSNONPILOT/Tender/SplashBidNoticeAbstractUI.aspx?menuIndex=3&amp;refID=7046676&amp;Result=3","7046676")</f>
        <v>0</v>
      </c>
      <c r="B2046" t="s">
        <v>815</v>
      </c>
      <c r="C2046" t="s">
        <v>5162</v>
      </c>
      <c r="D2046" t="s">
        <v>18033</v>
      </c>
      <c r="E2046" t="s">
        <v>19979</v>
      </c>
      <c r="F2046" t="s">
        <v>31574</v>
      </c>
      <c r="G2046" t="s">
        <v>31588</v>
      </c>
      <c r="H2046" t="s">
        <v>31593</v>
      </c>
      <c r="I2046" t="s">
        <v>31659</v>
      </c>
      <c r="J2046" t="s">
        <v>33189</v>
      </c>
      <c r="K2046" t="s">
        <v>41200</v>
      </c>
      <c r="M2046" t="s">
        <v>42333</v>
      </c>
      <c r="N2046" t="s">
        <v>45095</v>
      </c>
      <c r="O2046" t="s">
        <v>45096</v>
      </c>
      <c r="P2046">
        <v>0</v>
      </c>
      <c r="Q2046">
        <v>0</v>
      </c>
      <c r="R2046" t="s">
        <v>45097</v>
      </c>
      <c r="S2046" t="s">
        <v>45222</v>
      </c>
      <c r="T2046" t="s">
        <v>46935</v>
      </c>
      <c r="U2046" t="s">
        <v>49216</v>
      </c>
      <c r="W2046" t="s">
        <v>42333</v>
      </c>
      <c r="X2046" t="s">
        <v>45098</v>
      </c>
    </row>
    <row r="2047" spans="1:24">
      <c r="A2047">
        <f>HYPERLINK("https://www.philgeps.gov.ph/GEPSNONPILOT/Tender/SplashBidNoticeAbstractUI.aspx?menuIndex=3&amp;refID=7046680&amp;Result=3","7046680")</f>
        <v>0</v>
      </c>
      <c r="B2047" t="s">
        <v>736</v>
      </c>
      <c r="C2047" t="s">
        <v>5163</v>
      </c>
      <c r="D2047" t="s">
        <v>18079</v>
      </c>
      <c r="E2047" t="s">
        <v>19980</v>
      </c>
      <c r="F2047" t="s">
        <v>31574</v>
      </c>
      <c r="G2047" t="s">
        <v>31581</v>
      </c>
      <c r="H2047" t="s">
        <v>31590</v>
      </c>
      <c r="I2047" t="s">
        <v>31656</v>
      </c>
      <c r="J2047" t="s">
        <v>33190</v>
      </c>
      <c r="K2047" t="s">
        <v>41186</v>
      </c>
      <c r="M2047" t="s">
        <v>42247</v>
      </c>
      <c r="N2047" t="s">
        <v>45095</v>
      </c>
      <c r="O2047" t="s">
        <v>45096</v>
      </c>
      <c r="P2047">
        <v>0</v>
      </c>
      <c r="Q2047">
        <v>0</v>
      </c>
      <c r="R2047" t="s">
        <v>45097</v>
      </c>
      <c r="S2047" t="s">
        <v>45222</v>
      </c>
      <c r="T2047" t="s">
        <v>46946</v>
      </c>
      <c r="U2047" t="s">
        <v>49028</v>
      </c>
      <c r="W2047" t="s">
        <v>42247</v>
      </c>
      <c r="X2047" t="s">
        <v>45098</v>
      </c>
    </row>
    <row r="2048" spans="1:24">
      <c r="A2048">
        <f>HYPERLINK("https://www.philgeps.gov.ph/GEPSNONPILOT/Tender/SplashBidNoticeAbstractUI.aspx?menuIndex=3&amp;refID=7046682&amp;Result=3","7046682")</f>
        <v>0</v>
      </c>
      <c r="B2048" t="s">
        <v>816</v>
      </c>
      <c r="C2048" t="s">
        <v>5164</v>
      </c>
      <c r="D2048" t="s">
        <v>18033</v>
      </c>
      <c r="E2048" t="s">
        <v>19981</v>
      </c>
      <c r="F2048" t="s">
        <v>31574</v>
      </c>
      <c r="G2048" t="s">
        <v>31584</v>
      </c>
      <c r="H2048" t="s">
        <v>31590</v>
      </c>
      <c r="I2048" t="s">
        <v>5717</v>
      </c>
      <c r="J2048" t="s">
        <v>31789</v>
      </c>
      <c r="K2048" t="s">
        <v>41190</v>
      </c>
      <c r="M2048" t="s">
        <v>42334</v>
      </c>
      <c r="N2048" t="s">
        <v>45095</v>
      </c>
      <c r="O2048" t="s">
        <v>45096</v>
      </c>
      <c r="P2048">
        <v>0</v>
      </c>
      <c r="Q2048">
        <v>0</v>
      </c>
      <c r="R2048" t="s">
        <v>45097</v>
      </c>
      <c r="S2048" t="s">
        <v>45222</v>
      </c>
      <c r="T2048" t="s">
        <v>46914</v>
      </c>
      <c r="U2048" t="s">
        <v>49217</v>
      </c>
      <c r="W2048" t="s">
        <v>42334</v>
      </c>
      <c r="X2048" t="s">
        <v>45098</v>
      </c>
    </row>
    <row r="2049" spans="1:24">
      <c r="A2049">
        <f>HYPERLINK("https://www.philgeps.gov.ph/GEPSNONPILOT/Tender/SplashBidNoticeAbstractUI.aspx?menuIndex=3&amp;refID=7046683&amp;Result=3","7046683")</f>
        <v>0</v>
      </c>
      <c r="B2049" t="s">
        <v>167</v>
      </c>
      <c r="C2049" t="s">
        <v>5165</v>
      </c>
      <c r="D2049" t="s">
        <v>18036</v>
      </c>
      <c r="E2049" t="s">
        <v>19982</v>
      </c>
      <c r="F2049" t="s">
        <v>31574</v>
      </c>
      <c r="G2049" t="s">
        <v>31582</v>
      </c>
      <c r="H2049" t="s">
        <v>31590</v>
      </c>
      <c r="I2049" t="s">
        <v>14544</v>
      </c>
      <c r="J2049" t="s">
        <v>33191</v>
      </c>
      <c r="K2049" t="s">
        <v>41186</v>
      </c>
      <c r="L2049" t="s">
        <v>167</v>
      </c>
      <c r="M2049" t="s">
        <v>41651</v>
      </c>
      <c r="N2049" t="s">
        <v>45095</v>
      </c>
      <c r="O2049" t="s">
        <v>45096</v>
      </c>
      <c r="P2049">
        <v>0</v>
      </c>
      <c r="Q2049">
        <v>0</v>
      </c>
      <c r="R2049" t="s">
        <v>45097</v>
      </c>
      <c r="S2049" t="s">
        <v>45222</v>
      </c>
      <c r="T2049" t="s">
        <v>46926</v>
      </c>
      <c r="U2049" t="s">
        <v>49218</v>
      </c>
      <c r="W2049" t="s">
        <v>41651</v>
      </c>
      <c r="X2049" t="s">
        <v>45098</v>
      </c>
    </row>
    <row r="2050" spans="1:24">
      <c r="A2050">
        <f>HYPERLINK("https://www.philgeps.gov.ph/GEPSNONPILOT/Tender/SplashBidNoticeAbstractUI.aspx?menuIndex=3&amp;refID=7046678&amp;Result=3","7046678")</f>
        <v>0</v>
      </c>
      <c r="B2050" t="s">
        <v>810</v>
      </c>
      <c r="C2050" t="s">
        <v>4159</v>
      </c>
      <c r="D2050" t="s">
        <v>18095</v>
      </c>
      <c r="E2050" t="s">
        <v>19983</v>
      </c>
      <c r="F2050" t="s">
        <v>31574</v>
      </c>
      <c r="G2050" t="s">
        <v>31581</v>
      </c>
      <c r="H2050" t="s">
        <v>31590</v>
      </c>
      <c r="I2050" t="s">
        <v>4046</v>
      </c>
      <c r="J2050" t="s">
        <v>33192</v>
      </c>
      <c r="K2050" t="s">
        <v>41196</v>
      </c>
      <c r="M2050" t="s">
        <v>42326</v>
      </c>
      <c r="N2050" t="s">
        <v>45095</v>
      </c>
      <c r="O2050" t="s">
        <v>45096</v>
      </c>
      <c r="P2050">
        <v>0</v>
      </c>
      <c r="Q2050">
        <v>0</v>
      </c>
      <c r="R2050" t="s">
        <v>45097</v>
      </c>
      <c r="S2050" t="s">
        <v>45222</v>
      </c>
      <c r="T2050" t="s">
        <v>46918</v>
      </c>
      <c r="U2050" t="s">
        <v>49219</v>
      </c>
      <c r="V2050" t="s">
        <v>60051</v>
      </c>
      <c r="W2050" t="s">
        <v>42326</v>
      </c>
      <c r="X2050" t="s">
        <v>45098</v>
      </c>
    </row>
    <row r="2051" spans="1:24">
      <c r="A2051">
        <f>HYPERLINK("https://www.philgeps.gov.ph/GEPSNONPILOT/Tender/SplashBidNoticeAbstractUI.aspx?menuIndex=3&amp;refID=7046681&amp;Result=3","7046681")</f>
        <v>0</v>
      </c>
      <c r="B2051" t="s">
        <v>800</v>
      </c>
      <c r="C2051" t="s">
        <v>5166</v>
      </c>
      <c r="D2051" t="s">
        <v>18106</v>
      </c>
      <c r="E2051" t="s">
        <v>19984</v>
      </c>
      <c r="F2051" t="s">
        <v>31574</v>
      </c>
      <c r="G2051" t="s">
        <v>31582</v>
      </c>
      <c r="H2051" t="s">
        <v>31590</v>
      </c>
      <c r="I2051" t="s">
        <v>31676</v>
      </c>
      <c r="J2051" t="s">
        <v>33193</v>
      </c>
      <c r="K2051" t="s">
        <v>41189</v>
      </c>
      <c r="M2051" t="s">
        <v>42314</v>
      </c>
      <c r="N2051" t="s">
        <v>45095</v>
      </c>
      <c r="O2051" t="s">
        <v>45096</v>
      </c>
      <c r="P2051">
        <v>0</v>
      </c>
      <c r="Q2051">
        <v>0</v>
      </c>
      <c r="R2051" t="s">
        <v>45097</v>
      </c>
      <c r="S2051" t="s">
        <v>45222</v>
      </c>
      <c r="T2051" t="s">
        <v>47108</v>
      </c>
      <c r="U2051" t="s">
        <v>49220</v>
      </c>
      <c r="V2051" t="s">
        <v>60053</v>
      </c>
      <c r="W2051" t="s">
        <v>42314</v>
      </c>
      <c r="X2051" t="s">
        <v>45098</v>
      </c>
    </row>
    <row r="2052" spans="1:24">
      <c r="A2052">
        <f>HYPERLINK("https://www.philgeps.gov.ph/GEPSNONPILOT/Tender/SplashBidNoticeAbstractUI.aspx?menuIndex=3&amp;refID=7046669&amp;Result=3","7046669")</f>
        <v>0</v>
      </c>
      <c r="B2052" t="s">
        <v>736</v>
      </c>
      <c r="C2052" t="s">
        <v>5167</v>
      </c>
      <c r="D2052" t="s">
        <v>18079</v>
      </c>
      <c r="E2052" t="s">
        <v>19985</v>
      </c>
      <c r="F2052" t="s">
        <v>31574</v>
      </c>
      <c r="G2052" t="s">
        <v>31581</v>
      </c>
      <c r="H2052" t="s">
        <v>31590</v>
      </c>
      <c r="I2052" t="s">
        <v>31656</v>
      </c>
      <c r="J2052" t="s">
        <v>33194</v>
      </c>
      <c r="K2052" t="s">
        <v>41186</v>
      </c>
      <c r="M2052" t="s">
        <v>42247</v>
      </c>
      <c r="N2052" t="s">
        <v>45095</v>
      </c>
      <c r="O2052" t="s">
        <v>45096</v>
      </c>
      <c r="P2052">
        <v>0</v>
      </c>
      <c r="Q2052">
        <v>0</v>
      </c>
      <c r="R2052" t="s">
        <v>45097</v>
      </c>
      <c r="S2052" t="s">
        <v>45222</v>
      </c>
      <c r="T2052" t="s">
        <v>46946</v>
      </c>
      <c r="U2052" t="s">
        <v>49028</v>
      </c>
      <c r="W2052" t="s">
        <v>42247</v>
      </c>
      <c r="X2052" t="s">
        <v>45098</v>
      </c>
    </row>
    <row r="2053" spans="1:24">
      <c r="A2053">
        <f>HYPERLINK("https://www.philgeps.gov.ph/GEPSNONPILOT/Tender/SplashBidNoticeAbstractUI.aspx?menuIndex=3&amp;refID=7046675&amp;Result=3","7046675")</f>
        <v>0</v>
      </c>
      <c r="B2053" t="s">
        <v>45</v>
      </c>
      <c r="C2053" t="s">
        <v>5168</v>
      </c>
      <c r="D2053" t="s">
        <v>18037</v>
      </c>
      <c r="E2053" t="s">
        <v>19986</v>
      </c>
      <c r="F2053" t="s">
        <v>31574</v>
      </c>
      <c r="G2053" t="s">
        <v>31581</v>
      </c>
      <c r="H2053" t="s">
        <v>31590</v>
      </c>
      <c r="I2053" t="s">
        <v>31595</v>
      </c>
      <c r="J2053" t="s">
        <v>33195</v>
      </c>
      <c r="K2053" t="s">
        <v>41186</v>
      </c>
      <c r="M2053" t="s">
        <v>41528</v>
      </c>
      <c r="N2053" t="s">
        <v>45095</v>
      </c>
      <c r="O2053" t="s">
        <v>45096</v>
      </c>
      <c r="P2053">
        <v>0</v>
      </c>
      <c r="Q2053">
        <v>0</v>
      </c>
      <c r="R2053" t="s">
        <v>45097</v>
      </c>
      <c r="S2053" t="s">
        <v>45222</v>
      </c>
      <c r="T2053" t="s">
        <v>46918</v>
      </c>
      <c r="U2053" t="s">
        <v>48848</v>
      </c>
      <c r="W2053" t="s">
        <v>41528</v>
      </c>
      <c r="X2053" t="s">
        <v>45098</v>
      </c>
    </row>
    <row r="2054" spans="1:24">
      <c r="A2054">
        <f>HYPERLINK("https://www.philgeps.gov.ph/GEPSNONPILOT/Tender/SplashBidNoticeAbstractUI.aspx?menuIndex=3&amp;refID=7046665&amp;Result=3","7046665")</f>
        <v>0</v>
      </c>
      <c r="B2054" t="s">
        <v>808</v>
      </c>
      <c r="C2054" t="s">
        <v>5169</v>
      </c>
      <c r="D2054" t="s">
        <v>18031</v>
      </c>
      <c r="E2054" t="s">
        <v>19987</v>
      </c>
      <c r="F2054" t="s">
        <v>31574</v>
      </c>
      <c r="G2054" t="s">
        <v>31583</v>
      </c>
      <c r="H2054" t="s">
        <v>31590</v>
      </c>
      <c r="I2054" t="s">
        <v>31607</v>
      </c>
      <c r="J2054" t="s">
        <v>32375</v>
      </c>
      <c r="K2054" t="s">
        <v>41186</v>
      </c>
      <c r="M2054" t="s">
        <v>42323</v>
      </c>
      <c r="N2054" t="s">
        <v>45095</v>
      </c>
      <c r="O2054" t="s">
        <v>45096</v>
      </c>
      <c r="P2054">
        <v>0</v>
      </c>
      <c r="Q2054">
        <v>0</v>
      </c>
      <c r="R2054" t="s">
        <v>45097</v>
      </c>
      <c r="S2054" t="s">
        <v>45222</v>
      </c>
      <c r="T2054" t="s">
        <v>47064</v>
      </c>
      <c r="U2054" t="s">
        <v>49221</v>
      </c>
      <c r="W2054" t="s">
        <v>42323</v>
      </c>
      <c r="X2054" t="s">
        <v>45098</v>
      </c>
    </row>
    <row r="2055" spans="1:24">
      <c r="A2055">
        <f>HYPERLINK("https://www.philgeps.gov.ph/GEPSNONPILOT/Tender/SplashBidNoticeAbstractUI.aspx?menuIndex=3&amp;refID=7046668&amp;Result=3","7046668")</f>
        <v>0</v>
      </c>
      <c r="B2055" t="s">
        <v>50</v>
      </c>
      <c r="C2055" t="s">
        <v>5170</v>
      </c>
      <c r="D2055" t="s">
        <v>18042</v>
      </c>
      <c r="E2055" t="s">
        <v>19960</v>
      </c>
      <c r="F2055" t="s">
        <v>31574</v>
      </c>
      <c r="G2055" t="s">
        <v>31582</v>
      </c>
      <c r="H2055" t="s">
        <v>31590</v>
      </c>
      <c r="I2055" t="s">
        <v>31631</v>
      </c>
      <c r="J2055" t="s">
        <v>33196</v>
      </c>
      <c r="K2055" t="s">
        <v>41186</v>
      </c>
      <c r="M2055" t="s">
        <v>41533</v>
      </c>
      <c r="N2055" t="s">
        <v>45095</v>
      </c>
      <c r="O2055" t="s">
        <v>45096</v>
      </c>
      <c r="P2055">
        <v>0</v>
      </c>
      <c r="Q2055">
        <v>0</v>
      </c>
      <c r="R2055" t="s">
        <v>45097</v>
      </c>
      <c r="S2055" t="s">
        <v>45222</v>
      </c>
      <c r="T2055" t="s">
        <v>46916</v>
      </c>
      <c r="U2055" t="s">
        <v>49198</v>
      </c>
      <c r="W2055" t="s">
        <v>41533</v>
      </c>
      <c r="X2055" t="s">
        <v>45098</v>
      </c>
    </row>
    <row r="2056" spans="1:24">
      <c r="A2056">
        <f>HYPERLINK("https://www.philgeps.gov.ph/GEPSNONPILOT/Tender/SplashBidNoticeAbstractUI.aspx?menuIndex=3&amp;refID=7046666&amp;Result=3","7046666")</f>
        <v>0</v>
      </c>
      <c r="B2056" t="s">
        <v>89</v>
      </c>
      <c r="C2056" t="s">
        <v>5171</v>
      </c>
      <c r="D2056" t="s">
        <v>18059</v>
      </c>
      <c r="E2056" t="s">
        <v>19988</v>
      </c>
      <c r="F2056" t="s">
        <v>31574</v>
      </c>
      <c r="G2056" t="s">
        <v>31582</v>
      </c>
      <c r="H2056" t="s">
        <v>31590</v>
      </c>
      <c r="I2056" t="s">
        <v>4327</v>
      </c>
      <c r="J2056" t="s">
        <v>31845</v>
      </c>
      <c r="K2056" t="s">
        <v>41184</v>
      </c>
      <c r="M2056" t="s">
        <v>41573</v>
      </c>
      <c r="N2056" t="s">
        <v>45095</v>
      </c>
      <c r="O2056" t="s">
        <v>45096</v>
      </c>
      <c r="P2056">
        <v>0</v>
      </c>
      <c r="Q2056">
        <v>0</v>
      </c>
      <c r="R2056" t="s">
        <v>45097</v>
      </c>
      <c r="S2056" t="s">
        <v>45222</v>
      </c>
      <c r="T2056" t="s">
        <v>46937</v>
      </c>
      <c r="U2056" t="s">
        <v>49035</v>
      </c>
      <c r="W2056" t="s">
        <v>41573</v>
      </c>
      <c r="X2056" t="s">
        <v>45098</v>
      </c>
    </row>
    <row r="2057" spans="1:24">
      <c r="A2057">
        <f>HYPERLINK("https://www.philgeps.gov.ph/GEPSNONPILOT/Tender/SplashBidNoticeAbstractUI.aspx?menuIndex=3&amp;refID=7046670&amp;Result=3","7046670")</f>
        <v>0</v>
      </c>
      <c r="B2057" t="s">
        <v>190</v>
      </c>
      <c r="C2057" t="s">
        <v>5172</v>
      </c>
      <c r="D2057" t="s">
        <v>18036</v>
      </c>
      <c r="E2057" t="s">
        <v>19989</v>
      </c>
      <c r="F2057" t="s">
        <v>31574</v>
      </c>
      <c r="G2057" t="s">
        <v>31581</v>
      </c>
      <c r="H2057" t="s">
        <v>31590</v>
      </c>
      <c r="I2057" t="s">
        <v>31610</v>
      </c>
      <c r="J2057" t="s">
        <v>31845</v>
      </c>
      <c r="K2057" t="s">
        <v>41186</v>
      </c>
      <c r="M2057" t="s">
        <v>41675</v>
      </c>
      <c r="N2057" t="s">
        <v>45095</v>
      </c>
      <c r="O2057" t="s">
        <v>45096</v>
      </c>
      <c r="P2057">
        <v>0</v>
      </c>
      <c r="Q2057">
        <v>0</v>
      </c>
      <c r="R2057" t="s">
        <v>45097</v>
      </c>
      <c r="S2057" t="s">
        <v>45222</v>
      </c>
      <c r="T2057" t="s">
        <v>46922</v>
      </c>
      <c r="U2057" t="s">
        <v>49222</v>
      </c>
      <c r="W2057" t="s">
        <v>41675</v>
      </c>
      <c r="X2057" t="s">
        <v>45098</v>
      </c>
    </row>
    <row r="2058" spans="1:24">
      <c r="A2058">
        <f>HYPERLINK("https://www.philgeps.gov.ph/GEPSNONPILOT/Tender/SplashBidNoticeAbstractUI.aspx?menuIndex=3&amp;refID=7046684&amp;Result=3","7046684")</f>
        <v>0</v>
      </c>
      <c r="B2058" t="s">
        <v>817</v>
      </c>
      <c r="C2058" t="s">
        <v>5173</v>
      </c>
      <c r="D2058" t="s">
        <v>18076</v>
      </c>
      <c r="E2058" t="s">
        <v>19990</v>
      </c>
      <c r="F2058" t="s">
        <v>31574</v>
      </c>
      <c r="G2058" t="s">
        <v>31581</v>
      </c>
      <c r="H2058" t="s">
        <v>31593</v>
      </c>
      <c r="I2058" t="s">
        <v>31603</v>
      </c>
      <c r="J2058" t="s">
        <v>33197</v>
      </c>
      <c r="K2058" t="s">
        <v>41196</v>
      </c>
      <c r="M2058" t="s">
        <v>42335</v>
      </c>
      <c r="N2058" t="s">
        <v>45095</v>
      </c>
      <c r="O2058" t="s">
        <v>45096</v>
      </c>
      <c r="P2058">
        <v>0</v>
      </c>
      <c r="Q2058">
        <v>0</v>
      </c>
      <c r="R2058" t="s">
        <v>45097</v>
      </c>
      <c r="S2058" t="s">
        <v>45222</v>
      </c>
      <c r="T2058" t="s">
        <v>46904</v>
      </c>
      <c r="U2058" t="s">
        <v>49223</v>
      </c>
      <c r="W2058" t="s">
        <v>42335</v>
      </c>
      <c r="X2058" t="s">
        <v>45098</v>
      </c>
    </row>
    <row r="2059" spans="1:24">
      <c r="A2059">
        <f>HYPERLINK("https://www.philgeps.gov.ph/GEPSNONPILOT/Tender/SplashBidNoticeAbstractUI.aspx?menuIndex=3&amp;refID=7046672&amp;Result=3","7046672")</f>
        <v>0</v>
      </c>
      <c r="B2059" t="s">
        <v>818</v>
      </c>
      <c r="C2059" t="s">
        <v>5174</v>
      </c>
      <c r="D2059" t="s">
        <v>18079</v>
      </c>
      <c r="E2059" t="s">
        <v>19991</v>
      </c>
      <c r="F2059" t="s">
        <v>31574</v>
      </c>
      <c r="G2059" t="s">
        <v>31581</v>
      </c>
      <c r="H2059" t="s">
        <v>31590</v>
      </c>
      <c r="I2059" t="s">
        <v>6800</v>
      </c>
      <c r="J2059" t="s">
        <v>31843</v>
      </c>
      <c r="K2059" t="s">
        <v>41196</v>
      </c>
      <c r="M2059" t="s">
        <v>42336</v>
      </c>
      <c r="N2059" t="s">
        <v>45095</v>
      </c>
      <c r="O2059" t="s">
        <v>45096</v>
      </c>
      <c r="P2059">
        <v>0</v>
      </c>
      <c r="Q2059">
        <v>0</v>
      </c>
      <c r="R2059" t="s">
        <v>45097</v>
      </c>
      <c r="S2059" t="s">
        <v>45222</v>
      </c>
      <c r="T2059" t="s">
        <v>46904</v>
      </c>
      <c r="U2059" t="s">
        <v>49224</v>
      </c>
      <c r="W2059" t="s">
        <v>42336</v>
      </c>
      <c r="X2059" t="s">
        <v>45098</v>
      </c>
    </row>
    <row r="2060" spans="1:24">
      <c r="A2060">
        <f>HYPERLINK("https://www.philgeps.gov.ph/GEPSNONPILOT/Tender/SplashBidNoticeAbstractUI.aspx?menuIndex=3&amp;refID=7046663&amp;Result=3","7046663")</f>
        <v>0</v>
      </c>
      <c r="B2060" t="s">
        <v>819</v>
      </c>
      <c r="C2060" t="s">
        <v>5175</v>
      </c>
      <c r="D2060" t="s">
        <v>18035</v>
      </c>
      <c r="E2060" t="s">
        <v>19992</v>
      </c>
      <c r="F2060" t="s">
        <v>31574</v>
      </c>
      <c r="G2060" t="s">
        <v>31581</v>
      </c>
      <c r="H2060" t="s">
        <v>31592</v>
      </c>
      <c r="I2060" t="s">
        <v>4677</v>
      </c>
      <c r="J2060" t="s">
        <v>33198</v>
      </c>
      <c r="K2060" t="s">
        <v>41225</v>
      </c>
      <c r="M2060" t="s">
        <v>42337</v>
      </c>
      <c r="N2060" t="s">
        <v>45095</v>
      </c>
      <c r="O2060" t="s">
        <v>45096</v>
      </c>
      <c r="P2060">
        <v>0</v>
      </c>
      <c r="Q2060">
        <v>0</v>
      </c>
      <c r="R2060" t="s">
        <v>45097</v>
      </c>
      <c r="S2060" t="s">
        <v>45222</v>
      </c>
      <c r="T2060" t="s">
        <v>46980</v>
      </c>
      <c r="U2060" t="s">
        <v>49225</v>
      </c>
      <c r="W2060" t="s">
        <v>42337</v>
      </c>
      <c r="X2060" t="s">
        <v>45098</v>
      </c>
    </row>
    <row r="2061" spans="1:24">
      <c r="A2061">
        <f>HYPERLINK("https://www.philgeps.gov.ph/GEPSNONPILOT/Tender/SplashBidNoticeAbstractUI.aspx?menuIndex=3&amp;refID=7046689&amp;Result=3","7046689")</f>
        <v>0</v>
      </c>
      <c r="B2061" t="s">
        <v>820</v>
      </c>
      <c r="C2061" t="s">
        <v>5176</v>
      </c>
      <c r="D2061" t="s">
        <v>18022</v>
      </c>
      <c r="E2061" t="s">
        <v>19993</v>
      </c>
      <c r="F2061" t="s">
        <v>31574</v>
      </c>
      <c r="G2061" t="s">
        <v>31582</v>
      </c>
      <c r="H2061" t="s">
        <v>31590</v>
      </c>
      <c r="I2061" t="s">
        <v>31595</v>
      </c>
      <c r="J2061" t="s">
        <v>33199</v>
      </c>
      <c r="K2061" t="s">
        <v>41189</v>
      </c>
      <c r="M2061" t="s">
        <v>42338</v>
      </c>
      <c r="N2061" t="s">
        <v>45095</v>
      </c>
      <c r="O2061" t="s">
        <v>45096</v>
      </c>
      <c r="P2061">
        <v>0</v>
      </c>
      <c r="Q2061">
        <v>0</v>
      </c>
      <c r="R2061" t="s">
        <v>45097</v>
      </c>
      <c r="S2061" t="s">
        <v>45222</v>
      </c>
      <c r="T2061" t="s">
        <v>46927</v>
      </c>
      <c r="U2061" t="s">
        <v>49226</v>
      </c>
      <c r="W2061" t="s">
        <v>42338</v>
      </c>
      <c r="X2061" t="s">
        <v>45098</v>
      </c>
    </row>
    <row r="2062" spans="1:24">
      <c r="A2062">
        <f>HYPERLINK("https://www.philgeps.gov.ph/GEPSNONPILOT/Tender/SplashBidNoticeAbstractUI.aspx?menuIndex=3&amp;refID=7046694&amp;Result=3","7046694")</f>
        <v>0</v>
      </c>
      <c r="B2062" t="s">
        <v>50</v>
      </c>
      <c r="C2062" t="s">
        <v>5177</v>
      </c>
      <c r="D2062" t="s">
        <v>18042</v>
      </c>
      <c r="E2062" t="s">
        <v>19994</v>
      </c>
      <c r="F2062" t="s">
        <v>31574</v>
      </c>
      <c r="G2062" t="s">
        <v>31582</v>
      </c>
      <c r="H2062" t="s">
        <v>31590</v>
      </c>
      <c r="I2062" t="s">
        <v>3487</v>
      </c>
      <c r="J2062" t="s">
        <v>33200</v>
      </c>
      <c r="K2062" t="s">
        <v>41186</v>
      </c>
      <c r="M2062" t="s">
        <v>41533</v>
      </c>
      <c r="N2062" t="s">
        <v>45095</v>
      </c>
      <c r="O2062" t="s">
        <v>45096</v>
      </c>
      <c r="P2062">
        <v>0</v>
      </c>
      <c r="Q2062">
        <v>0</v>
      </c>
      <c r="R2062" t="s">
        <v>45097</v>
      </c>
      <c r="S2062" t="s">
        <v>45222</v>
      </c>
      <c r="T2062" t="s">
        <v>46916</v>
      </c>
      <c r="U2062" t="s">
        <v>49227</v>
      </c>
      <c r="W2062" t="s">
        <v>41533</v>
      </c>
      <c r="X2062" t="s">
        <v>45098</v>
      </c>
    </row>
    <row r="2063" spans="1:24">
      <c r="A2063">
        <f>HYPERLINK("https://www.philgeps.gov.ph/GEPSNONPILOT/Tender/SplashBidNoticeAbstractUI.aspx?menuIndex=3&amp;refID=7046673&amp;Result=3","7046673")</f>
        <v>0</v>
      </c>
      <c r="B2063" t="s">
        <v>351</v>
      </c>
      <c r="C2063" t="s">
        <v>5178</v>
      </c>
      <c r="D2063" t="s">
        <v>18050</v>
      </c>
      <c r="E2063" t="s">
        <v>19995</v>
      </c>
      <c r="F2063" t="s">
        <v>31574</v>
      </c>
      <c r="G2063" t="s">
        <v>31581</v>
      </c>
      <c r="H2063" t="s">
        <v>31590</v>
      </c>
      <c r="I2063" t="s">
        <v>4046</v>
      </c>
      <c r="J2063" t="s">
        <v>33201</v>
      </c>
      <c r="K2063" t="s">
        <v>41184</v>
      </c>
      <c r="M2063" t="s">
        <v>41839</v>
      </c>
      <c r="N2063" t="s">
        <v>45095</v>
      </c>
      <c r="O2063" t="s">
        <v>45096</v>
      </c>
      <c r="P2063">
        <v>0</v>
      </c>
      <c r="Q2063">
        <v>0</v>
      </c>
      <c r="R2063" t="s">
        <v>45097</v>
      </c>
      <c r="S2063" t="s">
        <v>45222</v>
      </c>
      <c r="T2063" t="s">
        <v>47002</v>
      </c>
      <c r="U2063" t="s">
        <v>49228</v>
      </c>
      <c r="W2063" t="s">
        <v>41839</v>
      </c>
      <c r="X2063" t="s">
        <v>45098</v>
      </c>
    </row>
    <row r="2064" spans="1:24">
      <c r="A2064">
        <f>HYPERLINK("https://www.philgeps.gov.ph/GEPSNONPILOT/Tender/SplashBidNoticeAbstractUI.aspx?menuIndex=3&amp;refID=7046664&amp;Result=3","7046664")</f>
        <v>0</v>
      </c>
      <c r="B2064" t="s">
        <v>821</v>
      </c>
      <c r="C2064" t="s">
        <v>5179</v>
      </c>
      <c r="D2064" t="s">
        <v>18103</v>
      </c>
      <c r="E2064" t="s">
        <v>19996</v>
      </c>
      <c r="F2064" t="s">
        <v>31574</v>
      </c>
      <c r="G2064" t="s">
        <v>31582</v>
      </c>
      <c r="H2064" t="s">
        <v>31591</v>
      </c>
      <c r="I2064" t="s">
        <v>8822</v>
      </c>
      <c r="J2064" t="s">
        <v>33202</v>
      </c>
      <c r="K2064" t="s">
        <v>41200</v>
      </c>
      <c r="M2064" t="s">
        <v>42339</v>
      </c>
      <c r="N2064" t="s">
        <v>45095</v>
      </c>
      <c r="O2064" t="s">
        <v>45096</v>
      </c>
      <c r="P2064">
        <v>0</v>
      </c>
      <c r="Q2064">
        <v>0</v>
      </c>
      <c r="R2064" t="s">
        <v>45097</v>
      </c>
      <c r="S2064" t="s">
        <v>45222</v>
      </c>
      <c r="T2064" t="s">
        <v>47109</v>
      </c>
      <c r="U2064" t="s">
        <v>49229</v>
      </c>
      <c r="V2064" t="s">
        <v>60054</v>
      </c>
      <c r="W2064" t="s">
        <v>42339</v>
      </c>
      <c r="X2064" t="s">
        <v>45098</v>
      </c>
    </row>
    <row r="2065" spans="1:24">
      <c r="A2065">
        <f>HYPERLINK("https://www.philgeps.gov.ph/GEPSNONPILOT/Tender/SplashBidNoticeAbstractUI.aspx?menuIndex=3&amp;refID=7046691&amp;Result=3","7046691")</f>
        <v>0</v>
      </c>
      <c r="B2065" t="s">
        <v>736</v>
      </c>
      <c r="C2065" t="s">
        <v>5180</v>
      </c>
      <c r="D2065" t="s">
        <v>18079</v>
      </c>
      <c r="E2065" t="s">
        <v>19997</v>
      </c>
      <c r="F2065" t="s">
        <v>31574</v>
      </c>
      <c r="G2065" t="s">
        <v>31581</v>
      </c>
      <c r="H2065" t="s">
        <v>31590</v>
      </c>
      <c r="I2065" t="s">
        <v>31656</v>
      </c>
      <c r="J2065" t="s">
        <v>32147</v>
      </c>
      <c r="K2065" t="s">
        <v>41186</v>
      </c>
      <c r="M2065" t="s">
        <v>42247</v>
      </c>
      <c r="N2065" t="s">
        <v>45095</v>
      </c>
      <c r="O2065" t="s">
        <v>45096</v>
      </c>
      <c r="P2065">
        <v>0</v>
      </c>
      <c r="Q2065">
        <v>0</v>
      </c>
      <c r="R2065" t="s">
        <v>45097</v>
      </c>
      <c r="S2065" t="s">
        <v>45222</v>
      </c>
      <c r="T2065" t="s">
        <v>46946</v>
      </c>
      <c r="U2065" t="s">
        <v>49028</v>
      </c>
      <c r="W2065" t="s">
        <v>42247</v>
      </c>
      <c r="X2065" t="s">
        <v>45098</v>
      </c>
    </row>
    <row r="2066" spans="1:24">
      <c r="A2066">
        <f>HYPERLINK("https://www.philgeps.gov.ph/GEPSNONPILOT/Tender/SplashBidNoticeAbstractUI.aspx?menuIndex=3&amp;refID=7046687&amp;Result=3","7046687")</f>
        <v>0</v>
      </c>
      <c r="B2066" t="s">
        <v>758</v>
      </c>
      <c r="C2066" t="s">
        <v>5181</v>
      </c>
      <c r="D2066" t="s">
        <v>18025</v>
      </c>
      <c r="E2066" t="s">
        <v>19998</v>
      </c>
      <c r="F2066" t="s">
        <v>31574</v>
      </c>
      <c r="G2066" t="s">
        <v>31583</v>
      </c>
      <c r="H2066" t="s">
        <v>31590</v>
      </c>
      <c r="I2066" t="s">
        <v>31612</v>
      </c>
      <c r="J2066" t="s">
        <v>31931</v>
      </c>
      <c r="K2066" t="s">
        <v>41196</v>
      </c>
      <c r="M2066" t="s">
        <v>42272</v>
      </c>
      <c r="N2066" t="s">
        <v>45095</v>
      </c>
      <c r="O2066" t="s">
        <v>45096</v>
      </c>
      <c r="P2066">
        <v>0</v>
      </c>
      <c r="Q2066">
        <v>0</v>
      </c>
      <c r="R2066" t="s">
        <v>45097</v>
      </c>
      <c r="S2066" t="s">
        <v>45222</v>
      </c>
      <c r="T2066" t="s">
        <v>46910</v>
      </c>
      <c r="U2066" t="s">
        <v>49230</v>
      </c>
      <c r="W2066" t="s">
        <v>42272</v>
      </c>
      <c r="X2066" t="s">
        <v>45098</v>
      </c>
    </row>
    <row r="2067" spans="1:24">
      <c r="A2067">
        <f>HYPERLINK("https://www.philgeps.gov.ph/GEPSNONPILOT/Tender/SplashBidNoticeAbstractUI.aspx?menuIndex=3&amp;refID=7046688&amp;Result=3","7046688")</f>
        <v>0</v>
      </c>
      <c r="B2067" t="s">
        <v>808</v>
      </c>
      <c r="C2067" t="s">
        <v>5182</v>
      </c>
      <c r="D2067" t="s">
        <v>18031</v>
      </c>
      <c r="E2067" t="s">
        <v>19999</v>
      </c>
      <c r="F2067" t="s">
        <v>31574</v>
      </c>
      <c r="G2067" t="s">
        <v>31583</v>
      </c>
      <c r="H2067" t="s">
        <v>31590</v>
      </c>
      <c r="I2067" t="s">
        <v>31607</v>
      </c>
      <c r="J2067" t="s">
        <v>32497</v>
      </c>
      <c r="K2067" t="s">
        <v>41186</v>
      </c>
      <c r="M2067" t="s">
        <v>42323</v>
      </c>
      <c r="N2067" t="s">
        <v>45095</v>
      </c>
      <c r="O2067" t="s">
        <v>45096</v>
      </c>
      <c r="P2067">
        <v>0</v>
      </c>
      <c r="Q2067">
        <v>0</v>
      </c>
      <c r="R2067" t="s">
        <v>45097</v>
      </c>
      <c r="S2067" t="s">
        <v>45222</v>
      </c>
      <c r="T2067" t="s">
        <v>47080</v>
      </c>
      <c r="U2067" t="s">
        <v>49231</v>
      </c>
      <c r="W2067" t="s">
        <v>42323</v>
      </c>
      <c r="X2067" t="s">
        <v>45098</v>
      </c>
    </row>
    <row r="2068" spans="1:24">
      <c r="A2068">
        <f>HYPERLINK("https://www.philgeps.gov.ph/GEPSNONPILOT/Tender/SplashBidNoticeAbstractUI.aspx?menuIndex=3&amp;refID=7046690&amp;Result=3","7046690")</f>
        <v>0</v>
      </c>
      <c r="B2068" t="s">
        <v>746</v>
      </c>
      <c r="C2068" t="s">
        <v>5183</v>
      </c>
      <c r="D2068" t="s">
        <v>18053</v>
      </c>
      <c r="E2068" t="s">
        <v>20000</v>
      </c>
      <c r="F2068" t="s">
        <v>31574</v>
      </c>
      <c r="G2068" t="s">
        <v>31582</v>
      </c>
      <c r="H2068" t="s">
        <v>31590</v>
      </c>
      <c r="I2068" t="s">
        <v>4327</v>
      </c>
      <c r="J2068" t="s">
        <v>31907</v>
      </c>
      <c r="K2068" t="s">
        <v>41186</v>
      </c>
      <c r="M2068" t="s">
        <v>42260</v>
      </c>
      <c r="N2068" t="s">
        <v>45095</v>
      </c>
      <c r="O2068" t="s">
        <v>45096</v>
      </c>
      <c r="P2068">
        <v>0</v>
      </c>
      <c r="Q2068">
        <v>0</v>
      </c>
      <c r="R2068" t="s">
        <v>45097</v>
      </c>
      <c r="S2068" t="s">
        <v>45222</v>
      </c>
      <c r="T2068" t="s">
        <v>46919</v>
      </c>
      <c r="U2068" t="s">
        <v>49232</v>
      </c>
      <c r="W2068" t="s">
        <v>42260</v>
      </c>
      <c r="X2068" t="s">
        <v>45098</v>
      </c>
    </row>
    <row r="2069" spans="1:24">
      <c r="A2069">
        <f>HYPERLINK("https://www.philgeps.gov.ph/GEPSNONPILOT/Tender/SplashBidNoticeAbstractUI.aspx?menuIndex=3&amp;refID=7046686&amp;Result=3","7046686")</f>
        <v>0</v>
      </c>
      <c r="B2069" t="s">
        <v>540</v>
      </c>
      <c r="C2069" t="s">
        <v>5184</v>
      </c>
      <c r="D2069" t="s">
        <v>18022</v>
      </c>
      <c r="E2069" t="s">
        <v>20001</v>
      </c>
      <c r="F2069" t="s">
        <v>31574</v>
      </c>
      <c r="G2069" t="s">
        <v>31581</v>
      </c>
      <c r="H2069" t="s">
        <v>31590</v>
      </c>
      <c r="I2069" t="s">
        <v>31681</v>
      </c>
      <c r="J2069" t="s">
        <v>33203</v>
      </c>
      <c r="K2069" t="s">
        <v>41184</v>
      </c>
      <c r="M2069" t="s">
        <v>42340</v>
      </c>
      <c r="N2069" t="s">
        <v>45095</v>
      </c>
      <c r="O2069" t="s">
        <v>45096</v>
      </c>
      <c r="P2069">
        <v>0</v>
      </c>
      <c r="Q2069">
        <v>0</v>
      </c>
      <c r="R2069" t="s">
        <v>45097</v>
      </c>
      <c r="S2069" t="s">
        <v>45222</v>
      </c>
      <c r="T2069" t="s">
        <v>46953</v>
      </c>
      <c r="U2069" t="s">
        <v>49233</v>
      </c>
      <c r="W2069" t="s">
        <v>42340</v>
      </c>
      <c r="X2069" t="s">
        <v>45098</v>
      </c>
    </row>
    <row r="2070" spans="1:24">
      <c r="A2070">
        <f>HYPERLINK("https://www.philgeps.gov.ph/GEPSNONPILOT/Tender/SplashBidNoticeAbstractUI.aspx?menuIndex=3&amp;refID=7046695&amp;Result=3","7046695")</f>
        <v>0</v>
      </c>
      <c r="B2070" t="s">
        <v>800</v>
      </c>
      <c r="C2070" t="s">
        <v>5185</v>
      </c>
      <c r="D2070" t="s">
        <v>18106</v>
      </c>
      <c r="E2070" t="s">
        <v>20002</v>
      </c>
      <c r="F2070" t="s">
        <v>31574</v>
      </c>
      <c r="G2070" t="s">
        <v>31582</v>
      </c>
      <c r="H2070" t="s">
        <v>31590</v>
      </c>
      <c r="I2070" t="s">
        <v>8056</v>
      </c>
      <c r="J2070" t="s">
        <v>33204</v>
      </c>
      <c r="K2070" t="s">
        <v>41192</v>
      </c>
      <c r="M2070" t="s">
        <v>42314</v>
      </c>
      <c r="N2070" t="s">
        <v>45095</v>
      </c>
      <c r="O2070" t="s">
        <v>45096</v>
      </c>
      <c r="P2070">
        <v>0</v>
      </c>
      <c r="Q2070">
        <v>0</v>
      </c>
      <c r="R2070" t="s">
        <v>45097</v>
      </c>
      <c r="S2070" t="s">
        <v>45222</v>
      </c>
      <c r="T2070" t="s">
        <v>47108</v>
      </c>
      <c r="U2070" t="s">
        <v>49220</v>
      </c>
      <c r="V2070" t="s">
        <v>60055</v>
      </c>
      <c r="W2070" t="s">
        <v>42314</v>
      </c>
      <c r="X2070" t="s">
        <v>45098</v>
      </c>
    </row>
    <row r="2071" spans="1:24">
      <c r="A2071">
        <f>HYPERLINK("https://www.philgeps.gov.ph/GEPSNONPILOT/Tender/SplashBidNoticeAbstractUI.aspx?menuIndex=3&amp;refID=7046696&amp;Result=3","7046696")</f>
        <v>0</v>
      </c>
      <c r="B2071" t="s">
        <v>822</v>
      </c>
      <c r="C2071" t="s">
        <v>5186</v>
      </c>
      <c r="D2071" t="s">
        <v>18022</v>
      </c>
      <c r="E2071" t="s">
        <v>20003</v>
      </c>
      <c r="F2071" t="s">
        <v>31574</v>
      </c>
      <c r="G2071" t="s">
        <v>31581</v>
      </c>
      <c r="H2071" t="s">
        <v>31590</v>
      </c>
      <c r="I2071" t="s">
        <v>31594</v>
      </c>
      <c r="J2071" t="s">
        <v>32497</v>
      </c>
      <c r="K2071" t="s">
        <v>41193</v>
      </c>
      <c r="M2071" t="s">
        <v>42341</v>
      </c>
      <c r="N2071" t="s">
        <v>45095</v>
      </c>
      <c r="O2071" t="s">
        <v>45096</v>
      </c>
      <c r="P2071">
        <v>0</v>
      </c>
      <c r="Q2071">
        <v>0</v>
      </c>
      <c r="R2071" t="s">
        <v>45097</v>
      </c>
      <c r="S2071" t="s">
        <v>45222</v>
      </c>
      <c r="T2071" t="s">
        <v>46904</v>
      </c>
      <c r="U2071" t="s">
        <v>49234</v>
      </c>
      <c r="W2071" t="s">
        <v>42341</v>
      </c>
      <c r="X2071" t="s">
        <v>45098</v>
      </c>
    </row>
    <row r="2072" spans="1:24">
      <c r="A2072">
        <f>HYPERLINK("https://www.philgeps.gov.ph/GEPSNONPILOT/Tender/SplashBidNoticeAbstractUI.aspx?menuIndex=3&amp;refID=7046706&amp;Result=3","7046706")</f>
        <v>0</v>
      </c>
      <c r="B2072" t="s">
        <v>823</v>
      </c>
      <c r="C2072" t="s">
        <v>5187</v>
      </c>
      <c r="D2072" t="s">
        <v>18073</v>
      </c>
      <c r="E2072" t="s">
        <v>20004</v>
      </c>
      <c r="F2072" t="s">
        <v>31574</v>
      </c>
      <c r="G2072" t="s">
        <v>31581</v>
      </c>
      <c r="H2072" t="s">
        <v>31590</v>
      </c>
      <c r="I2072" t="s">
        <v>31633</v>
      </c>
      <c r="J2072" t="s">
        <v>33205</v>
      </c>
      <c r="K2072" t="s">
        <v>41184</v>
      </c>
      <c r="M2072" t="s">
        <v>42342</v>
      </c>
      <c r="N2072" t="s">
        <v>45095</v>
      </c>
      <c r="O2072" t="s">
        <v>45096</v>
      </c>
      <c r="P2072">
        <v>0</v>
      </c>
      <c r="Q2072">
        <v>0</v>
      </c>
      <c r="R2072" t="s">
        <v>45097</v>
      </c>
      <c r="S2072" t="s">
        <v>45222</v>
      </c>
      <c r="T2072" t="s">
        <v>46918</v>
      </c>
      <c r="U2072" t="s">
        <v>49235</v>
      </c>
      <c r="W2072" t="s">
        <v>42342</v>
      </c>
      <c r="X2072" t="s">
        <v>45098</v>
      </c>
    </row>
    <row r="2073" spans="1:24">
      <c r="A2073">
        <f>HYPERLINK("https://www.philgeps.gov.ph/GEPSNONPILOT/Tender/SplashBidNoticeAbstractUI.aspx?menuIndex=3&amp;refID=7046707&amp;Result=3","7046707")</f>
        <v>0</v>
      </c>
      <c r="B2073" t="s">
        <v>820</v>
      </c>
      <c r="C2073" t="s">
        <v>5188</v>
      </c>
      <c r="D2073" t="s">
        <v>18022</v>
      </c>
      <c r="E2073" t="s">
        <v>20005</v>
      </c>
      <c r="F2073" t="s">
        <v>31574</v>
      </c>
      <c r="G2073" t="s">
        <v>31582</v>
      </c>
      <c r="H2073" t="s">
        <v>31591</v>
      </c>
      <c r="I2073" t="s">
        <v>8822</v>
      </c>
      <c r="J2073" t="s">
        <v>33206</v>
      </c>
      <c r="K2073" t="s">
        <v>41189</v>
      </c>
      <c r="M2073" t="s">
        <v>42338</v>
      </c>
      <c r="N2073" t="s">
        <v>45095</v>
      </c>
      <c r="O2073" t="s">
        <v>45096</v>
      </c>
      <c r="P2073">
        <v>0</v>
      </c>
      <c r="Q2073">
        <v>0</v>
      </c>
      <c r="R2073" t="s">
        <v>45097</v>
      </c>
      <c r="S2073" t="s">
        <v>45222</v>
      </c>
      <c r="T2073" t="s">
        <v>47018</v>
      </c>
      <c r="U2073" t="s">
        <v>49236</v>
      </c>
      <c r="W2073" t="s">
        <v>42338</v>
      </c>
      <c r="X2073" t="s">
        <v>45098</v>
      </c>
    </row>
    <row r="2074" spans="1:24">
      <c r="A2074">
        <f>HYPERLINK("https://www.philgeps.gov.ph/GEPSNONPILOT/Tender/SplashBidNoticeAbstractUI.aspx?menuIndex=3&amp;refID=7046703&amp;Result=3","7046703")</f>
        <v>0</v>
      </c>
      <c r="B2074" t="s">
        <v>662</v>
      </c>
      <c r="C2074" t="s">
        <v>5189</v>
      </c>
      <c r="E2074" t="s">
        <v>20006</v>
      </c>
      <c r="F2074" t="s">
        <v>31574</v>
      </c>
      <c r="G2074" t="s">
        <v>31581</v>
      </c>
      <c r="H2074" t="s">
        <v>31590</v>
      </c>
      <c r="I2074" t="s">
        <v>8822</v>
      </c>
      <c r="J2074" t="s">
        <v>33207</v>
      </c>
      <c r="K2074" t="s">
        <v>41184</v>
      </c>
      <c r="M2074" t="s">
        <v>42167</v>
      </c>
      <c r="N2074" t="s">
        <v>45095</v>
      </c>
      <c r="O2074" t="s">
        <v>45096</v>
      </c>
      <c r="P2074">
        <v>0</v>
      </c>
      <c r="Q2074">
        <v>0</v>
      </c>
      <c r="R2074" t="s">
        <v>45097</v>
      </c>
      <c r="S2074" t="s">
        <v>45222</v>
      </c>
      <c r="T2074" t="s">
        <v>46918</v>
      </c>
      <c r="U2074" t="s">
        <v>49237</v>
      </c>
      <c r="V2074" t="s">
        <v>60003</v>
      </c>
      <c r="W2074" t="s">
        <v>42167</v>
      </c>
      <c r="X2074" t="s">
        <v>45098</v>
      </c>
    </row>
    <row r="2075" spans="1:24">
      <c r="A2075">
        <f>HYPERLINK("https://www.philgeps.gov.ph/GEPSNONPILOT/Tender/SplashBidNoticeAbstractUI.aspx?menuIndex=3&amp;refID=7046697&amp;Result=3","7046697")</f>
        <v>0</v>
      </c>
      <c r="B2075" t="s">
        <v>812</v>
      </c>
      <c r="C2075" t="s">
        <v>5190</v>
      </c>
      <c r="D2075" t="s">
        <v>18102</v>
      </c>
      <c r="E2075" t="s">
        <v>20007</v>
      </c>
      <c r="F2075" t="s">
        <v>31574</v>
      </c>
      <c r="G2075" t="s">
        <v>31582</v>
      </c>
      <c r="H2075" t="s">
        <v>31590</v>
      </c>
      <c r="I2075" t="s">
        <v>14544</v>
      </c>
      <c r="J2075" t="s">
        <v>33208</v>
      </c>
      <c r="K2075" t="s">
        <v>41186</v>
      </c>
      <c r="M2075" t="s">
        <v>42328</v>
      </c>
      <c r="N2075" t="s">
        <v>45095</v>
      </c>
      <c r="O2075" t="s">
        <v>45096</v>
      </c>
      <c r="P2075">
        <v>0</v>
      </c>
      <c r="Q2075">
        <v>1</v>
      </c>
      <c r="R2075" t="s">
        <v>45097</v>
      </c>
      <c r="S2075" t="s">
        <v>45222</v>
      </c>
      <c r="T2075" t="s">
        <v>46910</v>
      </c>
      <c r="U2075" t="s">
        <v>49238</v>
      </c>
      <c r="W2075" t="s">
        <v>42328</v>
      </c>
      <c r="X2075" t="s">
        <v>45098</v>
      </c>
    </row>
    <row r="2076" spans="1:24">
      <c r="A2076">
        <f>HYPERLINK("https://www.philgeps.gov.ph/GEPSNONPILOT/Tender/SplashBidNoticeAbstractUI.aspx?menuIndex=3&amp;refID=7046701&amp;Result=3","7046701")</f>
        <v>0</v>
      </c>
      <c r="B2076" t="s">
        <v>438</v>
      </c>
      <c r="C2076" t="s">
        <v>5191</v>
      </c>
      <c r="D2076" t="s">
        <v>18040</v>
      </c>
      <c r="E2076" t="s">
        <v>20008</v>
      </c>
      <c r="F2076" t="s">
        <v>31574</v>
      </c>
      <c r="G2076" t="s">
        <v>31581</v>
      </c>
      <c r="H2076" t="s">
        <v>31590</v>
      </c>
      <c r="I2076" t="s">
        <v>31595</v>
      </c>
      <c r="J2076" t="s">
        <v>33209</v>
      </c>
      <c r="K2076" t="s">
        <v>41213</v>
      </c>
      <c r="M2076" t="s">
        <v>41931</v>
      </c>
      <c r="N2076" t="s">
        <v>45095</v>
      </c>
      <c r="O2076" t="s">
        <v>45096</v>
      </c>
      <c r="P2076">
        <v>0</v>
      </c>
      <c r="Q2076">
        <v>0</v>
      </c>
      <c r="R2076" t="s">
        <v>45097</v>
      </c>
      <c r="S2076" t="s">
        <v>45222</v>
      </c>
      <c r="T2076" t="s">
        <v>46918</v>
      </c>
      <c r="U2076" t="s">
        <v>48345</v>
      </c>
      <c r="W2076" t="s">
        <v>41931</v>
      </c>
      <c r="X2076" t="s">
        <v>45098</v>
      </c>
    </row>
    <row r="2077" spans="1:24">
      <c r="A2077">
        <f>HYPERLINK("https://www.philgeps.gov.ph/GEPSNONPILOT/Tender/SplashBidNoticeAbstractUI.aspx?menuIndex=3&amp;refID=7046699&amp;Result=3","7046699")</f>
        <v>0</v>
      </c>
      <c r="B2077" t="s">
        <v>167</v>
      </c>
      <c r="C2077" t="s">
        <v>5192</v>
      </c>
      <c r="D2077" t="s">
        <v>18036</v>
      </c>
      <c r="E2077" t="s">
        <v>20009</v>
      </c>
      <c r="F2077" t="s">
        <v>31574</v>
      </c>
      <c r="G2077" t="s">
        <v>31582</v>
      </c>
      <c r="H2077" t="s">
        <v>31590</v>
      </c>
      <c r="I2077" t="s">
        <v>31602</v>
      </c>
      <c r="J2077" t="s">
        <v>33210</v>
      </c>
      <c r="K2077" t="s">
        <v>41186</v>
      </c>
      <c r="L2077" t="s">
        <v>167</v>
      </c>
      <c r="M2077" t="s">
        <v>41651</v>
      </c>
      <c r="N2077" t="s">
        <v>45095</v>
      </c>
      <c r="O2077" t="s">
        <v>45096</v>
      </c>
      <c r="P2077">
        <v>0</v>
      </c>
      <c r="Q2077">
        <v>0</v>
      </c>
      <c r="R2077" t="s">
        <v>45097</v>
      </c>
      <c r="S2077" t="s">
        <v>45222</v>
      </c>
      <c r="T2077" t="s">
        <v>46926</v>
      </c>
      <c r="U2077" t="s">
        <v>49239</v>
      </c>
      <c r="W2077" t="s">
        <v>41651</v>
      </c>
      <c r="X2077" t="s">
        <v>45098</v>
      </c>
    </row>
    <row r="2078" spans="1:24">
      <c r="A2078">
        <f>HYPERLINK("https://www.philgeps.gov.ph/GEPSNONPILOT/Tender/SplashBidNoticeAbstractUI.aspx?menuIndex=3&amp;refID=7046702&amp;Result=3","7046702")</f>
        <v>0</v>
      </c>
      <c r="B2078" t="s">
        <v>822</v>
      </c>
      <c r="C2078" t="s">
        <v>5193</v>
      </c>
      <c r="D2078" t="s">
        <v>18022</v>
      </c>
      <c r="E2078" t="s">
        <v>19503</v>
      </c>
      <c r="F2078" t="s">
        <v>31574</v>
      </c>
      <c r="G2078" t="s">
        <v>31581</v>
      </c>
      <c r="H2078" t="s">
        <v>31590</v>
      </c>
      <c r="I2078" t="s">
        <v>31594</v>
      </c>
      <c r="J2078" t="s">
        <v>31789</v>
      </c>
      <c r="K2078" t="s">
        <v>41193</v>
      </c>
      <c r="M2078" t="s">
        <v>42341</v>
      </c>
      <c r="N2078" t="s">
        <v>45095</v>
      </c>
      <c r="O2078" t="s">
        <v>45096</v>
      </c>
      <c r="P2078">
        <v>0</v>
      </c>
      <c r="Q2078">
        <v>0</v>
      </c>
      <c r="R2078" t="s">
        <v>45097</v>
      </c>
      <c r="S2078" t="s">
        <v>45222</v>
      </c>
      <c r="T2078" t="s">
        <v>46904</v>
      </c>
      <c r="U2078" t="s">
        <v>49240</v>
      </c>
      <c r="W2078" t="s">
        <v>42341</v>
      </c>
      <c r="X2078" t="s">
        <v>45098</v>
      </c>
    </row>
    <row r="2079" spans="1:24">
      <c r="A2079">
        <f>HYPERLINK("https://www.philgeps.gov.ph/GEPSNONPILOT/Tender/SplashBidNoticeAbstractUI.aspx?menuIndex=3&amp;refID=7046700&amp;Result=3","7046700")</f>
        <v>0</v>
      </c>
      <c r="B2079" t="s">
        <v>540</v>
      </c>
      <c r="C2079" t="s">
        <v>5194</v>
      </c>
      <c r="D2079" t="s">
        <v>18022</v>
      </c>
      <c r="E2079" t="s">
        <v>20010</v>
      </c>
      <c r="F2079" t="s">
        <v>31574</v>
      </c>
      <c r="G2079" t="s">
        <v>31581</v>
      </c>
      <c r="H2079" t="s">
        <v>31590</v>
      </c>
      <c r="I2079" t="s">
        <v>5222</v>
      </c>
      <c r="J2079" t="s">
        <v>32001</v>
      </c>
      <c r="K2079" t="s">
        <v>41189</v>
      </c>
      <c r="M2079" t="s">
        <v>42340</v>
      </c>
      <c r="N2079" t="s">
        <v>45095</v>
      </c>
      <c r="O2079" t="s">
        <v>45096</v>
      </c>
      <c r="P2079">
        <v>0</v>
      </c>
      <c r="Q2079">
        <v>0</v>
      </c>
      <c r="R2079" t="s">
        <v>45097</v>
      </c>
      <c r="S2079" t="s">
        <v>45222</v>
      </c>
      <c r="T2079" t="s">
        <v>46953</v>
      </c>
      <c r="U2079" t="s">
        <v>49233</v>
      </c>
      <c r="W2079" t="s">
        <v>42340</v>
      </c>
      <c r="X2079" t="s">
        <v>45098</v>
      </c>
    </row>
    <row r="2080" spans="1:24">
      <c r="A2080">
        <f>HYPERLINK("https://www.philgeps.gov.ph/GEPSNONPILOT/Tender/SplashBidNoticeAbstractUI.aspx?menuIndex=3&amp;refID=7046685&amp;Result=3","7046685")</f>
        <v>0</v>
      </c>
      <c r="B2080" t="s">
        <v>824</v>
      </c>
      <c r="C2080" t="s">
        <v>5195</v>
      </c>
      <c r="D2080" t="s">
        <v>18059</v>
      </c>
      <c r="E2080" t="s">
        <v>20011</v>
      </c>
      <c r="F2080" t="s">
        <v>31574</v>
      </c>
      <c r="G2080" t="s">
        <v>31583</v>
      </c>
      <c r="H2080" t="s">
        <v>31590</v>
      </c>
      <c r="I2080" t="s">
        <v>3489</v>
      </c>
      <c r="J2080" t="s">
        <v>31742</v>
      </c>
      <c r="K2080" t="s">
        <v>41186</v>
      </c>
      <c r="M2080" t="s">
        <v>42343</v>
      </c>
      <c r="N2080" t="s">
        <v>45095</v>
      </c>
      <c r="O2080" t="s">
        <v>45096</v>
      </c>
      <c r="P2080">
        <v>0</v>
      </c>
      <c r="Q2080">
        <v>0</v>
      </c>
      <c r="R2080" t="s">
        <v>45097</v>
      </c>
      <c r="S2080" t="s">
        <v>45222</v>
      </c>
      <c r="T2080" t="s">
        <v>46936</v>
      </c>
      <c r="U2080" t="s">
        <v>49241</v>
      </c>
      <c r="W2080" t="s">
        <v>42343</v>
      </c>
      <c r="X2080" t="s">
        <v>45098</v>
      </c>
    </row>
    <row r="2081" spans="1:24">
      <c r="A2081">
        <f>HYPERLINK("https://www.philgeps.gov.ph/GEPSNONPILOT/Tender/SplashBidNoticeAbstractUI.aspx?menuIndex=3&amp;refID=7046708&amp;Result=3","7046708")</f>
        <v>0</v>
      </c>
      <c r="B2081" t="s">
        <v>808</v>
      </c>
      <c r="C2081" t="s">
        <v>5196</v>
      </c>
      <c r="D2081" t="s">
        <v>18031</v>
      </c>
      <c r="E2081" t="s">
        <v>20012</v>
      </c>
      <c r="F2081" t="s">
        <v>31574</v>
      </c>
      <c r="G2081" t="s">
        <v>31583</v>
      </c>
      <c r="H2081" t="s">
        <v>31590</v>
      </c>
      <c r="I2081" t="s">
        <v>31615</v>
      </c>
      <c r="J2081" t="s">
        <v>32381</v>
      </c>
      <c r="K2081" t="s">
        <v>41193</v>
      </c>
      <c r="M2081" t="s">
        <v>42323</v>
      </c>
      <c r="N2081" t="s">
        <v>45095</v>
      </c>
      <c r="O2081" t="s">
        <v>45096</v>
      </c>
      <c r="P2081">
        <v>0</v>
      </c>
      <c r="Q2081">
        <v>0</v>
      </c>
      <c r="R2081" t="s">
        <v>45097</v>
      </c>
      <c r="S2081" t="s">
        <v>45222</v>
      </c>
      <c r="T2081" t="s">
        <v>47110</v>
      </c>
      <c r="U2081" t="s">
        <v>49242</v>
      </c>
      <c r="W2081" t="s">
        <v>42323</v>
      </c>
      <c r="X2081" t="s">
        <v>45098</v>
      </c>
    </row>
    <row r="2082" spans="1:24">
      <c r="A2082">
        <f>HYPERLINK("https://www.philgeps.gov.ph/GEPSNONPILOT/Tender/SplashBidNoticeAbstractUI.aspx?menuIndex=3&amp;refID=7046698&amp;Result=3","7046698")</f>
        <v>0</v>
      </c>
      <c r="B2082" t="s">
        <v>822</v>
      </c>
      <c r="C2082" t="s">
        <v>5197</v>
      </c>
      <c r="D2082" t="s">
        <v>18022</v>
      </c>
      <c r="E2082" t="s">
        <v>19285</v>
      </c>
      <c r="F2082" t="s">
        <v>31574</v>
      </c>
      <c r="G2082" t="s">
        <v>31581</v>
      </c>
      <c r="H2082" t="s">
        <v>31590</v>
      </c>
      <c r="I2082" t="s">
        <v>31594</v>
      </c>
      <c r="J2082" t="s">
        <v>31789</v>
      </c>
      <c r="K2082" t="s">
        <v>41193</v>
      </c>
      <c r="M2082" t="s">
        <v>42341</v>
      </c>
      <c r="N2082" t="s">
        <v>45095</v>
      </c>
      <c r="O2082" t="s">
        <v>45096</v>
      </c>
      <c r="P2082">
        <v>0</v>
      </c>
      <c r="Q2082">
        <v>0</v>
      </c>
      <c r="R2082" t="s">
        <v>45097</v>
      </c>
      <c r="S2082" t="s">
        <v>45222</v>
      </c>
      <c r="T2082" t="s">
        <v>46904</v>
      </c>
      <c r="U2082" t="s">
        <v>49243</v>
      </c>
      <c r="W2082" t="s">
        <v>42341</v>
      </c>
      <c r="X2082" t="s">
        <v>45098</v>
      </c>
    </row>
    <row r="2083" spans="1:24">
      <c r="A2083">
        <f>HYPERLINK("https://www.philgeps.gov.ph/GEPSNONPILOT/Tender/SplashBidNoticeAbstractUI.aspx?menuIndex=3&amp;refID=7046714&amp;Result=3","7046714")</f>
        <v>0</v>
      </c>
      <c r="B2083" t="s">
        <v>825</v>
      </c>
      <c r="C2083" t="s">
        <v>5198</v>
      </c>
      <c r="D2083" t="s">
        <v>18022</v>
      </c>
      <c r="E2083" t="s">
        <v>20013</v>
      </c>
      <c r="F2083" t="s">
        <v>31574</v>
      </c>
      <c r="G2083" t="s">
        <v>31582</v>
      </c>
      <c r="H2083" t="s">
        <v>31590</v>
      </c>
      <c r="I2083" t="s">
        <v>6800</v>
      </c>
      <c r="J2083" t="s">
        <v>33211</v>
      </c>
      <c r="K2083" t="s">
        <v>41184</v>
      </c>
      <c r="M2083" t="s">
        <v>42344</v>
      </c>
      <c r="N2083" t="s">
        <v>45095</v>
      </c>
      <c r="O2083" t="s">
        <v>45096</v>
      </c>
      <c r="P2083">
        <v>0</v>
      </c>
      <c r="Q2083">
        <v>0</v>
      </c>
      <c r="R2083" t="s">
        <v>45097</v>
      </c>
      <c r="S2083" t="s">
        <v>45222</v>
      </c>
      <c r="T2083" t="s">
        <v>46916</v>
      </c>
      <c r="U2083" t="s">
        <v>49244</v>
      </c>
      <c r="W2083" t="s">
        <v>42344</v>
      </c>
      <c r="X2083" t="s">
        <v>45098</v>
      </c>
    </row>
    <row r="2084" spans="1:24">
      <c r="A2084">
        <f>HYPERLINK("https://www.philgeps.gov.ph/GEPSNONPILOT/Tender/SplashBidNoticeAbstractUI.aspx?menuIndex=3&amp;refID=7046716&amp;Result=3","7046716")</f>
        <v>0</v>
      </c>
      <c r="B2084" t="s">
        <v>822</v>
      </c>
      <c r="C2084" t="s">
        <v>5199</v>
      </c>
      <c r="D2084" t="s">
        <v>18022</v>
      </c>
      <c r="E2084" t="s">
        <v>20014</v>
      </c>
      <c r="F2084" t="s">
        <v>31574</v>
      </c>
      <c r="G2084" t="s">
        <v>31581</v>
      </c>
      <c r="H2084" t="s">
        <v>31590</v>
      </c>
      <c r="I2084" t="s">
        <v>31594</v>
      </c>
      <c r="J2084" t="s">
        <v>31947</v>
      </c>
      <c r="K2084" t="s">
        <v>41193</v>
      </c>
      <c r="M2084" t="s">
        <v>42341</v>
      </c>
      <c r="N2084" t="s">
        <v>45095</v>
      </c>
      <c r="O2084" t="s">
        <v>45096</v>
      </c>
      <c r="P2084">
        <v>0</v>
      </c>
      <c r="Q2084">
        <v>0</v>
      </c>
      <c r="R2084" t="s">
        <v>45097</v>
      </c>
      <c r="S2084" t="s">
        <v>45222</v>
      </c>
      <c r="T2084" t="s">
        <v>46904</v>
      </c>
      <c r="U2084" t="s">
        <v>49245</v>
      </c>
      <c r="W2084" t="s">
        <v>42341</v>
      </c>
      <c r="X2084" t="s">
        <v>45098</v>
      </c>
    </row>
    <row r="2085" spans="1:24">
      <c r="A2085">
        <f>HYPERLINK("https://www.philgeps.gov.ph/GEPSNONPILOT/Tender/SplashBidNoticeAbstractUI.aspx?menuIndex=3&amp;refID=7046713&amp;Result=3","7046713")</f>
        <v>0</v>
      </c>
      <c r="B2085" t="s">
        <v>826</v>
      </c>
      <c r="C2085" t="s">
        <v>5200</v>
      </c>
      <c r="D2085" t="s">
        <v>18044</v>
      </c>
      <c r="E2085" t="s">
        <v>20015</v>
      </c>
      <c r="F2085" t="s">
        <v>31574</v>
      </c>
      <c r="G2085" t="s">
        <v>31582</v>
      </c>
      <c r="H2085" t="s">
        <v>31590</v>
      </c>
      <c r="I2085" t="s">
        <v>4046</v>
      </c>
      <c r="J2085" t="s">
        <v>33212</v>
      </c>
      <c r="K2085" t="s">
        <v>41212</v>
      </c>
      <c r="L2085" t="s">
        <v>826</v>
      </c>
      <c r="M2085" t="s">
        <v>42345</v>
      </c>
      <c r="N2085" t="s">
        <v>45095</v>
      </c>
      <c r="O2085" t="s">
        <v>45096</v>
      </c>
      <c r="P2085">
        <v>0</v>
      </c>
      <c r="Q2085">
        <v>0</v>
      </c>
      <c r="R2085" t="s">
        <v>45097</v>
      </c>
      <c r="S2085" t="s">
        <v>45222</v>
      </c>
      <c r="T2085" t="s">
        <v>46930</v>
      </c>
      <c r="U2085" t="s">
        <v>49246</v>
      </c>
      <c r="W2085" t="s">
        <v>42345</v>
      </c>
      <c r="X2085" t="s">
        <v>45098</v>
      </c>
    </row>
    <row r="2086" spans="1:24">
      <c r="A2086">
        <f>HYPERLINK("https://www.philgeps.gov.ph/GEPSNONPILOT/Tender/SplashBidNoticeAbstractUI.aspx?menuIndex=3&amp;refID=7046720&amp;Result=3","7046720")</f>
        <v>0</v>
      </c>
      <c r="B2086" t="s">
        <v>827</v>
      </c>
      <c r="C2086" t="s">
        <v>5201</v>
      </c>
      <c r="D2086" t="s">
        <v>18037</v>
      </c>
      <c r="E2086" t="s">
        <v>20016</v>
      </c>
      <c r="F2086" t="s">
        <v>31574</v>
      </c>
      <c r="G2086" t="s">
        <v>31581</v>
      </c>
      <c r="H2086" t="s">
        <v>31590</v>
      </c>
      <c r="I2086" t="s">
        <v>4046</v>
      </c>
      <c r="J2086" t="s">
        <v>33213</v>
      </c>
      <c r="K2086" t="s">
        <v>41211</v>
      </c>
      <c r="M2086" t="s">
        <v>42346</v>
      </c>
      <c r="N2086" t="s">
        <v>45095</v>
      </c>
      <c r="O2086" t="s">
        <v>45096</v>
      </c>
      <c r="P2086">
        <v>0</v>
      </c>
      <c r="Q2086">
        <v>0</v>
      </c>
      <c r="R2086" t="s">
        <v>45097</v>
      </c>
      <c r="S2086" t="s">
        <v>45222</v>
      </c>
      <c r="T2086" t="s">
        <v>46918</v>
      </c>
      <c r="U2086" t="s">
        <v>49247</v>
      </c>
      <c r="W2086" t="s">
        <v>42346</v>
      </c>
      <c r="X2086" t="s">
        <v>45098</v>
      </c>
    </row>
    <row r="2087" spans="1:24">
      <c r="A2087">
        <f>HYPERLINK("https://www.philgeps.gov.ph/GEPSNONPILOT/Tender/SplashBidNoticeAbstractUI.aspx?menuIndex=3&amp;refID=7046711&amp;Result=3","7046711")</f>
        <v>0</v>
      </c>
      <c r="B2087" t="s">
        <v>828</v>
      </c>
      <c r="C2087" t="s">
        <v>5202</v>
      </c>
      <c r="D2087" t="s">
        <v>18040</v>
      </c>
      <c r="E2087" t="s">
        <v>20017</v>
      </c>
      <c r="F2087" t="s">
        <v>31574</v>
      </c>
      <c r="G2087" t="s">
        <v>31581</v>
      </c>
      <c r="H2087" t="s">
        <v>31590</v>
      </c>
      <c r="I2087" t="s">
        <v>4327</v>
      </c>
      <c r="J2087" t="s">
        <v>33214</v>
      </c>
      <c r="K2087" t="s">
        <v>41184</v>
      </c>
      <c r="M2087" t="s">
        <v>42347</v>
      </c>
      <c r="N2087" t="s">
        <v>45095</v>
      </c>
      <c r="O2087" t="s">
        <v>45096</v>
      </c>
      <c r="P2087">
        <v>0</v>
      </c>
      <c r="Q2087">
        <v>0</v>
      </c>
      <c r="R2087" t="s">
        <v>45097</v>
      </c>
      <c r="S2087" t="s">
        <v>45222</v>
      </c>
      <c r="T2087" t="s">
        <v>46918</v>
      </c>
      <c r="U2087" t="s">
        <v>49248</v>
      </c>
      <c r="W2087" t="s">
        <v>42347</v>
      </c>
      <c r="X2087" t="s">
        <v>45098</v>
      </c>
    </row>
    <row r="2088" spans="1:24">
      <c r="A2088">
        <f>HYPERLINK("https://www.philgeps.gov.ph/GEPSNONPILOT/Tender/SplashBidNoticeAbstractUI.aspx?menuIndex=3&amp;refID=7046709&amp;Result=3","7046709")</f>
        <v>0</v>
      </c>
      <c r="B2088" t="s">
        <v>822</v>
      </c>
      <c r="C2088" t="s">
        <v>5203</v>
      </c>
      <c r="D2088" t="s">
        <v>18022</v>
      </c>
      <c r="E2088" t="s">
        <v>19215</v>
      </c>
      <c r="F2088" t="s">
        <v>31574</v>
      </c>
      <c r="G2088" t="s">
        <v>31581</v>
      </c>
      <c r="H2088" t="s">
        <v>31590</v>
      </c>
      <c r="I2088" t="s">
        <v>31594</v>
      </c>
      <c r="J2088" t="s">
        <v>31789</v>
      </c>
      <c r="K2088" t="s">
        <v>41193</v>
      </c>
      <c r="M2088" t="s">
        <v>42341</v>
      </c>
      <c r="N2088" t="s">
        <v>45095</v>
      </c>
      <c r="O2088" t="s">
        <v>45096</v>
      </c>
      <c r="P2088">
        <v>0</v>
      </c>
      <c r="Q2088">
        <v>0</v>
      </c>
      <c r="R2088" t="s">
        <v>45097</v>
      </c>
      <c r="S2088" t="s">
        <v>45222</v>
      </c>
      <c r="T2088" t="s">
        <v>46904</v>
      </c>
      <c r="U2088" t="s">
        <v>49249</v>
      </c>
      <c r="W2088" t="s">
        <v>42341</v>
      </c>
      <c r="X2088" t="s">
        <v>45098</v>
      </c>
    </row>
    <row r="2089" spans="1:24">
      <c r="A2089">
        <f>HYPERLINK("https://www.philgeps.gov.ph/GEPSNONPILOT/Tender/SplashBidNoticeAbstractUI.aspx?menuIndex=3&amp;refID=7046722&amp;Result=3","7046722")</f>
        <v>0</v>
      </c>
      <c r="B2089" t="s">
        <v>822</v>
      </c>
      <c r="C2089" t="s">
        <v>5204</v>
      </c>
      <c r="D2089" t="s">
        <v>18022</v>
      </c>
      <c r="E2089" t="s">
        <v>20018</v>
      </c>
      <c r="F2089" t="s">
        <v>31574</v>
      </c>
      <c r="G2089" t="s">
        <v>31581</v>
      </c>
      <c r="H2089" t="s">
        <v>31590</v>
      </c>
      <c r="I2089" t="s">
        <v>31594</v>
      </c>
      <c r="J2089" t="s">
        <v>31947</v>
      </c>
      <c r="K2089" t="s">
        <v>41193</v>
      </c>
      <c r="M2089" t="s">
        <v>42341</v>
      </c>
      <c r="N2089" t="s">
        <v>45095</v>
      </c>
      <c r="O2089" t="s">
        <v>45096</v>
      </c>
      <c r="P2089">
        <v>0</v>
      </c>
      <c r="Q2089">
        <v>0</v>
      </c>
      <c r="R2089" t="s">
        <v>45097</v>
      </c>
      <c r="S2089" t="s">
        <v>45222</v>
      </c>
      <c r="T2089" t="s">
        <v>46904</v>
      </c>
      <c r="U2089" t="s">
        <v>49250</v>
      </c>
      <c r="W2089" t="s">
        <v>42341</v>
      </c>
      <c r="X2089" t="s">
        <v>45098</v>
      </c>
    </row>
    <row r="2090" spans="1:24">
      <c r="A2090">
        <f>HYPERLINK("https://www.philgeps.gov.ph/GEPSNONPILOT/Tender/SplashBidNoticeAbstractUI.aspx?menuIndex=3&amp;refID=7046731&amp;Result=3","7046731")</f>
        <v>0</v>
      </c>
      <c r="B2090" t="s">
        <v>829</v>
      </c>
      <c r="C2090" t="s">
        <v>5205</v>
      </c>
      <c r="D2090" t="s">
        <v>18022</v>
      </c>
      <c r="E2090" t="s">
        <v>18193</v>
      </c>
      <c r="F2090" t="s">
        <v>31574</v>
      </c>
      <c r="G2090" t="s">
        <v>31582</v>
      </c>
      <c r="H2090" t="s">
        <v>31590</v>
      </c>
      <c r="I2090" t="s">
        <v>31620</v>
      </c>
      <c r="J2090" t="s">
        <v>33215</v>
      </c>
      <c r="K2090" t="s">
        <v>41189</v>
      </c>
      <c r="M2090" t="s">
        <v>42348</v>
      </c>
      <c r="N2090" t="s">
        <v>45095</v>
      </c>
      <c r="O2090" t="s">
        <v>45096</v>
      </c>
      <c r="P2090">
        <v>0</v>
      </c>
      <c r="Q2090">
        <v>0</v>
      </c>
      <c r="R2090" t="s">
        <v>45097</v>
      </c>
      <c r="S2090" t="s">
        <v>45222</v>
      </c>
      <c r="T2090" t="s">
        <v>46916</v>
      </c>
      <c r="U2090" t="s">
        <v>49251</v>
      </c>
      <c r="W2090" t="s">
        <v>42348</v>
      </c>
      <c r="X2090" t="s">
        <v>45098</v>
      </c>
    </row>
    <row r="2091" spans="1:24">
      <c r="A2091">
        <f>HYPERLINK("https://www.philgeps.gov.ph/GEPSNONPILOT/Tender/SplashBidNoticeAbstractUI.aspx?menuIndex=3&amp;refID=7046712&amp;Result=3","7046712")</f>
        <v>0</v>
      </c>
      <c r="B2091" t="s">
        <v>167</v>
      </c>
      <c r="C2091" t="s">
        <v>5206</v>
      </c>
      <c r="D2091" t="s">
        <v>18036</v>
      </c>
      <c r="E2091" t="s">
        <v>20019</v>
      </c>
      <c r="F2091" t="s">
        <v>31574</v>
      </c>
      <c r="G2091" t="s">
        <v>31582</v>
      </c>
      <c r="H2091" t="s">
        <v>31590</v>
      </c>
      <c r="I2091" t="s">
        <v>31602</v>
      </c>
      <c r="J2091" t="s">
        <v>33216</v>
      </c>
      <c r="K2091" t="s">
        <v>41186</v>
      </c>
      <c r="L2091" t="s">
        <v>167</v>
      </c>
      <c r="M2091" t="s">
        <v>41651</v>
      </c>
      <c r="N2091" t="s">
        <v>45095</v>
      </c>
      <c r="O2091" t="s">
        <v>45096</v>
      </c>
      <c r="P2091">
        <v>0</v>
      </c>
      <c r="Q2091">
        <v>0</v>
      </c>
      <c r="R2091" t="s">
        <v>45097</v>
      </c>
      <c r="S2091" t="s">
        <v>45222</v>
      </c>
      <c r="T2091" t="s">
        <v>46926</v>
      </c>
      <c r="U2091" t="s">
        <v>49252</v>
      </c>
      <c r="W2091" t="s">
        <v>41651</v>
      </c>
      <c r="X2091" t="s">
        <v>45098</v>
      </c>
    </row>
    <row r="2092" spans="1:24">
      <c r="A2092">
        <f>HYPERLINK("https://www.philgeps.gov.ph/GEPSNONPILOT/Tender/SplashBidNoticeAbstractUI.aspx?menuIndex=3&amp;refID=7046710&amp;Result=3","7046710")</f>
        <v>0</v>
      </c>
      <c r="B2092" t="s">
        <v>830</v>
      </c>
      <c r="C2092" t="s">
        <v>5207</v>
      </c>
      <c r="E2092" t="s">
        <v>20020</v>
      </c>
      <c r="F2092" t="s">
        <v>31574</v>
      </c>
      <c r="G2092" t="s">
        <v>31581</v>
      </c>
      <c r="H2092" t="s">
        <v>31590</v>
      </c>
      <c r="I2092" t="s">
        <v>3487</v>
      </c>
      <c r="J2092" t="s">
        <v>33217</v>
      </c>
      <c r="K2092" t="s">
        <v>41184</v>
      </c>
      <c r="M2092" t="s">
        <v>42349</v>
      </c>
      <c r="N2092" t="s">
        <v>45095</v>
      </c>
      <c r="O2092" t="s">
        <v>45096</v>
      </c>
      <c r="P2092">
        <v>0</v>
      </c>
      <c r="Q2092">
        <v>0</v>
      </c>
      <c r="R2092" t="s">
        <v>45097</v>
      </c>
      <c r="S2092" t="s">
        <v>45222</v>
      </c>
      <c r="T2092" t="s">
        <v>46980</v>
      </c>
      <c r="U2092" t="s">
        <v>49253</v>
      </c>
      <c r="W2092" t="s">
        <v>42349</v>
      </c>
      <c r="X2092" t="s">
        <v>45098</v>
      </c>
    </row>
    <row r="2093" spans="1:24">
      <c r="A2093">
        <f>HYPERLINK("https://www.philgeps.gov.ph/GEPSNONPILOT/Tender/SplashBidNoticeAbstractUI.aspx?menuIndex=3&amp;refID=7046717&amp;Result=3","7046717")</f>
        <v>0</v>
      </c>
      <c r="B2093" t="s">
        <v>811</v>
      </c>
      <c r="C2093" t="s">
        <v>5208</v>
      </c>
      <c r="D2093" t="s">
        <v>18036</v>
      </c>
      <c r="E2093" t="s">
        <v>20021</v>
      </c>
      <c r="F2093" t="s">
        <v>31574</v>
      </c>
      <c r="G2093" t="s">
        <v>31582</v>
      </c>
      <c r="H2093" t="s">
        <v>31590</v>
      </c>
      <c r="I2093" t="s">
        <v>5717</v>
      </c>
      <c r="J2093" t="s">
        <v>33218</v>
      </c>
      <c r="K2093" t="s">
        <v>41196</v>
      </c>
      <c r="M2093" t="s">
        <v>42327</v>
      </c>
      <c r="N2093" t="s">
        <v>45095</v>
      </c>
      <c r="O2093" t="s">
        <v>45096</v>
      </c>
      <c r="P2093">
        <v>0</v>
      </c>
      <c r="Q2093">
        <v>0</v>
      </c>
      <c r="R2093" t="s">
        <v>45097</v>
      </c>
      <c r="S2093" t="s">
        <v>45222</v>
      </c>
      <c r="T2093" t="s">
        <v>46943</v>
      </c>
      <c r="U2093" t="s">
        <v>49254</v>
      </c>
      <c r="W2093" t="s">
        <v>42327</v>
      </c>
      <c r="X2093" t="s">
        <v>45098</v>
      </c>
    </row>
    <row r="2094" spans="1:24">
      <c r="A2094">
        <f>HYPERLINK("https://www.philgeps.gov.ph/GEPSNONPILOT/Tender/SplashBidNoticeAbstractUI.aspx?menuIndex=3&amp;refID=7046719&amp;Result=3","7046719")</f>
        <v>0</v>
      </c>
      <c r="B2094" t="s">
        <v>823</v>
      </c>
      <c r="C2094" t="s">
        <v>5209</v>
      </c>
      <c r="D2094" t="s">
        <v>18073</v>
      </c>
      <c r="E2094" t="s">
        <v>20022</v>
      </c>
      <c r="F2094" t="s">
        <v>31574</v>
      </c>
      <c r="G2094" t="s">
        <v>31581</v>
      </c>
      <c r="H2094" t="s">
        <v>31590</v>
      </c>
      <c r="I2094" t="s">
        <v>31598</v>
      </c>
      <c r="J2094" t="s">
        <v>33219</v>
      </c>
      <c r="K2094" t="s">
        <v>41184</v>
      </c>
      <c r="M2094" t="s">
        <v>42342</v>
      </c>
      <c r="N2094" t="s">
        <v>45095</v>
      </c>
      <c r="O2094" t="s">
        <v>45096</v>
      </c>
      <c r="P2094">
        <v>0</v>
      </c>
      <c r="Q2094">
        <v>0</v>
      </c>
      <c r="R2094" t="s">
        <v>45097</v>
      </c>
      <c r="S2094" t="s">
        <v>45222</v>
      </c>
      <c r="T2094" t="s">
        <v>46918</v>
      </c>
      <c r="U2094" t="s">
        <v>49255</v>
      </c>
      <c r="W2094" t="s">
        <v>42342</v>
      </c>
      <c r="X2094" t="s">
        <v>45098</v>
      </c>
    </row>
    <row r="2095" spans="1:24">
      <c r="A2095">
        <f>HYPERLINK("https://www.philgeps.gov.ph/GEPSNONPILOT/Tender/SplashBidNoticeAbstractUI.aspx?menuIndex=3&amp;refID=7046728&amp;Result=3","7046728")</f>
        <v>0</v>
      </c>
      <c r="B2095" t="s">
        <v>777</v>
      </c>
      <c r="C2095" t="s">
        <v>5210</v>
      </c>
      <c r="D2095" t="s">
        <v>18070</v>
      </c>
      <c r="E2095" t="s">
        <v>20023</v>
      </c>
      <c r="F2095" t="s">
        <v>31574</v>
      </c>
      <c r="G2095" t="s">
        <v>31583</v>
      </c>
      <c r="H2095" t="s">
        <v>31590</v>
      </c>
      <c r="I2095" t="s">
        <v>31607</v>
      </c>
      <c r="J2095" t="s">
        <v>33220</v>
      </c>
      <c r="K2095" t="s">
        <v>41186</v>
      </c>
      <c r="M2095" t="s">
        <v>42291</v>
      </c>
      <c r="N2095" t="s">
        <v>45095</v>
      </c>
      <c r="O2095" t="s">
        <v>45096</v>
      </c>
      <c r="P2095">
        <v>0</v>
      </c>
      <c r="Q2095">
        <v>0</v>
      </c>
      <c r="R2095" t="s">
        <v>45097</v>
      </c>
      <c r="S2095" t="s">
        <v>45222</v>
      </c>
      <c r="T2095" t="s">
        <v>46904</v>
      </c>
      <c r="U2095" t="s">
        <v>49256</v>
      </c>
      <c r="W2095" t="s">
        <v>42291</v>
      </c>
      <c r="X2095" t="s">
        <v>45098</v>
      </c>
    </row>
    <row r="2096" spans="1:24">
      <c r="A2096">
        <f>HYPERLINK("https://www.philgeps.gov.ph/GEPSNONPILOT/Tender/SplashBidNoticeAbstractUI.aspx?menuIndex=3&amp;refID=7046724&amp;Result=3","7046724")</f>
        <v>0</v>
      </c>
      <c r="B2096" t="s">
        <v>831</v>
      </c>
      <c r="C2096" t="s">
        <v>5211</v>
      </c>
      <c r="E2096" t="s">
        <v>20024</v>
      </c>
      <c r="F2096" t="s">
        <v>31574</v>
      </c>
      <c r="G2096" t="s">
        <v>31581</v>
      </c>
      <c r="H2096" t="s">
        <v>31590</v>
      </c>
      <c r="I2096" t="s">
        <v>31645</v>
      </c>
      <c r="J2096" t="s">
        <v>33221</v>
      </c>
      <c r="K2096" t="s">
        <v>41184</v>
      </c>
      <c r="M2096" t="s">
        <v>42350</v>
      </c>
      <c r="N2096" t="s">
        <v>45095</v>
      </c>
      <c r="O2096" t="s">
        <v>45096</v>
      </c>
      <c r="P2096">
        <v>0</v>
      </c>
      <c r="Q2096">
        <v>0</v>
      </c>
      <c r="R2096" t="s">
        <v>45097</v>
      </c>
      <c r="S2096" t="s">
        <v>45222</v>
      </c>
      <c r="T2096" t="s">
        <v>46913</v>
      </c>
      <c r="U2096" t="s">
        <v>49257</v>
      </c>
      <c r="W2096" t="s">
        <v>42350</v>
      </c>
      <c r="X2096" t="s">
        <v>45098</v>
      </c>
    </row>
    <row r="2097" spans="1:24">
      <c r="A2097">
        <f>HYPERLINK("https://www.philgeps.gov.ph/GEPSNONPILOT/Tender/SplashBidNoticeAbstractUI.aspx?menuIndex=3&amp;refID=7046726&amp;Result=3","7046726")</f>
        <v>0</v>
      </c>
      <c r="B2097" t="s">
        <v>832</v>
      </c>
      <c r="C2097" t="s">
        <v>3663</v>
      </c>
      <c r="D2097" t="s">
        <v>18044</v>
      </c>
      <c r="E2097" t="s">
        <v>19185</v>
      </c>
      <c r="F2097" t="s">
        <v>31574</v>
      </c>
      <c r="G2097" t="s">
        <v>31584</v>
      </c>
      <c r="H2097" t="s">
        <v>31592</v>
      </c>
      <c r="I2097" t="s">
        <v>5717</v>
      </c>
      <c r="J2097" t="s">
        <v>32017</v>
      </c>
      <c r="K2097" t="s">
        <v>41196</v>
      </c>
      <c r="M2097" t="s">
        <v>42351</v>
      </c>
      <c r="N2097" t="s">
        <v>45095</v>
      </c>
      <c r="O2097" t="s">
        <v>45096</v>
      </c>
      <c r="P2097">
        <v>0</v>
      </c>
      <c r="Q2097">
        <v>0</v>
      </c>
      <c r="R2097" t="s">
        <v>45097</v>
      </c>
      <c r="S2097" t="s">
        <v>45222</v>
      </c>
      <c r="T2097" t="s">
        <v>46989</v>
      </c>
      <c r="U2097" t="s">
        <v>49258</v>
      </c>
      <c r="W2097" t="s">
        <v>42351</v>
      </c>
      <c r="X2097" t="s">
        <v>45098</v>
      </c>
    </row>
    <row r="2098" spans="1:24">
      <c r="A2098">
        <f>HYPERLINK("https://www.philgeps.gov.ph/GEPSNONPILOT/Tender/SplashBidNoticeAbstractUI.aspx?menuIndex=3&amp;refID=7046732&amp;Result=3","7046732")</f>
        <v>0</v>
      </c>
      <c r="B2098" t="s">
        <v>833</v>
      </c>
      <c r="C2098" t="s">
        <v>5212</v>
      </c>
      <c r="D2098" t="s">
        <v>18044</v>
      </c>
      <c r="E2098" t="s">
        <v>20025</v>
      </c>
      <c r="F2098" t="s">
        <v>31574</v>
      </c>
      <c r="G2098" t="s">
        <v>31583</v>
      </c>
      <c r="H2098" t="s">
        <v>31590</v>
      </c>
      <c r="I2098" t="s">
        <v>31595</v>
      </c>
      <c r="J2098" t="s">
        <v>32431</v>
      </c>
      <c r="K2098" t="s">
        <v>41197</v>
      </c>
      <c r="M2098" t="s">
        <v>42352</v>
      </c>
      <c r="N2098" t="s">
        <v>45095</v>
      </c>
      <c r="O2098" t="s">
        <v>45096</v>
      </c>
      <c r="P2098">
        <v>0</v>
      </c>
      <c r="Q2098">
        <v>0</v>
      </c>
      <c r="R2098" t="s">
        <v>45097</v>
      </c>
      <c r="S2098" t="s">
        <v>45222</v>
      </c>
      <c r="T2098" t="s">
        <v>47067</v>
      </c>
      <c r="U2098" t="s">
        <v>49259</v>
      </c>
      <c r="W2098" t="s">
        <v>42352</v>
      </c>
      <c r="X2098" t="s">
        <v>45098</v>
      </c>
    </row>
    <row r="2099" spans="1:24">
      <c r="A2099">
        <f>HYPERLINK("https://www.philgeps.gov.ph/GEPSNONPILOT/Tender/SplashBidNoticeAbstractUI.aspx?menuIndex=3&amp;refID=7046723&amp;Result=3","7046723")</f>
        <v>0</v>
      </c>
      <c r="B2099" t="s">
        <v>821</v>
      </c>
      <c r="C2099" t="s">
        <v>5213</v>
      </c>
      <c r="D2099" t="s">
        <v>18103</v>
      </c>
      <c r="E2099" t="s">
        <v>20026</v>
      </c>
      <c r="F2099" t="s">
        <v>31574</v>
      </c>
      <c r="G2099" t="s">
        <v>31582</v>
      </c>
      <c r="H2099" t="s">
        <v>31591</v>
      </c>
      <c r="I2099" t="s">
        <v>8822</v>
      </c>
      <c r="J2099" t="s">
        <v>33222</v>
      </c>
      <c r="K2099" t="s">
        <v>41200</v>
      </c>
      <c r="M2099" t="s">
        <v>42339</v>
      </c>
      <c r="N2099" t="s">
        <v>45095</v>
      </c>
      <c r="O2099" t="s">
        <v>45096</v>
      </c>
      <c r="P2099">
        <v>0</v>
      </c>
      <c r="Q2099">
        <v>0</v>
      </c>
      <c r="R2099" t="s">
        <v>45097</v>
      </c>
      <c r="S2099" t="s">
        <v>45222</v>
      </c>
      <c r="T2099" t="s">
        <v>47109</v>
      </c>
      <c r="U2099" t="s">
        <v>49260</v>
      </c>
      <c r="V2099" t="s">
        <v>60056</v>
      </c>
      <c r="W2099" t="s">
        <v>42339</v>
      </c>
      <c r="X2099" t="s">
        <v>45098</v>
      </c>
    </row>
    <row r="2100" spans="1:24">
      <c r="A2100">
        <f>HYPERLINK("https://www.philgeps.gov.ph/GEPSNONPILOT/Tender/SplashBidNoticeAbstractUI.aspx?menuIndex=3&amp;refID=7046738&amp;Result=3","7046738")</f>
        <v>0</v>
      </c>
      <c r="B2100" t="s">
        <v>822</v>
      </c>
      <c r="C2100" t="s">
        <v>5214</v>
      </c>
      <c r="D2100" t="s">
        <v>18022</v>
      </c>
      <c r="E2100" t="s">
        <v>19899</v>
      </c>
      <c r="F2100" t="s">
        <v>31574</v>
      </c>
      <c r="G2100" t="s">
        <v>31581</v>
      </c>
      <c r="H2100" t="s">
        <v>31590</v>
      </c>
      <c r="I2100" t="s">
        <v>31594</v>
      </c>
      <c r="J2100" t="s">
        <v>32019</v>
      </c>
      <c r="K2100" t="s">
        <v>41193</v>
      </c>
      <c r="M2100" t="s">
        <v>42341</v>
      </c>
      <c r="N2100" t="s">
        <v>45095</v>
      </c>
      <c r="O2100" t="s">
        <v>45096</v>
      </c>
      <c r="P2100">
        <v>0</v>
      </c>
      <c r="Q2100">
        <v>0</v>
      </c>
      <c r="R2100" t="s">
        <v>45097</v>
      </c>
      <c r="S2100" t="s">
        <v>45222</v>
      </c>
      <c r="T2100" t="s">
        <v>46904</v>
      </c>
      <c r="U2100" t="s">
        <v>49261</v>
      </c>
      <c r="W2100" t="s">
        <v>42341</v>
      </c>
      <c r="X2100" t="s">
        <v>45098</v>
      </c>
    </row>
    <row r="2101" spans="1:24">
      <c r="A2101">
        <f>HYPERLINK("https://www.philgeps.gov.ph/GEPSNONPILOT/Tender/SplashBidNoticeAbstractUI.aspx?menuIndex=3&amp;refID=7046727&amp;Result=3","7046727")</f>
        <v>0</v>
      </c>
      <c r="B2101" t="s">
        <v>805</v>
      </c>
      <c r="C2101" t="s">
        <v>5215</v>
      </c>
      <c r="D2101" t="s">
        <v>18039</v>
      </c>
      <c r="E2101" t="s">
        <v>20027</v>
      </c>
      <c r="F2101" t="s">
        <v>31574</v>
      </c>
      <c r="G2101" t="s">
        <v>31581</v>
      </c>
      <c r="H2101" t="s">
        <v>31590</v>
      </c>
      <c r="I2101" t="s">
        <v>3487</v>
      </c>
      <c r="J2101" t="s">
        <v>31741</v>
      </c>
      <c r="K2101" t="s">
        <v>41186</v>
      </c>
      <c r="M2101" t="s">
        <v>42320</v>
      </c>
      <c r="N2101" t="s">
        <v>45095</v>
      </c>
      <c r="O2101" t="s">
        <v>45096</v>
      </c>
      <c r="P2101">
        <v>0</v>
      </c>
      <c r="Q2101">
        <v>0</v>
      </c>
      <c r="R2101" t="s">
        <v>45097</v>
      </c>
      <c r="S2101" t="s">
        <v>45222</v>
      </c>
      <c r="T2101" t="s">
        <v>46904</v>
      </c>
      <c r="U2101" t="s">
        <v>49262</v>
      </c>
      <c r="W2101" t="s">
        <v>42320</v>
      </c>
      <c r="X2101" t="s">
        <v>45098</v>
      </c>
    </row>
    <row r="2102" spans="1:24">
      <c r="A2102">
        <f>HYPERLINK("https://www.philgeps.gov.ph/GEPSNONPILOT/Tender/SplashBidNoticeAbstractUI.aspx?menuIndex=3&amp;refID=7046734&amp;Result=3","7046734")</f>
        <v>0</v>
      </c>
      <c r="B2102" t="s">
        <v>828</v>
      </c>
      <c r="C2102" t="s">
        <v>5216</v>
      </c>
      <c r="D2102" t="s">
        <v>18040</v>
      </c>
      <c r="E2102" t="s">
        <v>20028</v>
      </c>
      <c r="F2102" t="s">
        <v>31574</v>
      </c>
      <c r="G2102" t="s">
        <v>31581</v>
      </c>
      <c r="H2102" t="s">
        <v>31590</v>
      </c>
      <c r="I2102" t="s">
        <v>6800</v>
      </c>
      <c r="J2102" t="s">
        <v>33223</v>
      </c>
      <c r="K2102" t="s">
        <v>41184</v>
      </c>
      <c r="M2102" t="s">
        <v>42347</v>
      </c>
      <c r="N2102" t="s">
        <v>45095</v>
      </c>
      <c r="O2102" t="s">
        <v>45096</v>
      </c>
      <c r="P2102">
        <v>0</v>
      </c>
      <c r="Q2102">
        <v>0</v>
      </c>
      <c r="R2102" t="s">
        <v>45097</v>
      </c>
      <c r="S2102" t="s">
        <v>45222</v>
      </c>
      <c r="T2102" t="s">
        <v>46918</v>
      </c>
      <c r="U2102" t="s">
        <v>49263</v>
      </c>
      <c r="W2102" t="s">
        <v>42347</v>
      </c>
      <c r="X2102" t="s">
        <v>45098</v>
      </c>
    </row>
    <row r="2103" spans="1:24">
      <c r="A2103">
        <f>HYPERLINK("https://www.philgeps.gov.ph/GEPSNONPILOT/Tender/SplashBidNoticeAbstractUI.aspx?menuIndex=3&amp;refID=7046737&amp;Result=3","7046737")</f>
        <v>0</v>
      </c>
      <c r="B2103" t="s">
        <v>822</v>
      </c>
      <c r="C2103" t="s">
        <v>5217</v>
      </c>
      <c r="D2103" t="s">
        <v>18022</v>
      </c>
      <c r="E2103" t="s">
        <v>19137</v>
      </c>
      <c r="F2103" t="s">
        <v>31574</v>
      </c>
      <c r="G2103" t="s">
        <v>31581</v>
      </c>
      <c r="H2103" t="s">
        <v>31590</v>
      </c>
      <c r="I2103" t="s">
        <v>31594</v>
      </c>
      <c r="J2103" t="s">
        <v>31741</v>
      </c>
      <c r="K2103" t="s">
        <v>41193</v>
      </c>
      <c r="M2103" t="s">
        <v>42341</v>
      </c>
      <c r="N2103" t="s">
        <v>45095</v>
      </c>
      <c r="O2103" t="s">
        <v>45096</v>
      </c>
      <c r="P2103">
        <v>0</v>
      </c>
      <c r="Q2103">
        <v>0</v>
      </c>
      <c r="R2103" t="s">
        <v>45097</v>
      </c>
      <c r="S2103" t="s">
        <v>45222</v>
      </c>
      <c r="T2103" t="s">
        <v>46904</v>
      </c>
      <c r="U2103" t="s">
        <v>49264</v>
      </c>
      <c r="W2103" t="s">
        <v>42341</v>
      </c>
      <c r="X2103" t="s">
        <v>45098</v>
      </c>
    </row>
    <row r="2104" spans="1:24">
      <c r="A2104">
        <f>HYPERLINK("https://www.philgeps.gov.ph/GEPSNONPILOT/Tender/SplashBidNoticeAbstractUI.aspx?menuIndex=3&amp;refID=7046733&amp;Result=3","7046733")</f>
        <v>0</v>
      </c>
      <c r="B2104" t="s">
        <v>822</v>
      </c>
      <c r="C2104" t="s">
        <v>5218</v>
      </c>
      <c r="D2104" t="s">
        <v>18022</v>
      </c>
      <c r="E2104" t="s">
        <v>19847</v>
      </c>
      <c r="F2104" t="s">
        <v>31574</v>
      </c>
      <c r="G2104" t="s">
        <v>31581</v>
      </c>
      <c r="H2104" t="s">
        <v>31590</v>
      </c>
      <c r="I2104" t="s">
        <v>31594</v>
      </c>
      <c r="J2104" t="s">
        <v>31890</v>
      </c>
      <c r="K2104" t="s">
        <v>41193</v>
      </c>
      <c r="M2104" t="s">
        <v>42341</v>
      </c>
      <c r="N2104" t="s">
        <v>45095</v>
      </c>
      <c r="O2104" t="s">
        <v>45096</v>
      </c>
      <c r="P2104">
        <v>0</v>
      </c>
      <c r="Q2104">
        <v>0</v>
      </c>
      <c r="R2104" t="s">
        <v>45097</v>
      </c>
      <c r="S2104" t="s">
        <v>45222</v>
      </c>
      <c r="T2104" t="s">
        <v>46904</v>
      </c>
      <c r="U2104" t="s">
        <v>49265</v>
      </c>
      <c r="W2104" t="s">
        <v>42341</v>
      </c>
      <c r="X2104" t="s">
        <v>45098</v>
      </c>
    </row>
    <row r="2105" spans="1:24">
      <c r="A2105">
        <f>HYPERLINK("https://www.philgeps.gov.ph/GEPSNONPILOT/Tender/SplashBidNoticeAbstractUI.aspx?menuIndex=3&amp;refID=7046736&amp;Result=3","7046736")</f>
        <v>0</v>
      </c>
      <c r="B2105" t="s">
        <v>834</v>
      </c>
      <c r="C2105" t="s">
        <v>5219</v>
      </c>
      <c r="D2105" t="s">
        <v>18052</v>
      </c>
      <c r="E2105" t="s">
        <v>18449</v>
      </c>
      <c r="F2105" t="s">
        <v>31574</v>
      </c>
      <c r="G2105" t="s">
        <v>31581</v>
      </c>
      <c r="H2105" t="s">
        <v>31590</v>
      </c>
      <c r="I2105" t="s">
        <v>31620</v>
      </c>
      <c r="J2105" t="s">
        <v>33224</v>
      </c>
      <c r="K2105" t="s">
        <v>41192</v>
      </c>
      <c r="M2105" t="s">
        <v>42353</v>
      </c>
      <c r="N2105" t="s">
        <v>45095</v>
      </c>
      <c r="O2105" t="s">
        <v>45096</v>
      </c>
      <c r="P2105">
        <v>0</v>
      </c>
      <c r="Q2105">
        <v>0</v>
      </c>
      <c r="R2105" t="s">
        <v>45097</v>
      </c>
      <c r="S2105" t="s">
        <v>45222</v>
      </c>
      <c r="T2105" t="s">
        <v>46918</v>
      </c>
      <c r="U2105" t="s">
        <v>49266</v>
      </c>
      <c r="W2105" t="s">
        <v>42353</v>
      </c>
      <c r="X2105" t="s">
        <v>45098</v>
      </c>
    </row>
    <row r="2106" spans="1:24">
      <c r="A2106">
        <f>HYPERLINK("https://www.philgeps.gov.ph/GEPSNONPILOT/Tender/SplashBidNoticeAbstractUI.aspx?menuIndex=3&amp;refID=7046725&amp;Result=3","7046725")</f>
        <v>0</v>
      </c>
      <c r="B2106" t="s">
        <v>822</v>
      </c>
      <c r="C2106" t="s">
        <v>5220</v>
      </c>
      <c r="D2106" t="s">
        <v>18022</v>
      </c>
      <c r="E2106" t="s">
        <v>18848</v>
      </c>
      <c r="F2106" t="s">
        <v>31574</v>
      </c>
      <c r="G2106" t="s">
        <v>31581</v>
      </c>
      <c r="H2106" t="s">
        <v>31590</v>
      </c>
      <c r="I2106" t="s">
        <v>31608</v>
      </c>
      <c r="J2106" t="s">
        <v>31962</v>
      </c>
      <c r="K2106" t="s">
        <v>41193</v>
      </c>
      <c r="M2106" t="s">
        <v>42341</v>
      </c>
      <c r="N2106" t="s">
        <v>45095</v>
      </c>
      <c r="O2106" t="s">
        <v>45096</v>
      </c>
      <c r="P2106">
        <v>0</v>
      </c>
      <c r="Q2106">
        <v>0</v>
      </c>
      <c r="R2106" t="s">
        <v>45097</v>
      </c>
      <c r="S2106" t="s">
        <v>45222</v>
      </c>
      <c r="T2106" t="s">
        <v>46904</v>
      </c>
      <c r="U2106" t="s">
        <v>49267</v>
      </c>
      <c r="W2106" t="s">
        <v>42341</v>
      </c>
      <c r="X2106" t="s">
        <v>45098</v>
      </c>
    </row>
    <row r="2107" spans="1:24">
      <c r="A2107">
        <f>HYPERLINK("https://www.philgeps.gov.ph/GEPSNONPILOT/Tender/SplashBidNoticeAbstractUI.aspx?menuIndex=3&amp;refID=7046743&amp;Result=3","7046743")</f>
        <v>0</v>
      </c>
      <c r="B2107" t="s">
        <v>822</v>
      </c>
      <c r="C2107" t="s">
        <v>5221</v>
      </c>
      <c r="D2107" t="s">
        <v>18022</v>
      </c>
      <c r="E2107" t="s">
        <v>19925</v>
      </c>
      <c r="F2107" t="s">
        <v>31574</v>
      </c>
      <c r="G2107" t="s">
        <v>31581</v>
      </c>
      <c r="H2107" t="s">
        <v>31590</v>
      </c>
      <c r="I2107" t="s">
        <v>31594</v>
      </c>
      <c r="J2107" t="s">
        <v>31780</v>
      </c>
      <c r="K2107" t="s">
        <v>41193</v>
      </c>
      <c r="M2107" t="s">
        <v>42341</v>
      </c>
      <c r="N2107" t="s">
        <v>45095</v>
      </c>
      <c r="O2107" t="s">
        <v>45096</v>
      </c>
      <c r="P2107">
        <v>0</v>
      </c>
      <c r="Q2107">
        <v>0</v>
      </c>
      <c r="R2107" t="s">
        <v>45097</v>
      </c>
      <c r="S2107" t="s">
        <v>45222</v>
      </c>
      <c r="T2107" t="s">
        <v>46904</v>
      </c>
      <c r="U2107" t="s">
        <v>49268</v>
      </c>
      <c r="W2107" t="s">
        <v>42341</v>
      </c>
      <c r="X2107" t="s">
        <v>45098</v>
      </c>
    </row>
    <row r="2108" spans="1:24">
      <c r="A2108">
        <f>HYPERLINK("https://www.philgeps.gov.ph/GEPSNONPILOT/Tender/SplashBidNoticeAbstractUI.aspx?menuIndex=3&amp;refID=7046744&amp;Result=3","7046744")</f>
        <v>0</v>
      </c>
      <c r="B2108" t="s">
        <v>835</v>
      </c>
      <c r="C2108" t="s">
        <v>5222</v>
      </c>
      <c r="D2108" t="s">
        <v>18030</v>
      </c>
      <c r="E2108" t="s">
        <v>20029</v>
      </c>
      <c r="F2108" t="s">
        <v>31574</v>
      </c>
      <c r="G2108" t="s">
        <v>31583</v>
      </c>
      <c r="H2108" t="s">
        <v>31590</v>
      </c>
      <c r="I2108" t="s">
        <v>5222</v>
      </c>
      <c r="J2108" t="s">
        <v>32318</v>
      </c>
      <c r="K2108" t="s">
        <v>41211</v>
      </c>
      <c r="M2108" t="s">
        <v>42354</v>
      </c>
      <c r="N2108" t="s">
        <v>45095</v>
      </c>
      <c r="O2108" t="s">
        <v>45096</v>
      </c>
      <c r="P2108">
        <v>0</v>
      </c>
      <c r="Q2108">
        <v>0</v>
      </c>
      <c r="R2108" t="s">
        <v>45097</v>
      </c>
      <c r="S2108" t="s">
        <v>45222</v>
      </c>
      <c r="T2108" t="s">
        <v>46957</v>
      </c>
      <c r="U2108" t="s">
        <v>49269</v>
      </c>
      <c r="W2108" t="s">
        <v>42354</v>
      </c>
      <c r="X2108" t="s">
        <v>45098</v>
      </c>
    </row>
    <row r="2109" spans="1:24">
      <c r="A2109">
        <f>HYPERLINK("https://www.philgeps.gov.ph/GEPSNONPILOT/Tender/SplashBidNoticeAbstractUI.aspx?menuIndex=3&amp;refID=7046752&amp;Result=3","7046752")</f>
        <v>0</v>
      </c>
      <c r="B2109" t="s">
        <v>836</v>
      </c>
      <c r="C2109" t="s">
        <v>5223</v>
      </c>
      <c r="D2109" t="s">
        <v>18096</v>
      </c>
      <c r="E2109" t="s">
        <v>20030</v>
      </c>
      <c r="F2109" t="s">
        <v>31574</v>
      </c>
      <c r="G2109" t="s">
        <v>31582</v>
      </c>
      <c r="H2109" t="s">
        <v>31590</v>
      </c>
      <c r="I2109" t="s">
        <v>6800</v>
      </c>
      <c r="J2109" t="s">
        <v>33225</v>
      </c>
      <c r="K2109" t="s">
        <v>41184</v>
      </c>
      <c r="M2109" t="s">
        <v>42355</v>
      </c>
      <c r="N2109" t="s">
        <v>45095</v>
      </c>
      <c r="O2109" t="s">
        <v>45096</v>
      </c>
      <c r="P2109">
        <v>0</v>
      </c>
      <c r="Q2109">
        <v>0</v>
      </c>
      <c r="R2109" t="s">
        <v>45097</v>
      </c>
      <c r="S2109" t="s">
        <v>45222</v>
      </c>
      <c r="T2109" t="s">
        <v>46938</v>
      </c>
      <c r="U2109" t="s">
        <v>49270</v>
      </c>
      <c r="W2109" t="s">
        <v>61680</v>
      </c>
      <c r="X2109" t="s">
        <v>45098</v>
      </c>
    </row>
    <row r="2110" spans="1:24">
      <c r="A2110">
        <f>HYPERLINK("https://www.philgeps.gov.ph/GEPSNONPILOT/Tender/SplashBidNoticeAbstractUI.aspx?menuIndex=3&amp;refID=7046718&amp;Result=3","7046718")</f>
        <v>0</v>
      </c>
      <c r="B2110" t="s">
        <v>837</v>
      </c>
      <c r="C2110" t="s">
        <v>5224</v>
      </c>
      <c r="D2110" t="s">
        <v>18086</v>
      </c>
      <c r="E2110" t="s">
        <v>20031</v>
      </c>
      <c r="F2110" t="s">
        <v>31575</v>
      </c>
      <c r="G2110" t="s">
        <v>31582</v>
      </c>
      <c r="H2110" t="s">
        <v>31590</v>
      </c>
      <c r="I2110" t="s">
        <v>31602</v>
      </c>
      <c r="J2110" t="s">
        <v>33226</v>
      </c>
      <c r="K2110" t="s">
        <v>41186</v>
      </c>
      <c r="M2110" t="s">
        <v>42356</v>
      </c>
      <c r="N2110" t="s">
        <v>45095</v>
      </c>
      <c r="O2110" t="s">
        <v>45096</v>
      </c>
      <c r="P2110">
        <v>0</v>
      </c>
      <c r="Q2110">
        <v>0</v>
      </c>
      <c r="R2110" t="s">
        <v>45097</v>
      </c>
      <c r="S2110" t="s">
        <v>45222</v>
      </c>
      <c r="T2110" t="s">
        <v>47061</v>
      </c>
      <c r="U2110" t="s">
        <v>49271</v>
      </c>
      <c r="W2110" t="s">
        <v>42356</v>
      </c>
      <c r="X2110" t="s">
        <v>45098</v>
      </c>
    </row>
    <row r="2111" spans="1:24">
      <c r="A2111">
        <f>HYPERLINK("https://www.philgeps.gov.ph/GEPSNONPILOT/Tender/SplashBidNoticeAbstractUI.aspx?menuIndex=3&amp;refID=7046740&amp;Result=3","7046740")</f>
        <v>0</v>
      </c>
      <c r="B2111" t="s">
        <v>838</v>
      </c>
      <c r="C2111" t="s">
        <v>5225</v>
      </c>
      <c r="D2111" t="s">
        <v>18059</v>
      </c>
      <c r="E2111" t="s">
        <v>20032</v>
      </c>
      <c r="F2111" t="s">
        <v>31574</v>
      </c>
      <c r="G2111" t="s">
        <v>31582</v>
      </c>
      <c r="H2111" t="s">
        <v>31591</v>
      </c>
      <c r="I2111" t="s">
        <v>8822</v>
      </c>
      <c r="J2111" t="s">
        <v>31771</v>
      </c>
      <c r="K2111" t="s">
        <v>41200</v>
      </c>
      <c r="M2111" t="s">
        <v>42357</v>
      </c>
      <c r="N2111" t="s">
        <v>45095</v>
      </c>
      <c r="O2111" t="s">
        <v>45096</v>
      </c>
      <c r="P2111">
        <v>0</v>
      </c>
      <c r="Q2111">
        <v>0</v>
      </c>
      <c r="R2111" t="s">
        <v>45097</v>
      </c>
      <c r="S2111" t="s">
        <v>45222</v>
      </c>
      <c r="T2111" t="s">
        <v>46919</v>
      </c>
      <c r="U2111" t="s">
        <v>49272</v>
      </c>
      <c r="W2111" t="s">
        <v>42357</v>
      </c>
      <c r="X2111" t="s">
        <v>45098</v>
      </c>
    </row>
    <row r="2112" spans="1:24">
      <c r="A2112">
        <f>HYPERLINK("https://www.philgeps.gov.ph/GEPSNONPILOT/Tender/SplashBidNoticeAbstractUI.aspx?menuIndex=3&amp;refID=7046741&amp;Result=3","7046741")</f>
        <v>0</v>
      </c>
      <c r="B2112" t="s">
        <v>839</v>
      </c>
      <c r="C2112" t="s">
        <v>5226</v>
      </c>
      <c r="D2112" t="s">
        <v>18084</v>
      </c>
      <c r="E2112" t="s">
        <v>20033</v>
      </c>
      <c r="F2112" t="s">
        <v>31574</v>
      </c>
      <c r="G2112" t="s">
        <v>31582</v>
      </c>
      <c r="H2112" t="s">
        <v>31590</v>
      </c>
      <c r="I2112" t="s">
        <v>31606</v>
      </c>
      <c r="J2112" t="s">
        <v>33227</v>
      </c>
      <c r="K2112" t="s">
        <v>41192</v>
      </c>
      <c r="M2112" t="s">
        <v>42358</v>
      </c>
      <c r="N2112" t="s">
        <v>45095</v>
      </c>
      <c r="O2112" t="s">
        <v>45096</v>
      </c>
      <c r="P2112">
        <v>0</v>
      </c>
      <c r="Q2112">
        <v>0</v>
      </c>
      <c r="R2112" t="s">
        <v>45097</v>
      </c>
      <c r="S2112" t="s">
        <v>45222</v>
      </c>
      <c r="T2112" t="s">
        <v>46960</v>
      </c>
      <c r="U2112" t="s">
        <v>49273</v>
      </c>
      <c r="W2112" t="s">
        <v>42358</v>
      </c>
      <c r="X2112" t="s">
        <v>45098</v>
      </c>
    </row>
    <row r="2113" spans="1:24">
      <c r="A2113">
        <f>HYPERLINK("https://www.philgeps.gov.ph/GEPSNONPILOT/Tender/SplashBidNoticeAbstractUI.aspx?menuIndex=3&amp;refID=7046742&amp;Result=3","7046742")</f>
        <v>0</v>
      </c>
      <c r="B2113" t="s">
        <v>805</v>
      </c>
      <c r="C2113" t="s">
        <v>5227</v>
      </c>
      <c r="D2113" t="s">
        <v>18039</v>
      </c>
      <c r="E2113" t="s">
        <v>20034</v>
      </c>
      <c r="F2113" t="s">
        <v>31574</v>
      </c>
      <c r="G2113" t="s">
        <v>31581</v>
      </c>
      <c r="H2113" t="s">
        <v>31590</v>
      </c>
      <c r="I2113" t="s">
        <v>31619</v>
      </c>
      <c r="J2113" t="s">
        <v>31930</v>
      </c>
      <c r="K2113" t="s">
        <v>41186</v>
      </c>
      <c r="M2113" t="s">
        <v>42320</v>
      </c>
      <c r="N2113" t="s">
        <v>45095</v>
      </c>
      <c r="O2113" t="s">
        <v>45096</v>
      </c>
      <c r="P2113">
        <v>0</v>
      </c>
      <c r="Q2113">
        <v>0</v>
      </c>
      <c r="R2113" t="s">
        <v>45097</v>
      </c>
      <c r="S2113" t="s">
        <v>45222</v>
      </c>
      <c r="T2113" t="s">
        <v>46904</v>
      </c>
      <c r="U2113" t="s">
        <v>49274</v>
      </c>
      <c r="W2113" t="s">
        <v>42320</v>
      </c>
      <c r="X2113" t="s">
        <v>45098</v>
      </c>
    </row>
    <row r="2114" spans="1:24">
      <c r="A2114">
        <f>HYPERLINK("https://www.philgeps.gov.ph/GEPSNONPILOT/Tender/SplashBidNoticeAbstractUI.aspx?menuIndex=3&amp;refID=7046750&amp;Result=3","7046750")</f>
        <v>0</v>
      </c>
      <c r="B2114" t="s">
        <v>840</v>
      </c>
      <c r="C2114" t="s">
        <v>5228</v>
      </c>
      <c r="E2114" t="s">
        <v>20035</v>
      </c>
      <c r="F2114" t="s">
        <v>31574</v>
      </c>
      <c r="G2114" t="s">
        <v>31581</v>
      </c>
      <c r="H2114" t="s">
        <v>31590</v>
      </c>
      <c r="I2114" t="s">
        <v>31620</v>
      </c>
      <c r="J2114" t="s">
        <v>33228</v>
      </c>
      <c r="K2114" t="s">
        <v>41184</v>
      </c>
      <c r="M2114" t="s">
        <v>42359</v>
      </c>
      <c r="N2114" t="s">
        <v>45095</v>
      </c>
      <c r="O2114" t="s">
        <v>45096</v>
      </c>
      <c r="P2114">
        <v>0</v>
      </c>
      <c r="Q2114">
        <v>0</v>
      </c>
      <c r="R2114" t="s">
        <v>45097</v>
      </c>
      <c r="S2114" t="s">
        <v>45222</v>
      </c>
      <c r="T2114" t="s">
        <v>46904</v>
      </c>
      <c r="U2114" t="s">
        <v>49275</v>
      </c>
      <c r="W2114" t="s">
        <v>42359</v>
      </c>
      <c r="X2114" t="s">
        <v>45098</v>
      </c>
    </row>
    <row r="2115" spans="1:24">
      <c r="A2115">
        <f>HYPERLINK("https://www.philgeps.gov.ph/GEPSNONPILOT/Tender/SplashBidNoticeAbstractUI.aspx?menuIndex=3&amp;refID=7046739&amp;Result=3","7046739")</f>
        <v>0</v>
      </c>
      <c r="B2115" t="s">
        <v>836</v>
      </c>
      <c r="C2115" t="s">
        <v>5229</v>
      </c>
      <c r="D2115" t="s">
        <v>18096</v>
      </c>
      <c r="E2115" t="s">
        <v>20036</v>
      </c>
      <c r="F2115" t="s">
        <v>31574</v>
      </c>
      <c r="G2115" t="s">
        <v>31582</v>
      </c>
      <c r="H2115" t="s">
        <v>31590</v>
      </c>
      <c r="I2115" t="s">
        <v>31682</v>
      </c>
      <c r="J2115" t="s">
        <v>33229</v>
      </c>
      <c r="K2115" t="s">
        <v>41184</v>
      </c>
      <c r="M2115" t="s">
        <v>42355</v>
      </c>
      <c r="N2115" t="s">
        <v>45095</v>
      </c>
      <c r="O2115" t="s">
        <v>45096</v>
      </c>
      <c r="P2115">
        <v>0</v>
      </c>
      <c r="Q2115">
        <v>0</v>
      </c>
      <c r="R2115" t="s">
        <v>45097</v>
      </c>
      <c r="S2115" t="s">
        <v>45222</v>
      </c>
      <c r="T2115" t="s">
        <v>46938</v>
      </c>
      <c r="U2115" t="s">
        <v>49276</v>
      </c>
      <c r="W2115" t="s">
        <v>61680</v>
      </c>
      <c r="X2115" t="s">
        <v>45098</v>
      </c>
    </row>
    <row r="2116" spans="1:24">
      <c r="A2116">
        <f>HYPERLINK("https://www.philgeps.gov.ph/GEPSNONPILOT/Tender/SplashBidNoticeAbstractUI.aspx?menuIndex=3&amp;refID=7046746&amp;Result=3","7046746")</f>
        <v>0</v>
      </c>
      <c r="B2116" t="s">
        <v>831</v>
      </c>
      <c r="C2116" t="s">
        <v>5230</v>
      </c>
      <c r="E2116" t="s">
        <v>20037</v>
      </c>
      <c r="F2116" t="s">
        <v>31574</v>
      </c>
      <c r="G2116" t="s">
        <v>31581</v>
      </c>
      <c r="H2116" t="s">
        <v>31590</v>
      </c>
      <c r="I2116" t="s">
        <v>31611</v>
      </c>
      <c r="J2116" t="s">
        <v>33230</v>
      </c>
      <c r="K2116" t="s">
        <v>41184</v>
      </c>
      <c r="M2116" t="s">
        <v>42350</v>
      </c>
      <c r="N2116" t="s">
        <v>45095</v>
      </c>
      <c r="O2116" t="s">
        <v>45096</v>
      </c>
      <c r="P2116">
        <v>0</v>
      </c>
      <c r="Q2116">
        <v>0</v>
      </c>
      <c r="R2116" t="s">
        <v>45097</v>
      </c>
      <c r="S2116" t="s">
        <v>45222</v>
      </c>
      <c r="T2116" t="s">
        <v>46913</v>
      </c>
      <c r="U2116" t="s">
        <v>49257</v>
      </c>
      <c r="W2116" t="s">
        <v>42350</v>
      </c>
      <c r="X2116" t="s">
        <v>45098</v>
      </c>
    </row>
    <row r="2117" spans="1:24">
      <c r="A2117">
        <f>HYPERLINK("https://www.philgeps.gov.ph/GEPSNONPILOT/Tender/SplashBidNoticeAbstractUI.aspx?menuIndex=3&amp;refID=7046749&amp;Result=3","7046749")</f>
        <v>0</v>
      </c>
      <c r="B2117" t="s">
        <v>841</v>
      </c>
      <c r="C2117" t="s">
        <v>5231</v>
      </c>
      <c r="D2117" t="s">
        <v>18101</v>
      </c>
      <c r="E2117" t="s">
        <v>20038</v>
      </c>
      <c r="F2117" t="s">
        <v>31574</v>
      </c>
      <c r="G2117" t="s">
        <v>31582</v>
      </c>
      <c r="H2117" t="s">
        <v>31590</v>
      </c>
      <c r="I2117" t="s">
        <v>4327</v>
      </c>
      <c r="J2117" t="s">
        <v>33231</v>
      </c>
      <c r="K2117" t="s">
        <v>41186</v>
      </c>
      <c r="M2117" t="s">
        <v>42360</v>
      </c>
      <c r="N2117" t="s">
        <v>45095</v>
      </c>
      <c r="O2117" t="s">
        <v>45096</v>
      </c>
      <c r="P2117">
        <v>0</v>
      </c>
      <c r="Q2117">
        <v>0</v>
      </c>
      <c r="R2117" t="s">
        <v>45097</v>
      </c>
      <c r="S2117" t="s">
        <v>45222</v>
      </c>
      <c r="T2117" t="s">
        <v>46938</v>
      </c>
      <c r="U2117" t="s">
        <v>49277</v>
      </c>
      <c r="W2117" t="s">
        <v>42360</v>
      </c>
      <c r="X2117" t="s">
        <v>45098</v>
      </c>
    </row>
    <row r="2118" spans="1:24">
      <c r="A2118">
        <f>HYPERLINK("https://www.philgeps.gov.ph/GEPSNONPILOT/Tender/SplashBidNoticeAbstractUI.aspx?menuIndex=3&amp;refID=7046745&amp;Result=3","7046745")</f>
        <v>0</v>
      </c>
      <c r="B2118" t="s">
        <v>828</v>
      </c>
      <c r="C2118" t="s">
        <v>5232</v>
      </c>
      <c r="D2118" t="s">
        <v>18040</v>
      </c>
      <c r="E2118" t="s">
        <v>20039</v>
      </c>
      <c r="F2118" t="s">
        <v>31574</v>
      </c>
      <c r="G2118" t="s">
        <v>31581</v>
      </c>
      <c r="H2118" t="s">
        <v>31590</v>
      </c>
      <c r="I2118" t="s">
        <v>6800</v>
      </c>
      <c r="J2118" t="s">
        <v>33232</v>
      </c>
      <c r="K2118" t="s">
        <v>41184</v>
      </c>
      <c r="M2118" t="s">
        <v>42347</v>
      </c>
      <c r="N2118" t="s">
        <v>45095</v>
      </c>
      <c r="O2118" t="s">
        <v>45096</v>
      </c>
      <c r="P2118">
        <v>0</v>
      </c>
      <c r="Q2118">
        <v>0</v>
      </c>
      <c r="R2118" t="s">
        <v>45097</v>
      </c>
      <c r="S2118" t="s">
        <v>45222</v>
      </c>
      <c r="T2118" t="s">
        <v>46918</v>
      </c>
      <c r="U2118" t="s">
        <v>49278</v>
      </c>
      <c r="W2118" t="s">
        <v>42347</v>
      </c>
      <c r="X2118" t="s">
        <v>45098</v>
      </c>
    </row>
    <row r="2119" spans="1:24">
      <c r="A2119">
        <f>HYPERLINK("https://www.philgeps.gov.ph/GEPSNONPILOT/Tender/SplashBidNoticeAbstractUI.aspx?menuIndex=3&amp;refID=7046751&amp;Result=3","7046751")</f>
        <v>0</v>
      </c>
      <c r="B2119" t="s">
        <v>842</v>
      </c>
      <c r="C2119" t="s">
        <v>5233</v>
      </c>
      <c r="D2119" t="s">
        <v>18040</v>
      </c>
      <c r="E2119" t="s">
        <v>20040</v>
      </c>
      <c r="F2119" t="s">
        <v>31574</v>
      </c>
      <c r="G2119" t="s">
        <v>31581</v>
      </c>
      <c r="H2119" t="s">
        <v>31590</v>
      </c>
      <c r="I2119" t="s">
        <v>31610</v>
      </c>
      <c r="J2119" t="s">
        <v>31873</v>
      </c>
      <c r="K2119" t="s">
        <v>41211</v>
      </c>
      <c r="M2119" t="s">
        <v>42361</v>
      </c>
      <c r="N2119" t="s">
        <v>45095</v>
      </c>
      <c r="O2119" t="s">
        <v>45096</v>
      </c>
      <c r="P2119">
        <v>0</v>
      </c>
      <c r="Q2119">
        <v>0</v>
      </c>
      <c r="R2119" t="s">
        <v>45097</v>
      </c>
      <c r="S2119" t="s">
        <v>45222</v>
      </c>
      <c r="T2119" t="s">
        <v>46946</v>
      </c>
      <c r="U2119" t="s">
        <v>49279</v>
      </c>
      <c r="W2119" t="s">
        <v>42361</v>
      </c>
      <c r="X2119" t="s">
        <v>45098</v>
      </c>
    </row>
    <row r="2120" spans="1:24">
      <c r="A2120">
        <f>HYPERLINK("https://www.philgeps.gov.ph/GEPSNONPILOT/Tender/SplashBidNoticeAbstractUI.aspx?menuIndex=3&amp;refID=7046747&amp;Result=3","7046747")</f>
        <v>0</v>
      </c>
      <c r="B2120" t="s">
        <v>836</v>
      </c>
      <c r="C2120" t="s">
        <v>5234</v>
      </c>
      <c r="D2120" t="s">
        <v>18096</v>
      </c>
      <c r="E2120" t="s">
        <v>20041</v>
      </c>
      <c r="F2120" t="s">
        <v>31574</v>
      </c>
      <c r="G2120" t="s">
        <v>31582</v>
      </c>
      <c r="H2120" t="s">
        <v>31590</v>
      </c>
      <c r="I2120" t="s">
        <v>6800</v>
      </c>
      <c r="J2120" t="s">
        <v>33233</v>
      </c>
      <c r="K2120" t="s">
        <v>41184</v>
      </c>
      <c r="M2120" t="s">
        <v>42355</v>
      </c>
      <c r="N2120" t="s">
        <v>45095</v>
      </c>
      <c r="O2120" t="s">
        <v>45096</v>
      </c>
      <c r="P2120">
        <v>0</v>
      </c>
      <c r="Q2120">
        <v>0</v>
      </c>
      <c r="R2120" t="s">
        <v>45097</v>
      </c>
      <c r="S2120" t="s">
        <v>45222</v>
      </c>
      <c r="T2120" t="s">
        <v>46938</v>
      </c>
      <c r="U2120" t="s">
        <v>49280</v>
      </c>
      <c r="W2120" t="s">
        <v>61680</v>
      </c>
      <c r="X2120" t="s">
        <v>45098</v>
      </c>
    </row>
    <row r="2121" spans="1:24">
      <c r="A2121">
        <f>HYPERLINK("https://www.philgeps.gov.ph/GEPSNONPILOT/Tender/SplashBidNoticeAbstractUI.aspx?menuIndex=3&amp;refID=7046748&amp;Result=3","7046748")</f>
        <v>0</v>
      </c>
      <c r="B2121" t="s">
        <v>640</v>
      </c>
      <c r="C2121" t="s">
        <v>5235</v>
      </c>
      <c r="D2121" t="s">
        <v>18078</v>
      </c>
      <c r="E2121" t="s">
        <v>20042</v>
      </c>
      <c r="F2121" t="s">
        <v>31574</v>
      </c>
      <c r="G2121" t="s">
        <v>31581</v>
      </c>
      <c r="H2121" t="s">
        <v>31590</v>
      </c>
      <c r="I2121" t="s">
        <v>6800</v>
      </c>
      <c r="J2121" t="s">
        <v>33234</v>
      </c>
      <c r="K2121" t="s">
        <v>41184</v>
      </c>
      <c r="M2121" t="s">
        <v>42144</v>
      </c>
      <c r="N2121" t="s">
        <v>45095</v>
      </c>
      <c r="O2121" t="s">
        <v>45096</v>
      </c>
      <c r="P2121">
        <v>0</v>
      </c>
      <c r="Q2121">
        <v>0</v>
      </c>
      <c r="R2121" t="s">
        <v>45097</v>
      </c>
      <c r="S2121" t="s">
        <v>45222</v>
      </c>
      <c r="T2121" t="s">
        <v>46913</v>
      </c>
      <c r="U2121" t="s">
        <v>49281</v>
      </c>
      <c r="W2121" t="s">
        <v>42144</v>
      </c>
      <c r="X2121" t="s">
        <v>45098</v>
      </c>
    </row>
    <row r="2122" spans="1:24">
      <c r="A2122">
        <f>HYPERLINK("https://www.philgeps.gov.ph/GEPSNONPILOT/Tender/SplashBidNoticeAbstractUI.aspx?menuIndex=3&amp;refID=7046763&amp;Result=3","7046763")</f>
        <v>0</v>
      </c>
      <c r="B2122" t="s">
        <v>843</v>
      </c>
      <c r="C2122" t="s">
        <v>5236</v>
      </c>
      <c r="D2122" t="s">
        <v>18030</v>
      </c>
      <c r="E2122" t="s">
        <v>19368</v>
      </c>
      <c r="F2122" t="s">
        <v>31574</v>
      </c>
      <c r="G2122" t="s">
        <v>31581</v>
      </c>
      <c r="H2122" t="s">
        <v>31590</v>
      </c>
      <c r="I2122" t="s">
        <v>31595</v>
      </c>
      <c r="J2122" t="s">
        <v>33235</v>
      </c>
      <c r="K2122" t="s">
        <v>41211</v>
      </c>
      <c r="M2122" t="s">
        <v>42362</v>
      </c>
      <c r="N2122" t="s">
        <v>45095</v>
      </c>
      <c r="O2122" t="s">
        <v>45096</v>
      </c>
      <c r="P2122">
        <v>0</v>
      </c>
      <c r="Q2122">
        <v>0</v>
      </c>
      <c r="R2122" t="s">
        <v>45097</v>
      </c>
      <c r="S2122" t="s">
        <v>45222</v>
      </c>
      <c r="T2122" t="s">
        <v>46946</v>
      </c>
      <c r="U2122" t="s">
        <v>49282</v>
      </c>
      <c r="W2122" t="s">
        <v>42362</v>
      </c>
      <c r="X2122" t="s">
        <v>45098</v>
      </c>
    </row>
    <row r="2123" spans="1:24">
      <c r="A2123">
        <f>HYPERLINK("https://www.philgeps.gov.ph/GEPSNONPILOT/Tender/SplashBidNoticeAbstractUI.aspx?menuIndex=3&amp;refID=7046753&amp;Result=3","7046753")</f>
        <v>0</v>
      </c>
      <c r="B2123" t="s">
        <v>844</v>
      </c>
      <c r="C2123" t="s">
        <v>5237</v>
      </c>
      <c r="D2123" t="s">
        <v>18089</v>
      </c>
      <c r="E2123" t="s">
        <v>20043</v>
      </c>
      <c r="F2123" t="s">
        <v>31574</v>
      </c>
      <c r="G2123" t="s">
        <v>31582</v>
      </c>
      <c r="H2123" t="s">
        <v>31590</v>
      </c>
      <c r="I2123" t="s">
        <v>31608</v>
      </c>
      <c r="J2123" t="s">
        <v>33236</v>
      </c>
      <c r="K2123" t="s">
        <v>41213</v>
      </c>
      <c r="M2123" t="s">
        <v>42363</v>
      </c>
      <c r="N2123" t="s">
        <v>45095</v>
      </c>
      <c r="O2123" t="s">
        <v>45096</v>
      </c>
      <c r="P2123">
        <v>0</v>
      </c>
      <c r="Q2123">
        <v>0</v>
      </c>
      <c r="R2123" t="s">
        <v>45097</v>
      </c>
      <c r="S2123" t="s">
        <v>45222</v>
      </c>
      <c r="T2123" t="s">
        <v>46905</v>
      </c>
      <c r="U2123" t="s">
        <v>49283</v>
      </c>
      <c r="W2123" t="s">
        <v>42363</v>
      </c>
      <c r="X2123" t="s">
        <v>45098</v>
      </c>
    </row>
    <row r="2124" spans="1:24">
      <c r="A2124">
        <f>HYPERLINK("https://www.philgeps.gov.ph/GEPSNONPILOT/Tender/SplashBidNoticeAbstractUI.aspx?menuIndex=3&amp;refID=7046759&amp;Result=3","7046759")</f>
        <v>0</v>
      </c>
      <c r="B2124" t="s">
        <v>822</v>
      </c>
      <c r="C2124" t="s">
        <v>5238</v>
      </c>
      <c r="D2124" t="s">
        <v>18022</v>
      </c>
      <c r="E2124" t="s">
        <v>19938</v>
      </c>
      <c r="F2124" t="s">
        <v>31574</v>
      </c>
      <c r="G2124" t="s">
        <v>31581</v>
      </c>
      <c r="H2124" t="s">
        <v>31590</v>
      </c>
      <c r="I2124" t="s">
        <v>31594</v>
      </c>
      <c r="J2124" t="s">
        <v>31789</v>
      </c>
      <c r="K2124" t="s">
        <v>41193</v>
      </c>
      <c r="M2124" t="s">
        <v>42341</v>
      </c>
      <c r="N2124" t="s">
        <v>45095</v>
      </c>
      <c r="O2124" t="s">
        <v>45096</v>
      </c>
      <c r="P2124">
        <v>0</v>
      </c>
      <c r="Q2124">
        <v>0</v>
      </c>
      <c r="R2124" t="s">
        <v>45097</v>
      </c>
      <c r="S2124" t="s">
        <v>45222</v>
      </c>
      <c r="T2124" t="s">
        <v>46904</v>
      </c>
      <c r="U2124" t="s">
        <v>49284</v>
      </c>
      <c r="W2124" t="s">
        <v>42341</v>
      </c>
      <c r="X2124" t="s">
        <v>45098</v>
      </c>
    </row>
    <row r="2125" spans="1:24">
      <c r="A2125">
        <f>HYPERLINK("https://www.philgeps.gov.ph/GEPSNONPILOT/Tender/SplashBidNoticeAbstractUI.aspx?menuIndex=3&amp;refID=7046766&amp;Result=3","7046766")</f>
        <v>0</v>
      </c>
      <c r="B2125" t="s">
        <v>845</v>
      </c>
      <c r="C2125" t="s">
        <v>5239</v>
      </c>
      <c r="D2125" t="s">
        <v>18037</v>
      </c>
      <c r="E2125" t="s">
        <v>20044</v>
      </c>
      <c r="F2125" t="s">
        <v>31574</v>
      </c>
      <c r="G2125" t="s">
        <v>31582</v>
      </c>
      <c r="H2125" t="s">
        <v>31590</v>
      </c>
      <c r="I2125" t="s">
        <v>4046</v>
      </c>
      <c r="J2125" t="s">
        <v>33237</v>
      </c>
      <c r="K2125" t="s">
        <v>41184</v>
      </c>
      <c r="L2125" t="s">
        <v>845</v>
      </c>
      <c r="M2125" t="s">
        <v>42364</v>
      </c>
      <c r="N2125" t="s">
        <v>45095</v>
      </c>
      <c r="O2125" t="s">
        <v>45096</v>
      </c>
      <c r="P2125">
        <v>0</v>
      </c>
      <c r="Q2125">
        <v>0</v>
      </c>
      <c r="R2125" t="s">
        <v>45097</v>
      </c>
      <c r="S2125" t="s">
        <v>45222</v>
      </c>
      <c r="T2125" t="s">
        <v>47024</v>
      </c>
      <c r="U2125" t="s">
        <v>49285</v>
      </c>
      <c r="W2125" t="s">
        <v>42364</v>
      </c>
      <c r="X2125" t="s">
        <v>45098</v>
      </c>
    </row>
    <row r="2126" spans="1:24">
      <c r="A2126">
        <f>HYPERLINK("https://www.philgeps.gov.ph/GEPSNONPILOT/Tender/SplashBidNoticeAbstractUI.aspx?menuIndex=3&amp;refID=7046757&amp;Result=3","7046757")</f>
        <v>0</v>
      </c>
      <c r="B2126" t="s">
        <v>836</v>
      </c>
      <c r="C2126" t="s">
        <v>5240</v>
      </c>
      <c r="D2126" t="s">
        <v>18096</v>
      </c>
      <c r="E2126" t="s">
        <v>20030</v>
      </c>
      <c r="F2126" t="s">
        <v>31574</v>
      </c>
      <c r="G2126" t="s">
        <v>31582</v>
      </c>
      <c r="H2126" t="s">
        <v>31590</v>
      </c>
      <c r="I2126" t="s">
        <v>4354</v>
      </c>
      <c r="J2126" t="s">
        <v>33238</v>
      </c>
      <c r="K2126" t="s">
        <v>41184</v>
      </c>
      <c r="M2126" t="s">
        <v>42355</v>
      </c>
      <c r="N2126" t="s">
        <v>45095</v>
      </c>
      <c r="O2126" t="s">
        <v>45096</v>
      </c>
      <c r="P2126">
        <v>0</v>
      </c>
      <c r="Q2126">
        <v>0</v>
      </c>
      <c r="R2126" t="s">
        <v>45097</v>
      </c>
      <c r="S2126" t="s">
        <v>45222</v>
      </c>
      <c r="T2126" t="s">
        <v>46938</v>
      </c>
      <c r="U2126" t="s">
        <v>49286</v>
      </c>
      <c r="W2126" t="s">
        <v>61680</v>
      </c>
      <c r="X2126" t="s">
        <v>45098</v>
      </c>
    </row>
    <row r="2127" spans="1:24">
      <c r="A2127">
        <f>HYPERLINK("https://www.philgeps.gov.ph/GEPSNONPILOT/Tender/SplashBidNoticeAbstractUI.aspx?menuIndex=3&amp;refID=7046761&amp;Result=3","7046761")</f>
        <v>0</v>
      </c>
      <c r="B2127" t="s">
        <v>805</v>
      </c>
      <c r="C2127" t="s">
        <v>5241</v>
      </c>
      <c r="D2127" t="s">
        <v>18039</v>
      </c>
      <c r="E2127" t="s">
        <v>20045</v>
      </c>
      <c r="F2127" t="s">
        <v>31574</v>
      </c>
      <c r="G2127" t="s">
        <v>31581</v>
      </c>
      <c r="H2127" t="s">
        <v>31590</v>
      </c>
      <c r="I2127" t="s">
        <v>4327</v>
      </c>
      <c r="J2127" t="s">
        <v>32017</v>
      </c>
      <c r="K2127" t="s">
        <v>41196</v>
      </c>
      <c r="M2127" t="s">
        <v>42320</v>
      </c>
      <c r="N2127" t="s">
        <v>45095</v>
      </c>
      <c r="O2127" t="s">
        <v>45096</v>
      </c>
      <c r="P2127">
        <v>0</v>
      </c>
      <c r="Q2127">
        <v>0</v>
      </c>
      <c r="R2127" t="s">
        <v>45097</v>
      </c>
      <c r="S2127" t="s">
        <v>45222</v>
      </c>
      <c r="T2127" t="s">
        <v>46904</v>
      </c>
      <c r="U2127" t="s">
        <v>49287</v>
      </c>
      <c r="W2127" t="s">
        <v>42320</v>
      </c>
      <c r="X2127" t="s">
        <v>45098</v>
      </c>
    </row>
    <row r="2128" spans="1:24">
      <c r="A2128">
        <f>HYPERLINK("https://www.philgeps.gov.ph/GEPSNONPILOT/Tender/SplashBidNoticeAbstractUI.aspx?menuIndex=3&amp;refID=7046762&amp;Result=3","7046762")</f>
        <v>0</v>
      </c>
      <c r="B2128" t="s">
        <v>822</v>
      </c>
      <c r="C2128" t="s">
        <v>5242</v>
      </c>
      <c r="D2128" t="s">
        <v>18022</v>
      </c>
      <c r="E2128" t="s">
        <v>19959</v>
      </c>
      <c r="F2128" t="s">
        <v>31574</v>
      </c>
      <c r="G2128" t="s">
        <v>31581</v>
      </c>
      <c r="H2128" t="s">
        <v>31590</v>
      </c>
      <c r="I2128" t="s">
        <v>31594</v>
      </c>
      <c r="J2128" t="s">
        <v>31843</v>
      </c>
      <c r="K2128" t="s">
        <v>41193</v>
      </c>
      <c r="M2128" t="s">
        <v>42341</v>
      </c>
      <c r="N2128" t="s">
        <v>45095</v>
      </c>
      <c r="O2128" t="s">
        <v>45096</v>
      </c>
      <c r="P2128">
        <v>0</v>
      </c>
      <c r="Q2128">
        <v>0</v>
      </c>
      <c r="R2128" t="s">
        <v>45097</v>
      </c>
      <c r="S2128" t="s">
        <v>45222</v>
      </c>
      <c r="T2128" t="s">
        <v>46904</v>
      </c>
      <c r="U2128" t="s">
        <v>49288</v>
      </c>
      <c r="W2128" t="s">
        <v>42341</v>
      </c>
      <c r="X2128" t="s">
        <v>45098</v>
      </c>
    </row>
    <row r="2129" spans="1:24">
      <c r="A2129">
        <f>HYPERLINK("https://www.philgeps.gov.ph/GEPSNONPILOT/Tender/SplashBidNoticeAbstractUI.aspx?menuIndex=3&amp;refID=7046758&amp;Result=3","7046758")</f>
        <v>0</v>
      </c>
      <c r="B2129" t="s">
        <v>841</v>
      </c>
      <c r="C2129" t="s">
        <v>5243</v>
      </c>
      <c r="D2129" t="s">
        <v>18101</v>
      </c>
      <c r="E2129" t="s">
        <v>20046</v>
      </c>
      <c r="F2129" t="s">
        <v>31574</v>
      </c>
      <c r="G2129" t="s">
        <v>31582</v>
      </c>
      <c r="H2129" t="s">
        <v>31590</v>
      </c>
      <c r="I2129" t="s">
        <v>14544</v>
      </c>
      <c r="J2129" t="s">
        <v>33239</v>
      </c>
      <c r="K2129" t="s">
        <v>41186</v>
      </c>
      <c r="M2129" t="s">
        <v>42360</v>
      </c>
      <c r="N2129" t="s">
        <v>45095</v>
      </c>
      <c r="O2129" t="s">
        <v>45096</v>
      </c>
      <c r="P2129">
        <v>0</v>
      </c>
      <c r="Q2129">
        <v>0</v>
      </c>
      <c r="R2129" t="s">
        <v>45097</v>
      </c>
      <c r="S2129" t="s">
        <v>45222</v>
      </c>
      <c r="T2129" t="s">
        <v>46938</v>
      </c>
      <c r="U2129" t="s">
        <v>49289</v>
      </c>
      <c r="W2129" t="s">
        <v>42360</v>
      </c>
      <c r="X2129" t="s">
        <v>45098</v>
      </c>
    </row>
    <row r="2130" spans="1:24">
      <c r="A2130">
        <f>HYPERLINK("https://www.philgeps.gov.ph/GEPSNONPILOT/Tender/SplashBidNoticeAbstractUI.aspx?menuIndex=3&amp;refID=7046760&amp;Result=3","7046760")</f>
        <v>0</v>
      </c>
      <c r="B2130" t="s">
        <v>189</v>
      </c>
      <c r="C2130" t="s">
        <v>5244</v>
      </c>
      <c r="D2130" t="s">
        <v>18081</v>
      </c>
      <c r="E2130" t="s">
        <v>20047</v>
      </c>
      <c r="F2130" t="s">
        <v>31574</v>
      </c>
      <c r="G2130" t="s">
        <v>31581</v>
      </c>
      <c r="H2130" t="s">
        <v>31590</v>
      </c>
      <c r="I2130" t="s">
        <v>4046</v>
      </c>
      <c r="J2130" t="s">
        <v>33240</v>
      </c>
      <c r="K2130" t="s">
        <v>41196</v>
      </c>
      <c r="M2130" t="s">
        <v>41674</v>
      </c>
      <c r="N2130" t="s">
        <v>45095</v>
      </c>
      <c r="O2130" t="s">
        <v>45096</v>
      </c>
      <c r="P2130">
        <v>0</v>
      </c>
      <c r="Q2130">
        <v>0</v>
      </c>
      <c r="R2130" t="s">
        <v>45097</v>
      </c>
      <c r="S2130" t="s">
        <v>45222</v>
      </c>
      <c r="T2130" t="s">
        <v>47039</v>
      </c>
      <c r="U2130" t="s">
        <v>49290</v>
      </c>
      <c r="W2130" t="s">
        <v>41674</v>
      </c>
      <c r="X2130" t="s">
        <v>45098</v>
      </c>
    </row>
    <row r="2131" spans="1:24">
      <c r="A2131">
        <f>HYPERLINK("https://www.philgeps.gov.ph/GEPSNONPILOT/Tender/SplashBidNoticeAbstractUI.aspx?menuIndex=3&amp;refID=7046764&amp;Result=3","7046764")</f>
        <v>0</v>
      </c>
      <c r="B2131" t="s">
        <v>72</v>
      </c>
      <c r="C2131" t="s">
        <v>5245</v>
      </c>
      <c r="D2131" t="s">
        <v>18029</v>
      </c>
      <c r="E2131" t="s">
        <v>18380</v>
      </c>
      <c r="F2131" t="s">
        <v>31574</v>
      </c>
      <c r="G2131" t="s">
        <v>31581</v>
      </c>
      <c r="H2131" t="s">
        <v>31590</v>
      </c>
      <c r="I2131" t="s">
        <v>3487</v>
      </c>
      <c r="J2131" t="s">
        <v>31789</v>
      </c>
      <c r="K2131" t="s">
        <v>41186</v>
      </c>
      <c r="M2131" t="s">
        <v>41556</v>
      </c>
      <c r="N2131" t="s">
        <v>45095</v>
      </c>
      <c r="O2131" t="s">
        <v>45096</v>
      </c>
      <c r="P2131">
        <v>0</v>
      </c>
      <c r="Q2131">
        <v>0</v>
      </c>
      <c r="R2131" t="s">
        <v>45097</v>
      </c>
      <c r="S2131" t="s">
        <v>45222</v>
      </c>
      <c r="T2131" t="s">
        <v>46989</v>
      </c>
      <c r="U2131" t="s">
        <v>49291</v>
      </c>
      <c r="W2131" t="s">
        <v>41556</v>
      </c>
      <c r="X2131" t="s">
        <v>45098</v>
      </c>
    </row>
    <row r="2132" spans="1:24">
      <c r="A2132">
        <f>HYPERLINK("https://www.philgeps.gov.ph/GEPSNONPILOT/Tender/SplashBidNoticeAbstractUI.aspx?menuIndex=3&amp;refID=7046772&amp;Result=3","7046772")</f>
        <v>0</v>
      </c>
      <c r="B2132" t="s">
        <v>846</v>
      </c>
      <c r="C2132" t="s">
        <v>5246</v>
      </c>
      <c r="D2132" t="s">
        <v>18099</v>
      </c>
      <c r="E2132" t="s">
        <v>20048</v>
      </c>
      <c r="F2132" t="s">
        <v>31574</v>
      </c>
      <c r="G2132" t="s">
        <v>31582</v>
      </c>
      <c r="H2132" t="s">
        <v>31590</v>
      </c>
      <c r="I2132" t="s">
        <v>3489</v>
      </c>
      <c r="J2132" t="s">
        <v>33241</v>
      </c>
      <c r="K2132" t="s">
        <v>41211</v>
      </c>
      <c r="M2132" t="s">
        <v>42365</v>
      </c>
      <c r="N2132" t="s">
        <v>45095</v>
      </c>
      <c r="O2132" t="s">
        <v>45096</v>
      </c>
      <c r="P2132">
        <v>0</v>
      </c>
      <c r="Q2132">
        <v>0</v>
      </c>
      <c r="R2132" t="s">
        <v>45097</v>
      </c>
      <c r="S2132" t="s">
        <v>45222</v>
      </c>
      <c r="T2132" t="s">
        <v>46914</v>
      </c>
      <c r="U2132" t="s">
        <v>49292</v>
      </c>
      <c r="V2132" t="s">
        <v>60057</v>
      </c>
      <c r="W2132" t="s">
        <v>42365</v>
      </c>
      <c r="X2132" t="s">
        <v>45098</v>
      </c>
    </row>
    <row r="2133" spans="1:24">
      <c r="A2133">
        <f>HYPERLINK("https://www.philgeps.gov.ph/GEPSNONPILOT/Tender/SplashBidNoticeAbstractUI.aspx?menuIndex=3&amp;refID=7046755&amp;Result=3","7046755")</f>
        <v>0</v>
      </c>
      <c r="B2133" t="s">
        <v>45</v>
      </c>
      <c r="C2133" t="s">
        <v>5247</v>
      </c>
      <c r="D2133" t="s">
        <v>18037</v>
      </c>
      <c r="E2133" t="s">
        <v>20049</v>
      </c>
      <c r="F2133" t="s">
        <v>31574</v>
      </c>
      <c r="G2133" t="s">
        <v>31581</v>
      </c>
      <c r="H2133" t="s">
        <v>31590</v>
      </c>
      <c r="I2133" t="s">
        <v>31595</v>
      </c>
      <c r="J2133" t="s">
        <v>33242</v>
      </c>
      <c r="K2133" t="s">
        <v>41186</v>
      </c>
      <c r="M2133" t="s">
        <v>41528</v>
      </c>
      <c r="N2133" t="s">
        <v>45095</v>
      </c>
      <c r="O2133" t="s">
        <v>45096</v>
      </c>
      <c r="P2133">
        <v>0</v>
      </c>
      <c r="Q2133">
        <v>0</v>
      </c>
      <c r="R2133" t="s">
        <v>45097</v>
      </c>
      <c r="S2133" t="s">
        <v>45222</v>
      </c>
      <c r="T2133" t="s">
        <v>46918</v>
      </c>
      <c r="U2133" t="s">
        <v>48958</v>
      </c>
      <c r="W2133" t="s">
        <v>41528</v>
      </c>
      <c r="X2133" t="s">
        <v>45098</v>
      </c>
    </row>
    <row r="2134" spans="1:24">
      <c r="A2134">
        <f>HYPERLINK("https://www.philgeps.gov.ph/GEPSNONPILOT/Tender/SplashBidNoticeAbstractUI.aspx?menuIndex=3&amp;refID=7046756&amp;Result=3","7046756")</f>
        <v>0</v>
      </c>
      <c r="B2134" t="s">
        <v>50</v>
      </c>
      <c r="C2134" t="s">
        <v>5248</v>
      </c>
      <c r="D2134" t="s">
        <v>18042</v>
      </c>
      <c r="E2134" t="s">
        <v>20050</v>
      </c>
      <c r="F2134" t="s">
        <v>31574</v>
      </c>
      <c r="G2134" t="s">
        <v>31582</v>
      </c>
      <c r="H2134" t="s">
        <v>31590</v>
      </c>
      <c r="I2134" t="s">
        <v>3651</v>
      </c>
      <c r="J2134" t="s">
        <v>32019</v>
      </c>
      <c r="K2134" t="s">
        <v>41186</v>
      </c>
      <c r="M2134" t="s">
        <v>41533</v>
      </c>
      <c r="N2134" t="s">
        <v>45095</v>
      </c>
      <c r="O2134" t="s">
        <v>45096</v>
      </c>
      <c r="P2134">
        <v>0</v>
      </c>
      <c r="Q2134">
        <v>0</v>
      </c>
      <c r="R2134" t="s">
        <v>45097</v>
      </c>
      <c r="S2134" t="s">
        <v>45222</v>
      </c>
      <c r="T2134" t="s">
        <v>46916</v>
      </c>
      <c r="U2134" t="s">
        <v>49293</v>
      </c>
      <c r="W2134" t="s">
        <v>41533</v>
      </c>
      <c r="X2134" t="s">
        <v>45098</v>
      </c>
    </row>
    <row r="2135" spans="1:24">
      <c r="A2135">
        <f>HYPERLINK("https://www.philgeps.gov.ph/GEPSNONPILOT/Tender/SplashBidNoticeAbstractUI.aspx?menuIndex=3&amp;refID=7046769&amp;Result=3","7046769")</f>
        <v>0</v>
      </c>
      <c r="B2135" t="s">
        <v>847</v>
      </c>
      <c r="C2135" t="s">
        <v>5249</v>
      </c>
      <c r="D2135" t="s">
        <v>18053</v>
      </c>
      <c r="E2135" t="s">
        <v>20051</v>
      </c>
      <c r="F2135" t="s">
        <v>31574</v>
      </c>
      <c r="G2135" t="s">
        <v>31583</v>
      </c>
      <c r="H2135" t="s">
        <v>31590</v>
      </c>
      <c r="I2135" t="s">
        <v>31629</v>
      </c>
      <c r="J2135" t="s">
        <v>33243</v>
      </c>
      <c r="K2135" t="s">
        <v>41213</v>
      </c>
      <c r="M2135" t="s">
        <v>42366</v>
      </c>
      <c r="N2135" t="s">
        <v>45095</v>
      </c>
      <c r="O2135" t="s">
        <v>45096</v>
      </c>
      <c r="P2135">
        <v>0</v>
      </c>
      <c r="Q2135">
        <v>0</v>
      </c>
      <c r="R2135" t="s">
        <v>45097</v>
      </c>
      <c r="S2135" t="s">
        <v>45222</v>
      </c>
      <c r="T2135" t="s">
        <v>46934</v>
      </c>
      <c r="U2135" t="s">
        <v>49294</v>
      </c>
      <c r="V2135" t="s">
        <v>60058</v>
      </c>
      <c r="W2135" t="s">
        <v>42366</v>
      </c>
      <c r="X2135" t="s">
        <v>45098</v>
      </c>
    </row>
    <row r="2136" spans="1:24">
      <c r="A2136">
        <f>HYPERLINK("https://www.philgeps.gov.ph/GEPSNONPILOT/Tender/SplashBidNoticeAbstractUI.aspx?menuIndex=3&amp;refID=7046770&amp;Result=3","7046770")</f>
        <v>0</v>
      </c>
      <c r="B2136" t="s">
        <v>835</v>
      </c>
      <c r="C2136" t="s">
        <v>4327</v>
      </c>
      <c r="D2136" t="s">
        <v>18030</v>
      </c>
      <c r="E2136" t="s">
        <v>20052</v>
      </c>
      <c r="F2136" t="s">
        <v>31574</v>
      </c>
      <c r="G2136" t="s">
        <v>31583</v>
      </c>
      <c r="H2136" t="s">
        <v>31590</v>
      </c>
      <c r="I2136" t="s">
        <v>4327</v>
      </c>
      <c r="J2136" t="s">
        <v>32017</v>
      </c>
      <c r="K2136" t="s">
        <v>41211</v>
      </c>
      <c r="M2136" t="s">
        <v>42354</v>
      </c>
      <c r="N2136" t="s">
        <v>45095</v>
      </c>
      <c r="O2136" t="s">
        <v>45096</v>
      </c>
      <c r="P2136">
        <v>0</v>
      </c>
      <c r="Q2136">
        <v>0</v>
      </c>
      <c r="R2136" t="s">
        <v>45097</v>
      </c>
      <c r="S2136" t="s">
        <v>45222</v>
      </c>
      <c r="T2136" t="s">
        <v>46957</v>
      </c>
      <c r="U2136" t="s">
        <v>49295</v>
      </c>
      <c r="W2136" t="s">
        <v>42354</v>
      </c>
      <c r="X2136" t="s">
        <v>45098</v>
      </c>
    </row>
    <row r="2137" spans="1:24">
      <c r="A2137">
        <f>HYPERLINK("https://www.philgeps.gov.ph/GEPSNONPILOT/Tender/SplashBidNoticeAbstractUI.aspx?menuIndex=3&amp;refID=7046768&amp;Result=3","7046768")</f>
        <v>0</v>
      </c>
      <c r="B2137" t="s">
        <v>444</v>
      </c>
      <c r="C2137" t="s">
        <v>5250</v>
      </c>
      <c r="D2137" t="s">
        <v>18058</v>
      </c>
      <c r="E2137" t="s">
        <v>18722</v>
      </c>
      <c r="F2137" t="s">
        <v>31574</v>
      </c>
      <c r="G2137" t="s">
        <v>31582</v>
      </c>
      <c r="H2137" t="s">
        <v>31590</v>
      </c>
      <c r="I2137" t="s">
        <v>4046</v>
      </c>
      <c r="J2137" t="s">
        <v>33244</v>
      </c>
      <c r="K2137" t="s">
        <v>41186</v>
      </c>
      <c r="M2137" t="s">
        <v>41938</v>
      </c>
      <c r="N2137" t="s">
        <v>45095</v>
      </c>
      <c r="O2137" t="s">
        <v>45096</v>
      </c>
      <c r="P2137">
        <v>0</v>
      </c>
      <c r="Q2137">
        <v>0</v>
      </c>
      <c r="R2137" t="s">
        <v>45097</v>
      </c>
      <c r="S2137" t="s">
        <v>45222</v>
      </c>
      <c r="T2137" t="s">
        <v>46941</v>
      </c>
      <c r="U2137" t="s">
        <v>49296</v>
      </c>
      <c r="W2137" t="s">
        <v>41938</v>
      </c>
      <c r="X2137" t="s">
        <v>45098</v>
      </c>
    </row>
    <row r="2138" spans="1:24">
      <c r="A2138">
        <f>HYPERLINK("https://www.philgeps.gov.ph/GEPSNONPILOT/Tender/SplashBidNoticeAbstractUI.aspx?menuIndex=3&amp;refID=7046776&amp;Result=3","7046776")</f>
        <v>0</v>
      </c>
      <c r="B2138" t="s">
        <v>848</v>
      </c>
      <c r="C2138" t="s">
        <v>5251</v>
      </c>
      <c r="D2138" t="s">
        <v>18057</v>
      </c>
      <c r="E2138" t="s">
        <v>20053</v>
      </c>
      <c r="F2138" t="s">
        <v>31574</v>
      </c>
      <c r="G2138" t="s">
        <v>31581</v>
      </c>
      <c r="H2138" t="s">
        <v>31590</v>
      </c>
      <c r="I2138" t="s">
        <v>31599</v>
      </c>
      <c r="J2138" t="s">
        <v>33245</v>
      </c>
      <c r="K2138" t="s">
        <v>41190</v>
      </c>
      <c r="M2138" t="s">
        <v>42367</v>
      </c>
      <c r="N2138" t="s">
        <v>45095</v>
      </c>
      <c r="O2138" t="s">
        <v>45096</v>
      </c>
      <c r="P2138">
        <v>0</v>
      </c>
      <c r="Q2138">
        <v>0</v>
      </c>
      <c r="R2138" t="s">
        <v>45097</v>
      </c>
      <c r="S2138" t="s">
        <v>45222</v>
      </c>
      <c r="T2138" t="s">
        <v>46913</v>
      </c>
      <c r="U2138" t="s">
        <v>49297</v>
      </c>
      <c r="W2138" t="s">
        <v>61681</v>
      </c>
      <c r="X2138" t="s">
        <v>45098</v>
      </c>
    </row>
    <row r="2139" spans="1:24">
      <c r="A2139">
        <f>HYPERLINK("https://www.philgeps.gov.ph/GEPSNONPILOT/Tender/SplashBidNoticeAbstractUI.aspx?menuIndex=3&amp;refID=7046774&amp;Result=3","7046774")</f>
        <v>0</v>
      </c>
      <c r="B2139" t="s">
        <v>849</v>
      </c>
      <c r="C2139" t="s">
        <v>5252</v>
      </c>
      <c r="D2139" t="s">
        <v>18052</v>
      </c>
      <c r="E2139" t="s">
        <v>20054</v>
      </c>
      <c r="F2139" t="s">
        <v>31574</v>
      </c>
      <c r="G2139" t="s">
        <v>31582</v>
      </c>
      <c r="H2139" t="s">
        <v>31590</v>
      </c>
      <c r="I2139" t="s">
        <v>4327</v>
      </c>
      <c r="J2139" t="s">
        <v>33246</v>
      </c>
      <c r="K2139" t="s">
        <v>41193</v>
      </c>
      <c r="M2139" t="s">
        <v>42368</v>
      </c>
      <c r="N2139" t="s">
        <v>45095</v>
      </c>
      <c r="O2139" t="s">
        <v>45096</v>
      </c>
      <c r="P2139">
        <v>0</v>
      </c>
      <c r="Q2139">
        <v>0</v>
      </c>
      <c r="R2139" t="s">
        <v>45097</v>
      </c>
      <c r="S2139" t="s">
        <v>45222</v>
      </c>
      <c r="T2139" t="s">
        <v>46984</v>
      </c>
      <c r="U2139" t="s">
        <v>49298</v>
      </c>
      <c r="V2139" t="s">
        <v>60059</v>
      </c>
      <c r="W2139" t="s">
        <v>42368</v>
      </c>
      <c r="X2139" t="s">
        <v>45098</v>
      </c>
    </row>
    <row r="2140" spans="1:24">
      <c r="A2140">
        <f>HYPERLINK("https://www.philgeps.gov.ph/GEPSNONPILOT/Tender/SplashBidNoticeAbstractUI.aspx?menuIndex=3&amp;refID=7046775&amp;Result=3","7046775")</f>
        <v>0</v>
      </c>
      <c r="B2140" t="s">
        <v>50</v>
      </c>
      <c r="C2140" t="s">
        <v>5253</v>
      </c>
      <c r="D2140" t="s">
        <v>18042</v>
      </c>
      <c r="E2140" t="s">
        <v>20055</v>
      </c>
      <c r="F2140" t="s">
        <v>31574</v>
      </c>
      <c r="G2140" t="s">
        <v>31582</v>
      </c>
      <c r="H2140" t="s">
        <v>31590</v>
      </c>
      <c r="I2140" t="s">
        <v>31612</v>
      </c>
      <c r="J2140" t="s">
        <v>33247</v>
      </c>
      <c r="K2140" t="s">
        <v>41186</v>
      </c>
      <c r="M2140" t="s">
        <v>41533</v>
      </c>
      <c r="N2140" t="s">
        <v>45095</v>
      </c>
      <c r="O2140" t="s">
        <v>45096</v>
      </c>
      <c r="P2140">
        <v>0</v>
      </c>
      <c r="Q2140">
        <v>0</v>
      </c>
      <c r="R2140" t="s">
        <v>45097</v>
      </c>
      <c r="S2140" t="s">
        <v>45222</v>
      </c>
      <c r="T2140" t="s">
        <v>46916</v>
      </c>
      <c r="U2140" t="s">
        <v>49299</v>
      </c>
      <c r="W2140" t="s">
        <v>41533</v>
      </c>
      <c r="X2140" t="s">
        <v>45098</v>
      </c>
    </row>
    <row r="2141" spans="1:24">
      <c r="A2141">
        <f>HYPERLINK("https://www.philgeps.gov.ph/GEPSNONPILOT/Tender/SplashBidNoticeAbstractUI.aspx?menuIndex=3&amp;refID=7046777&amp;Result=3","7046777")</f>
        <v>0</v>
      </c>
      <c r="B2141" t="s">
        <v>839</v>
      </c>
      <c r="C2141" t="s">
        <v>5254</v>
      </c>
      <c r="D2141" t="s">
        <v>18084</v>
      </c>
      <c r="E2141" t="s">
        <v>20056</v>
      </c>
      <c r="F2141" t="s">
        <v>31574</v>
      </c>
      <c r="G2141" t="s">
        <v>31582</v>
      </c>
      <c r="H2141" t="s">
        <v>31590</v>
      </c>
      <c r="I2141" t="s">
        <v>31608</v>
      </c>
      <c r="J2141" t="s">
        <v>33248</v>
      </c>
      <c r="K2141" t="s">
        <v>41192</v>
      </c>
      <c r="M2141" t="s">
        <v>42358</v>
      </c>
      <c r="N2141" t="s">
        <v>45095</v>
      </c>
      <c r="O2141" t="s">
        <v>45096</v>
      </c>
      <c r="P2141">
        <v>0</v>
      </c>
      <c r="Q2141">
        <v>0</v>
      </c>
      <c r="R2141" t="s">
        <v>45097</v>
      </c>
      <c r="S2141" t="s">
        <v>45222</v>
      </c>
      <c r="T2141" t="s">
        <v>46924</v>
      </c>
      <c r="U2141" t="s">
        <v>49300</v>
      </c>
      <c r="W2141" t="s">
        <v>42358</v>
      </c>
      <c r="X2141" t="s">
        <v>45098</v>
      </c>
    </row>
    <row r="2142" spans="1:24">
      <c r="A2142">
        <f>HYPERLINK("https://www.philgeps.gov.ph/GEPSNONPILOT/Tender/SplashBidNoticeAbstractUI.aspx?menuIndex=3&amp;refID=7046767&amp;Result=3","7046767")</f>
        <v>0</v>
      </c>
      <c r="B2142" t="s">
        <v>50</v>
      </c>
      <c r="C2142" t="s">
        <v>5255</v>
      </c>
      <c r="D2142" t="s">
        <v>18042</v>
      </c>
      <c r="E2142" t="s">
        <v>20057</v>
      </c>
      <c r="F2142" t="s">
        <v>31574</v>
      </c>
      <c r="G2142" t="s">
        <v>31582</v>
      </c>
      <c r="H2142" t="s">
        <v>31590</v>
      </c>
      <c r="I2142" t="s">
        <v>14544</v>
      </c>
      <c r="J2142" t="s">
        <v>32650</v>
      </c>
      <c r="K2142" t="s">
        <v>41186</v>
      </c>
      <c r="M2142" t="s">
        <v>41533</v>
      </c>
      <c r="N2142" t="s">
        <v>45095</v>
      </c>
      <c r="O2142" t="s">
        <v>45096</v>
      </c>
      <c r="P2142">
        <v>0</v>
      </c>
      <c r="Q2142">
        <v>0</v>
      </c>
      <c r="R2142" t="s">
        <v>45097</v>
      </c>
      <c r="S2142" t="s">
        <v>45222</v>
      </c>
      <c r="T2142" t="s">
        <v>46916</v>
      </c>
      <c r="U2142" t="s">
        <v>49301</v>
      </c>
      <c r="W2142" t="s">
        <v>41533</v>
      </c>
      <c r="X2142" t="s">
        <v>45098</v>
      </c>
    </row>
    <row r="2143" spans="1:24">
      <c r="A2143">
        <f>HYPERLINK("https://www.philgeps.gov.ph/GEPSNONPILOT/Tender/SplashBidNoticeAbstractUI.aspx?menuIndex=3&amp;refID=7046782&amp;Result=3","7046782")</f>
        <v>0</v>
      </c>
      <c r="B2143" t="s">
        <v>850</v>
      </c>
      <c r="C2143" t="s">
        <v>5256</v>
      </c>
      <c r="D2143" t="s">
        <v>18030</v>
      </c>
      <c r="E2143" t="s">
        <v>19368</v>
      </c>
      <c r="F2143" t="s">
        <v>31574</v>
      </c>
      <c r="G2143" t="s">
        <v>31581</v>
      </c>
      <c r="H2143" t="s">
        <v>31590</v>
      </c>
      <c r="I2143" t="s">
        <v>31607</v>
      </c>
      <c r="J2143" t="s">
        <v>33249</v>
      </c>
      <c r="K2143" t="s">
        <v>41211</v>
      </c>
      <c r="M2143" t="s">
        <v>42369</v>
      </c>
      <c r="N2143" t="s">
        <v>45095</v>
      </c>
      <c r="O2143" t="s">
        <v>45096</v>
      </c>
      <c r="P2143">
        <v>0</v>
      </c>
      <c r="Q2143">
        <v>0</v>
      </c>
      <c r="R2143" t="s">
        <v>45097</v>
      </c>
      <c r="S2143" t="s">
        <v>45222</v>
      </c>
      <c r="T2143" t="s">
        <v>46946</v>
      </c>
      <c r="U2143" t="s">
        <v>49302</v>
      </c>
      <c r="W2143" t="s">
        <v>42369</v>
      </c>
      <c r="X2143" t="s">
        <v>45098</v>
      </c>
    </row>
    <row r="2144" spans="1:24">
      <c r="A2144">
        <f>HYPERLINK("https://www.philgeps.gov.ph/GEPSNONPILOT/Tender/SplashBidNoticeAbstractUI.aspx?menuIndex=3&amp;refID=7046779&amp;Result=3","7046779")</f>
        <v>0</v>
      </c>
      <c r="B2144" t="s">
        <v>834</v>
      </c>
      <c r="C2144" t="s">
        <v>5257</v>
      </c>
      <c r="D2144" t="s">
        <v>18052</v>
      </c>
      <c r="E2144" t="s">
        <v>20058</v>
      </c>
      <c r="F2144" t="s">
        <v>31574</v>
      </c>
      <c r="G2144" t="s">
        <v>31581</v>
      </c>
      <c r="H2144" t="s">
        <v>31590</v>
      </c>
      <c r="I2144" t="s">
        <v>31619</v>
      </c>
      <c r="J2144" t="s">
        <v>33250</v>
      </c>
      <c r="K2144" t="s">
        <v>41189</v>
      </c>
      <c r="M2144" t="s">
        <v>42353</v>
      </c>
      <c r="N2144" t="s">
        <v>45095</v>
      </c>
      <c r="O2144" t="s">
        <v>45096</v>
      </c>
      <c r="P2144">
        <v>0</v>
      </c>
      <c r="Q2144">
        <v>0</v>
      </c>
      <c r="R2144" t="s">
        <v>45097</v>
      </c>
      <c r="S2144" t="s">
        <v>45222</v>
      </c>
      <c r="T2144" t="s">
        <v>46918</v>
      </c>
      <c r="U2144" t="s">
        <v>49303</v>
      </c>
      <c r="W2144" t="s">
        <v>42353</v>
      </c>
      <c r="X2144" t="s">
        <v>45098</v>
      </c>
    </row>
    <row r="2145" spans="1:24">
      <c r="A2145">
        <f>HYPERLINK("https://www.philgeps.gov.ph/GEPSNONPILOT/Tender/SplashBidNoticeAbstractUI.aspx?menuIndex=3&amp;refID=7046778&amp;Result=3","7046778")</f>
        <v>0</v>
      </c>
      <c r="B2145" t="s">
        <v>851</v>
      </c>
      <c r="C2145" t="s">
        <v>5258</v>
      </c>
      <c r="D2145" t="s">
        <v>18045</v>
      </c>
      <c r="E2145" t="s">
        <v>20059</v>
      </c>
      <c r="F2145" t="s">
        <v>31574</v>
      </c>
      <c r="G2145" t="s">
        <v>31582</v>
      </c>
      <c r="H2145" t="s">
        <v>31591</v>
      </c>
      <c r="I2145" t="s">
        <v>8822</v>
      </c>
      <c r="J2145" t="s">
        <v>33251</v>
      </c>
      <c r="K2145" t="s">
        <v>41198</v>
      </c>
      <c r="M2145" t="s">
        <v>42370</v>
      </c>
      <c r="N2145" t="s">
        <v>45095</v>
      </c>
      <c r="O2145" t="s">
        <v>45096</v>
      </c>
      <c r="P2145">
        <v>0</v>
      </c>
      <c r="Q2145">
        <v>0</v>
      </c>
      <c r="R2145" t="s">
        <v>45097</v>
      </c>
      <c r="S2145" t="s">
        <v>45222</v>
      </c>
      <c r="T2145" t="s">
        <v>46909</v>
      </c>
      <c r="U2145" t="s">
        <v>49304</v>
      </c>
      <c r="W2145" t="s">
        <v>42370</v>
      </c>
      <c r="X2145" t="s">
        <v>45098</v>
      </c>
    </row>
    <row r="2146" spans="1:24">
      <c r="A2146">
        <f>HYPERLINK("https://www.philgeps.gov.ph/GEPSNONPILOT/Tender/SplashBidNoticeAbstractUI.aspx?menuIndex=3&amp;refID=7046783&amp;Result=3","7046783")</f>
        <v>0</v>
      </c>
      <c r="B2146" t="s">
        <v>50</v>
      </c>
      <c r="C2146" t="s">
        <v>5259</v>
      </c>
      <c r="D2146" t="s">
        <v>18042</v>
      </c>
      <c r="E2146" t="s">
        <v>20060</v>
      </c>
      <c r="F2146" t="s">
        <v>31574</v>
      </c>
      <c r="G2146" t="s">
        <v>31582</v>
      </c>
      <c r="H2146" t="s">
        <v>31590</v>
      </c>
      <c r="I2146" t="s">
        <v>31615</v>
      </c>
      <c r="J2146" t="s">
        <v>31819</v>
      </c>
      <c r="K2146" t="s">
        <v>41186</v>
      </c>
      <c r="M2146" t="s">
        <v>41533</v>
      </c>
      <c r="N2146" t="s">
        <v>45095</v>
      </c>
      <c r="O2146" t="s">
        <v>45096</v>
      </c>
      <c r="P2146">
        <v>0</v>
      </c>
      <c r="Q2146">
        <v>2</v>
      </c>
      <c r="R2146" t="s">
        <v>45097</v>
      </c>
      <c r="S2146" t="s">
        <v>45222</v>
      </c>
      <c r="T2146" t="s">
        <v>46916</v>
      </c>
      <c r="U2146" t="s">
        <v>49305</v>
      </c>
      <c r="W2146" t="s">
        <v>41533</v>
      </c>
      <c r="X2146" t="s">
        <v>45098</v>
      </c>
    </row>
    <row r="2147" spans="1:24">
      <c r="A2147">
        <f>HYPERLINK("https://www.philgeps.gov.ph/GEPSNONPILOT/Tender/SplashBidNoticeAbstractUI.aspx?menuIndex=3&amp;refID=7046781&amp;Result=3","7046781")</f>
        <v>0</v>
      </c>
      <c r="B2147" t="s">
        <v>848</v>
      </c>
      <c r="C2147" t="s">
        <v>5260</v>
      </c>
      <c r="D2147" t="s">
        <v>18057</v>
      </c>
      <c r="E2147" t="s">
        <v>20061</v>
      </c>
      <c r="F2147" t="s">
        <v>31574</v>
      </c>
      <c r="G2147" t="s">
        <v>31581</v>
      </c>
      <c r="H2147" t="s">
        <v>31590</v>
      </c>
      <c r="I2147" t="s">
        <v>31599</v>
      </c>
      <c r="J2147" t="s">
        <v>31753</v>
      </c>
      <c r="K2147" t="s">
        <v>41190</v>
      </c>
      <c r="M2147" t="s">
        <v>42367</v>
      </c>
      <c r="N2147" t="s">
        <v>45095</v>
      </c>
      <c r="O2147" t="s">
        <v>45096</v>
      </c>
      <c r="P2147">
        <v>0</v>
      </c>
      <c r="Q2147">
        <v>0</v>
      </c>
      <c r="R2147" t="s">
        <v>45097</v>
      </c>
      <c r="S2147" t="s">
        <v>45222</v>
      </c>
      <c r="T2147" t="s">
        <v>46913</v>
      </c>
      <c r="U2147" t="s">
        <v>49297</v>
      </c>
      <c r="W2147" t="s">
        <v>61681</v>
      </c>
      <c r="X2147" t="s">
        <v>45098</v>
      </c>
    </row>
    <row r="2148" spans="1:24">
      <c r="A2148">
        <f>HYPERLINK("https://www.philgeps.gov.ph/GEPSNONPILOT/Tender/SplashBidNoticeAbstractUI.aspx?menuIndex=3&amp;refID=7046792&amp;Result=3","7046792")</f>
        <v>0</v>
      </c>
      <c r="B2148" t="s">
        <v>852</v>
      </c>
      <c r="C2148" t="s">
        <v>5261</v>
      </c>
      <c r="D2148" t="s">
        <v>18051</v>
      </c>
      <c r="E2148" t="s">
        <v>20062</v>
      </c>
      <c r="F2148" t="s">
        <v>31574</v>
      </c>
      <c r="G2148" t="s">
        <v>31582</v>
      </c>
      <c r="H2148" t="s">
        <v>31591</v>
      </c>
      <c r="I2148" t="s">
        <v>8822</v>
      </c>
      <c r="J2148" t="s">
        <v>32945</v>
      </c>
      <c r="K2148" t="s">
        <v>41247</v>
      </c>
      <c r="M2148" t="s">
        <v>42371</v>
      </c>
      <c r="N2148" t="s">
        <v>45095</v>
      </c>
      <c r="O2148" t="s">
        <v>45096</v>
      </c>
      <c r="P2148">
        <v>0</v>
      </c>
      <c r="Q2148">
        <v>0</v>
      </c>
      <c r="R2148" t="s">
        <v>45097</v>
      </c>
      <c r="S2148" t="s">
        <v>45222</v>
      </c>
      <c r="T2148" t="s">
        <v>46915</v>
      </c>
      <c r="U2148" t="s">
        <v>49306</v>
      </c>
      <c r="V2148" t="s">
        <v>60060</v>
      </c>
      <c r="W2148" t="s">
        <v>42371</v>
      </c>
      <c r="X2148" t="s">
        <v>45098</v>
      </c>
    </row>
    <row r="2149" spans="1:24">
      <c r="A2149">
        <f>HYPERLINK("https://www.philgeps.gov.ph/GEPSNONPILOT/Tender/SplashBidNoticeAbstractUI.aspx?menuIndex=3&amp;refID=7046795&amp;Result=3","7046795")</f>
        <v>0</v>
      </c>
      <c r="B2149" t="s">
        <v>848</v>
      </c>
      <c r="C2149" t="s">
        <v>5262</v>
      </c>
      <c r="D2149" t="s">
        <v>18093</v>
      </c>
      <c r="E2149" t="s">
        <v>20063</v>
      </c>
      <c r="F2149" t="s">
        <v>31574</v>
      </c>
      <c r="G2149" t="s">
        <v>31581</v>
      </c>
      <c r="H2149" t="s">
        <v>31590</v>
      </c>
      <c r="I2149" t="s">
        <v>31625</v>
      </c>
      <c r="J2149" t="s">
        <v>31728</v>
      </c>
      <c r="K2149" t="s">
        <v>41190</v>
      </c>
      <c r="M2149" t="s">
        <v>42367</v>
      </c>
      <c r="N2149" t="s">
        <v>45095</v>
      </c>
      <c r="O2149" t="s">
        <v>45096</v>
      </c>
      <c r="P2149">
        <v>0</v>
      </c>
      <c r="Q2149">
        <v>0</v>
      </c>
      <c r="R2149" t="s">
        <v>45097</v>
      </c>
      <c r="S2149" t="s">
        <v>45222</v>
      </c>
      <c r="T2149" t="s">
        <v>46913</v>
      </c>
      <c r="U2149" t="s">
        <v>49297</v>
      </c>
      <c r="W2149" t="s">
        <v>61681</v>
      </c>
      <c r="X2149" t="s">
        <v>45098</v>
      </c>
    </row>
    <row r="2150" spans="1:24">
      <c r="A2150">
        <f>HYPERLINK("https://www.philgeps.gov.ph/GEPSNONPILOT/Tender/SplashBidNoticeAbstractUI.aspx?menuIndex=3&amp;refID=7046794&amp;Result=3","7046794")</f>
        <v>0</v>
      </c>
      <c r="B2150" t="s">
        <v>851</v>
      </c>
      <c r="C2150" t="s">
        <v>5263</v>
      </c>
      <c r="D2150" t="s">
        <v>18045</v>
      </c>
      <c r="E2150" t="s">
        <v>20064</v>
      </c>
      <c r="F2150" t="s">
        <v>31574</v>
      </c>
      <c r="G2150" t="s">
        <v>31582</v>
      </c>
      <c r="H2150" t="s">
        <v>31591</v>
      </c>
      <c r="I2150" t="s">
        <v>8822</v>
      </c>
      <c r="J2150" t="s">
        <v>33252</v>
      </c>
      <c r="K2150" t="s">
        <v>41200</v>
      </c>
      <c r="M2150" t="s">
        <v>42370</v>
      </c>
      <c r="N2150" t="s">
        <v>45095</v>
      </c>
      <c r="O2150" t="s">
        <v>45096</v>
      </c>
      <c r="P2150">
        <v>0</v>
      </c>
      <c r="Q2150">
        <v>0</v>
      </c>
      <c r="R2150" t="s">
        <v>45097</v>
      </c>
      <c r="S2150" t="s">
        <v>45222</v>
      </c>
      <c r="T2150" t="s">
        <v>46909</v>
      </c>
      <c r="U2150" t="s">
        <v>49304</v>
      </c>
      <c r="W2150" t="s">
        <v>42370</v>
      </c>
      <c r="X2150" t="s">
        <v>45098</v>
      </c>
    </row>
    <row r="2151" spans="1:24">
      <c r="A2151">
        <f>HYPERLINK("https://www.philgeps.gov.ph/GEPSNONPILOT/Tender/SplashBidNoticeAbstractUI.aspx?menuIndex=3&amp;refID=7046798&amp;Result=3","7046798")</f>
        <v>0</v>
      </c>
      <c r="B2151" t="s">
        <v>594</v>
      </c>
      <c r="C2151" t="s">
        <v>5264</v>
      </c>
      <c r="D2151" t="s">
        <v>18022</v>
      </c>
      <c r="E2151" t="s">
        <v>20065</v>
      </c>
      <c r="F2151" t="s">
        <v>31574</v>
      </c>
      <c r="G2151" t="s">
        <v>31581</v>
      </c>
      <c r="H2151" t="s">
        <v>31590</v>
      </c>
      <c r="I2151" t="s">
        <v>6800</v>
      </c>
      <c r="J2151" t="s">
        <v>33253</v>
      </c>
      <c r="K2151" t="s">
        <v>41186</v>
      </c>
      <c r="M2151" t="s">
        <v>42372</v>
      </c>
      <c r="N2151" t="s">
        <v>45095</v>
      </c>
      <c r="O2151" t="s">
        <v>45096</v>
      </c>
      <c r="P2151">
        <v>0</v>
      </c>
      <c r="Q2151">
        <v>0</v>
      </c>
      <c r="R2151" t="s">
        <v>45097</v>
      </c>
      <c r="S2151" t="s">
        <v>45222</v>
      </c>
      <c r="T2151" t="s">
        <v>46905</v>
      </c>
      <c r="U2151" t="s">
        <v>49307</v>
      </c>
      <c r="W2151" t="s">
        <v>42372</v>
      </c>
      <c r="X2151" t="s">
        <v>45098</v>
      </c>
    </row>
    <row r="2152" spans="1:24">
      <c r="A2152">
        <f>HYPERLINK("https://www.philgeps.gov.ph/GEPSNONPILOT/Tender/SplashBidNoticeAbstractUI.aspx?menuIndex=3&amp;refID=7046796&amp;Result=3","7046796")</f>
        <v>0</v>
      </c>
      <c r="B2152" t="s">
        <v>50</v>
      </c>
      <c r="C2152" t="s">
        <v>5265</v>
      </c>
      <c r="D2152" t="s">
        <v>18042</v>
      </c>
      <c r="E2152" t="s">
        <v>20066</v>
      </c>
      <c r="F2152" t="s">
        <v>31574</v>
      </c>
      <c r="G2152" t="s">
        <v>31582</v>
      </c>
      <c r="H2152" t="s">
        <v>31590</v>
      </c>
      <c r="I2152" t="s">
        <v>31617</v>
      </c>
      <c r="J2152" t="s">
        <v>33254</v>
      </c>
      <c r="K2152" t="s">
        <v>41186</v>
      </c>
      <c r="M2152" t="s">
        <v>41533</v>
      </c>
      <c r="N2152" t="s">
        <v>45095</v>
      </c>
      <c r="O2152" t="s">
        <v>45096</v>
      </c>
      <c r="P2152">
        <v>0</v>
      </c>
      <c r="Q2152">
        <v>0</v>
      </c>
      <c r="R2152" t="s">
        <v>45097</v>
      </c>
      <c r="S2152" t="s">
        <v>45222</v>
      </c>
      <c r="T2152" t="s">
        <v>46916</v>
      </c>
      <c r="U2152" t="s">
        <v>49308</v>
      </c>
      <c r="W2152" t="s">
        <v>41533</v>
      </c>
      <c r="X2152" t="s">
        <v>45098</v>
      </c>
    </row>
    <row r="2153" spans="1:24">
      <c r="A2153">
        <f>HYPERLINK("https://www.philgeps.gov.ph/GEPSNONPILOT/Tender/SplashBidNoticeAbstractUI.aspx?menuIndex=3&amp;refID=7046789&amp;Result=3","7046789")</f>
        <v>0</v>
      </c>
      <c r="B2153" t="s">
        <v>853</v>
      </c>
      <c r="C2153" t="s">
        <v>5266</v>
      </c>
      <c r="D2153" t="s">
        <v>18022</v>
      </c>
      <c r="E2153" t="s">
        <v>20067</v>
      </c>
      <c r="F2153" t="s">
        <v>31574</v>
      </c>
      <c r="G2153" t="s">
        <v>31581</v>
      </c>
      <c r="H2153" t="s">
        <v>31590</v>
      </c>
      <c r="I2153" t="s">
        <v>31638</v>
      </c>
      <c r="J2153" t="s">
        <v>32017</v>
      </c>
      <c r="K2153" t="s">
        <v>41184</v>
      </c>
      <c r="M2153" t="s">
        <v>42373</v>
      </c>
      <c r="N2153" t="s">
        <v>45095</v>
      </c>
      <c r="O2153" t="s">
        <v>45096</v>
      </c>
      <c r="P2153">
        <v>0</v>
      </c>
      <c r="Q2153">
        <v>0</v>
      </c>
      <c r="R2153" t="s">
        <v>45097</v>
      </c>
      <c r="S2153" t="s">
        <v>45222</v>
      </c>
      <c r="T2153" t="s">
        <v>46969</v>
      </c>
      <c r="U2153" t="s">
        <v>49309</v>
      </c>
      <c r="W2153" t="s">
        <v>42373</v>
      </c>
      <c r="X2153" t="s">
        <v>45098</v>
      </c>
    </row>
    <row r="2154" spans="1:24">
      <c r="A2154">
        <f>HYPERLINK("https://www.philgeps.gov.ph/GEPSNONPILOT/Tender/SplashBidNoticeAbstractUI.aspx?menuIndex=3&amp;refID=7046787&amp;Result=3","7046787")</f>
        <v>0</v>
      </c>
      <c r="B2154" t="s">
        <v>848</v>
      </c>
      <c r="C2154" t="s">
        <v>5267</v>
      </c>
      <c r="D2154" t="s">
        <v>18063</v>
      </c>
      <c r="E2154" t="s">
        <v>20068</v>
      </c>
      <c r="F2154" t="s">
        <v>31574</v>
      </c>
      <c r="G2154" t="s">
        <v>31586</v>
      </c>
      <c r="H2154" t="s">
        <v>31590</v>
      </c>
      <c r="I2154" t="s">
        <v>31599</v>
      </c>
      <c r="J2154" t="s">
        <v>32427</v>
      </c>
      <c r="K2154" t="s">
        <v>41190</v>
      </c>
      <c r="M2154" t="s">
        <v>42367</v>
      </c>
      <c r="N2154" t="s">
        <v>45095</v>
      </c>
      <c r="O2154" t="s">
        <v>45096</v>
      </c>
      <c r="P2154">
        <v>0</v>
      </c>
      <c r="Q2154">
        <v>0</v>
      </c>
      <c r="R2154" t="s">
        <v>45097</v>
      </c>
      <c r="S2154" t="s">
        <v>45222</v>
      </c>
      <c r="T2154" t="s">
        <v>46913</v>
      </c>
      <c r="U2154" t="s">
        <v>49297</v>
      </c>
      <c r="W2154" t="s">
        <v>61681</v>
      </c>
      <c r="X2154" t="s">
        <v>45098</v>
      </c>
    </row>
    <row r="2155" spans="1:24">
      <c r="A2155">
        <f>HYPERLINK("https://www.philgeps.gov.ph/GEPSNONPILOT/Tender/SplashBidNoticeAbstractUI.aspx?menuIndex=3&amp;refID=7046801&amp;Result=3","7046801")</f>
        <v>0</v>
      </c>
      <c r="B2155" t="s">
        <v>852</v>
      </c>
      <c r="C2155" t="s">
        <v>5268</v>
      </c>
      <c r="D2155" t="s">
        <v>18051</v>
      </c>
      <c r="E2155" t="s">
        <v>20069</v>
      </c>
      <c r="F2155" t="s">
        <v>31574</v>
      </c>
      <c r="G2155" t="s">
        <v>31582</v>
      </c>
      <c r="H2155" t="s">
        <v>31591</v>
      </c>
      <c r="I2155" t="s">
        <v>8822</v>
      </c>
      <c r="J2155" t="s">
        <v>32526</v>
      </c>
      <c r="K2155" t="s">
        <v>41260</v>
      </c>
      <c r="M2155" t="s">
        <v>42371</v>
      </c>
      <c r="N2155" t="s">
        <v>45095</v>
      </c>
      <c r="O2155" t="s">
        <v>45096</v>
      </c>
      <c r="P2155">
        <v>0</v>
      </c>
      <c r="Q2155">
        <v>0</v>
      </c>
      <c r="R2155" t="s">
        <v>45097</v>
      </c>
      <c r="S2155" t="s">
        <v>45222</v>
      </c>
      <c r="T2155" t="s">
        <v>46915</v>
      </c>
      <c r="U2155" t="s">
        <v>49310</v>
      </c>
      <c r="V2155" t="s">
        <v>60061</v>
      </c>
      <c r="W2155" t="s">
        <v>42371</v>
      </c>
      <c r="X2155" t="s">
        <v>45098</v>
      </c>
    </row>
    <row r="2156" spans="1:24">
      <c r="A2156">
        <f>HYPERLINK("https://www.philgeps.gov.ph/GEPSNONPILOT/Tender/SplashBidNoticeAbstractUI.aspx?menuIndex=3&amp;refID=7046800&amp;Result=3","7046800")</f>
        <v>0</v>
      </c>
      <c r="B2156" t="s">
        <v>854</v>
      </c>
      <c r="C2156" t="s">
        <v>4136</v>
      </c>
      <c r="E2156" t="s">
        <v>20070</v>
      </c>
      <c r="F2156" t="s">
        <v>31574</v>
      </c>
      <c r="G2156" t="s">
        <v>31583</v>
      </c>
      <c r="H2156" t="s">
        <v>31590</v>
      </c>
      <c r="I2156" t="s">
        <v>31608</v>
      </c>
      <c r="J2156" t="s">
        <v>31782</v>
      </c>
      <c r="K2156" t="s">
        <v>41184</v>
      </c>
      <c r="M2156" t="s">
        <v>42374</v>
      </c>
      <c r="N2156" t="s">
        <v>45095</v>
      </c>
      <c r="O2156" t="s">
        <v>45096</v>
      </c>
      <c r="P2156">
        <v>0</v>
      </c>
      <c r="Q2156">
        <v>0</v>
      </c>
      <c r="R2156" t="s">
        <v>45097</v>
      </c>
      <c r="S2156" t="s">
        <v>45222</v>
      </c>
      <c r="T2156" t="s">
        <v>46973</v>
      </c>
      <c r="U2156" t="s">
        <v>49311</v>
      </c>
      <c r="W2156" t="s">
        <v>42374</v>
      </c>
      <c r="X2156" t="s">
        <v>45098</v>
      </c>
    </row>
    <row r="2157" spans="1:24">
      <c r="A2157">
        <f>HYPERLINK("https://www.philgeps.gov.ph/GEPSNONPILOT/Tender/SplashBidNoticeAbstractUI.aspx?menuIndex=3&amp;refID=7046799&amp;Result=3","7046799")</f>
        <v>0</v>
      </c>
      <c r="B2157" t="s">
        <v>50</v>
      </c>
      <c r="C2157" t="s">
        <v>5269</v>
      </c>
      <c r="D2157" t="s">
        <v>18042</v>
      </c>
      <c r="E2157" t="s">
        <v>20066</v>
      </c>
      <c r="F2157" t="s">
        <v>31574</v>
      </c>
      <c r="G2157" t="s">
        <v>31582</v>
      </c>
      <c r="H2157" t="s">
        <v>31590</v>
      </c>
      <c r="I2157" t="s">
        <v>31617</v>
      </c>
      <c r="J2157" t="s">
        <v>33255</v>
      </c>
      <c r="K2157" t="s">
        <v>41186</v>
      </c>
      <c r="M2157" t="s">
        <v>41533</v>
      </c>
      <c r="N2157" t="s">
        <v>45095</v>
      </c>
      <c r="O2157" t="s">
        <v>45096</v>
      </c>
      <c r="P2157">
        <v>0</v>
      </c>
      <c r="Q2157">
        <v>0</v>
      </c>
      <c r="R2157" t="s">
        <v>45097</v>
      </c>
      <c r="S2157" t="s">
        <v>45222</v>
      </c>
      <c r="T2157" t="s">
        <v>46916</v>
      </c>
      <c r="U2157" t="s">
        <v>49308</v>
      </c>
      <c r="W2157" t="s">
        <v>41533</v>
      </c>
      <c r="X2157" t="s">
        <v>45098</v>
      </c>
    </row>
    <row r="2158" spans="1:24">
      <c r="A2158">
        <f>HYPERLINK("https://www.philgeps.gov.ph/GEPSNONPILOT/Tender/SplashBidNoticeAbstractUI.aspx?menuIndex=3&amp;refID=7046797&amp;Result=3","7046797")</f>
        <v>0</v>
      </c>
      <c r="B2158" t="s">
        <v>848</v>
      </c>
      <c r="C2158" t="s">
        <v>5270</v>
      </c>
      <c r="D2158" t="s">
        <v>18093</v>
      </c>
      <c r="E2158" t="s">
        <v>20071</v>
      </c>
      <c r="F2158" t="s">
        <v>31574</v>
      </c>
      <c r="G2158" t="s">
        <v>31581</v>
      </c>
      <c r="H2158" t="s">
        <v>31590</v>
      </c>
      <c r="I2158" t="s">
        <v>31625</v>
      </c>
      <c r="J2158" t="s">
        <v>32235</v>
      </c>
      <c r="K2158" t="s">
        <v>41190</v>
      </c>
      <c r="M2158" t="s">
        <v>42367</v>
      </c>
      <c r="N2158" t="s">
        <v>45095</v>
      </c>
      <c r="O2158" t="s">
        <v>45096</v>
      </c>
      <c r="P2158">
        <v>0</v>
      </c>
      <c r="Q2158">
        <v>0</v>
      </c>
      <c r="R2158" t="s">
        <v>45097</v>
      </c>
      <c r="S2158" t="s">
        <v>45222</v>
      </c>
      <c r="T2158" t="s">
        <v>46913</v>
      </c>
      <c r="U2158" t="s">
        <v>49297</v>
      </c>
      <c r="W2158" t="s">
        <v>61681</v>
      </c>
      <c r="X2158" t="s">
        <v>45098</v>
      </c>
    </row>
    <row r="2159" spans="1:24">
      <c r="A2159">
        <f>HYPERLINK("https://www.philgeps.gov.ph/GEPSNONPILOT/Tender/SplashBidNoticeAbstractUI.aspx?menuIndex=3&amp;refID=7046788&amp;Result=3","7046788")</f>
        <v>0</v>
      </c>
      <c r="B2159" t="s">
        <v>50</v>
      </c>
      <c r="C2159" t="s">
        <v>5271</v>
      </c>
      <c r="D2159" t="s">
        <v>18042</v>
      </c>
      <c r="E2159" t="s">
        <v>20066</v>
      </c>
      <c r="F2159" t="s">
        <v>31574</v>
      </c>
      <c r="G2159" t="s">
        <v>31582</v>
      </c>
      <c r="H2159" t="s">
        <v>31590</v>
      </c>
      <c r="I2159" t="s">
        <v>3539</v>
      </c>
      <c r="J2159" t="s">
        <v>33256</v>
      </c>
      <c r="K2159" t="s">
        <v>41186</v>
      </c>
      <c r="M2159" t="s">
        <v>41533</v>
      </c>
      <c r="N2159" t="s">
        <v>45095</v>
      </c>
      <c r="O2159" t="s">
        <v>45096</v>
      </c>
      <c r="P2159">
        <v>0</v>
      </c>
      <c r="Q2159">
        <v>0</v>
      </c>
      <c r="R2159" t="s">
        <v>45097</v>
      </c>
      <c r="S2159" t="s">
        <v>45222</v>
      </c>
      <c r="T2159" t="s">
        <v>46916</v>
      </c>
      <c r="U2159" t="s">
        <v>49308</v>
      </c>
      <c r="W2159" t="s">
        <v>41533</v>
      </c>
      <c r="X2159" t="s">
        <v>45098</v>
      </c>
    </row>
    <row r="2160" spans="1:24">
      <c r="A2160">
        <f>HYPERLINK("https://www.philgeps.gov.ph/GEPSNONPILOT/Tender/SplashBidNoticeAbstractUI.aspx?menuIndex=3&amp;refID=7046813&amp;Result=3","7046813")</f>
        <v>0</v>
      </c>
      <c r="B2160" t="s">
        <v>855</v>
      </c>
      <c r="C2160" t="s">
        <v>5272</v>
      </c>
      <c r="D2160" t="s">
        <v>18022</v>
      </c>
      <c r="E2160" t="s">
        <v>20072</v>
      </c>
      <c r="F2160" t="s">
        <v>31574</v>
      </c>
      <c r="G2160" t="s">
        <v>31583</v>
      </c>
      <c r="H2160" t="s">
        <v>31592</v>
      </c>
      <c r="I2160" t="s">
        <v>3487</v>
      </c>
      <c r="J2160" t="s">
        <v>31845</v>
      </c>
      <c r="K2160" t="s">
        <v>41193</v>
      </c>
      <c r="M2160" t="s">
        <v>42375</v>
      </c>
      <c r="N2160" t="s">
        <v>45095</v>
      </c>
      <c r="O2160" t="s">
        <v>45096</v>
      </c>
      <c r="P2160">
        <v>0</v>
      </c>
      <c r="Q2160">
        <v>0</v>
      </c>
      <c r="R2160" t="s">
        <v>45097</v>
      </c>
      <c r="S2160" t="s">
        <v>45222</v>
      </c>
      <c r="T2160" t="s">
        <v>47074</v>
      </c>
      <c r="U2160" t="s">
        <v>49312</v>
      </c>
      <c r="V2160" t="s">
        <v>60062</v>
      </c>
      <c r="W2160" t="s">
        <v>42375</v>
      </c>
      <c r="X2160" t="s">
        <v>45098</v>
      </c>
    </row>
    <row r="2161" spans="1:24">
      <c r="A2161">
        <f>HYPERLINK("https://www.philgeps.gov.ph/GEPSNONPILOT/Tender/SplashBidNoticeAbstractUI.aspx?menuIndex=3&amp;refID=7046803&amp;Result=3","7046803")</f>
        <v>0</v>
      </c>
      <c r="B2161" t="s">
        <v>852</v>
      </c>
      <c r="C2161" t="s">
        <v>5273</v>
      </c>
      <c r="D2161" t="s">
        <v>18051</v>
      </c>
      <c r="E2161" t="s">
        <v>20073</v>
      </c>
      <c r="F2161" t="s">
        <v>31574</v>
      </c>
      <c r="G2161" t="s">
        <v>31582</v>
      </c>
      <c r="H2161" t="s">
        <v>31591</v>
      </c>
      <c r="I2161" t="s">
        <v>8822</v>
      </c>
      <c r="J2161" t="s">
        <v>32526</v>
      </c>
      <c r="K2161" t="s">
        <v>41260</v>
      </c>
      <c r="M2161" t="s">
        <v>42371</v>
      </c>
      <c r="N2161" t="s">
        <v>45095</v>
      </c>
      <c r="O2161" t="s">
        <v>45096</v>
      </c>
      <c r="P2161">
        <v>0</v>
      </c>
      <c r="Q2161">
        <v>0</v>
      </c>
      <c r="R2161" t="s">
        <v>45097</v>
      </c>
      <c r="S2161" t="s">
        <v>45222</v>
      </c>
      <c r="T2161" t="s">
        <v>46915</v>
      </c>
      <c r="U2161" t="s">
        <v>49313</v>
      </c>
      <c r="V2161" t="s">
        <v>60063</v>
      </c>
      <c r="W2161" t="s">
        <v>42371</v>
      </c>
      <c r="X2161" t="s">
        <v>45098</v>
      </c>
    </row>
    <row r="2162" spans="1:24">
      <c r="A2162">
        <f>HYPERLINK("https://www.philgeps.gov.ph/GEPSNONPILOT/Tender/SplashBidNoticeAbstractUI.aspx?menuIndex=3&amp;refID=7046784&amp;Result=3","7046784")</f>
        <v>0</v>
      </c>
      <c r="B2162" t="s">
        <v>856</v>
      </c>
      <c r="C2162" t="s">
        <v>5274</v>
      </c>
      <c r="D2162" t="s">
        <v>18072</v>
      </c>
      <c r="E2162" t="s">
        <v>20074</v>
      </c>
      <c r="F2162" t="s">
        <v>31574</v>
      </c>
      <c r="G2162" t="s">
        <v>31582</v>
      </c>
      <c r="H2162" t="s">
        <v>31591</v>
      </c>
      <c r="I2162" t="s">
        <v>31663</v>
      </c>
      <c r="J2162" t="s">
        <v>33257</v>
      </c>
      <c r="K2162" t="s">
        <v>41189</v>
      </c>
      <c r="M2162" t="s">
        <v>42376</v>
      </c>
      <c r="N2162" t="s">
        <v>45095</v>
      </c>
      <c r="O2162" t="s">
        <v>45096</v>
      </c>
      <c r="P2162">
        <v>0</v>
      </c>
      <c r="Q2162">
        <v>0</v>
      </c>
      <c r="R2162" t="s">
        <v>45097</v>
      </c>
      <c r="S2162" t="s">
        <v>45222</v>
      </c>
      <c r="T2162" t="s">
        <v>46915</v>
      </c>
      <c r="U2162" t="s">
        <v>49314</v>
      </c>
      <c r="W2162" t="s">
        <v>42376</v>
      </c>
      <c r="X2162" t="s">
        <v>45098</v>
      </c>
    </row>
    <row r="2163" spans="1:24">
      <c r="A2163">
        <f>HYPERLINK("https://www.philgeps.gov.ph/GEPSNONPILOT/Tender/SplashBidNoticeAbstractUI.aspx?menuIndex=3&amp;refID=7046785&amp;Result=3","7046785")</f>
        <v>0</v>
      </c>
      <c r="B2163" t="s">
        <v>848</v>
      </c>
      <c r="C2163" t="s">
        <v>5275</v>
      </c>
      <c r="D2163" t="s">
        <v>18057</v>
      </c>
      <c r="E2163" t="s">
        <v>20075</v>
      </c>
      <c r="F2163" t="s">
        <v>31574</v>
      </c>
      <c r="G2163" t="s">
        <v>31583</v>
      </c>
      <c r="H2163" t="s">
        <v>31590</v>
      </c>
      <c r="I2163" t="s">
        <v>8569</v>
      </c>
      <c r="J2163" t="s">
        <v>33258</v>
      </c>
      <c r="K2163" t="s">
        <v>41190</v>
      </c>
      <c r="M2163" t="s">
        <v>42367</v>
      </c>
      <c r="N2163" t="s">
        <v>45095</v>
      </c>
      <c r="O2163" t="s">
        <v>45096</v>
      </c>
      <c r="P2163">
        <v>0</v>
      </c>
      <c r="Q2163">
        <v>0</v>
      </c>
      <c r="R2163" t="s">
        <v>45097</v>
      </c>
      <c r="S2163" t="s">
        <v>45222</v>
      </c>
      <c r="T2163" t="s">
        <v>46913</v>
      </c>
      <c r="U2163" t="s">
        <v>49297</v>
      </c>
      <c r="W2163" t="s">
        <v>61681</v>
      </c>
      <c r="X2163" t="s">
        <v>45098</v>
      </c>
    </row>
    <row r="2164" spans="1:24">
      <c r="A2164">
        <f>HYPERLINK("https://www.philgeps.gov.ph/GEPSNONPILOT/Tender/SplashBidNoticeAbstractUI.aspx?menuIndex=3&amp;refID=7046807&amp;Result=3","7046807")</f>
        <v>0</v>
      </c>
      <c r="B2164" t="s">
        <v>857</v>
      </c>
      <c r="C2164" t="s">
        <v>5276</v>
      </c>
      <c r="D2164" t="s">
        <v>18070</v>
      </c>
      <c r="E2164" t="s">
        <v>20076</v>
      </c>
      <c r="F2164" t="s">
        <v>31574</v>
      </c>
      <c r="G2164" t="s">
        <v>31581</v>
      </c>
      <c r="H2164" t="s">
        <v>31590</v>
      </c>
      <c r="I2164" t="s">
        <v>31599</v>
      </c>
      <c r="J2164" t="s">
        <v>33259</v>
      </c>
      <c r="K2164" t="s">
        <v>41213</v>
      </c>
      <c r="M2164" t="s">
        <v>42377</v>
      </c>
      <c r="N2164" t="s">
        <v>45095</v>
      </c>
      <c r="O2164" t="s">
        <v>45096</v>
      </c>
      <c r="P2164">
        <v>0</v>
      </c>
      <c r="Q2164">
        <v>0</v>
      </c>
      <c r="R2164" t="s">
        <v>45097</v>
      </c>
      <c r="S2164" t="s">
        <v>45222</v>
      </c>
      <c r="T2164" t="s">
        <v>47094</v>
      </c>
      <c r="U2164" t="s">
        <v>49315</v>
      </c>
      <c r="W2164" t="s">
        <v>42377</v>
      </c>
      <c r="X2164" t="s">
        <v>45098</v>
      </c>
    </row>
    <row r="2165" spans="1:24">
      <c r="A2165">
        <f>HYPERLINK("https://www.philgeps.gov.ph/GEPSNONPILOT/Tender/SplashBidNoticeAbstractUI.aspx?menuIndex=3&amp;refID=7046815&amp;Result=3","7046815")</f>
        <v>0</v>
      </c>
      <c r="B2165" t="s">
        <v>857</v>
      </c>
      <c r="C2165" t="s">
        <v>5276</v>
      </c>
      <c r="D2165" t="s">
        <v>18070</v>
      </c>
      <c r="E2165" t="s">
        <v>20077</v>
      </c>
      <c r="F2165" t="s">
        <v>31574</v>
      </c>
      <c r="G2165" t="s">
        <v>31581</v>
      </c>
      <c r="H2165" t="s">
        <v>31590</v>
      </c>
      <c r="I2165" t="s">
        <v>31599</v>
      </c>
      <c r="J2165" t="s">
        <v>33260</v>
      </c>
      <c r="K2165" t="s">
        <v>41213</v>
      </c>
      <c r="M2165" t="s">
        <v>42377</v>
      </c>
      <c r="N2165" t="s">
        <v>45095</v>
      </c>
      <c r="O2165" t="s">
        <v>45096</v>
      </c>
      <c r="P2165">
        <v>0</v>
      </c>
      <c r="Q2165">
        <v>0</v>
      </c>
      <c r="R2165" t="s">
        <v>45097</v>
      </c>
      <c r="S2165" t="s">
        <v>45222</v>
      </c>
      <c r="T2165" t="s">
        <v>47094</v>
      </c>
      <c r="U2165" t="s">
        <v>49316</v>
      </c>
      <c r="W2165" t="s">
        <v>42377</v>
      </c>
      <c r="X2165" t="s">
        <v>45098</v>
      </c>
    </row>
    <row r="2166" spans="1:24">
      <c r="A2166">
        <f>HYPERLINK("https://www.philgeps.gov.ph/GEPSNONPILOT/Tender/SplashBidNoticeAbstractUI.aspx?menuIndex=3&amp;refID=7046808&amp;Result=3","7046808")</f>
        <v>0</v>
      </c>
      <c r="B2166" t="s">
        <v>855</v>
      </c>
      <c r="C2166" t="s">
        <v>5277</v>
      </c>
      <c r="D2166" t="s">
        <v>18022</v>
      </c>
      <c r="E2166" t="s">
        <v>20078</v>
      </c>
      <c r="F2166" t="s">
        <v>31574</v>
      </c>
      <c r="G2166" t="s">
        <v>31582</v>
      </c>
      <c r="H2166" t="s">
        <v>31592</v>
      </c>
      <c r="I2166" t="s">
        <v>3487</v>
      </c>
      <c r="J2166" t="s">
        <v>31741</v>
      </c>
      <c r="K2166" t="s">
        <v>41193</v>
      </c>
      <c r="M2166" t="s">
        <v>42375</v>
      </c>
      <c r="N2166" t="s">
        <v>45095</v>
      </c>
      <c r="O2166" t="s">
        <v>45096</v>
      </c>
      <c r="P2166">
        <v>0</v>
      </c>
      <c r="Q2166">
        <v>0</v>
      </c>
      <c r="R2166" t="s">
        <v>45097</v>
      </c>
      <c r="S2166" t="s">
        <v>45222</v>
      </c>
      <c r="T2166" t="s">
        <v>46923</v>
      </c>
      <c r="U2166" t="s">
        <v>49317</v>
      </c>
      <c r="V2166" t="s">
        <v>60062</v>
      </c>
      <c r="W2166" t="s">
        <v>42375</v>
      </c>
      <c r="X2166" t="s">
        <v>45098</v>
      </c>
    </row>
    <row r="2167" spans="1:24">
      <c r="A2167">
        <f>HYPERLINK("https://www.philgeps.gov.ph/GEPSNONPILOT/Tender/SplashBidNoticeAbstractUI.aspx?menuIndex=3&amp;refID=7046805&amp;Result=3","7046805")</f>
        <v>0</v>
      </c>
      <c r="B2167" t="s">
        <v>855</v>
      </c>
      <c r="C2167" t="s">
        <v>5278</v>
      </c>
      <c r="D2167" t="s">
        <v>18022</v>
      </c>
      <c r="E2167" t="s">
        <v>20079</v>
      </c>
      <c r="F2167" t="s">
        <v>31574</v>
      </c>
      <c r="G2167" t="s">
        <v>31582</v>
      </c>
      <c r="H2167" t="s">
        <v>31592</v>
      </c>
      <c r="I2167" t="s">
        <v>3487</v>
      </c>
      <c r="J2167" t="s">
        <v>32001</v>
      </c>
      <c r="K2167" t="s">
        <v>41196</v>
      </c>
      <c r="M2167" t="s">
        <v>42375</v>
      </c>
      <c r="N2167" t="s">
        <v>45095</v>
      </c>
      <c r="O2167" t="s">
        <v>45096</v>
      </c>
      <c r="P2167">
        <v>0</v>
      </c>
      <c r="Q2167">
        <v>0</v>
      </c>
      <c r="R2167" t="s">
        <v>45097</v>
      </c>
      <c r="S2167" t="s">
        <v>45222</v>
      </c>
      <c r="T2167" t="s">
        <v>46914</v>
      </c>
      <c r="U2167" t="s">
        <v>49318</v>
      </c>
      <c r="V2167" t="s">
        <v>60062</v>
      </c>
      <c r="W2167" t="s">
        <v>42375</v>
      </c>
      <c r="X2167" t="s">
        <v>45098</v>
      </c>
    </row>
    <row r="2168" spans="1:24">
      <c r="A2168">
        <f>HYPERLINK("https://www.philgeps.gov.ph/GEPSNONPILOT/Tender/SplashBidNoticeAbstractUI.aspx?menuIndex=3&amp;refID=7046806&amp;Result=3","7046806")</f>
        <v>0</v>
      </c>
      <c r="B2168" t="s">
        <v>858</v>
      </c>
      <c r="C2168" t="s">
        <v>5279</v>
      </c>
      <c r="D2168" t="s">
        <v>18100</v>
      </c>
      <c r="E2168" t="s">
        <v>20080</v>
      </c>
      <c r="F2168" t="s">
        <v>31574</v>
      </c>
      <c r="G2168" t="s">
        <v>31583</v>
      </c>
      <c r="H2168" t="s">
        <v>31590</v>
      </c>
      <c r="I2168" t="s">
        <v>31630</v>
      </c>
      <c r="J2168" t="s">
        <v>32334</v>
      </c>
      <c r="K2168" t="s">
        <v>41184</v>
      </c>
      <c r="M2168" t="s">
        <v>42378</v>
      </c>
      <c r="N2168" t="s">
        <v>45095</v>
      </c>
      <c r="O2168" t="s">
        <v>45096</v>
      </c>
      <c r="P2168">
        <v>0</v>
      </c>
      <c r="Q2168">
        <v>0</v>
      </c>
      <c r="R2168" t="s">
        <v>45097</v>
      </c>
      <c r="S2168" t="s">
        <v>45222</v>
      </c>
      <c r="T2168" t="s">
        <v>46955</v>
      </c>
      <c r="U2168" t="s">
        <v>49319</v>
      </c>
      <c r="W2168" t="s">
        <v>42378</v>
      </c>
      <c r="X2168" t="s">
        <v>45098</v>
      </c>
    </row>
    <row r="2169" spans="1:24">
      <c r="A2169">
        <f>HYPERLINK("https://www.philgeps.gov.ph/GEPSNONPILOT/Tender/SplashBidNoticeAbstractUI.aspx?menuIndex=3&amp;refID=7046827&amp;Result=3","7046827")</f>
        <v>0</v>
      </c>
      <c r="B2169" t="s">
        <v>859</v>
      </c>
      <c r="C2169" t="s">
        <v>5280</v>
      </c>
      <c r="D2169" t="s">
        <v>18056</v>
      </c>
      <c r="E2169" t="s">
        <v>20081</v>
      </c>
      <c r="F2169" t="s">
        <v>31574</v>
      </c>
      <c r="G2169" t="s">
        <v>31582</v>
      </c>
      <c r="H2169" t="s">
        <v>31591</v>
      </c>
      <c r="I2169" t="s">
        <v>8822</v>
      </c>
      <c r="J2169" t="s">
        <v>31909</v>
      </c>
      <c r="K2169" t="s">
        <v>41226</v>
      </c>
      <c r="M2169" t="s">
        <v>42379</v>
      </c>
      <c r="N2169" t="s">
        <v>45095</v>
      </c>
      <c r="O2169" t="s">
        <v>45096</v>
      </c>
      <c r="P2169">
        <v>0</v>
      </c>
      <c r="Q2169">
        <v>0</v>
      </c>
      <c r="R2169" t="s">
        <v>45097</v>
      </c>
      <c r="S2169" t="s">
        <v>45222</v>
      </c>
      <c r="T2169" t="s">
        <v>46965</v>
      </c>
      <c r="U2169" t="s">
        <v>49320</v>
      </c>
      <c r="W2169" t="s">
        <v>42379</v>
      </c>
      <c r="X2169" t="s">
        <v>45098</v>
      </c>
    </row>
    <row r="2170" spans="1:24">
      <c r="A2170">
        <f>HYPERLINK("https://www.philgeps.gov.ph/GEPSNONPILOT/Tender/SplashBidNoticeAbstractUI.aspx?menuIndex=3&amp;refID=7046825&amp;Result=3","7046825")</f>
        <v>0</v>
      </c>
      <c r="B2170" t="s">
        <v>860</v>
      </c>
      <c r="C2170" t="s">
        <v>5281</v>
      </c>
      <c r="D2170" t="s">
        <v>18036</v>
      </c>
      <c r="E2170" t="s">
        <v>20082</v>
      </c>
      <c r="F2170" t="s">
        <v>31574</v>
      </c>
      <c r="G2170" t="s">
        <v>31585</v>
      </c>
      <c r="H2170" t="s">
        <v>31590</v>
      </c>
      <c r="I2170" t="s">
        <v>3487</v>
      </c>
      <c r="J2170" t="s">
        <v>33261</v>
      </c>
      <c r="K2170" t="s">
        <v>41190</v>
      </c>
      <c r="M2170" t="s">
        <v>42380</v>
      </c>
      <c r="N2170" t="s">
        <v>45095</v>
      </c>
      <c r="O2170" t="s">
        <v>45096</v>
      </c>
      <c r="P2170">
        <v>0</v>
      </c>
      <c r="Q2170">
        <v>0</v>
      </c>
      <c r="R2170" t="s">
        <v>45097</v>
      </c>
      <c r="S2170" t="s">
        <v>45222</v>
      </c>
      <c r="T2170" t="s">
        <v>46934</v>
      </c>
      <c r="U2170" t="s">
        <v>49321</v>
      </c>
      <c r="W2170" t="s">
        <v>42380</v>
      </c>
      <c r="X2170" t="s">
        <v>45098</v>
      </c>
    </row>
    <row r="2171" spans="1:24">
      <c r="A2171">
        <f>HYPERLINK("https://www.philgeps.gov.ph/GEPSNONPILOT/Tender/SplashBidNoticeAbstractUI.aspx?menuIndex=3&amp;refID=7046829&amp;Result=3","7046829")</f>
        <v>0</v>
      </c>
      <c r="B2171" t="s">
        <v>861</v>
      </c>
      <c r="C2171" t="s">
        <v>5282</v>
      </c>
      <c r="D2171" t="s">
        <v>18044</v>
      </c>
      <c r="E2171" t="s">
        <v>20083</v>
      </c>
      <c r="F2171" t="s">
        <v>31574</v>
      </c>
      <c r="G2171" t="s">
        <v>31584</v>
      </c>
      <c r="H2171" t="s">
        <v>31590</v>
      </c>
      <c r="I2171" t="s">
        <v>4327</v>
      </c>
      <c r="J2171" t="s">
        <v>33262</v>
      </c>
      <c r="K2171" t="s">
        <v>41186</v>
      </c>
      <c r="L2171" t="s">
        <v>861</v>
      </c>
      <c r="M2171" t="s">
        <v>42381</v>
      </c>
      <c r="N2171" t="s">
        <v>45095</v>
      </c>
      <c r="O2171" t="s">
        <v>45096</v>
      </c>
      <c r="P2171">
        <v>0</v>
      </c>
      <c r="Q2171">
        <v>0</v>
      </c>
      <c r="R2171" t="s">
        <v>45097</v>
      </c>
      <c r="S2171" t="s">
        <v>45222</v>
      </c>
      <c r="T2171" t="s">
        <v>46980</v>
      </c>
      <c r="U2171" t="s">
        <v>49322</v>
      </c>
      <c r="W2171" t="s">
        <v>42381</v>
      </c>
      <c r="X2171" t="s">
        <v>45098</v>
      </c>
    </row>
    <row r="2172" spans="1:24">
      <c r="A2172">
        <f>HYPERLINK("https://www.philgeps.gov.ph/GEPSNONPILOT/Tender/SplashBidNoticeAbstractUI.aspx?menuIndex=3&amp;refID=7046804&amp;Result=3","7046804")</f>
        <v>0</v>
      </c>
      <c r="B2172" t="s">
        <v>844</v>
      </c>
      <c r="C2172" t="s">
        <v>5283</v>
      </c>
      <c r="D2172" t="s">
        <v>18089</v>
      </c>
      <c r="E2172" t="s">
        <v>20084</v>
      </c>
      <c r="F2172" t="s">
        <v>31574</v>
      </c>
      <c r="G2172" t="s">
        <v>31582</v>
      </c>
      <c r="H2172" t="s">
        <v>31590</v>
      </c>
      <c r="I2172" t="s">
        <v>31608</v>
      </c>
      <c r="J2172" t="s">
        <v>33263</v>
      </c>
      <c r="K2172" t="s">
        <v>41213</v>
      </c>
      <c r="M2172" t="s">
        <v>42363</v>
      </c>
      <c r="N2172" t="s">
        <v>45095</v>
      </c>
      <c r="O2172" t="s">
        <v>45096</v>
      </c>
      <c r="P2172">
        <v>0</v>
      </c>
      <c r="Q2172">
        <v>0</v>
      </c>
      <c r="R2172" t="s">
        <v>45097</v>
      </c>
      <c r="S2172" t="s">
        <v>45222</v>
      </c>
      <c r="T2172" t="s">
        <v>46905</v>
      </c>
      <c r="U2172" t="s">
        <v>49323</v>
      </c>
      <c r="W2172" t="s">
        <v>42363</v>
      </c>
      <c r="X2172" t="s">
        <v>45098</v>
      </c>
    </row>
    <row r="2173" spans="1:24">
      <c r="A2173">
        <f>HYPERLINK("https://www.philgeps.gov.ph/GEPSNONPILOT/Tender/SplashBidNoticeAbstractUI.aspx?menuIndex=3&amp;refID=7046823&amp;Result=3","7046823")</f>
        <v>0</v>
      </c>
      <c r="B2173" t="s">
        <v>855</v>
      </c>
      <c r="C2173" t="s">
        <v>5284</v>
      </c>
      <c r="D2173" t="s">
        <v>18022</v>
      </c>
      <c r="E2173" t="s">
        <v>20085</v>
      </c>
      <c r="F2173" t="s">
        <v>31574</v>
      </c>
      <c r="G2173" t="s">
        <v>31582</v>
      </c>
      <c r="H2173" t="s">
        <v>31592</v>
      </c>
      <c r="I2173" t="s">
        <v>3487</v>
      </c>
      <c r="J2173" t="s">
        <v>32019</v>
      </c>
      <c r="K2173" t="s">
        <v>41196</v>
      </c>
      <c r="M2173" t="s">
        <v>42375</v>
      </c>
      <c r="N2173" t="s">
        <v>45095</v>
      </c>
      <c r="O2173" t="s">
        <v>45096</v>
      </c>
      <c r="P2173">
        <v>0</v>
      </c>
      <c r="Q2173">
        <v>0</v>
      </c>
      <c r="R2173" t="s">
        <v>45097</v>
      </c>
      <c r="S2173" t="s">
        <v>45222</v>
      </c>
      <c r="T2173" t="s">
        <v>46994</v>
      </c>
      <c r="U2173" t="s">
        <v>49312</v>
      </c>
      <c r="V2173" t="s">
        <v>60062</v>
      </c>
      <c r="W2173" t="s">
        <v>42375</v>
      </c>
      <c r="X2173" t="s">
        <v>45098</v>
      </c>
    </row>
    <row r="2174" spans="1:24">
      <c r="A2174">
        <f>HYPERLINK("https://www.philgeps.gov.ph/GEPSNONPILOT/Tender/SplashBidNoticeAbstractUI.aspx?menuIndex=3&amp;refID=7046819&amp;Result=3","7046819")</f>
        <v>0</v>
      </c>
      <c r="B2174" t="s">
        <v>855</v>
      </c>
      <c r="C2174" t="s">
        <v>5285</v>
      </c>
      <c r="D2174" t="s">
        <v>18022</v>
      </c>
      <c r="E2174" t="s">
        <v>20086</v>
      </c>
      <c r="F2174" t="s">
        <v>31574</v>
      </c>
      <c r="G2174" t="s">
        <v>31582</v>
      </c>
      <c r="H2174" t="s">
        <v>31592</v>
      </c>
      <c r="I2174" t="s">
        <v>3487</v>
      </c>
      <c r="J2174" t="s">
        <v>31764</v>
      </c>
      <c r="K2174" t="s">
        <v>41196</v>
      </c>
      <c r="M2174" t="s">
        <v>42375</v>
      </c>
      <c r="N2174" t="s">
        <v>45095</v>
      </c>
      <c r="O2174" t="s">
        <v>45096</v>
      </c>
      <c r="P2174">
        <v>0</v>
      </c>
      <c r="Q2174">
        <v>0</v>
      </c>
      <c r="R2174" t="s">
        <v>45097</v>
      </c>
      <c r="S2174" t="s">
        <v>45222</v>
      </c>
      <c r="T2174" t="s">
        <v>47111</v>
      </c>
      <c r="U2174" t="s">
        <v>49324</v>
      </c>
      <c r="V2174" t="s">
        <v>60062</v>
      </c>
      <c r="W2174" t="s">
        <v>42375</v>
      </c>
      <c r="X2174" t="s">
        <v>45098</v>
      </c>
    </row>
    <row r="2175" spans="1:24">
      <c r="A2175">
        <f>HYPERLINK("https://www.philgeps.gov.ph/GEPSNONPILOT/Tender/SplashBidNoticeAbstractUI.aspx?menuIndex=3&amp;refID=7046820&amp;Result=3","7046820")</f>
        <v>0</v>
      </c>
      <c r="B2175" t="s">
        <v>862</v>
      </c>
      <c r="C2175" t="s">
        <v>5286</v>
      </c>
      <c r="D2175" t="s">
        <v>18071</v>
      </c>
      <c r="E2175" t="s">
        <v>20087</v>
      </c>
      <c r="F2175" t="s">
        <v>31574</v>
      </c>
      <c r="G2175" t="s">
        <v>31582</v>
      </c>
      <c r="H2175" t="s">
        <v>31590</v>
      </c>
      <c r="I2175" t="s">
        <v>5717</v>
      </c>
      <c r="J2175" t="s">
        <v>33264</v>
      </c>
      <c r="K2175" t="s">
        <v>41196</v>
      </c>
      <c r="M2175" t="s">
        <v>42382</v>
      </c>
      <c r="N2175" t="s">
        <v>45095</v>
      </c>
      <c r="O2175" t="s">
        <v>45096</v>
      </c>
      <c r="P2175">
        <v>0</v>
      </c>
      <c r="Q2175">
        <v>0</v>
      </c>
      <c r="R2175" t="s">
        <v>45097</v>
      </c>
      <c r="S2175" t="s">
        <v>45222</v>
      </c>
      <c r="T2175" t="s">
        <v>46910</v>
      </c>
      <c r="U2175" t="s">
        <v>49325</v>
      </c>
      <c r="W2175" t="s">
        <v>42382</v>
      </c>
      <c r="X2175" t="s">
        <v>45098</v>
      </c>
    </row>
    <row r="2176" spans="1:24">
      <c r="A2176">
        <f>HYPERLINK("https://www.philgeps.gov.ph/GEPSNONPILOT/Tender/SplashBidNoticeAbstractUI.aspx?menuIndex=3&amp;refID=7046818&amp;Result=3","7046818")</f>
        <v>0</v>
      </c>
      <c r="B2176" t="s">
        <v>855</v>
      </c>
      <c r="C2176" t="s">
        <v>5287</v>
      </c>
      <c r="D2176" t="s">
        <v>18022</v>
      </c>
      <c r="E2176" t="s">
        <v>20088</v>
      </c>
      <c r="F2176" t="s">
        <v>31574</v>
      </c>
      <c r="G2176" t="s">
        <v>31582</v>
      </c>
      <c r="H2176" t="s">
        <v>31592</v>
      </c>
      <c r="I2176" t="s">
        <v>3487</v>
      </c>
      <c r="J2176" t="s">
        <v>31764</v>
      </c>
      <c r="K2176" t="s">
        <v>41196</v>
      </c>
      <c r="M2176" t="s">
        <v>42375</v>
      </c>
      <c r="N2176" t="s">
        <v>45095</v>
      </c>
      <c r="O2176" t="s">
        <v>45096</v>
      </c>
      <c r="P2176">
        <v>0</v>
      </c>
      <c r="Q2176">
        <v>0</v>
      </c>
      <c r="R2176" t="s">
        <v>45097</v>
      </c>
      <c r="S2176" t="s">
        <v>45222</v>
      </c>
      <c r="T2176" t="s">
        <v>46926</v>
      </c>
      <c r="U2176" t="s">
        <v>49326</v>
      </c>
      <c r="V2176" t="s">
        <v>60062</v>
      </c>
      <c r="W2176" t="s">
        <v>42375</v>
      </c>
      <c r="X2176" t="s">
        <v>45098</v>
      </c>
    </row>
    <row r="2177" spans="1:24">
      <c r="A2177">
        <f>HYPERLINK("https://www.philgeps.gov.ph/GEPSNONPILOT/Tender/SplashBidNoticeAbstractUI.aspx?menuIndex=3&amp;refID=7046822&amp;Result=3","7046822")</f>
        <v>0</v>
      </c>
      <c r="B2177" t="s">
        <v>863</v>
      </c>
      <c r="C2177" t="s">
        <v>5288</v>
      </c>
      <c r="D2177" t="s">
        <v>18025</v>
      </c>
      <c r="E2177" t="s">
        <v>18227</v>
      </c>
      <c r="F2177" t="s">
        <v>31574</v>
      </c>
      <c r="G2177" t="s">
        <v>31582</v>
      </c>
      <c r="H2177" t="s">
        <v>31591</v>
      </c>
      <c r="I2177" t="s">
        <v>8822</v>
      </c>
      <c r="J2177" t="s">
        <v>33265</v>
      </c>
      <c r="K2177" t="s">
        <v>41186</v>
      </c>
      <c r="M2177" t="s">
        <v>42383</v>
      </c>
      <c r="N2177" t="s">
        <v>45095</v>
      </c>
      <c r="O2177" t="s">
        <v>45096</v>
      </c>
      <c r="P2177">
        <v>0</v>
      </c>
      <c r="Q2177">
        <v>0</v>
      </c>
      <c r="R2177" t="s">
        <v>45097</v>
      </c>
      <c r="S2177" t="s">
        <v>45222</v>
      </c>
      <c r="T2177" t="s">
        <v>46905</v>
      </c>
      <c r="U2177" t="s">
        <v>49327</v>
      </c>
      <c r="W2177" t="s">
        <v>42383</v>
      </c>
      <c r="X2177" t="s">
        <v>45098</v>
      </c>
    </row>
    <row r="2178" spans="1:24">
      <c r="A2178">
        <f>HYPERLINK("https://www.philgeps.gov.ph/GEPSNONPILOT/Tender/SplashBidNoticeAbstractUI.aspx?menuIndex=3&amp;refID=7046828&amp;Result=3","7046828")</f>
        <v>0</v>
      </c>
      <c r="B2178" t="s">
        <v>864</v>
      </c>
      <c r="C2178" t="s">
        <v>5289</v>
      </c>
      <c r="D2178" t="s">
        <v>18092</v>
      </c>
      <c r="E2178" t="s">
        <v>5289</v>
      </c>
      <c r="F2178" t="s">
        <v>31574</v>
      </c>
      <c r="G2178" t="s">
        <v>31582</v>
      </c>
      <c r="H2178" t="s">
        <v>31590</v>
      </c>
      <c r="I2178" t="s">
        <v>7162</v>
      </c>
      <c r="J2178" t="s">
        <v>31741</v>
      </c>
      <c r="K2178" t="s">
        <v>41196</v>
      </c>
      <c r="M2178" t="s">
        <v>42384</v>
      </c>
      <c r="N2178" t="s">
        <v>45095</v>
      </c>
      <c r="O2178" t="s">
        <v>45096</v>
      </c>
      <c r="P2178">
        <v>0</v>
      </c>
      <c r="Q2178">
        <v>0</v>
      </c>
      <c r="R2178" t="s">
        <v>45097</v>
      </c>
      <c r="S2178" t="s">
        <v>45222</v>
      </c>
      <c r="T2178" t="s">
        <v>46926</v>
      </c>
      <c r="U2178" t="s">
        <v>49328</v>
      </c>
      <c r="W2178" t="s">
        <v>42384</v>
      </c>
      <c r="X2178" t="s">
        <v>45098</v>
      </c>
    </row>
    <row r="2179" spans="1:24">
      <c r="A2179">
        <f>HYPERLINK("https://www.philgeps.gov.ph/GEPSNONPILOT/Tender/SplashBidNoticeAbstractUI.aspx?menuIndex=3&amp;refID=7046830&amp;Result=3","7046830")</f>
        <v>0</v>
      </c>
      <c r="B2179" t="s">
        <v>865</v>
      </c>
      <c r="C2179" t="s">
        <v>5290</v>
      </c>
      <c r="D2179" t="s">
        <v>18031</v>
      </c>
      <c r="E2179" t="s">
        <v>20089</v>
      </c>
      <c r="F2179" t="s">
        <v>31574</v>
      </c>
      <c r="G2179" t="s">
        <v>31583</v>
      </c>
      <c r="H2179" t="s">
        <v>31590</v>
      </c>
      <c r="I2179" t="s">
        <v>5717</v>
      </c>
      <c r="J2179" t="s">
        <v>33266</v>
      </c>
      <c r="K2179" t="s">
        <v>41184</v>
      </c>
      <c r="M2179" t="s">
        <v>42385</v>
      </c>
      <c r="N2179" t="s">
        <v>45095</v>
      </c>
      <c r="O2179" t="s">
        <v>45096</v>
      </c>
      <c r="P2179">
        <v>0</v>
      </c>
      <c r="Q2179">
        <v>0</v>
      </c>
      <c r="R2179" t="s">
        <v>45097</v>
      </c>
      <c r="S2179" t="s">
        <v>45222</v>
      </c>
      <c r="T2179" t="s">
        <v>46946</v>
      </c>
      <c r="U2179" t="s">
        <v>49329</v>
      </c>
      <c r="W2179" t="s">
        <v>42385</v>
      </c>
      <c r="X2179" t="s">
        <v>45098</v>
      </c>
    </row>
    <row r="2180" spans="1:24">
      <c r="A2180">
        <f>HYPERLINK("https://www.philgeps.gov.ph/GEPSNONPILOT/Tender/SplashBidNoticeAbstractUI.aspx?menuIndex=3&amp;refID=7046817&amp;Result=3","7046817")</f>
        <v>0</v>
      </c>
      <c r="B2180" t="s">
        <v>866</v>
      </c>
      <c r="C2180" t="s">
        <v>5291</v>
      </c>
      <c r="D2180" t="s">
        <v>18033</v>
      </c>
      <c r="E2180" t="s">
        <v>20090</v>
      </c>
      <c r="F2180" t="s">
        <v>31574</v>
      </c>
      <c r="G2180" t="s">
        <v>31581</v>
      </c>
      <c r="H2180" t="s">
        <v>31590</v>
      </c>
      <c r="I2180" t="s">
        <v>31599</v>
      </c>
      <c r="J2180" t="s">
        <v>33267</v>
      </c>
      <c r="K2180" t="s">
        <v>41193</v>
      </c>
      <c r="L2180" t="s">
        <v>866</v>
      </c>
      <c r="M2180" t="s">
        <v>42386</v>
      </c>
      <c r="N2180" t="s">
        <v>45095</v>
      </c>
      <c r="O2180" t="s">
        <v>45096</v>
      </c>
      <c r="P2180">
        <v>0</v>
      </c>
      <c r="Q2180">
        <v>0</v>
      </c>
      <c r="R2180" t="s">
        <v>45097</v>
      </c>
      <c r="S2180" t="s">
        <v>45222</v>
      </c>
      <c r="T2180" t="s">
        <v>46913</v>
      </c>
      <c r="U2180" t="s">
        <v>49330</v>
      </c>
      <c r="W2180" t="s">
        <v>42386</v>
      </c>
      <c r="X2180" t="s">
        <v>45098</v>
      </c>
    </row>
    <row r="2181" spans="1:24">
      <c r="A2181">
        <f>HYPERLINK("https://www.philgeps.gov.ph/GEPSNONPILOT/Tender/SplashBidNoticeAbstractUI.aspx?menuIndex=3&amp;refID=7046812&amp;Result=3","7046812")</f>
        <v>0</v>
      </c>
      <c r="B2181" t="s">
        <v>852</v>
      </c>
      <c r="C2181" t="s">
        <v>5292</v>
      </c>
      <c r="D2181" t="s">
        <v>18051</v>
      </c>
      <c r="E2181" t="s">
        <v>20091</v>
      </c>
      <c r="F2181" t="s">
        <v>31574</v>
      </c>
      <c r="G2181" t="s">
        <v>31582</v>
      </c>
      <c r="H2181" t="s">
        <v>31591</v>
      </c>
      <c r="I2181" t="s">
        <v>8822</v>
      </c>
      <c r="J2181" t="s">
        <v>33268</v>
      </c>
      <c r="K2181" t="s">
        <v>41256</v>
      </c>
      <c r="M2181" t="s">
        <v>42371</v>
      </c>
      <c r="N2181" t="s">
        <v>45095</v>
      </c>
      <c r="O2181" t="s">
        <v>45096</v>
      </c>
      <c r="P2181">
        <v>0</v>
      </c>
      <c r="Q2181">
        <v>0</v>
      </c>
      <c r="R2181" t="s">
        <v>45097</v>
      </c>
      <c r="S2181" t="s">
        <v>45222</v>
      </c>
      <c r="T2181" t="s">
        <v>46915</v>
      </c>
      <c r="U2181" t="s">
        <v>49331</v>
      </c>
      <c r="V2181" t="s">
        <v>60064</v>
      </c>
      <c r="W2181" t="s">
        <v>42371</v>
      </c>
      <c r="X2181" t="s">
        <v>45098</v>
      </c>
    </row>
    <row r="2182" spans="1:24">
      <c r="A2182">
        <f>HYPERLINK("https://www.philgeps.gov.ph/GEPSNONPILOT/Tender/SplashBidNoticeAbstractUI.aspx?menuIndex=3&amp;refID=7046843&amp;Result=3","7046843")</f>
        <v>0</v>
      </c>
      <c r="B2182" t="s">
        <v>867</v>
      </c>
      <c r="C2182" t="s">
        <v>5293</v>
      </c>
      <c r="D2182" t="s">
        <v>18022</v>
      </c>
      <c r="E2182" t="s">
        <v>20092</v>
      </c>
      <c r="F2182" t="s">
        <v>31574</v>
      </c>
      <c r="G2182" t="s">
        <v>31581</v>
      </c>
      <c r="H2182" t="s">
        <v>31592</v>
      </c>
      <c r="I2182" t="s">
        <v>31620</v>
      </c>
      <c r="J2182" t="s">
        <v>32258</v>
      </c>
      <c r="K2182" t="s">
        <v>41225</v>
      </c>
      <c r="M2182" t="s">
        <v>42387</v>
      </c>
      <c r="N2182" t="s">
        <v>45095</v>
      </c>
      <c r="O2182" t="s">
        <v>45096</v>
      </c>
      <c r="P2182">
        <v>0</v>
      </c>
      <c r="Q2182">
        <v>0</v>
      </c>
      <c r="R2182" t="s">
        <v>45097</v>
      </c>
      <c r="S2182" t="s">
        <v>45222</v>
      </c>
      <c r="T2182" t="s">
        <v>46969</v>
      </c>
      <c r="U2182" t="s">
        <v>49332</v>
      </c>
      <c r="W2182" t="s">
        <v>42387</v>
      </c>
      <c r="X2182" t="s">
        <v>45098</v>
      </c>
    </row>
    <row r="2183" spans="1:24">
      <c r="A2183">
        <f>HYPERLINK("https://www.philgeps.gov.ph/GEPSNONPILOT/Tender/SplashBidNoticeAbstractUI.aspx?menuIndex=3&amp;refID=7046831&amp;Result=3","7046831")</f>
        <v>0</v>
      </c>
      <c r="B2183" t="s">
        <v>859</v>
      </c>
      <c r="C2183" t="s">
        <v>5294</v>
      </c>
      <c r="D2183" t="s">
        <v>18056</v>
      </c>
      <c r="E2183" t="s">
        <v>20093</v>
      </c>
      <c r="F2183" t="s">
        <v>31574</v>
      </c>
      <c r="G2183" t="s">
        <v>31582</v>
      </c>
      <c r="H2183" t="s">
        <v>31591</v>
      </c>
      <c r="I2183" t="s">
        <v>8822</v>
      </c>
      <c r="J2183" t="s">
        <v>33269</v>
      </c>
      <c r="K2183" t="s">
        <v>41196</v>
      </c>
      <c r="M2183" t="s">
        <v>42379</v>
      </c>
      <c r="N2183" t="s">
        <v>45095</v>
      </c>
      <c r="O2183" t="s">
        <v>45096</v>
      </c>
      <c r="P2183">
        <v>0</v>
      </c>
      <c r="Q2183">
        <v>0</v>
      </c>
      <c r="R2183" t="s">
        <v>45097</v>
      </c>
      <c r="S2183" t="s">
        <v>45222</v>
      </c>
      <c r="T2183" t="s">
        <v>46965</v>
      </c>
      <c r="U2183" t="s">
        <v>49333</v>
      </c>
      <c r="W2183" t="s">
        <v>42379</v>
      </c>
      <c r="X2183" t="s">
        <v>45098</v>
      </c>
    </row>
    <row r="2184" spans="1:24">
      <c r="A2184">
        <f>HYPERLINK("https://www.philgeps.gov.ph/GEPSNONPILOT/Tender/SplashBidNoticeAbstractUI.aspx?menuIndex=3&amp;refID=7046840&amp;Result=3","7046840")</f>
        <v>0</v>
      </c>
      <c r="B2184" t="s">
        <v>857</v>
      </c>
      <c r="C2184" t="s">
        <v>5295</v>
      </c>
      <c r="D2184" t="s">
        <v>18070</v>
      </c>
      <c r="E2184" t="s">
        <v>20094</v>
      </c>
      <c r="F2184" t="s">
        <v>31574</v>
      </c>
      <c r="G2184" t="s">
        <v>31581</v>
      </c>
      <c r="H2184" t="s">
        <v>31590</v>
      </c>
      <c r="I2184" t="s">
        <v>31599</v>
      </c>
      <c r="J2184" t="s">
        <v>31946</v>
      </c>
      <c r="K2184" t="s">
        <v>41213</v>
      </c>
      <c r="M2184" t="s">
        <v>42377</v>
      </c>
      <c r="N2184" t="s">
        <v>45095</v>
      </c>
      <c r="O2184" t="s">
        <v>45096</v>
      </c>
      <c r="P2184">
        <v>0</v>
      </c>
      <c r="Q2184">
        <v>0</v>
      </c>
      <c r="R2184" t="s">
        <v>45097</v>
      </c>
      <c r="S2184" t="s">
        <v>45222</v>
      </c>
      <c r="T2184" t="s">
        <v>47094</v>
      </c>
      <c r="U2184" t="s">
        <v>49334</v>
      </c>
      <c r="W2184" t="s">
        <v>42377</v>
      </c>
      <c r="X2184" t="s">
        <v>45098</v>
      </c>
    </row>
    <row r="2185" spans="1:24">
      <c r="A2185">
        <f>HYPERLINK("https://www.philgeps.gov.ph/GEPSNONPILOT/Tender/SplashBidNoticeAbstractUI.aspx?menuIndex=3&amp;refID=7046835&amp;Result=3","7046835")</f>
        <v>0</v>
      </c>
      <c r="B2185" t="s">
        <v>857</v>
      </c>
      <c r="C2185" t="s">
        <v>5296</v>
      </c>
      <c r="D2185" t="s">
        <v>18070</v>
      </c>
      <c r="E2185" t="s">
        <v>20095</v>
      </c>
      <c r="F2185" t="s">
        <v>31574</v>
      </c>
      <c r="G2185" t="s">
        <v>31581</v>
      </c>
      <c r="H2185" t="s">
        <v>31590</v>
      </c>
      <c r="I2185" t="s">
        <v>31599</v>
      </c>
      <c r="J2185" t="s">
        <v>33270</v>
      </c>
      <c r="K2185" t="s">
        <v>41213</v>
      </c>
      <c r="M2185" t="s">
        <v>42377</v>
      </c>
      <c r="N2185" t="s">
        <v>45095</v>
      </c>
      <c r="O2185" t="s">
        <v>45096</v>
      </c>
      <c r="P2185">
        <v>0</v>
      </c>
      <c r="Q2185">
        <v>0</v>
      </c>
      <c r="R2185" t="s">
        <v>45097</v>
      </c>
      <c r="S2185" t="s">
        <v>45222</v>
      </c>
      <c r="T2185" t="s">
        <v>47094</v>
      </c>
      <c r="U2185" t="s">
        <v>49335</v>
      </c>
      <c r="W2185" t="s">
        <v>42377</v>
      </c>
      <c r="X2185" t="s">
        <v>45098</v>
      </c>
    </row>
    <row r="2186" spans="1:24">
      <c r="A2186">
        <f>HYPERLINK("https://www.philgeps.gov.ph/GEPSNONPILOT/Tender/SplashBidNoticeAbstractUI.aspx?menuIndex=3&amp;refID=7046833&amp;Result=3","7046833")</f>
        <v>0</v>
      </c>
      <c r="B2186" t="s">
        <v>868</v>
      </c>
      <c r="C2186" t="s">
        <v>5297</v>
      </c>
      <c r="D2186" t="s">
        <v>18026</v>
      </c>
      <c r="E2186" t="s">
        <v>20096</v>
      </c>
      <c r="F2186" t="s">
        <v>31574</v>
      </c>
      <c r="G2186" t="s">
        <v>31582</v>
      </c>
      <c r="H2186" t="s">
        <v>31590</v>
      </c>
      <c r="I2186" t="s">
        <v>4046</v>
      </c>
      <c r="J2186" t="s">
        <v>33271</v>
      </c>
      <c r="K2186" t="s">
        <v>41192</v>
      </c>
      <c r="M2186" t="s">
        <v>42388</v>
      </c>
      <c r="N2186" t="s">
        <v>45095</v>
      </c>
      <c r="O2186" t="s">
        <v>45096</v>
      </c>
      <c r="P2186">
        <v>0</v>
      </c>
      <c r="Q2186">
        <v>0</v>
      </c>
      <c r="R2186" t="s">
        <v>45097</v>
      </c>
      <c r="S2186" t="s">
        <v>45222</v>
      </c>
      <c r="T2186" t="s">
        <v>46938</v>
      </c>
      <c r="U2186" t="s">
        <v>49336</v>
      </c>
      <c r="W2186" t="s">
        <v>61682</v>
      </c>
      <c r="X2186" t="s">
        <v>45098</v>
      </c>
    </row>
    <row r="2187" spans="1:24">
      <c r="A2187">
        <f>HYPERLINK("https://www.philgeps.gov.ph/GEPSNONPILOT/Tender/SplashBidNoticeAbstractUI.aspx?menuIndex=3&amp;refID=7046839&amp;Result=3","7046839")</f>
        <v>0</v>
      </c>
      <c r="B2187" t="s">
        <v>869</v>
      </c>
      <c r="C2187" t="s">
        <v>5298</v>
      </c>
      <c r="D2187" t="s">
        <v>18062</v>
      </c>
      <c r="E2187" t="s">
        <v>20097</v>
      </c>
      <c r="F2187" t="s">
        <v>31574</v>
      </c>
      <c r="G2187" t="s">
        <v>31581</v>
      </c>
      <c r="H2187" t="s">
        <v>31590</v>
      </c>
      <c r="I2187" t="s">
        <v>31616</v>
      </c>
      <c r="J2187" t="s">
        <v>31744</v>
      </c>
      <c r="K2187" t="s">
        <v>41186</v>
      </c>
      <c r="M2187" t="s">
        <v>42389</v>
      </c>
      <c r="N2187" t="s">
        <v>45095</v>
      </c>
      <c r="O2187" t="s">
        <v>45096</v>
      </c>
      <c r="P2187">
        <v>0</v>
      </c>
      <c r="Q2187">
        <v>0</v>
      </c>
      <c r="R2187" t="s">
        <v>45097</v>
      </c>
      <c r="S2187" t="s">
        <v>45222</v>
      </c>
      <c r="T2187" t="s">
        <v>47112</v>
      </c>
      <c r="U2187" t="s">
        <v>49337</v>
      </c>
      <c r="W2187" t="s">
        <v>42389</v>
      </c>
      <c r="X2187" t="s">
        <v>45098</v>
      </c>
    </row>
    <row r="2188" spans="1:24">
      <c r="A2188">
        <f>HYPERLINK("https://www.philgeps.gov.ph/GEPSNONPILOT/Tender/SplashBidNoticeAbstractUI.aspx?menuIndex=3&amp;refID=7046834&amp;Result=3","7046834")</f>
        <v>0</v>
      </c>
      <c r="B2188" t="s">
        <v>870</v>
      </c>
      <c r="C2188" t="s">
        <v>5299</v>
      </c>
      <c r="E2188" t="s">
        <v>20098</v>
      </c>
      <c r="F2188" t="s">
        <v>31574</v>
      </c>
      <c r="G2188" t="s">
        <v>31581</v>
      </c>
      <c r="H2188" t="s">
        <v>31590</v>
      </c>
      <c r="I2188" t="s">
        <v>3487</v>
      </c>
      <c r="J2188" t="s">
        <v>31789</v>
      </c>
      <c r="K2188" t="s">
        <v>41196</v>
      </c>
      <c r="M2188" t="s">
        <v>42390</v>
      </c>
      <c r="N2188" t="s">
        <v>45095</v>
      </c>
      <c r="O2188" t="s">
        <v>45096</v>
      </c>
      <c r="P2188">
        <v>0</v>
      </c>
      <c r="Q2188">
        <v>0</v>
      </c>
      <c r="R2188" t="s">
        <v>45097</v>
      </c>
      <c r="S2188" t="s">
        <v>45222</v>
      </c>
      <c r="T2188" t="s">
        <v>46913</v>
      </c>
      <c r="U2188" t="s">
        <v>49338</v>
      </c>
      <c r="W2188" t="s">
        <v>42390</v>
      </c>
      <c r="X2188" t="s">
        <v>45098</v>
      </c>
    </row>
    <row r="2189" spans="1:24">
      <c r="A2189">
        <f>HYPERLINK("https://www.philgeps.gov.ph/GEPSNONPILOT/Tender/SplashBidNoticeAbstractUI.aspx?menuIndex=3&amp;refID=7046837&amp;Result=3","7046837")</f>
        <v>0</v>
      </c>
      <c r="B2189" t="s">
        <v>871</v>
      </c>
      <c r="C2189" t="s">
        <v>5300</v>
      </c>
      <c r="D2189" t="s">
        <v>18035</v>
      </c>
      <c r="E2189" t="s">
        <v>20099</v>
      </c>
      <c r="F2189" t="s">
        <v>31574</v>
      </c>
      <c r="G2189" t="s">
        <v>31582</v>
      </c>
      <c r="H2189" t="s">
        <v>31590</v>
      </c>
      <c r="I2189" t="s">
        <v>31600</v>
      </c>
      <c r="J2189" t="s">
        <v>33272</v>
      </c>
      <c r="K2189" t="s">
        <v>41193</v>
      </c>
      <c r="M2189" t="s">
        <v>42391</v>
      </c>
      <c r="N2189" t="s">
        <v>45095</v>
      </c>
      <c r="O2189" t="s">
        <v>45096</v>
      </c>
      <c r="P2189">
        <v>0</v>
      </c>
      <c r="Q2189">
        <v>0</v>
      </c>
      <c r="R2189" t="s">
        <v>45097</v>
      </c>
      <c r="S2189" t="s">
        <v>45222</v>
      </c>
      <c r="T2189" t="s">
        <v>46926</v>
      </c>
      <c r="U2189" t="s">
        <v>49339</v>
      </c>
      <c r="W2189" t="s">
        <v>42391</v>
      </c>
      <c r="X2189" t="s">
        <v>45098</v>
      </c>
    </row>
    <row r="2190" spans="1:24">
      <c r="A2190">
        <f>HYPERLINK("https://www.philgeps.gov.ph/GEPSNONPILOT/Tender/SplashBidNoticeAbstractUI.aspx?menuIndex=3&amp;refID=7046854&amp;Result=3","7046854")</f>
        <v>0</v>
      </c>
      <c r="B2190" t="s">
        <v>858</v>
      </c>
      <c r="C2190" t="s">
        <v>5301</v>
      </c>
      <c r="D2190" t="s">
        <v>18100</v>
      </c>
      <c r="E2190" t="s">
        <v>20100</v>
      </c>
      <c r="F2190" t="s">
        <v>31574</v>
      </c>
      <c r="G2190" t="s">
        <v>31583</v>
      </c>
      <c r="H2190" t="s">
        <v>31590</v>
      </c>
      <c r="I2190" t="s">
        <v>31633</v>
      </c>
      <c r="J2190" t="s">
        <v>32147</v>
      </c>
      <c r="K2190" t="s">
        <v>41184</v>
      </c>
      <c r="M2190" t="s">
        <v>42378</v>
      </c>
      <c r="N2190" t="s">
        <v>45095</v>
      </c>
      <c r="O2190" t="s">
        <v>45096</v>
      </c>
      <c r="P2190">
        <v>0</v>
      </c>
      <c r="Q2190">
        <v>0</v>
      </c>
      <c r="R2190" t="s">
        <v>45097</v>
      </c>
      <c r="S2190" t="s">
        <v>45222</v>
      </c>
      <c r="T2190" t="s">
        <v>46979</v>
      </c>
      <c r="U2190" t="s">
        <v>49340</v>
      </c>
      <c r="W2190" t="s">
        <v>42378</v>
      </c>
      <c r="X2190" t="s">
        <v>45098</v>
      </c>
    </row>
    <row r="2191" spans="1:24">
      <c r="A2191">
        <f>HYPERLINK("https://www.philgeps.gov.ph/GEPSNONPILOT/Tender/SplashBidNoticeAbstractUI.aspx?menuIndex=3&amp;refID=7046851&amp;Result=3","7046851")</f>
        <v>0</v>
      </c>
      <c r="B2191" t="s">
        <v>872</v>
      </c>
      <c r="C2191" t="s">
        <v>3993</v>
      </c>
      <c r="D2191" t="s">
        <v>18022</v>
      </c>
      <c r="E2191" t="s">
        <v>20101</v>
      </c>
      <c r="F2191" t="s">
        <v>31574</v>
      </c>
      <c r="G2191" t="s">
        <v>31581</v>
      </c>
      <c r="H2191" t="s">
        <v>31590</v>
      </c>
      <c r="I2191" t="s">
        <v>6800</v>
      </c>
      <c r="J2191" t="s">
        <v>33273</v>
      </c>
      <c r="K2191" t="s">
        <v>41186</v>
      </c>
      <c r="M2191" t="s">
        <v>42392</v>
      </c>
      <c r="N2191" t="s">
        <v>45095</v>
      </c>
      <c r="O2191" t="s">
        <v>45096</v>
      </c>
      <c r="P2191">
        <v>0</v>
      </c>
      <c r="Q2191">
        <v>0</v>
      </c>
      <c r="R2191" t="s">
        <v>45097</v>
      </c>
      <c r="S2191" t="s">
        <v>45222</v>
      </c>
      <c r="T2191" t="s">
        <v>46904</v>
      </c>
      <c r="U2191" t="s">
        <v>49341</v>
      </c>
      <c r="V2191" t="s">
        <v>60065</v>
      </c>
      <c r="W2191" t="s">
        <v>42392</v>
      </c>
      <c r="X2191" t="s">
        <v>45098</v>
      </c>
    </row>
    <row r="2192" spans="1:24">
      <c r="A2192">
        <f>HYPERLINK("https://www.philgeps.gov.ph/GEPSNONPILOT/Tender/SplashBidNoticeAbstractUI.aspx?menuIndex=3&amp;refID=7046852&amp;Result=3","7046852")</f>
        <v>0</v>
      </c>
      <c r="B2192" t="s">
        <v>537</v>
      </c>
      <c r="C2192" t="s">
        <v>5302</v>
      </c>
      <c r="D2192" t="s">
        <v>18022</v>
      </c>
      <c r="E2192" t="s">
        <v>20102</v>
      </c>
      <c r="F2192" t="s">
        <v>31574</v>
      </c>
      <c r="G2192" t="s">
        <v>31581</v>
      </c>
      <c r="H2192" t="s">
        <v>31590</v>
      </c>
      <c r="I2192" t="s">
        <v>4354</v>
      </c>
      <c r="J2192" t="s">
        <v>31754</v>
      </c>
      <c r="K2192" t="s">
        <v>41211</v>
      </c>
      <c r="M2192" t="s">
        <v>42393</v>
      </c>
      <c r="N2192" t="s">
        <v>45095</v>
      </c>
      <c r="O2192" t="s">
        <v>45096</v>
      </c>
      <c r="P2192">
        <v>0</v>
      </c>
      <c r="Q2192">
        <v>0</v>
      </c>
      <c r="R2192" t="s">
        <v>45097</v>
      </c>
      <c r="S2192" t="s">
        <v>45222</v>
      </c>
      <c r="T2192" t="s">
        <v>47094</v>
      </c>
      <c r="U2192" t="s">
        <v>49342</v>
      </c>
      <c r="W2192" t="s">
        <v>42393</v>
      </c>
      <c r="X2192" t="s">
        <v>45098</v>
      </c>
    </row>
    <row r="2193" spans="1:24">
      <c r="A2193">
        <f>HYPERLINK("https://www.philgeps.gov.ph/GEPSNONPILOT/Tender/SplashBidNoticeAbstractUI.aspx?menuIndex=3&amp;refID=7046849&amp;Result=3","7046849")</f>
        <v>0</v>
      </c>
      <c r="B2193" t="s">
        <v>857</v>
      </c>
      <c r="C2193" t="s">
        <v>5303</v>
      </c>
      <c r="D2193" t="s">
        <v>18070</v>
      </c>
      <c r="E2193" t="s">
        <v>20103</v>
      </c>
      <c r="F2193" t="s">
        <v>31574</v>
      </c>
      <c r="G2193" t="s">
        <v>31581</v>
      </c>
      <c r="H2193" t="s">
        <v>31590</v>
      </c>
      <c r="I2193" t="s">
        <v>31682</v>
      </c>
      <c r="J2193" t="s">
        <v>33274</v>
      </c>
      <c r="K2193" t="s">
        <v>41213</v>
      </c>
      <c r="M2193" t="s">
        <v>42377</v>
      </c>
      <c r="N2193" t="s">
        <v>45095</v>
      </c>
      <c r="O2193" t="s">
        <v>45096</v>
      </c>
      <c r="P2193">
        <v>0</v>
      </c>
      <c r="Q2193">
        <v>0</v>
      </c>
      <c r="R2193" t="s">
        <v>45097</v>
      </c>
      <c r="S2193" t="s">
        <v>45222</v>
      </c>
      <c r="T2193" t="s">
        <v>47094</v>
      </c>
      <c r="U2193" t="s">
        <v>49343</v>
      </c>
      <c r="W2193" t="s">
        <v>42377</v>
      </c>
      <c r="X2193" t="s">
        <v>45098</v>
      </c>
    </row>
    <row r="2194" spans="1:24">
      <c r="A2194">
        <f>HYPERLINK("https://www.philgeps.gov.ph/GEPSNONPILOT/Tender/SplashBidNoticeAbstractUI.aspx?menuIndex=3&amp;refID=7046850&amp;Result=3","7046850")</f>
        <v>0</v>
      </c>
      <c r="B2194" t="s">
        <v>873</v>
      </c>
      <c r="C2194" t="s">
        <v>5304</v>
      </c>
      <c r="D2194" t="s">
        <v>18022</v>
      </c>
      <c r="E2194" t="s">
        <v>20104</v>
      </c>
      <c r="F2194" t="s">
        <v>31574</v>
      </c>
      <c r="G2194" t="s">
        <v>31582</v>
      </c>
      <c r="H2194" t="s">
        <v>31590</v>
      </c>
      <c r="I2194" t="s">
        <v>31596</v>
      </c>
      <c r="J2194" t="s">
        <v>33275</v>
      </c>
      <c r="K2194" t="s">
        <v>41184</v>
      </c>
      <c r="M2194" t="s">
        <v>42394</v>
      </c>
      <c r="N2194" t="s">
        <v>45095</v>
      </c>
      <c r="O2194" t="s">
        <v>45096</v>
      </c>
      <c r="P2194">
        <v>0</v>
      </c>
      <c r="Q2194">
        <v>0</v>
      </c>
      <c r="R2194" t="s">
        <v>45097</v>
      </c>
      <c r="S2194" t="s">
        <v>45222</v>
      </c>
      <c r="T2194" t="s">
        <v>46919</v>
      </c>
      <c r="U2194" t="s">
        <v>49344</v>
      </c>
      <c r="W2194" t="s">
        <v>42394</v>
      </c>
      <c r="X2194" t="s">
        <v>45098</v>
      </c>
    </row>
    <row r="2195" spans="1:24">
      <c r="A2195">
        <f>HYPERLINK("https://www.philgeps.gov.ph/GEPSNONPILOT/Tender/SplashBidNoticeAbstractUI.aspx?menuIndex=3&amp;refID=7046847&amp;Result=3","7046847")</f>
        <v>0</v>
      </c>
      <c r="B2195" t="s">
        <v>874</v>
      </c>
      <c r="C2195" t="s">
        <v>5305</v>
      </c>
      <c r="D2195" t="s">
        <v>18027</v>
      </c>
      <c r="E2195" t="s">
        <v>20105</v>
      </c>
      <c r="F2195" t="s">
        <v>31574</v>
      </c>
      <c r="G2195" t="s">
        <v>31583</v>
      </c>
      <c r="H2195" t="s">
        <v>31590</v>
      </c>
      <c r="I2195" t="s">
        <v>4327</v>
      </c>
      <c r="J2195" t="s">
        <v>32012</v>
      </c>
      <c r="K2195" t="s">
        <v>41184</v>
      </c>
      <c r="M2195" t="s">
        <v>42395</v>
      </c>
      <c r="N2195" t="s">
        <v>45095</v>
      </c>
      <c r="O2195" t="s">
        <v>45096</v>
      </c>
      <c r="P2195">
        <v>0</v>
      </c>
      <c r="Q2195">
        <v>0</v>
      </c>
      <c r="R2195" t="s">
        <v>45097</v>
      </c>
      <c r="S2195" t="s">
        <v>45222</v>
      </c>
      <c r="T2195" t="s">
        <v>46918</v>
      </c>
      <c r="U2195" t="s">
        <v>49345</v>
      </c>
      <c r="W2195" t="s">
        <v>42395</v>
      </c>
      <c r="X2195" t="s">
        <v>45098</v>
      </c>
    </row>
    <row r="2196" spans="1:24">
      <c r="A2196">
        <f>HYPERLINK("https://www.philgeps.gov.ph/GEPSNONPILOT/Tender/SplashBidNoticeAbstractUI.aspx?menuIndex=3&amp;refID=7046853&amp;Result=3","7046853")</f>
        <v>0</v>
      </c>
      <c r="B2196" t="s">
        <v>875</v>
      </c>
      <c r="C2196" t="s">
        <v>5306</v>
      </c>
      <c r="D2196" t="s">
        <v>18037</v>
      </c>
      <c r="E2196" t="s">
        <v>20106</v>
      </c>
      <c r="F2196" t="s">
        <v>31574</v>
      </c>
      <c r="G2196" t="s">
        <v>31582</v>
      </c>
      <c r="H2196" t="s">
        <v>31590</v>
      </c>
      <c r="I2196" t="s">
        <v>31605</v>
      </c>
      <c r="J2196" t="s">
        <v>32019</v>
      </c>
      <c r="K2196" t="s">
        <v>41200</v>
      </c>
      <c r="M2196" t="s">
        <v>42396</v>
      </c>
      <c r="N2196" t="s">
        <v>45095</v>
      </c>
      <c r="O2196" t="s">
        <v>45096</v>
      </c>
      <c r="P2196">
        <v>0</v>
      </c>
      <c r="Q2196">
        <v>0</v>
      </c>
      <c r="R2196" t="s">
        <v>45097</v>
      </c>
      <c r="S2196" t="s">
        <v>45222</v>
      </c>
      <c r="T2196" t="s">
        <v>47113</v>
      </c>
      <c r="U2196" t="s">
        <v>49346</v>
      </c>
      <c r="W2196" t="s">
        <v>42396</v>
      </c>
      <c r="X2196" t="s">
        <v>45098</v>
      </c>
    </row>
    <row r="2197" spans="1:24">
      <c r="A2197">
        <f>HYPERLINK("https://www.philgeps.gov.ph/GEPSNONPILOT/Tender/SplashBidNoticeAbstractUI.aspx?menuIndex=3&amp;refID=7046864&amp;Result=3","7046864")</f>
        <v>0</v>
      </c>
      <c r="B2197" t="s">
        <v>867</v>
      </c>
      <c r="C2197" t="s">
        <v>5307</v>
      </c>
      <c r="D2197" t="s">
        <v>18022</v>
      </c>
      <c r="E2197" t="s">
        <v>20107</v>
      </c>
      <c r="F2197" t="s">
        <v>31574</v>
      </c>
      <c r="G2197" t="s">
        <v>31581</v>
      </c>
      <c r="H2197" t="s">
        <v>31592</v>
      </c>
      <c r="I2197" t="s">
        <v>31620</v>
      </c>
      <c r="J2197" t="s">
        <v>31727</v>
      </c>
      <c r="K2197" t="s">
        <v>41225</v>
      </c>
      <c r="M2197" t="s">
        <v>42387</v>
      </c>
      <c r="N2197" t="s">
        <v>45095</v>
      </c>
      <c r="O2197" t="s">
        <v>45096</v>
      </c>
      <c r="P2197">
        <v>0</v>
      </c>
      <c r="Q2197">
        <v>0</v>
      </c>
      <c r="R2197" t="s">
        <v>45097</v>
      </c>
      <c r="S2197" t="s">
        <v>45222</v>
      </c>
      <c r="T2197" t="s">
        <v>46969</v>
      </c>
      <c r="U2197" t="s">
        <v>49332</v>
      </c>
      <c r="W2197" t="s">
        <v>42387</v>
      </c>
      <c r="X2197" t="s">
        <v>45098</v>
      </c>
    </row>
    <row r="2198" spans="1:24">
      <c r="A2198">
        <f>HYPERLINK("https://www.philgeps.gov.ph/GEPSNONPILOT/Tender/SplashBidNoticeAbstractUI.aspx?menuIndex=3&amp;refID=7046863&amp;Result=3","7046863")</f>
        <v>0</v>
      </c>
      <c r="B2198" t="s">
        <v>876</v>
      </c>
      <c r="C2198" t="s">
        <v>5308</v>
      </c>
      <c r="D2198" t="s">
        <v>18047</v>
      </c>
      <c r="E2198" t="s">
        <v>20108</v>
      </c>
      <c r="F2198" t="s">
        <v>31575</v>
      </c>
      <c r="G2198" t="s">
        <v>31582</v>
      </c>
      <c r="H2198" t="s">
        <v>31590</v>
      </c>
      <c r="I2198" t="s">
        <v>4046</v>
      </c>
      <c r="J2198" t="s">
        <v>33276</v>
      </c>
      <c r="K2198" t="s">
        <v>41190</v>
      </c>
      <c r="M2198" t="s">
        <v>42397</v>
      </c>
      <c r="N2198" t="s">
        <v>45095</v>
      </c>
      <c r="O2198" t="s">
        <v>45096</v>
      </c>
      <c r="P2198">
        <v>0</v>
      </c>
      <c r="Q2198">
        <v>0</v>
      </c>
      <c r="R2198" t="s">
        <v>45097</v>
      </c>
      <c r="S2198" t="s">
        <v>45222</v>
      </c>
      <c r="T2198" t="s">
        <v>46988</v>
      </c>
      <c r="U2198" t="s">
        <v>49347</v>
      </c>
      <c r="W2198" t="s">
        <v>42397</v>
      </c>
      <c r="X2198" t="s">
        <v>45098</v>
      </c>
    </row>
    <row r="2199" spans="1:24">
      <c r="A2199">
        <f>HYPERLINK("https://www.philgeps.gov.ph/GEPSNONPILOT/Tender/SplashBidNoticeAbstractUI.aspx?menuIndex=3&amp;refID=7046848&amp;Result=3","7046848")</f>
        <v>0</v>
      </c>
      <c r="B2199" t="s">
        <v>877</v>
      </c>
      <c r="C2199" t="s">
        <v>5309</v>
      </c>
      <c r="D2199" t="s">
        <v>18096</v>
      </c>
      <c r="E2199" t="s">
        <v>20109</v>
      </c>
      <c r="F2199" t="s">
        <v>31574</v>
      </c>
      <c r="G2199" t="s">
        <v>31582</v>
      </c>
      <c r="H2199" t="s">
        <v>31590</v>
      </c>
      <c r="I2199" t="s">
        <v>31602</v>
      </c>
      <c r="J2199" t="s">
        <v>33277</v>
      </c>
      <c r="K2199" t="s">
        <v>41196</v>
      </c>
      <c r="M2199" t="s">
        <v>42398</v>
      </c>
      <c r="N2199" t="s">
        <v>45095</v>
      </c>
      <c r="O2199" t="s">
        <v>45096</v>
      </c>
      <c r="P2199">
        <v>0</v>
      </c>
      <c r="Q2199">
        <v>0</v>
      </c>
      <c r="R2199" t="s">
        <v>45097</v>
      </c>
      <c r="S2199" t="s">
        <v>45222</v>
      </c>
      <c r="T2199" t="s">
        <v>46916</v>
      </c>
      <c r="U2199" t="s">
        <v>49348</v>
      </c>
      <c r="W2199" t="s">
        <v>42398</v>
      </c>
      <c r="X2199" t="s">
        <v>45098</v>
      </c>
    </row>
    <row r="2200" spans="1:24">
      <c r="A2200">
        <f>HYPERLINK("https://www.philgeps.gov.ph/GEPSNONPILOT/Tender/SplashBidNoticeAbstractUI.aspx?menuIndex=3&amp;refID=7046855&amp;Result=3","7046855")</f>
        <v>0</v>
      </c>
      <c r="B2200" t="s">
        <v>877</v>
      </c>
      <c r="C2200" t="s">
        <v>5310</v>
      </c>
      <c r="D2200" t="s">
        <v>18096</v>
      </c>
      <c r="E2200" t="s">
        <v>20110</v>
      </c>
      <c r="F2200" t="s">
        <v>31574</v>
      </c>
      <c r="G2200" t="s">
        <v>31582</v>
      </c>
      <c r="H2200" t="s">
        <v>31590</v>
      </c>
      <c r="I2200" t="s">
        <v>14544</v>
      </c>
      <c r="J2200" t="s">
        <v>32068</v>
      </c>
      <c r="K2200" t="s">
        <v>41196</v>
      </c>
      <c r="M2200" t="s">
        <v>42398</v>
      </c>
      <c r="N2200" t="s">
        <v>45095</v>
      </c>
      <c r="O2200" t="s">
        <v>45096</v>
      </c>
      <c r="P2200">
        <v>0</v>
      </c>
      <c r="Q2200">
        <v>0</v>
      </c>
      <c r="R2200" t="s">
        <v>45097</v>
      </c>
      <c r="S2200" t="s">
        <v>45222</v>
      </c>
      <c r="T2200" t="s">
        <v>46916</v>
      </c>
      <c r="U2200" t="s">
        <v>49349</v>
      </c>
      <c r="W2200" t="s">
        <v>42398</v>
      </c>
      <c r="X2200" t="s">
        <v>45098</v>
      </c>
    </row>
    <row r="2201" spans="1:24">
      <c r="A2201">
        <f>HYPERLINK("https://www.philgeps.gov.ph/GEPSNONPILOT/Tender/SplashBidNoticeAbstractUI.aspx?menuIndex=3&amp;refID=7046862&amp;Result=3","7046862")</f>
        <v>0</v>
      </c>
      <c r="B2201" t="s">
        <v>746</v>
      </c>
      <c r="C2201" t="s">
        <v>5311</v>
      </c>
      <c r="D2201" t="s">
        <v>18053</v>
      </c>
      <c r="E2201" t="s">
        <v>20111</v>
      </c>
      <c r="F2201" t="s">
        <v>31574</v>
      </c>
      <c r="G2201" t="s">
        <v>31582</v>
      </c>
      <c r="H2201" t="s">
        <v>31590</v>
      </c>
      <c r="I2201" t="s">
        <v>7185</v>
      </c>
      <c r="J2201" t="s">
        <v>31789</v>
      </c>
      <c r="K2201" t="s">
        <v>41196</v>
      </c>
      <c r="M2201" t="s">
        <v>42260</v>
      </c>
      <c r="N2201" t="s">
        <v>45095</v>
      </c>
      <c r="O2201" t="s">
        <v>45096</v>
      </c>
      <c r="P2201">
        <v>0</v>
      </c>
      <c r="Q2201">
        <v>0</v>
      </c>
      <c r="R2201" t="s">
        <v>45097</v>
      </c>
      <c r="S2201" t="s">
        <v>45222</v>
      </c>
      <c r="T2201" t="s">
        <v>46919</v>
      </c>
      <c r="U2201" t="s">
        <v>49350</v>
      </c>
      <c r="W2201" t="s">
        <v>42260</v>
      </c>
      <c r="X2201" t="s">
        <v>45098</v>
      </c>
    </row>
    <row r="2202" spans="1:24">
      <c r="A2202">
        <f>HYPERLINK("https://www.philgeps.gov.ph/GEPSNONPILOT/Tender/SplashBidNoticeAbstractUI.aspx?menuIndex=3&amp;refID=7046857&amp;Result=3","7046857")</f>
        <v>0</v>
      </c>
      <c r="B2202" t="s">
        <v>878</v>
      </c>
      <c r="C2202" t="s">
        <v>5312</v>
      </c>
      <c r="D2202" t="s">
        <v>18057</v>
      </c>
      <c r="E2202" t="s">
        <v>20112</v>
      </c>
      <c r="F2202" t="s">
        <v>31574</v>
      </c>
      <c r="G2202" t="s">
        <v>31581</v>
      </c>
      <c r="H2202" t="s">
        <v>31590</v>
      </c>
      <c r="I2202" t="s">
        <v>31612</v>
      </c>
      <c r="J2202" t="s">
        <v>33278</v>
      </c>
      <c r="K2202" t="s">
        <v>41211</v>
      </c>
      <c r="M2202" t="s">
        <v>42399</v>
      </c>
      <c r="N2202" t="s">
        <v>45095</v>
      </c>
      <c r="O2202" t="s">
        <v>45096</v>
      </c>
      <c r="P2202">
        <v>0</v>
      </c>
      <c r="Q2202">
        <v>0</v>
      </c>
      <c r="R2202" t="s">
        <v>45097</v>
      </c>
      <c r="S2202" t="s">
        <v>45222</v>
      </c>
      <c r="T2202" t="s">
        <v>46904</v>
      </c>
      <c r="U2202" t="s">
        <v>49351</v>
      </c>
      <c r="W2202" t="s">
        <v>42399</v>
      </c>
      <c r="X2202" t="s">
        <v>45098</v>
      </c>
    </row>
    <row r="2203" spans="1:24">
      <c r="A2203">
        <f>HYPERLINK("https://www.philgeps.gov.ph/GEPSNONPILOT/Tender/SplashBidNoticeAbstractUI.aspx?menuIndex=3&amp;refID=7046861&amp;Result=3","7046861")</f>
        <v>0</v>
      </c>
      <c r="B2203" t="s">
        <v>877</v>
      </c>
      <c r="C2203" t="s">
        <v>5313</v>
      </c>
      <c r="D2203" t="s">
        <v>18096</v>
      </c>
      <c r="E2203" t="s">
        <v>20113</v>
      </c>
      <c r="F2203" t="s">
        <v>31574</v>
      </c>
      <c r="G2203" t="s">
        <v>31582</v>
      </c>
      <c r="H2203" t="s">
        <v>31591</v>
      </c>
      <c r="I2203" t="s">
        <v>8822</v>
      </c>
      <c r="J2203" t="s">
        <v>33279</v>
      </c>
      <c r="K2203" t="s">
        <v>41248</v>
      </c>
      <c r="M2203" t="s">
        <v>42398</v>
      </c>
      <c r="N2203" t="s">
        <v>45095</v>
      </c>
      <c r="O2203" t="s">
        <v>45096</v>
      </c>
      <c r="P2203">
        <v>0</v>
      </c>
      <c r="Q2203">
        <v>0</v>
      </c>
      <c r="R2203" t="s">
        <v>45097</v>
      </c>
      <c r="S2203" t="s">
        <v>45222</v>
      </c>
      <c r="T2203" t="s">
        <v>46956</v>
      </c>
      <c r="U2203" t="s">
        <v>49352</v>
      </c>
      <c r="W2203" t="s">
        <v>42398</v>
      </c>
      <c r="X2203" t="s">
        <v>45098</v>
      </c>
    </row>
    <row r="2204" spans="1:24">
      <c r="A2204">
        <f>HYPERLINK("https://www.philgeps.gov.ph/GEPSNONPILOT/Tender/SplashBidNoticeAbstractUI.aspx?menuIndex=3&amp;refID=7046842&amp;Result=3","7046842")</f>
        <v>0</v>
      </c>
      <c r="B2204" t="s">
        <v>874</v>
      </c>
      <c r="C2204" t="s">
        <v>5314</v>
      </c>
      <c r="D2204" t="s">
        <v>18027</v>
      </c>
      <c r="E2204" t="s">
        <v>20114</v>
      </c>
      <c r="F2204" t="s">
        <v>31574</v>
      </c>
      <c r="G2204" t="s">
        <v>31583</v>
      </c>
      <c r="H2204" t="s">
        <v>31590</v>
      </c>
      <c r="I2204" t="s">
        <v>31605</v>
      </c>
      <c r="J2204" t="s">
        <v>31845</v>
      </c>
      <c r="K2204" t="s">
        <v>41184</v>
      </c>
      <c r="M2204" t="s">
        <v>42395</v>
      </c>
      <c r="N2204" t="s">
        <v>45095</v>
      </c>
      <c r="O2204" t="s">
        <v>45096</v>
      </c>
      <c r="P2204">
        <v>0</v>
      </c>
      <c r="Q2204">
        <v>0</v>
      </c>
      <c r="R2204" t="s">
        <v>45097</v>
      </c>
      <c r="S2204" t="s">
        <v>45222</v>
      </c>
      <c r="T2204" t="s">
        <v>46918</v>
      </c>
      <c r="U2204" t="s">
        <v>49353</v>
      </c>
      <c r="W2204" t="s">
        <v>42395</v>
      </c>
      <c r="X2204" t="s">
        <v>45098</v>
      </c>
    </row>
    <row r="2205" spans="1:24">
      <c r="A2205">
        <f>HYPERLINK("https://www.philgeps.gov.ph/GEPSNONPILOT/Tender/SplashBidNoticeAbstractUI.aspx?menuIndex=3&amp;refID=7046879&amp;Result=3","7046879")</f>
        <v>0</v>
      </c>
      <c r="B2205" t="s">
        <v>879</v>
      </c>
      <c r="C2205" t="s">
        <v>3689</v>
      </c>
      <c r="D2205" t="s">
        <v>18022</v>
      </c>
      <c r="E2205" t="s">
        <v>20115</v>
      </c>
      <c r="F2205" t="s">
        <v>31574</v>
      </c>
      <c r="G2205" t="s">
        <v>31581</v>
      </c>
      <c r="H2205" t="s">
        <v>31590</v>
      </c>
      <c r="I2205" t="s">
        <v>31594</v>
      </c>
      <c r="J2205" t="s">
        <v>32035</v>
      </c>
      <c r="K2205" t="s">
        <v>41184</v>
      </c>
      <c r="M2205" t="s">
        <v>42400</v>
      </c>
      <c r="N2205" t="s">
        <v>45095</v>
      </c>
      <c r="O2205" t="s">
        <v>45096</v>
      </c>
      <c r="P2205">
        <v>0</v>
      </c>
      <c r="Q2205">
        <v>0</v>
      </c>
      <c r="R2205" t="s">
        <v>45097</v>
      </c>
      <c r="S2205" t="s">
        <v>45222</v>
      </c>
      <c r="T2205" t="s">
        <v>46979</v>
      </c>
      <c r="U2205" t="s">
        <v>49354</v>
      </c>
      <c r="W2205" t="s">
        <v>42400</v>
      </c>
      <c r="X2205" t="s">
        <v>45098</v>
      </c>
    </row>
    <row r="2206" spans="1:24">
      <c r="A2206">
        <f>HYPERLINK("https://www.philgeps.gov.ph/GEPSNONPILOT/Tender/SplashBidNoticeAbstractUI.aspx?menuIndex=3&amp;refID=7046877&amp;Result=3","7046877")</f>
        <v>0</v>
      </c>
      <c r="B2206" t="s">
        <v>857</v>
      </c>
      <c r="C2206" t="s">
        <v>5315</v>
      </c>
      <c r="D2206" t="s">
        <v>18070</v>
      </c>
      <c r="E2206" t="s">
        <v>20116</v>
      </c>
      <c r="F2206" t="s">
        <v>31574</v>
      </c>
      <c r="G2206" t="s">
        <v>31581</v>
      </c>
      <c r="H2206" t="s">
        <v>31590</v>
      </c>
      <c r="I2206" t="s">
        <v>3873</v>
      </c>
      <c r="J2206" t="s">
        <v>33280</v>
      </c>
      <c r="K2206" t="s">
        <v>41213</v>
      </c>
      <c r="M2206" t="s">
        <v>42377</v>
      </c>
      <c r="N2206" t="s">
        <v>45095</v>
      </c>
      <c r="O2206" t="s">
        <v>45096</v>
      </c>
      <c r="P2206">
        <v>0</v>
      </c>
      <c r="Q2206">
        <v>0</v>
      </c>
      <c r="R2206" t="s">
        <v>45097</v>
      </c>
      <c r="S2206" t="s">
        <v>45222</v>
      </c>
      <c r="T2206" t="s">
        <v>46911</v>
      </c>
      <c r="U2206" t="s">
        <v>49355</v>
      </c>
      <c r="W2206" t="s">
        <v>42377</v>
      </c>
      <c r="X2206" t="s">
        <v>45098</v>
      </c>
    </row>
    <row r="2207" spans="1:24">
      <c r="A2207">
        <f>HYPERLINK("https://www.philgeps.gov.ph/GEPSNONPILOT/Tender/SplashBidNoticeAbstractUI.aspx?menuIndex=3&amp;refID=7046873&amp;Result=3","7046873")</f>
        <v>0</v>
      </c>
      <c r="B2207" t="s">
        <v>880</v>
      </c>
      <c r="C2207" t="s">
        <v>5316</v>
      </c>
      <c r="D2207" t="s">
        <v>18083</v>
      </c>
      <c r="E2207" t="s">
        <v>20117</v>
      </c>
      <c r="F2207" t="s">
        <v>31574</v>
      </c>
      <c r="G2207" t="s">
        <v>31582</v>
      </c>
      <c r="H2207" t="s">
        <v>31591</v>
      </c>
      <c r="I2207" t="s">
        <v>8822</v>
      </c>
      <c r="J2207" t="s">
        <v>32019</v>
      </c>
      <c r="K2207" t="s">
        <v>41186</v>
      </c>
      <c r="M2207" t="s">
        <v>42401</v>
      </c>
      <c r="N2207" t="s">
        <v>45095</v>
      </c>
      <c r="O2207" t="s">
        <v>45096</v>
      </c>
      <c r="P2207">
        <v>0</v>
      </c>
      <c r="Q2207">
        <v>0</v>
      </c>
      <c r="R2207" t="s">
        <v>45097</v>
      </c>
      <c r="S2207" t="s">
        <v>45222</v>
      </c>
      <c r="T2207" t="s">
        <v>46921</v>
      </c>
      <c r="U2207" t="s">
        <v>49356</v>
      </c>
      <c r="W2207" t="s">
        <v>61683</v>
      </c>
      <c r="X2207" t="s">
        <v>45098</v>
      </c>
    </row>
    <row r="2208" spans="1:24">
      <c r="A2208">
        <f>HYPERLINK("https://www.philgeps.gov.ph/GEPSNONPILOT/Tender/SplashBidNoticeAbstractUI.aspx?menuIndex=3&amp;refID=7046875&amp;Result=3","7046875")</f>
        <v>0</v>
      </c>
      <c r="B2208" t="s">
        <v>878</v>
      </c>
      <c r="C2208" t="s">
        <v>5317</v>
      </c>
      <c r="D2208" t="s">
        <v>18057</v>
      </c>
      <c r="E2208" t="s">
        <v>20118</v>
      </c>
      <c r="F2208" t="s">
        <v>31574</v>
      </c>
      <c r="G2208" t="s">
        <v>31581</v>
      </c>
      <c r="H2208" t="s">
        <v>31590</v>
      </c>
      <c r="I2208" t="s">
        <v>31612</v>
      </c>
      <c r="J2208" t="s">
        <v>33281</v>
      </c>
      <c r="K2208" t="s">
        <v>41211</v>
      </c>
      <c r="M2208" t="s">
        <v>42399</v>
      </c>
      <c r="N2208" t="s">
        <v>45095</v>
      </c>
      <c r="O2208" t="s">
        <v>45096</v>
      </c>
      <c r="P2208">
        <v>0</v>
      </c>
      <c r="Q2208">
        <v>0</v>
      </c>
      <c r="R2208" t="s">
        <v>45097</v>
      </c>
      <c r="S2208" t="s">
        <v>45222</v>
      </c>
      <c r="T2208" t="s">
        <v>46904</v>
      </c>
      <c r="U2208" t="s">
        <v>49351</v>
      </c>
      <c r="W2208" t="s">
        <v>42399</v>
      </c>
      <c r="X2208" t="s">
        <v>45098</v>
      </c>
    </row>
    <row r="2209" spans="1:24">
      <c r="A2209">
        <f>HYPERLINK("https://www.philgeps.gov.ph/GEPSNONPILOT/Tender/SplashBidNoticeAbstractUI.aspx?menuIndex=3&amp;refID=7046870&amp;Result=3","7046870")</f>
        <v>0</v>
      </c>
      <c r="B2209" t="s">
        <v>881</v>
      </c>
      <c r="C2209" t="s">
        <v>5318</v>
      </c>
      <c r="D2209" t="s">
        <v>18041</v>
      </c>
      <c r="E2209" t="s">
        <v>20119</v>
      </c>
      <c r="F2209" t="s">
        <v>31574</v>
      </c>
      <c r="G2209" t="s">
        <v>31581</v>
      </c>
      <c r="H2209" t="s">
        <v>31590</v>
      </c>
      <c r="I2209" t="s">
        <v>3520</v>
      </c>
      <c r="J2209" t="s">
        <v>33282</v>
      </c>
      <c r="K2209" t="s">
        <v>41196</v>
      </c>
      <c r="M2209" t="s">
        <v>42402</v>
      </c>
      <c r="N2209" t="s">
        <v>45095</v>
      </c>
      <c r="O2209" t="s">
        <v>45096</v>
      </c>
      <c r="P2209">
        <v>0</v>
      </c>
      <c r="Q2209">
        <v>0</v>
      </c>
      <c r="R2209" t="s">
        <v>45097</v>
      </c>
      <c r="S2209" t="s">
        <v>45222</v>
      </c>
      <c r="T2209" t="s">
        <v>46913</v>
      </c>
      <c r="U2209" t="s">
        <v>49357</v>
      </c>
      <c r="W2209" t="s">
        <v>42402</v>
      </c>
      <c r="X2209" t="s">
        <v>45098</v>
      </c>
    </row>
    <row r="2210" spans="1:24">
      <c r="A2210">
        <f>HYPERLINK("https://www.philgeps.gov.ph/GEPSNONPILOT/Tender/SplashBidNoticeAbstractUI.aspx?menuIndex=3&amp;refID=7046878&amp;Result=3","7046878")</f>
        <v>0</v>
      </c>
      <c r="B2210" t="s">
        <v>882</v>
      </c>
      <c r="C2210" t="s">
        <v>5319</v>
      </c>
      <c r="D2210" t="s">
        <v>18075</v>
      </c>
      <c r="E2210" t="s">
        <v>20120</v>
      </c>
      <c r="F2210" t="s">
        <v>31574</v>
      </c>
      <c r="G2210" t="s">
        <v>31581</v>
      </c>
      <c r="H2210" t="s">
        <v>31590</v>
      </c>
      <c r="I2210" t="s">
        <v>31595</v>
      </c>
      <c r="J2210" t="s">
        <v>33283</v>
      </c>
      <c r="K2210" t="s">
        <v>41191</v>
      </c>
      <c r="M2210" t="s">
        <v>42403</v>
      </c>
      <c r="N2210" t="s">
        <v>45095</v>
      </c>
      <c r="O2210" t="s">
        <v>45096</v>
      </c>
      <c r="P2210">
        <v>0</v>
      </c>
      <c r="Q2210">
        <v>0</v>
      </c>
      <c r="R2210" t="s">
        <v>45097</v>
      </c>
      <c r="S2210" t="s">
        <v>45222</v>
      </c>
      <c r="T2210" t="s">
        <v>46918</v>
      </c>
      <c r="U2210" t="s">
        <v>49354</v>
      </c>
      <c r="V2210" t="s">
        <v>60066</v>
      </c>
      <c r="W2210" t="s">
        <v>42403</v>
      </c>
      <c r="X2210" t="s">
        <v>45098</v>
      </c>
    </row>
    <row r="2211" spans="1:24">
      <c r="A2211">
        <f>HYPERLINK("https://www.philgeps.gov.ph/GEPSNONPILOT/Tender/SplashBidNoticeAbstractUI.aspx?menuIndex=3&amp;refID=7046841&amp;Result=3","7046841")</f>
        <v>0</v>
      </c>
      <c r="B2211" t="s">
        <v>537</v>
      </c>
      <c r="C2211" t="s">
        <v>5320</v>
      </c>
      <c r="D2211" t="s">
        <v>18022</v>
      </c>
      <c r="E2211" t="s">
        <v>20121</v>
      </c>
      <c r="F2211" t="s">
        <v>31574</v>
      </c>
      <c r="G2211" t="s">
        <v>31581</v>
      </c>
      <c r="H2211" t="s">
        <v>31590</v>
      </c>
      <c r="I2211" t="s">
        <v>31644</v>
      </c>
      <c r="J2211" t="s">
        <v>33180</v>
      </c>
      <c r="K2211" t="s">
        <v>41211</v>
      </c>
      <c r="M2211" t="s">
        <v>42393</v>
      </c>
      <c r="N2211" t="s">
        <v>45095</v>
      </c>
      <c r="O2211" t="s">
        <v>45096</v>
      </c>
      <c r="P2211">
        <v>0</v>
      </c>
      <c r="Q2211">
        <v>0</v>
      </c>
      <c r="R2211" t="s">
        <v>45097</v>
      </c>
      <c r="S2211" t="s">
        <v>45222</v>
      </c>
      <c r="T2211" t="s">
        <v>47094</v>
      </c>
      <c r="U2211" t="s">
        <v>49358</v>
      </c>
      <c r="W2211" t="s">
        <v>42393</v>
      </c>
      <c r="X2211" t="s">
        <v>45098</v>
      </c>
    </row>
    <row r="2212" spans="1:24">
      <c r="A2212">
        <f>HYPERLINK("https://www.philgeps.gov.ph/GEPSNONPILOT/Tender/SplashBidNoticeAbstractUI.aspx?menuIndex=3&amp;refID=7046867&amp;Result=3","7046867")</f>
        <v>0</v>
      </c>
      <c r="B2212" t="s">
        <v>883</v>
      </c>
      <c r="C2212" t="s">
        <v>5321</v>
      </c>
      <c r="D2212" t="s">
        <v>18075</v>
      </c>
      <c r="E2212" t="s">
        <v>20122</v>
      </c>
      <c r="F2212" t="s">
        <v>31574</v>
      </c>
      <c r="G2212" t="s">
        <v>31582</v>
      </c>
      <c r="H2212" t="s">
        <v>31591</v>
      </c>
      <c r="I2212" t="s">
        <v>8822</v>
      </c>
      <c r="J2212" t="s">
        <v>33284</v>
      </c>
      <c r="K2212" t="s">
        <v>41278</v>
      </c>
      <c r="M2212" t="s">
        <v>42404</v>
      </c>
      <c r="N2212" t="s">
        <v>45095</v>
      </c>
      <c r="O2212" t="s">
        <v>45096</v>
      </c>
      <c r="P2212">
        <v>0</v>
      </c>
      <c r="Q2212">
        <v>0</v>
      </c>
      <c r="R2212" t="s">
        <v>45097</v>
      </c>
      <c r="S2212" t="s">
        <v>45222</v>
      </c>
      <c r="T2212" t="s">
        <v>46915</v>
      </c>
      <c r="U2212" t="s">
        <v>49359</v>
      </c>
      <c r="W2212" t="s">
        <v>42404</v>
      </c>
      <c r="X2212" t="s">
        <v>45098</v>
      </c>
    </row>
    <row r="2213" spans="1:24">
      <c r="A2213">
        <f>HYPERLINK("https://www.philgeps.gov.ph/GEPSNONPILOT/Tender/SplashBidNoticeAbstractUI.aspx?menuIndex=3&amp;refID=7046845&amp;Result=3","7046845")</f>
        <v>0</v>
      </c>
      <c r="B2213" t="s">
        <v>746</v>
      </c>
      <c r="C2213" t="s">
        <v>5322</v>
      </c>
      <c r="D2213" t="s">
        <v>18053</v>
      </c>
      <c r="E2213" t="s">
        <v>20123</v>
      </c>
      <c r="F2213" t="s">
        <v>31574</v>
      </c>
      <c r="G2213" t="s">
        <v>31582</v>
      </c>
      <c r="H2213" t="s">
        <v>31591</v>
      </c>
      <c r="I2213" t="s">
        <v>8822</v>
      </c>
      <c r="J2213" t="s">
        <v>31771</v>
      </c>
      <c r="K2213" t="s">
        <v>41243</v>
      </c>
      <c r="M2213" t="s">
        <v>42260</v>
      </c>
      <c r="N2213" t="s">
        <v>45095</v>
      </c>
      <c r="O2213" t="s">
        <v>45096</v>
      </c>
      <c r="P2213">
        <v>0</v>
      </c>
      <c r="Q2213">
        <v>0</v>
      </c>
      <c r="R2213" t="s">
        <v>45097</v>
      </c>
      <c r="S2213" t="s">
        <v>45222</v>
      </c>
      <c r="T2213" t="s">
        <v>46919</v>
      </c>
      <c r="U2213" t="s">
        <v>49360</v>
      </c>
      <c r="W2213" t="s">
        <v>42260</v>
      </c>
      <c r="X2213" t="s">
        <v>45098</v>
      </c>
    </row>
    <row r="2214" spans="1:24">
      <c r="A2214">
        <f>HYPERLINK("https://www.philgeps.gov.ph/GEPSNONPILOT/Tender/SplashBidNoticeAbstractUI.aspx?menuIndex=3&amp;refID=7046868&amp;Result=3","7046868")</f>
        <v>0</v>
      </c>
      <c r="B2214" t="s">
        <v>884</v>
      </c>
      <c r="C2214" t="s">
        <v>5323</v>
      </c>
      <c r="D2214" t="s">
        <v>18022</v>
      </c>
      <c r="E2214" t="s">
        <v>20124</v>
      </c>
      <c r="F2214" t="s">
        <v>31574</v>
      </c>
      <c r="G2214" t="s">
        <v>31582</v>
      </c>
      <c r="H2214" t="s">
        <v>31590</v>
      </c>
      <c r="I2214" t="s">
        <v>3487</v>
      </c>
      <c r="J2214" t="s">
        <v>33285</v>
      </c>
      <c r="K2214" t="s">
        <v>41190</v>
      </c>
      <c r="M2214" t="s">
        <v>42405</v>
      </c>
      <c r="N2214" t="s">
        <v>45095</v>
      </c>
      <c r="O2214" t="s">
        <v>45096</v>
      </c>
      <c r="P2214">
        <v>0</v>
      </c>
      <c r="Q2214">
        <v>0</v>
      </c>
      <c r="R2214" t="s">
        <v>45097</v>
      </c>
      <c r="S2214" t="s">
        <v>45222</v>
      </c>
      <c r="T2214" t="s">
        <v>46984</v>
      </c>
      <c r="U2214" t="s">
        <v>49361</v>
      </c>
      <c r="W2214" t="s">
        <v>42405</v>
      </c>
      <c r="X2214" t="s">
        <v>45098</v>
      </c>
    </row>
    <row r="2215" spans="1:24">
      <c r="A2215">
        <f>HYPERLINK("https://www.philgeps.gov.ph/GEPSNONPILOT/Tender/SplashBidNoticeAbstractUI.aspx?menuIndex=3&amp;refID=7046860&amp;Result=3","7046860")</f>
        <v>0</v>
      </c>
      <c r="B2215" t="s">
        <v>858</v>
      </c>
      <c r="C2215" t="s">
        <v>5324</v>
      </c>
      <c r="D2215" t="s">
        <v>18100</v>
      </c>
      <c r="E2215" t="s">
        <v>20125</v>
      </c>
      <c r="F2215" t="s">
        <v>31574</v>
      </c>
      <c r="G2215" t="s">
        <v>31583</v>
      </c>
      <c r="H2215" t="s">
        <v>31590</v>
      </c>
      <c r="I2215" t="s">
        <v>31612</v>
      </c>
      <c r="J2215" t="s">
        <v>31830</v>
      </c>
      <c r="K2215" t="s">
        <v>41184</v>
      </c>
      <c r="M2215" t="s">
        <v>42378</v>
      </c>
      <c r="N2215" t="s">
        <v>45095</v>
      </c>
      <c r="O2215" t="s">
        <v>45096</v>
      </c>
      <c r="P2215">
        <v>0</v>
      </c>
      <c r="Q2215">
        <v>0</v>
      </c>
      <c r="R2215" t="s">
        <v>45097</v>
      </c>
      <c r="S2215" t="s">
        <v>45222</v>
      </c>
      <c r="T2215" t="s">
        <v>47043</v>
      </c>
      <c r="U2215" t="s">
        <v>49362</v>
      </c>
      <c r="W2215" t="s">
        <v>42378</v>
      </c>
      <c r="X2215" t="s">
        <v>45098</v>
      </c>
    </row>
    <row r="2216" spans="1:24">
      <c r="A2216">
        <f>HYPERLINK("https://www.philgeps.gov.ph/GEPSNONPILOT/Tender/SplashBidNoticeAbstractUI.aspx?menuIndex=3&amp;refID=7046874&amp;Result=3","7046874")</f>
        <v>0</v>
      </c>
      <c r="B2216" t="s">
        <v>883</v>
      </c>
      <c r="C2216" t="s">
        <v>5325</v>
      </c>
      <c r="D2216" t="s">
        <v>18075</v>
      </c>
      <c r="E2216" t="s">
        <v>18754</v>
      </c>
      <c r="F2216" t="s">
        <v>31574</v>
      </c>
      <c r="G2216" t="s">
        <v>31582</v>
      </c>
      <c r="H2216" t="s">
        <v>31591</v>
      </c>
      <c r="I2216" t="s">
        <v>8822</v>
      </c>
      <c r="J2216" t="s">
        <v>33286</v>
      </c>
      <c r="K2216" t="s">
        <v>41273</v>
      </c>
      <c r="M2216" t="s">
        <v>42404</v>
      </c>
      <c r="N2216" t="s">
        <v>45095</v>
      </c>
      <c r="O2216" t="s">
        <v>45096</v>
      </c>
      <c r="P2216">
        <v>0</v>
      </c>
      <c r="Q2216">
        <v>0</v>
      </c>
      <c r="R2216" t="s">
        <v>45097</v>
      </c>
      <c r="S2216" t="s">
        <v>45222</v>
      </c>
      <c r="T2216" t="s">
        <v>46915</v>
      </c>
      <c r="U2216" t="s">
        <v>49363</v>
      </c>
      <c r="W2216" t="s">
        <v>42404</v>
      </c>
      <c r="X2216" t="s">
        <v>45098</v>
      </c>
    </row>
    <row r="2217" spans="1:24">
      <c r="A2217">
        <f>HYPERLINK("https://www.philgeps.gov.ph/GEPSNONPILOT/Tender/SplashBidNoticeAbstractUI.aspx?menuIndex=3&amp;refID=7046865&amp;Result=3","7046865")</f>
        <v>0</v>
      </c>
      <c r="B2217" t="s">
        <v>875</v>
      </c>
      <c r="C2217" t="s">
        <v>5326</v>
      </c>
      <c r="D2217" t="s">
        <v>18037</v>
      </c>
      <c r="E2217" t="s">
        <v>20126</v>
      </c>
      <c r="F2217" t="s">
        <v>31574</v>
      </c>
      <c r="G2217" t="s">
        <v>31582</v>
      </c>
      <c r="H2217" t="s">
        <v>31591</v>
      </c>
      <c r="I2217" t="s">
        <v>31607</v>
      </c>
      <c r="J2217" t="s">
        <v>31962</v>
      </c>
      <c r="K2217" t="s">
        <v>41200</v>
      </c>
      <c r="M2217" t="s">
        <v>42396</v>
      </c>
      <c r="N2217" t="s">
        <v>45095</v>
      </c>
      <c r="O2217" t="s">
        <v>45096</v>
      </c>
      <c r="P2217">
        <v>0</v>
      </c>
      <c r="Q2217">
        <v>0</v>
      </c>
      <c r="R2217" t="s">
        <v>45097</v>
      </c>
      <c r="S2217" t="s">
        <v>45222</v>
      </c>
      <c r="T2217" t="s">
        <v>46977</v>
      </c>
      <c r="U2217" t="s">
        <v>49364</v>
      </c>
      <c r="W2217" t="s">
        <v>42396</v>
      </c>
      <c r="X2217" t="s">
        <v>45098</v>
      </c>
    </row>
    <row r="2218" spans="1:24">
      <c r="A2218">
        <f>HYPERLINK("https://www.philgeps.gov.ph/GEPSNONPILOT/Tender/SplashBidNoticeAbstractUI.aspx?menuIndex=3&amp;refID=7046882&amp;Result=3","7046882")</f>
        <v>0</v>
      </c>
      <c r="B2218" t="s">
        <v>883</v>
      </c>
      <c r="C2218" t="s">
        <v>5327</v>
      </c>
      <c r="D2218" t="s">
        <v>18075</v>
      </c>
      <c r="E2218" t="s">
        <v>19676</v>
      </c>
      <c r="F2218" t="s">
        <v>31574</v>
      </c>
      <c r="G2218" t="s">
        <v>31582</v>
      </c>
      <c r="H2218" t="s">
        <v>31591</v>
      </c>
      <c r="I2218" t="s">
        <v>8822</v>
      </c>
      <c r="J2218" t="s">
        <v>33287</v>
      </c>
      <c r="K2218" t="s">
        <v>41273</v>
      </c>
      <c r="M2218" t="s">
        <v>42404</v>
      </c>
      <c r="N2218" t="s">
        <v>45095</v>
      </c>
      <c r="O2218" t="s">
        <v>45096</v>
      </c>
      <c r="P2218">
        <v>0</v>
      </c>
      <c r="Q2218">
        <v>0</v>
      </c>
      <c r="R2218" t="s">
        <v>45097</v>
      </c>
      <c r="S2218" t="s">
        <v>45222</v>
      </c>
      <c r="T2218" t="s">
        <v>46915</v>
      </c>
      <c r="U2218" t="s">
        <v>49365</v>
      </c>
      <c r="W2218" t="s">
        <v>42404</v>
      </c>
      <c r="X2218" t="s">
        <v>45098</v>
      </c>
    </row>
    <row r="2219" spans="1:24">
      <c r="A2219">
        <f>HYPERLINK("https://www.philgeps.gov.ph/GEPSNONPILOT/Tender/SplashBidNoticeAbstractUI.aspx?menuIndex=3&amp;refID=7046858&amp;Result=3","7046858")</f>
        <v>0</v>
      </c>
      <c r="B2219" t="s">
        <v>877</v>
      </c>
      <c r="C2219" t="s">
        <v>5328</v>
      </c>
      <c r="D2219" t="s">
        <v>18096</v>
      </c>
      <c r="E2219" t="s">
        <v>20127</v>
      </c>
      <c r="F2219" t="s">
        <v>31574</v>
      </c>
      <c r="G2219" t="s">
        <v>31582</v>
      </c>
      <c r="H2219" t="s">
        <v>31591</v>
      </c>
      <c r="I2219" t="s">
        <v>8822</v>
      </c>
      <c r="J2219" t="s">
        <v>33288</v>
      </c>
      <c r="K2219" t="s">
        <v>41279</v>
      </c>
      <c r="M2219" t="s">
        <v>42398</v>
      </c>
      <c r="N2219" t="s">
        <v>45095</v>
      </c>
      <c r="O2219" t="s">
        <v>45096</v>
      </c>
      <c r="P2219">
        <v>0</v>
      </c>
      <c r="Q2219">
        <v>0</v>
      </c>
      <c r="R2219" t="s">
        <v>45097</v>
      </c>
      <c r="S2219" t="s">
        <v>45222</v>
      </c>
      <c r="T2219" t="s">
        <v>46956</v>
      </c>
      <c r="U2219" t="s">
        <v>49366</v>
      </c>
      <c r="W2219" t="s">
        <v>42398</v>
      </c>
      <c r="X2219" t="s">
        <v>45098</v>
      </c>
    </row>
    <row r="2220" spans="1:24">
      <c r="A2220">
        <f>HYPERLINK("https://www.philgeps.gov.ph/GEPSNONPILOT/Tender/SplashBidNoticeAbstractUI.aspx?menuIndex=3&amp;refID=7046895&amp;Result=3","7046895")</f>
        <v>0</v>
      </c>
      <c r="B2220" t="s">
        <v>858</v>
      </c>
      <c r="C2220" t="s">
        <v>5329</v>
      </c>
      <c r="D2220" t="s">
        <v>18100</v>
      </c>
      <c r="E2220" t="s">
        <v>20128</v>
      </c>
      <c r="F2220" t="s">
        <v>31574</v>
      </c>
      <c r="G2220" t="s">
        <v>31583</v>
      </c>
      <c r="H2220" t="s">
        <v>31590</v>
      </c>
      <c r="I2220" t="s">
        <v>31627</v>
      </c>
      <c r="J2220" t="s">
        <v>32090</v>
      </c>
      <c r="K2220" t="s">
        <v>41184</v>
      </c>
      <c r="M2220" t="s">
        <v>42378</v>
      </c>
      <c r="N2220" t="s">
        <v>45095</v>
      </c>
      <c r="O2220" t="s">
        <v>45096</v>
      </c>
      <c r="P2220">
        <v>0</v>
      </c>
      <c r="Q2220">
        <v>0</v>
      </c>
      <c r="R2220" t="s">
        <v>45097</v>
      </c>
      <c r="S2220" t="s">
        <v>45222</v>
      </c>
      <c r="T2220" t="s">
        <v>46989</v>
      </c>
      <c r="U2220" t="s">
        <v>49367</v>
      </c>
      <c r="W2220" t="s">
        <v>42378</v>
      </c>
      <c r="X2220" t="s">
        <v>45098</v>
      </c>
    </row>
    <row r="2221" spans="1:24">
      <c r="A2221">
        <f>HYPERLINK("https://www.philgeps.gov.ph/GEPSNONPILOT/Tender/SplashBidNoticeAbstractUI.aspx?menuIndex=3&amp;refID=7046869&amp;Result=3","7046869")</f>
        <v>0</v>
      </c>
      <c r="B2221" t="s">
        <v>880</v>
      </c>
      <c r="C2221" t="s">
        <v>5330</v>
      </c>
      <c r="D2221" t="s">
        <v>18083</v>
      </c>
      <c r="E2221" t="s">
        <v>20129</v>
      </c>
      <c r="F2221" t="s">
        <v>31574</v>
      </c>
      <c r="G2221" t="s">
        <v>31582</v>
      </c>
      <c r="H2221" t="s">
        <v>31591</v>
      </c>
      <c r="I2221" t="s">
        <v>8822</v>
      </c>
      <c r="J2221" t="s">
        <v>32986</v>
      </c>
      <c r="K2221" t="s">
        <v>41243</v>
      </c>
      <c r="M2221" t="s">
        <v>42401</v>
      </c>
      <c r="N2221" t="s">
        <v>45095</v>
      </c>
      <c r="O2221" t="s">
        <v>45096</v>
      </c>
      <c r="P2221">
        <v>0</v>
      </c>
      <c r="Q2221">
        <v>0</v>
      </c>
      <c r="R2221" t="s">
        <v>45097</v>
      </c>
      <c r="S2221" t="s">
        <v>45222</v>
      </c>
      <c r="T2221" t="s">
        <v>47061</v>
      </c>
      <c r="U2221" t="s">
        <v>49368</v>
      </c>
      <c r="W2221" t="s">
        <v>61683</v>
      </c>
      <c r="X2221" t="s">
        <v>45098</v>
      </c>
    </row>
    <row r="2222" spans="1:24">
      <c r="A2222">
        <f>HYPERLINK("https://www.philgeps.gov.ph/GEPSNONPILOT/Tender/SplashBidNoticeAbstractUI.aspx?menuIndex=3&amp;refID=7046871&amp;Result=3","7046871")</f>
        <v>0</v>
      </c>
      <c r="B2222" t="s">
        <v>885</v>
      </c>
      <c r="C2222" t="s">
        <v>5331</v>
      </c>
      <c r="D2222" t="s">
        <v>18040</v>
      </c>
      <c r="E2222" t="s">
        <v>20130</v>
      </c>
      <c r="F2222" t="s">
        <v>31574</v>
      </c>
      <c r="G2222" t="s">
        <v>31582</v>
      </c>
      <c r="H2222" t="s">
        <v>31591</v>
      </c>
      <c r="I2222" t="s">
        <v>4046</v>
      </c>
      <c r="J2222" t="s">
        <v>31728</v>
      </c>
      <c r="K2222" t="s">
        <v>41193</v>
      </c>
      <c r="M2222" t="s">
        <v>42406</v>
      </c>
      <c r="N2222" t="s">
        <v>45095</v>
      </c>
      <c r="O2222" t="s">
        <v>45096</v>
      </c>
      <c r="P2222">
        <v>0</v>
      </c>
      <c r="Q2222">
        <v>0</v>
      </c>
      <c r="R2222" t="s">
        <v>45097</v>
      </c>
      <c r="S2222" t="s">
        <v>45222</v>
      </c>
      <c r="T2222" t="s">
        <v>46935</v>
      </c>
      <c r="U2222" t="s">
        <v>49369</v>
      </c>
      <c r="W2222" t="s">
        <v>42406</v>
      </c>
      <c r="X2222" t="s">
        <v>45098</v>
      </c>
    </row>
    <row r="2223" spans="1:24">
      <c r="A2223">
        <f>HYPERLINK("https://www.philgeps.gov.ph/GEPSNONPILOT/Tender/SplashBidNoticeAbstractUI.aspx?menuIndex=3&amp;refID=7046880&amp;Result=3","7046880")</f>
        <v>0</v>
      </c>
      <c r="B2223" t="s">
        <v>341</v>
      </c>
      <c r="C2223" t="s">
        <v>5332</v>
      </c>
      <c r="D2223" t="s">
        <v>18086</v>
      </c>
      <c r="E2223" t="s">
        <v>20131</v>
      </c>
      <c r="F2223" t="s">
        <v>31574</v>
      </c>
      <c r="G2223" t="s">
        <v>31581</v>
      </c>
      <c r="H2223" t="s">
        <v>31591</v>
      </c>
      <c r="I2223" t="s">
        <v>8822</v>
      </c>
      <c r="J2223" t="s">
        <v>32268</v>
      </c>
      <c r="K2223" t="s">
        <v>41186</v>
      </c>
      <c r="M2223" t="s">
        <v>41829</v>
      </c>
      <c r="N2223" t="s">
        <v>45095</v>
      </c>
      <c r="O2223" t="s">
        <v>45096</v>
      </c>
      <c r="P2223">
        <v>0</v>
      </c>
      <c r="Q2223">
        <v>0</v>
      </c>
      <c r="R2223" t="s">
        <v>45097</v>
      </c>
      <c r="S2223" t="s">
        <v>45222</v>
      </c>
      <c r="T2223" t="s">
        <v>46911</v>
      </c>
      <c r="U2223" t="s">
        <v>49370</v>
      </c>
      <c r="W2223" t="s">
        <v>41829</v>
      </c>
      <c r="X2223" t="s">
        <v>45098</v>
      </c>
    </row>
    <row r="2224" spans="1:24">
      <c r="A2224">
        <f>HYPERLINK("https://www.philgeps.gov.ph/GEPSNONPILOT/Tender/SplashBidNoticeAbstractUI.aspx?menuIndex=3&amp;refID=7046866&amp;Result=3","7046866")</f>
        <v>0</v>
      </c>
      <c r="B2224" t="s">
        <v>886</v>
      </c>
      <c r="C2224" t="s">
        <v>5333</v>
      </c>
      <c r="E2224" t="s">
        <v>20132</v>
      </c>
      <c r="F2224" t="s">
        <v>31574</v>
      </c>
      <c r="G2224" t="s">
        <v>31581</v>
      </c>
      <c r="H2224" t="s">
        <v>31590</v>
      </c>
      <c r="I2224" t="s">
        <v>31656</v>
      </c>
      <c r="J2224" t="s">
        <v>31726</v>
      </c>
      <c r="K2224" t="s">
        <v>41184</v>
      </c>
      <c r="M2224" t="s">
        <v>42407</v>
      </c>
      <c r="N2224" t="s">
        <v>45095</v>
      </c>
      <c r="O2224" t="s">
        <v>45096</v>
      </c>
      <c r="P2224">
        <v>0</v>
      </c>
      <c r="Q2224">
        <v>0</v>
      </c>
      <c r="R2224" t="s">
        <v>45097</v>
      </c>
      <c r="S2224" t="s">
        <v>45222</v>
      </c>
      <c r="T2224" t="s">
        <v>46946</v>
      </c>
      <c r="U2224" t="s">
        <v>49371</v>
      </c>
      <c r="W2224" t="s">
        <v>42407</v>
      </c>
      <c r="X2224" t="s">
        <v>45098</v>
      </c>
    </row>
    <row r="2225" spans="1:24">
      <c r="A2225">
        <f>HYPERLINK("https://www.philgeps.gov.ph/GEPSNONPILOT/Tender/SplashBidNoticeAbstractUI.aspx?menuIndex=3&amp;refID=7046894&amp;Result=3","7046894")</f>
        <v>0</v>
      </c>
      <c r="B2225" t="s">
        <v>879</v>
      </c>
      <c r="C2225" t="s">
        <v>3689</v>
      </c>
      <c r="D2225" t="s">
        <v>18022</v>
      </c>
      <c r="E2225" t="s">
        <v>20133</v>
      </c>
      <c r="F2225" t="s">
        <v>31574</v>
      </c>
      <c r="G2225" t="s">
        <v>31581</v>
      </c>
      <c r="H2225" t="s">
        <v>31590</v>
      </c>
      <c r="I2225" t="s">
        <v>31594</v>
      </c>
      <c r="J2225" t="s">
        <v>32777</v>
      </c>
      <c r="K2225" t="s">
        <v>41184</v>
      </c>
      <c r="M2225" t="s">
        <v>42400</v>
      </c>
      <c r="N2225" t="s">
        <v>45095</v>
      </c>
      <c r="O2225" t="s">
        <v>45096</v>
      </c>
      <c r="P2225">
        <v>0</v>
      </c>
      <c r="Q2225">
        <v>0</v>
      </c>
      <c r="R2225" t="s">
        <v>45097</v>
      </c>
      <c r="S2225" t="s">
        <v>45222</v>
      </c>
      <c r="T2225" t="s">
        <v>46979</v>
      </c>
      <c r="U2225" t="s">
        <v>49354</v>
      </c>
      <c r="W2225" t="s">
        <v>42400</v>
      </c>
      <c r="X2225" t="s">
        <v>45098</v>
      </c>
    </row>
    <row r="2226" spans="1:24">
      <c r="A2226">
        <f>HYPERLINK("https://www.philgeps.gov.ph/GEPSNONPILOT/Tender/SplashBidNoticeAbstractUI.aspx?menuIndex=3&amp;refID=7046893&amp;Result=3","7046893")</f>
        <v>0</v>
      </c>
      <c r="B2226" t="s">
        <v>887</v>
      </c>
      <c r="C2226" t="s">
        <v>5334</v>
      </c>
      <c r="D2226" t="s">
        <v>18100</v>
      </c>
      <c r="E2226" t="s">
        <v>20134</v>
      </c>
      <c r="F2226" t="s">
        <v>31574</v>
      </c>
      <c r="G2226" t="s">
        <v>31581</v>
      </c>
      <c r="H2226" t="s">
        <v>31590</v>
      </c>
      <c r="I2226" t="s">
        <v>31608</v>
      </c>
      <c r="J2226" t="s">
        <v>33289</v>
      </c>
      <c r="K2226" t="s">
        <v>41184</v>
      </c>
      <c r="M2226" t="s">
        <v>42408</v>
      </c>
      <c r="N2226" t="s">
        <v>45095</v>
      </c>
      <c r="O2226" t="s">
        <v>45096</v>
      </c>
      <c r="P2226">
        <v>0</v>
      </c>
      <c r="Q2226">
        <v>0</v>
      </c>
      <c r="R2226" t="s">
        <v>45097</v>
      </c>
      <c r="S2226" t="s">
        <v>45222</v>
      </c>
      <c r="T2226" t="s">
        <v>46918</v>
      </c>
      <c r="U2226" t="s">
        <v>49372</v>
      </c>
      <c r="W2226" t="s">
        <v>61684</v>
      </c>
      <c r="X2226" t="s">
        <v>45098</v>
      </c>
    </row>
    <row r="2227" spans="1:24">
      <c r="A2227">
        <f>HYPERLINK("https://www.philgeps.gov.ph/GEPSNONPILOT/Tender/SplashBidNoticeAbstractUI.aspx?menuIndex=3&amp;refID=7046892&amp;Result=3","7046892")</f>
        <v>0</v>
      </c>
      <c r="B2227" t="s">
        <v>881</v>
      </c>
      <c r="C2227" t="s">
        <v>5335</v>
      </c>
      <c r="D2227" t="s">
        <v>18041</v>
      </c>
      <c r="E2227" t="s">
        <v>20135</v>
      </c>
      <c r="F2227" t="s">
        <v>31574</v>
      </c>
      <c r="G2227" t="s">
        <v>31581</v>
      </c>
      <c r="H2227" t="s">
        <v>31590</v>
      </c>
      <c r="I2227" t="s">
        <v>3520</v>
      </c>
      <c r="J2227" t="s">
        <v>33290</v>
      </c>
      <c r="K2227" t="s">
        <v>41196</v>
      </c>
      <c r="M2227" t="s">
        <v>42402</v>
      </c>
      <c r="N2227" t="s">
        <v>45095</v>
      </c>
      <c r="O2227" t="s">
        <v>45096</v>
      </c>
      <c r="P2227">
        <v>0</v>
      </c>
      <c r="Q2227">
        <v>0</v>
      </c>
      <c r="R2227" t="s">
        <v>45097</v>
      </c>
      <c r="S2227" t="s">
        <v>45222</v>
      </c>
      <c r="T2227" t="s">
        <v>46918</v>
      </c>
      <c r="U2227" t="s">
        <v>49373</v>
      </c>
      <c r="W2227" t="s">
        <v>42402</v>
      </c>
      <c r="X2227" t="s">
        <v>45098</v>
      </c>
    </row>
    <row r="2228" spans="1:24">
      <c r="A2228">
        <f>HYPERLINK("https://www.philgeps.gov.ph/GEPSNONPILOT/Tender/SplashBidNoticeAbstractUI.aspx?menuIndex=3&amp;refID=7046886&amp;Result=3","7046886")</f>
        <v>0</v>
      </c>
      <c r="B2228" t="s">
        <v>887</v>
      </c>
      <c r="C2228" t="s">
        <v>5336</v>
      </c>
      <c r="D2228" t="s">
        <v>18100</v>
      </c>
      <c r="E2228" t="s">
        <v>20136</v>
      </c>
      <c r="F2228" t="s">
        <v>31574</v>
      </c>
      <c r="G2228" t="s">
        <v>31581</v>
      </c>
      <c r="H2228" t="s">
        <v>31590</v>
      </c>
      <c r="I2228" t="s">
        <v>31608</v>
      </c>
      <c r="J2228" t="s">
        <v>33291</v>
      </c>
      <c r="K2228" t="s">
        <v>41184</v>
      </c>
      <c r="M2228" t="s">
        <v>42408</v>
      </c>
      <c r="N2228" t="s">
        <v>45095</v>
      </c>
      <c r="O2228" t="s">
        <v>45096</v>
      </c>
      <c r="P2228">
        <v>0</v>
      </c>
      <c r="Q2228">
        <v>0</v>
      </c>
      <c r="R2228" t="s">
        <v>45097</v>
      </c>
      <c r="S2228" t="s">
        <v>45222</v>
      </c>
      <c r="T2228" t="s">
        <v>46918</v>
      </c>
      <c r="U2228" t="s">
        <v>49374</v>
      </c>
      <c r="W2228" t="s">
        <v>61684</v>
      </c>
      <c r="X2228" t="s">
        <v>45098</v>
      </c>
    </row>
    <row r="2229" spans="1:24">
      <c r="A2229">
        <f>HYPERLINK("https://www.philgeps.gov.ph/GEPSNONPILOT/Tender/SplashBidNoticeAbstractUI.aspx?menuIndex=3&amp;refID=7046889&amp;Result=3","7046889")</f>
        <v>0</v>
      </c>
      <c r="B2229" t="s">
        <v>857</v>
      </c>
      <c r="C2229" t="s">
        <v>5337</v>
      </c>
      <c r="D2229" t="s">
        <v>18070</v>
      </c>
      <c r="E2229" t="s">
        <v>20137</v>
      </c>
      <c r="F2229" t="s">
        <v>31574</v>
      </c>
      <c r="G2229" t="s">
        <v>31581</v>
      </c>
      <c r="H2229" t="s">
        <v>31590</v>
      </c>
      <c r="I2229" t="s">
        <v>31625</v>
      </c>
      <c r="J2229" t="s">
        <v>32375</v>
      </c>
      <c r="K2229" t="s">
        <v>41213</v>
      </c>
      <c r="M2229" t="s">
        <v>42377</v>
      </c>
      <c r="N2229" t="s">
        <v>45095</v>
      </c>
      <c r="O2229" t="s">
        <v>45096</v>
      </c>
      <c r="P2229">
        <v>0</v>
      </c>
      <c r="Q2229">
        <v>0</v>
      </c>
      <c r="R2229" t="s">
        <v>45097</v>
      </c>
      <c r="S2229" t="s">
        <v>45222</v>
      </c>
      <c r="T2229" t="s">
        <v>47094</v>
      </c>
      <c r="U2229" t="s">
        <v>49375</v>
      </c>
      <c r="W2229" t="s">
        <v>42377</v>
      </c>
      <c r="X2229" t="s">
        <v>45098</v>
      </c>
    </row>
    <row r="2230" spans="1:24">
      <c r="A2230">
        <f>HYPERLINK("https://www.philgeps.gov.ph/GEPSNONPILOT/Tender/SplashBidNoticeAbstractUI.aspx?menuIndex=3&amp;refID=7046906&amp;Result=3","7046906")</f>
        <v>0</v>
      </c>
      <c r="B2230" t="s">
        <v>888</v>
      </c>
      <c r="C2230" t="s">
        <v>5338</v>
      </c>
      <c r="D2230" t="s">
        <v>18027</v>
      </c>
      <c r="E2230" t="s">
        <v>20138</v>
      </c>
      <c r="F2230" t="s">
        <v>31575</v>
      </c>
      <c r="G2230" t="s">
        <v>31583</v>
      </c>
      <c r="H2230" t="s">
        <v>31590</v>
      </c>
      <c r="I2230" t="s">
        <v>6800</v>
      </c>
      <c r="J2230" t="s">
        <v>33292</v>
      </c>
      <c r="K2230" t="s">
        <v>41193</v>
      </c>
      <c r="M2230" t="s">
        <v>42409</v>
      </c>
      <c r="N2230" t="s">
        <v>45095</v>
      </c>
      <c r="O2230" t="s">
        <v>45096</v>
      </c>
      <c r="P2230">
        <v>0</v>
      </c>
      <c r="Q2230">
        <v>0</v>
      </c>
      <c r="R2230" t="s">
        <v>45097</v>
      </c>
      <c r="S2230" t="s">
        <v>45222</v>
      </c>
      <c r="T2230" t="s">
        <v>46911</v>
      </c>
      <c r="U2230" t="s">
        <v>49376</v>
      </c>
      <c r="W2230" t="s">
        <v>42409</v>
      </c>
      <c r="X2230" t="s">
        <v>45098</v>
      </c>
    </row>
    <row r="2231" spans="1:24">
      <c r="A2231">
        <f>HYPERLINK("https://www.philgeps.gov.ph/GEPSNONPILOT/Tender/SplashBidNoticeAbstractUI.aspx?menuIndex=3&amp;refID=7046909&amp;Result=3","7046909")</f>
        <v>0</v>
      </c>
      <c r="B2231" t="s">
        <v>857</v>
      </c>
      <c r="C2231" t="s">
        <v>5339</v>
      </c>
      <c r="D2231" t="s">
        <v>18070</v>
      </c>
      <c r="E2231" t="s">
        <v>20139</v>
      </c>
      <c r="F2231" t="s">
        <v>31574</v>
      </c>
      <c r="G2231" t="s">
        <v>31581</v>
      </c>
      <c r="H2231" t="s">
        <v>31590</v>
      </c>
      <c r="I2231" t="s">
        <v>31625</v>
      </c>
      <c r="J2231" t="s">
        <v>31935</v>
      </c>
      <c r="K2231" t="s">
        <v>41213</v>
      </c>
      <c r="M2231" t="s">
        <v>42377</v>
      </c>
      <c r="N2231" t="s">
        <v>45095</v>
      </c>
      <c r="O2231" t="s">
        <v>45096</v>
      </c>
      <c r="P2231">
        <v>0</v>
      </c>
      <c r="Q2231">
        <v>0</v>
      </c>
      <c r="R2231" t="s">
        <v>45097</v>
      </c>
      <c r="S2231" t="s">
        <v>45222</v>
      </c>
      <c r="T2231" t="s">
        <v>47094</v>
      </c>
      <c r="U2231" t="s">
        <v>49377</v>
      </c>
      <c r="W2231" t="s">
        <v>42377</v>
      </c>
      <c r="X2231" t="s">
        <v>45098</v>
      </c>
    </row>
    <row r="2232" spans="1:24">
      <c r="A2232">
        <f>HYPERLINK("https://www.philgeps.gov.ph/GEPSNONPILOT/Tender/SplashBidNoticeAbstractUI.aspx?menuIndex=3&amp;refID=7046904&amp;Result=3","7046904")</f>
        <v>0</v>
      </c>
      <c r="B2232" t="s">
        <v>879</v>
      </c>
      <c r="C2232" t="s">
        <v>5340</v>
      </c>
      <c r="D2232" t="s">
        <v>18022</v>
      </c>
      <c r="E2232" t="s">
        <v>20140</v>
      </c>
      <c r="F2232" t="s">
        <v>31574</v>
      </c>
      <c r="G2232" t="s">
        <v>31581</v>
      </c>
      <c r="H2232" t="s">
        <v>31590</v>
      </c>
      <c r="I2232" t="s">
        <v>31594</v>
      </c>
      <c r="J2232" t="s">
        <v>33293</v>
      </c>
      <c r="K2232" t="s">
        <v>41184</v>
      </c>
      <c r="M2232" t="s">
        <v>42400</v>
      </c>
      <c r="N2232" t="s">
        <v>45095</v>
      </c>
      <c r="O2232" t="s">
        <v>45096</v>
      </c>
      <c r="P2232">
        <v>0</v>
      </c>
      <c r="Q2232">
        <v>0</v>
      </c>
      <c r="R2232" t="s">
        <v>45097</v>
      </c>
      <c r="S2232" t="s">
        <v>45222</v>
      </c>
      <c r="T2232" t="s">
        <v>46979</v>
      </c>
      <c r="U2232" t="s">
        <v>49354</v>
      </c>
      <c r="W2232" t="s">
        <v>42400</v>
      </c>
      <c r="X2232" t="s">
        <v>45098</v>
      </c>
    </row>
    <row r="2233" spans="1:24">
      <c r="A2233">
        <f>HYPERLINK("https://www.philgeps.gov.ph/GEPSNONPILOT/Tender/SplashBidNoticeAbstractUI.aspx?menuIndex=3&amp;refID=7046883&amp;Result=3","7046883")</f>
        <v>0</v>
      </c>
      <c r="B2233" t="s">
        <v>135</v>
      </c>
      <c r="C2233" t="s">
        <v>5341</v>
      </c>
      <c r="D2233" t="s">
        <v>18022</v>
      </c>
      <c r="E2233" t="s">
        <v>20141</v>
      </c>
      <c r="F2233" t="s">
        <v>31574</v>
      </c>
      <c r="G2233" t="s">
        <v>31581</v>
      </c>
      <c r="H2233" t="s">
        <v>31590</v>
      </c>
      <c r="I2233" t="s">
        <v>3487</v>
      </c>
      <c r="J2233" t="s">
        <v>33294</v>
      </c>
      <c r="K2233" t="s">
        <v>41184</v>
      </c>
      <c r="M2233" t="s">
        <v>42410</v>
      </c>
      <c r="N2233" t="s">
        <v>45095</v>
      </c>
      <c r="O2233" t="s">
        <v>45096</v>
      </c>
      <c r="P2233">
        <v>0</v>
      </c>
      <c r="Q2233">
        <v>0</v>
      </c>
      <c r="R2233" t="s">
        <v>45097</v>
      </c>
      <c r="S2233" t="s">
        <v>45222</v>
      </c>
      <c r="T2233" t="s">
        <v>46975</v>
      </c>
      <c r="U2233" t="s">
        <v>49378</v>
      </c>
      <c r="W2233" t="s">
        <v>42410</v>
      </c>
      <c r="X2233" t="s">
        <v>45098</v>
      </c>
    </row>
    <row r="2234" spans="1:24">
      <c r="A2234">
        <f>HYPERLINK("https://www.philgeps.gov.ph/GEPSNONPILOT/Tender/SplashBidNoticeAbstractUI.aspx?menuIndex=3&amp;refID=7046905&amp;Result=3","7046905")</f>
        <v>0</v>
      </c>
      <c r="B2234" t="s">
        <v>857</v>
      </c>
      <c r="C2234" t="s">
        <v>5342</v>
      </c>
      <c r="D2234" t="s">
        <v>18070</v>
      </c>
      <c r="E2234" t="s">
        <v>20142</v>
      </c>
      <c r="F2234" t="s">
        <v>31574</v>
      </c>
      <c r="G2234" t="s">
        <v>31581</v>
      </c>
      <c r="H2234" t="s">
        <v>31590</v>
      </c>
      <c r="I2234" t="s">
        <v>31625</v>
      </c>
      <c r="J2234" t="s">
        <v>31962</v>
      </c>
      <c r="K2234" t="s">
        <v>41213</v>
      </c>
      <c r="M2234" t="s">
        <v>42377</v>
      </c>
      <c r="N2234" t="s">
        <v>45095</v>
      </c>
      <c r="O2234" t="s">
        <v>45096</v>
      </c>
      <c r="P2234">
        <v>0</v>
      </c>
      <c r="Q2234">
        <v>0</v>
      </c>
      <c r="R2234" t="s">
        <v>45097</v>
      </c>
      <c r="S2234" t="s">
        <v>45222</v>
      </c>
      <c r="T2234" t="s">
        <v>47094</v>
      </c>
      <c r="U2234" t="s">
        <v>49379</v>
      </c>
      <c r="W2234" t="s">
        <v>42377</v>
      </c>
      <c r="X2234" t="s">
        <v>45098</v>
      </c>
    </row>
    <row r="2235" spans="1:24">
      <c r="A2235">
        <f>HYPERLINK("https://www.philgeps.gov.ph/GEPSNONPILOT/Tender/SplashBidNoticeAbstractUI.aspx?menuIndex=3&amp;refID=7046885&amp;Result=3","7046885")</f>
        <v>0</v>
      </c>
      <c r="B2235" t="s">
        <v>858</v>
      </c>
      <c r="C2235" t="s">
        <v>5343</v>
      </c>
      <c r="D2235" t="s">
        <v>18100</v>
      </c>
      <c r="E2235" t="s">
        <v>20143</v>
      </c>
      <c r="F2235" t="s">
        <v>31574</v>
      </c>
      <c r="G2235" t="s">
        <v>31583</v>
      </c>
      <c r="H2235" t="s">
        <v>31590</v>
      </c>
      <c r="I2235" t="s">
        <v>31636</v>
      </c>
      <c r="J2235" t="s">
        <v>31871</v>
      </c>
      <c r="K2235" t="s">
        <v>41184</v>
      </c>
      <c r="M2235" t="s">
        <v>42378</v>
      </c>
      <c r="N2235" t="s">
        <v>45095</v>
      </c>
      <c r="O2235" t="s">
        <v>45096</v>
      </c>
      <c r="P2235">
        <v>0</v>
      </c>
      <c r="Q2235">
        <v>0</v>
      </c>
      <c r="R2235" t="s">
        <v>45097</v>
      </c>
      <c r="S2235" t="s">
        <v>45222</v>
      </c>
      <c r="T2235" t="s">
        <v>46945</v>
      </c>
      <c r="U2235" t="s">
        <v>49380</v>
      </c>
      <c r="W2235" t="s">
        <v>42378</v>
      </c>
      <c r="X2235" t="s">
        <v>45098</v>
      </c>
    </row>
    <row r="2236" spans="1:24">
      <c r="A2236">
        <f>HYPERLINK("https://www.philgeps.gov.ph/GEPSNONPILOT/Tender/SplashBidNoticeAbstractUI.aspx?menuIndex=3&amp;refID=7046908&amp;Result=3","7046908")</f>
        <v>0</v>
      </c>
      <c r="B2236" t="s">
        <v>879</v>
      </c>
      <c r="C2236" t="s">
        <v>3689</v>
      </c>
      <c r="D2236" t="s">
        <v>18022</v>
      </c>
      <c r="E2236" t="s">
        <v>20144</v>
      </c>
      <c r="F2236" t="s">
        <v>31574</v>
      </c>
      <c r="G2236" t="s">
        <v>31581</v>
      </c>
      <c r="H2236" t="s">
        <v>31590</v>
      </c>
      <c r="I2236" t="s">
        <v>31594</v>
      </c>
      <c r="J2236" t="s">
        <v>33295</v>
      </c>
      <c r="K2236" t="s">
        <v>41184</v>
      </c>
      <c r="M2236" t="s">
        <v>42400</v>
      </c>
      <c r="N2236" t="s">
        <v>45095</v>
      </c>
      <c r="O2236" t="s">
        <v>45096</v>
      </c>
      <c r="P2236">
        <v>0</v>
      </c>
      <c r="Q2236">
        <v>0</v>
      </c>
      <c r="R2236" t="s">
        <v>45097</v>
      </c>
      <c r="S2236" t="s">
        <v>45222</v>
      </c>
      <c r="T2236" t="s">
        <v>46979</v>
      </c>
      <c r="U2236" t="s">
        <v>49354</v>
      </c>
      <c r="W2236" t="s">
        <v>42400</v>
      </c>
      <c r="X2236" t="s">
        <v>45098</v>
      </c>
    </row>
    <row r="2237" spans="1:24">
      <c r="A2237">
        <f>HYPERLINK("https://www.philgeps.gov.ph/GEPSNONPILOT/Tender/SplashBidNoticeAbstractUI.aspx?menuIndex=3&amp;refID=7046898&amp;Result=3","7046898")</f>
        <v>0</v>
      </c>
      <c r="B2237" t="s">
        <v>887</v>
      </c>
      <c r="C2237" t="s">
        <v>5344</v>
      </c>
      <c r="D2237" t="s">
        <v>18100</v>
      </c>
      <c r="E2237" t="s">
        <v>20145</v>
      </c>
      <c r="F2237" t="s">
        <v>31574</v>
      </c>
      <c r="G2237" t="s">
        <v>31581</v>
      </c>
      <c r="H2237" t="s">
        <v>31590</v>
      </c>
      <c r="I2237" t="s">
        <v>31608</v>
      </c>
      <c r="J2237" t="s">
        <v>33296</v>
      </c>
      <c r="K2237" t="s">
        <v>41184</v>
      </c>
      <c r="M2237" t="s">
        <v>42408</v>
      </c>
      <c r="N2237" t="s">
        <v>45095</v>
      </c>
      <c r="O2237" t="s">
        <v>45096</v>
      </c>
      <c r="P2237">
        <v>0</v>
      </c>
      <c r="Q2237">
        <v>0</v>
      </c>
      <c r="R2237" t="s">
        <v>45097</v>
      </c>
      <c r="S2237" t="s">
        <v>45222</v>
      </c>
      <c r="T2237" t="s">
        <v>46918</v>
      </c>
      <c r="U2237" t="s">
        <v>49381</v>
      </c>
      <c r="W2237" t="s">
        <v>61684</v>
      </c>
      <c r="X2237" t="s">
        <v>45098</v>
      </c>
    </row>
    <row r="2238" spans="1:24">
      <c r="A2238">
        <f>HYPERLINK("https://www.philgeps.gov.ph/GEPSNONPILOT/Tender/SplashBidNoticeAbstractUI.aspx?menuIndex=3&amp;refID=7046902&amp;Result=3","7046902")</f>
        <v>0</v>
      </c>
      <c r="B2238" t="s">
        <v>887</v>
      </c>
      <c r="C2238" t="s">
        <v>5345</v>
      </c>
      <c r="D2238" t="s">
        <v>18100</v>
      </c>
      <c r="E2238" t="s">
        <v>20146</v>
      </c>
      <c r="F2238" t="s">
        <v>31574</v>
      </c>
      <c r="G2238" t="s">
        <v>31581</v>
      </c>
      <c r="H2238" t="s">
        <v>31590</v>
      </c>
      <c r="I2238" t="s">
        <v>31608</v>
      </c>
      <c r="J2238" t="s">
        <v>33297</v>
      </c>
      <c r="K2238" t="s">
        <v>41184</v>
      </c>
      <c r="M2238" t="s">
        <v>42408</v>
      </c>
      <c r="N2238" t="s">
        <v>45095</v>
      </c>
      <c r="O2238" t="s">
        <v>45096</v>
      </c>
      <c r="P2238">
        <v>0</v>
      </c>
      <c r="Q2238">
        <v>0</v>
      </c>
      <c r="R2238" t="s">
        <v>45097</v>
      </c>
      <c r="S2238" t="s">
        <v>45222</v>
      </c>
      <c r="T2238" t="s">
        <v>46918</v>
      </c>
      <c r="U2238" t="s">
        <v>49374</v>
      </c>
      <c r="W2238" t="s">
        <v>61684</v>
      </c>
      <c r="X2238" t="s">
        <v>45098</v>
      </c>
    </row>
    <row r="2239" spans="1:24">
      <c r="A2239">
        <f>HYPERLINK("https://www.philgeps.gov.ph/GEPSNONPILOT/Tender/SplashBidNoticeAbstractUI.aspx?menuIndex=3&amp;refID=7046897&amp;Result=3","7046897")</f>
        <v>0</v>
      </c>
      <c r="B2239" t="s">
        <v>858</v>
      </c>
      <c r="C2239" t="s">
        <v>5346</v>
      </c>
      <c r="D2239" t="s">
        <v>18100</v>
      </c>
      <c r="E2239" t="s">
        <v>20147</v>
      </c>
      <c r="F2239" t="s">
        <v>31574</v>
      </c>
      <c r="G2239" t="s">
        <v>31583</v>
      </c>
      <c r="H2239" t="s">
        <v>31590</v>
      </c>
      <c r="I2239" t="s">
        <v>4327</v>
      </c>
      <c r="J2239" t="s">
        <v>32767</v>
      </c>
      <c r="K2239" t="s">
        <v>41184</v>
      </c>
      <c r="M2239" t="s">
        <v>42378</v>
      </c>
      <c r="N2239" t="s">
        <v>45095</v>
      </c>
      <c r="O2239" t="s">
        <v>45096</v>
      </c>
      <c r="P2239">
        <v>0</v>
      </c>
      <c r="Q2239">
        <v>0</v>
      </c>
      <c r="R2239" t="s">
        <v>45097</v>
      </c>
      <c r="S2239" t="s">
        <v>45222</v>
      </c>
      <c r="T2239" t="s">
        <v>46932</v>
      </c>
      <c r="U2239" t="s">
        <v>49382</v>
      </c>
      <c r="W2239" t="s">
        <v>42378</v>
      </c>
      <c r="X2239" t="s">
        <v>45098</v>
      </c>
    </row>
    <row r="2240" spans="1:24">
      <c r="A2240">
        <f>HYPERLINK("https://www.philgeps.gov.ph/GEPSNONPILOT/Tender/SplashBidNoticeAbstractUI.aspx?menuIndex=3&amp;refID=7046910&amp;Result=3","7046910")</f>
        <v>0</v>
      </c>
      <c r="B2240" t="s">
        <v>889</v>
      </c>
      <c r="C2240" t="s">
        <v>5347</v>
      </c>
      <c r="D2240" t="s">
        <v>18023</v>
      </c>
      <c r="E2240" t="s">
        <v>20148</v>
      </c>
      <c r="F2240" t="s">
        <v>31574</v>
      </c>
      <c r="G2240" t="s">
        <v>31582</v>
      </c>
      <c r="H2240" t="s">
        <v>31591</v>
      </c>
      <c r="I2240" t="s">
        <v>8822</v>
      </c>
      <c r="J2240" t="s">
        <v>33298</v>
      </c>
      <c r="K2240" t="s">
        <v>41200</v>
      </c>
      <c r="M2240" t="s">
        <v>42411</v>
      </c>
      <c r="N2240" t="s">
        <v>45095</v>
      </c>
      <c r="O2240" t="s">
        <v>45096</v>
      </c>
      <c r="P2240">
        <v>0</v>
      </c>
      <c r="Q2240">
        <v>0</v>
      </c>
      <c r="R2240" t="s">
        <v>45097</v>
      </c>
      <c r="S2240" t="s">
        <v>45222</v>
      </c>
      <c r="T2240" t="s">
        <v>46921</v>
      </c>
      <c r="U2240" t="s">
        <v>49383</v>
      </c>
      <c r="V2240" t="s">
        <v>60067</v>
      </c>
      <c r="W2240" t="s">
        <v>42411</v>
      </c>
      <c r="X2240" t="s">
        <v>45098</v>
      </c>
    </row>
    <row r="2241" spans="1:24">
      <c r="A2241">
        <f>HYPERLINK("https://www.philgeps.gov.ph/GEPSNONPILOT/Tender/SplashBidNoticeAbstractUI.aspx?menuIndex=3&amp;refID=7046888&amp;Result=3","7046888")</f>
        <v>0</v>
      </c>
      <c r="B2241" t="s">
        <v>135</v>
      </c>
      <c r="C2241" t="s">
        <v>5348</v>
      </c>
      <c r="D2241" t="s">
        <v>18022</v>
      </c>
      <c r="E2241" t="s">
        <v>20149</v>
      </c>
      <c r="F2241" t="s">
        <v>31574</v>
      </c>
      <c r="G2241" t="s">
        <v>31581</v>
      </c>
      <c r="H2241" t="s">
        <v>31590</v>
      </c>
      <c r="I2241" t="s">
        <v>4046</v>
      </c>
      <c r="J2241" t="s">
        <v>33299</v>
      </c>
      <c r="K2241" t="s">
        <v>41184</v>
      </c>
      <c r="M2241" t="s">
        <v>42410</v>
      </c>
      <c r="N2241" t="s">
        <v>45095</v>
      </c>
      <c r="O2241" t="s">
        <v>45096</v>
      </c>
      <c r="P2241">
        <v>0</v>
      </c>
      <c r="Q2241">
        <v>0</v>
      </c>
      <c r="R2241" t="s">
        <v>45097</v>
      </c>
      <c r="S2241" t="s">
        <v>45222</v>
      </c>
      <c r="T2241" t="s">
        <v>46975</v>
      </c>
      <c r="U2241" t="s">
        <v>49384</v>
      </c>
      <c r="W2241" t="s">
        <v>42410</v>
      </c>
      <c r="X2241" t="s">
        <v>45098</v>
      </c>
    </row>
    <row r="2242" spans="1:24">
      <c r="A2242">
        <f>HYPERLINK("https://www.philgeps.gov.ph/GEPSNONPILOT/Tender/SplashBidNoticeAbstractUI.aspx?menuIndex=3&amp;refID=7046896&amp;Result=3","7046896")</f>
        <v>0</v>
      </c>
      <c r="B2242" t="s">
        <v>867</v>
      </c>
      <c r="C2242" t="s">
        <v>5349</v>
      </c>
      <c r="D2242" t="s">
        <v>18022</v>
      </c>
      <c r="E2242" t="s">
        <v>20150</v>
      </c>
      <c r="F2242" t="s">
        <v>31574</v>
      </c>
      <c r="G2242" t="s">
        <v>31581</v>
      </c>
      <c r="H2242" t="s">
        <v>31592</v>
      </c>
      <c r="I2242" t="s">
        <v>5222</v>
      </c>
      <c r="J2242" t="s">
        <v>33300</v>
      </c>
      <c r="K2242" t="s">
        <v>41210</v>
      </c>
      <c r="M2242" t="s">
        <v>42387</v>
      </c>
      <c r="N2242" t="s">
        <v>45095</v>
      </c>
      <c r="O2242" t="s">
        <v>45096</v>
      </c>
      <c r="P2242">
        <v>0</v>
      </c>
      <c r="Q2242">
        <v>0</v>
      </c>
      <c r="R2242" t="s">
        <v>45097</v>
      </c>
      <c r="S2242" t="s">
        <v>45222</v>
      </c>
      <c r="T2242" t="s">
        <v>46969</v>
      </c>
      <c r="U2242" t="s">
        <v>49332</v>
      </c>
      <c r="W2242" t="s">
        <v>42387</v>
      </c>
      <c r="X2242" t="s">
        <v>45098</v>
      </c>
    </row>
    <row r="2243" spans="1:24">
      <c r="A2243">
        <f>HYPERLINK("https://www.philgeps.gov.ph/GEPSNONPILOT/Tender/SplashBidNoticeAbstractUI.aspx?menuIndex=3&amp;refID=7046913&amp;Result=3","7046913")</f>
        <v>0</v>
      </c>
      <c r="B2243" t="s">
        <v>779</v>
      </c>
      <c r="C2243" t="s">
        <v>5350</v>
      </c>
      <c r="D2243" t="s">
        <v>18081</v>
      </c>
      <c r="E2243" t="s">
        <v>20151</v>
      </c>
      <c r="F2243" t="s">
        <v>31574</v>
      </c>
      <c r="G2243" t="s">
        <v>31582</v>
      </c>
      <c r="H2243" t="s">
        <v>31590</v>
      </c>
      <c r="I2243" t="s">
        <v>7162</v>
      </c>
      <c r="J2243" t="s">
        <v>33301</v>
      </c>
      <c r="K2243" t="s">
        <v>41189</v>
      </c>
      <c r="L2243" t="s">
        <v>779</v>
      </c>
      <c r="M2243" t="s">
        <v>42293</v>
      </c>
      <c r="N2243" t="s">
        <v>45095</v>
      </c>
      <c r="O2243" t="s">
        <v>45096</v>
      </c>
      <c r="P2243">
        <v>0</v>
      </c>
      <c r="Q2243">
        <v>0</v>
      </c>
      <c r="R2243" t="s">
        <v>45097</v>
      </c>
      <c r="S2243" t="s">
        <v>45222</v>
      </c>
      <c r="T2243" t="s">
        <v>46938</v>
      </c>
      <c r="U2243" t="s">
        <v>49385</v>
      </c>
      <c r="V2243" t="s">
        <v>60068</v>
      </c>
      <c r="W2243" t="s">
        <v>42293</v>
      </c>
      <c r="X2243" t="s">
        <v>45098</v>
      </c>
    </row>
    <row r="2244" spans="1:24">
      <c r="A2244">
        <f>HYPERLINK("https://www.philgeps.gov.ph/GEPSNONPILOT/Tender/SplashBidNoticeAbstractUI.aspx?menuIndex=3&amp;refID=7046914&amp;Result=3","7046914")</f>
        <v>0</v>
      </c>
      <c r="B2244" t="s">
        <v>540</v>
      </c>
      <c r="C2244" t="s">
        <v>5351</v>
      </c>
      <c r="D2244" t="s">
        <v>18022</v>
      </c>
      <c r="E2244" t="s">
        <v>20152</v>
      </c>
      <c r="F2244" t="s">
        <v>31574</v>
      </c>
      <c r="G2244" t="s">
        <v>31582</v>
      </c>
      <c r="H2244" t="s">
        <v>31590</v>
      </c>
      <c r="I2244" t="s">
        <v>31651</v>
      </c>
      <c r="J2244" t="s">
        <v>33302</v>
      </c>
      <c r="K2244" t="s">
        <v>41210</v>
      </c>
      <c r="M2244" t="s">
        <v>42412</v>
      </c>
      <c r="N2244" t="s">
        <v>45095</v>
      </c>
      <c r="O2244" t="s">
        <v>45096</v>
      </c>
      <c r="P2244">
        <v>0</v>
      </c>
      <c r="Q2244">
        <v>0</v>
      </c>
      <c r="R2244" t="s">
        <v>45097</v>
      </c>
      <c r="S2244" t="s">
        <v>45222</v>
      </c>
      <c r="T2244" t="s">
        <v>47024</v>
      </c>
      <c r="U2244" t="s">
        <v>49386</v>
      </c>
      <c r="W2244" t="s">
        <v>42412</v>
      </c>
      <c r="X2244" t="s">
        <v>45098</v>
      </c>
    </row>
    <row r="2245" spans="1:24">
      <c r="A2245">
        <f>HYPERLINK("https://www.philgeps.gov.ph/GEPSNONPILOT/Tender/SplashBidNoticeAbstractUI.aspx?menuIndex=3&amp;refID=7046915&amp;Result=3","7046915")</f>
        <v>0</v>
      </c>
      <c r="B2245" t="s">
        <v>890</v>
      </c>
      <c r="C2245" t="s">
        <v>5352</v>
      </c>
      <c r="D2245" t="s">
        <v>18022</v>
      </c>
      <c r="E2245" t="s">
        <v>20153</v>
      </c>
      <c r="F2245" t="s">
        <v>31574</v>
      </c>
      <c r="G2245" t="s">
        <v>31581</v>
      </c>
      <c r="H2245" t="s">
        <v>31590</v>
      </c>
      <c r="I2245" t="s">
        <v>31683</v>
      </c>
      <c r="J2245" t="s">
        <v>33303</v>
      </c>
      <c r="K2245" t="s">
        <v>41184</v>
      </c>
      <c r="M2245" t="s">
        <v>42413</v>
      </c>
      <c r="N2245" t="s">
        <v>45095</v>
      </c>
      <c r="O2245" t="s">
        <v>45096</v>
      </c>
      <c r="P2245">
        <v>0</v>
      </c>
      <c r="Q2245">
        <v>0</v>
      </c>
      <c r="R2245" t="s">
        <v>45097</v>
      </c>
      <c r="S2245" t="s">
        <v>45222</v>
      </c>
      <c r="T2245" t="s">
        <v>46904</v>
      </c>
      <c r="U2245" t="s">
        <v>49387</v>
      </c>
      <c r="W2245" t="s">
        <v>42413</v>
      </c>
      <c r="X2245" t="s">
        <v>45098</v>
      </c>
    </row>
    <row r="2246" spans="1:24">
      <c r="A2246">
        <f>HYPERLINK("https://www.philgeps.gov.ph/GEPSNONPILOT/Tender/SplashBidNoticeAbstractUI.aspx?menuIndex=3&amp;refID=7046911&amp;Result=3","7046911")</f>
        <v>0</v>
      </c>
      <c r="B2246" t="s">
        <v>891</v>
      </c>
      <c r="C2246" t="s">
        <v>5353</v>
      </c>
      <c r="D2246" t="s">
        <v>18066</v>
      </c>
      <c r="E2246" t="s">
        <v>20154</v>
      </c>
      <c r="F2246" t="s">
        <v>31574</v>
      </c>
      <c r="G2246" t="s">
        <v>31582</v>
      </c>
      <c r="H2246" t="s">
        <v>31591</v>
      </c>
      <c r="I2246" t="s">
        <v>8822</v>
      </c>
      <c r="J2246" t="s">
        <v>33304</v>
      </c>
      <c r="K2246" t="s">
        <v>41192</v>
      </c>
      <c r="M2246" t="s">
        <v>42414</v>
      </c>
      <c r="N2246" t="s">
        <v>45095</v>
      </c>
      <c r="O2246" t="s">
        <v>45096</v>
      </c>
      <c r="P2246">
        <v>0</v>
      </c>
      <c r="Q2246">
        <v>0</v>
      </c>
      <c r="R2246" t="s">
        <v>45097</v>
      </c>
      <c r="S2246" t="s">
        <v>45222</v>
      </c>
      <c r="T2246" t="s">
        <v>46908</v>
      </c>
      <c r="U2246" t="s">
        <v>49388</v>
      </c>
      <c r="V2246" t="s">
        <v>60069</v>
      </c>
      <c r="W2246" t="s">
        <v>42414</v>
      </c>
      <c r="X2246" t="s">
        <v>45098</v>
      </c>
    </row>
    <row r="2247" spans="1:24">
      <c r="A2247">
        <f>HYPERLINK("https://www.philgeps.gov.ph/GEPSNONPILOT/Tender/SplashBidNoticeAbstractUI.aspx?menuIndex=3&amp;refID=7046933&amp;Result=3","7046933")</f>
        <v>0</v>
      </c>
      <c r="B2247" t="s">
        <v>879</v>
      </c>
      <c r="C2247" t="s">
        <v>5354</v>
      </c>
      <c r="D2247" t="s">
        <v>18022</v>
      </c>
      <c r="E2247" t="s">
        <v>20155</v>
      </c>
      <c r="F2247" t="s">
        <v>31574</v>
      </c>
      <c r="G2247" t="s">
        <v>31581</v>
      </c>
      <c r="H2247" t="s">
        <v>31590</v>
      </c>
      <c r="I2247" t="s">
        <v>31594</v>
      </c>
      <c r="J2247" t="s">
        <v>32216</v>
      </c>
      <c r="K2247" t="s">
        <v>41184</v>
      </c>
      <c r="M2247" t="s">
        <v>42400</v>
      </c>
      <c r="N2247" t="s">
        <v>45095</v>
      </c>
      <c r="O2247" t="s">
        <v>45096</v>
      </c>
      <c r="P2247">
        <v>0</v>
      </c>
      <c r="Q2247">
        <v>0</v>
      </c>
      <c r="R2247" t="s">
        <v>45097</v>
      </c>
      <c r="S2247" t="s">
        <v>45222</v>
      </c>
      <c r="T2247" t="s">
        <v>46979</v>
      </c>
      <c r="U2247" t="s">
        <v>49354</v>
      </c>
      <c r="W2247" t="s">
        <v>42400</v>
      </c>
      <c r="X2247" t="s">
        <v>45098</v>
      </c>
    </row>
    <row r="2248" spans="1:24">
      <c r="A2248">
        <f>HYPERLINK("https://www.philgeps.gov.ph/GEPSNONPILOT/Tender/SplashBidNoticeAbstractUI.aspx?menuIndex=3&amp;refID=7046936&amp;Result=3","7046936")</f>
        <v>0</v>
      </c>
      <c r="B2248" t="s">
        <v>892</v>
      </c>
      <c r="C2248" t="s">
        <v>5355</v>
      </c>
      <c r="D2248" t="s">
        <v>18076</v>
      </c>
      <c r="E2248" t="s">
        <v>20156</v>
      </c>
      <c r="F2248" t="s">
        <v>31574</v>
      </c>
      <c r="G2248" t="s">
        <v>31581</v>
      </c>
      <c r="H2248" t="s">
        <v>31590</v>
      </c>
      <c r="I2248" t="s">
        <v>31629</v>
      </c>
      <c r="J2248" t="s">
        <v>33305</v>
      </c>
      <c r="K2248" t="s">
        <v>41211</v>
      </c>
      <c r="M2248" t="s">
        <v>42415</v>
      </c>
      <c r="N2248" t="s">
        <v>45095</v>
      </c>
      <c r="O2248" t="s">
        <v>45096</v>
      </c>
      <c r="P2248">
        <v>0</v>
      </c>
      <c r="Q2248">
        <v>0</v>
      </c>
      <c r="R2248" t="s">
        <v>45097</v>
      </c>
      <c r="S2248" t="s">
        <v>45222</v>
      </c>
      <c r="T2248" t="s">
        <v>46910</v>
      </c>
      <c r="U2248" t="s">
        <v>49389</v>
      </c>
      <c r="W2248" t="s">
        <v>42415</v>
      </c>
      <c r="X2248" t="s">
        <v>45098</v>
      </c>
    </row>
    <row r="2249" spans="1:24">
      <c r="A2249">
        <f>HYPERLINK("https://www.philgeps.gov.ph/GEPSNONPILOT/Tender/SplashBidNoticeAbstractUI.aspx?menuIndex=3&amp;refID=7046916&amp;Result=3","7046916")</f>
        <v>0</v>
      </c>
      <c r="B2249" t="s">
        <v>857</v>
      </c>
      <c r="C2249" t="s">
        <v>5356</v>
      </c>
      <c r="D2249" t="s">
        <v>18070</v>
      </c>
      <c r="E2249" t="s">
        <v>20157</v>
      </c>
      <c r="F2249" t="s">
        <v>31574</v>
      </c>
      <c r="G2249" t="s">
        <v>31581</v>
      </c>
      <c r="H2249" t="s">
        <v>31590</v>
      </c>
      <c r="I2249" t="s">
        <v>31625</v>
      </c>
      <c r="J2249" t="s">
        <v>32019</v>
      </c>
      <c r="K2249" t="s">
        <v>41213</v>
      </c>
      <c r="M2249" t="s">
        <v>42377</v>
      </c>
      <c r="N2249" t="s">
        <v>45095</v>
      </c>
      <c r="O2249" t="s">
        <v>45096</v>
      </c>
      <c r="P2249">
        <v>0</v>
      </c>
      <c r="Q2249">
        <v>0</v>
      </c>
      <c r="R2249" t="s">
        <v>45097</v>
      </c>
      <c r="S2249" t="s">
        <v>45222</v>
      </c>
      <c r="T2249" t="s">
        <v>47094</v>
      </c>
      <c r="U2249" t="s">
        <v>49390</v>
      </c>
      <c r="W2249" t="s">
        <v>42377</v>
      </c>
      <c r="X2249" t="s">
        <v>45098</v>
      </c>
    </row>
    <row r="2250" spans="1:24">
      <c r="A2250">
        <f>HYPERLINK("https://www.philgeps.gov.ph/GEPSNONPILOT/Tender/SplashBidNoticeAbstractUI.aspx?menuIndex=3&amp;refID=7046918&amp;Result=3","7046918")</f>
        <v>0</v>
      </c>
      <c r="B2250" t="s">
        <v>881</v>
      </c>
      <c r="C2250" t="s">
        <v>5357</v>
      </c>
      <c r="D2250" t="s">
        <v>18041</v>
      </c>
      <c r="E2250" t="s">
        <v>20158</v>
      </c>
      <c r="F2250" t="s">
        <v>31574</v>
      </c>
      <c r="G2250" t="s">
        <v>31581</v>
      </c>
      <c r="H2250" t="s">
        <v>31592</v>
      </c>
      <c r="I2250" t="s">
        <v>4046</v>
      </c>
      <c r="J2250" t="s">
        <v>33306</v>
      </c>
      <c r="K2250" t="s">
        <v>41196</v>
      </c>
      <c r="M2250" t="s">
        <v>42402</v>
      </c>
      <c r="N2250" t="s">
        <v>45095</v>
      </c>
      <c r="O2250" t="s">
        <v>45096</v>
      </c>
      <c r="P2250">
        <v>0</v>
      </c>
      <c r="Q2250">
        <v>0</v>
      </c>
      <c r="R2250" t="s">
        <v>45097</v>
      </c>
      <c r="S2250" t="s">
        <v>45222</v>
      </c>
      <c r="T2250" t="s">
        <v>46918</v>
      </c>
      <c r="U2250" t="s">
        <v>49391</v>
      </c>
      <c r="W2250" t="s">
        <v>42402</v>
      </c>
      <c r="X2250" t="s">
        <v>45098</v>
      </c>
    </row>
    <row r="2251" spans="1:24">
      <c r="A2251">
        <f>HYPERLINK("https://www.philgeps.gov.ph/GEPSNONPILOT/Tender/SplashBidNoticeAbstractUI.aspx?menuIndex=3&amp;refID=7046917&amp;Result=3","7046917")</f>
        <v>0</v>
      </c>
      <c r="B2251" t="s">
        <v>879</v>
      </c>
      <c r="C2251" t="s">
        <v>5358</v>
      </c>
      <c r="D2251" t="s">
        <v>18022</v>
      </c>
      <c r="E2251" t="s">
        <v>20159</v>
      </c>
      <c r="F2251" t="s">
        <v>31574</v>
      </c>
      <c r="G2251" t="s">
        <v>31581</v>
      </c>
      <c r="H2251" t="s">
        <v>31590</v>
      </c>
      <c r="I2251" t="s">
        <v>31594</v>
      </c>
      <c r="J2251" t="s">
        <v>31780</v>
      </c>
      <c r="K2251" t="s">
        <v>41184</v>
      </c>
      <c r="M2251" t="s">
        <v>42400</v>
      </c>
      <c r="N2251" t="s">
        <v>45095</v>
      </c>
      <c r="O2251" t="s">
        <v>45096</v>
      </c>
      <c r="P2251">
        <v>0</v>
      </c>
      <c r="Q2251">
        <v>0</v>
      </c>
      <c r="R2251" t="s">
        <v>45097</v>
      </c>
      <c r="S2251" t="s">
        <v>45222</v>
      </c>
      <c r="T2251" t="s">
        <v>46979</v>
      </c>
      <c r="U2251" t="s">
        <v>49354</v>
      </c>
      <c r="W2251" t="s">
        <v>42400</v>
      </c>
      <c r="X2251" t="s">
        <v>45098</v>
      </c>
    </row>
    <row r="2252" spans="1:24">
      <c r="A2252">
        <f>HYPERLINK("https://www.philgeps.gov.ph/GEPSNONPILOT/Tender/SplashBidNoticeAbstractUI.aspx?menuIndex=3&amp;refID=7046938&amp;Result=3","7046938")</f>
        <v>0</v>
      </c>
      <c r="B2252" t="s">
        <v>879</v>
      </c>
      <c r="C2252" t="s">
        <v>5359</v>
      </c>
      <c r="D2252" t="s">
        <v>18022</v>
      </c>
      <c r="E2252" t="s">
        <v>20160</v>
      </c>
      <c r="F2252" t="s">
        <v>31574</v>
      </c>
      <c r="G2252" t="s">
        <v>31581</v>
      </c>
      <c r="H2252" t="s">
        <v>31590</v>
      </c>
      <c r="I2252" t="s">
        <v>31594</v>
      </c>
      <c r="J2252" t="s">
        <v>31931</v>
      </c>
      <c r="K2252" t="s">
        <v>41184</v>
      </c>
      <c r="M2252" t="s">
        <v>42400</v>
      </c>
      <c r="N2252" t="s">
        <v>45095</v>
      </c>
      <c r="O2252" t="s">
        <v>45096</v>
      </c>
      <c r="P2252">
        <v>0</v>
      </c>
      <c r="Q2252">
        <v>0</v>
      </c>
      <c r="R2252" t="s">
        <v>45097</v>
      </c>
      <c r="S2252" t="s">
        <v>45222</v>
      </c>
      <c r="T2252" t="s">
        <v>46979</v>
      </c>
      <c r="U2252" t="s">
        <v>49354</v>
      </c>
      <c r="W2252" t="s">
        <v>42400</v>
      </c>
      <c r="X2252" t="s">
        <v>45098</v>
      </c>
    </row>
    <row r="2253" spans="1:24">
      <c r="A2253">
        <f>HYPERLINK("https://www.philgeps.gov.ph/GEPSNONPILOT/Tender/SplashBidNoticeAbstractUI.aspx?menuIndex=3&amp;refID=7046926&amp;Result=3","7046926")</f>
        <v>0</v>
      </c>
      <c r="B2253" t="s">
        <v>889</v>
      </c>
      <c r="C2253" t="s">
        <v>5360</v>
      </c>
      <c r="D2253" t="s">
        <v>18023</v>
      </c>
      <c r="E2253" t="s">
        <v>20161</v>
      </c>
      <c r="F2253" t="s">
        <v>31574</v>
      </c>
      <c r="G2253" t="s">
        <v>31582</v>
      </c>
      <c r="H2253" t="s">
        <v>31591</v>
      </c>
      <c r="I2253" t="s">
        <v>8822</v>
      </c>
      <c r="J2253" t="s">
        <v>33307</v>
      </c>
      <c r="K2253" t="s">
        <v>41192</v>
      </c>
      <c r="M2253" t="s">
        <v>42411</v>
      </c>
      <c r="N2253" t="s">
        <v>45095</v>
      </c>
      <c r="O2253" t="s">
        <v>45096</v>
      </c>
      <c r="P2253">
        <v>0</v>
      </c>
      <c r="Q2253">
        <v>0</v>
      </c>
      <c r="R2253" t="s">
        <v>45097</v>
      </c>
      <c r="S2253" t="s">
        <v>45222</v>
      </c>
      <c r="T2253" t="s">
        <v>46935</v>
      </c>
      <c r="U2253" t="s">
        <v>49392</v>
      </c>
      <c r="V2253" t="s">
        <v>60070</v>
      </c>
      <c r="W2253" t="s">
        <v>42411</v>
      </c>
      <c r="X2253" t="s">
        <v>45098</v>
      </c>
    </row>
    <row r="2254" spans="1:24">
      <c r="A2254">
        <f>HYPERLINK("https://www.philgeps.gov.ph/GEPSNONPILOT/Tender/SplashBidNoticeAbstractUI.aspx?menuIndex=3&amp;refID=7046932&amp;Result=3","7046932")</f>
        <v>0</v>
      </c>
      <c r="B2254" t="s">
        <v>835</v>
      </c>
      <c r="C2254" t="s">
        <v>5361</v>
      </c>
      <c r="D2254" t="s">
        <v>18030</v>
      </c>
      <c r="E2254" t="s">
        <v>19193</v>
      </c>
      <c r="F2254" t="s">
        <v>31574</v>
      </c>
      <c r="G2254" t="s">
        <v>31583</v>
      </c>
      <c r="H2254" t="s">
        <v>31590</v>
      </c>
      <c r="I2254" t="s">
        <v>31623</v>
      </c>
      <c r="J2254" t="s">
        <v>31830</v>
      </c>
      <c r="K2254" t="s">
        <v>41211</v>
      </c>
      <c r="M2254" t="s">
        <v>42416</v>
      </c>
      <c r="N2254" t="s">
        <v>45095</v>
      </c>
      <c r="O2254" t="s">
        <v>45096</v>
      </c>
      <c r="P2254">
        <v>0</v>
      </c>
      <c r="Q2254">
        <v>0</v>
      </c>
      <c r="R2254" t="s">
        <v>45097</v>
      </c>
      <c r="S2254" t="s">
        <v>45222</v>
      </c>
      <c r="T2254" t="s">
        <v>47067</v>
      </c>
      <c r="U2254" t="s">
        <v>49393</v>
      </c>
      <c r="W2254" t="s">
        <v>42416</v>
      </c>
      <c r="X2254" t="s">
        <v>45098</v>
      </c>
    </row>
    <row r="2255" spans="1:24">
      <c r="A2255">
        <f>HYPERLINK("https://www.philgeps.gov.ph/GEPSNONPILOT/Tender/SplashBidNoticeAbstractUI.aspx?menuIndex=3&amp;refID=7046927&amp;Result=3","7046927")</f>
        <v>0</v>
      </c>
      <c r="B2255" t="s">
        <v>867</v>
      </c>
      <c r="C2255" t="s">
        <v>5362</v>
      </c>
      <c r="D2255" t="s">
        <v>18022</v>
      </c>
      <c r="E2255" t="s">
        <v>20162</v>
      </c>
      <c r="F2255" t="s">
        <v>31574</v>
      </c>
      <c r="G2255" t="s">
        <v>31581</v>
      </c>
      <c r="H2255" t="s">
        <v>31592</v>
      </c>
      <c r="I2255" t="s">
        <v>3489</v>
      </c>
      <c r="J2255" t="s">
        <v>33308</v>
      </c>
      <c r="K2255" t="s">
        <v>41210</v>
      </c>
      <c r="M2255" t="s">
        <v>42387</v>
      </c>
      <c r="N2255" t="s">
        <v>45095</v>
      </c>
      <c r="O2255" t="s">
        <v>45096</v>
      </c>
      <c r="P2255">
        <v>0</v>
      </c>
      <c r="Q2255">
        <v>0</v>
      </c>
      <c r="R2255" t="s">
        <v>45097</v>
      </c>
      <c r="S2255" t="s">
        <v>45222</v>
      </c>
      <c r="T2255" t="s">
        <v>46969</v>
      </c>
      <c r="U2255" t="s">
        <v>49332</v>
      </c>
      <c r="W2255" t="s">
        <v>42387</v>
      </c>
      <c r="X2255" t="s">
        <v>45098</v>
      </c>
    </row>
    <row r="2256" spans="1:24">
      <c r="A2256">
        <f>HYPERLINK("https://www.philgeps.gov.ph/GEPSNONPILOT/Tender/SplashBidNoticeAbstractUI.aspx?menuIndex=3&amp;refID=7046930&amp;Result=3","7046930")</f>
        <v>0</v>
      </c>
      <c r="B2256" t="s">
        <v>890</v>
      </c>
      <c r="C2256" t="s">
        <v>5363</v>
      </c>
      <c r="E2256" t="s">
        <v>20163</v>
      </c>
      <c r="F2256" t="s">
        <v>31574</v>
      </c>
      <c r="G2256" t="s">
        <v>31584</v>
      </c>
      <c r="H2256" t="s">
        <v>31590</v>
      </c>
      <c r="I2256" t="s">
        <v>31684</v>
      </c>
      <c r="J2256" t="s">
        <v>33309</v>
      </c>
      <c r="K2256" t="s">
        <v>41184</v>
      </c>
      <c r="M2256" t="s">
        <v>42413</v>
      </c>
      <c r="N2256" t="s">
        <v>45095</v>
      </c>
      <c r="O2256" t="s">
        <v>45096</v>
      </c>
      <c r="P2256">
        <v>0</v>
      </c>
      <c r="Q2256">
        <v>0</v>
      </c>
      <c r="R2256" t="s">
        <v>45097</v>
      </c>
      <c r="S2256" t="s">
        <v>45222</v>
      </c>
      <c r="T2256" t="s">
        <v>46904</v>
      </c>
      <c r="U2256" t="s">
        <v>49394</v>
      </c>
      <c r="W2256" t="s">
        <v>42413</v>
      </c>
      <c r="X2256" t="s">
        <v>45098</v>
      </c>
    </row>
    <row r="2257" spans="1:24">
      <c r="A2257">
        <f>HYPERLINK("https://www.philgeps.gov.ph/GEPSNONPILOT/Tender/SplashBidNoticeAbstractUI.aspx?menuIndex=3&amp;refID=7046924&amp;Result=3","7046924")</f>
        <v>0</v>
      </c>
      <c r="B2257" t="s">
        <v>893</v>
      </c>
      <c r="C2257" t="s">
        <v>5364</v>
      </c>
      <c r="D2257" t="s">
        <v>18022</v>
      </c>
      <c r="E2257" t="s">
        <v>20164</v>
      </c>
      <c r="F2257" t="s">
        <v>31574</v>
      </c>
      <c r="G2257" t="s">
        <v>31581</v>
      </c>
      <c r="H2257" t="s">
        <v>31590</v>
      </c>
      <c r="I2257" t="s">
        <v>4327</v>
      </c>
      <c r="J2257" t="s">
        <v>33310</v>
      </c>
      <c r="K2257" t="s">
        <v>41197</v>
      </c>
      <c r="M2257" t="s">
        <v>42417</v>
      </c>
      <c r="N2257" t="s">
        <v>45095</v>
      </c>
      <c r="O2257" t="s">
        <v>45096</v>
      </c>
      <c r="P2257">
        <v>0</v>
      </c>
      <c r="Q2257">
        <v>0</v>
      </c>
      <c r="R2257" t="s">
        <v>45097</v>
      </c>
      <c r="S2257" t="s">
        <v>45222</v>
      </c>
      <c r="T2257" t="s">
        <v>46904</v>
      </c>
      <c r="U2257" t="s">
        <v>49395</v>
      </c>
      <c r="V2257" t="s">
        <v>60071</v>
      </c>
      <c r="W2257" t="s">
        <v>42417</v>
      </c>
      <c r="X2257" t="s">
        <v>45098</v>
      </c>
    </row>
    <row r="2258" spans="1:24">
      <c r="A2258">
        <f>HYPERLINK("https://www.philgeps.gov.ph/GEPSNONPILOT/Tender/SplashBidNoticeAbstractUI.aspx?menuIndex=3&amp;refID=7046929&amp;Result=3","7046929")</f>
        <v>0</v>
      </c>
      <c r="B2258" t="s">
        <v>894</v>
      </c>
      <c r="C2258" t="s">
        <v>5365</v>
      </c>
      <c r="D2258" t="s">
        <v>18039</v>
      </c>
      <c r="E2258" t="s">
        <v>20165</v>
      </c>
      <c r="F2258" t="s">
        <v>31575</v>
      </c>
      <c r="G2258" t="s">
        <v>31582</v>
      </c>
      <c r="H2258" t="s">
        <v>31591</v>
      </c>
      <c r="I2258" t="s">
        <v>8822</v>
      </c>
      <c r="J2258" t="s">
        <v>33311</v>
      </c>
      <c r="K2258" t="s">
        <v>41192</v>
      </c>
      <c r="M2258" t="s">
        <v>42418</v>
      </c>
      <c r="N2258" t="s">
        <v>45095</v>
      </c>
      <c r="O2258" t="s">
        <v>45096</v>
      </c>
      <c r="P2258">
        <v>0</v>
      </c>
      <c r="Q2258">
        <v>0</v>
      </c>
      <c r="R2258" t="s">
        <v>45097</v>
      </c>
      <c r="S2258" t="s">
        <v>45222</v>
      </c>
      <c r="T2258" t="s">
        <v>47114</v>
      </c>
      <c r="U2258" t="s">
        <v>49396</v>
      </c>
      <c r="W2258" t="s">
        <v>42418</v>
      </c>
      <c r="X2258" t="s">
        <v>45098</v>
      </c>
    </row>
    <row r="2259" spans="1:24">
      <c r="A2259">
        <f>HYPERLINK("https://www.philgeps.gov.ph/GEPSNONPILOT/Tender/SplashBidNoticeAbstractUI.aspx?menuIndex=3&amp;refID=7046919&amp;Result=3","7046919")</f>
        <v>0</v>
      </c>
      <c r="B2259" t="s">
        <v>895</v>
      </c>
      <c r="C2259" t="s">
        <v>5366</v>
      </c>
      <c r="E2259" t="s">
        <v>20166</v>
      </c>
      <c r="F2259" t="s">
        <v>31574</v>
      </c>
      <c r="G2259" t="s">
        <v>31583</v>
      </c>
      <c r="H2259" t="s">
        <v>31590</v>
      </c>
      <c r="I2259" t="s">
        <v>3487</v>
      </c>
      <c r="J2259" t="s">
        <v>31727</v>
      </c>
      <c r="K2259" t="s">
        <v>41211</v>
      </c>
      <c r="M2259" t="s">
        <v>42419</v>
      </c>
      <c r="N2259" t="s">
        <v>45095</v>
      </c>
      <c r="O2259" t="s">
        <v>45096</v>
      </c>
      <c r="P2259">
        <v>0</v>
      </c>
      <c r="Q2259">
        <v>0</v>
      </c>
      <c r="R2259" t="s">
        <v>45097</v>
      </c>
      <c r="S2259" t="s">
        <v>45222</v>
      </c>
      <c r="T2259" t="s">
        <v>46911</v>
      </c>
      <c r="U2259" t="s">
        <v>49397</v>
      </c>
      <c r="W2259" t="s">
        <v>42419</v>
      </c>
      <c r="X2259" t="s">
        <v>45098</v>
      </c>
    </row>
    <row r="2260" spans="1:24">
      <c r="A2260">
        <f>HYPERLINK("https://www.philgeps.gov.ph/GEPSNONPILOT/Tender/SplashBidNoticeAbstractUI.aspx?menuIndex=3&amp;refID=7046954&amp;Result=3","7046954")</f>
        <v>0</v>
      </c>
      <c r="B2260" t="s">
        <v>894</v>
      </c>
      <c r="C2260" t="s">
        <v>5367</v>
      </c>
      <c r="D2260" t="s">
        <v>18039</v>
      </c>
      <c r="E2260" t="s">
        <v>20167</v>
      </c>
      <c r="F2260" t="s">
        <v>31574</v>
      </c>
      <c r="G2260" t="s">
        <v>31582</v>
      </c>
      <c r="H2260" t="s">
        <v>31591</v>
      </c>
      <c r="I2260" t="s">
        <v>8822</v>
      </c>
      <c r="J2260" t="s">
        <v>33312</v>
      </c>
      <c r="K2260" t="s">
        <v>41192</v>
      </c>
      <c r="M2260" t="s">
        <v>42418</v>
      </c>
      <c r="N2260" t="s">
        <v>45095</v>
      </c>
      <c r="O2260" t="s">
        <v>45096</v>
      </c>
      <c r="P2260">
        <v>0</v>
      </c>
      <c r="Q2260">
        <v>0</v>
      </c>
      <c r="R2260" t="s">
        <v>45097</v>
      </c>
      <c r="S2260" t="s">
        <v>45222</v>
      </c>
      <c r="T2260" t="s">
        <v>47114</v>
      </c>
      <c r="U2260" t="s">
        <v>49398</v>
      </c>
      <c r="W2260" t="s">
        <v>42418</v>
      </c>
      <c r="X2260" t="s">
        <v>45098</v>
      </c>
    </row>
    <row r="2261" spans="1:24">
      <c r="A2261">
        <f>HYPERLINK("https://www.philgeps.gov.ph/GEPSNONPILOT/Tender/SplashBidNoticeAbstractUI.aspx?menuIndex=3&amp;refID=7046939&amp;Result=3","7046939")</f>
        <v>0</v>
      </c>
      <c r="B2261" t="s">
        <v>835</v>
      </c>
      <c r="C2261" t="s">
        <v>5368</v>
      </c>
      <c r="D2261" t="s">
        <v>18030</v>
      </c>
      <c r="E2261" t="s">
        <v>19185</v>
      </c>
      <c r="F2261" t="s">
        <v>31574</v>
      </c>
      <c r="G2261" t="s">
        <v>31583</v>
      </c>
      <c r="H2261" t="s">
        <v>31590</v>
      </c>
      <c r="I2261" t="s">
        <v>3520</v>
      </c>
      <c r="J2261" t="s">
        <v>31842</v>
      </c>
      <c r="K2261" t="s">
        <v>41212</v>
      </c>
      <c r="M2261" t="s">
        <v>42416</v>
      </c>
      <c r="N2261" t="s">
        <v>45095</v>
      </c>
      <c r="O2261" t="s">
        <v>45096</v>
      </c>
      <c r="P2261">
        <v>0</v>
      </c>
      <c r="Q2261">
        <v>0</v>
      </c>
      <c r="R2261" t="s">
        <v>45097</v>
      </c>
      <c r="S2261" t="s">
        <v>45222</v>
      </c>
      <c r="T2261" t="s">
        <v>47067</v>
      </c>
      <c r="U2261" t="s">
        <v>47578</v>
      </c>
      <c r="W2261" t="s">
        <v>42416</v>
      </c>
      <c r="X2261" t="s">
        <v>45098</v>
      </c>
    </row>
    <row r="2262" spans="1:24">
      <c r="A2262">
        <f>HYPERLINK("https://www.philgeps.gov.ph/GEPSNONPILOT/Tender/SplashBidNoticeAbstractUI.aspx?menuIndex=3&amp;refID=7046945&amp;Result=3","7046945")</f>
        <v>0</v>
      </c>
      <c r="B2262" t="s">
        <v>879</v>
      </c>
      <c r="C2262" t="s">
        <v>3689</v>
      </c>
      <c r="D2262" t="s">
        <v>18022</v>
      </c>
      <c r="E2262" t="s">
        <v>20168</v>
      </c>
      <c r="F2262" t="s">
        <v>31574</v>
      </c>
      <c r="G2262" t="s">
        <v>31581</v>
      </c>
      <c r="H2262" t="s">
        <v>31590</v>
      </c>
      <c r="I2262" t="s">
        <v>31594</v>
      </c>
      <c r="J2262" t="s">
        <v>33313</v>
      </c>
      <c r="K2262" t="s">
        <v>41184</v>
      </c>
      <c r="M2262" t="s">
        <v>42400</v>
      </c>
      <c r="N2262" t="s">
        <v>45095</v>
      </c>
      <c r="O2262" t="s">
        <v>45096</v>
      </c>
      <c r="P2262">
        <v>0</v>
      </c>
      <c r="Q2262">
        <v>0</v>
      </c>
      <c r="R2262" t="s">
        <v>45097</v>
      </c>
      <c r="S2262" t="s">
        <v>45222</v>
      </c>
      <c r="T2262" t="s">
        <v>46979</v>
      </c>
      <c r="U2262" t="s">
        <v>49354</v>
      </c>
      <c r="W2262" t="s">
        <v>42400</v>
      </c>
      <c r="X2262" t="s">
        <v>45098</v>
      </c>
    </row>
    <row r="2263" spans="1:24">
      <c r="A2263">
        <f>HYPERLINK("https://www.philgeps.gov.ph/GEPSNONPILOT/Tender/SplashBidNoticeAbstractUI.aspx?menuIndex=3&amp;refID=7046923&amp;Result=3","7046923")</f>
        <v>0</v>
      </c>
      <c r="B2263" t="s">
        <v>857</v>
      </c>
      <c r="C2263" t="s">
        <v>5369</v>
      </c>
      <c r="D2263" t="s">
        <v>18070</v>
      </c>
      <c r="E2263" t="s">
        <v>20169</v>
      </c>
      <c r="F2263" t="s">
        <v>31574</v>
      </c>
      <c r="G2263" t="s">
        <v>31581</v>
      </c>
      <c r="H2263" t="s">
        <v>31590</v>
      </c>
      <c r="I2263" t="s">
        <v>31625</v>
      </c>
      <c r="J2263" t="s">
        <v>31962</v>
      </c>
      <c r="K2263" t="s">
        <v>41213</v>
      </c>
      <c r="M2263" t="s">
        <v>42377</v>
      </c>
      <c r="N2263" t="s">
        <v>45095</v>
      </c>
      <c r="O2263" t="s">
        <v>45096</v>
      </c>
      <c r="P2263">
        <v>0</v>
      </c>
      <c r="Q2263">
        <v>0</v>
      </c>
      <c r="R2263" t="s">
        <v>45097</v>
      </c>
      <c r="S2263" t="s">
        <v>45222</v>
      </c>
      <c r="T2263" t="s">
        <v>47094</v>
      </c>
      <c r="U2263" t="s">
        <v>49399</v>
      </c>
      <c r="W2263" t="s">
        <v>42377</v>
      </c>
      <c r="X2263" t="s">
        <v>45098</v>
      </c>
    </row>
    <row r="2264" spans="1:24">
      <c r="A2264">
        <f>HYPERLINK("https://www.philgeps.gov.ph/GEPSNONPILOT/Tender/SplashBidNoticeAbstractUI.aspx?menuIndex=3&amp;refID=7046944&amp;Result=3","7046944")</f>
        <v>0</v>
      </c>
      <c r="B2264" t="s">
        <v>887</v>
      </c>
      <c r="C2264" t="s">
        <v>5370</v>
      </c>
      <c r="D2264" t="s">
        <v>18100</v>
      </c>
      <c r="E2264" t="s">
        <v>20170</v>
      </c>
      <c r="F2264" t="s">
        <v>31574</v>
      </c>
      <c r="G2264" t="s">
        <v>31581</v>
      </c>
      <c r="H2264" t="s">
        <v>31590</v>
      </c>
      <c r="I2264" t="s">
        <v>31608</v>
      </c>
      <c r="J2264" t="s">
        <v>33314</v>
      </c>
      <c r="K2264" t="s">
        <v>41184</v>
      </c>
      <c r="M2264" t="s">
        <v>42408</v>
      </c>
      <c r="N2264" t="s">
        <v>45095</v>
      </c>
      <c r="O2264" t="s">
        <v>45096</v>
      </c>
      <c r="P2264">
        <v>0</v>
      </c>
      <c r="Q2264">
        <v>0</v>
      </c>
      <c r="R2264" t="s">
        <v>45097</v>
      </c>
      <c r="S2264" t="s">
        <v>45222</v>
      </c>
      <c r="T2264" t="s">
        <v>46918</v>
      </c>
      <c r="U2264" t="s">
        <v>49374</v>
      </c>
      <c r="W2264" t="s">
        <v>61684</v>
      </c>
      <c r="X2264" t="s">
        <v>45098</v>
      </c>
    </row>
    <row r="2265" spans="1:24">
      <c r="A2265">
        <f>HYPERLINK("https://www.philgeps.gov.ph/GEPSNONPILOT/Tender/SplashBidNoticeAbstractUI.aspx?menuIndex=3&amp;refID=7046942&amp;Result=3","7046942")</f>
        <v>0</v>
      </c>
      <c r="B2265" t="s">
        <v>896</v>
      </c>
      <c r="C2265" t="s">
        <v>5371</v>
      </c>
      <c r="D2265" t="s">
        <v>18079</v>
      </c>
      <c r="E2265" t="s">
        <v>20171</v>
      </c>
      <c r="F2265" t="s">
        <v>31574</v>
      </c>
      <c r="G2265" t="s">
        <v>31582</v>
      </c>
      <c r="H2265" t="s">
        <v>31591</v>
      </c>
      <c r="I2265" t="s">
        <v>8822</v>
      </c>
      <c r="J2265" t="s">
        <v>33315</v>
      </c>
      <c r="K2265" t="s">
        <v>41192</v>
      </c>
      <c r="M2265" t="s">
        <v>42420</v>
      </c>
      <c r="N2265" t="s">
        <v>45095</v>
      </c>
      <c r="O2265" t="s">
        <v>45096</v>
      </c>
      <c r="P2265">
        <v>0</v>
      </c>
      <c r="Q2265">
        <v>0</v>
      </c>
      <c r="R2265" t="s">
        <v>45097</v>
      </c>
      <c r="S2265" t="s">
        <v>45222</v>
      </c>
      <c r="T2265" t="s">
        <v>46956</v>
      </c>
      <c r="U2265" t="s">
        <v>49400</v>
      </c>
      <c r="W2265" t="s">
        <v>42420</v>
      </c>
      <c r="X2265" t="s">
        <v>45098</v>
      </c>
    </row>
    <row r="2266" spans="1:24">
      <c r="A2266">
        <f>HYPERLINK("https://www.philgeps.gov.ph/GEPSNONPILOT/Tender/SplashBidNoticeAbstractUI.aspx?menuIndex=3&amp;refID=7046940&amp;Result=3","7046940")</f>
        <v>0</v>
      </c>
      <c r="B2266" t="s">
        <v>897</v>
      </c>
      <c r="C2266" t="s">
        <v>5372</v>
      </c>
      <c r="D2266" t="s">
        <v>18022</v>
      </c>
      <c r="E2266" t="s">
        <v>20172</v>
      </c>
      <c r="F2266" t="s">
        <v>31574</v>
      </c>
      <c r="G2266" t="s">
        <v>31582</v>
      </c>
      <c r="H2266" t="s">
        <v>31590</v>
      </c>
      <c r="I2266" t="s">
        <v>3487</v>
      </c>
      <c r="J2266" t="s">
        <v>32232</v>
      </c>
      <c r="K2266" t="s">
        <v>41213</v>
      </c>
      <c r="M2266" t="s">
        <v>42421</v>
      </c>
      <c r="N2266" t="s">
        <v>45095</v>
      </c>
      <c r="O2266" t="s">
        <v>45096</v>
      </c>
      <c r="P2266">
        <v>0</v>
      </c>
      <c r="Q2266">
        <v>0</v>
      </c>
      <c r="R2266" t="s">
        <v>45097</v>
      </c>
      <c r="S2266" t="s">
        <v>45222</v>
      </c>
      <c r="T2266" t="s">
        <v>46914</v>
      </c>
      <c r="U2266" t="s">
        <v>49401</v>
      </c>
      <c r="W2266" t="s">
        <v>42421</v>
      </c>
      <c r="X2266" t="s">
        <v>45098</v>
      </c>
    </row>
    <row r="2267" spans="1:24">
      <c r="A2267">
        <f>HYPERLINK("https://www.philgeps.gov.ph/GEPSNONPILOT/Tender/SplashBidNoticeAbstractUI.aspx?menuIndex=3&amp;refID=7046941&amp;Result=3","7046941")</f>
        <v>0</v>
      </c>
      <c r="B2267" t="s">
        <v>887</v>
      </c>
      <c r="C2267" t="s">
        <v>5373</v>
      </c>
      <c r="D2267" t="s">
        <v>18100</v>
      </c>
      <c r="E2267" t="s">
        <v>20173</v>
      </c>
      <c r="F2267" t="s">
        <v>31574</v>
      </c>
      <c r="G2267" t="s">
        <v>31581</v>
      </c>
      <c r="H2267" t="s">
        <v>31590</v>
      </c>
      <c r="I2267" t="s">
        <v>31608</v>
      </c>
      <c r="J2267" t="s">
        <v>33316</v>
      </c>
      <c r="K2267" t="s">
        <v>41184</v>
      </c>
      <c r="M2267" t="s">
        <v>42408</v>
      </c>
      <c r="N2267" t="s">
        <v>45095</v>
      </c>
      <c r="O2267" t="s">
        <v>45096</v>
      </c>
      <c r="P2267">
        <v>0</v>
      </c>
      <c r="Q2267">
        <v>0</v>
      </c>
      <c r="R2267" t="s">
        <v>45097</v>
      </c>
      <c r="S2267" t="s">
        <v>45222</v>
      </c>
      <c r="T2267" t="s">
        <v>46918</v>
      </c>
      <c r="U2267" t="s">
        <v>49402</v>
      </c>
      <c r="W2267" t="s">
        <v>61684</v>
      </c>
      <c r="X2267" t="s">
        <v>45098</v>
      </c>
    </row>
    <row r="2268" spans="1:24">
      <c r="A2268">
        <f>HYPERLINK("https://www.philgeps.gov.ph/GEPSNONPILOT/Tender/SplashBidNoticeAbstractUI.aspx?menuIndex=3&amp;refID=7046962&amp;Result=3","7046962")</f>
        <v>0</v>
      </c>
      <c r="B2268" t="s">
        <v>224</v>
      </c>
      <c r="C2268" t="s">
        <v>5374</v>
      </c>
      <c r="D2268" t="s">
        <v>18040</v>
      </c>
      <c r="E2268" t="s">
        <v>20174</v>
      </c>
      <c r="F2268" t="s">
        <v>31574</v>
      </c>
      <c r="G2268" t="s">
        <v>31582</v>
      </c>
      <c r="H2268" t="s">
        <v>31590</v>
      </c>
      <c r="I2268" t="s">
        <v>31608</v>
      </c>
      <c r="J2268" t="s">
        <v>33317</v>
      </c>
      <c r="K2268" t="s">
        <v>41243</v>
      </c>
      <c r="M2268" t="s">
        <v>41709</v>
      </c>
      <c r="N2268" t="s">
        <v>45095</v>
      </c>
      <c r="O2268" t="s">
        <v>45096</v>
      </c>
      <c r="P2268">
        <v>0</v>
      </c>
      <c r="Q2268">
        <v>0</v>
      </c>
      <c r="R2268" t="s">
        <v>45097</v>
      </c>
      <c r="S2268" t="s">
        <v>45222</v>
      </c>
      <c r="T2268" t="s">
        <v>47100</v>
      </c>
      <c r="U2268" t="s">
        <v>49403</v>
      </c>
      <c r="W2268" t="s">
        <v>41709</v>
      </c>
      <c r="X2268" t="s">
        <v>45098</v>
      </c>
    </row>
    <row r="2269" spans="1:24">
      <c r="A2269">
        <f>HYPERLINK("https://www.philgeps.gov.ph/GEPSNONPILOT/Tender/SplashBidNoticeAbstractUI.aspx?menuIndex=3&amp;refID=7046953&amp;Result=3","7046953")</f>
        <v>0</v>
      </c>
      <c r="B2269" t="s">
        <v>881</v>
      </c>
      <c r="C2269" t="s">
        <v>5375</v>
      </c>
      <c r="D2269" t="s">
        <v>18041</v>
      </c>
      <c r="E2269" t="s">
        <v>20175</v>
      </c>
      <c r="F2269" t="s">
        <v>31574</v>
      </c>
      <c r="G2269" t="s">
        <v>31581</v>
      </c>
      <c r="H2269" t="s">
        <v>31592</v>
      </c>
      <c r="I2269" t="s">
        <v>8258</v>
      </c>
      <c r="J2269" t="s">
        <v>33318</v>
      </c>
      <c r="K2269" t="s">
        <v>41191</v>
      </c>
      <c r="M2269" t="s">
        <v>42402</v>
      </c>
      <c r="N2269" t="s">
        <v>45095</v>
      </c>
      <c r="O2269" t="s">
        <v>45096</v>
      </c>
      <c r="P2269">
        <v>0</v>
      </c>
      <c r="Q2269">
        <v>0</v>
      </c>
      <c r="R2269" t="s">
        <v>45097</v>
      </c>
      <c r="S2269" t="s">
        <v>45222</v>
      </c>
      <c r="T2269" t="s">
        <v>46911</v>
      </c>
      <c r="U2269" t="s">
        <v>49404</v>
      </c>
      <c r="W2269" t="s">
        <v>42402</v>
      </c>
      <c r="X2269" t="s">
        <v>45098</v>
      </c>
    </row>
    <row r="2270" spans="1:24">
      <c r="A2270">
        <f>HYPERLINK("https://www.philgeps.gov.ph/GEPSNONPILOT/Tender/SplashBidNoticeAbstractUI.aspx?menuIndex=3&amp;refID=7046960&amp;Result=3","7046960")</f>
        <v>0</v>
      </c>
      <c r="B2270" t="s">
        <v>898</v>
      </c>
      <c r="C2270" t="s">
        <v>5376</v>
      </c>
      <c r="D2270" t="s">
        <v>18022</v>
      </c>
      <c r="E2270" t="s">
        <v>20176</v>
      </c>
      <c r="F2270" t="s">
        <v>31575</v>
      </c>
      <c r="G2270" t="s">
        <v>31586</v>
      </c>
      <c r="H2270" t="s">
        <v>31590</v>
      </c>
      <c r="I2270" t="s">
        <v>31640</v>
      </c>
      <c r="J2270" t="s">
        <v>32049</v>
      </c>
      <c r="K2270" t="s">
        <v>41213</v>
      </c>
      <c r="M2270" t="s">
        <v>42422</v>
      </c>
      <c r="N2270" t="s">
        <v>45095</v>
      </c>
      <c r="O2270" t="s">
        <v>45096</v>
      </c>
      <c r="P2270">
        <v>0</v>
      </c>
      <c r="Q2270">
        <v>0</v>
      </c>
      <c r="R2270" t="s">
        <v>45097</v>
      </c>
      <c r="S2270" t="s">
        <v>45222</v>
      </c>
      <c r="T2270" t="s">
        <v>46920</v>
      </c>
      <c r="U2270" t="s">
        <v>49405</v>
      </c>
      <c r="W2270" t="s">
        <v>42422</v>
      </c>
      <c r="X2270" t="s">
        <v>45098</v>
      </c>
    </row>
    <row r="2271" spans="1:24">
      <c r="A2271">
        <f>HYPERLINK("https://www.philgeps.gov.ph/GEPSNONPILOT/Tender/SplashBidNoticeAbstractUI.aspx?menuIndex=3&amp;refID=7046958&amp;Result=3","7046958")</f>
        <v>0</v>
      </c>
      <c r="B2271" t="s">
        <v>899</v>
      </c>
      <c r="C2271" t="s">
        <v>5377</v>
      </c>
      <c r="D2271" t="s">
        <v>18039</v>
      </c>
      <c r="E2271" t="s">
        <v>20177</v>
      </c>
      <c r="F2271" t="s">
        <v>31574</v>
      </c>
      <c r="G2271" t="s">
        <v>31583</v>
      </c>
      <c r="H2271" t="s">
        <v>31590</v>
      </c>
      <c r="I2271" t="s">
        <v>31600</v>
      </c>
      <c r="J2271" t="s">
        <v>31873</v>
      </c>
      <c r="K2271" t="s">
        <v>41213</v>
      </c>
      <c r="M2271" t="s">
        <v>42423</v>
      </c>
      <c r="N2271" t="s">
        <v>45095</v>
      </c>
      <c r="O2271" t="s">
        <v>45096</v>
      </c>
      <c r="P2271">
        <v>0</v>
      </c>
      <c r="Q2271">
        <v>0</v>
      </c>
      <c r="R2271" t="s">
        <v>45097</v>
      </c>
      <c r="S2271" t="s">
        <v>45222</v>
      </c>
      <c r="T2271" t="s">
        <v>47050</v>
      </c>
      <c r="U2271" t="s">
        <v>49406</v>
      </c>
      <c r="V2271" t="s">
        <v>60072</v>
      </c>
      <c r="W2271" t="s">
        <v>42423</v>
      </c>
      <c r="X2271" t="s">
        <v>45098</v>
      </c>
    </row>
    <row r="2272" spans="1:24">
      <c r="A2272">
        <f>HYPERLINK("https://www.philgeps.gov.ph/GEPSNONPILOT/Tender/SplashBidNoticeAbstractUI.aspx?menuIndex=3&amp;refID=7046949&amp;Result=3","7046949")</f>
        <v>0</v>
      </c>
      <c r="B2272" t="s">
        <v>893</v>
      </c>
      <c r="C2272" t="s">
        <v>5378</v>
      </c>
      <c r="D2272" t="s">
        <v>18022</v>
      </c>
      <c r="E2272" t="s">
        <v>20178</v>
      </c>
      <c r="F2272" t="s">
        <v>31574</v>
      </c>
      <c r="G2272" t="s">
        <v>31584</v>
      </c>
      <c r="H2272" t="s">
        <v>31590</v>
      </c>
      <c r="I2272" t="s">
        <v>6800</v>
      </c>
      <c r="J2272" t="s">
        <v>33319</v>
      </c>
      <c r="K2272" t="s">
        <v>41197</v>
      </c>
      <c r="M2272" t="s">
        <v>42417</v>
      </c>
      <c r="N2272" t="s">
        <v>45095</v>
      </c>
      <c r="O2272" t="s">
        <v>45096</v>
      </c>
      <c r="P2272">
        <v>0</v>
      </c>
      <c r="Q2272">
        <v>0</v>
      </c>
      <c r="R2272" t="s">
        <v>45097</v>
      </c>
      <c r="S2272" t="s">
        <v>45222</v>
      </c>
      <c r="T2272" t="s">
        <v>46904</v>
      </c>
      <c r="U2272" t="s">
        <v>49395</v>
      </c>
      <c r="V2272" t="s">
        <v>60071</v>
      </c>
      <c r="W2272" t="s">
        <v>42417</v>
      </c>
      <c r="X2272" t="s">
        <v>45098</v>
      </c>
    </row>
    <row r="2273" spans="1:24">
      <c r="A2273">
        <f>HYPERLINK("https://www.philgeps.gov.ph/GEPSNONPILOT/Tender/SplashBidNoticeAbstractUI.aspx?menuIndex=3&amp;refID=7046957&amp;Result=3","7046957")</f>
        <v>0</v>
      </c>
      <c r="B2273" t="s">
        <v>890</v>
      </c>
      <c r="C2273" t="s">
        <v>3965</v>
      </c>
      <c r="D2273" t="s">
        <v>18022</v>
      </c>
      <c r="E2273" t="s">
        <v>20179</v>
      </c>
      <c r="F2273" t="s">
        <v>31574</v>
      </c>
      <c r="G2273" t="s">
        <v>31584</v>
      </c>
      <c r="H2273" t="s">
        <v>31590</v>
      </c>
      <c r="I2273" t="s">
        <v>4327</v>
      </c>
      <c r="J2273" t="s">
        <v>32068</v>
      </c>
      <c r="K2273" t="s">
        <v>41184</v>
      </c>
      <c r="M2273" t="s">
        <v>42413</v>
      </c>
      <c r="N2273" t="s">
        <v>45095</v>
      </c>
      <c r="O2273" t="s">
        <v>45096</v>
      </c>
      <c r="P2273">
        <v>0</v>
      </c>
      <c r="Q2273">
        <v>0</v>
      </c>
      <c r="R2273" t="s">
        <v>45097</v>
      </c>
      <c r="S2273" t="s">
        <v>45222</v>
      </c>
      <c r="T2273" t="s">
        <v>46904</v>
      </c>
      <c r="U2273" t="s">
        <v>49407</v>
      </c>
      <c r="W2273" t="s">
        <v>42413</v>
      </c>
      <c r="X2273" t="s">
        <v>45098</v>
      </c>
    </row>
    <row r="2274" spans="1:24">
      <c r="A2274">
        <f>HYPERLINK("https://www.philgeps.gov.ph/GEPSNONPILOT/Tender/SplashBidNoticeAbstractUI.aspx?menuIndex=3&amp;refID=7046961&amp;Result=3","7046961")</f>
        <v>0</v>
      </c>
      <c r="B2274" t="s">
        <v>881</v>
      </c>
      <c r="C2274" t="s">
        <v>5379</v>
      </c>
      <c r="D2274" t="s">
        <v>18041</v>
      </c>
      <c r="E2274" t="s">
        <v>20180</v>
      </c>
      <c r="F2274" t="s">
        <v>31574</v>
      </c>
      <c r="G2274" t="s">
        <v>31581</v>
      </c>
      <c r="H2274" t="s">
        <v>31592</v>
      </c>
      <c r="I2274" t="s">
        <v>31603</v>
      </c>
      <c r="J2274" t="s">
        <v>33320</v>
      </c>
      <c r="K2274" t="s">
        <v>41191</v>
      </c>
      <c r="M2274" t="s">
        <v>42402</v>
      </c>
      <c r="N2274" t="s">
        <v>45095</v>
      </c>
      <c r="O2274" t="s">
        <v>45096</v>
      </c>
      <c r="P2274">
        <v>0</v>
      </c>
      <c r="Q2274">
        <v>0</v>
      </c>
      <c r="R2274" t="s">
        <v>45097</v>
      </c>
      <c r="S2274" t="s">
        <v>45222</v>
      </c>
      <c r="T2274" t="s">
        <v>46946</v>
      </c>
      <c r="U2274" t="s">
        <v>49408</v>
      </c>
      <c r="W2274" t="s">
        <v>42402</v>
      </c>
      <c r="X2274" t="s">
        <v>45098</v>
      </c>
    </row>
    <row r="2275" spans="1:24">
      <c r="A2275">
        <f>HYPERLINK("https://www.philgeps.gov.ph/GEPSNONPILOT/Tender/SplashBidNoticeAbstractUI.aspx?menuIndex=3&amp;refID=7046956&amp;Result=3","7046956")</f>
        <v>0</v>
      </c>
      <c r="B2275" t="s">
        <v>867</v>
      </c>
      <c r="C2275" t="s">
        <v>5380</v>
      </c>
      <c r="D2275" t="s">
        <v>18022</v>
      </c>
      <c r="E2275" t="s">
        <v>20181</v>
      </c>
      <c r="F2275" t="s">
        <v>31574</v>
      </c>
      <c r="G2275" t="s">
        <v>31581</v>
      </c>
      <c r="H2275" t="s">
        <v>31590</v>
      </c>
      <c r="I2275" t="s">
        <v>8258</v>
      </c>
      <c r="J2275" t="s">
        <v>33321</v>
      </c>
      <c r="K2275" t="s">
        <v>41184</v>
      </c>
      <c r="M2275" t="s">
        <v>42387</v>
      </c>
      <c r="N2275" t="s">
        <v>45095</v>
      </c>
      <c r="O2275" t="s">
        <v>45096</v>
      </c>
      <c r="P2275">
        <v>0</v>
      </c>
      <c r="Q2275">
        <v>0</v>
      </c>
      <c r="R2275" t="s">
        <v>45097</v>
      </c>
      <c r="S2275" t="s">
        <v>45222</v>
      </c>
      <c r="T2275" t="s">
        <v>46969</v>
      </c>
      <c r="U2275" t="s">
        <v>49332</v>
      </c>
      <c r="W2275" t="s">
        <v>42387</v>
      </c>
      <c r="X2275" t="s">
        <v>45098</v>
      </c>
    </row>
    <row r="2276" spans="1:24">
      <c r="A2276">
        <f>HYPERLINK("https://www.philgeps.gov.ph/GEPSNONPILOT/Tender/SplashBidNoticeAbstractUI.aspx?menuIndex=3&amp;refID=7046946&amp;Result=3","7046946")</f>
        <v>0</v>
      </c>
      <c r="B2276" t="s">
        <v>881</v>
      </c>
      <c r="C2276" t="s">
        <v>5381</v>
      </c>
      <c r="D2276" t="s">
        <v>18041</v>
      </c>
      <c r="E2276" t="s">
        <v>20182</v>
      </c>
      <c r="F2276" t="s">
        <v>31574</v>
      </c>
      <c r="G2276" t="s">
        <v>31581</v>
      </c>
      <c r="H2276" t="s">
        <v>31590</v>
      </c>
      <c r="I2276" t="s">
        <v>4046</v>
      </c>
      <c r="J2276" t="s">
        <v>33322</v>
      </c>
      <c r="K2276" t="s">
        <v>41196</v>
      </c>
      <c r="M2276" t="s">
        <v>42402</v>
      </c>
      <c r="N2276" t="s">
        <v>45095</v>
      </c>
      <c r="O2276" t="s">
        <v>45096</v>
      </c>
      <c r="P2276">
        <v>0</v>
      </c>
      <c r="Q2276">
        <v>0</v>
      </c>
      <c r="R2276" t="s">
        <v>45097</v>
      </c>
      <c r="S2276" t="s">
        <v>45222</v>
      </c>
      <c r="T2276" t="s">
        <v>46946</v>
      </c>
      <c r="U2276" t="s">
        <v>49409</v>
      </c>
      <c r="W2276" t="s">
        <v>42402</v>
      </c>
      <c r="X2276" t="s">
        <v>45098</v>
      </c>
    </row>
    <row r="2277" spans="1:24">
      <c r="A2277">
        <f>HYPERLINK("https://www.philgeps.gov.ph/GEPSNONPILOT/Tender/SplashBidNoticeAbstractUI.aspx?menuIndex=3&amp;refID=7046964&amp;Result=3","7046964")</f>
        <v>0</v>
      </c>
      <c r="B2277" t="s">
        <v>879</v>
      </c>
      <c r="C2277" t="s">
        <v>3689</v>
      </c>
      <c r="D2277" t="s">
        <v>18022</v>
      </c>
      <c r="E2277" t="s">
        <v>20183</v>
      </c>
      <c r="F2277" t="s">
        <v>31574</v>
      </c>
      <c r="G2277" t="s">
        <v>31581</v>
      </c>
      <c r="H2277" t="s">
        <v>31590</v>
      </c>
      <c r="I2277" t="s">
        <v>31594</v>
      </c>
      <c r="J2277" t="s">
        <v>33323</v>
      </c>
      <c r="K2277" t="s">
        <v>41184</v>
      </c>
      <c r="M2277" t="s">
        <v>42400</v>
      </c>
      <c r="N2277" t="s">
        <v>45095</v>
      </c>
      <c r="O2277" t="s">
        <v>45096</v>
      </c>
      <c r="P2277">
        <v>0</v>
      </c>
      <c r="Q2277">
        <v>0</v>
      </c>
      <c r="R2277" t="s">
        <v>45097</v>
      </c>
      <c r="S2277" t="s">
        <v>45222</v>
      </c>
      <c r="T2277" t="s">
        <v>46979</v>
      </c>
      <c r="U2277" t="s">
        <v>49354</v>
      </c>
      <c r="W2277" t="s">
        <v>42400</v>
      </c>
      <c r="X2277" t="s">
        <v>45098</v>
      </c>
    </row>
    <row r="2278" spans="1:24">
      <c r="A2278">
        <f>HYPERLINK("https://www.philgeps.gov.ph/GEPSNONPILOT/Tender/SplashBidNoticeAbstractUI.aspx?menuIndex=3&amp;refID=7046959&amp;Result=3","7046959")</f>
        <v>0</v>
      </c>
      <c r="B2278" t="s">
        <v>879</v>
      </c>
      <c r="C2278" t="s">
        <v>5382</v>
      </c>
      <c r="D2278" t="s">
        <v>18022</v>
      </c>
      <c r="E2278" t="s">
        <v>20184</v>
      </c>
      <c r="F2278" t="s">
        <v>31574</v>
      </c>
      <c r="G2278" t="s">
        <v>31581</v>
      </c>
      <c r="H2278" t="s">
        <v>31590</v>
      </c>
      <c r="I2278" t="s">
        <v>31594</v>
      </c>
      <c r="J2278" t="s">
        <v>31780</v>
      </c>
      <c r="K2278" t="s">
        <v>41184</v>
      </c>
      <c r="M2278" t="s">
        <v>42400</v>
      </c>
      <c r="N2278" t="s">
        <v>45095</v>
      </c>
      <c r="O2278" t="s">
        <v>45096</v>
      </c>
      <c r="P2278">
        <v>0</v>
      </c>
      <c r="Q2278">
        <v>0</v>
      </c>
      <c r="R2278" t="s">
        <v>45097</v>
      </c>
      <c r="S2278" t="s">
        <v>45222</v>
      </c>
      <c r="T2278" t="s">
        <v>46979</v>
      </c>
      <c r="U2278" t="s">
        <v>49354</v>
      </c>
      <c r="W2278" t="s">
        <v>42400</v>
      </c>
      <c r="X2278" t="s">
        <v>45098</v>
      </c>
    </row>
    <row r="2279" spans="1:24">
      <c r="A2279">
        <f>HYPERLINK("https://www.philgeps.gov.ph/GEPSNONPILOT/Tender/SplashBidNoticeAbstractUI.aspx?menuIndex=3&amp;refID=7046947&amp;Result=3","7046947")</f>
        <v>0</v>
      </c>
      <c r="B2279" t="s">
        <v>890</v>
      </c>
      <c r="C2279" t="s">
        <v>3965</v>
      </c>
      <c r="D2279" t="s">
        <v>18022</v>
      </c>
      <c r="E2279" t="s">
        <v>20185</v>
      </c>
      <c r="F2279" t="s">
        <v>31574</v>
      </c>
      <c r="G2279" t="s">
        <v>31584</v>
      </c>
      <c r="H2279" t="s">
        <v>31590</v>
      </c>
      <c r="I2279" t="s">
        <v>4327</v>
      </c>
      <c r="J2279" t="s">
        <v>32068</v>
      </c>
      <c r="K2279" t="s">
        <v>41184</v>
      </c>
      <c r="M2279" t="s">
        <v>42413</v>
      </c>
      <c r="N2279" t="s">
        <v>45095</v>
      </c>
      <c r="O2279" t="s">
        <v>45096</v>
      </c>
      <c r="P2279">
        <v>0</v>
      </c>
      <c r="Q2279">
        <v>0</v>
      </c>
      <c r="R2279" t="s">
        <v>45097</v>
      </c>
      <c r="S2279" t="s">
        <v>45222</v>
      </c>
      <c r="T2279" t="s">
        <v>46904</v>
      </c>
      <c r="U2279" t="s">
        <v>49410</v>
      </c>
      <c r="W2279" t="s">
        <v>42413</v>
      </c>
      <c r="X2279" t="s">
        <v>45098</v>
      </c>
    </row>
    <row r="2280" spans="1:24">
      <c r="A2280">
        <f>HYPERLINK("https://www.philgeps.gov.ph/GEPSNONPILOT/Tender/SplashBidNoticeAbstractUI.aspx?menuIndex=3&amp;refID=7046972&amp;Result=3","7046972")</f>
        <v>0</v>
      </c>
      <c r="B2280" t="s">
        <v>879</v>
      </c>
      <c r="C2280" t="s">
        <v>5383</v>
      </c>
      <c r="D2280" t="s">
        <v>18022</v>
      </c>
      <c r="E2280" t="s">
        <v>20186</v>
      </c>
      <c r="F2280" t="s">
        <v>31574</v>
      </c>
      <c r="G2280" t="s">
        <v>31581</v>
      </c>
      <c r="H2280" t="s">
        <v>31592</v>
      </c>
      <c r="I2280" t="s">
        <v>31638</v>
      </c>
      <c r="J2280" t="s">
        <v>33324</v>
      </c>
      <c r="K2280" t="s">
        <v>41193</v>
      </c>
      <c r="M2280" t="s">
        <v>42400</v>
      </c>
      <c r="N2280" t="s">
        <v>45095</v>
      </c>
      <c r="O2280" t="s">
        <v>45096</v>
      </c>
      <c r="P2280">
        <v>0</v>
      </c>
      <c r="Q2280">
        <v>0</v>
      </c>
      <c r="R2280" t="s">
        <v>45097</v>
      </c>
      <c r="S2280" t="s">
        <v>45222</v>
      </c>
      <c r="T2280" t="s">
        <v>46979</v>
      </c>
      <c r="U2280" t="s">
        <v>49354</v>
      </c>
      <c r="W2280" t="s">
        <v>42400</v>
      </c>
      <c r="X2280" t="s">
        <v>45098</v>
      </c>
    </row>
    <row r="2281" spans="1:24">
      <c r="A2281">
        <f>HYPERLINK("https://www.philgeps.gov.ph/GEPSNONPILOT/Tender/SplashBidNoticeAbstractUI.aspx?menuIndex=3&amp;refID=7046963&amp;Result=3","7046963")</f>
        <v>0</v>
      </c>
      <c r="B2281" t="s">
        <v>900</v>
      </c>
      <c r="C2281" t="s">
        <v>5384</v>
      </c>
      <c r="D2281" t="s">
        <v>18028</v>
      </c>
      <c r="E2281" t="s">
        <v>20187</v>
      </c>
      <c r="F2281" t="s">
        <v>31574</v>
      </c>
      <c r="G2281" t="s">
        <v>31582</v>
      </c>
      <c r="H2281" t="s">
        <v>31590</v>
      </c>
      <c r="I2281" t="s">
        <v>6800</v>
      </c>
      <c r="J2281" t="s">
        <v>33325</v>
      </c>
      <c r="K2281" t="s">
        <v>41190</v>
      </c>
      <c r="M2281" t="s">
        <v>42424</v>
      </c>
      <c r="N2281" t="s">
        <v>45095</v>
      </c>
      <c r="O2281" t="s">
        <v>45096</v>
      </c>
      <c r="P2281">
        <v>0</v>
      </c>
      <c r="Q2281">
        <v>0</v>
      </c>
      <c r="R2281" t="s">
        <v>45097</v>
      </c>
      <c r="S2281" t="s">
        <v>45222</v>
      </c>
      <c r="T2281" t="s">
        <v>46910</v>
      </c>
      <c r="U2281" t="s">
        <v>49411</v>
      </c>
      <c r="W2281" t="s">
        <v>42424</v>
      </c>
      <c r="X2281" t="s">
        <v>45098</v>
      </c>
    </row>
    <row r="2282" spans="1:24">
      <c r="A2282">
        <f>HYPERLINK("https://www.philgeps.gov.ph/GEPSNONPILOT/Tender/SplashBidNoticeAbstractUI.aspx?menuIndex=3&amp;refID=7046943&amp;Result=3","7046943")</f>
        <v>0</v>
      </c>
      <c r="B2282" t="s">
        <v>901</v>
      </c>
      <c r="C2282" t="s">
        <v>5385</v>
      </c>
      <c r="D2282" t="s">
        <v>18066</v>
      </c>
      <c r="E2282" t="s">
        <v>20188</v>
      </c>
      <c r="F2282" t="s">
        <v>31574</v>
      </c>
      <c r="G2282" t="s">
        <v>31583</v>
      </c>
      <c r="H2282" t="s">
        <v>31590</v>
      </c>
      <c r="I2282" t="s">
        <v>31664</v>
      </c>
      <c r="J2282" t="s">
        <v>33326</v>
      </c>
      <c r="K2282" t="s">
        <v>41193</v>
      </c>
      <c r="M2282" t="s">
        <v>42425</v>
      </c>
      <c r="N2282" t="s">
        <v>45095</v>
      </c>
      <c r="O2282" t="s">
        <v>45096</v>
      </c>
      <c r="P2282">
        <v>0</v>
      </c>
      <c r="Q2282">
        <v>0</v>
      </c>
      <c r="R2282" t="s">
        <v>45097</v>
      </c>
      <c r="S2282" t="s">
        <v>45222</v>
      </c>
      <c r="T2282" t="s">
        <v>46910</v>
      </c>
      <c r="U2282" t="s">
        <v>49412</v>
      </c>
      <c r="W2282" t="s">
        <v>42425</v>
      </c>
      <c r="X2282" t="s">
        <v>45098</v>
      </c>
    </row>
    <row r="2283" spans="1:24">
      <c r="A2283">
        <f>HYPERLINK("https://www.philgeps.gov.ph/GEPSNONPILOT/Tender/SplashBidNoticeAbstractUI.aspx?menuIndex=3&amp;refID=7046955&amp;Result=3","7046955")</f>
        <v>0</v>
      </c>
      <c r="B2283" t="s">
        <v>902</v>
      </c>
      <c r="C2283" t="s">
        <v>5386</v>
      </c>
      <c r="D2283" t="s">
        <v>18033</v>
      </c>
      <c r="E2283" t="s">
        <v>20189</v>
      </c>
      <c r="F2283" t="s">
        <v>31574</v>
      </c>
      <c r="G2283" t="s">
        <v>31582</v>
      </c>
      <c r="H2283" t="s">
        <v>31590</v>
      </c>
      <c r="I2283" t="s">
        <v>31615</v>
      </c>
      <c r="J2283" t="s">
        <v>33327</v>
      </c>
      <c r="K2283" t="s">
        <v>41186</v>
      </c>
      <c r="M2283" t="s">
        <v>42426</v>
      </c>
      <c r="N2283" t="s">
        <v>45095</v>
      </c>
      <c r="O2283" t="s">
        <v>45096</v>
      </c>
      <c r="P2283">
        <v>0</v>
      </c>
      <c r="Q2283">
        <v>2</v>
      </c>
      <c r="R2283" t="s">
        <v>45097</v>
      </c>
      <c r="S2283" t="s">
        <v>45222</v>
      </c>
      <c r="T2283" t="s">
        <v>47016</v>
      </c>
      <c r="U2283" t="s">
        <v>49413</v>
      </c>
      <c r="W2283" t="s">
        <v>42426</v>
      </c>
      <c r="X2283" t="s">
        <v>45098</v>
      </c>
    </row>
    <row r="2284" spans="1:24">
      <c r="A2284">
        <f>HYPERLINK("https://www.philgeps.gov.ph/GEPSNONPILOT/Tender/SplashBidNoticeAbstractUI.aspx?menuIndex=3&amp;refID=7046970&amp;Result=3","7046970")</f>
        <v>0</v>
      </c>
      <c r="B2284" t="s">
        <v>898</v>
      </c>
      <c r="C2284" t="s">
        <v>5387</v>
      </c>
      <c r="D2284" t="s">
        <v>18022</v>
      </c>
      <c r="E2284" t="s">
        <v>20190</v>
      </c>
      <c r="F2284" t="s">
        <v>31575</v>
      </c>
      <c r="G2284" t="s">
        <v>31586</v>
      </c>
      <c r="H2284" t="s">
        <v>31590</v>
      </c>
      <c r="I2284" t="s">
        <v>31648</v>
      </c>
      <c r="J2284" t="s">
        <v>32232</v>
      </c>
      <c r="K2284" t="s">
        <v>41213</v>
      </c>
      <c r="M2284" t="s">
        <v>42422</v>
      </c>
      <c r="N2284" t="s">
        <v>45095</v>
      </c>
      <c r="O2284" t="s">
        <v>45096</v>
      </c>
      <c r="P2284">
        <v>0</v>
      </c>
      <c r="Q2284">
        <v>0</v>
      </c>
      <c r="R2284" t="s">
        <v>45097</v>
      </c>
      <c r="S2284" t="s">
        <v>45222</v>
      </c>
      <c r="T2284" t="s">
        <v>46920</v>
      </c>
      <c r="U2284" t="s">
        <v>49414</v>
      </c>
      <c r="W2284" t="s">
        <v>42422</v>
      </c>
      <c r="X2284" t="s">
        <v>45098</v>
      </c>
    </row>
    <row r="2285" spans="1:24">
      <c r="A2285">
        <f>HYPERLINK("https://www.philgeps.gov.ph/GEPSNONPILOT/Tender/SplashBidNoticeAbstractUI.aspx?menuIndex=3&amp;refID=7046973&amp;Result=3","7046973")</f>
        <v>0</v>
      </c>
      <c r="B2285" t="s">
        <v>867</v>
      </c>
      <c r="C2285" t="s">
        <v>5388</v>
      </c>
      <c r="D2285" t="s">
        <v>18022</v>
      </c>
      <c r="E2285" t="s">
        <v>20191</v>
      </c>
      <c r="F2285" t="s">
        <v>31574</v>
      </c>
      <c r="G2285" t="s">
        <v>31581</v>
      </c>
      <c r="H2285" t="s">
        <v>31590</v>
      </c>
      <c r="I2285" t="s">
        <v>8258</v>
      </c>
      <c r="J2285" t="s">
        <v>31726</v>
      </c>
      <c r="K2285" t="s">
        <v>41184</v>
      </c>
      <c r="M2285" t="s">
        <v>42387</v>
      </c>
      <c r="N2285" t="s">
        <v>45095</v>
      </c>
      <c r="O2285" t="s">
        <v>45096</v>
      </c>
      <c r="P2285">
        <v>0</v>
      </c>
      <c r="Q2285">
        <v>0</v>
      </c>
      <c r="R2285" t="s">
        <v>45097</v>
      </c>
      <c r="S2285" t="s">
        <v>45222</v>
      </c>
      <c r="T2285" t="s">
        <v>46969</v>
      </c>
      <c r="U2285" t="s">
        <v>49332</v>
      </c>
      <c r="W2285" t="s">
        <v>42387</v>
      </c>
      <c r="X2285" t="s">
        <v>45098</v>
      </c>
    </row>
    <row r="2286" spans="1:24">
      <c r="A2286">
        <f>HYPERLINK("https://www.philgeps.gov.ph/GEPSNONPILOT/Tender/SplashBidNoticeAbstractUI.aspx?menuIndex=3&amp;refID=7046922&amp;Result=3","7046922")</f>
        <v>0</v>
      </c>
      <c r="B2286" t="s">
        <v>835</v>
      </c>
      <c r="C2286" t="s">
        <v>5389</v>
      </c>
      <c r="D2286" t="s">
        <v>18030</v>
      </c>
      <c r="E2286" t="s">
        <v>19193</v>
      </c>
      <c r="F2286" t="s">
        <v>31574</v>
      </c>
      <c r="G2286" t="s">
        <v>31583</v>
      </c>
      <c r="H2286" t="s">
        <v>31590</v>
      </c>
      <c r="I2286" t="s">
        <v>3487</v>
      </c>
      <c r="J2286" t="s">
        <v>32012</v>
      </c>
      <c r="K2286" t="s">
        <v>41211</v>
      </c>
      <c r="M2286" t="s">
        <v>42416</v>
      </c>
      <c r="N2286" t="s">
        <v>45095</v>
      </c>
      <c r="O2286" t="s">
        <v>45096</v>
      </c>
      <c r="P2286">
        <v>0</v>
      </c>
      <c r="Q2286">
        <v>0</v>
      </c>
      <c r="R2286" t="s">
        <v>45097</v>
      </c>
      <c r="S2286" t="s">
        <v>45222</v>
      </c>
      <c r="T2286" t="s">
        <v>47067</v>
      </c>
      <c r="U2286" t="s">
        <v>47578</v>
      </c>
      <c r="W2286" t="s">
        <v>42416</v>
      </c>
      <c r="X2286" t="s">
        <v>45098</v>
      </c>
    </row>
    <row r="2287" spans="1:24">
      <c r="A2287">
        <f>HYPERLINK("https://www.philgeps.gov.ph/GEPSNONPILOT/Tender/SplashBidNoticeAbstractUI.aspx?menuIndex=3&amp;refID=7046983&amp;Result=3","7046983")</f>
        <v>0</v>
      </c>
      <c r="B2287" t="s">
        <v>903</v>
      </c>
      <c r="C2287" t="s">
        <v>5390</v>
      </c>
      <c r="D2287" t="s">
        <v>18052</v>
      </c>
      <c r="E2287" t="s">
        <v>20192</v>
      </c>
      <c r="F2287" t="s">
        <v>31574</v>
      </c>
      <c r="G2287" t="s">
        <v>31582</v>
      </c>
      <c r="H2287" t="s">
        <v>31590</v>
      </c>
      <c r="I2287" t="s">
        <v>31602</v>
      </c>
      <c r="J2287" t="s">
        <v>33328</v>
      </c>
      <c r="K2287" t="s">
        <v>41184</v>
      </c>
      <c r="M2287" t="s">
        <v>42427</v>
      </c>
      <c r="N2287" t="s">
        <v>45095</v>
      </c>
      <c r="O2287" t="s">
        <v>45096</v>
      </c>
      <c r="P2287">
        <v>0</v>
      </c>
      <c r="Q2287">
        <v>0</v>
      </c>
      <c r="R2287" t="s">
        <v>45097</v>
      </c>
      <c r="S2287" t="s">
        <v>45222</v>
      </c>
      <c r="T2287" t="s">
        <v>46920</v>
      </c>
      <c r="U2287" t="s">
        <v>49415</v>
      </c>
      <c r="W2287" t="s">
        <v>42427</v>
      </c>
      <c r="X2287" t="s">
        <v>45098</v>
      </c>
    </row>
    <row r="2288" spans="1:24">
      <c r="A2288">
        <f>HYPERLINK("https://www.philgeps.gov.ph/GEPSNONPILOT/Tender/SplashBidNoticeAbstractUI.aspx?menuIndex=3&amp;refID=7046982&amp;Result=3","7046982")</f>
        <v>0</v>
      </c>
      <c r="B2288" t="s">
        <v>904</v>
      </c>
      <c r="C2288" t="s">
        <v>5391</v>
      </c>
      <c r="E2288" t="s">
        <v>20193</v>
      </c>
      <c r="F2288" t="s">
        <v>31574</v>
      </c>
      <c r="G2288" t="s">
        <v>31583</v>
      </c>
      <c r="H2288" t="s">
        <v>31590</v>
      </c>
      <c r="I2288" t="s">
        <v>31608</v>
      </c>
      <c r="J2288" t="s">
        <v>31789</v>
      </c>
      <c r="K2288" t="s">
        <v>41186</v>
      </c>
      <c r="M2288" t="s">
        <v>42428</v>
      </c>
      <c r="N2288" t="s">
        <v>45095</v>
      </c>
      <c r="O2288" t="s">
        <v>45096</v>
      </c>
      <c r="P2288">
        <v>0</v>
      </c>
      <c r="Q2288">
        <v>0</v>
      </c>
      <c r="R2288" t="s">
        <v>45097</v>
      </c>
      <c r="S2288" t="s">
        <v>45222</v>
      </c>
      <c r="T2288" t="s">
        <v>47080</v>
      </c>
      <c r="U2288" t="s">
        <v>49416</v>
      </c>
      <c r="W2288" t="s">
        <v>42428</v>
      </c>
      <c r="X2288" t="s">
        <v>45098</v>
      </c>
    </row>
    <row r="2289" spans="1:24">
      <c r="A2289">
        <f>HYPERLINK("https://www.philgeps.gov.ph/GEPSNONPILOT/Tender/SplashBidNoticeAbstractUI.aspx?menuIndex=3&amp;refID=7046980&amp;Result=3","7046980")</f>
        <v>0</v>
      </c>
      <c r="B2289" t="s">
        <v>899</v>
      </c>
      <c r="C2289" t="s">
        <v>5392</v>
      </c>
      <c r="D2289" t="s">
        <v>18039</v>
      </c>
      <c r="E2289" t="s">
        <v>20194</v>
      </c>
      <c r="F2289" t="s">
        <v>31574</v>
      </c>
      <c r="G2289" t="s">
        <v>31582</v>
      </c>
      <c r="H2289" t="s">
        <v>31591</v>
      </c>
      <c r="I2289" t="s">
        <v>8822</v>
      </c>
      <c r="J2289" t="s">
        <v>33329</v>
      </c>
      <c r="K2289" t="s">
        <v>41280</v>
      </c>
      <c r="M2289" t="s">
        <v>42423</v>
      </c>
      <c r="N2289" t="s">
        <v>45095</v>
      </c>
      <c r="O2289" t="s">
        <v>45096</v>
      </c>
      <c r="P2289">
        <v>0</v>
      </c>
      <c r="Q2289">
        <v>0</v>
      </c>
      <c r="R2289" t="s">
        <v>45097</v>
      </c>
      <c r="S2289" t="s">
        <v>45222</v>
      </c>
      <c r="T2289" t="s">
        <v>46935</v>
      </c>
      <c r="U2289" t="s">
        <v>49417</v>
      </c>
      <c r="V2289" t="s">
        <v>60073</v>
      </c>
      <c r="W2289" t="s">
        <v>42423</v>
      </c>
      <c r="X2289" t="s">
        <v>45098</v>
      </c>
    </row>
    <row r="2290" spans="1:24">
      <c r="A2290">
        <f>HYPERLINK("https://www.philgeps.gov.ph/GEPSNONPILOT/Tender/SplashBidNoticeAbstractUI.aspx?menuIndex=3&amp;refID=7046981&amp;Result=3","7046981")</f>
        <v>0</v>
      </c>
      <c r="B2290" t="s">
        <v>902</v>
      </c>
      <c r="C2290" t="s">
        <v>5393</v>
      </c>
      <c r="D2290" t="s">
        <v>18033</v>
      </c>
      <c r="E2290" t="s">
        <v>20195</v>
      </c>
      <c r="F2290" t="s">
        <v>31574</v>
      </c>
      <c r="G2290" t="s">
        <v>31582</v>
      </c>
      <c r="H2290" t="s">
        <v>31591</v>
      </c>
      <c r="I2290" t="s">
        <v>8822</v>
      </c>
      <c r="J2290" t="s">
        <v>31947</v>
      </c>
      <c r="K2290" t="s">
        <v>41186</v>
      </c>
      <c r="M2290" t="s">
        <v>42426</v>
      </c>
      <c r="N2290" t="s">
        <v>45095</v>
      </c>
      <c r="O2290" t="s">
        <v>45096</v>
      </c>
      <c r="P2290">
        <v>0</v>
      </c>
      <c r="Q2290">
        <v>0</v>
      </c>
      <c r="R2290" t="s">
        <v>45097</v>
      </c>
      <c r="S2290" t="s">
        <v>45222</v>
      </c>
      <c r="T2290" t="s">
        <v>47016</v>
      </c>
      <c r="U2290" t="s">
        <v>49418</v>
      </c>
      <c r="W2290" t="s">
        <v>42426</v>
      </c>
      <c r="X2290" t="s">
        <v>45098</v>
      </c>
    </row>
    <row r="2291" spans="1:24">
      <c r="A2291">
        <f>HYPERLINK("https://www.philgeps.gov.ph/GEPSNONPILOT/Tender/SplashBidNoticeAbstractUI.aspx?menuIndex=3&amp;refID=7046976&amp;Result=3","7046976")</f>
        <v>0</v>
      </c>
      <c r="B2291" t="s">
        <v>898</v>
      </c>
      <c r="C2291" t="s">
        <v>5394</v>
      </c>
      <c r="D2291" t="s">
        <v>18022</v>
      </c>
      <c r="E2291" t="s">
        <v>20196</v>
      </c>
      <c r="F2291" t="s">
        <v>31575</v>
      </c>
      <c r="G2291" t="s">
        <v>31586</v>
      </c>
      <c r="H2291" t="s">
        <v>31590</v>
      </c>
      <c r="I2291" t="s">
        <v>7162</v>
      </c>
      <c r="J2291" t="s">
        <v>31789</v>
      </c>
      <c r="K2291" t="s">
        <v>41213</v>
      </c>
      <c r="M2291" t="s">
        <v>42422</v>
      </c>
      <c r="N2291" t="s">
        <v>45095</v>
      </c>
      <c r="O2291" t="s">
        <v>45096</v>
      </c>
      <c r="P2291">
        <v>0</v>
      </c>
      <c r="Q2291">
        <v>0</v>
      </c>
      <c r="R2291" t="s">
        <v>45097</v>
      </c>
      <c r="S2291" t="s">
        <v>45222</v>
      </c>
      <c r="T2291" t="s">
        <v>46920</v>
      </c>
      <c r="U2291" t="s">
        <v>49419</v>
      </c>
      <c r="W2291" t="s">
        <v>42422</v>
      </c>
      <c r="X2291" t="s">
        <v>45098</v>
      </c>
    </row>
    <row r="2292" spans="1:24">
      <c r="A2292">
        <f>HYPERLINK("https://www.philgeps.gov.ph/GEPSNONPILOT/Tender/SplashBidNoticeAbstractUI.aspx?menuIndex=3&amp;refID=7046977&amp;Result=3","7046977")</f>
        <v>0</v>
      </c>
      <c r="B2292" t="s">
        <v>905</v>
      </c>
      <c r="C2292" t="s">
        <v>5395</v>
      </c>
      <c r="D2292" t="s">
        <v>18050</v>
      </c>
      <c r="E2292" t="s">
        <v>5395</v>
      </c>
      <c r="F2292" t="s">
        <v>31574</v>
      </c>
      <c r="G2292" t="s">
        <v>31581</v>
      </c>
      <c r="H2292" t="s">
        <v>31590</v>
      </c>
      <c r="I2292" t="s">
        <v>4046</v>
      </c>
      <c r="J2292" t="s">
        <v>33330</v>
      </c>
      <c r="K2292" t="s">
        <v>41190</v>
      </c>
      <c r="M2292" t="s">
        <v>42429</v>
      </c>
      <c r="N2292" t="s">
        <v>45095</v>
      </c>
      <c r="O2292" t="s">
        <v>45096</v>
      </c>
      <c r="P2292">
        <v>0</v>
      </c>
      <c r="Q2292">
        <v>0</v>
      </c>
      <c r="R2292" t="s">
        <v>45097</v>
      </c>
      <c r="S2292" t="s">
        <v>45222</v>
      </c>
      <c r="T2292" t="s">
        <v>46911</v>
      </c>
      <c r="U2292" t="s">
        <v>49420</v>
      </c>
      <c r="W2292" t="s">
        <v>42429</v>
      </c>
      <c r="X2292" t="s">
        <v>45098</v>
      </c>
    </row>
    <row r="2293" spans="1:24">
      <c r="A2293">
        <f>HYPERLINK("https://www.philgeps.gov.ph/GEPSNONPILOT/Tender/SplashBidNoticeAbstractUI.aspx?menuIndex=3&amp;refID=7046969&amp;Result=3","7046969")</f>
        <v>0</v>
      </c>
      <c r="B2293" t="s">
        <v>906</v>
      </c>
      <c r="C2293" t="s">
        <v>5396</v>
      </c>
      <c r="D2293" t="s">
        <v>18043</v>
      </c>
      <c r="E2293" t="s">
        <v>18169</v>
      </c>
      <c r="F2293" t="s">
        <v>31574</v>
      </c>
      <c r="G2293" t="s">
        <v>31582</v>
      </c>
      <c r="H2293" t="s">
        <v>31590</v>
      </c>
      <c r="I2293" t="s">
        <v>31663</v>
      </c>
      <c r="J2293" t="s">
        <v>31819</v>
      </c>
      <c r="K2293" t="s">
        <v>41192</v>
      </c>
      <c r="M2293" t="s">
        <v>42430</v>
      </c>
      <c r="N2293" t="s">
        <v>45095</v>
      </c>
      <c r="O2293" t="s">
        <v>45096</v>
      </c>
      <c r="P2293">
        <v>0</v>
      </c>
      <c r="Q2293">
        <v>0</v>
      </c>
      <c r="R2293" t="s">
        <v>45097</v>
      </c>
      <c r="S2293" t="s">
        <v>45222</v>
      </c>
      <c r="T2293" t="s">
        <v>47115</v>
      </c>
      <c r="U2293" t="s">
        <v>49421</v>
      </c>
      <c r="V2293" t="s">
        <v>60074</v>
      </c>
      <c r="W2293" t="s">
        <v>42430</v>
      </c>
      <c r="X2293" t="s">
        <v>45098</v>
      </c>
    </row>
    <row r="2294" spans="1:24">
      <c r="A2294">
        <f>HYPERLINK("https://www.philgeps.gov.ph/GEPSNONPILOT/Tender/SplashBidNoticeAbstractUI.aspx?menuIndex=3&amp;refID=7046975&amp;Result=3","7046975")</f>
        <v>0</v>
      </c>
      <c r="B2294" t="s">
        <v>899</v>
      </c>
      <c r="C2294" t="s">
        <v>5397</v>
      </c>
      <c r="D2294" t="s">
        <v>18039</v>
      </c>
      <c r="E2294" t="s">
        <v>20197</v>
      </c>
      <c r="F2294" t="s">
        <v>31574</v>
      </c>
      <c r="G2294" t="s">
        <v>31582</v>
      </c>
      <c r="H2294" t="s">
        <v>31591</v>
      </c>
      <c r="I2294" t="s">
        <v>8822</v>
      </c>
      <c r="J2294" t="s">
        <v>32026</v>
      </c>
      <c r="K2294" t="s">
        <v>41185</v>
      </c>
      <c r="M2294" t="s">
        <v>42423</v>
      </c>
      <c r="N2294" t="s">
        <v>45095</v>
      </c>
      <c r="O2294" t="s">
        <v>45096</v>
      </c>
      <c r="P2294">
        <v>0</v>
      </c>
      <c r="Q2294">
        <v>0</v>
      </c>
      <c r="R2294" t="s">
        <v>45097</v>
      </c>
      <c r="S2294" t="s">
        <v>45222</v>
      </c>
      <c r="T2294" t="s">
        <v>46935</v>
      </c>
      <c r="U2294" t="s">
        <v>49422</v>
      </c>
      <c r="V2294" t="s">
        <v>60073</v>
      </c>
      <c r="W2294" t="s">
        <v>42423</v>
      </c>
      <c r="X2294" t="s">
        <v>45098</v>
      </c>
    </row>
    <row r="2295" spans="1:24">
      <c r="A2295">
        <f>HYPERLINK("https://www.philgeps.gov.ph/GEPSNONPILOT/Tender/SplashBidNoticeAbstractUI.aspx?menuIndex=3&amp;refID=7046966&amp;Result=3","7046966")</f>
        <v>0</v>
      </c>
      <c r="B2295" t="s">
        <v>907</v>
      </c>
      <c r="C2295" t="s">
        <v>5398</v>
      </c>
      <c r="D2295" t="s">
        <v>18077</v>
      </c>
      <c r="E2295" t="s">
        <v>20198</v>
      </c>
      <c r="F2295" t="s">
        <v>31574</v>
      </c>
      <c r="G2295" t="s">
        <v>31584</v>
      </c>
      <c r="H2295" t="s">
        <v>31590</v>
      </c>
      <c r="I2295" t="s">
        <v>31608</v>
      </c>
      <c r="J2295" t="s">
        <v>32258</v>
      </c>
      <c r="K2295" t="s">
        <v>41190</v>
      </c>
      <c r="M2295" t="s">
        <v>42431</v>
      </c>
      <c r="N2295" t="s">
        <v>45095</v>
      </c>
      <c r="O2295" t="s">
        <v>45096</v>
      </c>
      <c r="P2295">
        <v>0</v>
      </c>
      <c r="Q2295">
        <v>0</v>
      </c>
      <c r="R2295" t="s">
        <v>45097</v>
      </c>
      <c r="S2295" t="s">
        <v>45222</v>
      </c>
      <c r="T2295" t="s">
        <v>46911</v>
      </c>
      <c r="U2295" t="s">
        <v>49423</v>
      </c>
      <c r="W2295" t="s">
        <v>42431</v>
      </c>
      <c r="X2295" t="s">
        <v>45098</v>
      </c>
    </row>
    <row r="2296" spans="1:24">
      <c r="A2296">
        <f>HYPERLINK("https://www.philgeps.gov.ph/GEPSNONPILOT/Tender/SplashBidNoticeAbstractUI.aspx?menuIndex=3&amp;refID=7046971&amp;Result=3","7046971")</f>
        <v>0</v>
      </c>
      <c r="B2296" t="s">
        <v>890</v>
      </c>
      <c r="C2296" t="s">
        <v>5399</v>
      </c>
      <c r="D2296" t="s">
        <v>18022</v>
      </c>
      <c r="E2296" t="s">
        <v>20199</v>
      </c>
      <c r="F2296" t="s">
        <v>31574</v>
      </c>
      <c r="G2296" t="s">
        <v>31581</v>
      </c>
      <c r="H2296" t="s">
        <v>31590</v>
      </c>
      <c r="I2296" t="s">
        <v>31610</v>
      </c>
      <c r="J2296" t="s">
        <v>33331</v>
      </c>
      <c r="K2296" t="s">
        <v>41184</v>
      </c>
      <c r="M2296" t="s">
        <v>42413</v>
      </c>
      <c r="N2296" t="s">
        <v>45095</v>
      </c>
      <c r="O2296" t="s">
        <v>45096</v>
      </c>
      <c r="P2296">
        <v>0</v>
      </c>
      <c r="Q2296">
        <v>0</v>
      </c>
      <c r="R2296" t="s">
        <v>45097</v>
      </c>
      <c r="S2296" t="s">
        <v>45222</v>
      </c>
      <c r="T2296" t="s">
        <v>46904</v>
      </c>
      <c r="U2296" t="s">
        <v>49424</v>
      </c>
      <c r="W2296" t="s">
        <v>42413</v>
      </c>
      <c r="X2296" t="s">
        <v>45098</v>
      </c>
    </row>
    <row r="2297" spans="1:24">
      <c r="A2297">
        <f>HYPERLINK("https://www.philgeps.gov.ph/GEPSNONPILOT/Tender/SplashBidNoticeAbstractUI.aspx?menuIndex=3&amp;refID=7046978&amp;Result=3","7046978")</f>
        <v>0</v>
      </c>
      <c r="B2297" t="s">
        <v>908</v>
      </c>
      <c r="C2297" t="s">
        <v>5400</v>
      </c>
      <c r="D2297" t="s">
        <v>18066</v>
      </c>
      <c r="E2297" t="s">
        <v>20200</v>
      </c>
      <c r="F2297" t="s">
        <v>31574</v>
      </c>
      <c r="G2297" t="s">
        <v>31582</v>
      </c>
      <c r="H2297" t="s">
        <v>31591</v>
      </c>
      <c r="I2297" t="s">
        <v>8822</v>
      </c>
      <c r="J2297" t="s">
        <v>33332</v>
      </c>
      <c r="K2297" t="s">
        <v>41204</v>
      </c>
      <c r="M2297" t="s">
        <v>42432</v>
      </c>
      <c r="N2297" t="s">
        <v>45095</v>
      </c>
      <c r="O2297" t="s">
        <v>45096</v>
      </c>
      <c r="P2297">
        <v>0</v>
      </c>
      <c r="Q2297">
        <v>0</v>
      </c>
      <c r="R2297" t="s">
        <v>45097</v>
      </c>
      <c r="S2297" t="s">
        <v>45222</v>
      </c>
      <c r="T2297" t="s">
        <v>46926</v>
      </c>
      <c r="U2297" t="s">
        <v>49425</v>
      </c>
      <c r="W2297" t="s">
        <v>42439</v>
      </c>
      <c r="X2297" t="s">
        <v>45098</v>
      </c>
    </row>
    <row r="2298" spans="1:24">
      <c r="A2298">
        <f>HYPERLINK("https://www.philgeps.gov.ph/GEPSNONPILOT/Tender/SplashBidNoticeAbstractUI.aspx?menuIndex=3&amp;refID=7046974&amp;Result=3","7046974")</f>
        <v>0</v>
      </c>
      <c r="B2298" t="s">
        <v>890</v>
      </c>
      <c r="C2298" t="s">
        <v>5401</v>
      </c>
      <c r="D2298" t="s">
        <v>18022</v>
      </c>
      <c r="E2298" t="s">
        <v>20201</v>
      </c>
      <c r="F2298" t="s">
        <v>31574</v>
      </c>
      <c r="G2298" t="s">
        <v>31581</v>
      </c>
      <c r="H2298" t="s">
        <v>31590</v>
      </c>
      <c r="I2298" t="s">
        <v>31610</v>
      </c>
      <c r="J2298" t="s">
        <v>31930</v>
      </c>
      <c r="K2298" t="s">
        <v>41184</v>
      </c>
      <c r="M2298" t="s">
        <v>42413</v>
      </c>
      <c r="N2298" t="s">
        <v>45095</v>
      </c>
      <c r="O2298" t="s">
        <v>45096</v>
      </c>
      <c r="P2298">
        <v>0</v>
      </c>
      <c r="Q2298">
        <v>0</v>
      </c>
      <c r="R2298" t="s">
        <v>45097</v>
      </c>
      <c r="S2298" t="s">
        <v>45222</v>
      </c>
      <c r="T2298" t="s">
        <v>46904</v>
      </c>
      <c r="U2298" t="s">
        <v>49426</v>
      </c>
      <c r="W2298" t="s">
        <v>42413</v>
      </c>
      <c r="X2298" t="s">
        <v>45098</v>
      </c>
    </row>
    <row r="2299" spans="1:24">
      <c r="A2299">
        <f>HYPERLINK("https://www.philgeps.gov.ph/GEPSNONPILOT/Tender/SplashBidNoticeAbstractUI.aspx?menuIndex=3&amp;refID=7046965&amp;Result=3","7046965")</f>
        <v>0</v>
      </c>
      <c r="B2299" t="s">
        <v>890</v>
      </c>
      <c r="C2299" t="s">
        <v>3965</v>
      </c>
      <c r="D2299" t="s">
        <v>18022</v>
      </c>
      <c r="E2299" t="s">
        <v>20202</v>
      </c>
      <c r="F2299" t="s">
        <v>31574</v>
      </c>
      <c r="G2299" t="s">
        <v>31584</v>
      </c>
      <c r="H2299" t="s">
        <v>31590</v>
      </c>
      <c r="I2299" t="s">
        <v>4327</v>
      </c>
      <c r="J2299" t="s">
        <v>31931</v>
      </c>
      <c r="K2299" t="s">
        <v>41184</v>
      </c>
      <c r="M2299" t="s">
        <v>42413</v>
      </c>
      <c r="N2299" t="s">
        <v>45095</v>
      </c>
      <c r="O2299" t="s">
        <v>45096</v>
      </c>
      <c r="P2299">
        <v>0</v>
      </c>
      <c r="Q2299">
        <v>0</v>
      </c>
      <c r="R2299" t="s">
        <v>45097</v>
      </c>
      <c r="S2299" t="s">
        <v>45222</v>
      </c>
      <c r="T2299" t="s">
        <v>46904</v>
      </c>
      <c r="U2299" t="s">
        <v>49427</v>
      </c>
      <c r="W2299" t="s">
        <v>42413</v>
      </c>
      <c r="X2299" t="s">
        <v>45098</v>
      </c>
    </row>
    <row r="2300" spans="1:24">
      <c r="A2300">
        <f>HYPERLINK("https://www.philgeps.gov.ph/GEPSNONPILOT/Tender/SplashBidNoticeAbstractUI.aspx?menuIndex=3&amp;refID=7046984&amp;Result=3","7046984")</f>
        <v>0</v>
      </c>
      <c r="B2300" t="s">
        <v>902</v>
      </c>
      <c r="C2300" t="s">
        <v>5402</v>
      </c>
      <c r="D2300" t="s">
        <v>18033</v>
      </c>
      <c r="E2300" t="s">
        <v>20203</v>
      </c>
      <c r="F2300" t="s">
        <v>31574</v>
      </c>
      <c r="G2300" t="s">
        <v>31582</v>
      </c>
      <c r="H2300" t="s">
        <v>31591</v>
      </c>
      <c r="I2300" t="s">
        <v>8822</v>
      </c>
      <c r="J2300" t="s">
        <v>33333</v>
      </c>
      <c r="K2300" t="s">
        <v>41186</v>
      </c>
      <c r="M2300" t="s">
        <v>42426</v>
      </c>
      <c r="N2300" t="s">
        <v>45095</v>
      </c>
      <c r="O2300" t="s">
        <v>45096</v>
      </c>
      <c r="P2300">
        <v>0</v>
      </c>
      <c r="Q2300">
        <v>0</v>
      </c>
      <c r="R2300" t="s">
        <v>45097</v>
      </c>
      <c r="S2300" t="s">
        <v>45222</v>
      </c>
      <c r="T2300" t="s">
        <v>47016</v>
      </c>
      <c r="U2300" t="s">
        <v>49428</v>
      </c>
      <c r="W2300" t="s">
        <v>42426</v>
      </c>
      <c r="X2300" t="s">
        <v>45098</v>
      </c>
    </row>
    <row r="2301" spans="1:24">
      <c r="A2301">
        <f>HYPERLINK("https://www.philgeps.gov.ph/GEPSNONPILOT/Tender/SplashBidNoticeAbstractUI.aspx?menuIndex=3&amp;refID=7046967&amp;Result=3","7046967")</f>
        <v>0</v>
      </c>
      <c r="B2301" t="s">
        <v>899</v>
      </c>
      <c r="C2301" t="s">
        <v>5403</v>
      </c>
      <c r="D2301" t="s">
        <v>18039</v>
      </c>
      <c r="E2301" t="s">
        <v>20204</v>
      </c>
      <c r="F2301" t="s">
        <v>31574</v>
      </c>
      <c r="G2301" t="s">
        <v>31583</v>
      </c>
      <c r="H2301" t="s">
        <v>31590</v>
      </c>
      <c r="I2301" t="s">
        <v>31600</v>
      </c>
      <c r="J2301" t="s">
        <v>33334</v>
      </c>
      <c r="K2301" t="s">
        <v>41213</v>
      </c>
      <c r="M2301" t="s">
        <v>42423</v>
      </c>
      <c r="N2301" t="s">
        <v>45095</v>
      </c>
      <c r="O2301" t="s">
        <v>45096</v>
      </c>
      <c r="P2301">
        <v>0</v>
      </c>
      <c r="Q2301">
        <v>0</v>
      </c>
      <c r="R2301" t="s">
        <v>45097</v>
      </c>
      <c r="S2301" t="s">
        <v>45222</v>
      </c>
      <c r="T2301" t="s">
        <v>47050</v>
      </c>
      <c r="U2301" t="s">
        <v>49406</v>
      </c>
      <c r="V2301" t="s">
        <v>60075</v>
      </c>
      <c r="W2301" t="s">
        <v>42423</v>
      </c>
      <c r="X2301" t="s">
        <v>45098</v>
      </c>
    </row>
    <row r="2302" spans="1:24">
      <c r="A2302">
        <f>HYPERLINK("https://www.philgeps.gov.ph/GEPSNONPILOT/Tender/SplashBidNoticeAbstractUI.aspx?menuIndex=3&amp;refID=7046979&amp;Result=3","7046979")</f>
        <v>0</v>
      </c>
      <c r="B2302" t="s">
        <v>867</v>
      </c>
      <c r="C2302" t="s">
        <v>5404</v>
      </c>
      <c r="D2302" t="s">
        <v>18022</v>
      </c>
      <c r="E2302" t="s">
        <v>20205</v>
      </c>
      <c r="F2302" t="s">
        <v>31574</v>
      </c>
      <c r="G2302" t="s">
        <v>31581</v>
      </c>
      <c r="H2302" t="s">
        <v>31590</v>
      </c>
      <c r="I2302" t="s">
        <v>8258</v>
      </c>
      <c r="J2302" t="s">
        <v>32315</v>
      </c>
      <c r="K2302" t="s">
        <v>41184</v>
      </c>
      <c r="M2302" t="s">
        <v>42387</v>
      </c>
      <c r="N2302" t="s">
        <v>45095</v>
      </c>
      <c r="O2302" t="s">
        <v>45096</v>
      </c>
      <c r="P2302">
        <v>0</v>
      </c>
      <c r="Q2302">
        <v>0</v>
      </c>
      <c r="R2302" t="s">
        <v>45097</v>
      </c>
      <c r="S2302" t="s">
        <v>45222</v>
      </c>
      <c r="T2302" t="s">
        <v>46969</v>
      </c>
      <c r="U2302" t="s">
        <v>49332</v>
      </c>
      <c r="W2302" t="s">
        <v>42387</v>
      </c>
      <c r="X2302" t="s">
        <v>45098</v>
      </c>
    </row>
    <row r="2303" spans="1:24">
      <c r="A2303">
        <f>HYPERLINK("https://www.philgeps.gov.ph/GEPSNONPILOT/Tender/SplashBidNoticeAbstractUI.aspx?menuIndex=3&amp;refID=7046994&amp;Result=3","7046994")</f>
        <v>0</v>
      </c>
      <c r="B2303" t="s">
        <v>909</v>
      </c>
      <c r="C2303" t="s">
        <v>5405</v>
      </c>
      <c r="D2303" t="s">
        <v>18041</v>
      </c>
      <c r="E2303" t="s">
        <v>20206</v>
      </c>
      <c r="F2303" t="s">
        <v>31574</v>
      </c>
      <c r="G2303" t="s">
        <v>31581</v>
      </c>
      <c r="H2303" t="s">
        <v>31590</v>
      </c>
      <c r="I2303" t="s">
        <v>31600</v>
      </c>
      <c r="J2303" t="s">
        <v>33335</v>
      </c>
      <c r="K2303" t="s">
        <v>41211</v>
      </c>
      <c r="M2303" t="s">
        <v>42433</v>
      </c>
      <c r="N2303" t="s">
        <v>45095</v>
      </c>
      <c r="O2303" t="s">
        <v>45096</v>
      </c>
      <c r="P2303">
        <v>0</v>
      </c>
      <c r="Q2303">
        <v>0</v>
      </c>
      <c r="R2303" t="s">
        <v>45097</v>
      </c>
      <c r="S2303" t="s">
        <v>45222</v>
      </c>
      <c r="T2303" t="s">
        <v>46911</v>
      </c>
      <c r="U2303" t="s">
        <v>49429</v>
      </c>
      <c r="W2303" t="s">
        <v>42433</v>
      </c>
      <c r="X2303" t="s">
        <v>45098</v>
      </c>
    </row>
    <row r="2304" spans="1:24">
      <c r="A2304">
        <f>HYPERLINK("https://www.philgeps.gov.ph/GEPSNONPILOT/Tender/SplashBidNoticeAbstractUI.aspx?menuIndex=3&amp;refID=7046990&amp;Result=3","7046990")</f>
        <v>0</v>
      </c>
      <c r="B2304" t="s">
        <v>910</v>
      </c>
      <c r="C2304" t="s">
        <v>5406</v>
      </c>
      <c r="D2304" t="s">
        <v>18066</v>
      </c>
      <c r="E2304" t="s">
        <v>20207</v>
      </c>
      <c r="F2304" t="s">
        <v>31574</v>
      </c>
      <c r="G2304" t="s">
        <v>31582</v>
      </c>
      <c r="H2304" t="s">
        <v>31590</v>
      </c>
      <c r="I2304" t="s">
        <v>31608</v>
      </c>
      <c r="J2304" t="s">
        <v>33336</v>
      </c>
      <c r="K2304" t="s">
        <v>41184</v>
      </c>
      <c r="M2304" t="s">
        <v>42434</v>
      </c>
      <c r="N2304" t="s">
        <v>45095</v>
      </c>
      <c r="O2304" t="s">
        <v>45096</v>
      </c>
      <c r="P2304">
        <v>0</v>
      </c>
      <c r="Q2304">
        <v>0</v>
      </c>
      <c r="R2304" t="s">
        <v>45097</v>
      </c>
      <c r="S2304" t="s">
        <v>45222</v>
      </c>
      <c r="T2304" t="s">
        <v>46915</v>
      </c>
      <c r="U2304" t="s">
        <v>49430</v>
      </c>
      <c r="W2304" t="s">
        <v>42434</v>
      </c>
      <c r="X2304" t="s">
        <v>45098</v>
      </c>
    </row>
    <row r="2305" spans="1:24">
      <c r="A2305">
        <f>HYPERLINK("https://www.philgeps.gov.ph/GEPSNONPILOT/Tender/SplashBidNoticeAbstractUI.aspx?menuIndex=3&amp;refID=7046996&amp;Result=3","7046996")</f>
        <v>0</v>
      </c>
      <c r="B2305" t="s">
        <v>902</v>
      </c>
      <c r="C2305" t="s">
        <v>5407</v>
      </c>
      <c r="D2305" t="s">
        <v>18033</v>
      </c>
      <c r="E2305" t="s">
        <v>20208</v>
      </c>
      <c r="F2305" t="s">
        <v>31574</v>
      </c>
      <c r="G2305" t="s">
        <v>31582</v>
      </c>
      <c r="H2305" t="s">
        <v>31590</v>
      </c>
      <c r="I2305" t="s">
        <v>31615</v>
      </c>
      <c r="J2305" t="s">
        <v>33337</v>
      </c>
      <c r="K2305" t="s">
        <v>41186</v>
      </c>
      <c r="M2305" t="s">
        <v>42426</v>
      </c>
      <c r="N2305" t="s">
        <v>45095</v>
      </c>
      <c r="O2305" t="s">
        <v>45096</v>
      </c>
      <c r="P2305">
        <v>0</v>
      </c>
      <c r="Q2305">
        <v>1</v>
      </c>
      <c r="R2305" t="s">
        <v>45097</v>
      </c>
      <c r="S2305" t="s">
        <v>45222</v>
      </c>
      <c r="T2305" t="s">
        <v>47016</v>
      </c>
      <c r="U2305" t="s">
        <v>49431</v>
      </c>
      <c r="W2305" t="s">
        <v>42426</v>
      </c>
      <c r="X2305" t="s">
        <v>45098</v>
      </c>
    </row>
    <row r="2306" spans="1:24">
      <c r="A2306">
        <f>HYPERLINK("https://www.philgeps.gov.ph/GEPSNONPILOT/Tender/SplashBidNoticeAbstractUI.aspx?menuIndex=3&amp;refID=7046992&amp;Result=3","7046992")</f>
        <v>0</v>
      </c>
      <c r="B2306" t="s">
        <v>909</v>
      </c>
      <c r="C2306" t="s">
        <v>5408</v>
      </c>
      <c r="D2306" t="s">
        <v>18041</v>
      </c>
      <c r="E2306" t="s">
        <v>19404</v>
      </c>
      <c r="F2306" t="s">
        <v>31574</v>
      </c>
      <c r="G2306" t="s">
        <v>31581</v>
      </c>
      <c r="H2306" t="s">
        <v>31590</v>
      </c>
      <c r="I2306" t="s">
        <v>5717</v>
      </c>
      <c r="J2306" t="s">
        <v>33338</v>
      </c>
      <c r="K2306" t="s">
        <v>41211</v>
      </c>
      <c r="M2306" t="s">
        <v>42433</v>
      </c>
      <c r="N2306" t="s">
        <v>45095</v>
      </c>
      <c r="O2306" t="s">
        <v>45096</v>
      </c>
      <c r="P2306">
        <v>0</v>
      </c>
      <c r="Q2306">
        <v>0</v>
      </c>
      <c r="R2306" t="s">
        <v>45097</v>
      </c>
      <c r="S2306" t="s">
        <v>45222</v>
      </c>
      <c r="T2306" t="s">
        <v>46911</v>
      </c>
      <c r="U2306" t="s">
        <v>49432</v>
      </c>
      <c r="W2306" t="s">
        <v>42433</v>
      </c>
      <c r="X2306" t="s">
        <v>45098</v>
      </c>
    </row>
    <row r="2307" spans="1:24">
      <c r="A2307">
        <f>HYPERLINK("https://www.philgeps.gov.ph/GEPSNONPILOT/Tender/SplashBidNoticeAbstractUI.aspx?menuIndex=3&amp;refID=7046993&amp;Result=3","7046993")</f>
        <v>0</v>
      </c>
      <c r="B2307" t="s">
        <v>910</v>
      </c>
      <c r="C2307" t="s">
        <v>5409</v>
      </c>
      <c r="D2307" t="s">
        <v>18066</v>
      </c>
      <c r="E2307" t="s">
        <v>20209</v>
      </c>
      <c r="F2307" t="s">
        <v>31574</v>
      </c>
      <c r="G2307" t="s">
        <v>31582</v>
      </c>
      <c r="H2307" t="s">
        <v>31590</v>
      </c>
      <c r="I2307" t="s">
        <v>31615</v>
      </c>
      <c r="J2307" t="s">
        <v>33339</v>
      </c>
      <c r="K2307" t="s">
        <v>41184</v>
      </c>
      <c r="M2307" t="s">
        <v>42434</v>
      </c>
      <c r="N2307" t="s">
        <v>45095</v>
      </c>
      <c r="O2307" t="s">
        <v>45096</v>
      </c>
      <c r="P2307">
        <v>0</v>
      </c>
      <c r="Q2307">
        <v>2</v>
      </c>
      <c r="R2307" t="s">
        <v>45097</v>
      </c>
      <c r="S2307" t="s">
        <v>45222</v>
      </c>
      <c r="T2307" t="s">
        <v>46915</v>
      </c>
      <c r="U2307" t="s">
        <v>49433</v>
      </c>
      <c r="W2307" t="s">
        <v>42434</v>
      </c>
      <c r="X2307" t="s">
        <v>45098</v>
      </c>
    </row>
    <row r="2308" spans="1:24">
      <c r="A2308">
        <f>HYPERLINK("https://www.philgeps.gov.ph/GEPSNONPILOT/Tender/SplashBidNoticeAbstractUI.aspx?menuIndex=3&amp;refID=7047003&amp;Result=3","7047003")</f>
        <v>0</v>
      </c>
      <c r="B2308" t="s">
        <v>910</v>
      </c>
      <c r="C2308" t="s">
        <v>5410</v>
      </c>
      <c r="D2308" t="s">
        <v>18066</v>
      </c>
      <c r="E2308" t="s">
        <v>20210</v>
      </c>
      <c r="F2308" t="s">
        <v>31574</v>
      </c>
      <c r="G2308" t="s">
        <v>31582</v>
      </c>
      <c r="H2308" t="s">
        <v>31590</v>
      </c>
      <c r="I2308" t="s">
        <v>31644</v>
      </c>
      <c r="J2308" t="s">
        <v>33340</v>
      </c>
      <c r="K2308" t="s">
        <v>41184</v>
      </c>
      <c r="M2308" t="s">
        <v>42434</v>
      </c>
      <c r="N2308" t="s">
        <v>45095</v>
      </c>
      <c r="O2308" t="s">
        <v>45096</v>
      </c>
      <c r="P2308">
        <v>0</v>
      </c>
      <c r="Q2308">
        <v>1</v>
      </c>
      <c r="R2308" t="s">
        <v>45097</v>
      </c>
      <c r="S2308" t="s">
        <v>45222</v>
      </c>
      <c r="T2308" t="s">
        <v>46926</v>
      </c>
      <c r="U2308" t="s">
        <v>49434</v>
      </c>
      <c r="W2308" t="s">
        <v>42434</v>
      </c>
      <c r="X2308" t="s">
        <v>45098</v>
      </c>
    </row>
    <row r="2309" spans="1:24">
      <c r="A2309">
        <f>HYPERLINK("https://www.philgeps.gov.ph/GEPSNONPILOT/Tender/SplashBidNoticeAbstractUI.aspx?menuIndex=3&amp;refID=7047004&amp;Result=3","7047004")</f>
        <v>0</v>
      </c>
      <c r="B2309" t="s">
        <v>909</v>
      </c>
      <c r="C2309" t="s">
        <v>5411</v>
      </c>
      <c r="D2309" t="s">
        <v>18041</v>
      </c>
      <c r="E2309" t="s">
        <v>19260</v>
      </c>
      <c r="F2309" t="s">
        <v>31574</v>
      </c>
      <c r="G2309" t="s">
        <v>31581</v>
      </c>
      <c r="H2309" t="s">
        <v>31590</v>
      </c>
      <c r="I2309" t="s">
        <v>8258</v>
      </c>
      <c r="J2309" t="s">
        <v>33341</v>
      </c>
      <c r="K2309" t="s">
        <v>41211</v>
      </c>
      <c r="M2309" t="s">
        <v>42433</v>
      </c>
      <c r="N2309" t="s">
        <v>45095</v>
      </c>
      <c r="O2309" t="s">
        <v>45096</v>
      </c>
      <c r="P2309">
        <v>0</v>
      </c>
      <c r="Q2309">
        <v>0</v>
      </c>
      <c r="R2309" t="s">
        <v>45097</v>
      </c>
      <c r="S2309" t="s">
        <v>45222</v>
      </c>
      <c r="T2309" t="s">
        <v>46911</v>
      </c>
      <c r="U2309" t="s">
        <v>49435</v>
      </c>
      <c r="W2309" t="s">
        <v>42433</v>
      </c>
      <c r="X2309" t="s">
        <v>45098</v>
      </c>
    </row>
    <row r="2310" spans="1:24">
      <c r="A2310">
        <f>HYPERLINK("https://www.philgeps.gov.ph/GEPSNONPILOT/Tender/SplashBidNoticeAbstractUI.aspx?menuIndex=3&amp;refID=7047002&amp;Result=3","7047002")</f>
        <v>0</v>
      </c>
      <c r="B2310" t="s">
        <v>902</v>
      </c>
      <c r="C2310" t="s">
        <v>5412</v>
      </c>
      <c r="D2310" t="s">
        <v>18033</v>
      </c>
      <c r="E2310" t="s">
        <v>20211</v>
      </c>
      <c r="F2310" t="s">
        <v>31574</v>
      </c>
      <c r="G2310" t="s">
        <v>31582</v>
      </c>
      <c r="H2310" t="s">
        <v>31590</v>
      </c>
      <c r="I2310" t="s">
        <v>3539</v>
      </c>
      <c r="J2310" t="s">
        <v>33342</v>
      </c>
      <c r="K2310" t="s">
        <v>41281</v>
      </c>
      <c r="M2310" t="s">
        <v>42426</v>
      </c>
      <c r="N2310" t="s">
        <v>45095</v>
      </c>
      <c r="O2310" t="s">
        <v>45096</v>
      </c>
      <c r="P2310">
        <v>0</v>
      </c>
      <c r="Q2310">
        <v>0</v>
      </c>
      <c r="R2310" t="s">
        <v>45097</v>
      </c>
      <c r="S2310" t="s">
        <v>45222</v>
      </c>
      <c r="T2310" t="s">
        <v>47016</v>
      </c>
      <c r="U2310" t="s">
        <v>49436</v>
      </c>
      <c r="W2310" t="s">
        <v>42426</v>
      </c>
      <c r="X2310" t="s">
        <v>45098</v>
      </c>
    </row>
    <row r="2311" spans="1:24">
      <c r="A2311">
        <f>HYPERLINK("https://www.philgeps.gov.ph/GEPSNONPILOT/Tender/SplashBidNoticeAbstractUI.aspx?menuIndex=3&amp;refID=7047000&amp;Result=3","7047000")</f>
        <v>0</v>
      </c>
      <c r="B2311" t="s">
        <v>911</v>
      </c>
      <c r="C2311" t="s">
        <v>5413</v>
      </c>
      <c r="D2311" t="s">
        <v>18052</v>
      </c>
      <c r="E2311" t="s">
        <v>20212</v>
      </c>
      <c r="F2311" t="s">
        <v>31574</v>
      </c>
      <c r="G2311" t="s">
        <v>31582</v>
      </c>
      <c r="H2311" t="s">
        <v>31591</v>
      </c>
      <c r="I2311" t="s">
        <v>8822</v>
      </c>
      <c r="J2311" t="s">
        <v>32232</v>
      </c>
      <c r="K2311" t="s">
        <v>41191</v>
      </c>
      <c r="M2311" t="s">
        <v>42435</v>
      </c>
      <c r="N2311" t="s">
        <v>45095</v>
      </c>
      <c r="O2311" t="s">
        <v>45096</v>
      </c>
      <c r="P2311">
        <v>0</v>
      </c>
      <c r="Q2311">
        <v>0</v>
      </c>
      <c r="R2311" t="s">
        <v>45097</v>
      </c>
      <c r="S2311" t="s">
        <v>45222</v>
      </c>
      <c r="T2311" t="s">
        <v>46922</v>
      </c>
      <c r="U2311" t="s">
        <v>49437</v>
      </c>
      <c r="W2311" t="s">
        <v>42435</v>
      </c>
      <c r="X2311" t="s">
        <v>45098</v>
      </c>
    </row>
    <row r="2312" spans="1:24">
      <c r="A2312">
        <f>HYPERLINK("https://www.philgeps.gov.ph/GEPSNONPILOT/Tender/SplashBidNoticeAbstractUI.aspx?menuIndex=3&amp;refID=7046998&amp;Result=3","7046998")</f>
        <v>0</v>
      </c>
      <c r="B2312" t="s">
        <v>909</v>
      </c>
      <c r="C2312" t="s">
        <v>5414</v>
      </c>
      <c r="D2312" t="s">
        <v>18041</v>
      </c>
      <c r="E2312" t="s">
        <v>18922</v>
      </c>
      <c r="F2312" t="s">
        <v>31574</v>
      </c>
      <c r="G2312" t="s">
        <v>31581</v>
      </c>
      <c r="H2312" t="s">
        <v>31590</v>
      </c>
      <c r="I2312" t="s">
        <v>31603</v>
      </c>
      <c r="J2312" t="s">
        <v>31871</v>
      </c>
      <c r="K2312" t="s">
        <v>41211</v>
      </c>
      <c r="M2312" t="s">
        <v>42433</v>
      </c>
      <c r="N2312" t="s">
        <v>45095</v>
      </c>
      <c r="O2312" t="s">
        <v>45096</v>
      </c>
      <c r="P2312">
        <v>0</v>
      </c>
      <c r="Q2312">
        <v>0</v>
      </c>
      <c r="R2312" t="s">
        <v>45097</v>
      </c>
      <c r="S2312" t="s">
        <v>45222</v>
      </c>
      <c r="T2312" t="s">
        <v>46911</v>
      </c>
      <c r="U2312" t="s">
        <v>49438</v>
      </c>
      <c r="W2312" t="s">
        <v>42433</v>
      </c>
      <c r="X2312" t="s">
        <v>45098</v>
      </c>
    </row>
    <row r="2313" spans="1:24">
      <c r="A2313">
        <f>HYPERLINK("https://www.philgeps.gov.ph/GEPSNONPILOT/Tender/SplashBidNoticeAbstractUI.aspx?menuIndex=3&amp;refID=7046991&amp;Result=3","7046991")</f>
        <v>0</v>
      </c>
      <c r="B2313" t="s">
        <v>903</v>
      </c>
      <c r="C2313" t="s">
        <v>5415</v>
      </c>
      <c r="D2313" t="s">
        <v>18052</v>
      </c>
      <c r="E2313" t="s">
        <v>20213</v>
      </c>
      <c r="F2313" t="s">
        <v>31574</v>
      </c>
      <c r="G2313" t="s">
        <v>31581</v>
      </c>
      <c r="H2313" t="s">
        <v>31590</v>
      </c>
      <c r="I2313" t="s">
        <v>3651</v>
      </c>
      <c r="J2313" t="s">
        <v>32178</v>
      </c>
      <c r="K2313" t="s">
        <v>41184</v>
      </c>
      <c r="M2313" t="s">
        <v>42427</v>
      </c>
      <c r="N2313" t="s">
        <v>45095</v>
      </c>
      <c r="O2313" t="s">
        <v>45096</v>
      </c>
      <c r="P2313">
        <v>0</v>
      </c>
      <c r="Q2313">
        <v>0</v>
      </c>
      <c r="R2313" t="s">
        <v>45097</v>
      </c>
      <c r="S2313" t="s">
        <v>45222</v>
      </c>
      <c r="T2313" t="s">
        <v>46913</v>
      </c>
      <c r="U2313" t="s">
        <v>49439</v>
      </c>
      <c r="W2313" t="s">
        <v>42427</v>
      </c>
      <c r="X2313" t="s">
        <v>45098</v>
      </c>
    </row>
    <row r="2314" spans="1:24">
      <c r="A2314">
        <f>HYPERLINK("https://www.philgeps.gov.ph/GEPSNONPILOT/Tender/SplashBidNoticeAbstractUI.aspx?menuIndex=3&amp;refID=7046999&amp;Result=3","7046999")</f>
        <v>0</v>
      </c>
      <c r="B2314" t="s">
        <v>910</v>
      </c>
      <c r="C2314" t="s">
        <v>5416</v>
      </c>
      <c r="D2314" t="s">
        <v>18066</v>
      </c>
      <c r="E2314" t="s">
        <v>20214</v>
      </c>
      <c r="F2314" t="s">
        <v>31574</v>
      </c>
      <c r="G2314" t="s">
        <v>31582</v>
      </c>
      <c r="H2314" t="s">
        <v>31590</v>
      </c>
      <c r="I2314" t="s">
        <v>31615</v>
      </c>
      <c r="J2314" t="s">
        <v>33343</v>
      </c>
      <c r="K2314" t="s">
        <v>41184</v>
      </c>
      <c r="M2314" t="s">
        <v>42434</v>
      </c>
      <c r="N2314" t="s">
        <v>45095</v>
      </c>
      <c r="O2314" t="s">
        <v>45096</v>
      </c>
      <c r="P2314">
        <v>0</v>
      </c>
      <c r="Q2314">
        <v>3</v>
      </c>
      <c r="R2314" t="s">
        <v>45097</v>
      </c>
      <c r="S2314" t="s">
        <v>45222</v>
      </c>
      <c r="T2314" t="s">
        <v>46915</v>
      </c>
      <c r="U2314" t="s">
        <v>49440</v>
      </c>
      <c r="W2314" t="s">
        <v>42434</v>
      </c>
      <c r="X2314" t="s">
        <v>45098</v>
      </c>
    </row>
    <row r="2315" spans="1:24">
      <c r="A2315">
        <f>HYPERLINK("https://www.philgeps.gov.ph/GEPSNONPILOT/Tender/SplashBidNoticeAbstractUI.aspx?menuIndex=3&amp;refID=7046987&amp;Result=3","7046987")</f>
        <v>0</v>
      </c>
      <c r="B2315" t="s">
        <v>902</v>
      </c>
      <c r="C2315" t="s">
        <v>5417</v>
      </c>
      <c r="D2315" t="s">
        <v>18033</v>
      </c>
      <c r="E2315" t="s">
        <v>20215</v>
      </c>
      <c r="F2315" t="s">
        <v>31574</v>
      </c>
      <c r="G2315" t="s">
        <v>31582</v>
      </c>
      <c r="H2315" t="s">
        <v>31591</v>
      </c>
      <c r="I2315" t="s">
        <v>8822</v>
      </c>
      <c r="J2315" t="s">
        <v>31947</v>
      </c>
      <c r="K2315" t="s">
        <v>41186</v>
      </c>
      <c r="M2315" t="s">
        <v>42426</v>
      </c>
      <c r="N2315" t="s">
        <v>45095</v>
      </c>
      <c r="O2315" t="s">
        <v>45096</v>
      </c>
      <c r="P2315">
        <v>0</v>
      </c>
      <c r="Q2315">
        <v>0</v>
      </c>
      <c r="R2315" t="s">
        <v>45097</v>
      </c>
      <c r="S2315" t="s">
        <v>45222</v>
      </c>
      <c r="T2315" t="s">
        <v>47016</v>
      </c>
      <c r="U2315" t="s">
        <v>49441</v>
      </c>
      <c r="W2315" t="s">
        <v>42426</v>
      </c>
      <c r="X2315" t="s">
        <v>45098</v>
      </c>
    </row>
    <row r="2316" spans="1:24">
      <c r="A2316">
        <f>HYPERLINK("https://www.philgeps.gov.ph/GEPSNONPILOT/Tender/SplashBidNoticeAbstractUI.aspx?menuIndex=3&amp;refID=7047005&amp;Result=3","7047005")</f>
        <v>0</v>
      </c>
      <c r="B2316" t="s">
        <v>912</v>
      </c>
      <c r="C2316" t="s">
        <v>5418</v>
      </c>
      <c r="E2316" t="s">
        <v>20216</v>
      </c>
      <c r="F2316" t="s">
        <v>31574</v>
      </c>
      <c r="G2316" t="s">
        <v>31581</v>
      </c>
      <c r="H2316" t="s">
        <v>31592</v>
      </c>
      <c r="I2316" t="s">
        <v>31611</v>
      </c>
      <c r="J2316" t="s">
        <v>32774</v>
      </c>
      <c r="K2316" t="s">
        <v>41208</v>
      </c>
      <c r="M2316" t="s">
        <v>42436</v>
      </c>
      <c r="N2316" t="s">
        <v>45095</v>
      </c>
      <c r="O2316" t="s">
        <v>45096</v>
      </c>
      <c r="P2316">
        <v>0</v>
      </c>
      <c r="Q2316">
        <v>0</v>
      </c>
      <c r="R2316" t="s">
        <v>45097</v>
      </c>
      <c r="S2316" t="s">
        <v>45222</v>
      </c>
      <c r="T2316" t="s">
        <v>46946</v>
      </c>
      <c r="U2316" t="s">
        <v>49442</v>
      </c>
      <c r="W2316" t="s">
        <v>42436</v>
      </c>
      <c r="X2316" t="s">
        <v>45098</v>
      </c>
    </row>
    <row r="2317" spans="1:24">
      <c r="A2317">
        <f>HYPERLINK("https://www.philgeps.gov.ph/GEPSNONPILOT/Tender/SplashBidNoticeAbstractUI.aspx?menuIndex=3&amp;refID=7046997&amp;Result=3","7046997")</f>
        <v>0</v>
      </c>
      <c r="B2317" t="s">
        <v>910</v>
      </c>
      <c r="C2317" t="s">
        <v>5419</v>
      </c>
      <c r="D2317" t="s">
        <v>18066</v>
      </c>
      <c r="E2317" t="s">
        <v>20217</v>
      </c>
      <c r="F2317" t="s">
        <v>31574</v>
      </c>
      <c r="G2317" t="s">
        <v>31582</v>
      </c>
      <c r="H2317" t="s">
        <v>31590</v>
      </c>
      <c r="I2317" t="s">
        <v>31608</v>
      </c>
      <c r="J2317" t="s">
        <v>31781</v>
      </c>
      <c r="K2317" t="s">
        <v>41184</v>
      </c>
      <c r="M2317" t="s">
        <v>42434</v>
      </c>
      <c r="N2317" t="s">
        <v>45095</v>
      </c>
      <c r="O2317" t="s">
        <v>45096</v>
      </c>
      <c r="P2317">
        <v>0</v>
      </c>
      <c r="Q2317">
        <v>0</v>
      </c>
      <c r="R2317" t="s">
        <v>45097</v>
      </c>
      <c r="S2317" t="s">
        <v>45222</v>
      </c>
      <c r="T2317" t="s">
        <v>46915</v>
      </c>
      <c r="U2317" t="s">
        <v>49443</v>
      </c>
      <c r="W2317" t="s">
        <v>42434</v>
      </c>
      <c r="X2317" t="s">
        <v>45098</v>
      </c>
    </row>
    <row r="2318" spans="1:24">
      <c r="A2318">
        <f>HYPERLINK("https://www.philgeps.gov.ph/GEPSNONPILOT/Tender/SplashBidNoticeAbstractUI.aspx?menuIndex=3&amp;refID=7046989&amp;Result=3","7046989")</f>
        <v>0</v>
      </c>
      <c r="B2318" t="s">
        <v>224</v>
      </c>
      <c r="C2318" t="s">
        <v>5420</v>
      </c>
      <c r="D2318" t="s">
        <v>18040</v>
      </c>
      <c r="E2318" t="s">
        <v>20218</v>
      </c>
      <c r="F2318" t="s">
        <v>31574</v>
      </c>
      <c r="G2318" t="s">
        <v>31582</v>
      </c>
      <c r="H2318" t="s">
        <v>31590</v>
      </c>
      <c r="I2318" t="s">
        <v>31685</v>
      </c>
      <c r="J2318" t="s">
        <v>32550</v>
      </c>
      <c r="K2318" t="s">
        <v>41243</v>
      </c>
      <c r="M2318" t="s">
        <v>41709</v>
      </c>
      <c r="N2318" t="s">
        <v>45095</v>
      </c>
      <c r="O2318" t="s">
        <v>45096</v>
      </c>
      <c r="P2318">
        <v>0</v>
      </c>
      <c r="Q2318">
        <v>0</v>
      </c>
      <c r="R2318" t="s">
        <v>45097</v>
      </c>
      <c r="S2318" t="s">
        <v>45222</v>
      </c>
      <c r="T2318" t="s">
        <v>46915</v>
      </c>
      <c r="U2318" t="s">
        <v>49444</v>
      </c>
      <c r="W2318" t="s">
        <v>41709</v>
      </c>
      <c r="X2318" t="s">
        <v>45098</v>
      </c>
    </row>
    <row r="2319" spans="1:24">
      <c r="A2319">
        <f>HYPERLINK("https://www.philgeps.gov.ph/GEPSNONPILOT/Tender/SplashBidNoticeAbstractUI.aspx?menuIndex=3&amp;refID=7047001&amp;Result=3","7047001")</f>
        <v>0</v>
      </c>
      <c r="B2319" t="s">
        <v>472</v>
      </c>
      <c r="C2319" t="s">
        <v>5421</v>
      </c>
      <c r="D2319" t="s">
        <v>18041</v>
      </c>
      <c r="E2319" t="s">
        <v>20219</v>
      </c>
      <c r="F2319" t="s">
        <v>31574</v>
      </c>
      <c r="G2319" t="s">
        <v>31581</v>
      </c>
      <c r="H2319" t="s">
        <v>31590</v>
      </c>
      <c r="I2319" t="s">
        <v>6800</v>
      </c>
      <c r="J2319" t="s">
        <v>32630</v>
      </c>
      <c r="K2319" t="s">
        <v>41197</v>
      </c>
      <c r="M2319" t="s">
        <v>41967</v>
      </c>
      <c r="N2319" t="s">
        <v>45095</v>
      </c>
      <c r="O2319" t="s">
        <v>45096</v>
      </c>
      <c r="P2319">
        <v>0</v>
      </c>
      <c r="Q2319">
        <v>0</v>
      </c>
      <c r="R2319" t="s">
        <v>45097</v>
      </c>
      <c r="S2319" t="s">
        <v>45222</v>
      </c>
      <c r="T2319" t="s">
        <v>47075</v>
      </c>
      <c r="U2319" t="s">
        <v>49445</v>
      </c>
      <c r="W2319" t="s">
        <v>41967</v>
      </c>
      <c r="X2319" t="s">
        <v>45098</v>
      </c>
    </row>
    <row r="2320" spans="1:24">
      <c r="A2320">
        <f>HYPERLINK("https://www.philgeps.gov.ph/GEPSNONPILOT/Tender/SplashBidNoticeAbstractUI.aspx?menuIndex=3&amp;refID=7047009&amp;Result=3","7047009")</f>
        <v>0</v>
      </c>
      <c r="B2320" t="s">
        <v>913</v>
      </c>
      <c r="C2320" t="s">
        <v>5422</v>
      </c>
      <c r="D2320" t="s">
        <v>18079</v>
      </c>
      <c r="E2320" t="s">
        <v>20220</v>
      </c>
      <c r="F2320" t="s">
        <v>31574</v>
      </c>
      <c r="G2320" t="s">
        <v>31581</v>
      </c>
      <c r="H2320" t="s">
        <v>31590</v>
      </c>
      <c r="I2320" t="s">
        <v>31686</v>
      </c>
      <c r="J2320" t="s">
        <v>31757</v>
      </c>
      <c r="K2320" t="s">
        <v>41186</v>
      </c>
      <c r="M2320" t="s">
        <v>42437</v>
      </c>
      <c r="N2320" t="s">
        <v>45095</v>
      </c>
      <c r="O2320" t="s">
        <v>45096</v>
      </c>
      <c r="P2320">
        <v>0</v>
      </c>
      <c r="Q2320">
        <v>0</v>
      </c>
      <c r="R2320" t="s">
        <v>45097</v>
      </c>
      <c r="S2320" t="s">
        <v>45222</v>
      </c>
      <c r="T2320" t="s">
        <v>46913</v>
      </c>
      <c r="U2320" t="s">
        <v>49446</v>
      </c>
      <c r="W2320" t="s">
        <v>42437</v>
      </c>
      <c r="X2320" t="s">
        <v>45098</v>
      </c>
    </row>
    <row r="2321" spans="1:24">
      <c r="A2321">
        <f>HYPERLINK("https://www.philgeps.gov.ph/GEPSNONPILOT/Tender/SplashBidNoticeAbstractUI.aspx?menuIndex=3&amp;refID=7046995&amp;Result=3","7046995")</f>
        <v>0</v>
      </c>
      <c r="B2321" t="s">
        <v>913</v>
      </c>
      <c r="C2321" t="s">
        <v>5423</v>
      </c>
      <c r="D2321" t="s">
        <v>18079</v>
      </c>
      <c r="E2321" t="s">
        <v>20221</v>
      </c>
      <c r="F2321" t="s">
        <v>31574</v>
      </c>
      <c r="G2321" t="s">
        <v>31581</v>
      </c>
      <c r="H2321" t="s">
        <v>31590</v>
      </c>
      <c r="I2321" t="s">
        <v>31686</v>
      </c>
      <c r="J2321" t="s">
        <v>33243</v>
      </c>
      <c r="K2321" t="s">
        <v>41186</v>
      </c>
      <c r="M2321" t="s">
        <v>42437</v>
      </c>
      <c r="N2321" t="s">
        <v>45095</v>
      </c>
      <c r="O2321" t="s">
        <v>45096</v>
      </c>
      <c r="P2321">
        <v>0</v>
      </c>
      <c r="Q2321">
        <v>0</v>
      </c>
      <c r="R2321" t="s">
        <v>45097</v>
      </c>
      <c r="S2321" t="s">
        <v>45222</v>
      </c>
      <c r="T2321" t="s">
        <v>46913</v>
      </c>
      <c r="U2321" t="s">
        <v>49447</v>
      </c>
      <c r="W2321" t="s">
        <v>42437</v>
      </c>
      <c r="X2321" t="s">
        <v>45098</v>
      </c>
    </row>
    <row r="2322" spans="1:24">
      <c r="A2322">
        <f>HYPERLINK("https://www.philgeps.gov.ph/GEPSNONPILOT/Tender/SplashBidNoticeAbstractUI.aspx?menuIndex=3&amp;refID=7046986&amp;Result=3","7046986")</f>
        <v>0</v>
      </c>
      <c r="B2322" t="s">
        <v>899</v>
      </c>
      <c r="C2322" t="s">
        <v>5424</v>
      </c>
      <c r="D2322" t="s">
        <v>18039</v>
      </c>
      <c r="E2322" t="s">
        <v>20222</v>
      </c>
      <c r="F2322" t="s">
        <v>31574</v>
      </c>
      <c r="G2322" t="s">
        <v>31582</v>
      </c>
      <c r="H2322" t="s">
        <v>31591</v>
      </c>
      <c r="I2322" t="s">
        <v>8822</v>
      </c>
      <c r="J2322" t="s">
        <v>33344</v>
      </c>
      <c r="K2322" t="s">
        <v>41189</v>
      </c>
      <c r="M2322" t="s">
        <v>42423</v>
      </c>
      <c r="N2322" t="s">
        <v>45095</v>
      </c>
      <c r="O2322" t="s">
        <v>45096</v>
      </c>
      <c r="P2322">
        <v>0</v>
      </c>
      <c r="Q2322">
        <v>0</v>
      </c>
      <c r="R2322" t="s">
        <v>45097</v>
      </c>
      <c r="S2322" t="s">
        <v>45222</v>
      </c>
      <c r="T2322" t="s">
        <v>46926</v>
      </c>
      <c r="U2322" t="s">
        <v>49422</v>
      </c>
      <c r="V2322" t="s">
        <v>60073</v>
      </c>
      <c r="W2322" t="s">
        <v>42423</v>
      </c>
      <c r="X2322" t="s">
        <v>45098</v>
      </c>
    </row>
    <row r="2323" spans="1:24">
      <c r="A2323">
        <f>HYPERLINK("https://www.philgeps.gov.ph/GEPSNONPILOT/Tender/SplashBidNoticeAbstractUI.aspx?menuIndex=3&amp;refID=7047007&amp;Result=3","7047007")</f>
        <v>0</v>
      </c>
      <c r="B2323" t="s">
        <v>914</v>
      </c>
      <c r="C2323" t="s">
        <v>5425</v>
      </c>
      <c r="D2323" t="s">
        <v>18040</v>
      </c>
      <c r="E2323" t="s">
        <v>20223</v>
      </c>
      <c r="F2323" t="s">
        <v>31574</v>
      </c>
      <c r="G2323" t="s">
        <v>31582</v>
      </c>
      <c r="H2323" t="s">
        <v>31590</v>
      </c>
      <c r="I2323" t="s">
        <v>4046</v>
      </c>
      <c r="J2323" t="s">
        <v>31741</v>
      </c>
      <c r="K2323" t="s">
        <v>41196</v>
      </c>
      <c r="M2323" t="s">
        <v>42438</v>
      </c>
      <c r="N2323" t="s">
        <v>45095</v>
      </c>
      <c r="O2323" t="s">
        <v>45096</v>
      </c>
      <c r="P2323">
        <v>0</v>
      </c>
      <c r="Q2323">
        <v>0</v>
      </c>
      <c r="R2323" t="s">
        <v>45097</v>
      </c>
      <c r="S2323" t="s">
        <v>45222</v>
      </c>
      <c r="T2323" t="s">
        <v>46914</v>
      </c>
      <c r="U2323" t="s">
        <v>49448</v>
      </c>
      <c r="W2323" t="s">
        <v>42438</v>
      </c>
      <c r="X2323" t="s">
        <v>45098</v>
      </c>
    </row>
    <row r="2324" spans="1:24">
      <c r="A2324">
        <f>HYPERLINK("https://www.philgeps.gov.ph/GEPSNONPILOT/Tender/SplashBidNoticeAbstractUI.aspx?menuIndex=3&amp;refID=7046985&amp;Result=3","7046985")</f>
        <v>0</v>
      </c>
      <c r="B2324" t="s">
        <v>908</v>
      </c>
      <c r="C2324" t="s">
        <v>5426</v>
      </c>
      <c r="D2324" t="s">
        <v>18066</v>
      </c>
      <c r="E2324" t="s">
        <v>20224</v>
      </c>
      <c r="F2324" t="s">
        <v>31574</v>
      </c>
      <c r="G2324" t="s">
        <v>31582</v>
      </c>
      <c r="H2324" t="s">
        <v>31591</v>
      </c>
      <c r="I2324" t="s">
        <v>8822</v>
      </c>
      <c r="J2324" t="s">
        <v>33345</v>
      </c>
      <c r="K2324" t="s">
        <v>41195</v>
      </c>
      <c r="M2324" t="s">
        <v>42439</v>
      </c>
      <c r="N2324" t="s">
        <v>45095</v>
      </c>
      <c r="O2324" t="s">
        <v>45096</v>
      </c>
      <c r="P2324">
        <v>0</v>
      </c>
      <c r="Q2324">
        <v>0</v>
      </c>
      <c r="R2324" t="s">
        <v>45097</v>
      </c>
      <c r="S2324" t="s">
        <v>45222</v>
      </c>
      <c r="T2324" t="s">
        <v>46926</v>
      </c>
      <c r="U2324" t="s">
        <v>49449</v>
      </c>
      <c r="W2324" t="s">
        <v>42439</v>
      </c>
      <c r="X2324" t="s">
        <v>45098</v>
      </c>
    </row>
    <row r="2325" spans="1:24">
      <c r="A2325">
        <f>HYPERLINK("https://www.philgeps.gov.ph/GEPSNONPILOT/Tender/SplashBidNoticeAbstractUI.aspx?menuIndex=3&amp;refID=7047019&amp;Result=3","7047019")</f>
        <v>0</v>
      </c>
      <c r="B2325" t="s">
        <v>915</v>
      </c>
      <c r="C2325" t="s">
        <v>5427</v>
      </c>
      <c r="D2325" t="s">
        <v>18035</v>
      </c>
      <c r="E2325" t="s">
        <v>20225</v>
      </c>
      <c r="F2325" t="s">
        <v>31574</v>
      </c>
      <c r="G2325" t="s">
        <v>31582</v>
      </c>
      <c r="H2325" t="s">
        <v>31591</v>
      </c>
      <c r="I2325" t="s">
        <v>4046</v>
      </c>
      <c r="J2325" t="s">
        <v>32000</v>
      </c>
      <c r="K2325" t="s">
        <v>41193</v>
      </c>
      <c r="M2325" t="s">
        <v>42440</v>
      </c>
      <c r="N2325" t="s">
        <v>45095</v>
      </c>
      <c r="O2325" t="s">
        <v>45096</v>
      </c>
      <c r="P2325">
        <v>0</v>
      </c>
      <c r="Q2325">
        <v>0</v>
      </c>
      <c r="R2325" t="s">
        <v>45097</v>
      </c>
      <c r="S2325" t="s">
        <v>45222</v>
      </c>
      <c r="T2325" t="s">
        <v>46935</v>
      </c>
      <c r="U2325" t="s">
        <v>49450</v>
      </c>
      <c r="W2325" t="s">
        <v>42440</v>
      </c>
      <c r="X2325" t="s">
        <v>45098</v>
      </c>
    </row>
    <row r="2326" spans="1:24">
      <c r="A2326">
        <f>HYPERLINK("https://www.philgeps.gov.ph/GEPSNONPILOT/Tender/SplashBidNoticeAbstractUI.aspx?menuIndex=3&amp;refID=7047020&amp;Result=3","7047020")</f>
        <v>0</v>
      </c>
      <c r="B2326" t="s">
        <v>902</v>
      </c>
      <c r="C2326" t="s">
        <v>5428</v>
      </c>
      <c r="D2326" t="s">
        <v>18033</v>
      </c>
      <c r="E2326" t="s">
        <v>20226</v>
      </c>
      <c r="F2326" t="s">
        <v>31574</v>
      </c>
      <c r="G2326" t="s">
        <v>31582</v>
      </c>
      <c r="H2326" t="s">
        <v>31590</v>
      </c>
      <c r="I2326" t="s">
        <v>31619</v>
      </c>
      <c r="J2326" t="s">
        <v>33346</v>
      </c>
      <c r="K2326" t="s">
        <v>41186</v>
      </c>
      <c r="M2326" t="s">
        <v>42426</v>
      </c>
      <c r="N2326" t="s">
        <v>45095</v>
      </c>
      <c r="O2326" t="s">
        <v>45096</v>
      </c>
      <c r="P2326">
        <v>0</v>
      </c>
      <c r="Q2326">
        <v>0</v>
      </c>
      <c r="R2326" t="s">
        <v>45097</v>
      </c>
      <c r="S2326" t="s">
        <v>45222</v>
      </c>
      <c r="T2326" t="s">
        <v>47016</v>
      </c>
      <c r="U2326" t="s">
        <v>49451</v>
      </c>
      <c r="W2326" t="s">
        <v>42426</v>
      </c>
      <c r="X2326" t="s">
        <v>45098</v>
      </c>
    </row>
    <row r="2327" spans="1:24">
      <c r="A2327">
        <f>HYPERLINK("https://www.philgeps.gov.ph/GEPSNONPILOT/Tender/SplashBidNoticeAbstractUI.aspx?menuIndex=3&amp;refID=7047015&amp;Result=3","7047015")</f>
        <v>0</v>
      </c>
      <c r="B2327" t="s">
        <v>916</v>
      </c>
      <c r="C2327" t="s">
        <v>5429</v>
      </c>
      <c r="D2327" t="s">
        <v>18060</v>
      </c>
      <c r="E2327" t="s">
        <v>20227</v>
      </c>
      <c r="F2327" t="s">
        <v>31574</v>
      </c>
      <c r="G2327" t="s">
        <v>31583</v>
      </c>
      <c r="H2327" t="s">
        <v>31590</v>
      </c>
      <c r="I2327" t="s">
        <v>4046</v>
      </c>
      <c r="J2327" t="s">
        <v>31949</v>
      </c>
      <c r="K2327" t="s">
        <v>41190</v>
      </c>
      <c r="M2327" t="s">
        <v>42441</v>
      </c>
      <c r="N2327" t="s">
        <v>45095</v>
      </c>
      <c r="O2327" t="s">
        <v>45096</v>
      </c>
      <c r="P2327">
        <v>0</v>
      </c>
      <c r="Q2327">
        <v>0</v>
      </c>
      <c r="R2327" t="s">
        <v>45097</v>
      </c>
      <c r="S2327" t="s">
        <v>45222</v>
      </c>
      <c r="T2327" t="s">
        <v>47008</v>
      </c>
      <c r="U2327" t="s">
        <v>49452</v>
      </c>
      <c r="W2327" t="s">
        <v>42441</v>
      </c>
      <c r="X2327" t="s">
        <v>45098</v>
      </c>
    </row>
    <row r="2328" spans="1:24">
      <c r="A2328">
        <f>HYPERLINK("https://www.philgeps.gov.ph/GEPSNONPILOT/Tender/SplashBidNoticeAbstractUI.aspx?menuIndex=3&amp;refID=7047023&amp;Result=3","7047023")</f>
        <v>0</v>
      </c>
      <c r="B2328" t="s">
        <v>917</v>
      </c>
      <c r="C2328" t="s">
        <v>5430</v>
      </c>
      <c r="D2328" t="s">
        <v>18045</v>
      </c>
      <c r="E2328" t="s">
        <v>20228</v>
      </c>
      <c r="F2328" t="s">
        <v>31574</v>
      </c>
      <c r="G2328" t="s">
        <v>31581</v>
      </c>
      <c r="H2328" t="s">
        <v>31592</v>
      </c>
      <c r="I2328" t="s">
        <v>3539</v>
      </c>
      <c r="J2328" t="s">
        <v>33347</v>
      </c>
      <c r="K2328" t="s">
        <v>41212</v>
      </c>
      <c r="M2328" t="s">
        <v>42442</v>
      </c>
      <c r="N2328" t="s">
        <v>45095</v>
      </c>
      <c r="O2328" t="s">
        <v>45096</v>
      </c>
      <c r="P2328">
        <v>0</v>
      </c>
      <c r="Q2328">
        <v>0</v>
      </c>
      <c r="R2328" t="s">
        <v>45097</v>
      </c>
      <c r="S2328" t="s">
        <v>45222</v>
      </c>
      <c r="T2328" t="s">
        <v>46918</v>
      </c>
      <c r="U2328" t="s">
        <v>49453</v>
      </c>
      <c r="W2328" t="s">
        <v>42442</v>
      </c>
      <c r="X2328" t="s">
        <v>45098</v>
      </c>
    </row>
    <row r="2329" spans="1:24">
      <c r="A2329">
        <f>HYPERLINK("https://www.philgeps.gov.ph/GEPSNONPILOT/Tender/SplashBidNoticeAbstractUI.aspx?menuIndex=3&amp;refID=7047021&amp;Result=3","7047021")</f>
        <v>0</v>
      </c>
      <c r="B2329" t="s">
        <v>341</v>
      </c>
      <c r="C2329" t="s">
        <v>5431</v>
      </c>
      <c r="D2329" t="s">
        <v>18086</v>
      </c>
      <c r="E2329" t="s">
        <v>20229</v>
      </c>
      <c r="F2329" t="s">
        <v>31574</v>
      </c>
      <c r="G2329" t="s">
        <v>31582</v>
      </c>
      <c r="H2329" t="s">
        <v>31592</v>
      </c>
      <c r="I2329" t="s">
        <v>31596</v>
      </c>
      <c r="J2329" t="s">
        <v>32333</v>
      </c>
      <c r="K2329" t="s">
        <v>41210</v>
      </c>
      <c r="M2329" t="s">
        <v>41829</v>
      </c>
      <c r="N2329" t="s">
        <v>45095</v>
      </c>
      <c r="O2329" t="s">
        <v>45096</v>
      </c>
      <c r="P2329">
        <v>0</v>
      </c>
      <c r="Q2329">
        <v>0</v>
      </c>
      <c r="R2329" t="s">
        <v>45097</v>
      </c>
      <c r="S2329" t="s">
        <v>45222</v>
      </c>
      <c r="T2329" t="s">
        <v>46908</v>
      </c>
      <c r="U2329" t="s">
        <v>49454</v>
      </c>
      <c r="W2329" t="s">
        <v>41829</v>
      </c>
      <c r="X2329" t="s">
        <v>45098</v>
      </c>
    </row>
    <row r="2330" spans="1:24">
      <c r="A2330">
        <f>HYPERLINK("https://www.philgeps.gov.ph/GEPSNONPILOT/Tender/SplashBidNoticeAbstractUI.aspx?menuIndex=3&amp;refID=7047013&amp;Result=3","7047013")</f>
        <v>0</v>
      </c>
      <c r="B2330" t="s">
        <v>910</v>
      </c>
      <c r="C2330" t="s">
        <v>5432</v>
      </c>
      <c r="D2330" t="s">
        <v>18066</v>
      </c>
      <c r="E2330" t="s">
        <v>20230</v>
      </c>
      <c r="F2330" t="s">
        <v>31574</v>
      </c>
      <c r="G2330" t="s">
        <v>31582</v>
      </c>
      <c r="H2330" t="s">
        <v>31590</v>
      </c>
      <c r="I2330" t="s">
        <v>5717</v>
      </c>
      <c r="J2330" t="s">
        <v>33348</v>
      </c>
      <c r="K2330" t="s">
        <v>41184</v>
      </c>
      <c r="M2330" t="s">
        <v>42434</v>
      </c>
      <c r="N2330" t="s">
        <v>45095</v>
      </c>
      <c r="O2330" t="s">
        <v>45096</v>
      </c>
      <c r="P2330">
        <v>0</v>
      </c>
      <c r="Q2330">
        <v>0</v>
      </c>
      <c r="R2330" t="s">
        <v>45097</v>
      </c>
      <c r="S2330" t="s">
        <v>45222</v>
      </c>
      <c r="T2330" t="s">
        <v>46926</v>
      </c>
      <c r="U2330" t="s">
        <v>49455</v>
      </c>
      <c r="W2330" t="s">
        <v>42434</v>
      </c>
      <c r="X2330" t="s">
        <v>45098</v>
      </c>
    </row>
    <row r="2331" spans="1:24">
      <c r="A2331">
        <f>HYPERLINK("https://www.philgeps.gov.ph/GEPSNONPILOT/Tender/SplashBidNoticeAbstractUI.aspx?menuIndex=3&amp;refID=7047022&amp;Result=3","7047022")</f>
        <v>0</v>
      </c>
      <c r="B2331" t="s">
        <v>910</v>
      </c>
      <c r="C2331" t="s">
        <v>5433</v>
      </c>
      <c r="D2331" t="s">
        <v>18066</v>
      </c>
      <c r="E2331" t="s">
        <v>20231</v>
      </c>
      <c r="F2331" t="s">
        <v>31574</v>
      </c>
      <c r="G2331" t="s">
        <v>31582</v>
      </c>
      <c r="H2331" t="s">
        <v>31590</v>
      </c>
      <c r="I2331" t="s">
        <v>4327</v>
      </c>
      <c r="J2331" t="s">
        <v>33349</v>
      </c>
      <c r="K2331" t="s">
        <v>41184</v>
      </c>
      <c r="M2331" t="s">
        <v>42434</v>
      </c>
      <c r="N2331" t="s">
        <v>45095</v>
      </c>
      <c r="O2331" t="s">
        <v>45096</v>
      </c>
      <c r="P2331">
        <v>0</v>
      </c>
      <c r="Q2331">
        <v>0</v>
      </c>
      <c r="R2331" t="s">
        <v>45097</v>
      </c>
      <c r="S2331" t="s">
        <v>45222</v>
      </c>
      <c r="T2331" t="s">
        <v>46926</v>
      </c>
      <c r="U2331" t="s">
        <v>49456</v>
      </c>
      <c r="W2331" t="s">
        <v>42434</v>
      </c>
      <c r="X2331" t="s">
        <v>45098</v>
      </c>
    </row>
    <row r="2332" spans="1:24">
      <c r="A2332">
        <f>HYPERLINK("https://www.philgeps.gov.ph/GEPSNONPILOT/Tender/SplashBidNoticeAbstractUI.aspx?menuIndex=3&amp;refID=7047030&amp;Result=3","7047030")</f>
        <v>0</v>
      </c>
      <c r="B2332" t="s">
        <v>581</v>
      </c>
      <c r="C2332" t="s">
        <v>5434</v>
      </c>
      <c r="D2332" t="s">
        <v>18092</v>
      </c>
      <c r="E2332" t="s">
        <v>20232</v>
      </c>
      <c r="F2332" t="s">
        <v>31574</v>
      </c>
      <c r="G2332" t="s">
        <v>31582</v>
      </c>
      <c r="H2332" t="s">
        <v>31590</v>
      </c>
      <c r="I2332" t="s">
        <v>31602</v>
      </c>
      <c r="J2332" t="s">
        <v>32049</v>
      </c>
      <c r="K2332" t="s">
        <v>41186</v>
      </c>
      <c r="M2332" t="s">
        <v>42083</v>
      </c>
      <c r="N2332" t="s">
        <v>45095</v>
      </c>
      <c r="O2332" t="s">
        <v>45096</v>
      </c>
      <c r="P2332">
        <v>0</v>
      </c>
      <c r="Q2332">
        <v>0</v>
      </c>
      <c r="R2332" t="s">
        <v>45097</v>
      </c>
      <c r="S2332" t="s">
        <v>45222</v>
      </c>
      <c r="T2332" t="s">
        <v>47073</v>
      </c>
      <c r="U2332" t="s">
        <v>49457</v>
      </c>
      <c r="W2332" t="s">
        <v>42083</v>
      </c>
      <c r="X2332" t="s">
        <v>45098</v>
      </c>
    </row>
    <row r="2333" spans="1:24">
      <c r="A2333">
        <f>HYPERLINK("https://www.philgeps.gov.ph/GEPSNONPILOT/Tender/SplashBidNoticeAbstractUI.aspx?menuIndex=3&amp;refID=7047006&amp;Result=3","7047006")</f>
        <v>0</v>
      </c>
      <c r="B2333" t="s">
        <v>913</v>
      </c>
      <c r="C2333" t="s">
        <v>5435</v>
      </c>
      <c r="D2333" t="s">
        <v>18079</v>
      </c>
      <c r="E2333" t="s">
        <v>20233</v>
      </c>
      <c r="F2333" t="s">
        <v>31574</v>
      </c>
      <c r="G2333" t="s">
        <v>31581</v>
      </c>
      <c r="H2333" t="s">
        <v>31590</v>
      </c>
      <c r="I2333" t="s">
        <v>31686</v>
      </c>
      <c r="J2333" t="s">
        <v>33350</v>
      </c>
      <c r="K2333" t="s">
        <v>41186</v>
      </c>
      <c r="M2333" t="s">
        <v>42437</v>
      </c>
      <c r="N2333" t="s">
        <v>45095</v>
      </c>
      <c r="O2333" t="s">
        <v>45096</v>
      </c>
      <c r="P2333">
        <v>0</v>
      </c>
      <c r="Q2333">
        <v>0</v>
      </c>
      <c r="R2333" t="s">
        <v>45097</v>
      </c>
      <c r="S2333" t="s">
        <v>45222</v>
      </c>
      <c r="T2333" t="s">
        <v>46913</v>
      </c>
      <c r="U2333" t="s">
        <v>49458</v>
      </c>
      <c r="W2333" t="s">
        <v>42437</v>
      </c>
      <c r="X2333" t="s">
        <v>45098</v>
      </c>
    </row>
    <row r="2334" spans="1:24">
      <c r="A2334">
        <f>HYPERLINK("https://www.philgeps.gov.ph/GEPSNONPILOT/Tender/SplashBidNoticeAbstractUI.aspx?menuIndex=3&amp;refID=7047025&amp;Result=3","7047025")</f>
        <v>0</v>
      </c>
      <c r="B2334" t="s">
        <v>318</v>
      </c>
      <c r="C2334" t="s">
        <v>5436</v>
      </c>
      <c r="D2334" t="s">
        <v>18033</v>
      </c>
      <c r="E2334" t="s">
        <v>20234</v>
      </c>
      <c r="F2334" t="s">
        <v>31574</v>
      </c>
      <c r="G2334" t="s">
        <v>31585</v>
      </c>
      <c r="H2334" t="s">
        <v>31590</v>
      </c>
      <c r="I2334" t="s">
        <v>4327</v>
      </c>
      <c r="J2334" t="s">
        <v>33351</v>
      </c>
      <c r="K2334" t="s">
        <v>41196</v>
      </c>
      <c r="M2334" t="s">
        <v>42443</v>
      </c>
      <c r="N2334" t="s">
        <v>45095</v>
      </c>
      <c r="O2334" t="s">
        <v>45096</v>
      </c>
      <c r="P2334">
        <v>0</v>
      </c>
      <c r="Q2334">
        <v>0</v>
      </c>
      <c r="R2334" t="s">
        <v>45097</v>
      </c>
      <c r="S2334" t="s">
        <v>45222</v>
      </c>
      <c r="T2334" t="s">
        <v>46904</v>
      </c>
      <c r="U2334" t="s">
        <v>49459</v>
      </c>
      <c r="W2334" t="s">
        <v>42443</v>
      </c>
      <c r="X2334" t="s">
        <v>45098</v>
      </c>
    </row>
    <row r="2335" spans="1:24">
      <c r="A2335">
        <f>HYPERLINK("https://www.philgeps.gov.ph/GEPSNONPILOT/Tender/SplashBidNoticeAbstractUI.aspx?menuIndex=3&amp;refID=7047024&amp;Result=3","7047024")</f>
        <v>0</v>
      </c>
      <c r="B2335" t="s">
        <v>914</v>
      </c>
      <c r="C2335" t="s">
        <v>5437</v>
      </c>
      <c r="D2335" t="s">
        <v>18040</v>
      </c>
      <c r="E2335" t="s">
        <v>20235</v>
      </c>
      <c r="F2335" t="s">
        <v>31574</v>
      </c>
      <c r="G2335" t="s">
        <v>31582</v>
      </c>
      <c r="H2335" t="s">
        <v>31590</v>
      </c>
      <c r="I2335" t="s">
        <v>4046</v>
      </c>
      <c r="J2335" t="s">
        <v>33352</v>
      </c>
      <c r="K2335" t="s">
        <v>41196</v>
      </c>
      <c r="M2335" t="s">
        <v>42438</v>
      </c>
      <c r="N2335" t="s">
        <v>45095</v>
      </c>
      <c r="O2335" t="s">
        <v>45096</v>
      </c>
      <c r="P2335">
        <v>0</v>
      </c>
      <c r="Q2335">
        <v>0</v>
      </c>
      <c r="R2335" t="s">
        <v>45097</v>
      </c>
      <c r="S2335" t="s">
        <v>45222</v>
      </c>
      <c r="T2335" t="s">
        <v>46914</v>
      </c>
      <c r="U2335" t="s">
        <v>49460</v>
      </c>
      <c r="W2335" t="s">
        <v>42438</v>
      </c>
      <c r="X2335" t="s">
        <v>45098</v>
      </c>
    </row>
    <row r="2336" spans="1:24">
      <c r="A2336">
        <f>HYPERLINK("https://www.philgeps.gov.ph/GEPSNONPILOT/Tender/SplashBidNoticeAbstractUI.aspx?menuIndex=3&amp;refID=7047028&amp;Result=3","7047028")</f>
        <v>0</v>
      </c>
      <c r="B2336" t="s">
        <v>918</v>
      </c>
      <c r="C2336" t="s">
        <v>5438</v>
      </c>
      <c r="D2336" t="s">
        <v>18060</v>
      </c>
      <c r="E2336" t="s">
        <v>20236</v>
      </c>
      <c r="F2336" t="s">
        <v>31574</v>
      </c>
      <c r="G2336" t="s">
        <v>31583</v>
      </c>
      <c r="H2336" t="s">
        <v>31590</v>
      </c>
      <c r="I2336" t="s">
        <v>3487</v>
      </c>
      <c r="J2336" t="s">
        <v>31848</v>
      </c>
      <c r="K2336" t="s">
        <v>41213</v>
      </c>
      <c r="M2336" t="s">
        <v>42444</v>
      </c>
      <c r="N2336" t="s">
        <v>45095</v>
      </c>
      <c r="O2336" t="s">
        <v>45096</v>
      </c>
      <c r="P2336">
        <v>0</v>
      </c>
      <c r="Q2336">
        <v>0</v>
      </c>
      <c r="R2336" t="s">
        <v>45097</v>
      </c>
      <c r="S2336" t="s">
        <v>45222</v>
      </c>
      <c r="T2336" t="s">
        <v>46963</v>
      </c>
      <c r="U2336" t="s">
        <v>49461</v>
      </c>
      <c r="W2336" t="s">
        <v>42444</v>
      </c>
      <c r="X2336" t="s">
        <v>45098</v>
      </c>
    </row>
    <row r="2337" spans="1:24">
      <c r="A2337">
        <f>HYPERLINK("https://www.philgeps.gov.ph/GEPSNONPILOT/Tender/SplashBidNoticeAbstractUI.aspx?menuIndex=3&amp;refID=7047027&amp;Result=3","7047027")</f>
        <v>0</v>
      </c>
      <c r="B2337" t="s">
        <v>919</v>
      </c>
      <c r="C2337" t="s">
        <v>5439</v>
      </c>
      <c r="D2337" t="s">
        <v>18107</v>
      </c>
      <c r="E2337" t="s">
        <v>20237</v>
      </c>
      <c r="F2337" t="s">
        <v>31574</v>
      </c>
      <c r="G2337" t="s">
        <v>31581</v>
      </c>
      <c r="H2337" t="s">
        <v>31590</v>
      </c>
      <c r="I2337" t="s">
        <v>31608</v>
      </c>
      <c r="J2337" t="s">
        <v>32126</v>
      </c>
      <c r="K2337" t="s">
        <v>41196</v>
      </c>
      <c r="M2337" t="s">
        <v>42445</v>
      </c>
      <c r="N2337" t="s">
        <v>45095</v>
      </c>
      <c r="O2337" t="s">
        <v>45096</v>
      </c>
      <c r="P2337">
        <v>0</v>
      </c>
      <c r="Q2337">
        <v>0</v>
      </c>
      <c r="R2337" t="s">
        <v>45097</v>
      </c>
      <c r="S2337" t="s">
        <v>45222</v>
      </c>
      <c r="T2337" t="s">
        <v>46913</v>
      </c>
      <c r="U2337" t="s">
        <v>49462</v>
      </c>
      <c r="W2337" t="s">
        <v>42445</v>
      </c>
      <c r="X2337" t="s">
        <v>45098</v>
      </c>
    </row>
    <row r="2338" spans="1:24">
      <c r="A2338">
        <f>HYPERLINK("https://www.philgeps.gov.ph/GEPSNONPILOT/Tender/SplashBidNoticeAbstractUI.aspx?menuIndex=3&amp;refID=7047026&amp;Result=3","7047026")</f>
        <v>0</v>
      </c>
      <c r="B2338" t="s">
        <v>913</v>
      </c>
      <c r="C2338" t="s">
        <v>5440</v>
      </c>
      <c r="D2338" t="s">
        <v>18079</v>
      </c>
      <c r="E2338" t="s">
        <v>20238</v>
      </c>
      <c r="F2338" t="s">
        <v>31574</v>
      </c>
      <c r="G2338" t="s">
        <v>31581</v>
      </c>
      <c r="H2338" t="s">
        <v>31590</v>
      </c>
      <c r="I2338" t="s">
        <v>31686</v>
      </c>
      <c r="J2338" t="s">
        <v>33353</v>
      </c>
      <c r="K2338" t="s">
        <v>41186</v>
      </c>
      <c r="M2338" t="s">
        <v>42437</v>
      </c>
      <c r="N2338" t="s">
        <v>45095</v>
      </c>
      <c r="O2338" t="s">
        <v>45096</v>
      </c>
      <c r="P2338">
        <v>0</v>
      </c>
      <c r="Q2338">
        <v>0</v>
      </c>
      <c r="R2338" t="s">
        <v>45097</v>
      </c>
      <c r="S2338" t="s">
        <v>45222</v>
      </c>
      <c r="T2338" t="s">
        <v>46913</v>
      </c>
      <c r="U2338" t="s">
        <v>49463</v>
      </c>
      <c r="W2338" t="s">
        <v>42437</v>
      </c>
      <c r="X2338" t="s">
        <v>45098</v>
      </c>
    </row>
    <row r="2339" spans="1:24">
      <c r="A2339">
        <f>HYPERLINK("https://www.philgeps.gov.ph/GEPSNONPILOT/Tender/SplashBidNoticeAbstractUI.aspx?menuIndex=3&amp;refID=7047014&amp;Result=3","7047014")</f>
        <v>0</v>
      </c>
      <c r="B2339" t="s">
        <v>920</v>
      </c>
      <c r="C2339" t="s">
        <v>5441</v>
      </c>
      <c r="D2339" t="s">
        <v>18031</v>
      </c>
      <c r="E2339" t="s">
        <v>20239</v>
      </c>
      <c r="F2339" t="s">
        <v>31574</v>
      </c>
      <c r="G2339" t="s">
        <v>31583</v>
      </c>
      <c r="H2339" t="s">
        <v>31590</v>
      </c>
      <c r="I2339" t="s">
        <v>31607</v>
      </c>
      <c r="J2339" t="s">
        <v>33354</v>
      </c>
      <c r="K2339" t="s">
        <v>41196</v>
      </c>
      <c r="M2339" t="s">
        <v>42446</v>
      </c>
      <c r="N2339" t="s">
        <v>45095</v>
      </c>
      <c r="O2339" t="s">
        <v>45096</v>
      </c>
      <c r="P2339">
        <v>0</v>
      </c>
      <c r="Q2339">
        <v>0</v>
      </c>
      <c r="R2339" t="s">
        <v>45097</v>
      </c>
      <c r="S2339" t="s">
        <v>45222</v>
      </c>
      <c r="T2339" t="s">
        <v>47021</v>
      </c>
      <c r="U2339" t="s">
        <v>49464</v>
      </c>
      <c r="W2339" t="s">
        <v>42446</v>
      </c>
      <c r="X2339" t="s">
        <v>45098</v>
      </c>
    </row>
    <row r="2340" spans="1:24">
      <c r="A2340">
        <f>HYPERLINK("https://www.philgeps.gov.ph/GEPSNONPILOT/Tender/SplashBidNoticeAbstractUI.aspx?menuIndex=3&amp;refID=7047033&amp;Result=3","7047033")</f>
        <v>0</v>
      </c>
      <c r="B2340" t="s">
        <v>921</v>
      </c>
      <c r="C2340" t="s">
        <v>5442</v>
      </c>
      <c r="D2340" t="s">
        <v>18066</v>
      </c>
      <c r="E2340" t="s">
        <v>20240</v>
      </c>
      <c r="F2340" t="s">
        <v>31574</v>
      </c>
      <c r="G2340" t="s">
        <v>31581</v>
      </c>
      <c r="H2340" t="s">
        <v>31590</v>
      </c>
      <c r="I2340" t="s">
        <v>3487</v>
      </c>
      <c r="J2340" t="s">
        <v>33355</v>
      </c>
      <c r="K2340" t="s">
        <v>41184</v>
      </c>
      <c r="M2340" t="s">
        <v>42447</v>
      </c>
      <c r="N2340" t="s">
        <v>45095</v>
      </c>
      <c r="O2340" t="s">
        <v>45096</v>
      </c>
      <c r="P2340">
        <v>0</v>
      </c>
      <c r="Q2340">
        <v>0</v>
      </c>
      <c r="R2340" t="s">
        <v>45097</v>
      </c>
      <c r="S2340" t="s">
        <v>45222</v>
      </c>
      <c r="T2340" t="s">
        <v>46913</v>
      </c>
      <c r="U2340" t="s">
        <v>49465</v>
      </c>
      <c r="W2340" t="s">
        <v>42447</v>
      </c>
      <c r="X2340" t="s">
        <v>45098</v>
      </c>
    </row>
    <row r="2341" spans="1:24">
      <c r="A2341">
        <f>HYPERLINK("https://www.philgeps.gov.ph/GEPSNONPILOT/Tender/SplashBidNoticeAbstractUI.aspx?menuIndex=3&amp;refID=7047031&amp;Result=3","7047031")</f>
        <v>0</v>
      </c>
      <c r="B2341" t="s">
        <v>910</v>
      </c>
      <c r="C2341" t="s">
        <v>5443</v>
      </c>
      <c r="D2341" t="s">
        <v>18066</v>
      </c>
      <c r="E2341" t="s">
        <v>20241</v>
      </c>
      <c r="F2341" t="s">
        <v>31574</v>
      </c>
      <c r="G2341" t="s">
        <v>31582</v>
      </c>
      <c r="H2341" t="s">
        <v>31590</v>
      </c>
      <c r="I2341" t="s">
        <v>31606</v>
      </c>
      <c r="J2341" t="s">
        <v>33356</v>
      </c>
      <c r="K2341" t="s">
        <v>41184</v>
      </c>
      <c r="M2341" t="s">
        <v>42434</v>
      </c>
      <c r="N2341" t="s">
        <v>45095</v>
      </c>
      <c r="O2341" t="s">
        <v>45096</v>
      </c>
      <c r="P2341">
        <v>0</v>
      </c>
      <c r="Q2341">
        <v>0</v>
      </c>
      <c r="R2341" t="s">
        <v>45097</v>
      </c>
      <c r="S2341" t="s">
        <v>45222</v>
      </c>
      <c r="T2341" t="s">
        <v>46926</v>
      </c>
      <c r="U2341" t="s">
        <v>49466</v>
      </c>
      <c r="W2341" t="s">
        <v>42434</v>
      </c>
      <c r="X2341" t="s">
        <v>45098</v>
      </c>
    </row>
    <row r="2342" spans="1:24">
      <c r="A2342">
        <f>HYPERLINK("https://www.philgeps.gov.ph/GEPSNONPILOT/Tender/SplashBidNoticeAbstractUI.aspx?menuIndex=3&amp;refID=7047029&amp;Result=3","7047029")</f>
        <v>0</v>
      </c>
      <c r="B2342" t="s">
        <v>91</v>
      </c>
      <c r="C2342" t="s">
        <v>5444</v>
      </c>
      <c r="D2342" t="s">
        <v>18060</v>
      </c>
      <c r="E2342" t="s">
        <v>20242</v>
      </c>
      <c r="F2342" t="s">
        <v>31574</v>
      </c>
      <c r="G2342" t="s">
        <v>31581</v>
      </c>
      <c r="H2342" t="s">
        <v>31592</v>
      </c>
      <c r="I2342" t="s">
        <v>3489</v>
      </c>
      <c r="J2342" t="s">
        <v>33357</v>
      </c>
      <c r="K2342" t="s">
        <v>41190</v>
      </c>
      <c r="M2342" t="s">
        <v>41575</v>
      </c>
      <c r="N2342" t="s">
        <v>45095</v>
      </c>
      <c r="O2342" t="s">
        <v>45096</v>
      </c>
      <c r="P2342">
        <v>0</v>
      </c>
      <c r="Q2342">
        <v>0</v>
      </c>
      <c r="R2342" t="s">
        <v>45097</v>
      </c>
      <c r="S2342" t="s">
        <v>45222</v>
      </c>
      <c r="T2342" t="s">
        <v>46918</v>
      </c>
      <c r="U2342" t="s">
        <v>49467</v>
      </c>
      <c r="W2342" t="s">
        <v>41575</v>
      </c>
      <c r="X2342" t="s">
        <v>45098</v>
      </c>
    </row>
    <row r="2343" spans="1:24">
      <c r="A2343">
        <f>HYPERLINK("https://www.philgeps.gov.ph/GEPSNONPILOT/Tender/SplashBidNoticeAbstractUI.aspx?menuIndex=3&amp;refID=7047037&amp;Result=3","7047037")</f>
        <v>0</v>
      </c>
      <c r="B2343" t="s">
        <v>341</v>
      </c>
      <c r="C2343" t="s">
        <v>5445</v>
      </c>
      <c r="D2343" t="s">
        <v>18086</v>
      </c>
      <c r="E2343" t="s">
        <v>20243</v>
      </c>
      <c r="F2343" t="s">
        <v>31574</v>
      </c>
      <c r="G2343" t="s">
        <v>31581</v>
      </c>
      <c r="H2343" t="s">
        <v>31591</v>
      </c>
      <c r="I2343" t="s">
        <v>8822</v>
      </c>
      <c r="J2343" t="s">
        <v>33358</v>
      </c>
      <c r="K2343" t="s">
        <v>41191</v>
      </c>
      <c r="M2343" t="s">
        <v>41829</v>
      </c>
      <c r="N2343" t="s">
        <v>45095</v>
      </c>
      <c r="O2343" t="s">
        <v>45096</v>
      </c>
      <c r="P2343">
        <v>0</v>
      </c>
      <c r="Q2343">
        <v>0</v>
      </c>
      <c r="R2343" t="s">
        <v>45097</v>
      </c>
      <c r="S2343" t="s">
        <v>45222</v>
      </c>
      <c r="T2343" t="s">
        <v>46911</v>
      </c>
      <c r="U2343" t="s">
        <v>49468</v>
      </c>
      <c r="W2343" t="s">
        <v>41829</v>
      </c>
      <c r="X2343" t="s">
        <v>45098</v>
      </c>
    </row>
    <row r="2344" spans="1:24">
      <c r="A2344">
        <f>HYPERLINK("https://www.philgeps.gov.ph/GEPSNONPILOT/Tender/SplashBidNoticeAbstractUI.aspx?menuIndex=3&amp;refID=7047034&amp;Result=3","7047034")</f>
        <v>0</v>
      </c>
      <c r="B2344" t="s">
        <v>911</v>
      </c>
      <c r="C2344" t="s">
        <v>5446</v>
      </c>
      <c r="D2344" t="s">
        <v>18052</v>
      </c>
      <c r="E2344" t="s">
        <v>20244</v>
      </c>
      <c r="F2344" t="s">
        <v>31574</v>
      </c>
      <c r="G2344" t="s">
        <v>31582</v>
      </c>
      <c r="H2344" t="s">
        <v>31590</v>
      </c>
      <c r="I2344" t="s">
        <v>31615</v>
      </c>
      <c r="J2344" t="s">
        <v>31819</v>
      </c>
      <c r="K2344" t="s">
        <v>41211</v>
      </c>
      <c r="M2344" t="s">
        <v>42435</v>
      </c>
      <c r="N2344" t="s">
        <v>45095</v>
      </c>
      <c r="O2344" t="s">
        <v>45096</v>
      </c>
      <c r="P2344">
        <v>0</v>
      </c>
      <c r="Q2344">
        <v>2</v>
      </c>
      <c r="R2344" t="s">
        <v>45097</v>
      </c>
      <c r="S2344" t="s">
        <v>45222</v>
      </c>
      <c r="T2344" t="s">
        <v>46915</v>
      </c>
      <c r="U2344" t="s">
        <v>49469</v>
      </c>
      <c r="W2344" t="s">
        <v>42435</v>
      </c>
      <c r="X2344" t="s">
        <v>45098</v>
      </c>
    </row>
    <row r="2345" spans="1:24">
      <c r="A2345">
        <f>HYPERLINK("https://www.philgeps.gov.ph/GEPSNONPILOT/Tender/SplashBidNoticeAbstractUI.aspx?menuIndex=3&amp;refID=7047050&amp;Result=3","7047050")</f>
        <v>0</v>
      </c>
      <c r="B2345" t="s">
        <v>540</v>
      </c>
      <c r="C2345" t="s">
        <v>5447</v>
      </c>
      <c r="D2345" t="s">
        <v>18022</v>
      </c>
      <c r="E2345" t="s">
        <v>20245</v>
      </c>
      <c r="F2345" t="s">
        <v>31574</v>
      </c>
      <c r="G2345" t="s">
        <v>31582</v>
      </c>
      <c r="H2345" t="s">
        <v>31590</v>
      </c>
      <c r="I2345" t="s">
        <v>31651</v>
      </c>
      <c r="J2345" t="s">
        <v>33359</v>
      </c>
      <c r="K2345" t="s">
        <v>41210</v>
      </c>
      <c r="M2345" t="s">
        <v>42412</v>
      </c>
      <c r="N2345" t="s">
        <v>45095</v>
      </c>
      <c r="O2345" t="s">
        <v>45096</v>
      </c>
      <c r="P2345">
        <v>0</v>
      </c>
      <c r="Q2345">
        <v>0</v>
      </c>
      <c r="R2345" t="s">
        <v>45097</v>
      </c>
      <c r="S2345" t="s">
        <v>45222</v>
      </c>
      <c r="T2345" t="s">
        <v>47024</v>
      </c>
      <c r="U2345" t="s">
        <v>49470</v>
      </c>
      <c r="W2345" t="s">
        <v>42412</v>
      </c>
      <c r="X2345" t="s">
        <v>45098</v>
      </c>
    </row>
    <row r="2346" spans="1:24">
      <c r="A2346">
        <f>HYPERLINK("https://www.philgeps.gov.ph/GEPSNONPILOT/Tender/SplashBidNoticeAbstractUI.aspx?menuIndex=3&amp;refID=7047038&amp;Result=3","7047038")</f>
        <v>0</v>
      </c>
      <c r="B2346" t="s">
        <v>918</v>
      </c>
      <c r="C2346" t="s">
        <v>5448</v>
      </c>
      <c r="D2346" t="s">
        <v>18060</v>
      </c>
      <c r="E2346" t="s">
        <v>20246</v>
      </c>
      <c r="F2346" t="s">
        <v>31574</v>
      </c>
      <c r="G2346" t="s">
        <v>31583</v>
      </c>
      <c r="H2346" t="s">
        <v>31590</v>
      </c>
      <c r="I2346" t="s">
        <v>3487</v>
      </c>
      <c r="J2346" t="s">
        <v>31931</v>
      </c>
      <c r="K2346" t="s">
        <v>41213</v>
      </c>
      <c r="M2346" t="s">
        <v>42444</v>
      </c>
      <c r="N2346" t="s">
        <v>45095</v>
      </c>
      <c r="O2346" t="s">
        <v>45096</v>
      </c>
      <c r="P2346">
        <v>0</v>
      </c>
      <c r="Q2346">
        <v>0</v>
      </c>
      <c r="R2346" t="s">
        <v>45097</v>
      </c>
      <c r="S2346" t="s">
        <v>45222</v>
      </c>
      <c r="T2346" t="s">
        <v>46936</v>
      </c>
      <c r="U2346" t="s">
        <v>49471</v>
      </c>
      <c r="W2346" t="s">
        <v>42444</v>
      </c>
      <c r="X2346" t="s">
        <v>45098</v>
      </c>
    </row>
    <row r="2347" spans="1:24">
      <c r="A2347">
        <f>HYPERLINK("https://www.philgeps.gov.ph/GEPSNONPILOT/Tender/SplashBidNoticeAbstractUI.aspx?menuIndex=3&amp;refID=7047016&amp;Result=3","7047016")</f>
        <v>0</v>
      </c>
      <c r="B2347" t="s">
        <v>835</v>
      </c>
      <c r="C2347" t="s">
        <v>5449</v>
      </c>
      <c r="E2347" t="s">
        <v>20247</v>
      </c>
      <c r="F2347" t="s">
        <v>31574</v>
      </c>
      <c r="G2347" t="s">
        <v>31584</v>
      </c>
      <c r="H2347" t="s">
        <v>31590</v>
      </c>
      <c r="I2347" t="s">
        <v>31658</v>
      </c>
      <c r="J2347" t="s">
        <v>31927</v>
      </c>
      <c r="K2347" t="s">
        <v>41213</v>
      </c>
      <c r="M2347" t="s">
        <v>42448</v>
      </c>
      <c r="N2347" t="s">
        <v>45095</v>
      </c>
      <c r="O2347" t="s">
        <v>45096</v>
      </c>
      <c r="P2347">
        <v>0</v>
      </c>
      <c r="Q2347">
        <v>0</v>
      </c>
      <c r="R2347" t="s">
        <v>45097</v>
      </c>
      <c r="S2347" t="s">
        <v>45222</v>
      </c>
      <c r="T2347" t="s">
        <v>46918</v>
      </c>
      <c r="U2347" t="s">
        <v>49472</v>
      </c>
      <c r="W2347" t="s">
        <v>42448</v>
      </c>
      <c r="X2347" t="s">
        <v>45098</v>
      </c>
    </row>
    <row r="2348" spans="1:24">
      <c r="A2348">
        <f>HYPERLINK("https://www.philgeps.gov.ph/GEPSNONPILOT/Tender/SplashBidNoticeAbstractUI.aspx?menuIndex=3&amp;refID=7047036&amp;Result=3","7047036")</f>
        <v>0</v>
      </c>
      <c r="B2348" t="s">
        <v>922</v>
      </c>
      <c r="C2348" t="s">
        <v>5450</v>
      </c>
      <c r="D2348" t="s">
        <v>18041</v>
      </c>
      <c r="E2348" t="s">
        <v>18315</v>
      </c>
      <c r="F2348" t="s">
        <v>31579</v>
      </c>
      <c r="G2348" t="s">
        <v>31582</v>
      </c>
      <c r="H2348" t="s">
        <v>31590</v>
      </c>
      <c r="I2348" t="s">
        <v>31615</v>
      </c>
      <c r="J2348" t="s">
        <v>31947</v>
      </c>
      <c r="K2348" t="s">
        <v>41193</v>
      </c>
      <c r="M2348" t="s">
        <v>42449</v>
      </c>
      <c r="N2348" t="s">
        <v>45095</v>
      </c>
      <c r="O2348" t="s">
        <v>45096</v>
      </c>
      <c r="P2348">
        <v>0</v>
      </c>
      <c r="Q2348">
        <v>0</v>
      </c>
      <c r="R2348" t="s">
        <v>45097</v>
      </c>
      <c r="S2348" t="s">
        <v>45222</v>
      </c>
      <c r="T2348" t="s">
        <v>46909</v>
      </c>
      <c r="U2348" t="s">
        <v>49473</v>
      </c>
      <c r="W2348" t="s">
        <v>42449</v>
      </c>
      <c r="X2348" t="s">
        <v>45098</v>
      </c>
    </row>
    <row r="2349" spans="1:24">
      <c r="A2349">
        <f>HYPERLINK("https://www.philgeps.gov.ph/GEPSNONPILOT/Tender/SplashBidNoticeAbstractUI.aspx?menuIndex=3&amp;refID=7047044&amp;Result=3","7047044")</f>
        <v>0</v>
      </c>
      <c r="B2349" t="s">
        <v>923</v>
      </c>
      <c r="C2349" t="s">
        <v>4356</v>
      </c>
      <c r="D2349" t="s">
        <v>18022</v>
      </c>
      <c r="E2349" t="s">
        <v>20248</v>
      </c>
      <c r="F2349" t="s">
        <v>31574</v>
      </c>
      <c r="G2349" t="s">
        <v>31581</v>
      </c>
      <c r="H2349" t="s">
        <v>31590</v>
      </c>
      <c r="I2349" t="s">
        <v>6800</v>
      </c>
      <c r="J2349" t="s">
        <v>33360</v>
      </c>
      <c r="K2349" t="s">
        <v>41211</v>
      </c>
      <c r="M2349" t="s">
        <v>42450</v>
      </c>
      <c r="N2349" t="s">
        <v>45095</v>
      </c>
      <c r="O2349" t="s">
        <v>45096</v>
      </c>
      <c r="P2349">
        <v>0</v>
      </c>
      <c r="Q2349">
        <v>0</v>
      </c>
      <c r="R2349" t="s">
        <v>45097</v>
      </c>
      <c r="S2349" t="s">
        <v>45222</v>
      </c>
      <c r="T2349" t="s">
        <v>46913</v>
      </c>
      <c r="U2349" t="s">
        <v>48559</v>
      </c>
      <c r="W2349" t="s">
        <v>42450</v>
      </c>
      <c r="X2349" t="s">
        <v>45098</v>
      </c>
    </row>
    <row r="2350" spans="1:24">
      <c r="A2350">
        <f>HYPERLINK("https://www.philgeps.gov.ph/GEPSNONPILOT/Tender/SplashBidNoticeAbstractUI.aspx?menuIndex=3&amp;refID=7047032&amp;Result=3","7047032")</f>
        <v>0</v>
      </c>
      <c r="B2350" t="s">
        <v>917</v>
      </c>
      <c r="C2350" t="s">
        <v>5430</v>
      </c>
      <c r="D2350" t="s">
        <v>18045</v>
      </c>
      <c r="E2350" t="s">
        <v>20249</v>
      </c>
      <c r="F2350" t="s">
        <v>31574</v>
      </c>
      <c r="G2350" t="s">
        <v>31581</v>
      </c>
      <c r="H2350" t="s">
        <v>31592</v>
      </c>
      <c r="I2350" t="s">
        <v>3539</v>
      </c>
      <c r="J2350" t="s">
        <v>32583</v>
      </c>
      <c r="K2350" t="s">
        <v>41212</v>
      </c>
      <c r="M2350" t="s">
        <v>42442</v>
      </c>
      <c r="N2350" t="s">
        <v>45095</v>
      </c>
      <c r="O2350" t="s">
        <v>45096</v>
      </c>
      <c r="P2350">
        <v>0</v>
      </c>
      <c r="Q2350">
        <v>0</v>
      </c>
      <c r="R2350" t="s">
        <v>45097</v>
      </c>
      <c r="S2350" t="s">
        <v>45222</v>
      </c>
      <c r="T2350" t="s">
        <v>46918</v>
      </c>
      <c r="U2350" t="s">
        <v>49474</v>
      </c>
      <c r="W2350" t="s">
        <v>42442</v>
      </c>
      <c r="X2350" t="s">
        <v>45098</v>
      </c>
    </row>
    <row r="2351" spans="1:24">
      <c r="A2351">
        <f>HYPERLINK("https://www.philgeps.gov.ph/GEPSNONPILOT/Tender/SplashBidNoticeAbstractUI.aspx?menuIndex=3&amp;refID=7047049&amp;Result=3","7047049")</f>
        <v>0</v>
      </c>
      <c r="B2351" t="s">
        <v>911</v>
      </c>
      <c r="C2351" t="s">
        <v>5451</v>
      </c>
      <c r="D2351" t="s">
        <v>18052</v>
      </c>
      <c r="E2351" t="s">
        <v>20250</v>
      </c>
      <c r="F2351" t="s">
        <v>31574</v>
      </c>
      <c r="G2351" t="s">
        <v>31582</v>
      </c>
      <c r="H2351" t="s">
        <v>31590</v>
      </c>
      <c r="I2351" t="s">
        <v>31615</v>
      </c>
      <c r="J2351" t="s">
        <v>33361</v>
      </c>
      <c r="K2351" t="s">
        <v>41211</v>
      </c>
      <c r="M2351" t="s">
        <v>42435</v>
      </c>
      <c r="N2351" t="s">
        <v>45095</v>
      </c>
      <c r="O2351" t="s">
        <v>45096</v>
      </c>
      <c r="P2351">
        <v>0</v>
      </c>
      <c r="Q2351">
        <v>2</v>
      </c>
      <c r="R2351" t="s">
        <v>45097</v>
      </c>
      <c r="S2351" t="s">
        <v>45222</v>
      </c>
      <c r="T2351" t="s">
        <v>46915</v>
      </c>
      <c r="U2351" t="s">
        <v>49475</v>
      </c>
      <c r="W2351" t="s">
        <v>42435</v>
      </c>
      <c r="X2351" t="s">
        <v>45098</v>
      </c>
    </row>
    <row r="2352" spans="1:24">
      <c r="A2352">
        <f>HYPERLINK("https://www.philgeps.gov.ph/GEPSNONPILOT/Tender/SplashBidNoticeAbstractUI.aspx?menuIndex=3&amp;refID=7047043&amp;Result=3","7047043")</f>
        <v>0</v>
      </c>
      <c r="B2352" t="s">
        <v>910</v>
      </c>
      <c r="C2352" t="s">
        <v>5452</v>
      </c>
      <c r="D2352" t="s">
        <v>18066</v>
      </c>
      <c r="E2352" t="s">
        <v>20251</v>
      </c>
      <c r="F2352" t="s">
        <v>31574</v>
      </c>
      <c r="G2352" t="s">
        <v>31582</v>
      </c>
      <c r="H2352" t="s">
        <v>31590</v>
      </c>
      <c r="I2352" t="s">
        <v>4327</v>
      </c>
      <c r="J2352" t="s">
        <v>33362</v>
      </c>
      <c r="K2352" t="s">
        <v>41184</v>
      </c>
      <c r="M2352" t="s">
        <v>42434</v>
      </c>
      <c r="N2352" t="s">
        <v>45095</v>
      </c>
      <c r="O2352" t="s">
        <v>45096</v>
      </c>
      <c r="P2352">
        <v>0</v>
      </c>
      <c r="Q2352">
        <v>0</v>
      </c>
      <c r="R2352" t="s">
        <v>45097</v>
      </c>
      <c r="S2352" t="s">
        <v>45222</v>
      </c>
      <c r="T2352" t="s">
        <v>46926</v>
      </c>
      <c r="U2352" t="s">
        <v>49476</v>
      </c>
      <c r="W2352" t="s">
        <v>42434</v>
      </c>
      <c r="X2352" t="s">
        <v>45098</v>
      </c>
    </row>
    <row r="2353" spans="1:24">
      <c r="A2353">
        <f>HYPERLINK("https://www.philgeps.gov.ph/GEPSNONPILOT/Tender/SplashBidNoticeAbstractUI.aspx?menuIndex=3&amp;refID=7047046&amp;Result=3","7047046")</f>
        <v>0</v>
      </c>
      <c r="B2353" t="s">
        <v>921</v>
      </c>
      <c r="C2353" t="s">
        <v>5453</v>
      </c>
      <c r="D2353" t="s">
        <v>18030</v>
      </c>
      <c r="E2353" t="s">
        <v>20252</v>
      </c>
      <c r="F2353" t="s">
        <v>31574</v>
      </c>
      <c r="G2353" t="s">
        <v>31583</v>
      </c>
      <c r="H2353" t="s">
        <v>31590</v>
      </c>
      <c r="I2353" t="s">
        <v>3487</v>
      </c>
      <c r="J2353" t="s">
        <v>33363</v>
      </c>
      <c r="K2353" t="s">
        <v>41184</v>
      </c>
      <c r="M2353" t="s">
        <v>42447</v>
      </c>
      <c r="N2353" t="s">
        <v>45095</v>
      </c>
      <c r="O2353" t="s">
        <v>45096</v>
      </c>
      <c r="P2353">
        <v>0</v>
      </c>
      <c r="Q2353">
        <v>0</v>
      </c>
      <c r="R2353" t="s">
        <v>45097</v>
      </c>
      <c r="S2353" t="s">
        <v>45222</v>
      </c>
      <c r="T2353" t="s">
        <v>46913</v>
      </c>
      <c r="U2353" t="s">
        <v>49477</v>
      </c>
      <c r="W2353" t="s">
        <v>42447</v>
      </c>
      <c r="X2353" t="s">
        <v>45098</v>
      </c>
    </row>
    <row r="2354" spans="1:24">
      <c r="A2354">
        <f>HYPERLINK("https://www.philgeps.gov.ph/GEPSNONPILOT/Tender/SplashBidNoticeAbstractUI.aspx?menuIndex=3&amp;refID=7047054&amp;Result=3","7047054")</f>
        <v>0</v>
      </c>
      <c r="B2354" t="s">
        <v>924</v>
      </c>
      <c r="C2354" t="s">
        <v>5454</v>
      </c>
      <c r="E2354" t="s">
        <v>20253</v>
      </c>
      <c r="F2354" t="s">
        <v>31574</v>
      </c>
      <c r="G2354" t="s">
        <v>31584</v>
      </c>
      <c r="H2354" t="s">
        <v>31590</v>
      </c>
      <c r="I2354" t="s">
        <v>8258</v>
      </c>
      <c r="J2354" t="s">
        <v>33364</v>
      </c>
      <c r="K2354" t="s">
        <v>41193</v>
      </c>
      <c r="M2354" t="s">
        <v>42451</v>
      </c>
      <c r="N2354" t="s">
        <v>45095</v>
      </c>
      <c r="O2354" t="s">
        <v>45096</v>
      </c>
      <c r="P2354">
        <v>0</v>
      </c>
      <c r="Q2354">
        <v>0</v>
      </c>
      <c r="R2354" t="s">
        <v>45097</v>
      </c>
      <c r="S2354" t="s">
        <v>45222</v>
      </c>
      <c r="T2354" t="s">
        <v>47074</v>
      </c>
      <c r="U2354" t="s">
        <v>49478</v>
      </c>
      <c r="V2354" t="s">
        <v>60076</v>
      </c>
      <c r="W2354" t="s">
        <v>42451</v>
      </c>
      <c r="X2354" t="s">
        <v>45098</v>
      </c>
    </row>
    <row r="2355" spans="1:24">
      <c r="A2355">
        <f>HYPERLINK("https://www.philgeps.gov.ph/GEPSNONPILOT/Tender/SplashBidNoticeAbstractUI.aspx?menuIndex=3&amp;refID=7047047&amp;Result=3","7047047")</f>
        <v>0</v>
      </c>
      <c r="B2355" t="s">
        <v>35</v>
      </c>
      <c r="C2355" t="s">
        <v>5455</v>
      </c>
      <c r="D2355" t="s">
        <v>18030</v>
      </c>
      <c r="E2355" t="s">
        <v>5455</v>
      </c>
      <c r="F2355" t="s">
        <v>31574</v>
      </c>
      <c r="G2355" t="s">
        <v>31581</v>
      </c>
      <c r="H2355" t="s">
        <v>31590</v>
      </c>
      <c r="I2355" t="s">
        <v>31624</v>
      </c>
      <c r="J2355" t="s">
        <v>33365</v>
      </c>
      <c r="K2355" t="s">
        <v>41186</v>
      </c>
      <c r="M2355" t="s">
        <v>41517</v>
      </c>
      <c r="N2355" t="s">
        <v>45095</v>
      </c>
      <c r="O2355" t="s">
        <v>45096</v>
      </c>
      <c r="P2355">
        <v>0</v>
      </c>
      <c r="Q2355">
        <v>0</v>
      </c>
      <c r="R2355" t="s">
        <v>45097</v>
      </c>
      <c r="S2355" t="s">
        <v>45222</v>
      </c>
      <c r="T2355" t="s">
        <v>46913</v>
      </c>
      <c r="U2355" t="s">
        <v>49479</v>
      </c>
      <c r="W2355" t="s">
        <v>41517</v>
      </c>
      <c r="X2355" t="s">
        <v>45098</v>
      </c>
    </row>
    <row r="2356" spans="1:24">
      <c r="A2356">
        <f>HYPERLINK("https://www.philgeps.gov.ph/GEPSNONPILOT/Tender/SplashBidNoticeAbstractUI.aspx?menuIndex=3&amp;refID=7047041&amp;Result=3","7047041")</f>
        <v>0</v>
      </c>
      <c r="B2356" t="s">
        <v>913</v>
      </c>
      <c r="C2356" t="s">
        <v>5456</v>
      </c>
      <c r="D2356" t="s">
        <v>18079</v>
      </c>
      <c r="E2356" t="s">
        <v>20254</v>
      </c>
      <c r="F2356" t="s">
        <v>31574</v>
      </c>
      <c r="G2356" t="s">
        <v>31581</v>
      </c>
      <c r="H2356" t="s">
        <v>31590</v>
      </c>
      <c r="I2356" t="s">
        <v>31686</v>
      </c>
      <c r="J2356" t="s">
        <v>33353</v>
      </c>
      <c r="K2356" t="s">
        <v>41186</v>
      </c>
      <c r="M2356" t="s">
        <v>42437</v>
      </c>
      <c r="N2356" t="s">
        <v>45095</v>
      </c>
      <c r="O2356" t="s">
        <v>45096</v>
      </c>
      <c r="P2356">
        <v>0</v>
      </c>
      <c r="Q2356">
        <v>0</v>
      </c>
      <c r="R2356" t="s">
        <v>45097</v>
      </c>
      <c r="S2356" t="s">
        <v>45222</v>
      </c>
      <c r="T2356" t="s">
        <v>46913</v>
      </c>
      <c r="U2356" t="s">
        <v>49480</v>
      </c>
      <c r="W2356" t="s">
        <v>42437</v>
      </c>
      <c r="X2356" t="s">
        <v>45098</v>
      </c>
    </row>
    <row r="2357" spans="1:24">
      <c r="A2357">
        <f>HYPERLINK("https://www.philgeps.gov.ph/GEPSNONPILOT/Tender/SplashBidNoticeAbstractUI.aspx?menuIndex=3&amp;refID=7047053&amp;Result=3","7047053")</f>
        <v>0</v>
      </c>
      <c r="B2357" t="s">
        <v>920</v>
      </c>
      <c r="C2357" t="s">
        <v>5457</v>
      </c>
      <c r="D2357" t="s">
        <v>18031</v>
      </c>
      <c r="E2357" t="s">
        <v>20255</v>
      </c>
      <c r="F2357" t="s">
        <v>31574</v>
      </c>
      <c r="G2357" t="s">
        <v>31583</v>
      </c>
      <c r="H2357" t="s">
        <v>31590</v>
      </c>
      <c r="I2357" t="s">
        <v>31607</v>
      </c>
      <c r="J2357" t="s">
        <v>33366</v>
      </c>
      <c r="K2357" t="s">
        <v>41196</v>
      </c>
      <c r="M2357" t="s">
        <v>42446</v>
      </c>
      <c r="N2357" t="s">
        <v>45095</v>
      </c>
      <c r="O2357" t="s">
        <v>45096</v>
      </c>
      <c r="P2357">
        <v>0</v>
      </c>
      <c r="Q2357">
        <v>0</v>
      </c>
      <c r="R2357" t="s">
        <v>45097</v>
      </c>
      <c r="S2357" t="s">
        <v>45222</v>
      </c>
      <c r="T2357" t="s">
        <v>47021</v>
      </c>
      <c r="U2357" t="s">
        <v>49464</v>
      </c>
      <c r="W2357" t="s">
        <v>42446</v>
      </c>
      <c r="X2357" t="s">
        <v>45098</v>
      </c>
    </row>
    <row r="2358" spans="1:24">
      <c r="A2358">
        <f>HYPERLINK("https://www.philgeps.gov.ph/GEPSNONPILOT/Tender/SplashBidNoticeAbstractUI.aspx?menuIndex=3&amp;refID=7047051&amp;Result=3","7047051")</f>
        <v>0</v>
      </c>
      <c r="B2358" t="s">
        <v>910</v>
      </c>
      <c r="C2358" t="s">
        <v>5458</v>
      </c>
      <c r="D2358" t="s">
        <v>18066</v>
      </c>
      <c r="E2358" t="s">
        <v>20256</v>
      </c>
      <c r="F2358" t="s">
        <v>31574</v>
      </c>
      <c r="G2358" t="s">
        <v>31582</v>
      </c>
      <c r="H2358" t="s">
        <v>31590</v>
      </c>
      <c r="I2358" t="s">
        <v>4327</v>
      </c>
      <c r="J2358" t="s">
        <v>31949</v>
      </c>
      <c r="K2358" t="s">
        <v>41184</v>
      </c>
      <c r="M2358" t="s">
        <v>42434</v>
      </c>
      <c r="N2358" t="s">
        <v>45095</v>
      </c>
      <c r="O2358" t="s">
        <v>45096</v>
      </c>
      <c r="P2358">
        <v>0</v>
      </c>
      <c r="Q2358">
        <v>0</v>
      </c>
      <c r="R2358" t="s">
        <v>45097</v>
      </c>
      <c r="S2358" t="s">
        <v>45222</v>
      </c>
      <c r="T2358" t="s">
        <v>46926</v>
      </c>
      <c r="U2358" t="s">
        <v>49481</v>
      </c>
      <c r="W2358" t="s">
        <v>42434</v>
      </c>
      <c r="X2358" t="s">
        <v>45098</v>
      </c>
    </row>
    <row r="2359" spans="1:24">
      <c r="A2359">
        <f>HYPERLINK("https://www.philgeps.gov.ph/GEPSNONPILOT/Tender/SplashBidNoticeAbstractUI.aspx?menuIndex=3&amp;refID=7047048&amp;Result=3","7047048")</f>
        <v>0</v>
      </c>
      <c r="B2359" t="s">
        <v>231</v>
      </c>
      <c r="C2359" t="s">
        <v>5459</v>
      </c>
      <c r="D2359" t="s">
        <v>18088</v>
      </c>
      <c r="E2359" t="s">
        <v>20257</v>
      </c>
      <c r="F2359" t="s">
        <v>31574</v>
      </c>
      <c r="G2359" t="s">
        <v>31582</v>
      </c>
      <c r="H2359" t="s">
        <v>31591</v>
      </c>
      <c r="I2359" t="s">
        <v>8822</v>
      </c>
      <c r="J2359" t="s">
        <v>33367</v>
      </c>
      <c r="K2359" t="s">
        <v>41276</v>
      </c>
      <c r="M2359" t="s">
        <v>41716</v>
      </c>
      <c r="N2359" t="s">
        <v>45095</v>
      </c>
      <c r="O2359" t="s">
        <v>45096</v>
      </c>
      <c r="P2359">
        <v>0</v>
      </c>
      <c r="Q2359">
        <v>0</v>
      </c>
      <c r="R2359" t="s">
        <v>45097</v>
      </c>
      <c r="S2359" t="s">
        <v>45222</v>
      </c>
      <c r="T2359" t="s">
        <v>46916</v>
      </c>
      <c r="U2359" t="s">
        <v>49482</v>
      </c>
      <c r="W2359" t="s">
        <v>41716</v>
      </c>
      <c r="X2359" t="s">
        <v>45098</v>
      </c>
    </row>
    <row r="2360" spans="1:24">
      <c r="A2360">
        <f>HYPERLINK("https://www.philgeps.gov.ph/GEPSNONPILOT/Tender/SplashBidNoticeAbstractUI.aspx?menuIndex=3&amp;refID=7047039&amp;Result=3","7047039")</f>
        <v>0</v>
      </c>
      <c r="B2360" t="s">
        <v>925</v>
      </c>
      <c r="C2360" t="s">
        <v>5460</v>
      </c>
      <c r="D2360" t="s">
        <v>18050</v>
      </c>
      <c r="E2360" t="s">
        <v>20258</v>
      </c>
      <c r="F2360" t="s">
        <v>31574</v>
      </c>
      <c r="G2360" t="s">
        <v>31581</v>
      </c>
      <c r="H2360" t="s">
        <v>31590</v>
      </c>
      <c r="I2360" t="s">
        <v>3520</v>
      </c>
      <c r="J2360" t="s">
        <v>33368</v>
      </c>
      <c r="K2360" t="s">
        <v>41213</v>
      </c>
      <c r="M2360" t="s">
        <v>42452</v>
      </c>
      <c r="N2360" t="s">
        <v>45095</v>
      </c>
      <c r="O2360" t="s">
        <v>45096</v>
      </c>
      <c r="P2360">
        <v>0</v>
      </c>
      <c r="Q2360">
        <v>0</v>
      </c>
      <c r="R2360" t="s">
        <v>45097</v>
      </c>
      <c r="S2360" t="s">
        <v>45222</v>
      </c>
      <c r="T2360" t="s">
        <v>46946</v>
      </c>
      <c r="U2360" t="s">
        <v>49483</v>
      </c>
      <c r="V2360" t="s">
        <v>60077</v>
      </c>
      <c r="W2360" t="s">
        <v>42452</v>
      </c>
      <c r="X2360" t="s">
        <v>45098</v>
      </c>
    </row>
    <row r="2361" spans="1:24">
      <c r="A2361">
        <f>HYPERLINK("https://www.philgeps.gov.ph/GEPSNONPILOT/Tender/SplashBidNoticeAbstractUI.aspx?menuIndex=3&amp;refID=7047040&amp;Result=3","7047040")</f>
        <v>0</v>
      </c>
      <c r="B2361" t="s">
        <v>835</v>
      </c>
      <c r="C2361" t="s">
        <v>5449</v>
      </c>
      <c r="D2361" t="s">
        <v>18030</v>
      </c>
      <c r="E2361" t="s">
        <v>20259</v>
      </c>
      <c r="F2361" t="s">
        <v>31574</v>
      </c>
      <c r="G2361" t="s">
        <v>31583</v>
      </c>
      <c r="H2361" t="s">
        <v>31590</v>
      </c>
      <c r="I2361" t="s">
        <v>8258</v>
      </c>
      <c r="J2361" t="s">
        <v>32017</v>
      </c>
      <c r="K2361" t="s">
        <v>41213</v>
      </c>
      <c r="M2361" t="s">
        <v>42448</v>
      </c>
      <c r="N2361" t="s">
        <v>45095</v>
      </c>
      <c r="O2361" t="s">
        <v>45096</v>
      </c>
      <c r="P2361">
        <v>0</v>
      </c>
      <c r="Q2361">
        <v>0</v>
      </c>
      <c r="R2361" t="s">
        <v>45097</v>
      </c>
      <c r="S2361" t="s">
        <v>45222</v>
      </c>
      <c r="T2361" t="s">
        <v>46918</v>
      </c>
      <c r="U2361" t="s">
        <v>49484</v>
      </c>
      <c r="W2361" t="s">
        <v>42448</v>
      </c>
      <c r="X2361" t="s">
        <v>45098</v>
      </c>
    </row>
    <row r="2362" spans="1:24">
      <c r="A2362">
        <f>HYPERLINK("https://www.philgeps.gov.ph/GEPSNONPILOT/Tender/SplashBidNoticeAbstractUI.aspx?menuIndex=3&amp;refID=7047057&amp;Result=3","7047057")</f>
        <v>0</v>
      </c>
      <c r="B2362" t="s">
        <v>35</v>
      </c>
      <c r="C2362" t="s">
        <v>5461</v>
      </c>
      <c r="D2362" t="s">
        <v>18030</v>
      </c>
      <c r="E2362" t="s">
        <v>5461</v>
      </c>
      <c r="F2362" t="s">
        <v>31574</v>
      </c>
      <c r="G2362" t="s">
        <v>31583</v>
      </c>
      <c r="H2362" t="s">
        <v>31590</v>
      </c>
      <c r="I2362" t="s">
        <v>3651</v>
      </c>
      <c r="J2362" t="s">
        <v>32553</v>
      </c>
      <c r="K2362" t="s">
        <v>41186</v>
      </c>
      <c r="M2362" t="s">
        <v>41517</v>
      </c>
      <c r="N2362" t="s">
        <v>45095</v>
      </c>
      <c r="O2362" t="s">
        <v>45096</v>
      </c>
      <c r="P2362">
        <v>0</v>
      </c>
      <c r="Q2362">
        <v>0</v>
      </c>
      <c r="R2362" t="s">
        <v>45097</v>
      </c>
      <c r="S2362" t="s">
        <v>45222</v>
      </c>
      <c r="T2362" t="s">
        <v>46913</v>
      </c>
      <c r="U2362" t="s">
        <v>49485</v>
      </c>
      <c r="W2362" t="s">
        <v>41517</v>
      </c>
      <c r="X2362" t="s">
        <v>45098</v>
      </c>
    </row>
    <row r="2363" spans="1:24">
      <c r="A2363">
        <f>HYPERLINK("https://www.philgeps.gov.ph/GEPSNONPILOT/Tender/SplashBidNoticeAbstractUI.aspx?menuIndex=3&amp;refID=7047055&amp;Result=3","7047055")</f>
        <v>0</v>
      </c>
      <c r="B2363" t="s">
        <v>921</v>
      </c>
      <c r="C2363" t="s">
        <v>5462</v>
      </c>
      <c r="D2363" t="s">
        <v>18030</v>
      </c>
      <c r="E2363" t="s">
        <v>20260</v>
      </c>
      <c r="F2363" t="s">
        <v>31574</v>
      </c>
      <c r="G2363" t="s">
        <v>31581</v>
      </c>
      <c r="H2363" t="s">
        <v>31590</v>
      </c>
      <c r="I2363" t="s">
        <v>3487</v>
      </c>
      <c r="J2363" t="s">
        <v>33369</v>
      </c>
      <c r="K2363" t="s">
        <v>41184</v>
      </c>
      <c r="M2363" t="s">
        <v>42447</v>
      </c>
      <c r="N2363" t="s">
        <v>45095</v>
      </c>
      <c r="O2363" t="s">
        <v>45096</v>
      </c>
      <c r="P2363">
        <v>0</v>
      </c>
      <c r="Q2363">
        <v>0</v>
      </c>
      <c r="R2363" t="s">
        <v>45097</v>
      </c>
      <c r="S2363" t="s">
        <v>45222</v>
      </c>
      <c r="T2363" t="s">
        <v>46913</v>
      </c>
      <c r="U2363" t="s">
        <v>49486</v>
      </c>
      <c r="W2363" t="s">
        <v>42447</v>
      </c>
      <c r="X2363" t="s">
        <v>45098</v>
      </c>
    </row>
    <row r="2364" spans="1:24">
      <c r="A2364">
        <f>HYPERLINK("https://www.philgeps.gov.ph/GEPSNONPILOT/Tender/SplashBidNoticeAbstractUI.aspx?menuIndex=3&amp;refID=7047060&amp;Result=3","7047060")</f>
        <v>0</v>
      </c>
      <c r="B2364" t="s">
        <v>671</v>
      </c>
      <c r="C2364" t="s">
        <v>5463</v>
      </c>
      <c r="D2364" t="s">
        <v>18022</v>
      </c>
      <c r="E2364" t="s">
        <v>20261</v>
      </c>
      <c r="F2364" t="s">
        <v>31574</v>
      </c>
      <c r="G2364" t="s">
        <v>31581</v>
      </c>
      <c r="H2364" t="s">
        <v>31590</v>
      </c>
      <c r="I2364" t="s">
        <v>4327</v>
      </c>
      <c r="J2364" t="s">
        <v>32062</v>
      </c>
      <c r="K2364" t="s">
        <v>41186</v>
      </c>
      <c r="M2364" t="s">
        <v>42177</v>
      </c>
      <c r="N2364" t="s">
        <v>45095</v>
      </c>
      <c r="O2364" t="s">
        <v>45096</v>
      </c>
      <c r="P2364">
        <v>0</v>
      </c>
      <c r="Q2364">
        <v>0</v>
      </c>
      <c r="R2364" t="s">
        <v>45097</v>
      </c>
      <c r="S2364" t="s">
        <v>45222</v>
      </c>
      <c r="T2364" t="s">
        <v>47003</v>
      </c>
      <c r="U2364" t="s">
        <v>49487</v>
      </c>
      <c r="W2364" t="s">
        <v>42177</v>
      </c>
      <c r="X2364" t="s">
        <v>45098</v>
      </c>
    </row>
    <row r="2365" spans="1:24">
      <c r="A2365">
        <f>HYPERLINK("https://www.philgeps.gov.ph/GEPSNONPILOT/Tender/SplashBidNoticeAbstractUI.aspx?menuIndex=3&amp;refID=7047056&amp;Result=3","7047056")</f>
        <v>0</v>
      </c>
      <c r="B2365" t="s">
        <v>910</v>
      </c>
      <c r="C2365" t="s">
        <v>5464</v>
      </c>
      <c r="D2365" t="s">
        <v>18066</v>
      </c>
      <c r="E2365" t="s">
        <v>20262</v>
      </c>
      <c r="F2365" t="s">
        <v>31574</v>
      </c>
      <c r="G2365" t="s">
        <v>31582</v>
      </c>
      <c r="H2365" t="s">
        <v>31590</v>
      </c>
      <c r="I2365" t="s">
        <v>31608</v>
      </c>
      <c r="J2365" t="s">
        <v>33370</v>
      </c>
      <c r="K2365" t="s">
        <v>41184</v>
      </c>
      <c r="M2365" t="s">
        <v>42434</v>
      </c>
      <c r="N2365" t="s">
        <v>45095</v>
      </c>
      <c r="O2365" t="s">
        <v>45096</v>
      </c>
      <c r="P2365">
        <v>0</v>
      </c>
      <c r="Q2365">
        <v>0</v>
      </c>
      <c r="R2365" t="s">
        <v>45097</v>
      </c>
      <c r="S2365" t="s">
        <v>45222</v>
      </c>
      <c r="T2365" t="s">
        <v>46926</v>
      </c>
      <c r="U2365" t="s">
        <v>49488</v>
      </c>
      <c r="W2365" t="s">
        <v>42434</v>
      </c>
      <c r="X2365" t="s">
        <v>45098</v>
      </c>
    </row>
    <row r="2366" spans="1:24">
      <c r="A2366">
        <f>HYPERLINK("https://www.philgeps.gov.ph/GEPSNONPILOT/Tender/SplashBidNoticeAbstractUI.aspx?menuIndex=3&amp;refID=7047066&amp;Result=3","7047066")</f>
        <v>0</v>
      </c>
      <c r="B2366" t="s">
        <v>924</v>
      </c>
      <c r="C2366" t="s">
        <v>5465</v>
      </c>
      <c r="E2366" t="s">
        <v>20263</v>
      </c>
      <c r="F2366" t="s">
        <v>31574</v>
      </c>
      <c r="G2366" t="s">
        <v>31581</v>
      </c>
      <c r="H2366" t="s">
        <v>31590</v>
      </c>
      <c r="I2366" t="s">
        <v>14544</v>
      </c>
      <c r="J2366" t="s">
        <v>33371</v>
      </c>
      <c r="K2366" t="s">
        <v>41193</v>
      </c>
      <c r="M2366" t="s">
        <v>42451</v>
      </c>
      <c r="N2366" t="s">
        <v>45095</v>
      </c>
      <c r="O2366" t="s">
        <v>45096</v>
      </c>
      <c r="P2366">
        <v>0</v>
      </c>
      <c r="Q2366">
        <v>0</v>
      </c>
      <c r="R2366" t="s">
        <v>45097</v>
      </c>
      <c r="S2366" t="s">
        <v>45222</v>
      </c>
      <c r="T2366" t="s">
        <v>47074</v>
      </c>
      <c r="U2366" t="s">
        <v>49489</v>
      </c>
      <c r="V2366" t="s">
        <v>60076</v>
      </c>
      <c r="W2366" t="s">
        <v>42451</v>
      </c>
      <c r="X2366" t="s">
        <v>45098</v>
      </c>
    </row>
    <row r="2367" spans="1:24">
      <c r="A2367">
        <f>HYPERLINK("https://www.philgeps.gov.ph/GEPSNONPILOT/Tender/SplashBidNoticeAbstractUI.aspx?menuIndex=3&amp;refID=7047077&amp;Result=3","7047077")</f>
        <v>0</v>
      </c>
      <c r="B2367" t="s">
        <v>926</v>
      </c>
      <c r="C2367" t="s">
        <v>5466</v>
      </c>
      <c r="D2367" t="s">
        <v>18052</v>
      </c>
      <c r="E2367" t="s">
        <v>20264</v>
      </c>
      <c r="F2367" t="s">
        <v>31574</v>
      </c>
      <c r="G2367" t="s">
        <v>31582</v>
      </c>
      <c r="H2367" t="s">
        <v>31591</v>
      </c>
      <c r="I2367" t="s">
        <v>8822</v>
      </c>
      <c r="J2367" t="s">
        <v>32318</v>
      </c>
      <c r="K2367" t="s">
        <v>41190</v>
      </c>
      <c r="M2367" t="s">
        <v>42453</v>
      </c>
      <c r="N2367" t="s">
        <v>45095</v>
      </c>
      <c r="O2367" t="s">
        <v>45096</v>
      </c>
      <c r="P2367">
        <v>0</v>
      </c>
      <c r="Q2367">
        <v>0</v>
      </c>
      <c r="R2367" t="s">
        <v>45097</v>
      </c>
      <c r="S2367" t="s">
        <v>45222</v>
      </c>
      <c r="T2367" t="s">
        <v>46930</v>
      </c>
      <c r="U2367" t="s">
        <v>49490</v>
      </c>
      <c r="W2367" t="s">
        <v>42453</v>
      </c>
      <c r="X2367" t="s">
        <v>45098</v>
      </c>
    </row>
    <row r="2368" spans="1:24">
      <c r="A2368">
        <f>HYPERLINK("https://www.philgeps.gov.ph/GEPSNONPILOT/Tender/SplashBidNoticeAbstractUI.aspx?menuIndex=3&amp;refID=7047065&amp;Result=3","7047065")</f>
        <v>0</v>
      </c>
      <c r="B2368" t="s">
        <v>231</v>
      </c>
      <c r="C2368" t="s">
        <v>5467</v>
      </c>
      <c r="D2368" t="s">
        <v>18088</v>
      </c>
      <c r="E2368" t="s">
        <v>20265</v>
      </c>
      <c r="F2368" t="s">
        <v>31574</v>
      </c>
      <c r="G2368" t="s">
        <v>31582</v>
      </c>
      <c r="H2368" t="s">
        <v>31591</v>
      </c>
      <c r="I2368" t="s">
        <v>8822</v>
      </c>
      <c r="J2368" t="s">
        <v>33372</v>
      </c>
      <c r="K2368" t="s">
        <v>41186</v>
      </c>
      <c r="M2368" t="s">
        <v>41716</v>
      </c>
      <c r="N2368" t="s">
        <v>45095</v>
      </c>
      <c r="O2368" t="s">
        <v>45096</v>
      </c>
      <c r="P2368">
        <v>0</v>
      </c>
      <c r="Q2368">
        <v>0</v>
      </c>
      <c r="R2368" t="s">
        <v>45097</v>
      </c>
      <c r="S2368" t="s">
        <v>45222</v>
      </c>
      <c r="T2368" t="s">
        <v>46916</v>
      </c>
      <c r="U2368" t="s">
        <v>49491</v>
      </c>
      <c r="W2368" t="s">
        <v>41716</v>
      </c>
      <c r="X2368" t="s">
        <v>45098</v>
      </c>
    </row>
    <row r="2369" spans="1:24">
      <c r="A2369">
        <f>HYPERLINK("https://www.philgeps.gov.ph/GEPSNONPILOT/Tender/SplashBidNoticeAbstractUI.aspx?menuIndex=3&amp;refID=7047076&amp;Result=3","7047076")</f>
        <v>0</v>
      </c>
      <c r="B2369" t="s">
        <v>902</v>
      </c>
      <c r="C2369" t="s">
        <v>5468</v>
      </c>
      <c r="D2369" t="s">
        <v>18033</v>
      </c>
      <c r="E2369" t="s">
        <v>20266</v>
      </c>
      <c r="F2369" t="s">
        <v>31574</v>
      </c>
      <c r="G2369" t="s">
        <v>31581</v>
      </c>
      <c r="H2369" t="s">
        <v>31590</v>
      </c>
      <c r="I2369" t="s">
        <v>31608</v>
      </c>
      <c r="J2369" t="s">
        <v>31845</v>
      </c>
      <c r="K2369" t="s">
        <v>41186</v>
      </c>
      <c r="M2369" t="s">
        <v>42426</v>
      </c>
      <c r="N2369" t="s">
        <v>45095</v>
      </c>
      <c r="O2369" t="s">
        <v>45096</v>
      </c>
      <c r="P2369">
        <v>0</v>
      </c>
      <c r="Q2369">
        <v>0</v>
      </c>
      <c r="R2369" t="s">
        <v>45097</v>
      </c>
      <c r="S2369" t="s">
        <v>45222</v>
      </c>
      <c r="T2369" t="s">
        <v>46918</v>
      </c>
      <c r="U2369" t="s">
        <v>49492</v>
      </c>
      <c r="W2369" t="s">
        <v>42426</v>
      </c>
      <c r="X2369" t="s">
        <v>45098</v>
      </c>
    </row>
    <row r="2370" spans="1:24">
      <c r="A2370">
        <f>HYPERLINK("https://www.philgeps.gov.ph/GEPSNONPILOT/Tender/SplashBidNoticeAbstractUI.aspx?menuIndex=3&amp;refID=7047074&amp;Result=3","7047074")</f>
        <v>0</v>
      </c>
      <c r="B2370" t="s">
        <v>924</v>
      </c>
      <c r="C2370" t="s">
        <v>5469</v>
      </c>
      <c r="E2370" t="s">
        <v>20267</v>
      </c>
      <c r="F2370" t="s">
        <v>31574</v>
      </c>
      <c r="G2370" t="s">
        <v>31581</v>
      </c>
      <c r="H2370" t="s">
        <v>31590</v>
      </c>
      <c r="I2370" t="s">
        <v>4046</v>
      </c>
      <c r="J2370" t="s">
        <v>33373</v>
      </c>
      <c r="K2370" t="s">
        <v>41193</v>
      </c>
      <c r="M2370" t="s">
        <v>42451</v>
      </c>
      <c r="N2370" t="s">
        <v>45095</v>
      </c>
      <c r="O2370" t="s">
        <v>45096</v>
      </c>
      <c r="P2370">
        <v>0</v>
      </c>
      <c r="Q2370">
        <v>0</v>
      </c>
      <c r="R2370" t="s">
        <v>45097</v>
      </c>
      <c r="S2370" t="s">
        <v>45222</v>
      </c>
      <c r="T2370" t="s">
        <v>46913</v>
      </c>
      <c r="U2370" t="s">
        <v>49493</v>
      </c>
      <c r="V2370" t="s">
        <v>60076</v>
      </c>
      <c r="W2370" t="s">
        <v>42451</v>
      </c>
      <c r="X2370" t="s">
        <v>45098</v>
      </c>
    </row>
    <row r="2371" spans="1:24">
      <c r="A2371">
        <f>HYPERLINK("https://www.philgeps.gov.ph/GEPSNONPILOT/Tender/SplashBidNoticeAbstractUI.aspx?menuIndex=3&amp;refID=7047075&amp;Result=3","7047075")</f>
        <v>0</v>
      </c>
      <c r="B2371" t="s">
        <v>921</v>
      </c>
      <c r="C2371" t="s">
        <v>5470</v>
      </c>
      <c r="D2371" t="s">
        <v>18030</v>
      </c>
      <c r="E2371" t="s">
        <v>20268</v>
      </c>
      <c r="F2371" t="s">
        <v>31574</v>
      </c>
      <c r="G2371" t="s">
        <v>31583</v>
      </c>
      <c r="H2371" t="s">
        <v>31590</v>
      </c>
      <c r="I2371" t="s">
        <v>3487</v>
      </c>
      <c r="J2371" t="s">
        <v>33374</v>
      </c>
      <c r="K2371" t="s">
        <v>41184</v>
      </c>
      <c r="M2371" t="s">
        <v>42447</v>
      </c>
      <c r="N2371" t="s">
        <v>45095</v>
      </c>
      <c r="O2371" t="s">
        <v>45096</v>
      </c>
      <c r="P2371">
        <v>0</v>
      </c>
      <c r="Q2371">
        <v>0</v>
      </c>
      <c r="R2371" t="s">
        <v>45097</v>
      </c>
      <c r="S2371" t="s">
        <v>45222</v>
      </c>
      <c r="T2371" t="s">
        <v>46913</v>
      </c>
      <c r="U2371" t="s">
        <v>49494</v>
      </c>
      <c r="W2371" t="s">
        <v>42447</v>
      </c>
      <c r="X2371" t="s">
        <v>45098</v>
      </c>
    </row>
    <row r="2372" spans="1:24">
      <c r="A2372">
        <f>HYPERLINK("https://www.philgeps.gov.ph/GEPSNONPILOT/Tender/SplashBidNoticeAbstractUI.aspx?menuIndex=3&amp;refID=7047067&amp;Result=3","7047067")</f>
        <v>0</v>
      </c>
      <c r="B2372" t="s">
        <v>910</v>
      </c>
      <c r="C2372" t="s">
        <v>5471</v>
      </c>
      <c r="D2372" t="s">
        <v>18066</v>
      </c>
      <c r="E2372" t="s">
        <v>20269</v>
      </c>
      <c r="F2372" t="s">
        <v>31574</v>
      </c>
      <c r="G2372" t="s">
        <v>31582</v>
      </c>
      <c r="H2372" t="s">
        <v>31590</v>
      </c>
      <c r="I2372" t="s">
        <v>31608</v>
      </c>
      <c r="J2372" t="s">
        <v>33375</v>
      </c>
      <c r="K2372" t="s">
        <v>41184</v>
      </c>
      <c r="M2372" t="s">
        <v>42434</v>
      </c>
      <c r="N2372" t="s">
        <v>45095</v>
      </c>
      <c r="O2372" t="s">
        <v>45096</v>
      </c>
      <c r="P2372">
        <v>0</v>
      </c>
      <c r="Q2372">
        <v>0</v>
      </c>
      <c r="R2372" t="s">
        <v>45097</v>
      </c>
      <c r="S2372" t="s">
        <v>45222</v>
      </c>
      <c r="T2372" t="s">
        <v>46926</v>
      </c>
      <c r="U2372" t="s">
        <v>49495</v>
      </c>
      <c r="W2372" t="s">
        <v>42434</v>
      </c>
      <c r="X2372" t="s">
        <v>45098</v>
      </c>
    </row>
    <row r="2373" spans="1:24">
      <c r="A2373">
        <f>HYPERLINK("https://www.philgeps.gov.ph/GEPSNONPILOT/Tender/SplashBidNoticeAbstractUI.aspx?menuIndex=3&amp;refID=7047063&amp;Result=3","7047063")</f>
        <v>0</v>
      </c>
      <c r="B2373" t="s">
        <v>910</v>
      </c>
      <c r="C2373" t="s">
        <v>5472</v>
      </c>
      <c r="D2373" t="s">
        <v>18066</v>
      </c>
      <c r="E2373" t="s">
        <v>20270</v>
      </c>
      <c r="F2373" t="s">
        <v>31574</v>
      </c>
      <c r="G2373" t="s">
        <v>31582</v>
      </c>
      <c r="H2373" t="s">
        <v>31590</v>
      </c>
      <c r="I2373" t="s">
        <v>31619</v>
      </c>
      <c r="J2373" t="s">
        <v>33376</v>
      </c>
      <c r="K2373" t="s">
        <v>41184</v>
      </c>
      <c r="M2373" t="s">
        <v>42434</v>
      </c>
      <c r="N2373" t="s">
        <v>45095</v>
      </c>
      <c r="O2373" t="s">
        <v>45096</v>
      </c>
      <c r="P2373">
        <v>0</v>
      </c>
      <c r="Q2373">
        <v>0</v>
      </c>
      <c r="R2373" t="s">
        <v>45097</v>
      </c>
      <c r="S2373" t="s">
        <v>45222</v>
      </c>
      <c r="T2373" t="s">
        <v>46926</v>
      </c>
      <c r="U2373" t="s">
        <v>49496</v>
      </c>
      <c r="W2373" t="s">
        <v>42434</v>
      </c>
      <c r="X2373" t="s">
        <v>45098</v>
      </c>
    </row>
    <row r="2374" spans="1:24">
      <c r="A2374">
        <f>HYPERLINK("https://www.philgeps.gov.ph/GEPSNONPILOT/Tender/SplashBidNoticeAbstractUI.aspx?menuIndex=3&amp;refID=7047070&amp;Result=3","7047070")</f>
        <v>0</v>
      </c>
      <c r="B2374" t="s">
        <v>927</v>
      </c>
      <c r="C2374" t="s">
        <v>5473</v>
      </c>
      <c r="D2374" t="s">
        <v>18040</v>
      </c>
      <c r="E2374" t="s">
        <v>20271</v>
      </c>
      <c r="F2374" t="s">
        <v>31574</v>
      </c>
      <c r="G2374" t="s">
        <v>31582</v>
      </c>
      <c r="H2374" t="s">
        <v>31590</v>
      </c>
      <c r="I2374" t="s">
        <v>4046</v>
      </c>
      <c r="J2374" t="s">
        <v>33377</v>
      </c>
      <c r="K2374" t="s">
        <v>41196</v>
      </c>
      <c r="M2374" t="s">
        <v>42454</v>
      </c>
      <c r="N2374" t="s">
        <v>45095</v>
      </c>
      <c r="O2374" t="s">
        <v>45096</v>
      </c>
      <c r="P2374">
        <v>0</v>
      </c>
      <c r="Q2374">
        <v>0</v>
      </c>
      <c r="R2374" t="s">
        <v>45097</v>
      </c>
      <c r="S2374" t="s">
        <v>45222</v>
      </c>
      <c r="T2374" t="s">
        <v>46914</v>
      </c>
      <c r="U2374" t="s">
        <v>49497</v>
      </c>
      <c r="W2374" t="s">
        <v>42454</v>
      </c>
      <c r="X2374" t="s">
        <v>45098</v>
      </c>
    </row>
    <row r="2375" spans="1:24">
      <c r="A2375">
        <f>HYPERLINK("https://www.philgeps.gov.ph/GEPSNONPILOT/Tender/SplashBidNoticeAbstractUI.aspx?menuIndex=3&amp;refID=7047062&amp;Result=3","7047062")</f>
        <v>0</v>
      </c>
      <c r="B2375" t="s">
        <v>921</v>
      </c>
      <c r="C2375" t="s">
        <v>5474</v>
      </c>
      <c r="D2375" t="s">
        <v>18030</v>
      </c>
      <c r="E2375" t="s">
        <v>20272</v>
      </c>
      <c r="F2375" t="s">
        <v>31574</v>
      </c>
      <c r="G2375" t="s">
        <v>31581</v>
      </c>
      <c r="H2375" t="s">
        <v>31590</v>
      </c>
      <c r="I2375" t="s">
        <v>31599</v>
      </c>
      <c r="J2375" t="s">
        <v>33378</v>
      </c>
      <c r="K2375" t="s">
        <v>41184</v>
      </c>
      <c r="M2375" t="s">
        <v>42447</v>
      </c>
      <c r="N2375" t="s">
        <v>45095</v>
      </c>
      <c r="O2375" t="s">
        <v>45096</v>
      </c>
      <c r="P2375">
        <v>0</v>
      </c>
      <c r="Q2375">
        <v>0</v>
      </c>
      <c r="R2375" t="s">
        <v>45097</v>
      </c>
      <c r="S2375" t="s">
        <v>45222</v>
      </c>
      <c r="T2375" t="s">
        <v>46913</v>
      </c>
      <c r="U2375" t="s">
        <v>49498</v>
      </c>
      <c r="W2375" t="s">
        <v>42447</v>
      </c>
      <c r="X2375" t="s">
        <v>45098</v>
      </c>
    </row>
    <row r="2376" spans="1:24">
      <c r="A2376">
        <f>HYPERLINK("https://www.philgeps.gov.ph/GEPSNONPILOT/Tender/SplashBidNoticeAbstractUI.aspx?menuIndex=3&amp;refID=7047073&amp;Result=3","7047073")</f>
        <v>0</v>
      </c>
      <c r="B2376" t="s">
        <v>472</v>
      </c>
      <c r="C2376" t="s">
        <v>5475</v>
      </c>
      <c r="D2376" t="s">
        <v>18041</v>
      </c>
      <c r="E2376" t="s">
        <v>20273</v>
      </c>
      <c r="F2376" t="s">
        <v>31574</v>
      </c>
      <c r="G2376" t="s">
        <v>31581</v>
      </c>
      <c r="H2376" t="s">
        <v>31590</v>
      </c>
      <c r="I2376" t="s">
        <v>31619</v>
      </c>
      <c r="J2376" t="s">
        <v>33084</v>
      </c>
      <c r="K2376" t="s">
        <v>41197</v>
      </c>
      <c r="M2376" t="s">
        <v>41967</v>
      </c>
      <c r="N2376" t="s">
        <v>45095</v>
      </c>
      <c r="O2376" t="s">
        <v>45096</v>
      </c>
      <c r="P2376">
        <v>0</v>
      </c>
      <c r="Q2376">
        <v>0</v>
      </c>
      <c r="R2376" t="s">
        <v>45097</v>
      </c>
      <c r="S2376" t="s">
        <v>45222</v>
      </c>
      <c r="T2376" t="s">
        <v>47075</v>
      </c>
      <c r="U2376" t="s">
        <v>49499</v>
      </c>
      <c r="W2376" t="s">
        <v>41967</v>
      </c>
      <c r="X2376" t="s">
        <v>45098</v>
      </c>
    </row>
    <row r="2377" spans="1:24">
      <c r="A2377">
        <f>HYPERLINK("https://www.philgeps.gov.ph/GEPSNONPILOT/Tender/SplashBidNoticeAbstractUI.aspx?menuIndex=3&amp;refID=7047069&amp;Result=3","7047069")</f>
        <v>0</v>
      </c>
      <c r="B2377" t="s">
        <v>928</v>
      </c>
      <c r="C2377" t="s">
        <v>5476</v>
      </c>
      <c r="D2377" t="s">
        <v>18022</v>
      </c>
      <c r="E2377" t="s">
        <v>20274</v>
      </c>
      <c r="F2377" t="s">
        <v>31574</v>
      </c>
      <c r="G2377" t="s">
        <v>31581</v>
      </c>
      <c r="H2377" t="s">
        <v>31590</v>
      </c>
      <c r="I2377" t="s">
        <v>31615</v>
      </c>
      <c r="J2377" t="s">
        <v>32108</v>
      </c>
      <c r="K2377" t="s">
        <v>41190</v>
      </c>
      <c r="M2377" t="s">
        <v>42455</v>
      </c>
      <c r="N2377" t="s">
        <v>45095</v>
      </c>
      <c r="O2377" t="s">
        <v>45096</v>
      </c>
      <c r="P2377">
        <v>0</v>
      </c>
      <c r="Q2377">
        <v>0</v>
      </c>
      <c r="R2377" t="s">
        <v>45097</v>
      </c>
      <c r="S2377" t="s">
        <v>45222</v>
      </c>
      <c r="T2377" t="s">
        <v>46918</v>
      </c>
      <c r="U2377" t="s">
        <v>49500</v>
      </c>
      <c r="W2377" t="s">
        <v>42455</v>
      </c>
      <c r="X2377" t="s">
        <v>45098</v>
      </c>
    </row>
    <row r="2378" spans="1:24">
      <c r="A2378">
        <f>HYPERLINK("https://www.philgeps.gov.ph/GEPSNONPILOT/Tender/SplashBidNoticeAbstractUI.aspx?menuIndex=3&amp;refID=7047061&amp;Result=3","7047061")</f>
        <v>0</v>
      </c>
      <c r="B2378" t="s">
        <v>929</v>
      </c>
      <c r="C2378" t="s">
        <v>5477</v>
      </c>
      <c r="D2378" t="s">
        <v>18025</v>
      </c>
      <c r="E2378" t="s">
        <v>20275</v>
      </c>
      <c r="F2378" t="s">
        <v>31574</v>
      </c>
      <c r="G2378" t="s">
        <v>31581</v>
      </c>
      <c r="H2378" t="s">
        <v>31590</v>
      </c>
      <c r="I2378" t="s">
        <v>31653</v>
      </c>
      <c r="J2378" t="s">
        <v>33379</v>
      </c>
      <c r="K2378" t="s">
        <v>41193</v>
      </c>
      <c r="M2378" t="s">
        <v>42456</v>
      </c>
      <c r="N2378" t="s">
        <v>45095</v>
      </c>
      <c r="O2378" t="s">
        <v>45096</v>
      </c>
      <c r="P2378">
        <v>0</v>
      </c>
      <c r="Q2378">
        <v>0</v>
      </c>
      <c r="R2378" t="s">
        <v>45097</v>
      </c>
      <c r="S2378" t="s">
        <v>45222</v>
      </c>
      <c r="T2378" t="s">
        <v>46952</v>
      </c>
      <c r="U2378" t="s">
        <v>49501</v>
      </c>
      <c r="W2378" t="s">
        <v>42456</v>
      </c>
      <c r="X2378" t="s">
        <v>45098</v>
      </c>
    </row>
    <row r="2379" spans="1:24">
      <c r="A2379">
        <f>HYPERLINK("https://www.philgeps.gov.ph/GEPSNONPILOT/Tender/SplashBidNoticeAbstractUI.aspx?menuIndex=3&amp;refID=7047072&amp;Result=3","7047072")</f>
        <v>0</v>
      </c>
      <c r="B2379" t="s">
        <v>231</v>
      </c>
      <c r="C2379" t="s">
        <v>5478</v>
      </c>
      <c r="D2379" t="s">
        <v>18088</v>
      </c>
      <c r="E2379" t="s">
        <v>20276</v>
      </c>
      <c r="F2379" t="s">
        <v>31574</v>
      </c>
      <c r="G2379" t="s">
        <v>31582</v>
      </c>
      <c r="H2379" t="s">
        <v>31591</v>
      </c>
      <c r="I2379" t="s">
        <v>8822</v>
      </c>
      <c r="J2379" t="s">
        <v>32049</v>
      </c>
      <c r="K2379" t="s">
        <v>41280</v>
      </c>
      <c r="M2379" t="s">
        <v>41716</v>
      </c>
      <c r="N2379" t="s">
        <v>45095</v>
      </c>
      <c r="O2379" t="s">
        <v>45096</v>
      </c>
      <c r="P2379">
        <v>0</v>
      </c>
      <c r="Q2379">
        <v>0</v>
      </c>
      <c r="R2379" t="s">
        <v>45097</v>
      </c>
      <c r="S2379" t="s">
        <v>45222</v>
      </c>
      <c r="T2379" t="s">
        <v>46916</v>
      </c>
      <c r="U2379" t="s">
        <v>49502</v>
      </c>
      <c r="W2379" t="s">
        <v>41716</v>
      </c>
      <c r="X2379" t="s">
        <v>45098</v>
      </c>
    </row>
    <row r="2380" spans="1:24">
      <c r="A2380">
        <f>HYPERLINK("https://www.philgeps.gov.ph/GEPSNONPILOT/Tender/SplashBidNoticeAbstractUI.aspx?menuIndex=3&amp;refID=7047079&amp;Result=3","7047079")</f>
        <v>0</v>
      </c>
      <c r="B2380" t="s">
        <v>929</v>
      </c>
      <c r="C2380" t="s">
        <v>5479</v>
      </c>
      <c r="D2380" t="s">
        <v>18025</v>
      </c>
      <c r="E2380" t="s">
        <v>20277</v>
      </c>
      <c r="F2380" t="s">
        <v>31574</v>
      </c>
      <c r="G2380" t="s">
        <v>31581</v>
      </c>
      <c r="H2380" t="s">
        <v>31590</v>
      </c>
      <c r="I2380" t="s">
        <v>3489</v>
      </c>
      <c r="J2380" t="s">
        <v>33380</v>
      </c>
      <c r="K2380" t="s">
        <v>41193</v>
      </c>
      <c r="M2380" t="s">
        <v>42456</v>
      </c>
      <c r="N2380" t="s">
        <v>45095</v>
      </c>
      <c r="O2380" t="s">
        <v>45096</v>
      </c>
      <c r="P2380">
        <v>0</v>
      </c>
      <c r="Q2380">
        <v>0</v>
      </c>
      <c r="R2380" t="s">
        <v>45097</v>
      </c>
      <c r="S2380" t="s">
        <v>45222</v>
      </c>
      <c r="T2380" t="s">
        <v>46952</v>
      </c>
      <c r="U2380" t="s">
        <v>49503</v>
      </c>
      <c r="W2380" t="s">
        <v>42456</v>
      </c>
      <c r="X2380" t="s">
        <v>45098</v>
      </c>
    </row>
    <row r="2381" spans="1:24">
      <c r="A2381">
        <f>HYPERLINK("https://www.philgeps.gov.ph/GEPSNONPILOT/Tender/SplashBidNoticeAbstractUI.aspx?menuIndex=3&amp;refID=7047058&amp;Result=3","7047058")</f>
        <v>0</v>
      </c>
      <c r="B2381" t="s">
        <v>923</v>
      </c>
      <c r="C2381" t="s">
        <v>5480</v>
      </c>
      <c r="D2381" t="s">
        <v>18022</v>
      </c>
      <c r="E2381" t="s">
        <v>20278</v>
      </c>
      <c r="F2381" t="s">
        <v>31574</v>
      </c>
      <c r="G2381" t="s">
        <v>31581</v>
      </c>
      <c r="H2381" t="s">
        <v>31590</v>
      </c>
      <c r="I2381" t="s">
        <v>3487</v>
      </c>
      <c r="J2381" t="s">
        <v>32757</v>
      </c>
      <c r="K2381" t="s">
        <v>41211</v>
      </c>
      <c r="M2381" t="s">
        <v>42450</v>
      </c>
      <c r="N2381" t="s">
        <v>45095</v>
      </c>
      <c r="O2381" t="s">
        <v>45096</v>
      </c>
      <c r="P2381">
        <v>0</v>
      </c>
      <c r="Q2381">
        <v>0</v>
      </c>
      <c r="R2381" t="s">
        <v>45097</v>
      </c>
      <c r="S2381" t="s">
        <v>45222</v>
      </c>
      <c r="T2381" t="s">
        <v>47002</v>
      </c>
      <c r="U2381" t="s">
        <v>49504</v>
      </c>
      <c r="W2381" t="s">
        <v>42450</v>
      </c>
      <c r="X2381" t="s">
        <v>45098</v>
      </c>
    </row>
    <row r="2382" spans="1:24">
      <c r="A2382">
        <f>HYPERLINK("https://www.philgeps.gov.ph/GEPSNONPILOT/Tender/SplashBidNoticeAbstractUI.aspx?menuIndex=3&amp;refID=7047087&amp;Result=3","7047087")</f>
        <v>0</v>
      </c>
      <c r="B2382" t="s">
        <v>581</v>
      </c>
      <c r="C2382" t="s">
        <v>5481</v>
      </c>
      <c r="D2382" t="s">
        <v>18092</v>
      </c>
      <c r="E2382" t="s">
        <v>20279</v>
      </c>
      <c r="F2382" t="s">
        <v>31578</v>
      </c>
      <c r="G2382" t="s">
        <v>31582</v>
      </c>
      <c r="H2382" t="s">
        <v>31590</v>
      </c>
      <c r="I2382" t="s">
        <v>31654</v>
      </c>
      <c r="J2382" t="s">
        <v>33381</v>
      </c>
      <c r="K2382" t="s">
        <v>41186</v>
      </c>
      <c r="M2382" t="s">
        <v>42083</v>
      </c>
      <c r="N2382" t="s">
        <v>45095</v>
      </c>
      <c r="O2382" t="s">
        <v>45096</v>
      </c>
      <c r="P2382">
        <v>0</v>
      </c>
      <c r="Q2382">
        <v>0</v>
      </c>
      <c r="R2382" t="s">
        <v>45097</v>
      </c>
      <c r="S2382" t="s">
        <v>45222</v>
      </c>
      <c r="T2382" t="s">
        <v>47073</v>
      </c>
      <c r="U2382" t="s">
        <v>49505</v>
      </c>
      <c r="W2382" t="s">
        <v>42083</v>
      </c>
      <c r="X2382" t="s">
        <v>45098</v>
      </c>
    </row>
    <row r="2383" spans="1:24">
      <c r="A2383">
        <f>HYPERLINK("https://www.philgeps.gov.ph/GEPSNONPILOT/Tender/SplashBidNoticeAbstractUI.aspx?menuIndex=3&amp;refID=7047088&amp;Result=3","7047088")</f>
        <v>0</v>
      </c>
      <c r="B2383" t="s">
        <v>930</v>
      </c>
      <c r="C2383" t="s">
        <v>5482</v>
      </c>
      <c r="D2383" t="s">
        <v>18056</v>
      </c>
      <c r="E2383" t="s">
        <v>20280</v>
      </c>
      <c r="F2383" t="s">
        <v>31574</v>
      </c>
      <c r="G2383" t="s">
        <v>31585</v>
      </c>
      <c r="H2383" t="s">
        <v>31590</v>
      </c>
      <c r="I2383" t="s">
        <v>4046</v>
      </c>
      <c r="J2383" t="s">
        <v>33382</v>
      </c>
      <c r="K2383" t="s">
        <v>41196</v>
      </c>
      <c r="M2383" t="s">
        <v>42457</v>
      </c>
      <c r="N2383" t="s">
        <v>45095</v>
      </c>
      <c r="O2383" t="s">
        <v>45096</v>
      </c>
      <c r="P2383">
        <v>0</v>
      </c>
      <c r="Q2383">
        <v>0</v>
      </c>
      <c r="R2383" t="s">
        <v>45097</v>
      </c>
      <c r="S2383" t="s">
        <v>45222</v>
      </c>
      <c r="T2383" t="s">
        <v>46926</v>
      </c>
      <c r="U2383" t="s">
        <v>49506</v>
      </c>
      <c r="W2383" t="s">
        <v>42457</v>
      </c>
      <c r="X2383" t="s">
        <v>45098</v>
      </c>
    </row>
    <row r="2384" spans="1:24">
      <c r="A2384">
        <f>HYPERLINK("https://www.philgeps.gov.ph/GEPSNONPILOT/Tender/SplashBidNoticeAbstractUI.aspx?menuIndex=3&amp;refID=7047090&amp;Result=3","7047090")</f>
        <v>0</v>
      </c>
      <c r="B2384" t="s">
        <v>931</v>
      </c>
      <c r="C2384" t="s">
        <v>5483</v>
      </c>
      <c r="D2384" t="s">
        <v>18040</v>
      </c>
      <c r="E2384" t="s">
        <v>20281</v>
      </c>
      <c r="F2384" t="s">
        <v>31574</v>
      </c>
      <c r="G2384" t="s">
        <v>31582</v>
      </c>
      <c r="H2384" t="s">
        <v>31590</v>
      </c>
      <c r="I2384" t="s">
        <v>4046</v>
      </c>
      <c r="J2384" t="s">
        <v>33383</v>
      </c>
      <c r="K2384" t="s">
        <v>41196</v>
      </c>
      <c r="M2384" t="s">
        <v>42458</v>
      </c>
      <c r="N2384" t="s">
        <v>45095</v>
      </c>
      <c r="O2384" t="s">
        <v>45096</v>
      </c>
      <c r="P2384">
        <v>0</v>
      </c>
      <c r="Q2384">
        <v>0</v>
      </c>
      <c r="R2384" t="s">
        <v>45097</v>
      </c>
      <c r="S2384" t="s">
        <v>45222</v>
      </c>
      <c r="T2384" t="s">
        <v>46914</v>
      </c>
      <c r="U2384" t="s">
        <v>49507</v>
      </c>
      <c r="W2384" t="s">
        <v>42458</v>
      </c>
      <c r="X2384" t="s">
        <v>45098</v>
      </c>
    </row>
    <row r="2385" spans="1:24">
      <c r="A2385">
        <f>HYPERLINK("https://www.philgeps.gov.ph/GEPSNONPILOT/Tender/SplashBidNoticeAbstractUI.aspx?menuIndex=3&amp;refID=7047089&amp;Result=3","7047089")</f>
        <v>0</v>
      </c>
      <c r="B2385" t="s">
        <v>924</v>
      </c>
      <c r="C2385" t="s">
        <v>5484</v>
      </c>
      <c r="E2385" t="s">
        <v>20282</v>
      </c>
      <c r="F2385" t="s">
        <v>31574</v>
      </c>
      <c r="G2385" t="s">
        <v>31581</v>
      </c>
      <c r="H2385" t="s">
        <v>31590</v>
      </c>
      <c r="I2385" t="s">
        <v>6800</v>
      </c>
      <c r="J2385" t="s">
        <v>33384</v>
      </c>
      <c r="K2385" t="s">
        <v>41193</v>
      </c>
      <c r="M2385" t="s">
        <v>42451</v>
      </c>
      <c r="N2385" t="s">
        <v>45095</v>
      </c>
      <c r="O2385" t="s">
        <v>45096</v>
      </c>
      <c r="P2385">
        <v>0</v>
      </c>
      <c r="Q2385">
        <v>0</v>
      </c>
      <c r="R2385" t="s">
        <v>45097</v>
      </c>
      <c r="S2385" t="s">
        <v>45222</v>
      </c>
      <c r="T2385" t="s">
        <v>46913</v>
      </c>
      <c r="U2385" t="s">
        <v>49508</v>
      </c>
      <c r="V2385" t="s">
        <v>60076</v>
      </c>
      <c r="W2385" t="s">
        <v>42451</v>
      </c>
      <c r="X2385" t="s">
        <v>45098</v>
      </c>
    </row>
    <row r="2386" spans="1:24">
      <c r="A2386">
        <f>HYPERLINK("https://www.philgeps.gov.ph/GEPSNONPILOT/Tender/SplashBidNoticeAbstractUI.aspx?menuIndex=3&amp;refID=7047071&amp;Result=3","7047071")</f>
        <v>0</v>
      </c>
      <c r="B2386" t="s">
        <v>929</v>
      </c>
      <c r="C2386" t="s">
        <v>5485</v>
      </c>
      <c r="D2386" t="s">
        <v>18025</v>
      </c>
      <c r="E2386" t="s">
        <v>20283</v>
      </c>
      <c r="F2386" t="s">
        <v>31574</v>
      </c>
      <c r="G2386" t="s">
        <v>31581</v>
      </c>
      <c r="H2386" t="s">
        <v>31590</v>
      </c>
      <c r="I2386" t="s">
        <v>31619</v>
      </c>
      <c r="J2386" t="s">
        <v>33385</v>
      </c>
      <c r="K2386" t="s">
        <v>41193</v>
      </c>
      <c r="M2386" t="s">
        <v>42456</v>
      </c>
      <c r="N2386" t="s">
        <v>45095</v>
      </c>
      <c r="O2386" t="s">
        <v>45096</v>
      </c>
      <c r="P2386">
        <v>0</v>
      </c>
      <c r="Q2386">
        <v>0</v>
      </c>
      <c r="R2386" t="s">
        <v>45097</v>
      </c>
      <c r="S2386" t="s">
        <v>45222</v>
      </c>
      <c r="T2386" t="s">
        <v>46952</v>
      </c>
      <c r="U2386" t="s">
        <v>49509</v>
      </c>
      <c r="W2386" t="s">
        <v>42456</v>
      </c>
      <c r="X2386" t="s">
        <v>45098</v>
      </c>
    </row>
    <row r="2387" spans="1:24">
      <c r="A2387">
        <f>HYPERLINK("https://www.philgeps.gov.ph/GEPSNONPILOT/Tender/SplashBidNoticeAbstractUI.aspx?menuIndex=3&amp;refID=7047082&amp;Result=3","7047082")</f>
        <v>0</v>
      </c>
      <c r="B2387" t="s">
        <v>924</v>
      </c>
      <c r="C2387" t="s">
        <v>5486</v>
      </c>
      <c r="E2387" t="s">
        <v>20284</v>
      </c>
      <c r="F2387" t="s">
        <v>31574</v>
      </c>
      <c r="G2387" t="s">
        <v>31581</v>
      </c>
      <c r="H2387" t="s">
        <v>31590</v>
      </c>
      <c r="I2387" t="s">
        <v>3487</v>
      </c>
      <c r="J2387" t="s">
        <v>33386</v>
      </c>
      <c r="K2387" t="s">
        <v>41193</v>
      </c>
      <c r="M2387" t="s">
        <v>42451</v>
      </c>
      <c r="N2387" t="s">
        <v>45095</v>
      </c>
      <c r="O2387" t="s">
        <v>45096</v>
      </c>
      <c r="P2387">
        <v>0</v>
      </c>
      <c r="Q2387">
        <v>0</v>
      </c>
      <c r="R2387" t="s">
        <v>45097</v>
      </c>
      <c r="S2387" t="s">
        <v>45222</v>
      </c>
      <c r="T2387" t="s">
        <v>46913</v>
      </c>
      <c r="U2387" t="s">
        <v>49510</v>
      </c>
      <c r="V2387" t="s">
        <v>60076</v>
      </c>
      <c r="W2387" t="s">
        <v>42451</v>
      </c>
      <c r="X2387" t="s">
        <v>45098</v>
      </c>
    </row>
    <row r="2388" spans="1:24">
      <c r="A2388">
        <f>HYPERLINK("https://www.philgeps.gov.ph/GEPSNONPILOT/Tender/SplashBidNoticeAbstractUI.aspx?menuIndex=3&amp;refID=7047083&amp;Result=3","7047083")</f>
        <v>0</v>
      </c>
      <c r="B2388" t="s">
        <v>913</v>
      </c>
      <c r="C2388" t="s">
        <v>5456</v>
      </c>
      <c r="D2388" t="s">
        <v>18079</v>
      </c>
      <c r="E2388" t="s">
        <v>20285</v>
      </c>
      <c r="F2388" t="s">
        <v>31574</v>
      </c>
      <c r="G2388" t="s">
        <v>31581</v>
      </c>
      <c r="H2388" t="s">
        <v>31590</v>
      </c>
      <c r="I2388" t="s">
        <v>31686</v>
      </c>
      <c r="J2388" t="s">
        <v>33246</v>
      </c>
      <c r="K2388" t="s">
        <v>41186</v>
      </c>
      <c r="M2388" t="s">
        <v>42437</v>
      </c>
      <c r="N2388" t="s">
        <v>45095</v>
      </c>
      <c r="O2388" t="s">
        <v>45096</v>
      </c>
      <c r="P2388">
        <v>0</v>
      </c>
      <c r="Q2388">
        <v>0</v>
      </c>
      <c r="R2388" t="s">
        <v>45097</v>
      </c>
      <c r="S2388" t="s">
        <v>45222</v>
      </c>
      <c r="T2388" t="s">
        <v>46913</v>
      </c>
      <c r="U2388" t="s">
        <v>49480</v>
      </c>
      <c r="W2388" t="s">
        <v>42437</v>
      </c>
      <c r="X2388" t="s">
        <v>45098</v>
      </c>
    </row>
    <row r="2389" spans="1:24">
      <c r="A2389">
        <f>HYPERLINK("https://www.philgeps.gov.ph/GEPSNONPILOT/Tender/SplashBidNoticeAbstractUI.aspx?menuIndex=3&amp;refID=7047091&amp;Result=3","7047091")</f>
        <v>0</v>
      </c>
      <c r="B2389" t="s">
        <v>913</v>
      </c>
      <c r="C2389" t="s">
        <v>5487</v>
      </c>
      <c r="D2389" t="s">
        <v>18079</v>
      </c>
      <c r="E2389" t="s">
        <v>20286</v>
      </c>
      <c r="F2389" t="s">
        <v>31574</v>
      </c>
      <c r="G2389" t="s">
        <v>31581</v>
      </c>
      <c r="H2389" t="s">
        <v>31590</v>
      </c>
      <c r="I2389" t="s">
        <v>31686</v>
      </c>
      <c r="J2389" t="s">
        <v>33387</v>
      </c>
      <c r="K2389" t="s">
        <v>41186</v>
      </c>
      <c r="M2389" t="s">
        <v>42437</v>
      </c>
      <c r="N2389" t="s">
        <v>45095</v>
      </c>
      <c r="O2389" t="s">
        <v>45096</v>
      </c>
      <c r="P2389">
        <v>0</v>
      </c>
      <c r="Q2389">
        <v>0</v>
      </c>
      <c r="R2389" t="s">
        <v>45097</v>
      </c>
      <c r="S2389" t="s">
        <v>45222</v>
      </c>
      <c r="T2389" t="s">
        <v>46913</v>
      </c>
      <c r="U2389" t="s">
        <v>49511</v>
      </c>
      <c r="W2389" t="s">
        <v>42437</v>
      </c>
      <c r="X2389" t="s">
        <v>45098</v>
      </c>
    </row>
    <row r="2390" spans="1:24">
      <c r="A2390">
        <f>HYPERLINK("https://www.philgeps.gov.ph/GEPSNONPILOT/Tender/SplashBidNoticeAbstractUI.aspx?menuIndex=3&amp;refID=7047084&amp;Result=3","7047084")</f>
        <v>0</v>
      </c>
      <c r="B2390" t="s">
        <v>902</v>
      </c>
      <c r="C2390" t="s">
        <v>5488</v>
      </c>
      <c r="D2390" t="s">
        <v>18033</v>
      </c>
      <c r="E2390" t="s">
        <v>20287</v>
      </c>
      <c r="F2390" t="s">
        <v>31574</v>
      </c>
      <c r="G2390" t="s">
        <v>31581</v>
      </c>
      <c r="H2390" t="s">
        <v>31590</v>
      </c>
      <c r="I2390" t="s">
        <v>31639</v>
      </c>
      <c r="J2390" t="s">
        <v>33388</v>
      </c>
      <c r="K2390" t="s">
        <v>41186</v>
      </c>
      <c r="M2390" t="s">
        <v>42426</v>
      </c>
      <c r="N2390" t="s">
        <v>45095</v>
      </c>
      <c r="O2390" t="s">
        <v>45096</v>
      </c>
      <c r="P2390">
        <v>0</v>
      </c>
      <c r="Q2390">
        <v>0</v>
      </c>
      <c r="R2390" t="s">
        <v>45097</v>
      </c>
      <c r="S2390" t="s">
        <v>45222</v>
      </c>
      <c r="T2390" t="s">
        <v>46918</v>
      </c>
      <c r="U2390" t="s">
        <v>49512</v>
      </c>
      <c r="W2390" t="s">
        <v>42426</v>
      </c>
      <c r="X2390" t="s">
        <v>45098</v>
      </c>
    </row>
    <row r="2391" spans="1:24">
      <c r="A2391">
        <f>HYPERLINK("https://www.philgeps.gov.ph/GEPSNONPILOT/Tender/SplashBidNoticeAbstractUI.aspx?menuIndex=3&amp;refID=7047099&amp;Result=3","7047099")</f>
        <v>0</v>
      </c>
      <c r="B2391" t="s">
        <v>932</v>
      </c>
      <c r="C2391" t="s">
        <v>5489</v>
      </c>
      <c r="E2391" t="s">
        <v>20288</v>
      </c>
      <c r="F2391" t="s">
        <v>31574</v>
      </c>
      <c r="G2391" t="s">
        <v>31581</v>
      </c>
      <c r="H2391" t="s">
        <v>31590</v>
      </c>
      <c r="I2391" t="s">
        <v>3651</v>
      </c>
      <c r="J2391" t="s">
        <v>33389</v>
      </c>
      <c r="K2391" t="s">
        <v>41184</v>
      </c>
      <c r="M2391" t="s">
        <v>42459</v>
      </c>
      <c r="N2391" t="s">
        <v>45095</v>
      </c>
      <c r="O2391" t="s">
        <v>45096</v>
      </c>
      <c r="P2391">
        <v>0</v>
      </c>
      <c r="Q2391">
        <v>0</v>
      </c>
      <c r="R2391" t="s">
        <v>45097</v>
      </c>
      <c r="S2391" t="s">
        <v>45222</v>
      </c>
      <c r="T2391" t="s">
        <v>46904</v>
      </c>
      <c r="U2391" t="s">
        <v>49513</v>
      </c>
      <c r="V2391" t="s">
        <v>60078</v>
      </c>
      <c r="W2391" t="s">
        <v>42459</v>
      </c>
      <c r="X2391" t="s">
        <v>45098</v>
      </c>
    </row>
    <row r="2392" spans="1:24">
      <c r="A2392">
        <f>HYPERLINK("https://www.philgeps.gov.ph/GEPSNONPILOT/Tender/SplashBidNoticeAbstractUI.aspx?menuIndex=3&amp;refID=7047080&amp;Result=3","7047080")</f>
        <v>0</v>
      </c>
      <c r="B2392" t="s">
        <v>926</v>
      </c>
      <c r="C2392" t="s">
        <v>5490</v>
      </c>
      <c r="D2392" t="s">
        <v>18052</v>
      </c>
      <c r="E2392" t="s">
        <v>20289</v>
      </c>
      <c r="F2392" t="s">
        <v>31574</v>
      </c>
      <c r="G2392" t="s">
        <v>31582</v>
      </c>
      <c r="H2392" t="s">
        <v>31591</v>
      </c>
      <c r="I2392" t="s">
        <v>8822</v>
      </c>
      <c r="J2392" t="s">
        <v>32017</v>
      </c>
      <c r="K2392" t="s">
        <v>41193</v>
      </c>
      <c r="M2392" t="s">
        <v>42453</v>
      </c>
      <c r="N2392" t="s">
        <v>45095</v>
      </c>
      <c r="O2392" t="s">
        <v>45096</v>
      </c>
      <c r="P2392">
        <v>0</v>
      </c>
      <c r="Q2392">
        <v>0</v>
      </c>
      <c r="R2392" t="s">
        <v>45097</v>
      </c>
      <c r="S2392" t="s">
        <v>45222</v>
      </c>
      <c r="T2392" t="s">
        <v>46930</v>
      </c>
      <c r="U2392" t="s">
        <v>49514</v>
      </c>
      <c r="W2392" t="s">
        <v>42453</v>
      </c>
      <c r="X2392" t="s">
        <v>45098</v>
      </c>
    </row>
    <row r="2393" spans="1:24">
      <c r="A2393">
        <f>HYPERLINK("https://www.philgeps.gov.ph/GEPSNONPILOT/Tender/SplashBidNoticeAbstractUI.aspx?menuIndex=3&amp;refID=7047085&amp;Result=3","7047085")</f>
        <v>0</v>
      </c>
      <c r="B2393" t="s">
        <v>929</v>
      </c>
      <c r="C2393" t="s">
        <v>5491</v>
      </c>
      <c r="D2393" t="s">
        <v>18025</v>
      </c>
      <c r="E2393" t="s">
        <v>20290</v>
      </c>
      <c r="F2393" t="s">
        <v>31574</v>
      </c>
      <c r="G2393" t="s">
        <v>31581</v>
      </c>
      <c r="H2393" t="s">
        <v>31590</v>
      </c>
      <c r="I2393" t="s">
        <v>3489</v>
      </c>
      <c r="J2393" t="s">
        <v>32258</v>
      </c>
      <c r="K2393" t="s">
        <v>41193</v>
      </c>
      <c r="M2393" t="s">
        <v>42456</v>
      </c>
      <c r="N2393" t="s">
        <v>45095</v>
      </c>
      <c r="O2393" t="s">
        <v>45096</v>
      </c>
      <c r="P2393">
        <v>0</v>
      </c>
      <c r="Q2393">
        <v>0</v>
      </c>
      <c r="R2393" t="s">
        <v>45097</v>
      </c>
      <c r="S2393" t="s">
        <v>45222</v>
      </c>
      <c r="T2393" t="s">
        <v>46952</v>
      </c>
      <c r="U2393" t="s">
        <v>49515</v>
      </c>
      <c r="W2393" t="s">
        <v>42456</v>
      </c>
      <c r="X2393" t="s">
        <v>45098</v>
      </c>
    </row>
    <row r="2394" spans="1:24">
      <c r="A2394">
        <f>HYPERLINK("https://www.philgeps.gov.ph/GEPSNONPILOT/Tender/SplashBidNoticeAbstractUI.aspx?menuIndex=3&amp;refID=7047097&amp;Result=3","7047097")</f>
        <v>0</v>
      </c>
      <c r="B2394" t="s">
        <v>933</v>
      </c>
      <c r="C2394" t="s">
        <v>5492</v>
      </c>
      <c r="D2394" t="s">
        <v>18022</v>
      </c>
      <c r="E2394" t="s">
        <v>20172</v>
      </c>
      <c r="F2394" t="s">
        <v>31574</v>
      </c>
      <c r="G2394" t="s">
        <v>31582</v>
      </c>
      <c r="H2394" t="s">
        <v>31590</v>
      </c>
      <c r="I2394" t="s">
        <v>3487</v>
      </c>
      <c r="J2394" t="s">
        <v>33390</v>
      </c>
      <c r="K2394" t="s">
        <v>41213</v>
      </c>
      <c r="M2394" t="s">
        <v>42460</v>
      </c>
      <c r="N2394" t="s">
        <v>45095</v>
      </c>
      <c r="O2394" t="s">
        <v>45096</v>
      </c>
      <c r="P2394">
        <v>0</v>
      </c>
      <c r="Q2394">
        <v>0</v>
      </c>
      <c r="R2394" t="s">
        <v>45097</v>
      </c>
      <c r="S2394" t="s">
        <v>45222</v>
      </c>
      <c r="T2394" t="s">
        <v>46926</v>
      </c>
      <c r="U2394" t="s">
        <v>49516</v>
      </c>
      <c r="W2394" t="s">
        <v>42460</v>
      </c>
      <c r="X2394" t="s">
        <v>45098</v>
      </c>
    </row>
    <row r="2395" spans="1:24">
      <c r="A2395">
        <f>HYPERLINK("https://www.philgeps.gov.ph/GEPSNONPILOT/Tender/SplashBidNoticeAbstractUI.aspx?menuIndex=3&amp;refID=7047092&amp;Result=3","7047092")</f>
        <v>0</v>
      </c>
      <c r="B2395" t="s">
        <v>921</v>
      </c>
      <c r="C2395" t="s">
        <v>5493</v>
      </c>
      <c r="D2395" t="s">
        <v>18030</v>
      </c>
      <c r="E2395" t="s">
        <v>20291</v>
      </c>
      <c r="F2395" t="s">
        <v>31574</v>
      </c>
      <c r="G2395" t="s">
        <v>31583</v>
      </c>
      <c r="H2395" t="s">
        <v>31590</v>
      </c>
      <c r="I2395" t="s">
        <v>3487</v>
      </c>
      <c r="J2395" t="s">
        <v>33391</v>
      </c>
      <c r="K2395" t="s">
        <v>41184</v>
      </c>
      <c r="M2395" t="s">
        <v>42447</v>
      </c>
      <c r="N2395" t="s">
        <v>45095</v>
      </c>
      <c r="O2395" t="s">
        <v>45096</v>
      </c>
      <c r="P2395">
        <v>0</v>
      </c>
      <c r="Q2395">
        <v>0</v>
      </c>
      <c r="R2395" t="s">
        <v>45097</v>
      </c>
      <c r="S2395" t="s">
        <v>45222</v>
      </c>
      <c r="T2395" t="s">
        <v>46911</v>
      </c>
      <c r="U2395" t="s">
        <v>49494</v>
      </c>
      <c r="W2395" t="s">
        <v>42447</v>
      </c>
      <c r="X2395" t="s">
        <v>45098</v>
      </c>
    </row>
    <row r="2396" spans="1:24">
      <c r="A2396">
        <f>HYPERLINK("https://www.philgeps.gov.ph/GEPSNONPILOT/Tender/SplashBidNoticeAbstractUI.aspx?menuIndex=3&amp;refID=7047095&amp;Result=3","7047095")</f>
        <v>0</v>
      </c>
      <c r="B2396" t="s">
        <v>913</v>
      </c>
      <c r="C2396" t="s">
        <v>5494</v>
      </c>
      <c r="D2396" t="s">
        <v>18079</v>
      </c>
      <c r="E2396" t="s">
        <v>20292</v>
      </c>
      <c r="F2396" t="s">
        <v>31574</v>
      </c>
      <c r="G2396" t="s">
        <v>31581</v>
      </c>
      <c r="H2396" t="s">
        <v>31590</v>
      </c>
      <c r="I2396" t="s">
        <v>31686</v>
      </c>
      <c r="J2396" t="s">
        <v>33392</v>
      </c>
      <c r="K2396" t="s">
        <v>41186</v>
      </c>
      <c r="M2396" t="s">
        <v>42437</v>
      </c>
      <c r="N2396" t="s">
        <v>45095</v>
      </c>
      <c r="O2396" t="s">
        <v>45096</v>
      </c>
      <c r="P2396">
        <v>0</v>
      </c>
      <c r="Q2396">
        <v>0</v>
      </c>
      <c r="R2396" t="s">
        <v>45097</v>
      </c>
      <c r="S2396" t="s">
        <v>45222</v>
      </c>
      <c r="T2396" t="s">
        <v>46913</v>
      </c>
      <c r="U2396" t="s">
        <v>49517</v>
      </c>
      <c r="W2396" t="s">
        <v>42437</v>
      </c>
      <c r="X2396" t="s">
        <v>45098</v>
      </c>
    </row>
    <row r="2397" spans="1:24">
      <c r="A2397">
        <f>HYPERLINK("https://www.philgeps.gov.ph/GEPSNONPILOT/Tender/SplashBidNoticeAbstractUI.aspx?menuIndex=3&amp;refID=7047098&amp;Result=3","7047098")</f>
        <v>0</v>
      </c>
      <c r="B2397" t="s">
        <v>921</v>
      </c>
      <c r="C2397" t="s">
        <v>5495</v>
      </c>
      <c r="D2397" t="s">
        <v>18044</v>
      </c>
      <c r="E2397" t="s">
        <v>20293</v>
      </c>
      <c r="F2397" t="s">
        <v>31574</v>
      </c>
      <c r="G2397" t="s">
        <v>31581</v>
      </c>
      <c r="H2397" t="s">
        <v>31590</v>
      </c>
      <c r="I2397" t="s">
        <v>31625</v>
      </c>
      <c r="J2397" t="s">
        <v>33039</v>
      </c>
      <c r="K2397" t="s">
        <v>41184</v>
      </c>
      <c r="M2397" t="s">
        <v>42447</v>
      </c>
      <c r="N2397" t="s">
        <v>45095</v>
      </c>
      <c r="O2397" t="s">
        <v>45096</v>
      </c>
      <c r="P2397">
        <v>0</v>
      </c>
      <c r="Q2397">
        <v>0</v>
      </c>
      <c r="R2397" t="s">
        <v>45097</v>
      </c>
      <c r="S2397" t="s">
        <v>45222</v>
      </c>
      <c r="T2397" t="s">
        <v>46913</v>
      </c>
      <c r="U2397" t="s">
        <v>49518</v>
      </c>
      <c r="W2397" t="s">
        <v>42447</v>
      </c>
      <c r="X2397" t="s">
        <v>45098</v>
      </c>
    </row>
    <row r="2398" spans="1:24">
      <c r="A2398">
        <f>HYPERLINK("https://www.philgeps.gov.ph/GEPSNONPILOT/Tender/SplashBidNoticeAbstractUI.aspx?menuIndex=3&amp;refID=7047093&amp;Result=3","7047093")</f>
        <v>0</v>
      </c>
      <c r="B2398" t="s">
        <v>929</v>
      </c>
      <c r="C2398" t="s">
        <v>5496</v>
      </c>
      <c r="D2398" t="s">
        <v>18025</v>
      </c>
      <c r="E2398" t="s">
        <v>20294</v>
      </c>
      <c r="F2398" t="s">
        <v>31574</v>
      </c>
      <c r="G2398" t="s">
        <v>31581</v>
      </c>
      <c r="H2398" t="s">
        <v>31590</v>
      </c>
      <c r="I2398" t="s">
        <v>3487</v>
      </c>
      <c r="J2398" t="s">
        <v>31845</v>
      </c>
      <c r="K2398" t="s">
        <v>41194</v>
      </c>
      <c r="M2398" t="s">
        <v>42456</v>
      </c>
      <c r="N2398" t="s">
        <v>45095</v>
      </c>
      <c r="O2398" t="s">
        <v>45096</v>
      </c>
      <c r="P2398">
        <v>0</v>
      </c>
      <c r="Q2398">
        <v>0</v>
      </c>
      <c r="R2398" t="s">
        <v>45097</v>
      </c>
      <c r="S2398" t="s">
        <v>45222</v>
      </c>
      <c r="T2398" t="s">
        <v>46952</v>
      </c>
      <c r="U2398" t="s">
        <v>49519</v>
      </c>
      <c r="W2398" t="s">
        <v>42456</v>
      </c>
      <c r="X2398" t="s">
        <v>45098</v>
      </c>
    </row>
    <row r="2399" spans="1:24">
      <c r="A2399">
        <f>HYPERLINK("https://www.philgeps.gov.ph/GEPSNONPILOT/Tender/SplashBidNoticeAbstractUI.aspx?menuIndex=3&amp;refID=7047081&amp;Result=3","7047081")</f>
        <v>0</v>
      </c>
      <c r="B2399" t="s">
        <v>921</v>
      </c>
      <c r="C2399" t="s">
        <v>5497</v>
      </c>
      <c r="D2399" t="s">
        <v>18030</v>
      </c>
      <c r="E2399" t="s">
        <v>20295</v>
      </c>
      <c r="F2399" t="s">
        <v>31574</v>
      </c>
      <c r="G2399" t="s">
        <v>31583</v>
      </c>
      <c r="H2399" t="s">
        <v>31590</v>
      </c>
      <c r="I2399" t="s">
        <v>3487</v>
      </c>
      <c r="J2399" t="s">
        <v>33393</v>
      </c>
      <c r="K2399" t="s">
        <v>41184</v>
      </c>
      <c r="M2399" t="s">
        <v>42447</v>
      </c>
      <c r="N2399" t="s">
        <v>45095</v>
      </c>
      <c r="O2399" t="s">
        <v>45096</v>
      </c>
      <c r="P2399">
        <v>0</v>
      </c>
      <c r="Q2399">
        <v>0</v>
      </c>
      <c r="R2399" t="s">
        <v>45097</v>
      </c>
      <c r="S2399" t="s">
        <v>45222</v>
      </c>
      <c r="T2399" t="s">
        <v>46913</v>
      </c>
      <c r="U2399" t="s">
        <v>49494</v>
      </c>
      <c r="W2399" t="s">
        <v>42447</v>
      </c>
      <c r="X2399" t="s">
        <v>45098</v>
      </c>
    </row>
    <row r="2400" spans="1:24">
      <c r="A2400">
        <f>HYPERLINK("https://www.philgeps.gov.ph/GEPSNONPILOT/Tender/SplashBidNoticeAbstractUI.aspx?menuIndex=3&amp;refID=7047094&amp;Result=3","7047094")</f>
        <v>0</v>
      </c>
      <c r="B2400" t="s">
        <v>930</v>
      </c>
      <c r="C2400" t="s">
        <v>5482</v>
      </c>
      <c r="D2400" t="s">
        <v>18056</v>
      </c>
      <c r="E2400" t="s">
        <v>20296</v>
      </c>
      <c r="F2400" t="s">
        <v>31574</v>
      </c>
      <c r="G2400" t="s">
        <v>31585</v>
      </c>
      <c r="H2400" t="s">
        <v>31590</v>
      </c>
      <c r="I2400" t="s">
        <v>4046</v>
      </c>
      <c r="J2400" t="s">
        <v>33394</v>
      </c>
      <c r="K2400" t="s">
        <v>41196</v>
      </c>
      <c r="M2400" t="s">
        <v>42457</v>
      </c>
      <c r="N2400" t="s">
        <v>45095</v>
      </c>
      <c r="O2400" t="s">
        <v>45096</v>
      </c>
      <c r="P2400">
        <v>0</v>
      </c>
      <c r="Q2400">
        <v>0</v>
      </c>
      <c r="R2400" t="s">
        <v>45097</v>
      </c>
      <c r="S2400" t="s">
        <v>45222</v>
      </c>
      <c r="T2400" t="s">
        <v>46926</v>
      </c>
      <c r="U2400" t="s">
        <v>49520</v>
      </c>
      <c r="W2400" t="s">
        <v>42457</v>
      </c>
      <c r="X2400" t="s">
        <v>45098</v>
      </c>
    </row>
    <row r="2401" spans="1:24">
      <c r="A2401">
        <f>HYPERLINK("https://www.philgeps.gov.ph/GEPSNONPILOT/Tender/SplashBidNoticeAbstractUI.aspx?menuIndex=3&amp;refID=7047100&amp;Result=3","7047100")</f>
        <v>0</v>
      </c>
      <c r="B2401" t="s">
        <v>934</v>
      </c>
      <c r="C2401" t="s">
        <v>5498</v>
      </c>
      <c r="D2401" t="s">
        <v>18057</v>
      </c>
      <c r="E2401" t="s">
        <v>20297</v>
      </c>
      <c r="F2401" t="s">
        <v>31574</v>
      </c>
      <c r="G2401" t="s">
        <v>31581</v>
      </c>
      <c r="H2401" t="s">
        <v>31590</v>
      </c>
      <c r="I2401" t="s">
        <v>3487</v>
      </c>
      <c r="J2401" t="s">
        <v>33395</v>
      </c>
      <c r="K2401" t="s">
        <v>41184</v>
      </c>
      <c r="M2401" t="s">
        <v>42461</v>
      </c>
      <c r="N2401" t="s">
        <v>45095</v>
      </c>
      <c r="O2401" t="s">
        <v>45096</v>
      </c>
      <c r="P2401">
        <v>0</v>
      </c>
      <c r="Q2401">
        <v>0</v>
      </c>
      <c r="R2401" t="s">
        <v>45097</v>
      </c>
      <c r="S2401" t="s">
        <v>45222</v>
      </c>
      <c r="T2401" t="s">
        <v>46918</v>
      </c>
      <c r="U2401" t="s">
        <v>49521</v>
      </c>
      <c r="W2401" t="s">
        <v>42461</v>
      </c>
      <c r="X2401" t="s">
        <v>45098</v>
      </c>
    </row>
    <row r="2402" spans="1:24">
      <c r="A2402">
        <f>HYPERLINK("https://www.philgeps.gov.ph/GEPSNONPILOT/Tender/SplashBidNoticeAbstractUI.aspx?menuIndex=3&amp;refID=7047096&amp;Result=3","7047096")</f>
        <v>0</v>
      </c>
      <c r="B2402" t="s">
        <v>924</v>
      </c>
      <c r="C2402" t="s">
        <v>5499</v>
      </c>
      <c r="E2402" t="s">
        <v>20298</v>
      </c>
      <c r="F2402" t="s">
        <v>31574</v>
      </c>
      <c r="G2402" t="s">
        <v>31581</v>
      </c>
      <c r="H2402" t="s">
        <v>31590</v>
      </c>
      <c r="I2402" t="s">
        <v>31629</v>
      </c>
      <c r="J2402" t="s">
        <v>33396</v>
      </c>
      <c r="K2402" t="s">
        <v>41193</v>
      </c>
      <c r="M2402" t="s">
        <v>42451</v>
      </c>
      <c r="N2402" t="s">
        <v>45095</v>
      </c>
      <c r="O2402" t="s">
        <v>45096</v>
      </c>
      <c r="P2402">
        <v>0</v>
      </c>
      <c r="Q2402">
        <v>0</v>
      </c>
      <c r="R2402" t="s">
        <v>45097</v>
      </c>
      <c r="S2402" t="s">
        <v>45222</v>
      </c>
      <c r="T2402" t="s">
        <v>46913</v>
      </c>
      <c r="U2402" t="s">
        <v>49522</v>
      </c>
      <c r="V2402" t="s">
        <v>60076</v>
      </c>
      <c r="W2402" t="s">
        <v>42451</v>
      </c>
      <c r="X2402" t="s">
        <v>45098</v>
      </c>
    </row>
    <row r="2403" spans="1:24">
      <c r="A2403">
        <f>HYPERLINK("https://www.philgeps.gov.ph/GEPSNONPILOT/Tender/SplashBidNoticeAbstractUI.aspx?menuIndex=3&amp;refID=7047107&amp;Result=3","7047107")</f>
        <v>0</v>
      </c>
      <c r="B2403" t="s">
        <v>909</v>
      </c>
      <c r="C2403" t="s">
        <v>5500</v>
      </c>
      <c r="D2403" t="s">
        <v>18041</v>
      </c>
      <c r="E2403" t="s">
        <v>18368</v>
      </c>
      <c r="F2403" t="s">
        <v>31574</v>
      </c>
      <c r="G2403" t="s">
        <v>31581</v>
      </c>
      <c r="H2403" t="s">
        <v>31593</v>
      </c>
      <c r="I2403" t="s">
        <v>31623</v>
      </c>
      <c r="J2403" t="s">
        <v>33397</v>
      </c>
      <c r="K2403" t="s">
        <v>41213</v>
      </c>
      <c r="M2403" t="s">
        <v>42433</v>
      </c>
      <c r="N2403" t="s">
        <v>45095</v>
      </c>
      <c r="O2403" t="s">
        <v>45096</v>
      </c>
      <c r="P2403">
        <v>0</v>
      </c>
      <c r="Q2403">
        <v>0</v>
      </c>
      <c r="R2403" t="s">
        <v>45097</v>
      </c>
      <c r="S2403" t="s">
        <v>45222</v>
      </c>
      <c r="T2403" t="s">
        <v>46911</v>
      </c>
      <c r="U2403" t="s">
        <v>49523</v>
      </c>
      <c r="W2403" t="s">
        <v>42433</v>
      </c>
      <c r="X2403" t="s">
        <v>45098</v>
      </c>
    </row>
    <row r="2404" spans="1:24">
      <c r="A2404">
        <f>HYPERLINK("https://www.philgeps.gov.ph/GEPSNONPILOT/Tender/SplashBidNoticeAbstractUI.aspx?menuIndex=3&amp;refID=7047102&amp;Result=3","7047102")</f>
        <v>0</v>
      </c>
      <c r="B2404" t="s">
        <v>913</v>
      </c>
      <c r="C2404" t="s">
        <v>5501</v>
      </c>
      <c r="D2404" t="s">
        <v>18079</v>
      </c>
      <c r="E2404" t="s">
        <v>20299</v>
      </c>
      <c r="F2404" t="s">
        <v>31574</v>
      </c>
      <c r="G2404" t="s">
        <v>31581</v>
      </c>
      <c r="H2404" t="s">
        <v>31590</v>
      </c>
      <c r="I2404" t="s">
        <v>31686</v>
      </c>
      <c r="J2404" t="s">
        <v>33398</v>
      </c>
      <c r="K2404" t="s">
        <v>41186</v>
      </c>
      <c r="M2404" t="s">
        <v>42437</v>
      </c>
      <c r="N2404" t="s">
        <v>45095</v>
      </c>
      <c r="O2404" t="s">
        <v>45096</v>
      </c>
      <c r="P2404">
        <v>0</v>
      </c>
      <c r="Q2404">
        <v>0</v>
      </c>
      <c r="R2404" t="s">
        <v>45097</v>
      </c>
      <c r="S2404" t="s">
        <v>45222</v>
      </c>
      <c r="T2404" t="s">
        <v>46913</v>
      </c>
      <c r="U2404" t="s">
        <v>49524</v>
      </c>
      <c r="W2404" t="s">
        <v>42437</v>
      </c>
      <c r="X2404" t="s">
        <v>45098</v>
      </c>
    </row>
    <row r="2405" spans="1:24">
      <c r="A2405">
        <f>HYPERLINK("https://www.philgeps.gov.ph/GEPSNONPILOT/Tender/SplashBidNoticeAbstractUI.aspx?menuIndex=3&amp;refID=7047105&amp;Result=3","7047105")</f>
        <v>0</v>
      </c>
      <c r="B2405" t="s">
        <v>913</v>
      </c>
      <c r="C2405" t="s">
        <v>5501</v>
      </c>
      <c r="D2405" t="s">
        <v>18079</v>
      </c>
      <c r="E2405" t="s">
        <v>20300</v>
      </c>
      <c r="F2405" t="s">
        <v>31574</v>
      </c>
      <c r="G2405" t="s">
        <v>31581</v>
      </c>
      <c r="H2405" t="s">
        <v>31590</v>
      </c>
      <c r="I2405" t="s">
        <v>31686</v>
      </c>
      <c r="J2405" t="s">
        <v>33399</v>
      </c>
      <c r="K2405" t="s">
        <v>41186</v>
      </c>
      <c r="M2405" t="s">
        <v>42437</v>
      </c>
      <c r="N2405" t="s">
        <v>45095</v>
      </c>
      <c r="O2405" t="s">
        <v>45096</v>
      </c>
      <c r="P2405">
        <v>0</v>
      </c>
      <c r="Q2405">
        <v>0</v>
      </c>
      <c r="R2405" t="s">
        <v>45097</v>
      </c>
      <c r="S2405" t="s">
        <v>45222</v>
      </c>
      <c r="T2405" t="s">
        <v>46911</v>
      </c>
      <c r="U2405" t="s">
        <v>49524</v>
      </c>
      <c r="W2405" t="s">
        <v>42437</v>
      </c>
      <c r="X2405" t="s">
        <v>45098</v>
      </c>
    </row>
    <row r="2406" spans="1:24">
      <c r="A2406">
        <f>HYPERLINK("https://www.philgeps.gov.ph/GEPSNONPILOT/Tender/SplashBidNoticeAbstractUI.aspx?menuIndex=3&amp;refID=7047120&amp;Result=3","7047120")</f>
        <v>0</v>
      </c>
      <c r="B2406" t="s">
        <v>908</v>
      </c>
      <c r="C2406" t="s">
        <v>5502</v>
      </c>
      <c r="D2406" t="s">
        <v>18066</v>
      </c>
      <c r="E2406" t="s">
        <v>20301</v>
      </c>
      <c r="F2406" t="s">
        <v>31574</v>
      </c>
      <c r="G2406" t="s">
        <v>31582</v>
      </c>
      <c r="H2406" t="s">
        <v>31591</v>
      </c>
      <c r="I2406" t="s">
        <v>8822</v>
      </c>
      <c r="J2406" t="s">
        <v>33400</v>
      </c>
      <c r="K2406" t="s">
        <v>41282</v>
      </c>
      <c r="M2406" t="s">
        <v>42432</v>
      </c>
      <c r="N2406" t="s">
        <v>45095</v>
      </c>
      <c r="O2406" t="s">
        <v>45096</v>
      </c>
      <c r="P2406">
        <v>0</v>
      </c>
      <c r="Q2406">
        <v>0</v>
      </c>
      <c r="R2406" t="s">
        <v>45097</v>
      </c>
      <c r="S2406" t="s">
        <v>45222</v>
      </c>
      <c r="T2406" t="s">
        <v>46914</v>
      </c>
      <c r="U2406" t="s">
        <v>49525</v>
      </c>
      <c r="W2406" t="s">
        <v>42439</v>
      </c>
      <c r="X2406" t="s">
        <v>45098</v>
      </c>
    </row>
    <row r="2407" spans="1:24">
      <c r="A2407">
        <f>HYPERLINK("https://www.philgeps.gov.ph/GEPSNONPILOT/Tender/SplashBidNoticeAbstractUI.aspx?menuIndex=3&amp;refID=7047117&amp;Result=3","7047117")</f>
        <v>0</v>
      </c>
      <c r="B2407" t="s">
        <v>934</v>
      </c>
      <c r="C2407" t="s">
        <v>5503</v>
      </c>
      <c r="D2407" t="s">
        <v>18057</v>
      </c>
      <c r="E2407" t="s">
        <v>20302</v>
      </c>
      <c r="F2407" t="s">
        <v>31574</v>
      </c>
      <c r="G2407" t="s">
        <v>31581</v>
      </c>
      <c r="H2407" t="s">
        <v>31590</v>
      </c>
      <c r="I2407" t="s">
        <v>8258</v>
      </c>
      <c r="J2407" t="s">
        <v>33401</v>
      </c>
      <c r="K2407" t="s">
        <v>41184</v>
      </c>
      <c r="M2407" t="s">
        <v>42461</v>
      </c>
      <c r="N2407" t="s">
        <v>45095</v>
      </c>
      <c r="O2407" t="s">
        <v>45096</v>
      </c>
      <c r="P2407">
        <v>0</v>
      </c>
      <c r="Q2407">
        <v>0</v>
      </c>
      <c r="R2407" t="s">
        <v>45097</v>
      </c>
      <c r="S2407" t="s">
        <v>45222</v>
      </c>
      <c r="T2407" t="s">
        <v>46918</v>
      </c>
      <c r="U2407" t="s">
        <v>49526</v>
      </c>
      <c r="W2407" t="s">
        <v>42461</v>
      </c>
      <c r="X2407" t="s">
        <v>45098</v>
      </c>
    </row>
    <row r="2408" spans="1:24">
      <c r="A2408">
        <f>HYPERLINK("https://www.philgeps.gov.ph/GEPSNONPILOT/Tender/SplashBidNoticeAbstractUI.aspx?menuIndex=3&amp;refID=7047119&amp;Result=3","7047119")</f>
        <v>0</v>
      </c>
      <c r="B2408" t="s">
        <v>935</v>
      </c>
      <c r="C2408" t="s">
        <v>5504</v>
      </c>
      <c r="D2408" t="s">
        <v>18075</v>
      </c>
      <c r="E2408" t="s">
        <v>20303</v>
      </c>
      <c r="F2408" t="s">
        <v>31574</v>
      </c>
      <c r="G2408" t="s">
        <v>31583</v>
      </c>
      <c r="H2408" t="s">
        <v>31590</v>
      </c>
      <c r="I2408" t="s">
        <v>31608</v>
      </c>
      <c r="J2408" t="s">
        <v>33402</v>
      </c>
      <c r="K2408" t="s">
        <v>41184</v>
      </c>
      <c r="M2408" t="s">
        <v>42462</v>
      </c>
      <c r="N2408" t="s">
        <v>45095</v>
      </c>
      <c r="O2408" t="s">
        <v>45096</v>
      </c>
      <c r="P2408">
        <v>0</v>
      </c>
      <c r="Q2408">
        <v>0</v>
      </c>
      <c r="R2408" t="s">
        <v>45097</v>
      </c>
      <c r="S2408" t="s">
        <v>45222</v>
      </c>
      <c r="T2408" t="s">
        <v>47106</v>
      </c>
      <c r="U2408" t="s">
        <v>49527</v>
      </c>
      <c r="V2408" t="s">
        <v>60079</v>
      </c>
      <c r="W2408" t="s">
        <v>42462</v>
      </c>
      <c r="X2408" t="s">
        <v>45098</v>
      </c>
    </row>
    <row r="2409" spans="1:24">
      <c r="A2409">
        <f>HYPERLINK("https://www.philgeps.gov.ph/GEPSNONPILOT/Tender/SplashBidNoticeAbstractUI.aspx?menuIndex=3&amp;refID=7047104&amp;Result=3","7047104")</f>
        <v>0</v>
      </c>
      <c r="B2409" t="s">
        <v>930</v>
      </c>
      <c r="C2409" t="s">
        <v>5482</v>
      </c>
      <c r="D2409" t="s">
        <v>18056</v>
      </c>
      <c r="E2409" t="s">
        <v>20304</v>
      </c>
      <c r="F2409" t="s">
        <v>31574</v>
      </c>
      <c r="G2409" t="s">
        <v>31585</v>
      </c>
      <c r="H2409" t="s">
        <v>31590</v>
      </c>
      <c r="I2409" t="s">
        <v>4046</v>
      </c>
      <c r="J2409" t="s">
        <v>33403</v>
      </c>
      <c r="K2409" t="s">
        <v>41196</v>
      </c>
      <c r="M2409" t="s">
        <v>42457</v>
      </c>
      <c r="N2409" t="s">
        <v>45095</v>
      </c>
      <c r="O2409" t="s">
        <v>45096</v>
      </c>
      <c r="P2409">
        <v>0</v>
      </c>
      <c r="Q2409">
        <v>0</v>
      </c>
      <c r="R2409" t="s">
        <v>45097</v>
      </c>
      <c r="S2409" t="s">
        <v>45222</v>
      </c>
      <c r="T2409" t="s">
        <v>46926</v>
      </c>
      <c r="U2409" t="s">
        <v>49528</v>
      </c>
      <c r="W2409" t="s">
        <v>42457</v>
      </c>
      <c r="X2409" t="s">
        <v>45098</v>
      </c>
    </row>
    <row r="2410" spans="1:24">
      <c r="A2410">
        <f>HYPERLINK("https://www.philgeps.gov.ph/GEPSNONPILOT/Tender/SplashBidNoticeAbstractUI.aspx?menuIndex=3&amp;refID=7047116&amp;Result=3","7047116")</f>
        <v>0</v>
      </c>
      <c r="B2410" t="s">
        <v>936</v>
      </c>
      <c r="C2410" t="s">
        <v>5505</v>
      </c>
      <c r="D2410" t="s">
        <v>18022</v>
      </c>
      <c r="E2410" t="s">
        <v>20305</v>
      </c>
      <c r="F2410" t="s">
        <v>31574</v>
      </c>
      <c r="G2410" t="s">
        <v>31581</v>
      </c>
      <c r="H2410" t="s">
        <v>31590</v>
      </c>
      <c r="I2410" t="s">
        <v>3487</v>
      </c>
      <c r="J2410" t="s">
        <v>32077</v>
      </c>
      <c r="K2410" t="s">
        <v>41213</v>
      </c>
      <c r="M2410" t="s">
        <v>42463</v>
      </c>
      <c r="N2410" t="s">
        <v>45095</v>
      </c>
      <c r="O2410" t="s">
        <v>45096</v>
      </c>
      <c r="P2410">
        <v>0</v>
      </c>
      <c r="Q2410">
        <v>0</v>
      </c>
      <c r="R2410" t="s">
        <v>45097</v>
      </c>
      <c r="S2410" t="s">
        <v>45222</v>
      </c>
      <c r="T2410" t="s">
        <v>47116</v>
      </c>
      <c r="U2410" t="s">
        <v>49529</v>
      </c>
      <c r="V2410" t="s">
        <v>49529</v>
      </c>
      <c r="W2410" t="s">
        <v>42463</v>
      </c>
      <c r="X2410" t="s">
        <v>45098</v>
      </c>
    </row>
    <row r="2411" spans="1:24">
      <c r="A2411">
        <f>HYPERLINK("https://www.philgeps.gov.ph/GEPSNONPILOT/Tender/SplashBidNoticeAbstractUI.aspx?menuIndex=3&amp;refID=7047121&amp;Result=3","7047121")</f>
        <v>0</v>
      </c>
      <c r="B2411" t="s">
        <v>937</v>
      </c>
      <c r="C2411" t="s">
        <v>5043</v>
      </c>
      <c r="D2411" t="s">
        <v>18025</v>
      </c>
      <c r="E2411" t="s">
        <v>20306</v>
      </c>
      <c r="F2411" t="s">
        <v>31574</v>
      </c>
      <c r="G2411" t="s">
        <v>31584</v>
      </c>
      <c r="H2411" t="s">
        <v>31590</v>
      </c>
      <c r="I2411" t="s">
        <v>6800</v>
      </c>
      <c r="J2411" t="s">
        <v>31842</v>
      </c>
      <c r="K2411" t="s">
        <v>41193</v>
      </c>
      <c r="M2411" t="s">
        <v>42464</v>
      </c>
      <c r="N2411" t="s">
        <v>45095</v>
      </c>
      <c r="O2411" t="s">
        <v>45096</v>
      </c>
      <c r="P2411">
        <v>0</v>
      </c>
      <c r="Q2411">
        <v>0</v>
      </c>
      <c r="R2411" t="s">
        <v>45097</v>
      </c>
      <c r="S2411" t="s">
        <v>45222</v>
      </c>
      <c r="T2411" t="s">
        <v>46911</v>
      </c>
      <c r="U2411" t="s">
        <v>49530</v>
      </c>
      <c r="W2411" t="s">
        <v>42464</v>
      </c>
      <c r="X2411" t="s">
        <v>45098</v>
      </c>
    </row>
    <row r="2412" spans="1:24">
      <c r="A2412">
        <f>HYPERLINK("https://www.philgeps.gov.ph/GEPSNONPILOT/Tender/SplashBidNoticeAbstractUI.aspx?menuIndex=3&amp;refID=7047103&amp;Result=3","7047103")</f>
        <v>0</v>
      </c>
      <c r="B2412" t="s">
        <v>929</v>
      </c>
      <c r="C2412" t="s">
        <v>5506</v>
      </c>
      <c r="D2412" t="s">
        <v>18025</v>
      </c>
      <c r="E2412" t="s">
        <v>20307</v>
      </c>
      <c r="F2412" t="s">
        <v>31574</v>
      </c>
      <c r="G2412" t="s">
        <v>31581</v>
      </c>
      <c r="H2412" t="s">
        <v>31590</v>
      </c>
      <c r="I2412" t="s">
        <v>31600</v>
      </c>
      <c r="J2412" t="s">
        <v>33404</v>
      </c>
      <c r="K2412" t="s">
        <v>41193</v>
      </c>
      <c r="M2412" t="s">
        <v>42456</v>
      </c>
      <c r="N2412" t="s">
        <v>45095</v>
      </c>
      <c r="O2412" t="s">
        <v>45096</v>
      </c>
      <c r="P2412">
        <v>0</v>
      </c>
      <c r="Q2412">
        <v>0</v>
      </c>
      <c r="R2412" t="s">
        <v>45097</v>
      </c>
      <c r="S2412" t="s">
        <v>45222</v>
      </c>
      <c r="T2412" t="s">
        <v>46952</v>
      </c>
      <c r="U2412" t="s">
        <v>49531</v>
      </c>
      <c r="W2412" t="s">
        <v>42456</v>
      </c>
      <c r="X2412" t="s">
        <v>45098</v>
      </c>
    </row>
    <row r="2413" spans="1:24">
      <c r="A2413">
        <f>HYPERLINK("https://www.philgeps.gov.ph/GEPSNONPILOT/Tender/SplashBidNoticeAbstractUI.aspx?menuIndex=3&amp;refID=7047112&amp;Result=3","7047112")</f>
        <v>0</v>
      </c>
      <c r="B2413" t="s">
        <v>913</v>
      </c>
      <c r="C2413" t="s">
        <v>5507</v>
      </c>
      <c r="D2413" t="s">
        <v>18079</v>
      </c>
      <c r="E2413" t="s">
        <v>20308</v>
      </c>
      <c r="F2413" t="s">
        <v>31574</v>
      </c>
      <c r="G2413" t="s">
        <v>31581</v>
      </c>
      <c r="H2413" t="s">
        <v>31590</v>
      </c>
      <c r="I2413" t="s">
        <v>31686</v>
      </c>
      <c r="J2413" t="s">
        <v>33405</v>
      </c>
      <c r="K2413" t="s">
        <v>41186</v>
      </c>
      <c r="M2413" t="s">
        <v>42437</v>
      </c>
      <c r="N2413" t="s">
        <v>45095</v>
      </c>
      <c r="O2413" t="s">
        <v>45096</v>
      </c>
      <c r="P2413">
        <v>0</v>
      </c>
      <c r="Q2413">
        <v>0</v>
      </c>
      <c r="R2413" t="s">
        <v>45097</v>
      </c>
      <c r="S2413" t="s">
        <v>45222</v>
      </c>
      <c r="T2413" t="s">
        <v>46913</v>
      </c>
      <c r="U2413" t="s">
        <v>49532</v>
      </c>
      <c r="W2413" t="s">
        <v>42437</v>
      </c>
      <c r="X2413" t="s">
        <v>45098</v>
      </c>
    </row>
    <row r="2414" spans="1:24">
      <c r="A2414">
        <f>HYPERLINK("https://www.philgeps.gov.ph/GEPSNONPILOT/Tender/SplashBidNoticeAbstractUI.aspx?menuIndex=3&amp;refID=7047122&amp;Result=3","7047122")</f>
        <v>0</v>
      </c>
      <c r="B2414" t="s">
        <v>935</v>
      </c>
      <c r="C2414" t="s">
        <v>5504</v>
      </c>
      <c r="D2414" t="s">
        <v>18075</v>
      </c>
      <c r="E2414" t="s">
        <v>20309</v>
      </c>
      <c r="F2414" t="s">
        <v>31574</v>
      </c>
      <c r="G2414" t="s">
        <v>31583</v>
      </c>
      <c r="H2414" t="s">
        <v>31590</v>
      </c>
      <c r="I2414" t="s">
        <v>31608</v>
      </c>
      <c r="J2414" t="s">
        <v>33406</v>
      </c>
      <c r="K2414" t="s">
        <v>41184</v>
      </c>
      <c r="M2414" t="s">
        <v>42462</v>
      </c>
      <c r="N2414" t="s">
        <v>45095</v>
      </c>
      <c r="O2414" t="s">
        <v>45096</v>
      </c>
      <c r="P2414">
        <v>0</v>
      </c>
      <c r="Q2414">
        <v>0</v>
      </c>
      <c r="R2414" t="s">
        <v>45097</v>
      </c>
      <c r="S2414" t="s">
        <v>45222</v>
      </c>
      <c r="T2414" t="s">
        <v>47106</v>
      </c>
      <c r="U2414" t="s">
        <v>49527</v>
      </c>
      <c r="V2414" t="s">
        <v>60079</v>
      </c>
      <c r="W2414" t="s">
        <v>42462</v>
      </c>
      <c r="X2414" t="s">
        <v>45098</v>
      </c>
    </row>
    <row r="2415" spans="1:24">
      <c r="A2415">
        <f>HYPERLINK("https://www.philgeps.gov.ph/GEPSNONPILOT/Tender/SplashBidNoticeAbstractUI.aspx?menuIndex=3&amp;refID=7047108&amp;Result=3","7047108")</f>
        <v>0</v>
      </c>
      <c r="B2415" t="s">
        <v>929</v>
      </c>
      <c r="C2415" t="s">
        <v>5508</v>
      </c>
      <c r="D2415" t="s">
        <v>18025</v>
      </c>
      <c r="E2415" t="s">
        <v>20310</v>
      </c>
      <c r="F2415" t="s">
        <v>31574</v>
      </c>
      <c r="G2415" t="s">
        <v>31584</v>
      </c>
      <c r="H2415" t="s">
        <v>31590</v>
      </c>
      <c r="I2415" t="s">
        <v>4327</v>
      </c>
      <c r="J2415" t="s">
        <v>33407</v>
      </c>
      <c r="K2415" t="s">
        <v>41193</v>
      </c>
      <c r="M2415" t="s">
        <v>42456</v>
      </c>
      <c r="N2415" t="s">
        <v>45095</v>
      </c>
      <c r="O2415" t="s">
        <v>45096</v>
      </c>
      <c r="P2415">
        <v>0</v>
      </c>
      <c r="Q2415">
        <v>0</v>
      </c>
      <c r="R2415" t="s">
        <v>45097</v>
      </c>
      <c r="S2415" t="s">
        <v>45222</v>
      </c>
      <c r="T2415" t="s">
        <v>46952</v>
      </c>
      <c r="U2415" t="s">
        <v>49533</v>
      </c>
      <c r="W2415" t="s">
        <v>42456</v>
      </c>
      <c r="X2415" t="s">
        <v>45098</v>
      </c>
    </row>
    <row r="2416" spans="1:24">
      <c r="A2416">
        <f>HYPERLINK("https://www.philgeps.gov.ph/GEPSNONPILOT/Tender/SplashBidNoticeAbstractUI.aspx?menuIndex=3&amp;refID=7047113&amp;Result=3","7047113")</f>
        <v>0</v>
      </c>
      <c r="B2416" t="s">
        <v>938</v>
      </c>
      <c r="C2416" t="s">
        <v>5509</v>
      </c>
      <c r="D2416" t="s">
        <v>18084</v>
      </c>
      <c r="E2416" t="s">
        <v>20311</v>
      </c>
      <c r="F2416" t="s">
        <v>31574</v>
      </c>
      <c r="G2416" t="s">
        <v>31581</v>
      </c>
      <c r="H2416" t="s">
        <v>31590</v>
      </c>
      <c r="I2416" t="s">
        <v>31608</v>
      </c>
      <c r="J2416" t="s">
        <v>31780</v>
      </c>
      <c r="K2416" t="s">
        <v>41211</v>
      </c>
      <c r="M2416" t="s">
        <v>42465</v>
      </c>
      <c r="N2416" t="s">
        <v>45095</v>
      </c>
      <c r="O2416" t="s">
        <v>45096</v>
      </c>
      <c r="P2416">
        <v>0</v>
      </c>
      <c r="Q2416">
        <v>0</v>
      </c>
      <c r="R2416" t="s">
        <v>45097</v>
      </c>
      <c r="S2416" t="s">
        <v>45222</v>
      </c>
      <c r="T2416" t="s">
        <v>46911</v>
      </c>
      <c r="U2416" t="s">
        <v>49534</v>
      </c>
      <c r="W2416" t="s">
        <v>42465</v>
      </c>
      <c r="X2416" t="s">
        <v>45098</v>
      </c>
    </row>
    <row r="2417" spans="1:24">
      <c r="A2417">
        <f>HYPERLINK("https://www.philgeps.gov.ph/GEPSNONPILOT/Tender/SplashBidNoticeAbstractUI.aspx?menuIndex=3&amp;refID=7047109&amp;Result=3","7047109")</f>
        <v>0</v>
      </c>
      <c r="B2417" t="s">
        <v>936</v>
      </c>
      <c r="C2417" t="s">
        <v>5510</v>
      </c>
      <c r="D2417" t="s">
        <v>18022</v>
      </c>
      <c r="E2417" t="s">
        <v>20305</v>
      </c>
      <c r="F2417" t="s">
        <v>31574</v>
      </c>
      <c r="G2417" t="s">
        <v>31581</v>
      </c>
      <c r="H2417" t="s">
        <v>31590</v>
      </c>
      <c r="I2417" t="s">
        <v>3487</v>
      </c>
      <c r="J2417" t="s">
        <v>32368</v>
      </c>
      <c r="K2417" t="s">
        <v>41213</v>
      </c>
      <c r="M2417" t="s">
        <v>42463</v>
      </c>
      <c r="N2417" t="s">
        <v>45095</v>
      </c>
      <c r="O2417" t="s">
        <v>45096</v>
      </c>
      <c r="P2417">
        <v>0</v>
      </c>
      <c r="Q2417">
        <v>0</v>
      </c>
      <c r="R2417" t="s">
        <v>45097</v>
      </c>
      <c r="S2417" t="s">
        <v>45222</v>
      </c>
      <c r="T2417" t="s">
        <v>47116</v>
      </c>
      <c r="U2417" t="s">
        <v>49535</v>
      </c>
      <c r="V2417" t="s">
        <v>49535</v>
      </c>
      <c r="W2417" t="s">
        <v>42463</v>
      </c>
      <c r="X2417" t="s">
        <v>45098</v>
      </c>
    </row>
    <row r="2418" spans="1:24">
      <c r="A2418">
        <f>HYPERLINK("https://www.philgeps.gov.ph/GEPSNONPILOT/Tender/SplashBidNoticeAbstractUI.aspx?menuIndex=3&amp;refID=7047115&amp;Result=3","7047115")</f>
        <v>0</v>
      </c>
      <c r="B2418" t="s">
        <v>939</v>
      </c>
      <c r="C2418" t="s">
        <v>5511</v>
      </c>
      <c r="D2418" t="s">
        <v>18037</v>
      </c>
      <c r="E2418" t="s">
        <v>20312</v>
      </c>
      <c r="F2418" t="s">
        <v>31574</v>
      </c>
      <c r="G2418" t="s">
        <v>31581</v>
      </c>
      <c r="H2418" t="s">
        <v>31590</v>
      </c>
      <c r="I2418" t="s">
        <v>3487</v>
      </c>
      <c r="J2418" t="s">
        <v>31727</v>
      </c>
      <c r="K2418" t="s">
        <v>41197</v>
      </c>
      <c r="M2418" t="s">
        <v>42466</v>
      </c>
      <c r="N2418" t="s">
        <v>45095</v>
      </c>
      <c r="O2418" t="s">
        <v>45096</v>
      </c>
      <c r="P2418">
        <v>0</v>
      </c>
      <c r="Q2418">
        <v>0</v>
      </c>
      <c r="R2418" t="s">
        <v>45097</v>
      </c>
      <c r="S2418" t="s">
        <v>45222</v>
      </c>
      <c r="T2418" t="s">
        <v>47002</v>
      </c>
      <c r="U2418" t="s">
        <v>49536</v>
      </c>
      <c r="W2418" t="s">
        <v>42466</v>
      </c>
      <c r="X2418" t="s">
        <v>45098</v>
      </c>
    </row>
    <row r="2419" spans="1:24">
      <c r="A2419">
        <f>HYPERLINK("https://www.philgeps.gov.ph/GEPSNONPILOT/Tender/SplashBidNoticeAbstractUI.aspx?menuIndex=3&amp;refID=7047106&amp;Result=3","7047106")</f>
        <v>0</v>
      </c>
      <c r="B2419" t="s">
        <v>423</v>
      </c>
      <c r="C2419" t="s">
        <v>5512</v>
      </c>
      <c r="D2419" t="s">
        <v>18092</v>
      </c>
      <c r="E2419" t="s">
        <v>20313</v>
      </c>
      <c r="F2419" t="s">
        <v>31574</v>
      </c>
      <c r="G2419" t="s">
        <v>31581</v>
      </c>
      <c r="H2419" t="s">
        <v>31590</v>
      </c>
      <c r="I2419" t="s">
        <v>5717</v>
      </c>
      <c r="J2419" t="s">
        <v>31930</v>
      </c>
      <c r="K2419" t="s">
        <v>41193</v>
      </c>
      <c r="M2419" t="s">
        <v>41915</v>
      </c>
      <c r="N2419" t="s">
        <v>45095</v>
      </c>
      <c r="O2419" t="s">
        <v>45096</v>
      </c>
      <c r="P2419">
        <v>0</v>
      </c>
      <c r="Q2419">
        <v>0</v>
      </c>
      <c r="R2419" t="s">
        <v>45097</v>
      </c>
      <c r="S2419" t="s">
        <v>45222</v>
      </c>
      <c r="T2419" t="s">
        <v>46984</v>
      </c>
      <c r="U2419" t="s">
        <v>49537</v>
      </c>
      <c r="W2419" t="s">
        <v>41915</v>
      </c>
      <c r="X2419" t="s">
        <v>45098</v>
      </c>
    </row>
    <row r="2420" spans="1:24">
      <c r="A2420">
        <f>HYPERLINK("https://www.philgeps.gov.ph/GEPSNONPILOT/Tender/SplashBidNoticeAbstractUI.aspx?menuIndex=3&amp;refID=7047111&amp;Result=3","7047111")</f>
        <v>0</v>
      </c>
      <c r="B2420" t="s">
        <v>934</v>
      </c>
      <c r="C2420" t="s">
        <v>5513</v>
      </c>
      <c r="D2420" t="s">
        <v>18057</v>
      </c>
      <c r="E2420" t="s">
        <v>20314</v>
      </c>
      <c r="F2420" t="s">
        <v>31574</v>
      </c>
      <c r="G2420" t="s">
        <v>31581</v>
      </c>
      <c r="H2420" t="s">
        <v>31590</v>
      </c>
      <c r="I2420" t="s">
        <v>3487</v>
      </c>
      <c r="J2420" t="s">
        <v>33408</v>
      </c>
      <c r="K2420" t="s">
        <v>41184</v>
      </c>
      <c r="M2420" t="s">
        <v>42461</v>
      </c>
      <c r="N2420" t="s">
        <v>45095</v>
      </c>
      <c r="O2420" t="s">
        <v>45096</v>
      </c>
      <c r="P2420">
        <v>0</v>
      </c>
      <c r="Q2420">
        <v>0</v>
      </c>
      <c r="R2420" t="s">
        <v>45097</v>
      </c>
      <c r="S2420" t="s">
        <v>45222</v>
      </c>
      <c r="T2420" t="s">
        <v>46918</v>
      </c>
      <c r="U2420" t="s">
        <v>49538</v>
      </c>
      <c r="W2420" t="s">
        <v>42461</v>
      </c>
      <c r="X2420" t="s">
        <v>45098</v>
      </c>
    </row>
    <row r="2421" spans="1:24">
      <c r="A2421">
        <f>HYPERLINK("https://www.philgeps.gov.ph/GEPSNONPILOT/Tender/SplashBidNoticeAbstractUI.aspx?menuIndex=3&amp;refID=7047123&amp;Result=3","7047123")</f>
        <v>0</v>
      </c>
      <c r="B2421" t="s">
        <v>935</v>
      </c>
      <c r="C2421" t="s">
        <v>5514</v>
      </c>
      <c r="D2421" t="s">
        <v>18075</v>
      </c>
      <c r="E2421" t="s">
        <v>20315</v>
      </c>
      <c r="F2421" t="s">
        <v>31574</v>
      </c>
      <c r="G2421" t="s">
        <v>31583</v>
      </c>
      <c r="H2421" t="s">
        <v>31590</v>
      </c>
      <c r="I2421" t="s">
        <v>31608</v>
      </c>
      <c r="J2421" t="s">
        <v>33409</v>
      </c>
      <c r="K2421" t="s">
        <v>41184</v>
      </c>
      <c r="M2421" t="s">
        <v>42462</v>
      </c>
      <c r="N2421" t="s">
        <v>45095</v>
      </c>
      <c r="O2421" t="s">
        <v>45096</v>
      </c>
      <c r="P2421">
        <v>0</v>
      </c>
      <c r="Q2421">
        <v>0</v>
      </c>
      <c r="R2421" t="s">
        <v>45097</v>
      </c>
      <c r="S2421" t="s">
        <v>45222</v>
      </c>
      <c r="T2421" t="s">
        <v>47106</v>
      </c>
      <c r="U2421" t="s">
        <v>49539</v>
      </c>
      <c r="V2421" t="s">
        <v>60079</v>
      </c>
      <c r="W2421" t="s">
        <v>42462</v>
      </c>
      <c r="X2421" t="s">
        <v>45098</v>
      </c>
    </row>
    <row r="2422" spans="1:24">
      <c r="A2422">
        <f>HYPERLINK("https://www.philgeps.gov.ph/GEPSNONPILOT/Tender/SplashBidNoticeAbstractUI.aspx?menuIndex=3&amp;refID=7047114&amp;Result=3","7047114")</f>
        <v>0</v>
      </c>
      <c r="B2422" t="s">
        <v>935</v>
      </c>
      <c r="C2422" t="s">
        <v>5515</v>
      </c>
      <c r="D2422" t="s">
        <v>18075</v>
      </c>
      <c r="E2422" t="s">
        <v>20316</v>
      </c>
      <c r="F2422" t="s">
        <v>31574</v>
      </c>
      <c r="G2422" t="s">
        <v>31583</v>
      </c>
      <c r="H2422" t="s">
        <v>31590</v>
      </c>
      <c r="I2422" t="s">
        <v>5717</v>
      </c>
      <c r="J2422" t="s">
        <v>32621</v>
      </c>
      <c r="K2422" t="s">
        <v>41184</v>
      </c>
      <c r="M2422" t="s">
        <v>42462</v>
      </c>
      <c r="N2422" t="s">
        <v>45095</v>
      </c>
      <c r="O2422" t="s">
        <v>45096</v>
      </c>
      <c r="P2422">
        <v>0</v>
      </c>
      <c r="Q2422">
        <v>0</v>
      </c>
      <c r="R2422" t="s">
        <v>45097</v>
      </c>
      <c r="S2422" t="s">
        <v>45222</v>
      </c>
      <c r="T2422" t="s">
        <v>47106</v>
      </c>
      <c r="U2422" t="s">
        <v>49540</v>
      </c>
      <c r="V2422" t="s">
        <v>60079</v>
      </c>
      <c r="W2422" t="s">
        <v>42462</v>
      </c>
      <c r="X2422" t="s">
        <v>45098</v>
      </c>
    </row>
    <row r="2423" spans="1:24">
      <c r="A2423">
        <f>HYPERLINK("https://www.philgeps.gov.ph/GEPSNONPILOT/Tender/SplashBidNoticeAbstractUI.aspx?menuIndex=3&amp;refID=7047132&amp;Result=3","7047132")</f>
        <v>0</v>
      </c>
      <c r="B2423" t="s">
        <v>940</v>
      </c>
      <c r="C2423" t="s">
        <v>5516</v>
      </c>
      <c r="D2423" t="s">
        <v>18043</v>
      </c>
      <c r="E2423" t="s">
        <v>18422</v>
      </c>
      <c r="F2423" t="s">
        <v>31574</v>
      </c>
      <c r="G2423" t="s">
        <v>31581</v>
      </c>
      <c r="H2423" t="s">
        <v>31590</v>
      </c>
      <c r="I2423" t="s">
        <v>5717</v>
      </c>
      <c r="J2423" t="s">
        <v>31726</v>
      </c>
      <c r="K2423" t="s">
        <v>41197</v>
      </c>
      <c r="M2423" t="s">
        <v>42467</v>
      </c>
      <c r="N2423" t="s">
        <v>45095</v>
      </c>
      <c r="O2423" t="s">
        <v>45096</v>
      </c>
      <c r="P2423">
        <v>0</v>
      </c>
      <c r="Q2423">
        <v>0</v>
      </c>
      <c r="R2423" t="s">
        <v>45097</v>
      </c>
      <c r="S2423" t="s">
        <v>45222</v>
      </c>
      <c r="T2423" t="s">
        <v>46904</v>
      </c>
      <c r="U2423" t="s">
        <v>49541</v>
      </c>
      <c r="W2423" t="s">
        <v>42467</v>
      </c>
      <c r="X2423" t="s">
        <v>45098</v>
      </c>
    </row>
    <row r="2424" spans="1:24">
      <c r="A2424">
        <f>HYPERLINK("https://www.philgeps.gov.ph/GEPSNONPILOT/Tender/SplashBidNoticeAbstractUI.aspx?menuIndex=3&amp;refID=7047129&amp;Result=3","7047129")</f>
        <v>0</v>
      </c>
      <c r="B2424" t="s">
        <v>921</v>
      </c>
      <c r="C2424" t="s">
        <v>5517</v>
      </c>
      <c r="D2424" t="s">
        <v>18095</v>
      </c>
      <c r="E2424" t="s">
        <v>20317</v>
      </c>
      <c r="F2424" t="s">
        <v>31574</v>
      </c>
      <c r="G2424" t="s">
        <v>31581</v>
      </c>
      <c r="H2424" t="s">
        <v>31590</v>
      </c>
      <c r="I2424" t="s">
        <v>3539</v>
      </c>
      <c r="J2424" t="s">
        <v>32436</v>
      </c>
      <c r="K2424" t="s">
        <v>41184</v>
      </c>
      <c r="M2424" t="s">
        <v>42447</v>
      </c>
      <c r="N2424" t="s">
        <v>45095</v>
      </c>
      <c r="O2424" t="s">
        <v>45096</v>
      </c>
      <c r="P2424">
        <v>0</v>
      </c>
      <c r="Q2424">
        <v>0</v>
      </c>
      <c r="R2424" t="s">
        <v>45097</v>
      </c>
      <c r="S2424" t="s">
        <v>45222</v>
      </c>
      <c r="T2424" t="s">
        <v>46913</v>
      </c>
      <c r="U2424" t="s">
        <v>49542</v>
      </c>
      <c r="V2424" t="s">
        <v>60080</v>
      </c>
      <c r="W2424" t="s">
        <v>42447</v>
      </c>
      <c r="X2424" t="s">
        <v>45098</v>
      </c>
    </row>
    <row r="2425" spans="1:24">
      <c r="A2425">
        <f>HYPERLINK("https://www.philgeps.gov.ph/GEPSNONPILOT/Tender/SplashBidNoticeAbstractUI.aspx?menuIndex=3&amp;refID=7047133&amp;Result=3","7047133")</f>
        <v>0</v>
      </c>
      <c r="B2425" t="s">
        <v>935</v>
      </c>
      <c r="C2425" t="s">
        <v>5518</v>
      </c>
      <c r="D2425" t="s">
        <v>18075</v>
      </c>
      <c r="E2425" t="s">
        <v>20318</v>
      </c>
      <c r="F2425" t="s">
        <v>31574</v>
      </c>
      <c r="G2425" t="s">
        <v>31582</v>
      </c>
      <c r="H2425" t="s">
        <v>31591</v>
      </c>
      <c r="I2425" t="s">
        <v>8822</v>
      </c>
      <c r="J2425" t="s">
        <v>33410</v>
      </c>
      <c r="K2425" t="s">
        <v>41239</v>
      </c>
      <c r="M2425" t="s">
        <v>42462</v>
      </c>
      <c r="N2425" t="s">
        <v>45095</v>
      </c>
      <c r="O2425" t="s">
        <v>45096</v>
      </c>
      <c r="P2425">
        <v>0</v>
      </c>
      <c r="Q2425">
        <v>0</v>
      </c>
      <c r="R2425" t="s">
        <v>45097</v>
      </c>
      <c r="S2425" t="s">
        <v>45222</v>
      </c>
      <c r="T2425" t="s">
        <v>46920</v>
      </c>
      <c r="U2425" t="s">
        <v>49543</v>
      </c>
      <c r="V2425" t="s">
        <v>60081</v>
      </c>
      <c r="W2425" t="s">
        <v>42462</v>
      </c>
      <c r="X2425" t="s">
        <v>45098</v>
      </c>
    </row>
    <row r="2426" spans="1:24">
      <c r="A2426">
        <f>HYPERLINK("https://www.philgeps.gov.ph/GEPSNONPILOT/Tender/SplashBidNoticeAbstractUI.aspx?menuIndex=3&amp;refID=7047125&amp;Result=3","7047125")</f>
        <v>0</v>
      </c>
      <c r="B2426" t="s">
        <v>921</v>
      </c>
      <c r="C2426" t="s">
        <v>5519</v>
      </c>
      <c r="D2426" t="s">
        <v>18030</v>
      </c>
      <c r="E2426" t="s">
        <v>20319</v>
      </c>
      <c r="F2426" t="s">
        <v>31574</v>
      </c>
      <c r="G2426" t="s">
        <v>31581</v>
      </c>
      <c r="H2426" t="s">
        <v>31590</v>
      </c>
      <c r="I2426" t="s">
        <v>31617</v>
      </c>
      <c r="J2426" t="s">
        <v>33411</v>
      </c>
      <c r="K2426" t="s">
        <v>41184</v>
      </c>
      <c r="M2426" t="s">
        <v>42447</v>
      </c>
      <c r="N2426" t="s">
        <v>45095</v>
      </c>
      <c r="O2426" t="s">
        <v>45096</v>
      </c>
      <c r="P2426">
        <v>0</v>
      </c>
      <c r="Q2426">
        <v>0</v>
      </c>
      <c r="R2426" t="s">
        <v>45097</v>
      </c>
      <c r="S2426" t="s">
        <v>45222</v>
      </c>
      <c r="T2426" t="s">
        <v>46913</v>
      </c>
      <c r="U2426" t="s">
        <v>49544</v>
      </c>
      <c r="V2426" t="s">
        <v>60080</v>
      </c>
      <c r="W2426" t="s">
        <v>42447</v>
      </c>
      <c r="X2426" t="s">
        <v>45098</v>
      </c>
    </row>
    <row r="2427" spans="1:24">
      <c r="A2427">
        <f>HYPERLINK("https://www.philgeps.gov.ph/GEPSNONPILOT/Tender/SplashBidNoticeAbstractUI.aspx?menuIndex=3&amp;refID=7047127&amp;Result=3","7047127")</f>
        <v>0</v>
      </c>
      <c r="B2427" t="s">
        <v>921</v>
      </c>
      <c r="C2427" t="s">
        <v>5520</v>
      </c>
      <c r="D2427" t="s">
        <v>18030</v>
      </c>
      <c r="E2427" t="s">
        <v>20320</v>
      </c>
      <c r="F2427" t="s">
        <v>31574</v>
      </c>
      <c r="G2427" t="s">
        <v>31581</v>
      </c>
      <c r="H2427" t="s">
        <v>31590</v>
      </c>
      <c r="I2427" t="s">
        <v>3539</v>
      </c>
      <c r="J2427" t="s">
        <v>33412</v>
      </c>
      <c r="K2427" t="s">
        <v>41184</v>
      </c>
      <c r="M2427" t="s">
        <v>42447</v>
      </c>
      <c r="N2427" t="s">
        <v>45095</v>
      </c>
      <c r="O2427" t="s">
        <v>45096</v>
      </c>
      <c r="P2427">
        <v>0</v>
      </c>
      <c r="Q2427">
        <v>0</v>
      </c>
      <c r="R2427" t="s">
        <v>45097</v>
      </c>
      <c r="S2427" t="s">
        <v>45222</v>
      </c>
      <c r="T2427" t="s">
        <v>46913</v>
      </c>
      <c r="U2427" t="s">
        <v>49545</v>
      </c>
      <c r="V2427" t="s">
        <v>60080</v>
      </c>
      <c r="W2427" t="s">
        <v>42447</v>
      </c>
      <c r="X2427" t="s">
        <v>45098</v>
      </c>
    </row>
    <row r="2428" spans="1:24">
      <c r="A2428">
        <f>HYPERLINK("https://www.philgeps.gov.ph/GEPSNONPILOT/Tender/SplashBidNoticeAbstractUI.aspx?menuIndex=3&amp;refID=7047134&amp;Result=3","7047134")</f>
        <v>0</v>
      </c>
      <c r="B2428" t="s">
        <v>941</v>
      </c>
      <c r="C2428" t="s">
        <v>5521</v>
      </c>
      <c r="D2428" t="s">
        <v>18088</v>
      </c>
      <c r="E2428" t="s">
        <v>20321</v>
      </c>
      <c r="F2428" t="s">
        <v>31574</v>
      </c>
      <c r="G2428" t="s">
        <v>31581</v>
      </c>
      <c r="H2428" t="s">
        <v>31590</v>
      </c>
      <c r="I2428" t="s">
        <v>8822</v>
      </c>
      <c r="J2428" t="s">
        <v>33413</v>
      </c>
      <c r="K2428" t="s">
        <v>41185</v>
      </c>
      <c r="M2428" t="s">
        <v>42468</v>
      </c>
      <c r="N2428" t="s">
        <v>45095</v>
      </c>
      <c r="O2428" t="s">
        <v>45096</v>
      </c>
      <c r="P2428">
        <v>0</v>
      </c>
      <c r="Q2428">
        <v>0</v>
      </c>
      <c r="R2428" t="s">
        <v>45097</v>
      </c>
      <c r="S2428" t="s">
        <v>45222</v>
      </c>
      <c r="T2428" t="s">
        <v>46955</v>
      </c>
      <c r="U2428" t="s">
        <v>49546</v>
      </c>
      <c r="W2428" t="s">
        <v>42468</v>
      </c>
      <c r="X2428" t="s">
        <v>45098</v>
      </c>
    </row>
    <row r="2429" spans="1:24">
      <c r="A2429">
        <f>HYPERLINK("https://www.philgeps.gov.ph/GEPSNONPILOT/Tender/SplashBidNoticeAbstractUI.aspx?menuIndex=3&amp;refID=7047124&amp;Result=3","7047124")</f>
        <v>0</v>
      </c>
      <c r="B2429" t="s">
        <v>942</v>
      </c>
      <c r="C2429" t="s">
        <v>5522</v>
      </c>
      <c r="E2429" t="s">
        <v>20322</v>
      </c>
      <c r="F2429" t="s">
        <v>31574</v>
      </c>
      <c r="G2429" t="s">
        <v>31581</v>
      </c>
      <c r="H2429" t="s">
        <v>31590</v>
      </c>
      <c r="I2429" t="s">
        <v>4046</v>
      </c>
      <c r="J2429" t="s">
        <v>33414</v>
      </c>
      <c r="K2429" t="s">
        <v>41186</v>
      </c>
      <c r="M2429" t="s">
        <v>42469</v>
      </c>
      <c r="N2429" t="s">
        <v>45095</v>
      </c>
      <c r="O2429" t="s">
        <v>45096</v>
      </c>
      <c r="P2429">
        <v>0</v>
      </c>
      <c r="Q2429">
        <v>0</v>
      </c>
      <c r="R2429" t="s">
        <v>45097</v>
      </c>
      <c r="S2429" t="s">
        <v>45222</v>
      </c>
      <c r="T2429" t="s">
        <v>46935</v>
      </c>
      <c r="U2429" t="s">
        <v>49547</v>
      </c>
      <c r="W2429" t="s">
        <v>42469</v>
      </c>
      <c r="X2429" t="s">
        <v>45098</v>
      </c>
    </row>
    <row r="2430" spans="1:24">
      <c r="A2430">
        <f>HYPERLINK("https://www.philgeps.gov.ph/GEPSNONPILOT/Tender/SplashBidNoticeAbstractUI.aspx?menuIndex=3&amp;refID=6906548&amp;Result=3","6906548")</f>
        <v>0</v>
      </c>
      <c r="B2430" t="s">
        <v>182</v>
      </c>
      <c r="C2430" t="s">
        <v>5523</v>
      </c>
      <c r="D2430" t="s">
        <v>18060</v>
      </c>
      <c r="E2430" t="s">
        <v>20323</v>
      </c>
      <c r="F2430" t="s">
        <v>31574</v>
      </c>
      <c r="G2430" t="s">
        <v>31581</v>
      </c>
      <c r="H2430" t="s">
        <v>31590</v>
      </c>
      <c r="I2430" t="s">
        <v>3487</v>
      </c>
      <c r="J2430" t="s">
        <v>33415</v>
      </c>
      <c r="K2430" t="s">
        <v>41190</v>
      </c>
      <c r="M2430" t="s">
        <v>41667</v>
      </c>
      <c r="N2430" t="s">
        <v>45095</v>
      </c>
      <c r="O2430" t="s">
        <v>45096</v>
      </c>
      <c r="P2430">
        <v>0</v>
      </c>
      <c r="Q2430">
        <v>0</v>
      </c>
      <c r="R2430" t="s">
        <v>45098</v>
      </c>
      <c r="S2430" t="s">
        <v>45223</v>
      </c>
      <c r="T2430" t="s">
        <v>46973</v>
      </c>
      <c r="U2430" t="s">
        <v>49548</v>
      </c>
      <c r="W2430" t="s">
        <v>41667</v>
      </c>
      <c r="X2430" t="s">
        <v>45180</v>
      </c>
    </row>
    <row r="2431" spans="1:24">
      <c r="A2431">
        <f>HYPERLINK("https://www.philgeps.gov.ph/GEPSNONPILOT/Tender/SplashBidNoticeAbstractUI.aspx?menuIndex=3&amp;refID=7047126&amp;Result=3","7047126")</f>
        <v>0</v>
      </c>
      <c r="B2431" t="s">
        <v>943</v>
      </c>
      <c r="C2431" t="s">
        <v>5524</v>
      </c>
      <c r="D2431" t="s">
        <v>18035</v>
      </c>
      <c r="E2431" t="s">
        <v>20324</v>
      </c>
      <c r="F2431" t="s">
        <v>31574</v>
      </c>
      <c r="G2431" t="s">
        <v>31582</v>
      </c>
      <c r="H2431" t="s">
        <v>31590</v>
      </c>
      <c r="I2431" t="s">
        <v>31640</v>
      </c>
      <c r="J2431" t="s">
        <v>31947</v>
      </c>
      <c r="K2431" t="s">
        <v>41193</v>
      </c>
      <c r="M2431" t="s">
        <v>42470</v>
      </c>
      <c r="N2431" t="s">
        <v>45095</v>
      </c>
      <c r="O2431" t="s">
        <v>45096</v>
      </c>
      <c r="P2431">
        <v>0</v>
      </c>
      <c r="Q2431">
        <v>0</v>
      </c>
      <c r="R2431" t="s">
        <v>45097</v>
      </c>
      <c r="S2431" t="s">
        <v>45222</v>
      </c>
      <c r="T2431" t="s">
        <v>46984</v>
      </c>
      <c r="U2431" t="s">
        <v>49549</v>
      </c>
      <c r="W2431" t="s">
        <v>42470</v>
      </c>
      <c r="X2431" t="s">
        <v>45098</v>
      </c>
    </row>
    <row r="2432" spans="1:24">
      <c r="A2432">
        <f>HYPERLINK("https://www.philgeps.gov.ph/GEPSNONPILOT/Tender/SplashBidNoticeAbstractUI.aspx?menuIndex=3&amp;refID=7047148&amp;Result=3","7047148")</f>
        <v>0</v>
      </c>
      <c r="B2432" t="s">
        <v>943</v>
      </c>
      <c r="C2432" t="s">
        <v>5525</v>
      </c>
      <c r="D2432" t="s">
        <v>18035</v>
      </c>
      <c r="E2432" t="s">
        <v>20325</v>
      </c>
      <c r="F2432" t="s">
        <v>31574</v>
      </c>
      <c r="G2432" t="s">
        <v>31584</v>
      </c>
      <c r="H2432" t="s">
        <v>31590</v>
      </c>
      <c r="I2432" t="s">
        <v>31601</v>
      </c>
      <c r="J2432" t="s">
        <v>33416</v>
      </c>
      <c r="K2432" t="s">
        <v>41193</v>
      </c>
      <c r="M2432" t="s">
        <v>42470</v>
      </c>
      <c r="N2432" t="s">
        <v>45095</v>
      </c>
      <c r="O2432" t="s">
        <v>45096</v>
      </c>
      <c r="P2432">
        <v>0</v>
      </c>
      <c r="Q2432">
        <v>0</v>
      </c>
      <c r="R2432" t="s">
        <v>45097</v>
      </c>
      <c r="S2432" t="s">
        <v>45222</v>
      </c>
      <c r="T2432" t="s">
        <v>46984</v>
      </c>
      <c r="U2432" t="s">
        <v>49549</v>
      </c>
      <c r="W2432" t="s">
        <v>42470</v>
      </c>
      <c r="X2432" t="s">
        <v>45098</v>
      </c>
    </row>
    <row r="2433" spans="1:24">
      <c r="A2433">
        <f>HYPERLINK("https://www.philgeps.gov.ph/GEPSNONPILOT/Tender/SplashBidNoticeAbstractUI.aspx?menuIndex=3&amp;refID=7047136&amp;Result=3","7047136")</f>
        <v>0</v>
      </c>
      <c r="B2433" t="s">
        <v>943</v>
      </c>
      <c r="C2433" t="s">
        <v>5526</v>
      </c>
      <c r="E2433" t="s">
        <v>20326</v>
      </c>
      <c r="F2433" t="s">
        <v>31574</v>
      </c>
      <c r="G2433" t="s">
        <v>31582</v>
      </c>
      <c r="H2433" t="s">
        <v>31590</v>
      </c>
      <c r="I2433" t="s">
        <v>31600</v>
      </c>
      <c r="J2433" t="s">
        <v>33417</v>
      </c>
      <c r="K2433" t="s">
        <v>41193</v>
      </c>
      <c r="M2433" t="s">
        <v>42470</v>
      </c>
      <c r="N2433" t="s">
        <v>45095</v>
      </c>
      <c r="O2433" t="s">
        <v>45096</v>
      </c>
      <c r="P2433">
        <v>0</v>
      </c>
      <c r="Q2433">
        <v>0</v>
      </c>
      <c r="R2433" t="s">
        <v>45097</v>
      </c>
      <c r="S2433" t="s">
        <v>45222</v>
      </c>
      <c r="T2433" t="s">
        <v>46984</v>
      </c>
      <c r="U2433" t="s">
        <v>49550</v>
      </c>
      <c r="W2433" t="s">
        <v>42470</v>
      </c>
      <c r="X2433" t="s">
        <v>45098</v>
      </c>
    </row>
    <row r="2434" spans="1:24">
      <c r="A2434">
        <f>HYPERLINK("https://www.philgeps.gov.ph/GEPSNONPILOT/Tender/SplashBidNoticeAbstractUI.aspx?menuIndex=3&amp;refID=7047143&amp;Result=3","7047143")</f>
        <v>0</v>
      </c>
      <c r="B2434" t="s">
        <v>944</v>
      </c>
      <c r="C2434" t="s">
        <v>5527</v>
      </c>
      <c r="D2434" t="s">
        <v>18022</v>
      </c>
      <c r="E2434" t="s">
        <v>20172</v>
      </c>
      <c r="F2434" t="s">
        <v>31574</v>
      </c>
      <c r="G2434" t="s">
        <v>31582</v>
      </c>
      <c r="H2434" t="s">
        <v>31590</v>
      </c>
      <c r="I2434" t="s">
        <v>3487</v>
      </c>
      <c r="J2434" t="s">
        <v>33418</v>
      </c>
      <c r="K2434" t="s">
        <v>41213</v>
      </c>
      <c r="M2434" t="s">
        <v>42471</v>
      </c>
      <c r="N2434" t="s">
        <v>45095</v>
      </c>
      <c r="O2434" t="s">
        <v>45096</v>
      </c>
      <c r="P2434">
        <v>0</v>
      </c>
      <c r="Q2434">
        <v>0</v>
      </c>
      <c r="R2434" t="s">
        <v>45097</v>
      </c>
      <c r="S2434" t="s">
        <v>45222</v>
      </c>
      <c r="T2434" t="s">
        <v>46926</v>
      </c>
      <c r="U2434" t="s">
        <v>49551</v>
      </c>
      <c r="W2434" t="s">
        <v>42471</v>
      </c>
      <c r="X2434" t="s">
        <v>45098</v>
      </c>
    </row>
    <row r="2435" spans="1:24">
      <c r="A2435">
        <f>HYPERLINK("https://www.philgeps.gov.ph/GEPSNONPILOT/Tender/SplashBidNoticeAbstractUI.aspx?menuIndex=3&amp;refID=7047144&amp;Result=3","7047144")</f>
        <v>0</v>
      </c>
      <c r="B2435" t="s">
        <v>945</v>
      </c>
      <c r="C2435" t="s">
        <v>5043</v>
      </c>
      <c r="D2435" t="s">
        <v>18025</v>
      </c>
      <c r="E2435" t="s">
        <v>20327</v>
      </c>
      <c r="F2435" t="s">
        <v>31574</v>
      </c>
      <c r="G2435" t="s">
        <v>31584</v>
      </c>
      <c r="H2435" t="s">
        <v>31590</v>
      </c>
      <c r="I2435" t="s">
        <v>6800</v>
      </c>
      <c r="J2435" t="s">
        <v>31842</v>
      </c>
      <c r="K2435" t="s">
        <v>41193</v>
      </c>
      <c r="M2435" t="s">
        <v>42472</v>
      </c>
      <c r="N2435" t="s">
        <v>45095</v>
      </c>
      <c r="O2435" t="s">
        <v>45096</v>
      </c>
      <c r="P2435">
        <v>0</v>
      </c>
      <c r="Q2435">
        <v>0</v>
      </c>
      <c r="R2435" t="s">
        <v>45097</v>
      </c>
      <c r="S2435" t="s">
        <v>45222</v>
      </c>
      <c r="T2435" t="s">
        <v>46952</v>
      </c>
      <c r="U2435" t="s">
        <v>49552</v>
      </c>
      <c r="W2435" t="s">
        <v>42472</v>
      </c>
      <c r="X2435" t="s">
        <v>45098</v>
      </c>
    </row>
    <row r="2436" spans="1:24">
      <c r="A2436">
        <f>HYPERLINK("https://www.philgeps.gov.ph/GEPSNONPILOT/Tender/SplashBidNoticeAbstractUI.aspx?menuIndex=3&amp;refID=7047130&amp;Result=3","7047130")</f>
        <v>0</v>
      </c>
      <c r="B2436" t="s">
        <v>946</v>
      </c>
      <c r="C2436" t="s">
        <v>5043</v>
      </c>
      <c r="D2436" t="s">
        <v>18025</v>
      </c>
      <c r="E2436" t="s">
        <v>19061</v>
      </c>
      <c r="F2436" t="s">
        <v>31574</v>
      </c>
      <c r="G2436" t="s">
        <v>31584</v>
      </c>
      <c r="H2436" t="s">
        <v>31590</v>
      </c>
      <c r="I2436" t="s">
        <v>6800</v>
      </c>
      <c r="J2436" t="s">
        <v>32334</v>
      </c>
      <c r="K2436" t="s">
        <v>41193</v>
      </c>
      <c r="M2436" t="s">
        <v>42473</v>
      </c>
      <c r="N2436" t="s">
        <v>45095</v>
      </c>
      <c r="O2436" t="s">
        <v>45096</v>
      </c>
      <c r="P2436">
        <v>0</v>
      </c>
      <c r="Q2436">
        <v>0</v>
      </c>
      <c r="R2436" t="s">
        <v>45097</v>
      </c>
      <c r="S2436" t="s">
        <v>45222</v>
      </c>
      <c r="T2436" t="s">
        <v>46911</v>
      </c>
      <c r="U2436" t="s">
        <v>49553</v>
      </c>
      <c r="W2436" t="s">
        <v>42473</v>
      </c>
      <c r="X2436" t="s">
        <v>45098</v>
      </c>
    </row>
    <row r="2437" spans="1:24">
      <c r="A2437">
        <f>HYPERLINK("https://www.philgeps.gov.ph/GEPSNONPILOT/Tender/SplashBidNoticeAbstractUI.aspx?menuIndex=3&amp;refID=7047137&amp;Result=3","7047137")</f>
        <v>0</v>
      </c>
      <c r="B2437" t="s">
        <v>921</v>
      </c>
      <c r="C2437" t="s">
        <v>5528</v>
      </c>
      <c r="D2437" t="s">
        <v>18027</v>
      </c>
      <c r="E2437" t="s">
        <v>20328</v>
      </c>
      <c r="F2437" t="s">
        <v>31574</v>
      </c>
      <c r="G2437" t="s">
        <v>31581</v>
      </c>
      <c r="H2437" t="s">
        <v>31590</v>
      </c>
      <c r="I2437" t="s">
        <v>3539</v>
      </c>
      <c r="J2437" t="s">
        <v>32436</v>
      </c>
      <c r="K2437" t="s">
        <v>41184</v>
      </c>
      <c r="M2437" t="s">
        <v>42447</v>
      </c>
      <c r="N2437" t="s">
        <v>45095</v>
      </c>
      <c r="O2437" t="s">
        <v>45096</v>
      </c>
      <c r="P2437">
        <v>0</v>
      </c>
      <c r="Q2437">
        <v>0</v>
      </c>
      <c r="R2437" t="s">
        <v>45097</v>
      </c>
      <c r="S2437" t="s">
        <v>45222</v>
      </c>
      <c r="T2437" t="s">
        <v>46913</v>
      </c>
      <c r="U2437" t="s">
        <v>49554</v>
      </c>
      <c r="V2437" t="s">
        <v>60080</v>
      </c>
      <c r="W2437" t="s">
        <v>42447</v>
      </c>
      <c r="X2437" t="s">
        <v>45098</v>
      </c>
    </row>
    <row r="2438" spans="1:24">
      <c r="A2438">
        <f>HYPERLINK("https://www.philgeps.gov.ph/GEPSNONPILOT/Tender/SplashBidNoticeAbstractUI.aspx?menuIndex=3&amp;refID=7047146&amp;Result=3","7047146")</f>
        <v>0</v>
      </c>
      <c r="B2438" t="s">
        <v>945</v>
      </c>
      <c r="C2438" t="s">
        <v>5529</v>
      </c>
      <c r="D2438" t="s">
        <v>18025</v>
      </c>
      <c r="E2438" t="s">
        <v>20329</v>
      </c>
      <c r="F2438" t="s">
        <v>31574</v>
      </c>
      <c r="G2438" t="s">
        <v>31581</v>
      </c>
      <c r="H2438" t="s">
        <v>31590</v>
      </c>
      <c r="I2438" t="s">
        <v>31600</v>
      </c>
      <c r="J2438" t="s">
        <v>33419</v>
      </c>
      <c r="K2438" t="s">
        <v>41193</v>
      </c>
      <c r="M2438" t="s">
        <v>42472</v>
      </c>
      <c r="N2438" t="s">
        <v>45095</v>
      </c>
      <c r="O2438" t="s">
        <v>45096</v>
      </c>
      <c r="P2438">
        <v>0</v>
      </c>
      <c r="Q2438">
        <v>0</v>
      </c>
      <c r="R2438" t="s">
        <v>45097</v>
      </c>
      <c r="S2438" t="s">
        <v>45222</v>
      </c>
      <c r="T2438" t="s">
        <v>46952</v>
      </c>
      <c r="U2438" t="s">
        <v>49555</v>
      </c>
      <c r="W2438" t="s">
        <v>42472</v>
      </c>
      <c r="X2438" t="s">
        <v>45098</v>
      </c>
    </row>
    <row r="2439" spans="1:24">
      <c r="A2439">
        <f>HYPERLINK("https://www.philgeps.gov.ph/GEPSNONPILOT/Tender/SplashBidNoticeAbstractUI.aspx?menuIndex=3&amp;refID=6938443&amp;Result=3","6938443")</f>
        <v>0</v>
      </c>
      <c r="B2439" t="s">
        <v>947</v>
      </c>
      <c r="C2439" t="s">
        <v>5530</v>
      </c>
      <c r="D2439" t="s">
        <v>18033</v>
      </c>
      <c r="E2439" t="s">
        <v>20330</v>
      </c>
      <c r="F2439" t="s">
        <v>31574</v>
      </c>
      <c r="G2439" t="s">
        <v>31582</v>
      </c>
      <c r="H2439" t="s">
        <v>31591</v>
      </c>
      <c r="I2439" t="s">
        <v>8822</v>
      </c>
      <c r="J2439" t="s">
        <v>33420</v>
      </c>
      <c r="K2439" t="s">
        <v>41188</v>
      </c>
      <c r="M2439" t="s">
        <v>42474</v>
      </c>
      <c r="N2439" t="s">
        <v>45095</v>
      </c>
      <c r="O2439" t="s">
        <v>45096</v>
      </c>
      <c r="P2439">
        <v>0</v>
      </c>
      <c r="Q2439">
        <v>0</v>
      </c>
      <c r="R2439" t="s">
        <v>45098</v>
      </c>
      <c r="S2439" t="s">
        <v>45223</v>
      </c>
      <c r="T2439" t="s">
        <v>46940</v>
      </c>
      <c r="U2439" t="s">
        <v>49556</v>
      </c>
      <c r="W2439" t="s">
        <v>42474</v>
      </c>
      <c r="X2439" t="s">
        <v>45170</v>
      </c>
    </row>
    <row r="2440" spans="1:24">
      <c r="A2440">
        <f>HYPERLINK("https://www.philgeps.gov.ph/GEPSNONPILOT/Tender/SplashBidNoticeAbstractUI.aspx?menuIndex=3&amp;refID=7047128&amp;Result=3","7047128")</f>
        <v>0</v>
      </c>
      <c r="B2440" t="s">
        <v>935</v>
      </c>
      <c r="C2440" t="s">
        <v>5531</v>
      </c>
      <c r="D2440" t="s">
        <v>18075</v>
      </c>
      <c r="E2440" t="s">
        <v>20331</v>
      </c>
      <c r="F2440" t="s">
        <v>31574</v>
      </c>
      <c r="G2440" t="s">
        <v>31582</v>
      </c>
      <c r="H2440" t="s">
        <v>31591</v>
      </c>
      <c r="I2440" t="s">
        <v>8822</v>
      </c>
      <c r="J2440" t="s">
        <v>32497</v>
      </c>
      <c r="K2440" t="s">
        <v>41239</v>
      </c>
      <c r="M2440" t="s">
        <v>42462</v>
      </c>
      <c r="N2440" t="s">
        <v>45095</v>
      </c>
      <c r="O2440" t="s">
        <v>45096</v>
      </c>
      <c r="P2440">
        <v>0</v>
      </c>
      <c r="Q2440">
        <v>0</v>
      </c>
      <c r="R2440" t="s">
        <v>45097</v>
      </c>
      <c r="S2440" t="s">
        <v>45222</v>
      </c>
      <c r="T2440" t="s">
        <v>46920</v>
      </c>
      <c r="U2440" t="s">
        <v>49557</v>
      </c>
      <c r="V2440" t="s">
        <v>60081</v>
      </c>
      <c r="W2440" t="s">
        <v>42462</v>
      </c>
      <c r="X2440" t="s">
        <v>45098</v>
      </c>
    </row>
    <row r="2441" spans="1:24">
      <c r="A2441">
        <f>HYPERLINK("https://www.philgeps.gov.ph/GEPSNONPILOT/Tender/SplashBidNoticeAbstractUI.aspx?menuIndex=3&amp;refID=7017395&amp;Result=3","7017395")</f>
        <v>0</v>
      </c>
      <c r="B2441" t="s">
        <v>948</v>
      </c>
      <c r="C2441" t="s">
        <v>5532</v>
      </c>
      <c r="D2441" t="s">
        <v>18066</v>
      </c>
      <c r="E2441" t="s">
        <v>20332</v>
      </c>
      <c r="F2441" t="s">
        <v>31574</v>
      </c>
      <c r="G2441" t="s">
        <v>31582</v>
      </c>
      <c r="H2441" t="s">
        <v>31591</v>
      </c>
      <c r="I2441" t="s">
        <v>8822</v>
      </c>
      <c r="J2441" t="s">
        <v>33421</v>
      </c>
      <c r="K2441" t="s">
        <v>41235</v>
      </c>
      <c r="M2441" t="s">
        <v>42475</v>
      </c>
      <c r="N2441" t="s">
        <v>45095</v>
      </c>
      <c r="O2441" t="s">
        <v>45096</v>
      </c>
      <c r="P2441">
        <v>0</v>
      </c>
      <c r="Q2441">
        <v>0</v>
      </c>
      <c r="R2441" t="s">
        <v>45098</v>
      </c>
      <c r="S2441" t="s">
        <v>45223</v>
      </c>
      <c r="T2441" t="s">
        <v>47017</v>
      </c>
      <c r="U2441" t="s">
        <v>49558</v>
      </c>
      <c r="V2441" t="s">
        <v>60082</v>
      </c>
      <c r="W2441" t="s">
        <v>42475</v>
      </c>
      <c r="X2441" t="s">
        <v>45115</v>
      </c>
    </row>
    <row r="2442" spans="1:24">
      <c r="A2442">
        <f>HYPERLINK("https://www.philgeps.gov.ph/GEPSNONPILOT/Tender/SplashBidNoticeAbstractUI.aspx?menuIndex=3&amp;refID=7021346&amp;Result=3","7021346")</f>
        <v>0</v>
      </c>
      <c r="B2442" t="s">
        <v>949</v>
      </c>
      <c r="C2442" t="s">
        <v>5533</v>
      </c>
      <c r="D2442" t="s">
        <v>18022</v>
      </c>
      <c r="E2442" t="s">
        <v>18227</v>
      </c>
      <c r="F2442" t="s">
        <v>31574</v>
      </c>
      <c r="G2442" t="s">
        <v>31583</v>
      </c>
      <c r="H2442" t="s">
        <v>31590</v>
      </c>
      <c r="I2442" t="s">
        <v>4046</v>
      </c>
      <c r="J2442" t="s">
        <v>31727</v>
      </c>
      <c r="K2442" t="s">
        <v>41213</v>
      </c>
      <c r="M2442" t="s">
        <v>42476</v>
      </c>
      <c r="N2442" t="s">
        <v>45095</v>
      </c>
      <c r="O2442" t="s">
        <v>45096</v>
      </c>
      <c r="P2442">
        <v>0</v>
      </c>
      <c r="Q2442">
        <v>0</v>
      </c>
      <c r="R2442" t="s">
        <v>45098</v>
      </c>
      <c r="S2442" t="s">
        <v>45223</v>
      </c>
      <c r="T2442" t="s">
        <v>46911</v>
      </c>
      <c r="U2442" t="s">
        <v>49559</v>
      </c>
      <c r="W2442" t="s">
        <v>42476</v>
      </c>
      <c r="X2442" t="s">
        <v>45112</v>
      </c>
    </row>
    <row r="2443" spans="1:24">
      <c r="A2443">
        <f>HYPERLINK("https://www.philgeps.gov.ph/GEPSNONPILOT/Tender/SplashBidNoticeAbstractUI.aspx?menuIndex=3&amp;refID=7018755&amp;Result=3","7018755")</f>
        <v>0</v>
      </c>
      <c r="B2443" t="s">
        <v>950</v>
      </c>
      <c r="C2443" t="s">
        <v>5534</v>
      </c>
      <c r="D2443" t="s">
        <v>18022</v>
      </c>
      <c r="E2443" t="s">
        <v>20333</v>
      </c>
      <c r="F2443" t="s">
        <v>31575</v>
      </c>
      <c r="G2443" t="s">
        <v>31581</v>
      </c>
      <c r="H2443" t="s">
        <v>31591</v>
      </c>
      <c r="I2443" t="s">
        <v>8822</v>
      </c>
      <c r="J2443" t="s">
        <v>32742</v>
      </c>
      <c r="K2443" t="s">
        <v>41186</v>
      </c>
      <c r="M2443" t="s">
        <v>42477</v>
      </c>
      <c r="N2443" t="s">
        <v>45095</v>
      </c>
      <c r="O2443" t="s">
        <v>45096</v>
      </c>
      <c r="P2443">
        <v>0</v>
      </c>
      <c r="Q2443">
        <v>1</v>
      </c>
      <c r="R2443" t="s">
        <v>45098</v>
      </c>
      <c r="S2443" t="s">
        <v>45223</v>
      </c>
      <c r="T2443" t="s">
        <v>46945</v>
      </c>
      <c r="U2443" t="s">
        <v>49560</v>
      </c>
      <c r="W2443" t="s">
        <v>42477</v>
      </c>
      <c r="X2443" t="s">
        <v>45114</v>
      </c>
    </row>
    <row r="2444" spans="1:24">
      <c r="A2444">
        <f>HYPERLINK("https://www.philgeps.gov.ph/GEPSNONPILOT/Tender/SplashBidNoticeAbstractUI.aspx?menuIndex=3&amp;refID=7047142&amp;Result=3","7047142")</f>
        <v>0</v>
      </c>
      <c r="B2444" t="s">
        <v>943</v>
      </c>
      <c r="C2444" t="s">
        <v>5535</v>
      </c>
      <c r="D2444" t="s">
        <v>18035</v>
      </c>
      <c r="E2444" t="s">
        <v>20334</v>
      </c>
      <c r="F2444" t="s">
        <v>31574</v>
      </c>
      <c r="G2444" t="s">
        <v>31582</v>
      </c>
      <c r="H2444" t="s">
        <v>31592</v>
      </c>
      <c r="I2444" t="s">
        <v>31623</v>
      </c>
      <c r="J2444" t="s">
        <v>32592</v>
      </c>
      <c r="K2444" t="s">
        <v>41193</v>
      </c>
      <c r="M2444" t="s">
        <v>42470</v>
      </c>
      <c r="N2444" t="s">
        <v>45095</v>
      </c>
      <c r="O2444" t="s">
        <v>45096</v>
      </c>
      <c r="P2444">
        <v>0</v>
      </c>
      <c r="Q2444">
        <v>0</v>
      </c>
      <c r="R2444" t="s">
        <v>45097</v>
      </c>
      <c r="S2444" t="s">
        <v>45222</v>
      </c>
      <c r="T2444" t="s">
        <v>46984</v>
      </c>
      <c r="U2444" t="s">
        <v>49549</v>
      </c>
      <c r="W2444" t="s">
        <v>42470</v>
      </c>
      <c r="X2444" t="s">
        <v>45098</v>
      </c>
    </row>
    <row r="2445" spans="1:24">
      <c r="A2445">
        <f>HYPERLINK("https://www.philgeps.gov.ph/GEPSNONPILOT/Tender/SplashBidNoticeAbstractUI.aspx?menuIndex=3&amp;refID=6938960&amp;Result=3","6938960")</f>
        <v>0</v>
      </c>
      <c r="B2445" t="s">
        <v>840</v>
      </c>
      <c r="C2445" t="s">
        <v>5536</v>
      </c>
      <c r="E2445" t="s">
        <v>20335</v>
      </c>
      <c r="F2445" t="s">
        <v>31574</v>
      </c>
      <c r="G2445" t="s">
        <v>31582</v>
      </c>
      <c r="H2445" t="s">
        <v>31590</v>
      </c>
      <c r="I2445" t="s">
        <v>31620</v>
      </c>
      <c r="J2445" t="s">
        <v>31935</v>
      </c>
      <c r="K2445" t="s">
        <v>41184</v>
      </c>
      <c r="M2445" t="s">
        <v>42359</v>
      </c>
      <c r="N2445" t="s">
        <v>45095</v>
      </c>
      <c r="O2445" t="s">
        <v>45096</v>
      </c>
      <c r="P2445">
        <v>0</v>
      </c>
      <c r="Q2445">
        <v>13</v>
      </c>
      <c r="R2445" t="s">
        <v>45098</v>
      </c>
      <c r="S2445" t="s">
        <v>45223</v>
      </c>
      <c r="T2445" t="s">
        <v>46908</v>
      </c>
      <c r="U2445" t="s">
        <v>49561</v>
      </c>
      <c r="W2445" t="s">
        <v>42359</v>
      </c>
      <c r="X2445" t="s">
        <v>45170</v>
      </c>
    </row>
    <row r="2446" spans="1:24">
      <c r="A2446">
        <f>HYPERLINK("https://www.philgeps.gov.ph/GEPSNONPILOT/Tender/SplashBidNoticeAbstractUI.aspx?menuIndex=3&amp;refID=7047139&amp;Result=3","7047139")</f>
        <v>0</v>
      </c>
      <c r="B2446" t="s">
        <v>940</v>
      </c>
      <c r="C2446" t="s">
        <v>5516</v>
      </c>
      <c r="D2446" t="s">
        <v>18043</v>
      </c>
      <c r="E2446" t="s">
        <v>18422</v>
      </c>
      <c r="F2446" t="s">
        <v>31574</v>
      </c>
      <c r="G2446" t="s">
        <v>31581</v>
      </c>
      <c r="H2446" t="s">
        <v>31590</v>
      </c>
      <c r="I2446" t="s">
        <v>5717</v>
      </c>
      <c r="J2446" t="s">
        <v>31845</v>
      </c>
      <c r="K2446" t="s">
        <v>41197</v>
      </c>
      <c r="M2446" t="s">
        <v>42467</v>
      </c>
      <c r="N2446" t="s">
        <v>45095</v>
      </c>
      <c r="O2446" t="s">
        <v>45096</v>
      </c>
      <c r="P2446">
        <v>0</v>
      </c>
      <c r="Q2446">
        <v>0</v>
      </c>
      <c r="R2446" t="s">
        <v>45097</v>
      </c>
      <c r="S2446" t="s">
        <v>45222</v>
      </c>
      <c r="T2446" t="s">
        <v>46904</v>
      </c>
      <c r="U2446" t="s">
        <v>49562</v>
      </c>
      <c r="W2446" t="s">
        <v>42467</v>
      </c>
      <c r="X2446" t="s">
        <v>45098</v>
      </c>
    </row>
    <row r="2447" spans="1:24">
      <c r="A2447">
        <f>HYPERLINK("https://www.philgeps.gov.ph/GEPSNONPILOT/Tender/SplashBidNoticeAbstractUI.aspx?menuIndex=3&amp;refID=7003765&amp;Result=3","7003765")</f>
        <v>0</v>
      </c>
      <c r="B2447" t="s">
        <v>951</v>
      </c>
      <c r="C2447" t="s">
        <v>5537</v>
      </c>
      <c r="D2447" t="s">
        <v>18074</v>
      </c>
      <c r="E2447" t="s">
        <v>20336</v>
      </c>
      <c r="F2447" t="s">
        <v>31574</v>
      </c>
      <c r="G2447" t="s">
        <v>31582</v>
      </c>
      <c r="H2447" t="s">
        <v>31590</v>
      </c>
      <c r="I2447" t="s">
        <v>31608</v>
      </c>
      <c r="J2447" t="s">
        <v>31949</v>
      </c>
      <c r="K2447" t="s">
        <v>41190</v>
      </c>
      <c r="M2447" t="s">
        <v>42478</v>
      </c>
      <c r="N2447" t="s">
        <v>45095</v>
      </c>
      <c r="O2447" t="s">
        <v>45096</v>
      </c>
      <c r="P2447">
        <v>0</v>
      </c>
      <c r="Q2447">
        <v>0</v>
      </c>
      <c r="R2447" t="s">
        <v>45098</v>
      </c>
      <c r="S2447" t="s">
        <v>45223</v>
      </c>
      <c r="T2447" t="s">
        <v>46980</v>
      </c>
      <c r="U2447" t="s">
        <v>49563</v>
      </c>
      <c r="V2447" t="s">
        <v>60083</v>
      </c>
      <c r="W2447" t="s">
        <v>42478</v>
      </c>
      <c r="X2447" t="s">
        <v>45124</v>
      </c>
    </row>
    <row r="2448" spans="1:24">
      <c r="A2448">
        <f>HYPERLINK("https://www.philgeps.gov.ph/GEPSNONPILOT/Tender/SplashBidNoticeAbstractUI.aspx?menuIndex=3&amp;refID=6938942&amp;Result=3","6938942")</f>
        <v>0</v>
      </c>
      <c r="B2448" t="s">
        <v>840</v>
      </c>
      <c r="C2448" t="s">
        <v>5538</v>
      </c>
      <c r="E2448" t="s">
        <v>20337</v>
      </c>
      <c r="F2448" t="s">
        <v>31574</v>
      </c>
      <c r="G2448" t="s">
        <v>31582</v>
      </c>
      <c r="H2448" t="s">
        <v>31590</v>
      </c>
      <c r="I2448" t="s">
        <v>31598</v>
      </c>
      <c r="J2448" t="s">
        <v>32333</v>
      </c>
      <c r="K2448" t="s">
        <v>41184</v>
      </c>
      <c r="M2448" t="s">
        <v>42359</v>
      </c>
      <c r="N2448" t="s">
        <v>45095</v>
      </c>
      <c r="O2448" t="s">
        <v>45096</v>
      </c>
      <c r="P2448">
        <v>0</v>
      </c>
      <c r="Q2448">
        <v>12</v>
      </c>
      <c r="R2448" t="s">
        <v>45098</v>
      </c>
      <c r="S2448" t="s">
        <v>45223</v>
      </c>
      <c r="T2448" t="s">
        <v>46908</v>
      </c>
      <c r="U2448" t="s">
        <v>49561</v>
      </c>
      <c r="W2448" t="s">
        <v>42359</v>
      </c>
      <c r="X2448" t="s">
        <v>45170</v>
      </c>
    </row>
    <row r="2449" spans="1:24">
      <c r="A2449">
        <f>HYPERLINK("https://www.philgeps.gov.ph/GEPSNONPILOT/Tender/SplashBidNoticeAbstractUI.aspx?menuIndex=3&amp;refID=6938950&amp;Result=3","6938950")</f>
        <v>0</v>
      </c>
      <c r="B2449" t="s">
        <v>840</v>
      </c>
      <c r="C2449" t="s">
        <v>5539</v>
      </c>
      <c r="E2449" t="s">
        <v>20338</v>
      </c>
      <c r="F2449" t="s">
        <v>31574</v>
      </c>
      <c r="G2449" t="s">
        <v>31582</v>
      </c>
      <c r="H2449" t="s">
        <v>31590</v>
      </c>
      <c r="I2449" t="s">
        <v>31620</v>
      </c>
      <c r="J2449" t="s">
        <v>32049</v>
      </c>
      <c r="K2449" t="s">
        <v>41184</v>
      </c>
      <c r="M2449" t="s">
        <v>42359</v>
      </c>
      <c r="N2449" t="s">
        <v>45095</v>
      </c>
      <c r="O2449" t="s">
        <v>45096</v>
      </c>
      <c r="P2449">
        <v>0</v>
      </c>
      <c r="Q2449">
        <v>6</v>
      </c>
      <c r="R2449" t="s">
        <v>45098</v>
      </c>
      <c r="S2449" t="s">
        <v>45223</v>
      </c>
      <c r="T2449" t="s">
        <v>46908</v>
      </c>
      <c r="U2449" t="s">
        <v>49561</v>
      </c>
      <c r="W2449" t="s">
        <v>42359</v>
      </c>
      <c r="X2449" t="s">
        <v>45170</v>
      </c>
    </row>
    <row r="2450" spans="1:24">
      <c r="A2450">
        <f>HYPERLINK("https://www.philgeps.gov.ph/GEPSNONPILOT/Tender/SplashBidNoticeAbstractUI.aspx?menuIndex=3&amp;refID=7028722&amp;Result=3","7028722")</f>
        <v>0</v>
      </c>
      <c r="B2450" t="s">
        <v>373</v>
      </c>
      <c r="C2450" t="s">
        <v>3983</v>
      </c>
      <c r="E2450" t="s">
        <v>20339</v>
      </c>
      <c r="F2450" t="s">
        <v>31574</v>
      </c>
      <c r="G2450" t="s">
        <v>31582</v>
      </c>
      <c r="H2450" t="s">
        <v>31591</v>
      </c>
      <c r="I2450" t="s">
        <v>8822</v>
      </c>
      <c r="J2450" t="s">
        <v>31964</v>
      </c>
      <c r="K2450" t="s">
        <v>41196</v>
      </c>
      <c r="M2450" t="s">
        <v>41863</v>
      </c>
      <c r="N2450" t="s">
        <v>45095</v>
      </c>
      <c r="O2450" t="s">
        <v>45096</v>
      </c>
      <c r="P2450">
        <v>0</v>
      </c>
      <c r="Q2450">
        <v>0</v>
      </c>
      <c r="R2450" t="s">
        <v>45098</v>
      </c>
      <c r="S2450" t="s">
        <v>45223</v>
      </c>
      <c r="T2450" t="s">
        <v>47008</v>
      </c>
      <c r="U2450" t="s">
        <v>49564</v>
      </c>
      <c r="W2450" t="s">
        <v>41863</v>
      </c>
      <c r="X2450" t="s">
        <v>45109</v>
      </c>
    </row>
    <row r="2451" spans="1:24">
      <c r="A2451">
        <f>HYPERLINK("https://www.philgeps.gov.ph/GEPSNONPILOT/Tender/SplashBidNoticeAbstractUI.aspx?menuIndex=3&amp;refID=7026009&amp;Result=3","7026009")</f>
        <v>0</v>
      </c>
      <c r="B2451" t="s">
        <v>952</v>
      </c>
      <c r="C2451" t="s">
        <v>5540</v>
      </c>
      <c r="D2451" t="s">
        <v>18058</v>
      </c>
      <c r="E2451" t="s">
        <v>20340</v>
      </c>
      <c r="F2451" t="s">
        <v>31574</v>
      </c>
      <c r="G2451" t="s">
        <v>31581</v>
      </c>
      <c r="H2451" t="s">
        <v>31590</v>
      </c>
      <c r="I2451" t="s">
        <v>7185</v>
      </c>
      <c r="J2451" t="s">
        <v>31962</v>
      </c>
      <c r="K2451" t="s">
        <v>41184</v>
      </c>
      <c r="M2451" t="s">
        <v>42479</v>
      </c>
      <c r="N2451" t="s">
        <v>45095</v>
      </c>
      <c r="O2451" t="s">
        <v>45096</v>
      </c>
      <c r="P2451">
        <v>0</v>
      </c>
      <c r="Q2451">
        <v>1</v>
      </c>
      <c r="R2451" t="s">
        <v>45098</v>
      </c>
      <c r="S2451" t="s">
        <v>45223</v>
      </c>
      <c r="T2451" t="s">
        <v>47106</v>
      </c>
      <c r="U2451" t="s">
        <v>49565</v>
      </c>
      <c r="W2451" t="s">
        <v>42479</v>
      </c>
      <c r="X2451" t="s">
        <v>45110</v>
      </c>
    </row>
    <row r="2452" spans="1:24">
      <c r="A2452">
        <f>HYPERLINK("https://www.philgeps.gov.ph/GEPSNONPILOT/Tender/SplashBidNoticeAbstractUI.aspx?menuIndex=3&amp;refID=7025973&amp;Result=3","7025973")</f>
        <v>0</v>
      </c>
      <c r="B2452" t="s">
        <v>952</v>
      </c>
      <c r="C2452" t="s">
        <v>5541</v>
      </c>
      <c r="D2452" t="s">
        <v>18058</v>
      </c>
      <c r="E2452" t="s">
        <v>20341</v>
      </c>
      <c r="F2452" t="s">
        <v>31574</v>
      </c>
      <c r="G2452" t="s">
        <v>31581</v>
      </c>
      <c r="H2452" t="s">
        <v>31590</v>
      </c>
      <c r="I2452" t="s">
        <v>3487</v>
      </c>
      <c r="J2452" t="s">
        <v>31789</v>
      </c>
      <c r="K2452" t="s">
        <v>41184</v>
      </c>
      <c r="M2452" t="s">
        <v>42479</v>
      </c>
      <c r="N2452" t="s">
        <v>45095</v>
      </c>
      <c r="O2452" t="s">
        <v>45096</v>
      </c>
      <c r="P2452">
        <v>0</v>
      </c>
      <c r="Q2452">
        <v>0</v>
      </c>
      <c r="R2452" t="s">
        <v>45098</v>
      </c>
      <c r="S2452" t="s">
        <v>45223</v>
      </c>
      <c r="T2452" t="s">
        <v>47106</v>
      </c>
      <c r="U2452" t="s">
        <v>49566</v>
      </c>
      <c r="W2452" t="s">
        <v>42479</v>
      </c>
      <c r="X2452" t="s">
        <v>45110</v>
      </c>
    </row>
    <row r="2453" spans="1:24">
      <c r="A2453">
        <f>HYPERLINK("https://www.philgeps.gov.ph/GEPSNONPILOT/Tender/SplashBidNoticeAbstractUI.aspx?menuIndex=3&amp;refID=7025955&amp;Result=3","7025955")</f>
        <v>0</v>
      </c>
      <c r="B2453" t="s">
        <v>952</v>
      </c>
      <c r="C2453" t="s">
        <v>5542</v>
      </c>
      <c r="D2453" t="s">
        <v>18058</v>
      </c>
      <c r="E2453" t="s">
        <v>20342</v>
      </c>
      <c r="F2453" t="s">
        <v>31574</v>
      </c>
      <c r="G2453" t="s">
        <v>31581</v>
      </c>
      <c r="H2453" t="s">
        <v>31590</v>
      </c>
      <c r="I2453" t="s">
        <v>3651</v>
      </c>
      <c r="J2453" t="s">
        <v>33422</v>
      </c>
      <c r="K2453" t="s">
        <v>41184</v>
      </c>
      <c r="M2453" t="s">
        <v>42479</v>
      </c>
      <c r="N2453" t="s">
        <v>45095</v>
      </c>
      <c r="O2453" t="s">
        <v>45096</v>
      </c>
      <c r="P2453">
        <v>0</v>
      </c>
      <c r="Q2453">
        <v>0</v>
      </c>
      <c r="R2453" t="s">
        <v>45098</v>
      </c>
      <c r="S2453" t="s">
        <v>45223</v>
      </c>
      <c r="T2453" t="s">
        <v>47106</v>
      </c>
      <c r="U2453" t="s">
        <v>49567</v>
      </c>
      <c r="W2453" t="s">
        <v>42479</v>
      </c>
      <c r="X2453" t="s">
        <v>45110</v>
      </c>
    </row>
    <row r="2454" spans="1:24">
      <c r="A2454">
        <f>HYPERLINK("https://www.philgeps.gov.ph/GEPSNONPILOT/Tender/SplashBidNoticeAbstractUI.aspx?menuIndex=3&amp;refID=7029810&amp;Result=3","7029810")</f>
        <v>0</v>
      </c>
      <c r="B2454" t="s">
        <v>953</v>
      </c>
      <c r="C2454" t="s">
        <v>5543</v>
      </c>
      <c r="D2454" t="s">
        <v>18090</v>
      </c>
      <c r="E2454" t="s">
        <v>20343</v>
      </c>
      <c r="F2454" t="s">
        <v>31574</v>
      </c>
      <c r="G2454" t="s">
        <v>31582</v>
      </c>
      <c r="H2454" t="s">
        <v>31591</v>
      </c>
      <c r="I2454" t="s">
        <v>8822</v>
      </c>
      <c r="J2454" t="s">
        <v>33423</v>
      </c>
      <c r="K2454" t="s">
        <v>41189</v>
      </c>
      <c r="M2454" t="s">
        <v>42480</v>
      </c>
      <c r="N2454" t="s">
        <v>45095</v>
      </c>
      <c r="O2454" t="s">
        <v>45096</v>
      </c>
      <c r="P2454">
        <v>0</v>
      </c>
      <c r="Q2454">
        <v>1</v>
      </c>
      <c r="R2454" t="s">
        <v>45098</v>
      </c>
      <c r="S2454" t="s">
        <v>45223</v>
      </c>
      <c r="T2454" t="s">
        <v>47062</v>
      </c>
      <c r="U2454" t="s">
        <v>49568</v>
      </c>
      <c r="W2454" t="s">
        <v>42480</v>
      </c>
      <c r="X2454" t="s">
        <v>45108</v>
      </c>
    </row>
    <row r="2455" spans="1:24">
      <c r="A2455">
        <f>HYPERLINK("https://www.philgeps.gov.ph/GEPSNONPILOT/Tender/SplashBidNoticeAbstractUI.aspx?menuIndex=3&amp;refID=7025906&amp;Result=3","7025906")</f>
        <v>0</v>
      </c>
      <c r="B2455" t="s">
        <v>952</v>
      </c>
      <c r="C2455" t="s">
        <v>5544</v>
      </c>
      <c r="D2455" t="s">
        <v>18058</v>
      </c>
      <c r="E2455" t="s">
        <v>20344</v>
      </c>
      <c r="F2455" t="s">
        <v>31574</v>
      </c>
      <c r="G2455" t="s">
        <v>31581</v>
      </c>
      <c r="H2455" t="s">
        <v>31590</v>
      </c>
      <c r="I2455" t="s">
        <v>3487</v>
      </c>
      <c r="J2455" t="s">
        <v>33424</v>
      </c>
      <c r="K2455" t="s">
        <v>41184</v>
      </c>
      <c r="M2455" t="s">
        <v>42479</v>
      </c>
      <c r="N2455" t="s">
        <v>45095</v>
      </c>
      <c r="O2455" t="s">
        <v>45096</v>
      </c>
      <c r="P2455">
        <v>0</v>
      </c>
      <c r="Q2455">
        <v>0</v>
      </c>
      <c r="R2455" t="s">
        <v>45098</v>
      </c>
      <c r="S2455" t="s">
        <v>45223</v>
      </c>
      <c r="T2455" t="s">
        <v>47106</v>
      </c>
      <c r="U2455" t="s">
        <v>49569</v>
      </c>
      <c r="W2455" t="s">
        <v>42479</v>
      </c>
      <c r="X2455" t="s">
        <v>45110</v>
      </c>
    </row>
    <row r="2456" spans="1:24">
      <c r="A2456">
        <f>HYPERLINK("https://www.philgeps.gov.ph/GEPSNONPILOT/Tender/SplashBidNoticeAbstractUI.aspx?menuIndex=3&amp;refID=7026039&amp;Result=3","7026039")</f>
        <v>0</v>
      </c>
      <c r="B2456" t="s">
        <v>952</v>
      </c>
      <c r="C2456" t="s">
        <v>5545</v>
      </c>
      <c r="D2456" t="s">
        <v>18058</v>
      </c>
      <c r="E2456" t="s">
        <v>20345</v>
      </c>
      <c r="F2456" t="s">
        <v>31574</v>
      </c>
      <c r="G2456" t="s">
        <v>31581</v>
      </c>
      <c r="H2456" t="s">
        <v>31590</v>
      </c>
      <c r="I2456" t="s">
        <v>3487</v>
      </c>
      <c r="J2456" t="s">
        <v>32136</v>
      </c>
      <c r="K2456" t="s">
        <v>41184</v>
      </c>
      <c r="M2456" t="s">
        <v>42479</v>
      </c>
      <c r="N2456" t="s">
        <v>45095</v>
      </c>
      <c r="O2456" t="s">
        <v>45096</v>
      </c>
      <c r="P2456">
        <v>0</v>
      </c>
      <c r="Q2456">
        <v>1</v>
      </c>
      <c r="R2456" t="s">
        <v>45098</v>
      </c>
      <c r="S2456" t="s">
        <v>45223</v>
      </c>
      <c r="T2456" t="s">
        <v>47106</v>
      </c>
      <c r="U2456" t="s">
        <v>49570</v>
      </c>
      <c r="W2456" t="s">
        <v>42479</v>
      </c>
      <c r="X2456" t="s">
        <v>45110</v>
      </c>
    </row>
    <row r="2457" spans="1:24">
      <c r="A2457">
        <f>HYPERLINK("https://www.philgeps.gov.ph/GEPSNONPILOT/Tender/SplashBidNoticeAbstractUI.aspx?menuIndex=3&amp;refID=7025930&amp;Result=3","7025930")</f>
        <v>0</v>
      </c>
      <c r="B2457" t="s">
        <v>952</v>
      </c>
      <c r="C2457" t="s">
        <v>5546</v>
      </c>
      <c r="D2457" t="s">
        <v>18058</v>
      </c>
      <c r="E2457" t="s">
        <v>20346</v>
      </c>
      <c r="F2457" t="s">
        <v>31574</v>
      </c>
      <c r="G2457" t="s">
        <v>31583</v>
      </c>
      <c r="H2457" t="s">
        <v>31590</v>
      </c>
      <c r="I2457" t="s">
        <v>14544</v>
      </c>
      <c r="J2457" t="s">
        <v>33425</v>
      </c>
      <c r="K2457" t="s">
        <v>41184</v>
      </c>
      <c r="M2457" t="s">
        <v>42479</v>
      </c>
      <c r="N2457" t="s">
        <v>45095</v>
      </c>
      <c r="O2457" t="s">
        <v>45096</v>
      </c>
      <c r="P2457">
        <v>0</v>
      </c>
      <c r="Q2457">
        <v>1</v>
      </c>
      <c r="R2457" t="s">
        <v>45098</v>
      </c>
      <c r="S2457" t="s">
        <v>45223</v>
      </c>
      <c r="T2457" t="s">
        <v>47106</v>
      </c>
      <c r="U2457" t="s">
        <v>49566</v>
      </c>
      <c r="W2457" t="s">
        <v>42479</v>
      </c>
      <c r="X2457" t="s">
        <v>45110</v>
      </c>
    </row>
    <row r="2458" spans="1:24">
      <c r="A2458">
        <f>HYPERLINK("https://www.philgeps.gov.ph/GEPSNONPILOT/Tender/SplashBidNoticeAbstractUI.aspx?menuIndex=3&amp;refID=7025885&amp;Result=3","7025885")</f>
        <v>0</v>
      </c>
      <c r="B2458" t="s">
        <v>952</v>
      </c>
      <c r="C2458" t="s">
        <v>5547</v>
      </c>
      <c r="D2458" t="s">
        <v>18058</v>
      </c>
      <c r="E2458" t="s">
        <v>20347</v>
      </c>
      <c r="F2458" t="s">
        <v>31574</v>
      </c>
      <c r="G2458" t="s">
        <v>31581</v>
      </c>
      <c r="H2458" t="s">
        <v>31590</v>
      </c>
      <c r="I2458" t="s">
        <v>3539</v>
      </c>
      <c r="J2458" t="s">
        <v>33125</v>
      </c>
      <c r="K2458" t="s">
        <v>41184</v>
      </c>
      <c r="M2458" t="s">
        <v>42479</v>
      </c>
      <c r="N2458" t="s">
        <v>45095</v>
      </c>
      <c r="O2458" t="s">
        <v>45096</v>
      </c>
      <c r="P2458">
        <v>0</v>
      </c>
      <c r="Q2458">
        <v>0</v>
      </c>
      <c r="R2458" t="s">
        <v>45098</v>
      </c>
      <c r="S2458" t="s">
        <v>45223</v>
      </c>
      <c r="T2458" t="s">
        <v>47106</v>
      </c>
      <c r="U2458" t="s">
        <v>49571</v>
      </c>
      <c r="W2458" t="s">
        <v>42479</v>
      </c>
      <c r="X2458" t="s">
        <v>45110</v>
      </c>
    </row>
    <row r="2459" spans="1:24">
      <c r="A2459">
        <f>HYPERLINK("https://www.philgeps.gov.ph/GEPSNONPILOT/Tender/SplashBidNoticeAbstractUI.aspx?menuIndex=3&amp;refID=7027411&amp;Result=3","7027411")</f>
        <v>0</v>
      </c>
      <c r="B2459" t="s">
        <v>954</v>
      </c>
      <c r="C2459" t="s">
        <v>5548</v>
      </c>
      <c r="D2459" t="s">
        <v>18058</v>
      </c>
      <c r="E2459" t="s">
        <v>20348</v>
      </c>
      <c r="F2459" t="s">
        <v>31574</v>
      </c>
      <c r="G2459" t="s">
        <v>31583</v>
      </c>
      <c r="H2459" t="s">
        <v>31590</v>
      </c>
      <c r="I2459" t="s">
        <v>5717</v>
      </c>
      <c r="J2459" t="s">
        <v>33426</v>
      </c>
      <c r="K2459" t="s">
        <v>41193</v>
      </c>
      <c r="M2459" t="s">
        <v>42481</v>
      </c>
      <c r="N2459" t="s">
        <v>45095</v>
      </c>
      <c r="O2459" t="s">
        <v>45096</v>
      </c>
      <c r="P2459">
        <v>0</v>
      </c>
      <c r="Q2459">
        <v>2</v>
      </c>
      <c r="R2459" t="s">
        <v>45098</v>
      </c>
      <c r="S2459" t="s">
        <v>45223</v>
      </c>
      <c r="T2459" t="s">
        <v>47106</v>
      </c>
      <c r="U2459" t="s">
        <v>49572</v>
      </c>
      <c r="W2459" t="s">
        <v>42481</v>
      </c>
      <c r="X2459" t="s">
        <v>45109</v>
      </c>
    </row>
    <row r="2460" spans="1:24">
      <c r="A2460">
        <f>HYPERLINK("https://www.philgeps.gov.ph/GEPSNONPILOT/Tender/SplashBidNoticeAbstractUI.aspx?menuIndex=3&amp;refID=7029832&amp;Result=3","7029832")</f>
        <v>0</v>
      </c>
      <c r="B2460" t="s">
        <v>955</v>
      </c>
      <c r="C2460" t="s">
        <v>5549</v>
      </c>
      <c r="D2460" t="s">
        <v>18043</v>
      </c>
      <c r="E2460" t="s">
        <v>20349</v>
      </c>
      <c r="F2460" t="s">
        <v>31574</v>
      </c>
      <c r="G2460" t="s">
        <v>31581</v>
      </c>
      <c r="H2460" t="s">
        <v>31590</v>
      </c>
      <c r="I2460" t="s">
        <v>4046</v>
      </c>
      <c r="J2460" t="s">
        <v>33427</v>
      </c>
      <c r="K2460" t="s">
        <v>41186</v>
      </c>
      <c r="M2460" t="s">
        <v>42482</v>
      </c>
      <c r="N2460" t="s">
        <v>45095</v>
      </c>
      <c r="O2460" t="s">
        <v>45096</v>
      </c>
      <c r="P2460">
        <v>0</v>
      </c>
      <c r="Q2460">
        <v>0</v>
      </c>
      <c r="R2460" t="s">
        <v>45098</v>
      </c>
      <c r="S2460" t="s">
        <v>45223</v>
      </c>
      <c r="T2460" t="s">
        <v>46980</v>
      </c>
      <c r="U2460" t="s">
        <v>49573</v>
      </c>
      <c r="W2460" t="s">
        <v>42482</v>
      </c>
      <c r="X2460" t="s">
        <v>45108</v>
      </c>
    </row>
    <row r="2461" spans="1:24">
      <c r="A2461">
        <f>HYPERLINK("https://www.philgeps.gov.ph/GEPSNONPILOT/Tender/SplashBidNoticeAbstractUI.aspx?menuIndex=3&amp;refID=7029812&amp;Result=3","7029812")</f>
        <v>0</v>
      </c>
      <c r="B2461" t="s">
        <v>953</v>
      </c>
      <c r="C2461" t="s">
        <v>5550</v>
      </c>
      <c r="D2461" t="s">
        <v>18090</v>
      </c>
      <c r="E2461" t="s">
        <v>20350</v>
      </c>
      <c r="F2461" t="s">
        <v>31574</v>
      </c>
      <c r="G2461" t="s">
        <v>31582</v>
      </c>
      <c r="H2461" t="s">
        <v>31591</v>
      </c>
      <c r="I2461" t="s">
        <v>8822</v>
      </c>
      <c r="J2461" t="s">
        <v>33428</v>
      </c>
      <c r="K2461" t="s">
        <v>41192</v>
      </c>
      <c r="M2461" t="s">
        <v>42480</v>
      </c>
      <c r="N2461" t="s">
        <v>45095</v>
      </c>
      <c r="O2461" t="s">
        <v>45096</v>
      </c>
      <c r="P2461">
        <v>0</v>
      </c>
      <c r="Q2461">
        <v>0</v>
      </c>
      <c r="R2461" t="s">
        <v>45098</v>
      </c>
      <c r="S2461" t="s">
        <v>45223</v>
      </c>
      <c r="T2461" t="s">
        <v>47062</v>
      </c>
      <c r="U2461" t="s">
        <v>49574</v>
      </c>
      <c r="W2461" t="s">
        <v>42480</v>
      </c>
      <c r="X2461" t="s">
        <v>45108</v>
      </c>
    </row>
    <row r="2462" spans="1:24">
      <c r="A2462">
        <f>HYPERLINK("https://www.philgeps.gov.ph/GEPSNONPILOT/Tender/SplashBidNoticeAbstractUI.aspx?menuIndex=3&amp;refID=7025858&amp;Result=3","7025858")</f>
        <v>0</v>
      </c>
      <c r="B2462" t="s">
        <v>952</v>
      </c>
      <c r="C2462" t="s">
        <v>5551</v>
      </c>
      <c r="D2462" t="s">
        <v>18058</v>
      </c>
      <c r="E2462" t="s">
        <v>20351</v>
      </c>
      <c r="F2462" t="s">
        <v>31574</v>
      </c>
      <c r="G2462" t="s">
        <v>31584</v>
      </c>
      <c r="H2462" t="s">
        <v>31590</v>
      </c>
      <c r="I2462" t="s">
        <v>5717</v>
      </c>
      <c r="J2462" t="s">
        <v>33429</v>
      </c>
      <c r="K2462" t="s">
        <v>41184</v>
      </c>
      <c r="M2462" t="s">
        <v>42479</v>
      </c>
      <c r="N2462" t="s">
        <v>45095</v>
      </c>
      <c r="O2462" t="s">
        <v>45096</v>
      </c>
      <c r="P2462">
        <v>0</v>
      </c>
      <c r="Q2462">
        <v>0</v>
      </c>
      <c r="R2462" t="s">
        <v>45098</v>
      </c>
      <c r="S2462" t="s">
        <v>45223</v>
      </c>
      <c r="T2462" t="s">
        <v>47106</v>
      </c>
      <c r="U2462" t="s">
        <v>49571</v>
      </c>
      <c r="W2462" t="s">
        <v>42479</v>
      </c>
      <c r="X2462" t="s">
        <v>45110</v>
      </c>
    </row>
    <row r="2463" spans="1:24">
      <c r="A2463">
        <f>HYPERLINK("https://www.philgeps.gov.ph/GEPSNONPILOT/Tender/SplashBidNoticeAbstractUI.aspx?menuIndex=3&amp;refID=7034834&amp;Result=3","7034834")</f>
        <v>0</v>
      </c>
      <c r="B2463" t="s">
        <v>956</v>
      </c>
      <c r="C2463" t="s">
        <v>5552</v>
      </c>
      <c r="D2463" t="s">
        <v>18094</v>
      </c>
      <c r="E2463" t="s">
        <v>20352</v>
      </c>
      <c r="F2463" t="s">
        <v>31574</v>
      </c>
      <c r="G2463" t="s">
        <v>31582</v>
      </c>
      <c r="H2463" t="s">
        <v>31590</v>
      </c>
      <c r="I2463" t="s">
        <v>4327</v>
      </c>
      <c r="J2463" t="s">
        <v>32232</v>
      </c>
      <c r="K2463" t="s">
        <v>41191</v>
      </c>
      <c r="M2463" t="s">
        <v>42483</v>
      </c>
      <c r="N2463" t="s">
        <v>45095</v>
      </c>
      <c r="O2463" t="s">
        <v>45096</v>
      </c>
      <c r="P2463">
        <v>0</v>
      </c>
      <c r="Q2463">
        <v>3</v>
      </c>
      <c r="R2463" t="s">
        <v>45098</v>
      </c>
      <c r="S2463" t="s">
        <v>45223</v>
      </c>
      <c r="T2463" t="s">
        <v>47079</v>
      </c>
      <c r="U2463" t="s">
        <v>49575</v>
      </c>
      <c r="W2463" t="s">
        <v>42483</v>
      </c>
      <c r="X2463" t="s">
        <v>45105</v>
      </c>
    </row>
    <row r="2464" spans="1:24">
      <c r="A2464">
        <f>HYPERLINK("https://www.philgeps.gov.ph/GEPSNONPILOT/Tender/SplashBidNoticeAbstractUI.aspx?menuIndex=3&amp;refID=7029815&amp;Result=3","7029815")</f>
        <v>0</v>
      </c>
      <c r="B2464" t="s">
        <v>953</v>
      </c>
      <c r="C2464" t="s">
        <v>5553</v>
      </c>
      <c r="D2464" t="s">
        <v>18090</v>
      </c>
      <c r="E2464" t="s">
        <v>20353</v>
      </c>
      <c r="F2464" t="s">
        <v>31574</v>
      </c>
      <c r="G2464" t="s">
        <v>31582</v>
      </c>
      <c r="H2464" t="s">
        <v>31591</v>
      </c>
      <c r="I2464" t="s">
        <v>8822</v>
      </c>
      <c r="J2464" t="s">
        <v>33430</v>
      </c>
      <c r="K2464" t="s">
        <v>41203</v>
      </c>
      <c r="M2464" t="s">
        <v>42480</v>
      </c>
      <c r="N2464" t="s">
        <v>45095</v>
      </c>
      <c r="O2464" t="s">
        <v>45096</v>
      </c>
      <c r="P2464">
        <v>0</v>
      </c>
      <c r="Q2464">
        <v>0</v>
      </c>
      <c r="R2464" t="s">
        <v>45098</v>
      </c>
      <c r="S2464" t="s">
        <v>45223</v>
      </c>
      <c r="T2464" t="s">
        <v>47062</v>
      </c>
      <c r="U2464" t="s">
        <v>49576</v>
      </c>
      <c r="W2464" t="s">
        <v>42480</v>
      </c>
      <c r="X2464" t="s">
        <v>45108</v>
      </c>
    </row>
    <row r="2465" spans="1:24">
      <c r="A2465">
        <f>HYPERLINK("https://www.philgeps.gov.ph/GEPSNONPILOT/Tender/SplashBidNoticeAbstractUI.aspx?menuIndex=3&amp;refID=7028693&amp;Result=3","7028693")</f>
        <v>0</v>
      </c>
      <c r="B2465" t="s">
        <v>373</v>
      </c>
      <c r="C2465" t="s">
        <v>3983</v>
      </c>
      <c r="E2465" t="s">
        <v>20354</v>
      </c>
      <c r="F2465" t="s">
        <v>31574</v>
      </c>
      <c r="G2465" t="s">
        <v>31582</v>
      </c>
      <c r="H2465" t="s">
        <v>31591</v>
      </c>
      <c r="I2465" t="s">
        <v>8822</v>
      </c>
      <c r="J2465" t="s">
        <v>31727</v>
      </c>
      <c r="K2465" t="s">
        <v>41278</v>
      </c>
      <c r="M2465" t="s">
        <v>41863</v>
      </c>
      <c r="N2465" t="s">
        <v>45095</v>
      </c>
      <c r="O2465" t="s">
        <v>45096</v>
      </c>
      <c r="P2465">
        <v>0</v>
      </c>
      <c r="Q2465">
        <v>0</v>
      </c>
      <c r="R2465" t="s">
        <v>45098</v>
      </c>
      <c r="S2465" t="s">
        <v>45223</v>
      </c>
      <c r="T2465" t="s">
        <v>47008</v>
      </c>
      <c r="U2465" t="s">
        <v>49577</v>
      </c>
      <c r="W2465" t="s">
        <v>41863</v>
      </c>
      <c r="X2465" t="s">
        <v>45109</v>
      </c>
    </row>
    <row r="2466" spans="1:24">
      <c r="A2466">
        <f>HYPERLINK("https://www.philgeps.gov.ph/GEPSNONPILOT/Tender/SplashBidNoticeAbstractUI.aspx?menuIndex=3&amp;refID=7032022&amp;Result=3","7032022")</f>
        <v>0</v>
      </c>
      <c r="B2466" t="s">
        <v>957</v>
      </c>
      <c r="C2466" t="s">
        <v>5554</v>
      </c>
      <c r="D2466" t="s">
        <v>18075</v>
      </c>
      <c r="E2466" t="s">
        <v>20355</v>
      </c>
      <c r="F2466" t="s">
        <v>31574</v>
      </c>
      <c r="G2466" t="s">
        <v>31582</v>
      </c>
      <c r="H2466" t="s">
        <v>31591</v>
      </c>
      <c r="I2466" t="s">
        <v>8822</v>
      </c>
      <c r="J2466" t="s">
        <v>33431</v>
      </c>
      <c r="K2466" t="s">
        <v>41249</v>
      </c>
      <c r="M2466" t="s">
        <v>42484</v>
      </c>
      <c r="N2466" t="s">
        <v>45095</v>
      </c>
      <c r="O2466" t="s">
        <v>45096</v>
      </c>
      <c r="P2466">
        <v>0</v>
      </c>
      <c r="Q2466">
        <v>1</v>
      </c>
      <c r="R2466" t="s">
        <v>45098</v>
      </c>
      <c r="S2466" t="s">
        <v>45223</v>
      </c>
      <c r="T2466" t="s">
        <v>47073</v>
      </c>
      <c r="U2466" t="s">
        <v>49578</v>
      </c>
      <c r="W2466" t="s">
        <v>42484</v>
      </c>
      <c r="X2466" t="s">
        <v>45107</v>
      </c>
    </row>
    <row r="2467" spans="1:24">
      <c r="A2467">
        <f>HYPERLINK("https://www.philgeps.gov.ph/GEPSNONPILOT/Tender/SplashBidNoticeAbstractUI.aspx?menuIndex=3&amp;refID=7033928&amp;Result=3","7033928")</f>
        <v>0</v>
      </c>
      <c r="B2467" t="s">
        <v>958</v>
      </c>
      <c r="C2467" t="s">
        <v>5555</v>
      </c>
      <c r="D2467" t="s">
        <v>18052</v>
      </c>
      <c r="E2467" t="s">
        <v>19061</v>
      </c>
      <c r="F2467" t="s">
        <v>31574</v>
      </c>
      <c r="G2467" t="s">
        <v>31584</v>
      </c>
      <c r="H2467" t="s">
        <v>31590</v>
      </c>
      <c r="I2467" t="s">
        <v>31605</v>
      </c>
      <c r="J2467" t="s">
        <v>31789</v>
      </c>
      <c r="K2467" t="s">
        <v>41211</v>
      </c>
      <c r="M2467" t="s">
        <v>42485</v>
      </c>
      <c r="N2467" t="s">
        <v>45095</v>
      </c>
      <c r="O2467" t="s">
        <v>45096</v>
      </c>
      <c r="P2467">
        <v>0</v>
      </c>
      <c r="Q2467">
        <v>1</v>
      </c>
      <c r="R2467" t="s">
        <v>45098</v>
      </c>
      <c r="S2467" t="s">
        <v>45223</v>
      </c>
      <c r="T2467" t="s">
        <v>46936</v>
      </c>
      <c r="U2467" t="s">
        <v>49579</v>
      </c>
      <c r="W2467" t="s">
        <v>42485</v>
      </c>
      <c r="X2467" t="s">
        <v>45105</v>
      </c>
    </row>
    <row r="2468" spans="1:24">
      <c r="A2468">
        <f>HYPERLINK("https://www.philgeps.gov.ph/GEPSNONPILOT/Tender/SplashBidNoticeAbstractUI.aspx?menuIndex=3&amp;refID=7034806&amp;Result=3","7034806")</f>
        <v>0</v>
      </c>
      <c r="B2468" t="s">
        <v>956</v>
      </c>
      <c r="C2468" t="s">
        <v>5556</v>
      </c>
      <c r="E2468" t="s">
        <v>20356</v>
      </c>
      <c r="F2468" t="s">
        <v>31574</v>
      </c>
      <c r="G2468" t="s">
        <v>31582</v>
      </c>
      <c r="H2468" t="s">
        <v>31590</v>
      </c>
      <c r="I2468" t="s">
        <v>14544</v>
      </c>
      <c r="J2468" t="s">
        <v>33432</v>
      </c>
      <c r="K2468" t="s">
        <v>41191</v>
      </c>
      <c r="M2468" t="s">
        <v>42483</v>
      </c>
      <c r="N2468" t="s">
        <v>45095</v>
      </c>
      <c r="O2468" t="s">
        <v>45096</v>
      </c>
      <c r="P2468">
        <v>0</v>
      </c>
      <c r="Q2468">
        <v>0</v>
      </c>
      <c r="R2468" t="s">
        <v>45098</v>
      </c>
      <c r="S2468" t="s">
        <v>45223</v>
      </c>
      <c r="T2468" t="s">
        <v>47079</v>
      </c>
      <c r="U2468" t="s">
        <v>49575</v>
      </c>
      <c r="W2468" t="s">
        <v>42483</v>
      </c>
      <c r="X2468" t="s">
        <v>45105</v>
      </c>
    </row>
    <row r="2469" spans="1:24">
      <c r="A2469">
        <f>HYPERLINK("https://www.philgeps.gov.ph/GEPSNONPILOT/Tender/SplashBidNoticeAbstractUI.aspx?menuIndex=3&amp;refID=7035500&amp;Result=3","7035500")</f>
        <v>0</v>
      </c>
      <c r="B2469" t="s">
        <v>959</v>
      </c>
      <c r="C2469" t="s">
        <v>5557</v>
      </c>
      <c r="D2469" t="s">
        <v>18040</v>
      </c>
      <c r="E2469" t="s">
        <v>20357</v>
      </c>
      <c r="F2469" t="s">
        <v>31574</v>
      </c>
      <c r="G2469" t="s">
        <v>31582</v>
      </c>
      <c r="H2469" t="s">
        <v>31590</v>
      </c>
      <c r="I2469" t="s">
        <v>31605</v>
      </c>
      <c r="J2469" t="s">
        <v>32049</v>
      </c>
      <c r="K2469" t="s">
        <v>41184</v>
      </c>
      <c r="M2469" t="s">
        <v>42486</v>
      </c>
      <c r="N2469" t="s">
        <v>45095</v>
      </c>
      <c r="O2469" t="s">
        <v>45096</v>
      </c>
      <c r="P2469">
        <v>0</v>
      </c>
      <c r="Q2469">
        <v>0</v>
      </c>
      <c r="R2469" t="s">
        <v>45098</v>
      </c>
      <c r="S2469" t="s">
        <v>45223</v>
      </c>
      <c r="T2469" t="s">
        <v>47068</v>
      </c>
      <c r="U2469" t="s">
        <v>49580</v>
      </c>
      <c r="V2469" t="s">
        <v>60084</v>
      </c>
      <c r="W2469" t="s">
        <v>42486</v>
      </c>
      <c r="X2469" t="s">
        <v>45104</v>
      </c>
    </row>
    <row r="2470" spans="1:24">
      <c r="A2470">
        <f>HYPERLINK("https://www.philgeps.gov.ph/GEPSNONPILOT/Tender/SplashBidNoticeAbstractUI.aspx?menuIndex=3&amp;refID=7034923&amp;Result=3","7034923")</f>
        <v>0</v>
      </c>
      <c r="B2470" t="s">
        <v>956</v>
      </c>
      <c r="C2470" t="s">
        <v>5558</v>
      </c>
      <c r="D2470" t="s">
        <v>18094</v>
      </c>
      <c r="E2470" t="s">
        <v>20358</v>
      </c>
      <c r="F2470" t="s">
        <v>31574</v>
      </c>
      <c r="G2470" t="s">
        <v>31582</v>
      </c>
      <c r="H2470" t="s">
        <v>31590</v>
      </c>
      <c r="I2470" t="s">
        <v>5717</v>
      </c>
      <c r="J2470" t="s">
        <v>33433</v>
      </c>
      <c r="K2470" t="s">
        <v>41191</v>
      </c>
      <c r="M2470" t="s">
        <v>42483</v>
      </c>
      <c r="N2470" t="s">
        <v>45095</v>
      </c>
      <c r="O2470" t="s">
        <v>45096</v>
      </c>
      <c r="P2470">
        <v>0</v>
      </c>
      <c r="Q2470">
        <v>1</v>
      </c>
      <c r="R2470" t="s">
        <v>45098</v>
      </c>
      <c r="S2470" t="s">
        <v>45223</v>
      </c>
      <c r="T2470" t="s">
        <v>47079</v>
      </c>
      <c r="U2470" t="s">
        <v>49575</v>
      </c>
      <c r="W2470" t="s">
        <v>42483</v>
      </c>
      <c r="X2470" t="s">
        <v>45105</v>
      </c>
    </row>
    <row r="2471" spans="1:24">
      <c r="A2471">
        <f>HYPERLINK("https://www.philgeps.gov.ph/GEPSNONPILOT/Tender/SplashBidNoticeAbstractUI.aspx?menuIndex=3&amp;refID=7034946&amp;Result=3","7034946")</f>
        <v>0</v>
      </c>
      <c r="B2471" t="s">
        <v>956</v>
      </c>
      <c r="C2471" t="s">
        <v>5559</v>
      </c>
      <c r="D2471" t="s">
        <v>18094</v>
      </c>
      <c r="E2471" t="s">
        <v>20359</v>
      </c>
      <c r="F2471" t="s">
        <v>31574</v>
      </c>
      <c r="G2471" t="s">
        <v>31582</v>
      </c>
      <c r="H2471" t="s">
        <v>31590</v>
      </c>
      <c r="I2471" t="s">
        <v>31608</v>
      </c>
      <c r="J2471" t="s">
        <v>33434</v>
      </c>
      <c r="K2471" t="s">
        <v>41191</v>
      </c>
      <c r="M2471" t="s">
        <v>42483</v>
      </c>
      <c r="N2471" t="s">
        <v>45095</v>
      </c>
      <c r="O2471" t="s">
        <v>45096</v>
      </c>
      <c r="P2471">
        <v>0</v>
      </c>
      <c r="Q2471">
        <v>1</v>
      </c>
      <c r="R2471" t="s">
        <v>45098</v>
      </c>
      <c r="S2471" t="s">
        <v>45223</v>
      </c>
      <c r="T2471" t="s">
        <v>47079</v>
      </c>
      <c r="U2471" t="s">
        <v>49575</v>
      </c>
      <c r="W2471" t="s">
        <v>42483</v>
      </c>
      <c r="X2471" t="s">
        <v>45105</v>
      </c>
    </row>
    <row r="2472" spans="1:24">
      <c r="A2472">
        <f>HYPERLINK("https://www.philgeps.gov.ph/GEPSNONPILOT/Tender/SplashBidNoticeAbstractUI.aspx?menuIndex=3&amp;refID=7035947&amp;Result=3","7035947")</f>
        <v>0</v>
      </c>
      <c r="B2472" t="s">
        <v>38</v>
      </c>
      <c r="C2472" t="s">
        <v>5560</v>
      </c>
      <c r="D2472" t="s">
        <v>18033</v>
      </c>
      <c r="E2472" t="s">
        <v>20360</v>
      </c>
      <c r="F2472" t="s">
        <v>31574</v>
      </c>
      <c r="G2472" t="s">
        <v>31582</v>
      </c>
      <c r="H2472" t="s">
        <v>31590</v>
      </c>
      <c r="I2472" t="s">
        <v>7185</v>
      </c>
      <c r="J2472" t="s">
        <v>33435</v>
      </c>
      <c r="K2472" t="s">
        <v>41194</v>
      </c>
      <c r="M2472" t="s">
        <v>42487</v>
      </c>
      <c r="N2472" t="s">
        <v>45095</v>
      </c>
      <c r="O2472" t="s">
        <v>45096</v>
      </c>
      <c r="P2472">
        <v>0</v>
      </c>
      <c r="Q2472">
        <v>2</v>
      </c>
      <c r="R2472" t="s">
        <v>45098</v>
      </c>
      <c r="S2472" t="s">
        <v>45223</v>
      </c>
      <c r="T2472" t="s">
        <v>47079</v>
      </c>
      <c r="U2472" t="s">
        <v>49581</v>
      </c>
      <c r="V2472" t="s">
        <v>60085</v>
      </c>
      <c r="W2472" t="s">
        <v>42487</v>
      </c>
      <c r="X2472" t="s">
        <v>45104</v>
      </c>
    </row>
    <row r="2473" spans="1:24">
      <c r="A2473">
        <f>HYPERLINK("https://www.philgeps.gov.ph/GEPSNONPILOT/Tender/SplashBidNoticeAbstractUI.aspx?menuIndex=3&amp;refID=7035939&amp;Result=3","7035939")</f>
        <v>0</v>
      </c>
      <c r="B2473" t="s">
        <v>38</v>
      </c>
      <c r="C2473" t="s">
        <v>5561</v>
      </c>
      <c r="D2473" t="s">
        <v>18033</v>
      </c>
      <c r="E2473" t="s">
        <v>20361</v>
      </c>
      <c r="F2473" t="s">
        <v>31574</v>
      </c>
      <c r="G2473" t="s">
        <v>31582</v>
      </c>
      <c r="H2473" t="s">
        <v>31590</v>
      </c>
      <c r="I2473" t="s">
        <v>31594</v>
      </c>
      <c r="J2473" t="s">
        <v>32258</v>
      </c>
      <c r="K2473" t="s">
        <v>41194</v>
      </c>
      <c r="M2473" t="s">
        <v>42487</v>
      </c>
      <c r="N2473" t="s">
        <v>45095</v>
      </c>
      <c r="O2473" t="s">
        <v>45096</v>
      </c>
      <c r="P2473">
        <v>0</v>
      </c>
      <c r="Q2473">
        <v>4</v>
      </c>
      <c r="R2473" t="s">
        <v>45098</v>
      </c>
      <c r="S2473" t="s">
        <v>45223</v>
      </c>
      <c r="T2473" t="s">
        <v>47079</v>
      </c>
      <c r="U2473" t="s">
        <v>49582</v>
      </c>
      <c r="V2473" t="s">
        <v>60085</v>
      </c>
      <c r="W2473" t="s">
        <v>42487</v>
      </c>
      <c r="X2473" t="s">
        <v>45104</v>
      </c>
    </row>
    <row r="2474" spans="1:24">
      <c r="A2474">
        <f>HYPERLINK("https://www.philgeps.gov.ph/GEPSNONPILOT/Tender/SplashBidNoticeAbstractUI.aspx?menuIndex=3&amp;refID=7035899&amp;Result=3","7035899")</f>
        <v>0</v>
      </c>
      <c r="B2474" t="s">
        <v>38</v>
      </c>
      <c r="C2474" t="s">
        <v>5562</v>
      </c>
      <c r="D2474" t="s">
        <v>18033</v>
      </c>
      <c r="E2474" t="s">
        <v>20362</v>
      </c>
      <c r="F2474" t="s">
        <v>31574</v>
      </c>
      <c r="G2474" t="s">
        <v>31582</v>
      </c>
      <c r="H2474" t="s">
        <v>31590</v>
      </c>
      <c r="I2474" t="s">
        <v>31594</v>
      </c>
      <c r="J2474" t="s">
        <v>33436</v>
      </c>
      <c r="K2474" t="s">
        <v>41194</v>
      </c>
      <c r="M2474" t="s">
        <v>42487</v>
      </c>
      <c r="N2474" t="s">
        <v>45095</v>
      </c>
      <c r="O2474" t="s">
        <v>45096</v>
      </c>
      <c r="P2474">
        <v>0</v>
      </c>
      <c r="Q2474">
        <v>2</v>
      </c>
      <c r="R2474" t="s">
        <v>45098</v>
      </c>
      <c r="S2474" t="s">
        <v>45223</v>
      </c>
      <c r="T2474" t="s">
        <v>47079</v>
      </c>
      <c r="U2474" t="s">
        <v>49583</v>
      </c>
      <c r="V2474" t="s">
        <v>60085</v>
      </c>
      <c r="W2474" t="s">
        <v>42487</v>
      </c>
      <c r="X2474" t="s">
        <v>45104</v>
      </c>
    </row>
    <row r="2475" spans="1:24">
      <c r="A2475">
        <f>HYPERLINK("https://www.philgeps.gov.ph/GEPSNONPILOT/Tender/SplashBidNoticeAbstractUI.aspx?menuIndex=3&amp;refID=7034934&amp;Result=3","7034934")</f>
        <v>0</v>
      </c>
      <c r="B2475" t="s">
        <v>956</v>
      </c>
      <c r="C2475" t="s">
        <v>5563</v>
      </c>
      <c r="D2475" t="s">
        <v>18094</v>
      </c>
      <c r="E2475" t="s">
        <v>20363</v>
      </c>
      <c r="F2475" t="s">
        <v>31574</v>
      </c>
      <c r="G2475" t="s">
        <v>31582</v>
      </c>
      <c r="H2475" t="s">
        <v>31590</v>
      </c>
      <c r="I2475" t="s">
        <v>4327</v>
      </c>
      <c r="J2475" t="s">
        <v>32232</v>
      </c>
      <c r="K2475" t="s">
        <v>41191</v>
      </c>
      <c r="M2475" t="s">
        <v>42483</v>
      </c>
      <c r="N2475" t="s">
        <v>45095</v>
      </c>
      <c r="O2475" t="s">
        <v>45096</v>
      </c>
      <c r="P2475">
        <v>0</v>
      </c>
      <c r="Q2475">
        <v>2</v>
      </c>
      <c r="R2475" t="s">
        <v>45098</v>
      </c>
      <c r="S2475" t="s">
        <v>45223</v>
      </c>
      <c r="T2475" t="s">
        <v>47079</v>
      </c>
      <c r="U2475" t="s">
        <v>49575</v>
      </c>
      <c r="W2475" t="s">
        <v>42483</v>
      </c>
      <c r="X2475" t="s">
        <v>45105</v>
      </c>
    </row>
    <row r="2476" spans="1:24">
      <c r="A2476">
        <f>HYPERLINK("https://www.philgeps.gov.ph/GEPSNONPILOT/Tender/SplashBidNoticeAbstractUI.aspx?menuIndex=3&amp;refID=7035532&amp;Result=3","7035532")</f>
        <v>0</v>
      </c>
      <c r="B2476" t="s">
        <v>952</v>
      </c>
      <c r="C2476" t="s">
        <v>5564</v>
      </c>
      <c r="D2476" t="s">
        <v>18058</v>
      </c>
      <c r="E2476" t="s">
        <v>20364</v>
      </c>
      <c r="F2476" t="s">
        <v>31574</v>
      </c>
      <c r="G2476" t="s">
        <v>31581</v>
      </c>
      <c r="H2476" t="s">
        <v>31590</v>
      </c>
      <c r="I2476" t="s">
        <v>3487</v>
      </c>
      <c r="J2476" t="s">
        <v>33437</v>
      </c>
      <c r="K2476" t="s">
        <v>41184</v>
      </c>
      <c r="M2476" t="s">
        <v>42479</v>
      </c>
      <c r="N2476" t="s">
        <v>45095</v>
      </c>
      <c r="O2476" t="s">
        <v>45096</v>
      </c>
      <c r="P2476">
        <v>0</v>
      </c>
      <c r="Q2476">
        <v>0</v>
      </c>
      <c r="R2476" t="s">
        <v>45098</v>
      </c>
      <c r="S2476" t="s">
        <v>45223</v>
      </c>
      <c r="T2476" t="s">
        <v>47106</v>
      </c>
      <c r="U2476" t="s">
        <v>49584</v>
      </c>
      <c r="W2476" t="s">
        <v>42479</v>
      </c>
      <c r="X2476" t="s">
        <v>45104</v>
      </c>
    </row>
    <row r="2477" spans="1:24">
      <c r="A2477">
        <f>HYPERLINK("https://www.philgeps.gov.ph/GEPSNONPILOT/Tender/SplashBidNoticeAbstractUI.aspx?menuIndex=3&amp;refID=7035922&amp;Result=3","7035922")</f>
        <v>0</v>
      </c>
      <c r="B2477" t="s">
        <v>38</v>
      </c>
      <c r="C2477" t="s">
        <v>5565</v>
      </c>
      <c r="D2477" t="s">
        <v>18033</v>
      </c>
      <c r="E2477" t="s">
        <v>20365</v>
      </c>
      <c r="F2477" t="s">
        <v>31574</v>
      </c>
      <c r="G2477" t="s">
        <v>31582</v>
      </c>
      <c r="H2477" t="s">
        <v>31590</v>
      </c>
      <c r="I2477" t="s">
        <v>31594</v>
      </c>
      <c r="J2477" t="s">
        <v>32811</v>
      </c>
      <c r="K2477" t="s">
        <v>41194</v>
      </c>
      <c r="M2477" t="s">
        <v>42487</v>
      </c>
      <c r="N2477" t="s">
        <v>45095</v>
      </c>
      <c r="O2477" t="s">
        <v>45096</v>
      </c>
      <c r="P2477">
        <v>0</v>
      </c>
      <c r="Q2477">
        <v>2</v>
      </c>
      <c r="R2477" t="s">
        <v>45098</v>
      </c>
      <c r="S2477" t="s">
        <v>45223</v>
      </c>
      <c r="T2477" t="s">
        <v>47079</v>
      </c>
      <c r="U2477" t="s">
        <v>49585</v>
      </c>
      <c r="V2477" t="s">
        <v>60085</v>
      </c>
      <c r="W2477" t="s">
        <v>42487</v>
      </c>
      <c r="X2477" t="s">
        <v>45104</v>
      </c>
    </row>
    <row r="2478" spans="1:24">
      <c r="A2478">
        <f>HYPERLINK("https://www.philgeps.gov.ph/GEPSNONPILOT/Tender/SplashBidNoticeAbstractUI.aspx?menuIndex=3&amp;refID=7035823&amp;Result=3","7035823")</f>
        <v>0</v>
      </c>
      <c r="B2478" t="s">
        <v>38</v>
      </c>
      <c r="C2478" t="s">
        <v>5566</v>
      </c>
      <c r="D2478" t="s">
        <v>18033</v>
      </c>
      <c r="E2478" t="s">
        <v>20366</v>
      </c>
      <c r="F2478" t="s">
        <v>31574</v>
      </c>
      <c r="G2478" t="s">
        <v>31582</v>
      </c>
      <c r="H2478" t="s">
        <v>31590</v>
      </c>
      <c r="I2478" t="s">
        <v>31594</v>
      </c>
      <c r="J2478" t="s">
        <v>33438</v>
      </c>
      <c r="K2478" t="s">
        <v>41194</v>
      </c>
      <c r="M2478" t="s">
        <v>42487</v>
      </c>
      <c r="N2478" t="s">
        <v>45095</v>
      </c>
      <c r="O2478" t="s">
        <v>45096</v>
      </c>
      <c r="P2478">
        <v>0</v>
      </c>
      <c r="Q2478">
        <v>3</v>
      </c>
      <c r="R2478" t="s">
        <v>45098</v>
      </c>
      <c r="S2478" t="s">
        <v>45223</v>
      </c>
      <c r="T2478" t="s">
        <v>47079</v>
      </c>
      <c r="U2478" t="s">
        <v>49586</v>
      </c>
      <c r="V2478" t="s">
        <v>60085</v>
      </c>
      <c r="W2478" t="s">
        <v>42487</v>
      </c>
      <c r="X2478" t="s">
        <v>45104</v>
      </c>
    </row>
    <row r="2479" spans="1:24">
      <c r="A2479">
        <f>HYPERLINK("https://www.philgeps.gov.ph/GEPSNONPILOT/Tender/SplashBidNoticeAbstractUI.aspx?menuIndex=3&amp;refID=7034952&amp;Result=3","7034952")</f>
        <v>0</v>
      </c>
      <c r="B2479" t="s">
        <v>956</v>
      </c>
      <c r="C2479" t="s">
        <v>5567</v>
      </c>
      <c r="D2479" t="s">
        <v>18094</v>
      </c>
      <c r="E2479" t="s">
        <v>20367</v>
      </c>
      <c r="F2479" t="s">
        <v>31574</v>
      </c>
      <c r="G2479" t="s">
        <v>31582</v>
      </c>
      <c r="H2479" t="s">
        <v>31590</v>
      </c>
      <c r="I2479" t="s">
        <v>5717</v>
      </c>
      <c r="J2479" t="s">
        <v>33439</v>
      </c>
      <c r="K2479" t="s">
        <v>41191</v>
      </c>
      <c r="M2479" t="s">
        <v>42483</v>
      </c>
      <c r="N2479" t="s">
        <v>45095</v>
      </c>
      <c r="O2479" t="s">
        <v>45096</v>
      </c>
      <c r="P2479">
        <v>0</v>
      </c>
      <c r="Q2479">
        <v>1</v>
      </c>
      <c r="R2479" t="s">
        <v>45098</v>
      </c>
      <c r="S2479" t="s">
        <v>45223</v>
      </c>
      <c r="T2479" t="s">
        <v>47079</v>
      </c>
      <c r="U2479" t="s">
        <v>49575</v>
      </c>
      <c r="W2479" t="s">
        <v>42483</v>
      </c>
      <c r="X2479" t="s">
        <v>45105</v>
      </c>
    </row>
    <row r="2480" spans="1:24">
      <c r="A2480">
        <f>HYPERLINK("https://www.philgeps.gov.ph/GEPSNONPILOT/Tender/SplashBidNoticeAbstractUI.aspx?menuIndex=3&amp;refID=7035625&amp;Result=3","7035625")</f>
        <v>0</v>
      </c>
      <c r="B2480" t="s">
        <v>38</v>
      </c>
      <c r="C2480" t="s">
        <v>5568</v>
      </c>
      <c r="D2480" t="s">
        <v>18033</v>
      </c>
      <c r="E2480" t="s">
        <v>20368</v>
      </c>
      <c r="F2480" t="s">
        <v>31574</v>
      </c>
      <c r="G2480" t="s">
        <v>31582</v>
      </c>
      <c r="H2480" t="s">
        <v>31590</v>
      </c>
      <c r="I2480" t="s">
        <v>7185</v>
      </c>
      <c r="J2480" t="s">
        <v>33440</v>
      </c>
      <c r="K2480" t="s">
        <v>41194</v>
      </c>
      <c r="M2480" t="s">
        <v>42487</v>
      </c>
      <c r="N2480" t="s">
        <v>45095</v>
      </c>
      <c r="O2480" t="s">
        <v>45096</v>
      </c>
      <c r="P2480">
        <v>0</v>
      </c>
      <c r="Q2480">
        <v>2</v>
      </c>
      <c r="R2480" t="s">
        <v>45098</v>
      </c>
      <c r="S2480" t="s">
        <v>45223</v>
      </c>
      <c r="T2480" t="s">
        <v>47079</v>
      </c>
      <c r="U2480" t="s">
        <v>49587</v>
      </c>
      <c r="V2480" t="s">
        <v>60085</v>
      </c>
      <c r="W2480" t="s">
        <v>42487</v>
      </c>
      <c r="X2480" t="s">
        <v>45104</v>
      </c>
    </row>
    <row r="2481" spans="1:24">
      <c r="A2481">
        <f>HYPERLINK("https://www.philgeps.gov.ph/GEPSNONPILOT/Tender/SplashBidNoticeAbstractUI.aspx?menuIndex=3&amp;refID=7035781&amp;Result=3","7035781")</f>
        <v>0</v>
      </c>
      <c r="B2481" t="s">
        <v>38</v>
      </c>
      <c r="C2481" t="s">
        <v>5569</v>
      </c>
      <c r="D2481" t="s">
        <v>18033</v>
      </c>
      <c r="E2481" t="s">
        <v>20369</v>
      </c>
      <c r="F2481" t="s">
        <v>31574</v>
      </c>
      <c r="G2481" t="s">
        <v>31582</v>
      </c>
      <c r="H2481" t="s">
        <v>31590</v>
      </c>
      <c r="I2481" t="s">
        <v>8258</v>
      </c>
      <c r="J2481" t="s">
        <v>33441</v>
      </c>
      <c r="K2481" t="s">
        <v>41194</v>
      </c>
      <c r="M2481" t="s">
        <v>42487</v>
      </c>
      <c r="N2481" t="s">
        <v>45095</v>
      </c>
      <c r="O2481" t="s">
        <v>45096</v>
      </c>
      <c r="P2481">
        <v>0</v>
      </c>
      <c r="Q2481">
        <v>6</v>
      </c>
      <c r="R2481" t="s">
        <v>45098</v>
      </c>
      <c r="S2481" t="s">
        <v>45223</v>
      </c>
      <c r="T2481" t="s">
        <v>47079</v>
      </c>
      <c r="U2481" t="s">
        <v>49588</v>
      </c>
      <c r="V2481" t="s">
        <v>60085</v>
      </c>
      <c r="W2481" t="s">
        <v>42487</v>
      </c>
      <c r="X2481" t="s">
        <v>45104</v>
      </c>
    </row>
    <row r="2482" spans="1:24">
      <c r="A2482">
        <f>HYPERLINK("https://www.philgeps.gov.ph/GEPSNONPILOT/Tender/SplashBidNoticeAbstractUI.aspx?menuIndex=3&amp;refID=7037096&amp;Result=3","7037096")</f>
        <v>0</v>
      </c>
      <c r="B2482" t="s">
        <v>960</v>
      </c>
      <c r="C2482" t="s">
        <v>5570</v>
      </c>
      <c r="D2482" t="s">
        <v>18052</v>
      </c>
      <c r="E2482" t="s">
        <v>20370</v>
      </c>
      <c r="F2482" t="s">
        <v>31574</v>
      </c>
      <c r="G2482" t="s">
        <v>31582</v>
      </c>
      <c r="H2482" t="s">
        <v>31590</v>
      </c>
      <c r="I2482" t="s">
        <v>31602</v>
      </c>
      <c r="J2482" t="s">
        <v>33442</v>
      </c>
      <c r="K2482" t="s">
        <v>41216</v>
      </c>
      <c r="M2482" t="s">
        <v>42488</v>
      </c>
      <c r="N2482" t="s">
        <v>45095</v>
      </c>
      <c r="O2482" t="s">
        <v>45096</v>
      </c>
      <c r="P2482">
        <v>0</v>
      </c>
      <c r="Q2482">
        <v>2</v>
      </c>
      <c r="R2482" t="s">
        <v>45098</v>
      </c>
      <c r="S2482" t="s">
        <v>45223</v>
      </c>
      <c r="T2482" t="s">
        <v>47117</v>
      </c>
      <c r="U2482" t="s">
        <v>49589</v>
      </c>
      <c r="W2482" t="s">
        <v>42488</v>
      </c>
      <c r="X2482" t="s">
        <v>45104</v>
      </c>
    </row>
    <row r="2483" spans="1:24">
      <c r="A2483">
        <f>HYPERLINK("https://www.philgeps.gov.ph/GEPSNONPILOT/Tender/SplashBidNoticeAbstractUI.aspx?menuIndex=3&amp;refID=7035976&amp;Result=3","7035976")</f>
        <v>0</v>
      </c>
      <c r="B2483" t="s">
        <v>38</v>
      </c>
      <c r="C2483" t="s">
        <v>5571</v>
      </c>
      <c r="D2483" t="s">
        <v>18033</v>
      </c>
      <c r="E2483" t="s">
        <v>20371</v>
      </c>
      <c r="F2483" t="s">
        <v>31574</v>
      </c>
      <c r="G2483" t="s">
        <v>31582</v>
      </c>
      <c r="H2483" t="s">
        <v>31590</v>
      </c>
      <c r="I2483" t="s">
        <v>31594</v>
      </c>
      <c r="J2483" t="s">
        <v>33443</v>
      </c>
      <c r="K2483" t="s">
        <v>41194</v>
      </c>
      <c r="M2483" t="s">
        <v>42487</v>
      </c>
      <c r="N2483" t="s">
        <v>45095</v>
      </c>
      <c r="O2483" t="s">
        <v>45096</v>
      </c>
      <c r="P2483">
        <v>0</v>
      </c>
      <c r="Q2483">
        <v>2</v>
      </c>
      <c r="R2483" t="s">
        <v>45098</v>
      </c>
      <c r="S2483" t="s">
        <v>45223</v>
      </c>
      <c r="T2483" t="s">
        <v>47079</v>
      </c>
      <c r="U2483" t="s">
        <v>49590</v>
      </c>
      <c r="V2483" t="s">
        <v>60086</v>
      </c>
      <c r="W2483" t="s">
        <v>42487</v>
      </c>
      <c r="X2483" t="s">
        <v>45104</v>
      </c>
    </row>
    <row r="2484" spans="1:24">
      <c r="A2484">
        <f>HYPERLINK("https://www.philgeps.gov.ph/GEPSNONPILOT/Tender/SplashBidNoticeAbstractUI.aspx?menuIndex=3&amp;refID=7038667&amp;Result=3","7038667")</f>
        <v>0</v>
      </c>
      <c r="B2484" t="s">
        <v>961</v>
      </c>
      <c r="C2484" t="s">
        <v>5572</v>
      </c>
      <c r="E2484" t="s">
        <v>20372</v>
      </c>
      <c r="F2484" t="s">
        <v>31574</v>
      </c>
      <c r="G2484" t="s">
        <v>31585</v>
      </c>
      <c r="H2484" t="s">
        <v>31590</v>
      </c>
      <c r="I2484" t="s">
        <v>31614</v>
      </c>
      <c r="J2484" t="s">
        <v>33444</v>
      </c>
      <c r="K2484" t="s">
        <v>41186</v>
      </c>
      <c r="M2484" t="s">
        <v>42489</v>
      </c>
      <c r="N2484" t="s">
        <v>45095</v>
      </c>
      <c r="O2484" t="s">
        <v>45096</v>
      </c>
      <c r="P2484">
        <v>0</v>
      </c>
      <c r="Q2484">
        <v>1</v>
      </c>
      <c r="R2484" t="s">
        <v>45098</v>
      </c>
      <c r="S2484" t="s">
        <v>45223</v>
      </c>
      <c r="T2484" t="s">
        <v>46913</v>
      </c>
      <c r="U2484" t="s">
        <v>49591</v>
      </c>
      <c r="W2484" t="s">
        <v>42489</v>
      </c>
      <c r="X2484" t="s">
        <v>45103</v>
      </c>
    </row>
    <row r="2485" spans="1:24">
      <c r="A2485">
        <f>HYPERLINK("https://www.philgeps.gov.ph/GEPSNONPILOT/Tender/SplashBidNoticeAbstractUI.aspx?menuIndex=3&amp;refID=7038928&amp;Result=3","7038928")</f>
        <v>0</v>
      </c>
      <c r="B2485" t="s">
        <v>246</v>
      </c>
      <c r="C2485" t="s">
        <v>5573</v>
      </c>
      <c r="D2485" t="s">
        <v>18033</v>
      </c>
      <c r="E2485" t="s">
        <v>20373</v>
      </c>
      <c r="F2485" t="s">
        <v>31574</v>
      </c>
      <c r="G2485" t="s">
        <v>31582</v>
      </c>
      <c r="H2485" t="s">
        <v>31590</v>
      </c>
      <c r="I2485" t="s">
        <v>31614</v>
      </c>
      <c r="J2485" t="s">
        <v>33445</v>
      </c>
      <c r="K2485" t="s">
        <v>41192</v>
      </c>
      <c r="M2485" t="s">
        <v>42490</v>
      </c>
      <c r="N2485" t="s">
        <v>45095</v>
      </c>
      <c r="O2485" t="s">
        <v>45096</v>
      </c>
      <c r="P2485">
        <v>0</v>
      </c>
      <c r="Q2485">
        <v>1</v>
      </c>
      <c r="R2485" t="s">
        <v>45098</v>
      </c>
      <c r="S2485" t="s">
        <v>45223</v>
      </c>
      <c r="T2485" t="s">
        <v>47028</v>
      </c>
      <c r="U2485" t="s">
        <v>49592</v>
      </c>
      <c r="W2485" t="s">
        <v>42490</v>
      </c>
      <c r="X2485" t="s">
        <v>45103</v>
      </c>
    </row>
    <row r="2486" spans="1:24">
      <c r="A2486">
        <f>HYPERLINK("https://www.philgeps.gov.ph/GEPSNONPILOT/Tender/SplashBidNoticeAbstractUI.aspx?menuIndex=3&amp;refID=7035963&amp;Result=3","7035963")</f>
        <v>0</v>
      </c>
      <c r="B2486" t="s">
        <v>38</v>
      </c>
      <c r="C2486" t="s">
        <v>5574</v>
      </c>
      <c r="D2486" t="s">
        <v>18033</v>
      </c>
      <c r="E2486" t="s">
        <v>20374</v>
      </c>
      <c r="F2486" t="s">
        <v>31574</v>
      </c>
      <c r="G2486" t="s">
        <v>31582</v>
      </c>
      <c r="H2486" t="s">
        <v>31590</v>
      </c>
      <c r="I2486" t="s">
        <v>31594</v>
      </c>
      <c r="J2486" t="s">
        <v>33446</v>
      </c>
      <c r="K2486" t="s">
        <v>41194</v>
      </c>
      <c r="M2486" t="s">
        <v>42487</v>
      </c>
      <c r="N2486" t="s">
        <v>45095</v>
      </c>
      <c r="O2486" t="s">
        <v>45096</v>
      </c>
      <c r="P2486">
        <v>0</v>
      </c>
      <c r="Q2486">
        <v>2</v>
      </c>
      <c r="R2486" t="s">
        <v>45098</v>
      </c>
      <c r="S2486" t="s">
        <v>45223</v>
      </c>
      <c r="T2486" t="s">
        <v>47079</v>
      </c>
      <c r="U2486" t="s">
        <v>49593</v>
      </c>
      <c r="V2486" t="s">
        <v>60085</v>
      </c>
      <c r="W2486" t="s">
        <v>42487</v>
      </c>
      <c r="X2486" t="s">
        <v>45104</v>
      </c>
    </row>
    <row r="2487" spans="1:24">
      <c r="A2487">
        <f>HYPERLINK("https://www.philgeps.gov.ph/GEPSNONPILOT/Tender/SplashBidNoticeAbstractUI.aspx?menuIndex=3&amp;refID=7037160&amp;Result=3","7037160")</f>
        <v>0</v>
      </c>
      <c r="B2487" t="s">
        <v>952</v>
      </c>
      <c r="C2487" t="s">
        <v>5575</v>
      </c>
      <c r="D2487" t="s">
        <v>18058</v>
      </c>
      <c r="E2487" t="s">
        <v>20375</v>
      </c>
      <c r="F2487" t="s">
        <v>31574</v>
      </c>
      <c r="G2487" t="s">
        <v>31581</v>
      </c>
      <c r="H2487" t="s">
        <v>31590</v>
      </c>
      <c r="I2487" t="s">
        <v>14544</v>
      </c>
      <c r="J2487" t="s">
        <v>33447</v>
      </c>
      <c r="K2487" t="s">
        <v>41184</v>
      </c>
      <c r="M2487" t="s">
        <v>42479</v>
      </c>
      <c r="N2487" t="s">
        <v>45095</v>
      </c>
      <c r="O2487" t="s">
        <v>45096</v>
      </c>
      <c r="P2487">
        <v>0</v>
      </c>
      <c r="Q2487">
        <v>1</v>
      </c>
      <c r="R2487" t="s">
        <v>45098</v>
      </c>
      <c r="S2487" t="s">
        <v>45223</v>
      </c>
      <c r="T2487" t="s">
        <v>47106</v>
      </c>
      <c r="U2487" t="s">
        <v>49594</v>
      </c>
      <c r="W2487" t="s">
        <v>42479</v>
      </c>
      <c r="X2487" t="s">
        <v>45104</v>
      </c>
    </row>
    <row r="2488" spans="1:24">
      <c r="A2488">
        <f>HYPERLINK("https://www.philgeps.gov.ph/GEPSNONPILOT/Tender/SplashBidNoticeAbstractUI.aspx?menuIndex=3&amp;refID=7038709&amp;Result=3","7038709")</f>
        <v>0</v>
      </c>
      <c r="B2488" t="s">
        <v>961</v>
      </c>
      <c r="C2488" t="s">
        <v>5576</v>
      </c>
      <c r="D2488" t="s">
        <v>18023</v>
      </c>
      <c r="E2488" t="s">
        <v>20376</v>
      </c>
      <c r="F2488" t="s">
        <v>31574</v>
      </c>
      <c r="G2488" t="s">
        <v>31585</v>
      </c>
      <c r="H2488" t="s">
        <v>31590</v>
      </c>
      <c r="I2488" t="s">
        <v>31599</v>
      </c>
      <c r="J2488" t="s">
        <v>33448</v>
      </c>
      <c r="K2488" t="s">
        <v>41196</v>
      </c>
      <c r="M2488" t="s">
        <v>42489</v>
      </c>
      <c r="N2488" t="s">
        <v>45095</v>
      </c>
      <c r="O2488" t="s">
        <v>45096</v>
      </c>
      <c r="P2488">
        <v>0</v>
      </c>
      <c r="Q2488">
        <v>0</v>
      </c>
      <c r="R2488" t="s">
        <v>45098</v>
      </c>
      <c r="S2488" t="s">
        <v>45223</v>
      </c>
      <c r="T2488" t="s">
        <v>46913</v>
      </c>
      <c r="U2488" t="s">
        <v>49595</v>
      </c>
      <c r="W2488" t="s">
        <v>42489</v>
      </c>
      <c r="X2488" t="s">
        <v>45103</v>
      </c>
    </row>
    <row r="2489" spans="1:24">
      <c r="A2489">
        <f>HYPERLINK("https://www.philgeps.gov.ph/GEPSNONPILOT/Tender/SplashBidNoticeAbstractUI.aspx?menuIndex=3&amp;refID=7035997&amp;Result=3","7035997")</f>
        <v>0</v>
      </c>
      <c r="B2489" t="s">
        <v>38</v>
      </c>
      <c r="C2489" t="s">
        <v>5577</v>
      </c>
      <c r="D2489" t="s">
        <v>18033</v>
      </c>
      <c r="E2489" t="s">
        <v>20377</v>
      </c>
      <c r="F2489" t="s">
        <v>31574</v>
      </c>
      <c r="G2489" t="s">
        <v>31582</v>
      </c>
      <c r="H2489" t="s">
        <v>31590</v>
      </c>
      <c r="I2489" t="s">
        <v>31594</v>
      </c>
      <c r="J2489" t="s">
        <v>33449</v>
      </c>
      <c r="K2489" t="s">
        <v>41194</v>
      </c>
      <c r="M2489" t="s">
        <v>42487</v>
      </c>
      <c r="N2489" t="s">
        <v>45095</v>
      </c>
      <c r="O2489" t="s">
        <v>45096</v>
      </c>
      <c r="P2489">
        <v>0</v>
      </c>
      <c r="Q2489">
        <v>2</v>
      </c>
      <c r="R2489" t="s">
        <v>45098</v>
      </c>
      <c r="S2489" t="s">
        <v>45223</v>
      </c>
      <c r="T2489" t="s">
        <v>47079</v>
      </c>
      <c r="U2489" t="s">
        <v>49596</v>
      </c>
      <c r="V2489" t="s">
        <v>60085</v>
      </c>
      <c r="W2489" t="s">
        <v>42487</v>
      </c>
      <c r="X2489" t="s">
        <v>45104</v>
      </c>
    </row>
    <row r="2490" spans="1:24">
      <c r="A2490">
        <f>HYPERLINK("https://www.philgeps.gov.ph/GEPSNONPILOT/Tender/SplashBidNoticeAbstractUI.aspx?menuIndex=3&amp;refID=7038266&amp;Result=3","7038266")</f>
        <v>0</v>
      </c>
      <c r="B2490" t="s">
        <v>84</v>
      </c>
      <c r="C2490" t="s">
        <v>5578</v>
      </c>
      <c r="D2490" t="s">
        <v>18022</v>
      </c>
      <c r="E2490" t="s">
        <v>20378</v>
      </c>
      <c r="F2490" t="s">
        <v>31574</v>
      </c>
      <c r="G2490" t="s">
        <v>31581</v>
      </c>
      <c r="H2490" t="s">
        <v>31590</v>
      </c>
      <c r="I2490" t="s">
        <v>31648</v>
      </c>
      <c r="J2490" t="s">
        <v>32562</v>
      </c>
      <c r="K2490" t="s">
        <v>41184</v>
      </c>
      <c r="M2490" t="s">
        <v>41568</v>
      </c>
      <c r="N2490" t="s">
        <v>45095</v>
      </c>
      <c r="O2490" t="s">
        <v>45096</v>
      </c>
      <c r="P2490">
        <v>0</v>
      </c>
      <c r="Q2490">
        <v>0</v>
      </c>
      <c r="R2490" t="s">
        <v>45098</v>
      </c>
      <c r="S2490" t="s">
        <v>45223</v>
      </c>
      <c r="T2490" t="s">
        <v>46973</v>
      </c>
      <c r="U2490" t="s">
        <v>49597</v>
      </c>
      <c r="W2490" t="s">
        <v>41568</v>
      </c>
      <c r="X2490" t="s">
        <v>45103</v>
      </c>
    </row>
    <row r="2491" spans="1:24">
      <c r="A2491">
        <f>HYPERLINK("https://www.philgeps.gov.ph/GEPSNONPILOT/Tender/SplashBidNoticeAbstractUI.aspx?menuIndex=3&amp;refID=7036167&amp;Result=3","7036167")</f>
        <v>0</v>
      </c>
      <c r="B2491" t="s">
        <v>363</v>
      </c>
      <c r="C2491" t="s">
        <v>5579</v>
      </c>
      <c r="D2491" t="s">
        <v>18044</v>
      </c>
      <c r="E2491" t="s">
        <v>20379</v>
      </c>
      <c r="F2491" t="s">
        <v>31574</v>
      </c>
      <c r="G2491" t="s">
        <v>31582</v>
      </c>
      <c r="H2491" t="s">
        <v>31591</v>
      </c>
      <c r="I2491" t="s">
        <v>8822</v>
      </c>
      <c r="J2491" t="s">
        <v>32026</v>
      </c>
      <c r="K2491" t="s">
        <v>41184</v>
      </c>
      <c r="M2491" t="s">
        <v>41853</v>
      </c>
      <c r="N2491" t="s">
        <v>45095</v>
      </c>
      <c r="O2491" t="s">
        <v>45096</v>
      </c>
      <c r="P2491">
        <v>0</v>
      </c>
      <c r="Q2491">
        <v>0</v>
      </c>
      <c r="R2491" t="s">
        <v>45098</v>
      </c>
      <c r="S2491" t="s">
        <v>45223</v>
      </c>
      <c r="T2491" t="s">
        <v>47028</v>
      </c>
      <c r="U2491" t="s">
        <v>49598</v>
      </c>
      <c r="W2491" t="s">
        <v>41853</v>
      </c>
      <c r="X2491" t="s">
        <v>45104</v>
      </c>
    </row>
    <row r="2492" spans="1:24">
      <c r="A2492">
        <f>HYPERLINK("https://www.philgeps.gov.ph/GEPSNONPILOT/Tender/SplashBidNoticeAbstractUI.aspx?menuIndex=3&amp;refID=7037625&amp;Result=3","7037625")</f>
        <v>0</v>
      </c>
      <c r="B2492" t="s">
        <v>84</v>
      </c>
      <c r="C2492" t="s">
        <v>5580</v>
      </c>
      <c r="D2492" t="s">
        <v>18022</v>
      </c>
      <c r="E2492" t="s">
        <v>20380</v>
      </c>
      <c r="F2492" t="s">
        <v>31574</v>
      </c>
      <c r="G2492" t="s">
        <v>31581</v>
      </c>
      <c r="H2492" t="s">
        <v>31590</v>
      </c>
      <c r="I2492" t="s">
        <v>31634</v>
      </c>
      <c r="J2492" t="s">
        <v>33450</v>
      </c>
      <c r="K2492" t="s">
        <v>41193</v>
      </c>
      <c r="M2492" t="s">
        <v>42055</v>
      </c>
      <c r="N2492" t="s">
        <v>45095</v>
      </c>
      <c r="O2492" t="s">
        <v>45096</v>
      </c>
      <c r="P2492">
        <v>0</v>
      </c>
      <c r="Q2492">
        <v>2</v>
      </c>
      <c r="R2492" t="s">
        <v>45098</v>
      </c>
      <c r="S2492" t="s">
        <v>45223</v>
      </c>
      <c r="T2492" t="s">
        <v>46973</v>
      </c>
      <c r="U2492" t="s">
        <v>49599</v>
      </c>
      <c r="W2492" t="s">
        <v>42055</v>
      </c>
      <c r="X2492" t="s">
        <v>45104</v>
      </c>
    </row>
    <row r="2493" spans="1:24">
      <c r="A2493">
        <f>HYPERLINK("https://www.philgeps.gov.ph/GEPSNONPILOT/Tender/SplashBidNoticeAbstractUI.aspx?menuIndex=3&amp;refID=7037690&amp;Result=3","7037690")</f>
        <v>0</v>
      </c>
      <c r="B2493" t="s">
        <v>84</v>
      </c>
      <c r="C2493" t="s">
        <v>5581</v>
      </c>
      <c r="D2493" t="s">
        <v>18022</v>
      </c>
      <c r="E2493" t="s">
        <v>20381</v>
      </c>
      <c r="F2493" t="s">
        <v>31574</v>
      </c>
      <c r="G2493" t="s">
        <v>31581</v>
      </c>
      <c r="H2493" t="s">
        <v>31590</v>
      </c>
      <c r="I2493" t="s">
        <v>6800</v>
      </c>
      <c r="J2493" t="s">
        <v>33451</v>
      </c>
      <c r="K2493" t="s">
        <v>41193</v>
      </c>
      <c r="M2493" t="s">
        <v>42055</v>
      </c>
      <c r="N2493" t="s">
        <v>45095</v>
      </c>
      <c r="O2493" t="s">
        <v>45096</v>
      </c>
      <c r="P2493">
        <v>0</v>
      </c>
      <c r="Q2493">
        <v>0</v>
      </c>
      <c r="R2493" t="s">
        <v>45098</v>
      </c>
      <c r="S2493" t="s">
        <v>45223</v>
      </c>
      <c r="T2493" t="s">
        <v>46973</v>
      </c>
      <c r="U2493" t="s">
        <v>48559</v>
      </c>
      <c r="W2493" t="s">
        <v>42055</v>
      </c>
      <c r="X2493" t="s">
        <v>45104</v>
      </c>
    </row>
    <row r="2494" spans="1:24">
      <c r="A2494">
        <f>HYPERLINK("https://www.philgeps.gov.ph/GEPSNONPILOT/Tender/SplashBidNoticeAbstractUI.aspx?menuIndex=3&amp;refID=7039097&amp;Result=3","7039097")</f>
        <v>0</v>
      </c>
      <c r="B2494" t="s">
        <v>962</v>
      </c>
      <c r="C2494" t="s">
        <v>5582</v>
      </c>
      <c r="D2494" t="s">
        <v>18058</v>
      </c>
      <c r="E2494" t="s">
        <v>20382</v>
      </c>
      <c r="F2494" t="s">
        <v>31574</v>
      </c>
      <c r="G2494" t="s">
        <v>31581</v>
      </c>
      <c r="H2494" t="s">
        <v>31590</v>
      </c>
      <c r="I2494" t="s">
        <v>14544</v>
      </c>
      <c r="J2494" t="s">
        <v>33452</v>
      </c>
      <c r="K2494" t="s">
        <v>41213</v>
      </c>
      <c r="M2494" t="s">
        <v>42491</v>
      </c>
      <c r="N2494" t="s">
        <v>45095</v>
      </c>
      <c r="O2494" t="s">
        <v>45096</v>
      </c>
      <c r="P2494">
        <v>0</v>
      </c>
      <c r="Q2494">
        <v>1</v>
      </c>
      <c r="R2494" t="s">
        <v>45098</v>
      </c>
      <c r="S2494" t="s">
        <v>45223</v>
      </c>
      <c r="T2494" t="s">
        <v>47021</v>
      </c>
      <c r="U2494" t="s">
        <v>49600</v>
      </c>
      <c r="W2494" t="s">
        <v>42491</v>
      </c>
      <c r="X2494" t="s">
        <v>45103</v>
      </c>
    </row>
    <row r="2495" spans="1:24">
      <c r="A2495">
        <f>HYPERLINK("https://www.philgeps.gov.ph/GEPSNONPILOT/Tender/SplashBidNoticeAbstractUI.aspx?menuIndex=3&amp;refID=7037734&amp;Result=3","7037734")</f>
        <v>0</v>
      </c>
      <c r="B2495" t="s">
        <v>84</v>
      </c>
      <c r="C2495" t="s">
        <v>5583</v>
      </c>
      <c r="D2495" t="s">
        <v>18022</v>
      </c>
      <c r="E2495" t="s">
        <v>20383</v>
      </c>
      <c r="F2495" t="s">
        <v>31574</v>
      </c>
      <c r="G2495" t="s">
        <v>31581</v>
      </c>
      <c r="H2495" t="s">
        <v>31590</v>
      </c>
      <c r="I2495" t="s">
        <v>31644</v>
      </c>
      <c r="J2495" t="s">
        <v>31873</v>
      </c>
      <c r="K2495" t="s">
        <v>41184</v>
      </c>
      <c r="M2495" t="s">
        <v>42055</v>
      </c>
      <c r="N2495" t="s">
        <v>45095</v>
      </c>
      <c r="O2495" t="s">
        <v>45096</v>
      </c>
      <c r="P2495">
        <v>0</v>
      </c>
      <c r="Q2495">
        <v>2</v>
      </c>
      <c r="R2495" t="s">
        <v>45098</v>
      </c>
      <c r="S2495" t="s">
        <v>45223</v>
      </c>
      <c r="T2495" t="s">
        <v>46973</v>
      </c>
      <c r="U2495" t="s">
        <v>49601</v>
      </c>
      <c r="W2495" t="s">
        <v>42055</v>
      </c>
      <c r="X2495" t="s">
        <v>45104</v>
      </c>
    </row>
    <row r="2496" spans="1:24">
      <c r="A2496">
        <f>HYPERLINK("https://www.philgeps.gov.ph/GEPSNONPILOT/Tender/SplashBidNoticeAbstractUI.aspx?menuIndex=3&amp;refID=7038988&amp;Result=3","7038988")</f>
        <v>0</v>
      </c>
      <c r="B2496" t="s">
        <v>963</v>
      </c>
      <c r="C2496" t="s">
        <v>5584</v>
      </c>
      <c r="D2496" t="s">
        <v>18081</v>
      </c>
      <c r="E2496" t="s">
        <v>20384</v>
      </c>
      <c r="F2496" t="s">
        <v>31574</v>
      </c>
      <c r="G2496" t="s">
        <v>31583</v>
      </c>
      <c r="H2496" t="s">
        <v>31590</v>
      </c>
      <c r="I2496" t="s">
        <v>31600</v>
      </c>
      <c r="J2496" t="s">
        <v>32258</v>
      </c>
      <c r="K2496" t="s">
        <v>41184</v>
      </c>
      <c r="M2496" t="s">
        <v>42492</v>
      </c>
      <c r="N2496" t="s">
        <v>45095</v>
      </c>
      <c r="O2496" t="s">
        <v>45096</v>
      </c>
      <c r="P2496">
        <v>0</v>
      </c>
      <c r="Q2496">
        <v>0</v>
      </c>
      <c r="R2496" t="s">
        <v>45098</v>
      </c>
      <c r="S2496" t="s">
        <v>45223</v>
      </c>
      <c r="T2496" t="s">
        <v>46979</v>
      </c>
      <c r="U2496" t="s">
        <v>49602</v>
      </c>
      <c r="W2496" t="s">
        <v>61685</v>
      </c>
      <c r="X2496" t="s">
        <v>45103</v>
      </c>
    </row>
    <row r="2497" spans="1:24">
      <c r="A2497">
        <f>HYPERLINK("https://www.philgeps.gov.ph/GEPSNONPILOT/Tender/SplashBidNoticeAbstractUI.aspx?menuIndex=3&amp;refID=7039079&amp;Result=3","7039079")</f>
        <v>0</v>
      </c>
      <c r="B2497" t="s">
        <v>962</v>
      </c>
      <c r="C2497" t="s">
        <v>5585</v>
      </c>
      <c r="D2497" t="s">
        <v>18058</v>
      </c>
      <c r="E2497" t="s">
        <v>20385</v>
      </c>
      <c r="F2497" t="s">
        <v>31574</v>
      </c>
      <c r="G2497" t="s">
        <v>31581</v>
      </c>
      <c r="H2497" t="s">
        <v>31590</v>
      </c>
      <c r="I2497" t="s">
        <v>31595</v>
      </c>
      <c r="J2497" t="s">
        <v>33035</v>
      </c>
      <c r="K2497" t="s">
        <v>41213</v>
      </c>
      <c r="M2497" t="s">
        <v>42491</v>
      </c>
      <c r="N2497" t="s">
        <v>45095</v>
      </c>
      <c r="O2497" t="s">
        <v>45096</v>
      </c>
      <c r="P2497">
        <v>0</v>
      </c>
      <c r="Q2497">
        <v>0</v>
      </c>
      <c r="R2497" t="s">
        <v>45098</v>
      </c>
      <c r="S2497" t="s">
        <v>45223</v>
      </c>
      <c r="T2497" t="s">
        <v>47021</v>
      </c>
      <c r="U2497" t="s">
        <v>49603</v>
      </c>
      <c r="W2497" t="s">
        <v>42491</v>
      </c>
      <c r="X2497" t="s">
        <v>45103</v>
      </c>
    </row>
    <row r="2498" spans="1:24">
      <c r="A2498">
        <f>HYPERLINK("https://www.philgeps.gov.ph/GEPSNONPILOT/Tender/SplashBidNoticeAbstractUI.aspx?menuIndex=3&amp;refID=7038368&amp;Result=3","7038368")</f>
        <v>0</v>
      </c>
      <c r="B2498" t="s">
        <v>84</v>
      </c>
      <c r="C2498" t="s">
        <v>5586</v>
      </c>
      <c r="D2498" t="s">
        <v>18022</v>
      </c>
      <c r="E2498" t="s">
        <v>20386</v>
      </c>
      <c r="F2498" t="s">
        <v>31574</v>
      </c>
      <c r="G2498" t="s">
        <v>31581</v>
      </c>
      <c r="H2498" t="s">
        <v>31590</v>
      </c>
      <c r="I2498" t="s">
        <v>3487</v>
      </c>
      <c r="J2498" t="s">
        <v>33453</v>
      </c>
      <c r="K2498" t="s">
        <v>41184</v>
      </c>
      <c r="M2498" t="s">
        <v>41568</v>
      </c>
      <c r="N2498" t="s">
        <v>45095</v>
      </c>
      <c r="O2498" t="s">
        <v>45096</v>
      </c>
      <c r="P2498">
        <v>0</v>
      </c>
      <c r="Q2498">
        <v>0</v>
      </c>
      <c r="R2498" t="s">
        <v>45098</v>
      </c>
      <c r="S2498" t="s">
        <v>45223</v>
      </c>
      <c r="T2498" t="s">
        <v>46973</v>
      </c>
      <c r="U2498" t="s">
        <v>49604</v>
      </c>
      <c r="W2498" t="s">
        <v>41568</v>
      </c>
      <c r="X2498" t="s">
        <v>45103</v>
      </c>
    </row>
    <row r="2499" spans="1:24">
      <c r="A2499">
        <f>HYPERLINK("https://www.philgeps.gov.ph/GEPSNONPILOT/Tender/SplashBidNoticeAbstractUI.aspx?menuIndex=3&amp;refID=7039090&amp;Result=3","7039090")</f>
        <v>0</v>
      </c>
      <c r="B2499" t="s">
        <v>962</v>
      </c>
      <c r="C2499" t="s">
        <v>5587</v>
      </c>
      <c r="D2499" t="s">
        <v>18058</v>
      </c>
      <c r="E2499" t="s">
        <v>20387</v>
      </c>
      <c r="F2499" t="s">
        <v>31574</v>
      </c>
      <c r="G2499" t="s">
        <v>31581</v>
      </c>
      <c r="H2499" t="s">
        <v>31590</v>
      </c>
      <c r="I2499" t="s">
        <v>31602</v>
      </c>
      <c r="J2499" t="s">
        <v>33454</v>
      </c>
      <c r="K2499" t="s">
        <v>41213</v>
      </c>
      <c r="M2499" t="s">
        <v>42491</v>
      </c>
      <c r="N2499" t="s">
        <v>45095</v>
      </c>
      <c r="O2499" t="s">
        <v>45096</v>
      </c>
      <c r="P2499">
        <v>0</v>
      </c>
      <c r="Q2499">
        <v>0</v>
      </c>
      <c r="R2499" t="s">
        <v>45098</v>
      </c>
      <c r="S2499" t="s">
        <v>45223</v>
      </c>
      <c r="T2499" t="s">
        <v>47021</v>
      </c>
      <c r="U2499" t="s">
        <v>49605</v>
      </c>
      <c r="W2499" t="s">
        <v>42491</v>
      </c>
      <c r="X2499" t="s">
        <v>45103</v>
      </c>
    </row>
    <row r="2500" spans="1:24">
      <c r="A2500">
        <f>HYPERLINK("https://www.philgeps.gov.ph/GEPSNONPILOT/Tender/SplashBidNoticeAbstractUI.aspx?menuIndex=3&amp;refID=7039464&amp;Result=3","7039464")</f>
        <v>0</v>
      </c>
      <c r="B2500" t="s">
        <v>964</v>
      </c>
      <c r="C2500" t="s">
        <v>5588</v>
      </c>
      <c r="D2500" t="s">
        <v>18079</v>
      </c>
      <c r="E2500" t="s">
        <v>20388</v>
      </c>
      <c r="F2500" t="s">
        <v>31575</v>
      </c>
      <c r="G2500" t="s">
        <v>31582</v>
      </c>
      <c r="H2500" t="s">
        <v>31592</v>
      </c>
      <c r="I2500" t="s">
        <v>31596</v>
      </c>
      <c r="J2500" t="s">
        <v>33455</v>
      </c>
      <c r="K2500" t="s">
        <v>41187</v>
      </c>
      <c r="M2500" t="s">
        <v>42493</v>
      </c>
      <c r="N2500" t="s">
        <v>45095</v>
      </c>
      <c r="O2500" t="s">
        <v>45096</v>
      </c>
      <c r="P2500">
        <v>0</v>
      </c>
      <c r="Q2500">
        <v>1</v>
      </c>
      <c r="R2500" t="s">
        <v>45098</v>
      </c>
      <c r="S2500" t="s">
        <v>45223</v>
      </c>
      <c r="T2500" t="s">
        <v>46908</v>
      </c>
      <c r="U2500" t="s">
        <v>49606</v>
      </c>
      <c r="W2500" t="s">
        <v>42493</v>
      </c>
      <c r="X2500" t="s">
        <v>45103</v>
      </c>
    </row>
    <row r="2501" spans="1:24">
      <c r="A2501">
        <f>HYPERLINK("https://www.philgeps.gov.ph/GEPSNONPILOT/Tender/SplashBidNoticeAbstractUI.aspx?menuIndex=3&amp;refID=7040516&amp;Result=3","7040516")</f>
        <v>0</v>
      </c>
      <c r="B2501" t="s">
        <v>957</v>
      </c>
      <c r="C2501" t="s">
        <v>5589</v>
      </c>
      <c r="D2501" t="s">
        <v>18075</v>
      </c>
      <c r="E2501" t="s">
        <v>20389</v>
      </c>
      <c r="F2501" t="s">
        <v>31574</v>
      </c>
      <c r="G2501" t="s">
        <v>31582</v>
      </c>
      <c r="H2501" t="s">
        <v>31591</v>
      </c>
      <c r="I2501" t="s">
        <v>8822</v>
      </c>
      <c r="J2501" t="s">
        <v>33456</v>
      </c>
      <c r="K2501" t="s">
        <v>41191</v>
      </c>
      <c r="M2501" t="s">
        <v>42484</v>
      </c>
      <c r="N2501" t="s">
        <v>45095</v>
      </c>
      <c r="O2501" t="s">
        <v>45096</v>
      </c>
      <c r="P2501">
        <v>0</v>
      </c>
      <c r="Q2501">
        <v>0</v>
      </c>
      <c r="R2501" t="s">
        <v>45098</v>
      </c>
      <c r="S2501" t="s">
        <v>45223</v>
      </c>
      <c r="T2501" t="s">
        <v>46980</v>
      </c>
      <c r="U2501" t="s">
        <v>49578</v>
      </c>
      <c r="W2501" t="s">
        <v>42484</v>
      </c>
      <c r="X2501" t="s">
        <v>45103</v>
      </c>
    </row>
    <row r="2502" spans="1:24">
      <c r="A2502">
        <f>HYPERLINK("https://www.philgeps.gov.ph/GEPSNONPILOT/Tender/SplashBidNoticeAbstractUI.aspx?menuIndex=3&amp;refID=7040403&amp;Result=3","7040403")</f>
        <v>0</v>
      </c>
      <c r="B2502" t="s">
        <v>957</v>
      </c>
      <c r="C2502" t="s">
        <v>5590</v>
      </c>
      <c r="D2502" t="s">
        <v>18075</v>
      </c>
      <c r="E2502" t="s">
        <v>20390</v>
      </c>
      <c r="F2502" t="s">
        <v>31574</v>
      </c>
      <c r="G2502" t="s">
        <v>31582</v>
      </c>
      <c r="H2502" t="s">
        <v>31591</v>
      </c>
      <c r="I2502" t="s">
        <v>8822</v>
      </c>
      <c r="J2502" t="s">
        <v>33457</v>
      </c>
      <c r="K2502" t="s">
        <v>41282</v>
      </c>
      <c r="M2502" t="s">
        <v>42484</v>
      </c>
      <c r="N2502" t="s">
        <v>45095</v>
      </c>
      <c r="O2502" t="s">
        <v>45096</v>
      </c>
      <c r="P2502">
        <v>0</v>
      </c>
      <c r="Q2502">
        <v>0</v>
      </c>
      <c r="R2502" t="s">
        <v>45098</v>
      </c>
      <c r="S2502" t="s">
        <v>45223</v>
      </c>
      <c r="T2502" t="s">
        <v>46980</v>
      </c>
      <c r="U2502" t="s">
        <v>49578</v>
      </c>
      <c r="W2502" t="s">
        <v>42484</v>
      </c>
      <c r="X2502" t="s">
        <v>45103</v>
      </c>
    </row>
    <row r="2503" spans="1:24">
      <c r="A2503">
        <f>HYPERLINK("https://www.philgeps.gov.ph/GEPSNONPILOT/Tender/SplashBidNoticeAbstractUI.aspx?menuIndex=3&amp;refID=7040373&amp;Result=3","7040373")</f>
        <v>0</v>
      </c>
      <c r="B2503" t="s">
        <v>957</v>
      </c>
      <c r="C2503" t="s">
        <v>5591</v>
      </c>
      <c r="D2503" t="s">
        <v>18075</v>
      </c>
      <c r="E2503" t="s">
        <v>20391</v>
      </c>
      <c r="F2503" t="s">
        <v>31574</v>
      </c>
      <c r="G2503" t="s">
        <v>31582</v>
      </c>
      <c r="H2503" t="s">
        <v>31591</v>
      </c>
      <c r="I2503" t="s">
        <v>8822</v>
      </c>
      <c r="J2503" t="s">
        <v>33458</v>
      </c>
      <c r="K2503" t="s">
        <v>41266</v>
      </c>
      <c r="M2503" t="s">
        <v>42484</v>
      </c>
      <c r="N2503" t="s">
        <v>45095</v>
      </c>
      <c r="O2503" t="s">
        <v>45096</v>
      </c>
      <c r="P2503">
        <v>0</v>
      </c>
      <c r="Q2503">
        <v>0</v>
      </c>
      <c r="R2503" t="s">
        <v>45098</v>
      </c>
      <c r="S2503" t="s">
        <v>45223</v>
      </c>
      <c r="T2503" t="s">
        <v>46980</v>
      </c>
      <c r="U2503" t="s">
        <v>49578</v>
      </c>
      <c r="W2503" t="s">
        <v>42484</v>
      </c>
      <c r="X2503" t="s">
        <v>45103</v>
      </c>
    </row>
    <row r="2504" spans="1:24">
      <c r="A2504">
        <f>HYPERLINK("https://www.philgeps.gov.ph/GEPSNONPILOT/Tender/SplashBidNoticeAbstractUI.aspx?menuIndex=3&amp;refID=7039067&amp;Result=3","7039067")</f>
        <v>0</v>
      </c>
      <c r="B2504" t="s">
        <v>962</v>
      </c>
      <c r="C2504" t="s">
        <v>5592</v>
      </c>
      <c r="D2504" t="s">
        <v>18058</v>
      </c>
      <c r="E2504" t="s">
        <v>20392</v>
      </c>
      <c r="F2504" t="s">
        <v>31574</v>
      </c>
      <c r="G2504" t="s">
        <v>31581</v>
      </c>
      <c r="H2504" t="s">
        <v>31590</v>
      </c>
      <c r="I2504" t="s">
        <v>3539</v>
      </c>
      <c r="J2504" t="s">
        <v>33459</v>
      </c>
      <c r="K2504" t="s">
        <v>41213</v>
      </c>
      <c r="M2504" t="s">
        <v>42491</v>
      </c>
      <c r="N2504" t="s">
        <v>45095</v>
      </c>
      <c r="O2504" t="s">
        <v>45096</v>
      </c>
      <c r="P2504">
        <v>0</v>
      </c>
      <c r="Q2504">
        <v>0</v>
      </c>
      <c r="R2504" t="s">
        <v>45098</v>
      </c>
      <c r="S2504" t="s">
        <v>45223</v>
      </c>
      <c r="T2504" t="s">
        <v>47021</v>
      </c>
      <c r="U2504" t="s">
        <v>48689</v>
      </c>
      <c r="W2504" t="s">
        <v>42491</v>
      </c>
      <c r="X2504" t="s">
        <v>45103</v>
      </c>
    </row>
    <row r="2505" spans="1:24">
      <c r="A2505">
        <f>HYPERLINK("https://www.philgeps.gov.ph/GEPSNONPILOT/Tender/SplashBidNoticeAbstractUI.aspx?menuIndex=3&amp;refID=7040331&amp;Result=3","7040331")</f>
        <v>0</v>
      </c>
      <c r="B2505" t="s">
        <v>965</v>
      </c>
      <c r="C2505" t="s">
        <v>5593</v>
      </c>
      <c r="E2505" t="s">
        <v>20393</v>
      </c>
      <c r="F2505" t="s">
        <v>31574</v>
      </c>
      <c r="G2505" t="s">
        <v>31582</v>
      </c>
      <c r="H2505" t="s">
        <v>31591</v>
      </c>
      <c r="I2505" t="s">
        <v>8822</v>
      </c>
      <c r="J2505" t="s">
        <v>33460</v>
      </c>
      <c r="K2505" t="s">
        <v>41184</v>
      </c>
      <c r="M2505" t="s">
        <v>42494</v>
      </c>
      <c r="N2505" t="s">
        <v>45095</v>
      </c>
      <c r="O2505" t="s">
        <v>45096</v>
      </c>
      <c r="P2505">
        <v>0</v>
      </c>
      <c r="Q2505">
        <v>2</v>
      </c>
      <c r="R2505" t="s">
        <v>45098</v>
      </c>
      <c r="S2505" t="s">
        <v>45223</v>
      </c>
      <c r="T2505" t="s">
        <v>46919</v>
      </c>
      <c r="U2505" t="s">
        <v>49607</v>
      </c>
      <c r="W2505" t="s">
        <v>42494</v>
      </c>
      <c r="X2505" t="s">
        <v>45103</v>
      </c>
    </row>
    <row r="2506" spans="1:24">
      <c r="A2506">
        <f>HYPERLINK("https://www.philgeps.gov.ph/GEPSNONPILOT/Tender/SplashBidNoticeAbstractUI.aspx?menuIndex=3&amp;refID=7040312&amp;Result=3","7040312")</f>
        <v>0</v>
      </c>
      <c r="B2506" t="s">
        <v>182</v>
      </c>
      <c r="C2506" t="s">
        <v>5594</v>
      </c>
      <c r="D2506" t="s">
        <v>18060</v>
      </c>
      <c r="E2506" t="s">
        <v>20394</v>
      </c>
      <c r="F2506" t="s">
        <v>31574</v>
      </c>
      <c r="G2506" t="s">
        <v>31581</v>
      </c>
      <c r="H2506" t="s">
        <v>31590</v>
      </c>
      <c r="I2506" t="s">
        <v>3489</v>
      </c>
      <c r="J2506" t="s">
        <v>33461</v>
      </c>
      <c r="K2506" t="s">
        <v>41190</v>
      </c>
      <c r="M2506" t="s">
        <v>41667</v>
      </c>
      <c r="N2506" t="s">
        <v>45095</v>
      </c>
      <c r="O2506" t="s">
        <v>45096</v>
      </c>
      <c r="P2506">
        <v>0</v>
      </c>
      <c r="Q2506">
        <v>0</v>
      </c>
      <c r="R2506" t="s">
        <v>45098</v>
      </c>
      <c r="S2506" t="s">
        <v>45223</v>
      </c>
      <c r="T2506" t="s">
        <v>46973</v>
      </c>
      <c r="U2506" t="s">
        <v>49608</v>
      </c>
      <c r="W2506" t="s">
        <v>41667</v>
      </c>
      <c r="X2506" t="s">
        <v>45103</v>
      </c>
    </row>
    <row r="2507" spans="1:24">
      <c r="A2507">
        <f>HYPERLINK("https://www.philgeps.gov.ph/GEPSNONPILOT/Tender/SplashBidNoticeAbstractUI.aspx?menuIndex=3&amp;refID=7040396&amp;Result=3","7040396")</f>
        <v>0</v>
      </c>
      <c r="B2507" t="s">
        <v>182</v>
      </c>
      <c r="C2507" t="s">
        <v>5595</v>
      </c>
      <c r="D2507" t="s">
        <v>18060</v>
      </c>
      <c r="E2507" t="s">
        <v>20395</v>
      </c>
      <c r="F2507" t="s">
        <v>31574</v>
      </c>
      <c r="G2507" t="s">
        <v>31581</v>
      </c>
      <c r="H2507" t="s">
        <v>31590</v>
      </c>
      <c r="I2507" t="s">
        <v>3489</v>
      </c>
      <c r="J2507" t="s">
        <v>33462</v>
      </c>
      <c r="K2507" t="s">
        <v>41190</v>
      </c>
      <c r="M2507" t="s">
        <v>41667</v>
      </c>
      <c r="N2507" t="s">
        <v>45095</v>
      </c>
      <c r="O2507" t="s">
        <v>45096</v>
      </c>
      <c r="P2507">
        <v>0</v>
      </c>
      <c r="Q2507">
        <v>0</v>
      </c>
      <c r="R2507" t="s">
        <v>45098</v>
      </c>
      <c r="S2507" t="s">
        <v>45223</v>
      </c>
      <c r="T2507" t="s">
        <v>46973</v>
      </c>
      <c r="U2507" t="s">
        <v>49609</v>
      </c>
      <c r="W2507" t="s">
        <v>41667</v>
      </c>
      <c r="X2507" t="s">
        <v>45103</v>
      </c>
    </row>
    <row r="2508" spans="1:24">
      <c r="A2508">
        <f>HYPERLINK("https://www.philgeps.gov.ph/GEPSNONPILOT/Tender/SplashBidNoticeAbstractUI.aspx?menuIndex=3&amp;refID=7036516&amp;Result=3","7036516")</f>
        <v>0</v>
      </c>
      <c r="B2508" t="s">
        <v>363</v>
      </c>
      <c r="C2508" t="s">
        <v>5596</v>
      </c>
      <c r="D2508" t="s">
        <v>18044</v>
      </c>
      <c r="E2508" t="s">
        <v>20396</v>
      </c>
      <c r="F2508" t="s">
        <v>31574</v>
      </c>
      <c r="G2508" t="s">
        <v>31582</v>
      </c>
      <c r="H2508" t="s">
        <v>31590</v>
      </c>
      <c r="I2508" t="s">
        <v>31608</v>
      </c>
      <c r="J2508" t="s">
        <v>33463</v>
      </c>
      <c r="K2508" t="s">
        <v>41184</v>
      </c>
      <c r="M2508" t="s">
        <v>41853</v>
      </c>
      <c r="N2508" t="s">
        <v>45095</v>
      </c>
      <c r="O2508" t="s">
        <v>45096</v>
      </c>
      <c r="P2508">
        <v>0</v>
      </c>
      <c r="Q2508">
        <v>8</v>
      </c>
      <c r="R2508" t="s">
        <v>45098</v>
      </c>
      <c r="S2508" t="s">
        <v>45223</v>
      </c>
      <c r="T2508" t="s">
        <v>46915</v>
      </c>
      <c r="U2508" t="s">
        <v>49610</v>
      </c>
      <c r="W2508" t="s">
        <v>41853</v>
      </c>
      <c r="X2508" t="s">
        <v>45104</v>
      </c>
    </row>
    <row r="2509" spans="1:24">
      <c r="A2509">
        <f>HYPERLINK("https://www.philgeps.gov.ph/GEPSNONPILOT/Tender/SplashBidNoticeAbstractUI.aspx?menuIndex=3&amp;refID=7039868&amp;Result=3","7039868")</f>
        <v>0</v>
      </c>
      <c r="B2509" t="s">
        <v>84</v>
      </c>
      <c r="C2509" t="s">
        <v>5597</v>
      </c>
      <c r="D2509" t="s">
        <v>18022</v>
      </c>
      <c r="E2509" t="s">
        <v>20397</v>
      </c>
      <c r="F2509" t="s">
        <v>31574</v>
      </c>
      <c r="G2509" t="s">
        <v>31581</v>
      </c>
      <c r="H2509" t="s">
        <v>31590</v>
      </c>
      <c r="I2509" t="s">
        <v>6800</v>
      </c>
      <c r="J2509" t="s">
        <v>33464</v>
      </c>
      <c r="K2509" t="s">
        <v>41184</v>
      </c>
      <c r="M2509" t="s">
        <v>41568</v>
      </c>
      <c r="N2509" t="s">
        <v>45095</v>
      </c>
      <c r="O2509" t="s">
        <v>45096</v>
      </c>
      <c r="P2509">
        <v>0</v>
      </c>
      <c r="Q2509">
        <v>1</v>
      </c>
      <c r="R2509" t="s">
        <v>45098</v>
      </c>
      <c r="S2509" t="s">
        <v>45223</v>
      </c>
      <c r="T2509" t="s">
        <v>46973</v>
      </c>
      <c r="U2509" t="s">
        <v>48559</v>
      </c>
      <c r="W2509" t="s">
        <v>41568</v>
      </c>
      <c r="X2509" t="s">
        <v>45103</v>
      </c>
    </row>
    <row r="2510" spans="1:24">
      <c r="A2510">
        <f>HYPERLINK("https://www.philgeps.gov.ph/GEPSNONPILOT/Tender/SplashBidNoticeAbstractUI.aspx?menuIndex=3&amp;refID=7040475&amp;Result=3","7040475")</f>
        <v>0</v>
      </c>
      <c r="B2510" t="s">
        <v>957</v>
      </c>
      <c r="C2510" t="s">
        <v>5598</v>
      </c>
      <c r="D2510" t="s">
        <v>18075</v>
      </c>
      <c r="E2510" t="s">
        <v>20398</v>
      </c>
      <c r="F2510" t="s">
        <v>31574</v>
      </c>
      <c r="G2510" t="s">
        <v>31582</v>
      </c>
      <c r="H2510" t="s">
        <v>31591</v>
      </c>
      <c r="I2510" t="s">
        <v>8822</v>
      </c>
      <c r="J2510" t="s">
        <v>31727</v>
      </c>
      <c r="K2510" t="s">
        <v>41206</v>
      </c>
      <c r="M2510" t="s">
        <v>42484</v>
      </c>
      <c r="N2510" t="s">
        <v>45095</v>
      </c>
      <c r="O2510" t="s">
        <v>45096</v>
      </c>
      <c r="P2510">
        <v>0</v>
      </c>
      <c r="Q2510">
        <v>0</v>
      </c>
      <c r="R2510" t="s">
        <v>45098</v>
      </c>
      <c r="S2510" t="s">
        <v>45223</v>
      </c>
      <c r="T2510" t="s">
        <v>46980</v>
      </c>
      <c r="U2510" t="s">
        <v>49578</v>
      </c>
      <c r="W2510" t="s">
        <v>42484</v>
      </c>
      <c r="X2510" t="s">
        <v>45103</v>
      </c>
    </row>
    <row r="2511" spans="1:24">
      <c r="A2511">
        <f>HYPERLINK("https://www.philgeps.gov.ph/GEPSNONPILOT/Tender/SplashBidNoticeAbstractUI.aspx?menuIndex=3&amp;refID=7040316&amp;Result=3","7040316")</f>
        <v>0</v>
      </c>
      <c r="B2511" t="s">
        <v>957</v>
      </c>
      <c r="C2511" t="s">
        <v>5599</v>
      </c>
      <c r="D2511" t="s">
        <v>18075</v>
      </c>
      <c r="E2511" t="s">
        <v>20399</v>
      </c>
      <c r="F2511" t="s">
        <v>31574</v>
      </c>
      <c r="G2511" t="s">
        <v>31582</v>
      </c>
      <c r="H2511" t="s">
        <v>31591</v>
      </c>
      <c r="I2511" t="s">
        <v>8822</v>
      </c>
      <c r="J2511" t="s">
        <v>32235</v>
      </c>
      <c r="K2511" t="s">
        <v>41283</v>
      </c>
      <c r="M2511" t="s">
        <v>42484</v>
      </c>
      <c r="N2511" t="s">
        <v>45095</v>
      </c>
      <c r="O2511" t="s">
        <v>45096</v>
      </c>
      <c r="P2511">
        <v>0</v>
      </c>
      <c r="Q2511">
        <v>0</v>
      </c>
      <c r="R2511" t="s">
        <v>45098</v>
      </c>
      <c r="S2511" t="s">
        <v>45223</v>
      </c>
      <c r="T2511" t="s">
        <v>46980</v>
      </c>
      <c r="U2511" t="s">
        <v>49578</v>
      </c>
      <c r="W2511" t="s">
        <v>42484</v>
      </c>
      <c r="X2511" t="s">
        <v>45103</v>
      </c>
    </row>
    <row r="2512" spans="1:24">
      <c r="A2512">
        <f>HYPERLINK("https://www.philgeps.gov.ph/GEPSNONPILOT/Tender/SplashBidNoticeAbstractUI.aspx?menuIndex=3&amp;refID=7040988&amp;Result=3","7040988")</f>
        <v>0</v>
      </c>
      <c r="B2512" t="s">
        <v>966</v>
      </c>
      <c r="C2512" t="s">
        <v>5600</v>
      </c>
      <c r="D2512" t="s">
        <v>18040</v>
      </c>
      <c r="E2512" t="s">
        <v>20130</v>
      </c>
      <c r="F2512" t="s">
        <v>31574</v>
      </c>
      <c r="G2512" t="s">
        <v>31582</v>
      </c>
      <c r="H2512" t="s">
        <v>31591</v>
      </c>
      <c r="I2512" t="s">
        <v>4046</v>
      </c>
      <c r="J2512" t="s">
        <v>31993</v>
      </c>
      <c r="K2512" t="s">
        <v>41193</v>
      </c>
      <c r="M2512" t="s">
        <v>42495</v>
      </c>
      <c r="N2512" t="s">
        <v>45095</v>
      </c>
      <c r="O2512" t="s">
        <v>45096</v>
      </c>
      <c r="P2512">
        <v>0</v>
      </c>
      <c r="Q2512">
        <v>0</v>
      </c>
      <c r="R2512" t="s">
        <v>45098</v>
      </c>
      <c r="S2512" t="s">
        <v>45223</v>
      </c>
      <c r="T2512" t="s">
        <v>46952</v>
      </c>
      <c r="U2512" t="s">
        <v>49611</v>
      </c>
      <c r="W2512" t="s">
        <v>42495</v>
      </c>
      <c r="X2512" t="s">
        <v>45102</v>
      </c>
    </row>
    <row r="2513" spans="1:24">
      <c r="A2513">
        <f>HYPERLINK("https://www.philgeps.gov.ph/GEPSNONPILOT/Tender/SplashBidNoticeAbstractUI.aspx?menuIndex=3&amp;refID=7040241&amp;Result=3","7040241")</f>
        <v>0</v>
      </c>
      <c r="B2513" t="s">
        <v>182</v>
      </c>
      <c r="C2513" t="s">
        <v>5594</v>
      </c>
      <c r="D2513" t="s">
        <v>18060</v>
      </c>
      <c r="E2513" t="s">
        <v>20400</v>
      </c>
      <c r="F2513" t="s">
        <v>31574</v>
      </c>
      <c r="G2513" t="s">
        <v>31581</v>
      </c>
      <c r="H2513" t="s">
        <v>31590</v>
      </c>
      <c r="I2513" t="s">
        <v>3489</v>
      </c>
      <c r="J2513" t="s">
        <v>33465</v>
      </c>
      <c r="K2513" t="s">
        <v>41190</v>
      </c>
      <c r="M2513" t="s">
        <v>41667</v>
      </c>
      <c r="N2513" t="s">
        <v>45095</v>
      </c>
      <c r="O2513" t="s">
        <v>45096</v>
      </c>
      <c r="P2513">
        <v>0</v>
      </c>
      <c r="Q2513">
        <v>0</v>
      </c>
      <c r="R2513" t="s">
        <v>45098</v>
      </c>
      <c r="S2513" t="s">
        <v>45223</v>
      </c>
      <c r="T2513" t="s">
        <v>46973</v>
      </c>
      <c r="U2513" t="s">
        <v>49612</v>
      </c>
      <c r="W2513" t="s">
        <v>41667</v>
      </c>
      <c r="X2513" t="s">
        <v>45103</v>
      </c>
    </row>
    <row r="2514" spans="1:24">
      <c r="A2514">
        <f>HYPERLINK("https://www.philgeps.gov.ph/GEPSNONPILOT/Tender/SplashBidNoticeAbstractUI.aspx?menuIndex=3&amp;refID=7041031&amp;Result=3","7041031")</f>
        <v>0</v>
      </c>
      <c r="B2514" t="s">
        <v>652</v>
      </c>
      <c r="C2514" t="s">
        <v>5601</v>
      </c>
      <c r="D2514" t="s">
        <v>18073</v>
      </c>
      <c r="E2514" t="s">
        <v>20401</v>
      </c>
      <c r="F2514" t="s">
        <v>31574</v>
      </c>
      <c r="G2514" t="s">
        <v>31582</v>
      </c>
      <c r="H2514" t="s">
        <v>31591</v>
      </c>
      <c r="I2514" t="s">
        <v>8822</v>
      </c>
      <c r="J2514" t="s">
        <v>33466</v>
      </c>
      <c r="K2514" t="s">
        <v>41284</v>
      </c>
      <c r="M2514" t="s">
        <v>42156</v>
      </c>
      <c r="N2514" t="s">
        <v>45095</v>
      </c>
      <c r="O2514" t="s">
        <v>45096</v>
      </c>
      <c r="P2514">
        <v>0</v>
      </c>
      <c r="Q2514">
        <v>0</v>
      </c>
      <c r="R2514" t="s">
        <v>45098</v>
      </c>
      <c r="S2514" t="s">
        <v>45223</v>
      </c>
      <c r="T2514" t="s">
        <v>46906</v>
      </c>
      <c r="U2514" t="s">
        <v>49613</v>
      </c>
      <c r="W2514" t="s">
        <v>42156</v>
      </c>
      <c r="X2514" t="s">
        <v>45102</v>
      </c>
    </row>
    <row r="2515" spans="1:24">
      <c r="A2515">
        <f>HYPERLINK("https://www.philgeps.gov.ph/GEPSNONPILOT/Tender/SplashBidNoticeAbstractUI.aspx?menuIndex=3&amp;refID=7041056&amp;Result=3","7041056")</f>
        <v>0</v>
      </c>
      <c r="B2515" t="s">
        <v>967</v>
      </c>
      <c r="C2515" t="s">
        <v>5602</v>
      </c>
      <c r="D2515" t="s">
        <v>18027</v>
      </c>
      <c r="E2515" t="s">
        <v>20402</v>
      </c>
      <c r="F2515" t="s">
        <v>31574</v>
      </c>
      <c r="G2515" t="s">
        <v>31581</v>
      </c>
      <c r="H2515" t="s">
        <v>31590</v>
      </c>
      <c r="I2515" t="s">
        <v>31610</v>
      </c>
      <c r="J2515" t="s">
        <v>33467</v>
      </c>
      <c r="K2515" t="s">
        <v>41186</v>
      </c>
      <c r="M2515" t="s">
        <v>42496</v>
      </c>
      <c r="N2515" t="s">
        <v>45095</v>
      </c>
      <c r="O2515" t="s">
        <v>45096</v>
      </c>
      <c r="P2515">
        <v>0</v>
      </c>
      <c r="Q2515">
        <v>0</v>
      </c>
      <c r="R2515" t="s">
        <v>45098</v>
      </c>
      <c r="S2515" t="s">
        <v>45223</v>
      </c>
      <c r="T2515" t="s">
        <v>46989</v>
      </c>
      <c r="U2515" t="s">
        <v>49614</v>
      </c>
      <c r="W2515" t="s">
        <v>42496</v>
      </c>
      <c r="X2515" t="s">
        <v>45102</v>
      </c>
    </row>
    <row r="2516" spans="1:24">
      <c r="A2516">
        <f>HYPERLINK("https://www.philgeps.gov.ph/GEPSNONPILOT/Tender/SplashBidNoticeAbstractUI.aspx?menuIndex=3&amp;refID=7040960&amp;Result=3","7040960")</f>
        <v>0</v>
      </c>
      <c r="B2516" t="s">
        <v>968</v>
      </c>
      <c r="C2516" t="s">
        <v>5603</v>
      </c>
      <c r="D2516" t="s">
        <v>18062</v>
      </c>
      <c r="E2516" t="s">
        <v>20403</v>
      </c>
      <c r="F2516" t="s">
        <v>31574</v>
      </c>
      <c r="G2516" t="s">
        <v>31582</v>
      </c>
      <c r="H2516" t="s">
        <v>31591</v>
      </c>
      <c r="I2516" t="s">
        <v>31638</v>
      </c>
      <c r="J2516" t="s">
        <v>33468</v>
      </c>
      <c r="K2516" t="s">
        <v>41200</v>
      </c>
      <c r="M2516" t="s">
        <v>42497</v>
      </c>
      <c r="N2516" t="s">
        <v>45095</v>
      </c>
      <c r="O2516" t="s">
        <v>45096</v>
      </c>
      <c r="P2516">
        <v>0</v>
      </c>
      <c r="Q2516">
        <v>2</v>
      </c>
      <c r="R2516" t="s">
        <v>45098</v>
      </c>
      <c r="S2516" t="s">
        <v>45223</v>
      </c>
      <c r="T2516" t="s">
        <v>46924</v>
      </c>
      <c r="U2516" t="s">
        <v>49615</v>
      </c>
      <c r="V2516" t="s">
        <v>60087</v>
      </c>
      <c r="W2516" t="s">
        <v>42497</v>
      </c>
      <c r="X2516" t="s">
        <v>45103</v>
      </c>
    </row>
    <row r="2517" spans="1:24">
      <c r="A2517">
        <f>HYPERLINK("https://www.philgeps.gov.ph/GEPSNONPILOT/Tender/SplashBidNoticeAbstractUI.aspx?menuIndex=3&amp;refID=7040286&amp;Result=3","7040286")</f>
        <v>0</v>
      </c>
      <c r="B2517" t="s">
        <v>182</v>
      </c>
      <c r="C2517" t="s">
        <v>5604</v>
      </c>
      <c r="D2517" t="s">
        <v>18060</v>
      </c>
      <c r="E2517" t="s">
        <v>20404</v>
      </c>
      <c r="F2517" t="s">
        <v>31574</v>
      </c>
      <c r="G2517" t="s">
        <v>31581</v>
      </c>
      <c r="H2517" t="s">
        <v>31590</v>
      </c>
      <c r="I2517" t="s">
        <v>3489</v>
      </c>
      <c r="J2517" t="s">
        <v>33469</v>
      </c>
      <c r="K2517" t="s">
        <v>41190</v>
      </c>
      <c r="M2517" t="s">
        <v>41667</v>
      </c>
      <c r="N2517" t="s">
        <v>45095</v>
      </c>
      <c r="O2517" t="s">
        <v>45096</v>
      </c>
      <c r="P2517">
        <v>0</v>
      </c>
      <c r="Q2517">
        <v>0</v>
      </c>
      <c r="R2517" t="s">
        <v>45098</v>
      </c>
      <c r="S2517" t="s">
        <v>45223</v>
      </c>
      <c r="T2517" t="s">
        <v>46973</v>
      </c>
      <c r="U2517" t="s">
        <v>49616</v>
      </c>
      <c r="W2517" t="s">
        <v>41667</v>
      </c>
      <c r="X2517" t="s">
        <v>45103</v>
      </c>
    </row>
    <row r="2518" spans="1:24">
      <c r="A2518">
        <f>HYPERLINK("https://www.philgeps.gov.ph/GEPSNONPILOT/Tender/SplashBidNoticeAbstractUI.aspx?menuIndex=3&amp;refID=7040181&amp;Result=3","7040181")</f>
        <v>0</v>
      </c>
      <c r="B2518" t="s">
        <v>182</v>
      </c>
      <c r="C2518" t="s">
        <v>5605</v>
      </c>
      <c r="D2518" t="s">
        <v>18060</v>
      </c>
      <c r="E2518" t="s">
        <v>20405</v>
      </c>
      <c r="F2518" t="s">
        <v>31574</v>
      </c>
      <c r="G2518" t="s">
        <v>31581</v>
      </c>
      <c r="H2518" t="s">
        <v>31590</v>
      </c>
      <c r="I2518" t="s">
        <v>3489</v>
      </c>
      <c r="J2518" t="s">
        <v>33470</v>
      </c>
      <c r="K2518" t="s">
        <v>41190</v>
      </c>
      <c r="M2518" t="s">
        <v>41667</v>
      </c>
      <c r="N2518" t="s">
        <v>45095</v>
      </c>
      <c r="O2518" t="s">
        <v>45096</v>
      </c>
      <c r="P2518">
        <v>0</v>
      </c>
      <c r="Q2518">
        <v>1</v>
      </c>
      <c r="R2518" t="s">
        <v>45098</v>
      </c>
      <c r="S2518" t="s">
        <v>45223</v>
      </c>
      <c r="T2518" t="s">
        <v>46973</v>
      </c>
      <c r="U2518" t="s">
        <v>49617</v>
      </c>
      <c r="W2518" t="s">
        <v>41667</v>
      </c>
      <c r="X2518" t="s">
        <v>45103</v>
      </c>
    </row>
    <row r="2519" spans="1:24">
      <c r="A2519">
        <f>HYPERLINK("https://www.philgeps.gov.ph/GEPSNONPILOT/Tender/SplashBidNoticeAbstractUI.aspx?menuIndex=3&amp;refID=7040222&amp;Result=3","7040222")</f>
        <v>0</v>
      </c>
      <c r="B2519" t="s">
        <v>182</v>
      </c>
      <c r="C2519" t="s">
        <v>5594</v>
      </c>
      <c r="D2519" t="s">
        <v>18060</v>
      </c>
      <c r="E2519" t="s">
        <v>20406</v>
      </c>
      <c r="F2519" t="s">
        <v>31574</v>
      </c>
      <c r="G2519" t="s">
        <v>31581</v>
      </c>
      <c r="H2519" t="s">
        <v>31590</v>
      </c>
      <c r="I2519" t="s">
        <v>3489</v>
      </c>
      <c r="J2519" t="s">
        <v>33471</v>
      </c>
      <c r="K2519" t="s">
        <v>41190</v>
      </c>
      <c r="M2519" t="s">
        <v>41667</v>
      </c>
      <c r="N2519" t="s">
        <v>45095</v>
      </c>
      <c r="O2519" t="s">
        <v>45096</v>
      </c>
      <c r="P2519">
        <v>0</v>
      </c>
      <c r="Q2519">
        <v>0</v>
      </c>
      <c r="R2519" t="s">
        <v>45098</v>
      </c>
      <c r="S2519" t="s">
        <v>45223</v>
      </c>
      <c r="T2519" t="s">
        <v>46973</v>
      </c>
      <c r="U2519" t="s">
        <v>49618</v>
      </c>
      <c r="W2519" t="s">
        <v>41667</v>
      </c>
      <c r="X2519" t="s">
        <v>45103</v>
      </c>
    </row>
    <row r="2520" spans="1:24">
      <c r="A2520">
        <f>HYPERLINK("https://www.philgeps.gov.ph/GEPSNONPILOT/Tender/SplashBidNoticeAbstractUI.aspx?menuIndex=3&amp;refID=7041014&amp;Result=3","7041014")</f>
        <v>0</v>
      </c>
      <c r="B2520" t="s">
        <v>969</v>
      </c>
      <c r="C2520" t="s">
        <v>5606</v>
      </c>
      <c r="D2520" t="s">
        <v>18072</v>
      </c>
      <c r="E2520" t="s">
        <v>20407</v>
      </c>
      <c r="F2520" t="s">
        <v>31574</v>
      </c>
      <c r="G2520" t="s">
        <v>31582</v>
      </c>
      <c r="H2520" t="s">
        <v>31591</v>
      </c>
      <c r="I2520" t="s">
        <v>8822</v>
      </c>
      <c r="J2520" t="s">
        <v>31789</v>
      </c>
      <c r="K2520" t="s">
        <v>41192</v>
      </c>
      <c r="M2520" t="s">
        <v>42498</v>
      </c>
      <c r="N2520" t="s">
        <v>45095</v>
      </c>
      <c r="O2520" t="s">
        <v>45096</v>
      </c>
      <c r="P2520">
        <v>0</v>
      </c>
      <c r="Q2520">
        <v>0</v>
      </c>
      <c r="R2520" t="s">
        <v>45098</v>
      </c>
      <c r="S2520" t="s">
        <v>45223</v>
      </c>
      <c r="T2520" t="s">
        <v>46955</v>
      </c>
      <c r="U2520" t="s">
        <v>49619</v>
      </c>
      <c r="W2520" t="s">
        <v>42498</v>
      </c>
      <c r="X2520" t="s">
        <v>45102</v>
      </c>
    </row>
    <row r="2521" spans="1:24">
      <c r="A2521">
        <f>HYPERLINK("https://www.philgeps.gov.ph/GEPSNONPILOT/Tender/SplashBidNoticeAbstractUI.aspx?menuIndex=3&amp;refID=7041058&amp;Result=3","7041058")</f>
        <v>0</v>
      </c>
      <c r="B2521" t="s">
        <v>969</v>
      </c>
      <c r="C2521" t="s">
        <v>5607</v>
      </c>
      <c r="D2521" t="s">
        <v>18072</v>
      </c>
      <c r="E2521" t="s">
        <v>20408</v>
      </c>
      <c r="F2521" t="s">
        <v>31574</v>
      </c>
      <c r="G2521" t="s">
        <v>31582</v>
      </c>
      <c r="H2521" t="s">
        <v>31591</v>
      </c>
      <c r="I2521" t="s">
        <v>8822</v>
      </c>
      <c r="J2521" t="s">
        <v>33472</v>
      </c>
      <c r="K2521" t="s">
        <v>41285</v>
      </c>
      <c r="M2521" t="s">
        <v>42498</v>
      </c>
      <c r="N2521" t="s">
        <v>45095</v>
      </c>
      <c r="O2521" t="s">
        <v>45096</v>
      </c>
      <c r="P2521">
        <v>0</v>
      </c>
      <c r="Q2521">
        <v>0</v>
      </c>
      <c r="R2521" t="s">
        <v>45098</v>
      </c>
      <c r="S2521" t="s">
        <v>45223</v>
      </c>
      <c r="T2521" t="s">
        <v>46955</v>
      </c>
      <c r="U2521" t="s">
        <v>49619</v>
      </c>
      <c r="W2521" t="s">
        <v>42498</v>
      </c>
      <c r="X2521" t="s">
        <v>45102</v>
      </c>
    </row>
    <row r="2522" spans="1:24">
      <c r="A2522">
        <f>HYPERLINK("https://www.philgeps.gov.ph/GEPSNONPILOT/Tender/SplashBidNoticeAbstractUI.aspx?menuIndex=3&amp;refID=7041032&amp;Result=3","7041032")</f>
        <v>0</v>
      </c>
      <c r="B2522" t="s">
        <v>969</v>
      </c>
      <c r="C2522" t="s">
        <v>5608</v>
      </c>
      <c r="D2522" t="s">
        <v>18072</v>
      </c>
      <c r="E2522" t="s">
        <v>20409</v>
      </c>
      <c r="F2522" t="s">
        <v>31574</v>
      </c>
      <c r="G2522" t="s">
        <v>31582</v>
      </c>
      <c r="H2522" t="s">
        <v>31591</v>
      </c>
      <c r="I2522" t="s">
        <v>8822</v>
      </c>
      <c r="J2522" t="s">
        <v>31789</v>
      </c>
      <c r="K2522" t="s">
        <v>41192</v>
      </c>
      <c r="M2522" t="s">
        <v>42498</v>
      </c>
      <c r="N2522" t="s">
        <v>45095</v>
      </c>
      <c r="O2522" t="s">
        <v>45096</v>
      </c>
      <c r="P2522">
        <v>0</v>
      </c>
      <c r="Q2522">
        <v>0</v>
      </c>
      <c r="R2522" t="s">
        <v>45098</v>
      </c>
      <c r="S2522" t="s">
        <v>45223</v>
      </c>
      <c r="T2522" t="s">
        <v>46955</v>
      </c>
      <c r="U2522" t="s">
        <v>49619</v>
      </c>
      <c r="W2522" t="s">
        <v>42498</v>
      </c>
      <c r="X2522" t="s">
        <v>45102</v>
      </c>
    </row>
    <row r="2523" spans="1:24">
      <c r="A2523">
        <f>HYPERLINK("https://www.philgeps.gov.ph/GEPSNONPILOT/Tender/SplashBidNoticeAbstractUI.aspx?menuIndex=3&amp;refID=7041084&amp;Result=3","7041084")</f>
        <v>0</v>
      </c>
      <c r="B2523" t="s">
        <v>38</v>
      </c>
      <c r="C2523" t="s">
        <v>5609</v>
      </c>
      <c r="D2523" t="s">
        <v>18033</v>
      </c>
      <c r="E2523" t="s">
        <v>20410</v>
      </c>
      <c r="F2523" t="s">
        <v>31574</v>
      </c>
      <c r="G2523" t="s">
        <v>31582</v>
      </c>
      <c r="H2523" t="s">
        <v>31590</v>
      </c>
      <c r="I2523" t="s">
        <v>7185</v>
      </c>
      <c r="J2523" t="s">
        <v>33309</v>
      </c>
      <c r="K2523" t="s">
        <v>41194</v>
      </c>
      <c r="M2523" t="s">
        <v>42487</v>
      </c>
      <c r="N2523" t="s">
        <v>45095</v>
      </c>
      <c r="O2523" t="s">
        <v>45096</v>
      </c>
      <c r="P2523">
        <v>0</v>
      </c>
      <c r="Q2523">
        <v>1</v>
      </c>
      <c r="R2523" t="s">
        <v>45098</v>
      </c>
      <c r="S2523" t="s">
        <v>45223</v>
      </c>
      <c r="T2523" t="s">
        <v>47079</v>
      </c>
      <c r="U2523" t="s">
        <v>49620</v>
      </c>
      <c r="V2523" t="s">
        <v>60088</v>
      </c>
      <c r="W2523" t="s">
        <v>42487</v>
      </c>
      <c r="X2523" t="s">
        <v>45102</v>
      </c>
    </row>
    <row r="2524" spans="1:24">
      <c r="A2524">
        <f>HYPERLINK("https://www.philgeps.gov.ph/GEPSNONPILOT/Tender/SplashBidNoticeAbstractUI.aspx?menuIndex=3&amp;refID=7041098&amp;Result=3","7041098")</f>
        <v>0</v>
      </c>
      <c r="B2524" t="s">
        <v>38</v>
      </c>
      <c r="C2524" t="s">
        <v>5610</v>
      </c>
      <c r="D2524" t="s">
        <v>18033</v>
      </c>
      <c r="E2524" t="s">
        <v>20411</v>
      </c>
      <c r="F2524" t="s">
        <v>31574</v>
      </c>
      <c r="G2524" t="s">
        <v>31582</v>
      </c>
      <c r="H2524" t="s">
        <v>31590</v>
      </c>
      <c r="I2524" t="s">
        <v>7185</v>
      </c>
      <c r="J2524" t="s">
        <v>32635</v>
      </c>
      <c r="K2524" t="s">
        <v>41194</v>
      </c>
      <c r="M2524" t="s">
        <v>42487</v>
      </c>
      <c r="N2524" t="s">
        <v>45095</v>
      </c>
      <c r="O2524" t="s">
        <v>45096</v>
      </c>
      <c r="P2524">
        <v>0</v>
      </c>
      <c r="Q2524">
        <v>3</v>
      </c>
      <c r="R2524" t="s">
        <v>45098</v>
      </c>
      <c r="S2524" t="s">
        <v>45223</v>
      </c>
      <c r="T2524" t="s">
        <v>47079</v>
      </c>
      <c r="U2524" t="s">
        <v>49621</v>
      </c>
      <c r="V2524" t="s">
        <v>60088</v>
      </c>
      <c r="W2524" t="s">
        <v>42487</v>
      </c>
      <c r="X2524" t="s">
        <v>45102</v>
      </c>
    </row>
    <row r="2525" spans="1:24">
      <c r="A2525">
        <f>HYPERLINK("https://www.philgeps.gov.ph/GEPSNONPILOT/Tender/SplashBidNoticeAbstractUI.aspx?menuIndex=3&amp;refID=7041073&amp;Result=3","7041073")</f>
        <v>0</v>
      </c>
      <c r="B2525" t="s">
        <v>38</v>
      </c>
      <c r="C2525" t="s">
        <v>5611</v>
      </c>
      <c r="D2525" t="s">
        <v>18033</v>
      </c>
      <c r="E2525" t="s">
        <v>20412</v>
      </c>
      <c r="F2525" t="s">
        <v>31574</v>
      </c>
      <c r="G2525" t="s">
        <v>31582</v>
      </c>
      <c r="H2525" t="s">
        <v>31590</v>
      </c>
      <c r="I2525" t="s">
        <v>6800</v>
      </c>
      <c r="J2525" t="s">
        <v>33473</v>
      </c>
      <c r="K2525" t="s">
        <v>41194</v>
      </c>
      <c r="M2525" t="s">
        <v>42487</v>
      </c>
      <c r="N2525" t="s">
        <v>45095</v>
      </c>
      <c r="O2525" t="s">
        <v>45096</v>
      </c>
      <c r="P2525">
        <v>0</v>
      </c>
      <c r="Q2525">
        <v>0</v>
      </c>
      <c r="R2525" t="s">
        <v>45098</v>
      </c>
      <c r="S2525" t="s">
        <v>45223</v>
      </c>
      <c r="T2525" t="s">
        <v>47079</v>
      </c>
      <c r="U2525" t="s">
        <v>49622</v>
      </c>
      <c r="V2525" t="s">
        <v>60089</v>
      </c>
      <c r="W2525" t="s">
        <v>42487</v>
      </c>
      <c r="X2525" t="s">
        <v>45102</v>
      </c>
    </row>
    <row r="2526" spans="1:24">
      <c r="A2526">
        <f>HYPERLINK("https://www.philgeps.gov.ph/GEPSNONPILOT/Tender/SplashBidNoticeAbstractUI.aspx?menuIndex=3&amp;refID=7041099&amp;Result=3","7041099")</f>
        <v>0</v>
      </c>
      <c r="B2526" t="s">
        <v>970</v>
      </c>
      <c r="C2526" t="s">
        <v>5612</v>
      </c>
      <c r="D2526" t="s">
        <v>18079</v>
      </c>
      <c r="E2526" t="s">
        <v>20413</v>
      </c>
      <c r="F2526" t="s">
        <v>31574</v>
      </c>
      <c r="G2526" t="s">
        <v>31583</v>
      </c>
      <c r="H2526" t="s">
        <v>31590</v>
      </c>
      <c r="I2526" t="s">
        <v>31654</v>
      </c>
      <c r="J2526" t="s">
        <v>33474</v>
      </c>
      <c r="K2526" t="s">
        <v>41191</v>
      </c>
      <c r="M2526" t="s">
        <v>42499</v>
      </c>
      <c r="N2526" t="s">
        <v>45095</v>
      </c>
      <c r="O2526" t="s">
        <v>45096</v>
      </c>
      <c r="P2526">
        <v>0</v>
      </c>
      <c r="Q2526">
        <v>1</v>
      </c>
      <c r="R2526" t="s">
        <v>45098</v>
      </c>
      <c r="S2526" t="s">
        <v>45223</v>
      </c>
      <c r="T2526" t="s">
        <v>46973</v>
      </c>
      <c r="U2526" t="s">
        <v>49623</v>
      </c>
      <c r="W2526" t="s">
        <v>42499</v>
      </c>
      <c r="X2526" t="s">
        <v>45102</v>
      </c>
    </row>
    <row r="2527" spans="1:24">
      <c r="A2527">
        <f>HYPERLINK("https://www.philgeps.gov.ph/GEPSNONPILOT/Tender/SplashBidNoticeAbstractUI.aspx?menuIndex=3&amp;refID=7041135&amp;Result=3","7041135")</f>
        <v>0</v>
      </c>
      <c r="B2527" t="s">
        <v>116</v>
      </c>
      <c r="C2527" t="s">
        <v>5613</v>
      </c>
      <c r="D2527" t="s">
        <v>18068</v>
      </c>
      <c r="E2527" t="s">
        <v>20414</v>
      </c>
      <c r="F2527" t="s">
        <v>31574</v>
      </c>
      <c r="G2527" t="s">
        <v>31582</v>
      </c>
      <c r="H2527" t="s">
        <v>31591</v>
      </c>
      <c r="I2527" t="s">
        <v>8822</v>
      </c>
      <c r="J2527" t="s">
        <v>33475</v>
      </c>
      <c r="K2527" t="s">
        <v>41232</v>
      </c>
      <c r="M2527" t="s">
        <v>42500</v>
      </c>
      <c r="N2527" t="s">
        <v>45095</v>
      </c>
      <c r="O2527" t="s">
        <v>45096</v>
      </c>
      <c r="P2527">
        <v>0</v>
      </c>
      <c r="Q2527">
        <v>0</v>
      </c>
      <c r="R2527" t="s">
        <v>45098</v>
      </c>
      <c r="S2527" t="s">
        <v>45223</v>
      </c>
      <c r="T2527" t="s">
        <v>46991</v>
      </c>
      <c r="U2527" t="s">
        <v>49624</v>
      </c>
      <c r="V2527" t="s">
        <v>60090</v>
      </c>
      <c r="W2527" t="s">
        <v>42500</v>
      </c>
      <c r="X2527" t="s">
        <v>45102</v>
      </c>
    </row>
    <row r="2528" spans="1:24">
      <c r="A2528">
        <f>HYPERLINK("https://www.philgeps.gov.ph/GEPSNONPILOT/Tender/SplashBidNoticeAbstractUI.aspx?menuIndex=3&amp;refID=7041094&amp;Result=3","7041094")</f>
        <v>0</v>
      </c>
      <c r="B2528" t="s">
        <v>971</v>
      </c>
      <c r="C2528" t="s">
        <v>5614</v>
      </c>
      <c r="D2528" t="s">
        <v>18042</v>
      </c>
      <c r="E2528" t="s">
        <v>20415</v>
      </c>
      <c r="F2528" t="s">
        <v>31574</v>
      </c>
      <c r="G2528" t="s">
        <v>31582</v>
      </c>
      <c r="H2528" t="s">
        <v>31591</v>
      </c>
      <c r="I2528" t="s">
        <v>8822</v>
      </c>
      <c r="J2528" t="s">
        <v>32019</v>
      </c>
      <c r="K2528" t="s">
        <v>41192</v>
      </c>
      <c r="M2528" t="s">
        <v>42501</v>
      </c>
      <c r="N2528" t="s">
        <v>45095</v>
      </c>
      <c r="O2528" t="s">
        <v>45096</v>
      </c>
      <c r="P2528">
        <v>0</v>
      </c>
      <c r="Q2528">
        <v>0</v>
      </c>
      <c r="R2528" t="s">
        <v>45098</v>
      </c>
      <c r="S2528" t="s">
        <v>45223</v>
      </c>
      <c r="T2528" t="s">
        <v>46926</v>
      </c>
      <c r="U2528" t="s">
        <v>49625</v>
      </c>
      <c r="W2528" t="s">
        <v>42501</v>
      </c>
      <c r="X2528" t="s">
        <v>45102</v>
      </c>
    </row>
    <row r="2529" spans="1:24">
      <c r="A2529">
        <f>HYPERLINK("https://www.philgeps.gov.ph/GEPSNONPILOT/Tender/SplashBidNoticeAbstractUI.aspx?menuIndex=3&amp;refID=7041129&amp;Result=3","7041129")</f>
        <v>0</v>
      </c>
      <c r="B2529" t="s">
        <v>967</v>
      </c>
      <c r="C2529" t="s">
        <v>5615</v>
      </c>
      <c r="D2529" t="s">
        <v>18027</v>
      </c>
      <c r="E2529" t="s">
        <v>20416</v>
      </c>
      <c r="F2529" t="s">
        <v>31574</v>
      </c>
      <c r="G2529" t="s">
        <v>31581</v>
      </c>
      <c r="H2529" t="s">
        <v>31590</v>
      </c>
      <c r="I2529" t="s">
        <v>31608</v>
      </c>
      <c r="J2529" t="s">
        <v>33476</v>
      </c>
      <c r="K2529" t="s">
        <v>41186</v>
      </c>
      <c r="M2529" t="s">
        <v>42496</v>
      </c>
      <c r="N2529" t="s">
        <v>45095</v>
      </c>
      <c r="O2529" t="s">
        <v>45096</v>
      </c>
      <c r="P2529">
        <v>0</v>
      </c>
      <c r="Q2529">
        <v>0</v>
      </c>
      <c r="R2529" t="s">
        <v>45098</v>
      </c>
      <c r="S2529" t="s">
        <v>45223</v>
      </c>
      <c r="T2529" t="s">
        <v>47106</v>
      </c>
      <c r="U2529" t="s">
        <v>49626</v>
      </c>
      <c r="W2529" t="s">
        <v>42496</v>
      </c>
      <c r="X2529" t="s">
        <v>45102</v>
      </c>
    </row>
    <row r="2530" spans="1:24">
      <c r="A2530">
        <f>HYPERLINK("https://www.philgeps.gov.ph/GEPSNONPILOT/Tender/SplashBidNoticeAbstractUI.aspx?menuIndex=3&amp;refID=7041137&amp;Result=3","7041137")</f>
        <v>0</v>
      </c>
      <c r="B2530" t="s">
        <v>969</v>
      </c>
      <c r="C2530" t="s">
        <v>5616</v>
      </c>
      <c r="D2530" t="s">
        <v>18072</v>
      </c>
      <c r="E2530" t="s">
        <v>19881</v>
      </c>
      <c r="F2530" t="s">
        <v>31574</v>
      </c>
      <c r="G2530" t="s">
        <v>31582</v>
      </c>
      <c r="H2530" t="s">
        <v>31591</v>
      </c>
      <c r="I2530" t="s">
        <v>8822</v>
      </c>
      <c r="J2530" t="s">
        <v>31789</v>
      </c>
      <c r="K2530" t="s">
        <v>41192</v>
      </c>
      <c r="M2530" t="s">
        <v>42498</v>
      </c>
      <c r="N2530" t="s">
        <v>45095</v>
      </c>
      <c r="O2530" t="s">
        <v>45096</v>
      </c>
      <c r="P2530">
        <v>0</v>
      </c>
      <c r="Q2530">
        <v>0</v>
      </c>
      <c r="R2530" t="s">
        <v>45098</v>
      </c>
      <c r="S2530" t="s">
        <v>45223</v>
      </c>
      <c r="T2530" t="s">
        <v>46955</v>
      </c>
      <c r="U2530" t="s">
        <v>49619</v>
      </c>
      <c r="W2530" t="s">
        <v>42498</v>
      </c>
      <c r="X2530" t="s">
        <v>45102</v>
      </c>
    </row>
    <row r="2531" spans="1:24">
      <c r="A2531">
        <f>HYPERLINK("https://www.philgeps.gov.ph/GEPSNONPILOT/Tender/SplashBidNoticeAbstractUI.aspx?menuIndex=3&amp;refID=7041086&amp;Result=3","7041086")</f>
        <v>0</v>
      </c>
      <c r="B2531" t="s">
        <v>972</v>
      </c>
      <c r="C2531" t="s">
        <v>5617</v>
      </c>
      <c r="D2531" t="s">
        <v>18102</v>
      </c>
      <c r="E2531" t="s">
        <v>20417</v>
      </c>
      <c r="F2531" t="s">
        <v>31574</v>
      </c>
      <c r="G2531" t="s">
        <v>31583</v>
      </c>
      <c r="H2531" t="s">
        <v>31590</v>
      </c>
      <c r="I2531" t="s">
        <v>31624</v>
      </c>
      <c r="J2531" t="s">
        <v>33477</v>
      </c>
      <c r="K2531" t="s">
        <v>41196</v>
      </c>
      <c r="M2531" t="s">
        <v>42502</v>
      </c>
      <c r="N2531" t="s">
        <v>45095</v>
      </c>
      <c r="O2531" t="s">
        <v>45096</v>
      </c>
      <c r="P2531">
        <v>0</v>
      </c>
      <c r="Q2531">
        <v>1</v>
      </c>
      <c r="R2531" t="s">
        <v>45098</v>
      </c>
      <c r="S2531" t="s">
        <v>45223</v>
      </c>
      <c r="T2531" t="s">
        <v>47118</v>
      </c>
      <c r="U2531" t="s">
        <v>49627</v>
      </c>
      <c r="V2531" t="s">
        <v>60091</v>
      </c>
      <c r="W2531" t="s">
        <v>42502</v>
      </c>
      <c r="X2531" t="s">
        <v>45102</v>
      </c>
    </row>
    <row r="2532" spans="1:24">
      <c r="A2532">
        <f>HYPERLINK("https://www.philgeps.gov.ph/GEPSNONPILOT/Tender/SplashBidNoticeAbstractUI.aspx?menuIndex=3&amp;refID=7041130&amp;Result=3","7041130")</f>
        <v>0</v>
      </c>
      <c r="B2532" t="s">
        <v>38</v>
      </c>
      <c r="C2532" t="s">
        <v>5618</v>
      </c>
      <c r="D2532" t="s">
        <v>18033</v>
      </c>
      <c r="E2532" t="s">
        <v>20418</v>
      </c>
      <c r="F2532" t="s">
        <v>31574</v>
      </c>
      <c r="G2532" t="s">
        <v>31582</v>
      </c>
      <c r="H2532" t="s">
        <v>31590</v>
      </c>
      <c r="I2532" t="s">
        <v>31594</v>
      </c>
      <c r="J2532" t="s">
        <v>33478</v>
      </c>
      <c r="K2532" t="s">
        <v>41194</v>
      </c>
      <c r="M2532" t="s">
        <v>42487</v>
      </c>
      <c r="N2532" t="s">
        <v>45095</v>
      </c>
      <c r="O2532" t="s">
        <v>45096</v>
      </c>
      <c r="P2532">
        <v>0</v>
      </c>
      <c r="Q2532">
        <v>2</v>
      </c>
      <c r="R2532" t="s">
        <v>45098</v>
      </c>
      <c r="S2532" t="s">
        <v>45223</v>
      </c>
      <c r="T2532" t="s">
        <v>47079</v>
      </c>
      <c r="U2532" t="s">
        <v>49628</v>
      </c>
      <c r="V2532" t="s">
        <v>60088</v>
      </c>
      <c r="W2532" t="s">
        <v>42487</v>
      </c>
      <c r="X2532" t="s">
        <v>45102</v>
      </c>
    </row>
    <row r="2533" spans="1:24">
      <c r="A2533">
        <f>HYPERLINK("https://www.philgeps.gov.ph/GEPSNONPILOT/Tender/SplashBidNoticeAbstractUI.aspx?menuIndex=3&amp;refID=7041120&amp;Result=3","7041120")</f>
        <v>0</v>
      </c>
      <c r="B2533" t="s">
        <v>479</v>
      </c>
      <c r="C2533" t="s">
        <v>5619</v>
      </c>
      <c r="D2533" t="s">
        <v>18079</v>
      </c>
      <c r="E2533" t="s">
        <v>20419</v>
      </c>
      <c r="F2533" t="s">
        <v>31574</v>
      </c>
      <c r="G2533" t="s">
        <v>31581</v>
      </c>
      <c r="H2533" t="s">
        <v>31590</v>
      </c>
      <c r="I2533" t="s">
        <v>31599</v>
      </c>
      <c r="J2533" t="s">
        <v>33479</v>
      </c>
      <c r="K2533" t="s">
        <v>41184</v>
      </c>
      <c r="M2533" t="s">
        <v>42503</v>
      </c>
      <c r="N2533" t="s">
        <v>45095</v>
      </c>
      <c r="O2533" t="s">
        <v>45096</v>
      </c>
      <c r="P2533">
        <v>0</v>
      </c>
      <c r="Q2533">
        <v>2</v>
      </c>
      <c r="R2533" t="s">
        <v>45098</v>
      </c>
      <c r="S2533" t="s">
        <v>45223</v>
      </c>
      <c r="T2533" t="s">
        <v>46957</v>
      </c>
      <c r="U2533" t="s">
        <v>49629</v>
      </c>
      <c r="W2533" t="s">
        <v>42503</v>
      </c>
      <c r="X2533" t="s">
        <v>45102</v>
      </c>
    </row>
    <row r="2534" spans="1:24">
      <c r="A2534">
        <f>HYPERLINK("https://www.philgeps.gov.ph/GEPSNONPILOT/Tender/SplashBidNoticeAbstractUI.aspx?menuIndex=3&amp;refID=7041097&amp;Result=3","7041097")</f>
        <v>0</v>
      </c>
      <c r="B2534" t="s">
        <v>969</v>
      </c>
      <c r="C2534" t="s">
        <v>5620</v>
      </c>
      <c r="D2534" t="s">
        <v>18072</v>
      </c>
      <c r="E2534" t="s">
        <v>20420</v>
      </c>
      <c r="F2534" t="s">
        <v>31574</v>
      </c>
      <c r="G2534" t="s">
        <v>31582</v>
      </c>
      <c r="H2534" t="s">
        <v>31591</v>
      </c>
      <c r="I2534" t="s">
        <v>8822</v>
      </c>
      <c r="J2534" t="s">
        <v>31789</v>
      </c>
      <c r="K2534" t="s">
        <v>41192</v>
      </c>
      <c r="M2534" t="s">
        <v>42498</v>
      </c>
      <c r="N2534" t="s">
        <v>45095</v>
      </c>
      <c r="O2534" t="s">
        <v>45096</v>
      </c>
      <c r="P2534">
        <v>0</v>
      </c>
      <c r="Q2534">
        <v>0</v>
      </c>
      <c r="R2534" t="s">
        <v>45098</v>
      </c>
      <c r="S2534" t="s">
        <v>45223</v>
      </c>
      <c r="T2534" t="s">
        <v>46955</v>
      </c>
      <c r="U2534" t="s">
        <v>49619</v>
      </c>
      <c r="W2534" t="s">
        <v>42498</v>
      </c>
      <c r="X2534" t="s">
        <v>45102</v>
      </c>
    </row>
    <row r="2535" spans="1:24">
      <c r="A2535">
        <f>HYPERLINK("https://www.philgeps.gov.ph/GEPSNONPILOT/Tender/SplashBidNoticeAbstractUI.aspx?menuIndex=3&amp;refID=7041118&amp;Result=3","7041118")</f>
        <v>0</v>
      </c>
      <c r="B2535" t="s">
        <v>969</v>
      </c>
      <c r="C2535" t="s">
        <v>5621</v>
      </c>
      <c r="D2535" t="s">
        <v>18072</v>
      </c>
      <c r="E2535" t="s">
        <v>20421</v>
      </c>
      <c r="F2535" t="s">
        <v>31574</v>
      </c>
      <c r="G2535" t="s">
        <v>31582</v>
      </c>
      <c r="H2535" t="s">
        <v>31591</v>
      </c>
      <c r="I2535" t="s">
        <v>8822</v>
      </c>
      <c r="J2535" t="s">
        <v>31789</v>
      </c>
      <c r="K2535" t="s">
        <v>41192</v>
      </c>
      <c r="M2535" t="s">
        <v>42498</v>
      </c>
      <c r="N2535" t="s">
        <v>45095</v>
      </c>
      <c r="O2535" t="s">
        <v>45096</v>
      </c>
      <c r="P2535">
        <v>0</v>
      </c>
      <c r="Q2535">
        <v>0</v>
      </c>
      <c r="R2535" t="s">
        <v>45098</v>
      </c>
      <c r="S2535" t="s">
        <v>45223</v>
      </c>
      <c r="T2535" t="s">
        <v>46955</v>
      </c>
      <c r="U2535" t="s">
        <v>49619</v>
      </c>
      <c r="W2535" t="s">
        <v>42498</v>
      </c>
      <c r="X2535" t="s">
        <v>45102</v>
      </c>
    </row>
    <row r="2536" spans="1:24">
      <c r="A2536">
        <f>HYPERLINK("https://www.philgeps.gov.ph/GEPSNONPILOT/Tender/SplashBidNoticeAbstractUI.aspx?menuIndex=3&amp;refID=7041114&amp;Result=3","7041114")</f>
        <v>0</v>
      </c>
      <c r="B2536" t="s">
        <v>38</v>
      </c>
      <c r="C2536" t="s">
        <v>5622</v>
      </c>
      <c r="D2536" t="s">
        <v>18033</v>
      </c>
      <c r="E2536" t="s">
        <v>20422</v>
      </c>
      <c r="F2536" t="s">
        <v>31574</v>
      </c>
      <c r="G2536" t="s">
        <v>31582</v>
      </c>
      <c r="H2536" t="s">
        <v>31590</v>
      </c>
      <c r="I2536" t="s">
        <v>31594</v>
      </c>
      <c r="J2536" t="s">
        <v>33217</v>
      </c>
      <c r="K2536" t="s">
        <v>41194</v>
      </c>
      <c r="M2536" t="s">
        <v>42487</v>
      </c>
      <c r="N2536" t="s">
        <v>45095</v>
      </c>
      <c r="O2536" t="s">
        <v>45096</v>
      </c>
      <c r="P2536">
        <v>0</v>
      </c>
      <c r="Q2536">
        <v>4</v>
      </c>
      <c r="R2536" t="s">
        <v>45098</v>
      </c>
      <c r="S2536" t="s">
        <v>45223</v>
      </c>
      <c r="T2536" t="s">
        <v>47079</v>
      </c>
      <c r="U2536" t="s">
        <v>49630</v>
      </c>
      <c r="V2536" t="s">
        <v>60088</v>
      </c>
      <c r="W2536" t="s">
        <v>42487</v>
      </c>
      <c r="X2536" t="s">
        <v>45102</v>
      </c>
    </row>
    <row r="2537" spans="1:24">
      <c r="A2537">
        <f>HYPERLINK("https://www.philgeps.gov.ph/GEPSNONPILOT/Tender/SplashBidNoticeAbstractUI.aspx?menuIndex=3&amp;refID=7041115&amp;Result=3","7041115")</f>
        <v>0</v>
      </c>
      <c r="B2537" t="s">
        <v>973</v>
      </c>
      <c r="C2537" t="s">
        <v>5623</v>
      </c>
      <c r="D2537" t="s">
        <v>18025</v>
      </c>
      <c r="E2537" t="s">
        <v>19234</v>
      </c>
      <c r="F2537" t="s">
        <v>31574</v>
      </c>
      <c r="G2537" t="s">
        <v>31582</v>
      </c>
      <c r="H2537" t="s">
        <v>31590</v>
      </c>
      <c r="I2537" t="s">
        <v>31615</v>
      </c>
      <c r="J2537" t="s">
        <v>31780</v>
      </c>
      <c r="K2537" t="s">
        <v>41196</v>
      </c>
      <c r="M2537" t="s">
        <v>42504</v>
      </c>
      <c r="N2537" t="s">
        <v>45095</v>
      </c>
      <c r="O2537" t="s">
        <v>45096</v>
      </c>
      <c r="P2537">
        <v>0</v>
      </c>
      <c r="Q2537">
        <v>1</v>
      </c>
      <c r="R2537" t="s">
        <v>45098</v>
      </c>
      <c r="S2537" t="s">
        <v>45223</v>
      </c>
      <c r="T2537" t="s">
        <v>46979</v>
      </c>
      <c r="U2537" t="s">
        <v>49631</v>
      </c>
      <c r="W2537" t="s">
        <v>42504</v>
      </c>
      <c r="X2537" t="s">
        <v>45102</v>
      </c>
    </row>
    <row r="2538" spans="1:24">
      <c r="A2538">
        <f>HYPERLINK("https://www.philgeps.gov.ph/GEPSNONPILOT/Tender/SplashBidNoticeAbstractUI.aspx?menuIndex=3&amp;refID=7041125&amp;Result=3","7041125")</f>
        <v>0</v>
      </c>
      <c r="B2538" t="s">
        <v>38</v>
      </c>
      <c r="C2538" t="s">
        <v>5624</v>
      </c>
      <c r="D2538" t="s">
        <v>18033</v>
      </c>
      <c r="E2538" t="s">
        <v>20423</v>
      </c>
      <c r="F2538" t="s">
        <v>31574</v>
      </c>
      <c r="G2538" t="s">
        <v>31582</v>
      </c>
      <c r="H2538" t="s">
        <v>31590</v>
      </c>
      <c r="I2538" t="s">
        <v>31594</v>
      </c>
      <c r="J2538" t="s">
        <v>33149</v>
      </c>
      <c r="K2538" t="s">
        <v>41194</v>
      </c>
      <c r="M2538" t="s">
        <v>42487</v>
      </c>
      <c r="N2538" t="s">
        <v>45095</v>
      </c>
      <c r="O2538" t="s">
        <v>45096</v>
      </c>
      <c r="P2538">
        <v>0</v>
      </c>
      <c r="Q2538">
        <v>2</v>
      </c>
      <c r="R2538" t="s">
        <v>45098</v>
      </c>
      <c r="S2538" t="s">
        <v>45223</v>
      </c>
      <c r="T2538" t="s">
        <v>47079</v>
      </c>
      <c r="U2538" t="s">
        <v>49632</v>
      </c>
      <c r="V2538" t="s">
        <v>60088</v>
      </c>
      <c r="W2538" t="s">
        <v>42487</v>
      </c>
      <c r="X2538" t="s">
        <v>45102</v>
      </c>
    </row>
    <row r="2539" spans="1:24">
      <c r="A2539">
        <f>HYPERLINK("https://www.philgeps.gov.ph/GEPSNONPILOT/Tender/SplashBidNoticeAbstractUI.aspx?menuIndex=3&amp;refID=7041105&amp;Result=3","7041105")</f>
        <v>0</v>
      </c>
      <c r="B2539" t="s">
        <v>38</v>
      </c>
      <c r="C2539" t="s">
        <v>5625</v>
      </c>
      <c r="D2539" t="s">
        <v>18033</v>
      </c>
      <c r="E2539" t="s">
        <v>20424</v>
      </c>
      <c r="F2539" t="s">
        <v>31574</v>
      </c>
      <c r="G2539" t="s">
        <v>31582</v>
      </c>
      <c r="H2539" t="s">
        <v>31590</v>
      </c>
      <c r="I2539" t="s">
        <v>4354</v>
      </c>
      <c r="J2539" t="s">
        <v>33480</v>
      </c>
      <c r="K2539" t="s">
        <v>41194</v>
      </c>
      <c r="M2539" t="s">
        <v>42487</v>
      </c>
      <c r="N2539" t="s">
        <v>45095</v>
      </c>
      <c r="O2539" t="s">
        <v>45096</v>
      </c>
      <c r="P2539">
        <v>0</v>
      </c>
      <c r="Q2539">
        <v>0</v>
      </c>
      <c r="R2539" t="s">
        <v>45098</v>
      </c>
      <c r="S2539" t="s">
        <v>45223</v>
      </c>
      <c r="T2539" t="s">
        <v>47079</v>
      </c>
      <c r="U2539" t="s">
        <v>49633</v>
      </c>
      <c r="V2539" t="s">
        <v>60088</v>
      </c>
      <c r="W2539" t="s">
        <v>42487</v>
      </c>
      <c r="X2539" t="s">
        <v>45102</v>
      </c>
    </row>
    <row r="2540" spans="1:24">
      <c r="A2540">
        <f>HYPERLINK("https://www.philgeps.gov.ph/GEPSNONPILOT/Tender/SplashBidNoticeAbstractUI.aspx?menuIndex=3&amp;refID=7041102&amp;Result=3","7041102")</f>
        <v>0</v>
      </c>
      <c r="B2540" t="s">
        <v>974</v>
      </c>
      <c r="C2540" t="s">
        <v>5626</v>
      </c>
      <c r="D2540" t="s">
        <v>18072</v>
      </c>
      <c r="E2540" t="s">
        <v>20425</v>
      </c>
      <c r="F2540" t="s">
        <v>31574</v>
      </c>
      <c r="G2540" t="s">
        <v>31583</v>
      </c>
      <c r="H2540" t="s">
        <v>31590</v>
      </c>
      <c r="I2540" t="s">
        <v>31607</v>
      </c>
      <c r="J2540" t="s">
        <v>31727</v>
      </c>
      <c r="K2540" t="s">
        <v>41186</v>
      </c>
      <c r="M2540" t="s">
        <v>42505</v>
      </c>
      <c r="N2540" t="s">
        <v>45095</v>
      </c>
      <c r="O2540" t="s">
        <v>45096</v>
      </c>
      <c r="P2540">
        <v>0</v>
      </c>
      <c r="Q2540">
        <v>2</v>
      </c>
      <c r="R2540" t="s">
        <v>45098</v>
      </c>
      <c r="S2540" t="s">
        <v>45223</v>
      </c>
      <c r="T2540" t="s">
        <v>47021</v>
      </c>
      <c r="U2540" t="s">
        <v>49634</v>
      </c>
      <c r="W2540" t="s">
        <v>42505</v>
      </c>
      <c r="X2540" t="s">
        <v>45102</v>
      </c>
    </row>
    <row r="2541" spans="1:24">
      <c r="A2541">
        <f>HYPERLINK("https://www.philgeps.gov.ph/GEPSNONPILOT/Tender/SplashBidNoticeAbstractUI.aspx?menuIndex=3&amp;refID=7041068&amp;Result=3","7041068")</f>
        <v>0</v>
      </c>
      <c r="B2541" t="s">
        <v>38</v>
      </c>
      <c r="C2541" t="s">
        <v>5627</v>
      </c>
      <c r="D2541" t="s">
        <v>18033</v>
      </c>
      <c r="E2541" t="s">
        <v>20426</v>
      </c>
      <c r="F2541" t="s">
        <v>31574</v>
      </c>
      <c r="G2541" t="s">
        <v>31582</v>
      </c>
      <c r="H2541" t="s">
        <v>31590</v>
      </c>
      <c r="I2541" t="s">
        <v>31601</v>
      </c>
      <c r="J2541" t="s">
        <v>33481</v>
      </c>
      <c r="K2541" t="s">
        <v>41189</v>
      </c>
      <c r="M2541" t="s">
        <v>42506</v>
      </c>
      <c r="N2541" t="s">
        <v>45095</v>
      </c>
      <c r="O2541" t="s">
        <v>45096</v>
      </c>
      <c r="P2541">
        <v>0</v>
      </c>
      <c r="Q2541">
        <v>0</v>
      </c>
      <c r="R2541" t="s">
        <v>45098</v>
      </c>
      <c r="S2541" t="s">
        <v>45223</v>
      </c>
      <c r="T2541" t="s">
        <v>47119</v>
      </c>
      <c r="U2541" t="s">
        <v>49635</v>
      </c>
      <c r="V2541" t="s">
        <v>60088</v>
      </c>
      <c r="W2541" t="s">
        <v>42506</v>
      </c>
      <c r="X2541" t="s">
        <v>45102</v>
      </c>
    </row>
    <row r="2542" spans="1:24">
      <c r="A2542">
        <f>HYPERLINK("https://www.philgeps.gov.ph/GEPSNONPILOT/Tender/SplashBidNoticeAbstractUI.aspx?menuIndex=3&amp;refID=7041146&amp;Result=3","7041146")</f>
        <v>0</v>
      </c>
      <c r="B2542" t="s">
        <v>38</v>
      </c>
      <c r="C2542" t="s">
        <v>5628</v>
      </c>
      <c r="D2542" t="s">
        <v>18033</v>
      </c>
      <c r="E2542" t="s">
        <v>20427</v>
      </c>
      <c r="F2542" t="s">
        <v>31574</v>
      </c>
      <c r="G2542" t="s">
        <v>31582</v>
      </c>
      <c r="H2542" t="s">
        <v>31590</v>
      </c>
      <c r="I2542" t="s">
        <v>8258</v>
      </c>
      <c r="J2542" t="s">
        <v>33482</v>
      </c>
      <c r="K2542" t="s">
        <v>41194</v>
      </c>
      <c r="M2542" t="s">
        <v>42487</v>
      </c>
      <c r="N2542" t="s">
        <v>45095</v>
      </c>
      <c r="O2542" t="s">
        <v>45096</v>
      </c>
      <c r="P2542">
        <v>0</v>
      </c>
      <c r="Q2542">
        <v>3</v>
      </c>
      <c r="R2542" t="s">
        <v>45098</v>
      </c>
      <c r="S2542" t="s">
        <v>45223</v>
      </c>
      <c r="T2542" t="s">
        <v>47079</v>
      </c>
      <c r="U2542" t="s">
        <v>49636</v>
      </c>
      <c r="V2542" t="s">
        <v>60088</v>
      </c>
      <c r="W2542" t="s">
        <v>42487</v>
      </c>
      <c r="X2542" t="s">
        <v>45102</v>
      </c>
    </row>
    <row r="2543" spans="1:24">
      <c r="A2543">
        <f>HYPERLINK("https://www.philgeps.gov.ph/GEPSNONPILOT/Tender/SplashBidNoticeAbstractUI.aspx?menuIndex=3&amp;refID=7041149&amp;Result=3","7041149")</f>
        <v>0</v>
      </c>
      <c r="B2543" t="s">
        <v>116</v>
      </c>
      <c r="C2543" t="s">
        <v>5629</v>
      </c>
      <c r="D2543" t="s">
        <v>18068</v>
      </c>
      <c r="E2543" t="s">
        <v>20428</v>
      </c>
      <c r="F2543" t="s">
        <v>31574</v>
      </c>
      <c r="G2543" t="s">
        <v>31582</v>
      </c>
      <c r="H2543" t="s">
        <v>31591</v>
      </c>
      <c r="I2543" t="s">
        <v>8822</v>
      </c>
      <c r="J2543" t="s">
        <v>33483</v>
      </c>
      <c r="K2543" t="s">
        <v>41218</v>
      </c>
      <c r="M2543" t="s">
        <v>42500</v>
      </c>
      <c r="N2543" t="s">
        <v>45095</v>
      </c>
      <c r="O2543" t="s">
        <v>45096</v>
      </c>
      <c r="P2543">
        <v>0</v>
      </c>
      <c r="Q2543">
        <v>1</v>
      </c>
      <c r="R2543" t="s">
        <v>45098</v>
      </c>
      <c r="S2543" t="s">
        <v>45223</v>
      </c>
      <c r="T2543" t="s">
        <v>46991</v>
      </c>
      <c r="U2543" t="s">
        <v>49637</v>
      </c>
      <c r="V2543" t="s">
        <v>60092</v>
      </c>
      <c r="W2543" t="s">
        <v>42500</v>
      </c>
      <c r="X2543" t="s">
        <v>45102</v>
      </c>
    </row>
    <row r="2544" spans="1:24">
      <c r="A2544">
        <f>HYPERLINK("https://www.philgeps.gov.ph/GEPSNONPILOT/Tender/SplashBidNoticeAbstractUI.aspx?menuIndex=3&amp;refID=7041158&amp;Result=3","7041158")</f>
        <v>0</v>
      </c>
      <c r="B2544" t="s">
        <v>975</v>
      </c>
      <c r="C2544" t="s">
        <v>5630</v>
      </c>
      <c r="D2544" t="s">
        <v>18030</v>
      </c>
      <c r="E2544" t="s">
        <v>20429</v>
      </c>
      <c r="F2544" t="s">
        <v>31574</v>
      </c>
      <c r="G2544" t="s">
        <v>31581</v>
      </c>
      <c r="H2544" t="s">
        <v>31590</v>
      </c>
      <c r="I2544" t="s">
        <v>31648</v>
      </c>
      <c r="J2544" t="s">
        <v>31782</v>
      </c>
      <c r="K2544" t="s">
        <v>41193</v>
      </c>
      <c r="M2544" t="s">
        <v>42507</v>
      </c>
      <c r="N2544" t="s">
        <v>45095</v>
      </c>
      <c r="O2544" t="s">
        <v>45096</v>
      </c>
      <c r="P2544">
        <v>0</v>
      </c>
      <c r="Q2544">
        <v>1</v>
      </c>
      <c r="R2544" t="s">
        <v>45098</v>
      </c>
      <c r="S2544" t="s">
        <v>45223</v>
      </c>
      <c r="T2544" t="s">
        <v>46936</v>
      </c>
      <c r="U2544" t="s">
        <v>49638</v>
      </c>
      <c r="W2544" t="s">
        <v>42507</v>
      </c>
      <c r="X2544" t="s">
        <v>45102</v>
      </c>
    </row>
    <row r="2545" spans="1:24">
      <c r="A2545">
        <f>HYPERLINK("https://www.philgeps.gov.ph/GEPSNONPILOT/Tender/SplashBidNoticeAbstractUI.aspx?menuIndex=3&amp;refID=7041156&amp;Result=3","7041156")</f>
        <v>0</v>
      </c>
      <c r="B2545" t="s">
        <v>38</v>
      </c>
      <c r="C2545" t="s">
        <v>5631</v>
      </c>
      <c r="D2545" t="s">
        <v>18033</v>
      </c>
      <c r="E2545" t="s">
        <v>20430</v>
      </c>
      <c r="F2545" t="s">
        <v>31574</v>
      </c>
      <c r="G2545" t="s">
        <v>31582</v>
      </c>
      <c r="H2545" t="s">
        <v>31590</v>
      </c>
      <c r="I2545" t="s">
        <v>31594</v>
      </c>
      <c r="J2545" t="s">
        <v>33484</v>
      </c>
      <c r="K2545" t="s">
        <v>41194</v>
      </c>
      <c r="M2545" t="s">
        <v>42487</v>
      </c>
      <c r="N2545" t="s">
        <v>45095</v>
      </c>
      <c r="O2545" t="s">
        <v>45096</v>
      </c>
      <c r="P2545">
        <v>0</v>
      </c>
      <c r="Q2545">
        <v>2</v>
      </c>
      <c r="R2545" t="s">
        <v>45098</v>
      </c>
      <c r="S2545" t="s">
        <v>45223</v>
      </c>
      <c r="T2545" t="s">
        <v>47079</v>
      </c>
      <c r="U2545" t="s">
        <v>49639</v>
      </c>
      <c r="V2545" t="s">
        <v>60088</v>
      </c>
      <c r="W2545" t="s">
        <v>42487</v>
      </c>
      <c r="X2545" t="s">
        <v>45102</v>
      </c>
    </row>
    <row r="2546" spans="1:24">
      <c r="A2546">
        <f>HYPERLINK("https://www.philgeps.gov.ph/GEPSNONPILOT/Tender/SplashBidNoticeAbstractUI.aspx?menuIndex=3&amp;refID=7041202&amp;Result=3","7041202")</f>
        <v>0</v>
      </c>
      <c r="B2546" t="s">
        <v>116</v>
      </c>
      <c r="C2546" t="s">
        <v>5632</v>
      </c>
      <c r="D2546" t="s">
        <v>18068</v>
      </c>
      <c r="E2546" t="s">
        <v>20431</v>
      </c>
      <c r="F2546" t="s">
        <v>31574</v>
      </c>
      <c r="G2546" t="s">
        <v>31582</v>
      </c>
      <c r="H2546" t="s">
        <v>31591</v>
      </c>
      <c r="I2546" t="s">
        <v>8822</v>
      </c>
      <c r="J2546" t="s">
        <v>33485</v>
      </c>
      <c r="K2546" t="s">
        <v>41286</v>
      </c>
      <c r="M2546" t="s">
        <v>42500</v>
      </c>
      <c r="N2546" t="s">
        <v>45095</v>
      </c>
      <c r="O2546" t="s">
        <v>45096</v>
      </c>
      <c r="P2546">
        <v>0</v>
      </c>
      <c r="Q2546">
        <v>0</v>
      </c>
      <c r="R2546" t="s">
        <v>45098</v>
      </c>
      <c r="S2546" t="s">
        <v>45223</v>
      </c>
      <c r="T2546" t="s">
        <v>46991</v>
      </c>
      <c r="U2546" t="s">
        <v>49640</v>
      </c>
      <c r="V2546" t="s">
        <v>60093</v>
      </c>
      <c r="W2546" t="s">
        <v>42500</v>
      </c>
      <c r="X2546" t="s">
        <v>45102</v>
      </c>
    </row>
    <row r="2547" spans="1:24">
      <c r="A2547">
        <f>HYPERLINK("https://www.philgeps.gov.ph/GEPSNONPILOT/Tender/SplashBidNoticeAbstractUI.aspx?menuIndex=3&amp;refID=7041188&amp;Result=3","7041188")</f>
        <v>0</v>
      </c>
      <c r="B2547" t="s">
        <v>976</v>
      </c>
      <c r="C2547" t="s">
        <v>5633</v>
      </c>
      <c r="D2547" t="s">
        <v>18074</v>
      </c>
      <c r="E2547" t="s">
        <v>20432</v>
      </c>
      <c r="F2547" t="s">
        <v>31574</v>
      </c>
      <c r="G2547" t="s">
        <v>31582</v>
      </c>
      <c r="H2547" t="s">
        <v>31591</v>
      </c>
      <c r="I2547" t="s">
        <v>8822</v>
      </c>
      <c r="J2547" t="s">
        <v>33486</v>
      </c>
      <c r="K2547" t="s">
        <v>41200</v>
      </c>
      <c r="M2547" t="s">
        <v>42508</v>
      </c>
      <c r="N2547" t="s">
        <v>45095</v>
      </c>
      <c r="O2547" t="s">
        <v>45096</v>
      </c>
      <c r="P2547">
        <v>0</v>
      </c>
      <c r="Q2547">
        <v>0</v>
      </c>
      <c r="R2547" t="s">
        <v>45098</v>
      </c>
      <c r="S2547" t="s">
        <v>45223</v>
      </c>
      <c r="T2547" t="s">
        <v>46924</v>
      </c>
      <c r="U2547" t="s">
        <v>49641</v>
      </c>
      <c r="V2547" t="s">
        <v>60094</v>
      </c>
      <c r="W2547" t="s">
        <v>42508</v>
      </c>
      <c r="X2547" t="s">
        <v>45102</v>
      </c>
    </row>
    <row r="2548" spans="1:24">
      <c r="A2548">
        <f>HYPERLINK("https://www.philgeps.gov.ph/GEPSNONPILOT/Tender/SplashBidNoticeAbstractUI.aspx?menuIndex=3&amp;refID=7041194&amp;Result=3","7041194")</f>
        <v>0</v>
      </c>
      <c r="B2548" t="s">
        <v>969</v>
      </c>
      <c r="C2548" t="s">
        <v>5634</v>
      </c>
      <c r="D2548" t="s">
        <v>18072</v>
      </c>
      <c r="E2548" t="s">
        <v>20433</v>
      </c>
      <c r="F2548" t="s">
        <v>31574</v>
      </c>
      <c r="G2548" t="s">
        <v>31582</v>
      </c>
      <c r="H2548" t="s">
        <v>31591</v>
      </c>
      <c r="I2548" t="s">
        <v>8822</v>
      </c>
      <c r="J2548" t="s">
        <v>32001</v>
      </c>
      <c r="K2548" t="s">
        <v>41260</v>
      </c>
      <c r="M2548" t="s">
        <v>42498</v>
      </c>
      <c r="N2548" t="s">
        <v>45095</v>
      </c>
      <c r="O2548" t="s">
        <v>45096</v>
      </c>
      <c r="P2548">
        <v>0</v>
      </c>
      <c r="Q2548">
        <v>0</v>
      </c>
      <c r="R2548" t="s">
        <v>45098</v>
      </c>
      <c r="S2548" t="s">
        <v>45223</v>
      </c>
      <c r="T2548" t="s">
        <v>46955</v>
      </c>
      <c r="U2548" t="s">
        <v>49619</v>
      </c>
      <c r="W2548" t="s">
        <v>42498</v>
      </c>
      <c r="X2548" t="s">
        <v>45102</v>
      </c>
    </row>
    <row r="2549" spans="1:24">
      <c r="A2549">
        <f>HYPERLINK("https://www.philgeps.gov.ph/GEPSNONPILOT/Tender/SplashBidNoticeAbstractUI.aspx?menuIndex=3&amp;refID=7041187&amp;Result=3","7041187")</f>
        <v>0</v>
      </c>
      <c r="B2549" t="s">
        <v>116</v>
      </c>
      <c r="C2549" t="s">
        <v>5635</v>
      </c>
      <c r="D2549" t="s">
        <v>18068</v>
      </c>
      <c r="E2549" t="s">
        <v>20434</v>
      </c>
      <c r="F2549" t="s">
        <v>31574</v>
      </c>
      <c r="G2549" t="s">
        <v>31582</v>
      </c>
      <c r="H2549" t="s">
        <v>31591</v>
      </c>
      <c r="I2549" t="s">
        <v>8822</v>
      </c>
      <c r="J2549" t="s">
        <v>33487</v>
      </c>
      <c r="K2549" t="s">
        <v>41238</v>
      </c>
      <c r="M2549" t="s">
        <v>42500</v>
      </c>
      <c r="N2549" t="s">
        <v>45095</v>
      </c>
      <c r="O2549" t="s">
        <v>45096</v>
      </c>
      <c r="P2549">
        <v>0</v>
      </c>
      <c r="Q2549">
        <v>0</v>
      </c>
      <c r="R2549" t="s">
        <v>45098</v>
      </c>
      <c r="S2549" t="s">
        <v>45223</v>
      </c>
      <c r="T2549" t="s">
        <v>46991</v>
      </c>
      <c r="U2549" t="s">
        <v>49642</v>
      </c>
      <c r="V2549" t="s">
        <v>60095</v>
      </c>
      <c r="W2549" t="s">
        <v>42500</v>
      </c>
      <c r="X2549" t="s">
        <v>45102</v>
      </c>
    </row>
    <row r="2550" spans="1:24">
      <c r="A2550">
        <f>HYPERLINK("https://www.philgeps.gov.ph/GEPSNONPILOT/Tender/SplashBidNoticeAbstractUI.aspx?menuIndex=3&amp;refID=7041161&amp;Result=3","7041161")</f>
        <v>0</v>
      </c>
      <c r="B2550" t="s">
        <v>116</v>
      </c>
      <c r="C2550" t="s">
        <v>5636</v>
      </c>
      <c r="D2550" t="s">
        <v>18068</v>
      </c>
      <c r="E2550" t="s">
        <v>20435</v>
      </c>
      <c r="F2550" t="s">
        <v>31574</v>
      </c>
      <c r="G2550" t="s">
        <v>31582</v>
      </c>
      <c r="H2550" t="s">
        <v>31591</v>
      </c>
      <c r="I2550" t="s">
        <v>8822</v>
      </c>
      <c r="J2550" t="s">
        <v>33488</v>
      </c>
      <c r="K2550" t="s">
        <v>41259</v>
      </c>
      <c r="M2550" t="s">
        <v>42500</v>
      </c>
      <c r="N2550" t="s">
        <v>45095</v>
      </c>
      <c r="O2550" t="s">
        <v>45096</v>
      </c>
      <c r="P2550">
        <v>0</v>
      </c>
      <c r="Q2550">
        <v>0</v>
      </c>
      <c r="R2550" t="s">
        <v>45098</v>
      </c>
      <c r="S2550" t="s">
        <v>45223</v>
      </c>
      <c r="T2550" t="s">
        <v>46991</v>
      </c>
      <c r="U2550" t="s">
        <v>49643</v>
      </c>
      <c r="V2550" t="s">
        <v>60096</v>
      </c>
      <c r="W2550" t="s">
        <v>42500</v>
      </c>
      <c r="X2550" t="s">
        <v>45102</v>
      </c>
    </row>
    <row r="2551" spans="1:24">
      <c r="A2551">
        <f>HYPERLINK("https://www.philgeps.gov.ph/GEPSNONPILOT/Tender/SplashBidNoticeAbstractUI.aspx?menuIndex=3&amp;refID=7041167&amp;Result=3","7041167")</f>
        <v>0</v>
      </c>
      <c r="B2551" t="s">
        <v>799</v>
      </c>
      <c r="C2551" t="s">
        <v>5637</v>
      </c>
      <c r="D2551" t="s">
        <v>18040</v>
      </c>
      <c r="E2551" t="s">
        <v>19939</v>
      </c>
      <c r="F2551" t="s">
        <v>31574</v>
      </c>
      <c r="G2551" t="s">
        <v>31583</v>
      </c>
      <c r="H2551" t="s">
        <v>31590</v>
      </c>
      <c r="I2551" t="s">
        <v>31612</v>
      </c>
      <c r="J2551" t="s">
        <v>32359</v>
      </c>
      <c r="K2551" t="s">
        <v>41193</v>
      </c>
      <c r="M2551" t="s">
        <v>42313</v>
      </c>
      <c r="N2551" t="s">
        <v>45095</v>
      </c>
      <c r="O2551" t="s">
        <v>45096</v>
      </c>
      <c r="P2551">
        <v>0</v>
      </c>
      <c r="Q2551">
        <v>0</v>
      </c>
      <c r="R2551" t="s">
        <v>45098</v>
      </c>
      <c r="S2551" t="s">
        <v>45223</v>
      </c>
      <c r="T2551" t="s">
        <v>46985</v>
      </c>
      <c r="U2551" t="s">
        <v>49644</v>
      </c>
      <c r="W2551" t="s">
        <v>42313</v>
      </c>
      <c r="X2551" t="s">
        <v>45102</v>
      </c>
    </row>
    <row r="2552" spans="1:24">
      <c r="A2552">
        <f>HYPERLINK("https://www.philgeps.gov.ph/GEPSNONPILOT/Tender/SplashBidNoticeAbstractUI.aspx?menuIndex=3&amp;refID=7041163&amp;Result=3","7041163")</f>
        <v>0</v>
      </c>
      <c r="B2552" t="s">
        <v>969</v>
      </c>
      <c r="C2552" t="s">
        <v>5638</v>
      </c>
      <c r="D2552" t="s">
        <v>18072</v>
      </c>
      <c r="E2552" t="s">
        <v>20023</v>
      </c>
      <c r="F2552" t="s">
        <v>31574</v>
      </c>
      <c r="G2552" t="s">
        <v>31582</v>
      </c>
      <c r="H2552" t="s">
        <v>31591</v>
      </c>
      <c r="I2552" t="s">
        <v>8822</v>
      </c>
      <c r="J2552" t="s">
        <v>31890</v>
      </c>
      <c r="K2552" t="s">
        <v>41287</v>
      </c>
      <c r="M2552" t="s">
        <v>42498</v>
      </c>
      <c r="N2552" t="s">
        <v>45095</v>
      </c>
      <c r="O2552" t="s">
        <v>45096</v>
      </c>
      <c r="P2552">
        <v>0</v>
      </c>
      <c r="Q2552">
        <v>0</v>
      </c>
      <c r="R2552" t="s">
        <v>45098</v>
      </c>
      <c r="S2552" t="s">
        <v>45223</v>
      </c>
      <c r="T2552" t="s">
        <v>46955</v>
      </c>
      <c r="U2552" t="s">
        <v>49619</v>
      </c>
      <c r="W2552" t="s">
        <v>42498</v>
      </c>
      <c r="X2552" t="s">
        <v>45102</v>
      </c>
    </row>
    <row r="2553" spans="1:24">
      <c r="A2553">
        <f>HYPERLINK("https://www.philgeps.gov.ph/GEPSNONPILOT/Tender/SplashBidNoticeAbstractUI.aspx?menuIndex=3&amp;refID=7041246&amp;Result=3","7041246")</f>
        <v>0</v>
      </c>
      <c r="B2553" t="s">
        <v>974</v>
      </c>
      <c r="C2553" t="s">
        <v>5639</v>
      </c>
      <c r="D2553" t="s">
        <v>18072</v>
      </c>
      <c r="E2553" t="s">
        <v>20436</v>
      </c>
      <c r="F2553" t="s">
        <v>31574</v>
      </c>
      <c r="G2553" t="s">
        <v>31583</v>
      </c>
      <c r="H2553" t="s">
        <v>31590</v>
      </c>
      <c r="I2553" t="s">
        <v>31607</v>
      </c>
      <c r="J2553" t="s">
        <v>32381</v>
      </c>
      <c r="K2553" t="s">
        <v>41186</v>
      </c>
      <c r="M2553" t="s">
        <v>42505</v>
      </c>
      <c r="N2553" t="s">
        <v>45095</v>
      </c>
      <c r="O2553" t="s">
        <v>45096</v>
      </c>
      <c r="P2553">
        <v>0</v>
      </c>
      <c r="Q2553">
        <v>1</v>
      </c>
      <c r="R2553" t="s">
        <v>45098</v>
      </c>
      <c r="S2553" t="s">
        <v>45223</v>
      </c>
      <c r="T2553" t="s">
        <v>46936</v>
      </c>
      <c r="U2553" t="s">
        <v>49645</v>
      </c>
      <c r="W2553" t="s">
        <v>42505</v>
      </c>
      <c r="X2553" t="s">
        <v>45102</v>
      </c>
    </row>
    <row r="2554" spans="1:24">
      <c r="A2554">
        <f>HYPERLINK("https://www.philgeps.gov.ph/GEPSNONPILOT/Tender/SplashBidNoticeAbstractUI.aspx?menuIndex=3&amp;refID=7041222&amp;Result=3","7041222")</f>
        <v>0</v>
      </c>
      <c r="B2554" t="s">
        <v>191</v>
      </c>
      <c r="C2554" t="s">
        <v>5640</v>
      </c>
      <c r="D2554" t="s">
        <v>18082</v>
      </c>
      <c r="E2554" t="s">
        <v>20437</v>
      </c>
      <c r="F2554" t="s">
        <v>31574</v>
      </c>
      <c r="G2554" t="s">
        <v>31581</v>
      </c>
      <c r="H2554" t="s">
        <v>31590</v>
      </c>
      <c r="I2554" t="s">
        <v>31602</v>
      </c>
      <c r="J2554" t="s">
        <v>33489</v>
      </c>
      <c r="K2554" t="s">
        <v>41184</v>
      </c>
      <c r="M2554" t="s">
        <v>41676</v>
      </c>
      <c r="N2554" t="s">
        <v>45095</v>
      </c>
      <c r="O2554" t="s">
        <v>45096</v>
      </c>
      <c r="P2554">
        <v>0</v>
      </c>
      <c r="Q2554">
        <v>0</v>
      </c>
      <c r="R2554" t="s">
        <v>45098</v>
      </c>
      <c r="S2554" t="s">
        <v>45223</v>
      </c>
      <c r="T2554" t="s">
        <v>47120</v>
      </c>
      <c r="U2554" t="s">
        <v>49646</v>
      </c>
      <c r="W2554" t="s">
        <v>41676</v>
      </c>
      <c r="X2554" t="s">
        <v>45102</v>
      </c>
    </row>
    <row r="2555" spans="1:24">
      <c r="A2555">
        <f>HYPERLINK("https://www.philgeps.gov.ph/GEPSNONPILOT/Tender/SplashBidNoticeAbstractUI.aspx?menuIndex=3&amp;refID=7041252&amp;Result=3","7041252")</f>
        <v>0</v>
      </c>
      <c r="B2555" t="s">
        <v>135</v>
      </c>
      <c r="C2555" t="s">
        <v>5641</v>
      </c>
      <c r="D2555" t="s">
        <v>18022</v>
      </c>
      <c r="E2555" t="s">
        <v>20438</v>
      </c>
      <c r="F2555" t="s">
        <v>31574</v>
      </c>
      <c r="G2555" t="s">
        <v>31581</v>
      </c>
      <c r="H2555" t="s">
        <v>31590</v>
      </c>
      <c r="I2555" t="s">
        <v>31618</v>
      </c>
      <c r="J2555" t="s">
        <v>33490</v>
      </c>
      <c r="K2555" t="s">
        <v>41184</v>
      </c>
      <c r="M2555" t="s">
        <v>41619</v>
      </c>
      <c r="N2555" t="s">
        <v>45095</v>
      </c>
      <c r="O2555" t="s">
        <v>45096</v>
      </c>
      <c r="P2555">
        <v>0</v>
      </c>
      <c r="Q2555">
        <v>1</v>
      </c>
      <c r="R2555" t="s">
        <v>45098</v>
      </c>
      <c r="S2555" t="s">
        <v>45223</v>
      </c>
      <c r="T2555" t="s">
        <v>46955</v>
      </c>
      <c r="U2555" t="s">
        <v>49647</v>
      </c>
      <c r="W2555" t="s">
        <v>41619</v>
      </c>
      <c r="X2555" t="s">
        <v>45102</v>
      </c>
    </row>
    <row r="2556" spans="1:24">
      <c r="A2556">
        <f>HYPERLINK("https://www.philgeps.gov.ph/GEPSNONPILOT/Tender/SplashBidNoticeAbstractUI.aspx?menuIndex=3&amp;refID=7041250&amp;Result=3","7041250")</f>
        <v>0</v>
      </c>
      <c r="B2556" t="s">
        <v>977</v>
      </c>
      <c r="C2556" t="s">
        <v>5642</v>
      </c>
      <c r="D2556" t="s">
        <v>18065</v>
      </c>
      <c r="E2556" t="s">
        <v>20439</v>
      </c>
      <c r="F2556" t="s">
        <v>31574</v>
      </c>
      <c r="G2556" t="s">
        <v>31581</v>
      </c>
      <c r="H2556" t="s">
        <v>31590</v>
      </c>
      <c r="I2556" t="s">
        <v>31608</v>
      </c>
      <c r="J2556" t="s">
        <v>33491</v>
      </c>
      <c r="K2556" t="s">
        <v>41184</v>
      </c>
      <c r="M2556" t="s">
        <v>42509</v>
      </c>
      <c r="N2556" t="s">
        <v>45095</v>
      </c>
      <c r="O2556" t="s">
        <v>45096</v>
      </c>
      <c r="P2556">
        <v>0</v>
      </c>
      <c r="Q2556">
        <v>7</v>
      </c>
      <c r="R2556" t="s">
        <v>45098</v>
      </c>
      <c r="S2556" t="s">
        <v>45223</v>
      </c>
      <c r="T2556" t="s">
        <v>46953</v>
      </c>
      <c r="U2556" t="s">
        <v>49648</v>
      </c>
      <c r="W2556" t="s">
        <v>42509</v>
      </c>
      <c r="X2556" t="s">
        <v>45102</v>
      </c>
    </row>
    <row r="2557" spans="1:24">
      <c r="A2557">
        <f>HYPERLINK("https://www.philgeps.gov.ph/GEPSNONPILOT/Tender/SplashBidNoticeAbstractUI.aspx?menuIndex=3&amp;refID=7041174&amp;Result=3","7041174")</f>
        <v>0</v>
      </c>
      <c r="B2557" t="s">
        <v>322</v>
      </c>
      <c r="C2557" t="s">
        <v>5643</v>
      </c>
      <c r="D2557" t="s">
        <v>18079</v>
      </c>
      <c r="E2557" t="s">
        <v>19166</v>
      </c>
      <c r="F2557" t="s">
        <v>31574</v>
      </c>
      <c r="G2557" t="s">
        <v>31581</v>
      </c>
      <c r="H2557" t="s">
        <v>31590</v>
      </c>
      <c r="I2557" t="s">
        <v>6800</v>
      </c>
      <c r="J2557" t="s">
        <v>33492</v>
      </c>
      <c r="K2557" t="s">
        <v>41190</v>
      </c>
      <c r="M2557" t="s">
        <v>41810</v>
      </c>
      <c r="N2557" t="s">
        <v>45095</v>
      </c>
      <c r="O2557" t="s">
        <v>45096</v>
      </c>
      <c r="P2557">
        <v>0</v>
      </c>
      <c r="Q2557">
        <v>6</v>
      </c>
      <c r="R2557" t="s">
        <v>45098</v>
      </c>
      <c r="S2557" t="s">
        <v>45223</v>
      </c>
      <c r="T2557" t="s">
        <v>46980</v>
      </c>
      <c r="U2557" t="s">
        <v>49649</v>
      </c>
      <c r="W2557" t="s">
        <v>41810</v>
      </c>
      <c r="X2557" t="s">
        <v>45102</v>
      </c>
    </row>
    <row r="2558" spans="1:24">
      <c r="A2558">
        <f>HYPERLINK("https://www.philgeps.gov.ph/GEPSNONPILOT/Tender/SplashBidNoticeAbstractUI.aspx?menuIndex=3&amp;refID=7041249&amp;Result=3","7041249")</f>
        <v>0</v>
      </c>
      <c r="B2558" t="s">
        <v>383</v>
      </c>
      <c r="C2558" t="s">
        <v>5644</v>
      </c>
      <c r="D2558" t="s">
        <v>18022</v>
      </c>
      <c r="E2558" t="s">
        <v>20440</v>
      </c>
      <c r="F2558" t="s">
        <v>31574</v>
      </c>
      <c r="G2558" t="s">
        <v>31581</v>
      </c>
      <c r="H2558" t="s">
        <v>31590</v>
      </c>
      <c r="I2558" t="s">
        <v>7162</v>
      </c>
      <c r="J2558" t="s">
        <v>32126</v>
      </c>
      <c r="K2558" t="s">
        <v>41186</v>
      </c>
      <c r="M2558" t="s">
        <v>42510</v>
      </c>
      <c r="N2558" t="s">
        <v>45095</v>
      </c>
      <c r="O2558" t="s">
        <v>45096</v>
      </c>
      <c r="P2558">
        <v>0</v>
      </c>
      <c r="Q2558">
        <v>7</v>
      </c>
      <c r="R2558" t="s">
        <v>45098</v>
      </c>
      <c r="S2558" t="s">
        <v>45223</v>
      </c>
      <c r="T2558" t="s">
        <v>46973</v>
      </c>
      <c r="U2558" t="s">
        <v>49650</v>
      </c>
      <c r="W2558" t="s">
        <v>42510</v>
      </c>
      <c r="X2558" t="s">
        <v>45102</v>
      </c>
    </row>
    <row r="2559" spans="1:24">
      <c r="A2559">
        <f>HYPERLINK("https://www.philgeps.gov.ph/GEPSNONPILOT/Tender/SplashBidNoticeAbstractUI.aspx?menuIndex=3&amp;refID=7041349&amp;Result=3","7041349")</f>
        <v>0</v>
      </c>
      <c r="B2559" t="s">
        <v>38</v>
      </c>
      <c r="C2559" t="s">
        <v>5645</v>
      </c>
      <c r="D2559" t="s">
        <v>18033</v>
      </c>
      <c r="E2559" t="s">
        <v>20441</v>
      </c>
      <c r="F2559" t="s">
        <v>31574</v>
      </c>
      <c r="G2559" t="s">
        <v>31582</v>
      </c>
      <c r="H2559" t="s">
        <v>31590</v>
      </c>
      <c r="I2559" t="s">
        <v>6800</v>
      </c>
      <c r="J2559" t="s">
        <v>33493</v>
      </c>
      <c r="K2559" t="s">
        <v>41194</v>
      </c>
      <c r="M2559" t="s">
        <v>42487</v>
      </c>
      <c r="N2559" t="s">
        <v>45095</v>
      </c>
      <c r="O2559" t="s">
        <v>45096</v>
      </c>
      <c r="P2559">
        <v>0</v>
      </c>
      <c r="Q2559">
        <v>0</v>
      </c>
      <c r="R2559" t="s">
        <v>45098</v>
      </c>
      <c r="S2559" t="s">
        <v>45223</v>
      </c>
      <c r="T2559" t="s">
        <v>47079</v>
      </c>
      <c r="U2559" t="s">
        <v>49651</v>
      </c>
      <c r="V2559" t="s">
        <v>60088</v>
      </c>
      <c r="W2559" t="s">
        <v>42487</v>
      </c>
      <c r="X2559" t="s">
        <v>45102</v>
      </c>
    </row>
    <row r="2560" spans="1:24">
      <c r="A2560">
        <f>HYPERLINK("https://www.philgeps.gov.ph/GEPSNONPILOT/Tender/SplashBidNoticeAbstractUI.aspx?menuIndex=3&amp;refID=7041227&amp;Result=3","7041227")</f>
        <v>0</v>
      </c>
      <c r="B2560" t="s">
        <v>116</v>
      </c>
      <c r="C2560" t="s">
        <v>5646</v>
      </c>
      <c r="D2560" t="s">
        <v>18068</v>
      </c>
      <c r="E2560" t="s">
        <v>20442</v>
      </c>
      <c r="F2560" t="s">
        <v>31574</v>
      </c>
      <c r="G2560" t="s">
        <v>31582</v>
      </c>
      <c r="H2560" t="s">
        <v>31591</v>
      </c>
      <c r="I2560" t="s">
        <v>8822</v>
      </c>
      <c r="J2560" t="s">
        <v>33494</v>
      </c>
      <c r="K2560" t="s">
        <v>41206</v>
      </c>
      <c r="M2560" t="s">
        <v>42500</v>
      </c>
      <c r="N2560" t="s">
        <v>45095</v>
      </c>
      <c r="O2560" t="s">
        <v>45096</v>
      </c>
      <c r="P2560">
        <v>0</v>
      </c>
      <c r="Q2560">
        <v>0</v>
      </c>
      <c r="R2560" t="s">
        <v>45098</v>
      </c>
      <c r="S2560" t="s">
        <v>45223</v>
      </c>
      <c r="T2560" t="s">
        <v>46991</v>
      </c>
      <c r="U2560" t="s">
        <v>49652</v>
      </c>
      <c r="V2560" t="s">
        <v>60097</v>
      </c>
      <c r="W2560" t="s">
        <v>42500</v>
      </c>
      <c r="X2560" t="s">
        <v>45102</v>
      </c>
    </row>
    <row r="2561" spans="1:24">
      <c r="A2561">
        <f>HYPERLINK("https://www.philgeps.gov.ph/GEPSNONPILOT/Tender/SplashBidNoticeAbstractUI.aspx?menuIndex=3&amp;refID=7041342&amp;Result=3","7041342")</f>
        <v>0</v>
      </c>
      <c r="B2561" t="s">
        <v>38</v>
      </c>
      <c r="C2561" t="s">
        <v>5647</v>
      </c>
      <c r="D2561" t="s">
        <v>18033</v>
      </c>
      <c r="E2561" t="s">
        <v>20443</v>
      </c>
      <c r="F2561" t="s">
        <v>31574</v>
      </c>
      <c r="G2561" t="s">
        <v>31582</v>
      </c>
      <c r="H2561" t="s">
        <v>31590</v>
      </c>
      <c r="I2561" t="s">
        <v>31594</v>
      </c>
      <c r="J2561" t="s">
        <v>31888</v>
      </c>
      <c r="K2561" t="s">
        <v>41194</v>
      </c>
      <c r="M2561" t="s">
        <v>42487</v>
      </c>
      <c r="N2561" t="s">
        <v>45095</v>
      </c>
      <c r="O2561" t="s">
        <v>45096</v>
      </c>
      <c r="P2561">
        <v>0</v>
      </c>
      <c r="Q2561">
        <v>5</v>
      </c>
      <c r="R2561" t="s">
        <v>45098</v>
      </c>
      <c r="S2561" t="s">
        <v>45223</v>
      </c>
      <c r="T2561" t="s">
        <v>47079</v>
      </c>
      <c r="U2561" t="s">
        <v>49653</v>
      </c>
      <c r="V2561" t="s">
        <v>60088</v>
      </c>
      <c r="W2561" t="s">
        <v>42487</v>
      </c>
      <c r="X2561" t="s">
        <v>45102</v>
      </c>
    </row>
    <row r="2562" spans="1:24">
      <c r="A2562">
        <f>HYPERLINK("https://www.philgeps.gov.ph/GEPSNONPILOT/Tender/SplashBidNoticeAbstractUI.aspx?menuIndex=3&amp;refID=7041350&amp;Result=3","7041350")</f>
        <v>0</v>
      </c>
      <c r="B2562" t="s">
        <v>35</v>
      </c>
      <c r="C2562" t="s">
        <v>5648</v>
      </c>
      <c r="D2562" t="s">
        <v>18030</v>
      </c>
      <c r="E2562" t="s">
        <v>5648</v>
      </c>
      <c r="F2562" t="s">
        <v>31574</v>
      </c>
      <c r="G2562" t="s">
        <v>31581</v>
      </c>
      <c r="H2562" t="s">
        <v>31590</v>
      </c>
      <c r="I2562" t="s">
        <v>3487</v>
      </c>
      <c r="J2562" t="s">
        <v>33495</v>
      </c>
      <c r="K2562" t="s">
        <v>41186</v>
      </c>
      <c r="M2562" t="s">
        <v>41517</v>
      </c>
      <c r="N2562" t="s">
        <v>45095</v>
      </c>
      <c r="O2562" t="s">
        <v>45096</v>
      </c>
      <c r="P2562">
        <v>0</v>
      </c>
      <c r="Q2562">
        <v>0</v>
      </c>
      <c r="R2562" t="s">
        <v>45098</v>
      </c>
      <c r="S2562" t="s">
        <v>45223</v>
      </c>
      <c r="T2562" t="s">
        <v>47106</v>
      </c>
      <c r="U2562" t="s">
        <v>49654</v>
      </c>
      <c r="W2562" t="s">
        <v>41517</v>
      </c>
      <c r="X2562" t="s">
        <v>45102</v>
      </c>
    </row>
    <row r="2563" spans="1:24">
      <c r="A2563">
        <f>HYPERLINK("https://www.philgeps.gov.ph/GEPSNONPILOT/Tender/SplashBidNoticeAbstractUI.aspx?menuIndex=3&amp;refID=7041325&amp;Result=3","7041325")</f>
        <v>0</v>
      </c>
      <c r="B2563" t="s">
        <v>38</v>
      </c>
      <c r="C2563" t="s">
        <v>5649</v>
      </c>
      <c r="D2563" t="s">
        <v>18033</v>
      </c>
      <c r="E2563" t="s">
        <v>20444</v>
      </c>
      <c r="F2563" t="s">
        <v>31574</v>
      </c>
      <c r="G2563" t="s">
        <v>31582</v>
      </c>
      <c r="H2563" t="s">
        <v>31590</v>
      </c>
      <c r="I2563" t="s">
        <v>8258</v>
      </c>
      <c r="J2563" t="s">
        <v>33496</v>
      </c>
      <c r="K2563" t="s">
        <v>41194</v>
      </c>
      <c r="M2563" t="s">
        <v>42487</v>
      </c>
      <c r="N2563" t="s">
        <v>45095</v>
      </c>
      <c r="O2563" t="s">
        <v>45096</v>
      </c>
      <c r="P2563">
        <v>0</v>
      </c>
      <c r="Q2563">
        <v>4</v>
      </c>
      <c r="R2563" t="s">
        <v>45098</v>
      </c>
      <c r="S2563" t="s">
        <v>45223</v>
      </c>
      <c r="T2563" t="s">
        <v>47079</v>
      </c>
      <c r="U2563" t="s">
        <v>49655</v>
      </c>
      <c r="V2563" t="s">
        <v>60088</v>
      </c>
      <c r="W2563" t="s">
        <v>42487</v>
      </c>
      <c r="X2563" t="s">
        <v>45102</v>
      </c>
    </row>
    <row r="2564" spans="1:24">
      <c r="A2564">
        <f>HYPERLINK("https://www.philgeps.gov.ph/GEPSNONPILOT/Tender/SplashBidNoticeAbstractUI.aspx?menuIndex=3&amp;refID=7041171&amp;Result=3","7041171")</f>
        <v>0</v>
      </c>
      <c r="B2564" t="s">
        <v>116</v>
      </c>
      <c r="C2564" t="s">
        <v>5650</v>
      </c>
      <c r="D2564" t="s">
        <v>18068</v>
      </c>
      <c r="E2564" t="s">
        <v>20445</v>
      </c>
      <c r="F2564" t="s">
        <v>31574</v>
      </c>
      <c r="G2564" t="s">
        <v>31582</v>
      </c>
      <c r="H2564" t="s">
        <v>31591</v>
      </c>
      <c r="I2564" t="s">
        <v>8822</v>
      </c>
      <c r="J2564" t="s">
        <v>33497</v>
      </c>
      <c r="K2564" t="s">
        <v>41208</v>
      </c>
      <c r="M2564" t="s">
        <v>42500</v>
      </c>
      <c r="N2564" t="s">
        <v>45095</v>
      </c>
      <c r="O2564" t="s">
        <v>45096</v>
      </c>
      <c r="P2564">
        <v>0</v>
      </c>
      <c r="Q2564">
        <v>0</v>
      </c>
      <c r="R2564" t="s">
        <v>45098</v>
      </c>
      <c r="S2564" t="s">
        <v>45223</v>
      </c>
      <c r="T2564" t="s">
        <v>46991</v>
      </c>
      <c r="U2564" t="s">
        <v>49656</v>
      </c>
      <c r="V2564" t="s">
        <v>60098</v>
      </c>
      <c r="W2564" t="s">
        <v>42500</v>
      </c>
      <c r="X2564" t="s">
        <v>45102</v>
      </c>
    </row>
    <row r="2565" spans="1:24">
      <c r="A2565">
        <f>HYPERLINK("https://www.philgeps.gov.ph/GEPSNONPILOT/Tender/SplashBidNoticeAbstractUI.aspx?menuIndex=3&amp;refID=7041380&amp;Result=3","7041380")</f>
        <v>0</v>
      </c>
      <c r="B2565" t="s">
        <v>977</v>
      </c>
      <c r="C2565" t="s">
        <v>5651</v>
      </c>
      <c r="D2565" t="s">
        <v>18065</v>
      </c>
      <c r="E2565" t="s">
        <v>20446</v>
      </c>
      <c r="F2565" t="s">
        <v>31574</v>
      </c>
      <c r="G2565" t="s">
        <v>31581</v>
      </c>
      <c r="H2565" t="s">
        <v>31590</v>
      </c>
      <c r="I2565" t="s">
        <v>31616</v>
      </c>
      <c r="J2565" t="s">
        <v>33498</v>
      </c>
      <c r="K2565" t="s">
        <v>41184</v>
      </c>
      <c r="M2565" t="s">
        <v>42509</v>
      </c>
      <c r="N2565" t="s">
        <v>45095</v>
      </c>
      <c r="O2565" t="s">
        <v>45096</v>
      </c>
      <c r="P2565">
        <v>0</v>
      </c>
      <c r="Q2565">
        <v>2</v>
      </c>
      <c r="R2565" t="s">
        <v>45098</v>
      </c>
      <c r="S2565" t="s">
        <v>45223</v>
      </c>
      <c r="T2565" t="s">
        <v>46936</v>
      </c>
      <c r="U2565" t="s">
        <v>49657</v>
      </c>
      <c r="W2565" t="s">
        <v>42509</v>
      </c>
      <c r="X2565" t="s">
        <v>45102</v>
      </c>
    </row>
    <row r="2566" spans="1:24">
      <c r="A2566">
        <f>HYPERLINK("https://www.philgeps.gov.ph/GEPSNONPILOT/Tender/SplashBidNoticeAbstractUI.aspx?menuIndex=3&amp;refID=7041340&amp;Result=3","7041340")</f>
        <v>0</v>
      </c>
      <c r="B2566" t="s">
        <v>977</v>
      </c>
      <c r="C2566" t="s">
        <v>5652</v>
      </c>
      <c r="D2566" t="s">
        <v>18065</v>
      </c>
      <c r="E2566" t="s">
        <v>20447</v>
      </c>
      <c r="F2566" t="s">
        <v>31574</v>
      </c>
      <c r="G2566" t="s">
        <v>31581</v>
      </c>
      <c r="H2566" t="s">
        <v>31590</v>
      </c>
      <c r="I2566" t="s">
        <v>8258</v>
      </c>
      <c r="J2566" t="s">
        <v>33499</v>
      </c>
      <c r="K2566" t="s">
        <v>41184</v>
      </c>
      <c r="M2566" t="s">
        <v>42509</v>
      </c>
      <c r="N2566" t="s">
        <v>45095</v>
      </c>
      <c r="O2566" t="s">
        <v>45096</v>
      </c>
      <c r="P2566">
        <v>0</v>
      </c>
      <c r="Q2566">
        <v>8</v>
      </c>
      <c r="R2566" t="s">
        <v>45098</v>
      </c>
      <c r="S2566" t="s">
        <v>45223</v>
      </c>
      <c r="T2566" t="s">
        <v>46936</v>
      </c>
      <c r="U2566" t="s">
        <v>49658</v>
      </c>
      <c r="W2566" t="s">
        <v>42509</v>
      </c>
      <c r="X2566" t="s">
        <v>45102</v>
      </c>
    </row>
    <row r="2567" spans="1:24">
      <c r="A2567">
        <f>HYPERLINK("https://www.philgeps.gov.ph/GEPSNONPILOT/Tender/SplashBidNoticeAbstractUI.aspx?menuIndex=3&amp;refID=7041215&amp;Result=3","7041215")</f>
        <v>0</v>
      </c>
      <c r="B2567" t="s">
        <v>162</v>
      </c>
      <c r="C2567" t="s">
        <v>5653</v>
      </c>
      <c r="D2567" t="s">
        <v>18067</v>
      </c>
      <c r="E2567" t="s">
        <v>20448</v>
      </c>
      <c r="F2567" t="s">
        <v>31574</v>
      </c>
      <c r="G2567" t="s">
        <v>31583</v>
      </c>
      <c r="H2567" t="s">
        <v>31590</v>
      </c>
      <c r="I2567" t="s">
        <v>31607</v>
      </c>
      <c r="J2567" t="s">
        <v>32236</v>
      </c>
      <c r="K2567" t="s">
        <v>41196</v>
      </c>
      <c r="M2567" t="s">
        <v>41646</v>
      </c>
      <c r="N2567" t="s">
        <v>45095</v>
      </c>
      <c r="O2567" t="s">
        <v>45096</v>
      </c>
      <c r="P2567">
        <v>0</v>
      </c>
      <c r="Q2567">
        <v>1</v>
      </c>
      <c r="R2567" t="s">
        <v>45098</v>
      </c>
      <c r="S2567" t="s">
        <v>45223</v>
      </c>
      <c r="T2567" t="s">
        <v>46973</v>
      </c>
      <c r="U2567" t="s">
        <v>49659</v>
      </c>
      <c r="W2567" t="s">
        <v>41646</v>
      </c>
      <c r="X2567" t="s">
        <v>45102</v>
      </c>
    </row>
    <row r="2568" spans="1:24">
      <c r="A2568">
        <f>HYPERLINK("https://www.philgeps.gov.ph/GEPSNONPILOT/Tender/SplashBidNoticeAbstractUI.aspx?menuIndex=3&amp;refID=7041360&amp;Result=3","7041360")</f>
        <v>0</v>
      </c>
      <c r="B2568" t="s">
        <v>38</v>
      </c>
      <c r="C2568" t="s">
        <v>5654</v>
      </c>
      <c r="D2568" t="s">
        <v>18033</v>
      </c>
      <c r="E2568" t="s">
        <v>20449</v>
      </c>
      <c r="F2568" t="s">
        <v>31574</v>
      </c>
      <c r="G2568" t="s">
        <v>31582</v>
      </c>
      <c r="H2568" t="s">
        <v>31590</v>
      </c>
      <c r="I2568" t="s">
        <v>31594</v>
      </c>
      <c r="J2568" t="s">
        <v>33500</v>
      </c>
      <c r="K2568" t="s">
        <v>41194</v>
      </c>
      <c r="M2568" t="s">
        <v>42487</v>
      </c>
      <c r="N2568" t="s">
        <v>45095</v>
      </c>
      <c r="O2568" t="s">
        <v>45096</v>
      </c>
      <c r="P2568">
        <v>0</v>
      </c>
      <c r="Q2568">
        <v>5</v>
      </c>
      <c r="R2568" t="s">
        <v>45098</v>
      </c>
      <c r="S2568" t="s">
        <v>45223</v>
      </c>
      <c r="T2568" t="s">
        <v>47079</v>
      </c>
      <c r="U2568" t="s">
        <v>49660</v>
      </c>
      <c r="V2568" t="s">
        <v>60088</v>
      </c>
      <c r="W2568" t="s">
        <v>42487</v>
      </c>
      <c r="X2568" t="s">
        <v>45102</v>
      </c>
    </row>
    <row r="2569" spans="1:24">
      <c r="A2569">
        <f>HYPERLINK("https://www.philgeps.gov.ph/GEPSNONPILOT/Tender/SplashBidNoticeAbstractUI.aspx?menuIndex=3&amp;refID=7041309&amp;Result=3","7041309")</f>
        <v>0</v>
      </c>
      <c r="B2569" t="s">
        <v>978</v>
      </c>
      <c r="C2569" t="s">
        <v>5655</v>
      </c>
      <c r="D2569" t="s">
        <v>18107</v>
      </c>
      <c r="E2569" t="s">
        <v>20450</v>
      </c>
      <c r="F2569" t="s">
        <v>31574</v>
      </c>
      <c r="G2569" t="s">
        <v>31585</v>
      </c>
      <c r="H2569" t="s">
        <v>31590</v>
      </c>
      <c r="I2569" t="s">
        <v>31662</v>
      </c>
      <c r="J2569" t="s">
        <v>33344</v>
      </c>
      <c r="K2569" t="s">
        <v>41196</v>
      </c>
      <c r="L2569" t="s">
        <v>978</v>
      </c>
      <c r="M2569" t="s">
        <v>42511</v>
      </c>
      <c r="N2569" t="s">
        <v>45095</v>
      </c>
      <c r="O2569" t="s">
        <v>45096</v>
      </c>
      <c r="P2569">
        <v>0</v>
      </c>
      <c r="Q2569">
        <v>7</v>
      </c>
      <c r="R2569" t="s">
        <v>45098</v>
      </c>
      <c r="S2569" t="s">
        <v>45223</v>
      </c>
      <c r="T2569" t="s">
        <v>46957</v>
      </c>
      <c r="U2569" t="s">
        <v>49661</v>
      </c>
      <c r="V2569" t="s">
        <v>60099</v>
      </c>
      <c r="W2569" t="s">
        <v>42511</v>
      </c>
      <c r="X2569" t="s">
        <v>45102</v>
      </c>
    </row>
    <row r="2570" spans="1:24">
      <c r="A2570">
        <f>HYPERLINK("https://www.philgeps.gov.ph/GEPSNONPILOT/Tender/SplashBidNoticeAbstractUI.aspx?menuIndex=3&amp;refID=7041337&amp;Result=3","7041337")</f>
        <v>0</v>
      </c>
      <c r="B2570" t="s">
        <v>979</v>
      </c>
      <c r="C2570" t="s">
        <v>5656</v>
      </c>
      <c r="D2570" t="s">
        <v>18052</v>
      </c>
      <c r="E2570" t="s">
        <v>20451</v>
      </c>
      <c r="F2570" t="s">
        <v>31574</v>
      </c>
      <c r="G2570" t="s">
        <v>31581</v>
      </c>
      <c r="H2570" t="s">
        <v>31590</v>
      </c>
      <c r="I2570" t="s">
        <v>31658</v>
      </c>
      <c r="J2570" t="s">
        <v>31780</v>
      </c>
      <c r="K2570" t="s">
        <v>41186</v>
      </c>
      <c r="M2570" t="s">
        <v>42512</v>
      </c>
      <c r="N2570" t="s">
        <v>45095</v>
      </c>
      <c r="O2570" t="s">
        <v>45096</v>
      </c>
      <c r="P2570">
        <v>0</v>
      </c>
      <c r="Q2570">
        <v>2</v>
      </c>
      <c r="R2570" t="s">
        <v>45098</v>
      </c>
      <c r="S2570" t="s">
        <v>45223</v>
      </c>
      <c r="T2570" t="s">
        <v>47064</v>
      </c>
      <c r="U2570" t="s">
        <v>49662</v>
      </c>
      <c r="V2570" t="s">
        <v>60100</v>
      </c>
      <c r="W2570" t="s">
        <v>42512</v>
      </c>
      <c r="X2570" t="s">
        <v>45102</v>
      </c>
    </row>
    <row r="2571" spans="1:24">
      <c r="A2571">
        <f>HYPERLINK("https://www.philgeps.gov.ph/GEPSNONPILOT/Tender/SplashBidNoticeAbstractUI.aspx?menuIndex=3&amp;refID=7041359&amp;Result=3","7041359")</f>
        <v>0</v>
      </c>
      <c r="B2571" t="s">
        <v>479</v>
      </c>
      <c r="C2571" t="s">
        <v>5657</v>
      </c>
      <c r="D2571" t="s">
        <v>18079</v>
      </c>
      <c r="E2571" t="s">
        <v>20452</v>
      </c>
      <c r="F2571" t="s">
        <v>31574</v>
      </c>
      <c r="G2571" t="s">
        <v>31581</v>
      </c>
      <c r="H2571" t="s">
        <v>31590</v>
      </c>
      <c r="I2571" t="s">
        <v>31645</v>
      </c>
      <c r="J2571" t="s">
        <v>33501</v>
      </c>
      <c r="K2571" t="s">
        <v>41184</v>
      </c>
      <c r="M2571" t="s">
        <v>42513</v>
      </c>
      <c r="N2571" t="s">
        <v>45095</v>
      </c>
      <c r="O2571" t="s">
        <v>45096</v>
      </c>
      <c r="P2571">
        <v>0</v>
      </c>
      <c r="Q2571">
        <v>6</v>
      </c>
      <c r="R2571" t="s">
        <v>45098</v>
      </c>
      <c r="S2571" t="s">
        <v>45223</v>
      </c>
      <c r="T2571" t="s">
        <v>46957</v>
      </c>
      <c r="U2571" t="s">
        <v>49663</v>
      </c>
      <c r="W2571" t="s">
        <v>42513</v>
      </c>
      <c r="X2571" t="s">
        <v>45102</v>
      </c>
    </row>
    <row r="2572" spans="1:24">
      <c r="A2572">
        <f>HYPERLINK("https://www.philgeps.gov.ph/GEPSNONPILOT/Tender/SplashBidNoticeAbstractUI.aspx?menuIndex=3&amp;refID=7041296&amp;Result=3","7041296")</f>
        <v>0</v>
      </c>
      <c r="B2572" t="s">
        <v>977</v>
      </c>
      <c r="C2572" t="s">
        <v>5658</v>
      </c>
      <c r="D2572" t="s">
        <v>18065</v>
      </c>
      <c r="E2572" t="s">
        <v>20453</v>
      </c>
      <c r="F2572" t="s">
        <v>31574</v>
      </c>
      <c r="G2572" t="s">
        <v>31581</v>
      </c>
      <c r="H2572" t="s">
        <v>31590</v>
      </c>
      <c r="I2572" t="s">
        <v>14544</v>
      </c>
      <c r="J2572" t="s">
        <v>33502</v>
      </c>
      <c r="K2572" t="s">
        <v>41184</v>
      </c>
      <c r="M2572" t="s">
        <v>42509</v>
      </c>
      <c r="N2572" t="s">
        <v>45095</v>
      </c>
      <c r="O2572" t="s">
        <v>45096</v>
      </c>
      <c r="P2572">
        <v>0</v>
      </c>
      <c r="Q2572">
        <v>0</v>
      </c>
      <c r="R2572" t="s">
        <v>45098</v>
      </c>
      <c r="S2572" t="s">
        <v>45223</v>
      </c>
      <c r="T2572" t="s">
        <v>46936</v>
      </c>
      <c r="U2572" t="s">
        <v>49658</v>
      </c>
      <c r="W2572" t="s">
        <v>42509</v>
      </c>
      <c r="X2572" t="s">
        <v>45102</v>
      </c>
    </row>
    <row r="2573" spans="1:24">
      <c r="A2573">
        <f>HYPERLINK("https://www.philgeps.gov.ph/GEPSNONPILOT/Tender/SplashBidNoticeAbstractUI.aspx?menuIndex=3&amp;refID=7041263&amp;Result=3","7041263")</f>
        <v>0</v>
      </c>
      <c r="B2573" t="s">
        <v>977</v>
      </c>
      <c r="C2573" t="s">
        <v>5659</v>
      </c>
      <c r="D2573" t="s">
        <v>18065</v>
      </c>
      <c r="E2573" t="s">
        <v>20454</v>
      </c>
      <c r="F2573" t="s">
        <v>31574</v>
      </c>
      <c r="G2573" t="s">
        <v>31581</v>
      </c>
      <c r="H2573" t="s">
        <v>31590</v>
      </c>
      <c r="I2573" t="s">
        <v>31644</v>
      </c>
      <c r="J2573" t="s">
        <v>33503</v>
      </c>
      <c r="K2573" t="s">
        <v>41184</v>
      </c>
      <c r="M2573" t="s">
        <v>42509</v>
      </c>
      <c r="N2573" t="s">
        <v>45095</v>
      </c>
      <c r="O2573" t="s">
        <v>45096</v>
      </c>
      <c r="P2573">
        <v>0</v>
      </c>
      <c r="Q2573">
        <v>4</v>
      </c>
      <c r="R2573" t="s">
        <v>45098</v>
      </c>
      <c r="S2573" t="s">
        <v>45223</v>
      </c>
      <c r="T2573" t="s">
        <v>46936</v>
      </c>
      <c r="U2573" t="s">
        <v>49658</v>
      </c>
      <c r="W2573" t="s">
        <v>42509</v>
      </c>
      <c r="X2573" t="s">
        <v>45102</v>
      </c>
    </row>
    <row r="2574" spans="1:24">
      <c r="A2574">
        <f>HYPERLINK("https://www.philgeps.gov.ph/GEPSNONPILOT/Tender/SplashBidNoticeAbstractUI.aspx?menuIndex=3&amp;refID=7041273&amp;Result=3","7041273")</f>
        <v>0</v>
      </c>
      <c r="B2574" t="s">
        <v>977</v>
      </c>
      <c r="C2574" t="s">
        <v>5660</v>
      </c>
      <c r="D2574" t="s">
        <v>18065</v>
      </c>
      <c r="E2574" t="s">
        <v>20455</v>
      </c>
      <c r="F2574" t="s">
        <v>31574</v>
      </c>
      <c r="G2574" t="s">
        <v>31581</v>
      </c>
      <c r="H2574" t="s">
        <v>31590</v>
      </c>
      <c r="I2574" t="s">
        <v>31595</v>
      </c>
      <c r="J2574" t="s">
        <v>33504</v>
      </c>
      <c r="K2574" t="s">
        <v>41184</v>
      </c>
      <c r="M2574" t="s">
        <v>42509</v>
      </c>
      <c r="N2574" t="s">
        <v>45095</v>
      </c>
      <c r="O2574" t="s">
        <v>45096</v>
      </c>
      <c r="P2574">
        <v>0</v>
      </c>
      <c r="Q2574">
        <v>6</v>
      </c>
      <c r="R2574" t="s">
        <v>45098</v>
      </c>
      <c r="S2574" t="s">
        <v>45223</v>
      </c>
      <c r="T2574" t="s">
        <v>46936</v>
      </c>
      <c r="U2574" t="s">
        <v>49664</v>
      </c>
      <c r="W2574" t="s">
        <v>42509</v>
      </c>
      <c r="X2574" t="s">
        <v>45102</v>
      </c>
    </row>
    <row r="2575" spans="1:24">
      <c r="A2575">
        <f>HYPERLINK("https://www.philgeps.gov.ph/GEPSNONPILOT/Tender/SplashBidNoticeAbstractUI.aspx?menuIndex=3&amp;refID=7041256&amp;Result=3","7041256")</f>
        <v>0</v>
      </c>
      <c r="B2575" t="s">
        <v>980</v>
      </c>
      <c r="C2575" t="s">
        <v>5661</v>
      </c>
      <c r="D2575" t="s">
        <v>18076</v>
      </c>
      <c r="E2575" t="s">
        <v>20456</v>
      </c>
      <c r="F2575" t="s">
        <v>31574</v>
      </c>
      <c r="G2575" t="s">
        <v>31583</v>
      </c>
      <c r="H2575" t="s">
        <v>31590</v>
      </c>
      <c r="I2575" t="s">
        <v>4046</v>
      </c>
      <c r="J2575" t="s">
        <v>33505</v>
      </c>
      <c r="K2575" t="s">
        <v>41186</v>
      </c>
      <c r="L2575" t="s">
        <v>980</v>
      </c>
      <c r="M2575" t="s">
        <v>42514</v>
      </c>
      <c r="N2575" t="s">
        <v>45095</v>
      </c>
      <c r="O2575" t="s">
        <v>45096</v>
      </c>
      <c r="P2575">
        <v>0</v>
      </c>
      <c r="Q2575">
        <v>0</v>
      </c>
      <c r="R2575" t="s">
        <v>45098</v>
      </c>
      <c r="S2575" t="s">
        <v>45223</v>
      </c>
      <c r="T2575" t="s">
        <v>47083</v>
      </c>
      <c r="U2575" t="s">
        <v>49665</v>
      </c>
      <c r="V2575" t="s">
        <v>60101</v>
      </c>
      <c r="W2575" t="s">
        <v>42514</v>
      </c>
      <c r="X2575" t="s">
        <v>45102</v>
      </c>
    </row>
    <row r="2576" spans="1:24">
      <c r="A2576">
        <f>HYPERLINK("https://www.philgeps.gov.ph/GEPSNONPILOT/Tender/SplashBidNoticeAbstractUI.aspx?menuIndex=3&amp;refID=7041254&amp;Result=3","7041254")</f>
        <v>0</v>
      </c>
      <c r="B2576" t="s">
        <v>981</v>
      </c>
      <c r="C2576" t="s">
        <v>5662</v>
      </c>
      <c r="D2576" t="s">
        <v>18039</v>
      </c>
      <c r="E2576" t="s">
        <v>20457</v>
      </c>
      <c r="F2576" t="s">
        <v>31574</v>
      </c>
      <c r="G2576" t="s">
        <v>31581</v>
      </c>
      <c r="H2576" t="s">
        <v>31590</v>
      </c>
      <c r="I2576" t="s">
        <v>4046</v>
      </c>
      <c r="J2576" t="s">
        <v>33506</v>
      </c>
      <c r="K2576" t="s">
        <v>41196</v>
      </c>
      <c r="M2576" t="s">
        <v>42515</v>
      </c>
      <c r="N2576" t="s">
        <v>45095</v>
      </c>
      <c r="O2576" t="s">
        <v>45096</v>
      </c>
      <c r="P2576">
        <v>0</v>
      </c>
      <c r="Q2576">
        <v>0</v>
      </c>
      <c r="R2576" t="s">
        <v>45098</v>
      </c>
      <c r="S2576" t="s">
        <v>45223</v>
      </c>
      <c r="T2576" t="s">
        <v>46973</v>
      </c>
      <c r="U2576" t="s">
        <v>49666</v>
      </c>
      <c r="W2576" t="s">
        <v>42515</v>
      </c>
      <c r="X2576" t="s">
        <v>45102</v>
      </c>
    </row>
    <row r="2577" spans="1:24">
      <c r="A2577">
        <f>HYPERLINK("https://www.philgeps.gov.ph/GEPSNONPILOT/Tender/SplashBidNoticeAbstractUI.aspx?menuIndex=3&amp;refID=7041265&amp;Result=3","7041265")</f>
        <v>0</v>
      </c>
      <c r="B2577" t="s">
        <v>38</v>
      </c>
      <c r="C2577" t="s">
        <v>5663</v>
      </c>
      <c r="D2577" t="s">
        <v>18033</v>
      </c>
      <c r="E2577" t="s">
        <v>20458</v>
      </c>
      <c r="F2577" t="s">
        <v>31574</v>
      </c>
      <c r="G2577" t="s">
        <v>31582</v>
      </c>
      <c r="H2577" t="s">
        <v>31591</v>
      </c>
      <c r="I2577" t="s">
        <v>8822</v>
      </c>
      <c r="J2577" t="s">
        <v>33507</v>
      </c>
      <c r="K2577" t="s">
        <v>41243</v>
      </c>
      <c r="M2577" t="s">
        <v>42506</v>
      </c>
      <c r="N2577" t="s">
        <v>45095</v>
      </c>
      <c r="O2577" t="s">
        <v>45096</v>
      </c>
      <c r="P2577">
        <v>0</v>
      </c>
      <c r="Q2577">
        <v>0</v>
      </c>
      <c r="R2577" t="s">
        <v>45098</v>
      </c>
      <c r="S2577" t="s">
        <v>45223</v>
      </c>
      <c r="T2577" t="s">
        <v>46972</v>
      </c>
      <c r="U2577" t="s">
        <v>49667</v>
      </c>
      <c r="V2577" t="s">
        <v>59888</v>
      </c>
      <c r="W2577" t="s">
        <v>42506</v>
      </c>
      <c r="X2577" t="s">
        <v>45102</v>
      </c>
    </row>
    <row r="2578" spans="1:24">
      <c r="A2578">
        <f>HYPERLINK("https://www.philgeps.gov.ph/GEPSNONPILOT/Tender/SplashBidNoticeAbstractUI.aspx?menuIndex=3&amp;refID=7041401&amp;Result=3","7041401")</f>
        <v>0</v>
      </c>
      <c r="B2578" t="s">
        <v>982</v>
      </c>
      <c r="C2578" t="s">
        <v>5664</v>
      </c>
      <c r="D2578" t="s">
        <v>18072</v>
      </c>
      <c r="E2578" t="s">
        <v>19875</v>
      </c>
      <c r="F2578" t="s">
        <v>31574</v>
      </c>
      <c r="G2578" t="s">
        <v>31582</v>
      </c>
      <c r="H2578" t="s">
        <v>31590</v>
      </c>
      <c r="I2578" t="s">
        <v>4327</v>
      </c>
      <c r="J2578" t="s">
        <v>33508</v>
      </c>
      <c r="K2578" t="s">
        <v>41196</v>
      </c>
      <c r="M2578" t="s">
        <v>42516</v>
      </c>
      <c r="N2578" t="s">
        <v>45095</v>
      </c>
      <c r="O2578" t="s">
        <v>45096</v>
      </c>
      <c r="P2578">
        <v>0</v>
      </c>
      <c r="Q2578">
        <v>3</v>
      </c>
      <c r="R2578" t="s">
        <v>45098</v>
      </c>
      <c r="S2578" t="s">
        <v>45223</v>
      </c>
      <c r="T2578" t="s">
        <v>46923</v>
      </c>
      <c r="U2578" t="s">
        <v>49668</v>
      </c>
      <c r="V2578" t="s">
        <v>60102</v>
      </c>
      <c r="W2578" t="s">
        <v>42516</v>
      </c>
      <c r="X2578" t="s">
        <v>45102</v>
      </c>
    </row>
    <row r="2579" spans="1:24">
      <c r="A2579">
        <f>HYPERLINK("https://www.philgeps.gov.ph/GEPSNONPILOT/Tender/SplashBidNoticeAbstractUI.aspx?menuIndex=3&amp;refID=7041214&amp;Result=3","7041214")</f>
        <v>0</v>
      </c>
      <c r="B2579" t="s">
        <v>116</v>
      </c>
      <c r="C2579" t="s">
        <v>5665</v>
      </c>
      <c r="D2579" t="s">
        <v>18068</v>
      </c>
      <c r="E2579" t="s">
        <v>20459</v>
      </c>
      <c r="F2579" t="s">
        <v>31574</v>
      </c>
      <c r="G2579" t="s">
        <v>31582</v>
      </c>
      <c r="H2579" t="s">
        <v>31591</v>
      </c>
      <c r="I2579" t="s">
        <v>8822</v>
      </c>
      <c r="J2579" t="s">
        <v>33509</v>
      </c>
      <c r="K2579" t="s">
        <v>41288</v>
      </c>
      <c r="M2579" t="s">
        <v>42500</v>
      </c>
      <c r="N2579" t="s">
        <v>45095</v>
      </c>
      <c r="O2579" t="s">
        <v>45096</v>
      </c>
      <c r="P2579">
        <v>0</v>
      </c>
      <c r="Q2579">
        <v>0</v>
      </c>
      <c r="R2579" t="s">
        <v>45098</v>
      </c>
      <c r="S2579" t="s">
        <v>45223</v>
      </c>
      <c r="T2579" t="s">
        <v>46991</v>
      </c>
      <c r="U2579" t="s">
        <v>49669</v>
      </c>
      <c r="V2579" t="s">
        <v>60103</v>
      </c>
      <c r="W2579" t="s">
        <v>42500</v>
      </c>
      <c r="X2579" t="s">
        <v>45102</v>
      </c>
    </row>
    <row r="2580" spans="1:24">
      <c r="A2580">
        <f>HYPERLINK("https://www.philgeps.gov.ph/GEPSNONPILOT/Tender/SplashBidNoticeAbstractUI.aspx?menuIndex=3&amp;refID=7041520&amp;Result=3","7041520")</f>
        <v>0</v>
      </c>
      <c r="B2580" t="s">
        <v>983</v>
      </c>
      <c r="C2580" t="s">
        <v>5666</v>
      </c>
      <c r="E2580" t="s">
        <v>20460</v>
      </c>
      <c r="F2580" t="s">
        <v>31574</v>
      </c>
      <c r="G2580" t="s">
        <v>31581</v>
      </c>
      <c r="H2580" t="s">
        <v>31590</v>
      </c>
      <c r="I2580" t="s">
        <v>31602</v>
      </c>
      <c r="J2580" t="s">
        <v>31957</v>
      </c>
      <c r="K2580" t="s">
        <v>41193</v>
      </c>
      <c r="M2580" t="s">
        <v>42517</v>
      </c>
      <c r="N2580" t="s">
        <v>45095</v>
      </c>
      <c r="O2580" t="s">
        <v>45096</v>
      </c>
      <c r="P2580">
        <v>0</v>
      </c>
      <c r="Q2580">
        <v>0</v>
      </c>
      <c r="R2580" t="s">
        <v>45098</v>
      </c>
      <c r="S2580" t="s">
        <v>45223</v>
      </c>
      <c r="T2580" t="s">
        <v>46957</v>
      </c>
      <c r="U2580" t="s">
        <v>49670</v>
      </c>
      <c r="W2580" t="s">
        <v>42517</v>
      </c>
      <c r="X2580" t="s">
        <v>45102</v>
      </c>
    </row>
    <row r="2581" spans="1:24">
      <c r="A2581">
        <f>HYPERLINK("https://www.philgeps.gov.ph/GEPSNONPILOT/Tender/SplashBidNoticeAbstractUI.aspx?menuIndex=3&amp;refID=7041497&amp;Result=3","7041497")</f>
        <v>0</v>
      </c>
      <c r="B2581" t="s">
        <v>977</v>
      </c>
      <c r="C2581" t="s">
        <v>5667</v>
      </c>
      <c r="D2581" t="s">
        <v>18065</v>
      </c>
      <c r="E2581" t="s">
        <v>20461</v>
      </c>
      <c r="F2581" t="s">
        <v>31574</v>
      </c>
      <c r="G2581" t="s">
        <v>31581</v>
      </c>
      <c r="H2581" t="s">
        <v>31590</v>
      </c>
      <c r="I2581" t="s">
        <v>31619</v>
      </c>
      <c r="J2581" t="s">
        <v>33510</v>
      </c>
      <c r="K2581" t="s">
        <v>41184</v>
      </c>
      <c r="M2581" t="s">
        <v>42509</v>
      </c>
      <c r="N2581" t="s">
        <v>45095</v>
      </c>
      <c r="O2581" t="s">
        <v>45096</v>
      </c>
      <c r="P2581">
        <v>0</v>
      </c>
      <c r="Q2581">
        <v>3</v>
      </c>
      <c r="R2581" t="s">
        <v>45098</v>
      </c>
      <c r="S2581" t="s">
        <v>45223</v>
      </c>
      <c r="T2581" t="s">
        <v>46936</v>
      </c>
      <c r="U2581" t="s">
        <v>49658</v>
      </c>
      <c r="W2581" t="s">
        <v>42509</v>
      </c>
      <c r="X2581" t="s">
        <v>45102</v>
      </c>
    </row>
    <row r="2582" spans="1:24">
      <c r="A2582">
        <f>HYPERLINK("https://www.philgeps.gov.ph/GEPSNONPILOT/Tender/SplashBidNoticeAbstractUI.aspx?menuIndex=3&amp;refID=7041353&amp;Result=3","7041353")</f>
        <v>0</v>
      </c>
      <c r="B2582" t="s">
        <v>967</v>
      </c>
      <c r="C2582" t="s">
        <v>5668</v>
      </c>
      <c r="D2582" t="s">
        <v>18027</v>
      </c>
      <c r="E2582" t="s">
        <v>20462</v>
      </c>
      <c r="F2582" t="s">
        <v>31574</v>
      </c>
      <c r="G2582" t="s">
        <v>31582</v>
      </c>
      <c r="H2582" t="s">
        <v>31590</v>
      </c>
      <c r="I2582" t="s">
        <v>31646</v>
      </c>
      <c r="J2582" t="s">
        <v>32345</v>
      </c>
      <c r="K2582" t="s">
        <v>41186</v>
      </c>
      <c r="M2582" t="s">
        <v>42496</v>
      </c>
      <c r="N2582" t="s">
        <v>45095</v>
      </c>
      <c r="O2582" t="s">
        <v>45096</v>
      </c>
      <c r="P2582">
        <v>0</v>
      </c>
      <c r="Q2582">
        <v>2</v>
      </c>
      <c r="R2582" t="s">
        <v>45098</v>
      </c>
      <c r="S2582" t="s">
        <v>45223</v>
      </c>
      <c r="T2582" t="s">
        <v>46968</v>
      </c>
      <c r="U2582" t="s">
        <v>49671</v>
      </c>
      <c r="W2582" t="s">
        <v>42496</v>
      </c>
      <c r="X2582" t="s">
        <v>45102</v>
      </c>
    </row>
    <row r="2583" spans="1:24">
      <c r="A2583">
        <f>HYPERLINK("https://www.philgeps.gov.ph/GEPSNONPILOT/Tender/SplashBidNoticeAbstractUI.aspx?menuIndex=3&amp;refID=7041397&amp;Result=3","7041397")</f>
        <v>0</v>
      </c>
      <c r="B2583" t="s">
        <v>246</v>
      </c>
      <c r="C2583" t="s">
        <v>5669</v>
      </c>
      <c r="D2583" t="s">
        <v>18033</v>
      </c>
      <c r="E2583" t="s">
        <v>20463</v>
      </c>
      <c r="F2583" t="s">
        <v>31574</v>
      </c>
      <c r="G2583" t="s">
        <v>31582</v>
      </c>
      <c r="H2583" t="s">
        <v>31590</v>
      </c>
      <c r="I2583" t="s">
        <v>31614</v>
      </c>
      <c r="J2583" t="s">
        <v>33511</v>
      </c>
      <c r="K2583" t="s">
        <v>41192</v>
      </c>
      <c r="M2583" t="s">
        <v>42490</v>
      </c>
      <c r="N2583" t="s">
        <v>45095</v>
      </c>
      <c r="O2583" t="s">
        <v>45096</v>
      </c>
      <c r="P2583">
        <v>0</v>
      </c>
      <c r="Q2583">
        <v>2</v>
      </c>
      <c r="R2583" t="s">
        <v>45098</v>
      </c>
      <c r="S2583" t="s">
        <v>45223</v>
      </c>
      <c r="T2583" t="s">
        <v>47028</v>
      </c>
      <c r="U2583" t="s">
        <v>49672</v>
      </c>
      <c r="W2583" t="s">
        <v>42490</v>
      </c>
      <c r="X2583" t="s">
        <v>45102</v>
      </c>
    </row>
    <row r="2584" spans="1:24">
      <c r="A2584">
        <f>HYPERLINK("https://www.philgeps.gov.ph/GEPSNONPILOT/Tender/SplashBidNoticeAbstractUI.aspx?menuIndex=3&amp;refID=7041196&amp;Result=3","7041196")</f>
        <v>0</v>
      </c>
      <c r="B2584" t="s">
        <v>984</v>
      </c>
      <c r="C2584" t="s">
        <v>5670</v>
      </c>
      <c r="D2584" t="s">
        <v>18056</v>
      </c>
      <c r="E2584" t="s">
        <v>20464</v>
      </c>
      <c r="F2584" t="s">
        <v>31574</v>
      </c>
      <c r="G2584" t="s">
        <v>31581</v>
      </c>
      <c r="H2584" t="s">
        <v>31590</v>
      </c>
      <c r="I2584" t="s">
        <v>31633</v>
      </c>
      <c r="J2584" t="s">
        <v>32108</v>
      </c>
      <c r="K2584" t="s">
        <v>41190</v>
      </c>
      <c r="M2584" t="s">
        <v>42518</v>
      </c>
      <c r="N2584" t="s">
        <v>45095</v>
      </c>
      <c r="O2584" t="s">
        <v>45096</v>
      </c>
      <c r="P2584">
        <v>0</v>
      </c>
      <c r="Q2584">
        <v>1</v>
      </c>
      <c r="R2584" t="s">
        <v>45098</v>
      </c>
      <c r="S2584" t="s">
        <v>45223</v>
      </c>
      <c r="T2584" t="s">
        <v>46973</v>
      </c>
      <c r="U2584" t="s">
        <v>49673</v>
      </c>
      <c r="W2584" t="s">
        <v>42518</v>
      </c>
      <c r="X2584" t="s">
        <v>45102</v>
      </c>
    </row>
    <row r="2585" spans="1:24">
      <c r="A2585">
        <f>HYPERLINK("https://www.philgeps.gov.ph/GEPSNONPILOT/Tender/SplashBidNoticeAbstractUI.aspx?menuIndex=3&amp;refID=7041473&amp;Result=3","7041473")</f>
        <v>0</v>
      </c>
      <c r="B2585" t="s">
        <v>985</v>
      </c>
      <c r="C2585" t="s">
        <v>5671</v>
      </c>
      <c r="D2585" t="s">
        <v>18107</v>
      </c>
      <c r="E2585" t="s">
        <v>20465</v>
      </c>
      <c r="F2585" t="s">
        <v>31574</v>
      </c>
      <c r="G2585" t="s">
        <v>31582</v>
      </c>
      <c r="H2585" t="s">
        <v>31590</v>
      </c>
      <c r="I2585" t="s">
        <v>31600</v>
      </c>
      <c r="J2585" t="s">
        <v>33512</v>
      </c>
      <c r="K2585" t="s">
        <v>41190</v>
      </c>
      <c r="M2585" t="s">
        <v>42519</v>
      </c>
      <c r="N2585" t="s">
        <v>45095</v>
      </c>
      <c r="O2585" t="s">
        <v>45096</v>
      </c>
      <c r="P2585">
        <v>0</v>
      </c>
      <c r="Q2585">
        <v>0</v>
      </c>
      <c r="R2585" t="s">
        <v>45098</v>
      </c>
      <c r="S2585" t="s">
        <v>45223</v>
      </c>
      <c r="T2585" t="s">
        <v>46926</v>
      </c>
      <c r="U2585" t="s">
        <v>49674</v>
      </c>
      <c r="W2585" t="s">
        <v>42519</v>
      </c>
      <c r="X2585" t="s">
        <v>45102</v>
      </c>
    </row>
    <row r="2586" spans="1:24">
      <c r="A2586">
        <f>HYPERLINK("https://www.philgeps.gov.ph/GEPSNONPILOT/Tender/SplashBidNoticeAbstractUI.aspx?menuIndex=3&amp;refID=7041216&amp;Result=3","7041216")</f>
        <v>0</v>
      </c>
      <c r="B2586" t="s">
        <v>978</v>
      </c>
      <c r="C2586" t="s">
        <v>5672</v>
      </c>
      <c r="D2586" t="s">
        <v>18107</v>
      </c>
      <c r="E2586" t="s">
        <v>20466</v>
      </c>
      <c r="F2586" t="s">
        <v>31574</v>
      </c>
      <c r="G2586" t="s">
        <v>31585</v>
      </c>
      <c r="H2586" t="s">
        <v>31590</v>
      </c>
      <c r="I2586" t="s">
        <v>31662</v>
      </c>
      <c r="J2586" t="s">
        <v>33513</v>
      </c>
      <c r="K2586" t="s">
        <v>41196</v>
      </c>
      <c r="L2586" t="s">
        <v>978</v>
      </c>
      <c r="M2586" t="s">
        <v>42511</v>
      </c>
      <c r="N2586" t="s">
        <v>45095</v>
      </c>
      <c r="O2586" t="s">
        <v>45096</v>
      </c>
      <c r="P2586">
        <v>0</v>
      </c>
      <c r="Q2586">
        <v>7</v>
      </c>
      <c r="R2586" t="s">
        <v>45098</v>
      </c>
      <c r="S2586" t="s">
        <v>45223</v>
      </c>
      <c r="T2586" t="s">
        <v>46957</v>
      </c>
      <c r="U2586" t="s">
        <v>49661</v>
      </c>
      <c r="V2586" t="s">
        <v>60099</v>
      </c>
      <c r="W2586" t="s">
        <v>42511</v>
      </c>
      <c r="X2586" t="s">
        <v>45102</v>
      </c>
    </row>
    <row r="2587" spans="1:24">
      <c r="A2587">
        <f>HYPERLINK("https://www.philgeps.gov.ph/GEPSNONPILOT/Tender/SplashBidNoticeAbstractUI.aspx?menuIndex=3&amp;refID=7041483&amp;Result=3","7041483")</f>
        <v>0</v>
      </c>
      <c r="B2587" t="s">
        <v>986</v>
      </c>
      <c r="C2587" t="s">
        <v>5673</v>
      </c>
      <c r="D2587" t="s">
        <v>18027</v>
      </c>
      <c r="E2587" t="s">
        <v>19856</v>
      </c>
      <c r="F2587" t="s">
        <v>31574</v>
      </c>
      <c r="G2587" t="s">
        <v>31582</v>
      </c>
      <c r="H2587" t="s">
        <v>31591</v>
      </c>
      <c r="I2587" t="s">
        <v>8822</v>
      </c>
      <c r="J2587" t="s">
        <v>33514</v>
      </c>
      <c r="K2587" t="s">
        <v>41186</v>
      </c>
      <c r="M2587" t="s">
        <v>42520</v>
      </c>
      <c r="N2587" t="s">
        <v>45095</v>
      </c>
      <c r="O2587" t="s">
        <v>45096</v>
      </c>
      <c r="P2587">
        <v>0</v>
      </c>
      <c r="Q2587">
        <v>0</v>
      </c>
      <c r="R2587" t="s">
        <v>45098</v>
      </c>
      <c r="S2587" t="s">
        <v>45223</v>
      </c>
      <c r="T2587" t="s">
        <v>47121</v>
      </c>
      <c r="U2587" t="s">
        <v>49675</v>
      </c>
      <c r="W2587" t="s">
        <v>42520</v>
      </c>
      <c r="X2587" t="s">
        <v>45102</v>
      </c>
    </row>
    <row r="2588" spans="1:24">
      <c r="A2588">
        <f>HYPERLINK("https://www.philgeps.gov.ph/GEPSNONPILOT/Tender/SplashBidNoticeAbstractUI.aspx?menuIndex=3&amp;refID=7041459&amp;Result=3","7041459")</f>
        <v>0</v>
      </c>
      <c r="B2588" t="s">
        <v>986</v>
      </c>
      <c r="C2588" t="s">
        <v>5674</v>
      </c>
      <c r="D2588" t="s">
        <v>18027</v>
      </c>
      <c r="E2588" t="s">
        <v>19856</v>
      </c>
      <c r="F2588" t="s">
        <v>31574</v>
      </c>
      <c r="G2588" t="s">
        <v>31582</v>
      </c>
      <c r="H2588" t="s">
        <v>31590</v>
      </c>
      <c r="I2588" t="s">
        <v>3489</v>
      </c>
      <c r="J2588" t="s">
        <v>31727</v>
      </c>
      <c r="K2588" t="s">
        <v>41196</v>
      </c>
      <c r="M2588" t="s">
        <v>42520</v>
      </c>
      <c r="N2588" t="s">
        <v>45095</v>
      </c>
      <c r="O2588" t="s">
        <v>45096</v>
      </c>
      <c r="P2588">
        <v>0</v>
      </c>
      <c r="Q2588">
        <v>0</v>
      </c>
      <c r="R2588" t="s">
        <v>45098</v>
      </c>
      <c r="S2588" t="s">
        <v>45223</v>
      </c>
      <c r="T2588" t="s">
        <v>46910</v>
      </c>
      <c r="U2588" t="s">
        <v>49676</v>
      </c>
      <c r="W2588" t="s">
        <v>42520</v>
      </c>
      <c r="X2588" t="s">
        <v>45102</v>
      </c>
    </row>
    <row r="2589" spans="1:24">
      <c r="A2589">
        <f>HYPERLINK("https://www.philgeps.gov.ph/GEPSNONPILOT/Tender/SplashBidNoticeAbstractUI.aspx?menuIndex=3&amp;refID=7041484&amp;Result=3","7041484")</f>
        <v>0</v>
      </c>
      <c r="B2589" t="s">
        <v>725</v>
      </c>
      <c r="C2589" t="s">
        <v>5675</v>
      </c>
      <c r="D2589" t="s">
        <v>18092</v>
      </c>
      <c r="E2589" t="s">
        <v>20467</v>
      </c>
      <c r="F2589" t="s">
        <v>31574</v>
      </c>
      <c r="G2589" t="s">
        <v>31581</v>
      </c>
      <c r="H2589" t="s">
        <v>31590</v>
      </c>
      <c r="I2589" t="s">
        <v>31634</v>
      </c>
      <c r="J2589" t="s">
        <v>32375</v>
      </c>
      <c r="K2589" t="s">
        <v>41193</v>
      </c>
      <c r="M2589" t="s">
        <v>42235</v>
      </c>
      <c r="N2589" t="s">
        <v>45095</v>
      </c>
      <c r="O2589" t="s">
        <v>45096</v>
      </c>
      <c r="P2589">
        <v>0</v>
      </c>
      <c r="Q2589">
        <v>3</v>
      </c>
      <c r="R2589" t="s">
        <v>45098</v>
      </c>
      <c r="S2589" t="s">
        <v>45223</v>
      </c>
      <c r="T2589" t="s">
        <v>46963</v>
      </c>
      <c r="U2589" t="s">
        <v>49677</v>
      </c>
      <c r="W2589" t="s">
        <v>42235</v>
      </c>
      <c r="X2589" t="s">
        <v>45102</v>
      </c>
    </row>
    <row r="2590" spans="1:24">
      <c r="A2590">
        <f>HYPERLINK("https://www.philgeps.gov.ph/GEPSNONPILOT/Tender/SplashBidNoticeAbstractUI.aspx?menuIndex=3&amp;refID=7041458&amp;Result=3","7041458")</f>
        <v>0</v>
      </c>
      <c r="B2590" t="s">
        <v>977</v>
      </c>
      <c r="C2590" t="s">
        <v>5676</v>
      </c>
      <c r="D2590" t="s">
        <v>18065</v>
      </c>
      <c r="E2590" t="s">
        <v>20468</v>
      </c>
      <c r="F2590" t="s">
        <v>31574</v>
      </c>
      <c r="G2590" t="s">
        <v>31581</v>
      </c>
      <c r="H2590" t="s">
        <v>31590</v>
      </c>
      <c r="I2590" t="s">
        <v>14034</v>
      </c>
      <c r="J2590" t="s">
        <v>33515</v>
      </c>
      <c r="K2590" t="s">
        <v>41184</v>
      </c>
      <c r="M2590" t="s">
        <v>42509</v>
      </c>
      <c r="N2590" t="s">
        <v>45095</v>
      </c>
      <c r="O2590" t="s">
        <v>45096</v>
      </c>
      <c r="P2590">
        <v>0</v>
      </c>
      <c r="Q2590">
        <v>0</v>
      </c>
      <c r="R2590" t="s">
        <v>45098</v>
      </c>
      <c r="S2590" t="s">
        <v>45223</v>
      </c>
      <c r="T2590" t="s">
        <v>46936</v>
      </c>
      <c r="U2590" t="s">
        <v>49658</v>
      </c>
      <c r="W2590" t="s">
        <v>42509</v>
      </c>
      <c r="X2590" t="s">
        <v>45102</v>
      </c>
    </row>
    <row r="2591" spans="1:24">
      <c r="A2591">
        <f>HYPERLINK("https://www.philgeps.gov.ph/GEPSNONPILOT/Tender/SplashBidNoticeAbstractUI.aspx?menuIndex=3&amp;refID=7041534&amp;Result=3","7041534")</f>
        <v>0</v>
      </c>
      <c r="B2591" t="s">
        <v>987</v>
      </c>
      <c r="C2591" t="s">
        <v>5677</v>
      </c>
      <c r="D2591" t="s">
        <v>18066</v>
      </c>
      <c r="E2591" t="s">
        <v>20469</v>
      </c>
      <c r="F2591" t="s">
        <v>31574</v>
      </c>
      <c r="G2591" t="s">
        <v>31582</v>
      </c>
      <c r="H2591" t="s">
        <v>31591</v>
      </c>
      <c r="I2591" t="s">
        <v>8822</v>
      </c>
      <c r="J2591" t="s">
        <v>33516</v>
      </c>
      <c r="K2591" t="s">
        <v>41196</v>
      </c>
      <c r="M2591" t="s">
        <v>42521</v>
      </c>
      <c r="N2591" t="s">
        <v>45095</v>
      </c>
      <c r="O2591" t="s">
        <v>45096</v>
      </c>
      <c r="P2591">
        <v>0</v>
      </c>
      <c r="Q2591">
        <v>0</v>
      </c>
      <c r="R2591" t="s">
        <v>45098</v>
      </c>
      <c r="S2591" t="s">
        <v>45223</v>
      </c>
      <c r="T2591" t="s">
        <v>46926</v>
      </c>
      <c r="U2591" t="s">
        <v>49678</v>
      </c>
      <c r="V2591" t="s">
        <v>59889</v>
      </c>
      <c r="W2591" t="s">
        <v>42521</v>
      </c>
      <c r="X2591" t="s">
        <v>45102</v>
      </c>
    </row>
    <row r="2592" spans="1:24">
      <c r="A2592">
        <f>HYPERLINK("https://www.philgeps.gov.ph/GEPSNONPILOT/Tender/SplashBidNoticeAbstractUI.aspx?menuIndex=3&amp;refID=7041527&amp;Result=3","7041527")</f>
        <v>0</v>
      </c>
      <c r="B2592" t="s">
        <v>985</v>
      </c>
      <c r="C2592" t="s">
        <v>5678</v>
      </c>
      <c r="D2592" t="s">
        <v>18107</v>
      </c>
      <c r="E2592" t="s">
        <v>20470</v>
      </c>
      <c r="F2592" t="s">
        <v>31574</v>
      </c>
      <c r="G2592" t="s">
        <v>31582</v>
      </c>
      <c r="H2592" t="s">
        <v>31590</v>
      </c>
      <c r="I2592" t="s">
        <v>31600</v>
      </c>
      <c r="J2592" t="s">
        <v>33517</v>
      </c>
      <c r="K2592" t="s">
        <v>41190</v>
      </c>
      <c r="M2592" t="s">
        <v>42519</v>
      </c>
      <c r="N2592" t="s">
        <v>45095</v>
      </c>
      <c r="O2592" t="s">
        <v>45096</v>
      </c>
      <c r="P2592">
        <v>0</v>
      </c>
      <c r="Q2592">
        <v>0</v>
      </c>
      <c r="R2592" t="s">
        <v>45098</v>
      </c>
      <c r="S2592" t="s">
        <v>45223</v>
      </c>
      <c r="T2592" t="s">
        <v>46926</v>
      </c>
      <c r="U2592" t="s">
        <v>49674</v>
      </c>
      <c r="W2592" t="s">
        <v>42519</v>
      </c>
      <c r="X2592" t="s">
        <v>45102</v>
      </c>
    </row>
    <row r="2593" spans="1:24">
      <c r="A2593">
        <f>HYPERLINK("https://www.philgeps.gov.ph/GEPSNONPILOT/Tender/SplashBidNoticeAbstractUI.aspx?menuIndex=3&amp;refID=7041549&amp;Result=3","7041549")</f>
        <v>0</v>
      </c>
      <c r="B2593" t="s">
        <v>987</v>
      </c>
      <c r="C2593" t="s">
        <v>5679</v>
      </c>
      <c r="D2593" t="s">
        <v>18066</v>
      </c>
      <c r="E2593" t="s">
        <v>20471</v>
      </c>
      <c r="F2593" t="s">
        <v>31574</v>
      </c>
      <c r="G2593" t="s">
        <v>31582</v>
      </c>
      <c r="H2593" t="s">
        <v>31591</v>
      </c>
      <c r="I2593" t="s">
        <v>8822</v>
      </c>
      <c r="J2593" t="s">
        <v>33518</v>
      </c>
      <c r="K2593" t="s">
        <v>41196</v>
      </c>
      <c r="M2593" t="s">
        <v>42521</v>
      </c>
      <c r="N2593" t="s">
        <v>45095</v>
      </c>
      <c r="O2593" t="s">
        <v>45096</v>
      </c>
      <c r="P2593">
        <v>0</v>
      </c>
      <c r="Q2593">
        <v>0</v>
      </c>
      <c r="R2593" t="s">
        <v>45098</v>
      </c>
      <c r="S2593" t="s">
        <v>45223</v>
      </c>
      <c r="T2593" t="s">
        <v>46926</v>
      </c>
      <c r="U2593" t="s">
        <v>49679</v>
      </c>
      <c r="V2593" t="s">
        <v>60104</v>
      </c>
      <c r="W2593" t="s">
        <v>42521</v>
      </c>
      <c r="X2593" t="s">
        <v>45102</v>
      </c>
    </row>
    <row r="2594" spans="1:24">
      <c r="A2594">
        <f>HYPERLINK("https://www.philgeps.gov.ph/GEPSNONPILOT/Tender/SplashBidNoticeAbstractUI.aspx?menuIndex=3&amp;refID=7041429&amp;Result=3","7041429")</f>
        <v>0</v>
      </c>
      <c r="B2594" t="s">
        <v>977</v>
      </c>
      <c r="C2594" t="s">
        <v>5680</v>
      </c>
      <c r="D2594" t="s">
        <v>18065</v>
      </c>
      <c r="E2594" t="s">
        <v>20472</v>
      </c>
      <c r="F2594" t="s">
        <v>31574</v>
      </c>
      <c r="G2594" t="s">
        <v>31581</v>
      </c>
      <c r="H2594" t="s">
        <v>31590</v>
      </c>
      <c r="I2594" t="s">
        <v>3487</v>
      </c>
      <c r="J2594" t="s">
        <v>33519</v>
      </c>
      <c r="K2594" t="s">
        <v>41184</v>
      </c>
      <c r="M2594" t="s">
        <v>42509</v>
      </c>
      <c r="N2594" t="s">
        <v>45095</v>
      </c>
      <c r="O2594" t="s">
        <v>45096</v>
      </c>
      <c r="P2594">
        <v>0</v>
      </c>
      <c r="Q2594">
        <v>0</v>
      </c>
      <c r="R2594" t="s">
        <v>45098</v>
      </c>
      <c r="S2594" t="s">
        <v>45223</v>
      </c>
      <c r="T2594" t="s">
        <v>46936</v>
      </c>
      <c r="U2594" t="s">
        <v>49658</v>
      </c>
      <c r="W2594" t="s">
        <v>42509</v>
      </c>
      <c r="X2594" t="s">
        <v>45102</v>
      </c>
    </row>
    <row r="2595" spans="1:24">
      <c r="A2595">
        <f>HYPERLINK("https://www.philgeps.gov.ph/GEPSNONPILOT/Tender/SplashBidNoticeAbstractUI.aspx?menuIndex=3&amp;refID=7041410&amp;Result=3","7041410")</f>
        <v>0</v>
      </c>
      <c r="B2595" t="s">
        <v>988</v>
      </c>
      <c r="C2595" t="s">
        <v>5681</v>
      </c>
      <c r="D2595" t="s">
        <v>18078</v>
      </c>
      <c r="E2595" t="s">
        <v>18175</v>
      </c>
      <c r="F2595" t="s">
        <v>31579</v>
      </c>
      <c r="G2595" t="s">
        <v>31582</v>
      </c>
      <c r="H2595" t="s">
        <v>31591</v>
      </c>
      <c r="I2595" t="s">
        <v>8822</v>
      </c>
      <c r="J2595" t="s">
        <v>31789</v>
      </c>
      <c r="K2595" t="s">
        <v>41186</v>
      </c>
      <c r="M2595" t="s">
        <v>42522</v>
      </c>
      <c r="N2595" t="s">
        <v>45095</v>
      </c>
      <c r="O2595" t="s">
        <v>45096</v>
      </c>
      <c r="P2595">
        <v>0</v>
      </c>
      <c r="Q2595">
        <v>0</v>
      </c>
      <c r="R2595" t="s">
        <v>45098</v>
      </c>
      <c r="S2595" t="s">
        <v>45223</v>
      </c>
      <c r="T2595" t="s">
        <v>47122</v>
      </c>
      <c r="U2595" t="s">
        <v>49680</v>
      </c>
      <c r="W2595" t="s">
        <v>42522</v>
      </c>
      <c r="X2595" t="s">
        <v>45102</v>
      </c>
    </row>
    <row r="2596" spans="1:24">
      <c r="A2596">
        <f>HYPERLINK("https://www.philgeps.gov.ph/GEPSNONPILOT/Tender/SplashBidNoticeAbstractUI.aspx?menuIndex=3&amp;refID=7041545&amp;Result=3","7041545")</f>
        <v>0</v>
      </c>
      <c r="B2596" t="s">
        <v>985</v>
      </c>
      <c r="C2596" t="s">
        <v>5682</v>
      </c>
      <c r="D2596" t="s">
        <v>18107</v>
      </c>
      <c r="E2596" t="s">
        <v>20473</v>
      </c>
      <c r="F2596" t="s">
        <v>31574</v>
      </c>
      <c r="G2596" t="s">
        <v>31582</v>
      </c>
      <c r="H2596" t="s">
        <v>31590</v>
      </c>
      <c r="I2596" t="s">
        <v>31600</v>
      </c>
      <c r="J2596" t="s">
        <v>33512</v>
      </c>
      <c r="K2596" t="s">
        <v>41190</v>
      </c>
      <c r="M2596" t="s">
        <v>42519</v>
      </c>
      <c r="N2596" t="s">
        <v>45095</v>
      </c>
      <c r="O2596" t="s">
        <v>45096</v>
      </c>
      <c r="P2596">
        <v>0</v>
      </c>
      <c r="Q2596">
        <v>0</v>
      </c>
      <c r="R2596" t="s">
        <v>45098</v>
      </c>
      <c r="S2596" t="s">
        <v>45223</v>
      </c>
      <c r="T2596" t="s">
        <v>46926</v>
      </c>
      <c r="U2596" t="s">
        <v>49674</v>
      </c>
      <c r="W2596" t="s">
        <v>42519</v>
      </c>
      <c r="X2596" t="s">
        <v>45102</v>
      </c>
    </row>
    <row r="2597" spans="1:24">
      <c r="A2597">
        <f>HYPERLINK("https://www.philgeps.gov.ph/GEPSNONPILOT/Tender/SplashBidNoticeAbstractUI.aspx?menuIndex=3&amp;refID=7041452&amp;Result=3","7041452")</f>
        <v>0</v>
      </c>
      <c r="B2597" t="s">
        <v>134</v>
      </c>
      <c r="C2597" t="s">
        <v>5683</v>
      </c>
      <c r="D2597" t="s">
        <v>18066</v>
      </c>
      <c r="E2597" t="s">
        <v>20474</v>
      </c>
      <c r="F2597" t="s">
        <v>31574</v>
      </c>
      <c r="G2597" t="s">
        <v>31582</v>
      </c>
      <c r="H2597" t="s">
        <v>31590</v>
      </c>
      <c r="I2597" t="s">
        <v>31631</v>
      </c>
      <c r="J2597" t="s">
        <v>32232</v>
      </c>
      <c r="K2597" t="s">
        <v>41184</v>
      </c>
      <c r="M2597" t="s">
        <v>41618</v>
      </c>
      <c r="N2597" t="s">
        <v>45095</v>
      </c>
      <c r="O2597" t="s">
        <v>45096</v>
      </c>
      <c r="P2597">
        <v>0</v>
      </c>
      <c r="Q2597">
        <v>0</v>
      </c>
      <c r="R2597" t="s">
        <v>45098</v>
      </c>
      <c r="S2597" t="s">
        <v>45223</v>
      </c>
      <c r="T2597" t="s">
        <v>46914</v>
      </c>
      <c r="U2597" t="s">
        <v>49681</v>
      </c>
      <c r="V2597" t="s">
        <v>59888</v>
      </c>
      <c r="W2597" t="s">
        <v>41618</v>
      </c>
      <c r="X2597" t="s">
        <v>45102</v>
      </c>
    </row>
    <row r="2598" spans="1:24">
      <c r="A2598">
        <f>HYPERLINK("https://www.philgeps.gov.ph/GEPSNONPILOT/Tender/SplashBidNoticeAbstractUI.aspx?menuIndex=3&amp;refID=7041539&amp;Result=3","7041539")</f>
        <v>0</v>
      </c>
      <c r="B2598" t="s">
        <v>134</v>
      </c>
      <c r="C2598" t="s">
        <v>5684</v>
      </c>
      <c r="D2598" t="s">
        <v>18066</v>
      </c>
      <c r="E2598" t="s">
        <v>20475</v>
      </c>
      <c r="F2598" t="s">
        <v>31574</v>
      </c>
      <c r="G2598" t="s">
        <v>31582</v>
      </c>
      <c r="H2598" t="s">
        <v>31590</v>
      </c>
      <c r="I2598" t="s">
        <v>31599</v>
      </c>
      <c r="J2598" t="s">
        <v>32049</v>
      </c>
      <c r="K2598" t="s">
        <v>41184</v>
      </c>
      <c r="M2598" t="s">
        <v>41618</v>
      </c>
      <c r="N2598" t="s">
        <v>45095</v>
      </c>
      <c r="O2598" t="s">
        <v>45096</v>
      </c>
      <c r="P2598">
        <v>0</v>
      </c>
      <c r="Q2598">
        <v>1</v>
      </c>
      <c r="R2598" t="s">
        <v>45098</v>
      </c>
      <c r="S2598" t="s">
        <v>45223</v>
      </c>
      <c r="T2598" t="s">
        <v>47123</v>
      </c>
      <c r="U2598" t="s">
        <v>49682</v>
      </c>
      <c r="V2598" t="s">
        <v>59888</v>
      </c>
      <c r="W2598" t="s">
        <v>41618</v>
      </c>
      <c r="X2598" t="s">
        <v>45102</v>
      </c>
    </row>
    <row r="2599" spans="1:24">
      <c r="A2599">
        <f>HYPERLINK("https://www.philgeps.gov.ph/GEPSNONPILOT/Tender/SplashBidNoticeAbstractUI.aspx?menuIndex=3&amp;refID=7041405&amp;Result=3","7041405")</f>
        <v>0</v>
      </c>
      <c r="B2599" t="s">
        <v>924</v>
      </c>
      <c r="C2599" t="s">
        <v>5685</v>
      </c>
      <c r="D2599" t="s">
        <v>18022</v>
      </c>
      <c r="E2599" t="s">
        <v>20476</v>
      </c>
      <c r="F2599" t="s">
        <v>31574</v>
      </c>
      <c r="G2599" t="s">
        <v>31581</v>
      </c>
      <c r="H2599" t="s">
        <v>31590</v>
      </c>
      <c r="I2599" t="s">
        <v>31629</v>
      </c>
      <c r="J2599" t="s">
        <v>33520</v>
      </c>
      <c r="K2599" t="s">
        <v>41193</v>
      </c>
      <c r="M2599" t="s">
        <v>41517</v>
      </c>
      <c r="N2599" t="s">
        <v>45095</v>
      </c>
      <c r="O2599" t="s">
        <v>45096</v>
      </c>
      <c r="P2599">
        <v>0</v>
      </c>
      <c r="Q2599">
        <v>0</v>
      </c>
      <c r="R2599" t="s">
        <v>45098</v>
      </c>
      <c r="S2599" t="s">
        <v>45223</v>
      </c>
      <c r="T2599" t="s">
        <v>46973</v>
      </c>
      <c r="U2599" t="s">
        <v>49683</v>
      </c>
      <c r="V2599" t="s">
        <v>60105</v>
      </c>
      <c r="W2599" t="s">
        <v>41517</v>
      </c>
      <c r="X2599" t="s">
        <v>45102</v>
      </c>
    </row>
    <row r="2600" spans="1:24">
      <c r="A2600">
        <f>HYPERLINK("https://www.philgeps.gov.ph/GEPSNONPILOT/Tender/SplashBidNoticeAbstractUI.aspx?menuIndex=3&amp;refID=7041560&amp;Result=3","7041560")</f>
        <v>0</v>
      </c>
      <c r="B2600" t="s">
        <v>987</v>
      </c>
      <c r="C2600" t="s">
        <v>5686</v>
      </c>
      <c r="D2600" t="s">
        <v>18066</v>
      </c>
      <c r="E2600" t="s">
        <v>20477</v>
      </c>
      <c r="F2600" t="s">
        <v>31574</v>
      </c>
      <c r="G2600" t="s">
        <v>31582</v>
      </c>
      <c r="H2600" t="s">
        <v>31591</v>
      </c>
      <c r="I2600" t="s">
        <v>8822</v>
      </c>
      <c r="J2600" t="s">
        <v>33521</v>
      </c>
      <c r="K2600" t="s">
        <v>41196</v>
      </c>
      <c r="M2600" t="s">
        <v>42521</v>
      </c>
      <c r="N2600" t="s">
        <v>45095</v>
      </c>
      <c r="O2600" t="s">
        <v>45096</v>
      </c>
      <c r="P2600">
        <v>0</v>
      </c>
      <c r="Q2600">
        <v>0</v>
      </c>
      <c r="R2600" t="s">
        <v>45098</v>
      </c>
      <c r="S2600" t="s">
        <v>45223</v>
      </c>
      <c r="T2600" t="s">
        <v>46926</v>
      </c>
      <c r="U2600" t="s">
        <v>49679</v>
      </c>
      <c r="V2600" t="s">
        <v>60104</v>
      </c>
      <c r="W2600" t="s">
        <v>42521</v>
      </c>
      <c r="X2600" t="s">
        <v>45102</v>
      </c>
    </row>
    <row r="2601" spans="1:24">
      <c r="A2601">
        <f>HYPERLINK("https://www.philgeps.gov.ph/GEPSNONPILOT/Tender/SplashBidNoticeAbstractUI.aspx?menuIndex=3&amp;refID=7041412&amp;Result=3","7041412")</f>
        <v>0</v>
      </c>
      <c r="B2601" t="s">
        <v>523</v>
      </c>
      <c r="C2601" t="s">
        <v>5043</v>
      </c>
      <c r="D2601" t="s">
        <v>18055</v>
      </c>
      <c r="E2601" t="s">
        <v>20478</v>
      </c>
      <c r="F2601" t="s">
        <v>31574</v>
      </c>
      <c r="G2601" t="s">
        <v>31581</v>
      </c>
      <c r="H2601" t="s">
        <v>31590</v>
      </c>
      <c r="I2601" t="s">
        <v>6800</v>
      </c>
      <c r="J2601" t="s">
        <v>33522</v>
      </c>
      <c r="K2601" t="s">
        <v>41193</v>
      </c>
      <c r="M2601" t="s">
        <v>42019</v>
      </c>
      <c r="N2601" t="s">
        <v>45095</v>
      </c>
      <c r="O2601" t="s">
        <v>45096</v>
      </c>
      <c r="P2601">
        <v>0</v>
      </c>
      <c r="Q2601">
        <v>2</v>
      </c>
      <c r="R2601" t="s">
        <v>45098</v>
      </c>
      <c r="S2601" t="s">
        <v>45223</v>
      </c>
      <c r="T2601" t="s">
        <v>46973</v>
      </c>
      <c r="U2601" t="s">
        <v>49684</v>
      </c>
      <c r="V2601" t="s">
        <v>60106</v>
      </c>
      <c r="W2601" t="s">
        <v>42019</v>
      </c>
      <c r="X2601" t="s">
        <v>45102</v>
      </c>
    </row>
    <row r="2602" spans="1:24">
      <c r="A2602">
        <f>HYPERLINK("https://www.philgeps.gov.ph/GEPSNONPILOT/Tender/SplashBidNoticeAbstractUI.aspx?menuIndex=3&amp;refID=7041408&amp;Result=3","7041408")</f>
        <v>0</v>
      </c>
      <c r="B2602" t="s">
        <v>977</v>
      </c>
      <c r="C2602" t="s">
        <v>5687</v>
      </c>
      <c r="D2602" t="s">
        <v>18065</v>
      </c>
      <c r="E2602" t="s">
        <v>20479</v>
      </c>
      <c r="F2602" t="s">
        <v>31574</v>
      </c>
      <c r="G2602" t="s">
        <v>31581</v>
      </c>
      <c r="H2602" t="s">
        <v>31590</v>
      </c>
      <c r="I2602" t="s">
        <v>31616</v>
      </c>
      <c r="J2602" t="s">
        <v>32010</v>
      </c>
      <c r="K2602" t="s">
        <v>41184</v>
      </c>
      <c r="M2602" t="s">
        <v>42509</v>
      </c>
      <c r="N2602" t="s">
        <v>45095</v>
      </c>
      <c r="O2602" t="s">
        <v>45096</v>
      </c>
      <c r="P2602">
        <v>0</v>
      </c>
      <c r="Q2602">
        <v>1</v>
      </c>
      <c r="R2602" t="s">
        <v>45098</v>
      </c>
      <c r="S2602" t="s">
        <v>45223</v>
      </c>
      <c r="T2602" t="s">
        <v>46936</v>
      </c>
      <c r="U2602" t="s">
        <v>49685</v>
      </c>
      <c r="W2602" t="s">
        <v>42509</v>
      </c>
      <c r="X2602" t="s">
        <v>45102</v>
      </c>
    </row>
    <row r="2603" spans="1:24">
      <c r="A2603">
        <f>HYPERLINK("https://www.philgeps.gov.ph/GEPSNONPILOT/Tender/SplashBidNoticeAbstractUI.aspx?menuIndex=3&amp;refID=7041625&amp;Result=3","7041625")</f>
        <v>0</v>
      </c>
      <c r="B2603" t="s">
        <v>989</v>
      </c>
      <c r="C2603" t="s">
        <v>5688</v>
      </c>
      <c r="D2603" t="s">
        <v>18039</v>
      </c>
      <c r="E2603" t="s">
        <v>20480</v>
      </c>
      <c r="F2603" t="s">
        <v>31574</v>
      </c>
      <c r="G2603" t="s">
        <v>31581</v>
      </c>
      <c r="H2603" t="s">
        <v>31590</v>
      </c>
      <c r="I2603" t="s">
        <v>31600</v>
      </c>
      <c r="J2603" t="s">
        <v>33523</v>
      </c>
      <c r="K2603" t="s">
        <v>41211</v>
      </c>
      <c r="M2603" t="s">
        <v>42523</v>
      </c>
      <c r="N2603" t="s">
        <v>45095</v>
      </c>
      <c r="O2603" t="s">
        <v>45096</v>
      </c>
      <c r="P2603">
        <v>0</v>
      </c>
      <c r="Q2603">
        <v>0</v>
      </c>
      <c r="R2603" t="s">
        <v>45098</v>
      </c>
      <c r="S2603" t="s">
        <v>45223</v>
      </c>
      <c r="T2603" t="s">
        <v>46963</v>
      </c>
      <c r="U2603" t="s">
        <v>48581</v>
      </c>
      <c r="W2603" t="s">
        <v>42523</v>
      </c>
      <c r="X2603" t="s">
        <v>45102</v>
      </c>
    </row>
    <row r="2604" spans="1:24">
      <c r="A2604">
        <f>HYPERLINK("https://www.philgeps.gov.ph/GEPSNONPILOT/Tender/SplashBidNoticeAbstractUI.aspx?menuIndex=3&amp;refID=7041615&amp;Result=3","7041615")</f>
        <v>0</v>
      </c>
      <c r="B2604" t="s">
        <v>196</v>
      </c>
      <c r="C2604" t="s">
        <v>5689</v>
      </c>
      <c r="D2604" t="s">
        <v>18046</v>
      </c>
      <c r="E2604" t="s">
        <v>20481</v>
      </c>
      <c r="F2604" t="s">
        <v>31574</v>
      </c>
      <c r="G2604" t="s">
        <v>31582</v>
      </c>
      <c r="H2604" t="s">
        <v>31590</v>
      </c>
      <c r="I2604" t="s">
        <v>31608</v>
      </c>
      <c r="J2604" t="s">
        <v>33524</v>
      </c>
      <c r="K2604" t="s">
        <v>41196</v>
      </c>
      <c r="M2604" t="s">
        <v>42524</v>
      </c>
      <c r="N2604" t="s">
        <v>45095</v>
      </c>
      <c r="O2604" t="s">
        <v>45096</v>
      </c>
      <c r="P2604">
        <v>0</v>
      </c>
      <c r="Q2604">
        <v>4</v>
      </c>
      <c r="R2604" t="s">
        <v>45098</v>
      </c>
      <c r="S2604" t="s">
        <v>45223</v>
      </c>
      <c r="T2604" t="s">
        <v>46956</v>
      </c>
      <c r="U2604" t="s">
        <v>49686</v>
      </c>
      <c r="W2604" t="s">
        <v>42524</v>
      </c>
      <c r="X2604" t="s">
        <v>45102</v>
      </c>
    </row>
    <row r="2605" spans="1:24">
      <c r="A2605">
        <f>HYPERLINK("https://www.philgeps.gov.ph/GEPSNONPILOT/Tender/SplashBidNoticeAbstractUI.aspx?menuIndex=3&amp;refID=7041630&amp;Result=3","7041630")</f>
        <v>0</v>
      </c>
      <c r="B2605" t="s">
        <v>990</v>
      </c>
      <c r="C2605" t="s">
        <v>5690</v>
      </c>
      <c r="D2605" t="s">
        <v>18107</v>
      </c>
      <c r="E2605" t="s">
        <v>20482</v>
      </c>
      <c r="F2605" t="s">
        <v>31574</v>
      </c>
      <c r="G2605" t="s">
        <v>31581</v>
      </c>
      <c r="H2605" t="s">
        <v>31590</v>
      </c>
      <c r="I2605" t="s">
        <v>31629</v>
      </c>
      <c r="J2605" t="s">
        <v>31726</v>
      </c>
      <c r="K2605" t="s">
        <v>41196</v>
      </c>
      <c r="M2605" t="s">
        <v>42525</v>
      </c>
      <c r="N2605" t="s">
        <v>45095</v>
      </c>
      <c r="O2605" t="s">
        <v>45096</v>
      </c>
      <c r="P2605">
        <v>0</v>
      </c>
      <c r="Q2605">
        <v>0</v>
      </c>
      <c r="R2605" t="s">
        <v>45098</v>
      </c>
      <c r="S2605" t="s">
        <v>45223</v>
      </c>
      <c r="T2605" t="s">
        <v>46932</v>
      </c>
      <c r="U2605" t="s">
        <v>49687</v>
      </c>
      <c r="W2605" t="s">
        <v>42525</v>
      </c>
      <c r="X2605" t="s">
        <v>45102</v>
      </c>
    </row>
    <row r="2606" spans="1:24">
      <c r="A2606">
        <f>HYPERLINK("https://www.philgeps.gov.ph/GEPSNONPILOT/Tender/SplashBidNoticeAbstractUI.aspx?menuIndex=3&amp;refID=7041614&amp;Result=3","7041614")</f>
        <v>0</v>
      </c>
      <c r="B2606" t="s">
        <v>990</v>
      </c>
      <c r="C2606" t="s">
        <v>5691</v>
      </c>
      <c r="D2606" t="s">
        <v>18107</v>
      </c>
      <c r="E2606" t="s">
        <v>20483</v>
      </c>
      <c r="F2606" t="s">
        <v>31574</v>
      </c>
      <c r="G2606" t="s">
        <v>31581</v>
      </c>
      <c r="H2606" t="s">
        <v>31590</v>
      </c>
      <c r="I2606" t="s">
        <v>31629</v>
      </c>
      <c r="J2606" t="s">
        <v>33525</v>
      </c>
      <c r="K2606" t="s">
        <v>41196</v>
      </c>
      <c r="M2606" t="s">
        <v>42525</v>
      </c>
      <c r="N2606" t="s">
        <v>45095</v>
      </c>
      <c r="O2606" t="s">
        <v>45096</v>
      </c>
      <c r="P2606">
        <v>0</v>
      </c>
      <c r="Q2606">
        <v>0</v>
      </c>
      <c r="R2606" t="s">
        <v>45098</v>
      </c>
      <c r="S2606" t="s">
        <v>45223</v>
      </c>
      <c r="T2606" t="s">
        <v>46932</v>
      </c>
      <c r="U2606" t="s">
        <v>49688</v>
      </c>
      <c r="W2606" t="s">
        <v>42525</v>
      </c>
      <c r="X2606" t="s">
        <v>45102</v>
      </c>
    </row>
    <row r="2607" spans="1:24">
      <c r="A2607">
        <f>HYPERLINK("https://www.philgeps.gov.ph/GEPSNONPILOT/Tender/SplashBidNoticeAbstractUI.aspx?menuIndex=3&amp;refID=7041551&amp;Result=3","7041551")</f>
        <v>0</v>
      </c>
      <c r="B2607" t="s">
        <v>989</v>
      </c>
      <c r="C2607" t="s">
        <v>5692</v>
      </c>
      <c r="D2607" t="s">
        <v>18039</v>
      </c>
      <c r="E2607" t="s">
        <v>20484</v>
      </c>
      <c r="F2607" t="s">
        <v>31574</v>
      </c>
      <c r="G2607" t="s">
        <v>31581</v>
      </c>
      <c r="H2607" t="s">
        <v>31590</v>
      </c>
      <c r="I2607" t="s">
        <v>31600</v>
      </c>
      <c r="J2607" t="s">
        <v>33526</v>
      </c>
      <c r="K2607" t="s">
        <v>41211</v>
      </c>
      <c r="M2607" t="s">
        <v>42523</v>
      </c>
      <c r="N2607" t="s">
        <v>45095</v>
      </c>
      <c r="O2607" t="s">
        <v>45096</v>
      </c>
      <c r="P2607">
        <v>0</v>
      </c>
      <c r="Q2607">
        <v>0</v>
      </c>
      <c r="R2607" t="s">
        <v>45098</v>
      </c>
      <c r="S2607" t="s">
        <v>45223</v>
      </c>
      <c r="T2607" t="s">
        <v>46963</v>
      </c>
      <c r="U2607" t="s">
        <v>48581</v>
      </c>
      <c r="W2607" t="s">
        <v>42523</v>
      </c>
      <c r="X2607" t="s">
        <v>45102</v>
      </c>
    </row>
    <row r="2608" spans="1:24">
      <c r="A2608">
        <f>HYPERLINK("https://www.philgeps.gov.ph/GEPSNONPILOT/Tender/SplashBidNoticeAbstractUI.aspx?menuIndex=3&amp;refID=7041611&amp;Result=3","7041611")</f>
        <v>0</v>
      </c>
      <c r="B2608" t="s">
        <v>991</v>
      </c>
      <c r="C2608" t="s">
        <v>5693</v>
      </c>
      <c r="D2608" t="s">
        <v>18044</v>
      </c>
      <c r="E2608" t="s">
        <v>20485</v>
      </c>
      <c r="F2608" t="s">
        <v>31574</v>
      </c>
      <c r="G2608" t="s">
        <v>31583</v>
      </c>
      <c r="H2608" t="s">
        <v>31590</v>
      </c>
      <c r="I2608" t="s">
        <v>31682</v>
      </c>
      <c r="J2608" t="s">
        <v>32375</v>
      </c>
      <c r="K2608" t="s">
        <v>41193</v>
      </c>
      <c r="M2608" t="s">
        <v>42526</v>
      </c>
      <c r="N2608" t="s">
        <v>45095</v>
      </c>
      <c r="O2608" t="s">
        <v>45096</v>
      </c>
      <c r="P2608">
        <v>0</v>
      </c>
      <c r="Q2608">
        <v>1</v>
      </c>
      <c r="R2608" t="s">
        <v>45098</v>
      </c>
      <c r="S2608" t="s">
        <v>45223</v>
      </c>
      <c r="T2608" t="s">
        <v>46994</v>
      </c>
      <c r="U2608" t="s">
        <v>49689</v>
      </c>
      <c r="W2608" t="s">
        <v>42526</v>
      </c>
      <c r="X2608" t="s">
        <v>45102</v>
      </c>
    </row>
    <row r="2609" spans="1:24">
      <c r="A2609">
        <f>HYPERLINK("https://www.philgeps.gov.ph/GEPSNONPILOT/Tender/SplashBidNoticeAbstractUI.aspx?menuIndex=3&amp;refID=7041610&amp;Result=3","7041610")</f>
        <v>0</v>
      </c>
      <c r="B2609" t="s">
        <v>46</v>
      </c>
      <c r="C2609" t="s">
        <v>5694</v>
      </c>
      <c r="D2609" t="s">
        <v>18050</v>
      </c>
      <c r="E2609" t="s">
        <v>20486</v>
      </c>
      <c r="F2609" t="s">
        <v>31574</v>
      </c>
      <c r="G2609" t="s">
        <v>31583</v>
      </c>
      <c r="H2609" t="s">
        <v>31590</v>
      </c>
      <c r="I2609" t="s">
        <v>6800</v>
      </c>
      <c r="J2609" t="s">
        <v>33527</v>
      </c>
      <c r="K2609" t="s">
        <v>41186</v>
      </c>
      <c r="M2609" t="s">
        <v>42527</v>
      </c>
      <c r="N2609" t="s">
        <v>45095</v>
      </c>
      <c r="O2609" t="s">
        <v>45096</v>
      </c>
      <c r="P2609">
        <v>0</v>
      </c>
      <c r="Q2609">
        <v>5</v>
      </c>
      <c r="R2609" t="s">
        <v>45098</v>
      </c>
      <c r="S2609" t="s">
        <v>45223</v>
      </c>
      <c r="T2609" t="s">
        <v>47083</v>
      </c>
      <c r="U2609" t="s">
        <v>49690</v>
      </c>
      <c r="W2609" t="s">
        <v>42527</v>
      </c>
      <c r="X2609" t="s">
        <v>45102</v>
      </c>
    </row>
    <row r="2610" spans="1:24">
      <c r="A2610">
        <f>HYPERLINK("https://www.philgeps.gov.ph/GEPSNONPILOT/Tender/SplashBidNoticeAbstractUI.aspx?menuIndex=3&amp;refID=7041656&amp;Result=3","7041656")</f>
        <v>0</v>
      </c>
      <c r="B2610" t="s">
        <v>992</v>
      </c>
      <c r="C2610" t="s">
        <v>5695</v>
      </c>
      <c r="D2610" t="s">
        <v>18022</v>
      </c>
      <c r="E2610" t="s">
        <v>20487</v>
      </c>
      <c r="F2610" t="s">
        <v>31574</v>
      </c>
      <c r="G2610" t="s">
        <v>31583</v>
      </c>
      <c r="H2610" t="s">
        <v>31590</v>
      </c>
      <c r="I2610" t="s">
        <v>4354</v>
      </c>
      <c r="J2610" t="s">
        <v>32381</v>
      </c>
      <c r="K2610" t="s">
        <v>41213</v>
      </c>
      <c r="M2610" t="s">
        <v>42528</v>
      </c>
      <c r="N2610" t="s">
        <v>45095</v>
      </c>
      <c r="O2610" t="s">
        <v>45096</v>
      </c>
      <c r="P2610">
        <v>0</v>
      </c>
      <c r="Q2610">
        <v>7</v>
      </c>
      <c r="R2610" t="s">
        <v>45098</v>
      </c>
      <c r="S2610" t="s">
        <v>45223</v>
      </c>
      <c r="T2610" t="s">
        <v>47124</v>
      </c>
      <c r="U2610" t="s">
        <v>49691</v>
      </c>
      <c r="W2610" t="s">
        <v>42528</v>
      </c>
      <c r="X2610" t="s">
        <v>45102</v>
      </c>
    </row>
    <row r="2611" spans="1:24">
      <c r="A2611">
        <f>HYPERLINK("https://www.philgeps.gov.ph/GEPSNONPILOT/Tender/SplashBidNoticeAbstractUI.aspx?menuIndex=3&amp;refID=7041608&amp;Result=3","7041608")</f>
        <v>0</v>
      </c>
      <c r="B2611" t="s">
        <v>993</v>
      </c>
      <c r="C2611" t="s">
        <v>3983</v>
      </c>
      <c r="D2611" t="s">
        <v>18064</v>
      </c>
      <c r="E2611" t="s">
        <v>20488</v>
      </c>
      <c r="F2611" t="s">
        <v>31574</v>
      </c>
      <c r="G2611" t="s">
        <v>31582</v>
      </c>
      <c r="H2611" t="s">
        <v>31591</v>
      </c>
      <c r="I2611" t="s">
        <v>8822</v>
      </c>
      <c r="J2611" t="s">
        <v>31727</v>
      </c>
      <c r="K2611" t="s">
        <v>41278</v>
      </c>
      <c r="M2611" t="s">
        <v>42529</v>
      </c>
      <c r="N2611" t="s">
        <v>45095</v>
      </c>
      <c r="O2611" t="s">
        <v>45096</v>
      </c>
      <c r="P2611">
        <v>0</v>
      </c>
      <c r="Q2611">
        <v>0</v>
      </c>
      <c r="R2611" t="s">
        <v>45098</v>
      </c>
      <c r="S2611" t="s">
        <v>45223</v>
      </c>
      <c r="T2611" t="s">
        <v>46979</v>
      </c>
      <c r="U2611" t="s">
        <v>49692</v>
      </c>
      <c r="W2611" t="s">
        <v>42529</v>
      </c>
      <c r="X2611" t="s">
        <v>45102</v>
      </c>
    </row>
    <row r="2612" spans="1:24">
      <c r="A2612">
        <f>HYPERLINK("https://www.philgeps.gov.ph/GEPSNONPILOT/Tender/SplashBidNoticeAbstractUI.aspx?menuIndex=3&amp;refID=7041654&amp;Result=3","7041654")</f>
        <v>0</v>
      </c>
      <c r="B2612" t="s">
        <v>84</v>
      </c>
      <c r="C2612" t="s">
        <v>5696</v>
      </c>
      <c r="D2612" t="s">
        <v>18022</v>
      </c>
      <c r="E2612" t="s">
        <v>20489</v>
      </c>
      <c r="F2612" t="s">
        <v>31574</v>
      </c>
      <c r="G2612" t="s">
        <v>31581</v>
      </c>
      <c r="H2612" t="s">
        <v>31590</v>
      </c>
      <c r="I2612" t="s">
        <v>8822</v>
      </c>
      <c r="J2612" t="s">
        <v>33528</v>
      </c>
      <c r="K2612" t="s">
        <v>41184</v>
      </c>
      <c r="M2612" t="s">
        <v>41803</v>
      </c>
      <c r="N2612" t="s">
        <v>45095</v>
      </c>
      <c r="O2612" t="s">
        <v>45096</v>
      </c>
      <c r="P2612">
        <v>0</v>
      </c>
      <c r="Q2612">
        <v>0</v>
      </c>
      <c r="R2612" t="s">
        <v>45098</v>
      </c>
      <c r="S2612" t="s">
        <v>45223</v>
      </c>
      <c r="T2612" t="s">
        <v>46973</v>
      </c>
      <c r="U2612" t="s">
        <v>49693</v>
      </c>
      <c r="W2612" t="s">
        <v>41803</v>
      </c>
      <c r="X2612" t="s">
        <v>45102</v>
      </c>
    </row>
    <row r="2613" spans="1:24">
      <c r="A2613">
        <f>HYPERLINK("https://www.philgeps.gov.ph/GEPSNONPILOT/Tender/SplashBidNoticeAbstractUI.aspx?menuIndex=3&amp;refID=7041640&amp;Result=3","7041640")</f>
        <v>0</v>
      </c>
      <c r="B2613" t="s">
        <v>994</v>
      </c>
      <c r="C2613" t="s">
        <v>5697</v>
      </c>
      <c r="D2613" t="s">
        <v>18048</v>
      </c>
      <c r="E2613" t="s">
        <v>20490</v>
      </c>
      <c r="F2613" t="s">
        <v>31574</v>
      </c>
      <c r="G2613" t="s">
        <v>31581</v>
      </c>
      <c r="H2613" t="s">
        <v>31590</v>
      </c>
      <c r="I2613" t="s">
        <v>31620</v>
      </c>
      <c r="J2613" t="s">
        <v>32008</v>
      </c>
      <c r="K2613" t="s">
        <v>41193</v>
      </c>
      <c r="L2613" t="s">
        <v>994</v>
      </c>
      <c r="M2613" t="s">
        <v>42530</v>
      </c>
      <c r="N2613" t="s">
        <v>45095</v>
      </c>
      <c r="O2613" t="s">
        <v>45096</v>
      </c>
      <c r="P2613">
        <v>0</v>
      </c>
      <c r="Q2613">
        <v>2</v>
      </c>
      <c r="R2613" t="s">
        <v>45098</v>
      </c>
      <c r="S2613" t="s">
        <v>45223</v>
      </c>
      <c r="T2613" t="s">
        <v>46937</v>
      </c>
      <c r="U2613" t="s">
        <v>49694</v>
      </c>
      <c r="V2613" t="s">
        <v>60107</v>
      </c>
      <c r="W2613" t="s">
        <v>42530</v>
      </c>
      <c r="X2613" t="s">
        <v>45102</v>
      </c>
    </row>
    <row r="2614" spans="1:24">
      <c r="A2614">
        <f>HYPERLINK("https://www.philgeps.gov.ph/GEPSNONPILOT/Tender/SplashBidNoticeAbstractUI.aspx?menuIndex=3&amp;refID=7041577&amp;Result=3","7041577")</f>
        <v>0</v>
      </c>
      <c r="B2614" t="s">
        <v>84</v>
      </c>
      <c r="C2614" t="s">
        <v>5698</v>
      </c>
      <c r="D2614" t="s">
        <v>18022</v>
      </c>
      <c r="E2614" t="s">
        <v>20491</v>
      </c>
      <c r="F2614" t="s">
        <v>31574</v>
      </c>
      <c r="G2614" t="s">
        <v>31581</v>
      </c>
      <c r="H2614" t="s">
        <v>31590</v>
      </c>
      <c r="I2614" t="s">
        <v>14544</v>
      </c>
      <c r="J2614" t="s">
        <v>33529</v>
      </c>
      <c r="K2614" t="s">
        <v>41184</v>
      </c>
      <c r="M2614" t="s">
        <v>41803</v>
      </c>
      <c r="N2614" t="s">
        <v>45095</v>
      </c>
      <c r="O2614" t="s">
        <v>45096</v>
      </c>
      <c r="P2614">
        <v>0</v>
      </c>
      <c r="Q2614">
        <v>0</v>
      </c>
      <c r="R2614" t="s">
        <v>45098</v>
      </c>
      <c r="S2614" t="s">
        <v>45223</v>
      </c>
      <c r="T2614" t="s">
        <v>46973</v>
      </c>
      <c r="U2614" t="s">
        <v>49695</v>
      </c>
      <c r="W2614" t="s">
        <v>41803</v>
      </c>
      <c r="X2614" t="s">
        <v>45102</v>
      </c>
    </row>
    <row r="2615" spans="1:24">
      <c r="A2615">
        <f>HYPERLINK("https://www.philgeps.gov.ph/GEPSNONPILOT/Tender/SplashBidNoticeAbstractUI.aspx?menuIndex=3&amp;refID=7041690&amp;Result=3","7041690")</f>
        <v>0</v>
      </c>
      <c r="B2615" t="s">
        <v>990</v>
      </c>
      <c r="C2615" t="s">
        <v>5699</v>
      </c>
      <c r="D2615" t="s">
        <v>18107</v>
      </c>
      <c r="E2615" t="s">
        <v>20492</v>
      </c>
      <c r="F2615" t="s">
        <v>31574</v>
      </c>
      <c r="G2615" t="s">
        <v>31581</v>
      </c>
      <c r="H2615" t="s">
        <v>31590</v>
      </c>
      <c r="I2615" t="s">
        <v>31629</v>
      </c>
      <c r="J2615" t="s">
        <v>33530</v>
      </c>
      <c r="K2615" t="s">
        <v>41196</v>
      </c>
      <c r="M2615" t="s">
        <v>42525</v>
      </c>
      <c r="N2615" t="s">
        <v>45095</v>
      </c>
      <c r="O2615" t="s">
        <v>45096</v>
      </c>
      <c r="P2615">
        <v>0</v>
      </c>
      <c r="Q2615">
        <v>0</v>
      </c>
      <c r="R2615" t="s">
        <v>45098</v>
      </c>
      <c r="S2615" t="s">
        <v>45223</v>
      </c>
      <c r="T2615" t="s">
        <v>46952</v>
      </c>
      <c r="U2615" t="s">
        <v>49696</v>
      </c>
      <c r="W2615" t="s">
        <v>42525</v>
      </c>
      <c r="X2615" t="s">
        <v>45102</v>
      </c>
    </row>
    <row r="2616" spans="1:24">
      <c r="A2616">
        <f>HYPERLINK("https://www.philgeps.gov.ph/GEPSNONPILOT/Tender/SplashBidNoticeAbstractUI.aspx?menuIndex=3&amp;refID=7041592&amp;Result=3","7041592")</f>
        <v>0</v>
      </c>
      <c r="B2616" t="s">
        <v>985</v>
      </c>
      <c r="C2616" t="s">
        <v>5700</v>
      </c>
      <c r="D2616" t="s">
        <v>18107</v>
      </c>
      <c r="E2616" t="s">
        <v>20493</v>
      </c>
      <c r="F2616" t="s">
        <v>31574</v>
      </c>
      <c r="G2616" t="s">
        <v>31582</v>
      </c>
      <c r="H2616" t="s">
        <v>31590</v>
      </c>
      <c r="I2616" t="s">
        <v>31600</v>
      </c>
      <c r="J2616" t="s">
        <v>33531</v>
      </c>
      <c r="K2616" t="s">
        <v>41190</v>
      </c>
      <c r="M2616" t="s">
        <v>42519</v>
      </c>
      <c r="N2616" t="s">
        <v>45095</v>
      </c>
      <c r="O2616" t="s">
        <v>45096</v>
      </c>
      <c r="P2616">
        <v>0</v>
      </c>
      <c r="Q2616">
        <v>0</v>
      </c>
      <c r="R2616" t="s">
        <v>45098</v>
      </c>
      <c r="S2616" t="s">
        <v>45223</v>
      </c>
      <c r="T2616" t="s">
        <v>46926</v>
      </c>
      <c r="U2616" t="s">
        <v>49674</v>
      </c>
      <c r="W2616" t="s">
        <v>42519</v>
      </c>
      <c r="X2616" t="s">
        <v>45102</v>
      </c>
    </row>
    <row r="2617" spans="1:24">
      <c r="A2617">
        <f>HYPERLINK("https://www.philgeps.gov.ph/GEPSNONPILOT/Tender/SplashBidNoticeAbstractUI.aspx?menuIndex=3&amp;refID=7041661&amp;Result=3","7041661")</f>
        <v>0</v>
      </c>
      <c r="B2617" t="s">
        <v>990</v>
      </c>
      <c r="C2617" t="s">
        <v>5701</v>
      </c>
      <c r="D2617" t="s">
        <v>18107</v>
      </c>
      <c r="E2617" t="s">
        <v>20494</v>
      </c>
      <c r="F2617" t="s">
        <v>31574</v>
      </c>
      <c r="G2617" t="s">
        <v>31581</v>
      </c>
      <c r="H2617" t="s">
        <v>31590</v>
      </c>
      <c r="I2617" t="s">
        <v>31621</v>
      </c>
      <c r="J2617" t="s">
        <v>31843</v>
      </c>
      <c r="K2617" t="s">
        <v>41196</v>
      </c>
      <c r="M2617" t="s">
        <v>42525</v>
      </c>
      <c r="N2617" t="s">
        <v>45095</v>
      </c>
      <c r="O2617" t="s">
        <v>45096</v>
      </c>
      <c r="P2617">
        <v>0</v>
      </c>
      <c r="Q2617">
        <v>7</v>
      </c>
      <c r="R2617" t="s">
        <v>45098</v>
      </c>
      <c r="S2617" t="s">
        <v>45223</v>
      </c>
      <c r="T2617" t="s">
        <v>46932</v>
      </c>
      <c r="U2617" t="s">
        <v>49697</v>
      </c>
      <c r="W2617" t="s">
        <v>42525</v>
      </c>
      <c r="X2617" t="s">
        <v>45102</v>
      </c>
    </row>
    <row r="2618" spans="1:24">
      <c r="A2618">
        <f>HYPERLINK("https://www.philgeps.gov.ph/GEPSNONPILOT/Tender/SplashBidNoticeAbstractUI.aspx?menuIndex=3&amp;refID=7041670&amp;Result=3","7041670")</f>
        <v>0</v>
      </c>
      <c r="B2618" t="s">
        <v>196</v>
      </c>
      <c r="C2618" t="s">
        <v>5702</v>
      </c>
      <c r="D2618" t="s">
        <v>18046</v>
      </c>
      <c r="E2618" t="s">
        <v>20495</v>
      </c>
      <c r="F2618" t="s">
        <v>31574</v>
      </c>
      <c r="G2618" t="s">
        <v>31581</v>
      </c>
      <c r="H2618" t="s">
        <v>31590</v>
      </c>
      <c r="I2618" t="s">
        <v>3489</v>
      </c>
      <c r="J2618" t="s">
        <v>33532</v>
      </c>
      <c r="K2618" t="s">
        <v>41193</v>
      </c>
      <c r="M2618" t="s">
        <v>42524</v>
      </c>
      <c r="N2618" t="s">
        <v>45095</v>
      </c>
      <c r="O2618" t="s">
        <v>45096</v>
      </c>
      <c r="P2618">
        <v>0</v>
      </c>
      <c r="Q2618">
        <v>0</v>
      </c>
      <c r="R2618" t="s">
        <v>45098</v>
      </c>
      <c r="S2618" t="s">
        <v>45223</v>
      </c>
      <c r="T2618" t="s">
        <v>46910</v>
      </c>
      <c r="U2618" t="s">
        <v>49698</v>
      </c>
      <c r="W2618" t="s">
        <v>42524</v>
      </c>
      <c r="X2618" t="s">
        <v>45102</v>
      </c>
    </row>
    <row r="2619" spans="1:24">
      <c r="A2619">
        <f>HYPERLINK("https://www.philgeps.gov.ph/GEPSNONPILOT/Tender/SplashBidNoticeAbstractUI.aspx?menuIndex=3&amp;refID=7041675&amp;Result=3","7041675")</f>
        <v>0</v>
      </c>
      <c r="B2619" t="s">
        <v>995</v>
      </c>
      <c r="C2619" t="s">
        <v>5703</v>
      </c>
      <c r="D2619" t="s">
        <v>18030</v>
      </c>
      <c r="E2619" t="s">
        <v>20496</v>
      </c>
      <c r="F2619" t="s">
        <v>31574</v>
      </c>
      <c r="G2619" t="s">
        <v>31581</v>
      </c>
      <c r="H2619" t="s">
        <v>31590</v>
      </c>
      <c r="I2619" t="s">
        <v>31612</v>
      </c>
      <c r="J2619" t="s">
        <v>32849</v>
      </c>
      <c r="K2619" t="s">
        <v>41184</v>
      </c>
      <c r="M2619" t="s">
        <v>42531</v>
      </c>
      <c r="N2619" t="s">
        <v>45095</v>
      </c>
      <c r="O2619" t="s">
        <v>45096</v>
      </c>
      <c r="P2619">
        <v>0</v>
      </c>
      <c r="Q2619">
        <v>3</v>
      </c>
      <c r="R2619" t="s">
        <v>45098</v>
      </c>
      <c r="S2619" t="s">
        <v>45223</v>
      </c>
      <c r="T2619" t="s">
        <v>47106</v>
      </c>
      <c r="U2619" t="s">
        <v>49699</v>
      </c>
      <c r="W2619" t="s">
        <v>42531</v>
      </c>
      <c r="X2619" t="s">
        <v>45102</v>
      </c>
    </row>
    <row r="2620" spans="1:24">
      <c r="A2620">
        <f>HYPERLINK("https://www.philgeps.gov.ph/GEPSNONPILOT/Tender/SplashBidNoticeAbstractUI.aspx?menuIndex=3&amp;refID=7041694&amp;Result=3","7041694")</f>
        <v>0</v>
      </c>
      <c r="B2620" t="s">
        <v>685</v>
      </c>
      <c r="C2620" t="s">
        <v>5704</v>
      </c>
      <c r="D2620" t="s">
        <v>18022</v>
      </c>
      <c r="E2620" t="s">
        <v>18250</v>
      </c>
      <c r="F2620" t="s">
        <v>31574</v>
      </c>
      <c r="G2620" t="s">
        <v>31583</v>
      </c>
      <c r="H2620" t="s">
        <v>31590</v>
      </c>
      <c r="I2620" t="s">
        <v>7162</v>
      </c>
      <c r="J2620" t="s">
        <v>31843</v>
      </c>
      <c r="K2620" t="s">
        <v>41184</v>
      </c>
      <c r="M2620" t="s">
        <v>42192</v>
      </c>
      <c r="N2620" t="s">
        <v>45095</v>
      </c>
      <c r="O2620" t="s">
        <v>45096</v>
      </c>
      <c r="P2620">
        <v>0</v>
      </c>
      <c r="Q2620">
        <v>6</v>
      </c>
      <c r="R2620" t="s">
        <v>45098</v>
      </c>
      <c r="S2620" t="s">
        <v>45223</v>
      </c>
      <c r="T2620" t="s">
        <v>47125</v>
      </c>
      <c r="U2620" t="s">
        <v>49700</v>
      </c>
      <c r="W2620" t="s">
        <v>42192</v>
      </c>
      <c r="X2620" t="s">
        <v>45102</v>
      </c>
    </row>
    <row r="2621" spans="1:24">
      <c r="A2621">
        <f>HYPERLINK("https://www.philgeps.gov.ph/GEPSNONPILOT/Tender/SplashBidNoticeAbstractUI.aspx?menuIndex=3&amp;refID=7041570&amp;Result=3","7041570")</f>
        <v>0</v>
      </c>
      <c r="B2621" t="s">
        <v>987</v>
      </c>
      <c r="C2621" t="s">
        <v>5705</v>
      </c>
      <c r="D2621" t="s">
        <v>18066</v>
      </c>
      <c r="E2621" t="s">
        <v>20497</v>
      </c>
      <c r="F2621" t="s">
        <v>31574</v>
      </c>
      <c r="G2621" t="s">
        <v>31582</v>
      </c>
      <c r="H2621" t="s">
        <v>31591</v>
      </c>
      <c r="I2621" t="s">
        <v>8822</v>
      </c>
      <c r="J2621" t="s">
        <v>33518</v>
      </c>
      <c r="K2621" t="s">
        <v>41196</v>
      </c>
      <c r="M2621" t="s">
        <v>42521</v>
      </c>
      <c r="N2621" t="s">
        <v>45095</v>
      </c>
      <c r="O2621" t="s">
        <v>45096</v>
      </c>
      <c r="P2621">
        <v>0</v>
      </c>
      <c r="Q2621">
        <v>0</v>
      </c>
      <c r="R2621" t="s">
        <v>45098</v>
      </c>
      <c r="S2621" t="s">
        <v>45223</v>
      </c>
      <c r="T2621" t="s">
        <v>46926</v>
      </c>
      <c r="U2621" t="s">
        <v>49679</v>
      </c>
      <c r="V2621" t="s">
        <v>60104</v>
      </c>
      <c r="W2621" t="s">
        <v>42521</v>
      </c>
      <c r="X2621" t="s">
        <v>45102</v>
      </c>
    </row>
    <row r="2622" spans="1:24">
      <c r="A2622">
        <f>HYPERLINK("https://www.philgeps.gov.ph/GEPSNONPILOT/Tender/SplashBidNoticeAbstractUI.aspx?menuIndex=3&amp;refID=7041865&amp;Result=3","7041865")</f>
        <v>0</v>
      </c>
      <c r="B2622" t="s">
        <v>90</v>
      </c>
      <c r="C2622" t="s">
        <v>5706</v>
      </c>
      <c r="D2622" t="s">
        <v>18025</v>
      </c>
      <c r="E2622" t="s">
        <v>20498</v>
      </c>
      <c r="F2622" t="s">
        <v>31574</v>
      </c>
      <c r="G2622" t="s">
        <v>31583</v>
      </c>
      <c r="H2622" t="s">
        <v>31590</v>
      </c>
      <c r="I2622" t="s">
        <v>31631</v>
      </c>
      <c r="J2622" t="s">
        <v>33533</v>
      </c>
      <c r="K2622" t="s">
        <v>41184</v>
      </c>
      <c r="M2622" t="s">
        <v>41574</v>
      </c>
      <c r="N2622" t="s">
        <v>45095</v>
      </c>
      <c r="O2622" t="s">
        <v>45096</v>
      </c>
      <c r="P2622">
        <v>0</v>
      </c>
      <c r="Q2622">
        <v>0</v>
      </c>
      <c r="R2622" t="s">
        <v>45098</v>
      </c>
      <c r="S2622" t="s">
        <v>45223</v>
      </c>
      <c r="T2622" t="s">
        <v>46963</v>
      </c>
      <c r="U2622" t="s">
        <v>49701</v>
      </c>
      <c r="V2622" t="s">
        <v>59883</v>
      </c>
      <c r="W2622" t="s">
        <v>41574</v>
      </c>
      <c r="X2622" t="s">
        <v>45102</v>
      </c>
    </row>
    <row r="2623" spans="1:24">
      <c r="A2623">
        <f>HYPERLINK("https://www.philgeps.gov.ph/GEPSNONPILOT/Tender/SplashBidNoticeAbstractUI.aspx?menuIndex=3&amp;refID=7041800&amp;Result=3","7041800")</f>
        <v>0</v>
      </c>
      <c r="B2623" t="s">
        <v>227</v>
      </c>
      <c r="C2623" t="s">
        <v>5707</v>
      </c>
      <c r="D2623" t="s">
        <v>18025</v>
      </c>
      <c r="E2623" t="s">
        <v>20499</v>
      </c>
      <c r="F2623" t="s">
        <v>31574</v>
      </c>
      <c r="G2623" t="s">
        <v>31581</v>
      </c>
      <c r="H2623" t="s">
        <v>31590</v>
      </c>
      <c r="I2623" t="s">
        <v>3651</v>
      </c>
      <c r="J2623" t="s">
        <v>33534</v>
      </c>
      <c r="K2623" t="s">
        <v>41186</v>
      </c>
      <c r="M2623" t="s">
        <v>41712</v>
      </c>
      <c r="N2623" t="s">
        <v>45095</v>
      </c>
      <c r="O2623" t="s">
        <v>45096</v>
      </c>
      <c r="P2623">
        <v>0</v>
      </c>
      <c r="Q2623">
        <v>0</v>
      </c>
      <c r="R2623" t="s">
        <v>45098</v>
      </c>
      <c r="S2623" t="s">
        <v>45223</v>
      </c>
      <c r="T2623" t="s">
        <v>47064</v>
      </c>
      <c r="U2623" t="s">
        <v>49702</v>
      </c>
      <c r="W2623" t="s">
        <v>41712</v>
      </c>
      <c r="X2623" t="s">
        <v>45102</v>
      </c>
    </row>
    <row r="2624" spans="1:24">
      <c r="A2624">
        <f>HYPERLINK("https://www.philgeps.gov.ph/GEPSNONPILOT/Tender/SplashBidNoticeAbstractUI.aspx?menuIndex=3&amp;refID=7041778&amp;Result=3","7041778")</f>
        <v>0</v>
      </c>
      <c r="B2624" t="s">
        <v>196</v>
      </c>
      <c r="C2624" t="s">
        <v>5708</v>
      </c>
      <c r="D2624" t="s">
        <v>18046</v>
      </c>
      <c r="E2624" t="s">
        <v>20500</v>
      </c>
      <c r="F2624" t="s">
        <v>31574</v>
      </c>
      <c r="G2624" t="s">
        <v>31581</v>
      </c>
      <c r="H2624" t="s">
        <v>31590</v>
      </c>
      <c r="I2624" t="s">
        <v>31608</v>
      </c>
      <c r="J2624" t="s">
        <v>31744</v>
      </c>
      <c r="K2624" t="s">
        <v>41193</v>
      </c>
      <c r="M2624" t="s">
        <v>42524</v>
      </c>
      <c r="N2624" t="s">
        <v>45095</v>
      </c>
      <c r="O2624" t="s">
        <v>45096</v>
      </c>
      <c r="P2624">
        <v>0</v>
      </c>
      <c r="Q2624">
        <v>3</v>
      </c>
      <c r="R2624" t="s">
        <v>45098</v>
      </c>
      <c r="S2624" t="s">
        <v>45223</v>
      </c>
      <c r="T2624" t="s">
        <v>46910</v>
      </c>
      <c r="U2624" t="s">
        <v>49703</v>
      </c>
      <c r="W2624" t="s">
        <v>42524</v>
      </c>
      <c r="X2624" t="s">
        <v>45102</v>
      </c>
    </row>
    <row r="2625" spans="1:24">
      <c r="A2625">
        <f>HYPERLINK("https://www.philgeps.gov.ph/GEPSNONPILOT/Tender/SplashBidNoticeAbstractUI.aspx?menuIndex=3&amp;refID=7041607&amp;Result=3","7041607")</f>
        <v>0</v>
      </c>
      <c r="B2625" t="s">
        <v>84</v>
      </c>
      <c r="C2625" t="s">
        <v>5709</v>
      </c>
      <c r="D2625" t="s">
        <v>18022</v>
      </c>
      <c r="E2625" t="s">
        <v>20501</v>
      </c>
      <c r="F2625" t="s">
        <v>31574</v>
      </c>
      <c r="G2625" t="s">
        <v>31581</v>
      </c>
      <c r="H2625" t="s">
        <v>31590</v>
      </c>
      <c r="I2625" t="s">
        <v>3487</v>
      </c>
      <c r="J2625" t="s">
        <v>33535</v>
      </c>
      <c r="K2625" t="s">
        <v>41184</v>
      </c>
      <c r="M2625" t="s">
        <v>41803</v>
      </c>
      <c r="N2625" t="s">
        <v>45095</v>
      </c>
      <c r="O2625" t="s">
        <v>45096</v>
      </c>
      <c r="P2625">
        <v>0</v>
      </c>
      <c r="Q2625">
        <v>0</v>
      </c>
      <c r="R2625" t="s">
        <v>45098</v>
      </c>
      <c r="S2625" t="s">
        <v>45223</v>
      </c>
      <c r="T2625" t="s">
        <v>46936</v>
      </c>
      <c r="U2625" t="s">
        <v>49604</v>
      </c>
      <c r="W2625" t="s">
        <v>41803</v>
      </c>
      <c r="X2625" t="s">
        <v>45102</v>
      </c>
    </row>
    <row r="2626" spans="1:24">
      <c r="A2626">
        <f>HYPERLINK("https://www.philgeps.gov.ph/GEPSNONPILOT/Tender/SplashBidNoticeAbstractUI.aspx?menuIndex=3&amp;refID=7041820&amp;Result=3","7041820")</f>
        <v>0</v>
      </c>
      <c r="B2626" t="s">
        <v>996</v>
      </c>
      <c r="C2626" t="s">
        <v>3948</v>
      </c>
      <c r="D2626" t="s">
        <v>18036</v>
      </c>
      <c r="E2626" t="s">
        <v>20502</v>
      </c>
      <c r="F2626" t="s">
        <v>31574</v>
      </c>
      <c r="G2626" t="s">
        <v>31581</v>
      </c>
      <c r="H2626" t="s">
        <v>31590</v>
      </c>
      <c r="I2626" t="s">
        <v>31602</v>
      </c>
      <c r="J2626" t="s">
        <v>33536</v>
      </c>
      <c r="K2626" t="s">
        <v>41193</v>
      </c>
      <c r="M2626" t="s">
        <v>42532</v>
      </c>
      <c r="N2626" t="s">
        <v>45095</v>
      </c>
      <c r="O2626" t="s">
        <v>45096</v>
      </c>
      <c r="P2626">
        <v>0</v>
      </c>
      <c r="Q2626">
        <v>0</v>
      </c>
      <c r="R2626" t="s">
        <v>45098</v>
      </c>
      <c r="S2626" t="s">
        <v>45223</v>
      </c>
      <c r="T2626" t="s">
        <v>46963</v>
      </c>
      <c r="U2626" t="s">
        <v>49704</v>
      </c>
      <c r="W2626" t="s">
        <v>61686</v>
      </c>
      <c r="X2626" t="s">
        <v>45102</v>
      </c>
    </row>
    <row r="2627" spans="1:24">
      <c r="A2627">
        <f>HYPERLINK("https://www.philgeps.gov.ph/GEPSNONPILOT/Tender/SplashBidNoticeAbstractUI.aspx?menuIndex=3&amp;refID=7041759&amp;Result=3","7041759")</f>
        <v>0</v>
      </c>
      <c r="B2627" t="s">
        <v>997</v>
      </c>
      <c r="C2627" t="s">
        <v>5710</v>
      </c>
      <c r="D2627" t="s">
        <v>18041</v>
      </c>
      <c r="E2627" t="s">
        <v>20503</v>
      </c>
      <c r="F2627" t="s">
        <v>31574</v>
      </c>
      <c r="G2627" t="s">
        <v>31581</v>
      </c>
      <c r="H2627" t="s">
        <v>31590</v>
      </c>
      <c r="I2627" t="s">
        <v>31687</v>
      </c>
      <c r="J2627" t="s">
        <v>33537</v>
      </c>
      <c r="K2627" t="s">
        <v>41210</v>
      </c>
      <c r="M2627" t="s">
        <v>42533</v>
      </c>
      <c r="N2627" t="s">
        <v>45095</v>
      </c>
      <c r="O2627" t="s">
        <v>45096</v>
      </c>
      <c r="P2627">
        <v>0</v>
      </c>
      <c r="Q2627">
        <v>0</v>
      </c>
      <c r="R2627" t="s">
        <v>45098</v>
      </c>
      <c r="S2627" t="s">
        <v>45223</v>
      </c>
      <c r="T2627" t="s">
        <v>46926</v>
      </c>
      <c r="U2627" t="s">
        <v>49705</v>
      </c>
      <c r="W2627" t="s">
        <v>42533</v>
      </c>
      <c r="X2627" t="s">
        <v>45102</v>
      </c>
    </row>
    <row r="2628" spans="1:24">
      <c r="A2628">
        <f>HYPERLINK("https://www.philgeps.gov.ph/GEPSNONPILOT/Tender/SplashBidNoticeAbstractUI.aspx?menuIndex=3&amp;refID=7041770&amp;Result=3","7041770")</f>
        <v>0</v>
      </c>
      <c r="B2628" t="s">
        <v>996</v>
      </c>
      <c r="C2628" t="s">
        <v>5711</v>
      </c>
      <c r="D2628" t="s">
        <v>18036</v>
      </c>
      <c r="E2628" t="s">
        <v>20504</v>
      </c>
      <c r="F2628" t="s">
        <v>31574</v>
      </c>
      <c r="G2628" t="s">
        <v>31581</v>
      </c>
      <c r="H2628" t="s">
        <v>31590</v>
      </c>
      <c r="I2628" t="s">
        <v>3539</v>
      </c>
      <c r="J2628" t="s">
        <v>32569</v>
      </c>
      <c r="K2628" t="s">
        <v>41193</v>
      </c>
      <c r="M2628" t="s">
        <v>42532</v>
      </c>
      <c r="N2628" t="s">
        <v>45095</v>
      </c>
      <c r="O2628" t="s">
        <v>45096</v>
      </c>
      <c r="P2628">
        <v>0</v>
      </c>
      <c r="Q2628">
        <v>0</v>
      </c>
      <c r="R2628" t="s">
        <v>45098</v>
      </c>
      <c r="S2628" t="s">
        <v>45223</v>
      </c>
      <c r="T2628" t="s">
        <v>46963</v>
      </c>
      <c r="U2628" t="s">
        <v>49704</v>
      </c>
      <c r="W2628" t="s">
        <v>61686</v>
      </c>
      <c r="X2628" t="s">
        <v>45102</v>
      </c>
    </row>
    <row r="2629" spans="1:24">
      <c r="A2629">
        <f>HYPERLINK("https://www.philgeps.gov.ph/GEPSNONPILOT/Tender/SplashBidNoticeAbstractUI.aspx?menuIndex=3&amp;refID=7041701&amp;Result=3","7041701")</f>
        <v>0</v>
      </c>
      <c r="B2629" t="s">
        <v>196</v>
      </c>
      <c r="C2629" t="s">
        <v>5712</v>
      </c>
      <c r="D2629" t="s">
        <v>18046</v>
      </c>
      <c r="E2629" t="s">
        <v>20505</v>
      </c>
      <c r="F2629" t="s">
        <v>31574</v>
      </c>
      <c r="G2629" t="s">
        <v>31581</v>
      </c>
      <c r="H2629" t="s">
        <v>31590</v>
      </c>
      <c r="I2629" t="s">
        <v>3489</v>
      </c>
      <c r="J2629" t="s">
        <v>33538</v>
      </c>
      <c r="K2629" t="s">
        <v>41193</v>
      </c>
      <c r="M2629" t="s">
        <v>42524</v>
      </c>
      <c r="N2629" t="s">
        <v>45095</v>
      </c>
      <c r="O2629" t="s">
        <v>45096</v>
      </c>
      <c r="P2629">
        <v>0</v>
      </c>
      <c r="Q2629">
        <v>0</v>
      </c>
      <c r="R2629" t="s">
        <v>45098</v>
      </c>
      <c r="S2629" t="s">
        <v>45223</v>
      </c>
      <c r="T2629" t="s">
        <v>46910</v>
      </c>
      <c r="U2629" t="s">
        <v>49706</v>
      </c>
      <c r="W2629" t="s">
        <v>42524</v>
      </c>
      <c r="X2629" t="s">
        <v>45102</v>
      </c>
    </row>
    <row r="2630" spans="1:24">
      <c r="A2630">
        <f>HYPERLINK("https://www.philgeps.gov.ph/GEPSNONPILOT/Tender/SplashBidNoticeAbstractUI.aspx?menuIndex=3&amp;refID=7041839&amp;Result=3","7041839")</f>
        <v>0</v>
      </c>
      <c r="B2630" t="s">
        <v>998</v>
      </c>
      <c r="C2630" t="s">
        <v>5713</v>
      </c>
      <c r="D2630" t="s">
        <v>18066</v>
      </c>
      <c r="E2630" t="s">
        <v>20506</v>
      </c>
      <c r="F2630" t="s">
        <v>31574</v>
      </c>
      <c r="G2630" t="s">
        <v>31581</v>
      </c>
      <c r="H2630" t="s">
        <v>31590</v>
      </c>
      <c r="I2630" t="s">
        <v>14544</v>
      </c>
      <c r="J2630" t="s">
        <v>32375</v>
      </c>
      <c r="K2630" t="s">
        <v>41196</v>
      </c>
      <c r="M2630" t="s">
        <v>42534</v>
      </c>
      <c r="N2630" t="s">
        <v>45095</v>
      </c>
      <c r="O2630" t="s">
        <v>45096</v>
      </c>
      <c r="P2630">
        <v>0</v>
      </c>
      <c r="Q2630">
        <v>0</v>
      </c>
      <c r="R2630" t="s">
        <v>45098</v>
      </c>
      <c r="S2630" t="s">
        <v>45223</v>
      </c>
      <c r="T2630" t="s">
        <v>46957</v>
      </c>
      <c r="U2630" t="s">
        <v>49707</v>
      </c>
      <c r="W2630" t="s">
        <v>42534</v>
      </c>
      <c r="X2630" t="s">
        <v>45102</v>
      </c>
    </row>
    <row r="2631" spans="1:24">
      <c r="A2631">
        <f>HYPERLINK("https://www.philgeps.gov.ph/GEPSNONPILOT/Tender/SplashBidNoticeAbstractUI.aspx?menuIndex=3&amp;refID=7041908&amp;Result=3","7041908")</f>
        <v>0</v>
      </c>
      <c r="B2631" t="s">
        <v>999</v>
      </c>
      <c r="C2631" t="s">
        <v>5714</v>
      </c>
      <c r="D2631" t="s">
        <v>18073</v>
      </c>
      <c r="E2631" t="s">
        <v>20507</v>
      </c>
      <c r="F2631" t="s">
        <v>31574</v>
      </c>
      <c r="G2631" t="s">
        <v>31582</v>
      </c>
      <c r="H2631" t="s">
        <v>31590</v>
      </c>
      <c r="I2631" t="s">
        <v>31620</v>
      </c>
      <c r="J2631" t="s">
        <v>33539</v>
      </c>
      <c r="K2631" t="s">
        <v>41184</v>
      </c>
      <c r="M2631" t="s">
        <v>42535</v>
      </c>
      <c r="N2631" t="s">
        <v>45095</v>
      </c>
      <c r="O2631" t="s">
        <v>45096</v>
      </c>
      <c r="P2631">
        <v>0</v>
      </c>
      <c r="Q2631">
        <v>10</v>
      </c>
      <c r="R2631" t="s">
        <v>45098</v>
      </c>
      <c r="S2631" t="s">
        <v>45223</v>
      </c>
      <c r="T2631" t="s">
        <v>46924</v>
      </c>
      <c r="U2631" t="s">
        <v>49708</v>
      </c>
      <c r="W2631" t="s">
        <v>42535</v>
      </c>
      <c r="X2631" t="s">
        <v>45102</v>
      </c>
    </row>
    <row r="2632" spans="1:24">
      <c r="A2632">
        <f>HYPERLINK("https://www.philgeps.gov.ph/GEPSNONPILOT/Tender/SplashBidNoticeAbstractUI.aspx?menuIndex=3&amp;refID=7041718&amp;Result=3","7041718")</f>
        <v>0</v>
      </c>
      <c r="B2632" t="s">
        <v>63</v>
      </c>
      <c r="C2632" t="s">
        <v>5715</v>
      </c>
      <c r="D2632" t="s">
        <v>18049</v>
      </c>
      <c r="E2632" t="s">
        <v>20508</v>
      </c>
      <c r="F2632" t="s">
        <v>31574</v>
      </c>
      <c r="G2632" t="s">
        <v>31582</v>
      </c>
      <c r="H2632" t="s">
        <v>31590</v>
      </c>
      <c r="I2632" t="s">
        <v>5717</v>
      </c>
      <c r="J2632" t="s">
        <v>33540</v>
      </c>
      <c r="K2632" t="s">
        <v>41186</v>
      </c>
      <c r="M2632" t="s">
        <v>42536</v>
      </c>
      <c r="N2632" t="s">
        <v>45095</v>
      </c>
      <c r="O2632" t="s">
        <v>45096</v>
      </c>
      <c r="P2632">
        <v>0</v>
      </c>
      <c r="Q2632">
        <v>2</v>
      </c>
      <c r="R2632" t="s">
        <v>45098</v>
      </c>
      <c r="S2632" t="s">
        <v>45223</v>
      </c>
      <c r="T2632" t="s">
        <v>47008</v>
      </c>
      <c r="U2632" t="s">
        <v>49709</v>
      </c>
      <c r="W2632" t="s">
        <v>42536</v>
      </c>
      <c r="X2632" t="s">
        <v>45102</v>
      </c>
    </row>
    <row r="2633" spans="1:24">
      <c r="A2633">
        <f>HYPERLINK("https://www.philgeps.gov.ph/GEPSNONPILOT/Tender/SplashBidNoticeAbstractUI.aspx?menuIndex=3&amp;refID=7041844&amp;Result=3","7041844")</f>
        <v>0</v>
      </c>
      <c r="B2633" t="s">
        <v>90</v>
      </c>
      <c r="C2633" t="s">
        <v>5716</v>
      </c>
      <c r="D2633" t="s">
        <v>18040</v>
      </c>
      <c r="E2633" t="s">
        <v>20509</v>
      </c>
      <c r="F2633" t="s">
        <v>31574</v>
      </c>
      <c r="G2633" t="s">
        <v>31583</v>
      </c>
      <c r="H2633" t="s">
        <v>31590</v>
      </c>
      <c r="I2633" t="s">
        <v>31631</v>
      </c>
      <c r="J2633" t="s">
        <v>33541</v>
      </c>
      <c r="K2633" t="s">
        <v>41184</v>
      </c>
      <c r="M2633" t="s">
        <v>41574</v>
      </c>
      <c r="N2633" t="s">
        <v>45095</v>
      </c>
      <c r="O2633" t="s">
        <v>45096</v>
      </c>
      <c r="P2633">
        <v>0</v>
      </c>
      <c r="Q2633">
        <v>0</v>
      </c>
      <c r="R2633" t="s">
        <v>45098</v>
      </c>
      <c r="S2633" t="s">
        <v>45223</v>
      </c>
      <c r="T2633" t="s">
        <v>46963</v>
      </c>
      <c r="U2633" t="s">
        <v>49710</v>
      </c>
      <c r="V2633" t="s">
        <v>59883</v>
      </c>
      <c r="W2633" t="s">
        <v>41574</v>
      </c>
      <c r="X2633" t="s">
        <v>45102</v>
      </c>
    </row>
    <row r="2634" spans="1:24">
      <c r="A2634">
        <f>HYPERLINK("https://www.philgeps.gov.ph/GEPSNONPILOT/Tender/SplashBidNoticeAbstractUI.aspx?menuIndex=3&amp;refID=7041914&amp;Result=3","7041914")</f>
        <v>0</v>
      </c>
      <c r="B2634" t="s">
        <v>328</v>
      </c>
      <c r="C2634" t="s">
        <v>5717</v>
      </c>
      <c r="D2634" t="s">
        <v>18056</v>
      </c>
      <c r="E2634" t="s">
        <v>20510</v>
      </c>
      <c r="F2634" t="s">
        <v>31574</v>
      </c>
      <c r="G2634" t="s">
        <v>31584</v>
      </c>
      <c r="H2634" t="s">
        <v>31590</v>
      </c>
      <c r="I2634" t="s">
        <v>5717</v>
      </c>
      <c r="J2634" t="s">
        <v>33542</v>
      </c>
      <c r="K2634" t="s">
        <v>41186</v>
      </c>
      <c r="M2634" t="s">
        <v>41816</v>
      </c>
      <c r="N2634" t="s">
        <v>45095</v>
      </c>
      <c r="O2634" t="s">
        <v>45096</v>
      </c>
      <c r="P2634">
        <v>0</v>
      </c>
      <c r="Q2634">
        <v>3</v>
      </c>
      <c r="R2634" t="s">
        <v>45098</v>
      </c>
      <c r="S2634" t="s">
        <v>45223</v>
      </c>
      <c r="T2634" t="s">
        <v>46963</v>
      </c>
      <c r="U2634" t="s">
        <v>49711</v>
      </c>
      <c r="W2634" t="s">
        <v>41816</v>
      </c>
      <c r="X2634" t="s">
        <v>45102</v>
      </c>
    </row>
    <row r="2635" spans="1:24">
      <c r="A2635">
        <f>HYPERLINK("https://www.philgeps.gov.ph/GEPSNONPILOT/Tender/SplashBidNoticeAbstractUI.aspx?menuIndex=3&amp;refID=7041886&amp;Result=3","7041886")</f>
        <v>0</v>
      </c>
      <c r="B2635" t="s">
        <v>90</v>
      </c>
      <c r="C2635" t="s">
        <v>5718</v>
      </c>
      <c r="D2635" t="s">
        <v>18040</v>
      </c>
      <c r="E2635" t="s">
        <v>20511</v>
      </c>
      <c r="F2635" t="s">
        <v>31574</v>
      </c>
      <c r="G2635" t="s">
        <v>31583</v>
      </c>
      <c r="H2635" t="s">
        <v>31590</v>
      </c>
      <c r="I2635" t="s">
        <v>3487</v>
      </c>
      <c r="J2635" t="s">
        <v>32774</v>
      </c>
      <c r="K2635" t="s">
        <v>41184</v>
      </c>
      <c r="M2635" t="s">
        <v>41574</v>
      </c>
      <c r="N2635" t="s">
        <v>45095</v>
      </c>
      <c r="O2635" t="s">
        <v>45096</v>
      </c>
      <c r="P2635">
        <v>0</v>
      </c>
      <c r="Q2635">
        <v>3</v>
      </c>
      <c r="R2635" t="s">
        <v>45098</v>
      </c>
      <c r="S2635" t="s">
        <v>45223</v>
      </c>
      <c r="T2635" t="s">
        <v>46963</v>
      </c>
      <c r="U2635" t="s">
        <v>49712</v>
      </c>
      <c r="V2635" t="s">
        <v>59883</v>
      </c>
      <c r="W2635" t="s">
        <v>41574</v>
      </c>
      <c r="X2635" t="s">
        <v>45102</v>
      </c>
    </row>
    <row r="2636" spans="1:24">
      <c r="A2636">
        <f>HYPERLINK("https://www.philgeps.gov.ph/GEPSNONPILOT/Tender/SplashBidNoticeAbstractUI.aspx?menuIndex=3&amp;refID=7041903&amp;Result=3","7041903")</f>
        <v>0</v>
      </c>
      <c r="B2636" t="s">
        <v>218</v>
      </c>
      <c r="C2636" t="s">
        <v>5719</v>
      </c>
      <c r="D2636" t="s">
        <v>18070</v>
      </c>
      <c r="E2636" t="s">
        <v>20512</v>
      </c>
      <c r="F2636" t="s">
        <v>31574</v>
      </c>
      <c r="G2636" t="s">
        <v>31583</v>
      </c>
      <c r="H2636" t="s">
        <v>31590</v>
      </c>
      <c r="I2636" t="s">
        <v>8258</v>
      </c>
      <c r="J2636" t="s">
        <v>33543</v>
      </c>
      <c r="K2636" t="s">
        <v>41193</v>
      </c>
      <c r="M2636" t="s">
        <v>41703</v>
      </c>
      <c r="N2636" t="s">
        <v>45095</v>
      </c>
      <c r="O2636" t="s">
        <v>45096</v>
      </c>
      <c r="P2636">
        <v>0</v>
      </c>
      <c r="Q2636">
        <v>1</v>
      </c>
      <c r="R2636" t="s">
        <v>45098</v>
      </c>
      <c r="S2636" t="s">
        <v>45223</v>
      </c>
      <c r="T2636" t="s">
        <v>47125</v>
      </c>
      <c r="U2636" t="s">
        <v>47880</v>
      </c>
      <c r="W2636" t="s">
        <v>41703</v>
      </c>
      <c r="X2636" t="s">
        <v>45102</v>
      </c>
    </row>
    <row r="2637" spans="1:24">
      <c r="A2637">
        <f>HYPERLINK("https://www.philgeps.gov.ph/GEPSNONPILOT/Tender/SplashBidNoticeAbstractUI.aspx?menuIndex=3&amp;refID=7041915&amp;Result=3","7041915")</f>
        <v>0</v>
      </c>
      <c r="B2637" t="s">
        <v>1000</v>
      </c>
      <c r="C2637" t="s">
        <v>5720</v>
      </c>
      <c r="D2637" t="s">
        <v>18033</v>
      </c>
      <c r="E2637" t="s">
        <v>20513</v>
      </c>
      <c r="F2637" t="s">
        <v>31574</v>
      </c>
      <c r="G2637" t="s">
        <v>31582</v>
      </c>
      <c r="H2637" t="s">
        <v>31590</v>
      </c>
      <c r="I2637" t="s">
        <v>4046</v>
      </c>
      <c r="J2637" t="s">
        <v>33544</v>
      </c>
      <c r="K2637" t="s">
        <v>41186</v>
      </c>
      <c r="M2637" t="s">
        <v>42537</v>
      </c>
      <c r="N2637" t="s">
        <v>45095</v>
      </c>
      <c r="O2637" t="s">
        <v>45096</v>
      </c>
      <c r="P2637">
        <v>0</v>
      </c>
      <c r="Q2637">
        <v>0</v>
      </c>
      <c r="R2637" t="s">
        <v>45098</v>
      </c>
      <c r="S2637" t="s">
        <v>45223</v>
      </c>
      <c r="T2637" t="s">
        <v>47126</v>
      </c>
      <c r="U2637" t="s">
        <v>49713</v>
      </c>
      <c r="W2637" t="s">
        <v>42537</v>
      </c>
      <c r="X2637" t="s">
        <v>45102</v>
      </c>
    </row>
    <row r="2638" spans="1:24">
      <c r="A2638">
        <f>HYPERLINK("https://www.philgeps.gov.ph/GEPSNONPILOT/Tender/SplashBidNoticeAbstractUI.aspx?menuIndex=3&amp;refID=7041704&amp;Result=3","7041704")</f>
        <v>0</v>
      </c>
      <c r="B2638" t="s">
        <v>84</v>
      </c>
      <c r="C2638" t="s">
        <v>5721</v>
      </c>
      <c r="D2638" t="s">
        <v>18022</v>
      </c>
      <c r="E2638" t="s">
        <v>20514</v>
      </c>
      <c r="F2638" t="s">
        <v>31574</v>
      </c>
      <c r="G2638" t="s">
        <v>31581</v>
      </c>
      <c r="H2638" t="s">
        <v>31590</v>
      </c>
      <c r="I2638" t="s">
        <v>8822</v>
      </c>
      <c r="J2638" t="s">
        <v>31741</v>
      </c>
      <c r="K2638" t="s">
        <v>41184</v>
      </c>
      <c r="M2638" t="s">
        <v>41803</v>
      </c>
      <c r="N2638" t="s">
        <v>45095</v>
      </c>
      <c r="O2638" t="s">
        <v>45096</v>
      </c>
      <c r="P2638">
        <v>0</v>
      </c>
      <c r="Q2638">
        <v>0</v>
      </c>
      <c r="R2638" t="s">
        <v>45098</v>
      </c>
      <c r="S2638" t="s">
        <v>45223</v>
      </c>
      <c r="T2638" t="s">
        <v>46973</v>
      </c>
      <c r="U2638" t="s">
        <v>49125</v>
      </c>
      <c r="W2638" t="s">
        <v>41803</v>
      </c>
      <c r="X2638" t="s">
        <v>45102</v>
      </c>
    </row>
    <row r="2639" spans="1:24">
      <c r="A2639">
        <f>HYPERLINK("https://www.philgeps.gov.ph/GEPSNONPILOT/Tender/SplashBidNoticeAbstractUI.aspx?menuIndex=3&amp;refID=7041922&amp;Result=3","7041922")</f>
        <v>0</v>
      </c>
      <c r="B2639" t="s">
        <v>90</v>
      </c>
      <c r="C2639" t="s">
        <v>5722</v>
      </c>
      <c r="D2639" t="s">
        <v>18073</v>
      </c>
      <c r="E2639" t="s">
        <v>20515</v>
      </c>
      <c r="F2639" t="s">
        <v>31574</v>
      </c>
      <c r="G2639" t="s">
        <v>31583</v>
      </c>
      <c r="H2639" t="s">
        <v>31590</v>
      </c>
      <c r="I2639" t="s">
        <v>14544</v>
      </c>
      <c r="J2639" t="s">
        <v>33545</v>
      </c>
      <c r="K2639" t="s">
        <v>41184</v>
      </c>
      <c r="M2639" t="s">
        <v>41574</v>
      </c>
      <c r="N2639" t="s">
        <v>45095</v>
      </c>
      <c r="O2639" t="s">
        <v>45096</v>
      </c>
      <c r="P2639">
        <v>0</v>
      </c>
      <c r="Q2639">
        <v>1</v>
      </c>
      <c r="R2639" t="s">
        <v>45098</v>
      </c>
      <c r="S2639" t="s">
        <v>45223</v>
      </c>
      <c r="T2639" t="s">
        <v>46963</v>
      </c>
      <c r="U2639" t="s">
        <v>49714</v>
      </c>
      <c r="V2639" t="s">
        <v>59883</v>
      </c>
      <c r="W2639" t="s">
        <v>41574</v>
      </c>
      <c r="X2639" t="s">
        <v>45102</v>
      </c>
    </row>
    <row r="2640" spans="1:24">
      <c r="A2640">
        <f>HYPERLINK("https://www.philgeps.gov.ph/GEPSNONPILOT/Tender/SplashBidNoticeAbstractUI.aspx?menuIndex=3&amp;refID=7041877&amp;Result=3","7041877")</f>
        <v>0</v>
      </c>
      <c r="B2640" t="s">
        <v>90</v>
      </c>
      <c r="C2640" t="s">
        <v>5723</v>
      </c>
      <c r="D2640" t="s">
        <v>18025</v>
      </c>
      <c r="E2640" t="s">
        <v>20516</v>
      </c>
      <c r="F2640" t="s">
        <v>31574</v>
      </c>
      <c r="G2640" t="s">
        <v>31583</v>
      </c>
      <c r="H2640" t="s">
        <v>31590</v>
      </c>
      <c r="I2640" t="s">
        <v>31631</v>
      </c>
      <c r="J2640" t="s">
        <v>32742</v>
      </c>
      <c r="K2640" t="s">
        <v>41184</v>
      </c>
      <c r="M2640" t="s">
        <v>41574</v>
      </c>
      <c r="N2640" t="s">
        <v>45095</v>
      </c>
      <c r="O2640" t="s">
        <v>45096</v>
      </c>
      <c r="P2640">
        <v>0</v>
      </c>
      <c r="Q2640">
        <v>0</v>
      </c>
      <c r="R2640" t="s">
        <v>45098</v>
      </c>
      <c r="S2640" t="s">
        <v>45223</v>
      </c>
      <c r="T2640" t="s">
        <v>46963</v>
      </c>
      <c r="U2640" t="s">
        <v>49715</v>
      </c>
      <c r="V2640" t="s">
        <v>59883</v>
      </c>
      <c r="W2640" t="s">
        <v>41574</v>
      </c>
      <c r="X2640" t="s">
        <v>45102</v>
      </c>
    </row>
    <row r="2641" spans="1:24">
      <c r="A2641">
        <f>HYPERLINK("https://www.philgeps.gov.ph/GEPSNONPILOT/Tender/SplashBidNoticeAbstractUI.aspx?menuIndex=3&amp;refID=7041845&amp;Result=3","7041845")</f>
        <v>0</v>
      </c>
      <c r="B2641" t="s">
        <v>218</v>
      </c>
      <c r="C2641" t="s">
        <v>5724</v>
      </c>
      <c r="D2641" t="s">
        <v>18070</v>
      </c>
      <c r="E2641" t="s">
        <v>20517</v>
      </c>
      <c r="F2641" t="s">
        <v>31574</v>
      </c>
      <c r="G2641" t="s">
        <v>31583</v>
      </c>
      <c r="H2641" t="s">
        <v>31590</v>
      </c>
      <c r="I2641" t="s">
        <v>3489</v>
      </c>
      <c r="J2641" t="s">
        <v>33546</v>
      </c>
      <c r="K2641" t="s">
        <v>41193</v>
      </c>
      <c r="M2641" t="s">
        <v>41703</v>
      </c>
      <c r="N2641" t="s">
        <v>45095</v>
      </c>
      <c r="O2641" t="s">
        <v>45096</v>
      </c>
      <c r="P2641">
        <v>0</v>
      </c>
      <c r="Q2641">
        <v>0</v>
      </c>
      <c r="R2641" t="s">
        <v>45098</v>
      </c>
      <c r="S2641" t="s">
        <v>45223</v>
      </c>
      <c r="T2641" t="s">
        <v>47125</v>
      </c>
      <c r="U2641" t="s">
        <v>47880</v>
      </c>
      <c r="W2641" t="s">
        <v>41703</v>
      </c>
      <c r="X2641" t="s">
        <v>45102</v>
      </c>
    </row>
    <row r="2642" spans="1:24">
      <c r="A2642">
        <f>HYPERLINK("https://www.philgeps.gov.ph/GEPSNONPILOT/Tender/SplashBidNoticeAbstractUI.aspx?menuIndex=3&amp;refID=7041905&amp;Result=3","7041905")</f>
        <v>0</v>
      </c>
      <c r="B2642" t="s">
        <v>328</v>
      </c>
      <c r="C2642" t="s">
        <v>4327</v>
      </c>
      <c r="D2642" t="s">
        <v>18056</v>
      </c>
      <c r="E2642" t="s">
        <v>20518</v>
      </c>
      <c r="F2642" t="s">
        <v>31574</v>
      </c>
      <c r="G2642" t="s">
        <v>31584</v>
      </c>
      <c r="H2642" t="s">
        <v>31590</v>
      </c>
      <c r="I2642" t="s">
        <v>4327</v>
      </c>
      <c r="J2642" t="s">
        <v>33547</v>
      </c>
      <c r="K2642" t="s">
        <v>41186</v>
      </c>
      <c r="M2642" t="s">
        <v>41816</v>
      </c>
      <c r="N2642" t="s">
        <v>45095</v>
      </c>
      <c r="O2642" t="s">
        <v>45096</v>
      </c>
      <c r="P2642">
        <v>0</v>
      </c>
      <c r="Q2642">
        <v>1</v>
      </c>
      <c r="R2642" t="s">
        <v>45098</v>
      </c>
      <c r="S2642" t="s">
        <v>45223</v>
      </c>
      <c r="T2642" t="s">
        <v>46963</v>
      </c>
      <c r="U2642" t="s">
        <v>49716</v>
      </c>
      <c r="W2642" t="s">
        <v>41816</v>
      </c>
      <c r="X2642" t="s">
        <v>45102</v>
      </c>
    </row>
    <row r="2643" spans="1:24">
      <c r="A2643">
        <f>HYPERLINK("https://www.philgeps.gov.ph/GEPSNONPILOT/Tender/SplashBidNoticeAbstractUI.aspx?menuIndex=3&amp;refID=7041918&amp;Result=3","7041918")</f>
        <v>0</v>
      </c>
      <c r="B2643" t="s">
        <v>996</v>
      </c>
      <c r="C2643" t="s">
        <v>3948</v>
      </c>
      <c r="D2643" t="s">
        <v>18036</v>
      </c>
      <c r="E2643" t="s">
        <v>20519</v>
      </c>
      <c r="F2643" t="s">
        <v>31574</v>
      </c>
      <c r="G2643" t="s">
        <v>31581</v>
      </c>
      <c r="H2643" t="s">
        <v>31590</v>
      </c>
      <c r="I2643" t="s">
        <v>31602</v>
      </c>
      <c r="J2643" t="s">
        <v>32574</v>
      </c>
      <c r="K2643" t="s">
        <v>41193</v>
      </c>
      <c r="M2643" t="s">
        <v>42532</v>
      </c>
      <c r="N2643" t="s">
        <v>45095</v>
      </c>
      <c r="O2643" t="s">
        <v>45096</v>
      </c>
      <c r="P2643">
        <v>0</v>
      </c>
      <c r="Q2643">
        <v>0</v>
      </c>
      <c r="R2643" t="s">
        <v>45098</v>
      </c>
      <c r="S2643" t="s">
        <v>45223</v>
      </c>
      <c r="T2643" t="s">
        <v>46963</v>
      </c>
      <c r="U2643" t="s">
        <v>49704</v>
      </c>
      <c r="W2643" t="s">
        <v>61686</v>
      </c>
      <c r="X2643" t="s">
        <v>45102</v>
      </c>
    </row>
    <row r="2644" spans="1:24">
      <c r="A2644">
        <f>HYPERLINK("https://www.philgeps.gov.ph/GEPSNONPILOT/Tender/SplashBidNoticeAbstractUI.aspx?menuIndex=3&amp;refID=7042028&amp;Result=3","7042028")</f>
        <v>0</v>
      </c>
      <c r="B2644" t="s">
        <v>90</v>
      </c>
      <c r="C2644" t="s">
        <v>5725</v>
      </c>
      <c r="E2644" t="s">
        <v>20520</v>
      </c>
      <c r="F2644" t="s">
        <v>31574</v>
      </c>
      <c r="G2644" t="s">
        <v>31581</v>
      </c>
      <c r="H2644" t="s">
        <v>31590</v>
      </c>
      <c r="I2644" t="s">
        <v>31623</v>
      </c>
      <c r="J2644" t="s">
        <v>33548</v>
      </c>
      <c r="K2644" t="s">
        <v>41184</v>
      </c>
      <c r="M2644" t="s">
        <v>41574</v>
      </c>
      <c r="N2644" t="s">
        <v>45095</v>
      </c>
      <c r="O2644" t="s">
        <v>45096</v>
      </c>
      <c r="P2644">
        <v>0</v>
      </c>
      <c r="Q2644">
        <v>0</v>
      </c>
      <c r="R2644" t="s">
        <v>45098</v>
      </c>
      <c r="S2644" t="s">
        <v>45223</v>
      </c>
      <c r="T2644" t="s">
        <v>46963</v>
      </c>
      <c r="U2644" t="s">
        <v>49717</v>
      </c>
      <c r="V2644" t="s">
        <v>59883</v>
      </c>
      <c r="W2644" t="s">
        <v>41574</v>
      </c>
      <c r="X2644" t="s">
        <v>45102</v>
      </c>
    </row>
    <row r="2645" spans="1:24">
      <c r="A2645">
        <f>HYPERLINK("https://www.philgeps.gov.ph/GEPSNONPILOT/Tender/SplashBidNoticeAbstractUI.aspx?menuIndex=3&amp;refID=7041932&amp;Result=3","7041932")</f>
        <v>0</v>
      </c>
      <c r="B2645" t="s">
        <v>1001</v>
      </c>
      <c r="C2645" t="s">
        <v>5726</v>
      </c>
      <c r="D2645" t="s">
        <v>18103</v>
      </c>
      <c r="E2645" t="s">
        <v>20521</v>
      </c>
      <c r="F2645" t="s">
        <v>31574</v>
      </c>
      <c r="G2645" t="s">
        <v>31583</v>
      </c>
      <c r="H2645" t="s">
        <v>31590</v>
      </c>
      <c r="I2645" t="s">
        <v>31595</v>
      </c>
      <c r="J2645" t="s">
        <v>33549</v>
      </c>
      <c r="K2645" t="s">
        <v>41190</v>
      </c>
      <c r="L2645" t="s">
        <v>1001</v>
      </c>
      <c r="M2645" t="s">
        <v>42538</v>
      </c>
      <c r="N2645" t="s">
        <v>45095</v>
      </c>
      <c r="O2645" t="s">
        <v>45096</v>
      </c>
      <c r="P2645">
        <v>0</v>
      </c>
      <c r="Q2645">
        <v>3</v>
      </c>
      <c r="R2645" t="s">
        <v>45098</v>
      </c>
      <c r="S2645" t="s">
        <v>45223</v>
      </c>
      <c r="T2645" t="s">
        <v>46963</v>
      </c>
      <c r="U2645" t="s">
        <v>49718</v>
      </c>
      <c r="V2645" t="s">
        <v>60108</v>
      </c>
      <c r="W2645" t="s">
        <v>42538</v>
      </c>
      <c r="X2645" t="s">
        <v>45102</v>
      </c>
    </row>
    <row r="2646" spans="1:24">
      <c r="A2646">
        <f>HYPERLINK("https://www.philgeps.gov.ph/GEPSNONPILOT/Tender/SplashBidNoticeAbstractUI.aspx?menuIndex=3&amp;refID=7042006&amp;Result=3","7042006")</f>
        <v>0</v>
      </c>
      <c r="B2646" t="s">
        <v>328</v>
      </c>
      <c r="C2646" t="s">
        <v>5727</v>
      </c>
      <c r="D2646" t="s">
        <v>18056</v>
      </c>
      <c r="E2646" t="s">
        <v>20522</v>
      </c>
      <c r="F2646" t="s">
        <v>31574</v>
      </c>
      <c r="G2646" t="s">
        <v>31581</v>
      </c>
      <c r="H2646" t="s">
        <v>31590</v>
      </c>
      <c r="I2646" t="s">
        <v>31612</v>
      </c>
      <c r="J2646" t="s">
        <v>33550</v>
      </c>
      <c r="K2646" t="s">
        <v>41186</v>
      </c>
      <c r="M2646" t="s">
        <v>41816</v>
      </c>
      <c r="N2646" t="s">
        <v>45095</v>
      </c>
      <c r="O2646" t="s">
        <v>45096</v>
      </c>
      <c r="P2646">
        <v>0</v>
      </c>
      <c r="Q2646">
        <v>1</v>
      </c>
      <c r="R2646" t="s">
        <v>45098</v>
      </c>
      <c r="S2646" t="s">
        <v>45223</v>
      </c>
      <c r="T2646" t="s">
        <v>46963</v>
      </c>
      <c r="U2646" t="s">
        <v>49719</v>
      </c>
      <c r="W2646" t="s">
        <v>41816</v>
      </c>
      <c r="X2646" t="s">
        <v>45102</v>
      </c>
    </row>
    <row r="2647" spans="1:24">
      <c r="A2647">
        <f>HYPERLINK("https://www.philgeps.gov.ph/GEPSNONPILOT/Tender/SplashBidNoticeAbstractUI.aspx?menuIndex=3&amp;refID=7041869&amp;Result=3","7041869")</f>
        <v>0</v>
      </c>
      <c r="B2647" t="s">
        <v>218</v>
      </c>
      <c r="C2647" t="s">
        <v>5728</v>
      </c>
      <c r="D2647" t="s">
        <v>18070</v>
      </c>
      <c r="E2647" t="s">
        <v>20523</v>
      </c>
      <c r="F2647" t="s">
        <v>31574</v>
      </c>
      <c r="G2647" t="s">
        <v>31583</v>
      </c>
      <c r="H2647" t="s">
        <v>31590</v>
      </c>
      <c r="I2647" t="s">
        <v>4046</v>
      </c>
      <c r="J2647" t="s">
        <v>33551</v>
      </c>
      <c r="K2647" t="s">
        <v>41193</v>
      </c>
      <c r="M2647" t="s">
        <v>41703</v>
      </c>
      <c r="N2647" t="s">
        <v>45095</v>
      </c>
      <c r="O2647" t="s">
        <v>45096</v>
      </c>
      <c r="P2647">
        <v>0</v>
      </c>
      <c r="Q2647">
        <v>0</v>
      </c>
      <c r="R2647" t="s">
        <v>45098</v>
      </c>
      <c r="S2647" t="s">
        <v>45223</v>
      </c>
      <c r="T2647" t="s">
        <v>47125</v>
      </c>
      <c r="U2647" t="s">
        <v>47880</v>
      </c>
      <c r="W2647" t="s">
        <v>41703</v>
      </c>
      <c r="X2647" t="s">
        <v>45102</v>
      </c>
    </row>
    <row r="2648" spans="1:24">
      <c r="A2648">
        <f>HYPERLINK("https://www.philgeps.gov.ph/GEPSNONPILOT/Tender/SplashBidNoticeAbstractUI.aspx?menuIndex=3&amp;refID=7041981&amp;Result=3","7041981")</f>
        <v>0</v>
      </c>
      <c r="B2648" t="s">
        <v>90</v>
      </c>
      <c r="C2648" t="s">
        <v>5729</v>
      </c>
      <c r="D2648" t="s">
        <v>18073</v>
      </c>
      <c r="E2648" t="s">
        <v>20524</v>
      </c>
      <c r="F2648" t="s">
        <v>31574</v>
      </c>
      <c r="G2648" t="s">
        <v>31584</v>
      </c>
      <c r="H2648" t="s">
        <v>31590</v>
      </c>
      <c r="I2648" t="s">
        <v>6800</v>
      </c>
      <c r="J2648" t="s">
        <v>33552</v>
      </c>
      <c r="K2648" t="s">
        <v>41184</v>
      </c>
      <c r="M2648" t="s">
        <v>41574</v>
      </c>
      <c r="N2648" t="s">
        <v>45095</v>
      </c>
      <c r="O2648" t="s">
        <v>45096</v>
      </c>
      <c r="P2648">
        <v>0</v>
      </c>
      <c r="Q2648">
        <v>1</v>
      </c>
      <c r="R2648" t="s">
        <v>45098</v>
      </c>
      <c r="S2648" t="s">
        <v>45223</v>
      </c>
      <c r="T2648" t="s">
        <v>46963</v>
      </c>
      <c r="U2648" t="s">
        <v>49720</v>
      </c>
      <c r="V2648" t="s">
        <v>59883</v>
      </c>
      <c r="W2648" t="s">
        <v>41574</v>
      </c>
      <c r="X2648" t="s">
        <v>45102</v>
      </c>
    </row>
    <row r="2649" spans="1:24">
      <c r="A2649">
        <f>HYPERLINK("https://www.philgeps.gov.ph/GEPSNONPILOT/Tender/SplashBidNoticeAbstractUI.aspx?menuIndex=3&amp;refID=7041948&amp;Result=3","7041948")</f>
        <v>0</v>
      </c>
      <c r="B2649" t="s">
        <v>1002</v>
      </c>
      <c r="C2649" t="s">
        <v>5730</v>
      </c>
      <c r="D2649" t="s">
        <v>18058</v>
      </c>
      <c r="E2649" t="s">
        <v>20525</v>
      </c>
      <c r="F2649" t="s">
        <v>31574</v>
      </c>
      <c r="G2649" t="s">
        <v>31582</v>
      </c>
      <c r="H2649" t="s">
        <v>31590</v>
      </c>
      <c r="I2649" t="s">
        <v>31608</v>
      </c>
      <c r="J2649" t="s">
        <v>33553</v>
      </c>
      <c r="K2649" t="s">
        <v>41289</v>
      </c>
      <c r="M2649" t="s">
        <v>42539</v>
      </c>
      <c r="N2649" t="s">
        <v>45095</v>
      </c>
      <c r="O2649" t="s">
        <v>45096</v>
      </c>
      <c r="P2649">
        <v>0</v>
      </c>
      <c r="Q2649">
        <v>0</v>
      </c>
      <c r="R2649" t="s">
        <v>45098</v>
      </c>
      <c r="S2649" t="s">
        <v>45223</v>
      </c>
      <c r="T2649" t="s">
        <v>46955</v>
      </c>
      <c r="U2649" t="s">
        <v>49721</v>
      </c>
      <c r="V2649" t="s">
        <v>60109</v>
      </c>
      <c r="W2649" t="s">
        <v>42539</v>
      </c>
      <c r="X2649" t="s">
        <v>45102</v>
      </c>
    </row>
    <row r="2650" spans="1:24">
      <c r="A2650">
        <f>HYPERLINK("https://www.philgeps.gov.ph/GEPSNONPILOT/Tender/SplashBidNoticeAbstractUI.aspx?menuIndex=3&amp;refID=7042056&amp;Result=3","7042056")</f>
        <v>0</v>
      </c>
      <c r="B2650" t="s">
        <v>1003</v>
      </c>
      <c r="C2650" t="s">
        <v>5731</v>
      </c>
      <c r="D2650" t="s">
        <v>18057</v>
      </c>
      <c r="E2650" t="s">
        <v>20526</v>
      </c>
      <c r="F2650" t="s">
        <v>31574</v>
      </c>
      <c r="G2650" t="s">
        <v>31581</v>
      </c>
      <c r="H2650" t="s">
        <v>31590</v>
      </c>
      <c r="I2650" t="s">
        <v>31595</v>
      </c>
      <c r="J2650" t="s">
        <v>31811</v>
      </c>
      <c r="K2650" t="s">
        <v>41190</v>
      </c>
      <c r="M2650" t="s">
        <v>42540</v>
      </c>
      <c r="N2650" t="s">
        <v>45095</v>
      </c>
      <c r="O2650" t="s">
        <v>45096</v>
      </c>
      <c r="P2650">
        <v>0</v>
      </c>
      <c r="Q2650">
        <v>2</v>
      </c>
      <c r="R2650" t="s">
        <v>45098</v>
      </c>
      <c r="S2650" t="s">
        <v>45223</v>
      </c>
      <c r="T2650" t="s">
        <v>46957</v>
      </c>
      <c r="U2650" t="s">
        <v>49722</v>
      </c>
      <c r="W2650" t="s">
        <v>42540</v>
      </c>
      <c r="X2650" t="s">
        <v>45102</v>
      </c>
    </row>
    <row r="2651" spans="1:24">
      <c r="A2651">
        <f>HYPERLINK("https://www.philgeps.gov.ph/GEPSNONPILOT/Tender/SplashBidNoticeAbstractUI.aspx?menuIndex=3&amp;refID=7042027&amp;Result=3","7042027")</f>
        <v>0</v>
      </c>
      <c r="B2651" t="s">
        <v>1002</v>
      </c>
      <c r="C2651" t="s">
        <v>5732</v>
      </c>
      <c r="D2651" t="s">
        <v>18058</v>
      </c>
      <c r="E2651" t="s">
        <v>20527</v>
      </c>
      <c r="F2651" t="s">
        <v>31574</v>
      </c>
      <c r="G2651" t="s">
        <v>31582</v>
      </c>
      <c r="H2651" t="s">
        <v>31590</v>
      </c>
      <c r="I2651" t="s">
        <v>31602</v>
      </c>
      <c r="J2651" t="s">
        <v>33554</v>
      </c>
      <c r="K2651" t="s">
        <v>41289</v>
      </c>
      <c r="M2651" t="s">
        <v>42539</v>
      </c>
      <c r="N2651" t="s">
        <v>45095</v>
      </c>
      <c r="O2651" t="s">
        <v>45096</v>
      </c>
      <c r="P2651">
        <v>0</v>
      </c>
      <c r="Q2651">
        <v>0</v>
      </c>
      <c r="R2651" t="s">
        <v>45098</v>
      </c>
      <c r="S2651" t="s">
        <v>45223</v>
      </c>
      <c r="T2651" t="s">
        <v>46955</v>
      </c>
      <c r="U2651" t="s">
        <v>49723</v>
      </c>
      <c r="V2651" t="s">
        <v>60110</v>
      </c>
      <c r="W2651" t="s">
        <v>42539</v>
      </c>
      <c r="X2651" t="s">
        <v>45102</v>
      </c>
    </row>
    <row r="2652" spans="1:24">
      <c r="A2652">
        <f>HYPERLINK("https://www.philgeps.gov.ph/GEPSNONPILOT/Tender/SplashBidNoticeAbstractUI.aspx?menuIndex=3&amp;refID=7041972&amp;Result=3","7041972")</f>
        <v>0</v>
      </c>
      <c r="B2652" t="s">
        <v>1004</v>
      </c>
      <c r="C2652" t="s">
        <v>5733</v>
      </c>
      <c r="D2652" t="s">
        <v>18022</v>
      </c>
      <c r="E2652" t="s">
        <v>20528</v>
      </c>
      <c r="F2652" t="s">
        <v>31574</v>
      </c>
      <c r="G2652" t="s">
        <v>31581</v>
      </c>
      <c r="H2652" t="s">
        <v>31590</v>
      </c>
      <c r="I2652" t="s">
        <v>31612</v>
      </c>
      <c r="J2652" t="s">
        <v>33555</v>
      </c>
      <c r="K2652" t="s">
        <v>41196</v>
      </c>
      <c r="M2652" t="s">
        <v>42541</v>
      </c>
      <c r="N2652" t="s">
        <v>45095</v>
      </c>
      <c r="O2652" t="s">
        <v>45096</v>
      </c>
      <c r="P2652">
        <v>0</v>
      </c>
      <c r="Q2652">
        <v>4</v>
      </c>
      <c r="R2652" t="s">
        <v>45098</v>
      </c>
      <c r="S2652" t="s">
        <v>45223</v>
      </c>
      <c r="T2652" t="s">
        <v>46957</v>
      </c>
      <c r="U2652" t="s">
        <v>49724</v>
      </c>
      <c r="V2652" t="s">
        <v>60111</v>
      </c>
      <c r="W2652" t="s">
        <v>42541</v>
      </c>
      <c r="X2652" t="s">
        <v>45102</v>
      </c>
    </row>
    <row r="2653" spans="1:24">
      <c r="A2653">
        <f>HYPERLINK("https://www.philgeps.gov.ph/GEPSNONPILOT/Tender/SplashBidNoticeAbstractUI.aspx?menuIndex=3&amp;refID=7042011&amp;Result=3","7042011")</f>
        <v>0</v>
      </c>
      <c r="B2653" t="s">
        <v>995</v>
      </c>
      <c r="C2653" t="s">
        <v>5734</v>
      </c>
      <c r="D2653" t="s">
        <v>18030</v>
      </c>
      <c r="E2653" t="s">
        <v>20529</v>
      </c>
      <c r="F2653" t="s">
        <v>31574</v>
      </c>
      <c r="G2653" t="s">
        <v>31582</v>
      </c>
      <c r="H2653" t="s">
        <v>31590</v>
      </c>
      <c r="I2653" t="s">
        <v>31608</v>
      </c>
      <c r="J2653" t="s">
        <v>32105</v>
      </c>
      <c r="K2653" t="s">
        <v>41196</v>
      </c>
      <c r="M2653" t="s">
        <v>42531</v>
      </c>
      <c r="N2653" t="s">
        <v>45095</v>
      </c>
      <c r="O2653" t="s">
        <v>45096</v>
      </c>
      <c r="P2653">
        <v>0</v>
      </c>
      <c r="Q2653">
        <v>1</v>
      </c>
      <c r="R2653" t="s">
        <v>45098</v>
      </c>
      <c r="S2653" t="s">
        <v>45223</v>
      </c>
      <c r="T2653" t="s">
        <v>46955</v>
      </c>
      <c r="U2653" t="s">
        <v>49725</v>
      </c>
      <c r="W2653" t="s">
        <v>42531</v>
      </c>
      <c r="X2653" t="s">
        <v>45102</v>
      </c>
    </row>
    <row r="2654" spans="1:24">
      <c r="A2654">
        <f>HYPERLINK("https://www.philgeps.gov.ph/GEPSNONPILOT/Tender/SplashBidNoticeAbstractUI.aspx?menuIndex=3&amp;refID=7041979&amp;Result=3","7041979")</f>
        <v>0</v>
      </c>
      <c r="B2654" t="s">
        <v>726</v>
      </c>
      <c r="C2654" t="s">
        <v>5735</v>
      </c>
      <c r="D2654" t="s">
        <v>18058</v>
      </c>
      <c r="E2654" t="s">
        <v>20530</v>
      </c>
      <c r="F2654" t="s">
        <v>31574</v>
      </c>
      <c r="G2654" t="s">
        <v>31581</v>
      </c>
      <c r="H2654" t="s">
        <v>31590</v>
      </c>
      <c r="I2654" t="s">
        <v>31594</v>
      </c>
      <c r="J2654" t="s">
        <v>33556</v>
      </c>
      <c r="K2654" t="s">
        <v>41184</v>
      </c>
      <c r="M2654" t="s">
        <v>42236</v>
      </c>
      <c r="N2654" t="s">
        <v>45095</v>
      </c>
      <c r="O2654" t="s">
        <v>45096</v>
      </c>
      <c r="P2654">
        <v>0</v>
      </c>
      <c r="Q2654">
        <v>7</v>
      </c>
      <c r="R2654" t="s">
        <v>45098</v>
      </c>
      <c r="S2654" t="s">
        <v>45223</v>
      </c>
      <c r="T2654" t="s">
        <v>46904</v>
      </c>
      <c r="U2654" t="s">
        <v>49726</v>
      </c>
      <c r="W2654" t="s">
        <v>42236</v>
      </c>
      <c r="X2654" t="s">
        <v>45102</v>
      </c>
    </row>
    <row r="2655" spans="1:24">
      <c r="A2655">
        <f>HYPERLINK("https://www.philgeps.gov.ph/GEPSNONPILOT/Tender/SplashBidNoticeAbstractUI.aspx?menuIndex=3&amp;refID=7042014&amp;Result=3","7042014")</f>
        <v>0</v>
      </c>
      <c r="B2655" t="s">
        <v>201</v>
      </c>
      <c r="C2655" t="s">
        <v>5736</v>
      </c>
      <c r="D2655" t="s">
        <v>18045</v>
      </c>
      <c r="E2655" t="s">
        <v>20531</v>
      </c>
      <c r="F2655" t="s">
        <v>31574</v>
      </c>
      <c r="G2655" t="s">
        <v>31585</v>
      </c>
      <c r="H2655" t="s">
        <v>31590</v>
      </c>
      <c r="I2655" t="s">
        <v>31594</v>
      </c>
      <c r="J2655" t="s">
        <v>33557</v>
      </c>
      <c r="K2655" t="s">
        <v>41184</v>
      </c>
      <c r="M2655" t="s">
        <v>41970</v>
      </c>
      <c r="N2655" t="s">
        <v>45095</v>
      </c>
      <c r="O2655" t="s">
        <v>45096</v>
      </c>
      <c r="P2655">
        <v>0</v>
      </c>
      <c r="Q2655">
        <v>9</v>
      </c>
      <c r="R2655" t="s">
        <v>45098</v>
      </c>
      <c r="S2655" t="s">
        <v>45223</v>
      </c>
      <c r="T2655" t="s">
        <v>46926</v>
      </c>
      <c r="U2655" t="s">
        <v>49727</v>
      </c>
      <c r="W2655" t="s">
        <v>41970</v>
      </c>
      <c r="X2655" t="s">
        <v>45102</v>
      </c>
    </row>
    <row r="2656" spans="1:24">
      <c r="A2656">
        <f>HYPERLINK("https://www.philgeps.gov.ph/GEPSNONPILOT/Tender/SplashBidNoticeAbstractUI.aspx?menuIndex=3&amp;refID=7042035&amp;Result=3","7042035")</f>
        <v>0</v>
      </c>
      <c r="B2656" t="s">
        <v>995</v>
      </c>
      <c r="C2656" t="s">
        <v>5737</v>
      </c>
      <c r="D2656" t="s">
        <v>18030</v>
      </c>
      <c r="E2656" t="s">
        <v>20532</v>
      </c>
      <c r="F2656" t="s">
        <v>31574</v>
      </c>
      <c r="G2656" t="s">
        <v>31582</v>
      </c>
      <c r="H2656" t="s">
        <v>31590</v>
      </c>
      <c r="I2656" t="s">
        <v>7185</v>
      </c>
      <c r="J2656" t="s">
        <v>33558</v>
      </c>
      <c r="K2656" t="s">
        <v>41196</v>
      </c>
      <c r="M2656" t="s">
        <v>42531</v>
      </c>
      <c r="N2656" t="s">
        <v>45095</v>
      </c>
      <c r="O2656" t="s">
        <v>45096</v>
      </c>
      <c r="P2656">
        <v>0</v>
      </c>
      <c r="Q2656">
        <v>2</v>
      </c>
      <c r="R2656" t="s">
        <v>45098</v>
      </c>
      <c r="S2656" t="s">
        <v>45223</v>
      </c>
      <c r="T2656" t="s">
        <v>46955</v>
      </c>
      <c r="U2656" t="s">
        <v>49728</v>
      </c>
      <c r="W2656" t="s">
        <v>42531</v>
      </c>
      <c r="X2656" t="s">
        <v>45102</v>
      </c>
    </row>
    <row r="2657" spans="1:24">
      <c r="A2657">
        <f>HYPERLINK("https://www.philgeps.gov.ph/GEPSNONPILOT/Tender/SplashBidNoticeAbstractUI.aspx?menuIndex=3&amp;refID=7042070&amp;Result=3","7042070")</f>
        <v>0</v>
      </c>
      <c r="B2657" t="s">
        <v>1002</v>
      </c>
      <c r="C2657" t="s">
        <v>5738</v>
      </c>
      <c r="D2657" t="s">
        <v>18058</v>
      </c>
      <c r="E2657" t="s">
        <v>20533</v>
      </c>
      <c r="F2657" t="s">
        <v>31574</v>
      </c>
      <c r="G2657" t="s">
        <v>31582</v>
      </c>
      <c r="H2657" t="s">
        <v>31590</v>
      </c>
      <c r="I2657" t="s">
        <v>3489</v>
      </c>
      <c r="J2657" t="s">
        <v>33559</v>
      </c>
      <c r="K2657" t="s">
        <v>41289</v>
      </c>
      <c r="M2657" t="s">
        <v>42539</v>
      </c>
      <c r="N2657" t="s">
        <v>45095</v>
      </c>
      <c r="O2657" t="s">
        <v>45096</v>
      </c>
      <c r="Q2657">
        <v>0</v>
      </c>
      <c r="R2657" t="s">
        <v>45098</v>
      </c>
      <c r="S2657" t="s">
        <v>45224</v>
      </c>
      <c r="T2657" t="s">
        <v>46955</v>
      </c>
      <c r="U2657" t="s">
        <v>49729</v>
      </c>
      <c r="V2657" t="s">
        <v>60109</v>
      </c>
      <c r="W2657" t="s">
        <v>42539</v>
      </c>
      <c r="X2657" t="s">
        <v>45102</v>
      </c>
    </row>
    <row r="2658" spans="1:24">
      <c r="A2658">
        <f>HYPERLINK("https://www.philgeps.gov.ph/GEPSNONPILOT/Tender/SplashBidNoticeAbstractUI.aspx?menuIndex=3&amp;refID=7042036&amp;Result=3","7042036")</f>
        <v>0</v>
      </c>
      <c r="B2658" t="s">
        <v>328</v>
      </c>
      <c r="C2658" t="s">
        <v>3509</v>
      </c>
      <c r="D2658" t="s">
        <v>18056</v>
      </c>
      <c r="E2658" t="s">
        <v>20534</v>
      </c>
      <c r="F2658" t="s">
        <v>31574</v>
      </c>
      <c r="G2658" t="s">
        <v>31581</v>
      </c>
      <c r="H2658" t="s">
        <v>31590</v>
      </c>
      <c r="I2658" t="s">
        <v>8258</v>
      </c>
      <c r="J2658" t="s">
        <v>32355</v>
      </c>
      <c r="K2658" t="s">
        <v>41186</v>
      </c>
      <c r="M2658" t="s">
        <v>41816</v>
      </c>
      <c r="N2658" t="s">
        <v>45095</v>
      </c>
      <c r="O2658" t="s">
        <v>45096</v>
      </c>
      <c r="P2658">
        <v>0</v>
      </c>
      <c r="Q2658">
        <v>5</v>
      </c>
      <c r="R2658" t="s">
        <v>45098</v>
      </c>
      <c r="S2658" t="s">
        <v>45223</v>
      </c>
      <c r="T2658" t="s">
        <v>46963</v>
      </c>
      <c r="U2658" t="s">
        <v>49730</v>
      </c>
      <c r="W2658" t="s">
        <v>41816</v>
      </c>
      <c r="X2658" t="s">
        <v>45102</v>
      </c>
    </row>
    <row r="2659" spans="1:24">
      <c r="A2659">
        <f>HYPERLINK("https://www.philgeps.gov.ph/GEPSNONPILOT/Tender/SplashBidNoticeAbstractUI.aspx?menuIndex=3&amp;refID=7042077&amp;Result=3","7042077")</f>
        <v>0</v>
      </c>
      <c r="B2659" t="s">
        <v>995</v>
      </c>
      <c r="C2659" t="s">
        <v>5739</v>
      </c>
      <c r="D2659" t="s">
        <v>18030</v>
      </c>
      <c r="E2659" t="s">
        <v>20535</v>
      </c>
      <c r="F2659" t="s">
        <v>31574</v>
      </c>
      <c r="G2659" t="s">
        <v>31582</v>
      </c>
      <c r="H2659" t="s">
        <v>31591</v>
      </c>
      <c r="I2659" t="s">
        <v>8822</v>
      </c>
      <c r="J2659" t="s">
        <v>33560</v>
      </c>
      <c r="K2659" t="s">
        <v>41195</v>
      </c>
      <c r="M2659" t="s">
        <v>42531</v>
      </c>
      <c r="N2659" t="s">
        <v>45095</v>
      </c>
      <c r="O2659" t="s">
        <v>45096</v>
      </c>
      <c r="P2659">
        <v>0</v>
      </c>
      <c r="Q2659">
        <v>0</v>
      </c>
      <c r="R2659" t="s">
        <v>45098</v>
      </c>
      <c r="S2659" t="s">
        <v>45223</v>
      </c>
      <c r="T2659" t="s">
        <v>46955</v>
      </c>
      <c r="U2659" t="s">
        <v>49731</v>
      </c>
      <c r="W2659" t="s">
        <v>42531</v>
      </c>
      <c r="X2659" t="s">
        <v>45102</v>
      </c>
    </row>
    <row r="2660" spans="1:24">
      <c r="A2660">
        <f>HYPERLINK("https://www.philgeps.gov.ph/GEPSNONPILOT/Tender/SplashBidNoticeAbstractUI.aspx?menuIndex=3&amp;refID=7041939&amp;Result=3","7041939")</f>
        <v>0</v>
      </c>
      <c r="B2660" t="s">
        <v>131</v>
      </c>
      <c r="C2660" t="s">
        <v>5740</v>
      </c>
      <c r="D2660" t="s">
        <v>18022</v>
      </c>
      <c r="E2660" t="s">
        <v>20536</v>
      </c>
      <c r="F2660" t="s">
        <v>31574</v>
      </c>
      <c r="G2660" t="s">
        <v>31582</v>
      </c>
      <c r="H2660" t="s">
        <v>31590</v>
      </c>
      <c r="I2660" t="s">
        <v>31612</v>
      </c>
      <c r="J2660" t="s">
        <v>33561</v>
      </c>
      <c r="K2660" t="s">
        <v>41186</v>
      </c>
      <c r="M2660" t="s">
        <v>42542</v>
      </c>
      <c r="N2660" t="s">
        <v>45095</v>
      </c>
      <c r="O2660" t="s">
        <v>45096</v>
      </c>
      <c r="P2660">
        <v>0</v>
      </c>
      <c r="Q2660">
        <v>2</v>
      </c>
      <c r="R2660" t="s">
        <v>45098</v>
      </c>
      <c r="S2660" t="s">
        <v>45223</v>
      </c>
      <c r="T2660" t="s">
        <v>47127</v>
      </c>
      <c r="U2660" t="s">
        <v>49732</v>
      </c>
      <c r="W2660" t="s">
        <v>42542</v>
      </c>
      <c r="X2660" t="s">
        <v>45102</v>
      </c>
    </row>
    <row r="2661" spans="1:24">
      <c r="A2661">
        <f>HYPERLINK("https://www.philgeps.gov.ph/GEPSNONPILOT/Tender/SplashBidNoticeAbstractUI.aspx?menuIndex=3&amp;refID=7042030&amp;Result=3","7042030")</f>
        <v>0</v>
      </c>
      <c r="B2661" t="s">
        <v>218</v>
      </c>
      <c r="C2661" t="s">
        <v>5741</v>
      </c>
      <c r="D2661" t="s">
        <v>18070</v>
      </c>
      <c r="E2661" t="s">
        <v>20537</v>
      </c>
      <c r="F2661" t="s">
        <v>31574</v>
      </c>
      <c r="G2661" t="s">
        <v>31583</v>
      </c>
      <c r="H2661" t="s">
        <v>31590</v>
      </c>
      <c r="I2661" t="s">
        <v>31601</v>
      </c>
      <c r="J2661" t="s">
        <v>33346</v>
      </c>
      <c r="K2661" t="s">
        <v>41193</v>
      </c>
      <c r="M2661" t="s">
        <v>41703</v>
      </c>
      <c r="N2661" t="s">
        <v>45095</v>
      </c>
      <c r="O2661" t="s">
        <v>45096</v>
      </c>
      <c r="P2661">
        <v>0</v>
      </c>
      <c r="Q2661">
        <v>0</v>
      </c>
      <c r="R2661" t="s">
        <v>45098</v>
      </c>
      <c r="S2661" t="s">
        <v>45223</v>
      </c>
      <c r="T2661" t="s">
        <v>47125</v>
      </c>
      <c r="U2661" t="s">
        <v>49733</v>
      </c>
      <c r="W2661" t="s">
        <v>41703</v>
      </c>
      <c r="X2661" t="s">
        <v>45102</v>
      </c>
    </row>
    <row r="2662" spans="1:24">
      <c r="A2662">
        <f>HYPERLINK("https://www.philgeps.gov.ph/GEPSNONPILOT/Tender/SplashBidNoticeAbstractUI.aspx?menuIndex=3&amp;refID=7042081&amp;Result=3","7042081")</f>
        <v>0</v>
      </c>
      <c r="B2662" t="s">
        <v>690</v>
      </c>
      <c r="C2662" t="s">
        <v>5742</v>
      </c>
      <c r="D2662" t="s">
        <v>18079</v>
      </c>
      <c r="E2662" t="s">
        <v>20538</v>
      </c>
      <c r="F2662" t="s">
        <v>31574</v>
      </c>
      <c r="G2662" t="s">
        <v>31582</v>
      </c>
      <c r="H2662" t="s">
        <v>31590</v>
      </c>
      <c r="I2662" t="s">
        <v>8258</v>
      </c>
      <c r="J2662" t="s">
        <v>31727</v>
      </c>
      <c r="K2662" t="s">
        <v>41186</v>
      </c>
      <c r="M2662" t="s">
        <v>42197</v>
      </c>
      <c r="N2662" t="s">
        <v>45095</v>
      </c>
      <c r="O2662" t="s">
        <v>45096</v>
      </c>
      <c r="P2662">
        <v>0</v>
      </c>
      <c r="Q2662">
        <v>0</v>
      </c>
      <c r="R2662" t="s">
        <v>45098</v>
      </c>
      <c r="S2662" t="s">
        <v>45223</v>
      </c>
      <c r="T2662" t="s">
        <v>46916</v>
      </c>
      <c r="U2662" t="s">
        <v>49734</v>
      </c>
      <c r="V2662" t="s">
        <v>60010</v>
      </c>
      <c r="W2662" t="s">
        <v>42197</v>
      </c>
      <c r="X2662" t="s">
        <v>45102</v>
      </c>
    </row>
    <row r="2663" spans="1:24">
      <c r="A2663">
        <f>HYPERLINK("https://www.philgeps.gov.ph/GEPSNONPILOT/Tender/SplashBidNoticeAbstractUI.aspx?menuIndex=3&amp;refID=7042180&amp;Result=3","7042180")</f>
        <v>0</v>
      </c>
      <c r="B2663" t="s">
        <v>46</v>
      </c>
      <c r="C2663" t="s">
        <v>5717</v>
      </c>
      <c r="D2663" t="s">
        <v>18050</v>
      </c>
      <c r="E2663" t="s">
        <v>20539</v>
      </c>
      <c r="F2663" t="s">
        <v>31574</v>
      </c>
      <c r="G2663" t="s">
        <v>31583</v>
      </c>
      <c r="H2663" t="s">
        <v>31590</v>
      </c>
      <c r="I2663" t="s">
        <v>5717</v>
      </c>
      <c r="J2663" t="s">
        <v>33562</v>
      </c>
      <c r="K2663" t="s">
        <v>41186</v>
      </c>
      <c r="M2663" t="s">
        <v>42527</v>
      </c>
      <c r="N2663" t="s">
        <v>45095</v>
      </c>
      <c r="O2663" t="s">
        <v>45096</v>
      </c>
      <c r="P2663">
        <v>0</v>
      </c>
      <c r="Q2663">
        <v>8</v>
      </c>
      <c r="R2663" t="s">
        <v>45098</v>
      </c>
      <c r="S2663" t="s">
        <v>45223</v>
      </c>
      <c r="T2663" t="s">
        <v>47083</v>
      </c>
      <c r="U2663" t="s">
        <v>49735</v>
      </c>
      <c r="W2663" t="s">
        <v>42527</v>
      </c>
      <c r="X2663" t="s">
        <v>45102</v>
      </c>
    </row>
    <row r="2664" spans="1:24">
      <c r="A2664">
        <f>HYPERLINK("https://www.philgeps.gov.ph/GEPSNONPILOT/Tender/SplashBidNoticeAbstractUI.aspx?menuIndex=3&amp;refID=7042177&amp;Result=3","7042177")</f>
        <v>0</v>
      </c>
      <c r="B2664" t="s">
        <v>71</v>
      </c>
      <c r="C2664" t="s">
        <v>5743</v>
      </c>
      <c r="D2664" t="s">
        <v>18053</v>
      </c>
      <c r="E2664" t="s">
        <v>20540</v>
      </c>
      <c r="F2664" t="s">
        <v>31574</v>
      </c>
      <c r="G2664" t="s">
        <v>31582</v>
      </c>
      <c r="H2664" t="s">
        <v>31591</v>
      </c>
      <c r="I2664" t="s">
        <v>8822</v>
      </c>
      <c r="J2664" t="s">
        <v>33563</v>
      </c>
      <c r="K2664" t="s">
        <v>41200</v>
      </c>
      <c r="M2664" t="s">
        <v>41555</v>
      </c>
      <c r="N2664" t="s">
        <v>45095</v>
      </c>
      <c r="O2664" t="s">
        <v>45096</v>
      </c>
      <c r="P2664">
        <v>0</v>
      </c>
      <c r="Q2664">
        <v>0</v>
      </c>
      <c r="R2664" t="s">
        <v>45098</v>
      </c>
      <c r="S2664" t="s">
        <v>45223</v>
      </c>
      <c r="T2664" t="s">
        <v>46908</v>
      </c>
      <c r="U2664" t="s">
        <v>49736</v>
      </c>
      <c r="W2664" t="s">
        <v>41555</v>
      </c>
      <c r="X2664" t="s">
        <v>45102</v>
      </c>
    </row>
    <row r="2665" spans="1:24">
      <c r="A2665">
        <f>HYPERLINK("https://www.philgeps.gov.ph/GEPSNONPILOT/Tender/SplashBidNoticeAbstractUI.aspx?menuIndex=3&amp;refID=7042207&amp;Result=3","7042207")</f>
        <v>0</v>
      </c>
      <c r="B2665" t="s">
        <v>996</v>
      </c>
      <c r="C2665" t="s">
        <v>3948</v>
      </c>
      <c r="D2665" t="s">
        <v>18036</v>
      </c>
      <c r="E2665" t="s">
        <v>20541</v>
      </c>
      <c r="F2665" t="s">
        <v>31574</v>
      </c>
      <c r="G2665" t="s">
        <v>31581</v>
      </c>
      <c r="H2665" t="s">
        <v>31590</v>
      </c>
      <c r="I2665" t="s">
        <v>31602</v>
      </c>
      <c r="J2665" t="s">
        <v>31958</v>
      </c>
      <c r="K2665" t="s">
        <v>41193</v>
      </c>
      <c r="M2665" t="s">
        <v>42532</v>
      </c>
      <c r="N2665" t="s">
        <v>45095</v>
      </c>
      <c r="O2665" t="s">
        <v>45096</v>
      </c>
      <c r="P2665">
        <v>0</v>
      </c>
      <c r="Q2665">
        <v>0</v>
      </c>
      <c r="R2665" t="s">
        <v>45098</v>
      </c>
      <c r="S2665" t="s">
        <v>45223</v>
      </c>
      <c r="T2665" t="s">
        <v>46963</v>
      </c>
      <c r="U2665" t="s">
        <v>49704</v>
      </c>
      <c r="W2665" t="s">
        <v>61686</v>
      </c>
      <c r="X2665" t="s">
        <v>45102</v>
      </c>
    </row>
    <row r="2666" spans="1:24">
      <c r="A2666">
        <f>HYPERLINK("https://www.philgeps.gov.ph/GEPSNONPILOT/Tender/SplashBidNoticeAbstractUI.aspx?menuIndex=3&amp;refID=7042137&amp;Result=3","7042137")</f>
        <v>0</v>
      </c>
      <c r="B2666" t="s">
        <v>267</v>
      </c>
      <c r="C2666" t="s">
        <v>5744</v>
      </c>
      <c r="E2666" t="s">
        <v>20542</v>
      </c>
      <c r="F2666" t="s">
        <v>31574</v>
      </c>
      <c r="G2666" t="s">
        <v>31582</v>
      </c>
      <c r="H2666" t="s">
        <v>31590</v>
      </c>
      <c r="I2666" t="s">
        <v>31594</v>
      </c>
      <c r="J2666" t="s">
        <v>33564</v>
      </c>
      <c r="K2666" t="s">
        <v>41184</v>
      </c>
      <c r="M2666" t="s">
        <v>42543</v>
      </c>
      <c r="N2666" t="s">
        <v>45095</v>
      </c>
      <c r="O2666" t="s">
        <v>45096</v>
      </c>
      <c r="P2666">
        <v>0</v>
      </c>
      <c r="Q2666">
        <v>28</v>
      </c>
      <c r="R2666" t="s">
        <v>45098</v>
      </c>
      <c r="S2666" t="s">
        <v>45223</v>
      </c>
      <c r="T2666" t="s">
        <v>47073</v>
      </c>
      <c r="U2666" t="s">
        <v>49737</v>
      </c>
      <c r="W2666" t="s">
        <v>42543</v>
      </c>
      <c r="X2666" t="s">
        <v>45102</v>
      </c>
    </row>
    <row r="2667" spans="1:24">
      <c r="A2667">
        <f>HYPERLINK("https://www.philgeps.gov.ph/GEPSNONPILOT/Tender/SplashBidNoticeAbstractUI.aspx?menuIndex=3&amp;refID=7042241&amp;Result=3","7042241")</f>
        <v>0</v>
      </c>
      <c r="B2667" t="s">
        <v>1005</v>
      </c>
      <c r="C2667" t="s">
        <v>5745</v>
      </c>
      <c r="D2667" t="s">
        <v>18092</v>
      </c>
      <c r="E2667" t="s">
        <v>20543</v>
      </c>
      <c r="F2667" t="s">
        <v>31574</v>
      </c>
      <c r="G2667" t="s">
        <v>31582</v>
      </c>
      <c r="H2667" t="s">
        <v>31590</v>
      </c>
      <c r="I2667" t="s">
        <v>5717</v>
      </c>
      <c r="J2667" t="s">
        <v>33565</v>
      </c>
      <c r="K2667" t="s">
        <v>41186</v>
      </c>
      <c r="M2667" t="s">
        <v>42544</v>
      </c>
      <c r="N2667" t="s">
        <v>45095</v>
      </c>
      <c r="O2667" t="s">
        <v>45096</v>
      </c>
      <c r="P2667">
        <v>0</v>
      </c>
      <c r="Q2667">
        <v>1</v>
      </c>
      <c r="R2667" t="s">
        <v>45098</v>
      </c>
      <c r="S2667" t="s">
        <v>45223</v>
      </c>
      <c r="T2667" t="s">
        <v>47000</v>
      </c>
      <c r="U2667" t="s">
        <v>49738</v>
      </c>
      <c r="W2667" t="s">
        <v>42544</v>
      </c>
      <c r="X2667" t="s">
        <v>45102</v>
      </c>
    </row>
    <row r="2668" spans="1:24">
      <c r="A2668">
        <f>HYPERLINK("https://www.philgeps.gov.ph/GEPSNONPILOT/Tender/SplashBidNoticeAbstractUI.aspx?menuIndex=3&amp;refID=7042157&amp;Result=3","7042157")</f>
        <v>0</v>
      </c>
      <c r="B2668" t="s">
        <v>979</v>
      </c>
      <c r="C2668" t="s">
        <v>5746</v>
      </c>
      <c r="D2668" t="s">
        <v>18052</v>
      </c>
      <c r="E2668" t="s">
        <v>20544</v>
      </c>
      <c r="F2668" t="s">
        <v>31574</v>
      </c>
      <c r="G2668" t="s">
        <v>31581</v>
      </c>
      <c r="H2668" t="s">
        <v>31590</v>
      </c>
      <c r="I2668" t="s">
        <v>31600</v>
      </c>
      <c r="J2668" t="s">
        <v>32389</v>
      </c>
      <c r="K2668" t="s">
        <v>41206</v>
      </c>
      <c r="M2668" t="s">
        <v>42512</v>
      </c>
      <c r="N2668" t="s">
        <v>45095</v>
      </c>
      <c r="O2668" t="s">
        <v>45096</v>
      </c>
      <c r="P2668">
        <v>0</v>
      </c>
      <c r="Q2668">
        <v>1</v>
      </c>
      <c r="R2668" t="s">
        <v>45098</v>
      </c>
      <c r="S2668" t="s">
        <v>45223</v>
      </c>
      <c r="T2668" t="s">
        <v>47064</v>
      </c>
      <c r="U2668" t="s">
        <v>49739</v>
      </c>
      <c r="V2668" t="s">
        <v>60112</v>
      </c>
      <c r="W2668" t="s">
        <v>42512</v>
      </c>
      <c r="X2668" t="s">
        <v>45102</v>
      </c>
    </row>
    <row r="2669" spans="1:24">
      <c r="A2669">
        <f>HYPERLINK("https://www.philgeps.gov.ph/GEPSNONPILOT/Tender/SplashBidNoticeAbstractUI.aspx?menuIndex=3&amp;refID=7042109&amp;Result=3","7042109")</f>
        <v>0</v>
      </c>
      <c r="B2669" t="s">
        <v>90</v>
      </c>
      <c r="C2669" t="s">
        <v>5747</v>
      </c>
      <c r="D2669" t="s">
        <v>18073</v>
      </c>
      <c r="E2669" t="s">
        <v>20545</v>
      </c>
      <c r="F2669" t="s">
        <v>31574</v>
      </c>
      <c r="G2669" t="s">
        <v>31581</v>
      </c>
      <c r="H2669" t="s">
        <v>31590</v>
      </c>
      <c r="I2669" t="s">
        <v>31656</v>
      </c>
      <c r="J2669" t="s">
        <v>33566</v>
      </c>
      <c r="K2669" t="s">
        <v>41184</v>
      </c>
      <c r="M2669" t="s">
        <v>41574</v>
      </c>
      <c r="N2669" t="s">
        <v>45095</v>
      </c>
      <c r="O2669" t="s">
        <v>45096</v>
      </c>
      <c r="P2669">
        <v>0</v>
      </c>
      <c r="Q2669">
        <v>0</v>
      </c>
      <c r="R2669" t="s">
        <v>45098</v>
      </c>
      <c r="S2669" t="s">
        <v>45223</v>
      </c>
      <c r="T2669" t="s">
        <v>46963</v>
      </c>
      <c r="U2669" t="s">
        <v>49740</v>
      </c>
      <c r="V2669" t="s">
        <v>59883</v>
      </c>
      <c r="W2669" t="s">
        <v>41574</v>
      </c>
      <c r="X2669" t="s">
        <v>45102</v>
      </c>
    </row>
    <row r="2670" spans="1:24">
      <c r="A2670">
        <f>HYPERLINK("https://www.philgeps.gov.ph/GEPSNONPILOT/Tender/SplashBidNoticeAbstractUI.aspx?menuIndex=3&amp;refID=7042357&amp;Result=3","7042357")</f>
        <v>0</v>
      </c>
      <c r="B2670" t="s">
        <v>1006</v>
      </c>
      <c r="C2670" t="s">
        <v>5748</v>
      </c>
      <c r="D2670" t="s">
        <v>18022</v>
      </c>
      <c r="E2670" t="s">
        <v>18722</v>
      </c>
      <c r="F2670" t="s">
        <v>31574</v>
      </c>
      <c r="G2670" t="s">
        <v>31583</v>
      </c>
      <c r="H2670" t="s">
        <v>31590</v>
      </c>
      <c r="I2670" t="s">
        <v>3487</v>
      </c>
      <c r="J2670" t="s">
        <v>31727</v>
      </c>
      <c r="K2670" t="s">
        <v>41213</v>
      </c>
      <c r="M2670" t="s">
        <v>42545</v>
      </c>
      <c r="N2670" t="s">
        <v>45095</v>
      </c>
      <c r="O2670" t="s">
        <v>45096</v>
      </c>
      <c r="P2670">
        <v>0</v>
      </c>
      <c r="Q2670">
        <v>2</v>
      </c>
      <c r="R2670" t="s">
        <v>45098</v>
      </c>
      <c r="S2670" t="s">
        <v>45223</v>
      </c>
      <c r="T2670" t="s">
        <v>47124</v>
      </c>
      <c r="U2670" t="s">
        <v>49741</v>
      </c>
      <c r="W2670" t="s">
        <v>42545</v>
      </c>
      <c r="X2670" t="s">
        <v>45102</v>
      </c>
    </row>
    <row r="2671" spans="1:24">
      <c r="A2671">
        <f>HYPERLINK("https://www.philgeps.gov.ph/GEPSNONPILOT/Tender/SplashBidNoticeAbstractUI.aspx?menuIndex=3&amp;refID=7042220&amp;Result=3","7042220")</f>
        <v>0</v>
      </c>
      <c r="B2671" t="s">
        <v>670</v>
      </c>
      <c r="C2671" t="s">
        <v>5749</v>
      </c>
      <c r="D2671" t="s">
        <v>18022</v>
      </c>
      <c r="E2671" t="s">
        <v>20546</v>
      </c>
      <c r="F2671" t="s">
        <v>31574</v>
      </c>
      <c r="G2671" t="s">
        <v>31582</v>
      </c>
      <c r="H2671" t="s">
        <v>31590</v>
      </c>
      <c r="I2671" t="s">
        <v>7185</v>
      </c>
      <c r="J2671" t="s">
        <v>33567</v>
      </c>
      <c r="K2671" t="s">
        <v>41189</v>
      </c>
      <c r="M2671" t="s">
        <v>42546</v>
      </c>
      <c r="N2671" t="s">
        <v>45095</v>
      </c>
      <c r="O2671" t="s">
        <v>45096</v>
      </c>
      <c r="P2671">
        <v>0</v>
      </c>
      <c r="Q2671">
        <v>9</v>
      </c>
      <c r="R2671" t="s">
        <v>45098</v>
      </c>
      <c r="S2671" t="s">
        <v>45223</v>
      </c>
      <c r="T2671" t="s">
        <v>46919</v>
      </c>
      <c r="U2671" t="s">
        <v>49742</v>
      </c>
      <c r="W2671" t="s">
        <v>42546</v>
      </c>
      <c r="X2671" t="s">
        <v>45102</v>
      </c>
    </row>
    <row r="2672" spans="1:24">
      <c r="A2672">
        <f>HYPERLINK("https://www.philgeps.gov.ph/GEPSNONPILOT/Tender/SplashBidNoticeAbstractUI.aspx?menuIndex=3&amp;refID=7042339&amp;Result=3","7042339")</f>
        <v>0</v>
      </c>
      <c r="B2672" t="s">
        <v>1007</v>
      </c>
      <c r="C2672" t="s">
        <v>4999</v>
      </c>
      <c r="D2672" t="s">
        <v>18027</v>
      </c>
      <c r="E2672" t="s">
        <v>19831</v>
      </c>
      <c r="F2672" t="s">
        <v>31574</v>
      </c>
      <c r="G2672" t="s">
        <v>31582</v>
      </c>
      <c r="H2672" t="s">
        <v>31590</v>
      </c>
      <c r="I2672" t="s">
        <v>3487</v>
      </c>
      <c r="J2672" t="s">
        <v>32000</v>
      </c>
      <c r="K2672" t="s">
        <v>41184</v>
      </c>
      <c r="M2672" t="s">
        <v>42547</v>
      </c>
      <c r="N2672" t="s">
        <v>45095</v>
      </c>
      <c r="O2672" t="s">
        <v>45096</v>
      </c>
      <c r="P2672">
        <v>0</v>
      </c>
      <c r="Q2672">
        <v>0</v>
      </c>
      <c r="R2672" t="s">
        <v>45098</v>
      </c>
      <c r="S2672" t="s">
        <v>45223</v>
      </c>
      <c r="T2672" t="s">
        <v>46975</v>
      </c>
      <c r="U2672" t="s">
        <v>49743</v>
      </c>
      <c r="W2672" t="s">
        <v>42547</v>
      </c>
      <c r="X2672" t="s">
        <v>45102</v>
      </c>
    </row>
    <row r="2673" spans="1:24">
      <c r="A2673">
        <f>HYPERLINK("https://www.philgeps.gov.ph/GEPSNONPILOT/Tender/SplashBidNoticeAbstractUI.aspx?menuIndex=3&amp;refID=7042352&amp;Result=3","7042352")</f>
        <v>0</v>
      </c>
      <c r="B2673" t="s">
        <v>1007</v>
      </c>
      <c r="C2673" t="s">
        <v>5750</v>
      </c>
      <c r="D2673" t="s">
        <v>18027</v>
      </c>
      <c r="E2673" t="s">
        <v>20547</v>
      </c>
      <c r="F2673" t="s">
        <v>31574</v>
      </c>
      <c r="G2673" t="s">
        <v>31582</v>
      </c>
      <c r="H2673" t="s">
        <v>31590</v>
      </c>
      <c r="I2673" t="s">
        <v>3487</v>
      </c>
      <c r="J2673" t="s">
        <v>31960</v>
      </c>
      <c r="K2673" t="s">
        <v>41184</v>
      </c>
      <c r="M2673" t="s">
        <v>42547</v>
      </c>
      <c r="N2673" t="s">
        <v>45095</v>
      </c>
      <c r="O2673" t="s">
        <v>45096</v>
      </c>
      <c r="P2673">
        <v>0</v>
      </c>
      <c r="Q2673">
        <v>0</v>
      </c>
      <c r="R2673" t="s">
        <v>45098</v>
      </c>
      <c r="S2673" t="s">
        <v>45223</v>
      </c>
      <c r="T2673" t="s">
        <v>46975</v>
      </c>
      <c r="U2673" t="s">
        <v>49744</v>
      </c>
      <c r="W2673" t="s">
        <v>42547</v>
      </c>
      <c r="X2673" t="s">
        <v>45102</v>
      </c>
    </row>
    <row r="2674" spans="1:24">
      <c r="A2674">
        <f>HYPERLINK("https://www.philgeps.gov.ph/GEPSNONPILOT/Tender/SplashBidNoticeAbstractUI.aspx?menuIndex=3&amp;refID=7042310&amp;Result=3","7042310")</f>
        <v>0</v>
      </c>
      <c r="B2674" t="s">
        <v>1008</v>
      </c>
      <c r="C2674" t="s">
        <v>5751</v>
      </c>
      <c r="D2674" t="s">
        <v>18028</v>
      </c>
      <c r="E2674" t="s">
        <v>20548</v>
      </c>
      <c r="F2674" t="s">
        <v>31574</v>
      </c>
      <c r="G2674" t="s">
        <v>31584</v>
      </c>
      <c r="H2674" t="s">
        <v>31590</v>
      </c>
      <c r="I2674" t="s">
        <v>3487</v>
      </c>
      <c r="J2674" t="s">
        <v>33568</v>
      </c>
      <c r="K2674" t="s">
        <v>41186</v>
      </c>
      <c r="M2674" t="s">
        <v>42548</v>
      </c>
      <c r="N2674" t="s">
        <v>45095</v>
      </c>
      <c r="O2674" t="s">
        <v>45096</v>
      </c>
      <c r="P2674">
        <v>0</v>
      </c>
      <c r="Q2674">
        <v>2</v>
      </c>
      <c r="R2674" t="s">
        <v>45098</v>
      </c>
      <c r="S2674" t="s">
        <v>45223</v>
      </c>
      <c r="T2674" t="s">
        <v>46905</v>
      </c>
      <c r="U2674" t="s">
        <v>49745</v>
      </c>
      <c r="V2674" t="s">
        <v>60113</v>
      </c>
      <c r="W2674" t="s">
        <v>42548</v>
      </c>
      <c r="X2674" t="s">
        <v>45102</v>
      </c>
    </row>
    <row r="2675" spans="1:24">
      <c r="A2675">
        <f>HYPERLINK("https://www.philgeps.gov.ph/GEPSNONPILOT/Tender/SplashBidNoticeAbstractUI.aspx?menuIndex=3&amp;refID=7042226&amp;Result=3","7042226")</f>
        <v>0</v>
      </c>
      <c r="B2675" t="s">
        <v>1002</v>
      </c>
      <c r="C2675" t="s">
        <v>5752</v>
      </c>
      <c r="D2675" t="s">
        <v>18058</v>
      </c>
      <c r="E2675" t="s">
        <v>20549</v>
      </c>
      <c r="F2675" t="s">
        <v>31574</v>
      </c>
      <c r="G2675" t="s">
        <v>31582</v>
      </c>
      <c r="H2675" t="s">
        <v>31591</v>
      </c>
      <c r="I2675" t="s">
        <v>8822</v>
      </c>
      <c r="J2675" t="s">
        <v>33569</v>
      </c>
      <c r="K2675" t="s">
        <v>41290</v>
      </c>
      <c r="M2675" t="s">
        <v>42539</v>
      </c>
      <c r="N2675" t="s">
        <v>45095</v>
      </c>
      <c r="O2675" t="s">
        <v>45096</v>
      </c>
      <c r="P2675">
        <v>0</v>
      </c>
      <c r="Q2675">
        <v>0</v>
      </c>
      <c r="R2675" t="s">
        <v>45098</v>
      </c>
      <c r="S2675" t="s">
        <v>45223</v>
      </c>
      <c r="T2675" t="s">
        <v>46924</v>
      </c>
      <c r="U2675" t="s">
        <v>49746</v>
      </c>
      <c r="V2675" t="s">
        <v>60109</v>
      </c>
      <c r="W2675" t="s">
        <v>42539</v>
      </c>
      <c r="X2675" t="s">
        <v>45102</v>
      </c>
    </row>
    <row r="2676" spans="1:24">
      <c r="A2676">
        <f>HYPERLINK("https://www.philgeps.gov.ph/GEPSNONPILOT/Tender/SplashBidNoticeAbstractUI.aspx?menuIndex=3&amp;refID=7042233&amp;Result=3","7042233")</f>
        <v>0</v>
      </c>
      <c r="B2676" t="s">
        <v>1009</v>
      </c>
      <c r="C2676" t="s">
        <v>5753</v>
      </c>
      <c r="D2676" t="s">
        <v>18036</v>
      </c>
      <c r="E2676" t="s">
        <v>5753</v>
      </c>
      <c r="F2676" t="s">
        <v>31574</v>
      </c>
      <c r="G2676" t="s">
        <v>31581</v>
      </c>
      <c r="H2676" t="s">
        <v>31590</v>
      </c>
      <c r="I2676" t="s">
        <v>5717</v>
      </c>
      <c r="J2676" t="s">
        <v>33570</v>
      </c>
      <c r="K2676" t="s">
        <v>41193</v>
      </c>
      <c r="M2676" t="s">
        <v>42549</v>
      </c>
      <c r="N2676" t="s">
        <v>45095</v>
      </c>
      <c r="O2676" t="s">
        <v>45096</v>
      </c>
      <c r="P2676">
        <v>0</v>
      </c>
      <c r="Q2676">
        <v>2</v>
      </c>
      <c r="R2676" t="s">
        <v>45098</v>
      </c>
      <c r="S2676" t="s">
        <v>45223</v>
      </c>
      <c r="T2676" t="s">
        <v>46935</v>
      </c>
      <c r="U2676" t="s">
        <v>49747</v>
      </c>
      <c r="W2676" t="s">
        <v>42549</v>
      </c>
      <c r="X2676" t="s">
        <v>45102</v>
      </c>
    </row>
    <row r="2677" spans="1:24">
      <c r="A2677">
        <f>HYPERLINK("https://www.philgeps.gov.ph/GEPSNONPILOT/Tender/SplashBidNoticeAbstractUI.aspx?menuIndex=3&amp;refID=7042295&amp;Result=3","7042295")</f>
        <v>0</v>
      </c>
      <c r="B2677" t="s">
        <v>1010</v>
      </c>
      <c r="C2677" t="s">
        <v>5754</v>
      </c>
      <c r="E2677" t="s">
        <v>20550</v>
      </c>
      <c r="F2677" t="s">
        <v>31574</v>
      </c>
      <c r="G2677" t="s">
        <v>31582</v>
      </c>
      <c r="H2677" t="s">
        <v>31591</v>
      </c>
      <c r="I2677" t="s">
        <v>8822</v>
      </c>
      <c r="J2677" t="s">
        <v>31843</v>
      </c>
      <c r="K2677" t="s">
        <v>41189</v>
      </c>
      <c r="M2677" t="s">
        <v>42550</v>
      </c>
      <c r="N2677" t="s">
        <v>45095</v>
      </c>
      <c r="O2677" t="s">
        <v>45096</v>
      </c>
      <c r="P2677">
        <v>0</v>
      </c>
      <c r="Q2677">
        <v>0</v>
      </c>
      <c r="R2677" t="s">
        <v>45098</v>
      </c>
      <c r="S2677" t="s">
        <v>45223</v>
      </c>
      <c r="T2677" t="s">
        <v>46979</v>
      </c>
      <c r="U2677" t="s">
        <v>49748</v>
      </c>
      <c r="W2677" t="s">
        <v>42550</v>
      </c>
      <c r="X2677" t="s">
        <v>45102</v>
      </c>
    </row>
    <row r="2678" spans="1:24">
      <c r="A2678">
        <f>HYPERLINK("https://www.philgeps.gov.ph/GEPSNONPILOT/Tender/SplashBidNoticeAbstractUI.aspx?menuIndex=3&amp;refID=7042385&amp;Result=3","7042385")</f>
        <v>0</v>
      </c>
      <c r="B2678" t="s">
        <v>1008</v>
      </c>
      <c r="C2678" t="s">
        <v>5755</v>
      </c>
      <c r="D2678" t="s">
        <v>18102</v>
      </c>
      <c r="E2678" t="s">
        <v>20551</v>
      </c>
      <c r="F2678" t="s">
        <v>31574</v>
      </c>
      <c r="G2678" t="s">
        <v>31584</v>
      </c>
      <c r="H2678" t="s">
        <v>31590</v>
      </c>
      <c r="I2678" t="s">
        <v>3487</v>
      </c>
      <c r="J2678" t="s">
        <v>33571</v>
      </c>
      <c r="K2678" t="s">
        <v>41186</v>
      </c>
      <c r="M2678" t="s">
        <v>42548</v>
      </c>
      <c r="N2678" t="s">
        <v>45095</v>
      </c>
      <c r="O2678" t="s">
        <v>45096</v>
      </c>
      <c r="P2678">
        <v>0</v>
      </c>
      <c r="Q2678">
        <v>1</v>
      </c>
      <c r="R2678" t="s">
        <v>45098</v>
      </c>
      <c r="S2678" t="s">
        <v>45223</v>
      </c>
      <c r="T2678" t="s">
        <v>46905</v>
      </c>
      <c r="U2678" t="s">
        <v>49749</v>
      </c>
      <c r="V2678" t="s">
        <v>60114</v>
      </c>
      <c r="W2678" t="s">
        <v>42548</v>
      </c>
      <c r="X2678" t="s">
        <v>45102</v>
      </c>
    </row>
    <row r="2679" spans="1:24">
      <c r="A2679">
        <f>HYPERLINK("https://www.philgeps.gov.ph/GEPSNONPILOT/Tender/SplashBidNoticeAbstractUI.aspx?menuIndex=3&amp;refID=7042325&amp;Result=3","7042325")</f>
        <v>0</v>
      </c>
      <c r="B2679" t="s">
        <v>1011</v>
      </c>
      <c r="C2679" t="s">
        <v>5756</v>
      </c>
      <c r="D2679" t="s">
        <v>18027</v>
      </c>
      <c r="E2679" t="s">
        <v>19831</v>
      </c>
      <c r="F2679" t="s">
        <v>31574</v>
      </c>
      <c r="G2679" t="s">
        <v>31582</v>
      </c>
      <c r="H2679" t="s">
        <v>31590</v>
      </c>
      <c r="I2679" t="s">
        <v>3487</v>
      </c>
      <c r="J2679" t="s">
        <v>33572</v>
      </c>
      <c r="K2679" t="s">
        <v>41184</v>
      </c>
      <c r="M2679" t="s">
        <v>42551</v>
      </c>
      <c r="N2679" t="s">
        <v>45095</v>
      </c>
      <c r="O2679" t="s">
        <v>45096</v>
      </c>
      <c r="P2679">
        <v>0</v>
      </c>
      <c r="Q2679">
        <v>0</v>
      </c>
      <c r="R2679" t="s">
        <v>45098</v>
      </c>
      <c r="S2679" t="s">
        <v>45223</v>
      </c>
      <c r="T2679" t="s">
        <v>46910</v>
      </c>
      <c r="U2679" t="s">
        <v>49750</v>
      </c>
      <c r="W2679" t="s">
        <v>42551</v>
      </c>
      <c r="X2679" t="s">
        <v>45102</v>
      </c>
    </row>
    <row r="2680" spans="1:24">
      <c r="A2680">
        <f>HYPERLINK("https://www.philgeps.gov.ph/GEPSNONPILOT/Tender/SplashBidNoticeAbstractUI.aspx?menuIndex=3&amp;refID=7042426&amp;Result=3","7042426")</f>
        <v>0</v>
      </c>
      <c r="B2680" t="s">
        <v>1012</v>
      </c>
      <c r="C2680" t="s">
        <v>5757</v>
      </c>
      <c r="D2680" t="s">
        <v>18024</v>
      </c>
      <c r="E2680" t="s">
        <v>20552</v>
      </c>
      <c r="F2680" t="s">
        <v>31574</v>
      </c>
      <c r="G2680" t="s">
        <v>31582</v>
      </c>
      <c r="H2680" t="s">
        <v>31590</v>
      </c>
      <c r="I2680" t="s">
        <v>7185</v>
      </c>
      <c r="J2680" t="s">
        <v>33573</v>
      </c>
      <c r="K2680" t="s">
        <v>41191</v>
      </c>
      <c r="M2680" t="s">
        <v>42552</v>
      </c>
      <c r="N2680" t="s">
        <v>45095</v>
      </c>
      <c r="O2680" t="s">
        <v>45096</v>
      </c>
      <c r="P2680">
        <v>0</v>
      </c>
      <c r="Q2680">
        <v>2</v>
      </c>
      <c r="R2680" t="s">
        <v>45098</v>
      </c>
      <c r="S2680" t="s">
        <v>45223</v>
      </c>
      <c r="T2680" t="s">
        <v>46955</v>
      </c>
      <c r="U2680" t="s">
        <v>49751</v>
      </c>
      <c r="W2680" t="s">
        <v>42552</v>
      </c>
      <c r="X2680" t="s">
        <v>45102</v>
      </c>
    </row>
    <row r="2681" spans="1:24">
      <c r="A2681">
        <f>HYPERLINK("https://www.philgeps.gov.ph/GEPSNONPILOT/Tender/SplashBidNoticeAbstractUI.aspx?menuIndex=3&amp;refID=7042394&amp;Result=3","7042394")</f>
        <v>0</v>
      </c>
      <c r="B2681" t="s">
        <v>1013</v>
      </c>
      <c r="C2681" t="s">
        <v>5758</v>
      </c>
      <c r="D2681" t="s">
        <v>18070</v>
      </c>
      <c r="E2681" t="s">
        <v>20553</v>
      </c>
      <c r="F2681" t="s">
        <v>31574</v>
      </c>
      <c r="G2681" t="s">
        <v>31582</v>
      </c>
      <c r="H2681" t="s">
        <v>31591</v>
      </c>
      <c r="I2681" t="s">
        <v>8822</v>
      </c>
      <c r="J2681" t="s">
        <v>33574</v>
      </c>
      <c r="K2681" t="s">
        <v>41200</v>
      </c>
      <c r="M2681" t="s">
        <v>42553</v>
      </c>
      <c r="N2681" t="s">
        <v>45095</v>
      </c>
      <c r="O2681" t="s">
        <v>45096</v>
      </c>
      <c r="P2681">
        <v>0</v>
      </c>
      <c r="Q2681">
        <v>0</v>
      </c>
      <c r="R2681" t="s">
        <v>45098</v>
      </c>
      <c r="S2681" t="s">
        <v>45223</v>
      </c>
      <c r="T2681" t="s">
        <v>46987</v>
      </c>
      <c r="U2681" t="s">
        <v>49752</v>
      </c>
      <c r="W2681" t="s">
        <v>42553</v>
      </c>
      <c r="X2681" t="s">
        <v>45102</v>
      </c>
    </row>
    <row r="2682" spans="1:24">
      <c r="A2682">
        <f>HYPERLINK("https://www.philgeps.gov.ph/GEPSNONPILOT/Tender/SplashBidNoticeAbstractUI.aspx?menuIndex=3&amp;refID=7042329&amp;Result=3","7042329")</f>
        <v>0</v>
      </c>
      <c r="B2682" t="s">
        <v>332</v>
      </c>
      <c r="C2682" t="s">
        <v>5759</v>
      </c>
      <c r="D2682" t="s">
        <v>18040</v>
      </c>
      <c r="E2682" t="s">
        <v>18626</v>
      </c>
      <c r="F2682" t="s">
        <v>31574</v>
      </c>
      <c r="G2682" t="s">
        <v>31583</v>
      </c>
      <c r="H2682" t="s">
        <v>31590</v>
      </c>
      <c r="I2682" t="s">
        <v>31630</v>
      </c>
      <c r="J2682" t="s">
        <v>33575</v>
      </c>
      <c r="K2682" t="s">
        <v>41184</v>
      </c>
      <c r="M2682" t="s">
        <v>41820</v>
      </c>
      <c r="N2682" t="s">
        <v>45095</v>
      </c>
      <c r="O2682" t="s">
        <v>45096</v>
      </c>
      <c r="P2682">
        <v>0</v>
      </c>
      <c r="Q2682">
        <v>0</v>
      </c>
      <c r="R2682" t="s">
        <v>45098</v>
      </c>
      <c r="S2682" t="s">
        <v>45223</v>
      </c>
      <c r="T2682" t="s">
        <v>46973</v>
      </c>
      <c r="U2682" t="s">
        <v>49753</v>
      </c>
      <c r="W2682" t="s">
        <v>41820</v>
      </c>
      <c r="X2682" t="s">
        <v>45102</v>
      </c>
    </row>
    <row r="2683" spans="1:24">
      <c r="A2683">
        <f>HYPERLINK("https://www.philgeps.gov.ph/GEPSNONPILOT/Tender/SplashBidNoticeAbstractUI.aspx?menuIndex=3&amp;refID=7042422&amp;Result=3","7042422")</f>
        <v>0</v>
      </c>
      <c r="B2683" t="s">
        <v>560</v>
      </c>
      <c r="C2683" t="s">
        <v>5760</v>
      </c>
      <c r="D2683" t="s">
        <v>18056</v>
      </c>
      <c r="E2683" t="s">
        <v>20554</v>
      </c>
      <c r="F2683" t="s">
        <v>31574</v>
      </c>
      <c r="G2683" t="s">
        <v>31582</v>
      </c>
      <c r="H2683" t="s">
        <v>31591</v>
      </c>
      <c r="I2683" t="s">
        <v>8822</v>
      </c>
      <c r="J2683" t="s">
        <v>32497</v>
      </c>
      <c r="K2683" t="s">
        <v>41186</v>
      </c>
      <c r="M2683" t="s">
        <v>42059</v>
      </c>
      <c r="N2683" t="s">
        <v>45095</v>
      </c>
      <c r="O2683" t="s">
        <v>45096</v>
      </c>
      <c r="P2683">
        <v>0</v>
      </c>
      <c r="Q2683">
        <v>0</v>
      </c>
      <c r="R2683" t="s">
        <v>45098</v>
      </c>
      <c r="S2683" t="s">
        <v>45223</v>
      </c>
      <c r="T2683" t="s">
        <v>46979</v>
      </c>
      <c r="U2683" t="s">
        <v>49754</v>
      </c>
      <c r="W2683" t="s">
        <v>42059</v>
      </c>
      <c r="X2683" t="s">
        <v>45102</v>
      </c>
    </row>
    <row r="2684" spans="1:24">
      <c r="A2684">
        <f>HYPERLINK("https://www.philgeps.gov.ph/GEPSNONPILOT/Tender/SplashBidNoticeAbstractUI.aspx?menuIndex=3&amp;refID=7042425&amp;Result=3","7042425")</f>
        <v>0</v>
      </c>
      <c r="B2684" t="s">
        <v>131</v>
      </c>
      <c r="C2684" t="s">
        <v>5761</v>
      </c>
      <c r="D2684" t="s">
        <v>18022</v>
      </c>
      <c r="E2684" t="s">
        <v>20555</v>
      </c>
      <c r="F2684" t="s">
        <v>31574</v>
      </c>
      <c r="G2684" t="s">
        <v>31581</v>
      </c>
      <c r="H2684" t="s">
        <v>31590</v>
      </c>
      <c r="I2684" t="s">
        <v>8258</v>
      </c>
      <c r="J2684" t="s">
        <v>33576</v>
      </c>
      <c r="K2684" t="s">
        <v>41186</v>
      </c>
      <c r="M2684" t="s">
        <v>42554</v>
      </c>
      <c r="N2684" t="s">
        <v>45095</v>
      </c>
      <c r="O2684" t="s">
        <v>45096</v>
      </c>
      <c r="P2684">
        <v>0</v>
      </c>
      <c r="Q2684">
        <v>4</v>
      </c>
      <c r="R2684" t="s">
        <v>45098</v>
      </c>
      <c r="S2684" t="s">
        <v>45223</v>
      </c>
      <c r="T2684" t="s">
        <v>46936</v>
      </c>
      <c r="U2684" t="s">
        <v>49755</v>
      </c>
      <c r="W2684" t="s">
        <v>42554</v>
      </c>
      <c r="X2684" t="s">
        <v>45102</v>
      </c>
    </row>
    <row r="2685" spans="1:24">
      <c r="A2685">
        <f>HYPERLINK("https://www.philgeps.gov.ph/GEPSNONPILOT/Tender/SplashBidNoticeAbstractUI.aspx?menuIndex=3&amp;refID=7042312&amp;Result=3","7042312")</f>
        <v>0</v>
      </c>
      <c r="B2685" t="s">
        <v>1014</v>
      </c>
      <c r="C2685" t="s">
        <v>5762</v>
      </c>
      <c r="D2685" t="s">
        <v>18059</v>
      </c>
      <c r="E2685" t="s">
        <v>20556</v>
      </c>
      <c r="F2685" t="s">
        <v>31574</v>
      </c>
      <c r="G2685" t="s">
        <v>31582</v>
      </c>
      <c r="H2685" t="s">
        <v>31590</v>
      </c>
      <c r="I2685" t="s">
        <v>31595</v>
      </c>
      <c r="J2685" t="s">
        <v>33577</v>
      </c>
      <c r="K2685" t="s">
        <v>41186</v>
      </c>
      <c r="M2685" t="s">
        <v>42555</v>
      </c>
      <c r="N2685" t="s">
        <v>45095</v>
      </c>
      <c r="O2685" t="s">
        <v>45096</v>
      </c>
      <c r="P2685">
        <v>0</v>
      </c>
      <c r="Q2685">
        <v>3</v>
      </c>
      <c r="R2685" t="s">
        <v>45098</v>
      </c>
      <c r="S2685" t="s">
        <v>45223</v>
      </c>
      <c r="T2685" t="s">
        <v>46916</v>
      </c>
      <c r="U2685" t="s">
        <v>49756</v>
      </c>
      <c r="W2685" t="s">
        <v>42555</v>
      </c>
      <c r="X2685" t="s">
        <v>45102</v>
      </c>
    </row>
    <row r="2686" spans="1:24">
      <c r="A2686">
        <f>HYPERLINK("https://www.philgeps.gov.ph/GEPSNONPILOT/Tender/SplashBidNoticeAbstractUI.aspx?menuIndex=3&amp;refID=7042509&amp;Result=3","7042509")</f>
        <v>0</v>
      </c>
      <c r="B2686" t="s">
        <v>1012</v>
      </c>
      <c r="C2686" t="s">
        <v>5763</v>
      </c>
      <c r="D2686" t="s">
        <v>18024</v>
      </c>
      <c r="E2686" t="s">
        <v>20557</v>
      </c>
      <c r="F2686" t="s">
        <v>31574</v>
      </c>
      <c r="G2686" t="s">
        <v>31582</v>
      </c>
      <c r="H2686" t="s">
        <v>31590</v>
      </c>
      <c r="I2686" t="s">
        <v>31595</v>
      </c>
      <c r="J2686" t="s">
        <v>31816</v>
      </c>
      <c r="K2686" t="s">
        <v>41186</v>
      </c>
      <c r="M2686" t="s">
        <v>42552</v>
      </c>
      <c r="N2686" t="s">
        <v>45095</v>
      </c>
      <c r="O2686" t="s">
        <v>45096</v>
      </c>
      <c r="P2686">
        <v>0</v>
      </c>
      <c r="Q2686">
        <v>2</v>
      </c>
      <c r="R2686" t="s">
        <v>45098</v>
      </c>
      <c r="S2686" t="s">
        <v>45223</v>
      </c>
      <c r="T2686" t="s">
        <v>46955</v>
      </c>
      <c r="U2686" t="s">
        <v>49757</v>
      </c>
      <c r="W2686" t="s">
        <v>42552</v>
      </c>
      <c r="X2686" t="s">
        <v>45102</v>
      </c>
    </row>
    <row r="2687" spans="1:24">
      <c r="A2687">
        <f>HYPERLINK("https://www.philgeps.gov.ph/GEPSNONPILOT/Tender/SplashBidNoticeAbstractUI.aspx?menuIndex=3&amp;refID=7042495&amp;Result=3","7042495")</f>
        <v>0</v>
      </c>
      <c r="B2687" t="s">
        <v>1012</v>
      </c>
      <c r="C2687" t="s">
        <v>5764</v>
      </c>
      <c r="D2687" t="s">
        <v>18024</v>
      </c>
      <c r="E2687" t="s">
        <v>20558</v>
      </c>
      <c r="F2687" t="s">
        <v>31574</v>
      </c>
      <c r="G2687" t="s">
        <v>31582</v>
      </c>
      <c r="H2687" t="s">
        <v>31590</v>
      </c>
      <c r="I2687" t="s">
        <v>31615</v>
      </c>
      <c r="J2687" t="s">
        <v>32290</v>
      </c>
      <c r="K2687" t="s">
        <v>41186</v>
      </c>
      <c r="M2687" t="s">
        <v>42552</v>
      </c>
      <c r="N2687" t="s">
        <v>45095</v>
      </c>
      <c r="O2687" t="s">
        <v>45096</v>
      </c>
      <c r="P2687">
        <v>0</v>
      </c>
      <c r="Q2687">
        <v>1</v>
      </c>
      <c r="R2687" t="s">
        <v>45098</v>
      </c>
      <c r="S2687" t="s">
        <v>45223</v>
      </c>
      <c r="T2687" t="s">
        <v>46955</v>
      </c>
      <c r="U2687" t="s">
        <v>49758</v>
      </c>
      <c r="W2687" t="s">
        <v>42552</v>
      </c>
      <c r="X2687" t="s">
        <v>45102</v>
      </c>
    </row>
    <row r="2688" spans="1:24">
      <c r="A2688">
        <f>HYPERLINK("https://www.philgeps.gov.ph/GEPSNONPILOT/Tender/SplashBidNoticeAbstractUI.aspx?menuIndex=3&amp;refID=7042481&amp;Result=3","7042481")</f>
        <v>0</v>
      </c>
      <c r="B2688" t="s">
        <v>560</v>
      </c>
      <c r="C2688" t="s">
        <v>5765</v>
      </c>
      <c r="D2688" t="s">
        <v>18056</v>
      </c>
      <c r="E2688" t="s">
        <v>20559</v>
      </c>
      <c r="F2688" t="s">
        <v>31574</v>
      </c>
      <c r="G2688" t="s">
        <v>31582</v>
      </c>
      <c r="H2688" t="s">
        <v>31591</v>
      </c>
      <c r="I2688" t="s">
        <v>8822</v>
      </c>
      <c r="J2688" t="s">
        <v>32497</v>
      </c>
      <c r="K2688" t="s">
        <v>41186</v>
      </c>
      <c r="M2688" t="s">
        <v>42059</v>
      </c>
      <c r="N2688" t="s">
        <v>45095</v>
      </c>
      <c r="O2688" t="s">
        <v>45096</v>
      </c>
      <c r="P2688">
        <v>0</v>
      </c>
      <c r="Q2688">
        <v>0</v>
      </c>
      <c r="R2688" t="s">
        <v>45098</v>
      </c>
      <c r="S2688" t="s">
        <v>45223</v>
      </c>
      <c r="T2688" t="s">
        <v>46979</v>
      </c>
      <c r="U2688" t="s">
        <v>49759</v>
      </c>
      <c r="W2688" t="s">
        <v>42059</v>
      </c>
      <c r="X2688" t="s">
        <v>45102</v>
      </c>
    </row>
    <row r="2689" spans="1:24">
      <c r="A2689">
        <f>HYPERLINK("https://www.philgeps.gov.ph/GEPSNONPILOT/Tender/SplashBidNoticeAbstractUI.aspx?menuIndex=3&amp;refID=7042470&amp;Result=3","7042470")</f>
        <v>0</v>
      </c>
      <c r="B2689" t="s">
        <v>1015</v>
      </c>
      <c r="C2689" t="s">
        <v>5766</v>
      </c>
      <c r="D2689" t="s">
        <v>18079</v>
      </c>
      <c r="E2689" t="s">
        <v>18227</v>
      </c>
      <c r="F2689" t="s">
        <v>31574</v>
      </c>
      <c r="G2689" t="s">
        <v>31582</v>
      </c>
      <c r="H2689" t="s">
        <v>31591</v>
      </c>
      <c r="I2689" t="s">
        <v>31632</v>
      </c>
      <c r="J2689" t="s">
        <v>31935</v>
      </c>
      <c r="K2689" t="s">
        <v>41186</v>
      </c>
      <c r="M2689" t="s">
        <v>42556</v>
      </c>
      <c r="N2689" t="s">
        <v>45095</v>
      </c>
      <c r="O2689" t="s">
        <v>45096</v>
      </c>
      <c r="P2689">
        <v>0</v>
      </c>
      <c r="Q2689">
        <v>1</v>
      </c>
      <c r="R2689" t="s">
        <v>45098</v>
      </c>
      <c r="S2689" t="s">
        <v>45223</v>
      </c>
      <c r="T2689" t="s">
        <v>46932</v>
      </c>
      <c r="U2689" t="s">
        <v>49760</v>
      </c>
      <c r="W2689" t="s">
        <v>42556</v>
      </c>
      <c r="X2689" t="s">
        <v>45102</v>
      </c>
    </row>
    <row r="2690" spans="1:24">
      <c r="A2690">
        <f>HYPERLINK("https://www.philgeps.gov.ph/GEPSNONPILOT/Tender/SplashBidNoticeAbstractUI.aspx?menuIndex=3&amp;refID=7042478&amp;Result=3","7042478")</f>
        <v>0</v>
      </c>
      <c r="B2690" t="s">
        <v>1012</v>
      </c>
      <c r="C2690" t="s">
        <v>5767</v>
      </c>
      <c r="D2690" t="s">
        <v>18024</v>
      </c>
      <c r="E2690" t="s">
        <v>20560</v>
      </c>
      <c r="F2690" t="s">
        <v>31574</v>
      </c>
      <c r="G2690" t="s">
        <v>31582</v>
      </c>
      <c r="H2690" t="s">
        <v>31590</v>
      </c>
      <c r="I2690" t="s">
        <v>3487</v>
      </c>
      <c r="J2690" t="s">
        <v>33578</v>
      </c>
      <c r="K2690" t="s">
        <v>41196</v>
      </c>
      <c r="M2690" t="s">
        <v>42552</v>
      </c>
      <c r="N2690" t="s">
        <v>45095</v>
      </c>
      <c r="O2690" t="s">
        <v>45096</v>
      </c>
      <c r="P2690">
        <v>0</v>
      </c>
      <c r="Q2690">
        <v>0</v>
      </c>
      <c r="R2690" t="s">
        <v>45098</v>
      </c>
      <c r="S2690" t="s">
        <v>45223</v>
      </c>
      <c r="T2690" t="s">
        <v>46955</v>
      </c>
      <c r="U2690" t="s">
        <v>49761</v>
      </c>
      <c r="W2690" t="s">
        <v>42552</v>
      </c>
      <c r="X2690" t="s">
        <v>45102</v>
      </c>
    </row>
    <row r="2691" spans="1:24">
      <c r="A2691">
        <f>HYPERLINK("https://www.philgeps.gov.ph/GEPSNONPILOT/Tender/SplashBidNoticeAbstractUI.aspx?menuIndex=3&amp;refID=7042467&amp;Result=3","7042467")</f>
        <v>0</v>
      </c>
      <c r="B2691" t="s">
        <v>1008</v>
      </c>
      <c r="C2691" t="s">
        <v>5768</v>
      </c>
      <c r="D2691" t="s">
        <v>18102</v>
      </c>
      <c r="E2691" t="s">
        <v>20561</v>
      </c>
      <c r="F2691" t="s">
        <v>31574</v>
      </c>
      <c r="G2691" t="s">
        <v>31581</v>
      </c>
      <c r="H2691" t="s">
        <v>31590</v>
      </c>
      <c r="I2691" t="s">
        <v>31623</v>
      </c>
      <c r="J2691" t="s">
        <v>31960</v>
      </c>
      <c r="K2691" t="s">
        <v>41186</v>
      </c>
      <c r="M2691" t="s">
        <v>42548</v>
      </c>
      <c r="N2691" t="s">
        <v>45095</v>
      </c>
      <c r="O2691" t="s">
        <v>45096</v>
      </c>
      <c r="P2691">
        <v>0</v>
      </c>
      <c r="Q2691">
        <v>1</v>
      </c>
      <c r="R2691" t="s">
        <v>45098</v>
      </c>
      <c r="S2691" t="s">
        <v>45223</v>
      </c>
      <c r="T2691" t="s">
        <v>46905</v>
      </c>
      <c r="U2691" t="s">
        <v>49762</v>
      </c>
      <c r="V2691" t="s">
        <v>60115</v>
      </c>
      <c r="W2691" t="s">
        <v>42548</v>
      </c>
      <c r="X2691" t="s">
        <v>45102</v>
      </c>
    </row>
    <row r="2692" spans="1:24">
      <c r="A2692">
        <f>HYPERLINK("https://www.philgeps.gov.ph/GEPSNONPILOT/Tender/SplashBidNoticeAbstractUI.aspx?menuIndex=3&amp;refID=7042419&amp;Result=3","7042419")</f>
        <v>0</v>
      </c>
      <c r="B2692" t="s">
        <v>1008</v>
      </c>
      <c r="C2692" t="s">
        <v>5769</v>
      </c>
      <c r="D2692" t="s">
        <v>18102</v>
      </c>
      <c r="E2692" t="s">
        <v>20562</v>
      </c>
      <c r="F2692" t="s">
        <v>31574</v>
      </c>
      <c r="G2692" t="s">
        <v>31584</v>
      </c>
      <c r="H2692" t="s">
        <v>31590</v>
      </c>
      <c r="I2692" t="s">
        <v>3487</v>
      </c>
      <c r="J2692" t="s">
        <v>33579</v>
      </c>
      <c r="K2692" t="s">
        <v>41186</v>
      </c>
      <c r="M2692" t="s">
        <v>42548</v>
      </c>
      <c r="N2692" t="s">
        <v>45095</v>
      </c>
      <c r="O2692" t="s">
        <v>45096</v>
      </c>
      <c r="P2692">
        <v>0</v>
      </c>
      <c r="Q2692">
        <v>3</v>
      </c>
      <c r="R2692" t="s">
        <v>45098</v>
      </c>
      <c r="S2692" t="s">
        <v>45223</v>
      </c>
      <c r="T2692" t="s">
        <v>46905</v>
      </c>
      <c r="U2692" t="s">
        <v>49763</v>
      </c>
      <c r="V2692" t="s">
        <v>60116</v>
      </c>
      <c r="W2692" t="s">
        <v>42548</v>
      </c>
      <c r="X2692" t="s">
        <v>45102</v>
      </c>
    </row>
    <row r="2693" spans="1:24">
      <c r="A2693">
        <f>HYPERLINK("https://www.philgeps.gov.ph/GEPSNONPILOT/Tender/SplashBidNoticeAbstractUI.aspx?menuIndex=3&amp;refID=7042454&amp;Result=3","7042454")</f>
        <v>0</v>
      </c>
      <c r="B2693" t="s">
        <v>1016</v>
      </c>
      <c r="C2693" t="s">
        <v>5770</v>
      </c>
      <c r="D2693" t="s">
        <v>18022</v>
      </c>
      <c r="E2693" t="s">
        <v>20563</v>
      </c>
      <c r="F2693" t="s">
        <v>31574</v>
      </c>
      <c r="G2693" t="s">
        <v>31583</v>
      </c>
      <c r="H2693" t="s">
        <v>31590</v>
      </c>
      <c r="I2693" t="s">
        <v>3487</v>
      </c>
      <c r="J2693" t="s">
        <v>33580</v>
      </c>
      <c r="K2693" t="s">
        <v>41193</v>
      </c>
      <c r="M2693" t="s">
        <v>42557</v>
      </c>
      <c r="N2693" t="s">
        <v>45095</v>
      </c>
      <c r="O2693" t="s">
        <v>45096</v>
      </c>
      <c r="P2693">
        <v>0</v>
      </c>
      <c r="Q2693">
        <v>1</v>
      </c>
      <c r="R2693" t="s">
        <v>45098</v>
      </c>
      <c r="S2693" t="s">
        <v>45223</v>
      </c>
      <c r="T2693" t="s">
        <v>46935</v>
      </c>
      <c r="U2693" t="s">
        <v>49764</v>
      </c>
      <c r="W2693" t="s">
        <v>42557</v>
      </c>
      <c r="X2693" t="s">
        <v>45102</v>
      </c>
    </row>
    <row r="2694" spans="1:24">
      <c r="A2694">
        <f>HYPERLINK("https://www.philgeps.gov.ph/GEPSNONPILOT/Tender/SplashBidNoticeAbstractUI.aspx?menuIndex=3&amp;refID=7042485&amp;Result=3","7042485")</f>
        <v>0</v>
      </c>
      <c r="B2694" t="s">
        <v>1015</v>
      </c>
      <c r="C2694" t="s">
        <v>5771</v>
      </c>
      <c r="D2694" t="s">
        <v>18079</v>
      </c>
      <c r="E2694" t="s">
        <v>18377</v>
      </c>
      <c r="F2694" t="s">
        <v>31574</v>
      </c>
      <c r="G2694" t="s">
        <v>31582</v>
      </c>
      <c r="H2694" t="s">
        <v>31591</v>
      </c>
      <c r="I2694" t="s">
        <v>31632</v>
      </c>
      <c r="J2694" t="s">
        <v>32550</v>
      </c>
      <c r="K2694" t="s">
        <v>41186</v>
      </c>
      <c r="M2694" t="s">
        <v>42556</v>
      </c>
      <c r="N2694" t="s">
        <v>45095</v>
      </c>
      <c r="O2694" t="s">
        <v>45096</v>
      </c>
      <c r="P2694">
        <v>0</v>
      </c>
      <c r="Q2694">
        <v>0</v>
      </c>
      <c r="R2694" t="s">
        <v>45098</v>
      </c>
      <c r="S2694" t="s">
        <v>45223</v>
      </c>
      <c r="T2694" t="s">
        <v>46908</v>
      </c>
      <c r="U2694" t="s">
        <v>49760</v>
      </c>
      <c r="W2694" t="s">
        <v>42556</v>
      </c>
      <c r="X2694" t="s">
        <v>45102</v>
      </c>
    </row>
    <row r="2695" spans="1:24">
      <c r="A2695">
        <f>HYPERLINK("https://www.philgeps.gov.ph/GEPSNONPILOT/Tender/SplashBidNoticeAbstractUI.aspx?menuIndex=3&amp;refID=7042397&amp;Result=3","7042397")</f>
        <v>0</v>
      </c>
      <c r="B2695" t="s">
        <v>1012</v>
      </c>
      <c r="C2695" t="s">
        <v>5772</v>
      </c>
      <c r="D2695" t="s">
        <v>18024</v>
      </c>
      <c r="E2695" t="s">
        <v>20564</v>
      </c>
      <c r="F2695" t="s">
        <v>31574</v>
      </c>
      <c r="G2695" t="s">
        <v>31582</v>
      </c>
      <c r="H2695" t="s">
        <v>31590</v>
      </c>
      <c r="I2695" t="s">
        <v>31656</v>
      </c>
      <c r="J2695" t="s">
        <v>33581</v>
      </c>
      <c r="K2695" t="s">
        <v>41196</v>
      </c>
      <c r="M2695" t="s">
        <v>42552</v>
      </c>
      <c r="N2695" t="s">
        <v>45095</v>
      </c>
      <c r="O2695" t="s">
        <v>45096</v>
      </c>
      <c r="P2695">
        <v>0</v>
      </c>
      <c r="Q2695">
        <v>0</v>
      </c>
      <c r="R2695" t="s">
        <v>45098</v>
      </c>
      <c r="S2695" t="s">
        <v>45223</v>
      </c>
      <c r="T2695" t="s">
        <v>46955</v>
      </c>
      <c r="U2695" t="s">
        <v>49765</v>
      </c>
      <c r="W2695" t="s">
        <v>42552</v>
      </c>
      <c r="X2695" t="s">
        <v>45102</v>
      </c>
    </row>
    <row r="2696" spans="1:24">
      <c r="A2696">
        <f>HYPERLINK("https://www.philgeps.gov.ph/GEPSNONPILOT/Tender/SplashBidNoticeAbstractUI.aspx?menuIndex=3&amp;refID=7042396&amp;Result=3","7042396")</f>
        <v>0</v>
      </c>
      <c r="B2696" t="s">
        <v>1017</v>
      </c>
      <c r="C2696" t="s">
        <v>5773</v>
      </c>
      <c r="D2696" t="s">
        <v>18022</v>
      </c>
      <c r="E2696" t="s">
        <v>20565</v>
      </c>
      <c r="F2696" t="s">
        <v>31574</v>
      </c>
      <c r="G2696" t="s">
        <v>31582</v>
      </c>
      <c r="H2696" t="s">
        <v>31590</v>
      </c>
      <c r="I2696" t="s">
        <v>4046</v>
      </c>
      <c r="J2696" t="s">
        <v>33582</v>
      </c>
      <c r="K2696" t="s">
        <v>41186</v>
      </c>
      <c r="M2696" t="s">
        <v>42558</v>
      </c>
      <c r="N2696" t="s">
        <v>45095</v>
      </c>
      <c r="O2696" t="s">
        <v>45096</v>
      </c>
      <c r="P2696">
        <v>0</v>
      </c>
      <c r="Q2696">
        <v>0</v>
      </c>
      <c r="R2696" t="s">
        <v>45098</v>
      </c>
      <c r="S2696" t="s">
        <v>45223</v>
      </c>
      <c r="T2696" t="s">
        <v>46915</v>
      </c>
      <c r="U2696" t="s">
        <v>49766</v>
      </c>
      <c r="W2696" t="s">
        <v>42558</v>
      </c>
      <c r="X2696" t="s">
        <v>45102</v>
      </c>
    </row>
    <row r="2697" spans="1:24">
      <c r="A2697">
        <f>HYPERLINK("https://www.philgeps.gov.ph/GEPSNONPILOT/Tender/SplashBidNoticeAbstractUI.aspx?menuIndex=3&amp;refID=7042471&amp;Result=3","7042471")</f>
        <v>0</v>
      </c>
      <c r="B2697" t="s">
        <v>1012</v>
      </c>
      <c r="C2697" t="s">
        <v>5774</v>
      </c>
      <c r="D2697" t="s">
        <v>18024</v>
      </c>
      <c r="E2697" t="s">
        <v>20566</v>
      </c>
      <c r="F2697" t="s">
        <v>31574</v>
      </c>
      <c r="G2697" t="s">
        <v>31582</v>
      </c>
      <c r="H2697" t="s">
        <v>31590</v>
      </c>
      <c r="I2697" t="s">
        <v>3651</v>
      </c>
      <c r="J2697" t="s">
        <v>33583</v>
      </c>
      <c r="K2697" t="s">
        <v>41196</v>
      </c>
      <c r="M2697" t="s">
        <v>42552</v>
      </c>
      <c r="N2697" t="s">
        <v>45095</v>
      </c>
      <c r="O2697" t="s">
        <v>45096</v>
      </c>
      <c r="P2697">
        <v>0</v>
      </c>
      <c r="Q2697">
        <v>1</v>
      </c>
      <c r="R2697" t="s">
        <v>45098</v>
      </c>
      <c r="S2697" t="s">
        <v>45223</v>
      </c>
      <c r="T2697" t="s">
        <v>46955</v>
      </c>
      <c r="U2697" t="s">
        <v>49767</v>
      </c>
      <c r="W2697" t="s">
        <v>42552</v>
      </c>
      <c r="X2697" t="s">
        <v>45102</v>
      </c>
    </row>
    <row r="2698" spans="1:24">
      <c r="A2698">
        <f>HYPERLINK("https://www.philgeps.gov.ph/GEPSNONPILOT/Tender/SplashBidNoticeAbstractUI.aspx?menuIndex=3&amp;refID=7042521&amp;Result=3","7042521")</f>
        <v>0</v>
      </c>
      <c r="B2698" t="s">
        <v>1018</v>
      </c>
      <c r="C2698" t="s">
        <v>5775</v>
      </c>
      <c r="D2698" t="s">
        <v>18026</v>
      </c>
      <c r="E2698" t="s">
        <v>20567</v>
      </c>
      <c r="F2698" t="s">
        <v>31575</v>
      </c>
      <c r="G2698" t="s">
        <v>31582</v>
      </c>
      <c r="H2698" t="s">
        <v>31591</v>
      </c>
      <c r="I2698" t="s">
        <v>8822</v>
      </c>
      <c r="J2698" t="s">
        <v>31727</v>
      </c>
      <c r="K2698" t="s">
        <v>41190</v>
      </c>
      <c r="M2698" t="s">
        <v>42559</v>
      </c>
      <c r="N2698" t="s">
        <v>45095</v>
      </c>
      <c r="O2698" t="s">
        <v>45096</v>
      </c>
      <c r="P2698">
        <v>0</v>
      </c>
      <c r="Q2698">
        <v>1</v>
      </c>
      <c r="R2698" t="s">
        <v>45098</v>
      </c>
      <c r="S2698" t="s">
        <v>45223</v>
      </c>
      <c r="T2698" t="s">
        <v>47128</v>
      </c>
      <c r="U2698" t="s">
        <v>49768</v>
      </c>
      <c r="V2698" t="s">
        <v>60117</v>
      </c>
      <c r="W2698" t="s">
        <v>42559</v>
      </c>
      <c r="X2698" t="s">
        <v>45102</v>
      </c>
    </row>
    <row r="2699" spans="1:24">
      <c r="A2699">
        <f>HYPERLINK("https://www.philgeps.gov.ph/GEPSNONPILOT/Tender/SplashBidNoticeAbstractUI.aspx?menuIndex=3&amp;refID=7042513&amp;Result=3","7042513")</f>
        <v>0</v>
      </c>
      <c r="B2699" t="s">
        <v>1019</v>
      </c>
      <c r="C2699" t="s">
        <v>5776</v>
      </c>
      <c r="D2699" t="s">
        <v>18022</v>
      </c>
      <c r="E2699" t="s">
        <v>20568</v>
      </c>
      <c r="F2699" t="s">
        <v>31574</v>
      </c>
      <c r="G2699" t="s">
        <v>31582</v>
      </c>
      <c r="H2699" t="s">
        <v>31590</v>
      </c>
      <c r="I2699" t="s">
        <v>6800</v>
      </c>
      <c r="J2699" t="s">
        <v>33584</v>
      </c>
      <c r="K2699" t="s">
        <v>41212</v>
      </c>
      <c r="M2699" t="s">
        <v>42560</v>
      </c>
      <c r="N2699" t="s">
        <v>45095</v>
      </c>
      <c r="O2699" t="s">
        <v>45096</v>
      </c>
      <c r="P2699">
        <v>0</v>
      </c>
      <c r="Q2699">
        <v>6</v>
      </c>
      <c r="R2699" t="s">
        <v>45098</v>
      </c>
      <c r="S2699" t="s">
        <v>45223</v>
      </c>
      <c r="T2699" t="s">
        <v>47059</v>
      </c>
      <c r="U2699" t="s">
        <v>49769</v>
      </c>
      <c r="W2699" t="s">
        <v>42560</v>
      </c>
      <c r="X2699" t="s">
        <v>45102</v>
      </c>
    </row>
    <row r="2700" spans="1:24">
      <c r="A2700">
        <f>HYPERLINK("https://www.philgeps.gov.ph/GEPSNONPILOT/Tender/SplashBidNoticeAbstractUI.aspx?menuIndex=3&amp;refID=7042248&amp;Result=3","7042248")</f>
        <v>0</v>
      </c>
      <c r="B2700" t="s">
        <v>1020</v>
      </c>
      <c r="C2700" t="s">
        <v>5777</v>
      </c>
      <c r="D2700" t="s">
        <v>18056</v>
      </c>
      <c r="E2700" t="s">
        <v>20569</v>
      </c>
      <c r="F2700" t="s">
        <v>31574</v>
      </c>
      <c r="G2700" t="s">
        <v>31582</v>
      </c>
      <c r="H2700" t="s">
        <v>31591</v>
      </c>
      <c r="I2700" t="s">
        <v>8822</v>
      </c>
      <c r="J2700" t="s">
        <v>32473</v>
      </c>
      <c r="K2700" t="s">
        <v>41291</v>
      </c>
      <c r="M2700" t="s">
        <v>42561</v>
      </c>
      <c r="N2700" t="s">
        <v>45095</v>
      </c>
      <c r="O2700" t="s">
        <v>45096</v>
      </c>
      <c r="P2700">
        <v>0</v>
      </c>
      <c r="Q2700">
        <v>0</v>
      </c>
      <c r="R2700" t="s">
        <v>45098</v>
      </c>
      <c r="S2700" t="s">
        <v>45223</v>
      </c>
      <c r="T2700" t="s">
        <v>46979</v>
      </c>
      <c r="U2700" t="s">
        <v>49770</v>
      </c>
      <c r="W2700" t="s">
        <v>42561</v>
      </c>
      <c r="X2700" t="s">
        <v>45102</v>
      </c>
    </row>
    <row r="2701" spans="1:24">
      <c r="A2701">
        <f>HYPERLINK("https://www.philgeps.gov.ph/GEPSNONPILOT/Tender/SplashBidNoticeAbstractUI.aspx?menuIndex=3&amp;refID=7042446&amp;Result=3","7042446")</f>
        <v>0</v>
      </c>
      <c r="B2701" t="s">
        <v>1012</v>
      </c>
      <c r="C2701" t="s">
        <v>5778</v>
      </c>
      <c r="D2701" t="s">
        <v>18024</v>
      </c>
      <c r="E2701" t="s">
        <v>20570</v>
      </c>
      <c r="F2701" t="s">
        <v>31574</v>
      </c>
      <c r="G2701" t="s">
        <v>31582</v>
      </c>
      <c r="H2701" t="s">
        <v>31590</v>
      </c>
      <c r="I2701" t="s">
        <v>31595</v>
      </c>
      <c r="J2701" t="s">
        <v>31843</v>
      </c>
      <c r="K2701" t="s">
        <v>41186</v>
      </c>
      <c r="M2701" t="s">
        <v>42552</v>
      </c>
      <c r="N2701" t="s">
        <v>45095</v>
      </c>
      <c r="O2701" t="s">
        <v>45096</v>
      </c>
      <c r="P2701">
        <v>0</v>
      </c>
      <c r="Q2701">
        <v>3</v>
      </c>
      <c r="R2701" t="s">
        <v>45098</v>
      </c>
      <c r="S2701" t="s">
        <v>45223</v>
      </c>
      <c r="T2701" t="s">
        <v>46955</v>
      </c>
      <c r="U2701" t="s">
        <v>49771</v>
      </c>
      <c r="W2701" t="s">
        <v>42552</v>
      </c>
      <c r="X2701" t="s">
        <v>45102</v>
      </c>
    </row>
    <row r="2702" spans="1:24">
      <c r="A2702">
        <f>HYPERLINK("https://www.philgeps.gov.ph/GEPSNONPILOT/Tender/SplashBidNoticeAbstractUI.aspx?menuIndex=3&amp;refID=7042371&amp;Result=3","7042371")</f>
        <v>0</v>
      </c>
      <c r="B2702" t="s">
        <v>1008</v>
      </c>
      <c r="C2702" t="s">
        <v>5779</v>
      </c>
      <c r="D2702" t="s">
        <v>18102</v>
      </c>
      <c r="E2702" t="s">
        <v>20571</v>
      </c>
      <c r="F2702" t="s">
        <v>31574</v>
      </c>
      <c r="G2702" t="s">
        <v>31581</v>
      </c>
      <c r="H2702" t="s">
        <v>31590</v>
      </c>
      <c r="I2702" t="s">
        <v>31623</v>
      </c>
      <c r="J2702" t="s">
        <v>31962</v>
      </c>
      <c r="K2702" t="s">
        <v>41186</v>
      </c>
      <c r="M2702" t="s">
        <v>42548</v>
      </c>
      <c r="N2702" t="s">
        <v>45095</v>
      </c>
      <c r="O2702" t="s">
        <v>45096</v>
      </c>
      <c r="P2702">
        <v>0</v>
      </c>
      <c r="Q2702">
        <v>1</v>
      </c>
      <c r="R2702" t="s">
        <v>45098</v>
      </c>
      <c r="S2702" t="s">
        <v>45223</v>
      </c>
      <c r="T2702" t="s">
        <v>46975</v>
      </c>
      <c r="U2702" t="s">
        <v>49772</v>
      </c>
      <c r="V2702" t="s">
        <v>60118</v>
      </c>
      <c r="W2702" t="s">
        <v>42548</v>
      </c>
      <c r="X2702" t="s">
        <v>45102</v>
      </c>
    </row>
    <row r="2703" spans="1:24">
      <c r="A2703">
        <f>HYPERLINK("https://www.philgeps.gov.ph/GEPSNONPILOT/Tender/SplashBidNoticeAbstractUI.aspx?menuIndex=3&amp;refID=7042541&amp;Result=3","7042541")</f>
        <v>0</v>
      </c>
      <c r="B2703" t="s">
        <v>246</v>
      </c>
      <c r="C2703" t="s">
        <v>5780</v>
      </c>
      <c r="D2703" t="s">
        <v>18054</v>
      </c>
      <c r="E2703" t="s">
        <v>20572</v>
      </c>
      <c r="F2703" t="s">
        <v>31574</v>
      </c>
      <c r="G2703" t="s">
        <v>31581</v>
      </c>
      <c r="H2703" t="s">
        <v>31590</v>
      </c>
      <c r="I2703" t="s">
        <v>3487</v>
      </c>
      <c r="J2703" t="s">
        <v>31780</v>
      </c>
      <c r="K2703" t="s">
        <v>41196</v>
      </c>
      <c r="M2703" t="s">
        <v>41732</v>
      </c>
      <c r="N2703" t="s">
        <v>45095</v>
      </c>
      <c r="O2703" t="s">
        <v>45096</v>
      </c>
      <c r="P2703">
        <v>0</v>
      </c>
      <c r="Q2703">
        <v>0</v>
      </c>
      <c r="R2703" t="s">
        <v>45098</v>
      </c>
      <c r="S2703" t="s">
        <v>45223</v>
      </c>
      <c r="T2703" t="s">
        <v>46945</v>
      </c>
      <c r="U2703" t="s">
        <v>49773</v>
      </c>
      <c r="W2703" t="s">
        <v>41732</v>
      </c>
      <c r="X2703" t="s">
        <v>45102</v>
      </c>
    </row>
    <row r="2704" spans="1:24">
      <c r="A2704">
        <f>HYPERLINK("https://www.philgeps.gov.ph/GEPSNONPILOT/Tender/SplashBidNoticeAbstractUI.aspx?menuIndex=3&amp;refID=7042539&amp;Result=3","7042539")</f>
        <v>0</v>
      </c>
      <c r="B2704" t="s">
        <v>1012</v>
      </c>
      <c r="C2704" t="s">
        <v>5781</v>
      </c>
      <c r="D2704" t="s">
        <v>18024</v>
      </c>
      <c r="E2704" t="s">
        <v>20573</v>
      </c>
      <c r="F2704" t="s">
        <v>31574</v>
      </c>
      <c r="G2704" t="s">
        <v>31582</v>
      </c>
      <c r="H2704" t="s">
        <v>31590</v>
      </c>
      <c r="I2704" t="s">
        <v>4327</v>
      </c>
      <c r="J2704" t="s">
        <v>32000</v>
      </c>
      <c r="K2704" t="s">
        <v>41186</v>
      </c>
      <c r="M2704" t="s">
        <v>42552</v>
      </c>
      <c r="N2704" t="s">
        <v>45095</v>
      </c>
      <c r="O2704" t="s">
        <v>45096</v>
      </c>
      <c r="P2704">
        <v>0</v>
      </c>
      <c r="Q2704">
        <v>1</v>
      </c>
      <c r="R2704" t="s">
        <v>45098</v>
      </c>
      <c r="S2704" t="s">
        <v>45223</v>
      </c>
      <c r="T2704" t="s">
        <v>46955</v>
      </c>
      <c r="U2704" t="s">
        <v>49774</v>
      </c>
      <c r="W2704" t="s">
        <v>42552</v>
      </c>
      <c r="X2704" t="s">
        <v>45102</v>
      </c>
    </row>
    <row r="2705" spans="1:24">
      <c r="A2705">
        <f>HYPERLINK("https://www.philgeps.gov.ph/GEPSNONPILOT/Tender/SplashBidNoticeAbstractUI.aspx?menuIndex=3&amp;refID=7042571&amp;Result=3","7042571")</f>
        <v>0</v>
      </c>
      <c r="B2705" t="s">
        <v>1021</v>
      </c>
      <c r="C2705" t="s">
        <v>5782</v>
      </c>
      <c r="D2705" t="s">
        <v>18023</v>
      </c>
      <c r="E2705" t="s">
        <v>20574</v>
      </c>
      <c r="F2705" t="s">
        <v>31574</v>
      </c>
      <c r="G2705" t="s">
        <v>31581</v>
      </c>
      <c r="H2705" t="s">
        <v>31590</v>
      </c>
      <c r="I2705" t="s">
        <v>31600</v>
      </c>
      <c r="J2705" t="s">
        <v>33585</v>
      </c>
      <c r="K2705" t="s">
        <v>41184</v>
      </c>
      <c r="M2705" t="s">
        <v>42562</v>
      </c>
      <c r="N2705" t="s">
        <v>45095</v>
      </c>
      <c r="O2705" t="s">
        <v>45096</v>
      </c>
      <c r="P2705">
        <v>0</v>
      </c>
      <c r="Q2705">
        <v>1</v>
      </c>
      <c r="R2705" t="s">
        <v>45098</v>
      </c>
      <c r="S2705" t="s">
        <v>45223</v>
      </c>
      <c r="T2705" t="s">
        <v>46957</v>
      </c>
      <c r="U2705" t="s">
        <v>49775</v>
      </c>
      <c r="W2705" t="s">
        <v>42562</v>
      </c>
      <c r="X2705" t="s">
        <v>45102</v>
      </c>
    </row>
    <row r="2706" spans="1:24">
      <c r="A2706">
        <f>HYPERLINK("https://www.philgeps.gov.ph/GEPSNONPILOT/Tender/SplashBidNoticeAbstractUI.aspx?menuIndex=3&amp;refID=7042535&amp;Result=3","7042535")</f>
        <v>0</v>
      </c>
      <c r="B2706" t="s">
        <v>84</v>
      </c>
      <c r="C2706" t="s">
        <v>5783</v>
      </c>
      <c r="D2706" t="s">
        <v>18022</v>
      </c>
      <c r="E2706" t="s">
        <v>20575</v>
      </c>
      <c r="F2706" t="s">
        <v>31574</v>
      </c>
      <c r="G2706" t="s">
        <v>31581</v>
      </c>
      <c r="H2706" t="s">
        <v>31590</v>
      </c>
      <c r="I2706" t="s">
        <v>3487</v>
      </c>
      <c r="J2706" t="s">
        <v>33586</v>
      </c>
      <c r="K2706" t="s">
        <v>41184</v>
      </c>
      <c r="M2706" t="s">
        <v>41568</v>
      </c>
      <c r="N2706" t="s">
        <v>45095</v>
      </c>
      <c r="O2706" t="s">
        <v>45096</v>
      </c>
      <c r="P2706">
        <v>0</v>
      </c>
      <c r="Q2706">
        <v>0</v>
      </c>
      <c r="R2706" t="s">
        <v>45098</v>
      </c>
      <c r="S2706" t="s">
        <v>45223</v>
      </c>
      <c r="T2706" t="s">
        <v>46973</v>
      </c>
      <c r="U2706" t="s">
        <v>49604</v>
      </c>
      <c r="W2706" t="s">
        <v>41568</v>
      </c>
      <c r="X2706" t="s">
        <v>45102</v>
      </c>
    </row>
    <row r="2707" spans="1:24">
      <c r="A2707">
        <f>HYPERLINK("https://www.philgeps.gov.ph/GEPSNONPILOT/Tender/SplashBidNoticeAbstractUI.aspx?menuIndex=3&amp;refID=7042534&amp;Result=3","7042534")</f>
        <v>0</v>
      </c>
      <c r="B2707" t="s">
        <v>1012</v>
      </c>
      <c r="C2707" t="s">
        <v>5784</v>
      </c>
      <c r="D2707" t="s">
        <v>18024</v>
      </c>
      <c r="E2707" t="s">
        <v>20576</v>
      </c>
      <c r="F2707" t="s">
        <v>31574</v>
      </c>
      <c r="G2707" t="s">
        <v>31582</v>
      </c>
      <c r="H2707" t="s">
        <v>31590</v>
      </c>
      <c r="I2707" t="s">
        <v>4327</v>
      </c>
      <c r="J2707" t="s">
        <v>31741</v>
      </c>
      <c r="K2707" t="s">
        <v>41186</v>
      </c>
      <c r="M2707" t="s">
        <v>42552</v>
      </c>
      <c r="N2707" t="s">
        <v>45095</v>
      </c>
      <c r="O2707" t="s">
        <v>45096</v>
      </c>
      <c r="P2707">
        <v>0</v>
      </c>
      <c r="Q2707">
        <v>2</v>
      </c>
      <c r="R2707" t="s">
        <v>45098</v>
      </c>
      <c r="S2707" t="s">
        <v>45223</v>
      </c>
      <c r="T2707" t="s">
        <v>46955</v>
      </c>
      <c r="U2707" t="s">
        <v>49776</v>
      </c>
      <c r="W2707" t="s">
        <v>42552</v>
      </c>
      <c r="X2707" t="s">
        <v>45102</v>
      </c>
    </row>
    <row r="2708" spans="1:24">
      <c r="A2708">
        <f>HYPERLINK("https://www.philgeps.gov.ph/GEPSNONPILOT/Tender/SplashBidNoticeAbstractUI.aspx?menuIndex=3&amp;refID=7042540&amp;Result=3","7042540")</f>
        <v>0</v>
      </c>
      <c r="B2708" t="s">
        <v>1022</v>
      </c>
      <c r="C2708" t="s">
        <v>5750</v>
      </c>
      <c r="D2708" t="s">
        <v>18027</v>
      </c>
      <c r="E2708" t="s">
        <v>20577</v>
      </c>
      <c r="F2708" t="s">
        <v>31574</v>
      </c>
      <c r="G2708" t="s">
        <v>31582</v>
      </c>
      <c r="H2708" t="s">
        <v>31590</v>
      </c>
      <c r="I2708" t="s">
        <v>3487</v>
      </c>
      <c r="J2708" t="s">
        <v>31727</v>
      </c>
      <c r="K2708" t="s">
        <v>41184</v>
      </c>
      <c r="M2708" t="s">
        <v>42563</v>
      </c>
      <c r="N2708" t="s">
        <v>45095</v>
      </c>
      <c r="O2708" t="s">
        <v>45096</v>
      </c>
      <c r="P2708">
        <v>0</v>
      </c>
      <c r="Q2708">
        <v>0</v>
      </c>
      <c r="R2708" t="s">
        <v>45098</v>
      </c>
      <c r="S2708" t="s">
        <v>45223</v>
      </c>
      <c r="T2708" t="s">
        <v>46937</v>
      </c>
      <c r="U2708" t="s">
        <v>49777</v>
      </c>
      <c r="W2708" t="s">
        <v>42563</v>
      </c>
      <c r="X2708" t="s">
        <v>45102</v>
      </c>
    </row>
    <row r="2709" spans="1:24">
      <c r="A2709">
        <f>HYPERLINK("https://www.philgeps.gov.ph/GEPSNONPILOT/Tender/SplashBidNoticeAbstractUI.aspx?menuIndex=3&amp;refID=7042601&amp;Result=3","7042601")</f>
        <v>0</v>
      </c>
      <c r="B2709" t="s">
        <v>1023</v>
      </c>
      <c r="C2709" t="s">
        <v>5785</v>
      </c>
      <c r="E2709" t="s">
        <v>20578</v>
      </c>
      <c r="F2709" t="s">
        <v>31574</v>
      </c>
      <c r="G2709" t="s">
        <v>31582</v>
      </c>
      <c r="H2709" t="s">
        <v>31590</v>
      </c>
      <c r="I2709" t="s">
        <v>31608</v>
      </c>
      <c r="J2709" t="s">
        <v>33587</v>
      </c>
      <c r="K2709" t="s">
        <v>41184</v>
      </c>
      <c r="M2709" t="s">
        <v>42564</v>
      </c>
      <c r="N2709" t="s">
        <v>45095</v>
      </c>
      <c r="O2709" t="s">
        <v>45096</v>
      </c>
      <c r="P2709">
        <v>0</v>
      </c>
      <c r="Q2709">
        <v>13</v>
      </c>
      <c r="R2709" t="s">
        <v>45098</v>
      </c>
      <c r="S2709" t="s">
        <v>45223</v>
      </c>
      <c r="T2709" t="s">
        <v>47073</v>
      </c>
      <c r="U2709" t="s">
        <v>49778</v>
      </c>
      <c r="W2709" t="s">
        <v>42564</v>
      </c>
      <c r="X2709" t="s">
        <v>45102</v>
      </c>
    </row>
    <row r="2710" spans="1:24">
      <c r="A2710">
        <f>HYPERLINK("https://www.philgeps.gov.ph/GEPSNONPILOT/Tender/SplashBidNoticeAbstractUI.aspx?menuIndex=3&amp;refID=7042568&amp;Result=3","7042568")</f>
        <v>0</v>
      </c>
      <c r="B2710" t="s">
        <v>84</v>
      </c>
      <c r="C2710" t="s">
        <v>5786</v>
      </c>
      <c r="D2710" t="s">
        <v>18022</v>
      </c>
      <c r="E2710" t="s">
        <v>20579</v>
      </c>
      <c r="F2710" t="s">
        <v>31574</v>
      </c>
      <c r="G2710" t="s">
        <v>31581</v>
      </c>
      <c r="H2710" t="s">
        <v>31590</v>
      </c>
      <c r="I2710" t="s">
        <v>31619</v>
      </c>
      <c r="J2710" t="s">
        <v>33411</v>
      </c>
      <c r="K2710" t="s">
        <v>41184</v>
      </c>
      <c r="M2710" t="s">
        <v>41568</v>
      </c>
      <c r="N2710" t="s">
        <v>45095</v>
      </c>
      <c r="O2710" t="s">
        <v>45096</v>
      </c>
      <c r="P2710">
        <v>0</v>
      </c>
      <c r="Q2710">
        <v>7</v>
      </c>
      <c r="R2710" t="s">
        <v>45098</v>
      </c>
      <c r="S2710" t="s">
        <v>45223</v>
      </c>
      <c r="T2710" t="s">
        <v>46973</v>
      </c>
      <c r="U2710" t="s">
        <v>49779</v>
      </c>
      <c r="W2710" t="s">
        <v>41568</v>
      </c>
      <c r="X2710" t="s">
        <v>45102</v>
      </c>
    </row>
    <row r="2711" spans="1:24">
      <c r="A2711">
        <f>HYPERLINK("https://www.philgeps.gov.ph/GEPSNONPILOT/Tender/SplashBidNoticeAbstractUI.aspx?menuIndex=3&amp;refID=7042531&amp;Result=3","7042531")</f>
        <v>0</v>
      </c>
      <c r="B2711" t="s">
        <v>1017</v>
      </c>
      <c r="C2711" t="s">
        <v>5787</v>
      </c>
      <c r="D2711" t="s">
        <v>18022</v>
      </c>
      <c r="E2711" t="s">
        <v>20580</v>
      </c>
      <c r="F2711" t="s">
        <v>31574</v>
      </c>
      <c r="G2711" t="s">
        <v>31582</v>
      </c>
      <c r="H2711" t="s">
        <v>31590</v>
      </c>
      <c r="I2711" t="s">
        <v>4046</v>
      </c>
      <c r="J2711" t="s">
        <v>31730</v>
      </c>
      <c r="K2711" t="s">
        <v>41186</v>
      </c>
      <c r="M2711" t="s">
        <v>42558</v>
      </c>
      <c r="N2711" t="s">
        <v>45095</v>
      </c>
      <c r="O2711" t="s">
        <v>45096</v>
      </c>
      <c r="P2711">
        <v>0</v>
      </c>
      <c r="Q2711">
        <v>2</v>
      </c>
      <c r="R2711" t="s">
        <v>45098</v>
      </c>
      <c r="S2711" t="s">
        <v>45223</v>
      </c>
      <c r="T2711" t="s">
        <v>46915</v>
      </c>
      <c r="U2711" t="s">
        <v>49780</v>
      </c>
      <c r="W2711" t="s">
        <v>42558</v>
      </c>
      <c r="X2711" t="s">
        <v>45102</v>
      </c>
    </row>
    <row r="2712" spans="1:24">
      <c r="A2712">
        <f>HYPERLINK("https://www.philgeps.gov.ph/GEPSNONPILOT/Tender/SplashBidNoticeAbstractUI.aspx?menuIndex=3&amp;refID=7042556&amp;Result=3","7042556")</f>
        <v>0</v>
      </c>
      <c r="B2712" t="s">
        <v>1022</v>
      </c>
      <c r="C2712" t="s">
        <v>5788</v>
      </c>
      <c r="D2712" t="s">
        <v>18027</v>
      </c>
      <c r="E2712" t="s">
        <v>20581</v>
      </c>
      <c r="F2712" t="s">
        <v>31574</v>
      </c>
      <c r="G2712" t="s">
        <v>31582</v>
      </c>
      <c r="H2712" t="s">
        <v>31590</v>
      </c>
      <c r="I2712" t="s">
        <v>3487</v>
      </c>
      <c r="J2712" t="s">
        <v>33588</v>
      </c>
      <c r="K2712" t="s">
        <v>41184</v>
      </c>
      <c r="M2712" t="s">
        <v>42563</v>
      </c>
      <c r="N2712" t="s">
        <v>45095</v>
      </c>
      <c r="O2712" t="s">
        <v>45096</v>
      </c>
      <c r="P2712">
        <v>0</v>
      </c>
      <c r="Q2712">
        <v>0</v>
      </c>
      <c r="R2712" t="s">
        <v>45098</v>
      </c>
      <c r="S2712" t="s">
        <v>45223</v>
      </c>
      <c r="T2712" t="s">
        <v>46937</v>
      </c>
      <c r="U2712" t="s">
        <v>49781</v>
      </c>
      <c r="W2712" t="s">
        <v>42563</v>
      </c>
      <c r="X2712" t="s">
        <v>45102</v>
      </c>
    </row>
    <row r="2713" spans="1:24">
      <c r="A2713">
        <f>HYPERLINK("https://www.philgeps.gov.ph/GEPSNONPILOT/Tender/SplashBidNoticeAbstractUI.aspx?menuIndex=3&amp;refID=7042600&amp;Result=3","7042600")</f>
        <v>0</v>
      </c>
      <c r="B2713" t="s">
        <v>91</v>
      </c>
      <c r="C2713" t="s">
        <v>5789</v>
      </c>
      <c r="D2713" t="s">
        <v>18060</v>
      </c>
      <c r="E2713" t="s">
        <v>20582</v>
      </c>
      <c r="F2713" t="s">
        <v>31574</v>
      </c>
      <c r="G2713" t="s">
        <v>31581</v>
      </c>
      <c r="H2713" t="s">
        <v>31590</v>
      </c>
      <c r="I2713" t="s">
        <v>3487</v>
      </c>
      <c r="J2713" t="s">
        <v>33589</v>
      </c>
      <c r="K2713" t="s">
        <v>41190</v>
      </c>
      <c r="M2713" t="s">
        <v>41575</v>
      </c>
      <c r="N2713" t="s">
        <v>45095</v>
      </c>
      <c r="O2713" t="s">
        <v>45096</v>
      </c>
      <c r="P2713">
        <v>0</v>
      </c>
      <c r="Q2713">
        <v>0</v>
      </c>
      <c r="R2713" t="s">
        <v>45098</v>
      </c>
      <c r="S2713" t="s">
        <v>45223</v>
      </c>
      <c r="T2713" t="s">
        <v>46973</v>
      </c>
      <c r="U2713" t="s">
        <v>49782</v>
      </c>
      <c r="W2713" t="s">
        <v>41575</v>
      </c>
      <c r="X2713" t="s">
        <v>45102</v>
      </c>
    </row>
    <row r="2714" spans="1:24">
      <c r="A2714">
        <f>HYPERLINK("https://www.philgeps.gov.ph/GEPSNONPILOT/Tender/SplashBidNoticeAbstractUI.aspx?menuIndex=3&amp;refID=7042562&amp;Result=3","7042562")</f>
        <v>0</v>
      </c>
      <c r="B2714" t="s">
        <v>1012</v>
      </c>
      <c r="C2714" t="s">
        <v>5790</v>
      </c>
      <c r="D2714" t="s">
        <v>18024</v>
      </c>
      <c r="E2714" t="s">
        <v>20583</v>
      </c>
      <c r="F2714" t="s">
        <v>31574</v>
      </c>
      <c r="G2714" t="s">
        <v>31582</v>
      </c>
      <c r="H2714" t="s">
        <v>31590</v>
      </c>
      <c r="I2714" t="s">
        <v>14544</v>
      </c>
      <c r="J2714" t="s">
        <v>33590</v>
      </c>
      <c r="K2714" t="s">
        <v>41191</v>
      </c>
      <c r="M2714" t="s">
        <v>42552</v>
      </c>
      <c r="N2714" t="s">
        <v>45095</v>
      </c>
      <c r="O2714" t="s">
        <v>45096</v>
      </c>
      <c r="P2714">
        <v>0</v>
      </c>
      <c r="Q2714">
        <v>0</v>
      </c>
      <c r="R2714" t="s">
        <v>45098</v>
      </c>
      <c r="S2714" t="s">
        <v>45223</v>
      </c>
      <c r="T2714" t="s">
        <v>46955</v>
      </c>
      <c r="U2714" t="s">
        <v>49783</v>
      </c>
      <c r="W2714" t="s">
        <v>42552</v>
      </c>
      <c r="X2714" t="s">
        <v>45102</v>
      </c>
    </row>
    <row r="2715" spans="1:24">
      <c r="A2715">
        <f>HYPERLINK("https://www.philgeps.gov.ph/GEPSNONPILOT/Tender/SplashBidNoticeAbstractUI.aspx?menuIndex=3&amp;refID=7042549&amp;Result=3","7042549")</f>
        <v>0</v>
      </c>
      <c r="B2715" t="s">
        <v>1022</v>
      </c>
      <c r="C2715" t="s">
        <v>5791</v>
      </c>
      <c r="D2715" t="s">
        <v>18027</v>
      </c>
      <c r="E2715" t="s">
        <v>20584</v>
      </c>
      <c r="F2715" t="s">
        <v>31574</v>
      </c>
      <c r="G2715" t="s">
        <v>31582</v>
      </c>
      <c r="H2715" t="s">
        <v>31590</v>
      </c>
      <c r="I2715" t="s">
        <v>3487</v>
      </c>
      <c r="J2715" t="s">
        <v>31821</v>
      </c>
      <c r="K2715" t="s">
        <v>41184</v>
      </c>
      <c r="M2715" t="s">
        <v>42563</v>
      </c>
      <c r="N2715" t="s">
        <v>45095</v>
      </c>
      <c r="O2715" t="s">
        <v>45096</v>
      </c>
      <c r="P2715">
        <v>0</v>
      </c>
      <c r="Q2715">
        <v>0</v>
      </c>
      <c r="R2715" t="s">
        <v>45098</v>
      </c>
      <c r="S2715" t="s">
        <v>45223</v>
      </c>
      <c r="T2715" t="s">
        <v>46937</v>
      </c>
      <c r="U2715" t="s">
        <v>49784</v>
      </c>
      <c r="W2715" t="s">
        <v>42563</v>
      </c>
      <c r="X2715" t="s">
        <v>45102</v>
      </c>
    </row>
    <row r="2716" spans="1:24">
      <c r="A2716">
        <f>HYPERLINK("https://www.philgeps.gov.ph/GEPSNONPILOT/Tender/SplashBidNoticeAbstractUI.aspx?menuIndex=3&amp;refID=7042577&amp;Result=3","7042577")</f>
        <v>0</v>
      </c>
      <c r="B2716" t="s">
        <v>1012</v>
      </c>
      <c r="C2716" t="s">
        <v>5792</v>
      </c>
      <c r="E2716" t="s">
        <v>20585</v>
      </c>
      <c r="F2716" t="s">
        <v>31574</v>
      </c>
      <c r="G2716" t="s">
        <v>31582</v>
      </c>
      <c r="H2716" t="s">
        <v>31590</v>
      </c>
      <c r="I2716" t="s">
        <v>31670</v>
      </c>
      <c r="J2716" t="s">
        <v>31727</v>
      </c>
      <c r="K2716" t="s">
        <v>41196</v>
      </c>
      <c r="M2716" t="s">
        <v>42552</v>
      </c>
      <c r="N2716" t="s">
        <v>45095</v>
      </c>
      <c r="O2716" t="s">
        <v>45096</v>
      </c>
      <c r="P2716">
        <v>0</v>
      </c>
      <c r="Q2716">
        <v>0</v>
      </c>
      <c r="R2716" t="s">
        <v>45098</v>
      </c>
      <c r="S2716" t="s">
        <v>45223</v>
      </c>
      <c r="T2716" t="s">
        <v>46955</v>
      </c>
      <c r="U2716" t="s">
        <v>49785</v>
      </c>
      <c r="W2716" t="s">
        <v>42552</v>
      </c>
      <c r="X2716" t="s">
        <v>45102</v>
      </c>
    </row>
    <row r="2717" spans="1:24">
      <c r="A2717">
        <f>HYPERLINK("https://www.philgeps.gov.ph/GEPSNONPILOT/Tender/SplashBidNoticeAbstractUI.aspx?menuIndex=3&amp;refID=7042576&amp;Result=3","7042576")</f>
        <v>0</v>
      </c>
      <c r="B2717" t="s">
        <v>332</v>
      </c>
      <c r="C2717" t="s">
        <v>5793</v>
      </c>
      <c r="D2717" t="s">
        <v>18040</v>
      </c>
      <c r="E2717" t="s">
        <v>18626</v>
      </c>
      <c r="F2717" t="s">
        <v>31574</v>
      </c>
      <c r="G2717" t="s">
        <v>31583</v>
      </c>
      <c r="H2717" t="s">
        <v>31590</v>
      </c>
      <c r="I2717" t="s">
        <v>6800</v>
      </c>
      <c r="J2717" t="s">
        <v>33591</v>
      </c>
      <c r="K2717" t="s">
        <v>41184</v>
      </c>
      <c r="M2717" t="s">
        <v>41820</v>
      </c>
      <c r="N2717" t="s">
        <v>45095</v>
      </c>
      <c r="O2717" t="s">
        <v>45096</v>
      </c>
      <c r="P2717">
        <v>0</v>
      </c>
      <c r="Q2717">
        <v>0</v>
      </c>
      <c r="R2717" t="s">
        <v>45098</v>
      </c>
      <c r="S2717" t="s">
        <v>45223</v>
      </c>
      <c r="T2717" t="s">
        <v>46973</v>
      </c>
      <c r="U2717" t="s">
        <v>49786</v>
      </c>
      <c r="W2717" t="s">
        <v>41820</v>
      </c>
      <c r="X2717" t="s">
        <v>45102</v>
      </c>
    </row>
    <row r="2718" spans="1:24">
      <c r="A2718">
        <f>HYPERLINK("https://www.philgeps.gov.ph/GEPSNONPILOT/Tender/SplashBidNoticeAbstractUI.aspx?menuIndex=3&amp;refID=7042579&amp;Result=3","7042579")</f>
        <v>0</v>
      </c>
      <c r="B2718" t="s">
        <v>91</v>
      </c>
      <c r="C2718" t="s">
        <v>5794</v>
      </c>
      <c r="D2718" t="s">
        <v>18060</v>
      </c>
      <c r="E2718" t="s">
        <v>20586</v>
      </c>
      <c r="F2718" t="s">
        <v>31574</v>
      </c>
      <c r="G2718" t="s">
        <v>31581</v>
      </c>
      <c r="H2718" t="s">
        <v>31590</v>
      </c>
      <c r="I2718" t="s">
        <v>3487</v>
      </c>
      <c r="J2718" t="s">
        <v>31935</v>
      </c>
      <c r="K2718" t="s">
        <v>41190</v>
      </c>
      <c r="M2718" t="s">
        <v>41575</v>
      </c>
      <c r="N2718" t="s">
        <v>45095</v>
      </c>
      <c r="O2718" t="s">
        <v>45096</v>
      </c>
      <c r="P2718">
        <v>0</v>
      </c>
      <c r="Q2718">
        <v>3</v>
      </c>
      <c r="R2718" t="s">
        <v>45098</v>
      </c>
      <c r="S2718" t="s">
        <v>45223</v>
      </c>
      <c r="T2718" t="s">
        <v>46973</v>
      </c>
      <c r="U2718" t="s">
        <v>49787</v>
      </c>
      <c r="W2718" t="s">
        <v>41575</v>
      </c>
      <c r="X2718" t="s">
        <v>45102</v>
      </c>
    </row>
    <row r="2719" spans="1:24">
      <c r="A2719">
        <f>HYPERLINK("https://www.philgeps.gov.ph/GEPSNONPILOT/Tender/SplashBidNoticeAbstractUI.aspx?menuIndex=3&amp;refID=7042603&amp;Result=3","7042603")</f>
        <v>0</v>
      </c>
      <c r="B2719" t="s">
        <v>332</v>
      </c>
      <c r="C2719" t="s">
        <v>5795</v>
      </c>
      <c r="D2719" t="s">
        <v>18040</v>
      </c>
      <c r="E2719" t="s">
        <v>18380</v>
      </c>
      <c r="F2719" t="s">
        <v>31574</v>
      </c>
      <c r="G2719" t="s">
        <v>31581</v>
      </c>
      <c r="H2719" t="s">
        <v>31593</v>
      </c>
      <c r="I2719" t="s">
        <v>31623</v>
      </c>
      <c r="J2719" t="s">
        <v>32334</v>
      </c>
      <c r="K2719" t="s">
        <v>41184</v>
      </c>
      <c r="M2719" t="s">
        <v>41820</v>
      </c>
      <c r="N2719" t="s">
        <v>45095</v>
      </c>
      <c r="O2719" t="s">
        <v>45096</v>
      </c>
      <c r="P2719">
        <v>0</v>
      </c>
      <c r="Q2719">
        <v>0</v>
      </c>
      <c r="R2719" t="s">
        <v>45098</v>
      </c>
      <c r="S2719" t="s">
        <v>45223</v>
      </c>
      <c r="T2719" t="s">
        <v>46973</v>
      </c>
      <c r="U2719" t="s">
        <v>49788</v>
      </c>
      <c r="W2719" t="s">
        <v>41820</v>
      </c>
      <c r="X2719" t="s">
        <v>45102</v>
      </c>
    </row>
    <row r="2720" spans="1:24">
      <c r="A2720">
        <f>HYPERLINK("https://www.philgeps.gov.ph/GEPSNONPILOT/Tender/SplashBidNoticeAbstractUI.aspx?menuIndex=3&amp;refID=7042590&amp;Result=3","7042590")</f>
        <v>0</v>
      </c>
      <c r="B2720" t="s">
        <v>1012</v>
      </c>
      <c r="C2720" t="s">
        <v>5796</v>
      </c>
      <c r="D2720" t="s">
        <v>18024</v>
      </c>
      <c r="E2720" t="s">
        <v>20587</v>
      </c>
      <c r="F2720" t="s">
        <v>31574</v>
      </c>
      <c r="G2720" t="s">
        <v>31582</v>
      </c>
      <c r="H2720" t="s">
        <v>31590</v>
      </c>
      <c r="I2720" t="s">
        <v>4327</v>
      </c>
      <c r="J2720" t="s">
        <v>33592</v>
      </c>
      <c r="K2720" t="s">
        <v>41186</v>
      </c>
      <c r="M2720" t="s">
        <v>42552</v>
      </c>
      <c r="N2720" t="s">
        <v>45095</v>
      </c>
      <c r="O2720" t="s">
        <v>45096</v>
      </c>
      <c r="P2720">
        <v>0</v>
      </c>
      <c r="Q2720">
        <v>2</v>
      </c>
      <c r="R2720" t="s">
        <v>45098</v>
      </c>
      <c r="S2720" t="s">
        <v>45223</v>
      </c>
      <c r="T2720" t="s">
        <v>46955</v>
      </c>
      <c r="U2720" t="s">
        <v>49789</v>
      </c>
      <c r="W2720" t="s">
        <v>42552</v>
      </c>
      <c r="X2720" t="s">
        <v>45102</v>
      </c>
    </row>
    <row r="2721" spans="1:24">
      <c r="A2721">
        <f>HYPERLINK("https://www.philgeps.gov.ph/GEPSNONPILOT/Tender/SplashBidNoticeAbstractUI.aspx?menuIndex=3&amp;refID=7042622&amp;Result=3","7042622")</f>
        <v>0</v>
      </c>
      <c r="B2721" t="s">
        <v>91</v>
      </c>
      <c r="C2721" t="s">
        <v>5797</v>
      </c>
      <c r="D2721" t="s">
        <v>18060</v>
      </c>
      <c r="E2721" t="s">
        <v>20588</v>
      </c>
      <c r="F2721" t="s">
        <v>31574</v>
      </c>
      <c r="G2721" t="s">
        <v>31581</v>
      </c>
      <c r="H2721" t="s">
        <v>31590</v>
      </c>
      <c r="I2721" t="s">
        <v>3487</v>
      </c>
      <c r="J2721" t="s">
        <v>31727</v>
      </c>
      <c r="K2721" t="s">
        <v>41190</v>
      </c>
      <c r="M2721" t="s">
        <v>41575</v>
      </c>
      <c r="N2721" t="s">
        <v>45095</v>
      </c>
      <c r="O2721" t="s">
        <v>45096</v>
      </c>
      <c r="P2721">
        <v>0</v>
      </c>
      <c r="Q2721">
        <v>1</v>
      </c>
      <c r="R2721" t="s">
        <v>45098</v>
      </c>
      <c r="S2721" t="s">
        <v>45223</v>
      </c>
      <c r="T2721" t="s">
        <v>46973</v>
      </c>
      <c r="U2721" t="s">
        <v>49790</v>
      </c>
      <c r="W2721" t="s">
        <v>41575</v>
      </c>
      <c r="X2721" t="s">
        <v>45102</v>
      </c>
    </row>
    <row r="2722" spans="1:24">
      <c r="A2722">
        <f>HYPERLINK("https://www.philgeps.gov.ph/GEPSNONPILOT/Tender/SplashBidNoticeAbstractUI.aspx?menuIndex=3&amp;refID=7042611&amp;Result=3","7042611")</f>
        <v>0</v>
      </c>
      <c r="B2722" t="s">
        <v>1012</v>
      </c>
      <c r="C2722" t="s">
        <v>5798</v>
      </c>
      <c r="D2722" t="s">
        <v>18024</v>
      </c>
      <c r="E2722" t="s">
        <v>20589</v>
      </c>
      <c r="F2722" t="s">
        <v>31574</v>
      </c>
      <c r="G2722" t="s">
        <v>31582</v>
      </c>
      <c r="H2722" t="s">
        <v>31590</v>
      </c>
      <c r="I2722" t="s">
        <v>3651</v>
      </c>
      <c r="J2722" t="s">
        <v>33593</v>
      </c>
      <c r="K2722" t="s">
        <v>41253</v>
      </c>
      <c r="M2722" t="s">
        <v>42552</v>
      </c>
      <c r="N2722" t="s">
        <v>45095</v>
      </c>
      <c r="O2722" t="s">
        <v>45096</v>
      </c>
      <c r="P2722">
        <v>0</v>
      </c>
      <c r="Q2722">
        <v>0</v>
      </c>
      <c r="R2722" t="s">
        <v>45098</v>
      </c>
      <c r="S2722" t="s">
        <v>45223</v>
      </c>
      <c r="T2722" t="s">
        <v>46955</v>
      </c>
      <c r="U2722" t="s">
        <v>49791</v>
      </c>
      <c r="W2722" t="s">
        <v>42552</v>
      </c>
      <c r="X2722" t="s">
        <v>45102</v>
      </c>
    </row>
    <row r="2723" spans="1:24">
      <c r="A2723">
        <f>HYPERLINK("https://www.philgeps.gov.ph/GEPSNONPILOT/Tender/SplashBidNoticeAbstractUI.aspx?menuIndex=3&amp;refID=7042636&amp;Result=3","7042636")</f>
        <v>0</v>
      </c>
      <c r="B2723" t="s">
        <v>1023</v>
      </c>
      <c r="C2723" t="s">
        <v>5799</v>
      </c>
      <c r="E2723" t="s">
        <v>20590</v>
      </c>
      <c r="F2723" t="s">
        <v>31574</v>
      </c>
      <c r="G2723" t="s">
        <v>31582</v>
      </c>
      <c r="H2723" t="s">
        <v>31590</v>
      </c>
      <c r="I2723" t="s">
        <v>31608</v>
      </c>
      <c r="J2723" t="s">
        <v>33594</v>
      </c>
      <c r="K2723" t="s">
        <v>41184</v>
      </c>
      <c r="M2723" t="s">
        <v>42564</v>
      </c>
      <c r="N2723" t="s">
        <v>45095</v>
      </c>
      <c r="O2723" t="s">
        <v>45096</v>
      </c>
      <c r="P2723">
        <v>0</v>
      </c>
      <c r="Q2723">
        <v>13</v>
      </c>
      <c r="R2723" t="s">
        <v>45098</v>
      </c>
      <c r="S2723" t="s">
        <v>45223</v>
      </c>
      <c r="T2723" t="s">
        <v>46915</v>
      </c>
      <c r="U2723" t="s">
        <v>49792</v>
      </c>
      <c r="W2723" t="s">
        <v>42564</v>
      </c>
      <c r="X2723" t="s">
        <v>45102</v>
      </c>
    </row>
    <row r="2724" spans="1:24">
      <c r="A2724">
        <f>HYPERLINK("https://www.philgeps.gov.ph/GEPSNONPILOT/Tender/SplashBidNoticeAbstractUI.aspx?menuIndex=3&amp;refID=7042610&amp;Result=3","7042610")</f>
        <v>0</v>
      </c>
      <c r="B2724" t="s">
        <v>1024</v>
      </c>
      <c r="C2724" t="s">
        <v>5800</v>
      </c>
      <c r="E2724" t="s">
        <v>20591</v>
      </c>
      <c r="F2724" t="s">
        <v>31574</v>
      </c>
      <c r="G2724" t="s">
        <v>31587</v>
      </c>
      <c r="H2724" t="s">
        <v>31593</v>
      </c>
      <c r="I2724" t="s">
        <v>31593</v>
      </c>
      <c r="J2724" t="s">
        <v>33327</v>
      </c>
      <c r="K2724" t="s">
        <v>41184</v>
      </c>
      <c r="M2724" t="s">
        <v>42565</v>
      </c>
      <c r="N2724" t="s">
        <v>45095</v>
      </c>
      <c r="O2724" t="s">
        <v>45096</v>
      </c>
      <c r="P2724">
        <v>0</v>
      </c>
      <c r="Q2724">
        <v>1</v>
      </c>
      <c r="R2724" t="s">
        <v>45098</v>
      </c>
      <c r="S2724" t="s">
        <v>45223</v>
      </c>
      <c r="T2724" t="s">
        <v>47129</v>
      </c>
      <c r="U2724" t="s">
        <v>49793</v>
      </c>
      <c r="W2724" t="s">
        <v>42565</v>
      </c>
      <c r="X2724" t="s">
        <v>45102</v>
      </c>
    </row>
    <row r="2725" spans="1:24">
      <c r="A2725">
        <f>HYPERLINK("https://www.philgeps.gov.ph/GEPSNONPILOT/Tender/SplashBidNoticeAbstractUI.aspx?menuIndex=3&amp;refID=7042612&amp;Result=3","7042612")</f>
        <v>0</v>
      </c>
      <c r="B2725" t="s">
        <v>1025</v>
      </c>
      <c r="C2725" t="s">
        <v>5801</v>
      </c>
      <c r="D2725" t="s">
        <v>18023</v>
      </c>
      <c r="E2725" t="s">
        <v>20592</v>
      </c>
      <c r="F2725" t="s">
        <v>31574</v>
      </c>
      <c r="G2725" t="s">
        <v>31582</v>
      </c>
      <c r="H2725" t="s">
        <v>31590</v>
      </c>
      <c r="I2725" t="s">
        <v>31640</v>
      </c>
      <c r="J2725" t="s">
        <v>32258</v>
      </c>
      <c r="K2725" t="s">
        <v>41186</v>
      </c>
      <c r="M2725" t="s">
        <v>42566</v>
      </c>
      <c r="N2725" t="s">
        <v>45095</v>
      </c>
      <c r="O2725" t="s">
        <v>45096</v>
      </c>
      <c r="P2725">
        <v>0</v>
      </c>
      <c r="Q2725">
        <v>0</v>
      </c>
      <c r="R2725" t="s">
        <v>45098</v>
      </c>
      <c r="S2725" t="s">
        <v>45223</v>
      </c>
      <c r="T2725" t="s">
        <v>46980</v>
      </c>
      <c r="U2725" t="s">
        <v>49794</v>
      </c>
      <c r="W2725" t="s">
        <v>42566</v>
      </c>
      <c r="X2725" t="s">
        <v>45102</v>
      </c>
    </row>
    <row r="2726" spans="1:24">
      <c r="A2726">
        <f>HYPERLINK("https://www.philgeps.gov.ph/GEPSNONPILOT/Tender/SplashBidNoticeAbstractUI.aspx?menuIndex=3&amp;refID=7042604&amp;Result=3","7042604")</f>
        <v>0</v>
      </c>
      <c r="B2726" t="s">
        <v>1005</v>
      </c>
      <c r="C2726" t="s">
        <v>5802</v>
      </c>
      <c r="D2726" t="s">
        <v>18092</v>
      </c>
      <c r="E2726" t="s">
        <v>20593</v>
      </c>
      <c r="F2726" t="s">
        <v>31574</v>
      </c>
      <c r="G2726" t="s">
        <v>31582</v>
      </c>
      <c r="H2726" t="s">
        <v>31590</v>
      </c>
      <c r="I2726" t="s">
        <v>5717</v>
      </c>
      <c r="J2726" t="s">
        <v>33595</v>
      </c>
      <c r="K2726" t="s">
        <v>41186</v>
      </c>
      <c r="M2726" t="s">
        <v>42544</v>
      </c>
      <c r="N2726" t="s">
        <v>45095</v>
      </c>
      <c r="O2726" t="s">
        <v>45096</v>
      </c>
      <c r="P2726">
        <v>0</v>
      </c>
      <c r="Q2726">
        <v>2</v>
      </c>
      <c r="R2726" t="s">
        <v>45098</v>
      </c>
      <c r="S2726" t="s">
        <v>45223</v>
      </c>
      <c r="T2726" t="s">
        <v>47000</v>
      </c>
      <c r="U2726" t="s">
        <v>49738</v>
      </c>
      <c r="W2726" t="s">
        <v>42544</v>
      </c>
      <c r="X2726" t="s">
        <v>45102</v>
      </c>
    </row>
    <row r="2727" spans="1:24">
      <c r="A2727">
        <f>HYPERLINK("https://www.philgeps.gov.ph/GEPSNONPILOT/Tender/SplashBidNoticeAbstractUI.aspx?menuIndex=3&amp;refID=7042655&amp;Result=3","7042655")</f>
        <v>0</v>
      </c>
      <c r="B2727" t="s">
        <v>1026</v>
      </c>
      <c r="C2727" t="s">
        <v>5803</v>
      </c>
      <c r="D2727" t="s">
        <v>18027</v>
      </c>
      <c r="E2727" t="s">
        <v>18141</v>
      </c>
      <c r="F2727" t="s">
        <v>31574</v>
      </c>
      <c r="G2727" t="s">
        <v>31582</v>
      </c>
      <c r="H2727" t="s">
        <v>31590</v>
      </c>
      <c r="I2727" t="s">
        <v>3487</v>
      </c>
      <c r="J2727" t="s">
        <v>31741</v>
      </c>
      <c r="K2727" t="s">
        <v>41184</v>
      </c>
      <c r="M2727" t="s">
        <v>42567</v>
      </c>
      <c r="N2727" t="s">
        <v>45095</v>
      </c>
      <c r="O2727" t="s">
        <v>45096</v>
      </c>
      <c r="P2727">
        <v>0</v>
      </c>
      <c r="Q2727">
        <v>1</v>
      </c>
      <c r="R2727" t="s">
        <v>45098</v>
      </c>
      <c r="S2727" t="s">
        <v>45223</v>
      </c>
      <c r="T2727" t="s">
        <v>47030</v>
      </c>
      <c r="U2727" t="s">
        <v>49795</v>
      </c>
      <c r="W2727" t="s">
        <v>42567</v>
      </c>
      <c r="X2727" t="s">
        <v>45102</v>
      </c>
    </row>
    <row r="2728" spans="1:24">
      <c r="A2728">
        <f>HYPERLINK("https://www.philgeps.gov.ph/GEPSNONPILOT/Tender/SplashBidNoticeAbstractUI.aspx?menuIndex=3&amp;refID=7042725&amp;Result=3","7042725")</f>
        <v>0</v>
      </c>
      <c r="B2728" t="s">
        <v>91</v>
      </c>
      <c r="C2728" t="s">
        <v>5804</v>
      </c>
      <c r="D2728" t="s">
        <v>18060</v>
      </c>
      <c r="E2728" t="s">
        <v>20594</v>
      </c>
      <c r="F2728" t="s">
        <v>31574</v>
      </c>
      <c r="G2728" t="s">
        <v>31581</v>
      </c>
      <c r="H2728" t="s">
        <v>31590</v>
      </c>
      <c r="I2728" t="s">
        <v>3487</v>
      </c>
      <c r="J2728" t="s">
        <v>31890</v>
      </c>
      <c r="K2728" t="s">
        <v>41190</v>
      </c>
      <c r="M2728" t="s">
        <v>41575</v>
      </c>
      <c r="N2728" t="s">
        <v>45095</v>
      </c>
      <c r="O2728" t="s">
        <v>45096</v>
      </c>
      <c r="P2728">
        <v>0</v>
      </c>
      <c r="Q2728">
        <v>0</v>
      </c>
      <c r="R2728" t="s">
        <v>45098</v>
      </c>
      <c r="S2728" t="s">
        <v>45223</v>
      </c>
      <c r="T2728" t="s">
        <v>46973</v>
      </c>
      <c r="U2728" t="s">
        <v>49796</v>
      </c>
      <c r="W2728" t="s">
        <v>41575</v>
      </c>
      <c r="X2728" t="s">
        <v>45102</v>
      </c>
    </row>
    <row r="2729" spans="1:24">
      <c r="A2729">
        <f>HYPERLINK("https://www.philgeps.gov.ph/GEPSNONPILOT/Tender/SplashBidNoticeAbstractUI.aspx?menuIndex=3&amp;refID=7042673&amp;Result=3","7042673")</f>
        <v>0</v>
      </c>
      <c r="B2729" t="s">
        <v>91</v>
      </c>
      <c r="C2729" t="s">
        <v>5805</v>
      </c>
      <c r="D2729" t="s">
        <v>18060</v>
      </c>
      <c r="E2729" t="s">
        <v>20595</v>
      </c>
      <c r="F2729" t="s">
        <v>31574</v>
      </c>
      <c r="G2729" t="s">
        <v>31581</v>
      </c>
      <c r="H2729" t="s">
        <v>31590</v>
      </c>
      <c r="I2729" t="s">
        <v>6800</v>
      </c>
      <c r="J2729" t="s">
        <v>32019</v>
      </c>
      <c r="K2729" t="s">
        <v>41190</v>
      </c>
      <c r="M2729" t="s">
        <v>41575</v>
      </c>
      <c r="N2729" t="s">
        <v>45095</v>
      </c>
      <c r="O2729" t="s">
        <v>45096</v>
      </c>
      <c r="P2729">
        <v>0</v>
      </c>
      <c r="Q2729">
        <v>5</v>
      </c>
      <c r="R2729" t="s">
        <v>45098</v>
      </c>
      <c r="S2729" t="s">
        <v>45223</v>
      </c>
      <c r="T2729" t="s">
        <v>46973</v>
      </c>
      <c r="U2729" t="s">
        <v>49797</v>
      </c>
      <c r="W2729" t="s">
        <v>41575</v>
      </c>
      <c r="X2729" t="s">
        <v>45102</v>
      </c>
    </row>
    <row r="2730" spans="1:24">
      <c r="A2730">
        <f>HYPERLINK("https://www.philgeps.gov.ph/GEPSNONPILOT/Tender/SplashBidNoticeAbstractUI.aspx?menuIndex=3&amp;refID=7042724&amp;Result=3","7042724")</f>
        <v>0</v>
      </c>
      <c r="B2730" t="s">
        <v>753</v>
      </c>
      <c r="C2730" t="s">
        <v>5806</v>
      </c>
      <c r="D2730" t="s">
        <v>18073</v>
      </c>
      <c r="E2730" t="s">
        <v>20596</v>
      </c>
      <c r="F2730" t="s">
        <v>31574</v>
      </c>
      <c r="G2730" t="s">
        <v>31581</v>
      </c>
      <c r="H2730" t="s">
        <v>31590</v>
      </c>
      <c r="I2730" t="s">
        <v>7185</v>
      </c>
      <c r="J2730" t="s">
        <v>32010</v>
      </c>
      <c r="K2730" t="s">
        <v>41211</v>
      </c>
      <c r="M2730" t="s">
        <v>42267</v>
      </c>
      <c r="N2730" t="s">
        <v>45095</v>
      </c>
      <c r="O2730" t="s">
        <v>45096</v>
      </c>
      <c r="P2730">
        <v>0</v>
      </c>
      <c r="Q2730">
        <v>1</v>
      </c>
      <c r="R2730" t="s">
        <v>45098</v>
      </c>
      <c r="S2730" t="s">
        <v>45223</v>
      </c>
      <c r="T2730" t="s">
        <v>46957</v>
      </c>
      <c r="U2730" t="s">
        <v>49798</v>
      </c>
      <c r="W2730" t="s">
        <v>42267</v>
      </c>
      <c r="X2730" t="s">
        <v>45102</v>
      </c>
    </row>
    <row r="2731" spans="1:24">
      <c r="A2731">
        <f>HYPERLINK("https://www.philgeps.gov.ph/GEPSNONPILOT/Tender/SplashBidNoticeAbstractUI.aspx?menuIndex=3&amp;refID=7042663&amp;Result=3","7042663")</f>
        <v>0</v>
      </c>
      <c r="B2731" t="s">
        <v>1027</v>
      </c>
      <c r="C2731" t="s">
        <v>5807</v>
      </c>
      <c r="D2731" t="s">
        <v>18079</v>
      </c>
      <c r="E2731" t="s">
        <v>20597</v>
      </c>
      <c r="F2731" t="s">
        <v>31574</v>
      </c>
      <c r="G2731" t="s">
        <v>31582</v>
      </c>
      <c r="H2731" t="s">
        <v>31590</v>
      </c>
      <c r="I2731" t="s">
        <v>31595</v>
      </c>
      <c r="J2731" t="s">
        <v>33596</v>
      </c>
      <c r="K2731" t="s">
        <v>41186</v>
      </c>
      <c r="M2731" t="s">
        <v>42568</v>
      </c>
      <c r="N2731" t="s">
        <v>45095</v>
      </c>
      <c r="O2731" t="s">
        <v>45096</v>
      </c>
      <c r="P2731">
        <v>0</v>
      </c>
      <c r="Q2731">
        <v>5</v>
      </c>
      <c r="R2731" t="s">
        <v>45098</v>
      </c>
      <c r="S2731" t="s">
        <v>45223</v>
      </c>
      <c r="T2731" t="s">
        <v>46952</v>
      </c>
      <c r="U2731" t="s">
        <v>49799</v>
      </c>
      <c r="V2731" t="s">
        <v>60119</v>
      </c>
      <c r="W2731" t="s">
        <v>42568</v>
      </c>
      <c r="X2731" t="s">
        <v>45102</v>
      </c>
    </row>
    <row r="2732" spans="1:24">
      <c r="A2732">
        <f>HYPERLINK("https://www.philgeps.gov.ph/GEPSNONPILOT/Tender/SplashBidNoticeAbstractUI.aspx?menuIndex=3&amp;refID=7042719&amp;Result=3","7042719")</f>
        <v>0</v>
      </c>
      <c r="B2732" t="s">
        <v>1028</v>
      </c>
      <c r="C2732" t="s">
        <v>5808</v>
      </c>
      <c r="D2732" t="s">
        <v>18055</v>
      </c>
      <c r="E2732" t="s">
        <v>20598</v>
      </c>
      <c r="F2732" t="s">
        <v>31574</v>
      </c>
      <c r="G2732" t="s">
        <v>31581</v>
      </c>
      <c r="H2732" t="s">
        <v>31590</v>
      </c>
      <c r="I2732" t="s">
        <v>8258</v>
      </c>
      <c r="J2732" t="s">
        <v>33597</v>
      </c>
      <c r="K2732" t="s">
        <v>41196</v>
      </c>
      <c r="M2732" t="s">
        <v>42569</v>
      </c>
      <c r="N2732" t="s">
        <v>45095</v>
      </c>
      <c r="O2732" t="s">
        <v>45096</v>
      </c>
      <c r="P2732">
        <v>0</v>
      </c>
      <c r="Q2732">
        <v>1</v>
      </c>
      <c r="R2732" t="s">
        <v>45098</v>
      </c>
      <c r="S2732" t="s">
        <v>45223</v>
      </c>
      <c r="T2732" t="s">
        <v>46973</v>
      </c>
      <c r="U2732" t="s">
        <v>49800</v>
      </c>
      <c r="W2732" t="s">
        <v>61687</v>
      </c>
      <c r="X2732" t="s">
        <v>45102</v>
      </c>
    </row>
    <row r="2733" spans="1:24">
      <c r="A2733">
        <f>HYPERLINK("https://www.philgeps.gov.ph/GEPSNONPILOT/Tender/SplashBidNoticeAbstractUI.aspx?menuIndex=3&amp;refID=7042741&amp;Result=3","7042741")</f>
        <v>0</v>
      </c>
      <c r="B2733" t="s">
        <v>919</v>
      </c>
      <c r="C2733" t="s">
        <v>5809</v>
      </c>
      <c r="D2733" t="s">
        <v>18107</v>
      </c>
      <c r="E2733" t="s">
        <v>20599</v>
      </c>
      <c r="F2733" t="s">
        <v>31574</v>
      </c>
      <c r="G2733" t="s">
        <v>31581</v>
      </c>
      <c r="H2733" t="s">
        <v>31590</v>
      </c>
      <c r="I2733" t="s">
        <v>31608</v>
      </c>
      <c r="J2733" t="s">
        <v>32230</v>
      </c>
      <c r="K2733" t="s">
        <v>41190</v>
      </c>
      <c r="M2733" t="s">
        <v>42445</v>
      </c>
      <c r="N2733" t="s">
        <v>45095</v>
      </c>
      <c r="O2733" t="s">
        <v>45096</v>
      </c>
      <c r="P2733">
        <v>0</v>
      </c>
      <c r="Q2733">
        <v>1</v>
      </c>
      <c r="R2733" t="s">
        <v>45098</v>
      </c>
      <c r="S2733" t="s">
        <v>45223</v>
      </c>
      <c r="T2733" t="s">
        <v>46957</v>
      </c>
      <c r="U2733" t="s">
        <v>49801</v>
      </c>
      <c r="W2733" t="s">
        <v>42445</v>
      </c>
      <c r="X2733" t="s">
        <v>45102</v>
      </c>
    </row>
    <row r="2734" spans="1:24">
      <c r="A2734">
        <f>HYPERLINK("https://www.philgeps.gov.ph/GEPSNONPILOT/Tender/SplashBidNoticeAbstractUI.aspx?menuIndex=3&amp;refID=7042712&amp;Result=3","7042712")</f>
        <v>0</v>
      </c>
      <c r="B2734" t="s">
        <v>1027</v>
      </c>
      <c r="C2734" t="s">
        <v>5810</v>
      </c>
      <c r="D2734" t="s">
        <v>18079</v>
      </c>
      <c r="E2734" t="s">
        <v>20600</v>
      </c>
      <c r="F2734" t="s">
        <v>31574</v>
      </c>
      <c r="G2734" t="s">
        <v>31582</v>
      </c>
      <c r="H2734" t="s">
        <v>31590</v>
      </c>
      <c r="I2734" t="s">
        <v>4046</v>
      </c>
      <c r="J2734" t="s">
        <v>33598</v>
      </c>
      <c r="K2734" t="s">
        <v>41186</v>
      </c>
      <c r="M2734" t="s">
        <v>42568</v>
      </c>
      <c r="N2734" t="s">
        <v>45095</v>
      </c>
      <c r="O2734" t="s">
        <v>45096</v>
      </c>
      <c r="P2734">
        <v>0</v>
      </c>
      <c r="Q2734">
        <v>0</v>
      </c>
      <c r="R2734" t="s">
        <v>45098</v>
      </c>
      <c r="S2734" t="s">
        <v>45223</v>
      </c>
      <c r="T2734" t="s">
        <v>46952</v>
      </c>
      <c r="U2734" t="s">
        <v>49802</v>
      </c>
      <c r="V2734" t="s">
        <v>60119</v>
      </c>
      <c r="W2734" t="s">
        <v>42568</v>
      </c>
      <c r="X2734" t="s">
        <v>45102</v>
      </c>
    </row>
    <row r="2735" spans="1:24">
      <c r="A2735">
        <f>HYPERLINK("https://www.philgeps.gov.ph/GEPSNONPILOT/Tender/SplashBidNoticeAbstractUI.aspx?menuIndex=3&amp;refID=7042746&amp;Result=3","7042746")</f>
        <v>0</v>
      </c>
      <c r="B2735" t="s">
        <v>753</v>
      </c>
      <c r="C2735" t="s">
        <v>5811</v>
      </c>
      <c r="D2735" t="s">
        <v>18073</v>
      </c>
      <c r="E2735" t="s">
        <v>20601</v>
      </c>
      <c r="F2735" t="s">
        <v>31574</v>
      </c>
      <c r="G2735" t="s">
        <v>31581</v>
      </c>
      <c r="H2735" t="s">
        <v>31590</v>
      </c>
      <c r="I2735" t="s">
        <v>31620</v>
      </c>
      <c r="J2735" t="s">
        <v>33599</v>
      </c>
      <c r="K2735" t="s">
        <v>41211</v>
      </c>
      <c r="M2735" t="s">
        <v>42267</v>
      </c>
      <c r="N2735" t="s">
        <v>45095</v>
      </c>
      <c r="O2735" t="s">
        <v>45096</v>
      </c>
      <c r="P2735">
        <v>0</v>
      </c>
      <c r="Q2735">
        <v>2</v>
      </c>
      <c r="R2735" t="s">
        <v>45098</v>
      </c>
      <c r="S2735" t="s">
        <v>45223</v>
      </c>
      <c r="T2735" t="s">
        <v>46957</v>
      </c>
      <c r="U2735" t="s">
        <v>49803</v>
      </c>
      <c r="W2735" t="s">
        <v>42267</v>
      </c>
      <c r="X2735" t="s">
        <v>45102</v>
      </c>
    </row>
    <row r="2736" spans="1:24">
      <c r="A2736">
        <f>HYPERLINK("https://www.philgeps.gov.ph/GEPSNONPILOT/Tender/SplashBidNoticeAbstractUI.aspx?menuIndex=3&amp;refID=7042705&amp;Result=3","7042705")</f>
        <v>0</v>
      </c>
      <c r="B2736" t="s">
        <v>1005</v>
      </c>
      <c r="C2736" t="s">
        <v>5812</v>
      </c>
      <c r="D2736" t="s">
        <v>18092</v>
      </c>
      <c r="E2736" t="s">
        <v>20602</v>
      </c>
      <c r="F2736" t="s">
        <v>31574</v>
      </c>
      <c r="G2736" t="s">
        <v>31582</v>
      </c>
      <c r="H2736" t="s">
        <v>31590</v>
      </c>
      <c r="I2736" t="s">
        <v>14544</v>
      </c>
      <c r="J2736" t="s">
        <v>33600</v>
      </c>
      <c r="K2736" t="s">
        <v>41186</v>
      </c>
      <c r="M2736" t="s">
        <v>42544</v>
      </c>
      <c r="N2736" t="s">
        <v>45095</v>
      </c>
      <c r="O2736" t="s">
        <v>45096</v>
      </c>
      <c r="P2736">
        <v>0</v>
      </c>
      <c r="Q2736">
        <v>0</v>
      </c>
      <c r="R2736" t="s">
        <v>45098</v>
      </c>
      <c r="S2736" t="s">
        <v>45223</v>
      </c>
      <c r="T2736" t="s">
        <v>47000</v>
      </c>
      <c r="U2736" t="s">
        <v>49738</v>
      </c>
      <c r="W2736" t="s">
        <v>42544</v>
      </c>
      <c r="X2736" t="s">
        <v>45102</v>
      </c>
    </row>
    <row r="2737" spans="1:24">
      <c r="A2737">
        <f>HYPERLINK("https://www.philgeps.gov.ph/GEPSNONPILOT/Tender/SplashBidNoticeAbstractUI.aspx?menuIndex=3&amp;refID=7042632&amp;Result=3","7042632")</f>
        <v>0</v>
      </c>
      <c r="B2737" t="s">
        <v>1029</v>
      </c>
      <c r="C2737" t="s">
        <v>5813</v>
      </c>
      <c r="E2737" t="s">
        <v>20603</v>
      </c>
      <c r="F2737" t="s">
        <v>31574</v>
      </c>
      <c r="G2737" t="s">
        <v>31582</v>
      </c>
      <c r="H2737" t="s">
        <v>31590</v>
      </c>
      <c r="I2737" t="s">
        <v>31660</v>
      </c>
      <c r="J2737" t="s">
        <v>33601</v>
      </c>
      <c r="K2737" t="s">
        <v>41184</v>
      </c>
      <c r="M2737" t="s">
        <v>42570</v>
      </c>
      <c r="N2737" t="s">
        <v>45095</v>
      </c>
      <c r="O2737" t="s">
        <v>45096</v>
      </c>
      <c r="P2737">
        <v>0</v>
      </c>
      <c r="Q2737">
        <v>4</v>
      </c>
      <c r="R2737" t="s">
        <v>45098</v>
      </c>
      <c r="S2737" t="s">
        <v>45223</v>
      </c>
      <c r="T2737" t="s">
        <v>47130</v>
      </c>
      <c r="U2737" t="s">
        <v>49804</v>
      </c>
      <c r="W2737" t="s">
        <v>42570</v>
      </c>
      <c r="X2737" t="s">
        <v>45102</v>
      </c>
    </row>
    <row r="2738" spans="1:24">
      <c r="A2738">
        <f>HYPERLINK("https://www.philgeps.gov.ph/GEPSNONPILOT/Tender/SplashBidNoticeAbstractUI.aspx?menuIndex=3&amp;refID=7042684&amp;Result=3","7042684")</f>
        <v>0</v>
      </c>
      <c r="B2738" t="s">
        <v>1029</v>
      </c>
      <c r="C2738" t="s">
        <v>5814</v>
      </c>
      <c r="E2738" t="s">
        <v>20604</v>
      </c>
      <c r="F2738" t="s">
        <v>31574</v>
      </c>
      <c r="G2738" t="s">
        <v>31582</v>
      </c>
      <c r="H2738" t="s">
        <v>31590</v>
      </c>
      <c r="I2738" t="s">
        <v>31598</v>
      </c>
      <c r="J2738" t="s">
        <v>33602</v>
      </c>
      <c r="K2738" t="s">
        <v>41184</v>
      </c>
      <c r="M2738" t="s">
        <v>42570</v>
      </c>
      <c r="N2738" t="s">
        <v>45095</v>
      </c>
      <c r="O2738" t="s">
        <v>45096</v>
      </c>
      <c r="P2738">
        <v>0</v>
      </c>
      <c r="Q2738">
        <v>34</v>
      </c>
      <c r="R2738" t="s">
        <v>45098</v>
      </c>
      <c r="S2738" t="s">
        <v>45223</v>
      </c>
      <c r="T2738" t="s">
        <v>47131</v>
      </c>
      <c r="U2738" t="s">
        <v>49805</v>
      </c>
      <c r="W2738" t="s">
        <v>42570</v>
      </c>
      <c r="X2738" t="s">
        <v>45102</v>
      </c>
    </row>
    <row r="2739" spans="1:24">
      <c r="A2739">
        <f>HYPERLINK("https://www.philgeps.gov.ph/GEPSNONPILOT/Tender/SplashBidNoticeAbstractUI.aspx?menuIndex=3&amp;refID=7042701&amp;Result=3","7042701")</f>
        <v>0</v>
      </c>
      <c r="B2739" t="s">
        <v>91</v>
      </c>
      <c r="C2739" t="s">
        <v>5815</v>
      </c>
      <c r="D2739" t="s">
        <v>18060</v>
      </c>
      <c r="E2739" t="s">
        <v>20605</v>
      </c>
      <c r="F2739" t="s">
        <v>31574</v>
      </c>
      <c r="G2739" t="s">
        <v>31581</v>
      </c>
      <c r="H2739" t="s">
        <v>31590</v>
      </c>
      <c r="I2739" t="s">
        <v>3487</v>
      </c>
      <c r="J2739" t="s">
        <v>31726</v>
      </c>
      <c r="K2739" t="s">
        <v>41190</v>
      </c>
      <c r="M2739" t="s">
        <v>41575</v>
      </c>
      <c r="N2739" t="s">
        <v>45095</v>
      </c>
      <c r="O2739" t="s">
        <v>45096</v>
      </c>
      <c r="P2739">
        <v>0</v>
      </c>
      <c r="Q2739">
        <v>0</v>
      </c>
      <c r="R2739" t="s">
        <v>45098</v>
      </c>
      <c r="S2739" t="s">
        <v>45223</v>
      </c>
      <c r="T2739" t="s">
        <v>46973</v>
      </c>
      <c r="U2739" t="s">
        <v>49806</v>
      </c>
      <c r="W2739" t="s">
        <v>41575</v>
      </c>
      <c r="X2739" t="s">
        <v>45102</v>
      </c>
    </row>
    <row r="2740" spans="1:24">
      <c r="A2740">
        <f>HYPERLINK("https://www.philgeps.gov.ph/GEPSNONPILOT/Tender/SplashBidNoticeAbstractUI.aspx?menuIndex=3&amp;refID=7042753&amp;Result=3","7042753")</f>
        <v>0</v>
      </c>
      <c r="B2740" t="s">
        <v>840</v>
      </c>
      <c r="C2740" t="s">
        <v>5816</v>
      </c>
      <c r="E2740" t="s">
        <v>20606</v>
      </c>
      <c r="F2740" t="s">
        <v>31574</v>
      </c>
      <c r="G2740" t="s">
        <v>31582</v>
      </c>
      <c r="H2740" t="s">
        <v>31590</v>
      </c>
      <c r="I2740" t="s">
        <v>31620</v>
      </c>
      <c r="J2740" t="s">
        <v>32333</v>
      </c>
      <c r="K2740" t="s">
        <v>41184</v>
      </c>
      <c r="M2740" t="s">
        <v>42359</v>
      </c>
      <c r="N2740" t="s">
        <v>45095</v>
      </c>
      <c r="O2740" t="s">
        <v>45096</v>
      </c>
      <c r="P2740">
        <v>0</v>
      </c>
      <c r="Q2740">
        <v>10</v>
      </c>
      <c r="R2740" t="s">
        <v>45098</v>
      </c>
      <c r="S2740" t="s">
        <v>45223</v>
      </c>
      <c r="T2740" t="s">
        <v>46908</v>
      </c>
      <c r="U2740" t="s">
        <v>49561</v>
      </c>
      <c r="W2740" t="s">
        <v>42359</v>
      </c>
      <c r="X2740" t="s">
        <v>45102</v>
      </c>
    </row>
    <row r="2741" spans="1:24">
      <c r="A2741">
        <f>HYPERLINK("https://www.philgeps.gov.ph/GEPSNONPILOT/Tender/SplashBidNoticeAbstractUI.aspx?menuIndex=3&amp;refID=7042596&amp;Result=3","7042596")</f>
        <v>0</v>
      </c>
      <c r="B2741" t="s">
        <v>1012</v>
      </c>
      <c r="C2741" t="s">
        <v>5817</v>
      </c>
      <c r="D2741" t="s">
        <v>18024</v>
      </c>
      <c r="E2741" t="s">
        <v>20607</v>
      </c>
      <c r="F2741" t="s">
        <v>31574</v>
      </c>
      <c r="G2741" t="s">
        <v>31582</v>
      </c>
      <c r="H2741" t="s">
        <v>31590</v>
      </c>
      <c r="I2741" t="s">
        <v>31599</v>
      </c>
      <c r="J2741" t="s">
        <v>33603</v>
      </c>
      <c r="K2741" t="s">
        <v>41196</v>
      </c>
      <c r="M2741" t="s">
        <v>42552</v>
      </c>
      <c r="N2741" t="s">
        <v>45095</v>
      </c>
      <c r="O2741" t="s">
        <v>45096</v>
      </c>
      <c r="P2741">
        <v>0</v>
      </c>
      <c r="Q2741">
        <v>0</v>
      </c>
      <c r="R2741" t="s">
        <v>45098</v>
      </c>
      <c r="S2741" t="s">
        <v>45223</v>
      </c>
      <c r="T2741" t="s">
        <v>46955</v>
      </c>
      <c r="U2741" t="s">
        <v>49807</v>
      </c>
      <c r="W2741" t="s">
        <v>42552</v>
      </c>
      <c r="X2741" t="s">
        <v>45102</v>
      </c>
    </row>
    <row r="2742" spans="1:24">
      <c r="A2742">
        <f>HYPERLINK("https://www.philgeps.gov.ph/GEPSNONPILOT/Tender/SplashBidNoticeAbstractUI.aspx?menuIndex=3&amp;refID=7042598&amp;Result=3","7042598")</f>
        <v>0</v>
      </c>
      <c r="B2742" t="s">
        <v>84</v>
      </c>
      <c r="C2742" t="s">
        <v>5818</v>
      </c>
      <c r="D2742" t="s">
        <v>18022</v>
      </c>
      <c r="E2742" t="s">
        <v>20608</v>
      </c>
      <c r="F2742" t="s">
        <v>31574</v>
      </c>
      <c r="G2742" t="s">
        <v>31581</v>
      </c>
      <c r="H2742" t="s">
        <v>31590</v>
      </c>
      <c r="I2742" t="s">
        <v>3487</v>
      </c>
      <c r="J2742" t="s">
        <v>33604</v>
      </c>
      <c r="K2742" t="s">
        <v>41184</v>
      </c>
      <c r="M2742" t="s">
        <v>41568</v>
      </c>
      <c r="N2742" t="s">
        <v>45095</v>
      </c>
      <c r="O2742" t="s">
        <v>45096</v>
      </c>
      <c r="P2742">
        <v>0</v>
      </c>
      <c r="Q2742">
        <v>0</v>
      </c>
      <c r="R2742" t="s">
        <v>45098</v>
      </c>
      <c r="S2742" t="s">
        <v>45223</v>
      </c>
      <c r="T2742" t="s">
        <v>46973</v>
      </c>
      <c r="U2742" t="s">
        <v>49604</v>
      </c>
      <c r="W2742" t="s">
        <v>41568</v>
      </c>
      <c r="X2742" t="s">
        <v>45102</v>
      </c>
    </row>
    <row r="2743" spans="1:24">
      <c r="A2743">
        <f>HYPERLINK("https://www.philgeps.gov.ph/GEPSNONPILOT/Tender/SplashBidNoticeAbstractUI.aspx?menuIndex=3&amp;refID=7042863&amp;Result=3","7042863")</f>
        <v>0</v>
      </c>
      <c r="B2743" t="s">
        <v>1030</v>
      </c>
      <c r="C2743" t="s">
        <v>5819</v>
      </c>
      <c r="D2743" t="s">
        <v>18033</v>
      </c>
      <c r="E2743" t="s">
        <v>20609</v>
      </c>
      <c r="F2743" t="s">
        <v>31574</v>
      </c>
      <c r="G2743" t="s">
        <v>31582</v>
      </c>
      <c r="H2743" t="s">
        <v>31590</v>
      </c>
      <c r="I2743" t="s">
        <v>31601</v>
      </c>
      <c r="J2743" t="s">
        <v>33605</v>
      </c>
      <c r="K2743" t="s">
        <v>41191</v>
      </c>
      <c r="M2743" t="s">
        <v>42571</v>
      </c>
      <c r="N2743" t="s">
        <v>45095</v>
      </c>
      <c r="O2743" t="s">
        <v>45096</v>
      </c>
      <c r="P2743">
        <v>0</v>
      </c>
      <c r="Q2743">
        <v>2</v>
      </c>
      <c r="R2743" t="s">
        <v>45098</v>
      </c>
      <c r="S2743" t="s">
        <v>45223</v>
      </c>
      <c r="T2743" t="s">
        <v>46979</v>
      </c>
      <c r="U2743" t="s">
        <v>49808</v>
      </c>
      <c r="V2743" t="s">
        <v>60120</v>
      </c>
      <c r="W2743" t="s">
        <v>42571</v>
      </c>
      <c r="X2743" t="s">
        <v>45102</v>
      </c>
    </row>
    <row r="2744" spans="1:24">
      <c r="A2744">
        <f>HYPERLINK("https://www.philgeps.gov.ph/GEPSNONPILOT/Tender/SplashBidNoticeAbstractUI.aspx?menuIndex=3&amp;refID=7042839&amp;Result=3","7042839")</f>
        <v>0</v>
      </c>
      <c r="B2744" t="s">
        <v>35</v>
      </c>
      <c r="C2744" t="s">
        <v>3487</v>
      </c>
      <c r="D2744" t="s">
        <v>18030</v>
      </c>
      <c r="E2744" t="s">
        <v>20610</v>
      </c>
      <c r="F2744" t="s">
        <v>31574</v>
      </c>
      <c r="G2744" t="s">
        <v>31581</v>
      </c>
      <c r="H2744" t="s">
        <v>31590</v>
      </c>
      <c r="I2744" t="s">
        <v>3487</v>
      </c>
      <c r="J2744" t="s">
        <v>33606</v>
      </c>
      <c r="K2744" t="s">
        <v>41186</v>
      </c>
      <c r="M2744" t="s">
        <v>41517</v>
      </c>
      <c r="N2744" t="s">
        <v>45095</v>
      </c>
      <c r="O2744" t="s">
        <v>45096</v>
      </c>
      <c r="P2744">
        <v>0</v>
      </c>
      <c r="Q2744">
        <v>0</v>
      </c>
      <c r="R2744" t="s">
        <v>45098</v>
      </c>
      <c r="S2744" t="s">
        <v>45223</v>
      </c>
      <c r="T2744" t="s">
        <v>47106</v>
      </c>
      <c r="U2744" t="s">
        <v>49809</v>
      </c>
      <c r="W2744" t="s">
        <v>41517</v>
      </c>
      <c r="X2744" t="s">
        <v>45102</v>
      </c>
    </row>
    <row r="2745" spans="1:24">
      <c r="A2745">
        <f>HYPERLINK("https://www.philgeps.gov.ph/GEPSNONPILOT/Tender/SplashBidNoticeAbstractUI.aspx?menuIndex=3&amp;refID=7042842&amp;Result=3","7042842")</f>
        <v>0</v>
      </c>
      <c r="B2745" t="s">
        <v>1031</v>
      </c>
      <c r="C2745" t="s">
        <v>5820</v>
      </c>
      <c r="D2745" t="s">
        <v>18056</v>
      </c>
      <c r="E2745" t="s">
        <v>20611</v>
      </c>
      <c r="F2745" t="s">
        <v>31574</v>
      </c>
      <c r="G2745" t="s">
        <v>31582</v>
      </c>
      <c r="H2745" t="s">
        <v>31591</v>
      </c>
      <c r="I2745" t="s">
        <v>8822</v>
      </c>
      <c r="J2745" t="s">
        <v>33607</v>
      </c>
      <c r="K2745" t="s">
        <v>41188</v>
      </c>
      <c r="M2745" t="s">
        <v>42572</v>
      </c>
      <c r="N2745" t="s">
        <v>45095</v>
      </c>
      <c r="O2745" t="s">
        <v>45096</v>
      </c>
      <c r="P2745">
        <v>0</v>
      </c>
      <c r="Q2745">
        <v>0</v>
      </c>
      <c r="R2745" t="s">
        <v>45098</v>
      </c>
      <c r="S2745" t="s">
        <v>45223</v>
      </c>
      <c r="T2745" t="s">
        <v>47089</v>
      </c>
      <c r="U2745" t="s">
        <v>49810</v>
      </c>
      <c r="W2745" t="s">
        <v>42572</v>
      </c>
      <c r="X2745" t="s">
        <v>45102</v>
      </c>
    </row>
    <row r="2746" spans="1:24">
      <c r="A2746">
        <f>HYPERLINK("https://www.philgeps.gov.ph/GEPSNONPILOT/Tender/SplashBidNoticeAbstractUI.aspx?menuIndex=3&amp;refID=7042862&amp;Result=3","7042862")</f>
        <v>0</v>
      </c>
      <c r="B2746" t="s">
        <v>1032</v>
      </c>
      <c r="C2746" t="s">
        <v>5821</v>
      </c>
      <c r="E2746" t="s">
        <v>20612</v>
      </c>
      <c r="F2746" t="s">
        <v>31574</v>
      </c>
      <c r="G2746" t="s">
        <v>31582</v>
      </c>
      <c r="H2746" t="s">
        <v>31590</v>
      </c>
      <c r="I2746" t="s">
        <v>31594</v>
      </c>
      <c r="J2746" t="s">
        <v>33608</v>
      </c>
      <c r="K2746" t="s">
        <v>41192</v>
      </c>
      <c r="M2746" t="s">
        <v>42573</v>
      </c>
      <c r="N2746" t="s">
        <v>45095</v>
      </c>
      <c r="O2746" t="s">
        <v>45096</v>
      </c>
      <c r="P2746">
        <v>0</v>
      </c>
      <c r="Q2746">
        <v>33</v>
      </c>
      <c r="R2746" t="s">
        <v>45098</v>
      </c>
      <c r="S2746" t="s">
        <v>45223</v>
      </c>
      <c r="T2746" t="s">
        <v>47132</v>
      </c>
      <c r="U2746" t="s">
        <v>49811</v>
      </c>
      <c r="W2746" t="s">
        <v>42573</v>
      </c>
      <c r="X2746" t="s">
        <v>45102</v>
      </c>
    </row>
    <row r="2747" spans="1:24">
      <c r="A2747">
        <f>HYPERLINK("https://www.philgeps.gov.ph/GEPSNONPILOT/Tender/SplashBidNoticeAbstractUI.aspx?menuIndex=3&amp;refID=7042809&amp;Result=3","7042809")</f>
        <v>0</v>
      </c>
      <c r="B2747" t="s">
        <v>1030</v>
      </c>
      <c r="C2747" t="s">
        <v>5822</v>
      </c>
      <c r="D2747" t="s">
        <v>18033</v>
      </c>
      <c r="E2747" t="s">
        <v>20613</v>
      </c>
      <c r="F2747" t="s">
        <v>31574</v>
      </c>
      <c r="G2747" t="s">
        <v>31582</v>
      </c>
      <c r="H2747" t="s">
        <v>31590</v>
      </c>
      <c r="I2747" t="s">
        <v>31655</v>
      </c>
      <c r="J2747" t="s">
        <v>33609</v>
      </c>
      <c r="K2747" t="s">
        <v>41190</v>
      </c>
      <c r="M2747" t="s">
        <v>42571</v>
      </c>
      <c r="N2747" t="s">
        <v>45095</v>
      </c>
      <c r="O2747" t="s">
        <v>45096</v>
      </c>
      <c r="P2747">
        <v>0</v>
      </c>
      <c r="Q2747">
        <v>5</v>
      </c>
      <c r="R2747" t="s">
        <v>45098</v>
      </c>
      <c r="S2747" t="s">
        <v>45223</v>
      </c>
      <c r="T2747" t="s">
        <v>46979</v>
      </c>
      <c r="U2747" t="s">
        <v>49812</v>
      </c>
      <c r="V2747" t="s">
        <v>60121</v>
      </c>
      <c r="W2747" t="s">
        <v>42571</v>
      </c>
      <c r="X2747" t="s">
        <v>45102</v>
      </c>
    </row>
    <row r="2748" spans="1:24">
      <c r="A2748">
        <f>HYPERLINK("https://www.philgeps.gov.ph/GEPSNONPILOT/Tender/SplashBidNoticeAbstractUI.aspx?menuIndex=3&amp;refID=7042785&amp;Result=3","7042785")</f>
        <v>0</v>
      </c>
      <c r="B2748" t="s">
        <v>91</v>
      </c>
      <c r="C2748" t="s">
        <v>5823</v>
      </c>
      <c r="E2748" t="s">
        <v>20614</v>
      </c>
      <c r="F2748" t="s">
        <v>31574</v>
      </c>
      <c r="G2748" t="s">
        <v>31581</v>
      </c>
      <c r="H2748" t="s">
        <v>31590</v>
      </c>
      <c r="I2748" t="s">
        <v>3487</v>
      </c>
      <c r="J2748" t="s">
        <v>33610</v>
      </c>
      <c r="K2748" t="s">
        <v>41190</v>
      </c>
      <c r="N2748" t="s">
        <v>45095</v>
      </c>
      <c r="O2748" t="s">
        <v>45096</v>
      </c>
      <c r="P2748">
        <v>0</v>
      </c>
      <c r="Q2748">
        <v>3</v>
      </c>
      <c r="R2748" t="s">
        <v>45098</v>
      </c>
      <c r="S2748" t="s">
        <v>45223</v>
      </c>
      <c r="T2748" t="s">
        <v>46973</v>
      </c>
      <c r="U2748" t="s">
        <v>49813</v>
      </c>
      <c r="W2748" t="s">
        <v>41575</v>
      </c>
      <c r="X2748" t="s">
        <v>45102</v>
      </c>
    </row>
    <row r="2749" spans="1:24">
      <c r="A2749">
        <f>HYPERLINK("https://www.philgeps.gov.ph/GEPSNONPILOT/Tender/SplashBidNoticeAbstractUI.aspx?menuIndex=3&amp;refID=7042831&amp;Result=3","7042831")</f>
        <v>0</v>
      </c>
      <c r="B2749" t="s">
        <v>1028</v>
      </c>
      <c r="C2749" t="s">
        <v>5824</v>
      </c>
      <c r="D2749" t="s">
        <v>18055</v>
      </c>
      <c r="E2749" t="s">
        <v>20615</v>
      </c>
      <c r="F2749" t="s">
        <v>31574</v>
      </c>
      <c r="G2749" t="s">
        <v>31581</v>
      </c>
      <c r="H2749" t="s">
        <v>31590</v>
      </c>
      <c r="I2749" t="s">
        <v>7185</v>
      </c>
      <c r="J2749" t="s">
        <v>33611</v>
      </c>
      <c r="K2749" t="s">
        <v>41196</v>
      </c>
      <c r="M2749" t="s">
        <v>42569</v>
      </c>
      <c r="N2749" t="s">
        <v>45095</v>
      </c>
      <c r="O2749" t="s">
        <v>45096</v>
      </c>
      <c r="P2749">
        <v>0</v>
      </c>
      <c r="Q2749">
        <v>3</v>
      </c>
      <c r="R2749" t="s">
        <v>45098</v>
      </c>
      <c r="S2749" t="s">
        <v>45223</v>
      </c>
      <c r="T2749" t="s">
        <v>46973</v>
      </c>
      <c r="U2749" t="s">
        <v>49814</v>
      </c>
      <c r="W2749" t="s">
        <v>61687</v>
      </c>
      <c r="X2749" t="s">
        <v>45102</v>
      </c>
    </row>
    <row r="2750" spans="1:24">
      <c r="A2750">
        <f>HYPERLINK("https://www.philgeps.gov.ph/GEPSNONPILOT/Tender/SplashBidNoticeAbstractUI.aspx?menuIndex=3&amp;refID=7042783&amp;Result=3","7042783")</f>
        <v>0</v>
      </c>
      <c r="B2750" t="s">
        <v>840</v>
      </c>
      <c r="C2750" t="s">
        <v>5825</v>
      </c>
      <c r="E2750" t="s">
        <v>20616</v>
      </c>
      <c r="F2750" t="s">
        <v>31574</v>
      </c>
      <c r="G2750" t="s">
        <v>31582</v>
      </c>
      <c r="H2750" t="s">
        <v>31590</v>
      </c>
      <c r="I2750" t="s">
        <v>31620</v>
      </c>
      <c r="J2750" t="s">
        <v>32203</v>
      </c>
      <c r="K2750" t="s">
        <v>41184</v>
      </c>
      <c r="M2750" t="s">
        <v>42574</v>
      </c>
      <c r="N2750" t="s">
        <v>45095</v>
      </c>
      <c r="O2750" t="s">
        <v>45096</v>
      </c>
      <c r="P2750">
        <v>0</v>
      </c>
      <c r="Q2750">
        <v>10</v>
      </c>
      <c r="R2750" t="s">
        <v>45098</v>
      </c>
      <c r="S2750" t="s">
        <v>45223</v>
      </c>
      <c r="T2750" t="s">
        <v>47044</v>
      </c>
      <c r="U2750" t="s">
        <v>49561</v>
      </c>
      <c r="W2750" t="s">
        <v>42574</v>
      </c>
      <c r="X2750" t="s">
        <v>45102</v>
      </c>
    </row>
    <row r="2751" spans="1:24">
      <c r="A2751">
        <f>HYPERLINK("https://www.philgeps.gov.ph/GEPSNONPILOT/Tender/SplashBidNoticeAbstractUI.aspx?menuIndex=3&amp;refID=7042856&amp;Result=3","7042856")</f>
        <v>0</v>
      </c>
      <c r="B2751" t="s">
        <v>1031</v>
      </c>
      <c r="C2751" t="s">
        <v>5826</v>
      </c>
      <c r="D2751" t="s">
        <v>18056</v>
      </c>
      <c r="E2751" t="s">
        <v>20617</v>
      </c>
      <c r="F2751" t="s">
        <v>31574</v>
      </c>
      <c r="G2751" t="s">
        <v>31582</v>
      </c>
      <c r="H2751" t="s">
        <v>31591</v>
      </c>
      <c r="I2751" t="s">
        <v>8822</v>
      </c>
      <c r="J2751" t="s">
        <v>33612</v>
      </c>
      <c r="K2751" t="s">
        <v>41188</v>
      </c>
      <c r="M2751" t="s">
        <v>42572</v>
      </c>
      <c r="N2751" t="s">
        <v>45095</v>
      </c>
      <c r="O2751" t="s">
        <v>45096</v>
      </c>
      <c r="P2751">
        <v>0</v>
      </c>
      <c r="Q2751">
        <v>0</v>
      </c>
      <c r="R2751" t="s">
        <v>45098</v>
      </c>
      <c r="S2751" t="s">
        <v>45223</v>
      </c>
      <c r="T2751" t="s">
        <v>47089</v>
      </c>
      <c r="U2751" t="s">
        <v>49815</v>
      </c>
      <c r="W2751" t="s">
        <v>42572</v>
      </c>
      <c r="X2751" t="s">
        <v>45102</v>
      </c>
    </row>
    <row r="2752" spans="1:24">
      <c r="A2752">
        <f>HYPERLINK("https://www.philgeps.gov.ph/GEPSNONPILOT/Tender/SplashBidNoticeAbstractUI.aspx?menuIndex=3&amp;refID=7042857&amp;Result=3","7042857")</f>
        <v>0</v>
      </c>
      <c r="B2752" t="s">
        <v>1033</v>
      </c>
      <c r="C2752" t="s">
        <v>5827</v>
      </c>
      <c r="E2752" t="s">
        <v>20618</v>
      </c>
      <c r="F2752" t="s">
        <v>31574</v>
      </c>
      <c r="G2752" t="s">
        <v>31582</v>
      </c>
      <c r="H2752" t="s">
        <v>31590</v>
      </c>
      <c r="I2752" t="s">
        <v>31653</v>
      </c>
      <c r="J2752" t="s">
        <v>32459</v>
      </c>
      <c r="K2752" t="s">
        <v>41184</v>
      </c>
      <c r="M2752" t="s">
        <v>42575</v>
      </c>
      <c r="N2752" t="s">
        <v>45095</v>
      </c>
      <c r="O2752" t="s">
        <v>45096</v>
      </c>
      <c r="P2752">
        <v>0</v>
      </c>
      <c r="Q2752">
        <v>0</v>
      </c>
      <c r="R2752" t="s">
        <v>45098</v>
      </c>
      <c r="S2752" t="s">
        <v>45223</v>
      </c>
      <c r="T2752" t="s">
        <v>46952</v>
      </c>
      <c r="U2752" t="s">
        <v>49816</v>
      </c>
      <c r="W2752" t="s">
        <v>42575</v>
      </c>
      <c r="X2752" t="s">
        <v>45102</v>
      </c>
    </row>
    <row r="2753" spans="1:24">
      <c r="A2753">
        <f>HYPERLINK("https://www.philgeps.gov.ph/GEPSNONPILOT/Tender/SplashBidNoticeAbstractUI.aspx?menuIndex=3&amp;refID=7042754&amp;Result=3","7042754")</f>
        <v>0</v>
      </c>
      <c r="B2753" t="s">
        <v>91</v>
      </c>
      <c r="C2753" t="s">
        <v>5794</v>
      </c>
      <c r="D2753" t="s">
        <v>18060</v>
      </c>
      <c r="E2753" t="s">
        <v>20619</v>
      </c>
      <c r="F2753" t="s">
        <v>31574</v>
      </c>
      <c r="G2753" t="s">
        <v>31581</v>
      </c>
      <c r="H2753" t="s">
        <v>31590</v>
      </c>
      <c r="I2753" t="s">
        <v>3487</v>
      </c>
      <c r="J2753" t="s">
        <v>31724</v>
      </c>
      <c r="K2753" t="s">
        <v>41190</v>
      </c>
      <c r="M2753" t="s">
        <v>41575</v>
      </c>
      <c r="N2753" t="s">
        <v>45095</v>
      </c>
      <c r="O2753" t="s">
        <v>45096</v>
      </c>
      <c r="P2753">
        <v>0</v>
      </c>
      <c r="Q2753">
        <v>2</v>
      </c>
      <c r="R2753" t="s">
        <v>45098</v>
      </c>
      <c r="S2753" t="s">
        <v>45223</v>
      </c>
      <c r="T2753" t="s">
        <v>46973</v>
      </c>
      <c r="U2753" t="s">
        <v>49817</v>
      </c>
      <c r="W2753" t="s">
        <v>41575</v>
      </c>
      <c r="X2753" t="s">
        <v>45102</v>
      </c>
    </row>
    <row r="2754" spans="1:24">
      <c r="A2754">
        <f>HYPERLINK("https://www.philgeps.gov.ph/GEPSNONPILOT/Tender/SplashBidNoticeAbstractUI.aspx?menuIndex=3&amp;refID=7042892&amp;Result=3","7042892")</f>
        <v>0</v>
      </c>
      <c r="B2754" t="s">
        <v>1032</v>
      </c>
      <c r="C2754" t="s">
        <v>5821</v>
      </c>
      <c r="E2754" t="s">
        <v>20620</v>
      </c>
      <c r="F2754" t="s">
        <v>31574</v>
      </c>
      <c r="G2754" t="s">
        <v>31582</v>
      </c>
      <c r="H2754" t="s">
        <v>31590</v>
      </c>
      <c r="I2754" t="s">
        <v>31594</v>
      </c>
      <c r="J2754" t="s">
        <v>33613</v>
      </c>
      <c r="K2754" t="s">
        <v>41192</v>
      </c>
      <c r="M2754" t="s">
        <v>42573</v>
      </c>
      <c r="N2754" t="s">
        <v>45095</v>
      </c>
      <c r="O2754" t="s">
        <v>45096</v>
      </c>
      <c r="P2754">
        <v>0</v>
      </c>
      <c r="Q2754">
        <v>30</v>
      </c>
      <c r="R2754" t="s">
        <v>45098</v>
      </c>
      <c r="S2754" t="s">
        <v>45223</v>
      </c>
      <c r="T2754" t="s">
        <v>47133</v>
      </c>
      <c r="U2754" t="s">
        <v>49811</v>
      </c>
      <c r="W2754" t="s">
        <v>42573</v>
      </c>
      <c r="X2754" t="s">
        <v>45102</v>
      </c>
    </row>
    <row r="2755" spans="1:24">
      <c r="A2755">
        <f>HYPERLINK("https://www.philgeps.gov.ph/GEPSNONPILOT/Tender/SplashBidNoticeAbstractUI.aspx?menuIndex=3&amp;refID=7042889&amp;Result=3","7042889")</f>
        <v>0</v>
      </c>
      <c r="B2755" t="s">
        <v>840</v>
      </c>
      <c r="C2755" t="s">
        <v>5828</v>
      </c>
      <c r="E2755" t="s">
        <v>20621</v>
      </c>
      <c r="F2755" t="s">
        <v>31574</v>
      </c>
      <c r="G2755" t="s">
        <v>31582</v>
      </c>
      <c r="H2755" t="s">
        <v>31590</v>
      </c>
      <c r="I2755" t="s">
        <v>31620</v>
      </c>
      <c r="J2755" t="s">
        <v>32232</v>
      </c>
      <c r="K2755" t="s">
        <v>41184</v>
      </c>
      <c r="M2755" t="s">
        <v>42574</v>
      </c>
      <c r="N2755" t="s">
        <v>45095</v>
      </c>
      <c r="O2755" t="s">
        <v>45096</v>
      </c>
      <c r="P2755">
        <v>0</v>
      </c>
      <c r="Q2755">
        <v>7</v>
      </c>
      <c r="R2755" t="s">
        <v>45098</v>
      </c>
      <c r="S2755" t="s">
        <v>45223</v>
      </c>
      <c r="T2755" t="s">
        <v>47044</v>
      </c>
      <c r="U2755" t="s">
        <v>49561</v>
      </c>
      <c r="W2755" t="s">
        <v>42574</v>
      </c>
      <c r="X2755" t="s">
        <v>45102</v>
      </c>
    </row>
    <row r="2756" spans="1:24">
      <c r="A2756">
        <f>HYPERLINK("https://www.philgeps.gov.ph/GEPSNONPILOT/Tender/SplashBidNoticeAbstractUI.aspx?menuIndex=3&amp;refID=7042867&amp;Result=3","7042867")</f>
        <v>0</v>
      </c>
      <c r="B2756" t="s">
        <v>1033</v>
      </c>
      <c r="C2756" t="s">
        <v>5829</v>
      </c>
      <c r="E2756" t="s">
        <v>20622</v>
      </c>
      <c r="F2756" t="s">
        <v>31574</v>
      </c>
      <c r="G2756" t="s">
        <v>31582</v>
      </c>
      <c r="H2756" t="s">
        <v>31590</v>
      </c>
      <c r="I2756" t="s">
        <v>31653</v>
      </c>
      <c r="J2756" t="s">
        <v>32101</v>
      </c>
      <c r="K2756" t="s">
        <v>41184</v>
      </c>
      <c r="M2756" t="s">
        <v>42575</v>
      </c>
      <c r="N2756" t="s">
        <v>45095</v>
      </c>
      <c r="O2756" t="s">
        <v>45096</v>
      </c>
      <c r="P2756">
        <v>0</v>
      </c>
      <c r="Q2756">
        <v>4</v>
      </c>
      <c r="R2756" t="s">
        <v>45098</v>
      </c>
      <c r="S2756" t="s">
        <v>45223</v>
      </c>
      <c r="T2756" t="s">
        <v>46952</v>
      </c>
      <c r="U2756" t="s">
        <v>49818</v>
      </c>
      <c r="W2756" t="s">
        <v>42575</v>
      </c>
      <c r="X2756" t="s">
        <v>45102</v>
      </c>
    </row>
    <row r="2757" spans="1:24">
      <c r="A2757">
        <f>HYPERLINK("https://www.philgeps.gov.ph/GEPSNONPILOT/Tender/SplashBidNoticeAbstractUI.aspx?menuIndex=3&amp;refID=7042860&amp;Result=3","7042860")</f>
        <v>0</v>
      </c>
      <c r="B2757" t="s">
        <v>840</v>
      </c>
      <c r="C2757" t="s">
        <v>5830</v>
      </c>
      <c r="E2757" t="s">
        <v>20623</v>
      </c>
      <c r="F2757" t="s">
        <v>31574</v>
      </c>
      <c r="G2757" t="s">
        <v>31582</v>
      </c>
      <c r="H2757" t="s">
        <v>31590</v>
      </c>
      <c r="I2757" t="s">
        <v>31620</v>
      </c>
      <c r="J2757" t="s">
        <v>32523</v>
      </c>
      <c r="K2757" t="s">
        <v>41184</v>
      </c>
      <c r="M2757" t="s">
        <v>42574</v>
      </c>
      <c r="N2757" t="s">
        <v>45095</v>
      </c>
      <c r="O2757" t="s">
        <v>45096</v>
      </c>
      <c r="P2757">
        <v>0</v>
      </c>
      <c r="Q2757">
        <v>8</v>
      </c>
      <c r="R2757" t="s">
        <v>45098</v>
      </c>
      <c r="S2757" t="s">
        <v>45223</v>
      </c>
      <c r="T2757" t="s">
        <v>47044</v>
      </c>
      <c r="U2757" t="s">
        <v>49561</v>
      </c>
      <c r="W2757" t="s">
        <v>42574</v>
      </c>
      <c r="X2757" t="s">
        <v>45102</v>
      </c>
    </row>
    <row r="2758" spans="1:24">
      <c r="A2758">
        <f>HYPERLINK("https://www.philgeps.gov.ph/GEPSNONPILOT/Tender/SplashBidNoticeAbstractUI.aspx?menuIndex=3&amp;refID=7042866&amp;Result=3","7042866")</f>
        <v>0</v>
      </c>
      <c r="B2758" t="s">
        <v>35</v>
      </c>
      <c r="C2758" t="s">
        <v>3487</v>
      </c>
      <c r="D2758" t="s">
        <v>18030</v>
      </c>
      <c r="E2758" t="s">
        <v>20624</v>
      </c>
      <c r="F2758" t="s">
        <v>31574</v>
      </c>
      <c r="G2758" t="s">
        <v>31581</v>
      </c>
      <c r="H2758" t="s">
        <v>31590</v>
      </c>
      <c r="I2758" t="s">
        <v>3487</v>
      </c>
      <c r="J2758" t="s">
        <v>33614</v>
      </c>
      <c r="K2758" t="s">
        <v>41186</v>
      </c>
      <c r="M2758" t="s">
        <v>41517</v>
      </c>
      <c r="N2758" t="s">
        <v>45095</v>
      </c>
      <c r="O2758" t="s">
        <v>45096</v>
      </c>
      <c r="P2758">
        <v>0</v>
      </c>
      <c r="Q2758">
        <v>0</v>
      </c>
      <c r="R2758" t="s">
        <v>45098</v>
      </c>
      <c r="S2758" t="s">
        <v>45223</v>
      </c>
      <c r="T2758" t="s">
        <v>47106</v>
      </c>
      <c r="U2758" t="s">
        <v>49819</v>
      </c>
      <c r="W2758" t="s">
        <v>41517</v>
      </c>
      <c r="X2758" t="s">
        <v>45102</v>
      </c>
    </row>
    <row r="2759" spans="1:24">
      <c r="A2759">
        <f>HYPERLINK("https://www.philgeps.gov.ph/GEPSNONPILOT/Tender/SplashBidNoticeAbstractUI.aspx?menuIndex=3&amp;refID=7042897&amp;Result=3","7042897")</f>
        <v>0</v>
      </c>
      <c r="B2759" t="s">
        <v>357</v>
      </c>
      <c r="C2759" t="s">
        <v>5831</v>
      </c>
      <c r="D2759" t="s">
        <v>18026</v>
      </c>
      <c r="E2759" t="s">
        <v>20625</v>
      </c>
      <c r="F2759" t="s">
        <v>31574</v>
      </c>
      <c r="G2759" t="s">
        <v>31582</v>
      </c>
      <c r="H2759" t="s">
        <v>31590</v>
      </c>
      <c r="I2759" t="s">
        <v>31621</v>
      </c>
      <c r="J2759" t="s">
        <v>31947</v>
      </c>
      <c r="K2759" t="s">
        <v>41184</v>
      </c>
      <c r="M2759" t="s">
        <v>42576</v>
      </c>
      <c r="N2759" t="s">
        <v>45095</v>
      </c>
      <c r="O2759" t="s">
        <v>45096</v>
      </c>
      <c r="P2759">
        <v>0</v>
      </c>
      <c r="Q2759">
        <v>2</v>
      </c>
      <c r="R2759" t="s">
        <v>45098</v>
      </c>
      <c r="S2759" t="s">
        <v>45223</v>
      </c>
      <c r="T2759" t="s">
        <v>46932</v>
      </c>
      <c r="U2759" t="s">
        <v>49820</v>
      </c>
      <c r="W2759" t="s">
        <v>42576</v>
      </c>
      <c r="X2759" t="s">
        <v>45102</v>
      </c>
    </row>
    <row r="2760" spans="1:24">
      <c r="A2760">
        <f>HYPERLINK("https://www.philgeps.gov.ph/GEPSNONPILOT/Tender/SplashBidNoticeAbstractUI.aspx?menuIndex=3&amp;refID=7042878&amp;Result=3","7042878")</f>
        <v>0</v>
      </c>
      <c r="B2760" t="s">
        <v>1033</v>
      </c>
      <c r="C2760" t="s">
        <v>5832</v>
      </c>
      <c r="E2760" t="s">
        <v>20626</v>
      </c>
      <c r="F2760" t="s">
        <v>31574</v>
      </c>
      <c r="G2760" t="s">
        <v>31582</v>
      </c>
      <c r="H2760" t="s">
        <v>31591</v>
      </c>
      <c r="I2760" t="s">
        <v>7162</v>
      </c>
      <c r="J2760" t="s">
        <v>33615</v>
      </c>
      <c r="K2760" t="s">
        <v>41184</v>
      </c>
      <c r="M2760" t="s">
        <v>42575</v>
      </c>
      <c r="N2760" t="s">
        <v>45095</v>
      </c>
      <c r="O2760" t="s">
        <v>45096</v>
      </c>
      <c r="P2760">
        <v>0</v>
      </c>
      <c r="Q2760">
        <v>1</v>
      </c>
      <c r="R2760" t="s">
        <v>45098</v>
      </c>
      <c r="S2760" t="s">
        <v>45223</v>
      </c>
      <c r="T2760" t="s">
        <v>46952</v>
      </c>
      <c r="U2760" t="s">
        <v>49821</v>
      </c>
      <c r="W2760" t="s">
        <v>42575</v>
      </c>
      <c r="X2760" t="s">
        <v>45102</v>
      </c>
    </row>
    <row r="2761" spans="1:24">
      <c r="A2761">
        <f>HYPERLINK("https://www.philgeps.gov.ph/GEPSNONPILOT/Tender/SplashBidNoticeAbstractUI.aspx?menuIndex=3&amp;refID=7042871&amp;Result=3","7042871")</f>
        <v>0</v>
      </c>
      <c r="B2761" t="s">
        <v>1031</v>
      </c>
      <c r="C2761" t="s">
        <v>5833</v>
      </c>
      <c r="D2761" t="s">
        <v>18056</v>
      </c>
      <c r="E2761" t="s">
        <v>20627</v>
      </c>
      <c r="F2761" t="s">
        <v>31574</v>
      </c>
      <c r="G2761" t="s">
        <v>31582</v>
      </c>
      <c r="H2761" t="s">
        <v>31591</v>
      </c>
      <c r="I2761" t="s">
        <v>8822</v>
      </c>
      <c r="J2761" t="s">
        <v>33616</v>
      </c>
      <c r="K2761" t="s">
        <v>41200</v>
      </c>
      <c r="M2761" t="s">
        <v>42572</v>
      </c>
      <c r="N2761" t="s">
        <v>45095</v>
      </c>
      <c r="O2761" t="s">
        <v>45096</v>
      </c>
      <c r="P2761">
        <v>0</v>
      </c>
      <c r="Q2761">
        <v>0</v>
      </c>
      <c r="R2761" t="s">
        <v>45098</v>
      </c>
      <c r="S2761" t="s">
        <v>45223</v>
      </c>
      <c r="T2761" t="s">
        <v>47089</v>
      </c>
      <c r="U2761" t="s">
        <v>49822</v>
      </c>
      <c r="W2761" t="s">
        <v>42572</v>
      </c>
      <c r="X2761" t="s">
        <v>45102</v>
      </c>
    </row>
    <row r="2762" spans="1:24">
      <c r="A2762">
        <f>HYPERLINK("https://www.philgeps.gov.ph/GEPSNONPILOT/Tender/SplashBidNoticeAbstractUI.aspx?menuIndex=3&amp;refID=7042905&amp;Result=3","7042905")</f>
        <v>0</v>
      </c>
      <c r="B2762" t="s">
        <v>191</v>
      </c>
      <c r="C2762" t="s">
        <v>5834</v>
      </c>
      <c r="D2762" t="s">
        <v>18082</v>
      </c>
      <c r="E2762" t="s">
        <v>20628</v>
      </c>
      <c r="F2762" t="s">
        <v>31574</v>
      </c>
      <c r="G2762" t="s">
        <v>31581</v>
      </c>
      <c r="H2762" t="s">
        <v>31590</v>
      </c>
      <c r="I2762" t="s">
        <v>31602</v>
      </c>
      <c r="J2762" t="s">
        <v>33134</v>
      </c>
      <c r="K2762" t="s">
        <v>41184</v>
      </c>
      <c r="M2762" t="s">
        <v>41676</v>
      </c>
      <c r="N2762" t="s">
        <v>45095</v>
      </c>
      <c r="O2762" t="s">
        <v>45096</v>
      </c>
      <c r="P2762">
        <v>0</v>
      </c>
      <c r="Q2762">
        <v>0</v>
      </c>
      <c r="R2762" t="s">
        <v>45098</v>
      </c>
      <c r="S2762" t="s">
        <v>45223</v>
      </c>
      <c r="T2762" t="s">
        <v>47120</v>
      </c>
      <c r="U2762" t="s">
        <v>49823</v>
      </c>
      <c r="W2762" t="s">
        <v>41676</v>
      </c>
      <c r="X2762" t="s">
        <v>45102</v>
      </c>
    </row>
    <row r="2763" spans="1:24">
      <c r="A2763">
        <f>HYPERLINK("https://www.philgeps.gov.ph/GEPSNONPILOT/Tender/SplashBidNoticeAbstractUI.aspx?menuIndex=3&amp;refID=7042974&amp;Result=3","7042974")</f>
        <v>0</v>
      </c>
      <c r="B2763" t="s">
        <v>91</v>
      </c>
      <c r="C2763" t="s">
        <v>5835</v>
      </c>
      <c r="D2763" t="s">
        <v>18060</v>
      </c>
      <c r="E2763" t="s">
        <v>20629</v>
      </c>
      <c r="F2763" t="s">
        <v>31574</v>
      </c>
      <c r="G2763" t="s">
        <v>31581</v>
      </c>
      <c r="H2763" t="s">
        <v>31590</v>
      </c>
      <c r="I2763" t="s">
        <v>3487</v>
      </c>
      <c r="J2763" t="s">
        <v>31957</v>
      </c>
      <c r="K2763" t="s">
        <v>41190</v>
      </c>
      <c r="M2763" t="s">
        <v>41575</v>
      </c>
      <c r="N2763" t="s">
        <v>45095</v>
      </c>
      <c r="O2763" t="s">
        <v>45096</v>
      </c>
      <c r="P2763">
        <v>0</v>
      </c>
      <c r="Q2763">
        <v>0</v>
      </c>
      <c r="R2763" t="s">
        <v>45098</v>
      </c>
      <c r="S2763" t="s">
        <v>45223</v>
      </c>
      <c r="T2763" t="s">
        <v>46973</v>
      </c>
      <c r="U2763" t="s">
        <v>49824</v>
      </c>
      <c r="W2763" t="s">
        <v>41575</v>
      </c>
      <c r="X2763" t="s">
        <v>45102</v>
      </c>
    </row>
    <row r="2764" spans="1:24">
      <c r="A2764">
        <f>HYPERLINK("https://www.philgeps.gov.ph/GEPSNONPILOT/Tender/SplashBidNoticeAbstractUI.aspx?menuIndex=3&amp;refID=7042938&amp;Result=3","7042938")</f>
        <v>0</v>
      </c>
      <c r="B2764" t="s">
        <v>829</v>
      </c>
      <c r="C2764" t="s">
        <v>5836</v>
      </c>
      <c r="D2764" t="s">
        <v>18022</v>
      </c>
      <c r="E2764" t="s">
        <v>20630</v>
      </c>
      <c r="F2764" t="s">
        <v>31574</v>
      </c>
      <c r="G2764" t="s">
        <v>31582</v>
      </c>
      <c r="H2764" t="s">
        <v>31590</v>
      </c>
      <c r="I2764" t="s">
        <v>31620</v>
      </c>
      <c r="J2764" t="s">
        <v>32986</v>
      </c>
      <c r="K2764" t="s">
        <v>41189</v>
      </c>
      <c r="M2764" t="s">
        <v>42348</v>
      </c>
      <c r="N2764" t="s">
        <v>45095</v>
      </c>
      <c r="O2764" t="s">
        <v>45096</v>
      </c>
      <c r="P2764">
        <v>0</v>
      </c>
      <c r="Q2764">
        <v>8</v>
      </c>
      <c r="R2764" t="s">
        <v>45098</v>
      </c>
      <c r="S2764" t="s">
        <v>45223</v>
      </c>
      <c r="T2764" t="s">
        <v>46915</v>
      </c>
      <c r="U2764" t="s">
        <v>49825</v>
      </c>
      <c r="W2764" t="s">
        <v>42348</v>
      </c>
      <c r="X2764" t="s">
        <v>45102</v>
      </c>
    </row>
    <row r="2765" spans="1:24">
      <c r="A2765">
        <f>HYPERLINK("https://www.philgeps.gov.ph/GEPSNONPILOT/Tender/SplashBidNoticeAbstractUI.aspx?menuIndex=3&amp;refID=7042980&amp;Result=3","7042980")</f>
        <v>0</v>
      </c>
      <c r="B2765" t="s">
        <v>91</v>
      </c>
      <c r="C2765" t="s">
        <v>5835</v>
      </c>
      <c r="D2765" t="s">
        <v>18060</v>
      </c>
      <c r="E2765" t="s">
        <v>20631</v>
      </c>
      <c r="F2765" t="s">
        <v>31574</v>
      </c>
      <c r="G2765" t="s">
        <v>31581</v>
      </c>
      <c r="H2765" t="s">
        <v>31590</v>
      </c>
      <c r="I2765" t="s">
        <v>3487</v>
      </c>
      <c r="J2765" t="s">
        <v>33617</v>
      </c>
      <c r="K2765" t="s">
        <v>41190</v>
      </c>
      <c r="M2765" t="s">
        <v>41575</v>
      </c>
      <c r="N2765" t="s">
        <v>45095</v>
      </c>
      <c r="O2765" t="s">
        <v>45096</v>
      </c>
      <c r="P2765">
        <v>0</v>
      </c>
      <c r="Q2765">
        <v>0</v>
      </c>
      <c r="R2765" t="s">
        <v>45098</v>
      </c>
      <c r="S2765" t="s">
        <v>45223</v>
      </c>
      <c r="T2765" t="s">
        <v>46973</v>
      </c>
      <c r="U2765" t="s">
        <v>49826</v>
      </c>
      <c r="W2765" t="s">
        <v>41575</v>
      </c>
      <c r="X2765" t="s">
        <v>45102</v>
      </c>
    </row>
    <row r="2766" spans="1:24">
      <c r="A2766">
        <f>HYPERLINK("https://www.philgeps.gov.ph/GEPSNONPILOT/Tender/SplashBidNoticeAbstractUI.aspx?menuIndex=3&amp;refID=7042951&amp;Result=3","7042951")</f>
        <v>0</v>
      </c>
      <c r="B2766" t="s">
        <v>91</v>
      </c>
      <c r="C2766" t="s">
        <v>5837</v>
      </c>
      <c r="D2766" t="s">
        <v>18060</v>
      </c>
      <c r="E2766" t="s">
        <v>20614</v>
      </c>
      <c r="F2766" t="s">
        <v>31574</v>
      </c>
      <c r="G2766" t="s">
        <v>31581</v>
      </c>
      <c r="H2766" t="s">
        <v>31590</v>
      </c>
      <c r="I2766" t="s">
        <v>3487</v>
      </c>
      <c r="J2766" t="s">
        <v>33610</v>
      </c>
      <c r="K2766" t="s">
        <v>41190</v>
      </c>
      <c r="M2766" t="s">
        <v>41575</v>
      </c>
      <c r="N2766" t="s">
        <v>45095</v>
      </c>
      <c r="O2766" t="s">
        <v>45096</v>
      </c>
      <c r="P2766">
        <v>0</v>
      </c>
      <c r="Q2766">
        <v>0</v>
      </c>
      <c r="R2766" t="s">
        <v>45098</v>
      </c>
      <c r="S2766" t="s">
        <v>45223</v>
      </c>
      <c r="T2766" t="s">
        <v>46973</v>
      </c>
      <c r="U2766" t="s">
        <v>49827</v>
      </c>
      <c r="W2766" t="s">
        <v>41575</v>
      </c>
      <c r="X2766" t="s">
        <v>45102</v>
      </c>
    </row>
    <row r="2767" spans="1:24">
      <c r="A2767">
        <f>HYPERLINK("https://www.philgeps.gov.ph/GEPSNONPILOT/Tender/SplashBidNoticeAbstractUI.aspx?menuIndex=3&amp;refID=7042912&amp;Result=3","7042912")</f>
        <v>0</v>
      </c>
      <c r="B2767" t="s">
        <v>357</v>
      </c>
      <c r="C2767" t="s">
        <v>5838</v>
      </c>
      <c r="D2767" t="s">
        <v>18026</v>
      </c>
      <c r="E2767" t="s">
        <v>20632</v>
      </c>
      <c r="F2767" t="s">
        <v>31574</v>
      </c>
      <c r="G2767" t="s">
        <v>31582</v>
      </c>
      <c r="H2767" t="s">
        <v>31590</v>
      </c>
      <c r="I2767" t="s">
        <v>31612</v>
      </c>
      <c r="J2767" t="s">
        <v>31789</v>
      </c>
      <c r="K2767" t="s">
        <v>41184</v>
      </c>
      <c r="M2767" t="s">
        <v>42576</v>
      </c>
      <c r="N2767" t="s">
        <v>45095</v>
      </c>
      <c r="O2767" t="s">
        <v>45096</v>
      </c>
      <c r="P2767">
        <v>0</v>
      </c>
      <c r="Q2767">
        <v>0</v>
      </c>
      <c r="R2767" t="s">
        <v>45098</v>
      </c>
      <c r="S2767" t="s">
        <v>45223</v>
      </c>
      <c r="T2767" t="s">
        <v>46932</v>
      </c>
      <c r="U2767" t="s">
        <v>49828</v>
      </c>
      <c r="W2767" t="s">
        <v>42576</v>
      </c>
      <c r="X2767" t="s">
        <v>45102</v>
      </c>
    </row>
    <row r="2768" spans="1:24">
      <c r="A2768">
        <f>HYPERLINK("https://www.philgeps.gov.ph/GEPSNONPILOT/Tender/SplashBidNoticeAbstractUI.aspx?menuIndex=3&amp;refID=7042907&amp;Result=3","7042907")</f>
        <v>0</v>
      </c>
      <c r="B2768" t="s">
        <v>840</v>
      </c>
      <c r="C2768" t="s">
        <v>5839</v>
      </c>
      <c r="E2768" t="s">
        <v>20633</v>
      </c>
      <c r="F2768" t="s">
        <v>31574</v>
      </c>
      <c r="G2768" t="s">
        <v>31582</v>
      </c>
      <c r="H2768" t="s">
        <v>31590</v>
      </c>
      <c r="I2768" t="s">
        <v>31620</v>
      </c>
      <c r="J2768" t="s">
        <v>32473</v>
      </c>
      <c r="K2768" t="s">
        <v>41184</v>
      </c>
      <c r="M2768" t="s">
        <v>42574</v>
      </c>
      <c r="N2768" t="s">
        <v>45095</v>
      </c>
      <c r="O2768" t="s">
        <v>45096</v>
      </c>
      <c r="P2768">
        <v>0</v>
      </c>
      <c r="Q2768">
        <v>8</v>
      </c>
      <c r="R2768" t="s">
        <v>45098</v>
      </c>
      <c r="S2768" t="s">
        <v>45223</v>
      </c>
      <c r="T2768" t="s">
        <v>47044</v>
      </c>
      <c r="U2768" t="s">
        <v>49561</v>
      </c>
      <c r="W2768" t="s">
        <v>42574</v>
      </c>
      <c r="X2768" t="s">
        <v>45102</v>
      </c>
    </row>
    <row r="2769" spans="1:24">
      <c r="A2769">
        <f>HYPERLINK("https://www.philgeps.gov.ph/GEPSNONPILOT/Tender/SplashBidNoticeAbstractUI.aspx?menuIndex=3&amp;refID=7043010&amp;Result=3","7043010")</f>
        <v>0</v>
      </c>
      <c r="B2769" t="s">
        <v>1034</v>
      </c>
      <c r="C2769" t="s">
        <v>5840</v>
      </c>
      <c r="D2769" t="s">
        <v>18079</v>
      </c>
      <c r="E2769" t="s">
        <v>20634</v>
      </c>
      <c r="F2769" t="s">
        <v>31574</v>
      </c>
      <c r="G2769" t="s">
        <v>31582</v>
      </c>
      <c r="H2769" t="s">
        <v>31590</v>
      </c>
      <c r="I2769" t="s">
        <v>4046</v>
      </c>
      <c r="J2769" t="s">
        <v>33618</v>
      </c>
      <c r="K2769" t="s">
        <v>41191</v>
      </c>
      <c r="M2769" t="s">
        <v>42577</v>
      </c>
      <c r="N2769" t="s">
        <v>45095</v>
      </c>
      <c r="O2769" t="s">
        <v>45096</v>
      </c>
      <c r="P2769">
        <v>0</v>
      </c>
      <c r="Q2769">
        <v>0</v>
      </c>
      <c r="R2769" t="s">
        <v>45098</v>
      </c>
      <c r="S2769" t="s">
        <v>45223</v>
      </c>
      <c r="T2769" t="s">
        <v>46979</v>
      </c>
      <c r="U2769" t="s">
        <v>49829</v>
      </c>
      <c r="W2769" t="s">
        <v>42577</v>
      </c>
      <c r="X2769" t="s">
        <v>45102</v>
      </c>
    </row>
    <row r="2770" spans="1:24">
      <c r="A2770">
        <f>HYPERLINK("https://www.philgeps.gov.ph/GEPSNONPILOT/Tender/SplashBidNoticeAbstractUI.aspx?menuIndex=3&amp;refID=7043009&amp;Result=3","7043009")</f>
        <v>0</v>
      </c>
      <c r="B2770" t="s">
        <v>968</v>
      </c>
      <c r="C2770" t="s">
        <v>5841</v>
      </c>
      <c r="D2770" t="s">
        <v>18062</v>
      </c>
      <c r="E2770" t="s">
        <v>20635</v>
      </c>
      <c r="F2770" t="s">
        <v>31574</v>
      </c>
      <c r="G2770" t="s">
        <v>31581</v>
      </c>
      <c r="H2770" t="s">
        <v>31590</v>
      </c>
      <c r="I2770" t="s">
        <v>5717</v>
      </c>
      <c r="J2770" t="s">
        <v>33619</v>
      </c>
      <c r="K2770" t="s">
        <v>41186</v>
      </c>
      <c r="M2770" t="s">
        <v>42497</v>
      </c>
      <c r="N2770" t="s">
        <v>45095</v>
      </c>
      <c r="O2770" t="s">
        <v>45096</v>
      </c>
      <c r="P2770">
        <v>0</v>
      </c>
      <c r="Q2770">
        <v>1</v>
      </c>
      <c r="R2770" t="s">
        <v>45098</v>
      </c>
      <c r="S2770" t="s">
        <v>45223</v>
      </c>
      <c r="T2770" t="s">
        <v>46904</v>
      </c>
      <c r="U2770" t="s">
        <v>49830</v>
      </c>
      <c r="V2770" t="s">
        <v>60122</v>
      </c>
      <c r="W2770" t="s">
        <v>42497</v>
      </c>
      <c r="X2770" t="s">
        <v>45102</v>
      </c>
    </row>
    <row r="2771" spans="1:24">
      <c r="A2771">
        <f>HYPERLINK("https://www.philgeps.gov.ph/GEPSNONPILOT/Tender/SplashBidNoticeAbstractUI.aspx?menuIndex=3&amp;refID=7043004&amp;Result=3","7043004")</f>
        <v>0</v>
      </c>
      <c r="B2771" t="s">
        <v>968</v>
      </c>
      <c r="C2771" t="s">
        <v>5842</v>
      </c>
      <c r="D2771" t="s">
        <v>18062</v>
      </c>
      <c r="E2771" t="s">
        <v>20636</v>
      </c>
      <c r="F2771" t="s">
        <v>31574</v>
      </c>
      <c r="G2771" t="s">
        <v>31581</v>
      </c>
      <c r="H2771" t="s">
        <v>31590</v>
      </c>
      <c r="I2771" t="s">
        <v>31637</v>
      </c>
      <c r="J2771" t="s">
        <v>32216</v>
      </c>
      <c r="K2771" t="s">
        <v>41186</v>
      </c>
      <c r="M2771" t="s">
        <v>42497</v>
      </c>
      <c r="N2771" t="s">
        <v>45095</v>
      </c>
      <c r="O2771" t="s">
        <v>45096</v>
      </c>
      <c r="P2771">
        <v>0</v>
      </c>
      <c r="Q2771">
        <v>3</v>
      </c>
      <c r="R2771" t="s">
        <v>45098</v>
      </c>
      <c r="S2771" t="s">
        <v>45223</v>
      </c>
      <c r="T2771" t="s">
        <v>46904</v>
      </c>
      <c r="U2771" t="s">
        <v>49831</v>
      </c>
      <c r="V2771" t="s">
        <v>60123</v>
      </c>
      <c r="W2771" t="s">
        <v>42497</v>
      </c>
      <c r="X2771" t="s">
        <v>45102</v>
      </c>
    </row>
    <row r="2772" spans="1:24">
      <c r="A2772">
        <f>HYPERLINK("https://www.philgeps.gov.ph/GEPSNONPILOT/Tender/SplashBidNoticeAbstractUI.aspx?menuIndex=3&amp;refID=7043021&amp;Result=3","7043021")</f>
        <v>0</v>
      </c>
      <c r="B2772" t="s">
        <v>1034</v>
      </c>
      <c r="C2772" t="s">
        <v>5843</v>
      </c>
      <c r="D2772" t="s">
        <v>18079</v>
      </c>
      <c r="E2772" t="s">
        <v>20637</v>
      </c>
      <c r="F2772" t="s">
        <v>31574</v>
      </c>
      <c r="G2772" t="s">
        <v>31582</v>
      </c>
      <c r="H2772" t="s">
        <v>31591</v>
      </c>
      <c r="I2772" t="s">
        <v>8822</v>
      </c>
      <c r="J2772" t="s">
        <v>32232</v>
      </c>
      <c r="K2772" t="s">
        <v>41240</v>
      </c>
      <c r="M2772" t="s">
        <v>42577</v>
      </c>
      <c r="N2772" t="s">
        <v>45095</v>
      </c>
      <c r="O2772" t="s">
        <v>45096</v>
      </c>
      <c r="P2772">
        <v>0</v>
      </c>
      <c r="Q2772">
        <v>0</v>
      </c>
      <c r="R2772" t="s">
        <v>45098</v>
      </c>
      <c r="S2772" t="s">
        <v>45223</v>
      </c>
      <c r="T2772" t="s">
        <v>46979</v>
      </c>
      <c r="U2772" t="s">
        <v>49832</v>
      </c>
      <c r="W2772" t="s">
        <v>42577</v>
      </c>
      <c r="X2772" t="s">
        <v>45102</v>
      </c>
    </row>
    <row r="2773" spans="1:24">
      <c r="A2773">
        <f>HYPERLINK("https://www.philgeps.gov.ph/GEPSNONPILOT/Tender/SplashBidNoticeAbstractUI.aspx?menuIndex=3&amp;refID=7043037&amp;Result=3","7043037")</f>
        <v>0</v>
      </c>
      <c r="B2773" t="s">
        <v>1035</v>
      </c>
      <c r="C2773" t="s">
        <v>5844</v>
      </c>
      <c r="D2773" t="s">
        <v>18033</v>
      </c>
      <c r="E2773" t="s">
        <v>20638</v>
      </c>
      <c r="F2773" t="s">
        <v>31575</v>
      </c>
      <c r="G2773" t="s">
        <v>31582</v>
      </c>
      <c r="H2773" t="s">
        <v>31590</v>
      </c>
      <c r="I2773" t="s">
        <v>4046</v>
      </c>
      <c r="J2773" t="s">
        <v>33620</v>
      </c>
      <c r="K2773" t="s">
        <v>41213</v>
      </c>
      <c r="M2773" t="s">
        <v>42578</v>
      </c>
      <c r="N2773" t="s">
        <v>45095</v>
      </c>
      <c r="O2773" t="s">
        <v>45096</v>
      </c>
      <c r="P2773">
        <v>0</v>
      </c>
      <c r="Q2773">
        <v>0</v>
      </c>
      <c r="R2773" t="s">
        <v>45098</v>
      </c>
      <c r="S2773" t="s">
        <v>45223</v>
      </c>
      <c r="T2773" t="s">
        <v>47134</v>
      </c>
      <c r="U2773" t="s">
        <v>49833</v>
      </c>
      <c r="W2773" t="s">
        <v>42578</v>
      </c>
      <c r="X2773" t="s">
        <v>45102</v>
      </c>
    </row>
    <row r="2774" spans="1:24">
      <c r="A2774">
        <f>HYPERLINK("https://www.philgeps.gov.ph/GEPSNONPILOT/Tender/SplashBidNoticeAbstractUI.aspx?menuIndex=3&amp;refID=7042924&amp;Result=3","7042924")</f>
        <v>0</v>
      </c>
      <c r="B2774" t="s">
        <v>357</v>
      </c>
      <c r="C2774" t="s">
        <v>5845</v>
      </c>
      <c r="D2774" t="s">
        <v>18026</v>
      </c>
      <c r="E2774" t="s">
        <v>20639</v>
      </c>
      <c r="F2774" t="s">
        <v>31574</v>
      </c>
      <c r="G2774" t="s">
        <v>31582</v>
      </c>
      <c r="H2774" t="s">
        <v>31590</v>
      </c>
      <c r="I2774" t="s">
        <v>6800</v>
      </c>
      <c r="J2774" t="s">
        <v>33621</v>
      </c>
      <c r="K2774" t="s">
        <v>41184</v>
      </c>
      <c r="M2774" t="s">
        <v>42576</v>
      </c>
      <c r="N2774" t="s">
        <v>45095</v>
      </c>
      <c r="O2774" t="s">
        <v>45096</v>
      </c>
      <c r="P2774">
        <v>0</v>
      </c>
      <c r="Q2774">
        <v>5</v>
      </c>
      <c r="R2774" t="s">
        <v>45098</v>
      </c>
      <c r="S2774" t="s">
        <v>45223</v>
      </c>
      <c r="T2774" t="s">
        <v>46932</v>
      </c>
      <c r="U2774" t="s">
        <v>49834</v>
      </c>
      <c r="W2774" t="s">
        <v>42576</v>
      </c>
      <c r="X2774" t="s">
        <v>45102</v>
      </c>
    </row>
    <row r="2775" spans="1:24">
      <c r="A2775">
        <f>HYPERLINK("https://www.philgeps.gov.ph/GEPSNONPILOT/Tender/SplashBidNoticeAbstractUI.aspx?menuIndex=3&amp;refID=7043023&amp;Result=3","7043023")</f>
        <v>0</v>
      </c>
      <c r="B2775" t="s">
        <v>1034</v>
      </c>
      <c r="C2775" t="s">
        <v>5846</v>
      </c>
      <c r="D2775" t="s">
        <v>18079</v>
      </c>
      <c r="E2775" t="s">
        <v>20640</v>
      </c>
      <c r="F2775" t="s">
        <v>31574</v>
      </c>
      <c r="G2775" t="s">
        <v>31582</v>
      </c>
      <c r="H2775" t="s">
        <v>31591</v>
      </c>
      <c r="I2775" t="s">
        <v>8822</v>
      </c>
      <c r="J2775" t="s">
        <v>33622</v>
      </c>
      <c r="K2775" t="s">
        <v>41186</v>
      </c>
      <c r="M2775" t="s">
        <v>42577</v>
      </c>
      <c r="N2775" t="s">
        <v>45095</v>
      </c>
      <c r="O2775" t="s">
        <v>45096</v>
      </c>
      <c r="P2775">
        <v>0</v>
      </c>
      <c r="Q2775">
        <v>0</v>
      </c>
      <c r="R2775" t="s">
        <v>45098</v>
      </c>
      <c r="S2775" t="s">
        <v>45223</v>
      </c>
      <c r="T2775" t="s">
        <v>46979</v>
      </c>
      <c r="U2775" t="s">
        <v>49835</v>
      </c>
      <c r="W2775" t="s">
        <v>42577</v>
      </c>
      <c r="X2775" t="s">
        <v>45102</v>
      </c>
    </row>
    <row r="2776" spans="1:24">
      <c r="A2776">
        <f>HYPERLINK("https://www.philgeps.gov.ph/GEPSNONPILOT/Tender/SplashBidNoticeAbstractUI.aspx?menuIndex=3&amp;refID=7043035&amp;Result=3","7043035")</f>
        <v>0</v>
      </c>
      <c r="B2776" t="s">
        <v>1036</v>
      </c>
      <c r="C2776" t="s">
        <v>5847</v>
      </c>
      <c r="D2776" t="s">
        <v>18072</v>
      </c>
      <c r="E2776" t="s">
        <v>20641</v>
      </c>
      <c r="F2776" t="s">
        <v>31574</v>
      </c>
      <c r="G2776" t="s">
        <v>31582</v>
      </c>
      <c r="H2776" t="s">
        <v>31591</v>
      </c>
      <c r="I2776" t="s">
        <v>31638</v>
      </c>
      <c r="J2776" t="s">
        <v>33623</v>
      </c>
      <c r="K2776" t="s">
        <v>41292</v>
      </c>
      <c r="M2776" t="s">
        <v>42579</v>
      </c>
      <c r="N2776" t="s">
        <v>45095</v>
      </c>
      <c r="O2776" t="s">
        <v>45096</v>
      </c>
      <c r="P2776">
        <v>0</v>
      </c>
      <c r="Q2776">
        <v>0</v>
      </c>
      <c r="R2776" t="s">
        <v>45098</v>
      </c>
      <c r="S2776" t="s">
        <v>45223</v>
      </c>
      <c r="T2776" t="s">
        <v>46956</v>
      </c>
      <c r="U2776" t="s">
        <v>49836</v>
      </c>
      <c r="W2776" t="s">
        <v>42579</v>
      </c>
      <c r="X2776" t="s">
        <v>45102</v>
      </c>
    </row>
    <row r="2777" spans="1:24">
      <c r="A2777">
        <f>HYPERLINK("https://www.philgeps.gov.ph/GEPSNONPILOT/Tender/SplashBidNoticeAbstractUI.aspx?menuIndex=3&amp;refID=7042963&amp;Result=3","7042963")</f>
        <v>0</v>
      </c>
      <c r="B2777" t="s">
        <v>1028</v>
      </c>
      <c r="C2777" t="s">
        <v>5848</v>
      </c>
      <c r="D2777" t="s">
        <v>18055</v>
      </c>
      <c r="E2777" t="s">
        <v>20642</v>
      </c>
      <c r="F2777" t="s">
        <v>31574</v>
      </c>
      <c r="G2777" t="s">
        <v>31581</v>
      </c>
      <c r="H2777" t="s">
        <v>31590</v>
      </c>
      <c r="I2777" t="s">
        <v>7185</v>
      </c>
      <c r="J2777" t="s">
        <v>33624</v>
      </c>
      <c r="K2777" t="s">
        <v>41196</v>
      </c>
      <c r="M2777" t="s">
        <v>42569</v>
      </c>
      <c r="N2777" t="s">
        <v>45095</v>
      </c>
      <c r="O2777" t="s">
        <v>45096</v>
      </c>
      <c r="P2777">
        <v>0</v>
      </c>
      <c r="Q2777">
        <v>1</v>
      </c>
      <c r="R2777" t="s">
        <v>45098</v>
      </c>
      <c r="S2777" t="s">
        <v>45223</v>
      </c>
      <c r="T2777" t="s">
        <v>46973</v>
      </c>
      <c r="U2777" t="s">
        <v>49837</v>
      </c>
      <c r="W2777" t="s">
        <v>61687</v>
      </c>
      <c r="X2777" t="s">
        <v>45102</v>
      </c>
    </row>
    <row r="2778" spans="1:24">
      <c r="A2778">
        <f>HYPERLINK("https://www.philgeps.gov.ph/GEPSNONPILOT/Tender/SplashBidNoticeAbstractUI.aspx?menuIndex=3&amp;refID=7043183&amp;Result=3","7043183")</f>
        <v>0</v>
      </c>
      <c r="B2778" t="s">
        <v>1037</v>
      </c>
      <c r="C2778" t="s">
        <v>5849</v>
      </c>
      <c r="D2778" t="s">
        <v>18022</v>
      </c>
      <c r="E2778" t="s">
        <v>20643</v>
      </c>
      <c r="F2778" t="s">
        <v>31575</v>
      </c>
      <c r="G2778" t="s">
        <v>31582</v>
      </c>
      <c r="H2778" t="s">
        <v>31590</v>
      </c>
      <c r="I2778" t="s">
        <v>31629</v>
      </c>
      <c r="J2778" t="s">
        <v>32232</v>
      </c>
      <c r="K2778" t="s">
        <v>41186</v>
      </c>
      <c r="M2778" t="s">
        <v>42580</v>
      </c>
      <c r="N2778" t="s">
        <v>45095</v>
      </c>
      <c r="O2778" t="s">
        <v>45096</v>
      </c>
      <c r="P2778">
        <v>0</v>
      </c>
      <c r="Q2778">
        <v>0</v>
      </c>
      <c r="R2778" t="s">
        <v>45098</v>
      </c>
      <c r="S2778" t="s">
        <v>45223</v>
      </c>
      <c r="T2778" t="s">
        <v>47135</v>
      </c>
      <c r="U2778" t="s">
        <v>49838</v>
      </c>
      <c r="V2778" t="s">
        <v>60124</v>
      </c>
      <c r="W2778" t="s">
        <v>42580</v>
      </c>
      <c r="X2778" t="s">
        <v>45102</v>
      </c>
    </row>
    <row r="2779" spans="1:24">
      <c r="A2779">
        <f>HYPERLINK("https://www.philgeps.gov.ph/GEPSNONPILOT/Tender/SplashBidNoticeAbstractUI.aspx?menuIndex=3&amp;refID=7043181&amp;Result=3","7043181")</f>
        <v>0</v>
      </c>
      <c r="B2779" t="s">
        <v>1038</v>
      </c>
      <c r="C2779" t="s">
        <v>5850</v>
      </c>
      <c r="D2779" t="s">
        <v>18031</v>
      </c>
      <c r="E2779" t="s">
        <v>20644</v>
      </c>
      <c r="F2779" t="s">
        <v>31574</v>
      </c>
      <c r="G2779" t="s">
        <v>31583</v>
      </c>
      <c r="H2779" t="s">
        <v>31590</v>
      </c>
      <c r="I2779" t="s">
        <v>31608</v>
      </c>
      <c r="J2779" t="s">
        <v>32246</v>
      </c>
      <c r="K2779" t="s">
        <v>41196</v>
      </c>
      <c r="M2779" t="s">
        <v>42581</v>
      </c>
      <c r="N2779" t="s">
        <v>45095</v>
      </c>
      <c r="O2779" t="s">
        <v>45096</v>
      </c>
      <c r="P2779">
        <v>0</v>
      </c>
      <c r="Q2779">
        <v>1</v>
      </c>
      <c r="R2779" t="s">
        <v>45098</v>
      </c>
      <c r="S2779" t="s">
        <v>45223</v>
      </c>
      <c r="T2779" t="s">
        <v>47136</v>
      </c>
      <c r="U2779" t="s">
        <v>49839</v>
      </c>
      <c r="W2779" t="s">
        <v>42581</v>
      </c>
      <c r="X2779" t="s">
        <v>45102</v>
      </c>
    </row>
    <row r="2780" spans="1:24">
      <c r="A2780">
        <f>HYPERLINK("https://www.philgeps.gov.ph/GEPSNONPILOT/Tender/SplashBidNoticeAbstractUI.aspx?menuIndex=3&amp;refID=7043038&amp;Result=3","7043038")</f>
        <v>0</v>
      </c>
      <c r="B2780" t="s">
        <v>1032</v>
      </c>
      <c r="C2780" t="s">
        <v>5851</v>
      </c>
      <c r="D2780" t="s">
        <v>18022</v>
      </c>
      <c r="E2780" t="s">
        <v>20645</v>
      </c>
      <c r="F2780" t="s">
        <v>31574</v>
      </c>
      <c r="G2780" t="s">
        <v>31582</v>
      </c>
      <c r="H2780" t="s">
        <v>31591</v>
      </c>
      <c r="I2780" t="s">
        <v>8822</v>
      </c>
      <c r="J2780" t="s">
        <v>33327</v>
      </c>
      <c r="K2780" t="s">
        <v>41189</v>
      </c>
      <c r="M2780" t="s">
        <v>42573</v>
      </c>
      <c r="N2780" t="s">
        <v>45095</v>
      </c>
      <c r="O2780" t="s">
        <v>45096</v>
      </c>
      <c r="P2780">
        <v>0</v>
      </c>
      <c r="Q2780">
        <v>2</v>
      </c>
      <c r="R2780" t="s">
        <v>45098</v>
      </c>
      <c r="S2780" t="s">
        <v>45223</v>
      </c>
      <c r="T2780" t="s">
        <v>47137</v>
      </c>
      <c r="U2780" t="s">
        <v>49811</v>
      </c>
      <c r="W2780" t="s">
        <v>42573</v>
      </c>
      <c r="X2780" t="s">
        <v>45102</v>
      </c>
    </row>
    <row r="2781" spans="1:24">
      <c r="A2781">
        <f>HYPERLINK("https://www.philgeps.gov.ph/GEPSNONPILOT/Tender/SplashBidNoticeAbstractUI.aspx?menuIndex=3&amp;refID=7043172&amp;Result=3","7043172")</f>
        <v>0</v>
      </c>
      <c r="B2781" t="s">
        <v>1039</v>
      </c>
      <c r="C2781" t="s">
        <v>5852</v>
      </c>
      <c r="D2781" t="s">
        <v>18045</v>
      </c>
      <c r="E2781" t="s">
        <v>20646</v>
      </c>
      <c r="F2781" t="s">
        <v>31574</v>
      </c>
      <c r="G2781" t="s">
        <v>31581</v>
      </c>
      <c r="H2781" t="s">
        <v>31590</v>
      </c>
      <c r="I2781" t="s">
        <v>4046</v>
      </c>
      <c r="J2781" t="s">
        <v>33625</v>
      </c>
      <c r="K2781" t="s">
        <v>41184</v>
      </c>
      <c r="M2781" t="s">
        <v>42582</v>
      </c>
      <c r="N2781" t="s">
        <v>45095</v>
      </c>
      <c r="O2781" t="s">
        <v>45096</v>
      </c>
      <c r="P2781">
        <v>0</v>
      </c>
      <c r="Q2781">
        <v>0</v>
      </c>
      <c r="R2781" t="s">
        <v>45098</v>
      </c>
      <c r="S2781" t="s">
        <v>45223</v>
      </c>
      <c r="T2781" t="s">
        <v>46963</v>
      </c>
      <c r="U2781" t="s">
        <v>49840</v>
      </c>
      <c r="W2781" t="s">
        <v>42582</v>
      </c>
      <c r="X2781" t="s">
        <v>45102</v>
      </c>
    </row>
    <row r="2782" spans="1:24">
      <c r="A2782">
        <f>HYPERLINK("https://www.philgeps.gov.ph/GEPSNONPILOT/Tender/SplashBidNoticeAbstractUI.aspx?menuIndex=3&amp;refID=7043170&amp;Result=3","7043170")</f>
        <v>0</v>
      </c>
      <c r="B2782" t="s">
        <v>1037</v>
      </c>
      <c r="C2782" t="s">
        <v>5853</v>
      </c>
      <c r="D2782" t="s">
        <v>18022</v>
      </c>
      <c r="E2782" t="s">
        <v>20647</v>
      </c>
      <c r="F2782" t="s">
        <v>31575</v>
      </c>
      <c r="G2782" t="s">
        <v>31582</v>
      </c>
      <c r="H2782" t="s">
        <v>31590</v>
      </c>
      <c r="I2782" t="s">
        <v>31629</v>
      </c>
      <c r="J2782" t="s">
        <v>31759</v>
      </c>
      <c r="K2782" t="s">
        <v>41186</v>
      </c>
      <c r="M2782" t="s">
        <v>42580</v>
      </c>
      <c r="N2782" t="s">
        <v>45095</v>
      </c>
      <c r="O2782" t="s">
        <v>45096</v>
      </c>
      <c r="P2782">
        <v>0</v>
      </c>
      <c r="Q2782">
        <v>0</v>
      </c>
      <c r="R2782" t="s">
        <v>45098</v>
      </c>
      <c r="S2782" t="s">
        <v>45223</v>
      </c>
      <c r="T2782" t="s">
        <v>46977</v>
      </c>
      <c r="U2782" t="s">
        <v>49841</v>
      </c>
      <c r="V2782" t="s">
        <v>60124</v>
      </c>
      <c r="W2782" t="s">
        <v>42580</v>
      </c>
      <c r="X2782" t="s">
        <v>45102</v>
      </c>
    </row>
    <row r="2783" spans="1:24">
      <c r="A2783">
        <f>HYPERLINK("https://www.philgeps.gov.ph/GEPSNONPILOT/Tender/SplashBidNoticeAbstractUI.aspx?menuIndex=3&amp;refID=7042957&amp;Result=3","7042957")</f>
        <v>0</v>
      </c>
      <c r="B2783" t="s">
        <v>1040</v>
      </c>
      <c r="C2783" t="s">
        <v>3945</v>
      </c>
      <c r="D2783" t="s">
        <v>18066</v>
      </c>
      <c r="E2783" t="s">
        <v>20648</v>
      </c>
      <c r="F2783" t="s">
        <v>31574</v>
      </c>
      <c r="G2783" t="s">
        <v>31584</v>
      </c>
      <c r="H2783" t="s">
        <v>31590</v>
      </c>
      <c r="I2783" t="s">
        <v>4354</v>
      </c>
      <c r="J2783" t="s">
        <v>33626</v>
      </c>
      <c r="K2783" t="s">
        <v>41196</v>
      </c>
      <c r="M2783" t="s">
        <v>42583</v>
      </c>
      <c r="N2783" t="s">
        <v>45095</v>
      </c>
      <c r="O2783" t="s">
        <v>45096</v>
      </c>
      <c r="P2783">
        <v>0</v>
      </c>
      <c r="Q2783">
        <v>3</v>
      </c>
      <c r="R2783" t="s">
        <v>45098</v>
      </c>
      <c r="S2783" t="s">
        <v>45223</v>
      </c>
      <c r="T2783" t="s">
        <v>46913</v>
      </c>
      <c r="U2783" t="s">
        <v>49842</v>
      </c>
      <c r="W2783" t="s">
        <v>42583</v>
      </c>
      <c r="X2783" t="s">
        <v>45102</v>
      </c>
    </row>
    <row r="2784" spans="1:24">
      <c r="A2784">
        <f>HYPERLINK("https://www.philgeps.gov.ph/GEPSNONPILOT/Tender/SplashBidNoticeAbstractUI.aspx?menuIndex=3&amp;refID=7043177&amp;Result=3","7043177")</f>
        <v>0</v>
      </c>
      <c r="B2784" t="s">
        <v>1037</v>
      </c>
      <c r="C2784" t="s">
        <v>5854</v>
      </c>
      <c r="D2784" t="s">
        <v>18022</v>
      </c>
      <c r="E2784" t="s">
        <v>20649</v>
      </c>
      <c r="F2784" t="s">
        <v>31575</v>
      </c>
      <c r="G2784" t="s">
        <v>31582</v>
      </c>
      <c r="H2784" t="s">
        <v>31590</v>
      </c>
      <c r="I2784" t="s">
        <v>31629</v>
      </c>
      <c r="J2784" t="s">
        <v>32019</v>
      </c>
      <c r="K2784" t="s">
        <v>41186</v>
      </c>
      <c r="M2784" t="s">
        <v>42580</v>
      </c>
      <c r="N2784" t="s">
        <v>45095</v>
      </c>
      <c r="O2784" t="s">
        <v>45096</v>
      </c>
      <c r="P2784">
        <v>0</v>
      </c>
      <c r="Q2784">
        <v>0</v>
      </c>
      <c r="R2784" t="s">
        <v>45098</v>
      </c>
      <c r="S2784" t="s">
        <v>45223</v>
      </c>
      <c r="T2784" t="s">
        <v>47138</v>
      </c>
      <c r="U2784" t="s">
        <v>49843</v>
      </c>
      <c r="V2784" t="s">
        <v>60124</v>
      </c>
      <c r="W2784" t="s">
        <v>42580</v>
      </c>
      <c r="X2784" t="s">
        <v>45102</v>
      </c>
    </row>
    <row r="2785" spans="1:24">
      <c r="A2785">
        <f>HYPERLINK("https://www.philgeps.gov.ph/GEPSNONPILOT/Tender/SplashBidNoticeAbstractUI.aspx?menuIndex=3&amp;refID=7043215&amp;Result=3","7043215")</f>
        <v>0</v>
      </c>
      <c r="B2785" t="s">
        <v>1037</v>
      </c>
      <c r="C2785" t="s">
        <v>5855</v>
      </c>
      <c r="D2785" t="s">
        <v>18022</v>
      </c>
      <c r="E2785" t="s">
        <v>20650</v>
      </c>
      <c r="F2785" t="s">
        <v>31575</v>
      </c>
      <c r="G2785" t="s">
        <v>31582</v>
      </c>
      <c r="H2785" t="s">
        <v>31590</v>
      </c>
      <c r="I2785" t="s">
        <v>3487</v>
      </c>
      <c r="J2785" t="s">
        <v>31821</v>
      </c>
      <c r="K2785" t="s">
        <v>41186</v>
      </c>
      <c r="M2785" t="s">
        <v>42580</v>
      </c>
      <c r="N2785" t="s">
        <v>45095</v>
      </c>
      <c r="O2785" t="s">
        <v>45096</v>
      </c>
      <c r="P2785">
        <v>0</v>
      </c>
      <c r="Q2785">
        <v>0</v>
      </c>
      <c r="R2785" t="s">
        <v>45098</v>
      </c>
      <c r="S2785" t="s">
        <v>45223</v>
      </c>
      <c r="T2785" t="s">
        <v>46999</v>
      </c>
      <c r="U2785" t="s">
        <v>49844</v>
      </c>
      <c r="V2785" t="s">
        <v>60124</v>
      </c>
      <c r="W2785" t="s">
        <v>42580</v>
      </c>
      <c r="X2785" t="s">
        <v>45102</v>
      </c>
    </row>
    <row r="2786" spans="1:24">
      <c r="A2786">
        <f>HYPERLINK("https://www.philgeps.gov.ph/GEPSNONPILOT/Tender/SplashBidNoticeAbstractUI.aspx?menuIndex=3&amp;refID=7043164&amp;Result=3","7043164")</f>
        <v>0</v>
      </c>
      <c r="B2786" t="s">
        <v>1039</v>
      </c>
      <c r="C2786" t="s">
        <v>5856</v>
      </c>
      <c r="D2786" t="s">
        <v>18045</v>
      </c>
      <c r="E2786" t="s">
        <v>20651</v>
      </c>
      <c r="F2786" t="s">
        <v>31574</v>
      </c>
      <c r="G2786" t="s">
        <v>31581</v>
      </c>
      <c r="H2786" t="s">
        <v>31590</v>
      </c>
      <c r="I2786" t="s">
        <v>4046</v>
      </c>
      <c r="J2786" t="s">
        <v>33627</v>
      </c>
      <c r="K2786" t="s">
        <v>41184</v>
      </c>
      <c r="M2786" t="s">
        <v>42582</v>
      </c>
      <c r="N2786" t="s">
        <v>45095</v>
      </c>
      <c r="O2786" t="s">
        <v>45096</v>
      </c>
      <c r="P2786">
        <v>0</v>
      </c>
      <c r="Q2786">
        <v>0</v>
      </c>
      <c r="R2786" t="s">
        <v>45098</v>
      </c>
      <c r="S2786" t="s">
        <v>45223</v>
      </c>
      <c r="T2786" t="s">
        <v>46963</v>
      </c>
      <c r="U2786" t="s">
        <v>49840</v>
      </c>
      <c r="W2786" t="s">
        <v>42582</v>
      </c>
      <c r="X2786" t="s">
        <v>45102</v>
      </c>
    </row>
    <row r="2787" spans="1:24">
      <c r="A2787">
        <f>HYPERLINK("https://www.philgeps.gov.ph/GEPSNONPILOT/Tender/SplashBidNoticeAbstractUI.aspx?menuIndex=3&amp;refID=7042960&amp;Result=3","7042960")</f>
        <v>0</v>
      </c>
      <c r="B2787" t="s">
        <v>829</v>
      </c>
      <c r="C2787" t="s">
        <v>5857</v>
      </c>
      <c r="D2787" t="s">
        <v>18022</v>
      </c>
      <c r="E2787" t="s">
        <v>20652</v>
      </c>
      <c r="F2787" t="s">
        <v>31574</v>
      </c>
      <c r="G2787" t="s">
        <v>31582</v>
      </c>
      <c r="H2787" t="s">
        <v>31590</v>
      </c>
      <c r="I2787" t="s">
        <v>31620</v>
      </c>
      <c r="J2787" t="s">
        <v>32101</v>
      </c>
      <c r="K2787" t="s">
        <v>41189</v>
      </c>
      <c r="M2787" t="s">
        <v>42348</v>
      </c>
      <c r="N2787" t="s">
        <v>45095</v>
      </c>
      <c r="O2787" t="s">
        <v>45096</v>
      </c>
      <c r="P2787">
        <v>0</v>
      </c>
      <c r="Q2787">
        <v>13</v>
      </c>
      <c r="R2787" t="s">
        <v>45098</v>
      </c>
      <c r="S2787" t="s">
        <v>45223</v>
      </c>
      <c r="T2787" t="s">
        <v>46960</v>
      </c>
      <c r="U2787" t="s">
        <v>49845</v>
      </c>
      <c r="W2787" t="s">
        <v>42348</v>
      </c>
      <c r="X2787" t="s">
        <v>45102</v>
      </c>
    </row>
    <row r="2788" spans="1:24">
      <c r="A2788">
        <f>HYPERLINK("https://www.philgeps.gov.ph/GEPSNONPILOT/Tender/SplashBidNoticeAbstractUI.aspx?menuIndex=3&amp;refID=7043199&amp;Result=3","7043199")</f>
        <v>0</v>
      </c>
      <c r="B2788" t="s">
        <v>1037</v>
      </c>
      <c r="C2788" t="s">
        <v>5858</v>
      </c>
      <c r="D2788" t="s">
        <v>18022</v>
      </c>
      <c r="E2788" t="s">
        <v>20653</v>
      </c>
      <c r="F2788" t="s">
        <v>31575</v>
      </c>
      <c r="G2788" t="s">
        <v>31582</v>
      </c>
      <c r="H2788" t="s">
        <v>31590</v>
      </c>
      <c r="I2788" t="s">
        <v>3487</v>
      </c>
      <c r="J2788" t="s">
        <v>31890</v>
      </c>
      <c r="K2788" t="s">
        <v>41186</v>
      </c>
      <c r="M2788" t="s">
        <v>42580</v>
      </c>
      <c r="N2788" t="s">
        <v>45095</v>
      </c>
      <c r="O2788" t="s">
        <v>45096</v>
      </c>
      <c r="P2788">
        <v>0</v>
      </c>
      <c r="Q2788">
        <v>0</v>
      </c>
      <c r="R2788" t="s">
        <v>45098</v>
      </c>
      <c r="S2788" t="s">
        <v>45223</v>
      </c>
      <c r="T2788" t="s">
        <v>46988</v>
      </c>
      <c r="U2788" t="s">
        <v>49846</v>
      </c>
      <c r="V2788" t="s">
        <v>60124</v>
      </c>
      <c r="W2788" t="s">
        <v>42580</v>
      </c>
      <c r="X2788" t="s">
        <v>45102</v>
      </c>
    </row>
    <row r="2789" spans="1:24">
      <c r="A2789">
        <f>HYPERLINK("https://www.philgeps.gov.ph/GEPSNONPILOT/Tender/SplashBidNoticeAbstractUI.aspx?menuIndex=3&amp;refID=7043216&amp;Result=3","7043216")</f>
        <v>0</v>
      </c>
      <c r="B2789" t="s">
        <v>1041</v>
      </c>
      <c r="C2789" t="s">
        <v>5859</v>
      </c>
      <c r="D2789" t="s">
        <v>18107</v>
      </c>
      <c r="E2789" t="s">
        <v>20654</v>
      </c>
      <c r="F2789" t="s">
        <v>31574</v>
      </c>
      <c r="G2789" t="s">
        <v>31582</v>
      </c>
      <c r="H2789" t="s">
        <v>31591</v>
      </c>
      <c r="I2789" t="s">
        <v>8822</v>
      </c>
      <c r="J2789" t="s">
        <v>33628</v>
      </c>
      <c r="K2789" t="s">
        <v>41192</v>
      </c>
      <c r="M2789" t="s">
        <v>42584</v>
      </c>
      <c r="N2789" t="s">
        <v>45095</v>
      </c>
      <c r="O2789" t="s">
        <v>45096</v>
      </c>
      <c r="P2789">
        <v>0</v>
      </c>
      <c r="Q2789">
        <v>0</v>
      </c>
      <c r="R2789" t="s">
        <v>45098</v>
      </c>
      <c r="S2789" t="s">
        <v>45223</v>
      </c>
      <c r="T2789" t="s">
        <v>46916</v>
      </c>
      <c r="U2789" t="s">
        <v>49847</v>
      </c>
      <c r="W2789" t="s">
        <v>42584</v>
      </c>
      <c r="X2789" t="s">
        <v>45102</v>
      </c>
    </row>
    <row r="2790" spans="1:24">
      <c r="A2790">
        <f>HYPERLINK("https://www.philgeps.gov.ph/GEPSNONPILOT/Tender/SplashBidNoticeAbstractUI.aspx?menuIndex=3&amp;refID=7043054&amp;Result=3","7043054")</f>
        <v>0</v>
      </c>
      <c r="B2790" t="s">
        <v>1028</v>
      </c>
      <c r="C2790" t="s">
        <v>5860</v>
      </c>
      <c r="D2790" t="s">
        <v>18055</v>
      </c>
      <c r="E2790" t="s">
        <v>20655</v>
      </c>
      <c r="F2790" t="s">
        <v>31574</v>
      </c>
      <c r="G2790" t="s">
        <v>31581</v>
      </c>
      <c r="H2790" t="s">
        <v>31590</v>
      </c>
      <c r="I2790" t="s">
        <v>8258</v>
      </c>
      <c r="J2790" t="s">
        <v>33629</v>
      </c>
      <c r="K2790" t="s">
        <v>41196</v>
      </c>
      <c r="M2790" t="s">
        <v>42569</v>
      </c>
      <c r="N2790" t="s">
        <v>45095</v>
      </c>
      <c r="O2790" t="s">
        <v>45096</v>
      </c>
      <c r="P2790">
        <v>0</v>
      </c>
      <c r="Q2790">
        <v>3</v>
      </c>
      <c r="R2790" t="s">
        <v>45098</v>
      </c>
      <c r="S2790" t="s">
        <v>45223</v>
      </c>
      <c r="T2790" t="s">
        <v>46973</v>
      </c>
      <c r="U2790" t="s">
        <v>49848</v>
      </c>
      <c r="W2790" t="s">
        <v>61687</v>
      </c>
      <c r="X2790" t="s">
        <v>45102</v>
      </c>
    </row>
    <row r="2791" spans="1:24">
      <c r="A2791">
        <f>HYPERLINK("https://www.philgeps.gov.ph/GEPSNONPILOT/Tender/SplashBidNoticeAbstractUI.aspx?menuIndex=3&amp;refID=7043189&amp;Result=3","7043189")</f>
        <v>0</v>
      </c>
      <c r="B2791" t="s">
        <v>1037</v>
      </c>
      <c r="C2791" t="s">
        <v>5861</v>
      </c>
      <c r="D2791" t="s">
        <v>18022</v>
      </c>
      <c r="E2791" t="s">
        <v>20656</v>
      </c>
      <c r="F2791" t="s">
        <v>31575</v>
      </c>
      <c r="G2791" t="s">
        <v>31582</v>
      </c>
      <c r="H2791" t="s">
        <v>31590</v>
      </c>
      <c r="I2791" t="s">
        <v>31629</v>
      </c>
      <c r="J2791" t="s">
        <v>32019</v>
      </c>
      <c r="K2791" t="s">
        <v>41186</v>
      </c>
      <c r="M2791" t="s">
        <v>42580</v>
      </c>
      <c r="N2791" t="s">
        <v>45095</v>
      </c>
      <c r="O2791" t="s">
        <v>45096</v>
      </c>
      <c r="P2791">
        <v>0</v>
      </c>
      <c r="Q2791">
        <v>0</v>
      </c>
      <c r="R2791" t="s">
        <v>45098</v>
      </c>
      <c r="S2791" t="s">
        <v>45223</v>
      </c>
      <c r="T2791" t="s">
        <v>46992</v>
      </c>
      <c r="U2791" t="s">
        <v>49849</v>
      </c>
      <c r="V2791" t="s">
        <v>60124</v>
      </c>
      <c r="W2791" t="s">
        <v>42580</v>
      </c>
      <c r="X2791" t="s">
        <v>45102</v>
      </c>
    </row>
    <row r="2792" spans="1:24">
      <c r="A2792">
        <f>HYPERLINK("https://www.philgeps.gov.ph/GEPSNONPILOT/Tender/SplashBidNoticeAbstractUI.aspx?menuIndex=3&amp;refID=7042973&amp;Result=3","7042973")</f>
        <v>0</v>
      </c>
      <c r="B2792" t="s">
        <v>1040</v>
      </c>
      <c r="C2792" t="s">
        <v>5862</v>
      </c>
      <c r="D2792" t="s">
        <v>18066</v>
      </c>
      <c r="E2792" t="s">
        <v>20657</v>
      </c>
      <c r="F2792" t="s">
        <v>31574</v>
      </c>
      <c r="G2792" t="s">
        <v>31584</v>
      </c>
      <c r="H2792" t="s">
        <v>31590</v>
      </c>
      <c r="I2792" t="s">
        <v>6800</v>
      </c>
      <c r="J2792" t="s">
        <v>33630</v>
      </c>
      <c r="K2792" t="s">
        <v>41196</v>
      </c>
      <c r="M2792" t="s">
        <v>42583</v>
      </c>
      <c r="N2792" t="s">
        <v>45095</v>
      </c>
      <c r="O2792" t="s">
        <v>45096</v>
      </c>
      <c r="P2792">
        <v>0</v>
      </c>
      <c r="Q2792">
        <v>1</v>
      </c>
      <c r="R2792" t="s">
        <v>45098</v>
      </c>
      <c r="S2792" t="s">
        <v>45223</v>
      </c>
      <c r="T2792" t="s">
        <v>46913</v>
      </c>
      <c r="U2792" t="s">
        <v>49842</v>
      </c>
      <c r="W2792" t="s">
        <v>42583</v>
      </c>
      <c r="X2792" t="s">
        <v>45102</v>
      </c>
    </row>
    <row r="2793" spans="1:24">
      <c r="A2793">
        <f>HYPERLINK("https://www.philgeps.gov.ph/GEPSNONPILOT/Tender/SplashBidNoticeAbstractUI.aspx?menuIndex=3&amp;refID=7043134&amp;Result=3","7043134")</f>
        <v>0</v>
      </c>
      <c r="B2793" t="s">
        <v>722</v>
      </c>
      <c r="C2793" t="s">
        <v>5863</v>
      </c>
      <c r="D2793" t="s">
        <v>18031</v>
      </c>
      <c r="E2793" t="s">
        <v>19469</v>
      </c>
      <c r="F2793" t="s">
        <v>31574</v>
      </c>
      <c r="G2793" t="s">
        <v>31584</v>
      </c>
      <c r="H2793" t="s">
        <v>31590</v>
      </c>
      <c r="I2793" t="s">
        <v>4327</v>
      </c>
      <c r="J2793" t="s">
        <v>33631</v>
      </c>
      <c r="K2793" t="s">
        <v>41193</v>
      </c>
      <c r="M2793" t="s">
        <v>42232</v>
      </c>
      <c r="N2793" t="s">
        <v>45095</v>
      </c>
      <c r="O2793" t="s">
        <v>45096</v>
      </c>
      <c r="P2793">
        <v>0</v>
      </c>
      <c r="Q2793">
        <v>1</v>
      </c>
      <c r="R2793" t="s">
        <v>45098</v>
      </c>
      <c r="S2793" t="s">
        <v>45223</v>
      </c>
      <c r="T2793" t="s">
        <v>47110</v>
      </c>
      <c r="U2793" t="s">
        <v>49850</v>
      </c>
      <c r="W2793" t="s">
        <v>42232</v>
      </c>
      <c r="X2793" t="s">
        <v>45102</v>
      </c>
    </row>
    <row r="2794" spans="1:24">
      <c r="A2794">
        <f>HYPERLINK("https://www.philgeps.gov.ph/GEPSNONPILOT/Tender/SplashBidNoticeAbstractUI.aspx?menuIndex=3&amp;refID=7043095&amp;Result=3","7043095")</f>
        <v>0</v>
      </c>
      <c r="B2794" t="s">
        <v>1042</v>
      </c>
      <c r="C2794" t="s">
        <v>5864</v>
      </c>
      <c r="D2794" t="s">
        <v>18030</v>
      </c>
      <c r="E2794" t="s">
        <v>20658</v>
      </c>
      <c r="F2794" t="s">
        <v>31574</v>
      </c>
      <c r="G2794" t="s">
        <v>31581</v>
      </c>
      <c r="H2794" t="s">
        <v>31590</v>
      </c>
      <c r="I2794" t="s">
        <v>31612</v>
      </c>
      <c r="J2794" t="s">
        <v>33632</v>
      </c>
      <c r="K2794" t="s">
        <v>41184</v>
      </c>
      <c r="M2794" t="s">
        <v>42585</v>
      </c>
      <c r="N2794" t="s">
        <v>45095</v>
      </c>
      <c r="O2794" t="s">
        <v>45096</v>
      </c>
      <c r="P2794">
        <v>0</v>
      </c>
      <c r="Q2794">
        <v>1</v>
      </c>
      <c r="R2794" t="s">
        <v>45098</v>
      </c>
      <c r="S2794" t="s">
        <v>45223</v>
      </c>
      <c r="T2794" t="s">
        <v>46982</v>
      </c>
      <c r="U2794" t="s">
        <v>49851</v>
      </c>
      <c r="W2794" t="s">
        <v>42585</v>
      </c>
      <c r="X2794" t="s">
        <v>45102</v>
      </c>
    </row>
    <row r="2795" spans="1:24">
      <c r="A2795">
        <f>HYPERLINK("https://www.philgeps.gov.ph/GEPSNONPILOT/Tender/SplashBidNoticeAbstractUI.aspx?menuIndex=3&amp;refID=7043159&amp;Result=3","7043159")</f>
        <v>0</v>
      </c>
      <c r="B2795" t="s">
        <v>1037</v>
      </c>
      <c r="C2795" t="s">
        <v>5865</v>
      </c>
      <c r="D2795" t="s">
        <v>18022</v>
      </c>
      <c r="E2795" t="s">
        <v>20659</v>
      </c>
      <c r="F2795" t="s">
        <v>31575</v>
      </c>
      <c r="G2795" t="s">
        <v>31582</v>
      </c>
      <c r="H2795" t="s">
        <v>31590</v>
      </c>
      <c r="I2795" t="s">
        <v>3487</v>
      </c>
      <c r="J2795" t="s">
        <v>31789</v>
      </c>
      <c r="K2795" t="s">
        <v>41186</v>
      </c>
      <c r="M2795" t="s">
        <v>42580</v>
      </c>
      <c r="N2795" t="s">
        <v>45095</v>
      </c>
      <c r="O2795" t="s">
        <v>45096</v>
      </c>
      <c r="P2795">
        <v>0</v>
      </c>
      <c r="Q2795">
        <v>1</v>
      </c>
      <c r="R2795" t="s">
        <v>45098</v>
      </c>
      <c r="S2795" t="s">
        <v>45223</v>
      </c>
      <c r="T2795" t="s">
        <v>47139</v>
      </c>
      <c r="U2795" t="s">
        <v>49852</v>
      </c>
      <c r="V2795" t="s">
        <v>60124</v>
      </c>
      <c r="W2795" t="s">
        <v>42580</v>
      </c>
      <c r="X2795" t="s">
        <v>45102</v>
      </c>
    </row>
    <row r="2796" spans="1:24">
      <c r="A2796">
        <f>HYPERLINK("https://www.philgeps.gov.ph/GEPSNONPILOT/Tender/SplashBidNoticeAbstractUI.aspx?menuIndex=3&amp;refID=7042940&amp;Result=3","7042940")</f>
        <v>0</v>
      </c>
      <c r="B2796" t="s">
        <v>625</v>
      </c>
      <c r="C2796" t="s">
        <v>5866</v>
      </c>
      <c r="D2796" t="s">
        <v>18072</v>
      </c>
      <c r="E2796" t="s">
        <v>20660</v>
      </c>
      <c r="F2796" t="s">
        <v>31574</v>
      </c>
      <c r="G2796" t="s">
        <v>31582</v>
      </c>
      <c r="H2796" t="s">
        <v>31590</v>
      </c>
      <c r="I2796" t="s">
        <v>4046</v>
      </c>
      <c r="J2796" t="s">
        <v>33633</v>
      </c>
      <c r="K2796" t="s">
        <v>41190</v>
      </c>
      <c r="M2796" t="s">
        <v>42586</v>
      </c>
      <c r="N2796" t="s">
        <v>45095</v>
      </c>
      <c r="O2796" t="s">
        <v>45096</v>
      </c>
      <c r="P2796">
        <v>0</v>
      </c>
      <c r="Q2796">
        <v>0</v>
      </c>
      <c r="R2796" t="s">
        <v>45098</v>
      </c>
      <c r="S2796" t="s">
        <v>45223</v>
      </c>
      <c r="T2796" t="s">
        <v>46988</v>
      </c>
      <c r="U2796" t="s">
        <v>49853</v>
      </c>
      <c r="W2796" t="s">
        <v>44710</v>
      </c>
      <c r="X2796" t="s">
        <v>45102</v>
      </c>
    </row>
    <row r="2797" spans="1:24">
      <c r="A2797">
        <f>HYPERLINK("https://www.philgeps.gov.ph/GEPSNONPILOT/Tender/SplashBidNoticeAbstractUI.aspx?menuIndex=3&amp;refID=7043148&amp;Result=3","7043148")</f>
        <v>0</v>
      </c>
      <c r="B2797" t="s">
        <v>1038</v>
      </c>
      <c r="C2797" t="s">
        <v>5867</v>
      </c>
      <c r="D2797" t="s">
        <v>18031</v>
      </c>
      <c r="E2797" t="s">
        <v>20661</v>
      </c>
      <c r="F2797" t="s">
        <v>31574</v>
      </c>
      <c r="G2797" t="s">
        <v>31583</v>
      </c>
      <c r="H2797" t="s">
        <v>31590</v>
      </c>
      <c r="I2797" t="s">
        <v>6800</v>
      </c>
      <c r="J2797" t="s">
        <v>31838</v>
      </c>
      <c r="K2797" t="s">
        <v>41196</v>
      </c>
      <c r="M2797" t="s">
        <v>42581</v>
      </c>
      <c r="N2797" t="s">
        <v>45095</v>
      </c>
      <c r="O2797" t="s">
        <v>45096</v>
      </c>
      <c r="P2797">
        <v>0</v>
      </c>
      <c r="Q2797">
        <v>2</v>
      </c>
      <c r="R2797" t="s">
        <v>45098</v>
      </c>
      <c r="S2797" t="s">
        <v>45223</v>
      </c>
      <c r="T2797" t="s">
        <v>47080</v>
      </c>
      <c r="U2797" t="s">
        <v>49854</v>
      </c>
      <c r="W2797" t="s">
        <v>42581</v>
      </c>
      <c r="X2797" t="s">
        <v>45102</v>
      </c>
    </row>
    <row r="2798" spans="1:24">
      <c r="A2798">
        <f>HYPERLINK("https://www.philgeps.gov.ph/GEPSNONPILOT/Tender/SplashBidNoticeAbstractUI.aspx?menuIndex=3&amp;refID=7043150&amp;Result=3","7043150")</f>
        <v>0</v>
      </c>
      <c r="B2798" t="s">
        <v>1037</v>
      </c>
      <c r="C2798" t="s">
        <v>5868</v>
      </c>
      <c r="D2798" t="s">
        <v>18022</v>
      </c>
      <c r="E2798" t="s">
        <v>20662</v>
      </c>
      <c r="F2798" t="s">
        <v>31575</v>
      </c>
      <c r="G2798" t="s">
        <v>31582</v>
      </c>
      <c r="H2798" t="s">
        <v>31590</v>
      </c>
      <c r="I2798" t="s">
        <v>31629</v>
      </c>
      <c r="J2798" t="s">
        <v>31789</v>
      </c>
      <c r="K2798" t="s">
        <v>41186</v>
      </c>
      <c r="M2798" t="s">
        <v>42580</v>
      </c>
      <c r="N2798" t="s">
        <v>45095</v>
      </c>
      <c r="O2798" t="s">
        <v>45096</v>
      </c>
      <c r="P2798">
        <v>0</v>
      </c>
      <c r="Q2798">
        <v>0</v>
      </c>
      <c r="R2798" t="s">
        <v>45098</v>
      </c>
      <c r="S2798" t="s">
        <v>45223</v>
      </c>
      <c r="T2798" t="s">
        <v>47000</v>
      </c>
      <c r="U2798" t="s">
        <v>49855</v>
      </c>
      <c r="V2798" t="s">
        <v>60124</v>
      </c>
      <c r="W2798" t="s">
        <v>42580</v>
      </c>
      <c r="X2798" t="s">
        <v>45102</v>
      </c>
    </row>
    <row r="2799" spans="1:24">
      <c r="A2799">
        <f>HYPERLINK("https://www.philgeps.gov.ph/GEPSNONPILOT/Tender/SplashBidNoticeAbstractUI.aspx?menuIndex=3&amp;refID=7043056&amp;Result=3","7043056")</f>
        <v>0</v>
      </c>
      <c r="B2799" t="s">
        <v>1032</v>
      </c>
      <c r="C2799" t="s">
        <v>5869</v>
      </c>
      <c r="E2799" t="s">
        <v>20663</v>
      </c>
      <c r="F2799" t="s">
        <v>31574</v>
      </c>
      <c r="G2799" t="s">
        <v>31582</v>
      </c>
      <c r="H2799" t="s">
        <v>31590</v>
      </c>
      <c r="I2799" t="s">
        <v>31594</v>
      </c>
      <c r="J2799" t="s">
        <v>33634</v>
      </c>
      <c r="K2799" t="s">
        <v>41192</v>
      </c>
      <c r="M2799" t="s">
        <v>42573</v>
      </c>
      <c r="N2799" t="s">
        <v>45095</v>
      </c>
      <c r="O2799" t="s">
        <v>45096</v>
      </c>
      <c r="P2799">
        <v>0</v>
      </c>
      <c r="Q2799">
        <v>16</v>
      </c>
      <c r="R2799" t="s">
        <v>45098</v>
      </c>
      <c r="S2799" t="s">
        <v>45223</v>
      </c>
      <c r="T2799" t="s">
        <v>47140</v>
      </c>
      <c r="U2799" t="s">
        <v>49811</v>
      </c>
      <c r="W2799" t="s">
        <v>42573</v>
      </c>
      <c r="X2799" t="s">
        <v>45102</v>
      </c>
    </row>
    <row r="2800" spans="1:24">
      <c r="A2800">
        <f>HYPERLINK("https://www.philgeps.gov.ph/GEPSNONPILOT/Tender/SplashBidNoticeAbstractUI.aspx?menuIndex=3&amp;refID=7043222&amp;Result=3","7043222")</f>
        <v>0</v>
      </c>
      <c r="B2800" t="s">
        <v>1041</v>
      </c>
      <c r="C2800" t="s">
        <v>5870</v>
      </c>
      <c r="D2800" t="s">
        <v>18107</v>
      </c>
      <c r="E2800" t="s">
        <v>20664</v>
      </c>
      <c r="F2800" t="s">
        <v>31574</v>
      </c>
      <c r="G2800" t="s">
        <v>31582</v>
      </c>
      <c r="H2800" t="s">
        <v>31591</v>
      </c>
      <c r="I2800" t="s">
        <v>8822</v>
      </c>
      <c r="J2800" t="s">
        <v>33635</v>
      </c>
      <c r="K2800" t="s">
        <v>41228</v>
      </c>
      <c r="M2800" t="s">
        <v>42584</v>
      </c>
      <c r="N2800" t="s">
        <v>45095</v>
      </c>
      <c r="O2800" t="s">
        <v>45096</v>
      </c>
      <c r="P2800">
        <v>0</v>
      </c>
      <c r="Q2800">
        <v>0</v>
      </c>
      <c r="R2800" t="s">
        <v>45098</v>
      </c>
      <c r="S2800" t="s">
        <v>45223</v>
      </c>
      <c r="T2800" t="s">
        <v>46916</v>
      </c>
      <c r="U2800" t="s">
        <v>49856</v>
      </c>
      <c r="W2800" t="s">
        <v>42584</v>
      </c>
      <c r="X2800" t="s">
        <v>45102</v>
      </c>
    </row>
    <row r="2801" spans="1:24">
      <c r="A2801">
        <f>HYPERLINK("https://www.philgeps.gov.ph/GEPSNONPILOT/Tender/SplashBidNoticeAbstractUI.aspx?menuIndex=3&amp;refID=7043078&amp;Result=3","7043078")</f>
        <v>0</v>
      </c>
      <c r="B2801" t="s">
        <v>1043</v>
      </c>
      <c r="C2801" t="s">
        <v>5871</v>
      </c>
      <c r="D2801" t="s">
        <v>18027</v>
      </c>
      <c r="E2801" t="s">
        <v>20665</v>
      </c>
      <c r="F2801" t="s">
        <v>31574</v>
      </c>
      <c r="G2801" t="s">
        <v>31581</v>
      </c>
      <c r="H2801" t="s">
        <v>31590</v>
      </c>
      <c r="I2801" t="s">
        <v>31603</v>
      </c>
      <c r="J2801" t="s">
        <v>33636</v>
      </c>
      <c r="K2801" t="s">
        <v>41213</v>
      </c>
      <c r="M2801" t="s">
        <v>42587</v>
      </c>
      <c r="N2801" t="s">
        <v>45095</v>
      </c>
      <c r="O2801" t="s">
        <v>45096</v>
      </c>
      <c r="P2801">
        <v>0</v>
      </c>
      <c r="Q2801">
        <v>0</v>
      </c>
      <c r="R2801" t="s">
        <v>45098</v>
      </c>
      <c r="S2801" t="s">
        <v>45223</v>
      </c>
      <c r="T2801" t="s">
        <v>47141</v>
      </c>
      <c r="U2801" t="s">
        <v>49857</v>
      </c>
      <c r="V2801" t="s">
        <v>60125</v>
      </c>
      <c r="W2801" t="s">
        <v>42587</v>
      </c>
      <c r="X2801" t="s">
        <v>45102</v>
      </c>
    </row>
    <row r="2802" spans="1:24">
      <c r="A2802">
        <f>HYPERLINK("https://www.philgeps.gov.ph/GEPSNONPILOT/Tender/SplashBidNoticeAbstractUI.aspx?menuIndex=3&amp;refID=7043275&amp;Result=3","7043275")</f>
        <v>0</v>
      </c>
      <c r="B2802" t="s">
        <v>1044</v>
      </c>
      <c r="C2802" t="s">
        <v>5872</v>
      </c>
      <c r="D2802" t="s">
        <v>18023</v>
      </c>
      <c r="E2802" t="s">
        <v>18227</v>
      </c>
      <c r="F2802" t="s">
        <v>31574</v>
      </c>
      <c r="G2802" t="s">
        <v>31582</v>
      </c>
      <c r="H2802" t="s">
        <v>31590</v>
      </c>
      <c r="I2802" t="s">
        <v>4046</v>
      </c>
      <c r="J2802" t="s">
        <v>33637</v>
      </c>
      <c r="K2802" t="s">
        <v>41213</v>
      </c>
      <c r="M2802" t="s">
        <v>42588</v>
      </c>
      <c r="N2802" t="s">
        <v>45095</v>
      </c>
      <c r="O2802" t="s">
        <v>45096</v>
      </c>
      <c r="P2802">
        <v>0</v>
      </c>
      <c r="Q2802">
        <v>0</v>
      </c>
      <c r="R2802" t="s">
        <v>45098</v>
      </c>
      <c r="S2802" t="s">
        <v>45223</v>
      </c>
      <c r="T2802" t="s">
        <v>47114</v>
      </c>
      <c r="U2802" t="s">
        <v>49858</v>
      </c>
      <c r="W2802" t="s">
        <v>42588</v>
      </c>
      <c r="X2802" t="s">
        <v>45102</v>
      </c>
    </row>
    <row r="2803" spans="1:24">
      <c r="A2803">
        <f>HYPERLINK("https://www.philgeps.gov.ph/GEPSNONPILOT/Tender/SplashBidNoticeAbstractUI.aspx?menuIndex=3&amp;refID=7043227&amp;Result=3","7043227")</f>
        <v>0</v>
      </c>
      <c r="B2803" t="s">
        <v>1041</v>
      </c>
      <c r="C2803" t="s">
        <v>5873</v>
      </c>
      <c r="D2803" t="s">
        <v>18107</v>
      </c>
      <c r="E2803" t="s">
        <v>20666</v>
      </c>
      <c r="F2803" t="s">
        <v>31574</v>
      </c>
      <c r="G2803" t="s">
        <v>31582</v>
      </c>
      <c r="H2803" t="s">
        <v>31591</v>
      </c>
      <c r="I2803" t="s">
        <v>8822</v>
      </c>
      <c r="J2803" t="s">
        <v>33638</v>
      </c>
      <c r="K2803" t="s">
        <v>41244</v>
      </c>
      <c r="M2803" t="s">
        <v>42584</v>
      </c>
      <c r="N2803" t="s">
        <v>45095</v>
      </c>
      <c r="O2803" t="s">
        <v>45096</v>
      </c>
      <c r="P2803">
        <v>0</v>
      </c>
      <c r="Q2803">
        <v>0</v>
      </c>
      <c r="R2803" t="s">
        <v>45098</v>
      </c>
      <c r="S2803" t="s">
        <v>45223</v>
      </c>
      <c r="T2803" t="s">
        <v>46916</v>
      </c>
      <c r="U2803" t="s">
        <v>49859</v>
      </c>
      <c r="W2803" t="s">
        <v>42584</v>
      </c>
      <c r="X2803" t="s">
        <v>45102</v>
      </c>
    </row>
    <row r="2804" spans="1:24">
      <c r="A2804">
        <f>HYPERLINK("https://www.philgeps.gov.ph/GEPSNONPILOT/Tender/SplashBidNoticeAbstractUI.aspx?menuIndex=3&amp;refID=7043248&amp;Result=3","7043248")</f>
        <v>0</v>
      </c>
      <c r="B2804" t="s">
        <v>1041</v>
      </c>
      <c r="C2804" t="s">
        <v>5874</v>
      </c>
      <c r="D2804" t="s">
        <v>18107</v>
      </c>
      <c r="E2804" t="s">
        <v>20667</v>
      </c>
      <c r="F2804" t="s">
        <v>31574</v>
      </c>
      <c r="G2804" t="s">
        <v>31582</v>
      </c>
      <c r="H2804" t="s">
        <v>31591</v>
      </c>
      <c r="I2804" t="s">
        <v>8822</v>
      </c>
      <c r="J2804" t="s">
        <v>33639</v>
      </c>
      <c r="K2804" t="s">
        <v>41185</v>
      </c>
      <c r="M2804" t="s">
        <v>42584</v>
      </c>
      <c r="N2804" t="s">
        <v>45095</v>
      </c>
      <c r="O2804" t="s">
        <v>45096</v>
      </c>
      <c r="P2804">
        <v>0</v>
      </c>
      <c r="Q2804">
        <v>0</v>
      </c>
      <c r="R2804" t="s">
        <v>45098</v>
      </c>
      <c r="S2804" t="s">
        <v>45223</v>
      </c>
      <c r="T2804" t="s">
        <v>46916</v>
      </c>
      <c r="U2804" t="s">
        <v>49860</v>
      </c>
      <c r="W2804" t="s">
        <v>42584</v>
      </c>
      <c r="X2804" t="s">
        <v>45102</v>
      </c>
    </row>
    <row r="2805" spans="1:24">
      <c r="A2805">
        <f>HYPERLINK("https://www.philgeps.gov.ph/GEPSNONPILOT/Tender/SplashBidNoticeAbstractUI.aspx?menuIndex=3&amp;refID=7043234&amp;Result=3","7043234")</f>
        <v>0</v>
      </c>
      <c r="B2805" t="s">
        <v>1041</v>
      </c>
      <c r="C2805" t="s">
        <v>5875</v>
      </c>
      <c r="D2805" t="s">
        <v>18107</v>
      </c>
      <c r="E2805" t="s">
        <v>20668</v>
      </c>
      <c r="F2805" t="s">
        <v>31574</v>
      </c>
      <c r="G2805" t="s">
        <v>31582</v>
      </c>
      <c r="H2805" t="s">
        <v>31591</v>
      </c>
      <c r="I2805" t="s">
        <v>8822</v>
      </c>
      <c r="J2805" t="s">
        <v>33640</v>
      </c>
      <c r="K2805" t="s">
        <v>41186</v>
      </c>
      <c r="M2805" t="s">
        <v>42584</v>
      </c>
      <c r="N2805" t="s">
        <v>45095</v>
      </c>
      <c r="O2805" t="s">
        <v>45096</v>
      </c>
      <c r="P2805">
        <v>0</v>
      </c>
      <c r="Q2805">
        <v>0</v>
      </c>
      <c r="R2805" t="s">
        <v>45098</v>
      </c>
      <c r="S2805" t="s">
        <v>45223</v>
      </c>
      <c r="T2805" t="s">
        <v>46916</v>
      </c>
      <c r="U2805" t="s">
        <v>49861</v>
      </c>
      <c r="W2805" t="s">
        <v>42584</v>
      </c>
      <c r="X2805" t="s">
        <v>45102</v>
      </c>
    </row>
    <row r="2806" spans="1:24">
      <c r="A2806">
        <f>HYPERLINK("https://www.philgeps.gov.ph/GEPSNONPILOT/Tender/SplashBidNoticeAbstractUI.aspx?menuIndex=3&amp;refID=7043356&amp;Result=3","7043356")</f>
        <v>0</v>
      </c>
      <c r="B2806" t="s">
        <v>765</v>
      </c>
      <c r="C2806" t="s">
        <v>5876</v>
      </c>
      <c r="D2806" t="s">
        <v>18053</v>
      </c>
      <c r="E2806" t="s">
        <v>19469</v>
      </c>
      <c r="F2806" t="s">
        <v>31574</v>
      </c>
      <c r="G2806" t="s">
        <v>31582</v>
      </c>
      <c r="H2806" t="s">
        <v>31591</v>
      </c>
      <c r="I2806" t="s">
        <v>8822</v>
      </c>
      <c r="J2806" t="s">
        <v>33641</v>
      </c>
      <c r="K2806" t="s">
        <v>41218</v>
      </c>
      <c r="M2806" t="s">
        <v>42279</v>
      </c>
      <c r="N2806" t="s">
        <v>45095</v>
      </c>
      <c r="O2806" t="s">
        <v>45096</v>
      </c>
      <c r="P2806">
        <v>0</v>
      </c>
      <c r="Q2806">
        <v>0</v>
      </c>
      <c r="R2806" t="s">
        <v>45098</v>
      </c>
      <c r="S2806" t="s">
        <v>45223</v>
      </c>
      <c r="T2806" t="s">
        <v>46908</v>
      </c>
      <c r="U2806" t="s">
        <v>49862</v>
      </c>
      <c r="W2806" t="s">
        <v>42279</v>
      </c>
      <c r="X2806" t="s">
        <v>45101</v>
      </c>
    </row>
    <row r="2807" spans="1:24">
      <c r="A2807">
        <f>HYPERLINK("https://www.philgeps.gov.ph/GEPSNONPILOT/Tender/SplashBidNoticeAbstractUI.aspx?menuIndex=3&amp;refID=7043255&amp;Result=3","7043255")</f>
        <v>0</v>
      </c>
      <c r="B2807" t="s">
        <v>1041</v>
      </c>
      <c r="C2807" t="s">
        <v>5877</v>
      </c>
      <c r="D2807" t="s">
        <v>18107</v>
      </c>
      <c r="E2807" t="s">
        <v>20669</v>
      </c>
      <c r="F2807" t="s">
        <v>31574</v>
      </c>
      <c r="G2807" t="s">
        <v>31582</v>
      </c>
      <c r="H2807" t="s">
        <v>31591</v>
      </c>
      <c r="I2807" t="s">
        <v>8822</v>
      </c>
      <c r="J2807" t="s">
        <v>33642</v>
      </c>
      <c r="K2807" t="s">
        <v>41185</v>
      </c>
      <c r="M2807" t="s">
        <v>42584</v>
      </c>
      <c r="N2807" t="s">
        <v>45095</v>
      </c>
      <c r="O2807" t="s">
        <v>45096</v>
      </c>
      <c r="P2807">
        <v>0</v>
      </c>
      <c r="Q2807">
        <v>0</v>
      </c>
      <c r="R2807" t="s">
        <v>45098</v>
      </c>
      <c r="S2807" t="s">
        <v>45223</v>
      </c>
      <c r="T2807" t="s">
        <v>46916</v>
      </c>
      <c r="U2807" t="s">
        <v>49863</v>
      </c>
      <c r="W2807" t="s">
        <v>42584</v>
      </c>
      <c r="X2807" t="s">
        <v>45102</v>
      </c>
    </row>
    <row r="2808" spans="1:24">
      <c r="A2808">
        <f>HYPERLINK("https://www.philgeps.gov.ph/GEPSNONPILOT/Tender/SplashBidNoticeAbstractUI.aspx?menuIndex=3&amp;refID=7043238&amp;Result=3","7043238")</f>
        <v>0</v>
      </c>
      <c r="B2808" t="s">
        <v>1041</v>
      </c>
      <c r="C2808" t="s">
        <v>5878</v>
      </c>
      <c r="D2808" t="s">
        <v>18107</v>
      </c>
      <c r="E2808" t="s">
        <v>20670</v>
      </c>
      <c r="F2808" t="s">
        <v>31574</v>
      </c>
      <c r="G2808" t="s">
        <v>31582</v>
      </c>
      <c r="H2808" t="s">
        <v>31591</v>
      </c>
      <c r="I2808" t="s">
        <v>8822</v>
      </c>
      <c r="J2808" t="s">
        <v>33643</v>
      </c>
      <c r="K2808" t="s">
        <v>41240</v>
      </c>
      <c r="M2808" t="s">
        <v>42584</v>
      </c>
      <c r="N2808" t="s">
        <v>45095</v>
      </c>
      <c r="O2808" t="s">
        <v>45096</v>
      </c>
      <c r="P2808">
        <v>0</v>
      </c>
      <c r="Q2808">
        <v>0</v>
      </c>
      <c r="R2808" t="s">
        <v>45098</v>
      </c>
      <c r="S2808" t="s">
        <v>45223</v>
      </c>
      <c r="T2808" t="s">
        <v>46916</v>
      </c>
      <c r="U2808" t="s">
        <v>49864</v>
      </c>
      <c r="W2808" t="s">
        <v>42584</v>
      </c>
      <c r="X2808" t="s">
        <v>45102</v>
      </c>
    </row>
    <row r="2809" spans="1:24">
      <c r="A2809">
        <f>HYPERLINK("https://www.philgeps.gov.ph/GEPSNONPILOT/Tender/SplashBidNoticeAbstractUI.aspx?menuIndex=3&amp;refID=7043237&amp;Result=3","7043237")</f>
        <v>0</v>
      </c>
      <c r="B2809" t="s">
        <v>1041</v>
      </c>
      <c r="C2809" t="s">
        <v>5879</v>
      </c>
      <c r="D2809" t="s">
        <v>18107</v>
      </c>
      <c r="E2809" t="s">
        <v>20671</v>
      </c>
      <c r="F2809" t="s">
        <v>31574</v>
      </c>
      <c r="G2809" t="s">
        <v>31582</v>
      </c>
      <c r="H2809" t="s">
        <v>31591</v>
      </c>
      <c r="I2809" t="s">
        <v>8822</v>
      </c>
      <c r="J2809" t="s">
        <v>33640</v>
      </c>
      <c r="K2809" t="s">
        <v>41186</v>
      </c>
      <c r="M2809" t="s">
        <v>42584</v>
      </c>
      <c r="N2809" t="s">
        <v>45095</v>
      </c>
      <c r="O2809" t="s">
        <v>45096</v>
      </c>
      <c r="P2809">
        <v>0</v>
      </c>
      <c r="Q2809">
        <v>0</v>
      </c>
      <c r="R2809" t="s">
        <v>45098</v>
      </c>
      <c r="S2809" t="s">
        <v>45223</v>
      </c>
      <c r="T2809" t="s">
        <v>46916</v>
      </c>
      <c r="U2809" t="s">
        <v>49865</v>
      </c>
      <c r="W2809" t="s">
        <v>42584</v>
      </c>
      <c r="X2809" t="s">
        <v>45102</v>
      </c>
    </row>
    <row r="2810" spans="1:24">
      <c r="A2810">
        <f>HYPERLINK("https://www.philgeps.gov.ph/GEPSNONPILOT/Tender/SplashBidNoticeAbstractUI.aspx?menuIndex=3&amp;refID=7043242&amp;Result=3","7043242")</f>
        <v>0</v>
      </c>
      <c r="B2810" t="s">
        <v>1041</v>
      </c>
      <c r="C2810" t="s">
        <v>5880</v>
      </c>
      <c r="D2810" t="s">
        <v>18107</v>
      </c>
      <c r="E2810" t="s">
        <v>20672</v>
      </c>
      <c r="F2810" t="s">
        <v>31574</v>
      </c>
      <c r="G2810" t="s">
        <v>31582</v>
      </c>
      <c r="H2810" t="s">
        <v>31591</v>
      </c>
      <c r="I2810" t="s">
        <v>8822</v>
      </c>
      <c r="J2810" t="s">
        <v>33644</v>
      </c>
      <c r="K2810" t="s">
        <v>41203</v>
      </c>
      <c r="M2810" t="s">
        <v>42584</v>
      </c>
      <c r="N2810" t="s">
        <v>45095</v>
      </c>
      <c r="O2810" t="s">
        <v>45096</v>
      </c>
      <c r="P2810">
        <v>0</v>
      </c>
      <c r="Q2810">
        <v>0</v>
      </c>
      <c r="R2810" t="s">
        <v>45098</v>
      </c>
      <c r="S2810" t="s">
        <v>45223</v>
      </c>
      <c r="T2810" t="s">
        <v>46916</v>
      </c>
      <c r="U2810" t="s">
        <v>49866</v>
      </c>
      <c r="W2810" t="s">
        <v>42584</v>
      </c>
      <c r="X2810" t="s">
        <v>45102</v>
      </c>
    </row>
    <row r="2811" spans="1:24">
      <c r="A2811">
        <f>HYPERLINK("https://www.philgeps.gov.ph/GEPSNONPILOT/Tender/SplashBidNoticeAbstractUI.aspx?menuIndex=3&amp;refID=7043245&amp;Result=3","7043245")</f>
        <v>0</v>
      </c>
      <c r="B2811" t="s">
        <v>1041</v>
      </c>
      <c r="C2811" t="s">
        <v>5881</v>
      </c>
      <c r="D2811" t="s">
        <v>18107</v>
      </c>
      <c r="E2811" t="s">
        <v>20673</v>
      </c>
      <c r="F2811" t="s">
        <v>31574</v>
      </c>
      <c r="G2811" t="s">
        <v>31582</v>
      </c>
      <c r="H2811" t="s">
        <v>31591</v>
      </c>
      <c r="I2811" t="s">
        <v>8822</v>
      </c>
      <c r="J2811" t="s">
        <v>33645</v>
      </c>
      <c r="K2811" t="s">
        <v>41185</v>
      </c>
      <c r="M2811" t="s">
        <v>42584</v>
      </c>
      <c r="N2811" t="s">
        <v>45095</v>
      </c>
      <c r="O2811" t="s">
        <v>45096</v>
      </c>
      <c r="P2811">
        <v>0</v>
      </c>
      <c r="Q2811">
        <v>0</v>
      </c>
      <c r="R2811" t="s">
        <v>45098</v>
      </c>
      <c r="S2811" t="s">
        <v>45223</v>
      </c>
      <c r="T2811" t="s">
        <v>46916</v>
      </c>
      <c r="U2811" t="s">
        <v>49867</v>
      </c>
      <c r="W2811" t="s">
        <v>42584</v>
      </c>
      <c r="X2811" t="s">
        <v>45102</v>
      </c>
    </row>
    <row r="2812" spans="1:24">
      <c r="A2812">
        <f>HYPERLINK("https://www.philgeps.gov.ph/GEPSNONPILOT/Tender/SplashBidNoticeAbstractUI.aspx?menuIndex=3&amp;refID=7043137&amp;Result=3","7043137")</f>
        <v>0</v>
      </c>
      <c r="B2812" t="s">
        <v>1037</v>
      </c>
      <c r="C2812" t="s">
        <v>5882</v>
      </c>
      <c r="D2812" t="s">
        <v>18022</v>
      </c>
      <c r="E2812" t="s">
        <v>20674</v>
      </c>
      <c r="F2812" t="s">
        <v>31575</v>
      </c>
      <c r="G2812" t="s">
        <v>31582</v>
      </c>
      <c r="H2812" t="s">
        <v>31590</v>
      </c>
      <c r="I2812" t="s">
        <v>31629</v>
      </c>
      <c r="J2812" t="s">
        <v>32742</v>
      </c>
      <c r="K2812" t="s">
        <v>41186</v>
      </c>
      <c r="M2812" t="s">
        <v>42580</v>
      </c>
      <c r="N2812" t="s">
        <v>45095</v>
      </c>
      <c r="O2812" t="s">
        <v>45096</v>
      </c>
      <c r="P2812">
        <v>0</v>
      </c>
      <c r="Q2812">
        <v>0</v>
      </c>
      <c r="R2812" t="s">
        <v>45098</v>
      </c>
      <c r="S2812" t="s">
        <v>45223</v>
      </c>
      <c r="T2812" t="s">
        <v>47010</v>
      </c>
      <c r="U2812" t="s">
        <v>49868</v>
      </c>
      <c r="V2812" t="s">
        <v>60124</v>
      </c>
      <c r="W2812" t="s">
        <v>42580</v>
      </c>
      <c r="X2812" t="s">
        <v>45102</v>
      </c>
    </row>
    <row r="2813" spans="1:24">
      <c r="A2813">
        <f>HYPERLINK("https://www.philgeps.gov.ph/GEPSNONPILOT/Tender/SplashBidNoticeAbstractUI.aspx?menuIndex=3&amp;refID=7043352&amp;Result=3","7043352")</f>
        <v>0</v>
      </c>
      <c r="B2813" t="s">
        <v>1045</v>
      </c>
      <c r="C2813" t="s">
        <v>5883</v>
      </c>
      <c r="D2813" t="s">
        <v>18103</v>
      </c>
      <c r="E2813" t="s">
        <v>20675</v>
      </c>
      <c r="F2813" t="s">
        <v>31574</v>
      </c>
      <c r="G2813" t="s">
        <v>31583</v>
      </c>
      <c r="H2813" t="s">
        <v>31590</v>
      </c>
      <c r="I2813" t="s">
        <v>4046</v>
      </c>
      <c r="J2813" t="s">
        <v>32147</v>
      </c>
      <c r="K2813" t="s">
        <v>41190</v>
      </c>
      <c r="M2813" t="s">
        <v>42589</v>
      </c>
      <c r="N2813" t="s">
        <v>45095</v>
      </c>
      <c r="O2813" t="s">
        <v>45096</v>
      </c>
      <c r="P2813">
        <v>0</v>
      </c>
      <c r="Q2813">
        <v>0</v>
      </c>
      <c r="R2813" t="s">
        <v>45098</v>
      </c>
      <c r="S2813" t="s">
        <v>45223</v>
      </c>
      <c r="T2813" t="s">
        <v>47058</v>
      </c>
      <c r="U2813" t="s">
        <v>49869</v>
      </c>
      <c r="W2813" t="s">
        <v>42589</v>
      </c>
      <c r="X2813" t="s">
        <v>45101</v>
      </c>
    </row>
    <row r="2814" spans="1:24">
      <c r="A2814">
        <f>HYPERLINK("https://www.philgeps.gov.ph/GEPSNONPILOT/Tender/SplashBidNoticeAbstractUI.aspx?menuIndex=3&amp;refID=7043335&amp;Result=3","7043335")</f>
        <v>0</v>
      </c>
      <c r="B2814" t="s">
        <v>1046</v>
      </c>
      <c r="C2814" t="s">
        <v>5884</v>
      </c>
      <c r="D2814" t="s">
        <v>18040</v>
      </c>
      <c r="E2814" t="s">
        <v>20676</v>
      </c>
      <c r="F2814" t="s">
        <v>31574</v>
      </c>
      <c r="G2814" t="s">
        <v>31582</v>
      </c>
      <c r="H2814" t="s">
        <v>31590</v>
      </c>
      <c r="I2814" t="s">
        <v>4327</v>
      </c>
      <c r="J2814" t="s">
        <v>31927</v>
      </c>
      <c r="K2814" t="s">
        <v>41211</v>
      </c>
      <c r="M2814" t="s">
        <v>42590</v>
      </c>
      <c r="N2814" t="s">
        <v>45095</v>
      </c>
      <c r="O2814" t="s">
        <v>45096</v>
      </c>
      <c r="P2814">
        <v>0</v>
      </c>
      <c r="Q2814">
        <v>2</v>
      </c>
      <c r="R2814" t="s">
        <v>45098</v>
      </c>
      <c r="S2814" t="s">
        <v>45223</v>
      </c>
      <c r="T2814" t="s">
        <v>46921</v>
      </c>
      <c r="U2814" t="s">
        <v>49870</v>
      </c>
      <c r="W2814" t="s">
        <v>42590</v>
      </c>
      <c r="X2814" t="s">
        <v>45101</v>
      </c>
    </row>
    <row r="2815" spans="1:24">
      <c r="A2815">
        <f>HYPERLINK("https://www.philgeps.gov.ph/GEPSNONPILOT/Tender/SplashBidNoticeAbstractUI.aspx?menuIndex=3&amp;refID=7043350&amp;Result=3","7043350")</f>
        <v>0</v>
      </c>
      <c r="B2815" t="s">
        <v>765</v>
      </c>
      <c r="C2815" t="s">
        <v>5885</v>
      </c>
      <c r="D2815" t="s">
        <v>18053</v>
      </c>
      <c r="E2815" t="s">
        <v>19676</v>
      </c>
      <c r="F2815" t="s">
        <v>31574</v>
      </c>
      <c r="G2815" t="s">
        <v>31582</v>
      </c>
      <c r="H2815" t="s">
        <v>31591</v>
      </c>
      <c r="I2815" t="s">
        <v>8822</v>
      </c>
      <c r="J2815" t="s">
        <v>33641</v>
      </c>
      <c r="K2815" t="s">
        <v>41218</v>
      </c>
      <c r="M2815" t="s">
        <v>42279</v>
      </c>
      <c r="N2815" t="s">
        <v>45095</v>
      </c>
      <c r="O2815" t="s">
        <v>45096</v>
      </c>
      <c r="P2815">
        <v>0</v>
      </c>
      <c r="Q2815">
        <v>0</v>
      </c>
      <c r="R2815" t="s">
        <v>45098</v>
      </c>
      <c r="S2815" t="s">
        <v>45223</v>
      </c>
      <c r="T2815" t="s">
        <v>46908</v>
      </c>
      <c r="U2815" t="s">
        <v>49871</v>
      </c>
      <c r="W2815" t="s">
        <v>42279</v>
      </c>
      <c r="X2815" t="s">
        <v>45101</v>
      </c>
    </row>
    <row r="2816" spans="1:24">
      <c r="A2816">
        <f>HYPERLINK("https://www.philgeps.gov.ph/GEPSNONPILOT/Tender/SplashBidNoticeAbstractUI.aspx?menuIndex=3&amp;refID=7043315&amp;Result=3","7043315")</f>
        <v>0</v>
      </c>
      <c r="B2816" t="s">
        <v>90</v>
      </c>
      <c r="C2816" t="s">
        <v>5886</v>
      </c>
      <c r="E2816" t="s">
        <v>20677</v>
      </c>
      <c r="F2816" t="s">
        <v>31574</v>
      </c>
      <c r="G2816" t="s">
        <v>31581</v>
      </c>
      <c r="H2816" t="s">
        <v>31590</v>
      </c>
      <c r="I2816" t="s">
        <v>31688</v>
      </c>
      <c r="J2816" t="s">
        <v>33646</v>
      </c>
      <c r="K2816" t="s">
        <v>41184</v>
      </c>
      <c r="M2816" t="s">
        <v>41574</v>
      </c>
      <c r="N2816" t="s">
        <v>45095</v>
      </c>
      <c r="O2816" t="s">
        <v>45096</v>
      </c>
      <c r="P2816">
        <v>0</v>
      </c>
      <c r="Q2816">
        <v>0</v>
      </c>
      <c r="R2816" t="s">
        <v>45098</v>
      </c>
      <c r="S2816" t="s">
        <v>45223</v>
      </c>
      <c r="T2816" t="s">
        <v>46963</v>
      </c>
      <c r="U2816" t="s">
        <v>49872</v>
      </c>
      <c r="V2816" t="s">
        <v>59883</v>
      </c>
      <c r="W2816" t="s">
        <v>41574</v>
      </c>
      <c r="X2816" t="s">
        <v>45101</v>
      </c>
    </row>
    <row r="2817" spans="1:24">
      <c r="A2817">
        <f>HYPERLINK("https://www.philgeps.gov.ph/GEPSNONPILOT/Tender/SplashBidNoticeAbstractUI.aspx?menuIndex=3&amp;refID=7043303&amp;Result=3","7043303")</f>
        <v>0</v>
      </c>
      <c r="B2817" t="s">
        <v>1047</v>
      </c>
      <c r="C2817" t="s">
        <v>5887</v>
      </c>
      <c r="D2817" t="s">
        <v>18059</v>
      </c>
      <c r="E2817" t="s">
        <v>20678</v>
      </c>
      <c r="F2817" t="s">
        <v>31574</v>
      </c>
      <c r="G2817" t="s">
        <v>31582</v>
      </c>
      <c r="H2817" t="s">
        <v>31590</v>
      </c>
      <c r="I2817" t="s">
        <v>31607</v>
      </c>
      <c r="J2817" t="s">
        <v>33647</v>
      </c>
      <c r="K2817" t="s">
        <v>41186</v>
      </c>
      <c r="M2817" t="s">
        <v>42591</v>
      </c>
      <c r="N2817" t="s">
        <v>45095</v>
      </c>
      <c r="O2817" t="s">
        <v>45096</v>
      </c>
      <c r="P2817">
        <v>0</v>
      </c>
      <c r="Q2817">
        <v>1</v>
      </c>
      <c r="R2817" t="s">
        <v>45098</v>
      </c>
      <c r="S2817" t="s">
        <v>45223</v>
      </c>
      <c r="T2817" t="s">
        <v>46908</v>
      </c>
      <c r="U2817" t="s">
        <v>49873</v>
      </c>
      <c r="W2817" t="s">
        <v>61688</v>
      </c>
      <c r="X2817" t="s">
        <v>45101</v>
      </c>
    </row>
    <row r="2818" spans="1:24">
      <c r="A2818">
        <f>HYPERLINK("https://www.philgeps.gov.ph/GEPSNONPILOT/Tender/SplashBidNoticeAbstractUI.aspx?menuIndex=3&amp;refID=7043345&amp;Result=3","7043345")</f>
        <v>0</v>
      </c>
      <c r="B2818" t="s">
        <v>765</v>
      </c>
      <c r="C2818" t="s">
        <v>5885</v>
      </c>
      <c r="D2818" t="s">
        <v>18053</v>
      </c>
      <c r="E2818" t="s">
        <v>18754</v>
      </c>
      <c r="F2818" t="s">
        <v>31574</v>
      </c>
      <c r="G2818" t="s">
        <v>31582</v>
      </c>
      <c r="H2818" t="s">
        <v>31591</v>
      </c>
      <c r="I2818" t="s">
        <v>8822</v>
      </c>
      <c r="J2818" t="s">
        <v>33641</v>
      </c>
      <c r="K2818" t="s">
        <v>41218</v>
      </c>
      <c r="M2818" t="s">
        <v>42279</v>
      </c>
      <c r="N2818" t="s">
        <v>45095</v>
      </c>
      <c r="O2818" t="s">
        <v>45096</v>
      </c>
      <c r="P2818">
        <v>0</v>
      </c>
      <c r="Q2818">
        <v>0</v>
      </c>
      <c r="R2818" t="s">
        <v>45098</v>
      </c>
      <c r="S2818" t="s">
        <v>45223</v>
      </c>
      <c r="T2818" t="s">
        <v>46908</v>
      </c>
      <c r="U2818" t="s">
        <v>49871</v>
      </c>
      <c r="W2818" t="s">
        <v>42279</v>
      </c>
      <c r="X2818" t="s">
        <v>45101</v>
      </c>
    </row>
    <row r="2819" spans="1:24">
      <c r="A2819">
        <f>HYPERLINK("https://www.philgeps.gov.ph/GEPSNONPILOT/Tender/SplashBidNoticeAbstractUI.aspx?menuIndex=3&amp;refID=7043366&amp;Result=3","7043366")</f>
        <v>0</v>
      </c>
      <c r="B2819" t="s">
        <v>1045</v>
      </c>
      <c r="C2819" t="s">
        <v>5883</v>
      </c>
      <c r="D2819" t="s">
        <v>18103</v>
      </c>
      <c r="E2819" t="s">
        <v>20679</v>
      </c>
      <c r="F2819" t="s">
        <v>31574</v>
      </c>
      <c r="G2819" t="s">
        <v>31583</v>
      </c>
      <c r="H2819" t="s">
        <v>31590</v>
      </c>
      <c r="I2819" t="s">
        <v>4046</v>
      </c>
      <c r="J2819" t="s">
        <v>32382</v>
      </c>
      <c r="K2819" t="s">
        <v>41190</v>
      </c>
      <c r="M2819" t="s">
        <v>42589</v>
      </c>
      <c r="N2819" t="s">
        <v>45095</v>
      </c>
      <c r="O2819" t="s">
        <v>45096</v>
      </c>
      <c r="P2819">
        <v>0</v>
      </c>
      <c r="Q2819">
        <v>0</v>
      </c>
      <c r="R2819" t="s">
        <v>45098</v>
      </c>
      <c r="S2819" t="s">
        <v>45223</v>
      </c>
      <c r="T2819" t="s">
        <v>47067</v>
      </c>
      <c r="U2819" t="s">
        <v>49869</v>
      </c>
      <c r="W2819" t="s">
        <v>42589</v>
      </c>
      <c r="X2819" t="s">
        <v>45101</v>
      </c>
    </row>
    <row r="2820" spans="1:24">
      <c r="A2820">
        <f>HYPERLINK("https://www.philgeps.gov.ph/GEPSNONPILOT/Tender/SplashBidNoticeAbstractUI.aspx?menuIndex=3&amp;refID=7043334&amp;Result=3","7043334")</f>
        <v>0</v>
      </c>
      <c r="B2820" t="s">
        <v>1048</v>
      </c>
      <c r="C2820" t="s">
        <v>5888</v>
      </c>
      <c r="D2820" t="s">
        <v>18084</v>
      </c>
      <c r="E2820" t="s">
        <v>20680</v>
      </c>
      <c r="F2820" t="s">
        <v>31580</v>
      </c>
      <c r="G2820" t="s">
        <v>31581</v>
      </c>
      <c r="H2820" t="s">
        <v>31590</v>
      </c>
      <c r="I2820" t="s">
        <v>31638</v>
      </c>
      <c r="J2820" t="s">
        <v>31949</v>
      </c>
      <c r="K2820" t="s">
        <v>41186</v>
      </c>
      <c r="M2820" t="s">
        <v>42592</v>
      </c>
      <c r="N2820" t="s">
        <v>45095</v>
      </c>
      <c r="O2820" t="s">
        <v>45096</v>
      </c>
      <c r="P2820">
        <v>0</v>
      </c>
      <c r="Q2820">
        <v>0</v>
      </c>
      <c r="R2820" t="s">
        <v>45098</v>
      </c>
      <c r="S2820" t="s">
        <v>45223</v>
      </c>
      <c r="T2820" t="s">
        <v>46989</v>
      </c>
      <c r="U2820" t="s">
        <v>49874</v>
      </c>
      <c r="W2820" t="s">
        <v>42592</v>
      </c>
      <c r="X2820" t="s">
        <v>45101</v>
      </c>
    </row>
    <row r="2821" spans="1:24">
      <c r="A2821">
        <f>HYPERLINK("https://www.philgeps.gov.ph/GEPSNONPILOT/Tender/SplashBidNoticeAbstractUI.aspx?menuIndex=3&amp;refID=7043311&amp;Result=3","7043311")</f>
        <v>0</v>
      </c>
      <c r="B2821" t="s">
        <v>35</v>
      </c>
      <c r="C2821" t="s">
        <v>3487</v>
      </c>
      <c r="D2821" t="s">
        <v>18030</v>
      </c>
      <c r="E2821" t="s">
        <v>20681</v>
      </c>
      <c r="F2821" t="s">
        <v>31574</v>
      </c>
      <c r="G2821" t="s">
        <v>31581</v>
      </c>
      <c r="H2821" t="s">
        <v>31590</v>
      </c>
      <c r="I2821" t="s">
        <v>3487</v>
      </c>
      <c r="J2821" t="s">
        <v>33648</v>
      </c>
      <c r="K2821" t="s">
        <v>41186</v>
      </c>
      <c r="M2821" t="s">
        <v>41517</v>
      </c>
      <c r="N2821" t="s">
        <v>45095</v>
      </c>
      <c r="O2821" t="s">
        <v>45096</v>
      </c>
      <c r="P2821">
        <v>0</v>
      </c>
      <c r="Q2821">
        <v>0</v>
      </c>
      <c r="R2821" t="s">
        <v>45098</v>
      </c>
      <c r="S2821" t="s">
        <v>45223</v>
      </c>
      <c r="T2821" t="s">
        <v>47106</v>
      </c>
      <c r="U2821" t="s">
        <v>49875</v>
      </c>
      <c r="W2821" t="s">
        <v>41517</v>
      </c>
      <c r="X2821" t="s">
        <v>45101</v>
      </c>
    </row>
    <row r="2822" spans="1:24">
      <c r="A2822">
        <f>HYPERLINK("https://www.philgeps.gov.ph/GEPSNONPILOT/Tender/SplashBidNoticeAbstractUI.aspx?menuIndex=3&amp;refID=7043384&amp;Result=3","7043384")</f>
        <v>0</v>
      </c>
      <c r="B2822" t="s">
        <v>1049</v>
      </c>
      <c r="C2822" t="s">
        <v>5883</v>
      </c>
      <c r="D2822" t="s">
        <v>18103</v>
      </c>
      <c r="E2822" t="s">
        <v>20682</v>
      </c>
      <c r="F2822" t="s">
        <v>31574</v>
      </c>
      <c r="G2822" t="s">
        <v>31583</v>
      </c>
      <c r="H2822" t="s">
        <v>31590</v>
      </c>
      <c r="I2822" t="s">
        <v>4046</v>
      </c>
      <c r="J2822" t="s">
        <v>33649</v>
      </c>
      <c r="K2822" t="s">
        <v>41190</v>
      </c>
      <c r="M2822" t="s">
        <v>42593</v>
      </c>
      <c r="N2822" t="s">
        <v>45095</v>
      </c>
      <c r="O2822" t="s">
        <v>45096</v>
      </c>
      <c r="P2822">
        <v>0</v>
      </c>
      <c r="Q2822">
        <v>0</v>
      </c>
      <c r="R2822" t="s">
        <v>45098</v>
      </c>
      <c r="S2822" t="s">
        <v>45223</v>
      </c>
      <c r="T2822" t="s">
        <v>47058</v>
      </c>
      <c r="U2822" t="s">
        <v>49869</v>
      </c>
      <c r="W2822" t="s">
        <v>42593</v>
      </c>
      <c r="X2822" t="s">
        <v>45101</v>
      </c>
    </row>
    <row r="2823" spans="1:24">
      <c r="A2823">
        <f>HYPERLINK("https://www.philgeps.gov.ph/GEPSNONPILOT/Tender/SplashBidNoticeAbstractUI.aspx?menuIndex=3&amp;refID=7043313&amp;Result=3","7043313")</f>
        <v>0</v>
      </c>
      <c r="B2823" t="s">
        <v>114</v>
      </c>
      <c r="C2823" t="s">
        <v>5889</v>
      </c>
      <c r="D2823" t="s">
        <v>18067</v>
      </c>
      <c r="E2823" t="s">
        <v>20683</v>
      </c>
      <c r="F2823" t="s">
        <v>31574</v>
      </c>
      <c r="G2823" t="s">
        <v>31582</v>
      </c>
      <c r="H2823" t="s">
        <v>31590</v>
      </c>
      <c r="I2823" t="s">
        <v>8822</v>
      </c>
      <c r="J2823" t="s">
        <v>32076</v>
      </c>
      <c r="K2823" t="s">
        <v>41293</v>
      </c>
      <c r="M2823" t="s">
        <v>41598</v>
      </c>
      <c r="N2823" t="s">
        <v>45095</v>
      </c>
      <c r="O2823" t="s">
        <v>45096</v>
      </c>
      <c r="P2823">
        <v>0</v>
      </c>
      <c r="Q2823">
        <v>1</v>
      </c>
      <c r="R2823" t="s">
        <v>45098</v>
      </c>
      <c r="S2823" t="s">
        <v>45223</v>
      </c>
      <c r="T2823" t="s">
        <v>46987</v>
      </c>
      <c r="U2823" t="s">
        <v>49876</v>
      </c>
      <c r="V2823" t="s">
        <v>60126</v>
      </c>
      <c r="W2823" t="s">
        <v>41598</v>
      </c>
      <c r="X2823" t="s">
        <v>45101</v>
      </c>
    </row>
    <row r="2824" spans="1:24">
      <c r="A2824">
        <f>HYPERLINK("https://www.philgeps.gov.ph/GEPSNONPILOT/Tender/SplashBidNoticeAbstractUI.aspx?menuIndex=3&amp;refID=7043381&amp;Result=3","7043381")</f>
        <v>0</v>
      </c>
      <c r="B2824" t="s">
        <v>1049</v>
      </c>
      <c r="C2824" t="s">
        <v>5890</v>
      </c>
      <c r="D2824" t="s">
        <v>18103</v>
      </c>
      <c r="E2824" t="s">
        <v>20684</v>
      </c>
      <c r="F2824" t="s">
        <v>31574</v>
      </c>
      <c r="G2824" t="s">
        <v>31583</v>
      </c>
      <c r="H2824" t="s">
        <v>31590</v>
      </c>
      <c r="I2824" t="s">
        <v>3487</v>
      </c>
      <c r="J2824" t="s">
        <v>33650</v>
      </c>
      <c r="K2824" t="s">
        <v>41190</v>
      </c>
      <c r="M2824" t="s">
        <v>42593</v>
      </c>
      <c r="N2824" t="s">
        <v>45095</v>
      </c>
      <c r="O2824" t="s">
        <v>45096</v>
      </c>
      <c r="P2824">
        <v>0</v>
      </c>
      <c r="Q2824">
        <v>0</v>
      </c>
      <c r="R2824" t="s">
        <v>45098</v>
      </c>
      <c r="S2824" t="s">
        <v>45223</v>
      </c>
      <c r="T2824" t="s">
        <v>47058</v>
      </c>
      <c r="U2824" t="s">
        <v>49877</v>
      </c>
      <c r="W2824" t="s">
        <v>42593</v>
      </c>
      <c r="X2824" t="s">
        <v>45101</v>
      </c>
    </row>
    <row r="2825" spans="1:24">
      <c r="A2825">
        <f>HYPERLINK("https://www.philgeps.gov.ph/GEPSNONPILOT/Tender/SplashBidNoticeAbstractUI.aspx?menuIndex=3&amp;refID=7043360&amp;Result=3","7043360")</f>
        <v>0</v>
      </c>
      <c r="B2825" t="s">
        <v>765</v>
      </c>
      <c r="C2825" t="s">
        <v>5891</v>
      </c>
      <c r="D2825" t="s">
        <v>18053</v>
      </c>
      <c r="E2825" t="s">
        <v>19843</v>
      </c>
      <c r="F2825" t="s">
        <v>31574</v>
      </c>
      <c r="G2825" t="s">
        <v>31582</v>
      </c>
      <c r="H2825" t="s">
        <v>31591</v>
      </c>
      <c r="I2825" t="s">
        <v>8822</v>
      </c>
      <c r="J2825" t="s">
        <v>33651</v>
      </c>
      <c r="K2825" t="s">
        <v>41294</v>
      </c>
      <c r="M2825" t="s">
        <v>42279</v>
      </c>
      <c r="N2825" t="s">
        <v>45095</v>
      </c>
      <c r="O2825" t="s">
        <v>45096</v>
      </c>
      <c r="P2825">
        <v>0</v>
      </c>
      <c r="Q2825">
        <v>0</v>
      </c>
      <c r="R2825" t="s">
        <v>45098</v>
      </c>
      <c r="S2825" t="s">
        <v>45223</v>
      </c>
      <c r="T2825" t="s">
        <v>46908</v>
      </c>
      <c r="U2825" t="s">
        <v>49878</v>
      </c>
      <c r="W2825" t="s">
        <v>42279</v>
      </c>
      <c r="X2825" t="s">
        <v>45101</v>
      </c>
    </row>
    <row r="2826" spans="1:24">
      <c r="A2826">
        <f>HYPERLINK("https://www.philgeps.gov.ph/GEPSNONPILOT/Tender/SplashBidNoticeAbstractUI.aspx?menuIndex=3&amp;refID=7043371&amp;Result=3","7043371")</f>
        <v>0</v>
      </c>
      <c r="B2826" t="s">
        <v>1045</v>
      </c>
      <c r="C2826" t="s">
        <v>5892</v>
      </c>
      <c r="D2826" t="s">
        <v>18103</v>
      </c>
      <c r="E2826" t="s">
        <v>20685</v>
      </c>
      <c r="F2826" t="s">
        <v>31574</v>
      </c>
      <c r="G2826" t="s">
        <v>31583</v>
      </c>
      <c r="H2826" t="s">
        <v>31590</v>
      </c>
      <c r="I2826" t="s">
        <v>5717</v>
      </c>
      <c r="J2826" t="s">
        <v>33652</v>
      </c>
      <c r="K2826" t="s">
        <v>41190</v>
      </c>
      <c r="M2826" t="s">
        <v>42589</v>
      </c>
      <c r="N2826" t="s">
        <v>45095</v>
      </c>
      <c r="O2826" t="s">
        <v>45096</v>
      </c>
      <c r="P2826">
        <v>0</v>
      </c>
      <c r="Q2826">
        <v>1</v>
      </c>
      <c r="R2826" t="s">
        <v>45098</v>
      </c>
      <c r="S2826" t="s">
        <v>45223</v>
      </c>
      <c r="T2826" t="s">
        <v>47058</v>
      </c>
      <c r="U2826" t="s">
        <v>49879</v>
      </c>
      <c r="W2826" t="s">
        <v>42589</v>
      </c>
      <c r="X2826" t="s">
        <v>45101</v>
      </c>
    </row>
    <row r="2827" spans="1:24">
      <c r="A2827">
        <f>HYPERLINK("https://www.philgeps.gov.ph/GEPSNONPILOT/Tender/SplashBidNoticeAbstractUI.aspx?menuIndex=3&amp;refID=7043392&amp;Result=3","7043392")</f>
        <v>0</v>
      </c>
      <c r="B2827" t="s">
        <v>1050</v>
      </c>
      <c r="C2827" t="s">
        <v>5893</v>
      </c>
      <c r="D2827" t="s">
        <v>18024</v>
      </c>
      <c r="E2827" t="s">
        <v>20686</v>
      </c>
      <c r="F2827" t="s">
        <v>31574</v>
      </c>
      <c r="G2827" t="s">
        <v>31582</v>
      </c>
      <c r="H2827" t="s">
        <v>31591</v>
      </c>
      <c r="I2827" t="s">
        <v>8822</v>
      </c>
      <c r="J2827" t="s">
        <v>32026</v>
      </c>
      <c r="K2827" t="s">
        <v>41222</v>
      </c>
      <c r="M2827" t="s">
        <v>42594</v>
      </c>
      <c r="N2827" t="s">
        <v>45095</v>
      </c>
      <c r="O2827" t="s">
        <v>45096</v>
      </c>
      <c r="P2827">
        <v>0</v>
      </c>
      <c r="Q2827">
        <v>0</v>
      </c>
      <c r="R2827" t="s">
        <v>45098</v>
      </c>
      <c r="S2827" t="s">
        <v>45223</v>
      </c>
      <c r="T2827" t="s">
        <v>47142</v>
      </c>
      <c r="U2827" t="s">
        <v>49880</v>
      </c>
      <c r="W2827" t="s">
        <v>42594</v>
      </c>
      <c r="X2827" t="s">
        <v>45101</v>
      </c>
    </row>
    <row r="2828" spans="1:24">
      <c r="A2828">
        <f>HYPERLINK("https://www.philgeps.gov.ph/GEPSNONPILOT/Tender/SplashBidNoticeAbstractUI.aspx?menuIndex=3&amp;refID=7043378&amp;Result=3","7043378")</f>
        <v>0</v>
      </c>
      <c r="B2828" t="s">
        <v>1049</v>
      </c>
      <c r="C2828" t="s">
        <v>5883</v>
      </c>
      <c r="D2828" t="s">
        <v>18103</v>
      </c>
      <c r="E2828" t="s">
        <v>20687</v>
      </c>
      <c r="F2828" t="s">
        <v>31574</v>
      </c>
      <c r="G2828" t="s">
        <v>31583</v>
      </c>
      <c r="H2828" t="s">
        <v>31590</v>
      </c>
      <c r="I2828" t="s">
        <v>4046</v>
      </c>
      <c r="J2828" t="s">
        <v>33653</v>
      </c>
      <c r="K2828" t="s">
        <v>41190</v>
      </c>
      <c r="M2828" t="s">
        <v>42593</v>
      </c>
      <c r="N2828" t="s">
        <v>45095</v>
      </c>
      <c r="O2828" t="s">
        <v>45096</v>
      </c>
      <c r="P2828">
        <v>0</v>
      </c>
      <c r="Q2828">
        <v>0</v>
      </c>
      <c r="R2828" t="s">
        <v>45098</v>
      </c>
      <c r="S2828" t="s">
        <v>45223</v>
      </c>
      <c r="T2828" t="s">
        <v>47058</v>
      </c>
      <c r="U2828" t="s">
        <v>49869</v>
      </c>
      <c r="W2828" t="s">
        <v>42593</v>
      </c>
      <c r="X2828" t="s">
        <v>45101</v>
      </c>
    </row>
    <row r="2829" spans="1:24">
      <c r="A2829">
        <f>HYPERLINK("https://www.philgeps.gov.ph/GEPSNONPILOT/Tender/SplashBidNoticeAbstractUI.aspx?menuIndex=3&amp;refID=7043387&amp;Result=3","7043387")</f>
        <v>0</v>
      </c>
      <c r="B2829" t="s">
        <v>765</v>
      </c>
      <c r="C2829" t="s">
        <v>5894</v>
      </c>
      <c r="D2829" t="s">
        <v>18053</v>
      </c>
      <c r="E2829" t="s">
        <v>20688</v>
      </c>
      <c r="F2829" t="s">
        <v>31574</v>
      </c>
      <c r="G2829" t="s">
        <v>31582</v>
      </c>
      <c r="H2829" t="s">
        <v>31591</v>
      </c>
      <c r="I2829" t="s">
        <v>8822</v>
      </c>
      <c r="J2829" t="s">
        <v>33654</v>
      </c>
      <c r="K2829" t="s">
        <v>41267</v>
      </c>
      <c r="M2829" t="s">
        <v>42279</v>
      </c>
      <c r="N2829" t="s">
        <v>45095</v>
      </c>
      <c r="O2829" t="s">
        <v>45096</v>
      </c>
      <c r="P2829">
        <v>0</v>
      </c>
      <c r="Q2829">
        <v>0</v>
      </c>
      <c r="R2829" t="s">
        <v>45098</v>
      </c>
      <c r="S2829" t="s">
        <v>45223</v>
      </c>
      <c r="T2829" t="s">
        <v>46908</v>
      </c>
      <c r="U2829" t="s">
        <v>49881</v>
      </c>
      <c r="W2829" t="s">
        <v>42279</v>
      </c>
      <c r="X2829" t="s">
        <v>45101</v>
      </c>
    </row>
    <row r="2830" spans="1:24">
      <c r="A2830">
        <f>HYPERLINK("https://www.philgeps.gov.ph/GEPSNONPILOT/Tender/SplashBidNoticeAbstractUI.aspx?menuIndex=3&amp;refID=7043376&amp;Result=3","7043376")</f>
        <v>0</v>
      </c>
      <c r="B2830" t="s">
        <v>765</v>
      </c>
      <c r="C2830" t="s">
        <v>5895</v>
      </c>
      <c r="D2830" t="s">
        <v>18053</v>
      </c>
      <c r="E2830" t="s">
        <v>19894</v>
      </c>
      <c r="F2830" t="s">
        <v>31574</v>
      </c>
      <c r="G2830" t="s">
        <v>31582</v>
      </c>
      <c r="H2830" t="s">
        <v>31591</v>
      </c>
      <c r="I2830" t="s">
        <v>8822</v>
      </c>
      <c r="J2830" t="s">
        <v>33655</v>
      </c>
      <c r="K2830" t="s">
        <v>41272</v>
      </c>
      <c r="M2830" t="s">
        <v>42279</v>
      </c>
      <c r="N2830" t="s">
        <v>45095</v>
      </c>
      <c r="O2830" t="s">
        <v>45096</v>
      </c>
      <c r="P2830">
        <v>0</v>
      </c>
      <c r="Q2830">
        <v>1</v>
      </c>
      <c r="R2830" t="s">
        <v>45098</v>
      </c>
      <c r="S2830" t="s">
        <v>45223</v>
      </c>
      <c r="T2830" t="s">
        <v>46908</v>
      </c>
      <c r="U2830" t="s">
        <v>49882</v>
      </c>
      <c r="W2830" t="s">
        <v>42279</v>
      </c>
      <c r="X2830" t="s">
        <v>45101</v>
      </c>
    </row>
    <row r="2831" spans="1:24">
      <c r="A2831">
        <f>HYPERLINK("https://www.philgeps.gov.ph/GEPSNONPILOT/Tender/SplashBidNoticeAbstractUI.aspx?menuIndex=3&amp;refID=7043404&amp;Result=3","7043404")</f>
        <v>0</v>
      </c>
      <c r="B2831" t="s">
        <v>957</v>
      </c>
      <c r="C2831" t="s">
        <v>5896</v>
      </c>
      <c r="D2831" t="s">
        <v>18075</v>
      </c>
      <c r="E2831" t="s">
        <v>20689</v>
      </c>
      <c r="F2831" t="s">
        <v>31574</v>
      </c>
      <c r="G2831" t="s">
        <v>31582</v>
      </c>
      <c r="H2831" t="s">
        <v>31590</v>
      </c>
      <c r="I2831" t="s">
        <v>7162</v>
      </c>
      <c r="J2831" t="s">
        <v>33656</v>
      </c>
      <c r="K2831" t="s">
        <v>41188</v>
      </c>
      <c r="M2831" t="s">
        <v>42595</v>
      </c>
      <c r="N2831" t="s">
        <v>45095</v>
      </c>
      <c r="O2831" t="s">
        <v>45096</v>
      </c>
      <c r="P2831">
        <v>0</v>
      </c>
      <c r="Q2831">
        <v>3</v>
      </c>
      <c r="R2831" t="s">
        <v>45098</v>
      </c>
      <c r="S2831" t="s">
        <v>45223</v>
      </c>
      <c r="T2831" t="s">
        <v>47089</v>
      </c>
      <c r="U2831" t="s">
        <v>49883</v>
      </c>
      <c r="W2831" t="s">
        <v>42595</v>
      </c>
      <c r="X2831" t="s">
        <v>45101</v>
      </c>
    </row>
    <row r="2832" spans="1:24">
      <c r="A2832">
        <f>HYPERLINK("https://www.philgeps.gov.ph/GEPSNONPILOT/Tender/SplashBidNoticeAbstractUI.aspx?menuIndex=3&amp;refID=7043405&amp;Result=3","7043405")</f>
        <v>0</v>
      </c>
      <c r="B2832" t="s">
        <v>765</v>
      </c>
      <c r="C2832" t="s">
        <v>5897</v>
      </c>
      <c r="D2832" t="s">
        <v>18053</v>
      </c>
      <c r="E2832" t="s">
        <v>18191</v>
      </c>
      <c r="F2832" t="s">
        <v>31574</v>
      </c>
      <c r="G2832" t="s">
        <v>31582</v>
      </c>
      <c r="H2832" t="s">
        <v>31591</v>
      </c>
      <c r="I2832" t="s">
        <v>8822</v>
      </c>
      <c r="J2832" t="s">
        <v>33657</v>
      </c>
      <c r="K2832" t="s">
        <v>41194</v>
      </c>
      <c r="M2832" t="s">
        <v>42279</v>
      </c>
      <c r="N2832" t="s">
        <v>45095</v>
      </c>
      <c r="O2832" t="s">
        <v>45096</v>
      </c>
      <c r="P2832">
        <v>0</v>
      </c>
      <c r="Q2832">
        <v>0</v>
      </c>
      <c r="R2832" t="s">
        <v>45098</v>
      </c>
      <c r="S2832" t="s">
        <v>45223</v>
      </c>
      <c r="T2832" t="s">
        <v>46908</v>
      </c>
      <c r="U2832" t="s">
        <v>49884</v>
      </c>
      <c r="W2832" t="s">
        <v>42279</v>
      </c>
      <c r="X2832" t="s">
        <v>45101</v>
      </c>
    </row>
    <row r="2833" spans="1:24">
      <c r="A2833">
        <f>HYPERLINK("https://www.philgeps.gov.ph/GEPSNONPILOT/Tender/SplashBidNoticeAbstractUI.aspx?menuIndex=3&amp;refID=7043395&amp;Result=3","7043395")</f>
        <v>0</v>
      </c>
      <c r="B2833" t="s">
        <v>957</v>
      </c>
      <c r="C2833" t="s">
        <v>5898</v>
      </c>
      <c r="D2833" t="s">
        <v>18075</v>
      </c>
      <c r="E2833" t="s">
        <v>20690</v>
      </c>
      <c r="F2833" t="s">
        <v>31574</v>
      </c>
      <c r="G2833" t="s">
        <v>31582</v>
      </c>
      <c r="H2833" t="s">
        <v>31590</v>
      </c>
      <c r="I2833" t="s">
        <v>7185</v>
      </c>
      <c r="J2833" t="s">
        <v>33658</v>
      </c>
      <c r="K2833" t="s">
        <v>41186</v>
      </c>
      <c r="M2833" t="s">
        <v>42595</v>
      </c>
      <c r="N2833" t="s">
        <v>45095</v>
      </c>
      <c r="O2833" t="s">
        <v>45096</v>
      </c>
      <c r="P2833">
        <v>0</v>
      </c>
      <c r="Q2833">
        <v>1</v>
      </c>
      <c r="R2833" t="s">
        <v>45098</v>
      </c>
      <c r="S2833" t="s">
        <v>45223</v>
      </c>
      <c r="T2833" t="s">
        <v>47089</v>
      </c>
      <c r="U2833" t="s">
        <v>49885</v>
      </c>
      <c r="W2833" t="s">
        <v>42595</v>
      </c>
      <c r="X2833" t="s">
        <v>45101</v>
      </c>
    </row>
    <row r="2834" spans="1:24">
      <c r="A2834">
        <f>HYPERLINK("https://www.philgeps.gov.ph/GEPSNONPILOT/Tender/SplashBidNoticeAbstractUI.aspx?menuIndex=3&amp;refID=7043396&amp;Result=3","7043396")</f>
        <v>0</v>
      </c>
      <c r="B2834" t="s">
        <v>1050</v>
      </c>
      <c r="C2834" t="s">
        <v>5899</v>
      </c>
      <c r="D2834" t="s">
        <v>18024</v>
      </c>
      <c r="E2834" t="s">
        <v>20691</v>
      </c>
      <c r="F2834" t="s">
        <v>31574</v>
      </c>
      <c r="G2834" t="s">
        <v>31582</v>
      </c>
      <c r="H2834" t="s">
        <v>31590</v>
      </c>
      <c r="I2834" t="s">
        <v>8822</v>
      </c>
      <c r="J2834" t="s">
        <v>32026</v>
      </c>
      <c r="K2834" t="s">
        <v>41222</v>
      </c>
      <c r="M2834" t="s">
        <v>42594</v>
      </c>
      <c r="N2834" t="s">
        <v>45095</v>
      </c>
      <c r="O2834" t="s">
        <v>45096</v>
      </c>
      <c r="P2834">
        <v>0</v>
      </c>
      <c r="Q2834">
        <v>0</v>
      </c>
      <c r="R2834" t="s">
        <v>45098</v>
      </c>
      <c r="S2834" t="s">
        <v>45223</v>
      </c>
      <c r="T2834" t="s">
        <v>47142</v>
      </c>
      <c r="U2834" t="s">
        <v>49886</v>
      </c>
      <c r="W2834" t="s">
        <v>42594</v>
      </c>
      <c r="X2834" t="s">
        <v>45101</v>
      </c>
    </row>
    <row r="2835" spans="1:24">
      <c r="A2835">
        <f>HYPERLINK("https://www.philgeps.gov.ph/GEPSNONPILOT/Tender/SplashBidNoticeAbstractUI.aspx?menuIndex=3&amp;refID=7043417&amp;Result=3","7043417")</f>
        <v>0</v>
      </c>
      <c r="B2835" t="s">
        <v>1051</v>
      </c>
      <c r="C2835" t="s">
        <v>5900</v>
      </c>
      <c r="D2835" t="s">
        <v>18039</v>
      </c>
      <c r="E2835" t="s">
        <v>20692</v>
      </c>
      <c r="F2835" t="s">
        <v>31574</v>
      </c>
      <c r="G2835" t="s">
        <v>31581</v>
      </c>
      <c r="H2835" t="s">
        <v>31590</v>
      </c>
      <c r="I2835" t="s">
        <v>3489</v>
      </c>
      <c r="J2835" t="s">
        <v>31802</v>
      </c>
      <c r="K2835" t="s">
        <v>41190</v>
      </c>
      <c r="M2835" t="s">
        <v>42596</v>
      </c>
      <c r="N2835" t="s">
        <v>45095</v>
      </c>
      <c r="O2835" t="s">
        <v>45096</v>
      </c>
      <c r="P2835">
        <v>0</v>
      </c>
      <c r="Q2835">
        <v>0</v>
      </c>
      <c r="R2835" t="s">
        <v>45098</v>
      </c>
      <c r="S2835" t="s">
        <v>45223</v>
      </c>
      <c r="T2835" t="s">
        <v>46963</v>
      </c>
      <c r="U2835" t="s">
        <v>49887</v>
      </c>
      <c r="V2835" t="s">
        <v>60127</v>
      </c>
      <c r="W2835" t="s">
        <v>42596</v>
      </c>
      <c r="X2835" t="s">
        <v>45101</v>
      </c>
    </row>
    <row r="2836" spans="1:24">
      <c r="A2836">
        <f>HYPERLINK("https://www.philgeps.gov.ph/GEPSNONPILOT/Tender/SplashBidNoticeAbstractUI.aspx?menuIndex=3&amp;refID=7043413&amp;Result=3","7043413")</f>
        <v>0</v>
      </c>
      <c r="B2836" t="s">
        <v>1052</v>
      </c>
      <c r="C2836" t="s">
        <v>5901</v>
      </c>
      <c r="D2836" t="s">
        <v>18024</v>
      </c>
      <c r="E2836" t="s">
        <v>20693</v>
      </c>
      <c r="F2836" t="s">
        <v>31574</v>
      </c>
      <c r="G2836" t="s">
        <v>31582</v>
      </c>
      <c r="H2836" t="s">
        <v>31590</v>
      </c>
      <c r="I2836" t="s">
        <v>4046</v>
      </c>
      <c r="J2836" t="s">
        <v>33659</v>
      </c>
      <c r="K2836" t="s">
        <v>41186</v>
      </c>
      <c r="M2836" t="s">
        <v>42597</v>
      </c>
      <c r="N2836" t="s">
        <v>45095</v>
      </c>
      <c r="O2836" t="s">
        <v>45096</v>
      </c>
      <c r="P2836">
        <v>0</v>
      </c>
      <c r="Q2836">
        <v>0</v>
      </c>
      <c r="R2836" t="s">
        <v>45098</v>
      </c>
      <c r="S2836" t="s">
        <v>45223</v>
      </c>
      <c r="T2836" t="s">
        <v>46989</v>
      </c>
      <c r="U2836" t="s">
        <v>49888</v>
      </c>
      <c r="W2836" t="s">
        <v>42597</v>
      </c>
      <c r="X2836" t="s">
        <v>45101</v>
      </c>
    </row>
    <row r="2837" spans="1:24">
      <c r="A2837">
        <f>HYPERLINK("https://www.philgeps.gov.ph/GEPSNONPILOT/Tender/SplashBidNoticeAbstractUI.aspx?menuIndex=3&amp;refID=7043399&amp;Result=3","7043399")</f>
        <v>0</v>
      </c>
      <c r="B2837" t="s">
        <v>1052</v>
      </c>
      <c r="C2837" t="s">
        <v>5902</v>
      </c>
      <c r="D2837" t="s">
        <v>18024</v>
      </c>
      <c r="E2837" t="s">
        <v>20694</v>
      </c>
      <c r="F2837" t="s">
        <v>31574</v>
      </c>
      <c r="G2837" t="s">
        <v>31582</v>
      </c>
      <c r="H2837" t="s">
        <v>31590</v>
      </c>
      <c r="I2837" t="s">
        <v>31607</v>
      </c>
      <c r="J2837" t="s">
        <v>33660</v>
      </c>
      <c r="K2837" t="s">
        <v>41186</v>
      </c>
      <c r="M2837" t="s">
        <v>42597</v>
      </c>
      <c r="N2837" t="s">
        <v>45095</v>
      </c>
      <c r="O2837" t="s">
        <v>45096</v>
      </c>
      <c r="P2837">
        <v>0</v>
      </c>
      <c r="Q2837">
        <v>0</v>
      </c>
      <c r="R2837" t="s">
        <v>45098</v>
      </c>
      <c r="S2837" t="s">
        <v>45223</v>
      </c>
      <c r="T2837" t="s">
        <v>46989</v>
      </c>
      <c r="U2837" t="s">
        <v>49888</v>
      </c>
      <c r="W2837" t="s">
        <v>42597</v>
      </c>
      <c r="X2837" t="s">
        <v>45101</v>
      </c>
    </row>
    <row r="2838" spans="1:24">
      <c r="A2838">
        <f>HYPERLINK("https://www.philgeps.gov.ph/GEPSNONPILOT/Tender/SplashBidNoticeAbstractUI.aspx?menuIndex=3&amp;refID=7043418&amp;Result=3","7043418")</f>
        <v>0</v>
      </c>
      <c r="B2838" t="s">
        <v>765</v>
      </c>
      <c r="C2838" t="s">
        <v>5903</v>
      </c>
      <c r="D2838" t="s">
        <v>18053</v>
      </c>
      <c r="E2838" t="s">
        <v>19149</v>
      </c>
      <c r="F2838" t="s">
        <v>31574</v>
      </c>
      <c r="G2838" t="s">
        <v>31582</v>
      </c>
      <c r="H2838" t="s">
        <v>31591</v>
      </c>
      <c r="I2838" t="s">
        <v>8822</v>
      </c>
      <c r="J2838" t="s">
        <v>33661</v>
      </c>
      <c r="K2838" t="s">
        <v>41218</v>
      </c>
      <c r="M2838" t="s">
        <v>42279</v>
      </c>
      <c r="N2838" t="s">
        <v>45095</v>
      </c>
      <c r="O2838" t="s">
        <v>45096</v>
      </c>
      <c r="P2838">
        <v>0</v>
      </c>
      <c r="Q2838">
        <v>0</v>
      </c>
      <c r="R2838" t="s">
        <v>45098</v>
      </c>
      <c r="S2838" t="s">
        <v>45223</v>
      </c>
      <c r="T2838" t="s">
        <v>46908</v>
      </c>
      <c r="U2838" t="s">
        <v>49889</v>
      </c>
      <c r="W2838" t="s">
        <v>42279</v>
      </c>
      <c r="X2838" t="s">
        <v>45101</v>
      </c>
    </row>
    <row r="2839" spans="1:24">
      <c r="A2839">
        <f>HYPERLINK("https://www.philgeps.gov.ph/GEPSNONPILOT/Tender/SplashBidNoticeAbstractUI.aspx?menuIndex=3&amp;refID=7043414&amp;Result=3","7043414")</f>
        <v>0</v>
      </c>
      <c r="B2839" t="s">
        <v>1053</v>
      </c>
      <c r="C2839" t="s">
        <v>5904</v>
      </c>
      <c r="D2839" t="s">
        <v>18103</v>
      </c>
      <c r="E2839" t="s">
        <v>20695</v>
      </c>
      <c r="F2839" t="s">
        <v>31574</v>
      </c>
      <c r="G2839" t="s">
        <v>31583</v>
      </c>
      <c r="H2839" t="s">
        <v>31590</v>
      </c>
      <c r="I2839" t="s">
        <v>4354</v>
      </c>
      <c r="J2839" t="s">
        <v>33662</v>
      </c>
      <c r="K2839" t="s">
        <v>41190</v>
      </c>
      <c r="M2839" t="s">
        <v>42598</v>
      </c>
      <c r="N2839" t="s">
        <v>45095</v>
      </c>
      <c r="O2839" t="s">
        <v>45096</v>
      </c>
      <c r="P2839">
        <v>0</v>
      </c>
      <c r="Q2839">
        <v>0</v>
      </c>
      <c r="R2839" t="s">
        <v>45098</v>
      </c>
      <c r="S2839" t="s">
        <v>45223</v>
      </c>
      <c r="T2839" t="s">
        <v>47067</v>
      </c>
      <c r="U2839" t="s">
        <v>49890</v>
      </c>
      <c r="W2839" t="s">
        <v>42598</v>
      </c>
      <c r="X2839" t="s">
        <v>45101</v>
      </c>
    </row>
    <row r="2840" spans="1:24">
      <c r="A2840">
        <f>HYPERLINK("https://www.philgeps.gov.ph/GEPSNONPILOT/Tender/SplashBidNoticeAbstractUI.aspx?menuIndex=3&amp;refID=7043424&amp;Result=3","7043424")</f>
        <v>0</v>
      </c>
      <c r="B2840" t="s">
        <v>765</v>
      </c>
      <c r="C2840" t="s">
        <v>5905</v>
      </c>
      <c r="D2840" t="s">
        <v>18053</v>
      </c>
      <c r="E2840" t="s">
        <v>19404</v>
      </c>
      <c r="F2840" t="s">
        <v>31574</v>
      </c>
      <c r="G2840" t="s">
        <v>31582</v>
      </c>
      <c r="H2840" t="s">
        <v>31591</v>
      </c>
      <c r="I2840" t="s">
        <v>8822</v>
      </c>
      <c r="J2840" t="s">
        <v>33663</v>
      </c>
      <c r="K2840" t="s">
        <v>41226</v>
      </c>
      <c r="M2840" t="s">
        <v>42279</v>
      </c>
      <c r="N2840" t="s">
        <v>45095</v>
      </c>
      <c r="O2840" t="s">
        <v>45096</v>
      </c>
      <c r="P2840">
        <v>0</v>
      </c>
      <c r="Q2840">
        <v>0</v>
      </c>
      <c r="R2840" t="s">
        <v>45098</v>
      </c>
      <c r="S2840" t="s">
        <v>45223</v>
      </c>
      <c r="T2840" t="s">
        <v>46908</v>
      </c>
      <c r="U2840" t="s">
        <v>49891</v>
      </c>
      <c r="W2840" t="s">
        <v>42279</v>
      </c>
      <c r="X2840" t="s">
        <v>45101</v>
      </c>
    </row>
    <row r="2841" spans="1:24">
      <c r="A2841">
        <f>HYPERLINK("https://www.philgeps.gov.ph/GEPSNONPILOT/Tender/SplashBidNoticeAbstractUI.aspx?menuIndex=3&amp;refID=7043409&amp;Result=3","7043409")</f>
        <v>0</v>
      </c>
      <c r="B2841" t="s">
        <v>1053</v>
      </c>
      <c r="C2841" t="s">
        <v>5892</v>
      </c>
      <c r="D2841" t="s">
        <v>18103</v>
      </c>
      <c r="E2841" t="s">
        <v>20696</v>
      </c>
      <c r="F2841" t="s">
        <v>31574</v>
      </c>
      <c r="G2841" t="s">
        <v>31583</v>
      </c>
      <c r="H2841" t="s">
        <v>31590</v>
      </c>
      <c r="I2841" t="s">
        <v>5717</v>
      </c>
      <c r="J2841" t="s">
        <v>33664</v>
      </c>
      <c r="K2841" t="s">
        <v>41190</v>
      </c>
      <c r="M2841" t="s">
        <v>42598</v>
      </c>
      <c r="N2841" t="s">
        <v>45095</v>
      </c>
      <c r="O2841" t="s">
        <v>45096</v>
      </c>
      <c r="P2841">
        <v>0</v>
      </c>
      <c r="Q2841">
        <v>1</v>
      </c>
      <c r="R2841" t="s">
        <v>45098</v>
      </c>
      <c r="S2841" t="s">
        <v>45223</v>
      </c>
      <c r="T2841" t="s">
        <v>47058</v>
      </c>
      <c r="U2841" t="s">
        <v>49879</v>
      </c>
      <c r="W2841" t="s">
        <v>42598</v>
      </c>
      <c r="X2841" t="s">
        <v>45101</v>
      </c>
    </row>
    <row r="2842" spans="1:24">
      <c r="A2842">
        <f>HYPERLINK("https://www.philgeps.gov.ph/GEPSNONPILOT/Tender/SplashBidNoticeAbstractUI.aspx?menuIndex=3&amp;refID=7043459&amp;Result=3","7043459")</f>
        <v>0</v>
      </c>
      <c r="B2842" t="s">
        <v>1054</v>
      </c>
      <c r="C2842" t="s">
        <v>5906</v>
      </c>
      <c r="D2842" t="s">
        <v>18022</v>
      </c>
      <c r="E2842" t="s">
        <v>20697</v>
      </c>
      <c r="F2842" t="s">
        <v>31574</v>
      </c>
      <c r="G2842" t="s">
        <v>31582</v>
      </c>
      <c r="H2842" t="s">
        <v>31590</v>
      </c>
      <c r="I2842" t="s">
        <v>31608</v>
      </c>
      <c r="J2842" t="s">
        <v>32318</v>
      </c>
      <c r="K2842" t="s">
        <v>41193</v>
      </c>
      <c r="M2842" t="s">
        <v>42599</v>
      </c>
      <c r="N2842" t="s">
        <v>45095</v>
      </c>
      <c r="O2842" t="s">
        <v>45096</v>
      </c>
      <c r="P2842">
        <v>0</v>
      </c>
      <c r="Q2842">
        <v>2</v>
      </c>
      <c r="R2842" t="s">
        <v>45098</v>
      </c>
      <c r="S2842" t="s">
        <v>45223</v>
      </c>
      <c r="T2842" t="s">
        <v>46945</v>
      </c>
      <c r="U2842" t="s">
        <v>49892</v>
      </c>
      <c r="W2842" t="s">
        <v>42599</v>
      </c>
      <c r="X2842" t="s">
        <v>45101</v>
      </c>
    </row>
    <row r="2843" spans="1:24">
      <c r="A2843">
        <f>HYPERLINK("https://www.philgeps.gov.ph/GEPSNONPILOT/Tender/SplashBidNoticeAbstractUI.aspx?menuIndex=3&amp;refID=7043456&amp;Result=3","7043456")</f>
        <v>0</v>
      </c>
      <c r="B2843" t="s">
        <v>1054</v>
      </c>
      <c r="C2843" t="s">
        <v>5907</v>
      </c>
      <c r="D2843" t="s">
        <v>18022</v>
      </c>
      <c r="E2843" t="s">
        <v>20698</v>
      </c>
      <c r="F2843" t="s">
        <v>31574</v>
      </c>
      <c r="G2843" t="s">
        <v>31582</v>
      </c>
      <c r="H2843" t="s">
        <v>31590</v>
      </c>
      <c r="I2843" t="s">
        <v>3901</v>
      </c>
      <c r="J2843" t="s">
        <v>31741</v>
      </c>
      <c r="K2843" t="s">
        <v>41193</v>
      </c>
      <c r="M2843" t="s">
        <v>42599</v>
      </c>
      <c r="N2843" t="s">
        <v>45095</v>
      </c>
      <c r="O2843" t="s">
        <v>45096</v>
      </c>
      <c r="P2843">
        <v>0</v>
      </c>
      <c r="Q2843">
        <v>0</v>
      </c>
      <c r="R2843" t="s">
        <v>45098</v>
      </c>
      <c r="S2843" t="s">
        <v>45223</v>
      </c>
      <c r="T2843" t="s">
        <v>46945</v>
      </c>
      <c r="U2843" t="s">
        <v>49893</v>
      </c>
      <c r="W2843" t="s">
        <v>42599</v>
      </c>
      <c r="X2843" t="s">
        <v>45101</v>
      </c>
    </row>
    <row r="2844" spans="1:24">
      <c r="A2844">
        <f>HYPERLINK("https://www.philgeps.gov.ph/GEPSNONPILOT/Tender/SplashBidNoticeAbstractUI.aspx?menuIndex=3&amp;refID=7043411&amp;Result=3","7043411")</f>
        <v>0</v>
      </c>
      <c r="B2844" t="s">
        <v>1053</v>
      </c>
      <c r="C2844" t="s">
        <v>5883</v>
      </c>
      <c r="D2844" t="s">
        <v>18103</v>
      </c>
      <c r="E2844" t="s">
        <v>20699</v>
      </c>
      <c r="F2844" t="s">
        <v>31574</v>
      </c>
      <c r="G2844" t="s">
        <v>31583</v>
      </c>
      <c r="H2844" t="s">
        <v>31590</v>
      </c>
      <c r="I2844" t="s">
        <v>4046</v>
      </c>
      <c r="J2844" t="s">
        <v>33665</v>
      </c>
      <c r="K2844" t="s">
        <v>41190</v>
      </c>
      <c r="M2844" t="s">
        <v>42598</v>
      </c>
      <c r="N2844" t="s">
        <v>45095</v>
      </c>
      <c r="O2844" t="s">
        <v>45096</v>
      </c>
      <c r="P2844">
        <v>0</v>
      </c>
      <c r="Q2844">
        <v>0</v>
      </c>
      <c r="R2844" t="s">
        <v>45098</v>
      </c>
      <c r="S2844" t="s">
        <v>45223</v>
      </c>
      <c r="T2844" t="s">
        <v>47058</v>
      </c>
      <c r="U2844" t="s">
        <v>49869</v>
      </c>
      <c r="W2844" t="s">
        <v>42598</v>
      </c>
      <c r="X2844" t="s">
        <v>45101</v>
      </c>
    </row>
    <row r="2845" spans="1:24">
      <c r="A2845">
        <f>HYPERLINK("https://www.philgeps.gov.ph/GEPSNONPILOT/Tender/SplashBidNoticeAbstractUI.aspx?menuIndex=3&amp;refID=7043451&amp;Result=3","7043451")</f>
        <v>0</v>
      </c>
      <c r="B2845" t="s">
        <v>1054</v>
      </c>
      <c r="C2845" t="s">
        <v>5908</v>
      </c>
      <c r="D2845" t="s">
        <v>18022</v>
      </c>
      <c r="E2845" t="s">
        <v>20700</v>
      </c>
      <c r="F2845" t="s">
        <v>31574</v>
      </c>
      <c r="G2845" t="s">
        <v>31582</v>
      </c>
      <c r="H2845" t="s">
        <v>31590</v>
      </c>
      <c r="I2845" t="s">
        <v>7185</v>
      </c>
      <c r="J2845" t="s">
        <v>33666</v>
      </c>
      <c r="K2845" t="s">
        <v>41193</v>
      </c>
      <c r="M2845" t="s">
        <v>42599</v>
      </c>
      <c r="N2845" t="s">
        <v>45095</v>
      </c>
      <c r="O2845" t="s">
        <v>45096</v>
      </c>
      <c r="P2845">
        <v>0</v>
      </c>
      <c r="Q2845">
        <v>4</v>
      </c>
      <c r="R2845" t="s">
        <v>45098</v>
      </c>
      <c r="S2845" t="s">
        <v>45223</v>
      </c>
      <c r="T2845" t="s">
        <v>46945</v>
      </c>
      <c r="U2845" t="s">
        <v>49894</v>
      </c>
      <c r="W2845" t="s">
        <v>42599</v>
      </c>
      <c r="X2845" t="s">
        <v>45101</v>
      </c>
    </row>
    <row r="2846" spans="1:24">
      <c r="A2846">
        <f>HYPERLINK("https://www.philgeps.gov.ph/GEPSNONPILOT/Tender/SplashBidNoticeAbstractUI.aspx?menuIndex=3&amp;refID=7043454&amp;Result=3","7043454")</f>
        <v>0</v>
      </c>
      <c r="B2846" t="s">
        <v>1054</v>
      </c>
      <c r="C2846" t="s">
        <v>5909</v>
      </c>
      <c r="D2846" t="s">
        <v>18022</v>
      </c>
      <c r="E2846" t="s">
        <v>20701</v>
      </c>
      <c r="F2846" t="s">
        <v>31574</v>
      </c>
      <c r="G2846" t="s">
        <v>31582</v>
      </c>
      <c r="H2846" t="s">
        <v>31590</v>
      </c>
      <c r="I2846" t="s">
        <v>3489</v>
      </c>
      <c r="J2846" t="s">
        <v>33667</v>
      </c>
      <c r="K2846" t="s">
        <v>41193</v>
      </c>
      <c r="M2846" t="s">
        <v>42599</v>
      </c>
      <c r="N2846" t="s">
        <v>45095</v>
      </c>
      <c r="O2846" t="s">
        <v>45096</v>
      </c>
      <c r="P2846">
        <v>0</v>
      </c>
      <c r="Q2846">
        <v>0</v>
      </c>
      <c r="R2846" t="s">
        <v>45098</v>
      </c>
      <c r="S2846" t="s">
        <v>45223</v>
      </c>
      <c r="T2846" t="s">
        <v>46945</v>
      </c>
      <c r="U2846" t="s">
        <v>49895</v>
      </c>
      <c r="W2846" t="s">
        <v>42599</v>
      </c>
      <c r="X2846" t="s">
        <v>45101</v>
      </c>
    </row>
    <row r="2847" spans="1:24">
      <c r="A2847">
        <f>HYPERLINK("https://www.philgeps.gov.ph/GEPSNONPILOT/Tender/SplashBidNoticeAbstractUI.aspx?menuIndex=3&amp;refID=7043436&amp;Result=3","7043436")</f>
        <v>0</v>
      </c>
      <c r="B2847" t="s">
        <v>135</v>
      </c>
      <c r="C2847" t="s">
        <v>5910</v>
      </c>
      <c r="D2847" t="s">
        <v>18022</v>
      </c>
      <c r="E2847" t="s">
        <v>20702</v>
      </c>
      <c r="F2847" t="s">
        <v>31574</v>
      </c>
      <c r="G2847" t="s">
        <v>31581</v>
      </c>
      <c r="H2847" t="s">
        <v>31590</v>
      </c>
      <c r="I2847" t="s">
        <v>6800</v>
      </c>
      <c r="J2847" t="s">
        <v>32232</v>
      </c>
      <c r="K2847" t="s">
        <v>41184</v>
      </c>
      <c r="M2847" t="s">
        <v>42258</v>
      </c>
      <c r="N2847" t="s">
        <v>45095</v>
      </c>
      <c r="O2847" t="s">
        <v>45096</v>
      </c>
      <c r="P2847">
        <v>0</v>
      </c>
      <c r="Q2847">
        <v>1</v>
      </c>
      <c r="R2847" t="s">
        <v>45098</v>
      </c>
      <c r="S2847" t="s">
        <v>45223</v>
      </c>
      <c r="T2847" t="s">
        <v>46955</v>
      </c>
      <c r="U2847" t="s">
        <v>49896</v>
      </c>
      <c r="V2847" t="s">
        <v>60030</v>
      </c>
      <c r="W2847" t="s">
        <v>42258</v>
      </c>
      <c r="X2847" t="s">
        <v>45101</v>
      </c>
    </row>
    <row r="2848" spans="1:24">
      <c r="A2848">
        <f>HYPERLINK("https://www.philgeps.gov.ph/GEPSNONPILOT/Tender/SplashBidNoticeAbstractUI.aspx?menuIndex=3&amp;refID=7043452&amp;Result=3","7043452")</f>
        <v>0</v>
      </c>
      <c r="B2848" t="s">
        <v>1054</v>
      </c>
      <c r="C2848" t="s">
        <v>5911</v>
      </c>
      <c r="D2848" t="s">
        <v>18022</v>
      </c>
      <c r="E2848" t="s">
        <v>20703</v>
      </c>
      <c r="F2848" t="s">
        <v>31574</v>
      </c>
      <c r="G2848" t="s">
        <v>31582</v>
      </c>
      <c r="H2848" t="s">
        <v>31590</v>
      </c>
      <c r="I2848" t="s">
        <v>31640</v>
      </c>
      <c r="J2848" t="s">
        <v>33668</v>
      </c>
      <c r="K2848" t="s">
        <v>41193</v>
      </c>
      <c r="M2848" t="s">
        <v>42599</v>
      </c>
      <c r="N2848" t="s">
        <v>45095</v>
      </c>
      <c r="O2848" t="s">
        <v>45096</v>
      </c>
      <c r="P2848">
        <v>0</v>
      </c>
      <c r="Q2848">
        <v>3</v>
      </c>
      <c r="R2848" t="s">
        <v>45098</v>
      </c>
      <c r="S2848" t="s">
        <v>45223</v>
      </c>
      <c r="T2848" t="s">
        <v>46945</v>
      </c>
      <c r="U2848" t="s">
        <v>49897</v>
      </c>
      <c r="W2848" t="s">
        <v>42599</v>
      </c>
      <c r="X2848" t="s">
        <v>45101</v>
      </c>
    </row>
    <row r="2849" spans="1:24">
      <c r="A2849">
        <f>HYPERLINK("https://www.philgeps.gov.ph/GEPSNONPILOT/Tender/SplashBidNoticeAbstractUI.aspx?menuIndex=3&amp;refID=7043434&amp;Result=3","7043434")</f>
        <v>0</v>
      </c>
      <c r="B2849" t="s">
        <v>1055</v>
      </c>
      <c r="C2849" t="s">
        <v>5912</v>
      </c>
      <c r="D2849" t="s">
        <v>18022</v>
      </c>
      <c r="E2849" t="s">
        <v>18726</v>
      </c>
      <c r="F2849" t="s">
        <v>31574</v>
      </c>
      <c r="G2849" t="s">
        <v>31581</v>
      </c>
      <c r="H2849" t="s">
        <v>31590</v>
      </c>
      <c r="I2849" t="s">
        <v>3520</v>
      </c>
      <c r="J2849" t="s">
        <v>33669</v>
      </c>
      <c r="K2849" t="s">
        <v>41184</v>
      </c>
      <c r="M2849" t="s">
        <v>42600</v>
      </c>
      <c r="N2849" t="s">
        <v>45095</v>
      </c>
      <c r="O2849" t="s">
        <v>45096</v>
      </c>
      <c r="P2849">
        <v>0</v>
      </c>
      <c r="Q2849">
        <v>0</v>
      </c>
      <c r="R2849" t="s">
        <v>45098</v>
      </c>
      <c r="S2849" t="s">
        <v>45223</v>
      </c>
      <c r="T2849" t="s">
        <v>46963</v>
      </c>
      <c r="U2849" t="s">
        <v>49898</v>
      </c>
      <c r="V2849" t="s">
        <v>60128</v>
      </c>
      <c r="W2849" t="s">
        <v>61689</v>
      </c>
      <c r="X2849" t="s">
        <v>45101</v>
      </c>
    </row>
    <row r="2850" spans="1:24">
      <c r="A2850">
        <f>HYPERLINK("https://www.philgeps.gov.ph/GEPSNONPILOT/Tender/SplashBidNoticeAbstractUI.aspx?menuIndex=3&amp;refID=7043450&amp;Result=3","7043450")</f>
        <v>0</v>
      </c>
      <c r="B2850" t="s">
        <v>1056</v>
      </c>
      <c r="C2850" t="s">
        <v>5913</v>
      </c>
      <c r="D2850" t="s">
        <v>18041</v>
      </c>
      <c r="E2850" t="s">
        <v>20704</v>
      </c>
      <c r="F2850" t="s">
        <v>31574</v>
      </c>
      <c r="G2850" t="s">
        <v>31582</v>
      </c>
      <c r="H2850" t="s">
        <v>31590</v>
      </c>
      <c r="I2850" t="s">
        <v>6800</v>
      </c>
      <c r="J2850" t="s">
        <v>31845</v>
      </c>
      <c r="K2850" t="s">
        <v>41184</v>
      </c>
      <c r="M2850" t="s">
        <v>42601</v>
      </c>
      <c r="N2850" t="s">
        <v>45095</v>
      </c>
      <c r="O2850" t="s">
        <v>45096</v>
      </c>
      <c r="P2850">
        <v>0</v>
      </c>
      <c r="Q2850">
        <v>2</v>
      </c>
      <c r="R2850" t="s">
        <v>45098</v>
      </c>
      <c r="S2850" t="s">
        <v>45223</v>
      </c>
      <c r="T2850" t="s">
        <v>46905</v>
      </c>
      <c r="U2850" t="s">
        <v>49899</v>
      </c>
      <c r="W2850" t="s">
        <v>42601</v>
      </c>
      <c r="X2850" t="s">
        <v>45101</v>
      </c>
    </row>
    <row r="2851" spans="1:24">
      <c r="A2851">
        <f>HYPERLINK("https://www.philgeps.gov.ph/GEPSNONPILOT/Tender/SplashBidNoticeAbstractUI.aspx?menuIndex=3&amp;refID=7043427&amp;Result=3","7043427")</f>
        <v>0</v>
      </c>
      <c r="B2851" t="s">
        <v>1050</v>
      </c>
      <c r="C2851" t="s">
        <v>5914</v>
      </c>
      <c r="D2851" t="s">
        <v>18024</v>
      </c>
      <c r="E2851" t="s">
        <v>20705</v>
      </c>
      <c r="F2851" t="s">
        <v>31574</v>
      </c>
      <c r="G2851" t="s">
        <v>31582</v>
      </c>
      <c r="H2851" t="s">
        <v>31591</v>
      </c>
      <c r="I2851" t="s">
        <v>8822</v>
      </c>
      <c r="J2851" t="s">
        <v>31935</v>
      </c>
      <c r="K2851" t="s">
        <v>41295</v>
      </c>
      <c r="M2851" t="s">
        <v>42594</v>
      </c>
      <c r="N2851" t="s">
        <v>45095</v>
      </c>
      <c r="O2851" t="s">
        <v>45096</v>
      </c>
      <c r="P2851">
        <v>0</v>
      </c>
      <c r="Q2851">
        <v>0</v>
      </c>
      <c r="R2851" t="s">
        <v>45098</v>
      </c>
      <c r="S2851" t="s">
        <v>45223</v>
      </c>
      <c r="T2851" t="s">
        <v>47142</v>
      </c>
      <c r="U2851" t="s">
        <v>49900</v>
      </c>
      <c r="W2851" t="s">
        <v>42594</v>
      </c>
      <c r="X2851" t="s">
        <v>45101</v>
      </c>
    </row>
    <row r="2852" spans="1:24">
      <c r="A2852">
        <f>HYPERLINK("https://www.philgeps.gov.ph/GEPSNONPILOT/Tender/SplashBidNoticeAbstractUI.aspx?menuIndex=3&amp;refID=7043428&amp;Result=3","7043428")</f>
        <v>0</v>
      </c>
      <c r="B2852" t="s">
        <v>1050</v>
      </c>
      <c r="C2852" t="s">
        <v>5915</v>
      </c>
      <c r="D2852" t="s">
        <v>18024</v>
      </c>
      <c r="E2852" t="s">
        <v>20706</v>
      </c>
      <c r="F2852" t="s">
        <v>31574</v>
      </c>
      <c r="G2852" t="s">
        <v>31582</v>
      </c>
      <c r="H2852" t="s">
        <v>31590</v>
      </c>
      <c r="I2852" t="s">
        <v>8822</v>
      </c>
      <c r="J2852" t="s">
        <v>32076</v>
      </c>
      <c r="K2852" t="s">
        <v>41296</v>
      </c>
      <c r="M2852" t="s">
        <v>42594</v>
      </c>
      <c r="N2852" t="s">
        <v>45095</v>
      </c>
      <c r="O2852" t="s">
        <v>45096</v>
      </c>
      <c r="P2852">
        <v>0</v>
      </c>
      <c r="Q2852">
        <v>0</v>
      </c>
      <c r="R2852" t="s">
        <v>45098</v>
      </c>
      <c r="S2852" t="s">
        <v>45223</v>
      </c>
      <c r="T2852" t="s">
        <v>47142</v>
      </c>
      <c r="U2852" t="s">
        <v>49901</v>
      </c>
      <c r="W2852" t="s">
        <v>42594</v>
      </c>
      <c r="X2852" t="s">
        <v>45101</v>
      </c>
    </row>
    <row r="2853" spans="1:24">
      <c r="A2853">
        <f>HYPERLINK("https://www.philgeps.gov.ph/GEPSNONPILOT/Tender/SplashBidNoticeAbstractUI.aspx?menuIndex=3&amp;refID=7043457&amp;Result=3","7043457")</f>
        <v>0</v>
      </c>
      <c r="B2853" t="s">
        <v>135</v>
      </c>
      <c r="C2853" t="s">
        <v>5916</v>
      </c>
      <c r="D2853" t="s">
        <v>18022</v>
      </c>
      <c r="E2853" t="s">
        <v>20707</v>
      </c>
      <c r="F2853" t="s">
        <v>31574</v>
      </c>
      <c r="G2853" t="s">
        <v>31581</v>
      </c>
      <c r="H2853" t="s">
        <v>31590</v>
      </c>
      <c r="I2853" t="s">
        <v>3487</v>
      </c>
      <c r="J2853" t="s">
        <v>33670</v>
      </c>
      <c r="K2853" t="s">
        <v>41184</v>
      </c>
      <c r="M2853" t="s">
        <v>42258</v>
      </c>
      <c r="N2853" t="s">
        <v>45095</v>
      </c>
      <c r="O2853" t="s">
        <v>45096</v>
      </c>
      <c r="P2853">
        <v>0</v>
      </c>
      <c r="Q2853">
        <v>0</v>
      </c>
      <c r="R2853" t="s">
        <v>45098</v>
      </c>
      <c r="S2853" t="s">
        <v>45223</v>
      </c>
      <c r="T2853" t="s">
        <v>46955</v>
      </c>
      <c r="U2853" t="s">
        <v>49902</v>
      </c>
      <c r="V2853" t="s">
        <v>60030</v>
      </c>
      <c r="W2853" t="s">
        <v>42258</v>
      </c>
      <c r="X2853" t="s">
        <v>45101</v>
      </c>
    </row>
    <row r="2854" spans="1:24">
      <c r="A2854">
        <f>HYPERLINK("https://www.philgeps.gov.ph/GEPSNONPILOT/Tender/SplashBidNoticeAbstractUI.aspx?menuIndex=3&amp;refID=7043449&amp;Result=3","7043449")</f>
        <v>0</v>
      </c>
      <c r="B2854" t="s">
        <v>1054</v>
      </c>
      <c r="C2854" t="s">
        <v>5917</v>
      </c>
      <c r="D2854" t="s">
        <v>18022</v>
      </c>
      <c r="E2854" t="s">
        <v>20708</v>
      </c>
      <c r="F2854" t="s">
        <v>31574</v>
      </c>
      <c r="G2854" t="s">
        <v>31582</v>
      </c>
      <c r="H2854" t="s">
        <v>31590</v>
      </c>
      <c r="I2854" t="s">
        <v>6800</v>
      </c>
      <c r="J2854" t="s">
        <v>32076</v>
      </c>
      <c r="K2854" t="s">
        <v>41193</v>
      </c>
      <c r="M2854" t="s">
        <v>42599</v>
      </c>
      <c r="N2854" t="s">
        <v>45095</v>
      </c>
      <c r="O2854" t="s">
        <v>45096</v>
      </c>
      <c r="P2854">
        <v>0</v>
      </c>
      <c r="Q2854">
        <v>0</v>
      </c>
      <c r="R2854" t="s">
        <v>45098</v>
      </c>
      <c r="S2854" t="s">
        <v>45223</v>
      </c>
      <c r="T2854" t="s">
        <v>46945</v>
      </c>
      <c r="U2854" t="s">
        <v>49903</v>
      </c>
      <c r="W2854" t="s">
        <v>42599</v>
      </c>
      <c r="X2854" t="s">
        <v>45101</v>
      </c>
    </row>
    <row r="2855" spans="1:24">
      <c r="A2855">
        <f>HYPERLINK("https://www.philgeps.gov.ph/GEPSNONPILOT/Tender/SplashBidNoticeAbstractUI.aspx?menuIndex=3&amp;refID=7043460&amp;Result=3","7043460")</f>
        <v>0</v>
      </c>
      <c r="B2855" t="s">
        <v>135</v>
      </c>
      <c r="C2855" t="s">
        <v>5918</v>
      </c>
      <c r="D2855" t="s">
        <v>18022</v>
      </c>
      <c r="E2855" t="s">
        <v>20709</v>
      </c>
      <c r="F2855" t="s">
        <v>31574</v>
      </c>
      <c r="G2855" t="s">
        <v>31581</v>
      </c>
      <c r="H2855" t="s">
        <v>31590</v>
      </c>
      <c r="I2855" t="s">
        <v>4354</v>
      </c>
      <c r="J2855" t="s">
        <v>33671</v>
      </c>
      <c r="K2855" t="s">
        <v>41184</v>
      </c>
      <c r="M2855" t="s">
        <v>42258</v>
      </c>
      <c r="N2855" t="s">
        <v>45095</v>
      </c>
      <c r="O2855" t="s">
        <v>45096</v>
      </c>
      <c r="P2855">
        <v>0</v>
      </c>
      <c r="Q2855">
        <v>2</v>
      </c>
      <c r="R2855" t="s">
        <v>45098</v>
      </c>
      <c r="S2855" t="s">
        <v>45223</v>
      </c>
      <c r="T2855" t="s">
        <v>46955</v>
      </c>
      <c r="U2855" t="s">
        <v>49904</v>
      </c>
      <c r="V2855" t="s">
        <v>60030</v>
      </c>
      <c r="W2855" t="s">
        <v>42258</v>
      </c>
      <c r="X2855" t="s">
        <v>45101</v>
      </c>
    </row>
    <row r="2856" spans="1:24">
      <c r="A2856">
        <f>HYPERLINK("https://www.philgeps.gov.ph/GEPSNONPILOT/Tender/SplashBidNoticeAbstractUI.aspx?menuIndex=3&amp;refID=7043477&amp;Result=3","7043477")</f>
        <v>0</v>
      </c>
      <c r="B2856" t="s">
        <v>1054</v>
      </c>
      <c r="C2856" t="s">
        <v>5919</v>
      </c>
      <c r="D2856" t="s">
        <v>18022</v>
      </c>
      <c r="E2856" t="s">
        <v>20710</v>
      </c>
      <c r="F2856" t="s">
        <v>31574</v>
      </c>
      <c r="G2856" t="s">
        <v>31582</v>
      </c>
      <c r="H2856" t="s">
        <v>31590</v>
      </c>
      <c r="I2856" t="s">
        <v>31689</v>
      </c>
      <c r="J2856" t="s">
        <v>32742</v>
      </c>
      <c r="K2856" t="s">
        <v>41193</v>
      </c>
      <c r="M2856" t="s">
        <v>42599</v>
      </c>
      <c r="N2856" t="s">
        <v>45095</v>
      </c>
      <c r="O2856" t="s">
        <v>45096</v>
      </c>
      <c r="P2856">
        <v>0</v>
      </c>
      <c r="Q2856">
        <v>0</v>
      </c>
      <c r="R2856" t="s">
        <v>45098</v>
      </c>
      <c r="S2856" t="s">
        <v>45223</v>
      </c>
      <c r="T2856" t="s">
        <v>46945</v>
      </c>
      <c r="U2856" t="s">
        <v>49905</v>
      </c>
      <c r="W2856" t="s">
        <v>42599</v>
      </c>
      <c r="X2856" t="s">
        <v>45101</v>
      </c>
    </row>
    <row r="2857" spans="1:24">
      <c r="A2857">
        <f>HYPERLINK("https://www.philgeps.gov.ph/GEPSNONPILOT/Tender/SplashBidNoticeAbstractUI.aspx?menuIndex=3&amp;refID=7043467&amp;Result=3","7043467")</f>
        <v>0</v>
      </c>
      <c r="B2857" t="s">
        <v>1054</v>
      </c>
      <c r="C2857" t="s">
        <v>5920</v>
      </c>
      <c r="D2857" t="s">
        <v>18022</v>
      </c>
      <c r="E2857" t="s">
        <v>20711</v>
      </c>
      <c r="F2857" t="s">
        <v>31574</v>
      </c>
      <c r="G2857" t="s">
        <v>31582</v>
      </c>
      <c r="H2857" t="s">
        <v>31590</v>
      </c>
      <c r="I2857" t="s">
        <v>31619</v>
      </c>
      <c r="J2857" t="s">
        <v>31789</v>
      </c>
      <c r="K2857" t="s">
        <v>41193</v>
      </c>
      <c r="M2857" t="s">
        <v>42599</v>
      </c>
      <c r="N2857" t="s">
        <v>45095</v>
      </c>
      <c r="O2857" t="s">
        <v>45096</v>
      </c>
      <c r="P2857">
        <v>0</v>
      </c>
      <c r="Q2857">
        <v>7</v>
      </c>
      <c r="R2857" t="s">
        <v>45098</v>
      </c>
      <c r="S2857" t="s">
        <v>45223</v>
      </c>
      <c r="T2857" t="s">
        <v>46945</v>
      </c>
      <c r="U2857" t="s">
        <v>49906</v>
      </c>
      <c r="W2857" t="s">
        <v>42599</v>
      </c>
      <c r="X2857" t="s">
        <v>45101</v>
      </c>
    </row>
    <row r="2858" spans="1:24">
      <c r="A2858">
        <f>HYPERLINK("https://www.philgeps.gov.ph/GEPSNONPILOT/Tender/SplashBidNoticeAbstractUI.aspx?menuIndex=3&amp;refID=7043464&amp;Result=3","7043464")</f>
        <v>0</v>
      </c>
      <c r="B2858" t="s">
        <v>1054</v>
      </c>
      <c r="C2858" t="s">
        <v>5921</v>
      </c>
      <c r="D2858" t="s">
        <v>18022</v>
      </c>
      <c r="E2858" t="s">
        <v>20712</v>
      </c>
      <c r="F2858" t="s">
        <v>31574</v>
      </c>
      <c r="G2858" t="s">
        <v>31582</v>
      </c>
      <c r="H2858" t="s">
        <v>31590</v>
      </c>
      <c r="I2858" t="s">
        <v>31616</v>
      </c>
      <c r="J2858" t="s">
        <v>32017</v>
      </c>
      <c r="K2858" t="s">
        <v>41193</v>
      </c>
      <c r="M2858" t="s">
        <v>42599</v>
      </c>
      <c r="N2858" t="s">
        <v>45095</v>
      </c>
      <c r="O2858" t="s">
        <v>45096</v>
      </c>
      <c r="P2858">
        <v>0</v>
      </c>
      <c r="Q2858">
        <v>1</v>
      </c>
      <c r="R2858" t="s">
        <v>45098</v>
      </c>
      <c r="S2858" t="s">
        <v>45223</v>
      </c>
      <c r="T2858" t="s">
        <v>46945</v>
      </c>
      <c r="U2858" t="s">
        <v>49907</v>
      </c>
      <c r="W2858" t="s">
        <v>42599</v>
      </c>
      <c r="X2858" t="s">
        <v>45101</v>
      </c>
    </row>
    <row r="2859" spans="1:24">
      <c r="A2859">
        <f>HYPERLINK("https://www.philgeps.gov.ph/GEPSNONPILOT/Tender/SplashBidNoticeAbstractUI.aspx?menuIndex=3&amp;refID=7043476&amp;Result=3","7043476")</f>
        <v>0</v>
      </c>
      <c r="B2859" t="s">
        <v>1057</v>
      </c>
      <c r="C2859" t="s">
        <v>5922</v>
      </c>
      <c r="D2859" t="s">
        <v>18099</v>
      </c>
      <c r="E2859" t="s">
        <v>20713</v>
      </c>
      <c r="F2859" t="s">
        <v>31574</v>
      </c>
      <c r="G2859" t="s">
        <v>31582</v>
      </c>
      <c r="H2859" t="s">
        <v>31590</v>
      </c>
      <c r="I2859" t="s">
        <v>3901</v>
      </c>
      <c r="J2859" t="s">
        <v>32258</v>
      </c>
      <c r="K2859" t="s">
        <v>41192</v>
      </c>
      <c r="M2859" t="s">
        <v>42602</v>
      </c>
      <c r="N2859" t="s">
        <v>45095</v>
      </c>
      <c r="O2859" t="s">
        <v>45096</v>
      </c>
      <c r="P2859">
        <v>0</v>
      </c>
      <c r="Q2859">
        <v>0</v>
      </c>
      <c r="R2859" t="s">
        <v>45098</v>
      </c>
      <c r="S2859" t="s">
        <v>45223</v>
      </c>
      <c r="T2859" t="s">
        <v>46927</v>
      </c>
      <c r="U2859" t="s">
        <v>49908</v>
      </c>
      <c r="W2859" t="s">
        <v>42602</v>
      </c>
      <c r="X2859" t="s">
        <v>45101</v>
      </c>
    </row>
    <row r="2860" spans="1:24">
      <c r="A2860">
        <f>HYPERLINK("https://www.philgeps.gov.ph/GEPSNONPILOT/Tender/SplashBidNoticeAbstractUI.aspx?menuIndex=3&amp;refID=7043453&amp;Result=3","7043453")</f>
        <v>0</v>
      </c>
      <c r="B2860" t="s">
        <v>1054</v>
      </c>
      <c r="C2860" t="s">
        <v>5923</v>
      </c>
      <c r="D2860" t="s">
        <v>18022</v>
      </c>
      <c r="E2860" t="s">
        <v>20714</v>
      </c>
      <c r="F2860" t="s">
        <v>31574</v>
      </c>
      <c r="G2860" t="s">
        <v>31582</v>
      </c>
      <c r="H2860" t="s">
        <v>31590</v>
      </c>
      <c r="I2860" t="s">
        <v>7162</v>
      </c>
      <c r="J2860" t="s">
        <v>31935</v>
      </c>
      <c r="K2860" t="s">
        <v>41193</v>
      </c>
      <c r="M2860" t="s">
        <v>42599</v>
      </c>
      <c r="N2860" t="s">
        <v>45095</v>
      </c>
      <c r="O2860" t="s">
        <v>45096</v>
      </c>
      <c r="P2860">
        <v>0</v>
      </c>
      <c r="Q2860">
        <v>2</v>
      </c>
      <c r="R2860" t="s">
        <v>45098</v>
      </c>
      <c r="S2860" t="s">
        <v>45223</v>
      </c>
      <c r="T2860" t="s">
        <v>46945</v>
      </c>
      <c r="U2860" t="s">
        <v>49909</v>
      </c>
      <c r="W2860" t="s">
        <v>42599</v>
      </c>
      <c r="X2860" t="s">
        <v>45101</v>
      </c>
    </row>
    <row r="2861" spans="1:24">
      <c r="A2861">
        <f>HYPERLINK("https://www.philgeps.gov.ph/GEPSNONPILOT/Tender/SplashBidNoticeAbstractUI.aspx?menuIndex=3&amp;refID=7043471&amp;Result=3","7043471")</f>
        <v>0</v>
      </c>
      <c r="B2861" t="s">
        <v>1054</v>
      </c>
      <c r="C2861" t="s">
        <v>5924</v>
      </c>
      <c r="D2861" t="s">
        <v>18022</v>
      </c>
      <c r="E2861" t="s">
        <v>20715</v>
      </c>
      <c r="F2861" t="s">
        <v>31574</v>
      </c>
      <c r="G2861" t="s">
        <v>31582</v>
      </c>
      <c r="H2861" t="s">
        <v>31590</v>
      </c>
      <c r="I2861" t="s">
        <v>3487</v>
      </c>
      <c r="J2861" t="s">
        <v>33672</v>
      </c>
      <c r="K2861" t="s">
        <v>41193</v>
      </c>
      <c r="M2861" t="s">
        <v>42599</v>
      </c>
      <c r="N2861" t="s">
        <v>45095</v>
      </c>
      <c r="O2861" t="s">
        <v>45096</v>
      </c>
      <c r="P2861">
        <v>0</v>
      </c>
      <c r="Q2861">
        <v>2</v>
      </c>
      <c r="R2861" t="s">
        <v>45098</v>
      </c>
      <c r="S2861" t="s">
        <v>45223</v>
      </c>
      <c r="T2861" t="s">
        <v>46945</v>
      </c>
      <c r="U2861" t="s">
        <v>49910</v>
      </c>
      <c r="W2861" t="s">
        <v>42599</v>
      </c>
      <c r="X2861" t="s">
        <v>45101</v>
      </c>
    </row>
    <row r="2862" spans="1:24">
      <c r="A2862">
        <f>HYPERLINK("https://www.philgeps.gov.ph/GEPSNONPILOT/Tender/SplashBidNoticeAbstractUI.aspx?menuIndex=3&amp;refID=7043493&amp;Result=3","7043493")</f>
        <v>0</v>
      </c>
      <c r="B2862" t="s">
        <v>1057</v>
      </c>
      <c r="C2862" t="s">
        <v>5925</v>
      </c>
      <c r="D2862" t="s">
        <v>18099</v>
      </c>
      <c r="E2862" t="s">
        <v>20716</v>
      </c>
      <c r="F2862" t="s">
        <v>31574</v>
      </c>
      <c r="G2862" t="s">
        <v>31582</v>
      </c>
      <c r="H2862" t="s">
        <v>31590</v>
      </c>
      <c r="I2862" t="s">
        <v>3901</v>
      </c>
      <c r="J2862" t="s">
        <v>33673</v>
      </c>
      <c r="K2862" t="s">
        <v>41192</v>
      </c>
      <c r="M2862" t="s">
        <v>42602</v>
      </c>
      <c r="N2862" t="s">
        <v>45095</v>
      </c>
      <c r="O2862" t="s">
        <v>45096</v>
      </c>
      <c r="P2862">
        <v>0</v>
      </c>
      <c r="Q2862">
        <v>2</v>
      </c>
      <c r="R2862" t="s">
        <v>45098</v>
      </c>
      <c r="S2862" t="s">
        <v>45223</v>
      </c>
      <c r="T2862" t="s">
        <v>46927</v>
      </c>
      <c r="U2862" t="s">
        <v>49911</v>
      </c>
      <c r="W2862" t="s">
        <v>42602</v>
      </c>
      <c r="X2862" t="s">
        <v>45101</v>
      </c>
    </row>
    <row r="2863" spans="1:24">
      <c r="A2863">
        <f>HYPERLINK("https://www.philgeps.gov.ph/GEPSNONPILOT/Tender/SplashBidNoticeAbstractUI.aspx?menuIndex=3&amp;refID=7043480&amp;Result=3","7043480")</f>
        <v>0</v>
      </c>
      <c r="B2863" t="s">
        <v>1057</v>
      </c>
      <c r="C2863" t="s">
        <v>5926</v>
      </c>
      <c r="D2863" t="s">
        <v>18099</v>
      </c>
      <c r="E2863" t="s">
        <v>20717</v>
      </c>
      <c r="F2863" t="s">
        <v>31574</v>
      </c>
      <c r="G2863" t="s">
        <v>31582</v>
      </c>
      <c r="H2863" t="s">
        <v>31590</v>
      </c>
      <c r="I2863" t="s">
        <v>3901</v>
      </c>
      <c r="J2863" t="s">
        <v>33674</v>
      </c>
      <c r="K2863" t="s">
        <v>41192</v>
      </c>
      <c r="M2863" t="s">
        <v>42602</v>
      </c>
      <c r="N2863" t="s">
        <v>45095</v>
      </c>
      <c r="O2863" t="s">
        <v>45096</v>
      </c>
      <c r="P2863">
        <v>0</v>
      </c>
      <c r="Q2863">
        <v>0</v>
      </c>
      <c r="R2863" t="s">
        <v>45098</v>
      </c>
      <c r="S2863" t="s">
        <v>45223</v>
      </c>
      <c r="T2863" t="s">
        <v>46927</v>
      </c>
      <c r="U2863" t="s">
        <v>49912</v>
      </c>
      <c r="W2863" t="s">
        <v>42602</v>
      </c>
      <c r="X2863" t="s">
        <v>45101</v>
      </c>
    </row>
    <row r="2864" spans="1:24">
      <c r="A2864">
        <f>HYPERLINK("https://www.philgeps.gov.ph/GEPSNONPILOT/Tender/SplashBidNoticeAbstractUI.aspx?menuIndex=3&amp;refID=7043489&amp;Result=3","7043489")</f>
        <v>0</v>
      </c>
      <c r="B2864" t="s">
        <v>1057</v>
      </c>
      <c r="C2864" t="s">
        <v>5927</v>
      </c>
      <c r="D2864" t="s">
        <v>18099</v>
      </c>
      <c r="E2864" t="s">
        <v>20718</v>
      </c>
      <c r="F2864" t="s">
        <v>31574</v>
      </c>
      <c r="G2864" t="s">
        <v>31582</v>
      </c>
      <c r="H2864" t="s">
        <v>31590</v>
      </c>
      <c r="I2864" t="s">
        <v>3901</v>
      </c>
      <c r="J2864" t="s">
        <v>33675</v>
      </c>
      <c r="K2864" t="s">
        <v>41192</v>
      </c>
      <c r="M2864" t="s">
        <v>42602</v>
      </c>
      <c r="N2864" t="s">
        <v>45095</v>
      </c>
      <c r="O2864" t="s">
        <v>45096</v>
      </c>
      <c r="P2864">
        <v>0</v>
      </c>
      <c r="Q2864">
        <v>1</v>
      </c>
      <c r="R2864" t="s">
        <v>45098</v>
      </c>
      <c r="S2864" t="s">
        <v>45223</v>
      </c>
      <c r="T2864" t="s">
        <v>46927</v>
      </c>
      <c r="U2864" t="s">
        <v>49913</v>
      </c>
      <c r="W2864" t="s">
        <v>42602</v>
      </c>
      <c r="X2864" t="s">
        <v>45101</v>
      </c>
    </row>
    <row r="2865" spans="1:24">
      <c r="A2865">
        <f>HYPERLINK("https://www.philgeps.gov.ph/GEPSNONPILOT/Tender/SplashBidNoticeAbstractUI.aspx?menuIndex=3&amp;refID=7043500&amp;Result=3","7043500")</f>
        <v>0</v>
      </c>
      <c r="B2865" t="s">
        <v>1057</v>
      </c>
      <c r="C2865" t="s">
        <v>5928</v>
      </c>
      <c r="D2865" t="s">
        <v>18099</v>
      </c>
      <c r="E2865" t="s">
        <v>20719</v>
      </c>
      <c r="F2865" t="s">
        <v>31574</v>
      </c>
      <c r="G2865" t="s">
        <v>31582</v>
      </c>
      <c r="H2865" t="s">
        <v>31590</v>
      </c>
      <c r="I2865" t="s">
        <v>3901</v>
      </c>
      <c r="J2865" t="s">
        <v>31843</v>
      </c>
      <c r="K2865" t="s">
        <v>41192</v>
      </c>
      <c r="M2865" t="s">
        <v>42602</v>
      </c>
      <c r="N2865" t="s">
        <v>45095</v>
      </c>
      <c r="O2865" t="s">
        <v>45096</v>
      </c>
      <c r="P2865">
        <v>0</v>
      </c>
      <c r="Q2865">
        <v>1</v>
      </c>
      <c r="R2865" t="s">
        <v>45098</v>
      </c>
      <c r="S2865" t="s">
        <v>45223</v>
      </c>
      <c r="T2865" t="s">
        <v>46927</v>
      </c>
      <c r="U2865" t="s">
        <v>49914</v>
      </c>
      <c r="W2865" t="s">
        <v>42602</v>
      </c>
      <c r="X2865" t="s">
        <v>45101</v>
      </c>
    </row>
    <row r="2866" spans="1:24">
      <c r="A2866">
        <f>HYPERLINK("https://www.philgeps.gov.ph/GEPSNONPILOT/Tender/SplashBidNoticeAbstractUI.aspx?menuIndex=3&amp;refID=7043502&amp;Result=3","7043502")</f>
        <v>0</v>
      </c>
      <c r="B2866" t="s">
        <v>135</v>
      </c>
      <c r="C2866" t="s">
        <v>5929</v>
      </c>
      <c r="D2866" t="s">
        <v>18022</v>
      </c>
      <c r="E2866" t="s">
        <v>20720</v>
      </c>
      <c r="F2866" t="s">
        <v>31574</v>
      </c>
      <c r="G2866" t="s">
        <v>31581</v>
      </c>
      <c r="H2866" t="s">
        <v>31590</v>
      </c>
      <c r="I2866" t="s">
        <v>3487</v>
      </c>
      <c r="J2866" t="s">
        <v>33676</v>
      </c>
      <c r="K2866" t="s">
        <v>41184</v>
      </c>
      <c r="M2866" t="s">
        <v>42258</v>
      </c>
      <c r="N2866" t="s">
        <v>45095</v>
      </c>
      <c r="O2866" t="s">
        <v>45096</v>
      </c>
      <c r="P2866">
        <v>0</v>
      </c>
      <c r="Q2866">
        <v>2</v>
      </c>
      <c r="R2866" t="s">
        <v>45098</v>
      </c>
      <c r="S2866" t="s">
        <v>45223</v>
      </c>
      <c r="T2866" t="s">
        <v>46955</v>
      </c>
      <c r="U2866" t="s">
        <v>49915</v>
      </c>
      <c r="V2866" t="s">
        <v>60030</v>
      </c>
      <c r="W2866" t="s">
        <v>42258</v>
      </c>
      <c r="X2866" t="s">
        <v>45101</v>
      </c>
    </row>
    <row r="2867" spans="1:24">
      <c r="A2867">
        <f>HYPERLINK("https://www.philgeps.gov.ph/GEPSNONPILOT/Tender/SplashBidNoticeAbstractUI.aspx?menuIndex=3&amp;refID=7043488&amp;Result=3","7043488")</f>
        <v>0</v>
      </c>
      <c r="B2867" t="s">
        <v>1054</v>
      </c>
      <c r="C2867" t="s">
        <v>5930</v>
      </c>
      <c r="D2867" t="s">
        <v>18022</v>
      </c>
      <c r="E2867" t="s">
        <v>20721</v>
      </c>
      <c r="F2867" t="s">
        <v>31574</v>
      </c>
      <c r="G2867" t="s">
        <v>31582</v>
      </c>
      <c r="H2867" t="s">
        <v>31590</v>
      </c>
      <c r="I2867" t="s">
        <v>31690</v>
      </c>
      <c r="J2867" t="s">
        <v>31947</v>
      </c>
      <c r="K2867" t="s">
        <v>41193</v>
      </c>
      <c r="M2867" t="s">
        <v>42599</v>
      </c>
      <c r="N2867" t="s">
        <v>45095</v>
      </c>
      <c r="O2867" t="s">
        <v>45096</v>
      </c>
      <c r="P2867">
        <v>0</v>
      </c>
      <c r="Q2867">
        <v>2</v>
      </c>
      <c r="R2867" t="s">
        <v>45098</v>
      </c>
      <c r="S2867" t="s">
        <v>45223</v>
      </c>
      <c r="T2867" t="s">
        <v>46945</v>
      </c>
      <c r="U2867" t="s">
        <v>49916</v>
      </c>
      <c r="W2867" t="s">
        <v>42599</v>
      </c>
      <c r="X2867" t="s">
        <v>45101</v>
      </c>
    </row>
    <row r="2868" spans="1:24">
      <c r="A2868">
        <f>HYPERLINK("https://www.philgeps.gov.ph/GEPSNONPILOT/Tender/SplashBidNoticeAbstractUI.aspx?menuIndex=3&amp;refID=7043487&amp;Result=3","7043487")</f>
        <v>0</v>
      </c>
      <c r="B2868" t="s">
        <v>1057</v>
      </c>
      <c r="C2868" t="s">
        <v>5931</v>
      </c>
      <c r="D2868" t="s">
        <v>18099</v>
      </c>
      <c r="E2868" t="s">
        <v>20722</v>
      </c>
      <c r="F2868" t="s">
        <v>31574</v>
      </c>
      <c r="G2868" t="s">
        <v>31582</v>
      </c>
      <c r="H2868" t="s">
        <v>31590</v>
      </c>
      <c r="I2868" t="s">
        <v>3901</v>
      </c>
      <c r="J2868" t="s">
        <v>33677</v>
      </c>
      <c r="K2868" t="s">
        <v>41192</v>
      </c>
      <c r="M2868" t="s">
        <v>42602</v>
      </c>
      <c r="N2868" t="s">
        <v>45095</v>
      </c>
      <c r="O2868" t="s">
        <v>45096</v>
      </c>
      <c r="P2868">
        <v>0</v>
      </c>
      <c r="Q2868">
        <v>1</v>
      </c>
      <c r="R2868" t="s">
        <v>45098</v>
      </c>
      <c r="S2868" t="s">
        <v>45223</v>
      </c>
      <c r="T2868" t="s">
        <v>46927</v>
      </c>
      <c r="U2868" t="s">
        <v>49917</v>
      </c>
      <c r="W2868" t="s">
        <v>42602</v>
      </c>
      <c r="X2868" t="s">
        <v>45101</v>
      </c>
    </row>
    <row r="2869" spans="1:24">
      <c r="A2869">
        <f>HYPERLINK("https://www.philgeps.gov.ph/GEPSNONPILOT/Tender/SplashBidNoticeAbstractUI.aspx?menuIndex=3&amp;refID=7043484&amp;Result=3","7043484")</f>
        <v>0</v>
      </c>
      <c r="B2869" t="s">
        <v>1054</v>
      </c>
      <c r="C2869" t="s">
        <v>5932</v>
      </c>
      <c r="D2869" t="s">
        <v>18022</v>
      </c>
      <c r="E2869" t="s">
        <v>20723</v>
      </c>
      <c r="F2869" t="s">
        <v>31574</v>
      </c>
      <c r="G2869" t="s">
        <v>31582</v>
      </c>
      <c r="H2869" t="s">
        <v>31590</v>
      </c>
      <c r="I2869" t="s">
        <v>31664</v>
      </c>
      <c r="J2869" t="s">
        <v>31900</v>
      </c>
      <c r="K2869" t="s">
        <v>41193</v>
      </c>
      <c r="M2869" t="s">
        <v>42599</v>
      </c>
      <c r="N2869" t="s">
        <v>45095</v>
      </c>
      <c r="O2869" t="s">
        <v>45096</v>
      </c>
      <c r="P2869">
        <v>0</v>
      </c>
      <c r="Q2869">
        <v>0</v>
      </c>
      <c r="R2869" t="s">
        <v>45098</v>
      </c>
      <c r="S2869" t="s">
        <v>45223</v>
      </c>
      <c r="T2869" t="s">
        <v>46945</v>
      </c>
      <c r="U2869" t="s">
        <v>49918</v>
      </c>
      <c r="W2869" t="s">
        <v>42599</v>
      </c>
      <c r="X2869" t="s">
        <v>45101</v>
      </c>
    </row>
    <row r="2870" spans="1:24">
      <c r="A2870">
        <f>HYPERLINK("https://www.philgeps.gov.ph/GEPSNONPILOT/Tender/SplashBidNoticeAbstractUI.aspx?menuIndex=3&amp;refID=7043499&amp;Result=3","7043499")</f>
        <v>0</v>
      </c>
      <c r="B2870" t="s">
        <v>135</v>
      </c>
      <c r="C2870" t="s">
        <v>5933</v>
      </c>
      <c r="D2870" t="s">
        <v>18022</v>
      </c>
      <c r="E2870" t="s">
        <v>20724</v>
      </c>
      <c r="F2870" t="s">
        <v>31574</v>
      </c>
      <c r="G2870" t="s">
        <v>31581</v>
      </c>
      <c r="H2870" t="s">
        <v>31590</v>
      </c>
      <c r="I2870" t="s">
        <v>31684</v>
      </c>
      <c r="J2870" t="s">
        <v>33678</v>
      </c>
      <c r="K2870" t="s">
        <v>41184</v>
      </c>
      <c r="M2870" t="s">
        <v>42258</v>
      </c>
      <c r="N2870" t="s">
        <v>45095</v>
      </c>
      <c r="O2870" t="s">
        <v>45096</v>
      </c>
      <c r="P2870">
        <v>0</v>
      </c>
      <c r="Q2870">
        <v>3</v>
      </c>
      <c r="R2870" t="s">
        <v>45098</v>
      </c>
      <c r="S2870" t="s">
        <v>45223</v>
      </c>
      <c r="T2870" t="s">
        <v>46955</v>
      </c>
      <c r="U2870" t="s">
        <v>49919</v>
      </c>
      <c r="V2870" t="s">
        <v>60030</v>
      </c>
      <c r="W2870" t="s">
        <v>42258</v>
      </c>
      <c r="X2870" t="s">
        <v>45101</v>
      </c>
    </row>
    <row r="2871" spans="1:24">
      <c r="A2871">
        <f>HYPERLINK("https://www.philgeps.gov.ph/GEPSNONPILOT/Tender/SplashBidNoticeAbstractUI.aspx?menuIndex=3&amp;refID=7043585&amp;Result=3","7043585")</f>
        <v>0</v>
      </c>
      <c r="B2871" t="s">
        <v>1058</v>
      </c>
      <c r="C2871" t="s">
        <v>5934</v>
      </c>
      <c r="D2871" t="s">
        <v>18089</v>
      </c>
      <c r="E2871" t="s">
        <v>20725</v>
      </c>
      <c r="F2871" t="s">
        <v>31574</v>
      </c>
      <c r="G2871" t="s">
        <v>31582</v>
      </c>
      <c r="H2871" t="s">
        <v>31591</v>
      </c>
      <c r="I2871" t="s">
        <v>8822</v>
      </c>
      <c r="J2871" t="s">
        <v>32049</v>
      </c>
      <c r="K2871" t="s">
        <v>41191</v>
      </c>
      <c r="M2871" t="s">
        <v>42603</v>
      </c>
      <c r="N2871" t="s">
        <v>45095</v>
      </c>
      <c r="O2871" t="s">
        <v>45096</v>
      </c>
      <c r="P2871">
        <v>0</v>
      </c>
      <c r="Q2871">
        <v>0</v>
      </c>
      <c r="R2871" t="s">
        <v>45098</v>
      </c>
      <c r="S2871" t="s">
        <v>45223</v>
      </c>
      <c r="T2871" t="s">
        <v>46952</v>
      </c>
      <c r="U2871" t="s">
        <v>49920</v>
      </c>
      <c r="W2871" t="s">
        <v>42603</v>
      </c>
      <c r="X2871" t="s">
        <v>45101</v>
      </c>
    </row>
    <row r="2872" spans="1:24">
      <c r="A2872">
        <f>HYPERLINK("https://www.philgeps.gov.ph/GEPSNONPILOT/Tender/SplashBidNoticeAbstractUI.aspx?menuIndex=3&amp;refID=7043578&amp;Result=3","7043578")</f>
        <v>0</v>
      </c>
      <c r="B2872" t="s">
        <v>1041</v>
      </c>
      <c r="C2872" t="s">
        <v>5935</v>
      </c>
      <c r="D2872" t="s">
        <v>18107</v>
      </c>
      <c r="E2872" t="s">
        <v>20726</v>
      </c>
      <c r="F2872" t="s">
        <v>31574</v>
      </c>
      <c r="G2872" t="s">
        <v>31582</v>
      </c>
      <c r="H2872" t="s">
        <v>31591</v>
      </c>
      <c r="I2872" t="s">
        <v>8822</v>
      </c>
      <c r="J2872" t="s">
        <v>33679</v>
      </c>
      <c r="K2872" t="s">
        <v>41189</v>
      </c>
      <c r="M2872" t="s">
        <v>42584</v>
      </c>
      <c r="N2872" t="s">
        <v>45095</v>
      </c>
      <c r="O2872" t="s">
        <v>45096</v>
      </c>
      <c r="P2872">
        <v>0</v>
      </c>
      <c r="Q2872">
        <v>0</v>
      </c>
      <c r="R2872" t="s">
        <v>45098</v>
      </c>
      <c r="S2872" t="s">
        <v>45223</v>
      </c>
      <c r="T2872" t="s">
        <v>46916</v>
      </c>
      <c r="U2872" t="s">
        <v>49921</v>
      </c>
      <c r="W2872" t="s">
        <v>42584</v>
      </c>
      <c r="X2872" t="s">
        <v>45101</v>
      </c>
    </row>
    <row r="2873" spans="1:24">
      <c r="A2873">
        <f>HYPERLINK("https://www.philgeps.gov.ph/GEPSNONPILOT/Tender/SplashBidNoticeAbstractUI.aspx?menuIndex=3&amp;refID=7043483&amp;Result=3","7043483")</f>
        <v>0</v>
      </c>
      <c r="B2873" t="s">
        <v>1057</v>
      </c>
      <c r="C2873" t="s">
        <v>5936</v>
      </c>
      <c r="D2873" t="s">
        <v>18099</v>
      </c>
      <c r="E2873" t="s">
        <v>20727</v>
      </c>
      <c r="F2873" t="s">
        <v>31574</v>
      </c>
      <c r="G2873" t="s">
        <v>31582</v>
      </c>
      <c r="H2873" t="s">
        <v>31590</v>
      </c>
      <c r="I2873" t="s">
        <v>3901</v>
      </c>
      <c r="J2873" t="s">
        <v>33680</v>
      </c>
      <c r="K2873" t="s">
        <v>41192</v>
      </c>
      <c r="M2873" t="s">
        <v>42602</v>
      </c>
      <c r="N2873" t="s">
        <v>45095</v>
      </c>
      <c r="O2873" t="s">
        <v>45096</v>
      </c>
      <c r="P2873">
        <v>0</v>
      </c>
      <c r="Q2873">
        <v>2</v>
      </c>
      <c r="R2873" t="s">
        <v>45098</v>
      </c>
      <c r="S2873" t="s">
        <v>45223</v>
      </c>
      <c r="T2873" t="s">
        <v>46927</v>
      </c>
      <c r="U2873" t="s">
        <v>49922</v>
      </c>
      <c r="W2873" t="s">
        <v>42602</v>
      </c>
      <c r="X2873" t="s">
        <v>45101</v>
      </c>
    </row>
    <row r="2874" spans="1:24">
      <c r="A2874">
        <f>HYPERLINK("https://www.philgeps.gov.ph/GEPSNONPILOT/Tender/SplashBidNoticeAbstractUI.aspx?menuIndex=3&amp;refID=7043481&amp;Result=3","7043481")</f>
        <v>0</v>
      </c>
      <c r="B2874" t="s">
        <v>1054</v>
      </c>
      <c r="C2874" t="s">
        <v>5937</v>
      </c>
      <c r="D2874" t="s">
        <v>18022</v>
      </c>
      <c r="E2874" t="s">
        <v>20721</v>
      </c>
      <c r="F2874" t="s">
        <v>31574</v>
      </c>
      <c r="G2874" t="s">
        <v>31582</v>
      </c>
      <c r="H2874" t="s">
        <v>31590</v>
      </c>
      <c r="I2874" t="s">
        <v>3487</v>
      </c>
      <c r="J2874" t="s">
        <v>32049</v>
      </c>
      <c r="K2874" t="s">
        <v>41193</v>
      </c>
      <c r="M2874" t="s">
        <v>42599</v>
      </c>
      <c r="N2874" t="s">
        <v>45095</v>
      </c>
      <c r="O2874" t="s">
        <v>45096</v>
      </c>
      <c r="P2874">
        <v>0</v>
      </c>
      <c r="Q2874">
        <v>0</v>
      </c>
      <c r="R2874" t="s">
        <v>45098</v>
      </c>
      <c r="S2874" t="s">
        <v>45223</v>
      </c>
      <c r="T2874" t="s">
        <v>46945</v>
      </c>
      <c r="U2874" t="s">
        <v>49923</v>
      </c>
      <c r="W2874" t="s">
        <v>42599</v>
      </c>
      <c r="X2874" t="s">
        <v>45101</v>
      </c>
    </row>
    <row r="2875" spans="1:24">
      <c r="A2875">
        <f>HYPERLINK("https://www.philgeps.gov.ph/GEPSNONPILOT/Tender/SplashBidNoticeAbstractUI.aspx?menuIndex=3&amp;refID=7043497&amp;Result=3","7043497")</f>
        <v>0</v>
      </c>
      <c r="B2875" t="s">
        <v>1057</v>
      </c>
      <c r="C2875" t="s">
        <v>5938</v>
      </c>
      <c r="D2875" t="s">
        <v>18099</v>
      </c>
      <c r="E2875" t="s">
        <v>20728</v>
      </c>
      <c r="F2875" t="s">
        <v>31574</v>
      </c>
      <c r="G2875" t="s">
        <v>31582</v>
      </c>
      <c r="H2875" t="s">
        <v>31590</v>
      </c>
      <c r="I2875" t="s">
        <v>3901</v>
      </c>
      <c r="J2875" t="s">
        <v>33681</v>
      </c>
      <c r="K2875" t="s">
        <v>41192</v>
      </c>
      <c r="M2875" t="s">
        <v>42602</v>
      </c>
      <c r="N2875" t="s">
        <v>45095</v>
      </c>
      <c r="O2875" t="s">
        <v>45096</v>
      </c>
      <c r="P2875">
        <v>0</v>
      </c>
      <c r="Q2875">
        <v>1</v>
      </c>
      <c r="R2875" t="s">
        <v>45098</v>
      </c>
      <c r="S2875" t="s">
        <v>45223</v>
      </c>
      <c r="T2875" t="s">
        <v>46927</v>
      </c>
      <c r="U2875" t="s">
        <v>49924</v>
      </c>
      <c r="W2875" t="s">
        <v>42602</v>
      </c>
      <c r="X2875" t="s">
        <v>45101</v>
      </c>
    </row>
    <row r="2876" spans="1:24">
      <c r="A2876">
        <f>HYPERLINK("https://www.philgeps.gov.ph/GEPSNONPILOT/Tender/SplashBidNoticeAbstractUI.aspx?menuIndex=3&amp;refID=7043572&amp;Result=3","7043572")</f>
        <v>0</v>
      </c>
      <c r="B2876" t="s">
        <v>1059</v>
      </c>
      <c r="C2876" t="s">
        <v>5939</v>
      </c>
      <c r="D2876" t="s">
        <v>18093</v>
      </c>
      <c r="E2876" t="s">
        <v>20729</v>
      </c>
      <c r="F2876" t="s">
        <v>31574</v>
      </c>
      <c r="G2876" t="s">
        <v>31582</v>
      </c>
      <c r="H2876" t="s">
        <v>31591</v>
      </c>
      <c r="I2876" t="s">
        <v>8822</v>
      </c>
      <c r="J2876" t="s">
        <v>32333</v>
      </c>
      <c r="K2876" t="s">
        <v>41193</v>
      </c>
      <c r="M2876" t="s">
        <v>42604</v>
      </c>
      <c r="N2876" t="s">
        <v>45095</v>
      </c>
      <c r="O2876" t="s">
        <v>45096</v>
      </c>
      <c r="P2876">
        <v>0</v>
      </c>
      <c r="Q2876">
        <v>3</v>
      </c>
      <c r="R2876" t="s">
        <v>45098</v>
      </c>
      <c r="S2876" t="s">
        <v>45223</v>
      </c>
      <c r="T2876" t="s">
        <v>47097</v>
      </c>
      <c r="U2876" t="s">
        <v>49925</v>
      </c>
      <c r="W2876" t="s">
        <v>42604</v>
      </c>
      <c r="X2876" t="s">
        <v>45101</v>
      </c>
    </row>
    <row r="2877" spans="1:24">
      <c r="A2877">
        <f>HYPERLINK("https://www.philgeps.gov.ph/GEPSNONPILOT/Tender/SplashBidNoticeAbstractUI.aspx?menuIndex=3&amp;refID=7043511&amp;Result=3","7043511")</f>
        <v>0</v>
      </c>
      <c r="B2877" t="s">
        <v>1057</v>
      </c>
      <c r="C2877" t="s">
        <v>5940</v>
      </c>
      <c r="D2877" t="s">
        <v>18099</v>
      </c>
      <c r="E2877" t="s">
        <v>20730</v>
      </c>
      <c r="F2877" t="s">
        <v>31574</v>
      </c>
      <c r="G2877" t="s">
        <v>31582</v>
      </c>
      <c r="H2877" t="s">
        <v>31590</v>
      </c>
      <c r="I2877" t="s">
        <v>3901</v>
      </c>
      <c r="J2877" t="s">
        <v>33682</v>
      </c>
      <c r="K2877" t="s">
        <v>41192</v>
      </c>
      <c r="M2877" t="s">
        <v>42602</v>
      </c>
      <c r="N2877" t="s">
        <v>45095</v>
      </c>
      <c r="O2877" t="s">
        <v>45096</v>
      </c>
      <c r="P2877">
        <v>0</v>
      </c>
      <c r="Q2877">
        <v>1</v>
      </c>
      <c r="R2877" t="s">
        <v>45098</v>
      </c>
      <c r="S2877" t="s">
        <v>45223</v>
      </c>
      <c r="T2877" t="s">
        <v>46927</v>
      </c>
      <c r="U2877" t="s">
        <v>49926</v>
      </c>
      <c r="W2877" t="s">
        <v>42602</v>
      </c>
      <c r="X2877" t="s">
        <v>45101</v>
      </c>
    </row>
    <row r="2878" spans="1:24">
      <c r="A2878">
        <f>HYPERLINK("https://www.philgeps.gov.ph/GEPSNONPILOT/Tender/SplashBidNoticeAbstractUI.aspx?menuIndex=3&amp;refID=7043553&amp;Result=3","7043553")</f>
        <v>0</v>
      </c>
      <c r="B2878" t="s">
        <v>1060</v>
      </c>
      <c r="C2878" t="s">
        <v>5941</v>
      </c>
      <c r="D2878" t="s">
        <v>18035</v>
      </c>
      <c r="E2878" t="s">
        <v>20731</v>
      </c>
      <c r="F2878" t="s">
        <v>31574</v>
      </c>
      <c r="G2878" t="s">
        <v>31581</v>
      </c>
      <c r="H2878" t="s">
        <v>31590</v>
      </c>
      <c r="I2878" t="s">
        <v>4327</v>
      </c>
      <c r="J2878" t="s">
        <v>33683</v>
      </c>
      <c r="K2878" t="s">
        <v>41190</v>
      </c>
      <c r="M2878" t="s">
        <v>42605</v>
      </c>
      <c r="N2878" t="s">
        <v>45095</v>
      </c>
      <c r="O2878" t="s">
        <v>45096</v>
      </c>
      <c r="P2878">
        <v>0</v>
      </c>
      <c r="Q2878">
        <v>1</v>
      </c>
      <c r="R2878" t="s">
        <v>45098</v>
      </c>
      <c r="S2878" t="s">
        <v>45223</v>
      </c>
      <c r="T2878" t="s">
        <v>46982</v>
      </c>
      <c r="U2878" t="s">
        <v>49927</v>
      </c>
      <c r="W2878" t="s">
        <v>42605</v>
      </c>
      <c r="X2878" t="s">
        <v>45101</v>
      </c>
    </row>
    <row r="2879" spans="1:24">
      <c r="A2879">
        <f>HYPERLINK("https://www.philgeps.gov.ph/GEPSNONPILOT/Tender/SplashBidNoticeAbstractUI.aspx?menuIndex=3&amp;refID=7043513&amp;Result=3","7043513")</f>
        <v>0</v>
      </c>
      <c r="B2879" t="s">
        <v>1057</v>
      </c>
      <c r="C2879" t="s">
        <v>5942</v>
      </c>
      <c r="D2879" t="s">
        <v>18099</v>
      </c>
      <c r="E2879" t="s">
        <v>20732</v>
      </c>
      <c r="F2879" t="s">
        <v>31574</v>
      </c>
      <c r="G2879" t="s">
        <v>31582</v>
      </c>
      <c r="H2879" t="s">
        <v>31590</v>
      </c>
      <c r="I2879" t="s">
        <v>3901</v>
      </c>
      <c r="J2879" t="s">
        <v>33684</v>
      </c>
      <c r="K2879" t="s">
        <v>41192</v>
      </c>
      <c r="M2879" t="s">
        <v>42602</v>
      </c>
      <c r="N2879" t="s">
        <v>45095</v>
      </c>
      <c r="O2879" t="s">
        <v>45096</v>
      </c>
      <c r="P2879">
        <v>0</v>
      </c>
      <c r="Q2879">
        <v>0</v>
      </c>
      <c r="R2879" t="s">
        <v>45098</v>
      </c>
      <c r="S2879" t="s">
        <v>45223</v>
      </c>
      <c r="T2879" t="s">
        <v>46927</v>
      </c>
      <c r="U2879" t="s">
        <v>49928</v>
      </c>
      <c r="W2879" t="s">
        <v>42602</v>
      </c>
      <c r="X2879" t="s">
        <v>45101</v>
      </c>
    </row>
    <row r="2880" spans="1:24">
      <c r="A2880">
        <f>HYPERLINK("https://www.philgeps.gov.ph/GEPSNONPILOT/Tender/SplashBidNoticeAbstractUI.aspx?menuIndex=3&amp;refID=7043604&amp;Result=3","7043604")</f>
        <v>0</v>
      </c>
      <c r="B2880" t="s">
        <v>990</v>
      </c>
      <c r="C2880" t="s">
        <v>5943</v>
      </c>
      <c r="D2880" t="s">
        <v>18107</v>
      </c>
      <c r="E2880" t="s">
        <v>20733</v>
      </c>
      <c r="F2880" t="s">
        <v>31574</v>
      </c>
      <c r="G2880" t="s">
        <v>31585</v>
      </c>
      <c r="H2880" t="s">
        <v>31590</v>
      </c>
      <c r="I2880" t="s">
        <v>4046</v>
      </c>
      <c r="J2880" t="s">
        <v>33685</v>
      </c>
      <c r="K2880" t="s">
        <v>41196</v>
      </c>
      <c r="M2880" t="s">
        <v>42525</v>
      </c>
      <c r="N2880" t="s">
        <v>45095</v>
      </c>
      <c r="O2880" t="s">
        <v>45096</v>
      </c>
      <c r="P2880">
        <v>0</v>
      </c>
      <c r="Q2880">
        <v>0</v>
      </c>
      <c r="R2880" t="s">
        <v>45098</v>
      </c>
      <c r="S2880" t="s">
        <v>45223</v>
      </c>
      <c r="T2880" t="s">
        <v>46932</v>
      </c>
      <c r="U2880" t="s">
        <v>49929</v>
      </c>
      <c r="W2880" t="s">
        <v>42525</v>
      </c>
      <c r="X2880" t="s">
        <v>45101</v>
      </c>
    </row>
    <row r="2881" spans="1:24">
      <c r="A2881">
        <f>HYPERLINK("https://www.philgeps.gov.ph/GEPSNONPILOT/Tender/SplashBidNoticeAbstractUI.aspx?menuIndex=3&amp;refID=7043505&amp;Result=3","7043505")</f>
        <v>0</v>
      </c>
      <c r="B2881" t="s">
        <v>135</v>
      </c>
      <c r="C2881" t="s">
        <v>5944</v>
      </c>
      <c r="D2881" t="s">
        <v>18022</v>
      </c>
      <c r="E2881" t="s">
        <v>20734</v>
      </c>
      <c r="F2881" t="s">
        <v>31574</v>
      </c>
      <c r="G2881" t="s">
        <v>31581</v>
      </c>
      <c r="H2881" t="s">
        <v>31590</v>
      </c>
      <c r="I2881" t="s">
        <v>5717</v>
      </c>
      <c r="J2881" t="s">
        <v>33686</v>
      </c>
      <c r="K2881" t="s">
        <v>41184</v>
      </c>
      <c r="M2881" t="s">
        <v>42258</v>
      </c>
      <c r="N2881" t="s">
        <v>45095</v>
      </c>
      <c r="O2881" t="s">
        <v>45096</v>
      </c>
      <c r="P2881">
        <v>0</v>
      </c>
      <c r="Q2881">
        <v>1</v>
      </c>
      <c r="R2881" t="s">
        <v>45098</v>
      </c>
      <c r="S2881" t="s">
        <v>45223</v>
      </c>
      <c r="T2881" t="s">
        <v>46955</v>
      </c>
      <c r="U2881" t="s">
        <v>49930</v>
      </c>
      <c r="V2881" t="s">
        <v>60030</v>
      </c>
      <c r="W2881" t="s">
        <v>42258</v>
      </c>
      <c r="X2881" t="s">
        <v>45101</v>
      </c>
    </row>
    <row r="2882" spans="1:24">
      <c r="A2882">
        <f>HYPERLINK("https://www.philgeps.gov.ph/GEPSNONPILOT/Tender/SplashBidNoticeAbstractUI.aspx?menuIndex=3&amp;refID=7043538&amp;Result=3","7043538")</f>
        <v>0</v>
      </c>
      <c r="B2882" t="s">
        <v>1061</v>
      </c>
      <c r="C2882" t="s">
        <v>5945</v>
      </c>
      <c r="D2882" t="s">
        <v>18022</v>
      </c>
      <c r="E2882" t="s">
        <v>19149</v>
      </c>
      <c r="F2882" t="s">
        <v>31574</v>
      </c>
      <c r="G2882" t="s">
        <v>31581</v>
      </c>
      <c r="H2882" t="s">
        <v>31590</v>
      </c>
      <c r="I2882" t="s">
        <v>4354</v>
      </c>
      <c r="J2882" t="s">
        <v>33687</v>
      </c>
      <c r="K2882" t="s">
        <v>41213</v>
      </c>
      <c r="M2882" t="s">
        <v>42606</v>
      </c>
      <c r="N2882" t="s">
        <v>45095</v>
      </c>
      <c r="O2882" t="s">
        <v>45096</v>
      </c>
      <c r="P2882">
        <v>0</v>
      </c>
      <c r="Q2882">
        <v>4</v>
      </c>
      <c r="R2882" t="s">
        <v>45098</v>
      </c>
      <c r="S2882" t="s">
        <v>45223</v>
      </c>
      <c r="T2882" t="s">
        <v>46904</v>
      </c>
      <c r="U2882" t="s">
        <v>49931</v>
      </c>
      <c r="W2882" t="s">
        <v>42606</v>
      </c>
      <c r="X2882" t="s">
        <v>45101</v>
      </c>
    </row>
    <row r="2883" spans="1:24">
      <c r="A2883">
        <f>HYPERLINK("https://www.philgeps.gov.ph/GEPSNONPILOT/Tender/SplashBidNoticeAbstractUI.aspx?menuIndex=3&amp;refID=7043612&amp;Result=3","7043612")</f>
        <v>0</v>
      </c>
      <c r="B2883" t="s">
        <v>990</v>
      </c>
      <c r="C2883" t="s">
        <v>5946</v>
      </c>
      <c r="D2883" t="s">
        <v>18107</v>
      </c>
      <c r="E2883" t="s">
        <v>20735</v>
      </c>
      <c r="F2883" t="s">
        <v>31574</v>
      </c>
      <c r="G2883" t="s">
        <v>31585</v>
      </c>
      <c r="H2883" t="s">
        <v>31590</v>
      </c>
      <c r="I2883" t="s">
        <v>4046</v>
      </c>
      <c r="J2883" t="s">
        <v>33688</v>
      </c>
      <c r="K2883" t="s">
        <v>41196</v>
      </c>
      <c r="M2883" t="s">
        <v>42525</v>
      </c>
      <c r="N2883" t="s">
        <v>45095</v>
      </c>
      <c r="O2883" t="s">
        <v>45096</v>
      </c>
      <c r="P2883">
        <v>0</v>
      </c>
      <c r="Q2883">
        <v>0</v>
      </c>
      <c r="R2883" t="s">
        <v>45098</v>
      </c>
      <c r="S2883" t="s">
        <v>45223</v>
      </c>
      <c r="T2883" t="s">
        <v>46932</v>
      </c>
      <c r="U2883" t="s">
        <v>49932</v>
      </c>
      <c r="W2883" t="s">
        <v>42525</v>
      </c>
      <c r="X2883" t="s">
        <v>45101</v>
      </c>
    </row>
    <row r="2884" spans="1:24">
      <c r="A2884">
        <f>HYPERLINK("https://www.philgeps.gov.ph/GEPSNONPILOT/Tender/SplashBidNoticeAbstractUI.aspx?menuIndex=3&amp;refID=7043660&amp;Result=3","7043660")</f>
        <v>0</v>
      </c>
      <c r="B2884" t="s">
        <v>1062</v>
      </c>
      <c r="C2884" t="s">
        <v>5947</v>
      </c>
      <c r="D2884" t="s">
        <v>18094</v>
      </c>
      <c r="E2884" t="s">
        <v>20736</v>
      </c>
      <c r="F2884" t="s">
        <v>31574</v>
      </c>
      <c r="G2884" t="s">
        <v>31583</v>
      </c>
      <c r="H2884" t="s">
        <v>31590</v>
      </c>
      <c r="I2884" t="s">
        <v>6800</v>
      </c>
      <c r="J2884" t="s">
        <v>31884</v>
      </c>
      <c r="K2884" t="s">
        <v>41193</v>
      </c>
      <c r="M2884" t="s">
        <v>42607</v>
      </c>
      <c r="N2884" t="s">
        <v>45095</v>
      </c>
      <c r="O2884" t="s">
        <v>45096</v>
      </c>
      <c r="P2884">
        <v>0</v>
      </c>
      <c r="Q2884">
        <v>0</v>
      </c>
      <c r="R2884" t="s">
        <v>45098</v>
      </c>
      <c r="S2884" t="s">
        <v>45223</v>
      </c>
      <c r="T2884" t="s">
        <v>46955</v>
      </c>
      <c r="U2884" t="s">
        <v>49933</v>
      </c>
      <c r="W2884" t="s">
        <v>42607</v>
      </c>
      <c r="X2884" t="s">
        <v>45101</v>
      </c>
    </row>
    <row r="2885" spans="1:24">
      <c r="A2885">
        <f>HYPERLINK("https://www.philgeps.gov.ph/GEPSNONPILOT/Tender/SplashBidNoticeAbstractUI.aspx?menuIndex=3&amp;refID=7043647&amp;Result=3","7043647")</f>
        <v>0</v>
      </c>
      <c r="B2885" t="s">
        <v>1063</v>
      </c>
      <c r="C2885" t="s">
        <v>5948</v>
      </c>
      <c r="D2885" t="s">
        <v>18042</v>
      </c>
      <c r="E2885" t="s">
        <v>20737</v>
      </c>
      <c r="F2885" t="s">
        <v>31574</v>
      </c>
      <c r="G2885" t="s">
        <v>31583</v>
      </c>
      <c r="H2885" t="s">
        <v>31590</v>
      </c>
      <c r="I2885" t="s">
        <v>6800</v>
      </c>
      <c r="J2885" t="s">
        <v>33689</v>
      </c>
      <c r="K2885" t="s">
        <v>41211</v>
      </c>
      <c r="L2885" t="s">
        <v>1063</v>
      </c>
      <c r="M2885" t="s">
        <v>42608</v>
      </c>
      <c r="N2885" t="s">
        <v>45095</v>
      </c>
      <c r="O2885" t="s">
        <v>45096</v>
      </c>
      <c r="P2885">
        <v>0</v>
      </c>
      <c r="Q2885">
        <v>0</v>
      </c>
      <c r="R2885" t="s">
        <v>45098</v>
      </c>
      <c r="S2885" t="s">
        <v>45223</v>
      </c>
      <c r="T2885" t="s">
        <v>46973</v>
      </c>
      <c r="U2885" t="s">
        <v>49934</v>
      </c>
      <c r="W2885" t="s">
        <v>42608</v>
      </c>
      <c r="X2885" t="s">
        <v>45101</v>
      </c>
    </row>
    <row r="2886" spans="1:24">
      <c r="A2886">
        <f>HYPERLINK("https://www.philgeps.gov.ph/GEPSNONPILOT/Tender/SplashBidNoticeAbstractUI.aspx?menuIndex=3&amp;refID=7043617&amp;Result=3","7043617")</f>
        <v>0</v>
      </c>
      <c r="B2886" t="s">
        <v>1064</v>
      </c>
      <c r="C2886" t="s">
        <v>5949</v>
      </c>
      <c r="E2886" t="s">
        <v>20738</v>
      </c>
      <c r="F2886" t="s">
        <v>31574</v>
      </c>
      <c r="G2886" t="s">
        <v>31581</v>
      </c>
      <c r="H2886" t="s">
        <v>31590</v>
      </c>
      <c r="I2886" t="s">
        <v>5717</v>
      </c>
      <c r="J2886" t="s">
        <v>33690</v>
      </c>
      <c r="K2886" t="s">
        <v>41184</v>
      </c>
      <c r="M2886" t="s">
        <v>42609</v>
      </c>
      <c r="N2886" t="s">
        <v>45095</v>
      </c>
      <c r="O2886" t="s">
        <v>45096</v>
      </c>
      <c r="P2886">
        <v>0</v>
      </c>
      <c r="Q2886">
        <v>1</v>
      </c>
      <c r="R2886" t="s">
        <v>45098</v>
      </c>
      <c r="S2886" t="s">
        <v>45223</v>
      </c>
      <c r="T2886" t="s">
        <v>46979</v>
      </c>
      <c r="U2886" t="s">
        <v>49935</v>
      </c>
      <c r="W2886" t="s">
        <v>42609</v>
      </c>
      <c r="X2886" t="s">
        <v>45101</v>
      </c>
    </row>
    <row r="2887" spans="1:24">
      <c r="A2887">
        <f>HYPERLINK("https://www.philgeps.gov.ph/GEPSNONPILOT/Tender/SplashBidNoticeAbstractUI.aspx?menuIndex=3&amp;refID=7043688&amp;Result=3","7043688")</f>
        <v>0</v>
      </c>
      <c r="B2887" t="s">
        <v>91</v>
      </c>
      <c r="C2887" t="s">
        <v>5950</v>
      </c>
      <c r="D2887" t="s">
        <v>18060</v>
      </c>
      <c r="E2887" t="s">
        <v>20739</v>
      </c>
      <c r="F2887" t="s">
        <v>31574</v>
      </c>
      <c r="G2887" t="s">
        <v>31581</v>
      </c>
      <c r="H2887" t="s">
        <v>31592</v>
      </c>
      <c r="I2887" t="s">
        <v>3489</v>
      </c>
      <c r="J2887" t="s">
        <v>33691</v>
      </c>
      <c r="K2887" t="s">
        <v>41190</v>
      </c>
      <c r="M2887" t="s">
        <v>41575</v>
      </c>
      <c r="N2887" t="s">
        <v>45095</v>
      </c>
      <c r="O2887" t="s">
        <v>45096</v>
      </c>
      <c r="P2887">
        <v>0</v>
      </c>
      <c r="Q2887">
        <v>0</v>
      </c>
      <c r="R2887" t="s">
        <v>45098</v>
      </c>
      <c r="S2887" t="s">
        <v>45223</v>
      </c>
      <c r="T2887" t="s">
        <v>46973</v>
      </c>
      <c r="U2887" t="s">
        <v>49936</v>
      </c>
      <c r="W2887" t="s">
        <v>41575</v>
      </c>
      <c r="X2887" t="s">
        <v>45100</v>
      </c>
    </row>
    <row r="2888" spans="1:24">
      <c r="A2888">
        <f>HYPERLINK("https://www.philgeps.gov.ph/GEPSNONPILOT/Tender/SplashBidNoticeAbstractUI.aspx?menuIndex=3&amp;refID=7043615&amp;Result=3","7043615")</f>
        <v>0</v>
      </c>
      <c r="B2888" t="s">
        <v>1065</v>
      </c>
      <c r="C2888" t="s">
        <v>5951</v>
      </c>
      <c r="D2888" t="s">
        <v>18095</v>
      </c>
      <c r="E2888" t="s">
        <v>20740</v>
      </c>
      <c r="F2888" t="s">
        <v>31574</v>
      </c>
      <c r="G2888" t="s">
        <v>31581</v>
      </c>
      <c r="H2888" t="s">
        <v>31592</v>
      </c>
      <c r="I2888" t="s">
        <v>31598</v>
      </c>
      <c r="J2888" t="s">
        <v>33692</v>
      </c>
      <c r="K2888" t="s">
        <v>41197</v>
      </c>
      <c r="M2888" t="s">
        <v>42610</v>
      </c>
      <c r="N2888" t="s">
        <v>45095</v>
      </c>
      <c r="O2888" t="s">
        <v>45096</v>
      </c>
      <c r="P2888">
        <v>0</v>
      </c>
      <c r="Q2888">
        <v>4</v>
      </c>
      <c r="R2888" t="s">
        <v>45098</v>
      </c>
      <c r="S2888" t="s">
        <v>45223</v>
      </c>
      <c r="T2888" t="s">
        <v>46936</v>
      </c>
      <c r="U2888" t="s">
        <v>49937</v>
      </c>
      <c r="W2888" t="s">
        <v>42610</v>
      </c>
      <c r="X2888" t="s">
        <v>45101</v>
      </c>
    </row>
    <row r="2889" spans="1:24">
      <c r="A2889">
        <f>HYPERLINK("https://www.philgeps.gov.ph/GEPSNONPILOT/Tender/SplashBidNoticeAbstractUI.aspx?menuIndex=3&amp;refID=7043616&amp;Result=3","7043616")</f>
        <v>0</v>
      </c>
      <c r="B2889" t="s">
        <v>1041</v>
      </c>
      <c r="C2889" t="s">
        <v>5952</v>
      </c>
      <c r="D2889" t="s">
        <v>18107</v>
      </c>
      <c r="E2889" t="s">
        <v>20741</v>
      </c>
      <c r="F2889" t="s">
        <v>31574</v>
      </c>
      <c r="G2889" t="s">
        <v>31582</v>
      </c>
      <c r="H2889" t="s">
        <v>31591</v>
      </c>
      <c r="I2889" t="s">
        <v>8822</v>
      </c>
      <c r="J2889" t="s">
        <v>33693</v>
      </c>
      <c r="K2889" t="s">
        <v>41192</v>
      </c>
      <c r="M2889" t="s">
        <v>42584</v>
      </c>
      <c r="N2889" t="s">
        <v>45095</v>
      </c>
      <c r="O2889" t="s">
        <v>45096</v>
      </c>
      <c r="P2889">
        <v>0</v>
      </c>
      <c r="Q2889">
        <v>0</v>
      </c>
      <c r="R2889" t="s">
        <v>45098</v>
      </c>
      <c r="S2889" t="s">
        <v>45223</v>
      </c>
      <c r="T2889" t="s">
        <v>46916</v>
      </c>
      <c r="U2889" t="s">
        <v>49938</v>
      </c>
      <c r="W2889" t="s">
        <v>42584</v>
      </c>
      <c r="X2889" t="s">
        <v>45101</v>
      </c>
    </row>
    <row r="2890" spans="1:24">
      <c r="A2890">
        <f>HYPERLINK("https://www.philgeps.gov.ph/GEPSNONPILOT/Tender/SplashBidNoticeAbstractUI.aspx?menuIndex=3&amp;refID=7043602&amp;Result=3","7043602")</f>
        <v>0</v>
      </c>
      <c r="B2890" t="s">
        <v>990</v>
      </c>
      <c r="C2890" t="s">
        <v>4901</v>
      </c>
      <c r="D2890" t="s">
        <v>18107</v>
      </c>
      <c r="E2890" t="s">
        <v>20742</v>
      </c>
      <c r="F2890" t="s">
        <v>31574</v>
      </c>
      <c r="G2890" t="s">
        <v>31585</v>
      </c>
      <c r="H2890" t="s">
        <v>31590</v>
      </c>
      <c r="I2890" t="s">
        <v>4046</v>
      </c>
      <c r="J2890" t="s">
        <v>33694</v>
      </c>
      <c r="K2890" t="s">
        <v>41196</v>
      </c>
      <c r="M2890" t="s">
        <v>42525</v>
      </c>
      <c r="N2890" t="s">
        <v>45095</v>
      </c>
      <c r="O2890" t="s">
        <v>45096</v>
      </c>
      <c r="P2890">
        <v>0</v>
      </c>
      <c r="Q2890">
        <v>0</v>
      </c>
      <c r="R2890" t="s">
        <v>45098</v>
      </c>
      <c r="S2890" t="s">
        <v>45223</v>
      </c>
      <c r="T2890" t="s">
        <v>46932</v>
      </c>
      <c r="U2890" t="s">
        <v>49939</v>
      </c>
      <c r="W2890" t="s">
        <v>42525</v>
      </c>
      <c r="X2890" t="s">
        <v>45101</v>
      </c>
    </row>
    <row r="2891" spans="1:24">
      <c r="A2891">
        <f>HYPERLINK("https://www.philgeps.gov.ph/GEPSNONPILOT/Tender/SplashBidNoticeAbstractUI.aspx?menuIndex=3&amp;refID=7043706&amp;Result=3","7043706")</f>
        <v>0</v>
      </c>
      <c r="B2891" t="s">
        <v>1066</v>
      </c>
      <c r="C2891" t="s">
        <v>5953</v>
      </c>
      <c r="D2891" t="s">
        <v>18024</v>
      </c>
      <c r="E2891" t="s">
        <v>20743</v>
      </c>
      <c r="F2891" t="s">
        <v>31574</v>
      </c>
      <c r="G2891" t="s">
        <v>31582</v>
      </c>
      <c r="H2891" t="s">
        <v>31591</v>
      </c>
      <c r="I2891" t="s">
        <v>8822</v>
      </c>
      <c r="J2891" t="s">
        <v>31789</v>
      </c>
      <c r="K2891" t="s">
        <v>41196</v>
      </c>
      <c r="M2891" t="s">
        <v>42611</v>
      </c>
      <c r="N2891" t="s">
        <v>45095</v>
      </c>
      <c r="O2891" t="s">
        <v>45096</v>
      </c>
      <c r="P2891">
        <v>0</v>
      </c>
      <c r="Q2891">
        <v>0</v>
      </c>
      <c r="R2891" t="s">
        <v>45098</v>
      </c>
      <c r="S2891" t="s">
        <v>45223</v>
      </c>
      <c r="T2891" t="s">
        <v>46988</v>
      </c>
      <c r="U2891" t="s">
        <v>49940</v>
      </c>
      <c r="V2891" t="s">
        <v>60129</v>
      </c>
      <c r="W2891" t="s">
        <v>42611</v>
      </c>
      <c r="X2891" t="s">
        <v>45100</v>
      </c>
    </row>
    <row r="2892" spans="1:24">
      <c r="A2892">
        <f>HYPERLINK("https://www.philgeps.gov.ph/GEPSNONPILOT/Tender/SplashBidNoticeAbstractUI.aspx?menuIndex=3&amp;refID=7043628&amp;Result=3","7043628")</f>
        <v>0</v>
      </c>
      <c r="B2892" t="s">
        <v>1023</v>
      </c>
      <c r="C2892" t="s">
        <v>5954</v>
      </c>
      <c r="E2892" t="s">
        <v>20744</v>
      </c>
      <c r="F2892" t="s">
        <v>31574</v>
      </c>
      <c r="G2892" t="s">
        <v>31581</v>
      </c>
      <c r="H2892" t="s">
        <v>31590</v>
      </c>
      <c r="I2892" t="s">
        <v>4354</v>
      </c>
      <c r="J2892" t="s">
        <v>33695</v>
      </c>
      <c r="K2892" t="s">
        <v>41184</v>
      </c>
      <c r="M2892" t="s">
        <v>42612</v>
      </c>
      <c r="N2892" t="s">
        <v>45095</v>
      </c>
      <c r="O2892" t="s">
        <v>45096</v>
      </c>
      <c r="P2892">
        <v>0</v>
      </c>
      <c r="Q2892">
        <v>3</v>
      </c>
      <c r="R2892" t="s">
        <v>45098</v>
      </c>
      <c r="S2892" t="s">
        <v>45223</v>
      </c>
      <c r="T2892" t="s">
        <v>47068</v>
      </c>
      <c r="U2892" t="s">
        <v>49941</v>
      </c>
      <c r="W2892" t="s">
        <v>61690</v>
      </c>
      <c r="X2892" t="s">
        <v>45101</v>
      </c>
    </row>
    <row r="2893" spans="1:24">
      <c r="A2893">
        <f>HYPERLINK("https://www.philgeps.gov.ph/GEPSNONPILOT/Tender/SplashBidNoticeAbstractUI.aspx?menuIndex=3&amp;refID=7043699&amp;Result=3","7043699")</f>
        <v>0</v>
      </c>
      <c r="B2893" t="s">
        <v>1067</v>
      </c>
      <c r="C2893" t="s">
        <v>5955</v>
      </c>
      <c r="D2893" t="s">
        <v>18090</v>
      </c>
      <c r="E2893" t="s">
        <v>20745</v>
      </c>
      <c r="F2893" t="s">
        <v>31574</v>
      </c>
      <c r="G2893" t="s">
        <v>31582</v>
      </c>
      <c r="H2893" t="s">
        <v>31590</v>
      </c>
      <c r="I2893" t="s">
        <v>31625</v>
      </c>
      <c r="J2893" t="s">
        <v>33696</v>
      </c>
      <c r="K2893" t="s">
        <v>41190</v>
      </c>
      <c r="M2893" t="s">
        <v>42613</v>
      </c>
      <c r="N2893" t="s">
        <v>45095</v>
      </c>
      <c r="O2893" t="s">
        <v>45096</v>
      </c>
      <c r="P2893">
        <v>0</v>
      </c>
      <c r="Q2893">
        <v>1</v>
      </c>
      <c r="R2893" t="s">
        <v>45098</v>
      </c>
      <c r="S2893" t="s">
        <v>45223</v>
      </c>
      <c r="T2893" t="s">
        <v>46924</v>
      </c>
      <c r="U2893" t="s">
        <v>49942</v>
      </c>
      <c r="W2893" t="s">
        <v>42613</v>
      </c>
      <c r="X2893" t="s">
        <v>45100</v>
      </c>
    </row>
    <row r="2894" spans="1:24">
      <c r="A2894">
        <f>HYPERLINK("https://www.philgeps.gov.ph/GEPSNONPILOT/Tender/SplashBidNoticeAbstractUI.aspx?menuIndex=3&amp;refID=7043691&amp;Result=3","7043691")</f>
        <v>0</v>
      </c>
      <c r="B2894" t="s">
        <v>91</v>
      </c>
      <c r="C2894" t="s">
        <v>5956</v>
      </c>
      <c r="D2894" t="s">
        <v>18060</v>
      </c>
      <c r="E2894" t="s">
        <v>20746</v>
      </c>
      <c r="F2894" t="s">
        <v>31574</v>
      </c>
      <c r="G2894" t="s">
        <v>31581</v>
      </c>
      <c r="H2894" t="s">
        <v>31592</v>
      </c>
      <c r="I2894" t="s">
        <v>3489</v>
      </c>
      <c r="J2894" t="s">
        <v>33697</v>
      </c>
      <c r="K2894" t="s">
        <v>41190</v>
      </c>
      <c r="M2894" t="s">
        <v>41575</v>
      </c>
      <c r="N2894" t="s">
        <v>45095</v>
      </c>
      <c r="O2894" t="s">
        <v>45096</v>
      </c>
      <c r="P2894">
        <v>0</v>
      </c>
      <c r="Q2894">
        <v>0</v>
      </c>
      <c r="R2894" t="s">
        <v>45098</v>
      </c>
      <c r="S2894" t="s">
        <v>45223</v>
      </c>
      <c r="T2894" t="s">
        <v>46973</v>
      </c>
      <c r="U2894" t="s">
        <v>49943</v>
      </c>
      <c r="W2894" t="s">
        <v>41575</v>
      </c>
      <c r="X2894" t="s">
        <v>45100</v>
      </c>
    </row>
    <row r="2895" spans="1:24">
      <c r="A2895">
        <f>HYPERLINK("https://www.philgeps.gov.ph/GEPSNONPILOT/Tender/SplashBidNoticeAbstractUI.aspx?menuIndex=3&amp;refID=7043702&amp;Result=3","7043702")</f>
        <v>0</v>
      </c>
      <c r="B2895" t="s">
        <v>1068</v>
      </c>
      <c r="C2895" t="s">
        <v>5957</v>
      </c>
      <c r="D2895" t="s">
        <v>18047</v>
      </c>
      <c r="E2895" t="s">
        <v>20747</v>
      </c>
      <c r="F2895" t="s">
        <v>31574</v>
      </c>
      <c r="G2895" t="s">
        <v>31582</v>
      </c>
      <c r="H2895" t="s">
        <v>31590</v>
      </c>
      <c r="I2895" t="s">
        <v>4046</v>
      </c>
      <c r="J2895" t="s">
        <v>32068</v>
      </c>
      <c r="K2895" t="s">
        <v>41193</v>
      </c>
      <c r="M2895" t="s">
        <v>42614</v>
      </c>
      <c r="N2895" t="s">
        <v>45095</v>
      </c>
      <c r="O2895" t="s">
        <v>45096</v>
      </c>
      <c r="P2895">
        <v>0</v>
      </c>
      <c r="Q2895">
        <v>0</v>
      </c>
      <c r="R2895" t="s">
        <v>45098</v>
      </c>
      <c r="S2895" t="s">
        <v>45223</v>
      </c>
      <c r="T2895" t="s">
        <v>46994</v>
      </c>
      <c r="U2895" t="s">
        <v>49944</v>
      </c>
      <c r="W2895" t="s">
        <v>42614</v>
      </c>
      <c r="X2895" t="s">
        <v>45100</v>
      </c>
    </row>
    <row r="2896" spans="1:24">
      <c r="A2896">
        <f>HYPERLINK("https://www.philgeps.gov.ph/GEPSNONPILOT/Tender/SplashBidNoticeAbstractUI.aspx?menuIndex=3&amp;refID=7043689&amp;Result=3","7043689")</f>
        <v>0</v>
      </c>
      <c r="B2896" t="s">
        <v>91</v>
      </c>
      <c r="C2896" t="s">
        <v>5958</v>
      </c>
      <c r="D2896" t="s">
        <v>18060</v>
      </c>
      <c r="E2896" t="s">
        <v>20748</v>
      </c>
      <c r="F2896" t="s">
        <v>31574</v>
      </c>
      <c r="G2896" t="s">
        <v>31581</v>
      </c>
      <c r="H2896" t="s">
        <v>31592</v>
      </c>
      <c r="I2896" t="s">
        <v>3489</v>
      </c>
      <c r="J2896" t="s">
        <v>33698</v>
      </c>
      <c r="K2896" t="s">
        <v>41190</v>
      </c>
      <c r="M2896" t="s">
        <v>41575</v>
      </c>
      <c r="N2896" t="s">
        <v>45095</v>
      </c>
      <c r="O2896" t="s">
        <v>45096</v>
      </c>
      <c r="P2896">
        <v>0</v>
      </c>
      <c r="Q2896">
        <v>0</v>
      </c>
      <c r="R2896" t="s">
        <v>45098</v>
      </c>
      <c r="S2896" t="s">
        <v>45223</v>
      </c>
      <c r="T2896" t="s">
        <v>46973</v>
      </c>
      <c r="U2896" t="s">
        <v>49945</v>
      </c>
      <c r="W2896" t="s">
        <v>41575</v>
      </c>
      <c r="X2896" t="s">
        <v>45100</v>
      </c>
    </row>
    <row r="2897" spans="1:24">
      <c r="A2897">
        <f>HYPERLINK("https://www.philgeps.gov.ph/GEPSNONPILOT/Tender/SplashBidNoticeAbstractUI.aspx?menuIndex=3&amp;refID=7043693&amp;Result=3","7043693")</f>
        <v>0</v>
      </c>
      <c r="B2897" t="s">
        <v>91</v>
      </c>
      <c r="C2897" t="s">
        <v>5959</v>
      </c>
      <c r="D2897" t="s">
        <v>18060</v>
      </c>
      <c r="E2897" t="s">
        <v>20749</v>
      </c>
      <c r="F2897" t="s">
        <v>31574</v>
      </c>
      <c r="G2897" t="s">
        <v>31581</v>
      </c>
      <c r="H2897" t="s">
        <v>31592</v>
      </c>
      <c r="I2897" t="s">
        <v>3489</v>
      </c>
      <c r="J2897" t="s">
        <v>33699</v>
      </c>
      <c r="K2897" t="s">
        <v>41190</v>
      </c>
      <c r="M2897" t="s">
        <v>41575</v>
      </c>
      <c r="N2897" t="s">
        <v>45095</v>
      </c>
      <c r="O2897" t="s">
        <v>45096</v>
      </c>
      <c r="P2897">
        <v>0</v>
      </c>
      <c r="Q2897">
        <v>0</v>
      </c>
      <c r="R2897" t="s">
        <v>45098</v>
      </c>
      <c r="S2897" t="s">
        <v>45223</v>
      </c>
      <c r="T2897" t="s">
        <v>46973</v>
      </c>
      <c r="U2897" t="s">
        <v>49946</v>
      </c>
      <c r="W2897" t="s">
        <v>41575</v>
      </c>
      <c r="X2897" t="s">
        <v>45100</v>
      </c>
    </row>
    <row r="2898" spans="1:24">
      <c r="A2898">
        <f>HYPERLINK("https://www.philgeps.gov.ph/GEPSNONPILOT/Tender/SplashBidNoticeAbstractUI.aspx?menuIndex=3&amp;refID=7043692&amp;Result=3","7043692")</f>
        <v>0</v>
      </c>
      <c r="B2898" t="s">
        <v>91</v>
      </c>
      <c r="C2898" t="s">
        <v>5960</v>
      </c>
      <c r="D2898" t="s">
        <v>18060</v>
      </c>
      <c r="E2898" t="s">
        <v>20750</v>
      </c>
      <c r="F2898" t="s">
        <v>31574</v>
      </c>
      <c r="G2898" t="s">
        <v>31581</v>
      </c>
      <c r="H2898" t="s">
        <v>31592</v>
      </c>
      <c r="I2898" t="s">
        <v>3489</v>
      </c>
      <c r="J2898" t="s">
        <v>33700</v>
      </c>
      <c r="K2898" t="s">
        <v>41190</v>
      </c>
      <c r="M2898" t="s">
        <v>41575</v>
      </c>
      <c r="N2898" t="s">
        <v>45095</v>
      </c>
      <c r="O2898" t="s">
        <v>45096</v>
      </c>
      <c r="P2898">
        <v>0</v>
      </c>
      <c r="Q2898">
        <v>0</v>
      </c>
      <c r="R2898" t="s">
        <v>45098</v>
      </c>
      <c r="S2898" t="s">
        <v>45223</v>
      </c>
      <c r="T2898" t="s">
        <v>46973</v>
      </c>
      <c r="U2898" t="s">
        <v>49947</v>
      </c>
      <c r="W2898" t="s">
        <v>41575</v>
      </c>
      <c r="X2898" t="s">
        <v>45100</v>
      </c>
    </row>
    <row r="2899" spans="1:24">
      <c r="A2899">
        <f>HYPERLINK("https://www.philgeps.gov.ph/GEPSNONPILOT/Tender/SplashBidNoticeAbstractUI.aspx?menuIndex=3&amp;refID=7043698&amp;Result=3","7043698")</f>
        <v>0</v>
      </c>
      <c r="B2899" t="s">
        <v>1067</v>
      </c>
      <c r="C2899" t="s">
        <v>5961</v>
      </c>
      <c r="D2899" t="s">
        <v>18090</v>
      </c>
      <c r="E2899" t="s">
        <v>20751</v>
      </c>
      <c r="F2899" t="s">
        <v>31574</v>
      </c>
      <c r="G2899" t="s">
        <v>31582</v>
      </c>
      <c r="H2899" t="s">
        <v>31591</v>
      </c>
      <c r="I2899" t="s">
        <v>8822</v>
      </c>
      <c r="J2899" t="s">
        <v>33701</v>
      </c>
      <c r="K2899" t="s">
        <v>41243</v>
      </c>
      <c r="M2899" t="s">
        <v>42613</v>
      </c>
      <c r="N2899" t="s">
        <v>45095</v>
      </c>
      <c r="O2899" t="s">
        <v>45096</v>
      </c>
      <c r="P2899">
        <v>0</v>
      </c>
      <c r="Q2899">
        <v>0</v>
      </c>
      <c r="R2899" t="s">
        <v>45098</v>
      </c>
      <c r="S2899" t="s">
        <v>45223</v>
      </c>
      <c r="T2899" t="s">
        <v>46924</v>
      </c>
      <c r="U2899" t="s">
        <v>49942</v>
      </c>
      <c r="W2899" t="s">
        <v>42613</v>
      </c>
      <c r="X2899" t="s">
        <v>45100</v>
      </c>
    </row>
    <row r="2900" spans="1:24">
      <c r="A2900">
        <f>HYPERLINK("https://www.philgeps.gov.ph/GEPSNONPILOT/Tender/SplashBidNoticeAbstractUI.aspx?menuIndex=3&amp;refID=7043710&amp;Result=3","7043710")</f>
        <v>0</v>
      </c>
      <c r="B2900" t="s">
        <v>1066</v>
      </c>
      <c r="C2900" t="s">
        <v>5962</v>
      </c>
      <c r="D2900" t="s">
        <v>18024</v>
      </c>
      <c r="E2900" t="s">
        <v>20752</v>
      </c>
      <c r="F2900" t="s">
        <v>31574</v>
      </c>
      <c r="G2900" t="s">
        <v>31582</v>
      </c>
      <c r="H2900" t="s">
        <v>31591</v>
      </c>
      <c r="I2900" t="s">
        <v>8822</v>
      </c>
      <c r="J2900" t="s">
        <v>32019</v>
      </c>
      <c r="K2900" t="s">
        <v>41190</v>
      </c>
      <c r="M2900" t="s">
        <v>42611</v>
      </c>
      <c r="N2900" t="s">
        <v>45095</v>
      </c>
      <c r="O2900" t="s">
        <v>45096</v>
      </c>
      <c r="P2900">
        <v>0</v>
      </c>
      <c r="Q2900">
        <v>0</v>
      </c>
      <c r="R2900" t="s">
        <v>45098</v>
      </c>
      <c r="S2900" t="s">
        <v>45223</v>
      </c>
      <c r="T2900" t="s">
        <v>46988</v>
      </c>
      <c r="U2900" t="s">
        <v>49948</v>
      </c>
      <c r="W2900" t="s">
        <v>42611</v>
      </c>
      <c r="X2900" t="s">
        <v>45100</v>
      </c>
    </row>
    <row r="2901" spans="1:24">
      <c r="A2901">
        <f>HYPERLINK("https://www.philgeps.gov.ph/GEPSNONPILOT/Tender/SplashBidNoticeAbstractUI.aspx?menuIndex=3&amp;refID=7043744&amp;Result=3","7043744")</f>
        <v>0</v>
      </c>
      <c r="B2901" t="s">
        <v>1069</v>
      </c>
      <c r="C2901" t="s">
        <v>5963</v>
      </c>
      <c r="D2901" t="s">
        <v>18079</v>
      </c>
      <c r="E2901" t="s">
        <v>20753</v>
      </c>
      <c r="F2901" t="s">
        <v>31574</v>
      </c>
      <c r="G2901" t="s">
        <v>31582</v>
      </c>
      <c r="H2901" t="s">
        <v>31591</v>
      </c>
      <c r="I2901" t="s">
        <v>8822</v>
      </c>
      <c r="J2901" t="s">
        <v>33702</v>
      </c>
      <c r="K2901" t="s">
        <v>41215</v>
      </c>
      <c r="M2901" t="s">
        <v>42615</v>
      </c>
      <c r="N2901" t="s">
        <v>45095</v>
      </c>
      <c r="O2901" t="s">
        <v>45096</v>
      </c>
      <c r="P2901">
        <v>0</v>
      </c>
      <c r="Q2901">
        <v>1</v>
      </c>
      <c r="R2901" t="s">
        <v>45098</v>
      </c>
      <c r="S2901" t="s">
        <v>45223</v>
      </c>
      <c r="T2901" t="s">
        <v>46938</v>
      </c>
      <c r="U2901" t="s">
        <v>49949</v>
      </c>
      <c r="W2901" t="s">
        <v>42615</v>
      </c>
      <c r="X2901" t="s">
        <v>45100</v>
      </c>
    </row>
    <row r="2902" spans="1:24">
      <c r="A2902">
        <f>HYPERLINK("https://www.philgeps.gov.ph/GEPSNONPILOT/Tender/SplashBidNoticeAbstractUI.aspx?menuIndex=3&amp;refID=7043694&amp;Result=3","7043694")</f>
        <v>0</v>
      </c>
      <c r="B2902" t="s">
        <v>91</v>
      </c>
      <c r="C2902" t="s">
        <v>5964</v>
      </c>
      <c r="D2902" t="s">
        <v>18060</v>
      </c>
      <c r="E2902" t="s">
        <v>20754</v>
      </c>
      <c r="F2902" t="s">
        <v>31574</v>
      </c>
      <c r="G2902" t="s">
        <v>31581</v>
      </c>
      <c r="H2902" t="s">
        <v>31592</v>
      </c>
      <c r="I2902" t="s">
        <v>3489</v>
      </c>
      <c r="J2902" t="s">
        <v>33703</v>
      </c>
      <c r="K2902" t="s">
        <v>41190</v>
      </c>
      <c r="M2902" t="s">
        <v>41575</v>
      </c>
      <c r="N2902" t="s">
        <v>45095</v>
      </c>
      <c r="O2902" t="s">
        <v>45096</v>
      </c>
      <c r="P2902">
        <v>0</v>
      </c>
      <c r="Q2902">
        <v>0</v>
      </c>
      <c r="R2902" t="s">
        <v>45098</v>
      </c>
      <c r="S2902" t="s">
        <v>45223</v>
      </c>
      <c r="T2902" t="s">
        <v>46973</v>
      </c>
      <c r="U2902" t="s">
        <v>49950</v>
      </c>
      <c r="W2902" t="s">
        <v>41575</v>
      </c>
      <c r="X2902" t="s">
        <v>45100</v>
      </c>
    </row>
    <row r="2903" spans="1:24">
      <c r="A2903">
        <f>HYPERLINK("https://www.philgeps.gov.ph/GEPSNONPILOT/Tender/SplashBidNoticeAbstractUI.aspx?menuIndex=3&amp;refID=7043737&amp;Result=3","7043737")</f>
        <v>0</v>
      </c>
      <c r="B2903" t="s">
        <v>957</v>
      </c>
      <c r="C2903" t="s">
        <v>5965</v>
      </c>
      <c r="D2903" t="s">
        <v>18075</v>
      </c>
      <c r="E2903" t="s">
        <v>20755</v>
      </c>
      <c r="F2903" t="s">
        <v>31574</v>
      </c>
      <c r="G2903" t="s">
        <v>31582</v>
      </c>
      <c r="H2903" t="s">
        <v>31591</v>
      </c>
      <c r="I2903" t="s">
        <v>8822</v>
      </c>
      <c r="J2903" t="s">
        <v>31821</v>
      </c>
      <c r="K2903" t="s">
        <v>41199</v>
      </c>
      <c r="M2903" t="s">
        <v>42484</v>
      </c>
      <c r="N2903" t="s">
        <v>45095</v>
      </c>
      <c r="O2903" t="s">
        <v>45096</v>
      </c>
      <c r="P2903">
        <v>0</v>
      </c>
      <c r="Q2903">
        <v>0</v>
      </c>
      <c r="R2903" t="s">
        <v>45098</v>
      </c>
      <c r="S2903" t="s">
        <v>45223</v>
      </c>
      <c r="T2903" t="s">
        <v>46980</v>
      </c>
      <c r="U2903" t="s">
        <v>49578</v>
      </c>
      <c r="W2903" t="s">
        <v>42484</v>
      </c>
      <c r="X2903" t="s">
        <v>45100</v>
      </c>
    </row>
    <row r="2904" spans="1:24">
      <c r="A2904">
        <f>HYPERLINK("https://www.philgeps.gov.ph/GEPSNONPILOT/Tender/SplashBidNoticeAbstractUI.aspx?menuIndex=3&amp;refID=7043709&amp;Result=3","7043709")</f>
        <v>0</v>
      </c>
      <c r="B2904" t="s">
        <v>957</v>
      </c>
      <c r="C2904" t="s">
        <v>5966</v>
      </c>
      <c r="D2904" t="s">
        <v>18075</v>
      </c>
      <c r="E2904" t="s">
        <v>20756</v>
      </c>
      <c r="F2904" t="s">
        <v>31574</v>
      </c>
      <c r="G2904" t="s">
        <v>31582</v>
      </c>
      <c r="H2904" t="s">
        <v>31591</v>
      </c>
      <c r="I2904" t="s">
        <v>8822</v>
      </c>
      <c r="J2904" t="s">
        <v>32530</v>
      </c>
      <c r="K2904" t="s">
        <v>41239</v>
      </c>
      <c r="M2904" t="s">
        <v>42484</v>
      </c>
      <c r="N2904" t="s">
        <v>45095</v>
      </c>
      <c r="O2904" t="s">
        <v>45096</v>
      </c>
      <c r="P2904">
        <v>0</v>
      </c>
      <c r="Q2904">
        <v>0</v>
      </c>
      <c r="R2904" t="s">
        <v>45098</v>
      </c>
      <c r="S2904" t="s">
        <v>45223</v>
      </c>
      <c r="T2904" t="s">
        <v>47073</v>
      </c>
      <c r="U2904" t="s">
        <v>49578</v>
      </c>
      <c r="W2904" t="s">
        <v>42484</v>
      </c>
      <c r="X2904" t="s">
        <v>45100</v>
      </c>
    </row>
    <row r="2905" spans="1:24">
      <c r="A2905">
        <f>HYPERLINK("https://www.philgeps.gov.ph/GEPSNONPILOT/Tender/SplashBidNoticeAbstractUI.aspx?menuIndex=3&amp;refID=7043733&amp;Result=3","7043733")</f>
        <v>0</v>
      </c>
      <c r="B2905" t="s">
        <v>957</v>
      </c>
      <c r="C2905" t="s">
        <v>5967</v>
      </c>
      <c r="D2905" t="s">
        <v>18075</v>
      </c>
      <c r="E2905" t="s">
        <v>20757</v>
      </c>
      <c r="F2905" t="s">
        <v>31574</v>
      </c>
      <c r="G2905" t="s">
        <v>31582</v>
      </c>
      <c r="H2905" t="s">
        <v>31591</v>
      </c>
      <c r="I2905" t="s">
        <v>8822</v>
      </c>
      <c r="J2905" t="s">
        <v>31789</v>
      </c>
      <c r="K2905" t="s">
        <v>41186</v>
      </c>
      <c r="M2905" t="s">
        <v>42484</v>
      </c>
      <c r="N2905" t="s">
        <v>45095</v>
      </c>
      <c r="O2905" t="s">
        <v>45096</v>
      </c>
      <c r="P2905">
        <v>0</v>
      </c>
      <c r="Q2905">
        <v>0</v>
      </c>
      <c r="R2905" t="s">
        <v>45098</v>
      </c>
      <c r="S2905" t="s">
        <v>45223</v>
      </c>
      <c r="T2905" t="s">
        <v>46980</v>
      </c>
      <c r="U2905" t="s">
        <v>49578</v>
      </c>
      <c r="W2905" t="s">
        <v>42484</v>
      </c>
      <c r="X2905" t="s">
        <v>45100</v>
      </c>
    </row>
    <row r="2906" spans="1:24">
      <c r="A2906">
        <f>HYPERLINK("https://www.philgeps.gov.ph/GEPSNONPILOT/Tender/SplashBidNoticeAbstractUI.aspx?menuIndex=3&amp;refID=7043747&amp;Result=3","7043747")</f>
        <v>0</v>
      </c>
      <c r="B2906" t="s">
        <v>957</v>
      </c>
      <c r="C2906" t="s">
        <v>5968</v>
      </c>
      <c r="D2906" t="s">
        <v>18075</v>
      </c>
      <c r="E2906" t="s">
        <v>20758</v>
      </c>
      <c r="F2906" t="s">
        <v>31574</v>
      </c>
      <c r="G2906" t="s">
        <v>31582</v>
      </c>
      <c r="H2906" t="s">
        <v>31591</v>
      </c>
      <c r="I2906" t="s">
        <v>8822</v>
      </c>
      <c r="J2906" t="s">
        <v>32001</v>
      </c>
      <c r="K2906" t="s">
        <v>41276</v>
      </c>
      <c r="M2906" t="s">
        <v>42484</v>
      </c>
      <c r="N2906" t="s">
        <v>45095</v>
      </c>
      <c r="O2906" t="s">
        <v>45096</v>
      </c>
      <c r="P2906">
        <v>0</v>
      </c>
      <c r="Q2906">
        <v>0</v>
      </c>
      <c r="R2906" t="s">
        <v>45098</v>
      </c>
      <c r="S2906" t="s">
        <v>45223</v>
      </c>
      <c r="T2906" t="s">
        <v>46980</v>
      </c>
      <c r="U2906" t="s">
        <v>49578</v>
      </c>
      <c r="W2906" t="s">
        <v>42484</v>
      </c>
      <c r="X2906" t="s">
        <v>45100</v>
      </c>
    </row>
    <row r="2907" spans="1:24">
      <c r="A2907">
        <f>HYPERLINK("https://www.philgeps.gov.ph/GEPSNONPILOT/Tender/SplashBidNoticeAbstractUI.aspx?menuIndex=3&amp;refID=7043729&amp;Result=3","7043729")</f>
        <v>0</v>
      </c>
      <c r="B2907" t="s">
        <v>957</v>
      </c>
      <c r="C2907" t="s">
        <v>5969</v>
      </c>
      <c r="D2907" t="s">
        <v>18075</v>
      </c>
      <c r="E2907" t="s">
        <v>20759</v>
      </c>
      <c r="F2907" t="s">
        <v>31574</v>
      </c>
      <c r="G2907" t="s">
        <v>31582</v>
      </c>
      <c r="H2907" t="s">
        <v>31591</v>
      </c>
      <c r="I2907" t="s">
        <v>8822</v>
      </c>
      <c r="J2907" t="s">
        <v>31947</v>
      </c>
      <c r="K2907" t="s">
        <v>41286</v>
      </c>
      <c r="M2907" t="s">
        <v>42484</v>
      </c>
      <c r="N2907" t="s">
        <v>45095</v>
      </c>
      <c r="O2907" t="s">
        <v>45096</v>
      </c>
      <c r="P2907">
        <v>0</v>
      </c>
      <c r="Q2907">
        <v>0</v>
      </c>
      <c r="R2907" t="s">
        <v>45098</v>
      </c>
      <c r="S2907" t="s">
        <v>45223</v>
      </c>
      <c r="T2907" t="s">
        <v>46980</v>
      </c>
      <c r="U2907" t="s">
        <v>49578</v>
      </c>
      <c r="W2907" t="s">
        <v>42484</v>
      </c>
      <c r="X2907" t="s">
        <v>45100</v>
      </c>
    </row>
    <row r="2908" spans="1:24">
      <c r="A2908">
        <f>HYPERLINK("https://www.philgeps.gov.ph/GEPSNONPILOT/Tender/SplashBidNoticeAbstractUI.aspx?menuIndex=3&amp;refID=7043728&amp;Result=3","7043728")</f>
        <v>0</v>
      </c>
      <c r="B2908" t="s">
        <v>1070</v>
      </c>
      <c r="C2908" t="s">
        <v>5970</v>
      </c>
      <c r="D2908" t="s">
        <v>18069</v>
      </c>
      <c r="E2908" t="s">
        <v>20760</v>
      </c>
      <c r="F2908" t="s">
        <v>31574</v>
      </c>
      <c r="G2908" t="s">
        <v>31584</v>
      </c>
      <c r="H2908" t="s">
        <v>31590</v>
      </c>
      <c r="I2908" t="s">
        <v>6800</v>
      </c>
      <c r="J2908" t="s">
        <v>33704</v>
      </c>
      <c r="K2908" t="s">
        <v>41196</v>
      </c>
      <c r="M2908" t="s">
        <v>42616</v>
      </c>
      <c r="N2908" t="s">
        <v>45095</v>
      </c>
      <c r="O2908" t="s">
        <v>45096</v>
      </c>
      <c r="P2908">
        <v>0</v>
      </c>
      <c r="Q2908">
        <v>2</v>
      </c>
      <c r="R2908" t="s">
        <v>45098</v>
      </c>
      <c r="S2908" t="s">
        <v>45223</v>
      </c>
      <c r="T2908" t="s">
        <v>46928</v>
      </c>
      <c r="U2908" t="s">
        <v>49951</v>
      </c>
      <c r="W2908" t="s">
        <v>42616</v>
      </c>
      <c r="X2908" t="s">
        <v>45100</v>
      </c>
    </row>
    <row r="2909" spans="1:24">
      <c r="A2909">
        <f>HYPERLINK("https://www.philgeps.gov.ph/GEPSNONPILOT/Tender/SplashBidNoticeAbstractUI.aspx?menuIndex=3&amp;refID=7043736&amp;Result=3","7043736")</f>
        <v>0</v>
      </c>
      <c r="B2909" t="s">
        <v>957</v>
      </c>
      <c r="C2909" t="s">
        <v>5971</v>
      </c>
      <c r="D2909" t="s">
        <v>18075</v>
      </c>
      <c r="E2909" t="s">
        <v>20761</v>
      </c>
      <c r="F2909" t="s">
        <v>31574</v>
      </c>
      <c r="G2909" t="s">
        <v>31582</v>
      </c>
      <c r="H2909" t="s">
        <v>31591</v>
      </c>
      <c r="I2909" t="s">
        <v>8822</v>
      </c>
      <c r="J2909" t="s">
        <v>31789</v>
      </c>
      <c r="K2909" t="s">
        <v>41206</v>
      </c>
      <c r="M2909" t="s">
        <v>42484</v>
      </c>
      <c r="N2909" t="s">
        <v>45095</v>
      </c>
      <c r="O2909" t="s">
        <v>45096</v>
      </c>
      <c r="P2909">
        <v>0</v>
      </c>
      <c r="Q2909">
        <v>0</v>
      </c>
      <c r="R2909" t="s">
        <v>45098</v>
      </c>
      <c r="S2909" t="s">
        <v>45223</v>
      </c>
      <c r="T2909" t="s">
        <v>46980</v>
      </c>
      <c r="U2909" t="s">
        <v>49578</v>
      </c>
      <c r="W2909" t="s">
        <v>42484</v>
      </c>
      <c r="X2909" t="s">
        <v>45100</v>
      </c>
    </row>
    <row r="2910" spans="1:24">
      <c r="A2910">
        <f>HYPERLINK("https://www.philgeps.gov.ph/GEPSNONPILOT/Tender/SplashBidNoticeAbstractUI.aspx?menuIndex=3&amp;refID=7043741&amp;Result=3","7043741")</f>
        <v>0</v>
      </c>
      <c r="B2910" t="s">
        <v>1069</v>
      </c>
      <c r="C2910" t="s">
        <v>5972</v>
      </c>
      <c r="D2910" t="s">
        <v>18079</v>
      </c>
      <c r="E2910" t="s">
        <v>20762</v>
      </c>
      <c r="F2910" t="s">
        <v>31574</v>
      </c>
      <c r="G2910" t="s">
        <v>31587</v>
      </c>
      <c r="H2910" t="s">
        <v>31593</v>
      </c>
      <c r="I2910" t="s">
        <v>31593</v>
      </c>
      <c r="J2910" t="s">
        <v>32030</v>
      </c>
      <c r="K2910" t="s">
        <v>41225</v>
      </c>
      <c r="M2910" t="s">
        <v>42615</v>
      </c>
      <c r="N2910" t="s">
        <v>45095</v>
      </c>
      <c r="O2910" t="s">
        <v>45096</v>
      </c>
      <c r="P2910">
        <v>0</v>
      </c>
      <c r="Q2910">
        <v>1</v>
      </c>
      <c r="R2910" t="s">
        <v>45098</v>
      </c>
      <c r="S2910" t="s">
        <v>45223</v>
      </c>
      <c r="T2910" t="s">
        <v>47143</v>
      </c>
      <c r="U2910" t="s">
        <v>49952</v>
      </c>
      <c r="W2910" t="s">
        <v>42615</v>
      </c>
      <c r="X2910" t="s">
        <v>45100</v>
      </c>
    </row>
    <row r="2911" spans="1:24">
      <c r="A2911">
        <f>HYPERLINK("https://www.philgeps.gov.ph/GEPSNONPILOT/Tender/SplashBidNoticeAbstractUI.aspx?menuIndex=3&amp;refID=7043769&amp;Result=3","7043769")</f>
        <v>0</v>
      </c>
      <c r="B2911" t="s">
        <v>1057</v>
      </c>
      <c r="C2911" t="s">
        <v>5973</v>
      </c>
      <c r="D2911" t="s">
        <v>18088</v>
      </c>
      <c r="E2911" t="s">
        <v>20763</v>
      </c>
      <c r="F2911" t="s">
        <v>31574</v>
      </c>
      <c r="G2911" t="s">
        <v>31582</v>
      </c>
      <c r="H2911" t="s">
        <v>31590</v>
      </c>
      <c r="I2911" t="s">
        <v>3901</v>
      </c>
      <c r="J2911" t="s">
        <v>33705</v>
      </c>
      <c r="K2911" t="s">
        <v>41192</v>
      </c>
      <c r="M2911" t="s">
        <v>42602</v>
      </c>
      <c r="N2911" t="s">
        <v>45095</v>
      </c>
      <c r="O2911" t="s">
        <v>45096</v>
      </c>
      <c r="P2911">
        <v>0</v>
      </c>
      <c r="Q2911">
        <v>1</v>
      </c>
      <c r="R2911" t="s">
        <v>45098</v>
      </c>
      <c r="S2911" t="s">
        <v>45223</v>
      </c>
      <c r="T2911" t="s">
        <v>46927</v>
      </c>
      <c r="U2911" t="s">
        <v>49953</v>
      </c>
      <c r="W2911" t="s">
        <v>42602</v>
      </c>
      <c r="X2911" t="s">
        <v>45100</v>
      </c>
    </row>
    <row r="2912" spans="1:24">
      <c r="A2912">
        <f>HYPERLINK("https://www.philgeps.gov.ph/GEPSNONPILOT/Tender/SplashBidNoticeAbstractUI.aspx?menuIndex=3&amp;refID=7043763&amp;Result=3","7043763")</f>
        <v>0</v>
      </c>
      <c r="B2912" t="s">
        <v>1057</v>
      </c>
      <c r="C2912" t="s">
        <v>5974</v>
      </c>
      <c r="D2912" t="s">
        <v>18088</v>
      </c>
      <c r="E2912" t="s">
        <v>20764</v>
      </c>
      <c r="F2912" t="s">
        <v>31574</v>
      </c>
      <c r="G2912" t="s">
        <v>31582</v>
      </c>
      <c r="H2912" t="s">
        <v>31590</v>
      </c>
      <c r="I2912" t="s">
        <v>3901</v>
      </c>
      <c r="J2912" t="s">
        <v>33706</v>
      </c>
      <c r="K2912" t="s">
        <v>41192</v>
      </c>
      <c r="M2912" t="s">
        <v>42602</v>
      </c>
      <c r="N2912" t="s">
        <v>45095</v>
      </c>
      <c r="O2912" t="s">
        <v>45096</v>
      </c>
      <c r="P2912">
        <v>0</v>
      </c>
      <c r="Q2912">
        <v>1</v>
      </c>
      <c r="R2912" t="s">
        <v>45098</v>
      </c>
      <c r="S2912" t="s">
        <v>45223</v>
      </c>
      <c r="T2912" t="s">
        <v>46927</v>
      </c>
      <c r="U2912" t="s">
        <v>49954</v>
      </c>
      <c r="W2912" t="s">
        <v>42602</v>
      </c>
      <c r="X2912" t="s">
        <v>45100</v>
      </c>
    </row>
    <row r="2913" spans="1:24">
      <c r="A2913">
        <f>HYPERLINK("https://www.philgeps.gov.ph/GEPSNONPILOT/Tender/SplashBidNoticeAbstractUI.aspx?menuIndex=3&amp;refID=7043748&amp;Result=3","7043748")</f>
        <v>0</v>
      </c>
      <c r="B2913" t="s">
        <v>1071</v>
      </c>
      <c r="C2913" t="s">
        <v>5975</v>
      </c>
      <c r="D2913" t="s">
        <v>18047</v>
      </c>
      <c r="E2913" t="s">
        <v>20108</v>
      </c>
      <c r="F2913" t="s">
        <v>31579</v>
      </c>
      <c r="G2913" t="s">
        <v>31581</v>
      </c>
      <c r="H2913" t="s">
        <v>31590</v>
      </c>
      <c r="I2913" t="s">
        <v>31605</v>
      </c>
      <c r="J2913" t="s">
        <v>31845</v>
      </c>
      <c r="K2913" t="s">
        <v>41211</v>
      </c>
      <c r="M2913" t="s">
        <v>42617</v>
      </c>
      <c r="N2913" t="s">
        <v>45095</v>
      </c>
      <c r="O2913" t="s">
        <v>45096</v>
      </c>
      <c r="P2913">
        <v>0</v>
      </c>
      <c r="Q2913">
        <v>0</v>
      </c>
      <c r="R2913" t="s">
        <v>45098</v>
      </c>
      <c r="S2913" t="s">
        <v>45223</v>
      </c>
      <c r="T2913" t="s">
        <v>46955</v>
      </c>
      <c r="U2913" t="s">
        <v>49955</v>
      </c>
      <c r="W2913" t="s">
        <v>42617</v>
      </c>
      <c r="X2913" t="s">
        <v>45100</v>
      </c>
    </row>
    <row r="2914" spans="1:24">
      <c r="A2914">
        <f>HYPERLINK("https://www.philgeps.gov.ph/GEPSNONPILOT/Tender/SplashBidNoticeAbstractUI.aspx?menuIndex=3&amp;refID=7043711&amp;Result=3","7043711")</f>
        <v>0</v>
      </c>
      <c r="B2914" t="s">
        <v>957</v>
      </c>
      <c r="C2914" t="s">
        <v>5976</v>
      </c>
      <c r="D2914" t="s">
        <v>18075</v>
      </c>
      <c r="E2914" t="s">
        <v>20765</v>
      </c>
      <c r="F2914" t="s">
        <v>31574</v>
      </c>
      <c r="G2914" t="s">
        <v>31582</v>
      </c>
      <c r="H2914" t="s">
        <v>31591</v>
      </c>
      <c r="I2914" t="s">
        <v>8822</v>
      </c>
      <c r="J2914" t="s">
        <v>33707</v>
      </c>
      <c r="K2914" t="s">
        <v>41263</v>
      </c>
      <c r="M2914" t="s">
        <v>42484</v>
      </c>
      <c r="N2914" t="s">
        <v>45095</v>
      </c>
      <c r="O2914" t="s">
        <v>45096</v>
      </c>
      <c r="P2914">
        <v>0</v>
      </c>
      <c r="Q2914">
        <v>0</v>
      </c>
      <c r="R2914" t="s">
        <v>45098</v>
      </c>
      <c r="S2914" t="s">
        <v>45223</v>
      </c>
      <c r="T2914" t="s">
        <v>47073</v>
      </c>
      <c r="U2914" t="s">
        <v>49578</v>
      </c>
      <c r="W2914" t="s">
        <v>42484</v>
      </c>
      <c r="X2914" t="s">
        <v>45100</v>
      </c>
    </row>
    <row r="2915" spans="1:24">
      <c r="A2915">
        <f>HYPERLINK("https://www.philgeps.gov.ph/GEPSNONPILOT/Tender/SplashBidNoticeAbstractUI.aspx?menuIndex=3&amp;refID=7043730&amp;Result=3","7043730")</f>
        <v>0</v>
      </c>
      <c r="B2915" t="s">
        <v>1070</v>
      </c>
      <c r="C2915" t="s">
        <v>5977</v>
      </c>
      <c r="D2915" t="s">
        <v>18069</v>
      </c>
      <c r="E2915" t="s">
        <v>20766</v>
      </c>
      <c r="F2915" t="s">
        <v>31574</v>
      </c>
      <c r="G2915" t="s">
        <v>31584</v>
      </c>
      <c r="H2915" t="s">
        <v>31590</v>
      </c>
      <c r="I2915" t="s">
        <v>31595</v>
      </c>
      <c r="J2915" t="s">
        <v>33708</v>
      </c>
      <c r="K2915" t="s">
        <v>41196</v>
      </c>
      <c r="M2915" t="s">
        <v>42616</v>
      </c>
      <c r="N2915" t="s">
        <v>45095</v>
      </c>
      <c r="O2915" t="s">
        <v>45096</v>
      </c>
      <c r="P2915">
        <v>0</v>
      </c>
      <c r="Q2915">
        <v>2</v>
      </c>
      <c r="R2915" t="s">
        <v>45098</v>
      </c>
      <c r="S2915" t="s">
        <v>45223</v>
      </c>
      <c r="T2915" t="s">
        <v>46928</v>
      </c>
      <c r="U2915" t="s">
        <v>49951</v>
      </c>
      <c r="W2915" t="s">
        <v>42616</v>
      </c>
      <c r="X2915" t="s">
        <v>45100</v>
      </c>
    </row>
    <row r="2916" spans="1:24">
      <c r="A2916">
        <f>HYPERLINK("https://www.philgeps.gov.ph/GEPSNONPILOT/Tender/SplashBidNoticeAbstractUI.aspx?menuIndex=3&amp;refID=7043761&amp;Result=3","7043761")</f>
        <v>0</v>
      </c>
      <c r="B2916" t="s">
        <v>346</v>
      </c>
      <c r="C2916" t="s">
        <v>5978</v>
      </c>
      <c r="D2916" t="s">
        <v>18044</v>
      </c>
      <c r="E2916" t="s">
        <v>20767</v>
      </c>
      <c r="F2916" t="s">
        <v>31574</v>
      </c>
      <c r="G2916" t="s">
        <v>31581</v>
      </c>
      <c r="H2916" t="s">
        <v>31590</v>
      </c>
      <c r="I2916" t="s">
        <v>31600</v>
      </c>
      <c r="J2916" t="s">
        <v>33709</v>
      </c>
      <c r="K2916" t="s">
        <v>41196</v>
      </c>
      <c r="M2916" t="s">
        <v>41834</v>
      </c>
      <c r="N2916" t="s">
        <v>45095</v>
      </c>
      <c r="O2916" t="s">
        <v>45096</v>
      </c>
      <c r="P2916">
        <v>0</v>
      </c>
      <c r="Q2916">
        <v>0</v>
      </c>
      <c r="R2916" t="s">
        <v>45098</v>
      </c>
      <c r="S2916" t="s">
        <v>45223</v>
      </c>
      <c r="T2916" t="s">
        <v>46973</v>
      </c>
      <c r="U2916" t="s">
        <v>48146</v>
      </c>
      <c r="W2916" t="s">
        <v>44356</v>
      </c>
      <c r="X2916" t="s">
        <v>45100</v>
      </c>
    </row>
    <row r="2917" spans="1:24">
      <c r="A2917">
        <f>HYPERLINK("https://www.philgeps.gov.ph/GEPSNONPILOT/Tender/SplashBidNoticeAbstractUI.aspx?menuIndex=3&amp;refID=7043759&amp;Result=3","7043759")</f>
        <v>0</v>
      </c>
      <c r="B2917" t="s">
        <v>1072</v>
      </c>
      <c r="C2917" t="s">
        <v>5979</v>
      </c>
      <c r="D2917" t="s">
        <v>18070</v>
      </c>
      <c r="E2917" t="s">
        <v>20768</v>
      </c>
      <c r="F2917" t="s">
        <v>31574</v>
      </c>
      <c r="G2917" t="s">
        <v>31581</v>
      </c>
      <c r="H2917" t="s">
        <v>31590</v>
      </c>
      <c r="I2917" t="s">
        <v>5717</v>
      </c>
      <c r="J2917" t="s">
        <v>32659</v>
      </c>
      <c r="K2917" t="s">
        <v>41184</v>
      </c>
      <c r="M2917" t="s">
        <v>42618</v>
      </c>
      <c r="N2917" t="s">
        <v>45095</v>
      </c>
      <c r="O2917" t="s">
        <v>45096</v>
      </c>
      <c r="P2917">
        <v>0</v>
      </c>
      <c r="Q2917">
        <v>1</v>
      </c>
      <c r="R2917" t="s">
        <v>45098</v>
      </c>
      <c r="S2917" t="s">
        <v>45223</v>
      </c>
      <c r="T2917" t="s">
        <v>46995</v>
      </c>
      <c r="U2917" t="s">
        <v>49956</v>
      </c>
      <c r="W2917" t="s">
        <v>42618</v>
      </c>
      <c r="X2917" t="s">
        <v>45100</v>
      </c>
    </row>
    <row r="2918" spans="1:24">
      <c r="A2918">
        <f>HYPERLINK("https://www.philgeps.gov.ph/GEPSNONPILOT/Tender/SplashBidNoticeAbstractUI.aspx?menuIndex=3&amp;refID=7043732&amp;Result=3","7043732")</f>
        <v>0</v>
      </c>
      <c r="B2918" t="s">
        <v>419</v>
      </c>
      <c r="C2918" t="s">
        <v>5980</v>
      </c>
      <c r="D2918" t="s">
        <v>18029</v>
      </c>
      <c r="E2918" t="s">
        <v>20769</v>
      </c>
      <c r="F2918" t="s">
        <v>31574</v>
      </c>
      <c r="G2918" t="s">
        <v>31582</v>
      </c>
      <c r="H2918" t="s">
        <v>31591</v>
      </c>
      <c r="I2918" t="s">
        <v>8822</v>
      </c>
      <c r="J2918" t="s">
        <v>31730</v>
      </c>
      <c r="K2918" t="s">
        <v>41203</v>
      </c>
      <c r="M2918" t="s">
        <v>41911</v>
      </c>
      <c r="N2918" t="s">
        <v>45095</v>
      </c>
      <c r="O2918" t="s">
        <v>45096</v>
      </c>
      <c r="P2918">
        <v>0</v>
      </c>
      <c r="Q2918">
        <v>0</v>
      </c>
      <c r="R2918" t="s">
        <v>45098</v>
      </c>
      <c r="S2918" t="s">
        <v>45223</v>
      </c>
      <c r="T2918" t="s">
        <v>46916</v>
      </c>
      <c r="U2918" t="s">
        <v>49957</v>
      </c>
      <c r="W2918" t="s">
        <v>41911</v>
      </c>
      <c r="X2918" t="s">
        <v>45100</v>
      </c>
    </row>
    <row r="2919" spans="1:24">
      <c r="A2919">
        <f>HYPERLINK("https://www.philgeps.gov.ph/GEPSNONPILOT/Tender/SplashBidNoticeAbstractUI.aspx?menuIndex=3&amp;refID=7043751&amp;Result=3","7043751")</f>
        <v>0</v>
      </c>
      <c r="B2919" t="s">
        <v>957</v>
      </c>
      <c r="C2919" t="s">
        <v>5981</v>
      </c>
      <c r="D2919" t="s">
        <v>18075</v>
      </c>
      <c r="E2919" t="s">
        <v>20770</v>
      </c>
      <c r="F2919" t="s">
        <v>31574</v>
      </c>
      <c r="G2919" t="s">
        <v>31582</v>
      </c>
      <c r="H2919" t="s">
        <v>31591</v>
      </c>
      <c r="I2919" t="s">
        <v>8822</v>
      </c>
      <c r="J2919" t="s">
        <v>31947</v>
      </c>
      <c r="K2919" t="s">
        <v>41218</v>
      </c>
      <c r="M2919" t="s">
        <v>42484</v>
      </c>
      <c r="N2919" t="s">
        <v>45095</v>
      </c>
      <c r="O2919" t="s">
        <v>45096</v>
      </c>
      <c r="P2919">
        <v>0</v>
      </c>
      <c r="Q2919">
        <v>0</v>
      </c>
      <c r="R2919" t="s">
        <v>45098</v>
      </c>
      <c r="S2919" t="s">
        <v>45223</v>
      </c>
      <c r="T2919" t="s">
        <v>46980</v>
      </c>
      <c r="U2919" t="s">
        <v>49578</v>
      </c>
      <c r="W2919" t="s">
        <v>42484</v>
      </c>
      <c r="X2919" t="s">
        <v>45100</v>
      </c>
    </row>
    <row r="2920" spans="1:24">
      <c r="A2920">
        <f>HYPERLINK("https://www.philgeps.gov.ph/GEPSNONPILOT/Tender/SplashBidNoticeAbstractUI.aspx?menuIndex=3&amp;refID=7043695&amp;Result=3","7043695")</f>
        <v>0</v>
      </c>
      <c r="B2920" t="s">
        <v>1073</v>
      </c>
      <c r="C2920" t="s">
        <v>3328</v>
      </c>
      <c r="D2920" t="s">
        <v>18044</v>
      </c>
      <c r="E2920" t="s">
        <v>20771</v>
      </c>
      <c r="F2920" t="s">
        <v>31574</v>
      </c>
      <c r="G2920" t="s">
        <v>31583</v>
      </c>
      <c r="H2920" t="s">
        <v>31590</v>
      </c>
      <c r="I2920" t="s">
        <v>5717</v>
      </c>
      <c r="J2920" t="s">
        <v>32334</v>
      </c>
      <c r="K2920" t="s">
        <v>41197</v>
      </c>
      <c r="M2920" t="s">
        <v>42619</v>
      </c>
      <c r="N2920" t="s">
        <v>45095</v>
      </c>
      <c r="O2920" t="s">
        <v>45096</v>
      </c>
      <c r="P2920">
        <v>0</v>
      </c>
      <c r="Q2920">
        <v>3</v>
      </c>
      <c r="R2920" t="s">
        <v>45098</v>
      </c>
      <c r="S2920" t="s">
        <v>45223</v>
      </c>
      <c r="T2920" t="s">
        <v>46985</v>
      </c>
      <c r="U2920" t="s">
        <v>49958</v>
      </c>
      <c r="W2920" t="s">
        <v>42619</v>
      </c>
      <c r="X2920" t="s">
        <v>45100</v>
      </c>
    </row>
    <row r="2921" spans="1:24">
      <c r="A2921">
        <f>HYPERLINK("https://www.philgeps.gov.ph/GEPSNONPILOT/Tender/SplashBidNoticeAbstractUI.aspx?menuIndex=3&amp;refID=7043772&amp;Result=3","7043772")</f>
        <v>0</v>
      </c>
      <c r="B2921" t="s">
        <v>1074</v>
      </c>
      <c r="C2921" t="s">
        <v>5982</v>
      </c>
      <c r="D2921" t="s">
        <v>18040</v>
      </c>
      <c r="E2921" t="s">
        <v>20772</v>
      </c>
      <c r="F2921" t="s">
        <v>31574</v>
      </c>
      <c r="G2921" t="s">
        <v>31581</v>
      </c>
      <c r="H2921" t="s">
        <v>31590</v>
      </c>
      <c r="I2921" t="s">
        <v>3651</v>
      </c>
      <c r="J2921" t="s">
        <v>33710</v>
      </c>
      <c r="K2921" t="s">
        <v>41196</v>
      </c>
      <c r="M2921" t="s">
        <v>42620</v>
      </c>
      <c r="N2921" t="s">
        <v>45095</v>
      </c>
      <c r="O2921" t="s">
        <v>45096</v>
      </c>
      <c r="P2921">
        <v>0</v>
      </c>
      <c r="Q2921">
        <v>0</v>
      </c>
      <c r="R2921" t="s">
        <v>45098</v>
      </c>
      <c r="S2921" t="s">
        <v>45223</v>
      </c>
      <c r="T2921" t="s">
        <v>46936</v>
      </c>
      <c r="U2921" t="s">
        <v>49959</v>
      </c>
      <c r="W2921" t="s">
        <v>42620</v>
      </c>
      <c r="X2921" t="s">
        <v>45100</v>
      </c>
    </row>
    <row r="2922" spans="1:24">
      <c r="A2922">
        <f>HYPERLINK("https://www.philgeps.gov.ph/GEPSNONPILOT/Tender/SplashBidNoticeAbstractUI.aspx?menuIndex=3&amp;refID=7043766&amp;Result=3","7043766")</f>
        <v>0</v>
      </c>
      <c r="B2922" t="s">
        <v>1057</v>
      </c>
      <c r="C2922" t="s">
        <v>5983</v>
      </c>
      <c r="D2922" t="s">
        <v>18088</v>
      </c>
      <c r="E2922" t="s">
        <v>20773</v>
      </c>
      <c r="F2922" t="s">
        <v>31574</v>
      </c>
      <c r="G2922" t="s">
        <v>31582</v>
      </c>
      <c r="H2922" t="s">
        <v>31590</v>
      </c>
      <c r="I2922" t="s">
        <v>3901</v>
      </c>
      <c r="J2922" t="s">
        <v>33711</v>
      </c>
      <c r="K2922" t="s">
        <v>41192</v>
      </c>
      <c r="M2922" t="s">
        <v>42602</v>
      </c>
      <c r="N2922" t="s">
        <v>45095</v>
      </c>
      <c r="O2922" t="s">
        <v>45096</v>
      </c>
      <c r="P2922">
        <v>0</v>
      </c>
      <c r="Q2922">
        <v>1</v>
      </c>
      <c r="R2922" t="s">
        <v>45098</v>
      </c>
      <c r="S2922" t="s">
        <v>45223</v>
      </c>
      <c r="T2922" t="s">
        <v>46927</v>
      </c>
      <c r="U2922" t="s">
        <v>49960</v>
      </c>
      <c r="W2922" t="s">
        <v>42602</v>
      </c>
      <c r="X2922" t="s">
        <v>45100</v>
      </c>
    </row>
    <row r="2923" spans="1:24">
      <c r="A2923">
        <f>HYPERLINK("https://www.philgeps.gov.ph/GEPSNONPILOT/Tender/SplashBidNoticeAbstractUI.aspx?menuIndex=3&amp;refID=7043776&amp;Result=3","7043776")</f>
        <v>0</v>
      </c>
      <c r="B2923" t="s">
        <v>1074</v>
      </c>
      <c r="C2923" t="s">
        <v>5984</v>
      </c>
      <c r="D2923" t="s">
        <v>18040</v>
      </c>
      <c r="E2923" t="s">
        <v>20774</v>
      </c>
      <c r="F2923" t="s">
        <v>31574</v>
      </c>
      <c r="G2923" t="s">
        <v>31581</v>
      </c>
      <c r="H2923" t="s">
        <v>31590</v>
      </c>
      <c r="I2923" t="s">
        <v>14544</v>
      </c>
      <c r="J2923" t="s">
        <v>33712</v>
      </c>
      <c r="K2923" t="s">
        <v>41193</v>
      </c>
      <c r="M2923" t="s">
        <v>42620</v>
      </c>
      <c r="N2923" t="s">
        <v>45095</v>
      </c>
      <c r="O2923" t="s">
        <v>45096</v>
      </c>
      <c r="P2923">
        <v>0</v>
      </c>
      <c r="Q2923">
        <v>0</v>
      </c>
      <c r="R2923" t="s">
        <v>45098</v>
      </c>
      <c r="S2923" t="s">
        <v>45223</v>
      </c>
      <c r="T2923" t="s">
        <v>46936</v>
      </c>
      <c r="U2923" t="s">
        <v>49959</v>
      </c>
      <c r="W2923" t="s">
        <v>42620</v>
      </c>
      <c r="X2923" t="s">
        <v>45100</v>
      </c>
    </row>
    <row r="2924" spans="1:24">
      <c r="A2924">
        <f>HYPERLINK("https://www.philgeps.gov.ph/GEPSNONPILOT/Tender/SplashBidNoticeAbstractUI.aspx?menuIndex=3&amp;refID=7043777&amp;Result=3","7043777")</f>
        <v>0</v>
      </c>
      <c r="B2924" t="s">
        <v>1057</v>
      </c>
      <c r="C2924" t="s">
        <v>5985</v>
      </c>
      <c r="D2924" t="s">
        <v>18099</v>
      </c>
      <c r="E2924" t="s">
        <v>20775</v>
      </c>
      <c r="F2924" t="s">
        <v>31574</v>
      </c>
      <c r="G2924" t="s">
        <v>31582</v>
      </c>
      <c r="H2924" t="s">
        <v>31590</v>
      </c>
      <c r="I2924" t="s">
        <v>3901</v>
      </c>
      <c r="J2924" t="s">
        <v>32258</v>
      </c>
      <c r="K2924" t="s">
        <v>41192</v>
      </c>
      <c r="M2924" t="s">
        <v>42602</v>
      </c>
      <c r="N2924" t="s">
        <v>45095</v>
      </c>
      <c r="O2924" t="s">
        <v>45096</v>
      </c>
      <c r="P2924">
        <v>0</v>
      </c>
      <c r="Q2924">
        <v>0</v>
      </c>
      <c r="R2924" t="s">
        <v>45098</v>
      </c>
      <c r="S2924" t="s">
        <v>45223</v>
      </c>
      <c r="T2924" t="s">
        <v>46927</v>
      </c>
      <c r="U2924" t="s">
        <v>49961</v>
      </c>
      <c r="W2924" t="s">
        <v>42602</v>
      </c>
      <c r="X2924" t="s">
        <v>45100</v>
      </c>
    </row>
    <row r="2925" spans="1:24">
      <c r="A2925">
        <f>HYPERLINK("https://www.philgeps.gov.ph/GEPSNONPILOT/Tender/SplashBidNoticeAbstractUI.aspx?menuIndex=3&amp;refID=7043786&amp;Result=3","7043786")</f>
        <v>0</v>
      </c>
      <c r="B2925" t="s">
        <v>1057</v>
      </c>
      <c r="C2925" t="s">
        <v>5986</v>
      </c>
      <c r="D2925" t="s">
        <v>18088</v>
      </c>
      <c r="E2925" t="s">
        <v>20776</v>
      </c>
      <c r="F2925" t="s">
        <v>31574</v>
      </c>
      <c r="G2925" t="s">
        <v>31582</v>
      </c>
      <c r="H2925" t="s">
        <v>31590</v>
      </c>
      <c r="I2925" t="s">
        <v>3901</v>
      </c>
      <c r="J2925" t="s">
        <v>33713</v>
      </c>
      <c r="K2925" t="s">
        <v>41192</v>
      </c>
      <c r="M2925" t="s">
        <v>42602</v>
      </c>
      <c r="N2925" t="s">
        <v>45095</v>
      </c>
      <c r="O2925" t="s">
        <v>45096</v>
      </c>
      <c r="P2925">
        <v>0</v>
      </c>
      <c r="Q2925">
        <v>2</v>
      </c>
      <c r="R2925" t="s">
        <v>45098</v>
      </c>
      <c r="S2925" t="s">
        <v>45223</v>
      </c>
      <c r="T2925" t="s">
        <v>46927</v>
      </c>
      <c r="U2925" t="s">
        <v>49962</v>
      </c>
      <c r="W2925" t="s">
        <v>42602</v>
      </c>
      <c r="X2925" t="s">
        <v>45100</v>
      </c>
    </row>
    <row r="2926" spans="1:24">
      <c r="A2926">
        <f>HYPERLINK("https://www.philgeps.gov.ph/GEPSNONPILOT/Tender/SplashBidNoticeAbstractUI.aspx?menuIndex=3&amp;refID=7043780&amp;Result=3","7043780")</f>
        <v>0</v>
      </c>
      <c r="B2926" t="s">
        <v>1057</v>
      </c>
      <c r="C2926" t="s">
        <v>5987</v>
      </c>
      <c r="D2926" t="s">
        <v>18099</v>
      </c>
      <c r="E2926" t="s">
        <v>20777</v>
      </c>
      <c r="F2926" t="s">
        <v>31574</v>
      </c>
      <c r="G2926" t="s">
        <v>31582</v>
      </c>
      <c r="H2926" t="s">
        <v>31590</v>
      </c>
      <c r="I2926" t="s">
        <v>3901</v>
      </c>
      <c r="J2926" t="s">
        <v>33714</v>
      </c>
      <c r="K2926" t="s">
        <v>41192</v>
      </c>
      <c r="M2926" t="s">
        <v>42602</v>
      </c>
      <c r="N2926" t="s">
        <v>45095</v>
      </c>
      <c r="O2926" t="s">
        <v>45096</v>
      </c>
      <c r="P2926">
        <v>0</v>
      </c>
      <c r="Q2926">
        <v>0</v>
      </c>
      <c r="R2926" t="s">
        <v>45098</v>
      </c>
      <c r="S2926" t="s">
        <v>45223</v>
      </c>
      <c r="T2926" t="s">
        <v>46927</v>
      </c>
      <c r="U2926" t="s">
        <v>49963</v>
      </c>
      <c r="W2926" t="s">
        <v>42602</v>
      </c>
      <c r="X2926" t="s">
        <v>45100</v>
      </c>
    </row>
    <row r="2927" spans="1:24">
      <c r="A2927">
        <f>HYPERLINK("https://www.philgeps.gov.ph/GEPSNONPILOT/Tender/SplashBidNoticeAbstractUI.aspx?menuIndex=3&amp;refID=7043820&amp;Result=3","7043820")</f>
        <v>0</v>
      </c>
      <c r="B2927" t="s">
        <v>1075</v>
      </c>
      <c r="C2927" t="s">
        <v>5988</v>
      </c>
      <c r="D2927" t="s">
        <v>18022</v>
      </c>
      <c r="E2927" t="s">
        <v>20778</v>
      </c>
      <c r="F2927" t="s">
        <v>31574</v>
      </c>
      <c r="G2927" t="s">
        <v>31581</v>
      </c>
      <c r="H2927" t="s">
        <v>31590</v>
      </c>
      <c r="I2927" t="s">
        <v>31595</v>
      </c>
      <c r="J2927" t="s">
        <v>33715</v>
      </c>
      <c r="K2927" t="s">
        <v>41196</v>
      </c>
      <c r="L2927" t="s">
        <v>1075</v>
      </c>
      <c r="M2927" t="s">
        <v>42621</v>
      </c>
      <c r="N2927" t="s">
        <v>45095</v>
      </c>
      <c r="O2927" t="s">
        <v>45096</v>
      </c>
      <c r="P2927">
        <v>0</v>
      </c>
      <c r="Q2927">
        <v>12</v>
      </c>
      <c r="R2927" t="s">
        <v>45098</v>
      </c>
      <c r="S2927" t="s">
        <v>45223</v>
      </c>
      <c r="T2927" t="s">
        <v>47064</v>
      </c>
      <c r="U2927" t="s">
        <v>49093</v>
      </c>
      <c r="W2927" t="s">
        <v>42621</v>
      </c>
      <c r="X2927" t="s">
        <v>45100</v>
      </c>
    </row>
    <row r="2928" spans="1:24">
      <c r="A2928">
        <f>HYPERLINK("https://www.philgeps.gov.ph/GEPSNONPILOT/Tender/SplashBidNoticeAbstractUI.aspx?menuIndex=3&amp;refID=7043773&amp;Result=3","7043773")</f>
        <v>0</v>
      </c>
      <c r="B2928" t="s">
        <v>1057</v>
      </c>
      <c r="C2928" t="s">
        <v>5989</v>
      </c>
      <c r="D2928" t="s">
        <v>18099</v>
      </c>
      <c r="E2928" t="s">
        <v>20779</v>
      </c>
      <c r="F2928" t="s">
        <v>31574</v>
      </c>
      <c r="G2928" t="s">
        <v>31582</v>
      </c>
      <c r="H2928" t="s">
        <v>31590</v>
      </c>
      <c r="I2928" t="s">
        <v>3901</v>
      </c>
      <c r="J2928" t="s">
        <v>31727</v>
      </c>
      <c r="K2928" t="s">
        <v>41192</v>
      </c>
      <c r="M2928" t="s">
        <v>42602</v>
      </c>
      <c r="N2928" t="s">
        <v>45095</v>
      </c>
      <c r="O2928" t="s">
        <v>45096</v>
      </c>
      <c r="P2928">
        <v>0</v>
      </c>
      <c r="Q2928">
        <v>0</v>
      </c>
      <c r="R2928" t="s">
        <v>45098</v>
      </c>
      <c r="S2928" t="s">
        <v>45223</v>
      </c>
      <c r="T2928" t="s">
        <v>46927</v>
      </c>
      <c r="U2928" t="s">
        <v>49963</v>
      </c>
      <c r="W2928" t="s">
        <v>42602</v>
      </c>
      <c r="X2928" t="s">
        <v>45100</v>
      </c>
    </row>
    <row r="2929" spans="1:24">
      <c r="A2929">
        <f>HYPERLINK("https://www.philgeps.gov.ph/GEPSNONPILOT/Tender/SplashBidNoticeAbstractUI.aspx?menuIndex=3&amp;refID=7043788&amp;Result=3","7043788")</f>
        <v>0</v>
      </c>
      <c r="B2929" t="s">
        <v>1057</v>
      </c>
      <c r="C2929" t="s">
        <v>5990</v>
      </c>
      <c r="D2929" t="s">
        <v>18088</v>
      </c>
      <c r="E2929" t="s">
        <v>20780</v>
      </c>
      <c r="F2929" t="s">
        <v>31574</v>
      </c>
      <c r="G2929" t="s">
        <v>31582</v>
      </c>
      <c r="H2929" t="s">
        <v>31590</v>
      </c>
      <c r="I2929" t="s">
        <v>3901</v>
      </c>
      <c r="J2929" t="s">
        <v>33716</v>
      </c>
      <c r="K2929" t="s">
        <v>41192</v>
      </c>
      <c r="M2929" t="s">
        <v>42602</v>
      </c>
      <c r="N2929" t="s">
        <v>45095</v>
      </c>
      <c r="O2929" t="s">
        <v>45096</v>
      </c>
      <c r="P2929">
        <v>0</v>
      </c>
      <c r="Q2929">
        <v>1</v>
      </c>
      <c r="R2929" t="s">
        <v>45098</v>
      </c>
      <c r="S2929" t="s">
        <v>45223</v>
      </c>
      <c r="T2929" t="s">
        <v>46927</v>
      </c>
      <c r="U2929" t="s">
        <v>49964</v>
      </c>
      <c r="W2929" t="s">
        <v>42602</v>
      </c>
      <c r="X2929" t="s">
        <v>45100</v>
      </c>
    </row>
    <row r="2930" spans="1:24">
      <c r="A2930">
        <f>HYPERLINK("https://www.philgeps.gov.ph/GEPSNONPILOT/Tender/SplashBidNoticeAbstractUI.aspx?menuIndex=3&amp;refID=7043823&amp;Result=3","7043823")</f>
        <v>0</v>
      </c>
      <c r="B2930" t="s">
        <v>485</v>
      </c>
      <c r="C2930" t="s">
        <v>5991</v>
      </c>
      <c r="D2930" t="s">
        <v>18048</v>
      </c>
      <c r="E2930" t="s">
        <v>20781</v>
      </c>
      <c r="F2930" t="s">
        <v>31574</v>
      </c>
      <c r="G2930" t="s">
        <v>31581</v>
      </c>
      <c r="H2930" t="s">
        <v>31590</v>
      </c>
      <c r="I2930" t="s">
        <v>8258</v>
      </c>
      <c r="J2930" t="s">
        <v>33717</v>
      </c>
      <c r="K2930" t="s">
        <v>41190</v>
      </c>
      <c r="M2930" t="s">
        <v>42622</v>
      </c>
      <c r="N2930" t="s">
        <v>45095</v>
      </c>
      <c r="O2930" t="s">
        <v>45096</v>
      </c>
      <c r="P2930">
        <v>0</v>
      </c>
      <c r="Q2930">
        <v>0</v>
      </c>
      <c r="R2930" t="s">
        <v>45098</v>
      </c>
      <c r="S2930" t="s">
        <v>45223</v>
      </c>
      <c r="T2930" t="s">
        <v>46936</v>
      </c>
      <c r="U2930" t="s">
        <v>49965</v>
      </c>
      <c r="W2930" t="s">
        <v>42622</v>
      </c>
      <c r="X2930" t="s">
        <v>45100</v>
      </c>
    </row>
    <row r="2931" spans="1:24">
      <c r="A2931">
        <f>HYPERLINK("https://www.philgeps.gov.ph/GEPSNONPILOT/Tender/SplashBidNoticeAbstractUI.aspx?menuIndex=3&amp;refID=7043783&amp;Result=3","7043783")</f>
        <v>0</v>
      </c>
      <c r="B2931" t="s">
        <v>1057</v>
      </c>
      <c r="C2931" t="s">
        <v>5983</v>
      </c>
      <c r="D2931" t="s">
        <v>18088</v>
      </c>
      <c r="E2931" t="s">
        <v>20782</v>
      </c>
      <c r="F2931" t="s">
        <v>31574</v>
      </c>
      <c r="G2931" t="s">
        <v>31582</v>
      </c>
      <c r="H2931" t="s">
        <v>31590</v>
      </c>
      <c r="I2931" t="s">
        <v>3901</v>
      </c>
      <c r="J2931" t="s">
        <v>33718</v>
      </c>
      <c r="K2931" t="s">
        <v>41192</v>
      </c>
      <c r="M2931" t="s">
        <v>42602</v>
      </c>
      <c r="N2931" t="s">
        <v>45095</v>
      </c>
      <c r="O2931" t="s">
        <v>45096</v>
      </c>
      <c r="P2931">
        <v>0</v>
      </c>
      <c r="Q2931">
        <v>1</v>
      </c>
      <c r="R2931" t="s">
        <v>45098</v>
      </c>
      <c r="S2931" t="s">
        <v>45223</v>
      </c>
      <c r="T2931" t="s">
        <v>46927</v>
      </c>
      <c r="U2931" t="s">
        <v>49960</v>
      </c>
      <c r="W2931" t="s">
        <v>42602</v>
      </c>
      <c r="X2931" t="s">
        <v>45100</v>
      </c>
    </row>
    <row r="2932" spans="1:24">
      <c r="A2932">
        <f>HYPERLINK("https://www.philgeps.gov.ph/GEPSNONPILOT/Tender/SplashBidNoticeAbstractUI.aspx?menuIndex=3&amp;refID=7043771&amp;Result=3","7043771")</f>
        <v>0</v>
      </c>
      <c r="B2932" t="s">
        <v>1076</v>
      </c>
      <c r="C2932" t="s">
        <v>5992</v>
      </c>
      <c r="D2932" t="s">
        <v>18040</v>
      </c>
      <c r="E2932" t="s">
        <v>19061</v>
      </c>
      <c r="F2932" t="s">
        <v>31574</v>
      </c>
      <c r="G2932" t="s">
        <v>31582</v>
      </c>
      <c r="H2932" t="s">
        <v>31590</v>
      </c>
      <c r="I2932" t="s">
        <v>4046</v>
      </c>
      <c r="J2932" t="s">
        <v>33719</v>
      </c>
      <c r="K2932" t="s">
        <v>41186</v>
      </c>
      <c r="L2932" t="s">
        <v>1076</v>
      </c>
      <c r="M2932" t="s">
        <v>42623</v>
      </c>
      <c r="N2932" t="s">
        <v>45095</v>
      </c>
      <c r="O2932" t="s">
        <v>45096</v>
      </c>
      <c r="P2932">
        <v>0</v>
      </c>
      <c r="Q2932">
        <v>0</v>
      </c>
      <c r="R2932" t="s">
        <v>45098</v>
      </c>
      <c r="S2932" t="s">
        <v>45223</v>
      </c>
      <c r="T2932" t="s">
        <v>46995</v>
      </c>
      <c r="U2932" t="s">
        <v>49966</v>
      </c>
      <c r="V2932" t="s">
        <v>60130</v>
      </c>
      <c r="W2932" t="s">
        <v>42623</v>
      </c>
      <c r="X2932" t="s">
        <v>45100</v>
      </c>
    </row>
    <row r="2933" spans="1:24">
      <c r="A2933">
        <f>HYPERLINK("https://www.philgeps.gov.ph/GEPSNONPILOT/Tender/SplashBidNoticeAbstractUI.aspx?menuIndex=3&amp;refID=7043822&amp;Result=3","7043822")</f>
        <v>0</v>
      </c>
      <c r="B2933" t="s">
        <v>1041</v>
      </c>
      <c r="C2933" t="s">
        <v>5993</v>
      </c>
      <c r="D2933" t="s">
        <v>18107</v>
      </c>
      <c r="E2933" t="s">
        <v>20783</v>
      </c>
      <c r="F2933" t="s">
        <v>31574</v>
      </c>
      <c r="G2933" t="s">
        <v>31582</v>
      </c>
      <c r="H2933" t="s">
        <v>31591</v>
      </c>
      <c r="I2933" t="s">
        <v>8822</v>
      </c>
      <c r="J2933" t="s">
        <v>33720</v>
      </c>
      <c r="K2933" t="s">
        <v>41287</v>
      </c>
      <c r="M2933" t="s">
        <v>42584</v>
      </c>
      <c r="N2933" t="s">
        <v>45095</v>
      </c>
      <c r="O2933" t="s">
        <v>45096</v>
      </c>
      <c r="P2933">
        <v>0</v>
      </c>
      <c r="Q2933">
        <v>0</v>
      </c>
      <c r="R2933" t="s">
        <v>45098</v>
      </c>
      <c r="S2933" t="s">
        <v>45223</v>
      </c>
      <c r="T2933" t="s">
        <v>46916</v>
      </c>
      <c r="U2933" t="s">
        <v>49967</v>
      </c>
      <c r="W2933" t="s">
        <v>42584</v>
      </c>
      <c r="X2933" t="s">
        <v>45100</v>
      </c>
    </row>
    <row r="2934" spans="1:24">
      <c r="A2934">
        <f>HYPERLINK("https://www.philgeps.gov.ph/GEPSNONPILOT/Tender/SplashBidNoticeAbstractUI.aspx?menuIndex=3&amp;refID=7043811&amp;Result=3","7043811")</f>
        <v>0</v>
      </c>
      <c r="B2934" t="s">
        <v>925</v>
      </c>
      <c r="C2934" t="s">
        <v>5994</v>
      </c>
      <c r="D2934" t="s">
        <v>18050</v>
      </c>
      <c r="E2934" t="s">
        <v>20784</v>
      </c>
      <c r="F2934" t="s">
        <v>31574</v>
      </c>
      <c r="G2934" t="s">
        <v>31581</v>
      </c>
      <c r="H2934" t="s">
        <v>31590</v>
      </c>
      <c r="I2934" t="s">
        <v>3520</v>
      </c>
      <c r="J2934" t="s">
        <v>33721</v>
      </c>
      <c r="K2934" t="s">
        <v>41213</v>
      </c>
      <c r="M2934" t="s">
        <v>42452</v>
      </c>
      <c r="N2934" t="s">
        <v>45095</v>
      </c>
      <c r="O2934" t="s">
        <v>45096</v>
      </c>
      <c r="P2934">
        <v>0</v>
      </c>
      <c r="Q2934">
        <v>0</v>
      </c>
      <c r="R2934" t="s">
        <v>45098</v>
      </c>
      <c r="S2934" t="s">
        <v>45223</v>
      </c>
      <c r="T2934" t="s">
        <v>46963</v>
      </c>
      <c r="U2934" t="s">
        <v>49968</v>
      </c>
      <c r="V2934" t="s">
        <v>60131</v>
      </c>
      <c r="W2934" t="s">
        <v>42452</v>
      </c>
      <c r="X2934" t="s">
        <v>45100</v>
      </c>
    </row>
    <row r="2935" spans="1:24">
      <c r="A2935">
        <f>HYPERLINK("https://www.philgeps.gov.ph/GEPSNONPILOT/Tender/SplashBidNoticeAbstractUI.aspx?menuIndex=3&amp;refID=7043827&amp;Result=3","7043827")</f>
        <v>0</v>
      </c>
      <c r="B2935" t="s">
        <v>485</v>
      </c>
      <c r="C2935" t="s">
        <v>5995</v>
      </c>
      <c r="D2935" t="s">
        <v>18048</v>
      </c>
      <c r="E2935" t="s">
        <v>20785</v>
      </c>
      <c r="F2935" t="s">
        <v>31574</v>
      </c>
      <c r="G2935" t="s">
        <v>31584</v>
      </c>
      <c r="H2935" t="s">
        <v>31590</v>
      </c>
      <c r="I2935" t="s">
        <v>5717</v>
      </c>
      <c r="J2935" t="s">
        <v>33722</v>
      </c>
      <c r="K2935" t="s">
        <v>41190</v>
      </c>
      <c r="M2935" t="s">
        <v>42622</v>
      </c>
      <c r="N2935" t="s">
        <v>45095</v>
      </c>
      <c r="O2935" t="s">
        <v>45096</v>
      </c>
      <c r="P2935">
        <v>0</v>
      </c>
      <c r="Q2935">
        <v>1</v>
      </c>
      <c r="R2935" t="s">
        <v>45098</v>
      </c>
      <c r="S2935" t="s">
        <v>45223</v>
      </c>
      <c r="T2935" t="s">
        <v>46936</v>
      </c>
      <c r="U2935" t="s">
        <v>49969</v>
      </c>
      <c r="W2935" t="s">
        <v>42622</v>
      </c>
      <c r="X2935" t="s">
        <v>45100</v>
      </c>
    </row>
    <row r="2936" spans="1:24">
      <c r="A2936">
        <f>HYPERLINK("https://www.philgeps.gov.ph/GEPSNONPILOT/Tender/SplashBidNoticeAbstractUI.aspx?menuIndex=3&amp;refID=7043805&amp;Result=3","7043805")</f>
        <v>0</v>
      </c>
      <c r="B2936" t="s">
        <v>1077</v>
      </c>
      <c r="C2936" t="s">
        <v>5996</v>
      </c>
      <c r="D2936" t="s">
        <v>18027</v>
      </c>
      <c r="E2936" t="s">
        <v>20786</v>
      </c>
      <c r="F2936" t="s">
        <v>31574</v>
      </c>
      <c r="G2936" t="s">
        <v>31582</v>
      </c>
      <c r="H2936" t="s">
        <v>31590</v>
      </c>
      <c r="I2936" t="s">
        <v>31676</v>
      </c>
      <c r="J2936" t="s">
        <v>33723</v>
      </c>
      <c r="K2936" t="s">
        <v>41196</v>
      </c>
      <c r="M2936" t="s">
        <v>42624</v>
      </c>
      <c r="N2936" t="s">
        <v>45095</v>
      </c>
      <c r="O2936" t="s">
        <v>45096</v>
      </c>
      <c r="P2936">
        <v>0</v>
      </c>
      <c r="Q2936">
        <v>1</v>
      </c>
      <c r="R2936" t="s">
        <v>45098</v>
      </c>
      <c r="S2936" t="s">
        <v>45223</v>
      </c>
      <c r="T2936" t="s">
        <v>47144</v>
      </c>
      <c r="U2936" t="s">
        <v>49970</v>
      </c>
      <c r="W2936" t="s">
        <v>42624</v>
      </c>
      <c r="X2936" t="s">
        <v>45100</v>
      </c>
    </row>
    <row r="2937" spans="1:24">
      <c r="A2937">
        <f>HYPERLINK("https://www.philgeps.gov.ph/GEPSNONPILOT/Tender/SplashBidNoticeAbstractUI.aspx?menuIndex=3&amp;refID=7043826&amp;Result=3","7043826")</f>
        <v>0</v>
      </c>
      <c r="B2937" t="s">
        <v>1041</v>
      </c>
      <c r="C2937" t="s">
        <v>5997</v>
      </c>
      <c r="D2937" t="s">
        <v>18107</v>
      </c>
      <c r="E2937" t="s">
        <v>20787</v>
      </c>
      <c r="F2937" t="s">
        <v>31574</v>
      </c>
      <c r="G2937" t="s">
        <v>31582</v>
      </c>
      <c r="H2937" t="s">
        <v>31591</v>
      </c>
      <c r="I2937" t="s">
        <v>8822</v>
      </c>
      <c r="J2937" t="s">
        <v>33724</v>
      </c>
      <c r="K2937" t="s">
        <v>41228</v>
      </c>
      <c r="M2937" t="s">
        <v>42584</v>
      </c>
      <c r="N2937" t="s">
        <v>45095</v>
      </c>
      <c r="O2937" t="s">
        <v>45096</v>
      </c>
      <c r="P2937">
        <v>0</v>
      </c>
      <c r="Q2937">
        <v>0</v>
      </c>
      <c r="R2937" t="s">
        <v>45098</v>
      </c>
      <c r="S2937" t="s">
        <v>45223</v>
      </c>
      <c r="T2937" t="s">
        <v>46916</v>
      </c>
      <c r="U2937" t="s">
        <v>49971</v>
      </c>
      <c r="W2937" t="s">
        <v>42584</v>
      </c>
      <c r="X2937" t="s">
        <v>45100</v>
      </c>
    </row>
    <row r="2938" spans="1:24">
      <c r="A2938">
        <f>HYPERLINK("https://www.philgeps.gov.ph/GEPSNONPILOT/Tender/SplashBidNoticeAbstractUI.aspx?menuIndex=3&amp;refID=7043779&amp;Result=3","7043779")</f>
        <v>0</v>
      </c>
      <c r="B2938" t="s">
        <v>1057</v>
      </c>
      <c r="C2938" t="s">
        <v>5998</v>
      </c>
      <c r="D2938" t="s">
        <v>18099</v>
      </c>
      <c r="E2938" t="s">
        <v>20788</v>
      </c>
      <c r="F2938" t="s">
        <v>31574</v>
      </c>
      <c r="G2938" t="s">
        <v>31582</v>
      </c>
      <c r="H2938" t="s">
        <v>31590</v>
      </c>
      <c r="I2938" t="s">
        <v>3901</v>
      </c>
      <c r="J2938" t="s">
        <v>33725</v>
      </c>
      <c r="K2938" t="s">
        <v>41192</v>
      </c>
      <c r="M2938" t="s">
        <v>42602</v>
      </c>
      <c r="N2938" t="s">
        <v>45095</v>
      </c>
      <c r="O2938" t="s">
        <v>45096</v>
      </c>
      <c r="P2938">
        <v>0</v>
      </c>
      <c r="Q2938">
        <v>0</v>
      </c>
      <c r="R2938" t="s">
        <v>45098</v>
      </c>
      <c r="S2938" t="s">
        <v>45223</v>
      </c>
      <c r="T2938" t="s">
        <v>46927</v>
      </c>
      <c r="U2938" t="s">
        <v>49922</v>
      </c>
      <c r="W2938" t="s">
        <v>42602</v>
      </c>
      <c r="X2938" t="s">
        <v>45100</v>
      </c>
    </row>
    <row r="2939" spans="1:24">
      <c r="A2939">
        <f>HYPERLINK("https://www.philgeps.gov.ph/GEPSNONPILOT/Tender/SplashBidNoticeAbstractUI.aspx?menuIndex=3&amp;refID=7043781&amp;Result=3","7043781")</f>
        <v>0</v>
      </c>
      <c r="B2939" t="s">
        <v>1057</v>
      </c>
      <c r="C2939" t="s">
        <v>5999</v>
      </c>
      <c r="D2939" t="s">
        <v>18088</v>
      </c>
      <c r="E2939" t="s">
        <v>20789</v>
      </c>
      <c r="F2939" t="s">
        <v>31574</v>
      </c>
      <c r="G2939" t="s">
        <v>31582</v>
      </c>
      <c r="H2939" t="s">
        <v>31590</v>
      </c>
      <c r="I2939" t="s">
        <v>3901</v>
      </c>
      <c r="J2939" t="s">
        <v>33726</v>
      </c>
      <c r="K2939" t="s">
        <v>41192</v>
      </c>
      <c r="M2939" t="s">
        <v>42602</v>
      </c>
      <c r="N2939" t="s">
        <v>45095</v>
      </c>
      <c r="O2939" t="s">
        <v>45096</v>
      </c>
      <c r="P2939">
        <v>0</v>
      </c>
      <c r="Q2939">
        <v>2</v>
      </c>
      <c r="R2939" t="s">
        <v>45098</v>
      </c>
      <c r="S2939" t="s">
        <v>45223</v>
      </c>
      <c r="T2939" t="s">
        <v>46927</v>
      </c>
      <c r="U2939" t="s">
        <v>49962</v>
      </c>
      <c r="W2939" t="s">
        <v>42602</v>
      </c>
      <c r="X2939" t="s">
        <v>45100</v>
      </c>
    </row>
    <row r="2940" spans="1:24">
      <c r="A2940">
        <f>HYPERLINK("https://www.philgeps.gov.ph/GEPSNONPILOT/Tender/SplashBidNoticeAbstractUI.aspx?menuIndex=3&amp;refID=7043832&amp;Result=3","7043832")</f>
        <v>0</v>
      </c>
      <c r="B2940" t="s">
        <v>419</v>
      </c>
      <c r="C2940" t="s">
        <v>6000</v>
      </c>
      <c r="D2940" t="s">
        <v>18029</v>
      </c>
      <c r="E2940" t="s">
        <v>20790</v>
      </c>
      <c r="F2940" t="s">
        <v>31574</v>
      </c>
      <c r="G2940" t="s">
        <v>31582</v>
      </c>
      <c r="H2940" t="s">
        <v>31591</v>
      </c>
      <c r="I2940" t="s">
        <v>8822</v>
      </c>
      <c r="J2940" t="s">
        <v>31730</v>
      </c>
      <c r="K2940" t="s">
        <v>41203</v>
      </c>
      <c r="M2940" t="s">
        <v>41911</v>
      </c>
      <c r="N2940" t="s">
        <v>45095</v>
      </c>
      <c r="O2940" t="s">
        <v>45096</v>
      </c>
      <c r="P2940">
        <v>0</v>
      </c>
      <c r="Q2940">
        <v>0</v>
      </c>
      <c r="R2940" t="s">
        <v>45098</v>
      </c>
      <c r="S2940" t="s">
        <v>45223</v>
      </c>
      <c r="T2940" t="s">
        <v>46916</v>
      </c>
      <c r="U2940" t="s">
        <v>49972</v>
      </c>
      <c r="W2940" t="s">
        <v>41911</v>
      </c>
      <c r="X2940" t="s">
        <v>45100</v>
      </c>
    </row>
    <row r="2941" spans="1:24">
      <c r="A2941">
        <f>HYPERLINK("https://www.philgeps.gov.ph/GEPSNONPILOT/Tender/SplashBidNoticeAbstractUI.aspx?menuIndex=3&amp;refID=7043852&amp;Result=3","7043852")</f>
        <v>0</v>
      </c>
      <c r="B2941" t="s">
        <v>925</v>
      </c>
      <c r="C2941" t="s">
        <v>6001</v>
      </c>
      <c r="D2941" t="s">
        <v>18050</v>
      </c>
      <c r="E2941" t="s">
        <v>20258</v>
      </c>
      <c r="F2941" t="s">
        <v>31574</v>
      </c>
      <c r="G2941" t="s">
        <v>31581</v>
      </c>
      <c r="H2941" t="s">
        <v>31590</v>
      </c>
      <c r="I2941" t="s">
        <v>3520</v>
      </c>
      <c r="J2941" t="s">
        <v>33727</v>
      </c>
      <c r="K2941" t="s">
        <v>41213</v>
      </c>
      <c r="M2941" t="s">
        <v>42452</v>
      </c>
      <c r="N2941" t="s">
        <v>45095</v>
      </c>
      <c r="O2941" t="s">
        <v>45096</v>
      </c>
      <c r="P2941">
        <v>0</v>
      </c>
      <c r="Q2941">
        <v>0</v>
      </c>
      <c r="R2941" t="s">
        <v>45098</v>
      </c>
      <c r="S2941" t="s">
        <v>45223</v>
      </c>
      <c r="T2941" t="s">
        <v>47021</v>
      </c>
      <c r="U2941" t="s">
        <v>49973</v>
      </c>
      <c r="V2941" t="s">
        <v>60132</v>
      </c>
      <c r="W2941" t="s">
        <v>42452</v>
      </c>
      <c r="X2941" t="s">
        <v>45100</v>
      </c>
    </row>
    <row r="2942" spans="1:24">
      <c r="A2942">
        <f>HYPERLINK("https://www.philgeps.gov.ph/GEPSNONPILOT/Tender/SplashBidNoticeAbstractUI.aspx?menuIndex=3&amp;refID=7043833&amp;Result=3","7043833")</f>
        <v>0</v>
      </c>
      <c r="B2942" t="s">
        <v>1041</v>
      </c>
      <c r="C2942" t="s">
        <v>6002</v>
      </c>
      <c r="D2942" t="s">
        <v>18107</v>
      </c>
      <c r="E2942" t="s">
        <v>20791</v>
      </c>
      <c r="F2942" t="s">
        <v>31574</v>
      </c>
      <c r="G2942" t="s">
        <v>31582</v>
      </c>
      <c r="H2942" t="s">
        <v>31591</v>
      </c>
      <c r="I2942" t="s">
        <v>8822</v>
      </c>
      <c r="J2942" t="s">
        <v>33728</v>
      </c>
      <c r="K2942" t="s">
        <v>41186</v>
      </c>
      <c r="M2942" t="s">
        <v>42584</v>
      </c>
      <c r="N2942" t="s">
        <v>45095</v>
      </c>
      <c r="O2942" t="s">
        <v>45096</v>
      </c>
      <c r="P2942">
        <v>0</v>
      </c>
      <c r="Q2942">
        <v>0</v>
      </c>
      <c r="R2942" t="s">
        <v>45098</v>
      </c>
      <c r="S2942" t="s">
        <v>45223</v>
      </c>
      <c r="T2942" t="s">
        <v>46916</v>
      </c>
      <c r="U2942" t="s">
        <v>49974</v>
      </c>
      <c r="W2942" t="s">
        <v>42584</v>
      </c>
      <c r="X2942" t="s">
        <v>45100</v>
      </c>
    </row>
    <row r="2943" spans="1:24">
      <c r="A2943">
        <f>HYPERLINK("https://www.philgeps.gov.ph/GEPSNONPILOT/Tender/SplashBidNoticeAbstractUI.aspx?menuIndex=3&amp;refID=7043844&amp;Result=3","7043844")</f>
        <v>0</v>
      </c>
      <c r="B2943" t="s">
        <v>419</v>
      </c>
      <c r="C2943" t="s">
        <v>6003</v>
      </c>
      <c r="D2943" t="s">
        <v>18029</v>
      </c>
      <c r="E2943" t="s">
        <v>20792</v>
      </c>
      <c r="F2943" t="s">
        <v>31574</v>
      </c>
      <c r="G2943" t="s">
        <v>31582</v>
      </c>
      <c r="H2943" t="s">
        <v>31591</v>
      </c>
      <c r="I2943" t="s">
        <v>8822</v>
      </c>
      <c r="J2943" t="s">
        <v>31730</v>
      </c>
      <c r="K2943" t="s">
        <v>41192</v>
      </c>
      <c r="M2943" t="s">
        <v>41911</v>
      </c>
      <c r="N2943" t="s">
        <v>45095</v>
      </c>
      <c r="O2943" t="s">
        <v>45096</v>
      </c>
      <c r="P2943">
        <v>0</v>
      </c>
      <c r="Q2943">
        <v>0</v>
      </c>
      <c r="R2943" t="s">
        <v>45098</v>
      </c>
      <c r="S2943" t="s">
        <v>45223</v>
      </c>
      <c r="T2943" t="s">
        <v>46916</v>
      </c>
      <c r="U2943" t="s">
        <v>49975</v>
      </c>
      <c r="W2943" t="s">
        <v>41911</v>
      </c>
      <c r="X2943" t="s">
        <v>45100</v>
      </c>
    </row>
    <row r="2944" spans="1:24">
      <c r="A2944">
        <f>HYPERLINK("https://www.philgeps.gov.ph/GEPSNONPILOT/Tender/SplashBidNoticeAbstractUI.aspx?menuIndex=3&amp;refID=7043842&amp;Result=3","7043842")</f>
        <v>0</v>
      </c>
      <c r="B2944" t="s">
        <v>419</v>
      </c>
      <c r="C2944" t="s">
        <v>6004</v>
      </c>
      <c r="D2944" t="s">
        <v>18029</v>
      </c>
      <c r="E2944" t="s">
        <v>20793</v>
      </c>
      <c r="F2944" t="s">
        <v>31574</v>
      </c>
      <c r="G2944" t="s">
        <v>31582</v>
      </c>
      <c r="H2944" t="s">
        <v>31591</v>
      </c>
      <c r="I2944" t="s">
        <v>8822</v>
      </c>
      <c r="J2944" t="s">
        <v>31730</v>
      </c>
      <c r="K2944" t="s">
        <v>41185</v>
      </c>
      <c r="M2944" t="s">
        <v>41911</v>
      </c>
      <c r="N2944" t="s">
        <v>45095</v>
      </c>
      <c r="O2944" t="s">
        <v>45096</v>
      </c>
      <c r="P2944">
        <v>0</v>
      </c>
      <c r="Q2944">
        <v>0</v>
      </c>
      <c r="R2944" t="s">
        <v>45098</v>
      </c>
      <c r="S2944" t="s">
        <v>45223</v>
      </c>
      <c r="T2944" t="s">
        <v>46916</v>
      </c>
      <c r="U2944" t="s">
        <v>49976</v>
      </c>
      <c r="W2944" t="s">
        <v>41911</v>
      </c>
      <c r="X2944" t="s">
        <v>45100</v>
      </c>
    </row>
    <row r="2945" spans="1:24">
      <c r="A2945">
        <f>HYPERLINK("https://www.philgeps.gov.ph/GEPSNONPILOT/Tender/SplashBidNoticeAbstractUI.aspx?menuIndex=3&amp;refID=7043848&amp;Result=3","7043848")</f>
        <v>0</v>
      </c>
      <c r="B2945" t="s">
        <v>1078</v>
      </c>
      <c r="C2945" t="s">
        <v>6005</v>
      </c>
      <c r="E2945" t="s">
        <v>20794</v>
      </c>
      <c r="F2945" t="s">
        <v>31575</v>
      </c>
      <c r="G2945" t="s">
        <v>31581</v>
      </c>
      <c r="H2945" t="s">
        <v>31590</v>
      </c>
      <c r="I2945" t="s">
        <v>4327</v>
      </c>
      <c r="J2945" t="s">
        <v>32366</v>
      </c>
      <c r="K2945" t="s">
        <v>41213</v>
      </c>
      <c r="M2945" t="s">
        <v>42625</v>
      </c>
      <c r="N2945" t="s">
        <v>45095</v>
      </c>
      <c r="O2945" t="s">
        <v>45096</v>
      </c>
      <c r="P2945">
        <v>0</v>
      </c>
      <c r="Q2945">
        <v>2</v>
      </c>
      <c r="R2945" t="s">
        <v>45098</v>
      </c>
      <c r="S2945" t="s">
        <v>45223</v>
      </c>
      <c r="T2945" t="s">
        <v>46952</v>
      </c>
      <c r="U2945" t="s">
        <v>49977</v>
      </c>
      <c r="W2945" t="s">
        <v>42625</v>
      </c>
      <c r="X2945" t="s">
        <v>45100</v>
      </c>
    </row>
    <row r="2946" spans="1:24">
      <c r="A2946">
        <f>HYPERLINK("https://www.philgeps.gov.ph/GEPSNONPILOT/Tender/SplashBidNoticeAbstractUI.aspx?menuIndex=3&amp;refID=7043835&amp;Result=3","7043835")</f>
        <v>0</v>
      </c>
      <c r="B2946" t="s">
        <v>1041</v>
      </c>
      <c r="C2946" t="s">
        <v>6006</v>
      </c>
      <c r="D2946" t="s">
        <v>18107</v>
      </c>
      <c r="E2946" t="s">
        <v>20795</v>
      </c>
      <c r="F2946" t="s">
        <v>31574</v>
      </c>
      <c r="G2946" t="s">
        <v>31582</v>
      </c>
      <c r="H2946" t="s">
        <v>31591</v>
      </c>
      <c r="I2946" t="s">
        <v>8822</v>
      </c>
      <c r="J2946" t="s">
        <v>33729</v>
      </c>
      <c r="K2946" t="s">
        <v>41200</v>
      </c>
      <c r="M2946" t="s">
        <v>42584</v>
      </c>
      <c r="N2946" t="s">
        <v>45095</v>
      </c>
      <c r="O2946" t="s">
        <v>45096</v>
      </c>
      <c r="P2946">
        <v>0</v>
      </c>
      <c r="Q2946">
        <v>0</v>
      </c>
      <c r="R2946" t="s">
        <v>45098</v>
      </c>
      <c r="S2946" t="s">
        <v>45223</v>
      </c>
      <c r="T2946" t="s">
        <v>46916</v>
      </c>
      <c r="U2946" t="s">
        <v>49978</v>
      </c>
      <c r="W2946" t="s">
        <v>42584</v>
      </c>
      <c r="X2946" t="s">
        <v>45100</v>
      </c>
    </row>
    <row r="2947" spans="1:24">
      <c r="A2947">
        <f>HYPERLINK("https://www.philgeps.gov.ph/GEPSNONPILOT/Tender/SplashBidNoticeAbstractUI.aspx?menuIndex=3&amp;refID=7043843&amp;Result=3","7043843")</f>
        <v>0</v>
      </c>
      <c r="B2947" t="s">
        <v>1041</v>
      </c>
      <c r="C2947" t="s">
        <v>6007</v>
      </c>
      <c r="D2947" t="s">
        <v>18107</v>
      </c>
      <c r="E2947" t="s">
        <v>20796</v>
      </c>
      <c r="F2947" t="s">
        <v>31574</v>
      </c>
      <c r="G2947" t="s">
        <v>31582</v>
      </c>
      <c r="H2947" t="s">
        <v>31591</v>
      </c>
      <c r="I2947" t="s">
        <v>8822</v>
      </c>
      <c r="J2947" t="s">
        <v>33730</v>
      </c>
      <c r="K2947" t="s">
        <v>41192</v>
      </c>
      <c r="M2947" t="s">
        <v>42584</v>
      </c>
      <c r="N2947" t="s">
        <v>45095</v>
      </c>
      <c r="O2947" t="s">
        <v>45096</v>
      </c>
      <c r="P2947">
        <v>0</v>
      </c>
      <c r="Q2947">
        <v>0</v>
      </c>
      <c r="R2947" t="s">
        <v>45098</v>
      </c>
      <c r="S2947" t="s">
        <v>45223</v>
      </c>
      <c r="T2947" t="s">
        <v>46916</v>
      </c>
      <c r="U2947" t="s">
        <v>49979</v>
      </c>
      <c r="W2947" t="s">
        <v>42584</v>
      </c>
      <c r="X2947" t="s">
        <v>45100</v>
      </c>
    </row>
    <row r="2948" spans="1:24">
      <c r="A2948">
        <f>HYPERLINK("https://www.philgeps.gov.ph/GEPSNONPILOT/Tender/SplashBidNoticeAbstractUI.aspx?menuIndex=3&amp;refID=7043874&amp;Result=3","7043874")</f>
        <v>0</v>
      </c>
      <c r="B2948" t="s">
        <v>1079</v>
      </c>
      <c r="C2948" t="s">
        <v>6008</v>
      </c>
      <c r="D2948" t="s">
        <v>18063</v>
      </c>
      <c r="E2948" t="s">
        <v>20797</v>
      </c>
      <c r="F2948" t="s">
        <v>31574</v>
      </c>
      <c r="G2948" t="s">
        <v>31581</v>
      </c>
      <c r="H2948" t="s">
        <v>31590</v>
      </c>
      <c r="I2948" t="s">
        <v>4327</v>
      </c>
      <c r="J2948" t="s">
        <v>33731</v>
      </c>
      <c r="K2948" t="s">
        <v>41193</v>
      </c>
      <c r="M2948" t="s">
        <v>42626</v>
      </c>
      <c r="N2948" t="s">
        <v>45095</v>
      </c>
      <c r="O2948" t="s">
        <v>45096</v>
      </c>
      <c r="P2948">
        <v>0</v>
      </c>
      <c r="Q2948">
        <v>1</v>
      </c>
      <c r="R2948" t="s">
        <v>45098</v>
      </c>
      <c r="S2948" t="s">
        <v>45223</v>
      </c>
      <c r="T2948" t="s">
        <v>46957</v>
      </c>
      <c r="U2948" t="s">
        <v>49980</v>
      </c>
      <c r="V2948" t="s">
        <v>60133</v>
      </c>
      <c r="W2948" t="s">
        <v>42626</v>
      </c>
      <c r="X2948" t="s">
        <v>45100</v>
      </c>
    </row>
    <row r="2949" spans="1:24">
      <c r="A2949">
        <f>HYPERLINK("https://www.philgeps.gov.ph/GEPSNONPILOT/Tender/SplashBidNoticeAbstractUI.aspx?menuIndex=3&amp;refID=7043846&amp;Result=3","7043846")</f>
        <v>0</v>
      </c>
      <c r="B2949" t="s">
        <v>419</v>
      </c>
      <c r="C2949" t="s">
        <v>6009</v>
      </c>
      <c r="D2949" t="s">
        <v>18029</v>
      </c>
      <c r="E2949" t="s">
        <v>20798</v>
      </c>
      <c r="F2949" t="s">
        <v>31574</v>
      </c>
      <c r="G2949" t="s">
        <v>31582</v>
      </c>
      <c r="H2949" t="s">
        <v>31591</v>
      </c>
      <c r="I2949" t="s">
        <v>8822</v>
      </c>
      <c r="J2949" t="s">
        <v>33193</v>
      </c>
      <c r="K2949" t="s">
        <v>41203</v>
      </c>
      <c r="M2949" t="s">
        <v>41911</v>
      </c>
      <c r="N2949" t="s">
        <v>45095</v>
      </c>
      <c r="O2949" t="s">
        <v>45096</v>
      </c>
      <c r="P2949">
        <v>0</v>
      </c>
      <c r="Q2949">
        <v>0</v>
      </c>
      <c r="R2949" t="s">
        <v>45098</v>
      </c>
      <c r="S2949" t="s">
        <v>45223</v>
      </c>
      <c r="T2949" t="s">
        <v>46916</v>
      </c>
      <c r="U2949" t="s">
        <v>49981</v>
      </c>
      <c r="W2949" t="s">
        <v>41911</v>
      </c>
      <c r="X2949" t="s">
        <v>45100</v>
      </c>
    </row>
    <row r="2950" spans="1:24">
      <c r="A2950">
        <f>HYPERLINK("https://www.philgeps.gov.ph/GEPSNONPILOT/Tender/SplashBidNoticeAbstractUI.aspx?menuIndex=3&amp;refID=7043872&amp;Result=3","7043872")</f>
        <v>0</v>
      </c>
      <c r="B2950" t="s">
        <v>1080</v>
      </c>
      <c r="C2950" t="s">
        <v>6010</v>
      </c>
      <c r="D2950" t="s">
        <v>18058</v>
      </c>
      <c r="E2950" t="s">
        <v>20799</v>
      </c>
      <c r="F2950" t="s">
        <v>31574</v>
      </c>
      <c r="G2950" t="s">
        <v>31585</v>
      </c>
      <c r="H2950" t="s">
        <v>31590</v>
      </c>
      <c r="I2950" t="s">
        <v>5717</v>
      </c>
      <c r="J2950" t="s">
        <v>33732</v>
      </c>
      <c r="K2950" t="s">
        <v>41196</v>
      </c>
      <c r="M2950" t="s">
        <v>42627</v>
      </c>
      <c r="N2950" t="s">
        <v>45095</v>
      </c>
      <c r="O2950" t="s">
        <v>45096</v>
      </c>
      <c r="P2950">
        <v>0</v>
      </c>
      <c r="Q2950">
        <v>2</v>
      </c>
      <c r="R2950" t="s">
        <v>45098</v>
      </c>
      <c r="S2950" t="s">
        <v>45223</v>
      </c>
      <c r="T2950" t="s">
        <v>47017</v>
      </c>
      <c r="U2950" t="s">
        <v>49982</v>
      </c>
      <c r="V2950" t="s">
        <v>60134</v>
      </c>
      <c r="W2950" t="s">
        <v>42627</v>
      </c>
      <c r="X2950" t="s">
        <v>45100</v>
      </c>
    </row>
    <row r="2951" spans="1:24">
      <c r="A2951">
        <f>HYPERLINK("https://www.philgeps.gov.ph/GEPSNONPILOT/Tender/SplashBidNoticeAbstractUI.aspx?menuIndex=3&amp;refID=7043871&amp;Result=3","7043871")</f>
        <v>0</v>
      </c>
      <c r="B2951" t="s">
        <v>1081</v>
      </c>
      <c r="C2951" t="s">
        <v>6011</v>
      </c>
      <c r="D2951" t="s">
        <v>18036</v>
      </c>
      <c r="E2951" t="s">
        <v>20800</v>
      </c>
      <c r="F2951" t="s">
        <v>31574</v>
      </c>
      <c r="G2951" t="s">
        <v>31581</v>
      </c>
      <c r="H2951" t="s">
        <v>31590</v>
      </c>
      <c r="I2951" t="s">
        <v>14544</v>
      </c>
      <c r="J2951" t="s">
        <v>33733</v>
      </c>
      <c r="K2951" t="s">
        <v>41193</v>
      </c>
      <c r="M2951" t="s">
        <v>42628</v>
      </c>
      <c r="N2951" t="s">
        <v>45095</v>
      </c>
      <c r="O2951" t="s">
        <v>45096</v>
      </c>
      <c r="P2951">
        <v>0</v>
      </c>
      <c r="Q2951">
        <v>0</v>
      </c>
      <c r="R2951" t="s">
        <v>45098</v>
      </c>
      <c r="S2951" t="s">
        <v>45223</v>
      </c>
      <c r="T2951" t="s">
        <v>46982</v>
      </c>
      <c r="U2951" t="s">
        <v>49983</v>
      </c>
      <c r="W2951" t="s">
        <v>42628</v>
      </c>
      <c r="X2951" t="s">
        <v>45100</v>
      </c>
    </row>
    <row r="2952" spans="1:24">
      <c r="A2952">
        <f>HYPERLINK("https://www.philgeps.gov.ph/GEPSNONPILOT/Tender/SplashBidNoticeAbstractUI.aspx?menuIndex=3&amp;refID=7043847&amp;Result=3","7043847")</f>
        <v>0</v>
      </c>
      <c r="B2952" t="s">
        <v>540</v>
      </c>
      <c r="C2952" t="s">
        <v>6012</v>
      </c>
      <c r="D2952" t="s">
        <v>18022</v>
      </c>
      <c r="E2952" t="s">
        <v>20801</v>
      </c>
      <c r="F2952" t="s">
        <v>31574</v>
      </c>
      <c r="G2952" t="s">
        <v>31582</v>
      </c>
      <c r="H2952" t="s">
        <v>31590</v>
      </c>
      <c r="I2952" t="s">
        <v>31608</v>
      </c>
      <c r="J2952" t="s">
        <v>33734</v>
      </c>
      <c r="K2952" t="s">
        <v>41210</v>
      </c>
      <c r="M2952" t="s">
        <v>42629</v>
      </c>
      <c r="N2952" t="s">
        <v>45095</v>
      </c>
      <c r="O2952" t="s">
        <v>45096</v>
      </c>
      <c r="P2952">
        <v>0</v>
      </c>
      <c r="Q2952">
        <v>3</v>
      </c>
      <c r="R2952" t="s">
        <v>45098</v>
      </c>
      <c r="S2952" t="s">
        <v>45223</v>
      </c>
      <c r="T2952" t="s">
        <v>47145</v>
      </c>
      <c r="U2952" t="s">
        <v>49984</v>
      </c>
      <c r="V2952" t="s">
        <v>60135</v>
      </c>
      <c r="W2952" t="s">
        <v>42629</v>
      </c>
      <c r="X2952" t="s">
        <v>45100</v>
      </c>
    </row>
    <row r="2953" spans="1:24">
      <c r="A2953">
        <f>HYPERLINK("https://www.philgeps.gov.ph/GEPSNONPILOT/Tender/SplashBidNoticeAbstractUI.aspx?menuIndex=3&amp;refID=7043836&amp;Result=3","7043836")</f>
        <v>0</v>
      </c>
      <c r="B2953" t="s">
        <v>419</v>
      </c>
      <c r="C2953" t="s">
        <v>6013</v>
      </c>
      <c r="D2953" t="s">
        <v>18029</v>
      </c>
      <c r="E2953" t="s">
        <v>20802</v>
      </c>
      <c r="F2953" t="s">
        <v>31574</v>
      </c>
      <c r="G2953" t="s">
        <v>31582</v>
      </c>
      <c r="H2953" t="s">
        <v>31591</v>
      </c>
      <c r="I2953" t="s">
        <v>8822</v>
      </c>
      <c r="J2953" t="s">
        <v>31730</v>
      </c>
      <c r="K2953" t="s">
        <v>41203</v>
      </c>
      <c r="M2953" t="s">
        <v>41911</v>
      </c>
      <c r="N2953" t="s">
        <v>45095</v>
      </c>
      <c r="O2953" t="s">
        <v>45096</v>
      </c>
      <c r="P2953">
        <v>0</v>
      </c>
      <c r="Q2953">
        <v>0</v>
      </c>
      <c r="R2953" t="s">
        <v>45098</v>
      </c>
      <c r="S2953" t="s">
        <v>45223</v>
      </c>
      <c r="T2953" t="s">
        <v>46916</v>
      </c>
      <c r="U2953" t="s">
        <v>49985</v>
      </c>
      <c r="W2953" t="s">
        <v>41911</v>
      </c>
      <c r="X2953" t="s">
        <v>45100</v>
      </c>
    </row>
    <row r="2954" spans="1:24">
      <c r="A2954">
        <f>HYPERLINK("https://www.philgeps.gov.ph/GEPSNONPILOT/Tender/SplashBidNoticeAbstractUI.aspx?menuIndex=3&amp;refID=7043839&amp;Result=3","7043839")</f>
        <v>0</v>
      </c>
      <c r="B2954" t="s">
        <v>1041</v>
      </c>
      <c r="C2954" t="s">
        <v>6014</v>
      </c>
      <c r="D2954" t="s">
        <v>18107</v>
      </c>
      <c r="E2954" t="s">
        <v>20803</v>
      </c>
      <c r="F2954" t="s">
        <v>31574</v>
      </c>
      <c r="G2954" t="s">
        <v>31582</v>
      </c>
      <c r="H2954" t="s">
        <v>31591</v>
      </c>
      <c r="I2954" t="s">
        <v>8822</v>
      </c>
      <c r="J2954" t="s">
        <v>33735</v>
      </c>
      <c r="K2954" t="s">
        <v>41196</v>
      </c>
      <c r="M2954" t="s">
        <v>42584</v>
      </c>
      <c r="N2954" t="s">
        <v>45095</v>
      </c>
      <c r="O2954" t="s">
        <v>45096</v>
      </c>
      <c r="P2954">
        <v>0</v>
      </c>
      <c r="Q2954">
        <v>0</v>
      </c>
      <c r="R2954" t="s">
        <v>45098</v>
      </c>
      <c r="S2954" t="s">
        <v>45223</v>
      </c>
      <c r="T2954" t="s">
        <v>46916</v>
      </c>
      <c r="U2954" t="s">
        <v>49986</v>
      </c>
      <c r="W2954" t="s">
        <v>42584</v>
      </c>
      <c r="X2954" t="s">
        <v>45100</v>
      </c>
    </row>
    <row r="2955" spans="1:24">
      <c r="A2955">
        <f>HYPERLINK("https://www.philgeps.gov.ph/GEPSNONPILOT/Tender/SplashBidNoticeAbstractUI.aspx?menuIndex=3&amp;refID=7043876&amp;Result=3","7043876")</f>
        <v>0</v>
      </c>
      <c r="B2955" t="s">
        <v>1082</v>
      </c>
      <c r="C2955" t="s">
        <v>6015</v>
      </c>
      <c r="D2955" t="s">
        <v>18041</v>
      </c>
      <c r="E2955" t="s">
        <v>20804</v>
      </c>
      <c r="F2955" t="s">
        <v>31574</v>
      </c>
      <c r="G2955" t="s">
        <v>31581</v>
      </c>
      <c r="H2955" t="s">
        <v>31590</v>
      </c>
      <c r="I2955" t="s">
        <v>6800</v>
      </c>
      <c r="J2955" t="s">
        <v>33736</v>
      </c>
      <c r="K2955" t="s">
        <v>41193</v>
      </c>
      <c r="M2955" t="s">
        <v>42630</v>
      </c>
      <c r="N2955" t="s">
        <v>45095</v>
      </c>
      <c r="O2955" t="s">
        <v>45096</v>
      </c>
      <c r="P2955">
        <v>0</v>
      </c>
      <c r="Q2955">
        <v>0</v>
      </c>
      <c r="R2955" t="s">
        <v>45098</v>
      </c>
      <c r="S2955" t="s">
        <v>45223</v>
      </c>
      <c r="T2955" t="s">
        <v>46936</v>
      </c>
      <c r="U2955" t="s">
        <v>49987</v>
      </c>
      <c r="W2955" t="s">
        <v>42630</v>
      </c>
      <c r="X2955" t="s">
        <v>45100</v>
      </c>
    </row>
    <row r="2956" spans="1:24">
      <c r="A2956">
        <f>HYPERLINK("https://www.philgeps.gov.ph/GEPSNONPILOT/Tender/SplashBidNoticeAbstractUI.aspx?menuIndex=3&amp;refID=7043860&amp;Result=3","7043860")</f>
        <v>0</v>
      </c>
      <c r="B2956" t="s">
        <v>1064</v>
      </c>
      <c r="C2956" t="s">
        <v>5949</v>
      </c>
      <c r="E2956" t="s">
        <v>20738</v>
      </c>
      <c r="F2956" t="s">
        <v>31574</v>
      </c>
      <c r="G2956" t="s">
        <v>31581</v>
      </c>
      <c r="H2956" t="s">
        <v>31590</v>
      </c>
      <c r="I2956" t="s">
        <v>5717</v>
      </c>
      <c r="J2956" t="s">
        <v>33737</v>
      </c>
      <c r="K2956" t="s">
        <v>41184</v>
      </c>
      <c r="M2956" t="s">
        <v>42609</v>
      </c>
      <c r="N2956" t="s">
        <v>45095</v>
      </c>
      <c r="O2956" t="s">
        <v>45096</v>
      </c>
      <c r="P2956">
        <v>0</v>
      </c>
      <c r="Q2956">
        <v>0</v>
      </c>
      <c r="R2956" t="s">
        <v>45098</v>
      </c>
      <c r="S2956" t="s">
        <v>45223</v>
      </c>
      <c r="T2956" t="s">
        <v>46941</v>
      </c>
      <c r="U2956" t="s">
        <v>49935</v>
      </c>
      <c r="W2956" t="s">
        <v>42609</v>
      </c>
      <c r="X2956" t="s">
        <v>45100</v>
      </c>
    </row>
    <row r="2957" spans="1:24">
      <c r="A2957">
        <f>HYPERLINK("https://www.philgeps.gov.ph/GEPSNONPILOT/Tender/SplashBidNoticeAbstractUI.aspx?menuIndex=3&amp;refID=7043867&amp;Result=3","7043867")</f>
        <v>0</v>
      </c>
      <c r="B2957" t="s">
        <v>1083</v>
      </c>
      <c r="C2957" t="s">
        <v>6016</v>
      </c>
      <c r="D2957" t="s">
        <v>18029</v>
      </c>
      <c r="E2957" t="s">
        <v>20805</v>
      </c>
      <c r="F2957" t="s">
        <v>31574</v>
      </c>
      <c r="G2957" t="s">
        <v>31582</v>
      </c>
      <c r="H2957" t="s">
        <v>31591</v>
      </c>
      <c r="I2957" t="s">
        <v>8822</v>
      </c>
      <c r="J2957" t="s">
        <v>33738</v>
      </c>
      <c r="K2957" t="s">
        <v>41297</v>
      </c>
      <c r="M2957" t="s">
        <v>42631</v>
      </c>
      <c r="N2957" t="s">
        <v>45095</v>
      </c>
      <c r="O2957" t="s">
        <v>45096</v>
      </c>
      <c r="P2957">
        <v>0</v>
      </c>
      <c r="Q2957">
        <v>0</v>
      </c>
      <c r="R2957" t="s">
        <v>45098</v>
      </c>
      <c r="S2957" t="s">
        <v>45223</v>
      </c>
      <c r="T2957" t="s">
        <v>46932</v>
      </c>
      <c r="U2957" t="s">
        <v>49988</v>
      </c>
      <c r="W2957" t="s">
        <v>42631</v>
      </c>
      <c r="X2957" t="s">
        <v>45100</v>
      </c>
    </row>
    <row r="2958" spans="1:24">
      <c r="A2958">
        <f>HYPERLINK("https://www.philgeps.gov.ph/GEPSNONPILOT/Tender/SplashBidNoticeAbstractUI.aspx?menuIndex=3&amp;refID=7043863&amp;Result=3","7043863")</f>
        <v>0</v>
      </c>
      <c r="B2958" t="s">
        <v>1064</v>
      </c>
      <c r="C2958" t="s">
        <v>6017</v>
      </c>
      <c r="E2958" t="s">
        <v>20738</v>
      </c>
      <c r="F2958" t="s">
        <v>31574</v>
      </c>
      <c r="G2958" t="s">
        <v>31581</v>
      </c>
      <c r="H2958" t="s">
        <v>31590</v>
      </c>
      <c r="I2958" t="s">
        <v>6800</v>
      </c>
      <c r="J2958" t="s">
        <v>33739</v>
      </c>
      <c r="K2958" t="s">
        <v>41184</v>
      </c>
      <c r="M2958" t="s">
        <v>42609</v>
      </c>
      <c r="N2958" t="s">
        <v>45095</v>
      </c>
      <c r="O2958" t="s">
        <v>45096</v>
      </c>
      <c r="P2958">
        <v>0</v>
      </c>
      <c r="Q2958">
        <v>0</v>
      </c>
      <c r="R2958" t="s">
        <v>45098</v>
      </c>
      <c r="S2958" t="s">
        <v>45223</v>
      </c>
      <c r="T2958" t="s">
        <v>46918</v>
      </c>
      <c r="U2958" t="s">
        <v>47928</v>
      </c>
      <c r="W2958" t="s">
        <v>42609</v>
      </c>
      <c r="X2958" t="s">
        <v>45100</v>
      </c>
    </row>
    <row r="2959" spans="1:24">
      <c r="A2959">
        <f>HYPERLINK("https://www.philgeps.gov.ph/GEPSNONPILOT/Tender/SplashBidNoticeAbstractUI.aspx?menuIndex=3&amp;refID=7043853&amp;Result=3","7043853")</f>
        <v>0</v>
      </c>
      <c r="B2959" t="s">
        <v>540</v>
      </c>
      <c r="C2959" t="s">
        <v>6018</v>
      </c>
      <c r="D2959" t="s">
        <v>18022</v>
      </c>
      <c r="E2959" t="s">
        <v>20806</v>
      </c>
      <c r="F2959" t="s">
        <v>31574</v>
      </c>
      <c r="G2959" t="s">
        <v>31582</v>
      </c>
      <c r="H2959" t="s">
        <v>31590</v>
      </c>
      <c r="I2959" t="s">
        <v>31608</v>
      </c>
      <c r="J2959" t="s">
        <v>33740</v>
      </c>
      <c r="K2959" t="s">
        <v>41210</v>
      </c>
      <c r="M2959" t="s">
        <v>42629</v>
      </c>
      <c r="N2959" t="s">
        <v>45095</v>
      </c>
      <c r="O2959" t="s">
        <v>45096</v>
      </c>
      <c r="P2959">
        <v>0</v>
      </c>
      <c r="Q2959">
        <v>4</v>
      </c>
      <c r="R2959" t="s">
        <v>45098</v>
      </c>
      <c r="S2959" t="s">
        <v>45223</v>
      </c>
      <c r="T2959" t="s">
        <v>47145</v>
      </c>
      <c r="U2959" t="s">
        <v>49984</v>
      </c>
      <c r="V2959" t="s">
        <v>60136</v>
      </c>
      <c r="W2959" t="s">
        <v>42629</v>
      </c>
      <c r="X2959" t="s">
        <v>45100</v>
      </c>
    </row>
    <row r="2960" spans="1:24">
      <c r="A2960">
        <f>HYPERLINK("https://www.philgeps.gov.ph/GEPSNONPILOT/Tender/SplashBidNoticeAbstractUI.aspx?menuIndex=3&amp;refID=7043877&amp;Result=3","7043877")</f>
        <v>0</v>
      </c>
      <c r="B2960" t="s">
        <v>1081</v>
      </c>
      <c r="C2960" t="s">
        <v>6019</v>
      </c>
      <c r="D2960" t="s">
        <v>18036</v>
      </c>
      <c r="E2960" t="s">
        <v>20807</v>
      </c>
      <c r="F2960" t="s">
        <v>31574</v>
      </c>
      <c r="G2960" t="s">
        <v>31581</v>
      </c>
      <c r="H2960" t="s">
        <v>31590</v>
      </c>
      <c r="I2960" t="s">
        <v>14544</v>
      </c>
      <c r="J2960" t="s">
        <v>33741</v>
      </c>
      <c r="K2960" t="s">
        <v>41193</v>
      </c>
      <c r="M2960" t="s">
        <v>42628</v>
      </c>
      <c r="N2960" t="s">
        <v>45095</v>
      </c>
      <c r="O2960" t="s">
        <v>45096</v>
      </c>
      <c r="P2960">
        <v>0</v>
      </c>
      <c r="Q2960">
        <v>0</v>
      </c>
      <c r="R2960" t="s">
        <v>45098</v>
      </c>
      <c r="S2960" t="s">
        <v>45223</v>
      </c>
      <c r="T2960" t="s">
        <v>46982</v>
      </c>
      <c r="U2960" t="s">
        <v>49983</v>
      </c>
      <c r="W2960" t="s">
        <v>42628</v>
      </c>
      <c r="X2960" t="s">
        <v>45100</v>
      </c>
    </row>
    <row r="2961" spans="1:24">
      <c r="A2961">
        <f>HYPERLINK("https://www.philgeps.gov.ph/GEPSNONPILOT/Tender/SplashBidNoticeAbstractUI.aspx?menuIndex=3&amp;refID=7043875&amp;Result=3","7043875")</f>
        <v>0</v>
      </c>
      <c r="B2961" t="s">
        <v>1079</v>
      </c>
      <c r="C2961" t="s">
        <v>6020</v>
      </c>
      <c r="D2961" t="s">
        <v>18063</v>
      </c>
      <c r="E2961" t="s">
        <v>20808</v>
      </c>
      <c r="F2961" t="s">
        <v>31574</v>
      </c>
      <c r="G2961" t="s">
        <v>31581</v>
      </c>
      <c r="H2961" t="s">
        <v>31590</v>
      </c>
      <c r="I2961" t="s">
        <v>3487</v>
      </c>
      <c r="J2961" t="s">
        <v>31964</v>
      </c>
      <c r="K2961" t="s">
        <v>41211</v>
      </c>
      <c r="M2961" t="s">
        <v>42626</v>
      </c>
      <c r="N2961" t="s">
        <v>45095</v>
      </c>
      <c r="O2961" t="s">
        <v>45096</v>
      </c>
      <c r="P2961">
        <v>0</v>
      </c>
      <c r="Q2961">
        <v>1</v>
      </c>
      <c r="R2961" t="s">
        <v>45098</v>
      </c>
      <c r="S2961" t="s">
        <v>45223</v>
      </c>
      <c r="T2961" t="s">
        <v>46957</v>
      </c>
      <c r="U2961" t="s">
        <v>49989</v>
      </c>
      <c r="V2961" t="s">
        <v>60133</v>
      </c>
      <c r="W2961" t="s">
        <v>42626</v>
      </c>
      <c r="X2961" t="s">
        <v>45100</v>
      </c>
    </row>
    <row r="2962" spans="1:24">
      <c r="A2962">
        <f>HYPERLINK("https://www.philgeps.gov.ph/GEPSNONPILOT/Tender/SplashBidNoticeAbstractUI.aspx?menuIndex=3&amp;refID=7043921&amp;Result=3","7043921")</f>
        <v>0</v>
      </c>
      <c r="B2962" t="s">
        <v>1084</v>
      </c>
      <c r="C2962" t="s">
        <v>6021</v>
      </c>
      <c r="D2962" t="s">
        <v>18027</v>
      </c>
      <c r="E2962" t="s">
        <v>18577</v>
      </c>
      <c r="F2962" t="s">
        <v>31574</v>
      </c>
      <c r="G2962" t="s">
        <v>31581</v>
      </c>
      <c r="H2962" t="s">
        <v>31590</v>
      </c>
      <c r="I2962" t="s">
        <v>31636</v>
      </c>
      <c r="J2962" t="s">
        <v>32290</v>
      </c>
      <c r="K2962" t="s">
        <v>41193</v>
      </c>
      <c r="M2962" t="s">
        <v>42632</v>
      </c>
      <c r="N2962" t="s">
        <v>45095</v>
      </c>
      <c r="O2962" t="s">
        <v>45096</v>
      </c>
      <c r="P2962">
        <v>0</v>
      </c>
      <c r="Q2962">
        <v>8</v>
      </c>
      <c r="R2962" t="s">
        <v>45098</v>
      </c>
      <c r="S2962" t="s">
        <v>45223</v>
      </c>
      <c r="T2962" t="s">
        <v>46936</v>
      </c>
      <c r="U2962" t="s">
        <v>49990</v>
      </c>
      <c r="V2962" t="s">
        <v>60137</v>
      </c>
      <c r="W2962" t="s">
        <v>42632</v>
      </c>
      <c r="X2962" t="s">
        <v>45099</v>
      </c>
    </row>
    <row r="2963" spans="1:24">
      <c r="A2963">
        <f>HYPERLINK("https://www.philgeps.gov.ph/GEPSNONPILOT/Tender/SplashBidNoticeAbstractUI.aspx?menuIndex=3&amp;refID=7043918&amp;Result=3","7043918")</f>
        <v>0</v>
      </c>
      <c r="B2963" t="s">
        <v>553</v>
      </c>
      <c r="C2963" t="s">
        <v>6022</v>
      </c>
      <c r="E2963" t="s">
        <v>20809</v>
      </c>
      <c r="F2963" t="s">
        <v>31574</v>
      </c>
      <c r="G2963" t="s">
        <v>31583</v>
      </c>
      <c r="H2963" t="s">
        <v>31590</v>
      </c>
      <c r="I2963" t="s">
        <v>5717</v>
      </c>
      <c r="J2963" t="s">
        <v>32814</v>
      </c>
      <c r="K2963" t="s">
        <v>41184</v>
      </c>
      <c r="M2963" t="s">
        <v>42633</v>
      </c>
      <c r="N2963" t="s">
        <v>45095</v>
      </c>
      <c r="O2963" t="s">
        <v>45096</v>
      </c>
      <c r="P2963">
        <v>0</v>
      </c>
      <c r="Q2963">
        <v>11</v>
      </c>
      <c r="R2963" t="s">
        <v>45098</v>
      </c>
      <c r="S2963" t="s">
        <v>45223</v>
      </c>
      <c r="T2963" t="s">
        <v>47106</v>
      </c>
      <c r="U2963" t="s">
        <v>48882</v>
      </c>
      <c r="W2963" t="s">
        <v>42633</v>
      </c>
      <c r="X2963" t="s">
        <v>45099</v>
      </c>
    </row>
    <row r="2964" spans="1:24">
      <c r="A2964">
        <f>HYPERLINK("https://www.philgeps.gov.ph/GEPSNONPILOT/Tender/SplashBidNoticeAbstractUI.aspx?menuIndex=3&amp;refID=7043880&amp;Result=3","7043880")</f>
        <v>0</v>
      </c>
      <c r="B2964" t="s">
        <v>1079</v>
      </c>
      <c r="C2964" t="s">
        <v>6023</v>
      </c>
      <c r="D2964" t="s">
        <v>18084</v>
      </c>
      <c r="E2964" t="s">
        <v>20810</v>
      </c>
      <c r="F2964" t="s">
        <v>31574</v>
      </c>
      <c r="G2964" t="s">
        <v>31581</v>
      </c>
      <c r="H2964" t="s">
        <v>31590</v>
      </c>
      <c r="I2964" t="s">
        <v>31599</v>
      </c>
      <c r="J2964" t="s">
        <v>33742</v>
      </c>
      <c r="K2964" t="s">
        <v>41211</v>
      </c>
      <c r="M2964" t="s">
        <v>42626</v>
      </c>
      <c r="N2964" t="s">
        <v>45095</v>
      </c>
      <c r="O2964" t="s">
        <v>45096</v>
      </c>
      <c r="P2964">
        <v>0</v>
      </c>
      <c r="Q2964">
        <v>1</v>
      </c>
      <c r="R2964" t="s">
        <v>45098</v>
      </c>
      <c r="S2964" t="s">
        <v>45223</v>
      </c>
      <c r="T2964" t="s">
        <v>46957</v>
      </c>
      <c r="U2964" t="s">
        <v>49991</v>
      </c>
      <c r="V2964" t="s">
        <v>60133</v>
      </c>
      <c r="W2964" t="s">
        <v>42626</v>
      </c>
      <c r="X2964" t="s">
        <v>45100</v>
      </c>
    </row>
    <row r="2965" spans="1:24">
      <c r="A2965">
        <f>HYPERLINK("https://www.philgeps.gov.ph/GEPSNONPILOT/Tender/SplashBidNoticeAbstractUI.aspx?menuIndex=3&amp;refID=7043920&amp;Result=3","7043920")</f>
        <v>0</v>
      </c>
      <c r="B2965" t="s">
        <v>1085</v>
      </c>
      <c r="C2965" t="s">
        <v>6024</v>
      </c>
      <c r="D2965" t="s">
        <v>18056</v>
      </c>
      <c r="E2965" t="s">
        <v>20811</v>
      </c>
      <c r="F2965" t="s">
        <v>31574</v>
      </c>
      <c r="G2965" t="s">
        <v>31581</v>
      </c>
      <c r="H2965" t="s">
        <v>31590</v>
      </c>
      <c r="I2965" t="s">
        <v>31595</v>
      </c>
      <c r="J2965" t="s">
        <v>33743</v>
      </c>
      <c r="K2965" t="s">
        <v>41192</v>
      </c>
      <c r="M2965" t="s">
        <v>42634</v>
      </c>
      <c r="N2965" t="s">
        <v>45095</v>
      </c>
      <c r="O2965" t="s">
        <v>45096</v>
      </c>
      <c r="P2965">
        <v>0</v>
      </c>
      <c r="Q2965">
        <v>1</v>
      </c>
      <c r="R2965" t="s">
        <v>45098</v>
      </c>
      <c r="S2965" t="s">
        <v>45223</v>
      </c>
      <c r="T2965" t="s">
        <v>46963</v>
      </c>
      <c r="U2965" t="s">
        <v>49992</v>
      </c>
      <c r="W2965" t="s">
        <v>42634</v>
      </c>
      <c r="X2965" t="s">
        <v>45099</v>
      </c>
    </row>
    <row r="2966" spans="1:24">
      <c r="A2966">
        <f>HYPERLINK("https://www.philgeps.gov.ph/GEPSNONPILOT/Tender/SplashBidNoticeAbstractUI.aspx?menuIndex=3&amp;refID=7043878&amp;Result=3","7043878")</f>
        <v>0</v>
      </c>
      <c r="B2966" t="s">
        <v>1079</v>
      </c>
      <c r="C2966" t="s">
        <v>6025</v>
      </c>
      <c r="D2966" t="s">
        <v>18060</v>
      </c>
      <c r="E2966" t="s">
        <v>20812</v>
      </c>
      <c r="F2966" t="s">
        <v>31574</v>
      </c>
      <c r="G2966" t="s">
        <v>31581</v>
      </c>
      <c r="H2966" t="s">
        <v>31590</v>
      </c>
      <c r="I2966" t="s">
        <v>31599</v>
      </c>
      <c r="J2966" t="s">
        <v>33744</v>
      </c>
      <c r="K2966" t="s">
        <v>41211</v>
      </c>
      <c r="M2966" t="s">
        <v>42626</v>
      </c>
      <c r="N2966" t="s">
        <v>45095</v>
      </c>
      <c r="O2966" t="s">
        <v>45096</v>
      </c>
      <c r="P2966">
        <v>0</v>
      </c>
      <c r="Q2966">
        <v>1</v>
      </c>
      <c r="R2966" t="s">
        <v>45098</v>
      </c>
      <c r="S2966" t="s">
        <v>45223</v>
      </c>
      <c r="T2966" t="s">
        <v>46957</v>
      </c>
      <c r="U2966" t="s">
        <v>49993</v>
      </c>
      <c r="V2966" t="s">
        <v>60133</v>
      </c>
      <c r="W2966" t="s">
        <v>42626</v>
      </c>
      <c r="X2966" t="s">
        <v>45100</v>
      </c>
    </row>
    <row r="2967" spans="1:24">
      <c r="A2967">
        <f>HYPERLINK("https://www.philgeps.gov.ph/GEPSNONPILOT/Tender/SplashBidNoticeAbstractUI.aspx?menuIndex=3&amp;refID=7043917&amp;Result=3","7043917")</f>
        <v>0</v>
      </c>
      <c r="B2967" t="s">
        <v>1086</v>
      </c>
      <c r="C2967" t="s">
        <v>6026</v>
      </c>
      <c r="D2967" t="s">
        <v>18048</v>
      </c>
      <c r="E2967" t="s">
        <v>20813</v>
      </c>
      <c r="F2967" t="s">
        <v>31574</v>
      </c>
      <c r="G2967" t="s">
        <v>31582</v>
      </c>
      <c r="H2967" t="s">
        <v>31591</v>
      </c>
      <c r="I2967" t="s">
        <v>8822</v>
      </c>
      <c r="J2967" t="s">
        <v>32530</v>
      </c>
      <c r="K2967" t="s">
        <v>41189</v>
      </c>
      <c r="M2967" t="s">
        <v>42635</v>
      </c>
      <c r="N2967" t="s">
        <v>45095</v>
      </c>
      <c r="O2967" t="s">
        <v>45096</v>
      </c>
      <c r="P2967">
        <v>0</v>
      </c>
      <c r="Q2967">
        <v>0</v>
      </c>
      <c r="R2967" t="s">
        <v>45098</v>
      </c>
      <c r="S2967" t="s">
        <v>45223</v>
      </c>
      <c r="T2967" t="s">
        <v>46927</v>
      </c>
      <c r="U2967" t="s">
        <v>49994</v>
      </c>
      <c r="W2967" t="s">
        <v>42635</v>
      </c>
      <c r="X2967" t="s">
        <v>45099</v>
      </c>
    </row>
    <row r="2968" spans="1:24">
      <c r="A2968">
        <f>HYPERLINK("https://www.philgeps.gov.ph/GEPSNONPILOT/Tender/SplashBidNoticeAbstractUI.aspx?menuIndex=3&amp;refID=7043919&amp;Result=3","7043919")</f>
        <v>0</v>
      </c>
      <c r="B2968" t="s">
        <v>1087</v>
      </c>
      <c r="C2968" t="s">
        <v>6027</v>
      </c>
      <c r="D2968" t="s">
        <v>18107</v>
      </c>
      <c r="E2968" t="s">
        <v>20814</v>
      </c>
      <c r="F2968" t="s">
        <v>31574</v>
      </c>
      <c r="G2968" t="s">
        <v>31581</v>
      </c>
      <c r="H2968" t="s">
        <v>31590</v>
      </c>
      <c r="I2968" t="s">
        <v>5222</v>
      </c>
      <c r="J2968" t="s">
        <v>33745</v>
      </c>
      <c r="K2968" t="s">
        <v>41197</v>
      </c>
      <c r="M2968" t="s">
        <v>42636</v>
      </c>
      <c r="N2968" t="s">
        <v>45095</v>
      </c>
      <c r="O2968" t="s">
        <v>45096</v>
      </c>
      <c r="P2968">
        <v>0</v>
      </c>
      <c r="Q2968">
        <v>2</v>
      </c>
      <c r="R2968" t="s">
        <v>45098</v>
      </c>
      <c r="S2968" t="s">
        <v>45223</v>
      </c>
      <c r="T2968" t="s">
        <v>46932</v>
      </c>
      <c r="U2968" t="s">
        <v>49995</v>
      </c>
      <c r="W2968" t="s">
        <v>42636</v>
      </c>
      <c r="X2968" t="s">
        <v>45099</v>
      </c>
    </row>
    <row r="2969" spans="1:24">
      <c r="A2969">
        <f>HYPERLINK("https://www.philgeps.gov.ph/GEPSNONPILOT/Tender/SplashBidNoticeAbstractUI.aspx?menuIndex=3&amp;refID=7043898&amp;Result=3","7043898")</f>
        <v>0</v>
      </c>
      <c r="B2969" t="s">
        <v>1088</v>
      </c>
      <c r="C2969" t="s">
        <v>6028</v>
      </c>
      <c r="D2969" t="s">
        <v>18022</v>
      </c>
      <c r="E2969" t="s">
        <v>20815</v>
      </c>
      <c r="F2969" t="s">
        <v>31574</v>
      </c>
      <c r="G2969" t="s">
        <v>31583</v>
      </c>
      <c r="H2969" t="s">
        <v>31591</v>
      </c>
      <c r="I2969" t="s">
        <v>31627</v>
      </c>
      <c r="J2969" t="s">
        <v>33408</v>
      </c>
      <c r="K2969" t="s">
        <v>41190</v>
      </c>
      <c r="M2969" t="s">
        <v>42637</v>
      </c>
      <c r="N2969" t="s">
        <v>45095</v>
      </c>
      <c r="O2969" t="s">
        <v>45096</v>
      </c>
      <c r="P2969">
        <v>0</v>
      </c>
      <c r="Q2969">
        <v>0</v>
      </c>
      <c r="R2969" t="s">
        <v>45098</v>
      </c>
      <c r="S2969" t="s">
        <v>45223</v>
      </c>
      <c r="T2969" t="s">
        <v>46985</v>
      </c>
      <c r="U2969" t="s">
        <v>49996</v>
      </c>
      <c r="W2969" t="s">
        <v>42637</v>
      </c>
      <c r="X2969" t="s">
        <v>45100</v>
      </c>
    </row>
    <row r="2970" spans="1:24">
      <c r="A2970">
        <f>HYPERLINK("https://www.philgeps.gov.ph/GEPSNONPILOT/Tender/SplashBidNoticeAbstractUI.aspx?menuIndex=3&amp;refID=7043883&amp;Result=3","7043883")</f>
        <v>0</v>
      </c>
      <c r="B2970" t="s">
        <v>1079</v>
      </c>
      <c r="C2970" t="s">
        <v>6029</v>
      </c>
      <c r="D2970" t="s">
        <v>18084</v>
      </c>
      <c r="E2970" t="s">
        <v>20816</v>
      </c>
      <c r="F2970" t="s">
        <v>31574</v>
      </c>
      <c r="G2970" t="s">
        <v>31581</v>
      </c>
      <c r="H2970" t="s">
        <v>31590</v>
      </c>
      <c r="I2970" t="s">
        <v>31599</v>
      </c>
      <c r="J2970" t="s">
        <v>31726</v>
      </c>
      <c r="K2970" t="s">
        <v>41211</v>
      </c>
      <c r="M2970" t="s">
        <v>42626</v>
      </c>
      <c r="N2970" t="s">
        <v>45095</v>
      </c>
      <c r="O2970" t="s">
        <v>45096</v>
      </c>
      <c r="P2970">
        <v>0</v>
      </c>
      <c r="Q2970">
        <v>2</v>
      </c>
      <c r="R2970" t="s">
        <v>45098</v>
      </c>
      <c r="S2970" t="s">
        <v>45223</v>
      </c>
      <c r="T2970" t="s">
        <v>46957</v>
      </c>
      <c r="U2970" t="s">
        <v>49997</v>
      </c>
      <c r="V2970" t="s">
        <v>60133</v>
      </c>
      <c r="W2970" t="s">
        <v>42626</v>
      </c>
      <c r="X2970" t="s">
        <v>45100</v>
      </c>
    </row>
    <row r="2971" spans="1:24">
      <c r="A2971">
        <f>HYPERLINK("https://www.philgeps.gov.ph/GEPSNONPILOT/Tender/SplashBidNoticeAbstractUI.aspx?menuIndex=3&amp;refID=7043906&amp;Result=3","7043906")</f>
        <v>0</v>
      </c>
      <c r="B2971" t="s">
        <v>1089</v>
      </c>
      <c r="C2971" t="s">
        <v>6030</v>
      </c>
      <c r="D2971" t="s">
        <v>18043</v>
      </c>
      <c r="E2971" t="s">
        <v>20817</v>
      </c>
      <c r="F2971" t="s">
        <v>31574</v>
      </c>
      <c r="G2971" t="s">
        <v>31583</v>
      </c>
      <c r="H2971" t="s">
        <v>31590</v>
      </c>
      <c r="I2971" t="s">
        <v>3520</v>
      </c>
      <c r="J2971" t="s">
        <v>32742</v>
      </c>
      <c r="K2971" t="s">
        <v>41211</v>
      </c>
      <c r="M2971" t="s">
        <v>42638</v>
      </c>
      <c r="N2971" t="s">
        <v>45095</v>
      </c>
      <c r="O2971" t="s">
        <v>45096</v>
      </c>
      <c r="P2971">
        <v>0</v>
      </c>
      <c r="Q2971">
        <v>1</v>
      </c>
      <c r="R2971" t="s">
        <v>45098</v>
      </c>
      <c r="S2971" t="s">
        <v>45223</v>
      </c>
      <c r="T2971" t="s">
        <v>47021</v>
      </c>
      <c r="U2971" t="s">
        <v>49998</v>
      </c>
      <c r="V2971" t="s">
        <v>60138</v>
      </c>
      <c r="W2971" t="s">
        <v>42638</v>
      </c>
      <c r="X2971" t="s">
        <v>45100</v>
      </c>
    </row>
    <row r="2972" spans="1:24">
      <c r="A2972">
        <f>HYPERLINK("https://www.philgeps.gov.ph/GEPSNONPILOT/Tender/SplashBidNoticeAbstractUI.aspx?menuIndex=3&amp;refID=7043889&amp;Result=3","7043889")</f>
        <v>0</v>
      </c>
      <c r="B2972" t="s">
        <v>1081</v>
      </c>
      <c r="C2972" t="s">
        <v>6031</v>
      </c>
      <c r="D2972" t="s">
        <v>18036</v>
      </c>
      <c r="E2972" t="s">
        <v>20818</v>
      </c>
      <c r="F2972" t="s">
        <v>31574</v>
      </c>
      <c r="G2972" t="s">
        <v>31581</v>
      </c>
      <c r="H2972" t="s">
        <v>31590</v>
      </c>
      <c r="I2972" t="s">
        <v>14544</v>
      </c>
      <c r="J2972" t="s">
        <v>33746</v>
      </c>
      <c r="K2972" t="s">
        <v>41193</v>
      </c>
      <c r="M2972" t="s">
        <v>42628</v>
      </c>
      <c r="N2972" t="s">
        <v>45095</v>
      </c>
      <c r="O2972" t="s">
        <v>45096</v>
      </c>
      <c r="P2972">
        <v>0</v>
      </c>
      <c r="Q2972">
        <v>0</v>
      </c>
      <c r="R2972" t="s">
        <v>45098</v>
      </c>
      <c r="S2972" t="s">
        <v>45223</v>
      </c>
      <c r="T2972" t="s">
        <v>46982</v>
      </c>
      <c r="U2972" t="s">
        <v>49999</v>
      </c>
      <c r="W2972" t="s">
        <v>42628</v>
      </c>
      <c r="X2972" t="s">
        <v>45100</v>
      </c>
    </row>
    <row r="2973" spans="1:24">
      <c r="A2973">
        <f>HYPERLINK("https://www.philgeps.gov.ph/GEPSNONPILOT/Tender/SplashBidNoticeAbstractUI.aspx?menuIndex=3&amp;refID=7043886&amp;Result=3","7043886")</f>
        <v>0</v>
      </c>
      <c r="B2973" t="s">
        <v>1079</v>
      </c>
      <c r="C2973" t="s">
        <v>6032</v>
      </c>
      <c r="D2973" t="s">
        <v>18063</v>
      </c>
      <c r="E2973" t="s">
        <v>20819</v>
      </c>
      <c r="F2973" t="s">
        <v>31574</v>
      </c>
      <c r="G2973" t="s">
        <v>31581</v>
      </c>
      <c r="H2973" t="s">
        <v>31590</v>
      </c>
      <c r="I2973" t="s">
        <v>3487</v>
      </c>
      <c r="J2973" t="s">
        <v>33747</v>
      </c>
      <c r="K2973" t="s">
        <v>41193</v>
      </c>
      <c r="M2973" t="s">
        <v>42626</v>
      </c>
      <c r="N2973" t="s">
        <v>45095</v>
      </c>
      <c r="O2973" t="s">
        <v>45096</v>
      </c>
      <c r="P2973">
        <v>0</v>
      </c>
      <c r="Q2973">
        <v>0</v>
      </c>
      <c r="R2973" t="s">
        <v>45098</v>
      </c>
      <c r="S2973" t="s">
        <v>45223</v>
      </c>
      <c r="T2973" t="s">
        <v>46957</v>
      </c>
      <c r="U2973" t="s">
        <v>50000</v>
      </c>
      <c r="V2973" t="s">
        <v>60133</v>
      </c>
      <c r="W2973" t="s">
        <v>42626</v>
      </c>
      <c r="X2973" t="s">
        <v>45100</v>
      </c>
    </row>
    <row r="2974" spans="1:24">
      <c r="A2974">
        <f>HYPERLINK("https://www.philgeps.gov.ph/GEPSNONPILOT/Tender/SplashBidNoticeAbstractUI.aspx?menuIndex=3&amp;refID=7043923&amp;Result=3","7043923")</f>
        <v>0</v>
      </c>
      <c r="B2974" t="s">
        <v>1090</v>
      </c>
      <c r="C2974" t="s">
        <v>6033</v>
      </c>
      <c r="D2974" t="s">
        <v>18057</v>
      </c>
      <c r="E2974" t="s">
        <v>20105</v>
      </c>
      <c r="F2974" t="s">
        <v>31574</v>
      </c>
      <c r="G2974" t="s">
        <v>31581</v>
      </c>
      <c r="H2974" t="s">
        <v>31591</v>
      </c>
      <c r="I2974" t="s">
        <v>4046</v>
      </c>
      <c r="J2974" t="s">
        <v>33748</v>
      </c>
      <c r="K2974" t="s">
        <v>41186</v>
      </c>
      <c r="M2974" t="s">
        <v>42639</v>
      </c>
      <c r="N2974" t="s">
        <v>45095</v>
      </c>
      <c r="O2974" t="s">
        <v>45096</v>
      </c>
      <c r="P2974">
        <v>0</v>
      </c>
      <c r="Q2974">
        <v>0</v>
      </c>
      <c r="R2974" t="s">
        <v>45098</v>
      </c>
      <c r="S2974" t="s">
        <v>45223</v>
      </c>
      <c r="T2974" t="s">
        <v>47059</v>
      </c>
      <c r="U2974" t="s">
        <v>50001</v>
      </c>
      <c r="W2974" t="s">
        <v>42639</v>
      </c>
      <c r="X2974" t="s">
        <v>45099</v>
      </c>
    </row>
    <row r="2975" spans="1:24">
      <c r="A2975">
        <f>HYPERLINK("https://www.philgeps.gov.ph/GEPSNONPILOT/Tender/SplashBidNoticeAbstractUI.aspx?menuIndex=3&amp;refID=7043924&amp;Result=3","7043924")</f>
        <v>0</v>
      </c>
      <c r="B2975" t="s">
        <v>1090</v>
      </c>
      <c r="C2975" t="s">
        <v>6034</v>
      </c>
      <c r="D2975" t="s">
        <v>18067</v>
      </c>
      <c r="E2975" t="s">
        <v>19165</v>
      </c>
      <c r="F2975" t="s">
        <v>31574</v>
      </c>
      <c r="G2975" t="s">
        <v>31581</v>
      </c>
      <c r="H2975" t="s">
        <v>31590</v>
      </c>
      <c r="I2975" t="s">
        <v>31615</v>
      </c>
      <c r="J2975" t="s">
        <v>31964</v>
      </c>
      <c r="K2975" t="s">
        <v>41186</v>
      </c>
      <c r="M2975" t="s">
        <v>42639</v>
      </c>
      <c r="N2975" t="s">
        <v>45095</v>
      </c>
      <c r="O2975" t="s">
        <v>45096</v>
      </c>
      <c r="P2975">
        <v>0</v>
      </c>
      <c r="Q2975">
        <v>1</v>
      </c>
      <c r="R2975" t="s">
        <v>45098</v>
      </c>
      <c r="S2975" t="s">
        <v>45223</v>
      </c>
      <c r="T2975" t="s">
        <v>47141</v>
      </c>
      <c r="U2975" t="s">
        <v>50002</v>
      </c>
      <c r="W2975" t="s">
        <v>42639</v>
      </c>
      <c r="X2975" t="s">
        <v>45099</v>
      </c>
    </row>
    <row r="2976" spans="1:24">
      <c r="A2976">
        <f>HYPERLINK("https://www.philgeps.gov.ph/GEPSNONPILOT/Tender/SplashBidNoticeAbstractUI.aspx?menuIndex=3&amp;refID=7043884&amp;Result=3","7043884")</f>
        <v>0</v>
      </c>
      <c r="B2976" t="s">
        <v>1079</v>
      </c>
      <c r="C2976" t="s">
        <v>6035</v>
      </c>
      <c r="D2976" t="s">
        <v>18063</v>
      </c>
      <c r="E2976" t="s">
        <v>20820</v>
      </c>
      <c r="F2976" t="s">
        <v>31574</v>
      </c>
      <c r="G2976" t="s">
        <v>31581</v>
      </c>
      <c r="H2976" t="s">
        <v>31591</v>
      </c>
      <c r="I2976" t="s">
        <v>7162</v>
      </c>
      <c r="J2976" t="s">
        <v>33749</v>
      </c>
      <c r="K2976" t="s">
        <v>41192</v>
      </c>
      <c r="M2976" t="s">
        <v>42626</v>
      </c>
      <c r="N2976" t="s">
        <v>45095</v>
      </c>
      <c r="O2976" t="s">
        <v>45096</v>
      </c>
      <c r="P2976">
        <v>0</v>
      </c>
      <c r="Q2976">
        <v>1</v>
      </c>
      <c r="R2976" t="s">
        <v>45098</v>
      </c>
      <c r="S2976" t="s">
        <v>45223</v>
      </c>
      <c r="T2976" t="s">
        <v>46957</v>
      </c>
      <c r="U2976" t="s">
        <v>50003</v>
      </c>
      <c r="V2976" t="s">
        <v>60133</v>
      </c>
      <c r="W2976" t="s">
        <v>42626</v>
      </c>
      <c r="X2976" t="s">
        <v>45100</v>
      </c>
    </row>
    <row r="2977" spans="1:24">
      <c r="A2977">
        <f>HYPERLINK("https://www.philgeps.gov.ph/GEPSNONPILOT/Tender/SplashBidNoticeAbstractUI.aspx?menuIndex=3&amp;refID=7043930&amp;Result=3","7043930")</f>
        <v>0</v>
      </c>
      <c r="B2977" t="s">
        <v>1091</v>
      </c>
      <c r="C2977" t="s">
        <v>6036</v>
      </c>
      <c r="D2977" t="s">
        <v>18064</v>
      </c>
      <c r="E2977" t="s">
        <v>20821</v>
      </c>
      <c r="F2977" t="s">
        <v>31574</v>
      </c>
      <c r="G2977" t="s">
        <v>31582</v>
      </c>
      <c r="H2977" t="s">
        <v>31591</v>
      </c>
      <c r="I2977" t="s">
        <v>8822</v>
      </c>
      <c r="J2977" t="s">
        <v>33750</v>
      </c>
      <c r="K2977" t="s">
        <v>41200</v>
      </c>
      <c r="M2977" t="s">
        <v>42640</v>
      </c>
      <c r="N2977" t="s">
        <v>45095</v>
      </c>
      <c r="O2977" t="s">
        <v>45096</v>
      </c>
      <c r="P2977">
        <v>0</v>
      </c>
      <c r="Q2977">
        <v>7</v>
      </c>
      <c r="R2977" t="s">
        <v>45098</v>
      </c>
      <c r="S2977" t="s">
        <v>45223</v>
      </c>
      <c r="T2977" t="s">
        <v>46915</v>
      </c>
      <c r="U2977" t="s">
        <v>50004</v>
      </c>
      <c r="W2977" t="s">
        <v>42640</v>
      </c>
      <c r="X2977" t="s">
        <v>45099</v>
      </c>
    </row>
    <row r="2978" spans="1:24">
      <c r="A2978">
        <f>HYPERLINK("https://www.philgeps.gov.ph/GEPSNONPILOT/Tender/SplashBidNoticeAbstractUI.aspx?menuIndex=3&amp;refID=7043925&amp;Result=3","7043925")</f>
        <v>0</v>
      </c>
      <c r="B2978" t="s">
        <v>1091</v>
      </c>
      <c r="C2978" t="s">
        <v>6037</v>
      </c>
      <c r="D2978" t="s">
        <v>18064</v>
      </c>
      <c r="E2978" t="s">
        <v>20821</v>
      </c>
      <c r="F2978" t="s">
        <v>31574</v>
      </c>
      <c r="G2978" t="s">
        <v>31582</v>
      </c>
      <c r="H2978" t="s">
        <v>31591</v>
      </c>
      <c r="I2978" t="s">
        <v>8822</v>
      </c>
      <c r="J2978" t="s">
        <v>33751</v>
      </c>
      <c r="K2978" t="s">
        <v>41200</v>
      </c>
      <c r="M2978" t="s">
        <v>42640</v>
      </c>
      <c r="N2978" t="s">
        <v>45095</v>
      </c>
      <c r="O2978" t="s">
        <v>45096</v>
      </c>
      <c r="P2978">
        <v>0</v>
      </c>
      <c r="Q2978">
        <v>7</v>
      </c>
      <c r="R2978" t="s">
        <v>45098</v>
      </c>
      <c r="S2978" t="s">
        <v>45223</v>
      </c>
      <c r="T2978" t="s">
        <v>46915</v>
      </c>
      <c r="U2978" t="s">
        <v>50005</v>
      </c>
      <c r="W2978" t="s">
        <v>42640</v>
      </c>
      <c r="X2978" t="s">
        <v>45099</v>
      </c>
    </row>
    <row r="2979" spans="1:24">
      <c r="A2979">
        <f>HYPERLINK("https://www.philgeps.gov.ph/GEPSNONPILOT/Tender/SplashBidNoticeAbstractUI.aspx?menuIndex=3&amp;refID=7043869&amp;Result=3","7043869")</f>
        <v>0</v>
      </c>
      <c r="B2979" t="s">
        <v>1079</v>
      </c>
      <c r="C2979" t="s">
        <v>6038</v>
      </c>
      <c r="D2979" t="s">
        <v>18084</v>
      </c>
      <c r="E2979" t="s">
        <v>20822</v>
      </c>
      <c r="F2979" t="s">
        <v>31574</v>
      </c>
      <c r="G2979" t="s">
        <v>31581</v>
      </c>
      <c r="H2979" t="s">
        <v>31590</v>
      </c>
      <c r="I2979" t="s">
        <v>31599</v>
      </c>
      <c r="J2979" t="s">
        <v>33752</v>
      </c>
      <c r="K2979" t="s">
        <v>41211</v>
      </c>
      <c r="M2979" t="s">
        <v>42626</v>
      </c>
      <c r="N2979" t="s">
        <v>45095</v>
      </c>
      <c r="O2979" t="s">
        <v>45096</v>
      </c>
      <c r="P2979">
        <v>0</v>
      </c>
      <c r="Q2979">
        <v>0</v>
      </c>
      <c r="R2979" t="s">
        <v>45098</v>
      </c>
      <c r="S2979" t="s">
        <v>45223</v>
      </c>
      <c r="T2979" t="s">
        <v>46957</v>
      </c>
      <c r="U2979" t="s">
        <v>50006</v>
      </c>
      <c r="V2979" t="s">
        <v>60133</v>
      </c>
      <c r="W2979" t="s">
        <v>42626</v>
      </c>
      <c r="X2979" t="s">
        <v>45100</v>
      </c>
    </row>
    <row r="2980" spans="1:24">
      <c r="A2980">
        <f>HYPERLINK("https://www.philgeps.gov.ph/GEPSNONPILOT/Tender/SplashBidNoticeAbstractUI.aspx?menuIndex=3&amp;refID=7043927&amp;Result=3","7043927")</f>
        <v>0</v>
      </c>
      <c r="B2980" t="s">
        <v>1091</v>
      </c>
      <c r="C2980" t="s">
        <v>6039</v>
      </c>
      <c r="D2980" t="s">
        <v>18064</v>
      </c>
      <c r="E2980" t="s">
        <v>20821</v>
      </c>
      <c r="F2980" t="s">
        <v>31574</v>
      </c>
      <c r="G2980" t="s">
        <v>31582</v>
      </c>
      <c r="H2980" t="s">
        <v>31591</v>
      </c>
      <c r="I2980" t="s">
        <v>8822</v>
      </c>
      <c r="J2980" t="s">
        <v>33753</v>
      </c>
      <c r="K2980" t="s">
        <v>41200</v>
      </c>
      <c r="M2980" t="s">
        <v>42640</v>
      </c>
      <c r="N2980" t="s">
        <v>45095</v>
      </c>
      <c r="O2980" t="s">
        <v>45096</v>
      </c>
      <c r="P2980">
        <v>0</v>
      </c>
      <c r="Q2980">
        <v>6</v>
      </c>
      <c r="R2980" t="s">
        <v>45098</v>
      </c>
      <c r="S2980" t="s">
        <v>45223</v>
      </c>
      <c r="T2980" t="s">
        <v>46915</v>
      </c>
      <c r="U2980" t="s">
        <v>50004</v>
      </c>
      <c r="W2980" t="s">
        <v>42640</v>
      </c>
      <c r="X2980" t="s">
        <v>45099</v>
      </c>
    </row>
    <row r="2981" spans="1:24">
      <c r="A2981">
        <f>HYPERLINK("https://www.philgeps.gov.ph/GEPSNONPILOT/Tender/SplashBidNoticeAbstractUI.aspx?menuIndex=3&amp;refID=7043929&amp;Result=3","7043929")</f>
        <v>0</v>
      </c>
      <c r="B2981" t="s">
        <v>1091</v>
      </c>
      <c r="C2981" t="s">
        <v>6040</v>
      </c>
      <c r="D2981" t="s">
        <v>18064</v>
      </c>
      <c r="E2981" t="s">
        <v>20821</v>
      </c>
      <c r="F2981" t="s">
        <v>31574</v>
      </c>
      <c r="G2981" t="s">
        <v>31582</v>
      </c>
      <c r="H2981" t="s">
        <v>31591</v>
      </c>
      <c r="I2981" t="s">
        <v>8822</v>
      </c>
      <c r="J2981" t="s">
        <v>33754</v>
      </c>
      <c r="K2981" t="s">
        <v>41200</v>
      </c>
      <c r="M2981" t="s">
        <v>42640</v>
      </c>
      <c r="N2981" t="s">
        <v>45095</v>
      </c>
      <c r="O2981" t="s">
        <v>45096</v>
      </c>
      <c r="P2981">
        <v>0</v>
      </c>
      <c r="Q2981">
        <v>6</v>
      </c>
      <c r="R2981" t="s">
        <v>45098</v>
      </c>
      <c r="S2981" t="s">
        <v>45223</v>
      </c>
      <c r="T2981" t="s">
        <v>46915</v>
      </c>
      <c r="U2981" t="s">
        <v>50004</v>
      </c>
      <c r="W2981" t="s">
        <v>42640</v>
      </c>
      <c r="X2981" t="s">
        <v>45099</v>
      </c>
    </row>
    <row r="2982" spans="1:24">
      <c r="A2982">
        <f>HYPERLINK("https://www.philgeps.gov.ph/GEPSNONPILOT/Tender/SplashBidNoticeAbstractUI.aspx?menuIndex=3&amp;refID=7043888&amp;Result=3","7043888")</f>
        <v>0</v>
      </c>
      <c r="B2982" t="s">
        <v>957</v>
      </c>
      <c r="C2982" t="s">
        <v>6041</v>
      </c>
      <c r="D2982" t="s">
        <v>18075</v>
      </c>
      <c r="E2982" t="s">
        <v>20823</v>
      </c>
      <c r="F2982" t="s">
        <v>31574</v>
      </c>
      <c r="G2982" t="s">
        <v>31582</v>
      </c>
      <c r="H2982" t="s">
        <v>31591</v>
      </c>
      <c r="I2982" t="s">
        <v>8822</v>
      </c>
      <c r="J2982" t="s">
        <v>33755</v>
      </c>
      <c r="K2982" t="s">
        <v>41252</v>
      </c>
      <c r="M2982" t="s">
        <v>42484</v>
      </c>
      <c r="N2982" t="s">
        <v>45095</v>
      </c>
      <c r="O2982" t="s">
        <v>45096</v>
      </c>
      <c r="P2982">
        <v>0</v>
      </c>
      <c r="Q2982">
        <v>0</v>
      </c>
      <c r="R2982" t="s">
        <v>45098</v>
      </c>
      <c r="S2982" t="s">
        <v>45223</v>
      </c>
      <c r="T2982" t="s">
        <v>47073</v>
      </c>
      <c r="U2982" t="s">
        <v>49578</v>
      </c>
      <c r="W2982" t="s">
        <v>42484</v>
      </c>
      <c r="X2982" t="s">
        <v>45100</v>
      </c>
    </row>
    <row r="2983" spans="1:24">
      <c r="A2983">
        <f>HYPERLINK("https://www.philgeps.gov.ph/GEPSNONPILOT/Tender/SplashBidNoticeAbstractUI.aspx?menuIndex=3&amp;refID=7043935&amp;Result=3","7043935")</f>
        <v>0</v>
      </c>
      <c r="B2983" t="s">
        <v>1092</v>
      </c>
      <c r="C2983" t="s">
        <v>6042</v>
      </c>
      <c r="D2983" t="s">
        <v>18022</v>
      </c>
      <c r="E2983" t="s">
        <v>20824</v>
      </c>
      <c r="F2983" t="s">
        <v>31574</v>
      </c>
      <c r="G2983" t="s">
        <v>31581</v>
      </c>
      <c r="H2983" t="s">
        <v>31592</v>
      </c>
      <c r="I2983" t="s">
        <v>31667</v>
      </c>
      <c r="J2983" t="s">
        <v>32049</v>
      </c>
      <c r="K2983" t="s">
        <v>41210</v>
      </c>
      <c r="M2983" t="s">
        <v>42641</v>
      </c>
      <c r="N2983" t="s">
        <v>45095</v>
      </c>
      <c r="O2983" t="s">
        <v>45096</v>
      </c>
      <c r="P2983">
        <v>0</v>
      </c>
      <c r="Q2983">
        <v>3</v>
      </c>
      <c r="R2983" t="s">
        <v>45098</v>
      </c>
      <c r="S2983" t="s">
        <v>45223</v>
      </c>
      <c r="T2983" t="s">
        <v>47021</v>
      </c>
      <c r="U2983" t="s">
        <v>50007</v>
      </c>
      <c r="W2983" t="s">
        <v>42641</v>
      </c>
      <c r="X2983" t="s">
        <v>45099</v>
      </c>
    </row>
    <row r="2984" spans="1:24">
      <c r="A2984">
        <f>HYPERLINK("https://www.philgeps.gov.ph/GEPSNONPILOT/Tender/SplashBidNoticeAbstractUI.aspx?menuIndex=3&amp;refID=7043934&amp;Result=3","7043934")</f>
        <v>0</v>
      </c>
      <c r="B2984" t="s">
        <v>1091</v>
      </c>
      <c r="C2984" t="s">
        <v>6043</v>
      </c>
      <c r="D2984" t="s">
        <v>18064</v>
      </c>
      <c r="E2984" t="s">
        <v>20821</v>
      </c>
      <c r="F2984" t="s">
        <v>31574</v>
      </c>
      <c r="G2984" t="s">
        <v>31582</v>
      </c>
      <c r="H2984" t="s">
        <v>31591</v>
      </c>
      <c r="I2984" t="s">
        <v>8822</v>
      </c>
      <c r="J2984" t="s">
        <v>33756</v>
      </c>
      <c r="K2984" t="s">
        <v>41200</v>
      </c>
      <c r="M2984" t="s">
        <v>42640</v>
      </c>
      <c r="N2984" t="s">
        <v>45095</v>
      </c>
      <c r="O2984" t="s">
        <v>45096</v>
      </c>
      <c r="P2984">
        <v>0</v>
      </c>
      <c r="Q2984">
        <v>6</v>
      </c>
      <c r="R2984" t="s">
        <v>45098</v>
      </c>
      <c r="S2984" t="s">
        <v>45223</v>
      </c>
      <c r="T2984" t="s">
        <v>46915</v>
      </c>
      <c r="U2984" t="s">
        <v>50004</v>
      </c>
      <c r="W2984" t="s">
        <v>42640</v>
      </c>
      <c r="X2984" t="s">
        <v>45099</v>
      </c>
    </row>
    <row r="2985" spans="1:24">
      <c r="A2985">
        <f>HYPERLINK("https://www.philgeps.gov.ph/GEPSNONPILOT/Tender/SplashBidNoticeAbstractUI.aspx?menuIndex=3&amp;refID=7043922&amp;Result=3","7043922")</f>
        <v>0</v>
      </c>
      <c r="B2985" t="s">
        <v>1085</v>
      </c>
      <c r="C2985" t="s">
        <v>6044</v>
      </c>
      <c r="D2985" t="s">
        <v>18042</v>
      </c>
      <c r="E2985" t="s">
        <v>20825</v>
      </c>
      <c r="F2985" t="s">
        <v>31574</v>
      </c>
      <c r="G2985" t="s">
        <v>31581</v>
      </c>
      <c r="H2985" t="s">
        <v>31590</v>
      </c>
      <c r="I2985" t="s">
        <v>31599</v>
      </c>
      <c r="J2985" t="s">
        <v>33757</v>
      </c>
      <c r="K2985" t="s">
        <v>41185</v>
      </c>
      <c r="M2985" t="s">
        <v>42634</v>
      </c>
      <c r="N2985" t="s">
        <v>45095</v>
      </c>
      <c r="O2985" t="s">
        <v>45096</v>
      </c>
      <c r="P2985">
        <v>0</v>
      </c>
      <c r="Q2985">
        <v>0</v>
      </c>
      <c r="R2985" t="s">
        <v>45098</v>
      </c>
      <c r="S2985" t="s">
        <v>45223</v>
      </c>
      <c r="T2985" t="s">
        <v>46963</v>
      </c>
      <c r="U2985" t="s">
        <v>49992</v>
      </c>
      <c r="W2985" t="s">
        <v>42634</v>
      </c>
      <c r="X2985" t="s">
        <v>45099</v>
      </c>
    </row>
    <row r="2986" spans="1:24">
      <c r="A2986">
        <f>HYPERLINK("https://www.philgeps.gov.ph/GEPSNONPILOT/Tender/SplashBidNoticeAbstractUI.aspx?menuIndex=3&amp;refID=7043932&amp;Result=3","7043932")</f>
        <v>0</v>
      </c>
      <c r="B2986" t="s">
        <v>1091</v>
      </c>
      <c r="C2986" t="s">
        <v>6045</v>
      </c>
      <c r="D2986" t="s">
        <v>18064</v>
      </c>
      <c r="E2986" t="s">
        <v>20821</v>
      </c>
      <c r="F2986" t="s">
        <v>31574</v>
      </c>
      <c r="G2986" t="s">
        <v>31582</v>
      </c>
      <c r="H2986" t="s">
        <v>31591</v>
      </c>
      <c r="I2986" t="s">
        <v>8822</v>
      </c>
      <c r="J2986" t="s">
        <v>33758</v>
      </c>
      <c r="K2986" t="s">
        <v>41200</v>
      </c>
      <c r="M2986" t="s">
        <v>42640</v>
      </c>
      <c r="N2986" t="s">
        <v>45095</v>
      </c>
      <c r="O2986" t="s">
        <v>45096</v>
      </c>
      <c r="P2986">
        <v>0</v>
      </c>
      <c r="Q2986">
        <v>6</v>
      </c>
      <c r="R2986" t="s">
        <v>45098</v>
      </c>
      <c r="S2986" t="s">
        <v>45223</v>
      </c>
      <c r="T2986" t="s">
        <v>46915</v>
      </c>
      <c r="U2986" t="s">
        <v>50004</v>
      </c>
      <c r="W2986" t="s">
        <v>42640</v>
      </c>
      <c r="X2986" t="s">
        <v>45099</v>
      </c>
    </row>
    <row r="2987" spans="1:24">
      <c r="A2987">
        <f>HYPERLINK("https://www.philgeps.gov.ph/GEPSNONPILOT/Tender/SplashBidNoticeAbstractUI.aspx?menuIndex=3&amp;refID=7043938&amp;Result=3","7043938")</f>
        <v>0</v>
      </c>
      <c r="B2987" t="s">
        <v>1093</v>
      </c>
      <c r="C2987" t="s">
        <v>6046</v>
      </c>
      <c r="D2987" t="s">
        <v>18071</v>
      </c>
      <c r="E2987" t="s">
        <v>20826</v>
      </c>
      <c r="F2987" t="s">
        <v>31575</v>
      </c>
      <c r="G2987" t="s">
        <v>31582</v>
      </c>
      <c r="H2987" t="s">
        <v>31590</v>
      </c>
      <c r="I2987" t="s">
        <v>3520</v>
      </c>
      <c r="J2987" t="s">
        <v>31789</v>
      </c>
      <c r="K2987" t="s">
        <v>41211</v>
      </c>
      <c r="M2987" t="s">
        <v>42642</v>
      </c>
      <c r="N2987" t="s">
        <v>45095</v>
      </c>
      <c r="O2987" t="s">
        <v>45096</v>
      </c>
      <c r="P2987">
        <v>0</v>
      </c>
      <c r="Q2987">
        <v>0</v>
      </c>
      <c r="R2987" t="s">
        <v>45098</v>
      </c>
      <c r="S2987" t="s">
        <v>45223</v>
      </c>
      <c r="T2987" t="s">
        <v>47093</v>
      </c>
      <c r="U2987" t="s">
        <v>50008</v>
      </c>
      <c r="W2987" t="s">
        <v>42642</v>
      </c>
      <c r="X2987" t="s">
        <v>45099</v>
      </c>
    </row>
    <row r="2988" spans="1:24">
      <c r="A2988">
        <f>HYPERLINK("https://www.philgeps.gov.ph/GEPSNONPILOT/Tender/SplashBidNoticeAbstractUI.aspx?menuIndex=3&amp;refID=7043933&amp;Result=3","7043933")</f>
        <v>0</v>
      </c>
      <c r="B2988" t="s">
        <v>1091</v>
      </c>
      <c r="C2988" t="s">
        <v>6047</v>
      </c>
      <c r="D2988" t="s">
        <v>18064</v>
      </c>
      <c r="E2988" t="s">
        <v>20821</v>
      </c>
      <c r="F2988" t="s">
        <v>31574</v>
      </c>
      <c r="G2988" t="s">
        <v>31582</v>
      </c>
      <c r="H2988" t="s">
        <v>31591</v>
      </c>
      <c r="I2988" t="s">
        <v>8822</v>
      </c>
      <c r="J2988" t="s">
        <v>33759</v>
      </c>
      <c r="K2988" t="s">
        <v>41200</v>
      </c>
      <c r="M2988" t="s">
        <v>42640</v>
      </c>
      <c r="N2988" t="s">
        <v>45095</v>
      </c>
      <c r="O2988" t="s">
        <v>45096</v>
      </c>
      <c r="P2988">
        <v>0</v>
      </c>
      <c r="Q2988">
        <v>6</v>
      </c>
      <c r="R2988" t="s">
        <v>45098</v>
      </c>
      <c r="S2988" t="s">
        <v>45223</v>
      </c>
      <c r="T2988" t="s">
        <v>46915</v>
      </c>
      <c r="U2988" t="s">
        <v>50004</v>
      </c>
      <c r="W2988" t="s">
        <v>42640</v>
      </c>
      <c r="X2988" t="s">
        <v>45099</v>
      </c>
    </row>
    <row r="2989" spans="1:24">
      <c r="A2989">
        <f>HYPERLINK("https://www.philgeps.gov.ph/GEPSNONPILOT/Tender/SplashBidNoticeAbstractUI.aspx?menuIndex=3&amp;refID=7043951&amp;Result=3","7043951")</f>
        <v>0</v>
      </c>
      <c r="B2989" t="s">
        <v>1094</v>
      </c>
      <c r="C2989" t="s">
        <v>6048</v>
      </c>
      <c r="D2989" t="s">
        <v>18023</v>
      </c>
      <c r="E2989" t="s">
        <v>20827</v>
      </c>
      <c r="F2989" t="s">
        <v>31574</v>
      </c>
      <c r="G2989" t="s">
        <v>31582</v>
      </c>
      <c r="H2989" t="s">
        <v>31591</v>
      </c>
      <c r="I2989" t="s">
        <v>8822</v>
      </c>
      <c r="J2989" t="s">
        <v>31789</v>
      </c>
      <c r="K2989" t="s">
        <v>41193</v>
      </c>
      <c r="M2989" t="s">
        <v>42643</v>
      </c>
      <c r="N2989" t="s">
        <v>45095</v>
      </c>
      <c r="O2989" t="s">
        <v>45096</v>
      </c>
      <c r="P2989">
        <v>0</v>
      </c>
      <c r="Q2989">
        <v>0</v>
      </c>
      <c r="R2989" t="s">
        <v>45098</v>
      </c>
      <c r="S2989" t="s">
        <v>45223</v>
      </c>
      <c r="T2989" t="s">
        <v>46980</v>
      </c>
      <c r="U2989" t="s">
        <v>50009</v>
      </c>
      <c r="V2989" t="s">
        <v>60139</v>
      </c>
      <c r="W2989" t="s">
        <v>42643</v>
      </c>
      <c r="X2989" t="s">
        <v>45099</v>
      </c>
    </row>
    <row r="2990" spans="1:24">
      <c r="A2990">
        <f>HYPERLINK("https://www.philgeps.gov.ph/GEPSNONPILOT/Tender/SplashBidNoticeAbstractUI.aspx?menuIndex=3&amp;refID=7043939&amp;Result=3","7043939")</f>
        <v>0</v>
      </c>
      <c r="B2990" t="s">
        <v>1093</v>
      </c>
      <c r="C2990" t="s">
        <v>6049</v>
      </c>
      <c r="D2990" t="s">
        <v>18071</v>
      </c>
      <c r="E2990" t="s">
        <v>20828</v>
      </c>
      <c r="F2990" t="s">
        <v>31575</v>
      </c>
      <c r="G2990" t="s">
        <v>31582</v>
      </c>
      <c r="H2990" t="s">
        <v>31590</v>
      </c>
      <c r="I2990" t="s">
        <v>3520</v>
      </c>
      <c r="J2990" t="s">
        <v>31727</v>
      </c>
      <c r="K2990" t="s">
        <v>41211</v>
      </c>
      <c r="M2990" t="s">
        <v>42642</v>
      </c>
      <c r="N2990" t="s">
        <v>45095</v>
      </c>
      <c r="O2990" t="s">
        <v>45096</v>
      </c>
      <c r="P2990">
        <v>0</v>
      </c>
      <c r="Q2990">
        <v>0</v>
      </c>
      <c r="R2990" t="s">
        <v>45098</v>
      </c>
      <c r="S2990" t="s">
        <v>45223</v>
      </c>
      <c r="T2990" t="s">
        <v>47093</v>
      </c>
      <c r="U2990" t="s">
        <v>50010</v>
      </c>
      <c r="W2990" t="s">
        <v>42642</v>
      </c>
      <c r="X2990" t="s">
        <v>45099</v>
      </c>
    </row>
    <row r="2991" spans="1:24">
      <c r="A2991">
        <f>HYPERLINK("https://www.philgeps.gov.ph/GEPSNONPILOT/Tender/SplashBidNoticeAbstractUI.aspx?menuIndex=3&amp;refID=7043928&amp;Result=3","7043928")</f>
        <v>0</v>
      </c>
      <c r="B2991" t="s">
        <v>1091</v>
      </c>
      <c r="C2991" t="s">
        <v>6050</v>
      </c>
      <c r="D2991" t="s">
        <v>18064</v>
      </c>
      <c r="E2991" t="s">
        <v>20821</v>
      </c>
      <c r="F2991" t="s">
        <v>31574</v>
      </c>
      <c r="G2991" t="s">
        <v>31582</v>
      </c>
      <c r="H2991" t="s">
        <v>31591</v>
      </c>
      <c r="I2991" t="s">
        <v>8822</v>
      </c>
      <c r="J2991" t="s">
        <v>33760</v>
      </c>
      <c r="K2991" t="s">
        <v>41200</v>
      </c>
      <c r="M2991" t="s">
        <v>42640</v>
      </c>
      <c r="N2991" t="s">
        <v>45095</v>
      </c>
      <c r="O2991" t="s">
        <v>45096</v>
      </c>
      <c r="P2991">
        <v>0</v>
      </c>
      <c r="Q2991">
        <v>6</v>
      </c>
      <c r="R2991" t="s">
        <v>45098</v>
      </c>
      <c r="S2991" t="s">
        <v>45223</v>
      </c>
      <c r="T2991" t="s">
        <v>46915</v>
      </c>
      <c r="U2991" t="s">
        <v>50004</v>
      </c>
      <c r="W2991" t="s">
        <v>42640</v>
      </c>
      <c r="X2991" t="s">
        <v>45099</v>
      </c>
    </row>
    <row r="2992" spans="1:24">
      <c r="A2992">
        <f>HYPERLINK("https://www.philgeps.gov.ph/GEPSNONPILOT/Tender/SplashBidNoticeAbstractUI.aspx?menuIndex=3&amp;refID=7043954&amp;Result=3","7043954")</f>
        <v>0</v>
      </c>
      <c r="B2992" t="s">
        <v>264</v>
      </c>
      <c r="C2992" t="s">
        <v>6051</v>
      </c>
      <c r="D2992" t="s">
        <v>18066</v>
      </c>
      <c r="E2992" t="s">
        <v>20829</v>
      </c>
      <c r="F2992" t="s">
        <v>31574</v>
      </c>
      <c r="G2992" t="s">
        <v>31583</v>
      </c>
      <c r="H2992" t="s">
        <v>31590</v>
      </c>
      <c r="I2992" t="s">
        <v>5717</v>
      </c>
      <c r="J2992" t="s">
        <v>33761</v>
      </c>
      <c r="K2992" t="s">
        <v>41184</v>
      </c>
      <c r="M2992" t="s">
        <v>41750</v>
      </c>
      <c r="N2992" t="s">
        <v>45095</v>
      </c>
      <c r="O2992" t="s">
        <v>45096</v>
      </c>
      <c r="P2992">
        <v>0</v>
      </c>
      <c r="Q2992">
        <v>0</v>
      </c>
      <c r="R2992" t="s">
        <v>45098</v>
      </c>
      <c r="S2992" t="s">
        <v>45223</v>
      </c>
      <c r="T2992" t="s">
        <v>46963</v>
      </c>
      <c r="U2992" t="s">
        <v>50011</v>
      </c>
      <c r="W2992" t="s">
        <v>61674</v>
      </c>
      <c r="X2992" t="s">
        <v>45099</v>
      </c>
    </row>
    <row r="2993" spans="1:24">
      <c r="A2993">
        <f>HYPERLINK("https://www.philgeps.gov.ph/GEPSNONPILOT/Tender/SplashBidNoticeAbstractUI.aspx?menuIndex=3&amp;refID=7043950&amp;Result=3","7043950")</f>
        <v>0</v>
      </c>
      <c r="B2993" t="s">
        <v>1095</v>
      </c>
      <c r="C2993" t="s">
        <v>5398</v>
      </c>
      <c r="E2993" t="s">
        <v>20830</v>
      </c>
      <c r="F2993" t="s">
        <v>31574</v>
      </c>
      <c r="G2993" t="s">
        <v>31582</v>
      </c>
      <c r="H2993" t="s">
        <v>31590</v>
      </c>
      <c r="I2993" t="s">
        <v>31608</v>
      </c>
      <c r="J2993" t="s">
        <v>31845</v>
      </c>
      <c r="K2993" t="s">
        <v>41193</v>
      </c>
      <c r="M2993" t="s">
        <v>42644</v>
      </c>
      <c r="N2993" t="s">
        <v>45095</v>
      </c>
      <c r="O2993" t="s">
        <v>45096</v>
      </c>
      <c r="P2993">
        <v>0</v>
      </c>
      <c r="Q2993">
        <v>0</v>
      </c>
      <c r="R2993" t="s">
        <v>45098</v>
      </c>
      <c r="S2993" t="s">
        <v>45223</v>
      </c>
      <c r="T2993" t="s">
        <v>46922</v>
      </c>
      <c r="U2993" t="s">
        <v>50012</v>
      </c>
      <c r="W2993" t="s">
        <v>42644</v>
      </c>
      <c r="X2993" t="s">
        <v>45099</v>
      </c>
    </row>
    <row r="2994" spans="1:24">
      <c r="A2994">
        <f>HYPERLINK("https://www.philgeps.gov.ph/GEPSNONPILOT/Tender/SplashBidNoticeAbstractUI.aspx?menuIndex=3&amp;refID=7043949&amp;Result=3","7043949")</f>
        <v>0</v>
      </c>
      <c r="B2994" t="s">
        <v>1094</v>
      </c>
      <c r="C2994" t="s">
        <v>6052</v>
      </c>
      <c r="D2994" t="s">
        <v>18023</v>
      </c>
      <c r="E2994" t="s">
        <v>20831</v>
      </c>
      <c r="F2994" t="s">
        <v>31574</v>
      </c>
      <c r="G2994" t="s">
        <v>31582</v>
      </c>
      <c r="H2994" t="s">
        <v>31591</v>
      </c>
      <c r="I2994" t="s">
        <v>8822</v>
      </c>
      <c r="J2994" t="s">
        <v>31727</v>
      </c>
      <c r="K2994" t="s">
        <v>41193</v>
      </c>
      <c r="M2994" t="s">
        <v>42643</v>
      </c>
      <c r="N2994" t="s">
        <v>45095</v>
      </c>
      <c r="O2994" t="s">
        <v>45096</v>
      </c>
      <c r="P2994">
        <v>0</v>
      </c>
      <c r="Q2994">
        <v>0</v>
      </c>
      <c r="R2994" t="s">
        <v>45098</v>
      </c>
      <c r="S2994" t="s">
        <v>45223</v>
      </c>
      <c r="T2994" t="s">
        <v>46980</v>
      </c>
      <c r="U2994" t="s">
        <v>50009</v>
      </c>
      <c r="V2994" t="s">
        <v>60139</v>
      </c>
      <c r="W2994" t="s">
        <v>42643</v>
      </c>
      <c r="X2994" t="s">
        <v>45099</v>
      </c>
    </row>
    <row r="2995" spans="1:24">
      <c r="A2995">
        <f>HYPERLINK("https://www.philgeps.gov.ph/GEPSNONPILOT/Tender/SplashBidNoticeAbstractUI.aspx?menuIndex=3&amp;refID=7043948&amp;Result=3","7043948")</f>
        <v>0</v>
      </c>
      <c r="B2995" t="s">
        <v>1094</v>
      </c>
      <c r="C2995" t="s">
        <v>6052</v>
      </c>
      <c r="D2995" t="s">
        <v>18023</v>
      </c>
      <c r="E2995" t="s">
        <v>20832</v>
      </c>
      <c r="F2995" t="s">
        <v>31574</v>
      </c>
      <c r="G2995" t="s">
        <v>31582</v>
      </c>
      <c r="H2995" t="s">
        <v>31591</v>
      </c>
      <c r="I2995" t="s">
        <v>8822</v>
      </c>
      <c r="J2995" t="s">
        <v>33762</v>
      </c>
      <c r="K2995" t="s">
        <v>41193</v>
      </c>
      <c r="M2995" t="s">
        <v>42643</v>
      </c>
      <c r="N2995" t="s">
        <v>45095</v>
      </c>
      <c r="O2995" t="s">
        <v>45096</v>
      </c>
      <c r="P2995">
        <v>0</v>
      </c>
      <c r="Q2995">
        <v>0</v>
      </c>
      <c r="R2995" t="s">
        <v>45098</v>
      </c>
      <c r="S2995" t="s">
        <v>45223</v>
      </c>
      <c r="T2995" t="s">
        <v>46980</v>
      </c>
      <c r="U2995" t="s">
        <v>50013</v>
      </c>
      <c r="V2995" t="s">
        <v>60140</v>
      </c>
      <c r="W2995" t="s">
        <v>42643</v>
      </c>
      <c r="X2995" t="s">
        <v>45099</v>
      </c>
    </row>
    <row r="2996" spans="1:24">
      <c r="A2996">
        <f>HYPERLINK("https://www.philgeps.gov.ph/GEPSNONPILOT/Tender/SplashBidNoticeAbstractUI.aspx?menuIndex=3&amp;refID=7043955&amp;Result=3","7043955")</f>
        <v>0</v>
      </c>
      <c r="B2996" t="s">
        <v>1096</v>
      </c>
      <c r="C2996" t="s">
        <v>6053</v>
      </c>
      <c r="D2996" t="s">
        <v>18031</v>
      </c>
      <c r="E2996" t="s">
        <v>20833</v>
      </c>
      <c r="F2996" t="s">
        <v>31574</v>
      </c>
      <c r="G2996" t="s">
        <v>31581</v>
      </c>
      <c r="H2996" t="s">
        <v>31590</v>
      </c>
      <c r="I2996" t="s">
        <v>3487</v>
      </c>
      <c r="J2996" t="s">
        <v>32969</v>
      </c>
      <c r="K2996" t="s">
        <v>41212</v>
      </c>
      <c r="M2996" t="s">
        <v>42645</v>
      </c>
      <c r="N2996" t="s">
        <v>45095</v>
      </c>
      <c r="O2996" t="s">
        <v>45096</v>
      </c>
      <c r="P2996">
        <v>0</v>
      </c>
      <c r="Q2996">
        <v>0</v>
      </c>
      <c r="R2996" t="s">
        <v>45098</v>
      </c>
      <c r="S2996" t="s">
        <v>45223</v>
      </c>
      <c r="T2996" t="s">
        <v>47021</v>
      </c>
      <c r="U2996" t="s">
        <v>50014</v>
      </c>
      <c r="W2996" t="s">
        <v>42645</v>
      </c>
      <c r="X2996" t="s">
        <v>45099</v>
      </c>
    </row>
    <row r="2997" spans="1:24">
      <c r="A2997">
        <f>HYPERLINK("https://www.philgeps.gov.ph/GEPSNONPILOT/Tender/SplashBidNoticeAbstractUI.aspx?menuIndex=3&amp;refID=7043959&amp;Result=3","7043959")</f>
        <v>0</v>
      </c>
      <c r="B2997" t="s">
        <v>1096</v>
      </c>
      <c r="C2997" t="s">
        <v>6054</v>
      </c>
      <c r="D2997" t="s">
        <v>18031</v>
      </c>
      <c r="E2997" t="s">
        <v>20834</v>
      </c>
      <c r="F2997" t="s">
        <v>31574</v>
      </c>
      <c r="G2997" t="s">
        <v>31581</v>
      </c>
      <c r="H2997" t="s">
        <v>31590</v>
      </c>
      <c r="I2997" t="s">
        <v>4327</v>
      </c>
      <c r="J2997" t="s">
        <v>32969</v>
      </c>
      <c r="K2997" t="s">
        <v>41212</v>
      </c>
      <c r="M2997" t="s">
        <v>42645</v>
      </c>
      <c r="N2997" t="s">
        <v>45095</v>
      </c>
      <c r="O2997" t="s">
        <v>45096</v>
      </c>
      <c r="P2997">
        <v>0</v>
      </c>
      <c r="Q2997">
        <v>1</v>
      </c>
      <c r="R2997" t="s">
        <v>45098</v>
      </c>
      <c r="S2997" t="s">
        <v>45223</v>
      </c>
      <c r="T2997" t="s">
        <v>46982</v>
      </c>
      <c r="U2997" t="s">
        <v>50014</v>
      </c>
      <c r="W2997" t="s">
        <v>42645</v>
      </c>
      <c r="X2997" t="s">
        <v>45099</v>
      </c>
    </row>
    <row r="2998" spans="1:24">
      <c r="A2998">
        <f>HYPERLINK("https://www.philgeps.gov.ph/GEPSNONPILOT/Tender/SplashBidNoticeAbstractUI.aspx?menuIndex=3&amp;refID=7043931&amp;Result=3","7043931")</f>
        <v>0</v>
      </c>
      <c r="B2998" t="s">
        <v>1091</v>
      </c>
      <c r="C2998" t="s">
        <v>6055</v>
      </c>
      <c r="D2998" t="s">
        <v>18064</v>
      </c>
      <c r="E2998" t="s">
        <v>20821</v>
      </c>
      <c r="F2998" t="s">
        <v>31574</v>
      </c>
      <c r="G2998" t="s">
        <v>31582</v>
      </c>
      <c r="H2998" t="s">
        <v>31591</v>
      </c>
      <c r="I2998" t="s">
        <v>8822</v>
      </c>
      <c r="J2998" t="s">
        <v>33763</v>
      </c>
      <c r="K2998" t="s">
        <v>41200</v>
      </c>
      <c r="M2998" t="s">
        <v>42640</v>
      </c>
      <c r="N2998" t="s">
        <v>45095</v>
      </c>
      <c r="O2998" t="s">
        <v>45096</v>
      </c>
      <c r="P2998">
        <v>0</v>
      </c>
      <c r="Q2998">
        <v>6</v>
      </c>
      <c r="R2998" t="s">
        <v>45098</v>
      </c>
      <c r="S2998" t="s">
        <v>45223</v>
      </c>
      <c r="T2998" t="s">
        <v>46915</v>
      </c>
      <c r="U2998" t="s">
        <v>50004</v>
      </c>
      <c r="W2998" t="s">
        <v>42640</v>
      </c>
      <c r="X2998" t="s">
        <v>45099</v>
      </c>
    </row>
    <row r="2999" spans="1:24">
      <c r="A2999">
        <f>HYPERLINK("https://www.philgeps.gov.ph/GEPSNONPILOT/Tender/SplashBidNoticeAbstractUI.aspx?menuIndex=3&amp;refID=7043958&amp;Result=3","7043958")</f>
        <v>0</v>
      </c>
      <c r="B2999" t="s">
        <v>1097</v>
      </c>
      <c r="C2999" t="s">
        <v>4545</v>
      </c>
      <c r="D2999" t="s">
        <v>18063</v>
      </c>
      <c r="E2999" t="s">
        <v>20835</v>
      </c>
      <c r="F2999" t="s">
        <v>31574</v>
      </c>
      <c r="G2999" t="s">
        <v>31583</v>
      </c>
      <c r="H2999" t="s">
        <v>31590</v>
      </c>
      <c r="I2999" t="s">
        <v>5717</v>
      </c>
      <c r="J2999" t="s">
        <v>31726</v>
      </c>
      <c r="K2999" t="s">
        <v>41213</v>
      </c>
      <c r="M2999" t="s">
        <v>42646</v>
      </c>
      <c r="N2999" t="s">
        <v>45095</v>
      </c>
      <c r="O2999" t="s">
        <v>45096</v>
      </c>
      <c r="P2999">
        <v>0</v>
      </c>
      <c r="Q2999">
        <v>1</v>
      </c>
      <c r="R2999" t="s">
        <v>45098</v>
      </c>
      <c r="S2999" t="s">
        <v>45223</v>
      </c>
      <c r="T2999" t="s">
        <v>46969</v>
      </c>
      <c r="U2999" t="s">
        <v>50015</v>
      </c>
      <c r="V2999" t="s">
        <v>60141</v>
      </c>
      <c r="W2999" t="s">
        <v>42646</v>
      </c>
      <c r="X2999" t="s">
        <v>45099</v>
      </c>
    </row>
    <row r="3000" spans="1:24">
      <c r="A3000">
        <f>HYPERLINK("https://www.philgeps.gov.ph/GEPSNONPILOT/Tender/SplashBidNoticeAbstractUI.aspx?menuIndex=3&amp;refID=7043967&amp;Result=3","7043967")</f>
        <v>0</v>
      </c>
      <c r="B3000" t="s">
        <v>1098</v>
      </c>
      <c r="C3000" t="s">
        <v>6056</v>
      </c>
      <c r="D3000" t="s">
        <v>18055</v>
      </c>
      <c r="E3000" t="s">
        <v>20836</v>
      </c>
      <c r="F3000" t="s">
        <v>31574</v>
      </c>
      <c r="G3000" t="s">
        <v>31581</v>
      </c>
      <c r="H3000" t="s">
        <v>31590</v>
      </c>
      <c r="I3000" t="s">
        <v>31640</v>
      </c>
      <c r="J3000" t="s">
        <v>33764</v>
      </c>
      <c r="K3000" t="s">
        <v>41186</v>
      </c>
      <c r="M3000" t="s">
        <v>42647</v>
      </c>
      <c r="N3000" t="s">
        <v>45095</v>
      </c>
      <c r="O3000" t="s">
        <v>45096</v>
      </c>
      <c r="P3000">
        <v>0</v>
      </c>
      <c r="Q3000">
        <v>1</v>
      </c>
      <c r="R3000" t="s">
        <v>45098</v>
      </c>
      <c r="S3000" t="s">
        <v>45223</v>
      </c>
      <c r="T3000" t="s">
        <v>46982</v>
      </c>
      <c r="U3000" t="s">
        <v>50016</v>
      </c>
      <c r="W3000" t="s">
        <v>42647</v>
      </c>
      <c r="X3000" t="s">
        <v>45099</v>
      </c>
    </row>
    <row r="3001" spans="1:24">
      <c r="A3001">
        <f>HYPERLINK("https://www.philgeps.gov.ph/GEPSNONPILOT/Tender/SplashBidNoticeAbstractUI.aspx?menuIndex=3&amp;refID=7043957&amp;Result=3","7043957")</f>
        <v>0</v>
      </c>
      <c r="B3001" t="s">
        <v>264</v>
      </c>
      <c r="C3001" t="s">
        <v>6057</v>
      </c>
      <c r="D3001" t="s">
        <v>18066</v>
      </c>
      <c r="E3001" t="s">
        <v>20837</v>
      </c>
      <c r="F3001" t="s">
        <v>31574</v>
      </c>
      <c r="G3001" t="s">
        <v>31583</v>
      </c>
      <c r="H3001" t="s">
        <v>31590</v>
      </c>
      <c r="I3001" t="s">
        <v>5717</v>
      </c>
      <c r="J3001" t="s">
        <v>33765</v>
      </c>
      <c r="K3001" t="s">
        <v>41184</v>
      </c>
      <c r="M3001" t="s">
        <v>41750</v>
      </c>
      <c r="N3001" t="s">
        <v>45095</v>
      </c>
      <c r="O3001" t="s">
        <v>45096</v>
      </c>
      <c r="P3001">
        <v>0</v>
      </c>
      <c r="Q3001">
        <v>0</v>
      </c>
      <c r="R3001" t="s">
        <v>45098</v>
      </c>
      <c r="S3001" t="s">
        <v>45223</v>
      </c>
      <c r="T3001" t="s">
        <v>46963</v>
      </c>
      <c r="U3001" t="s">
        <v>50017</v>
      </c>
      <c r="W3001" t="s">
        <v>61674</v>
      </c>
      <c r="X3001" t="s">
        <v>45099</v>
      </c>
    </row>
    <row r="3002" spans="1:24">
      <c r="A3002">
        <f>HYPERLINK("https://www.philgeps.gov.ph/GEPSNONPILOT/Tender/SplashBidNoticeAbstractUI.aspx?menuIndex=3&amp;refID=7043964&amp;Result=3","7043964")</f>
        <v>0</v>
      </c>
      <c r="B3002" t="s">
        <v>264</v>
      </c>
      <c r="C3002" t="s">
        <v>6058</v>
      </c>
      <c r="D3002" t="s">
        <v>18066</v>
      </c>
      <c r="E3002" t="s">
        <v>20838</v>
      </c>
      <c r="F3002" t="s">
        <v>31574</v>
      </c>
      <c r="G3002" t="s">
        <v>31583</v>
      </c>
      <c r="H3002" t="s">
        <v>31590</v>
      </c>
      <c r="I3002" t="s">
        <v>4354</v>
      </c>
      <c r="J3002" t="s">
        <v>33766</v>
      </c>
      <c r="K3002" t="s">
        <v>41184</v>
      </c>
      <c r="M3002" t="s">
        <v>41750</v>
      </c>
      <c r="N3002" t="s">
        <v>45095</v>
      </c>
      <c r="O3002" t="s">
        <v>45096</v>
      </c>
      <c r="P3002">
        <v>0</v>
      </c>
      <c r="Q3002">
        <v>0</v>
      </c>
      <c r="R3002" t="s">
        <v>45098</v>
      </c>
      <c r="S3002" t="s">
        <v>45223</v>
      </c>
      <c r="T3002" t="s">
        <v>46963</v>
      </c>
      <c r="U3002" t="s">
        <v>50018</v>
      </c>
      <c r="W3002" t="s">
        <v>61674</v>
      </c>
      <c r="X3002" t="s">
        <v>45099</v>
      </c>
    </row>
    <row r="3003" spans="1:24">
      <c r="A3003">
        <f>HYPERLINK("https://www.philgeps.gov.ph/GEPSNONPILOT/Tender/SplashBidNoticeAbstractUI.aspx?menuIndex=3&amp;refID=7043956&amp;Result=3","7043956")</f>
        <v>0</v>
      </c>
      <c r="B3003" t="s">
        <v>264</v>
      </c>
      <c r="C3003" t="s">
        <v>6059</v>
      </c>
      <c r="D3003" t="s">
        <v>18066</v>
      </c>
      <c r="E3003" t="s">
        <v>20839</v>
      </c>
      <c r="F3003" t="s">
        <v>31574</v>
      </c>
      <c r="G3003" t="s">
        <v>31583</v>
      </c>
      <c r="H3003" t="s">
        <v>31590</v>
      </c>
      <c r="I3003" t="s">
        <v>31644</v>
      </c>
      <c r="J3003" t="s">
        <v>32359</v>
      </c>
      <c r="K3003" t="s">
        <v>41184</v>
      </c>
      <c r="M3003" t="s">
        <v>41750</v>
      </c>
      <c r="N3003" t="s">
        <v>45095</v>
      </c>
      <c r="O3003" t="s">
        <v>45096</v>
      </c>
      <c r="P3003">
        <v>0</v>
      </c>
      <c r="Q3003">
        <v>2</v>
      </c>
      <c r="R3003" t="s">
        <v>45098</v>
      </c>
      <c r="S3003" t="s">
        <v>45223</v>
      </c>
      <c r="T3003" t="s">
        <v>46963</v>
      </c>
      <c r="U3003" t="s">
        <v>50019</v>
      </c>
      <c r="W3003" t="s">
        <v>61674</v>
      </c>
      <c r="X3003" t="s">
        <v>45099</v>
      </c>
    </row>
    <row r="3004" spans="1:24">
      <c r="A3004">
        <f>HYPERLINK("https://www.philgeps.gov.ph/GEPSNONPILOT/Tender/SplashBidNoticeAbstractUI.aspx?menuIndex=3&amp;refID=7043962&amp;Result=3","7043962")</f>
        <v>0</v>
      </c>
      <c r="B3004" t="s">
        <v>1098</v>
      </c>
      <c r="C3004" t="s">
        <v>6060</v>
      </c>
      <c r="D3004" t="s">
        <v>18055</v>
      </c>
      <c r="E3004" t="s">
        <v>20840</v>
      </c>
      <c r="F3004" t="s">
        <v>31574</v>
      </c>
      <c r="G3004" t="s">
        <v>31581</v>
      </c>
      <c r="H3004" t="s">
        <v>31590</v>
      </c>
      <c r="I3004" t="s">
        <v>3487</v>
      </c>
      <c r="J3004" t="s">
        <v>33767</v>
      </c>
      <c r="K3004" t="s">
        <v>41186</v>
      </c>
      <c r="M3004" t="s">
        <v>42647</v>
      </c>
      <c r="N3004" t="s">
        <v>45095</v>
      </c>
      <c r="O3004" t="s">
        <v>45096</v>
      </c>
      <c r="P3004">
        <v>0</v>
      </c>
      <c r="Q3004">
        <v>1</v>
      </c>
      <c r="R3004" t="s">
        <v>45098</v>
      </c>
      <c r="S3004" t="s">
        <v>45223</v>
      </c>
      <c r="T3004" t="s">
        <v>46982</v>
      </c>
      <c r="U3004" t="s">
        <v>50020</v>
      </c>
      <c r="W3004" t="s">
        <v>42647</v>
      </c>
      <c r="X3004" t="s">
        <v>45099</v>
      </c>
    </row>
    <row r="3005" spans="1:24">
      <c r="A3005">
        <f>HYPERLINK("https://www.philgeps.gov.ph/GEPSNONPILOT/Tender/SplashBidNoticeAbstractUI.aspx?menuIndex=3&amp;refID=7043953&amp;Result=3","7043953")</f>
        <v>0</v>
      </c>
      <c r="B3005" t="s">
        <v>362</v>
      </c>
      <c r="C3005" t="s">
        <v>6061</v>
      </c>
      <c r="D3005" t="s">
        <v>18068</v>
      </c>
      <c r="E3005" t="s">
        <v>20841</v>
      </c>
      <c r="F3005" t="s">
        <v>31574</v>
      </c>
      <c r="G3005" t="s">
        <v>31581</v>
      </c>
      <c r="H3005" t="s">
        <v>31591</v>
      </c>
      <c r="I3005" t="s">
        <v>4327</v>
      </c>
      <c r="J3005" t="s">
        <v>31930</v>
      </c>
      <c r="K3005" t="s">
        <v>41211</v>
      </c>
      <c r="M3005" t="s">
        <v>41852</v>
      </c>
      <c r="N3005" t="s">
        <v>45095</v>
      </c>
      <c r="O3005" t="s">
        <v>45096</v>
      </c>
      <c r="P3005">
        <v>0</v>
      </c>
      <c r="Q3005">
        <v>0</v>
      </c>
      <c r="R3005" t="s">
        <v>45098</v>
      </c>
      <c r="S3005" t="s">
        <v>45223</v>
      </c>
      <c r="T3005" t="s">
        <v>46973</v>
      </c>
      <c r="U3005" t="s">
        <v>50021</v>
      </c>
      <c r="W3005" t="s">
        <v>41852</v>
      </c>
      <c r="X3005" t="s">
        <v>45099</v>
      </c>
    </row>
    <row r="3006" spans="1:24">
      <c r="A3006">
        <f>HYPERLINK("https://www.philgeps.gov.ph/GEPSNONPILOT/Tender/SplashBidNoticeAbstractUI.aspx?menuIndex=3&amp;refID=7043966&amp;Result=3","7043966")</f>
        <v>0</v>
      </c>
      <c r="B3006" t="s">
        <v>264</v>
      </c>
      <c r="C3006" t="s">
        <v>6062</v>
      </c>
      <c r="D3006" t="s">
        <v>18066</v>
      </c>
      <c r="E3006" t="s">
        <v>20842</v>
      </c>
      <c r="F3006" t="s">
        <v>31574</v>
      </c>
      <c r="G3006" t="s">
        <v>31583</v>
      </c>
      <c r="H3006" t="s">
        <v>31590</v>
      </c>
      <c r="I3006" t="s">
        <v>5717</v>
      </c>
      <c r="J3006" t="s">
        <v>33768</v>
      </c>
      <c r="K3006" t="s">
        <v>41184</v>
      </c>
      <c r="M3006" t="s">
        <v>41750</v>
      </c>
      <c r="N3006" t="s">
        <v>45095</v>
      </c>
      <c r="O3006" t="s">
        <v>45096</v>
      </c>
      <c r="P3006">
        <v>0</v>
      </c>
      <c r="Q3006">
        <v>0</v>
      </c>
      <c r="R3006" t="s">
        <v>45098</v>
      </c>
      <c r="S3006" t="s">
        <v>45223</v>
      </c>
      <c r="T3006" t="s">
        <v>46963</v>
      </c>
      <c r="U3006" t="s">
        <v>50022</v>
      </c>
      <c r="W3006" t="s">
        <v>61674</v>
      </c>
      <c r="X3006" t="s">
        <v>45099</v>
      </c>
    </row>
    <row r="3007" spans="1:24">
      <c r="A3007">
        <f>HYPERLINK("https://www.philgeps.gov.ph/GEPSNONPILOT/Tender/SplashBidNoticeAbstractUI.aspx?menuIndex=3&amp;refID=7043947&amp;Result=3","7043947")</f>
        <v>0</v>
      </c>
      <c r="B3007" t="s">
        <v>969</v>
      </c>
      <c r="C3007" t="s">
        <v>6063</v>
      </c>
      <c r="D3007" t="s">
        <v>18072</v>
      </c>
      <c r="E3007" t="s">
        <v>20630</v>
      </c>
      <c r="F3007" t="s">
        <v>31574</v>
      </c>
      <c r="G3007" t="s">
        <v>31582</v>
      </c>
      <c r="H3007" t="s">
        <v>31590</v>
      </c>
      <c r="I3007" t="s">
        <v>6800</v>
      </c>
      <c r="J3007" t="s">
        <v>33769</v>
      </c>
      <c r="K3007" t="s">
        <v>41186</v>
      </c>
      <c r="M3007" t="s">
        <v>42498</v>
      </c>
      <c r="N3007" t="s">
        <v>45095</v>
      </c>
      <c r="O3007" t="s">
        <v>45096</v>
      </c>
      <c r="P3007">
        <v>0</v>
      </c>
      <c r="Q3007">
        <v>0</v>
      </c>
      <c r="R3007" t="s">
        <v>45098</v>
      </c>
      <c r="S3007" t="s">
        <v>45223</v>
      </c>
      <c r="T3007" t="s">
        <v>46955</v>
      </c>
      <c r="U3007" t="s">
        <v>49619</v>
      </c>
      <c r="W3007" t="s">
        <v>42498</v>
      </c>
      <c r="X3007" t="s">
        <v>45099</v>
      </c>
    </row>
    <row r="3008" spans="1:24">
      <c r="A3008">
        <f>HYPERLINK("https://www.philgeps.gov.ph/GEPSNONPILOT/Tender/SplashBidNoticeAbstractUI.aspx?menuIndex=3&amp;refID=7043970&amp;Result=3","7043970")</f>
        <v>0</v>
      </c>
      <c r="B3008" t="s">
        <v>1099</v>
      </c>
      <c r="C3008" t="s">
        <v>6064</v>
      </c>
      <c r="D3008" t="s">
        <v>18025</v>
      </c>
      <c r="E3008" t="s">
        <v>20843</v>
      </c>
      <c r="F3008" t="s">
        <v>31574</v>
      </c>
      <c r="G3008" t="s">
        <v>31581</v>
      </c>
      <c r="H3008" t="s">
        <v>31590</v>
      </c>
      <c r="I3008" t="s">
        <v>4327</v>
      </c>
      <c r="J3008" t="s">
        <v>32258</v>
      </c>
      <c r="K3008" t="s">
        <v>41194</v>
      </c>
      <c r="M3008" t="s">
        <v>42648</v>
      </c>
      <c r="N3008" t="s">
        <v>45095</v>
      </c>
      <c r="O3008" t="s">
        <v>45096</v>
      </c>
      <c r="P3008">
        <v>0</v>
      </c>
      <c r="Q3008">
        <v>3</v>
      </c>
      <c r="R3008" t="s">
        <v>45098</v>
      </c>
      <c r="S3008" t="s">
        <v>45223</v>
      </c>
      <c r="T3008" t="s">
        <v>47146</v>
      </c>
      <c r="U3008" t="s">
        <v>50023</v>
      </c>
      <c r="W3008" t="s">
        <v>42648</v>
      </c>
      <c r="X3008" t="s">
        <v>45099</v>
      </c>
    </row>
    <row r="3009" spans="1:24">
      <c r="A3009">
        <f>HYPERLINK("https://www.philgeps.gov.ph/GEPSNONPILOT/Tender/SplashBidNoticeAbstractUI.aspx?menuIndex=3&amp;refID=7043960&amp;Result=3","7043960")</f>
        <v>0</v>
      </c>
      <c r="B3009" t="s">
        <v>1056</v>
      </c>
      <c r="C3009" t="s">
        <v>6065</v>
      </c>
      <c r="D3009" t="s">
        <v>18041</v>
      </c>
      <c r="E3009" t="s">
        <v>20844</v>
      </c>
      <c r="F3009" t="s">
        <v>31574</v>
      </c>
      <c r="G3009" t="s">
        <v>31582</v>
      </c>
      <c r="H3009" t="s">
        <v>31590</v>
      </c>
      <c r="I3009" t="s">
        <v>31608</v>
      </c>
      <c r="J3009" t="s">
        <v>33770</v>
      </c>
      <c r="K3009" t="s">
        <v>41184</v>
      </c>
      <c r="M3009" t="s">
        <v>42601</v>
      </c>
      <c r="N3009" t="s">
        <v>45095</v>
      </c>
      <c r="O3009" t="s">
        <v>45096</v>
      </c>
      <c r="P3009">
        <v>0</v>
      </c>
      <c r="Q3009">
        <v>2</v>
      </c>
      <c r="R3009" t="s">
        <v>45098</v>
      </c>
      <c r="S3009" t="s">
        <v>45223</v>
      </c>
      <c r="T3009" t="s">
        <v>46905</v>
      </c>
      <c r="U3009" t="s">
        <v>50024</v>
      </c>
      <c r="W3009" t="s">
        <v>42601</v>
      </c>
      <c r="X3009" t="s">
        <v>45099</v>
      </c>
    </row>
    <row r="3010" spans="1:24">
      <c r="A3010">
        <f>HYPERLINK("https://www.philgeps.gov.ph/GEPSNONPILOT/Tender/SplashBidNoticeAbstractUI.aspx?menuIndex=3&amp;refID=7043963&amp;Result=3","7043963")</f>
        <v>0</v>
      </c>
      <c r="B3010" t="s">
        <v>1100</v>
      </c>
      <c r="C3010" t="s">
        <v>6066</v>
      </c>
      <c r="D3010" t="s">
        <v>18035</v>
      </c>
      <c r="E3010" t="s">
        <v>20845</v>
      </c>
      <c r="F3010" t="s">
        <v>31574</v>
      </c>
      <c r="G3010" t="s">
        <v>31582</v>
      </c>
      <c r="H3010" t="s">
        <v>31591</v>
      </c>
      <c r="I3010" t="s">
        <v>8822</v>
      </c>
      <c r="J3010" t="s">
        <v>33771</v>
      </c>
      <c r="K3010" t="s">
        <v>41184</v>
      </c>
      <c r="M3010" t="s">
        <v>42649</v>
      </c>
      <c r="N3010" t="s">
        <v>45095</v>
      </c>
      <c r="O3010" t="s">
        <v>45096</v>
      </c>
      <c r="P3010">
        <v>0</v>
      </c>
      <c r="Q3010">
        <v>2</v>
      </c>
      <c r="R3010" t="s">
        <v>45098</v>
      </c>
      <c r="S3010" t="s">
        <v>45223</v>
      </c>
      <c r="T3010" t="s">
        <v>46924</v>
      </c>
      <c r="U3010" t="s">
        <v>50025</v>
      </c>
      <c r="W3010" t="s">
        <v>42649</v>
      </c>
      <c r="X3010" t="s">
        <v>45099</v>
      </c>
    </row>
    <row r="3011" spans="1:24">
      <c r="A3011">
        <f>HYPERLINK("https://www.philgeps.gov.ph/GEPSNONPILOT/Tender/SplashBidNoticeAbstractUI.aspx?menuIndex=3&amp;refID=7043973&amp;Result=3","7043973")</f>
        <v>0</v>
      </c>
      <c r="B3011" t="s">
        <v>264</v>
      </c>
      <c r="C3011" t="s">
        <v>6067</v>
      </c>
      <c r="D3011" t="s">
        <v>18066</v>
      </c>
      <c r="E3011" t="s">
        <v>20846</v>
      </c>
      <c r="F3011" t="s">
        <v>31574</v>
      </c>
      <c r="G3011" t="s">
        <v>31583</v>
      </c>
      <c r="H3011" t="s">
        <v>31590</v>
      </c>
      <c r="I3011" t="s">
        <v>8258</v>
      </c>
      <c r="J3011" t="s">
        <v>33772</v>
      </c>
      <c r="K3011" t="s">
        <v>41184</v>
      </c>
      <c r="M3011" t="s">
        <v>41750</v>
      </c>
      <c r="N3011" t="s">
        <v>45095</v>
      </c>
      <c r="O3011" t="s">
        <v>45096</v>
      </c>
      <c r="P3011">
        <v>0</v>
      </c>
      <c r="Q3011">
        <v>0</v>
      </c>
      <c r="R3011" t="s">
        <v>45098</v>
      </c>
      <c r="S3011" t="s">
        <v>45223</v>
      </c>
      <c r="T3011" t="s">
        <v>46963</v>
      </c>
      <c r="U3011" t="s">
        <v>50026</v>
      </c>
      <c r="W3011" t="s">
        <v>61674</v>
      </c>
      <c r="X3011" t="s">
        <v>45099</v>
      </c>
    </row>
    <row r="3012" spans="1:24">
      <c r="A3012">
        <f>HYPERLINK("https://www.philgeps.gov.ph/GEPSNONPILOT/Tender/SplashBidNoticeAbstractUI.aspx?menuIndex=3&amp;refID=7043968&amp;Result=3","7043968")</f>
        <v>0</v>
      </c>
      <c r="B3012" t="s">
        <v>1101</v>
      </c>
      <c r="C3012" t="s">
        <v>6068</v>
      </c>
      <c r="D3012" t="s">
        <v>18103</v>
      </c>
      <c r="E3012" t="s">
        <v>20847</v>
      </c>
      <c r="F3012" t="s">
        <v>31574</v>
      </c>
      <c r="G3012" t="s">
        <v>31584</v>
      </c>
      <c r="H3012" t="s">
        <v>31590</v>
      </c>
      <c r="I3012" t="s">
        <v>5717</v>
      </c>
      <c r="J3012" t="s">
        <v>31830</v>
      </c>
      <c r="K3012" t="s">
        <v>41190</v>
      </c>
      <c r="M3012" t="s">
        <v>42650</v>
      </c>
      <c r="N3012" t="s">
        <v>45095</v>
      </c>
      <c r="O3012" t="s">
        <v>45096</v>
      </c>
      <c r="P3012">
        <v>0</v>
      </c>
      <c r="Q3012">
        <v>1</v>
      </c>
      <c r="R3012" t="s">
        <v>45098</v>
      </c>
      <c r="S3012" t="s">
        <v>45223</v>
      </c>
      <c r="T3012" t="s">
        <v>46955</v>
      </c>
      <c r="U3012" t="s">
        <v>50027</v>
      </c>
      <c r="W3012" t="s">
        <v>42650</v>
      </c>
      <c r="X3012" t="s">
        <v>45099</v>
      </c>
    </row>
    <row r="3013" spans="1:24">
      <c r="A3013">
        <f>HYPERLINK("https://www.philgeps.gov.ph/GEPSNONPILOT/Tender/SplashBidNoticeAbstractUI.aspx?menuIndex=3&amp;refID=7043983&amp;Result=3","7043983")</f>
        <v>0</v>
      </c>
      <c r="B3013" t="s">
        <v>1102</v>
      </c>
      <c r="C3013" t="s">
        <v>6069</v>
      </c>
      <c r="D3013" t="s">
        <v>18091</v>
      </c>
      <c r="E3013" t="s">
        <v>20848</v>
      </c>
      <c r="F3013" t="s">
        <v>31574</v>
      </c>
      <c r="G3013" t="s">
        <v>31581</v>
      </c>
      <c r="H3013" t="s">
        <v>31590</v>
      </c>
      <c r="I3013" t="s">
        <v>3487</v>
      </c>
      <c r="J3013" t="s">
        <v>33773</v>
      </c>
      <c r="K3013" t="s">
        <v>41190</v>
      </c>
      <c r="M3013" t="s">
        <v>42651</v>
      </c>
      <c r="N3013" t="s">
        <v>45095</v>
      </c>
      <c r="O3013" t="s">
        <v>45096</v>
      </c>
      <c r="P3013">
        <v>0</v>
      </c>
      <c r="Q3013">
        <v>0</v>
      </c>
      <c r="R3013" t="s">
        <v>45098</v>
      </c>
      <c r="S3013" t="s">
        <v>45223</v>
      </c>
      <c r="T3013" t="s">
        <v>46963</v>
      </c>
      <c r="U3013" t="s">
        <v>50028</v>
      </c>
      <c r="V3013" t="s">
        <v>60142</v>
      </c>
      <c r="W3013" t="s">
        <v>42651</v>
      </c>
      <c r="X3013" t="s">
        <v>45099</v>
      </c>
    </row>
    <row r="3014" spans="1:24">
      <c r="A3014">
        <f>HYPERLINK("https://www.philgeps.gov.ph/GEPSNONPILOT/Tender/SplashBidNoticeAbstractUI.aspx?menuIndex=3&amp;refID=7043974&amp;Result=3","7043974")</f>
        <v>0</v>
      </c>
      <c r="B3014" t="s">
        <v>1103</v>
      </c>
      <c r="C3014" t="s">
        <v>6070</v>
      </c>
      <c r="D3014" t="s">
        <v>18040</v>
      </c>
      <c r="E3014" t="s">
        <v>20849</v>
      </c>
      <c r="F3014" t="s">
        <v>31574</v>
      </c>
      <c r="G3014" t="s">
        <v>31581</v>
      </c>
      <c r="H3014" t="s">
        <v>31590</v>
      </c>
      <c r="I3014" t="s">
        <v>3487</v>
      </c>
      <c r="J3014" t="s">
        <v>32431</v>
      </c>
      <c r="K3014" t="s">
        <v>41212</v>
      </c>
      <c r="M3014" t="s">
        <v>42652</v>
      </c>
      <c r="N3014" t="s">
        <v>45095</v>
      </c>
      <c r="O3014" t="s">
        <v>45096</v>
      </c>
      <c r="P3014">
        <v>0</v>
      </c>
      <c r="Q3014">
        <v>0</v>
      </c>
      <c r="R3014" t="s">
        <v>45098</v>
      </c>
      <c r="S3014" t="s">
        <v>45223</v>
      </c>
      <c r="T3014" t="s">
        <v>47147</v>
      </c>
      <c r="U3014" t="s">
        <v>50029</v>
      </c>
      <c r="W3014" t="s">
        <v>42652</v>
      </c>
      <c r="X3014" t="s">
        <v>45099</v>
      </c>
    </row>
    <row r="3015" spans="1:24">
      <c r="A3015">
        <f>HYPERLINK("https://www.philgeps.gov.ph/GEPSNONPILOT/Tender/SplashBidNoticeAbstractUI.aspx?menuIndex=3&amp;refID=7043975&amp;Result=3","7043975")</f>
        <v>0</v>
      </c>
      <c r="B3015" t="s">
        <v>1098</v>
      </c>
      <c r="C3015" t="s">
        <v>6071</v>
      </c>
      <c r="D3015" t="s">
        <v>18055</v>
      </c>
      <c r="E3015" t="s">
        <v>20850</v>
      </c>
      <c r="F3015" t="s">
        <v>31574</v>
      </c>
      <c r="G3015" t="s">
        <v>31581</v>
      </c>
      <c r="H3015" t="s">
        <v>31590</v>
      </c>
      <c r="I3015" t="s">
        <v>31633</v>
      </c>
      <c r="J3015" t="s">
        <v>33774</v>
      </c>
      <c r="K3015" t="s">
        <v>41186</v>
      </c>
      <c r="M3015" t="s">
        <v>42647</v>
      </c>
      <c r="N3015" t="s">
        <v>45095</v>
      </c>
      <c r="O3015" t="s">
        <v>45096</v>
      </c>
      <c r="P3015">
        <v>0</v>
      </c>
      <c r="Q3015">
        <v>0</v>
      </c>
      <c r="R3015" t="s">
        <v>45098</v>
      </c>
      <c r="S3015" t="s">
        <v>45223</v>
      </c>
      <c r="T3015" t="s">
        <v>46982</v>
      </c>
      <c r="U3015" t="s">
        <v>50030</v>
      </c>
      <c r="W3015" t="s">
        <v>42647</v>
      </c>
      <c r="X3015" t="s">
        <v>45099</v>
      </c>
    </row>
    <row r="3016" spans="1:24">
      <c r="A3016">
        <f>HYPERLINK("https://www.philgeps.gov.ph/GEPSNONPILOT/Tender/SplashBidNoticeAbstractUI.aspx?menuIndex=3&amp;refID=7043984&amp;Result=3","7043984")</f>
        <v>0</v>
      </c>
      <c r="B3016" t="s">
        <v>1104</v>
      </c>
      <c r="C3016" t="s">
        <v>6072</v>
      </c>
      <c r="D3016" t="s">
        <v>18033</v>
      </c>
      <c r="E3016" t="s">
        <v>20851</v>
      </c>
      <c r="F3016" t="s">
        <v>31574</v>
      </c>
      <c r="G3016" t="s">
        <v>31581</v>
      </c>
      <c r="H3016" t="s">
        <v>31590</v>
      </c>
      <c r="I3016" t="s">
        <v>7162</v>
      </c>
      <c r="J3016" t="s">
        <v>33775</v>
      </c>
      <c r="K3016" t="s">
        <v>41190</v>
      </c>
      <c r="M3016" t="s">
        <v>42653</v>
      </c>
      <c r="N3016" t="s">
        <v>45095</v>
      </c>
      <c r="O3016" t="s">
        <v>45096</v>
      </c>
      <c r="P3016">
        <v>0</v>
      </c>
      <c r="Q3016">
        <v>0</v>
      </c>
      <c r="R3016" t="s">
        <v>45098</v>
      </c>
      <c r="S3016" t="s">
        <v>45223</v>
      </c>
      <c r="T3016" t="s">
        <v>46957</v>
      </c>
      <c r="U3016" t="s">
        <v>50031</v>
      </c>
      <c r="W3016" t="s">
        <v>42653</v>
      </c>
      <c r="X3016" t="s">
        <v>45099</v>
      </c>
    </row>
    <row r="3017" spans="1:24">
      <c r="A3017">
        <f>HYPERLINK("https://www.philgeps.gov.ph/GEPSNONPILOT/Tender/SplashBidNoticeAbstractUI.aspx?menuIndex=3&amp;refID=7043980&amp;Result=3","7043980")</f>
        <v>0</v>
      </c>
      <c r="B3017" t="s">
        <v>1104</v>
      </c>
      <c r="C3017" t="s">
        <v>6073</v>
      </c>
      <c r="D3017" t="s">
        <v>18033</v>
      </c>
      <c r="E3017" t="s">
        <v>20852</v>
      </c>
      <c r="F3017" t="s">
        <v>31574</v>
      </c>
      <c r="G3017" t="s">
        <v>31581</v>
      </c>
      <c r="H3017" t="s">
        <v>31591</v>
      </c>
      <c r="I3017" t="s">
        <v>31623</v>
      </c>
      <c r="J3017" t="s">
        <v>31726</v>
      </c>
      <c r="K3017" t="s">
        <v>41190</v>
      </c>
      <c r="M3017" t="s">
        <v>42653</v>
      </c>
      <c r="N3017" t="s">
        <v>45095</v>
      </c>
      <c r="O3017" t="s">
        <v>45096</v>
      </c>
      <c r="P3017">
        <v>0</v>
      </c>
      <c r="Q3017">
        <v>0</v>
      </c>
      <c r="R3017" t="s">
        <v>45098</v>
      </c>
      <c r="S3017" t="s">
        <v>45223</v>
      </c>
      <c r="T3017" t="s">
        <v>46957</v>
      </c>
      <c r="U3017" t="s">
        <v>50032</v>
      </c>
      <c r="W3017" t="s">
        <v>42653</v>
      </c>
      <c r="X3017" t="s">
        <v>45099</v>
      </c>
    </row>
    <row r="3018" spans="1:24">
      <c r="A3018">
        <f>HYPERLINK("https://www.philgeps.gov.ph/GEPSNONPILOT/Tender/SplashBidNoticeAbstractUI.aspx?menuIndex=3&amp;refID=7043971&amp;Result=3","7043971")</f>
        <v>0</v>
      </c>
      <c r="B3018" t="s">
        <v>1056</v>
      </c>
      <c r="C3018" t="s">
        <v>6074</v>
      </c>
      <c r="D3018" t="s">
        <v>18041</v>
      </c>
      <c r="E3018" t="s">
        <v>20853</v>
      </c>
      <c r="F3018" t="s">
        <v>31574</v>
      </c>
      <c r="G3018" t="s">
        <v>31582</v>
      </c>
      <c r="H3018" t="s">
        <v>31590</v>
      </c>
      <c r="I3018" t="s">
        <v>31616</v>
      </c>
      <c r="J3018" t="s">
        <v>33776</v>
      </c>
      <c r="K3018" t="s">
        <v>41184</v>
      </c>
      <c r="M3018" t="s">
        <v>42601</v>
      </c>
      <c r="N3018" t="s">
        <v>45095</v>
      </c>
      <c r="O3018" t="s">
        <v>45096</v>
      </c>
      <c r="P3018">
        <v>0</v>
      </c>
      <c r="Q3018">
        <v>2</v>
      </c>
      <c r="R3018" t="s">
        <v>45098</v>
      </c>
      <c r="S3018" t="s">
        <v>45223</v>
      </c>
      <c r="T3018" t="s">
        <v>46905</v>
      </c>
      <c r="U3018" t="s">
        <v>50033</v>
      </c>
      <c r="W3018" t="s">
        <v>42601</v>
      </c>
      <c r="X3018" t="s">
        <v>45099</v>
      </c>
    </row>
    <row r="3019" spans="1:24">
      <c r="A3019">
        <f>HYPERLINK("https://www.philgeps.gov.ph/GEPSNONPILOT/Tender/SplashBidNoticeAbstractUI.aspx?menuIndex=3&amp;refID=7043986&amp;Result=3","7043986")</f>
        <v>0</v>
      </c>
      <c r="B3019" t="s">
        <v>1104</v>
      </c>
      <c r="C3019" t="s">
        <v>6075</v>
      </c>
      <c r="D3019" t="s">
        <v>18033</v>
      </c>
      <c r="E3019" t="s">
        <v>20854</v>
      </c>
      <c r="F3019" t="s">
        <v>31574</v>
      </c>
      <c r="G3019" t="s">
        <v>31581</v>
      </c>
      <c r="H3019" t="s">
        <v>31592</v>
      </c>
      <c r="I3019" t="s">
        <v>31640</v>
      </c>
      <c r="J3019" t="s">
        <v>32969</v>
      </c>
      <c r="K3019" t="s">
        <v>41191</v>
      </c>
      <c r="M3019" t="s">
        <v>42653</v>
      </c>
      <c r="N3019" t="s">
        <v>45095</v>
      </c>
      <c r="O3019" t="s">
        <v>45096</v>
      </c>
      <c r="P3019">
        <v>0</v>
      </c>
      <c r="Q3019">
        <v>0</v>
      </c>
      <c r="R3019" t="s">
        <v>45098</v>
      </c>
      <c r="S3019" t="s">
        <v>45223</v>
      </c>
      <c r="T3019" t="s">
        <v>46957</v>
      </c>
      <c r="U3019" t="s">
        <v>50034</v>
      </c>
      <c r="W3019" t="s">
        <v>42653</v>
      </c>
      <c r="X3019" t="s">
        <v>45099</v>
      </c>
    </row>
    <row r="3020" spans="1:24">
      <c r="A3020">
        <f>HYPERLINK("https://www.philgeps.gov.ph/GEPSNONPILOT/Tender/SplashBidNoticeAbstractUI.aspx?menuIndex=3&amp;refID=7043979&amp;Result=3","7043979")</f>
        <v>0</v>
      </c>
      <c r="B3020" t="s">
        <v>1105</v>
      </c>
      <c r="C3020" t="s">
        <v>6076</v>
      </c>
      <c r="D3020" t="s">
        <v>18039</v>
      </c>
      <c r="E3020" t="s">
        <v>20855</v>
      </c>
      <c r="F3020" t="s">
        <v>31574</v>
      </c>
      <c r="G3020" t="s">
        <v>31584</v>
      </c>
      <c r="H3020" t="s">
        <v>31590</v>
      </c>
      <c r="I3020" t="s">
        <v>4046</v>
      </c>
      <c r="J3020" t="s">
        <v>33777</v>
      </c>
      <c r="K3020" t="s">
        <v>41184</v>
      </c>
      <c r="M3020" t="s">
        <v>42654</v>
      </c>
      <c r="N3020" t="s">
        <v>45095</v>
      </c>
      <c r="O3020" t="s">
        <v>45096</v>
      </c>
      <c r="P3020">
        <v>0</v>
      </c>
      <c r="Q3020">
        <v>0</v>
      </c>
      <c r="R3020" t="s">
        <v>45098</v>
      </c>
      <c r="S3020" t="s">
        <v>45223</v>
      </c>
      <c r="T3020" t="s">
        <v>46963</v>
      </c>
      <c r="U3020" t="s">
        <v>50035</v>
      </c>
      <c r="W3020" t="s">
        <v>42654</v>
      </c>
      <c r="X3020" t="s">
        <v>45099</v>
      </c>
    </row>
    <row r="3021" spans="1:24">
      <c r="A3021">
        <f>HYPERLINK("https://www.philgeps.gov.ph/GEPSNONPILOT/Tender/SplashBidNoticeAbstractUI.aspx?menuIndex=3&amp;refID=7043989&amp;Result=3","7043989")</f>
        <v>0</v>
      </c>
      <c r="B3021" t="s">
        <v>264</v>
      </c>
      <c r="C3021" t="s">
        <v>6077</v>
      </c>
      <c r="D3021" t="s">
        <v>18066</v>
      </c>
      <c r="E3021" t="s">
        <v>20856</v>
      </c>
      <c r="F3021" t="s">
        <v>31574</v>
      </c>
      <c r="G3021" t="s">
        <v>31583</v>
      </c>
      <c r="H3021" t="s">
        <v>31590</v>
      </c>
      <c r="I3021" t="s">
        <v>31644</v>
      </c>
      <c r="J3021" t="s">
        <v>33778</v>
      </c>
      <c r="K3021" t="s">
        <v>41184</v>
      </c>
      <c r="M3021" t="s">
        <v>41750</v>
      </c>
      <c r="N3021" t="s">
        <v>45095</v>
      </c>
      <c r="O3021" t="s">
        <v>45096</v>
      </c>
      <c r="P3021">
        <v>0</v>
      </c>
      <c r="Q3021">
        <v>1</v>
      </c>
      <c r="R3021" t="s">
        <v>45098</v>
      </c>
      <c r="S3021" t="s">
        <v>45223</v>
      </c>
      <c r="T3021" t="s">
        <v>46963</v>
      </c>
      <c r="U3021" t="s">
        <v>50036</v>
      </c>
      <c r="W3021" t="s">
        <v>61674</v>
      </c>
      <c r="X3021" t="s">
        <v>45099</v>
      </c>
    </row>
    <row r="3022" spans="1:24">
      <c r="A3022">
        <f>HYPERLINK("https://www.philgeps.gov.ph/GEPSNONPILOT/Tender/SplashBidNoticeAbstractUI.aspx?menuIndex=3&amp;refID=7043972&amp;Result=3","7043972")</f>
        <v>0</v>
      </c>
      <c r="B3022" t="s">
        <v>1106</v>
      </c>
      <c r="C3022" t="s">
        <v>6070</v>
      </c>
      <c r="D3022" t="s">
        <v>18040</v>
      </c>
      <c r="E3022" t="s">
        <v>20857</v>
      </c>
      <c r="F3022" t="s">
        <v>31574</v>
      </c>
      <c r="G3022" t="s">
        <v>31581</v>
      </c>
      <c r="H3022" t="s">
        <v>31590</v>
      </c>
      <c r="I3022" t="s">
        <v>3487</v>
      </c>
      <c r="J3022" t="s">
        <v>32431</v>
      </c>
      <c r="K3022" t="s">
        <v>41212</v>
      </c>
      <c r="M3022" t="s">
        <v>42655</v>
      </c>
      <c r="N3022" t="s">
        <v>45095</v>
      </c>
      <c r="O3022" t="s">
        <v>45096</v>
      </c>
      <c r="P3022">
        <v>0</v>
      </c>
      <c r="Q3022">
        <v>0</v>
      </c>
      <c r="R3022" t="s">
        <v>45098</v>
      </c>
      <c r="S3022" t="s">
        <v>45223</v>
      </c>
      <c r="T3022" t="s">
        <v>46955</v>
      </c>
      <c r="U3022" t="s">
        <v>50037</v>
      </c>
      <c r="W3022" t="s">
        <v>42655</v>
      </c>
      <c r="X3022" t="s">
        <v>45099</v>
      </c>
    </row>
    <row r="3023" spans="1:24">
      <c r="A3023">
        <f>HYPERLINK("https://www.philgeps.gov.ph/GEPSNONPILOT/Tender/SplashBidNoticeAbstractUI.aspx?menuIndex=3&amp;refID=7043999&amp;Result=3","7043999")</f>
        <v>0</v>
      </c>
      <c r="B3023" t="s">
        <v>264</v>
      </c>
      <c r="C3023" t="s">
        <v>6078</v>
      </c>
      <c r="D3023" t="s">
        <v>18066</v>
      </c>
      <c r="E3023" t="s">
        <v>20858</v>
      </c>
      <c r="F3023" t="s">
        <v>31574</v>
      </c>
      <c r="G3023" t="s">
        <v>31583</v>
      </c>
      <c r="H3023" t="s">
        <v>31590</v>
      </c>
      <c r="I3023" t="s">
        <v>4354</v>
      </c>
      <c r="J3023" t="s">
        <v>33779</v>
      </c>
      <c r="K3023" t="s">
        <v>41184</v>
      </c>
      <c r="M3023" t="s">
        <v>41750</v>
      </c>
      <c r="N3023" t="s">
        <v>45095</v>
      </c>
      <c r="O3023" t="s">
        <v>45096</v>
      </c>
      <c r="P3023">
        <v>0</v>
      </c>
      <c r="Q3023">
        <v>0</v>
      </c>
      <c r="R3023" t="s">
        <v>45098</v>
      </c>
      <c r="S3023" t="s">
        <v>45223</v>
      </c>
      <c r="T3023" t="s">
        <v>46963</v>
      </c>
      <c r="U3023" t="s">
        <v>50038</v>
      </c>
      <c r="W3023" t="s">
        <v>61674</v>
      </c>
      <c r="X3023" t="s">
        <v>45099</v>
      </c>
    </row>
    <row r="3024" spans="1:24">
      <c r="A3024">
        <f>HYPERLINK("https://www.philgeps.gov.ph/GEPSNONPILOT/Tender/SplashBidNoticeAbstractUI.aspx?menuIndex=3&amp;refID=7043994&amp;Result=3","7043994")</f>
        <v>0</v>
      </c>
      <c r="B3024" t="s">
        <v>264</v>
      </c>
      <c r="C3024" t="s">
        <v>6079</v>
      </c>
      <c r="D3024" t="s">
        <v>18066</v>
      </c>
      <c r="E3024" t="s">
        <v>20859</v>
      </c>
      <c r="F3024" t="s">
        <v>31574</v>
      </c>
      <c r="G3024" t="s">
        <v>31583</v>
      </c>
      <c r="H3024" t="s">
        <v>31590</v>
      </c>
      <c r="I3024" t="s">
        <v>3539</v>
      </c>
      <c r="J3024" t="s">
        <v>33780</v>
      </c>
      <c r="K3024" t="s">
        <v>41184</v>
      </c>
      <c r="M3024" t="s">
        <v>41750</v>
      </c>
      <c r="N3024" t="s">
        <v>45095</v>
      </c>
      <c r="O3024" t="s">
        <v>45096</v>
      </c>
      <c r="P3024">
        <v>0</v>
      </c>
      <c r="Q3024">
        <v>0</v>
      </c>
      <c r="R3024" t="s">
        <v>45098</v>
      </c>
      <c r="S3024" t="s">
        <v>45223</v>
      </c>
      <c r="T3024" t="s">
        <v>46963</v>
      </c>
      <c r="U3024" t="s">
        <v>50039</v>
      </c>
      <c r="W3024" t="s">
        <v>61674</v>
      </c>
      <c r="X3024" t="s">
        <v>45099</v>
      </c>
    </row>
    <row r="3025" spans="1:24">
      <c r="A3025">
        <f>HYPERLINK("https://www.philgeps.gov.ph/GEPSNONPILOT/Tender/SplashBidNoticeAbstractUI.aspx?menuIndex=3&amp;refID=7043996&amp;Result=3","7043996")</f>
        <v>0</v>
      </c>
      <c r="B3025" t="s">
        <v>264</v>
      </c>
      <c r="C3025" t="s">
        <v>6080</v>
      </c>
      <c r="D3025" t="s">
        <v>18066</v>
      </c>
      <c r="E3025" t="s">
        <v>20860</v>
      </c>
      <c r="F3025" t="s">
        <v>31574</v>
      </c>
      <c r="G3025" t="s">
        <v>31583</v>
      </c>
      <c r="H3025" t="s">
        <v>31590</v>
      </c>
      <c r="I3025" t="s">
        <v>4354</v>
      </c>
      <c r="J3025" t="s">
        <v>33781</v>
      </c>
      <c r="K3025" t="s">
        <v>41184</v>
      </c>
      <c r="M3025" t="s">
        <v>41750</v>
      </c>
      <c r="N3025" t="s">
        <v>45095</v>
      </c>
      <c r="O3025" t="s">
        <v>45096</v>
      </c>
      <c r="P3025">
        <v>0</v>
      </c>
      <c r="Q3025">
        <v>0</v>
      </c>
      <c r="R3025" t="s">
        <v>45098</v>
      </c>
      <c r="S3025" t="s">
        <v>45223</v>
      </c>
      <c r="T3025" t="s">
        <v>46963</v>
      </c>
      <c r="U3025" t="s">
        <v>50040</v>
      </c>
      <c r="W3025" t="s">
        <v>61674</v>
      </c>
      <c r="X3025" t="s">
        <v>45099</v>
      </c>
    </row>
    <row r="3026" spans="1:24">
      <c r="A3026">
        <f>HYPERLINK("https://www.philgeps.gov.ph/GEPSNONPILOT/Tender/SplashBidNoticeAbstractUI.aspx?menuIndex=3&amp;refID=7043990&amp;Result=3","7043990")</f>
        <v>0</v>
      </c>
      <c r="B3026" t="s">
        <v>1104</v>
      </c>
      <c r="C3026" t="s">
        <v>6081</v>
      </c>
      <c r="D3026" t="s">
        <v>18033</v>
      </c>
      <c r="E3026" t="s">
        <v>20861</v>
      </c>
      <c r="F3026" t="s">
        <v>31574</v>
      </c>
      <c r="G3026" t="s">
        <v>31581</v>
      </c>
      <c r="H3026" t="s">
        <v>31590</v>
      </c>
      <c r="I3026" t="s">
        <v>4046</v>
      </c>
      <c r="J3026" t="s">
        <v>33782</v>
      </c>
      <c r="K3026" t="s">
        <v>41190</v>
      </c>
      <c r="M3026" t="s">
        <v>42653</v>
      </c>
      <c r="N3026" t="s">
        <v>45095</v>
      </c>
      <c r="O3026" t="s">
        <v>45096</v>
      </c>
      <c r="P3026">
        <v>0</v>
      </c>
      <c r="Q3026">
        <v>0</v>
      </c>
      <c r="R3026" t="s">
        <v>45098</v>
      </c>
      <c r="S3026" t="s">
        <v>45223</v>
      </c>
      <c r="T3026" t="s">
        <v>46957</v>
      </c>
      <c r="U3026" t="s">
        <v>50041</v>
      </c>
      <c r="W3026" t="s">
        <v>42653</v>
      </c>
      <c r="X3026" t="s">
        <v>45099</v>
      </c>
    </row>
    <row r="3027" spans="1:24">
      <c r="A3027">
        <f>HYPERLINK("https://www.philgeps.gov.ph/GEPSNONPILOT/Tender/SplashBidNoticeAbstractUI.aspx?menuIndex=3&amp;refID=7044011&amp;Result=3","7044011")</f>
        <v>0</v>
      </c>
      <c r="B3027" t="s">
        <v>453</v>
      </c>
      <c r="C3027" t="s">
        <v>6082</v>
      </c>
      <c r="D3027" t="s">
        <v>18066</v>
      </c>
      <c r="E3027" t="s">
        <v>20862</v>
      </c>
      <c r="F3027" t="s">
        <v>31574</v>
      </c>
      <c r="G3027" t="s">
        <v>31581</v>
      </c>
      <c r="H3027" t="s">
        <v>31590</v>
      </c>
      <c r="I3027" t="s">
        <v>31596</v>
      </c>
      <c r="J3027" t="s">
        <v>33783</v>
      </c>
      <c r="K3027" t="s">
        <v>41225</v>
      </c>
      <c r="M3027" t="s">
        <v>41947</v>
      </c>
      <c r="N3027" t="s">
        <v>45095</v>
      </c>
      <c r="O3027" t="s">
        <v>45096</v>
      </c>
      <c r="P3027">
        <v>0</v>
      </c>
      <c r="Q3027">
        <v>0</v>
      </c>
      <c r="R3027" t="s">
        <v>45098</v>
      </c>
      <c r="S3027" t="s">
        <v>45223</v>
      </c>
      <c r="T3027" t="s">
        <v>47148</v>
      </c>
      <c r="U3027" t="s">
        <v>50042</v>
      </c>
      <c r="V3027" t="s">
        <v>60143</v>
      </c>
      <c r="W3027" t="s">
        <v>41947</v>
      </c>
      <c r="X3027" t="s">
        <v>45099</v>
      </c>
    </row>
    <row r="3028" spans="1:24">
      <c r="A3028">
        <f>HYPERLINK("https://www.philgeps.gov.ph/GEPSNONPILOT/Tender/SplashBidNoticeAbstractUI.aspx?menuIndex=3&amp;refID=7044023&amp;Result=3","7044023")</f>
        <v>0</v>
      </c>
      <c r="B3028" t="s">
        <v>886</v>
      </c>
      <c r="C3028" t="s">
        <v>6083</v>
      </c>
      <c r="E3028" t="s">
        <v>20863</v>
      </c>
      <c r="F3028" t="s">
        <v>31574</v>
      </c>
      <c r="G3028" t="s">
        <v>31581</v>
      </c>
      <c r="H3028" t="s">
        <v>31590</v>
      </c>
      <c r="I3028" t="s">
        <v>31594</v>
      </c>
      <c r="J3028" t="s">
        <v>32029</v>
      </c>
      <c r="K3028" t="s">
        <v>41184</v>
      </c>
      <c r="M3028" t="s">
        <v>42407</v>
      </c>
      <c r="N3028" t="s">
        <v>45095</v>
      </c>
      <c r="O3028" t="s">
        <v>45096</v>
      </c>
      <c r="P3028">
        <v>0</v>
      </c>
      <c r="Q3028">
        <v>2</v>
      </c>
      <c r="R3028" t="s">
        <v>45098</v>
      </c>
      <c r="S3028" t="s">
        <v>45223</v>
      </c>
      <c r="T3028" t="s">
        <v>47080</v>
      </c>
      <c r="U3028" t="s">
        <v>50043</v>
      </c>
      <c r="W3028" t="s">
        <v>42407</v>
      </c>
      <c r="X3028" t="s">
        <v>45099</v>
      </c>
    </row>
    <row r="3029" spans="1:24">
      <c r="A3029">
        <f>HYPERLINK("https://www.philgeps.gov.ph/GEPSNONPILOT/Tender/SplashBidNoticeAbstractUI.aspx?menuIndex=3&amp;refID=7044015&amp;Result=3","7044015")</f>
        <v>0</v>
      </c>
      <c r="B3029" t="s">
        <v>968</v>
      </c>
      <c r="C3029" t="s">
        <v>6084</v>
      </c>
      <c r="D3029" t="s">
        <v>18062</v>
      </c>
      <c r="E3029" t="s">
        <v>20864</v>
      </c>
      <c r="F3029" t="s">
        <v>31574</v>
      </c>
      <c r="G3029" t="s">
        <v>31582</v>
      </c>
      <c r="H3029" t="s">
        <v>31591</v>
      </c>
      <c r="I3029" t="s">
        <v>31638</v>
      </c>
      <c r="J3029" t="s">
        <v>33784</v>
      </c>
      <c r="K3029" t="s">
        <v>41200</v>
      </c>
      <c r="M3029" t="s">
        <v>42497</v>
      </c>
      <c r="N3029" t="s">
        <v>45095</v>
      </c>
      <c r="O3029" t="s">
        <v>45096</v>
      </c>
      <c r="P3029">
        <v>0</v>
      </c>
      <c r="Q3029">
        <v>1</v>
      </c>
      <c r="R3029" t="s">
        <v>45098</v>
      </c>
      <c r="S3029" t="s">
        <v>45223</v>
      </c>
      <c r="T3029" t="s">
        <v>46924</v>
      </c>
      <c r="U3029" t="s">
        <v>50044</v>
      </c>
      <c r="V3029" t="s">
        <v>60087</v>
      </c>
      <c r="W3029" t="s">
        <v>42497</v>
      </c>
      <c r="X3029" t="s">
        <v>45099</v>
      </c>
    </row>
    <row r="3030" spans="1:24">
      <c r="A3030">
        <f>HYPERLINK("https://www.philgeps.gov.ph/GEPSNONPILOT/Tender/SplashBidNoticeAbstractUI.aspx?menuIndex=3&amp;refID=7044022&amp;Result=3","7044022")</f>
        <v>0</v>
      </c>
      <c r="B3030" t="s">
        <v>886</v>
      </c>
      <c r="C3030" t="s">
        <v>6085</v>
      </c>
      <c r="E3030" t="s">
        <v>20865</v>
      </c>
      <c r="F3030" t="s">
        <v>31574</v>
      </c>
      <c r="G3030" t="s">
        <v>31584</v>
      </c>
      <c r="H3030" t="s">
        <v>31590</v>
      </c>
      <c r="I3030" t="s">
        <v>6800</v>
      </c>
      <c r="J3030" t="s">
        <v>33785</v>
      </c>
      <c r="K3030" t="s">
        <v>41184</v>
      </c>
      <c r="M3030" t="s">
        <v>42407</v>
      </c>
      <c r="N3030" t="s">
        <v>45095</v>
      </c>
      <c r="O3030" t="s">
        <v>45096</v>
      </c>
      <c r="P3030">
        <v>0</v>
      </c>
      <c r="Q3030">
        <v>3</v>
      </c>
      <c r="R3030" t="s">
        <v>45098</v>
      </c>
      <c r="S3030" t="s">
        <v>45223</v>
      </c>
      <c r="T3030" t="s">
        <v>47080</v>
      </c>
      <c r="U3030" t="s">
        <v>50043</v>
      </c>
      <c r="W3030" t="s">
        <v>42407</v>
      </c>
      <c r="X3030" t="s">
        <v>45099</v>
      </c>
    </row>
    <row r="3031" spans="1:24">
      <c r="A3031">
        <f>HYPERLINK("https://www.philgeps.gov.ph/GEPSNONPILOT/Tender/SplashBidNoticeAbstractUI.aspx?menuIndex=3&amp;refID=7044003&amp;Result=3","7044003")</f>
        <v>0</v>
      </c>
      <c r="B3031" t="s">
        <v>264</v>
      </c>
      <c r="C3031" t="s">
        <v>6086</v>
      </c>
      <c r="D3031" t="s">
        <v>18066</v>
      </c>
      <c r="E3031" t="s">
        <v>20866</v>
      </c>
      <c r="F3031" t="s">
        <v>31574</v>
      </c>
      <c r="G3031" t="s">
        <v>31583</v>
      </c>
      <c r="H3031" t="s">
        <v>31590</v>
      </c>
      <c r="I3031" t="s">
        <v>3539</v>
      </c>
      <c r="J3031" t="s">
        <v>32258</v>
      </c>
      <c r="K3031" t="s">
        <v>41184</v>
      </c>
      <c r="M3031" t="s">
        <v>41750</v>
      </c>
      <c r="N3031" t="s">
        <v>45095</v>
      </c>
      <c r="O3031" t="s">
        <v>45096</v>
      </c>
      <c r="P3031">
        <v>0</v>
      </c>
      <c r="Q3031">
        <v>0</v>
      </c>
      <c r="R3031" t="s">
        <v>45098</v>
      </c>
      <c r="S3031" t="s">
        <v>45223</v>
      </c>
      <c r="T3031" t="s">
        <v>46963</v>
      </c>
      <c r="U3031" t="s">
        <v>50045</v>
      </c>
      <c r="W3031" t="s">
        <v>61674</v>
      </c>
      <c r="X3031" t="s">
        <v>45099</v>
      </c>
    </row>
    <row r="3032" spans="1:24">
      <c r="A3032">
        <f>HYPERLINK("https://www.philgeps.gov.ph/GEPSNONPILOT/Tender/SplashBidNoticeAbstractUI.aspx?menuIndex=3&amp;refID=7044020&amp;Result=3","7044020")</f>
        <v>0</v>
      </c>
      <c r="B3032" t="s">
        <v>886</v>
      </c>
      <c r="C3032" t="s">
        <v>6087</v>
      </c>
      <c r="E3032" t="s">
        <v>20867</v>
      </c>
      <c r="F3032" t="s">
        <v>31574</v>
      </c>
      <c r="G3032" t="s">
        <v>31584</v>
      </c>
      <c r="H3032" t="s">
        <v>31590</v>
      </c>
      <c r="I3032" t="s">
        <v>6800</v>
      </c>
      <c r="J3032" t="s">
        <v>32178</v>
      </c>
      <c r="K3032" t="s">
        <v>41184</v>
      </c>
      <c r="M3032" t="s">
        <v>42407</v>
      </c>
      <c r="N3032" t="s">
        <v>45095</v>
      </c>
      <c r="O3032" t="s">
        <v>45096</v>
      </c>
      <c r="P3032">
        <v>0</v>
      </c>
      <c r="Q3032">
        <v>5</v>
      </c>
      <c r="R3032" t="s">
        <v>45098</v>
      </c>
      <c r="S3032" t="s">
        <v>45223</v>
      </c>
      <c r="T3032" t="s">
        <v>47080</v>
      </c>
      <c r="U3032" t="s">
        <v>50043</v>
      </c>
      <c r="W3032" t="s">
        <v>42407</v>
      </c>
      <c r="X3032" t="s">
        <v>45099</v>
      </c>
    </row>
    <row r="3033" spans="1:24">
      <c r="A3033">
        <f>HYPERLINK("https://www.philgeps.gov.ph/GEPSNONPILOT/Tender/SplashBidNoticeAbstractUI.aspx?menuIndex=3&amp;refID=7044013&amp;Result=3","7044013")</f>
        <v>0</v>
      </c>
      <c r="B3033" t="s">
        <v>264</v>
      </c>
      <c r="C3033" t="s">
        <v>6088</v>
      </c>
      <c r="D3033" t="s">
        <v>18066</v>
      </c>
      <c r="E3033" t="s">
        <v>20868</v>
      </c>
      <c r="F3033" t="s">
        <v>31574</v>
      </c>
      <c r="G3033" t="s">
        <v>31583</v>
      </c>
      <c r="H3033" t="s">
        <v>31590</v>
      </c>
      <c r="I3033" t="s">
        <v>31614</v>
      </c>
      <c r="J3033" t="s">
        <v>33786</v>
      </c>
      <c r="K3033" t="s">
        <v>41184</v>
      </c>
      <c r="M3033" t="s">
        <v>41750</v>
      </c>
      <c r="N3033" t="s">
        <v>45095</v>
      </c>
      <c r="O3033" t="s">
        <v>45096</v>
      </c>
      <c r="P3033">
        <v>0</v>
      </c>
      <c r="Q3033">
        <v>1</v>
      </c>
      <c r="R3033" t="s">
        <v>45098</v>
      </c>
      <c r="S3033" t="s">
        <v>45223</v>
      </c>
      <c r="T3033" t="s">
        <v>46963</v>
      </c>
      <c r="U3033" t="s">
        <v>50046</v>
      </c>
      <c r="W3033" t="s">
        <v>61674</v>
      </c>
      <c r="X3033" t="s">
        <v>45099</v>
      </c>
    </row>
    <row r="3034" spans="1:24">
      <c r="A3034">
        <f>HYPERLINK("https://www.philgeps.gov.ph/GEPSNONPILOT/Tender/SplashBidNoticeAbstractUI.aspx?menuIndex=3&amp;refID=7044008&amp;Result=3","7044008")</f>
        <v>0</v>
      </c>
      <c r="B3034" t="s">
        <v>1107</v>
      </c>
      <c r="C3034" t="s">
        <v>6089</v>
      </c>
      <c r="D3034" t="s">
        <v>18022</v>
      </c>
      <c r="E3034" t="s">
        <v>20869</v>
      </c>
      <c r="F3034" t="s">
        <v>31574</v>
      </c>
      <c r="G3034" t="s">
        <v>31582</v>
      </c>
      <c r="H3034" t="s">
        <v>31591</v>
      </c>
      <c r="I3034" t="s">
        <v>31648</v>
      </c>
      <c r="J3034" t="s">
        <v>31771</v>
      </c>
      <c r="K3034" t="s">
        <v>41184</v>
      </c>
      <c r="M3034" t="s">
        <v>42656</v>
      </c>
      <c r="N3034" t="s">
        <v>45095</v>
      </c>
      <c r="O3034" t="s">
        <v>45096</v>
      </c>
      <c r="P3034">
        <v>0</v>
      </c>
      <c r="Q3034">
        <v>3</v>
      </c>
      <c r="R3034" t="s">
        <v>45098</v>
      </c>
      <c r="S3034" t="s">
        <v>45223</v>
      </c>
      <c r="T3034" t="s">
        <v>46908</v>
      </c>
      <c r="U3034" t="s">
        <v>50047</v>
      </c>
      <c r="W3034" t="s">
        <v>42656</v>
      </c>
      <c r="X3034" t="s">
        <v>45099</v>
      </c>
    </row>
    <row r="3035" spans="1:24">
      <c r="A3035">
        <f>HYPERLINK("https://www.philgeps.gov.ph/GEPSNONPILOT/Tender/SplashBidNoticeAbstractUI.aspx?menuIndex=3&amp;refID=7044019&amp;Result=3","7044019")</f>
        <v>0</v>
      </c>
      <c r="B3035" t="s">
        <v>1107</v>
      </c>
      <c r="C3035" t="s">
        <v>6090</v>
      </c>
      <c r="D3035" t="s">
        <v>18022</v>
      </c>
      <c r="E3035" t="s">
        <v>20870</v>
      </c>
      <c r="F3035" t="s">
        <v>31574</v>
      </c>
      <c r="G3035" t="s">
        <v>31582</v>
      </c>
      <c r="H3035" t="s">
        <v>31590</v>
      </c>
      <c r="I3035" t="s">
        <v>31636</v>
      </c>
      <c r="J3035" t="s">
        <v>31789</v>
      </c>
      <c r="K3035" t="s">
        <v>41184</v>
      </c>
      <c r="M3035" t="s">
        <v>42656</v>
      </c>
      <c r="N3035" t="s">
        <v>45095</v>
      </c>
      <c r="O3035" t="s">
        <v>45096</v>
      </c>
      <c r="P3035">
        <v>0</v>
      </c>
      <c r="Q3035">
        <v>1</v>
      </c>
      <c r="R3035" t="s">
        <v>45098</v>
      </c>
      <c r="S3035" t="s">
        <v>45223</v>
      </c>
      <c r="T3035" t="s">
        <v>47140</v>
      </c>
      <c r="U3035" t="s">
        <v>50048</v>
      </c>
      <c r="W3035" t="s">
        <v>42656</v>
      </c>
      <c r="X3035" t="s">
        <v>45099</v>
      </c>
    </row>
    <row r="3036" spans="1:24">
      <c r="A3036">
        <f>HYPERLINK("https://www.philgeps.gov.ph/GEPSNONPILOT/Tender/SplashBidNoticeAbstractUI.aspx?menuIndex=3&amp;refID=7044021&amp;Result=3","7044021")</f>
        <v>0</v>
      </c>
      <c r="B3036" t="s">
        <v>264</v>
      </c>
      <c r="C3036" t="s">
        <v>6091</v>
      </c>
      <c r="D3036" t="s">
        <v>18066</v>
      </c>
      <c r="E3036" t="s">
        <v>20871</v>
      </c>
      <c r="F3036" t="s">
        <v>31574</v>
      </c>
      <c r="G3036" t="s">
        <v>31583</v>
      </c>
      <c r="H3036" t="s">
        <v>31590</v>
      </c>
      <c r="I3036" t="s">
        <v>31629</v>
      </c>
      <c r="J3036" t="s">
        <v>32944</v>
      </c>
      <c r="K3036" t="s">
        <v>41184</v>
      </c>
      <c r="M3036" t="s">
        <v>41750</v>
      </c>
      <c r="N3036" t="s">
        <v>45095</v>
      </c>
      <c r="O3036" t="s">
        <v>45096</v>
      </c>
      <c r="P3036">
        <v>0</v>
      </c>
      <c r="Q3036">
        <v>0</v>
      </c>
      <c r="R3036" t="s">
        <v>45098</v>
      </c>
      <c r="S3036" t="s">
        <v>45223</v>
      </c>
      <c r="T3036" t="s">
        <v>46963</v>
      </c>
      <c r="U3036" t="s">
        <v>50049</v>
      </c>
      <c r="W3036" t="s">
        <v>61674</v>
      </c>
      <c r="X3036" t="s">
        <v>45099</v>
      </c>
    </row>
    <row r="3037" spans="1:24">
      <c r="A3037">
        <f>HYPERLINK("https://www.philgeps.gov.ph/GEPSNONPILOT/Tender/SplashBidNoticeAbstractUI.aspx?menuIndex=3&amp;refID=7044010&amp;Result=3","7044010")</f>
        <v>0</v>
      </c>
      <c r="B3037" t="s">
        <v>264</v>
      </c>
      <c r="C3037" t="s">
        <v>6092</v>
      </c>
      <c r="D3037" t="s">
        <v>18066</v>
      </c>
      <c r="E3037" t="s">
        <v>20872</v>
      </c>
      <c r="F3037" t="s">
        <v>31574</v>
      </c>
      <c r="G3037" t="s">
        <v>31583</v>
      </c>
      <c r="H3037" t="s">
        <v>31590</v>
      </c>
      <c r="I3037" t="s">
        <v>31603</v>
      </c>
      <c r="J3037" t="s">
        <v>33787</v>
      </c>
      <c r="K3037" t="s">
        <v>41184</v>
      </c>
      <c r="M3037" t="s">
        <v>41750</v>
      </c>
      <c r="N3037" t="s">
        <v>45095</v>
      </c>
      <c r="O3037" t="s">
        <v>45096</v>
      </c>
      <c r="P3037">
        <v>0</v>
      </c>
      <c r="Q3037">
        <v>3</v>
      </c>
      <c r="R3037" t="s">
        <v>45098</v>
      </c>
      <c r="S3037" t="s">
        <v>45223</v>
      </c>
      <c r="T3037" t="s">
        <v>46963</v>
      </c>
      <c r="U3037" t="s">
        <v>50050</v>
      </c>
      <c r="W3037" t="s">
        <v>61674</v>
      </c>
      <c r="X3037" t="s">
        <v>45099</v>
      </c>
    </row>
    <row r="3038" spans="1:24">
      <c r="A3038">
        <f>HYPERLINK("https://www.philgeps.gov.ph/GEPSNONPILOT/Tender/SplashBidNoticeAbstractUI.aspx?menuIndex=3&amp;refID=7044004&amp;Result=3","7044004")</f>
        <v>0</v>
      </c>
      <c r="B3038" t="s">
        <v>264</v>
      </c>
      <c r="C3038" t="s">
        <v>6093</v>
      </c>
      <c r="D3038" t="s">
        <v>18066</v>
      </c>
      <c r="E3038" t="s">
        <v>20873</v>
      </c>
      <c r="F3038" t="s">
        <v>31574</v>
      </c>
      <c r="G3038" t="s">
        <v>31583</v>
      </c>
      <c r="H3038" t="s">
        <v>31590</v>
      </c>
      <c r="I3038" t="s">
        <v>31616</v>
      </c>
      <c r="J3038" t="s">
        <v>31931</v>
      </c>
      <c r="K3038" t="s">
        <v>41184</v>
      </c>
      <c r="M3038" t="s">
        <v>41750</v>
      </c>
      <c r="N3038" t="s">
        <v>45095</v>
      </c>
      <c r="O3038" t="s">
        <v>45096</v>
      </c>
      <c r="P3038">
        <v>0</v>
      </c>
      <c r="Q3038">
        <v>1</v>
      </c>
      <c r="R3038" t="s">
        <v>45098</v>
      </c>
      <c r="S3038" t="s">
        <v>45223</v>
      </c>
      <c r="T3038" t="s">
        <v>46963</v>
      </c>
      <c r="U3038" t="s">
        <v>50051</v>
      </c>
      <c r="W3038" t="s">
        <v>61674</v>
      </c>
      <c r="X3038" t="s">
        <v>45099</v>
      </c>
    </row>
    <row r="3039" spans="1:24">
      <c r="A3039">
        <f>HYPERLINK("https://www.philgeps.gov.ph/GEPSNONPILOT/Tender/SplashBidNoticeAbstractUI.aspx?menuIndex=3&amp;refID=7044016&amp;Result=3","7044016")</f>
        <v>0</v>
      </c>
      <c r="B3039" t="s">
        <v>362</v>
      </c>
      <c r="C3039" t="s">
        <v>6094</v>
      </c>
      <c r="D3039" t="s">
        <v>18068</v>
      </c>
      <c r="E3039" t="s">
        <v>20874</v>
      </c>
      <c r="F3039" t="s">
        <v>31574</v>
      </c>
      <c r="G3039" t="s">
        <v>31582</v>
      </c>
      <c r="H3039" t="s">
        <v>31590</v>
      </c>
      <c r="I3039" t="s">
        <v>31615</v>
      </c>
      <c r="J3039" t="s">
        <v>33359</v>
      </c>
      <c r="K3039" t="s">
        <v>41213</v>
      </c>
      <c r="M3039" t="s">
        <v>41852</v>
      </c>
      <c r="N3039" t="s">
        <v>45095</v>
      </c>
      <c r="O3039" t="s">
        <v>45096</v>
      </c>
      <c r="P3039">
        <v>0</v>
      </c>
      <c r="Q3039">
        <v>5</v>
      </c>
      <c r="R3039" t="s">
        <v>45098</v>
      </c>
      <c r="S3039" t="s">
        <v>45223</v>
      </c>
      <c r="T3039" t="s">
        <v>46915</v>
      </c>
      <c r="U3039" t="s">
        <v>50052</v>
      </c>
      <c r="W3039" t="s">
        <v>41852</v>
      </c>
      <c r="X3039" t="s">
        <v>45099</v>
      </c>
    </row>
    <row r="3040" spans="1:24">
      <c r="A3040">
        <f>HYPERLINK("https://www.philgeps.gov.ph/GEPSNONPILOT/Tender/SplashBidNoticeAbstractUI.aspx?menuIndex=3&amp;refID=7044000&amp;Result=3","7044000")</f>
        <v>0</v>
      </c>
      <c r="B3040" t="s">
        <v>1108</v>
      </c>
      <c r="C3040" t="s">
        <v>6095</v>
      </c>
      <c r="D3040" t="s">
        <v>18022</v>
      </c>
      <c r="E3040" t="s">
        <v>20875</v>
      </c>
      <c r="F3040" t="s">
        <v>31574</v>
      </c>
      <c r="G3040" t="s">
        <v>31581</v>
      </c>
      <c r="H3040" t="s">
        <v>31590</v>
      </c>
      <c r="I3040" t="s">
        <v>14544</v>
      </c>
      <c r="J3040" t="s">
        <v>33788</v>
      </c>
      <c r="K3040" t="s">
        <v>41193</v>
      </c>
      <c r="M3040" t="s">
        <v>42657</v>
      </c>
      <c r="N3040" t="s">
        <v>45095</v>
      </c>
      <c r="O3040" t="s">
        <v>45096</v>
      </c>
      <c r="P3040">
        <v>0</v>
      </c>
      <c r="Q3040">
        <v>2</v>
      </c>
      <c r="R3040" t="s">
        <v>45098</v>
      </c>
      <c r="S3040" t="s">
        <v>45223</v>
      </c>
      <c r="T3040" t="s">
        <v>47080</v>
      </c>
      <c r="U3040" t="s">
        <v>50053</v>
      </c>
      <c r="W3040" t="s">
        <v>42657</v>
      </c>
      <c r="X3040" t="s">
        <v>45099</v>
      </c>
    </row>
    <row r="3041" spans="1:24">
      <c r="A3041">
        <f>HYPERLINK("https://www.philgeps.gov.ph/GEPSNONPILOT/Tender/SplashBidNoticeAbstractUI.aspx?menuIndex=3&amp;refID=7044026&amp;Result=3","7044026")</f>
        <v>0</v>
      </c>
      <c r="B3041" t="s">
        <v>886</v>
      </c>
      <c r="C3041" t="s">
        <v>6096</v>
      </c>
      <c r="E3041" t="s">
        <v>20876</v>
      </c>
      <c r="F3041" t="s">
        <v>31574</v>
      </c>
      <c r="G3041" t="s">
        <v>31584</v>
      </c>
      <c r="H3041" t="s">
        <v>31590</v>
      </c>
      <c r="I3041" t="s">
        <v>6800</v>
      </c>
      <c r="J3041" t="s">
        <v>33789</v>
      </c>
      <c r="K3041" t="s">
        <v>41184</v>
      </c>
      <c r="M3041" t="s">
        <v>42407</v>
      </c>
      <c r="N3041" t="s">
        <v>45095</v>
      </c>
      <c r="O3041" t="s">
        <v>45096</v>
      </c>
      <c r="P3041">
        <v>0</v>
      </c>
      <c r="Q3041">
        <v>2</v>
      </c>
      <c r="R3041" t="s">
        <v>45098</v>
      </c>
      <c r="S3041" t="s">
        <v>45223</v>
      </c>
      <c r="T3041" t="s">
        <v>47080</v>
      </c>
      <c r="U3041" t="s">
        <v>50043</v>
      </c>
      <c r="W3041" t="s">
        <v>42407</v>
      </c>
      <c r="X3041" t="s">
        <v>45099</v>
      </c>
    </row>
    <row r="3042" spans="1:24">
      <c r="A3042">
        <f>HYPERLINK("https://www.philgeps.gov.ph/GEPSNONPILOT/Tender/SplashBidNoticeAbstractUI.aspx?menuIndex=3&amp;refID=7044018&amp;Result=3","7044018")</f>
        <v>0</v>
      </c>
      <c r="B3042" t="s">
        <v>886</v>
      </c>
      <c r="C3042" t="s">
        <v>6097</v>
      </c>
      <c r="E3042" t="s">
        <v>20877</v>
      </c>
      <c r="F3042" t="s">
        <v>31574</v>
      </c>
      <c r="G3042" t="s">
        <v>31584</v>
      </c>
      <c r="H3042" t="s">
        <v>31590</v>
      </c>
      <c r="I3042" t="s">
        <v>31594</v>
      </c>
      <c r="J3042" t="s">
        <v>32334</v>
      </c>
      <c r="K3042" t="s">
        <v>41184</v>
      </c>
      <c r="M3042" t="s">
        <v>42407</v>
      </c>
      <c r="N3042" t="s">
        <v>45095</v>
      </c>
      <c r="O3042" t="s">
        <v>45096</v>
      </c>
      <c r="P3042">
        <v>0</v>
      </c>
      <c r="Q3042">
        <v>6</v>
      </c>
      <c r="R3042" t="s">
        <v>45098</v>
      </c>
      <c r="S3042" t="s">
        <v>45223</v>
      </c>
      <c r="T3042" t="s">
        <v>47080</v>
      </c>
      <c r="U3042" t="s">
        <v>50043</v>
      </c>
      <c r="W3042" t="s">
        <v>42407</v>
      </c>
      <c r="X3042" t="s">
        <v>45099</v>
      </c>
    </row>
    <row r="3043" spans="1:24">
      <c r="A3043">
        <f>HYPERLINK("https://www.philgeps.gov.ph/GEPSNONPILOT/Tender/SplashBidNoticeAbstractUI.aspx?menuIndex=3&amp;refID=7044033&amp;Result=3","7044033")</f>
        <v>0</v>
      </c>
      <c r="B3043" t="s">
        <v>968</v>
      </c>
      <c r="C3043" t="s">
        <v>6098</v>
      </c>
      <c r="D3043" t="s">
        <v>18062</v>
      </c>
      <c r="E3043" t="s">
        <v>20878</v>
      </c>
      <c r="F3043" t="s">
        <v>31574</v>
      </c>
      <c r="G3043" t="s">
        <v>31582</v>
      </c>
      <c r="H3043" t="s">
        <v>31591</v>
      </c>
      <c r="I3043" t="s">
        <v>31638</v>
      </c>
      <c r="J3043" t="s">
        <v>33790</v>
      </c>
      <c r="K3043" t="s">
        <v>41200</v>
      </c>
      <c r="M3043" t="s">
        <v>42497</v>
      </c>
      <c r="N3043" t="s">
        <v>45095</v>
      </c>
      <c r="O3043" t="s">
        <v>45096</v>
      </c>
      <c r="P3043">
        <v>0</v>
      </c>
      <c r="Q3043">
        <v>1</v>
      </c>
      <c r="R3043" t="s">
        <v>45098</v>
      </c>
      <c r="S3043" t="s">
        <v>45223</v>
      </c>
      <c r="T3043" t="s">
        <v>46924</v>
      </c>
      <c r="U3043" t="s">
        <v>50054</v>
      </c>
      <c r="V3043" t="s">
        <v>60087</v>
      </c>
      <c r="W3043" t="s">
        <v>42497</v>
      </c>
      <c r="X3043" t="s">
        <v>45099</v>
      </c>
    </row>
    <row r="3044" spans="1:24">
      <c r="A3044">
        <f>HYPERLINK("https://www.philgeps.gov.ph/GEPSNONPILOT/Tender/SplashBidNoticeAbstractUI.aspx?menuIndex=3&amp;refID=7044025&amp;Result=3","7044025")</f>
        <v>0</v>
      </c>
      <c r="B3044" t="s">
        <v>886</v>
      </c>
      <c r="C3044" t="s">
        <v>6099</v>
      </c>
      <c r="E3044" t="s">
        <v>20879</v>
      </c>
      <c r="F3044" t="s">
        <v>31574</v>
      </c>
      <c r="G3044" t="s">
        <v>31584</v>
      </c>
      <c r="H3044" t="s">
        <v>31590</v>
      </c>
      <c r="I3044" t="s">
        <v>6800</v>
      </c>
      <c r="J3044" t="s">
        <v>33791</v>
      </c>
      <c r="K3044" t="s">
        <v>41184</v>
      </c>
      <c r="M3044" t="s">
        <v>42407</v>
      </c>
      <c r="N3044" t="s">
        <v>45095</v>
      </c>
      <c r="O3044" t="s">
        <v>45096</v>
      </c>
      <c r="P3044">
        <v>0</v>
      </c>
      <c r="Q3044">
        <v>3</v>
      </c>
      <c r="R3044" t="s">
        <v>45098</v>
      </c>
      <c r="S3044" t="s">
        <v>45223</v>
      </c>
      <c r="T3044" t="s">
        <v>47080</v>
      </c>
      <c r="U3044" t="s">
        <v>50043</v>
      </c>
      <c r="W3044" t="s">
        <v>42407</v>
      </c>
      <c r="X3044" t="s">
        <v>45099</v>
      </c>
    </row>
    <row r="3045" spans="1:24">
      <c r="A3045">
        <f>HYPERLINK("https://www.philgeps.gov.ph/GEPSNONPILOT/Tender/SplashBidNoticeAbstractUI.aspx?menuIndex=3&amp;refID=7044032&amp;Result=3","7044032")</f>
        <v>0</v>
      </c>
      <c r="B3045" t="s">
        <v>968</v>
      </c>
      <c r="C3045" t="s">
        <v>6100</v>
      </c>
      <c r="D3045" t="s">
        <v>18062</v>
      </c>
      <c r="E3045" t="s">
        <v>20880</v>
      </c>
      <c r="F3045" t="s">
        <v>31574</v>
      </c>
      <c r="G3045" t="s">
        <v>31582</v>
      </c>
      <c r="H3045" t="s">
        <v>31591</v>
      </c>
      <c r="I3045" t="s">
        <v>31638</v>
      </c>
      <c r="J3045" t="s">
        <v>33792</v>
      </c>
      <c r="K3045" t="s">
        <v>41200</v>
      </c>
      <c r="M3045" t="s">
        <v>42497</v>
      </c>
      <c r="N3045" t="s">
        <v>45095</v>
      </c>
      <c r="O3045" t="s">
        <v>45096</v>
      </c>
      <c r="P3045">
        <v>0</v>
      </c>
      <c r="Q3045">
        <v>1</v>
      </c>
      <c r="R3045" t="s">
        <v>45098</v>
      </c>
      <c r="S3045" t="s">
        <v>45223</v>
      </c>
      <c r="T3045" t="s">
        <v>46924</v>
      </c>
      <c r="U3045" t="s">
        <v>50055</v>
      </c>
      <c r="V3045" t="s">
        <v>60087</v>
      </c>
      <c r="W3045" t="s">
        <v>42497</v>
      </c>
      <c r="X3045" t="s">
        <v>45099</v>
      </c>
    </row>
    <row r="3046" spans="1:24">
      <c r="A3046">
        <f>HYPERLINK("https://www.philgeps.gov.ph/GEPSNONPILOT/Tender/SplashBidNoticeAbstractUI.aspx?menuIndex=3&amp;refID=7044030&amp;Result=3","7044030")</f>
        <v>0</v>
      </c>
      <c r="B3046" t="s">
        <v>1109</v>
      </c>
      <c r="C3046" t="s">
        <v>6101</v>
      </c>
      <c r="D3046" t="s">
        <v>18068</v>
      </c>
      <c r="E3046" t="s">
        <v>20881</v>
      </c>
      <c r="F3046" t="s">
        <v>31574</v>
      </c>
      <c r="G3046" t="s">
        <v>31582</v>
      </c>
      <c r="H3046" t="s">
        <v>31591</v>
      </c>
      <c r="I3046" t="s">
        <v>8822</v>
      </c>
      <c r="J3046" t="s">
        <v>32019</v>
      </c>
      <c r="K3046" t="s">
        <v>41209</v>
      </c>
      <c r="M3046" t="s">
        <v>42658</v>
      </c>
      <c r="N3046" t="s">
        <v>45095</v>
      </c>
      <c r="O3046" t="s">
        <v>45096</v>
      </c>
      <c r="P3046">
        <v>0</v>
      </c>
      <c r="Q3046">
        <v>0</v>
      </c>
      <c r="R3046" t="s">
        <v>45098</v>
      </c>
      <c r="S3046" t="s">
        <v>45223</v>
      </c>
      <c r="T3046" t="s">
        <v>46979</v>
      </c>
      <c r="U3046" t="s">
        <v>50056</v>
      </c>
      <c r="W3046" t="s">
        <v>42658</v>
      </c>
      <c r="X3046" t="s">
        <v>45099</v>
      </c>
    </row>
    <row r="3047" spans="1:24">
      <c r="A3047">
        <f>HYPERLINK("https://www.philgeps.gov.ph/GEPSNONPILOT/Tender/SplashBidNoticeAbstractUI.aspx?menuIndex=3&amp;refID=7044024&amp;Result=3","7044024")</f>
        <v>0</v>
      </c>
      <c r="B3047" t="s">
        <v>886</v>
      </c>
      <c r="C3047" t="s">
        <v>6102</v>
      </c>
      <c r="E3047" t="s">
        <v>20882</v>
      </c>
      <c r="F3047" t="s">
        <v>31574</v>
      </c>
      <c r="G3047" t="s">
        <v>31581</v>
      </c>
      <c r="H3047" t="s">
        <v>31590</v>
      </c>
      <c r="I3047" t="s">
        <v>6800</v>
      </c>
      <c r="J3047" t="s">
        <v>31865</v>
      </c>
      <c r="K3047" t="s">
        <v>41184</v>
      </c>
      <c r="M3047" t="s">
        <v>42407</v>
      </c>
      <c r="N3047" t="s">
        <v>45095</v>
      </c>
      <c r="O3047" t="s">
        <v>45096</v>
      </c>
      <c r="P3047">
        <v>0</v>
      </c>
      <c r="Q3047">
        <v>5</v>
      </c>
      <c r="R3047" t="s">
        <v>45098</v>
      </c>
      <c r="S3047" t="s">
        <v>45223</v>
      </c>
      <c r="T3047" t="s">
        <v>47080</v>
      </c>
      <c r="U3047" t="s">
        <v>50043</v>
      </c>
      <c r="W3047" t="s">
        <v>42407</v>
      </c>
      <c r="X3047" t="s">
        <v>45099</v>
      </c>
    </row>
    <row r="3048" spans="1:24">
      <c r="A3048">
        <f>HYPERLINK("https://www.philgeps.gov.ph/GEPSNONPILOT/Tender/SplashBidNoticeAbstractUI.aspx?menuIndex=3&amp;refID=7044031&amp;Result=3","7044031")</f>
        <v>0</v>
      </c>
      <c r="B3048" t="s">
        <v>886</v>
      </c>
      <c r="C3048" t="s">
        <v>6103</v>
      </c>
      <c r="E3048" t="s">
        <v>20883</v>
      </c>
      <c r="F3048" t="s">
        <v>31574</v>
      </c>
      <c r="G3048" t="s">
        <v>31581</v>
      </c>
      <c r="H3048" t="s">
        <v>31590</v>
      </c>
      <c r="I3048" t="s">
        <v>14034</v>
      </c>
      <c r="J3048" t="s">
        <v>33793</v>
      </c>
      <c r="K3048" t="s">
        <v>41184</v>
      </c>
      <c r="M3048" t="s">
        <v>42407</v>
      </c>
      <c r="N3048" t="s">
        <v>45095</v>
      </c>
      <c r="O3048" t="s">
        <v>45096</v>
      </c>
      <c r="P3048">
        <v>0</v>
      </c>
      <c r="Q3048">
        <v>1</v>
      </c>
      <c r="R3048" t="s">
        <v>45098</v>
      </c>
      <c r="S3048" t="s">
        <v>45223</v>
      </c>
      <c r="T3048" t="s">
        <v>47080</v>
      </c>
      <c r="U3048" t="s">
        <v>50043</v>
      </c>
      <c r="W3048" t="s">
        <v>42407</v>
      </c>
      <c r="X3048" t="s">
        <v>45099</v>
      </c>
    </row>
    <row r="3049" spans="1:24">
      <c r="A3049">
        <f>HYPERLINK("https://www.philgeps.gov.ph/GEPSNONPILOT/Tender/SplashBidNoticeAbstractUI.aspx?menuIndex=3&amp;refID=7044028&amp;Result=3","7044028")</f>
        <v>0</v>
      </c>
      <c r="B3049" t="s">
        <v>886</v>
      </c>
      <c r="C3049" t="s">
        <v>6104</v>
      </c>
      <c r="E3049" t="s">
        <v>20884</v>
      </c>
      <c r="F3049" t="s">
        <v>31574</v>
      </c>
      <c r="G3049" t="s">
        <v>31581</v>
      </c>
      <c r="H3049" t="s">
        <v>31590</v>
      </c>
      <c r="I3049" t="s">
        <v>31664</v>
      </c>
      <c r="J3049" t="s">
        <v>31805</v>
      </c>
      <c r="K3049" t="s">
        <v>41184</v>
      </c>
      <c r="M3049" t="s">
        <v>42407</v>
      </c>
      <c r="N3049" t="s">
        <v>45095</v>
      </c>
      <c r="O3049" t="s">
        <v>45096</v>
      </c>
      <c r="P3049">
        <v>0</v>
      </c>
      <c r="Q3049">
        <v>0</v>
      </c>
      <c r="R3049" t="s">
        <v>45098</v>
      </c>
      <c r="S3049" t="s">
        <v>45223</v>
      </c>
      <c r="T3049" t="s">
        <v>47080</v>
      </c>
      <c r="U3049" t="s">
        <v>50043</v>
      </c>
      <c r="W3049" t="s">
        <v>42407</v>
      </c>
      <c r="X3049" t="s">
        <v>45099</v>
      </c>
    </row>
    <row r="3050" spans="1:24">
      <c r="A3050">
        <f>HYPERLINK("https://www.philgeps.gov.ph/GEPSNONPILOT/Tender/SplashBidNoticeAbstractUI.aspx?menuIndex=3&amp;refID=7044029&amp;Result=3","7044029")</f>
        <v>0</v>
      </c>
      <c r="B3050" t="s">
        <v>886</v>
      </c>
      <c r="C3050" t="s">
        <v>6105</v>
      </c>
      <c r="E3050" t="s">
        <v>20885</v>
      </c>
      <c r="F3050" t="s">
        <v>31574</v>
      </c>
      <c r="G3050" t="s">
        <v>31584</v>
      </c>
      <c r="H3050" t="s">
        <v>31590</v>
      </c>
      <c r="I3050" t="s">
        <v>6800</v>
      </c>
      <c r="J3050" t="s">
        <v>33794</v>
      </c>
      <c r="K3050" t="s">
        <v>41184</v>
      </c>
      <c r="M3050" t="s">
        <v>42407</v>
      </c>
      <c r="N3050" t="s">
        <v>45095</v>
      </c>
      <c r="O3050" t="s">
        <v>45096</v>
      </c>
      <c r="P3050">
        <v>0</v>
      </c>
      <c r="Q3050">
        <v>2</v>
      </c>
      <c r="R3050" t="s">
        <v>45098</v>
      </c>
      <c r="S3050" t="s">
        <v>45223</v>
      </c>
      <c r="T3050" t="s">
        <v>47080</v>
      </c>
      <c r="U3050" t="s">
        <v>50043</v>
      </c>
      <c r="W3050" t="s">
        <v>42407</v>
      </c>
      <c r="X3050" t="s">
        <v>45099</v>
      </c>
    </row>
    <row r="3051" spans="1:24">
      <c r="A3051">
        <f>HYPERLINK("https://www.philgeps.gov.ph/GEPSNONPILOT/Tender/SplashBidNoticeAbstractUI.aspx?menuIndex=3&amp;refID=7044027&amp;Result=3","7044027")</f>
        <v>0</v>
      </c>
      <c r="B3051" t="s">
        <v>453</v>
      </c>
      <c r="C3051" t="s">
        <v>6106</v>
      </c>
      <c r="D3051" t="s">
        <v>18066</v>
      </c>
      <c r="E3051" t="s">
        <v>20886</v>
      </c>
      <c r="F3051" t="s">
        <v>31574</v>
      </c>
      <c r="G3051" t="s">
        <v>31581</v>
      </c>
      <c r="H3051" t="s">
        <v>31590</v>
      </c>
      <c r="I3051" t="s">
        <v>4677</v>
      </c>
      <c r="J3051" t="s">
        <v>33795</v>
      </c>
      <c r="K3051" t="s">
        <v>41225</v>
      </c>
      <c r="M3051" t="s">
        <v>41947</v>
      </c>
      <c r="N3051" t="s">
        <v>45095</v>
      </c>
      <c r="O3051" t="s">
        <v>45096</v>
      </c>
      <c r="P3051">
        <v>0</v>
      </c>
      <c r="Q3051">
        <v>0</v>
      </c>
      <c r="R3051" t="s">
        <v>45098</v>
      </c>
      <c r="S3051" t="s">
        <v>45223</v>
      </c>
      <c r="T3051" t="s">
        <v>47149</v>
      </c>
      <c r="U3051" t="s">
        <v>50057</v>
      </c>
      <c r="V3051" t="s">
        <v>60144</v>
      </c>
      <c r="W3051" t="s">
        <v>41947</v>
      </c>
      <c r="X3051" t="s">
        <v>45099</v>
      </c>
    </row>
    <row r="3052" spans="1:24">
      <c r="A3052">
        <f>HYPERLINK("https://www.philgeps.gov.ph/GEPSNONPILOT/Tender/SplashBidNoticeAbstractUI.aspx?menuIndex=3&amp;refID=7044034&amp;Result=3","7044034")</f>
        <v>0</v>
      </c>
      <c r="B3052" t="s">
        <v>968</v>
      </c>
      <c r="C3052" t="s">
        <v>6107</v>
      </c>
      <c r="D3052" t="s">
        <v>18062</v>
      </c>
      <c r="E3052" t="s">
        <v>20887</v>
      </c>
      <c r="F3052" t="s">
        <v>31574</v>
      </c>
      <c r="G3052" t="s">
        <v>31582</v>
      </c>
      <c r="H3052" t="s">
        <v>31591</v>
      </c>
      <c r="I3052" t="s">
        <v>31638</v>
      </c>
      <c r="J3052" t="s">
        <v>33796</v>
      </c>
      <c r="K3052" t="s">
        <v>41200</v>
      </c>
      <c r="M3052" t="s">
        <v>42497</v>
      </c>
      <c r="N3052" t="s">
        <v>45095</v>
      </c>
      <c r="O3052" t="s">
        <v>45096</v>
      </c>
      <c r="P3052">
        <v>0</v>
      </c>
      <c r="Q3052">
        <v>2</v>
      </c>
      <c r="R3052" t="s">
        <v>45098</v>
      </c>
      <c r="S3052" t="s">
        <v>45223</v>
      </c>
      <c r="T3052" t="s">
        <v>46924</v>
      </c>
      <c r="U3052" t="s">
        <v>50058</v>
      </c>
      <c r="V3052" t="s">
        <v>60087</v>
      </c>
      <c r="W3052" t="s">
        <v>42497</v>
      </c>
      <c r="X3052" t="s">
        <v>45099</v>
      </c>
    </row>
    <row r="3053" spans="1:24">
      <c r="A3053">
        <f>HYPERLINK("https://www.philgeps.gov.ph/GEPSNONPILOT/Tender/SplashBidNoticeAbstractUI.aspx?menuIndex=3&amp;refID=7044047&amp;Result=3","7044047")</f>
        <v>0</v>
      </c>
      <c r="B3053" t="s">
        <v>968</v>
      </c>
      <c r="C3053" t="s">
        <v>6108</v>
      </c>
      <c r="D3053" t="s">
        <v>18062</v>
      </c>
      <c r="E3053" t="s">
        <v>20888</v>
      </c>
      <c r="F3053" t="s">
        <v>31574</v>
      </c>
      <c r="G3053" t="s">
        <v>31582</v>
      </c>
      <c r="H3053" t="s">
        <v>31591</v>
      </c>
      <c r="I3053" t="s">
        <v>31638</v>
      </c>
      <c r="J3053" t="s">
        <v>33797</v>
      </c>
      <c r="K3053" t="s">
        <v>41200</v>
      </c>
      <c r="M3053" t="s">
        <v>42497</v>
      </c>
      <c r="N3053" t="s">
        <v>45095</v>
      </c>
      <c r="O3053" t="s">
        <v>45096</v>
      </c>
      <c r="P3053">
        <v>0</v>
      </c>
      <c r="Q3053">
        <v>2</v>
      </c>
      <c r="R3053" t="s">
        <v>45098</v>
      </c>
      <c r="S3053" t="s">
        <v>45223</v>
      </c>
      <c r="T3053" t="s">
        <v>46924</v>
      </c>
      <c r="U3053" t="s">
        <v>50059</v>
      </c>
      <c r="V3053" t="s">
        <v>60087</v>
      </c>
      <c r="W3053" t="s">
        <v>42497</v>
      </c>
      <c r="X3053" t="s">
        <v>45099</v>
      </c>
    </row>
    <row r="3054" spans="1:24">
      <c r="A3054">
        <f>HYPERLINK("https://www.philgeps.gov.ph/GEPSNONPILOT/Tender/SplashBidNoticeAbstractUI.aspx?menuIndex=3&amp;refID=7044044&amp;Result=3","7044044")</f>
        <v>0</v>
      </c>
      <c r="B3054" t="s">
        <v>968</v>
      </c>
      <c r="C3054" t="s">
        <v>6109</v>
      </c>
      <c r="D3054" t="s">
        <v>18062</v>
      </c>
      <c r="E3054" t="s">
        <v>20889</v>
      </c>
      <c r="F3054" t="s">
        <v>31574</v>
      </c>
      <c r="G3054" t="s">
        <v>31582</v>
      </c>
      <c r="H3054" t="s">
        <v>31591</v>
      </c>
      <c r="I3054" t="s">
        <v>31638</v>
      </c>
      <c r="J3054" t="s">
        <v>33798</v>
      </c>
      <c r="K3054" t="s">
        <v>41200</v>
      </c>
      <c r="M3054" t="s">
        <v>42497</v>
      </c>
      <c r="N3054" t="s">
        <v>45095</v>
      </c>
      <c r="O3054" t="s">
        <v>45096</v>
      </c>
      <c r="P3054">
        <v>0</v>
      </c>
      <c r="Q3054">
        <v>1</v>
      </c>
      <c r="R3054" t="s">
        <v>45098</v>
      </c>
      <c r="S3054" t="s">
        <v>45223</v>
      </c>
      <c r="T3054" t="s">
        <v>46924</v>
      </c>
      <c r="U3054" t="s">
        <v>50060</v>
      </c>
      <c r="V3054" t="s">
        <v>60087</v>
      </c>
      <c r="W3054" t="s">
        <v>42497</v>
      </c>
      <c r="X3054" t="s">
        <v>45099</v>
      </c>
    </row>
    <row r="3055" spans="1:24">
      <c r="A3055">
        <f>HYPERLINK("https://www.philgeps.gov.ph/GEPSNONPILOT/Tender/SplashBidNoticeAbstractUI.aspx?menuIndex=3&amp;refID=7044046&amp;Result=3","7044046")</f>
        <v>0</v>
      </c>
      <c r="B3055" t="s">
        <v>968</v>
      </c>
      <c r="C3055" t="s">
        <v>6110</v>
      </c>
      <c r="D3055" t="s">
        <v>18062</v>
      </c>
      <c r="E3055" t="s">
        <v>20890</v>
      </c>
      <c r="F3055" t="s">
        <v>31574</v>
      </c>
      <c r="G3055" t="s">
        <v>31582</v>
      </c>
      <c r="H3055" t="s">
        <v>31591</v>
      </c>
      <c r="I3055" t="s">
        <v>31638</v>
      </c>
      <c r="J3055" t="s">
        <v>33799</v>
      </c>
      <c r="K3055" t="s">
        <v>41200</v>
      </c>
      <c r="M3055" t="s">
        <v>42497</v>
      </c>
      <c r="N3055" t="s">
        <v>45095</v>
      </c>
      <c r="O3055" t="s">
        <v>45096</v>
      </c>
      <c r="P3055">
        <v>0</v>
      </c>
      <c r="Q3055">
        <v>2</v>
      </c>
      <c r="R3055" t="s">
        <v>45098</v>
      </c>
      <c r="S3055" t="s">
        <v>45223</v>
      </c>
      <c r="T3055" t="s">
        <v>46924</v>
      </c>
      <c r="U3055" t="s">
        <v>50061</v>
      </c>
      <c r="V3055" t="s">
        <v>60087</v>
      </c>
      <c r="W3055" t="s">
        <v>42497</v>
      </c>
      <c r="X3055" t="s">
        <v>45099</v>
      </c>
    </row>
    <row r="3056" spans="1:24">
      <c r="A3056">
        <f>HYPERLINK("https://www.philgeps.gov.ph/GEPSNONPILOT/Tender/SplashBidNoticeAbstractUI.aspx?menuIndex=3&amp;refID=7044035&amp;Result=3","7044035")</f>
        <v>0</v>
      </c>
      <c r="B3056" t="s">
        <v>1110</v>
      </c>
      <c r="C3056" t="s">
        <v>4009</v>
      </c>
      <c r="D3056" t="s">
        <v>18041</v>
      </c>
      <c r="E3056" t="s">
        <v>18175</v>
      </c>
      <c r="F3056" t="s">
        <v>31574</v>
      </c>
      <c r="G3056" t="s">
        <v>31582</v>
      </c>
      <c r="H3056" t="s">
        <v>31590</v>
      </c>
      <c r="I3056" t="s">
        <v>6800</v>
      </c>
      <c r="J3056" t="s">
        <v>32650</v>
      </c>
      <c r="K3056" t="s">
        <v>41184</v>
      </c>
      <c r="M3056" t="s">
        <v>42659</v>
      </c>
      <c r="N3056" t="s">
        <v>45095</v>
      </c>
      <c r="O3056" t="s">
        <v>45096</v>
      </c>
      <c r="P3056">
        <v>0</v>
      </c>
      <c r="Q3056">
        <v>0</v>
      </c>
      <c r="R3056" t="s">
        <v>45098</v>
      </c>
      <c r="S3056" t="s">
        <v>45223</v>
      </c>
      <c r="T3056" t="s">
        <v>47061</v>
      </c>
      <c r="U3056" t="s">
        <v>50062</v>
      </c>
      <c r="W3056" t="s">
        <v>42659</v>
      </c>
      <c r="X3056" t="s">
        <v>45099</v>
      </c>
    </row>
    <row r="3057" spans="1:24">
      <c r="A3057">
        <f>HYPERLINK("https://www.philgeps.gov.ph/GEPSNONPILOT/Tender/SplashBidNoticeAbstractUI.aspx?menuIndex=3&amp;refID=7044045&amp;Result=3","7044045")</f>
        <v>0</v>
      </c>
      <c r="B3057" t="s">
        <v>1056</v>
      </c>
      <c r="C3057" t="s">
        <v>6065</v>
      </c>
      <c r="D3057" t="s">
        <v>18041</v>
      </c>
      <c r="E3057" t="s">
        <v>20891</v>
      </c>
      <c r="F3057" t="s">
        <v>31574</v>
      </c>
      <c r="G3057" t="s">
        <v>31582</v>
      </c>
      <c r="H3057" t="s">
        <v>31590</v>
      </c>
      <c r="I3057" t="s">
        <v>31608</v>
      </c>
      <c r="J3057" t="s">
        <v>33800</v>
      </c>
      <c r="K3057" t="s">
        <v>41213</v>
      </c>
      <c r="M3057" t="s">
        <v>42601</v>
      </c>
      <c r="N3057" t="s">
        <v>45095</v>
      </c>
      <c r="O3057" t="s">
        <v>45096</v>
      </c>
      <c r="P3057">
        <v>0</v>
      </c>
      <c r="Q3057">
        <v>1</v>
      </c>
      <c r="R3057" t="s">
        <v>45098</v>
      </c>
      <c r="S3057" t="s">
        <v>45223</v>
      </c>
      <c r="T3057" t="s">
        <v>46905</v>
      </c>
      <c r="U3057" t="s">
        <v>50063</v>
      </c>
      <c r="W3057" t="s">
        <v>42601</v>
      </c>
      <c r="X3057" t="s">
        <v>45099</v>
      </c>
    </row>
    <row r="3058" spans="1:24">
      <c r="A3058">
        <f>HYPERLINK("https://www.philgeps.gov.ph/GEPSNONPILOT/Tender/SplashBidNoticeAbstractUI.aspx?menuIndex=3&amp;refID=7044037&amp;Result=3","7044037")</f>
        <v>0</v>
      </c>
      <c r="B3058" t="s">
        <v>968</v>
      </c>
      <c r="C3058" t="s">
        <v>6111</v>
      </c>
      <c r="D3058" t="s">
        <v>18062</v>
      </c>
      <c r="E3058" t="s">
        <v>20892</v>
      </c>
      <c r="F3058" t="s">
        <v>31574</v>
      </c>
      <c r="G3058" t="s">
        <v>31582</v>
      </c>
      <c r="H3058" t="s">
        <v>31591</v>
      </c>
      <c r="I3058" t="s">
        <v>31638</v>
      </c>
      <c r="J3058" t="s">
        <v>33801</v>
      </c>
      <c r="K3058" t="s">
        <v>41200</v>
      </c>
      <c r="M3058" t="s">
        <v>42497</v>
      </c>
      <c r="N3058" t="s">
        <v>45095</v>
      </c>
      <c r="O3058" t="s">
        <v>45096</v>
      </c>
      <c r="P3058">
        <v>0</v>
      </c>
      <c r="Q3058">
        <v>1</v>
      </c>
      <c r="R3058" t="s">
        <v>45098</v>
      </c>
      <c r="S3058" t="s">
        <v>45223</v>
      </c>
      <c r="T3058" t="s">
        <v>46924</v>
      </c>
      <c r="U3058" t="s">
        <v>50064</v>
      </c>
      <c r="V3058" t="s">
        <v>60087</v>
      </c>
      <c r="W3058" t="s">
        <v>42497</v>
      </c>
      <c r="X3058" t="s">
        <v>45099</v>
      </c>
    </row>
    <row r="3059" spans="1:24">
      <c r="A3059">
        <f>HYPERLINK("https://www.philgeps.gov.ph/GEPSNONPILOT/Tender/SplashBidNoticeAbstractUI.aspx?menuIndex=3&amp;refID=7044036&amp;Result=3","7044036")</f>
        <v>0</v>
      </c>
      <c r="B3059" t="s">
        <v>968</v>
      </c>
      <c r="C3059" t="s">
        <v>6112</v>
      </c>
      <c r="D3059" t="s">
        <v>18062</v>
      </c>
      <c r="E3059" t="s">
        <v>20893</v>
      </c>
      <c r="F3059" t="s">
        <v>31574</v>
      </c>
      <c r="G3059" t="s">
        <v>31582</v>
      </c>
      <c r="H3059" t="s">
        <v>31591</v>
      </c>
      <c r="I3059" t="s">
        <v>31638</v>
      </c>
      <c r="J3059" t="s">
        <v>33802</v>
      </c>
      <c r="K3059" t="s">
        <v>41200</v>
      </c>
      <c r="M3059" t="s">
        <v>42497</v>
      </c>
      <c r="N3059" t="s">
        <v>45095</v>
      </c>
      <c r="O3059" t="s">
        <v>45096</v>
      </c>
      <c r="P3059">
        <v>0</v>
      </c>
      <c r="Q3059">
        <v>1</v>
      </c>
      <c r="R3059" t="s">
        <v>45098</v>
      </c>
      <c r="S3059" t="s">
        <v>45223</v>
      </c>
      <c r="T3059" t="s">
        <v>46924</v>
      </c>
      <c r="U3059" t="s">
        <v>50065</v>
      </c>
      <c r="V3059" t="s">
        <v>60087</v>
      </c>
      <c r="W3059" t="s">
        <v>42497</v>
      </c>
      <c r="X3059" t="s">
        <v>45099</v>
      </c>
    </row>
    <row r="3060" spans="1:24">
      <c r="A3060">
        <f>HYPERLINK("https://www.philgeps.gov.ph/GEPSNONPILOT/Tender/SplashBidNoticeAbstractUI.aspx?menuIndex=3&amp;refID=7044048&amp;Result=3","7044048")</f>
        <v>0</v>
      </c>
      <c r="B3060" t="s">
        <v>968</v>
      </c>
      <c r="C3060" t="s">
        <v>6113</v>
      </c>
      <c r="D3060" t="s">
        <v>18062</v>
      </c>
      <c r="E3060" t="s">
        <v>20894</v>
      </c>
      <c r="F3060" t="s">
        <v>31574</v>
      </c>
      <c r="G3060" t="s">
        <v>31582</v>
      </c>
      <c r="H3060" t="s">
        <v>31591</v>
      </c>
      <c r="I3060" t="s">
        <v>31638</v>
      </c>
      <c r="J3060" t="s">
        <v>33803</v>
      </c>
      <c r="K3060" t="s">
        <v>41200</v>
      </c>
      <c r="M3060" t="s">
        <v>42497</v>
      </c>
      <c r="N3060" t="s">
        <v>45095</v>
      </c>
      <c r="O3060" t="s">
        <v>45096</v>
      </c>
      <c r="P3060">
        <v>0</v>
      </c>
      <c r="Q3060">
        <v>1</v>
      </c>
      <c r="R3060" t="s">
        <v>45098</v>
      </c>
      <c r="S3060" t="s">
        <v>45223</v>
      </c>
      <c r="T3060" t="s">
        <v>46924</v>
      </c>
      <c r="U3060" t="s">
        <v>50066</v>
      </c>
      <c r="V3060" t="s">
        <v>60087</v>
      </c>
      <c r="W3060" t="s">
        <v>42497</v>
      </c>
      <c r="X3060" t="s">
        <v>45099</v>
      </c>
    </row>
    <row r="3061" spans="1:24">
      <c r="A3061">
        <f>HYPERLINK("https://www.philgeps.gov.ph/GEPSNONPILOT/Tender/SplashBidNoticeAbstractUI.aspx?menuIndex=3&amp;refID=7044041&amp;Result=3","7044041")</f>
        <v>0</v>
      </c>
      <c r="B3061" t="s">
        <v>968</v>
      </c>
      <c r="C3061" t="s">
        <v>6114</v>
      </c>
      <c r="D3061" t="s">
        <v>18062</v>
      </c>
      <c r="E3061" t="s">
        <v>20895</v>
      </c>
      <c r="F3061" t="s">
        <v>31574</v>
      </c>
      <c r="G3061" t="s">
        <v>31582</v>
      </c>
      <c r="H3061" t="s">
        <v>31591</v>
      </c>
      <c r="I3061" t="s">
        <v>31638</v>
      </c>
      <c r="J3061" t="s">
        <v>33804</v>
      </c>
      <c r="K3061" t="s">
        <v>41200</v>
      </c>
      <c r="M3061" t="s">
        <v>42497</v>
      </c>
      <c r="N3061" t="s">
        <v>45095</v>
      </c>
      <c r="O3061" t="s">
        <v>45096</v>
      </c>
      <c r="P3061">
        <v>0</v>
      </c>
      <c r="Q3061">
        <v>1</v>
      </c>
      <c r="R3061" t="s">
        <v>45098</v>
      </c>
      <c r="S3061" t="s">
        <v>45223</v>
      </c>
      <c r="T3061" t="s">
        <v>46924</v>
      </c>
      <c r="U3061" t="s">
        <v>50067</v>
      </c>
      <c r="V3061" t="s">
        <v>60087</v>
      </c>
      <c r="W3061" t="s">
        <v>42497</v>
      </c>
      <c r="X3061" t="s">
        <v>45099</v>
      </c>
    </row>
    <row r="3062" spans="1:24">
      <c r="A3062">
        <f>HYPERLINK("https://www.philgeps.gov.ph/GEPSNONPILOT/Tender/SplashBidNoticeAbstractUI.aspx?menuIndex=3&amp;refID=7044053&amp;Result=3","7044053")</f>
        <v>0</v>
      </c>
      <c r="B3062" t="s">
        <v>532</v>
      </c>
      <c r="C3062" t="s">
        <v>4009</v>
      </c>
      <c r="D3062" t="s">
        <v>18027</v>
      </c>
      <c r="E3062" t="s">
        <v>20896</v>
      </c>
      <c r="F3062" t="s">
        <v>31574</v>
      </c>
      <c r="G3062" t="s">
        <v>31583</v>
      </c>
      <c r="H3062" t="s">
        <v>31590</v>
      </c>
      <c r="I3062" t="s">
        <v>6800</v>
      </c>
      <c r="J3062" t="s">
        <v>31960</v>
      </c>
      <c r="K3062" t="s">
        <v>41193</v>
      </c>
      <c r="M3062" t="s">
        <v>42029</v>
      </c>
      <c r="N3062" t="s">
        <v>45095</v>
      </c>
      <c r="O3062" t="s">
        <v>45096</v>
      </c>
      <c r="P3062">
        <v>0</v>
      </c>
      <c r="Q3062">
        <v>0</v>
      </c>
      <c r="R3062" t="s">
        <v>45098</v>
      </c>
      <c r="S3062" t="s">
        <v>45223</v>
      </c>
      <c r="T3062" t="s">
        <v>47067</v>
      </c>
      <c r="U3062" t="s">
        <v>48541</v>
      </c>
      <c r="W3062" t="s">
        <v>42029</v>
      </c>
      <c r="X3062" t="s">
        <v>45099</v>
      </c>
    </row>
    <row r="3063" spans="1:24">
      <c r="A3063">
        <f>HYPERLINK("https://www.philgeps.gov.ph/GEPSNONPILOT/Tender/SplashBidNoticeAbstractUI.aspx?menuIndex=3&amp;refID=7044058&amp;Result=3","7044058")</f>
        <v>0</v>
      </c>
      <c r="B3063" t="s">
        <v>1111</v>
      </c>
      <c r="C3063" t="s">
        <v>6115</v>
      </c>
      <c r="D3063" t="s">
        <v>18081</v>
      </c>
      <c r="E3063" t="s">
        <v>20897</v>
      </c>
      <c r="F3063" t="s">
        <v>31574</v>
      </c>
      <c r="G3063" t="s">
        <v>31582</v>
      </c>
      <c r="H3063" t="s">
        <v>31590</v>
      </c>
      <c r="I3063" t="s">
        <v>31600</v>
      </c>
      <c r="J3063" t="s">
        <v>33805</v>
      </c>
      <c r="K3063" t="s">
        <v>41186</v>
      </c>
      <c r="M3063" t="s">
        <v>42660</v>
      </c>
      <c r="N3063" t="s">
        <v>45095</v>
      </c>
      <c r="O3063" t="s">
        <v>45096</v>
      </c>
      <c r="P3063">
        <v>0</v>
      </c>
      <c r="Q3063">
        <v>0</v>
      </c>
      <c r="R3063" t="s">
        <v>45098</v>
      </c>
      <c r="S3063" t="s">
        <v>45223</v>
      </c>
      <c r="T3063" t="s">
        <v>46924</v>
      </c>
      <c r="U3063" t="s">
        <v>50068</v>
      </c>
      <c r="W3063" t="s">
        <v>42660</v>
      </c>
      <c r="X3063" t="s">
        <v>45099</v>
      </c>
    </row>
    <row r="3064" spans="1:24">
      <c r="A3064">
        <f>HYPERLINK("https://www.philgeps.gov.ph/GEPSNONPILOT/Tender/SplashBidNoticeAbstractUI.aspx?menuIndex=3&amp;refID=7044055&amp;Result=3","7044055")</f>
        <v>0</v>
      </c>
      <c r="B3064" t="s">
        <v>532</v>
      </c>
      <c r="C3064" t="s">
        <v>6116</v>
      </c>
      <c r="D3064" t="s">
        <v>18027</v>
      </c>
      <c r="E3064" t="s">
        <v>20898</v>
      </c>
      <c r="F3064" t="s">
        <v>31574</v>
      </c>
      <c r="G3064" t="s">
        <v>31583</v>
      </c>
      <c r="H3064" t="s">
        <v>31590</v>
      </c>
      <c r="I3064" t="s">
        <v>5222</v>
      </c>
      <c r="J3064" t="s">
        <v>31931</v>
      </c>
      <c r="K3064" t="s">
        <v>41193</v>
      </c>
      <c r="M3064" t="s">
        <v>42029</v>
      </c>
      <c r="N3064" t="s">
        <v>45095</v>
      </c>
      <c r="O3064" t="s">
        <v>45096</v>
      </c>
      <c r="P3064">
        <v>0</v>
      </c>
      <c r="Q3064">
        <v>4</v>
      </c>
      <c r="R3064" t="s">
        <v>45098</v>
      </c>
      <c r="S3064" t="s">
        <v>45223</v>
      </c>
      <c r="T3064" t="s">
        <v>47067</v>
      </c>
      <c r="U3064" t="s">
        <v>48541</v>
      </c>
      <c r="W3064" t="s">
        <v>42029</v>
      </c>
      <c r="X3064" t="s">
        <v>45099</v>
      </c>
    </row>
    <row r="3065" spans="1:24">
      <c r="A3065">
        <f>HYPERLINK("https://www.philgeps.gov.ph/GEPSNONPILOT/Tender/SplashBidNoticeAbstractUI.aspx?menuIndex=3&amp;refID=7044056&amp;Result=3","7044056")</f>
        <v>0</v>
      </c>
      <c r="B3065" t="s">
        <v>968</v>
      </c>
      <c r="C3065" t="s">
        <v>6117</v>
      </c>
      <c r="D3065" t="s">
        <v>18062</v>
      </c>
      <c r="E3065" t="s">
        <v>20899</v>
      </c>
      <c r="F3065" t="s">
        <v>31574</v>
      </c>
      <c r="G3065" t="s">
        <v>31582</v>
      </c>
      <c r="H3065" t="s">
        <v>31591</v>
      </c>
      <c r="I3065" t="s">
        <v>31638</v>
      </c>
      <c r="J3065" t="s">
        <v>33806</v>
      </c>
      <c r="K3065" t="s">
        <v>41200</v>
      </c>
      <c r="M3065" t="s">
        <v>42497</v>
      </c>
      <c r="N3065" t="s">
        <v>45095</v>
      </c>
      <c r="O3065" t="s">
        <v>45096</v>
      </c>
      <c r="P3065">
        <v>0</v>
      </c>
      <c r="Q3065">
        <v>1</v>
      </c>
      <c r="R3065" t="s">
        <v>45098</v>
      </c>
      <c r="S3065" t="s">
        <v>45223</v>
      </c>
      <c r="T3065" t="s">
        <v>46924</v>
      </c>
      <c r="U3065" t="s">
        <v>50069</v>
      </c>
      <c r="V3065" t="s">
        <v>60087</v>
      </c>
      <c r="W3065" t="s">
        <v>42497</v>
      </c>
      <c r="X3065" t="s">
        <v>45099</v>
      </c>
    </row>
    <row r="3066" spans="1:24">
      <c r="A3066">
        <f>HYPERLINK("https://www.philgeps.gov.ph/GEPSNONPILOT/Tender/SplashBidNoticeAbstractUI.aspx?menuIndex=3&amp;refID=7044069&amp;Result=3","7044069")</f>
        <v>0</v>
      </c>
      <c r="B3066" t="s">
        <v>532</v>
      </c>
      <c r="C3066" t="s">
        <v>5695</v>
      </c>
      <c r="D3066" t="s">
        <v>18027</v>
      </c>
      <c r="E3066" t="s">
        <v>20900</v>
      </c>
      <c r="F3066" t="s">
        <v>31574</v>
      </c>
      <c r="G3066" t="s">
        <v>31583</v>
      </c>
      <c r="H3066" t="s">
        <v>31590</v>
      </c>
      <c r="I3066" t="s">
        <v>4354</v>
      </c>
      <c r="J3066" t="s">
        <v>31726</v>
      </c>
      <c r="K3066" t="s">
        <v>41193</v>
      </c>
      <c r="M3066" t="s">
        <v>42029</v>
      </c>
      <c r="N3066" t="s">
        <v>45095</v>
      </c>
      <c r="O3066" t="s">
        <v>45096</v>
      </c>
      <c r="P3066">
        <v>0</v>
      </c>
      <c r="Q3066">
        <v>3</v>
      </c>
      <c r="R3066" t="s">
        <v>45098</v>
      </c>
      <c r="S3066" t="s">
        <v>45223</v>
      </c>
      <c r="T3066" t="s">
        <v>47067</v>
      </c>
      <c r="U3066" t="s">
        <v>48541</v>
      </c>
      <c r="W3066" t="s">
        <v>42029</v>
      </c>
      <c r="X3066" t="s">
        <v>45099</v>
      </c>
    </row>
    <row r="3067" spans="1:24">
      <c r="A3067">
        <f>HYPERLINK("https://www.philgeps.gov.ph/GEPSNONPILOT/Tender/SplashBidNoticeAbstractUI.aspx?menuIndex=3&amp;refID=7044067&amp;Result=3","7044067")</f>
        <v>0</v>
      </c>
      <c r="B3067" t="s">
        <v>886</v>
      </c>
      <c r="C3067" t="s">
        <v>6118</v>
      </c>
      <c r="E3067" t="s">
        <v>20901</v>
      </c>
      <c r="F3067" t="s">
        <v>31574</v>
      </c>
      <c r="G3067" t="s">
        <v>31584</v>
      </c>
      <c r="H3067" t="s">
        <v>31590</v>
      </c>
      <c r="I3067" t="s">
        <v>6800</v>
      </c>
      <c r="J3067" t="s">
        <v>33807</v>
      </c>
      <c r="K3067" t="s">
        <v>41184</v>
      </c>
      <c r="M3067" t="s">
        <v>42407</v>
      </c>
      <c r="N3067" t="s">
        <v>45095</v>
      </c>
      <c r="O3067" t="s">
        <v>45096</v>
      </c>
      <c r="P3067">
        <v>0</v>
      </c>
      <c r="Q3067">
        <v>1</v>
      </c>
      <c r="R3067" t="s">
        <v>45098</v>
      </c>
      <c r="S3067" t="s">
        <v>45223</v>
      </c>
      <c r="T3067" t="s">
        <v>47080</v>
      </c>
      <c r="U3067" t="s">
        <v>50043</v>
      </c>
      <c r="W3067" t="s">
        <v>42407</v>
      </c>
      <c r="X3067" t="s">
        <v>45099</v>
      </c>
    </row>
    <row r="3068" spans="1:24">
      <c r="A3068">
        <f>HYPERLINK("https://www.philgeps.gov.ph/GEPSNONPILOT/Tender/SplashBidNoticeAbstractUI.aspx?menuIndex=3&amp;refID=7044054&amp;Result=3","7044054")</f>
        <v>0</v>
      </c>
      <c r="B3068" t="s">
        <v>968</v>
      </c>
      <c r="C3068" t="s">
        <v>6119</v>
      </c>
      <c r="D3068" t="s">
        <v>18062</v>
      </c>
      <c r="E3068" t="s">
        <v>20902</v>
      </c>
      <c r="F3068" t="s">
        <v>31574</v>
      </c>
      <c r="G3068" t="s">
        <v>31582</v>
      </c>
      <c r="H3068" t="s">
        <v>31591</v>
      </c>
      <c r="I3068" t="s">
        <v>31638</v>
      </c>
      <c r="J3068" t="s">
        <v>33808</v>
      </c>
      <c r="K3068" t="s">
        <v>41200</v>
      </c>
      <c r="M3068" t="s">
        <v>42497</v>
      </c>
      <c r="N3068" t="s">
        <v>45095</v>
      </c>
      <c r="O3068" t="s">
        <v>45096</v>
      </c>
      <c r="P3068">
        <v>0</v>
      </c>
      <c r="Q3068">
        <v>1</v>
      </c>
      <c r="R3068" t="s">
        <v>45098</v>
      </c>
      <c r="S3068" t="s">
        <v>45223</v>
      </c>
      <c r="T3068" t="s">
        <v>46924</v>
      </c>
      <c r="U3068" t="s">
        <v>50070</v>
      </c>
      <c r="V3068" t="s">
        <v>60087</v>
      </c>
      <c r="W3068" t="s">
        <v>42497</v>
      </c>
      <c r="X3068" t="s">
        <v>45099</v>
      </c>
    </row>
    <row r="3069" spans="1:24">
      <c r="A3069">
        <f>HYPERLINK("https://www.philgeps.gov.ph/GEPSNONPILOT/Tender/SplashBidNoticeAbstractUI.aspx?menuIndex=3&amp;refID=7044052&amp;Result=3","7044052")</f>
        <v>0</v>
      </c>
      <c r="B3069" t="s">
        <v>1112</v>
      </c>
      <c r="C3069" t="s">
        <v>6120</v>
      </c>
      <c r="D3069" t="s">
        <v>18057</v>
      </c>
      <c r="E3069" t="s">
        <v>20903</v>
      </c>
      <c r="F3069" t="s">
        <v>31574</v>
      </c>
      <c r="G3069" t="s">
        <v>31582</v>
      </c>
      <c r="H3069" t="s">
        <v>31592</v>
      </c>
      <c r="I3069" t="s">
        <v>31615</v>
      </c>
      <c r="J3069" t="s">
        <v>32375</v>
      </c>
      <c r="K3069" t="s">
        <v>41213</v>
      </c>
      <c r="M3069" t="s">
        <v>42661</v>
      </c>
      <c r="N3069" t="s">
        <v>45095</v>
      </c>
      <c r="O3069" t="s">
        <v>45096</v>
      </c>
      <c r="P3069">
        <v>0</v>
      </c>
      <c r="Q3069">
        <v>1</v>
      </c>
      <c r="R3069" t="s">
        <v>45098</v>
      </c>
      <c r="S3069" t="s">
        <v>45223</v>
      </c>
      <c r="T3069" t="s">
        <v>46952</v>
      </c>
      <c r="U3069" t="s">
        <v>50071</v>
      </c>
      <c r="W3069" t="s">
        <v>42661</v>
      </c>
      <c r="X3069" t="s">
        <v>45099</v>
      </c>
    </row>
    <row r="3070" spans="1:24">
      <c r="A3070">
        <f>HYPERLINK("https://www.philgeps.gov.ph/GEPSNONPILOT/Tender/SplashBidNoticeAbstractUI.aspx?menuIndex=3&amp;refID=7044066&amp;Result=3","7044066")</f>
        <v>0</v>
      </c>
      <c r="B3070" t="s">
        <v>968</v>
      </c>
      <c r="C3070" t="s">
        <v>6121</v>
      </c>
      <c r="D3070" t="s">
        <v>18062</v>
      </c>
      <c r="E3070" t="s">
        <v>20904</v>
      </c>
      <c r="F3070" t="s">
        <v>31574</v>
      </c>
      <c r="G3070" t="s">
        <v>31582</v>
      </c>
      <c r="H3070" t="s">
        <v>31591</v>
      </c>
      <c r="I3070" t="s">
        <v>31638</v>
      </c>
      <c r="J3070" t="s">
        <v>33809</v>
      </c>
      <c r="K3070" t="s">
        <v>41200</v>
      </c>
      <c r="M3070" t="s">
        <v>42497</v>
      </c>
      <c r="N3070" t="s">
        <v>45095</v>
      </c>
      <c r="O3070" t="s">
        <v>45096</v>
      </c>
      <c r="P3070">
        <v>0</v>
      </c>
      <c r="Q3070">
        <v>1</v>
      </c>
      <c r="R3070" t="s">
        <v>45098</v>
      </c>
      <c r="S3070" t="s">
        <v>45223</v>
      </c>
      <c r="T3070" t="s">
        <v>46924</v>
      </c>
      <c r="U3070" t="s">
        <v>50072</v>
      </c>
      <c r="V3070" t="s">
        <v>60087</v>
      </c>
      <c r="W3070" t="s">
        <v>42497</v>
      </c>
      <c r="X3070" t="s">
        <v>45099</v>
      </c>
    </row>
    <row r="3071" spans="1:24">
      <c r="A3071">
        <f>HYPERLINK("https://www.philgeps.gov.ph/GEPSNONPILOT/Tender/SplashBidNoticeAbstractUI.aspx?menuIndex=3&amp;refID=7044065&amp;Result=3","7044065")</f>
        <v>0</v>
      </c>
      <c r="B3071" t="s">
        <v>968</v>
      </c>
      <c r="C3071" t="s">
        <v>6122</v>
      </c>
      <c r="D3071" t="s">
        <v>18062</v>
      </c>
      <c r="E3071" t="s">
        <v>20905</v>
      </c>
      <c r="F3071" t="s">
        <v>31574</v>
      </c>
      <c r="G3071" t="s">
        <v>31582</v>
      </c>
      <c r="H3071" t="s">
        <v>31591</v>
      </c>
      <c r="I3071" t="s">
        <v>31638</v>
      </c>
      <c r="J3071" t="s">
        <v>33810</v>
      </c>
      <c r="K3071" t="s">
        <v>41200</v>
      </c>
      <c r="M3071" t="s">
        <v>42497</v>
      </c>
      <c r="N3071" t="s">
        <v>45095</v>
      </c>
      <c r="O3071" t="s">
        <v>45096</v>
      </c>
      <c r="P3071">
        <v>0</v>
      </c>
      <c r="Q3071">
        <v>1</v>
      </c>
      <c r="R3071" t="s">
        <v>45098</v>
      </c>
      <c r="S3071" t="s">
        <v>45223</v>
      </c>
      <c r="T3071" t="s">
        <v>46924</v>
      </c>
      <c r="U3071" t="s">
        <v>50073</v>
      </c>
      <c r="V3071" t="s">
        <v>60087</v>
      </c>
      <c r="W3071" t="s">
        <v>42497</v>
      </c>
      <c r="X3071" t="s">
        <v>45099</v>
      </c>
    </row>
    <row r="3072" spans="1:24">
      <c r="A3072">
        <f>HYPERLINK("https://www.philgeps.gov.ph/GEPSNONPILOT/Tender/SplashBidNoticeAbstractUI.aspx?menuIndex=3&amp;refID=7044068&amp;Result=3","7044068")</f>
        <v>0</v>
      </c>
      <c r="B3072" t="s">
        <v>968</v>
      </c>
      <c r="C3072" t="s">
        <v>6123</v>
      </c>
      <c r="D3072" t="s">
        <v>18062</v>
      </c>
      <c r="E3072" t="s">
        <v>20906</v>
      </c>
      <c r="F3072" t="s">
        <v>31574</v>
      </c>
      <c r="G3072" t="s">
        <v>31582</v>
      </c>
      <c r="H3072" t="s">
        <v>31591</v>
      </c>
      <c r="I3072" t="s">
        <v>31638</v>
      </c>
      <c r="J3072" t="s">
        <v>33811</v>
      </c>
      <c r="K3072" t="s">
        <v>41200</v>
      </c>
      <c r="M3072" t="s">
        <v>42497</v>
      </c>
      <c r="N3072" t="s">
        <v>45095</v>
      </c>
      <c r="O3072" t="s">
        <v>45096</v>
      </c>
      <c r="P3072">
        <v>0</v>
      </c>
      <c r="Q3072">
        <v>2</v>
      </c>
      <c r="R3072" t="s">
        <v>45098</v>
      </c>
      <c r="S3072" t="s">
        <v>45223</v>
      </c>
      <c r="T3072" t="s">
        <v>46924</v>
      </c>
      <c r="U3072" t="s">
        <v>50074</v>
      </c>
      <c r="V3072" t="s">
        <v>60087</v>
      </c>
      <c r="W3072" t="s">
        <v>42497</v>
      </c>
      <c r="X3072" t="s">
        <v>45099</v>
      </c>
    </row>
    <row r="3073" spans="1:24">
      <c r="A3073">
        <f>HYPERLINK("https://www.philgeps.gov.ph/GEPSNONPILOT/Tender/SplashBidNoticeAbstractUI.aspx?menuIndex=3&amp;refID=7044057&amp;Result=3","7044057")</f>
        <v>0</v>
      </c>
      <c r="B3073" t="s">
        <v>968</v>
      </c>
      <c r="C3073" t="s">
        <v>6124</v>
      </c>
      <c r="D3073" t="s">
        <v>18062</v>
      </c>
      <c r="E3073" t="s">
        <v>20907</v>
      </c>
      <c r="F3073" t="s">
        <v>31574</v>
      </c>
      <c r="G3073" t="s">
        <v>31582</v>
      </c>
      <c r="H3073" t="s">
        <v>31591</v>
      </c>
      <c r="I3073" t="s">
        <v>31638</v>
      </c>
      <c r="J3073" t="s">
        <v>33812</v>
      </c>
      <c r="K3073" t="s">
        <v>41200</v>
      </c>
      <c r="M3073" t="s">
        <v>42497</v>
      </c>
      <c r="N3073" t="s">
        <v>45095</v>
      </c>
      <c r="O3073" t="s">
        <v>45096</v>
      </c>
      <c r="P3073">
        <v>0</v>
      </c>
      <c r="Q3073">
        <v>1</v>
      </c>
      <c r="R3073" t="s">
        <v>45098</v>
      </c>
      <c r="S3073" t="s">
        <v>45223</v>
      </c>
      <c r="T3073" t="s">
        <v>46924</v>
      </c>
      <c r="U3073" t="s">
        <v>50075</v>
      </c>
      <c r="V3073" t="s">
        <v>60087</v>
      </c>
      <c r="W3073" t="s">
        <v>42497</v>
      </c>
      <c r="X3073" t="s">
        <v>45099</v>
      </c>
    </row>
    <row r="3074" spans="1:24">
      <c r="A3074">
        <f>HYPERLINK("https://www.philgeps.gov.ph/GEPSNONPILOT/Tender/SplashBidNoticeAbstractUI.aspx?menuIndex=3&amp;refID=7044051&amp;Result=3","7044051")</f>
        <v>0</v>
      </c>
      <c r="B3074" t="s">
        <v>968</v>
      </c>
      <c r="C3074" t="s">
        <v>6125</v>
      </c>
      <c r="D3074" t="s">
        <v>18062</v>
      </c>
      <c r="E3074" t="s">
        <v>20908</v>
      </c>
      <c r="F3074" t="s">
        <v>31574</v>
      </c>
      <c r="G3074" t="s">
        <v>31582</v>
      </c>
      <c r="H3074" t="s">
        <v>31591</v>
      </c>
      <c r="I3074" t="s">
        <v>31638</v>
      </c>
      <c r="J3074" t="s">
        <v>33813</v>
      </c>
      <c r="K3074" t="s">
        <v>41200</v>
      </c>
      <c r="M3074" t="s">
        <v>42497</v>
      </c>
      <c r="N3074" t="s">
        <v>45095</v>
      </c>
      <c r="O3074" t="s">
        <v>45096</v>
      </c>
      <c r="P3074">
        <v>0</v>
      </c>
      <c r="Q3074">
        <v>1</v>
      </c>
      <c r="R3074" t="s">
        <v>45098</v>
      </c>
      <c r="S3074" t="s">
        <v>45223</v>
      </c>
      <c r="T3074" t="s">
        <v>46924</v>
      </c>
      <c r="U3074" t="s">
        <v>50076</v>
      </c>
      <c r="V3074" t="s">
        <v>60087</v>
      </c>
      <c r="W3074" t="s">
        <v>42497</v>
      </c>
      <c r="X3074" t="s">
        <v>45099</v>
      </c>
    </row>
    <row r="3075" spans="1:24">
      <c r="A3075">
        <f>HYPERLINK("https://www.philgeps.gov.ph/GEPSNONPILOT/Tender/SplashBidNoticeAbstractUI.aspx?menuIndex=3&amp;refID=7044061&amp;Result=3","7044061")</f>
        <v>0</v>
      </c>
      <c r="B3075" t="s">
        <v>1113</v>
      </c>
      <c r="C3075" t="s">
        <v>6126</v>
      </c>
      <c r="D3075" t="s">
        <v>18039</v>
      </c>
      <c r="E3075" t="s">
        <v>20909</v>
      </c>
      <c r="F3075" t="s">
        <v>31574</v>
      </c>
      <c r="G3075" t="s">
        <v>31583</v>
      </c>
      <c r="H3075" t="s">
        <v>31590</v>
      </c>
      <c r="I3075" t="s">
        <v>31602</v>
      </c>
      <c r="J3075" t="s">
        <v>33814</v>
      </c>
      <c r="K3075" t="s">
        <v>41211</v>
      </c>
      <c r="M3075" t="s">
        <v>42662</v>
      </c>
      <c r="N3075" t="s">
        <v>45095</v>
      </c>
      <c r="O3075" t="s">
        <v>45096</v>
      </c>
      <c r="P3075">
        <v>0</v>
      </c>
      <c r="Q3075">
        <v>0</v>
      </c>
      <c r="R3075" t="s">
        <v>45098</v>
      </c>
      <c r="S3075" t="s">
        <v>45223</v>
      </c>
      <c r="T3075" t="s">
        <v>47067</v>
      </c>
      <c r="U3075" t="s">
        <v>50077</v>
      </c>
      <c r="W3075" t="s">
        <v>42662</v>
      </c>
      <c r="X3075" t="s">
        <v>45099</v>
      </c>
    </row>
    <row r="3076" spans="1:24">
      <c r="A3076">
        <f>HYPERLINK("https://www.philgeps.gov.ph/GEPSNONPILOT/Tender/SplashBidNoticeAbstractUI.aspx?menuIndex=3&amp;refID=7044059&amp;Result=3","7044059")</f>
        <v>0</v>
      </c>
      <c r="B3076" t="s">
        <v>968</v>
      </c>
      <c r="C3076" t="s">
        <v>6127</v>
      </c>
      <c r="D3076" t="s">
        <v>18062</v>
      </c>
      <c r="E3076" t="s">
        <v>20910</v>
      </c>
      <c r="F3076" t="s">
        <v>31574</v>
      </c>
      <c r="G3076" t="s">
        <v>31582</v>
      </c>
      <c r="H3076" t="s">
        <v>31591</v>
      </c>
      <c r="I3076" t="s">
        <v>31638</v>
      </c>
      <c r="J3076" t="s">
        <v>33815</v>
      </c>
      <c r="K3076" t="s">
        <v>41200</v>
      </c>
      <c r="M3076" t="s">
        <v>42497</v>
      </c>
      <c r="N3076" t="s">
        <v>45095</v>
      </c>
      <c r="O3076" t="s">
        <v>45096</v>
      </c>
      <c r="P3076">
        <v>0</v>
      </c>
      <c r="Q3076">
        <v>1</v>
      </c>
      <c r="R3076" t="s">
        <v>45098</v>
      </c>
      <c r="S3076" t="s">
        <v>45223</v>
      </c>
      <c r="T3076" t="s">
        <v>46924</v>
      </c>
      <c r="U3076" t="s">
        <v>50078</v>
      </c>
      <c r="V3076" t="s">
        <v>60087</v>
      </c>
      <c r="W3076" t="s">
        <v>42497</v>
      </c>
      <c r="X3076" t="s">
        <v>45099</v>
      </c>
    </row>
    <row r="3077" spans="1:24">
      <c r="A3077">
        <f>HYPERLINK("https://www.philgeps.gov.ph/GEPSNONPILOT/Tender/SplashBidNoticeAbstractUI.aspx?menuIndex=3&amp;refID=7044042&amp;Result=3","7044042")</f>
        <v>0</v>
      </c>
      <c r="B3077" t="s">
        <v>968</v>
      </c>
      <c r="C3077" t="s">
        <v>6128</v>
      </c>
      <c r="D3077" t="s">
        <v>18062</v>
      </c>
      <c r="E3077" t="s">
        <v>20911</v>
      </c>
      <c r="F3077" t="s">
        <v>31574</v>
      </c>
      <c r="G3077" t="s">
        <v>31582</v>
      </c>
      <c r="H3077" t="s">
        <v>31591</v>
      </c>
      <c r="I3077" t="s">
        <v>31638</v>
      </c>
      <c r="J3077" t="s">
        <v>33816</v>
      </c>
      <c r="K3077" t="s">
        <v>41200</v>
      </c>
      <c r="M3077" t="s">
        <v>42497</v>
      </c>
      <c r="N3077" t="s">
        <v>45095</v>
      </c>
      <c r="O3077" t="s">
        <v>45096</v>
      </c>
      <c r="P3077">
        <v>0</v>
      </c>
      <c r="Q3077">
        <v>2</v>
      </c>
      <c r="R3077" t="s">
        <v>45098</v>
      </c>
      <c r="S3077" t="s">
        <v>45223</v>
      </c>
      <c r="T3077" t="s">
        <v>46924</v>
      </c>
      <c r="U3077" t="s">
        <v>50079</v>
      </c>
      <c r="V3077" t="s">
        <v>60087</v>
      </c>
      <c r="W3077" t="s">
        <v>42497</v>
      </c>
      <c r="X3077" t="s">
        <v>45099</v>
      </c>
    </row>
    <row r="3078" spans="1:24">
      <c r="A3078">
        <f>HYPERLINK("https://www.philgeps.gov.ph/GEPSNONPILOT/Tender/SplashBidNoticeAbstractUI.aspx?menuIndex=3&amp;refID=7044062&amp;Result=3","7044062")</f>
        <v>0</v>
      </c>
      <c r="B3078" t="s">
        <v>968</v>
      </c>
      <c r="C3078" t="s">
        <v>6129</v>
      </c>
      <c r="D3078" t="s">
        <v>18062</v>
      </c>
      <c r="E3078" t="s">
        <v>20912</v>
      </c>
      <c r="F3078" t="s">
        <v>31574</v>
      </c>
      <c r="G3078" t="s">
        <v>31582</v>
      </c>
      <c r="H3078" t="s">
        <v>31591</v>
      </c>
      <c r="I3078" t="s">
        <v>31638</v>
      </c>
      <c r="J3078" t="s">
        <v>33817</v>
      </c>
      <c r="K3078" t="s">
        <v>41200</v>
      </c>
      <c r="M3078" t="s">
        <v>42497</v>
      </c>
      <c r="N3078" t="s">
        <v>45095</v>
      </c>
      <c r="O3078" t="s">
        <v>45096</v>
      </c>
      <c r="P3078">
        <v>0</v>
      </c>
      <c r="Q3078">
        <v>1</v>
      </c>
      <c r="R3078" t="s">
        <v>45098</v>
      </c>
      <c r="S3078" t="s">
        <v>45223</v>
      </c>
      <c r="T3078" t="s">
        <v>46924</v>
      </c>
      <c r="U3078" t="s">
        <v>50080</v>
      </c>
      <c r="V3078" t="s">
        <v>60087</v>
      </c>
      <c r="W3078" t="s">
        <v>42497</v>
      </c>
      <c r="X3078" t="s">
        <v>45099</v>
      </c>
    </row>
    <row r="3079" spans="1:24">
      <c r="A3079">
        <f>HYPERLINK("https://www.philgeps.gov.ph/GEPSNONPILOT/Tender/SplashBidNoticeAbstractUI.aspx?menuIndex=3&amp;refID=7044070&amp;Result=3","7044070")</f>
        <v>0</v>
      </c>
      <c r="B3079" t="s">
        <v>1114</v>
      </c>
      <c r="C3079" t="s">
        <v>6130</v>
      </c>
      <c r="D3079" t="s">
        <v>18022</v>
      </c>
      <c r="E3079" t="s">
        <v>20913</v>
      </c>
      <c r="F3079" t="s">
        <v>31574</v>
      </c>
      <c r="G3079" t="s">
        <v>31581</v>
      </c>
      <c r="H3079" t="s">
        <v>31590</v>
      </c>
      <c r="I3079" t="s">
        <v>4046</v>
      </c>
      <c r="J3079" t="s">
        <v>33818</v>
      </c>
      <c r="K3079" t="s">
        <v>41193</v>
      </c>
      <c r="M3079" t="s">
        <v>42663</v>
      </c>
      <c r="N3079" t="s">
        <v>45095</v>
      </c>
      <c r="O3079" t="s">
        <v>45096</v>
      </c>
      <c r="P3079">
        <v>0</v>
      </c>
      <c r="Q3079">
        <v>3</v>
      </c>
      <c r="R3079" t="s">
        <v>45098</v>
      </c>
      <c r="S3079" t="s">
        <v>45223</v>
      </c>
      <c r="T3079" t="s">
        <v>47068</v>
      </c>
      <c r="U3079" t="s">
        <v>50081</v>
      </c>
      <c r="W3079" t="s">
        <v>42663</v>
      </c>
      <c r="X3079" t="s">
        <v>45099</v>
      </c>
    </row>
    <row r="3080" spans="1:24">
      <c r="A3080">
        <f>HYPERLINK("https://www.philgeps.gov.ph/GEPSNONPILOT/Tender/SplashBidNoticeAbstractUI.aspx?menuIndex=3&amp;refID=7044073&amp;Result=3","7044073")</f>
        <v>0</v>
      </c>
      <c r="B3080" t="s">
        <v>968</v>
      </c>
      <c r="C3080" t="s">
        <v>6131</v>
      </c>
      <c r="D3080" t="s">
        <v>18062</v>
      </c>
      <c r="E3080" t="s">
        <v>20914</v>
      </c>
      <c r="F3080" t="s">
        <v>31574</v>
      </c>
      <c r="G3080" t="s">
        <v>31582</v>
      </c>
      <c r="H3080" t="s">
        <v>31591</v>
      </c>
      <c r="I3080" t="s">
        <v>31638</v>
      </c>
      <c r="J3080" t="s">
        <v>33819</v>
      </c>
      <c r="K3080" t="s">
        <v>41200</v>
      </c>
      <c r="M3080" t="s">
        <v>42497</v>
      </c>
      <c r="N3080" t="s">
        <v>45095</v>
      </c>
      <c r="O3080" t="s">
        <v>45096</v>
      </c>
      <c r="P3080">
        <v>0</v>
      </c>
      <c r="Q3080">
        <v>1</v>
      </c>
      <c r="R3080" t="s">
        <v>45098</v>
      </c>
      <c r="S3080" t="s">
        <v>45223</v>
      </c>
      <c r="T3080" t="s">
        <v>46924</v>
      </c>
      <c r="U3080" t="s">
        <v>50082</v>
      </c>
      <c r="V3080" t="s">
        <v>60087</v>
      </c>
      <c r="W3080" t="s">
        <v>42497</v>
      </c>
      <c r="X3080" t="s">
        <v>45099</v>
      </c>
    </row>
    <row r="3081" spans="1:24">
      <c r="A3081">
        <f>HYPERLINK("https://www.philgeps.gov.ph/GEPSNONPILOT/Tender/SplashBidNoticeAbstractUI.aspx?menuIndex=3&amp;refID=7044060&amp;Result=3","7044060")</f>
        <v>0</v>
      </c>
      <c r="B3081" t="s">
        <v>886</v>
      </c>
      <c r="C3081" t="s">
        <v>6132</v>
      </c>
      <c r="E3081" t="s">
        <v>20915</v>
      </c>
      <c r="F3081" t="s">
        <v>31574</v>
      </c>
      <c r="G3081" t="s">
        <v>31584</v>
      </c>
      <c r="H3081" t="s">
        <v>31590</v>
      </c>
      <c r="I3081" t="s">
        <v>4327</v>
      </c>
      <c r="J3081" t="s">
        <v>31956</v>
      </c>
      <c r="K3081" t="s">
        <v>41184</v>
      </c>
      <c r="M3081" t="s">
        <v>42407</v>
      </c>
      <c r="N3081" t="s">
        <v>45095</v>
      </c>
      <c r="O3081" t="s">
        <v>45096</v>
      </c>
      <c r="P3081">
        <v>0</v>
      </c>
      <c r="Q3081">
        <v>8</v>
      </c>
      <c r="R3081" t="s">
        <v>45098</v>
      </c>
      <c r="S3081" t="s">
        <v>45223</v>
      </c>
      <c r="T3081" t="s">
        <v>47080</v>
      </c>
      <c r="U3081" t="s">
        <v>50043</v>
      </c>
      <c r="W3081" t="s">
        <v>42407</v>
      </c>
      <c r="X3081" t="s">
        <v>45099</v>
      </c>
    </row>
    <row r="3082" spans="1:24">
      <c r="A3082">
        <f>HYPERLINK("https://www.philgeps.gov.ph/GEPSNONPILOT/Tender/SplashBidNoticeAbstractUI.aspx?menuIndex=3&amp;refID=7044077&amp;Result=3","7044077")</f>
        <v>0</v>
      </c>
      <c r="B3082" t="s">
        <v>968</v>
      </c>
      <c r="C3082" t="s">
        <v>6133</v>
      </c>
      <c r="D3082" t="s">
        <v>18062</v>
      </c>
      <c r="E3082" t="s">
        <v>20916</v>
      </c>
      <c r="F3082" t="s">
        <v>31574</v>
      </c>
      <c r="G3082" t="s">
        <v>31582</v>
      </c>
      <c r="H3082" t="s">
        <v>31591</v>
      </c>
      <c r="I3082" t="s">
        <v>31638</v>
      </c>
      <c r="J3082" t="s">
        <v>33820</v>
      </c>
      <c r="K3082" t="s">
        <v>41200</v>
      </c>
      <c r="M3082" t="s">
        <v>42497</v>
      </c>
      <c r="N3082" t="s">
        <v>45095</v>
      </c>
      <c r="O3082" t="s">
        <v>45096</v>
      </c>
      <c r="P3082">
        <v>0</v>
      </c>
      <c r="Q3082">
        <v>2</v>
      </c>
      <c r="R3082" t="s">
        <v>45098</v>
      </c>
      <c r="S3082" t="s">
        <v>45223</v>
      </c>
      <c r="T3082" t="s">
        <v>46924</v>
      </c>
      <c r="U3082" t="s">
        <v>50083</v>
      </c>
      <c r="V3082" t="s">
        <v>60087</v>
      </c>
      <c r="W3082" t="s">
        <v>42497</v>
      </c>
      <c r="X3082" t="s">
        <v>45099</v>
      </c>
    </row>
    <row r="3083" spans="1:24">
      <c r="A3083">
        <f>HYPERLINK("https://www.philgeps.gov.ph/GEPSNONPILOT/Tender/SplashBidNoticeAbstractUI.aspx?menuIndex=3&amp;refID=7044063&amp;Result=3","7044063")</f>
        <v>0</v>
      </c>
      <c r="B3083" t="s">
        <v>886</v>
      </c>
      <c r="C3083" t="s">
        <v>6134</v>
      </c>
      <c r="E3083" t="s">
        <v>20917</v>
      </c>
      <c r="F3083" t="s">
        <v>31574</v>
      </c>
      <c r="G3083" t="s">
        <v>31584</v>
      </c>
      <c r="H3083" t="s">
        <v>31590</v>
      </c>
      <c r="I3083" t="s">
        <v>4327</v>
      </c>
      <c r="J3083" t="s">
        <v>32650</v>
      </c>
      <c r="K3083" t="s">
        <v>41184</v>
      </c>
      <c r="M3083" t="s">
        <v>42407</v>
      </c>
      <c r="N3083" t="s">
        <v>45095</v>
      </c>
      <c r="O3083" t="s">
        <v>45096</v>
      </c>
      <c r="P3083">
        <v>0</v>
      </c>
      <c r="Q3083">
        <v>8</v>
      </c>
      <c r="R3083" t="s">
        <v>45098</v>
      </c>
      <c r="S3083" t="s">
        <v>45223</v>
      </c>
      <c r="T3083" t="s">
        <v>47080</v>
      </c>
      <c r="U3083" t="s">
        <v>50043</v>
      </c>
      <c r="W3083" t="s">
        <v>42407</v>
      </c>
      <c r="X3083" t="s">
        <v>45099</v>
      </c>
    </row>
    <row r="3084" spans="1:24">
      <c r="A3084">
        <f>HYPERLINK("https://www.philgeps.gov.ph/GEPSNONPILOT/Tender/SplashBidNoticeAbstractUI.aspx?menuIndex=3&amp;refID=7044074&amp;Result=3","7044074")</f>
        <v>0</v>
      </c>
      <c r="B3084" t="s">
        <v>1056</v>
      </c>
      <c r="C3084" t="s">
        <v>6074</v>
      </c>
      <c r="D3084" t="s">
        <v>18041</v>
      </c>
      <c r="E3084" t="s">
        <v>20918</v>
      </c>
      <c r="F3084" t="s">
        <v>31574</v>
      </c>
      <c r="G3084" t="s">
        <v>31582</v>
      </c>
      <c r="H3084" t="s">
        <v>31590</v>
      </c>
      <c r="I3084" t="s">
        <v>31616</v>
      </c>
      <c r="J3084" t="s">
        <v>33821</v>
      </c>
      <c r="K3084" t="s">
        <v>41213</v>
      </c>
      <c r="M3084" t="s">
        <v>42601</v>
      </c>
      <c r="N3084" t="s">
        <v>45095</v>
      </c>
      <c r="O3084" t="s">
        <v>45096</v>
      </c>
      <c r="P3084">
        <v>0</v>
      </c>
      <c r="Q3084">
        <v>0</v>
      </c>
      <c r="R3084" t="s">
        <v>45098</v>
      </c>
      <c r="S3084" t="s">
        <v>45223</v>
      </c>
      <c r="T3084" t="s">
        <v>46905</v>
      </c>
      <c r="U3084" t="s">
        <v>50084</v>
      </c>
      <c r="W3084" t="s">
        <v>42601</v>
      </c>
      <c r="X3084" t="s">
        <v>45099</v>
      </c>
    </row>
    <row r="3085" spans="1:24">
      <c r="A3085">
        <f>HYPERLINK("https://www.philgeps.gov.ph/GEPSNONPILOT/Tender/SplashBidNoticeAbstractUI.aspx?menuIndex=3&amp;refID=7044076&amp;Result=3","7044076")</f>
        <v>0</v>
      </c>
      <c r="B3085" t="s">
        <v>968</v>
      </c>
      <c r="C3085" t="s">
        <v>6135</v>
      </c>
      <c r="D3085" t="s">
        <v>18062</v>
      </c>
      <c r="E3085" t="s">
        <v>20919</v>
      </c>
      <c r="F3085" t="s">
        <v>31574</v>
      </c>
      <c r="G3085" t="s">
        <v>31582</v>
      </c>
      <c r="H3085" t="s">
        <v>31591</v>
      </c>
      <c r="I3085" t="s">
        <v>31638</v>
      </c>
      <c r="J3085" t="s">
        <v>33822</v>
      </c>
      <c r="K3085" t="s">
        <v>41200</v>
      </c>
      <c r="M3085" t="s">
        <v>42497</v>
      </c>
      <c r="N3085" t="s">
        <v>45095</v>
      </c>
      <c r="O3085" t="s">
        <v>45096</v>
      </c>
      <c r="P3085">
        <v>0</v>
      </c>
      <c r="Q3085">
        <v>1</v>
      </c>
      <c r="R3085" t="s">
        <v>45098</v>
      </c>
      <c r="S3085" t="s">
        <v>45223</v>
      </c>
      <c r="T3085" t="s">
        <v>46924</v>
      </c>
      <c r="U3085" t="s">
        <v>50085</v>
      </c>
      <c r="V3085" t="s">
        <v>60087</v>
      </c>
      <c r="W3085" t="s">
        <v>42497</v>
      </c>
      <c r="X3085" t="s">
        <v>45099</v>
      </c>
    </row>
    <row r="3086" spans="1:24">
      <c r="A3086">
        <f>HYPERLINK("https://www.philgeps.gov.ph/GEPSNONPILOT/Tender/SplashBidNoticeAbstractUI.aspx?menuIndex=3&amp;refID=7044064&amp;Result=3","7044064")</f>
        <v>0</v>
      </c>
      <c r="B3086" t="s">
        <v>1111</v>
      </c>
      <c r="C3086" t="s">
        <v>6136</v>
      </c>
      <c r="D3086" t="s">
        <v>18081</v>
      </c>
      <c r="E3086" t="s">
        <v>20920</v>
      </c>
      <c r="F3086" t="s">
        <v>31574</v>
      </c>
      <c r="G3086" t="s">
        <v>31582</v>
      </c>
      <c r="H3086" t="s">
        <v>31590</v>
      </c>
      <c r="I3086" t="s">
        <v>31600</v>
      </c>
      <c r="J3086" t="s">
        <v>33823</v>
      </c>
      <c r="K3086" t="s">
        <v>41186</v>
      </c>
      <c r="M3086" t="s">
        <v>42660</v>
      </c>
      <c r="N3086" t="s">
        <v>45095</v>
      </c>
      <c r="O3086" t="s">
        <v>45096</v>
      </c>
      <c r="P3086">
        <v>0</v>
      </c>
      <c r="Q3086">
        <v>0</v>
      </c>
      <c r="R3086" t="s">
        <v>45098</v>
      </c>
      <c r="S3086" t="s">
        <v>45223</v>
      </c>
      <c r="T3086" t="s">
        <v>46915</v>
      </c>
      <c r="U3086" t="s">
        <v>50086</v>
      </c>
      <c r="W3086" t="s">
        <v>42660</v>
      </c>
      <c r="X3086" t="s">
        <v>45099</v>
      </c>
    </row>
    <row r="3087" spans="1:24">
      <c r="A3087">
        <f>HYPERLINK("https://www.philgeps.gov.ph/GEPSNONPILOT/Tender/SplashBidNoticeAbstractUI.aspx?menuIndex=3&amp;refID=7044072&amp;Result=3","7044072")</f>
        <v>0</v>
      </c>
      <c r="B3087" t="s">
        <v>886</v>
      </c>
      <c r="C3087" t="s">
        <v>6137</v>
      </c>
      <c r="E3087" t="s">
        <v>20921</v>
      </c>
      <c r="F3087" t="s">
        <v>31574</v>
      </c>
      <c r="G3087" t="s">
        <v>31584</v>
      </c>
      <c r="H3087" t="s">
        <v>31590</v>
      </c>
      <c r="I3087" t="s">
        <v>6800</v>
      </c>
      <c r="J3087" t="s">
        <v>32012</v>
      </c>
      <c r="K3087" t="s">
        <v>41184</v>
      </c>
      <c r="M3087" t="s">
        <v>42407</v>
      </c>
      <c r="N3087" t="s">
        <v>45095</v>
      </c>
      <c r="O3087" t="s">
        <v>45096</v>
      </c>
      <c r="P3087">
        <v>0</v>
      </c>
      <c r="Q3087">
        <v>7</v>
      </c>
      <c r="R3087" t="s">
        <v>45098</v>
      </c>
      <c r="S3087" t="s">
        <v>45223</v>
      </c>
      <c r="T3087" t="s">
        <v>47080</v>
      </c>
      <c r="U3087" t="s">
        <v>50043</v>
      </c>
      <c r="W3087" t="s">
        <v>42407</v>
      </c>
      <c r="X3087" t="s">
        <v>45099</v>
      </c>
    </row>
    <row r="3088" spans="1:24">
      <c r="A3088">
        <f>HYPERLINK("https://www.philgeps.gov.ph/GEPSNONPILOT/Tender/SplashBidNoticeAbstractUI.aspx?menuIndex=3&amp;refID=7044087&amp;Result=3","7044087")</f>
        <v>0</v>
      </c>
      <c r="B3088" t="s">
        <v>1115</v>
      </c>
      <c r="C3088" t="s">
        <v>6138</v>
      </c>
      <c r="D3088" t="s">
        <v>18074</v>
      </c>
      <c r="E3088" t="s">
        <v>20922</v>
      </c>
      <c r="F3088" t="s">
        <v>31574</v>
      </c>
      <c r="G3088" t="s">
        <v>31581</v>
      </c>
      <c r="H3088" t="s">
        <v>31590</v>
      </c>
      <c r="I3088" t="s">
        <v>31607</v>
      </c>
      <c r="J3088" t="s">
        <v>33824</v>
      </c>
      <c r="K3088" t="s">
        <v>41190</v>
      </c>
      <c r="M3088" t="s">
        <v>42664</v>
      </c>
      <c r="N3088" t="s">
        <v>45095</v>
      </c>
      <c r="O3088" t="s">
        <v>45096</v>
      </c>
      <c r="P3088">
        <v>0</v>
      </c>
      <c r="Q3088">
        <v>0</v>
      </c>
      <c r="R3088" t="s">
        <v>45098</v>
      </c>
      <c r="S3088" t="s">
        <v>45223</v>
      </c>
      <c r="T3088" t="s">
        <v>47150</v>
      </c>
      <c r="U3088" t="s">
        <v>50087</v>
      </c>
      <c r="V3088" t="s">
        <v>60145</v>
      </c>
      <c r="W3088" t="s">
        <v>42664</v>
      </c>
      <c r="X3088" t="s">
        <v>45099</v>
      </c>
    </row>
    <row r="3089" spans="1:24">
      <c r="A3089">
        <f>HYPERLINK("https://www.philgeps.gov.ph/GEPSNONPILOT/Tender/SplashBidNoticeAbstractUI.aspx?menuIndex=3&amp;refID=7044092&amp;Result=3","7044092")</f>
        <v>0</v>
      </c>
      <c r="B3089" t="s">
        <v>1115</v>
      </c>
      <c r="C3089" t="s">
        <v>6139</v>
      </c>
      <c r="D3089" t="s">
        <v>18074</v>
      </c>
      <c r="E3089" t="s">
        <v>20923</v>
      </c>
      <c r="F3089" t="s">
        <v>31574</v>
      </c>
      <c r="G3089" t="s">
        <v>31585</v>
      </c>
      <c r="H3089" t="s">
        <v>31590</v>
      </c>
      <c r="I3089" t="s">
        <v>31605</v>
      </c>
      <c r="J3089" t="s">
        <v>31845</v>
      </c>
      <c r="K3089" t="s">
        <v>41190</v>
      </c>
      <c r="M3089" t="s">
        <v>42664</v>
      </c>
      <c r="N3089" t="s">
        <v>45095</v>
      </c>
      <c r="O3089" t="s">
        <v>45096</v>
      </c>
      <c r="P3089">
        <v>0</v>
      </c>
      <c r="Q3089">
        <v>0</v>
      </c>
      <c r="R3089" t="s">
        <v>45098</v>
      </c>
      <c r="S3089" t="s">
        <v>45223</v>
      </c>
      <c r="T3089" t="s">
        <v>46952</v>
      </c>
      <c r="U3089" t="s">
        <v>50088</v>
      </c>
      <c r="V3089" t="s">
        <v>60146</v>
      </c>
      <c r="W3089" t="s">
        <v>42664</v>
      </c>
      <c r="X3089" t="s">
        <v>45099</v>
      </c>
    </row>
    <row r="3090" spans="1:24">
      <c r="A3090">
        <f>HYPERLINK("https://www.philgeps.gov.ph/GEPSNONPILOT/Tender/SplashBidNoticeAbstractUI.aspx?menuIndex=3&amp;refID=7044088&amp;Result=3","7044088")</f>
        <v>0</v>
      </c>
      <c r="B3090" t="s">
        <v>1111</v>
      </c>
      <c r="C3090" t="s">
        <v>6140</v>
      </c>
      <c r="D3090" t="s">
        <v>18081</v>
      </c>
      <c r="E3090" t="s">
        <v>20924</v>
      </c>
      <c r="F3090" t="s">
        <v>31574</v>
      </c>
      <c r="G3090" t="s">
        <v>31582</v>
      </c>
      <c r="H3090" t="s">
        <v>31590</v>
      </c>
      <c r="I3090" t="s">
        <v>14544</v>
      </c>
      <c r="J3090" t="s">
        <v>33825</v>
      </c>
      <c r="K3090" t="s">
        <v>41185</v>
      </c>
      <c r="M3090" t="s">
        <v>42660</v>
      </c>
      <c r="N3090" t="s">
        <v>45095</v>
      </c>
      <c r="O3090" t="s">
        <v>45096</v>
      </c>
      <c r="P3090">
        <v>0</v>
      </c>
      <c r="Q3090">
        <v>0</v>
      </c>
      <c r="R3090" t="s">
        <v>45098</v>
      </c>
      <c r="S3090" t="s">
        <v>45223</v>
      </c>
      <c r="T3090" t="s">
        <v>46960</v>
      </c>
      <c r="U3090" t="s">
        <v>50089</v>
      </c>
      <c r="W3090" t="s">
        <v>42660</v>
      </c>
      <c r="X3090" t="s">
        <v>45099</v>
      </c>
    </row>
    <row r="3091" spans="1:24">
      <c r="A3091">
        <f>HYPERLINK("https://www.philgeps.gov.ph/GEPSNONPILOT/Tender/SplashBidNoticeAbstractUI.aspx?menuIndex=3&amp;refID=7044090&amp;Result=3","7044090")</f>
        <v>0</v>
      </c>
      <c r="B3091" t="s">
        <v>1116</v>
      </c>
      <c r="C3091" t="s">
        <v>6141</v>
      </c>
      <c r="D3091" t="s">
        <v>18095</v>
      </c>
      <c r="E3091" t="s">
        <v>20925</v>
      </c>
      <c r="F3091" t="s">
        <v>31574</v>
      </c>
      <c r="G3091" t="s">
        <v>31581</v>
      </c>
      <c r="H3091" t="s">
        <v>31590</v>
      </c>
      <c r="I3091" t="s">
        <v>3489</v>
      </c>
      <c r="J3091" t="s">
        <v>33826</v>
      </c>
      <c r="K3091" t="s">
        <v>41184</v>
      </c>
      <c r="M3091" t="s">
        <v>42665</v>
      </c>
      <c r="N3091" t="s">
        <v>45095</v>
      </c>
      <c r="O3091" t="s">
        <v>45096</v>
      </c>
      <c r="P3091">
        <v>0</v>
      </c>
      <c r="Q3091">
        <v>0</v>
      </c>
      <c r="R3091" t="s">
        <v>45098</v>
      </c>
      <c r="S3091" t="s">
        <v>45223</v>
      </c>
      <c r="T3091" t="s">
        <v>46957</v>
      </c>
      <c r="U3091" t="s">
        <v>50090</v>
      </c>
      <c r="V3091" t="s">
        <v>60147</v>
      </c>
      <c r="W3091" t="s">
        <v>42665</v>
      </c>
      <c r="X3091" t="s">
        <v>45099</v>
      </c>
    </row>
    <row r="3092" spans="1:24">
      <c r="A3092">
        <f>HYPERLINK("https://www.philgeps.gov.ph/GEPSNONPILOT/Tender/SplashBidNoticeAbstractUI.aspx?menuIndex=3&amp;refID=7044084&amp;Result=3","7044084")</f>
        <v>0</v>
      </c>
      <c r="B3092" t="s">
        <v>1114</v>
      </c>
      <c r="C3092" t="s">
        <v>6142</v>
      </c>
      <c r="D3092" t="s">
        <v>18022</v>
      </c>
      <c r="E3092" t="s">
        <v>20926</v>
      </c>
      <c r="F3092" t="s">
        <v>31574</v>
      </c>
      <c r="G3092" t="s">
        <v>31581</v>
      </c>
      <c r="H3092" t="s">
        <v>31590</v>
      </c>
      <c r="I3092" t="s">
        <v>31626</v>
      </c>
      <c r="J3092" t="s">
        <v>33827</v>
      </c>
      <c r="K3092" t="s">
        <v>41193</v>
      </c>
      <c r="M3092" t="s">
        <v>42663</v>
      </c>
      <c r="N3092" t="s">
        <v>45095</v>
      </c>
      <c r="O3092" t="s">
        <v>45096</v>
      </c>
      <c r="P3092">
        <v>0</v>
      </c>
      <c r="Q3092">
        <v>7</v>
      </c>
      <c r="R3092" t="s">
        <v>45098</v>
      </c>
      <c r="S3092" t="s">
        <v>45223</v>
      </c>
      <c r="T3092" t="s">
        <v>47068</v>
      </c>
      <c r="U3092" t="s">
        <v>50091</v>
      </c>
      <c r="W3092" t="s">
        <v>42663</v>
      </c>
      <c r="X3092" t="s">
        <v>45099</v>
      </c>
    </row>
    <row r="3093" spans="1:24">
      <c r="A3093">
        <f>HYPERLINK("https://www.philgeps.gov.ph/GEPSNONPILOT/Tender/SplashBidNoticeAbstractUI.aspx?menuIndex=3&amp;refID=7044085&amp;Result=3","7044085")</f>
        <v>0</v>
      </c>
      <c r="B3093" t="s">
        <v>1116</v>
      </c>
      <c r="C3093" t="s">
        <v>6143</v>
      </c>
      <c r="D3093" t="s">
        <v>18095</v>
      </c>
      <c r="E3093" t="s">
        <v>20927</v>
      </c>
      <c r="F3093" t="s">
        <v>31574</v>
      </c>
      <c r="G3093" t="s">
        <v>31583</v>
      </c>
      <c r="H3093" t="s">
        <v>31590</v>
      </c>
      <c r="I3093" t="s">
        <v>8258</v>
      </c>
      <c r="J3093" t="s">
        <v>33828</v>
      </c>
      <c r="K3093" t="s">
        <v>41184</v>
      </c>
      <c r="M3093" t="s">
        <v>42665</v>
      </c>
      <c r="N3093" t="s">
        <v>45095</v>
      </c>
      <c r="O3093" t="s">
        <v>45096</v>
      </c>
      <c r="P3093">
        <v>0</v>
      </c>
      <c r="Q3093">
        <v>5</v>
      </c>
      <c r="R3093" t="s">
        <v>45098</v>
      </c>
      <c r="S3093" t="s">
        <v>45223</v>
      </c>
      <c r="T3093" t="s">
        <v>46957</v>
      </c>
      <c r="U3093" t="s">
        <v>50092</v>
      </c>
      <c r="V3093" t="s">
        <v>60147</v>
      </c>
      <c r="W3093" t="s">
        <v>42665</v>
      </c>
      <c r="X3093" t="s">
        <v>45099</v>
      </c>
    </row>
    <row r="3094" spans="1:24">
      <c r="A3094">
        <f>HYPERLINK("https://www.philgeps.gov.ph/GEPSNONPILOT/Tender/SplashBidNoticeAbstractUI.aspx?menuIndex=3&amp;refID=7044089&amp;Result=3","7044089")</f>
        <v>0</v>
      </c>
      <c r="B3094" t="s">
        <v>1114</v>
      </c>
      <c r="C3094" t="s">
        <v>6144</v>
      </c>
      <c r="D3094" t="s">
        <v>18022</v>
      </c>
      <c r="E3094" t="s">
        <v>20928</v>
      </c>
      <c r="F3094" t="s">
        <v>31574</v>
      </c>
      <c r="G3094" t="s">
        <v>31581</v>
      </c>
      <c r="H3094" t="s">
        <v>31590</v>
      </c>
      <c r="I3094" t="s">
        <v>31626</v>
      </c>
      <c r="J3094" t="s">
        <v>33099</v>
      </c>
      <c r="K3094" t="s">
        <v>41193</v>
      </c>
      <c r="M3094" t="s">
        <v>42663</v>
      </c>
      <c r="N3094" t="s">
        <v>45095</v>
      </c>
      <c r="O3094" t="s">
        <v>45096</v>
      </c>
      <c r="P3094">
        <v>0</v>
      </c>
      <c r="Q3094">
        <v>8</v>
      </c>
      <c r="R3094" t="s">
        <v>45098</v>
      </c>
      <c r="S3094" t="s">
        <v>45223</v>
      </c>
      <c r="T3094" t="s">
        <v>47068</v>
      </c>
      <c r="U3094" t="s">
        <v>50093</v>
      </c>
      <c r="W3094" t="s">
        <v>42663</v>
      </c>
      <c r="X3094" t="s">
        <v>45099</v>
      </c>
    </row>
    <row r="3095" spans="1:24">
      <c r="A3095">
        <f>HYPERLINK("https://www.philgeps.gov.ph/GEPSNONPILOT/Tender/SplashBidNoticeAbstractUI.aspx?menuIndex=3&amp;refID=7044081&amp;Result=3","7044081")</f>
        <v>0</v>
      </c>
      <c r="B3095" t="s">
        <v>1114</v>
      </c>
      <c r="C3095" t="s">
        <v>6145</v>
      </c>
      <c r="D3095" t="s">
        <v>18022</v>
      </c>
      <c r="E3095" t="s">
        <v>20929</v>
      </c>
      <c r="F3095" t="s">
        <v>31574</v>
      </c>
      <c r="G3095" t="s">
        <v>31584</v>
      </c>
      <c r="H3095" t="s">
        <v>31590</v>
      </c>
      <c r="I3095" t="s">
        <v>31626</v>
      </c>
      <c r="J3095" t="s">
        <v>33829</v>
      </c>
      <c r="K3095" t="s">
        <v>41193</v>
      </c>
      <c r="M3095" t="s">
        <v>42663</v>
      </c>
      <c r="N3095" t="s">
        <v>45095</v>
      </c>
      <c r="O3095" t="s">
        <v>45096</v>
      </c>
      <c r="P3095">
        <v>0</v>
      </c>
      <c r="Q3095">
        <v>6</v>
      </c>
      <c r="R3095" t="s">
        <v>45098</v>
      </c>
      <c r="S3095" t="s">
        <v>45223</v>
      </c>
      <c r="T3095" t="s">
        <v>47068</v>
      </c>
      <c r="U3095" t="s">
        <v>50094</v>
      </c>
      <c r="W3095" t="s">
        <v>42663</v>
      </c>
      <c r="X3095" t="s">
        <v>45099</v>
      </c>
    </row>
    <row r="3096" spans="1:24">
      <c r="A3096">
        <f>HYPERLINK("https://www.philgeps.gov.ph/GEPSNONPILOT/Tender/SplashBidNoticeAbstractUI.aspx?menuIndex=3&amp;refID=7044071&amp;Result=3","7044071")</f>
        <v>0</v>
      </c>
      <c r="B3096" t="s">
        <v>968</v>
      </c>
      <c r="C3096" t="s">
        <v>6146</v>
      </c>
      <c r="D3096" t="s">
        <v>18062</v>
      </c>
      <c r="E3096" t="s">
        <v>20930</v>
      </c>
      <c r="F3096" t="s">
        <v>31574</v>
      </c>
      <c r="G3096" t="s">
        <v>31582</v>
      </c>
      <c r="H3096" t="s">
        <v>31591</v>
      </c>
      <c r="I3096" t="s">
        <v>31638</v>
      </c>
      <c r="J3096" t="s">
        <v>33830</v>
      </c>
      <c r="K3096" t="s">
        <v>41200</v>
      </c>
      <c r="M3096" t="s">
        <v>42497</v>
      </c>
      <c r="N3096" t="s">
        <v>45095</v>
      </c>
      <c r="O3096" t="s">
        <v>45096</v>
      </c>
      <c r="P3096">
        <v>0</v>
      </c>
      <c r="Q3096">
        <v>1</v>
      </c>
      <c r="R3096" t="s">
        <v>45098</v>
      </c>
      <c r="S3096" t="s">
        <v>45223</v>
      </c>
      <c r="T3096" t="s">
        <v>46924</v>
      </c>
      <c r="U3096" t="s">
        <v>50095</v>
      </c>
      <c r="V3096" t="s">
        <v>60087</v>
      </c>
      <c r="W3096" t="s">
        <v>42497</v>
      </c>
      <c r="X3096" t="s">
        <v>45099</v>
      </c>
    </row>
    <row r="3097" spans="1:24">
      <c r="A3097">
        <f>HYPERLINK("https://www.philgeps.gov.ph/GEPSNONPILOT/Tender/SplashBidNoticeAbstractUI.aspx?menuIndex=3&amp;refID=7044083&amp;Result=3","7044083")</f>
        <v>0</v>
      </c>
      <c r="B3097" t="s">
        <v>1056</v>
      </c>
      <c r="C3097" t="s">
        <v>6147</v>
      </c>
      <c r="D3097" t="s">
        <v>18041</v>
      </c>
      <c r="E3097" t="s">
        <v>20931</v>
      </c>
      <c r="F3097" t="s">
        <v>31574</v>
      </c>
      <c r="G3097" t="s">
        <v>31582</v>
      </c>
      <c r="H3097" t="s">
        <v>31590</v>
      </c>
      <c r="I3097" t="s">
        <v>6800</v>
      </c>
      <c r="J3097" t="s">
        <v>32819</v>
      </c>
      <c r="K3097" t="s">
        <v>41213</v>
      </c>
      <c r="M3097" t="s">
        <v>42601</v>
      </c>
      <c r="N3097" t="s">
        <v>45095</v>
      </c>
      <c r="O3097" t="s">
        <v>45096</v>
      </c>
      <c r="P3097">
        <v>0</v>
      </c>
      <c r="Q3097">
        <v>0</v>
      </c>
      <c r="R3097" t="s">
        <v>45098</v>
      </c>
      <c r="S3097" t="s">
        <v>45223</v>
      </c>
      <c r="T3097" t="s">
        <v>46905</v>
      </c>
      <c r="U3097" t="s">
        <v>50063</v>
      </c>
      <c r="W3097" t="s">
        <v>42601</v>
      </c>
      <c r="X3097" t="s">
        <v>45099</v>
      </c>
    </row>
    <row r="3098" spans="1:24">
      <c r="A3098">
        <f>HYPERLINK("https://www.philgeps.gov.ph/GEPSNONPILOT/Tender/SplashBidNoticeAbstractUI.aspx?menuIndex=3&amp;refID=7044078&amp;Result=3","7044078")</f>
        <v>0</v>
      </c>
      <c r="B3098" t="s">
        <v>968</v>
      </c>
      <c r="C3098" t="s">
        <v>6148</v>
      </c>
      <c r="D3098" t="s">
        <v>18062</v>
      </c>
      <c r="E3098" t="s">
        <v>20932</v>
      </c>
      <c r="F3098" t="s">
        <v>31574</v>
      </c>
      <c r="G3098" t="s">
        <v>31582</v>
      </c>
      <c r="H3098" t="s">
        <v>31591</v>
      </c>
      <c r="I3098" t="s">
        <v>31638</v>
      </c>
      <c r="J3098" t="s">
        <v>33831</v>
      </c>
      <c r="K3098" t="s">
        <v>41200</v>
      </c>
      <c r="M3098" t="s">
        <v>42497</v>
      </c>
      <c r="N3098" t="s">
        <v>45095</v>
      </c>
      <c r="O3098" t="s">
        <v>45096</v>
      </c>
      <c r="P3098">
        <v>0</v>
      </c>
      <c r="Q3098">
        <v>1</v>
      </c>
      <c r="R3098" t="s">
        <v>45098</v>
      </c>
      <c r="S3098" t="s">
        <v>45223</v>
      </c>
      <c r="T3098" t="s">
        <v>46924</v>
      </c>
      <c r="U3098" t="s">
        <v>50096</v>
      </c>
      <c r="V3098" t="s">
        <v>60087</v>
      </c>
      <c r="W3098" t="s">
        <v>42497</v>
      </c>
      <c r="X3098" t="s">
        <v>45099</v>
      </c>
    </row>
    <row r="3099" spans="1:24">
      <c r="A3099">
        <f>HYPERLINK("https://www.philgeps.gov.ph/GEPSNONPILOT/Tender/SplashBidNoticeAbstractUI.aspx?menuIndex=3&amp;refID=7044080&amp;Result=3","7044080")</f>
        <v>0</v>
      </c>
      <c r="B3099" t="s">
        <v>1117</v>
      </c>
      <c r="C3099" t="s">
        <v>6149</v>
      </c>
      <c r="D3099" t="s">
        <v>18079</v>
      </c>
      <c r="E3099" t="s">
        <v>20933</v>
      </c>
      <c r="F3099" t="s">
        <v>31574</v>
      </c>
      <c r="G3099" t="s">
        <v>31586</v>
      </c>
      <c r="H3099" t="s">
        <v>31590</v>
      </c>
      <c r="I3099" t="s">
        <v>31600</v>
      </c>
      <c r="J3099" t="s">
        <v>33832</v>
      </c>
      <c r="K3099" t="s">
        <v>41196</v>
      </c>
      <c r="M3099" t="s">
        <v>42666</v>
      </c>
      <c r="N3099" t="s">
        <v>45095</v>
      </c>
      <c r="O3099" t="s">
        <v>45096</v>
      </c>
      <c r="P3099">
        <v>0</v>
      </c>
      <c r="Q3099">
        <v>0</v>
      </c>
      <c r="R3099" t="s">
        <v>45098</v>
      </c>
      <c r="S3099" t="s">
        <v>45223</v>
      </c>
      <c r="T3099" t="s">
        <v>47064</v>
      </c>
      <c r="U3099" t="s">
        <v>50097</v>
      </c>
      <c r="W3099" t="s">
        <v>42666</v>
      </c>
      <c r="X3099" t="s">
        <v>45099</v>
      </c>
    </row>
    <row r="3100" spans="1:24">
      <c r="A3100">
        <f>HYPERLINK("https://www.philgeps.gov.ph/GEPSNONPILOT/Tender/SplashBidNoticeAbstractUI.aspx?menuIndex=3&amp;refID=7044098&amp;Result=3","7044098")</f>
        <v>0</v>
      </c>
      <c r="B3100" t="s">
        <v>1118</v>
      </c>
      <c r="C3100" t="s">
        <v>6150</v>
      </c>
      <c r="D3100" t="s">
        <v>18059</v>
      </c>
      <c r="E3100" t="s">
        <v>20934</v>
      </c>
      <c r="F3100" t="s">
        <v>31574</v>
      </c>
      <c r="G3100" t="s">
        <v>31582</v>
      </c>
      <c r="H3100" t="s">
        <v>31590</v>
      </c>
      <c r="I3100" t="s">
        <v>4046</v>
      </c>
      <c r="J3100" t="s">
        <v>33833</v>
      </c>
      <c r="K3100" t="s">
        <v>41243</v>
      </c>
      <c r="L3100" t="s">
        <v>1118</v>
      </c>
      <c r="M3100" t="s">
        <v>42667</v>
      </c>
      <c r="N3100" t="s">
        <v>45095</v>
      </c>
      <c r="O3100" t="s">
        <v>45096</v>
      </c>
      <c r="P3100">
        <v>0</v>
      </c>
      <c r="Q3100">
        <v>1</v>
      </c>
      <c r="R3100" t="s">
        <v>45098</v>
      </c>
      <c r="S3100" t="s">
        <v>45223</v>
      </c>
      <c r="T3100" t="s">
        <v>46972</v>
      </c>
      <c r="U3100" t="s">
        <v>50098</v>
      </c>
      <c r="V3100" t="s">
        <v>60148</v>
      </c>
      <c r="W3100" t="s">
        <v>42667</v>
      </c>
      <c r="X3100" t="s">
        <v>45099</v>
      </c>
    </row>
    <row r="3101" spans="1:24">
      <c r="A3101">
        <f>HYPERLINK("https://www.philgeps.gov.ph/GEPSNONPILOT/Tender/SplashBidNoticeAbstractUI.aspx?menuIndex=3&amp;refID=7044096&amp;Result=3","7044096")</f>
        <v>0</v>
      </c>
      <c r="B3101" t="s">
        <v>135</v>
      </c>
      <c r="C3101" t="s">
        <v>6151</v>
      </c>
      <c r="D3101" t="s">
        <v>18022</v>
      </c>
      <c r="E3101" t="s">
        <v>20935</v>
      </c>
      <c r="F3101" t="s">
        <v>31574</v>
      </c>
      <c r="G3101" t="s">
        <v>31581</v>
      </c>
      <c r="H3101" t="s">
        <v>31590</v>
      </c>
      <c r="I3101" t="s">
        <v>14034</v>
      </c>
      <c r="J3101" t="s">
        <v>32235</v>
      </c>
      <c r="K3101" t="s">
        <v>41184</v>
      </c>
      <c r="M3101" t="s">
        <v>42668</v>
      </c>
      <c r="N3101" t="s">
        <v>45095</v>
      </c>
      <c r="O3101" t="s">
        <v>45096</v>
      </c>
      <c r="P3101">
        <v>0</v>
      </c>
      <c r="Q3101">
        <v>3</v>
      </c>
      <c r="R3101" t="s">
        <v>45098</v>
      </c>
      <c r="S3101" t="s">
        <v>45223</v>
      </c>
      <c r="T3101" t="s">
        <v>46955</v>
      </c>
      <c r="U3101" t="s">
        <v>50099</v>
      </c>
      <c r="W3101" t="s">
        <v>42668</v>
      </c>
      <c r="X3101" t="s">
        <v>45099</v>
      </c>
    </row>
    <row r="3102" spans="1:24">
      <c r="A3102">
        <f>HYPERLINK("https://www.philgeps.gov.ph/GEPSNONPILOT/Tender/SplashBidNoticeAbstractUI.aspx?menuIndex=3&amp;refID=7044094&amp;Result=3","7044094")</f>
        <v>0</v>
      </c>
      <c r="B3102" t="s">
        <v>1118</v>
      </c>
      <c r="C3102" t="s">
        <v>6152</v>
      </c>
      <c r="D3102" t="s">
        <v>18059</v>
      </c>
      <c r="E3102" t="s">
        <v>20936</v>
      </c>
      <c r="F3102" t="s">
        <v>31574</v>
      </c>
      <c r="G3102" t="s">
        <v>31582</v>
      </c>
      <c r="H3102" t="s">
        <v>31590</v>
      </c>
      <c r="I3102" t="s">
        <v>4046</v>
      </c>
      <c r="J3102" t="s">
        <v>33834</v>
      </c>
      <c r="K3102" t="s">
        <v>41243</v>
      </c>
      <c r="L3102" t="s">
        <v>1118</v>
      </c>
      <c r="M3102" t="s">
        <v>42667</v>
      </c>
      <c r="N3102" t="s">
        <v>45095</v>
      </c>
      <c r="O3102" t="s">
        <v>45096</v>
      </c>
      <c r="P3102">
        <v>0</v>
      </c>
      <c r="Q3102">
        <v>1</v>
      </c>
      <c r="R3102" t="s">
        <v>45098</v>
      </c>
      <c r="S3102" t="s">
        <v>45223</v>
      </c>
      <c r="T3102" t="s">
        <v>46972</v>
      </c>
      <c r="U3102" t="s">
        <v>50100</v>
      </c>
      <c r="V3102" t="s">
        <v>60149</v>
      </c>
      <c r="W3102" t="s">
        <v>42667</v>
      </c>
      <c r="X3102" t="s">
        <v>45099</v>
      </c>
    </row>
    <row r="3103" spans="1:24">
      <c r="A3103">
        <f>HYPERLINK("https://www.philgeps.gov.ph/GEPSNONPILOT/Tender/SplashBidNoticeAbstractUI.aspx?menuIndex=3&amp;refID=7044104&amp;Result=3","7044104")</f>
        <v>0</v>
      </c>
      <c r="B3103" t="s">
        <v>1119</v>
      </c>
      <c r="C3103" t="s">
        <v>6153</v>
      </c>
      <c r="D3103" t="s">
        <v>18025</v>
      </c>
      <c r="E3103" t="s">
        <v>20937</v>
      </c>
      <c r="F3103" t="s">
        <v>31574</v>
      </c>
      <c r="G3103" t="s">
        <v>31583</v>
      </c>
      <c r="H3103" t="s">
        <v>31590</v>
      </c>
      <c r="I3103" t="s">
        <v>31602</v>
      </c>
      <c r="J3103" t="s">
        <v>33835</v>
      </c>
      <c r="K3103" t="s">
        <v>41193</v>
      </c>
      <c r="M3103" t="s">
        <v>42669</v>
      </c>
      <c r="N3103" t="s">
        <v>45095</v>
      </c>
      <c r="O3103" t="s">
        <v>45096</v>
      </c>
      <c r="P3103">
        <v>0</v>
      </c>
      <c r="Q3103">
        <v>0</v>
      </c>
      <c r="R3103" t="s">
        <v>45098</v>
      </c>
      <c r="S3103" t="s">
        <v>45223</v>
      </c>
      <c r="T3103" t="s">
        <v>46973</v>
      </c>
      <c r="U3103" t="s">
        <v>50101</v>
      </c>
      <c r="W3103" t="s">
        <v>42669</v>
      </c>
      <c r="X3103" t="s">
        <v>45099</v>
      </c>
    </row>
    <row r="3104" spans="1:24">
      <c r="A3104">
        <f>HYPERLINK("https://www.philgeps.gov.ph/GEPSNONPILOT/Tender/SplashBidNoticeAbstractUI.aspx?menuIndex=3&amp;refID=7044118&amp;Result=3","7044118")</f>
        <v>0</v>
      </c>
      <c r="B3104" t="s">
        <v>135</v>
      </c>
      <c r="C3104" t="s">
        <v>6154</v>
      </c>
      <c r="D3104" t="s">
        <v>18022</v>
      </c>
      <c r="E3104" t="s">
        <v>20938</v>
      </c>
      <c r="F3104" t="s">
        <v>31574</v>
      </c>
      <c r="G3104" t="s">
        <v>31581</v>
      </c>
      <c r="H3104" t="s">
        <v>31590</v>
      </c>
      <c r="I3104" t="s">
        <v>4327</v>
      </c>
      <c r="J3104" t="s">
        <v>33836</v>
      </c>
      <c r="K3104" t="s">
        <v>41184</v>
      </c>
      <c r="M3104" t="s">
        <v>42668</v>
      </c>
      <c r="N3104" t="s">
        <v>45095</v>
      </c>
      <c r="O3104" t="s">
        <v>45096</v>
      </c>
      <c r="P3104">
        <v>0</v>
      </c>
      <c r="Q3104">
        <v>5</v>
      </c>
      <c r="R3104" t="s">
        <v>45098</v>
      </c>
      <c r="S3104" t="s">
        <v>45223</v>
      </c>
      <c r="T3104" t="s">
        <v>46955</v>
      </c>
      <c r="U3104" t="s">
        <v>50102</v>
      </c>
      <c r="W3104" t="s">
        <v>42668</v>
      </c>
      <c r="X3104" t="s">
        <v>45099</v>
      </c>
    </row>
    <row r="3105" spans="1:24">
      <c r="A3105">
        <f>HYPERLINK("https://www.philgeps.gov.ph/GEPSNONPILOT/Tender/SplashBidNoticeAbstractUI.aspx?menuIndex=3&amp;refID=7044117&amp;Result=3","7044117")</f>
        <v>0</v>
      </c>
      <c r="B3105" t="s">
        <v>24</v>
      </c>
      <c r="C3105" t="s">
        <v>6155</v>
      </c>
      <c r="D3105" t="s">
        <v>18022</v>
      </c>
      <c r="E3105" t="s">
        <v>20939</v>
      </c>
      <c r="F3105" t="s">
        <v>31574</v>
      </c>
      <c r="G3105" t="s">
        <v>31582</v>
      </c>
      <c r="H3105" t="s">
        <v>31590</v>
      </c>
      <c r="I3105" t="s">
        <v>4327</v>
      </c>
      <c r="J3105" t="s">
        <v>33837</v>
      </c>
      <c r="K3105" t="s">
        <v>41189</v>
      </c>
      <c r="M3105" t="s">
        <v>42670</v>
      </c>
      <c r="N3105" t="s">
        <v>45095</v>
      </c>
      <c r="O3105" t="s">
        <v>45096</v>
      </c>
      <c r="P3105">
        <v>0</v>
      </c>
      <c r="Q3105">
        <v>6</v>
      </c>
      <c r="R3105" t="s">
        <v>45098</v>
      </c>
      <c r="S3105" t="s">
        <v>45223</v>
      </c>
      <c r="T3105" t="s">
        <v>47119</v>
      </c>
      <c r="U3105" t="s">
        <v>50103</v>
      </c>
      <c r="W3105" t="s">
        <v>42670</v>
      </c>
      <c r="X3105" t="s">
        <v>45099</v>
      </c>
    </row>
    <row r="3106" spans="1:24">
      <c r="A3106">
        <f>HYPERLINK("https://www.philgeps.gov.ph/GEPSNONPILOT/Tender/SplashBidNoticeAbstractUI.aspx?menuIndex=3&amp;refID=7044102&amp;Result=3","7044102")</f>
        <v>0</v>
      </c>
      <c r="B3106" t="s">
        <v>135</v>
      </c>
      <c r="C3106" t="s">
        <v>6156</v>
      </c>
      <c r="D3106" t="s">
        <v>18022</v>
      </c>
      <c r="E3106" t="s">
        <v>20940</v>
      </c>
      <c r="F3106" t="s">
        <v>31574</v>
      </c>
      <c r="G3106" t="s">
        <v>31581</v>
      </c>
      <c r="H3106" t="s">
        <v>31590</v>
      </c>
      <c r="I3106" t="s">
        <v>31603</v>
      </c>
      <c r="J3106" t="s">
        <v>33838</v>
      </c>
      <c r="K3106" t="s">
        <v>41184</v>
      </c>
      <c r="M3106" t="s">
        <v>42668</v>
      </c>
      <c r="N3106" t="s">
        <v>45095</v>
      </c>
      <c r="O3106" t="s">
        <v>45096</v>
      </c>
      <c r="P3106">
        <v>0</v>
      </c>
      <c r="Q3106">
        <v>5</v>
      </c>
      <c r="R3106" t="s">
        <v>45098</v>
      </c>
      <c r="S3106" t="s">
        <v>45223</v>
      </c>
      <c r="T3106" t="s">
        <v>46955</v>
      </c>
      <c r="U3106" t="s">
        <v>50104</v>
      </c>
      <c r="W3106" t="s">
        <v>42668</v>
      </c>
      <c r="X3106" t="s">
        <v>45099</v>
      </c>
    </row>
    <row r="3107" spans="1:24">
      <c r="A3107">
        <f>HYPERLINK("https://www.philgeps.gov.ph/GEPSNONPILOT/Tender/SplashBidNoticeAbstractUI.aspx?menuIndex=3&amp;refID=7044115&amp;Result=3","7044115")</f>
        <v>0</v>
      </c>
      <c r="B3107" t="s">
        <v>135</v>
      </c>
      <c r="C3107" t="s">
        <v>6157</v>
      </c>
      <c r="D3107" t="s">
        <v>18022</v>
      </c>
      <c r="E3107" t="s">
        <v>20941</v>
      </c>
      <c r="F3107" t="s">
        <v>31574</v>
      </c>
      <c r="G3107" t="s">
        <v>31581</v>
      </c>
      <c r="H3107" t="s">
        <v>31590</v>
      </c>
      <c r="I3107" t="s">
        <v>3651</v>
      </c>
      <c r="J3107" t="s">
        <v>32049</v>
      </c>
      <c r="K3107" t="s">
        <v>41184</v>
      </c>
      <c r="M3107" t="s">
        <v>42668</v>
      </c>
      <c r="N3107" t="s">
        <v>45095</v>
      </c>
      <c r="O3107" t="s">
        <v>45096</v>
      </c>
      <c r="P3107">
        <v>0</v>
      </c>
      <c r="Q3107">
        <v>0</v>
      </c>
      <c r="R3107" t="s">
        <v>45098</v>
      </c>
      <c r="S3107" t="s">
        <v>45223</v>
      </c>
      <c r="T3107" t="s">
        <v>46955</v>
      </c>
      <c r="U3107" t="s">
        <v>50105</v>
      </c>
      <c r="W3107" t="s">
        <v>42668</v>
      </c>
      <c r="X3107" t="s">
        <v>45099</v>
      </c>
    </row>
    <row r="3108" spans="1:24">
      <c r="A3108">
        <f>HYPERLINK("https://www.philgeps.gov.ph/GEPSNONPILOT/Tender/SplashBidNoticeAbstractUI.aspx?menuIndex=3&amp;refID=7044113&amp;Result=3","7044113")</f>
        <v>0</v>
      </c>
      <c r="B3108" t="s">
        <v>1119</v>
      </c>
      <c r="C3108" t="s">
        <v>6158</v>
      </c>
      <c r="D3108" t="s">
        <v>18025</v>
      </c>
      <c r="E3108" t="s">
        <v>20942</v>
      </c>
      <c r="F3108" t="s">
        <v>31574</v>
      </c>
      <c r="G3108" t="s">
        <v>31583</v>
      </c>
      <c r="H3108" t="s">
        <v>31590</v>
      </c>
      <c r="I3108" t="s">
        <v>31602</v>
      </c>
      <c r="J3108" t="s">
        <v>31968</v>
      </c>
      <c r="K3108" t="s">
        <v>41193</v>
      </c>
      <c r="M3108" t="s">
        <v>42669</v>
      </c>
      <c r="N3108" t="s">
        <v>45095</v>
      </c>
      <c r="O3108" t="s">
        <v>45096</v>
      </c>
      <c r="P3108">
        <v>0</v>
      </c>
      <c r="Q3108">
        <v>0</v>
      </c>
      <c r="R3108" t="s">
        <v>45098</v>
      </c>
      <c r="S3108" t="s">
        <v>45223</v>
      </c>
      <c r="T3108" t="s">
        <v>46973</v>
      </c>
      <c r="U3108" t="s">
        <v>50101</v>
      </c>
      <c r="W3108" t="s">
        <v>42669</v>
      </c>
      <c r="X3108" t="s">
        <v>45099</v>
      </c>
    </row>
    <row r="3109" spans="1:24">
      <c r="A3109">
        <f>HYPERLINK("https://www.philgeps.gov.ph/GEPSNONPILOT/Tender/SplashBidNoticeAbstractUI.aspx?menuIndex=3&amp;refID=7044105&amp;Result=3","7044105")</f>
        <v>0</v>
      </c>
      <c r="B3109" t="s">
        <v>135</v>
      </c>
      <c r="C3109" t="s">
        <v>6159</v>
      </c>
      <c r="D3109" t="s">
        <v>18022</v>
      </c>
      <c r="E3109" t="s">
        <v>20943</v>
      </c>
      <c r="F3109" t="s">
        <v>31574</v>
      </c>
      <c r="G3109" t="s">
        <v>31581</v>
      </c>
      <c r="H3109" t="s">
        <v>31590</v>
      </c>
      <c r="I3109" t="s">
        <v>31603</v>
      </c>
      <c r="J3109" t="s">
        <v>33839</v>
      </c>
      <c r="K3109" t="s">
        <v>41184</v>
      </c>
      <c r="M3109" t="s">
        <v>42668</v>
      </c>
      <c r="N3109" t="s">
        <v>45095</v>
      </c>
      <c r="O3109" t="s">
        <v>45096</v>
      </c>
      <c r="P3109">
        <v>0</v>
      </c>
      <c r="Q3109">
        <v>3</v>
      </c>
      <c r="R3109" t="s">
        <v>45098</v>
      </c>
      <c r="S3109" t="s">
        <v>45223</v>
      </c>
      <c r="T3109" t="s">
        <v>46955</v>
      </c>
      <c r="U3109" t="s">
        <v>50106</v>
      </c>
      <c r="W3109" t="s">
        <v>42668</v>
      </c>
      <c r="X3109" t="s">
        <v>45099</v>
      </c>
    </row>
    <row r="3110" spans="1:24">
      <c r="A3110">
        <f>HYPERLINK("https://www.philgeps.gov.ph/GEPSNONPILOT/Tender/SplashBidNoticeAbstractUI.aspx?menuIndex=3&amp;refID=7044111&amp;Result=3","7044111")</f>
        <v>0</v>
      </c>
      <c r="B3110" t="s">
        <v>135</v>
      </c>
      <c r="C3110" t="s">
        <v>6160</v>
      </c>
      <c r="D3110" t="s">
        <v>18022</v>
      </c>
      <c r="E3110" t="s">
        <v>20944</v>
      </c>
      <c r="F3110" t="s">
        <v>31574</v>
      </c>
      <c r="G3110" t="s">
        <v>31583</v>
      </c>
      <c r="H3110" t="s">
        <v>31590</v>
      </c>
      <c r="I3110" t="s">
        <v>6800</v>
      </c>
      <c r="J3110" t="s">
        <v>33840</v>
      </c>
      <c r="K3110" t="s">
        <v>41184</v>
      </c>
      <c r="M3110" t="s">
        <v>42668</v>
      </c>
      <c r="N3110" t="s">
        <v>45095</v>
      </c>
      <c r="O3110" t="s">
        <v>45096</v>
      </c>
      <c r="P3110">
        <v>0</v>
      </c>
      <c r="Q3110">
        <v>1</v>
      </c>
      <c r="R3110" t="s">
        <v>45098</v>
      </c>
      <c r="S3110" t="s">
        <v>45223</v>
      </c>
      <c r="T3110" t="s">
        <v>46955</v>
      </c>
      <c r="U3110" t="s">
        <v>50107</v>
      </c>
      <c r="W3110" t="s">
        <v>42668</v>
      </c>
      <c r="X3110" t="s">
        <v>45099</v>
      </c>
    </row>
    <row r="3111" spans="1:24">
      <c r="A3111">
        <f>HYPERLINK("https://www.philgeps.gov.ph/GEPSNONPILOT/Tender/SplashBidNoticeAbstractUI.aspx?menuIndex=3&amp;refID=7044110&amp;Result=3","7044110")</f>
        <v>0</v>
      </c>
      <c r="B3111" t="s">
        <v>1119</v>
      </c>
      <c r="C3111" t="s">
        <v>6161</v>
      </c>
      <c r="D3111" t="s">
        <v>18025</v>
      </c>
      <c r="E3111" t="s">
        <v>20945</v>
      </c>
      <c r="F3111" t="s">
        <v>31574</v>
      </c>
      <c r="G3111" t="s">
        <v>31583</v>
      </c>
      <c r="H3111" t="s">
        <v>31590</v>
      </c>
      <c r="I3111" t="s">
        <v>31602</v>
      </c>
      <c r="J3111" t="s">
        <v>32153</v>
      </c>
      <c r="K3111" t="s">
        <v>41193</v>
      </c>
      <c r="M3111" t="s">
        <v>42669</v>
      </c>
      <c r="N3111" t="s">
        <v>45095</v>
      </c>
      <c r="O3111" t="s">
        <v>45096</v>
      </c>
      <c r="P3111">
        <v>0</v>
      </c>
      <c r="Q3111">
        <v>0</v>
      </c>
      <c r="R3111" t="s">
        <v>45098</v>
      </c>
      <c r="S3111" t="s">
        <v>45223</v>
      </c>
      <c r="T3111" t="s">
        <v>46973</v>
      </c>
      <c r="U3111" t="s">
        <v>50101</v>
      </c>
      <c r="W3111" t="s">
        <v>42669</v>
      </c>
      <c r="X3111" t="s">
        <v>45099</v>
      </c>
    </row>
    <row r="3112" spans="1:24">
      <c r="A3112">
        <f>HYPERLINK("https://www.philgeps.gov.ph/GEPSNONPILOT/Tender/SplashBidNoticeAbstractUI.aspx?menuIndex=3&amp;refID=7044109&amp;Result=3","7044109")</f>
        <v>0</v>
      </c>
      <c r="B3112" t="s">
        <v>24</v>
      </c>
      <c r="C3112" t="s">
        <v>6162</v>
      </c>
      <c r="D3112" t="s">
        <v>18022</v>
      </c>
      <c r="E3112" t="s">
        <v>20946</v>
      </c>
      <c r="F3112" t="s">
        <v>31574</v>
      </c>
      <c r="G3112" t="s">
        <v>31582</v>
      </c>
      <c r="H3112" t="s">
        <v>31590</v>
      </c>
      <c r="I3112" t="s">
        <v>31626</v>
      </c>
      <c r="J3112" t="s">
        <v>33841</v>
      </c>
      <c r="K3112" t="s">
        <v>41193</v>
      </c>
      <c r="M3112" t="s">
        <v>42670</v>
      </c>
      <c r="N3112" t="s">
        <v>45095</v>
      </c>
      <c r="O3112" t="s">
        <v>45096</v>
      </c>
      <c r="P3112">
        <v>0</v>
      </c>
      <c r="Q3112">
        <v>11</v>
      </c>
      <c r="R3112" t="s">
        <v>45098</v>
      </c>
      <c r="S3112" t="s">
        <v>45223</v>
      </c>
      <c r="T3112" t="s">
        <v>47119</v>
      </c>
      <c r="U3112" t="s">
        <v>50103</v>
      </c>
      <c r="W3112" t="s">
        <v>42670</v>
      </c>
      <c r="X3112" t="s">
        <v>45099</v>
      </c>
    </row>
    <row r="3113" spans="1:24">
      <c r="A3113">
        <f>HYPERLINK("https://www.philgeps.gov.ph/GEPSNONPILOT/Tender/SplashBidNoticeAbstractUI.aspx?menuIndex=3&amp;refID=7044112&amp;Result=3","7044112")</f>
        <v>0</v>
      </c>
      <c r="B3113" t="s">
        <v>1120</v>
      </c>
      <c r="C3113" t="s">
        <v>6163</v>
      </c>
      <c r="E3113" t="s">
        <v>20947</v>
      </c>
      <c r="F3113" t="s">
        <v>31574</v>
      </c>
      <c r="G3113" t="s">
        <v>31585</v>
      </c>
      <c r="H3113" t="s">
        <v>31590</v>
      </c>
      <c r="I3113" t="s">
        <v>4327</v>
      </c>
      <c r="J3113" t="s">
        <v>33842</v>
      </c>
      <c r="K3113" t="s">
        <v>41184</v>
      </c>
      <c r="M3113" t="s">
        <v>42671</v>
      </c>
      <c r="N3113" t="s">
        <v>45095</v>
      </c>
      <c r="O3113" t="s">
        <v>45096</v>
      </c>
      <c r="Q3113">
        <v>15</v>
      </c>
      <c r="R3113" t="s">
        <v>45098</v>
      </c>
      <c r="S3113" t="s">
        <v>45225</v>
      </c>
      <c r="T3113" t="s">
        <v>47066</v>
      </c>
      <c r="U3113" t="s">
        <v>50108</v>
      </c>
      <c r="W3113" t="s">
        <v>42671</v>
      </c>
      <c r="X3113" t="s">
        <v>45099</v>
      </c>
    </row>
    <row r="3114" spans="1:24">
      <c r="A3114">
        <f>HYPERLINK("https://www.philgeps.gov.ph/GEPSNONPILOT/Tender/SplashBidNoticeAbstractUI.aspx?menuIndex=3&amp;refID=7044119&amp;Result=3","7044119")</f>
        <v>0</v>
      </c>
      <c r="B3114" t="s">
        <v>260</v>
      </c>
      <c r="C3114" t="s">
        <v>6164</v>
      </c>
      <c r="D3114" t="s">
        <v>18036</v>
      </c>
      <c r="E3114" t="s">
        <v>20948</v>
      </c>
      <c r="F3114" t="s">
        <v>31574</v>
      </c>
      <c r="G3114" t="s">
        <v>31581</v>
      </c>
      <c r="H3114" t="s">
        <v>31590</v>
      </c>
      <c r="I3114" t="s">
        <v>4046</v>
      </c>
      <c r="J3114" t="s">
        <v>33843</v>
      </c>
      <c r="K3114" t="s">
        <v>41196</v>
      </c>
      <c r="M3114" t="s">
        <v>41746</v>
      </c>
      <c r="N3114" t="s">
        <v>45095</v>
      </c>
      <c r="O3114" t="s">
        <v>45096</v>
      </c>
      <c r="P3114">
        <v>0</v>
      </c>
      <c r="Q3114">
        <v>0</v>
      </c>
      <c r="R3114" t="s">
        <v>45098</v>
      </c>
      <c r="S3114" t="s">
        <v>45223</v>
      </c>
      <c r="T3114" t="s">
        <v>46973</v>
      </c>
      <c r="U3114" t="s">
        <v>50109</v>
      </c>
      <c r="W3114" t="s">
        <v>41746</v>
      </c>
      <c r="X3114" t="s">
        <v>45099</v>
      </c>
    </row>
    <row r="3115" spans="1:24">
      <c r="A3115">
        <f>HYPERLINK("https://www.philgeps.gov.ph/GEPSNONPILOT/Tender/SplashBidNoticeAbstractUI.aspx?menuIndex=3&amp;refID=7044107&amp;Result=3","7044107")</f>
        <v>0</v>
      </c>
      <c r="B3115" t="s">
        <v>1119</v>
      </c>
      <c r="C3115" t="s">
        <v>6165</v>
      </c>
      <c r="D3115" t="s">
        <v>18025</v>
      </c>
      <c r="E3115" t="s">
        <v>20949</v>
      </c>
      <c r="F3115" t="s">
        <v>31574</v>
      </c>
      <c r="G3115" t="s">
        <v>31583</v>
      </c>
      <c r="H3115" t="s">
        <v>31590</v>
      </c>
      <c r="I3115" t="s">
        <v>31602</v>
      </c>
      <c r="J3115" t="s">
        <v>33844</v>
      </c>
      <c r="K3115" t="s">
        <v>41193</v>
      </c>
      <c r="M3115" t="s">
        <v>42669</v>
      </c>
      <c r="N3115" t="s">
        <v>45095</v>
      </c>
      <c r="O3115" t="s">
        <v>45096</v>
      </c>
      <c r="P3115">
        <v>0</v>
      </c>
      <c r="Q3115">
        <v>0</v>
      </c>
      <c r="R3115" t="s">
        <v>45098</v>
      </c>
      <c r="S3115" t="s">
        <v>45223</v>
      </c>
      <c r="T3115" t="s">
        <v>46973</v>
      </c>
      <c r="U3115" t="s">
        <v>50101</v>
      </c>
      <c r="W3115" t="s">
        <v>42669</v>
      </c>
      <c r="X3115" t="s">
        <v>45099</v>
      </c>
    </row>
    <row r="3116" spans="1:24">
      <c r="A3116">
        <f>HYPERLINK("https://www.philgeps.gov.ph/GEPSNONPILOT/Tender/SplashBidNoticeAbstractUI.aspx?menuIndex=3&amp;refID=7044099&amp;Result=3","7044099")</f>
        <v>0</v>
      </c>
      <c r="B3116" t="s">
        <v>24</v>
      </c>
      <c r="C3116" t="s">
        <v>6166</v>
      </c>
      <c r="D3116" t="s">
        <v>18022</v>
      </c>
      <c r="E3116" t="s">
        <v>20950</v>
      </c>
      <c r="F3116" t="s">
        <v>31574</v>
      </c>
      <c r="G3116" t="s">
        <v>31582</v>
      </c>
      <c r="H3116" t="s">
        <v>31590</v>
      </c>
      <c r="I3116" t="s">
        <v>31595</v>
      </c>
      <c r="J3116" t="s">
        <v>33845</v>
      </c>
      <c r="K3116" t="s">
        <v>41193</v>
      </c>
      <c r="M3116" t="s">
        <v>42670</v>
      </c>
      <c r="N3116" t="s">
        <v>45095</v>
      </c>
      <c r="O3116" t="s">
        <v>45096</v>
      </c>
      <c r="P3116">
        <v>0</v>
      </c>
      <c r="Q3116">
        <v>13</v>
      </c>
      <c r="R3116" t="s">
        <v>45098</v>
      </c>
      <c r="S3116" t="s">
        <v>45223</v>
      </c>
      <c r="T3116" t="s">
        <v>47119</v>
      </c>
      <c r="U3116" t="s">
        <v>50103</v>
      </c>
      <c r="W3116" t="s">
        <v>42670</v>
      </c>
      <c r="X3116" t="s">
        <v>45099</v>
      </c>
    </row>
    <row r="3117" spans="1:24">
      <c r="A3117">
        <f>HYPERLINK("https://www.philgeps.gov.ph/GEPSNONPILOT/Tender/SplashBidNoticeAbstractUI.aspx?menuIndex=3&amp;refID=7044123&amp;Result=3","7044123")</f>
        <v>0</v>
      </c>
      <c r="B3117" t="s">
        <v>1121</v>
      </c>
      <c r="C3117" t="s">
        <v>6167</v>
      </c>
      <c r="D3117" t="s">
        <v>18107</v>
      </c>
      <c r="E3117" t="s">
        <v>20951</v>
      </c>
      <c r="F3117" t="s">
        <v>31574</v>
      </c>
      <c r="G3117" t="s">
        <v>31582</v>
      </c>
      <c r="H3117" t="s">
        <v>31591</v>
      </c>
      <c r="I3117" t="s">
        <v>8822</v>
      </c>
      <c r="J3117" t="s">
        <v>33846</v>
      </c>
      <c r="K3117" t="s">
        <v>41245</v>
      </c>
      <c r="L3117" t="s">
        <v>1121</v>
      </c>
      <c r="M3117" t="s">
        <v>42672</v>
      </c>
      <c r="N3117" t="s">
        <v>45095</v>
      </c>
      <c r="O3117" t="s">
        <v>45096</v>
      </c>
      <c r="P3117">
        <v>0</v>
      </c>
      <c r="Q3117">
        <v>0</v>
      </c>
      <c r="R3117" t="s">
        <v>45098</v>
      </c>
      <c r="S3117" t="s">
        <v>45223</v>
      </c>
      <c r="T3117" t="s">
        <v>46919</v>
      </c>
      <c r="U3117" t="s">
        <v>50110</v>
      </c>
      <c r="V3117" t="s">
        <v>60150</v>
      </c>
      <c r="W3117" t="s">
        <v>42672</v>
      </c>
      <c r="X3117" t="s">
        <v>45099</v>
      </c>
    </row>
    <row r="3118" spans="1:24">
      <c r="A3118">
        <f>HYPERLINK("https://www.philgeps.gov.ph/GEPSNONPILOT/Tender/SplashBidNoticeAbstractUI.aspx?menuIndex=3&amp;refID=7044120&amp;Result=3","7044120")</f>
        <v>0</v>
      </c>
      <c r="B3118" t="s">
        <v>1122</v>
      </c>
      <c r="C3118" t="s">
        <v>6168</v>
      </c>
      <c r="D3118" t="s">
        <v>18075</v>
      </c>
      <c r="E3118" t="s">
        <v>20952</v>
      </c>
      <c r="F3118" t="s">
        <v>31574</v>
      </c>
      <c r="G3118" t="s">
        <v>31581</v>
      </c>
      <c r="H3118" t="s">
        <v>31590</v>
      </c>
      <c r="I3118" t="s">
        <v>3487</v>
      </c>
      <c r="J3118" t="s">
        <v>31744</v>
      </c>
      <c r="K3118" t="s">
        <v>41186</v>
      </c>
      <c r="M3118" t="s">
        <v>42673</v>
      </c>
      <c r="N3118" t="s">
        <v>45095</v>
      </c>
      <c r="O3118" t="s">
        <v>45096</v>
      </c>
      <c r="P3118">
        <v>0</v>
      </c>
      <c r="Q3118">
        <v>0</v>
      </c>
      <c r="R3118" t="s">
        <v>45098</v>
      </c>
      <c r="S3118" t="s">
        <v>45223</v>
      </c>
      <c r="T3118" t="s">
        <v>46952</v>
      </c>
      <c r="U3118" t="s">
        <v>50111</v>
      </c>
      <c r="W3118" t="s">
        <v>42673</v>
      </c>
      <c r="X3118" t="s">
        <v>45099</v>
      </c>
    </row>
    <row r="3119" spans="1:24">
      <c r="A3119">
        <f>HYPERLINK("https://www.philgeps.gov.ph/GEPSNONPILOT/Tender/SplashBidNoticeAbstractUI.aspx?menuIndex=3&amp;refID=7044125&amp;Result=3","7044125")</f>
        <v>0</v>
      </c>
      <c r="B3119" t="s">
        <v>135</v>
      </c>
      <c r="C3119" t="s">
        <v>6169</v>
      </c>
      <c r="D3119" t="s">
        <v>18022</v>
      </c>
      <c r="E3119" t="s">
        <v>20953</v>
      </c>
      <c r="F3119" t="s">
        <v>31574</v>
      </c>
      <c r="G3119" t="s">
        <v>31581</v>
      </c>
      <c r="H3119" t="s">
        <v>31590</v>
      </c>
      <c r="I3119" t="s">
        <v>4354</v>
      </c>
      <c r="J3119" t="s">
        <v>33847</v>
      </c>
      <c r="K3119" t="s">
        <v>41184</v>
      </c>
      <c r="M3119" t="s">
        <v>42668</v>
      </c>
      <c r="N3119" t="s">
        <v>45095</v>
      </c>
      <c r="O3119" t="s">
        <v>45096</v>
      </c>
      <c r="P3119">
        <v>0</v>
      </c>
      <c r="Q3119">
        <v>1</v>
      </c>
      <c r="R3119" t="s">
        <v>45098</v>
      </c>
      <c r="S3119" t="s">
        <v>45223</v>
      </c>
      <c r="T3119" t="s">
        <v>46955</v>
      </c>
      <c r="U3119" t="s">
        <v>50112</v>
      </c>
      <c r="W3119" t="s">
        <v>42668</v>
      </c>
      <c r="X3119" t="s">
        <v>45099</v>
      </c>
    </row>
    <row r="3120" spans="1:24">
      <c r="A3120">
        <f>HYPERLINK("https://www.philgeps.gov.ph/GEPSNONPILOT/Tender/SplashBidNoticeAbstractUI.aspx?menuIndex=3&amp;refID=7044129&amp;Result=3","7044129")</f>
        <v>0</v>
      </c>
      <c r="B3120" t="s">
        <v>24</v>
      </c>
      <c r="C3120" t="s">
        <v>6170</v>
      </c>
      <c r="D3120" t="s">
        <v>18022</v>
      </c>
      <c r="E3120" t="s">
        <v>20954</v>
      </c>
      <c r="F3120" t="s">
        <v>31574</v>
      </c>
      <c r="G3120" t="s">
        <v>31582</v>
      </c>
      <c r="H3120" t="s">
        <v>31590</v>
      </c>
      <c r="I3120" t="s">
        <v>31623</v>
      </c>
      <c r="J3120" t="s">
        <v>33848</v>
      </c>
      <c r="K3120" t="s">
        <v>41196</v>
      </c>
      <c r="M3120" t="s">
        <v>42670</v>
      </c>
      <c r="N3120" t="s">
        <v>45095</v>
      </c>
      <c r="O3120" t="s">
        <v>45096</v>
      </c>
      <c r="P3120">
        <v>0</v>
      </c>
      <c r="Q3120">
        <v>0</v>
      </c>
      <c r="R3120" t="s">
        <v>45098</v>
      </c>
      <c r="S3120" t="s">
        <v>45223</v>
      </c>
      <c r="T3120" t="s">
        <v>47119</v>
      </c>
      <c r="U3120" t="s">
        <v>50113</v>
      </c>
      <c r="W3120" t="s">
        <v>42670</v>
      </c>
      <c r="X3120" t="s">
        <v>45099</v>
      </c>
    </row>
    <row r="3121" spans="1:24">
      <c r="A3121">
        <f>HYPERLINK("https://www.philgeps.gov.ph/GEPSNONPILOT/Tender/SplashBidNoticeAbstractUI.aspx?menuIndex=3&amp;refID=7044103&amp;Result=3","7044103")</f>
        <v>0</v>
      </c>
      <c r="B3121" t="s">
        <v>1056</v>
      </c>
      <c r="C3121" t="s">
        <v>6171</v>
      </c>
      <c r="D3121" t="s">
        <v>18041</v>
      </c>
      <c r="E3121" t="s">
        <v>20955</v>
      </c>
      <c r="F3121" t="s">
        <v>31574</v>
      </c>
      <c r="G3121" t="s">
        <v>31581</v>
      </c>
      <c r="H3121" t="s">
        <v>31590</v>
      </c>
      <c r="I3121" t="s">
        <v>31658</v>
      </c>
      <c r="J3121" t="s">
        <v>33849</v>
      </c>
      <c r="K3121" t="s">
        <v>41213</v>
      </c>
      <c r="M3121" t="s">
        <v>42601</v>
      </c>
      <c r="N3121" t="s">
        <v>45095</v>
      </c>
      <c r="O3121" t="s">
        <v>45096</v>
      </c>
      <c r="P3121">
        <v>0</v>
      </c>
      <c r="Q3121">
        <v>1</v>
      </c>
      <c r="R3121" t="s">
        <v>45098</v>
      </c>
      <c r="S3121" t="s">
        <v>45223</v>
      </c>
      <c r="T3121" t="s">
        <v>46905</v>
      </c>
      <c r="U3121" t="s">
        <v>50114</v>
      </c>
      <c r="W3121" t="s">
        <v>42601</v>
      </c>
      <c r="X3121" t="s">
        <v>45099</v>
      </c>
    </row>
    <row r="3122" spans="1:24">
      <c r="A3122">
        <f>HYPERLINK("https://www.philgeps.gov.ph/GEPSNONPILOT/Tender/SplashBidNoticeAbstractUI.aspx?menuIndex=3&amp;refID=7044121&amp;Result=3","7044121")</f>
        <v>0</v>
      </c>
      <c r="B3122" t="s">
        <v>1069</v>
      </c>
      <c r="C3122" t="s">
        <v>6172</v>
      </c>
      <c r="D3122" t="s">
        <v>18079</v>
      </c>
      <c r="E3122" t="s">
        <v>20956</v>
      </c>
      <c r="F3122" t="s">
        <v>31574</v>
      </c>
      <c r="G3122" t="s">
        <v>31584</v>
      </c>
      <c r="H3122" t="s">
        <v>31590</v>
      </c>
      <c r="I3122" t="s">
        <v>31608</v>
      </c>
      <c r="J3122" t="s">
        <v>33850</v>
      </c>
      <c r="K3122" t="s">
        <v>41190</v>
      </c>
      <c r="M3122" t="s">
        <v>42615</v>
      </c>
      <c r="N3122" t="s">
        <v>45095</v>
      </c>
      <c r="O3122" t="s">
        <v>45096</v>
      </c>
      <c r="P3122">
        <v>0</v>
      </c>
      <c r="Q3122">
        <v>2</v>
      </c>
      <c r="R3122" t="s">
        <v>45098</v>
      </c>
      <c r="S3122" t="s">
        <v>45223</v>
      </c>
      <c r="T3122" t="s">
        <v>47092</v>
      </c>
      <c r="U3122" t="s">
        <v>50115</v>
      </c>
      <c r="W3122" t="s">
        <v>42615</v>
      </c>
      <c r="X3122" t="s">
        <v>45099</v>
      </c>
    </row>
    <row r="3123" spans="1:24">
      <c r="A3123">
        <f>HYPERLINK("https://www.philgeps.gov.ph/GEPSNONPILOT/Tender/SplashBidNoticeAbstractUI.aspx?menuIndex=3&amp;refID=7044128&amp;Result=3","7044128")</f>
        <v>0</v>
      </c>
      <c r="B3123" t="s">
        <v>135</v>
      </c>
      <c r="C3123" t="s">
        <v>6173</v>
      </c>
      <c r="D3123" t="s">
        <v>18022</v>
      </c>
      <c r="E3123" t="s">
        <v>20957</v>
      </c>
      <c r="F3123" t="s">
        <v>31574</v>
      </c>
      <c r="G3123" t="s">
        <v>31583</v>
      </c>
      <c r="H3123" t="s">
        <v>31590</v>
      </c>
      <c r="I3123" t="s">
        <v>6800</v>
      </c>
      <c r="J3123" t="s">
        <v>33851</v>
      </c>
      <c r="K3123" t="s">
        <v>41184</v>
      </c>
      <c r="M3123" t="s">
        <v>42668</v>
      </c>
      <c r="N3123" t="s">
        <v>45095</v>
      </c>
      <c r="O3123" t="s">
        <v>45096</v>
      </c>
      <c r="P3123">
        <v>0</v>
      </c>
      <c r="Q3123">
        <v>0</v>
      </c>
      <c r="R3123" t="s">
        <v>45098</v>
      </c>
      <c r="S3123" t="s">
        <v>45223</v>
      </c>
      <c r="T3123" t="s">
        <v>46955</v>
      </c>
      <c r="U3123" t="s">
        <v>50116</v>
      </c>
      <c r="W3123" t="s">
        <v>42668</v>
      </c>
      <c r="X3123" t="s">
        <v>45099</v>
      </c>
    </row>
    <row r="3124" spans="1:24">
      <c r="A3124">
        <f>HYPERLINK("https://www.philgeps.gov.ph/GEPSNONPILOT/Tender/SplashBidNoticeAbstractUI.aspx?menuIndex=3&amp;refID=7044124&amp;Result=3","7044124")</f>
        <v>0</v>
      </c>
      <c r="B3124" t="s">
        <v>260</v>
      </c>
      <c r="C3124" t="s">
        <v>6174</v>
      </c>
      <c r="D3124" t="s">
        <v>18036</v>
      </c>
      <c r="E3124" t="s">
        <v>20958</v>
      </c>
      <c r="F3124" t="s">
        <v>31574</v>
      </c>
      <c r="G3124" t="s">
        <v>31581</v>
      </c>
      <c r="H3124" t="s">
        <v>31590</v>
      </c>
      <c r="I3124" t="s">
        <v>4046</v>
      </c>
      <c r="J3124" t="s">
        <v>33852</v>
      </c>
      <c r="K3124" t="s">
        <v>41196</v>
      </c>
      <c r="M3124" t="s">
        <v>41746</v>
      </c>
      <c r="N3124" t="s">
        <v>45095</v>
      </c>
      <c r="O3124" t="s">
        <v>45096</v>
      </c>
      <c r="P3124">
        <v>0</v>
      </c>
      <c r="Q3124">
        <v>0</v>
      </c>
      <c r="R3124" t="s">
        <v>45098</v>
      </c>
      <c r="S3124" t="s">
        <v>45223</v>
      </c>
      <c r="T3124" t="s">
        <v>46973</v>
      </c>
      <c r="U3124" t="s">
        <v>50109</v>
      </c>
      <c r="W3124" t="s">
        <v>41746</v>
      </c>
      <c r="X3124" t="s">
        <v>45099</v>
      </c>
    </row>
    <row r="3125" spans="1:24">
      <c r="A3125">
        <f>HYPERLINK("https://www.philgeps.gov.ph/GEPSNONPILOT/Tender/SplashBidNoticeAbstractUI.aspx?menuIndex=3&amp;refID=7044130&amp;Result=3","7044130")</f>
        <v>0</v>
      </c>
      <c r="B3125" t="s">
        <v>1069</v>
      </c>
      <c r="C3125" t="s">
        <v>6175</v>
      </c>
      <c r="D3125" t="s">
        <v>18079</v>
      </c>
      <c r="E3125" t="s">
        <v>20959</v>
      </c>
      <c r="F3125" t="s">
        <v>31574</v>
      </c>
      <c r="G3125" t="s">
        <v>31584</v>
      </c>
      <c r="H3125" t="s">
        <v>31590</v>
      </c>
      <c r="I3125" t="s">
        <v>31608</v>
      </c>
      <c r="J3125" t="s">
        <v>33853</v>
      </c>
      <c r="K3125" t="s">
        <v>41190</v>
      </c>
      <c r="M3125" t="s">
        <v>42615</v>
      </c>
      <c r="N3125" t="s">
        <v>45095</v>
      </c>
      <c r="O3125" t="s">
        <v>45096</v>
      </c>
      <c r="P3125">
        <v>0</v>
      </c>
      <c r="Q3125">
        <v>3</v>
      </c>
      <c r="R3125" t="s">
        <v>45098</v>
      </c>
      <c r="S3125" t="s">
        <v>45223</v>
      </c>
      <c r="T3125" t="s">
        <v>47092</v>
      </c>
      <c r="U3125" t="s">
        <v>50117</v>
      </c>
      <c r="W3125" t="s">
        <v>42615</v>
      </c>
      <c r="X3125" t="s">
        <v>45099</v>
      </c>
    </row>
    <row r="3126" spans="1:24">
      <c r="A3126">
        <f>HYPERLINK("https://www.philgeps.gov.ph/GEPSNONPILOT/Tender/SplashBidNoticeAbstractUI.aspx?menuIndex=3&amp;refID=7044138&amp;Result=3","7044138")</f>
        <v>0</v>
      </c>
      <c r="B3126" t="s">
        <v>1069</v>
      </c>
      <c r="C3126" t="s">
        <v>6176</v>
      </c>
      <c r="D3126" t="s">
        <v>18079</v>
      </c>
      <c r="E3126" t="s">
        <v>20960</v>
      </c>
      <c r="F3126" t="s">
        <v>31574</v>
      </c>
      <c r="G3126" t="s">
        <v>31581</v>
      </c>
      <c r="H3126" t="s">
        <v>31590</v>
      </c>
      <c r="I3126" t="s">
        <v>8258</v>
      </c>
      <c r="J3126" t="s">
        <v>31726</v>
      </c>
      <c r="K3126" t="s">
        <v>41190</v>
      </c>
      <c r="M3126" t="s">
        <v>42615</v>
      </c>
      <c r="N3126" t="s">
        <v>45095</v>
      </c>
      <c r="O3126" t="s">
        <v>45096</v>
      </c>
      <c r="P3126">
        <v>0</v>
      </c>
      <c r="Q3126">
        <v>4</v>
      </c>
      <c r="R3126" t="s">
        <v>45098</v>
      </c>
      <c r="S3126" t="s">
        <v>45223</v>
      </c>
      <c r="T3126" t="s">
        <v>47092</v>
      </c>
      <c r="U3126" t="s">
        <v>50118</v>
      </c>
      <c r="W3126" t="s">
        <v>42615</v>
      </c>
      <c r="X3126" t="s">
        <v>45099</v>
      </c>
    </row>
    <row r="3127" spans="1:24">
      <c r="A3127">
        <f>HYPERLINK("https://www.philgeps.gov.ph/GEPSNONPILOT/Tender/SplashBidNoticeAbstractUI.aspx?menuIndex=3&amp;refID=7044126&amp;Result=3","7044126")</f>
        <v>0</v>
      </c>
      <c r="B3127" t="s">
        <v>260</v>
      </c>
      <c r="C3127" t="s">
        <v>6177</v>
      </c>
      <c r="D3127" t="s">
        <v>18036</v>
      </c>
      <c r="E3127" t="s">
        <v>20961</v>
      </c>
      <c r="F3127" t="s">
        <v>31574</v>
      </c>
      <c r="G3127" t="s">
        <v>31581</v>
      </c>
      <c r="H3127" t="s">
        <v>31590</v>
      </c>
      <c r="I3127" t="s">
        <v>4046</v>
      </c>
      <c r="J3127" t="s">
        <v>33854</v>
      </c>
      <c r="K3127" t="s">
        <v>41196</v>
      </c>
      <c r="M3127" t="s">
        <v>41746</v>
      </c>
      <c r="N3127" t="s">
        <v>45095</v>
      </c>
      <c r="O3127" t="s">
        <v>45096</v>
      </c>
      <c r="P3127">
        <v>0</v>
      </c>
      <c r="Q3127">
        <v>0</v>
      </c>
      <c r="R3127" t="s">
        <v>45098</v>
      </c>
      <c r="S3127" t="s">
        <v>45223</v>
      </c>
      <c r="T3127" t="s">
        <v>46973</v>
      </c>
      <c r="U3127" t="s">
        <v>50119</v>
      </c>
      <c r="W3127" t="s">
        <v>41746</v>
      </c>
      <c r="X3127" t="s">
        <v>45099</v>
      </c>
    </row>
    <row r="3128" spans="1:24">
      <c r="A3128">
        <f>HYPERLINK("https://www.philgeps.gov.ph/GEPSNONPILOT/Tender/SplashBidNoticeAbstractUI.aspx?menuIndex=3&amp;refID=7044122&amp;Result=3","7044122")</f>
        <v>0</v>
      </c>
      <c r="B3128" t="s">
        <v>135</v>
      </c>
      <c r="C3128" t="s">
        <v>6178</v>
      </c>
      <c r="D3128" t="s">
        <v>18022</v>
      </c>
      <c r="E3128" t="s">
        <v>20962</v>
      </c>
      <c r="F3128" t="s">
        <v>31574</v>
      </c>
      <c r="G3128" t="s">
        <v>31581</v>
      </c>
      <c r="H3128" t="s">
        <v>31590</v>
      </c>
      <c r="I3128" t="s">
        <v>14034</v>
      </c>
      <c r="J3128" t="s">
        <v>31843</v>
      </c>
      <c r="K3128" t="s">
        <v>41184</v>
      </c>
      <c r="M3128" t="s">
        <v>42668</v>
      </c>
      <c r="N3128" t="s">
        <v>45095</v>
      </c>
      <c r="O3128" t="s">
        <v>45096</v>
      </c>
      <c r="P3128">
        <v>0</v>
      </c>
      <c r="Q3128">
        <v>3</v>
      </c>
      <c r="R3128" t="s">
        <v>45098</v>
      </c>
      <c r="S3128" t="s">
        <v>45223</v>
      </c>
      <c r="T3128" t="s">
        <v>46955</v>
      </c>
      <c r="U3128" t="s">
        <v>50120</v>
      </c>
      <c r="W3128" t="s">
        <v>42668</v>
      </c>
      <c r="X3128" t="s">
        <v>45099</v>
      </c>
    </row>
    <row r="3129" spans="1:24">
      <c r="A3129">
        <f>HYPERLINK("https://www.philgeps.gov.ph/GEPSNONPILOT/Tender/SplashBidNoticeAbstractUI.aspx?menuIndex=3&amp;refID=7044127&amp;Result=3","7044127")</f>
        <v>0</v>
      </c>
      <c r="B3129" t="s">
        <v>1069</v>
      </c>
      <c r="C3129" t="s">
        <v>6179</v>
      </c>
      <c r="D3129" t="s">
        <v>18079</v>
      </c>
      <c r="E3129" t="s">
        <v>20963</v>
      </c>
      <c r="F3129" t="s">
        <v>31574</v>
      </c>
      <c r="G3129" t="s">
        <v>31581</v>
      </c>
      <c r="H3129" t="s">
        <v>31590</v>
      </c>
      <c r="I3129" t="s">
        <v>31600</v>
      </c>
      <c r="J3129" t="s">
        <v>33855</v>
      </c>
      <c r="K3129" t="s">
        <v>41190</v>
      </c>
      <c r="M3129" t="s">
        <v>42615</v>
      </c>
      <c r="N3129" t="s">
        <v>45095</v>
      </c>
      <c r="O3129" t="s">
        <v>45096</v>
      </c>
      <c r="P3129">
        <v>0</v>
      </c>
      <c r="Q3129">
        <v>0</v>
      </c>
      <c r="R3129" t="s">
        <v>45098</v>
      </c>
      <c r="S3129" t="s">
        <v>45223</v>
      </c>
      <c r="T3129" t="s">
        <v>47092</v>
      </c>
      <c r="U3129" t="s">
        <v>50121</v>
      </c>
      <c r="W3129" t="s">
        <v>42615</v>
      </c>
      <c r="X3129" t="s">
        <v>45099</v>
      </c>
    </row>
    <row r="3130" spans="1:24">
      <c r="A3130">
        <f>HYPERLINK("https://www.philgeps.gov.ph/GEPSNONPILOT/Tender/SplashBidNoticeAbstractUI.aspx?menuIndex=3&amp;refID=7044137&amp;Result=3","7044137")</f>
        <v>0</v>
      </c>
      <c r="B3130" t="s">
        <v>24</v>
      </c>
      <c r="C3130" t="s">
        <v>6180</v>
      </c>
      <c r="D3130" t="s">
        <v>18022</v>
      </c>
      <c r="E3130" t="s">
        <v>20964</v>
      </c>
      <c r="F3130" t="s">
        <v>31574</v>
      </c>
      <c r="G3130" t="s">
        <v>31582</v>
      </c>
      <c r="H3130" t="s">
        <v>31590</v>
      </c>
      <c r="I3130" t="s">
        <v>31598</v>
      </c>
      <c r="J3130" t="s">
        <v>33856</v>
      </c>
      <c r="K3130" t="s">
        <v>41192</v>
      </c>
      <c r="M3130" t="s">
        <v>42670</v>
      </c>
      <c r="N3130" t="s">
        <v>45095</v>
      </c>
      <c r="O3130" t="s">
        <v>45096</v>
      </c>
      <c r="P3130">
        <v>0</v>
      </c>
      <c r="Q3130">
        <v>12</v>
      </c>
      <c r="R3130" t="s">
        <v>45098</v>
      </c>
      <c r="S3130" t="s">
        <v>45223</v>
      </c>
      <c r="T3130" t="s">
        <v>47119</v>
      </c>
      <c r="U3130" t="s">
        <v>50122</v>
      </c>
      <c r="W3130" t="s">
        <v>42670</v>
      </c>
      <c r="X3130" t="s">
        <v>45099</v>
      </c>
    </row>
    <row r="3131" spans="1:24">
      <c r="A3131">
        <f>HYPERLINK("https://www.philgeps.gov.ph/GEPSNONPILOT/Tender/SplashBidNoticeAbstractUI.aspx?menuIndex=3&amp;refID=7044139&amp;Result=3","7044139")</f>
        <v>0</v>
      </c>
      <c r="B3131" t="s">
        <v>260</v>
      </c>
      <c r="C3131" t="s">
        <v>6181</v>
      </c>
      <c r="D3131" t="s">
        <v>18036</v>
      </c>
      <c r="E3131" t="s">
        <v>20965</v>
      </c>
      <c r="F3131" t="s">
        <v>31574</v>
      </c>
      <c r="G3131" t="s">
        <v>31581</v>
      </c>
      <c r="H3131" t="s">
        <v>31590</v>
      </c>
      <c r="I3131" t="s">
        <v>4046</v>
      </c>
      <c r="J3131" t="s">
        <v>33857</v>
      </c>
      <c r="K3131" t="s">
        <v>41196</v>
      </c>
      <c r="M3131" t="s">
        <v>41746</v>
      </c>
      <c r="N3131" t="s">
        <v>45095</v>
      </c>
      <c r="O3131" t="s">
        <v>45096</v>
      </c>
      <c r="P3131">
        <v>0</v>
      </c>
      <c r="Q3131">
        <v>0</v>
      </c>
      <c r="R3131" t="s">
        <v>45098</v>
      </c>
      <c r="S3131" t="s">
        <v>45223</v>
      </c>
      <c r="T3131" t="s">
        <v>46973</v>
      </c>
      <c r="U3131" t="s">
        <v>50123</v>
      </c>
      <c r="W3131" t="s">
        <v>41746</v>
      </c>
      <c r="X3131" t="s">
        <v>45099</v>
      </c>
    </row>
    <row r="3132" spans="1:24">
      <c r="A3132">
        <f>HYPERLINK("https://www.philgeps.gov.ph/GEPSNONPILOT/Tender/SplashBidNoticeAbstractUI.aspx?menuIndex=3&amp;refID=7044136&amp;Result=3","7044136")</f>
        <v>0</v>
      </c>
      <c r="B3132" t="s">
        <v>1069</v>
      </c>
      <c r="C3132" t="s">
        <v>6182</v>
      </c>
      <c r="D3132" t="s">
        <v>18079</v>
      </c>
      <c r="E3132" t="s">
        <v>20496</v>
      </c>
      <c r="F3132" t="s">
        <v>31574</v>
      </c>
      <c r="G3132" t="s">
        <v>31581</v>
      </c>
      <c r="H3132" t="s">
        <v>31590</v>
      </c>
      <c r="I3132" t="s">
        <v>8258</v>
      </c>
      <c r="J3132" t="s">
        <v>31743</v>
      </c>
      <c r="K3132" t="s">
        <v>41190</v>
      </c>
      <c r="M3132" t="s">
        <v>42615</v>
      </c>
      <c r="N3132" t="s">
        <v>45095</v>
      </c>
      <c r="O3132" t="s">
        <v>45096</v>
      </c>
      <c r="P3132">
        <v>0</v>
      </c>
      <c r="Q3132">
        <v>2</v>
      </c>
      <c r="R3132" t="s">
        <v>45098</v>
      </c>
      <c r="S3132" t="s">
        <v>45223</v>
      </c>
      <c r="T3132" t="s">
        <v>47092</v>
      </c>
      <c r="U3132" t="s">
        <v>50124</v>
      </c>
      <c r="W3132" t="s">
        <v>42615</v>
      </c>
      <c r="X3132" t="s">
        <v>45099</v>
      </c>
    </row>
    <row r="3133" spans="1:24">
      <c r="A3133">
        <f>HYPERLINK("https://www.philgeps.gov.ph/GEPSNONPILOT/Tender/SplashBidNoticeAbstractUI.aspx?menuIndex=3&amp;refID=7044141&amp;Result=3","7044141")</f>
        <v>0</v>
      </c>
      <c r="B3133" t="s">
        <v>1069</v>
      </c>
      <c r="C3133" t="s">
        <v>6183</v>
      </c>
      <c r="D3133" t="s">
        <v>18079</v>
      </c>
      <c r="E3133" t="s">
        <v>20966</v>
      </c>
      <c r="F3133" t="s">
        <v>31574</v>
      </c>
      <c r="G3133" t="s">
        <v>31581</v>
      </c>
      <c r="H3133" t="s">
        <v>31590</v>
      </c>
      <c r="I3133" t="s">
        <v>8258</v>
      </c>
      <c r="J3133" t="s">
        <v>31753</v>
      </c>
      <c r="K3133" t="s">
        <v>41190</v>
      </c>
      <c r="M3133" t="s">
        <v>42615</v>
      </c>
      <c r="N3133" t="s">
        <v>45095</v>
      </c>
      <c r="O3133" t="s">
        <v>45096</v>
      </c>
      <c r="P3133">
        <v>0</v>
      </c>
      <c r="Q3133">
        <v>1</v>
      </c>
      <c r="R3133" t="s">
        <v>45098</v>
      </c>
      <c r="S3133" t="s">
        <v>45223</v>
      </c>
      <c r="T3133" t="s">
        <v>47092</v>
      </c>
      <c r="U3133" t="s">
        <v>50125</v>
      </c>
      <c r="W3133" t="s">
        <v>42615</v>
      </c>
      <c r="X3133" t="s">
        <v>45099</v>
      </c>
    </row>
    <row r="3134" spans="1:24">
      <c r="A3134">
        <f>HYPERLINK("https://www.philgeps.gov.ph/GEPSNONPILOT/Tender/SplashBidNoticeAbstractUI.aspx?menuIndex=3&amp;refID=7044143&amp;Result=3","7044143")</f>
        <v>0</v>
      </c>
      <c r="B3134" t="s">
        <v>559</v>
      </c>
      <c r="C3134" t="s">
        <v>6184</v>
      </c>
      <c r="D3134" t="s">
        <v>18058</v>
      </c>
      <c r="E3134" t="s">
        <v>20967</v>
      </c>
      <c r="F3134" t="s">
        <v>31574</v>
      </c>
      <c r="G3134" t="s">
        <v>31582</v>
      </c>
      <c r="H3134" t="s">
        <v>31590</v>
      </c>
      <c r="I3134" t="s">
        <v>4046</v>
      </c>
      <c r="J3134" t="s">
        <v>33858</v>
      </c>
      <c r="K3134" t="s">
        <v>41190</v>
      </c>
      <c r="M3134" t="s">
        <v>42058</v>
      </c>
      <c r="N3134" t="s">
        <v>45095</v>
      </c>
      <c r="O3134" t="s">
        <v>45096</v>
      </c>
      <c r="P3134">
        <v>0</v>
      </c>
      <c r="Q3134">
        <v>0</v>
      </c>
      <c r="R3134" t="s">
        <v>45098</v>
      </c>
      <c r="S3134" t="s">
        <v>45223</v>
      </c>
      <c r="T3134" t="s">
        <v>46910</v>
      </c>
      <c r="U3134" t="s">
        <v>50126</v>
      </c>
      <c r="W3134" t="s">
        <v>42058</v>
      </c>
      <c r="X3134" t="s">
        <v>45099</v>
      </c>
    </row>
    <row r="3135" spans="1:24">
      <c r="A3135">
        <f>HYPERLINK("https://www.philgeps.gov.ph/GEPSNONPILOT/Tender/SplashBidNoticeAbstractUI.aspx?menuIndex=3&amp;refID=7044135&amp;Result=3","7044135")</f>
        <v>0</v>
      </c>
      <c r="B3135" t="s">
        <v>260</v>
      </c>
      <c r="C3135" t="s">
        <v>6185</v>
      </c>
      <c r="D3135" t="s">
        <v>18036</v>
      </c>
      <c r="E3135" t="s">
        <v>20968</v>
      </c>
      <c r="F3135" t="s">
        <v>31574</v>
      </c>
      <c r="G3135" t="s">
        <v>31581</v>
      </c>
      <c r="H3135" t="s">
        <v>31590</v>
      </c>
      <c r="I3135" t="s">
        <v>4046</v>
      </c>
      <c r="J3135" t="s">
        <v>33859</v>
      </c>
      <c r="K3135" t="s">
        <v>41196</v>
      </c>
      <c r="M3135" t="s">
        <v>41746</v>
      </c>
      <c r="N3135" t="s">
        <v>45095</v>
      </c>
      <c r="O3135" t="s">
        <v>45096</v>
      </c>
      <c r="P3135">
        <v>0</v>
      </c>
      <c r="Q3135">
        <v>0</v>
      </c>
      <c r="R3135" t="s">
        <v>45098</v>
      </c>
      <c r="S3135" t="s">
        <v>45223</v>
      </c>
      <c r="T3135" t="s">
        <v>46973</v>
      </c>
      <c r="U3135" t="s">
        <v>50127</v>
      </c>
      <c r="W3135" t="s">
        <v>41746</v>
      </c>
      <c r="X3135" t="s">
        <v>45099</v>
      </c>
    </row>
    <row r="3136" spans="1:24">
      <c r="A3136">
        <f>HYPERLINK("https://www.philgeps.gov.ph/GEPSNONPILOT/Tender/SplashBidNoticeAbstractUI.aspx?menuIndex=3&amp;refID=7044134&amp;Result=3","7044134")</f>
        <v>0</v>
      </c>
      <c r="B3136" t="s">
        <v>1069</v>
      </c>
      <c r="C3136" t="s">
        <v>6186</v>
      </c>
      <c r="D3136" t="s">
        <v>18079</v>
      </c>
      <c r="E3136" t="s">
        <v>20969</v>
      </c>
      <c r="F3136" t="s">
        <v>31574</v>
      </c>
      <c r="G3136" t="s">
        <v>31581</v>
      </c>
      <c r="H3136" t="s">
        <v>31590</v>
      </c>
      <c r="I3136" t="s">
        <v>31600</v>
      </c>
      <c r="J3136" t="s">
        <v>33860</v>
      </c>
      <c r="K3136" t="s">
        <v>41190</v>
      </c>
      <c r="M3136" t="s">
        <v>42615</v>
      </c>
      <c r="N3136" t="s">
        <v>45095</v>
      </c>
      <c r="O3136" t="s">
        <v>45096</v>
      </c>
      <c r="P3136">
        <v>0</v>
      </c>
      <c r="Q3136">
        <v>0</v>
      </c>
      <c r="R3136" t="s">
        <v>45098</v>
      </c>
      <c r="S3136" t="s">
        <v>45223</v>
      </c>
      <c r="T3136" t="s">
        <v>47092</v>
      </c>
      <c r="U3136" t="s">
        <v>50128</v>
      </c>
      <c r="W3136" t="s">
        <v>42615</v>
      </c>
      <c r="X3136" t="s">
        <v>45099</v>
      </c>
    </row>
    <row r="3137" spans="1:24">
      <c r="A3137">
        <f>HYPERLINK("https://www.philgeps.gov.ph/GEPSNONPILOT/Tender/SplashBidNoticeAbstractUI.aspx?menuIndex=3&amp;refID=7044132&amp;Result=3","7044132")</f>
        <v>0</v>
      </c>
      <c r="B3137" t="s">
        <v>1123</v>
      </c>
      <c r="C3137" t="s">
        <v>6187</v>
      </c>
      <c r="D3137" t="s">
        <v>18072</v>
      </c>
      <c r="E3137" t="s">
        <v>20970</v>
      </c>
      <c r="F3137" t="s">
        <v>31574</v>
      </c>
      <c r="G3137" t="s">
        <v>31582</v>
      </c>
      <c r="H3137" t="s">
        <v>31591</v>
      </c>
      <c r="I3137" t="s">
        <v>8822</v>
      </c>
      <c r="J3137" t="s">
        <v>33861</v>
      </c>
      <c r="K3137" t="s">
        <v>41298</v>
      </c>
      <c r="M3137" t="s">
        <v>42674</v>
      </c>
      <c r="N3137" t="s">
        <v>45095</v>
      </c>
      <c r="O3137" t="s">
        <v>45096</v>
      </c>
      <c r="P3137">
        <v>0</v>
      </c>
      <c r="Q3137">
        <v>1</v>
      </c>
      <c r="R3137" t="s">
        <v>45098</v>
      </c>
      <c r="S3137" t="s">
        <v>45223</v>
      </c>
      <c r="T3137" t="s">
        <v>47151</v>
      </c>
      <c r="U3137" t="s">
        <v>50129</v>
      </c>
      <c r="W3137" t="s">
        <v>42674</v>
      </c>
      <c r="X3137" t="s">
        <v>45099</v>
      </c>
    </row>
    <row r="3138" spans="1:24">
      <c r="A3138">
        <f>HYPERLINK("https://www.philgeps.gov.ph/GEPSNONPILOT/Tender/SplashBidNoticeAbstractUI.aspx?menuIndex=3&amp;refID=7044142&amp;Result=3","7044142")</f>
        <v>0</v>
      </c>
      <c r="B3138" t="s">
        <v>1121</v>
      </c>
      <c r="C3138" t="s">
        <v>6188</v>
      </c>
      <c r="D3138" t="s">
        <v>18107</v>
      </c>
      <c r="E3138" t="s">
        <v>20971</v>
      </c>
      <c r="F3138" t="s">
        <v>31574</v>
      </c>
      <c r="G3138" t="s">
        <v>31582</v>
      </c>
      <c r="H3138" t="s">
        <v>31591</v>
      </c>
      <c r="I3138" t="s">
        <v>8822</v>
      </c>
      <c r="J3138" t="s">
        <v>33862</v>
      </c>
      <c r="K3138" t="s">
        <v>41234</v>
      </c>
      <c r="L3138" t="s">
        <v>1121</v>
      </c>
      <c r="M3138" t="s">
        <v>42672</v>
      </c>
      <c r="N3138" t="s">
        <v>45095</v>
      </c>
      <c r="O3138" t="s">
        <v>45096</v>
      </c>
      <c r="P3138">
        <v>0</v>
      </c>
      <c r="Q3138">
        <v>0</v>
      </c>
      <c r="R3138" t="s">
        <v>45098</v>
      </c>
      <c r="S3138" t="s">
        <v>45223</v>
      </c>
      <c r="T3138" t="s">
        <v>46919</v>
      </c>
      <c r="U3138" t="s">
        <v>50130</v>
      </c>
      <c r="V3138" t="s">
        <v>60150</v>
      </c>
      <c r="W3138" t="s">
        <v>42672</v>
      </c>
      <c r="X3138" t="s">
        <v>45099</v>
      </c>
    </row>
    <row r="3139" spans="1:24">
      <c r="A3139">
        <f>HYPERLINK("https://www.philgeps.gov.ph/GEPSNONPILOT/Tender/SplashBidNoticeAbstractUI.aspx?menuIndex=3&amp;refID=7044133&amp;Result=3","7044133")</f>
        <v>0</v>
      </c>
      <c r="B3139" t="s">
        <v>135</v>
      </c>
      <c r="C3139" t="s">
        <v>6189</v>
      </c>
      <c r="D3139" t="s">
        <v>18022</v>
      </c>
      <c r="E3139" t="s">
        <v>20972</v>
      </c>
      <c r="F3139" t="s">
        <v>31574</v>
      </c>
      <c r="G3139" t="s">
        <v>31583</v>
      </c>
      <c r="H3139" t="s">
        <v>31590</v>
      </c>
      <c r="I3139" t="s">
        <v>6800</v>
      </c>
      <c r="J3139" t="s">
        <v>33863</v>
      </c>
      <c r="K3139" t="s">
        <v>41184</v>
      </c>
      <c r="M3139" t="s">
        <v>42668</v>
      </c>
      <c r="N3139" t="s">
        <v>45095</v>
      </c>
      <c r="O3139" t="s">
        <v>45096</v>
      </c>
      <c r="P3139">
        <v>0</v>
      </c>
      <c r="Q3139">
        <v>0</v>
      </c>
      <c r="R3139" t="s">
        <v>45098</v>
      </c>
      <c r="S3139" t="s">
        <v>45223</v>
      </c>
      <c r="T3139" t="s">
        <v>47152</v>
      </c>
      <c r="U3139" t="s">
        <v>50131</v>
      </c>
      <c r="W3139" t="s">
        <v>42668</v>
      </c>
      <c r="X3139" t="s">
        <v>45099</v>
      </c>
    </row>
    <row r="3140" spans="1:24">
      <c r="A3140">
        <f>HYPERLINK("https://www.philgeps.gov.ph/GEPSNONPILOT/Tender/SplashBidNoticeAbstractUI.aspx?menuIndex=3&amp;refID=7044131&amp;Result=3","7044131")</f>
        <v>0</v>
      </c>
      <c r="B3140" t="s">
        <v>260</v>
      </c>
      <c r="C3140" t="s">
        <v>6190</v>
      </c>
      <c r="D3140" t="s">
        <v>18036</v>
      </c>
      <c r="E3140" t="s">
        <v>20973</v>
      </c>
      <c r="F3140" t="s">
        <v>31574</v>
      </c>
      <c r="G3140" t="s">
        <v>31581</v>
      </c>
      <c r="H3140" t="s">
        <v>31590</v>
      </c>
      <c r="I3140" t="s">
        <v>4046</v>
      </c>
      <c r="J3140" t="s">
        <v>33864</v>
      </c>
      <c r="K3140" t="s">
        <v>41196</v>
      </c>
      <c r="M3140" t="s">
        <v>41746</v>
      </c>
      <c r="N3140" t="s">
        <v>45095</v>
      </c>
      <c r="O3140" t="s">
        <v>45096</v>
      </c>
      <c r="P3140">
        <v>0</v>
      </c>
      <c r="Q3140">
        <v>0</v>
      </c>
      <c r="R3140" t="s">
        <v>45098</v>
      </c>
      <c r="S3140" t="s">
        <v>45223</v>
      </c>
      <c r="T3140" t="s">
        <v>46973</v>
      </c>
      <c r="U3140" t="s">
        <v>50132</v>
      </c>
      <c r="W3140" t="s">
        <v>41746</v>
      </c>
      <c r="X3140" t="s">
        <v>45099</v>
      </c>
    </row>
    <row r="3141" spans="1:24">
      <c r="A3141">
        <f>HYPERLINK("https://www.philgeps.gov.ph/GEPSNONPILOT/Tender/SplashBidNoticeAbstractUI.aspx?menuIndex=3&amp;refID=7044146&amp;Result=3","7044146")</f>
        <v>0</v>
      </c>
      <c r="B3141" t="s">
        <v>1069</v>
      </c>
      <c r="C3141" t="s">
        <v>6191</v>
      </c>
      <c r="D3141" t="s">
        <v>18079</v>
      </c>
      <c r="E3141" t="s">
        <v>20974</v>
      </c>
      <c r="F3141" t="s">
        <v>31574</v>
      </c>
      <c r="G3141" t="s">
        <v>31581</v>
      </c>
      <c r="H3141" t="s">
        <v>31590</v>
      </c>
      <c r="I3141" t="s">
        <v>31603</v>
      </c>
      <c r="J3141" t="s">
        <v>32371</v>
      </c>
      <c r="K3141" t="s">
        <v>41190</v>
      </c>
      <c r="M3141" t="s">
        <v>42615</v>
      </c>
      <c r="N3141" t="s">
        <v>45095</v>
      </c>
      <c r="O3141" t="s">
        <v>45096</v>
      </c>
      <c r="P3141">
        <v>0</v>
      </c>
      <c r="Q3141">
        <v>4</v>
      </c>
      <c r="R3141" t="s">
        <v>45098</v>
      </c>
      <c r="S3141" t="s">
        <v>45223</v>
      </c>
      <c r="T3141" t="s">
        <v>47092</v>
      </c>
      <c r="U3141" t="s">
        <v>50133</v>
      </c>
      <c r="W3141" t="s">
        <v>42615</v>
      </c>
      <c r="X3141" t="s">
        <v>45099</v>
      </c>
    </row>
    <row r="3142" spans="1:24">
      <c r="A3142">
        <f>HYPERLINK("https://www.philgeps.gov.ph/GEPSNONPILOT/Tender/SplashBidNoticeAbstractUI.aspx?menuIndex=3&amp;refID=7044144&amp;Result=3","7044144")</f>
        <v>0</v>
      </c>
      <c r="B3142" t="s">
        <v>559</v>
      </c>
      <c r="C3142" t="s">
        <v>6192</v>
      </c>
      <c r="D3142" t="s">
        <v>18058</v>
      </c>
      <c r="E3142" t="s">
        <v>20975</v>
      </c>
      <c r="F3142" t="s">
        <v>31574</v>
      </c>
      <c r="G3142" t="s">
        <v>31582</v>
      </c>
      <c r="H3142" t="s">
        <v>31590</v>
      </c>
      <c r="I3142" t="s">
        <v>4046</v>
      </c>
      <c r="J3142" t="s">
        <v>33865</v>
      </c>
      <c r="K3142" t="s">
        <v>41190</v>
      </c>
      <c r="M3142" t="s">
        <v>42058</v>
      </c>
      <c r="N3142" t="s">
        <v>45095</v>
      </c>
      <c r="O3142" t="s">
        <v>45096</v>
      </c>
      <c r="P3142">
        <v>0</v>
      </c>
      <c r="Q3142">
        <v>0</v>
      </c>
      <c r="R3142" t="s">
        <v>45098</v>
      </c>
      <c r="S3142" t="s">
        <v>45223</v>
      </c>
      <c r="T3142" t="s">
        <v>46910</v>
      </c>
      <c r="U3142" t="s">
        <v>50134</v>
      </c>
      <c r="W3142" t="s">
        <v>42058</v>
      </c>
      <c r="X3142" t="s">
        <v>45099</v>
      </c>
    </row>
    <row r="3143" spans="1:24">
      <c r="A3143">
        <f>HYPERLINK("https://www.philgeps.gov.ph/GEPSNONPILOT/Tender/SplashBidNoticeAbstractUI.aspx?menuIndex=3&amp;refID=7044154&amp;Result=3","7044154")</f>
        <v>0</v>
      </c>
      <c r="B3143" t="s">
        <v>1124</v>
      </c>
      <c r="C3143" t="s">
        <v>6193</v>
      </c>
      <c r="D3143" t="s">
        <v>18022</v>
      </c>
      <c r="E3143" t="s">
        <v>20976</v>
      </c>
      <c r="F3143" t="s">
        <v>31574</v>
      </c>
      <c r="G3143" t="s">
        <v>31582</v>
      </c>
      <c r="H3143" t="s">
        <v>31590</v>
      </c>
      <c r="I3143" t="s">
        <v>3487</v>
      </c>
      <c r="J3143" t="s">
        <v>33866</v>
      </c>
      <c r="K3143" t="s">
        <v>41211</v>
      </c>
      <c r="M3143" t="s">
        <v>42675</v>
      </c>
      <c r="N3143" t="s">
        <v>45095</v>
      </c>
      <c r="O3143" t="s">
        <v>45096</v>
      </c>
      <c r="P3143">
        <v>0</v>
      </c>
      <c r="Q3143">
        <v>0</v>
      </c>
      <c r="R3143" t="s">
        <v>45098</v>
      </c>
      <c r="S3143" t="s">
        <v>45223</v>
      </c>
      <c r="T3143" t="s">
        <v>46952</v>
      </c>
      <c r="U3143" t="s">
        <v>50135</v>
      </c>
      <c r="W3143" t="s">
        <v>42675</v>
      </c>
      <c r="X3143" t="s">
        <v>45099</v>
      </c>
    </row>
    <row r="3144" spans="1:24">
      <c r="A3144">
        <f>HYPERLINK("https://www.philgeps.gov.ph/GEPSNONPILOT/Tender/SplashBidNoticeAbstractUI.aspx?menuIndex=3&amp;refID=7044149&amp;Result=3","7044149")</f>
        <v>0</v>
      </c>
      <c r="B3144" t="s">
        <v>1121</v>
      </c>
      <c r="C3144" t="s">
        <v>6194</v>
      </c>
      <c r="D3144" t="s">
        <v>18107</v>
      </c>
      <c r="E3144" t="s">
        <v>20977</v>
      </c>
      <c r="F3144" t="s">
        <v>31574</v>
      </c>
      <c r="G3144" t="s">
        <v>31582</v>
      </c>
      <c r="H3144" t="s">
        <v>31591</v>
      </c>
      <c r="I3144" t="s">
        <v>8822</v>
      </c>
      <c r="J3144" t="s">
        <v>33867</v>
      </c>
      <c r="K3144" t="s">
        <v>41185</v>
      </c>
      <c r="L3144" t="s">
        <v>1121</v>
      </c>
      <c r="M3144" t="s">
        <v>42672</v>
      </c>
      <c r="N3144" t="s">
        <v>45095</v>
      </c>
      <c r="O3144" t="s">
        <v>45096</v>
      </c>
      <c r="P3144">
        <v>0</v>
      </c>
      <c r="Q3144">
        <v>0</v>
      </c>
      <c r="R3144" t="s">
        <v>45098</v>
      </c>
      <c r="S3144" t="s">
        <v>45223</v>
      </c>
      <c r="T3144" t="s">
        <v>46919</v>
      </c>
      <c r="U3144" t="s">
        <v>50136</v>
      </c>
      <c r="V3144" t="s">
        <v>60150</v>
      </c>
      <c r="W3144" t="s">
        <v>42672</v>
      </c>
      <c r="X3144" t="s">
        <v>45099</v>
      </c>
    </row>
    <row r="3145" spans="1:24">
      <c r="A3145">
        <f>HYPERLINK("https://www.philgeps.gov.ph/GEPSNONPILOT/Tender/SplashBidNoticeAbstractUI.aspx?menuIndex=3&amp;refID=7044148&amp;Result=3","7044148")</f>
        <v>0</v>
      </c>
      <c r="B3145" t="s">
        <v>1121</v>
      </c>
      <c r="C3145" t="s">
        <v>6195</v>
      </c>
      <c r="D3145" t="s">
        <v>18107</v>
      </c>
      <c r="E3145" t="s">
        <v>20978</v>
      </c>
      <c r="F3145" t="s">
        <v>31574</v>
      </c>
      <c r="G3145" t="s">
        <v>31582</v>
      </c>
      <c r="H3145" t="s">
        <v>31591</v>
      </c>
      <c r="I3145" t="s">
        <v>8822</v>
      </c>
      <c r="J3145" t="s">
        <v>33868</v>
      </c>
      <c r="K3145" t="s">
        <v>41192</v>
      </c>
      <c r="L3145" t="s">
        <v>1121</v>
      </c>
      <c r="M3145" t="s">
        <v>42672</v>
      </c>
      <c r="N3145" t="s">
        <v>45095</v>
      </c>
      <c r="O3145" t="s">
        <v>45096</v>
      </c>
      <c r="P3145">
        <v>0</v>
      </c>
      <c r="Q3145">
        <v>0</v>
      </c>
      <c r="R3145" t="s">
        <v>45098</v>
      </c>
      <c r="S3145" t="s">
        <v>45223</v>
      </c>
      <c r="T3145" t="s">
        <v>46919</v>
      </c>
      <c r="U3145" t="s">
        <v>50137</v>
      </c>
      <c r="V3145" t="s">
        <v>60150</v>
      </c>
      <c r="W3145" t="s">
        <v>42672</v>
      </c>
      <c r="X3145" t="s">
        <v>45099</v>
      </c>
    </row>
    <row r="3146" spans="1:24">
      <c r="A3146">
        <f>HYPERLINK("https://www.philgeps.gov.ph/GEPSNONPILOT/Tender/SplashBidNoticeAbstractUI.aspx?menuIndex=3&amp;refID=7044147&amp;Result=3","7044147")</f>
        <v>0</v>
      </c>
      <c r="B3146" t="s">
        <v>1069</v>
      </c>
      <c r="C3146" t="s">
        <v>6196</v>
      </c>
      <c r="D3146" t="s">
        <v>18079</v>
      </c>
      <c r="E3146" t="s">
        <v>20979</v>
      </c>
      <c r="F3146" t="s">
        <v>31574</v>
      </c>
      <c r="G3146" t="s">
        <v>31581</v>
      </c>
      <c r="H3146" t="s">
        <v>31590</v>
      </c>
      <c r="I3146" t="s">
        <v>31619</v>
      </c>
      <c r="J3146" t="s">
        <v>33869</v>
      </c>
      <c r="K3146" t="s">
        <v>41190</v>
      </c>
      <c r="M3146" t="s">
        <v>42615</v>
      </c>
      <c r="N3146" t="s">
        <v>45095</v>
      </c>
      <c r="O3146" t="s">
        <v>45096</v>
      </c>
      <c r="P3146">
        <v>0</v>
      </c>
      <c r="Q3146">
        <v>2</v>
      </c>
      <c r="R3146" t="s">
        <v>45098</v>
      </c>
      <c r="S3146" t="s">
        <v>45223</v>
      </c>
      <c r="T3146" t="s">
        <v>47092</v>
      </c>
      <c r="U3146" t="s">
        <v>50138</v>
      </c>
      <c r="W3146" t="s">
        <v>42615</v>
      </c>
      <c r="X3146" t="s">
        <v>45099</v>
      </c>
    </row>
    <row r="3147" spans="1:24">
      <c r="A3147">
        <f>HYPERLINK("https://www.philgeps.gov.ph/GEPSNONPILOT/Tender/SplashBidNoticeAbstractUI.aspx?menuIndex=3&amp;refID=7044158&amp;Result=3","7044158")</f>
        <v>0</v>
      </c>
      <c r="B3147" t="s">
        <v>1125</v>
      </c>
      <c r="C3147" t="s">
        <v>6197</v>
      </c>
      <c r="E3147" t="s">
        <v>20980</v>
      </c>
      <c r="F3147" t="s">
        <v>31574</v>
      </c>
      <c r="G3147" t="s">
        <v>31583</v>
      </c>
      <c r="H3147" t="s">
        <v>31591</v>
      </c>
      <c r="I3147" t="s">
        <v>4046</v>
      </c>
      <c r="J3147" t="s">
        <v>31727</v>
      </c>
      <c r="K3147" t="s">
        <v>41213</v>
      </c>
      <c r="M3147" t="s">
        <v>42676</v>
      </c>
      <c r="N3147" t="s">
        <v>45095</v>
      </c>
      <c r="O3147" t="s">
        <v>45096</v>
      </c>
      <c r="P3147">
        <v>0</v>
      </c>
      <c r="Q3147">
        <v>3</v>
      </c>
      <c r="R3147" t="s">
        <v>45098</v>
      </c>
      <c r="S3147" t="s">
        <v>45223</v>
      </c>
      <c r="T3147" t="s">
        <v>47124</v>
      </c>
      <c r="U3147" t="s">
        <v>50139</v>
      </c>
      <c r="W3147" t="s">
        <v>42676</v>
      </c>
      <c r="X3147" t="s">
        <v>45099</v>
      </c>
    </row>
    <row r="3148" spans="1:24">
      <c r="A3148">
        <f>HYPERLINK("https://www.philgeps.gov.ph/GEPSNONPILOT/Tender/SplashBidNoticeAbstractUI.aspx?menuIndex=3&amp;refID=7044172&amp;Result=3","7044172")</f>
        <v>0</v>
      </c>
      <c r="B3148" t="s">
        <v>559</v>
      </c>
      <c r="C3148" t="s">
        <v>6198</v>
      </c>
      <c r="D3148" t="s">
        <v>18058</v>
      </c>
      <c r="E3148" t="s">
        <v>20981</v>
      </c>
      <c r="F3148" t="s">
        <v>31574</v>
      </c>
      <c r="G3148" t="s">
        <v>31582</v>
      </c>
      <c r="H3148" t="s">
        <v>31590</v>
      </c>
      <c r="I3148" t="s">
        <v>4046</v>
      </c>
      <c r="J3148" t="s">
        <v>33870</v>
      </c>
      <c r="K3148" t="s">
        <v>41190</v>
      </c>
      <c r="M3148" t="s">
        <v>42058</v>
      </c>
      <c r="N3148" t="s">
        <v>45095</v>
      </c>
      <c r="O3148" t="s">
        <v>45096</v>
      </c>
      <c r="P3148">
        <v>0</v>
      </c>
      <c r="Q3148">
        <v>0</v>
      </c>
      <c r="R3148" t="s">
        <v>45098</v>
      </c>
      <c r="S3148" t="s">
        <v>45223</v>
      </c>
      <c r="T3148" t="s">
        <v>46910</v>
      </c>
      <c r="U3148" t="s">
        <v>50140</v>
      </c>
      <c r="W3148" t="s">
        <v>42058</v>
      </c>
      <c r="X3148" t="s">
        <v>45099</v>
      </c>
    </row>
    <row r="3149" spans="1:24">
      <c r="A3149">
        <f>HYPERLINK("https://www.philgeps.gov.ph/GEPSNONPILOT/Tender/SplashBidNoticeAbstractUI.aspx?menuIndex=3&amp;refID=7044170&amp;Result=3","7044170")</f>
        <v>0</v>
      </c>
      <c r="B3149" t="s">
        <v>559</v>
      </c>
      <c r="C3149" t="s">
        <v>6199</v>
      </c>
      <c r="D3149" t="s">
        <v>18058</v>
      </c>
      <c r="E3149" t="s">
        <v>20982</v>
      </c>
      <c r="F3149" t="s">
        <v>31574</v>
      </c>
      <c r="G3149" t="s">
        <v>31582</v>
      </c>
      <c r="H3149" t="s">
        <v>31590</v>
      </c>
      <c r="I3149" t="s">
        <v>4046</v>
      </c>
      <c r="J3149" t="s">
        <v>33871</v>
      </c>
      <c r="K3149" t="s">
        <v>41190</v>
      </c>
      <c r="M3149" t="s">
        <v>42058</v>
      </c>
      <c r="N3149" t="s">
        <v>45095</v>
      </c>
      <c r="O3149" t="s">
        <v>45096</v>
      </c>
      <c r="P3149">
        <v>0</v>
      </c>
      <c r="Q3149">
        <v>1</v>
      </c>
      <c r="R3149" t="s">
        <v>45098</v>
      </c>
      <c r="S3149" t="s">
        <v>45223</v>
      </c>
      <c r="T3149" t="s">
        <v>46910</v>
      </c>
      <c r="U3149" t="s">
        <v>50141</v>
      </c>
      <c r="W3149" t="s">
        <v>42058</v>
      </c>
      <c r="X3149" t="s">
        <v>45099</v>
      </c>
    </row>
    <row r="3150" spans="1:24">
      <c r="A3150">
        <f>HYPERLINK("https://www.philgeps.gov.ph/GEPSNONPILOT/Tender/SplashBidNoticeAbstractUI.aspx?menuIndex=3&amp;refID=7044153&amp;Result=3","7044153")</f>
        <v>0</v>
      </c>
      <c r="B3150" t="s">
        <v>24</v>
      </c>
      <c r="C3150" t="s">
        <v>6200</v>
      </c>
      <c r="D3150" t="s">
        <v>18022</v>
      </c>
      <c r="E3150" t="s">
        <v>20983</v>
      </c>
      <c r="F3150" t="s">
        <v>31574</v>
      </c>
      <c r="G3150" t="s">
        <v>31582</v>
      </c>
      <c r="H3150" t="s">
        <v>31590</v>
      </c>
      <c r="I3150" t="s">
        <v>31636</v>
      </c>
      <c r="J3150" t="s">
        <v>33872</v>
      </c>
      <c r="K3150" t="s">
        <v>41196</v>
      </c>
      <c r="M3150" t="s">
        <v>42670</v>
      </c>
      <c r="N3150" t="s">
        <v>45095</v>
      </c>
      <c r="O3150" t="s">
        <v>45096</v>
      </c>
      <c r="P3150">
        <v>0</v>
      </c>
      <c r="Q3150">
        <v>3</v>
      </c>
      <c r="R3150" t="s">
        <v>45098</v>
      </c>
      <c r="S3150" t="s">
        <v>45223</v>
      </c>
      <c r="T3150" t="s">
        <v>47119</v>
      </c>
      <c r="U3150" t="s">
        <v>50142</v>
      </c>
      <c r="W3150" t="s">
        <v>42670</v>
      </c>
      <c r="X3150" t="s">
        <v>45099</v>
      </c>
    </row>
    <row r="3151" spans="1:24">
      <c r="A3151">
        <f>HYPERLINK("https://www.philgeps.gov.ph/GEPSNONPILOT/Tender/SplashBidNoticeAbstractUI.aspx?menuIndex=3&amp;refID=7044155&amp;Result=3","7044155")</f>
        <v>0</v>
      </c>
      <c r="B3151" t="s">
        <v>1121</v>
      </c>
      <c r="C3151" t="s">
        <v>6201</v>
      </c>
      <c r="D3151" t="s">
        <v>18107</v>
      </c>
      <c r="E3151" t="s">
        <v>20984</v>
      </c>
      <c r="F3151" t="s">
        <v>31574</v>
      </c>
      <c r="G3151" t="s">
        <v>31582</v>
      </c>
      <c r="H3151" t="s">
        <v>31591</v>
      </c>
      <c r="I3151" t="s">
        <v>8822</v>
      </c>
      <c r="J3151" t="s">
        <v>33873</v>
      </c>
      <c r="K3151" t="s">
        <v>41185</v>
      </c>
      <c r="L3151" t="s">
        <v>1121</v>
      </c>
      <c r="M3151" t="s">
        <v>42672</v>
      </c>
      <c r="N3151" t="s">
        <v>45095</v>
      </c>
      <c r="O3151" t="s">
        <v>45096</v>
      </c>
      <c r="P3151">
        <v>0</v>
      </c>
      <c r="Q3151">
        <v>0</v>
      </c>
      <c r="R3151" t="s">
        <v>45098</v>
      </c>
      <c r="S3151" t="s">
        <v>45223</v>
      </c>
      <c r="T3151" t="s">
        <v>46919</v>
      </c>
      <c r="U3151" t="s">
        <v>50143</v>
      </c>
      <c r="V3151" t="s">
        <v>60150</v>
      </c>
      <c r="W3151" t="s">
        <v>42672</v>
      </c>
      <c r="X3151" t="s">
        <v>45099</v>
      </c>
    </row>
    <row r="3152" spans="1:24">
      <c r="A3152">
        <f>HYPERLINK("https://www.philgeps.gov.ph/GEPSNONPILOT/Tender/SplashBidNoticeAbstractUI.aspx?menuIndex=3&amp;refID=7044169&amp;Result=3","7044169")</f>
        <v>0</v>
      </c>
      <c r="B3152" t="s">
        <v>559</v>
      </c>
      <c r="C3152" t="s">
        <v>6202</v>
      </c>
      <c r="D3152" t="s">
        <v>18058</v>
      </c>
      <c r="E3152" t="s">
        <v>20985</v>
      </c>
      <c r="F3152" t="s">
        <v>31574</v>
      </c>
      <c r="G3152" t="s">
        <v>31582</v>
      </c>
      <c r="H3152" t="s">
        <v>31590</v>
      </c>
      <c r="I3152" t="s">
        <v>4046</v>
      </c>
      <c r="J3152" t="s">
        <v>33870</v>
      </c>
      <c r="K3152" t="s">
        <v>41190</v>
      </c>
      <c r="M3152" t="s">
        <v>42058</v>
      </c>
      <c r="N3152" t="s">
        <v>45095</v>
      </c>
      <c r="O3152" t="s">
        <v>45096</v>
      </c>
      <c r="P3152">
        <v>0</v>
      </c>
      <c r="Q3152">
        <v>0</v>
      </c>
      <c r="R3152" t="s">
        <v>45098</v>
      </c>
      <c r="S3152" t="s">
        <v>45223</v>
      </c>
      <c r="T3152" t="s">
        <v>46910</v>
      </c>
      <c r="U3152" t="s">
        <v>50140</v>
      </c>
      <c r="W3152" t="s">
        <v>42058</v>
      </c>
      <c r="X3152" t="s">
        <v>45099</v>
      </c>
    </row>
    <row r="3153" spans="1:24">
      <c r="A3153">
        <f>HYPERLINK("https://www.philgeps.gov.ph/GEPSNONPILOT/Tender/SplashBidNoticeAbstractUI.aspx?menuIndex=3&amp;refID=7044166&amp;Result=3","7044166")</f>
        <v>0</v>
      </c>
      <c r="B3153" t="s">
        <v>24</v>
      </c>
      <c r="C3153" t="s">
        <v>6203</v>
      </c>
      <c r="D3153" t="s">
        <v>18022</v>
      </c>
      <c r="E3153" t="s">
        <v>20986</v>
      </c>
      <c r="F3153" t="s">
        <v>31574</v>
      </c>
      <c r="G3153" t="s">
        <v>31582</v>
      </c>
      <c r="H3153" t="s">
        <v>31590</v>
      </c>
      <c r="I3153" t="s">
        <v>31638</v>
      </c>
      <c r="J3153" t="s">
        <v>32026</v>
      </c>
      <c r="K3153" t="s">
        <v>41193</v>
      </c>
      <c r="M3153" t="s">
        <v>42670</v>
      </c>
      <c r="N3153" t="s">
        <v>45095</v>
      </c>
      <c r="O3153" t="s">
        <v>45096</v>
      </c>
      <c r="P3153">
        <v>0</v>
      </c>
      <c r="Q3153">
        <v>0</v>
      </c>
      <c r="R3153" t="s">
        <v>45098</v>
      </c>
      <c r="S3153" t="s">
        <v>45223</v>
      </c>
      <c r="T3153" t="s">
        <v>47119</v>
      </c>
      <c r="U3153" t="s">
        <v>50144</v>
      </c>
      <c r="W3153" t="s">
        <v>42670</v>
      </c>
      <c r="X3153" t="s">
        <v>45099</v>
      </c>
    </row>
    <row r="3154" spans="1:24">
      <c r="A3154">
        <f>HYPERLINK("https://www.philgeps.gov.ph/GEPSNONPILOT/Tender/SplashBidNoticeAbstractUI.aspx?menuIndex=3&amp;refID=7044161&amp;Result=3","7044161")</f>
        <v>0</v>
      </c>
      <c r="B3154" t="s">
        <v>1126</v>
      </c>
      <c r="C3154" t="s">
        <v>6204</v>
      </c>
      <c r="D3154" t="s">
        <v>18058</v>
      </c>
      <c r="E3154" t="s">
        <v>20987</v>
      </c>
      <c r="F3154" t="s">
        <v>31574</v>
      </c>
      <c r="G3154" t="s">
        <v>31581</v>
      </c>
      <c r="H3154" t="s">
        <v>31590</v>
      </c>
      <c r="I3154" t="s">
        <v>31683</v>
      </c>
      <c r="J3154" t="s">
        <v>31780</v>
      </c>
      <c r="K3154" t="s">
        <v>41186</v>
      </c>
      <c r="M3154" t="s">
        <v>42677</v>
      </c>
      <c r="N3154" t="s">
        <v>45095</v>
      </c>
      <c r="O3154" t="s">
        <v>45096</v>
      </c>
      <c r="P3154">
        <v>0</v>
      </c>
      <c r="Q3154">
        <v>0</v>
      </c>
      <c r="R3154" t="s">
        <v>45098</v>
      </c>
      <c r="S3154" t="s">
        <v>45223</v>
      </c>
      <c r="T3154" t="s">
        <v>46963</v>
      </c>
      <c r="U3154" t="s">
        <v>50145</v>
      </c>
      <c r="W3154" t="s">
        <v>42677</v>
      </c>
      <c r="X3154" t="s">
        <v>45099</v>
      </c>
    </row>
    <row r="3155" spans="1:24">
      <c r="A3155">
        <f>HYPERLINK("https://www.philgeps.gov.ph/GEPSNONPILOT/Tender/SplashBidNoticeAbstractUI.aspx?menuIndex=3&amp;refID=7044165&amp;Result=3","7044165")</f>
        <v>0</v>
      </c>
      <c r="B3155" t="s">
        <v>559</v>
      </c>
      <c r="C3155" t="s">
        <v>6205</v>
      </c>
      <c r="D3155" t="s">
        <v>18058</v>
      </c>
      <c r="E3155" t="s">
        <v>20988</v>
      </c>
      <c r="F3155" t="s">
        <v>31574</v>
      </c>
      <c r="G3155" t="s">
        <v>31582</v>
      </c>
      <c r="H3155" t="s">
        <v>31590</v>
      </c>
      <c r="I3155" t="s">
        <v>4046</v>
      </c>
      <c r="J3155" t="s">
        <v>33874</v>
      </c>
      <c r="K3155" t="s">
        <v>41190</v>
      </c>
      <c r="M3155" t="s">
        <v>42058</v>
      </c>
      <c r="N3155" t="s">
        <v>45095</v>
      </c>
      <c r="O3155" t="s">
        <v>45096</v>
      </c>
      <c r="P3155">
        <v>0</v>
      </c>
      <c r="Q3155">
        <v>0</v>
      </c>
      <c r="R3155" t="s">
        <v>45098</v>
      </c>
      <c r="S3155" t="s">
        <v>45223</v>
      </c>
      <c r="T3155" t="s">
        <v>46910</v>
      </c>
      <c r="U3155" t="s">
        <v>50146</v>
      </c>
      <c r="W3155" t="s">
        <v>42058</v>
      </c>
      <c r="X3155" t="s">
        <v>45099</v>
      </c>
    </row>
    <row r="3156" spans="1:24">
      <c r="A3156">
        <f>HYPERLINK("https://www.philgeps.gov.ph/GEPSNONPILOT/Tender/SplashBidNoticeAbstractUI.aspx?menuIndex=3&amp;refID=7044151&amp;Result=3","7044151")</f>
        <v>0</v>
      </c>
      <c r="B3156" t="s">
        <v>1124</v>
      </c>
      <c r="C3156" t="s">
        <v>6206</v>
      </c>
      <c r="D3156" t="s">
        <v>18022</v>
      </c>
      <c r="E3156" t="s">
        <v>20989</v>
      </c>
      <c r="F3156" t="s">
        <v>31574</v>
      </c>
      <c r="G3156" t="s">
        <v>31582</v>
      </c>
      <c r="H3156" t="s">
        <v>31590</v>
      </c>
      <c r="I3156" t="s">
        <v>3487</v>
      </c>
      <c r="J3156" t="s">
        <v>33866</v>
      </c>
      <c r="K3156" t="s">
        <v>41211</v>
      </c>
      <c r="M3156" t="s">
        <v>42675</v>
      </c>
      <c r="N3156" t="s">
        <v>45095</v>
      </c>
      <c r="O3156" t="s">
        <v>45096</v>
      </c>
      <c r="P3156">
        <v>0</v>
      </c>
      <c r="Q3156">
        <v>1</v>
      </c>
      <c r="R3156" t="s">
        <v>45098</v>
      </c>
      <c r="S3156" t="s">
        <v>45223</v>
      </c>
      <c r="T3156" t="s">
        <v>46935</v>
      </c>
      <c r="U3156" t="s">
        <v>50147</v>
      </c>
      <c r="W3156" t="s">
        <v>42675</v>
      </c>
      <c r="X3156" t="s">
        <v>45099</v>
      </c>
    </row>
    <row r="3157" spans="1:24">
      <c r="A3157">
        <f>HYPERLINK("https://www.philgeps.gov.ph/GEPSNONPILOT/Tender/SplashBidNoticeAbstractUI.aspx?menuIndex=3&amp;refID=7044162&amp;Result=3","7044162")</f>
        <v>0</v>
      </c>
      <c r="B3157" t="s">
        <v>559</v>
      </c>
      <c r="C3157" t="s">
        <v>6207</v>
      </c>
      <c r="D3157" t="s">
        <v>18058</v>
      </c>
      <c r="E3157" t="s">
        <v>20990</v>
      </c>
      <c r="F3157" t="s">
        <v>31574</v>
      </c>
      <c r="G3157" t="s">
        <v>31582</v>
      </c>
      <c r="H3157" t="s">
        <v>31590</v>
      </c>
      <c r="I3157" t="s">
        <v>4046</v>
      </c>
      <c r="J3157" t="s">
        <v>33875</v>
      </c>
      <c r="K3157" t="s">
        <v>41190</v>
      </c>
      <c r="M3157" t="s">
        <v>42058</v>
      </c>
      <c r="N3157" t="s">
        <v>45095</v>
      </c>
      <c r="O3157" t="s">
        <v>45096</v>
      </c>
      <c r="P3157">
        <v>0</v>
      </c>
      <c r="Q3157">
        <v>0</v>
      </c>
      <c r="R3157" t="s">
        <v>45098</v>
      </c>
      <c r="S3157" t="s">
        <v>45223</v>
      </c>
      <c r="T3157" t="s">
        <v>46910</v>
      </c>
      <c r="U3157" t="s">
        <v>50148</v>
      </c>
      <c r="W3157" t="s">
        <v>42058</v>
      </c>
      <c r="X3157" t="s">
        <v>45099</v>
      </c>
    </row>
    <row r="3158" spans="1:24">
      <c r="A3158">
        <f>HYPERLINK("https://www.philgeps.gov.ph/GEPSNONPILOT/Tender/SplashBidNoticeAbstractUI.aspx?menuIndex=3&amp;refID=7044157&amp;Result=3","7044157")</f>
        <v>0</v>
      </c>
      <c r="B3158" t="s">
        <v>1069</v>
      </c>
      <c r="C3158" t="s">
        <v>6208</v>
      </c>
      <c r="D3158" t="s">
        <v>18079</v>
      </c>
      <c r="E3158" t="s">
        <v>20991</v>
      </c>
      <c r="F3158" t="s">
        <v>31574</v>
      </c>
      <c r="G3158" t="s">
        <v>31581</v>
      </c>
      <c r="H3158" t="s">
        <v>31590</v>
      </c>
      <c r="I3158" t="s">
        <v>3489</v>
      </c>
      <c r="J3158" t="s">
        <v>33876</v>
      </c>
      <c r="K3158" t="s">
        <v>41190</v>
      </c>
      <c r="M3158" t="s">
        <v>42615</v>
      </c>
      <c r="N3158" t="s">
        <v>45095</v>
      </c>
      <c r="O3158" t="s">
        <v>45096</v>
      </c>
      <c r="P3158">
        <v>0</v>
      </c>
      <c r="Q3158">
        <v>0</v>
      </c>
      <c r="R3158" t="s">
        <v>45098</v>
      </c>
      <c r="S3158" t="s">
        <v>45223</v>
      </c>
      <c r="T3158" t="s">
        <v>47092</v>
      </c>
      <c r="U3158" t="s">
        <v>50149</v>
      </c>
      <c r="W3158" t="s">
        <v>42615</v>
      </c>
      <c r="X3158" t="s">
        <v>45099</v>
      </c>
    </row>
    <row r="3159" spans="1:24">
      <c r="A3159">
        <f>HYPERLINK("https://www.philgeps.gov.ph/GEPSNONPILOT/Tender/SplashBidNoticeAbstractUI.aspx?menuIndex=3&amp;refID=7044168&amp;Result=3","7044168")</f>
        <v>0</v>
      </c>
      <c r="B3159" t="s">
        <v>1069</v>
      </c>
      <c r="C3159" t="s">
        <v>6209</v>
      </c>
      <c r="D3159" t="s">
        <v>18079</v>
      </c>
      <c r="E3159" t="s">
        <v>20992</v>
      </c>
      <c r="F3159" t="s">
        <v>31574</v>
      </c>
      <c r="G3159" t="s">
        <v>31581</v>
      </c>
      <c r="H3159" t="s">
        <v>31590</v>
      </c>
      <c r="I3159" t="s">
        <v>31631</v>
      </c>
      <c r="J3159" t="s">
        <v>33192</v>
      </c>
      <c r="K3159" t="s">
        <v>41190</v>
      </c>
      <c r="M3159" t="s">
        <v>42615</v>
      </c>
      <c r="N3159" t="s">
        <v>45095</v>
      </c>
      <c r="O3159" t="s">
        <v>45096</v>
      </c>
      <c r="P3159">
        <v>0</v>
      </c>
      <c r="Q3159">
        <v>0</v>
      </c>
      <c r="R3159" t="s">
        <v>45098</v>
      </c>
      <c r="S3159" t="s">
        <v>45223</v>
      </c>
      <c r="T3159" t="s">
        <v>47092</v>
      </c>
      <c r="U3159" t="s">
        <v>50150</v>
      </c>
      <c r="W3159" t="s">
        <v>42615</v>
      </c>
      <c r="X3159" t="s">
        <v>45099</v>
      </c>
    </row>
    <row r="3160" spans="1:24">
      <c r="A3160">
        <f>HYPERLINK("https://www.philgeps.gov.ph/GEPSNONPILOT/Tender/SplashBidNoticeAbstractUI.aspx?menuIndex=3&amp;refID=7044182&amp;Result=3","7044182")</f>
        <v>0</v>
      </c>
      <c r="B3160" t="s">
        <v>1121</v>
      </c>
      <c r="C3160" t="s">
        <v>6210</v>
      </c>
      <c r="D3160" t="s">
        <v>18107</v>
      </c>
      <c r="E3160" t="s">
        <v>20993</v>
      </c>
      <c r="F3160" t="s">
        <v>31574</v>
      </c>
      <c r="G3160" t="s">
        <v>31582</v>
      </c>
      <c r="H3160" t="s">
        <v>31591</v>
      </c>
      <c r="I3160" t="s">
        <v>8822</v>
      </c>
      <c r="J3160" t="s">
        <v>33846</v>
      </c>
      <c r="K3160" t="s">
        <v>41233</v>
      </c>
      <c r="L3160" t="s">
        <v>1121</v>
      </c>
      <c r="M3160" t="s">
        <v>42672</v>
      </c>
      <c r="N3160" t="s">
        <v>45095</v>
      </c>
      <c r="O3160" t="s">
        <v>45096</v>
      </c>
      <c r="P3160">
        <v>0</v>
      </c>
      <c r="Q3160">
        <v>0</v>
      </c>
      <c r="R3160" t="s">
        <v>45098</v>
      </c>
      <c r="S3160" t="s">
        <v>45223</v>
      </c>
      <c r="T3160" t="s">
        <v>46919</v>
      </c>
      <c r="U3160" t="s">
        <v>50151</v>
      </c>
      <c r="V3160" t="s">
        <v>60150</v>
      </c>
      <c r="W3160" t="s">
        <v>42672</v>
      </c>
      <c r="X3160" t="s">
        <v>45099</v>
      </c>
    </row>
    <row r="3161" spans="1:24">
      <c r="A3161">
        <f>HYPERLINK("https://www.philgeps.gov.ph/GEPSNONPILOT/Tender/SplashBidNoticeAbstractUI.aspx?menuIndex=3&amp;refID=7044173&amp;Result=3","7044173")</f>
        <v>0</v>
      </c>
      <c r="B3161" t="s">
        <v>1069</v>
      </c>
      <c r="C3161" t="s">
        <v>6211</v>
      </c>
      <c r="D3161" t="s">
        <v>18079</v>
      </c>
      <c r="E3161" t="s">
        <v>20994</v>
      </c>
      <c r="F3161" t="s">
        <v>31574</v>
      </c>
      <c r="G3161" t="s">
        <v>31581</v>
      </c>
      <c r="H3161" t="s">
        <v>31590</v>
      </c>
      <c r="I3161" t="s">
        <v>3489</v>
      </c>
      <c r="J3161" t="s">
        <v>31726</v>
      </c>
      <c r="K3161" t="s">
        <v>41190</v>
      </c>
      <c r="M3161" t="s">
        <v>42615</v>
      </c>
      <c r="N3161" t="s">
        <v>45095</v>
      </c>
      <c r="O3161" t="s">
        <v>45096</v>
      </c>
      <c r="P3161">
        <v>0</v>
      </c>
      <c r="Q3161">
        <v>0</v>
      </c>
      <c r="R3161" t="s">
        <v>45098</v>
      </c>
      <c r="S3161" t="s">
        <v>45223</v>
      </c>
      <c r="T3161" t="s">
        <v>47092</v>
      </c>
      <c r="U3161" t="s">
        <v>50152</v>
      </c>
      <c r="W3161" t="s">
        <v>42615</v>
      </c>
      <c r="X3161" t="s">
        <v>45099</v>
      </c>
    </row>
    <row r="3162" spans="1:24">
      <c r="A3162">
        <f>HYPERLINK("https://www.philgeps.gov.ph/GEPSNONPILOT/Tender/SplashBidNoticeAbstractUI.aspx?menuIndex=3&amp;refID=7044181&amp;Result=3","7044181")</f>
        <v>0</v>
      </c>
      <c r="B3162" t="s">
        <v>1127</v>
      </c>
      <c r="C3162" t="s">
        <v>6212</v>
      </c>
      <c r="D3162" t="s">
        <v>18065</v>
      </c>
      <c r="E3162" t="s">
        <v>20995</v>
      </c>
      <c r="F3162" t="s">
        <v>31574</v>
      </c>
      <c r="G3162" t="s">
        <v>31583</v>
      </c>
      <c r="H3162" t="s">
        <v>31590</v>
      </c>
      <c r="I3162" t="s">
        <v>4046</v>
      </c>
      <c r="J3162" t="s">
        <v>33877</v>
      </c>
      <c r="K3162" t="s">
        <v>41196</v>
      </c>
      <c r="M3162" t="s">
        <v>42678</v>
      </c>
      <c r="N3162" t="s">
        <v>45095</v>
      </c>
      <c r="O3162" t="s">
        <v>45096</v>
      </c>
      <c r="P3162">
        <v>0</v>
      </c>
      <c r="Q3162">
        <v>0</v>
      </c>
      <c r="R3162" t="s">
        <v>45098</v>
      </c>
      <c r="S3162" t="s">
        <v>45223</v>
      </c>
      <c r="T3162" t="s">
        <v>46917</v>
      </c>
      <c r="U3162" t="s">
        <v>50153</v>
      </c>
      <c r="W3162" t="s">
        <v>42678</v>
      </c>
      <c r="X3162" t="s">
        <v>45099</v>
      </c>
    </row>
    <row r="3163" spans="1:24">
      <c r="A3163">
        <f>HYPERLINK("https://www.philgeps.gov.ph/GEPSNONPILOT/Tender/SplashBidNoticeAbstractUI.aspx?menuIndex=3&amp;refID=7044185&amp;Result=3","7044185")</f>
        <v>0</v>
      </c>
      <c r="B3163" t="s">
        <v>1069</v>
      </c>
      <c r="C3163" t="s">
        <v>6213</v>
      </c>
      <c r="D3163" t="s">
        <v>18079</v>
      </c>
      <c r="E3163" t="s">
        <v>20996</v>
      </c>
      <c r="F3163" t="s">
        <v>31574</v>
      </c>
      <c r="G3163" t="s">
        <v>31581</v>
      </c>
      <c r="H3163" t="s">
        <v>31590</v>
      </c>
      <c r="I3163" t="s">
        <v>31605</v>
      </c>
      <c r="J3163" t="s">
        <v>33878</v>
      </c>
      <c r="K3163" t="s">
        <v>41190</v>
      </c>
      <c r="M3163" t="s">
        <v>42615</v>
      </c>
      <c r="N3163" t="s">
        <v>45095</v>
      </c>
      <c r="O3163" t="s">
        <v>45096</v>
      </c>
      <c r="P3163">
        <v>0</v>
      </c>
      <c r="Q3163">
        <v>3</v>
      </c>
      <c r="R3163" t="s">
        <v>45098</v>
      </c>
      <c r="S3163" t="s">
        <v>45223</v>
      </c>
      <c r="T3163" t="s">
        <v>47092</v>
      </c>
      <c r="U3163" t="s">
        <v>50154</v>
      </c>
      <c r="W3163" t="s">
        <v>42615</v>
      </c>
      <c r="X3163" t="s">
        <v>45099</v>
      </c>
    </row>
    <row r="3164" spans="1:24">
      <c r="A3164">
        <f>HYPERLINK("https://www.philgeps.gov.ph/GEPSNONPILOT/Tender/SplashBidNoticeAbstractUI.aspx?menuIndex=3&amp;refID=7044184&amp;Result=3","7044184")</f>
        <v>0</v>
      </c>
      <c r="B3164" t="s">
        <v>1128</v>
      </c>
      <c r="C3164" t="s">
        <v>6214</v>
      </c>
      <c r="D3164" t="s">
        <v>18022</v>
      </c>
      <c r="E3164" t="s">
        <v>20997</v>
      </c>
      <c r="F3164" t="s">
        <v>31574</v>
      </c>
      <c r="G3164" t="s">
        <v>31582</v>
      </c>
      <c r="H3164" t="s">
        <v>31590</v>
      </c>
      <c r="I3164" t="s">
        <v>31602</v>
      </c>
      <c r="J3164" t="s">
        <v>33879</v>
      </c>
      <c r="K3164" t="s">
        <v>41299</v>
      </c>
      <c r="M3164" t="s">
        <v>42679</v>
      </c>
      <c r="N3164" t="s">
        <v>45095</v>
      </c>
      <c r="O3164" t="s">
        <v>45096</v>
      </c>
      <c r="P3164">
        <v>0</v>
      </c>
      <c r="Q3164">
        <v>0</v>
      </c>
      <c r="R3164" t="s">
        <v>45098</v>
      </c>
      <c r="S3164" t="s">
        <v>45223</v>
      </c>
      <c r="T3164" t="s">
        <v>46908</v>
      </c>
      <c r="U3164" t="s">
        <v>50155</v>
      </c>
      <c r="V3164" t="s">
        <v>60151</v>
      </c>
      <c r="W3164" t="s">
        <v>42679</v>
      </c>
      <c r="X3164" t="s">
        <v>45099</v>
      </c>
    </row>
    <row r="3165" spans="1:24">
      <c r="A3165">
        <f>HYPERLINK("https://www.philgeps.gov.ph/GEPSNONPILOT/Tender/SplashBidNoticeAbstractUI.aspx?menuIndex=3&amp;refID=7044192&amp;Result=3","7044192")</f>
        <v>0</v>
      </c>
      <c r="B3165" t="s">
        <v>1127</v>
      </c>
      <c r="C3165" t="s">
        <v>6215</v>
      </c>
      <c r="D3165" t="s">
        <v>18065</v>
      </c>
      <c r="E3165" t="s">
        <v>20998</v>
      </c>
      <c r="F3165" t="s">
        <v>31574</v>
      </c>
      <c r="G3165" t="s">
        <v>31583</v>
      </c>
      <c r="H3165" t="s">
        <v>31590</v>
      </c>
      <c r="I3165" t="s">
        <v>4046</v>
      </c>
      <c r="J3165" t="s">
        <v>33880</v>
      </c>
      <c r="K3165" t="s">
        <v>41196</v>
      </c>
      <c r="M3165" t="s">
        <v>42678</v>
      </c>
      <c r="N3165" t="s">
        <v>45095</v>
      </c>
      <c r="O3165" t="s">
        <v>45096</v>
      </c>
      <c r="P3165">
        <v>0</v>
      </c>
      <c r="Q3165">
        <v>0</v>
      </c>
      <c r="R3165" t="s">
        <v>45098</v>
      </c>
      <c r="S3165" t="s">
        <v>45223</v>
      </c>
      <c r="T3165" t="s">
        <v>46917</v>
      </c>
      <c r="U3165" t="s">
        <v>50153</v>
      </c>
      <c r="W3165" t="s">
        <v>42678</v>
      </c>
      <c r="X3165" t="s">
        <v>45099</v>
      </c>
    </row>
    <row r="3166" spans="1:24">
      <c r="A3166">
        <f>HYPERLINK("https://www.philgeps.gov.ph/GEPSNONPILOT/Tender/SplashBidNoticeAbstractUI.aspx?menuIndex=3&amp;refID=7044191&amp;Result=3","7044191")</f>
        <v>0</v>
      </c>
      <c r="B3166" t="s">
        <v>1121</v>
      </c>
      <c r="C3166" t="s">
        <v>6216</v>
      </c>
      <c r="D3166" t="s">
        <v>18107</v>
      </c>
      <c r="E3166" t="s">
        <v>20999</v>
      </c>
      <c r="F3166" t="s">
        <v>31574</v>
      </c>
      <c r="G3166" t="s">
        <v>31582</v>
      </c>
      <c r="H3166" t="s">
        <v>31591</v>
      </c>
      <c r="I3166" t="s">
        <v>8822</v>
      </c>
      <c r="J3166" t="s">
        <v>33881</v>
      </c>
      <c r="K3166" t="s">
        <v>41185</v>
      </c>
      <c r="L3166" t="s">
        <v>1121</v>
      </c>
      <c r="M3166" t="s">
        <v>42672</v>
      </c>
      <c r="N3166" t="s">
        <v>45095</v>
      </c>
      <c r="O3166" t="s">
        <v>45096</v>
      </c>
      <c r="P3166">
        <v>0</v>
      </c>
      <c r="Q3166">
        <v>0</v>
      </c>
      <c r="R3166" t="s">
        <v>45098</v>
      </c>
      <c r="S3166" t="s">
        <v>45223</v>
      </c>
      <c r="T3166" t="s">
        <v>46919</v>
      </c>
      <c r="U3166" t="s">
        <v>50156</v>
      </c>
      <c r="V3166" t="s">
        <v>60150</v>
      </c>
      <c r="W3166" t="s">
        <v>42672</v>
      </c>
      <c r="X3166" t="s">
        <v>45099</v>
      </c>
    </row>
    <row r="3167" spans="1:24">
      <c r="A3167">
        <f>HYPERLINK("https://www.philgeps.gov.ph/GEPSNONPILOT/Tender/SplashBidNoticeAbstractUI.aspx?menuIndex=3&amp;refID=7044180&amp;Result=3","7044180")</f>
        <v>0</v>
      </c>
      <c r="B3167" t="s">
        <v>1069</v>
      </c>
      <c r="C3167" t="s">
        <v>6217</v>
      </c>
      <c r="D3167" t="s">
        <v>18079</v>
      </c>
      <c r="E3167" t="s">
        <v>21000</v>
      </c>
      <c r="F3167" t="s">
        <v>31574</v>
      </c>
      <c r="G3167" t="s">
        <v>31581</v>
      </c>
      <c r="H3167" t="s">
        <v>31590</v>
      </c>
      <c r="I3167" t="s">
        <v>31607</v>
      </c>
      <c r="J3167" t="s">
        <v>33882</v>
      </c>
      <c r="K3167" t="s">
        <v>41190</v>
      </c>
      <c r="M3167" t="s">
        <v>42615</v>
      </c>
      <c r="N3167" t="s">
        <v>45095</v>
      </c>
      <c r="O3167" t="s">
        <v>45096</v>
      </c>
      <c r="P3167">
        <v>0</v>
      </c>
      <c r="Q3167">
        <v>0</v>
      </c>
      <c r="R3167" t="s">
        <v>45098</v>
      </c>
      <c r="S3167" t="s">
        <v>45223</v>
      </c>
      <c r="T3167" t="s">
        <v>47092</v>
      </c>
      <c r="U3167" t="s">
        <v>50157</v>
      </c>
      <c r="W3167" t="s">
        <v>42615</v>
      </c>
      <c r="X3167" t="s">
        <v>45099</v>
      </c>
    </row>
    <row r="3168" spans="1:24">
      <c r="A3168">
        <f>HYPERLINK("https://www.philgeps.gov.ph/GEPSNONPILOT/Tender/SplashBidNoticeAbstractUI.aspx?menuIndex=3&amp;refID=7044196&amp;Result=3","7044196")</f>
        <v>0</v>
      </c>
      <c r="B3168" t="s">
        <v>1069</v>
      </c>
      <c r="C3168" t="s">
        <v>6218</v>
      </c>
      <c r="D3168" t="s">
        <v>18079</v>
      </c>
      <c r="E3168" t="s">
        <v>21001</v>
      </c>
      <c r="F3168" t="s">
        <v>31574</v>
      </c>
      <c r="G3168" t="s">
        <v>31581</v>
      </c>
      <c r="H3168" t="s">
        <v>31590</v>
      </c>
      <c r="I3168" t="s">
        <v>14544</v>
      </c>
      <c r="J3168" t="s">
        <v>33125</v>
      </c>
      <c r="K3168" t="s">
        <v>41190</v>
      </c>
      <c r="M3168" t="s">
        <v>42615</v>
      </c>
      <c r="N3168" t="s">
        <v>45095</v>
      </c>
      <c r="O3168" t="s">
        <v>45096</v>
      </c>
      <c r="P3168">
        <v>0</v>
      </c>
      <c r="Q3168">
        <v>2</v>
      </c>
      <c r="R3168" t="s">
        <v>45098</v>
      </c>
      <c r="S3168" t="s">
        <v>45223</v>
      </c>
      <c r="T3168" t="s">
        <v>47092</v>
      </c>
      <c r="U3168" t="s">
        <v>50158</v>
      </c>
      <c r="W3168" t="s">
        <v>42615</v>
      </c>
      <c r="X3168" t="s">
        <v>45099</v>
      </c>
    </row>
    <row r="3169" spans="1:24">
      <c r="A3169">
        <f>HYPERLINK("https://www.philgeps.gov.ph/GEPSNONPILOT/Tender/SplashBidNoticeAbstractUI.aspx?menuIndex=3&amp;refID=7044171&amp;Result=3","7044171")</f>
        <v>0</v>
      </c>
      <c r="B3169" t="s">
        <v>1127</v>
      </c>
      <c r="C3169" t="s">
        <v>6219</v>
      </c>
      <c r="D3169" t="s">
        <v>18065</v>
      </c>
      <c r="E3169" t="s">
        <v>21002</v>
      </c>
      <c r="F3169" t="s">
        <v>31574</v>
      </c>
      <c r="G3169" t="s">
        <v>31581</v>
      </c>
      <c r="H3169" t="s">
        <v>31590</v>
      </c>
      <c r="I3169" t="s">
        <v>4046</v>
      </c>
      <c r="J3169" t="s">
        <v>32611</v>
      </c>
      <c r="K3169" t="s">
        <v>41196</v>
      </c>
      <c r="M3169" t="s">
        <v>42678</v>
      </c>
      <c r="N3169" t="s">
        <v>45095</v>
      </c>
      <c r="O3169" t="s">
        <v>45096</v>
      </c>
      <c r="P3169">
        <v>0</v>
      </c>
      <c r="Q3169">
        <v>0</v>
      </c>
      <c r="R3169" t="s">
        <v>45098</v>
      </c>
      <c r="S3169" t="s">
        <v>45223</v>
      </c>
      <c r="T3169" t="s">
        <v>46917</v>
      </c>
      <c r="U3169" t="s">
        <v>50153</v>
      </c>
      <c r="W3169" t="s">
        <v>42678</v>
      </c>
      <c r="X3169" t="s">
        <v>45099</v>
      </c>
    </row>
    <row r="3170" spans="1:24">
      <c r="A3170">
        <f>HYPERLINK("https://www.philgeps.gov.ph/GEPSNONPILOT/Tender/SplashBidNoticeAbstractUI.aspx?menuIndex=3&amp;refID=7044193&amp;Result=3","7044193")</f>
        <v>0</v>
      </c>
      <c r="B3170" t="s">
        <v>1069</v>
      </c>
      <c r="C3170" t="s">
        <v>6220</v>
      </c>
      <c r="D3170" t="s">
        <v>18079</v>
      </c>
      <c r="E3170" t="s">
        <v>21003</v>
      </c>
      <c r="F3170" t="s">
        <v>31574</v>
      </c>
      <c r="G3170" t="s">
        <v>31581</v>
      </c>
      <c r="H3170" t="s">
        <v>31590</v>
      </c>
      <c r="I3170" t="s">
        <v>31619</v>
      </c>
      <c r="J3170" t="s">
        <v>33883</v>
      </c>
      <c r="K3170" t="s">
        <v>41190</v>
      </c>
      <c r="M3170" t="s">
        <v>42615</v>
      </c>
      <c r="N3170" t="s">
        <v>45095</v>
      </c>
      <c r="O3170" t="s">
        <v>45096</v>
      </c>
      <c r="P3170">
        <v>0</v>
      </c>
      <c r="Q3170">
        <v>3</v>
      </c>
      <c r="R3170" t="s">
        <v>45098</v>
      </c>
      <c r="S3170" t="s">
        <v>45223</v>
      </c>
      <c r="T3170" t="s">
        <v>47092</v>
      </c>
      <c r="U3170" t="s">
        <v>50159</v>
      </c>
      <c r="W3170" t="s">
        <v>42615</v>
      </c>
      <c r="X3170" t="s">
        <v>45099</v>
      </c>
    </row>
    <row r="3171" spans="1:24">
      <c r="A3171">
        <f>HYPERLINK("https://www.philgeps.gov.ph/GEPSNONPILOT/Tender/SplashBidNoticeAbstractUI.aspx?menuIndex=3&amp;refID=7044190&amp;Result=3","7044190")</f>
        <v>0</v>
      </c>
      <c r="B3171" t="s">
        <v>1069</v>
      </c>
      <c r="C3171" t="s">
        <v>6221</v>
      </c>
      <c r="D3171" t="s">
        <v>18079</v>
      </c>
      <c r="E3171" t="s">
        <v>21004</v>
      </c>
      <c r="F3171" t="s">
        <v>31574</v>
      </c>
      <c r="G3171" t="s">
        <v>31581</v>
      </c>
      <c r="H3171" t="s">
        <v>31590</v>
      </c>
      <c r="I3171" t="s">
        <v>14544</v>
      </c>
      <c r="J3171" t="s">
        <v>32931</v>
      </c>
      <c r="K3171" t="s">
        <v>41190</v>
      </c>
      <c r="M3171" t="s">
        <v>42615</v>
      </c>
      <c r="N3171" t="s">
        <v>45095</v>
      </c>
      <c r="O3171" t="s">
        <v>45096</v>
      </c>
      <c r="P3171">
        <v>0</v>
      </c>
      <c r="Q3171">
        <v>1</v>
      </c>
      <c r="R3171" t="s">
        <v>45098</v>
      </c>
      <c r="S3171" t="s">
        <v>45223</v>
      </c>
      <c r="T3171" t="s">
        <v>47092</v>
      </c>
      <c r="U3171" t="s">
        <v>50160</v>
      </c>
      <c r="W3171" t="s">
        <v>42615</v>
      </c>
      <c r="X3171" t="s">
        <v>45099</v>
      </c>
    </row>
    <row r="3172" spans="1:24">
      <c r="A3172">
        <f>HYPERLINK("https://www.philgeps.gov.ph/GEPSNONPILOT/Tender/SplashBidNoticeAbstractUI.aspx?menuIndex=3&amp;refID=7044160&amp;Result=3","7044160")</f>
        <v>0</v>
      </c>
      <c r="B3172" t="s">
        <v>1121</v>
      </c>
      <c r="C3172" t="s">
        <v>6222</v>
      </c>
      <c r="D3172" t="s">
        <v>18107</v>
      </c>
      <c r="E3172" t="s">
        <v>21005</v>
      </c>
      <c r="F3172" t="s">
        <v>31574</v>
      </c>
      <c r="G3172" t="s">
        <v>31582</v>
      </c>
      <c r="H3172" t="s">
        <v>31591</v>
      </c>
      <c r="I3172" t="s">
        <v>8822</v>
      </c>
      <c r="J3172" t="s">
        <v>33884</v>
      </c>
      <c r="K3172" t="s">
        <v>41185</v>
      </c>
      <c r="L3172" t="s">
        <v>1121</v>
      </c>
      <c r="M3172" t="s">
        <v>42672</v>
      </c>
      <c r="N3172" t="s">
        <v>45095</v>
      </c>
      <c r="O3172" t="s">
        <v>45096</v>
      </c>
      <c r="P3172">
        <v>0</v>
      </c>
      <c r="Q3172">
        <v>0</v>
      </c>
      <c r="R3172" t="s">
        <v>45098</v>
      </c>
      <c r="S3172" t="s">
        <v>45223</v>
      </c>
      <c r="T3172" t="s">
        <v>46919</v>
      </c>
      <c r="U3172" t="s">
        <v>50161</v>
      </c>
      <c r="V3172" t="s">
        <v>60150</v>
      </c>
      <c r="W3172" t="s">
        <v>42672</v>
      </c>
      <c r="X3172" t="s">
        <v>45099</v>
      </c>
    </row>
    <row r="3173" spans="1:24">
      <c r="A3173">
        <f>HYPERLINK("https://www.philgeps.gov.ph/GEPSNONPILOT/Tender/SplashBidNoticeAbstractUI.aspx?menuIndex=3&amp;refID=7044195&amp;Result=3","7044195")</f>
        <v>0</v>
      </c>
      <c r="B3173" t="s">
        <v>1127</v>
      </c>
      <c r="C3173" t="s">
        <v>6223</v>
      </c>
      <c r="D3173" t="s">
        <v>18065</v>
      </c>
      <c r="E3173" t="s">
        <v>21006</v>
      </c>
      <c r="F3173" t="s">
        <v>31574</v>
      </c>
      <c r="G3173" t="s">
        <v>31583</v>
      </c>
      <c r="H3173" t="s">
        <v>31590</v>
      </c>
      <c r="I3173" t="s">
        <v>4046</v>
      </c>
      <c r="J3173" t="s">
        <v>33885</v>
      </c>
      <c r="K3173" t="s">
        <v>41196</v>
      </c>
      <c r="M3173" t="s">
        <v>42678</v>
      </c>
      <c r="N3173" t="s">
        <v>45095</v>
      </c>
      <c r="O3173" t="s">
        <v>45096</v>
      </c>
      <c r="P3173">
        <v>0</v>
      </c>
      <c r="Q3173">
        <v>0</v>
      </c>
      <c r="R3173" t="s">
        <v>45098</v>
      </c>
      <c r="S3173" t="s">
        <v>45223</v>
      </c>
      <c r="T3173" t="s">
        <v>46917</v>
      </c>
      <c r="U3173" t="s">
        <v>50153</v>
      </c>
      <c r="W3173" t="s">
        <v>42678</v>
      </c>
      <c r="X3173" t="s">
        <v>45099</v>
      </c>
    </row>
    <row r="3174" spans="1:24">
      <c r="A3174">
        <f>HYPERLINK("https://www.philgeps.gov.ph/GEPSNONPILOT/Tender/SplashBidNoticeAbstractUI.aspx?menuIndex=3&amp;refID=7044188&amp;Result=3","7044188")</f>
        <v>0</v>
      </c>
      <c r="B3174" t="s">
        <v>1127</v>
      </c>
      <c r="C3174" t="s">
        <v>6224</v>
      </c>
      <c r="D3174" t="s">
        <v>18065</v>
      </c>
      <c r="E3174" t="s">
        <v>21007</v>
      </c>
      <c r="F3174" t="s">
        <v>31574</v>
      </c>
      <c r="G3174" t="s">
        <v>31583</v>
      </c>
      <c r="H3174" t="s">
        <v>31590</v>
      </c>
      <c r="I3174" t="s">
        <v>4046</v>
      </c>
      <c r="J3174" t="s">
        <v>33886</v>
      </c>
      <c r="K3174" t="s">
        <v>41196</v>
      </c>
      <c r="M3174" t="s">
        <v>42678</v>
      </c>
      <c r="N3174" t="s">
        <v>45095</v>
      </c>
      <c r="O3174" t="s">
        <v>45096</v>
      </c>
      <c r="P3174">
        <v>0</v>
      </c>
      <c r="Q3174">
        <v>0</v>
      </c>
      <c r="R3174" t="s">
        <v>45098</v>
      </c>
      <c r="S3174" t="s">
        <v>45223</v>
      </c>
      <c r="T3174" t="s">
        <v>46917</v>
      </c>
      <c r="U3174" t="s">
        <v>50153</v>
      </c>
      <c r="W3174" t="s">
        <v>42678</v>
      </c>
      <c r="X3174" t="s">
        <v>45099</v>
      </c>
    </row>
    <row r="3175" spans="1:24">
      <c r="A3175">
        <f>HYPERLINK("https://www.philgeps.gov.ph/GEPSNONPILOT/Tender/SplashBidNoticeAbstractUI.aspx?menuIndex=3&amp;refID=7044179&amp;Result=3","7044179")</f>
        <v>0</v>
      </c>
      <c r="B3175" t="s">
        <v>1127</v>
      </c>
      <c r="C3175" t="s">
        <v>6225</v>
      </c>
      <c r="D3175" t="s">
        <v>18065</v>
      </c>
      <c r="E3175" t="s">
        <v>21008</v>
      </c>
      <c r="F3175" t="s">
        <v>31574</v>
      </c>
      <c r="G3175" t="s">
        <v>31581</v>
      </c>
      <c r="H3175" t="s">
        <v>31590</v>
      </c>
      <c r="I3175" t="s">
        <v>4046</v>
      </c>
      <c r="J3175" t="s">
        <v>33887</v>
      </c>
      <c r="K3175" t="s">
        <v>41196</v>
      </c>
      <c r="M3175" t="s">
        <v>42678</v>
      </c>
      <c r="N3175" t="s">
        <v>45095</v>
      </c>
      <c r="O3175" t="s">
        <v>45096</v>
      </c>
      <c r="P3175">
        <v>0</v>
      </c>
      <c r="Q3175">
        <v>0</v>
      </c>
      <c r="R3175" t="s">
        <v>45098</v>
      </c>
      <c r="S3175" t="s">
        <v>45223</v>
      </c>
      <c r="T3175" t="s">
        <v>46917</v>
      </c>
      <c r="U3175" t="s">
        <v>50153</v>
      </c>
      <c r="W3175" t="s">
        <v>42678</v>
      </c>
      <c r="X3175" t="s">
        <v>45099</v>
      </c>
    </row>
    <row r="3176" spans="1:24">
      <c r="A3176">
        <f>HYPERLINK("https://www.philgeps.gov.ph/GEPSNONPILOT/Tender/SplashBidNoticeAbstractUI.aspx?menuIndex=3&amp;refID=7044176&amp;Result=3","7044176")</f>
        <v>0</v>
      </c>
      <c r="B3176" t="s">
        <v>1121</v>
      </c>
      <c r="C3176" t="s">
        <v>6226</v>
      </c>
      <c r="D3176" t="s">
        <v>18107</v>
      </c>
      <c r="E3176" t="s">
        <v>21009</v>
      </c>
      <c r="F3176" t="s">
        <v>31574</v>
      </c>
      <c r="G3176" t="s">
        <v>31582</v>
      </c>
      <c r="H3176" t="s">
        <v>31591</v>
      </c>
      <c r="I3176" t="s">
        <v>8822</v>
      </c>
      <c r="J3176" t="s">
        <v>33888</v>
      </c>
      <c r="K3176" t="s">
        <v>41233</v>
      </c>
      <c r="L3176" t="s">
        <v>1121</v>
      </c>
      <c r="M3176" t="s">
        <v>42672</v>
      </c>
      <c r="N3176" t="s">
        <v>45095</v>
      </c>
      <c r="O3176" t="s">
        <v>45096</v>
      </c>
      <c r="P3176">
        <v>0</v>
      </c>
      <c r="Q3176">
        <v>0</v>
      </c>
      <c r="R3176" t="s">
        <v>45098</v>
      </c>
      <c r="S3176" t="s">
        <v>45223</v>
      </c>
      <c r="T3176" t="s">
        <v>46919</v>
      </c>
      <c r="U3176" t="s">
        <v>50162</v>
      </c>
      <c r="V3176" t="s">
        <v>60150</v>
      </c>
      <c r="W3176" t="s">
        <v>42672</v>
      </c>
      <c r="X3176" t="s">
        <v>45099</v>
      </c>
    </row>
    <row r="3177" spans="1:24">
      <c r="A3177">
        <f>HYPERLINK("https://www.philgeps.gov.ph/GEPSNONPILOT/Tender/SplashBidNoticeAbstractUI.aspx?menuIndex=3&amp;refID=7044189&amp;Result=3","7044189")</f>
        <v>0</v>
      </c>
      <c r="B3177" t="s">
        <v>1126</v>
      </c>
      <c r="C3177" t="s">
        <v>6227</v>
      </c>
      <c r="D3177" t="s">
        <v>18058</v>
      </c>
      <c r="E3177" t="s">
        <v>21010</v>
      </c>
      <c r="F3177" t="s">
        <v>31574</v>
      </c>
      <c r="G3177" t="s">
        <v>31581</v>
      </c>
      <c r="H3177" t="s">
        <v>31590</v>
      </c>
      <c r="I3177" t="s">
        <v>31594</v>
      </c>
      <c r="J3177" t="s">
        <v>33889</v>
      </c>
      <c r="K3177" t="s">
        <v>41186</v>
      </c>
      <c r="M3177" t="s">
        <v>42677</v>
      </c>
      <c r="N3177" t="s">
        <v>45095</v>
      </c>
      <c r="O3177" t="s">
        <v>45096</v>
      </c>
      <c r="P3177">
        <v>0</v>
      </c>
      <c r="Q3177">
        <v>7</v>
      </c>
      <c r="R3177" t="s">
        <v>45098</v>
      </c>
      <c r="S3177" t="s">
        <v>45223</v>
      </c>
      <c r="T3177" t="s">
        <v>46963</v>
      </c>
      <c r="U3177" t="s">
        <v>50163</v>
      </c>
      <c r="W3177" t="s">
        <v>42677</v>
      </c>
      <c r="X3177" t="s">
        <v>45099</v>
      </c>
    </row>
    <row r="3178" spans="1:24">
      <c r="A3178">
        <f>HYPERLINK("https://www.philgeps.gov.ph/GEPSNONPILOT/Tender/SplashBidNoticeAbstractUI.aspx?menuIndex=3&amp;refID=7044197&amp;Result=3","7044197")</f>
        <v>0</v>
      </c>
      <c r="B3178" t="s">
        <v>1121</v>
      </c>
      <c r="C3178" t="s">
        <v>6228</v>
      </c>
      <c r="D3178" t="s">
        <v>18107</v>
      </c>
      <c r="E3178" t="s">
        <v>21011</v>
      </c>
      <c r="F3178" t="s">
        <v>31574</v>
      </c>
      <c r="G3178" t="s">
        <v>31582</v>
      </c>
      <c r="H3178" t="s">
        <v>31591</v>
      </c>
      <c r="I3178" t="s">
        <v>8822</v>
      </c>
      <c r="J3178" t="s">
        <v>33890</v>
      </c>
      <c r="K3178" t="s">
        <v>41300</v>
      </c>
      <c r="L3178" t="s">
        <v>1121</v>
      </c>
      <c r="M3178" t="s">
        <v>42672</v>
      </c>
      <c r="N3178" t="s">
        <v>45095</v>
      </c>
      <c r="O3178" t="s">
        <v>45096</v>
      </c>
      <c r="P3178">
        <v>0</v>
      </c>
      <c r="Q3178">
        <v>0</v>
      </c>
      <c r="R3178" t="s">
        <v>45098</v>
      </c>
      <c r="S3178" t="s">
        <v>45223</v>
      </c>
      <c r="T3178" t="s">
        <v>46919</v>
      </c>
      <c r="U3178" t="s">
        <v>50164</v>
      </c>
      <c r="V3178" t="s">
        <v>60150</v>
      </c>
      <c r="W3178" t="s">
        <v>42672</v>
      </c>
      <c r="X3178" t="s">
        <v>45099</v>
      </c>
    </row>
    <row r="3179" spans="1:24">
      <c r="A3179">
        <f>HYPERLINK("https://www.philgeps.gov.ph/GEPSNONPILOT/Tender/SplashBidNoticeAbstractUI.aspx?menuIndex=3&amp;refID=7044177&amp;Result=3","7044177")</f>
        <v>0</v>
      </c>
      <c r="B3179" t="s">
        <v>1069</v>
      </c>
      <c r="C3179" t="s">
        <v>6229</v>
      </c>
      <c r="D3179" t="s">
        <v>18079</v>
      </c>
      <c r="E3179" t="s">
        <v>21012</v>
      </c>
      <c r="F3179" t="s">
        <v>31574</v>
      </c>
      <c r="G3179" t="s">
        <v>31581</v>
      </c>
      <c r="H3179" t="s">
        <v>31590</v>
      </c>
      <c r="I3179" t="s">
        <v>8258</v>
      </c>
      <c r="J3179" t="s">
        <v>33891</v>
      </c>
      <c r="K3179" t="s">
        <v>41190</v>
      </c>
      <c r="M3179" t="s">
        <v>42615</v>
      </c>
      <c r="N3179" t="s">
        <v>45095</v>
      </c>
      <c r="O3179" t="s">
        <v>45096</v>
      </c>
      <c r="P3179">
        <v>0</v>
      </c>
      <c r="Q3179">
        <v>0</v>
      </c>
      <c r="R3179" t="s">
        <v>45098</v>
      </c>
      <c r="S3179" t="s">
        <v>45223</v>
      </c>
      <c r="T3179" t="s">
        <v>47092</v>
      </c>
      <c r="U3179" t="s">
        <v>50165</v>
      </c>
      <c r="W3179" t="s">
        <v>42615</v>
      </c>
      <c r="X3179" t="s">
        <v>45099</v>
      </c>
    </row>
    <row r="3180" spans="1:24">
      <c r="A3180">
        <f>HYPERLINK("https://www.philgeps.gov.ph/GEPSNONPILOT/Tender/SplashBidNoticeAbstractUI.aspx?menuIndex=3&amp;refID=7044209&amp;Result=3","7044209")</f>
        <v>0</v>
      </c>
      <c r="B3180" t="s">
        <v>1069</v>
      </c>
      <c r="C3180" t="s">
        <v>6230</v>
      </c>
      <c r="D3180" t="s">
        <v>18079</v>
      </c>
      <c r="E3180" t="s">
        <v>21013</v>
      </c>
      <c r="F3180" t="s">
        <v>31574</v>
      </c>
      <c r="G3180" t="s">
        <v>31581</v>
      </c>
      <c r="H3180" t="s">
        <v>31590</v>
      </c>
      <c r="I3180" t="s">
        <v>31607</v>
      </c>
      <c r="J3180" t="s">
        <v>33892</v>
      </c>
      <c r="K3180" t="s">
        <v>41190</v>
      </c>
      <c r="M3180" t="s">
        <v>42615</v>
      </c>
      <c r="N3180" t="s">
        <v>45095</v>
      </c>
      <c r="O3180" t="s">
        <v>45096</v>
      </c>
      <c r="P3180">
        <v>0</v>
      </c>
      <c r="Q3180">
        <v>1</v>
      </c>
      <c r="R3180" t="s">
        <v>45098</v>
      </c>
      <c r="S3180" t="s">
        <v>45223</v>
      </c>
      <c r="T3180" t="s">
        <v>47092</v>
      </c>
      <c r="U3180" t="s">
        <v>50166</v>
      </c>
      <c r="W3180" t="s">
        <v>42615</v>
      </c>
      <c r="X3180" t="s">
        <v>45099</v>
      </c>
    </row>
    <row r="3181" spans="1:24">
      <c r="A3181">
        <f>HYPERLINK("https://www.philgeps.gov.ph/GEPSNONPILOT/Tender/SplashBidNoticeAbstractUI.aspx?menuIndex=3&amp;refID=7044174&amp;Result=3","7044174")</f>
        <v>0</v>
      </c>
      <c r="B3181" t="s">
        <v>1127</v>
      </c>
      <c r="C3181" t="s">
        <v>6231</v>
      </c>
      <c r="D3181" t="s">
        <v>18065</v>
      </c>
      <c r="E3181" t="s">
        <v>21014</v>
      </c>
      <c r="F3181" t="s">
        <v>31574</v>
      </c>
      <c r="G3181" t="s">
        <v>31581</v>
      </c>
      <c r="H3181" t="s">
        <v>31590</v>
      </c>
      <c r="I3181" t="s">
        <v>4046</v>
      </c>
      <c r="J3181" t="s">
        <v>33893</v>
      </c>
      <c r="K3181" t="s">
        <v>41196</v>
      </c>
      <c r="M3181" t="s">
        <v>42678</v>
      </c>
      <c r="N3181" t="s">
        <v>45095</v>
      </c>
      <c r="O3181" t="s">
        <v>45096</v>
      </c>
      <c r="P3181">
        <v>0</v>
      </c>
      <c r="Q3181">
        <v>0</v>
      </c>
      <c r="R3181" t="s">
        <v>45098</v>
      </c>
      <c r="S3181" t="s">
        <v>45223</v>
      </c>
      <c r="T3181" t="s">
        <v>46917</v>
      </c>
      <c r="U3181" t="s">
        <v>50153</v>
      </c>
      <c r="W3181" t="s">
        <v>42678</v>
      </c>
      <c r="X3181" t="s">
        <v>45099</v>
      </c>
    </row>
    <row r="3182" spans="1:24">
      <c r="A3182">
        <f>HYPERLINK("https://www.philgeps.gov.ph/GEPSNONPILOT/Tender/SplashBidNoticeAbstractUI.aspx?menuIndex=3&amp;refID=7044206&amp;Result=3","7044206")</f>
        <v>0</v>
      </c>
      <c r="B3182" t="s">
        <v>1129</v>
      </c>
      <c r="C3182" t="s">
        <v>6232</v>
      </c>
      <c r="D3182" t="s">
        <v>18065</v>
      </c>
      <c r="E3182" t="s">
        <v>21015</v>
      </c>
      <c r="F3182" t="s">
        <v>31574</v>
      </c>
      <c r="G3182" t="s">
        <v>31581</v>
      </c>
      <c r="H3182" t="s">
        <v>31590</v>
      </c>
      <c r="I3182" t="s">
        <v>31594</v>
      </c>
      <c r="J3182" t="s">
        <v>33894</v>
      </c>
      <c r="K3182" t="s">
        <v>41192</v>
      </c>
      <c r="M3182" t="s">
        <v>42680</v>
      </c>
      <c r="N3182" t="s">
        <v>45095</v>
      </c>
      <c r="O3182" t="s">
        <v>45096</v>
      </c>
      <c r="P3182">
        <v>0</v>
      </c>
      <c r="Q3182">
        <v>7</v>
      </c>
      <c r="R3182" t="s">
        <v>45098</v>
      </c>
      <c r="S3182" t="s">
        <v>45223</v>
      </c>
      <c r="T3182" t="s">
        <v>46957</v>
      </c>
      <c r="U3182" t="s">
        <v>50167</v>
      </c>
      <c r="W3182" t="s">
        <v>42680</v>
      </c>
      <c r="X3182" t="s">
        <v>45099</v>
      </c>
    </row>
    <row r="3183" spans="1:24">
      <c r="A3183">
        <f>HYPERLINK("https://www.philgeps.gov.ph/GEPSNONPILOT/Tender/SplashBidNoticeAbstractUI.aspx?menuIndex=3&amp;refID=7044210&amp;Result=3","7044210")</f>
        <v>0</v>
      </c>
      <c r="B3183" t="s">
        <v>1069</v>
      </c>
      <c r="C3183" t="s">
        <v>6233</v>
      </c>
      <c r="D3183" t="s">
        <v>18079</v>
      </c>
      <c r="E3183" t="s">
        <v>21016</v>
      </c>
      <c r="F3183" t="s">
        <v>31574</v>
      </c>
      <c r="G3183" t="s">
        <v>31581</v>
      </c>
      <c r="H3183" t="s">
        <v>31590</v>
      </c>
      <c r="I3183" t="s">
        <v>31600</v>
      </c>
      <c r="J3183" t="s">
        <v>33895</v>
      </c>
      <c r="K3183" t="s">
        <v>41190</v>
      </c>
      <c r="M3183" t="s">
        <v>42615</v>
      </c>
      <c r="N3183" t="s">
        <v>45095</v>
      </c>
      <c r="O3183" t="s">
        <v>45096</v>
      </c>
      <c r="P3183">
        <v>0</v>
      </c>
      <c r="Q3183">
        <v>0</v>
      </c>
      <c r="R3183" t="s">
        <v>45098</v>
      </c>
      <c r="S3183" t="s">
        <v>45223</v>
      </c>
      <c r="T3183" t="s">
        <v>47092</v>
      </c>
      <c r="U3183" t="s">
        <v>50168</v>
      </c>
      <c r="W3183" t="s">
        <v>42615</v>
      </c>
      <c r="X3183" t="s">
        <v>45099</v>
      </c>
    </row>
    <row r="3184" spans="1:24">
      <c r="A3184">
        <f>HYPERLINK("https://www.philgeps.gov.ph/GEPSNONPILOT/Tender/SplashBidNoticeAbstractUI.aspx?menuIndex=3&amp;refID=7044207&amp;Result=3","7044207")</f>
        <v>0</v>
      </c>
      <c r="B3184" t="s">
        <v>1069</v>
      </c>
      <c r="C3184" t="s">
        <v>6234</v>
      </c>
      <c r="D3184" t="s">
        <v>18079</v>
      </c>
      <c r="E3184" t="s">
        <v>21017</v>
      </c>
      <c r="F3184" t="s">
        <v>31574</v>
      </c>
      <c r="G3184" t="s">
        <v>31581</v>
      </c>
      <c r="H3184" t="s">
        <v>31590</v>
      </c>
      <c r="I3184" t="s">
        <v>8258</v>
      </c>
      <c r="J3184" t="s">
        <v>32839</v>
      </c>
      <c r="K3184" t="s">
        <v>41190</v>
      </c>
      <c r="M3184" t="s">
        <v>42615</v>
      </c>
      <c r="N3184" t="s">
        <v>45095</v>
      </c>
      <c r="O3184" t="s">
        <v>45096</v>
      </c>
      <c r="P3184">
        <v>0</v>
      </c>
      <c r="Q3184">
        <v>6</v>
      </c>
      <c r="R3184" t="s">
        <v>45098</v>
      </c>
      <c r="S3184" t="s">
        <v>45223</v>
      </c>
      <c r="T3184" t="s">
        <v>47092</v>
      </c>
      <c r="U3184" t="s">
        <v>50169</v>
      </c>
      <c r="W3184" t="s">
        <v>42615</v>
      </c>
      <c r="X3184" t="s">
        <v>45099</v>
      </c>
    </row>
    <row r="3185" spans="1:24">
      <c r="A3185">
        <f>HYPERLINK("https://www.philgeps.gov.ph/GEPSNONPILOT/Tender/SplashBidNoticeAbstractUI.aspx?menuIndex=3&amp;refID=7044204&amp;Result=3","7044204")</f>
        <v>0</v>
      </c>
      <c r="B3185" t="s">
        <v>1069</v>
      </c>
      <c r="C3185" t="s">
        <v>6235</v>
      </c>
      <c r="D3185" t="s">
        <v>18079</v>
      </c>
      <c r="E3185" t="s">
        <v>21018</v>
      </c>
      <c r="F3185" t="s">
        <v>31574</v>
      </c>
      <c r="G3185" t="s">
        <v>31581</v>
      </c>
      <c r="H3185" t="s">
        <v>31590</v>
      </c>
      <c r="I3185" t="s">
        <v>31607</v>
      </c>
      <c r="J3185" t="s">
        <v>33896</v>
      </c>
      <c r="K3185" t="s">
        <v>41190</v>
      </c>
      <c r="M3185" t="s">
        <v>42615</v>
      </c>
      <c r="N3185" t="s">
        <v>45095</v>
      </c>
      <c r="O3185" t="s">
        <v>45096</v>
      </c>
      <c r="P3185">
        <v>0</v>
      </c>
      <c r="Q3185">
        <v>0</v>
      </c>
      <c r="R3185" t="s">
        <v>45098</v>
      </c>
      <c r="S3185" t="s">
        <v>45223</v>
      </c>
      <c r="T3185" t="s">
        <v>47092</v>
      </c>
      <c r="U3185" t="s">
        <v>50170</v>
      </c>
      <c r="W3185" t="s">
        <v>42615</v>
      </c>
      <c r="X3185" t="s">
        <v>45099</v>
      </c>
    </row>
    <row r="3186" spans="1:24">
      <c r="A3186">
        <f>HYPERLINK("https://www.philgeps.gov.ph/GEPSNONPILOT/Tender/SplashBidNoticeAbstractUI.aspx?menuIndex=3&amp;refID=7044205&amp;Result=3","7044205")</f>
        <v>0</v>
      </c>
      <c r="B3186" t="s">
        <v>1130</v>
      </c>
      <c r="C3186" t="s">
        <v>6236</v>
      </c>
      <c r="D3186" t="s">
        <v>18022</v>
      </c>
      <c r="E3186" t="s">
        <v>21019</v>
      </c>
      <c r="F3186" t="s">
        <v>31574</v>
      </c>
      <c r="G3186" t="s">
        <v>31581</v>
      </c>
      <c r="H3186" t="s">
        <v>31590</v>
      </c>
      <c r="I3186" t="s">
        <v>31594</v>
      </c>
      <c r="J3186" t="s">
        <v>32814</v>
      </c>
      <c r="K3186" t="s">
        <v>41185</v>
      </c>
      <c r="M3186" t="s">
        <v>42681</v>
      </c>
      <c r="N3186" t="s">
        <v>45095</v>
      </c>
      <c r="O3186" t="s">
        <v>45096</v>
      </c>
      <c r="P3186">
        <v>0</v>
      </c>
      <c r="Q3186">
        <v>2</v>
      </c>
      <c r="R3186" t="s">
        <v>45098</v>
      </c>
      <c r="S3186" t="s">
        <v>45223</v>
      </c>
      <c r="T3186" t="s">
        <v>47043</v>
      </c>
      <c r="U3186" t="s">
        <v>50171</v>
      </c>
      <c r="W3186" t="s">
        <v>42681</v>
      </c>
      <c r="X3186" t="s">
        <v>45099</v>
      </c>
    </row>
    <row r="3187" spans="1:24">
      <c r="A3187">
        <f>HYPERLINK("https://www.philgeps.gov.ph/GEPSNONPILOT/Tender/SplashBidNoticeAbstractUI.aspx?menuIndex=3&amp;refID=7044187&amp;Result=3","7044187")</f>
        <v>0</v>
      </c>
      <c r="B3187" t="s">
        <v>721</v>
      </c>
      <c r="C3187" t="s">
        <v>6237</v>
      </c>
      <c r="D3187" t="s">
        <v>18041</v>
      </c>
      <c r="E3187" t="s">
        <v>21020</v>
      </c>
      <c r="F3187" t="s">
        <v>31574</v>
      </c>
      <c r="G3187" t="s">
        <v>31581</v>
      </c>
      <c r="H3187" t="s">
        <v>31591</v>
      </c>
      <c r="I3187" t="s">
        <v>8822</v>
      </c>
      <c r="J3187" t="s">
        <v>33897</v>
      </c>
      <c r="K3187" t="s">
        <v>41196</v>
      </c>
      <c r="M3187" t="s">
        <v>42231</v>
      </c>
      <c r="N3187" t="s">
        <v>45095</v>
      </c>
      <c r="O3187" t="s">
        <v>45096</v>
      </c>
      <c r="P3187">
        <v>0</v>
      </c>
      <c r="Q3187">
        <v>0</v>
      </c>
      <c r="R3187" t="s">
        <v>45098</v>
      </c>
      <c r="S3187" t="s">
        <v>45223</v>
      </c>
      <c r="T3187" t="s">
        <v>46911</v>
      </c>
      <c r="U3187" t="s">
        <v>50172</v>
      </c>
      <c r="W3187" t="s">
        <v>42231</v>
      </c>
      <c r="X3187" t="s">
        <v>45099</v>
      </c>
    </row>
    <row r="3188" spans="1:24">
      <c r="A3188">
        <f>HYPERLINK("https://www.philgeps.gov.ph/GEPSNONPILOT/Tender/SplashBidNoticeAbstractUI.aspx?menuIndex=3&amp;refID=7044178&amp;Result=3","7044178")</f>
        <v>0</v>
      </c>
      <c r="B3188" t="s">
        <v>1126</v>
      </c>
      <c r="C3188" t="s">
        <v>6238</v>
      </c>
      <c r="D3188" t="s">
        <v>18058</v>
      </c>
      <c r="E3188" t="s">
        <v>21021</v>
      </c>
      <c r="F3188" t="s">
        <v>31574</v>
      </c>
      <c r="G3188" t="s">
        <v>31581</v>
      </c>
      <c r="H3188" t="s">
        <v>31590</v>
      </c>
      <c r="I3188" t="s">
        <v>31594</v>
      </c>
      <c r="J3188" t="s">
        <v>33898</v>
      </c>
      <c r="K3188" t="s">
        <v>41186</v>
      </c>
      <c r="M3188" t="s">
        <v>42677</v>
      </c>
      <c r="N3188" t="s">
        <v>45095</v>
      </c>
      <c r="O3188" t="s">
        <v>45096</v>
      </c>
      <c r="P3188">
        <v>0</v>
      </c>
      <c r="Q3188">
        <v>14</v>
      </c>
      <c r="R3188" t="s">
        <v>45098</v>
      </c>
      <c r="S3188" t="s">
        <v>45223</v>
      </c>
      <c r="T3188" t="s">
        <v>46963</v>
      </c>
      <c r="U3188" t="s">
        <v>50163</v>
      </c>
      <c r="W3188" t="s">
        <v>42677</v>
      </c>
      <c r="X3188" t="s">
        <v>45099</v>
      </c>
    </row>
    <row r="3189" spans="1:24">
      <c r="A3189">
        <f>HYPERLINK("https://www.philgeps.gov.ph/GEPSNONPILOT/Tender/SplashBidNoticeAbstractUI.aspx?menuIndex=3&amp;refID=7044203&amp;Result=3","7044203")</f>
        <v>0</v>
      </c>
      <c r="B3189" t="s">
        <v>1069</v>
      </c>
      <c r="C3189" t="s">
        <v>6239</v>
      </c>
      <c r="D3189" t="s">
        <v>18079</v>
      </c>
      <c r="E3189" t="s">
        <v>21022</v>
      </c>
      <c r="F3189" t="s">
        <v>31574</v>
      </c>
      <c r="G3189" t="s">
        <v>31581</v>
      </c>
      <c r="H3189" t="s">
        <v>31590</v>
      </c>
      <c r="I3189" t="s">
        <v>31605</v>
      </c>
      <c r="J3189" t="s">
        <v>31726</v>
      </c>
      <c r="K3189" t="s">
        <v>41190</v>
      </c>
      <c r="M3189" t="s">
        <v>42615</v>
      </c>
      <c r="N3189" t="s">
        <v>45095</v>
      </c>
      <c r="O3189" t="s">
        <v>45096</v>
      </c>
      <c r="P3189">
        <v>0</v>
      </c>
      <c r="Q3189">
        <v>1</v>
      </c>
      <c r="R3189" t="s">
        <v>45098</v>
      </c>
      <c r="S3189" t="s">
        <v>45223</v>
      </c>
      <c r="T3189" t="s">
        <v>47092</v>
      </c>
      <c r="U3189" t="s">
        <v>50173</v>
      </c>
      <c r="W3189" t="s">
        <v>42615</v>
      </c>
      <c r="X3189" t="s">
        <v>45099</v>
      </c>
    </row>
    <row r="3190" spans="1:24">
      <c r="A3190">
        <f>HYPERLINK("https://www.philgeps.gov.ph/GEPSNONPILOT/Tender/SplashBidNoticeAbstractUI.aspx?menuIndex=3&amp;refID=7044220&amp;Result=3","7044220")</f>
        <v>0</v>
      </c>
      <c r="B3190" t="s">
        <v>1087</v>
      </c>
      <c r="C3190" t="s">
        <v>6240</v>
      </c>
      <c r="D3190" t="s">
        <v>18107</v>
      </c>
      <c r="E3190" t="s">
        <v>21023</v>
      </c>
      <c r="F3190" t="s">
        <v>31574</v>
      </c>
      <c r="G3190" t="s">
        <v>31582</v>
      </c>
      <c r="H3190" t="s">
        <v>31590</v>
      </c>
      <c r="I3190" t="s">
        <v>4327</v>
      </c>
      <c r="J3190" t="s">
        <v>33899</v>
      </c>
      <c r="K3190" t="s">
        <v>41196</v>
      </c>
      <c r="M3190" t="s">
        <v>42636</v>
      </c>
      <c r="N3190" t="s">
        <v>45095</v>
      </c>
      <c r="O3190" t="s">
        <v>45096</v>
      </c>
      <c r="P3190">
        <v>0</v>
      </c>
      <c r="Q3190">
        <v>1</v>
      </c>
      <c r="R3190" t="s">
        <v>45098</v>
      </c>
      <c r="S3190" t="s">
        <v>45223</v>
      </c>
      <c r="T3190" t="s">
        <v>46956</v>
      </c>
      <c r="U3190" t="s">
        <v>50174</v>
      </c>
      <c r="W3190" t="s">
        <v>42636</v>
      </c>
      <c r="X3190" t="s">
        <v>45099</v>
      </c>
    </row>
    <row r="3191" spans="1:24">
      <c r="A3191">
        <f>HYPERLINK("https://www.philgeps.gov.ph/GEPSNONPILOT/Tender/SplashBidNoticeAbstractUI.aspx?menuIndex=3&amp;refID=7044199&amp;Result=3","7044199")</f>
        <v>0</v>
      </c>
      <c r="B3191" t="s">
        <v>1131</v>
      </c>
      <c r="C3191" t="s">
        <v>6241</v>
      </c>
      <c r="D3191" t="s">
        <v>18071</v>
      </c>
      <c r="E3191" t="s">
        <v>21024</v>
      </c>
      <c r="F3191" t="s">
        <v>31574</v>
      </c>
      <c r="G3191" t="s">
        <v>31581</v>
      </c>
      <c r="H3191" t="s">
        <v>31590</v>
      </c>
      <c r="I3191" t="s">
        <v>5717</v>
      </c>
      <c r="J3191" t="s">
        <v>33900</v>
      </c>
      <c r="K3191" t="s">
        <v>41186</v>
      </c>
      <c r="M3191" t="s">
        <v>42682</v>
      </c>
      <c r="N3191" t="s">
        <v>45095</v>
      </c>
      <c r="O3191" t="s">
        <v>45096</v>
      </c>
      <c r="P3191">
        <v>0</v>
      </c>
      <c r="Q3191">
        <v>1</v>
      </c>
      <c r="R3191" t="s">
        <v>45098</v>
      </c>
      <c r="S3191" t="s">
        <v>45223</v>
      </c>
      <c r="T3191" t="s">
        <v>47064</v>
      </c>
      <c r="U3191" t="s">
        <v>50175</v>
      </c>
      <c r="W3191" t="s">
        <v>42682</v>
      </c>
      <c r="X3191" t="s">
        <v>45099</v>
      </c>
    </row>
    <row r="3192" spans="1:24">
      <c r="A3192">
        <f>HYPERLINK("https://www.philgeps.gov.ph/GEPSNONPILOT/Tender/SplashBidNoticeAbstractUI.aspx?menuIndex=3&amp;refID=7044214&amp;Result=3","7044214")</f>
        <v>0</v>
      </c>
      <c r="B3192" t="s">
        <v>1132</v>
      </c>
      <c r="C3192" t="s">
        <v>6242</v>
      </c>
      <c r="D3192" t="s">
        <v>18075</v>
      </c>
      <c r="E3192" t="s">
        <v>21025</v>
      </c>
      <c r="F3192" t="s">
        <v>31574</v>
      </c>
      <c r="G3192" t="s">
        <v>31581</v>
      </c>
      <c r="H3192" t="s">
        <v>31590</v>
      </c>
      <c r="I3192" t="s">
        <v>4046</v>
      </c>
      <c r="J3192" t="s">
        <v>33901</v>
      </c>
      <c r="K3192" t="s">
        <v>41196</v>
      </c>
      <c r="M3192" t="s">
        <v>42683</v>
      </c>
      <c r="N3192" t="s">
        <v>45095</v>
      </c>
      <c r="O3192" t="s">
        <v>45096</v>
      </c>
      <c r="P3192">
        <v>0</v>
      </c>
      <c r="Q3192">
        <v>2</v>
      </c>
      <c r="R3192" t="s">
        <v>45098</v>
      </c>
      <c r="S3192" t="s">
        <v>45223</v>
      </c>
      <c r="T3192" t="s">
        <v>46918</v>
      </c>
      <c r="U3192" t="s">
        <v>50176</v>
      </c>
      <c r="W3192" t="s">
        <v>42683</v>
      </c>
      <c r="X3192" t="s">
        <v>45099</v>
      </c>
    </row>
    <row r="3193" spans="1:24">
      <c r="A3193">
        <f>HYPERLINK("https://www.philgeps.gov.ph/GEPSNONPILOT/Tender/SplashBidNoticeAbstractUI.aspx?menuIndex=3&amp;refID=7044221&amp;Result=3","7044221")</f>
        <v>0</v>
      </c>
      <c r="B3193" t="s">
        <v>540</v>
      </c>
      <c r="C3193" t="s">
        <v>6243</v>
      </c>
      <c r="D3193" t="s">
        <v>18022</v>
      </c>
      <c r="E3193" t="s">
        <v>21026</v>
      </c>
      <c r="F3193" t="s">
        <v>31574</v>
      </c>
      <c r="G3193" t="s">
        <v>31582</v>
      </c>
      <c r="H3193" t="s">
        <v>31590</v>
      </c>
      <c r="I3193" t="s">
        <v>31608</v>
      </c>
      <c r="J3193" t="s">
        <v>33902</v>
      </c>
      <c r="K3193" t="s">
        <v>41184</v>
      </c>
      <c r="M3193" t="s">
        <v>42684</v>
      </c>
      <c r="N3193" t="s">
        <v>45095</v>
      </c>
      <c r="O3193" t="s">
        <v>45096</v>
      </c>
      <c r="P3193">
        <v>0</v>
      </c>
      <c r="Q3193">
        <v>9</v>
      </c>
      <c r="R3193" t="s">
        <v>45098</v>
      </c>
      <c r="S3193" t="s">
        <v>45223</v>
      </c>
      <c r="T3193" t="s">
        <v>47145</v>
      </c>
      <c r="U3193" t="s">
        <v>50177</v>
      </c>
      <c r="V3193" t="s">
        <v>60152</v>
      </c>
      <c r="W3193" t="s">
        <v>42684</v>
      </c>
      <c r="X3193" t="s">
        <v>45099</v>
      </c>
    </row>
    <row r="3194" spans="1:24">
      <c r="A3194">
        <f>HYPERLINK("https://www.philgeps.gov.ph/GEPSNONPILOT/Tender/SplashBidNoticeAbstractUI.aspx?menuIndex=3&amp;refID=7044218&amp;Result=3","7044218")</f>
        <v>0</v>
      </c>
      <c r="B3194" t="s">
        <v>1109</v>
      </c>
      <c r="C3194" t="s">
        <v>6244</v>
      </c>
      <c r="D3194" t="s">
        <v>18068</v>
      </c>
      <c r="E3194" t="s">
        <v>21027</v>
      </c>
      <c r="F3194" t="s">
        <v>31574</v>
      </c>
      <c r="G3194" t="s">
        <v>31582</v>
      </c>
      <c r="H3194" t="s">
        <v>31590</v>
      </c>
      <c r="I3194" t="s">
        <v>5222</v>
      </c>
      <c r="J3194" t="s">
        <v>32026</v>
      </c>
      <c r="K3194" t="s">
        <v>41186</v>
      </c>
      <c r="M3194" t="s">
        <v>42658</v>
      </c>
      <c r="N3194" t="s">
        <v>45095</v>
      </c>
      <c r="O3194" t="s">
        <v>45096</v>
      </c>
      <c r="P3194">
        <v>0</v>
      </c>
      <c r="Q3194">
        <v>5</v>
      </c>
      <c r="R3194" t="s">
        <v>45098</v>
      </c>
      <c r="S3194" t="s">
        <v>45223</v>
      </c>
      <c r="T3194" t="s">
        <v>46945</v>
      </c>
      <c r="U3194" t="s">
        <v>50178</v>
      </c>
      <c r="W3194" t="s">
        <v>42658</v>
      </c>
      <c r="X3194" t="s">
        <v>45099</v>
      </c>
    </row>
    <row r="3195" spans="1:24">
      <c r="A3195">
        <f>HYPERLINK("https://www.philgeps.gov.ph/GEPSNONPILOT/Tender/SplashBidNoticeAbstractUI.aspx?menuIndex=3&amp;refID=7044198&amp;Result=3","7044198")</f>
        <v>0</v>
      </c>
      <c r="B3195" t="s">
        <v>1069</v>
      </c>
      <c r="C3195" t="s">
        <v>6245</v>
      </c>
      <c r="D3195" t="s">
        <v>18079</v>
      </c>
      <c r="E3195" t="s">
        <v>21028</v>
      </c>
      <c r="F3195" t="s">
        <v>31574</v>
      </c>
      <c r="G3195" t="s">
        <v>31581</v>
      </c>
      <c r="H3195" t="s">
        <v>31590</v>
      </c>
      <c r="I3195" t="s">
        <v>31631</v>
      </c>
      <c r="J3195" t="s">
        <v>31726</v>
      </c>
      <c r="K3195" t="s">
        <v>41190</v>
      </c>
      <c r="M3195" t="s">
        <v>42615</v>
      </c>
      <c r="N3195" t="s">
        <v>45095</v>
      </c>
      <c r="O3195" t="s">
        <v>45096</v>
      </c>
      <c r="P3195">
        <v>0</v>
      </c>
      <c r="Q3195">
        <v>0</v>
      </c>
      <c r="R3195" t="s">
        <v>45098</v>
      </c>
      <c r="S3195" t="s">
        <v>45223</v>
      </c>
      <c r="T3195" t="s">
        <v>47092</v>
      </c>
      <c r="U3195" t="s">
        <v>50179</v>
      </c>
      <c r="W3195" t="s">
        <v>42615</v>
      </c>
      <c r="X3195" t="s">
        <v>45099</v>
      </c>
    </row>
    <row r="3196" spans="1:24">
      <c r="A3196">
        <f>HYPERLINK("https://www.philgeps.gov.ph/GEPSNONPILOT/Tender/SplashBidNoticeAbstractUI.aspx?menuIndex=3&amp;refID=7044213&amp;Result=3","7044213")</f>
        <v>0</v>
      </c>
      <c r="B3196" t="s">
        <v>1133</v>
      </c>
      <c r="C3196" t="s">
        <v>6246</v>
      </c>
      <c r="D3196" t="s">
        <v>18022</v>
      </c>
      <c r="E3196" t="s">
        <v>21029</v>
      </c>
      <c r="F3196" t="s">
        <v>31574</v>
      </c>
      <c r="G3196" t="s">
        <v>31582</v>
      </c>
      <c r="H3196" t="s">
        <v>31590</v>
      </c>
      <c r="I3196" t="s">
        <v>3487</v>
      </c>
      <c r="J3196" t="s">
        <v>33903</v>
      </c>
      <c r="K3196" t="s">
        <v>41213</v>
      </c>
      <c r="M3196" t="s">
        <v>42685</v>
      </c>
      <c r="N3196" t="s">
        <v>45095</v>
      </c>
      <c r="O3196" t="s">
        <v>45096</v>
      </c>
      <c r="P3196">
        <v>0</v>
      </c>
      <c r="Q3196">
        <v>3</v>
      </c>
      <c r="R3196" t="s">
        <v>45098</v>
      </c>
      <c r="S3196" t="s">
        <v>45223</v>
      </c>
      <c r="T3196" t="s">
        <v>46926</v>
      </c>
      <c r="U3196" t="s">
        <v>50180</v>
      </c>
      <c r="V3196" t="s">
        <v>60153</v>
      </c>
      <c r="W3196" t="s">
        <v>42685</v>
      </c>
      <c r="X3196" t="s">
        <v>45099</v>
      </c>
    </row>
    <row r="3197" spans="1:24">
      <c r="A3197">
        <f>HYPERLINK("https://www.philgeps.gov.ph/GEPSNONPILOT/Tender/SplashBidNoticeAbstractUI.aspx?menuIndex=3&amp;refID=7044211&amp;Result=3","7044211")</f>
        <v>0</v>
      </c>
      <c r="B3197" t="s">
        <v>1129</v>
      </c>
      <c r="C3197" t="s">
        <v>6247</v>
      </c>
      <c r="D3197" t="s">
        <v>18065</v>
      </c>
      <c r="E3197" t="s">
        <v>21030</v>
      </c>
      <c r="F3197" t="s">
        <v>31574</v>
      </c>
      <c r="G3197" t="s">
        <v>31581</v>
      </c>
      <c r="H3197" t="s">
        <v>31590</v>
      </c>
      <c r="I3197" t="s">
        <v>31594</v>
      </c>
      <c r="J3197" t="s">
        <v>31958</v>
      </c>
      <c r="K3197" t="s">
        <v>41192</v>
      </c>
      <c r="M3197" t="s">
        <v>42680</v>
      </c>
      <c r="N3197" t="s">
        <v>45095</v>
      </c>
      <c r="O3197" t="s">
        <v>45096</v>
      </c>
      <c r="P3197">
        <v>0</v>
      </c>
      <c r="Q3197">
        <v>7</v>
      </c>
      <c r="R3197" t="s">
        <v>45098</v>
      </c>
      <c r="S3197" t="s">
        <v>45223</v>
      </c>
      <c r="T3197" t="s">
        <v>46957</v>
      </c>
      <c r="U3197" t="s">
        <v>50181</v>
      </c>
      <c r="W3197" t="s">
        <v>42680</v>
      </c>
      <c r="X3197" t="s">
        <v>45099</v>
      </c>
    </row>
    <row r="3198" spans="1:24">
      <c r="A3198">
        <f>HYPERLINK("https://www.philgeps.gov.ph/GEPSNONPILOT/Tender/SplashBidNoticeAbstractUI.aspx?menuIndex=3&amp;refID=7044222&amp;Result=3","7044222")</f>
        <v>0</v>
      </c>
      <c r="B3198" t="s">
        <v>1109</v>
      </c>
      <c r="C3198" t="s">
        <v>6248</v>
      </c>
      <c r="D3198" t="s">
        <v>18068</v>
      </c>
      <c r="E3198" t="s">
        <v>21031</v>
      </c>
      <c r="F3198" t="s">
        <v>31574</v>
      </c>
      <c r="G3198" t="s">
        <v>31582</v>
      </c>
      <c r="H3198" t="s">
        <v>31590</v>
      </c>
      <c r="I3198" t="s">
        <v>8258</v>
      </c>
      <c r="J3198" t="s">
        <v>33904</v>
      </c>
      <c r="K3198" t="s">
        <v>41186</v>
      </c>
      <c r="M3198" t="s">
        <v>42658</v>
      </c>
      <c r="N3198" t="s">
        <v>45095</v>
      </c>
      <c r="O3198" t="s">
        <v>45096</v>
      </c>
      <c r="P3198">
        <v>0</v>
      </c>
      <c r="Q3198">
        <v>3</v>
      </c>
      <c r="R3198" t="s">
        <v>45098</v>
      </c>
      <c r="S3198" t="s">
        <v>45223</v>
      </c>
      <c r="T3198" t="s">
        <v>46945</v>
      </c>
      <c r="U3198" t="s">
        <v>50182</v>
      </c>
      <c r="W3198" t="s">
        <v>42658</v>
      </c>
      <c r="X3198" t="s">
        <v>45099</v>
      </c>
    </row>
    <row r="3199" spans="1:24">
      <c r="A3199">
        <f>HYPERLINK("https://www.philgeps.gov.ph/GEPSNONPILOT/Tender/SplashBidNoticeAbstractUI.aspx?menuIndex=3&amp;refID=7044200&amp;Result=3","7044200")</f>
        <v>0</v>
      </c>
      <c r="B3199" t="s">
        <v>1069</v>
      </c>
      <c r="C3199" t="s">
        <v>6249</v>
      </c>
      <c r="D3199" t="s">
        <v>18079</v>
      </c>
      <c r="E3199" t="s">
        <v>21032</v>
      </c>
      <c r="F3199" t="s">
        <v>31574</v>
      </c>
      <c r="G3199" t="s">
        <v>31581</v>
      </c>
      <c r="H3199" t="s">
        <v>31590</v>
      </c>
      <c r="I3199" t="s">
        <v>31607</v>
      </c>
      <c r="J3199" t="s">
        <v>33905</v>
      </c>
      <c r="K3199" t="s">
        <v>41190</v>
      </c>
      <c r="M3199" t="s">
        <v>42615</v>
      </c>
      <c r="N3199" t="s">
        <v>45095</v>
      </c>
      <c r="O3199" t="s">
        <v>45096</v>
      </c>
      <c r="P3199">
        <v>0</v>
      </c>
      <c r="Q3199">
        <v>0</v>
      </c>
      <c r="R3199" t="s">
        <v>45098</v>
      </c>
      <c r="S3199" t="s">
        <v>45223</v>
      </c>
      <c r="T3199" t="s">
        <v>47092</v>
      </c>
      <c r="U3199" t="s">
        <v>50183</v>
      </c>
      <c r="W3199" t="s">
        <v>42615</v>
      </c>
      <c r="X3199" t="s">
        <v>45099</v>
      </c>
    </row>
    <row r="3200" spans="1:24">
      <c r="A3200">
        <f>HYPERLINK("https://www.philgeps.gov.ph/GEPSNONPILOT/Tender/SplashBidNoticeAbstractUI.aspx?menuIndex=3&amp;refID=7044212&amp;Result=3","7044212")</f>
        <v>0</v>
      </c>
      <c r="B3200" t="s">
        <v>1133</v>
      </c>
      <c r="C3200" t="s">
        <v>6250</v>
      </c>
      <c r="D3200" t="s">
        <v>18022</v>
      </c>
      <c r="E3200" t="s">
        <v>21033</v>
      </c>
      <c r="F3200" t="s">
        <v>31574</v>
      </c>
      <c r="G3200" t="s">
        <v>31582</v>
      </c>
      <c r="H3200" t="s">
        <v>31590</v>
      </c>
      <c r="I3200" t="s">
        <v>3487</v>
      </c>
      <c r="J3200" t="s">
        <v>33906</v>
      </c>
      <c r="K3200" t="s">
        <v>41213</v>
      </c>
      <c r="M3200" t="s">
        <v>42685</v>
      </c>
      <c r="N3200" t="s">
        <v>45095</v>
      </c>
      <c r="O3200" t="s">
        <v>45096</v>
      </c>
      <c r="P3200">
        <v>0</v>
      </c>
      <c r="Q3200">
        <v>3</v>
      </c>
      <c r="R3200" t="s">
        <v>45098</v>
      </c>
      <c r="S3200" t="s">
        <v>45223</v>
      </c>
      <c r="T3200" t="s">
        <v>46926</v>
      </c>
      <c r="U3200" t="s">
        <v>50180</v>
      </c>
      <c r="V3200" t="s">
        <v>60153</v>
      </c>
      <c r="W3200" t="s">
        <v>42685</v>
      </c>
      <c r="X3200" t="s">
        <v>45099</v>
      </c>
    </row>
    <row r="3201" spans="1:24">
      <c r="A3201">
        <f>HYPERLINK("https://www.philgeps.gov.ph/GEPSNONPILOT/Tender/SplashBidNoticeAbstractUI.aspx?menuIndex=3&amp;refID=7044235&amp;Result=3","7044235")</f>
        <v>0</v>
      </c>
      <c r="B3201" t="s">
        <v>1134</v>
      </c>
      <c r="C3201" t="s">
        <v>6251</v>
      </c>
      <c r="D3201" t="s">
        <v>18103</v>
      </c>
      <c r="E3201" t="s">
        <v>21034</v>
      </c>
      <c r="F3201" t="s">
        <v>31574</v>
      </c>
      <c r="G3201" t="s">
        <v>31581</v>
      </c>
      <c r="H3201" t="s">
        <v>31590</v>
      </c>
      <c r="I3201" t="s">
        <v>3520</v>
      </c>
      <c r="J3201" t="s">
        <v>33907</v>
      </c>
      <c r="K3201" t="s">
        <v>41193</v>
      </c>
      <c r="M3201" t="s">
        <v>42686</v>
      </c>
      <c r="N3201" t="s">
        <v>45095</v>
      </c>
      <c r="O3201" t="s">
        <v>45096</v>
      </c>
      <c r="P3201">
        <v>0</v>
      </c>
      <c r="Q3201">
        <v>1</v>
      </c>
      <c r="R3201" t="s">
        <v>45098</v>
      </c>
      <c r="S3201" t="s">
        <v>45223</v>
      </c>
      <c r="T3201" t="s">
        <v>47106</v>
      </c>
      <c r="U3201" t="s">
        <v>50184</v>
      </c>
      <c r="W3201" t="s">
        <v>42686</v>
      </c>
      <c r="X3201" t="s">
        <v>45099</v>
      </c>
    </row>
    <row r="3202" spans="1:24">
      <c r="A3202">
        <f>HYPERLINK("https://www.philgeps.gov.ph/GEPSNONPILOT/Tender/SplashBidNoticeAbstractUI.aspx?menuIndex=3&amp;refID=7044201&amp;Result=3","7044201")</f>
        <v>0</v>
      </c>
      <c r="B3202" t="s">
        <v>1121</v>
      </c>
      <c r="C3202" t="s">
        <v>6252</v>
      </c>
      <c r="D3202" t="s">
        <v>18107</v>
      </c>
      <c r="E3202" t="s">
        <v>21035</v>
      </c>
      <c r="F3202" t="s">
        <v>31574</v>
      </c>
      <c r="G3202" t="s">
        <v>31582</v>
      </c>
      <c r="H3202" t="s">
        <v>31590</v>
      </c>
      <c r="I3202" t="s">
        <v>5717</v>
      </c>
      <c r="J3202" t="s">
        <v>33908</v>
      </c>
      <c r="K3202" t="s">
        <v>41206</v>
      </c>
      <c r="L3202" t="s">
        <v>1121</v>
      </c>
      <c r="M3202" t="s">
        <v>42672</v>
      </c>
      <c r="N3202" t="s">
        <v>45095</v>
      </c>
      <c r="O3202" t="s">
        <v>45096</v>
      </c>
      <c r="P3202">
        <v>0</v>
      </c>
      <c r="Q3202">
        <v>2</v>
      </c>
      <c r="R3202" t="s">
        <v>45098</v>
      </c>
      <c r="S3202" t="s">
        <v>45223</v>
      </c>
      <c r="T3202" t="s">
        <v>46919</v>
      </c>
      <c r="U3202" t="s">
        <v>50185</v>
      </c>
      <c r="V3202" t="s">
        <v>60150</v>
      </c>
      <c r="W3202" t="s">
        <v>42672</v>
      </c>
      <c r="X3202" t="s">
        <v>45099</v>
      </c>
    </row>
    <row r="3203" spans="1:24">
      <c r="A3203">
        <f>HYPERLINK("https://www.philgeps.gov.ph/GEPSNONPILOT/Tender/SplashBidNoticeAbstractUI.aspx?menuIndex=3&amp;refID=7044223&amp;Result=3","7044223")</f>
        <v>0</v>
      </c>
      <c r="B3203" t="s">
        <v>1135</v>
      </c>
      <c r="C3203" t="s">
        <v>6253</v>
      </c>
      <c r="D3203" t="s">
        <v>18052</v>
      </c>
      <c r="E3203" t="s">
        <v>18590</v>
      </c>
      <c r="F3203" t="s">
        <v>31574</v>
      </c>
      <c r="G3203" t="s">
        <v>31583</v>
      </c>
      <c r="H3203" t="s">
        <v>31590</v>
      </c>
      <c r="I3203" t="s">
        <v>4046</v>
      </c>
      <c r="J3203" t="s">
        <v>33909</v>
      </c>
      <c r="K3203" t="s">
        <v>41184</v>
      </c>
      <c r="M3203" t="s">
        <v>42687</v>
      </c>
      <c r="N3203" t="s">
        <v>45095</v>
      </c>
      <c r="O3203" t="s">
        <v>45096</v>
      </c>
      <c r="P3203">
        <v>0</v>
      </c>
      <c r="Q3203">
        <v>0</v>
      </c>
      <c r="R3203" t="s">
        <v>45098</v>
      </c>
      <c r="S3203" t="s">
        <v>45223</v>
      </c>
      <c r="T3203" t="s">
        <v>47050</v>
      </c>
      <c r="U3203" t="s">
        <v>50186</v>
      </c>
      <c r="W3203" t="s">
        <v>42687</v>
      </c>
      <c r="X3203" t="s">
        <v>45099</v>
      </c>
    </row>
    <row r="3204" spans="1:24">
      <c r="A3204">
        <f>HYPERLINK("https://www.philgeps.gov.ph/GEPSNONPILOT/Tender/SplashBidNoticeAbstractUI.aspx?menuIndex=3&amp;refID=7044234&amp;Result=3","7044234")</f>
        <v>0</v>
      </c>
      <c r="B3204" t="s">
        <v>1136</v>
      </c>
      <c r="C3204" t="s">
        <v>6254</v>
      </c>
      <c r="D3204" t="s">
        <v>18022</v>
      </c>
      <c r="E3204" t="s">
        <v>18422</v>
      </c>
      <c r="F3204" t="s">
        <v>31574</v>
      </c>
      <c r="G3204" t="s">
        <v>31582</v>
      </c>
      <c r="H3204" t="s">
        <v>31592</v>
      </c>
      <c r="I3204" t="s">
        <v>4677</v>
      </c>
      <c r="J3204" t="s">
        <v>33910</v>
      </c>
      <c r="K3204" t="s">
        <v>41225</v>
      </c>
      <c r="M3204" t="s">
        <v>42688</v>
      </c>
      <c r="N3204" t="s">
        <v>45095</v>
      </c>
      <c r="O3204" t="s">
        <v>45096</v>
      </c>
      <c r="P3204">
        <v>0</v>
      </c>
      <c r="Q3204">
        <v>4</v>
      </c>
      <c r="R3204" t="s">
        <v>45098</v>
      </c>
      <c r="S3204" t="s">
        <v>45223</v>
      </c>
      <c r="T3204" t="s">
        <v>46915</v>
      </c>
      <c r="U3204" t="s">
        <v>50187</v>
      </c>
      <c r="V3204" t="s">
        <v>60154</v>
      </c>
      <c r="W3204" t="s">
        <v>42688</v>
      </c>
      <c r="X3204" t="s">
        <v>45099</v>
      </c>
    </row>
    <row r="3205" spans="1:24">
      <c r="A3205">
        <f>HYPERLINK("https://www.philgeps.gov.ph/GEPSNONPILOT/Tender/SplashBidNoticeAbstractUI.aspx?menuIndex=3&amp;refID=7044215&amp;Result=3","7044215")</f>
        <v>0</v>
      </c>
      <c r="B3205" t="s">
        <v>1109</v>
      </c>
      <c r="C3205" t="s">
        <v>6255</v>
      </c>
      <c r="D3205" t="s">
        <v>18068</v>
      </c>
      <c r="E3205" t="s">
        <v>21036</v>
      </c>
      <c r="F3205" t="s">
        <v>31574</v>
      </c>
      <c r="G3205" t="s">
        <v>31582</v>
      </c>
      <c r="H3205" t="s">
        <v>31590</v>
      </c>
      <c r="I3205" t="s">
        <v>31602</v>
      </c>
      <c r="J3205" t="s">
        <v>33911</v>
      </c>
      <c r="K3205" t="s">
        <v>41186</v>
      </c>
      <c r="M3205" t="s">
        <v>42658</v>
      </c>
      <c r="N3205" t="s">
        <v>45095</v>
      </c>
      <c r="O3205" t="s">
        <v>45096</v>
      </c>
      <c r="P3205">
        <v>0</v>
      </c>
      <c r="Q3205">
        <v>0</v>
      </c>
      <c r="R3205" t="s">
        <v>45098</v>
      </c>
      <c r="S3205" t="s">
        <v>45223</v>
      </c>
      <c r="T3205" t="s">
        <v>47062</v>
      </c>
      <c r="U3205" t="s">
        <v>50188</v>
      </c>
      <c r="W3205" t="s">
        <v>42658</v>
      </c>
      <c r="X3205" t="s">
        <v>45099</v>
      </c>
    </row>
    <row r="3206" spans="1:24">
      <c r="A3206">
        <f>HYPERLINK("https://www.philgeps.gov.ph/GEPSNONPILOT/Tender/SplashBidNoticeAbstractUI.aspx?menuIndex=3&amp;refID=7044236&amp;Result=3","7044236")</f>
        <v>0</v>
      </c>
      <c r="B3206" t="s">
        <v>1134</v>
      </c>
      <c r="C3206" t="s">
        <v>6251</v>
      </c>
      <c r="D3206" t="s">
        <v>18103</v>
      </c>
      <c r="E3206" t="s">
        <v>21037</v>
      </c>
      <c r="F3206" t="s">
        <v>31574</v>
      </c>
      <c r="G3206" t="s">
        <v>31581</v>
      </c>
      <c r="H3206" t="s">
        <v>31590</v>
      </c>
      <c r="I3206" t="s">
        <v>3520</v>
      </c>
      <c r="J3206" t="s">
        <v>33912</v>
      </c>
      <c r="K3206" t="s">
        <v>41193</v>
      </c>
      <c r="M3206" t="s">
        <v>42686</v>
      </c>
      <c r="N3206" t="s">
        <v>45095</v>
      </c>
      <c r="O3206" t="s">
        <v>45096</v>
      </c>
      <c r="P3206">
        <v>0</v>
      </c>
      <c r="Q3206">
        <v>1</v>
      </c>
      <c r="R3206" t="s">
        <v>45098</v>
      </c>
      <c r="S3206" t="s">
        <v>45223</v>
      </c>
      <c r="T3206" t="s">
        <v>47106</v>
      </c>
      <c r="U3206" t="s">
        <v>50184</v>
      </c>
      <c r="W3206" t="s">
        <v>42686</v>
      </c>
      <c r="X3206" t="s">
        <v>45099</v>
      </c>
    </row>
    <row r="3207" spans="1:24">
      <c r="A3207">
        <f>HYPERLINK("https://www.philgeps.gov.ph/GEPSNONPILOT/Tender/SplashBidNoticeAbstractUI.aspx?menuIndex=3&amp;refID=7044231&amp;Result=3","7044231")</f>
        <v>0</v>
      </c>
      <c r="B3207" t="s">
        <v>1137</v>
      </c>
      <c r="C3207" t="s">
        <v>6256</v>
      </c>
      <c r="D3207" t="s">
        <v>18023</v>
      </c>
      <c r="E3207" t="s">
        <v>19061</v>
      </c>
      <c r="F3207" t="s">
        <v>31574</v>
      </c>
      <c r="G3207" t="s">
        <v>31582</v>
      </c>
      <c r="H3207" t="s">
        <v>31590</v>
      </c>
      <c r="I3207" t="s">
        <v>4046</v>
      </c>
      <c r="J3207" t="s">
        <v>33913</v>
      </c>
      <c r="K3207" t="s">
        <v>41186</v>
      </c>
      <c r="M3207" t="s">
        <v>42689</v>
      </c>
      <c r="N3207" t="s">
        <v>45095</v>
      </c>
      <c r="O3207" t="s">
        <v>45096</v>
      </c>
      <c r="P3207">
        <v>0</v>
      </c>
      <c r="Q3207">
        <v>0</v>
      </c>
      <c r="R3207" t="s">
        <v>45098</v>
      </c>
      <c r="S3207" t="s">
        <v>45223</v>
      </c>
      <c r="T3207" t="s">
        <v>47097</v>
      </c>
      <c r="U3207" t="s">
        <v>50189</v>
      </c>
      <c r="W3207" t="s">
        <v>42689</v>
      </c>
      <c r="X3207" t="s">
        <v>45099</v>
      </c>
    </row>
    <row r="3208" spans="1:24">
      <c r="A3208">
        <f>HYPERLINK("https://www.philgeps.gov.ph/GEPSNONPILOT/Tender/SplashBidNoticeAbstractUI.aspx?menuIndex=3&amp;refID=7044233&amp;Result=3","7044233")</f>
        <v>0</v>
      </c>
      <c r="B3208" t="s">
        <v>1138</v>
      </c>
      <c r="C3208" t="s">
        <v>6257</v>
      </c>
      <c r="D3208" t="s">
        <v>18059</v>
      </c>
      <c r="E3208" t="s">
        <v>21038</v>
      </c>
      <c r="F3208" t="s">
        <v>31574</v>
      </c>
      <c r="G3208" t="s">
        <v>31582</v>
      </c>
      <c r="H3208" t="s">
        <v>31590</v>
      </c>
      <c r="I3208" t="s">
        <v>14544</v>
      </c>
      <c r="J3208" t="s">
        <v>31962</v>
      </c>
      <c r="K3208" t="s">
        <v>41186</v>
      </c>
      <c r="M3208" t="s">
        <v>42690</v>
      </c>
      <c r="N3208" t="s">
        <v>45095</v>
      </c>
      <c r="O3208" t="s">
        <v>45096</v>
      </c>
      <c r="P3208">
        <v>0</v>
      </c>
      <c r="Q3208">
        <v>0</v>
      </c>
      <c r="R3208" t="s">
        <v>45098</v>
      </c>
      <c r="S3208" t="s">
        <v>45223</v>
      </c>
      <c r="T3208" t="s">
        <v>46938</v>
      </c>
      <c r="U3208" t="s">
        <v>50190</v>
      </c>
      <c r="W3208" t="s">
        <v>42690</v>
      </c>
      <c r="X3208" t="s">
        <v>45099</v>
      </c>
    </row>
    <row r="3209" spans="1:24">
      <c r="A3209">
        <f>HYPERLINK("https://www.philgeps.gov.ph/GEPSNONPILOT/Tender/SplashBidNoticeAbstractUI.aspx?menuIndex=3&amp;refID=7044228&amp;Result=3","7044228")</f>
        <v>0</v>
      </c>
      <c r="B3209" t="s">
        <v>1139</v>
      </c>
      <c r="C3209" t="s">
        <v>6258</v>
      </c>
      <c r="D3209" t="s">
        <v>18023</v>
      </c>
      <c r="E3209" t="s">
        <v>21039</v>
      </c>
      <c r="F3209" t="s">
        <v>31574</v>
      </c>
      <c r="G3209" t="s">
        <v>31581</v>
      </c>
      <c r="H3209" t="s">
        <v>31590</v>
      </c>
      <c r="I3209" t="s">
        <v>31691</v>
      </c>
      <c r="J3209" t="s">
        <v>33914</v>
      </c>
      <c r="K3209" t="s">
        <v>41190</v>
      </c>
      <c r="M3209" t="s">
        <v>42691</v>
      </c>
      <c r="N3209" t="s">
        <v>45095</v>
      </c>
      <c r="O3209" t="s">
        <v>45096</v>
      </c>
      <c r="P3209">
        <v>0</v>
      </c>
      <c r="Q3209">
        <v>0</v>
      </c>
      <c r="R3209" t="s">
        <v>45098</v>
      </c>
      <c r="S3209" t="s">
        <v>45223</v>
      </c>
      <c r="T3209" t="s">
        <v>46973</v>
      </c>
      <c r="U3209" t="s">
        <v>50191</v>
      </c>
      <c r="W3209" t="s">
        <v>42691</v>
      </c>
      <c r="X3209" t="s">
        <v>45099</v>
      </c>
    </row>
    <row r="3210" spans="1:24">
      <c r="A3210">
        <f>HYPERLINK("https://www.philgeps.gov.ph/GEPSNONPILOT/Tender/SplashBidNoticeAbstractUI.aspx?menuIndex=3&amp;refID=7044229&amp;Result=3","7044229")</f>
        <v>0</v>
      </c>
      <c r="B3210" t="s">
        <v>1134</v>
      </c>
      <c r="C3210" t="s">
        <v>6251</v>
      </c>
      <c r="D3210" t="s">
        <v>18103</v>
      </c>
      <c r="E3210" t="s">
        <v>21040</v>
      </c>
      <c r="F3210" t="s">
        <v>31574</v>
      </c>
      <c r="G3210" t="s">
        <v>31581</v>
      </c>
      <c r="H3210" t="s">
        <v>31590</v>
      </c>
      <c r="I3210" t="s">
        <v>3520</v>
      </c>
      <c r="J3210" t="s">
        <v>33915</v>
      </c>
      <c r="K3210" t="s">
        <v>41193</v>
      </c>
      <c r="M3210" t="s">
        <v>42686</v>
      </c>
      <c r="N3210" t="s">
        <v>45095</v>
      </c>
      <c r="O3210" t="s">
        <v>45096</v>
      </c>
      <c r="P3210">
        <v>0</v>
      </c>
      <c r="Q3210">
        <v>2</v>
      </c>
      <c r="R3210" t="s">
        <v>45098</v>
      </c>
      <c r="S3210" t="s">
        <v>45223</v>
      </c>
      <c r="T3210" t="s">
        <v>47106</v>
      </c>
      <c r="U3210" t="s">
        <v>50184</v>
      </c>
      <c r="W3210" t="s">
        <v>42686</v>
      </c>
      <c r="X3210" t="s">
        <v>45099</v>
      </c>
    </row>
    <row r="3211" spans="1:24">
      <c r="A3211">
        <f>HYPERLINK("https://www.philgeps.gov.ph/GEPSNONPILOT/Tender/SplashBidNoticeAbstractUI.aspx?menuIndex=3&amp;refID=7044241&amp;Result=3","7044241")</f>
        <v>0</v>
      </c>
      <c r="B3211" t="s">
        <v>1136</v>
      </c>
      <c r="C3211" t="s">
        <v>6259</v>
      </c>
      <c r="D3211" t="s">
        <v>18022</v>
      </c>
      <c r="E3211" t="s">
        <v>18788</v>
      </c>
      <c r="F3211" t="s">
        <v>31574</v>
      </c>
      <c r="G3211" t="s">
        <v>31582</v>
      </c>
      <c r="H3211" t="s">
        <v>31592</v>
      </c>
      <c r="I3211" t="s">
        <v>31596</v>
      </c>
      <c r="J3211" t="s">
        <v>33916</v>
      </c>
      <c r="K3211" t="s">
        <v>41225</v>
      </c>
      <c r="M3211" t="s">
        <v>42688</v>
      </c>
      <c r="N3211" t="s">
        <v>45095</v>
      </c>
      <c r="O3211" t="s">
        <v>45096</v>
      </c>
      <c r="P3211">
        <v>0</v>
      </c>
      <c r="Q3211">
        <v>1</v>
      </c>
      <c r="R3211" t="s">
        <v>45098</v>
      </c>
      <c r="S3211" t="s">
        <v>45223</v>
      </c>
      <c r="T3211" t="s">
        <v>46915</v>
      </c>
      <c r="U3211" t="s">
        <v>50192</v>
      </c>
      <c r="V3211" t="s">
        <v>60154</v>
      </c>
      <c r="W3211" t="s">
        <v>42688</v>
      </c>
      <c r="X3211" t="s">
        <v>45099</v>
      </c>
    </row>
    <row r="3212" spans="1:24">
      <c r="A3212">
        <f>HYPERLINK("https://www.philgeps.gov.ph/GEPSNONPILOT/Tender/SplashBidNoticeAbstractUI.aspx?menuIndex=3&amp;refID=7044230&amp;Result=3","7044230")</f>
        <v>0</v>
      </c>
      <c r="B3212" t="s">
        <v>473</v>
      </c>
      <c r="C3212" t="s">
        <v>6260</v>
      </c>
      <c r="D3212" t="s">
        <v>18030</v>
      </c>
      <c r="E3212" t="s">
        <v>18227</v>
      </c>
      <c r="F3212" t="s">
        <v>31575</v>
      </c>
      <c r="G3212" t="s">
        <v>31583</v>
      </c>
      <c r="H3212" t="s">
        <v>31592</v>
      </c>
      <c r="I3212" t="s">
        <v>7162</v>
      </c>
      <c r="J3212" t="s">
        <v>33917</v>
      </c>
      <c r="K3212" t="s">
        <v>41215</v>
      </c>
      <c r="M3212" t="s">
        <v>41968</v>
      </c>
      <c r="N3212" t="s">
        <v>45095</v>
      </c>
      <c r="O3212" t="s">
        <v>45096</v>
      </c>
      <c r="P3212">
        <v>0</v>
      </c>
      <c r="Q3212">
        <v>0</v>
      </c>
      <c r="R3212" t="s">
        <v>45098</v>
      </c>
      <c r="S3212" t="s">
        <v>45223</v>
      </c>
      <c r="T3212" t="s">
        <v>47067</v>
      </c>
      <c r="U3212" t="s">
        <v>50193</v>
      </c>
      <c r="W3212" t="s">
        <v>41968</v>
      </c>
      <c r="X3212" t="s">
        <v>45099</v>
      </c>
    </row>
    <row r="3213" spans="1:24">
      <c r="A3213">
        <f>HYPERLINK("https://www.philgeps.gov.ph/GEPSNONPILOT/Tender/SplashBidNoticeAbstractUI.aspx?menuIndex=3&amp;refID=7044239&amp;Result=3","7044239")</f>
        <v>0</v>
      </c>
      <c r="B3213" t="s">
        <v>1134</v>
      </c>
      <c r="C3213" t="s">
        <v>6251</v>
      </c>
      <c r="D3213" t="s">
        <v>18103</v>
      </c>
      <c r="E3213" t="s">
        <v>21041</v>
      </c>
      <c r="F3213" t="s">
        <v>31574</v>
      </c>
      <c r="G3213" t="s">
        <v>31581</v>
      </c>
      <c r="H3213" t="s">
        <v>31590</v>
      </c>
      <c r="I3213" t="s">
        <v>3520</v>
      </c>
      <c r="J3213" t="s">
        <v>32012</v>
      </c>
      <c r="K3213" t="s">
        <v>41193</v>
      </c>
      <c r="M3213" t="s">
        <v>42686</v>
      </c>
      <c r="N3213" t="s">
        <v>45095</v>
      </c>
      <c r="O3213" t="s">
        <v>45096</v>
      </c>
      <c r="P3213">
        <v>0</v>
      </c>
      <c r="Q3213">
        <v>1</v>
      </c>
      <c r="R3213" t="s">
        <v>45098</v>
      </c>
      <c r="S3213" t="s">
        <v>45223</v>
      </c>
      <c r="T3213" t="s">
        <v>47106</v>
      </c>
      <c r="U3213" t="s">
        <v>50184</v>
      </c>
      <c r="W3213" t="s">
        <v>42686</v>
      </c>
      <c r="X3213" t="s">
        <v>45099</v>
      </c>
    </row>
    <row r="3214" spans="1:24">
      <c r="A3214">
        <f>HYPERLINK("https://www.philgeps.gov.ph/GEPSNONPILOT/Tender/SplashBidNoticeAbstractUI.aspx?menuIndex=3&amp;refID=7044227&amp;Result=3","7044227")</f>
        <v>0</v>
      </c>
      <c r="B3214" t="s">
        <v>1139</v>
      </c>
      <c r="C3214" t="s">
        <v>6261</v>
      </c>
      <c r="D3214" t="s">
        <v>18023</v>
      </c>
      <c r="E3214" t="s">
        <v>21042</v>
      </c>
      <c r="F3214" t="s">
        <v>31574</v>
      </c>
      <c r="G3214" t="s">
        <v>31582</v>
      </c>
      <c r="H3214" t="s">
        <v>31590</v>
      </c>
      <c r="I3214" t="s">
        <v>31599</v>
      </c>
      <c r="J3214" t="s">
        <v>33918</v>
      </c>
      <c r="K3214" t="s">
        <v>41192</v>
      </c>
      <c r="M3214" t="s">
        <v>42691</v>
      </c>
      <c r="N3214" t="s">
        <v>45095</v>
      </c>
      <c r="O3214" t="s">
        <v>45096</v>
      </c>
      <c r="P3214">
        <v>0</v>
      </c>
      <c r="Q3214">
        <v>1</v>
      </c>
      <c r="R3214" t="s">
        <v>45098</v>
      </c>
      <c r="S3214" t="s">
        <v>45223</v>
      </c>
      <c r="T3214" t="s">
        <v>47100</v>
      </c>
      <c r="U3214" t="s">
        <v>50194</v>
      </c>
      <c r="W3214" t="s">
        <v>42691</v>
      </c>
      <c r="X3214" t="s">
        <v>45099</v>
      </c>
    </row>
    <row r="3215" spans="1:24">
      <c r="A3215">
        <f>HYPERLINK("https://www.philgeps.gov.ph/GEPSNONPILOT/Tender/SplashBidNoticeAbstractUI.aspx?menuIndex=3&amp;refID=7044240&amp;Result=3","7044240")</f>
        <v>0</v>
      </c>
      <c r="B3215" t="s">
        <v>1140</v>
      </c>
      <c r="C3215" t="s">
        <v>6262</v>
      </c>
      <c r="D3215" t="s">
        <v>18055</v>
      </c>
      <c r="E3215" t="s">
        <v>21043</v>
      </c>
      <c r="F3215" t="s">
        <v>31574</v>
      </c>
      <c r="G3215" t="s">
        <v>31581</v>
      </c>
      <c r="H3215" t="s">
        <v>31590</v>
      </c>
      <c r="I3215" t="s">
        <v>4327</v>
      </c>
      <c r="J3215" t="s">
        <v>32028</v>
      </c>
      <c r="K3215" t="s">
        <v>41193</v>
      </c>
      <c r="M3215" t="s">
        <v>42692</v>
      </c>
      <c r="N3215" t="s">
        <v>45095</v>
      </c>
      <c r="O3215" t="s">
        <v>45096</v>
      </c>
      <c r="P3215">
        <v>0</v>
      </c>
      <c r="Q3215">
        <v>2</v>
      </c>
      <c r="R3215" t="s">
        <v>45098</v>
      </c>
      <c r="S3215" t="s">
        <v>45223</v>
      </c>
      <c r="T3215" t="s">
        <v>46973</v>
      </c>
      <c r="U3215" t="s">
        <v>50195</v>
      </c>
      <c r="W3215" t="s">
        <v>42692</v>
      </c>
      <c r="X3215" t="s">
        <v>45099</v>
      </c>
    </row>
    <row r="3216" spans="1:24">
      <c r="A3216">
        <f>HYPERLINK("https://www.philgeps.gov.ph/GEPSNONPILOT/Tender/SplashBidNoticeAbstractUI.aspx?menuIndex=3&amp;refID=7044237&amp;Result=3","7044237")</f>
        <v>0</v>
      </c>
      <c r="B3216" t="s">
        <v>1138</v>
      </c>
      <c r="C3216" t="s">
        <v>6263</v>
      </c>
      <c r="D3216" t="s">
        <v>18059</v>
      </c>
      <c r="E3216" t="s">
        <v>21044</v>
      </c>
      <c r="F3216" t="s">
        <v>31574</v>
      </c>
      <c r="G3216" t="s">
        <v>31582</v>
      </c>
      <c r="H3216" t="s">
        <v>31590</v>
      </c>
      <c r="I3216" t="s">
        <v>31620</v>
      </c>
      <c r="J3216" t="s">
        <v>33919</v>
      </c>
      <c r="K3216" t="s">
        <v>41186</v>
      </c>
      <c r="M3216" t="s">
        <v>42690</v>
      </c>
      <c r="N3216" t="s">
        <v>45095</v>
      </c>
      <c r="O3216" t="s">
        <v>45096</v>
      </c>
      <c r="P3216">
        <v>0</v>
      </c>
      <c r="Q3216">
        <v>2</v>
      </c>
      <c r="R3216" t="s">
        <v>45098</v>
      </c>
      <c r="S3216" t="s">
        <v>45223</v>
      </c>
      <c r="T3216" t="s">
        <v>46938</v>
      </c>
      <c r="U3216" t="s">
        <v>50196</v>
      </c>
      <c r="W3216" t="s">
        <v>42690</v>
      </c>
      <c r="X3216" t="s">
        <v>45099</v>
      </c>
    </row>
    <row r="3217" spans="1:24">
      <c r="A3217">
        <f>HYPERLINK("https://www.philgeps.gov.ph/GEPSNONPILOT/Tender/SplashBidNoticeAbstractUI.aspx?menuIndex=3&amp;refID=7044226&amp;Result=3","7044226")</f>
        <v>0</v>
      </c>
      <c r="B3217" t="s">
        <v>1087</v>
      </c>
      <c r="C3217" t="s">
        <v>6264</v>
      </c>
      <c r="D3217" t="s">
        <v>18107</v>
      </c>
      <c r="E3217" t="s">
        <v>21045</v>
      </c>
      <c r="F3217" t="s">
        <v>31574</v>
      </c>
      <c r="G3217" t="s">
        <v>31582</v>
      </c>
      <c r="H3217" t="s">
        <v>31590</v>
      </c>
      <c r="I3217" t="s">
        <v>31644</v>
      </c>
      <c r="J3217" t="s">
        <v>33920</v>
      </c>
      <c r="K3217" t="s">
        <v>41196</v>
      </c>
      <c r="M3217" t="s">
        <v>42636</v>
      </c>
      <c r="N3217" t="s">
        <v>45095</v>
      </c>
      <c r="O3217" t="s">
        <v>45096</v>
      </c>
      <c r="P3217">
        <v>0</v>
      </c>
      <c r="Q3217">
        <v>1</v>
      </c>
      <c r="R3217" t="s">
        <v>45098</v>
      </c>
      <c r="S3217" t="s">
        <v>45223</v>
      </c>
      <c r="T3217" t="s">
        <v>46956</v>
      </c>
      <c r="U3217" t="s">
        <v>50197</v>
      </c>
      <c r="W3217" t="s">
        <v>42636</v>
      </c>
      <c r="X3217" t="s">
        <v>45099</v>
      </c>
    </row>
    <row r="3218" spans="1:24">
      <c r="A3218">
        <f>HYPERLINK("https://www.philgeps.gov.ph/GEPSNONPILOT/Tender/SplashBidNoticeAbstractUI.aspx?menuIndex=3&amp;refID=7044232&amp;Result=3","7044232")</f>
        <v>0</v>
      </c>
      <c r="B3218" t="s">
        <v>1134</v>
      </c>
      <c r="C3218" t="s">
        <v>6251</v>
      </c>
      <c r="D3218" t="s">
        <v>18103</v>
      </c>
      <c r="E3218" t="s">
        <v>21046</v>
      </c>
      <c r="F3218" t="s">
        <v>31574</v>
      </c>
      <c r="G3218" t="s">
        <v>31581</v>
      </c>
      <c r="H3218" t="s">
        <v>31590</v>
      </c>
      <c r="I3218" t="s">
        <v>3520</v>
      </c>
      <c r="J3218" t="s">
        <v>33921</v>
      </c>
      <c r="K3218" t="s">
        <v>41193</v>
      </c>
      <c r="M3218" t="s">
        <v>42686</v>
      </c>
      <c r="N3218" t="s">
        <v>45095</v>
      </c>
      <c r="O3218" t="s">
        <v>45096</v>
      </c>
      <c r="P3218">
        <v>0</v>
      </c>
      <c r="Q3218">
        <v>2</v>
      </c>
      <c r="R3218" t="s">
        <v>45098</v>
      </c>
      <c r="S3218" t="s">
        <v>45223</v>
      </c>
      <c r="T3218" t="s">
        <v>47106</v>
      </c>
      <c r="U3218" t="s">
        <v>50184</v>
      </c>
      <c r="W3218" t="s">
        <v>42686</v>
      </c>
      <c r="X3218" t="s">
        <v>45099</v>
      </c>
    </row>
    <row r="3219" spans="1:24">
      <c r="A3219">
        <f>HYPERLINK("https://www.philgeps.gov.ph/GEPSNONPILOT/Tender/SplashBidNoticeAbstractUI.aspx?menuIndex=3&amp;refID=7044238&amp;Result=3","7044238")</f>
        <v>0</v>
      </c>
      <c r="B3219" t="s">
        <v>1137</v>
      </c>
      <c r="C3219" t="s">
        <v>6265</v>
      </c>
      <c r="D3219" t="s">
        <v>18023</v>
      </c>
      <c r="E3219" t="s">
        <v>18722</v>
      </c>
      <c r="F3219" t="s">
        <v>31574</v>
      </c>
      <c r="G3219" t="s">
        <v>31582</v>
      </c>
      <c r="H3219" t="s">
        <v>31590</v>
      </c>
      <c r="I3219" t="s">
        <v>4046</v>
      </c>
      <c r="J3219" t="s">
        <v>33913</v>
      </c>
      <c r="K3219" t="s">
        <v>41186</v>
      </c>
      <c r="M3219" t="s">
        <v>42689</v>
      </c>
      <c r="N3219" t="s">
        <v>45095</v>
      </c>
      <c r="O3219" t="s">
        <v>45096</v>
      </c>
      <c r="P3219">
        <v>0</v>
      </c>
      <c r="Q3219">
        <v>0</v>
      </c>
      <c r="R3219" t="s">
        <v>45098</v>
      </c>
      <c r="S3219" t="s">
        <v>45223</v>
      </c>
      <c r="T3219" t="s">
        <v>47097</v>
      </c>
      <c r="U3219" t="s">
        <v>50198</v>
      </c>
      <c r="W3219" t="s">
        <v>42689</v>
      </c>
      <c r="X3219" t="s">
        <v>45099</v>
      </c>
    </row>
    <row r="3220" spans="1:24">
      <c r="A3220">
        <f>HYPERLINK("https://www.philgeps.gov.ph/GEPSNONPILOT/Tender/SplashBidNoticeAbstractUI.aspx?menuIndex=3&amp;refID=7044224&amp;Result=3","7044224")</f>
        <v>0</v>
      </c>
      <c r="B3220" t="s">
        <v>964</v>
      </c>
      <c r="C3220" t="s">
        <v>6266</v>
      </c>
      <c r="D3220" t="s">
        <v>18079</v>
      </c>
      <c r="E3220" t="s">
        <v>21047</v>
      </c>
      <c r="F3220" t="s">
        <v>31574</v>
      </c>
      <c r="G3220" t="s">
        <v>31584</v>
      </c>
      <c r="H3220" t="s">
        <v>31590</v>
      </c>
      <c r="I3220" t="s">
        <v>6800</v>
      </c>
      <c r="J3220" t="s">
        <v>33922</v>
      </c>
      <c r="K3220" t="s">
        <v>41211</v>
      </c>
      <c r="M3220" t="s">
        <v>42693</v>
      </c>
      <c r="N3220" t="s">
        <v>45095</v>
      </c>
      <c r="O3220" t="s">
        <v>45096</v>
      </c>
      <c r="P3220">
        <v>0</v>
      </c>
      <c r="Q3220">
        <v>7</v>
      </c>
      <c r="R3220" t="s">
        <v>45098</v>
      </c>
      <c r="S3220" t="s">
        <v>45223</v>
      </c>
      <c r="T3220" t="s">
        <v>46957</v>
      </c>
      <c r="U3220" t="s">
        <v>50199</v>
      </c>
      <c r="W3220" t="s">
        <v>42693</v>
      </c>
      <c r="X3220" t="s">
        <v>45099</v>
      </c>
    </row>
    <row r="3221" spans="1:24">
      <c r="A3221">
        <f>HYPERLINK("https://www.philgeps.gov.ph/GEPSNONPILOT/Tender/SplashBidNoticeAbstractUI.aspx?menuIndex=3&amp;refID=7044225&amp;Result=3","7044225")</f>
        <v>0</v>
      </c>
      <c r="B3221" t="s">
        <v>1138</v>
      </c>
      <c r="C3221" t="s">
        <v>6267</v>
      </c>
      <c r="D3221" t="s">
        <v>18059</v>
      </c>
      <c r="E3221" t="s">
        <v>21048</v>
      </c>
      <c r="F3221" t="s">
        <v>31574</v>
      </c>
      <c r="G3221" t="s">
        <v>31582</v>
      </c>
      <c r="H3221" t="s">
        <v>31590</v>
      </c>
      <c r="I3221" t="s">
        <v>4327</v>
      </c>
      <c r="J3221" t="s">
        <v>31789</v>
      </c>
      <c r="K3221" t="s">
        <v>41186</v>
      </c>
      <c r="M3221" t="s">
        <v>42690</v>
      </c>
      <c r="N3221" t="s">
        <v>45095</v>
      </c>
      <c r="O3221" t="s">
        <v>45096</v>
      </c>
      <c r="P3221">
        <v>0</v>
      </c>
      <c r="Q3221">
        <v>1</v>
      </c>
      <c r="R3221" t="s">
        <v>45098</v>
      </c>
      <c r="S3221" t="s">
        <v>45223</v>
      </c>
      <c r="T3221" t="s">
        <v>46938</v>
      </c>
      <c r="U3221" t="s">
        <v>50200</v>
      </c>
      <c r="W3221" t="s">
        <v>42690</v>
      </c>
      <c r="X3221" t="s">
        <v>45099</v>
      </c>
    </row>
    <row r="3222" spans="1:24">
      <c r="A3222">
        <f>HYPERLINK("https://www.philgeps.gov.ph/GEPSNONPILOT/Tender/SplashBidNoticeAbstractUI.aspx?menuIndex=3&amp;refID=7044242&amp;Result=3","7044242")</f>
        <v>0</v>
      </c>
      <c r="B3222" t="s">
        <v>1134</v>
      </c>
      <c r="C3222" t="s">
        <v>6251</v>
      </c>
      <c r="D3222" t="s">
        <v>18103</v>
      </c>
      <c r="E3222" t="s">
        <v>21049</v>
      </c>
      <c r="F3222" t="s">
        <v>31574</v>
      </c>
      <c r="G3222" t="s">
        <v>31581</v>
      </c>
      <c r="H3222" t="s">
        <v>31590</v>
      </c>
      <c r="I3222" t="s">
        <v>3520</v>
      </c>
      <c r="J3222" t="s">
        <v>33923</v>
      </c>
      <c r="K3222" t="s">
        <v>41193</v>
      </c>
      <c r="M3222" t="s">
        <v>42686</v>
      </c>
      <c r="N3222" t="s">
        <v>45095</v>
      </c>
      <c r="O3222" t="s">
        <v>45096</v>
      </c>
      <c r="P3222">
        <v>0</v>
      </c>
      <c r="Q3222">
        <v>1</v>
      </c>
      <c r="R3222" t="s">
        <v>45098</v>
      </c>
      <c r="S3222" t="s">
        <v>45223</v>
      </c>
      <c r="T3222" t="s">
        <v>47106</v>
      </c>
      <c r="U3222" t="s">
        <v>50184</v>
      </c>
      <c r="W3222" t="s">
        <v>42686</v>
      </c>
      <c r="X3222" t="s">
        <v>45099</v>
      </c>
    </row>
    <row r="3223" spans="1:24">
      <c r="A3223">
        <f>HYPERLINK("https://www.philgeps.gov.ph/GEPSNONPILOT/Tender/SplashBidNoticeAbstractUI.aspx?menuIndex=3&amp;refID=7044248&amp;Result=3","7044248")</f>
        <v>0</v>
      </c>
      <c r="B3223" t="s">
        <v>1138</v>
      </c>
      <c r="C3223" t="s">
        <v>6268</v>
      </c>
      <c r="D3223" t="s">
        <v>18059</v>
      </c>
      <c r="E3223" t="s">
        <v>21050</v>
      </c>
      <c r="F3223" t="s">
        <v>31574</v>
      </c>
      <c r="G3223" t="s">
        <v>31582</v>
      </c>
      <c r="H3223" t="s">
        <v>31590</v>
      </c>
      <c r="I3223" t="s">
        <v>31615</v>
      </c>
      <c r="J3223" t="s">
        <v>32323</v>
      </c>
      <c r="K3223" t="s">
        <v>41186</v>
      </c>
      <c r="M3223" t="s">
        <v>42690</v>
      </c>
      <c r="N3223" t="s">
        <v>45095</v>
      </c>
      <c r="O3223" t="s">
        <v>45096</v>
      </c>
      <c r="P3223">
        <v>0</v>
      </c>
      <c r="Q3223">
        <v>2</v>
      </c>
      <c r="R3223" t="s">
        <v>45098</v>
      </c>
      <c r="S3223" t="s">
        <v>45223</v>
      </c>
      <c r="T3223" t="s">
        <v>47037</v>
      </c>
      <c r="U3223" t="s">
        <v>50201</v>
      </c>
      <c r="W3223" t="s">
        <v>42690</v>
      </c>
      <c r="X3223" t="s">
        <v>45099</v>
      </c>
    </row>
    <row r="3224" spans="1:24">
      <c r="A3224">
        <f>HYPERLINK("https://www.philgeps.gov.ph/GEPSNONPILOT/Tender/SplashBidNoticeAbstractUI.aspx?menuIndex=3&amp;refID=7044246&amp;Result=3","7044246")</f>
        <v>0</v>
      </c>
      <c r="B3224" t="s">
        <v>1137</v>
      </c>
      <c r="C3224" t="s">
        <v>6269</v>
      </c>
      <c r="D3224" t="s">
        <v>18023</v>
      </c>
      <c r="E3224" t="s">
        <v>18367</v>
      </c>
      <c r="F3224" t="s">
        <v>31574</v>
      </c>
      <c r="G3224" t="s">
        <v>31582</v>
      </c>
      <c r="H3224" t="s">
        <v>31590</v>
      </c>
      <c r="I3224" t="s">
        <v>4046</v>
      </c>
      <c r="J3224" t="s">
        <v>33913</v>
      </c>
      <c r="K3224" t="s">
        <v>41186</v>
      </c>
      <c r="M3224" t="s">
        <v>42689</v>
      </c>
      <c r="N3224" t="s">
        <v>45095</v>
      </c>
      <c r="O3224" t="s">
        <v>45096</v>
      </c>
      <c r="P3224">
        <v>0</v>
      </c>
      <c r="Q3224">
        <v>0</v>
      </c>
      <c r="R3224" t="s">
        <v>45098</v>
      </c>
      <c r="S3224" t="s">
        <v>45223</v>
      </c>
      <c r="T3224" t="s">
        <v>47097</v>
      </c>
      <c r="U3224" t="s">
        <v>50202</v>
      </c>
      <c r="W3224" t="s">
        <v>42689</v>
      </c>
      <c r="X3224" t="s">
        <v>45099</v>
      </c>
    </row>
    <row r="3225" spans="1:24">
      <c r="A3225">
        <f>HYPERLINK("https://www.philgeps.gov.ph/GEPSNONPILOT/Tender/SplashBidNoticeAbstractUI.aspx?menuIndex=3&amp;refID=7044244&amp;Result=3","7044244")</f>
        <v>0</v>
      </c>
      <c r="B3225" t="s">
        <v>1141</v>
      </c>
      <c r="C3225" t="s">
        <v>6270</v>
      </c>
      <c r="D3225" t="s">
        <v>18039</v>
      </c>
      <c r="E3225" t="s">
        <v>18588</v>
      </c>
      <c r="F3225" t="s">
        <v>31574</v>
      </c>
      <c r="G3225" t="s">
        <v>31583</v>
      </c>
      <c r="H3225" t="s">
        <v>31591</v>
      </c>
      <c r="I3225" t="s">
        <v>4046</v>
      </c>
      <c r="J3225" t="s">
        <v>33924</v>
      </c>
      <c r="K3225" t="s">
        <v>41184</v>
      </c>
      <c r="M3225" t="s">
        <v>42694</v>
      </c>
      <c r="N3225" t="s">
        <v>45095</v>
      </c>
      <c r="O3225" t="s">
        <v>45096</v>
      </c>
      <c r="P3225">
        <v>0</v>
      </c>
      <c r="Q3225">
        <v>0</v>
      </c>
      <c r="R3225" t="s">
        <v>45098</v>
      </c>
      <c r="S3225" t="s">
        <v>45223</v>
      </c>
      <c r="T3225" t="s">
        <v>47008</v>
      </c>
      <c r="U3225" t="s">
        <v>50203</v>
      </c>
      <c r="W3225" t="s">
        <v>42694</v>
      </c>
      <c r="X3225" t="s">
        <v>45099</v>
      </c>
    </row>
    <row r="3226" spans="1:24">
      <c r="A3226">
        <f>HYPERLINK("https://www.philgeps.gov.ph/GEPSNONPILOT/Tender/SplashBidNoticeAbstractUI.aspx?menuIndex=3&amp;refID=7044243&amp;Result=3","7044243")</f>
        <v>0</v>
      </c>
      <c r="B3226" t="s">
        <v>1134</v>
      </c>
      <c r="C3226" t="s">
        <v>6271</v>
      </c>
      <c r="D3226" t="s">
        <v>18103</v>
      </c>
      <c r="E3226" t="s">
        <v>21051</v>
      </c>
      <c r="F3226" t="s">
        <v>31574</v>
      </c>
      <c r="G3226" t="s">
        <v>31581</v>
      </c>
      <c r="H3226" t="s">
        <v>31590</v>
      </c>
      <c r="I3226" t="s">
        <v>3520</v>
      </c>
      <c r="J3226" t="s">
        <v>33925</v>
      </c>
      <c r="K3226" t="s">
        <v>41193</v>
      </c>
      <c r="M3226" t="s">
        <v>42686</v>
      </c>
      <c r="N3226" t="s">
        <v>45095</v>
      </c>
      <c r="O3226" t="s">
        <v>45096</v>
      </c>
      <c r="P3226">
        <v>0</v>
      </c>
      <c r="Q3226">
        <v>1</v>
      </c>
      <c r="R3226" t="s">
        <v>45098</v>
      </c>
      <c r="S3226" t="s">
        <v>45223</v>
      </c>
      <c r="T3226" t="s">
        <v>47106</v>
      </c>
      <c r="U3226" t="s">
        <v>50184</v>
      </c>
      <c r="W3226" t="s">
        <v>42686</v>
      </c>
      <c r="X3226" t="s">
        <v>45099</v>
      </c>
    </row>
    <row r="3227" spans="1:24">
      <c r="A3227">
        <f>HYPERLINK("https://www.philgeps.gov.ph/GEPSNONPILOT/Tender/SplashBidNoticeAbstractUI.aspx?menuIndex=3&amp;refID=7044259&amp;Result=3","7044259")</f>
        <v>0</v>
      </c>
      <c r="B3227" t="s">
        <v>618</v>
      </c>
      <c r="C3227" t="s">
        <v>6272</v>
      </c>
      <c r="D3227" t="s">
        <v>18065</v>
      </c>
      <c r="E3227" t="s">
        <v>21052</v>
      </c>
      <c r="F3227" t="s">
        <v>31574</v>
      </c>
      <c r="G3227" t="s">
        <v>31583</v>
      </c>
      <c r="H3227" t="s">
        <v>31592</v>
      </c>
      <c r="I3227" t="s">
        <v>8822</v>
      </c>
      <c r="J3227" t="s">
        <v>32367</v>
      </c>
      <c r="K3227" t="s">
        <v>41211</v>
      </c>
      <c r="M3227" t="s">
        <v>42121</v>
      </c>
      <c r="N3227" t="s">
        <v>45095</v>
      </c>
      <c r="O3227" t="s">
        <v>45096</v>
      </c>
      <c r="P3227">
        <v>0</v>
      </c>
      <c r="Q3227">
        <v>0</v>
      </c>
      <c r="R3227" t="s">
        <v>45098</v>
      </c>
      <c r="S3227" t="s">
        <v>45223</v>
      </c>
      <c r="T3227" t="s">
        <v>47008</v>
      </c>
      <c r="U3227" t="s">
        <v>50204</v>
      </c>
      <c r="W3227" t="s">
        <v>42121</v>
      </c>
      <c r="X3227" t="s">
        <v>45099</v>
      </c>
    </row>
    <row r="3228" spans="1:24">
      <c r="A3228">
        <f>HYPERLINK("https://www.philgeps.gov.ph/GEPSNONPILOT/Tender/SplashBidNoticeAbstractUI.aspx?menuIndex=3&amp;refID=7044245&amp;Result=3","7044245")</f>
        <v>0</v>
      </c>
      <c r="B3228" t="s">
        <v>1142</v>
      </c>
      <c r="C3228" t="s">
        <v>6273</v>
      </c>
      <c r="D3228" t="s">
        <v>18050</v>
      </c>
      <c r="E3228" t="s">
        <v>18162</v>
      </c>
      <c r="F3228" t="s">
        <v>31575</v>
      </c>
      <c r="G3228" t="s">
        <v>31582</v>
      </c>
      <c r="H3228" t="s">
        <v>31590</v>
      </c>
      <c r="I3228" t="s">
        <v>4046</v>
      </c>
      <c r="J3228" t="s">
        <v>33926</v>
      </c>
      <c r="K3228" t="s">
        <v>41196</v>
      </c>
      <c r="M3228" t="s">
        <v>42695</v>
      </c>
      <c r="N3228" t="s">
        <v>45095</v>
      </c>
      <c r="O3228" t="s">
        <v>45096</v>
      </c>
      <c r="P3228">
        <v>0</v>
      </c>
      <c r="Q3228">
        <v>0</v>
      </c>
      <c r="R3228" t="s">
        <v>45098</v>
      </c>
      <c r="S3228" t="s">
        <v>45223</v>
      </c>
      <c r="T3228" t="s">
        <v>47153</v>
      </c>
      <c r="U3228" t="s">
        <v>50205</v>
      </c>
      <c r="W3228" t="s">
        <v>42695</v>
      </c>
      <c r="X3228" t="s">
        <v>45099</v>
      </c>
    </row>
    <row r="3229" spans="1:24">
      <c r="A3229">
        <f>HYPERLINK("https://www.philgeps.gov.ph/GEPSNONPILOT/Tender/SplashBidNoticeAbstractUI.aspx?menuIndex=3&amp;refID=7044249&amp;Result=3","7044249")</f>
        <v>0</v>
      </c>
      <c r="B3229" t="s">
        <v>1134</v>
      </c>
      <c r="C3229" t="s">
        <v>6274</v>
      </c>
      <c r="D3229" t="s">
        <v>18103</v>
      </c>
      <c r="E3229" t="s">
        <v>21053</v>
      </c>
      <c r="F3229" t="s">
        <v>31574</v>
      </c>
      <c r="G3229" t="s">
        <v>31581</v>
      </c>
      <c r="H3229" t="s">
        <v>31590</v>
      </c>
      <c r="I3229" t="s">
        <v>3520</v>
      </c>
      <c r="J3229" t="s">
        <v>33927</v>
      </c>
      <c r="K3229" t="s">
        <v>41193</v>
      </c>
      <c r="M3229" t="s">
        <v>42686</v>
      </c>
      <c r="N3229" t="s">
        <v>45095</v>
      </c>
      <c r="O3229" t="s">
        <v>45096</v>
      </c>
      <c r="P3229">
        <v>0</v>
      </c>
      <c r="Q3229">
        <v>1</v>
      </c>
      <c r="R3229" t="s">
        <v>45098</v>
      </c>
      <c r="S3229" t="s">
        <v>45223</v>
      </c>
      <c r="T3229" t="s">
        <v>47106</v>
      </c>
      <c r="U3229" t="s">
        <v>50184</v>
      </c>
      <c r="W3229" t="s">
        <v>42686</v>
      </c>
      <c r="X3229" t="s">
        <v>45099</v>
      </c>
    </row>
    <row r="3230" spans="1:24">
      <c r="A3230">
        <f>HYPERLINK("https://www.philgeps.gov.ph/GEPSNONPILOT/Tender/SplashBidNoticeAbstractUI.aspx?menuIndex=3&amp;refID=7044257&amp;Result=3","7044257")</f>
        <v>0</v>
      </c>
      <c r="B3230" t="s">
        <v>1134</v>
      </c>
      <c r="C3230" t="s">
        <v>6275</v>
      </c>
      <c r="D3230" t="s">
        <v>18103</v>
      </c>
      <c r="E3230" t="s">
        <v>21054</v>
      </c>
      <c r="F3230" t="s">
        <v>31574</v>
      </c>
      <c r="G3230" t="s">
        <v>31581</v>
      </c>
      <c r="H3230" t="s">
        <v>31590</v>
      </c>
      <c r="I3230" t="s">
        <v>5717</v>
      </c>
      <c r="J3230" t="s">
        <v>33928</v>
      </c>
      <c r="K3230" t="s">
        <v>41193</v>
      </c>
      <c r="M3230" t="s">
        <v>42686</v>
      </c>
      <c r="N3230" t="s">
        <v>45095</v>
      </c>
      <c r="O3230" t="s">
        <v>45096</v>
      </c>
      <c r="P3230">
        <v>0</v>
      </c>
      <c r="Q3230">
        <v>2</v>
      </c>
      <c r="R3230" t="s">
        <v>45098</v>
      </c>
      <c r="S3230" t="s">
        <v>45223</v>
      </c>
      <c r="T3230" t="s">
        <v>47106</v>
      </c>
      <c r="U3230" t="s">
        <v>50184</v>
      </c>
      <c r="W3230" t="s">
        <v>42686</v>
      </c>
      <c r="X3230" t="s">
        <v>45099</v>
      </c>
    </row>
    <row r="3231" spans="1:24">
      <c r="A3231">
        <f>HYPERLINK("https://www.philgeps.gov.ph/GEPSNONPILOT/Tender/SplashBidNoticeAbstractUI.aspx?menuIndex=3&amp;refID=7044255&amp;Result=3","7044255")</f>
        <v>0</v>
      </c>
      <c r="B3231" t="s">
        <v>1138</v>
      </c>
      <c r="C3231" t="s">
        <v>6276</v>
      </c>
      <c r="D3231" t="s">
        <v>18059</v>
      </c>
      <c r="E3231" t="s">
        <v>21055</v>
      </c>
      <c r="F3231" t="s">
        <v>31574</v>
      </c>
      <c r="G3231" t="s">
        <v>31582</v>
      </c>
      <c r="H3231" t="s">
        <v>31590</v>
      </c>
      <c r="I3231" t="s">
        <v>4327</v>
      </c>
      <c r="J3231" t="s">
        <v>33929</v>
      </c>
      <c r="K3231" t="s">
        <v>41186</v>
      </c>
      <c r="M3231" t="s">
        <v>42690</v>
      </c>
      <c r="N3231" t="s">
        <v>45095</v>
      </c>
      <c r="O3231" t="s">
        <v>45096</v>
      </c>
      <c r="P3231">
        <v>0</v>
      </c>
      <c r="Q3231">
        <v>0</v>
      </c>
      <c r="R3231" t="s">
        <v>45098</v>
      </c>
      <c r="S3231" t="s">
        <v>45223</v>
      </c>
      <c r="T3231" t="s">
        <v>47037</v>
      </c>
      <c r="U3231" t="s">
        <v>50206</v>
      </c>
      <c r="W3231" t="s">
        <v>42690</v>
      </c>
      <c r="X3231" t="s">
        <v>45099</v>
      </c>
    </row>
    <row r="3232" spans="1:24">
      <c r="A3232">
        <f>HYPERLINK("https://www.philgeps.gov.ph/GEPSNONPILOT/Tender/SplashBidNoticeAbstractUI.aspx?menuIndex=3&amp;refID=7044251&amp;Result=3","7044251")</f>
        <v>0</v>
      </c>
      <c r="B3232" t="s">
        <v>1087</v>
      </c>
      <c r="C3232" t="s">
        <v>6277</v>
      </c>
      <c r="D3232" t="s">
        <v>18107</v>
      </c>
      <c r="E3232" t="s">
        <v>21056</v>
      </c>
      <c r="F3232" t="s">
        <v>31574</v>
      </c>
      <c r="G3232" t="s">
        <v>31582</v>
      </c>
      <c r="H3232" t="s">
        <v>31590</v>
      </c>
      <c r="I3232" t="s">
        <v>31595</v>
      </c>
      <c r="J3232" t="s">
        <v>31726</v>
      </c>
      <c r="K3232" t="s">
        <v>41196</v>
      </c>
      <c r="M3232" t="s">
        <v>42636</v>
      </c>
      <c r="N3232" t="s">
        <v>45095</v>
      </c>
      <c r="O3232" t="s">
        <v>45096</v>
      </c>
      <c r="P3232">
        <v>0</v>
      </c>
      <c r="Q3232">
        <v>0</v>
      </c>
      <c r="R3232" t="s">
        <v>45098</v>
      </c>
      <c r="S3232" t="s">
        <v>45223</v>
      </c>
      <c r="T3232" t="s">
        <v>46956</v>
      </c>
      <c r="U3232" t="s">
        <v>50207</v>
      </c>
      <c r="W3232" t="s">
        <v>42636</v>
      </c>
      <c r="X3232" t="s">
        <v>45099</v>
      </c>
    </row>
    <row r="3233" spans="1:24">
      <c r="A3233">
        <f>HYPERLINK("https://www.philgeps.gov.ph/GEPSNONPILOT/Tender/SplashBidNoticeAbstractUI.aspx?menuIndex=3&amp;refID=7044258&amp;Result=3","7044258")</f>
        <v>0</v>
      </c>
      <c r="B3233" t="s">
        <v>1134</v>
      </c>
      <c r="C3233" t="s">
        <v>6278</v>
      </c>
      <c r="D3233" t="s">
        <v>18103</v>
      </c>
      <c r="E3233" t="s">
        <v>21057</v>
      </c>
      <c r="F3233" t="s">
        <v>31574</v>
      </c>
      <c r="G3233" t="s">
        <v>31581</v>
      </c>
      <c r="H3233" t="s">
        <v>31590</v>
      </c>
      <c r="I3233" t="s">
        <v>3520</v>
      </c>
      <c r="J3233" t="s">
        <v>33927</v>
      </c>
      <c r="K3233" t="s">
        <v>41193</v>
      </c>
      <c r="M3233" t="s">
        <v>42686</v>
      </c>
      <c r="N3233" t="s">
        <v>45095</v>
      </c>
      <c r="O3233" t="s">
        <v>45096</v>
      </c>
      <c r="P3233">
        <v>0</v>
      </c>
      <c r="Q3233">
        <v>1</v>
      </c>
      <c r="R3233" t="s">
        <v>45098</v>
      </c>
      <c r="S3233" t="s">
        <v>45223</v>
      </c>
      <c r="T3233" t="s">
        <v>47106</v>
      </c>
      <c r="U3233" t="s">
        <v>50208</v>
      </c>
      <c r="W3233" t="s">
        <v>42686</v>
      </c>
      <c r="X3233" t="s">
        <v>45099</v>
      </c>
    </row>
    <row r="3234" spans="1:24">
      <c r="A3234">
        <f>HYPERLINK("https://www.philgeps.gov.ph/GEPSNONPILOT/Tender/SplashBidNoticeAbstractUI.aspx?menuIndex=3&amp;refID=7044256&amp;Result=3","7044256")</f>
        <v>0</v>
      </c>
      <c r="B3234" t="s">
        <v>1134</v>
      </c>
      <c r="C3234" t="s">
        <v>6279</v>
      </c>
      <c r="D3234" t="s">
        <v>18103</v>
      </c>
      <c r="E3234" t="s">
        <v>21058</v>
      </c>
      <c r="F3234" t="s">
        <v>31574</v>
      </c>
      <c r="G3234" t="s">
        <v>31581</v>
      </c>
      <c r="H3234" t="s">
        <v>31590</v>
      </c>
      <c r="I3234" t="s">
        <v>3520</v>
      </c>
      <c r="J3234" t="s">
        <v>33930</v>
      </c>
      <c r="K3234" t="s">
        <v>41193</v>
      </c>
      <c r="M3234" t="s">
        <v>42686</v>
      </c>
      <c r="N3234" t="s">
        <v>45095</v>
      </c>
      <c r="O3234" t="s">
        <v>45096</v>
      </c>
      <c r="P3234">
        <v>0</v>
      </c>
      <c r="Q3234">
        <v>1</v>
      </c>
      <c r="R3234" t="s">
        <v>45098</v>
      </c>
      <c r="S3234" t="s">
        <v>45223</v>
      </c>
      <c r="T3234" t="s">
        <v>47106</v>
      </c>
      <c r="U3234" t="s">
        <v>50184</v>
      </c>
      <c r="W3234" t="s">
        <v>42686</v>
      </c>
      <c r="X3234" t="s">
        <v>45099</v>
      </c>
    </row>
    <row r="3235" spans="1:24">
      <c r="A3235">
        <f>HYPERLINK("https://www.philgeps.gov.ph/GEPSNONPILOT/Tender/SplashBidNoticeAbstractUI.aspx?menuIndex=3&amp;refID=7044260&amp;Result=3","7044260")</f>
        <v>0</v>
      </c>
      <c r="B3235" t="s">
        <v>1081</v>
      </c>
      <c r="C3235" t="s">
        <v>6280</v>
      </c>
      <c r="D3235" t="s">
        <v>18036</v>
      </c>
      <c r="E3235" t="s">
        <v>21059</v>
      </c>
      <c r="F3235" t="s">
        <v>31574</v>
      </c>
      <c r="G3235" t="s">
        <v>31581</v>
      </c>
      <c r="H3235" t="s">
        <v>31590</v>
      </c>
      <c r="I3235" t="s">
        <v>14544</v>
      </c>
      <c r="J3235" t="s">
        <v>33931</v>
      </c>
      <c r="K3235" t="s">
        <v>41193</v>
      </c>
      <c r="M3235" t="s">
        <v>42628</v>
      </c>
      <c r="N3235" t="s">
        <v>45095</v>
      </c>
      <c r="O3235" t="s">
        <v>45096</v>
      </c>
      <c r="P3235">
        <v>0</v>
      </c>
      <c r="Q3235">
        <v>0</v>
      </c>
      <c r="R3235" t="s">
        <v>45098</v>
      </c>
      <c r="S3235" t="s">
        <v>45223</v>
      </c>
      <c r="T3235" t="s">
        <v>46982</v>
      </c>
      <c r="U3235" t="s">
        <v>50209</v>
      </c>
      <c r="W3235" t="s">
        <v>42628</v>
      </c>
      <c r="X3235" t="s">
        <v>45099</v>
      </c>
    </row>
    <row r="3236" spans="1:24">
      <c r="A3236">
        <f>HYPERLINK("https://www.philgeps.gov.ph/GEPSNONPILOT/Tender/SplashBidNoticeAbstractUI.aspx?menuIndex=3&amp;refID=7044250&amp;Result=3","7044250")</f>
        <v>0</v>
      </c>
      <c r="B3236" t="s">
        <v>1134</v>
      </c>
      <c r="C3236" t="s">
        <v>6281</v>
      </c>
      <c r="D3236" t="s">
        <v>18103</v>
      </c>
      <c r="E3236" t="s">
        <v>21060</v>
      </c>
      <c r="F3236" t="s">
        <v>31574</v>
      </c>
      <c r="G3236" t="s">
        <v>31581</v>
      </c>
      <c r="H3236" t="s">
        <v>31590</v>
      </c>
      <c r="I3236" t="s">
        <v>3520</v>
      </c>
      <c r="J3236" t="s">
        <v>33932</v>
      </c>
      <c r="K3236" t="s">
        <v>41193</v>
      </c>
      <c r="M3236" t="s">
        <v>42686</v>
      </c>
      <c r="N3236" t="s">
        <v>45095</v>
      </c>
      <c r="O3236" t="s">
        <v>45096</v>
      </c>
      <c r="P3236">
        <v>0</v>
      </c>
      <c r="Q3236">
        <v>1</v>
      </c>
      <c r="R3236" t="s">
        <v>45098</v>
      </c>
      <c r="S3236" t="s">
        <v>45223</v>
      </c>
      <c r="T3236" t="s">
        <v>47106</v>
      </c>
      <c r="U3236" t="s">
        <v>50184</v>
      </c>
      <c r="W3236" t="s">
        <v>42686</v>
      </c>
      <c r="X3236" t="s">
        <v>45099</v>
      </c>
    </row>
    <row r="3237" spans="1:24">
      <c r="A3237">
        <f>HYPERLINK("https://www.philgeps.gov.ph/GEPSNONPILOT/Tender/SplashBidNoticeAbstractUI.aspx?menuIndex=3&amp;refID=7044254&amp;Result=3","7044254")</f>
        <v>0</v>
      </c>
      <c r="B3237" t="s">
        <v>1081</v>
      </c>
      <c r="C3237" t="s">
        <v>6282</v>
      </c>
      <c r="D3237" t="s">
        <v>18036</v>
      </c>
      <c r="E3237" t="s">
        <v>21061</v>
      </c>
      <c r="F3237" t="s">
        <v>31574</v>
      </c>
      <c r="G3237" t="s">
        <v>31581</v>
      </c>
      <c r="H3237" t="s">
        <v>31590</v>
      </c>
      <c r="I3237" t="s">
        <v>14544</v>
      </c>
      <c r="J3237" t="s">
        <v>33933</v>
      </c>
      <c r="K3237" t="s">
        <v>41193</v>
      </c>
      <c r="M3237" t="s">
        <v>42628</v>
      </c>
      <c r="N3237" t="s">
        <v>45095</v>
      </c>
      <c r="O3237" t="s">
        <v>45096</v>
      </c>
      <c r="P3237">
        <v>0</v>
      </c>
      <c r="Q3237">
        <v>0</v>
      </c>
      <c r="R3237" t="s">
        <v>45098</v>
      </c>
      <c r="S3237" t="s">
        <v>45223</v>
      </c>
      <c r="T3237" t="s">
        <v>46982</v>
      </c>
      <c r="U3237" t="s">
        <v>49999</v>
      </c>
      <c r="W3237" t="s">
        <v>42628</v>
      </c>
      <c r="X3237" t="s">
        <v>45099</v>
      </c>
    </row>
    <row r="3238" spans="1:24">
      <c r="A3238">
        <f>HYPERLINK("https://www.philgeps.gov.ph/GEPSNONPILOT/Tender/SplashBidNoticeAbstractUI.aspx?menuIndex=3&amp;refID=7044261&amp;Result=3","7044261")</f>
        <v>0</v>
      </c>
      <c r="B3238" t="s">
        <v>1143</v>
      </c>
      <c r="C3238" t="s">
        <v>6283</v>
      </c>
      <c r="D3238" t="s">
        <v>18053</v>
      </c>
      <c r="E3238" t="s">
        <v>21062</v>
      </c>
      <c r="F3238" t="s">
        <v>31574</v>
      </c>
      <c r="G3238" t="s">
        <v>31582</v>
      </c>
      <c r="H3238" t="s">
        <v>31591</v>
      </c>
      <c r="I3238" t="s">
        <v>8822</v>
      </c>
      <c r="J3238" t="s">
        <v>33934</v>
      </c>
      <c r="K3238" t="s">
        <v>41293</v>
      </c>
      <c r="M3238" t="s">
        <v>42696</v>
      </c>
      <c r="N3238" t="s">
        <v>45095</v>
      </c>
      <c r="O3238" t="s">
        <v>45096</v>
      </c>
      <c r="P3238">
        <v>0</v>
      </c>
      <c r="Q3238">
        <v>0</v>
      </c>
      <c r="R3238" t="s">
        <v>45098</v>
      </c>
      <c r="S3238" t="s">
        <v>45223</v>
      </c>
      <c r="T3238" t="s">
        <v>46956</v>
      </c>
      <c r="U3238" t="s">
        <v>50210</v>
      </c>
      <c r="W3238" t="s">
        <v>42696</v>
      </c>
      <c r="X3238" t="s">
        <v>45099</v>
      </c>
    </row>
    <row r="3239" spans="1:24">
      <c r="A3239">
        <f>HYPERLINK("https://www.philgeps.gov.ph/GEPSNONPILOT/Tender/SplashBidNoticeAbstractUI.aspx?menuIndex=3&amp;refID=7044262&amp;Result=3","7044262")</f>
        <v>0</v>
      </c>
      <c r="B3239" t="s">
        <v>1144</v>
      </c>
      <c r="C3239" t="s">
        <v>6284</v>
      </c>
      <c r="D3239" t="s">
        <v>18070</v>
      </c>
      <c r="E3239" t="s">
        <v>21063</v>
      </c>
      <c r="F3239" t="s">
        <v>31574</v>
      </c>
      <c r="G3239" t="s">
        <v>31584</v>
      </c>
      <c r="H3239" t="s">
        <v>31590</v>
      </c>
      <c r="I3239" t="s">
        <v>31612</v>
      </c>
      <c r="J3239" t="s">
        <v>32355</v>
      </c>
      <c r="K3239" t="s">
        <v>41211</v>
      </c>
      <c r="M3239" t="s">
        <v>42697</v>
      </c>
      <c r="N3239" t="s">
        <v>45095</v>
      </c>
      <c r="O3239" t="s">
        <v>45096</v>
      </c>
      <c r="P3239">
        <v>0</v>
      </c>
      <c r="Q3239">
        <v>0</v>
      </c>
      <c r="R3239" t="s">
        <v>45098</v>
      </c>
      <c r="S3239" t="s">
        <v>45223</v>
      </c>
      <c r="T3239" t="s">
        <v>46913</v>
      </c>
      <c r="U3239" t="s">
        <v>50211</v>
      </c>
      <c r="V3239" t="s">
        <v>60155</v>
      </c>
      <c r="W3239" t="s">
        <v>42697</v>
      </c>
      <c r="X3239" t="s">
        <v>45099</v>
      </c>
    </row>
    <row r="3240" spans="1:24">
      <c r="A3240">
        <f>HYPERLINK("https://www.philgeps.gov.ph/GEPSNONPILOT/Tender/SplashBidNoticeAbstractUI.aspx?menuIndex=3&amp;refID=7044264&amp;Result=3","7044264")</f>
        <v>0</v>
      </c>
      <c r="B3240" t="s">
        <v>1143</v>
      </c>
      <c r="C3240" t="s">
        <v>6285</v>
      </c>
      <c r="D3240" t="s">
        <v>18053</v>
      </c>
      <c r="E3240" t="s">
        <v>21064</v>
      </c>
      <c r="F3240" t="s">
        <v>31574</v>
      </c>
      <c r="G3240" t="s">
        <v>31582</v>
      </c>
      <c r="H3240" t="s">
        <v>31591</v>
      </c>
      <c r="I3240" t="s">
        <v>8822</v>
      </c>
      <c r="J3240" t="s">
        <v>33935</v>
      </c>
      <c r="K3240" t="s">
        <v>41186</v>
      </c>
      <c r="M3240" t="s">
        <v>42696</v>
      </c>
      <c r="N3240" t="s">
        <v>45095</v>
      </c>
      <c r="O3240" t="s">
        <v>45096</v>
      </c>
      <c r="P3240">
        <v>0</v>
      </c>
      <c r="Q3240">
        <v>0</v>
      </c>
      <c r="R3240" t="s">
        <v>45098</v>
      </c>
      <c r="S3240" t="s">
        <v>45223</v>
      </c>
      <c r="T3240" t="s">
        <v>46956</v>
      </c>
      <c r="U3240" t="s">
        <v>50212</v>
      </c>
      <c r="W3240" t="s">
        <v>42696</v>
      </c>
      <c r="X3240" t="s">
        <v>45099</v>
      </c>
    </row>
    <row r="3241" spans="1:24">
      <c r="A3241">
        <f>HYPERLINK("https://www.philgeps.gov.ph/GEPSNONPILOT/Tender/SplashBidNoticeAbstractUI.aspx?menuIndex=3&amp;refID=7044253&amp;Result=3","7044253")</f>
        <v>0</v>
      </c>
      <c r="B3241" t="s">
        <v>1134</v>
      </c>
      <c r="C3241" t="s">
        <v>6286</v>
      </c>
      <c r="D3241" t="s">
        <v>18103</v>
      </c>
      <c r="E3241" t="s">
        <v>21065</v>
      </c>
      <c r="F3241" t="s">
        <v>31574</v>
      </c>
      <c r="G3241" t="s">
        <v>31581</v>
      </c>
      <c r="H3241" t="s">
        <v>31590</v>
      </c>
      <c r="I3241" t="s">
        <v>3520</v>
      </c>
      <c r="J3241" t="s">
        <v>33936</v>
      </c>
      <c r="K3241" t="s">
        <v>41193</v>
      </c>
      <c r="M3241" t="s">
        <v>42686</v>
      </c>
      <c r="N3241" t="s">
        <v>45095</v>
      </c>
      <c r="O3241" t="s">
        <v>45096</v>
      </c>
      <c r="P3241">
        <v>0</v>
      </c>
      <c r="Q3241">
        <v>1</v>
      </c>
      <c r="R3241" t="s">
        <v>45098</v>
      </c>
      <c r="S3241" t="s">
        <v>45223</v>
      </c>
      <c r="T3241" t="s">
        <v>47106</v>
      </c>
      <c r="U3241" t="s">
        <v>50184</v>
      </c>
      <c r="W3241" t="s">
        <v>42686</v>
      </c>
      <c r="X3241" t="s">
        <v>45099</v>
      </c>
    </row>
    <row r="3242" spans="1:24">
      <c r="A3242">
        <f>HYPERLINK("https://www.philgeps.gov.ph/GEPSNONPILOT/Tender/SplashBidNoticeAbstractUI.aspx?menuIndex=3&amp;refID=7044276&amp;Result=3","7044276")</f>
        <v>0</v>
      </c>
      <c r="B3242" t="s">
        <v>1145</v>
      </c>
      <c r="C3242" t="s">
        <v>6287</v>
      </c>
      <c r="D3242" t="s">
        <v>18067</v>
      </c>
      <c r="E3242" t="s">
        <v>21066</v>
      </c>
      <c r="F3242" t="s">
        <v>31574</v>
      </c>
      <c r="G3242" t="s">
        <v>31582</v>
      </c>
      <c r="H3242" t="s">
        <v>31590</v>
      </c>
      <c r="I3242" t="s">
        <v>31615</v>
      </c>
      <c r="J3242" t="s">
        <v>33937</v>
      </c>
      <c r="K3242" t="s">
        <v>41186</v>
      </c>
      <c r="M3242" t="s">
        <v>42698</v>
      </c>
      <c r="N3242" t="s">
        <v>45095</v>
      </c>
      <c r="O3242" t="s">
        <v>45096</v>
      </c>
      <c r="P3242">
        <v>0</v>
      </c>
      <c r="Q3242">
        <v>6</v>
      </c>
      <c r="R3242" t="s">
        <v>45098</v>
      </c>
      <c r="S3242" t="s">
        <v>45223</v>
      </c>
      <c r="T3242" t="s">
        <v>47000</v>
      </c>
      <c r="U3242" t="s">
        <v>50213</v>
      </c>
      <c r="W3242" t="s">
        <v>42698</v>
      </c>
      <c r="X3242" t="s">
        <v>45099</v>
      </c>
    </row>
    <row r="3243" spans="1:24">
      <c r="A3243">
        <f>HYPERLINK("https://www.philgeps.gov.ph/GEPSNONPILOT/Tender/SplashBidNoticeAbstractUI.aspx?menuIndex=3&amp;refID=7044252&amp;Result=3","7044252")</f>
        <v>0</v>
      </c>
      <c r="B3243" t="s">
        <v>1137</v>
      </c>
      <c r="C3243" t="s">
        <v>6288</v>
      </c>
      <c r="D3243" t="s">
        <v>18023</v>
      </c>
      <c r="E3243" t="s">
        <v>19368</v>
      </c>
      <c r="F3243" t="s">
        <v>31574</v>
      </c>
      <c r="G3243" t="s">
        <v>31582</v>
      </c>
      <c r="H3243" t="s">
        <v>31590</v>
      </c>
      <c r="I3243" t="s">
        <v>4046</v>
      </c>
      <c r="J3243" t="s">
        <v>33913</v>
      </c>
      <c r="K3243" t="s">
        <v>41186</v>
      </c>
      <c r="M3243" t="s">
        <v>42689</v>
      </c>
      <c r="N3243" t="s">
        <v>45095</v>
      </c>
      <c r="O3243" t="s">
        <v>45096</v>
      </c>
      <c r="P3243">
        <v>0</v>
      </c>
      <c r="Q3243">
        <v>0</v>
      </c>
      <c r="R3243" t="s">
        <v>45098</v>
      </c>
      <c r="S3243" t="s">
        <v>45223</v>
      </c>
      <c r="T3243" t="s">
        <v>47097</v>
      </c>
      <c r="U3243" t="s">
        <v>50214</v>
      </c>
      <c r="W3243" t="s">
        <v>42689</v>
      </c>
      <c r="X3243" t="s">
        <v>45099</v>
      </c>
    </row>
    <row r="3244" spans="1:24">
      <c r="A3244">
        <f>HYPERLINK("https://www.philgeps.gov.ph/GEPSNONPILOT/Tender/SplashBidNoticeAbstractUI.aspx?menuIndex=3&amp;refID=7044265&amp;Result=3","7044265")</f>
        <v>0</v>
      </c>
      <c r="B3244" t="s">
        <v>613</v>
      </c>
      <c r="C3244" t="s">
        <v>6289</v>
      </c>
      <c r="D3244" t="s">
        <v>18065</v>
      </c>
      <c r="E3244" t="s">
        <v>21067</v>
      </c>
      <c r="F3244" t="s">
        <v>31574</v>
      </c>
      <c r="G3244" t="s">
        <v>31585</v>
      </c>
      <c r="H3244" t="s">
        <v>31590</v>
      </c>
      <c r="I3244" t="s">
        <v>4046</v>
      </c>
      <c r="J3244" t="s">
        <v>33938</v>
      </c>
      <c r="K3244" t="s">
        <v>41196</v>
      </c>
      <c r="M3244" t="s">
        <v>42699</v>
      </c>
      <c r="N3244" t="s">
        <v>45095</v>
      </c>
      <c r="O3244" t="s">
        <v>45096</v>
      </c>
      <c r="P3244">
        <v>0</v>
      </c>
      <c r="Q3244">
        <v>1</v>
      </c>
      <c r="R3244" t="s">
        <v>45098</v>
      </c>
      <c r="S3244" t="s">
        <v>45223</v>
      </c>
      <c r="T3244" t="s">
        <v>46923</v>
      </c>
      <c r="U3244" t="s">
        <v>50215</v>
      </c>
      <c r="W3244" t="s">
        <v>42699</v>
      </c>
      <c r="X3244" t="s">
        <v>45099</v>
      </c>
    </row>
    <row r="3245" spans="1:24">
      <c r="A3245">
        <f>HYPERLINK("https://www.philgeps.gov.ph/GEPSNONPILOT/Tender/SplashBidNoticeAbstractUI.aspx?menuIndex=3&amp;refID=7044270&amp;Result=3","7044270")</f>
        <v>0</v>
      </c>
      <c r="B3245" t="s">
        <v>1087</v>
      </c>
      <c r="C3245" t="s">
        <v>6290</v>
      </c>
      <c r="D3245" t="s">
        <v>18107</v>
      </c>
      <c r="E3245" t="s">
        <v>21068</v>
      </c>
      <c r="F3245" t="s">
        <v>31574</v>
      </c>
      <c r="G3245" t="s">
        <v>31582</v>
      </c>
      <c r="H3245" t="s">
        <v>31590</v>
      </c>
      <c r="I3245" t="s">
        <v>7162</v>
      </c>
      <c r="J3245" t="s">
        <v>33939</v>
      </c>
      <c r="K3245" t="s">
        <v>41196</v>
      </c>
      <c r="M3245" t="s">
        <v>42636</v>
      </c>
      <c r="N3245" t="s">
        <v>45095</v>
      </c>
      <c r="O3245" t="s">
        <v>45096</v>
      </c>
      <c r="P3245">
        <v>0</v>
      </c>
      <c r="Q3245">
        <v>0</v>
      </c>
      <c r="R3245" t="s">
        <v>45098</v>
      </c>
      <c r="S3245" t="s">
        <v>45223</v>
      </c>
      <c r="T3245" t="s">
        <v>46956</v>
      </c>
      <c r="U3245" t="s">
        <v>50216</v>
      </c>
      <c r="W3245" t="s">
        <v>42636</v>
      </c>
      <c r="X3245" t="s">
        <v>45099</v>
      </c>
    </row>
    <row r="3246" spans="1:24">
      <c r="A3246">
        <f>HYPERLINK("https://www.philgeps.gov.ph/GEPSNONPILOT/Tender/SplashBidNoticeAbstractUI.aspx?menuIndex=3&amp;refID=7044273&amp;Result=3","7044273")</f>
        <v>0</v>
      </c>
      <c r="B3246" t="s">
        <v>823</v>
      </c>
      <c r="C3246" t="s">
        <v>6291</v>
      </c>
      <c r="D3246" t="s">
        <v>18073</v>
      </c>
      <c r="E3246" t="s">
        <v>21069</v>
      </c>
      <c r="F3246" t="s">
        <v>31574</v>
      </c>
      <c r="G3246" t="s">
        <v>31582</v>
      </c>
      <c r="H3246" t="s">
        <v>31591</v>
      </c>
      <c r="I3246" t="s">
        <v>8822</v>
      </c>
      <c r="J3246" t="s">
        <v>32869</v>
      </c>
      <c r="K3246" t="s">
        <v>41184</v>
      </c>
      <c r="M3246" t="s">
        <v>42700</v>
      </c>
      <c r="N3246" t="s">
        <v>45095</v>
      </c>
      <c r="O3246" t="s">
        <v>45096</v>
      </c>
      <c r="P3246">
        <v>0</v>
      </c>
      <c r="Q3246">
        <v>0</v>
      </c>
      <c r="R3246" t="s">
        <v>45098</v>
      </c>
      <c r="S3246" t="s">
        <v>45223</v>
      </c>
      <c r="T3246" t="s">
        <v>46915</v>
      </c>
      <c r="U3246" t="s">
        <v>50217</v>
      </c>
      <c r="W3246" t="s">
        <v>42700</v>
      </c>
      <c r="X3246" t="s">
        <v>45099</v>
      </c>
    </row>
    <row r="3247" spans="1:24">
      <c r="A3247">
        <f>HYPERLINK("https://www.philgeps.gov.ph/GEPSNONPILOT/Tender/SplashBidNoticeAbstractUI.aspx?menuIndex=3&amp;refID=7044247&amp;Result=3","7044247")</f>
        <v>0</v>
      </c>
      <c r="B3247" t="s">
        <v>1134</v>
      </c>
      <c r="C3247" t="s">
        <v>6292</v>
      </c>
      <c r="D3247" t="s">
        <v>18103</v>
      </c>
      <c r="E3247" t="s">
        <v>21070</v>
      </c>
      <c r="F3247" t="s">
        <v>31574</v>
      </c>
      <c r="G3247" t="s">
        <v>31581</v>
      </c>
      <c r="H3247" t="s">
        <v>31590</v>
      </c>
      <c r="I3247" t="s">
        <v>3520</v>
      </c>
      <c r="J3247" t="s">
        <v>33940</v>
      </c>
      <c r="K3247" t="s">
        <v>41193</v>
      </c>
      <c r="M3247" t="s">
        <v>42686</v>
      </c>
      <c r="N3247" t="s">
        <v>45095</v>
      </c>
      <c r="O3247" t="s">
        <v>45096</v>
      </c>
      <c r="P3247">
        <v>0</v>
      </c>
      <c r="Q3247">
        <v>1</v>
      </c>
      <c r="R3247" t="s">
        <v>45098</v>
      </c>
      <c r="S3247" t="s">
        <v>45223</v>
      </c>
      <c r="T3247" t="s">
        <v>47106</v>
      </c>
      <c r="U3247" t="s">
        <v>50184</v>
      </c>
      <c r="W3247" t="s">
        <v>42686</v>
      </c>
      <c r="X3247" t="s">
        <v>45099</v>
      </c>
    </row>
    <row r="3248" spans="1:24">
      <c r="A3248">
        <f>HYPERLINK("https://www.philgeps.gov.ph/GEPSNONPILOT/Tender/SplashBidNoticeAbstractUI.aspx?menuIndex=3&amp;refID=7044272&amp;Result=3","7044272")</f>
        <v>0</v>
      </c>
      <c r="B3248" t="s">
        <v>823</v>
      </c>
      <c r="C3248" t="s">
        <v>6293</v>
      </c>
      <c r="D3248" t="s">
        <v>18073</v>
      </c>
      <c r="E3248" t="s">
        <v>21071</v>
      </c>
      <c r="F3248" t="s">
        <v>31574</v>
      </c>
      <c r="G3248" t="s">
        <v>31582</v>
      </c>
      <c r="H3248" t="s">
        <v>31591</v>
      </c>
      <c r="I3248" t="s">
        <v>8822</v>
      </c>
      <c r="J3248" t="s">
        <v>33941</v>
      </c>
      <c r="K3248" t="s">
        <v>41184</v>
      </c>
      <c r="M3248" t="s">
        <v>42700</v>
      </c>
      <c r="N3248" t="s">
        <v>45095</v>
      </c>
      <c r="O3248" t="s">
        <v>45096</v>
      </c>
      <c r="P3248">
        <v>0</v>
      </c>
      <c r="Q3248">
        <v>0</v>
      </c>
      <c r="R3248" t="s">
        <v>45098</v>
      </c>
      <c r="S3248" t="s">
        <v>45223</v>
      </c>
      <c r="T3248" t="s">
        <v>46915</v>
      </c>
      <c r="U3248" t="s">
        <v>50218</v>
      </c>
      <c r="W3248" t="s">
        <v>42700</v>
      </c>
      <c r="X3248" t="s">
        <v>45099</v>
      </c>
    </row>
    <row r="3249" spans="1:24">
      <c r="A3249">
        <f>HYPERLINK("https://www.philgeps.gov.ph/GEPSNONPILOT/Tender/SplashBidNoticeAbstractUI.aspx?menuIndex=3&amp;refID=7044269&amp;Result=3","7044269")</f>
        <v>0</v>
      </c>
      <c r="B3249" t="s">
        <v>1143</v>
      </c>
      <c r="C3249" t="s">
        <v>6294</v>
      </c>
      <c r="D3249" t="s">
        <v>18053</v>
      </c>
      <c r="E3249" t="s">
        <v>21072</v>
      </c>
      <c r="F3249" t="s">
        <v>31574</v>
      </c>
      <c r="G3249" t="s">
        <v>31582</v>
      </c>
      <c r="H3249" t="s">
        <v>31591</v>
      </c>
      <c r="I3249" t="s">
        <v>8822</v>
      </c>
      <c r="J3249" t="s">
        <v>33942</v>
      </c>
      <c r="K3249" t="s">
        <v>41242</v>
      </c>
      <c r="M3249" t="s">
        <v>42696</v>
      </c>
      <c r="N3249" t="s">
        <v>45095</v>
      </c>
      <c r="O3249" t="s">
        <v>45096</v>
      </c>
      <c r="P3249">
        <v>0</v>
      </c>
      <c r="Q3249">
        <v>0</v>
      </c>
      <c r="R3249" t="s">
        <v>45098</v>
      </c>
      <c r="S3249" t="s">
        <v>45223</v>
      </c>
      <c r="T3249" t="s">
        <v>46956</v>
      </c>
      <c r="U3249" t="s">
        <v>50219</v>
      </c>
      <c r="W3249" t="s">
        <v>42696</v>
      </c>
      <c r="X3249" t="s">
        <v>45099</v>
      </c>
    </row>
    <row r="3250" spans="1:24">
      <c r="A3250">
        <f>HYPERLINK("https://www.philgeps.gov.ph/GEPSNONPILOT/Tender/SplashBidNoticeAbstractUI.aspx?menuIndex=3&amp;refID=7044283&amp;Result=3","7044283")</f>
        <v>0</v>
      </c>
      <c r="B3250" t="s">
        <v>1141</v>
      </c>
      <c r="C3250" t="s">
        <v>6295</v>
      </c>
      <c r="D3250" t="s">
        <v>18039</v>
      </c>
      <c r="E3250" t="s">
        <v>19071</v>
      </c>
      <c r="F3250" t="s">
        <v>31574</v>
      </c>
      <c r="G3250" t="s">
        <v>31583</v>
      </c>
      <c r="H3250" t="s">
        <v>31591</v>
      </c>
      <c r="I3250" t="s">
        <v>31607</v>
      </c>
      <c r="J3250" t="s">
        <v>31782</v>
      </c>
      <c r="K3250" t="s">
        <v>41184</v>
      </c>
      <c r="M3250" t="s">
        <v>42694</v>
      </c>
      <c r="N3250" t="s">
        <v>45095</v>
      </c>
      <c r="O3250" t="s">
        <v>45096</v>
      </c>
      <c r="P3250">
        <v>0</v>
      </c>
      <c r="Q3250">
        <v>0</v>
      </c>
      <c r="R3250" t="s">
        <v>45098</v>
      </c>
      <c r="S3250" t="s">
        <v>45223</v>
      </c>
      <c r="T3250" t="s">
        <v>47008</v>
      </c>
      <c r="U3250" t="s">
        <v>50220</v>
      </c>
      <c r="W3250" t="s">
        <v>42694</v>
      </c>
      <c r="X3250" t="s">
        <v>45099</v>
      </c>
    </row>
    <row r="3251" spans="1:24">
      <c r="A3251">
        <f>HYPERLINK("https://www.philgeps.gov.ph/GEPSNONPILOT/Tender/SplashBidNoticeAbstractUI.aspx?menuIndex=3&amp;refID=7044282&amp;Result=3","7044282")</f>
        <v>0</v>
      </c>
      <c r="B3251" t="s">
        <v>1087</v>
      </c>
      <c r="C3251" t="s">
        <v>6296</v>
      </c>
      <c r="D3251" t="s">
        <v>18107</v>
      </c>
      <c r="E3251" t="s">
        <v>21073</v>
      </c>
      <c r="F3251" t="s">
        <v>31574</v>
      </c>
      <c r="G3251" t="s">
        <v>31582</v>
      </c>
      <c r="H3251" t="s">
        <v>31590</v>
      </c>
      <c r="I3251" t="s">
        <v>31612</v>
      </c>
      <c r="J3251" t="s">
        <v>32621</v>
      </c>
      <c r="K3251" t="s">
        <v>41196</v>
      </c>
      <c r="M3251" t="s">
        <v>42636</v>
      </c>
      <c r="N3251" t="s">
        <v>45095</v>
      </c>
      <c r="O3251" t="s">
        <v>45096</v>
      </c>
      <c r="P3251">
        <v>0</v>
      </c>
      <c r="Q3251">
        <v>0</v>
      </c>
      <c r="R3251" t="s">
        <v>45098</v>
      </c>
      <c r="S3251" t="s">
        <v>45223</v>
      </c>
      <c r="T3251" t="s">
        <v>46956</v>
      </c>
      <c r="U3251" t="s">
        <v>50221</v>
      </c>
      <c r="W3251" t="s">
        <v>42636</v>
      </c>
      <c r="X3251" t="s">
        <v>45099</v>
      </c>
    </row>
    <row r="3252" spans="1:24">
      <c r="A3252">
        <f>HYPERLINK("https://www.philgeps.gov.ph/GEPSNONPILOT/Tender/SplashBidNoticeAbstractUI.aspx?menuIndex=3&amp;refID=7044267&amp;Result=3","7044267")</f>
        <v>0</v>
      </c>
      <c r="B3252" t="s">
        <v>823</v>
      </c>
      <c r="C3252" t="s">
        <v>6297</v>
      </c>
      <c r="D3252" t="s">
        <v>18073</v>
      </c>
      <c r="E3252" t="s">
        <v>21074</v>
      </c>
      <c r="F3252" t="s">
        <v>31574</v>
      </c>
      <c r="G3252" t="s">
        <v>31582</v>
      </c>
      <c r="H3252" t="s">
        <v>31591</v>
      </c>
      <c r="I3252" t="s">
        <v>8822</v>
      </c>
      <c r="J3252" t="s">
        <v>32869</v>
      </c>
      <c r="K3252" t="s">
        <v>41184</v>
      </c>
      <c r="M3252" t="s">
        <v>42700</v>
      </c>
      <c r="N3252" t="s">
        <v>45095</v>
      </c>
      <c r="O3252" t="s">
        <v>45096</v>
      </c>
      <c r="P3252">
        <v>0</v>
      </c>
      <c r="Q3252">
        <v>0</v>
      </c>
      <c r="R3252" t="s">
        <v>45098</v>
      </c>
      <c r="S3252" t="s">
        <v>45223</v>
      </c>
      <c r="T3252" t="s">
        <v>46915</v>
      </c>
      <c r="U3252" t="s">
        <v>50222</v>
      </c>
      <c r="W3252" t="s">
        <v>42700</v>
      </c>
      <c r="X3252" t="s">
        <v>45099</v>
      </c>
    </row>
    <row r="3253" spans="1:24">
      <c r="A3253">
        <f>HYPERLINK("https://www.philgeps.gov.ph/GEPSNONPILOT/Tender/SplashBidNoticeAbstractUI.aspx?menuIndex=3&amp;refID=7044280&amp;Result=3","7044280")</f>
        <v>0</v>
      </c>
      <c r="B3253" t="s">
        <v>1146</v>
      </c>
      <c r="C3253" t="s">
        <v>6298</v>
      </c>
      <c r="D3253" t="s">
        <v>18033</v>
      </c>
      <c r="E3253" t="s">
        <v>21075</v>
      </c>
      <c r="F3253" t="s">
        <v>31574</v>
      </c>
      <c r="G3253" t="s">
        <v>31581</v>
      </c>
      <c r="H3253" t="s">
        <v>31590</v>
      </c>
      <c r="I3253" t="s">
        <v>14544</v>
      </c>
      <c r="J3253" t="s">
        <v>33943</v>
      </c>
      <c r="K3253" t="s">
        <v>41196</v>
      </c>
      <c r="M3253" t="s">
        <v>42701</v>
      </c>
      <c r="N3253" t="s">
        <v>45095</v>
      </c>
      <c r="O3253" t="s">
        <v>45096</v>
      </c>
      <c r="P3253">
        <v>0</v>
      </c>
      <c r="Q3253">
        <v>0</v>
      </c>
      <c r="R3253" t="s">
        <v>45098</v>
      </c>
      <c r="S3253" t="s">
        <v>45223</v>
      </c>
      <c r="T3253" t="s">
        <v>46973</v>
      </c>
      <c r="U3253" t="s">
        <v>50223</v>
      </c>
      <c r="W3253" t="s">
        <v>42701</v>
      </c>
      <c r="X3253" t="s">
        <v>45099</v>
      </c>
    </row>
    <row r="3254" spans="1:24">
      <c r="A3254">
        <f>HYPERLINK("https://www.philgeps.gov.ph/GEPSNONPILOT/Tender/SplashBidNoticeAbstractUI.aspx?menuIndex=3&amp;refID=7044268&amp;Result=3","7044268")</f>
        <v>0</v>
      </c>
      <c r="B3254" t="s">
        <v>1147</v>
      </c>
      <c r="C3254" t="s">
        <v>6299</v>
      </c>
      <c r="D3254" t="s">
        <v>18059</v>
      </c>
      <c r="E3254" t="s">
        <v>20306</v>
      </c>
      <c r="F3254" t="s">
        <v>31574</v>
      </c>
      <c r="G3254" t="s">
        <v>31582</v>
      </c>
      <c r="H3254" t="s">
        <v>31590</v>
      </c>
      <c r="I3254" t="s">
        <v>4046</v>
      </c>
      <c r="J3254" t="s">
        <v>33944</v>
      </c>
      <c r="K3254" t="s">
        <v>41190</v>
      </c>
      <c r="M3254" t="s">
        <v>42702</v>
      </c>
      <c r="N3254" t="s">
        <v>45095</v>
      </c>
      <c r="O3254" t="s">
        <v>45096</v>
      </c>
      <c r="P3254">
        <v>0</v>
      </c>
      <c r="Q3254">
        <v>0</v>
      </c>
      <c r="R3254" t="s">
        <v>45098</v>
      </c>
      <c r="S3254" t="s">
        <v>45223</v>
      </c>
      <c r="T3254" t="s">
        <v>46910</v>
      </c>
      <c r="U3254" t="s">
        <v>50224</v>
      </c>
      <c r="W3254" t="s">
        <v>42702</v>
      </c>
      <c r="X3254" t="s">
        <v>45099</v>
      </c>
    </row>
    <row r="3255" spans="1:24">
      <c r="A3255">
        <f>HYPERLINK("https://www.philgeps.gov.ph/GEPSNONPILOT/Tender/SplashBidNoticeAbstractUI.aspx?menuIndex=3&amp;refID=7044277&amp;Result=3","7044277")</f>
        <v>0</v>
      </c>
      <c r="B3255" t="s">
        <v>823</v>
      </c>
      <c r="C3255" t="s">
        <v>6300</v>
      </c>
      <c r="D3255" t="s">
        <v>18073</v>
      </c>
      <c r="E3255" t="s">
        <v>21076</v>
      </c>
      <c r="F3255" t="s">
        <v>31574</v>
      </c>
      <c r="G3255" t="s">
        <v>31582</v>
      </c>
      <c r="H3255" t="s">
        <v>31591</v>
      </c>
      <c r="I3255" t="s">
        <v>8822</v>
      </c>
      <c r="J3255" t="s">
        <v>32241</v>
      </c>
      <c r="K3255" t="s">
        <v>41184</v>
      </c>
      <c r="M3255" t="s">
        <v>42700</v>
      </c>
      <c r="N3255" t="s">
        <v>45095</v>
      </c>
      <c r="O3255" t="s">
        <v>45096</v>
      </c>
      <c r="P3255">
        <v>0</v>
      </c>
      <c r="Q3255">
        <v>0</v>
      </c>
      <c r="R3255" t="s">
        <v>45098</v>
      </c>
      <c r="S3255" t="s">
        <v>45223</v>
      </c>
      <c r="T3255" t="s">
        <v>46915</v>
      </c>
      <c r="U3255" t="s">
        <v>50225</v>
      </c>
      <c r="W3255" t="s">
        <v>42700</v>
      </c>
      <c r="X3255" t="s">
        <v>45099</v>
      </c>
    </row>
    <row r="3256" spans="1:24">
      <c r="A3256">
        <f>HYPERLINK("https://www.philgeps.gov.ph/GEPSNONPILOT/Tender/SplashBidNoticeAbstractUI.aspx?menuIndex=3&amp;refID=7044275&amp;Result=3","7044275")</f>
        <v>0</v>
      </c>
      <c r="B3256" t="s">
        <v>823</v>
      </c>
      <c r="C3256" t="s">
        <v>6301</v>
      </c>
      <c r="D3256" t="s">
        <v>18073</v>
      </c>
      <c r="E3256" t="s">
        <v>21077</v>
      </c>
      <c r="F3256" t="s">
        <v>31574</v>
      </c>
      <c r="G3256" t="s">
        <v>31582</v>
      </c>
      <c r="H3256" t="s">
        <v>31591</v>
      </c>
      <c r="I3256" t="s">
        <v>8822</v>
      </c>
      <c r="J3256" t="s">
        <v>33945</v>
      </c>
      <c r="K3256" t="s">
        <v>41184</v>
      </c>
      <c r="M3256" t="s">
        <v>42700</v>
      </c>
      <c r="N3256" t="s">
        <v>45095</v>
      </c>
      <c r="O3256" t="s">
        <v>45096</v>
      </c>
      <c r="P3256">
        <v>0</v>
      </c>
      <c r="Q3256">
        <v>0</v>
      </c>
      <c r="R3256" t="s">
        <v>45098</v>
      </c>
      <c r="S3256" t="s">
        <v>45223</v>
      </c>
      <c r="T3256" t="s">
        <v>46915</v>
      </c>
      <c r="U3256" t="s">
        <v>50226</v>
      </c>
      <c r="W3256" t="s">
        <v>42700</v>
      </c>
      <c r="X3256" t="s">
        <v>45099</v>
      </c>
    </row>
    <row r="3257" spans="1:24">
      <c r="A3257">
        <f>HYPERLINK("https://www.philgeps.gov.ph/GEPSNONPILOT/Tender/SplashBidNoticeAbstractUI.aspx?menuIndex=3&amp;refID=7044281&amp;Result=3","7044281")</f>
        <v>0</v>
      </c>
      <c r="B3257" t="s">
        <v>1143</v>
      </c>
      <c r="C3257" t="s">
        <v>4411</v>
      </c>
      <c r="D3257" t="s">
        <v>18053</v>
      </c>
      <c r="E3257" t="s">
        <v>21078</v>
      </c>
      <c r="F3257" t="s">
        <v>31574</v>
      </c>
      <c r="G3257" t="s">
        <v>31582</v>
      </c>
      <c r="H3257" t="s">
        <v>31590</v>
      </c>
      <c r="I3257" t="s">
        <v>31642</v>
      </c>
      <c r="J3257" t="s">
        <v>33946</v>
      </c>
      <c r="K3257" t="s">
        <v>41186</v>
      </c>
      <c r="M3257" t="s">
        <v>42696</v>
      </c>
      <c r="N3257" t="s">
        <v>45095</v>
      </c>
      <c r="O3257" t="s">
        <v>45096</v>
      </c>
      <c r="P3257">
        <v>0</v>
      </c>
      <c r="Q3257">
        <v>4</v>
      </c>
      <c r="R3257" t="s">
        <v>45098</v>
      </c>
      <c r="S3257" t="s">
        <v>45223</v>
      </c>
      <c r="T3257" t="s">
        <v>46956</v>
      </c>
      <c r="U3257" t="s">
        <v>50227</v>
      </c>
      <c r="W3257" t="s">
        <v>42696</v>
      </c>
      <c r="X3257" t="s">
        <v>45099</v>
      </c>
    </row>
    <row r="3258" spans="1:24">
      <c r="A3258">
        <f>HYPERLINK("https://www.philgeps.gov.ph/GEPSNONPILOT/Tender/SplashBidNoticeAbstractUI.aspx?menuIndex=3&amp;refID=7044266&amp;Result=3","7044266")</f>
        <v>0</v>
      </c>
      <c r="B3258" t="s">
        <v>823</v>
      </c>
      <c r="C3258" t="s">
        <v>6302</v>
      </c>
      <c r="D3258" t="s">
        <v>18073</v>
      </c>
      <c r="E3258" t="s">
        <v>21079</v>
      </c>
      <c r="F3258" t="s">
        <v>31574</v>
      </c>
      <c r="G3258" t="s">
        <v>31582</v>
      </c>
      <c r="H3258" t="s">
        <v>31591</v>
      </c>
      <c r="I3258" t="s">
        <v>8822</v>
      </c>
      <c r="J3258" t="s">
        <v>32869</v>
      </c>
      <c r="K3258" t="s">
        <v>41184</v>
      </c>
      <c r="M3258" t="s">
        <v>42700</v>
      </c>
      <c r="N3258" t="s">
        <v>45095</v>
      </c>
      <c r="O3258" t="s">
        <v>45096</v>
      </c>
      <c r="P3258">
        <v>0</v>
      </c>
      <c r="Q3258">
        <v>0</v>
      </c>
      <c r="R3258" t="s">
        <v>45098</v>
      </c>
      <c r="S3258" t="s">
        <v>45223</v>
      </c>
      <c r="T3258" t="s">
        <v>46915</v>
      </c>
      <c r="U3258" t="s">
        <v>50228</v>
      </c>
      <c r="W3258" t="s">
        <v>42700</v>
      </c>
      <c r="X3258" t="s">
        <v>45099</v>
      </c>
    </row>
    <row r="3259" spans="1:24">
      <c r="A3259">
        <f>HYPERLINK("https://www.philgeps.gov.ph/GEPSNONPILOT/Tender/SplashBidNoticeAbstractUI.aspx?menuIndex=3&amp;refID=7044285&amp;Result=3","7044285")</f>
        <v>0</v>
      </c>
      <c r="B3259" t="s">
        <v>1148</v>
      </c>
      <c r="C3259" t="s">
        <v>6303</v>
      </c>
      <c r="D3259" t="s">
        <v>18081</v>
      </c>
      <c r="E3259" t="s">
        <v>21080</v>
      </c>
      <c r="F3259" t="s">
        <v>31574</v>
      </c>
      <c r="G3259" t="s">
        <v>31581</v>
      </c>
      <c r="H3259" t="s">
        <v>31590</v>
      </c>
      <c r="I3259" t="s">
        <v>31600</v>
      </c>
      <c r="J3259" t="s">
        <v>33947</v>
      </c>
      <c r="K3259" t="s">
        <v>41186</v>
      </c>
      <c r="M3259" t="s">
        <v>42703</v>
      </c>
      <c r="N3259" t="s">
        <v>45095</v>
      </c>
      <c r="O3259" t="s">
        <v>45096</v>
      </c>
      <c r="P3259">
        <v>0</v>
      </c>
      <c r="Q3259">
        <v>0</v>
      </c>
      <c r="R3259" t="s">
        <v>45098</v>
      </c>
      <c r="S3259" t="s">
        <v>45223</v>
      </c>
      <c r="T3259" t="s">
        <v>47064</v>
      </c>
      <c r="U3259" t="s">
        <v>50229</v>
      </c>
      <c r="V3259" t="s">
        <v>60156</v>
      </c>
      <c r="W3259" t="s">
        <v>42703</v>
      </c>
      <c r="X3259" t="s">
        <v>45099</v>
      </c>
    </row>
    <row r="3260" spans="1:24">
      <c r="A3260">
        <f>HYPERLINK("https://www.philgeps.gov.ph/GEPSNONPILOT/Tender/SplashBidNoticeAbstractUI.aspx?menuIndex=3&amp;refID=7044279&amp;Result=3","7044279")</f>
        <v>0</v>
      </c>
      <c r="B3260" t="s">
        <v>1143</v>
      </c>
      <c r="C3260" t="s">
        <v>6304</v>
      </c>
      <c r="D3260" t="s">
        <v>18053</v>
      </c>
      <c r="E3260" t="s">
        <v>21081</v>
      </c>
      <c r="F3260" t="s">
        <v>31574</v>
      </c>
      <c r="G3260" t="s">
        <v>31582</v>
      </c>
      <c r="H3260" t="s">
        <v>31591</v>
      </c>
      <c r="I3260" t="s">
        <v>8822</v>
      </c>
      <c r="J3260" t="s">
        <v>33948</v>
      </c>
      <c r="K3260" t="s">
        <v>41301</v>
      </c>
      <c r="M3260" t="s">
        <v>42696</v>
      </c>
      <c r="N3260" t="s">
        <v>45095</v>
      </c>
      <c r="O3260" t="s">
        <v>45096</v>
      </c>
      <c r="P3260">
        <v>0</v>
      </c>
      <c r="Q3260">
        <v>0</v>
      </c>
      <c r="R3260" t="s">
        <v>45098</v>
      </c>
      <c r="S3260" t="s">
        <v>45223</v>
      </c>
      <c r="T3260" t="s">
        <v>46956</v>
      </c>
      <c r="U3260" t="s">
        <v>50230</v>
      </c>
      <c r="W3260" t="s">
        <v>42696</v>
      </c>
      <c r="X3260" t="s">
        <v>45099</v>
      </c>
    </row>
    <row r="3261" spans="1:24">
      <c r="A3261">
        <f>HYPERLINK("https://www.philgeps.gov.ph/GEPSNONPILOT/Tender/SplashBidNoticeAbstractUI.aspx?menuIndex=3&amp;refID=7044278&amp;Result=3","7044278")</f>
        <v>0</v>
      </c>
      <c r="B3261" t="s">
        <v>1081</v>
      </c>
      <c r="C3261" t="s">
        <v>6305</v>
      </c>
      <c r="D3261" t="s">
        <v>18036</v>
      </c>
      <c r="E3261" t="s">
        <v>21082</v>
      </c>
      <c r="F3261" t="s">
        <v>31574</v>
      </c>
      <c r="G3261" t="s">
        <v>31581</v>
      </c>
      <c r="H3261" t="s">
        <v>31590</v>
      </c>
      <c r="I3261" t="s">
        <v>14544</v>
      </c>
      <c r="J3261" t="s">
        <v>33949</v>
      </c>
      <c r="K3261" t="s">
        <v>41193</v>
      </c>
      <c r="M3261" t="s">
        <v>42628</v>
      </c>
      <c r="N3261" t="s">
        <v>45095</v>
      </c>
      <c r="O3261" t="s">
        <v>45096</v>
      </c>
      <c r="P3261">
        <v>0</v>
      </c>
      <c r="Q3261">
        <v>0</v>
      </c>
      <c r="R3261" t="s">
        <v>45098</v>
      </c>
      <c r="S3261" t="s">
        <v>45223</v>
      </c>
      <c r="T3261" t="s">
        <v>46982</v>
      </c>
      <c r="U3261" t="s">
        <v>50231</v>
      </c>
      <c r="W3261" t="s">
        <v>42628</v>
      </c>
      <c r="X3261" t="s">
        <v>45099</v>
      </c>
    </row>
    <row r="3262" spans="1:24">
      <c r="A3262">
        <f>HYPERLINK("https://www.philgeps.gov.ph/GEPSNONPILOT/Tender/SplashBidNoticeAbstractUI.aspx?menuIndex=3&amp;refID=7044263&amp;Result=3","7044263")</f>
        <v>0</v>
      </c>
      <c r="B3262" t="s">
        <v>1081</v>
      </c>
      <c r="C3262" t="s">
        <v>6306</v>
      </c>
      <c r="D3262" t="s">
        <v>18036</v>
      </c>
      <c r="E3262" t="s">
        <v>21083</v>
      </c>
      <c r="F3262" t="s">
        <v>31574</v>
      </c>
      <c r="G3262" t="s">
        <v>31581</v>
      </c>
      <c r="H3262" t="s">
        <v>31590</v>
      </c>
      <c r="I3262" t="s">
        <v>14544</v>
      </c>
      <c r="J3262" t="s">
        <v>32029</v>
      </c>
      <c r="K3262" t="s">
        <v>41193</v>
      </c>
      <c r="M3262" t="s">
        <v>42628</v>
      </c>
      <c r="N3262" t="s">
        <v>45095</v>
      </c>
      <c r="O3262" t="s">
        <v>45096</v>
      </c>
      <c r="P3262">
        <v>0</v>
      </c>
      <c r="Q3262">
        <v>0</v>
      </c>
      <c r="R3262" t="s">
        <v>45098</v>
      </c>
      <c r="S3262" t="s">
        <v>45223</v>
      </c>
      <c r="T3262" t="s">
        <v>46982</v>
      </c>
      <c r="U3262" t="s">
        <v>50209</v>
      </c>
      <c r="W3262" t="s">
        <v>42628</v>
      </c>
      <c r="X3262" t="s">
        <v>45099</v>
      </c>
    </row>
    <row r="3263" spans="1:24">
      <c r="A3263">
        <f>HYPERLINK("https://www.philgeps.gov.ph/GEPSNONPILOT/Tender/SplashBidNoticeAbstractUI.aspx?menuIndex=3&amp;refID=7044284&amp;Result=3","7044284")</f>
        <v>0</v>
      </c>
      <c r="B3263" t="s">
        <v>1148</v>
      </c>
      <c r="C3263" t="s">
        <v>6307</v>
      </c>
      <c r="D3263" t="s">
        <v>18081</v>
      </c>
      <c r="E3263" t="s">
        <v>21084</v>
      </c>
      <c r="F3263" t="s">
        <v>31574</v>
      </c>
      <c r="G3263" t="s">
        <v>31581</v>
      </c>
      <c r="H3263" t="s">
        <v>31590</v>
      </c>
      <c r="I3263" t="s">
        <v>31600</v>
      </c>
      <c r="J3263" t="s">
        <v>33950</v>
      </c>
      <c r="K3263" t="s">
        <v>41186</v>
      </c>
      <c r="M3263" t="s">
        <v>42703</v>
      </c>
      <c r="N3263" t="s">
        <v>45095</v>
      </c>
      <c r="O3263" t="s">
        <v>45096</v>
      </c>
      <c r="P3263">
        <v>0</v>
      </c>
      <c r="Q3263">
        <v>0</v>
      </c>
      <c r="R3263" t="s">
        <v>45098</v>
      </c>
      <c r="S3263" t="s">
        <v>45223</v>
      </c>
      <c r="T3263" t="s">
        <v>47064</v>
      </c>
      <c r="U3263" t="s">
        <v>50229</v>
      </c>
      <c r="V3263" t="s">
        <v>60156</v>
      </c>
      <c r="W3263" t="s">
        <v>42703</v>
      </c>
      <c r="X3263" t="s">
        <v>45099</v>
      </c>
    </row>
    <row r="3264" spans="1:24">
      <c r="A3264">
        <f>HYPERLINK("https://www.philgeps.gov.ph/GEPSNONPILOT/Tender/SplashBidNoticeAbstractUI.aspx?menuIndex=3&amp;refID=7044289&amp;Result=3","7044289")</f>
        <v>0</v>
      </c>
      <c r="B3264" t="s">
        <v>1148</v>
      </c>
      <c r="C3264" t="s">
        <v>6308</v>
      </c>
      <c r="D3264" t="s">
        <v>18081</v>
      </c>
      <c r="E3264" t="s">
        <v>21085</v>
      </c>
      <c r="F3264" t="s">
        <v>31574</v>
      </c>
      <c r="G3264" t="s">
        <v>31581</v>
      </c>
      <c r="H3264" t="s">
        <v>31590</v>
      </c>
      <c r="I3264" t="s">
        <v>31600</v>
      </c>
      <c r="J3264" t="s">
        <v>33951</v>
      </c>
      <c r="K3264" t="s">
        <v>41186</v>
      </c>
      <c r="M3264" t="s">
        <v>42703</v>
      </c>
      <c r="N3264" t="s">
        <v>45095</v>
      </c>
      <c r="O3264" t="s">
        <v>45096</v>
      </c>
      <c r="P3264">
        <v>0</v>
      </c>
      <c r="Q3264">
        <v>0</v>
      </c>
      <c r="R3264" t="s">
        <v>45098</v>
      </c>
      <c r="S3264" t="s">
        <v>45223</v>
      </c>
      <c r="T3264" t="s">
        <v>47064</v>
      </c>
      <c r="U3264" t="s">
        <v>50229</v>
      </c>
      <c r="V3264" t="s">
        <v>60156</v>
      </c>
      <c r="W3264" t="s">
        <v>42703</v>
      </c>
      <c r="X3264" t="s">
        <v>45099</v>
      </c>
    </row>
    <row r="3265" spans="1:24">
      <c r="A3265">
        <f>HYPERLINK("https://www.philgeps.gov.ph/GEPSNONPILOT/Tender/SplashBidNoticeAbstractUI.aspx?menuIndex=3&amp;refID=7044286&amp;Result=3","7044286")</f>
        <v>0</v>
      </c>
      <c r="B3265" t="s">
        <v>1148</v>
      </c>
      <c r="C3265" t="s">
        <v>6309</v>
      </c>
      <c r="D3265" t="s">
        <v>18081</v>
      </c>
      <c r="E3265" t="s">
        <v>21086</v>
      </c>
      <c r="F3265" t="s">
        <v>31574</v>
      </c>
      <c r="G3265" t="s">
        <v>31581</v>
      </c>
      <c r="H3265" t="s">
        <v>31590</v>
      </c>
      <c r="I3265" t="s">
        <v>31600</v>
      </c>
      <c r="J3265" t="s">
        <v>33952</v>
      </c>
      <c r="K3265" t="s">
        <v>41186</v>
      </c>
      <c r="M3265" t="s">
        <v>42703</v>
      </c>
      <c r="N3265" t="s">
        <v>45095</v>
      </c>
      <c r="O3265" t="s">
        <v>45096</v>
      </c>
      <c r="P3265">
        <v>0</v>
      </c>
      <c r="Q3265">
        <v>0</v>
      </c>
      <c r="R3265" t="s">
        <v>45098</v>
      </c>
      <c r="S3265" t="s">
        <v>45223</v>
      </c>
      <c r="T3265" t="s">
        <v>47064</v>
      </c>
      <c r="U3265" t="s">
        <v>50229</v>
      </c>
      <c r="V3265" t="s">
        <v>60156</v>
      </c>
      <c r="W3265" t="s">
        <v>42703</v>
      </c>
      <c r="X3265" t="s">
        <v>45099</v>
      </c>
    </row>
    <row r="3266" spans="1:24">
      <c r="A3266">
        <f>HYPERLINK("https://www.philgeps.gov.ph/GEPSNONPILOT/Tender/SplashBidNoticeAbstractUI.aspx?menuIndex=3&amp;refID=7044300&amp;Result=3","7044300")</f>
        <v>0</v>
      </c>
      <c r="B3266" t="s">
        <v>1148</v>
      </c>
      <c r="C3266" t="s">
        <v>6310</v>
      </c>
      <c r="D3266" t="s">
        <v>18081</v>
      </c>
      <c r="E3266" t="s">
        <v>21087</v>
      </c>
      <c r="F3266" t="s">
        <v>31574</v>
      </c>
      <c r="G3266" t="s">
        <v>31581</v>
      </c>
      <c r="H3266" t="s">
        <v>31590</v>
      </c>
      <c r="I3266" t="s">
        <v>31600</v>
      </c>
      <c r="J3266" t="s">
        <v>33953</v>
      </c>
      <c r="K3266" t="s">
        <v>41186</v>
      </c>
      <c r="M3266" t="s">
        <v>42703</v>
      </c>
      <c r="N3266" t="s">
        <v>45095</v>
      </c>
      <c r="O3266" t="s">
        <v>45096</v>
      </c>
      <c r="P3266">
        <v>0</v>
      </c>
      <c r="Q3266">
        <v>0</v>
      </c>
      <c r="R3266" t="s">
        <v>45098</v>
      </c>
      <c r="S3266" t="s">
        <v>45223</v>
      </c>
      <c r="T3266" t="s">
        <v>47064</v>
      </c>
      <c r="U3266" t="s">
        <v>50229</v>
      </c>
      <c r="V3266" t="s">
        <v>60156</v>
      </c>
      <c r="W3266" t="s">
        <v>42703</v>
      </c>
      <c r="X3266" t="s">
        <v>45099</v>
      </c>
    </row>
    <row r="3267" spans="1:24">
      <c r="A3267">
        <f>HYPERLINK("https://www.philgeps.gov.ph/GEPSNONPILOT/Tender/SplashBidNoticeAbstractUI.aspx?menuIndex=3&amp;refID=7044290&amp;Result=3","7044290")</f>
        <v>0</v>
      </c>
      <c r="B3267" t="s">
        <v>1149</v>
      </c>
      <c r="C3267" t="s">
        <v>6311</v>
      </c>
      <c r="D3267" t="s">
        <v>18054</v>
      </c>
      <c r="E3267" t="s">
        <v>21088</v>
      </c>
      <c r="F3267" t="s">
        <v>31574</v>
      </c>
      <c r="G3267" t="s">
        <v>31583</v>
      </c>
      <c r="H3267" t="s">
        <v>31590</v>
      </c>
      <c r="I3267" t="s">
        <v>4046</v>
      </c>
      <c r="J3267" t="s">
        <v>33954</v>
      </c>
      <c r="K3267" t="s">
        <v>41191</v>
      </c>
      <c r="L3267" t="s">
        <v>1149</v>
      </c>
      <c r="M3267" t="s">
        <v>42704</v>
      </c>
      <c r="N3267" t="s">
        <v>45095</v>
      </c>
      <c r="O3267" t="s">
        <v>45096</v>
      </c>
      <c r="P3267">
        <v>0</v>
      </c>
      <c r="Q3267">
        <v>2</v>
      </c>
      <c r="R3267" t="s">
        <v>45098</v>
      </c>
      <c r="S3267" t="s">
        <v>45223</v>
      </c>
      <c r="T3267" t="s">
        <v>46963</v>
      </c>
      <c r="U3267" t="s">
        <v>50232</v>
      </c>
      <c r="W3267" t="s">
        <v>42704</v>
      </c>
      <c r="X3267" t="s">
        <v>45099</v>
      </c>
    </row>
    <row r="3268" spans="1:24">
      <c r="A3268">
        <f>HYPERLINK("https://www.philgeps.gov.ph/GEPSNONPILOT/Tender/SplashBidNoticeAbstractUI.aspx?menuIndex=3&amp;refID=7044301&amp;Result=3","7044301")</f>
        <v>0</v>
      </c>
      <c r="B3268" t="s">
        <v>540</v>
      </c>
      <c r="C3268" t="s">
        <v>6312</v>
      </c>
      <c r="D3268" t="s">
        <v>18022</v>
      </c>
      <c r="E3268" t="s">
        <v>21089</v>
      </c>
      <c r="F3268" t="s">
        <v>31574</v>
      </c>
      <c r="G3268" t="s">
        <v>31582</v>
      </c>
      <c r="H3268" t="s">
        <v>31590</v>
      </c>
      <c r="I3268" t="s">
        <v>31608</v>
      </c>
      <c r="J3268" t="s">
        <v>33955</v>
      </c>
      <c r="K3268" t="s">
        <v>41198</v>
      </c>
      <c r="M3268" t="s">
        <v>42705</v>
      </c>
      <c r="N3268" t="s">
        <v>45095</v>
      </c>
      <c r="O3268" t="s">
        <v>45096</v>
      </c>
      <c r="P3268">
        <v>0</v>
      </c>
      <c r="Q3268">
        <v>4</v>
      </c>
      <c r="R3268" t="s">
        <v>45098</v>
      </c>
      <c r="S3268" t="s">
        <v>45223</v>
      </c>
      <c r="T3268" t="s">
        <v>47028</v>
      </c>
      <c r="U3268" t="s">
        <v>50177</v>
      </c>
      <c r="W3268" t="s">
        <v>42705</v>
      </c>
      <c r="X3268" t="s">
        <v>45099</v>
      </c>
    </row>
    <row r="3269" spans="1:24">
      <c r="A3269">
        <f>HYPERLINK("https://www.philgeps.gov.ph/GEPSNONPILOT/Tender/SplashBidNoticeAbstractUI.aspx?menuIndex=3&amp;refID=7044288&amp;Result=3","7044288")</f>
        <v>0</v>
      </c>
      <c r="B3269" t="s">
        <v>1150</v>
      </c>
      <c r="C3269" t="s">
        <v>6313</v>
      </c>
      <c r="D3269" t="s">
        <v>18086</v>
      </c>
      <c r="E3269" t="s">
        <v>21090</v>
      </c>
      <c r="F3269" t="s">
        <v>31574</v>
      </c>
      <c r="G3269" t="s">
        <v>31581</v>
      </c>
      <c r="H3269" t="s">
        <v>31590</v>
      </c>
      <c r="I3269" t="s">
        <v>4046</v>
      </c>
      <c r="J3269" t="s">
        <v>33956</v>
      </c>
      <c r="K3269" t="s">
        <v>41184</v>
      </c>
      <c r="M3269" t="s">
        <v>42706</v>
      </c>
      <c r="N3269" t="s">
        <v>45095</v>
      </c>
      <c r="O3269" t="s">
        <v>45096</v>
      </c>
      <c r="P3269">
        <v>0</v>
      </c>
      <c r="Q3269">
        <v>0</v>
      </c>
      <c r="R3269" t="s">
        <v>45098</v>
      </c>
      <c r="S3269" t="s">
        <v>45223</v>
      </c>
      <c r="T3269" t="s">
        <v>46936</v>
      </c>
      <c r="U3269" t="s">
        <v>50233</v>
      </c>
      <c r="W3269" t="s">
        <v>42706</v>
      </c>
      <c r="X3269" t="s">
        <v>45099</v>
      </c>
    </row>
    <row r="3270" spans="1:24">
      <c r="A3270">
        <f>HYPERLINK("https://www.philgeps.gov.ph/GEPSNONPILOT/Tender/SplashBidNoticeAbstractUI.aspx?menuIndex=3&amp;refID=7044298&amp;Result=3","7044298")</f>
        <v>0</v>
      </c>
      <c r="B3270" t="s">
        <v>1129</v>
      </c>
      <c r="C3270" t="s">
        <v>6314</v>
      </c>
      <c r="D3270" t="s">
        <v>18065</v>
      </c>
      <c r="E3270" t="s">
        <v>21091</v>
      </c>
      <c r="F3270" t="s">
        <v>31574</v>
      </c>
      <c r="G3270" t="s">
        <v>31581</v>
      </c>
      <c r="H3270" t="s">
        <v>31590</v>
      </c>
      <c r="I3270" t="s">
        <v>31594</v>
      </c>
      <c r="J3270" t="s">
        <v>33957</v>
      </c>
      <c r="K3270" t="s">
        <v>41192</v>
      </c>
      <c r="M3270" t="s">
        <v>42680</v>
      </c>
      <c r="N3270" t="s">
        <v>45095</v>
      </c>
      <c r="O3270" t="s">
        <v>45096</v>
      </c>
      <c r="P3270">
        <v>0</v>
      </c>
      <c r="Q3270">
        <v>2</v>
      </c>
      <c r="R3270" t="s">
        <v>45098</v>
      </c>
      <c r="S3270" t="s">
        <v>45223</v>
      </c>
      <c r="T3270" t="s">
        <v>46957</v>
      </c>
      <c r="U3270" t="s">
        <v>50234</v>
      </c>
      <c r="W3270" t="s">
        <v>42680</v>
      </c>
      <c r="X3270" t="s">
        <v>45099</v>
      </c>
    </row>
    <row r="3271" spans="1:24">
      <c r="A3271">
        <f>HYPERLINK("https://www.philgeps.gov.ph/GEPSNONPILOT/Tender/SplashBidNoticeAbstractUI.aspx?menuIndex=3&amp;refID=7044297&amp;Result=3","7044297")</f>
        <v>0</v>
      </c>
      <c r="B3271" t="s">
        <v>1148</v>
      </c>
      <c r="C3271" t="s">
        <v>6315</v>
      </c>
      <c r="D3271" t="s">
        <v>18081</v>
      </c>
      <c r="E3271" t="s">
        <v>21092</v>
      </c>
      <c r="F3271" t="s">
        <v>31574</v>
      </c>
      <c r="G3271" t="s">
        <v>31581</v>
      </c>
      <c r="H3271" t="s">
        <v>31590</v>
      </c>
      <c r="I3271" t="s">
        <v>31600</v>
      </c>
      <c r="J3271" t="s">
        <v>33958</v>
      </c>
      <c r="K3271" t="s">
        <v>41186</v>
      </c>
      <c r="M3271" t="s">
        <v>42703</v>
      </c>
      <c r="N3271" t="s">
        <v>45095</v>
      </c>
      <c r="O3271" t="s">
        <v>45096</v>
      </c>
      <c r="P3271">
        <v>0</v>
      </c>
      <c r="Q3271">
        <v>0</v>
      </c>
      <c r="R3271" t="s">
        <v>45098</v>
      </c>
      <c r="S3271" t="s">
        <v>45223</v>
      </c>
      <c r="T3271" t="s">
        <v>47064</v>
      </c>
      <c r="U3271" t="s">
        <v>50229</v>
      </c>
      <c r="V3271" t="s">
        <v>60156</v>
      </c>
      <c r="W3271" t="s">
        <v>42703</v>
      </c>
      <c r="X3271" t="s">
        <v>45099</v>
      </c>
    </row>
    <row r="3272" spans="1:24">
      <c r="A3272">
        <f>HYPERLINK("https://www.philgeps.gov.ph/GEPSNONPILOT/Tender/SplashBidNoticeAbstractUI.aspx?menuIndex=3&amp;refID=7044296&amp;Result=3","7044296")</f>
        <v>0</v>
      </c>
      <c r="B3272" t="s">
        <v>485</v>
      </c>
      <c r="C3272" t="s">
        <v>6316</v>
      </c>
      <c r="D3272" t="s">
        <v>18048</v>
      </c>
      <c r="E3272" t="s">
        <v>21093</v>
      </c>
      <c r="F3272" t="s">
        <v>31574</v>
      </c>
      <c r="G3272" t="s">
        <v>31581</v>
      </c>
      <c r="H3272" t="s">
        <v>31590</v>
      </c>
      <c r="I3272" t="s">
        <v>8258</v>
      </c>
      <c r="J3272" t="s">
        <v>33959</v>
      </c>
      <c r="K3272" t="s">
        <v>41190</v>
      </c>
      <c r="M3272" t="s">
        <v>42622</v>
      </c>
      <c r="N3272" t="s">
        <v>45095</v>
      </c>
      <c r="O3272" t="s">
        <v>45096</v>
      </c>
      <c r="P3272">
        <v>0</v>
      </c>
      <c r="Q3272">
        <v>0</v>
      </c>
      <c r="R3272" t="s">
        <v>45098</v>
      </c>
      <c r="S3272" t="s">
        <v>45223</v>
      </c>
      <c r="T3272" t="s">
        <v>46936</v>
      </c>
      <c r="U3272" t="s">
        <v>50235</v>
      </c>
      <c r="W3272" t="s">
        <v>42622</v>
      </c>
      <c r="X3272" t="s">
        <v>45099</v>
      </c>
    </row>
    <row r="3273" spans="1:24">
      <c r="A3273">
        <f>HYPERLINK("https://www.philgeps.gov.ph/GEPSNONPILOT/Tender/SplashBidNoticeAbstractUI.aspx?menuIndex=3&amp;refID=7044299&amp;Result=3","7044299")</f>
        <v>0</v>
      </c>
      <c r="B3273" t="s">
        <v>1149</v>
      </c>
      <c r="C3273" t="s">
        <v>6317</v>
      </c>
      <c r="D3273" t="s">
        <v>18054</v>
      </c>
      <c r="E3273" t="s">
        <v>21094</v>
      </c>
      <c r="F3273" t="s">
        <v>31574</v>
      </c>
      <c r="G3273" t="s">
        <v>31583</v>
      </c>
      <c r="H3273" t="s">
        <v>31590</v>
      </c>
      <c r="I3273" t="s">
        <v>14544</v>
      </c>
      <c r="J3273" t="s">
        <v>33960</v>
      </c>
      <c r="K3273" t="s">
        <v>41196</v>
      </c>
      <c r="L3273" t="s">
        <v>1149</v>
      </c>
      <c r="M3273" t="s">
        <v>42704</v>
      </c>
      <c r="N3273" t="s">
        <v>45095</v>
      </c>
      <c r="O3273" t="s">
        <v>45096</v>
      </c>
      <c r="P3273">
        <v>0</v>
      </c>
      <c r="Q3273">
        <v>0</v>
      </c>
      <c r="R3273" t="s">
        <v>45098</v>
      </c>
      <c r="S3273" t="s">
        <v>45223</v>
      </c>
      <c r="T3273" t="s">
        <v>46963</v>
      </c>
      <c r="U3273" t="s">
        <v>50236</v>
      </c>
      <c r="W3273" t="s">
        <v>42704</v>
      </c>
      <c r="X3273" t="s">
        <v>45099</v>
      </c>
    </row>
    <row r="3274" spans="1:24">
      <c r="A3274">
        <f>HYPERLINK("https://www.philgeps.gov.ph/GEPSNONPILOT/Tender/SplashBidNoticeAbstractUI.aspx?menuIndex=3&amp;refID=7044292&amp;Result=3","7044292")</f>
        <v>0</v>
      </c>
      <c r="B3274" t="s">
        <v>1148</v>
      </c>
      <c r="C3274" t="s">
        <v>6318</v>
      </c>
      <c r="D3274" t="s">
        <v>18081</v>
      </c>
      <c r="E3274" t="s">
        <v>21095</v>
      </c>
      <c r="F3274" t="s">
        <v>31574</v>
      </c>
      <c r="G3274" t="s">
        <v>31581</v>
      </c>
      <c r="H3274" t="s">
        <v>31590</v>
      </c>
      <c r="I3274" t="s">
        <v>31600</v>
      </c>
      <c r="J3274" t="s">
        <v>33961</v>
      </c>
      <c r="K3274" t="s">
        <v>41186</v>
      </c>
      <c r="M3274" t="s">
        <v>42703</v>
      </c>
      <c r="N3274" t="s">
        <v>45095</v>
      </c>
      <c r="O3274" t="s">
        <v>45096</v>
      </c>
      <c r="P3274">
        <v>0</v>
      </c>
      <c r="Q3274">
        <v>0</v>
      </c>
      <c r="R3274" t="s">
        <v>45098</v>
      </c>
      <c r="S3274" t="s">
        <v>45223</v>
      </c>
      <c r="T3274" t="s">
        <v>47064</v>
      </c>
      <c r="U3274" t="s">
        <v>50229</v>
      </c>
      <c r="V3274" t="s">
        <v>60156</v>
      </c>
      <c r="W3274" t="s">
        <v>42703</v>
      </c>
      <c r="X3274" t="s">
        <v>45099</v>
      </c>
    </row>
    <row r="3275" spans="1:24">
      <c r="A3275">
        <f>HYPERLINK("https://www.philgeps.gov.ph/GEPSNONPILOT/Tender/SplashBidNoticeAbstractUI.aspx?menuIndex=3&amp;refID=7044310&amp;Result=3","7044310")</f>
        <v>0</v>
      </c>
      <c r="B3275" t="s">
        <v>1151</v>
      </c>
      <c r="C3275" t="s">
        <v>6319</v>
      </c>
      <c r="D3275" t="s">
        <v>18065</v>
      </c>
      <c r="E3275" t="s">
        <v>21096</v>
      </c>
      <c r="F3275" t="s">
        <v>31574</v>
      </c>
      <c r="G3275" t="s">
        <v>31583</v>
      </c>
      <c r="H3275" t="s">
        <v>31590</v>
      </c>
      <c r="I3275" t="s">
        <v>5717</v>
      </c>
      <c r="J3275" t="s">
        <v>33962</v>
      </c>
      <c r="K3275" t="s">
        <v>41190</v>
      </c>
      <c r="M3275" t="s">
        <v>42707</v>
      </c>
      <c r="N3275" t="s">
        <v>45095</v>
      </c>
      <c r="O3275" t="s">
        <v>45096</v>
      </c>
      <c r="P3275">
        <v>0</v>
      </c>
      <c r="Q3275">
        <v>1</v>
      </c>
      <c r="R3275" t="s">
        <v>45098</v>
      </c>
      <c r="S3275" t="s">
        <v>45223</v>
      </c>
      <c r="T3275" t="s">
        <v>46952</v>
      </c>
      <c r="U3275" t="s">
        <v>48153</v>
      </c>
      <c r="W3275" t="s">
        <v>42707</v>
      </c>
      <c r="X3275" t="s">
        <v>45099</v>
      </c>
    </row>
    <row r="3276" spans="1:24">
      <c r="A3276">
        <f>HYPERLINK("https://www.philgeps.gov.ph/GEPSNONPILOT/Tender/SplashBidNoticeAbstractUI.aspx?menuIndex=3&amp;refID=7044295&amp;Result=3","7044295")</f>
        <v>0</v>
      </c>
      <c r="B3276" t="s">
        <v>1149</v>
      </c>
      <c r="C3276" t="s">
        <v>6320</v>
      </c>
      <c r="D3276" t="s">
        <v>18054</v>
      </c>
      <c r="E3276" t="s">
        <v>21097</v>
      </c>
      <c r="F3276" t="s">
        <v>31574</v>
      </c>
      <c r="G3276" t="s">
        <v>31583</v>
      </c>
      <c r="H3276" t="s">
        <v>31590</v>
      </c>
      <c r="I3276" t="s">
        <v>6800</v>
      </c>
      <c r="J3276" t="s">
        <v>33963</v>
      </c>
      <c r="K3276" t="s">
        <v>41191</v>
      </c>
      <c r="L3276" t="s">
        <v>1149</v>
      </c>
      <c r="M3276" t="s">
        <v>42704</v>
      </c>
      <c r="N3276" t="s">
        <v>45095</v>
      </c>
      <c r="O3276" t="s">
        <v>45096</v>
      </c>
      <c r="P3276">
        <v>0</v>
      </c>
      <c r="Q3276">
        <v>0</v>
      </c>
      <c r="R3276" t="s">
        <v>45098</v>
      </c>
      <c r="S3276" t="s">
        <v>45223</v>
      </c>
      <c r="T3276" t="s">
        <v>46963</v>
      </c>
      <c r="U3276" t="s">
        <v>50237</v>
      </c>
      <c r="W3276" t="s">
        <v>42704</v>
      </c>
      <c r="X3276" t="s">
        <v>45099</v>
      </c>
    </row>
    <row r="3277" spans="1:24">
      <c r="A3277">
        <f>HYPERLINK("https://www.philgeps.gov.ph/GEPSNONPILOT/Tender/SplashBidNoticeAbstractUI.aspx?menuIndex=3&amp;refID=7044323&amp;Result=3","7044323")</f>
        <v>0</v>
      </c>
      <c r="B3277" t="s">
        <v>1152</v>
      </c>
      <c r="C3277" t="s">
        <v>6321</v>
      </c>
      <c r="D3277" t="s">
        <v>18022</v>
      </c>
      <c r="E3277" t="s">
        <v>18379</v>
      </c>
      <c r="F3277" t="s">
        <v>31574</v>
      </c>
      <c r="G3277" t="s">
        <v>31583</v>
      </c>
      <c r="H3277" t="s">
        <v>31591</v>
      </c>
      <c r="I3277" t="s">
        <v>8822</v>
      </c>
      <c r="J3277" t="s">
        <v>31764</v>
      </c>
      <c r="K3277" t="s">
        <v>41196</v>
      </c>
      <c r="M3277" t="s">
        <v>42708</v>
      </c>
      <c r="N3277" t="s">
        <v>45095</v>
      </c>
      <c r="O3277" t="s">
        <v>45096</v>
      </c>
      <c r="P3277">
        <v>0</v>
      </c>
      <c r="Q3277">
        <v>0</v>
      </c>
      <c r="R3277" t="s">
        <v>45098</v>
      </c>
      <c r="S3277" t="s">
        <v>45223</v>
      </c>
      <c r="T3277" t="s">
        <v>47106</v>
      </c>
      <c r="U3277" t="s">
        <v>50238</v>
      </c>
      <c r="W3277" t="s">
        <v>42708</v>
      </c>
      <c r="X3277" t="s">
        <v>45099</v>
      </c>
    </row>
    <row r="3278" spans="1:24">
      <c r="A3278">
        <f>HYPERLINK("https://www.philgeps.gov.ph/GEPSNONPILOT/Tender/SplashBidNoticeAbstractUI.aspx?menuIndex=3&amp;refID=7044307&amp;Result=3","7044307")</f>
        <v>0</v>
      </c>
      <c r="B3278" t="s">
        <v>1153</v>
      </c>
      <c r="C3278" t="s">
        <v>6322</v>
      </c>
      <c r="D3278" t="s">
        <v>18036</v>
      </c>
      <c r="E3278" t="s">
        <v>21098</v>
      </c>
      <c r="F3278" t="s">
        <v>31574</v>
      </c>
      <c r="G3278" t="s">
        <v>31582</v>
      </c>
      <c r="H3278" t="s">
        <v>31590</v>
      </c>
      <c r="I3278" t="s">
        <v>31688</v>
      </c>
      <c r="J3278" t="s">
        <v>33030</v>
      </c>
      <c r="K3278" t="s">
        <v>41196</v>
      </c>
      <c r="M3278" t="s">
        <v>42709</v>
      </c>
      <c r="N3278" t="s">
        <v>45095</v>
      </c>
      <c r="O3278" t="s">
        <v>45096</v>
      </c>
      <c r="P3278">
        <v>0</v>
      </c>
      <c r="Q3278">
        <v>0</v>
      </c>
      <c r="R3278" t="s">
        <v>45098</v>
      </c>
      <c r="S3278" t="s">
        <v>45223</v>
      </c>
      <c r="T3278" t="s">
        <v>47043</v>
      </c>
      <c r="U3278" t="s">
        <v>50239</v>
      </c>
      <c r="W3278" t="s">
        <v>61691</v>
      </c>
      <c r="X3278" t="s">
        <v>45099</v>
      </c>
    </row>
    <row r="3279" spans="1:24">
      <c r="A3279">
        <f>HYPERLINK("https://www.philgeps.gov.ph/GEPSNONPILOT/Tender/SplashBidNoticeAbstractUI.aspx?menuIndex=3&amp;refID=7044294&amp;Result=3","7044294")</f>
        <v>0</v>
      </c>
      <c r="B3279" t="s">
        <v>1148</v>
      </c>
      <c r="C3279" t="s">
        <v>6323</v>
      </c>
      <c r="D3279" t="s">
        <v>18081</v>
      </c>
      <c r="E3279" t="s">
        <v>21099</v>
      </c>
      <c r="F3279" t="s">
        <v>31574</v>
      </c>
      <c r="G3279" t="s">
        <v>31581</v>
      </c>
      <c r="H3279" t="s">
        <v>31590</v>
      </c>
      <c r="I3279" t="s">
        <v>31600</v>
      </c>
      <c r="J3279" t="s">
        <v>33964</v>
      </c>
      <c r="K3279" t="s">
        <v>41186</v>
      </c>
      <c r="M3279" t="s">
        <v>42703</v>
      </c>
      <c r="N3279" t="s">
        <v>45095</v>
      </c>
      <c r="O3279" t="s">
        <v>45096</v>
      </c>
      <c r="P3279">
        <v>0</v>
      </c>
      <c r="Q3279">
        <v>0</v>
      </c>
      <c r="R3279" t="s">
        <v>45098</v>
      </c>
      <c r="S3279" t="s">
        <v>45223</v>
      </c>
      <c r="T3279" t="s">
        <v>47064</v>
      </c>
      <c r="U3279" t="s">
        <v>50229</v>
      </c>
      <c r="V3279" t="s">
        <v>60156</v>
      </c>
      <c r="W3279" t="s">
        <v>42703</v>
      </c>
      <c r="X3279" t="s">
        <v>45099</v>
      </c>
    </row>
    <row r="3280" spans="1:24">
      <c r="A3280">
        <f>HYPERLINK("https://www.philgeps.gov.ph/GEPSNONPILOT/Tender/SplashBidNoticeAbstractUI.aspx?menuIndex=3&amp;refID=7044322&amp;Result=3","7044322")</f>
        <v>0</v>
      </c>
      <c r="B3280" t="s">
        <v>854</v>
      </c>
      <c r="C3280" t="s">
        <v>6324</v>
      </c>
      <c r="D3280" t="s">
        <v>18022</v>
      </c>
      <c r="E3280" t="s">
        <v>21100</v>
      </c>
      <c r="F3280" t="s">
        <v>31574</v>
      </c>
      <c r="G3280" t="s">
        <v>31581</v>
      </c>
      <c r="H3280" t="s">
        <v>31590</v>
      </c>
      <c r="I3280" t="s">
        <v>31608</v>
      </c>
      <c r="J3280" t="s">
        <v>32020</v>
      </c>
      <c r="K3280" t="s">
        <v>41184</v>
      </c>
      <c r="M3280" t="s">
        <v>42710</v>
      </c>
      <c r="N3280" t="s">
        <v>45095</v>
      </c>
      <c r="O3280" t="s">
        <v>45096</v>
      </c>
      <c r="P3280">
        <v>0</v>
      </c>
      <c r="Q3280">
        <v>5</v>
      </c>
      <c r="R3280" t="s">
        <v>45098</v>
      </c>
      <c r="S3280" t="s">
        <v>45223</v>
      </c>
      <c r="T3280" t="s">
        <v>46973</v>
      </c>
      <c r="U3280" t="s">
        <v>50240</v>
      </c>
      <c r="W3280" t="s">
        <v>42710</v>
      </c>
      <c r="X3280" t="s">
        <v>45099</v>
      </c>
    </row>
    <row r="3281" spans="1:24">
      <c r="A3281">
        <f>HYPERLINK("https://www.philgeps.gov.ph/GEPSNONPILOT/Tender/SplashBidNoticeAbstractUI.aspx?menuIndex=3&amp;refID=7044293&amp;Result=3","7044293")</f>
        <v>0</v>
      </c>
      <c r="B3281" t="s">
        <v>1087</v>
      </c>
      <c r="C3281" t="s">
        <v>6325</v>
      </c>
      <c r="D3281" t="s">
        <v>18107</v>
      </c>
      <c r="E3281" t="s">
        <v>21101</v>
      </c>
      <c r="F3281" t="s">
        <v>31574</v>
      </c>
      <c r="G3281" t="s">
        <v>31582</v>
      </c>
      <c r="H3281" t="s">
        <v>31590</v>
      </c>
      <c r="I3281" t="s">
        <v>4046</v>
      </c>
      <c r="J3281" t="s">
        <v>33965</v>
      </c>
      <c r="K3281" t="s">
        <v>41196</v>
      </c>
      <c r="M3281" t="s">
        <v>42636</v>
      </c>
      <c r="N3281" t="s">
        <v>45095</v>
      </c>
      <c r="O3281" t="s">
        <v>45096</v>
      </c>
      <c r="P3281">
        <v>0</v>
      </c>
      <c r="Q3281">
        <v>0</v>
      </c>
      <c r="R3281" t="s">
        <v>45098</v>
      </c>
      <c r="S3281" t="s">
        <v>45223</v>
      </c>
      <c r="T3281" t="s">
        <v>46956</v>
      </c>
      <c r="U3281" t="s">
        <v>50241</v>
      </c>
      <c r="W3281" t="s">
        <v>42636</v>
      </c>
      <c r="X3281" t="s">
        <v>45099</v>
      </c>
    </row>
    <row r="3282" spans="1:24">
      <c r="A3282">
        <f>HYPERLINK("https://www.philgeps.gov.ph/GEPSNONPILOT/Tender/SplashBidNoticeAbstractUI.aspx?menuIndex=3&amp;refID=7044319&amp;Result=3","7044319")</f>
        <v>0</v>
      </c>
      <c r="B3282" t="s">
        <v>1153</v>
      </c>
      <c r="C3282" t="s">
        <v>6326</v>
      </c>
      <c r="D3282" t="s">
        <v>18036</v>
      </c>
      <c r="E3282" t="s">
        <v>21102</v>
      </c>
      <c r="F3282" t="s">
        <v>31574</v>
      </c>
      <c r="G3282" t="s">
        <v>31582</v>
      </c>
      <c r="H3282" t="s">
        <v>31590</v>
      </c>
      <c r="I3282" t="s">
        <v>31618</v>
      </c>
      <c r="J3282" t="s">
        <v>33966</v>
      </c>
      <c r="K3282" t="s">
        <v>41196</v>
      </c>
      <c r="M3282" t="s">
        <v>42709</v>
      </c>
      <c r="N3282" t="s">
        <v>45095</v>
      </c>
      <c r="O3282" t="s">
        <v>45096</v>
      </c>
      <c r="P3282">
        <v>0</v>
      </c>
      <c r="Q3282">
        <v>0</v>
      </c>
      <c r="R3282" t="s">
        <v>45098</v>
      </c>
      <c r="S3282" t="s">
        <v>45223</v>
      </c>
      <c r="T3282" t="s">
        <v>47043</v>
      </c>
      <c r="U3282" t="s">
        <v>50242</v>
      </c>
      <c r="W3282" t="s">
        <v>61691</v>
      </c>
      <c r="X3282" t="s">
        <v>45099</v>
      </c>
    </row>
    <row r="3283" spans="1:24">
      <c r="A3283">
        <f>HYPERLINK("https://www.philgeps.gov.ph/GEPSNONPILOT/Tender/SplashBidNoticeAbstractUI.aspx?menuIndex=3&amp;refID=7044318&amp;Result=3","7044318")</f>
        <v>0</v>
      </c>
      <c r="B3283" t="s">
        <v>1153</v>
      </c>
      <c r="C3283" t="s">
        <v>6327</v>
      </c>
      <c r="D3283" t="s">
        <v>18036</v>
      </c>
      <c r="E3283" t="s">
        <v>21103</v>
      </c>
      <c r="F3283" t="s">
        <v>31574</v>
      </c>
      <c r="G3283" t="s">
        <v>31582</v>
      </c>
      <c r="H3283" t="s">
        <v>31590</v>
      </c>
      <c r="I3283" t="s">
        <v>31600</v>
      </c>
      <c r="J3283" t="s">
        <v>33967</v>
      </c>
      <c r="K3283" t="s">
        <v>41196</v>
      </c>
      <c r="M3283" t="s">
        <v>42709</v>
      </c>
      <c r="N3283" t="s">
        <v>45095</v>
      </c>
      <c r="O3283" t="s">
        <v>45096</v>
      </c>
      <c r="P3283">
        <v>0</v>
      </c>
      <c r="Q3283">
        <v>1</v>
      </c>
      <c r="R3283" t="s">
        <v>45098</v>
      </c>
      <c r="S3283" t="s">
        <v>45223</v>
      </c>
      <c r="T3283" t="s">
        <v>47043</v>
      </c>
      <c r="U3283" t="s">
        <v>50243</v>
      </c>
      <c r="W3283" t="s">
        <v>61691</v>
      </c>
      <c r="X3283" t="s">
        <v>45099</v>
      </c>
    </row>
    <row r="3284" spans="1:24">
      <c r="A3284">
        <f>HYPERLINK("https://www.philgeps.gov.ph/GEPSNONPILOT/Tender/SplashBidNoticeAbstractUI.aspx?menuIndex=3&amp;refID=7044291&amp;Result=3","7044291")</f>
        <v>0</v>
      </c>
      <c r="B3284" t="s">
        <v>1154</v>
      </c>
      <c r="C3284" t="s">
        <v>6328</v>
      </c>
      <c r="D3284" t="s">
        <v>18079</v>
      </c>
      <c r="E3284" t="s">
        <v>21104</v>
      </c>
      <c r="F3284" t="s">
        <v>31574</v>
      </c>
      <c r="G3284" t="s">
        <v>31581</v>
      </c>
      <c r="H3284" t="s">
        <v>31590</v>
      </c>
      <c r="I3284" t="s">
        <v>31658</v>
      </c>
      <c r="J3284" t="s">
        <v>33347</v>
      </c>
      <c r="K3284" t="s">
        <v>41211</v>
      </c>
      <c r="M3284" t="s">
        <v>42711</v>
      </c>
      <c r="N3284" t="s">
        <v>45095</v>
      </c>
      <c r="O3284" t="s">
        <v>45096</v>
      </c>
      <c r="P3284">
        <v>0</v>
      </c>
      <c r="Q3284">
        <v>1</v>
      </c>
      <c r="R3284" t="s">
        <v>45098</v>
      </c>
      <c r="S3284" t="s">
        <v>45223</v>
      </c>
      <c r="T3284" t="s">
        <v>46973</v>
      </c>
      <c r="U3284" t="s">
        <v>50244</v>
      </c>
      <c r="W3284" t="s">
        <v>42711</v>
      </c>
      <c r="X3284" t="s">
        <v>45099</v>
      </c>
    </row>
    <row r="3285" spans="1:24">
      <c r="A3285">
        <f>HYPERLINK("https://www.philgeps.gov.ph/GEPSNONPILOT/Tender/SplashBidNoticeAbstractUI.aspx?menuIndex=3&amp;refID=7044321&amp;Result=3","7044321")</f>
        <v>0</v>
      </c>
      <c r="B3285" t="s">
        <v>1153</v>
      </c>
      <c r="C3285" t="s">
        <v>6329</v>
      </c>
      <c r="D3285" t="s">
        <v>18036</v>
      </c>
      <c r="E3285" t="s">
        <v>21105</v>
      </c>
      <c r="F3285" t="s">
        <v>31574</v>
      </c>
      <c r="G3285" t="s">
        <v>31582</v>
      </c>
      <c r="H3285" t="s">
        <v>31590</v>
      </c>
      <c r="I3285" t="s">
        <v>31600</v>
      </c>
      <c r="J3285" t="s">
        <v>33968</v>
      </c>
      <c r="K3285" t="s">
        <v>41196</v>
      </c>
      <c r="M3285" t="s">
        <v>42709</v>
      </c>
      <c r="N3285" t="s">
        <v>45095</v>
      </c>
      <c r="O3285" t="s">
        <v>45096</v>
      </c>
      <c r="P3285">
        <v>0</v>
      </c>
      <c r="Q3285">
        <v>0</v>
      </c>
      <c r="R3285" t="s">
        <v>45098</v>
      </c>
      <c r="S3285" t="s">
        <v>45223</v>
      </c>
      <c r="T3285" t="s">
        <v>47043</v>
      </c>
      <c r="U3285" t="s">
        <v>50245</v>
      </c>
      <c r="W3285" t="s">
        <v>61691</v>
      </c>
      <c r="X3285" t="s">
        <v>45099</v>
      </c>
    </row>
    <row r="3286" spans="1:24">
      <c r="A3286">
        <f>HYPERLINK("https://www.philgeps.gov.ph/GEPSNONPILOT/Tender/SplashBidNoticeAbstractUI.aspx?menuIndex=3&amp;refID=7044331&amp;Result=3","7044331")</f>
        <v>0</v>
      </c>
      <c r="B3286" t="s">
        <v>1155</v>
      </c>
      <c r="C3286" t="s">
        <v>6330</v>
      </c>
      <c r="D3286" t="s">
        <v>18041</v>
      </c>
      <c r="E3286" t="s">
        <v>21106</v>
      </c>
      <c r="F3286" t="s">
        <v>31574</v>
      </c>
      <c r="G3286" t="s">
        <v>31582</v>
      </c>
      <c r="H3286" t="s">
        <v>31590</v>
      </c>
      <c r="I3286" t="s">
        <v>3520</v>
      </c>
      <c r="J3286" t="s">
        <v>33969</v>
      </c>
      <c r="K3286" t="s">
        <v>41213</v>
      </c>
      <c r="M3286" t="s">
        <v>42712</v>
      </c>
      <c r="N3286" t="s">
        <v>45095</v>
      </c>
      <c r="O3286" t="s">
        <v>45096</v>
      </c>
      <c r="P3286">
        <v>0</v>
      </c>
      <c r="Q3286">
        <v>0</v>
      </c>
      <c r="R3286" t="s">
        <v>45098</v>
      </c>
      <c r="S3286" t="s">
        <v>45223</v>
      </c>
      <c r="T3286" t="s">
        <v>46920</v>
      </c>
      <c r="U3286" t="s">
        <v>50246</v>
      </c>
      <c r="W3286" t="s">
        <v>42712</v>
      </c>
      <c r="X3286" t="s">
        <v>45099</v>
      </c>
    </row>
    <row r="3287" spans="1:24">
      <c r="A3287">
        <f>HYPERLINK("https://www.philgeps.gov.ph/GEPSNONPILOT/Tender/SplashBidNoticeAbstractUI.aspx?menuIndex=3&amp;refID=7044317&amp;Result=3","7044317")</f>
        <v>0</v>
      </c>
      <c r="B3287" t="s">
        <v>1153</v>
      </c>
      <c r="C3287" t="s">
        <v>6331</v>
      </c>
      <c r="D3287" t="s">
        <v>18036</v>
      </c>
      <c r="E3287" t="s">
        <v>21107</v>
      </c>
      <c r="F3287" t="s">
        <v>31574</v>
      </c>
      <c r="G3287" t="s">
        <v>31582</v>
      </c>
      <c r="H3287" t="s">
        <v>31590</v>
      </c>
      <c r="I3287" t="s">
        <v>3901</v>
      </c>
      <c r="J3287" t="s">
        <v>33970</v>
      </c>
      <c r="K3287" t="s">
        <v>41196</v>
      </c>
      <c r="M3287" t="s">
        <v>42709</v>
      </c>
      <c r="N3287" t="s">
        <v>45095</v>
      </c>
      <c r="O3287" t="s">
        <v>45096</v>
      </c>
      <c r="P3287">
        <v>0</v>
      </c>
      <c r="Q3287">
        <v>0</v>
      </c>
      <c r="R3287" t="s">
        <v>45098</v>
      </c>
      <c r="S3287" t="s">
        <v>45223</v>
      </c>
      <c r="T3287" t="s">
        <v>47043</v>
      </c>
      <c r="U3287" t="s">
        <v>50247</v>
      </c>
      <c r="W3287" t="s">
        <v>61691</v>
      </c>
      <c r="X3287" t="s">
        <v>45099</v>
      </c>
    </row>
    <row r="3288" spans="1:24">
      <c r="A3288">
        <f>HYPERLINK("https://www.philgeps.gov.ph/GEPSNONPILOT/Tender/SplashBidNoticeAbstractUI.aspx?menuIndex=3&amp;refID=7044334&amp;Result=3","7044334")</f>
        <v>0</v>
      </c>
      <c r="B3288" t="s">
        <v>942</v>
      </c>
      <c r="C3288" t="s">
        <v>6332</v>
      </c>
      <c r="D3288" t="s">
        <v>18036</v>
      </c>
      <c r="E3288" t="s">
        <v>21108</v>
      </c>
      <c r="F3288" t="s">
        <v>31574</v>
      </c>
      <c r="G3288" t="s">
        <v>31581</v>
      </c>
      <c r="H3288" t="s">
        <v>31590</v>
      </c>
      <c r="I3288" t="s">
        <v>31602</v>
      </c>
      <c r="J3288" t="s">
        <v>33971</v>
      </c>
      <c r="K3288" t="s">
        <v>41200</v>
      </c>
      <c r="M3288" t="s">
        <v>42469</v>
      </c>
      <c r="N3288" t="s">
        <v>45095</v>
      </c>
      <c r="O3288" t="s">
        <v>45096</v>
      </c>
      <c r="P3288">
        <v>0</v>
      </c>
      <c r="Q3288">
        <v>0</v>
      </c>
      <c r="R3288" t="s">
        <v>45098</v>
      </c>
      <c r="S3288" t="s">
        <v>45223</v>
      </c>
      <c r="T3288" t="s">
        <v>47074</v>
      </c>
      <c r="U3288" t="s">
        <v>50248</v>
      </c>
      <c r="W3288" t="s">
        <v>42469</v>
      </c>
      <c r="X3288" t="s">
        <v>45099</v>
      </c>
    </row>
    <row r="3289" spans="1:24">
      <c r="A3289">
        <f>HYPERLINK("https://www.philgeps.gov.ph/GEPSNONPILOT/Tender/SplashBidNoticeAbstractUI.aspx?menuIndex=3&amp;refID=7044309&amp;Result=3","7044309")</f>
        <v>0</v>
      </c>
      <c r="B3289" t="s">
        <v>1153</v>
      </c>
      <c r="C3289" t="s">
        <v>6333</v>
      </c>
      <c r="D3289" t="s">
        <v>18036</v>
      </c>
      <c r="E3289" t="s">
        <v>21109</v>
      </c>
      <c r="F3289" t="s">
        <v>31574</v>
      </c>
      <c r="G3289" t="s">
        <v>31582</v>
      </c>
      <c r="H3289" t="s">
        <v>31590</v>
      </c>
      <c r="I3289" t="s">
        <v>31599</v>
      </c>
      <c r="J3289" t="s">
        <v>33972</v>
      </c>
      <c r="K3289" t="s">
        <v>41196</v>
      </c>
      <c r="M3289" t="s">
        <v>42709</v>
      </c>
      <c r="N3289" t="s">
        <v>45095</v>
      </c>
      <c r="O3289" t="s">
        <v>45096</v>
      </c>
      <c r="P3289">
        <v>0</v>
      </c>
      <c r="Q3289">
        <v>1</v>
      </c>
      <c r="R3289" t="s">
        <v>45098</v>
      </c>
      <c r="S3289" t="s">
        <v>45223</v>
      </c>
      <c r="T3289" t="s">
        <v>47043</v>
      </c>
      <c r="U3289" t="s">
        <v>50249</v>
      </c>
      <c r="W3289" t="s">
        <v>61691</v>
      </c>
      <c r="X3289" t="s">
        <v>45099</v>
      </c>
    </row>
    <row r="3290" spans="1:24">
      <c r="A3290">
        <f>HYPERLINK("https://www.philgeps.gov.ph/GEPSNONPILOT/Tender/SplashBidNoticeAbstractUI.aspx?menuIndex=3&amp;refID=7044316&amp;Result=3","7044316")</f>
        <v>0</v>
      </c>
      <c r="B3290" t="s">
        <v>1153</v>
      </c>
      <c r="C3290" t="s">
        <v>6334</v>
      </c>
      <c r="D3290" t="s">
        <v>18036</v>
      </c>
      <c r="E3290" t="s">
        <v>21110</v>
      </c>
      <c r="F3290" t="s">
        <v>31574</v>
      </c>
      <c r="G3290" t="s">
        <v>31582</v>
      </c>
      <c r="H3290" t="s">
        <v>31590</v>
      </c>
      <c r="I3290" t="s">
        <v>31605</v>
      </c>
      <c r="J3290" t="s">
        <v>33973</v>
      </c>
      <c r="K3290" t="s">
        <v>41196</v>
      </c>
      <c r="M3290" t="s">
        <v>42709</v>
      </c>
      <c r="N3290" t="s">
        <v>45095</v>
      </c>
      <c r="O3290" t="s">
        <v>45096</v>
      </c>
      <c r="P3290">
        <v>0</v>
      </c>
      <c r="Q3290">
        <v>0</v>
      </c>
      <c r="R3290" t="s">
        <v>45098</v>
      </c>
      <c r="S3290" t="s">
        <v>45223</v>
      </c>
      <c r="T3290" t="s">
        <v>47043</v>
      </c>
      <c r="U3290" t="s">
        <v>50250</v>
      </c>
      <c r="W3290" t="s">
        <v>61691</v>
      </c>
      <c r="X3290" t="s">
        <v>45099</v>
      </c>
    </row>
    <row r="3291" spans="1:24">
      <c r="A3291">
        <f>HYPERLINK("https://www.philgeps.gov.ph/GEPSNONPILOT/Tender/SplashBidNoticeAbstractUI.aspx?menuIndex=3&amp;refID=7044332&amp;Result=3","7044332")</f>
        <v>0</v>
      </c>
      <c r="B3291" t="s">
        <v>942</v>
      </c>
      <c r="C3291" t="s">
        <v>6335</v>
      </c>
      <c r="D3291" t="s">
        <v>18036</v>
      </c>
      <c r="E3291" t="s">
        <v>21111</v>
      </c>
      <c r="F3291" t="s">
        <v>31574</v>
      </c>
      <c r="G3291" t="s">
        <v>31581</v>
      </c>
      <c r="H3291" t="s">
        <v>31590</v>
      </c>
      <c r="I3291" t="s">
        <v>4046</v>
      </c>
      <c r="J3291" t="s">
        <v>33974</v>
      </c>
      <c r="K3291" t="s">
        <v>41186</v>
      </c>
      <c r="M3291" t="s">
        <v>42469</v>
      </c>
      <c r="N3291" t="s">
        <v>45095</v>
      </c>
      <c r="O3291" t="s">
        <v>45096</v>
      </c>
      <c r="P3291">
        <v>0</v>
      </c>
      <c r="Q3291">
        <v>0</v>
      </c>
      <c r="R3291" t="s">
        <v>45098</v>
      </c>
      <c r="S3291" t="s">
        <v>45223</v>
      </c>
      <c r="T3291" t="s">
        <v>47143</v>
      </c>
      <c r="U3291" t="s">
        <v>50251</v>
      </c>
      <c r="W3291" t="s">
        <v>42469</v>
      </c>
      <c r="X3291" t="s">
        <v>45099</v>
      </c>
    </row>
    <row r="3292" spans="1:24">
      <c r="A3292">
        <f>HYPERLINK("https://www.philgeps.gov.ph/GEPSNONPILOT/Tender/SplashBidNoticeAbstractUI.aspx?menuIndex=3&amp;refID=7044327&amp;Result=3","7044327")</f>
        <v>0</v>
      </c>
      <c r="B3292" t="s">
        <v>1155</v>
      </c>
      <c r="C3292" t="s">
        <v>6336</v>
      </c>
      <c r="D3292" t="s">
        <v>18041</v>
      </c>
      <c r="E3292" t="s">
        <v>21112</v>
      </c>
      <c r="F3292" t="s">
        <v>31574</v>
      </c>
      <c r="G3292" t="s">
        <v>31582</v>
      </c>
      <c r="H3292" t="s">
        <v>31590</v>
      </c>
      <c r="I3292" t="s">
        <v>3520</v>
      </c>
      <c r="J3292" t="s">
        <v>33975</v>
      </c>
      <c r="K3292" t="s">
        <v>41213</v>
      </c>
      <c r="M3292" t="s">
        <v>42712</v>
      </c>
      <c r="N3292" t="s">
        <v>45095</v>
      </c>
      <c r="O3292" t="s">
        <v>45096</v>
      </c>
      <c r="P3292">
        <v>0</v>
      </c>
      <c r="Q3292">
        <v>0</v>
      </c>
      <c r="R3292" t="s">
        <v>45098</v>
      </c>
      <c r="S3292" t="s">
        <v>45223</v>
      </c>
      <c r="T3292" t="s">
        <v>46920</v>
      </c>
      <c r="U3292" t="s">
        <v>50252</v>
      </c>
      <c r="W3292" t="s">
        <v>42712</v>
      </c>
      <c r="X3292" t="s">
        <v>45099</v>
      </c>
    </row>
    <row r="3293" spans="1:24">
      <c r="A3293">
        <f>HYPERLINK("https://www.philgeps.gov.ph/GEPSNONPILOT/Tender/SplashBidNoticeAbstractUI.aspx?menuIndex=3&amp;refID=7044308&amp;Result=3","7044308")</f>
        <v>0</v>
      </c>
      <c r="B3293" t="s">
        <v>1153</v>
      </c>
      <c r="C3293" t="s">
        <v>6337</v>
      </c>
      <c r="D3293" t="s">
        <v>18036</v>
      </c>
      <c r="E3293" t="s">
        <v>21113</v>
      </c>
      <c r="F3293" t="s">
        <v>31574</v>
      </c>
      <c r="G3293" t="s">
        <v>31582</v>
      </c>
      <c r="H3293" t="s">
        <v>31590</v>
      </c>
      <c r="I3293" t="s">
        <v>31644</v>
      </c>
      <c r="J3293" t="s">
        <v>33976</v>
      </c>
      <c r="K3293" t="s">
        <v>41196</v>
      </c>
      <c r="M3293" t="s">
        <v>42709</v>
      </c>
      <c r="N3293" t="s">
        <v>45095</v>
      </c>
      <c r="O3293" t="s">
        <v>45096</v>
      </c>
      <c r="P3293">
        <v>0</v>
      </c>
      <c r="Q3293">
        <v>3</v>
      </c>
      <c r="R3293" t="s">
        <v>45098</v>
      </c>
      <c r="S3293" t="s">
        <v>45223</v>
      </c>
      <c r="T3293" t="s">
        <v>47043</v>
      </c>
      <c r="U3293" t="s">
        <v>50253</v>
      </c>
      <c r="W3293" t="s">
        <v>61691</v>
      </c>
      <c r="X3293" t="s">
        <v>45099</v>
      </c>
    </row>
    <row r="3294" spans="1:24">
      <c r="A3294">
        <f>HYPERLINK("https://www.philgeps.gov.ph/GEPSNONPILOT/Tender/SplashBidNoticeAbstractUI.aspx?menuIndex=3&amp;refID=7044330&amp;Result=3","7044330")</f>
        <v>0</v>
      </c>
      <c r="B3294" t="s">
        <v>1155</v>
      </c>
      <c r="C3294" t="s">
        <v>6338</v>
      </c>
      <c r="D3294" t="s">
        <v>18041</v>
      </c>
      <c r="E3294" t="s">
        <v>21114</v>
      </c>
      <c r="F3294" t="s">
        <v>31574</v>
      </c>
      <c r="G3294" t="s">
        <v>31582</v>
      </c>
      <c r="H3294" t="s">
        <v>31590</v>
      </c>
      <c r="I3294" t="s">
        <v>3520</v>
      </c>
      <c r="J3294" t="s">
        <v>33977</v>
      </c>
      <c r="K3294" t="s">
        <v>41213</v>
      </c>
      <c r="M3294" t="s">
        <v>42712</v>
      </c>
      <c r="N3294" t="s">
        <v>45095</v>
      </c>
      <c r="O3294" t="s">
        <v>45096</v>
      </c>
      <c r="P3294">
        <v>0</v>
      </c>
      <c r="Q3294">
        <v>0</v>
      </c>
      <c r="R3294" t="s">
        <v>45098</v>
      </c>
      <c r="S3294" t="s">
        <v>45223</v>
      </c>
      <c r="T3294" t="s">
        <v>46920</v>
      </c>
      <c r="U3294" t="s">
        <v>50254</v>
      </c>
      <c r="W3294" t="s">
        <v>42712</v>
      </c>
      <c r="X3294" t="s">
        <v>45099</v>
      </c>
    </row>
    <row r="3295" spans="1:24">
      <c r="A3295">
        <f>HYPERLINK("https://www.philgeps.gov.ph/GEPSNONPILOT/Tender/SplashBidNoticeAbstractUI.aspx?menuIndex=3&amp;refID=7044320&amp;Result=3","7044320")</f>
        <v>0</v>
      </c>
      <c r="B3295" t="s">
        <v>1153</v>
      </c>
      <c r="C3295" t="s">
        <v>6339</v>
      </c>
      <c r="D3295" t="s">
        <v>18036</v>
      </c>
      <c r="E3295" t="s">
        <v>21115</v>
      </c>
      <c r="F3295" t="s">
        <v>31574</v>
      </c>
      <c r="G3295" t="s">
        <v>31582</v>
      </c>
      <c r="H3295" t="s">
        <v>31590</v>
      </c>
      <c r="I3295" t="s">
        <v>31600</v>
      </c>
      <c r="J3295" t="s">
        <v>33978</v>
      </c>
      <c r="K3295" t="s">
        <v>41196</v>
      </c>
      <c r="M3295" t="s">
        <v>42709</v>
      </c>
      <c r="N3295" t="s">
        <v>45095</v>
      </c>
      <c r="O3295" t="s">
        <v>45096</v>
      </c>
      <c r="P3295">
        <v>0</v>
      </c>
      <c r="Q3295">
        <v>0</v>
      </c>
      <c r="R3295" t="s">
        <v>45098</v>
      </c>
      <c r="S3295" t="s">
        <v>45223</v>
      </c>
      <c r="T3295" t="s">
        <v>47043</v>
      </c>
      <c r="U3295" t="s">
        <v>50255</v>
      </c>
      <c r="W3295" t="s">
        <v>61691</v>
      </c>
      <c r="X3295" t="s">
        <v>45099</v>
      </c>
    </row>
    <row r="3296" spans="1:24">
      <c r="A3296">
        <f>HYPERLINK("https://www.philgeps.gov.ph/GEPSNONPILOT/Tender/SplashBidNoticeAbstractUI.aspx?menuIndex=3&amp;refID=7044325&amp;Result=3","7044325")</f>
        <v>0</v>
      </c>
      <c r="B3296" t="s">
        <v>1155</v>
      </c>
      <c r="C3296" t="s">
        <v>6340</v>
      </c>
      <c r="D3296" t="s">
        <v>18041</v>
      </c>
      <c r="E3296" t="s">
        <v>21116</v>
      </c>
      <c r="F3296" t="s">
        <v>31574</v>
      </c>
      <c r="G3296" t="s">
        <v>31582</v>
      </c>
      <c r="H3296" t="s">
        <v>31590</v>
      </c>
      <c r="I3296" t="s">
        <v>7185</v>
      </c>
      <c r="J3296" t="s">
        <v>33689</v>
      </c>
      <c r="K3296" t="s">
        <v>41213</v>
      </c>
      <c r="M3296" t="s">
        <v>42712</v>
      </c>
      <c r="N3296" t="s">
        <v>45095</v>
      </c>
      <c r="O3296" t="s">
        <v>45096</v>
      </c>
      <c r="P3296">
        <v>0</v>
      </c>
      <c r="Q3296">
        <v>1</v>
      </c>
      <c r="R3296" t="s">
        <v>45098</v>
      </c>
      <c r="S3296" t="s">
        <v>45223</v>
      </c>
      <c r="T3296" t="s">
        <v>46920</v>
      </c>
      <c r="U3296" t="s">
        <v>50256</v>
      </c>
      <c r="W3296" t="s">
        <v>42712</v>
      </c>
      <c r="X3296" t="s">
        <v>45099</v>
      </c>
    </row>
    <row r="3297" spans="1:24">
      <c r="A3297">
        <f>HYPERLINK("https://www.philgeps.gov.ph/GEPSNONPILOT/Tender/SplashBidNoticeAbstractUI.aspx?menuIndex=3&amp;refID=7044314&amp;Result=3","7044314")</f>
        <v>0</v>
      </c>
      <c r="B3297" t="s">
        <v>1153</v>
      </c>
      <c r="C3297" t="s">
        <v>6341</v>
      </c>
      <c r="D3297" t="s">
        <v>18036</v>
      </c>
      <c r="E3297" t="s">
        <v>21117</v>
      </c>
      <c r="F3297" t="s">
        <v>31574</v>
      </c>
      <c r="G3297" t="s">
        <v>31582</v>
      </c>
      <c r="H3297" t="s">
        <v>31590</v>
      </c>
      <c r="I3297" t="s">
        <v>14544</v>
      </c>
      <c r="J3297" t="s">
        <v>33979</v>
      </c>
      <c r="K3297" t="s">
        <v>41196</v>
      </c>
      <c r="M3297" t="s">
        <v>42709</v>
      </c>
      <c r="N3297" t="s">
        <v>45095</v>
      </c>
      <c r="O3297" t="s">
        <v>45096</v>
      </c>
      <c r="P3297">
        <v>0</v>
      </c>
      <c r="Q3297">
        <v>0</v>
      </c>
      <c r="R3297" t="s">
        <v>45098</v>
      </c>
      <c r="S3297" t="s">
        <v>45223</v>
      </c>
      <c r="T3297" t="s">
        <v>47043</v>
      </c>
      <c r="U3297" t="s">
        <v>50257</v>
      </c>
      <c r="W3297" t="s">
        <v>61691</v>
      </c>
      <c r="X3297" t="s">
        <v>45099</v>
      </c>
    </row>
    <row r="3298" spans="1:24">
      <c r="A3298">
        <f>HYPERLINK("https://www.philgeps.gov.ph/GEPSNONPILOT/Tender/SplashBidNoticeAbstractUI.aspx?menuIndex=3&amp;refID=7044312&amp;Result=3","7044312")</f>
        <v>0</v>
      </c>
      <c r="B3298" t="s">
        <v>1153</v>
      </c>
      <c r="C3298" t="s">
        <v>6342</v>
      </c>
      <c r="D3298" t="s">
        <v>18036</v>
      </c>
      <c r="E3298" t="s">
        <v>21118</v>
      </c>
      <c r="F3298" t="s">
        <v>31574</v>
      </c>
      <c r="G3298" t="s">
        <v>31582</v>
      </c>
      <c r="H3298" t="s">
        <v>31590</v>
      </c>
      <c r="I3298" t="s">
        <v>31608</v>
      </c>
      <c r="J3298" t="s">
        <v>31848</v>
      </c>
      <c r="K3298" t="s">
        <v>41186</v>
      </c>
      <c r="M3298" t="s">
        <v>42709</v>
      </c>
      <c r="N3298" t="s">
        <v>45095</v>
      </c>
      <c r="O3298" t="s">
        <v>45096</v>
      </c>
      <c r="P3298">
        <v>0</v>
      </c>
      <c r="Q3298">
        <v>0</v>
      </c>
      <c r="R3298" t="s">
        <v>45098</v>
      </c>
      <c r="S3298" t="s">
        <v>45223</v>
      </c>
      <c r="T3298" t="s">
        <v>47043</v>
      </c>
      <c r="U3298" t="s">
        <v>50258</v>
      </c>
      <c r="W3298" t="s">
        <v>61691</v>
      </c>
      <c r="X3298" t="s">
        <v>45099</v>
      </c>
    </row>
    <row r="3299" spans="1:24">
      <c r="A3299">
        <f>HYPERLINK("https://www.philgeps.gov.ph/GEPSNONPILOT/Tender/SplashBidNoticeAbstractUI.aspx?menuIndex=3&amp;refID=7044311&amp;Result=3","7044311")</f>
        <v>0</v>
      </c>
      <c r="B3299" t="s">
        <v>1156</v>
      </c>
      <c r="C3299" t="s">
        <v>6343</v>
      </c>
      <c r="D3299" t="s">
        <v>18040</v>
      </c>
      <c r="E3299" t="s">
        <v>21119</v>
      </c>
      <c r="F3299" t="s">
        <v>31574</v>
      </c>
      <c r="G3299" t="s">
        <v>31581</v>
      </c>
      <c r="H3299" t="s">
        <v>31590</v>
      </c>
      <c r="I3299" t="s">
        <v>31603</v>
      </c>
      <c r="J3299" t="s">
        <v>33980</v>
      </c>
      <c r="K3299" t="s">
        <v>41196</v>
      </c>
      <c r="M3299" t="s">
        <v>42713</v>
      </c>
      <c r="N3299" t="s">
        <v>45095</v>
      </c>
      <c r="O3299" t="s">
        <v>45096</v>
      </c>
      <c r="P3299">
        <v>0</v>
      </c>
      <c r="Q3299">
        <v>2</v>
      </c>
      <c r="R3299" t="s">
        <v>45098</v>
      </c>
      <c r="S3299" t="s">
        <v>45223</v>
      </c>
      <c r="T3299" t="s">
        <v>47106</v>
      </c>
      <c r="U3299" t="s">
        <v>50259</v>
      </c>
      <c r="W3299" t="s">
        <v>42713</v>
      </c>
      <c r="X3299" t="s">
        <v>45099</v>
      </c>
    </row>
    <row r="3300" spans="1:24">
      <c r="A3300">
        <f>HYPERLINK("https://www.philgeps.gov.ph/GEPSNONPILOT/Tender/SplashBidNoticeAbstractUI.aspx?menuIndex=3&amp;refID=7044336&amp;Result=3","7044336")</f>
        <v>0</v>
      </c>
      <c r="B3300" t="s">
        <v>250</v>
      </c>
      <c r="C3300" t="s">
        <v>6344</v>
      </c>
      <c r="D3300" t="s">
        <v>18022</v>
      </c>
      <c r="E3300" t="s">
        <v>18913</v>
      </c>
      <c r="F3300" t="s">
        <v>31574</v>
      </c>
      <c r="G3300" t="s">
        <v>31582</v>
      </c>
      <c r="H3300" t="s">
        <v>31590</v>
      </c>
      <c r="I3300" t="s">
        <v>31692</v>
      </c>
      <c r="J3300" t="s">
        <v>33981</v>
      </c>
      <c r="K3300" t="s">
        <v>41189</v>
      </c>
      <c r="M3300" t="s">
        <v>41736</v>
      </c>
      <c r="N3300" t="s">
        <v>45095</v>
      </c>
      <c r="O3300" t="s">
        <v>45096</v>
      </c>
      <c r="P3300">
        <v>0</v>
      </c>
      <c r="Q3300">
        <v>4</v>
      </c>
      <c r="R3300" t="s">
        <v>45098</v>
      </c>
      <c r="S3300" t="s">
        <v>45223</v>
      </c>
      <c r="T3300" t="s">
        <v>47016</v>
      </c>
      <c r="U3300" t="s">
        <v>50260</v>
      </c>
      <c r="V3300" t="s">
        <v>60157</v>
      </c>
      <c r="W3300" t="s">
        <v>41736</v>
      </c>
      <c r="X3300" t="s">
        <v>45099</v>
      </c>
    </row>
    <row r="3301" spans="1:24">
      <c r="A3301">
        <f>HYPERLINK("https://www.philgeps.gov.ph/GEPSNONPILOT/Tender/SplashBidNoticeAbstractUI.aspx?menuIndex=3&amp;refID=7043053&amp;Result=3","7043053")</f>
        <v>0</v>
      </c>
      <c r="B3301" t="s">
        <v>1157</v>
      </c>
      <c r="C3301" t="s">
        <v>6345</v>
      </c>
      <c r="E3301" t="s">
        <v>21120</v>
      </c>
      <c r="F3301" t="s">
        <v>31574</v>
      </c>
      <c r="G3301" t="s">
        <v>31581</v>
      </c>
      <c r="H3301" t="s">
        <v>31590</v>
      </c>
      <c r="I3301" t="s">
        <v>31594</v>
      </c>
      <c r="J3301" t="s">
        <v>33982</v>
      </c>
      <c r="K3301" t="s">
        <v>41184</v>
      </c>
      <c r="M3301" t="s">
        <v>42714</v>
      </c>
      <c r="N3301" t="s">
        <v>45095</v>
      </c>
      <c r="O3301" t="s">
        <v>45096</v>
      </c>
      <c r="P3301">
        <v>0</v>
      </c>
      <c r="Q3301">
        <v>8</v>
      </c>
      <c r="R3301" t="s">
        <v>45099</v>
      </c>
      <c r="S3301" t="s">
        <v>45226</v>
      </c>
      <c r="T3301" t="s">
        <v>46971</v>
      </c>
      <c r="U3301" t="s">
        <v>50261</v>
      </c>
      <c r="W3301" t="s">
        <v>42714</v>
      </c>
      <c r="X3301" t="s">
        <v>45102</v>
      </c>
    </row>
    <row r="3302" spans="1:24">
      <c r="A3302">
        <f>HYPERLINK("https://www.philgeps.gov.ph/GEPSNONPILOT/Tender/SplashBidNoticeAbstractUI.aspx?menuIndex=3&amp;refID=7044313&amp;Result=3","7044313")</f>
        <v>0</v>
      </c>
      <c r="B3302" t="s">
        <v>1158</v>
      </c>
      <c r="C3302" t="s">
        <v>6346</v>
      </c>
      <c r="D3302" t="s">
        <v>18065</v>
      </c>
      <c r="E3302" t="s">
        <v>21121</v>
      </c>
      <c r="F3302" t="s">
        <v>31574</v>
      </c>
      <c r="G3302" t="s">
        <v>31582</v>
      </c>
      <c r="H3302" t="s">
        <v>31590</v>
      </c>
      <c r="I3302" t="s">
        <v>8822</v>
      </c>
      <c r="J3302" t="s">
        <v>33983</v>
      </c>
      <c r="K3302" t="s">
        <v>41192</v>
      </c>
      <c r="M3302" t="s">
        <v>42715</v>
      </c>
      <c r="N3302" t="s">
        <v>45095</v>
      </c>
      <c r="O3302" t="s">
        <v>45096</v>
      </c>
      <c r="P3302">
        <v>0</v>
      </c>
      <c r="Q3302">
        <v>0</v>
      </c>
      <c r="R3302" t="s">
        <v>45098</v>
      </c>
      <c r="S3302" t="s">
        <v>45223</v>
      </c>
      <c r="T3302" t="s">
        <v>46988</v>
      </c>
      <c r="U3302" t="s">
        <v>50262</v>
      </c>
      <c r="W3302" t="s">
        <v>42715</v>
      </c>
      <c r="X3302" t="s">
        <v>45099</v>
      </c>
    </row>
    <row r="3303" spans="1:24">
      <c r="A3303">
        <f>HYPERLINK("https://www.philgeps.gov.ph/GEPSNONPILOT/Tender/SplashBidNoticeAbstractUI.aspx?menuIndex=3&amp;refID=7036376&amp;Result=3","7036376")</f>
        <v>0</v>
      </c>
      <c r="B3303" t="s">
        <v>948</v>
      </c>
      <c r="C3303" t="s">
        <v>6347</v>
      </c>
      <c r="D3303" t="s">
        <v>18066</v>
      </c>
      <c r="E3303" t="s">
        <v>21122</v>
      </c>
      <c r="F3303" t="s">
        <v>31574</v>
      </c>
      <c r="G3303" t="s">
        <v>31582</v>
      </c>
      <c r="H3303" t="s">
        <v>31590</v>
      </c>
      <c r="I3303" t="s">
        <v>31614</v>
      </c>
      <c r="J3303" t="s">
        <v>33984</v>
      </c>
      <c r="K3303" t="s">
        <v>41186</v>
      </c>
      <c r="M3303" t="s">
        <v>42716</v>
      </c>
      <c r="N3303" t="s">
        <v>45095</v>
      </c>
      <c r="O3303" t="s">
        <v>45096</v>
      </c>
      <c r="P3303">
        <v>0</v>
      </c>
      <c r="Q3303">
        <v>2</v>
      </c>
      <c r="R3303" t="s">
        <v>45099</v>
      </c>
      <c r="S3303" t="s">
        <v>45226</v>
      </c>
      <c r="T3303" t="s">
        <v>46915</v>
      </c>
      <c r="U3303" t="s">
        <v>50263</v>
      </c>
      <c r="V3303" t="s">
        <v>60158</v>
      </c>
      <c r="W3303" t="s">
        <v>42716</v>
      </c>
      <c r="X3303" t="s">
        <v>45104</v>
      </c>
    </row>
    <row r="3304" spans="1:24">
      <c r="A3304">
        <f>HYPERLINK("https://www.philgeps.gov.ph/GEPSNONPILOT/Tender/SplashBidNoticeAbstractUI.aspx?menuIndex=3&amp;refID=7042635&amp;Result=3","7042635")</f>
        <v>0</v>
      </c>
      <c r="B3304" t="s">
        <v>1159</v>
      </c>
      <c r="C3304" t="s">
        <v>6348</v>
      </c>
      <c r="D3304" t="s">
        <v>18081</v>
      </c>
      <c r="E3304" t="s">
        <v>21123</v>
      </c>
      <c r="F3304" t="s">
        <v>31574</v>
      </c>
      <c r="G3304" t="s">
        <v>31582</v>
      </c>
      <c r="H3304" t="s">
        <v>31590</v>
      </c>
      <c r="I3304" t="s">
        <v>4046</v>
      </c>
      <c r="J3304" t="s">
        <v>33985</v>
      </c>
      <c r="K3304" t="s">
        <v>41190</v>
      </c>
      <c r="M3304" t="s">
        <v>42717</v>
      </c>
      <c r="N3304" t="s">
        <v>45095</v>
      </c>
      <c r="O3304" t="s">
        <v>45096</v>
      </c>
      <c r="P3304">
        <v>0</v>
      </c>
      <c r="Q3304">
        <v>0</v>
      </c>
      <c r="R3304" t="s">
        <v>45099</v>
      </c>
      <c r="S3304" t="s">
        <v>45226</v>
      </c>
      <c r="T3304" t="s">
        <v>46980</v>
      </c>
      <c r="U3304" t="s">
        <v>50264</v>
      </c>
      <c r="V3304" t="s">
        <v>60159</v>
      </c>
      <c r="W3304" t="s">
        <v>42717</v>
      </c>
      <c r="X3304" t="s">
        <v>45102</v>
      </c>
    </row>
    <row r="3305" spans="1:24">
      <c r="A3305">
        <f>HYPERLINK("https://www.philgeps.gov.ph/GEPSNONPILOT/Tender/SplashBidNoticeAbstractUI.aspx?menuIndex=3&amp;refID=7033145&amp;Result=3","7033145")</f>
        <v>0</v>
      </c>
      <c r="B3305" t="s">
        <v>948</v>
      </c>
      <c r="C3305" t="s">
        <v>6349</v>
      </c>
      <c r="D3305" t="s">
        <v>18066</v>
      </c>
      <c r="E3305" t="s">
        <v>21124</v>
      </c>
      <c r="F3305" t="s">
        <v>31574</v>
      </c>
      <c r="G3305" t="s">
        <v>31582</v>
      </c>
      <c r="H3305" t="s">
        <v>31590</v>
      </c>
      <c r="I3305" t="s">
        <v>31600</v>
      </c>
      <c r="J3305" t="s">
        <v>33986</v>
      </c>
      <c r="K3305" t="s">
        <v>41186</v>
      </c>
      <c r="M3305" t="s">
        <v>42716</v>
      </c>
      <c r="N3305" t="s">
        <v>45095</v>
      </c>
      <c r="O3305" t="s">
        <v>45096</v>
      </c>
      <c r="P3305">
        <v>0</v>
      </c>
      <c r="Q3305">
        <v>1</v>
      </c>
      <c r="R3305" t="s">
        <v>45099</v>
      </c>
      <c r="S3305" t="s">
        <v>45226</v>
      </c>
      <c r="T3305" t="s">
        <v>46915</v>
      </c>
      <c r="U3305" t="s">
        <v>50265</v>
      </c>
      <c r="V3305" t="s">
        <v>60158</v>
      </c>
      <c r="W3305" t="s">
        <v>42716</v>
      </c>
      <c r="X3305" t="s">
        <v>45105</v>
      </c>
    </row>
    <row r="3306" spans="1:24">
      <c r="A3306">
        <f>HYPERLINK("https://www.philgeps.gov.ph/GEPSNONPILOT/Tender/SplashBidNoticeAbstractUI.aspx?menuIndex=3&amp;refID=7044326&amp;Result=3","7044326")</f>
        <v>0</v>
      </c>
      <c r="B3306" t="s">
        <v>1160</v>
      </c>
      <c r="C3306" t="s">
        <v>6350</v>
      </c>
      <c r="D3306" t="s">
        <v>18036</v>
      </c>
      <c r="E3306" t="s">
        <v>18939</v>
      </c>
      <c r="F3306" t="s">
        <v>31574</v>
      </c>
      <c r="G3306" t="s">
        <v>31582</v>
      </c>
      <c r="H3306" t="s">
        <v>31590</v>
      </c>
      <c r="I3306" t="s">
        <v>3539</v>
      </c>
      <c r="J3306" t="s">
        <v>33987</v>
      </c>
      <c r="K3306" t="s">
        <v>41186</v>
      </c>
      <c r="M3306" t="s">
        <v>42718</v>
      </c>
      <c r="N3306" t="s">
        <v>45095</v>
      </c>
      <c r="O3306" t="s">
        <v>45096</v>
      </c>
      <c r="P3306">
        <v>0</v>
      </c>
      <c r="Q3306">
        <v>0</v>
      </c>
      <c r="R3306" t="s">
        <v>45098</v>
      </c>
      <c r="S3306" t="s">
        <v>45223</v>
      </c>
      <c r="T3306" t="s">
        <v>46979</v>
      </c>
      <c r="U3306" t="s">
        <v>50266</v>
      </c>
      <c r="V3306" t="s">
        <v>60160</v>
      </c>
      <c r="W3306" t="s">
        <v>42718</v>
      </c>
      <c r="X3306" t="s">
        <v>45099</v>
      </c>
    </row>
    <row r="3307" spans="1:24">
      <c r="A3307">
        <f>HYPERLINK("https://www.philgeps.gov.ph/GEPSNONPILOT/Tender/SplashBidNoticeAbstractUI.aspx?menuIndex=3&amp;refID=7044340&amp;Result=3","7044340")</f>
        <v>0</v>
      </c>
      <c r="B3307" t="s">
        <v>670</v>
      </c>
      <c r="C3307" t="s">
        <v>6351</v>
      </c>
      <c r="E3307" t="s">
        <v>21125</v>
      </c>
      <c r="F3307" t="s">
        <v>31574</v>
      </c>
      <c r="G3307" t="s">
        <v>31583</v>
      </c>
      <c r="H3307" t="s">
        <v>31590</v>
      </c>
      <c r="I3307" t="s">
        <v>31608</v>
      </c>
      <c r="J3307" t="s">
        <v>32341</v>
      </c>
      <c r="K3307" t="s">
        <v>41184</v>
      </c>
      <c r="M3307" t="s">
        <v>42719</v>
      </c>
      <c r="N3307" t="s">
        <v>45095</v>
      </c>
      <c r="O3307" t="s">
        <v>45096</v>
      </c>
      <c r="P3307">
        <v>0</v>
      </c>
      <c r="Q3307">
        <v>5</v>
      </c>
      <c r="R3307" t="s">
        <v>45098</v>
      </c>
      <c r="S3307" t="s">
        <v>45223</v>
      </c>
      <c r="T3307" t="s">
        <v>46963</v>
      </c>
      <c r="U3307" t="s">
        <v>50267</v>
      </c>
      <c r="W3307" t="s">
        <v>42719</v>
      </c>
      <c r="X3307" t="s">
        <v>45099</v>
      </c>
    </row>
    <row r="3308" spans="1:24">
      <c r="A3308">
        <f>HYPERLINK("https://www.philgeps.gov.ph/GEPSNONPILOT/Tender/SplashBidNoticeAbstractUI.aspx?menuIndex=3&amp;refID=7042060&amp;Result=3","7042060")</f>
        <v>0</v>
      </c>
      <c r="B3308" t="s">
        <v>1161</v>
      </c>
      <c r="C3308" t="s">
        <v>6352</v>
      </c>
      <c r="D3308" t="s">
        <v>18091</v>
      </c>
      <c r="E3308" t="s">
        <v>21126</v>
      </c>
      <c r="F3308" t="s">
        <v>31574</v>
      </c>
      <c r="G3308" t="s">
        <v>31581</v>
      </c>
      <c r="H3308" t="s">
        <v>31590</v>
      </c>
      <c r="I3308" t="s">
        <v>14544</v>
      </c>
      <c r="J3308" t="s">
        <v>33988</v>
      </c>
      <c r="K3308" t="s">
        <v>41186</v>
      </c>
      <c r="M3308" t="s">
        <v>42720</v>
      </c>
      <c r="N3308" t="s">
        <v>45095</v>
      </c>
      <c r="O3308" t="s">
        <v>45096</v>
      </c>
      <c r="P3308">
        <v>0</v>
      </c>
      <c r="Q3308">
        <v>2</v>
      </c>
      <c r="R3308" t="s">
        <v>45099</v>
      </c>
      <c r="S3308" t="s">
        <v>45226</v>
      </c>
      <c r="T3308" t="s">
        <v>46936</v>
      </c>
      <c r="U3308" t="s">
        <v>50268</v>
      </c>
      <c r="W3308" t="s">
        <v>42720</v>
      </c>
      <c r="X3308" t="s">
        <v>45102</v>
      </c>
    </row>
    <row r="3309" spans="1:24">
      <c r="A3309">
        <f>HYPERLINK("https://www.philgeps.gov.ph/GEPSNONPILOT/Tender/SplashBidNoticeAbstractUI.aspx?menuIndex=3&amp;refID=7023347&amp;Result=3","7023347")</f>
        <v>0</v>
      </c>
      <c r="B3309" t="s">
        <v>1162</v>
      </c>
      <c r="C3309" t="s">
        <v>6353</v>
      </c>
      <c r="D3309" t="s">
        <v>18044</v>
      </c>
      <c r="E3309" t="s">
        <v>21127</v>
      </c>
      <c r="F3309" t="s">
        <v>31574</v>
      </c>
      <c r="G3309" t="s">
        <v>31582</v>
      </c>
      <c r="H3309" t="s">
        <v>31590</v>
      </c>
      <c r="I3309" t="s">
        <v>7185</v>
      </c>
      <c r="J3309" t="s">
        <v>33989</v>
      </c>
      <c r="K3309" t="s">
        <v>41193</v>
      </c>
      <c r="M3309" t="s">
        <v>42721</v>
      </c>
      <c r="N3309" t="s">
        <v>45095</v>
      </c>
      <c r="O3309" t="s">
        <v>45096</v>
      </c>
      <c r="P3309">
        <v>0</v>
      </c>
      <c r="Q3309">
        <v>5</v>
      </c>
      <c r="R3309" t="s">
        <v>45099</v>
      </c>
      <c r="S3309" t="s">
        <v>45226</v>
      </c>
      <c r="T3309" t="s">
        <v>47061</v>
      </c>
      <c r="U3309" t="s">
        <v>50269</v>
      </c>
      <c r="W3309" t="s">
        <v>42721</v>
      </c>
      <c r="X3309" t="s">
        <v>45111</v>
      </c>
    </row>
    <row r="3310" spans="1:24">
      <c r="A3310">
        <f>HYPERLINK("https://www.philgeps.gov.ph/GEPSNONPILOT/Tender/SplashBidNoticeAbstractUI.aspx?menuIndex=3&amp;refID=7043700&amp;Result=3","7043700")</f>
        <v>0</v>
      </c>
      <c r="B3310" t="s">
        <v>1163</v>
      </c>
      <c r="C3310" t="s">
        <v>6354</v>
      </c>
      <c r="D3310" t="s">
        <v>18022</v>
      </c>
      <c r="E3310" t="s">
        <v>21128</v>
      </c>
      <c r="F3310" t="s">
        <v>31574</v>
      </c>
      <c r="G3310" t="s">
        <v>31581</v>
      </c>
      <c r="H3310" t="s">
        <v>31590</v>
      </c>
      <c r="I3310" t="s">
        <v>31595</v>
      </c>
      <c r="J3310" t="s">
        <v>32355</v>
      </c>
      <c r="K3310" t="s">
        <v>41213</v>
      </c>
      <c r="M3310" t="s">
        <v>42722</v>
      </c>
      <c r="N3310" t="s">
        <v>45095</v>
      </c>
      <c r="O3310" t="s">
        <v>45096</v>
      </c>
      <c r="P3310">
        <v>0</v>
      </c>
      <c r="Q3310">
        <v>4</v>
      </c>
      <c r="R3310" t="s">
        <v>45099</v>
      </c>
      <c r="S3310" t="s">
        <v>45226</v>
      </c>
      <c r="T3310" t="s">
        <v>47125</v>
      </c>
      <c r="U3310" t="s">
        <v>50270</v>
      </c>
      <c r="W3310" t="s">
        <v>42722</v>
      </c>
      <c r="X3310" t="s">
        <v>45100</v>
      </c>
    </row>
    <row r="3311" spans="1:24">
      <c r="A3311">
        <f>HYPERLINK("https://www.philgeps.gov.ph/GEPSNONPILOT/Tender/SplashBidNoticeAbstractUI.aspx?menuIndex=3&amp;refID=7044339&amp;Result=3","7044339")</f>
        <v>0</v>
      </c>
      <c r="B3311" t="s">
        <v>1164</v>
      </c>
      <c r="C3311" t="s">
        <v>6355</v>
      </c>
      <c r="D3311" t="s">
        <v>18044</v>
      </c>
      <c r="E3311" t="s">
        <v>21129</v>
      </c>
      <c r="F3311" t="s">
        <v>31574</v>
      </c>
      <c r="G3311" t="s">
        <v>31583</v>
      </c>
      <c r="H3311" t="s">
        <v>31590</v>
      </c>
      <c r="I3311" t="s">
        <v>6800</v>
      </c>
      <c r="J3311" t="s">
        <v>33990</v>
      </c>
      <c r="K3311" t="s">
        <v>41197</v>
      </c>
      <c r="M3311" t="s">
        <v>42723</v>
      </c>
      <c r="N3311" t="s">
        <v>45095</v>
      </c>
      <c r="O3311" t="s">
        <v>45096</v>
      </c>
      <c r="P3311">
        <v>0</v>
      </c>
      <c r="Q3311">
        <v>3</v>
      </c>
      <c r="R3311" t="s">
        <v>45098</v>
      </c>
      <c r="S3311" t="s">
        <v>45223</v>
      </c>
      <c r="T3311" t="s">
        <v>47154</v>
      </c>
      <c r="U3311" t="s">
        <v>50271</v>
      </c>
      <c r="W3311" t="s">
        <v>42723</v>
      </c>
      <c r="X3311" t="s">
        <v>45099</v>
      </c>
    </row>
    <row r="3312" spans="1:24">
      <c r="A3312">
        <f>HYPERLINK("https://www.philgeps.gov.ph/GEPSNONPILOT/Tender/SplashBidNoticeAbstractUI.aspx?menuIndex=3&amp;refID=7043703&amp;Result=3","7043703")</f>
        <v>0</v>
      </c>
      <c r="B3312" t="s">
        <v>1165</v>
      </c>
      <c r="C3312" t="s">
        <v>6356</v>
      </c>
      <c r="D3312" t="s">
        <v>18030</v>
      </c>
      <c r="E3312" t="s">
        <v>21130</v>
      </c>
      <c r="F3312" t="s">
        <v>31574</v>
      </c>
      <c r="G3312" t="s">
        <v>31582</v>
      </c>
      <c r="H3312" t="s">
        <v>31591</v>
      </c>
      <c r="I3312" t="s">
        <v>8822</v>
      </c>
      <c r="J3312" t="s">
        <v>33991</v>
      </c>
      <c r="K3312" t="s">
        <v>41184</v>
      </c>
      <c r="M3312" t="s">
        <v>42724</v>
      </c>
      <c r="N3312" t="s">
        <v>45095</v>
      </c>
      <c r="O3312" t="s">
        <v>45096</v>
      </c>
      <c r="P3312">
        <v>0</v>
      </c>
      <c r="Q3312">
        <v>4</v>
      </c>
      <c r="R3312" t="s">
        <v>45099</v>
      </c>
      <c r="S3312" t="s">
        <v>45226</v>
      </c>
      <c r="T3312" t="s">
        <v>46988</v>
      </c>
      <c r="U3312" t="s">
        <v>50272</v>
      </c>
      <c r="W3312" t="s">
        <v>42724</v>
      </c>
      <c r="X3312" t="s">
        <v>45100</v>
      </c>
    </row>
    <row r="3313" spans="1:24">
      <c r="A3313">
        <f>HYPERLINK("https://www.philgeps.gov.ph/GEPSNONPILOT/Tender/SplashBidNoticeAbstractUI.aspx?menuIndex=3&amp;refID=7044337&amp;Result=3","7044337")</f>
        <v>0</v>
      </c>
      <c r="B3313" t="s">
        <v>1164</v>
      </c>
      <c r="C3313" t="s">
        <v>6357</v>
      </c>
      <c r="D3313" t="s">
        <v>18076</v>
      </c>
      <c r="E3313" t="s">
        <v>21131</v>
      </c>
      <c r="F3313" t="s">
        <v>31574</v>
      </c>
      <c r="G3313" t="s">
        <v>31581</v>
      </c>
      <c r="H3313" t="s">
        <v>31590</v>
      </c>
      <c r="I3313" t="s">
        <v>3539</v>
      </c>
      <c r="J3313" t="s">
        <v>31782</v>
      </c>
      <c r="K3313" t="s">
        <v>41212</v>
      </c>
      <c r="M3313" t="s">
        <v>42723</v>
      </c>
      <c r="N3313" t="s">
        <v>45095</v>
      </c>
      <c r="O3313" t="s">
        <v>45096</v>
      </c>
      <c r="P3313">
        <v>0</v>
      </c>
      <c r="Q3313">
        <v>0</v>
      </c>
      <c r="R3313" t="s">
        <v>45098</v>
      </c>
      <c r="S3313" t="s">
        <v>45223</v>
      </c>
      <c r="T3313" t="s">
        <v>46963</v>
      </c>
      <c r="U3313" t="s">
        <v>50273</v>
      </c>
      <c r="W3313" t="s">
        <v>42723</v>
      </c>
      <c r="X3313" t="s">
        <v>45099</v>
      </c>
    </row>
    <row r="3314" spans="1:24">
      <c r="A3314">
        <f>HYPERLINK("https://www.philgeps.gov.ph/GEPSNONPILOT/Tender/SplashBidNoticeAbstractUI.aspx?menuIndex=3&amp;refID=7043697&amp;Result=3","7043697")</f>
        <v>0</v>
      </c>
      <c r="B3314" t="s">
        <v>1166</v>
      </c>
      <c r="C3314" t="s">
        <v>6358</v>
      </c>
      <c r="D3314" t="s">
        <v>18081</v>
      </c>
      <c r="E3314" t="s">
        <v>18227</v>
      </c>
      <c r="F3314" t="s">
        <v>31574</v>
      </c>
      <c r="G3314" t="s">
        <v>31582</v>
      </c>
      <c r="H3314" t="s">
        <v>31590</v>
      </c>
      <c r="I3314" t="s">
        <v>31602</v>
      </c>
      <c r="J3314" t="s">
        <v>33992</v>
      </c>
      <c r="K3314" t="s">
        <v>41193</v>
      </c>
      <c r="L3314" t="s">
        <v>1166</v>
      </c>
      <c r="M3314" t="s">
        <v>42725</v>
      </c>
      <c r="N3314" t="s">
        <v>45095</v>
      </c>
      <c r="O3314" t="s">
        <v>45096</v>
      </c>
      <c r="P3314">
        <v>0</v>
      </c>
      <c r="Q3314">
        <v>0</v>
      </c>
      <c r="R3314" t="s">
        <v>45099</v>
      </c>
      <c r="S3314" t="s">
        <v>45226</v>
      </c>
      <c r="T3314" t="s">
        <v>46922</v>
      </c>
      <c r="U3314" t="s">
        <v>50274</v>
      </c>
      <c r="V3314" t="s">
        <v>60161</v>
      </c>
      <c r="W3314" t="s">
        <v>42725</v>
      </c>
      <c r="X3314" t="s">
        <v>45100</v>
      </c>
    </row>
    <row r="3315" spans="1:24">
      <c r="A3315">
        <f>HYPERLINK("https://www.philgeps.gov.ph/GEPSNONPILOT/Tender/SplashBidNoticeAbstractUI.aspx?menuIndex=3&amp;refID=7043682&amp;Result=3","7043682")</f>
        <v>0</v>
      </c>
      <c r="B3315" t="s">
        <v>231</v>
      </c>
      <c r="C3315" t="s">
        <v>6359</v>
      </c>
      <c r="D3315" t="s">
        <v>18088</v>
      </c>
      <c r="E3315" t="s">
        <v>21132</v>
      </c>
      <c r="F3315" t="s">
        <v>31574</v>
      </c>
      <c r="G3315" t="s">
        <v>31583</v>
      </c>
      <c r="H3315" t="s">
        <v>31590</v>
      </c>
      <c r="I3315" t="s">
        <v>4327</v>
      </c>
      <c r="J3315" t="s">
        <v>31930</v>
      </c>
      <c r="K3315" t="s">
        <v>41193</v>
      </c>
      <c r="M3315" t="s">
        <v>41716</v>
      </c>
      <c r="N3315" t="s">
        <v>45095</v>
      </c>
      <c r="O3315" t="s">
        <v>45096</v>
      </c>
      <c r="P3315">
        <v>0</v>
      </c>
      <c r="Q3315">
        <v>1</v>
      </c>
      <c r="R3315" t="s">
        <v>45099</v>
      </c>
      <c r="S3315" t="s">
        <v>45226</v>
      </c>
      <c r="T3315" t="s">
        <v>46979</v>
      </c>
      <c r="U3315" t="s">
        <v>50275</v>
      </c>
      <c r="W3315" t="s">
        <v>41716</v>
      </c>
      <c r="X3315" t="s">
        <v>45101</v>
      </c>
    </row>
    <row r="3316" spans="1:24">
      <c r="A3316">
        <f>HYPERLINK("https://www.philgeps.gov.ph/GEPSNONPILOT/Tender/SplashBidNoticeAbstractUI.aspx?menuIndex=3&amp;refID=7041926&amp;Result=3","7041926")</f>
        <v>0</v>
      </c>
      <c r="B3316" t="s">
        <v>1161</v>
      </c>
      <c r="C3316" t="s">
        <v>6360</v>
      </c>
      <c r="D3316" t="s">
        <v>18091</v>
      </c>
      <c r="E3316" t="s">
        <v>21133</v>
      </c>
      <c r="F3316" t="s">
        <v>31574</v>
      </c>
      <c r="G3316" t="s">
        <v>31581</v>
      </c>
      <c r="H3316" t="s">
        <v>31590</v>
      </c>
      <c r="I3316" t="s">
        <v>4046</v>
      </c>
      <c r="J3316" t="s">
        <v>33993</v>
      </c>
      <c r="K3316" t="s">
        <v>41186</v>
      </c>
      <c r="M3316" t="s">
        <v>42720</v>
      </c>
      <c r="N3316" t="s">
        <v>45095</v>
      </c>
      <c r="O3316" t="s">
        <v>45096</v>
      </c>
      <c r="P3316">
        <v>0</v>
      </c>
      <c r="Q3316">
        <v>2</v>
      </c>
      <c r="R3316" t="s">
        <v>45099</v>
      </c>
      <c r="S3316" t="s">
        <v>45226</v>
      </c>
      <c r="T3316" t="s">
        <v>46973</v>
      </c>
      <c r="U3316" t="s">
        <v>50276</v>
      </c>
      <c r="W3316" t="s">
        <v>42720</v>
      </c>
      <c r="X3316" t="s">
        <v>45102</v>
      </c>
    </row>
    <row r="3317" spans="1:24">
      <c r="A3317">
        <f>HYPERLINK("https://www.philgeps.gov.ph/GEPSNONPILOT/Tender/SplashBidNoticeAbstractUI.aspx?menuIndex=3&amp;refID=7043690&amp;Result=3","7043690")</f>
        <v>0</v>
      </c>
      <c r="B3317" t="s">
        <v>231</v>
      </c>
      <c r="C3317" t="s">
        <v>6361</v>
      </c>
      <c r="D3317" t="s">
        <v>18088</v>
      </c>
      <c r="E3317" t="s">
        <v>21134</v>
      </c>
      <c r="F3317" t="s">
        <v>31574</v>
      </c>
      <c r="G3317" t="s">
        <v>31581</v>
      </c>
      <c r="H3317" t="s">
        <v>31590</v>
      </c>
      <c r="I3317" t="s">
        <v>3651</v>
      </c>
      <c r="J3317" t="s">
        <v>33994</v>
      </c>
      <c r="K3317" t="s">
        <v>41211</v>
      </c>
      <c r="M3317" t="s">
        <v>41716</v>
      </c>
      <c r="N3317" t="s">
        <v>45095</v>
      </c>
      <c r="O3317" t="s">
        <v>45096</v>
      </c>
      <c r="P3317">
        <v>0</v>
      </c>
      <c r="Q3317">
        <v>0</v>
      </c>
      <c r="R3317" t="s">
        <v>45099</v>
      </c>
      <c r="S3317" t="s">
        <v>45226</v>
      </c>
      <c r="T3317" t="s">
        <v>47050</v>
      </c>
      <c r="U3317" t="s">
        <v>50277</v>
      </c>
      <c r="W3317" t="s">
        <v>41716</v>
      </c>
      <c r="X3317" t="s">
        <v>45100</v>
      </c>
    </row>
    <row r="3318" spans="1:24">
      <c r="A3318">
        <f>HYPERLINK("https://www.philgeps.gov.ph/GEPSNONPILOT/Tender/SplashBidNoticeAbstractUI.aspx?menuIndex=3&amp;refID=7043677&amp;Result=3","7043677")</f>
        <v>0</v>
      </c>
      <c r="B3318" t="s">
        <v>1167</v>
      </c>
      <c r="C3318" t="s">
        <v>6362</v>
      </c>
      <c r="D3318" t="s">
        <v>18022</v>
      </c>
      <c r="E3318" t="s">
        <v>21135</v>
      </c>
      <c r="F3318" t="s">
        <v>31575</v>
      </c>
      <c r="G3318" t="s">
        <v>31583</v>
      </c>
      <c r="H3318" t="s">
        <v>31590</v>
      </c>
      <c r="I3318" t="s">
        <v>31608</v>
      </c>
      <c r="J3318" t="s">
        <v>32093</v>
      </c>
      <c r="K3318" t="s">
        <v>41184</v>
      </c>
      <c r="M3318" t="s">
        <v>42726</v>
      </c>
      <c r="N3318" t="s">
        <v>45095</v>
      </c>
      <c r="O3318" t="s">
        <v>45096</v>
      </c>
      <c r="P3318">
        <v>0</v>
      </c>
      <c r="Q3318">
        <v>5</v>
      </c>
      <c r="R3318" t="s">
        <v>45099</v>
      </c>
      <c r="S3318" t="s">
        <v>45226</v>
      </c>
      <c r="T3318" t="s">
        <v>46936</v>
      </c>
      <c r="U3318" t="s">
        <v>50278</v>
      </c>
      <c r="V3318" t="s">
        <v>60162</v>
      </c>
      <c r="W3318" t="s">
        <v>42726</v>
      </c>
      <c r="X3318" t="s">
        <v>45101</v>
      </c>
    </row>
    <row r="3319" spans="1:24">
      <c r="A3319">
        <f>HYPERLINK("https://www.philgeps.gov.ph/GEPSNONPILOT/Tender/SplashBidNoticeAbstractUI.aspx?menuIndex=3&amp;refID=7036388&amp;Result=3","7036388")</f>
        <v>0</v>
      </c>
      <c r="B3319" t="s">
        <v>948</v>
      </c>
      <c r="C3319" t="s">
        <v>6363</v>
      </c>
      <c r="D3319" t="s">
        <v>18066</v>
      </c>
      <c r="E3319" t="s">
        <v>21136</v>
      </c>
      <c r="F3319" t="s">
        <v>31574</v>
      </c>
      <c r="G3319" t="s">
        <v>31582</v>
      </c>
      <c r="H3319" t="s">
        <v>31590</v>
      </c>
      <c r="I3319" t="s">
        <v>31599</v>
      </c>
      <c r="J3319" t="s">
        <v>33995</v>
      </c>
      <c r="K3319" t="s">
        <v>41186</v>
      </c>
      <c r="M3319" t="s">
        <v>42716</v>
      </c>
      <c r="N3319" t="s">
        <v>45095</v>
      </c>
      <c r="O3319" t="s">
        <v>45096</v>
      </c>
      <c r="P3319">
        <v>0</v>
      </c>
      <c r="Q3319">
        <v>2</v>
      </c>
      <c r="R3319" t="s">
        <v>45099</v>
      </c>
      <c r="S3319" t="s">
        <v>45226</v>
      </c>
      <c r="T3319" t="s">
        <v>46915</v>
      </c>
      <c r="U3319" t="s">
        <v>50279</v>
      </c>
      <c r="V3319" t="s">
        <v>60158</v>
      </c>
      <c r="W3319" t="s">
        <v>42716</v>
      </c>
      <c r="X3319" t="s">
        <v>45104</v>
      </c>
    </row>
    <row r="3320" spans="1:24">
      <c r="A3320">
        <f>HYPERLINK("https://www.philgeps.gov.ph/GEPSNONPILOT/Tender/SplashBidNoticeAbstractUI.aspx?menuIndex=3&amp;refID=7043704&amp;Result=3","7043704")</f>
        <v>0</v>
      </c>
      <c r="B3320" t="s">
        <v>1168</v>
      </c>
      <c r="C3320" t="s">
        <v>6364</v>
      </c>
      <c r="D3320" t="s">
        <v>18031</v>
      </c>
      <c r="E3320" t="s">
        <v>18379</v>
      </c>
      <c r="F3320" t="s">
        <v>31574</v>
      </c>
      <c r="G3320" t="s">
        <v>31581</v>
      </c>
      <c r="H3320" t="s">
        <v>31590</v>
      </c>
      <c r="I3320" t="s">
        <v>3487</v>
      </c>
      <c r="J3320" t="s">
        <v>33996</v>
      </c>
      <c r="K3320" t="s">
        <v>41193</v>
      </c>
      <c r="M3320" t="s">
        <v>42727</v>
      </c>
      <c r="N3320" t="s">
        <v>45095</v>
      </c>
      <c r="O3320" t="s">
        <v>45096</v>
      </c>
      <c r="P3320">
        <v>0</v>
      </c>
      <c r="Q3320">
        <v>3</v>
      </c>
      <c r="R3320" t="s">
        <v>45099</v>
      </c>
      <c r="S3320" t="s">
        <v>45226</v>
      </c>
      <c r="T3320" t="s">
        <v>47155</v>
      </c>
      <c r="U3320" t="s">
        <v>50280</v>
      </c>
      <c r="W3320" t="s">
        <v>42727</v>
      </c>
      <c r="X3320" t="s">
        <v>45100</v>
      </c>
    </row>
    <row r="3321" spans="1:24">
      <c r="A3321">
        <f>HYPERLINK("https://www.philgeps.gov.ph/GEPSNONPILOT/Tender/SplashBidNoticeAbstractUI.aspx?menuIndex=3&amp;refID=7043739&amp;Result=3","7043739")</f>
        <v>0</v>
      </c>
      <c r="B3321" t="s">
        <v>1169</v>
      </c>
      <c r="C3321" t="s">
        <v>6365</v>
      </c>
      <c r="D3321" t="s">
        <v>18023</v>
      </c>
      <c r="E3321" t="s">
        <v>18629</v>
      </c>
      <c r="F3321" t="s">
        <v>31575</v>
      </c>
      <c r="G3321" t="s">
        <v>31582</v>
      </c>
      <c r="H3321" t="s">
        <v>31591</v>
      </c>
      <c r="I3321" t="s">
        <v>8822</v>
      </c>
      <c r="J3321" t="s">
        <v>33997</v>
      </c>
      <c r="K3321" t="s">
        <v>41192</v>
      </c>
      <c r="M3321" t="s">
        <v>42728</v>
      </c>
      <c r="N3321" t="s">
        <v>45095</v>
      </c>
      <c r="O3321" t="s">
        <v>45096</v>
      </c>
      <c r="P3321">
        <v>0</v>
      </c>
      <c r="Q3321">
        <v>0</v>
      </c>
      <c r="R3321" t="s">
        <v>45099</v>
      </c>
      <c r="S3321" t="s">
        <v>45226</v>
      </c>
      <c r="T3321" t="s">
        <v>47156</v>
      </c>
      <c r="U3321" t="s">
        <v>50281</v>
      </c>
      <c r="W3321" t="s">
        <v>42728</v>
      </c>
      <c r="X3321" t="s">
        <v>45100</v>
      </c>
    </row>
    <row r="3322" spans="1:24">
      <c r="A3322">
        <f>HYPERLINK("https://www.philgeps.gov.ph/GEPSNONPILOT/Tender/SplashBidNoticeAbstractUI.aspx?menuIndex=3&amp;refID=7043738&amp;Result=3","7043738")</f>
        <v>0</v>
      </c>
      <c r="B3322" t="s">
        <v>1170</v>
      </c>
      <c r="C3322" t="s">
        <v>6366</v>
      </c>
      <c r="D3322" t="s">
        <v>18027</v>
      </c>
      <c r="E3322" t="s">
        <v>21137</v>
      </c>
      <c r="F3322" t="s">
        <v>31574</v>
      </c>
      <c r="G3322" t="s">
        <v>31583</v>
      </c>
      <c r="H3322" t="s">
        <v>31590</v>
      </c>
      <c r="I3322" t="s">
        <v>4046</v>
      </c>
      <c r="J3322" t="s">
        <v>33998</v>
      </c>
      <c r="K3322" t="s">
        <v>41276</v>
      </c>
      <c r="M3322" t="s">
        <v>42729</v>
      </c>
      <c r="N3322" t="s">
        <v>45095</v>
      </c>
      <c r="O3322" t="s">
        <v>45096</v>
      </c>
      <c r="P3322">
        <v>0</v>
      </c>
      <c r="Q3322">
        <v>0</v>
      </c>
      <c r="R3322" t="s">
        <v>45099</v>
      </c>
      <c r="S3322" t="s">
        <v>45226</v>
      </c>
      <c r="T3322" t="s">
        <v>47067</v>
      </c>
      <c r="U3322" t="s">
        <v>50282</v>
      </c>
      <c r="V3322" t="s">
        <v>60163</v>
      </c>
      <c r="W3322" t="s">
        <v>42729</v>
      </c>
      <c r="X3322" t="s">
        <v>45100</v>
      </c>
    </row>
    <row r="3323" spans="1:24">
      <c r="A3323">
        <f>HYPERLINK("https://www.philgeps.gov.ph/GEPSNONPILOT/Tender/SplashBidNoticeAbstractUI.aspx?menuIndex=3&amp;refID=7043707&amp;Result=3","7043707")</f>
        <v>0</v>
      </c>
      <c r="B3323" t="s">
        <v>1171</v>
      </c>
      <c r="C3323" t="s">
        <v>6367</v>
      </c>
      <c r="D3323" t="s">
        <v>18050</v>
      </c>
      <c r="E3323" t="s">
        <v>21138</v>
      </c>
      <c r="F3323" t="s">
        <v>31574</v>
      </c>
      <c r="G3323" t="s">
        <v>31581</v>
      </c>
      <c r="H3323" t="s">
        <v>31590</v>
      </c>
      <c r="I3323" t="s">
        <v>4046</v>
      </c>
      <c r="J3323" t="s">
        <v>33999</v>
      </c>
      <c r="K3323" t="s">
        <v>41190</v>
      </c>
      <c r="M3323" t="s">
        <v>42730</v>
      </c>
      <c r="N3323" t="s">
        <v>45095</v>
      </c>
      <c r="O3323" t="s">
        <v>45096</v>
      </c>
      <c r="P3323">
        <v>0</v>
      </c>
      <c r="Q3323">
        <v>0</v>
      </c>
      <c r="R3323" t="s">
        <v>45099</v>
      </c>
      <c r="S3323" t="s">
        <v>45226</v>
      </c>
      <c r="T3323" t="s">
        <v>47067</v>
      </c>
      <c r="U3323" t="s">
        <v>50283</v>
      </c>
      <c r="W3323" t="s">
        <v>42730</v>
      </c>
      <c r="X3323" t="s">
        <v>45100</v>
      </c>
    </row>
    <row r="3324" spans="1:24">
      <c r="A3324">
        <f>HYPERLINK("https://www.philgeps.gov.ph/GEPSNONPILOT/Tender/SplashBidNoticeAbstractUI.aspx?menuIndex=3&amp;refID=7043701&amp;Result=3","7043701")</f>
        <v>0</v>
      </c>
      <c r="B3324" t="s">
        <v>1172</v>
      </c>
      <c r="C3324" t="s">
        <v>6368</v>
      </c>
      <c r="D3324" t="s">
        <v>18026</v>
      </c>
      <c r="E3324" t="s">
        <v>21139</v>
      </c>
      <c r="F3324" t="s">
        <v>31574</v>
      </c>
      <c r="G3324" t="s">
        <v>31582</v>
      </c>
      <c r="H3324" t="s">
        <v>31591</v>
      </c>
      <c r="I3324" t="s">
        <v>8822</v>
      </c>
      <c r="J3324" t="s">
        <v>32076</v>
      </c>
      <c r="K3324" t="s">
        <v>41189</v>
      </c>
      <c r="M3324" t="s">
        <v>42731</v>
      </c>
      <c r="N3324" t="s">
        <v>45095</v>
      </c>
      <c r="O3324" t="s">
        <v>45096</v>
      </c>
      <c r="P3324">
        <v>0</v>
      </c>
      <c r="Q3324">
        <v>0</v>
      </c>
      <c r="R3324" t="s">
        <v>45099</v>
      </c>
      <c r="S3324" t="s">
        <v>45226</v>
      </c>
      <c r="T3324" t="s">
        <v>46915</v>
      </c>
      <c r="U3324" t="s">
        <v>50284</v>
      </c>
      <c r="V3324" t="s">
        <v>60164</v>
      </c>
      <c r="W3324" t="s">
        <v>42731</v>
      </c>
      <c r="X3324" t="s">
        <v>45100</v>
      </c>
    </row>
    <row r="3325" spans="1:24">
      <c r="A3325">
        <f>HYPERLINK("https://www.philgeps.gov.ph/GEPSNONPILOT/Tender/SplashBidNoticeAbstractUI.aspx?menuIndex=3&amp;refID=7043722&amp;Result=3","7043722")</f>
        <v>0</v>
      </c>
      <c r="B3325" t="s">
        <v>1170</v>
      </c>
      <c r="C3325" t="s">
        <v>6369</v>
      </c>
      <c r="D3325" t="s">
        <v>18027</v>
      </c>
      <c r="E3325" t="s">
        <v>21140</v>
      </c>
      <c r="F3325" t="s">
        <v>31574</v>
      </c>
      <c r="G3325" t="s">
        <v>31583</v>
      </c>
      <c r="H3325" t="s">
        <v>31590</v>
      </c>
      <c r="I3325" t="s">
        <v>31595</v>
      </c>
      <c r="J3325" t="s">
        <v>34000</v>
      </c>
      <c r="K3325" t="s">
        <v>41194</v>
      </c>
      <c r="M3325" t="s">
        <v>42729</v>
      </c>
      <c r="N3325" t="s">
        <v>45095</v>
      </c>
      <c r="O3325" t="s">
        <v>45096</v>
      </c>
      <c r="P3325">
        <v>0</v>
      </c>
      <c r="Q3325">
        <v>1</v>
      </c>
      <c r="R3325" t="s">
        <v>45099</v>
      </c>
      <c r="S3325" t="s">
        <v>45226</v>
      </c>
      <c r="T3325" t="s">
        <v>47067</v>
      </c>
      <c r="U3325" t="s">
        <v>50285</v>
      </c>
      <c r="V3325" t="s">
        <v>60165</v>
      </c>
      <c r="W3325" t="s">
        <v>42729</v>
      </c>
      <c r="X3325" t="s">
        <v>45100</v>
      </c>
    </row>
    <row r="3326" spans="1:24">
      <c r="A3326">
        <f>HYPERLINK("https://www.philgeps.gov.ph/GEPSNONPILOT/Tender/SplashBidNoticeAbstractUI.aspx?menuIndex=3&amp;refID=7043742&amp;Result=3","7043742")</f>
        <v>0</v>
      </c>
      <c r="B3326" t="s">
        <v>216</v>
      </c>
      <c r="C3326" t="s">
        <v>6370</v>
      </c>
      <c r="D3326" t="s">
        <v>18058</v>
      </c>
      <c r="E3326" t="s">
        <v>21141</v>
      </c>
      <c r="F3326" t="s">
        <v>31574</v>
      </c>
      <c r="G3326" t="s">
        <v>31586</v>
      </c>
      <c r="H3326" t="s">
        <v>31590</v>
      </c>
      <c r="I3326" t="s">
        <v>3651</v>
      </c>
      <c r="J3326" t="s">
        <v>34001</v>
      </c>
      <c r="K3326" t="s">
        <v>41193</v>
      </c>
      <c r="M3326" t="s">
        <v>41701</v>
      </c>
      <c r="N3326" t="s">
        <v>45095</v>
      </c>
      <c r="O3326" t="s">
        <v>45096</v>
      </c>
      <c r="P3326">
        <v>0</v>
      </c>
      <c r="Q3326">
        <v>1</v>
      </c>
      <c r="R3326" t="s">
        <v>45099</v>
      </c>
      <c r="S3326" t="s">
        <v>45226</v>
      </c>
      <c r="T3326" t="s">
        <v>47076</v>
      </c>
      <c r="U3326" t="s">
        <v>50286</v>
      </c>
      <c r="W3326" t="s">
        <v>41701</v>
      </c>
      <c r="X3326" t="s">
        <v>45100</v>
      </c>
    </row>
    <row r="3327" spans="1:24">
      <c r="A3327">
        <f>HYPERLINK("https://www.philgeps.gov.ph/GEPSNONPILOT/Tender/SplashBidNoticeAbstractUI.aspx?menuIndex=3&amp;refID=7043734&amp;Result=3","7043734")</f>
        <v>0</v>
      </c>
      <c r="B3327" t="s">
        <v>1170</v>
      </c>
      <c r="C3327" t="s">
        <v>6371</v>
      </c>
      <c r="D3327" t="s">
        <v>18027</v>
      </c>
      <c r="E3327" t="s">
        <v>21142</v>
      </c>
      <c r="F3327" t="s">
        <v>31574</v>
      </c>
      <c r="G3327" t="s">
        <v>31581</v>
      </c>
      <c r="H3327" t="s">
        <v>31592</v>
      </c>
      <c r="I3327" t="s">
        <v>3489</v>
      </c>
      <c r="J3327" t="s">
        <v>34002</v>
      </c>
      <c r="K3327" t="s">
        <v>41276</v>
      </c>
      <c r="M3327" t="s">
        <v>42729</v>
      </c>
      <c r="N3327" t="s">
        <v>45095</v>
      </c>
      <c r="O3327" t="s">
        <v>45096</v>
      </c>
      <c r="P3327">
        <v>0</v>
      </c>
      <c r="Q3327">
        <v>0</v>
      </c>
      <c r="R3327" t="s">
        <v>45099</v>
      </c>
      <c r="S3327" t="s">
        <v>45226</v>
      </c>
      <c r="T3327" t="s">
        <v>47067</v>
      </c>
      <c r="U3327" t="s">
        <v>50287</v>
      </c>
      <c r="V3327" t="s">
        <v>60166</v>
      </c>
      <c r="W3327" t="s">
        <v>42729</v>
      </c>
      <c r="X3327" t="s">
        <v>45100</v>
      </c>
    </row>
    <row r="3328" spans="1:24">
      <c r="A3328">
        <f>HYPERLINK("https://www.philgeps.gov.ph/GEPSNONPILOT/Tender/SplashBidNoticeAbstractUI.aspx?menuIndex=3&amp;refID=7043720&amp;Result=3","7043720")</f>
        <v>0</v>
      </c>
      <c r="B3328" t="s">
        <v>1173</v>
      </c>
      <c r="C3328" t="s">
        <v>6372</v>
      </c>
      <c r="D3328" t="s">
        <v>18030</v>
      </c>
      <c r="E3328" t="s">
        <v>21143</v>
      </c>
      <c r="F3328" t="s">
        <v>31574</v>
      </c>
      <c r="G3328" t="s">
        <v>31582</v>
      </c>
      <c r="H3328" t="s">
        <v>31591</v>
      </c>
      <c r="I3328" t="s">
        <v>8822</v>
      </c>
      <c r="J3328" t="s">
        <v>33149</v>
      </c>
      <c r="K3328" t="s">
        <v>41196</v>
      </c>
      <c r="M3328" t="s">
        <v>42732</v>
      </c>
      <c r="N3328" t="s">
        <v>45095</v>
      </c>
      <c r="O3328" t="s">
        <v>45096</v>
      </c>
      <c r="P3328">
        <v>0</v>
      </c>
      <c r="Q3328">
        <v>0</v>
      </c>
      <c r="R3328" t="s">
        <v>45099</v>
      </c>
      <c r="S3328" t="s">
        <v>45226</v>
      </c>
      <c r="T3328" t="s">
        <v>46952</v>
      </c>
      <c r="U3328" t="s">
        <v>50288</v>
      </c>
      <c r="W3328" t="s">
        <v>42732</v>
      </c>
      <c r="X3328" t="s">
        <v>45100</v>
      </c>
    </row>
    <row r="3329" spans="1:24">
      <c r="A3329">
        <f>HYPERLINK("https://www.philgeps.gov.ph/GEPSNONPILOT/Tender/SplashBidNoticeAbstractUI.aspx?menuIndex=3&amp;refID=7043717&amp;Result=3","7043717")</f>
        <v>0</v>
      </c>
      <c r="B3329" t="s">
        <v>1174</v>
      </c>
      <c r="C3329" t="s">
        <v>6373</v>
      </c>
      <c r="D3329" t="s">
        <v>18022</v>
      </c>
      <c r="E3329" t="s">
        <v>21144</v>
      </c>
      <c r="F3329" t="s">
        <v>31574</v>
      </c>
      <c r="G3329" t="s">
        <v>31582</v>
      </c>
      <c r="H3329" t="s">
        <v>31590</v>
      </c>
      <c r="I3329" t="s">
        <v>7185</v>
      </c>
      <c r="J3329" t="s">
        <v>31789</v>
      </c>
      <c r="K3329" t="s">
        <v>41213</v>
      </c>
      <c r="M3329" t="s">
        <v>42733</v>
      </c>
      <c r="N3329" t="s">
        <v>45095</v>
      </c>
      <c r="O3329" t="s">
        <v>45096</v>
      </c>
      <c r="P3329">
        <v>0</v>
      </c>
      <c r="Q3329">
        <v>3</v>
      </c>
      <c r="R3329" t="s">
        <v>45099</v>
      </c>
      <c r="S3329" t="s">
        <v>45226</v>
      </c>
      <c r="T3329" t="s">
        <v>47008</v>
      </c>
      <c r="U3329" t="s">
        <v>50289</v>
      </c>
      <c r="W3329" t="s">
        <v>42733</v>
      </c>
      <c r="X3329" t="s">
        <v>45100</v>
      </c>
    </row>
    <row r="3330" spans="1:24">
      <c r="A3330">
        <f>HYPERLINK("https://www.philgeps.gov.ph/GEPSNONPILOT/Tender/SplashBidNoticeAbstractUI.aspx?menuIndex=3&amp;refID=7043713&amp;Result=3","7043713")</f>
        <v>0</v>
      </c>
      <c r="B3330" t="s">
        <v>1171</v>
      </c>
      <c r="C3330" t="s">
        <v>6374</v>
      </c>
      <c r="D3330" t="s">
        <v>18050</v>
      </c>
      <c r="E3330" t="s">
        <v>21145</v>
      </c>
      <c r="F3330" t="s">
        <v>31574</v>
      </c>
      <c r="G3330" t="s">
        <v>31581</v>
      </c>
      <c r="H3330" t="s">
        <v>31590</v>
      </c>
      <c r="I3330" t="s">
        <v>4046</v>
      </c>
      <c r="J3330" t="s">
        <v>34003</v>
      </c>
      <c r="K3330" t="s">
        <v>41190</v>
      </c>
      <c r="M3330" t="s">
        <v>42730</v>
      </c>
      <c r="N3330" t="s">
        <v>45095</v>
      </c>
      <c r="O3330" t="s">
        <v>45096</v>
      </c>
      <c r="P3330">
        <v>0</v>
      </c>
      <c r="Q3330">
        <v>0</v>
      </c>
      <c r="R3330" t="s">
        <v>45099</v>
      </c>
      <c r="S3330" t="s">
        <v>45226</v>
      </c>
      <c r="T3330" t="s">
        <v>47067</v>
      </c>
      <c r="U3330" t="s">
        <v>50290</v>
      </c>
      <c r="W3330" t="s">
        <v>42730</v>
      </c>
      <c r="X3330" t="s">
        <v>45100</v>
      </c>
    </row>
    <row r="3331" spans="1:24">
      <c r="A3331">
        <f>HYPERLINK("https://www.philgeps.gov.ph/GEPSNONPILOT/Tender/SplashBidNoticeAbstractUI.aspx?menuIndex=3&amp;refID=7043726&amp;Result=3","7043726")</f>
        <v>0</v>
      </c>
      <c r="B3331" t="s">
        <v>1170</v>
      </c>
      <c r="C3331" t="s">
        <v>6371</v>
      </c>
      <c r="D3331" t="s">
        <v>18027</v>
      </c>
      <c r="E3331" t="s">
        <v>21146</v>
      </c>
      <c r="F3331" t="s">
        <v>31574</v>
      </c>
      <c r="G3331" t="s">
        <v>31583</v>
      </c>
      <c r="H3331" t="s">
        <v>31590</v>
      </c>
      <c r="I3331" t="s">
        <v>3489</v>
      </c>
      <c r="J3331" t="s">
        <v>34004</v>
      </c>
      <c r="K3331" t="s">
        <v>41201</v>
      </c>
      <c r="M3331" t="s">
        <v>42729</v>
      </c>
      <c r="N3331" t="s">
        <v>45095</v>
      </c>
      <c r="O3331" t="s">
        <v>45096</v>
      </c>
      <c r="P3331">
        <v>0</v>
      </c>
      <c r="Q3331">
        <v>0</v>
      </c>
      <c r="R3331" t="s">
        <v>45099</v>
      </c>
      <c r="S3331" t="s">
        <v>45226</v>
      </c>
      <c r="T3331" t="s">
        <v>47067</v>
      </c>
      <c r="U3331" t="s">
        <v>50291</v>
      </c>
      <c r="V3331" t="s">
        <v>60167</v>
      </c>
      <c r="W3331" t="s">
        <v>42729</v>
      </c>
      <c r="X3331" t="s">
        <v>45100</v>
      </c>
    </row>
    <row r="3332" spans="1:24">
      <c r="A3332">
        <f>HYPERLINK("https://www.philgeps.gov.ph/GEPSNONPILOT/Tender/SplashBidNoticeAbstractUI.aspx?menuIndex=3&amp;refID=7043714&amp;Result=3","7043714")</f>
        <v>0</v>
      </c>
      <c r="B3332" t="s">
        <v>1175</v>
      </c>
      <c r="C3332" t="s">
        <v>6375</v>
      </c>
      <c r="D3332" t="s">
        <v>18073</v>
      </c>
      <c r="E3332" t="s">
        <v>21147</v>
      </c>
      <c r="F3332" t="s">
        <v>31574</v>
      </c>
      <c r="G3332" t="s">
        <v>31581</v>
      </c>
      <c r="H3332" t="s">
        <v>31590</v>
      </c>
      <c r="I3332" t="s">
        <v>7162</v>
      </c>
      <c r="J3332" t="s">
        <v>31883</v>
      </c>
      <c r="K3332" t="s">
        <v>41190</v>
      </c>
      <c r="M3332" t="s">
        <v>42734</v>
      </c>
      <c r="N3332" t="s">
        <v>45095</v>
      </c>
      <c r="O3332" t="s">
        <v>45096</v>
      </c>
      <c r="Q3332">
        <v>3</v>
      </c>
      <c r="R3332" t="s">
        <v>45099</v>
      </c>
      <c r="S3332" t="s">
        <v>45227</v>
      </c>
      <c r="T3332" t="s">
        <v>47157</v>
      </c>
      <c r="U3332" t="s">
        <v>49119</v>
      </c>
      <c r="W3332" t="s">
        <v>42734</v>
      </c>
      <c r="X3332" t="s">
        <v>45100</v>
      </c>
    </row>
    <row r="3333" spans="1:24">
      <c r="A3333">
        <f>HYPERLINK("https://www.philgeps.gov.ph/GEPSNONPILOT/Tender/SplashBidNoticeAbstractUI.aspx?menuIndex=3&amp;refID=7043764&amp;Result=3","7043764")</f>
        <v>0</v>
      </c>
      <c r="B3333" t="s">
        <v>1176</v>
      </c>
      <c r="C3333" t="s">
        <v>6376</v>
      </c>
      <c r="D3333" t="s">
        <v>18041</v>
      </c>
      <c r="E3333" t="s">
        <v>21148</v>
      </c>
      <c r="F3333" t="s">
        <v>31574</v>
      </c>
      <c r="G3333" t="s">
        <v>31581</v>
      </c>
      <c r="H3333" t="s">
        <v>31590</v>
      </c>
      <c r="I3333" t="s">
        <v>3487</v>
      </c>
      <c r="J3333" t="s">
        <v>34005</v>
      </c>
      <c r="K3333" t="s">
        <v>41197</v>
      </c>
      <c r="M3333" t="s">
        <v>42735</v>
      </c>
      <c r="N3333" t="s">
        <v>45095</v>
      </c>
      <c r="O3333" t="s">
        <v>45096</v>
      </c>
      <c r="P3333">
        <v>0</v>
      </c>
      <c r="Q3333">
        <v>1</v>
      </c>
      <c r="R3333" t="s">
        <v>45099</v>
      </c>
      <c r="S3333" t="s">
        <v>45226</v>
      </c>
      <c r="T3333" t="s">
        <v>46952</v>
      </c>
      <c r="U3333" t="s">
        <v>50292</v>
      </c>
      <c r="V3333" t="s">
        <v>60168</v>
      </c>
      <c r="W3333" t="s">
        <v>42735</v>
      </c>
      <c r="X3333" t="s">
        <v>45100</v>
      </c>
    </row>
    <row r="3334" spans="1:24">
      <c r="A3334">
        <f>HYPERLINK("https://www.philgeps.gov.ph/GEPSNONPILOT/Tender/SplashBidNoticeAbstractUI.aspx?menuIndex=3&amp;refID=7043767&amp;Result=3","7043767")</f>
        <v>0</v>
      </c>
      <c r="B3334" t="s">
        <v>1176</v>
      </c>
      <c r="C3334" t="s">
        <v>6377</v>
      </c>
      <c r="D3334" t="s">
        <v>18041</v>
      </c>
      <c r="E3334" t="s">
        <v>21149</v>
      </c>
      <c r="F3334" t="s">
        <v>31574</v>
      </c>
      <c r="G3334" t="s">
        <v>31581</v>
      </c>
      <c r="H3334" t="s">
        <v>31590</v>
      </c>
      <c r="I3334" t="s">
        <v>3487</v>
      </c>
      <c r="J3334" t="s">
        <v>32007</v>
      </c>
      <c r="K3334" t="s">
        <v>41197</v>
      </c>
      <c r="M3334" t="s">
        <v>42735</v>
      </c>
      <c r="N3334" t="s">
        <v>45095</v>
      </c>
      <c r="O3334" t="s">
        <v>45096</v>
      </c>
      <c r="P3334">
        <v>0</v>
      </c>
      <c r="Q3334">
        <v>1</v>
      </c>
      <c r="R3334" t="s">
        <v>45099</v>
      </c>
      <c r="S3334" t="s">
        <v>45226</v>
      </c>
      <c r="T3334" t="s">
        <v>46952</v>
      </c>
      <c r="U3334" t="s">
        <v>50293</v>
      </c>
      <c r="V3334" t="s">
        <v>60169</v>
      </c>
      <c r="W3334" t="s">
        <v>42735</v>
      </c>
      <c r="X3334" t="s">
        <v>45100</v>
      </c>
    </row>
    <row r="3335" spans="1:24">
      <c r="A3335">
        <f>HYPERLINK("https://www.philgeps.gov.ph/GEPSNONPILOT/Tender/SplashBidNoticeAbstractUI.aspx?menuIndex=3&amp;refID=7043753&amp;Result=3","7043753")</f>
        <v>0</v>
      </c>
      <c r="B3335" t="s">
        <v>1177</v>
      </c>
      <c r="C3335" t="s">
        <v>6378</v>
      </c>
      <c r="D3335" t="s">
        <v>18108</v>
      </c>
      <c r="E3335" t="s">
        <v>21150</v>
      </c>
      <c r="F3335" t="s">
        <v>31574</v>
      </c>
      <c r="G3335" t="s">
        <v>31584</v>
      </c>
      <c r="H3335" t="s">
        <v>31590</v>
      </c>
      <c r="I3335" t="s">
        <v>6800</v>
      </c>
      <c r="J3335" t="s">
        <v>34006</v>
      </c>
      <c r="K3335" t="s">
        <v>41211</v>
      </c>
      <c r="M3335" t="s">
        <v>42736</v>
      </c>
      <c r="N3335" t="s">
        <v>45095</v>
      </c>
      <c r="O3335" t="s">
        <v>45096</v>
      </c>
      <c r="P3335">
        <v>0</v>
      </c>
      <c r="Q3335">
        <v>0</v>
      </c>
      <c r="R3335" t="s">
        <v>45099</v>
      </c>
      <c r="S3335" t="s">
        <v>45226</v>
      </c>
      <c r="T3335" t="s">
        <v>47058</v>
      </c>
      <c r="U3335" t="s">
        <v>50294</v>
      </c>
      <c r="V3335" t="s">
        <v>60170</v>
      </c>
      <c r="W3335" t="s">
        <v>42736</v>
      </c>
      <c r="X3335" t="s">
        <v>45100</v>
      </c>
    </row>
    <row r="3336" spans="1:24">
      <c r="A3336">
        <f>HYPERLINK("https://www.philgeps.gov.ph/GEPSNONPILOT/Tender/SplashBidNoticeAbstractUI.aspx?menuIndex=3&amp;refID=7043715&amp;Result=3","7043715")</f>
        <v>0</v>
      </c>
      <c r="B3336" t="s">
        <v>1174</v>
      </c>
      <c r="C3336" t="s">
        <v>6379</v>
      </c>
      <c r="D3336" t="s">
        <v>18022</v>
      </c>
      <c r="E3336" t="s">
        <v>21151</v>
      </c>
      <c r="F3336" t="s">
        <v>31574</v>
      </c>
      <c r="G3336" t="s">
        <v>31582</v>
      </c>
      <c r="H3336" t="s">
        <v>31590</v>
      </c>
      <c r="I3336" t="s">
        <v>6800</v>
      </c>
      <c r="J3336" t="s">
        <v>31789</v>
      </c>
      <c r="K3336" t="s">
        <v>41213</v>
      </c>
      <c r="M3336" t="s">
        <v>42733</v>
      </c>
      <c r="N3336" t="s">
        <v>45095</v>
      </c>
      <c r="O3336" t="s">
        <v>45096</v>
      </c>
      <c r="P3336">
        <v>0</v>
      </c>
      <c r="Q3336">
        <v>2</v>
      </c>
      <c r="R3336" t="s">
        <v>45099</v>
      </c>
      <c r="S3336" t="s">
        <v>45226</v>
      </c>
      <c r="T3336" t="s">
        <v>47008</v>
      </c>
      <c r="U3336" t="s">
        <v>50295</v>
      </c>
      <c r="W3336" t="s">
        <v>42733</v>
      </c>
      <c r="X3336" t="s">
        <v>45100</v>
      </c>
    </row>
    <row r="3337" spans="1:24">
      <c r="A3337">
        <f>HYPERLINK("https://www.philgeps.gov.ph/GEPSNONPILOT/Tender/SplashBidNoticeAbstractUI.aspx?menuIndex=3&amp;refID=7043762&amp;Result=3","7043762")</f>
        <v>0</v>
      </c>
      <c r="B3337" t="s">
        <v>1176</v>
      </c>
      <c r="C3337" t="s">
        <v>6380</v>
      </c>
      <c r="D3337" t="s">
        <v>18041</v>
      </c>
      <c r="E3337" t="s">
        <v>21152</v>
      </c>
      <c r="F3337" t="s">
        <v>31574</v>
      </c>
      <c r="G3337" t="s">
        <v>31581</v>
      </c>
      <c r="H3337" t="s">
        <v>31590</v>
      </c>
      <c r="I3337" t="s">
        <v>3487</v>
      </c>
      <c r="J3337" t="s">
        <v>31884</v>
      </c>
      <c r="K3337" t="s">
        <v>41197</v>
      </c>
      <c r="M3337" t="s">
        <v>42735</v>
      </c>
      <c r="N3337" t="s">
        <v>45095</v>
      </c>
      <c r="O3337" t="s">
        <v>45096</v>
      </c>
      <c r="P3337">
        <v>0</v>
      </c>
      <c r="Q3337">
        <v>1</v>
      </c>
      <c r="R3337" t="s">
        <v>45099</v>
      </c>
      <c r="S3337" t="s">
        <v>45226</v>
      </c>
      <c r="T3337" t="s">
        <v>46952</v>
      </c>
      <c r="U3337" t="s">
        <v>50296</v>
      </c>
      <c r="V3337" t="s">
        <v>60171</v>
      </c>
      <c r="W3337" t="s">
        <v>42735</v>
      </c>
      <c r="X3337" t="s">
        <v>45100</v>
      </c>
    </row>
    <row r="3338" spans="1:24">
      <c r="A3338">
        <f>HYPERLINK("https://www.philgeps.gov.ph/GEPSNONPILOT/Tender/SplashBidNoticeAbstractUI.aspx?menuIndex=3&amp;refID=7043746&amp;Result=3","7043746")</f>
        <v>0</v>
      </c>
      <c r="B3338" t="s">
        <v>1178</v>
      </c>
      <c r="C3338" t="s">
        <v>6381</v>
      </c>
      <c r="D3338" t="s">
        <v>18099</v>
      </c>
      <c r="E3338" t="s">
        <v>21153</v>
      </c>
      <c r="F3338" t="s">
        <v>31574</v>
      </c>
      <c r="G3338" t="s">
        <v>31581</v>
      </c>
      <c r="H3338" t="s">
        <v>31590</v>
      </c>
      <c r="I3338" t="s">
        <v>3489</v>
      </c>
      <c r="J3338" t="s">
        <v>34007</v>
      </c>
      <c r="K3338" t="s">
        <v>41213</v>
      </c>
      <c r="M3338" t="s">
        <v>42737</v>
      </c>
      <c r="N3338" t="s">
        <v>45095</v>
      </c>
      <c r="O3338" t="s">
        <v>45096</v>
      </c>
      <c r="P3338">
        <v>0</v>
      </c>
      <c r="Q3338">
        <v>0</v>
      </c>
      <c r="R3338" t="s">
        <v>45099</v>
      </c>
      <c r="S3338" t="s">
        <v>45226</v>
      </c>
      <c r="T3338" t="s">
        <v>47008</v>
      </c>
      <c r="U3338" t="s">
        <v>50297</v>
      </c>
      <c r="W3338" t="s">
        <v>42737</v>
      </c>
      <c r="X3338" t="s">
        <v>45100</v>
      </c>
    </row>
    <row r="3339" spans="1:24">
      <c r="A3339">
        <f>HYPERLINK("https://www.philgeps.gov.ph/GEPSNONPILOT/Tender/SplashBidNoticeAbstractUI.aspx?menuIndex=3&amp;refID=7043750&amp;Result=3","7043750")</f>
        <v>0</v>
      </c>
      <c r="B3339" t="s">
        <v>1179</v>
      </c>
      <c r="C3339" t="s">
        <v>6382</v>
      </c>
      <c r="D3339" t="s">
        <v>18052</v>
      </c>
      <c r="E3339" t="s">
        <v>21154</v>
      </c>
      <c r="F3339" t="s">
        <v>31574</v>
      </c>
      <c r="G3339" t="s">
        <v>31582</v>
      </c>
      <c r="H3339" t="s">
        <v>31590</v>
      </c>
      <c r="I3339" t="s">
        <v>3539</v>
      </c>
      <c r="J3339" t="s">
        <v>34008</v>
      </c>
      <c r="K3339" t="s">
        <v>41184</v>
      </c>
      <c r="M3339" t="s">
        <v>42738</v>
      </c>
      <c r="N3339" t="s">
        <v>45095</v>
      </c>
      <c r="O3339" t="s">
        <v>45096</v>
      </c>
      <c r="P3339">
        <v>0</v>
      </c>
      <c r="Q3339">
        <v>0</v>
      </c>
      <c r="R3339" t="s">
        <v>45099</v>
      </c>
      <c r="S3339" t="s">
        <v>45226</v>
      </c>
      <c r="T3339" t="s">
        <v>46987</v>
      </c>
      <c r="U3339" t="s">
        <v>50298</v>
      </c>
      <c r="W3339" t="s">
        <v>42738</v>
      </c>
      <c r="X3339" t="s">
        <v>45100</v>
      </c>
    </row>
    <row r="3340" spans="1:24">
      <c r="A3340">
        <f>HYPERLINK("https://www.philgeps.gov.ph/GEPSNONPILOT/Tender/SplashBidNoticeAbstractUI.aspx?menuIndex=3&amp;refID=7043743&amp;Result=3","7043743")</f>
        <v>0</v>
      </c>
      <c r="B3340" t="s">
        <v>1169</v>
      </c>
      <c r="C3340" t="s">
        <v>6383</v>
      </c>
      <c r="D3340" t="s">
        <v>18023</v>
      </c>
      <c r="E3340" t="s">
        <v>20000</v>
      </c>
      <c r="F3340" t="s">
        <v>31575</v>
      </c>
      <c r="G3340" t="s">
        <v>31582</v>
      </c>
      <c r="H3340" t="s">
        <v>31591</v>
      </c>
      <c r="I3340" t="s">
        <v>8822</v>
      </c>
      <c r="J3340" t="s">
        <v>34009</v>
      </c>
      <c r="K3340" t="s">
        <v>41192</v>
      </c>
      <c r="M3340" t="s">
        <v>42728</v>
      </c>
      <c r="N3340" t="s">
        <v>45095</v>
      </c>
      <c r="O3340" t="s">
        <v>45096</v>
      </c>
      <c r="P3340">
        <v>0</v>
      </c>
      <c r="Q3340">
        <v>0</v>
      </c>
      <c r="R3340" t="s">
        <v>45099</v>
      </c>
      <c r="S3340" t="s">
        <v>45226</v>
      </c>
      <c r="T3340" t="s">
        <v>47156</v>
      </c>
      <c r="U3340" t="s">
        <v>50299</v>
      </c>
      <c r="W3340" t="s">
        <v>42728</v>
      </c>
      <c r="X3340" t="s">
        <v>45100</v>
      </c>
    </row>
    <row r="3341" spans="1:24">
      <c r="A3341">
        <f>HYPERLINK("https://www.philgeps.gov.ph/GEPSNONPILOT/Tender/SplashBidNoticeAbstractUI.aspx?menuIndex=3&amp;refID=7043768&amp;Result=3","7043768")</f>
        <v>0</v>
      </c>
      <c r="B3341" t="s">
        <v>1176</v>
      </c>
      <c r="C3341" t="s">
        <v>6384</v>
      </c>
      <c r="D3341" t="s">
        <v>18041</v>
      </c>
      <c r="E3341" t="s">
        <v>21155</v>
      </c>
      <c r="F3341" t="s">
        <v>31574</v>
      </c>
      <c r="G3341" t="s">
        <v>31581</v>
      </c>
      <c r="H3341" t="s">
        <v>31590</v>
      </c>
      <c r="I3341" t="s">
        <v>8258</v>
      </c>
      <c r="J3341" t="s">
        <v>34010</v>
      </c>
      <c r="K3341" t="s">
        <v>41197</v>
      </c>
      <c r="M3341" t="s">
        <v>42735</v>
      </c>
      <c r="N3341" t="s">
        <v>45095</v>
      </c>
      <c r="O3341" t="s">
        <v>45096</v>
      </c>
      <c r="P3341">
        <v>0</v>
      </c>
      <c r="Q3341">
        <v>2</v>
      </c>
      <c r="R3341" t="s">
        <v>45099</v>
      </c>
      <c r="S3341" t="s">
        <v>45226</v>
      </c>
      <c r="T3341" t="s">
        <v>46952</v>
      </c>
      <c r="U3341" t="s">
        <v>50300</v>
      </c>
      <c r="V3341" t="s">
        <v>60172</v>
      </c>
      <c r="W3341" t="s">
        <v>42735</v>
      </c>
      <c r="X3341" t="s">
        <v>45100</v>
      </c>
    </row>
    <row r="3342" spans="1:24">
      <c r="A3342">
        <f>HYPERLINK("https://www.philgeps.gov.ph/GEPSNONPILOT/Tender/SplashBidNoticeAbstractUI.aspx?menuIndex=3&amp;refID=7043758&amp;Result=3","7043758")</f>
        <v>0</v>
      </c>
      <c r="B3342" t="s">
        <v>1180</v>
      </c>
      <c r="C3342" t="s">
        <v>6385</v>
      </c>
      <c r="D3342" t="s">
        <v>18037</v>
      </c>
      <c r="E3342" t="s">
        <v>21156</v>
      </c>
      <c r="F3342" t="s">
        <v>31574</v>
      </c>
      <c r="G3342" t="s">
        <v>31581</v>
      </c>
      <c r="H3342" t="s">
        <v>31590</v>
      </c>
      <c r="I3342" t="s">
        <v>8056</v>
      </c>
      <c r="J3342" t="s">
        <v>31949</v>
      </c>
      <c r="K3342" t="s">
        <v>41212</v>
      </c>
      <c r="M3342" t="s">
        <v>42739</v>
      </c>
      <c r="N3342" t="s">
        <v>45095</v>
      </c>
      <c r="O3342" t="s">
        <v>45096</v>
      </c>
      <c r="P3342">
        <v>0</v>
      </c>
      <c r="Q3342">
        <v>5</v>
      </c>
      <c r="R3342" t="s">
        <v>45099</v>
      </c>
      <c r="S3342" t="s">
        <v>45226</v>
      </c>
      <c r="T3342" t="s">
        <v>46957</v>
      </c>
      <c r="U3342" t="s">
        <v>50301</v>
      </c>
      <c r="W3342" t="s">
        <v>42739</v>
      </c>
      <c r="X3342" t="s">
        <v>45100</v>
      </c>
    </row>
    <row r="3343" spans="1:24">
      <c r="A3343">
        <f>HYPERLINK("https://www.philgeps.gov.ph/GEPSNONPILOT/Tender/SplashBidNoticeAbstractUI.aspx?menuIndex=3&amp;refID=7043829&amp;Result=3","7043829")</f>
        <v>0</v>
      </c>
      <c r="B3343" t="s">
        <v>1181</v>
      </c>
      <c r="C3343" t="s">
        <v>6386</v>
      </c>
      <c r="D3343" t="s">
        <v>18084</v>
      </c>
      <c r="E3343" t="s">
        <v>21157</v>
      </c>
      <c r="F3343" t="s">
        <v>31574</v>
      </c>
      <c r="G3343" t="s">
        <v>31581</v>
      </c>
      <c r="H3343" t="s">
        <v>31590</v>
      </c>
      <c r="I3343" t="s">
        <v>3487</v>
      </c>
      <c r="J3343" t="s">
        <v>34011</v>
      </c>
      <c r="K3343" t="s">
        <v>41184</v>
      </c>
      <c r="M3343" t="s">
        <v>42740</v>
      </c>
      <c r="N3343" t="s">
        <v>45095</v>
      </c>
      <c r="O3343" t="s">
        <v>45096</v>
      </c>
      <c r="P3343">
        <v>0</v>
      </c>
      <c r="Q3343">
        <v>1</v>
      </c>
      <c r="R3343" t="s">
        <v>45099</v>
      </c>
      <c r="S3343" t="s">
        <v>45226</v>
      </c>
      <c r="T3343" t="s">
        <v>46985</v>
      </c>
      <c r="U3343" t="s">
        <v>50302</v>
      </c>
      <c r="W3343" t="s">
        <v>42740</v>
      </c>
      <c r="X3343" t="s">
        <v>45100</v>
      </c>
    </row>
    <row r="3344" spans="1:24">
      <c r="A3344">
        <f>HYPERLINK("https://www.philgeps.gov.ph/GEPSNONPILOT/Tender/SplashBidNoticeAbstractUI.aspx?menuIndex=3&amp;refID=7043824&amp;Result=3","7043824")</f>
        <v>0</v>
      </c>
      <c r="B3344" t="s">
        <v>1181</v>
      </c>
      <c r="C3344" t="s">
        <v>6387</v>
      </c>
      <c r="D3344" t="s">
        <v>18084</v>
      </c>
      <c r="E3344" t="s">
        <v>21158</v>
      </c>
      <c r="F3344" t="s">
        <v>31574</v>
      </c>
      <c r="G3344" t="s">
        <v>31581</v>
      </c>
      <c r="H3344" t="s">
        <v>31590</v>
      </c>
      <c r="I3344" t="s">
        <v>3489</v>
      </c>
      <c r="J3344" t="s">
        <v>34012</v>
      </c>
      <c r="K3344" t="s">
        <v>41184</v>
      </c>
      <c r="M3344" t="s">
        <v>42740</v>
      </c>
      <c r="N3344" t="s">
        <v>45095</v>
      </c>
      <c r="O3344" t="s">
        <v>45096</v>
      </c>
      <c r="P3344">
        <v>0</v>
      </c>
      <c r="Q3344">
        <v>0</v>
      </c>
      <c r="R3344" t="s">
        <v>45099</v>
      </c>
      <c r="S3344" t="s">
        <v>45226</v>
      </c>
      <c r="T3344" t="s">
        <v>47058</v>
      </c>
      <c r="U3344" t="s">
        <v>50303</v>
      </c>
      <c r="W3344" t="s">
        <v>42740</v>
      </c>
      <c r="X3344" t="s">
        <v>45100</v>
      </c>
    </row>
    <row r="3345" spans="1:24">
      <c r="A3345">
        <f>HYPERLINK("https://www.philgeps.gov.ph/GEPSNONPILOT/Tender/SplashBidNoticeAbstractUI.aspx?menuIndex=3&amp;refID=7043801&amp;Result=3","7043801")</f>
        <v>0</v>
      </c>
      <c r="B3345" t="s">
        <v>1182</v>
      </c>
      <c r="C3345" t="s">
        <v>6388</v>
      </c>
      <c r="D3345" t="s">
        <v>18064</v>
      </c>
      <c r="E3345" t="s">
        <v>21159</v>
      </c>
      <c r="F3345" t="s">
        <v>31574</v>
      </c>
      <c r="G3345" t="s">
        <v>31581</v>
      </c>
      <c r="H3345" t="s">
        <v>31590</v>
      </c>
      <c r="I3345" t="s">
        <v>31608</v>
      </c>
      <c r="J3345" t="s">
        <v>31890</v>
      </c>
      <c r="K3345" t="s">
        <v>41186</v>
      </c>
      <c r="M3345" t="s">
        <v>42741</v>
      </c>
      <c r="N3345" t="s">
        <v>45095</v>
      </c>
      <c r="O3345" t="s">
        <v>45096</v>
      </c>
      <c r="P3345">
        <v>0</v>
      </c>
      <c r="Q3345">
        <v>3</v>
      </c>
      <c r="R3345" t="s">
        <v>45099</v>
      </c>
      <c r="S3345" t="s">
        <v>45226</v>
      </c>
      <c r="T3345" t="s">
        <v>46913</v>
      </c>
      <c r="U3345" t="s">
        <v>50304</v>
      </c>
      <c r="V3345" t="s">
        <v>60173</v>
      </c>
      <c r="W3345" t="s">
        <v>42741</v>
      </c>
      <c r="X3345" t="s">
        <v>45100</v>
      </c>
    </row>
    <row r="3346" spans="1:24">
      <c r="A3346">
        <f>HYPERLINK("https://www.philgeps.gov.ph/GEPSNONPILOT/Tender/SplashBidNoticeAbstractUI.aspx?menuIndex=3&amp;refID=7043792&amp;Result=3","7043792")</f>
        <v>0</v>
      </c>
      <c r="B3346" t="s">
        <v>1176</v>
      </c>
      <c r="C3346" t="s">
        <v>4009</v>
      </c>
      <c r="D3346" t="s">
        <v>18041</v>
      </c>
      <c r="E3346" t="s">
        <v>21160</v>
      </c>
      <c r="F3346" t="s">
        <v>31574</v>
      </c>
      <c r="G3346" t="s">
        <v>31581</v>
      </c>
      <c r="H3346" t="s">
        <v>31590</v>
      </c>
      <c r="I3346" t="s">
        <v>6800</v>
      </c>
      <c r="J3346" t="s">
        <v>34013</v>
      </c>
      <c r="K3346" t="s">
        <v>41197</v>
      </c>
      <c r="M3346" t="s">
        <v>42735</v>
      </c>
      <c r="N3346" t="s">
        <v>45095</v>
      </c>
      <c r="O3346" t="s">
        <v>45096</v>
      </c>
      <c r="P3346">
        <v>0</v>
      </c>
      <c r="Q3346">
        <v>1</v>
      </c>
      <c r="R3346" t="s">
        <v>45099</v>
      </c>
      <c r="S3346" t="s">
        <v>45226</v>
      </c>
      <c r="T3346" t="s">
        <v>46952</v>
      </c>
      <c r="U3346" t="s">
        <v>50305</v>
      </c>
      <c r="V3346" t="s">
        <v>60174</v>
      </c>
      <c r="W3346" t="s">
        <v>42735</v>
      </c>
      <c r="X3346" t="s">
        <v>45100</v>
      </c>
    </row>
    <row r="3347" spans="1:24">
      <c r="A3347">
        <f>HYPERLINK("https://www.philgeps.gov.ph/GEPSNONPILOT/Tender/SplashBidNoticeAbstractUI.aspx?menuIndex=3&amp;refID=7043806&amp;Result=3","7043806")</f>
        <v>0</v>
      </c>
      <c r="B3347" t="s">
        <v>1183</v>
      </c>
      <c r="C3347" t="s">
        <v>6389</v>
      </c>
      <c r="E3347" t="s">
        <v>18175</v>
      </c>
      <c r="F3347" t="s">
        <v>31574</v>
      </c>
      <c r="G3347" t="s">
        <v>31582</v>
      </c>
      <c r="H3347" t="s">
        <v>31590</v>
      </c>
      <c r="I3347" t="s">
        <v>31640</v>
      </c>
      <c r="J3347" t="s">
        <v>31927</v>
      </c>
      <c r="K3347" t="s">
        <v>41184</v>
      </c>
      <c r="M3347" t="s">
        <v>42742</v>
      </c>
      <c r="N3347" t="s">
        <v>45095</v>
      </c>
      <c r="O3347" t="s">
        <v>45096</v>
      </c>
      <c r="P3347">
        <v>0</v>
      </c>
      <c r="Q3347">
        <v>0</v>
      </c>
      <c r="R3347" t="s">
        <v>45099</v>
      </c>
      <c r="S3347" t="s">
        <v>45226</v>
      </c>
      <c r="T3347" t="s">
        <v>46929</v>
      </c>
      <c r="U3347" t="s">
        <v>50306</v>
      </c>
      <c r="W3347" t="s">
        <v>42742</v>
      </c>
      <c r="X3347" t="s">
        <v>45100</v>
      </c>
    </row>
    <row r="3348" spans="1:24">
      <c r="A3348">
        <f>HYPERLINK("https://www.philgeps.gov.ph/GEPSNONPILOT/Tender/SplashBidNoticeAbstractUI.aspx?menuIndex=3&amp;refID=7043803&amp;Result=3","7043803")</f>
        <v>0</v>
      </c>
      <c r="B3348" t="s">
        <v>1184</v>
      </c>
      <c r="C3348" t="s">
        <v>6390</v>
      </c>
      <c r="D3348" t="s">
        <v>18022</v>
      </c>
      <c r="E3348" t="s">
        <v>21161</v>
      </c>
      <c r="F3348" t="s">
        <v>31574</v>
      </c>
      <c r="G3348" t="s">
        <v>31582</v>
      </c>
      <c r="H3348" t="s">
        <v>31592</v>
      </c>
      <c r="I3348" t="s">
        <v>7185</v>
      </c>
      <c r="J3348" t="s">
        <v>34014</v>
      </c>
      <c r="K3348" t="s">
        <v>41186</v>
      </c>
      <c r="M3348" t="s">
        <v>42743</v>
      </c>
      <c r="N3348" t="s">
        <v>45095</v>
      </c>
      <c r="O3348" t="s">
        <v>45096</v>
      </c>
      <c r="P3348">
        <v>0</v>
      </c>
      <c r="Q3348">
        <v>3</v>
      </c>
      <c r="R3348" t="s">
        <v>45099</v>
      </c>
      <c r="S3348" t="s">
        <v>45226</v>
      </c>
      <c r="T3348" t="s">
        <v>46941</v>
      </c>
      <c r="U3348" t="s">
        <v>50307</v>
      </c>
      <c r="V3348" t="s">
        <v>60175</v>
      </c>
      <c r="W3348" t="s">
        <v>42743</v>
      </c>
      <c r="X3348" t="s">
        <v>45100</v>
      </c>
    </row>
    <row r="3349" spans="1:24">
      <c r="A3349">
        <f>HYPERLINK("https://www.philgeps.gov.ph/GEPSNONPILOT/Tender/SplashBidNoticeAbstractUI.aspx?menuIndex=3&amp;refID=7043810&amp;Result=3","7043810")</f>
        <v>0</v>
      </c>
      <c r="B3349" t="s">
        <v>1185</v>
      </c>
      <c r="C3349" t="s">
        <v>6391</v>
      </c>
      <c r="D3349" t="s">
        <v>18053</v>
      </c>
      <c r="E3349" t="s">
        <v>18227</v>
      </c>
      <c r="F3349" t="s">
        <v>31574</v>
      </c>
      <c r="G3349" t="s">
        <v>31582</v>
      </c>
      <c r="H3349" t="s">
        <v>31590</v>
      </c>
      <c r="I3349" t="s">
        <v>31614</v>
      </c>
      <c r="J3349" t="s">
        <v>31782</v>
      </c>
      <c r="K3349" t="s">
        <v>41193</v>
      </c>
      <c r="M3349" t="s">
        <v>42744</v>
      </c>
      <c r="N3349" t="s">
        <v>45095</v>
      </c>
      <c r="O3349" t="s">
        <v>45096</v>
      </c>
      <c r="P3349">
        <v>0</v>
      </c>
      <c r="Q3349">
        <v>1</v>
      </c>
      <c r="R3349" t="s">
        <v>45099</v>
      </c>
      <c r="S3349" t="s">
        <v>45226</v>
      </c>
      <c r="T3349" t="s">
        <v>47089</v>
      </c>
      <c r="U3349" t="s">
        <v>50308</v>
      </c>
      <c r="W3349" t="s">
        <v>42744</v>
      </c>
      <c r="X3349" t="s">
        <v>45100</v>
      </c>
    </row>
    <row r="3350" spans="1:24">
      <c r="A3350">
        <f>HYPERLINK("https://www.philgeps.gov.ph/GEPSNONPILOT/Tender/SplashBidNoticeAbstractUI.aspx?menuIndex=3&amp;refID=7043789&amp;Result=3","7043789")</f>
        <v>0</v>
      </c>
      <c r="B3350" t="s">
        <v>1176</v>
      </c>
      <c r="C3350" t="s">
        <v>6392</v>
      </c>
      <c r="D3350" t="s">
        <v>18041</v>
      </c>
      <c r="E3350" t="s">
        <v>21162</v>
      </c>
      <c r="F3350" t="s">
        <v>31574</v>
      </c>
      <c r="G3350" t="s">
        <v>31581</v>
      </c>
      <c r="H3350" t="s">
        <v>31590</v>
      </c>
      <c r="I3350" t="s">
        <v>3487</v>
      </c>
      <c r="J3350" t="s">
        <v>34015</v>
      </c>
      <c r="K3350" t="s">
        <v>41197</v>
      </c>
      <c r="M3350" t="s">
        <v>42735</v>
      </c>
      <c r="N3350" t="s">
        <v>45095</v>
      </c>
      <c r="O3350" t="s">
        <v>45096</v>
      </c>
      <c r="P3350">
        <v>0</v>
      </c>
      <c r="Q3350">
        <v>1</v>
      </c>
      <c r="R3350" t="s">
        <v>45099</v>
      </c>
      <c r="S3350" t="s">
        <v>45226</v>
      </c>
      <c r="T3350" t="s">
        <v>46952</v>
      </c>
      <c r="U3350" t="s">
        <v>50309</v>
      </c>
      <c r="V3350" t="s">
        <v>60176</v>
      </c>
      <c r="W3350" t="s">
        <v>42735</v>
      </c>
      <c r="X3350" t="s">
        <v>45100</v>
      </c>
    </row>
    <row r="3351" spans="1:24">
      <c r="A3351">
        <f>HYPERLINK("https://www.philgeps.gov.ph/GEPSNONPILOT/Tender/SplashBidNoticeAbstractUI.aspx?menuIndex=3&amp;refID=7043841&amp;Result=3","7043841")</f>
        <v>0</v>
      </c>
      <c r="B3351" t="s">
        <v>1186</v>
      </c>
      <c r="C3351" t="s">
        <v>6393</v>
      </c>
      <c r="D3351" t="s">
        <v>18066</v>
      </c>
      <c r="E3351" t="s">
        <v>18379</v>
      </c>
      <c r="F3351" t="s">
        <v>31574</v>
      </c>
      <c r="G3351" t="s">
        <v>31582</v>
      </c>
      <c r="H3351" t="s">
        <v>31591</v>
      </c>
      <c r="I3351" t="s">
        <v>8822</v>
      </c>
      <c r="J3351" t="s">
        <v>34016</v>
      </c>
      <c r="K3351" t="s">
        <v>41240</v>
      </c>
      <c r="M3351" t="s">
        <v>42745</v>
      </c>
      <c r="N3351" t="s">
        <v>45095</v>
      </c>
      <c r="O3351" t="s">
        <v>45096</v>
      </c>
      <c r="P3351">
        <v>0</v>
      </c>
      <c r="Q3351">
        <v>0</v>
      </c>
      <c r="R3351" t="s">
        <v>45099</v>
      </c>
      <c r="S3351" t="s">
        <v>45226</v>
      </c>
      <c r="T3351" t="s">
        <v>46977</v>
      </c>
      <c r="U3351" t="s">
        <v>50310</v>
      </c>
      <c r="W3351" t="s">
        <v>42745</v>
      </c>
      <c r="X3351" t="s">
        <v>45100</v>
      </c>
    </row>
    <row r="3352" spans="1:24">
      <c r="A3352">
        <f>HYPERLINK("https://www.philgeps.gov.ph/GEPSNONPILOT/Tender/SplashBidNoticeAbstractUI.aspx?menuIndex=3&amp;refID=7043855&amp;Result=3","7043855")</f>
        <v>0</v>
      </c>
      <c r="B3352" t="s">
        <v>1187</v>
      </c>
      <c r="C3352" t="s">
        <v>6394</v>
      </c>
      <c r="E3352" t="s">
        <v>21163</v>
      </c>
      <c r="F3352" t="s">
        <v>31574</v>
      </c>
      <c r="G3352" t="s">
        <v>31583</v>
      </c>
      <c r="H3352" t="s">
        <v>31590</v>
      </c>
      <c r="I3352" t="s">
        <v>8056</v>
      </c>
      <c r="J3352" t="s">
        <v>34017</v>
      </c>
      <c r="K3352" t="s">
        <v>41184</v>
      </c>
      <c r="M3352" t="s">
        <v>42746</v>
      </c>
      <c r="N3352" t="s">
        <v>45095</v>
      </c>
      <c r="O3352" t="s">
        <v>45096</v>
      </c>
      <c r="P3352">
        <v>0</v>
      </c>
      <c r="Q3352">
        <v>2</v>
      </c>
      <c r="R3352" t="s">
        <v>45099</v>
      </c>
      <c r="S3352" t="s">
        <v>45226</v>
      </c>
      <c r="T3352" t="s">
        <v>47158</v>
      </c>
      <c r="U3352" t="s">
        <v>50311</v>
      </c>
      <c r="V3352" t="s">
        <v>60177</v>
      </c>
      <c r="W3352" t="s">
        <v>61692</v>
      </c>
      <c r="X3352" t="s">
        <v>45100</v>
      </c>
    </row>
    <row r="3353" spans="1:24">
      <c r="A3353">
        <f>HYPERLINK("https://www.philgeps.gov.ph/GEPSNONPILOT/Tender/SplashBidNoticeAbstractUI.aspx?menuIndex=3&amp;refID=7043825&amp;Result=3","7043825")</f>
        <v>0</v>
      </c>
      <c r="B3353" t="s">
        <v>1188</v>
      </c>
      <c r="C3353" t="s">
        <v>6395</v>
      </c>
      <c r="D3353" t="s">
        <v>18058</v>
      </c>
      <c r="E3353" t="s">
        <v>21164</v>
      </c>
      <c r="F3353" t="s">
        <v>31574</v>
      </c>
      <c r="G3353" t="s">
        <v>31583</v>
      </c>
      <c r="H3353" t="s">
        <v>31590</v>
      </c>
      <c r="I3353" t="s">
        <v>31602</v>
      </c>
      <c r="J3353" t="s">
        <v>34018</v>
      </c>
      <c r="K3353" t="s">
        <v>41196</v>
      </c>
      <c r="M3353" t="s">
        <v>42747</v>
      </c>
      <c r="N3353" t="s">
        <v>45095</v>
      </c>
      <c r="O3353" t="s">
        <v>45096</v>
      </c>
      <c r="P3353">
        <v>0</v>
      </c>
      <c r="Q3353">
        <v>0</v>
      </c>
      <c r="R3353" t="s">
        <v>45099</v>
      </c>
      <c r="S3353" t="s">
        <v>45226</v>
      </c>
      <c r="T3353" t="s">
        <v>47159</v>
      </c>
      <c r="U3353" t="s">
        <v>50312</v>
      </c>
      <c r="W3353" t="s">
        <v>42747</v>
      </c>
      <c r="X3353" t="s">
        <v>45100</v>
      </c>
    </row>
    <row r="3354" spans="1:24">
      <c r="A3354">
        <f>HYPERLINK("https://www.philgeps.gov.ph/GEPSNONPILOT/Tender/SplashBidNoticeAbstractUI.aspx?menuIndex=3&amp;refID=7043845&amp;Result=3","7043845")</f>
        <v>0</v>
      </c>
      <c r="B3354" t="s">
        <v>1078</v>
      </c>
      <c r="C3354" t="s">
        <v>3965</v>
      </c>
      <c r="E3354" t="s">
        <v>21165</v>
      </c>
      <c r="F3354" t="s">
        <v>31575</v>
      </c>
      <c r="G3354" t="s">
        <v>31581</v>
      </c>
      <c r="H3354" t="s">
        <v>31590</v>
      </c>
      <c r="I3354" t="s">
        <v>4327</v>
      </c>
      <c r="J3354" t="s">
        <v>34019</v>
      </c>
      <c r="K3354" t="s">
        <v>41213</v>
      </c>
      <c r="M3354" t="s">
        <v>42625</v>
      </c>
      <c r="N3354" t="s">
        <v>45095</v>
      </c>
      <c r="O3354" t="s">
        <v>45096</v>
      </c>
      <c r="P3354">
        <v>0</v>
      </c>
      <c r="Q3354">
        <v>2</v>
      </c>
      <c r="R3354" t="s">
        <v>45099</v>
      </c>
      <c r="S3354" t="s">
        <v>45226</v>
      </c>
      <c r="T3354" t="s">
        <v>46952</v>
      </c>
      <c r="U3354" t="s">
        <v>50313</v>
      </c>
      <c r="W3354" t="s">
        <v>42625</v>
      </c>
      <c r="X3354" t="s">
        <v>45100</v>
      </c>
    </row>
    <row r="3355" spans="1:24">
      <c r="A3355">
        <f>HYPERLINK("https://www.philgeps.gov.ph/GEPSNONPILOT/Tender/SplashBidNoticeAbstractUI.aspx?menuIndex=3&amp;refID=7043859&amp;Result=3","7043859")</f>
        <v>0</v>
      </c>
      <c r="B3355" t="s">
        <v>96</v>
      </c>
      <c r="C3355" t="s">
        <v>6396</v>
      </c>
      <c r="E3355" t="s">
        <v>21166</v>
      </c>
      <c r="F3355" t="s">
        <v>31574</v>
      </c>
      <c r="G3355" t="s">
        <v>31582</v>
      </c>
      <c r="H3355" t="s">
        <v>31591</v>
      </c>
      <c r="I3355" t="s">
        <v>31627</v>
      </c>
      <c r="J3355" t="s">
        <v>31771</v>
      </c>
      <c r="K3355" t="s">
        <v>41192</v>
      </c>
      <c r="M3355" t="s">
        <v>41580</v>
      </c>
      <c r="N3355" t="s">
        <v>45095</v>
      </c>
      <c r="O3355" t="s">
        <v>45096</v>
      </c>
      <c r="P3355">
        <v>0</v>
      </c>
      <c r="Q3355">
        <v>0</v>
      </c>
      <c r="R3355" t="s">
        <v>45099</v>
      </c>
      <c r="S3355" t="s">
        <v>45226</v>
      </c>
      <c r="T3355" t="s">
        <v>46987</v>
      </c>
      <c r="U3355" t="s">
        <v>47674</v>
      </c>
      <c r="W3355" t="s">
        <v>41580</v>
      </c>
      <c r="X3355" t="s">
        <v>45100</v>
      </c>
    </row>
    <row r="3356" spans="1:24">
      <c r="A3356">
        <f>HYPERLINK("https://www.philgeps.gov.ph/GEPSNONPILOT/Tender/SplashBidNoticeAbstractUI.aspx?menuIndex=3&amp;refID=7043775&amp;Result=3","7043775")</f>
        <v>0</v>
      </c>
      <c r="B3356" t="s">
        <v>1189</v>
      </c>
      <c r="C3356" t="s">
        <v>6397</v>
      </c>
      <c r="D3356" t="s">
        <v>18094</v>
      </c>
      <c r="E3356" t="s">
        <v>21167</v>
      </c>
      <c r="F3356" t="s">
        <v>31574</v>
      </c>
      <c r="G3356" t="s">
        <v>31581</v>
      </c>
      <c r="H3356" t="s">
        <v>31590</v>
      </c>
      <c r="I3356" t="s">
        <v>4046</v>
      </c>
      <c r="J3356" t="s">
        <v>34020</v>
      </c>
      <c r="K3356" t="s">
        <v>41193</v>
      </c>
      <c r="M3356" t="s">
        <v>42748</v>
      </c>
      <c r="N3356" t="s">
        <v>45095</v>
      </c>
      <c r="O3356" t="s">
        <v>45096</v>
      </c>
      <c r="P3356">
        <v>0</v>
      </c>
      <c r="Q3356">
        <v>0</v>
      </c>
      <c r="R3356" t="s">
        <v>45099</v>
      </c>
      <c r="S3356" t="s">
        <v>45226</v>
      </c>
      <c r="T3356" t="s">
        <v>47050</v>
      </c>
      <c r="U3356" t="s">
        <v>50314</v>
      </c>
      <c r="W3356" t="s">
        <v>42748</v>
      </c>
      <c r="X3356" t="s">
        <v>45100</v>
      </c>
    </row>
    <row r="3357" spans="1:24">
      <c r="A3357">
        <f>HYPERLINK("https://www.philgeps.gov.ph/GEPSNONPILOT/Tender/SplashBidNoticeAbstractUI.aspx?menuIndex=3&amp;refID=7043837&amp;Result=3","7043837")</f>
        <v>0</v>
      </c>
      <c r="B3357" t="s">
        <v>1078</v>
      </c>
      <c r="C3357" t="s">
        <v>6398</v>
      </c>
      <c r="E3357" t="s">
        <v>21168</v>
      </c>
      <c r="F3357" t="s">
        <v>31575</v>
      </c>
      <c r="G3357" t="s">
        <v>31581</v>
      </c>
      <c r="H3357" t="s">
        <v>31590</v>
      </c>
      <c r="I3357" t="s">
        <v>5717</v>
      </c>
      <c r="J3357" t="s">
        <v>31947</v>
      </c>
      <c r="K3357" t="s">
        <v>41190</v>
      </c>
      <c r="M3357" t="s">
        <v>42625</v>
      </c>
      <c r="N3357" t="s">
        <v>45095</v>
      </c>
      <c r="O3357" t="s">
        <v>45096</v>
      </c>
      <c r="P3357">
        <v>0</v>
      </c>
      <c r="Q3357">
        <v>7</v>
      </c>
      <c r="R3357" t="s">
        <v>45099</v>
      </c>
      <c r="S3357" t="s">
        <v>45226</v>
      </c>
      <c r="T3357" t="s">
        <v>46952</v>
      </c>
      <c r="U3357" t="s">
        <v>50315</v>
      </c>
      <c r="W3357" t="s">
        <v>42625</v>
      </c>
      <c r="X3357" t="s">
        <v>45100</v>
      </c>
    </row>
    <row r="3358" spans="1:24">
      <c r="A3358">
        <f>HYPERLINK("https://www.philgeps.gov.ph/GEPSNONPILOT/Tender/SplashBidNoticeAbstractUI.aspx?menuIndex=3&amp;refID=7043858&amp;Result=3","7043858")</f>
        <v>0</v>
      </c>
      <c r="B3358" t="s">
        <v>1187</v>
      </c>
      <c r="C3358" t="s">
        <v>6399</v>
      </c>
      <c r="D3358" t="s">
        <v>18093</v>
      </c>
      <c r="E3358" t="s">
        <v>21169</v>
      </c>
      <c r="F3358" t="s">
        <v>31574</v>
      </c>
      <c r="G3358" t="s">
        <v>31583</v>
      </c>
      <c r="H3358" t="s">
        <v>31590</v>
      </c>
      <c r="I3358" t="s">
        <v>31653</v>
      </c>
      <c r="J3358" t="s">
        <v>32497</v>
      </c>
      <c r="K3358" t="s">
        <v>41184</v>
      </c>
      <c r="M3358" t="s">
        <v>42746</v>
      </c>
      <c r="N3358" t="s">
        <v>45095</v>
      </c>
      <c r="O3358" t="s">
        <v>45096</v>
      </c>
      <c r="P3358">
        <v>0</v>
      </c>
      <c r="Q3358">
        <v>0</v>
      </c>
      <c r="R3358" t="s">
        <v>45099</v>
      </c>
      <c r="S3358" t="s">
        <v>45226</v>
      </c>
      <c r="T3358" t="s">
        <v>47158</v>
      </c>
      <c r="U3358" t="s">
        <v>50311</v>
      </c>
      <c r="V3358" t="s">
        <v>60177</v>
      </c>
      <c r="W3358" t="s">
        <v>61692</v>
      </c>
      <c r="X3358" t="s">
        <v>45100</v>
      </c>
    </row>
    <row r="3359" spans="1:24">
      <c r="A3359">
        <f>HYPERLINK("https://www.philgeps.gov.ph/GEPSNONPILOT/Tender/SplashBidNoticeAbstractUI.aspx?menuIndex=3&amp;refID=7043821&amp;Result=3","7043821")</f>
        <v>0</v>
      </c>
      <c r="B3359" t="s">
        <v>1185</v>
      </c>
      <c r="C3359" t="s">
        <v>6400</v>
      </c>
      <c r="D3359" t="s">
        <v>18053</v>
      </c>
      <c r="E3359" t="s">
        <v>18227</v>
      </c>
      <c r="F3359" t="s">
        <v>31574</v>
      </c>
      <c r="G3359" t="s">
        <v>31582</v>
      </c>
      <c r="H3359" t="s">
        <v>31591</v>
      </c>
      <c r="I3359" t="s">
        <v>4046</v>
      </c>
      <c r="J3359" t="s">
        <v>34021</v>
      </c>
      <c r="K3359" t="s">
        <v>41193</v>
      </c>
      <c r="M3359" t="s">
        <v>42744</v>
      </c>
      <c r="N3359" t="s">
        <v>45095</v>
      </c>
      <c r="O3359" t="s">
        <v>45096</v>
      </c>
      <c r="P3359">
        <v>0</v>
      </c>
      <c r="Q3359">
        <v>0</v>
      </c>
      <c r="R3359" t="s">
        <v>45099</v>
      </c>
      <c r="S3359" t="s">
        <v>45226</v>
      </c>
      <c r="T3359" t="s">
        <v>47004</v>
      </c>
      <c r="U3359" t="s">
        <v>50316</v>
      </c>
      <c r="W3359" t="s">
        <v>42744</v>
      </c>
      <c r="X3359" t="s">
        <v>45100</v>
      </c>
    </row>
    <row r="3360" spans="1:24">
      <c r="A3360">
        <f>HYPERLINK("https://www.philgeps.gov.ph/GEPSNONPILOT/Tender/SplashBidNoticeAbstractUI.aspx?menuIndex=3&amp;refID=7043849&amp;Result=3","7043849")</f>
        <v>0</v>
      </c>
      <c r="B3360" t="s">
        <v>1190</v>
      </c>
      <c r="C3360" t="s">
        <v>6401</v>
      </c>
      <c r="E3360" t="s">
        <v>18448</v>
      </c>
      <c r="F3360" t="s">
        <v>31575</v>
      </c>
      <c r="G3360" t="s">
        <v>31582</v>
      </c>
      <c r="H3360" t="s">
        <v>31590</v>
      </c>
      <c r="I3360" t="s">
        <v>31612</v>
      </c>
      <c r="J3360" t="s">
        <v>33555</v>
      </c>
      <c r="K3360" t="s">
        <v>41184</v>
      </c>
      <c r="M3360" t="s">
        <v>42749</v>
      </c>
      <c r="N3360" t="s">
        <v>45095</v>
      </c>
      <c r="O3360" t="s">
        <v>45096</v>
      </c>
      <c r="P3360">
        <v>0</v>
      </c>
      <c r="Q3360">
        <v>0</v>
      </c>
      <c r="R3360" t="s">
        <v>45099</v>
      </c>
      <c r="S3360" t="s">
        <v>45226</v>
      </c>
      <c r="T3360" t="s">
        <v>46977</v>
      </c>
      <c r="U3360" t="s">
        <v>50317</v>
      </c>
      <c r="W3360" t="s">
        <v>42749</v>
      </c>
      <c r="X3360" t="s">
        <v>45100</v>
      </c>
    </row>
    <row r="3361" spans="1:24">
      <c r="A3361">
        <f>HYPERLINK("https://www.philgeps.gov.ph/GEPSNONPILOT/Tender/SplashBidNoticeAbstractUI.aspx?menuIndex=3&amp;refID=7043865&amp;Result=3","7043865")</f>
        <v>0</v>
      </c>
      <c r="B3361" t="s">
        <v>1191</v>
      </c>
      <c r="C3361" t="s">
        <v>6402</v>
      </c>
      <c r="D3361" t="s">
        <v>18084</v>
      </c>
      <c r="E3361" t="s">
        <v>21170</v>
      </c>
      <c r="F3361" t="s">
        <v>31575</v>
      </c>
      <c r="G3361" t="s">
        <v>31582</v>
      </c>
      <c r="H3361" t="s">
        <v>31590</v>
      </c>
      <c r="I3361" t="s">
        <v>3520</v>
      </c>
      <c r="J3361" t="s">
        <v>34022</v>
      </c>
      <c r="K3361" t="s">
        <v>41184</v>
      </c>
      <c r="M3361" t="s">
        <v>42750</v>
      </c>
      <c r="N3361" t="s">
        <v>45095</v>
      </c>
      <c r="O3361" t="s">
        <v>45096</v>
      </c>
      <c r="P3361">
        <v>0</v>
      </c>
      <c r="Q3361">
        <v>1</v>
      </c>
      <c r="R3361" t="s">
        <v>45099</v>
      </c>
      <c r="S3361" t="s">
        <v>45226</v>
      </c>
      <c r="T3361" t="s">
        <v>47093</v>
      </c>
      <c r="U3361" t="s">
        <v>50318</v>
      </c>
      <c r="W3361" t="s">
        <v>42750</v>
      </c>
      <c r="X3361" t="s">
        <v>45100</v>
      </c>
    </row>
    <row r="3362" spans="1:24">
      <c r="A3362">
        <f>HYPERLINK("https://www.philgeps.gov.ph/GEPSNONPILOT/Tender/SplashBidNoticeAbstractUI.aspx?menuIndex=3&amp;refID=7043866&amp;Result=3","7043866")</f>
        <v>0</v>
      </c>
      <c r="B3362" t="s">
        <v>1187</v>
      </c>
      <c r="C3362" t="s">
        <v>6403</v>
      </c>
      <c r="D3362" t="s">
        <v>18093</v>
      </c>
      <c r="E3362" t="s">
        <v>21171</v>
      </c>
      <c r="F3362" t="s">
        <v>31574</v>
      </c>
      <c r="G3362" t="s">
        <v>31583</v>
      </c>
      <c r="H3362" t="s">
        <v>31590</v>
      </c>
      <c r="I3362" t="s">
        <v>6800</v>
      </c>
      <c r="J3362" t="s">
        <v>34023</v>
      </c>
      <c r="K3362" t="s">
        <v>41184</v>
      </c>
      <c r="M3362" t="s">
        <v>42746</v>
      </c>
      <c r="N3362" t="s">
        <v>45095</v>
      </c>
      <c r="O3362" t="s">
        <v>45096</v>
      </c>
      <c r="P3362">
        <v>0</v>
      </c>
      <c r="Q3362">
        <v>1</v>
      </c>
      <c r="R3362" t="s">
        <v>45099</v>
      </c>
      <c r="S3362" t="s">
        <v>45226</v>
      </c>
      <c r="T3362" t="s">
        <v>47158</v>
      </c>
      <c r="U3362" t="s">
        <v>50311</v>
      </c>
      <c r="V3362" t="s">
        <v>60177</v>
      </c>
      <c r="W3362" t="s">
        <v>61692</v>
      </c>
      <c r="X3362" t="s">
        <v>45100</v>
      </c>
    </row>
    <row r="3363" spans="1:24">
      <c r="A3363">
        <f>HYPERLINK("https://www.philgeps.gov.ph/GEPSNONPILOT/Tender/SplashBidNoticeAbstractUI.aspx?menuIndex=3&amp;refID=7043861&amp;Result=3","7043861")</f>
        <v>0</v>
      </c>
      <c r="B3363" t="s">
        <v>1187</v>
      </c>
      <c r="C3363" t="s">
        <v>6404</v>
      </c>
      <c r="D3363" t="s">
        <v>18093</v>
      </c>
      <c r="E3363" t="s">
        <v>21172</v>
      </c>
      <c r="F3363" t="s">
        <v>31574</v>
      </c>
      <c r="G3363" t="s">
        <v>31583</v>
      </c>
      <c r="H3363" t="s">
        <v>31590</v>
      </c>
      <c r="I3363" t="s">
        <v>31598</v>
      </c>
      <c r="J3363" t="s">
        <v>34024</v>
      </c>
      <c r="K3363" t="s">
        <v>41184</v>
      </c>
      <c r="M3363" t="s">
        <v>42746</v>
      </c>
      <c r="N3363" t="s">
        <v>45095</v>
      </c>
      <c r="O3363" t="s">
        <v>45096</v>
      </c>
      <c r="P3363">
        <v>0</v>
      </c>
      <c r="Q3363">
        <v>3</v>
      </c>
      <c r="R3363" t="s">
        <v>45099</v>
      </c>
      <c r="S3363" t="s">
        <v>45226</v>
      </c>
      <c r="T3363" t="s">
        <v>47158</v>
      </c>
      <c r="U3363" t="s">
        <v>50311</v>
      </c>
      <c r="V3363" t="s">
        <v>60177</v>
      </c>
      <c r="W3363" t="s">
        <v>61692</v>
      </c>
      <c r="X3363" t="s">
        <v>45100</v>
      </c>
    </row>
    <row r="3364" spans="1:24">
      <c r="A3364">
        <f>HYPERLINK("https://www.philgeps.gov.ph/GEPSNONPILOT/Tender/SplashBidNoticeAbstractUI.aspx?menuIndex=3&amp;refID=7043873&amp;Result=3","7043873")</f>
        <v>0</v>
      </c>
      <c r="B3364" t="s">
        <v>1192</v>
      </c>
      <c r="C3364" t="s">
        <v>6405</v>
      </c>
      <c r="D3364" t="s">
        <v>18022</v>
      </c>
      <c r="E3364" t="s">
        <v>18137</v>
      </c>
      <c r="F3364" t="s">
        <v>31574</v>
      </c>
      <c r="G3364" t="s">
        <v>31583</v>
      </c>
      <c r="H3364" t="s">
        <v>31590</v>
      </c>
      <c r="I3364" t="s">
        <v>5717</v>
      </c>
      <c r="J3364" t="s">
        <v>34025</v>
      </c>
      <c r="K3364" t="s">
        <v>41211</v>
      </c>
      <c r="M3364" t="s">
        <v>42751</v>
      </c>
      <c r="N3364" t="s">
        <v>45095</v>
      </c>
      <c r="O3364" t="s">
        <v>45096</v>
      </c>
      <c r="P3364">
        <v>0</v>
      </c>
      <c r="Q3364">
        <v>2</v>
      </c>
      <c r="R3364" t="s">
        <v>45099</v>
      </c>
      <c r="S3364" t="s">
        <v>45226</v>
      </c>
      <c r="T3364" t="s">
        <v>46911</v>
      </c>
      <c r="U3364" t="s">
        <v>50319</v>
      </c>
      <c r="W3364" t="s">
        <v>42751</v>
      </c>
      <c r="X3364" t="s">
        <v>45100</v>
      </c>
    </row>
    <row r="3365" spans="1:24">
      <c r="A3365">
        <f>HYPERLINK("https://www.philgeps.gov.ph/GEPSNONPILOT/Tender/SplashBidNoticeAbstractUI.aspx?menuIndex=3&amp;refID=7043885&amp;Result=3","7043885")</f>
        <v>0</v>
      </c>
      <c r="B3365" t="s">
        <v>1184</v>
      </c>
      <c r="C3365" t="s">
        <v>6406</v>
      </c>
      <c r="D3365" t="s">
        <v>18022</v>
      </c>
      <c r="E3365" t="s">
        <v>21161</v>
      </c>
      <c r="F3365" t="s">
        <v>31574</v>
      </c>
      <c r="G3365" t="s">
        <v>31582</v>
      </c>
      <c r="H3365" t="s">
        <v>31592</v>
      </c>
      <c r="I3365" t="s">
        <v>31654</v>
      </c>
      <c r="J3365" t="s">
        <v>34026</v>
      </c>
      <c r="K3365" t="s">
        <v>41186</v>
      </c>
      <c r="M3365" t="s">
        <v>42743</v>
      </c>
      <c r="N3365" t="s">
        <v>45095</v>
      </c>
      <c r="O3365" t="s">
        <v>45096</v>
      </c>
      <c r="P3365">
        <v>0</v>
      </c>
      <c r="Q3365">
        <v>1</v>
      </c>
      <c r="R3365" t="s">
        <v>45099</v>
      </c>
      <c r="S3365" t="s">
        <v>45226</v>
      </c>
      <c r="T3365" t="s">
        <v>47010</v>
      </c>
      <c r="U3365" t="s">
        <v>50320</v>
      </c>
      <c r="V3365" t="s">
        <v>60178</v>
      </c>
      <c r="W3365" t="s">
        <v>42743</v>
      </c>
      <c r="X3365" t="s">
        <v>45100</v>
      </c>
    </row>
    <row r="3366" spans="1:24">
      <c r="A3366">
        <f>HYPERLINK("https://www.philgeps.gov.ph/GEPSNONPILOT/Tender/SplashBidNoticeAbstractUI.aspx?menuIndex=3&amp;refID=7043868&amp;Result=3","7043868")</f>
        <v>0</v>
      </c>
      <c r="B3366" t="s">
        <v>1187</v>
      </c>
      <c r="C3366" t="s">
        <v>6407</v>
      </c>
      <c r="D3366" t="s">
        <v>18093</v>
      </c>
      <c r="E3366" t="s">
        <v>21173</v>
      </c>
      <c r="F3366" t="s">
        <v>31574</v>
      </c>
      <c r="G3366" t="s">
        <v>31583</v>
      </c>
      <c r="H3366" t="s">
        <v>31590</v>
      </c>
      <c r="I3366" t="s">
        <v>31620</v>
      </c>
      <c r="J3366" t="s">
        <v>32028</v>
      </c>
      <c r="K3366" t="s">
        <v>41184</v>
      </c>
      <c r="M3366" t="s">
        <v>42746</v>
      </c>
      <c r="N3366" t="s">
        <v>45095</v>
      </c>
      <c r="O3366" t="s">
        <v>45096</v>
      </c>
      <c r="P3366">
        <v>0</v>
      </c>
      <c r="Q3366">
        <v>5</v>
      </c>
      <c r="R3366" t="s">
        <v>45099</v>
      </c>
      <c r="S3366" t="s">
        <v>45226</v>
      </c>
      <c r="T3366" t="s">
        <v>47160</v>
      </c>
      <c r="U3366" t="s">
        <v>50311</v>
      </c>
      <c r="V3366" t="s">
        <v>60177</v>
      </c>
      <c r="W3366" t="s">
        <v>61692</v>
      </c>
      <c r="X3366" t="s">
        <v>45100</v>
      </c>
    </row>
    <row r="3367" spans="1:24">
      <c r="A3367">
        <f>HYPERLINK("https://www.philgeps.gov.ph/GEPSNONPILOT/Tender/SplashBidNoticeAbstractUI.aspx?menuIndex=3&amp;refID=7043881&amp;Result=3","7043881")</f>
        <v>0</v>
      </c>
      <c r="B3367" t="s">
        <v>1193</v>
      </c>
      <c r="C3367" t="s">
        <v>6408</v>
      </c>
      <c r="D3367" t="s">
        <v>18035</v>
      </c>
      <c r="E3367" t="s">
        <v>21174</v>
      </c>
      <c r="F3367" t="s">
        <v>31574</v>
      </c>
      <c r="G3367" t="s">
        <v>31581</v>
      </c>
      <c r="H3367" t="s">
        <v>31591</v>
      </c>
      <c r="I3367" t="s">
        <v>8822</v>
      </c>
      <c r="J3367" t="s">
        <v>34027</v>
      </c>
      <c r="K3367" t="s">
        <v>41184</v>
      </c>
      <c r="M3367" t="s">
        <v>42752</v>
      </c>
      <c r="N3367" t="s">
        <v>45095</v>
      </c>
      <c r="O3367" t="s">
        <v>45096</v>
      </c>
      <c r="P3367">
        <v>0</v>
      </c>
      <c r="Q3367">
        <v>0</v>
      </c>
      <c r="R3367" t="s">
        <v>45099</v>
      </c>
      <c r="S3367" t="s">
        <v>45226</v>
      </c>
      <c r="T3367" t="s">
        <v>47067</v>
      </c>
      <c r="U3367" t="s">
        <v>50321</v>
      </c>
      <c r="W3367" t="s">
        <v>42752</v>
      </c>
      <c r="X3367" t="s">
        <v>45100</v>
      </c>
    </row>
    <row r="3368" spans="1:24">
      <c r="A3368">
        <f>HYPERLINK("https://www.philgeps.gov.ph/GEPSNONPILOT/Tender/SplashBidNoticeAbstractUI.aspx?menuIndex=3&amp;refID=7043879&amp;Result=3","7043879")</f>
        <v>0</v>
      </c>
      <c r="B3368" t="s">
        <v>1194</v>
      </c>
      <c r="C3368" t="s">
        <v>6409</v>
      </c>
      <c r="D3368" t="s">
        <v>18065</v>
      </c>
      <c r="E3368" t="s">
        <v>21175</v>
      </c>
      <c r="F3368" t="s">
        <v>31574</v>
      </c>
      <c r="G3368" t="s">
        <v>31584</v>
      </c>
      <c r="H3368" t="s">
        <v>31590</v>
      </c>
      <c r="I3368" t="s">
        <v>31608</v>
      </c>
      <c r="J3368" t="s">
        <v>34028</v>
      </c>
      <c r="K3368" t="s">
        <v>41184</v>
      </c>
      <c r="M3368" t="s">
        <v>42753</v>
      </c>
      <c r="N3368" t="s">
        <v>45095</v>
      </c>
      <c r="O3368" t="s">
        <v>45096</v>
      </c>
      <c r="P3368">
        <v>0</v>
      </c>
      <c r="Q3368">
        <v>2</v>
      </c>
      <c r="R3368" t="s">
        <v>45099</v>
      </c>
      <c r="S3368" t="s">
        <v>45226</v>
      </c>
      <c r="T3368" t="s">
        <v>46963</v>
      </c>
      <c r="U3368" t="s">
        <v>50322</v>
      </c>
      <c r="W3368" t="s">
        <v>42753</v>
      </c>
      <c r="X3368" t="s">
        <v>45100</v>
      </c>
    </row>
    <row r="3369" spans="1:24">
      <c r="A3369">
        <f>HYPERLINK("https://www.philgeps.gov.ph/GEPSNONPILOT/Tender/SplashBidNoticeAbstractUI.aspx?menuIndex=3&amp;refID=7043899&amp;Result=3","7043899")</f>
        <v>0</v>
      </c>
      <c r="B3369" t="s">
        <v>1184</v>
      </c>
      <c r="C3369" t="s">
        <v>6410</v>
      </c>
      <c r="D3369" t="s">
        <v>18022</v>
      </c>
      <c r="E3369" t="s">
        <v>21161</v>
      </c>
      <c r="F3369" t="s">
        <v>31574</v>
      </c>
      <c r="G3369" t="s">
        <v>31582</v>
      </c>
      <c r="H3369" t="s">
        <v>31592</v>
      </c>
      <c r="I3369" t="s">
        <v>3487</v>
      </c>
      <c r="J3369" t="s">
        <v>32969</v>
      </c>
      <c r="K3369" t="s">
        <v>41186</v>
      </c>
      <c r="M3369" t="s">
        <v>42743</v>
      </c>
      <c r="N3369" t="s">
        <v>45095</v>
      </c>
      <c r="O3369" t="s">
        <v>45096</v>
      </c>
      <c r="P3369">
        <v>0</v>
      </c>
      <c r="Q3369">
        <v>5</v>
      </c>
      <c r="R3369" t="s">
        <v>45099</v>
      </c>
      <c r="S3369" t="s">
        <v>45226</v>
      </c>
      <c r="T3369" t="s">
        <v>47138</v>
      </c>
      <c r="U3369" t="s">
        <v>50323</v>
      </c>
      <c r="V3369" t="s">
        <v>60179</v>
      </c>
      <c r="W3369" t="s">
        <v>42743</v>
      </c>
      <c r="X3369" t="s">
        <v>45100</v>
      </c>
    </row>
    <row r="3370" spans="1:24">
      <c r="A3370">
        <f>HYPERLINK("https://www.philgeps.gov.ph/GEPSNONPILOT/Tender/SplashBidNoticeAbstractUI.aspx?menuIndex=3&amp;refID=7043895&amp;Result=3","7043895")</f>
        <v>0</v>
      </c>
      <c r="B3370" t="s">
        <v>1184</v>
      </c>
      <c r="C3370" t="s">
        <v>6411</v>
      </c>
      <c r="D3370" t="s">
        <v>18022</v>
      </c>
      <c r="E3370" t="s">
        <v>21161</v>
      </c>
      <c r="F3370" t="s">
        <v>31574</v>
      </c>
      <c r="G3370" t="s">
        <v>31582</v>
      </c>
      <c r="H3370" t="s">
        <v>31592</v>
      </c>
      <c r="I3370" t="s">
        <v>3487</v>
      </c>
      <c r="J3370" t="s">
        <v>31947</v>
      </c>
      <c r="K3370" t="s">
        <v>41186</v>
      </c>
      <c r="M3370" t="s">
        <v>42743</v>
      </c>
      <c r="N3370" t="s">
        <v>45095</v>
      </c>
      <c r="O3370" t="s">
        <v>45096</v>
      </c>
      <c r="P3370">
        <v>0</v>
      </c>
      <c r="Q3370">
        <v>1</v>
      </c>
      <c r="R3370" t="s">
        <v>45099</v>
      </c>
      <c r="S3370" t="s">
        <v>45226</v>
      </c>
      <c r="T3370" t="s">
        <v>46977</v>
      </c>
      <c r="U3370" t="s">
        <v>50324</v>
      </c>
      <c r="V3370" t="s">
        <v>60180</v>
      </c>
      <c r="W3370" t="s">
        <v>42743</v>
      </c>
      <c r="X3370" t="s">
        <v>45100</v>
      </c>
    </row>
    <row r="3371" spans="1:24">
      <c r="A3371">
        <f>HYPERLINK("https://www.philgeps.gov.ph/GEPSNONPILOT/Tender/SplashBidNoticeAbstractUI.aspx?menuIndex=3&amp;refID=7043896&amp;Result=3","7043896")</f>
        <v>0</v>
      </c>
      <c r="B3371" t="s">
        <v>458</v>
      </c>
      <c r="C3371" t="s">
        <v>6412</v>
      </c>
      <c r="D3371" t="s">
        <v>18045</v>
      </c>
      <c r="E3371" t="s">
        <v>21176</v>
      </c>
      <c r="F3371" t="s">
        <v>31574</v>
      </c>
      <c r="G3371" t="s">
        <v>31583</v>
      </c>
      <c r="H3371" t="s">
        <v>31590</v>
      </c>
      <c r="I3371" t="s">
        <v>31693</v>
      </c>
      <c r="J3371" t="s">
        <v>31782</v>
      </c>
      <c r="K3371" t="s">
        <v>41211</v>
      </c>
      <c r="M3371" t="s">
        <v>41952</v>
      </c>
      <c r="N3371" t="s">
        <v>45095</v>
      </c>
      <c r="O3371" t="s">
        <v>45096</v>
      </c>
      <c r="P3371">
        <v>0</v>
      </c>
      <c r="Q3371">
        <v>1</v>
      </c>
      <c r="R3371" t="s">
        <v>45099</v>
      </c>
      <c r="S3371" t="s">
        <v>45226</v>
      </c>
      <c r="T3371" t="s">
        <v>47067</v>
      </c>
      <c r="U3371" t="s">
        <v>50325</v>
      </c>
      <c r="W3371" t="s">
        <v>41952</v>
      </c>
      <c r="X3371" t="s">
        <v>45100</v>
      </c>
    </row>
    <row r="3372" spans="1:24">
      <c r="A3372">
        <f>HYPERLINK("https://www.philgeps.gov.ph/GEPSNONPILOT/Tender/SplashBidNoticeAbstractUI.aspx?menuIndex=3&amp;refID=7043901&amp;Result=3","7043901")</f>
        <v>0</v>
      </c>
      <c r="B3372" t="s">
        <v>1184</v>
      </c>
      <c r="C3372" t="s">
        <v>6413</v>
      </c>
      <c r="D3372" t="s">
        <v>18022</v>
      </c>
      <c r="E3372" t="s">
        <v>21161</v>
      </c>
      <c r="F3372" t="s">
        <v>31574</v>
      </c>
      <c r="G3372" t="s">
        <v>31582</v>
      </c>
      <c r="H3372" t="s">
        <v>31592</v>
      </c>
      <c r="I3372" t="s">
        <v>4354</v>
      </c>
      <c r="J3372" t="s">
        <v>34029</v>
      </c>
      <c r="K3372" t="s">
        <v>41186</v>
      </c>
      <c r="M3372" t="s">
        <v>42743</v>
      </c>
      <c r="N3372" t="s">
        <v>45095</v>
      </c>
      <c r="O3372" t="s">
        <v>45096</v>
      </c>
      <c r="P3372">
        <v>0</v>
      </c>
      <c r="Q3372">
        <v>1</v>
      </c>
      <c r="R3372" t="s">
        <v>45099</v>
      </c>
      <c r="S3372" t="s">
        <v>45226</v>
      </c>
      <c r="T3372" t="s">
        <v>47135</v>
      </c>
      <c r="U3372" t="s">
        <v>50326</v>
      </c>
      <c r="V3372" t="s">
        <v>60181</v>
      </c>
      <c r="W3372" t="s">
        <v>42743</v>
      </c>
      <c r="X3372" t="s">
        <v>45100</v>
      </c>
    </row>
    <row r="3373" spans="1:24">
      <c r="A3373">
        <f>HYPERLINK("https://www.philgeps.gov.ph/GEPSNONPILOT/Tender/SplashBidNoticeAbstractUI.aspx?menuIndex=3&amp;refID=7043893&amp;Result=3","7043893")</f>
        <v>0</v>
      </c>
      <c r="B3373" t="s">
        <v>458</v>
      </c>
      <c r="C3373" t="s">
        <v>6414</v>
      </c>
      <c r="D3373" t="s">
        <v>18045</v>
      </c>
      <c r="E3373" t="s">
        <v>21177</v>
      </c>
      <c r="F3373" t="s">
        <v>31574</v>
      </c>
      <c r="G3373" t="s">
        <v>31581</v>
      </c>
      <c r="H3373" t="s">
        <v>31590</v>
      </c>
      <c r="I3373" t="s">
        <v>3539</v>
      </c>
      <c r="J3373" t="s">
        <v>31927</v>
      </c>
      <c r="K3373" t="s">
        <v>41211</v>
      </c>
      <c r="M3373" t="s">
        <v>41952</v>
      </c>
      <c r="N3373" t="s">
        <v>45095</v>
      </c>
      <c r="O3373" t="s">
        <v>45096</v>
      </c>
      <c r="P3373">
        <v>0</v>
      </c>
      <c r="Q3373">
        <v>0</v>
      </c>
      <c r="R3373" t="s">
        <v>45099</v>
      </c>
      <c r="S3373" t="s">
        <v>45226</v>
      </c>
      <c r="T3373" t="s">
        <v>47067</v>
      </c>
      <c r="U3373" t="s">
        <v>50327</v>
      </c>
      <c r="W3373" t="s">
        <v>41952</v>
      </c>
      <c r="X3373" t="s">
        <v>45100</v>
      </c>
    </row>
    <row r="3374" spans="1:24">
      <c r="A3374">
        <f>HYPERLINK("https://www.philgeps.gov.ph/GEPSNONPILOT/Tender/SplashBidNoticeAbstractUI.aspx?menuIndex=3&amp;refID=7043897&amp;Result=3","7043897")</f>
        <v>0</v>
      </c>
      <c r="B3374" t="s">
        <v>1193</v>
      </c>
      <c r="C3374" t="s">
        <v>6415</v>
      </c>
      <c r="D3374" t="s">
        <v>18035</v>
      </c>
      <c r="E3374" t="s">
        <v>21178</v>
      </c>
      <c r="F3374" t="s">
        <v>31574</v>
      </c>
      <c r="G3374" t="s">
        <v>31581</v>
      </c>
      <c r="H3374" t="s">
        <v>31591</v>
      </c>
      <c r="I3374" t="s">
        <v>8822</v>
      </c>
      <c r="J3374" t="s">
        <v>34030</v>
      </c>
      <c r="K3374" t="s">
        <v>41184</v>
      </c>
      <c r="M3374" t="s">
        <v>42752</v>
      </c>
      <c r="N3374" t="s">
        <v>45095</v>
      </c>
      <c r="O3374" t="s">
        <v>45096</v>
      </c>
      <c r="P3374">
        <v>0</v>
      </c>
      <c r="Q3374">
        <v>0</v>
      </c>
      <c r="R3374" t="s">
        <v>45099</v>
      </c>
      <c r="S3374" t="s">
        <v>45226</v>
      </c>
      <c r="T3374" t="s">
        <v>47067</v>
      </c>
      <c r="U3374" t="s">
        <v>50321</v>
      </c>
      <c r="W3374" t="s">
        <v>42752</v>
      </c>
      <c r="X3374" t="s">
        <v>45100</v>
      </c>
    </row>
    <row r="3375" spans="1:24">
      <c r="A3375">
        <f>HYPERLINK("https://www.philgeps.gov.ph/GEPSNONPILOT/Tender/SplashBidNoticeAbstractUI.aspx?menuIndex=3&amp;refID=7043882&amp;Result=3","7043882")</f>
        <v>0</v>
      </c>
      <c r="B3375" t="s">
        <v>1184</v>
      </c>
      <c r="C3375" t="s">
        <v>6416</v>
      </c>
      <c r="D3375" t="s">
        <v>18022</v>
      </c>
      <c r="E3375" t="s">
        <v>21161</v>
      </c>
      <c r="F3375" t="s">
        <v>31574</v>
      </c>
      <c r="G3375" t="s">
        <v>31582</v>
      </c>
      <c r="H3375" t="s">
        <v>31592</v>
      </c>
      <c r="I3375" t="s">
        <v>3487</v>
      </c>
      <c r="J3375" t="s">
        <v>31789</v>
      </c>
      <c r="K3375" t="s">
        <v>41186</v>
      </c>
      <c r="M3375" t="s">
        <v>42743</v>
      </c>
      <c r="N3375" t="s">
        <v>45095</v>
      </c>
      <c r="O3375" t="s">
        <v>45096</v>
      </c>
      <c r="P3375">
        <v>0</v>
      </c>
      <c r="Q3375">
        <v>0</v>
      </c>
      <c r="R3375" t="s">
        <v>45099</v>
      </c>
      <c r="S3375" t="s">
        <v>45226</v>
      </c>
      <c r="T3375" t="s">
        <v>47161</v>
      </c>
      <c r="U3375" t="s">
        <v>50328</v>
      </c>
      <c r="V3375" t="s">
        <v>60182</v>
      </c>
      <c r="W3375" t="s">
        <v>42743</v>
      </c>
      <c r="X3375" t="s">
        <v>45100</v>
      </c>
    </row>
    <row r="3376" spans="1:24">
      <c r="A3376">
        <f>HYPERLINK("https://www.philgeps.gov.ph/GEPSNONPILOT/Tender/SplashBidNoticeAbstractUI.aspx?menuIndex=3&amp;refID=7043900&amp;Result=3","7043900")</f>
        <v>0</v>
      </c>
      <c r="B3376" t="s">
        <v>1023</v>
      </c>
      <c r="C3376" t="s">
        <v>6417</v>
      </c>
      <c r="E3376" t="s">
        <v>21179</v>
      </c>
      <c r="F3376" t="s">
        <v>31574</v>
      </c>
      <c r="G3376" t="s">
        <v>31581</v>
      </c>
      <c r="H3376" t="s">
        <v>31590</v>
      </c>
      <c r="I3376" t="s">
        <v>31608</v>
      </c>
      <c r="J3376" t="s">
        <v>34031</v>
      </c>
      <c r="K3376" t="s">
        <v>41184</v>
      </c>
      <c r="M3376" t="s">
        <v>42754</v>
      </c>
      <c r="N3376" t="s">
        <v>45095</v>
      </c>
      <c r="O3376" t="s">
        <v>45096</v>
      </c>
      <c r="P3376">
        <v>0</v>
      </c>
      <c r="Q3376">
        <v>5</v>
      </c>
      <c r="R3376" t="s">
        <v>45099</v>
      </c>
      <c r="S3376" t="s">
        <v>45226</v>
      </c>
      <c r="T3376" t="s">
        <v>46985</v>
      </c>
      <c r="U3376" t="s">
        <v>50329</v>
      </c>
      <c r="W3376" t="s">
        <v>61690</v>
      </c>
      <c r="X3376" t="s">
        <v>45100</v>
      </c>
    </row>
    <row r="3377" spans="1:24">
      <c r="A3377">
        <f>HYPERLINK("https://www.philgeps.gov.ph/GEPSNONPILOT/Tender/SplashBidNoticeAbstractUI.aspx?menuIndex=3&amp;refID=7043891&amp;Result=3","7043891")</f>
        <v>0</v>
      </c>
      <c r="B3377" t="s">
        <v>1184</v>
      </c>
      <c r="C3377" t="s">
        <v>6418</v>
      </c>
      <c r="E3377" t="s">
        <v>21161</v>
      </c>
      <c r="F3377" t="s">
        <v>31574</v>
      </c>
      <c r="G3377" t="s">
        <v>31582</v>
      </c>
      <c r="H3377" t="s">
        <v>31592</v>
      </c>
      <c r="I3377" t="s">
        <v>31615</v>
      </c>
      <c r="J3377" t="s">
        <v>31821</v>
      </c>
      <c r="K3377" t="s">
        <v>41186</v>
      </c>
      <c r="M3377" t="s">
        <v>42743</v>
      </c>
      <c r="N3377" t="s">
        <v>45095</v>
      </c>
      <c r="O3377" t="s">
        <v>45096</v>
      </c>
      <c r="P3377">
        <v>0</v>
      </c>
      <c r="Q3377">
        <v>1</v>
      </c>
      <c r="R3377" t="s">
        <v>45099</v>
      </c>
      <c r="S3377" t="s">
        <v>45226</v>
      </c>
      <c r="T3377" t="s">
        <v>47139</v>
      </c>
      <c r="U3377" t="s">
        <v>50330</v>
      </c>
      <c r="V3377" t="s">
        <v>60183</v>
      </c>
      <c r="W3377" t="s">
        <v>42743</v>
      </c>
      <c r="X3377" t="s">
        <v>45100</v>
      </c>
    </row>
    <row r="3378" spans="1:24">
      <c r="A3378">
        <f>HYPERLINK("https://www.philgeps.gov.ph/GEPSNONPILOT/Tender/SplashBidNoticeAbstractUI.aspx?menuIndex=3&amp;refID=7043902&amp;Result=3","7043902")</f>
        <v>0</v>
      </c>
      <c r="B3378" t="s">
        <v>1195</v>
      </c>
      <c r="C3378" t="s">
        <v>6419</v>
      </c>
      <c r="E3378" t="s">
        <v>19061</v>
      </c>
      <c r="F3378" t="s">
        <v>31574</v>
      </c>
      <c r="G3378" t="s">
        <v>31583</v>
      </c>
      <c r="H3378" t="s">
        <v>31590</v>
      </c>
      <c r="I3378" t="s">
        <v>4046</v>
      </c>
      <c r="J3378" t="s">
        <v>31848</v>
      </c>
      <c r="K3378" t="s">
        <v>41211</v>
      </c>
      <c r="M3378" t="s">
        <v>42755</v>
      </c>
      <c r="N3378" t="s">
        <v>45095</v>
      </c>
      <c r="O3378" t="s">
        <v>45096</v>
      </c>
      <c r="P3378">
        <v>0</v>
      </c>
      <c r="Q3378">
        <v>1</v>
      </c>
      <c r="R3378" t="s">
        <v>45099</v>
      </c>
      <c r="S3378" t="s">
        <v>45226</v>
      </c>
      <c r="T3378" t="s">
        <v>47162</v>
      </c>
      <c r="U3378" t="s">
        <v>50331</v>
      </c>
      <c r="W3378" t="s">
        <v>42755</v>
      </c>
      <c r="X3378" t="s">
        <v>45100</v>
      </c>
    </row>
    <row r="3379" spans="1:24">
      <c r="A3379">
        <f>HYPERLINK("https://www.philgeps.gov.ph/GEPSNONPILOT/Tender/SplashBidNoticeAbstractUI.aspx?menuIndex=3&amp;refID=7043887&amp;Result=3","7043887")</f>
        <v>0</v>
      </c>
      <c r="B3379" t="s">
        <v>1184</v>
      </c>
      <c r="C3379" t="s">
        <v>6420</v>
      </c>
      <c r="D3379" t="s">
        <v>18022</v>
      </c>
      <c r="E3379" t="s">
        <v>21161</v>
      </c>
      <c r="F3379" t="s">
        <v>31574</v>
      </c>
      <c r="G3379" t="s">
        <v>31582</v>
      </c>
      <c r="H3379" t="s">
        <v>31592</v>
      </c>
      <c r="I3379" t="s">
        <v>31620</v>
      </c>
      <c r="J3379" t="s">
        <v>34032</v>
      </c>
      <c r="K3379" t="s">
        <v>41186</v>
      </c>
      <c r="M3379" t="s">
        <v>42743</v>
      </c>
      <c r="N3379" t="s">
        <v>45095</v>
      </c>
      <c r="O3379" t="s">
        <v>45096</v>
      </c>
      <c r="P3379">
        <v>0</v>
      </c>
      <c r="Q3379">
        <v>4</v>
      </c>
      <c r="R3379" t="s">
        <v>45099</v>
      </c>
      <c r="S3379" t="s">
        <v>45226</v>
      </c>
      <c r="T3379" t="s">
        <v>47000</v>
      </c>
      <c r="U3379" t="s">
        <v>50332</v>
      </c>
      <c r="V3379" t="s">
        <v>60184</v>
      </c>
      <c r="W3379" t="s">
        <v>42743</v>
      </c>
      <c r="X3379" t="s">
        <v>45100</v>
      </c>
    </row>
    <row r="3380" spans="1:24">
      <c r="A3380">
        <f>HYPERLINK("https://www.philgeps.gov.ph/GEPSNONPILOT/Tender/SplashBidNoticeAbstractUI.aspx?menuIndex=3&amp;refID=7043892&amp;Result=3","7043892")</f>
        <v>0</v>
      </c>
      <c r="B3380" t="s">
        <v>1184</v>
      </c>
      <c r="C3380" t="s">
        <v>6421</v>
      </c>
      <c r="D3380" t="s">
        <v>18022</v>
      </c>
      <c r="E3380" t="s">
        <v>21161</v>
      </c>
      <c r="F3380" t="s">
        <v>31574</v>
      </c>
      <c r="G3380" t="s">
        <v>31582</v>
      </c>
      <c r="H3380" t="s">
        <v>31592</v>
      </c>
      <c r="I3380" t="s">
        <v>3487</v>
      </c>
      <c r="J3380" t="s">
        <v>34033</v>
      </c>
      <c r="K3380" t="s">
        <v>41186</v>
      </c>
      <c r="M3380" t="s">
        <v>42743</v>
      </c>
      <c r="N3380" t="s">
        <v>45095</v>
      </c>
      <c r="O3380" t="s">
        <v>45096</v>
      </c>
      <c r="P3380">
        <v>0</v>
      </c>
      <c r="Q3380">
        <v>0</v>
      </c>
      <c r="R3380" t="s">
        <v>45099</v>
      </c>
      <c r="S3380" t="s">
        <v>45226</v>
      </c>
      <c r="T3380" t="s">
        <v>46943</v>
      </c>
      <c r="U3380" t="s">
        <v>50333</v>
      </c>
      <c r="V3380" t="s">
        <v>60185</v>
      </c>
      <c r="W3380" t="s">
        <v>42743</v>
      </c>
      <c r="X3380" t="s">
        <v>45100</v>
      </c>
    </row>
    <row r="3381" spans="1:24">
      <c r="A3381">
        <f>HYPERLINK("https://www.philgeps.gov.ph/GEPSNONPILOT/Tender/SplashBidNoticeAbstractUI.aspx?menuIndex=3&amp;refID=7043907&amp;Result=3","7043907")</f>
        <v>0</v>
      </c>
      <c r="B3381" t="s">
        <v>1196</v>
      </c>
      <c r="C3381" t="s">
        <v>6422</v>
      </c>
      <c r="D3381" t="s">
        <v>18026</v>
      </c>
      <c r="E3381" t="s">
        <v>21180</v>
      </c>
      <c r="F3381" t="s">
        <v>31574</v>
      </c>
      <c r="G3381" t="s">
        <v>31581</v>
      </c>
      <c r="H3381" t="s">
        <v>31590</v>
      </c>
      <c r="I3381" t="s">
        <v>31639</v>
      </c>
      <c r="J3381" t="s">
        <v>32929</v>
      </c>
      <c r="K3381" t="s">
        <v>41190</v>
      </c>
      <c r="M3381" t="s">
        <v>42756</v>
      </c>
      <c r="N3381" t="s">
        <v>45095</v>
      </c>
      <c r="O3381" t="s">
        <v>45096</v>
      </c>
      <c r="P3381">
        <v>0</v>
      </c>
      <c r="Q3381">
        <v>0</v>
      </c>
      <c r="R3381" t="s">
        <v>45099</v>
      </c>
      <c r="S3381" t="s">
        <v>45226</v>
      </c>
      <c r="T3381" t="s">
        <v>46963</v>
      </c>
      <c r="U3381" t="s">
        <v>50334</v>
      </c>
      <c r="W3381" t="s">
        <v>42756</v>
      </c>
      <c r="X3381" t="s">
        <v>45100</v>
      </c>
    </row>
    <row r="3382" spans="1:24">
      <c r="A3382">
        <f>HYPERLINK("https://www.philgeps.gov.ph/GEPSNONPILOT/Tender/SplashBidNoticeAbstractUI.aspx?menuIndex=3&amp;refID=7043908&amp;Result=3","7043908")</f>
        <v>0</v>
      </c>
      <c r="B3382" t="s">
        <v>1196</v>
      </c>
      <c r="C3382" t="s">
        <v>6423</v>
      </c>
      <c r="D3382" t="s">
        <v>18026</v>
      </c>
      <c r="E3382" t="s">
        <v>21180</v>
      </c>
      <c r="F3382" t="s">
        <v>31574</v>
      </c>
      <c r="G3382" t="s">
        <v>31583</v>
      </c>
      <c r="H3382" t="s">
        <v>31590</v>
      </c>
      <c r="I3382" t="s">
        <v>31608</v>
      </c>
      <c r="J3382" t="s">
        <v>31741</v>
      </c>
      <c r="K3382" t="s">
        <v>41190</v>
      </c>
      <c r="M3382" t="s">
        <v>42756</v>
      </c>
      <c r="N3382" t="s">
        <v>45095</v>
      </c>
      <c r="O3382" t="s">
        <v>45096</v>
      </c>
      <c r="P3382">
        <v>0</v>
      </c>
      <c r="Q3382">
        <v>0</v>
      </c>
      <c r="R3382" t="s">
        <v>45099</v>
      </c>
      <c r="S3382" t="s">
        <v>45226</v>
      </c>
      <c r="T3382" t="s">
        <v>46963</v>
      </c>
      <c r="U3382" t="s">
        <v>50335</v>
      </c>
      <c r="W3382" t="s">
        <v>42756</v>
      </c>
      <c r="X3382" t="s">
        <v>45100</v>
      </c>
    </row>
    <row r="3383" spans="1:24">
      <c r="A3383">
        <f>HYPERLINK("https://www.philgeps.gov.ph/GEPSNONPILOT/Tender/SplashBidNoticeAbstractUI.aspx?menuIndex=3&amp;refID=7043916&amp;Result=3","7043916")</f>
        <v>0</v>
      </c>
      <c r="B3383" t="s">
        <v>1086</v>
      </c>
      <c r="C3383" t="s">
        <v>6424</v>
      </c>
      <c r="D3383" t="s">
        <v>18048</v>
      </c>
      <c r="E3383" t="s">
        <v>21181</v>
      </c>
      <c r="F3383" t="s">
        <v>31574</v>
      </c>
      <c r="G3383" t="s">
        <v>31582</v>
      </c>
      <c r="H3383" t="s">
        <v>31591</v>
      </c>
      <c r="I3383" t="s">
        <v>8822</v>
      </c>
      <c r="J3383" t="s">
        <v>31935</v>
      </c>
      <c r="K3383" t="s">
        <v>41192</v>
      </c>
      <c r="M3383" t="s">
        <v>42635</v>
      </c>
      <c r="N3383" t="s">
        <v>45095</v>
      </c>
      <c r="O3383" t="s">
        <v>45096</v>
      </c>
      <c r="P3383">
        <v>0</v>
      </c>
      <c r="Q3383">
        <v>0</v>
      </c>
      <c r="R3383" t="s">
        <v>45099</v>
      </c>
      <c r="S3383" t="s">
        <v>45226</v>
      </c>
      <c r="T3383" t="s">
        <v>46927</v>
      </c>
      <c r="U3383" t="s">
        <v>50336</v>
      </c>
      <c r="W3383" t="s">
        <v>42635</v>
      </c>
      <c r="X3383" t="s">
        <v>45100</v>
      </c>
    </row>
    <row r="3384" spans="1:24">
      <c r="A3384">
        <f>HYPERLINK("https://www.philgeps.gov.ph/GEPSNONPILOT/Tender/SplashBidNoticeAbstractUI.aspx?menuIndex=3&amp;refID=7043910&amp;Result=3","7043910")</f>
        <v>0</v>
      </c>
      <c r="B3384" t="s">
        <v>1196</v>
      </c>
      <c r="C3384" t="s">
        <v>6425</v>
      </c>
      <c r="D3384" t="s">
        <v>18026</v>
      </c>
      <c r="E3384" t="s">
        <v>21180</v>
      </c>
      <c r="F3384" t="s">
        <v>31574</v>
      </c>
      <c r="G3384" t="s">
        <v>31583</v>
      </c>
      <c r="H3384" t="s">
        <v>31590</v>
      </c>
      <c r="I3384" t="s">
        <v>7185</v>
      </c>
      <c r="J3384" t="s">
        <v>34034</v>
      </c>
      <c r="K3384" t="s">
        <v>41190</v>
      </c>
      <c r="M3384" t="s">
        <v>42756</v>
      </c>
      <c r="N3384" t="s">
        <v>45095</v>
      </c>
      <c r="O3384" t="s">
        <v>45096</v>
      </c>
      <c r="P3384">
        <v>0</v>
      </c>
      <c r="Q3384">
        <v>2</v>
      </c>
      <c r="R3384" t="s">
        <v>45099</v>
      </c>
      <c r="S3384" t="s">
        <v>45226</v>
      </c>
      <c r="T3384" t="s">
        <v>46963</v>
      </c>
      <c r="U3384" t="s">
        <v>50337</v>
      </c>
      <c r="W3384" t="s">
        <v>42756</v>
      </c>
      <c r="X3384" t="s">
        <v>45100</v>
      </c>
    </row>
    <row r="3385" spans="1:24">
      <c r="A3385">
        <f>HYPERLINK("https://www.philgeps.gov.ph/GEPSNONPILOT/Tender/SplashBidNoticeAbstractUI.aspx?menuIndex=3&amp;refID=7039695&amp;Result=3","7039695")</f>
        <v>0</v>
      </c>
      <c r="B3385" t="s">
        <v>1197</v>
      </c>
      <c r="C3385" t="s">
        <v>6426</v>
      </c>
      <c r="D3385" t="s">
        <v>18073</v>
      </c>
      <c r="E3385" t="s">
        <v>21182</v>
      </c>
      <c r="F3385" t="s">
        <v>31574</v>
      </c>
      <c r="G3385" t="s">
        <v>31581</v>
      </c>
      <c r="H3385" t="s">
        <v>31590</v>
      </c>
      <c r="I3385" t="s">
        <v>4046</v>
      </c>
      <c r="J3385" t="s">
        <v>34035</v>
      </c>
      <c r="K3385" t="s">
        <v>41196</v>
      </c>
      <c r="M3385" t="s">
        <v>42757</v>
      </c>
      <c r="N3385" t="s">
        <v>45095</v>
      </c>
      <c r="O3385" t="s">
        <v>45096</v>
      </c>
      <c r="P3385">
        <v>0</v>
      </c>
      <c r="Q3385">
        <v>0</v>
      </c>
      <c r="R3385" t="s">
        <v>45100</v>
      </c>
      <c r="S3385" t="s">
        <v>45228</v>
      </c>
      <c r="T3385" t="s">
        <v>47159</v>
      </c>
      <c r="U3385" t="s">
        <v>50338</v>
      </c>
      <c r="W3385" t="s">
        <v>42757</v>
      </c>
      <c r="X3385" t="s">
        <v>45103</v>
      </c>
    </row>
    <row r="3386" spans="1:24">
      <c r="A3386">
        <f>HYPERLINK("https://www.philgeps.gov.ph/GEPSNONPILOT/Tender/SplashBidNoticeAbstractUI.aspx?menuIndex=3&amp;refID=6946900&amp;Result=3","6946900")</f>
        <v>0</v>
      </c>
      <c r="B3386" t="s">
        <v>1198</v>
      </c>
      <c r="C3386" t="s">
        <v>6427</v>
      </c>
      <c r="D3386" t="s">
        <v>18079</v>
      </c>
      <c r="E3386" t="s">
        <v>21183</v>
      </c>
      <c r="F3386" t="s">
        <v>31574</v>
      </c>
      <c r="G3386" t="s">
        <v>31583</v>
      </c>
      <c r="H3386" t="s">
        <v>31592</v>
      </c>
      <c r="I3386" t="s">
        <v>31596</v>
      </c>
      <c r="J3386" t="s">
        <v>31845</v>
      </c>
      <c r="K3386" t="s">
        <v>41230</v>
      </c>
      <c r="M3386" t="s">
        <v>42758</v>
      </c>
      <c r="N3386" t="s">
        <v>45095</v>
      </c>
      <c r="O3386" t="s">
        <v>45096</v>
      </c>
      <c r="P3386">
        <v>0</v>
      </c>
      <c r="Q3386">
        <v>0</v>
      </c>
      <c r="R3386" t="s">
        <v>45100</v>
      </c>
      <c r="S3386" t="s">
        <v>45228</v>
      </c>
      <c r="T3386" t="s">
        <v>47163</v>
      </c>
      <c r="U3386" t="s">
        <v>50339</v>
      </c>
      <c r="W3386" t="s">
        <v>42758</v>
      </c>
      <c r="X3386" t="s">
        <v>45166</v>
      </c>
    </row>
    <row r="3387" spans="1:24">
      <c r="A3387">
        <f>HYPERLINK("https://www.philgeps.gov.ph/GEPSNONPILOT/Tender/SplashBidNoticeAbstractUI.aspx?menuIndex=3&amp;refID=7038559&amp;Result=3","7038559")</f>
        <v>0</v>
      </c>
      <c r="B3387" t="s">
        <v>1199</v>
      </c>
      <c r="C3387" t="s">
        <v>6428</v>
      </c>
      <c r="D3387" t="s">
        <v>18084</v>
      </c>
      <c r="E3387" t="s">
        <v>21184</v>
      </c>
      <c r="F3387" t="s">
        <v>31574</v>
      </c>
      <c r="G3387" t="s">
        <v>31583</v>
      </c>
      <c r="H3387" t="s">
        <v>31590</v>
      </c>
      <c r="I3387" t="s">
        <v>31648</v>
      </c>
      <c r="J3387" t="s">
        <v>34036</v>
      </c>
      <c r="K3387" t="s">
        <v>41196</v>
      </c>
      <c r="M3387" t="s">
        <v>42759</v>
      </c>
      <c r="N3387" t="s">
        <v>45095</v>
      </c>
      <c r="O3387" t="s">
        <v>45096</v>
      </c>
      <c r="P3387">
        <v>0</v>
      </c>
      <c r="Q3387">
        <v>4</v>
      </c>
      <c r="R3387" t="s">
        <v>45100</v>
      </c>
      <c r="S3387" t="s">
        <v>45228</v>
      </c>
      <c r="T3387" t="s">
        <v>46957</v>
      </c>
      <c r="U3387" t="s">
        <v>50340</v>
      </c>
      <c r="W3387" t="s">
        <v>42759</v>
      </c>
      <c r="X3387" t="s">
        <v>45103</v>
      </c>
    </row>
    <row r="3388" spans="1:24">
      <c r="A3388">
        <f>HYPERLINK("https://www.philgeps.gov.ph/GEPSNONPILOT/Tender/SplashBidNoticeAbstractUI.aspx?menuIndex=3&amp;refID=7043909&amp;Result=3","7043909")</f>
        <v>0</v>
      </c>
      <c r="B3388" t="s">
        <v>1196</v>
      </c>
      <c r="C3388" t="s">
        <v>6429</v>
      </c>
      <c r="D3388" t="s">
        <v>18026</v>
      </c>
      <c r="E3388" t="s">
        <v>21180</v>
      </c>
      <c r="F3388" t="s">
        <v>31574</v>
      </c>
      <c r="G3388" t="s">
        <v>31583</v>
      </c>
      <c r="H3388" t="s">
        <v>31590</v>
      </c>
      <c r="I3388" t="s">
        <v>31599</v>
      </c>
      <c r="J3388" t="s">
        <v>32649</v>
      </c>
      <c r="K3388" t="s">
        <v>41190</v>
      </c>
      <c r="M3388" t="s">
        <v>42756</v>
      </c>
      <c r="N3388" t="s">
        <v>45095</v>
      </c>
      <c r="O3388" t="s">
        <v>45096</v>
      </c>
      <c r="P3388">
        <v>0</v>
      </c>
      <c r="Q3388">
        <v>0</v>
      </c>
      <c r="R3388" t="s">
        <v>45099</v>
      </c>
      <c r="S3388" t="s">
        <v>45226</v>
      </c>
      <c r="T3388" t="s">
        <v>46963</v>
      </c>
      <c r="U3388" t="s">
        <v>50341</v>
      </c>
      <c r="W3388" t="s">
        <v>42756</v>
      </c>
      <c r="X3388" t="s">
        <v>45100</v>
      </c>
    </row>
    <row r="3389" spans="1:24">
      <c r="A3389">
        <f>HYPERLINK("https://www.philgeps.gov.ph/GEPSNONPILOT/Tender/SplashBidNoticeAbstractUI.aspx?menuIndex=3&amp;refID=7032444&amp;Result=3","7032444")</f>
        <v>0</v>
      </c>
      <c r="B3389" t="s">
        <v>1200</v>
      </c>
      <c r="C3389" t="s">
        <v>6430</v>
      </c>
      <c r="E3389" t="s">
        <v>21185</v>
      </c>
      <c r="F3389" t="s">
        <v>31574</v>
      </c>
      <c r="G3389" t="s">
        <v>31581</v>
      </c>
      <c r="H3389" t="s">
        <v>31591</v>
      </c>
      <c r="I3389" t="s">
        <v>8822</v>
      </c>
      <c r="J3389" t="s">
        <v>34037</v>
      </c>
      <c r="K3389" t="s">
        <v>41184</v>
      </c>
      <c r="M3389" t="s">
        <v>42760</v>
      </c>
      <c r="N3389" t="s">
        <v>45095</v>
      </c>
      <c r="O3389" t="s">
        <v>45096</v>
      </c>
      <c r="P3389">
        <v>0</v>
      </c>
      <c r="Q3389">
        <v>0</v>
      </c>
      <c r="R3389" t="s">
        <v>45100</v>
      </c>
      <c r="S3389" t="s">
        <v>45228</v>
      </c>
      <c r="T3389" t="s">
        <v>47164</v>
      </c>
      <c r="U3389" t="s">
        <v>50342</v>
      </c>
      <c r="W3389" t="s">
        <v>42760</v>
      </c>
      <c r="X3389" t="s">
        <v>45106</v>
      </c>
    </row>
    <row r="3390" spans="1:24">
      <c r="A3390">
        <f>HYPERLINK("https://www.philgeps.gov.ph/GEPSNONPILOT/Tender/SplashBidNoticeAbstractUI.aspx?menuIndex=3&amp;refID=7034872&amp;Result=3","7034872")</f>
        <v>0</v>
      </c>
      <c r="B3390" t="s">
        <v>1200</v>
      </c>
      <c r="C3390" t="s">
        <v>6431</v>
      </c>
      <c r="E3390" t="s">
        <v>21186</v>
      </c>
      <c r="F3390" t="s">
        <v>31574</v>
      </c>
      <c r="G3390" t="s">
        <v>31581</v>
      </c>
      <c r="H3390" t="s">
        <v>31590</v>
      </c>
      <c r="I3390" t="s">
        <v>8822</v>
      </c>
      <c r="J3390" t="s">
        <v>34038</v>
      </c>
      <c r="K3390" t="s">
        <v>41184</v>
      </c>
      <c r="M3390" t="s">
        <v>42760</v>
      </c>
      <c r="N3390" t="s">
        <v>45095</v>
      </c>
      <c r="O3390" t="s">
        <v>45096</v>
      </c>
      <c r="P3390">
        <v>0</v>
      </c>
      <c r="Q3390">
        <v>0</v>
      </c>
      <c r="R3390" t="s">
        <v>45100</v>
      </c>
      <c r="S3390" t="s">
        <v>45228</v>
      </c>
      <c r="T3390" t="s">
        <v>47164</v>
      </c>
      <c r="U3390" t="s">
        <v>50343</v>
      </c>
      <c r="W3390" t="s">
        <v>42760</v>
      </c>
      <c r="X3390" t="s">
        <v>45105</v>
      </c>
    </row>
    <row r="3391" spans="1:24">
      <c r="A3391">
        <f>HYPERLINK("https://www.philgeps.gov.ph/GEPSNONPILOT/Tender/SplashBidNoticeAbstractUI.aspx?menuIndex=3&amp;refID=7043913&amp;Result=3","7043913")</f>
        <v>0</v>
      </c>
      <c r="B3391" t="s">
        <v>1196</v>
      </c>
      <c r="C3391" t="s">
        <v>6432</v>
      </c>
      <c r="D3391" t="s">
        <v>18026</v>
      </c>
      <c r="E3391" t="s">
        <v>21180</v>
      </c>
      <c r="F3391" t="s">
        <v>31574</v>
      </c>
      <c r="G3391" t="s">
        <v>31581</v>
      </c>
      <c r="H3391" t="s">
        <v>31590</v>
      </c>
      <c r="I3391" t="s">
        <v>31602</v>
      </c>
      <c r="J3391" t="s">
        <v>34039</v>
      </c>
      <c r="K3391" t="s">
        <v>41190</v>
      </c>
      <c r="M3391" t="s">
        <v>42756</v>
      </c>
      <c r="N3391" t="s">
        <v>45095</v>
      </c>
      <c r="O3391" t="s">
        <v>45096</v>
      </c>
      <c r="P3391">
        <v>0</v>
      </c>
      <c r="Q3391">
        <v>0</v>
      </c>
      <c r="R3391" t="s">
        <v>45099</v>
      </c>
      <c r="S3391" t="s">
        <v>45226</v>
      </c>
      <c r="T3391" t="s">
        <v>46963</v>
      </c>
      <c r="U3391" t="s">
        <v>50344</v>
      </c>
      <c r="W3391" t="s">
        <v>42756</v>
      </c>
      <c r="X3391" t="s">
        <v>45100</v>
      </c>
    </row>
    <row r="3392" spans="1:24">
      <c r="A3392">
        <f>HYPERLINK("https://www.philgeps.gov.ph/GEPSNONPILOT/Tender/SplashBidNoticeAbstractUI.aspx?menuIndex=3&amp;refID=7030936&amp;Result=3","7030936")</f>
        <v>0</v>
      </c>
      <c r="B3392" t="s">
        <v>1201</v>
      </c>
      <c r="C3392" t="s">
        <v>6433</v>
      </c>
      <c r="D3392" t="s">
        <v>18033</v>
      </c>
      <c r="E3392" t="s">
        <v>21187</v>
      </c>
      <c r="F3392" t="s">
        <v>31574</v>
      </c>
      <c r="G3392" t="s">
        <v>31581</v>
      </c>
      <c r="H3392" t="s">
        <v>31590</v>
      </c>
      <c r="I3392" t="s">
        <v>4046</v>
      </c>
      <c r="J3392" t="s">
        <v>34040</v>
      </c>
      <c r="K3392" t="s">
        <v>41196</v>
      </c>
      <c r="M3392" t="s">
        <v>42761</v>
      </c>
      <c r="N3392" t="s">
        <v>45095</v>
      </c>
      <c r="O3392" t="s">
        <v>45096</v>
      </c>
      <c r="P3392">
        <v>0</v>
      </c>
      <c r="Q3392">
        <v>1</v>
      </c>
      <c r="R3392" t="s">
        <v>45100</v>
      </c>
      <c r="S3392" t="s">
        <v>45228</v>
      </c>
      <c r="T3392" t="s">
        <v>47159</v>
      </c>
      <c r="U3392" t="s">
        <v>50345</v>
      </c>
      <c r="V3392" t="s">
        <v>60186</v>
      </c>
      <c r="W3392" t="s">
        <v>42761</v>
      </c>
      <c r="X3392" t="s">
        <v>45108</v>
      </c>
    </row>
    <row r="3393" spans="1:24">
      <c r="A3393">
        <f>HYPERLINK("https://www.philgeps.gov.ph/GEPSNONPILOT/Tender/SplashBidNoticeAbstractUI.aspx?menuIndex=3&amp;refID=7031128&amp;Result=3","7031128")</f>
        <v>0</v>
      </c>
      <c r="B3393" t="s">
        <v>1199</v>
      </c>
      <c r="C3393" t="s">
        <v>6434</v>
      </c>
      <c r="D3393" t="s">
        <v>18084</v>
      </c>
      <c r="E3393" t="s">
        <v>21188</v>
      </c>
      <c r="F3393" t="s">
        <v>31574</v>
      </c>
      <c r="G3393" t="s">
        <v>31583</v>
      </c>
      <c r="H3393" t="s">
        <v>31590</v>
      </c>
      <c r="I3393" t="s">
        <v>4327</v>
      </c>
      <c r="J3393" t="s">
        <v>34041</v>
      </c>
      <c r="K3393" t="s">
        <v>41190</v>
      </c>
      <c r="M3393" t="s">
        <v>42759</v>
      </c>
      <c r="N3393" t="s">
        <v>45095</v>
      </c>
      <c r="O3393" t="s">
        <v>45096</v>
      </c>
      <c r="P3393">
        <v>0</v>
      </c>
      <c r="Q3393">
        <v>5</v>
      </c>
      <c r="R3393" t="s">
        <v>45100</v>
      </c>
      <c r="S3393" t="s">
        <v>45228</v>
      </c>
      <c r="T3393" t="s">
        <v>46957</v>
      </c>
      <c r="U3393" t="s">
        <v>50346</v>
      </c>
      <c r="W3393" t="s">
        <v>42759</v>
      </c>
      <c r="X3393" t="s">
        <v>45108</v>
      </c>
    </row>
    <row r="3394" spans="1:24">
      <c r="A3394">
        <f>HYPERLINK("https://www.philgeps.gov.ph/GEPSNONPILOT/Tender/SplashBidNoticeAbstractUI.aspx?menuIndex=3&amp;refID=7039785&amp;Result=3","7039785")</f>
        <v>0</v>
      </c>
      <c r="B3394" t="s">
        <v>1197</v>
      </c>
      <c r="C3394" t="s">
        <v>6435</v>
      </c>
      <c r="D3394" t="s">
        <v>18073</v>
      </c>
      <c r="E3394" t="s">
        <v>21189</v>
      </c>
      <c r="F3394" t="s">
        <v>31574</v>
      </c>
      <c r="G3394" t="s">
        <v>31581</v>
      </c>
      <c r="H3394" t="s">
        <v>31590</v>
      </c>
      <c r="I3394" t="s">
        <v>31641</v>
      </c>
      <c r="J3394" t="s">
        <v>34042</v>
      </c>
      <c r="K3394" t="s">
        <v>41189</v>
      </c>
      <c r="M3394" t="s">
        <v>42757</v>
      </c>
      <c r="N3394" t="s">
        <v>45095</v>
      </c>
      <c r="O3394" t="s">
        <v>45096</v>
      </c>
      <c r="P3394">
        <v>0</v>
      </c>
      <c r="Q3394">
        <v>1</v>
      </c>
      <c r="R3394" t="s">
        <v>45100</v>
      </c>
      <c r="S3394" t="s">
        <v>45228</v>
      </c>
      <c r="T3394" t="s">
        <v>47159</v>
      </c>
      <c r="U3394" t="s">
        <v>50347</v>
      </c>
      <c r="W3394" t="s">
        <v>42757</v>
      </c>
      <c r="X3394" t="s">
        <v>45103</v>
      </c>
    </row>
    <row r="3395" spans="1:24">
      <c r="A3395">
        <f>HYPERLINK("https://www.philgeps.gov.ph/GEPSNONPILOT/Tender/SplashBidNoticeAbstractUI.aspx?menuIndex=3&amp;refID=7030881&amp;Result=3","7030881")</f>
        <v>0</v>
      </c>
      <c r="B3395" t="s">
        <v>1201</v>
      </c>
      <c r="C3395" t="s">
        <v>6436</v>
      </c>
      <c r="D3395" t="s">
        <v>18033</v>
      </c>
      <c r="E3395" t="s">
        <v>21190</v>
      </c>
      <c r="F3395" t="s">
        <v>31574</v>
      </c>
      <c r="G3395" t="s">
        <v>31581</v>
      </c>
      <c r="H3395" t="s">
        <v>31590</v>
      </c>
      <c r="I3395" t="s">
        <v>31661</v>
      </c>
      <c r="J3395" t="s">
        <v>34043</v>
      </c>
      <c r="K3395" t="s">
        <v>41196</v>
      </c>
      <c r="M3395" t="s">
        <v>42761</v>
      </c>
      <c r="N3395" t="s">
        <v>45095</v>
      </c>
      <c r="O3395" t="s">
        <v>45096</v>
      </c>
      <c r="P3395">
        <v>0</v>
      </c>
      <c r="Q3395">
        <v>2</v>
      </c>
      <c r="R3395" t="s">
        <v>45100</v>
      </c>
      <c r="S3395" t="s">
        <v>45228</v>
      </c>
      <c r="T3395" t="s">
        <v>47159</v>
      </c>
      <c r="U3395" t="s">
        <v>50345</v>
      </c>
      <c r="V3395" t="s">
        <v>60186</v>
      </c>
      <c r="W3395" t="s">
        <v>42761</v>
      </c>
      <c r="X3395" t="s">
        <v>45108</v>
      </c>
    </row>
    <row r="3396" spans="1:24">
      <c r="A3396">
        <f>HYPERLINK("https://www.philgeps.gov.ph/GEPSNONPILOT/Tender/SplashBidNoticeAbstractUI.aspx?menuIndex=3&amp;refID=7043911&amp;Result=3","7043911")</f>
        <v>0</v>
      </c>
      <c r="B3396" t="s">
        <v>1196</v>
      </c>
      <c r="C3396" t="s">
        <v>6437</v>
      </c>
      <c r="D3396" t="s">
        <v>18026</v>
      </c>
      <c r="E3396" t="s">
        <v>21180</v>
      </c>
      <c r="F3396" t="s">
        <v>31574</v>
      </c>
      <c r="G3396" t="s">
        <v>31583</v>
      </c>
      <c r="H3396" t="s">
        <v>31590</v>
      </c>
      <c r="I3396" t="s">
        <v>8258</v>
      </c>
      <c r="J3396" t="s">
        <v>32013</v>
      </c>
      <c r="K3396" t="s">
        <v>41190</v>
      </c>
      <c r="M3396" t="s">
        <v>42756</v>
      </c>
      <c r="N3396" t="s">
        <v>45095</v>
      </c>
      <c r="O3396" t="s">
        <v>45096</v>
      </c>
      <c r="P3396">
        <v>0</v>
      </c>
      <c r="Q3396">
        <v>1</v>
      </c>
      <c r="R3396" t="s">
        <v>45099</v>
      </c>
      <c r="S3396" t="s">
        <v>45226</v>
      </c>
      <c r="T3396" t="s">
        <v>46963</v>
      </c>
      <c r="U3396" t="s">
        <v>50348</v>
      </c>
      <c r="W3396" t="s">
        <v>42756</v>
      </c>
      <c r="X3396" t="s">
        <v>45100</v>
      </c>
    </row>
    <row r="3397" spans="1:24">
      <c r="A3397">
        <f>HYPERLINK("https://www.philgeps.gov.ph/GEPSNONPILOT/Tender/SplashBidNoticeAbstractUI.aspx?menuIndex=3&amp;refID=7039761&amp;Result=3","7039761")</f>
        <v>0</v>
      </c>
      <c r="B3397" t="s">
        <v>1197</v>
      </c>
      <c r="C3397" t="s">
        <v>6438</v>
      </c>
      <c r="D3397" t="s">
        <v>18073</v>
      </c>
      <c r="E3397" t="s">
        <v>21191</v>
      </c>
      <c r="F3397" t="s">
        <v>31574</v>
      </c>
      <c r="G3397" t="s">
        <v>31581</v>
      </c>
      <c r="H3397" t="s">
        <v>31590</v>
      </c>
      <c r="I3397" t="s">
        <v>31621</v>
      </c>
      <c r="J3397" t="s">
        <v>34044</v>
      </c>
      <c r="K3397" t="s">
        <v>41192</v>
      </c>
      <c r="M3397" t="s">
        <v>42757</v>
      </c>
      <c r="N3397" t="s">
        <v>45095</v>
      </c>
      <c r="O3397" t="s">
        <v>45096</v>
      </c>
      <c r="P3397">
        <v>0</v>
      </c>
      <c r="Q3397">
        <v>6</v>
      </c>
      <c r="R3397" t="s">
        <v>45100</v>
      </c>
      <c r="S3397" t="s">
        <v>45228</v>
      </c>
      <c r="T3397" t="s">
        <v>47159</v>
      </c>
      <c r="U3397" t="s">
        <v>50349</v>
      </c>
      <c r="W3397" t="s">
        <v>42757</v>
      </c>
      <c r="X3397" t="s">
        <v>45103</v>
      </c>
    </row>
    <row r="3398" spans="1:24">
      <c r="A3398">
        <f>HYPERLINK("https://www.philgeps.gov.ph/GEPSNONPILOT/Tender/SplashBidNoticeAbstractUI.aspx?menuIndex=3&amp;refID=7043915&amp;Result=3","7043915")</f>
        <v>0</v>
      </c>
      <c r="B3398" t="s">
        <v>1086</v>
      </c>
      <c r="C3398" t="s">
        <v>6439</v>
      </c>
      <c r="D3398" t="s">
        <v>18048</v>
      </c>
      <c r="E3398" t="s">
        <v>21192</v>
      </c>
      <c r="F3398" t="s">
        <v>31574</v>
      </c>
      <c r="G3398" t="s">
        <v>31582</v>
      </c>
      <c r="H3398" t="s">
        <v>31591</v>
      </c>
      <c r="I3398" t="s">
        <v>8822</v>
      </c>
      <c r="J3398" t="s">
        <v>31935</v>
      </c>
      <c r="K3398" t="s">
        <v>41192</v>
      </c>
      <c r="M3398" t="s">
        <v>42635</v>
      </c>
      <c r="N3398" t="s">
        <v>45095</v>
      </c>
      <c r="O3398" t="s">
        <v>45096</v>
      </c>
      <c r="P3398">
        <v>0</v>
      </c>
      <c r="Q3398">
        <v>0</v>
      </c>
      <c r="R3398" t="s">
        <v>45099</v>
      </c>
      <c r="S3398" t="s">
        <v>45226</v>
      </c>
      <c r="T3398" t="s">
        <v>46927</v>
      </c>
      <c r="U3398" t="s">
        <v>50336</v>
      </c>
      <c r="W3398" t="s">
        <v>42635</v>
      </c>
      <c r="X3398" t="s">
        <v>45100</v>
      </c>
    </row>
    <row r="3399" spans="1:24">
      <c r="A3399">
        <f>HYPERLINK("https://www.philgeps.gov.ph/GEPSNONPILOT/Tender/SplashBidNoticeAbstractUI.aspx?menuIndex=3&amp;refID=7019418&amp;Result=3","7019418")</f>
        <v>0</v>
      </c>
      <c r="B3399" t="s">
        <v>1202</v>
      </c>
      <c r="C3399" t="s">
        <v>6440</v>
      </c>
      <c r="D3399" t="s">
        <v>18040</v>
      </c>
      <c r="E3399" t="s">
        <v>21193</v>
      </c>
      <c r="F3399" t="s">
        <v>31574</v>
      </c>
      <c r="G3399" t="s">
        <v>31582</v>
      </c>
      <c r="H3399" t="s">
        <v>31591</v>
      </c>
      <c r="I3399" t="s">
        <v>8822</v>
      </c>
      <c r="J3399" t="s">
        <v>34045</v>
      </c>
      <c r="K3399" t="s">
        <v>41235</v>
      </c>
      <c r="M3399" t="s">
        <v>42762</v>
      </c>
      <c r="N3399" t="s">
        <v>45095</v>
      </c>
      <c r="O3399" t="s">
        <v>45096</v>
      </c>
      <c r="P3399">
        <v>0</v>
      </c>
      <c r="Q3399">
        <v>1</v>
      </c>
      <c r="R3399" t="s">
        <v>45100</v>
      </c>
      <c r="S3399" t="s">
        <v>45228</v>
      </c>
      <c r="T3399" t="s">
        <v>47138</v>
      </c>
      <c r="U3399" t="s">
        <v>50350</v>
      </c>
      <c r="W3399" t="s">
        <v>42762</v>
      </c>
      <c r="X3399" t="s">
        <v>45112</v>
      </c>
    </row>
    <row r="3400" spans="1:24">
      <c r="A3400">
        <f>HYPERLINK("https://www.philgeps.gov.ph/GEPSNONPILOT/Tender/SplashBidNoticeAbstractUI.aspx?menuIndex=3&amp;refID=7039830&amp;Result=3","7039830")</f>
        <v>0</v>
      </c>
      <c r="B3400" t="s">
        <v>1203</v>
      </c>
      <c r="C3400" t="s">
        <v>6441</v>
      </c>
      <c r="D3400" t="s">
        <v>18055</v>
      </c>
      <c r="E3400" t="s">
        <v>21194</v>
      </c>
      <c r="F3400" t="s">
        <v>31574</v>
      </c>
      <c r="G3400" t="s">
        <v>31582</v>
      </c>
      <c r="H3400" t="s">
        <v>31590</v>
      </c>
      <c r="I3400" t="s">
        <v>8258</v>
      </c>
      <c r="J3400" t="s">
        <v>34046</v>
      </c>
      <c r="K3400" t="s">
        <v>41196</v>
      </c>
      <c r="M3400" t="s">
        <v>42763</v>
      </c>
      <c r="N3400" t="s">
        <v>45095</v>
      </c>
      <c r="O3400" t="s">
        <v>45096</v>
      </c>
      <c r="P3400">
        <v>0</v>
      </c>
      <c r="Q3400">
        <v>2</v>
      </c>
      <c r="R3400" t="s">
        <v>45100</v>
      </c>
      <c r="S3400" t="s">
        <v>45228</v>
      </c>
      <c r="T3400" t="s">
        <v>46989</v>
      </c>
      <c r="U3400" t="s">
        <v>50351</v>
      </c>
      <c r="W3400" t="s">
        <v>42763</v>
      </c>
      <c r="X3400" t="s">
        <v>45103</v>
      </c>
    </row>
    <row r="3401" spans="1:24">
      <c r="A3401">
        <f>HYPERLINK("https://www.philgeps.gov.ph/GEPSNONPILOT/Tender/SplashBidNoticeAbstractUI.aspx?menuIndex=3&amp;refID=7041276&amp;Result=3","7041276")</f>
        <v>0</v>
      </c>
      <c r="B3401" t="s">
        <v>959</v>
      </c>
      <c r="C3401" t="s">
        <v>6442</v>
      </c>
      <c r="D3401" t="s">
        <v>18040</v>
      </c>
      <c r="E3401" t="s">
        <v>21195</v>
      </c>
      <c r="F3401" t="s">
        <v>31574</v>
      </c>
      <c r="G3401" t="s">
        <v>31581</v>
      </c>
      <c r="H3401" t="s">
        <v>31590</v>
      </c>
      <c r="I3401" t="s">
        <v>3487</v>
      </c>
      <c r="J3401" t="s">
        <v>34047</v>
      </c>
      <c r="K3401" t="s">
        <v>41184</v>
      </c>
      <c r="M3401" t="s">
        <v>42486</v>
      </c>
      <c r="N3401" t="s">
        <v>45095</v>
      </c>
      <c r="O3401" t="s">
        <v>45096</v>
      </c>
      <c r="P3401">
        <v>0</v>
      </c>
      <c r="Q3401">
        <v>1</v>
      </c>
      <c r="R3401" t="s">
        <v>45100</v>
      </c>
      <c r="S3401" t="s">
        <v>45228</v>
      </c>
      <c r="T3401" t="s">
        <v>47165</v>
      </c>
      <c r="U3401" t="s">
        <v>50352</v>
      </c>
      <c r="W3401" t="s">
        <v>42486</v>
      </c>
      <c r="X3401" t="s">
        <v>45102</v>
      </c>
    </row>
    <row r="3402" spans="1:24">
      <c r="A3402">
        <f>HYPERLINK("https://www.philgeps.gov.ph/GEPSNONPILOT/Tender/SplashBidNoticeAbstractUI.aspx?menuIndex=3&amp;refID=7043912&amp;Result=3","7043912")</f>
        <v>0</v>
      </c>
      <c r="B3402" t="s">
        <v>1196</v>
      </c>
      <c r="C3402" t="s">
        <v>6443</v>
      </c>
      <c r="D3402" t="s">
        <v>18026</v>
      </c>
      <c r="E3402" t="s">
        <v>21180</v>
      </c>
      <c r="F3402" t="s">
        <v>31574</v>
      </c>
      <c r="G3402" t="s">
        <v>31583</v>
      </c>
      <c r="H3402" t="s">
        <v>31590</v>
      </c>
      <c r="I3402" t="s">
        <v>31600</v>
      </c>
      <c r="J3402" t="s">
        <v>34048</v>
      </c>
      <c r="K3402" t="s">
        <v>41190</v>
      </c>
      <c r="M3402" t="s">
        <v>42756</v>
      </c>
      <c r="N3402" t="s">
        <v>45095</v>
      </c>
      <c r="O3402" t="s">
        <v>45096</v>
      </c>
      <c r="P3402">
        <v>0</v>
      </c>
      <c r="Q3402">
        <v>0</v>
      </c>
      <c r="R3402" t="s">
        <v>45099</v>
      </c>
      <c r="S3402" t="s">
        <v>45226</v>
      </c>
      <c r="T3402" t="s">
        <v>46963</v>
      </c>
      <c r="U3402" t="s">
        <v>50353</v>
      </c>
      <c r="W3402" t="s">
        <v>42756</v>
      </c>
      <c r="X3402" t="s">
        <v>45100</v>
      </c>
    </row>
    <row r="3403" spans="1:24">
      <c r="A3403">
        <f>HYPERLINK("https://www.philgeps.gov.ph/GEPSNONPILOT/Tender/SplashBidNoticeAbstractUI.aspx?menuIndex=3&amp;refID=7041186&amp;Result=3","7041186")</f>
        <v>0</v>
      </c>
      <c r="B3403" t="s">
        <v>1204</v>
      </c>
      <c r="C3403" t="s">
        <v>6444</v>
      </c>
      <c r="D3403" t="s">
        <v>18022</v>
      </c>
      <c r="E3403" t="s">
        <v>21196</v>
      </c>
      <c r="F3403" t="s">
        <v>31574</v>
      </c>
      <c r="G3403" t="s">
        <v>31583</v>
      </c>
      <c r="H3403" t="s">
        <v>31590</v>
      </c>
      <c r="I3403" t="s">
        <v>31608</v>
      </c>
      <c r="J3403" t="s">
        <v>31843</v>
      </c>
      <c r="K3403" t="s">
        <v>41184</v>
      </c>
      <c r="M3403" t="s">
        <v>42764</v>
      </c>
      <c r="N3403" t="s">
        <v>45095</v>
      </c>
      <c r="O3403" t="s">
        <v>45096</v>
      </c>
      <c r="P3403">
        <v>0</v>
      </c>
      <c r="Q3403">
        <v>5</v>
      </c>
      <c r="R3403" t="s">
        <v>45100</v>
      </c>
      <c r="S3403" t="s">
        <v>45228</v>
      </c>
      <c r="T3403" t="s">
        <v>47050</v>
      </c>
      <c r="U3403" t="s">
        <v>50354</v>
      </c>
      <c r="W3403" t="s">
        <v>61693</v>
      </c>
      <c r="X3403" t="s">
        <v>45102</v>
      </c>
    </row>
    <row r="3404" spans="1:24">
      <c r="A3404">
        <f>HYPERLINK("https://www.philgeps.gov.ph/GEPSNONPILOT/Tender/SplashBidNoticeAbstractUI.aspx?menuIndex=3&amp;refID=7041066&amp;Result=3","7041066")</f>
        <v>0</v>
      </c>
      <c r="B3404" t="s">
        <v>251</v>
      </c>
      <c r="C3404" t="s">
        <v>6445</v>
      </c>
      <c r="D3404" t="s">
        <v>18057</v>
      </c>
      <c r="E3404" t="s">
        <v>21197</v>
      </c>
      <c r="F3404" t="s">
        <v>31574</v>
      </c>
      <c r="G3404" t="s">
        <v>31583</v>
      </c>
      <c r="H3404" t="s">
        <v>31590</v>
      </c>
      <c r="I3404" t="s">
        <v>3489</v>
      </c>
      <c r="J3404" t="s">
        <v>34049</v>
      </c>
      <c r="K3404" t="s">
        <v>41197</v>
      </c>
      <c r="M3404" t="s">
        <v>41737</v>
      </c>
      <c r="N3404" t="s">
        <v>45095</v>
      </c>
      <c r="O3404" t="s">
        <v>45096</v>
      </c>
      <c r="P3404">
        <v>0</v>
      </c>
      <c r="Q3404">
        <v>0</v>
      </c>
      <c r="R3404" t="s">
        <v>45100</v>
      </c>
      <c r="S3404" t="s">
        <v>45228</v>
      </c>
      <c r="T3404" t="s">
        <v>47159</v>
      </c>
      <c r="U3404" t="s">
        <v>50355</v>
      </c>
      <c r="W3404" t="s">
        <v>41737</v>
      </c>
      <c r="X3404" t="s">
        <v>45102</v>
      </c>
    </row>
    <row r="3405" spans="1:24">
      <c r="A3405">
        <f>HYPERLINK("https://www.philgeps.gov.ph/GEPSNONPILOT/Tender/SplashBidNoticeAbstractUI.aspx?menuIndex=3&amp;refID=7043914&amp;Result=3","7043914")</f>
        <v>0</v>
      </c>
      <c r="B3405" t="s">
        <v>1086</v>
      </c>
      <c r="C3405" t="s">
        <v>6446</v>
      </c>
      <c r="D3405" t="s">
        <v>18048</v>
      </c>
      <c r="E3405" t="s">
        <v>21198</v>
      </c>
      <c r="F3405" t="s">
        <v>31574</v>
      </c>
      <c r="G3405" t="s">
        <v>31582</v>
      </c>
      <c r="H3405" t="s">
        <v>31591</v>
      </c>
      <c r="I3405" t="s">
        <v>8822</v>
      </c>
      <c r="J3405" t="s">
        <v>34050</v>
      </c>
      <c r="K3405" t="s">
        <v>41189</v>
      </c>
      <c r="M3405" t="s">
        <v>42635</v>
      </c>
      <c r="N3405" t="s">
        <v>45095</v>
      </c>
      <c r="O3405" t="s">
        <v>45096</v>
      </c>
      <c r="P3405">
        <v>0</v>
      </c>
      <c r="Q3405">
        <v>1</v>
      </c>
      <c r="R3405" t="s">
        <v>45099</v>
      </c>
      <c r="S3405" t="s">
        <v>45226</v>
      </c>
      <c r="T3405" t="s">
        <v>46927</v>
      </c>
      <c r="U3405" t="s">
        <v>50336</v>
      </c>
      <c r="W3405" t="s">
        <v>42635</v>
      </c>
      <c r="X3405" t="s">
        <v>45100</v>
      </c>
    </row>
    <row r="3406" spans="1:24">
      <c r="A3406">
        <f>HYPERLINK("https://www.philgeps.gov.ph/GEPSNONPILOT/Tender/SplashBidNoticeAbstractUI.aspx?menuIndex=3&amp;refID=7041268&amp;Result=3","7041268")</f>
        <v>0</v>
      </c>
      <c r="B3406" t="s">
        <v>959</v>
      </c>
      <c r="C3406" t="s">
        <v>6447</v>
      </c>
      <c r="D3406" t="s">
        <v>18040</v>
      </c>
      <c r="E3406" t="s">
        <v>21199</v>
      </c>
      <c r="F3406" t="s">
        <v>31574</v>
      </c>
      <c r="G3406" t="s">
        <v>31581</v>
      </c>
      <c r="H3406" t="s">
        <v>31590</v>
      </c>
      <c r="I3406" t="s">
        <v>31640</v>
      </c>
      <c r="J3406" t="s">
        <v>34051</v>
      </c>
      <c r="K3406" t="s">
        <v>41184</v>
      </c>
      <c r="M3406" t="s">
        <v>42486</v>
      </c>
      <c r="N3406" t="s">
        <v>45095</v>
      </c>
      <c r="O3406" t="s">
        <v>45096</v>
      </c>
      <c r="P3406">
        <v>0</v>
      </c>
      <c r="Q3406">
        <v>2</v>
      </c>
      <c r="R3406" t="s">
        <v>45100</v>
      </c>
      <c r="S3406" t="s">
        <v>45228</v>
      </c>
      <c r="T3406" t="s">
        <v>47165</v>
      </c>
      <c r="U3406" t="s">
        <v>50356</v>
      </c>
      <c r="W3406" t="s">
        <v>42486</v>
      </c>
      <c r="X3406" t="s">
        <v>45102</v>
      </c>
    </row>
    <row r="3407" spans="1:24">
      <c r="A3407">
        <f>HYPERLINK("https://www.philgeps.gov.ph/GEPSNONPILOT/Tender/SplashBidNoticeAbstractUI.aspx?menuIndex=3&amp;refID=7041061&amp;Result=3","7041061")</f>
        <v>0</v>
      </c>
      <c r="B3407" t="s">
        <v>1205</v>
      </c>
      <c r="C3407" t="s">
        <v>6448</v>
      </c>
      <c r="D3407" t="s">
        <v>18025</v>
      </c>
      <c r="E3407" t="s">
        <v>21200</v>
      </c>
      <c r="F3407" t="s">
        <v>31574</v>
      </c>
      <c r="G3407" t="s">
        <v>31582</v>
      </c>
      <c r="H3407" t="s">
        <v>31590</v>
      </c>
      <c r="I3407" t="s">
        <v>3651</v>
      </c>
      <c r="J3407" t="s">
        <v>34052</v>
      </c>
      <c r="K3407" t="s">
        <v>41184</v>
      </c>
      <c r="M3407" t="s">
        <v>42765</v>
      </c>
      <c r="N3407" t="s">
        <v>45095</v>
      </c>
      <c r="O3407" t="s">
        <v>45096</v>
      </c>
      <c r="P3407">
        <v>0</v>
      </c>
      <c r="Q3407">
        <v>1</v>
      </c>
      <c r="R3407" t="s">
        <v>45100</v>
      </c>
      <c r="S3407" t="s">
        <v>45228</v>
      </c>
      <c r="T3407" t="s">
        <v>46932</v>
      </c>
      <c r="U3407" t="s">
        <v>50357</v>
      </c>
      <c r="W3407" t="s">
        <v>42765</v>
      </c>
      <c r="X3407" t="s">
        <v>45102</v>
      </c>
    </row>
    <row r="3408" spans="1:24">
      <c r="A3408">
        <f>HYPERLINK("https://www.philgeps.gov.ph/GEPSNONPILOT/Tender/SplashBidNoticeAbstractUI.aspx?menuIndex=3&amp;refID=7041153&amp;Result=3","7041153")</f>
        <v>0</v>
      </c>
      <c r="B3408" t="s">
        <v>251</v>
      </c>
      <c r="C3408" t="s">
        <v>6449</v>
      </c>
      <c r="D3408" t="s">
        <v>18057</v>
      </c>
      <c r="E3408" t="s">
        <v>21201</v>
      </c>
      <c r="F3408" t="s">
        <v>31574</v>
      </c>
      <c r="G3408" t="s">
        <v>31583</v>
      </c>
      <c r="H3408" t="s">
        <v>31590</v>
      </c>
      <c r="I3408" t="s">
        <v>31603</v>
      </c>
      <c r="J3408" t="s">
        <v>32131</v>
      </c>
      <c r="K3408" t="s">
        <v>41197</v>
      </c>
      <c r="M3408" t="s">
        <v>41737</v>
      </c>
      <c r="N3408" t="s">
        <v>45095</v>
      </c>
      <c r="O3408" t="s">
        <v>45096</v>
      </c>
      <c r="P3408">
        <v>0</v>
      </c>
      <c r="Q3408">
        <v>1</v>
      </c>
      <c r="R3408" t="s">
        <v>45100</v>
      </c>
      <c r="S3408" t="s">
        <v>45228</v>
      </c>
      <c r="T3408" t="s">
        <v>47159</v>
      </c>
      <c r="U3408" t="s">
        <v>50358</v>
      </c>
      <c r="W3408" t="s">
        <v>41737</v>
      </c>
      <c r="X3408" t="s">
        <v>45102</v>
      </c>
    </row>
    <row r="3409" spans="1:24">
      <c r="A3409">
        <f>HYPERLINK("https://www.philgeps.gov.ph/GEPSNONPILOT/Tender/SplashBidNoticeAbstractUI.aspx?menuIndex=3&amp;refID=7041243&amp;Result=3","7041243")</f>
        <v>0</v>
      </c>
      <c r="B3409" t="s">
        <v>1206</v>
      </c>
      <c r="C3409" t="s">
        <v>6450</v>
      </c>
      <c r="D3409" t="s">
        <v>18051</v>
      </c>
      <c r="E3409" t="s">
        <v>21202</v>
      </c>
      <c r="F3409" t="s">
        <v>31574</v>
      </c>
      <c r="G3409" t="s">
        <v>31582</v>
      </c>
      <c r="H3409" t="s">
        <v>31591</v>
      </c>
      <c r="I3409" t="s">
        <v>8822</v>
      </c>
      <c r="J3409" t="s">
        <v>31947</v>
      </c>
      <c r="K3409" t="s">
        <v>41185</v>
      </c>
      <c r="M3409" t="s">
        <v>42766</v>
      </c>
      <c r="N3409" t="s">
        <v>45095</v>
      </c>
      <c r="O3409" t="s">
        <v>45096</v>
      </c>
      <c r="P3409">
        <v>0</v>
      </c>
      <c r="Q3409">
        <v>0</v>
      </c>
      <c r="R3409" t="s">
        <v>45100</v>
      </c>
      <c r="S3409" t="s">
        <v>45228</v>
      </c>
      <c r="T3409" t="s">
        <v>46932</v>
      </c>
      <c r="U3409" t="s">
        <v>50359</v>
      </c>
      <c r="V3409" t="s">
        <v>60187</v>
      </c>
      <c r="W3409" t="s">
        <v>42766</v>
      </c>
      <c r="X3409" t="s">
        <v>45102</v>
      </c>
    </row>
    <row r="3410" spans="1:24">
      <c r="A3410">
        <f>HYPERLINK("https://www.philgeps.gov.ph/GEPSNONPILOT/Tender/SplashBidNoticeAbstractUI.aspx?menuIndex=3&amp;refID=7041136&amp;Result=3","7041136")</f>
        <v>0</v>
      </c>
      <c r="B3410" t="s">
        <v>1207</v>
      </c>
      <c r="C3410" t="s">
        <v>6451</v>
      </c>
      <c r="E3410" t="s">
        <v>21203</v>
      </c>
      <c r="F3410" t="s">
        <v>31574</v>
      </c>
      <c r="G3410" t="s">
        <v>31581</v>
      </c>
      <c r="H3410" t="s">
        <v>31590</v>
      </c>
      <c r="I3410" t="s">
        <v>6800</v>
      </c>
      <c r="J3410" t="s">
        <v>34053</v>
      </c>
      <c r="K3410" t="s">
        <v>41184</v>
      </c>
      <c r="M3410" t="s">
        <v>42767</v>
      </c>
      <c r="N3410" t="s">
        <v>45095</v>
      </c>
      <c r="O3410" t="s">
        <v>45096</v>
      </c>
      <c r="P3410">
        <v>0</v>
      </c>
      <c r="Q3410">
        <v>19</v>
      </c>
      <c r="R3410" t="s">
        <v>45100</v>
      </c>
      <c r="S3410" t="s">
        <v>45228</v>
      </c>
      <c r="T3410" t="s">
        <v>47125</v>
      </c>
      <c r="U3410" t="s">
        <v>47721</v>
      </c>
      <c r="W3410" t="s">
        <v>42767</v>
      </c>
      <c r="X3410" t="s">
        <v>45102</v>
      </c>
    </row>
    <row r="3411" spans="1:24">
      <c r="A3411">
        <f>HYPERLINK("https://www.philgeps.gov.ph/GEPSNONPILOT/Tender/SplashBidNoticeAbstractUI.aspx?menuIndex=3&amp;refID=7041046&amp;Result=3","7041046")</f>
        <v>0</v>
      </c>
      <c r="B3411" t="s">
        <v>1205</v>
      </c>
      <c r="C3411" t="s">
        <v>6452</v>
      </c>
      <c r="D3411" t="s">
        <v>18025</v>
      </c>
      <c r="E3411" t="s">
        <v>21204</v>
      </c>
      <c r="F3411" t="s">
        <v>31574</v>
      </c>
      <c r="G3411" t="s">
        <v>31582</v>
      </c>
      <c r="H3411" t="s">
        <v>31591</v>
      </c>
      <c r="I3411" t="s">
        <v>8822</v>
      </c>
      <c r="J3411" t="s">
        <v>34054</v>
      </c>
      <c r="K3411" t="s">
        <v>41184</v>
      </c>
      <c r="M3411" t="s">
        <v>42765</v>
      </c>
      <c r="N3411" t="s">
        <v>45095</v>
      </c>
      <c r="O3411" t="s">
        <v>45096</v>
      </c>
      <c r="P3411">
        <v>0</v>
      </c>
      <c r="Q3411">
        <v>1</v>
      </c>
      <c r="R3411" t="s">
        <v>45100</v>
      </c>
      <c r="S3411" t="s">
        <v>45228</v>
      </c>
      <c r="T3411" t="s">
        <v>46932</v>
      </c>
      <c r="U3411" t="s">
        <v>50360</v>
      </c>
      <c r="W3411" t="s">
        <v>42765</v>
      </c>
      <c r="X3411" t="s">
        <v>45102</v>
      </c>
    </row>
    <row r="3412" spans="1:24">
      <c r="A3412">
        <f>HYPERLINK("https://www.philgeps.gov.ph/GEPSNONPILOT/Tender/SplashBidNoticeAbstractUI.aspx?menuIndex=3&amp;refID=7040669&amp;Result=3","7040669")</f>
        <v>0</v>
      </c>
      <c r="B3412" t="s">
        <v>1208</v>
      </c>
      <c r="C3412" t="s">
        <v>6453</v>
      </c>
      <c r="D3412" t="s">
        <v>18022</v>
      </c>
      <c r="E3412" t="s">
        <v>18368</v>
      </c>
      <c r="F3412" t="s">
        <v>31574</v>
      </c>
      <c r="G3412" t="s">
        <v>31583</v>
      </c>
      <c r="H3412" t="s">
        <v>31590</v>
      </c>
      <c r="I3412" t="s">
        <v>5717</v>
      </c>
      <c r="J3412" t="s">
        <v>31727</v>
      </c>
      <c r="K3412" t="s">
        <v>41211</v>
      </c>
      <c r="M3412" t="s">
        <v>42768</v>
      </c>
      <c r="N3412" t="s">
        <v>45095</v>
      </c>
      <c r="O3412" t="s">
        <v>45096</v>
      </c>
      <c r="P3412">
        <v>0</v>
      </c>
      <c r="Q3412">
        <v>6</v>
      </c>
      <c r="R3412" t="s">
        <v>45100</v>
      </c>
      <c r="S3412" t="s">
        <v>45228</v>
      </c>
      <c r="T3412" t="s">
        <v>47058</v>
      </c>
      <c r="U3412" t="s">
        <v>50361</v>
      </c>
      <c r="W3412" t="s">
        <v>42768</v>
      </c>
      <c r="X3412" t="s">
        <v>45103</v>
      </c>
    </row>
    <row r="3413" spans="1:24">
      <c r="A3413">
        <f>HYPERLINK("https://www.philgeps.gov.ph/GEPSNONPILOT/Tender/SplashBidNoticeAbstractUI.aspx?menuIndex=3&amp;refID=7041487&amp;Result=3","7041487")</f>
        <v>0</v>
      </c>
      <c r="B3413" t="s">
        <v>1209</v>
      </c>
      <c r="C3413" t="s">
        <v>6454</v>
      </c>
      <c r="E3413" t="s">
        <v>21205</v>
      </c>
      <c r="F3413" t="s">
        <v>31574</v>
      </c>
      <c r="G3413" t="s">
        <v>31582</v>
      </c>
      <c r="H3413" t="s">
        <v>31590</v>
      </c>
      <c r="I3413" t="s">
        <v>7162</v>
      </c>
      <c r="J3413" t="s">
        <v>32049</v>
      </c>
      <c r="K3413" t="s">
        <v>41184</v>
      </c>
      <c r="M3413" t="s">
        <v>42769</v>
      </c>
      <c r="N3413" t="s">
        <v>45095</v>
      </c>
      <c r="O3413" t="s">
        <v>45096</v>
      </c>
      <c r="P3413">
        <v>0</v>
      </c>
      <c r="Q3413">
        <v>1</v>
      </c>
      <c r="R3413" t="s">
        <v>45100</v>
      </c>
      <c r="S3413" t="s">
        <v>45228</v>
      </c>
      <c r="T3413" t="s">
        <v>46952</v>
      </c>
      <c r="U3413" t="s">
        <v>50362</v>
      </c>
      <c r="W3413" t="s">
        <v>42769</v>
      </c>
      <c r="X3413" t="s">
        <v>45102</v>
      </c>
    </row>
    <row r="3414" spans="1:24">
      <c r="A3414">
        <f>HYPERLINK("https://www.philgeps.gov.ph/GEPSNONPILOT/Tender/SplashBidNoticeAbstractUI.aspx?menuIndex=3&amp;refID=7041443&amp;Result=3","7041443")</f>
        <v>0</v>
      </c>
      <c r="B3414" t="s">
        <v>1210</v>
      </c>
      <c r="C3414" t="s">
        <v>6455</v>
      </c>
      <c r="D3414" t="s">
        <v>18056</v>
      </c>
      <c r="E3414" t="s">
        <v>21206</v>
      </c>
      <c r="F3414" t="s">
        <v>31574</v>
      </c>
      <c r="G3414" t="s">
        <v>31582</v>
      </c>
      <c r="H3414" t="s">
        <v>31591</v>
      </c>
      <c r="I3414" t="s">
        <v>8822</v>
      </c>
      <c r="J3414" t="s">
        <v>32019</v>
      </c>
      <c r="K3414" t="s">
        <v>41184</v>
      </c>
      <c r="M3414" t="s">
        <v>42770</v>
      </c>
      <c r="N3414" t="s">
        <v>45095</v>
      </c>
      <c r="O3414" t="s">
        <v>45096</v>
      </c>
      <c r="P3414">
        <v>0</v>
      </c>
      <c r="Q3414">
        <v>1</v>
      </c>
      <c r="R3414" t="s">
        <v>45100</v>
      </c>
      <c r="S3414" t="s">
        <v>45228</v>
      </c>
      <c r="T3414" t="s">
        <v>47166</v>
      </c>
      <c r="U3414" t="s">
        <v>50363</v>
      </c>
      <c r="W3414" t="s">
        <v>42770</v>
      </c>
      <c r="X3414" t="s">
        <v>45102</v>
      </c>
    </row>
    <row r="3415" spans="1:24">
      <c r="A3415">
        <f>HYPERLINK("https://www.philgeps.gov.ph/GEPSNONPILOT/Tender/SplashBidNoticeAbstractUI.aspx?menuIndex=3&amp;refID=7041463&amp;Result=3","7041463")</f>
        <v>0</v>
      </c>
      <c r="B3415" t="s">
        <v>1211</v>
      </c>
      <c r="C3415" t="s">
        <v>6456</v>
      </c>
      <c r="D3415" t="s">
        <v>18041</v>
      </c>
      <c r="E3415" t="s">
        <v>21207</v>
      </c>
      <c r="F3415" t="s">
        <v>31574</v>
      </c>
      <c r="G3415" t="s">
        <v>31581</v>
      </c>
      <c r="H3415" t="s">
        <v>31590</v>
      </c>
      <c r="I3415" t="s">
        <v>31636</v>
      </c>
      <c r="J3415" t="s">
        <v>34055</v>
      </c>
      <c r="K3415" t="s">
        <v>41191</v>
      </c>
      <c r="M3415" t="s">
        <v>42771</v>
      </c>
      <c r="N3415" t="s">
        <v>45095</v>
      </c>
      <c r="O3415" t="s">
        <v>45096</v>
      </c>
      <c r="P3415">
        <v>0</v>
      </c>
      <c r="Q3415">
        <v>0</v>
      </c>
      <c r="R3415" t="s">
        <v>45100</v>
      </c>
      <c r="S3415" t="s">
        <v>45228</v>
      </c>
      <c r="T3415" t="s">
        <v>46923</v>
      </c>
      <c r="U3415" t="s">
        <v>50364</v>
      </c>
      <c r="W3415" t="s">
        <v>61694</v>
      </c>
      <c r="X3415" t="s">
        <v>45102</v>
      </c>
    </row>
    <row r="3416" spans="1:24">
      <c r="A3416">
        <f>HYPERLINK("https://www.philgeps.gov.ph/GEPSNONPILOT/Tender/SplashBidNoticeAbstractUI.aspx?menuIndex=3&amp;refID=7042012&amp;Result=3","7042012")</f>
        <v>0</v>
      </c>
      <c r="B3416" t="s">
        <v>369</v>
      </c>
      <c r="C3416" t="s">
        <v>6457</v>
      </c>
      <c r="D3416" t="s">
        <v>18063</v>
      </c>
      <c r="E3416" t="s">
        <v>21208</v>
      </c>
      <c r="F3416" t="s">
        <v>31574</v>
      </c>
      <c r="G3416" t="s">
        <v>31581</v>
      </c>
      <c r="H3416" t="s">
        <v>31590</v>
      </c>
      <c r="I3416" t="s">
        <v>8258</v>
      </c>
      <c r="J3416" t="s">
        <v>34056</v>
      </c>
      <c r="K3416" t="s">
        <v>41196</v>
      </c>
      <c r="M3416" t="s">
        <v>41859</v>
      </c>
      <c r="N3416" t="s">
        <v>45095</v>
      </c>
      <c r="O3416" t="s">
        <v>45096</v>
      </c>
      <c r="P3416">
        <v>0</v>
      </c>
      <c r="Q3416">
        <v>3</v>
      </c>
      <c r="R3416" t="s">
        <v>45100</v>
      </c>
      <c r="S3416" t="s">
        <v>45228</v>
      </c>
      <c r="T3416" t="s">
        <v>47167</v>
      </c>
      <c r="U3416" t="s">
        <v>48200</v>
      </c>
      <c r="W3416" t="s">
        <v>61666</v>
      </c>
      <c r="X3416" t="s">
        <v>45102</v>
      </c>
    </row>
    <row r="3417" spans="1:24">
      <c r="A3417">
        <f>HYPERLINK("https://www.philgeps.gov.ph/GEPSNONPILOT/Tender/SplashBidNoticeAbstractUI.aspx?menuIndex=3&amp;refID=7041470&amp;Result=3","7041470")</f>
        <v>0</v>
      </c>
      <c r="B3417" t="s">
        <v>1204</v>
      </c>
      <c r="C3417" t="s">
        <v>6458</v>
      </c>
      <c r="D3417" t="s">
        <v>18022</v>
      </c>
      <c r="E3417" t="s">
        <v>21209</v>
      </c>
      <c r="F3417" t="s">
        <v>31574</v>
      </c>
      <c r="G3417" t="s">
        <v>31583</v>
      </c>
      <c r="H3417" t="s">
        <v>31590</v>
      </c>
      <c r="I3417" t="s">
        <v>31624</v>
      </c>
      <c r="J3417" t="s">
        <v>32153</v>
      </c>
      <c r="K3417" t="s">
        <v>41184</v>
      </c>
      <c r="M3417" t="s">
        <v>42772</v>
      </c>
      <c r="N3417" t="s">
        <v>45095</v>
      </c>
      <c r="O3417" t="s">
        <v>45096</v>
      </c>
      <c r="P3417">
        <v>0</v>
      </c>
      <c r="Q3417">
        <v>4</v>
      </c>
      <c r="R3417" t="s">
        <v>45100</v>
      </c>
      <c r="S3417" t="s">
        <v>45228</v>
      </c>
      <c r="T3417" t="s">
        <v>47050</v>
      </c>
      <c r="U3417" t="s">
        <v>50365</v>
      </c>
      <c r="W3417" t="s">
        <v>61693</v>
      </c>
      <c r="X3417" t="s">
        <v>45102</v>
      </c>
    </row>
    <row r="3418" spans="1:24">
      <c r="A3418">
        <f>HYPERLINK("https://www.philgeps.gov.ph/GEPSNONPILOT/Tender/SplashBidNoticeAbstractUI.aspx?menuIndex=3&amp;refID=7042199&amp;Result=3","7042199")</f>
        <v>0</v>
      </c>
      <c r="B3418" t="s">
        <v>1212</v>
      </c>
      <c r="C3418" t="s">
        <v>6459</v>
      </c>
      <c r="D3418" t="s">
        <v>18079</v>
      </c>
      <c r="E3418" t="s">
        <v>21210</v>
      </c>
      <c r="F3418" t="s">
        <v>31574</v>
      </c>
      <c r="G3418" t="s">
        <v>31581</v>
      </c>
      <c r="H3418" t="s">
        <v>31590</v>
      </c>
      <c r="I3418" t="s">
        <v>31616</v>
      </c>
      <c r="J3418" t="s">
        <v>34057</v>
      </c>
      <c r="K3418" t="s">
        <v>41196</v>
      </c>
      <c r="M3418" t="s">
        <v>42773</v>
      </c>
      <c r="N3418" t="s">
        <v>45095</v>
      </c>
      <c r="O3418" t="s">
        <v>45096</v>
      </c>
      <c r="P3418">
        <v>0</v>
      </c>
      <c r="Q3418">
        <v>4</v>
      </c>
      <c r="R3418" t="s">
        <v>45100</v>
      </c>
      <c r="S3418" t="s">
        <v>45228</v>
      </c>
      <c r="T3418" t="s">
        <v>47125</v>
      </c>
      <c r="U3418" t="s">
        <v>50366</v>
      </c>
      <c r="W3418" t="s">
        <v>42773</v>
      </c>
      <c r="X3418" t="s">
        <v>45102</v>
      </c>
    </row>
    <row r="3419" spans="1:24">
      <c r="A3419">
        <f>HYPERLINK("https://www.philgeps.gov.ph/GEPSNONPILOT/Tender/SplashBidNoticeAbstractUI.aspx?menuIndex=3&amp;refID=7042633&amp;Result=3","7042633")</f>
        <v>0</v>
      </c>
      <c r="B3419" t="s">
        <v>1213</v>
      </c>
      <c r="C3419" t="s">
        <v>6460</v>
      </c>
      <c r="D3419" t="s">
        <v>18066</v>
      </c>
      <c r="E3419" t="s">
        <v>21211</v>
      </c>
      <c r="F3419" t="s">
        <v>31574</v>
      </c>
      <c r="G3419" t="s">
        <v>31582</v>
      </c>
      <c r="H3419" t="s">
        <v>31591</v>
      </c>
      <c r="I3419" t="s">
        <v>8822</v>
      </c>
      <c r="J3419" t="s">
        <v>34058</v>
      </c>
      <c r="K3419" t="s">
        <v>41200</v>
      </c>
      <c r="M3419" t="s">
        <v>42774</v>
      </c>
      <c r="N3419" t="s">
        <v>45095</v>
      </c>
      <c r="O3419" t="s">
        <v>45096</v>
      </c>
      <c r="P3419">
        <v>0</v>
      </c>
      <c r="Q3419">
        <v>2</v>
      </c>
      <c r="R3419" t="s">
        <v>45100</v>
      </c>
      <c r="S3419" t="s">
        <v>45228</v>
      </c>
      <c r="T3419" t="s">
        <v>46988</v>
      </c>
      <c r="U3419" t="s">
        <v>50367</v>
      </c>
      <c r="W3419" t="s">
        <v>42774</v>
      </c>
      <c r="X3419" t="s">
        <v>45102</v>
      </c>
    </row>
    <row r="3420" spans="1:24">
      <c r="A3420">
        <f>HYPERLINK("https://www.philgeps.gov.ph/GEPSNONPILOT/Tender/SplashBidNoticeAbstractUI.aspx?menuIndex=3&amp;refID=7042628&amp;Result=3","7042628")</f>
        <v>0</v>
      </c>
      <c r="B3420" t="s">
        <v>1213</v>
      </c>
      <c r="C3420" t="s">
        <v>6461</v>
      </c>
      <c r="D3420" t="s">
        <v>18066</v>
      </c>
      <c r="E3420" t="s">
        <v>21212</v>
      </c>
      <c r="F3420" t="s">
        <v>31574</v>
      </c>
      <c r="G3420" t="s">
        <v>31582</v>
      </c>
      <c r="H3420" t="s">
        <v>31591</v>
      </c>
      <c r="I3420" t="s">
        <v>8822</v>
      </c>
      <c r="J3420" t="s">
        <v>34059</v>
      </c>
      <c r="K3420" t="s">
        <v>41256</v>
      </c>
      <c r="M3420" t="s">
        <v>42774</v>
      </c>
      <c r="N3420" t="s">
        <v>45095</v>
      </c>
      <c r="O3420" t="s">
        <v>45096</v>
      </c>
      <c r="P3420">
        <v>0</v>
      </c>
      <c r="Q3420">
        <v>2</v>
      </c>
      <c r="R3420" t="s">
        <v>45100</v>
      </c>
      <c r="S3420" t="s">
        <v>45228</v>
      </c>
      <c r="T3420" t="s">
        <v>46988</v>
      </c>
      <c r="U3420" t="s">
        <v>50368</v>
      </c>
      <c r="W3420" t="s">
        <v>42774</v>
      </c>
      <c r="X3420" t="s">
        <v>45102</v>
      </c>
    </row>
    <row r="3421" spans="1:24">
      <c r="A3421">
        <f>HYPERLINK("https://www.philgeps.gov.ph/GEPSNONPILOT/Tender/SplashBidNoticeAbstractUI.aspx?menuIndex=3&amp;refID=7042620&amp;Result=3","7042620")</f>
        <v>0</v>
      </c>
      <c r="B3421" t="s">
        <v>1213</v>
      </c>
      <c r="C3421" t="s">
        <v>6462</v>
      </c>
      <c r="D3421" t="s">
        <v>18066</v>
      </c>
      <c r="E3421" t="s">
        <v>21213</v>
      </c>
      <c r="F3421" t="s">
        <v>31574</v>
      </c>
      <c r="G3421" t="s">
        <v>31582</v>
      </c>
      <c r="H3421" t="s">
        <v>31591</v>
      </c>
      <c r="I3421" t="s">
        <v>8822</v>
      </c>
      <c r="J3421" t="s">
        <v>34059</v>
      </c>
      <c r="K3421" t="s">
        <v>41256</v>
      </c>
      <c r="M3421" t="s">
        <v>42774</v>
      </c>
      <c r="N3421" t="s">
        <v>45095</v>
      </c>
      <c r="O3421" t="s">
        <v>45096</v>
      </c>
      <c r="P3421">
        <v>0</v>
      </c>
      <c r="Q3421">
        <v>2</v>
      </c>
      <c r="R3421" t="s">
        <v>45100</v>
      </c>
      <c r="S3421" t="s">
        <v>45228</v>
      </c>
      <c r="T3421" t="s">
        <v>46988</v>
      </c>
      <c r="U3421" t="s">
        <v>50369</v>
      </c>
      <c r="W3421" t="s">
        <v>42774</v>
      </c>
      <c r="X3421" t="s">
        <v>45102</v>
      </c>
    </row>
    <row r="3422" spans="1:24">
      <c r="A3422">
        <f>HYPERLINK("https://www.philgeps.gov.ph/GEPSNONPILOT/Tender/SplashBidNoticeAbstractUI.aspx?menuIndex=3&amp;refID=7041700&amp;Result=3","7041700")</f>
        <v>0</v>
      </c>
      <c r="B3422" t="s">
        <v>1212</v>
      </c>
      <c r="C3422" t="s">
        <v>6463</v>
      </c>
      <c r="D3422" t="s">
        <v>18079</v>
      </c>
      <c r="E3422" t="s">
        <v>21214</v>
      </c>
      <c r="F3422" t="s">
        <v>31574</v>
      </c>
      <c r="G3422" t="s">
        <v>31581</v>
      </c>
      <c r="H3422" t="s">
        <v>31590</v>
      </c>
      <c r="I3422" t="s">
        <v>31596</v>
      </c>
      <c r="J3422" t="s">
        <v>34060</v>
      </c>
      <c r="K3422" t="s">
        <v>41196</v>
      </c>
      <c r="M3422" t="s">
        <v>42773</v>
      </c>
      <c r="N3422" t="s">
        <v>45095</v>
      </c>
      <c r="O3422" t="s">
        <v>45096</v>
      </c>
      <c r="P3422">
        <v>0</v>
      </c>
      <c r="Q3422">
        <v>1</v>
      </c>
      <c r="R3422" t="s">
        <v>45100</v>
      </c>
      <c r="S3422" t="s">
        <v>45228</v>
      </c>
      <c r="T3422" t="s">
        <v>47125</v>
      </c>
      <c r="U3422" t="s">
        <v>50370</v>
      </c>
      <c r="W3422" t="s">
        <v>42773</v>
      </c>
      <c r="X3422" t="s">
        <v>45102</v>
      </c>
    </row>
    <row r="3423" spans="1:24">
      <c r="A3423">
        <f>HYPERLINK("https://www.philgeps.gov.ph/GEPSNONPILOT/Tender/SplashBidNoticeAbstractUI.aspx?menuIndex=3&amp;refID=7042591&amp;Result=3","7042591")</f>
        <v>0</v>
      </c>
      <c r="B3423" t="s">
        <v>1213</v>
      </c>
      <c r="C3423" t="s">
        <v>6464</v>
      </c>
      <c r="D3423" t="s">
        <v>18066</v>
      </c>
      <c r="E3423" t="s">
        <v>21215</v>
      </c>
      <c r="F3423" t="s">
        <v>31574</v>
      </c>
      <c r="G3423" t="s">
        <v>31582</v>
      </c>
      <c r="H3423" t="s">
        <v>31591</v>
      </c>
      <c r="I3423" t="s">
        <v>8822</v>
      </c>
      <c r="J3423" t="s">
        <v>34059</v>
      </c>
      <c r="K3423" t="s">
        <v>41256</v>
      </c>
      <c r="M3423" t="s">
        <v>42774</v>
      </c>
      <c r="N3423" t="s">
        <v>45095</v>
      </c>
      <c r="O3423" t="s">
        <v>45096</v>
      </c>
      <c r="P3423">
        <v>0</v>
      </c>
      <c r="Q3423">
        <v>2</v>
      </c>
      <c r="R3423" t="s">
        <v>45100</v>
      </c>
      <c r="S3423" t="s">
        <v>45228</v>
      </c>
      <c r="T3423" t="s">
        <v>46988</v>
      </c>
      <c r="U3423" t="s">
        <v>50371</v>
      </c>
      <c r="W3423" t="s">
        <v>42774</v>
      </c>
      <c r="X3423" t="s">
        <v>45102</v>
      </c>
    </row>
    <row r="3424" spans="1:24">
      <c r="A3424">
        <f>HYPERLINK("https://www.philgeps.gov.ph/GEPSNONPILOT/Tender/SplashBidNoticeAbstractUI.aspx?menuIndex=3&amp;refID=7042608&amp;Result=3","7042608")</f>
        <v>0</v>
      </c>
      <c r="B3424" t="s">
        <v>1213</v>
      </c>
      <c r="C3424" t="s">
        <v>6465</v>
      </c>
      <c r="D3424" t="s">
        <v>18066</v>
      </c>
      <c r="E3424" t="s">
        <v>21216</v>
      </c>
      <c r="F3424" t="s">
        <v>31574</v>
      </c>
      <c r="G3424" t="s">
        <v>31582</v>
      </c>
      <c r="H3424" t="s">
        <v>31591</v>
      </c>
      <c r="I3424" t="s">
        <v>8822</v>
      </c>
      <c r="J3424" t="s">
        <v>34059</v>
      </c>
      <c r="K3424" t="s">
        <v>41256</v>
      </c>
      <c r="M3424" t="s">
        <v>42774</v>
      </c>
      <c r="N3424" t="s">
        <v>45095</v>
      </c>
      <c r="O3424" t="s">
        <v>45096</v>
      </c>
      <c r="P3424">
        <v>0</v>
      </c>
      <c r="Q3424">
        <v>2</v>
      </c>
      <c r="R3424" t="s">
        <v>45100</v>
      </c>
      <c r="S3424" t="s">
        <v>45228</v>
      </c>
      <c r="T3424" t="s">
        <v>46988</v>
      </c>
      <c r="U3424" t="s">
        <v>50372</v>
      </c>
      <c r="W3424" t="s">
        <v>42774</v>
      </c>
      <c r="X3424" t="s">
        <v>45102</v>
      </c>
    </row>
    <row r="3425" spans="1:24">
      <c r="A3425">
        <f>HYPERLINK("https://www.philgeps.gov.ph/GEPSNONPILOT/Tender/SplashBidNoticeAbstractUI.aspx?menuIndex=3&amp;refID=7041757&amp;Result=3","7041757")</f>
        <v>0</v>
      </c>
      <c r="B3425" t="s">
        <v>1212</v>
      </c>
      <c r="C3425" t="s">
        <v>6466</v>
      </c>
      <c r="D3425" t="s">
        <v>18079</v>
      </c>
      <c r="E3425" t="s">
        <v>21217</v>
      </c>
      <c r="F3425" t="s">
        <v>31574</v>
      </c>
      <c r="G3425" t="s">
        <v>31581</v>
      </c>
      <c r="H3425" t="s">
        <v>31590</v>
      </c>
      <c r="I3425" t="s">
        <v>4677</v>
      </c>
      <c r="J3425" t="s">
        <v>34061</v>
      </c>
      <c r="K3425" t="s">
        <v>41196</v>
      </c>
      <c r="M3425" t="s">
        <v>42773</v>
      </c>
      <c r="N3425" t="s">
        <v>45095</v>
      </c>
      <c r="O3425" t="s">
        <v>45096</v>
      </c>
      <c r="P3425">
        <v>0</v>
      </c>
      <c r="Q3425">
        <v>1</v>
      </c>
      <c r="R3425" t="s">
        <v>45100</v>
      </c>
      <c r="S3425" t="s">
        <v>45228</v>
      </c>
      <c r="T3425" t="s">
        <v>47125</v>
      </c>
      <c r="U3425" t="s">
        <v>50373</v>
      </c>
      <c r="W3425" t="s">
        <v>42773</v>
      </c>
      <c r="X3425" t="s">
        <v>45102</v>
      </c>
    </row>
    <row r="3426" spans="1:24">
      <c r="A3426">
        <f>HYPERLINK("https://www.philgeps.gov.ph/GEPSNONPILOT/Tender/SplashBidNoticeAbstractUI.aspx?menuIndex=3&amp;refID=7042624&amp;Result=3","7042624")</f>
        <v>0</v>
      </c>
      <c r="B3426" t="s">
        <v>1213</v>
      </c>
      <c r="C3426" t="s">
        <v>6467</v>
      </c>
      <c r="D3426" t="s">
        <v>18066</v>
      </c>
      <c r="E3426" t="s">
        <v>21218</v>
      </c>
      <c r="F3426" t="s">
        <v>31574</v>
      </c>
      <c r="G3426" t="s">
        <v>31582</v>
      </c>
      <c r="H3426" t="s">
        <v>31591</v>
      </c>
      <c r="I3426" t="s">
        <v>8822</v>
      </c>
      <c r="J3426" t="s">
        <v>34059</v>
      </c>
      <c r="K3426" t="s">
        <v>41256</v>
      </c>
      <c r="M3426" t="s">
        <v>42774</v>
      </c>
      <c r="N3426" t="s">
        <v>45095</v>
      </c>
      <c r="O3426" t="s">
        <v>45096</v>
      </c>
      <c r="P3426">
        <v>0</v>
      </c>
      <c r="Q3426">
        <v>2</v>
      </c>
      <c r="R3426" t="s">
        <v>45100</v>
      </c>
      <c r="S3426" t="s">
        <v>45228</v>
      </c>
      <c r="T3426" t="s">
        <v>46988</v>
      </c>
      <c r="U3426" t="s">
        <v>50374</v>
      </c>
      <c r="W3426" t="s">
        <v>42774</v>
      </c>
      <c r="X3426" t="s">
        <v>45102</v>
      </c>
    </row>
    <row r="3427" spans="1:24">
      <c r="A3427">
        <f>HYPERLINK("https://www.philgeps.gov.ph/GEPSNONPILOT/Tender/SplashBidNoticeAbstractUI.aspx?menuIndex=3&amp;refID=7041691&amp;Result=3","7041691")</f>
        <v>0</v>
      </c>
      <c r="B3427" t="s">
        <v>1214</v>
      </c>
      <c r="C3427" t="s">
        <v>6468</v>
      </c>
      <c r="D3427" t="s">
        <v>18056</v>
      </c>
      <c r="E3427" t="s">
        <v>21219</v>
      </c>
      <c r="F3427" t="s">
        <v>31574</v>
      </c>
      <c r="G3427" t="s">
        <v>31582</v>
      </c>
      <c r="H3427" t="s">
        <v>31591</v>
      </c>
      <c r="I3427" t="s">
        <v>8822</v>
      </c>
      <c r="J3427" t="s">
        <v>32019</v>
      </c>
      <c r="K3427" t="s">
        <v>41184</v>
      </c>
      <c r="M3427" t="s">
        <v>42775</v>
      </c>
      <c r="N3427" t="s">
        <v>45095</v>
      </c>
      <c r="O3427" t="s">
        <v>45096</v>
      </c>
      <c r="P3427">
        <v>0</v>
      </c>
      <c r="Q3427">
        <v>0</v>
      </c>
      <c r="R3427" t="s">
        <v>45100</v>
      </c>
      <c r="S3427" t="s">
        <v>45228</v>
      </c>
      <c r="T3427" t="s">
        <v>47166</v>
      </c>
      <c r="U3427" t="s">
        <v>50375</v>
      </c>
      <c r="W3427" t="s">
        <v>42775</v>
      </c>
      <c r="X3427" t="s">
        <v>45102</v>
      </c>
    </row>
    <row r="3428" spans="1:24">
      <c r="A3428">
        <f>HYPERLINK("https://www.philgeps.gov.ph/GEPSNONPILOT/Tender/SplashBidNoticeAbstractUI.aspx?menuIndex=3&amp;refID=7042360&amp;Result=3","7042360")</f>
        <v>0</v>
      </c>
      <c r="B3428" t="s">
        <v>703</v>
      </c>
      <c r="C3428" t="s">
        <v>6469</v>
      </c>
      <c r="D3428" t="s">
        <v>18022</v>
      </c>
      <c r="E3428" t="s">
        <v>18199</v>
      </c>
      <c r="F3428" t="s">
        <v>31574</v>
      </c>
      <c r="G3428" t="s">
        <v>31581</v>
      </c>
      <c r="H3428" t="s">
        <v>31590</v>
      </c>
      <c r="I3428" t="s">
        <v>7185</v>
      </c>
      <c r="J3428" t="s">
        <v>34062</v>
      </c>
      <c r="K3428" t="s">
        <v>41186</v>
      </c>
      <c r="M3428" t="s">
        <v>42211</v>
      </c>
      <c r="N3428" t="s">
        <v>45095</v>
      </c>
      <c r="O3428" t="s">
        <v>45096</v>
      </c>
      <c r="P3428">
        <v>0</v>
      </c>
      <c r="Q3428">
        <v>3</v>
      </c>
      <c r="R3428" t="s">
        <v>45100</v>
      </c>
      <c r="S3428" t="s">
        <v>45228</v>
      </c>
      <c r="T3428" t="s">
        <v>47125</v>
      </c>
      <c r="U3428" t="s">
        <v>50376</v>
      </c>
      <c r="W3428" t="s">
        <v>42211</v>
      </c>
      <c r="X3428" t="s">
        <v>45102</v>
      </c>
    </row>
    <row r="3429" spans="1:24">
      <c r="A3429">
        <f>HYPERLINK("https://www.philgeps.gov.ph/GEPSNONPILOT/Tender/SplashBidNoticeAbstractUI.aspx?menuIndex=3&amp;refID=7042672&amp;Result=3","7042672")</f>
        <v>0</v>
      </c>
      <c r="B3429" t="s">
        <v>1215</v>
      </c>
      <c r="C3429" t="s">
        <v>6470</v>
      </c>
      <c r="D3429" t="s">
        <v>18030</v>
      </c>
      <c r="E3429" t="s">
        <v>21220</v>
      </c>
      <c r="F3429" t="s">
        <v>31574</v>
      </c>
      <c r="G3429" t="s">
        <v>31581</v>
      </c>
      <c r="H3429" t="s">
        <v>31590</v>
      </c>
      <c r="I3429" t="s">
        <v>8258</v>
      </c>
      <c r="J3429" t="s">
        <v>34063</v>
      </c>
      <c r="K3429" t="s">
        <v>41184</v>
      </c>
      <c r="M3429" t="s">
        <v>42776</v>
      </c>
      <c r="N3429" t="s">
        <v>45095</v>
      </c>
      <c r="O3429" t="s">
        <v>45096</v>
      </c>
      <c r="P3429">
        <v>0</v>
      </c>
      <c r="Q3429">
        <v>0</v>
      </c>
      <c r="R3429" t="s">
        <v>45100</v>
      </c>
      <c r="S3429" t="s">
        <v>45228</v>
      </c>
      <c r="T3429" t="s">
        <v>46904</v>
      </c>
      <c r="U3429" t="s">
        <v>50377</v>
      </c>
      <c r="V3429" t="s">
        <v>60188</v>
      </c>
      <c r="W3429" t="s">
        <v>42776</v>
      </c>
      <c r="X3429" t="s">
        <v>45102</v>
      </c>
    </row>
    <row r="3430" spans="1:24">
      <c r="A3430">
        <f>HYPERLINK("https://www.philgeps.gov.ph/GEPSNONPILOT/Tender/SplashBidNoticeAbstractUI.aspx?menuIndex=3&amp;refID=7041686&amp;Result=3","7041686")</f>
        <v>0</v>
      </c>
      <c r="B3430" t="s">
        <v>1216</v>
      </c>
      <c r="C3430" t="s">
        <v>6471</v>
      </c>
      <c r="D3430" t="s">
        <v>18040</v>
      </c>
      <c r="E3430" t="s">
        <v>21221</v>
      </c>
      <c r="F3430" t="s">
        <v>31574</v>
      </c>
      <c r="G3430" t="s">
        <v>31584</v>
      </c>
      <c r="H3430" t="s">
        <v>31590</v>
      </c>
      <c r="I3430" t="s">
        <v>6800</v>
      </c>
      <c r="J3430" t="s">
        <v>34064</v>
      </c>
      <c r="K3430" t="s">
        <v>41186</v>
      </c>
      <c r="M3430" t="s">
        <v>42777</v>
      </c>
      <c r="N3430" t="s">
        <v>45095</v>
      </c>
      <c r="O3430" t="s">
        <v>45096</v>
      </c>
      <c r="P3430">
        <v>0</v>
      </c>
      <c r="Q3430">
        <v>6</v>
      </c>
      <c r="R3430" t="s">
        <v>45100</v>
      </c>
      <c r="S3430" t="s">
        <v>45228</v>
      </c>
      <c r="T3430" t="s">
        <v>47168</v>
      </c>
      <c r="U3430" t="s">
        <v>50378</v>
      </c>
      <c r="W3430" t="s">
        <v>42777</v>
      </c>
      <c r="X3430" t="s">
        <v>45102</v>
      </c>
    </row>
    <row r="3431" spans="1:24">
      <c r="A3431">
        <f>HYPERLINK("https://www.philgeps.gov.ph/GEPSNONPILOT/Tender/SplashBidNoticeAbstractUI.aspx?menuIndex=3&amp;refID=7042293&amp;Result=3","7042293")</f>
        <v>0</v>
      </c>
      <c r="B3431" t="s">
        <v>87</v>
      </c>
      <c r="C3431" t="s">
        <v>6472</v>
      </c>
      <c r="D3431" t="s">
        <v>18054</v>
      </c>
      <c r="E3431" t="s">
        <v>21222</v>
      </c>
      <c r="F3431" t="s">
        <v>31574</v>
      </c>
      <c r="G3431" t="s">
        <v>31581</v>
      </c>
      <c r="H3431" t="s">
        <v>31590</v>
      </c>
      <c r="I3431" t="s">
        <v>31607</v>
      </c>
      <c r="J3431" t="s">
        <v>31780</v>
      </c>
      <c r="K3431" t="s">
        <v>41186</v>
      </c>
      <c r="M3431" t="s">
        <v>41571</v>
      </c>
      <c r="N3431" t="s">
        <v>45095</v>
      </c>
      <c r="O3431" t="s">
        <v>45096</v>
      </c>
      <c r="P3431">
        <v>0</v>
      </c>
      <c r="Q3431">
        <v>2</v>
      </c>
      <c r="R3431" t="s">
        <v>45100</v>
      </c>
      <c r="S3431" t="s">
        <v>45228</v>
      </c>
      <c r="T3431" t="s">
        <v>47077</v>
      </c>
      <c r="U3431" t="s">
        <v>50379</v>
      </c>
      <c r="W3431" t="s">
        <v>41571</v>
      </c>
      <c r="X3431" t="s">
        <v>45102</v>
      </c>
    </row>
    <row r="3432" spans="1:24">
      <c r="A3432">
        <f>HYPERLINK("https://www.philgeps.gov.ph/GEPSNONPILOT/Tender/SplashBidNoticeAbstractUI.aspx?menuIndex=3&amp;refID=7042669&amp;Result=3","7042669")</f>
        <v>0</v>
      </c>
      <c r="B3432" t="s">
        <v>1217</v>
      </c>
      <c r="C3432" t="s">
        <v>6473</v>
      </c>
      <c r="D3432" t="s">
        <v>18073</v>
      </c>
      <c r="E3432" t="s">
        <v>21223</v>
      </c>
      <c r="F3432" t="s">
        <v>31574</v>
      </c>
      <c r="G3432" t="s">
        <v>31581</v>
      </c>
      <c r="H3432" t="s">
        <v>31590</v>
      </c>
      <c r="I3432" t="s">
        <v>31608</v>
      </c>
      <c r="J3432" t="s">
        <v>32147</v>
      </c>
      <c r="K3432" t="s">
        <v>41211</v>
      </c>
      <c r="M3432" t="s">
        <v>42778</v>
      </c>
      <c r="N3432" t="s">
        <v>45095</v>
      </c>
      <c r="O3432" t="s">
        <v>45096</v>
      </c>
      <c r="P3432">
        <v>0</v>
      </c>
      <c r="Q3432">
        <v>0</v>
      </c>
      <c r="R3432" t="s">
        <v>45100</v>
      </c>
      <c r="S3432" t="s">
        <v>45228</v>
      </c>
      <c r="T3432" t="s">
        <v>46936</v>
      </c>
      <c r="U3432" t="s">
        <v>50380</v>
      </c>
      <c r="W3432" t="s">
        <v>42778</v>
      </c>
      <c r="X3432" t="s">
        <v>45102</v>
      </c>
    </row>
    <row r="3433" spans="1:24">
      <c r="A3433">
        <f>HYPERLINK("https://www.philgeps.gov.ph/GEPSNONPILOT/Tender/SplashBidNoticeAbstractUI.aspx?menuIndex=3&amp;refID=7042651&amp;Result=3","7042651")</f>
        <v>0</v>
      </c>
      <c r="B3433" t="s">
        <v>1215</v>
      </c>
      <c r="C3433" t="s">
        <v>6470</v>
      </c>
      <c r="D3433" t="s">
        <v>18030</v>
      </c>
      <c r="E3433" t="s">
        <v>21224</v>
      </c>
      <c r="F3433" t="s">
        <v>31574</v>
      </c>
      <c r="G3433" t="s">
        <v>31581</v>
      </c>
      <c r="H3433" t="s">
        <v>31590</v>
      </c>
      <c r="I3433" t="s">
        <v>8258</v>
      </c>
      <c r="J3433" t="s">
        <v>34065</v>
      </c>
      <c r="K3433" t="s">
        <v>41184</v>
      </c>
      <c r="M3433" t="s">
        <v>42776</v>
      </c>
      <c r="N3433" t="s">
        <v>45095</v>
      </c>
      <c r="O3433" t="s">
        <v>45096</v>
      </c>
      <c r="P3433">
        <v>0</v>
      </c>
      <c r="Q3433">
        <v>0</v>
      </c>
      <c r="R3433" t="s">
        <v>45100</v>
      </c>
      <c r="S3433" t="s">
        <v>45228</v>
      </c>
      <c r="T3433" t="s">
        <v>46904</v>
      </c>
      <c r="U3433" t="s">
        <v>50381</v>
      </c>
      <c r="V3433" t="s">
        <v>60188</v>
      </c>
      <c r="W3433" t="s">
        <v>42776</v>
      </c>
      <c r="X3433" t="s">
        <v>45102</v>
      </c>
    </row>
    <row r="3434" spans="1:24">
      <c r="A3434">
        <f>HYPERLINK("https://www.philgeps.gov.ph/GEPSNONPILOT/Tender/SplashBidNoticeAbstractUI.aspx?menuIndex=3&amp;refID=7042687&amp;Result=3","7042687")</f>
        <v>0</v>
      </c>
      <c r="B3434" t="s">
        <v>1213</v>
      </c>
      <c r="C3434" t="s">
        <v>6474</v>
      </c>
      <c r="D3434" t="s">
        <v>18066</v>
      </c>
      <c r="E3434" t="s">
        <v>21225</v>
      </c>
      <c r="F3434" t="s">
        <v>31574</v>
      </c>
      <c r="G3434" t="s">
        <v>31582</v>
      </c>
      <c r="H3434" t="s">
        <v>31591</v>
      </c>
      <c r="I3434" t="s">
        <v>8822</v>
      </c>
      <c r="J3434" t="s">
        <v>34066</v>
      </c>
      <c r="K3434" t="s">
        <v>41189</v>
      </c>
      <c r="M3434" t="s">
        <v>42774</v>
      </c>
      <c r="N3434" t="s">
        <v>45095</v>
      </c>
      <c r="O3434" t="s">
        <v>45096</v>
      </c>
      <c r="P3434">
        <v>0</v>
      </c>
      <c r="Q3434">
        <v>1</v>
      </c>
      <c r="R3434" t="s">
        <v>45100</v>
      </c>
      <c r="S3434" t="s">
        <v>45228</v>
      </c>
      <c r="T3434" t="s">
        <v>46988</v>
      </c>
      <c r="U3434" t="s">
        <v>50382</v>
      </c>
      <c r="W3434" t="s">
        <v>42774</v>
      </c>
      <c r="X3434" t="s">
        <v>45102</v>
      </c>
    </row>
    <row r="3435" spans="1:24">
      <c r="A3435">
        <f>HYPERLINK("https://www.philgeps.gov.ph/GEPSNONPILOT/Tender/SplashBidNoticeAbstractUI.aspx?menuIndex=3&amp;refID=7042269&amp;Result=3","7042269")</f>
        <v>0</v>
      </c>
      <c r="B3435" t="s">
        <v>703</v>
      </c>
      <c r="C3435" t="s">
        <v>6475</v>
      </c>
      <c r="D3435" t="s">
        <v>18022</v>
      </c>
      <c r="E3435" t="s">
        <v>19701</v>
      </c>
      <c r="F3435" t="s">
        <v>31574</v>
      </c>
      <c r="G3435" t="s">
        <v>31581</v>
      </c>
      <c r="H3435" t="s">
        <v>31590</v>
      </c>
      <c r="I3435" t="s">
        <v>7185</v>
      </c>
      <c r="J3435" t="s">
        <v>34067</v>
      </c>
      <c r="K3435" t="s">
        <v>41186</v>
      </c>
      <c r="M3435" t="s">
        <v>42211</v>
      </c>
      <c r="N3435" t="s">
        <v>45095</v>
      </c>
      <c r="O3435" t="s">
        <v>45096</v>
      </c>
      <c r="P3435">
        <v>0</v>
      </c>
      <c r="Q3435">
        <v>4</v>
      </c>
      <c r="R3435" t="s">
        <v>45100</v>
      </c>
      <c r="S3435" t="s">
        <v>45228</v>
      </c>
      <c r="T3435" t="s">
        <v>46957</v>
      </c>
      <c r="U3435" t="s">
        <v>50383</v>
      </c>
      <c r="W3435" t="s">
        <v>42211</v>
      </c>
      <c r="X3435" t="s">
        <v>45102</v>
      </c>
    </row>
    <row r="3436" spans="1:24">
      <c r="A3436">
        <f>HYPERLINK("https://www.philgeps.gov.ph/GEPSNONPILOT/Tender/SplashBidNoticeAbstractUI.aspx?menuIndex=3&amp;refID=7042529&amp;Result=3","7042529")</f>
        <v>0</v>
      </c>
      <c r="B3436" t="s">
        <v>1218</v>
      </c>
      <c r="C3436" t="s">
        <v>6476</v>
      </c>
      <c r="D3436" t="s">
        <v>18054</v>
      </c>
      <c r="E3436" t="s">
        <v>21226</v>
      </c>
      <c r="F3436" t="s">
        <v>31574</v>
      </c>
      <c r="G3436" t="s">
        <v>31582</v>
      </c>
      <c r="H3436" t="s">
        <v>31590</v>
      </c>
      <c r="I3436" t="s">
        <v>4046</v>
      </c>
      <c r="J3436" t="s">
        <v>34068</v>
      </c>
      <c r="K3436" t="s">
        <v>41186</v>
      </c>
      <c r="M3436" t="s">
        <v>42779</v>
      </c>
      <c r="N3436" t="s">
        <v>45095</v>
      </c>
      <c r="O3436" t="s">
        <v>45096</v>
      </c>
      <c r="P3436">
        <v>0</v>
      </c>
      <c r="Q3436">
        <v>0</v>
      </c>
      <c r="R3436" t="s">
        <v>45100</v>
      </c>
      <c r="S3436" t="s">
        <v>45228</v>
      </c>
      <c r="T3436" t="s">
        <v>46915</v>
      </c>
      <c r="U3436" t="s">
        <v>50384</v>
      </c>
      <c r="V3436" t="s">
        <v>60189</v>
      </c>
      <c r="W3436" t="s">
        <v>42779</v>
      </c>
      <c r="X3436" t="s">
        <v>45102</v>
      </c>
    </row>
    <row r="3437" spans="1:24">
      <c r="A3437">
        <f>HYPERLINK("https://www.philgeps.gov.ph/GEPSNONPILOT/Tender/SplashBidNoticeAbstractUI.aspx?menuIndex=3&amp;refID=7042638&amp;Result=3","7042638")</f>
        <v>0</v>
      </c>
      <c r="B3437" t="s">
        <v>1213</v>
      </c>
      <c r="C3437" t="s">
        <v>6477</v>
      </c>
      <c r="D3437" t="s">
        <v>18066</v>
      </c>
      <c r="E3437" t="s">
        <v>21227</v>
      </c>
      <c r="F3437" t="s">
        <v>31574</v>
      </c>
      <c r="G3437" t="s">
        <v>31582</v>
      </c>
      <c r="H3437" t="s">
        <v>31591</v>
      </c>
      <c r="I3437" t="s">
        <v>8822</v>
      </c>
      <c r="J3437" t="s">
        <v>34069</v>
      </c>
      <c r="K3437" t="s">
        <v>41189</v>
      </c>
      <c r="M3437" t="s">
        <v>42774</v>
      </c>
      <c r="N3437" t="s">
        <v>45095</v>
      </c>
      <c r="O3437" t="s">
        <v>45096</v>
      </c>
      <c r="P3437">
        <v>0</v>
      </c>
      <c r="Q3437">
        <v>1</v>
      </c>
      <c r="R3437" t="s">
        <v>45100</v>
      </c>
      <c r="S3437" t="s">
        <v>45228</v>
      </c>
      <c r="T3437" t="s">
        <v>46988</v>
      </c>
      <c r="U3437" t="s">
        <v>50385</v>
      </c>
      <c r="W3437" t="s">
        <v>42774</v>
      </c>
      <c r="X3437" t="s">
        <v>45102</v>
      </c>
    </row>
    <row r="3438" spans="1:24">
      <c r="A3438">
        <f>HYPERLINK("https://www.philgeps.gov.ph/GEPSNONPILOT/Tender/SplashBidNoticeAbstractUI.aspx?menuIndex=3&amp;refID=7042819&amp;Result=3","7042819")</f>
        <v>0</v>
      </c>
      <c r="B3438" t="s">
        <v>1213</v>
      </c>
      <c r="C3438" t="s">
        <v>6478</v>
      </c>
      <c r="D3438" t="s">
        <v>18066</v>
      </c>
      <c r="E3438" t="s">
        <v>21228</v>
      </c>
      <c r="F3438" t="s">
        <v>31574</v>
      </c>
      <c r="G3438" t="s">
        <v>31582</v>
      </c>
      <c r="H3438" t="s">
        <v>31591</v>
      </c>
      <c r="I3438" t="s">
        <v>8822</v>
      </c>
      <c r="J3438" t="s">
        <v>34070</v>
      </c>
      <c r="K3438" t="s">
        <v>41243</v>
      </c>
      <c r="M3438" t="s">
        <v>42774</v>
      </c>
      <c r="N3438" t="s">
        <v>45095</v>
      </c>
      <c r="O3438" t="s">
        <v>45096</v>
      </c>
      <c r="P3438">
        <v>0</v>
      </c>
      <c r="Q3438">
        <v>1</v>
      </c>
      <c r="R3438" t="s">
        <v>45100</v>
      </c>
      <c r="S3438" t="s">
        <v>45228</v>
      </c>
      <c r="T3438" t="s">
        <v>46988</v>
      </c>
      <c r="U3438" t="s">
        <v>50386</v>
      </c>
      <c r="W3438" t="s">
        <v>42774</v>
      </c>
      <c r="X3438" t="s">
        <v>45102</v>
      </c>
    </row>
    <row r="3439" spans="1:24">
      <c r="A3439">
        <f>HYPERLINK("https://www.philgeps.gov.ph/GEPSNONPILOT/Tender/SplashBidNoticeAbstractUI.aspx?menuIndex=3&amp;refID=7042585&amp;Result=3","7042585")</f>
        <v>0</v>
      </c>
      <c r="B3439" t="s">
        <v>1213</v>
      </c>
      <c r="C3439" t="s">
        <v>6479</v>
      </c>
      <c r="D3439" t="s">
        <v>18066</v>
      </c>
      <c r="E3439" t="s">
        <v>21229</v>
      </c>
      <c r="F3439" t="s">
        <v>31574</v>
      </c>
      <c r="G3439" t="s">
        <v>31582</v>
      </c>
      <c r="H3439" t="s">
        <v>31591</v>
      </c>
      <c r="I3439" t="s">
        <v>8822</v>
      </c>
      <c r="J3439" t="s">
        <v>34071</v>
      </c>
      <c r="K3439" t="s">
        <v>41256</v>
      </c>
      <c r="M3439" t="s">
        <v>42774</v>
      </c>
      <c r="N3439" t="s">
        <v>45095</v>
      </c>
      <c r="O3439" t="s">
        <v>45096</v>
      </c>
      <c r="P3439">
        <v>0</v>
      </c>
      <c r="Q3439">
        <v>2</v>
      </c>
      <c r="R3439" t="s">
        <v>45100</v>
      </c>
      <c r="S3439" t="s">
        <v>45228</v>
      </c>
      <c r="T3439" t="s">
        <v>46988</v>
      </c>
      <c r="U3439" t="s">
        <v>50387</v>
      </c>
      <c r="W3439" t="s">
        <v>42774</v>
      </c>
      <c r="X3439" t="s">
        <v>45102</v>
      </c>
    </row>
    <row r="3440" spans="1:24">
      <c r="A3440">
        <f>HYPERLINK("https://www.philgeps.gov.ph/GEPSNONPILOT/Tender/SplashBidNoticeAbstractUI.aspx?menuIndex=3&amp;refID=7042813&amp;Result=3","7042813")</f>
        <v>0</v>
      </c>
      <c r="B3440" t="s">
        <v>1197</v>
      </c>
      <c r="C3440" t="s">
        <v>6480</v>
      </c>
      <c r="D3440" t="s">
        <v>18073</v>
      </c>
      <c r="E3440" t="s">
        <v>21230</v>
      </c>
      <c r="F3440" t="s">
        <v>31574</v>
      </c>
      <c r="G3440" t="s">
        <v>31581</v>
      </c>
      <c r="H3440" t="s">
        <v>31590</v>
      </c>
      <c r="I3440" t="s">
        <v>31602</v>
      </c>
      <c r="J3440" t="s">
        <v>34072</v>
      </c>
      <c r="K3440" t="s">
        <v>41190</v>
      </c>
      <c r="M3440" t="s">
        <v>42757</v>
      </c>
      <c r="N3440" t="s">
        <v>45095</v>
      </c>
      <c r="O3440" t="s">
        <v>45096</v>
      </c>
      <c r="P3440">
        <v>0</v>
      </c>
      <c r="Q3440">
        <v>1</v>
      </c>
      <c r="R3440" t="s">
        <v>45100</v>
      </c>
      <c r="S3440" t="s">
        <v>45228</v>
      </c>
      <c r="T3440" t="s">
        <v>47159</v>
      </c>
      <c r="U3440" t="s">
        <v>50388</v>
      </c>
      <c r="W3440" t="s">
        <v>42757</v>
      </c>
      <c r="X3440" t="s">
        <v>45102</v>
      </c>
    </row>
    <row r="3441" spans="1:24">
      <c r="A3441">
        <f>HYPERLINK("https://www.philgeps.gov.ph/GEPSNONPILOT/Tender/SplashBidNoticeAbstractUI.aspx?menuIndex=3&amp;refID=7043059&amp;Result=3","7043059")</f>
        <v>0</v>
      </c>
      <c r="B3441" t="s">
        <v>24</v>
      </c>
      <c r="C3441" t="s">
        <v>6481</v>
      </c>
      <c r="D3441" t="s">
        <v>18022</v>
      </c>
      <c r="E3441" t="s">
        <v>21231</v>
      </c>
      <c r="F3441" t="s">
        <v>31574</v>
      </c>
      <c r="G3441" t="s">
        <v>31581</v>
      </c>
      <c r="H3441" t="s">
        <v>31590</v>
      </c>
      <c r="I3441" t="s">
        <v>31594</v>
      </c>
      <c r="J3441" t="s">
        <v>34073</v>
      </c>
      <c r="K3441" t="s">
        <v>41184</v>
      </c>
      <c r="M3441" t="s">
        <v>42780</v>
      </c>
      <c r="N3441" t="s">
        <v>45095</v>
      </c>
      <c r="O3441" t="s">
        <v>45096</v>
      </c>
      <c r="P3441">
        <v>0</v>
      </c>
      <c r="Q3441">
        <v>3</v>
      </c>
      <c r="R3441" t="s">
        <v>45100</v>
      </c>
      <c r="S3441" t="s">
        <v>45228</v>
      </c>
      <c r="T3441" t="s">
        <v>47125</v>
      </c>
      <c r="U3441" t="s">
        <v>50389</v>
      </c>
      <c r="W3441" t="s">
        <v>42780</v>
      </c>
      <c r="X3441" t="s">
        <v>45102</v>
      </c>
    </row>
    <row r="3442" spans="1:24">
      <c r="A3442">
        <f>HYPERLINK("https://www.philgeps.gov.ph/GEPSNONPILOT/Tender/SplashBidNoticeAbstractUI.aspx?menuIndex=3&amp;refID=7043308&amp;Result=3","7043308")</f>
        <v>0</v>
      </c>
      <c r="B3442" t="s">
        <v>1219</v>
      </c>
      <c r="C3442" t="s">
        <v>6482</v>
      </c>
      <c r="D3442" t="s">
        <v>18041</v>
      </c>
      <c r="E3442" t="s">
        <v>21232</v>
      </c>
      <c r="F3442" t="s">
        <v>31574</v>
      </c>
      <c r="G3442" t="s">
        <v>31581</v>
      </c>
      <c r="H3442" t="s">
        <v>31590</v>
      </c>
      <c r="I3442" t="s">
        <v>3487</v>
      </c>
      <c r="J3442" t="s">
        <v>34074</v>
      </c>
      <c r="K3442" t="s">
        <v>41193</v>
      </c>
      <c r="M3442" t="s">
        <v>42781</v>
      </c>
      <c r="N3442" t="s">
        <v>45095</v>
      </c>
      <c r="O3442" t="s">
        <v>45096</v>
      </c>
      <c r="P3442">
        <v>0</v>
      </c>
      <c r="Q3442">
        <v>0</v>
      </c>
      <c r="R3442" t="s">
        <v>45100</v>
      </c>
      <c r="S3442" t="s">
        <v>45228</v>
      </c>
      <c r="T3442" t="s">
        <v>47159</v>
      </c>
      <c r="U3442" t="s">
        <v>50390</v>
      </c>
      <c r="W3442" t="s">
        <v>42781</v>
      </c>
      <c r="X3442" t="s">
        <v>45101</v>
      </c>
    </row>
    <row r="3443" spans="1:24">
      <c r="A3443">
        <f>HYPERLINK("https://www.philgeps.gov.ph/GEPSNONPILOT/Tender/SplashBidNoticeAbstractUI.aspx?menuIndex=3&amp;refID=7042244&amp;Result=3","7042244")</f>
        <v>0</v>
      </c>
      <c r="B3443" t="s">
        <v>1220</v>
      </c>
      <c r="C3443" t="s">
        <v>6483</v>
      </c>
      <c r="D3443" t="s">
        <v>18065</v>
      </c>
      <c r="E3443" t="s">
        <v>19696</v>
      </c>
      <c r="F3443" t="s">
        <v>31574</v>
      </c>
      <c r="G3443" t="s">
        <v>31581</v>
      </c>
      <c r="H3443" t="s">
        <v>31590</v>
      </c>
      <c r="I3443" t="s">
        <v>3539</v>
      </c>
      <c r="J3443" t="s">
        <v>34075</v>
      </c>
      <c r="K3443" t="s">
        <v>41302</v>
      </c>
      <c r="M3443" t="s">
        <v>42782</v>
      </c>
      <c r="N3443" t="s">
        <v>45095</v>
      </c>
      <c r="O3443" t="s">
        <v>45096</v>
      </c>
      <c r="P3443">
        <v>0</v>
      </c>
      <c r="Q3443">
        <v>0</v>
      </c>
      <c r="R3443" t="s">
        <v>45100</v>
      </c>
      <c r="S3443" t="s">
        <v>45228</v>
      </c>
      <c r="T3443" t="s">
        <v>47154</v>
      </c>
      <c r="U3443" t="s">
        <v>50391</v>
      </c>
      <c r="W3443" t="s">
        <v>42782</v>
      </c>
      <c r="X3443" t="s">
        <v>45102</v>
      </c>
    </row>
    <row r="3444" spans="1:24">
      <c r="A3444">
        <f>HYPERLINK("https://www.philgeps.gov.ph/GEPSNONPILOT/Tender/SplashBidNoticeAbstractUI.aspx?menuIndex=3&amp;refID=7043246&amp;Result=3","7043246")</f>
        <v>0</v>
      </c>
      <c r="B3444" t="s">
        <v>1221</v>
      </c>
      <c r="C3444" t="s">
        <v>6484</v>
      </c>
      <c r="D3444" t="s">
        <v>18023</v>
      </c>
      <c r="E3444" t="s">
        <v>21233</v>
      </c>
      <c r="F3444" t="s">
        <v>31574</v>
      </c>
      <c r="G3444" t="s">
        <v>31588</v>
      </c>
      <c r="H3444" t="s">
        <v>31591</v>
      </c>
      <c r="I3444" t="s">
        <v>8822</v>
      </c>
      <c r="J3444" t="s">
        <v>34076</v>
      </c>
      <c r="K3444" t="s">
        <v>41189</v>
      </c>
      <c r="M3444" t="s">
        <v>42783</v>
      </c>
      <c r="N3444" t="s">
        <v>45095</v>
      </c>
      <c r="O3444" t="s">
        <v>45096</v>
      </c>
      <c r="P3444">
        <v>0</v>
      </c>
      <c r="Q3444">
        <v>36</v>
      </c>
      <c r="R3444" t="s">
        <v>45100</v>
      </c>
      <c r="S3444" t="s">
        <v>45228</v>
      </c>
      <c r="T3444" t="s">
        <v>47169</v>
      </c>
      <c r="U3444" t="s">
        <v>50392</v>
      </c>
      <c r="V3444" t="s">
        <v>60190</v>
      </c>
      <c r="W3444" t="s">
        <v>42783</v>
      </c>
      <c r="X3444" t="s">
        <v>45102</v>
      </c>
    </row>
    <row r="3445" spans="1:24">
      <c r="A3445">
        <f>HYPERLINK("https://www.philgeps.gov.ph/GEPSNONPILOT/Tender/SplashBidNoticeAbstractUI.aspx?menuIndex=3&amp;refID=7042646&amp;Result=3","7042646")</f>
        <v>0</v>
      </c>
      <c r="B3445" t="s">
        <v>1213</v>
      </c>
      <c r="C3445" t="s">
        <v>6485</v>
      </c>
      <c r="D3445" t="s">
        <v>18066</v>
      </c>
      <c r="E3445" t="s">
        <v>21234</v>
      </c>
      <c r="F3445" t="s">
        <v>31574</v>
      </c>
      <c r="G3445" t="s">
        <v>31582</v>
      </c>
      <c r="H3445" t="s">
        <v>31591</v>
      </c>
      <c r="I3445" t="s">
        <v>8822</v>
      </c>
      <c r="J3445" t="s">
        <v>34069</v>
      </c>
      <c r="K3445" t="s">
        <v>41192</v>
      </c>
      <c r="M3445" t="s">
        <v>42774</v>
      </c>
      <c r="N3445" t="s">
        <v>45095</v>
      </c>
      <c r="O3445" t="s">
        <v>45096</v>
      </c>
      <c r="P3445">
        <v>0</v>
      </c>
      <c r="Q3445">
        <v>1</v>
      </c>
      <c r="R3445" t="s">
        <v>45100</v>
      </c>
      <c r="S3445" t="s">
        <v>45228</v>
      </c>
      <c r="T3445" t="s">
        <v>46988</v>
      </c>
      <c r="U3445" t="s">
        <v>50393</v>
      </c>
      <c r="W3445" t="s">
        <v>42774</v>
      </c>
      <c r="X3445" t="s">
        <v>45102</v>
      </c>
    </row>
    <row r="3446" spans="1:24">
      <c r="A3446">
        <f>HYPERLINK("https://www.philgeps.gov.ph/GEPSNONPILOT/Tender/SplashBidNoticeAbstractUI.aspx?menuIndex=3&amp;refID=7043306&amp;Result=3","7043306")</f>
        <v>0</v>
      </c>
      <c r="B3446" t="s">
        <v>1219</v>
      </c>
      <c r="C3446" t="s">
        <v>6486</v>
      </c>
      <c r="D3446" t="s">
        <v>18041</v>
      </c>
      <c r="E3446" t="s">
        <v>21235</v>
      </c>
      <c r="F3446" t="s">
        <v>31574</v>
      </c>
      <c r="G3446" t="s">
        <v>31581</v>
      </c>
      <c r="H3446" t="s">
        <v>31590</v>
      </c>
      <c r="I3446" t="s">
        <v>31636</v>
      </c>
      <c r="J3446" t="s">
        <v>32366</v>
      </c>
      <c r="K3446" t="s">
        <v>41223</v>
      </c>
      <c r="M3446" t="s">
        <v>42781</v>
      </c>
      <c r="N3446" t="s">
        <v>45095</v>
      </c>
      <c r="O3446" t="s">
        <v>45096</v>
      </c>
      <c r="P3446">
        <v>0</v>
      </c>
      <c r="Q3446">
        <v>0</v>
      </c>
      <c r="R3446" t="s">
        <v>45100</v>
      </c>
      <c r="S3446" t="s">
        <v>45228</v>
      </c>
      <c r="T3446" t="s">
        <v>47159</v>
      </c>
      <c r="U3446" t="s">
        <v>50394</v>
      </c>
      <c r="W3446" t="s">
        <v>42781</v>
      </c>
      <c r="X3446" t="s">
        <v>45101</v>
      </c>
    </row>
    <row r="3447" spans="1:24">
      <c r="A3447">
        <f>HYPERLINK("https://www.philgeps.gov.ph/GEPSNONPILOT/Tender/SplashBidNoticeAbstractUI.aspx?menuIndex=3&amp;refID=7043302&amp;Result=3","7043302")</f>
        <v>0</v>
      </c>
      <c r="B3447" t="s">
        <v>1222</v>
      </c>
      <c r="C3447" t="s">
        <v>6487</v>
      </c>
      <c r="D3447" t="s">
        <v>18101</v>
      </c>
      <c r="E3447" t="s">
        <v>21236</v>
      </c>
      <c r="F3447" t="s">
        <v>31574</v>
      </c>
      <c r="G3447" t="s">
        <v>31582</v>
      </c>
      <c r="H3447" t="s">
        <v>31590</v>
      </c>
      <c r="I3447" t="s">
        <v>3539</v>
      </c>
      <c r="J3447" t="s">
        <v>34077</v>
      </c>
      <c r="K3447" t="s">
        <v>41200</v>
      </c>
      <c r="M3447" t="s">
        <v>42784</v>
      </c>
      <c r="N3447" t="s">
        <v>45095</v>
      </c>
      <c r="O3447" t="s">
        <v>45096</v>
      </c>
      <c r="P3447">
        <v>0</v>
      </c>
      <c r="Q3447">
        <v>1</v>
      </c>
      <c r="R3447" t="s">
        <v>45100</v>
      </c>
      <c r="S3447" t="s">
        <v>45228</v>
      </c>
      <c r="T3447" t="s">
        <v>46980</v>
      </c>
      <c r="U3447" t="s">
        <v>50395</v>
      </c>
      <c r="W3447" t="s">
        <v>42784</v>
      </c>
      <c r="X3447" t="s">
        <v>45101</v>
      </c>
    </row>
    <row r="3448" spans="1:24">
      <c r="A3448">
        <f>HYPERLINK("https://www.philgeps.gov.ph/GEPSNONPILOT/Tender/SplashBidNoticeAbstractUI.aspx?menuIndex=3&amp;refID=7043309&amp;Result=3","7043309")</f>
        <v>0</v>
      </c>
      <c r="B3448" t="s">
        <v>1223</v>
      </c>
      <c r="C3448" t="s">
        <v>6488</v>
      </c>
      <c r="D3448" t="s">
        <v>18043</v>
      </c>
      <c r="E3448" t="s">
        <v>18199</v>
      </c>
      <c r="F3448" t="s">
        <v>31574</v>
      </c>
      <c r="G3448" t="s">
        <v>31581</v>
      </c>
      <c r="H3448" t="s">
        <v>31590</v>
      </c>
      <c r="I3448" t="s">
        <v>5717</v>
      </c>
      <c r="J3448" t="s">
        <v>34078</v>
      </c>
      <c r="K3448" t="s">
        <v>41212</v>
      </c>
      <c r="M3448" t="s">
        <v>42785</v>
      </c>
      <c r="N3448" t="s">
        <v>45095</v>
      </c>
      <c r="O3448" t="s">
        <v>45096</v>
      </c>
      <c r="P3448">
        <v>0</v>
      </c>
      <c r="Q3448">
        <v>0</v>
      </c>
      <c r="R3448" t="s">
        <v>45100</v>
      </c>
      <c r="S3448" t="s">
        <v>45228</v>
      </c>
      <c r="T3448" t="s">
        <v>47167</v>
      </c>
      <c r="U3448" t="s">
        <v>50396</v>
      </c>
      <c r="W3448" t="s">
        <v>42785</v>
      </c>
      <c r="X3448" t="s">
        <v>45101</v>
      </c>
    </row>
    <row r="3449" spans="1:24">
      <c r="A3449">
        <f>HYPERLINK("https://www.philgeps.gov.ph/GEPSNONPILOT/Tender/SplashBidNoticeAbstractUI.aspx?menuIndex=3&amp;refID=7043297&amp;Result=3","7043297")</f>
        <v>0</v>
      </c>
      <c r="B3449" t="s">
        <v>1224</v>
      </c>
      <c r="C3449" t="s">
        <v>6489</v>
      </c>
      <c r="E3449" t="s">
        <v>21237</v>
      </c>
      <c r="F3449" t="s">
        <v>31574</v>
      </c>
      <c r="G3449" t="s">
        <v>31581</v>
      </c>
      <c r="H3449" t="s">
        <v>31590</v>
      </c>
      <c r="I3449" t="s">
        <v>31694</v>
      </c>
      <c r="J3449" t="s">
        <v>34079</v>
      </c>
      <c r="K3449" t="s">
        <v>41184</v>
      </c>
      <c r="M3449" t="s">
        <v>42786</v>
      </c>
      <c r="N3449" t="s">
        <v>45095</v>
      </c>
      <c r="O3449" t="s">
        <v>45096</v>
      </c>
      <c r="P3449">
        <v>0</v>
      </c>
      <c r="Q3449">
        <v>1</v>
      </c>
      <c r="R3449" t="s">
        <v>45100</v>
      </c>
      <c r="S3449" t="s">
        <v>45228</v>
      </c>
      <c r="T3449" t="s">
        <v>47058</v>
      </c>
      <c r="U3449" t="s">
        <v>50397</v>
      </c>
      <c r="W3449" t="s">
        <v>42786</v>
      </c>
      <c r="X3449" t="s">
        <v>45102</v>
      </c>
    </row>
    <row r="3450" spans="1:24">
      <c r="A3450">
        <f>HYPERLINK("https://www.philgeps.gov.ph/GEPSNONPILOT/Tender/SplashBidNoticeAbstractUI.aspx?menuIndex=3&amp;refID=7043269&amp;Result=3","7043269")</f>
        <v>0</v>
      </c>
      <c r="B3450" t="s">
        <v>1221</v>
      </c>
      <c r="C3450" t="s">
        <v>6490</v>
      </c>
      <c r="D3450" t="s">
        <v>18023</v>
      </c>
      <c r="E3450" t="s">
        <v>21238</v>
      </c>
      <c r="F3450" t="s">
        <v>31574</v>
      </c>
      <c r="G3450" t="s">
        <v>31588</v>
      </c>
      <c r="H3450" t="s">
        <v>31590</v>
      </c>
      <c r="I3450" t="s">
        <v>4046</v>
      </c>
      <c r="J3450" t="s">
        <v>34080</v>
      </c>
      <c r="K3450" t="s">
        <v>41186</v>
      </c>
      <c r="M3450" t="s">
        <v>42783</v>
      </c>
      <c r="N3450" t="s">
        <v>45095</v>
      </c>
      <c r="O3450" t="s">
        <v>45096</v>
      </c>
      <c r="P3450">
        <v>0</v>
      </c>
      <c r="Q3450">
        <v>0</v>
      </c>
      <c r="R3450" t="s">
        <v>45100</v>
      </c>
      <c r="S3450" t="s">
        <v>45228</v>
      </c>
      <c r="T3450" t="s">
        <v>47056</v>
      </c>
      <c r="U3450" t="s">
        <v>50398</v>
      </c>
      <c r="V3450" t="s">
        <v>60191</v>
      </c>
      <c r="W3450" t="s">
        <v>42783</v>
      </c>
      <c r="X3450" t="s">
        <v>45102</v>
      </c>
    </row>
    <row r="3451" spans="1:24">
      <c r="A3451">
        <f>HYPERLINK("https://www.philgeps.gov.ph/GEPSNONPILOT/Tender/SplashBidNoticeAbstractUI.aspx?menuIndex=3&amp;refID=7042642&amp;Result=3","7042642")</f>
        <v>0</v>
      </c>
      <c r="B3451" t="s">
        <v>1213</v>
      </c>
      <c r="C3451" t="s">
        <v>6491</v>
      </c>
      <c r="D3451" t="s">
        <v>18066</v>
      </c>
      <c r="E3451" t="s">
        <v>21239</v>
      </c>
      <c r="F3451" t="s">
        <v>31574</v>
      </c>
      <c r="G3451" t="s">
        <v>31582</v>
      </c>
      <c r="H3451" t="s">
        <v>31591</v>
      </c>
      <c r="I3451" t="s">
        <v>8822</v>
      </c>
      <c r="J3451" t="s">
        <v>34069</v>
      </c>
      <c r="K3451" t="s">
        <v>41192</v>
      </c>
      <c r="M3451" t="s">
        <v>42774</v>
      </c>
      <c r="N3451" t="s">
        <v>45095</v>
      </c>
      <c r="O3451" t="s">
        <v>45096</v>
      </c>
      <c r="P3451">
        <v>0</v>
      </c>
      <c r="Q3451">
        <v>1</v>
      </c>
      <c r="R3451" t="s">
        <v>45100</v>
      </c>
      <c r="S3451" t="s">
        <v>45228</v>
      </c>
      <c r="T3451" t="s">
        <v>46988</v>
      </c>
      <c r="U3451" t="s">
        <v>50399</v>
      </c>
      <c r="W3451" t="s">
        <v>42774</v>
      </c>
      <c r="X3451" t="s">
        <v>45102</v>
      </c>
    </row>
    <row r="3452" spans="1:24">
      <c r="A3452">
        <f>HYPERLINK("https://www.philgeps.gov.ph/GEPSNONPILOT/Tender/SplashBidNoticeAbstractUI.aspx?menuIndex=3&amp;refID=7043318&amp;Result=3","7043318")</f>
        <v>0</v>
      </c>
      <c r="B3452" t="s">
        <v>874</v>
      </c>
      <c r="C3452" t="s">
        <v>6492</v>
      </c>
      <c r="D3452" t="s">
        <v>18027</v>
      </c>
      <c r="E3452" t="s">
        <v>19027</v>
      </c>
      <c r="F3452" t="s">
        <v>31574</v>
      </c>
      <c r="G3452" t="s">
        <v>31582</v>
      </c>
      <c r="H3452" t="s">
        <v>31592</v>
      </c>
      <c r="I3452" t="s">
        <v>31600</v>
      </c>
      <c r="J3452" t="s">
        <v>34081</v>
      </c>
      <c r="K3452" t="s">
        <v>41193</v>
      </c>
      <c r="M3452" t="s">
        <v>42395</v>
      </c>
      <c r="N3452" t="s">
        <v>45095</v>
      </c>
      <c r="O3452" t="s">
        <v>45096</v>
      </c>
      <c r="P3452">
        <v>0</v>
      </c>
      <c r="Q3452">
        <v>0</v>
      </c>
      <c r="R3452" t="s">
        <v>45100</v>
      </c>
      <c r="S3452" t="s">
        <v>45228</v>
      </c>
      <c r="T3452" t="s">
        <v>46979</v>
      </c>
      <c r="U3452" t="s">
        <v>50400</v>
      </c>
      <c r="W3452" t="s">
        <v>42395</v>
      </c>
      <c r="X3452" t="s">
        <v>45101</v>
      </c>
    </row>
    <row r="3453" spans="1:24">
      <c r="A3453">
        <f>HYPERLINK("https://www.philgeps.gov.ph/GEPSNONPILOT/Tender/SplashBidNoticeAbstractUI.aspx?menuIndex=3&amp;refID=7043312&amp;Result=3","7043312")</f>
        <v>0</v>
      </c>
      <c r="B3453" t="s">
        <v>1219</v>
      </c>
      <c r="C3453" t="s">
        <v>6493</v>
      </c>
      <c r="D3453" t="s">
        <v>18041</v>
      </c>
      <c r="E3453" t="s">
        <v>21240</v>
      </c>
      <c r="F3453" t="s">
        <v>31574</v>
      </c>
      <c r="G3453" t="s">
        <v>31581</v>
      </c>
      <c r="H3453" t="s">
        <v>31590</v>
      </c>
      <c r="I3453" t="s">
        <v>3487</v>
      </c>
      <c r="J3453" t="s">
        <v>34082</v>
      </c>
      <c r="K3453" t="s">
        <v>41193</v>
      </c>
      <c r="M3453" t="s">
        <v>42781</v>
      </c>
      <c r="N3453" t="s">
        <v>45095</v>
      </c>
      <c r="O3453" t="s">
        <v>45096</v>
      </c>
      <c r="P3453">
        <v>0</v>
      </c>
      <c r="Q3453">
        <v>1</v>
      </c>
      <c r="R3453" t="s">
        <v>45100</v>
      </c>
      <c r="S3453" t="s">
        <v>45228</v>
      </c>
      <c r="T3453" t="s">
        <v>47167</v>
      </c>
      <c r="U3453" t="s">
        <v>50401</v>
      </c>
      <c r="W3453" t="s">
        <v>42781</v>
      </c>
      <c r="X3453" t="s">
        <v>45101</v>
      </c>
    </row>
    <row r="3454" spans="1:24">
      <c r="A3454">
        <f>HYPERLINK("https://www.philgeps.gov.ph/GEPSNONPILOT/Tender/SplashBidNoticeAbstractUI.aspx?menuIndex=3&amp;refID=7043296&amp;Result=3","7043296")</f>
        <v>0</v>
      </c>
      <c r="B3454" t="s">
        <v>1167</v>
      </c>
      <c r="C3454" t="s">
        <v>6494</v>
      </c>
      <c r="E3454" t="s">
        <v>18227</v>
      </c>
      <c r="F3454" t="s">
        <v>31575</v>
      </c>
      <c r="G3454" t="s">
        <v>31583</v>
      </c>
      <c r="H3454" t="s">
        <v>31590</v>
      </c>
      <c r="I3454" t="s">
        <v>31608</v>
      </c>
      <c r="J3454" t="s">
        <v>34083</v>
      </c>
      <c r="K3454" t="s">
        <v>41184</v>
      </c>
      <c r="M3454" t="s">
        <v>42726</v>
      </c>
      <c r="N3454" t="s">
        <v>45095</v>
      </c>
      <c r="O3454" t="s">
        <v>45096</v>
      </c>
      <c r="P3454">
        <v>0</v>
      </c>
      <c r="Q3454">
        <v>6</v>
      </c>
      <c r="R3454" t="s">
        <v>45100</v>
      </c>
      <c r="S3454" t="s">
        <v>45228</v>
      </c>
      <c r="T3454" t="s">
        <v>47067</v>
      </c>
      <c r="U3454" t="s">
        <v>50402</v>
      </c>
      <c r="V3454" t="s">
        <v>60162</v>
      </c>
      <c r="W3454" t="s">
        <v>42726</v>
      </c>
      <c r="X3454" t="s">
        <v>45102</v>
      </c>
    </row>
    <row r="3455" spans="1:24">
      <c r="A3455">
        <f>HYPERLINK("https://www.philgeps.gov.ph/GEPSNONPILOT/Tender/SplashBidNoticeAbstractUI.aspx?menuIndex=3&amp;refID=7043310&amp;Result=3","7043310")</f>
        <v>0</v>
      </c>
      <c r="B3455" t="s">
        <v>1225</v>
      </c>
      <c r="C3455" t="s">
        <v>6495</v>
      </c>
      <c r="D3455" t="s">
        <v>18040</v>
      </c>
      <c r="E3455" t="s">
        <v>21241</v>
      </c>
      <c r="F3455" t="s">
        <v>31574</v>
      </c>
      <c r="G3455" t="s">
        <v>31582</v>
      </c>
      <c r="H3455" t="s">
        <v>31591</v>
      </c>
      <c r="I3455" t="s">
        <v>8822</v>
      </c>
      <c r="J3455" t="s">
        <v>34084</v>
      </c>
      <c r="K3455" t="s">
        <v>41293</v>
      </c>
      <c r="M3455" t="s">
        <v>42787</v>
      </c>
      <c r="N3455" t="s">
        <v>45095</v>
      </c>
      <c r="O3455" t="s">
        <v>45096</v>
      </c>
      <c r="P3455">
        <v>0</v>
      </c>
      <c r="Q3455">
        <v>0</v>
      </c>
      <c r="R3455" t="s">
        <v>45100</v>
      </c>
      <c r="S3455" t="s">
        <v>45228</v>
      </c>
      <c r="T3455" t="s">
        <v>47170</v>
      </c>
      <c r="U3455" t="s">
        <v>50403</v>
      </c>
      <c r="V3455" t="s">
        <v>60192</v>
      </c>
      <c r="W3455" t="s">
        <v>42787</v>
      </c>
      <c r="X3455" t="s">
        <v>45101</v>
      </c>
    </row>
    <row r="3456" spans="1:24">
      <c r="A3456">
        <f>HYPERLINK("https://www.philgeps.gov.ph/GEPSNONPILOT/Tender/SplashBidNoticeAbstractUI.aspx?menuIndex=3&amp;refID=7043316&amp;Result=3","7043316")</f>
        <v>0</v>
      </c>
      <c r="B3456" t="s">
        <v>1226</v>
      </c>
      <c r="C3456" t="s">
        <v>6496</v>
      </c>
      <c r="D3456" t="s">
        <v>18040</v>
      </c>
      <c r="E3456" t="s">
        <v>21242</v>
      </c>
      <c r="F3456" t="s">
        <v>31574</v>
      </c>
      <c r="G3456" t="s">
        <v>31582</v>
      </c>
      <c r="H3456" t="s">
        <v>31591</v>
      </c>
      <c r="I3456" t="s">
        <v>8822</v>
      </c>
      <c r="J3456" t="s">
        <v>34085</v>
      </c>
      <c r="K3456" t="s">
        <v>41266</v>
      </c>
      <c r="M3456" t="s">
        <v>42788</v>
      </c>
      <c r="N3456" t="s">
        <v>45095</v>
      </c>
      <c r="O3456" t="s">
        <v>45096</v>
      </c>
      <c r="P3456">
        <v>0</v>
      </c>
      <c r="Q3456">
        <v>0</v>
      </c>
      <c r="R3456" t="s">
        <v>45100</v>
      </c>
      <c r="S3456" t="s">
        <v>45228</v>
      </c>
      <c r="T3456" t="s">
        <v>47108</v>
      </c>
      <c r="U3456" t="s">
        <v>50404</v>
      </c>
      <c r="V3456" t="s">
        <v>60193</v>
      </c>
      <c r="W3456" t="s">
        <v>42788</v>
      </c>
      <c r="X3456" t="s">
        <v>45101</v>
      </c>
    </row>
    <row r="3457" spans="1:24">
      <c r="A3457">
        <f>HYPERLINK("https://www.philgeps.gov.ph/GEPSNONPILOT/Tender/SplashBidNoticeAbstractUI.aspx?menuIndex=3&amp;refID=7043307&amp;Result=3","7043307")</f>
        <v>0</v>
      </c>
      <c r="B3457" t="s">
        <v>663</v>
      </c>
      <c r="C3457" t="s">
        <v>6497</v>
      </c>
      <c r="E3457" t="s">
        <v>21243</v>
      </c>
      <c r="F3457" t="s">
        <v>31574</v>
      </c>
      <c r="G3457" t="s">
        <v>31582</v>
      </c>
      <c r="H3457" t="s">
        <v>31591</v>
      </c>
      <c r="I3457" t="s">
        <v>31600</v>
      </c>
      <c r="J3457" t="s">
        <v>34086</v>
      </c>
      <c r="K3457" t="s">
        <v>41184</v>
      </c>
      <c r="M3457" t="s">
        <v>42168</v>
      </c>
      <c r="N3457" t="s">
        <v>45095</v>
      </c>
      <c r="O3457" t="s">
        <v>45096</v>
      </c>
      <c r="P3457">
        <v>0</v>
      </c>
      <c r="Q3457">
        <v>1</v>
      </c>
      <c r="R3457" t="s">
        <v>45100</v>
      </c>
      <c r="S3457" t="s">
        <v>45228</v>
      </c>
      <c r="T3457" t="s">
        <v>47100</v>
      </c>
      <c r="U3457" t="s">
        <v>50405</v>
      </c>
      <c r="W3457" t="s">
        <v>42168</v>
      </c>
      <c r="X3457" t="s">
        <v>45101</v>
      </c>
    </row>
    <row r="3458" spans="1:24">
      <c r="A3458">
        <f>HYPERLINK("https://www.philgeps.gov.ph/GEPSNONPILOT/Tender/SplashBidNoticeAbstractUI.aspx?menuIndex=3&amp;refID=7043304&amp;Result=3","7043304")</f>
        <v>0</v>
      </c>
      <c r="B3458" t="s">
        <v>1202</v>
      </c>
      <c r="C3458" t="s">
        <v>6498</v>
      </c>
      <c r="D3458" t="s">
        <v>18040</v>
      </c>
      <c r="E3458" t="s">
        <v>21244</v>
      </c>
      <c r="F3458" t="s">
        <v>31574</v>
      </c>
      <c r="G3458" t="s">
        <v>31587</v>
      </c>
      <c r="H3458" t="s">
        <v>31593</v>
      </c>
      <c r="I3458" t="s">
        <v>31593</v>
      </c>
      <c r="J3458" t="s">
        <v>34087</v>
      </c>
      <c r="K3458" t="s">
        <v>41188</v>
      </c>
      <c r="M3458" t="s">
        <v>42762</v>
      </c>
      <c r="N3458" t="s">
        <v>45095</v>
      </c>
      <c r="O3458" t="s">
        <v>45096</v>
      </c>
      <c r="P3458">
        <v>0</v>
      </c>
      <c r="Q3458">
        <v>4</v>
      </c>
      <c r="R3458" t="s">
        <v>45100</v>
      </c>
      <c r="S3458" t="s">
        <v>45228</v>
      </c>
      <c r="T3458" t="s">
        <v>47153</v>
      </c>
      <c r="U3458" t="s">
        <v>50406</v>
      </c>
      <c r="W3458" t="s">
        <v>42762</v>
      </c>
      <c r="X3458" t="s">
        <v>45101</v>
      </c>
    </row>
    <row r="3459" spans="1:24">
      <c r="A3459">
        <f>HYPERLINK("https://www.philgeps.gov.ph/GEPSNONPILOT/Tender/SplashBidNoticeAbstractUI.aspx?menuIndex=3&amp;refID=7043314&amp;Result=3","7043314")</f>
        <v>0</v>
      </c>
      <c r="B3459" t="s">
        <v>1227</v>
      </c>
      <c r="C3459" t="s">
        <v>6499</v>
      </c>
      <c r="D3459" t="s">
        <v>18056</v>
      </c>
      <c r="E3459" t="s">
        <v>21245</v>
      </c>
      <c r="F3459" t="s">
        <v>31574</v>
      </c>
      <c r="G3459" t="s">
        <v>31581</v>
      </c>
      <c r="H3459" t="s">
        <v>31590</v>
      </c>
      <c r="I3459" t="s">
        <v>4046</v>
      </c>
      <c r="J3459" t="s">
        <v>34088</v>
      </c>
      <c r="K3459" t="s">
        <v>41213</v>
      </c>
      <c r="M3459" t="s">
        <v>42789</v>
      </c>
      <c r="N3459" t="s">
        <v>45095</v>
      </c>
      <c r="O3459" t="s">
        <v>45096</v>
      </c>
      <c r="P3459">
        <v>0</v>
      </c>
      <c r="Q3459">
        <v>0</v>
      </c>
      <c r="R3459" t="s">
        <v>45100</v>
      </c>
      <c r="S3459" t="s">
        <v>45228</v>
      </c>
      <c r="T3459" t="s">
        <v>46931</v>
      </c>
      <c r="U3459" t="s">
        <v>50407</v>
      </c>
      <c r="W3459" t="s">
        <v>42789</v>
      </c>
      <c r="X3459" t="s">
        <v>45101</v>
      </c>
    </row>
    <row r="3460" spans="1:24">
      <c r="A3460">
        <f>HYPERLINK("https://www.philgeps.gov.ph/GEPSNONPILOT/Tender/SplashBidNoticeAbstractUI.aspx?menuIndex=3&amp;refID=7043327&amp;Result=3","7043327")</f>
        <v>0</v>
      </c>
      <c r="B3460" t="s">
        <v>1228</v>
      </c>
      <c r="C3460" t="s">
        <v>6500</v>
      </c>
      <c r="D3460" t="s">
        <v>18022</v>
      </c>
      <c r="E3460" t="s">
        <v>19061</v>
      </c>
      <c r="F3460" t="s">
        <v>31574</v>
      </c>
      <c r="G3460" t="s">
        <v>31584</v>
      </c>
      <c r="H3460" t="s">
        <v>31590</v>
      </c>
      <c r="I3460" t="s">
        <v>14034</v>
      </c>
      <c r="J3460" t="s">
        <v>34089</v>
      </c>
      <c r="K3460" t="s">
        <v>41213</v>
      </c>
      <c r="M3460" t="s">
        <v>42790</v>
      </c>
      <c r="N3460" t="s">
        <v>45095</v>
      </c>
      <c r="O3460" t="s">
        <v>45096</v>
      </c>
      <c r="P3460">
        <v>0</v>
      </c>
      <c r="Q3460">
        <v>8</v>
      </c>
      <c r="R3460" t="s">
        <v>45100</v>
      </c>
      <c r="S3460" t="s">
        <v>45228</v>
      </c>
      <c r="T3460" t="s">
        <v>47158</v>
      </c>
      <c r="U3460" t="s">
        <v>50408</v>
      </c>
      <c r="V3460" t="s">
        <v>60194</v>
      </c>
      <c r="W3460" t="s">
        <v>42790</v>
      </c>
      <c r="X3460" t="s">
        <v>45101</v>
      </c>
    </row>
    <row r="3461" spans="1:24">
      <c r="A3461">
        <f>HYPERLINK("https://www.philgeps.gov.ph/GEPSNONPILOT/Tender/SplashBidNoticeAbstractUI.aspx?menuIndex=3&amp;refID=7043329&amp;Result=3","7043329")</f>
        <v>0</v>
      </c>
      <c r="B3461" t="s">
        <v>1229</v>
      </c>
      <c r="C3461" t="s">
        <v>6501</v>
      </c>
      <c r="D3461" t="s">
        <v>18022</v>
      </c>
      <c r="E3461" t="s">
        <v>21246</v>
      </c>
      <c r="F3461" t="s">
        <v>31574</v>
      </c>
      <c r="G3461" t="s">
        <v>31582</v>
      </c>
      <c r="H3461" t="s">
        <v>31590</v>
      </c>
      <c r="I3461" t="s">
        <v>3487</v>
      </c>
      <c r="J3461" t="s">
        <v>34090</v>
      </c>
      <c r="K3461" t="s">
        <v>41193</v>
      </c>
      <c r="M3461" t="s">
        <v>42791</v>
      </c>
      <c r="N3461" t="s">
        <v>45095</v>
      </c>
      <c r="O3461" t="s">
        <v>45096</v>
      </c>
      <c r="P3461">
        <v>0</v>
      </c>
      <c r="Q3461">
        <v>1</v>
      </c>
      <c r="R3461" t="s">
        <v>45100</v>
      </c>
      <c r="S3461" t="s">
        <v>45228</v>
      </c>
      <c r="T3461" t="s">
        <v>47010</v>
      </c>
      <c r="U3461" t="s">
        <v>50409</v>
      </c>
      <c r="W3461" t="s">
        <v>42791</v>
      </c>
      <c r="X3461" t="s">
        <v>45101</v>
      </c>
    </row>
    <row r="3462" spans="1:24">
      <c r="A3462">
        <f>HYPERLINK("https://www.philgeps.gov.ph/GEPSNONPILOT/Tender/SplashBidNoticeAbstractUI.aspx?menuIndex=3&amp;refID=7043305&amp;Result=3","7043305")</f>
        <v>0</v>
      </c>
      <c r="B3462" t="s">
        <v>1202</v>
      </c>
      <c r="C3462" t="s">
        <v>6502</v>
      </c>
      <c r="D3462" t="s">
        <v>18040</v>
      </c>
      <c r="E3462" t="s">
        <v>21247</v>
      </c>
      <c r="F3462" t="s">
        <v>31574</v>
      </c>
      <c r="G3462" t="s">
        <v>31582</v>
      </c>
      <c r="H3462" t="s">
        <v>31591</v>
      </c>
      <c r="I3462" t="s">
        <v>8822</v>
      </c>
      <c r="J3462" t="s">
        <v>34091</v>
      </c>
      <c r="K3462" t="s">
        <v>41235</v>
      </c>
      <c r="M3462" t="s">
        <v>42762</v>
      </c>
      <c r="N3462" t="s">
        <v>45095</v>
      </c>
      <c r="O3462" t="s">
        <v>45096</v>
      </c>
      <c r="P3462">
        <v>0</v>
      </c>
      <c r="Q3462">
        <v>1</v>
      </c>
      <c r="R3462" t="s">
        <v>45100</v>
      </c>
      <c r="S3462" t="s">
        <v>45228</v>
      </c>
      <c r="T3462" t="s">
        <v>47138</v>
      </c>
      <c r="U3462" t="s">
        <v>50410</v>
      </c>
      <c r="W3462" t="s">
        <v>42762</v>
      </c>
      <c r="X3462" t="s">
        <v>45101</v>
      </c>
    </row>
    <row r="3463" spans="1:24">
      <c r="A3463">
        <f>HYPERLINK("https://www.philgeps.gov.ph/GEPSNONPILOT/Tender/SplashBidNoticeAbstractUI.aspx?menuIndex=3&amp;refID=7043325&amp;Result=3","7043325")</f>
        <v>0</v>
      </c>
      <c r="B3463" t="s">
        <v>1229</v>
      </c>
      <c r="C3463" t="s">
        <v>6503</v>
      </c>
      <c r="D3463" t="s">
        <v>18022</v>
      </c>
      <c r="E3463" t="s">
        <v>21248</v>
      </c>
      <c r="F3463" t="s">
        <v>31574</v>
      </c>
      <c r="G3463" t="s">
        <v>31582</v>
      </c>
      <c r="H3463" t="s">
        <v>31592</v>
      </c>
      <c r="I3463" t="s">
        <v>4046</v>
      </c>
      <c r="J3463" t="s">
        <v>34092</v>
      </c>
      <c r="K3463" t="s">
        <v>41193</v>
      </c>
      <c r="M3463" t="s">
        <v>42791</v>
      </c>
      <c r="N3463" t="s">
        <v>45095</v>
      </c>
      <c r="O3463" t="s">
        <v>45096</v>
      </c>
      <c r="P3463">
        <v>0</v>
      </c>
      <c r="Q3463">
        <v>1</v>
      </c>
      <c r="R3463" t="s">
        <v>45100</v>
      </c>
      <c r="S3463" t="s">
        <v>45228</v>
      </c>
      <c r="T3463" t="s">
        <v>47010</v>
      </c>
      <c r="U3463" t="s">
        <v>50411</v>
      </c>
      <c r="W3463" t="s">
        <v>42791</v>
      </c>
      <c r="X3463" t="s">
        <v>45101</v>
      </c>
    </row>
    <row r="3464" spans="1:24">
      <c r="A3464">
        <f>HYPERLINK("https://www.philgeps.gov.ph/GEPSNONPILOT/Tender/SplashBidNoticeAbstractUI.aspx?menuIndex=3&amp;refID=7043319&amp;Result=3","7043319")</f>
        <v>0</v>
      </c>
      <c r="B3464" t="s">
        <v>1230</v>
      </c>
      <c r="C3464" t="s">
        <v>6504</v>
      </c>
      <c r="D3464" t="s">
        <v>18022</v>
      </c>
      <c r="E3464" t="s">
        <v>6504</v>
      </c>
      <c r="F3464" t="s">
        <v>31574</v>
      </c>
      <c r="G3464" t="s">
        <v>31581</v>
      </c>
      <c r="H3464" t="s">
        <v>31590</v>
      </c>
      <c r="I3464" t="s">
        <v>31608</v>
      </c>
      <c r="J3464" t="s">
        <v>34093</v>
      </c>
      <c r="K3464" t="s">
        <v>41184</v>
      </c>
      <c r="M3464" t="s">
        <v>42792</v>
      </c>
      <c r="N3464" t="s">
        <v>45095</v>
      </c>
      <c r="O3464" t="s">
        <v>45096</v>
      </c>
      <c r="P3464">
        <v>0</v>
      </c>
      <c r="Q3464">
        <v>9</v>
      </c>
      <c r="R3464" t="s">
        <v>45100</v>
      </c>
      <c r="S3464" t="s">
        <v>45228</v>
      </c>
      <c r="T3464" t="s">
        <v>47154</v>
      </c>
      <c r="U3464" t="s">
        <v>50412</v>
      </c>
      <c r="W3464" t="s">
        <v>42792</v>
      </c>
      <c r="X3464" t="s">
        <v>45101</v>
      </c>
    </row>
    <row r="3465" spans="1:24">
      <c r="A3465">
        <f>HYPERLINK("https://www.philgeps.gov.ph/GEPSNONPILOT/Tender/SplashBidNoticeAbstractUI.aspx?menuIndex=3&amp;refID=7043326&amp;Result=3","7043326")</f>
        <v>0</v>
      </c>
      <c r="B3465" t="s">
        <v>1231</v>
      </c>
      <c r="C3465" t="s">
        <v>6505</v>
      </c>
      <c r="D3465" t="s">
        <v>18098</v>
      </c>
      <c r="E3465" t="s">
        <v>21249</v>
      </c>
      <c r="F3465" t="s">
        <v>31574</v>
      </c>
      <c r="G3465" t="s">
        <v>31581</v>
      </c>
      <c r="H3465" t="s">
        <v>31590</v>
      </c>
      <c r="I3465" t="s">
        <v>31620</v>
      </c>
      <c r="J3465" t="s">
        <v>34094</v>
      </c>
      <c r="K3465" t="s">
        <v>41184</v>
      </c>
      <c r="M3465" t="s">
        <v>42793</v>
      </c>
      <c r="N3465" t="s">
        <v>45095</v>
      </c>
      <c r="O3465" t="s">
        <v>45096</v>
      </c>
      <c r="P3465">
        <v>0</v>
      </c>
      <c r="Q3465">
        <v>5</v>
      </c>
      <c r="R3465" t="s">
        <v>45100</v>
      </c>
      <c r="S3465" t="s">
        <v>45228</v>
      </c>
      <c r="T3465" t="s">
        <v>47146</v>
      </c>
      <c r="U3465" t="s">
        <v>50413</v>
      </c>
      <c r="W3465" t="s">
        <v>42793</v>
      </c>
      <c r="X3465" t="s">
        <v>45101</v>
      </c>
    </row>
    <row r="3466" spans="1:24">
      <c r="A3466">
        <f>HYPERLINK("https://www.philgeps.gov.ph/GEPSNONPILOT/Tender/SplashBidNoticeAbstractUI.aspx?menuIndex=3&amp;refID=7043324&amp;Result=3","7043324")</f>
        <v>0</v>
      </c>
      <c r="B3466" t="s">
        <v>260</v>
      </c>
      <c r="C3466" t="s">
        <v>6506</v>
      </c>
      <c r="D3466" t="s">
        <v>18036</v>
      </c>
      <c r="E3466" t="s">
        <v>21250</v>
      </c>
      <c r="F3466" t="s">
        <v>31574</v>
      </c>
      <c r="G3466" t="s">
        <v>31581</v>
      </c>
      <c r="H3466" t="s">
        <v>31590</v>
      </c>
      <c r="I3466" t="s">
        <v>6800</v>
      </c>
      <c r="J3466" t="s">
        <v>34095</v>
      </c>
      <c r="K3466" t="s">
        <v>41196</v>
      </c>
      <c r="M3466" t="s">
        <v>41746</v>
      </c>
      <c r="N3466" t="s">
        <v>45095</v>
      </c>
      <c r="O3466" t="s">
        <v>45096</v>
      </c>
      <c r="P3466">
        <v>0</v>
      </c>
      <c r="Q3466">
        <v>1</v>
      </c>
      <c r="R3466" t="s">
        <v>45100</v>
      </c>
      <c r="S3466" t="s">
        <v>45228</v>
      </c>
      <c r="T3466" t="s">
        <v>47159</v>
      </c>
      <c r="U3466" t="s">
        <v>50414</v>
      </c>
      <c r="W3466" t="s">
        <v>41746</v>
      </c>
      <c r="X3466" t="s">
        <v>45101</v>
      </c>
    </row>
    <row r="3467" spans="1:24">
      <c r="A3467">
        <f>HYPERLINK("https://www.philgeps.gov.ph/GEPSNONPILOT/Tender/SplashBidNoticeAbstractUI.aspx?menuIndex=3&amp;refID=7043301&amp;Result=3","7043301")</f>
        <v>0</v>
      </c>
      <c r="B3467" t="s">
        <v>1224</v>
      </c>
      <c r="C3467" t="s">
        <v>3539</v>
      </c>
      <c r="E3467" t="s">
        <v>21251</v>
      </c>
      <c r="F3467" t="s">
        <v>31574</v>
      </c>
      <c r="G3467" t="s">
        <v>31581</v>
      </c>
      <c r="H3467" t="s">
        <v>31590</v>
      </c>
      <c r="I3467" t="s">
        <v>3539</v>
      </c>
      <c r="J3467" t="s">
        <v>32017</v>
      </c>
      <c r="K3467" t="s">
        <v>41184</v>
      </c>
      <c r="M3467" t="s">
        <v>42786</v>
      </c>
      <c r="N3467" t="s">
        <v>45095</v>
      </c>
      <c r="O3467" t="s">
        <v>45096</v>
      </c>
      <c r="P3467">
        <v>0</v>
      </c>
      <c r="Q3467">
        <v>2</v>
      </c>
      <c r="R3467" t="s">
        <v>45100</v>
      </c>
      <c r="S3467" t="s">
        <v>45228</v>
      </c>
      <c r="T3467" t="s">
        <v>47058</v>
      </c>
      <c r="U3467" t="s">
        <v>50415</v>
      </c>
      <c r="W3467" t="s">
        <v>42786</v>
      </c>
      <c r="X3467" t="s">
        <v>45101</v>
      </c>
    </row>
    <row r="3468" spans="1:24">
      <c r="A3468">
        <f>HYPERLINK("https://www.philgeps.gov.ph/GEPSNONPILOT/Tender/SplashBidNoticeAbstractUI.aspx?menuIndex=3&amp;refID=7043328&amp;Result=3","7043328")</f>
        <v>0</v>
      </c>
      <c r="B3468" t="s">
        <v>1232</v>
      </c>
      <c r="C3468" t="s">
        <v>6507</v>
      </c>
      <c r="E3468" t="s">
        <v>21252</v>
      </c>
      <c r="F3468" t="s">
        <v>31574</v>
      </c>
      <c r="G3468" t="s">
        <v>31582</v>
      </c>
      <c r="H3468" t="s">
        <v>31590</v>
      </c>
      <c r="I3468" t="s">
        <v>4046</v>
      </c>
      <c r="J3468" t="s">
        <v>34096</v>
      </c>
      <c r="K3468" t="s">
        <v>41184</v>
      </c>
      <c r="M3468" t="s">
        <v>42794</v>
      </c>
      <c r="N3468" t="s">
        <v>45095</v>
      </c>
      <c r="O3468" t="s">
        <v>45096</v>
      </c>
      <c r="P3468">
        <v>0</v>
      </c>
      <c r="Q3468">
        <v>0</v>
      </c>
      <c r="R3468" t="s">
        <v>45100</v>
      </c>
      <c r="S3468" t="s">
        <v>45228</v>
      </c>
      <c r="T3468" t="s">
        <v>46979</v>
      </c>
      <c r="U3468" t="s">
        <v>50416</v>
      </c>
      <c r="W3468" t="s">
        <v>42794</v>
      </c>
      <c r="X3468" t="s">
        <v>45101</v>
      </c>
    </row>
    <row r="3469" spans="1:24">
      <c r="A3469">
        <f>HYPERLINK("https://www.philgeps.gov.ph/GEPSNONPILOT/Tender/SplashBidNoticeAbstractUI.aspx?menuIndex=3&amp;refID=7043333&amp;Result=3","7043333")</f>
        <v>0</v>
      </c>
      <c r="B3469" t="s">
        <v>870</v>
      </c>
      <c r="C3469" t="s">
        <v>6508</v>
      </c>
      <c r="E3469" t="s">
        <v>21253</v>
      </c>
      <c r="F3469" t="s">
        <v>31574</v>
      </c>
      <c r="G3469" t="s">
        <v>31581</v>
      </c>
      <c r="H3469" t="s">
        <v>31590</v>
      </c>
      <c r="I3469" t="s">
        <v>14544</v>
      </c>
      <c r="J3469" t="s">
        <v>34097</v>
      </c>
      <c r="K3469" t="s">
        <v>41196</v>
      </c>
      <c r="M3469" t="s">
        <v>42390</v>
      </c>
      <c r="N3469" t="s">
        <v>45095</v>
      </c>
      <c r="O3469" t="s">
        <v>45096</v>
      </c>
      <c r="P3469">
        <v>0</v>
      </c>
      <c r="Q3469">
        <v>0</v>
      </c>
      <c r="R3469" t="s">
        <v>45100</v>
      </c>
      <c r="S3469" t="s">
        <v>45228</v>
      </c>
      <c r="T3469" t="s">
        <v>47171</v>
      </c>
      <c r="U3469" t="s">
        <v>49338</v>
      </c>
      <c r="W3469" t="s">
        <v>42390</v>
      </c>
      <c r="X3469" t="s">
        <v>45101</v>
      </c>
    </row>
    <row r="3470" spans="1:24">
      <c r="A3470">
        <f>HYPERLINK("https://www.philgeps.gov.ph/GEPSNONPILOT/Tender/SplashBidNoticeAbstractUI.aspx?menuIndex=3&amp;refID=7043341&amp;Result=3","7043341")</f>
        <v>0</v>
      </c>
      <c r="B3470" t="s">
        <v>1233</v>
      </c>
      <c r="C3470" t="s">
        <v>6509</v>
      </c>
      <c r="D3470" t="s">
        <v>18095</v>
      </c>
      <c r="E3470" t="s">
        <v>21254</v>
      </c>
      <c r="F3470" t="s">
        <v>31574</v>
      </c>
      <c r="G3470" t="s">
        <v>31581</v>
      </c>
      <c r="H3470" t="s">
        <v>31590</v>
      </c>
      <c r="I3470" t="s">
        <v>31603</v>
      </c>
      <c r="J3470" t="s">
        <v>31824</v>
      </c>
      <c r="K3470" t="s">
        <v>41191</v>
      </c>
      <c r="M3470" t="s">
        <v>42795</v>
      </c>
      <c r="N3470" t="s">
        <v>45095</v>
      </c>
      <c r="O3470" t="s">
        <v>45096</v>
      </c>
      <c r="P3470">
        <v>0</v>
      </c>
      <c r="Q3470">
        <v>8</v>
      </c>
      <c r="R3470" t="s">
        <v>45100</v>
      </c>
      <c r="S3470" t="s">
        <v>45228</v>
      </c>
      <c r="T3470" t="s">
        <v>46982</v>
      </c>
      <c r="U3470" t="s">
        <v>50417</v>
      </c>
      <c r="V3470" t="s">
        <v>60195</v>
      </c>
      <c r="W3470" t="s">
        <v>42795</v>
      </c>
      <c r="X3470" t="s">
        <v>45101</v>
      </c>
    </row>
    <row r="3471" spans="1:24">
      <c r="A3471">
        <f>HYPERLINK("https://www.philgeps.gov.ph/GEPSNONPILOT/Tender/SplashBidNoticeAbstractUI.aspx?menuIndex=3&amp;refID=7043321&amp;Result=3","7043321")</f>
        <v>0</v>
      </c>
      <c r="B3471" t="s">
        <v>260</v>
      </c>
      <c r="C3471" t="s">
        <v>6510</v>
      </c>
      <c r="D3471" t="s">
        <v>18036</v>
      </c>
      <c r="E3471" t="s">
        <v>21255</v>
      </c>
      <c r="F3471" t="s">
        <v>31574</v>
      </c>
      <c r="G3471" t="s">
        <v>31581</v>
      </c>
      <c r="H3471" t="s">
        <v>31590</v>
      </c>
      <c r="I3471" t="s">
        <v>6800</v>
      </c>
      <c r="J3471" t="s">
        <v>34098</v>
      </c>
      <c r="K3471" t="s">
        <v>41196</v>
      </c>
      <c r="M3471" t="s">
        <v>41746</v>
      </c>
      <c r="N3471" t="s">
        <v>45095</v>
      </c>
      <c r="O3471" t="s">
        <v>45096</v>
      </c>
      <c r="P3471">
        <v>0</v>
      </c>
      <c r="Q3471">
        <v>3</v>
      </c>
      <c r="R3471" t="s">
        <v>45100</v>
      </c>
      <c r="S3471" t="s">
        <v>45228</v>
      </c>
      <c r="T3471" t="s">
        <v>47159</v>
      </c>
      <c r="U3471" t="s">
        <v>50418</v>
      </c>
      <c r="W3471" t="s">
        <v>41746</v>
      </c>
      <c r="X3471" t="s">
        <v>45101</v>
      </c>
    </row>
    <row r="3472" spans="1:24">
      <c r="A3472">
        <f>HYPERLINK("https://www.philgeps.gov.ph/GEPSNONPILOT/Tender/SplashBidNoticeAbstractUI.aspx?menuIndex=3&amp;refID=7043322&amp;Result=3","7043322")</f>
        <v>0</v>
      </c>
      <c r="B3472" t="s">
        <v>260</v>
      </c>
      <c r="C3472" t="s">
        <v>6511</v>
      </c>
      <c r="D3472" t="s">
        <v>18036</v>
      </c>
      <c r="E3472" t="s">
        <v>21256</v>
      </c>
      <c r="F3472" t="s">
        <v>31574</v>
      </c>
      <c r="G3472" t="s">
        <v>31581</v>
      </c>
      <c r="H3472" t="s">
        <v>31590</v>
      </c>
      <c r="I3472" t="s">
        <v>6800</v>
      </c>
      <c r="J3472" t="s">
        <v>34099</v>
      </c>
      <c r="K3472" t="s">
        <v>41196</v>
      </c>
      <c r="M3472" t="s">
        <v>41746</v>
      </c>
      <c r="N3472" t="s">
        <v>45095</v>
      </c>
      <c r="O3472" t="s">
        <v>45096</v>
      </c>
      <c r="P3472">
        <v>0</v>
      </c>
      <c r="Q3472">
        <v>1</v>
      </c>
      <c r="R3472" t="s">
        <v>45100</v>
      </c>
      <c r="S3472" t="s">
        <v>45228</v>
      </c>
      <c r="T3472" t="s">
        <v>47159</v>
      </c>
      <c r="U3472" t="s">
        <v>50419</v>
      </c>
      <c r="W3472" t="s">
        <v>41746</v>
      </c>
      <c r="X3472" t="s">
        <v>45101</v>
      </c>
    </row>
    <row r="3473" spans="1:24">
      <c r="A3473">
        <f>HYPERLINK("https://www.philgeps.gov.ph/GEPSNONPILOT/Tender/SplashBidNoticeAbstractUI.aspx?menuIndex=3&amp;refID=7043340&amp;Result=3","7043340")</f>
        <v>0</v>
      </c>
      <c r="B3473" t="s">
        <v>1234</v>
      </c>
      <c r="C3473" t="s">
        <v>6512</v>
      </c>
      <c r="D3473" t="s">
        <v>18094</v>
      </c>
      <c r="E3473" t="s">
        <v>21257</v>
      </c>
      <c r="F3473" t="s">
        <v>31574</v>
      </c>
      <c r="G3473" t="s">
        <v>31582</v>
      </c>
      <c r="H3473" t="s">
        <v>31590</v>
      </c>
      <c r="I3473" t="s">
        <v>4046</v>
      </c>
      <c r="J3473" t="s">
        <v>34100</v>
      </c>
      <c r="K3473" t="s">
        <v>41196</v>
      </c>
      <c r="M3473" t="s">
        <v>42796</v>
      </c>
      <c r="N3473" t="s">
        <v>45095</v>
      </c>
      <c r="O3473" t="s">
        <v>45096</v>
      </c>
      <c r="P3473">
        <v>0</v>
      </c>
      <c r="Q3473">
        <v>0</v>
      </c>
      <c r="R3473" t="s">
        <v>45100</v>
      </c>
      <c r="S3473" t="s">
        <v>45228</v>
      </c>
      <c r="T3473" t="s">
        <v>47172</v>
      </c>
      <c r="U3473" t="s">
        <v>50420</v>
      </c>
      <c r="W3473" t="s">
        <v>42796</v>
      </c>
      <c r="X3473" t="s">
        <v>45101</v>
      </c>
    </row>
    <row r="3474" spans="1:24">
      <c r="A3474">
        <f>HYPERLINK("https://www.philgeps.gov.ph/GEPSNONPILOT/Tender/SplashBidNoticeAbstractUI.aspx?menuIndex=3&amp;refID=7043332&amp;Result=3","7043332")</f>
        <v>0</v>
      </c>
      <c r="B3474" t="s">
        <v>870</v>
      </c>
      <c r="C3474" t="s">
        <v>6513</v>
      </c>
      <c r="E3474" t="s">
        <v>21258</v>
      </c>
      <c r="F3474" t="s">
        <v>31574</v>
      </c>
      <c r="G3474" t="s">
        <v>31581</v>
      </c>
      <c r="H3474" t="s">
        <v>31590</v>
      </c>
      <c r="I3474" t="s">
        <v>3487</v>
      </c>
      <c r="J3474" t="s">
        <v>31931</v>
      </c>
      <c r="K3474" t="s">
        <v>41196</v>
      </c>
      <c r="M3474" t="s">
        <v>42390</v>
      </c>
      <c r="N3474" t="s">
        <v>45095</v>
      </c>
      <c r="O3474" t="s">
        <v>45096</v>
      </c>
      <c r="P3474">
        <v>0</v>
      </c>
      <c r="Q3474">
        <v>0</v>
      </c>
      <c r="R3474" t="s">
        <v>45100</v>
      </c>
      <c r="S3474" t="s">
        <v>45228</v>
      </c>
      <c r="T3474" t="s">
        <v>47173</v>
      </c>
      <c r="U3474" t="s">
        <v>49338</v>
      </c>
      <c r="W3474" t="s">
        <v>42390</v>
      </c>
      <c r="X3474" t="s">
        <v>45101</v>
      </c>
    </row>
    <row r="3475" spans="1:24">
      <c r="A3475">
        <f>HYPERLINK("https://www.philgeps.gov.ph/GEPSNONPILOT/Tender/SplashBidNoticeAbstractUI.aspx?menuIndex=3&amp;refID=7043337&amp;Result=3","7043337")</f>
        <v>0</v>
      </c>
      <c r="B3475" t="s">
        <v>870</v>
      </c>
      <c r="C3475" t="s">
        <v>6514</v>
      </c>
      <c r="E3475" t="s">
        <v>21259</v>
      </c>
      <c r="F3475" t="s">
        <v>31574</v>
      </c>
      <c r="G3475" t="s">
        <v>31581</v>
      </c>
      <c r="H3475" t="s">
        <v>31590</v>
      </c>
      <c r="I3475" t="s">
        <v>3520</v>
      </c>
      <c r="J3475" t="s">
        <v>31927</v>
      </c>
      <c r="K3475" t="s">
        <v>41196</v>
      </c>
      <c r="M3475" t="s">
        <v>42390</v>
      </c>
      <c r="N3475" t="s">
        <v>45095</v>
      </c>
      <c r="O3475" t="s">
        <v>45096</v>
      </c>
      <c r="P3475">
        <v>0</v>
      </c>
      <c r="Q3475">
        <v>0</v>
      </c>
      <c r="R3475" t="s">
        <v>45100</v>
      </c>
      <c r="S3475" t="s">
        <v>45228</v>
      </c>
      <c r="T3475" t="s">
        <v>47159</v>
      </c>
      <c r="U3475" t="s">
        <v>50421</v>
      </c>
      <c r="W3475" t="s">
        <v>42390</v>
      </c>
      <c r="X3475" t="s">
        <v>45101</v>
      </c>
    </row>
    <row r="3476" spans="1:24">
      <c r="A3476">
        <f>HYPERLINK("https://www.philgeps.gov.ph/GEPSNONPILOT/Tender/SplashBidNoticeAbstractUI.aspx?menuIndex=3&amp;refID=7043339&amp;Result=3","7043339")</f>
        <v>0</v>
      </c>
      <c r="B3476" t="s">
        <v>1233</v>
      </c>
      <c r="C3476" t="s">
        <v>6515</v>
      </c>
      <c r="D3476" t="s">
        <v>18095</v>
      </c>
      <c r="E3476" t="s">
        <v>21260</v>
      </c>
      <c r="F3476" t="s">
        <v>31574</v>
      </c>
      <c r="G3476" t="s">
        <v>31581</v>
      </c>
      <c r="H3476" t="s">
        <v>31590</v>
      </c>
      <c r="I3476" t="s">
        <v>31603</v>
      </c>
      <c r="J3476" t="s">
        <v>34101</v>
      </c>
      <c r="K3476" t="s">
        <v>41191</v>
      </c>
      <c r="M3476" t="s">
        <v>42795</v>
      </c>
      <c r="N3476" t="s">
        <v>45095</v>
      </c>
      <c r="O3476" t="s">
        <v>45096</v>
      </c>
      <c r="P3476">
        <v>0</v>
      </c>
      <c r="Q3476">
        <v>11</v>
      </c>
      <c r="R3476" t="s">
        <v>45100</v>
      </c>
      <c r="S3476" t="s">
        <v>45228</v>
      </c>
      <c r="T3476" t="s">
        <v>46982</v>
      </c>
      <c r="U3476" t="s">
        <v>50422</v>
      </c>
      <c r="V3476" t="s">
        <v>60195</v>
      </c>
      <c r="W3476" t="s">
        <v>42795</v>
      </c>
      <c r="X3476" t="s">
        <v>45101</v>
      </c>
    </row>
    <row r="3477" spans="1:24">
      <c r="A3477">
        <f>HYPERLINK("https://www.philgeps.gov.ph/GEPSNONPILOT/Tender/SplashBidNoticeAbstractUI.aspx?menuIndex=3&amp;refID=7043336&amp;Result=3","7043336")</f>
        <v>0</v>
      </c>
      <c r="B3477" t="s">
        <v>1234</v>
      </c>
      <c r="C3477" t="s">
        <v>6516</v>
      </c>
      <c r="D3477" t="s">
        <v>18094</v>
      </c>
      <c r="E3477" t="s">
        <v>21261</v>
      </c>
      <c r="F3477" t="s">
        <v>31574</v>
      </c>
      <c r="G3477" t="s">
        <v>31582</v>
      </c>
      <c r="H3477" t="s">
        <v>31590</v>
      </c>
      <c r="I3477" t="s">
        <v>31602</v>
      </c>
      <c r="J3477" t="s">
        <v>34102</v>
      </c>
      <c r="K3477" t="s">
        <v>41185</v>
      </c>
      <c r="M3477" t="s">
        <v>42796</v>
      </c>
      <c r="N3477" t="s">
        <v>45095</v>
      </c>
      <c r="O3477" t="s">
        <v>45096</v>
      </c>
      <c r="P3477">
        <v>0</v>
      </c>
      <c r="Q3477">
        <v>0</v>
      </c>
      <c r="R3477" t="s">
        <v>45100</v>
      </c>
      <c r="S3477" t="s">
        <v>45228</v>
      </c>
      <c r="T3477" t="s">
        <v>47172</v>
      </c>
      <c r="U3477" t="s">
        <v>50423</v>
      </c>
      <c r="W3477" t="s">
        <v>42796</v>
      </c>
      <c r="X3477" t="s">
        <v>45101</v>
      </c>
    </row>
    <row r="3478" spans="1:24">
      <c r="A3478">
        <f>HYPERLINK("https://www.philgeps.gov.ph/GEPSNONPILOT/Tender/SplashBidNoticeAbstractUI.aspx?menuIndex=3&amp;refID=7043320&amp;Result=3","7043320")</f>
        <v>0</v>
      </c>
      <c r="B3478" t="s">
        <v>260</v>
      </c>
      <c r="C3478" t="s">
        <v>6517</v>
      </c>
      <c r="D3478" t="s">
        <v>18036</v>
      </c>
      <c r="E3478" t="s">
        <v>21262</v>
      </c>
      <c r="F3478" t="s">
        <v>31574</v>
      </c>
      <c r="G3478" t="s">
        <v>31581</v>
      </c>
      <c r="H3478" t="s">
        <v>31590</v>
      </c>
      <c r="I3478" t="s">
        <v>6800</v>
      </c>
      <c r="J3478" t="s">
        <v>34103</v>
      </c>
      <c r="K3478" t="s">
        <v>41196</v>
      </c>
      <c r="M3478" t="s">
        <v>41746</v>
      </c>
      <c r="N3478" t="s">
        <v>45095</v>
      </c>
      <c r="O3478" t="s">
        <v>45096</v>
      </c>
      <c r="P3478">
        <v>0</v>
      </c>
      <c r="Q3478">
        <v>0</v>
      </c>
      <c r="R3478" t="s">
        <v>45100</v>
      </c>
      <c r="S3478" t="s">
        <v>45228</v>
      </c>
      <c r="T3478" t="s">
        <v>47159</v>
      </c>
      <c r="U3478" t="s">
        <v>50424</v>
      </c>
      <c r="W3478" t="s">
        <v>41746</v>
      </c>
      <c r="X3478" t="s">
        <v>45101</v>
      </c>
    </row>
    <row r="3479" spans="1:24">
      <c r="A3479">
        <f>HYPERLINK("https://www.philgeps.gov.ph/GEPSNONPILOT/Tender/SplashBidNoticeAbstractUI.aspx?menuIndex=3&amp;refID=7043342&amp;Result=3","7043342")</f>
        <v>0</v>
      </c>
      <c r="B3479" t="s">
        <v>1234</v>
      </c>
      <c r="C3479" t="s">
        <v>6518</v>
      </c>
      <c r="D3479" t="s">
        <v>18094</v>
      </c>
      <c r="E3479" t="s">
        <v>21263</v>
      </c>
      <c r="F3479" t="s">
        <v>31574</v>
      </c>
      <c r="G3479" t="s">
        <v>31582</v>
      </c>
      <c r="H3479" t="s">
        <v>31590</v>
      </c>
      <c r="I3479" t="s">
        <v>31602</v>
      </c>
      <c r="J3479" t="s">
        <v>34104</v>
      </c>
      <c r="K3479" t="s">
        <v>41217</v>
      </c>
      <c r="M3479" t="s">
        <v>42796</v>
      </c>
      <c r="N3479" t="s">
        <v>45095</v>
      </c>
      <c r="O3479" t="s">
        <v>45096</v>
      </c>
      <c r="P3479">
        <v>0</v>
      </c>
      <c r="Q3479">
        <v>0</v>
      </c>
      <c r="R3479" t="s">
        <v>45100</v>
      </c>
      <c r="S3479" t="s">
        <v>45228</v>
      </c>
      <c r="T3479" t="s">
        <v>47172</v>
      </c>
      <c r="U3479" t="s">
        <v>50425</v>
      </c>
      <c r="W3479" t="s">
        <v>42796</v>
      </c>
      <c r="X3479" t="s">
        <v>45101</v>
      </c>
    </row>
    <row r="3480" spans="1:24">
      <c r="A3480">
        <f>HYPERLINK("https://www.philgeps.gov.ph/GEPSNONPILOT/Tender/SplashBidNoticeAbstractUI.aspx?menuIndex=3&amp;refID=7043331&amp;Result=3","7043331")</f>
        <v>0</v>
      </c>
      <c r="B3480" t="s">
        <v>870</v>
      </c>
      <c r="C3480" t="s">
        <v>6519</v>
      </c>
      <c r="E3480" t="s">
        <v>21264</v>
      </c>
      <c r="F3480" t="s">
        <v>31574</v>
      </c>
      <c r="G3480" t="s">
        <v>31581</v>
      </c>
      <c r="H3480" t="s">
        <v>31590</v>
      </c>
      <c r="I3480" t="s">
        <v>3651</v>
      </c>
      <c r="J3480" t="s">
        <v>31873</v>
      </c>
      <c r="K3480" t="s">
        <v>41196</v>
      </c>
      <c r="M3480" t="s">
        <v>42390</v>
      </c>
      <c r="N3480" t="s">
        <v>45095</v>
      </c>
      <c r="O3480" t="s">
        <v>45096</v>
      </c>
      <c r="P3480">
        <v>0</v>
      </c>
      <c r="Q3480">
        <v>0</v>
      </c>
      <c r="R3480" t="s">
        <v>45100</v>
      </c>
      <c r="S3480" t="s">
        <v>45228</v>
      </c>
      <c r="T3480" t="s">
        <v>47154</v>
      </c>
      <c r="U3480" t="s">
        <v>50426</v>
      </c>
      <c r="W3480" t="s">
        <v>42390</v>
      </c>
      <c r="X3480" t="s">
        <v>45101</v>
      </c>
    </row>
    <row r="3481" spans="1:24">
      <c r="A3481">
        <f>HYPERLINK("https://www.philgeps.gov.ph/GEPSNONPILOT/Tender/SplashBidNoticeAbstractUI.aspx?menuIndex=3&amp;refID=7043391&amp;Result=3","7043391")</f>
        <v>0</v>
      </c>
      <c r="B3481" t="s">
        <v>1235</v>
      </c>
      <c r="C3481" t="s">
        <v>6520</v>
      </c>
      <c r="D3481" t="s">
        <v>18044</v>
      </c>
      <c r="E3481" t="s">
        <v>21265</v>
      </c>
      <c r="F3481" t="s">
        <v>31574</v>
      </c>
      <c r="G3481" t="s">
        <v>31583</v>
      </c>
      <c r="H3481" t="s">
        <v>31590</v>
      </c>
      <c r="I3481" t="s">
        <v>31608</v>
      </c>
      <c r="J3481" t="s">
        <v>31950</v>
      </c>
      <c r="K3481" t="s">
        <v>41184</v>
      </c>
      <c r="M3481" t="s">
        <v>42797</v>
      </c>
      <c r="N3481" t="s">
        <v>45095</v>
      </c>
      <c r="O3481" t="s">
        <v>45096</v>
      </c>
      <c r="P3481">
        <v>0</v>
      </c>
      <c r="Q3481">
        <v>4</v>
      </c>
      <c r="R3481" t="s">
        <v>45100</v>
      </c>
      <c r="S3481" t="s">
        <v>45228</v>
      </c>
      <c r="T3481" t="s">
        <v>47125</v>
      </c>
      <c r="U3481" t="s">
        <v>50427</v>
      </c>
      <c r="W3481" t="s">
        <v>42797</v>
      </c>
      <c r="X3481" t="s">
        <v>45101</v>
      </c>
    </row>
    <row r="3482" spans="1:24">
      <c r="A3482">
        <f>HYPERLINK("https://www.philgeps.gov.ph/GEPSNONPILOT/Tender/SplashBidNoticeAbstractUI.aspx?menuIndex=3&amp;refID=7043338&amp;Result=3","7043338")</f>
        <v>0</v>
      </c>
      <c r="B3482" t="s">
        <v>1234</v>
      </c>
      <c r="C3482" t="s">
        <v>6521</v>
      </c>
      <c r="D3482" t="s">
        <v>18094</v>
      </c>
      <c r="E3482" t="s">
        <v>21266</v>
      </c>
      <c r="F3482" t="s">
        <v>31574</v>
      </c>
      <c r="G3482" t="s">
        <v>31582</v>
      </c>
      <c r="H3482" t="s">
        <v>31590</v>
      </c>
      <c r="I3482" t="s">
        <v>4046</v>
      </c>
      <c r="J3482" t="s">
        <v>34105</v>
      </c>
      <c r="K3482" t="s">
        <v>41196</v>
      </c>
      <c r="M3482" t="s">
        <v>42796</v>
      </c>
      <c r="N3482" t="s">
        <v>45095</v>
      </c>
      <c r="O3482" t="s">
        <v>45096</v>
      </c>
      <c r="P3482">
        <v>0</v>
      </c>
      <c r="Q3482">
        <v>0</v>
      </c>
      <c r="R3482" t="s">
        <v>45100</v>
      </c>
      <c r="S3482" t="s">
        <v>45228</v>
      </c>
      <c r="T3482" t="s">
        <v>47172</v>
      </c>
      <c r="U3482" t="s">
        <v>50428</v>
      </c>
      <c r="W3482" t="s">
        <v>42796</v>
      </c>
      <c r="X3482" t="s">
        <v>45101</v>
      </c>
    </row>
    <row r="3483" spans="1:24">
      <c r="A3483">
        <f>HYPERLINK("https://www.philgeps.gov.ph/GEPSNONPILOT/Tender/SplashBidNoticeAbstractUI.aspx?menuIndex=3&amp;refID=7043348&amp;Result=3","7043348")</f>
        <v>0</v>
      </c>
      <c r="B3483" t="s">
        <v>1233</v>
      </c>
      <c r="C3483" t="s">
        <v>6522</v>
      </c>
      <c r="D3483" t="s">
        <v>18095</v>
      </c>
      <c r="E3483" t="s">
        <v>21267</v>
      </c>
      <c r="F3483" t="s">
        <v>31574</v>
      </c>
      <c r="G3483" t="s">
        <v>31581</v>
      </c>
      <c r="H3483" t="s">
        <v>31590</v>
      </c>
      <c r="I3483" t="s">
        <v>8258</v>
      </c>
      <c r="J3483" t="s">
        <v>34106</v>
      </c>
      <c r="K3483" t="s">
        <v>41196</v>
      </c>
      <c r="M3483" t="s">
        <v>42795</v>
      </c>
      <c r="N3483" t="s">
        <v>45095</v>
      </c>
      <c r="O3483" t="s">
        <v>45096</v>
      </c>
      <c r="P3483">
        <v>0</v>
      </c>
      <c r="Q3483">
        <v>2</v>
      </c>
      <c r="R3483" t="s">
        <v>45100</v>
      </c>
      <c r="S3483" t="s">
        <v>45228</v>
      </c>
      <c r="T3483" t="s">
        <v>46982</v>
      </c>
      <c r="U3483" t="s">
        <v>50417</v>
      </c>
      <c r="V3483" t="s">
        <v>60195</v>
      </c>
      <c r="W3483" t="s">
        <v>42795</v>
      </c>
      <c r="X3483" t="s">
        <v>45101</v>
      </c>
    </row>
    <row r="3484" spans="1:24">
      <c r="A3484">
        <f>HYPERLINK("https://www.philgeps.gov.ph/GEPSNONPILOT/Tender/SplashBidNoticeAbstractUI.aspx?menuIndex=3&amp;refID=7043323&amp;Result=3","7043323")</f>
        <v>0</v>
      </c>
      <c r="B3484" t="s">
        <v>260</v>
      </c>
      <c r="C3484" t="s">
        <v>6523</v>
      </c>
      <c r="D3484" t="s">
        <v>18036</v>
      </c>
      <c r="E3484" t="s">
        <v>21268</v>
      </c>
      <c r="F3484" t="s">
        <v>31574</v>
      </c>
      <c r="G3484" t="s">
        <v>31581</v>
      </c>
      <c r="H3484" t="s">
        <v>31590</v>
      </c>
      <c r="I3484" t="s">
        <v>6800</v>
      </c>
      <c r="J3484" t="s">
        <v>31725</v>
      </c>
      <c r="K3484" t="s">
        <v>41196</v>
      </c>
      <c r="M3484" t="s">
        <v>41746</v>
      </c>
      <c r="N3484" t="s">
        <v>45095</v>
      </c>
      <c r="O3484" t="s">
        <v>45096</v>
      </c>
      <c r="P3484">
        <v>0</v>
      </c>
      <c r="Q3484">
        <v>3</v>
      </c>
      <c r="R3484" t="s">
        <v>45100</v>
      </c>
      <c r="S3484" t="s">
        <v>45228</v>
      </c>
      <c r="T3484" t="s">
        <v>47159</v>
      </c>
      <c r="U3484" t="s">
        <v>50429</v>
      </c>
      <c r="W3484" t="s">
        <v>41746</v>
      </c>
      <c r="X3484" t="s">
        <v>45101</v>
      </c>
    </row>
    <row r="3485" spans="1:24">
      <c r="A3485">
        <f>HYPERLINK("https://www.philgeps.gov.ph/GEPSNONPILOT/Tender/SplashBidNoticeAbstractUI.aspx?menuIndex=3&amp;refID=7043343&amp;Result=3","7043343")</f>
        <v>0</v>
      </c>
      <c r="B3485" t="s">
        <v>87</v>
      </c>
      <c r="C3485" t="s">
        <v>6524</v>
      </c>
      <c r="D3485" t="s">
        <v>18054</v>
      </c>
      <c r="E3485" t="s">
        <v>21269</v>
      </c>
      <c r="F3485" t="s">
        <v>31574</v>
      </c>
      <c r="G3485" t="s">
        <v>31581</v>
      </c>
      <c r="H3485" t="s">
        <v>31590</v>
      </c>
      <c r="I3485" t="s">
        <v>31622</v>
      </c>
      <c r="J3485" t="s">
        <v>32017</v>
      </c>
      <c r="K3485" t="s">
        <v>41240</v>
      </c>
      <c r="M3485" t="s">
        <v>41571</v>
      </c>
      <c r="N3485" t="s">
        <v>45095</v>
      </c>
      <c r="O3485" t="s">
        <v>45096</v>
      </c>
      <c r="P3485">
        <v>0</v>
      </c>
      <c r="Q3485">
        <v>3</v>
      </c>
      <c r="R3485" t="s">
        <v>45100</v>
      </c>
      <c r="S3485" t="s">
        <v>45228</v>
      </c>
      <c r="T3485" t="s">
        <v>47077</v>
      </c>
      <c r="U3485" t="s">
        <v>50430</v>
      </c>
      <c r="W3485" t="s">
        <v>41571</v>
      </c>
      <c r="X3485" t="s">
        <v>45101</v>
      </c>
    </row>
    <row r="3486" spans="1:24">
      <c r="A3486">
        <f>HYPERLINK("https://www.philgeps.gov.ph/GEPSNONPILOT/Tender/SplashBidNoticeAbstractUI.aspx?menuIndex=3&amp;refID=7043355&amp;Result=3","7043355")</f>
        <v>0</v>
      </c>
      <c r="B3486" t="s">
        <v>1236</v>
      </c>
      <c r="C3486" t="s">
        <v>6525</v>
      </c>
      <c r="D3486" t="s">
        <v>18078</v>
      </c>
      <c r="E3486" t="s">
        <v>21270</v>
      </c>
      <c r="F3486" t="s">
        <v>31574</v>
      </c>
      <c r="G3486" t="s">
        <v>31582</v>
      </c>
      <c r="H3486" t="s">
        <v>31590</v>
      </c>
      <c r="I3486" t="s">
        <v>31608</v>
      </c>
      <c r="J3486" t="s">
        <v>31949</v>
      </c>
      <c r="K3486" t="s">
        <v>41185</v>
      </c>
      <c r="M3486" t="s">
        <v>42798</v>
      </c>
      <c r="N3486" t="s">
        <v>45095</v>
      </c>
      <c r="O3486" t="s">
        <v>45096</v>
      </c>
      <c r="P3486">
        <v>0</v>
      </c>
      <c r="Q3486">
        <v>2</v>
      </c>
      <c r="R3486" t="s">
        <v>45100</v>
      </c>
      <c r="S3486" t="s">
        <v>45228</v>
      </c>
      <c r="T3486" t="s">
        <v>47166</v>
      </c>
      <c r="U3486" t="s">
        <v>50431</v>
      </c>
      <c r="W3486" t="s">
        <v>42798</v>
      </c>
      <c r="X3486" t="s">
        <v>45101</v>
      </c>
    </row>
    <row r="3487" spans="1:24">
      <c r="A3487">
        <f>HYPERLINK("https://www.philgeps.gov.ph/GEPSNONPILOT/Tender/SplashBidNoticeAbstractUI.aspx?menuIndex=3&amp;refID=7043346&amp;Result=3","7043346")</f>
        <v>0</v>
      </c>
      <c r="B3487" t="s">
        <v>1234</v>
      </c>
      <c r="C3487" t="s">
        <v>6526</v>
      </c>
      <c r="D3487" t="s">
        <v>18094</v>
      </c>
      <c r="E3487" t="s">
        <v>21271</v>
      </c>
      <c r="F3487" t="s">
        <v>31574</v>
      </c>
      <c r="G3487" t="s">
        <v>31581</v>
      </c>
      <c r="H3487" t="s">
        <v>31590</v>
      </c>
      <c r="I3487" t="s">
        <v>4327</v>
      </c>
      <c r="J3487" t="s">
        <v>31782</v>
      </c>
      <c r="K3487" t="s">
        <v>41215</v>
      </c>
      <c r="M3487" t="s">
        <v>42796</v>
      </c>
      <c r="N3487" t="s">
        <v>45095</v>
      </c>
      <c r="O3487" t="s">
        <v>45096</v>
      </c>
      <c r="P3487">
        <v>0</v>
      </c>
      <c r="Q3487">
        <v>0</v>
      </c>
      <c r="R3487" t="s">
        <v>45100</v>
      </c>
      <c r="S3487" t="s">
        <v>45228</v>
      </c>
      <c r="T3487" t="s">
        <v>47124</v>
      </c>
      <c r="U3487" t="s">
        <v>50432</v>
      </c>
      <c r="W3487" t="s">
        <v>42796</v>
      </c>
      <c r="X3487" t="s">
        <v>45101</v>
      </c>
    </row>
    <row r="3488" spans="1:24">
      <c r="A3488">
        <f>HYPERLINK("https://www.philgeps.gov.ph/GEPSNONPILOT/Tender/SplashBidNoticeAbstractUI.aspx?menuIndex=3&amp;refID=7043400&amp;Result=3","7043400")</f>
        <v>0</v>
      </c>
      <c r="B3488" t="s">
        <v>1235</v>
      </c>
      <c r="C3488" t="s">
        <v>6527</v>
      </c>
      <c r="D3488" t="s">
        <v>18044</v>
      </c>
      <c r="E3488" t="s">
        <v>21272</v>
      </c>
      <c r="F3488" t="s">
        <v>31574</v>
      </c>
      <c r="G3488" t="s">
        <v>31581</v>
      </c>
      <c r="H3488" t="s">
        <v>31590</v>
      </c>
      <c r="I3488" t="s">
        <v>7162</v>
      </c>
      <c r="J3488" t="s">
        <v>33503</v>
      </c>
      <c r="K3488" t="s">
        <v>41184</v>
      </c>
      <c r="M3488" t="s">
        <v>42797</v>
      </c>
      <c r="N3488" t="s">
        <v>45095</v>
      </c>
      <c r="O3488" t="s">
        <v>45096</v>
      </c>
      <c r="P3488">
        <v>0</v>
      </c>
      <c r="Q3488">
        <v>5</v>
      </c>
      <c r="R3488" t="s">
        <v>45100</v>
      </c>
      <c r="S3488" t="s">
        <v>45228</v>
      </c>
      <c r="T3488" t="s">
        <v>47125</v>
      </c>
      <c r="U3488" t="s">
        <v>50427</v>
      </c>
      <c r="W3488" t="s">
        <v>42797</v>
      </c>
      <c r="X3488" t="s">
        <v>45101</v>
      </c>
    </row>
    <row r="3489" spans="1:24">
      <c r="A3489">
        <f>HYPERLINK("https://www.philgeps.gov.ph/GEPSNONPILOT/Tender/SplashBidNoticeAbstractUI.aspx?menuIndex=3&amp;refID=7043344&amp;Result=3","7043344")</f>
        <v>0</v>
      </c>
      <c r="B3489" t="s">
        <v>1233</v>
      </c>
      <c r="C3489" t="s">
        <v>6528</v>
      </c>
      <c r="D3489" t="s">
        <v>18095</v>
      </c>
      <c r="E3489" t="s">
        <v>21273</v>
      </c>
      <c r="F3489" t="s">
        <v>31574</v>
      </c>
      <c r="G3489" t="s">
        <v>31584</v>
      </c>
      <c r="H3489" t="s">
        <v>31590</v>
      </c>
      <c r="I3489" t="s">
        <v>31608</v>
      </c>
      <c r="J3489" t="s">
        <v>32017</v>
      </c>
      <c r="K3489" t="s">
        <v>41196</v>
      </c>
      <c r="M3489" t="s">
        <v>42795</v>
      </c>
      <c r="N3489" t="s">
        <v>45095</v>
      </c>
      <c r="O3489" t="s">
        <v>45096</v>
      </c>
      <c r="P3489">
        <v>0</v>
      </c>
      <c r="Q3489">
        <v>3</v>
      </c>
      <c r="R3489" t="s">
        <v>45100</v>
      </c>
      <c r="S3489" t="s">
        <v>45228</v>
      </c>
      <c r="T3489" t="s">
        <v>46982</v>
      </c>
      <c r="U3489" t="s">
        <v>50417</v>
      </c>
      <c r="V3489" t="s">
        <v>60195</v>
      </c>
      <c r="W3489" t="s">
        <v>42795</v>
      </c>
      <c r="X3489" t="s">
        <v>45101</v>
      </c>
    </row>
    <row r="3490" spans="1:24">
      <c r="A3490">
        <f>HYPERLINK("https://www.philgeps.gov.ph/GEPSNONPILOT/Tender/SplashBidNoticeAbstractUI.aspx?menuIndex=3&amp;refID=7043433&amp;Result=3","7043433")</f>
        <v>0</v>
      </c>
      <c r="B3490" t="s">
        <v>1237</v>
      </c>
      <c r="C3490" t="s">
        <v>6529</v>
      </c>
      <c r="D3490" t="s">
        <v>18022</v>
      </c>
      <c r="E3490" t="s">
        <v>21274</v>
      </c>
      <c r="F3490" t="s">
        <v>31574</v>
      </c>
      <c r="G3490" t="s">
        <v>31581</v>
      </c>
      <c r="H3490" t="s">
        <v>31591</v>
      </c>
      <c r="I3490" t="s">
        <v>8822</v>
      </c>
      <c r="J3490" t="s">
        <v>34107</v>
      </c>
      <c r="K3490" t="s">
        <v>41186</v>
      </c>
      <c r="M3490" t="s">
        <v>42799</v>
      </c>
      <c r="N3490" t="s">
        <v>45095</v>
      </c>
      <c r="O3490" t="s">
        <v>45096</v>
      </c>
      <c r="P3490">
        <v>0</v>
      </c>
      <c r="Q3490">
        <v>1</v>
      </c>
      <c r="R3490" t="s">
        <v>45100</v>
      </c>
      <c r="S3490" t="s">
        <v>45228</v>
      </c>
      <c r="T3490" t="s">
        <v>47165</v>
      </c>
      <c r="U3490" t="s">
        <v>50433</v>
      </c>
      <c r="W3490" t="s">
        <v>42799</v>
      </c>
      <c r="X3490" t="s">
        <v>45101</v>
      </c>
    </row>
    <row r="3491" spans="1:24">
      <c r="A3491">
        <f>HYPERLINK("https://www.philgeps.gov.ph/GEPSNONPILOT/Tender/SplashBidNoticeAbstractUI.aspx?menuIndex=3&amp;refID=7043401&amp;Result=3","7043401")</f>
        <v>0</v>
      </c>
      <c r="B3491" t="s">
        <v>269</v>
      </c>
      <c r="C3491" t="s">
        <v>6530</v>
      </c>
      <c r="D3491" t="s">
        <v>18058</v>
      </c>
      <c r="E3491" t="s">
        <v>21275</v>
      </c>
      <c r="F3491" t="s">
        <v>31575</v>
      </c>
      <c r="G3491" t="s">
        <v>31582</v>
      </c>
      <c r="H3491" t="s">
        <v>31592</v>
      </c>
      <c r="I3491" t="s">
        <v>31672</v>
      </c>
      <c r="J3491" t="s">
        <v>32760</v>
      </c>
      <c r="K3491" t="s">
        <v>41186</v>
      </c>
      <c r="M3491" t="s">
        <v>41755</v>
      </c>
      <c r="N3491" t="s">
        <v>45095</v>
      </c>
      <c r="O3491" t="s">
        <v>45096</v>
      </c>
      <c r="P3491">
        <v>0</v>
      </c>
      <c r="Q3491">
        <v>0</v>
      </c>
      <c r="R3491" t="s">
        <v>45100</v>
      </c>
      <c r="S3491" t="s">
        <v>45228</v>
      </c>
      <c r="T3491" t="s">
        <v>47174</v>
      </c>
      <c r="U3491" t="s">
        <v>50434</v>
      </c>
      <c r="W3491" t="s">
        <v>41755</v>
      </c>
      <c r="X3491" t="s">
        <v>45101</v>
      </c>
    </row>
    <row r="3492" spans="1:24">
      <c r="A3492">
        <f>HYPERLINK("https://www.philgeps.gov.ph/GEPSNONPILOT/Tender/SplashBidNoticeAbstractUI.aspx?menuIndex=3&amp;refID=7043422&amp;Result=3","7043422")</f>
        <v>0</v>
      </c>
      <c r="B3492" t="s">
        <v>1238</v>
      </c>
      <c r="C3492" t="s">
        <v>6531</v>
      </c>
      <c r="D3492" t="s">
        <v>18049</v>
      </c>
      <c r="E3492" t="s">
        <v>21276</v>
      </c>
      <c r="F3492" t="s">
        <v>31574</v>
      </c>
      <c r="G3492" t="s">
        <v>31582</v>
      </c>
      <c r="H3492" t="s">
        <v>31591</v>
      </c>
      <c r="I3492" t="s">
        <v>8822</v>
      </c>
      <c r="J3492" t="s">
        <v>34108</v>
      </c>
      <c r="K3492" t="s">
        <v>41198</v>
      </c>
      <c r="M3492" t="s">
        <v>42800</v>
      </c>
      <c r="N3492" t="s">
        <v>45095</v>
      </c>
      <c r="O3492" t="s">
        <v>45096</v>
      </c>
      <c r="P3492">
        <v>0</v>
      </c>
      <c r="Q3492">
        <v>0</v>
      </c>
      <c r="R3492" t="s">
        <v>45100</v>
      </c>
      <c r="S3492" t="s">
        <v>45228</v>
      </c>
      <c r="T3492" t="s">
        <v>47100</v>
      </c>
      <c r="U3492" t="s">
        <v>50435</v>
      </c>
      <c r="W3492" t="s">
        <v>42800</v>
      </c>
      <c r="X3492" t="s">
        <v>45101</v>
      </c>
    </row>
    <row r="3493" spans="1:24">
      <c r="A3493">
        <f>HYPERLINK("https://www.philgeps.gov.ph/GEPSNONPILOT/Tender/SplashBidNoticeAbstractUI.aspx?menuIndex=3&amp;refID=7043435&amp;Result=3","7043435")</f>
        <v>0</v>
      </c>
      <c r="B3493" t="s">
        <v>1189</v>
      </c>
      <c r="C3493" t="s">
        <v>6532</v>
      </c>
      <c r="D3493" t="s">
        <v>18094</v>
      </c>
      <c r="E3493" t="s">
        <v>21277</v>
      </c>
      <c r="F3493" t="s">
        <v>31574</v>
      </c>
      <c r="G3493" t="s">
        <v>31581</v>
      </c>
      <c r="H3493" t="s">
        <v>31590</v>
      </c>
      <c r="I3493" t="s">
        <v>31602</v>
      </c>
      <c r="J3493" t="s">
        <v>34109</v>
      </c>
      <c r="K3493" t="s">
        <v>41193</v>
      </c>
      <c r="M3493" t="s">
        <v>42748</v>
      </c>
      <c r="N3493" t="s">
        <v>45095</v>
      </c>
      <c r="O3493" t="s">
        <v>45096</v>
      </c>
      <c r="P3493">
        <v>0</v>
      </c>
      <c r="Q3493">
        <v>0</v>
      </c>
      <c r="R3493" t="s">
        <v>45100</v>
      </c>
      <c r="S3493" t="s">
        <v>45228</v>
      </c>
      <c r="T3493" t="s">
        <v>47173</v>
      </c>
      <c r="U3493" t="s">
        <v>50436</v>
      </c>
      <c r="W3493" t="s">
        <v>42748</v>
      </c>
      <c r="X3493" t="s">
        <v>45101</v>
      </c>
    </row>
    <row r="3494" spans="1:24">
      <c r="A3494">
        <f>HYPERLINK("https://www.philgeps.gov.ph/GEPSNONPILOT/Tender/SplashBidNoticeAbstractUI.aspx?menuIndex=3&amp;refID=7043431&amp;Result=3","7043431")</f>
        <v>0</v>
      </c>
      <c r="B3494" t="s">
        <v>1238</v>
      </c>
      <c r="C3494" t="s">
        <v>6533</v>
      </c>
      <c r="D3494" t="s">
        <v>18049</v>
      </c>
      <c r="E3494" t="s">
        <v>21278</v>
      </c>
      <c r="F3494" t="s">
        <v>31574</v>
      </c>
      <c r="G3494" t="s">
        <v>31582</v>
      </c>
      <c r="H3494" t="s">
        <v>31591</v>
      </c>
      <c r="I3494" t="s">
        <v>8822</v>
      </c>
      <c r="J3494" t="s">
        <v>34110</v>
      </c>
      <c r="K3494" t="s">
        <v>41202</v>
      </c>
      <c r="M3494" t="s">
        <v>42800</v>
      </c>
      <c r="N3494" t="s">
        <v>45095</v>
      </c>
      <c r="O3494" t="s">
        <v>45096</v>
      </c>
      <c r="P3494">
        <v>0</v>
      </c>
      <c r="Q3494">
        <v>0</v>
      </c>
      <c r="R3494" t="s">
        <v>45100</v>
      </c>
      <c r="S3494" t="s">
        <v>45228</v>
      </c>
      <c r="T3494" t="s">
        <v>47100</v>
      </c>
      <c r="U3494" t="s">
        <v>50437</v>
      </c>
      <c r="W3494" t="s">
        <v>42800</v>
      </c>
      <c r="X3494" t="s">
        <v>45101</v>
      </c>
    </row>
    <row r="3495" spans="1:24">
      <c r="A3495">
        <f>HYPERLINK("https://www.philgeps.gov.ph/GEPSNONPILOT/Tender/SplashBidNoticeAbstractUI.aspx?menuIndex=3&amp;refID=7043423&amp;Result=3","7043423")</f>
        <v>0</v>
      </c>
      <c r="B3495" t="s">
        <v>1239</v>
      </c>
      <c r="C3495" t="s">
        <v>6534</v>
      </c>
      <c r="D3495" t="s">
        <v>18031</v>
      </c>
      <c r="E3495" t="s">
        <v>21279</v>
      </c>
      <c r="F3495" t="s">
        <v>31574</v>
      </c>
      <c r="G3495" t="s">
        <v>31581</v>
      </c>
      <c r="H3495" t="s">
        <v>31591</v>
      </c>
      <c r="I3495" t="s">
        <v>31638</v>
      </c>
      <c r="J3495" t="s">
        <v>34111</v>
      </c>
      <c r="K3495" t="s">
        <v>41186</v>
      </c>
      <c r="M3495" t="s">
        <v>42801</v>
      </c>
      <c r="N3495" t="s">
        <v>45095</v>
      </c>
      <c r="O3495" t="s">
        <v>45096</v>
      </c>
      <c r="P3495">
        <v>0</v>
      </c>
      <c r="Q3495">
        <v>4</v>
      </c>
      <c r="R3495" t="s">
        <v>45100</v>
      </c>
      <c r="S3495" t="s">
        <v>45228</v>
      </c>
      <c r="T3495" t="s">
        <v>46904</v>
      </c>
      <c r="U3495" t="s">
        <v>50438</v>
      </c>
      <c r="W3495" t="s">
        <v>42801</v>
      </c>
      <c r="X3495" t="s">
        <v>45101</v>
      </c>
    </row>
    <row r="3496" spans="1:24">
      <c r="A3496">
        <f>HYPERLINK("https://www.philgeps.gov.ph/GEPSNONPILOT/Tender/SplashBidNoticeAbstractUI.aspx?menuIndex=3&amp;refID=7043412&amp;Result=3","7043412")</f>
        <v>0</v>
      </c>
      <c r="B3496" t="s">
        <v>369</v>
      </c>
      <c r="C3496" t="s">
        <v>6535</v>
      </c>
      <c r="D3496" t="s">
        <v>18063</v>
      </c>
      <c r="E3496" t="s">
        <v>21280</v>
      </c>
      <c r="F3496" t="s">
        <v>31574</v>
      </c>
      <c r="G3496" t="s">
        <v>31582</v>
      </c>
      <c r="H3496" t="s">
        <v>31591</v>
      </c>
      <c r="I3496" t="s">
        <v>8822</v>
      </c>
      <c r="J3496" t="s">
        <v>34112</v>
      </c>
      <c r="K3496" t="s">
        <v>41200</v>
      </c>
      <c r="M3496" t="s">
        <v>42802</v>
      </c>
      <c r="N3496" t="s">
        <v>45095</v>
      </c>
      <c r="O3496" t="s">
        <v>45096</v>
      </c>
      <c r="P3496">
        <v>0</v>
      </c>
      <c r="Q3496">
        <v>0</v>
      </c>
      <c r="R3496" t="s">
        <v>45100</v>
      </c>
      <c r="S3496" t="s">
        <v>45228</v>
      </c>
      <c r="T3496" t="s">
        <v>47175</v>
      </c>
      <c r="U3496" t="s">
        <v>50439</v>
      </c>
      <c r="W3496" t="s">
        <v>42802</v>
      </c>
      <c r="X3496" t="s">
        <v>45101</v>
      </c>
    </row>
    <row r="3497" spans="1:24">
      <c r="A3497">
        <f>HYPERLINK("https://www.philgeps.gov.ph/GEPSNONPILOT/Tender/SplashBidNoticeAbstractUI.aspx?menuIndex=3&amp;refID=7043441&amp;Result=3","7043441")</f>
        <v>0</v>
      </c>
      <c r="B3497" t="s">
        <v>852</v>
      </c>
      <c r="C3497" t="s">
        <v>6536</v>
      </c>
      <c r="D3497" t="s">
        <v>18051</v>
      </c>
      <c r="E3497" t="s">
        <v>21281</v>
      </c>
      <c r="F3497" t="s">
        <v>31574</v>
      </c>
      <c r="G3497" t="s">
        <v>31582</v>
      </c>
      <c r="H3497" t="s">
        <v>31591</v>
      </c>
      <c r="I3497" t="s">
        <v>8822</v>
      </c>
      <c r="J3497" t="s">
        <v>34113</v>
      </c>
      <c r="K3497" t="s">
        <v>41303</v>
      </c>
      <c r="M3497" t="s">
        <v>42371</v>
      </c>
      <c r="N3497" t="s">
        <v>45095</v>
      </c>
      <c r="O3497" t="s">
        <v>45096</v>
      </c>
      <c r="P3497">
        <v>0</v>
      </c>
      <c r="Q3497">
        <v>0</v>
      </c>
      <c r="R3497" t="s">
        <v>45100</v>
      </c>
      <c r="S3497" t="s">
        <v>45228</v>
      </c>
      <c r="T3497" t="s">
        <v>47100</v>
      </c>
      <c r="U3497" t="s">
        <v>50440</v>
      </c>
      <c r="V3497" t="s">
        <v>60196</v>
      </c>
      <c r="W3497" t="s">
        <v>42371</v>
      </c>
      <c r="X3497" t="s">
        <v>45101</v>
      </c>
    </row>
    <row r="3498" spans="1:24">
      <c r="A3498">
        <f>HYPERLINK("https://www.philgeps.gov.ph/GEPSNONPILOT/Tender/SplashBidNoticeAbstractUI.aspx?menuIndex=3&amp;refID=7043415&amp;Result=3","7043415")</f>
        <v>0</v>
      </c>
      <c r="B3498" t="s">
        <v>1240</v>
      </c>
      <c r="C3498" t="s">
        <v>6537</v>
      </c>
      <c r="D3498" t="s">
        <v>18100</v>
      </c>
      <c r="E3498" t="s">
        <v>21282</v>
      </c>
      <c r="F3498" t="s">
        <v>31574</v>
      </c>
      <c r="G3498" t="s">
        <v>31582</v>
      </c>
      <c r="H3498" t="s">
        <v>31590</v>
      </c>
      <c r="I3498" t="s">
        <v>4046</v>
      </c>
      <c r="J3498" t="s">
        <v>34114</v>
      </c>
      <c r="K3498" t="s">
        <v>41184</v>
      </c>
      <c r="M3498" t="s">
        <v>42803</v>
      </c>
      <c r="N3498" t="s">
        <v>45095</v>
      </c>
      <c r="O3498" t="s">
        <v>45096</v>
      </c>
      <c r="P3498">
        <v>0</v>
      </c>
      <c r="Q3498">
        <v>0</v>
      </c>
      <c r="R3498" t="s">
        <v>45100</v>
      </c>
      <c r="S3498" t="s">
        <v>45228</v>
      </c>
      <c r="T3498" t="s">
        <v>46932</v>
      </c>
      <c r="U3498" t="s">
        <v>50441</v>
      </c>
      <c r="W3498" t="s">
        <v>42803</v>
      </c>
      <c r="X3498" t="s">
        <v>45101</v>
      </c>
    </row>
    <row r="3499" spans="1:24">
      <c r="A3499">
        <f>HYPERLINK("https://www.philgeps.gov.ph/GEPSNONPILOT/Tender/SplashBidNoticeAbstractUI.aspx?menuIndex=3&amp;refID=7043437&amp;Result=3","7043437")</f>
        <v>0</v>
      </c>
      <c r="B3499" t="s">
        <v>852</v>
      </c>
      <c r="C3499" t="s">
        <v>6538</v>
      </c>
      <c r="D3499" t="s">
        <v>18051</v>
      </c>
      <c r="E3499" t="s">
        <v>21283</v>
      </c>
      <c r="F3499" t="s">
        <v>31574</v>
      </c>
      <c r="G3499" t="s">
        <v>31582</v>
      </c>
      <c r="H3499" t="s">
        <v>31591</v>
      </c>
      <c r="I3499" t="s">
        <v>8822</v>
      </c>
      <c r="J3499" t="s">
        <v>34115</v>
      </c>
      <c r="K3499" t="s">
        <v>41274</v>
      </c>
      <c r="M3499" t="s">
        <v>42371</v>
      </c>
      <c r="N3499" t="s">
        <v>45095</v>
      </c>
      <c r="O3499" t="s">
        <v>45096</v>
      </c>
      <c r="P3499">
        <v>0</v>
      </c>
      <c r="Q3499">
        <v>0</v>
      </c>
      <c r="R3499" t="s">
        <v>45100</v>
      </c>
      <c r="S3499" t="s">
        <v>45228</v>
      </c>
      <c r="T3499" t="s">
        <v>47100</v>
      </c>
      <c r="U3499" t="s">
        <v>50442</v>
      </c>
      <c r="V3499" t="s">
        <v>60197</v>
      </c>
      <c r="W3499" t="s">
        <v>42371</v>
      </c>
      <c r="X3499" t="s">
        <v>45101</v>
      </c>
    </row>
    <row r="3500" spans="1:24">
      <c r="A3500">
        <f>HYPERLINK("https://www.philgeps.gov.ph/GEPSNONPILOT/Tender/SplashBidNoticeAbstractUI.aspx?menuIndex=3&amp;refID=7043408&amp;Result=3","7043408")</f>
        <v>0</v>
      </c>
      <c r="B3500" t="s">
        <v>369</v>
      </c>
      <c r="C3500" t="s">
        <v>6539</v>
      </c>
      <c r="D3500" t="s">
        <v>18063</v>
      </c>
      <c r="E3500" t="s">
        <v>21284</v>
      </c>
      <c r="F3500" t="s">
        <v>31574</v>
      </c>
      <c r="G3500" t="s">
        <v>31582</v>
      </c>
      <c r="H3500" t="s">
        <v>31591</v>
      </c>
      <c r="I3500" t="s">
        <v>8822</v>
      </c>
      <c r="J3500" t="s">
        <v>32530</v>
      </c>
      <c r="K3500" t="s">
        <v>41200</v>
      </c>
      <c r="M3500" t="s">
        <v>42802</v>
      </c>
      <c r="N3500" t="s">
        <v>45095</v>
      </c>
      <c r="O3500" t="s">
        <v>45096</v>
      </c>
      <c r="P3500">
        <v>0</v>
      </c>
      <c r="Q3500">
        <v>0</v>
      </c>
      <c r="R3500" t="s">
        <v>45100</v>
      </c>
      <c r="S3500" t="s">
        <v>45228</v>
      </c>
      <c r="T3500" t="s">
        <v>47175</v>
      </c>
      <c r="U3500" t="s">
        <v>50443</v>
      </c>
      <c r="W3500" t="s">
        <v>42802</v>
      </c>
      <c r="X3500" t="s">
        <v>45101</v>
      </c>
    </row>
    <row r="3501" spans="1:24">
      <c r="A3501">
        <f>HYPERLINK("https://www.philgeps.gov.ph/GEPSNONPILOT/Tender/SplashBidNoticeAbstractUI.aspx?menuIndex=3&amp;refID=7043407&amp;Result=3","7043407")</f>
        <v>0</v>
      </c>
      <c r="B3501" t="s">
        <v>1240</v>
      </c>
      <c r="C3501" t="s">
        <v>6540</v>
      </c>
      <c r="D3501" t="s">
        <v>18100</v>
      </c>
      <c r="E3501" t="s">
        <v>21285</v>
      </c>
      <c r="F3501" t="s">
        <v>31574</v>
      </c>
      <c r="G3501" t="s">
        <v>31582</v>
      </c>
      <c r="H3501" t="s">
        <v>31590</v>
      </c>
      <c r="I3501" t="s">
        <v>4046</v>
      </c>
      <c r="J3501" t="s">
        <v>34116</v>
      </c>
      <c r="K3501" t="s">
        <v>41184</v>
      </c>
      <c r="M3501" t="s">
        <v>42803</v>
      </c>
      <c r="N3501" t="s">
        <v>45095</v>
      </c>
      <c r="O3501" t="s">
        <v>45096</v>
      </c>
      <c r="P3501">
        <v>0</v>
      </c>
      <c r="Q3501">
        <v>0</v>
      </c>
      <c r="R3501" t="s">
        <v>45100</v>
      </c>
      <c r="S3501" t="s">
        <v>45228</v>
      </c>
      <c r="T3501" t="s">
        <v>46932</v>
      </c>
      <c r="U3501" t="s">
        <v>50444</v>
      </c>
      <c r="W3501" t="s">
        <v>42803</v>
      </c>
      <c r="X3501" t="s">
        <v>45101</v>
      </c>
    </row>
    <row r="3502" spans="1:24">
      <c r="A3502">
        <f>HYPERLINK("https://www.philgeps.gov.ph/GEPSNONPILOT/Tender/SplashBidNoticeAbstractUI.aspx?menuIndex=3&amp;refID=7043442&amp;Result=3","7043442")</f>
        <v>0</v>
      </c>
      <c r="B3502" t="s">
        <v>1241</v>
      </c>
      <c r="C3502" t="s">
        <v>6541</v>
      </c>
      <c r="E3502" t="s">
        <v>21286</v>
      </c>
      <c r="F3502" t="s">
        <v>31574</v>
      </c>
      <c r="G3502" t="s">
        <v>31582</v>
      </c>
      <c r="H3502" t="s">
        <v>31590</v>
      </c>
      <c r="I3502" t="s">
        <v>31693</v>
      </c>
      <c r="J3502" t="s">
        <v>34117</v>
      </c>
      <c r="K3502" t="s">
        <v>41184</v>
      </c>
      <c r="M3502" t="s">
        <v>42804</v>
      </c>
      <c r="N3502" t="s">
        <v>45095</v>
      </c>
      <c r="O3502" t="s">
        <v>45096</v>
      </c>
      <c r="P3502">
        <v>0</v>
      </c>
      <c r="Q3502">
        <v>0</v>
      </c>
      <c r="R3502" t="s">
        <v>45100</v>
      </c>
      <c r="S3502" t="s">
        <v>45228</v>
      </c>
      <c r="T3502" t="s">
        <v>47008</v>
      </c>
      <c r="U3502" t="s">
        <v>50445</v>
      </c>
      <c r="W3502" t="s">
        <v>42804</v>
      </c>
      <c r="X3502" t="s">
        <v>45101</v>
      </c>
    </row>
    <row r="3503" spans="1:24">
      <c r="A3503">
        <f>HYPERLINK("https://www.philgeps.gov.ph/GEPSNONPILOT/Tender/SplashBidNoticeAbstractUI.aspx?menuIndex=3&amp;refID=7043448&amp;Result=3","7043448")</f>
        <v>0</v>
      </c>
      <c r="B3503" t="s">
        <v>1240</v>
      </c>
      <c r="C3503" t="s">
        <v>6542</v>
      </c>
      <c r="D3503" t="s">
        <v>18100</v>
      </c>
      <c r="E3503" t="s">
        <v>21287</v>
      </c>
      <c r="F3503" t="s">
        <v>31574</v>
      </c>
      <c r="G3503" t="s">
        <v>31582</v>
      </c>
      <c r="H3503" t="s">
        <v>31590</v>
      </c>
      <c r="I3503" t="s">
        <v>4046</v>
      </c>
      <c r="J3503" t="s">
        <v>34118</v>
      </c>
      <c r="K3503" t="s">
        <v>41184</v>
      </c>
      <c r="M3503" t="s">
        <v>42803</v>
      </c>
      <c r="N3503" t="s">
        <v>45095</v>
      </c>
      <c r="O3503" t="s">
        <v>45096</v>
      </c>
      <c r="P3503">
        <v>0</v>
      </c>
      <c r="Q3503">
        <v>0</v>
      </c>
      <c r="R3503" t="s">
        <v>45100</v>
      </c>
      <c r="S3503" t="s">
        <v>45228</v>
      </c>
      <c r="T3503" t="s">
        <v>46932</v>
      </c>
      <c r="U3503" t="s">
        <v>50446</v>
      </c>
      <c r="W3503" t="s">
        <v>42803</v>
      </c>
      <c r="X3503" t="s">
        <v>45101</v>
      </c>
    </row>
    <row r="3504" spans="1:24">
      <c r="A3504">
        <f>HYPERLINK("https://www.philgeps.gov.ph/GEPSNONPILOT/Tender/SplashBidNoticeAbstractUI.aspx?menuIndex=3&amp;refID=7043447&amp;Result=3","7043447")</f>
        <v>0</v>
      </c>
      <c r="B3504" t="s">
        <v>1238</v>
      </c>
      <c r="C3504" t="s">
        <v>6543</v>
      </c>
      <c r="D3504" t="s">
        <v>18049</v>
      </c>
      <c r="E3504" t="s">
        <v>21288</v>
      </c>
      <c r="F3504" t="s">
        <v>31574</v>
      </c>
      <c r="G3504" t="s">
        <v>31582</v>
      </c>
      <c r="H3504" t="s">
        <v>31591</v>
      </c>
      <c r="I3504" t="s">
        <v>8822</v>
      </c>
      <c r="J3504" t="s">
        <v>34119</v>
      </c>
      <c r="K3504" t="s">
        <v>41263</v>
      </c>
      <c r="M3504" t="s">
        <v>42800</v>
      </c>
      <c r="N3504" t="s">
        <v>45095</v>
      </c>
      <c r="O3504" t="s">
        <v>45096</v>
      </c>
      <c r="P3504">
        <v>0</v>
      </c>
      <c r="Q3504">
        <v>0</v>
      </c>
      <c r="R3504" t="s">
        <v>45100</v>
      </c>
      <c r="S3504" t="s">
        <v>45228</v>
      </c>
      <c r="T3504" t="s">
        <v>47100</v>
      </c>
      <c r="U3504" t="s">
        <v>50447</v>
      </c>
      <c r="W3504" t="s">
        <v>42800</v>
      </c>
      <c r="X3504" t="s">
        <v>45101</v>
      </c>
    </row>
    <row r="3505" spans="1:24">
      <c r="A3505">
        <f>HYPERLINK("https://www.philgeps.gov.ph/GEPSNONPILOT/Tender/SplashBidNoticeAbstractUI.aspx?menuIndex=3&amp;refID=7043445&amp;Result=3","7043445")</f>
        <v>0</v>
      </c>
      <c r="B3505" t="s">
        <v>1237</v>
      </c>
      <c r="C3505" t="s">
        <v>6544</v>
      </c>
      <c r="D3505" t="s">
        <v>18022</v>
      </c>
      <c r="E3505" t="s">
        <v>21289</v>
      </c>
      <c r="F3505" t="s">
        <v>31574</v>
      </c>
      <c r="G3505" t="s">
        <v>31581</v>
      </c>
      <c r="H3505" t="s">
        <v>31590</v>
      </c>
      <c r="I3505" t="s">
        <v>3520</v>
      </c>
      <c r="J3505" t="s">
        <v>34120</v>
      </c>
      <c r="K3505" t="s">
        <v>41196</v>
      </c>
      <c r="M3505" t="s">
        <v>42799</v>
      </c>
      <c r="N3505" t="s">
        <v>45095</v>
      </c>
      <c r="O3505" t="s">
        <v>45096</v>
      </c>
      <c r="P3505">
        <v>0</v>
      </c>
      <c r="Q3505">
        <v>4</v>
      </c>
      <c r="R3505" t="s">
        <v>45100</v>
      </c>
      <c r="S3505" t="s">
        <v>45228</v>
      </c>
      <c r="T3505" t="s">
        <v>47165</v>
      </c>
      <c r="U3505" t="s">
        <v>50448</v>
      </c>
      <c r="W3505" t="s">
        <v>42799</v>
      </c>
      <c r="X3505" t="s">
        <v>45101</v>
      </c>
    </row>
    <row r="3506" spans="1:24">
      <c r="A3506">
        <f>HYPERLINK("https://www.philgeps.gov.ph/GEPSNONPILOT/Tender/SplashBidNoticeAbstractUI.aspx?menuIndex=3&amp;refID=7043486&amp;Result=3","7043486")</f>
        <v>0</v>
      </c>
      <c r="B3506" t="s">
        <v>749</v>
      </c>
      <c r="C3506" t="s">
        <v>6545</v>
      </c>
      <c r="D3506" t="s">
        <v>18036</v>
      </c>
      <c r="E3506" t="s">
        <v>21290</v>
      </c>
      <c r="F3506" t="s">
        <v>31574</v>
      </c>
      <c r="G3506" t="s">
        <v>31582</v>
      </c>
      <c r="H3506" t="s">
        <v>31591</v>
      </c>
      <c r="I3506" t="s">
        <v>8822</v>
      </c>
      <c r="J3506" t="s">
        <v>34121</v>
      </c>
      <c r="K3506" t="s">
        <v>41192</v>
      </c>
      <c r="M3506" t="s">
        <v>42263</v>
      </c>
      <c r="N3506" t="s">
        <v>45095</v>
      </c>
      <c r="O3506" t="s">
        <v>45096</v>
      </c>
      <c r="P3506">
        <v>0</v>
      </c>
      <c r="Q3506">
        <v>0</v>
      </c>
      <c r="R3506" t="s">
        <v>45100</v>
      </c>
      <c r="S3506" t="s">
        <v>45228</v>
      </c>
      <c r="T3506" t="s">
        <v>46992</v>
      </c>
      <c r="U3506" t="s">
        <v>50449</v>
      </c>
      <c r="W3506" t="s">
        <v>42263</v>
      </c>
      <c r="X3506" t="s">
        <v>45101</v>
      </c>
    </row>
    <row r="3507" spans="1:24">
      <c r="A3507">
        <f>HYPERLINK("https://www.philgeps.gov.ph/GEPSNONPILOT/Tender/SplashBidNoticeAbstractUI.aspx?menuIndex=3&amp;refID=7043479&amp;Result=3","7043479")</f>
        <v>0</v>
      </c>
      <c r="B3507" t="s">
        <v>749</v>
      </c>
      <c r="C3507" t="s">
        <v>6546</v>
      </c>
      <c r="D3507" t="s">
        <v>18036</v>
      </c>
      <c r="E3507" t="s">
        <v>21291</v>
      </c>
      <c r="F3507" t="s">
        <v>31574</v>
      </c>
      <c r="G3507" t="s">
        <v>31582</v>
      </c>
      <c r="H3507" t="s">
        <v>31591</v>
      </c>
      <c r="I3507" t="s">
        <v>8822</v>
      </c>
      <c r="J3507" t="s">
        <v>32049</v>
      </c>
      <c r="K3507" t="s">
        <v>41192</v>
      </c>
      <c r="M3507" t="s">
        <v>42263</v>
      </c>
      <c r="N3507" t="s">
        <v>45095</v>
      </c>
      <c r="O3507" t="s">
        <v>45096</v>
      </c>
      <c r="P3507">
        <v>0</v>
      </c>
      <c r="Q3507">
        <v>0</v>
      </c>
      <c r="R3507" t="s">
        <v>45100</v>
      </c>
      <c r="S3507" t="s">
        <v>45228</v>
      </c>
      <c r="T3507" t="s">
        <v>46992</v>
      </c>
      <c r="U3507" t="s">
        <v>50450</v>
      </c>
      <c r="W3507" t="s">
        <v>42263</v>
      </c>
      <c r="X3507" t="s">
        <v>45101</v>
      </c>
    </row>
    <row r="3508" spans="1:24">
      <c r="A3508">
        <f>HYPERLINK("https://www.philgeps.gov.ph/GEPSNONPILOT/Tender/SplashBidNoticeAbstractUI.aspx?menuIndex=3&amp;refID=7043478&amp;Result=3","7043478")</f>
        <v>0</v>
      </c>
      <c r="B3508" t="s">
        <v>593</v>
      </c>
      <c r="C3508" t="s">
        <v>6547</v>
      </c>
      <c r="D3508" t="s">
        <v>18022</v>
      </c>
      <c r="E3508" t="s">
        <v>21292</v>
      </c>
      <c r="F3508" t="s">
        <v>31574</v>
      </c>
      <c r="G3508" t="s">
        <v>31581</v>
      </c>
      <c r="H3508" t="s">
        <v>31590</v>
      </c>
      <c r="I3508" t="s">
        <v>31636</v>
      </c>
      <c r="J3508" t="s">
        <v>31845</v>
      </c>
      <c r="K3508" t="s">
        <v>41193</v>
      </c>
      <c r="M3508" t="s">
        <v>42095</v>
      </c>
      <c r="N3508" t="s">
        <v>45095</v>
      </c>
      <c r="O3508" t="s">
        <v>45096</v>
      </c>
      <c r="P3508">
        <v>0</v>
      </c>
      <c r="Q3508">
        <v>3</v>
      </c>
      <c r="R3508" t="s">
        <v>45100</v>
      </c>
      <c r="S3508" t="s">
        <v>45228</v>
      </c>
      <c r="T3508" t="s">
        <v>46949</v>
      </c>
      <c r="U3508" t="s">
        <v>50451</v>
      </c>
      <c r="W3508" t="s">
        <v>42095</v>
      </c>
      <c r="X3508" t="s">
        <v>45101</v>
      </c>
    </row>
    <row r="3509" spans="1:24">
      <c r="A3509">
        <f>HYPERLINK("https://www.philgeps.gov.ph/GEPSNONPILOT/Tender/SplashBidNoticeAbstractUI.aspx?menuIndex=3&amp;refID=7043482&amp;Result=3","7043482")</f>
        <v>0</v>
      </c>
      <c r="B3509" t="s">
        <v>593</v>
      </c>
      <c r="C3509" t="s">
        <v>6548</v>
      </c>
      <c r="D3509" t="s">
        <v>18022</v>
      </c>
      <c r="E3509" t="s">
        <v>21293</v>
      </c>
      <c r="F3509" t="s">
        <v>31574</v>
      </c>
      <c r="G3509" t="s">
        <v>31582</v>
      </c>
      <c r="H3509" t="s">
        <v>31590</v>
      </c>
      <c r="I3509" t="s">
        <v>3651</v>
      </c>
      <c r="J3509" t="s">
        <v>33547</v>
      </c>
      <c r="K3509" t="s">
        <v>41193</v>
      </c>
      <c r="M3509" t="s">
        <v>42095</v>
      </c>
      <c r="N3509" t="s">
        <v>45095</v>
      </c>
      <c r="O3509" t="s">
        <v>45096</v>
      </c>
      <c r="P3509">
        <v>0</v>
      </c>
      <c r="Q3509">
        <v>0</v>
      </c>
      <c r="R3509" t="s">
        <v>45100</v>
      </c>
      <c r="S3509" t="s">
        <v>45228</v>
      </c>
      <c r="T3509" t="s">
        <v>46954</v>
      </c>
      <c r="U3509" t="s">
        <v>50452</v>
      </c>
      <c r="W3509" t="s">
        <v>42095</v>
      </c>
      <c r="X3509" t="s">
        <v>45101</v>
      </c>
    </row>
    <row r="3510" spans="1:24">
      <c r="A3510">
        <f>HYPERLINK("https://www.philgeps.gov.ph/GEPSNONPILOT/Tender/SplashBidNoticeAbstractUI.aspx?menuIndex=3&amp;refID=7043474&amp;Result=3","7043474")</f>
        <v>0</v>
      </c>
      <c r="B3510" t="s">
        <v>1242</v>
      </c>
      <c r="C3510" t="s">
        <v>6549</v>
      </c>
      <c r="D3510" t="s">
        <v>18056</v>
      </c>
      <c r="E3510" t="s">
        <v>21294</v>
      </c>
      <c r="F3510" t="s">
        <v>31574</v>
      </c>
      <c r="G3510" t="s">
        <v>31581</v>
      </c>
      <c r="H3510" t="s">
        <v>31590</v>
      </c>
      <c r="I3510" t="s">
        <v>31602</v>
      </c>
      <c r="J3510" t="s">
        <v>34122</v>
      </c>
      <c r="K3510" t="s">
        <v>41184</v>
      </c>
      <c r="M3510" t="s">
        <v>42805</v>
      </c>
      <c r="N3510" t="s">
        <v>45095</v>
      </c>
      <c r="O3510" t="s">
        <v>45096</v>
      </c>
      <c r="P3510">
        <v>0</v>
      </c>
      <c r="Q3510">
        <v>0</v>
      </c>
      <c r="R3510" t="s">
        <v>45100</v>
      </c>
      <c r="S3510" t="s">
        <v>45228</v>
      </c>
      <c r="T3510" t="s">
        <v>46985</v>
      </c>
      <c r="U3510" t="s">
        <v>50453</v>
      </c>
      <c r="W3510" t="s">
        <v>42805</v>
      </c>
      <c r="X3510" t="s">
        <v>45101</v>
      </c>
    </row>
    <row r="3511" spans="1:24">
      <c r="A3511">
        <f>HYPERLINK("https://www.philgeps.gov.ph/GEPSNONPILOT/Tender/SplashBidNoticeAbstractUI.aspx?menuIndex=3&amp;refID=7043470&amp;Result=3","7043470")</f>
        <v>0</v>
      </c>
      <c r="B3511" t="s">
        <v>1243</v>
      </c>
      <c r="C3511" t="s">
        <v>6550</v>
      </c>
      <c r="D3511" t="s">
        <v>18063</v>
      </c>
      <c r="E3511" t="s">
        <v>6550</v>
      </c>
      <c r="F3511" t="s">
        <v>31574</v>
      </c>
      <c r="G3511" t="s">
        <v>31582</v>
      </c>
      <c r="H3511" t="s">
        <v>31591</v>
      </c>
      <c r="I3511" t="s">
        <v>8822</v>
      </c>
      <c r="J3511" t="s">
        <v>34123</v>
      </c>
      <c r="K3511" t="s">
        <v>41200</v>
      </c>
      <c r="M3511" t="s">
        <v>42806</v>
      </c>
      <c r="N3511" t="s">
        <v>45095</v>
      </c>
      <c r="O3511" t="s">
        <v>45096</v>
      </c>
      <c r="P3511">
        <v>0</v>
      </c>
      <c r="Q3511">
        <v>1</v>
      </c>
      <c r="R3511" t="s">
        <v>45100</v>
      </c>
      <c r="S3511" t="s">
        <v>45228</v>
      </c>
      <c r="T3511" t="s">
        <v>46924</v>
      </c>
      <c r="U3511" t="s">
        <v>50454</v>
      </c>
      <c r="W3511" t="s">
        <v>42806</v>
      </c>
      <c r="X3511" t="s">
        <v>45101</v>
      </c>
    </row>
    <row r="3512" spans="1:24">
      <c r="A3512">
        <f>HYPERLINK("https://www.philgeps.gov.ph/GEPSNONPILOT/Tender/SplashBidNoticeAbstractUI.aspx?menuIndex=3&amp;refID=7043494&amp;Result=3","7043494")</f>
        <v>0</v>
      </c>
      <c r="B3512" t="s">
        <v>593</v>
      </c>
      <c r="C3512" t="s">
        <v>6551</v>
      </c>
      <c r="D3512" t="s">
        <v>18022</v>
      </c>
      <c r="E3512" t="s">
        <v>21295</v>
      </c>
      <c r="F3512" t="s">
        <v>31574</v>
      </c>
      <c r="G3512" t="s">
        <v>31582</v>
      </c>
      <c r="H3512" t="s">
        <v>31590</v>
      </c>
      <c r="I3512" t="s">
        <v>31636</v>
      </c>
      <c r="J3512" t="s">
        <v>32192</v>
      </c>
      <c r="K3512" t="s">
        <v>41193</v>
      </c>
      <c r="M3512" t="s">
        <v>42095</v>
      </c>
      <c r="N3512" t="s">
        <v>45095</v>
      </c>
      <c r="O3512" t="s">
        <v>45096</v>
      </c>
      <c r="P3512">
        <v>0</v>
      </c>
      <c r="Q3512">
        <v>1</v>
      </c>
      <c r="R3512" t="s">
        <v>45100</v>
      </c>
      <c r="S3512" t="s">
        <v>45228</v>
      </c>
      <c r="T3512" t="s">
        <v>46954</v>
      </c>
      <c r="U3512" t="s">
        <v>50455</v>
      </c>
      <c r="W3512" t="s">
        <v>42095</v>
      </c>
      <c r="X3512" t="s">
        <v>45101</v>
      </c>
    </row>
    <row r="3513" spans="1:24">
      <c r="A3513">
        <f>HYPERLINK("https://www.philgeps.gov.ph/GEPSNONPILOT/Tender/SplashBidNoticeAbstractUI.aspx?menuIndex=3&amp;refID=7043461&amp;Result=3","7043461")</f>
        <v>0</v>
      </c>
      <c r="B3513" t="s">
        <v>1244</v>
      </c>
      <c r="C3513" t="s">
        <v>6552</v>
      </c>
      <c r="D3513" t="s">
        <v>18056</v>
      </c>
      <c r="E3513" t="s">
        <v>21296</v>
      </c>
      <c r="F3513" t="s">
        <v>31574</v>
      </c>
      <c r="G3513" t="s">
        <v>31582</v>
      </c>
      <c r="H3513" t="s">
        <v>31590</v>
      </c>
      <c r="I3513" t="s">
        <v>31636</v>
      </c>
      <c r="J3513" t="s">
        <v>31727</v>
      </c>
      <c r="K3513" t="s">
        <v>41213</v>
      </c>
      <c r="M3513" t="s">
        <v>42807</v>
      </c>
      <c r="N3513" t="s">
        <v>45095</v>
      </c>
      <c r="O3513" t="s">
        <v>45096</v>
      </c>
      <c r="P3513">
        <v>0</v>
      </c>
      <c r="Q3513">
        <v>0</v>
      </c>
      <c r="R3513" t="s">
        <v>45100</v>
      </c>
      <c r="S3513" t="s">
        <v>45228</v>
      </c>
      <c r="T3513" t="s">
        <v>46952</v>
      </c>
      <c r="U3513" t="s">
        <v>50456</v>
      </c>
      <c r="W3513" t="s">
        <v>42807</v>
      </c>
      <c r="X3513" t="s">
        <v>45101</v>
      </c>
    </row>
    <row r="3514" spans="1:24">
      <c r="A3514">
        <f>HYPERLINK("https://www.philgeps.gov.ph/GEPSNONPILOT/Tender/SplashBidNoticeAbstractUI.aspx?menuIndex=3&amp;refID=7043492&amp;Result=3","7043492")</f>
        <v>0</v>
      </c>
      <c r="B3514" t="s">
        <v>921</v>
      </c>
      <c r="C3514" t="s">
        <v>6553</v>
      </c>
      <c r="D3514" t="s">
        <v>18030</v>
      </c>
      <c r="E3514" t="s">
        <v>21297</v>
      </c>
      <c r="F3514" t="s">
        <v>31574</v>
      </c>
      <c r="G3514" t="s">
        <v>31581</v>
      </c>
      <c r="H3514" t="s">
        <v>31590</v>
      </c>
      <c r="I3514" t="s">
        <v>3487</v>
      </c>
      <c r="J3514" t="s">
        <v>33219</v>
      </c>
      <c r="K3514" t="s">
        <v>41184</v>
      </c>
      <c r="M3514" t="s">
        <v>42447</v>
      </c>
      <c r="N3514" t="s">
        <v>45095</v>
      </c>
      <c r="O3514" t="s">
        <v>45096</v>
      </c>
      <c r="P3514">
        <v>0</v>
      </c>
      <c r="Q3514">
        <v>1</v>
      </c>
      <c r="R3514" t="s">
        <v>45100</v>
      </c>
      <c r="S3514" t="s">
        <v>45228</v>
      </c>
      <c r="T3514" t="s">
        <v>47154</v>
      </c>
      <c r="U3514" t="s">
        <v>50457</v>
      </c>
      <c r="W3514" t="s">
        <v>42447</v>
      </c>
      <c r="X3514" t="s">
        <v>45101</v>
      </c>
    </row>
    <row r="3515" spans="1:24">
      <c r="A3515">
        <f>HYPERLINK("https://www.philgeps.gov.ph/GEPSNONPILOT/Tender/SplashBidNoticeAbstractUI.aspx?menuIndex=3&amp;refID=7043496&amp;Result=3","7043496")</f>
        <v>0</v>
      </c>
      <c r="B3515" t="s">
        <v>1245</v>
      </c>
      <c r="C3515" t="s">
        <v>6554</v>
      </c>
      <c r="D3515" t="s">
        <v>18072</v>
      </c>
      <c r="E3515" t="s">
        <v>21298</v>
      </c>
      <c r="F3515" t="s">
        <v>31574</v>
      </c>
      <c r="G3515" t="s">
        <v>31584</v>
      </c>
      <c r="H3515" t="s">
        <v>31590</v>
      </c>
      <c r="I3515" t="s">
        <v>4327</v>
      </c>
      <c r="J3515" t="s">
        <v>32028</v>
      </c>
      <c r="K3515" t="s">
        <v>41194</v>
      </c>
      <c r="L3515" t="s">
        <v>1245</v>
      </c>
      <c r="M3515" t="s">
        <v>42808</v>
      </c>
      <c r="N3515" t="s">
        <v>45095</v>
      </c>
      <c r="O3515" t="s">
        <v>45096</v>
      </c>
      <c r="P3515">
        <v>0</v>
      </c>
      <c r="Q3515">
        <v>1</v>
      </c>
      <c r="R3515" t="s">
        <v>45100</v>
      </c>
      <c r="S3515" t="s">
        <v>45228</v>
      </c>
      <c r="T3515" t="s">
        <v>47164</v>
      </c>
      <c r="U3515" t="s">
        <v>50458</v>
      </c>
      <c r="W3515" t="s">
        <v>42808</v>
      </c>
      <c r="X3515" t="s">
        <v>45101</v>
      </c>
    </row>
    <row r="3516" spans="1:24">
      <c r="A3516">
        <f>HYPERLINK("https://www.philgeps.gov.ph/GEPSNONPILOT/Tender/SplashBidNoticeAbstractUI.aspx?menuIndex=3&amp;refID=7043490&amp;Result=3","7043490")</f>
        <v>0</v>
      </c>
      <c r="B3516" t="s">
        <v>1246</v>
      </c>
      <c r="C3516" t="s">
        <v>6555</v>
      </c>
      <c r="D3516" t="s">
        <v>18056</v>
      </c>
      <c r="E3516" t="s">
        <v>21299</v>
      </c>
      <c r="F3516" t="s">
        <v>31574</v>
      </c>
      <c r="G3516" t="s">
        <v>31581</v>
      </c>
      <c r="H3516" t="s">
        <v>31593</v>
      </c>
      <c r="I3516" t="s">
        <v>31593</v>
      </c>
      <c r="J3516" t="s">
        <v>32258</v>
      </c>
      <c r="K3516" t="s">
        <v>41216</v>
      </c>
      <c r="M3516" t="s">
        <v>42809</v>
      </c>
      <c r="N3516" t="s">
        <v>45095</v>
      </c>
      <c r="O3516" t="s">
        <v>45096</v>
      </c>
      <c r="P3516">
        <v>0</v>
      </c>
      <c r="Q3516">
        <v>0</v>
      </c>
      <c r="R3516" t="s">
        <v>45100</v>
      </c>
      <c r="S3516" t="s">
        <v>45228</v>
      </c>
      <c r="T3516" t="s">
        <v>46952</v>
      </c>
      <c r="U3516" t="s">
        <v>50459</v>
      </c>
      <c r="V3516" t="s">
        <v>60198</v>
      </c>
      <c r="W3516" t="s">
        <v>42809</v>
      </c>
      <c r="X3516" t="s">
        <v>45101</v>
      </c>
    </row>
    <row r="3517" spans="1:24">
      <c r="A3517">
        <f>HYPERLINK("https://www.philgeps.gov.ph/GEPSNONPILOT/Tender/SplashBidNoticeAbstractUI.aspx?menuIndex=3&amp;refID=7043472&amp;Result=3","7043472")</f>
        <v>0</v>
      </c>
      <c r="B3517" t="s">
        <v>1238</v>
      </c>
      <c r="C3517" t="s">
        <v>6556</v>
      </c>
      <c r="D3517" t="s">
        <v>18049</v>
      </c>
      <c r="E3517" t="s">
        <v>21300</v>
      </c>
      <c r="F3517" t="s">
        <v>31574</v>
      </c>
      <c r="G3517" t="s">
        <v>31583</v>
      </c>
      <c r="H3517" t="s">
        <v>31590</v>
      </c>
      <c r="I3517" t="s">
        <v>6800</v>
      </c>
      <c r="J3517" t="s">
        <v>34124</v>
      </c>
      <c r="K3517" t="s">
        <v>41193</v>
      </c>
      <c r="M3517" t="s">
        <v>42800</v>
      </c>
      <c r="N3517" t="s">
        <v>45095</v>
      </c>
      <c r="O3517" t="s">
        <v>45096</v>
      </c>
      <c r="P3517">
        <v>0</v>
      </c>
      <c r="Q3517">
        <v>3</v>
      </c>
      <c r="R3517" t="s">
        <v>45100</v>
      </c>
      <c r="S3517" t="s">
        <v>45228</v>
      </c>
      <c r="T3517" t="s">
        <v>46973</v>
      </c>
      <c r="U3517" t="s">
        <v>50460</v>
      </c>
      <c r="W3517" t="s">
        <v>42800</v>
      </c>
      <c r="X3517" t="s">
        <v>45101</v>
      </c>
    </row>
    <row r="3518" spans="1:24">
      <c r="A3518">
        <f>HYPERLINK("https://www.philgeps.gov.ph/GEPSNONPILOT/Tender/SplashBidNoticeAbstractUI.aspx?menuIndex=3&amp;refID=7043518&amp;Result=3","7043518")</f>
        <v>0</v>
      </c>
      <c r="B3518" t="s">
        <v>800</v>
      </c>
      <c r="C3518" t="s">
        <v>6557</v>
      </c>
      <c r="D3518" t="s">
        <v>18022</v>
      </c>
      <c r="E3518" t="s">
        <v>21301</v>
      </c>
      <c r="F3518" t="s">
        <v>31574</v>
      </c>
      <c r="G3518" t="s">
        <v>31584</v>
      </c>
      <c r="H3518" t="s">
        <v>31590</v>
      </c>
      <c r="I3518" t="s">
        <v>3487</v>
      </c>
      <c r="J3518" t="s">
        <v>34125</v>
      </c>
      <c r="K3518" t="s">
        <v>41196</v>
      </c>
      <c r="M3518" t="s">
        <v>42810</v>
      </c>
      <c r="N3518" t="s">
        <v>45095</v>
      </c>
      <c r="O3518" t="s">
        <v>45096</v>
      </c>
      <c r="P3518">
        <v>0</v>
      </c>
      <c r="Q3518">
        <v>0</v>
      </c>
      <c r="R3518" t="s">
        <v>45100</v>
      </c>
      <c r="S3518" t="s">
        <v>45228</v>
      </c>
      <c r="T3518" t="s">
        <v>46932</v>
      </c>
      <c r="U3518" t="s">
        <v>50461</v>
      </c>
      <c r="V3518" t="s">
        <v>60199</v>
      </c>
      <c r="W3518" t="s">
        <v>42810</v>
      </c>
      <c r="X3518" t="s">
        <v>45101</v>
      </c>
    </row>
    <row r="3519" spans="1:24">
      <c r="A3519">
        <f>HYPERLINK("https://www.philgeps.gov.ph/GEPSNONPILOT/Tender/SplashBidNoticeAbstractUI.aspx?menuIndex=3&amp;refID=7043455&amp;Result=3","7043455")</f>
        <v>0</v>
      </c>
      <c r="B3519" t="s">
        <v>1238</v>
      </c>
      <c r="C3519" t="s">
        <v>6558</v>
      </c>
      <c r="D3519" t="s">
        <v>18049</v>
      </c>
      <c r="E3519" t="s">
        <v>21302</v>
      </c>
      <c r="F3519" t="s">
        <v>31574</v>
      </c>
      <c r="G3519" t="s">
        <v>31582</v>
      </c>
      <c r="H3519" t="s">
        <v>31591</v>
      </c>
      <c r="I3519" t="s">
        <v>8822</v>
      </c>
      <c r="J3519" t="s">
        <v>34126</v>
      </c>
      <c r="K3519" t="s">
        <v>41256</v>
      </c>
      <c r="M3519" t="s">
        <v>42800</v>
      </c>
      <c r="N3519" t="s">
        <v>45095</v>
      </c>
      <c r="O3519" t="s">
        <v>45096</v>
      </c>
      <c r="P3519">
        <v>0</v>
      </c>
      <c r="Q3519">
        <v>0</v>
      </c>
      <c r="R3519" t="s">
        <v>45100</v>
      </c>
      <c r="S3519" t="s">
        <v>45228</v>
      </c>
      <c r="T3519" t="s">
        <v>47048</v>
      </c>
      <c r="U3519" t="s">
        <v>50437</v>
      </c>
      <c r="W3519" t="s">
        <v>42800</v>
      </c>
      <c r="X3519" t="s">
        <v>45101</v>
      </c>
    </row>
    <row r="3520" spans="1:24">
      <c r="A3520">
        <f>HYPERLINK("https://www.philgeps.gov.ph/GEPSNONPILOT/Tender/SplashBidNoticeAbstractUI.aspx?menuIndex=3&amp;refID=7043516&amp;Result=3","7043516")</f>
        <v>0</v>
      </c>
      <c r="B3520" t="s">
        <v>800</v>
      </c>
      <c r="C3520" t="s">
        <v>6559</v>
      </c>
      <c r="D3520" t="s">
        <v>18022</v>
      </c>
      <c r="E3520" t="s">
        <v>21303</v>
      </c>
      <c r="F3520" t="s">
        <v>31574</v>
      </c>
      <c r="G3520" t="s">
        <v>31584</v>
      </c>
      <c r="H3520" t="s">
        <v>31590</v>
      </c>
      <c r="I3520" t="s">
        <v>4327</v>
      </c>
      <c r="J3520" t="s">
        <v>32114</v>
      </c>
      <c r="K3520" t="s">
        <v>41195</v>
      </c>
      <c r="M3520" t="s">
        <v>42810</v>
      </c>
      <c r="N3520" t="s">
        <v>45095</v>
      </c>
      <c r="O3520" t="s">
        <v>45096</v>
      </c>
      <c r="P3520">
        <v>0</v>
      </c>
      <c r="Q3520">
        <v>9</v>
      </c>
      <c r="R3520" t="s">
        <v>45100</v>
      </c>
      <c r="S3520" t="s">
        <v>45228</v>
      </c>
      <c r="T3520" t="s">
        <v>46932</v>
      </c>
      <c r="U3520" t="s">
        <v>50461</v>
      </c>
      <c r="V3520" t="s">
        <v>60200</v>
      </c>
      <c r="W3520" t="s">
        <v>42810</v>
      </c>
      <c r="X3520" t="s">
        <v>45101</v>
      </c>
    </row>
    <row r="3521" spans="1:24">
      <c r="A3521">
        <f>HYPERLINK("https://www.philgeps.gov.ph/GEPSNONPILOT/Tender/SplashBidNoticeAbstractUI.aspx?menuIndex=3&amp;refID=7043517&amp;Result=3","7043517")</f>
        <v>0</v>
      </c>
      <c r="B3521" t="s">
        <v>1247</v>
      </c>
      <c r="C3521" t="s">
        <v>6560</v>
      </c>
      <c r="D3521" t="s">
        <v>18094</v>
      </c>
      <c r="E3521" t="s">
        <v>21304</v>
      </c>
      <c r="F3521" t="s">
        <v>31574</v>
      </c>
      <c r="G3521" t="s">
        <v>31581</v>
      </c>
      <c r="H3521" t="s">
        <v>31590</v>
      </c>
      <c r="I3521" t="s">
        <v>6800</v>
      </c>
      <c r="J3521" t="s">
        <v>34127</v>
      </c>
      <c r="K3521" t="s">
        <v>41211</v>
      </c>
      <c r="M3521" t="s">
        <v>42811</v>
      </c>
      <c r="N3521" t="s">
        <v>45095</v>
      </c>
      <c r="O3521" t="s">
        <v>45096</v>
      </c>
      <c r="P3521">
        <v>0</v>
      </c>
      <c r="Q3521">
        <v>4</v>
      </c>
      <c r="R3521" t="s">
        <v>45100</v>
      </c>
      <c r="S3521" t="s">
        <v>45228</v>
      </c>
      <c r="T3521" t="s">
        <v>46985</v>
      </c>
      <c r="U3521" t="s">
        <v>50462</v>
      </c>
      <c r="W3521" t="s">
        <v>42811</v>
      </c>
      <c r="X3521" t="s">
        <v>45101</v>
      </c>
    </row>
    <row r="3522" spans="1:24">
      <c r="A3522">
        <f>HYPERLINK("https://www.philgeps.gov.ph/GEPSNONPILOT/Tender/SplashBidNoticeAbstractUI.aspx?menuIndex=3&amp;refID=7043473&amp;Result=3","7043473")</f>
        <v>0</v>
      </c>
      <c r="B3522" t="s">
        <v>1189</v>
      </c>
      <c r="C3522" t="s">
        <v>6561</v>
      </c>
      <c r="D3522" t="s">
        <v>18094</v>
      </c>
      <c r="E3522" t="s">
        <v>21305</v>
      </c>
      <c r="F3522" t="s">
        <v>31574</v>
      </c>
      <c r="G3522" t="s">
        <v>31581</v>
      </c>
      <c r="H3522" t="s">
        <v>31590</v>
      </c>
      <c r="I3522" t="s">
        <v>4046</v>
      </c>
      <c r="J3522" t="s">
        <v>34128</v>
      </c>
      <c r="K3522" t="s">
        <v>41193</v>
      </c>
      <c r="M3522" t="s">
        <v>42812</v>
      </c>
      <c r="N3522" t="s">
        <v>45095</v>
      </c>
      <c r="O3522" t="s">
        <v>45096</v>
      </c>
      <c r="P3522">
        <v>0</v>
      </c>
      <c r="Q3522">
        <v>0</v>
      </c>
      <c r="R3522" t="s">
        <v>45100</v>
      </c>
      <c r="S3522" t="s">
        <v>45228</v>
      </c>
      <c r="T3522" t="s">
        <v>47154</v>
      </c>
      <c r="U3522" t="s">
        <v>50463</v>
      </c>
      <c r="W3522" t="s">
        <v>42812</v>
      </c>
      <c r="X3522" t="s">
        <v>45101</v>
      </c>
    </row>
    <row r="3523" spans="1:24">
      <c r="A3523">
        <f>HYPERLINK("https://www.philgeps.gov.ph/GEPSNONPILOT/Tender/SplashBidNoticeAbstractUI.aspx?menuIndex=3&amp;refID=7043514&amp;Result=3","7043514")</f>
        <v>0</v>
      </c>
      <c r="B3523" t="s">
        <v>921</v>
      </c>
      <c r="C3523" t="s">
        <v>6562</v>
      </c>
      <c r="D3523" t="s">
        <v>18044</v>
      </c>
      <c r="E3523" t="s">
        <v>21306</v>
      </c>
      <c r="F3523" t="s">
        <v>31574</v>
      </c>
      <c r="G3523" t="s">
        <v>31581</v>
      </c>
      <c r="H3523" t="s">
        <v>31590</v>
      </c>
      <c r="I3523" t="s">
        <v>4046</v>
      </c>
      <c r="J3523" t="s">
        <v>31727</v>
      </c>
      <c r="K3523" t="s">
        <v>41184</v>
      </c>
      <c r="M3523" t="s">
        <v>42447</v>
      </c>
      <c r="N3523" t="s">
        <v>45095</v>
      </c>
      <c r="O3523" t="s">
        <v>45096</v>
      </c>
      <c r="P3523">
        <v>0</v>
      </c>
      <c r="Q3523">
        <v>1</v>
      </c>
      <c r="R3523" t="s">
        <v>45100</v>
      </c>
      <c r="S3523" t="s">
        <v>45228</v>
      </c>
      <c r="T3523" t="s">
        <v>47154</v>
      </c>
      <c r="U3523" t="s">
        <v>50464</v>
      </c>
      <c r="W3523" t="s">
        <v>42447</v>
      </c>
      <c r="X3523" t="s">
        <v>45101</v>
      </c>
    </row>
    <row r="3524" spans="1:24">
      <c r="A3524">
        <f>HYPERLINK("https://www.philgeps.gov.ph/GEPSNONPILOT/Tender/SplashBidNoticeAbstractUI.aspx?menuIndex=3&amp;refID=7043465&amp;Result=3","7043465")</f>
        <v>0</v>
      </c>
      <c r="B3524" t="s">
        <v>854</v>
      </c>
      <c r="C3524" t="s">
        <v>6563</v>
      </c>
      <c r="E3524" t="s">
        <v>21307</v>
      </c>
      <c r="F3524" t="s">
        <v>31574</v>
      </c>
      <c r="G3524" t="s">
        <v>31583</v>
      </c>
      <c r="H3524" t="s">
        <v>31590</v>
      </c>
      <c r="I3524" t="s">
        <v>4327</v>
      </c>
      <c r="J3524" t="s">
        <v>32012</v>
      </c>
      <c r="K3524" t="s">
        <v>41184</v>
      </c>
      <c r="M3524" t="s">
        <v>42813</v>
      </c>
      <c r="N3524" t="s">
        <v>45095</v>
      </c>
      <c r="O3524" t="s">
        <v>45096</v>
      </c>
      <c r="P3524">
        <v>0</v>
      </c>
      <c r="Q3524">
        <v>9</v>
      </c>
      <c r="R3524" t="s">
        <v>45100</v>
      </c>
      <c r="S3524" t="s">
        <v>45228</v>
      </c>
      <c r="T3524" t="s">
        <v>47050</v>
      </c>
      <c r="U3524" t="s">
        <v>50465</v>
      </c>
      <c r="W3524" t="s">
        <v>42813</v>
      </c>
      <c r="X3524" t="s">
        <v>45101</v>
      </c>
    </row>
    <row r="3525" spans="1:24">
      <c r="A3525">
        <f>HYPERLINK("https://www.philgeps.gov.ph/GEPSNONPILOT/Tender/SplashBidNoticeAbstractUI.aspx?menuIndex=3&amp;refID=7043515&amp;Result=3","7043515")</f>
        <v>0</v>
      </c>
      <c r="B3525" t="s">
        <v>1248</v>
      </c>
      <c r="C3525" t="s">
        <v>6564</v>
      </c>
      <c r="D3525" t="s">
        <v>18043</v>
      </c>
      <c r="E3525" t="s">
        <v>18699</v>
      </c>
      <c r="F3525" t="s">
        <v>31574</v>
      </c>
      <c r="G3525" t="s">
        <v>31581</v>
      </c>
      <c r="H3525" t="s">
        <v>31590</v>
      </c>
      <c r="I3525" t="s">
        <v>6800</v>
      </c>
      <c r="J3525" t="s">
        <v>34129</v>
      </c>
      <c r="K3525" t="s">
        <v>41186</v>
      </c>
      <c r="M3525" t="s">
        <v>42814</v>
      </c>
      <c r="N3525" t="s">
        <v>45095</v>
      </c>
      <c r="O3525" t="s">
        <v>45096</v>
      </c>
      <c r="P3525">
        <v>0</v>
      </c>
      <c r="Q3525">
        <v>4</v>
      </c>
      <c r="R3525" t="s">
        <v>45100</v>
      </c>
      <c r="S3525" t="s">
        <v>45228</v>
      </c>
      <c r="T3525" t="s">
        <v>47159</v>
      </c>
      <c r="U3525" t="s">
        <v>50466</v>
      </c>
      <c r="W3525" t="s">
        <v>42814</v>
      </c>
      <c r="X3525" t="s">
        <v>45101</v>
      </c>
    </row>
    <row r="3526" spans="1:24">
      <c r="A3526">
        <f>HYPERLINK("https://www.philgeps.gov.ph/GEPSNONPILOT/Tender/SplashBidNoticeAbstractUI.aspx?menuIndex=3&amp;refID=7043507&amp;Result=3","7043507")</f>
        <v>0</v>
      </c>
      <c r="B3526" t="s">
        <v>1249</v>
      </c>
      <c r="C3526" t="s">
        <v>6565</v>
      </c>
      <c r="D3526" t="s">
        <v>18086</v>
      </c>
      <c r="E3526" t="s">
        <v>21308</v>
      </c>
      <c r="F3526" t="s">
        <v>31574</v>
      </c>
      <c r="G3526" t="s">
        <v>31582</v>
      </c>
      <c r="H3526" t="s">
        <v>31591</v>
      </c>
      <c r="I3526" t="s">
        <v>8822</v>
      </c>
      <c r="J3526" t="s">
        <v>34130</v>
      </c>
      <c r="K3526" t="s">
        <v>41200</v>
      </c>
      <c r="M3526" t="s">
        <v>42815</v>
      </c>
      <c r="N3526" t="s">
        <v>45095</v>
      </c>
      <c r="O3526" t="s">
        <v>45096</v>
      </c>
      <c r="P3526">
        <v>0</v>
      </c>
      <c r="Q3526">
        <v>0</v>
      </c>
      <c r="R3526" t="s">
        <v>45100</v>
      </c>
      <c r="S3526" t="s">
        <v>45228</v>
      </c>
      <c r="T3526" t="s">
        <v>46979</v>
      </c>
      <c r="U3526" t="s">
        <v>50467</v>
      </c>
      <c r="W3526" t="s">
        <v>42815</v>
      </c>
      <c r="X3526" t="s">
        <v>45101</v>
      </c>
    </row>
    <row r="3527" spans="1:24">
      <c r="A3527">
        <f>HYPERLINK("https://www.philgeps.gov.ph/GEPSNONPILOT/Tender/SplashBidNoticeAbstractUI.aspx?menuIndex=3&amp;refID=7043498&amp;Result=3","7043498")</f>
        <v>0</v>
      </c>
      <c r="B3527" t="s">
        <v>921</v>
      </c>
      <c r="C3527" t="s">
        <v>6566</v>
      </c>
      <c r="E3527" t="s">
        <v>21309</v>
      </c>
      <c r="F3527" t="s">
        <v>31574</v>
      </c>
      <c r="G3527" t="s">
        <v>31581</v>
      </c>
      <c r="H3527" t="s">
        <v>31590</v>
      </c>
      <c r="I3527" t="s">
        <v>3539</v>
      </c>
      <c r="J3527" t="s">
        <v>31764</v>
      </c>
      <c r="K3527" t="s">
        <v>41184</v>
      </c>
      <c r="M3527" t="s">
        <v>42447</v>
      </c>
      <c r="N3527" t="s">
        <v>45095</v>
      </c>
      <c r="O3527" t="s">
        <v>45096</v>
      </c>
      <c r="P3527">
        <v>0</v>
      </c>
      <c r="Q3527">
        <v>0</v>
      </c>
      <c r="R3527" t="s">
        <v>45100</v>
      </c>
      <c r="S3527" t="s">
        <v>45228</v>
      </c>
      <c r="T3527" t="s">
        <v>47154</v>
      </c>
      <c r="U3527" t="s">
        <v>50468</v>
      </c>
      <c r="V3527" t="s">
        <v>60080</v>
      </c>
      <c r="W3527" t="s">
        <v>42447</v>
      </c>
      <c r="X3527" t="s">
        <v>45101</v>
      </c>
    </row>
    <row r="3528" spans="1:24">
      <c r="A3528">
        <f>HYPERLINK("https://www.philgeps.gov.ph/GEPSNONPILOT/Tender/SplashBidNoticeAbstractUI.aspx?menuIndex=3&amp;refID=7043509&amp;Result=3","7043509")</f>
        <v>0</v>
      </c>
      <c r="B3528" t="s">
        <v>800</v>
      </c>
      <c r="C3528" t="s">
        <v>6567</v>
      </c>
      <c r="D3528" t="s">
        <v>18022</v>
      </c>
      <c r="E3528" t="s">
        <v>21310</v>
      </c>
      <c r="F3528" t="s">
        <v>31574</v>
      </c>
      <c r="G3528" t="s">
        <v>31584</v>
      </c>
      <c r="H3528" t="s">
        <v>31590</v>
      </c>
      <c r="I3528" t="s">
        <v>31685</v>
      </c>
      <c r="J3528" t="s">
        <v>31888</v>
      </c>
      <c r="K3528" t="s">
        <v>41191</v>
      </c>
      <c r="M3528" t="s">
        <v>42810</v>
      </c>
      <c r="N3528" t="s">
        <v>45095</v>
      </c>
      <c r="O3528" t="s">
        <v>45096</v>
      </c>
      <c r="P3528">
        <v>0</v>
      </c>
      <c r="Q3528">
        <v>5</v>
      </c>
      <c r="R3528" t="s">
        <v>45100</v>
      </c>
      <c r="S3528" t="s">
        <v>45228</v>
      </c>
      <c r="T3528" t="s">
        <v>47064</v>
      </c>
      <c r="U3528" t="s">
        <v>50461</v>
      </c>
      <c r="V3528" t="s">
        <v>60201</v>
      </c>
      <c r="W3528" t="s">
        <v>42810</v>
      </c>
      <c r="X3528" t="s">
        <v>45101</v>
      </c>
    </row>
    <row r="3529" spans="1:24">
      <c r="A3529">
        <f>HYPERLINK("https://www.philgeps.gov.ph/GEPSNONPILOT/Tender/SplashBidNoticeAbstractUI.aspx?menuIndex=3&amp;refID=7043527&amp;Result=3","7043527")</f>
        <v>0</v>
      </c>
      <c r="B3529" t="s">
        <v>1248</v>
      </c>
      <c r="C3529" t="s">
        <v>6568</v>
      </c>
      <c r="D3529" t="s">
        <v>18043</v>
      </c>
      <c r="E3529" t="s">
        <v>21311</v>
      </c>
      <c r="F3529" t="s">
        <v>31574</v>
      </c>
      <c r="G3529" t="s">
        <v>31581</v>
      </c>
      <c r="H3529" t="s">
        <v>31590</v>
      </c>
      <c r="I3529" t="s">
        <v>31641</v>
      </c>
      <c r="J3529" t="s">
        <v>34131</v>
      </c>
      <c r="K3529" t="s">
        <v>41186</v>
      </c>
      <c r="M3529" t="s">
        <v>42814</v>
      </c>
      <c r="N3529" t="s">
        <v>45095</v>
      </c>
      <c r="O3529" t="s">
        <v>45096</v>
      </c>
      <c r="Q3529">
        <v>7</v>
      </c>
      <c r="R3529" t="s">
        <v>45100</v>
      </c>
      <c r="S3529" t="s">
        <v>45229</v>
      </c>
      <c r="T3529" t="s">
        <v>47159</v>
      </c>
      <c r="U3529" t="s">
        <v>50466</v>
      </c>
      <c r="W3529" t="s">
        <v>42814</v>
      </c>
      <c r="X3529" t="s">
        <v>45101</v>
      </c>
    </row>
    <row r="3530" spans="1:24">
      <c r="A3530">
        <f>HYPERLINK("https://www.philgeps.gov.ph/GEPSNONPILOT/Tender/SplashBidNoticeAbstractUI.aspx?menuIndex=3&amp;refID=7043508&amp;Result=3","7043508")</f>
        <v>0</v>
      </c>
      <c r="B3530" t="s">
        <v>921</v>
      </c>
      <c r="C3530" t="s">
        <v>6569</v>
      </c>
      <c r="D3530" t="s">
        <v>18030</v>
      </c>
      <c r="E3530" t="s">
        <v>21312</v>
      </c>
      <c r="F3530" t="s">
        <v>31574</v>
      </c>
      <c r="G3530" t="s">
        <v>31581</v>
      </c>
      <c r="H3530" t="s">
        <v>31590</v>
      </c>
      <c r="I3530" t="s">
        <v>3487</v>
      </c>
      <c r="J3530" t="s">
        <v>32232</v>
      </c>
      <c r="K3530" t="s">
        <v>41184</v>
      </c>
      <c r="M3530" t="s">
        <v>42447</v>
      </c>
      <c r="N3530" t="s">
        <v>45095</v>
      </c>
      <c r="O3530" t="s">
        <v>45096</v>
      </c>
      <c r="P3530">
        <v>0</v>
      </c>
      <c r="Q3530">
        <v>3</v>
      </c>
      <c r="R3530" t="s">
        <v>45100</v>
      </c>
      <c r="S3530" t="s">
        <v>45228</v>
      </c>
      <c r="T3530" t="s">
        <v>47154</v>
      </c>
      <c r="U3530" t="s">
        <v>50469</v>
      </c>
      <c r="V3530" t="s">
        <v>60080</v>
      </c>
      <c r="W3530" t="s">
        <v>42447</v>
      </c>
      <c r="X3530" t="s">
        <v>45101</v>
      </c>
    </row>
    <row r="3531" spans="1:24">
      <c r="A3531">
        <f>HYPERLINK("https://www.philgeps.gov.ph/GEPSNONPILOT/Tender/SplashBidNoticeAbstractUI.aspx?menuIndex=3&amp;refID=7043522&amp;Result=3","7043522")</f>
        <v>0</v>
      </c>
      <c r="B3531" t="s">
        <v>593</v>
      </c>
      <c r="C3531" t="s">
        <v>6570</v>
      </c>
      <c r="D3531" t="s">
        <v>18022</v>
      </c>
      <c r="E3531" t="s">
        <v>21313</v>
      </c>
      <c r="F3531" t="s">
        <v>31574</v>
      </c>
      <c r="G3531" t="s">
        <v>31582</v>
      </c>
      <c r="H3531" t="s">
        <v>31590</v>
      </c>
      <c r="I3531" t="s">
        <v>3487</v>
      </c>
      <c r="J3531" t="s">
        <v>34132</v>
      </c>
      <c r="K3531" t="s">
        <v>41193</v>
      </c>
      <c r="M3531" t="s">
        <v>42095</v>
      </c>
      <c r="N3531" t="s">
        <v>45095</v>
      </c>
      <c r="O3531" t="s">
        <v>45096</v>
      </c>
      <c r="P3531">
        <v>0</v>
      </c>
      <c r="Q3531">
        <v>0</v>
      </c>
      <c r="R3531" t="s">
        <v>45100</v>
      </c>
      <c r="S3531" t="s">
        <v>45228</v>
      </c>
      <c r="T3531" t="s">
        <v>46954</v>
      </c>
      <c r="U3531" t="s">
        <v>50470</v>
      </c>
      <c r="W3531" t="s">
        <v>42095</v>
      </c>
      <c r="X3531" t="s">
        <v>45101</v>
      </c>
    </row>
    <row r="3532" spans="1:24">
      <c r="A3532">
        <f>HYPERLINK("https://www.philgeps.gov.ph/GEPSNONPILOT/Tender/SplashBidNoticeAbstractUI.aspx?menuIndex=3&amp;refID=7043506&amp;Result=3","7043506")</f>
        <v>0</v>
      </c>
      <c r="B3532" t="s">
        <v>800</v>
      </c>
      <c r="C3532" t="s">
        <v>6571</v>
      </c>
      <c r="D3532" t="s">
        <v>18022</v>
      </c>
      <c r="E3532" t="s">
        <v>21314</v>
      </c>
      <c r="F3532" t="s">
        <v>31574</v>
      </c>
      <c r="G3532" t="s">
        <v>31584</v>
      </c>
      <c r="H3532" t="s">
        <v>31590</v>
      </c>
      <c r="I3532" t="s">
        <v>4046</v>
      </c>
      <c r="J3532" t="s">
        <v>31728</v>
      </c>
      <c r="K3532" t="s">
        <v>41191</v>
      </c>
      <c r="M3532" t="s">
        <v>42810</v>
      </c>
      <c r="N3532" t="s">
        <v>45095</v>
      </c>
      <c r="O3532" t="s">
        <v>45096</v>
      </c>
      <c r="P3532">
        <v>0</v>
      </c>
      <c r="Q3532">
        <v>7</v>
      </c>
      <c r="R3532" t="s">
        <v>45100</v>
      </c>
      <c r="S3532" t="s">
        <v>45228</v>
      </c>
      <c r="T3532" t="s">
        <v>47064</v>
      </c>
      <c r="U3532" t="s">
        <v>50461</v>
      </c>
      <c r="V3532" t="s">
        <v>60201</v>
      </c>
      <c r="W3532" t="s">
        <v>42810</v>
      </c>
      <c r="X3532" t="s">
        <v>45101</v>
      </c>
    </row>
    <row r="3533" spans="1:24">
      <c r="A3533">
        <f>HYPERLINK("https://www.philgeps.gov.ph/GEPSNONPILOT/Tender/SplashBidNoticeAbstractUI.aspx?menuIndex=3&amp;refID=7043525&amp;Result=3","7043525")</f>
        <v>0</v>
      </c>
      <c r="B3533" t="s">
        <v>1248</v>
      </c>
      <c r="C3533" t="s">
        <v>6572</v>
      </c>
      <c r="D3533" t="s">
        <v>18043</v>
      </c>
      <c r="E3533" t="s">
        <v>21315</v>
      </c>
      <c r="F3533" t="s">
        <v>31574</v>
      </c>
      <c r="G3533" t="s">
        <v>31581</v>
      </c>
      <c r="H3533" t="s">
        <v>31590</v>
      </c>
      <c r="I3533" t="s">
        <v>4046</v>
      </c>
      <c r="J3533" t="s">
        <v>34133</v>
      </c>
      <c r="K3533" t="s">
        <v>41186</v>
      </c>
      <c r="M3533" t="s">
        <v>42814</v>
      </c>
      <c r="N3533" t="s">
        <v>45095</v>
      </c>
      <c r="O3533" t="s">
        <v>45096</v>
      </c>
      <c r="P3533">
        <v>0</v>
      </c>
      <c r="Q3533">
        <v>6</v>
      </c>
      <c r="R3533" t="s">
        <v>45100</v>
      </c>
      <c r="S3533" t="s">
        <v>45228</v>
      </c>
      <c r="T3533" t="s">
        <v>47159</v>
      </c>
      <c r="U3533" t="s">
        <v>50466</v>
      </c>
      <c r="W3533" t="s">
        <v>42814</v>
      </c>
      <c r="X3533" t="s">
        <v>45101</v>
      </c>
    </row>
    <row r="3534" spans="1:24">
      <c r="A3534">
        <f>HYPERLINK("https://www.philgeps.gov.ph/GEPSNONPILOT/Tender/SplashBidNoticeAbstractUI.aspx?menuIndex=3&amp;refID=7043521&amp;Result=3","7043521")</f>
        <v>0</v>
      </c>
      <c r="B3534" t="s">
        <v>1250</v>
      </c>
      <c r="C3534" t="s">
        <v>6573</v>
      </c>
      <c r="E3534" t="s">
        <v>21316</v>
      </c>
      <c r="F3534" t="s">
        <v>31574</v>
      </c>
      <c r="G3534" t="s">
        <v>31581</v>
      </c>
      <c r="H3534" t="s">
        <v>31590</v>
      </c>
      <c r="I3534" t="s">
        <v>3489</v>
      </c>
      <c r="J3534" t="s">
        <v>34134</v>
      </c>
      <c r="K3534" t="s">
        <v>41184</v>
      </c>
      <c r="M3534" t="s">
        <v>42816</v>
      </c>
      <c r="N3534" t="s">
        <v>45095</v>
      </c>
      <c r="O3534" t="s">
        <v>45096</v>
      </c>
      <c r="P3534">
        <v>0</v>
      </c>
      <c r="Q3534">
        <v>0</v>
      </c>
      <c r="R3534" t="s">
        <v>45100</v>
      </c>
      <c r="S3534" t="s">
        <v>45228</v>
      </c>
      <c r="T3534" t="s">
        <v>46949</v>
      </c>
      <c r="U3534" t="s">
        <v>50471</v>
      </c>
      <c r="V3534" t="s">
        <v>60202</v>
      </c>
      <c r="W3534" t="s">
        <v>42816</v>
      </c>
      <c r="X3534" t="s">
        <v>45101</v>
      </c>
    </row>
    <row r="3535" spans="1:24">
      <c r="A3535">
        <f>HYPERLINK("https://www.philgeps.gov.ph/GEPSNONPILOT/Tender/SplashBidNoticeAbstractUI.aspx?menuIndex=3&amp;refID=7043491&amp;Result=3","7043491")</f>
        <v>0</v>
      </c>
      <c r="B3535" t="s">
        <v>1227</v>
      </c>
      <c r="C3535" t="s">
        <v>6574</v>
      </c>
      <c r="D3535" t="s">
        <v>18056</v>
      </c>
      <c r="E3535" t="s">
        <v>21317</v>
      </c>
      <c r="F3535" t="s">
        <v>31574</v>
      </c>
      <c r="G3535" t="s">
        <v>31581</v>
      </c>
      <c r="H3535" t="s">
        <v>31590</v>
      </c>
      <c r="I3535" t="s">
        <v>4046</v>
      </c>
      <c r="J3535" t="s">
        <v>32334</v>
      </c>
      <c r="K3535" t="s">
        <v>41190</v>
      </c>
      <c r="M3535" t="s">
        <v>42789</v>
      </c>
      <c r="N3535" t="s">
        <v>45095</v>
      </c>
      <c r="O3535" t="s">
        <v>45096</v>
      </c>
      <c r="P3535">
        <v>0</v>
      </c>
      <c r="Q3535">
        <v>0</v>
      </c>
      <c r="R3535" t="s">
        <v>45100</v>
      </c>
      <c r="S3535" t="s">
        <v>45228</v>
      </c>
      <c r="T3535" t="s">
        <v>46931</v>
      </c>
      <c r="U3535" t="s">
        <v>50472</v>
      </c>
      <c r="V3535" t="s">
        <v>60203</v>
      </c>
      <c r="W3535" t="s">
        <v>42789</v>
      </c>
      <c r="X3535" t="s">
        <v>45101</v>
      </c>
    </row>
    <row r="3536" spans="1:24">
      <c r="A3536">
        <f>HYPERLINK("https://www.philgeps.gov.ph/GEPSNONPILOT/Tender/SplashBidNoticeAbstractUI.aspx?menuIndex=3&amp;refID=7043501&amp;Result=3","7043501")</f>
        <v>0</v>
      </c>
      <c r="B3536" t="s">
        <v>921</v>
      </c>
      <c r="C3536" t="s">
        <v>6575</v>
      </c>
      <c r="D3536" t="s">
        <v>18030</v>
      </c>
      <c r="E3536" t="s">
        <v>21318</v>
      </c>
      <c r="F3536" t="s">
        <v>31574</v>
      </c>
      <c r="G3536" t="s">
        <v>31581</v>
      </c>
      <c r="H3536" t="s">
        <v>31590</v>
      </c>
      <c r="I3536" t="s">
        <v>3487</v>
      </c>
      <c r="J3536" t="s">
        <v>34135</v>
      </c>
      <c r="K3536" t="s">
        <v>41184</v>
      </c>
      <c r="M3536" t="s">
        <v>42447</v>
      </c>
      <c r="N3536" t="s">
        <v>45095</v>
      </c>
      <c r="O3536" t="s">
        <v>45096</v>
      </c>
      <c r="P3536">
        <v>0</v>
      </c>
      <c r="Q3536">
        <v>3</v>
      </c>
      <c r="R3536" t="s">
        <v>45100</v>
      </c>
      <c r="S3536" t="s">
        <v>45228</v>
      </c>
      <c r="T3536" t="s">
        <v>47154</v>
      </c>
      <c r="U3536" t="s">
        <v>50473</v>
      </c>
      <c r="W3536" t="s">
        <v>42447</v>
      </c>
      <c r="X3536" t="s">
        <v>45101</v>
      </c>
    </row>
    <row r="3537" spans="1:24">
      <c r="A3537">
        <f>HYPERLINK("https://www.philgeps.gov.ph/GEPSNONPILOT/Tender/SplashBidNoticeAbstractUI.aspx?menuIndex=3&amp;refID=7043545&amp;Result=3","7043545")</f>
        <v>0</v>
      </c>
      <c r="B3537" t="s">
        <v>1248</v>
      </c>
      <c r="C3537" t="s">
        <v>6576</v>
      </c>
      <c r="D3537" t="s">
        <v>18043</v>
      </c>
      <c r="E3537" t="s">
        <v>21319</v>
      </c>
      <c r="F3537" t="s">
        <v>31574</v>
      </c>
      <c r="G3537" t="s">
        <v>31581</v>
      </c>
      <c r="H3537" t="s">
        <v>31590</v>
      </c>
      <c r="I3537" t="s">
        <v>5717</v>
      </c>
      <c r="J3537" t="s">
        <v>34136</v>
      </c>
      <c r="K3537" t="s">
        <v>41186</v>
      </c>
      <c r="M3537" t="s">
        <v>42814</v>
      </c>
      <c r="N3537" t="s">
        <v>45095</v>
      </c>
      <c r="O3537" t="s">
        <v>45096</v>
      </c>
      <c r="P3537">
        <v>0</v>
      </c>
      <c r="Q3537">
        <v>1</v>
      </c>
      <c r="R3537" t="s">
        <v>45100</v>
      </c>
      <c r="S3537" t="s">
        <v>45228</v>
      </c>
      <c r="T3537" t="s">
        <v>47159</v>
      </c>
      <c r="U3537" t="s">
        <v>50466</v>
      </c>
      <c r="W3537" t="s">
        <v>42814</v>
      </c>
      <c r="X3537" t="s">
        <v>45101</v>
      </c>
    </row>
    <row r="3538" spans="1:24">
      <c r="A3538">
        <f>HYPERLINK("https://www.philgeps.gov.ph/GEPSNONPILOT/Tender/SplashBidNoticeAbstractUI.aspx?menuIndex=3&amp;refID=7043528&amp;Result=3","7043528")</f>
        <v>0</v>
      </c>
      <c r="B3538" t="s">
        <v>1248</v>
      </c>
      <c r="C3538" t="s">
        <v>6577</v>
      </c>
      <c r="D3538" t="s">
        <v>18043</v>
      </c>
      <c r="E3538" t="s">
        <v>21320</v>
      </c>
      <c r="F3538" t="s">
        <v>31574</v>
      </c>
      <c r="G3538" t="s">
        <v>31581</v>
      </c>
      <c r="H3538" t="s">
        <v>31590</v>
      </c>
      <c r="I3538" t="s">
        <v>5717</v>
      </c>
      <c r="J3538" t="s">
        <v>34137</v>
      </c>
      <c r="K3538" t="s">
        <v>41186</v>
      </c>
      <c r="M3538" t="s">
        <v>42814</v>
      </c>
      <c r="N3538" t="s">
        <v>45095</v>
      </c>
      <c r="O3538" t="s">
        <v>45096</v>
      </c>
      <c r="P3538">
        <v>0</v>
      </c>
      <c r="Q3538">
        <v>5</v>
      </c>
      <c r="R3538" t="s">
        <v>45100</v>
      </c>
      <c r="S3538" t="s">
        <v>45228</v>
      </c>
      <c r="T3538" t="s">
        <v>47159</v>
      </c>
      <c r="U3538" t="s">
        <v>50466</v>
      </c>
      <c r="W3538" t="s">
        <v>42814</v>
      </c>
      <c r="X3538" t="s">
        <v>45101</v>
      </c>
    </row>
    <row r="3539" spans="1:24">
      <c r="A3539">
        <f>HYPERLINK("https://www.philgeps.gov.ph/GEPSNONPILOT/Tender/SplashBidNoticeAbstractUI.aspx?menuIndex=3&amp;refID=7043544&amp;Result=3","7043544")</f>
        <v>0</v>
      </c>
      <c r="B3539" t="s">
        <v>1120</v>
      </c>
      <c r="C3539" t="s">
        <v>6578</v>
      </c>
      <c r="E3539" t="s">
        <v>21321</v>
      </c>
      <c r="F3539" t="s">
        <v>31574</v>
      </c>
      <c r="G3539" t="s">
        <v>31581</v>
      </c>
      <c r="H3539" t="s">
        <v>31590</v>
      </c>
      <c r="I3539" t="s">
        <v>31608</v>
      </c>
      <c r="J3539" t="s">
        <v>31900</v>
      </c>
      <c r="K3539" t="s">
        <v>41186</v>
      </c>
      <c r="M3539" t="s">
        <v>42817</v>
      </c>
      <c r="N3539" t="s">
        <v>45095</v>
      </c>
      <c r="O3539" t="s">
        <v>45096</v>
      </c>
      <c r="P3539">
        <v>0</v>
      </c>
      <c r="Q3539">
        <v>7</v>
      </c>
      <c r="R3539" t="s">
        <v>45100</v>
      </c>
      <c r="S3539" t="s">
        <v>45228</v>
      </c>
      <c r="T3539" t="s">
        <v>47176</v>
      </c>
      <c r="U3539" t="s">
        <v>50474</v>
      </c>
      <c r="W3539" t="s">
        <v>42817</v>
      </c>
      <c r="X3539" t="s">
        <v>45101</v>
      </c>
    </row>
    <row r="3540" spans="1:24">
      <c r="A3540">
        <f>HYPERLINK("https://www.philgeps.gov.ph/GEPSNONPILOT/Tender/SplashBidNoticeAbstractUI.aspx?menuIndex=3&amp;refID=7043543&amp;Result=3","7043543")</f>
        <v>0</v>
      </c>
      <c r="B3540" t="s">
        <v>723</v>
      </c>
      <c r="C3540" t="s">
        <v>6579</v>
      </c>
      <c r="D3540" t="s">
        <v>18022</v>
      </c>
      <c r="E3540" t="s">
        <v>21322</v>
      </c>
      <c r="F3540" t="s">
        <v>31574</v>
      </c>
      <c r="G3540" t="s">
        <v>31581</v>
      </c>
      <c r="H3540" t="s">
        <v>31590</v>
      </c>
      <c r="I3540" t="s">
        <v>31638</v>
      </c>
      <c r="J3540" t="s">
        <v>31741</v>
      </c>
      <c r="K3540" t="s">
        <v>41210</v>
      </c>
      <c r="M3540" t="s">
        <v>42233</v>
      </c>
      <c r="N3540" t="s">
        <v>45095</v>
      </c>
      <c r="O3540" t="s">
        <v>45096</v>
      </c>
      <c r="P3540">
        <v>0</v>
      </c>
      <c r="Q3540">
        <v>0</v>
      </c>
      <c r="R3540" t="s">
        <v>45100</v>
      </c>
      <c r="S3540" t="s">
        <v>45228</v>
      </c>
      <c r="T3540" t="s">
        <v>47125</v>
      </c>
      <c r="U3540" t="s">
        <v>50475</v>
      </c>
      <c r="V3540" t="s">
        <v>60019</v>
      </c>
      <c r="W3540" t="s">
        <v>42233</v>
      </c>
      <c r="X3540" t="s">
        <v>45101</v>
      </c>
    </row>
    <row r="3541" spans="1:24">
      <c r="A3541">
        <f>HYPERLINK("https://www.philgeps.gov.ph/GEPSNONPILOT/Tender/SplashBidNoticeAbstractUI.aspx?menuIndex=3&amp;refID=7043504&amp;Result=3","7043504")</f>
        <v>0</v>
      </c>
      <c r="B3541" t="s">
        <v>1227</v>
      </c>
      <c r="C3541" t="s">
        <v>6580</v>
      </c>
      <c r="D3541" t="s">
        <v>18056</v>
      </c>
      <c r="E3541" t="s">
        <v>21323</v>
      </c>
      <c r="F3541" t="s">
        <v>31574</v>
      </c>
      <c r="G3541" t="s">
        <v>31581</v>
      </c>
      <c r="H3541" t="s">
        <v>31590</v>
      </c>
      <c r="I3541" t="s">
        <v>4046</v>
      </c>
      <c r="J3541" t="s">
        <v>34138</v>
      </c>
      <c r="K3541" t="s">
        <v>41190</v>
      </c>
      <c r="M3541" t="s">
        <v>42789</v>
      </c>
      <c r="N3541" t="s">
        <v>45095</v>
      </c>
      <c r="O3541" t="s">
        <v>45096</v>
      </c>
      <c r="P3541">
        <v>0</v>
      </c>
      <c r="Q3541">
        <v>0</v>
      </c>
      <c r="R3541" t="s">
        <v>45100</v>
      </c>
      <c r="S3541" t="s">
        <v>45228</v>
      </c>
      <c r="T3541" t="s">
        <v>46931</v>
      </c>
      <c r="U3541" t="s">
        <v>50476</v>
      </c>
      <c r="V3541" t="s">
        <v>60203</v>
      </c>
      <c r="W3541" t="s">
        <v>42789</v>
      </c>
      <c r="X3541" t="s">
        <v>45101</v>
      </c>
    </row>
    <row r="3542" spans="1:24">
      <c r="A3542">
        <f>HYPERLINK("https://www.philgeps.gov.ph/GEPSNONPILOT/Tender/SplashBidNoticeAbstractUI.aspx?menuIndex=3&amp;refID=7043541&amp;Result=3","7043541")</f>
        <v>0</v>
      </c>
      <c r="B3542" t="s">
        <v>1248</v>
      </c>
      <c r="C3542" t="s">
        <v>6581</v>
      </c>
      <c r="D3542" t="s">
        <v>18043</v>
      </c>
      <c r="E3542" t="s">
        <v>21324</v>
      </c>
      <c r="F3542" t="s">
        <v>31574</v>
      </c>
      <c r="G3542" t="s">
        <v>31581</v>
      </c>
      <c r="H3542" t="s">
        <v>31590</v>
      </c>
      <c r="I3542" t="s">
        <v>5717</v>
      </c>
      <c r="J3542" t="s">
        <v>34139</v>
      </c>
      <c r="K3542" t="s">
        <v>41186</v>
      </c>
      <c r="M3542" t="s">
        <v>42814</v>
      </c>
      <c r="N3542" t="s">
        <v>45095</v>
      </c>
      <c r="O3542" t="s">
        <v>45096</v>
      </c>
      <c r="P3542">
        <v>0</v>
      </c>
      <c r="Q3542">
        <v>2</v>
      </c>
      <c r="R3542" t="s">
        <v>45100</v>
      </c>
      <c r="S3542" t="s">
        <v>45228</v>
      </c>
      <c r="T3542" t="s">
        <v>47159</v>
      </c>
      <c r="U3542" t="s">
        <v>50466</v>
      </c>
      <c r="W3542" t="s">
        <v>42814</v>
      </c>
      <c r="X3542" t="s">
        <v>45101</v>
      </c>
    </row>
    <row r="3543" spans="1:24">
      <c r="A3543">
        <f>HYPERLINK("https://www.philgeps.gov.ph/GEPSNONPILOT/Tender/SplashBidNoticeAbstractUI.aspx?menuIndex=3&amp;refID=7043510&amp;Result=3","7043510")</f>
        <v>0</v>
      </c>
      <c r="B3543" t="s">
        <v>921</v>
      </c>
      <c r="C3543" t="s">
        <v>6582</v>
      </c>
      <c r="D3543" t="s">
        <v>18030</v>
      </c>
      <c r="E3543" t="s">
        <v>21325</v>
      </c>
      <c r="F3543" t="s">
        <v>31574</v>
      </c>
      <c r="G3543" t="s">
        <v>31581</v>
      </c>
      <c r="H3543" t="s">
        <v>31590</v>
      </c>
      <c r="I3543" t="s">
        <v>31604</v>
      </c>
      <c r="J3543" t="s">
        <v>31782</v>
      </c>
      <c r="K3543" t="s">
        <v>41184</v>
      </c>
      <c r="M3543" t="s">
        <v>42447</v>
      </c>
      <c r="N3543" t="s">
        <v>45095</v>
      </c>
      <c r="O3543" t="s">
        <v>45096</v>
      </c>
      <c r="P3543">
        <v>0</v>
      </c>
      <c r="Q3543">
        <v>3</v>
      </c>
      <c r="R3543" t="s">
        <v>45100</v>
      </c>
      <c r="S3543" t="s">
        <v>45228</v>
      </c>
      <c r="T3543" t="s">
        <v>47154</v>
      </c>
      <c r="U3543" t="s">
        <v>50477</v>
      </c>
      <c r="W3543" t="s">
        <v>42447</v>
      </c>
      <c r="X3543" t="s">
        <v>45101</v>
      </c>
    </row>
    <row r="3544" spans="1:24">
      <c r="A3544">
        <f>HYPERLINK("https://www.philgeps.gov.ph/GEPSNONPILOT/Tender/SplashBidNoticeAbstractUI.aspx?menuIndex=3&amp;refID=7043542&amp;Result=3","7043542")</f>
        <v>0</v>
      </c>
      <c r="B3544" t="s">
        <v>749</v>
      </c>
      <c r="C3544" t="s">
        <v>6583</v>
      </c>
      <c r="D3544" t="s">
        <v>18036</v>
      </c>
      <c r="E3544" t="s">
        <v>21326</v>
      </c>
      <c r="F3544" t="s">
        <v>31574</v>
      </c>
      <c r="G3544" t="s">
        <v>31582</v>
      </c>
      <c r="H3544" t="s">
        <v>31591</v>
      </c>
      <c r="I3544" t="s">
        <v>8822</v>
      </c>
      <c r="J3544" t="s">
        <v>32019</v>
      </c>
      <c r="K3544" t="s">
        <v>41192</v>
      </c>
      <c r="M3544" t="s">
        <v>42263</v>
      </c>
      <c r="N3544" t="s">
        <v>45095</v>
      </c>
      <c r="O3544" t="s">
        <v>45096</v>
      </c>
      <c r="P3544">
        <v>0</v>
      </c>
      <c r="Q3544">
        <v>0</v>
      </c>
      <c r="R3544" t="s">
        <v>45100</v>
      </c>
      <c r="S3544" t="s">
        <v>45228</v>
      </c>
      <c r="T3544" t="s">
        <v>46992</v>
      </c>
      <c r="U3544" t="s">
        <v>50478</v>
      </c>
      <c r="W3544" t="s">
        <v>42263</v>
      </c>
      <c r="X3544" t="s">
        <v>45101</v>
      </c>
    </row>
    <row r="3545" spans="1:24">
      <c r="A3545">
        <f>HYPERLINK("https://www.philgeps.gov.ph/GEPSNONPILOT/Tender/SplashBidNoticeAbstractUI.aspx?menuIndex=3&amp;refID=7043503&amp;Result=3","7043503")</f>
        <v>0</v>
      </c>
      <c r="B3545" t="s">
        <v>1249</v>
      </c>
      <c r="C3545" t="s">
        <v>6584</v>
      </c>
      <c r="D3545" t="s">
        <v>18086</v>
      </c>
      <c r="E3545" t="s">
        <v>18250</v>
      </c>
      <c r="F3545" t="s">
        <v>31574</v>
      </c>
      <c r="G3545" t="s">
        <v>31582</v>
      </c>
      <c r="H3545" t="s">
        <v>31591</v>
      </c>
      <c r="I3545" t="s">
        <v>8822</v>
      </c>
      <c r="J3545" t="s">
        <v>34140</v>
      </c>
      <c r="K3545" t="s">
        <v>41191</v>
      </c>
      <c r="M3545" t="s">
        <v>42815</v>
      </c>
      <c r="N3545" t="s">
        <v>45095</v>
      </c>
      <c r="O3545" t="s">
        <v>45096</v>
      </c>
      <c r="P3545">
        <v>0</v>
      </c>
      <c r="Q3545">
        <v>0</v>
      </c>
      <c r="R3545" t="s">
        <v>45100</v>
      </c>
      <c r="S3545" t="s">
        <v>45228</v>
      </c>
      <c r="T3545" t="s">
        <v>46979</v>
      </c>
      <c r="U3545" t="s">
        <v>50479</v>
      </c>
      <c r="W3545" t="s">
        <v>42815</v>
      </c>
      <c r="X3545" t="s">
        <v>45101</v>
      </c>
    </row>
    <row r="3546" spans="1:24">
      <c r="A3546">
        <f>HYPERLINK("https://www.philgeps.gov.ph/GEPSNONPILOT/Tender/SplashBidNoticeAbstractUI.aspx?menuIndex=3&amp;refID=7043537&amp;Result=3","7043537")</f>
        <v>0</v>
      </c>
      <c r="B3546" t="s">
        <v>1248</v>
      </c>
      <c r="C3546" t="s">
        <v>6585</v>
      </c>
      <c r="D3546" t="s">
        <v>18043</v>
      </c>
      <c r="E3546" t="s">
        <v>21327</v>
      </c>
      <c r="F3546" t="s">
        <v>31574</v>
      </c>
      <c r="G3546" t="s">
        <v>31581</v>
      </c>
      <c r="H3546" t="s">
        <v>31590</v>
      </c>
      <c r="I3546" t="s">
        <v>4046</v>
      </c>
      <c r="J3546" t="s">
        <v>34141</v>
      </c>
      <c r="K3546" t="s">
        <v>41186</v>
      </c>
      <c r="M3546" t="s">
        <v>42814</v>
      </c>
      <c r="N3546" t="s">
        <v>45095</v>
      </c>
      <c r="O3546" t="s">
        <v>45096</v>
      </c>
      <c r="P3546">
        <v>0</v>
      </c>
      <c r="Q3546">
        <v>0</v>
      </c>
      <c r="R3546" t="s">
        <v>45100</v>
      </c>
      <c r="S3546" t="s">
        <v>45228</v>
      </c>
      <c r="T3546" t="s">
        <v>47159</v>
      </c>
      <c r="U3546" t="s">
        <v>50466</v>
      </c>
      <c r="W3546" t="s">
        <v>42814</v>
      </c>
      <c r="X3546" t="s">
        <v>45101</v>
      </c>
    </row>
    <row r="3547" spans="1:24">
      <c r="A3547">
        <f>HYPERLINK("https://www.philgeps.gov.ph/GEPSNONPILOT/Tender/SplashBidNoticeAbstractUI.aspx?menuIndex=3&amp;refID=7043539&amp;Result=3","7043539")</f>
        <v>0</v>
      </c>
      <c r="B3547" t="s">
        <v>593</v>
      </c>
      <c r="C3547" t="s">
        <v>6586</v>
      </c>
      <c r="D3547" t="s">
        <v>18022</v>
      </c>
      <c r="E3547" t="s">
        <v>21328</v>
      </c>
      <c r="F3547" t="s">
        <v>31574</v>
      </c>
      <c r="G3547" t="s">
        <v>31582</v>
      </c>
      <c r="H3547" t="s">
        <v>31590</v>
      </c>
      <c r="I3547" t="s">
        <v>5222</v>
      </c>
      <c r="J3547" t="s">
        <v>31742</v>
      </c>
      <c r="K3547" t="s">
        <v>41193</v>
      </c>
      <c r="M3547" t="s">
        <v>42095</v>
      </c>
      <c r="N3547" t="s">
        <v>45095</v>
      </c>
      <c r="O3547" t="s">
        <v>45096</v>
      </c>
      <c r="P3547">
        <v>0</v>
      </c>
      <c r="Q3547">
        <v>0</v>
      </c>
      <c r="R3547" t="s">
        <v>45100</v>
      </c>
      <c r="S3547" t="s">
        <v>45228</v>
      </c>
      <c r="T3547" t="s">
        <v>47012</v>
      </c>
      <c r="U3547" t="s">
        <v>50480</v>
      </c>
      <c r="W3547" t="s">
        <v>42095</v>
      </c>
      <c r="X3547" t="s">
        <v>45101</v>
      </c>
    </row>
    <row r="3548" spans="1:24">
      <c r="A3548">
        <f>HYPERLINK("https://www.philgeps.gov.ph/GEPSNONPILOT/Tender/SplashBidNoticeAbstractUI.aspx?menuIndex=3&amp;refID=7043552&amp;Result=3","7043552")</f>
        <v>0</v>
      </c>
      <c r="B3548" t="s">
        <v>1251</v>
      </c>
      <c r="C3548" t="s">
        <v>6587</v>
      </c>
      <c r="D3548" t="s">
        <v>18075</v>
      </c>
      <c r="E3548" t="s">
        <v>21329</v>
      </c>
      <c r="F3548" t="s">
        <v>31574</v>
      </c>
      <c r="G3548" t="s">
        <v>31581</v>
      </c>
      <c r="H3548" t="s">
        <v>31590</v>
      </c>
      <c r="I3548" t="s">
        <v>31689</v>
      </c>
      <c r="J3548" t="s">
        <v>34142</v>
      </c>
      <c r="K3548" t="s">
        <v>41184</v>
      </c>
      <c r="M3548" t="s">
        <v>42818</v>
      </c>
      <c r="N3548" t="s">
        <v>45095</v>
      </c>
      <c r="O3548" t="s">
        <v>45096</v>
      </c>
      <c r="P3548">
        <v>0</v>
      </c>
      <c r="Q3548">
        <v>1</v>
      </c>
      <c r="R3548" t="s">
        <v>45100</v>
      </c>
      <c r="S3548" t="s">
        <v>45228</v>
      </c>
      <c r="T3548" t="s">
        <v>46905</v>
      </c>
      <c r="U3548" t="s">
        <v>50481</v>
      </c>
      <c r="W3548" t="s">
        <v>42818</v>
      </c>
      <c r="X3548" t="s">
        <v>45101</v>
      </c>
    </row>
    <row r="3549" spans="1:24">
      <c r="A3549">
        <f>HYPERLINK("https://www.philgeps.gov.ph/GEPSNONPILOT/Tender/SplashBidNoticeAbstractUI.aspx?menuIndex=3&amp;refID=7043551&amp;Result=3","7043551")</f>
        <v>0</v>
      </c>
      <c r="B3549" t="s">
        <v>1248</v>
      </c>
      <c r="C3549" t="s">
        <v>6588</v>
      </c>
      <c r="D3549" t="s">
        <v>18043</v>
      </c>
      <c r="E3549" t="s">
        <v>21330</v>
      </c>
      <c r="F3549" t="s">
        <v>31574</v>
      </c>
      <c r="G3549" t="s">
        <v>31581</v>
      </c>
      <c r="H3549" t="s">
        <v>31590</v>
      </c>
      <c r="I3549" t="s">
        <v>31602</v>
      </c>
      <c r="J3549" t="s">
        <v>31844</v>
      </c>
      <c r="K3549" t="s">
        <v>41186</v>
      </c>
      <c r="M3549" t="s">
        <v>42814</v>
      </c>
      <c r="N3549" t="s">
        <v>45095</v>
      </c>
      <c r="O3549" t="s">
        <v>45096</v>
      </c>
      <c r="P3549">
        <v>0</v>
      </c>
      <c r="Q3549">
        <v>0</v>
      </c>
      <c r="R3549" t="s">
        <v>45100</v>
      </c>
      <c r="S3549" t="s">
        <v>45228</v>
      </c>
      <c r="T3549" t="s">
        <v>47159</v>
      </c>
      <c r="U3549" t="s">
        <v>50466</v>
      </c>
      <c r="W3549" t="s">
        <v>42814</v>
      </c>
      <c r="X3549" t="s">
        <v>45101</v>
      </c>
    </row>
    <row r="3550" spans="1:24">
      <c r="A3550">
        <f>HYPERLINK("https://www.philgeps.gov.ph/GEPSNONPILOT/Tender/SplashBidNoticeAbstractUI.aspx?menuIndex=3&amp;refID=7043519&amp;Result=3","7043519")</f>
        <v>0</v>
      </c>
      <c r="B3550" t="s">
        <v>1248</v>
      </c>
      <c r="C3550" t="s">
        <v>6589</v>
      </c>
      <c r="D3550" t="s">
        <v>18043</v>
      </c>
      <c r="E3550" t="s">
        <v>21331</v>
      </c>
      <c r="F3550" t="s">
        <v>31574</v>
      </c>
      <c r="G3550" t="s">
        <v>31581</v>
      </c>
      <c r="H3550" t="s">
        <v>31590</v>
      </c>
      <c r="I3550" t="s">
        <v>31600</v>
      </c>
      <c r="J3550" t="s">
        <v>34143</v>
      </c>
      <c r="K3550" t="s">
        <v>41186</v>
      </c>
      <c r="M3550" t="s">
        <v>42814</v>
      </c>
      <c r="N3550" t="s">
        <v>45095</v>
      </c>
      <c r="O3550" t="s">
        <v>45096</v>
      </c>
      <c r="P3550">
        <v>0</v>
      </c>
      <c r="Q3550">
        <v>2</v>
      </c>
      <c r="R3550" t="s">
        <v>45100</v>
      </c>
      <c r="S3550" t="s">
        <v>45228</v>
      </c>
      <c r="T3550" t="s">
        <v>47159</v>
      </c>
      <c r="U3550" t="s">
        <v>50466</v>
      </c>
      <c r="W3550" t="s">
        <v>42814</v>
      </c>
      <c r="X3550" t="s">
        <v>45101</v>
      </c>
    </row>
    <row r="3551" spans="1:24">
      <c r="A3551">
        <f>HYPERLINK("https://www.philgeps.gov.ph/GEPSNONPILOT/Tender/SplashBidNoticeAbstractUI.aspx?menuIndex=3&amp;refID=7043535&amp;Result=3","7043535")</f>
        <v>0</v>
      </c>
      <c r="B3551" t="s">
        <v>723</v>
      </c>
      <c r="C3551" t="s">
        <v>6590</v>
      </c>
      <c r="D3551" t="s">
        <v>18022</v>
      </c>
      <c r="E3551" t="s">
        <v>21332</v>
      </c>
      <c r="F3551" t="s">
        <v>31574</v>
      </c>
      <c r="G3551" t="s">
        <v>31581</v>
      </c>
      <c r="H3551" t="s">
        <v>31590</v>
      </c>
      <c r="I3551" t="s">
        <v>31638</v>
      </c>
      <c r="J3551" t="s">
        <v>31741</v>
      </c>
      <c r="K3551" t="s">
        <v>41210</v>
      </c>
      <c r="M3551" t="s">
        <v>42233</v>
      </c>
      <c r="N3551" t="s">
        <v>45095</v>
      </c>
      <c r="O3551" t="s">
        <v>45096</v>
      </c>
      <c r="P3551">
        <v>0</v>
      </c>
      <c r="Q3551">
        <v>1</v>
      </c>
      <c r="R3551" t="s">
        <v>45100</v>
      </c>
      <c r="S3551" t="s">
        <v>45228</v>
      </c>
      <c r="T3551" t="s">
        <v>47125</v>
      </c>
      <c r="U3551" t="s">
        <v>50482</v>
      </c>
      <c r="V3551" t="s">
        <v>60019</v>
      </c>
      <c r="W3551" t="s">
        <v>42233</v>
      </c>
      <c r="X3551" t="s">
        <v>45101</v>
      </c>
    </row>
    <row r="3552" spans="1:24">
      <c r="A3552">
        <f>HYPERLINK("https://www.philgeps.gov.ph/GEPSNONPILOT/Tender/SplashBidNoticeAbstractUI.aspx?menuIndex=3&amp;refID=7043549&amp;Result=3","7043549")</f>
        <v>0</v>
      </c>
      <c r="B3552" t="s">
        <v>1120</v>
      </c>
      <c r="C3552" t="s">
        <v>6591</v>
      </c>
      <c r="E3552" t="s">
        <v>21333</v>
      </c>
      <c r="F3552" t="s">
        <v>31574</v>
      </c>
      <c r="G3552" t="s">
        <v>31581</v>
      </c>
      <c r="H3552" t="s">
        <v>31590</v>
      </c>
      <c r="I3552" t="s">
        <v>31608</v>
      </c>
      <c r="J3552" t="s">
        <v>34144</v>
      </c>
      <c r="K3552" t="s">
        <v>41191</v>
      </c>
      <c r="M3552" t="s">
        <v>42817</v>
      </c>
      <c r="N3552" t="s">
        <v>45095</v>
      </c>
      <c r="O3552" t="s">
        <v>45096</v>
      </c>
      <c r="P3552">
        <v>0</v>
      </c>
      <c r="Q3552">
        <v>12</v>
      </c>
      <c r="R3552" t="s">
        <v>45100</v>
      </c>
      <c r="S3552" t="s">
        <v>45228</v>
      </c>
      <c r="T3552" t="s">
        <v>47176</v>
      </c>
      <c r="U3552" t="s">
        <v>50483</v>
      </c>
      <c r="W3552" t="s">
        <v>42817</v>
      </c>
      <c r="X3552" t="s">
        <v>45101</v>
      </c>
    </row>
    <row r="3553" spans="1:24">
      <c r="A3553">
        <f>HYPERLINK("https://www.philgeps.gov.ph/GEPSNONPILOT/Tender/SplashBidNoticeAbstractUI.aspx?menuIndex=3&amp;refID=7043550&amp;Result=3","7043550")</f>
        <v>0</v>
      </c>
      <c r="B3553" t="s">
        <v>593</v>
      </c>
      <c r="C3553" t="s">
        <v>6592</v>
      </c>
      <c r="D3553" t="s">
        <v>18022</v>
      </c>
      <c r="E3553" t="s">
        <v>21334</v>
      </c>
      <c r="F3553" t="s">
        <v>31574</v>
      </c>
      <c r="G3553" t="s">
        <v>31582</v>
      </c>
      <c r="H3553" t="s">
        <v>31590</v>
      </c>
      <c r="I3553" t="s">
        <v>5222</v>
      </c>
      <c r="J3553" t="s">
        <v>34145</v>
      </c>
      <c r="K3553" t="s">
        <v>41193</v>
      </c>
      <c r="M3553" t="s">
        <v>42095</v>
      </c>
      <c r="N3553" t="s">
        <v>45095</v>
      </c>
      <c r="O3553" t="s">
        <v>45096</v>
      </c>
      <c r="P3553">
        <v>0</v>
      </c>
      <c r="Q3553">
        <v>1</v>
      </c>
      <c r="R3553" t="s">
        <v>45100</v>
      </c>
      <c r="S3553" t="s">
        <v>45228</v>
      </c>
      <c r="T3553" t="s">
        <v>46954</v>
      </c>
      <c r="U3553" t="s">
        <v>48688</v>
      </c>
      <c r="W3553" t="s">
        <v>42095</v>
      </c>
      <c r="X3553" t="s">
        <v>45101</v>
      </c>
    </row>
    <row r="3554" spans="1:24">
      <c r="A3554">
        <f>HYPERLINK("https://www.philgeps.gov.ph/GEPSNONPILOT/Tender/SplashBidNoticeAbstractUI.aspx?menuIndex=3&amp;refID=7043546&amp;Result=3","7043546")</f>
        <v>0</v>
      </c>
      <c r="B3554" t="s">
        <v>490</v>
      </c>
      <c r="C3554" t="s">
        <v>6593</v>
      </c>
      <c r="E3554" t="s">
        <v>21335</v>
      </c>
      <c r="F3554" t="s">
        <v>31574</v>
      </c>
      <c r="G3554" t="s">
        <v>31581</v>
      </c>
      <c r="H3554" t="s">
        <v>31590</v>
      </c>
      <c r="I3554" t="s">
        <v>31608</v>
      </c>
      <c r="J3554" t="s">
        <v>32216</v>
      </c>
      <c r="K3554" t="s">
        <v>41184</v>
      </c>
      <c r="M3554" t="s">
        <v>41986</v>
      </c>
      <c r="N3554" t="s">
        <v>45095</v>
      </c>
      <c r="O3554" t="s">
        <v>45096</v>
      </c>
      <c r="P3554">
        <v>0</v>
      </c>
      <c r="Q3554">
        <v>1</v>
      </c>
      <c r="R3554" t="s">
        <v>45100</v>
      </c>
      <c r="S3554" t="s">
        <v>45228</v>
      </c>
      <c r="T3554" t="s">
        <v>47158</v>
      </c>
      <c r="U3554" t="s">
        <v>50484</v>
      </c>
      <c r="W3554" t="s">
        <v>41986</v>
      </c>
      <c r="X3554" t="s">
        <v>45101</v>
      </c>
    </row>
    <row r="3555" spans="1:24">
      <c r="A3555">
        <f>HYPERLINK("https://www.philgeps.gov.ph/GEPSNONPILOT/Tender/SplashBidNoticeAbstractUI.aspx?menuIndex=3&amp;refID=7043548&amp;Result=3","7043548")</f>
        <v>0</v>
      </c>
      <c r="B3555" t="s">
        <v>1248</v>
      </c>
      <c r="C3555" t="s">
        <v>6594</v>
      </c>
      <c r="D3555" t="s">
        <v>18043</v>
      </c>
      <c r="E3555" t="s">
        <v>21336</v>
      </c>
      <c r="F3555" t="s">
        <v>31574</v>
      </c>
      <c r="G3555" t="s">
        <v>31581</v>
      </c>
      <c r="H3555" t="s">
        <v>31590</v>
      </c>
      <c r="I3555" t="s">
        <v>31600</v>
      </c>
      <c r="J3555" t="s">
        <v>34146</v>
      </c>
      <c r="K3555" t="s">
        <v>41186</v>
      </c>
      <c r="M3555" t="s">
        <v>42814</v>
      </c>
      <c r="N3555" t="s">
        <v>45095</v>
      </c>
      <c r="O3555" t="s">
        <v>45096</v>
      </c>
      <c r="P3555">
        <v>0</v>
      </c>
      <c r="Q3555">
        <v>1</v>
      </c>
      <c r="R3555" t="s">
        <v>45100</v>
      </c>
      <c r="S3555" t="s">
        <v>45228</v>
      </c>
      <c r="T3555" t="s">
        <v>47159</v>
      </c>
      <c r="U3555" t="s">
        <v>50466</v>
      </c>
      <c r="W3555" t="s">
        <v>42814</v>
      </c>
      <c r="X3555" t="s">
        <v>45101</v>
      </c>
    </row>
    <row r="3556" spans="1:24">
      <c r="A3556">
        <f>HYPERLINK("https://www.philgeps.gov.ph/GEPSNONPILOT/Tender/SplashBidNoticeAbstractUI.aspx?menuIndex=3&amp;refID=7043534&amp;Result=3","7043534")</f>
        <v>0</v>
      </c>
      <c r="B3556" t="s">
        <v>1248</v>
      </c>
      <c r="C3556" t="s">
        <v>6595</v>
      </c>
      <c r="D3556" t="s">
        <v>18043</v>
      </c>
      <c r="E3556" t="s">
        <v>21337</v>
      </c>
      <c r="F3556" t="s">
        <v>31574</v>
      </c>
      <c r="G3556" t="s">
        <v>31581</v>
      </c>
      <c r="H3556" t="s">
        <v>31590</v>
      </c>
      <c r="I3556" t="s">
        <v>5717</v>
      </c>
      <c r="J3556" t="s">
        <v>34147</v>
      </c>
      <c r="K3556" t="s">
        <v>41186</v>
      </c>
      <c r="M3556" t="s">
        <v>42814</v>
      </c>
      <c r="N3556" t="s">
        <v>45095</v>
      </c>
      <c r="O3556" t="s">
        <v>45096</v>
      </c>
      <c r="P3556">
        <v>0</v>
      </c>
      <c r="Q3556">
        <v>3</v>
      </c>
      <c r="R3556" t="s">
        <v>45100</v>
      </c>
      <c r="S3556" t="s">
        <v>45228</v>
      </c>
      <c r="T3556" t="s">
        <v>47159</v>
      </c>
      <c r="U3556" t="s">
        <v>50466</v>
      </c>
      <c r="W3556" t="s">
        <v>42814</v>
      </c>
      <c r="X3556" t="s">
        <v>45101</v>
      </c>
    </row>
    <row r="3557" spans="1:24">
      <c r="A3557">
        <f>HYPERLINK("https://www.philgeps.gov.ph/GEPSNONPILOT/Tender/SplashBidNoticeAbstractUI.aspx?menuIndex=3&amp;refID=7043554&amp;Result=3","7043554")</f>
        <v>0</v>
      </c>
      <c r="B3557" t="s">
        <v>921</v>
      </c>
      <c r="C3557" t="s">
        <v>6596</v>
      </c>
      <c r="D3557" t="s">
        <v>18030</v>
      </c>
      <c r="E3557" t="s">
        <v>21338</v>
      </c>
      <c r="F3557" t="s">
        <v>31574</v>
      </c>
      <c r="G3557" t="s">
        <v>31581</v>
      </c>
      <c r="H3557" t="s">
        <v>31591</v>
      </c>
      <c r="I3557" t="s">
        <v>31632</v>
      </c>
      <c r="J3557" t="s">
        <v>31789</v>
      </c>
      <c r="K3557" t="s">
        <v>41184</v>
      </c>
      <c r="M3557" t="s">
        <v>42447</v>
      </c>
      <c r="N3557" t="s">
        <v>45095</v>
      </c>
      <c r="O3557" t="s">
        <v>45096</v>
      </c>
      <c r="P3557">
        <v>0</v>
      </c>
      <c r="Q3557">
        <v>0</v>
      </c>
      <c r="R3557" t="s">
        <v>45100</v>
      </c>
      <c r="S3557" t="s">
        <v>45228</v>
      </c>
      <c r="T3557" t="s">
        <v>47154</v>
      </c>
      <c r="U3557" t="s">
        <v>50485</v>
      </c>
      <c r="V3557" t="s">
        <v>60080</v>
      </c>
      <c r="W3557" t="s">
        <v>42447</v>
      </c>
      <c r="X3557" t="s">
        <v>45101</v>
      </c>
    </row>
    <row r="3558" spans="1:24">
      <c r="A3558">
        <f>HYPERLINK("https://www.philgeps.gov.ph/GEPSNONPILOT/Tender/SplashBidNoticeAbstractUI.aspx?menuIndex=3&amp;refID=7043547&amp;Result=3","7043547")</f>
        <v>0</v>
      </c>
      <c r="B3558" t="s">
        <v>1250</v>
      </c>
      <c r="C3558" t="s">
        <v>6597</v>
      </c>
      <c r="E3558" t="s">
        <v>21339</v>
      </c>
      <c r="F3558" t="s">
        <v>31574</v>
      </c>
      <c r="G3558" t="s">
        <v>31581</v>
      </c>
      <c r="H3558" t="s">
        <v>31590</v>
      </c>
      <c r="I3558" t="s">
        <v>31621</v>
      </c>
      <c r="J3558" t="s">
        <v>32382</v>
      </c>
      <c r="K3558" t="s">
        <v>41184</v>
      </c>
      <c r="M3558" t="s">
        <v>42816</v>
      </c>
      <c r="N3558" t="s">
        <v>45095</v>
      </c>
      <c r="O3558" t="s">
        <v>45096</v>
      </c>
      <c r="P3558">
        <v>0</v>
      </c>
      <c r="Q3558">
        <v>4</v>
      </c>
      <c r="R3558" t="s">
        <v>45100</v>
      </c>
      <c r="S3558" t="s">
        <v>45228</v>
      </c>
      <c r="T3558" t="s">
        <v>46949</v>
      </c>
      <c r="U3558" t="s">
        <v>50486</v>
      </c>
      <c r="V3558" t="s">
        <v>60202</v>
      </c>
      <c r="W3558" t="s">
        <v>42816</v>
      </c>
      <c r="X3558" t="s">
        <v>45101</v>
      </c>
    </row>
    <row r="3559" spans="1:24">
      <c r="A3559">
        <f>HYPERLINK("https://www.philgeps.gov.ph/GEPSNONPILOT/Tender/SplashBidNoticeAbstractUI.aspx?menuIndex=3&amp;refID=7043530&amp;Result=3","7043530")</f>
        <v>0</v>
      </c>
      <c r="B3559" t="s">
        <v>1250</v>
      </c>
      <c r="C3559" t="s">
        <v>6598</v>
      </c>
      <c r="E3559" t="s">
        <v>21340</v>
      </c>
      <c r="F3559" t="s">
        <v>31574</v>
      </c>
      <c r="G3559" t="s">
        <v>31581</v>
      </c>
      <c r="H3559" t="s">
        <v>31590</v>
      </c>
      <c r="I3559" t="s">
        <v>3487</v>
      </c>
      <c r="J3559" t="s">
        <v>34148</v>
      </c>
      <c r="K3559" t="s">
        <v>41184</v>
      </c>
      <c r="M3559" t="s">
        <v>42816</v>
      </c>
      <c r="N3559" t="s">
        <v>45095</v>
      </c>
      <c r="O3559" t="s">
        <v>45096</v>
      </c>
      <c r="P3559">
        <v>0</v>
      </c>
      <c r="Q3559">
        <v>0</v>
      </c>
      <c r="R3559" t="s">
        <v>45100</v>
      </c>
      <c r="S3559" t="s">
        <v>45228</v>
      </c>
      <c r="T3559" t="s">
        <v>46949</v>
      </c>
      <c r="U3559" t="s">
        <v>50487</v>
      </c>
      <c r="V3559" t="s">
        <v>60202</v>
      </c>
      <c r="W3559" t="s">
        <v>42816</v>
      </c>
      <c r="X3559" t="s">
        <v>45101</v>
      </c>
    </row>
    <row r="3560" spans="1:24">
      <c r="A3560">
        <f>HYPERLINK("https://www.philgeps.gov.ph/GEPSNONPILOT/Tender/SplashBidNoticeAbstractUI.aspx?menuIndex=3&amp;refID=7043565&amp;Result=3","7043565")</f>
        <v>0</v>
      </c>
      <c r="B3560" t="s">
        <v>1250</v>
      </c>
      <c r="C3560" t="s">
        <v>6599</v>
      </c>
      <c r="D3560" t="s">
        <v>18084</v>
      </c>
      <c r="E3560" t="s">
        <v>21341</v>
      </c>
      <c r="F3560" t="s">
        <v>31574</v>
      </c>
      <c r="G3560" t="s">
        <v>31581</v>
      </c>
      <c r="H3560" t="s">
        <v>31590</v>
      </c>
      <c r="I3560" t="s">
        <v>31636</v>
      </c>
      <c r="J3560" t="s">
        <v>33914</v>
      </c>
      <c r="K3560" t="s">
        <v>41184</v>
      </c>
      <c r="M3560" t="s">
        <v>42816</v>
      </c>
      <c r="N3560" t="s">
        <v>45095</v>
      </c>
      <c r="O3560" t="s">
        <v>45096</v>
      </c>
      <c r="P3560">
        <v>0</v>
      </c>
      <c r="Q3560">
        <v>0</v>
      </c>
      <c r="R3560" t="s">
        <v>45100</v>
      </c>
      <c r="S3560" t="s">
        <v>45228</v>
      </c>
      <c r="T3560" t="s">
        <v>46949</v>
      </c>
      <c r="U3560" t="s">
        <v>50488</v>
      </c>
      <c r="V3560" t="s">
        <v>60202</v>
      </c>
      <c r="W3560" t="s">
        <v>42816</v>
      </c>
      <c r="X3560" t="s">
        <v>45101</v>
      </c>
    </row>
    <row r="3561" spans="1:24">
      <c r="A3561">
        <f>HYPERLINK("https://www.philgeps.gov.ph/GEPSNONPILOT/Tender/SplashBidNoticeAbstractUI.aspx?menuIndex=3&amp;refID=7043562&amp;Result=3","7043562")</f>
        <v>0</v>
      </c>
      <c r="B3561" t="s">
        <v>593</v>
      </c>
      <c r="C3561" t="s">
        <v>6600</v>
      </c>
      <c r="D3561" t="s">
        <v>18022</v>
      </c>
      <c r="E3561" t="s">
        <v>21342</v>
      </c>
      <c r="F3561" t="s">
        <v>31574</v>
      </c>
      <c r="G3561" t="s">
        <v>31582</v>
      </c>
      <c r="H3561" t="s">
        <v>31590</v>
      </c>
      <c r="I3561" t="s">
        <v>4046</v>
      </c>
      <c r="J3561" t="s">
        <v>34149</v>
      </c>
      <c r="K3561" t="s">
        <v>41193</v>
      </c>
      <c r="M3561" t="s">
        <v>42095</v>
      </c>
      <c r="N3561" t="s">
        <v>45095</v>
      </c>
      <c r="O3561" t="s">
        <v>45096</v>
      </c>
      <c r="P3561">
        <v>0</v>
      </c>
      <c r="Q3561">
        <v>0</v>
      </c>
      <c r="R3561" t="s">
        <v>45100</v>
      </c>
      <c r="S3561" t="s">
        <v>45228</v>
      </c>
      <c r="T3561" t="s">
        <v>46954</v>
      </c>
      <c r="U3561" t="s">
        <v>48688</v>
      </c>
      <c r="W3561" t="s">
        <v>42095</v>
      </c>
      <c r="X3561" t="s">
        <v>45101</v>
      </c>
    </row>
    <row r="3562" spans="1:24">
      <c r="A3562">
        <f>HYPERLINK("https://www.philgeps.gov.ph/GEPSNONPILOT/Tender/SplashBidNoticeAbstractUI.aspx?menuIndex=3&amp;refID=7043529&amp;Result=3","7043529")</f>
        <v>0</v>
      </c>
      <c r="B3562" t="s">
        <v>1120</v>
      </c>
      <c r="C3562" t="s">
        <v>6601</v>
      </c>
      <c r="E3562" t="s">
        <v>21343</v>
      </c>
      <c r="F3562" t="s">
        <v>31574</v>
      </c>
      <c r="G3562" t="s">
        <v>31581</v>
      </c>
      <c r="H3562" t="s">
        <v>31590</v>
      </c>
      <c r="I3562" t="s">
        <v>31594</v>
      </c>
      <c r="J3562" t="s">
        <v>34150</v>
      </c>
      <c r="K3562" t="s">
        <v>41192</v>
      </c>
      <c r="M3562" t="s">
        <v>42817</v>
      </c>
      <c r="N3562" t="s">
        <v>45095</v>
      </c>
      <c r="O3562" t="s">
        <v>45096</v>
      </c>
      <c r="P3562">
        <v>0</v>
      </c>
      <c r="Q3562">
        <v>9</v>
      </c>
      <c r="R3562" t="s">
        <v>45100</v>
      </c>
      <c r="S3562" t="s">
        <v>45228</v>
      </c>
      <c r="T3562" t="s">
        <v>47176</v>
      </c>
      <c r="U3562" t="s">
        <v>50489</v>
      </c>
      <c r="W3562" t="s">
        <v>42817</v>
      </c>
      <c r="X3562" t="s">
        <v>45101</v>
      </c>
    </row>
    <row r="3563" spans="1:24">
      <c r="A3563">
        <f>HYPERLINK("https://www.philgeps.gov.ph/GEPSNONPILOT/Tender/SplashBidNoticeAbstractUI.aspx?menuIndex=3&amp;refID=7043563&amp;Result=3","7043563")</f>
        <v>0</v>
      </c>
      <c r="B3563" t="s">
        <v>1120</v>
      </c>
      <c r="C3563" t="s">
        <v>6602</v>
      </c>
      <c r="E3563" t="s">
        <v>21344</v>
      </c>
      <c r="F3563" t="s">
        <v>31574</v>
      </c>
      <c r="G3563" t="s">
        <v>31581</v>
      </c>
      <c r="H3563" t="s">
        <v>31590</v>
      </c>
      <c r="I3563" t="s">
        <v>31594</v>
      </c>
      <c r="J3563" t="s">
        <v>31964</v>
      </c>
      <c r="K3563" t="s">
        <v>41192</v>
      </c>
      <c r="M3563" t="s">
        <v>42817</v>
      </c>
      <c r="N3563" t="s">
        <v>45095</v>
      </c>
      <c r="O3563" t="s">
        <v>45096</v>
      </c>
      <c r="P3563">
        <v>0</v>
      </c>
      <c r="Q3563">
        <v>9</v>
      </c>
      <c r="R3563" t="s">
        <v>45100</v>
      </c>
      <c r="S3563" t="s">
        <v>45228</v>
      </c>
      <c r="T3563" t="s">
        <v>47176</v>
      </c>
      <c r="U3563" t="s">
        <v>50490</v>
      </c>
      <c r="W3563" t="s">
        <v>42817</v>
      </c>
      <c r="X3563" t="s">
        <v>45101</v>
      </c>
    </row>
    <row r="3564" spans="1:24">
      <c r="A3564">
        <f>HYPERLINK("https://www.philgeps.gov.ph/GEPSNONPILOT/Tender/SplashBidNoticeAbstractUI.aspx?menuIndex=3&amp;refID=7043566&amp;Result=3","7043566")</f>
        <v>0</v>
      </c>
      <c r="B3564" t="s">
        <v>593</v>
      </c>
      <c r="C3564" t="s">
        <v>6603</v>
      </c>
      <c r="D3564" t="s">
        <v>18022</v>
      </c>
      <c r="E3564" t="s">
        <v>21345</v>
      </c>
      <c r="F3564" t="s">
        <v>31574</v>
      </c>
      <c r="G3564" t="s">
        <v>31582</v>
      </c>
      <c r="H3564" t="s">
        <v>31590</v>
      </c>
      <c r="I3564" t="s">
        <v>3487</v>
      </c>
      <c r="J3564" t="s">
        <v>34151</v>
      </c>
      <c r="K3564" t="s">
        <v>41193</v>
      </c>
      <c r="M3564" t="s">
        <v>42095</v>
      </c>
      <c r="N3564" t="s">
        <v>45095</v>
      </c>
      <c r="O3564" t="s">
        <v>45096</v>
      </c>
      <c r="P3564">
        <v>0</v>
      </c>
      <c r="Q3564">
        <v>0</v>
      </c>
      <c r="R3564" t="s">
        <v>45100</v>
      </c>
      <c r="S3564" t="s">
        <v>45228</v>
      </c>
      <c r="T3564" t="s">
        <v>47012</v>
      </c>
      <c r="U3564" t="s">
        <v>50491</v>
      </c>
      <c r="W3564" t="s">
        <v>42095</v>
      </c>
      <c r="X3564" t="s">
        <v>45101</v>
      </c>
    </row>
    <row r="3565" spans="1:24">
      <c r="A3565">
        <f>HYPERLINK("https://www.philgeps.gov.ph/GEPSNONPILOT/Tender/SplashBidNoticeAbstractUI.aspx?menuIndex=3&amp;refID=7043561&amp;Result=3","7043561")</f>
        <v>0</v>
      </c>
      <c r="B3565" t="s">
        <v>831</v>
      </c>
      <c r="C3565" t="s">
        <v>6604</v>
      </c>
      <c r="D3565" t="s">
        <v>18072</v>
      </c>
      <c r="E3565" t="s">
        <v>21346</v>
      </c>
      <c r="F3565" t="s">
        <v>31574</v>
      </c>
      <c r="G3565" t="s">
        <v>31583</v>
      </c>
      <c r="H3565" t="s">
        <v>31590</v>
      </c>
      <c r="I3565" t="s">
        <v>31626</v>
      </c>
      <c r="J3565" t="s">
        <v>34152</v>
      </c>
      <c r="K3565" t="s">
        <v>41184</v>
      </c>
      <c r="M3565" t="s">
        <v>42350</v>
      </c>
      <c r="N3565" t="s">
        <v>45095</v>
      </c>
      <c r="O3565" t="s">
        <v>45096</v>
      </c>
      <c r="P3565">
        <v>0</v>
      </c>
      <c r="Q3565">
        <v>4</v>
      </c>
      <c r="R3565" t="s">
        <v>45100</v>
      </c>
      <c r="S3565" t="s">
        <v>45228</v>
      </c>
      <c r="T3565" t="s">
        <v>47154</v>
      </c>
      <c r="U3565" t="s">
        <v>50492</v>
      </c>
      <c r="W3565" t="s">
        <v>42350</v>
      </c>
      <c r="X3565" t="s">
        <v>45101</v>
      </c>
    </row>
    <row r="3566" spans="1:24">
      <c r="A3566">
        <f>HYPERLINK("https://www.philgeps.gov.ph/GEPSNONPILOT/Tender/SplashBidNoticeAbstractUI.aspx?menuIndex=3&amp;refID=7043540&amp;Result=3","7043540")</f>
        <v>0</v>
      </c>
      <c r="B3566" t="s">
        <v>1120</v>
      </c>
      <c r="C3566" t="s">
        <v>6605</v>
      </c>
      <c r="E3566" t="s">
        <v>21347</v>
      </c>
      <c r="F3566" t="s">
        <v>31574</v>
      </c>
      <c r="G3566" t="s">
        <v>31581</v>
      </c>
      <c r="H3566" t="s">
        <v>31590</v>
      </c>
      <c r="I3566" t="s">
        <v>31594</v>
      </c>
      <c r="J3566" t="s">
        <v>34153</v>
      </c>
      <c r="K3566" t="s">
        <v>41184</v>
      </c>
      <c r="M3566" t="s">
        <v>42817</v>
      </c>
      <c r="N3566" t="s">
        <v>45095</v>
      </c>
      <c r="O3566" t="s">
        <v>45096</v>
      </c>
      <c r="P3566">
        <v>0</v>
      </c>
      <c r="Q3566">
        <v>17</v>
      </c>
      <c r="R3566" t="s">
        <v>45100</v>
      </c>
      <c r="S3566" t="s">
        <v>45228</v>
      </c>
      <c r="T3566" t="s">
        <v>47176</v>
      </c>
      <c r="U3566" t="s">
        <v>50493</v>
      </c>
      <c r="W3566" t="s">
        <v>42817</v>
      </c>
      <c r="X3566" t="s">
        <v>45101</v>
      </c>
    </row>
    <row r="3567" spans="1:24">
      <c r="A3567">
        <f>HYPERLINK("https://www.philgeps.gov.ph/GEPSNONPILOT/Tender/SplashBidNoticeAbstractUI.aspx?menuIndex=3&amp;refID=7043564&amp;Result=3","7043564")</f>
        <v>0</v>
      </c>
      <c r="B3567" t="s">
        <v>921</v>
      </c>
      <c r="C3567" t="s">
        <v>6606</v>
      </c>
      <c r="D3567" t="s">
        <v>18030</v>
      </c>
      <c r="E3567" t="s">
        <v>21348</v>
      </c>
      <c r="F3567" t="s">
        <v>31574</v>
      </c>
      <c r="G3567" t="s">
        <v>31581</v>
      </c>
      <c r="H3567" t="s">
        <v>31590</v>
      </c>
      <c r="I3567" t="s">
        <v>31625</v>
      </c>
      <c r="J3567" t="s">
        <v>33030</v>
      </c>
      <c r="K3567" t="s">
        <v>41184</v>
      </c>
      <c r="M3567" t="s">
        <v>42447</v>
      </c>
      <c r="N3567" t="s">
        <v>45095</v>
      </c>
      <c r="O3567" t="s">
        <v>45096</v>
      </c>
      <c r="P3567">
        <v>0</v>
      </c>
      <c r="Q3567">
        <v>0</v>
      </c>
      <c r="R3567" t="s">
        <v>45100</v>
      </c>
      <c r="S3567" t="s">
        <v>45228</v>
      </c>
      <c r="T3567" t="s">
        <v>47154</v>
      </c>
      <c r="U3567" t="s">
        <v>50494</v>
      </c>
      <c r="V3567" t="s">
        <v>60080</v>
      </c>
      <c r="W3567" t="s">
        <v>42447</v>
      </c>
      <c r="X3567" t="s">
        <v>45101</v>
      </c>
    </row>
    <row r="3568" spans="1:24">
      <c r="A3568">
        <f>HYPERLINK("https://www.philgeps.gov.ph/GEPSNONPILOT/Tender/SplashBidNoticeAbstractUI.aspx?menuIndex=3&amp;refID=7043520&amp;Result=3","7043520")</f>
        <v>0</v>
      </c>
      <c r="B3568" t="s">
        <v>1227</v>
      </c>
      <c r="C3568" t="s">
        <v>6607</v>
      </c>
      <c r="D3568" t="s">
        <v>18056</v>
      </c>
      <c r="E3568" t="s">
        <v>21349</v>
      </c>
      <c r="F3568" t="s">
        <v>31574</v>
      </c>
      <c r="G3568" t="s">
        <v>31581</v>
      </c>
      <c r="H3568" t="s">
        <v>31590</v>
      </c>
      <c r="I3568" t="s">
        <v>4046</v>
      </c>
      <c r="J3568" t="s">
        <v>34154</v>
      </c>
      <c r="K3568" t="s">
        <v>41190</v>
      </c>
      <c r="M3568" t="s">
        <v>42789</v>
      </c>
      <c r="N3568" t="s">
        <v>45095</v>
      </c>
      <c r="O3568" t="s">
        <v>45096</v>
      </c>
      <c r="P3568">
        <v>0</v>
      </c>
      <c r="Q3568">
        <v>0</v>
      </c>
      <c r="R3568" t="s">
        <v>45100</v>
      </c>
      <c r="S3568" t="s">
        <v>45228</v>
      </c>
      <c r="T3568" t="s">
        <v>46931</v>
      </c>
      <c r="U3568" t="s">
        <v>50495</v>
      </c>
      <c r="V3568" t="s">
        <v>60203</v>
      </c>
      <c r="W3568" t="s">
        <v>42789</v>
      </c>
      <c r="X3568" t="s">
        <v>45101</v>
      </c>
    </row>
    <row r="3569" spans="1:24">
      <c r="A3569">
        <f>HYPERLINK("https://www.philgeps.gov.ph/GEPSNONPILOT/Tender/SplashBidNoticeAbstractUI.aspx?menuIndex=3&amp;refID=7043569&amp;Result=3","7043569")</f>
        <v>0</v>
      </c>
      <c r="B3569" t="s">
        <v>912</v>
      </c>
      <c r="C3569" t="s">
        <v>6608</v>
      </c>
      <c r="E3569" t="s">
        <v>21340</v>
      </c>
      <c r="F3569" t="s">
        <v>31574</v>
      </c>
      <c r="G3569" t="s">
        <v>31581</v>
      </c>
      <c r="H3569" t="s">
        <v>31592</v>
      </c>
      <c r="I3569" t="s">
        <v>31638</v>
      </c>
      <c r="J3569" t="s">
        <v>32049</v>
      </c>
      <c r="K3569" t="s">
        <v>41193</v>
      </c>
      <c r="M3569" t="s">
        <v>42436</v>
      </c>
      <c r="N3569" t="s">
        <v>45095</v>
      </c>
      <c r="O3569" t="s">
        <v>45096</v>
      </c>
      <c r="P3569">
        <v>0</v>
      </c>
      <c r="Q3569">
        <v>3</v>
      </c>
      <c r="R3569" t="s">
        <v>45100</v>
      </c>
      <c r="S3569" t="s">
        <v>45228</v>
      </c>
      <c r="T3569" t="s">
        <v>47154</v>
      </c>
      <c r="U3569" t="s">
        <v>50496</v>
      </c>
      <c r="W3569" t="s">
        <v>42436</v>
      </c>
      <c r="X3569" t="s">
        <v>45101</v>
      </c>
    </row>
    <row r="3570" spans="1:24">
      <c r="A3570">
        <f>HYPERLINK("https://www.philgeps.gov.ph/GEPSNONPILOT/Tender/SplashBidNoticeAbstractUI.aspx?menuIndex=3&amp;refID=7043581&amp;Result=3","7043581")</f>
        <v>0</v>
      </c>
      <c r="B3570" t="s">
        <v>1252</v>
      </c>
      <c r="C3570" t="s">
        <v>6609</v>
      </c>
      <c r="D3570" t="s">
        <v>18084</v>
      </c>
      <c r="E3570" t="s">
        <v>21350</v>
      </c>
      <c r="F3570" t="s">
        <v>31574</v>
      </c>
      <c r="G3570" t="s">
        <v>31581</v>
      </c>
      <c r="H3570" t="s">
        <v>31590</v>
      </c>
      <c r="I3570" t="s">
        <v>31595</v>
      </c>
      <c r="J3570" t="s">
        <v>31780</v>
      </c>
      <c r="K3570" t="s">
        <v>41190</v>
      </c>
      <c r="M3570" t="s">
        <v>42819</v>
      </c>
      <c r="N3570" t="s">
        <v>45095</v>
      </c>
      <c r="O3570" t="s">
        <v>45096</v>
      </c>
      <c r="P3570">
        <v>0</v>
      </c>
      <c r="Q3570">
        <v>4</v>
      </c>
      <c r="R3570" t="s">
        <v>45100</v>
      </c>
      <c r="S3570" t="s">
        <v>45228</v>
      </c>
      <c r="T3570" t="s">
        <v>47167</v>
      </c>
      <c r="U3570" t="s">
        <v>50497</v>
      </c>
      <c r="W3570" t="s">
        <v>42819</v>
      </c>
      <c r="X3570" t="s">
        <v>45101</v>
      </c>
    </row>
    <row r="3571" spans="1:24">
      <c r="A3571">
        <f>HYPERLINK("https://www.philgeps.gov.ph/GEPSNONPILOT/Tender/SplashBidNoticeAbstractUI.aspx?menuIndex=3&amp;refID=7043568&amp;Result=3","7043568")</f>
        <v>0</v>
      </c>
      <c r="B3571" t="s">
        <v>831</v>
      </c>
      <c r="C3571" t="s">
        <v>6610</v>
      </c>
      <c r="E3571" t="s">
        <v>21351</v>
      </c>
      <c r="F3571" t="s">
        <v>31574</v>
      </c>
      <c r="G3571" t="s">
        <v>31583</v>
      </c>
      <c r="H3571" t="s">
        <v>31590</v>
      </c>
      <c r="I3571" t="s">
        <v>3487</v>
      </c>
      <c r="J3571" t="s">
        <v>34155</v>
      </c>
      <c r="K3571" t="s">
        <v>41184</v>
      </c>
      <c r="M3571" t="s">
        <v>42350</v>
      </c>
      <c r="N3571" t="s">
        <v>45095</v>
      </c>
      <c r="O3571" t="s">
        <v>45096</v>
      </c>
      <c r="P3571">
        <v>0</v>
      </c>
      <c r="Q3571">
        <v>1</v>
      </c>
      <c r="R3571" t="s">
        <v>45100</v>
      </c>
      <c r="S3571" t="s">
        <v>45228</v>
      </c>
      <c r="T3571" t="s">
        <v>47154</v>
      </c>
      <c r="U3571" t="s">
        <v>50498</v>
      </c>
      <c r="W3571" t="s">
        <v>42350</v>
      </c>
      <c r="X3571" t="s">
        <v>45101</v>
      </c>
    </row>
    <row r="3572" spans="1:24">
      <c r="A3572">
        <f>HYPERLINK("https://www.philgeps.gov.ph/GEPSNONPILOT/Tender/SplashBidNoticeAbstractUI.aspx?menuIndex=3&amp;refID=7043560&amp;Result=3","7043560")</f>
        <v>0</v>
      </c>
      <c r="B3572" t="s">
        <v>921</v>
      </c>
      <c r="C3572" t="s">
        <v>6611</v>
      </c>
      <c r="D3572" t="s">
        <v>18030</v>
      </c>
      <c r="E3572" t="s">
        <v>21352</v>
      </c>
      <c r="F3572" t="s">
        <v>31574</v>
      </c>
      <c r="G3572" t="s">
        <v>31581</v>
      </c>
      <c r="H3572" t="s">
        <v>31591</v>
      </c>
      <c r="I3572" t="s">
        <v>31632</v>
      </c>
      <c r="J3572" t="s">
        <v>31741</v>
      </c>
      <c r="K3572" t="s">
        <v>41184</v>
      </c>
      <c r="M3572" t="s">
        <v>42447</v>
      </c>
      <c r="N3572" t="s">
        <v>45095</v>
      </c>
      <c r="O3572" t="s">
        <v>45096</v>
      </c>
      <c r="P3572">
        <v>0</v>
      </c>
      <c r="Q3572">
        <v>1</v>
      </c>
      <c r="R3572" t="s">
        <v>45100</v>
      </c>
      <c r="S3572" t="s">
        <v>45228</v>
      </c>
      <c r="T3572" t="s">
        <v>47154</v>
      </c>
      <c r="U3572" t="s">
        <v>50499</v>
      </c>
      <c r="V3572" t="s">
        <v>60080</v>
      </c>
      <c r="W3572" t="s">
        <v>42447</v>
      </c>
      <c r="X3572" t="s">
        <v>45101</v>
      </c>
    </row>
    <row r="3573" spans="1:24">
      <c r="A3573">
        <f>HYPERLINK("https://www.philgeps.gov.ph/GEPSNONPILOT/Tender/SplashBidNoticeAbstractUI.aspx?menuIndex=3&amp;refID=7043579&amp;Result=3","7043579")</f>
        <v>0</v>
      </c>
      <c r="B3573" t="s">
        <v>1120</v>
      </c>
      <c r="C3573" t="s">
        <v>6612</v>
      </c>
      <c r="E3573" t="s">
        <v>21353</v>
      </c>
      <c r="F3573" t="s">
        <v>31574</v>
      </c>
      <c r="G3573" t="s">
        <v>31581</v>
      </c>
      <c r="H3573" t="s">
        <v>31590</v>
      </c>
      <c r="I3573" t="s">
        <v>31594</v>
      </c>
      <c r="J3573" t="s">
        <v>34156</v>
      </c>
      <c r="K3573" t="s">
        <v>41192</v>
      </c>
      <c r="M3573" t="s">
        <v>42817</v>
      </c>
      <c r="N3573" t="s">
        <v>45095</v>
      </c>
      <c r="O3573" t="s">
        <v>45096</v>
      </c>
      <c r="P3573">
        <v>0</v>
      </c>
      <c r="Q3573">
        <v>15</v>
      </c>
      <c r="R3573" t="s">
        <v>45100</v>
      </c>
      <c r="S3573" t="s">
        <v>45228</v>
      </c>
      <c r="T3573" t="s">
        <v>47176</v>
      </c>
      <c r="U3573" t="s">
        <v>50500</v>
      </c>
      <c r="W3573" t="s">
        <v>42817</v>
      </c>
      <c r="X3573" t="s">
        <v>45101</v>
      </c>
    </row>
    <row r="3574" spans="1:24">
      <c r="A3574">
        <f>HYPERLINK("https://www.philgeps.gov.ph/GEPSNONPILOT/Tender/SplashBidNoticeAbstractUI.aspx?menuIndex=3&amp;refID=7043577&amp;Result=3","7043577")</f>
        <v>0</v>
      </c>
      <c r="B3574" t="s">
        <v>1253</v>
      </c>
      <c r="C3574" t="s">
        <v>6613</v>
      </c>
      <c r="D3574" t="s">
        <v>18084</v>
      </c>
      <c r="E3574" t="s">
        <v>21354</v>
      </c>
      <c r="F3574" t="s">
        <v>31574</v>
      </c>
      <c r="G3574" t="s">
        <v>31589</v>
      </c>
      <c r="H3574" t="s">
        <v>31590</v>
      </c>
      <c r="I3574" t="s">
        <v>31616</v>
      </c>
      <c r="J3574" t="s">
        <v>31843</v>
      </c>
      <c r="K3574" t="s">
        <v>41190</v>
      </c>
      <c r="M3574" t="s">
        <v>42820</v>
      </c>
      <c r="N3574" t="s">
        <v>45095</v>
      </c>
      <c r="O3574" t="s">
        <v>45096</v>
      </c>
      <c r="P3574">
        <v>0</v>
      </c>
      <c r="Q3574">
        <v>2</v>
      </c>
      <c r="R3574" t="s">
        <v>45100</v>
      </c>
      <c r="S3574" t="s">
        <v>45228</v>
      </c>
      <c r="T3574" t="s">
        <v>46952</v>
      </c>
      <c r="U3574" t="s">
        <v>50501</v>
      </c>
      <c r="W3574" t="s">
        <v>42820</v>
      </c>
      <c r="X3574" t="s">
        <v>45101</v>
      </c>
    </row>
    <row r="3575" spans="1:24">
      <c r="A3575">
        <f>HYPERLINK("https://www.philgeps.gov.ph/GEPSNONPILOT/Tender/SplashBidNoticeAbstractUI.aspx?menuIndex=3&amp;refID=7043559&amp;Result=3","7043559")</f>
        <v>0</v>
      </c>
      <c r="B3575" t="s">
        <v>1248</v>
      </c>
      <c r="C3575" t="s">
        <v>6614</v>
      </c>
      <c r="D3575" t="s">
        <v>18043</v>
      </c>
      <c r="E3575" t="s">
        <v>21355</v>
      </c>
      <c r="F3575" t="s">
        <v>31574</v>
      </c>
      <c r="G3575" t="s">
        <v>31581</v>
      </c>
      <c r="H3575" t="s">
        <v>31590</v>
      </c>
      <c r="I3575" t="s">
        <v>5717</v>
      </c>
      <c r="J3575" t="s">
        <v>32017</v>
      </c>
      <c r="K3575" t="s">
        <v>41186</v>
      </c>
      <c r="M3575" t="s">
        <v>42814</v>
      </c>
      <c r="N3575" t="s">
        <v>45095</v>
      </c>
      <c r="O3575" t="s">
        <v>45096</v>
      </c>
      <c r="P3575">
        <v>0</v>
      </c>
      <c r="Q3575">
        <v>7</v>
      </c>
      <c r="R3575" t="s">
        <v>45100</v>
      </c>
      <c r="S3575" t="s">
        <v>45228</v>
      </c>
      <c r="T3575" t="s">
        <v>47159</v>
      </c>
      <c r="U3575" t="s">
        <v>50466</v>
      </c>
      <c r="W3575" t="s">
        <v>42814</v>
      </c>
      <c r="X3575" t="s">
        <v>45101</v>
      </c>
    </row>
    <row r="3576" spans="1:24">
      <c r="A3576">
        <f>HYPERLINK("https://www.philgeps.gov.ph/GEPSNONPILOT/Tender/SplashBidNoticeAbstractUI.aspx?menuIndex=3&amp;refID=7043558&amp;Result=3","7043558")</f>
        <v>0</v>
      </c>
      <c r="B3576" t="s">
        <v>921</v>
      </c>
      <c r="C3576" t="s">
        <v>6615</v>
      </c>
      <c r="D3576" t="s">
        <v>18027</v>
      </c>
      <c r="E3576" t="s">
        <v>21356</v>
      </c>
      <c r="F3576" t="s">
        <v>31574</v>
      </c>
      <c r="G3576" t="s">
        <v>31581</v>
      </c>
      <c r="H3576" t="s">
        <v>31590</v>
      </c>
      <c r="I3576" t="s">
        <v>31625</v>
      </c>
      <c r="J3576" t="s">
        <v>31780</v>
      </c>
      <c r="K3576" t="s">
        <v>41184</v>
      </c>
      <c r="M3576" t="s">
        <v>42447</v>
      </c>
      <c r="N3576" t="s">
        <v>45095</v>
      </c>
      <c r="O3576" t="s">
        <v>45096</v>
      </c>
      <c r="P3576">
        <v>0</v>
      </c>
      <c r="Q3576">
        <v>0</v>
      </c>
      <c r="R3576" t="s">
        <v>45100</v>
      </c>
      <c r="S3576" t="s">
        <v>45228</v>
      </c>
      <c r="T3576" t="s">
        <v>47154</v>
      </c>
      <c r="U3576" t="s">
        <v>50502</v>
      </c>
      <c r="V3576" t="s">
        <v>60080</v>
      </c>
      <c r="W3576" t="s">
        <v>42447</v>
      </c>
      <c r="X3576" t="s">
        <v>45101</v>
      </c>
    </row>
    <row r="3577" spans="1:24">
      <c r="A3577">
        <f>HYPERLINK("https://www.philgeps.gov.ph/GEPSNONPILOT/Tender/SplashBidNoticeAbstractUI.aspx?menuIndex=3&amp;refID=7043573&amp;Result=3","7043573")</f>
        <v>0</v>
      </c>
      <c r="B3577" t="s">
        <v>831</v>
      </c>
      <c r="C3577" t="s">
        <v>6616</v>
      </c>
      <c r="E3577" t="s">
        <v>21357</v>
      </c>
      <c r="F3577" t="s">
        <v>31574</v>
      </c>
      <c r="G3577" t="s">
        <v>31581</v>
      </c>
      <c r="H3577" t="s">
        <v>31590</v>
      </c>
      <c r="I3577" t="s">
        <v>31611</v>
      </c>
      <c r="J3577" t="s">
        <v>34014</v>
      </c>
      <c r="K3577" t="s">
        <v>41184</v>
      </c>
      <c r="M3577" t="s">
        <v>42350</v>
      </c>
      <c r="N3577" t="s">
        <v>45095</v>
      </c>
      <c r="O3577" t="s">
        <v>45096</v>
      </c>
      <c r="P3577">
        <v>0</v>
      </c>
      <c r="Q3577">
        <v>1</v>
      </c>
      <c r="R3577" t="s">
        <v>45100</v>
      </c>
      <c r="S3577" t="s">
        <v>45228</v>
      </c>
      <c r="T3577" t="s">
        <v>47154</v>
      </c>
      <c r="U3577" t="s">
        <v>50503</v>
      </c>
      <c r="W3577" t="s">
        <v>42350</v>
      </c>
      <c r="X3577" t="s">
        <v>45101</v>
      </c>
    </row>
    <row r="3578" spans="1:24">
      <c r="A3578">
        <f>HYPERLINK("https://www.philgeps.gov.ph/GEPSNONPILOT/Tender/SplashBidNoticeAbstractUI.aspx?menuIndex=3&amp;refID=7043570&amp;Result=3","7043570")</f>
        <v>0</v>
      </c>
      <c r="B3578" t="s">
        <v>1254</v>
      </c>
      <c r="C3578" t="s">
        <v>6617</v>
      </c>
      <c r="D3578" t="s">
        <v>18065</v>
      </c>
      <c r="E3578" t="s">
        <v>6617</v>
      </c>
      <c r="F3578" t="s">
        <v>31574</v>
      </c>
      <c r="G3578" t="s">
        <v>31581</v>
      </c>
      <c r="H3578" t="s">
        <v>31590</v>
      </c>
      <c r="I3578" t="s">
        <v>3487</v>
      </c>
      <c r="J3578" t="s">
        <v>34157</v>
      </c>
      <c r="K3578" t="s">
        <v>41196</v>
      </c>
      <c r="M3578" t="s">
        <v>42821</v>
      </c>
      <c r="N3578" t="s">
        <v>45095</v>
      </c>
      <c r="O3578" t="s">
        <v>45096</v>
      </c>
      <c r="P3578">
        <v>0</v>
      </c>
      <c r="Q3578">
        <v>0</v>
      </c>
      <c r="R3578" t="s">
        <v>45100</v>
      </c>
      <c r="S3578" t="s">
        <v>45228</v>
      </c>
      <c r="T3578" t="s">
        <v>47154</v>
      </c>
      <c r="U3578" t="s">
        <v>50504</v>
      </c>
      <c r="W3578" t="s">
        <v>42821</v>
      </c>
      <c r="X3578" t="s">
        <v>45101</v>
      </c>
    </row>
    <row r="3579" spans="1:24">
      <c r="A3579">
        <f>HYPERLINK("https://www.philgeps.gov.ph/GEPSNONPILOT/Tender/SplashBidNoticeAbstractUI.aspx?menuIndex=3&amp;refID=7043556&amp;Result=3","7043556")</f>
        <v>0</v>
      </c>
      <c r="B3579" t="s">
        <v>1248</v>
      </c>
      <c r="C3579" t="s">
        <v>6618</v>
      </c>
      <c r="D3579" t="s">
        <v>18043</v>
      </c>
      <c r="E3579" t="s">
        <v>21358</v>
      </c>
      <c r="F3579" t="s">
        <v>31574</v>
      </c>
      <c r="G3579" t="s">
        <v>31581</v>
      </c>
      <c r="H3579" t="s">
        <v>31590</v>
      </c>
      <c r="I3579" t="s">
        <v>31602</v>
      </c>
      <c r="J3579" t="s">
        <v>34158</v>
      </c>
      <c r="K3579" t="s">
        <v>41186</v>
      </c>
      <c r="M3579" t="s">
        <v>42814</v>
      </c>
      <c r="N3579" t="s">
        <v>45095</v>
      </c>
      <c r="O3579" t="s">
        <v>45096</v>
      </c>
      <c r="P3579">
        <v>0</v>
      </c>
      <c r="Q3579">
        <v>0</v>
      </c>
      <c r="R3579" t="s">
        <v>45100</v>
      </c>
      <c r="S3579" t="s">
        <v>45228</v>
      </c>
      <c r="T3579" t="s">
        <v>47159</v>
      </c>
      <c r="U3579" t="s">
        <v>50466</v>
      </c>
      <c r="W3579" t="s">
        <v>42814</v>
      </c>
      <c r="X3579" t="s">
        <v>45101</v>
      </c>
    </row>
    <row r="3580" spans="1:24">
      <c r="A3580">
        <f>HYPERLINK("https://www.philgeps.gov.ph/GEPSNONPILOT/Tender/SplashBidNoticeAbstractUI.aspx?menuIndex=3&amp;refID=7043582&amp;Result=3","7043582")</f>
        <v>0</v>
      </c>
      <c r="B3580" t="s">
        <v>1255</v>
      </c>
      <c r="C3580" t="s">
        <v>6619</v>
      </c>
      <c r="D3580" t="s">
        <v>18022</v>
      </c>
      <c r="E3580" t="s">
        <v>21359</v>
      </c>
      <c r="F3580" t="s">
        <v>31574</v>
      </c>
      <c r="G3580" t="s">
        <v>31581</v>
      </c>
      <c r="H3580" t="s">
        <v>31590</v>
      </c>
      <c r="I3580" t="s">
        <v>31608</v>
      </c>
      <c r="J3580" t="s">
        <v>32839</v>
      </c>
      <c r="K3580" t="s">
        <v>41206</v>
      </c>
      <c r="M3580" t="s">
        <v>42822</v>
      </c>
      <c r="N3580" t="s">
        <v>45095</v>
      </c>
      <c r="O3580" t="s">
        <v>45096</v>
      </c>
      <c r="P3580">
        <v>0</v>
      </c>
      <c r="Q3580">
        <v>4</v>
      </c>
      <c r="R3580" t="s">
        <v>45100</v>
      </c>
      <c r="S3580" t="s">
        <v>45228</v>
      </c>
      <c r="T3580" t="s">
        <v>46973</v>
      </c>
      <c r="U3580" t="s">
        <v>50505</v>
      </c>
      <c r="W3580" t="s">
        <v>42822</v>
      </c>
      <c r="X3580" t="s">
        <v>45101</v>
      </c>
    </row>
    <row r="3581" spans="1:24">
      <c r="A3581">
        <f>HYPERLINK("https://www.philgeps.gov.ph/GEPSNONPILOT/Tender/SplashBidNoticeAbstractUI.aspx?menuIndex=3&amp;refID=7043555&amp;Result=3","7043555")</f>
        <v>0</v>
      </c>
      <c r="B3581" t="s">
        <v>1189</v>
      </c>
      <c r="C3581" t="s">
        <v>6620</v>
      </c>
      <c r="D3581" t="s">
        <v>18094</v>
      </c>
      <c r="E3581" t="s">
        <v>21360</v>
      </c>
      <c r="F3581" t="s">
        <v>31574</v>
      </c>
      <c r="G3581" t="s">
        <v>31581</v>
      </c>
      <c r="H3581" t="s">
        <v>31590</v>
      </c>
      <c r="I3581" t="s">
        <v>4046</v>
      </c>
      <c r="J3581" t="s">
        <v>34159</v>
      </c>
      <c r="K3581" t="s">
        <v>41193</v>
      </c>
      <c r="M3581" t="s">
        <v>42748</v>
      </c>
      <c r="N3581" t="s">
        <v>45095</v>
      </c>
      <c r="O3581" t="s">
        <v>45096</v>
      </c>
      <c r="P3581">
        <v>0</v>
      </c>
      <c r="Q3581">
        <v>0</v>
      </c>
      <c r="R3581" t="s">
        <v>45100</v>
      </c>
      <c r="S3581" t="s">
        <v>45228</v>
      </c>
      <c r="T3581" t="s">
        <v>47171</v>
      </c>
      <c r="U3581" t="s">
        <v>50506</v>
      </c>
      <c r="W3581" t="s">
        <v>42748</v>
      </c>
      <c r="X3581" t="s">
        <v>45101</v>
      </c>
    </row>
    <row r="3582" spans="1:24">
      <c r="A3582">
        <f>HYPERLINK("https://www.philgeps.gov.ph/GEPSNONPILOT/Tender/SplashBidNoticeAbstractUI.aspx?menuIndex=3&amp;refID=7043587&amp;Result=3","7043587")</f>
        <v>0</v>
      </c>
      <c r="B3582" t="s">
        <v>912</v>
      </c>
      <c r="C3582" t="s">
        <v>6621</v>
      </c>
      <c r="E3582" t="s">
        <v>21361</v>
      </c>
      <c r="F3582" t="s">
        <v>31574</v>
      </c>
      <c r="G3582" t="s">
        <v>31581</v>
      </c>
      <c r="H3582" t="s">
        <v>31592</v>
      </c>
      <c r="I3582" t="s">
        <v>31608</v>
      </c>
      <c r="J3582" t="s">
        <v>34160</v>
      </c>
      <c r="K3582" t="s">
        <v>41210</v>
      </c>
      <c r="M3582" t="s">
        <v>42436</v>
      </c>
      <c r="N3582" t="s">
        <v>45095</v>
      </c>
      <c r="O3582" t="s">
        <v>45096</v>
      </c>
      <c r="P3582">
        <v>0</v>
      </c>
      <c r="Q3582">
        <v>8</v>
      </c>
      <c r="R3582" t="s">
        <v>45100</v>
      </c>
      <c r="S3582" t="s">
        <v>45228</v>
      </c>
      <c r="T3582" t="s">
        <v>47154</v>
      </c>
      <c r="U3582" t="s">
        <v>50507</v>
      </c>
      <c r="W3582" t="s">
        <v>42436</v>
      </c>
      <c r="X3582" t="s">
        <v>45101</v>
      </c>
    </row>
    <row r="3583" spans="1:24">
      <c r="A3583">
        <f>HYPERLINK("https://www.philgeps.gov.ph/GEPSNONPILOT/Tender/SplashBidNoticeAbstractUI.aspx?menuIndex=3&amp;refID=7043557&amp;Result=3","7043557")</f>
        <v>0</v>
      </c>
      <c r="B3583" t="s">
        <v>1256</v>
      </c>
      <c r="C3583" t="s">
        <v>6622</v>
      </c>
      <c r="E3583" t="s">
        <v>21362</v>
      </c>
      <c r="F3583" t="s">
        <v>31574</v>
      </c>
      <c r="G3583" t="s">
        <v>31581</v>
      </c>
      <c r="H3583" t="s">
        <v>31590</v>
      </c>
      <c r="I3583" t="s">
        <v>31595</v>
      </c>
      <c r="J3583" t="s">
        <v>31782</v>
      </c>
      <c r="K3583" t="s">
        <v>41184</v>
      </c>
      <c r="M3583" t="s">
        <v>42823</v>
      </c>
      <c r="N3583" t="s">
        <v>45095</v>
      </c>
      <c r="O3583" t="s">
        <v>45096</v>
      </c>
      <c r="P3583">
        <v>0</v>
      </c>
      <c r="Q3583">
        <v>5</v>
      </c>
      <c r="R3583" t="s">
        <v>45100</v>
      </c>
      <c r="S3583" t="s">
        <v>45228</v>
      </c>
      <c r="T3583" t="s">
        <v>47176</v>
      </c>
      <c r="U3583" t="s">
        <v>50508</v>
      </c>
      <c r="W3583" t="s">
        <v>42823</v>
      </c>
      <c r="X3583" t="s">
        <v>45101</v>
      </c>
    </row>
    <row r="3584" spans="1:24">
      <c r="A3584">
        <f>HYPERLINK("https://www.philgeps.gov.ph/GEPSNONPILOT/Tender/SplashBidNoticeAbstractUI.aspx?menuIndex=3&amp;refID=7043601&amp;Result=3","7043601")</f>
        <v>0</v>
      </c>
      <c r="B3584" t="s">
        <v>1257</v>
      </c>
      <c r="C3584" t="s">
        <v>6623</v>
      </c>
      <c r="D3584" t="s">
        <v>18041</v>
      </c>
      <c r="E3584" t="s">
        <v>18795</v>
      </c>
      <c r="F3584" t="s">
        <v>31574</v>
      </c>
      <c r="G3584" t="s">
        <v>31581</v>
      </c>
      <c r="H3584" t="s">
        <v>31590</v>
      </c>
      <c r="I3584" t="s">
        <v>4046</v>
      </c>
      <c r="J3584" t="s">
        <v>34161</v>
      </c>
      <c r="K3584" t="s">
        <v>41193</v>
      </c>
      <c r="M3584" t="s">
        <v>42824</v>
      </c>
      <c r="N3584" t="s">
        <v>45095</v>
      </c>
      <c r="O3584" t="s">
        <v>45096</v>
      </c>
      <c r="P3584">
        <v>0</v>
      </c>
      <c r="Q3584">
        <v>0</v>
      </c>
      <c r="R3584" t="s">
        <v>45100</v>
      </c>
      <c r="S3584" t="s">
        <v>45228</v>
      </c>
      <c r="T3584" t="s">
        <v>47058</v>
      </c>
      <c r="U3584" t="s">
        <v>50509</v>
      </c>
      <c r="W3584" t="s">
        <v>42824</v>
      </c>
      <c r="X3584" t="s">
        <v>45101</v>
      </c>
    </row>
    <row r="3585" spans="1:24">
      <c r="A3585">
        <f>HYPERLINK("https://www.philgeps.gov.ph/GEPSNONPILOT/Tender/SplashBidNoticeAbstractUI.aspx?menuIndex=3&amp;refID=7043590&amp;Result=3","7043590")</f>
        <v>0</v>
      </c>
      <c r="B3585" t="s">
        <v>1258</v>
      </c>
      <c r="C3585" t="s">
        <v>6624</v>
      </c>
      <c r="D3585" t="s">
        <v>18022</v>
      </c>
      <c r="E3585" t="s">
        <v>21363</v>
      </c>
      <c r="F3585" t="s">
        <v>31574</v>
      </c>
      <c r="G3585" t="s">
        <v>31582</v>
      </c>
      <c r="H3585" t="s">
        <v>31590</v>
      </c>
      <c r="I3585" t="s">
        <v>3487</v>
      </c>
      <c r="J3585" t="s">
        <v>34162</v>
      </c>
      <c r="K3585" t="s">
        <v>41190</v>
      </c>
      <c r="M3585" t="s">
        <v>42825</v>
      </c>
      <c r="N3585" t="s">
        <v>45095</v>
      </c>
      <c r="O3585" t="s">
        <v>45096</v>
      </c>
      <c r="P3585">
        <v>0</v>
      </c>
      <c r="Q3585">
        <v>0</v>
      </c>
      <c r="R3585" t="s">
        <v>45100</v>
      </c>
      <c r="S3585" t="s">
        <v>45228</v>
      </c>
      <c r="T3585" t="s">
        <v>46955</v>
      </c>
      <c r="U3585" t="s">
        <v>50510</v>
      </c>
      <c r="W3585" t="s">
        <v>42825</v>
      </c>
      <c r="X3585" t="s">
        <v>45101</v>
      </c>
    </row>
    <row r="3586" spans="1:24">
      <c r="A3586">
        <f>HYPERLINK("https://www.philgeps.gov.ph/GEPSNONPILOT/Tender/SplashBidNoticeAbstractUI.aspx?menuIndex=3&amp;refID=7043597&amp;Result=3","7043597")</f>
        <v>0</v>
      </c>
      <c r="B3586" t="s">
        <v>747</v>
      </c>
      <c r="C3586" t="s">
        <v>6625</v>
      </c>
      <c r="D3586" t="s">
        <v>18040</v>
      </c>
      <c r="E3586" t="s">
        <v>19193</v>
      </c>
      <c r="F3586" t="s">
        <v>31574</v>
      </c>
      <c r="G3586" t="s">
        <v>31582</v>
      </c>
      <c r="H3586" t="s">
        <v>31591</v>
      </c>
      <c r="I3586" t="s">
        <v>8822</v>
      </c>
      <c r="J3586" t="s">
        <v>34163</v>
      </c>
      <c r="K3586" t="s">
        <v>41189</v>
      </c>
      <c r="M3586" t="s">
        <v>42261</v>
      </c>
      <c r="N3586" t="s">
        <v>45095</v>
      </c>
      <c r="O3586" t="s">
        <v>45096</v>
      </c>
      <c r="P3586">
        <v>0</v>
      </c>
      <c r="Q3586">
        <v>1</v>
      </c>
      <c r="R3586" t="s">
        <v>45100</v>
      </c>
      <c r="S3586" t="s">
        <v>45228</v>
      </c>
      <c r="T3586" t="s">
        <v>47008</v>
      </c>
      <c r="U3586" t="s">
        <v>50511</v>
      </c>
      <c r="W3586" t="s">
        <v>42261</v>
      </c>
      <c r="X3586" t="s">
        <v>45101</v>
      </c>
    </row>
    <row r="3587" spans="1:24">
      <c r="A3587">
        <f>HYPERLINK("https://www.philgeps.gov.ph/GEPSNONPILOT/Tender/SplashBidNoticeAbstractUI.aspx?menuIndex=3&amp;refID=7043595&amp;Result=3","7043595")</f>
        <v>0</v>
      </c>
      <c r="B3587" t="s">
        <v>537</v>
      </c>
      <c r="C3587" t="s">
        <v>6626</v>
      </c>
      <c r="D3587" t="s">
        <v>18022</v>
      </c>
      <c r="E3587" t="s">
        <v>21364</v>
      </c>
      <c r="F3587" t="s">
        <v>31574</v>
      </c>
      <c r="G3587" t="s">
        <v>31581</v>
      </c>
      <c r="H3587" t="s">
        <v>31590</v>
      </c>
      <c r="I3587" t="s">
        <v>3487</v>
      </c>
      <c r="J3587" t="s">
        <v>34164</v>
      </c>
      <c r="K3587" t="s">
        <v>41211</v>
      </c>
      <c r="M3587" t="s">
        <v>42393</v>
      </c>
      <c r="N3587" t="s">
        <v>45095</v>
      </c>
      <c r="O3587" t="s">
        <v>45096</v>
      </c>
      <c r="P3587">
        <v>0</v>
      </c>
      <c r="Q3587">
        <v>2</v>
      </c>
      <c r="R3587" t="s">
        <v>45100</v>
      </c>
      <c r="S3587" t="s">
        <v>45228</v>
      </c>
      <c r="T3587" t="s">
        <v>47177</v>
      </c>
      <c r="U3587" t="s">
        <v>50512</v>
      </c>
      <c r="W3587" t="s">
        <v>42393</v>
      </c>
      <c r="X3587" t="s">
        <v>45101</v>
      </c>
    </row>
    <row r="3588" spans="1:24">
      <c r="A3588">
        <f>HYPERLINK("https://www.philgeps.gov.ph/GEPSNONPILOT/Tender/SplashBidNoticeAbstractUI.aspx?menuIndex=3&amp;refID=7043589&amp;Result=3","7043589")</f>
        <v>0</v>
      </c>
      <c r="B3588" t="s">
        <v>537</v>
      </c>
      <c r="C3588" t="s">
        <v>6627</v>
      </c>
      <c r="D3588" t="s">
        <v>18022</v>
      </c>
      <c r="E3588" t="s">
        <v>21365</v>
      </c>
      <c r="F3588" t="s">
        <v>31574</v>
      </c>
      <c r="G3588" t="s">
        <v>31581</v>
      </c>
      <c r="H3588" t="s">
        <v>31590</v>
      </c>
      <c r="I3588" t="s">
        <v>31684</v>
      </c>
      <c r="J3588" t="s">
        <v>34165</v>
      </c>
      <c r="K3588" t="s">
        <v>41211</v>
      </c>
      <c r="M3588" t="s">
        <v>42393</v>
      </c>
      <c r="N3588" t="s">
        <v>45095</v>
      </c>
      <c r="O3588" t="s">
        <v>45096</v>
      </c>
      <c r="P3588">
        <v>0</v>
      </c>
      <c r="Q3588">
        <v>3</v>
      </c>
      <c r="R3588" t="s">
        <v>45100</v>
      </c>
      <c r="S3588" t="s">
        <v>45228</v>
      </c>
      <c r="T3588" t="s">
        <v>47177</v>
      </c>
      <c r="U3588" t="s">
        <v>50513</v>
      </c>
      <c r="W3588" t="s">
        <v>42393</v>
      </c>
      <c r="X3588" t="s">
        <v>45101</v>
      </c>
    </row>
    <row r="3589" spans="1:24">
      <c r="A3589">
        <f>HYPERLINK("https://www.philgeps.gov.ph/GEPSNONPILOT/Tender/SplashBidNoticeAbstractUI.aspx?menuIndex=3&amp;refID=7043593&amp;Result=3","7043593")</f>
        <v>0</v>
      </c>
      <c r="B3589" t="s">
        <v>1035</v>
      </c>
      <c r="C3589" t="s">
        <v>6628</v>
      </c>
      <c r="D3589" t="s">
        <v>18033</v>
      </c>
      <c r="E3589" t="s">
        <v>21366</v>
      </c>
      <c r="F3589" t="s">
        <v>31574</v>
      </c>
      <c r="G3589" t="s">
        <v>31582</v>
      </c>
      <c r="H3589" t="s">
        <v>31590</v>
      </c>
      <c r="I3589" t="s">
        <v>8822</v>
      </c>
      <c r="J3589" t="s">
        <v>34166</v>
      </c>
      <c r="K3589" t="s">
        <v>41184</v>
      </c>
      <c r="M3589" t="s">
        <v>42578</v>
      </c>
      <c r="N3589" t="s">
        <v>45095</v>
      </c>
      <c r="O3589" t="s">
        <v>45096</v>
      </c>
      <c r="P3589">
        <v>0</v>
      </c>
      <c r="Q3589">
        <v>0</v>
      </c>
      <c r="R3589" t="s">
        <v>45100</v>
      </c>
      <c r="S3589" t="s">
        <v>45228</v>
      </c>
      <c r="T3589" t="s">
        <v>46979</v>
      </c>
      <c r="U3589" t="s">
        <v>50514</v>
      </c>
      <c r="W3589" t="s">
        <v>42578</v>
      </c>
      <c r="X3589" t="s">
        <v>45101</v>
      </c>
    </row>
    <row r="3590" spans="1:24">
      <c r="A3590">
        <f>HYPERLINK("https://www.philgeps.gov.ph/GEPSNONPILOT/Tender/SplashBidNoticeAbstractUI.aspx?menuIndex=3&amp;refID=7043598&amp;Result=3","7043598")</f>
        <v>0</v>
      </c>
      <c r="B3590" t="s">
        <v>747</v>
      </c>
      <c r="C3590" t="s">
        <v>6629</v>
      </c>
      <c r="D3590" t="s">
        <v>18040</v>
      </c>
      <c r="E3590" t="s">
        <v>19185</v>
      </c>
      <c r="F3590" t="s">
        <v>31574</v>
      </c>
      <c r="G3590" t="s">
        <v>31582</v>
      </c>
      <c r="H3590" t="s">
        <v>31591</v>
      </c>
      <c r="I3590" t="s">
        <v>8822</v>
      </c>
      <c r="J3590" t="s">
        <v>34167</v>
      </c>
      <c r="K3590" t="s">
        <v>41192</v>
      </c>
      <c r="M3590" t="s">
        <v>42261</v>
      </c>
      <c r="N3590" t="s">
        <v>45095</v>
      </c>
      <c r="O3590" t="s">
        <v>45096</v>
      </c>
      <c r="P3590">
        <v>0</v>
      </c>
      <c r="Q3590">
        <v>1</v>
      </c>
      <c r="R3590" t="s">
        <v>45100</v>
      </c>
      <c r="S3590" t="s">
        <v>45228</v>
      </c>
      <c r="T3590" t="s">
        <v>47008</v>
      </c>
      <c r="U3590" t="s">
        <v>50515</v>
      </c>
      <c r="W3590" t="s">
        <v>42261</v>
      </c>
      <c r="X3590" t="s">
        <v>45101</v>
      </c>
    </row>
    <row r="3591" spans="1:24">
      <c r="A3591">
        <f>HYPERLINK("https://www.philgeps.gov.ph/GEPSNONPILOT/Tender/SplashBidNoticeAbstractUI.aspx?menuIndex=3&amp;refID=7043586&amp;Result=3","7043586")</f>
        <v>0</v>
      </c>
      <c r="B3591" t="s">
        <v>1259</v>
      </c>
      <c r="C3591" t="s">
        <v>6624</v>
      </c>
      <c r="D3591" t="s">
        <v>18022</v>
      </c>
      <c r="E3591" t="s">
        <v>21367</v>
      </c>
      <c r="F3591" t="s">
        <v>31574</v>
      </c>
      <c r="G3591" t="s">
        <v>31582</v>
      </c>
      <c r="H3591" t="s">
        <v>31590</v>
      </c>
      <c r="I3591" t="s">
        <v>3487</v>
      </c>
      <c r="J3591" t="s">
        <v>34168</v>
      </c>
      <c r="K3591" t="s">
        <v>41190</v>
      </c>
      <c r="M3591" t="s">
        <v>42826</v>
      </c>
      <c r="N3591" t="s">
        <v>45095</v>
      </c>
      <c r="O3591" t="s">
        <v>45096</v>
      </c>
      <c r="P3591">
        <v>0</v>
      </c>
      <c r="Q3591">
        <v>2</v>
      </c>
      <c r="R3591" t="s">
        <v>45100</v>
      </c>
      <c r="S3591" t="s">
        <v>45228</v>
      </c>
      <c r="T3591" t="s">
        <v>46955</v>
      </c>
      <c r="U3591" t="s">
        <v>50516</v>
      </c>
      <c r="W3591" t="s">
        <v>42826</v>
      </c>
      <c r="X3591" t="s">
        <v>45101</v>
      </c>
    </row>
    <row r="3592" spans="1:24">
      <c r="A3592">
        <f>HYPERLINK("https://www.philgeps.gov.ph/GEPSNONPILOT/Tender/SplashBidNoticeAbstractUI.aspx?menuIndex=3&amp;refID=7043611&amp;Result=3","7043611")</f>
        <v>0</v>
      </c>
      <c r="B3592" t="s">
        <v>1120</v>
      </c>
      <c r="C3592" t="s">
        <v>6630</v>
      </c>
      <c r="E3592" t="s">
        <v>21368</v>
      </c>
      <c r="F3592" t="s">
        <v>31574</v>
      </c>
      <c r="G3592" t="s">
        <v>31581</v>
      </c>
      <c r="H3592" t="s">
        <v>31590</v>
      </c>
      <c r="I3592" t="s">
        <v>31594</v>
      </c>
      <c r="J3592" t="s">
        <v>34169</v>
      </c>
      <c r="K3592" t="s">
        <v>41189</v>
      </c>
      <c r="M3592" t="s">
        <v>42817</v>
      </c>
      <c r="N3592" t="s">
        <v>45095</v>
      </c>
      <c r="O3592" t="s">
        <v>45096</v>
      </c>
      <c r="P3592">
        <v>0</v>
      </c>
      <c r="Q3592">
        <v>10</v>
      </c>
      <c r="R3592" t="s">
        <v>45100</v>
      </c>
      <c r="S3592" t="s">
        <v>45228</v>
      </c>
      <c r="T3592" t="s">
        <v>47176</v>
      </c>
      <c r="U3592" t="s">
        <v>50517</v>
      </c>
      <c r="W3592" t="s">
        <v>42817</v>
      </c>
      <c r="X3592" t="s">
        <v>45101</v>
      </c>
    </row>
    <row r="3593" spans="1:24">
      <c r="A3593">
        <f>HYPERLINK("https://www.philgeps.gov.ph/GEPSNONPILOT/Tender/SplashBidNoticeAbstractUI.aspx?menuIndex=3&amp;refID=7043592&amp;Result=3","7043592")</f>
        <v>0</v>
      </c>
      <c r="B3593" t="s">
        <v>1260</v>
      </c>
      <c r="C3593" t="s">
        <v>6631</v>
      </c>
      <c r="D3593" t="s">
        <v>18031</v>
      </c>
      <c r="E3593" t="s">
        <v>18227</v>
      </c>
      <c r="F3593" t="s">
        <v>31579</v>
      </c>
      <c r="G3593" t="s">
        <v>31583</v>
      </c>
      <c r="H3593" t="s">
        <v>31590</v>
      </c>
      <c r="I3593" t="s">
        <v>31612</v>
      </c>
      <c r="J3593" t="s">
        <v>31782</v>
      </c>
      <c r="K3593" t="s">
        <v>41197</v>
      </c>
      <c r="M3593" t="s">
        <v>42827</v>
      </c>
      <c r="N3593" t="s">
        <v>45095</v>
      </c>
      <c r="O3593" t="s">
        <v>45096</v>
      </c>
      <c r="P3593">
        <v>0</v>
      </c>
      <c r="Q3593">
        <v>2</v>
      </c>
      <c r="R3593" t="s">
        <v>45100</v>
      </c>
      <c r="S3593" t="s">
        <v>45228</v>
      </c>
      <c r="T3593" t="s">
        <v>47167</v>
      </c>
      <c r="U3593" t="s">
        <v>50518</v>
      </c>
      <c r="V3593" t="s">
        <v>60204</v>
      </c>
      <c r="W3593" t="s">
        <v>42827</v>
      </c>
      <c r="X3593" t="s">
        <v>45101</v>
      </c>
    </row>
    <row r="3594" spans="1:24">
      <c r="A3594">
        <f>HYPERLINK("https://www.philgeps.gov.ph/GEPSNONPILOT/Tender/SplashBidNoticeAbstractUI.aspx?menuIndex=3&amp;refID=7043600&amp;Result=3","7043600")</f>
        <v>0</v>
      </c>
      <c r="B3594" t="s">
        <v>747</v>
      </c>
      <c r="C3594" t="s">
        <v>6632</v>
      </c>
      <c r="D3594" t="s">
        <v>18040</v>
      </c>
      <c r="E3594" t="s">
        <v>19535</v>
      </c>
      <c r="F3594" t="s">
        <v>31574</v>
      </c>
      <c r="G3594" t="s">
        <v>31582</v>
      </c>
      <c r="H3594" t="s">
        <v>31591</v>
      </c>
      <c r="I3594" t="s">
        <v>8822</v>
      </c>
      <c r="J3594" t="s">
        <v>34170</v>
      </c>
      <c r="K3594" t="s">
        <v>41189</v>
      </c>
      <c r="M3594" t="s">
        <v>42261</v>
      </c>
      <c r="N3594" t="s">
        <v>45095</v>
      </c>
      <c r="O3594" t="s">
        <v>45096</v>
      </c>
      <c r="P3594">
        <v>0</v>
      </c>
      <c r="Q3594">
        <v>0</v>
      </c>
      <c r="R3594" t="s">
        <v>45100</v>
      </c>
      <c r="S3594" t="s">
        <v>45228</v>
      </c>
      <c r="T3594" t="s">
        <v>47008</v>
      </c>
      <c r="U3594" t="s">
        <v>50519</v>
      </c>
      <c r="W3594" t="s">
        <v>42261</v>
      </c>
      <c r="X3594" t="s">
        <v>45101</v>
      </c>
    </row>
    <row r="3595" spans="1:24">
      <c r="A3595">
        <f>HYPERLINK("https://www.philgeps.gov.ph/GEPSNONPILOT/Tender/SplashBidNoticeAbstractUI.aspx?menuIndex=3&amp;refID=7043610&amp;Result=3","7043610")</f>
        <v>0</v>
      </c>
      <c r="B3595" t="s">
        <v>1251</v>
      </c>
      <c r="C3595" t="s">
        <v>6633</v>
      </c>
      <c r="D3595" t="s">
        <v>18075</v>
      </c>
      <c r="E3595" t="s">
        <v>21369</v>
      </c>
      <c r="F3595" t="s">
        <v>31574</v>
      </c>
      <c r="G3595" t="s">
        <v>31584</v>
      </c>
      <c r="H3595" t="s">
        <v>31590</v>
      </c>
      <c r="I3595" t="s">
        <v>31629</v>
      </c>
      <c r="J3595" t="s">
        <v>34171</v>
      </c>
      <c r="K3595" t="s">
        <v>41184</v>
      </c>
      <c r="M3595" t="s">
        <v>42818</v>
      </c>
      <c r="N3595" t="s">
        <v>45095</v>
      </c>
      <c r="O3595" t="s">
        <v>45096</v>
      </c>
      <c r="P3595">
        <v>0</v>
      </c>
      <c r="Q3595">
        <v>0</v>
      </c>
      <c r="R3595" t="s">
        <v>45100</v>
      </c>
      <c r="S3595" t="s">
        <v>45228</v>
      </c>
      <c r="T3595" t="s">
        <v>47178</v>
      </c>
      <c r="U3595" t="s">
        <v>50520</v>
      </c>
      <c r="W3595" t="s">
        <v>42818</v>
      </c>
      <c r="X3595" t="s">
        <v>45101</v>
      </c>
    </row>
    <row r="3596" spans="1:24">
      <c r="A3596">
        <f>HYPERLINK("https://www.philgeps.gov.ph/GEPSNONPILOT/Tender/SplashBidNoticeAbstractUI.aspx?menuIndex=3&amp;refID=7043588&amp;Result=3","7043588")</f>
        <v>0</v>
      </c>
      <c r="B3596" t="s">
        <v>553</v>
      </c>
      <c r="C3596" t="s">
        <v>6634</v>
      </c>
      <c r="D3596" t="s">
        <v>18022</v>
      </c>
      <c r="E3596" t="s">
        <v>21370</v>
      </c>
      <c r="F3596" t="s">
        <v>31574</v>
      </c>
      <c r="G3596" t="s">
        <v>31581</v>
      </c>
      <c r="H3596" t="s">
        <v>31590</v>
      </c>
      <c r="I3596" t="s">
        <v>31595</v>
      </c>
      <c r="J3596" t="s">
        <v>34172</v>
      </c>
      <c r="K3596" t="s">
        <v>41184</v>
      </c>
      <c r="M3596" t="s">
        <v>42828</v>
      </c>
      <c r="N3596" t="s">
        <v>45095</v>
      </c>
      <c r="O3596" t="s">
        <v>45096</v>
      </c>
      <c r="P3596">
        <v>0</v>
      </c>
      <c r="Q3596">
        <v>2</v>
      </c>
      <c r="R3596" t="s">
        <v>45100</v>
      </c>
      <c r="S3596" t="s">
        <v>45228</v>
      </c>
      <c r="T3596" t="s">
        <v>47124</v>
      </c>
      <c r="U3596" t="s">
        <v>50521</v>
      </c>
      <c r="V3596" t="s">
        <v>60205</v>
      </c>
      <c r="W3596" t="s">
        <v>42828</v>
      </c>
      <c r="X3596" t="s">
        <v>45101</v>
      </c>
    </row>
    <row r="3597" spans="1:24">
      <c r="A3597">
        <f>HYPERLINK("https://www.philgeps.gov.ph/GEPSNONPILOT/Tender/SplashBidNoticeAbstractUI.aspx?menuIndex=3&amp;refID=7043594&amp;Result=3","7043594")</f>
        <v>0</v>
      </c>
      <c r="B3597" t="s">
        <v>1120</v>
      </c>
      <c r="C3597" t="s">
        <v>6635</v>
      </c>
      <c r="E3597" t="s">
        <v>21371</v>
      </c>
      <c r="F3597" t="s">
        <v>31574</v>
      </c>
      <c r="G3597" t="s">
        <v>31581</v>
      </c>
      <c r="H3597" t="s">
        <v>31590</v>
      </c>
      <c r="I3597" t="s">
        <v>4046</v>
      </c>
      <c r="J3597" t="s">
        <v>34173</v>
      </c>
      <c r="K3597" t="s">
        <v>41196</v>
      </c>
      <c r="M3597" t="s">
        <v>42817</v>
      </c>
      <c r="N3597" t="s">
        <v>45095</v>
      </c>
      <c r="O3597" t="s">
        <v>45096</v>
      </c>
      <c r="P3597">
        <v>0</v>
      </c>
      <c r="Q3597">
        <v>4</v>
      </c>
      <c r="R3597" t="s">
        <v>45100</v>
      </c>
      <c r="S3597" t="s">
        <v>45228</v>
      </c>
      <c r="T3597" t="s">
        <v>47176</v>
      </c>
      <c r="U3597" t="s">
        <v>50522</v>
      </c>
      <c r="W3597" t="s">
        <v>42817</v>
      </c>
      <c r="X3597" t="s">
        <v>45101</v>
      </c>
    </row>
    <row r="3598" spans="1:24">
      <c r="A3598">
        <f>HYPERLINK("https://www.philgeps.gov.ph/GEPSNONPILOT/Tender/SplashBidNoticeAbstractUI.aspx?menuIndex=3&amp;refID=7043591&amp;Result=3","7043591")</f>
        <v>0</v>
      </c>
      <c r="B3598" t="s">
        <v>1206</v>
      </c>
      <c r="C3598" t="s">
        <v>6636</v>
      </c>
      <c r="D3598" t="s">
        <v>18051</v>
      </c>
      <c r="E3598" t="s">
        <v>21372</v>
      </c>
      <c r="F3598" t="s">
        <v>31574</v>
      </c>
      <c r="G3598" t="s">
        <v>31582</v>
      </c>
      <c r="H3598" t="s">
        <v>31591</v>
      </c>
      <c r="I3598" t="s">
        <v>8822</v>
      </c>
      <c r="J3598" t="s">
        <v>34174</v>
      </c>
      <c r="K3598" t="s">
        <v>41185</v>
      </c>
      <c r="M3598" t="s">
        <v>42766</v>
      </c>
      <c r="N3598" t="s">
        <v>45095</v>
      </c>
      <c r="O3598" t="s">
        <v>45096</v>
      </c>
      <c r="P3598">
        <v>0</v>
      </c>
      <c r="Q3598">
        <v>0</v>
      </c>
      <c r="R3598" t="s">
        <v>45100</v>
      </c>
      <c r="S3598" t="s">
        <v>45228</v>
      </c>
      <c r="T3598" t="s">
        <v>46989</v>
      </c>
      <c r="U3598" t="s">
        <v>50523</v>
      </c>
      <c r="V3598" t="s">
        <v>60206</v>
      </c>
      <c r="W3598" t="s">
        <v>42766</v>
      </c>
      <c r="X3598" t="s">
        <v>45101</v>
      </c>
    </row>
    <row r="3599" spans="1:24">
      <c r="A3599">
        <f>HYPERLINK("https://www.philgeps.gov.ph/GEPSNONPILOT/Tender/SplashBidNoticeAbstractUI.aspx?menuIndex=3&amp;refID=7043606&amp;Result=3","7043606")</f>
        <v>0</v>
      </c>
      <c r="B3599" t="s">
        <v>747</v>
      </c>
      <c r="C3599" t="s">
        <v>6637</v>
      </c>
      <c r="D3599" t="s">
        <v>18040</v>
      </c>
      <c r="E3599" t="s">
        <v>21373</v>
      </c>
      <c r="F3599" t="s">
        <v>31574</v>
      </c>
      <c r="G3599" t="s">
        <v>31582</v>
      </c>
      <c r="H3599" t="s">
        <v>31591</v>
      </c>
      <c r="I3599" t="s">
        <v>8822</v>
      </c>
      <c r="J3599" t="s">
        <v>34175</v>
      </c>
      <c r="K3599" t="s">
        <v>41189</v>
      </c>
      <c r="M3599" t="s">
        <v>42261</v>
      </c>
      <c r="N3599" t="s">
        <v>45095</v>
      </c>
      <c r="O3599" t="s">
        <v>45096</v>
      </c>
      <c r="P3599">
        <v>0</v>
      </c>
      <c r="Q3599">
        <v>1</v>
      </c>
      <c r="R3599" t="s">
        <v>45100</v>
      </c>
      <c r="S3599" t="s">
        <v>45228</v>
      </c>
      <c r="T3599" t="s">
        <v>47179</v>
      </c>
      <c r="U3599" t="s">
        <v>50524</v>
      </c>
      <c r="W3599" t="s">
        <v>42261</v>
      </c>
      <c r="X3599" t="s">
        <v>45101</v>
      </c>
    </row>
    <row r="3600" spans="1:24">
      <c r="A3600">
        <f>HYPERLINK("https://www.philgeps.gov.ph/GEPSNONPILOT/Tender/SplashBidNoticeAbstractUI.aspx?menuIndex=3&amp;refID=7043603&amp;Result=3","7043603")</f>
        <v>0</v>
      </c>
      <c r="B3600" t="s">
        <v>1120</v>
      </c>
      <c r="C3600" t="s">
        <v>6638</v>
      </c>
      <c r="E3600" t="s">
        <v>21374</v>
      </c>
      <c r="F3600" t="s">
        <v>31574</v>
      </c>
      <c r="G3600" t="s">
        <v>31581</v>
      </c>
      <c r="H3600" t="s">
        <v>31590</v>
      </c>
      <c r="I3600" t="s">
        <v>31608</v>
      </c>
      <c r="J3600" t="s">
        <v>31727</v>
      </c>
      <c r="K3600" t="s">
        <v>41184</v>
      </c>
      <c r="M3600" t="s">
        <v>42817</v>
      </c>
      <c r="N3600" t="s">
        <v>45095</v>
      </c>
      <c r="O3600" t="s">
        <v>45096</v>
      </c>
      <c r="P3600">
        <v>0</v>
      </c>
      <c r="Q3600">
        <v>10</v>
      </c>
      <c r="R3600" t="s">
        <v>45100</v>
      </c>
      <c r="S3600" t="s">
        <v>45228</v>
      </c>
      <c r="T3600" t="s">
        <v>47176</v>
      </c>
      <c r="U3600" t="s">
        <v>50525</v>
      </c>
      <c r="W3600" t="s">
        <v>42817</v>
      </c>
      <c r="X3600" t="s">
        <v>45101</v>
      </c>
    </row>
    <row r="3601" spans="1:24">
      <c r="A3601">
        <f>HYPERLINK("https://www.philgeps.gov.ph/GEPSNONPILOT/Tender/SplashBidNoticeAbstractUI.aspx?menuIndex=3&amp;refID=7043613&amp;Result=3","7043613")</f>
        <v>0</v>
      </c>
      <c r="B3601" t="s">
        <v>1261</v>
      </c>
      <c r="C3601" t="s">
        <v>6639</v>
      </c>
      <c r="D3601" t="s">
        <v>18022</v>
      </c>
      <c r="E3601" t="s">
        <v>21375</v>
      </c>
      <c r="F3601" t="s">
        <v>31574</v>
      </c>
      <c r="G3601" t="s">
        <v>31581</v>
      </c>
      <c r="H3601" t="s">
        <v>31590</v>
      </c>
      <c r="I3601" t="s">
        <v>31653</v>
      </c>
      <c r="J3601" t="s">
        <v>34176</v>
      </c>
      <c r="K3601" t="s">
        <v>41190</v>
      </c>
      <c r="M3601" t="s">
        <v>42829</v>
      </c>
      <c r="N3601" t="s">
        <v>45095</v>
      </c>
      <c r="O3601" t="s">
        <v>45096</v>
      </c>
      <c r="P3601">
        <v>0</v>
      </c>
      <c r="Q3601">
        <v>0</v>
      </c>
      <c r="R3601" t="s">
        <v>45100</v>
      </c>
      <c r="S3601" t="s">
        <v>45228</v>
      </c>
      <c r="T3601" t="s">
        <v>46961</v>
      </c>
      <c r="U3601" t="s">
        <v>50526</v>
      </c>
      <c r="V3601" t="s">
        <v>59853</v>
      </c>
      <c r="W3601" t="s">
        <v>42829</v>
      </c>
      <c r="X3601" t="s">
        <v>45101</v>
      </c>
    </row>
    <row r="3602" spans="1:24">
      <c r="A3602">
        <f>HYPERLINK("https://www.philgeps.gov.ph/GEPSNONPILOT/Tender/SplashBidNoticeAbstractUI.aspx?menuIndex=3&amp;refID=7043607&amp;Result=3","7043607")</f>
        <v>0</v>
      </c>
      <c r="B3602" t="s">
        <v>735</v>
      </c>
      <c r="C3602" t="s">
        <v>6640</v>
      </c>
      <c r="D3602" t="s">
        <v>18096</v>
      </c>
      <c r="E3602" t="s">
        <v>21376</v>
      </c>
      <c r="F3602" t="s">
        <v>31574</v>
      </c>
      <c r="G3602" t="s">
        <v>31582</v>
      </c>
      <c r="H3602" t="s">
        <v>31590</v>
      </c>
      <c r="I3602" t="s">
        <v>31655</v>
      </c>
      <c r="J3602" t="s">
        <v>31781</v>
      </c>
      <c r="K3602" t="s">
        <v>41186</v>
      </c>
      <c r="M3602" t="s">
        <v>42246</v>
      </c>
      <c r="N3602" t="s">
        <v>45095</v>
      </c>
      <c r="O3602" t="s">
        <v>45096</v>
      </c>
      <c r="P3602">
        <v>0</v>
      </c>
      <c r="Q3602">
        <v>12</v>
      </c>
      <c r="R3602" t="s">
        <v>45100</v>
      </c>
      <c r="S3602" t="s">
        <v>45228</v>
      </c>
      <c r="T3602" t="s">
        <v>46962</v>
      </c>
      <c r="U3602" t="s">
        <v>50527</v>
      </c>
      <c r="W3602" t="s">
        <v>42246</v>
      </c>
      <c r="X3602" t="s">
        <v>45101</v>
      </c>
    </row>
    <row r="3603" spans="1:24">
      <c r="A3603">
        <f>HYPERLINK("https://www.philgeps.gov.ph/GEPSNONPILOT/Tender/SplashBidNoticeAbstractUI.aspx?menuIndex=3&amp;refID=7043621&amp;Result=3","7043621")</f>
        <v>0</v>
      </c>
      <c r="B3603" t="s">
        <v>1262</v>
      </c>
      <c r="C3603" t="s">
        <v>6641</v>
      </c>
      <c r="D3603" t="s">
        <v>18065</v>
      </c>
      <c r="E3603" t="s">
        <v>21377</v>
      </c>
      <c r="F3603" t="s">
        <v>31574</v>
      </c>
      <c r="G3603" t="s">
        <v>31582</v>
      </c>
      <c r="H3603" t="s">
        <v>31590</v>
      </c>
      <c r="I3603" t="s">
        <v>31630</v>
      </c>
      <c r="J3603" t="s">
        <v>34177</v>
      </c>
      <c r="K3603" t="s">
        <v>41213</v>
      </c>
      <c r="M3603" t="s">
        <v>42830</v>
      </c>
      <c r="N3603" t="s">
        <v>45095</v>
      </c>
      <c r="O3603" t="s">
        <v>45096</v>
      </c>
      <c r="P3603">
        <v>0</v>
      </c>
      <c r="Q3603">
        <v>0</v>
      </c>
      <c r="R3603" t="s">
        <v>45100</v>
      </c>
      <c r="S3603" t="s">
        <v>45228</v>
      </c>
      <c r="T3603" t="s">
        <v>47180</v>
      </c>
      <c r="U3603" t="s">
        <v>50528</v>
      </c>
      <c r="V3603" t="s">
        <v>59855</v>
      </c>
      <c r="W3603" t="s">
        <v>42830</v>
      </c>
      <c r="X3603" t="s">
        <v>45101</v>
      </c>
    </row>
    <row r="3604" spans="1:24">
      <c r="A3604">
        <f>HYPERLINK("https://www.philgeps.gov.ph/GEPSNONPILOT/Tender/SplashBidNoticeAbstractUI.aspx?menuIndex=3&amp;refID=7043626&amp;Result=3","7043626")</f>
        <v>0</v>
      </c>
      <c r="B3604" t="s">
        <v>1262</v>
      </c>
      <c r="C3604" t="s">
        <v>6642</v>
      </c>
      <c r="D3604" t="s">
        <v>18065</v>
      </c>
      <c r="E3604" t="s">
        <v>21378</v>
      </c>
      <c r="F3604" t="s">
        <v>31574</v>
      </c>
      <c r="G3604" t="s">
        <v>31582</v>
      </c>
      <c r="H3604" t="s">
        <v>31590</v>
      </c>
      <c r="I3604" t="s">
        <v>31630</v>
      </c>
      <c r="J3604" t="s">
        <v>34178</v>
      </c>
      <c r="K3604" t="s">
        <v>41193</v>
      </c>
      <c r="M3604" t="s">
        <v>42830</v>
      </c>
      <c r="N3604" t="s">
        <v>45095</v>
      </c>
      <c r="O3604" t="s">
        <v>45096</v>
      </c>
      <c r="P3604">
        <v>0</v>
      </c>
      <c r="Q3604">
        <v>0</v>
      </c>
      <c r="R3604" t="s">
        <v>45100</v>
      </c>
      <c r="S3604" t="s">
        <v>45228</v>
      </c>
      <c r="T3604" t="s">
        <v>47180</v>
      </c>
      <c r="U3604" t="s">
        <v>50529</v>
      </c>
      <c r="V3604" t="s">
        <v>59855</v>
      </c>
      <c r="W3604" t="s">
        <v>42830</v>
      </c>
      <c r="X3604" t="s">
        <v>45101</v>
      </c>
    </row>
    <row r="3605" spans="1:24">
      <c r="A3605">
        <f>HYPERLINK("https://www.philgeps.gov.ph/GEPSNONPILOT/Tender/SplashBidNoticeAbstractUI.aspx?menuIndex=3&amp;refID=7043620&amp;Result=3","7043620")</f>
        <v>0</v>
      </c>
      <c r="B3605" t="s">
        <v>1120</v>
      </c>
      <c r="C3605" t="s">
        <v>6643</v>
      </c>
      <c r="E3605" t="s">
        <v>21379</v>
      </c>
      <c r="F3605" t="s">
        <v>31574</v>
      </c>
      <c r="G3605" t="s">
        <v>31581</v>
      </c>
      <c r="H3605" t="s">
        <v>31590</v>
      </c>
      <c r="I3605" t="s">
        <v>31606</v>
      </c>
      <c r="J3605" t="s">
        <v>34179</v>
      </c>
      <c r="K3605" t="s">
        <v>41184</v>
      </c>
      <c r="M3605" t="s">
        <v>42817</v>
      </c>
      <c r="N3605" t="s">
        <v>45095</v>
      </c>
      <c r="O3605" t="s">
        <v>45096</v>
      </c>
      <c r="P3605">
        <v>0</v>
      </c>
      <c r="Q3605">
        <v>5</v>
      </c>
      <c r="R3605" t="s">
        <v>45100</v>
      </c>
      <c r="S3605" t="s">
        <v>45228</v>
      </c>
      <c r="T3605" t="s">
        <v>47176</v>
      </c>
      <c r="U3605" t="s">
        <v>50530</v>
      </c>
      <c r="W3605" t="s">
        <v>42817</v>
      </c>
      <c r="X3605" t="s">
        <v>45101</v>
      </c>
    </row>
    <row r="3606" spans="1:24">
      <c r="A3606">
        <f>HYPERLINK("https://www.philgeps.gov.ph/GEPSNONPILOT/Tender/SplashBidNoticeAbstractUI.aspx?menuIndex=3&amp;refID=7043623&amp;Result=3","7043623")</f>
        <v>0</v>
      </c>
      <c r="B3606" t="s">
        <v>1262</v>
      </c>
      <c r="C3606" t="s">
        <v>6644</v>
      </c>
      <c r="D3606" t="s">
        <v>18065</v>
      </c>
      <c r="E3606" t="s">
        <v>21380</v>
      </c>
      <c r="F3606" t="s">
        <v>31574</v>
      </c>
      <c r="G3606" t="s">
        <v>31582</v>
      </c>
      <c r="H3606" t="s">
        <v>31590</v>
      </c>
      <c r="I3606" t="s">
        <v>31656</v>
      </c>
      <c r="J3606" t="s">
        <v>34180</v>
      </c>
      <c r="K3606" t="s">
        <v>41211</v>
      </c>
      <c r="M3606" t="s">
        <v>42830</v>
      </c>
      <c r="N3606" t="s">
        <v>45095</v>
      </c>
      <c r="O3606" t="s">
        <v>45096</v>
      </c>
      <c r="P3606">
        <v>0</v>
      </c>
      <c r="Q3606">
        <v>0</v>
      </c>
      <c r="R3606" t="s">
        <v>45100</v>
      </c>
      <c r="S3606" t="s">
        <v>45228</v>
      </c>
      <c r="T3606" t="s">
        <v>47180</v>
      </c>
      <c r="U3606" t="s">
        <v>50531</v>
      </c>
      <c r="V3606" t="s">
        <v>59855</v>
      </c>
      <c r="W3606" t="s">
        <v>42830</v>
      </c>
      <c r="X3606" t="s">
        <v>45101</v>
      </c>
    </row>
    <row r="3607" spans="1:24">
      <c r="A3607">
        <f>HYPERLINK("https://www.philgeps.gov.ph/GEPSNONPILOT/Tender/SplashBidNoticeAbstractUI.aspx?menuIndex=3&amp;refID=7043619&amp;Result=3","7043619")</f>
        <v>0</v>
      </c>
      <c r="B3607" t="s">
        <v>1257</v>
      </c>
      <c r="C3607" t="s">
        <v>6645</v>
      </c>
      <c r="D3607" t="s">
        <v>18041</v>
      </c>
      <c r="E3607" t="s">
        <v>21381</v>
      </c>
      <c r="F3607" t="s">
        <v>31574</v>
      </c>
      <c r="G3607" t="s">
        <v>31581</v>
      </c>
      <c r="H3607" t="s">
        <v>31590</v>
      </c>
      <c r="I3607" t="s">
        <v>4046</v>
      </c>
      <c r="J3607" t="s">
        <v>34181</v>
      </c>
      <c r="K3607" t="s">
        <v>41193</v>
      </c>
      <c r="M3607" t="s">
        <v>42824</v>
      </c>
      <c r="N3607" t="s">
        <v>45095</v>
      </c>
      <c r="O3607" t="s">
        <v>45096</v>
      </c>
      <c r="P3607">
        <v>0</v>
      </c>
      <c r="Q3607">
        <v>0</v>
      </c>
      <c r="R3607" t="s">
        <v>45100</v>
      </c>
      <c r="S3607" t="s">
        <v>45228</v>
      </c>
      <c r="T3607" t="s">
        <v>47058</v>
      </c>
      <c r="U3607" t="s">
        <v>50532</v>
      </c>
      <c r="W3607" t="s">
        <v>42824</v>
      </c>
      <c r="X3607" t="s">
        <v>45101</v>
      </c>
    </row>
    <row r="3608" spans="1:24">
      <c r="A3608">
        <f>HYPERLINK("https://www.philgeps.gov.ph/GEPSNONPILOT/Tender/SplashBidNoticeAbstractUI.aspx?menuIndex=3&amp;refID=7043622&amp;Result=3","7043622")</f>
        <v>0</v>
      </c>
      <c r="B3608" t="s">
        <v>1263</v>
      </c>
      <c r="C3608" t="s">
        <v>6646</v>
      </c>
      <c r="D3608" t="s">
        <v>18060</v>
      </c>
      <c r="E3608" t="s">
        <v>21382</v>
      </c>
      <c r="F3608" t="s">
        <v>31574</v>
      </c>
      <c r="G3608" t="s">
        <v>31581</v>
      </c>
      <c r="H3608" t="s">
        <v>31591</v>
      </c>
      <c r="I3608" t="s">
        <v>4046</v>
      </c>
      <c r="J3608" t="s">
        <v>34182</v>
      </c>
      <c r="K3608" t="s">
        <v>41196</v>
      </c>
      <c r="M3608" t="s">
        <v>42831</v>
      </c>
      <c r="N3608" t="s">
        <v>45095</v>
      </c>
      <c r="O3608" t="s">
        <v>45096</v>
      </c>
      <c r="P3608">
        <v>0</v>
      </c>
      <c r="Q3608">
        <v>1</v>
      </c>
      <c r="R3608" t="s">
        <v>45100</v>
      </c>
      <c r="S3608" t="s">
        <v>45228</v>
      </c>
      <c r="T3608" t="s">
        <v>46946</v>
      </c>
      <c r="U3608" t="s">
        <v>50533</v>
      </c>
      <c r="W3608" t="s">
        <v>42831</v>
      </c>
      <c r="X3608" t="s">
        <v>45101</v>
      </c>
    </row>
    <row r="3609" spans="1:24">
      <c r="A3609">
        <f>HYPERLINK("https://www.philgeps.gov.ph/GEPSNONPILOT/Tender/SplashBidNoticeAbstractUI.aspx?menuIndex=3&amp;refID=7043631&amp;Result=3","7043631")</f>
        <v>0</v>
      </c>
      <c r="B3609" t="s">
        <v>1264</v>
      </c>
      <c r="C3609" t="s">
        <v>6647</v>
      </c>
      <c r="D3609" t="s">
        <v>18039</v>
      </c>
      <c r="E3609" t="s">
        <v>21383</v>
      </c>
      <c r="F3609" t="s">
        <v>31574</v>
      </c>
      <c r="G3609" t="s">
        <v>31582</v>
      </c>
      <c r="H3609" t="s">
        <v>31591</v>
      </c>
      <c r="I3609" t="s">
        <v>8822</v>
      </c>
      <c r="J3609" t="s">
        <v>31724</v>
      </c>
      <c r="K3609" t="s">
        <v>41189</v>
      </c>
      <c r="M3609" t="s">
        <v>42832</v>
      </c>
      <c r="N3609" t="s">
        <v>45095</v>
      </c>
      <c r="O3609" t="s">
        <v>45096</v>
      </c>
      <c r="P3609">
        <v>0</v>
      </c>
      <c r="Q3609">
        <v>0</v>
      </c>
      <c r="R3609" t="s">
        <v>45100</v>
      </c>
      <c r="S3609" t="s">
        <v>45228</v>
      </c>
      <c r="T3609" t="s">
        <v>47143</v>
      </c>
      <c r="U3609" t="s">
        <v>50534</v>
      </c>
      <c r="W3609" t="s">
        <v>42832</v>
      </c>
      <c r="X3609" t="s">
        <v>45101</v>
      </c>
    </row>
    <row r="3610" spans="1:24">
      <c r="A3610">
        <f>HYPERLINK("https://www.philgeps.gov.ph/GEPSNONPILOT/Tender/SplashBidNoticeAbstractUI.aspx?menuIndex=3&amp;refID=7043614&amp;Result=3","7043614")</f>
        <v>0</v>
      </c>
      <c r="B3610" t="s">
        <v>1261</v>
      </c>
      <c r="C3610" t="s">
        <v>6648</v>
      </c>
      <c r="D3610" t="s">
        <v>18022</v>
      </c>
      <c r="E3610" t="s">
        <v>21384</v>
      </c>
      <c r="F3610" t="s">
        <v>31574</v>
      </c>
      <c r="G3610" t="s">
        <v>31581</v>
      </c>
      <c r="H3610" t="s">
        <v>31590</v>
      </c>
      <c r="I3610" t="s">
        <v>31619</v>
      </c>
      <c r="J3610" t="s">
        <v>34183</v>
      </c>
      <c r="K3610" t="s">
        <v>41190</v>
      </c>
      <c r="M3610" t="s">
        <v>42829</v>
      </c>
      <c r="N3610" t="s">
        <v>45095</v>
      </c>
      <c r="O3610" t="s">
        <v>45096</v>
      </c>
      <c r="P3610">
        <v>0</v>
      </c>
      <c r="Q3610">
        <v>13</v>
      </c>
      <c r="R3610" t="s">
        <v>45100</v>
      </c>
      <c r="S3610" t="s">
        <v>45228</v>
      </c>
      <c r="T3610" t="s">
        <v>46961</v>
      </c>
      <c r="U3610" t="s">
        <v>50535</v>
      </c>
      <c r="V3610" t="s">
        <v>59853</v>
      </c>
      <c r="W3610" t="s">
        <v>42829</v>
      </c>
      <c r="X3610" t="s">
        <v>45101</v>
      </c>
    </row>
    <row r="3611" spans="1:24">
      <c r="A3611">
        <f>HYPERLINK("https://www.philgeps.gov.ph/GEPSNONPILOT/Tender/SplashBidNoticeAbstractUI.aspx?menuIndex=3&amp;refID=7043636&amp;Result=3","7043636")</f>
        <v>0</v>
      </c>
      <c r="B3611" t="s">
        <v>1264</v>
      </c>
      <c r="C3611" t="s">
        <v>6649</v>
      </c>
      <c r="D3611" t="s">
        <v>18039</v>
      </c>
      <c r="E3611" t="s">
        <v>21385</v>
      </c>
      <c r="F3611" t="s">
        <v>31574</v>
      </c>
      <c r="G3611" t="s">
        <v>31582</v>
      </c>
      <c r="H3611" t="s">
        <v>31591</v>
      </c>
      <c r="I3611" t="s">
        <v>8822</v>
      </c>
      <c r="J3611" t="s">
        <v>31724</v>
      </c>
      <c r="K3611" t="s">
        <v>41189</v>
      </c>
      <c r="M3611" t="s">
        <v>42832</v>
      </c>
      <c r="N3611" t="s">
        <v>45095</v>
      </c>
      <c r="O3611" t="s">
        <v>45096</v>
      </c>
      <c r="P3611">
        <v>0</v>
      </c>
      <c r="Q3611">
        <v>0</v>
      </c>
      <c r="R3611" t="s">
        <v>45100</v>
      </c>
      <c r="S3611" t="s">
        <v>45228</v>
      </c>
      <c r="T3611" t="s">
        <v>47143</v>
      </c>
      <c r="U3611" t="s">
        <v>50534</v>
      </c>
      <c r="W3611" t="s">
        <v>42832</v>
      </c>
      <c r="X3611" t="s">
        <v>45101</v>
      </c>
    </row>
    <row r="3612" spans="1:24">
      <c r="A3612">
        <f>HYPERLINK("https://www.philgeps.gov.ph/GEPSNONPILOT/Tender/SplashBidNoticeAbstractUI.aspx?menuIndex=3&amp;refID=7043641&amp;Result=3","7043641")</f>
        <v>0</v>
      </c>
      <c r="B3612" t="s">
        <v>1257</v>
      </c>
      <c r="C3612" t="s">
        <v>6650</v>
      </c>
      <c r="D3612" t="s">
        <v>18041</v>
      </c>
      <c r="E3612" t="s">
        <v>21386</v>
      </c>
      <c r="F3612" t="s">
        <v>31574</v>
      </c>
      <c r="G3612" t="s">
        <v>31581</v>
      </c>
      <c r="H3612" t="s">
        <v>31590</v>
      </c>
      <c r="I3612" t="s">
        <v>4046</v>
      </c>
      <c r="J3612" t="s">
        <v>34184</v>
      </c>
      <c r="K3612" t="s">
        <v>41193</v>
      </c>
      <c r="M3612" t="s">
        <v>42824</v>
      </c>
      <c r="N3612" t="s">
        <v>45095</v>
      </c>
      <c r="O3612" t="s">
        <v>45096</v>
      </c>
      <c r="P3612">
        <v>0</v>
      </c>
      <c r="Q3612">
        <v>0</v>
      </c>
      <c r="R3612" t="s">
        <v>45100</v>
      </c>
      <c r="S3612" t="s">
        <v>45228</v>
      </c>
      <c r="T3612" t="s">
        <v>47058</v>
      </c>
      <c r="U3612" t="s">
        <v>50536</v>
      </c>
      <c r="W3612" t="s">
        <v>42824</v>
      </c>
      <c r="X3612" t="s">
        <v>45101</v>
      </c>
    </row>
    <row r="3613" spans="1:24">
      <c r="A3613">
        <f>HYPERLINK("https://www.philgeps.gov.ph/GEPSNONPILOT/Tender/SplashBidNoticeAbstractUI.aspx?menuIndex=3&amp;refID=7043625&amp;Result=3","7043625")</f>
        <v>0</v>
      </c>
      <c r="B3613" t="s">
        <v>1265</v>
      </c>
      <c r="C3613" t="s">
        <v>6651</v>
      </c>
      <c r="D3613" t="s">
        <v>18039</v>
      </c>
      <c r="E3613" t="s">
        <v>18422</v>
      </c>
      <c r="F3613" t="s">
        <v>31574</v>
      </c>
      <c r="G3613" t="s">
        <v>31582</v>
      </c>
      <c r="H3613" t="s">
        <v>31591</v>
      </c>
      <c r="I3613" t="s">
        <v>8822</v>
      </c>
      <c r="J3613" t="s">
        <v>34185</v>
      </c>
      <c r="K3613" t="s">
        <v>41186</v>
      </c>
      <c r="M3613" t="s">
        <v>42833</v>
      </c>
      <c r="N3613" t="s">
        <v>45095</v>
      </c>
      <c r="O3613" t="s">
        <v>45096</v>
      </c>
      <c r="P3613">
        <v>0</v>
      </c>
      <c r="Q3613">
        <v>0</v>
      </c>
      <c r="R3613" t="s">
        <v>45100</v>
      </c>
      <c r="S3613" t="s">
        <v>45228</v>
      </c>
      <c r="T3613" t="s">
        <v>46989</v>
      </c>
      <c r="U3613" t="s">
        <v>50537</v>
      </c>
      <c r="W3613" t="s">
        <v>42833</v>
      </c>
      <c r="X3613" t="s">
        <v>45101</v>
      </c>
    </row>
    <row r="3614" spans="1:24">
      <c r="A3614">
        <f>HYPERLINK("https://www.philgeps.gov.ph/GEPSNONPILOT/Tender/SplashBidNoticeAbstractUI.aspx?menuIndex=3&amp;refID=7043639&amp;Result=3","7043639")</f>
        <v>0</v>
      </c>
      <c r="B3614" t="s">
        <v>1266</v>
      </c>
      <c r="C3614" t="s">
        <v>6652</v>
      </c>
      <c r="D3614" t="s">
        <v>18060</v>
      </c>
      <c r="E3614" t="s">
        <v>21387</v>
      </c>
      <c r="F3614" t="s">
        <v>31574</v>
      </c>
      <c r="G3614" t="s">
        <v>31581</v>
      </c>
      <c r="H3614" t="s">
        <v>31590</v>
      </c>
      <c r="I3614" t="s">
        <v>3489</v>
      </c>
      <c r="J3614" t="s">
        <v>34186</v>
      </c>
      <c r="K3614" t="s">
        <v>41193</v>
      </c>
      <c r="M3614" t="s">
        <v>42834</v>
      </c>
      <c r="N3614" t="s">
        <v>45095</v>
      </c>
      <c r="O3614" t="s">
        <v>45096</v>
      </c>
      <c r="P3614">
        <v>0</v>
      </c>
      <c r="Q3614">
        <v>0</v>
      </c>
      <c r="R3614" t="s">
        <v>45100</v>
      </c>
      <c r="S3614" t="s">
        <v>45228</v>
      </c>
      <c r="T3614" t="s">
        <v>46973</v>
      </c>
      <c r="U3614" t="s">
        <v>50538</v>
      </c>
      <c r="W3614" t="s">
        <v>42834</v>
      </c>
      <c r="X3614" t="s">
        <v>45101</v>
      </c>
    </row>
    <row r="3615" spans="1:24">
      <c r="A3615">
        <f>HYPERLINK("https://www.philgeps.gov.ph/GEPSNONPILOT/Tender/SplashBidNoticeAbstractUI.aspx?menuIndex=3&amp;refID=7043637&amp;Result=3","7043637")</f>
        <v>0</v>
      </c>
      <c r="B3615" t="s">
        <v>916</v>
      </c>
      <c r="C3615" t="s">
        <v>6653</v>
      </c>
      <c r="D3615" t="s">
        <v>18060</v>
      </c>
      <c r="E3615" t="s">
        <v>21388</v>
      </c>
      <c r="F3615" t="s">
        <v>31574</v>
      </c>
      <c r="G3615" t="s">
        <v>31583</v>
      </c>
      <c r="H3615" t="s">
        <v>31590</v>
      </c>
      <c r="I3615" t="s">
        <v>4046</v>
      </c>
      <c r="J3615" t="s">
        <v>33395</v>
      </c>
      <c r="K3615" t="s">
        <v>41193</v>
      </c>
      <c r="M3615" t="s">
        <v>42441</v>
      </c>
      <c r="N3615" t="s">
        <v>45095</v>
      </c>
      <c r="O3615" t="s">
        <v>45096</v>
      </c>
      <c r="P3615">
        <v>0</v>
      </c>
      <c r="Q3615">
        <v>0</v>
      </c>
      <c r="R3615" t="s">
        <v>45100</v>
      </c>
      <c r="S3615" t="s">
        <v>45228</v>
      </c>
      <c r="T3615" t="s">
        <v>47094</v>
      </c>
      <c r="U3615" t="s">
        <v>50539</v>
      </c>
      <c r="W3615" t="s">
        <v>42441</v>
      </c>
      <c r="X3615" t="s">
        <v>45101</v>
      </c>
    </row>
    <row r="3616" spans="1:24">
      <c r="A3616">
        <f>HYPERLINK("https://www.philgeps.gov.ph/GEPSNONPILOT/Tender/SplashBidNoticeAbstractUI.aspx?menuIndex=3&amp;refID=7043633&amp;Result=3","7043633")</f>
        <v>0</v>
      </c>
      <c r="B3616" t="s">
        <v>1220</v>
      </c>
      <c r="C3616" t="s">
        <v>6654</v>
      </c>
      <c r="D3616" t="s">
        <v>18065</v>
      </c>
      <c r="E3616" t="s">
        <v>21176</v>
      </c>
      <c r="F3616" t="s">
        <v>31574</v>
      </c>
      <c r="G3616" t="s">
        <v>31581</v>
      </c>
      <c r="H3616" t="s">
        <v>31590</v>
      </c>
      <c r="I3616" t="s">
        <v>3539</v>
      </c>
      <c r="J3616" t="s">
        <v>34187</v>
      </c>
      <c r="K3616" t="s">
        <v>41232</v>
      </c>
      <c r="M3616" t="s">
        <v>42782</v>
      </c>
      <c r="N3616" t="s">
        <v>45095</v>
      </c>
      <c r="O3616" t="s">
        <v>45096</v>
      </c>
      <c r="P3616">
        <v>0</v>
      </c>
      <c r="Q3616">
        <v>0</v>
      </c>
      <c r="R3616" t="s">
        <v>45100</v>
      </c>
      <c r="S3616" t="s">
        <v>45228</v>
      </c>
      <c r="T3616" t="s">
        <v>47154</v>
      </c>
      <c r="U3616" t="s">
        <v>50540</v>
      </c>
      <c r="W3616" t="s">
        <v>42782</v>
      </c>
      <c r="X3616" t="s">
        <v>45101</v>
      </c>
    </row>
    <row r="3617" spans="1:24">
      <c r="A3617">
        <f>HYPERLINK("https://www.philgeps.gov.ph/GEPSNONPILOT/Tender/SplashBidNoticeAbstractUI.aspx?menuIndex=3&amp;refID=7043624&amp;Result=3","7043624")</f>
        <v>0</v>
      </c>
      <c r="B3617" t="s">
        <v>1267</v>
      </c>
      <c r="C3617" t="s">
        <v>6655</v>
      </c>
      <c r="D3617" t="s">
        <v>18060</v>
      </c>
      <c r="E3617" t="s">
        <v>21389</v>
      </c>
      <c r="F3617" t="s">
        <v>31574</v>
      </c>
      <c r="G3617" t="s">
        <v>31583</v>
      </c>
      <c r="H3617" t="s">
        <v>31591</v>
      </c>
      <c r="I3617" t="s">
        <v>4046</v>
      </c>
      <c r="J3617" t="s">
        <v>34188</v>
      </c>
      <c r="K3617" t="s">
        <v>41190</v>
      </c>
      <c r="M3617" t="s">
        <v>42835</v>
      </c>
      <c r="N3617" t="s">
        <v>45095</v>
      </c>
      <c r="O3617" t="s">
        <v>45096</v>
      </c>
      <c r="P3617">
        <v>0</v>
      </c>
      <c r="Q3617">
        <v>1</v>
      </c>
      <c r="R3617" t="s">
        <v>45100</v>
      </c>
      <c r="S3617" t="s">
        <v>45228</v>
      </c>
      <c r="T3617" t="s">
        <v>46911</v>
      </c>
      <c r="U3617" t="s">
        <v>50541</v>
      </c>
      <c r="W3617" t="s">
        <v>42835</v>
      </c>
      <c r="X3617" t="s">
        <v>45101</v>
      </c>
    </row>
    <row r="3618" spans="1:24">
      <c r="A3618">
        <f>HYPERLINK("https://www.philgeps.gov.ph/GEPSNONPILOT/Tender/SplashBidNoticeAbstractUI.aspx?menuIndex=3&amp;refID=7043646&amp;Result=3","7043646")</f>
        <v>0</v>
      </c>
      <c r="B3618" t="s">
        <v>1268</v>
      </c>
      <c r="C3618" t="s">
        <v>6656</v>
      </c>
      <c r="D3618" t="s">
        <v>18082</v>
      </c>
      <c r="E3618" t="s">
        <v>21390</v>
      </c>
      <c r="F3618" t="s">
        <v>31574</v>
      </c>
      <c r="G3618" t="s">
        <v>31581</v>
      </c>
      <c r="H3618" t="s">
        <v>31590</v>
      </c>
      <c r="I3618" t="s">
        <v>3489</v>
      </c>
      <c r="J3618" t="s">
        <v>31873</v>
      </c>
      <c r="K3618" t="s">
        <v>41186</v>
      </c>
      <c r="M3618" t="s">
        <v>42836</v>
      </c>
      <c r="N3618" t="s">
        <v>45095</v>
      </c>
      <c r="O3618" t="s">
        <v>45096</v>
      </c>
      <c r="P3618">
        <v>0</v>
      </c>
      <c r="Q3618">
        <v>0</v>
      </c>
      <c r="R3618" t="s">
        <v>45100</v>
      </c>
      <c r="S3618" t="s">
        <v>45228</v>
      </c>
      <c r="T3618" t="s">
        <v>47164</v>
      </c>
      <c r="U3618" t="s">
        <v>50542</v>
      </c>
      <c r="W3618" t="s">
        <v>42836</v>
      </c>
      <c r="X3618" t="s">
        <v>45101</v>
      </c>
    </row>
    <row r="3619" spans="1:24">
      <c r="A3619">
        <f>HYPERLINK("https://www.philgeps.gov.ph/GEPSNONPILOT/Tender/SplashBidNoticeAbstractUI.aspx?menuIndex=3&amp;refID=7043638&amp;Result=3","7043638")</f>
        <v>0</v>
      </c>
      <c r="B3619" t="s">
        <v>916</v>
      </c>
      <c r="C3619" t="s">
        <v>6657</v>
      </c>
      <c r="D3619" t="s">
        <v>18060</v>
      </c>
      <c r="E3619" t="s">
        <v>21391</v>
      </c>
      <c r="F3619" t="s">
        <v>31574</v>
      </c>
      <c r="G3619" t="s">
        <v>31583</v>
      </c>
      <c r="H3619" t="s">
        <v>31590</v>
      </c>
      <c r="I3619" t="s">
        <v>4046</v>
      </c>
      <c r="J3619" t="s">
        <v>34189</v>
      </c>
      <c r="K3619" t="s">
        <v>41193</v>
      </c>
      <c r="M3619" t="s">
        <v>42441</v>
      </c>
      <c r="N3619" t="s">
        <v>45095</v>
      </c>
      <c r="O3619" t="s">
        <v>45096</v>
      </c>
      <c r="P3619">
        <v>0</v>
      </c>
      <c r="Q3619">
        <v>0</v>
      </c>
      <c r="R3619" t="s">
        <v>45100</v>
      </c>
      <c r="S3619" t="s">
        <v>45228</v>
      </c>
      <c r="T3619" t="s">
        <v>47094</v>
      </c>
      <c r="U3619" t="s">
        <v>50543</v>
      </c>
      <c r="W3619" t="s">
        <v>42441</v>
      </c>
      <c r="X3619" t="s">
        <v>45101</v>
      </c>
    </row>
    <row r="3620" spans="1:24">
      <c r="A3620">
        <f>HYPERLINK("https://www.philgeps.gov.ph/GEPSNONPILOT/Tender/SplashBidNoticeAbstractUI.aspx?menuIndex=3&amp;refID=7043643&amp;Result=3","7043643")</f>
        <v>0</v>
      </c>
      <c r="B3620" t="s">
        <v>1266</v>
      </c>
      <c r="C3620" t="s">
        <v>6658</v>
      </c>
      <c r="D3620" t="s">
        <v>18060</v>
      </c>
      <c r="E3620" t="s">
        <v>21392</v>
      </c>
      <c r="F3620" t="s">
        <v>31574</v>
      </c>
      <c r="G3620" t="s">
        <v>31581</v>
      </c>
      <c r="H3620" t="s">
        <v>31590</v>
      </c>
      <c r="I3620" t="s">
        <v>31612</v>
      </c>
      <c r="J3620" t="s">
        <v>31818</v>
      </c>
      <c r="K3620" t="s">
        <v>41191</v>
      </c>
      <c r="M3620" t="s">
        <v>42834</v>
      </c>
      <c r="N3620" t="s">
        <v>45095</v>
      </c>
      <c r="O3620" t="s">
        <v>45096</v>
      </c>
      <c r="P3620">
        <v>0</v>
      </c>
      <c r="Q3620">
        <v>2</v>
      </c>
      <c r="R3620" t="s">
        <v>45100</v>
      </c>
      <c r="S3620" t="s">
        <v>45228</v>
      </c>
      <c r="T3620" t="s">
        <v>46973</v>
      </c>
      <c r="U3620" t="s">
        <v>50544</v>
      </c>
      <c r="V3620" t="s">
        <v>60207</v>
      </c>
      <c r="W3620" t="s">
        <v>42834</v>
      </c>
      <c r="X3620" t="s">
        <v>45101</v>
      </c>
    </row>
    <row r="3621" spans="1:24">
      <c r="A3621">
        <f>HYPERLINK("https://www.philgeps.gov.ph/GEPSNONPILOT/Tender/SplashBidNoticeAbstractUI.aspx?menuIndex=3&amp;refID=7043629&amp;Result=3","7043629")</f>
        <v>0</v>
      </c>
      <c r="B3621" t="s">
        <v>1120</v>
      </c>
      <c r="C3621" t="s">
        <v>6659</v>
      </c>
      <c r="E3621" t="s">
        <v>21393</v>
      </c>
      <c r="F3621" t="s">
        <v>31574</v>
      </c>
      <c r="G3621" t="s">
        <v>31581</v>
      </c>
      <c r="H3621" t="s">
        <v>31590</v>
      </c>
      <c r="I3621" t="s">
        <v>31594</v>
      </c>
      <c r="J3621" t="s">
        <v>34190</v>
      </c>
      <c r="K3621" t="s">
        <v>41184</v>
      </c>
      <c r="M3621" t="s">
        <v>42817</v>
      </c>
      <c r="N3621" t="s">
        <v>45095</v>
      </c>
      <c r="O3621" t="s">
        <v>45096</v>
      </c>
      <c r="P3621">
        <v>0</v>
      </c>
      <c r="Q3621">
        <v>21</v>
      </c>
      <c r="R3621" t="s">
        <v>45100</v>
      </c>
      <c r="S3621" t="s">
        <v>45228</v>
      </c>
      <c r="T3621" t="s">
        <v>47176</v>
      </c>
      <c r="U3621" t="s">
        <v>50545</v>
      </c>
      <c r="W3621" t="s">
        <v>42817</v>
      </c>
      <c r="X3621" t="s">
        <v>45101</v>
      </c>
    </row>
    <row r="3622" spans="1:24">
      <c r="A3622">
        <f>HYPERLINK("https://www.philgeps.gov.ph/GEPSNONPILOT/Tender/SplashBidNoticeAbstractUI.aspx?menuIndex=3&amp;refID=7043642&amp;Result=3","7043642")</f>
        <v>0</v>
      </c>
      <c r="B3622" t="s">
        <v>1264</v>
      </c>
      <c r="C3622" t="s">
        <v>6660</v>
      </c>
      <c r="D3622" t="s">
        <v>18039</v>
      </c>
      <c r="E3622" t="s">
        <v>21394</v>
      </c>
      <c r="F3622" t="s">
        <v>31574</v>
      </c>
      <c r="G3622" t="s">
        <v>31582</v>
      </c>
      <c r="H3622" t="s">
        <v>31591</v>
      </c>
      <c r="I3622" t="s">
        <v>8822</v>
      </c>
      <c r="J3622" t="s">
        <v>31724</v>
      </c>
      <c r="K3622" t="s">
        <v>41189</v>
      </c>
      <c r="M3622" t="s">
        <v>42832</v>
      </c>
      <c r="N3622" t="s">
        <v>45095</v>
      </c>
      <c r="O3622" t="s">
        <v>45096</v>
      </c>
      <c r="P3622">
        <v>0</v>
      </c>
      <c r="Q3622">
        <v>0</v>
      </c>
      <c r="R3622" t="s">
        <v>45100</v>
      </c>
      <c r="S3622" t="s">
        <v>45228</v>
      </c>
      <c r="T3622" t="s">
        <v>47143</v>
      </c>
      <c r="U3622" t="s">
        <v>50534</v>
      </c>
      <c r="W3622" t="s">
        <v>42832</v>
      </c>
      <c r="X3622" t="s">
        <v>45101</v>
      </c>
    </row>
    <row r="3623" spans="1:24">
      <c r="A3623">
        <f>HYPERLINK("https://www.philgeps.gov.ph/GEPSNONPILOT/Tender/SplashBidNoticeAbstractUI.aspx?menuIndex=3&amp;refID=7043640&amp;Result=3","7043640")</f>
        <v>0</v>
      </c>
      <c r="B3623" t="s">
        <v>1220</v>
      </c>
      <c r="C3623" t="s">
        <v>6661</v>
      </c>
      <c r="D3623" t="s">
        <v>18065</v>
      </c>
      <c r="E3623" t="s">
        <v>18962</v>
      </c>
      <c r="F3623" t="s">
        <v>31574</v>
      </c>
      <c r="G3623" t="s">
        <v>31581</v>
      </c>
      <c r="H3623" t="s">
        <v>31590</v>
      </c>
      <c r="I3623" t="s">
        <v>3539</v>
      </c>
      <c r="J3623" t="s">
        <v>34191</v>
      </c>
      <c r="K3623" t="s">
        <v>41282</v>
      </c>
      <c r="M3623" t="s">
        <v>42782</v>
      </c>
      <c r="N3623" t="s">
        <v>45095</v>
      </c>
      <c r="O3623" t="s">
        <v>45096</v>
      </c>
      <c r="P3623">
        <v>0</v>
      </c>
      <c r="Q3623">
        <v>0</v>
      </c>
      <c r="R3623" t="s">
        <v>45100</v>
      </c>
      <c r="S3623" t="s">
        <v>45228</v>
      </c>
      <c r="T3623" t="s">
        <v>47154</v>
      </c>
      <c r="U3623" t="s">
        <v>50546</v>
      </c>
      <c r="W3623" t="s">
        <v>42782</v>
      </c>
      <c r="X3623" t="s">
        <v>45101</v>
      </c>
    </row>
    <row r="3624" spans="1:24">
      <c r="A3624">
        <f>HYPERLINK("https://www.philgeps.gov.ph/GEPSNONPILOT/Tender/SplashBidNoticeAbstractUI.aspx?menuIndex=3&amp;refID=7043657&amp;Result=3","7043657")</f>
        <v>0</v>
      </c>
      <c r="B3624" t="s">
        <v>1269</v>
      </c>
      <c r="C3624" t="s">
        <v>6662</v>
      </c>
      <c r="D3624" t="s">
        <v>18088</v>
      </c>
      <c r="E3624" t="s">
        <v>21395</v>
      </c>
      <c r="F3624" t="s">
        <v>31574</v>
      </c>
      <c r="G3624" t="s">
        <v>31581</v>
      </c>
      <c r="H3624" t="s">
        <v>31590</v>
      </c>
      <c r="I3624" t="s">
        <v>31608</v>
      </c>
      <c r="J3624" t="s">
        <v>34192</v>
      </c>
      <c r="K3624" t="s">
        <v>41184</v>
      </c>
      <c r="M3624" t="s">
        <v>42837</v>
      </c>
      <c r="N3624" t="s">
        <v>45095</v>
      </c>
      <c r="O3624" t="s">
        <v>45096</v>
      </c>
      <c r="P3624">
        <v>0</v>
      </c>
      <c r="Q3624">
        <v>1</v>
      </c>
      <c r="R3624" t="s">
        <v>45100</v>
      </c>
      <c r="S3624" t="s">
        <v>45228</v>
      </c>
      <c r="T3624" t="s">
        <v>47162</v>
      </c>
      <c r="U3624" t="s">
        <v>50547</v>
      </c>
      <c r="W3624" t="s">
        <v>42837</v>
      </c>
      <c r="X3624" t="s">
        <v>45101</v>
      </c>
    </row>
    <row r="3625" spans="1:24">
      <c r="A3625">
        <f>HYPERLINK("https://www.philgeps.gov.ph/GEPSNONPILOT/Tender/SplashBidNoticeAbstractUI.aspx?menuIndex=3&amp;refID=7043630&amp;Result=3","7043630")</f>
        <v>0</v>
      </c>
      <c r="B3625" t="s">
        <v>1262</v>
      </c>
      <c r="C3625" t="s">
        <v>6663</v>
      </c>
      <c r="D3625" t="s">
        <v>18065</v>
      </c>
      <c r="E3625" t="s">
        <v>21396</v>
      </c>
      <c r="F3625" t="s">
        <v>31574</v>
      </c>
      <c r="G3625" t="s">
        <v>31582</v>
      </c>
      <c r="H3625" t="s">
        <v>31590</v>
      </c>
      <c r="I3625" t="s">
        <v>31630</v>
      </c>
      <c r="J3625" t="s">
        <v>34193</v>
      </c>
      <c r="K3625" t="s">
        <v>41193</v>
      </c>
      <c r="M3625" t="s">
        <v>42830</v>
      </c>
      <c r="N3625" t="s">
        <v>45095</v>
      </c>
      <c r="O3625" t="s">
        <v>45096</v>
      </c>
      <c r="P3625">
        <v>0</v>
      </c>
      <c r="Q3625">
        <v>1</v>
      </c>
      <c r="R3625" t="s">
        <v>45100</v>
      </c>
      <c r="S3625" t="s">
        <v>45228</v>
      </c>
      <c r="T3625" t="s">
        <v>47180</v>
      </c>
      <c r="U3625" t="s">
        <v>50548</v>
      </c>
      <c r="V3625" t="s">
        <v>59855</v>
      </c>
      <c r="W3625" t="s">
        <v>42830</v>
      </c>
      <c r="X3625" t="s">
        <v>45101</v>
      </c>
    </row>
    <row r="3626" spans="1:24">
      <c r="A3626">
        <f>HYPERLINK("https://www.philgeps.gov.ph/GEPSNONPILOT/Tender/SplashBidNoticeAbstractUI.aspx?menuIndex=3&amp;refID=7043644&amp;Result=3","7043644")</f>
        <v>0</v>
      </c>
      <c r="B3626" t="s">
        <v>1120</v>
      </c>
      <c r="C3626" t="s">
        <v>6664</v>
      </c>
      <c r="E3626" t="s">
        <v>21397</v>
      </c>
      <c r="F3626" t="s">
        <v>31574</v>
      </c>
      <c r="G3626" t="s">
        <v>31581</v>
      </c>
      <c r="H3626" t="s">
        <v>31590</v>
      </c>
      <c r="I3626" t="s">
        <v>31594</v>
      </c>
      <c r="J3626" t="s">
        <v>31955</v>
      </c>
      <c r="K3626" t="s">
        <v>41186</v>
      </c>
      <c r="M3626" t="s">
        <v>42817</v>
      </c>
      <c r="N3626" t="s">
        <v>45095</v>
      </c>
      <c r="O3626" t="s">
        <v>45096</v>
      </c>
      <c r="P3626">
        <v>0</v>
      </c>
      <c r="Q3626">
        <v>3</v>
      </c>
      <c r="R3626" t="s">
        <v>45100</v>
      </c>
      <c r="S3626" t="s">
        <v>45228</v>
      </c>
      <c r="T3626" t="s">
        <v>47176</v>
      </c>
      <c r="U3626" t="s">
        <v>50549</v>
      </c>
      <c r="W3626" t="s">
        <v>42817</v>
      </c>
      <c r="X3626" t="s">
        <v>45101</v>
      </c>
    </row>
    <row r="3627" spans="1:24">
      <c r="A3627">
        <f>HYPERLINK("https://www.philgeps.gov.ph/GEPSNONPILOT/Tender/SplashBidNoticeAbstractUI.aspx?menuIndex=3&amp;refID=7043654&amp;Result=3","7043654")</f>
        <v>0</v>
      </c>
      <c r="B3627" t="s">
        <v>1270</v>
      </c>
      <c r="C3627" t="s">
        <v>6665</v>
      </c>
      <c r="D3627" t="s">
        <v>18056</v>
      </c>
      <c r="E3627" t="s">
        <v>19167</v>
      </c>
      <c r="F3627" t="s">
        <v>31574</v>
      </c>
      <c r="G3627" t="s">
        <v>31582</v>
      </c>
      <c r="H3627" t="s">
        <v>31591</v>
      </c>
      <c r="I3627" t="s">
        <v>8822</v>
      </c>
      <c r="J3627" t="s">
        <v>34194</v>
      </c>
      <c r="K3627" t="s">
        <v>41202</v>
      </c>
      <c r="M3627" t="s">
        <v>42838</v>
      </c>
      <c r="N3627" t="s">
        <v>45095</v>
      </c>
      <c r="O3627" t="s">
        <v>45096</v>
      </c>
      <c r="P3627">
        <v>0</v>
      </c>
      <c r="Q3627">
        <v>0</v>
      </c>
      <c r="R3627" t="s">
        <v>45100</v>
      </c>
      <c r="S3627" t="s">
        <v>45228</v>
      </c>
      <c r="T3627" t="s">
        <v>46924</v>
      </c>
      <c r="U3627" t="s">
        <v>50550</v>
      </c>
      <c r="W3627" t="s">
        <v>42838</v>
      </c>
      <c r="X3627" t="s">
        <v>45101</v>
      </c>
    </row>
    <row r="3628" spans="1:24">
      <c r="A3628">
        <f>HYPERLINK("https://www.philgeps.gov.ph/GEPSNONPILOT/Tender/SplashBidNoticeAbstractUI.aspx?menuIndex=3&amp;refID=7043656&amp;Result=3","7043656")</f>
        <v>0</v>
      </c>
      <c r="B3628" t="s">
        <v>1167</v>
      </c>
      <c r="C3628" t="s">
        <v>6666</v>
      </c>
      <c r="D3628" t="s">
        <v>18022</v>
      </c>
      <c r="E3628" t="s">
        <v>18927</v>
      </c>
      <c r="F3628" t="s">
        <v>31575</v>
      </c>
      <c r="G3628" t="s">
        <v>31583</v>
      </c>
      <c r="H3628" t="s">
        <v>31590</v>
      </c>
      <c r="I3628" t="s">
        <v>31608</v>
      </c>
      <c r="J3628" t="s">
        <v>32167</v>
      </c>
      <c r="K3628" t="s">
        <v>41184</v>
      </c>
      <c r="M3628" t="s">
        <v>42726</v>
      </c>
      <c r="N3628" t="s">
        <v>45095</v>
      </c>
      <c r="O3628" t="s">
        <v>45096</v>
      </c>
      <c r="P3628">
        <v>0</v>
      </c>
      <c r="Q3628">
        <v>6</v>
      </c>
      <c r="R3628" t="s">
        <v>45100</v>
      </c>
      <c r="S3628" t="s">
        <v>45228</v>
      </c>
      <c r="T3628" t="s">
        <v>47067</v>
      </c>
      <c r="U3628" t="s">
        <v>50551</v>
      </c>
      <c r="V3628" t="s">
        <v>60162</v>
      </c>
      <c r="W3628" t="s">
        <v>42726</v>
      </c>
      <c r="X3628" t="s">
        <v>45101</v>
      </c>
    </row>
    <row r="3629" spans="1:24">
      <c r="A3629">
        <f>HYPERLINK("https://www.philgeps.gov.ph/GEPSNONPILOT/Tender/SplashBidNoticeAbstractUI.aspx?menuIndex=3&amp;refID=7043667&amp;Result=3","7043667")</f>
        <v>0</v>
      </c>
      <c r="B3629" t="s">
        <v>1271</v>
      </c>
      <c r="C3629" t="s">
        <v>6667</v>
      </c>
      <c r="D3629" t="s">
        <v>18064</v>
      </c>
      <c r="E3629" t="s">
        <v>21398</v>
      </c>
      <c r="F3629" t="s">
        <v>31574</v>
      </c>
      <c r="G3629" t="s">
        <v>31581</v>
      </c>
      <c r="H3629" t="s">
        <v>31590</v>
      </c>
      <c r="I3629" t="s">
        <v>14544</v>
      </c>
      <c r="J3629" t="s">
        <v>34195</v>
      </c>
      <c r="K3629" t="s">
        <v>41195</v>
      </c>
      <c r="M3629" t="s">
        <v>42839</v>
      </c>
      <c r="N3629" t="s">
        <v>45095</v>
      </c>
      <c r="O3629" t="s">
        <v>45096</v>
      </c>
      <c r="P3629">
        <v>0</v>
      </c>
      <c r="Q3629">
        <v>1</v>
      </c>
      <c r="R3629" t="s">
        <v>45100</v>
      </c>
      <c r="S3629" t="s">
        <v>45228</v>
      </c>
      <c r="T3629" t="s">
        <v>46973</v>
      </c>
      <c r="U3629" t="s">
        <v>50552</v>
      </c>
      <c r="W3629" t="s">
        <v>61695</v>
      </c>
      <c r="X3629" t="s">
        <v>45101</v>
      </c>
    </row>
    <row r="3630" spans="1:24">
      <c r="A3630">
        <f>HYPERLINK("https://www.philgeps.gov.ph/GEPSNONPILOT/Tender/SplashBidNoticeAbstractUI.aspx?menuIndex=3&amp;refID=7043653&amp;Result=3","7043653")</f>
        <v>0</v>
      </c>
      <c r="B3630" t="s">
        <v>1062</v>
      </c>
      <c r="C3630" t="s">
        <v>6668</v>
      </c>
      <c r="D3630" t="s">
        <v>18094</v>
      </c>
      <c r="E3630" t="s">
        <v>21399</v>
      </c>
      <c r="F3630" t="s">
        <v>31574</v>
      </c>
      <c r="G3630" t="s">
        <v>31583</v>
      </c>
      <c r="H3630" t="s">
        <v>31592</v>
      </c>
      <c r="I3630" t="s">
        <v>4046</v>
      </c>
      <c r="J3630" t="s">
        <v>34196</v>
      </c>
      <c r="K3630" t="s">
        <v>41193</v>
      </c>
      <c r="M3630" t="s">
        <v>42607</v>
      </c>
      <c r="N3630" t="s">
        <v>45095</v>
      </c>
      <c r="O3630" t="s">
        <v>45096</v>
      </c>
      <c r="P3630">
        <v>0</v>
      </c>
      <c r="Q3630">
        <v>0</v>
      </c>
      <c r="R3630" t="s">
        <v>45100</v>
      </c>
      <c r="S3630" t="s">
        <v>45228</v>
      </c>
      <c r="T3630" t="s">
        <v>46918</v>
      </c>
      <c r="U3630" t="s">
        <v>50553</v>
      </c>
      <c r="W3630" t="s">
        <v>42607</v>
      </c>
      <c r="X3630" t="s">
        <v>45101</v>
      </c>
    </row>
    <row r="3631" spans="1:24">
      <c r="A3631">
        <f>HYPERLINK("https://www.philgeps.gov.ph/GEPSNONPILOT/Tender/SplashBidNoticeAbstractUI.aspx?menuIndex=3&amp;refID=7043666&amp;Result=3","7043666")</f>
        <v>0</v>
      </c>
      <c r="B3631" t="s">
        <v>1189</v>
      </c>
      <c r="C3631" t="s">
        <v>6669</v>
      </c>
      <c r="D3631" t="s">
        <v>18094</v>
      </c>
      <c r="E3631" t="s">
        <v>21400</v>
      </c>
      <c r="F3631" t="s">
        <v>31574</v>
      </c>
      <c r="G3631" t="s">
        <v>31581</v>
      </c>
      <c r="H3631" t="s">
        <v>31590</v>
      </c>
      <c r="I3631" t="s">
        <v>4046</v>
      </c>
      <c r="J3631" t="s">
        <v>34197</v>
      </c>
      <c r="K3631" t="s">
        <v>41193</v>
      </c>
      <c r="M3631" t="s">
        <v>42812</v>
      </c>
      <c r="N3631" t="s">
        <v>45095</v>
      </c>
      <c r="O3631" t="s">
        <v>45096</v>
      </c>
      <c r="P3631">
        <v>0</v>
      </c>
      <c r="Q3631">
        <v>0</v>
      </c>
      <c r="R3631" t="s">
        <v>45100</v>
      </c>
      <c r="S3631" t="s">
        <v>45228</v>
      </c>
      <c r="T3631" t="s">
        <v>47181</v>
      </c>
      <c r="U3631" t="s">
        <v>50554</v>
      </c>
      <c r="W3631" t="s">
        <v>42812</v>
      </c>
      <c r="X3631" t="s">
        <v>45101</v>
      </c>
    </row>
    <row r="3632" spans="1:24">
      <c r="A3632">
        <f>HYPERLINK("https://www.philgeps.gov.ph/GEPSNONPILOT/Tender/SplashBidNoticeAbstractUI.aspx?menuIndex=3&amp;refID=7043659&amp;Result=3","7043659")</f>
        <v>0</v>
      </c>
      <c r="B3632" t="s">
        <v>1257</v>
      </c>
      <c r="C3632" t="s">
        <v>6670</v>
      </c>
      <c r="D3632" t="s">
        <v>18041</v>
      </c>
      <c r="E3632" t="s">
        <v>20737</v>
      </c>
      <c r="F3632" t="s">
        <v>31574</v>
      </c>
      <c r="G3632" t="s">
        <v>31581</v>
      </c>
      <c r="H3632" t="s">
        <v>31590</v>
      </c>
      <c r="I3632" t="s">
        <v>31595</v>
      </c>
      <c r="J3632" t="s">
        <v>32147</v>
      </c>
      <c r="K3632" t="s">
        <v>41193</v>
      </c>
      <c r="M3632" t="s">
        <v>42824</v>
      </c>
      <c r="N3632" t="s">
        <v>45095</v>
      </c>
      <c r="O3632" t="s">
        <v>45096</v>
      </c>
      <c r="P3632">
        <v>0</v>
      </c>
      <c r="Q3632">
        <v>0</v>
      </c>
      <c r="R3632" t="s">
        <v>45100</v>
      </c>
      <c r="S3632" t="s">
        <v>45228</v>
      </c>
      <c r="T3632" t="s">
        <v>47058</v>
      </c>
      <c r="U3632" t="s">
        <v>50555</v>
      </c>
      <c r="W3632" t="s">
        <v>42824</v>
      </c>
      <c r="X3632" t="s">
        <v>45101</v>
      </c>
    </row>
    <row r="3633" spans="1:24">
      <c r="A3633">
        <f>HYPERLINK("https://www.philgeps.gov.ph/GEPSNONPILOT/Tender/SplashBidNoticeAbstractUI.aspx?menuIndex=3&amp;refID=7043655&amp;Result=3","7043655")</f>
        <v>0</v>
      </c>
      <c r="B3633" t="s">
        <v>231</v>
      </c>
      <c r="C3633" t="s">
        <v>6671</v>
      </c>
      <c r="D3633" t="s">
        <v>18088</v>
      </c>
      <c r="E3633" t="s">
        <v>21401</v>
      </c>
      <c r="F3633" t="s">
        <v>31574</v>
      </c>
      <c r="G3633" t="s">
        <v>31583</v>
      </c>
      <c r="H3633" t="s">
        <v>31590</v>
      </c>
      <c r="I3633" t="s">
        <v>8258</v>
      </c>
      <c r="J3633" t="s">
        <v>34198</v>
      </c>
      <c r="K3633" t="s">
        <v>41211</v>
      </c>
      <c r="M3633" t="s">
        <v>41716</v>
      </c>
      <c r="N3633" t="s">
        <v>45095</v>
      </c>
      <c r="O3633" t="s">
        <v>45096</v>
      </c>
      <c r="P3633">
        <v>0</v>
      </c>
      <c r="Q3633">
        <v>0</v>
      </c>
      <c r="R3633" t="s">
        <v>45100</v>
      </c>
      <c r="S3633" t="s">
        <v>45228</v>
      </c>
      <c r="T3633" t="s">
        <v>47159</v>
      </c>
      <c r="U3633" t="s">
        <v>50556</v>
      </c>
      <c r="W3633" t="s">
        <v>41716</v>
      </c>
      <c r="X3633" t="s">
        <v>45101</v>
      </c>
    </row>
    <row r="3634" spans="1:24">
      <c r="A3634">
        <f>HYPERLINK("https://www.philgeps.gov.ph/GEPSNONPILOT/Tender/SplashBidNoticeAbstractUI.aspx?menuIndex=3&amp;refID=7043664&amp;Result=3","7043664")</f>
        <v>0</v>
      </c>
      <c r="B3634" t="s">
        <v>1257</v>
      </c>
      <c r="C3634" t="s">
        <v>6672</v>
      </c>
      <c r="D3634" t="s">
        <v>18041</v>
      </c>
      <c r="E3634" t="s">
        <v>18544</v>
      </c>
      <c r="F3634" t="s">
        <v>31574</v>
      </c>
      <c r="G3634" t="s">
        <v>31581</v>
      </c>
      <c r="H3634" t="s">
        <v>31590</v>
      </c>
      <c r="I3634" t="s">
        <v>3487</v>
      </c>
      <c r="J3634" t="s">
        <v>32334</v>
      </c>
      <c r="K3634" t="s">
        <v>41193</v>
      </c>
      <c r="M3634" t="s">
        <v>42824</v>
      </c>
      <c r="N3634" t="s">
        <v>45095</v>
      </c>
      <c r="O3634" t="s">
        <v>45096</v>
      </c>
      <c r="P3634">
        <v>0</v>
      </c>
      <c r="Q3634">
        <v>1</v>
      </c>
      <c r="R3634" t="s">
        <v>45100</v>
      </c>
      <c r="S3634" t="s">
        <v>45228</v>
      </c>
      <c r="T3634" t="s">
        <v>47058</v>
      </c>
      <c r="U3634" t="s">
        <v>50557</v>
      </c>
      <c r="W3634" t="s">
        <v>42824</v>
      </c>
      <c r="X3634" t="s">
        <v>45101</v>
      </c>
    </row>
    <row r="3635" spans="1:24">
      <c r="A3635">
        <f>HYPERLINK("https://www.philgeps.gov.ph/GEPSNONPILOT/Tender/SplashBidNoticeAbstractUI.aspx?menuIndex=3&amp;refID=7043652&amp;Result=3","7043652")</f>
        <v>0</v>
      </c>
      <c r="B3635" t="s">
        <v>1257</v>
      </c>
      <c r="C3635" t="s">
        <v>6673</v>
      </c>
      <c r="D3635" t="s">
        <v>18041</v>
      </c>
      <c r="E3635" t="s">
        <v>21402</v>
      </c>
      <c r="F3635" t="s">
        <v>31574</v>
      </c>
      <c r="G3635" t="s">
        <v>31581</v>
      </c>
      <c r="H3635" t="s">
        <v>31590</v>
      </c>
      <c r="I3635" t="s">
        <v>4046</v>
      </c>
      <c r="J3635" t="s">
        <v>34199</v>
      </c>
      <c r="K3635" t="s">
        <v>41193</v>
      </c>
      <c r="M3635" t="s">
        <v>42824</v>
      </c>
      <c r="N3635" t="s">
        <v>45095</v>
      </c>
      <c r="O3635" t="s">
        <v>45096</v>
      </c>
      <c r="P3635">
        <v>0</v>
      </c>
      <c r="Q3635">
        <v>0</v>
      </c>
      <c r="R3635" t="s">
        <v>45100</v>
      </c>
      <c r="S3635" t="s">
        <v>45228</v>
      </c>
      <c r="T3635" t="s">
        <v>47058</v>
      </c>
      <c r="U3635" t="s">
        <v>50558</v>
      </c>
      <c r="W3635" t="s">
        <v>42824</v>
      </c>
      <c r="X3635" t="s">
        <v>45101</v>
      </c>
    </row>
    <row r="3636" spans="1:24">
      <c r="A3636">
        <f>HYPERLINK("https://www.philgeps.gov.ph/GEPSNONPILOT/Tender/SplashBidNoticeAbstractUI.aspx?menuIndex=3&amp;refID=7043662&amp;Result=3","7043662")</f>
        <v>0</v>
      </c>
      <c r="B3636" t="s">
        <v>1256</v>
      </c>
      <c r="C3636" t="s">
        <v>6674</v>
      </c>
      <c r="E3636" t="s">
        <v>21403</v>
      </c>
      <c r="F3636" t="s">
        <v>31574</v>
      </c>
      <c r="G3636" t="s">
        <v>31581</v>
      </c>
      <c r="H3636" t="s">
        <v>31590</v>
      </c>
      <c r="I3636" t="s">
        <v>31603</v>
      </c>
      <c r="J3636" t="s">
        <v>34200</v>
      </c>
      <c r="K3636" t="s">
        <v>41196</v>
      </c>
      <c r="M3636" t="s">
        <v>42823</v>
      </c>
      <c r="N3636" t="s">
        <v>45095</v>
      </c>
      <c r="O3636" t="s">
        <v>45096</v>
      </c>
      <c r="Q3636">
        <v>12</v>
      </c>
      <c r="R3636" t="s">
        <v>45100</v>
      </c>
      <c r="S3636" t="s">
        <v>45230</v>
      </c>
      <c r="T3636" t="s">
        <v>47003</v>
      </c>
      <c r="U3636" t="s">
        <v>50559</v>
      </c>
      <c r="W3636" t="s">
        <v>42823</v>
      </c>
      <c r="X3636" t="s">
        <v>45101</v>
      </c>
    </row>
    <row r="3637" spans="1:24">
      <c r="A3637">
        <f>HYPERLINK("https://www.philgeps.gov.ph/GEPSNONPILOT/Tender/SplashBidNoticeAbstractUI.aspx?menuIndex=3&amp;refID=7043661&amp;Result=3","7043661")</f>
        <v>0</v>
      </c>
      <c r="B3637" t="s">
        <v>1257</v>
      </c>
      <c r="C3637" t="s">
        <v>6675</v>
      </c>
      <c r="D3637" t="s">
        <v>18041</v>
      </c>
      <c r="E3637" t="s">
        <v>20015</v>
      </c>
      <c r="F3637" t="s">
        <v>31574</v>
      </c>
      <c r="G3637" t="s">
        <v>31581</v>
      </c>
      <c r="H3637" t="s">
        <v>31590</v>
      </c>
      <c r="I3637" t="s">
        <v>31629</v>
      </c>
      <c r="J3637" t="s">
        <v>34201</v>
      </c>
      <c r="K3637" t="s">
        <v>41193</v>
      </c>
      <c r="M3637" t="s">
        <v>42824</v>
      </c>
      <c r="N3637" t="s">
        <v>45095</v>
      </c>
      <c r="O3637" t="s">
        <v>45096</v>
      </c>
      <c r="P3637">
        <v>0</v>
      </c>
      <c r="Q3637">
        <v>1</v>
      </c>
      <c r="R3637" t="s">
        <v>45100</v>
      </c>
      <c r="S3637" t="s">
        <v>45228</v>
      </c>
      <c r="T3637" t="s">
        <v>47058</v>
      </c>
      <c r="U3637" t="s">
        <v>50560</v>
      </c>
      <c r="W3637" t="s">
        <v>42824</v>
      </c>
      <c r="X3637" t="s">
        <v>45101</v>
      </c>
    </row>
    <row r="3638" spans="1:24">
      <c r="A3638">
        <f>HYPERLINK("https://www.philgeps.gov.ph/GEPSNONPILOT/Tender/SplashBidNoticeAbstractUI.aspx?menuIndex=3&amp;refID=7043650&amp;Result=3","7043650")</f>
        <v>0</v>
      </c>
      <c r="B3638" t="s">
        <v>1062</v>
      </c>
      <c r="C3638" t="s">
        <v>6676</v>
      </c>
      <c r="D3638" t="s">
        <v>18094</v>
      </c>
      <c r="E3638" t="s">
        <v>21404</v>
      </c>
      <c r="F3638" t="s">
        <v>31574</v>
      </c>
      <c r="G3638" t="s">
        <v>31583</v>
      </c>
      <c r="H3638" t="s">
        <v>31592</v>
      </c>
      <c r="I3638" t="s">
        <v>4046</v>
      </c>
      <c r="J3638" t="s">
        <v>34202</v>
      </c>
      <c r="K3638" t="s">
        <v>41193</v>
      </c>
      <c r="M3638" t="s">
        <v>42607</v>
      </c>
      <c r="N3638" t="s">
        <v>45095</v>
      </c>
      <c r="O3638" t="s">
        <v>45096</v>
      </c>
      <c r="P3638">
        <v>0</v>
      </c>
      <c r="Q3638">
        <v>0</v>
      </c>
      <c r="R3638" t="s">
        <v>45100</v>
      </c>
      <c r="S3638" t="s">
        <v>45228</v>
      </c>
      <c r="T3638" t="s">
        <v>46913</v>
      </c>
      <c r="U3638" t="s">
        <v>50553</v>
      </c>
      <c r="W3638" t="s">
        <v>42607</v>
      </c>
      <c r="X3638" t="s">
        <v>45101</v>
      </c>
    </row>
    <row r="3639" spans="1:24">
      <c r="A3639">
        <f>HYPERLINK("https://www.philgeps.gov.ph/GEPSNONPILOT/Tender/SplashBidNoticeAbstractUI.aspx?menuIndex=3&amp;refID=6944470&amp;Result=3","6944470")</f>
        <v>0</v>
      </c>
      <c r="B3639" t="s">
        <v>1272</v>
      </c>
      <c r="C3639" t="s">
        <v>6677</v>
      </c>
      <c r="D3639" t="s">
        <v>18024</v>
      </c>
      <c r="E3639" t="s">
        <v>20138</v>
      </c>
      <c r="F3639" t="s">
        <v>31574</v>
      </c>
      <c r="G3639" t="s">
        <v>31582</v>
      </c>
      <c r="H3639" t="s">
        <v>31591</v>
      </c>
      <c r="I3639" t="s">
        <v>4046</v>
      </c>
      <c r="J3639" t="s">
        <v>31845</v>
      </c>
      <c r="K3639" t="s">
        <v>41213</v>
      </c>
      <c r="M3639" t="s">
        <v>42840</v>
      </c>
      <c r="N3639" t="s">
        <v>45095</v>
      </c>
      <c r="O3639" t="s">
        <v>45096</v>
      </c>
      <c r="P3639">
        <v>0</v>
      </c>
      <c r="Q3639">
        <v>0</v>
      </c>
      <c r="R3639" t="s">
        <v>45101</v>
      </c>
      <c r="S3639" t="s">
        <v>45231</v>
      </c>
      <c r="T3639" t="s">
        <v>46911</v>
      </c>
      <c r="U3639" t="s">
        <v>50561</v>
      </c>
      <c r="W3639" t="s">
        <v>42840</v>
      </c>
      <c r="X3639" t="s">
        <v>45167</v>
      </c>
    </row>
    <row r="3640" spans="1:24">
      <c r="A3640">
        <f>HYPERLINK("https://www.philgeps.gov.ph/GEPSNONPILOT/Tender/SplashBidNoticeAbstractUI.aspx?menuIndex=3&amp;refID=7043649&amp;Result=3","7043649")</f>
        <v>0</v>
      </c>
      <c r="B3640" t="s">
        <v>1270</v>
      </c>
      <c r="C3640" t="s">
        <v>6678</v>
      </c>
      <c r="D3640" t="s">
        <v>18056</v>
      </c>
      <c r="E3640" t="s">
        <v>21405</v>
      </c>
      <c r="F3640" t="s">
        <v>31574</v>
      </c>
      <c r="G3640" t="s">
        <v>31582</v>
      </c>
      <c r="H3640" t="s">
        <v>31591</v>
      </c>
      <c r="I3640" t="s">
        <v>8822</v>
      </c>
      <c r="J3640" t="s">
        <v>34203</v>
      </c>
      <c r="K3640" t="s">
        <v>41198</v>
      </c>
      <c r="M3640" t="s">
        <v>42838</v>
      </c>
      <c r="N3640" t="s">
        <v>45095</v>
      </c>
      <c r="O3640" t="s">
        <v>45096</v>
      </c>
      <c r="P3640">
        <v>0</v>
      </c>
      <c r="Q3640">
        <v>0</v>
      </c>
      <c r="R3640" t="s">
        <v>45100</v>
      </c>
      <c r="S3640" t="s">
        <v>45228</v>
      </c>
      <c r="T3640" t="s">
        <v>46924</v>
      </c>
      <c r="U3640" t="s">
        <v>50562</v>
      </c>
      <c r="W3640" t="s">
        <v>42838</v>
      </c>
      <c r="X3640" t="s">
        <v>45101</v>
      </c>
    </row>
    <row r="3641" spans="1:24">
      <c r="A3641">
        <f>HYPERLINK("https://www.philgeps.gov.ph/GEPSNONPILOT/Tender/SplashBidNoticeAbstractUI.aspx?menuIndex=3&amp;refID=7043668&amp;Result=3","7043668")</f>
        <v>0</v>
      </c>
      <c r="B3641" t="s">
        <v>921</v>
      </c>
      <c r="C3641" t="s">
        <v>6679</v>
      </c>
      <c r="D3641" t="s">
        <v>18044</v>
      </c>
      <c r="E3641" t="s">
        <v>21406</v>
      </c>
      <c r="F3641" t="s">
        <v>31574</v>
      </c>
      <c r="G3641" t="s">
        <v>31581</v>
      </c>
      <c r="H3641" t="s">
        <v>31590</v>
      </c>
      <c r="I3641" t="s">
        <v>31617</v>
      </c>
      <c r="J3641" t="s">
        <v>31744</v>
      </c>
      <c r="K3641" t="s">
        <v>41184</v>
      </c>
      <c r="M3641" t="s">
        <v>42447</v>
      </c>
      <c r="N3641" t="s">
        <v>45095</v>
      </c>
      <c r="O3641" t="s">
        <v>45096</v>
      </c>
      <c r="P3641">
        <v>0</v>
      </c>
      <c r="Q3641">
        <v>0</v>
      </c>
      <c r="R3641" t="s">
        <v>45100</v>
      </c>
      <c r="S3641" t="s">
        <v>45228</v>
      </c>
      <c r="T3641" t="s">
        <v>47154</v>
      </c>
      <c r="U3641" t="s">
        <v>50563</v>
      </c>
      <c r="W3641" t="s">
        <v>42447</v>
      </c>
      <c r="X3641" t="s">
        <v>45101</v>
      </c>
    </row>
    <row r="3642" spans="1:24">
      <c r="A3642">
        <f>HYPERLINK("https://www.philgeps.gov.ph/GEPSNONPILOT/Tender/SplashBidNoticeAbstractUI.aspx?menuIndex=3&amp;refID=7043671&amp;Result=3","7043671")</f>
        <v>0</v>
      </c>
      <c r="B3642" t="s">
        <v>921</v>
      </c>
      <c r="C3642" t="s">
        <v>6680</v>
      </c>
      <c r="D3642" t="s">
        <v>18030</v>
      </c>
      <c r="E3642" t="s">
        <v>21407</v>
      </c>
      <c r="F3642" t="s">
        <v>31574</v>
      </c>
      <c r="G3642" t="s">
        <v>31581</v>
      </c>
      <c r="H3642" t="s">
        <v>31590</v>
      </c>
      <c r="I3642" t="s">
        <v>3487</v>
      </c>
      <c r="J3642" t="s">
        <v>34204</v>
      </c>
      <c r="K3642" t="s">
        <v>41184</v>
      </c>
      <c r="M3642" t="s">
        <v>42447</v>
      </c>
      <c r="N3642" t="s">
        <v>45095</v>
      </c>
      <c r="O3642" t="s">
        <v>45096</v>
      </c>
      <c r="P3642">
        <v>0</v>
      </c>
      <c r="Q3642">
        <v>2</v>
      </c>
      <c r="R3642" t="s">
        <v>45100</v>
      </c>
      <c r="S3642" t="s">
        <v>45228</v>
      </c>
      <c r="T3642" t="s">
        <v>47154</v>
      </c>
      <c r="U3642" t="s">
        <v>50473</v>
      </c>
      <c r="W3642" t="s">
        <v>42447</v>
      </c>
      <c r="X3642" t="s">
        <v>45101</v>
      </c>
    </row>
    <row r="3643" spans="1:24">
      <c r="A3643">
        <f>HYPERLINK("https://www.philgeps.gov.ph/GEPSNONPILOT/Tender/SplashBidNoticeAbstractUI.aspx?menuIndex=3&amp;refID=7043687&amp;Result=3","7043687")</f>
        <v>0</v>
      </c>
      <c r="B3643" t="s">
        <v>1273</v>
      </c>
      <c r="C3643" t="s">
        <v>6681</v>
      </c>
      <c r="D3643" t="s">
        <v>18022</v>
      </c>
      <c r="E3643" t="s">
        <v>21408</v>
      </c>
      <c r="F3643" t="s">
        <v>31574</v>
      </c>
      <c r="G3643" t="s">
        <v>31583</v>
      </c>
      <c r="H3643" t="s">
        <v>31590</v>
      </c>
      <c r="I3643" t="s">
        <v>31608</v>
      </c>
      <c r="J3643" t="s">
        <v>31843</v>
      </c>
      <c r="K3643" t="s">
        <v>41196</v>
      </c>
      <c r="M3643" t="s">
        <v>42841</v>
      </c>
      <c r="N3643" t="s">
        <v>45095</v>
      </c>
      <c r="O3643" t="s">
        <v>45096</v>
      </c>
      <c r="P3643">
        <v>0</v>
      </c>
      <c r="Q3643">
        <v>9</v>
      </c>
      <c r="R3643" t="s">
        <v>45100</v>
      </c>
      <c r="S3643" t="s">
        <v>45228</v>
      </c>
      <c r="T3643" t="s">
        <v>47158</v>
      </c>
      <c r="U3643" t="s">
        <v>50564</v>
      </c>
      <c r="W3643" t="s">
        <v>42841</v>
      </c>
      <c r="X3643" t="s">
        <v>45101</v>
      </c>
    </row>
    <row r="3644" spans="1:24">
      <c r="A3644">
        <f>HYPERLINK("https://www.philgeps.gov.ph/GEPSNONPILOT/Tender/SplashBidNoticeAbstractUI.aspx?menuIndex=3&amp;refID=7043685&amp;Result=3","7043685")</f>
        <v>0</v>
      </c>
      <c r="B3644" t="s">
        <v>1273</v>
      </c>
      <c r="C3644" t="s">
        <v>6682</v>
      </c>
      <c r="D3644" t="s">
        <v>18022</v>
      </c>
      <c r="E3644" t="s">
        <v>21409</v>
      </c>
      <c r="F3644" t="s">
        <v>31574</v>
      </c>
      <c r="G3644" t="s">
        <v>31581</v>
      </c>
      <c r="H3644" t="s">
        <v>31590</v>
      </c>
      <c r="I3644" t="s">
        <v>31608</v>
      </c>
      <c r="J3644" t="s">
        <v>32019</v>
      </c>
      <c r="K3644" t="s">
        <v>41186</v>
      </c>
      <c r="M3644" t="s">
        <v>42841</v>
      </c>
      <c r="N3644" t="s">
        <v>45095</v>
      </c>
      <c r="O3644" t="s">
        <v>45096</v>
      </c>
      <c r="P3644">
        <v>0</v>
      </c>
      <c r="Q3644">
        <v>12</v>
      </c>
      <c r="R3644" t="s">
        <v>45100</v>
      </c>
      <c r="S3644" t="s">
        <v>45228</v>
      </c>
      <c r="T3644" t="s">
        <v>47158</v>
      </c>
      <c r="U3644" t="s">
        <v>50565</v>
      </c>
      <c r="W3644" t="s">
        <v>42841</v>
      </c>
      <c r="X3644" t="s">
        <v>45101</v>
      </c>
    </row>
    <row r="3645" spans="1:24">
      <c r="A3645">
        <f>HYPERLINK("https://www.philgeps.gov.ph/GEPSNONPILOT/Tender/SplashBidNoticeAbstractUI.aspx?menuIndex=3&amp;refID=7043651&amp;Result=3","7043651")</f>
        <v>0</v>
      </c>
      <c r="B3645" t="s">
        <v>1274</v>
      </c>
      <c r="C3645" t="s">
        <v>6683</v>
      </c>
      <c r="D3645" t="s">
        <v>18039</v>
      </c>
      <c r="E3645" t="s">
        <v>18553</v>
      </c>
      <c r="F3645" t="s">
        <v>31574</v>
      </c>
      <c r="G3645" t="s">
        <v>31582</v>
      </c>
      <c r="H3645" t="s">
        <v>31590</v>
      </c>
      <c r="I3645" t="s">
        <v>5717</v>
      </c>
      <c r="J3645" t="s">
        <v>34205</v>
      </c>
      <c r="K3645" t="s">
        <v>41192</v>
      </c>
      <c r="M3645" t="s">
        <v>42842</v>
      </c>
      <c r="N3645" t="s">
        <v>45095</v>
      </c>
      <c r="O3645" t="s">
        <v>45096</v>
      </c>
      <c r="P3645">
        <v>0</v>
      </c>
      <c r="Q3645">
        <v>1</v>
      </c>
      <c r="R3645" t="s">
        <v>45100</v>
      </c>
      <c r="S3645" t="s">
        <v>45228</v>
      </c>
      <c r="T3645" t="s">
        <v>46989</v>
      </c>
      <c r="U3645" t="s">
        <v>50537</v>
      </c>
      <c r="V3645" t="s">
        <v>60208</v>
      </c>
      <c r="W3645" t="s">
        <v>42842</v>
      </c>
      <c r="X3645" t="s">
        <v>45101</v>
      </c>
    </row>
    <row r="3646" spans="1:24">
      <c r="A3646">
        <f>HYPERLINK("https://www.philgeps.gov.ph/GEPSNONPILOT/Tender/SplashBidNoticeAbstractUI.aspx?menuIndex=3&amp;refID=7043679&amp;Result=3","7043679")</f>
        <v>0</v>
      </c>
      <c r="B3646" t="s">
        <v>1273</v>
      </c>
      <c r="C3646" t="s">
        <v>6684</v>
      </c>
      <c r="D3646" t="s">
        <v>18022</v>
      </c>
      <c r="E3646" t="s">
        <v>21410</v>
      </c>
      <c r="F3646" t="s">
        <v>31574</v>
      </c>
      <c r="G3646" t="s">
        <v>31583</v>
      </c>
      <c r="H3646" t="s">
        <v>31590</v>
      </c>
      <c r="I3646" t="s">
        <v>31608</v>
      </c>
      <c r="J3646" t="s">
        <v>32375</v>
      </c>
      <c r="K3646" t="s">
        <v>41186</v>
      </c>
      <c r="M3646" t="s">
        <v>42841</v>
      </c>
      <c r="N3646" t="s">
        <v>45095</v>
      </c>
      <c r="O3646" t="s">
        <v>45096</v>
      </c>
      <c r="P3646">
        <v>0</v>
      </c>
      <c r="Q3646">
        <v>8</v>
      </c>
      <c r="R3646" t="s">
        <v>45100</v>
      </c>
      <c r="S3646" t="s">
        <v>45228</v>
      </c>
      <c r="T3646" t="s">
        <v>47146</v>
      </c>
      <c r="U3646" t="s">
        <v>50566</v>
      </c>
      <c r="W3646" t="s">
        <v>42841</v>
      </c>
      <c r="X3646" t="s">
        <v>45101</v>
      </c>
    </row>
    <row r="3647" spans="1:24">
      <c r="A3647">
        <f>HYPERLINK("https://www.philgeps.gov.ph/GEPSNONPILOT/Tender/SplashBidNoticeAbstractUI.aspx?menuIndex=3&amp;refID=7043670&amp;Result=3","7043670")</f>
        <v>0</v>
      </c>
      <c r="B3647" t="s">
        <v>1273</v>
      </c>
      <c r="C3647" t="s">
        <v>6685</v>
      </c>
      <c r="D3647" t="s">
        <v>18022</v>
      </c>
      <c r="E3647" t="s">
        <v>21411</v>
      </c>
      <c r="F3647" t="s">
        <v>31574</v>
      </c>
      <c r="G3647" t="s">
        <v>31581</v>
      </c>
      <c r="H3647" t="s">
        <v>31590</v>
      </c>
      <c r="I3647" t="s">
        <v>31623</v>
      </c>
      <c r="J3647" t="s">
        <v>31830</v>
      </c>
      <c r="K3647" t="s">
        <v>41210</v>
      </c>
      <c r="M3647" t="s">
        <v>42841</v>
      </c>
      <c r="N3647" t="s">
        <v>45095</v>
      </c>
      <c r="O3647" t="s">
        <v>45096</v>
      </c>
      <c r="P3647">
        <v>0</v>
      </c>
      <c r="Q3647">
        <v>1</v>
      </c>
      <c r="R3647" t="s">
        <v>45100</v>
      </c>
      <c r="S3647" t="s">
        <v>45228</v>
      </c>
      <c r="T3647" t="s">
        <v>47158</v>
      </c>
      <c r="U3647" t="s">
        <v>50567</v>
      </c>
      <c r="W3647" t="s">
        <v>42841</v>
      </c>
      <c r="X3647" t="s">
        <v>45101</v>
      </c>
    </row>
    <row r="3648" spans="1:24">
      <c r="A3648">
        <f>HYPERLINK("https://www.philgeps.gov.ph/GEPSNONPILOT/Tender/SplashBidNoticeAbstractUI.aspx?menuIndex=3&amp;refID=7043680&amp;Result=3","7043680")</f>
        <v>0</v>
      </c>
      <c r="B3648" t="s">
        <v>921</v>
      </c>
      <c r="C3648" t="s">
        <v>6686</v>
      </c>
      <c r="D3648" t="s">
        <v>18030</v>
      </c>
      <c r="E3648" t="s">
        <v>21412</v>
      </c>
      <c r="F3648" t="s">
        <v>31574</v>
      </c>
      <c r="G3648" t="s">
        <v>31581</v>
      </c>
      <c r="H3648" t="s">
        <v>31590</v>
      </c>
      <c r="I3648" t="s">
        <v>31599</v>
      </c>
      <c r="J3648" t="s">
        <v>34206</v>
      </c>
      <c r="K3648" t="s">
        <v>41184</v>
      </c>
      <c r="M3648" t="s">
        <v>42447</v>
      </c>
      <c r="N3648" t="s">
        <v>45095</v>
      </c>
      <c r="O3648" t="s">
        <v>45096</v>
      </c>
      <c r="P3648">
        <v>0</v>
      </c>
      <c r="Q3648">
        <v>1</v>
      </c>
      <c r="R3648" t="s">
        <v>45100</v>
      </c>
      <c r="S3648" t="s">
        <v>45228</v>
      </c>
      <c r="T3648" t="s">
        <v>47154</v>
      </c>
      <c r="U3648" t="s">
        <v>50568</v>
      </c>
      <c r="W3648" t="s">
        <v>42447</v>
      </c>
      <c r="X3648" t="s">
        <v>45101</v>
      </c>
    </row>
    <row r="3649" spans="1:24">
      <c r="A3649">
        <f>HYPERLINK("https://www.philgeps.gov.ph/GEPSNONPILOT/Tender/SplashBidNoticeAbstractUI.aspx?menuIndex=3&amp;refID=7043645&amp;Result=3","7043645")</f>
        <v>0</v>
      </c>
      <c r="B3649" t="s">
        <v>1120</v>
      </c>
      <c r="C3649" t="s">
        <v>6687</v>
      </c>
      <c r="E3649" t="s">
        <v>21413</v>
      </c>
      <c r="F3649" t="s">
        <v>31574</v>
      </c>
      <c r="G3649" t="s">
        <v>31581</v>
      </c>
      <c r="H3649" t="s">
        <v>31590</v>
      </c>
      <c r="I3649" t="s">
        <v>31603</v>
      </c>
      <c r="J3649" t="s">
        <v>32375</v>
      </c>
      <c r="K3649" t="s">
        <v>41184</v>
      </c>
      <c r="M3649" t="s">
        <v>42817</v>
      </c>
      <c r="N3649" t="s">
        <v>45095</v>
      </c>
      <c r="O3649" t="s">
        <v>45096</v>
      </c>
      <c r="P3649">
        <v>0</v>
      </c>
      <c r="Q3649">
        <v>14</v>
      </c>
      <c r="R3649" t="s">
        <v>45100</v>
      </c>
      <c r="S3649" t="s">
        <v>45228</v>
      </c>
      <c r="T3649" t="s">
        <v>47176</v>
      </c>
      <c r="U3649" t="s">
        <v>50569</v>
      </c>
      <c r="W3649" t="s">
        <v>42817</v>
      </c>
      <c r="X3649" t="s">
        <v>45101</v>
      </c>
    </row>
    <row r="3650" spans="1:24">
      <c r="A3650">
        <f>HYPERLINK("https://www.philgeps.gov.ph/GEPSNONPILOT/Tender/SplashBidNoticeAbstractUI.aspx?menuIndex=3&amp;refID=7043676&amp;Result=3","7043676")</f>
        <v>0</v>
      </c>
      <c r="B3650" t="s">
        <v>1273</v>
      </c>
      <c r="C3650" t="s">
        <v>6688</v>
      </c>
      <c r="D3650" t="s">
        <v>18022</v>
      </c>
      <c r="E3650" t="s">
        <v>21414</v>
      </c>
      <c r="F3650" t="s">
        <v>31574</v>
      </c>
      <c r="G3650" t="s">
        <v>31581</v>
      </c>
      <c r="H3650" t="s">
        <v>31590</v>
      </c>
      <c r="I3650" t="s">
        <v>31608</v>
      </c>
      <c r="J3650" t="s">
        <v>31947</v>
      </c>
      <c r="K3650" t="s">
        <v>41186</v>
      </c>
      <c r="M3650" t="s">
        <v>42841</v>
      </c>
      <c r="N3650" t="s">
        <v>45095</v>
      </c>
      <c r="O3650" t="s">
        <v>45096</v>
      </c>
      <c r="P3650">
        <v>0</v>
      </c>
      <c r="Q3650">
        <v>15</v>
      </c>
      <c r="R3650" t="s">
        <v>45100</v>
      </c>
      <c r="S3650" t="s">
        <v>45228</v>
      </c>
      <c r="T3650" t="s">
        <v>47158</v>
      </c>
      <c r="U3650" t="s">
        <v>50564</v>
      </c>
      <c r="W3650" t="s">
        <v>42841</v>
      </c>
      <c r="X3650" t="s">
        <v>45101</v>
      </c>
    </row>
    <row r="3651" spans="1:24">
      <c r="A3651">
        <f>HYPERLINK("https://www.philgeps.gov.ph/GEPSNONPILOT/Tender/SplashBidNoticeAbstractUI.aspx?menuIndex=3&amp;refID=7043683&amp;Result=3","7043683")</f>
        <v>0</v>
      </c>
      <c r="B3651" t="s">
        <v>921</v>
      </c>
      <c r="C3651" t="s">
        <v>6689</v>
      </c>
      <c r="D3651" t="s">
        <v>18030</v>
      </c>
      <c r="E3651" t="s">
        <v>21415</v>
      </c>
      <c r="F3651" t="s">
        <v>31574</v>
      </c>
      <c r="G3651" t="s">
        <v>31581</v>
      </c>
      <c r="H3651" t="s">
        <v>31590</v>
      </c>
      <c r="I3651" t="s">
        <v>3487</v>
      </c>
      <c r="J3651" t="s">
        <v>34207</v>
      </c>
      <c r="K3651" t="s">
        <v>41184</v>
      </c>
      <c r="M3651" t="s">
        <v>42447</v>
      </c>
      <c r="N3651" t="s">
        <v>45095</v>
      </c>
      <c r="O3651" t="s">
        <v>45096</v>
      </c>
      <c r="P3651">
        <v>0</v>
      </c>
      <c r="Q3651">
        <v>2</v>
      </c>
      <c r="R3651" t="s">
        <v>45100</v>
      </c>
      <c r="S3651" t="s">
        <v>45228</v>
      </c>
      <c r="T3651" t="s">
        <v>47154</v>
      </c>
      <c r="U3651" t="s">
        <v>50570</v>
      </c>
      <c r="W3651" t="s">
        <v>42447</v>
      </c>
      <c r="X3651" t="s">
        <v>45101</v>
      </c>
    </row>
    <row r="3652" spans="1:24">
      <c r="A3652">
        <f>HYPERLINK("https://www.philgeps.gov.ph/GEPSNONPILOT/Tender/SplashBidNoticeAbstractUI.aspx?menuIndex=3&amp;refID=6999393&amp;Result=3","6999393")</f>
        <v>0</v>
      </c>
      <c r="B3652" t="s">
        <v>1275</v>
      </c>
      <c r="C3652" t="s">
        <v>6690</v>
      </c>
      <c r="E3652" t="s">
        <v>21416</v>
      </c>
      <c r="F3652" t="s">
        <v>31574</v>
      </c>
      <c r="G3652" t="s">
        <v>31582</v>
      </c>
      <c r="H3652" t="s">
        <v>31590</v>
      </c>
      <c r="I3652" t="s">
        <v>31615</v>
      </c>
      <c r="J3652" t="s">
        <v>34208</v>
      </c>
      <c r="K3652" t="s">
        <v>41200</v>
      </c>
      <c r="M3652" t="s">
        <v>42843</v>
      </c>
      <c r="N3652" t="s">
        <v>45095</v>
      </c>
      <c r="O3652" t="s">
        <v>45096</v>
      </c>
      <c r="P3652">
        <v>0</v>
      </c>
      <c r="Q3652">
        <v>13</v>
      </c>
      <c r="R3652" t="s">
        <v>45101</v>
      </c>
      <c r="S3652" t="s">
        <v>45231</v>
      </c>
      <c r="T3652" t="s">
        <v>47166</v>
      </c>
      <c r="U3652" t="s">
        <v>50571</v>
      </c>
      <c r="V3652" t="s">
        <v>60209</v>
      </c>
      <c r="W3652" t="s">
        <v>42843</v>
      </c>
      <c r="X3652" t="s">
        <v>45128</v>
      </c>
    </row>
    <row r="3653" spans="1:24">
      <c r="A3653">
        <f>HYPERLINK("https://www.philgeps.gov.ph/GEPSNONPILOT/Tender/SplashBidNoticeAbstractUI.aspx?menuIndex=3&amp;refID=6937456&amp;Result=3","6937456")</f>
        <v>0</v>
      </c>
      <c r="B3653" t="s">
        <v>1276</v>
      </c>
      <c r="C3653" t="s">
        <v>6691</v>
      </c>
      <c r="D3653" t="s">
        <v>18075</v>
      </c>
      <c r="E3653" t="s">
        <v>21417</v>
      </c>
      <c r="F3653" t="s">
        <v>31574</v>
      </c>
      <c r="G3653" t="s">
        <v>31582</v>
      </c>
      <c r="H3653" t="s">
        <v>31591</v>
      </c>
      <c r="I3653" t="s">
        <v>8822</v>
      </c>
      <c r="J3653" t="s">
        <v>31780</v>
      </c>
      <c r="K3653" t="s">
        <v>41186</v>
      </c>
      <c r="M3653" t="s">
        <v>42844</v>
      </c>
      <c r="N3653" t="s">
        <v>45095</v>
      </c>
      <c r="O3653" t="s">
        <v>45096</v>
      </c>
      <c r="P3653">
        <v>0</v>
      </c>
      <c r="Q3653">
        <v>1</v>
      </c>
      <c r="R3653" t="s">
        <v>45101</v>
      </c>
      <c r="S3653" t="s">
        <v>45231</v>
      </c>
      <c r="T3653" t="s">
        <v>47086</v>
      </c>
      <c r="U3653" t="s">
        <v>50572</v>
      </c>
      <c r="W3653" t="s">
        <v>42844</v>
      </c>
      <c r="X3653" t="s">
        <v>45170</v>
      </c>
    </row>
    <row r="3654" spans="1:24">
      <c r="A3654">
        <f>HYPERLINK("https://www.philgeps.gov.ph/GEPSNONPILOT/Tender/SplashBidNoticeAbstractUI.aspx?menuIndex=3&amp;refID=6989265&amp;Result=3","6989265")</f>
        <v>0</v>
      </c>
      <c r="B3654" t="s">
        <v>1277</v>
      </c>
      <c r="C3654" t="s">
        <v>6692</v>
      </c>
      <c r="D3654" t="s">
        <v>18023</v>
      </c>
      <c r="E3654" t="s">
        <v>21418</v>
      </c>
      <c r="F3654" t="s">
        <v>31574</v>
      </c>
      <c r="G3654" t="s">
        <v>31582</v>
      </c>
      <c r="H3654" t="s">
        <v>31590</v>
      </c>
      <c r="I3654" t="s">
        <v>8258</v>
      </c>
      <c r="J3654" t="s">
        <v>34209</v>
      </c>
      <c r="K3654" t="s">
        <v>41196</v>
      </c>
      <c r="M3654" t="s">
        <v>42845</v>
      </c>
      <c r="N3654" t="s">
        <v>45095</v>
      </c>
      <c r="O3654" t="s">
        <v>45096</v>
      </c>
      <c r="P3654">
        <v>0</v>
      </c>
      <c r="Q3654">
        <v>18</v>
      </c>
      <c r="R3654" t="s">
        <v>45101</v>
      </c>
      <c r="S3654" t="s">
        <v>45231</v>
      </c>
      <c r="T3654" t="s">
        <v>46909</v>
      </c>
      <c r="U3654" t="s">
        <v>50573</v>
      </c>
      <c r="W3654" t="s">
        <v>42845</v>
      </c>
      <c r="X3654" t="s">
        <v>45134</v>
      </c>
    </row>
    <row r="3655" spans="1:24">
      <c r="A3655">
        <f>HYPERLINK("https://www.philgeps.gov.ph/GEPSNONPILOT/Tender/SplashBidNoticeAbstractUI.aspx?menuIndex=3&amp;refID=7043675&amp;Result=3","7043675")</f>
        <v>0</v>
      </c>
      <c r="B3655" t="s">
        <v>921</v>
      </c>
      <c r="C3655" t="s">
        <v>6693</v>
      </c>
      <c r="D3655" t="s">
        <v>18066</v>
      </c>
      <c r="E3655" t="s">
        <v>21419</v>
      </c>
      <c r="F3655" t="s">
        <v>31574</v>
      </c>
      <c r="G3655" t="s">
        <v>31581</v>
      </c>
      <c r="H3655" t="s">
        <v>31590</v>
      </c>
      <c r="I3655" t="s">
        <v>31617</v>
      </c>
      <c r="J3655" t="s">
        <v>32258</v>
      </c>
      <c r="K3655" t="s">
        <v>41184</v>
      </c>
      <c r="M3655" t="s">
        <v>42447</v>
      </c>
      <c r="N3655" t="s">
        <v>45095</v>
      </c>
      <c r="O3655" t="s">
        <v>45096</v>
      </c>
      <c r="P3655">
        <v>0</v>
      </c>
      <c r="Q3655">
        <v>1</v>
      </c>
      <c r="R3655" t="s">
        <v>45100</v>
      </c>
      <c r="S3655" t="s">
        <v>45228</v>
      </c>
      <c r="T3655" t="s">
        <v>47154</v>
      </c>
      <c r="U3655" t="s">
        <v>50574</v>
      </c>
      <c r="V3655" t="s">
        <v>60080</v>
      </c>
      <c r="W3655" t="s">
        <v>42447</v>
      </c>
      <c r="X3655" t="s">
        <v>45101</v>
      </c>
    </row>
    <row r="3656" spans="1:24">
      <c r="A3656">
        <f>HYPERLINK("https://www.philgeps.gov.ph/GEPSNONPILOT/Tender/SplashBidNoticeAbstractUI.aspx?menuIndex=3&amp;refID=7043673&amp;Result=3","7043673")</f>
        <v>0</v>
      </c>
      <c r="B3656" t="s">
        <v>921</v>
      </c>
      <c r="C3656" t="s">
        <v>6694</v>
      </c>
      <c r="D3656" t="s">
        <v>18030</v>
      </c>
      <c r="E3656" t="s">
        <v>21420</v>
      </c>
      <c r="F3656" t="s">
        <v>31574</v>
      </c>
      <c r="G3656" t="s">
        <v>31581</v>
      </c>
      <c r="H3656" t="s">
        <v>31590</v>
      </c>
      <c r="I3656" t="s">
        <v>3487</v>
      </c>
      <c r="J3656" t="s">
        <v>34210</v>
      </c>
      <c r="K3656" t="s">
        <v>41184</v>
      </c>
      <c r="M3656" t="s">
        <v>42447</v>
      </c>
      <c r="N3656" t="s">
        <v>45095</v>
      </c>
      <c r="O3656" t="s">
        <v>45096</v>
      </c>
      <c r="P3656">
        <v>0</v>
      </c>
      <c r="Q3656">
        <v>2</v>
      </c>
      <c r="R3656" t="s">
        <v>45100</v>
      </c>
      <c r="S3656" t="s">
        <v>45228</v>
      </c>
      <c r="T3656" t="s">
        <v>47154</v>
      </c>
      <c r="U3656" t="s">
        <v>50575</v>
      </c>
      <c r="W3656" t="s">
        <v>42447</v>
      </c>
      <c r="X3656" t="s">
        <v>45101</v>
      </c>
    </row>
    <row r="3657" spans="1:24">
      <c r="A3657">
        <f>HYPERLINK("https://www.philgeps.gov.ph/GEPSNONPILOT/Tender/SplashBidNoticeAbstractUI.aspx?menuIndex=3&amp;refID=6999043&amp;Result=3","6999043")</f>
        <v>0</v>
      </c>
      <c r="B3657" t="s">
        <v>1278</v>
      </c>
      <c r="C3657" t="s">
        <v>6695</v>
      </c>
      <c r="D3657" t="s">
        <v>18044</v>
      </c>
      <c r="E3657" t="s">
        <v>21421</v>
      </c>
      <c r="F3657" t="s">
        <v>31574</v>
      </c>
      <c r="G3657" t="s">
        <v>31584</v>
      </c>
      <c r="H3657" t="s">
        <v>31590</v>
      </c>
      <c r="I3657" t="s">
        <v>4354</v>
      </c>
      <c r="J3657" t="s">
        <v>34211</v>
      </c>
      <c r="K3657" t="s">
        <v>41206</v>
      </c>
      <c r="M3657" t="s">
        <v>42846</v>
      </c>
      <c r="N3657" t="s">
        <v>45095</v>
      </c>
      <c r="O3657" t="s">
        <v>45096</v>
      </c>
      <c r="P3657">
        <v>0</v>
      </c>
      <c r="Q3657">
        <v>4</v>
      </c>
      <c r="R3657" t="s">
        <v>45101</v>
      </c>
      <c r="S3657" t="s">
        <v>45231</v>
      </c>
      <c r="T3657" t="s">
        <v>47076</v>
      </c>
      <c r="U3657" t="s">
        <v>50576</v>
      </c>
      <c r="W3657" t="s">
        <v>42846</v>
      </c>
      <c r="X3657" t="s">
        <v>61781</v>
      </c>
    </row>
    <row r="3658" spans="1:24">
      <c r="A3658">
        <f>HYPERLINK("https://www.philgeps.gov.ph/GEPSNONPILOT/Tender/SplashBidNoticeAbstractUI.aspx?menuIndex=3&amp;refID=6937760&amp;Result=3","6937760")</f>
        <v>0</v>
      </c>
      <c r="B3658" t="s">
        <v>1231</v>
      </c>
      <c r="C3658" t="s">
        <v>6696</v>
      </c>
      <c r="D3658" t="s">
        <v>18098</v>
      </c>
      <c r="E3658" t="s">
        <v>21422</v>
      </c>
      <c r="F3658" t="s">
        <v>31574</v>
      </c>
      <c r="G3658" t="s">
        <v>31581</v>
      </c>
      <c r="H3658" t="s">
        <v>31590</v>
      </c>
      <c r="I3658" t="s">
        <v>31594</v>
      </c>
      <c r="J3658" t="s">
        <v>34212</v>
      </c>
      <c r="K3658" t="s">
        <v>41184</v>
      </c>
      <c r="M3658" t="s">
        <v>42793</v>
      </c>
      <c r="N3658" t="s">
        <v>45095</v>
      </c>
      <c r="O3658" t="s">
        <v>45096</v>
      </c>
      <c r="P3658">
        <v>0</v>
      </c>
      <c r="Q3658">
        <v>6</v>
      </c>
      <c r="R3658" t="s">
        <v>45101</v>
      </c>
      <c r="S3658" t="s">
        <v>45231</v>
      </c>
      <c r="T3658" t="s">
        <v>47125</v>
      </c>
      <c r="U3658" t="s">
        <v>50577</v>
      </c>
      <c r="W3658" t="s">
        <v>42793</v>
      </c>
      <c r="X3658" t="s">
        <v>45170</v>
      </c>
    </row>
    <row r="3659" spans="1:24">
      <c r="A3659">
        <f>HYPERLINK("https://www.philgeps.gov.ph/GEPSNONPILOT/Tender/SplashBidNoticeAbstractUI.aspx?menuIndex=3&amp;refID=7011548&amp;Result=3","7011548")</f>
        <v>0</v>
      </c>
      <c r="B3659" t="s">
        <v>1279</v>
      </c>
      <c r="C3659" t="s">
        <v>6697</v>
      </c>
      <c r="D3659" t="s">
        <v>18058</v>
      </c>
      <c r="E3659" t="s">
        <v>21423</v>
      </c>
      <c r="F3659" t="s">
        <v>31574</v>
      </c>
      <c r="G3659" t="s">
        <v>31581</v>
      </c>
      <c r="H3659" t="s">
        <v>31590</v>
      </c>
      <c r="I3659" t="s">
        <v>31614</v>
      </c>
      <c r="J3659" t="s">
        <v>32216</v>
      </c>
      <c r="K3659" t="s">
        <v>41193</v>
      </c>
      <c r="M3659" t="s">
        <v>42847</v>
      </c>
      <c r="N3659" t="s">
        <v>45095</v>
      </c>
      <c r="O3659" t="s">
        <v>45096</v>
      </c>
      <c r="P3659">
        <v>0</v>
      </c>
      <c r="Q3659">
        <v>0</v>
      </c>
      <c r="R3659" t="s">
        <v>45101</v>
      </c>
      <c r="S3659" t="s">
        <v>45231</v>
      </c>
      <c r="T3659" t="s">
        <v>47159</v>
      </c>
      <c r="U3659" t="s">
        <v>50578</v>
      </c>
      <c r="W3659" t="s">
        <v>42847</v>
      </c>
      <c r="X3659" t="s">
        <v>45118</v>
      </c>
    </row>
    <row r="3660" spans="1:24">
      <c r="A3660">
        <f>HYPERLINK("https://www.philgeps.gov.ph/GEPSNONPILOT/Tender/SplashBidNoticeAbstractUI.aspx?menuIndex=3&amp;refID=6999061&amp;Result=3","6999061")</f>
        <v>0</v>
      </c>
      <c r="B3660" t="s">
        <v>1278</v>
      </c>
      <c r="C3660" t="s">
        <v>6698</v>
      </c>
      <c r="D3660" t="s">
        <v>18044</v>
      </c>
      <c r="E3660" t="s">
        <v>21424</v>
      </c>
      <c r="F3660" t="s">
        <v>31574</v>
      </c>
      <c r="G3660" t="s">
        <v>31581</v>
      </c>
      <c r="H3660" t="s">
        <v>31590</v>
      </c>
      <c r="I3660" t="s">
        <v>3539</v>
      </c>
      <c r="J3660" t="s">
        <v>32315</v>
      </c>
      <c r="K3660" t="s">
        <v>41278</v>
      </c>
      <c r="M3660" t="s">
        <v>42846</v>
      </c>
      <c r="N3660" t="s">
        <v>45095</v>
      </c>
      <c r="O3660" t="s">
        <v>45096</v>
      </c>
      <c r="P3660">
        <v>0</v>
      </c>
      <c r="Q3660">
        <v>1</v>
      </c>
      <c r="R3660" t="s">
        <v>45101</v>
      </c>
      <c r="S3660" t="s">
        <v>45231</v>
      </c>
      <c r="T3660" t="s">
        <v>47076</v>
      </c>
      <c r="U3660" t="s">
        <v>50579</v>
      </c>
      <c r="W3660" t="s">
        <v>42846</v>
      </c>
      <c r="X3660" t="s">
        <v>61781</v>
      </c>
    </row>
    <row r="3661" spans="1:24">
      <c r="A3661">
        <f>HYPERLINK("https://www.philgeps.gov.ph/GEPSNONPILOT/Tender/SplashBidNoticeAbstractUI.aspx?menuIndex=3&amp;refID=6999030&amp;Result=3","6999030")</f>
        <v>0</v>
      </c>
      <c r="B3661" t="s">
        <v>1278</v>
      </c>
      <c r="C3661" t="s">
        <v>6699</v>
      </c>
      <c r="D3661" t="s">
        <v>18044</v>
      </c>
      <c r="E3661" t="s">
        <v>21425</v>
      </c>
      <c r="F3661" t="s">
        <v>31574</v>
      </c>
      <c r="G3661" t="s">
        <v>31581</v>
      </c>
      <c r="H3661" t="s">
        <v>31590</v>
      </c>
      <c r="I3661" t="s">
        <v>3539</v>
      </c>
      <c r="J3661" t="s">
        <v>34213</v>
      </c>
      <c r="K3661" t="s">
        <v>41196</v>
      </c>
      <c r="M3661" t="s">
        <v>42846</v>
      </c>
      <c r="N3661" t="s">
        <v>45095</v>
      </c>
      <c r="O3661" t="s">
        <v>45096</v>
      </c>
      <c r="P3661">
        <v>0</v>
      </c>
      <c r="Q3661">
        <v>2</v>
      </c>
      <c r="R3661" t="s">
        <v>45101</v>
      </c>
      <c r="S3661" t="s">
        <v>45231</v>
      </c>
      <c r="T3661" t="s">
        <v>47076</v>
      </c>
      <c r="U3661" t="s">
        <v>50580</v>
      </c>
      <c r="W3661" t="s">
        <v>42846</v>
      </c>
      <c r="X3661" t="s">
        <v>61781</v>
      </c>
    </row>
    <row r="3662" spans="1:24">
      <c r="A3662">
        <f>HYPERLINK("https://www.philgeps.gov.ph/GEPSNONPILOT/Tender/SplashBidNoticeAbstractUI.aspx?menuIndex=3&amp;refID=7043672&amp;Result=3","7043672")</f>
        <v>0</v>
      </c>
      <c r="B3662" t="s">
        <v>1280</v>
      </c>
      <c r="C3662" t="s">
        <v>6700</v>
      </c>
      <c r="D3662" t="s">
        <v>18041</v>
      </c>
      <c r="E3662" t="s">
        <v>18575</v>
      </c>
      <c r="F3662" t="s">
        <v>31574</v>
      </c>
      <c r="G3662" t="s">
        <v>31581</v>
      </c>
      <c r="H3662" t="s">
        <v>31590</v>
      </c>
      <c r="I3662" t="s">
        <v>4046</v>
      </c>
      <c r="J3662" t="s">
        <v>32884</v>
      </c>
      <c r="K3662" t="s">
        <v>41193</v>
      </c>
      <c r="M3662" t="s">
        <v>42848</v>
      </c>
      <c r="N3662" t="s">
        <v>45095</v>
      </c>
      <c r="O3662" t="s">
        <v>45096</v>
      </c>
      <c r="P3662">
        <v>0</v>
      </c>
      <c r="Q3662">
        <v>0</v>
      </c>
      <c r="R3662" t="s">
        <v>45100</v>
      </c>
      <c r="S3662" t="s">
        <v>45228</v>
      </c>
      <c r="T3662" t="s">
        <v>47058</v>
      </c>
      <c r="U3662" t="s">
        <v>50581</v>
      </c>
      <c r="W3662" t="s">
        <v>42848</v>
      </c>
      <c r="X3662" t="s">
        <v>45101</v>
      </c>
    </row>
    <row r="3663" spans="1:24">
      <c r="A3663">
        <f>HYPERLINK("https://www.philgeps.gov.ph/GEPSNONPILOT/Tender/SplashBidNoticeAbstractUI.aspx?menuIndex=3&amp;refID=7025740&amp;Result=3","7025740")</f>
        <v>0</v>
      </c>
      <c r="B3663" t="s">
        <v>1281</v>
      </c>
      <c r="C3663" t="s">
        <v>3983</v>
      </c>
      <c r="D3663" t="s">
        <v>18064</v>
      </c>
      <c r="E3663" t="s">
        <v>21426</v>
      </c>
      <c r="F3663" t="s">
        <v>31574</v>
      </c>
      <c r="G3663" t="s">
        <v>31582</v>
      </c>
      <c r="H3663" t="s">
        <v>31591</v>
      </c>
      <c r="I3663" t="s">
        <v>8822</v>
      </c>
      <c r="J3663" t="s">
        <v>31727</v>
      </c>
      <c r="K3663" t="s">
        <v>41238</v>
      </c>
      <c r="M3663" t="s">
        <v>42849</v>
      </c>
      <c r="N3663" t="s">
        <v>45095</v>
      </c>
      <c r="O3663" t="s">
        <v>45096</v>
      </c>
      <c r="P3663">
        <v>0</v>
      </c>
      <c r="Q3663">
        <v>0</v>
      </c>
      <c r="R3663" t="s">
        <v>45101</v>
      </c>
      <c r="S3663" t="s">
        <v>45231</v>
      </c>
      <c r="T3663" t="s">
        <v>46918</v>
      </c>
      <c r="U3663" t="s">
        <v>50582</v>
      </c>
      <c r="W3663" t="s">
        <v>42849</v>
      </c>
      <c r="X3663" t="s">
        <v>45110</v>
      </c>
    </row>
    <row r="3664" spans="1:24">
      <c r="A3664">
        <f>HYPERLINK("https://www.philgeps.gov.ph/GEPSNONPILOT/Tender/SplashBidNoticeAbstractUI.aspx?menuIndex=3&amp;refID=7009914&amp;Result=3","7009914")</f>
        <v>0</v>
      </c>
      <c r="B3664" t="s">
        <v>1282</v>
      </c>
      <c r="C3664" t="s">
        <v>6701</v>
      </c>
      <c r="D3664" t="s">
        <v>18033</v>
      </c>
      <c r="E3664" t="s">
        <v>19648</v>
      </c>
      <c r="F3664" t="s">
        <v>31574</v>
      </c>
      <c r="G3664" t="s">
        <v>31582</v>
      </c>
      <c r="H3664" t="s">
        <v>31590</v>
      </c>
      <c r="I3664" t="s">
        <v>31595</v>
      </c>
      <c r="J3664" t="s">
        <v>34214</v>
      </c>
      <c r="K3664" t="s">
        <v>41186</v>
      </c>
      <c r="M3664" t="s">
        <v>42850</v>
      </c>
      <c r="N3664" t="s">
        <v>45095</v>
      </c>
      <c r="O3664" t="s">
        <v>45096</v>
      </c>
      <c r="P3664">
        <v>0</v>
      </c>
      <c r="Q3664">
        <v>0</v>
      </c>
      <c r="R3664" t="s">
        <v>45101</v>
      </c>
      <c r="S3664" t="s">
        <v>45231</v>
      </c>
      <c r="T3664" t="s">
        <v>47055</v>
      </c>
      <c r="U3664" t="s">
        <v>50583</v>
      </c>
      <c r="W3664" t="s">
        <v>42850</v>
      </c>
      <c r="X3664" t="s">
        <v>45118</v>
      </c>
    </row>
    <row r="3665" spans="1:24">
      <c r="A3665">
        <f>HYPERLINK("https://www.philgeps.gov.ph/GEPSNONPILOT/Tender/SplashBidNoticeAbstractUI.aspx?menuIndex=3&amp;refID=7021927-2&amp;Result=3","7021927-2")</f>
        <v>0</v>
      </c>
      <c r="B3665" t="s">
        <v>506</v>
      </c>
      <c r="C3665" t="s">
        <v>6702</v>
      </c>
      <c r="E3665" t="s">
        <v>21427</v>
      </c>
      <c r="F3665" t="s">
        <v>31574</v>
      </c>
      <c r="G3665" t="s">
        <v>31582</v>
      </c>
      <c r="H3665" t="s">
        <v>31593</v>
      </c>
      <c r="I3665" t="s">
        <v>31593</v>
      </c>
      <c r="J3665" t="s">
        <v>34215</v>
      </c>
      <c r="K3665" t="s">
        <v>41184</v>
      </c>
      <c r="M3665" t="s">
        <v>42002</v>
      </c>
      <c r="N3665" t="s">
        <v>45095</v>
      </c>
      <c r="O3665" t="s">
        <v>45096</v>
      </c>
      <c r="P3665">
        <v>0</v>
      </c>
      <c r="Q3665">
        <v>0</v>
      </c>
      <c r="R3665" t="s">
        <v>45101</v>
      </c>
      <c r="S3665" t="s">
        <v>45231</v>
      </c>
      <c r="T3665" t="s">
        <v>47000</v>
      </c>
      <c r="U3665" t="s">
        <v>50584</v>
      </c>
      <c r="V3665" t="s">
        <v>60210</v>
      </c>
      <c r="W3665" t="s">
        <v>42002</v>
      </c>
      <c r="X3665" t="s">
        <v>45102</v>
      </c>
    </row>
    <row r="3666" spans="1:24">
      <c r="A3666">
        <f>HYPERLINK("https://www.philgeps.gov.ph/GEPSNONPILOT/Tender/SplashBidNoticeAbstractUI.aspx?menuIndex=3&amp;refID=7022519&amp;Result=3","7022519")</f>
        <v>0</v>
      </c>
      <c r="B3666" t="s">
        <v>1283</v>
      </c>
      <c r="C3666" t="s">
        <v>3520</v>
      </c>
      <c r="D3666" t="s">
        <v>18052</v>
      </c>
      <c r="E3666" t="s">
        <v>18227</v>
      </c>
      <c r="F3666" t="s">
        <v>31574</v>
      </c>
      <c r="G3666" t="s">
        <v>31583</v>
      </c>
      <c r="H3666" t="s">
        <v>31590</v>
      </c>
      <c r="I3666" t="s">
        <v>3520</v>
      </c>
      <c r="J3666" t="s">
        <v>32013</v>
      </c>
      <c r="K3666" t="s">
        <v>41197</v>
      </c>
      <c r="M3666" t="s">
        <v>42851</v>
      </c>
      <c r="N3666" t="s">
        <v>45095</v>
      </c>
      <c r="O3666" t="s">
        <v>45096</v>
      </c>
      <c r="P3666">
        <v>0</v>
      </c>
      <c r="Q3666">
        <v>0</v>
      </c>
      <c r="R3666" t="s">
        <v>45101</v>
      </c>
      <c r="S3666" t="s">
        <v>45231</v>
      </c>
      <c r="T3666" t="s">
        <v>47158</v>
      </c>
      <c r="U3666" t="s">
        <v>50585</v>
      </c>
      <c r="W3666" t="s">
        <v>42851</v>
      </c>
      <c r="X3666" t="s">
        <v>45111</v>
      </c>
    </row>
    <row r="3667" spans="1:24">
      <c r="A3667">
        <f>HYPERLINK("https://www.philgeps.gov.ph/GEPSNONPILOT/Tender/SplashBidNoticeAbstractUI.aspx?menuIndex=3&amp;refID=7025927&amp;Result=3","7025927")</f>
        <v>0</v>
      </c>
      <c r="B3667" t="s">
        <v>1284</v>
      </c>
      <c r="C3667" t="s">
        <v>6703</v>
      </c>
      <c r="D3667" t="s">
        <v>18064</v>
      </c>
      <c r="E3667" t="s">
        <v>21428</v>
      </c>
      <c r="F3667" t="s">
        <v>31574</v>
      </c>
      <c r="G3667" t="s">
        <v>31582</v>
      </c>
      <c r="H3667" t="s">
        <v>31591</v>
      </c>
      <c r="I3667" t="s">
        <v>8822</v>
      </c>
      <c r="J3667" t="s">
        <v>31780</v>
      </c>
      <c r="K3667" t="s">
        <v>41278</v>
      </c>
      <c r="M3667" t="s">
        <v>42852</v>
      </c>
      <c r="N3667" t="s">
        <v>45095</v>
      </c>
      <c r="O3667" t="s">
        <v>45096</v>
      </c>
      <c r="P3667">
        <v>0</v>
      </c>
      <c r="Q3667">
        <v>0</v>
      </c>
      <c r="R3667" t="s">
        <v>45101</v>
      </c>
      <c r="S3667" t="s">
        <v>45231</v>
      </c>
      <c r="T3667" t="s">
        <v>46918</v>
      </c>
      <c r="U3667" t="s">
        <v>50586</v>
      </c>
      <c r="W3667" t="s">
        <v>42852</v>
      </c>
      <c r="X3667" t="s">
        <v>45110</v>
      </c>
    </row>
    <row r="3668" spans="1:24">
      <c r="A3668">
        <f>HYPERLINK("https://www.philgeps.gov.ph/GEPSNONPILOT/Tender/SplashBidNoticeAbstractUI.aspx?menuIndex=3&amp;refID=7014755-2&amp;Result=3","7014755-2")</f>
        <v>0</v>
      </c>
      <c r="B3668" t="s">
        <v>198</v>
      </c>
      <c r="C3668" t="s">
        <v>6704</v>
      </c>
      <c r="D3668" t="s">
        <v>18053</v>
      </c>
      <c r="E3668" t="s">
        <v>21429</v>
      </c>
      <c r="F3668" t="s">
        <v>31574</v>
      </c>
      <c r="G3668" t="s">
        <v>31582</v>
      </c>
      <c r="H3668" t="s">
        <v>31593</v>
      </c>
      <c r="I3668" t="s">
        <v>31593</v>
      </c>
      <c r="J3668" t="s">
        <v>34216</v>
      </c>
      <c r="K3668" t="s">
        <v>41279</v>
      </c>
      <c r="M3668" t="s">
        <v>42853</v>
      </c>
      <c r="N3668" t="s">
        <v>45095</v>
      </c>
      <c r="O3668" t="s">
        <v>45096</v>
      </c>
      <c r="P3668">
        <v>0</v>
      </c>
      <c r="Q3668">
        <v>0</v>
      </c>
      <c r="R3668" t="s">
        <v>45101</v>
      </c>
      <c r="S3668" t="s">
        <v>45231</v>
      </c>
      <c r="T3668" t="s">
        <v>46922</v>
      </c>
      <c r="U3668" t="s">
        <v>50587</v>
      </c>
      <c r="W3668" t="s">
        <v>42853</v>
      </c>
      <c r="X3668" t="s">
        <v>45102</v>
      </c>
    </row>
    <row r="3669" spans="1:24">
      <c r="A3669">
        <f>HYPERLINK("https://www.philgeps.gov.ph/GEPSNONPILOT/Tender/SplashBidNoticeAbstractUI.aspx?menuIndex=3&amp;refID=7025837&amp;Result=3","7025837")</f>
        <v>0</v>
      </c>
      <c r="B3669" t="s">
        <v>1285</v>
      </c>
      <c r="C3669" t="s">
        <v>6703</v>
      </c>
      <c r="D3669" t="s">
        <v>18064</v>
      </c>
      <c r="E3669" t="s">
        <v>21430</v>
      </c>
      <c r="F3669" t="s">
        <v>31574</v>
      </c>
      <c r="G3669" t="s">
        <v>31582</v>
      </c>
      <c r="H3669" t="s">
        <v>31591</v>
      </c>
      <c r="I3669" t="s">
        <v>8822</v>
      </c>
      <c r="J3669" t="s">
        <v>31726</v>
      </c>
      <c r="K3669" t="s">
        <v>41213</v>
      </c>
      <c r="M3669" t="s">
        <v>42854</v>
      </c>
      <c r="N3669" t="s">
        <v>45095</v>
      </c>
      <c r="O3669" t="s">
        <v>45096</v>
      </c>
      <c r="P3669">
        <v>0</v>
      </c>
      <c r="Q3669">
        <v>0</v>
      </c>
      <c r="R3669" t="s">
        <v>45101</v>
      </c>
      <c r="S3669" t="s">
        <v>45231</v>
      </c>
      <c r="T3669" t="s">
        <v>46918</v>
      </c>
      <c r="U3669" t="s">
        <v>50588</v>
      </c>
      <c r="W3669" t="s">
        <v>42854</v>
      </c>
      <c r="X3669" t="s">
        <v>45110</v>
      </c>
    </row>
    <row r="3670" spans="1:24">
      <c r="A3670">
        <f>HYPERLINK("https://www.philgeps.gov.ph/GEPSNONPILOT/Tender/SplashBidNoticeAbstractUI.aspx?menuIndex=3&amp;refID=7021908-2&amp;Result=3","7021908-2")</f>
        <v>0</v>
      </c>
      <c r="B3670" t="s">
        <v>506</v>
      </c>
      <c r="C3670" t="s">
        <v>6705</v>
      </c>
      <c r="E3670" t="s">
        <v>21431</v>
      </c>
      <c r="F3670" t="s">
        <v>31574</v>
      </c>
      <c r="G3670" t="s">
        <v>31582</v>
      </c>
      <c r="H3670" t="s">
        <v>31593</v>
      </c>
      <c r="I3670" t="s">
        <v>31593</v>
      </c>
      <c r="J3670" t="s">
        <v>34217</v>
      </c>
      <c r="K3670" t="s">
        <v>41184</v>
      </c>
      <c r="M3670" t="s">
        <v>42002</v>
      </c>
      <c r="N3670" t="s">
        <v>45095</v>
      </c>
      <c r="O3670" t="s">
        <v>45096</v>
      </c>
      <c r="P3670">
        <v>0</v>
      </c>
      <c r="Q3670">
        <v>0</v>
      </c>
      <c r="R3670" t="s">
        <v>45101</v>
      </c>
      <c r="S3670" t="s">
        <v>45231</v>
      </c>
      <c r="T3670" t="s">
        <v>47000</v>
      </c>
      <c r="U3670" t="s">
        <v>50589</v>
      </c>
      <c r="V3670" t="s">
        <v>60211</v>
      </c>
      <c r="W3670" t="s">
        <v>42002</v>
      </c>
      <c r="X3670" t="s">
        <v>45102</v>
      </c>
    </row>
    <row r="3671" spans="1:24">
      <c r="A3671">
        <f>HYPERLINK("https://www.philgeps.gov.ph/GEPSNONPILOT/Tender/SplashBidNoticeAbstractUI.aspx?menuIndex=3&amp;refID=7013221-2&amp;Result=3","7013221-2")</f>
        <v>0</v>
      </c>
      <c r="B3671" t="s">
        <v>1286</v>
      </c>
      <c r="C3671" t="s">
        <v>6706</v>
      </c>
      <c r="D3671" t="s">
        <v>18066</v>
      </c>
      <c r="E3671" t="s">
        <v>21432</v>
      </c>
      <c r="F3671" t="s">
        <v>31574</v>
      </c>
      <c r="G3671" t="s">
        <v>31582</v>
      </c>
      <c r="H3671" t="s">
        <v>31593</v>
      </c>
      <c r="I3671" t="s">
        <v>31593</v>
      </c>
      <c r="J3671" t="s">
        <v>31819</v>
      </c>
      <c r="K3671" t="s">
        <v>41190</v>
      </c>
      <c r="M3671" t="s">
        <v>42855</v>
      </c>
      <c r="N3671" t="s">
        <v>45095</v>
      </c>
      <c r="O3671" t="s">
        <v>45096</v>
      </c>
      <c r="P3671">
        <v>0</v>
      </c>
      <c r="Q3671">
        <v>0</v>
      </c>
      <c r="R3671" t="s">
        <v>45101</v>
      </c>
      <c r="S3671" t="s">
        <v>45231</v>
      </c>
      <c r="T3671" t="s">
        <v>46912</v>
      </c>
      <c r="U3671" t="s">
        <v>50590</v>
      </c>
      <c r="W3671" t="s">
        <v>42855</v>
      </c>
      <c r="X3671" t="s">
        <v>45102</v>
      </c>
    </row>
    <row r="3672" spans="1:24">
      <c r="A3672">
        <f>HYPERLINK("https://www.philgeps.gov.ph/GEPSNONPILOT/Tender/SplashBidNoticeAbstractUI.aspx?menuIndex=3&amp;refID=7015488&amp;Result=3","7015488")</f>
        <v>0</v>
      </c>
      <c r="B3672" t="s">
        <v>1287</v>
      </c>
      <c r="C3672" t="s">
        <v>6707</v>
      </c>
      <c r="E3672" t="s">
        <v>21433</v>
      </c>
      <c r="F3672" t="s">
        <v>31574</v>
      </c>
      <c r="G3672" t="s">
        <v>31583</v>
      </c>
      <c r="H3672" t="s">
        <v>31590</v>
      </c>
      <c r="I3672" t="s">
        <v>5717</v>
      </c>
      <c r="J3672" t="s">
        <v>32258</v>
      </c>
      <c r="K3672" t="s">
        <v>41193</v>
      </c>
      <c r="M3672" t="s">
        <v>42856</v>
      </c>
      <c r="N3672" t="s">
        <v>45095</v>
      </c>
      <c r="O3672" t="s">
        <v>45096</v>
      </c>
      <c r="P3672">
        <v>0</v>
      </c>
      <c r="Q3672">
        <v>5</v>
      </c>
      <c r="R3672" t="s">
        <v>45101</v>
      </c>
      <c r="S3672" t="s">
        <v>45231</v>
      </c>
      <c r="T3672" t="s">
        <v>47167</v>
      </c>
      <c r="U3672" t="s">
        <v>50591</v>
      </c>
      <c r="W3672" t="s">
        <v>42856</v>
      </c>
      <c r="X3672" t="s">
        <v>45116</v>
      </c>
    </row>
    <row r="3673" spans="1:24">
      <c r="A3673">
        <f>HYPERLINK("https://www.philgeps.gov.ph/GEPSNONPILOT/Tender/SplashBidNoticeAbstractUI.aspx?menuIndex=3&amp;refID=7029460&amp;Result=3","7029460")</f>
        <v>0</v>
      </c>
      <c r="B3673" t="s">
        <v>1288</v>
      </c>
      <c r="C3673" t="s">
        <v>6708</v>
      </c>
      <c r="D3673" t="s">
        <v>18057</v>
      </c>
      <c r="E3673" t="s">
        <v>21434</v>
      </c>
      <c r="F3673" t="s">
        <v>31574</v>
      </c>
      <c r="G3673" t="s">
        <v>31582</v>
      </c>
      <c r="H3673" t="s">
        <v>31591</v>
      </c>
      <c r="I3673" t="s">
        <v>8822</v>
      </c>
      <c r="J3673" t="s">
        <v>31935</v>
      </c>
      <c r="K3673" t="s">
        <v>41191</v>
      </c>
      <c r="M3673" t="s">
        <v>42857</v>
      </c>
      <c r="N3673" t="s">
        <v>45095</v>
      </c>
      <c r="O3673" t="s">
        <v>45096</v>
      </c>
      <c r="P3673">
        <v>0</v>
      </c>
      <c r="Q3673">
        <v>0</v>
      </c>
      <c r="R3673" t="s">
        <v>45101</v>
      </c>
      <c r="S3673" t="s">
        <v>45231</v>
      </c>
      <c r="T3673" t="s">
        <v>46955</v>
      </c>
      <c r="U3673" t="s">
        <v>50592</v>
      </c>
      <c r="V3673" t="s">
        <v>60212</v>
      </c>
      <c r="W3673" t="s">
        <v>42857</v>
      </c>
      <c r="X3673" t="s">
        <v>45109</v>
      </c>
    </row>
    <row r="3674" spans="1:24">
      <c r="A3674">
        <f>HYPERLINK("https://www.philgeps.gov.ph/GEPSNONPILOT/Tender/SplashBidNoticeAbstractUI.aspx?menuIndex=3&amp;refID=7031553&amp;Result=3","7031553")</f>
        <v>0</v>
      </c>
      <c r="B3674" t="s">
        <v>795</v>
      </c>
      <c r="C3674" t="s">
        <v>6709</v>
      </c>
      <c r="D3674" t="s">
        <v>18033</v>
      </c>
      <c r="E3674" t="s">
        <v>21435</v>
      </c>
      <c r="F3674" t="s">
        <v>31574</v>
      </c>
      <c r="G3674" t="s">
        <v>31583</v>
      </c>
      <c r="H3674" t="s">
        <v>31590</v>
      </c>
      <c r="I3674" t="s">
        <v>31612</v>
      </c>
      <c r="J3674" t="s">
        <v>32572</v>
      </c>
      <c r="K3674" t="s">
        <v>41193</v>
      </c>
      <c r="M3674" t="s">
        <v>42309</v>
      </c>
      <c r="N3674" t="s">
        <v>45095</v>
      </c>
      <c r="O3674" t="s">
        <v>45096</v>
      </c>
      <c r="P3674">
        <v>0</v>
      </c>
      <c r="Q3674">
        <v>0</v>
      </c>
      <c r="R3674" t="s">
        <v>45101</v>
      </c>
      <c r="S3674" t="s">
        <v>45231</v>
      </c>
      <c r="T3674" t="s">
        <v>46936</v>
      </c>
      <c r="U3674" t="s">
        <v>50593</v>
      </c>
      <c r="W3674" t="s">
        <v>42309</v>
      </c>
      <c r="X3674" t="s">
        <v>45108</v>
      </c>
    </row>
    <row r="3675" spans="1:24">
      <c r="A3675">
        <f>HYPERLINK("https://www.philgeps.gov.ph/GEPSNONPILOT/Tender/SplashBidNoticeAbstractUI.aspx?menuIndex=3&amp;refID=7028999&amp;Result=3","7028999")</f>
        <v>0</v>
      </c>
      <c r="B3675" t="s">
        <v>1289</v>
      </c>
      <c r="C3675" t="s">
        <v>6710</v>
      </c>
      <c r="D3675" t="s">
        <v>18041</v>
      </c>
      <c r="E3675" t="s">
        <v>19014</v>
      </c>
      <c r="F3675" t="s">
        <v>31575</v>
      </c>
      <c r="G3675" t="s">
        <v>31583</v>
      </c>
      <c r="H3675" t="s">
        <v>31590</v>
      </c>
      <c r="I3675" t="s">
        <v>31600</v>
      </c>
      <c r="J3675" t="s">
        <v>34218</v>
      </c>
      <c r="K3675" t="s">
        <v>41211</v>
      </c>
      <c r="M3675" t="s">
        <v>42858</v>
      </c>
      <c r="N3675" t="s">
        <v>45095</v>
      </c>
      <c r="O3675" t="s">
        <v>45096</v>
      </c>
      <c r="P3675">
        <v>0</v>
      </c>
      <c r="Q3675">
        <v>0</v>
      </c>
      <c r="R3675" t="s">
        <v>45101</v>
      </c>
      <c r="S3675" t="s">
        <v>45231</v>
      </c>
      <c r="T3675" t="s">
        <v>47077</v>
      </c>
      <c r="U3675" t="s">
        <v>50594</v>
      </c>
      <c r="W3675" t="s">
        <v>42858</v>
      </c>
      <c r="X3675" t="s">
        <v>45109</v>
      </c>
    </row>
    <row r="3676" spans="1:24">
      <c r="A3676">
        <f>HYPERLINK("https://www.philgeps.gov.ph/GEPSNONPILOT/Tender/SplashBidNoticeAbstractUI.aspx?menuIndex=3&amp;refID=7024405&amp;Result=3","7024405")</f>
        <v>0</v>
      </c>
      <c r="B3676" t="s">
        <v>1285</v>
      </c>
      <c r="C3676" t="s">
        <v>6703</v>
      </c>
      <c r="D3676" t="s">
        <v>18064</v>
      </c>
      <c r="E3676" t="s">
        <v>21436</v>
      </c>
      <c r="F3676" t="s">
        <v>31574</v>
      </c>
      <c r="G3676" t="s">
        <v>31582</v>
      </c>
      <c r="H3676" t="s">
        <v>31591</v>
      </c>
      <c r="I3676" t="s">
        <v>8822</v>
      </c>
      <c r="J3676" t="s">
        <v>31789</v>
      </c>
      <c r="K3676" t="s">
        <v>41196</v>
      </c>
      <c r="M3676" t="s">
        <v>42854</v>
      </c>
      <c r="N3676" t="s">
        <v>45095</v>
      </c>
      <c r="O3676" t="s">
        <v>45096</v>
      </c>
      <c r="P3676">
        <v>0</v>
      </c>
      <c r="Q3676">
        <v>0</v>
      </c>
      <c r="R3676" t="s">
        <v>45101</v>
      </c>
      <c r="S3676" t="s">
        <v>45231</v>
      </c>
      <c r="T3676" t="s">
        <v>46918</v>
      </c>
      <c r="U3676" t="s">
        <v>50595</v>
      </c>
      <c r="W3676" t="s">
        <v>42854</v>
      </c>
      <c r="X3676" t="s">
        <v>45110</v>
      </c>
    </row>
    <row r="3677" spans="1:24">
      <c r="A3677">
        <f>HYPERLINK("https://www.philgeps.gov.ph/GEPSNONPILOT/Tender/SplashBidNoticeAbstractUI.aspx?menuIndex=3&amp;refID=7028084&amp;Result=3","7028084")</f>
        <v>0</v>
      </c>
      <c r="B3677" t="s">
        <v>1289</v>
      </c>
      <c r="C3677" t="s">
        <v>6711</v>
      </c>
      <c r="D3677" t="s">
        <v>18041</v>
      </c>
      <c r="E3677" t="s">
        <v>20828</v>
      </c>
      <c r="F3677" t="s">
        <v>31575</v>
      </c>
      <c r="G3677" t="s">
        <v>31583</v>
      </c>
      <c r="H3677" t="s">
        <v>31590</v>
      </c>
      <c r="I3677" t="s">
        <v>31600</v>
      </c>
      <c r="J3677" t="s">
        <v>34219</v>
      </c>
      <c r="K3677" t="s">
        <v>41211</v>
      </c>
      <c r="M3677" t="s">
        <v>42858</v>
      </c>
      <c r="N3677" t="s">
        <v>45095</v>
      </c>
      <c r="O3677" t="s">
        <v>45096</v>
      </c>
      <c r="P3677">
        <v>0</v>
      </c>
      <c r="Q3677">
        <v>0</v>
      </c>
      <c r="R3677" t="s">
        <v>45101</v>
      </c>
      <c r="S3677" t="s">
        <v>45231</v>
      </c>
      <c r="T3677" t="s">
        <v>47077</v>
      </c>
      <c r="U3677" t="s">
        <v>50596</v>
      </c>
      <c r="W3677" t="s">
        <v>42858</v>
      </c>
      <c r="X3677" t="s">
        <v>45109</v>
      </c>
    </row>
    <row r="3678" spans="1:24">
      <c r="A3678">
        <f>HYPERLINK("https://www.philgeps.gov.ph/GEPSNONPILOT/Tender/SplashBidNoticeAbstractUI.aspx?menuIndex=3&amp;refID=7028954&amp;Result=3","7028954")</f>
        <v>0</v>
      </c>
      <c r="B3678" t="s">
        <v>1290</v>
      </c>
      <c r="C3678" t="s">
        <v>6712</v>
      </c>
      <c r="D3678" t="s">
        <v>18050</v>
      </c>
      <c r="E3678" t="s">
        <v>21437</v>
      </c>
      <c r="F3678" t="s">
        <v>31574</v>
      </c>
      <c r="G3678" t="s">
        <v>31582</v>
      </c>
      <c r="H3678" t="s">
        <v>31590</v>
      </c>
      <c r="I3678" t="s">
        <v>3651</v>
      </c>
      <c r="J3678" t="s">
        <v>34220</v>
      </c>
      <c r="K3678" t="s">
        <v>41196</v>
      </c>
      <c r="M3678" t="s">
        <v>42859</v>
      </c>
      <c r="N3678" t="s">
        <v>45095</v>
      </c>
      <c r="O3678" t="s">
        <v>45096</v>
      </c>
      <c r="P3678">
        <v>0</v>
      </c>
      <c r="Q3678">
        <v>2</v>
      </c>
      <c r="R3678" t="s">
        <v>45101</v>
      </c>
      <c r="S3678" t="s">
        <v>45231</v>
      </c>
      <c r="T3678" t="s">
        <v>46962</v>
      </c>
      <c r="U3678" t="s">
        <v>50597</v>
      </c>
      <c r="W3678" t="s">
        <v>42859</v>
      </c>
      <c r="X3678" t="s">
        <v>45109</v>
      </c>
    </row>
    <row r="3679" spans="1:24">
      <c r="A3679">
        <f>HYPERLINK("https://www.philgeps.gov.ph/GEPSNONPILOT/Tender/SplashBidNoticeAbstractUI.aspx?menuIndex=3&amp;refID=7029879&amp;Result=3","7029879")</f>
        <v>0</v>
      </c>
      <c r="B3679" t="s">
        <v>1291</v>
      </c>
      <c r="C3679" t="s">
        <v>4327</v>
      </c>
      <c r="D3679" t="s">
        <v>18107</v>
      </c>
      <c r="E3679" t="s">
        <v>20123</v>
      </c>
      <c r="F3679" t="s">
        <v>31574</v>
      </c>
      <c r="G3679" t="s">
        <v>31583</v>
      </c>
      <c r="H3679" t="s">
        <v>31590</v>
      </c>
      <c r="I3679" t="s">
        <v>4327</v>
      </c>
      <c r="J3679" t="s">
        <v>34221</v>
      </c>
      <c r="K3679" t="s">
        <v>41190</v>
      </c>
      <c r="M3679" t="s">
        <v>42860</v>
      </c>
      <c r="N3679" t="s">
        <v>45095</v>
      </c>
      <c r="O3679" t="s">
        <v>45096</v>
      </c>
      <c r="P3679">
        <v>0</v>
      </c>
      <c r="Q3679">
        <v>0</v>
      </c>
      <c r="R3679" t="s">
        <v>45101</v>
      </c>
      <c r="S3679" t="s">
        <v>45231</v>
      </c>
      <c r="T3679" t="s">
        <v>46911</v>
      </c>
      <c r="U3679" t="s">
        <v>50598</v>
      </c>
      <c r="W3679" t="s">
        <v>42860</v>
      </c>
      <c r="X3679" t="s">
        <v>45108</v>
      </c>
    </row>
    <row r="3680" spans="1:24">
      <c r="A3680">
        <f>HYPERLINK("https://www.philgeps.gov.ph/GEPSNONPILOT/Tender/SplashBidNoticeAbstractUI.aspx?menuIndex=3&amp;refID=7037443&amp;Result=3","7037443")</f>
        <v>0</v>
      </c>
      <c r="B3680" t="s">
        <v>415</v>
      </c>
      <c r="C3680" t="s">
        <v>6713</v>
      </c>
      <c r="D3680" t="s">
        <v>18022</v>
      </c>
      <c r="E3680" t="s">
        <v>21438</v>
      </c>
      <c r="F3680" t="s">
        <v>31574</v>
      </c>
      <c r="G3680" t="s">
        <v>31583</v>
      </c>
      <c r="H3680" t="s">
        <v>31590</v>
      </c>
      <c r="I3680" t="s">
        <v>8258</v>
      </c>
      <c r="J3680" t="s">
        <v>34222</v>
      </c>
      <c r="K3680" t="s">
        <v>41190</v>
      </c>
      <c r="M3680" t="s">
        <v>42861</v>
      </c>
      <c r="N3680" t="s">
        <v>45095</v>
      </c>
      <c r="O3680" t="s">
        <v>45096</v>
      </c>
      <c r="P3680">
        <v>0</v>
      </c>
      <c r="Q3680">
        <v>2</v>
      </c>
      <c r="R3680" t="s">
        <v>45101</v>
      </c>
      <c r="S3680" t="s">
        <v>45231</v>
      </c>
      <c r="T3680" t="s">
        <v>47158</v>
      </c>
      <c r="U3680" t="s">
        <v>50599</v>
      </c>
      <c r="W3680" t="s">
        <v>42861</v>
      </c>
      <c r="X3680" t="s">
        <v>45104</v>
      </c>
    </row>
    <row r="3681" spans="1:24">
      <c r="A3681">
        <f>HYPERLINK("https://www.philgeps.gov.ph/GEPSNONPILOT/Tender/SplashBidNoticeAbstractUI.aspx?menuIndex=3&amp;refID=7036978&amp;Result=3","7036978")</f>
        <v>0</v>
      </c>
      <c r="B3681" t="s">
        <v>1292</v>
      </c>
      <c r="C3681" t="s">
        <v>6714</v>
      </c>
      <c r="D3681" t="s">
        <v>18051</v>
      </c>
      <c r="E3681" t="s">
        <v>21439</v>
      </c>
      <c r="F3681" t="s">
        <v>31574</v>
      </c>
      <c r="G3681" t="s">
        <v>31583</v>
      </c>
      <c r="H3681" t="s">
        <v>31590</v>
      </c>
      <c r="I3681" t="s">
        <v>31595</v>
      </c>
      <c r="J3681" t="s">
        <v>31782</v>
      </c>
      <c r="K3681" t="s">
        <v>41190</v>
      </c>
      <c r="M3681" t="s">
        <v>42862</v>
      </c>
      <c r="N3681" t="s">
        <v>45095</v>
      </c>
      <c r="O3681" t="s">
        <v>45096</v>
      </c>
      <c r="P3681">
        <v>0</v>
      </c>
      <c r="Q3681">
        <v>1</v>
      </c>
      <c r="R3681" t="s">
        <v>45101</v>
      </c>
      <c r="S3681" t="s">
        <v>45231</v>
      </c>
      <c r="T3681" t="s">
        <v>47068</v>
      </c>
      <c r="U3681" t="s">
        <v>50600</v>
      </c>
      <c r="W3681" t="s">
        <v>42862</v>
      </c>
      <c r="X3681" t="s">
        <v>45104</v>
      </c>
    </row>
    <row r="3682" spans="1:24">
      <c r="A3682">
        <f>HYPERLINK("https://www.philgeps.gov.ph/GEPSNONPILOT/Tender/SplashBidNoticeAbstractUI.aspx?menuIndex=3&amp;refID=7036564&amp;Result=3","7036564")</f>
        <v>0</v>
      </c>
      <c r="B3682" t="s">
        <v>965</v>
      </c>
      <c r="C3682" t="s">
        <v>6715</v>
      </c>
      <c r="E3682" t="s">
        <v>21440</v>
      </c>
      <c r="F3682" t="s">
        <v>31574</v>
      </c>
      <c r="G3682" t="s">
        <v>31583</v>
      </c>
      <c r="H3682" t="s">
        <v>31590</v>
      </c>
      <c r="I3682" t="s">
        <v>4327</v>
      </c>
      <c r="J3682" t="s">
        <v>34223</v>
      </c>
      <c r="K3682" t="s">
        <v>41184</v>
      </c>
      <c r="M3682" t="s">
        <v>42494</v>
      </c>
      <c r="N3682" t="s">
        <v>45095</v>
      </c>
      <c r="O3682" t="s">
        <v>45096</v>
      </c>
      <c r="P3682">
        <v>0</v>
      </c>
      <c r="Q3682">
        <v>4</v>
      </c>
      <c r="R3682" t="s">
        <v>45101</v>
      </c>
      <c r="S3682" t="s">
        <v>45231</v>
      </c>
      <c r="T3682" t="s">
        <v>47154</v>
      </c>
      <c r="U3682" t="s">
        <v>50601</v>
      </c>
      <c r="W3682" t="s">
        <v>42494</v>
      </c>
      <c r="X3682" t="s">
        <v>45104</v>
      </c>
    </row>
    <row r="3683" spans="1:24">
      <c r="A3683">
        <f>HYPERLINK("https://www.philgeps.gov.ph/GEPSNONPILOT/Tender/SplashBidNoticeAbstractUI.aspx?menuIndex=3&amp;refID=7034423&amp;Result=3","7034423")</f>
        <v>0</v>
      </c>
      <c r="B3683" t="s">
        <v>956</v>
      </c>
      <c r="C3683" t="s">
        <v>6716</v>
      </c>
      <c r="D3683" t="s">
        <v>18094</v>
      </c>
      <c r="E3683" t="s">
        <v>21441</v>
      </c>
      <c r="F3683" t="s">
        <v>31574</v>
      </c>
      <c r="G3683" t="s">
        <v>31582</v>
      </c>
      <c r="H3683" t="s">
        <v>31591</v>
      </c>
      <c r="I3683" t="s">
        <v>8822</v>
      </c>
      <c r="J3683" t="s">
        <v>34054</v>
      </c>
      <c r="K3683" t="s">
        <v>41200</v>
      </c>
      <c r="M3683" t="s">
        <v>42483</v>
      </c>
      <c r="N3683" t="s">
        <v>45095</v>
      </c>
      <c r="O3683" t="s">
        <v>45096</v>
      </c>
      <c r="P3683">
        <v>0</v>
      </c>
      <c r="Q3683">
        <v>0</v>
      </c>
      <c r="R3683" t="s">
        <v>45101</v>
      </c>
      <c r="S3683" t="s">
        <v>45231</v>
      </c>
      <c r="T3683" t="s">
        <v>47004</v>
      </c>
      <c r="U3683" t="s">
        <v>50602</v>
      </c>
      <c r="V3683" t="s">
        <v>60213</v>
      </c>
      <c r="W3683" t="s">
        <v>42483</v>
      </c>
      <c r="X3683" t="s">
        <v>45105</v>
      </c>
    </row>
    <row r="3684" spans="1:24">
      <c r="A3684">
        <f>HYPERLINK("https://www.philgeps.gov.ph/GEPSNONPILOT/Tender/SplashBidNoticeAbstractUI.aspx?menuIndex=3&amp;refID=7036505&amp;Result=3","7036505")</f>
        <v>0</v>
      </c>
      <c r="B3684" t="s">
        <v>965</v>
      </c>
      <c r="C3684" t="s">
        <v>6717</v>
      </c>
      <c r="E3684" t="s">
        <v>21442</v>
      </c>
      <c r="F3684" t="s">
        <v>31574</v>
      </c>
      <c r="G3684" t="s">
        <v>31581</v>
      </c>
      <c r="H3684" t="s">
        <v>31590</v>
      </c>
      <c r="I3684" t="s">
        <v>31623</v>
      </c>
      <c r="J3684" t="s">
        <v>34224</v>
      </c>
      <c r="K3684" t="s">
        <v>41184</v>
      </c>
      <c r="M3684" t="s">
        <v>42494</v>
      </c>
      <c r="N3684" t="s">
        <v>45095</v>
      </c>
      <c r="O3684" t="s">
        <v>45096</v>
      </c>
      <c r="P3684">
        <v>0</v>
      </c>
      <c r="Q3684">
        <v>0</v>
      </c>
      <c r="R3684" t="s">
        <v>45101</v>
      </c>
      <c r="S3684" t="s">
        <v>45231</v>
      </c>
      <c r="T3684" t="s">
        <v>47154</v>
      </c>
      <c r="U3684" t="s">
        <v>50601</v>
      </c>
      <c r="W3684" t="s">
        <v>42494</v>
      </c>
      <c r="X3684" t="s">
        <v>45104</v>
      </c>
    </row>
    <row r="3685" spans="1:24">
      <c r="A3685">
        <f>HYPERLINK("https://www.philgeps.gov.ph/GEPSNONPILOT/Tender/SplashBidNoticeAbstractUI.aspx?menuIndex=3&amp;refID=7036788&amp;Result=3","7036788")</f>
        <v>0</v>
      </c>
      <c r="B3685" t="s">
        <v>1293</v>
      </c>
      <c r="C3685" t="s">
        <v>6718</v>
      </c>
      <c r="D3685" t="s">
        <v>18022</v>
      </c>
      <c r="E3685" t="s">
        <v>21443</v>
      </c>
      <c r="F3685" t="s">
        <v>31574</v>
      </c>
      <c r="G3685" t="s">
        <v>31583</v>
      </c>
      <c r="H3685" t="s">
        <v>31590</v>
      </c>
      <c r="I3685" t="s">
        <v>31600</v>
      </c>
      <c r="J3685" t="s">
        <v>32506</v>
      </c>
      <c r="K3685" t="s">
        <v>41193</v>
      </c>
      <c r="M3685" t="s">
        <v>42863</v>
      </c>
      <c r="N3685" t="s">
        <v>45095</v>
      </c>
      <c r="O3685" t="s">
        <v>45096</v>
      </c>
      <c r="P3685">
        <v>0</v>
      </c>
      <c r="Q3685">
        <v>1</v>
      </c>
      <c r="R3685" t="s">
        <v>45101</v>
      </c>
      <c r="S3685" t="s">
        <v>45231</v>
      </c>
      <c r="T3685" t="s">
        <v>47182</v>
      </c>
      <c r="U3685" t="s">
        <v>50603</v>
      </c>
      <c r="W3685" t="s">
        <v>45066</v>
      </c>
      <c r="X3685" t="s">
        <v>45104</v>
      </c>
    </row>
    <row r="3686" spans="1:24">
      <c r="A3686">
        <f>HYPERLINK("https://www.philgeps.gov.ph/GEPSNONPILOT/Tender/SplashBidNoticeAbstractUI.aspx?menuIndex=3&amp;refID=7028191&amp;Result=3","7028191")</f>
        <v>0</v>
      </c>
      <c r="B3686" t="s">
        <v>1294</v>
      </c>
      <c r="C3686" t="s">
        <v>6719</v>
      </c>
      <c r="D3686" t="s">
        <v>18036</v>
      </c>
      <c r="E3686" t="s">
        <v>21444</v>
      </c>
      <c r="F3686" t="s">
        <v>31574</v>
      </c>
      <c r="G3686" t="s">
        <v>31581</v>
      </c>
      <c r="H3686" t="s">
        <v>31591</v>
      </c>
      <c r="I3686" t="s">
        <v>8822</v>
      </c>
      <c r="J3686" t="s">
        <v>34225</v>
      </c>
      <c r="K3686" t="s">
        <v>41300</v>
      </c>
      <c r="M3686" t="s">
        <v>42864</v>
      </c>
      <c r="N3686" t="s">
        <v>45095</v>
      </c>
      <c r="O3686" t="s">
        <v>45096</v>
      </c>
      <c r="P3686">
        <v>0</v>
      </c>
      <c r="Q3686">
        <v>0</v>
      </c>
      <c r="R3686" t="s">
        <v>45101</v>
      </c>
      <c r="S3686" t="s">
        <v>45231</v>
      </c>
      <c r="T3686" t="s">
        <v>47183</v>
      </c>
      <c r="U3686" t="s">
        <v>50604</v>
      </c>
      <c r="W3686" t="s">
        <v>42864</v>
      </c>
      <c r="X3686" t="s">
        <v>45109</v>
      </c>
    </row>
    <row r="3687" spans="1:24">
      <c r="A3687">
        <f>HYPERLINK("https://www.philgeps.gov.ph/GEPSNONPILOT/Tender/SplashBidNoticeAbstractUI.aspx?menuIndex=3&amp;refID=7036483&amp;Result=3","7036483")</f>
        <v>0</v>
      </c>
      <c r="B3687" t="s">
        <v>965</v>
      </c>
      <c r="C3687" t="s">
        <v>6720</v>
      </c>
      <c r="E3687" t="s">
        <v>21445</v>
      </c>
      <c r="F3687" t="s">
        <v>31574</v>
      </c>
      <c r="G3687" t="s">
        <v>31581</v>
      </c>
      <c r="H3687" t="s">
        <v>31590</v>
      </c>
      <c r="I3687" t="s">
        <v>31629</v>
      </c>
      <c r="J3687" t="s">
        <v>34226</v>
      </c>
      <c r="K3687" t="s">
        <v>41184</v>
      </c>
      <c r="M3687" t="s">
        <v>42494</v>
      </c>
      <c r="N3687" t="s">
        <v>45095</v>
      </c>
      <c r="O3687" t="s">
        <v>45096</v>
      </c>
      <c r="P3687">
        <v>0</v>
      </c>
      <c r="Q3687">
        <v>4</v>
      </c>
      <c r="R3687" t="s">
        <v>45101</v>
      </c>
      <c r="S3687" t="s">
        <v>45231</v>
      </c>
      <c r="T3687" t="s">
        <v>47154</v>
      </c>
      <c r="U3687" t="s">
        <v>50601</v>
      </c>
      <c r="W3687" t="s">
        <v>42494</v>
      </c>
      <c r="X3687" t="s">
        <v>45104</v>
      </c>
    </row>
    <row r="3688" spans="1:24">
      <c r="A3688">
        <f>HYPERLINK("https://www.philgeps.gov.ph/GEPSNONPILOT/Tender/SplashBidNoticeAbstractUI.aspx?menuIndex=3&amp;refID=7036597&amp;Result=3","7036597")</f>
        <v>0</v>
      </c>
      <c r="B3688" t="s">
        <v>1293</v>
      </c>
      <c r="C3688" t="s">
        <v>6721</v>
      </c>
      <c r="D3688" t="s">
        <v>18022</v>
      </c>
      <c r="E3688" t="s">
        <v>21446</v>
      </c>
      <c r="F3688" t="s">
        <v>31574</v>
      </c>
      <c r="G3688" t="s">
        <v>31583</v>
      </c>
      <c r="H3688" t="s">
        <v>31590</v>
      </c>
      <c r="I3688" t="s">
        <v>31603</v>
      </c>
      <c r="J3688" t="s">
        <v>31743</v>
      </c>
      <c r="K3688" t="s">
        <v>41193</v>
      </c>
      <c r="M3688" t="s">
        <v>42863</v>
      </c>
      <c r="N3688" t="s">
        <v>45095</v>
      </c>
      <c r="O3688" t="s">
        <v>45096</v>
      </c>
      <c r="P3688">
        <v>0</v>
      </c>
      <c r="Q3688">
        <v>1</v>
      </c>
      <c r="R3688" t="s">
        <v>45101</v>
      </c>
      <c r="S3688" t="s">
        <v>45231</v>
      </c>
      <c r="T3688" t="s">
        <v>47184</v>
      </c>
      <c r="U3688" t="s">
        <v>50605</v>
      </c>
      <c r="W3688" t="s">
        <v>45066</v>
      </c>
      <c r="X3688" t="s">
        <v>45104</v>
      </c>
    </row>
    <row r="3689" spans="1:24">
      <c r="A3689">
        <f>HYPERLINK("https://www.philgeps.gov.ph/GEPSNONPILOT/Tender/SplashBidNoticeAbstractUI.aspx?menuIndex=3&amp;refID=7036513&amp;Result=3","7036513")</f>
        <v>0</v>
      </c>
      <c r="B3689" t="s">
        <v>965</v>
      </c>
      <c r="C3689" t="s">
        <v>6722</v>
      </c>
      <c r="E3689" t="s">
        <v>21447</v>
      </c>
      <c r="F3689" t="s">
        <v>31574</v>
      </c>
      <c r="G3689" t="s">
        <v>31581</v>
      </c>
      <c r="H3689" t="s">
        <v>31590</v>
      </c>
      <c r="I3689" t="s">
        <v>8056</v>
      </c>
      <c r="J3689" t="s">
        <v>34225</v>
      </c>
      <c r="K3689" t="s">
        <v>41184</v>
      </c>
      <c r="M3689" t="s">
        <v>42494</v>
      </c>
      <c r="N3689" t="s">
        <v>45095</v>
      </c>
      <c r="O3689" t="s">
        <v>45096</v>
      </c>
      <c r="P3689">
        <v>0</v>
      </c>
      <c r="Q3689">
        <v>7</v>
      </c>
      <c r="R3689" t="s">
        <v>45101</v>
      </c>
      <c r="S3689" t="s">
        <v>45231</v>
      </c>
      <c r="T3689" t="s">
        <v>47154</v>
      </c>
      <c r="U3689" t="s">
        <v>50601</v>
      </c>
      <c r="W3689" t="s">
        <v>42494</v>
      </c>
      <c r="X3689" t="s">
        <v>45104</v>
      </c>
    </row>
    <row r="3690" spans="1:24">
      <c r="A3690">
        <f>HYPERLINK("https://www.philgeps.gov.ph/GEPSNONPILOT/Tender/SplashBidNoticeAbstractUI.aspx?menuIndex=3&amp;refID=7029933&amp;Result=3","7029933")</f>
        <v>0</v>
      </c>
      <c r="B3690" t="s">
        <v>1295</v>
      </c>
      <c r="C3690" t="s">
        <v>6723</v>
      </c>
      <c r="D3690" t="s">
        <v>18037</v>
      </c>
      <c r="E3690" t="s">
        <v>21448</v>
      </c>
      <c r="F3690" t="s">
        <v>31574</v>
      </c>
      <c r="G3690" t="s">
        <v>31581</v>
      </c>
      <c r="H3690" t="s">
        <v>31590</v>
      </c>
      <c r="I3690" t="s">
        <v>8258</v>
      </c>
      <c r="J3690" t="s">
        <v>32258</v>
      </c>
      <c r="K3690" t="s">
        <v>41196</v>
      </c>
      <c r="M3690" t="s">
        <v>42865</v>
      </c>
      <c r="N3690" t="s">
        <v>45095</v>
      </c>
      <c r="O3690" t="s">
        <v>45096</v>
      </c>
      <c r="P3690">
        <v>0</v>
      </c>
      <c r="Q3690">
        <v>2</v>
      </c>
      <c r="R3690" t="s">
        <v>45101</v>
      </c>
      <c r="S3690" t="s">
        <v>45231</v>
      </c>
      <c r="T3690" t="s">
        <v>46985</v>
      </c>
      <c r="U3690" t="s">
        <v>50606</v>
      </c>
      <c r="W3690" t="s">
        <v>42865</v>
      </c>
      <c r="X3690" t="s">
        <v>45108</v>
      </c>
    </row>
    <row r="3691" spans="1:24">
      <c r="A3691">
        <f>HYPERLINK("https://www.philgeps.gov.ph/GEPSNONPILOT/Tender/SplashBidNoticeAbstractUI.aspx?menuIndex=3&amp;refID=7036492&amp;Result=3","7036492")</f>
        <v>0</v>
      </c>
      <c r="B3691" t="s">
        <v>965</v>
      </c>
      <c r="C3691" t="s">
        <v>6724</v>
      </c>
      <c r="E3691" t="s">
        <v>21449</v>
      </c>
      <c r="F3691" t="s">
        <v>31574</v>
      </c>
      <c r="G3691" t="s">
        <v>31581</v>
      </c>
      <c r="H3691" t="s">
        <v>31590</v>
      </c>
      <c r="I3691" t="s">
        <v>31608</v>
      </c>
      <c r="J3691" t="s">
        <v>34227</v>
      </c>
      <c r="K3691" t="s">
        <v>41184</v>
      </c>
      <c r="M3691" t="s">
        <v>42494</v>
      </c>
      <c r="N3691" t="s">
        <v>45095</v>
      </c>
      <c r="O3691" t="s">
        <v>45096</v>
      </c>
      <c r="P3691">
        <v>0</v>
      </c>
      <c r="Q3691">
        <v>3</v>
      </c>
      <c r="R3691" t="s">
        <v>45101</v>
      </c>
      <c r="S3691" t="s">
        <v>45231</v>
      </c>
      <c r="T3691" t="s">
        <v>47154</v>
      </c>
      <c r="U3691" t="s">
        <v>50601</v>
      </c>
      <c r="W3691" t="s">
        <v>42494</v>
      </c>
      <c r="X3691" t="s">
        <v>45104</v>
      </c>
    </row>
    <row r="3692" spans="1:24">
      <c r="A3692">
        <f>HYPERLINK("https://www.philgeps.gov.ph/GEPSNONPILOT/Tender/SplashBidNoticeAbstractUI.aspx?menuIndex=3&amp;refID=7036478&amp;Result=3","7036478")</f>
        <v>0</v>
      </c>
      <c r="B3692" t="s">
        <v>1296</v>
      </c>
      <c r="C3692" t="s">
        <v>6725</v>
      </c>
      <c r="E3692" t="s">
        <v>21450</v>
      </c>
      <c r="F3692" t="s">
        <v>31574</v>
      </c>
      <c r="G3692" t="s">
        <v>31581</v>
      </c>
      <c r="H3692" t="s">
        <v>31590</v>
      </c>
      <c r="I3692" t="s">
        <v>31603</v>
      </c>
      <c r="J3692" t="s">
        <v>34228</v>
      </c>
      <c r="K3692" t="s">
        <v>41184</v>
      </c>
      <c r="M3692" t="s">
        <v>42866</v>
      </c>
      <c r="N3692" t="s">
        <v>45095</v>
      </c>
      <c r="O3692" t="s">
        <v>45096</v>
      </c>
      <c r="P3692">
        <v>0</v>
      </c>
      <c r="Q3692">
        <v>1</v>
      </c>
      <c r="R3692" t="s">
        <v>45101</v>
      </c>
      <c r="S3692" t="s">
        <v>45231</v>
      </c>
      <c r="T3692" t="s">
        <v>46985</v>
      </c>
      <c r="U3692" t="s">
        <v>50607</v>
      </c>
      <c r="W3692" t="s">
        <v>42866</v>
      </c>
      <c r="X3692" t="s">
        <v>45104</v>
      </c>
    </row>
    <row r="3693" spans="1:24">
      <c r="A3693">
        <f>HYPERLINK("https://www.philgeps.gov.ph/GEPSNONPILOT/Tender/SplashBidNoticeAbstractUI.aspx?menuIndex=3&amp;refID=7038422&amp;Result=3","7038422")</f>
        <v>0</v>
      </c>
      <c r="B3693" t="s">
        <v>1297</v>
      </c>
      <c r="C3693" t="s">
        <v>6726</v>
      </c>
      <c r="D3693" t="s">
        <v>18039</v>
      </c>
      <c r="E3693" t="s">
        <v>21451</v>
      </c>
      <c r="F3693" t="s">
        <v>31574</v>
      </c>
      <c r="G3693" t="s">
        <v>31582</v>
      </c>
      <c r="H3693" t="s">
        <v>31590</v>
      </c>
      <c r="I3693" t="s">
        <v>31615</v>
      </c>
      <c r="J3693" t="s">
        <v>32126</v>
      </c>
      <c r="K3693" t="s">
        <v>41190</v>
      </c>
      <c r="M3693" t="s">
        <v>42867</v>
      </c>
      <c r="N3693" t="s">
        <v>45095</v>
      </c>
      <c r="O3693" t="s">
        <v>45096</v>
      </c>
      <c r="P3693">
        <v>0</v>
      </c>
      <c r="Q3693">
        <v>0</v>
      </c>
      <c r="R3693" t="s">
        <v>45101</v>
      </c>
      <c r="S3693" t="s">
        <v>45231</v>
      </c>
      <c r="T3693" t="s">
        <v>47185</v>
      </c>
      <c r="U3693" t="s">
        <v>50608</v>
      </c>
      <c r="W3693" t="s">
        <v>42867</v>
      </c>
      <c r="X3693" t="s">
        <v>45103</v>
      </c>
    </row>
    <row r="3694" spans="1:24">
      <c r="A3694">
        <f>HYPERLINK("https://www.philgeps.gov.ph/GEPSNONPILOT/Tender/SplashBidNoticeAbstractUI.aspx?menuIndex=3&amp;refID=7038359&amp;Result=3","7038359")</f>
        <v>0</v>
      </c>
      <c r="B3694" t="s">
        <v>1298</v>
      </c>
      <c r="C3694" t="s">
        <v>6726</v>
      </c>
      <c r="D3694" t="s">
        <v>18039</v>
      </c>
      <c r="E3694" t="s">
        <v>21451</v>
      </c>
      <c r="F3694" t="s">
        <v>31574</v>
      </c>
      <c r="G3694" t="s">
        <v>31582</v>
      </c>
      <c r="H3694" t="s">
        <v>31590</v>
      </c>
      <c r="I3694" t="s">
        <v>31615</v>
      </c>
      <c r="J3694" t="s">
        <v>34229</v>
      </c>
      <c r="K3694" t="s">
        <v>41190</v>
      </c>
      <c r="M3694" t="s">
        <v>42868</v>
      </c>
      <c r="N3694" t="s">
        <v>45095</v>
      </c>
      <c r="O3694" t="s">
        <v>45096</v>
      </c>
      <c r="P3694">
        <v>0</v>
      </c>
      <c r="Q3694">
        <v>0</v>
      </c>
      <c r="R3694" t="s">
        <v>45101</v>
      </c>
      <c r="S3694" t="s">
        <v>45231</v>
      </c>
      <c r="T3694" t="s">
        <v>47185</v>
      </c>
      <c r="U3694" t="s">
        <v>50609</v>
      </c>
      <c r="W3694" t="s">
        <v>42868</v>
      </c>
      <c r="X3694" t="s">
        <v>45103</v>
      </c>
    </row>
    <row r="3695" spans="1:24">
      <c r="A3695">
        <f>HYPERLINK("https://www.philgeps.gov.ph/GEPSNONPILOT/Tender/SplashBidNoticeAbstractUI.aspx?menuIndex=3&amp;refID=7036449&amp;Result=3","7036449")</f>
        <v>0</v>
      </c>
      <c r="B3695" t="s">
        <v>1296</v>
      </c>
      <c r="C3695" t="s">
        <v>6727</v>
      </c>
      <c r="E3695" t="s">
        <v>21452</v>
      </c>
      <c r="F3695" t="s">
        <v>31574</v>
      </c>
      <c r="G3695" t="s">
        <v>31581</v>
      </c>
      <c r="H3695" t="s">
        <v>31590</v>
      </c>
      <c r="I3695" t="s">
        <v>4677</v>
      </c>
      <c r="J3695" t="s">
        <v>32007</v>
      </c>
      <c r="K3695" t="s">
        <v>41184</v>
      </c>
      <c r="M3695" t="s">
        <v>42866</v>
      </c>
      <c r="N3695" t="s">
        <v>45095</v>
      </c>
      <c r="O3695" t="s">
        <v>45096</v>
      </c>
      <c r="P3695">
        <v>0</v>
      </c>
      <c r="Q3695">
        <v>0</v>
      </c>
      <c r="R3695" t="s">
        <v>45101</v>
      </c>
      <c r="S3695" t="s">
        <v>45231</v>
      </c>
      <c r="T3695" t="s">
        <v>46985</v>
      </c>
      <c r="U3695" t="s">
        <v>50610</v>
      </c>
      <c r="W3695" t="s">
        <v>42866</v>
      </c>
      <c r="X3695" t="s">
        <v>45104</v>
      </c>
    </row>
    <row r="3696" spans="1:24">
      <c r="A3696">
        <f>HYPERLINK("https://www.philgeps.gov.ph/GEPSNONPILOT/Tender/SplashBidNoticeAbstractUI.aspx?menuIndex=3&amp;refID=7038380&amp;Result=3","7038380")</f>
        <v>0</v>
      </c>
      <c r="B3696" t="s">
        <v>415</v>
      </c>
      <c r="C3696" t="s">
        <v>6728</v>
      </c>
      <c r="D3696" t="s">
        <v>18022</v>
      </c>
      <c r="E3696" t="s">
        <v>21453</v>
      </c>
      <c r="F3696" t="s">
        <v>31574</v>
      </c>
      <c r="G3696" t="s">
        <v>31583</v>
      </c>
      <c r="H3696" t="s">
        <v>31590</v>
      </c>
      <c r="I3696" t="s">
        <v>8258</v>
      </c>
      <c r="J3696" t="s">
        <v>34230</v>
      </c>
      <c r="K3696" t="s">
        <v>41190</v>
      </c>
      <c r="M3696" t="s">
        <v>42861</v>
      </c>
      <c r="N3696" t="s">
        <v>45095</v>
      </c>
      <c r="O3696" t="s">
        <v>45096</v>
      </c>
      <c r="P3696">
        <v>0</v>
      </c>
      <c r="Q3696">
        <v>4</v>
      </c>
      <c r="R3696" t="s">
        <v>45101</v>
      </c>
      <c r="S3696" t="s">
        <v>45231</v>
      </c>
      <c r="T3696" t="s">
        <v>47158</v>
      </c>
      <c r="U3696" t="s">
        <v>50611</v>
      </c>
      <c r="W3696" t="s">
        <v>42861</v>
      </c>
      <c r="X3696" t="s">
        <v>45103</v>
      </c>
    </row>
    <row r="3697" spans="1:24">
      <c r="A3697">
        <f>HYPERLINK("https://www.philgeps.gov.ph/GEPSNONPILOT/Tender/SplashBidNoticeAbstractUI.aspx?menuIndex=3&amp;refID=7037598&amp;Result=3","7037598")</f>
        <v>0</v>
      </c>
      <c r="B3697" t="s">
        <v>1299</v>
      </c>
      <c r="C3697" t="s">
        <v>6729</v>
      </c>
      <c r="D3697" t="s">
        <v>18076</v>
      </c>
      <c r="E3697" t="s">
        <v>21454</v>
      </c>
      <c r="F3697" t="s">
        <v>31574</v>
      </c>
      <c r="G3697" t="s">
        <v>31582</v>
      </c>
      <c r="H3697" t="s">
        <v>31591</v>
      </c>
      <c r="I3697" t="s">
        <v>8822</v>
      </c>
      <c r="J3697" t="s">
        <v>32550</v>
      </c>
      <c r="K3697" t="s">
        <v>41304</v>
      </c>
      <c r="M3697" t="s">
        <v>42869</v>
      </c>
      <c r="N3697" t="s">
        <v>45095</v>
      </c>
      <c r="O3697" t="s">
        <v>45096</v>
      </c>
      <c r="P3697">
        <v>0</v>
      </c>
      <c r="Q3697">
        <v>0</v>
      </c>
      <c r="R3697" t="s">
        <v>45101</v>
      </c>
      <c r="S3697" t="s">
        <v>45231</v>
      </c>
      <c r="T3697" t="s">
        <v>47186</v>
      </c>
      <c r="U3697" t="s">
        <v>50612</v>
      </c>
      <c r="W3697" t="s">
        <v>42869</v>
      </c>
      <c r="X3697" t="s">
        <v>45104</v>
      </c>
    </row>
    <row r="3698" spans="1:24">
      <c r="A3698">
        <f>HYPERLINK("https://www.philgeps.gov.ph/GEPSNONPILOT/Tender/SplashBidNoticeAbstractUI.aspx?menuIndex=3&amp;refID=7037528&amp;Result=3","7037528")</f>
        <v>0</v>
      </c>
      <c r="B3698" t="s">
        <v>1300</v>
      </c>
      <c r="C3698" t="s">
        <v>6730</v>
      </c>
      <c r="D3698" t="s">
        <v>18066</v>
      </c>
      <c r="E3698" t="s">
        <v>21455</v>
      </c>
      <c r="F3698" t="s">
        <v>31574</v>
      </c>
      <c r="G3698" t="s">
        <v>31582</v>
      </c>
      <c r="H3698" t="s">
        <v>31591</v>
      </c>
      <c r="I3698" t="s">
        <v>8822</v>
      </c>
      <c r="J3698" t="s">
        <v>34231</v>
      </c>
      <c r="K3698" t="s">
        <v>41191</v>
      </c>
      <c r="M3698" t="s">
        <v>42870</v>
      </c>
      <c r="N3698" t="s">
        <v>45095</v>
      </c>
      <c r="O3698" t="s">
        <v>45096</v>
      </c>
      <c r="P3698">
        <v>0</v>
      </c>
      <c r="Q3698">
        <v>2</v>
      </c>
      <c r="R3698" t="s">
        <v>45101</v>
      </c>
      <c r="S3698" t="s">
        <v>45231</v>
      </c>
      <c r="T3698" t="s">
        <v>46949</v>
      </c>
      <c r="U3698" t="s">
        <v>50613</v>
      </c>
      <c r="W3698" t="s">
        <v>42870</v>
      </c>
      <c r="X3698" t="s">
        <v>45104</v>
      </c>
    </row>
    <row r="3699" spans="1:24">
      <c r="A3699">
        <f>HYPERLINK("https://www.philgeps.gov.ph/GEPSNONPILOT/Tender/SplashBidNoticeAbstractUI.aspx?menuIndex=3&amp;refID=7038655&amp;Result=3","7038655")</f>
        <v>0</v>
      </c>
      <c r="B3699" t="s">
        <v>415</v>
      </c>
      <c r="C3699" t="s">
        <v>6731</v>
      </c>
      <c r="D3699" t="s">
        <v>18022</v>
      </c>
      <c r="E3699" t="s">
        <v>21456</v>
      </c>
      <c r="F3699" t="s">
        <v>31574</v>
      </c>
      <c r="G3699" t="s">
        <v>31583</v>
      </c>
      <c r="H3699" t="s">
        <v>31590</v>
      </c>
      <c r="I3699" t="s">
        <v>8258</v>
      </c>
      <c r="J3699" t="s">
        <v>34049</v>
      </c>
      <c r="K3699" t="s">
        <v>41190</v>
      </c>
      <c r="M3699" t="s">
        <v>42861</v>
      </c>
      <c r="N3699" t="s">
        <v>45095</v>
      </c>
      <c r="O3699" t="s">
        <v>45096</v>
      </c>
      <c r="P3699">
        <v>0</v>
      </c>
      <c r="Q3699">
        <v>2</v>
      </c>
      <c r="R3699" t="s">
        <v>45101</v>
      </c>
      <c r="S3699" t="s">
        <v>45231</v>
      </c>
      <c r="T3699" t="s">
        <v>47158</v>
      </c>
      <c r="U3699" t="s">
        <v>50614</v>
      </c>
      <c r="V3699" t="s">
        <v>60214</v>
      </c>
      <c r="W3699" t="s">
        <v>42861</v>
      </c>
      <c r="X3699" t="s">
        <v>45103</v>
      </c>
    </row>
    <row r="3700" spans="1:24">
      <c r="A3700">
        <f>HYPERLINK("https://www.philgeps.gov.ph/GEPSNONPILOT/Tender/SplashBidNoticeAbstractUI.aspx?menuIndex=3&amp;refID=7038921&amp;Result=3","7038921")</f>
        <v>0</v>
      </c>
      <c r="B3700" t="s">
        <v>962</v>
      </c>
      <c r="C3700" t="s">
        <v>6732</v>
      </c>
      <c r="D3700" t="s">
        <v>18058</v>
      </c>
      <c r="E3700" t="s">
        <v>21457</v>
      </c>
      <c r="F3700" t="s">
        <v>31574</v>
      </c>
      <c r="G3700" t="s">
        <v>31581</v>
      </c>
      <c r="H3700" t="s">
        <v>31590</v>
      </c>
      <c r="I3700" t="s">
        <v>6800</v>
      </c>
      <c r="J3700" t="s">
        <v>34232</v>
      </c>
      <c r="K3700" t="s">
        <v>41213</v>
      </c>
      <c r="M3700" t="s">
        <v>42491</v>
      </c>
      <c r="N3700" t="s">
        <v>45095</v>
      </c>
      <c r="O3700" t="s">
        <v>45096</v>
      </c>
      <c r="P3700">
        <v>0</v>
      </c>
      <c r="Q3700">
        <v>0</v>
      </c>
      <c r="R3700" t="s">
        <v>45101</v>
      </c>
      <c r="S3700" t="s">
        <v>45231</v>
      </c>
      <c r="T3700" t="s">
        <v>47183</v>
      </c>
      <c r="U3700" t="s">
        <v>50615</v>
      </c>
      <c r="W3700" t="s">
        <v>42491</v>
      </c>
      <c r="X3700" t="s">
        <v>45103</v>
      </c>
    </row>
    <row r="3701" spans="1:24">
      <c r="A3701">
        <f>HYPERLINK("https://www.philgeps.gov.ph/GEPSNONPILOT/Tender/SplashBidNoticeAbstractUI.aspx?menuIndex=3&amp;refID=7038560&amp;Result=3","7038560")</f>
        <v>0</v>
      </c>
      <c r="B3701" t="s">
        <v>415</v>
      </c>
      <c r="C3701" t="s">
        <v>6733</v>
      </c>
      <c r="D3701" t="s">
        <v>18022</v>
      </c>
      <c r="E3701" t="s">
        <v>21458</v>
      </c>
      <c r="F3701" t="s">
        <v>31574</v>
      </c>
      <c r="G3701" t="s">
        <v>31583</v>
      </c>
      <c r="H3701" t="s">
        <v>31590</v>
      </c>
      <c r="I3701" t="s">
        <v>8258</v>
      </c>
      <c r="J3701" t="s">
        <v>34233</v>
      </c>
      <c r="K3701" t="s">
        <v>41190</v>
      </c>
      <c r="M3701" t="s">
        <v>42861</v>
      </c>
      <c r="N3701" t="s">
        <v>45095</v>
      </c>
      <c r="O3701" t="s">
        <v>45096</v>
      </c>
      <c r="P3701">
        <v>0</v>
      </c>
      <c r="Q3701">
        <v>2</v>
      </c>
      <c r="R3701" t="s">
        <v>45101</v>
      </c>
      <c r="S3701" t="s">
        <v>45231</v>
      </c>
      <c r="T3701" t="s">
        <v>47158</v>
      </c>
      <c r="U3701" t="s">
        <v>50616</v>
      </c>
      <c r="W3701" t="s">
        <v>42861</v>
      </c>
      <c r="X3701" t="s">
        <v>45103</v>
      </c>
    </row>
    <row r="3702" spans="1:24">
      <c r="A3702">
        <f>HYPERLINK("https://www.philgeps.gov.ph/GEPSNONPILOT/Tender/SplashBidNoticeAbstractUI.aspx?menuIndex=3&amp;refID=7036390&amp;Result=3","7036390")</f>
        <v>0</v>
      </c>
      <c r="B3702" t="s">
        <v>1283</v>
      </c>
      <c r="C3702" t="s">
        <v>3520</v>
      </c>
      <c r="D3702" t="s">
        <v>18052</v>
      </c>
      <c r="E3702" t="s">
        <v>18377</v>
      </c>
      <c r="F3702" t="s">
        <v>31574</v>
      </c>
      <c r="G3702" t="s">
        <v>31583</v>
      </c>
      <c r="H3702" t="s">
        <v>31590</v>
      </c>
      <c r="I3702" t="s">
        <v>3520</v>
      </c>
      <c r="J3702" t="s">
        <v>32000</v>
      </c>
      <c r="K3702" t="s">
        <v>41197</v>
      </c>
      <c r="M3702" t="s">
        <v>42851</v>
      </c>
      <c r="N3702" t="s">
        <v>45095</v>
      </c>
      <c r="O3702" t="s">
        <v>45096</v>
      </c>
      <c r="P3702">
        <v>0</v>
      </c>
      <c r="Q3702">
        <v>0</v>
      </c>
      <c r="R3702" t="s">
        <v>45101</v>
      </c>
      <c r="S3702" t="s">
        <v>45231</v>
      </c>
      <c r="T3702" t="s">
        <v>47160</v>
      </c>
      <c r="U3702" t="s">
        <v>50617</v>
      </c>
      <c r="W3702" t="s">
        <v>42851</v>
      </c>
      <c r="X3702" t="s">
        <v>45104</v>
      </c>
    </row>
    <row r="3703" spans="1:24">
      <c r="A3703">
        <f>HYPERLINK("https://www.philgeps.gov.ph/GEPSNONPILOT/Tender/SplashBidNoticeAbstractUI.aspx?menuIndex=3&amp;refID=7038853&amp;Result=3","7038853")</f>
        <v>0</v>
      </c>
      <c r="B3703" t="s">
        <v>962</v>
      </c>
      <c r="C3703" t="s">
        <v>6734</v>
      </c>
      <c r="D3703" t="s">
        <v>18058</v>
      </c>
      <c r="E3703" t="s">
        <v>21459</v>
      </c>
      <c r="F3703" t="s">
        <v>31574</v>
      </c>
      <c r="G3703" t="s">
        <v>31581</v>
      </c>
      <c r="H3703" t="s">
        <v>31590</v>
      </c>
      <c r="I3703" t="s">
        <v>7185</v>
      </c>
      <c r="J3703" t="s">
        <v>34234</v>
      </c>
      <c r="K3703" t="s">
        <v>41213</v>
      </c>
      <c r="M3703" t="s">
        <v>42491</v>
      </c>
      <c r="N3703" t="s">
        <v>45095</v>
      </c>
      <c r="O3703" t="s">
        <v>45096</v>
      </c>
      <c r="P3703">
        <v>0</v>
      </c>
      <c r="Q3703">
        <v>0</v>
      </c>
      <c r="R3703" t="s">
        <v>45101</v>
      </c>
      <c r="S3703" t="s">
        <v>45231</v>
      </c>
      <c r="T3703" t="s">
        <v>47176</v>
      </c>
      <c r="U3703" t="s">
        <v>50618</v>
      </c>
      <c r="W3703" t="s">
        <v>42491</v>
      </c>
      <c r="X3703" t="s">
        <v>45103</v>
      </c>
    </row>
    <row r="3704" spans="1:24">
      <c r="A3704">
        <f>HYPERLINK("https://www.philgeps.gov.ph/GEPSNONPILOT/Tender/SplashBidNoticeAbstractUI.aspx?menuIndex=3&amp;refID=7038954&amp;Result=3","7038954")</f>
        <v>0</v>
      </c>
      <c r="B3704" t="s">
        <v>1301</v>
      </c>
      <c r="C3704" t="s">
        <v>6735</v>
      </c>
      <c r="E3704" t="s">
        <v>21460</v>
      </c>
      <c r="F3704" t="s">
        <v>31574</v>
      </c>
      <c r="G3704" t="s">
        <v>31581</v>
      </c>
      <c r="H3704" t="s">
        <v>31590</v>
      </c>
      <c r="I3704" t="s">
        <v>3487</v>
      </c>
      <c r="J3704" t="s">
        <v>31727</v>
      </c>
      <c r="K3704" t="s">
        <v>41184</v>
      </c>
      <c r="M3704" t="s">
        <v>42871</v>
      </c>
      <c r="N3704" t="s">
        <v>45095</v>
      </c>
      <c r="O3704" t="s">
        <v>45096</v>
      </c>
      <c r="P3704">
        <v>0</v>
      </c>
      <c r="Q3704">
        <v>2</v>
      </c>
      <c r="R3704" t="s">
        <v>45101</v>
      </c>
      <c r="S3704" t="s">
        <v>45231</v>
      </c>
      <c r="T3704" t="s">
        <v>47159</v>
      </c>
      <c r="U3704" t="s">
        <v>50619</v>
      </c>
      <c r="W3704" t="s">
        <v>42871</v>
      </c>
      <c r="X3704" t="s">
        <v>45103</v>
      </c>
    </row>
    <row r="3705" spans="1:24">
      <c r="A3705">
        <f>HYPERLINK("https://www.philgeps.gov.ph/GEPSNONPILOT/Tender/SplashBidNoticeAbstractUI.aspx?menuIndex=3&amp;refID=7038804&amp;Result=3","7038804")</f>
        <v>0</v>
      </c>
      <c r="B3705" t="s">
        <v>962</v>
      </c>
      <c r="C3705" t="s">
        <v>6736</v>
      </c>
      <c r="D3705" t="s">
        <v>18058</v>
      </c>
      <c r="E3705" t="s">
        <v>21461</v>
      </c>
      <c r="F3705" t="s">
        <v>31574</v>
      </c>
      <c r="G3705" t="s">
        <v>31581</v>
      </c>
      <c r="H3705" t="s">
        <v>31590</v>
      </c>
      <c r="I3705" t="s">
        <v>14544</v>
      </c>
      <c r="J3705" t="s">
        <v>34235</v>
      </c>
      <c r="K3705" t="s">
        <v>41213</v>
      </c>
      <c r="M3705" t="s">
        <v>42491</v>
      </c>
      <c r="N3705" t="s">
        <v>45095</v>
      </c>
      <c r="O3705" t="s">
        <v>45096</v>
      </c>
      <c r="P3705">
        <v>0</v>
      </c>
      <c r="Q3705">
        <v>1</v>
      </c>
      <c r="R3705" t="s">
        <v>45101</v>
      </c>
      <c r="S3705" t="s">
        <v>45231</v>
      </c>
      <c r="T3705" t="s">
        <v>47176</v>
      </c>
      <c r="U3705" t="s">
        <v>50620</v>
      </c>
      <c r="W3705" t="s">
        <v>42491</v>
      </c>
      <c r="X3705" t="s">
        <v>45103</v>
      </c>
    </row>
    <row r="3706" spans="1:24">
      <c r="A3706">
        <f>HYPERLINK("https://www.philgeps.gov.ph/GEPSNONPILOT/Tender/SplashBidNoticeAbstractUI.aspx?menuIndex=3&amp;refID=7038755&amp;Result=3","7038755")</f>
        <v>0</v>
      </c>
      <c r="B3706" t="s">
        <v>1272</v>
      </c>
      <c r="C3706" t="s">
        <v>6737</v>
      </c>
      <c r="D3706" t="s">
        <v>18024</v>
      </c>
      <c r="E3706" t="s">
        <v>18397</v>
      </c>
      <c r="F3706" t="s">
        <v>31574</v>
      </c>
      <c r="G3706" t="s">
        <v>31582</v>
      </c>
      <c r="H3706" t="s">
        <v>31591</v>
      </c>
      <c r="I3706" t="s">
        <v>4046</v>
      </c>
      <c r="J3706" t="s">
        <v>34236</v>
      </c>
      <c r="K3706" t="s">
        <v>41213</v>
      </c>
      <c r="M3706" t="s">
        <v>42840</v>
      </c>
      <c r="N3706" t="s">
        <v>45095</v>
      </c>
      <c r="O3706" t="s">
        <v>45096</v>
      </c>
      <c r="P3706">
        <v>0</v>
      </c>
      <c r="Q3706">
        <v>2</v>
      </c>
      <c r="R3706" t="s">
        <v>45101</v>
      </c>
      <c r="S3706" t="s">
        <v>45231</v>
      </c>
      <c r="T3706" t="s">
        <v>46911</v>
      </c>
      <c r="U3706" t="s">
        <v>50621</v>
      </c>
      <c r="W3706" t="s">
        <v>42840</v>
      </c>
      <c r="X3706" t="s">
        <v>45103</v>
      </c>
    </row>
    <row r="3707" spans="1:24">
      <c r="A3707">
        <f>HYPERLINK("https://www.philgeps.gov.ph/GEPSNONPILOT/Tender/SplashBidNoticeAbstractUI.aspx?menuIndex=3&amp;refID=7039081&amp;Result=3","7039081")</f>
        <v>0</v>
      </c>
      <c r="B3707" t="s">
        <v>288</v>
      </c>
      <c r="C3707" t="s">
        <v>6738</v>
      </c>
      <c r="D3707" t="s">
        <v>18075</v>
      </c>
      <c r="E3707" t="s">
        <v>21462</v>
      </c>
      <c r="F3707" t="s">
        <v>31574</v>
      </c>
      <c r="G3707" t="s">
        <v>31581</v>
      </c>
      <c r="H3707" t="s">
        <v>31590</v>
      </c>
      <c r="I3707" t="s">
        <v>31603</v>
      </c>
      <c r="J3707" t="s">
        <v>34237</v>
      </c>
      <c r="K3707" t="s">
        <v>41191</v>
      </c>
      <c r="M3707" t="s">
        <v>41774</v>
      </c>
      <c r="N3707" t="s">
        <v>45095</v>
      </c>
      <c r="O3707" t="s">
        <v>45096</v>
      </c>
      <c r="P3707">
        <v>0</v>
      </c>
      <c r="Q3707">
        <v>26</v>
      </c>
      <c r="R3707" t="s">
        <v>45101</v>
      </c>
      <c r="S3707" t="s">
        <v>45231</v>
      </c>
      <c r="T3707" t="s">
        <v>47187</v>
      </c>
      <c r="U3707" t="s">
        <v>50622</v>
      </c>
      <c r="W3707" t="s">
        <v>41774</v>
      </c>
      <c r="X3707" t="s">
        <v>45103</v>
      </c>
    </row>
    <row r="3708" spans="1:24">
      <c r="A3708">
        <f>HYPERLINK("https://www.philgeps.gov.ph/GEPSNONPILOT/Tender/SplashBidNoticeAbstractUI.aspx?menuIndex=3&amp;refID=7039020&amp;Result=3","7039020")</f>
        <v>0</v>
      </c>
      <c r="B3708" t="s">
        <v>962</v>
      </c>
      <c r="C3708" t="s">
        <v>6739</v>
      </c>
      <c r="D3708" t="s">
        <v>18058</v>
      </c>
      <c r="E3708" t="s">
        <v>21463</v>
      </c>
      <c r="F3708" t="s">
        <v>31574</v>
      </c>
      <c r="G3708" t="s">
        <v>31581</v>
      </c>
      <c r="H3708" t="s">
        <v>31590</v>
      </c>
      <c r="I3708" t="s">
        <v>6800</v>
      </c>
      <c r="J3708" t="s">
        <v>32197</v>
      </c>
      <c r="K3708" t="s">
        <v>41213</v>
      </c>
      <c r="M3708" t="s">
        <v>42491</v>
      </c>
      <c r="N3708" t="s">
        <v>45095</v>
      </c>
      <c r="O3708" t="s">
        <v>45096</v>
      </c>
      <c r="P3708">
        <v>0</v>
      </c>
      <c r="Q3708">
        <v>0</v>
      </c>
      <c r="R3708" t="s">
        <v>45101</v>
      </c>
      <c r="S3708" t="s">
        <v>45231</v>
      </c>
      <c r="T3708" t="s">
        <v>47176</v>
      </c>
      <c r="U3708" t="s">
        <v>50623</v>
      </c>
      <c r="W3708" t="s">
        <v>42491</v>
      </c>
      <c r="X3708" t="s">
        <v>45103</v>
      </c>
    </row>
    <row r="3709" spans="1:24">
      <c r="A3709">
        <f>HYPERLINK("https://www.philgeps.gov.ph/GEPSNONPILOT/Tender/SplashBidNoticeAbstractUI.aspx?menuIndex=3&amp;refID=7038724&amp;Result=3","7038724")</f>
        <v>0</v>
      </c>
      <c r="B3709" t="s">
        <v>415</v>
      </c>
      <c r="C3709" t="s">
        <v>6740</v>
      </c>
      <c r="D3709" t="s">
        <v>18022</v>
      </c>
      <c r="E3709" t="s">
        <v>21464</v>
      </c>
      <c r="F3709" t="s">
        <v>31574</v>
      </c>
      <c r="G3709" t="s">
        <v>31583</v>
      </c>
      <c r="H3709" t="s">
        <v>31590</v>
      </c>
      <c r="I3709" t="s">
        <v>8258</v>
      </c>
      <c r="J3709" t="s">
        <v>34238</v>
      </c>
      <c r="K3709" t="s">
        <v>41190</v>
      </c>
      <c r="M3709" t="s">
        <v>42861</v>
      </c>
      <c r="N3709" t="s">
        <v>45095</v>
      </c>
      <c r="O3709" t="s">
        <v>45096</v>
      </c>
      <c r="P3709">
        <v>0</v>
      </c>
      <c r="Q3709">
        <v>2</v>
      </c>
      <c r="R3709" t="s">
        <v>45101</v>
      </c>
      <c r="S3709" t="s">
        <v>45231</v>
      </c>
      <c r="T3709" t="s">
        <v>47158</v>
      </c>
      <c r="U3709" t="s">
        <v>50624</v>
      </c>
      <c r="W3709" t="s">
        <v>42861</v>
      </c>
      <c r="X3709" t="s">
        <v>45103</v>
      </c>
    </row>
    <row r="3710" spans="1:24">
      <c r="A3710">
        <f>HYPERLINK("https://www.philgeps.gov.ph/GEPSNONPILOT/Tender/SplashBidNoticeAbstractUI.aspx?menuIndex=3&amp;refID=7039183&amp;Result=3","7039183")</f>
        <v>0</v>
      </c>
      <c r="B3710" t="s">
        <v>956</v>
      </c>
      <c r="C3710" t="s">
        <v>6741</v>
      </c>
      <c r="D3710" t="s">
        <v>18094</v>
      </c>
      <c r="E3710" t="s">
        <v>21465</v>
      </c>
      <c r="F3710" t="s">
        <v>31574</v>
      </c>
      <c r="G3710" t="s">
        <v>31582</v>
      </c>
      <c r="H3710" t="s">
        <v>31590</v>
      </c>
      <c r="I3710" t="s">
        <v>31602</v>
      </c>
      <c r="J3710" t="s">
        <v>34239</v>
      </c>
      <c r="K3710" t="s">
        <v>41191</v>
      </c>
      <c r="M3710" t="s">
        <v>42483</v>
      </c>
      <c r="N3710" t="s">
        <v>45095</v>
      </c>
      <c r="O3710" t="s">
        <v>45096</v>
      </c>
      <c r="P3710">
        <v>0</v>
      </c>
      <c r="Q3710">
        <v>0</v>
      </c>
      <c r="R3710" t="s">
        <v>45101</v>
      </c>
      <c r="S3710" t="s">
        <v>45231</v>
      </c>
      <c r="T3710" t="s">
        <v>47004</v>
      </c>
      <c r="U3710" t="s">
        <v>50625</v>
      </c>
      <c r="W3710" t="s">
        <v>42483</v>
      </c>
      <c r="X3710" t="s">
        <v>45103</v>
      </c>
    </row>
    <row r="3711" spans="1:24">
      <c r="A3711">
        <f>HYPERLINK("https://www.philgeps.gov.ph/GEPSNONPILOT/Tender/SplashBidNoticeAbstractUI.aspx?menuIndex=3&amp;refID=7038816&amp;Result=3","7038816")</f>
        <v>0</v>
      </c>
      <c r="B3711" t="s">
        <v>415</v>
      </c>
      <c r="C3711" t="s">
        <v>6742</v>
      </c>
      <c r="D3711" t="s">
        <v>18022</v>
      </c>
      <c r="E3711" t="s">
        <v>21466</v>
      </c>
      <c r="F3711" t="s">
        <v>31574</v>
      </c>
      <c r="G3711" t="s">
        <v>31583</v>
      </c>
      <c r="H3711" t="s">
        <v>31590</v>
      </c>
      <c r="I3711" t="s">
        <v>8258</v>
      </c>
      <c r="J3711" t="s">
        <v>32288</v>
      </c>
      <c r="K3711" t="s">
        <v>41190</v>
      </c>
      <c r="M3711" t="s">
        <v>42861</v>
      </c>
      <c r="N3711" t="s">
        <v>45095</v>
      </c>
      <c r="O3711" t="s">
        <v>45096</v>
      </c>
      <c r="P3711">
        <v>0</v>
      </c>
      <c r="Q3711">
        <v>3</v>
      </c>
      <c r="R3711" t="s">
        <v>45101</v>
      </c>
      <c r="S3711" t="s">
        <v>45231</v>
      </c>
      <c r="T3711" t="s">
        <v>47158</v>
      </c>
      <c r="U3711" t="s">
        <v>50626</v>
      </c>
      <c r="W3711" t="s">
        <v>42861</v>
      </c>
      <c r="X3711" t="s">
        <v>45103</v>
      </c>
    </row>
    <row r="3712" spans="1:24">
      <c r="A3712">
        <f>HYPERLINK("https://www.philgeps.gov.ph/GEPSNONPILOT/Tender/SplashBidNoticeAbstractUI.aspx?menuIndex=3&amp;refID=7038904&amp;Result=3","7038904")</f>
        <v>0</v>
      </c>
      <c r="B3712" t="s">
        <v>1302</v>
      </c>
      <c r="C3712" t="s">
        <v>6743</v>
      </c>
      <c r="D3712" t="s">
        <v>18076</v>
      </c>
      <c r="E3712" t="s">
        <v>21467</v>
      </c>
      <c r="F3712" t="s">
        <v>31574</v>
      </c>
      <c r="G3712" t="s">
        <v>31583</v>
      </c>
      <c r="H3712" t="s">
        <v>31590</v>
      </c>
      <c r="I3712" t="s">
        <v>5717</v>
      </c>
      <c r="J3712" t="s">
        <v>34240</v>
      </c>
      <c r="K3712" t="s">
        <v>41186</v>
      </c>
      <c r="M3712" t="s">
        <v>42872</v>
      </c>
      <c r="N3712" t="s">
        <v>45095</v>
      </c>
      <c r="O3712" t="s">
        <v>45096</v>
      </c>
      <c r="P3712">
        <v>0</v>
      </c>
      <c r="Q3712">
        <v>8</v>
      </c>
      <c r="R3712" t="s">
        <v>45101</v>
      </c>
      <c r="S3712" t="s">
        <v>45231</v>
      </c>
      <c r="T3712" t="s">
        <v>46934</v>
      </c>
      <c r="U3712" t="s">
        <v>50627</v>
      </c>
      <c r="W3712" t="s">
        <v>42872</v>
      </c>
      <c r="X3712" t="s">
        <v>45103</v>
      </c>
    </row>
    <row r="3713" spans="1:24">
      <c r="A3713">
        <f>HYPERLINK("https://www.philgeps.gov.ph/GEPSNONPILOT/Tender/SplashBidNoticeAbstractUI.aspx?menuIndex=3&amp;refID=7039112&amp;Result=3","7039112")</f>
        <v>0</v>
      </c>
      <c r="B3713" t="s">
        <v>1303</v>
      </c>
      <c r="C3713" t="s">
        <v>6744</v>
      </c>
      <c r="D3713" t="s">
        <v>18024</v>
      </c>
      <c r="E3713" t="s">
        <v>21468</v>
      </c>
      <c r="F3713" t="s">
        <v>31574</v>
      </c>
      <c r="G3713" t="s">
        <v>31582</v>
      </c>
      <c r="H3713" t="s">
        <v>31591</v>
      </c>
      <c r="I3713" t="s">
        <v>8822</v>
      </c>
      <c r="J3713" t="s">
        <v>32101</v>
      </c>
      <c r="K3713" t="s">
        <v>41200</v>
      </c>
      <c r="M3713" t="s">
        <v>42873</v>
      </c>
      <c r="N3713" t="s">
        <v>45095</v>
      </c>
      <c r="O3713" t="s">
        <v>45096</v>
      </c>
      <c r="P3713">
        <v>0</v>
      </c>
      <c r="Q3713">
        <v>4</v>
      </c>
      <c r="R3713" t="s">
        <v>45101</v>
      </c>
      <c r="S3713" t="s">
        <v>45231</v>
      </c>
      <c r="T3713" t="s">
        <v>46915</v>
      </c>
      <c r="U3713" t="s">
        <v>50628</v>
      </c>
      <c r="W3713" t="s">
        <v>61696</v>
      </c>
      <c r="X3713" t="s">
        <v>45103</v>
      </c>
    </row>
    <row r="3714" spans="1:24">
      <c r="A3714">
        <f>HYPERLINK("https://www.philgeps.gov.ph/GEPSNONPILOT/Tender/SplashBidNoticeAbstractUI.aspx?menuIndex=3&amp;refID=7039027&amp;Result=3","7039027")</f>
        <v>0</v>
      </c>
      <c r="B3714" t="s">
        <v>1304</v>
      </c>
      <c r="C3714" t="s">
        <v>6745</v>
      </c>
      <c r="D3714" t="s">
        <v>18090</v>
      </c>
      <c r="E3714" t="s">
        <v>21469</v>
      </c>
      <c r="F3714" t="s">
        <v>31574</v>
      </c>
      <c r="G3714" t="s">
        <v>31582</v>
      </c>
      <c r="H3714" t="s">
        <v>31591</v>
      </c>
      <c r="I3714" t="s">
        <v>8822</v>
      </c>
      <c r="J3714" t="s">
        <v>34241</v>
      </c>
      <c r="K3714" t="s">
        <v>41186</v>
      </c>
      <c r="M3714" t="s">
        <v>42874</v>
      </c>
      <c r="N3714" t="s">
        <v>45095</v>
      </c>
      <c r="O3714" t="s">
        <v>45096</v>
      </c>
      <c r="P3714">
        <v>0</v>
      </c>
      <c r="Q3714">
        <v>0</v>
      </c>
      <c r="R3714" t="s">
        <v>45101</v>
      </c>
      <c r="S3714" t="s">
        <v>45231</v>
      </c>
      <c r="T3714" t="s">
        <v>47100</v>
      </c>
      <c r="U3714" t="s">
        <v>50629</v>
      </c>
      <c r="V3714" t="s">
        <v>60215</v>
      </c>
      <c r="W3714" t="s">
        <v>42874</v>
      </c>
      <c r="X3714" t="s">
        <v>45103</v>
      </c>
    </row>
    <row r="3715" spans="1:24">
      <c r="A3715">
        <f>HYPERLINK("https://www.philgeps.gov.ph/GEPSNONPILOT/Tender/SplashBidNoticeAbstractUI.aspx?menuIndex=3&amp;refID=7039156&amp;Result=3","7039156")</f>
        <v>0</v>
      </c>
      <c r="B3715" t="s">
        <v>1305</v>
      </c>
      <c r="C3715" t="s">
        <v>6746</v>
      </c>
      <c r="D3715" t="s">
        <v>18101</v>
      </c>
      <c r="E3715" t="s">
        <v>21470</v>
      </c>
      <c r="F3715" t="s">
        <v>31574</v>
      </c>
      <c r="G3715" t="s">
        <v>31585</v>
      </c>
      <c r="H3715" t="s">
        <v>31590</v>
      </c>
      <c r="I3715" t="s">
        <v>31595</v>
      </c>
      <c r="J3715" t="s">
        <v>31935</v>
      </c>
      <c r="K3715" t="s">
        <v>41196</v>
      </c>
      <c r="M3715" t="s">
        <v>42875</v>
      </c>
      <c r="N3715" t="s">
        <v>45095</v>
      </c>
      <c r="O3715" t="s">
        <v>45096</v>
      </c>
      <c r="P3715">
        <v>0</v>
      </c>
      <c r="Q3715">
        <v>2</v>
      </c>
      <c r="R3715" t="s">
        <v>45101</v>
      </c>
      <c r="S3715" t="s">
        <v>45231</v>
      </c>
      <c r="T3715" t="s">
        <v>47154</v>
      </c>
      <c r="U3715" t="s">
        <v>50630</v>
      </c>
      <c r="W3715" t="s">
        <v>42875</v>
      </c>
      <c r="X3715" t="s">
        <v>45103</v>
      </c>
    </row>
    <row r="3716" spans="1:24">
      <c r="A3716">
        <f>HYPERLINK("https://www.philgeps.gov.ph/GEPSNONPILOT/Tender/SplashBidNoticeAbstractUI.aspx?menuIndex=3&amp;refID=7039255&amp;Result=3","7039255")</f>
        <v>0</v>
      </c>
      <c r="B3716" t="s">
        <v>1305</v>
      </c>
      <c r="C3716" t="s">
        <v>6747</v>
      </c>
      <c r="D3716" t="s">
        <v>18101</v>
      </c>
      <c r="E3716" t="s">
        <v>21471</v>
      </c>
      <c r="F3716" t="s">
        <v>31574</v>
      </c>
      <c r="G3716" t="s">
        <v>31581</v>
      </c>
      <c r="H3716" t="s">
        <v>31590</v>
      </c>
      <c r="I3716" t="s">
        <v>4046</v>
      </c>
      <c r="J3716" t="s">
        <v>31727</v>
      </c>
      <c r="K3716" t="s">
        <v>41196</v>
      </c>
      <c r="M3716" t="s">
        <v>42875</v>
      </c>
      <c r="N3716" t="s">
        <v>45095</v>
      </c>
      <c r="O3716" t="s">
        <v>45096</v>
      </c>
      <c r="P3716">
        <v>0</v>
      </c>
      <c r="Q3716">
        <v>2</v>
      </c>
      <c r="R3716" t="s">
        <v>45101</v>
      </c>
      <c r="S3716" t="s">
        <v>45231</v>
      </c>
      <c r="T3716" t="s">
        <v>47154</v>
      </c>
      <c r="U3716" t="s">
        <v>50631</v>
      </c>
      <c r="W3716" t="s">
        <v>42875</v>
      </c>
      <c r="X3716" t="s">
        <v>45103</v>
      </c>
    </row>
    <row r="3717" spans="1:24">
      <c r="A3717">
        <f>HYPERLINK("https://www.philgeps.gov.ph/GEPSNONPILOT/Tender/SplashBidNoticeAbstractUI.aspx?menuIndex=3&amp;refID=7038895&amp;Result=3","7038895")</f>
        <v>0</v>
      </c>
      <c r="B3717" t="s">
        <v>962</v>
      </c>
      <c r="C3717" t="s">
        <v>6748</v>
      </c>
      <c r="D3717" t="s">
        <v>18058</v>
      </c>
      <c r="E3717" t="s">
        <v>21472</v>
      </c>
      <c r="F3717" t="s">
        <v>31574</v>
      </c>
      <c r="G3717" t="s">
        <v>31581</v>
      </c>
      <c r="H3717" t="s">
        <v>31590</v>
      </c>
      <c r="I3717" t="s">
        <v>31602</v>
      </c>
      <c r="J3717" t="s">
        <v>34242</v>
      </c>
      <c r="K3717" t="s">
        <v>41213</v>
      </c>
      <c r="M3717" t="s">
        <v>42491</v>
      </c>
      <c r="N3717" t="s">
        <v>45095</v>
      </c>
      <c r="O3717" t="s">
        <v>45096</v>
      </c>
      <c r="P3717">
        <v>0</v>
      </c>
      <c r="Q3717">
        <v>0</v>
      </c>
      <c r="R3717" t="s">
        <v>45101</v>
      </c>
      <c r="S3717" t="s">
        <v>45231</v>
      </c>
      <c r="T3717" t="s">
        <v>47176</v>
      </c>
      <c r="U3717" t="s">
        <v>50632</v>
      </c>
      <c r="W3717" t="s">
        <v>42491</v>
      </c>
      <c r="X3717" t="s">
        <v>45103</v>
      </c>
    </row>
    <row r="3718" spans="1:24">
      <c r="A3718">
        <f>HYPERLINK("https://www.philgeps.gov.ph/GEPSNONPILOT/Tender/SplashBidNoticeAbstractUI.aspx?menuIndex=3&amp;refID=7038994&amp;Result=3","7038994")</f>
        <v>0</v>
      </c>
      <c r="B3718" t="s">
        <v>962</v>
      </c>
      <c r="C3718" t="s">
        <v>5592</v>
      </c>
      <c r="D3718" t="s">
        <v>18058</v>
      </c>
      <c r="E3718" t="s">
        <v>21473</v>
      </c>
      <c r="F3718" t="s">
        <v>31574</v>
      </c>
      <c r="G3718" t="s">
        <v>31581</v>
      </c>
      <c r="H3718" t="s">
        <v>31590</v>
      </c>
      <c r="I3718" t="s">
        <v>3539</v>
      </c>
      <c r="J3718" t="s">
        <v>31955</v>
      </c>
      <c r="K3718" t="s">
        <v>41213</v>
      </c>
      <c r="M3718" t="s">
        <v>42491</v>
      </c>
      <c r="N3718" t="s">
        <v>45095</v>
      </c>
      <c r="O3718" t="s">
        <v>45096</v>
      </c>
      <c r="P3718">
        <v>0</v>
      </c>
      <c r="Q3718">
        <v>0</v>
      </c>
      <c r="R3718" t="s">
        <v>45101</v>
      </c>
      <c r="S3718" t="s">
        <v>45231</v>
      </c>
      <c r="T3718" t="s">
        <v>47176</v>
      </c>
      <c r="U3718" t="s">
        <v>48689</v>
      </c>
      <c r="W3718" t="s">
        <v>42491</v>
      </c>
      <c r="X3718" t="s">
        <v>45103</v>
      </c>
    </row>
    <row r="3719" spans="1:24">
      <c r="A3719">
        <f>HYPERLINK("https://www.philgeps.gov.ph/GEPSNONPILOT/Tender/SplashBidNoticeAbstractUI.aspx?menuIndex=3&amp;refID=7038971&amp;Result=3","7038971")</f>
        <v>0</v>
      </c>
      <c r="B3719" t="s">
        <v>962</v>
      </c>
      <c r="C3719" t="s">
        <v>6749</v>
      </c>
      <c r="D3719" t="s">
        <v>18058</v>
      </c>
      <c r="E3719" t="s">
        <v>21474</v>
      </c>
      <c r="F3719" t="s">
        <v>31574</v>
      </c>
      <c r="G3719" t="s">
        <v>31581</v>
      </c>
      <c r="H3719" t="s">
        <v>31590</v>
      </c>
      <c r="I3719" t="s">
        <v>31621</v>
      </c>
      <c r="J3719" t="s">
        <v>34243</v>
      </c>
      <c r="K3719" t="s">
        <v>41213</v>
      </c>
      <c r="M3719" t="s">
        <v>42491</v>
      </c>
      <c r="N3719" t="s">
        <v>45095</v>
      </c>
      <c r="O3719" t="s">
        <v>45096</v>
      </c>
      <c r="P3719">
        <v>0</v>
      </c>
      <c r="Q3719">
        <v>2</v>
      </c>
      <c r="R3719" t="s">
        <v>45101</v>
      </c>
      <c r="S3719" t="s">
        <v>45231</v>
      </c>
      <c r="T3719" t="s">
        <v>47176</v>
      </c>
      <c r="U3719" t="s">
        <v>50633</v>
      </c>
      <c r="W3719" t="s">
        <v>42491</v>
      </c>
      <c r="X3719" t="s">
        <v>45103</v>
      </c>
    </row>
    <row r="3720" spans="1:24">
      <c r="A3720">
        <f>HYPERLINK("https://www.philgeps.gov.ph/GEPSNONPILOT/Tender/SplashBidNoticeAbstractUI.aspx?menuIndex=3&amp;refID=7038775&amp;Result=3","7038775")</f>
        <v>0</v>
      </c>
      <c r="B3720" t="s">
        <v>415</v>
      </c>
      <c r="C3720" t="s">
        <v>6750</v>
      </c>
      <c r="D3720" t="s">
        <v>18022</v>
      </c>
      <c r="E3720" t="s">
        <v>21475</v>
      </c>
      <c r="F3720" t="s">
        <v>31578</v>
      </c>
      <c r="G3720" t="s">
        <v>31583</v>
      </c>
      <c r="H3720" t="s">
        <v>31590</v>
      </c>
      <c r="I3720" t="s">
        <v>8258</v>
      </c>
      <c r="J3720" t="s">
        <v>34244</v>
      </c>
      <c r="K3720" t="s">
        <v>41190</v>
      </c>
      <c r="M3720" t="s">
        <v>42861</v>
      </c>
      <c r="N3720" t="s">
        <v>45095</v>
      </c>
      <c r="O3720" t="s">
        <v>45096</v>
      </c>
      <c r="P3720">
        <v>0</v>
      </c>
      <c r="Q3720">
        <v>1</v>
      </c>
      <c r="R3720" t="s">
        <v>45101</v>
      </c>
      <c r="S3720" t="s">
        <v>45231</v>
      </c>
      <c r="T3720" t="s">
        <v>47158</v>
      </c>
      <c r="U3720" t="s">
        <v>50634</v>
      </c>
      <c r="W3720" t="s">
        <v>42861</v>
      </c>
      <c r="X3720" t="s">
        <v>45103</v>
      </c>
    </row>
    <row r="3721" spans="1:24">
      <c r="A3721">
        <f>HYPERLINK("https://www.philgeps.gov.ph/GEPSNONPILOT/Tender/SplashBidNoticeAbstractUI.aspx?menuIndex=3&amp;refID=7039322&amp;Result=3","7039322")</f>
        <v>0</v>
      </c>
      <c r="B3721" t="s">
        <v>1306</v>
      </c>
      <c r="C3721" t="s">
        <v>6751</v>
      </c>
      <c r="D3721" t="s">
        <v>18065</v>
      </c>
      <c r="E3721" t="s">
        <v>21476</v>
      </c>
      <c r="F3721" t="s">
        <v>31576</v>
      </c>
      <c r="G3721" t="s">
        <v>31583</v>
      </c>
      <c r="H3721" t="s">
        <v>31590</v>
      </c>
      <c r="I3721" t="s">
        <v>14544</v>
      </c>
      <c r="J3721" t="s">
        <v>34245</v>
      </c>
      <c r="K3721" t="s">
        <v>41225</v>
      </c>
      <c r="M3721" t="s">
        <v>42876</v>
      </c>
      <c r="N3721" t="s">
        <v>45095</v>
      </c>
      <c r="O3721" t="s">
        <v>45096</v>
      </c>
      <c r="P3721">
        <v>0</v>
      </c>
      <c r="Q3721">
        <v>1</v>
      </c>
      <c r="R3721" t="s">
        <v>45101</v>
      </c>
      <c r="S3721" t="s">
        <v>45231</v>
      </c>
      <c r="T3721" t="s">
        <v>46913</v>
      </c>
      <c r="U3721" t="s">
        <v>50635</v>
      </c>
      <c r="W3721" t="s">
        <v>42876</v>
      </c>
      <c r="X3721" t="s">
        <v>45103</v>
      </c>
    </row>
    <row r="3722" spans="1:24">
      <c r="A3722">
        <f>HYPERLINK("https://www.philgeps.gov.ph/GEPSNONPILOT/Tender/SplashBidNoticeAbstractUI.aspx?menuIndex=3&amp;refID=7034720&amp;Result=3","7034720")</f>
        <v>0</v>
      </c>
      <c r="B3722" t="s">
        <v>1307</v>
      </c>
      <c r="C3722" t="s">
        <v>6752</v>
      </c>
      <c r="D3722" t="s">
        <v>18033</v>
      </c>
      <c r="E3722" t="s">
        <v>18227</v>
      </c>
      <c r="F3722" t="s">
        <v>31574</v>
      </c>
      <c r="G3722" t="s">
        <v>31582</v>
      </c>
      <c r="H3722" t="s">
        <v>31591</v>
      </c>
      <c r="I3722" t="s">
        <v>7162</v>
      </c>
      <c r="J3722" t="s">
        <v>31789</v>
      </c>
      <c r="K3722" t="s">
        <v>41186</v>
      </c>
      <c r="M3722" t="s">
        <v>42877</v>
      </c>
      <c r="N3722" t="s">
        <v>45095</v>
      </c>
      <c r="O3722" t="s">
        <v>45096</v>
      </c>
      <c r="P3722">
        <v>0</v>
      </c>
      <c r="Q3722">
        <v>0</v>
      </c>
      <c r="R3722" t="s">
        <v>45101</v>
      </c>
      <c r="S3722" t="s">
        <v>45231</v>
      </c>
      <c r="T3722" t="s">
        <v>46942</v>
      </c>
      <c r="U3722" t="s">
        <v>50636</v>
      </c>
      <c r="W3722" t="s">
        <v>42877</v>
      </c>
      <c r="X3722" t="s">
        <v>45105</v>
      </c>
    </row>
    <row r="3723" spans="1:24">
      <c r="A3723">
        <f>HYPERLINK("https://www.philgeps.gov.ph/GEPSNONPILOT/Tender/SplashBidNoticeAbstractUI.aspx?menuIndex=3&amp;refID=7040033&amp;Result=3","7040033")</f>
        <v>0</v>
      </c>
      <c r="B3723" t="s">
        <v>437</v>
      </c>
      <c r="C3723" t="s">
        <v>6753</v>
      </c>
      <c r="D3723" t="s">
        <v>18056</v>
      </c>
      <c r="E3723" t="s">
        <v>21477</v>
      </c>
      <c r="F3723" t="s">
        <v>31574</v>
      </c>
      <c r="G3723" t="s">
        <v>31582</v>
      </c>
      <c r="H3723" t="s">
        <v>31590</v>
      </c>
      <c r="I3723" t="s">
        <v>31594</v>
      </c>
      <c r="J3723" t="s">
        <v>34246</v>
      </c>
      <c r="K3723" t="s">
        <v>41186</v>
      </c>
      <c r="M3723" t="s">
        <v>41930</v>
      </c>
      <c r="N3723" t="s">
        <v>45095</v>
      </c>
      <c r="O3723" t="s">
        <v>45096</v>
      </c>
      <c r="P3723">
        <v>0</v>
      </c>
      <c r="Q3723">
        <v>18</v>
      </c>
      <c r="R3723" t="s">
        <v>45101</v>
      </c>
      <c r="S3723" t="s">
        <v>45231</v>
      </c>
      <c r="T3723" t="s">
        <v>47044</v>
      </c>
      <c r="U3723" t="s">
        <v>48343</v>
      </c>
      <c r="W3723" t="s">
        <v>41930</v>
      </c>
      <c r="X3723" t="s">
        <v>45103</v>
      </c>
    </row>
    <row r="3724" spans="1:24">
      <c r="A3724">
        <f>HYPERLINK("https://www.philgeps.gov.ph/GEPSNONPILOT/Tender/SplashBidNoticeAbstractUI.aspx?menuIndex=3&amp;refID=7039398&amp;Result=3","7039398")</f>
        <v>0</v>
      </c>
      <c r="B3724" t="s">
        <v>194</v>
      </c>
      <c r="C3724" t="s">
        <v>6754</v>
      </c>
      <c r="D3724" t="s">
        <v>18065</v>
      </c>
      <c r="E3724" t="s">
        <v>21478</v>
      </c>
      <c r="F3724" t="s">
        <v>31574</v>
      </c>
      <c r="G3724" t="s">
        <v>31581</v>
      </c>
      <c r="H3724" t="s">
        <v>31590</v>
      </c>
      <c r="I3724" t="s">
        <v>6800</v>
      </c>
      <c r="J3724" t="s">
        <v>34247</v>
      </c>
      <c r="K3724" t="s">
        <v>41184</v>
      </c>
      <c r="M3724" t="s">
        <v>41679</v>
      </c>
      <c r="N3724" t="s">
        <v>45095</v>
      </c>
      <c r="O3724" t="s">
        <v>45096</v>
      </c>
      <c r="P3724">
        <v>0</v>
      </c>
      <c r="Q3724">
        <v>1</v>
      </c>
      <c r="R3724" t="s">
        <v>45101</v>
      </c>
      <c r="S3724" t="s">
        <v>45231</v>
      </c>
      <c r="T3724" t="s">
        <v>47188</v>
      </c>
      <c r="U3724" t="s">
        <v>50637</v>
      </c>
      <c r="W3724" t="s">
        <v>41679</v>
      </c>
      <c r="X3724" t="s">
        <v>45103</v>
      </c>
    </row>
    <row r="3725" spans="1:24">
      <c r="A3725">
        <f>HYPERLINK("https://www.philgeps.gov.ph/GEPSNONPILOT/Tender/SplashBidNoticeAbstractUI.aspx?menuIndex=3&amp;refID=7040105&amp;Result=3","7040105")</f>
        <v>0</v>
      </c>
      <c r="B3725" t="s">
        <v>437</v>
      </c>
      <c r="C3725" t="s">
        <v>6755</v>
      </c>
      <c r="D3725" t="s">
        <v>18056</v>
      </c>
      <c r="E3725" t="s">
        <v>21479</v>
      </c>
      <c r="F3725" t="s">
        <v>31574</v>
      </c>
      <c r="G3725" t="s">
        <v>31582</v>
      </c>
      <c r="H3725" t="s">
        <v>31590</v>
      </c>
      <c r="I3725" t="s">
        <v>3901</v>
      </c>
      <c r="J3725" t="s">
        <v>31730</v>
      </c>
      <c r="K3725" t="s">
        <v>41186</v>
      </c>
      <c r="M3725" t="s">
        <v>41930</v>
      </c>
      <c r="N3725" t="s">
        <v>45095</v>
      </c>
      <c r="O3725" t="s">
        <v>45096</v>
      </c>
      <c r="P3725">
        <v>0</v>
      </c>
      <c r="Q3725">
        <v>3</v>
      </c>
      <c r="R3725" t="s">
        <v>45101</v>
      </c>
      <c r="S3725" t="s">
        <v>45231</v>
      </c>
      <c r="T3725" t="s">
        <v>47044</v>
      </c>
      <c r="U3725" t="s">
        <v>48343</v>
      </c>
      <c r="W3725" t="s">
        <v>41930</v>
      </c>
      <c r="X3725" t="s">
        <v>45103</v>
      </c>
    </row>
    <row r="3726" spans="1:24">
      <c r="A3726">
        <f>HYPERLINK("https://www.philgeps.gov.ph/GEPSNONPILOT/Tender/SplashBidNoticeAbstractUI.aspx?menuIndex=3&amp;refID=7040358&amp;Result=3","7040358")</f>
        <v>0</v>
      </c>
      <c r="B3726" t="s">
        <v>1308</v>
      </c>
      <c r="C3726" t="s">
        <v>6756</v>
      </c>
      <c r="D3726" t="s">
        <v>18040</v>
      </c>
      <c r="E3726" t="s">
        <v>21480</v>
      </c>
      <c r="F3726" t="s">
        <v>31574</v>
      </c>
      <c r="G3726" t="s">
        <v>31582</v>
      </c>
      <c r="H3726" t="s">
        <v>31591</v>
      </c>
      <c r="I3726" t="s">
        <v>8822</v>
      </c>
      <c r="J3726" t="s">
        <v>34248</v>
      </c>
      <c r="K3726" t="s">
        <v>41184</v>
      </c>
      <c r="M3726" t="s">
        <v>42878</v>
      </c>
      <c r="N3726" t="s">
        <v>45095</v>
      </c>
      <c r="O3726" t="s">
        <v>45096</v>
      </c>
      <c r="P3726">
        <v>0</v>
      </c>
      <c r="Q3726">
        <v>1</v>
      </c>
      <c r="R3726" t="s">
        <v>45101</v>
      </c>
      <c r="S3726" t="s">
        <v>45231</v>
      </c>
      <c r="T3726" t="s">
        <v>46987</v>
      </c>
      <c r="U3726" t="s">
        <v>50638</v>
      </c>
      <c r="W3726" t="s">
        <v>42878</v>
      </c>
      <c r="X3726" t="s">
        <v>45103</v>
      </c>
    </row>
    <row r="3727" spans="1:24">
      <c r="A3727">
        <f>HYPERLINK("https://www.philgeps.gov.ph/GEPSNONPILOT/Tender/SplashBidNoticeAbstractUI.aspx?menuIndex=3&amp;refID=7039497&amp;Result=3","7039497")</f>
        <v>0</v>
      </c>
      <c r="B3727" t="s">
        <v>347</v>
      </c>
      <c r="C3727" t="s">
        <v>6757</v>
      </c>
      <c r="D3727" t="s">
        <v>18058</v>
      </c>
      <c r="E3727" t="s">
        <v>21481</v>
      </c>
      <c r="F3727" t="s">
        <v>31574</v>
      </c>
      <c r="G3727" t="s">
        <v>31582</v>
      </c>
      <c r="H3727" t="s">
        <v>31590</v>
      </c>
      <c r="I3727" t="s">
        <v>3651</v>
      </c>
      <c r="J3727" t="s">
        <v>31949</v>
      </c>
      <c r="K3727" t="s">
        <v>41186</v>
      </c>
      <c r="M3727" t="s">
        <v>41835</v>
      </c>
      <c r="N3727" t="s">
        <v>45095</v>
      </c>
      <c r="O3727" t="s">
        <v>45096</v>
      </c>
      <c r="P3727">
        <v>0</v>
      </c>
      <c r="Q3727">
        <v>0</v>
      </c>
      <c r="R3727" t="s">
        <v>45101</v>
      </c>
      <c r="S3727" t="s">
        <v>45231</v>
      </c>
      <c r="T3727" t="s">
        <v>46955</v>
      </c>
      <c r="U3727" t="s">
        <v>50639</v>
      </c>
      <c r="W3727" t="s">
        <v>41835</v>
      </c>
      <c r="X3727" t="s">
        <v>45103</v>
      </c>
    </row>
    <row r="3728" spans="1:24">
      <c r="A3728">
        <f>HYPERLINK("https://www.philgeps.gov.ph/GEPSNONPILOT/Tender/SplashBidNoticeAbstractUI.aspx?menuIndex=3&amp;refID=7040178&amp;Result=3","7040178")</f>
        <v>0</v>
      </c>
      <c r="B3728" t="s">
        <v>1309</v>
      </c>
      <c r="C3728" t="s">
        <v>6758</v>
      </c>
      <c r="D3728" t="s">
        <v>18047</v>
      </c>
      <c r="E3728" t="s">
        <v>21482</v>
      </c>
      <c r="F3728" t="s">
        <v>31574</v>
      </c>
      <c r="G3728" t="s">
        <v>31582</v>
      </c>
      <c r="H3728" t="s">
        <v>31591</v>
      </c>
      <c r="I3728" t="s">
        <v>31607</v>
      </c>
      <c r="J3728" t="s">
        <v>34249</v>
      </c>
      <c r="K3728" t="s">
        <v>41200</v>
      </c>
      <c r="M3728" t="s">
        <v>42879</v>
      </c>
      <c r="N3728" t="s">
        <v>45095</v>
      </c>
      <c r="O3728" t="s">
        <v>45096</v>
      </c>
      <c r="P3728">
        <v>0</v>
      </c>
      <c r="Q3728">
        <v>1</v>
      </c>
      <c r="R3728" t="s">
        <v>45101</v>
      </c>
      <c r="S3728" t="s">
        <v>45231</v>
      </c>
      <c r="T3728" t="s">
        <v>46999</v>
      </c>
      <c r="U3728" t="s">
        <v>50640</v>
      </c>
      <c r="V3728" t="s">
        <v>60216</v>
      </c>
      <c r="W3728" t="s">
        <v>42879</v>
      </c>
      <c r="X3728" t="s">
        <v>45103</v>
      </c>
    </row>
    <row r="3729" spans="1:24">
      <c r="A3729">
        <f>HYPERLINK("https://www.philgeps.gov.ph/GEPSNONPILOT/Tender/SplashBidNoticeAbstractUI.aspx?menuIndex=3&amp;refID=7040398&amp;Result=3","7040398")</f>
        <v>0</v>
      </c>
      <c r="B3729" t="s">
        <v>1308</v>
      </c>
      <c r="C3729" t="s">
        <v>6759</v>
      </c>
      <c r="D3729" t="s">
        <v>18040</v>
      </c>
      <c r="E3729" t="s">
        <v>21483</v>
      </c>
      <c r="F3729" t="s">
        <v>31574</v>
      </c>
      <c r="G3729" t="s">
        <v>31582</v>
      </c>
      <c r="H3729" t="s">
        <v>31591</v>
      </c>
      <c r="I3729" t="s">
        <v>8822</v>
      </c>
      <c r="J3729" t="s">
        <v>34250</v>
      </c>
      <c r="K3729" t="s">
        <v>41184</v>
      </c>
      <c r="M3729" t="s">
        <v>42878</v>
      </c>
      <c r="N3729" t="s">
        <v>45095</v>
      </c>
      <c r="O3729" t="s">
        <v>45096</v>
      </c>
      <c r="P3729">
        <v>0</v>
      </c>
      <c r="Q3729">
        <v>1</v>
      </c>
      <c r="R3729" t="s">
        <v>45101</v>
      </c>
      <c r="S3729" t="s">
        <v>45231</v>
      </c>
      <c r="T3729" t="s">
        <v>46987</v>
      </c>
      <c r="U3729" t="s">
        <v>50641</v>
      </c>
      <c r="W3729" t="s">
        <v>42878</v>
      </c>
      <c r="X3729" t="s">
        <v>45103</v>
      </c>
    </row>
    <row r="3730" spans="1:24">
      <c r="A3730">
        <f>HYPERLINK("https://www.philgeps.gov.ph/GEPSNONPILOT/Tender/SplashBidNoticeAbstractUI.aspx?menuIndex=3&amp;refID=7040161&amp;Result=3","7040161")</f>
        <v>0</v>
      </c>
      <c r="B3730" t="s">
        <v>1177</v>
      </c>
      <c r="C3730" t="s">
        <v>6760</v>
      </c>
      <c r="D3730" t="s">
        <v>18108</v>
      </c>
      <c r="E3730" t="s">
        <v>21484</v>
      </c>
      <c r="F3730" t="s">
        <v>31574</v>
      </c>
      <c r="G3730" t="s">
        <v>31581</v>
      </c>
      <c r="H3730" t="s">
        <v>31590</v>
      </c>
      <c r="I3730" t="s">
        <v>4046</v>
      </c>
      <c r="J3730" t="s">
        <v>34251</v>
      </c>
      <c r="K3730" t="s">
        <v>41211</v>
      </c>
      <c r="M3730" t="s">
        <v>42736</v>
      </c>
      <c r="N3730" t="s">
        <v>45095</v>
      </c>
      <c r="O3730" t="s">
        <v>45096</v>
      </c>
      <c r="P3730">
        <v>0</v>
      </c>
      <c r="Q3730">
        <v>0</v>
      </c>
      <c r="R3730" t="s">
        <v>45101</v>
      </c>
      <c r="S3730" t="s">
        <v>45231</v>
      </c>
      <c r="T3730" t="s">
        <v>47189</v>
      </c>
      <c r="U3730" t="s">
        <v>50642</v>
      </c>
      <c r="W3730" t="s">
        <v>42736</v>
      </c>
      <c r="X3730" t="s">
        <v>45103</v>
      </c>
    </row>
    <row r="3731" spans="1:24">
      <c r="A3731">
        <f>HYPERLINK("https://www.philgeps.gov.ph/GEPSNONPILOT/Tender/SplashBidNoticeAbstractUI.aspx?menuIndex=3&amp;refID=7040313&amp;Result=3","7040313")</f>
        <v>0</v>
      </c>
      <c r="B3731" t="s">
        <v>1310</v>
      </c>
      <c r="C3731" t="s">
        <v>6761</v>
      </c>
      <c r="D3731" t="s">
        <v>18074</v>
      </c>
      <c r="E3731" t="s">
        <v>21485</v>
      </c>
      <c r="F3731" t="s">
        <v>31574</v>
      </c>
      <c r="G3731" t="s">
        <v>31582</v>
      </c>
      <c r="H3731" t="s">
        <v>31590</v>
      </c>
      <c r="I3731" t="s">
        <v>4046</v>
      </c>
      <c r="J3731" t="s">
        <v>34252</v>
      </c>
      <c r="K3731" t="s">
        <v>41190</v>
      </c>
      <c r="M3731" t="s">
        <v>42880</v>
      </c>
      <c r="N3731" t="s">
        <v>45095</v>
      </c>
      <c r="O3731" t="s">
        <v>45096</v>
      </c>
      <c r="P3731">
        <v>0</v>
      </c>
      <c r="Q3731">
        <v>0</v>
      </c>
      <c r="R3731" t="s">
        <v>45101</v>
      </c>
      <c r="S3731" t="s">
        <v>45231</v>
      </c>
      <c r="T3731" t="s">
        <v>47043</v>
      </c>
      <c r="U3731" t="s">
        <v>50643</v>
      </c>
      <c r="W3731" t="s">
        <v>42880</v>
      </c>
      <c r="X3731" t="s">
        <v>45103</v>
      </c>
    </row>
    <row r="3732" spans="1:24">
      <c r="A3732">
        <f>HYPERLINK("https://www.philgeps.gov.ph/GEPSNONPILOT/Tender/SplashBidNoticeAbstractUI.aspx?menuIndex=3&amp;refID=7039976&amp;Result=3","7039976")</f>
        <v>0</v>
      </c>
      <c r="B3732" t="s">
        <v>347</v>
      </c>
      <c r="C3732" t="s">
        <v>6762</v>
      </c>
      <c r="D3732" t="s">
        <v>18058</v>
      </c>
      <c r="E3732" t="s">
        <v>21486</v>
      </c>
      <c r="F3732" t="s">
        <v>31574</v>
      </c>
      <c r="G3732" t="s">
        <v>31582</v>
      </c>
      <c r="H3732" t="s">
        <v>31590</v>
      </c>
      <c r="I3732" t="s">
        <v>8258</v>
      </c>
      <c r="J3732" t="s">
        <v>34253</v>
      </c>
      <c r="K3732" t="s">
        <v>41186</v>
      </c>
      <c r="M3732" t="s">
        <v>41835</v>
      </c>
      <c r="N3732" t="s">
        <v>45095</v>
      </c>
      <c r="O3732" t="s">
        <v>45096</v>
      </c>
      <c r="P3732">
        <v>0</v>
      </c>
      <c r="Q3732">
        <v>1</v>
      </c>
      <c r="R3732" t="s">
        <v>45101</v>
      </c>
      <c r="S3732" t="s">
        <v>45231</v>
      </c>
      <c r="T3732" t="s">
        <v>46955</v>
      </c>
      <c r="U3732" t="s">
        <v>50644</v>
      </c>
      <c r="W3732" t="s">
        <v>41835</v>
      </c>
      <c r="X3732" t="s">
        <v>45103</v>
      </c>
    </row>
    <row r="3733" spans="1:24">
      <c r="A3733">
        <f>HYPERLINK("https://www.philgeps.gov.ph/GEPSNONPILOT/Tender/SplashBidNoticeAbstractUI.aspx?menuIndex=3&amp;refID=7040454&amp;Result=3","7040454")</f>
        <v>0</v>
      </c>
      <c r="B3733" t="s">
        <v>1308</v>
      </c>
      <c r="C3733" t="s">
        <v>6763</v>
      </c>
      <c r="D3733" t="s">
        <v>18040</v>
      </c>
      <c r="E3733" t="s">
        <v>21487</v>
      </c>
      <c r="F3733" t="s">
        <v>31574</v>
      </c>
      <c r="G3733" t="s">
        <v>31582</v>
      </c>
      <c r="H3733" t="s">
        <v>31590</v>
      </c>
      <c r="I3733" t="s">
        <v>4046</v>
      </c>
      <c r="J3733" t="s">
        <v>34254</v>
      </c>
      <c r="K3733" t="s">
        <v>41184</v>
      </c>
      <c r="M3733" t="s">
        <v>42878</v>
      </c>
      <c r="N3733" t="s">
        <v>45095</v>
      </c>
      <c r="O3733" t="s">
        <v>45096</v>
      </c>
      <c r="P3733">
        <v>0</v>
      </c>
      <c r="Q3733">
        <v>0</v>
      </c>
      <c r="R3733" t="s">
        <v>45101</v>
      </c>
      <c r="S3733" t="s">
        <v>45231</v>
      </c>
      <c r="T3733" t="s">
        <v>46987</v>
      </c>
      <c r="U3733" t="s">
        <v>50645</v>
      </c>
      <c r="W3733" t="s">
        <v>42878</v>
      </c>
      <c r="X3733" t="s">
        <v>45103</v>
      </c>
    </row>
    <row r="3734" spans="1:24">
      <c r="A3734">
        <f>HYPERLINK("https://www.philgeps.gov.ph/GEPSNONPILOT/Tender/SplashBidNoticeAbstractUI.aspx?menuIndex=3&amp;refID=7040131&amp;Result=3","7040131")</f>
        <v>0</v>
      </c>
      <c r="B3734" t="s">
        <v>1311</v>
      </c>
      <c r="C3734" t="s">
        <v>6764</v>
      </c>
      <c r="D3734" t="s">
        <v>18040</v>
      </c>
      <c r="E3734" t="s">
        <v>21488</v>
      </c>
      <c r="F3734" t="s">
        <v>31574</v>
      </c>
      <c r="G3734" t="s">
        <v>31582</v>
      </c>
      <c r="H3734" t="s">
        <v>31591</v>
      </c>
      <c r="I3734" t="s">
        <v>8822</v>
      </c>
      <c r="J3734" t="s">
        <v>34255</v>
      </c>
      <c r="K3734" t="s">
        <v>41267</v>
      </c>
      <c r="M3734" t="s">
        <v>42881</v>
      </c>
      <c r="N3734" t="s">
        <v>45095</v>
      </c>
      <c r="O3734" t="s">
        <v>45096</v>
      </c>
      <c r="P3734">
        <v>0</v>
      </c>
      <c r="Q3734">
        <v>3</v>
      </c>
      <c r="R3734" t="s">
        <v>45101</v>
      </c>
      <c r="S3734" t="s">
        <v>45231</v>
      </c>
      <c r="T3734" t="s">
        <v>47166</v>
      </c>
      <c r="U3734" t="s">
        <v>50646</v>
      </c>
      <c r="V3734" t="s">
        <v>60217</v>
      </c>
      <c r="W3734" t="s">
        <v>42881</v>
      </c>
      <c r="X3734" t="s">
        <v>45103</v>
      </c>
    </row>
    <row r="3735" spans="1:24">
      <c r="A3735">
        <f>HYPERLINK("https://www.philgeps.gov.ph/GEPSNONPILOT/Tender/SplashBidNoticeAbstractUI.aspx?menuIndex=3&amp;refID=7039846&amp;Result=3","7039846")</f>
        <v>0</v>
      </c>
      <c r="B3735" t="s">
        <v>347</v>
      </c>
      <c r="C3735" t="s">
        <v>6765</v>
      </c>
      <c r="D3735" t="s">
        <v>18058</v>
      </c>
      <c r="E3735" t="s">
        <v>21489</v>
      </c>
      <c r="F3735" t="s">
        <v>31574</v>
      </c>
      <c r="G3735" t="s">
        <v>31582</v>
      </c>
      <c r="H3735" t="s">
        <v>31590</v>
      </c>
      <c r="I3735" t="s">
        <v>4327</v>
      </c>
      <c r="J3735" t="s">
        <v>34256</v>
      </c>
      <c r="K3735" t="s">
        <v>41186</v>
      </c>
      <c r="M3735" t="s">
        <v>41835</v>
      </c>
      <c r="N3735" t="s">
        <v>45095</v>
      </c>
      <c r="O3735" t="s">
        <v>45096</v>
      </c>
      <c r="P3735">
        <v>0</v>
      </c>
      <c r="Q3735">
        <v>3</v>
      </c>
      <c r="R3735" t="s">
        <v>45101</v>
      </c>
      <c r="S3735" t="s">
        <v>45231</v>
      </c>
      <c r="T3735" t="s">
        <v>46924</v>
      </c>
      <c r="U3735" t="s">
        <v>50647</v>
      </c>
      <c r="W3735" t="s">
        <v>41835</v>
      </c>
      <c r="X3735" t="s">
        <v>45103</v>
      </c>
    </row>
    <row r="3736" spans="1:24">
      <c r="A3736">
        <f>HYPERLINK("https://www.philgeps.gov.ph/GEPSNONPILOT/Tender/SplashBidNoticeAbstractUI.aspx?menuIndex=3&amp;refID=7040420&amp;Result=3","7040420")</f>
        <v>0</v>
      </c>
      <c r="B3736" t="s">
        <v>1308</v>
      </c>
      <c r="C3736" t="s">
        <v>6766</v>
      </c>
      <c r="D3736" t="s">
        <v>18040</v>
      </c>
      <c r="E3736" t="s">
        <v>21490</v>
      </c>
      <c r="F3736" t="s">
        <v>31574</v>
      </c>
      <c r="G3736" t="s">
        <v>31582</v>
      </c>
      <c r="H3736" t="s">
        <v>31591</v>
      </c>
      <c r="I3736" t="s">
        <v>8822</v>
      </c>
      <c r="J3736" t="s">
        <v>34257</v>
      </c>
      <c r="K3736" t="s">
        <v>41184</v>
      </c>
      <c r="M3736" t="s">
        <v>42878</v>
      </c>
      <c r="N3736" t="s">
        <v>45095</v>
      </c>
      <c r="O3736" t="s">
        <v>45096</v>
      </c>
      <c r="P3736">
        <v>0</v>
      </c>
      <c r="Q3736">
        <v>1</v>
      </c>
      <c r="R3736" t="s">
        <v>45101</v>
      </c>
      <c r="S3736" t="s">
        <v>45231</v>
      </c>
      <c r="T3736" t="s">
        <v>46987</v>
      </c>
      <c r="U3736" t="s">
        <v>50648</v>
      </c>
      <c r="W3736" t="s">
        <v>42878</v>
      </c>
      <c r="X3736" t="s">
        <v>45103</v>
      </c>
    </row>
    <row r="3737" spans="1:24">
      <c r="A3737">
        <f>HYPERLINK("https://www.philgeps.gov.ph/GEPSNONPILOT/Tender/SplashBidNoticeAbstractUI.aspx?menuIndex=3&amp;refID=7040449&amp;Result=3","7040449")</f>
        <v>0</v>
      </c>
      <c r="B3737" t="s">
        <v>1312</v>
      </c>
      <c r="C3737" t="s">
        <v>6767</v>
      </c>
      <c r="D3737" t="s">
        <v>18033</v>
      </c>
      <c r="E3737" t="s">
        <v>6767</v>
      </c>
      <c r="F3737" t="s">
        <v>31574</v>
      </c>
      <c r="G3737" t="s">
        <v>31583</v>
      </c>
      <c r="H3737" t="s">
        <v>31590</v>
      </c>
      <c r="I3737" t="s">
        <v>31605</v>
      </c>
      <c r="J3737" t="s">
        <v>34258</v>
      </c>
      <c r="K3737" t="s">
        <v>41223</v>
      </c>
      <c r="M3737" t="s">
        <v>42882</v>
      </c>
      <c r="N3737" t="s">
        <v>45095</v>
      </c>
      <c r="O3737" t="s">
        <v>45096</v>
      </c>
      <c r="P3737">
        <v>0</v>
      </c>
      <c r="Q3737">
        <v>1</v>
      </c>
      <c r="R3737" t="s">
        <v>45101</v>
      </c>
      <c r="S3737" t="s">
        <v>45231</v>
      </c>
      <c r="T3737" t="s">
        <v>46936</v>
      </c>
      <c r="U3737" t="s">
        <v>50649</v>
      </c>
      <c r="W3737" t="s">
        <v>42882</v>
      </c>
      <c r="X3737" t="s">
        <v>45103</v>
      </c>
    </row>
    <row r="3738" spans="1:24">
      <c r="A3738">
        <f>HYPERLINK("https://www.philgeps.gov.ph/GEPSNONPILOT/Tender/SplashBidNoticeAbstractUI.aspx?menuIndex=3&amp;refID=7040108&amp;Result=3","7040108")</f>
        <v>0</v>
      </c>
      <c r="B3738" t="s">
        <v>1313</v>
      </c>
      <c r="C3738" t="s">
        <v>6768</v>
      </c>
      <c r="D3738" t="s">
        <v>18063</v>
      </c>
      <c r="E3738" t="s">
        <v>21491</v>
      </c>
      <c r="F3738" t="s">
        <v>31574</v>
      </c>
      <c r="G3738" t="s">
        <v>31581</v>
      </c>
      <c r="H3738" t="s">
        <v>31590</v>
      </c>
      <c r="I3738" t="s">
        <v>31619</v>
      </c>
      <c r="J3738" t="s">
        <v>34259</v>
      </c>
      <c r="K3738" t="s">
        <v>41186</v>
      </c>
      <c r="M3738" t="s">
        <v>42883</v>
      </c>
      <c r="N3738" t="s">
        <v>45095</v>
      </c>
      <c r="O3738" t="s">
        <v>45096</v>
      </c>
      <c r="P3738">
        <v>0</v>
      </c>
      <c r="Q3738">
        <v>4</v>
      </c>
      <c r="R3738" t="s">
        <v>45101</v>
      </c>
      <c r="S3738" t="s">
        <v>45231</v>
      </c>
      <c r="T3738" t="s">
        <v>47158</v>
      </c>
      <c r="U3738" t="s">
        <v>50650</v>
      </c>
      <c r="W3738" t="s">
        <v>42883</v>
      </c>
      <c r="X3738" t="s">
        <v>45103</v>
      </c>
    </row>
    <row r="3739" spans="1:24">
      <c r="A3739">
        <f>HYPERLINK("https://www.philgeps.gov.ph/GEPSNONPILOT/Tender/SplashBidNoticeAbstractUI.aspx?menuIndex=3&amp;refID=7039602&amp;Result=3","7039602")</f>
        <v>0</v>
      </c>
      <c r="B3739" t="s">
        <v>347</v>
      </c>
      <c r="C3739" t="s">
        <v>6765</v>
      </c>
      <c r="D3739" t="s">
        <v>18058</v>
      </c>
      <c r="E3739" t="s">
        <v>21492</v>
      </c>
      <c r="F3739" t="s">
        <v>31574</v>
      </c>
      <c r="G3739" t="s">
        <v>31582</v>
      </c>
      <c r="H3739" t="s">
        <v>31590</v>
      </c>
      <c r="I3739" t="s">
        <v>4327</v>
      </c>
      <c r="J3739" t="s">
        <v>34260</v>
      </c>
      <c r="K3739" t="s">
        <v>41186</v>
      </c>
      <c r="M3739" t="s">
        <v>41835</v>
      </c>
      <c r="N3739" t="s">
        <v>45095</v>
      </c>
      <c r="O3739" t="s">
        <v>45096</v>
      </c>
      <c r="P3739">
        <v>0</v>
      </c>
      <c r="Q3739">
        <v>3</v>
      </c>
      <c r="R3739" t="s">
        <v>45101</v>
      </c>
      <c r="S3739" t="s">
        <v>45231</v>
      </c>
      <c r="T3739" t="s">
        <v>46924</v>
      </c>
      <c r="U3739" t="s">
        <v>50651</v>
      </c>
      <c r="W3739" t="s">
        <v>41835</v>
      </c>
      <c r="X3739" t="s">
        <v>45103</v>
      </c>
    </row>
    <row r="3740" spans="1:24">
      <c r="A3740">
        <f>HYPERLINK("https://www.philgeps.gov.ph/GEPSNONPILOT/Tender/SplashBidNoticeAbstractUI.aspx?menuIndex=3&amp;refID=7040434&amp;Result=3","7040434")</f>
        <v>0</v>
      </c>
      <c r="B3740" t="s">
        <v>1308</v>
      </c>
      <c r="C3740" t="s">
        <v>6769</v>
      </c>
      <c r="D3740" t="s">
        <v>18040</v>
      </c>
      <c r="E3740" t="s">
        <v>21493</v>
      </c>
      <c r="F3740" t="s">
        <v>31574</v>
      </c>
      <c r="G3740" t="s">
        <v>31582</v>
      </c>
      <c r="H3740" t="s">
        <v>31591</v>
      </c>
      <c r="I3740" t="s">
        <v>8822</v>
      </c>
      <c r="J3740" t="s">
        <v>31771</v>
      </c>
      <c r="K3740" t="s">
        <v>41184</v>
      </c>
      <c r="M3740" t="s">
        <v>42878</v>
      </c>
      <c r="N3740" t="s">
        <v>45095</v>
      </c>
      <c r="O3740" t="s">
        <v>45096</v>
      </c>
      <c r="P3740">
        <v>0</v>
      </c>
      <c r="Q3740">
        <v>1</v>
      </c>
      <c r="R3740" t="s">
        <v>45101</v>
      </c>
      <c r="S3740" t="s">
        <v>45231</v>
      </c>
      <c r="T3740" t="s">
        <v>46987</v>
      </c>
      <c r="U3740" t="s">
        <v>50652</v>
      </c>
      <c r="W3740" t="s">
        <v>42878</v>
      </c>
      <c r="X3740" t="s">
        <v>45103</v>
      </c>
    </row>
    <row r="3741" spans="1:24">
      <c r="A3741">
        <f>HYPERLINK("https://www.philgeps.gov.ph/GEPSNONPILOT/Tender/SplashBidNoticeAbstractUI.aspx?menuIndex=3&amp;refID=7040456&amp;Result=3","7040456")</f>
        <v>0</v>
      </c>
      <c r="B3741" t="s">
        <v>1314</v>
      </c>
      <c r="C3741" t="s">
        <v>6770</v>
      </c>
      <c r="E3741" t="s">
        <v>21494</v>
      </c>
      <c r="F3741" t="s">
        <v>31574</v>
      </c>
      <c r="G3741" t="s">
        <v>31582</v>
      </c>
      <c r="H3741" t="s">
        <v>31590</v>
      </c>
      <c r="I3741" t="s">
        <v>4046</v>
      </c>
      <c r="J3741" t="s">
        <v>31985</v>
      </c>
      <c r="K3741" t="s">
        <v>41196</v>
      </c>
      <c r="M3741" t="s">
        <v>42884</v>
      </c>
      <c r="N3741" t="s">
        <v>45095</v>
      </c>
      <c r="O3741" t="s">
        <v>45096</v>
      </c>
      <c r="P3741">
        <v>0</v>
      </c>
      <c r="Q3741">
        <v>0</v>
      </c>
      <c r="R3741" t="s">
        <v>45101</v>
      </c>
      <c r="S3741" t="s">
        <v>45231</v>
      </c>
      <c r="T3741" t="s">
        <v>47190</v>
      </c>
      <c r="U3741" t="s">
        <v>50653</v>
      </c>
      <c r="W3741" t="s">
        <v>42884</v>
      </c>
      <c r="X3741" t="s">
        <v>45103</v>
      </c>
    </row>
    <row r="3742" spans="1:24">
      <c r="A3742">
        <f>HYPERLINK("https://www.philgeps.gov.ph/GEPSNONPILOT/Tender/SplashBidNoticeAbstractUI.aspx?menuIndex=3&amp;refID=7039625&amp;Result=3","7039625")</f>
        <v>0</v>
      </c>
      <c r="B3742" t="s">
        <v>1315</v>
      </c>
      <c r="C3742" t="s">
        <v>6771</v>
      </c>
      <c r="D3742" t="s">
        <v>18022</v>
      </c>
      <c r="E3742" t="s">
        <v>19165</v>
      </c>
      <c r="F3742" t="s">
        <v>31574</v>
      </c>
      <c r="G3742" t="s">
        <v>31581</v>
      </c>
      <c r="H3742" t="s">
        <v>31590</v>
      </c>
      <c r="I3742" t="s">
        <v>3487</v>
      </c>
      <c r="J3742" t="s">
        <v>34261</v>
      </c>
      <c r="K3742" t="s">
        <v>41190</v>
      </c>
      <c r="M3742" t="s">
        <v>42885</v>
      </c>
      <c r="N3742" t="s">
        <v>45095</v>
      </c>
      <c r="O3742" t="s">
        <v>45096</v>
      </c>
      <c r="P3742">
        <v>0</v>
      </c>
      <c r="Q3742">
        <v>4</v>
      </c>
      <c r="R3742" t="s">
        <v>45101</v>
      </c>
      <c r="S3742" t="s">
        <v>45231</v>
      </c>
      <c r="T3742" t="s">
        <v>47165</v>
      </c>
      <c r="U3742" t="s">
        <v>50654</v>
      </c>
      <c r="W3742" t="s">
        <v>42885</v>
      </c>
      <c r="X3742" t="s">
        <v>45103</v>
      </c>
    </row>
    <row r="3743" spans="1:24">
      <c r="A3743">
        <f>HYPERLINK("https://www.philgeps.gov.ph/GEPSNONPILOT/Tender/SplashBidNoticeAbstractUI.aspx?menuIndex=3&amp;refID=7040481&amp;Result=3","7040481")</f>
        <v>0</v>
      </c>
      <c r="B3743" t="s">
        <v>1314</v>
      </c>
      <c r="C3743" t="s">
        <v>6772</v>
      </c>
      <c r="E3743" t="s">
        <v>21495</v>
      </c>
      <c r="F3743" t="s">
        <v>31574</v>
      </c>
      <c r="G3743" t="s">
        <v>31582</v>
      </c>
      <c r="H3743" t="s">
        <v>31590</v>
      </c>
      <c r="I3743" t="s">
        <v>4046</v>
      </c>
      <c r="J3743" t="s">
        <v>33775</v>
      </c>
      <c r="K3743" t="s">
        <v>41196</v>
      </c>
      <c r="M3743" t="s">
        <v>42884</v>
      </c>
      <c r="N3743" t="s">
        <v>45095</v>
      </c>
      <c r="O3743" t="s">
        <v>45096</v>
      </c>
      <c r="P3743">
        <v>0</v>
      </c>
      <c r="Q3743">
        <v>0</v>
      </c>
      <c r="R3743" t="s">
        <v>45101</v>
      </c>
      <c r="S3743" t="s">
        <v>45231</v>
      </c>
      <c r="T3743" t="s">
        <v>47190</v>
      </c>
      <c r="U3743" t="s">
        <v>50653</v>
      </c>
      <c r="W3743" t="s">
        <v>42884</v>
      </c>
      <c r="X3743" t="s">
        <v>45103</v>
      </c>
    </row>
    <row r="3744" spans="1:24">
      <c r="A3744">
        <f>HYPERLINK("https://www.philgeps.gov.ph/GEPSNONPILOT/Tender/SplashBidNoticeAbstractUI.aspx?menuIndex=3&amp;refID=7040969&amp;Result=3","7040969")</f>
        <v>0</v>
      </c>
      <c r="B3744" t="s">
        <v>1316</v>
      </c>
      <c r="C3744" t="s">
        <v>6773</v>
      </c>
      <c r="D3744" t="s">
        <v>18084</v>
      </c>
      <c r="E3744" t="s">
        <v>21496</v>
      </c>
      <c r="F3744" t="s">
        <v>31574</v>
      </c>
      <c r="G3744" t="s">
        <v>31582</v>
      </c>
      <c r="H3744" t="s">
        <v>31590</v>
      </c>
      <c r="I3744" t="s">
        <v>3487</v>
      </c>
      <c r="J3744" t="s">
        <v>34262</v>
      </c>
      <c r="K3744" t="s">
        <v>41193</v>
      </c>
      <c r="M3744" t="s">
        <v>42886</v>
      </c>
      <c r="N3744" t="s">
        <v>45095</v>
      </c>
      <c r="O3744" t="s">
        <v>45096</v>
      </c>
      <c r="P3744">
        <v>0</v>
      </c>
      <c r="Q3744">
        <v>3</v>
      </c>
      <c r="R3744" t="s">
        <v>45101</v>
      </c>
      <c r="S3744" t="s">
        <v>45231</v>
      </c>
      <c r="T3744" t="s">
        <v>46911</v>
      </c>
      <c r="U3744" t="s">
        <v>50655</v>
      </c>
      <c r="W3744" t="s">
        <v>42886</v>
      </c>
      <c r="X3744" t="s">
        <v>45102</v>
      </c>
    </row>
    <row r="3745" spans="1:24">
      <c r="A3745">
        <f>HYPERLINK("https://www.philgeps.gov.ph/GEPSNONPILOT/Tender/SplashBidNoticeAbstractUI.aspx?menuIndex=3&amp;refID=7040484&amp;Result=3","7040484")</f>
        <v>0</v>
      </c>
      <c r="B3745" t="s">
        <v>1308</v>
      </c>
      <c r="C3745" t="s">
        <v>6774</v>
      </c>
      <c r="D3745" t="s">
        <v>18040</v>
      </c>
      <c r="E3745" t="s">
        <v>21497</v>
      </c>
      <c r="F3745" t="s">
        <v>31574</v>
      </c>
      <c r="G3745" t="s">
        <v>31582</v>
      </c>
      <c r="H3745" t="s">
        <v>31590</v>
      </c>
      <c r="I3745" t="s">
        <v>4046</v>
      </c>
      <c r="J3745" t="s">
        <v>34263</v>
      </c>
      <c r="K3745" t="s">
        <v>41184</v>
      </c>
      <c r="M3745" t="s">
        <v>42878</v>
      </c>
      <c r="N3745" t="s">
        <v>45095</v>
      </c>
      <c r="O3745" t="s">
        <v>45096</v>
      </c>
      <c r="P3745">
        <v>0</v>
      </c>
      <c r="Q3745">
        <v>0</v>
      </c>
      <c r="R3745" t="s">
        <v>45101</v>
      </c>
      <c r="S3745" t="s">
        <v>45231</v>
      </c>
      <c r="T3745" t="s">
        <v>46987</v>
      </c>
      <c r="U3745" t="s">
        <v>50656</v>
      </c>
      <c r="W3745" t="s">
        <v>42878</v>
      </c>
      <c r="X3745" t="s">
        <v>45103</v>
      </c>
    </row>
    <row r="3746" spans="1:24">
      <c r="A3746">
        <f>HYPERLINK("https://www.philgeps.gov.ph/GEPSNONPILOT/Tender/SplashBidNoticeAbstractUI.aspx?menuIndex=3&amp;refID=7040968&amp;Result=3","7040968")</f>
        <v>0</v>
      </c>
      <c r="B3746" t="s">
        <v>1317</v>
      </c>
      <c r="C3746" t="s">
        <v>6775</v>
      </c>
      <c r="D3746" t="s">
        <v>18022</v>
      </c>
      <c r="E3746" t="s">
        <v>21498</v>
      </c>
      <c r="F3746" t="s">
        <v>31574</v>
      </c>
      <c r="G3746" t="s">
        <v>31583</v>
      </c>
      <c r="H3746" t="s">
        <v>31590</v>
      </c>
      <c r="I3746" t="s">
        <v>14544</v>
      </c>
      <c r="J3746" t="s">
        <v>31845</v>
      </c>
      <c r="K3746" t="s">
        <v>41196</v>
      </c>
      <c r="M3746" t="s">
        <v>42887</v>
      </c>
      <c r="N3746" t="s">
        <v>45095</v>
      </c>
      <c r="O3746" t="s">
        <v>45096</v>
      </c>
      <c r="P3746">
        <v>0</v>
      </c>
      <c r="Q3746">
        <v>1</v>
      </c>
      <c r="R3746" t="s">
        <v>45101</v>
      </c>
      <c r="S3746" t="s">
        <v>45231</v>
      </c>
      <c r="T3746" t="s">
        <v>47191</v>
      </c>
      <c r="U3746" t="s">
        <v>50657</v>
      </c>
      <c r="W3746" t="s">
        <v>61697</v>
      </c>
      <c r="X3746" t="s">
        <v>45102</v>
      </c>
    </row>
    <row r="3747" spans="1:24">
      <c r="A3747">
        <f>HYPERLINK("https://www.philgeps.gov.ph/GEPSNONPILOT/Tender/SplashBidNoticeAbstractUI.aspx?menuIndex=3&amp;refID=7040966&amp;Result=3","7040966")</f>
        <v>0</v>
      </c>
      <c r="B3747" t="s">
        <v>1316</v>
      </c>
      <c r="C3747" t="s">
        <v>6776</v>
      </c>
      <c r="D3747" t="s">
        <v>18084</v>
      </c>
      <c r="E3747" t="s">
        <v>21496</v>
      </c>
      <c r="F3747" t="s">
        <v>31574</v>
      </c>
      <c r="G3747" t="s">
        <v>31582</v>
      </c>
      <c r="H3747" t="s">
        <v>31590</v>
      </c>
      <c r="I3747" t="s">
        <v>31664</v>
      </c>
      <c r="J3747" t="s">
        <v>34264</v>
      </c>
      <c r="K3747" t="s">
        <v>41193</v>
      </c>
      <c r="M3747" t="s">
        <v>42886</v>
      </c>
      <c r="N3747" t="s">
        <v>45095</v>
      </c>
      <c r="O3747" t="s">
        <v>45096</v>
      </c>
      <c r="P3747">
        <v>0</v>
      </c>
      <c r="Q3747">
        <v>1</v>
      </c>
      <c r="R3747" t="s">
        <v>45101</v>
      </c>
      <c r="S3747" t="s">
        <v>45231</v>
      </c>
      <c r="T3747" t="s">
        <v>46904</v>
      </c>
      <c r="U3747" t="s">
        <v>50658</v>
      </c>
      <c r="W3747" t="s">
        <v>42886</v>
      </c>
      <c r="X3747" t="s">
        <v>45102</v>
      </c>
    </row>
    <row r="3748" spans="1:24">
      <c r="A3748">
        <f>HYPERLINK("https://www.philgeps.gov.ph/GEPSNONPILOT/Tender/SplashBidNoticeAbstractUI.aspx?menuIndex=3&amp;refID=7040967&amp;Result=3","7040967")</f>
        <v>0</v>
      </c>
      <c r="B3748" t="s">
        <v>1316</v>
      </c>
      <c r="C3748" t="s">
        <v>6777</v>
      </c>
      <c r="D3748" t="s">
        <v>18084</v>
      </c>
      <c r="E3748" t="s">
        <v>21496</v>
      </c>
      <c r="F3748" t="s">
        <v>31574</v>
      </c>
      <c r="G3748" t="s">
        <v>31582</v>
      </c>
      <c r="H3748" t="s">
        <v>31590</v>
      </c>
      <c r="I3748" t="s">
        <v>3487</v>
      </c>
      <c r="J3748" t="s">
        <v>34265</v>
      </c>
      <c r="K3748" t="s">
        <v>41193</v>
      </c>
      <c r="M3748" t="s">
        <v>42886</v>
      </c>
      <c r="N3748" t="s">
        <v>45095</v>
      </c>
      <c r="O3748" t="s">
        <v>45096</v>
      </c>
      <c r="P3748">
        <v>0</v>
      </c>
      <c r="Q3748">
        <v>1</v>
      </c>
      <c r="R3748" t="s">
        <v>45101</v>
      </c>
      <c r="S3748" t="s">
        <v>45231</v>
      </c>
      <c r="T3748" t="s">
        <v>46911</v>
      </c>
      <c r="U3748" t="s">
        <v>50659</v>
      </c>
      <c r="W3748" t="s">
        <v>42886</v>
      </c>
      <c r="X3748" t="s">
        <v>45102</v>
      </c>
    </row>
    <row r="3749" spans="1:24">
      <c r="A3749">
        <f>HYPERLINK("https://www.philgeps.gov.ph/GEPSNONPILOT/Tender/SplashBidNoticeAbstractUI.aspx?menuIndex=3&amp;refID=7040946&amp;Result=3","7040946")</f>
        <v>0</v>
      </c>
      <c r="B3749" t="s">
        <v>1318</v>
      </c>
      <c r="C3749" t="s">
        <v>6778</v>
      </c>
      <c r="D3749" t="s">
        <v>18052</v>
      </c>
      <c r="E3749" t="s">
        <v>21499</v>
      </c>
      <c r="F3749" t="s">
        <v>31574</v>
      </c>
      <c r="G3749" t="s">
        <v>31582</v>
      </c>
      <c r="H3749" t="s">
        <v>31590</v>
      </c>
      <c r="I3749" t="s">
        <v>31615</v>
      </c>
      <c r="J3749" t="s">
        <v>31844</v>
      </c>
      <c r="K3749" t="s">
        <v>41196</v>
      </c>
      <c r="M3749" t="s">
        <v>42888</v>
      </c>
      <c r="N3749" t="s">
        <v>45095</v>
      </c>
      <c r="O3749" t="s">
        <v>45096</v>
      </c>
      <c r="P3749">
        <v>0</v>
      </c>
      <c r="Q3749">
        <v>1</v>
      </c>
      <c r="R3749" t="s">
        <v>45101</v>
      </c>
      <c r="S3749" t="s">
        <v>45231</v>
      </c>
      <c r="T3749" t="s">
        <v>46968</v>
      </c>
      <c r="U3749" t="s">
        <v>50660</v>
      </c>
      <c r="V3749" t="s">
        <v>60218</v>
      </c>
      <c r="W3749" t="s">
        <v>42888</v>
      </c>
      <c r="X3749" t="s">
        <v>45103</v>
      </c>
    </row>
    <row r="3750" spans="1:24">
      <c r="A3750">
        <f>HYPERLINK("https://www.philgeps.gov.ph/GEPSNONPILOT/Tender/SplashBidNoticeAbstractUI.aspx?menuIndex=3&amp;refID=7040536&amp;Result=3","7040536")</f>
        <v>0</v>
      </c>
      <c r="B3750" t="s">
        <v>1319</v>
      </c>
      <c r="C3750" t="s">
        <v>6779</v>
      </c>
      <c r="D3750" t="s">
        <v>18075</v>
      </c>
      <c r="E3750" t="s">
        <v>21500</v>
      </c>
      <c r="F3750" t="s">
        <v>31574</v>
      </c>
      <c r="G3750" t="s">
        <v>31582</v>
      </c>
      <c r="H3750" t="s">
        <v>31590</v>
      </c>
      <c r="I3750" t="s">
        <v>8258</v>
      </c>
      <c r="J3750" t="s">
        <v>31935</v>
      </c>
      <c r="K3750" t="s">
        <v>41196</v>
      </c>
      <c r="M3750" t="s">
        <v>42889</v>
      </c>
      <c r="N3750" t="s">
        <v>45095</v>
      </c>
      <c r="O3750" t="s">
        <v>45096</v>
      </c>
      <c r="P3750">
        <v>0</v>
      </c>
      <c r="Q3750">
        <v>5</v>
      </c>
      <c r="R3750" t="s">
        <v>45101</v>
      </c>
      <c r="S3750" t="s">
        <v>45231</v>
      </c>
      <c r="T3750" t="s">
        <v>47061</v>
      </c>
      <c r="U3750" t="s">
        <v>50661</v>
      </c>
      <c r="W3750" t="s">
        <v>42889</v>
      </c>
      <c r="X3750" t="s">
        <v>45103</v>
      </c>
    </row>
    <row r="3751" spans="1:24">
      <c r="A3751">
        <f>HYPERLINK("https://www.philgeps.gov.ph/GEPSNONPILOT/Tender/SplashBidNoticeAbstractUI.aspx?menuIndex=3&amp;refID=7040972&amp;Result=3","7040972")</f>
        <v>0</v>
      </c>
      <c r="B3751" t="s">
        <v>1316</v>
      </c>
      <c r="C3751" t="s">
        <v>6780</v>
      </c>
      <c r="D3751" t="s">
        <v>18084</v>
      </c>
      <c r="E3751" t="s">
        <v>21496</v>
      </c>
      <c r="F3751" t="s">
        <v>31574</v>
      </c>
      <c r="G3751" t="s">
        <v>31582</v>
      </c>
      <c r="H3751" t="s">
        <v>31590</v>
      </c>
      <c r="I3751" t="s">
        <v>31695</v>
      </c>
      <c r="J3751" t="s">
        <v>34266</v>
      </c>
      <c r="K3751" t="s">
        <v>41193</v>
      </c>
      <c r="M3751" t="s">
        <v>42886</v>
      </c>
      <c r="N3751" t="s">
        <v>45095</v>
      </c>
      <c r="O3751" t="s">
        <v>45096</v>
      </c>
      <c r="P3751">
        <v>0</v>
      </c>
      <c r="Q3751">
        <v>2</v>
      </c>
      <c r="R3751" t="s">
        <v>45101</v>
      </c>
      <c r="S3751" t="s">
        <v>45231</v>
      </c>
      <c r="T3751" t="s">
        <v>46911</v>
      </c>
      <c r="U3751" t="s">
        <v>50662</v>
      </c>
      <c r="W3751" t="s">
        <v>42886</v>
      </c>
      <c r="X3751" t="s">
        <v>45102</v>
      </c>
    </row>
    <row r="3752" spans="1:24">
      <c r="A3752">
        <f>HYPERLINK("https://www.philgeps.gov.ph/GEPSNONPILOT/Tender/SplashBidNoticeAbstractUI.aspx?menuIndex=3&amp;refID=7040507&amp;Result=3","7040507")</f>
        <v>0</v>
      </c>
      <c r="B3752" t="s">
        <v>1314</v>
      </c>
      <c r="C3752" t="s">
        <v>6781</v>
      </c>
      <c r="E3752" t="s">
        <v>21501</v>
      </c>
      <c r="F3752" t="s">
        <v>31574</v>
      </c>
      <c r="G3752" t="s">
        <v>31582</v>
      </c>
      <c r="H3752" t="s">
        <v>31590</v>
      </c>
      <c r="I3752" t="s">
        <v>4046</v>
      </c>
      <c r="J3752" t="s">
        <v>34267</v>
      </c>
      <c r="K3752" t="s">
        <v>41196</v>
      </c>
      <c r="M3752" t="s">
        <v>42884</v>
      </c>
      <c r="N3752" t="s">
        <v>45095</v>
      </c>
      <c r="O3752" t="s">
        <v>45096</v>
      </c>
      <c r="P3752">
        <v>0</v>
      </c>
      <c r="Q3752">
        <v>1</v>
      </c>
      <c r="R3752" t="s">
        <v>45101</v>
      </c>
      <c r="S3752" t="s">
        <v>45231</v>
      </c>
      <c r="T3752" t="s">
        <v>47190</v>
      </c>
      <c r="U3752" t="s">
        <v>50653</v>
      </c>
      <c r="W3752" t="s">
        <v>42884</v>
      </c>
      <c r="X3752" t="s">
        <v>45103</v>
      </c>
    </row>
    <row r="3753" spans="1:24">
      <c r="A3753">
        <f>HYPERLINK("https://www.philgeps.gov.ph/GEPSNONPILOT/Tender/SplashBidNoticeAbstractUI.aspx?menuIndex=3&amp;refID=7040499&amp;Result=3","7040499")</f>
        <v>0</v>
      </c>
      <c r="B3753" t="s">
        <v>1308</v>
      </c>
      <c r="C3753" t="s">
        <v>6782</v>
      </c>
      <c r="D3753" t="s">
        <v>18040</v>
      </c>
      <c r="E3753" t="s">
        <v>21502</v>
      </c>
      <c r="F3753" t="s">
        <v>31574</v>
      </c>
      <c r="G3753" t="s">
        <v>31582</v>
      </c>
      <c r="H3753" t="s">
        <v>31590</v>
      </c>
      <c r="I3753" t="s">
        <v>4046</v>
      </c>
      <c r="J3753" t="s">
        <v>34268</v>
      </c>
      <c r="K3753" t="s">
        <v>41184</v>
      </c>
      <c r="M3753" t="s">
        <v>42878</v>
      </c>
      <c r="N3753" t="s">
        <v>45095</v>
      </c>
      <c r="O3753" t="s">
        <v>45096</v>
      </c>
      <c r="P3753">
        <v>0</v>
      </c>
      <c r="Q3753">
        <v>0</v>
      </c>
      <c r="R3753" t="s">
        <v>45101</v>
      </c>
      <c r="S3753" t="s">
        <v>45231</v>
      </c>
      <c r="T3753" t="s">
        <v>46987</v>
      </c>
      <c r="U3753" t="s">
        <v>50663</v>
      </c>
      <c r="W3753" t="s">
        <v>42878</v>
      </c>
      <c r="X3753" t="s">
        <v>45103</v>
      </c>
    </row>
    <row r="3754" spans="1:24">
      <c r="A3754">
        <f>HYPERLINK("https://www.philgeps.gov.ph/GEPSNONPILOT/Tender/SplashBidNoticeAbstractUI.aspx?menuIndex=3&amp;refID=7040675&amp;Result=3","7040675")</f>
        <v>0</v>
      </c>
      <c r="B3754" t="s">
        <v>1320</v>
      </c>
      <c r="C3754" t="s">
        <v>6783</v>
      </c>
      <c r="D3754" t="s">
        <v>18033</v>
      </c>
      <c r="E3754" t="s">
        <v>21503</v>
      </c>
      <c r="F3754" t="s">
        <v>31574</v>
      </c>
      <c r="G3754" t="s">
        <v>31582</v>
      </c>
      <c r="H3754" t="s">
        <v>31590</v>
      </c>
      <c r="I3754" t="s">
        <v>4046</v>
      </c>
      <c r="J3754" t="s">
        <v>34269</v>
      </c>
      <c r="K3754" t="s">
        <v>41194</v>
      </c>
      <c r="M3754" t="s">
        <v>42890</v>
      </c>
      <c r="N3754" t="s">
        <v>45095</v>
      </c>
      <c r="O3754" t="s">
        <v>45096</v>
      </c>
      <c r="P3754">
        <v>0</v>
      </c>
      <c r="Q3754">
        <v>0</v>
      </c>
      <c r="R3754" t="s">
        <v>45101</v>
      </c>
      <c r="S3754" t="s">
        <v>45231</v>
      </c>
      <c r="T3754" t="s">
        <v>47192</v>
      </c>
      <c r="U3754" t="s">
        <v>50664</v>
      </c>
      <c r="W3754" t="s">
        <v>42890</v>
      </c>
      <c r="X3754" t="s">
        <v>45103</v>
      </c>
    </row>
    <row r="3755" spans="1:24">
      <c r="A3755">
        <f>HYPERLINK("https://www.philgeps.gov.ph/GEPSNONPILOT/Tender/SplashBidNoticeAbstractUI.aspx?menuIndex=3&amp;refID=7040971&amp;Result=3","7040971")</f>
        <v>0</v>
      </c>
      <c r="B3755" t="s">
        <v>1316</v>
      </c>
      <c r="C3755" t="s">
        <v>6784</v>
      </c>
      <c r="D3755" t="s">
        <v>18084</v>
      </c>
      <c r="E3755" t="s">
        <v>21496</v>
      </c>
      <c r="F3755" t="s">
        <v>31574</v>
      </c>
      <c r="G3755" t="s">
        <v>31582</v>
      </c>
      <c r="H3755" t="s">
        <v>31590</v>
      </c>
      <c r="I3755" t="s">
        <v>31695</v>
      </c>
      <c r="J3755" t="s">
        <v>34270</v>
      </c>
      <c r="K3755" t="s">
        <v>41193</v>
      </c>
      <c r="M3755" t="s">
        <v>42886</v>
      </c>
      <c r="N3755" t="s">
        <v>45095</v>
      </c>
      <c r="O3755" t="s">
        <v>45096</v>
      </c>
      <c r="P3755">
        <v>0</v>
      </c>
      <c r="Q3755">
        <v>3</v>
      </c>
      <c r="R3755" t="s">
        <v>45101</v>
      </c>
      <c r="S3755" t="s">
        <v>45231</v>
      </c>
      <c r="T3755" t="s">
        <v>46911</v>
      </c>
      <c r="U3755" t="s">
        <v>50665</v>
      </c>
      <c r="W3755" t="s">
        <v>42886</v>
      </c>
      <c r="X3755" t="s">
        <v>45102</v>
      </c>
    </row>
    <row r="3756" spans="1:24">
      <c r="A3756">
        <f>HYPERLINK("https://www.philgeps.gov.ph/GEPSNONPILOT/Tender/SplashBidNoticeAbstractUI.aspx?menuIndex=3&amp;refID=7040980&amp;Result=3","7040980")</f>
        <v>0</v>
      </c>
      <c r="B3756" t="s">
        <v>1321</v>
      </c>
      <c r="C3756" t="s">
        <v>6785</v>
      </c>
      <c r="D3756" t="s">
        <v>18090</v>
      </c>
      <c r="E3756" t="s">
        <v>21504</v>
      </c>
      <c r="F3756" t="s">
        <v>31574</v>
      </c>
      <c r="G3756" t="s">
        <v>31582</v>
      </c>
      <c r="H3756" t="s">
        <v>31590</v>
      </c>
      <c r="I3756" t="s">
        <v>3520</v>
      </c>
      <c r="J3756" t="s">
        <v>32000</v>
      </c>
      <c r="K3756" t="s">
        <v>41196</v>
      </c>
      <c r="M3756" t="s">
        <v>42891</v>
      </c>
      <c r="N3756" t="s">
        <v>45095</v>
      </c>
      <c r="O3756" t="s">
        <v>45096</v>
      </c>
      <c r="P3756">
        <v>0</v>
      </c>
      <c r="Q3756">
        <v>0</v>
      </c>
      <c r="R3756" t="s">
        <v>45101</v>
      </c>
      <c r="S3756" t="s">
        <v>45231</v>
      </c>
      <c r="T3756" t="s">
        <v>46962</v>
      </c>
      <c r="U3756" t="s">
        <v>50666</v>
      </c>
      <c r="W3756" t="s">
        <v>42891</v>
      </c>
      <c r="X3756" t="s">
        <v>45102</v>
      </c>
    </row>
    <row r="3757" spans="1:24">
      <c r="A3757">
        <f>HYPERLINK("https://www.philgeps.gov.ph/GEPSNONPILOT/Tender/SplashBidNoticeAbstractUI.aspx?menuIndex=3&amp;refID=7040973&amp;Result=3","7040973")</f>
        <v>0</v>
      </c>
      <c r="B3757" t="s">
        <v>1316</v>
      </c>
      <c r="C3757" t="s">
        <v>6786</v>
      </c>
      <c r="D3757" t="s">
        <v>18084</v>
      </c>
      <c r="E3757" t="s">
        <v>21496</v>
      </c>
      <c r="F3757" t="s">
        <v>31574</v>
      </c>
      <c r="G3757" t="s">
        <v>31582</v>
      </c>
      <c r="H3757" t="s">
        <v>31590</v>
      </c>
      <c r="I3757" t="s">
        <v>31695</v>
      </c>
      <c r="J3757" t="s">
        <v>34271</v>
      </c>
      <c r="K3757" t="s">
        <v>41193</v>
      </c>
      <c r="M3757" t="s">
        <v>42886</v>
      </c>
      <c r="N3757" t="s">
        <v>45095</v>
      </c>
      <c r="O3757" t="s">
        <v>45096</v>
      </c>
      <c r="P3757">
        <v>0</v>
      </c>
      <c r="Q3757">
        <v>1</v>
      </c>
      <c r="R3757" t="s">
        <v>45101</v>
      </c>
      <c r="S3757" t="s">
        <v>45231</v>
      </c>
      <c r="T3757" t="s">
        <v>46911</v>
      </c>
      <c r="U3757" t="s">
        <v>50667</v>
      </c>
      <c r="W3757" t="s">
        <v>42886</v>
      </c>
      <c r="X3757" t="s">
        <v>45102</v>
      </c>
    </row>
    <row r="3758" spans="1:24">
      <c r="A3758">
        <f>HYPERLINK("https://www.philgeps.gov.ph/GEPSNONPILOT/Tender/SplashBidNoticeAbstractUI.aspx?menuIndex=3&amp;refID=7040984&amp;Result=3","7040984")</f>
        <v>0</v>
      </c>
      <c r="B3758" t="s">
        <v>1322</v>
      </c>
      <c r="C3758" t="s">
        <v>6787</v>
      </c>
      <c r="D3758" t="s">
        <v>18023</v>
      </c>
      <c r="E3758" t="s">
        <v>18175</v>
      </c>
      <c r="F3758" t="s">
        <v>31574</v>
      </c>
      <c r="G3758" t="s">
        <v>31582</v>
      </c>
      <c r="H3758" t="s">
        <v>31591</v>
      </c>
      <c r="I3758" t="s">
        <v>8822</v>
      </c>
      <c r="J3758" t="s">
        <v>31727</v>
      </c>
      <c r="K3758" t="s">
        <v>41243</v>
      </c>
      <c r="M3758" t="s">
        <v>42892</v>
      </c>
      <c r="N3758" t="s">
        <v>45095</v>
      </c>
      <c r="O3758" t="s">
        <v>45096</v>
      </c>
      <c r="P3758">
        <v>0</v>
      </c>
      <c r="Q3758">
        <v>0</v>
      </c>
      <c r="R3758" t="s">
        <v>45101</v>
      </c>
      <c r="S3758" t="s">
        <v>45231</v>
      </c>
      <c r="T3758" t="s">
        <v>46911</v>
      </c>
      <c r="U3758" t="s">
        <v>50668</v>
      </c>
      <c r="V3758" t="s">
        <v>60219</v>
      </c>
      <c r="W3758" t="s">
        <v>42892</v>
      </c>
      <c r="X3758" t="s">
        <v>45102</v>
      </c>
    </row>
    <row r="3759" spans="1:24">
      <c r="A3759">
        <f>HYPERLINK("https://www.philgeps.gov.ph/GEPSNONPILOT/Tender/SplashBidNoticeAbstractUI.aspx?menuIndex=3&amp;refID=7040974&amp;Result=3","7040974")</f>
        <v>0</v>
      </c>
      <c r="B3759" t="s">
        <v>1323</v>
      </c>
      <c r="C3759" t="s">
        <v>6788</v>
      </c>
      <c r="D3759" t="s">
        <v>18023</v>
      </c>
      <c r="E3759" t="s">
        <v>21505</v>
      </c>
      <c r="F3759" t="s">
        <v>31574</v>
      </c>
      <c r="G3759" t="s">
        <v>31582</v>
      </c>
      <c r="H3759" t="s">
        <v>31591</v>
      </c>
      <c r="I3759" t="s">
        <v>8822</v>
      </c>
      <c r="J3759" t="s">
        <v>34272</v>
      </c>
      <c r="K3759" t="s">
        <v>41243</v>
      </c>
      <c r="M3759" t="s">
        <v>42893</v>
      </c>
      <c r="N3759" t="s">
        <v>45095</v>
      </c>
      <c r="O3759" t="s">
        <v>45096</v>
      </c>
      <c r="P3759">
        <v>0</v>
      </c>
      <c r="Q3759">
        <v>0</v>
      </c>
      <c r="R3759" t="s">
        <v>45101</v>
      </c>
      <c r="S3759" t="s">
        <v>45231</v>
      </c>
      <c r="T3759" t="s">
        <v>46911</v>
      </c>
      <c r="U3759" t="s">
        <v>50669</v>
      </c>
      <c r="V3759" t="s">
        <v>60219</v>
      </c>
      <c r="W3759" t="s">
        <v>42893</v>
      </c>
      <c r="X3759" t="s">
        <v>45102</v>
      </c>
    </row>
    <row r="3760" spans="1:24">
      <c r="A3760">
        <f>HYPERLINK("https://www.philgeps.gov.ph/GEPSNONPILOT/Tender/SplashBidNoticeAbstractUI.aspx?menuIndex=3&amp;refID=7040489&amp;Result=3","7040489")</f>
        <v>0</v>
      </c>
      <c r="B3760" t="s">
        <v>1324</v>
      </c>
      <c r="C3760" t="s">
        <v>6789</v>
      </c>
      <c r="D3760" t="s">
        <v>18094</v>
      </c>
      <c r="E3760" t="s">
        <v>21506</v>
      </c>
      <c r="F3760" t="s">
        <v>31574</v>
      </c>
      <c r="G3760" t="s">
        <v>31581</v>
      </c>
      <c r="H3760" t="s">
        <v>31590</v>
      </c>
      <c r="I3760" t="s">
        <v>3487</v>
      </c>
      <c r="J3760" t="s">
        <v>34273</v>
      </c>
      <c r="K3760" t="s">
        <v>41190</v>
      </c>
      <c r="M3760" t="s">
        <v>42894</v>
      </c>
      <c r="N3760" t="s">
        <v>45095</v>
      </c>
      <c r="O3760" t="s">
        <v>45096</v>
      </c>
      <c r="P3760">
        <v>0</v>
      </c>
      <c r="Q3760">
        <v>0</v>
      </c>
      <c r="R3760" t="s">
        <v>45101</v>
      </c>
      <c r="S3760" t="s">
        <v>45231</v>
      </c>
      <c r="T3760" t="s">
        <v>47176</v>
      </c>
      <c r="U3760" t="s">
        <v>50670</v>
      </c>
      <c r="W3760" t="s">
        <v>42894</v>
      </c>
      <c r="X3760" t="s">
        <v>45103</v>
      </c>
    </row>
    <row r="3761" spans="1:24">
      <c r="A3761">
        <f>HYPERLINK("https://www.philgeps.gov.ph/GEPSNONPILOT/Tender/SplashBidNoticeAbstractUI.aspx?menuIndex=3&amp;refID=7040983&amp;Result=3","7040983")</f>
        <v>0</v>
      </c>
      <c r="B3761" t="s">
        <v>1325</v>
      </c>
      <c r="C3761" t="s">
        <v>6790</v>
      </c>
      <c r="D3761" t="s">
        <v>18023</v>
      </c>
      <c r="E3761" t="s">
        <v>18175</v>
      </c>
      <c r="F3761" t="s">
        <v>31574</v>
      </c>
      <c r="G3761" t="s">
        <v>31582</v>
      </c>
      <c r="H3761" t="s">
        <v>31591</v>
      </c>
      <c r="I3761" t="s">
        <v>8822</v>
      </c>
      <c r="J3761" t="s">
        <v>31789</v>
      </c>
      <c r="K3761" t="s">
        <v>41243</v>
      </c>
      <c r="M3761" t="s">
        <v>42895</v>
      </c>
      <c r="N3761" t="s">
        <v>45095</v>
      </c>
      <c r="O3761" t="s">
        <v>45096</v>
      </c>
      <c r="P3761">
        <v>0</v>
      </c>
      <c r="Q3761">
        <v>0</v>
      </c>
      <c r="R3761" t="s">
        <v>45101</v>
      </c>
      <c r="S3761" t="s">
        <v>45231</v>
      </c>
      <c r="T3761" t="s">
        <v>46911</v>
      </c>
      <c r="U3761" t="s">
        <v>50671</v>
      </c>
      <c r="V3761" t="s">
        <v>60220</v>
      </c>
      <c r="W3761" t="s">
        <v>42895</v>
      </c>
      <c r="X3761" t="s">
        <v>45102</v>
      </c>
    </row>
    <row r="3762" spans="1:24">
      <c r="A3762">
        <f>HYPERLINK("https://www.philgeps.gov.ph/GEPSNONPILOT/Tender/SplashBidNoticeAbstractUI.aspx?menuIndex=3&amp;refID=7040985&amp;Result=3","7040985")</f>
        <v>0</v>
      </c>
      <c r="B3762" t="s">
        <v>1326</v>
      </c>
      <c r="C3762" t="s">
        <v>6791</v>
      </c>
      <c r="D3762" t="s">
        <v>18043</v>
      </c>
      <c r="E3762" t="s">
        <v>18175</v>
      </c>
      <c r="F3762" t="s">
        <v>31574</v>
      </c>
      <c r="G3762" t="s">
        <v>31581</v>
      </c>
      <c r="H3762" t="s">
        <v>31590</v>
      </c>
      <c r="I3762" t="s">
        <v>5717</v>
      </c>
      <c r="J3762" t="s">
        <v>34274</v>
      </c>
      <c r="K3762" t="s">
        <v>41194</v>
      </c>
      <c r="M3762" t="s">
        <v>42896</v>
      </c>
      <c r="N3762" t="s">
        <v>45095</v>
      </c>
      <c r="O3762" t="s">
        <v>45096</v>
      </c>
      <c r="P3762">
        <v>0</v>
      </c>
      <c r="Q3762">
        <v>0</v>
      </c>
      <c r="R3762" t="s">
        <v>45101</v>
      </c>
      <c r="S3762" t="s">
        <v>45231</v>
      </c>
      <c r="T3762" t="s">
        <v>46973</v>
      </c>
      <c r="U3762" t="s">
        <v>50672</v>
      </c>
      <c r="W3762" t="s">
        <v>42896</v>
      </c>
      <c r="X3762" t="s">
        <v>45102</v>
      </c>
    </row>
    <row r="3763" spans="1:24">
      <c r="A3763">
        <f>HYPERLINK("https://www.philgeps.gov.ph/GEPSNONPILOT/Tender/SplashBidNoticeAbstractUI.aspx?menuIndex=3&amp;refID=7040496&amp;Result=3","7040496")</f>
        <v>0</v>
      </c>
      <c r="B3763" t="s">
        <v>1319</v>
      </c>
      <c r="C3763" t="s">
        <v>6792</v>
      </c>
      <c r="D3763" t="s">
        <v>18075</v>
      </c>
      <c r="E3763" t="s">
        <v>21507</v>
      </c>
      <c r="F3763" t="s">
        <v>31574</v>
      </c>
      <c r="G3763" t="s">
        <v>31582</v>
      </c>
      <c r="H3763" t="s">
        <v>31590</v>
      </c>
      <c r="I3763" t="s">
        <v>31620</v>
      </c>
      <c r="J3763" t="s">
        <v>32232</v>
      </c>
      <c r="K3763" t="s">
        <v>41196</v>
      </c>
      <c r="M3763" t="s">
        <v>42889</v>
      </c>
      <c r="N3763" t="s">
        <v>45095</v>
      </c>
      <c r="O3763" t="s">
        <v>45096</v>
      </c>
      <c r="P3763">
        <v>0</v>
      </c>
      <c r="Q3763">
        <v>8</v>
      </c>
      <c r="R3763" t="s">
        <v>45101</v>
      </c>
      <c r="S3763" t="s">
        <v>45231</v>
      </c>
      <c r="T3763" t="s">
        <v>47108</v>
      </c>
      <c r="U3763" t="s">
        <v>50673</v>
      </c>
      <c r="W3763" t="s">
        <v>42889</v>
      </c>
      <c r="X3763" t="s">
        <v>45103</v>
      </c>
    </row>
    <row r="3764" spans="1:24">
      <c r="A3764">
        <f>HYPERLINK("https://www.philgeps.gov.ph/GEPSNONPILOT/Tender/SplashBidNoticeAbstractUI.aspx?menuIndex=3&amp;refID=7040986&amp;Result=3","7040986")</f>
        <v>0</v>
      </c>
      <c r="B3764" t="s">
        <v>1322</v>
      </c>
      <c r="C3764" t="s">
        <v>6793</v>
      </c>
      <c r="D3764" t="s">
        <v>18023</v>
      </c>
      <c r="E3764" t="s">
        <v>18192</v>
      </c>
      <c r="F3764" t="s">
        <v>31574</v>
      </c>
      <c r="G3764" t="s">
        <v>31582</v>
      </c>
      <c r="H3764" t="s">
        <v>31591</v>
      </c>
      <c r="I3764" t="s">
        <v>8822</v>
      </c>
      <c r="J3764" t="s">
        <v>31727</v>
      </c>
      <c r="K3764" t="s">
        <v>41243</v>
      </c>
      <c r="M3764" t="s">
        <v>42892</v>
      </c>
      <c r="N3764" t="s">
        <v>45095</v>
      </c>
      <c r="O3764" t="s">
        <v>45096</v>
      </c>
      <c r="P3764">
        <v>0</v>
      </c>
      <c r="Q3764">
        <v>0</v>
      </c>
      <c r="R3764" t="s">
        <v>45101</v>
      </c>
      <c r="S3764" t="s">
        <v>45231</v>
      </c>
      <c r="T3764" t="s">
        <v>46911</v>
      </c>
      <c r="U3764" t="s">
        <v>50674</v>
      </c>
      <c r="V3764" t="s">
        <v>60219</v>
      </c>
      <c r="W3764" t="s">
        <v>42892</v>
      </c>
      <c r="X3764" t="s">
        <v>45102</v>
      </c>
    </row>
    <row r="3765" spans="1:24">
      <c r="A3765">
        <f>HYPERLINK("https://www.philgeps.gov.ph/GEPSNONPILOT/Tender/SplashBidNoticeAbstractUI.aspx?menuIndex=3&amp;refID=7040999&amp;Result=3","7040999")</f>
        <v>0</v>
      </c>
      <c r="B3765" t="s">
        <v>1327</v>
      </c>
      <c r="C3765" t="s">
        <v>6794</v>
      </c>
      <c r="E3765" t="s">
        <v>6794</v>
      </c>
      <c r="F3765" t="s">
        <v>31574</v>
      </c>
      <c r="G3765" t="s">
        <v>31581</v>
      </c>
      <c r="H3765" t="s">
        <v>31590</v>
      </c>
      <c r="I3765" t="s">
        <v>7185</v>
      </c>
      <c r="J3765" t="s">
        <v>34275</v>
      </c>
      <c r="K3765" t="s">
        <v>41193</v>
      </c>
      <c r="M3765" t="s">
        <v>42897</v>
      </c>
      <c r="N3765" t="s">
        <v>45095</v>
      </c>
      <c r="O3765" t="s">
        <v>45096</v>
      </c>
      <c r="P3765">
        <v>0</v>
      </c>
      <c r="Q3765">
        <v>1</v>
      </c>
      <c r="R3765" t="s">
        <v>45101</v>
      </c>
      <c r="S3765" t="s">
        <v>45231</v>
      </c>
      <c r="T3765" t="s">
        <v>47154</v>
      </c>
      <c r="U3765" t="s">
        <v>50675</v>
      </c>
      <c r="W3765" t="s">
        <v>42897</v>
      </c>
      <c r="X3765" t="s">
        <v>45102</v>
      </c>
    </row>
    <row r="3766" spans="1:24">
      <c r="A3766">
        <f>HYPERLINK("https://www.philgeps.gov.ph/GEPSNONPILOT/Tender/SplashBidNoticeAbstractUI.aspx?menuIndex=3&amp;refID=7040998&amp;Result=3","7040998")</f>
        <v>0</v>
      </c>
      <c r="B3766" t="s">
        <v>1328</v>
      </c>
      <c r="C3766" t="s">
        <v>6795</v>
      </c>
      <c r="D3766" t="s">
        <v>18078</v>
      </c>
      <c r="E3766" t="s">
        <v>19061</v>
      </c>
      <c r="F3766" t="s">
        <v>31575</v>
      </c>
      <c r="G3766" t="s">
        <v>31584</v>
      </c>
      <c r="H3766" t="s">
        <v>31590</v>
      </c>
      <c r="I3766" t="s">
        <v>31636</v>
      </c>
      <c r="J3766" t="s">
        <v>34276</v>
      </c>
      <c r="K3766" t="s">
        <v>41211</v>
      </c>
      <c r="M3766" t="s">
        <v>42898</v>
      </c>
      <c r="N3766" t="s">
        <v>45095</v>
      </c>
      <c r="O3766" t="s">
        <v>45096</v>
      </c>
      <c r="P3766">
        <v>0</v>
      </c>
      <c r="Q3766">
        <v>0</v>
      </c>
      <c r="R3766" t="s">
        <v>45101</v>
      </c>
      <c r="S3766" t="s">
        <v>45231</v>
      </c>
      <c r="T3766" t="s">
        <v>46918</v>
      </c>
      <c r="U3766" t="s">
        <v>50676</v>
      </c>
      <c r="V3766" t="s">
        <v>60221</v>
      </c>
      <c r="W3766" t="s">
        <v>42898</v>
      </c>
      <c r="X3766" t="s">
        <v>45102</v>
      </c>
    </row>
    <row r="3767" spans="1:24">
      <c r="A3767">
        <f>HYPERLINK("https://www.philgeps.gov.ph/GEPSNONPILOT/Tender/SplashBidNoticeAbstractUI.aspx?menuIndex=3&amp;refID=7040992&amp;Result=3","7040992")</f>
        <v>0</v>
      </c>
      <c r="B3767" t="s">
        <v>1327</v>
      </c>
      <c r="C3767" t="s">
        <v>6796</v>
      </c>
      <c r="E3767" t="s">
        <v>6796</v>
      </c>
      <c r="F3767" t="s">
        <v>31574</v>
      </c>
      <c r="G3767" t="s">
        <v>31581</v>
      </c>
      <c r="H3767" t="s">
        <v>31590</v>
      </c>
      <c r="I3767" t="s">
        <v>7185</v>
      </c>
      <c r="J3767" t="s">
        <v>34277</v>
      </c>
      <c r="K3767" t="s">
        <v>41193</v>
      </c>
      <c r="M3767" t="s">
        <v>42897</v>
      </c>
      <c r="N3767" t="s">
        <v>45095</v>
      </c>
      <c r="O3767" t="s">
        <v>45096</v>
      </c>
      <c r="P3767">
        <v>0</v>
      </c>
      <c r="Q3767">
        <v>1</v>
      </c>
      <c r="R3767" t="s">
        <v>45101</v>
      </c>
      <c r="S3767" t="s">
        <v>45231</v>
      </c>
      <c r="T3767" t="s">
        <v>47154</v>
      </c>
      <c r="U3767" t="s">
        <v>50677</v>
      </c>
      <c r="W3767" t="s">
        <v>42897</v>
      </c>
      <c r="X3767" t="s">
        <v>45102</v>
      </c>
    </row>
    <row r="3768" spans="1:24">
      <c r="A3768">
        <f>HYPERLINK("https://www.philgeps.gov.ph/GEPSNONPILOT/Tender/SplashBidNoticeAbstractUI.aspx?menuIndex=3&amp;refID=7040991&amp;Result=3","7040991")</f>
        <v>0</v>
      </c>
      <c r="B3768" t="s">
        <v>1091</v>
      </c>
      <c r="C3768" t="s">
        <v>6797</v>
      </c>
      <c r="D3768" t="s">
        <v>18064</v>
      </c>
      <c r="E3768" t="s">
        <v>21508</v>
      </c>
      <c r="F3768" t="s">
        <v>31574</v>
      </c>
      <c r="G3768" t="s">
        <v>31581</v>
      </c>
      <c r="H3768" t="s">
        <v>31590</v>
      </c>
      <c r="I3768" t="s">
        <v>31595</v>
      </c>
      <c r="J3768" t="s">
        <v>31930</v>
      </c>
      <c r="K3768" t="s">
        <v>41213</v>
      </c>
      <c r="M3768" t="s">
        <v>42640</v>
      </c>
      <c r="N3768" t="s">
        <v>45095</v>
      </c>
      <c r="O3768" t="s">
        <v>45096</v>
      </c>
      <c r="P3768">
        <v>0</v>
      </c>
      <c r="Q3768">
        <v>3</v>
      </c>
      <c r="R3768" t="s">
        <v>45101</v>
      </c>
      <c r="S3768" t="s">
        <v>45231</v>
      </c>
      <c r="T3768" t="s">
        <v>47067</v>
      </c>
      <c r="U3768" t="s">
        <v>50678</v>
      </c>
      <c r="W3768" t="s">
        <v>42640</v>
      </c>
      <c r="X3768" t="s">
        <v>45102</v>
      </c>
    </row>
    <row r="3769" spans="1:24">
      <c r="A3769">
        <f>HYPERLINK("https://www.philgeps.gov.ph/GEPSNONPILOT/Tender/SplashBidNoticeAbstractUI.aspx?menuIndex=3&amp;refID=7040990&amp;Result=3","7040990")</f>
        <v>0</v>
      </c>
      <c r="B3769" t="s">
        <v>1327</v>
      </c>
      <c r="C3769" t="s">
        <v>6798</v>
      </c>
      <c r="E3769" t="s">
        <v>6798</v>
      </c>
      <c r="F3769" t="s">
        <v>31574</v>
      </c>
      <c r="G3769" t="s">
        <v>31581</v>
      </c>
      <c r="H3769" t="s">
        <v>31590</v>
      </c>
      <c r="I3769" t="s">
        <v>31604</v>
      </c>
      <c r="J3769" t="s">
        <v>34278</v>
      </c>
      <c r="K3769" t="s">
        <v>41193</v>
      </c>
      <c r="M3769" t="s">
        <v>42897</v>
      </c>
      <c r="N3769" t="s">
        <v>45095</v>
      </c>
      <c r="O3769" t="s">
        <v>45096</v>
      </c>
      <c r="P3769">
        <v>0</v>
      </c>
      <c r="Q3769">
        <v>0</v>
      </c>
      <c r="R3769" t="s">
        <v>45101</v>
      </c>
      <c r="S3769" t="s">
        <v>45231</v>
      </c>
      <c r="T3769" t="s">
        <v>47154</v>
      </c>
      <c r="U3769" t="s">
        <v>50679</v>
      </c>
      <c r="W3769" t="s">
        <v>42897</v>
      </c>
      <c r="X3769" t="s">
        <v>45102</v>
      </c>
    </row>
    <row r="3770" spans="1:24">
      <c r="A3770">
        <f>HYPERLINK("https://www.philgeps.gov.ph/GEPSNONPILOT/Tender/SplashBidNoticeAbstractUI.aspx?menuIndex=3&amp;refID=7041001&amp;Result=3","7041001")</f>
        <v>0</v>
      </c>
      <c r="B3770" t="s">
        <v>1329</v>
      </c>
      <c r="C3770" t="s">
        <v>6799</v>
      </c>
      <c r="E3770" t="s">
        <v>21509</v>
      </c>
      <c r="F3770" t="s">
        <v>31574</v>
      </c>
      <c r="G3770" t="s">
        <v>31581</v>
      </c>
      <c r="H3770" t="s">
        <v>31590</v>
      </c>
      <c r="I3770" t="s">
        <v>31667</v>
      </c>
      <c r="J3770" t="s">
        <v>34279</v>
      </c>
      <c r="K3770" t="s">
        <v>41196</v>
      </c>
      <c r="M3770" t="s">
        <v>42899</v>
      </c>
      <c r="N3770" t="s">
        <v>45095</v>
      </c>
      <c r="O3770" t="s">
        <v>45096</v>
      </c>
      <c r="P3770">
        <v>0</v>
      </c>
      <c r="Q3770">
        <v>4</v>
      </c>
      <c r="R3770" t="s">
        <v>45101</v>
      </c>
      <c r="S3770" t="s">
        <v>45231</v>
      </c>
      <c r="T3770" t="s">
        <v>46985</v>
      </c>
      <c r="U3770" t="s">
        <v>50680</v>
      </c>
      <c r="W3770" t="s">
        <v>42899</v>
      </c>
      <c r="X3770" t="s">
        <v>45102</v>
      </c>
    </row>
    <row r="3771" spans="1:24">
      <c r="A3771">
        <f>HYPERLINK("https://www.philgeps.gov.ph/GEPSNONPILOT/Tender/SplashBidNoticeAbstractUI.aspx?menuIndex=3&amp;refID=7041006&amp;Result=3","7041006")</f>
        <v>0</v>
      </c>
      <c r="B3771" t="s">
        <v>1330</v>
      </c>
      <c r="C3771" t="s">
        <v>6800</v>
      </c>
      <c r="D3771" t="s">
        <v>18022</v>
      </c>
      <c r="E3771" t="s">
        <v>19061</v>
      </c>
      <c r="F3771" t="s">
        <v>31574</v>
      </c>
      <c r="G3771" t="s">
        <v>31584</v>
      </c>
      <c r="H3771" t="s">
        <v>31590</v>
      </c>
      <c r="I3771" t="s">
        <v>6800</v>
      </c>
      <c r="J3771" t="s">
        <v>31947</v>
      </c>
      <c r="K3771" t="s">
        <v>41213</v>
      </c>
      <c r="M3771" t="s">
        <v>42900</v>
      </c>
      <c r="N3771" t="s">
        <v>45095</v>
      </c>
      <c r="O3771" t="s">
        <v>45096</v>
      </c>
      <c r="P3771">
        <v>0</v>
      </c>
      <c r="Q3771">
        <v>5</v>
      </c>
      <c r="R3771" t="s">
        <v>45101</v>
      </c>
      <c r="S3771" t="s">
        <v>45231</v>
      </c>
      <c r="T3771" t="s">
        <v>47167</v>
      </c>
      <c r="U3771" t="s">
        <v>50681</v>
      </c>
      <c r="V3771" t="s">
        <v>60222</v>
      </c>
      <c r="W3771" t="s">
        <v>42900</v>
      </c>
      <c r="X3771" t="s">
        <v>45102</v>
      </c>
    </row>
    <row r="3772" spans="1:24">
      <c r="A3772">
        <f>HYPERLINK("https://www.philgeps.gov.ph/GEPSNONPILOT/Tender/SplashBidNoticeAbstractUI.aspx?menuIndex=3&amp;refID=7041008&amp;Result=3","7041008")</f>
        <v>0</v>
      </c>
      <c r="B3772" t="s">
        <v>116</v>
      </c>
      <c r="C3772" t="s">
        <v>6801</v>
      </c>
      <c r="D3772" t="s">
        <v>18068</v>
      </c>
      <c r="E3772" t="s">
        <v>21510</v>
      </c>
      <c r="F3772" t="s">
        <v>31574</v>
      </c>
      <c r="G3772" t="s">
        <v>31585</v>
      </c>
      <c r="H3772" t="s">
        <v>31590</v>
      </c>
      <c r="I3772" t="s">
        <v>31598</v>
      </c>
      <c r="J3772" t="s">
        <v>34280</v>
      </c>
      <c r="K3772" t="s">
        <v>41192</v>
      </c>
      <c r="M3772" t="s">
        <v>42901</v>
      </c>
      <c r="N3772" t="s">
        <v>45095</v>
      </c>
      <c r="O3772" t="s">
        <v>45096</v>
      </c>
      <c r="P3772">
        <v>0</v>
      </c>
      <c r="Q3772">
        <v>7</v>
      </c>
      <c r="R3772" t="s">
        <v>45101</v>
      </c>
      <c r="S3772" t="s">
        <v>45231</v>
      </c>
      <c r="T3772" t="s">
        <v>47193</v>
      </c>
      <c r="U3772" t="s">
        <v>50682</v>
      </c>
      <c r="V3772" t="s">
        <v>60223</v>
      </c>
      <c r="W3772" t="s">
        <v>42901</v>
      </c>
      <c r="X3772" t="s">
        <v>45102</v>
      </c>
    </row>
    <row r="3773" spans="1:24">
      <c r="A3773">
        <f>HYPERLINK("https://www.philgeps.gov.ph/GEPSNONPILOT/Tender/SplashBidNoticeAbstractUI.aspx?menuIndex=3&amp;refID=7041000&amp;Result=3","7041000")</f>
        <v>0</v>
      </c>
      <c r="B3773" t="s">
        <v>67</v>
      </c>
      <c r="C3773" t="s">
        <v>6802</v>
      </c>
      <c r="D3773" t="s">
        <v>18027</v>
      </c>
      <c r="E3773" t="s">
        <v>21511</v>
      </c>
      <c r="F3773" t="s">
        <v>31574</v>
      </c>
      <c r="G3773" t="s">
        <v>31582</v>
      </c>
      <c r="H3773" t="s">
        <v>31591</v>
      </c>
      <c r="I3773" t="s">
        <v>8822</v>
      </c>
      <c r="J3773" t="s">
        <v>34281</v>
      </c>
      <c r="K3773" t="s">
        <v>41186</v>
      </c>
      <c r="M3773" t="s">
        <v>42902</v>
      </c>
      <c r="N3773" t="s">
        <v>45095</v>
      </c>
      <c r="O3773" t="s">
        <v>45096</v>
      </c>
      <c r="P3773">
        <v>0</v>
      </c>
      <c r="Q3773">
        <v>0</v>
      </c>
      <c r="R3773" t="s">
        <v>45101</v>
      </c>
      <c r="S3773" t="s">
        <v>45231</v>
      </c>
      <c r="T3773" t="s">
        <v>46945</v>
      </c>
      <c r="U3773" t="s">
        <v>50683</v>
      </c>
      <c r="W3773" t="s">
        <v>42902</v>
      </c>
      <c r="X3773" t="s">
        <v>45102</v>
      </c>
    </row>
    <row r="3774" spans="1:24">
      <c r="A3774">
        <f>HYPERLINK("https://www.philgeps.gov.ph/GEPSNONPILOT/Tender/SplashBidNoticeAbstractUI.aspx?menuIndex=3&amp;refID=7041002&amp;Result=3","7041002")</f>
        <v>0</v>
      </c>
      <c r="B3774" t="s">
        <v>1331</v>
      </c>
      <c r="C3774" t="s">
        <v>6803</v>
      </c>
      <c r="D3774" t="s">
        <v>18107</v>
      </c>
      <c r="E3774" t="s">
        <v>18175</v>
      </c>
      <c r="F3774" t="s">
        <v>31574</v>
      </c>
      <c r="G3774" t="s">
        <v>31583</v>
      </c>
      <c r="H3774" t="s">
        <v>31590</v>
      </c>
      <c r="I3774" t="s">
        <v>7185</v>
      </c>
      <c r="J3774" t="s">
        <v>31782</v>
      </c>
      <c r="K3774" t="s">
        <v>41190</v>
      </c>
      <c r="M3774" t="s">
        <v>42903</v>
      </c>
      <c r="N3774" t="s">
        <v>45095</v>
      </c>
      <c r="O3774" t="s">
        <v>45096</v>
      </c>
      <c r="P3774">
        <v>0</v>
      </c>
      <c r="Q3774">
        <v>0</v>
      </c>
      <c r="R3774" t="s">
        <v>45101</v>
      </c>
      <c r="S3774" t="s">
        <v>45231</v>
      </c>
      <c r="T3774" t="s">
        <v>46904</v>
      </c>
      <c r="U3774" t="s">
        <v>50684</v>
      </c>
      <c r="W3774" t="s">
        <v>42903</v>
      </c>
      <c r="X3774" t="s">
        <v>45102</v>
      </c>
    </row>
    <row r="3775" spans="1:24">
      <c r="A3775">
        <f>HYPERLINK("https://www.philgeps.gov.ph/GEPSNONPILOT/Tender/SplashBidNoticeAbstractUI.aspx?menuIndex=3&amp;refID=7040997&amp;Result=3","7040997")</f>
        <v>0</v>
      </c>
      <c r="B3775" t="s">
        <v>1332</v>
      </c>
      <c r="C3775" t="s">
        <v>6804</v>
      </c>
      <c r="D3775" t="s">
        <v>18060</v>
      </c>
      <c r="E3775" t="s">
        <v>21512</v>
      </c>
      <c r="F3775" t="s">
        <v>31574</v>
      </c>
      <c r="G3775" t="s">
        <v>31581</v>
      </c>
      <c r="H3775" t="s">
        <v>31590</v>
      </c>
      <c r="I3775" t="s">
        <v>31633</v>
      </c>
      <c r="J3775" t="s">
        <v>34282</v>
      </c>
      <c r="K3775" t="s">
        <v>41186</v>
      </c>
      <c r="M3775" t="s">
        <v>42904</v>
      </c>
      <c r="N3775" t="s">
        <v>45095</v>
      </c>
      <c r="O3775" t="s">
        <v>45096</v>
      </c>
      <c r="P3775">
        <v>0</v>
      </c>
      <c r="Q3775">
        <v>2</v>
      </c>
      <c r="R3775" t="s">
        <v>45101</v>
      </c>
      <c r="S3775" t="s">
        <v>45231</v>
      </c>
      <c r="T3775" t="s">
        <v>46904</v>
      </c>
      <c r="U3775" t="s">
        <v>50685</v>
      </c>
      <c r="W3775" t="s">
        <v>42904</v>
      </c>
      <c r="X3775" t="s">
        <v>45102</v>
      </c>
    </row>
    <row r="3776" spans="1:24">
      <c r="A3776">
        <f>HYPERLINK("https://www.philgeps.gov.ph/GEPSNONPILOT/Tender/SplashBidNoticeAbstractUI.aspx?menuIndex=3&amp;refID=7041011&amp;Result=3","7041011")</f>
        <v>0</v>
      </c>
      <c r="B3776" t="s">
        <v>1333</v>
      </c>
      <c r="C3776" t="s">
        <v>6805</v>
      </c>
      <c r="D3776" t="s">
        <v>18049</v>
      </c>
      <c r="E3776" t="s">
        <v>6805</v>
      </c>
      <c r="F3776" t="s">
        <v>31574</v>
      </c>
      <c r="G3776" t="s">
        <v>31582</v>
      </c>
      <c r="H3776" t="s">
        <v>31590</v>
      </c>
      <c r="I3776" t="s">
        <v>31615</v>
      </c>
      <c r="J3776" t="s">
        <v>34283</v>
      </c>
      <c r="K3776" t="s">
        <v>41196</v>
      </c>
      <c r="M3776" t="s">
        <v>42905</v>
      </c>
      <c r="N3776" t="s">
        <v>45095</v>
      </c>
      <c r="O3776" t="s">
        <v>45096</v>
      </c>
      <c r="P3776">
        <v>0</v>
      </c>
      <c r="Q3776">
        <v>0</v>
      </c>
      <c r="R3776" t="s">
        <v>45101</v>
      </c>
      <c r="S3776" t="s">
        <v>45231</v>
      </c>
      <c r="T3776" t="s">
        <v>46988</v>
      </c>
      <c r="U3776" t="s">
        <v>50686</v>
      </c>
      <c r="W3776" t="s">
        <v>42905</v>
      </c>
      <c r="X3776" t="s">
        <v>45102</v>
      </c>
    </row>
    <row r="3777" spans="1:24">
      <c r="A3777">
        <f>HYPERLINK("https://www.philgeps.gov.ph/GEPSNONPILOT/Tender/SplashBidNoticeAbstractUI.aspx?menuIndex=3&amp;refID=7041003&amp;Result=3","7041003")</f>
        <v>0</v>
      </c>
      <c r="B3777" t="s">
        <v>1334</v>
      </c>
      <c r="C3777" t="s">
        <v>6806</v>
      </c>
      <c r="E3777" t="s">
        <v>21513</v>
      </c>
      <c r="F3777" t="s">
        <v>31574</v>
      </c>
      <c r="G3777" t="s">
        <v>31582</v>
      </c>
      <c r="H3777" t="s">
        <v>31590</v>
      </c>
      <c r="I3777" t="s">
        <v>8822</v>
      </c>
      <c r="J3777" t="s">
        <v>34284</v>
      </c>
      <c r="K3777" t="s">
        <v>41184</v>
      </c>
      <c r="M3777" t="s">
        <v>42906</v>
      </c>
      <c r="N3777" t="s">
        <v>45095</v>
      </c>
      <c r="O3777" t="s">
        <v>45096</v>
      </c>
      <c r="P3777">
        <v>0</v>
      </c>
      <c r="Q3777">
        <v>0</v>
      </c>
      <c r="R3777" t="s">
        <v>45101</v>
      </c>
      <c r="S3777" t="s">
        <v>45231</v>
      </c>
      <c r="T3777" t="s">
        <v>46926</v>
      </c>
      <c r="U3777" t="s">
        <v>50687</v>
      </c>
      <c r="W3777" t="s">
        <v>42906</v>
      </c>
      <c r="X3777" t="s">
        <v>45102</v>
      </c>
    </row>
    <row r="3778" spans="1:24">
      <c r="A3778">
        <f>HYPERLINK("https://www.philgeps.gov.ph/GEPSNONPILOT/Tender/SplashBidNoticeAbstractUI.aspx?menuIndex=3&amp;refID=7040989&amp;Result=3","7040989")</f>
        <v>0</v>
      </c>
      <c r="B3778" t="s">
        <v>1327</v>
      </c>
      <c r="C3778" t="s">
        <v>6807</v>
      </c>
      <c r="E3778" t="s">
        <v>6807</v>
      </c>
      <c r="F3778" t="s">
        <v>31574</v>
      </c>
      <c r="G3778" t="s">
        <v>31581</v>
      </c>
      <c r="H3778" t="s">
        <v>31590</v>
      </c>
      <c r="I3778" t="s">
        <v>7185</v>
      </c>
      <c r="J3778" t="s">
        <v>34285</v>
      </c>
      <c r="K3778" t="s">
        <v>41193</v>
      </c>
      <c r="M3778" t="s">
        <v>42897</v>
      </c>
      <c r="N3778" t="s">
        <v>45095</v>
      </c>
      <c r="O3778" t="s">
        <v>45096</v>
      </c>
      <c r="P3778">
        <v>0</v>
      </c>
      <c r="Q3778">
        <v>2</v>
      </c>
      <c r="R3778" t="s">
        <v>45101</v>
      </c>
      <c r="S3778" t="s">
        <v>45231</v>
      </c>
      <c r="T3778" t="s">
        <v>47154</v>
      </c>
      <c r="U3778" t="s">
        <v>50688</v>
      </c>
      <c r="W3778" t="s">
        <v>42897</v>
      </c>
      <c r="X3778" t="s">
        <v>45102</v>
      </c>
    </row>
    <row r="3779" spans="1:24">
      <c r="A3779">
        <f>HYPERLINK("https://www.philgeps.gov.ph/GEPSNONPILOT/Tender/SplashBidNoticeAbstractUI.aspx?menuIndex=3&amp;refID=7041012&amp;Result=3","7041012")</f>
        <v>0</v>
      </c>
      <c r="B3779" t="s">
        <v>1335</v>
      </c>
      <c r="C3779" t="s">
        <v>6808</v>
      </c>
      <c r="D3779" t="s">
        <v>18079</v>
      </c>
      <c r="E3779" t="s">
        <v>21514</v>
      </c>
      <c r="F3779" t="s">
        <v>31574</v>
      </c>
      <c r="G3779" t="s">
        <v>31581</v>
      </c>
      <c r="H3779" t="s">
        <v>31590</v>
      </c>
      <c r="I3779" t="s">
        <v>4327</v>
      </c>
      <c r="J3779" t="s">
        <v>33092</v>
      </c>
      <c r="K3779" t="s">
        <v>41184</v>
      </c>
      <c r="M3779" t="s">
        <v>42907</v>
      </c>
      <c r="N3779" t="s">
        <v>45095</v>
      </c>
      <c r="O3779" t="s">
        <v>45096</v>
      </c>
      <c r="P3779">
        <v>0</v>
      </c>
      <c r="Q3779">
        <v>0</v>
      </c>
      <c r="R3779" t="s">
        <v>45101</v>
      </c>
      <c r="S3779" t="s">
        <v>45231</v>
      </c>
      <c r="T3779" t="s">
        <v>46936</v>
      </c>
      <c r="U3779" t="s">
        <v>50689</v>
      </c>
      <c r="W3779" t="s">
        <v>42907</v>
      </c>
      <c r="X3779" t="s">
        <v>45102</v>
      </c>
    </row>
    <row r="3780" spans="1:24">
      <c r="A3780">
        <f>HYPERLINK("https://www.philgeps.gov.ph/GEPSNONPILOT/Tender/SplashBidNoticeAbstractUI.aspx?menuIndex=3&amp;refID=7041024&amp;Result=3","7041024")</f>
        <v>0</v>
      </c>
      <c r="B3780" t="s">
        <v>1336</v>
      </c>
      <c r="C3780" t="s">
        <v>6628</v>
      </c>
      <c r="D3780" t="s">
        <v>18053</v>
      </c>
      <c r="E3780" t="s">
        <v>21515</v>
      </c>
      <c r="F3780" t="s">
        <v>31574</v>
      </c>
      <c r="G3780" t="s">
        <v>31582</v>
      </c>
      <c r="H3780" t="s">
        <v>31591</v>
      </c>
      <c r="I3780" t="s">
        <v>8822</v>
      </c>
      <c r="J3780" t="s">
        <v>34286</v>
      </c>
      <c r="K3780" t="s">
        <v>41184</v>
      </c>
      <c r="M3780" t="s">
        <v>42908</v>
      </c>
      <c r="N3780" t="s">
        <v>45095</v>
      </c>
      <c r="O3780" t="s">
        <v>45096</v>
      </c>
      <c r="P3780">
        <v>0</v>
      </c>
      <c r="Q3780">
        <v>0</v>
      </c>
      <c r="R3780" t="s">
        <v>45101</v>
      </c>
      <c r="S3780" t="s">
        <v>45231</v>
      </c>
      <c r="T3780" t="s">
        <v>46911</v>
      </c>
      <c r="U3780" t="s">
        <v>50690</v>
      </c>
      <c r="W3780" t="s">
        <v>42908</v>
      </c>
      <c r="X3780" t="s">
        <v>45102</v>
      </c>
    </row>
    <row r="3781" spans="1:24">
      <c r="A3781">
        <f>HYPERLINK("https://www.philgeps.gov.ph/GEPSNONPILOT/Tender/SplashBidNoticeAbstractUI.aspx?menuIndex=3&amp;refID=7040995&amp;Result=3","7040995")</f>
        <v>0</v>
      </c>
      <c r="B3781" t="s">
        <v>1327</v>
      </c>
      <c r="C3781" t="s">
        <v>6809</v>
      </c>
      <c r="E3781" t="s">
        <v>6809</v>
      </c>
      <c r="F3781" t="s">
        <v>31574</v>
      </c>
      <c r="G3781" t="s">
        <v>31581</v>
      </c>
      <c r="H3781" t="s">
        <v>31590</v>
      </c>
      <c r="I3781" t="s">
        <v>7185</v>
      </c>
      <c r="J3781" t="s">
        <v>34287</v>
      </c>
      <c r="K3781" t="s">
        <v>41193</v>
      </c>
      <c r="M3781" t="s">
        <v>42897</v>
      </c>
      <c r="N3781" t="s">
        <v>45095</v>
      </c>
      <c r="O3781" t="s">
        <v>45096</v>
      </c>
      <c r="P3781">
        <v>0</v>
      </c>
      <c r="Q3781">
        <v>0</v>
      </c>
      <c r="R3781" t="s">
        <v>45101</v>
      </c>
      <c r="S3781" t="s">
        <v>45231</v>
      </c>
      <c r="T3781" t="s">
        <v>47154</v>
      </c>
      <c r="U3781" t="s">
        <v>50691</v>
      </c>
      <c r="W3781" t="s">
        <v>42897</v>
      </c>
      <c r="X3781" t="s">
        <v>45102</v>
      </c>
    </row>
    <row r="3782" spans="1:24">
      <c r="A3782">
        <f>HYPERLINK("https://www.philgeps.gov.ph/GEPSNONPILOT/Tender/SplashBidNoticeAbstractUI.aspx?menuIndex=3&amp;refID=7041009&amp;Result=3","7041009")</f>
        <v>0</v>
      </c>
      <c r="B3782" t="s">
        <v>67</v>
      </c>
      <c r="C3782" t="s">
        <v>6810</v>
      </c>
      <c r="D3782" t="s">
        <v>18027</v>
      </c>
      <c r="E3782" t="s">
        <v>21516</v>
      </c>
      <c r="F3782" t="s">
        <v>31574</v>
      </c>
      <c r="G3782" t="s">
        <v>31582</v>
      </c>
      <c r="H3782" t="s">
        <v>31591</v>
      </c>
      <c r="I3782" t="s">
        <v>8822</v>
      </c>
      <c r="J3782" t="s">
        <v>34288</v>
      </c>
      <c r="K3782" t="s">
        <v>41192</v>
      </c>
      <c r="M3782" t="s">
        <v>42902</v>
      </c>
      <c r="N3782" t="s">
        <v>45095</v>
      </c>
      <c r="O3782" t="s">
        <v>45096</v>
      </c>
      <c r="P3782">
        <v>0</v>
      </c>
      <c r="Q3782">
        <v>0</v>
      </c>
      <c r="R3782" t="s">
        <v>45101</v>
      </c>
      <c r="S3782" t="s">
        <v>45231</v>
      </c>
      <c r="T3782" t="s">
        <v>46945</v>
      </c>
      <c r="U3782" t="s">
        <v>50692</v>
      </c>
      <c r="W3782" t="s">
        <v>42902</v>
      </c>
      <c r="X3782" t="s">
        <v>45102</v>
      </c>
    </row>
    <row r="3783" spans="1:24">
      <c r="A3783">
        <f>HYPERLINK("https://www.philgeps.gov.ph/GEPSNONPILOT/Tender/SplashBidNoticeAbstractUI.aspx?menuIndex=3&amp;refID=7041021&amp;Result=3","7041021")</f>
        <v>0</v>
      </c>
      <c r="B3783" t="s">
        <v>1337</v>
      </c>
      <c r="C3783" t="s">
        <v>6811</v>
      </c>
      <c r="D3783" t="s">
        <v>18066</v>
      </c>
      <c r="E3783" t="s">
        <v>21517</v>
      </c>
      <c r="F3783" t="s">
        <v>31574</v>
      </c>
      <c r="G3783" t="s">
        <v>31583</v>
      </c>
      <c r="H3783" t="s">
        <v>31590</v>
      </c>
      <c r="I3783" t="s">
        <v>4046</v>
      </c>
      <c r="J3783" t="s">
        <v>34289</v>
      </c>
      <c r="K3783" t="s">
        <v>41193</v>
      </c>
      <c r="M3783" t="s">
        <v>42909</v>
      </c>
      <c r="N3783" t="s">
        <v>45095</v>
      </c>
      <c r="O3783" t="s">
        <v>45096</v>
      </c>
      <c r="P3783">
        <v>0</v>
      </c>
      <c r="Q3783">
        <v>0</v>
      </c>
      <c r="R3783" t="s">
        <v>45101</v>
      </c>
      <c r="S3783" t="s">
        <v>45231</v>
      </c>
      <c r="T3783" t="s">
        <v>46963</v>
      </c>
      <c r="U3783" t="s">
        <v>50693</v>
      </c>
      <c r="W3783" t="s">
        <v>42909</v>
      </c>
      <c r="X3783" t="s">
        <v>45102</v>
      </c>
    </row>
    <row r="3784" spans="1:24">
      <c r="A3784">
        <f>HYPERLINK("https://www.philgeps.gov.ph/GEPSNONPILOT/Tender/SplashBidNoticeAbstractUI.aspx?menuIndex=3&amp;refID=7041022&amp;Result=3","7041022")</f>
        <v>0</v>
      </c>
      <c r="B3784" t="s">
        <v>1338</v>
      </c>
      <c r="C3784" t="s">
        <v>6812</v>
      </c>
      <c r="D3784" t="s">
        <v>18043</v>
      </c>
      <c r="E3784" t="s">
        <v>21518</v>
      </c>
      <c r="F3784" t="s">
        <v>31574</v>
      </c>
      <c r="G3784" t="s">
        <v>31584</v>
      </c>
      <c r="H3784" t="s">
        <v>31590</v>
      </c>
      <c r="I3784" t="s">
        <v>3487</v>
      </c>
      <c r="J3784" t="s">
        <v>34290</v>
      </c>
      <c r="K3784" t="s">
        <v>41186</v>
      </c>
      <c r="M3784" t="s">
        <v>42910</v>
      </c>
      <c r="N3784" t="s">
        <v>45095</v>
      </c>
      <c r="O3784" t="s">
        <v>45096</v>
      </c>
      <c r="P3784">
        <v>0</v>
      </c>
      <c r="Q3784">
        <v>6</v>
      </c>
      <c r="R3784" t="s">
        <v>45101</v>
      </c>
      <c r="S3784" t="s">
        <v>45231</v>
      </c>
      <c r="T3784" t="s">
        <v>46969</v>
      </c>
      <c r="U3784" t="s">
        <v>50694</v>
      </c>
      <c r="V3784" t="s">
        <v>60224</v>
      </c>
      <c r="W3784" t="s">
        <v>42910</v>
      </c>
      <c r="X3784" t="s">
        <v>45102</v>
      </c>
    </row>
    <row r="3785" spans="1:24">
      <c r="A3785">
        <f>HYPERLINK("https://www.philgeps.gov.ph/GEPSNONPILOT/Tender/SplashBidNoticeAbstractUI.aspx?menuIndex=3&amp;refID=7041005&amp;Result=3","7041005")</f>
        <v>0</v>
      </c>
      <c r="B3785" t="s">
        <v>67</v>
      </c>
      <c r="C3785" t="s">
        <v>6813</v>
      </c>
      <c r="D3785" t="s">
        <v>18027</v>
      </c>
      <c r="E3785" t="s">
        <v>21519</v>
      </c>
      <c r="F3785" t="s">
        <v>31574</v>
      </c>
      <c r="G3785" t="s">
        <v>31582</v>
      </c>
      <c r="H3785" t="s">
        <v>31591</v>
      </c>
      <c r="I3785" t="s">
        <v>8822</v>
      </c>
      <c r="J3785" t="s">
        <v>34291</v>
      </c>
      <c r="K3785" t="s">
        <v>41186</v>
      </c>
      <c r="M3785" t="s">
        <v>42902</v>
      </c>
      <c r="N3785" t="s">
        <v>45095</v>
      </c>
      <c r="O3785" t="s">
        <v>45096</v>
      </c>
      <c r="P3785">
        <v>0</v>
      </c>
      <c r="Q3785">
        <v>0</v>
      </c>
      <c r="R3785" t="s">
        <v>45101</v>
      </c>
      <c r="S3785" t="s">
        <v>45231</v>
      </c>
      <c r="T3785" t="s">
        <v>46945</v>
      </c>
      <c r="U3785" t="s">
        <v>50695</v>
      </c>
      <c r="W3785" t="s">
        <v>42902</v>
      </c>
      <c r="X3785" t="s">
        <v>45102</v>
      </c>
    </row>
    <row r="3786" spans="1:24">
      <c r="A3786">
        <f>HYPERLINK("https://www.philgeps.gov.ph/GEPSNONPILOT/Tender/SplashBidNoticeAbstractUI.aspx?menuIndex=3&amp;refID=7041016&amp;Result=3","7041016")</f>
        <v>0</v>
      </c>
      <c r="B3786" t="s">
        <v>1336</v>
      </c>
      <c r="C3786" t="s">
        <v>6814</v>
      </c>
      <c r="D3786" t="s">
        <v>18053</v>
      </c>
      <c r="E3786" t="s">
        <v>21520</v>
      </c>
      <c r="F3786" t="s">
        <v>31574</v>
      </c>
      <c r="G3786" t="s">
        <v>31582</v>
      </c>
      <c r="H3786" t="s">
        <v>31591</v>
      </c>
      <c r="I3786" t="s">
        <v>8822</v>
      </c>
      <c r="J3786" t="s">
        <v>34292</v>
      </c>
      <c r="K3786" t="s">
        <v>41184</v>
      </c>
      <c r="M3786" t="s">
        <v>42908</v>
      </c>
      <c r="N3786" t="s">
        <v>45095</v>
      </c>
      <c r="O3786" t="s">
        <v>45096</v>
      </c>
      <c r="P3786">
        <v>0</v>
      </c>
      <c r="Q3786">
        <v>0</v>
      </c>
      <c r="R3786" t="s">
        <v>45101</v>
      </c>
      <c r="S3786" t="s">
        <v>45231</v>
      </c>
      <c r="T3786" t="s">
        <v>46911</v>
      </c>
      <c r="U3786" t="s">
        <v>50696</v>
      </c>
      <c r="W3786" t="s">
        <v>42908</v>
      </c>
      <c r="X3786" t="s">
        <v>45102</v>
      </c>
    </row>
    <row r="3787" spans="1:24">
      <c r="A3787">
        <f>HYPERLINK("https://www.philgeps.gov.ph/GEPSNONPILOT/Tender/SplashBidNoticeAbstractUI.aspx?menuIndex=3&amp;refID=7041015&amp;Result=3","7041015")</f>
        <v>0</v>
      </c>
      <c r="B3787" t="s">
        <v>1333</v>
      </c>
      <c r="C3787" t="s">
        <v>6805</v>
      </c>
      <c r="D3787" t="s">
        <v>18049</v>
      </c>
      <c r="E3787" t="s">
        <v>6805</v>
      </c>
      <c r="F3787" t="s">
        <v>31574</v>
      </c>
      <c r="G3787" t="s">
        <v>31582</v>
      </c>
      <c r="H3787" t="s">
        <v>31590</v>
      </c>
      <c r="I3787" t="s">
        <v>31615</v>
      </c>
      <c r="J3787" t="s">
        <v>34293</v>
      </c>
      <c r="K3787" t="s">
        <v>41196</v>
      </c>
      <c r="M3787" t="s">
        <v>42905</v>
      </c>
      <c r="N3787" t="s">
        <v>45095</v>
      </c>
      <c r="O3787" t="s">
        <v>45096</v>
      </c>
      <c r="P3787">
        <v>0</v>
      </c>
      <c r="Q3787">
        <v>0</v>
      </c>
      <c r="R3787" t="s">
        <v>45101</v>
      </c>
      <c r="S3787" t="s">
        <v>45231</v>
      </c>
      <c r="T3787" t="s">
        <v>46988</v>
      </c>
      <c r="U3787" t="s">
        <v>50686</v>
      </c>
      <c r="W3787" t="s">
        <v>42905</v>
      </c>
      <c r="X3787" t="s">
        <v>45102</v>
      </c>
    </row>
    <row r="3788" spans="1:24">
      <c r="A3788">
        <f>HYPERLINK("https://www.philgeps.gov.ph/GEPSNONPILOT/Tender/SplashBidNoticeAbstractUI.aspx?menuIndex=3&amp;refID=7041044&amp;Result=3","7041044")</f>
        <v>0</v>
      </c>
      <c r="B3788" t="s">
        <v>111</v>
      </c>
      <c r="C3788" t="s">
        <v>6815</v>
      </c>
      <c r="D3788" t="s">
        <v>18041</v>
      </c>
      <c r="E3788" t="s">
        <v>21521</v>
      </c>
      <c r="F3788" t="s">
        <v>31574</v>
      </c>
      <c r="G3788" t="s">
        <v>31581</v>
      </c>
      <c r="H3788" t="s">
        <v>31590</v>
      </c>
      <c r="I3788" t="s">
        <v>31655</v>
      </c>
      <c r="J3788" t="s">
        <v>32017</v>
      </c>
      <c r="K3788" t="s">
        <v>41186</v>
      </c>
      <c r="M3788" t="s">
        <v>41595</v>
      </c>
      <c r="N3788" t="s">
        <v>45095</v>
      </c>
      <c r="O3788" t="s">
        <v>45096</v>
      </c>
      <c r="P3788">
        <v>0</v>
      </c>
      <c r="Q3788">
        <v>0</v>
      </c>
      <c r="R3788" t="s">
        <v>45101</v>
      </c>
      <c r="S3788" t="s">
        <v>45231</v>
      </c>
      <c r="T3788" t="s">
        <v>47050</v>
      </c>
      <c r="U3788" t="s">
        <v>50697</v>
      </c>
      <c r="W3788" t="s">
        <v>41595</v>
      </c>
      <c r="X3788" t="s">
        <v>45102</v>
      </c>
    </row>
    <row r="3789" spans="1:24">
      <c r="A3789">
        <f>HYPERLINK("https://www.philgeps.gov.ph/GEPSNONPILOT/Tender/SplashBidNoticeAbstractUI.aspx?menuIndex=3&amp;refID=7041047&amp;Result=3","7041047")</f>
        <v>0</v>
      </c>
      <c r="B3789" t="s">
        <v>115</v>
      </c>
      <c r="C3789" t="s">
        <v>6816</v>
      </c>
      <c r="D3789" t="s">
        <v>18040</v>
      </c>
      <c r="E3789" t="s">
        <v>21522</v>
      </c>
      <c r="F3789" t="s">
        <v>31574</v>
      </c>
      <c r="G3789" t="s">
        <v>31581</v>
      </c>
      <c r="H3789" t="s">
        <v>31590</v>
      </c>
      <c r="I3789" t="s">
        <v>3487</v>
      </c>
      <c r="J3789" t="s">
        <v>31727</v>
      </c>
      <c r="K3789" t="s">
        <v>41193</v>
      </c>
      <c r="M3789" t="s">
        <v>41599</v>
      </c>
      <c r="N3789" t="s">
        <v>45095</v>
      </c>
      <c r="O3789" t="s">
        <v>45096</v>
      </c>
      <c r="P3789">
        <v>0</v>
      </c>
      <c r="Q3789">
        <v>0</v>
      </c>
      <c r="R3789" t="s">
        <v>45101</v>
      </c>
      <c r="S3789" t="s">
        <v>45231</v>
      </c>
      <c r="T3789" t="s">
        <v>47158</v>
      </c>
      <c r="U3789" t="s">
        <v>50698</v>
      </c>
      <c r="W3789" t="s">
        <v>41599</v>
      </c>
      <c r="X3789" t="s">
        <v>45102</v>
      </c>
    </row>
    <row r="3790" spans="1:24">
      <c r="A3790">
        <f>HYPERLINK("https://www.philgeps.gov.ph/GEPSNONPILOT/Tender/SplashBidNoticeAbstractUI.aspx?menuIndex=3&amp;refID=7041017&amp;Result=3","7041017")</f>
        <v>0</v>
      </c>
      <c r="B3790" t="s">
        <v>275</v>
      </c>
      <c r="C3790" t="s">
        <v>6817</v>
      </c>
      <c r="D3790" t="s">
        <v>18037</v>
      </c>
      <c r="E3790" t="s">
        <v>21523</v>
      </c>
      <c r="F3790" t="s">
        <v>31574</v>
      </c>
      <c r="G3790" t="s">
        <v>31582</v>
      </c>
      <c r="H3790" t="s">
        <v>31590</v>
      </c>
      <c r="I3790" t="s">
        <v>5222</v>
      </c>
      <c r="J3790" t="s">
        <v>31949</v>
      </c>
      <c r="K3790" t="s">
        <v>41186</v>
      </c>
      <c r="M3790" t="s">
        <v>41761</v>
      </c>
      <c r="N3790" t="s">
        <v>45095</v>
      </c>
      <c r="O3790" t="s">
        <v>45096</v>
      </c>
      <c r="P3790">
        <v>0</v>
      </c>
      <c r="Q3790">
        <v>1</v>
      </c>
      <c r="R3790" t="s">
        <v>45101</v>
      </c>
      <c r="S3790" t="s">
        <v>45231</v>
      </c>
      <c r="T3790" t="s">
        <v>46913</v>
      </c>
      <c r="U3790" t="s">
        <v>50699</v>
      </c>
      <c r="V3790" t="s">
        <v>59911</v>
      </c>
      <c r="W3790" t="s">
        <v>41761</v>
      </c>
      <c r="X3790" t="s">
        <v>45102</v>
      </c>
    </row>
    <row r="3791" spans="1:24">
      <c r="A3791">
        <f>HYPERLINK("https://www.philgeps.gov.ph/GEPSNONPILOT/Tender/SplashBidNoticeAbstractUI.aspx?menuIndex=3&amp;refID=7041042&amp;Result=3","7041042")</f>
        <v>0</v>
      </c>
      <c r="B3791" t="s">
        <v>598</v>
      </c>
      <c r="C3791" t="s">
        <v>6818</v>
      </c>
      <c r="D3791" t="s">
        <v>18022</v>
      </c>
      <c r="E3791" t="s">
        <v>21524</v>
      </c>
      <c r="F3791" t="s">
        <v>31574</v>
      </c>
      <c r="G3791" t="s">
        <v>31581</v>
      </c>
      <c r="H3791" t="s">
        <v>31590</v>
      </c>
      <c r="I3791" t="s">
        <v>31641</v>
      </c>
      <c r="J3791" t="s">
        <v>31845</v>
      </c>
      <c r="K3791" t="s">
        <v>41213</v>
      </c>
      <c r="M3791" t="s">
        <v>42101</v>
      </c>
      <c r="N3791" t="s">
        <v>45095</v>
      </c>
      <c r="O3791" t="s">
        <v>45096</v>
      </c>
      <c r="P3791">
        <v>0</v>
      </c>
      <c r="Q3791">
        <v>4</v>
      </c>
      <c r="R3791" t="s">
        <v>45101</v>
      </c>
      <c r="S3791" t="s">
        <v>45231</v>
      </c>
      <c r="T3791" t="s">
        <v>46911</v>
      </c>
      <c r="U3791" t="s">
        <v>50700</v>
      </c>
      <c r="V3791" t="s">
        <v>59987</v>
      </c>
      <c r="W3791" t="s">
        <v>42101</v>
      </c>
      <c r="X3791" t="s">
        <v>45102</v>
      </c>
    </row>
    <row r="3792" spans="1:24">
      <c r="A3792">
        <f>HYPERLINK("https://www.philgeps.gov.ph/GEPSNONPILOT/Tender/SplashBidNoticeAbstractUI.aspx?menuIndex=3&amp;refID=7041040&amp;Result=3","7041040")</f>
        <v>0</v>
      </c>
      <c r="B3792" t="s">
        <v>1327</v>
      </c>
      <c r="C3792" t="s">
        <v>6819</v>
      </c>
      <c r="E3792" t="s">
        <v>6819</v>
      </c>
      <c r="F3792" t="s">
        <v>31574</v>
      </c>
      <c r="G3792" t="s">
        <v>31581</v>
      </c>
      <c r="H3792" t="s">
        <v>31590</v>
      </c>
      <c r="I3792" t="s">
        <v>7185</v>
      </c>
      <c r="J3792" t="s">
        <v>33864</v>
      </c>
      <c r="K3792" t="s">
        <v>41193</v>
      </c>
      <c r="M3792" t="s">
        <v>42897</v>
      </c>
      <c r="N3792" t="s">
        <v>45095</v>
      </c>
      <c r="O3792" t="s">
        <v>45096</v>
      </c>
      <c r="P3792">
        <v>0</v>
      </c>
      <c r="Q3792">
        <v>1</v>
      </c>
      <c r="R3792" t="s">
        <v>45101</v>
      </c>
      <c r="S3792" t="s">
        <v>45231</v>
      </c>
      <c r="T3792" t="s">
        <v>47154</v>
      </c>
      <c r="U3792" t="s">
        <v>50701</v>
      </c>
      <c r="W3792" t="s">
        <v>42897</v>
      </c>
      <c r="X3792" t="s">
        <v>45102</v>
      </c>
    </row>
    <row r="3793" spans="1:24">
      <c r="A3793">
        <f>HYPERLINK("https://www.philgeps.gov.ph/GEPSNONPILOT/Tender/SplashBidNoticeAbstractUI.aspx?menuIndex=3&amp;refID=7041018&amp;Result=3","7041018")</f>
        <v>0</v>
      </c>
      <c r="B3793" t="s">
        <v>1339</v>
      </c>
      <c r="C3793" t="s">
        <v>6820</v>
      </c>
      <c r="D3793" t="s">
        <v>18044</v>
      </c>
      <c r="E3793" t="s">
        <v>21525</v>
      </c>
      <c r="F3793" t="s">
        <v>31574</v>
      </c>
      <c r="G3793" t="s">
        <v>31582</v>
      </c>
      <c r="H3793" t="s">
        <v>31590</v>
      </c>
      <c r="I3793" t="s">
        <v>31696</v>
      </c>
      <c r="J3793" t="s">
        <v>33514</v>
      </c>
      <c r="K3793" t="s">
        <v>41186</v>
      </c>
      <c r="M3793" t="s">
        <v>42911</v>
      </c>
      <c r="N3793" t="s">
        <v>45095</v>
      </c>
      <c r="O3793" t="s">
        <v>45096</v>
      </c>
      <c r="P3793">
        <v>0</v>
      </c>
      <c r="Q3793">
        <v>2</v>
      </c>
      <c r="R3793" t="s">
        <v>45101</v>
      </c>
      <c r="S3793" t="s">
        <v>45231</v>
      </c>
      <c r="T3793" t="s">
        <v>46904</v>
      </c>
      <c r="U3793" t="s">
        <v>50702</v>
      </c>
      <c r="W3793" t="s">
        <v>42911</v>
      </c>
      <c r="X3793" t="s">
        <v>45102</v>
      </c>
    </row>
    <row r="3794" spans="1:24">
      <c r="A3794">
        <f>HYPERLINK("https://www.philgeps.gov.ph/GEPSNONPILOT/Tender/SplashBidNoticeAbstractUI.aspx?menuIndex=3&amp;refID=7041043&amp;Result=3","7041043")</f>
        <v>0</v>
      </c>
      <c r="B3794" t="s">
        <v>288</v>
      </c>
      <c r="C3794" t="s">
        <v>6821</v>
      </c>
      <c r="D3794" t="s">
        <v>18075</v>
      </c>
      <c r="E3794" t="s">
        <v>21526</v>
      </c>
      <c r="F3794" t="s">
        <v>31574</v>
      </c>
      <c r="G3794" t="s">
        <v>31581</v>
      </c>
      <c r="H3794" t="s">
        <v>31590</v>
      </c>
      <c r="I3794" t="s">
        <v>4327</v>
      </c>
      <c r="J3794" t="s">
        <v>34294</v>
      </c>
      <c r="K3794" t="s">
        <v>41190</v>
      </c>
      <c r="M3794" t="s">
        <v>41774</v>
      </c>
      <c r="N3794" t="s">
        <v>45095</v>
      </c>
      <c r="O3794" t="s">
        <v>45096</v>
      </c>
      <c r="P3794">
        <v>0</v>
      </c>
      <c r="Q3794">
        <v>5</v>
      </c>
      <c r="R3794" t="s">
        <v>45101</v>
      </c>
      <c r="S3794" t="s">
        <v>45231</v>
      </c>
      <c r="T3794" t="s">
        <v>47187</v>
      </c>
      <c r="U3794" t="s">
        <v>50703</v>
      </c>
      <c r="W3794" t="s">
        <v>41774</v>
      </c>
      <c r="X3794" t="s">
        <v>45102</v>
      </c>
    </row>
    <row r="3795" spans="1:24">
      <c r="A3795">
        <f>HYPERLINK("https://www.philgeps.gov.ph/GEPSNONPILOT/Tender/SplashBidNoticeAbstractUI.aspx?menuIndex=3&amp;refID=7041033&amp;Result=3","7041033")</f>
        <v>0</v>
      </c>
      <c r="B3795" t="s">
        <v>370</v>
      </c>
      <c r="C3795" t="s">
        <v>6822</v>
      </c>
      <c r="D3795" t="s">
        <v>18022</v>
      </c>
      <c r="E3795" t="s">
        <v>21527</v>
      </c>
      <c r="F3795" t="s">
        <v>31574</v>
      </c>
      <c r="G3795" t="s">
        <v>31581</v>
      </c>
      <c r="H3795" t="s">
        <v>31590</v>
      </c>
      <c r="I3795" t="s">
        <v>5717</v>
      </c>
      <c r="J3795" t="s">
        <v>34295</v>
      </c>
      <c r="K3795" t="s">
        <v>41193</v>
      </c>
      <c r="M3795" t="s">
        <v>41860</v>
      </c>
      <c r="N3795" t="s">
        <v>45095</v>
      </c>
      <c r="O3795" t="s">
        <v>45096</v>
      </c>
      <c r="P3795">
        <v>0</v>
      </c>
      <c r="Q3795">
        <v>1</v>
      </c>
      <c r="R3795" t="s">
        <v>45101</v>
      </c>
      <c r="S3795" t="s">
        <v>45231</v>
      </c>
      <c r="T3795" t="s">
        <v>46957</v>
      </c>
      <c r="U3795" t="s">
        <v>50704</v>
      </c>
      <c r="V3795" t="s">
        <v>59929</v>
      </c>
      <c r="W3795" t="s">
        <v>41860</v>
      </c>
      <c r="X3795" t="s">
        <v>45102</v>
      </c>
    </row>
    <row r="3796" spans="1:24">
      <c r="A3796">
        <f>HYPERLINK("https://www.philgeps.gov.ph/GEPSNONPILOT/Tender/SplashBidNoticeAbstractUI.aspx?menuIndex=3&amp;refID=7041041&amp;Result=3","7041041")</f>
        <v>0</v>
      </c>
      <c r="B3796" t="s">
        <v>142</v>
      </c>
      <c r="C3796" t="s">
        <v>6823</v>
      </c>
      <c r="D3796" t="s">
        <v>18052</v>
      </c>
      <c r="E3796" t="s">
        <v>21528</v>
      </c>
      <c r="F3796" t="s">
        <v>31574</v>
      </c>
      <c r="G3796" t="s">
        <v>31582</v>
      </c>
      <c r="H3796" t="s">
        <v>31590</v>
      </c>
      <c r="I3796" t="s">
        <v>3651</v>
      </c>
      <c r="J3796" t="s">
        <v>34296</v>
      </c>
      <c r="K3796" t="s">
        <v>41185</v>
      </c>
      <c r="M3796" t="s">
        <v>41626</v>
      </c>
      <c r="N3796" t="s">
        <v>45095</v>
      </c>
      <c r="O3796" t="s">
        <v>45096</v>
      </c>
      <c r="P3796">
        <v>0</v>
      </c>
      <c r="Q3796">
        <v>0</v>
      </c>
      <c r="R3796" t="s">
        <v>45101</v>
      </c>
      <c r="S3796" t="s">
        <v>45231</v>
      </c>
      <c r="T3796" t="s">
        <v>47194</v>
      </c>
      <c r="U3796" t="s">
        <v>50705</v>
      </c>
      <c r="W3796" t="s">
        <v>41626</v>
      </c>
      <c r="X3796" t="s">
        <v>45102</v>
      </c>
    </row>
    <row r="3797" spans="1:24">
      <c r="A3797">
        <f>HYPERLINK("https://www.philgeps.gov.ph/GEPSNONPILOT/Tender/SplashBidNoticeAbstractUI.aspx?menuIndex=3&amp;refID=7041027&amp;Result=3","7041027")</f>
        <v>0</v>
      </c>
      <c r="B3797" t="s">
        <v>115</v>
      </c>
      <c r="C3797" t="s">
        <v>6824</v>
      </c>
      <c r="D3797" t="s">
        <v>18040</v>
      </c>
      <c r="E3797" t="s">
        <v>21529</v>
      </c>
      <c r="F3797" t="s">
        <v>31574</v>
      </c>
      <c r="G3797" t="s">
        <v>31581</v>
      </c>
      <c r="H3797" t="s">
        <v>31590</v>
      </c>
      <c r="I3797" t="s">
        <v>3487</v>
      </c>
      <c r="J3797" t="s">
        <v>31727</v>
      </c>
      <c r="K3797" t="s">
        <v>41193</v>
      </c>
      <c r="M3797" t="s">
        <v>41599</v>
      </c>
      <c r="N3797" t="s">
        <v>45095</v>
      </c>
      <c r="O3797" t="s">
        <v>45096</v>
      </c>
      <c r="P3797">
        <v>0</v>
      </c>
      <c r="Q3797">
        <v>0</v>
      </c>
      <c r="R3797" t="s">
        <v>45101</v>
      </c>
      <c r="S3797" t="s">
        <v>45231</v>
      </c>
      <c r="T3797" t="s">
        <v>47158</v>
      </c>
      <c r="U3797" t="s">
        <v>50706</v>
      </c>
      <c r="W3797" t="s">
        <v>41599</v>
      </c>
      <c r="X3797" t="s">
        <v>45102</v>
      </c>
    </row>
    <row r="3798" spans="1:24">
      <c r="A3798">
        <f>HYPERLINK("https://www.philgeps.gov.ph/GEPSNONPILOT/Tender/SplashBidNoticeAbstractUI.aspx?menuIndex=3&amp;refID=7041038&amp;Result=3","7041038")</f>
        <v>0</v>
      </c>
      <c r="B3798" t="s">
        <v>1340</v>
      </c>
      <c r="C3798" t="s">
        <v>6825</v>
      </c>
      <c r="D3798" t="s">
        <v>18056</v>
      </c>
      <c r="E3798" t="s">
        <v>21530</v>
      </c>
      <c r="F3798" t="s">
        <v>31574</v>
      </c>
      <c r="G3798" t="s">
        <v>31581</v>
      </c>
      <c r="H3798" t="s">
        <v>31590</v>
      </c>
      <c r="I3798" t="s">
        <v>3651</v>
      </c>
      <c r="J3798" t="s">
        <v>34297</v>
      </c>
      <c r="K3798" t="s">
        <v>41193</v>
      </c>
      <c r="L3798" t="s">
        <v>1340</v>
      </c>
      <c r="M3798" t="s">
        <v>42912</v>
      </c>
      <c r="N3798" t="s">
        <v>45095</v>
      </c>
      <c r="O3798" t="s">
        <v>45096</v>
      </c>
      <c r="P3798">
        <v>0</v>
      </c>
      <c r="Q3798">
        <v>0</v>
      </c>
      <c r="R3798" t="s">
        <v>45101</v>
      </c>
      <c r="S3798" t="s">
        <v>45231</v>
      </c>
      <c r="T3798" t="s">
        <v>46969</v>
      </c>
      <c r="U3798" t="s">
        <v>50707</v>
      </c>
      <c r="W3798" t="s">
        <v>42912</v>
      </c>
      <c r="X3798" t="s">
        <v>45102</v>
      </c>
    </row>
    <row r="3799" spans="1:24">
      <c r="A3799">
        <f>HYPERLINK("https://www.philgeps.gov.ph/GEPSNONPILOT/Tender/SplashBidNoticeAbstractUI.aspx?menuIndex=3&amp;refID=7041030&amp;Result=3","7041030")</f>
        <v>0</v>
      </c>
      <c r="B3799" t="s">
        <v>397</v>
      </c>
      <c r="C3799" t="s">
        <v>6826</v>
      </c>
      <c r="D3799" t="s">
        <v>18040</v>
      </c>
      <c r="E3799" t="s">
        <v>21531</v>
      </c>
      <c r="F3799" t="s">
        <v>31574</v>
      </c>
      <c r="G3799" t="s">
        <v>31581</v>
      </c>
      <c r="H3799" t="s">
        <v>31590</v>
      </c>
      <c r="I3799" t="s">
        <v>14544</v>
      </c>
      <c r="J3799" t="s">
        <v>34298</v>
      </c>
      <c r="K3799" t="s">
        <v>41184</v>
      </c>
      <c r="M3799" t="s">
        <v>41888</v>
      </c>
      <c r="N3799" t="s">
        <v>45095</v>
      </c>
      <c r="O3799" t="s">
        <v>45096</v>
      </c>
      <c r="P3799">
        <v>0</v>
      </c>
      <c r="Q3799">
        <v>1</v>
      </c>
      <c r="R3799" t="s">
        <v>45101</v>
      </c>
      <c r="S3799" t="s">
        <v>45231</v>
      </c>
      <c r="T3799" t="s">
        <v>47067</v>
      </c>
      <c r="U3799" t="s">
        <v>50708</v>
      </c>
      <c r="W3799" t="s">
        <v>41888</v>
      </c>
      <c r="X3799" t="s">
        <v>45102</v>
      </c>
    </row>
    <row r="3800" spans="1:24">
      <c r="A3800">
        <f>HYPERLINK("https://www.philgeps.gov.ph/GEPSNONPILOT/Tender/SplashBidNoticeAbstractUI.aspx?menuIndex=3&amp;refID=7041048&amp;Result=3","7041048")</f>
        <v>0</v>
      </c>
      <c r="B3800" t="s">
        <v>1341</v>
      </c>
      <c r="C3800" t="s">
        <v>6827</v>
      </c>
      <c r="D3800" t="s">
        <v>18025</v>
      </c>
      <c r="E3800" t="s">
        <v>19234</v>
      </c>
      <c r="F3800" t="s">
        <v>31574</v>
      </c>
      <c r="G3800" t="s">
        <v>31582</v>
      </c>
      <c r="H3800" t="s">
        <v>31590</v>
      </c>
      <c r="I3800" t="s">
        <v>3487</v>
      </c>
      <c r="J3800" t="s">
        <v>32344</v>
      </c>
      <c r="K3800" t="s">
        <v>41196</v>
      </c>
      <c r="M3800" t="s">
        <v>42913</v>
      </c>
      <c r="N3800" t="s">
        <v>45095</v>
      </c>
      <c r="O3800" t="s">
        <v>45096</v>
      </c>
      <c r="P3800">
        <v>0</v>
      </c>
      <c r="Q3800">
        <v>1</v>
      </c>
      <c r="R3800" t="s">
        <v>45101</v>
      </c>
      <c r="S3800" t="s">
        <v>45231</v>
      </c>
      <c r="T3800" t="s">
        <v>46918</v>
      </c>
      <c r="U3800" t="s">
        <v>50709</v>
      </c>
      <c r="W3800" t="s">
        <v>42913</v>
      </c>
      <c r="X3800" t="s">
        <v>45102</v>
      </c>
    </row>
    <row r="3801" spans="1:24">
      <c r="A3801">
        <f>HYPERLINK("https://www.philgeps.gov.ph/GEPSNONPILOT/Tender/SplashBidNoticeAbstractUI.aspx?menuIndex=3&amp;refID=7041029&amp;Result=3","7041029")</f>
        <v>0</v>
      </c>
      <c r="B3801" t="s">
        <v>1342</v>
      </c>
      <c r="C3801" t="s">
        <v>6828</v>
      </c>
      <c r="D3801" t="s">
        <v>18039</v>
      </c>
      <c r="E3801" t="s">
        <v>21532</v>
      </c>
      <c r="F3801" t="s">
        <v>31574</v>
      </c>
      <c r="G3801" t="s">
        <v>31582</v>
      </c>
      <c r="H3801" t="s">
        <v>31590</v>
      </c>
      <c r="I3801" t="s">
        <v>31648</v>
      </c>
      <c r="J3801" t="s">
        <v>31728</v>
      </c>
      <c r="K3801" t="s">
        <v>41193</v>
      </c>
      <c r="M3801" t="s">
        <v>42914</v>
      </c>
      <c r="N3801" t="s">
        <v>45095</v>
      </c>
      <c r="O3801" t="s">
        <v>45096</v>
      </c>
      <c r="P3801">
        <v>0</v>
      </c>
      <c r="Q3801">
        <v>0</v>
      </c>
      <c r="R3801" t="s">
        <v>45101</v>
      </c>
      <c r="S3801" t="s">
        <v>45231</v>
      </c>
      <c r="T3801" t="s">
        <v>46911</v>
      </c>
      <c r="U3801" t="s">
        <v>50710</v>
      </c>
      <c r="W3801" t="s">
        <v>42914</v>
      </c>
      <c r="X3801" t="s">
        <v>45102</v>
      </c>
    </row>
    <row r="3802" spans="1:24">
      <c r="A3802">
        <f>HYPERLINK("https://www.philgeps.gov.ph/GEPSNONPILOT/Tender/SplashBidNoticeAbstractUI.aspx?menuIndex=3&amp;refID=7041063&amp;Result=3","7041063")</f>
        <v>0</v>
      </c>
      <c r="B3802" t="s">
        <v>1343</v>
      </c>
      <c r="C3802" t="s">
        <v>6829</v>
      </c>
      <c r="D3802" t="s">
        <v>18033</v>
      </c>
      <c r="E3802" t="s">
        <v>19076</v>
      </c>
      <c r="F3802" t="s">
        <v>31574</v>
      </c>
      <c r="G3802" t="s">
        <v>31581</v>
      </c>
      <c r="H3802" t="s">
        <v>31590</v>
      </c>
      <c r="I3802" t="s">
        <v>31697</v>
      </c>
      <c r="J3802" t="s">
        <v>34299</v>
      </c>
      <c r="K3802" t="s">
        <v>41196</v>
      </c>
      <c r="M3802" t="s">
        <v>42915</v>
      </c>
      <c r="N3802" t="s">
        <v>45095</v>
      </c>
      <c r="O3802" t="s">
        <v>45096</v>
      </c>
      <c r="P3802">
        <v>0</v>
      </c>
      <c r="Q3802">
        <v>2</v>
      </c>
      <c r="R3802" t="s">
        <v>45101</v>
      </c>
      <c r="S3802" t="s">
        <v>45231</v>
      </c>
      <c r="T3802" t="s">
        <v>47159</v>
      </c>
      <c r="U3802" t="s">
        <v>50711</v>
      </c>
      <c r="W3802" t="s">
        <v>42915</v>
      </c>
      <c r="X3802" t="s">
        <v>45102</v>
      </c>
    </row>
    <row r="3803" spans="1:24">
      <c r="A3803">
        <f>HYPERLINK("https://www.philgeps.gov.ph/GEPSNONPILOT/Tender/SplashBidNoticeAbstractUI.aspx?menuIndex=3&amp;refID=7041049&amp;Result=3","7041049")</f>
        <v>0</v>
      </c>
      <c r="B3803" t="s">
        <v>299</v>
      </c>
      <c r="C3803" t="s">
        <v>6830</v>
      </c>
      <c r="D3803" t="s">
        <v>18081</v>
      </c>
      <c r="E3803" t="s">
        <v>21533</v>
      </c>
      <c r="F3803" t="s">
        <v>31574</v>
      </c>
      <c r="G3803" t="s">
        <v>31581</v>
      </c>
      <c r="H3803" t="s">
        <v>31590</v>
      </c>
      <c r="I3803" t="s">
        <v>4327</v>
      </c>
      <c r="J3803" t="s">
        <v>31857</v>
      </c>
      <c r="K3803" t="s">
        <v>41196</v>
      </c>
      <c r="M3803" t="s">
        <v>41785</v>
      </c>
      <c r="N3803" t="s">
        <v>45095</v>
      </c>
      <c r="O3803" t="s">
        <v>45096</v>
      </c>
      <c r="P3803">
        <v>0</v>
      </c>
      <c r="Q3803">
        <v>0</v>
      </c>
      <c r="R3803" t="s">
        <v>45101</v>
      </c>
      <c r="S3803" t="s">
        <v>45231</v>
      </c>
      <c r="T3803" t="s">
        <v>47064</v>
      </c>
      <c r="U3803" t="s">
        <v>50712</v>
      </c>
      <c r="W3803" t="s">
        <v>41785</v>
      </c>
      <c r="X3803" t="s">
        <v>45102</v>
      </c>
    </row>
    <row r="3804" spans="1:24">
      <c r="A3804">
        <f>HYPERLINK("https://www.philgeps.gov.ph/GEPSNONPILOT/Tender/SplashBidNoticeAbstractUI.aspx?menuIndex=3&amp;refID=7041053&amp;Result=3","7041053")</f>
        <v>0</v>
      </c>
      <c r="B3804" t="s">
        <v>1344</v>
      </c>
      <c r="C3804" t="s">
        <v>6831</v>
      </c>
      <c r="D3804" t="s">
        <v>18075</v>
      </c>
      <c r="E3804" t="s">
        <v>21534</v>
      </c>
      <c r="F3804" t="s">
        <v>31574</v>
      </c>
      <c r="G3804" t="s">
        <v>31582</v>
      </c>
      <c r="H3804" t="s">
        <v>31590</v>
      </c>
      <c r="I3804" t="s">
        <v>14544</v>
      </c>
      <c r="J3804" t="s">
        <v>33537</v>
      </c>
      <c r="K3804" t="s">
        <v>41186</v>
      </c>
      <c r="M3804" t="s">
        <v>42916</v>
      </c>
      <c r="N3804" t="s">
        <v>45095</v>
      </c>
      <c r="O3804" t="s">
        <v>45096</v>
      </c>
      <c r="P3804">
        <v>0</v>
      </c>
      <c r="Q3804">
        <v>2</v>
      </c>
      <c r="R3804" t="s">
        <v>45101</v>
      </c>
      <c r="S3804" t="s">
        <v>45231</v>
      </c>
      <c r="T3804" t="s">
        <v>46926</v>
      </c>
      <c r="U3804" t="s">
        <v>50713</v>
      </c>
      <c r="V3804" t="s">
        <v>60225</v>
      </c>
      <c r="W3804" t="s">
        <v>42916</v>
      </c>
      <c r="X3804" t="s">
        <v>45102</v>
      </c>
    </row>
    <row r="3805" spans="1:24">
      <c r="A3805">
        <f>HYPERLINK("https://www.philgeps.gov.ph/GEPSNONPILOT/Tender/SplashBidNoticeAbstractUI.aspx?menuIndex=3&amp;refID=7041025&amp;Result=3","7041025")</f>
        <v>0</v>
      </c>
      <c r="B3805" t="s">
        <v>1335</v>
      </c>
      <c r="C3805" t="s">
        <v>6808</v>
      </c>
      <c r="D3805" t="s">
        <v>18079</v>
      </c>
      <c r="E3805" t="s">
        <v>21535</v>
      </c>
      <c r="F3805" t="s">
        <v>31574</v>
      </c>
      <c r="G3805" t="s">
        <v>31581</v>
      </c>
      <c r="H3805" t="s">
        <v>31590</v>
      </c>
      <c r="I3805" t="s">
        <v>31630</v>
      </c>
      <c r="J3805" t="s">
        <v>31789</v>
      </c>
      <c r="K3805" t="s">
        <v>41184</v>
      </c>
      <c r="M3805" t="s">
        <v>42907</v>
      </c>
      <c r="N3805" t="s">
        <v>45095</v>
      </c>
      <c r="O3805" t="s">
        <v>45096</v>
      </c>
      <c r="P3805">
        <v>0</v>
      </c>
      <c r="Q3805">
        <v>0</v>
      </c>
      <c r="R3805" t="s">
        <v>45101</v>
      </c>
      <c r="S3805" t="s">
        <v>45231</v>
      </c>
      <c r="T3805" t="s">
        <v>46936</v>
      </c>
      <c r="U3805" t="s">
        <v>50714</v>
      </c>
      <c r="W3805" t="s">
        <v>42907</v>
      </c>
      <c r="X3805" t="s">
        <v>45102</v>
      </c>
    </row>
    <row r="3806" spans="1:24">
      <c r="A3806">
        <f>HYPERLINK("https://www.philgeps.gov.ph/GEPSNONPILOT/Tender/SplashBidNoticeAbstractUI.aspx?menuIndex=3&amp;refID=7041060&amp;Result=3","7041060")</f>
        <v>0</v>
      </c>
      <c r="B3806" t="s">
        <v>1345</v>
      </c>
      <c r="C3806" t="s">
        <v>6832</v>
      </c>
      <c r="D3806" t="s">
        <v>18079</v>
      </c>
      <c r="E3806" t="s">
        <v>20168</v>
      </c>
      <c r="F3806" t="s">
        <v>31574</v>
      </c>
      <c r="G3806" t="s">
        <v>31581</v>
      </c>
      <c r="H3806" t="s">
        <v>31590</v>
      </c>
      <c r="I3806" t="s">
        <v>31689</v>
      </c>
      <c r="J3806" t="s">
        <v>34300</v>
      </c>
      <c r="K3806" t="s">
        <v>41196</v>
      </c>
      <c r="M3806" t="s">
        <v>42917</v>
      </c>
      <c r="N3806" t="s">
        <v>45095</v>
      </c>
      <c r="O3806" t="s">
        <v>45096</v>
      </c>
      <c r="P3806">
        <v>0</v>
      </c>
      <c r="Q3806">
        <v>0</v>
      </c>
      <c r="R3806" t="s">
        <v>45101</v>
      </c>
      <c r="S3806" t="s">
        <v>45231</v>
      </c>
      <c r="T3806" t="s">
        <v>47158</v>
      </c>
      <c r="U3806" t="s">
        <v>50715</v>
      </c>
      <c r="V3806" t="s">
        <v>60226</v>
      </c>
      <c r="W3806" t="s">
        <v>42917</v>
      </c>
      <c r="X3806" t="s">
        <v>45102</v>
      </c>
    </row>
    <row r="3807" spans="1:24">
      <c r="A3807">
        <f>HYPERLINK("https://www.philgeps.gov.ph/GEPSNONPILOT/Tender/SplashBidNoticeAbstractUI.aspx?menuIndex=3&amp;refID=7041069&amp;Result=3","7041069")</f>
        <v>0</v>
      </c>
      <c r="B3807" t="s">
        <v>1346</v>
      </c>
      <c r="C3807" t="s">
        <v>6827</v>
      </c>
      <c r="D3807" t="s">
        <v>18025</v>
      </c>
      <c r="E3807" t="s">
        <v>19234</v>
      </c>
      <c r="F3807" t="s">
        <v>31574</v>
      </c>
      <c r="G3807" t="s">
        <v>31582</v>
      </c>
      <c r="H3807" t="s">
        <v>31590</v>
      </c>
      <c r="I3807" t="s">
        <v>3487</v>
      </c>
      <c r="J3807" t="s">
        <v>31947</v>
      </c>
      <c r="K3807" t="s">
        <v>41196</v>
      </c>
      <c r="M3807" t="s">
        <v>42918</v>
      </c>
      <c r="N3807" t="s">
        <v>45095</v>
      </c>
      <c r="O3807" t="s">
        <v>45096</v>
      </c>
      <c r="P3807">
        <v>0</v>
      </c>
      <c r="Q3807">
        <v>1</v>
      </c>
      <c r="R3807" t="s">
        <v>45101</v>
      </c>
      <c r="S3807" t="s">
        <v>45231</v>
      </c>
      <c r="T3807" t="s">
        <v>46918</v>
      </c>
      <c r="U3807" t="s">
        <v>50716</v>
      </c>
      <c r="W3807" t="s">
        <v>42918</v>
      </c>
      <c r="X3807" t="s">
        <v>45102</v>
      </c>
    </row>
    <row r="3808" spans="1:24">
      <c r="A3808">
        <f>HYPERLINK("https://www.philgeps.gov.ph/GEPSNONPILOT/Tender/SplashBidNoticeAbstractUI.aspx?menuIndex=3&amp;refID=7041083&amp;Result=3","7041083")</f>
        <v>0</v>
      </c>
      <c r="B3808" t="s">
        <v>525</v>
      </c>
      <c r="C3808" t="s">
        <v>6833</v>
      </c>
      <c r="D3808" t="s">
        <v>18091</v>
      </c>
      <c r="E3808" t="s">
        <v>6833</v>
      </c>
      <c r="F3808" t="s">
        <v>31574</v>
      </c>
      <c r="G3808" t="s">
        <v>31583</v>
      </c>
      <c r="H3808" t="s">
        <v>31590</v>
      </c>
      <c r="I3808" t="s">
        <v>4327</v>
      </c>
      <c r="J3808" t="s">
        <v>34301</v>
      </c>
      <c r="K3808" t="s">
        <v>41196</v>
      </c>
      <c r="L3808" t="s">
        <v>525</v>
      </c>
      <c r="M3808" t="s">
        <v>42021</v>
      </c>
      <c r="N3808" t="s">
        <v>45095</v>
      </c>
      <c r="O3808" t="s">
        <v>45096</v>
      </c>
      <c r="P3808">
        <v>0</v>
      </c>
      <c r="Q3808">
        <v>0</v>
      </c>
      <c r="R3808" t="s">
        <v>45101</v>
      </c>
      <c r="S3808" t="s">
        <v>45231</v>
      </c>
      <c r="T3808" t="s">
        <v>47058</v>
      </c>
      <c r="U3808" t="s">
        <v>50717</v>
      </c>
      <c r="W3808" t="s">
        <v>42021</v>
      </c>
      <c r="X3808" t="s">
        <v>45102</v>
      </c>
    </row>
    <row r="3809" spans="1:24">
      <c r="A3809">
        <f>HYPERLINK("https://www.philgeps.gov.ph/GEPSNONPILOT/Tender/SplashBidNoticeAbstractUI.aspx?menuIndex=3&amp;refID=7041080&amp;Result=3","7041080")</f>
        <v>0</v>
      </c>
      <c r="B3809" t="s">
        <v>55</v>
      </c>
      <c r="C3809" t="s">
        <v>6834</v>
      </c>
      <c r="D3809" t="s">
        <v>18046</v>
      </c>
      <c r="E3809" t="s">
        <v>21536</v>
      </c>
      <c r="F3809" t="s">
        <v>31574</v>
      </c>
      <c r="G3809" t="s">
        <v>31584</v>
      </c>
      <c r="H3809" t="s">
        <v>31590</v>
      </c>
      <c r="I3809" t="s">
        <v>31607</v>
      </c>
      <c r="J3809" t="s">
        <v>34302</v>
      </c>
      <c r="K3809" t="s">
        <v>41186</v>
      </c>
      <c r="M3809" t="s">
        <v>41539</v>
      </c>
      <c r="N3809" t="s">
        <v>45095</v>
      </c>
      <c r="O3809" t="s">
        <v>45096</v>
      </c>
      <c r="P3809">
        <v>0</v>
      </c>
      <c r="Q3809">
        <v>8</v>
      </c>
      <c r="R3809" t="s">
        <v>45101</v>
      </c>
      <c r="S3809" t="s">
        <v>45231</v>
      </c>
      <c r="T3809" t="s">
        <v>46963</v>
      </c>
      <c r="U3809" t="s">
        <v>50718</v>
      </c>
      <c r="V3809" t="s">
        <v>59853</v>
      </c>
      <c r="W3809" t="s">
        <v>41539</v>
      </c>
      <c r="X3809" t="s">
        <v>45102</v>
      </c>
    </row>
    <row r="3810" spans="1:24">
      <c r="A3810">
        <f>HYPERLINK("https://www.philgeps.gov.ph/GEPSNONPILOT/Tender/SplashBidNoticeAbstractUI.aspx?menuIndex=3&amp;refID=7041077&amp;Result=3","7041077")</f>
        <v>0</v>
      </c>
      <c r="B3810" t="s">
        <v>1332</v>
      </c>
      <c r="C3810" t="s">
        <v>6835</v>
      </c>
      <c r="D3810" t="s">
        <v>18060</v>
      </c>
      <c r="E3810" t="s">
        <v>21537</v>
      </c>
      <c r="F3810" t="s">
        <v>31574</v>
      </c>
      <c r="G3810" t="s">
        <v>31581</v>
      </c>
      <c r="H3810" t="s">
        <v>31590</v>
      </c>
      <c r="I3810" t="s">
        <v>31599</v>
      </c>
      <c r="J3810" t="s">
        <v>34303</v>
      </c>
      <c r="K3810" t="s">
        <v>41186</v>
      </c>
      <c r="M3810" t="s">
        <v>42904</v>
      </c>
      <c r="N3810" t="s">
        <v>45095</v>
      </c>
      <c r="O3810" t="s">
        <v>45096</v>
      </c>
      <c r="P3810">
        <v>0</v>
      </c>
      <c r="Q3810">
        <v>3</v>
      </c>
      <c r="R3810" t="s">
        <v>45101</v>
      </c>
      <c r="S3810" t="s">
        <v>45231</v>
      </c>
      <c r="T3810" t="s">
        <v>46904</v>
      </c>
      <c r="U3810" t="s">
        <v>50719</v>
      </c>
      <c r="W3810" t="s">
        <v>42904</v>
      </c>
      <c r="X3810" t="s">
        <v>45102</v>
      </c>
    </row>
    <row r="3811" spans="1:24">
      <c r="A3811">
        <f>HYPERLINK("https://www.philgeps.gov.ph/GEPSNONPILOT/Tender/SplashBidNoticeAbstractUI.aspx?menuIndex=3&amp;refID=7041067&amp;Result=3","7041067")</f>
        <v>0</v>
      </c>
      <c r="B3811" t="s">
        <v>288</v>
      </c>
      <c r="C3811" t="s">
        <v>6836</v>
      </c>
      <c r="D3811" t="s">
        <v>18075</v>
      </c>
      <c r="E3811" t="s">
        <v>21538</v>
      </c>
      <c r="F3811" t="s">
        <v>31574</v>
      </c>
      <c r="G3811" t="s">
        <v>31581</v>
      </c>
      <c r="H3811" t="s">
        <v>31590</v>
      </c>
      <c r="I3811" t="s">
        <v>31619</v>
      </c>
      <c r="J3811" t="s">
        <v>34304</v>
      </c>
      <c r="K3811" t="s">
        <v>41190</v>
      </c>
      <c r="M3811" t="s">
        <v>41774</v>
      </c>
      <c r="N3811" t="s">
        <v>45095</v>
      </c>
      <c r="O3811" t="s">
        <v>45096</v>
      </c>
      <c r="P3811">
        <v>0</v>
      </c>
      <c r="Q3811">
        <v>8</v>
      </c>
      <c r="R3811" t="s">
        <v>45101</v>
      </c>
      <c r="S3811" t="s">
        <v>45231</v>
      </c>
      <c r="T3811" t="s">
        <v>47187</v>
      </c>
      <c r="U3811" t="s">
        <v>50720</v>
      </c>
      <c r="W3811" t="s">
        <v>41774</v>
      </c>
      <c r="X3811" t="s">
        <v>45102</v>
      </c>
    </row>
    <row r="3812" spans="1:24">
      <c r="A3812">
        <f>HYPERLINK("https://www.philgeps.gov.ph/GEPSNONPILOT/Tender/SplashBidNoticeAbstractUI.aspx?menuIndex=3&amp;refID=7041071&amp;Result=3","7041071")</f>
        <v>0</v>
      </c>
      <c r="B3812" t="s">
        <v>142</v>
      </c>
      <c r="C3812" t="s">
        <v>6837</v>
      </c>
      <c r="D3812" t="s">
        <v>18052</v>
      </c>
      <c r="E3812" t="s">
        <v>21539</v>
      </c>
      <c r="F3812" t="s">
        <v>31574</v>
      </c>
      <c r="G3812" t="s">
        <v>31582</v>
      </c>
      <c r="H3812" t="s">
        <v>31590</v>
      </c>
      <c r="I3812" t="s">
        <v>31613</v>
      </c>
      <c r="J3812" t="s">
        <v>31789</v>
      </c>
      <c r="K3812" t="s">
        <v>41185</v>
      </c>
      <c r="M3812" t="s">
        <v>41626</v>
      </c>
      <c r="N3812" t="s">
        <v>45095</v>
      </c>
      <c r="O3812" t="s">
        <v>45096</v>
      </c>
      <c r="P3812">
        <v>0</v>
      </c>
      <c r="Q3812">
        <v>1</v>
      </c>
      <c r="R3812" t="s">
        <v>45101</v>
      </c>
      <c r="S3812" t="s">
        <v>45231</v>
      </c>
      <c r="T3812" t="s">
        <v>47194</v>
      </c>
      <c r="U3812" t="s">
        <v>50721</v>
      </c>
      <c r="W3812" t="s">
        <v>41626</v>
      </c>
      <c r="X3812" t="s">
        <v>45102</v>
      </c>
    </row>
    <row r="3813" spans="1:24">
      <c r="A3813">
        <f>HYPERLINK("https://www.philgeps.gov.ph/GEPSNONPILOT/Tender/SplashBidNoticeAbstractUI.aspx?menuIndex=3&amp;refID=7041081&amp;Result=3","7041081")</f>
        <v>0</v>
      </c>
      <c r="B3813" t="s">
        <v>1347</v>
      </c>
      <c r="C3813" t="s">
        <v>6838</v>
      </c>
      <c r="D3813" t="s">
        <v>18069</v>
      </c>
      <c r="E3813" t="s">
        <v>21540</v>
      </c>
      <c r="F3813" t="s">
        <v>31574</v>
      </c>
      <c r="G3813" t="s">
        <v>31583</v>
      </c>
      <c r="H3813" t="s">
        <v>31590</v>
      </c>
      <c r="I3813" t="s">
        <v>31602</v>
      </c>
      <c r="J3813" t="s">
        <v>31789</v>
      </c>
      <c r="K3813" t="s">
        <v>41186</v>
      </c>
      <c r="M3813" t="s">
        <v>42919</v>
      </c>
      <c r="N3813" t="s">
        <v>45095</v>
      </c>
      <c r="O3813" t="s">
        <v>45096</v>
      </c>
      <c r="P3813">
        <v>0</v>
      </c>
      <c r="Q3813">
        <v>0</v>
      </c>
      <c r="R3813" t="s">
        <v>45101</v>
      </c>
      <c r="S3813" t="s">
        <v>45231</v>
      </c>
      <c r="T3813" t="s">
        <v>47120</v>
      </c>
      <c r="U3813" t="s">
        <v>50722</v>
      </c>
      <c r="W3813" t="s">
        <v>42919</v>
      </c>
      <c r="X3813" t="s">
        <v>45102</v>
      </c>
    </row>
    <row r="3814" spans="1:24">
      <c r="A3814">
        <f>HYPERLINK("https://www.philgeps.gov.ph/GEPSNONPILOT/Tender/SplashBidNoticeAbstractUI.aspx?menuIndex=3&amp;refID=7041072&amp;Result=3","7041072")</f>
        <v>0</v>
      </c>
      <c r="B3814" t="s">
        <v>1327</v>
      </c>
      <c r="C3814" t="s">
        <v>6819</v>
      </c>
      <c r="E3814" t="s">
        <v>6819</v>
      </c>
      <c r="F3814" t="s">
        <v>31574</v>
      </c>
      <c r="G3814" t="s">
        <v>31581</v>
      </c>
      <c r="H3814" t="s">
        <v>31590</v>
      </c>
      <c r="I3814" t="s">
        <v>7185</v>
      </c>
      <c r="J3814" t="s">
        <v>34305</v>
      </c>
      <c r="K3814" t="s">
        <v>41193</v>
      </c>
      <c r="M3814" t="s">
        <v>42897</v>
      </c>
      <c r="N3814" t="s">
        <v>45095</v>
      </c>
      <c r="O3814" t="s">
        <v>45096</v>
      </c>
      <c r="P3814">
        <v>0</v>
      </c>
      <c r="Q3814">
        <v>0</v>
      </c>
      <c r="R3814" t="s">
        <v>45101</v>
      </c>
      <c r="S3814" t="s">
        <v>45231</v>
      </c>
      <c r="T3814" t="s">
        <v>47154</v>
      </c>
      <c r="U3814" t="s">
        <v>50723</v>
      </c>
      <c r="W3814" t="s">
        <v>42897</v>
      </c>
      <c r="X3814" t="s">
        <v>45102</v>
      </c>
    </row>
    <row r="3815" spans="1:24">
      <c r="A3815">
        <f>HYPERLINK("https://www.philgeps.gov.ph/GEPSNONPILOT/Tender/SplashBidNoticeAbstractUI.aspx?menuIndex=3&amp;refID=7041090&amp;Result=3","7041090")</f>
        <v>0</v>
      </c>
      <c r="B3815" t="s">
        <v>67</v>
      </c>
      <c r="C3815" t="s">
        <v>6839</v>
      </c>
      <c r="D3815" t="s">
        <v>18027</v>
      </c>
      <c r="E3815" t="s">
        <v>21541</v>
      </c>
      <c r="F3815" t="s">
        <v>31574</v>
      </c>
      <c r="G3815" t="s">
        <v>31582</v>
      </c>
      <c r="H3815" t="s">
        <v>31591</v>
      </c>
      <c r="I3815" t="s">
        <v>8822</v>
      </c>
      <c r="J3815" t="s">
        <v>34306</v>
      </c>
      <c r="K3815" t="s">
        <v>41186</v>
      </c>
      <c r="M3815" t="s">
        <v>42902</v>
      </c>
      <c r="N3815" t="s">
        <v>45095</v>
      </c>
      <c r="O3815" t="s">
        <v>45096</v>
      </c>
      <c r="P3815">
        <v>0</v>
      </c>
      <c r="Q3815">
        <v>0</v>
      </c>
      <c r="R3815" t="s">
        <v>45101</v>
      </c>
      <c r="S3815" t="s">
        <v>45231</v>
      </c>
      <c r="T3815" t="s">
        <v>46945</v>
      </c>
      <c r="U3815" t="s">
        <v>50724</v>
      </c>
      <c r="W3815" t="s">
        <v>42902</v>
      </c>
      <c r="X3815" t="s">
        <v>45102</v>
      </c>
    </row>
    <row r="3816" spans="1:24">
      <c r="A3816">
        <f>HYPERLINK("https://www.philgeps.gov.ph/GEPSNONPILOT/Tender/SplashBidNoticeAbstractUI.aspx?menuIndex=3&amp;refID=7041087&amp;Result=3","7041087")</f>
        <v>0</v>
      </c>
      <c r="B3816" t="s">
        <v>1348</v>
      </c>
      <c r="C3816" t="s">
        <v>6840</v>
      </c>
      <c r="D3816" t="s">
        <v>18025</v>
      </c>
      <c r="E3816" t="s">
        <v>21542</v>
      </c>
      <c r="F3816" t="s">
        <v>31574</v>
      </c>
      <c r="G3816" t="s">
        <v>31582</v>
      </c>
      <c r="H3816" t="s">
        <v>31590</v>
      </c>
      <c r="I3816" t="s">
        <v>4046</v>
      </c>
      <c r="J3816" t="s">
        <v>34307</v>
      </c>
      <c r="K3816" t="s">
        <v>41196</v>
      </c>
      <c r="M3816" t="s">
        <v>42920</v>
      </c>
      <c r="N3816" t="s">
        <v>45095</v>
      </c>
      <c r="O3816" t="s">
        <v>45096</v>
      </c>
      <c r="P3816">
        <v>0</v>
      </c>
      <c r="Q3816">
        <v>0</v>
      </c>
      <c r="R3816" t="s">
        <v>45101</v>
      </c>
      <c r="S3816" t="s">
        <v>45231</v>
      </c>
      <c r="T3816" t="s">
        <v>46918</v>
      </c>
      <c r="U3816" t="s">
        <v>50725</v>
      </c>
      <c r="W3816" t="s">
        <v>42920</v>
      </c>
      <c r="X3816" t="s">
        <v>45102</v>
      </c>
    </row>
    <row r="3817" spans="1:24">
      <c r="A3817">
        <f>HYPERLINK("https://www.philgeps.gov.ph/GEPSNONPILOT/Tender/SplashBidNoticeAbstractUI.aspx?menuIndex=3&amp;refID=7041092&amp;Result=3","7041092")</f>
        <v>0</v>
      </c>
      <c r="B3817" t="s">
        <v>485</v>
      </c>
      <c r="C3817" t="s">
        <v>6841</v>
      </c>
      <c r="D3817" t="s">
        <v>18048</v>
      </c>
      <c r="E3817" t="s">
        <v>21543</v>
      </c>
      <c r="F3817" t="s">
        <v>31574</v>
      </c>
      <c r="G3817" t="s">
        <v>31581</v>
      </c>
      <c r="H3817" t="s">
        <v>31590</v>
      </c>
      <c r="I3817" t="s">
        <v>14544</v>
      </c>
      <c r="J3817" t="s">
        <v>31843</v>
      </c>
      <c r="K3817" t="s">
        <v>41190</v>
      </c>
      <c r="M3817" t="s">
        <v>42622</v>
      </c>
      <c r="N3817" t="s">
        <v>45095</v>
      </c>
      <c r="O3817" t="s">
        <v>45096</v>
      </c>
      <c r="P3817">
        <v>0</v>
      </c>
      <c r="Q3817">
        <v>0</v>
      </c>
      <c r="R3817" t="s">
        <v>45101</v>
      </c>
      <c r="S3817" t="s">
        <v>45231</v>
      </c>
      <c r="T3817" t="s">
        <v>47167</v>
      </c>
      <c r="U3817" t="s">
        <v>50726</v>
      </c>
      <c r="W3817" t="s">
        <v>42622</v>
      </c>
      <c r="X3817" t="s">
        <v>45102</v>
      </c>
    </row>
    <row r="3818" spans="1:24">
      <c r="A3818">
        <f>HYPERLINK("https://www.philgeps.gov.ph/GEPSNONPILOT/Tender/SplashBidNoticeAbstractUI.aspx?menuIndex=3&amp;refID=7041101&amp;Result=3","7041101")</f>
        <v>0</v>
      </c>
      <c r="B3818" t="s">
        <v>313</v>
      </c>
      <c r="C3818" t="s">
        <v>6842</v>
      </c>
      <c r="D3818" t="s">
        <v>18039</v>
      </c>
      <c r="E3818" t="s">
        <v>21544</v>
      </c>
      <c r="F3818" t="s">
        <v>31574</v>
      </c>
      <c r="G3818" t="s">
        <v>31581</v>
      </c>
      <c r="H3818" t="s">
        <v>31590</v>
      </c>
      <c r="I3818" t="s">
        <v>31607</v>
      </c>
      <c r="J3818" t="s">
        <v>34308</v>
      </c>
      <c r="K3818" t="s">
        <v>41186</v>
      </c>
      <c r="M3818" t="s">
        <v>41800</v>
      </c>
      <c r="N3818" t="s">
        <v>45095</v>
      </c>
      <c r="O3818" t="s">
        <v>45096</v>
      </c>
      <c r="P3818">
        <v>0</v>
      </c>
      <c r="Q3818">
        <v>5</v>
      </c>
      <c r="R3818" t="s">
        <v>45101</v>
      </c>
      <c r="S3818" t="s">
        <v>45231</v>
      </c>
      <c r="T3818" t="s">
        <v>47021</v>
      </c>
      <c r="U3818" t="s">
        <v>50727</v>
      </c>
      <c r="W3818" t="s">
        <v>41800</v>
      </c>
      <c r="X3818" t="s">
        <v>45102</v>
      </c>
    </row>
    <row r="3819" spans="1:24">
      <c r="A3819">
        <f>HYPERLINK("https://www.philgeps.gov.ph/GEPSNONPILOT/Tender/SplashBidNoticeAbstractUI.aspx?menuIndex=3&amp;refID=7041055&amp;Result=3","7041055")</f>
        <v>0</v>
      </c>
      <c r="B3819" t="s">
        <v>1334</v>
      </c>
      <c r="C3819" t="s">
        <v>6651</v>
      </c>
      <c r="E3819" t="s">
        <v>21545</v>
      </c>
      <c r="F3819" t="s">
        <v>31574</v>
      </c>
      <c r="G3819" t="s">
        <v>31582</v>
      </c>
      <c r="H3819" t="s">
        <v>31590</v>
      </c>
      <c r="I3819" t="s">
        <v>8822</v>
      </c>
      <c r="J3819" t="s">
        <v>34309</v>
      </c>
      <c r="K3819" t="s">
        <v>41184</v>
      </c>
      <c r="M3819" t="s">
        <v>42906</v>
      </c>
      <c r="N3819" t="s">
        <v>45095</v>
      </c>
      <c r="O3819" t="s">
        <v>45096</v>
      </c>
      <c r="P3819">
        <v>0</v>
      </c>
      <c r="Q3819">
        <v>0</v>
      </c>
      <c r="R3819" t="s">
        <v>45101</v>
      </c>
      <c r="S3819" t="s">
        <v>45231</v>
      </c>
      <c r="T3819" t="s">
        <v>46994</v>
      </c>
      <c r="U3819" t="s">
        <v>50687</v>
      </c>
      <c r="W3819" t="s">
        <v>42906</v>
      </c>
      <c r="X3819" t="s">
        <v>45102</v>
      </c>
    </row>
    <row r="3820" spans="1:24">
      <c r="A3820">
        <f>HYPERLINK("https://www.philgeps.gov.ph/GEPSNONPILOT/Tender/SplashBidNoticeAbstractUI.aspx?menuIndex=3&amp;refID=7041089&amp;Result=3","7041089")</f>
        <v>0</v>
      </c>
      <c r="B3820" t="s">
        <v>1349</v>
      </c>
      <c r="C3820" t="s">
        <v>6843</v>
      </c>
      <c r="E3820" t="s">
        <v>21546</v>
      </c>
      <c r="F3820" t="s">
        <v>31574</v>
      </c>
      <c r="G3820" t="s">
        <v>31582</v>
      </c>
      <c r="H3820" t="s">
        <v>31590</v>
      </c>
      <c r="I3820" t="s">
        <v>8822</v>
      </c>
      <c r="J3820" t="s">
        <v>34310</v>
      </c>
      <c r="K3820" t="s">
        <v>41184</v>
      </c>
      <c r="M3820" t="s">
        <v>42921</v>
      </c>
      <c r="N3820" t="s">
        <v>45095</v>
      </c>
      <c r="O3820" t="s">
        <v>45096</v>
      </c>
      <c r="P3820">
        <v>0</v>
      </c>
      <c r="Q3820">
        <v>7</v>
      </c>
      <c r="R3820" t="s">
        <v>45101</v>
      </c>
      <c r="S3820" t="s">
        <v>45231</v>
      </c>
      <c r="T3820" t="s">
        <v>47074</v>
      </c>
      <c r="U3820" t="s">
        <v>50728</v>
      </c>
      <c r="W3820" t="s">
        <v>42921</v>
      </c>
      <c r="X3820" t="s">
        <v>45102</v>
      </c>
    </row>
    <row r="3821" spans="1:24">
      <c r="A3821">
        <f>HYPERLINK("https://www.philgeps.gov.ph/GEPSNONPILOT/Tender/SplashBidNoticeAbstractUI.aspx?menuIndex=3&amp;refID=7041093&amp;Result=3","7041093")</f>
        <v>0</v>
      </c>
      <c r="B3821" t="s">
        <v>141</v>
      </c>
      <c r="C3821" t="s">
        <v>6844</v>
      </c>
      <c r="D3821" t="s">
        <v>18074</v>
      </c>
      <c r="E3821" t="s">
        <v>21547</v>
      </c>
      <c r="F3821" t="s">
        <v>31574</v>
      </c>
      <c r="G3821" t="s">
        <v>31581</v>
      </c>
      <c r="H3821" t="s">
        <v>31590</v>
      </c>
      <c r="I3821" t="s">
        <v>31599</v>
      </c>
      <c r="J3821" t="s">
        <v>34311</v>
      </c>
      <c r="K3821" t="s">
        <v>41184</v>
      </c>
      <c r="M3821" t="s">
        <v>41625</v>
      </c>
      <c r="N3821" t="s">
        <v>45095</v>
      </c>
      <c r="O3821" t="s">
        <v>45096</v>
      </c>
      <c r="P3821">
        <v>0</v>
      </c>
      <c r="Q3821">
        <v>1</v>
      </c>
      <c r="R3821" t="s">
        <v>45101</v>
      </c>
      <c r="S3821" t="s">
        <v>45231</v>
      </c>
      <c r="T3821" t="s">
        <v>46926</v>
      </c>
      <c r="U3821" t="s">
        <v>50729</v>
      </c>
      <c r="W3821" t="s">
        <v>41625</v>
      </c>
      <c r="X3821" t="s">
        <v>45102</v>
      </c>
    </row>
    <row r="3822" spans="1:24">
      <c r="A3822">
        <f>HYPERLINK("https://www.philgeps.gov.ph/GEPSNONPILOT/Tender/SplashBidNoticeAbstractUI.aspx?menuIndex=3&amp;refID=7041104&amp;Result=3","7041104")</f>
        <v>0</v>
      </c>
      <c r="B3822" t="s">
        <v>598</v>
      </c>
      <c r="C3822" t="s">
        <v>6845</v>
      </c>
      <c r="D3822" t="s">
        <v>18022</v>
      </c>
      <c r="E3822" t="s">
        <v>21548</v>
      </c>
      <c r="F3822" t="s">
        <v>31574</v>
      </c>
      <c r="G3822" t="s">
        <v>31581</v>
      </c>
      <c r="H3822" t="s">
        <v>31590</v>
      </c>
      <c r="I3822" t="s">
        <v>31619</v>
      </c>
      <c r="J3822" t="s">
        <v>34312</v>
      </c>
      <c r="K3822" t="s">
        <v>41213</v>
      </c>
      <c r="M3822" t="s">
        <v>42101</v>
      </c>
      <c r="N3822" t="s">
        <v>45095</v>
      </c>
      <c r="O3822" t="s">
        <v>45096</v>
      </c>
      <c r="P3822">
        <v>0</v>
      </c>
      <c r="Q3822">
        <v>6</v>
      </c>
      <c r="R3822" t="s">
        <v>45101</v>
      </c>
      <c r="S3822" t="s">
        <v>45231</v>
      </c>
      <c r="T3822" t="s">
        <v>46936</v>
      </c>
      <c r="U3822" t="s">
        <v>50730</v>
      </c>
      <c r="V3822" t="s">
        <v>59987</v>
      </c>
      <c r="W3822" t="s">
        <v>42101</v>
      </c>
      <c r="X3822" t="s">
        <v>45102</v>
      </c>
    </row>
    <row r="3823" spans="1:24">
      <c r="A3823">
        <f>HYPERLINK("https://www.philgeps.gov.ph/GEPSNONPILOT/Tender/SplashBidNoticeAbstractUI.aspx?menuIndex=3&amp;refID=7041140&amp;Result=3","7041140")</f>
        <v>0</v>
      </c>
      <c r="B3823" t="s">
        <v>1319</v>
      </c>
      <c r="C3823" t="s">
        <v>6846</v>
      </c>
      <c r="D3823" t="s">
        <v>18075</v>
      </c>
      <c r="E3823" t="s">
        <v>18677</v>
      </c>
      <c r="F3823" t="s">
        <v>31574</v>
      </c>
      <c r="G3823" t="s">
        <v>31581</v>
      </c>
      <c r="H3823" t="s">
        <v>31590</v>
      </c>
      <c r="I3823" t="s">
        <v>31620</v>
      </c>
      <c r="J3823" t="s">
        <v>31845</v>
      </c>
      <c r="K3823" t="s">
        <v>41190</v>
      </c>
      <c r="M3823" t="s">
        <v>42889</v>
      </c>
      <c r="N3823" t="s">
        <v>45095</v>
      </c>
      <c r="O3823" t="s">
        <v>45096</v>
      </c>
      <c r="P3823">
        <v>0</v>
      </c>
      <c r="Q3823">
        <v>3</v>
      </c>
      <c r="R3823" t="s">
        <v>45101</v>
      </c>
      <c r="S3823" t="s">
        <v>45231</v>
      </c>
      <c r="T3823" t="s">
        <v>47067</v>
      </c>
      <c r="U3823" t="s">
        <v>50731</v>
      </c>
      <c r="V3823" t="s">
        <v>60227</v>
      </c>
      <c r="W3823" t="s">
        <v>42889</v>
      </c>
      <c r="X3823" t="s">
        <v>45102</v>
      </c>
    </row>
    <row r="3824" spans="1:24">
      <c r="A3824">
        <f>HYPERLINK("https://www.philgeps.gov.ph/GEPSNONPILOT/Tender/SplashBidNoticeAbstractUI.aspx?menuIndex=3&amp;refID=7041121&amp;Result=3","7041121")</f>
        <v>0</v>
      </c>
      <c r="B3824" t="s">
        <v>971</v>
      </c>
      <c r="C3824" t="s">
        <v>6847</v>
      </c>
      <c r="D3824" t="s">
        <v>18042</v>
      </c>
      <c r="E3824" t="s">
        <v>21549</v>
      </c>
      <c r="F3824" t="s">
        <v>31574</v>
      </c>
      <c r="G3824" t="s">
        <v>31582</v>
      </c>
      <c r="H3824" t="s">
        <v>31591</v>
      </c>
      <c r="I3824" t="s">
        <v>8822</v>
      </c>
      <c r="J3824" t="s">
        <v>31821</v>
      </c>
      <c r="K3824" t="s">
        <v>41185</v>
      </c>
      <c r="M3824" t="s">
        <v>42501</v>
      </c>
      <c r="N3824" t="s">
        <v>45095</v>
      </c>
      <c r="O3824" t="s">
        <v>45096</v>
      </c>
      <c r="P3824">
        <v>0</v>
      </c>
      <c r="Q3824">
        <v>0</v>
      </c>
      <c r="R3824" t="s">
        <v>45101</v>
      </c>
      <c r="S3824" t="s">
        <v>45231</v>
      </c>
      <c r="T3824" t="s">
        <v>46932</v>
      </c>
      <c r="U3824" t="s">
        <v>50732</v>
      </c>
      <c r="W3824" t="s">
        <v>42501</v>
      </c>
      <c r="X3824" t="s">
        <v>45102</v>
      </c>
    </row>
    <row r="3825" spans="1:24">
      <c r="A3825">
        <f>HYPERLINK("https://www.philgeps.gov.ph/GEPSNONPILOT/Tender/SplashBidNoticeAbstractUI.aspx?menuIndex=3&amp;refID=7041142&amp;Result=3","7041142")</f>
        <v>0</v>
      </c>
      <c r="B3825" t="s">
        <v>1350</v>
      </c>
      <c r="C3825" t="s">
        <v>6848</v>
      </c>
      <c r="D3825" t="s">
        <v>18057</v>
      </c>
      <c r="E3825" t="s">
        <v>21550</v>
      </c>
      <c r="F3825" t="s">
        <v>31574</v>
      </c>
      <c r="G3825" t="s">
        <v>31581</v>
      </c>
      <c r="H3825" t="s">
        <v>31590</v>
      </c>
      <c r="I3825" t="s">
        <v>31600</v>
      </c>
      <c r="J3825" t="s">
        <v>34313</v>
      </c>
      <c r="K3825" t="s">
        <v>41186</v>
      </c>
      <c r="M3825" t="s">
        <v>42922</v>
      </c>
      <c r="N3825" t="s">
        <v>45095</v>
      </c>
      <c r="O3825" t="s">
        <v>45096</v>
      </c>
      <c r="P3825">
        <v>0</v>
      </c>
      <c r="Q3825">
        <v>2</v>
      </c>
      <c r="R3825" t="s">
        <v>45101</v>
      </c>
      <c r="S3825" t="s">
        <v>45231</v>
      </c>
      <c r="T3825" t="s">
        <v>47195</v>
      </c>
      <c r="U3825" t="s">
        <v>50733</v>
      </c>
      <c r="W3825" t="s">
        <v>42922</v>
      </c>
      <c r="X3825" t="s">
        <v>45102</v>
      </c>
    </row>
    <row r="3826" spans="1:24">
      <c r="A3826">
        <f>HYPERLINK("https://www.philgeps.gov.ph/GEPSNONPILOT/Tender/SplashBidNoticeAbstractUI.aspx?menuIndex=3&amp;refID=7041113&amp;Result=3","7041113")</f>
        <v>0</v>
      </c>
      <c r="B3826" t="s">
        <v>1335</v>
      </c>
      <c r="C3826" t="s">
        <v>6808</v>
      </c>
      <c r="D3826" t="s">
        <v>18079</v>
      </c>
      <c r="E3826" t="s">
        <v>21551</v>
      </c>
      <c r="F3826" t="s">
        <v>31575</v>
      </c>
      <c r="G3826" t="s">
        <v>31581</v>
      </c>
      <c r="H3826" t="s">
        <v>31590</v>
      </c>
      <c r="I3826" t="s">
        <v>6800</v>
      </c>
      <c r="J3826" t="s">
        <v>34314</v>
      </c>
      <c r="K3826" t="s">
        <v>41184</v>
      </c>
      <c r="M3826" t="s">
        <v>42907</v>
      </c>
      <c r="N3826" t="s">
        <v>45095</v>
      </c>
      <c r="O3826" t="s">
        <v>45096</v>
      </c>
      <c r="P3826">
        <v>0</v>
      </c>
      <c r="Q3826">
        <v>1</v>
      </c>
      <c r="R3826" t="s">
        <v>45101</v>
      </c>
      <c r="S3826" t="s">
        <v>45231</v>
      </c>
      <c r="T3826" t="s">
        <v>46911</v>
      </c>
      <c r="U3826" t="s">
        <v>50734</v>
      </c>
      <c r="W3826" t="s">
        <v>42907</v>
      </c>
      <c r="X3826" t="s">
        <v>45102</v>
      </c>
    </row>
    <row r="3827" spans="1:24">
      <c r="A3827">
        <f>HYPERLINK("https://www.philgeps.gov.ph/GEPSNONPILOT/Tender/SplashBidNoticeAbstractUI.aspx?menuIndex=3&amp;refID=7041127&amp;Result=3","7041127")</f>
        <v>0</v>
      </c>
      <c r="B3827" t="s">
        <v>115</v>
      </c>
      <c r="C3827" t="s">
        <v>6849</v>
      </c>
      <c r="D3827" t="s">
        <v>18040</v>
      </c>
      <c r="E3827" t="s">
        <v>21552</v>
      </c>
      <c r="F3827" t="s">
        <v>31574</v>
      </c>
      <c r="G3827" t="s">
        <v>31584</v>
      </c>
      <c r="H3827" t="s">
        <v>31590</v>
      </c>
      <c r="I3827" t="s">
        <v>5717</v>
      </c>
      <c r="J3827" t="s">
        <v>31741</v>
      </c>
      <c r="K3827" t="s">
        <v>41193</v>
      </c>
      <c r="M3827" t="s">
        <v>41599</v>
      </c>
      <c r="N3827" t="s">
        <v>45095</v>
      </c>
      <c r="O3827" t="s">
        <v>45096</v>
      </c>
      <c r="P3827">
        <v>0</v>
      </c>
      <c r="Q3827">
        <v>0</v>
      </c>
      <c r="R3827" t="s">
        <v>45101</v>
      </c>
      <c r="S3827" t="s">
        <v>45231</v>
      </c>
      <c r="T3827" t="s">
        <v>47158</v>
      </c>
      <c r="U3827" t="s">
        <v>50735</v>
      </c>
      <c r="W3827" t="s">
        <v>41599</v>
      </c>
      <c r="X3827" t="s">
        <v>45102</v>
      </c>
    </row>
    <row r="3828" spans="1:24">
      <c r="A3828">
        <f>HYPERLINK("https://www.philgeps.gov.ph/GEPSNONPILOT/Tender/SplashBidNoticeAbstractUI.aspx?menuIndex=3&amp;refID=7041119&amp;Result=3","7041119")</f>
        <v>0</v>
      </c>
      <c r="B3828" t="s">
        <v>196</v>
      </c>
      <c r="C3828" t="s">
        <v>6850</v>
      </c>
      <c r="D3828" t="s">
        <v>18046</v>
      </c>
      <c r="E3828" t="s">
        <v>21553</v>
      </c>
      <c r="F3828" t="s">
        <v>31574</v>
      </c>
      <c r="G3828" t="s">
        <v>31581</v>
      </c>
      <c r="H3828" t="s">
        <v>31590</v>
      </c>
      <c r="I3828" t="s">
        <v>31602</v>
      </c>
      <c r="J3828" t="s">
        <v>34315</v>
      </c>
      <c r="K3828" t="s">
        <v>41190</v>
      </c>
      <c r="M3828" t="s">
        <v>41681</v>
      </c>
      <c r="N3828" t="s">
        <v>45095</v>
      </c>
      <c r="O3828" t="s">
        <v>45096</v>
      </c>
      <c r="P3828">
        <v>0</v>
      </c>
      <c r="Q3828">
        <v>0</v>
      </c>
      <c r="R3828" t="s">
        <v>45101</v>
      </c>
      <c r="S3828" t="s">
        <v>45231</v>
      </c>
      <c r="T3828" t="s">
        <v>46973</v>
      </c>
      <c r="U3828" t="s">
        <v>47834</v>
      </c>
      <c r="V3828" t="s">
        <v>60228</v>
      </c>
      <c r="W3828" t="s">
        <v>41681</v>
      </c>
      <c r="X3828" t="s">
        <v>45102</v>
      </c>
    </row>
    <row r="3829" spans="1:24">
      <c r="A3829">
        <f>HYPERLINK("https://www.philgeps.gov.ph/GEPSNONPILOT/Tender/SplashBidNoticeAbstractUI.aspx?menuIndex=3&amp;refID=7041108&amp;Result=3","7041108")</f>
        <v>0</v>
      </c>
      <c r="B3829" t="s">
        <v>1344</v>
      </c>
      <c r="C3829" t="s">
        <v>6851</v>
      </c>
      <c r="D3829" t="s">
        <v>18075</v>
      </c>
      <c r="E3829" t="s">
        <v>21554</v>
      </c>
      <c r="F3829" t="s">
        <v>31574</v>
      </c>
      <c r="G3829" t="s">
        <v>31582</v>
      </c>
      <c r="H3829" t="s">
        <v>31590</v>
      </c>
      <c r="I3829" t="s">
        <v>14544</v>
      </c>
      <c r="J3829" t="s">
        <v>31744</v>
      </c>
      <c r="K3829" t="s">
        <v>41186</v>
      </c>
      <c r="M3829" t="s">
        <v>42916</v>
      </c>
      <c r="N3829" t="s">
        <v>45095</v>
      </c>
      <c r="O3829" t="s">
        <v>45096</v>
      </c>
      <c r="P3829">
        <v>0</v>
      </c>
      <c r="Q3829">
        <v>0</v>
      </c>
      <c r="R3829" t="s">
        <v>45101</v>
      </c>
      <c r="S3829" t="s">
        <v>45231</v>
      </c>
      <c r="T3829" t="s">
        <v>46926</v>
      </c>
      <c r="U3829" t="s">
        <v>50736</v>
      </c>
      <c r="V3829" t="s">
        <v>60225</v>
      </c>
      <c r="W3829" t="s">
        <v>42916</v>
      </c>
      <c r="X3829" t="s">
        <v>45102</v>
      </c>
    </row>
    <row r="3830" spans="1:24">
      <c r="A3830">
        <f>HYPERLINK("https://www.philgeps.gov.ph/GEPSNONPILOT/Tender/SplashBidNoticeAbstractUI.aspx?menuIndex=3&amp;refID=7041131&amp;Result=3","7041131")</f>
        <v>0</v>
      </c>
      <c r="B3830" t="s">
        <v>1351</v>
      </c>
      <c r="C3830" t="s">
        <v>6852</v>
      </c>
      <c r="D3830" t="s">
        <v>18043</v>
      </c>
      <c r="E3830" t="s">
        <v>21555</v>
      </c>
      <c r="F3830" t="s">
        <v>31574</v>
      </c>
      <c r="G3830" t="s">
        <v>31582</v>
      </c>
      <c r="H3830" t="s">
        <v>31591</v>
      </c>
      <c r="I3830" t="s">
        <v>8822</v>
      </c>
      <c r="J3830" t="s">
        <v>32458</v>
      </c>
      <c r="K3830" t="s">
        <v>41243</v>
      </c>
      <c r="M3830" t="s">
        <v>42923</v>
      </c>
      <c r="N3830" t="s">
        <v>45095</v>
      </c>
      <c r="O3830" t="s">
        <v>45096</v>
      </c>
      <c r="P3830">
        <v>0</v>
      </c>
      <c r="Q3830">
        <v>1</v>
      </c>
      <c r="R3830" t="s">
        <v>45101</v>
      </c>
      <c r="S3830" t="s">
        <v>45231</v>
      </c>
      <c r="T3830" t="s">
        <v>47196</v>
      </c>
      <c r="U3830" t="s">
        <v>50737</v>
      </c>
      <c r="W3830" t="s">
        <v>42923</v>
      </c>
      <c r="X3830" t="s">
        <v>45102</v>
      </c>
    </row>
    <row r="3831" spans="1:24">
      <c r="A3831">
        <f>HYPERLINK("https://www.philgeps.gov.ph/GEPSNONPILOT/Tender/SplashBidNoticeAbstractUI.aspx?menuIndex=3&amp;refID=7041165&amp;Result=3","7041165")</f>
        <v>0</v>
      </c>
      <c r="B3831" t="s">
        <v>1352</v>
      </c>
      <c r="C3831" t="s">
        <v>6853</v>
      </c>
      <c r="D3831" t="s">
        <v>18076</v>
      </c>
      <c r="E3831" t="s">
        <v>21556</v>
      </c>
      <c r="F3831" t="s">
        <v>31574</v>
      </c>
      <c r="G3831" t="s">
        <v>31581</v>
      </c>
      <c r="H3831" t="s">
        <v>31590</v>
      </c>
      <c r="I3831" t="s">
        <v>31656</v>
      </c>
      <c r="J3831" t="s">
        <v>34316</v>
      </c>
      <c r="K3831" t="s">
        <v>41193</v>
      </c>
      <c r="M3831" t="s">
        <v>42924</v>
      </c>
      <c r="N3831" t="s">
        <v>45095</v>
      </c>
      <c r="O3831" t="s">
        <v>45096</v>
      </c>
      <c r="P3831">
        <v>0</v>
      </c>
      <c r="Q3831">
        <v>0</v>
      </c>
      <c r="R3831" t="s">
        <v>45101</v>
      </c>
      <c r="S3831" t="s">
        <v>45231</v>
      </c>
      <c r="T3831" t="s">
        <v>46949</v>
      </c>
      <c r="U3831" t="s">
        <v>50738</v>
      </c>
      <c r="W3831" t="s">
        <v>42924</v>
      </c>
      <c r="X3831" t="s">
        <v>45102</v>
      </c>
    </row>
    <row r="3832" spans="1:24">
      <c r="A3832">
        <f>HYPERLINK("https://www.philgeps.gov.ph/GEPSNONPILOT/Tender/SplashBidNoticeAbstractUI.aspx?menuIndex=3&amp;refID=7041155&amp;Result=3","7041155")</f>
        <v>0</v>
      </c>
      <c r="B3832" t="s">
        <v>561</v>
      </c>
      <c r="C3832" t="s">
        <v>6854</v>
      </c>
      <c r="D3832" t="s">
        <v>18036</v>
      </c>
      <c r="E3832" t="s">
        <v>21557</v>
      </c>
      <c r="F3832" t="s">
        <v>31574</v>
      </c>
      <c r="G3832" t="s">
        <v>31583</v>
      </c>
      <c r="H3832" t="s">
        <v>31590</v>
      </c>
      <c r="I3832" t="s">
        <v>31607</v>
      </c>
      <c r="J3832" t="s">
        <v>34317</v>
      </c>
      <c r="K3832" t="s">
        <v>41186</v>
      </c>
      <c r="M3832" t="s">
        <v>42060</v>
      </c>
      <c r="N3832" t="s">
        <v>45095</v>
      </c>
      <c r="O3832" t="s">
        <v>45096</v>
      </c>
      <c r="P3832">
        <v>0</v>
      </c>
      <c r="Q3832">
        <v>11</v>
      </c>
      <c r="R3832" t="s">
        <v>45101</v>
      </c>
      <c r="S3832" t="s">
        <v>45231</v>
      </c>
      <c r="T3832" t="s">
        <v>46979</v>
      </c>
      <c r="U3832" t="s">
        <v>50739</v>
      </c>
      <c r="W3832" t="s">
        <v>42060</v>
      </c>
      <c r="X3832" t="s">
        <v>45102</v>
      </c>
    </row>
    <row r="3833" spans="1:24">
      <c r="A3833">
        <f>HYPERLINK("https://www.philgeps.gov.ph/GEPSNONPILOT/Tender/SplashBidNoticeAbstractUI.aspx?menuIndex=3&amp;refID=7041168&amp;Result=3","7041168")</f>
        <v>0</v>
      </c>
      <c r="B3833" t="s">
        <v>1353</v>
      </c>
      <c r="C3833" t="s">
        <v>6855</v>
      </c>
      <c r="D3833" t="s">
        <v>18031</v>
      </c>
      <c r="E3833" t="s">
        <v>21558</v>
      </c>
      <c r="F3833" t="s">
        <v>31574</v>
      </c>
      <c r="G3833" t="s">
        <v>31582</v>
      </c>
      <c r="H3833" t="s">
        <v>31591</v>
      </c>
      <c r="I3833" t="s">
        <v>8822</v>
      </c>
      <c r="J3833" t="s">
        <v>32026</v>
      </c>
      <c r="K3833" t="s">
        <v>41184</v>
      </c>
      <c r="M3833" t="s">
        <v>42925</v>
      </c>
      <c r="N3833" t="s">
        <v>45095</v>
      </c>
      <c r="O3833" t="s">
        <v>45096</v>
      </c>
      <c r="P3833">
        <v>0</v>
      </c>
      <c r="Q3833">
        <v>1</v>
      </c>
      <c r="R3833" t="s">
        <v>45101</v>
      </c>
      <c r="S3833" t="s">
        <v>45231</v>
      </c>
      <c r="T3833" t="s">
        <v>46904</v>
      </c>
      <c r="U3833" t="s">
        <v>50740</v>
      </c>
      <c r="W3833" t="s">
        <v>42925</v>
      </c>
      <c r="X3833" t="s">
        <v>45102</v>
      </c>
    </row>
    <row r="3834" spans="1:24">
      <c r="A3834">
        <f>HYPERLINK("https://www.philgeps.gov.ph/GEPSNONPILOT/Tender/SplashBidNoticeAbstractUI.aspx?menuIndex=3&amp;refID=7041150&amp;Result=3","7041150")</f>
        <v>0</v>
      </c>
      <c r="B3834" t="s">
        <v>1354</v>
      </c>
      <c r="C3834" t="s">
        <v>6856</v>
      </c>
      <c r="D3834" t="s">
        <v>18039</v>
      </c>
      <c r="E3834" t="s">
        <v>18533</v>
      </c>
      <c r="F3834" t="s">
        <v>31574</v>
      </c>
      <c r="G3834" t="s">
        <v>31582</v>
      </c>
      <c r="H3834" t="s">
        <v>31591</v>
      </c>
      <c r="I3834" t="s">
        <v>8822</v>
      </c>
      <c r="J3834" t="s">
        <v>34318</v>
      </c>
      <c r="K3834" t="s">
        <v>41186</v>
      </c>
      <c r="M3834" t="s">
        <v>42926</v>
      </c>
      <c r="N3834" t="s">
        <v>45095</v>
      </c>
      <c r="O3834" t="s">
        <v>45096</v>
      </c>
      <c r="P3834">
        <v>0</v>
      </c>
      <c r="Q3834">
        <v>0</v>
      </c>
      <c r="R3834" t="s">
        <v>45101</v>
      </c>
      <c r="S3834" t="s">
        <v>45231</v>
      </c>
      <c r="T3834" t="s">
        <v>46966</v>
      </c>
      <c r="U3834" t="s">
        <v>50741</v>
      </c>
      <c r="W3834" t="s">
        <v>42926</v>
      </c>
      <c r="X3834" t="s">
        <v>45102</v>
      </c>
    </row>
    <row r="3835" spans="1:24">
      <c r="A3835">
        <f>HYPERLINK("https://www.philgeps.gov.ph/GEPSNONPILOT/Tender/SplashBidNoticeAbstractUI.aspx?menuIndex=3&amp;refID=7041144&amp;Result=3","7041144")</f>
        <v>0</v>
      </c>
      <c r="B3835" t="s">
        <v>485</v>
      </c>
      <c r="C3835" t="s">
        <v>6857</v>
      </c>
      <c r="D3835" t="s">
        <v>18048</v>
      </c>
      <c r="E3835" t="s">
        <v>21559</v>
      </c>
      <c r="F3835" t="s">
        <v>31574</v>
      </c>
      <c r="G3835" t="s">
        <v>31581</v>
      </c>
      <c r="H3835" t="s">
        <v>31590</v>
      </c>
      <c r="I3835" t="s">
        <v>8258</v>
      </c>
      <c r="J3835" t="s">
        <v>31848</v>
      </c>
      <c r="K3835" t="s">
        <v>41190</v>
      </c>
      <c r="M3835" t="s">
        <v>42622</v>
      </c>
      <c r="N3835" t="s">
        <v>45095</v>
      </c>
      <c r="O3835" t="s">
        <v>45096</v>
      </c>
      <c r="P3835">
        <v>0</v>
      </c>
      <c r="Q3835">
        <v>0</v>
      </c>
      <c r="R3835" t="s">
        <v>45101</v>
      </c>
      <c r="S3835" t="s">
        <v>45231</v>
      </c>
      <c r="T3835" t="s">
        <v>47067</v>
      </c>
      <c r="U3835" t="s">
        <v>50742</v>
      </c>
      <c r="W3835" t="s">
        <v>42622</v>
      </c>
      <c r="X3835" t="s">
        <v>45102</v>
      </c>
    </row>
    <row r="3836" spans="1:24">
      <c r="A3836">
        <f>HYPERLINK("https://www.philgeps.gov.ph/GEPSNONPILOT/Tender/SplashBidNoticeAbstractUI.aspx?menuIndex=3&amp;refID=7041145&amp;Result=3","7041145")</f>
        <v>0</v>
      </c>
      <c r="B3836" t="s">
        <v>1310</v>
      </c>
      <c r="C3836" t="s">
        <v>6858</v>
      </c>
      <c r="D3836" t="s">
        <v>18074</v>
      </c>
      <c r="E3836" t="s">
        <v>21560</v>
      </c>
      <c r="F3836" t="s">
        <v>31574</v>
      </c>
      <c r="G3836" t="s">
        <v>31582</v>
      </c>
      <c r="H3836" t="s">
        <v>31590</v>
      </c>
      <c r="I3836" t="s">
        <v>6800</v>
      </c>
      <c r="J3836" t="s">
        <v>34319</v>
      </c>
      <c r="K3836" t="s">
        <v>41190</v>
      </c>
      <c r="M3836" t="s">
        <v>42880</v>
      </c>
      <c r="N3836" t="s">
        <v>45095</v>
      </c>
      <c r="O3836" t="s">
        <v>45096</v>
      </c>
      <c r="P3836">
        <v>0</v>
      </c>
      <c r="Q3836">
        <v>0</v>
      </c>
      <c r="R3836" t="s">
        <v>45101</v>
      </c>
      <c r="S3836" t="s">
        <v>45231</v>
      </c>
      <c r="T3836" t="s">
        <v>47043</v>
      </c>
      <c r="U3836" t="s">
        <v>50743</v>
      </c>
      <c r="W3836" t="s">
        <v>42880</v>
      </c>
      <c r="X3836" t="s">
        <v>45102</v>
      </c>
    </row>
    <row r="3837" spans="1:24">
      <c r="A3837">
        <f>HYPERLINK("https://www.philgeps.gov.ph/GEPSNONPILOT/Tender/SplashBidNoticeAbstractUI.aspx?menuIndex=3&amp;refID=7041126&amp;Result=3","7041126")</f>
        <v>0</v>
      </c>
      <c r="B3837" t="s">
        <v>1355</v>
      </c>
      <c r="C3837" t="s">
        <v>6859</v>
      </c>
      <c r="D3837" t="s">
        <v>18068</v>
      </c>
      <c r="E3837" t="s">
        <v>19881</v>
      </c>
      <c r="F3837" t="s">
        <v>31574</v>
      </c>
      <c r="G3837" t="s">
        <v>31581</v>
      </c>
      <c r="H3837" t="s">
        <v>31590</v>
      </c>
      <c r="I3837" t="s">
        <v>31596</v>
      </c>
      <c r="J3837" t="s">
        <v>32375</v>
      </c>
      <c r="K3837" t="s">
        <v>41196</v>
      </c>
      <c r="M3837" t="s">
        <v>42927</v>
      </c>
      <c r="N3837" t="s">
        <v>45095</v>
      </c>
      <c r="O3837" t="s">
        <v>45096</v>
      </c>
      <c r="P3837">
        <v>0</v>
      </c>
      <c r="Q3837">
        <v>1</v>
      </c>
      <c r="R3837" t="s">
        <v>45101</v>
      </c>
      <c r="S3837" t="s">
        <v>45231</v>
      </c>
      <c r="T3837" t="s">
        <v>46985</v>
      </c>
      <c r="U3837" t="s">
        <v>48316</v>
      </c>
      <c r="W3837" t="s">
        <v>42927</v>
      </c>
      <c r="X3837" t="s">
        <v>45102</v>
      </c>
    </row>
    <row r="3838" spans="1:24">
      <c r="A3838">
        <f>HYPERLINK("https://www.philgeps.gov.ph/GEPSNONPILOT/Tender/SplashBidNoticeAbstractUI.aspx?menuIndex=3&amp;refID=7041122&amp;Result=3","7041122")</f>
        <v>0</v>
      </c>
      <c r="B3838" t="s">
        <v>1350</v>
      </c>
      <c r="C3838" t="s">
        <v>6848</v>
      </c>
      <c r="D3838" t="s">
        <v>18057</v>
      </c>
      <c r="E3838" t="s">
        <v>21561</v>
      </c>
      <c r="F3838" t="s">
        <v>31574</v>
      </c>
      <c r="G3838" t="s">
        <v>31581</v>
      </c>
      <c r="H3838" t="s">
        <v>31590</v>
      </c>
      <c r="I3838" t="s">
        <v>31600</v>
      </c>
      <c r="J3838" t="s">
        <v>34320</v>
      </c>
      <c r="K3838" t="s">
        <v>41186</v>
      </c>
      <c r="M3838" t="s">
        <v>42922</v>
      </c>
      <c r="N3838" t="s">
        <v>45095</v>
      </c>
      <c r="O3838" t="s">
        <v>45096</v>
      </c>
      <c r="P3838">
        <v>0</v>
      </c>
      <c r="Q3838">
        <v>2</v>
      </c>
      <c r="R3838" t="s">
        <v>45101</v>
      </c>
      <c r="S3838" t="s">
        <v>45231</v>
      </c>
      <c r="T3838" t="s">
        <v>47092</v>
      </c>
      <c r="U3838" t="s">
        <v>50744</v>
      </c>
      <c r="W3838" t="s">
        <v>42922</v>
      </c>
      <c r="X3838" t="s">
        <v>45102</v>
      </c>
    </row>
    <row r="3839" spans="1:24">
      <c r="A3839">
        <f>HYPERLINK("https://www.philgeps.gov.ph/GEPSNONPILOT/Tender/SplashBidNoticeAbstractUI.aspx?menuIndex=3&amp;refID=7041193&amp;Result=3","7041193")</f>
        <v>0</v>
      </c>
      <c r="B3839" t="s">
        <v>1327</v>
      </c>
      <c r="C3839" t="s">
        <v>6860</v>
      </c>
      <c r="E3839" t="s">
        <v>6860</v>
      </c>
      <c r="F3839" t="s">
        <v>31574</v>
      </c>
      <c r="G3839" t="s">
        <v>31581</v>
      </c>
      <c r="H3839" t="s">
        <v>31590</v>
      </c>
      <c r="I3839" t="s">
        <v>7185</v>
      </c>
      <c r="J3839" t="s">
        <v>34321</v>
      </c>
      <c r="K3839" t="s">
        <v>41193</v>
      </c>
      <c r="M3839" t="s">
        <v>42897</v>
      </c>
      <c r="N3839" t="s">
        <v>45095</v>
      </c>
      <c r="O3839" t="s">
        <v>45096</v>
      </c>
      <c r="P3839">
        <v>0</v>
      </c>
      <c r="Q3839">
        <v>1</v>
      </c>
      <c r="R3839" t="s">
        <v>45101</v>
      </c>
      <c r="S3839" t="s">
        <v>45231</v>
      </c>
      <c r="T3839" t="s">
        <v>47154</v>
      </c>
      <c r="U3839" t="s">
        <v>50745</v>
      </c>
      <c r="W3839" t="s">
        <v>42897</v>
      </c>
      <c r="X3839" t="s">
        <v>45102</v>
      </c>
    </row>
    <row r="3840" spans="1:24">
      <c r="A3840">
        <f>HYPERLINK("https://www.philgeps.gov.ph/GEPSNONPILOT/Tender/SplashBidNoticeAbstractUI.aspx?menuIndex=3&amp;refID=7041112&amp;Result=3","7041112")</f>
        <v>0</v>
      </c>
      <c r="B3840" t="s">
        <v>1305</v>
      </c>
      <c r="C3840" t="s">
        <v>6861</v>
      </c>
      <c r="D3840" t="s">
        <v>18101</v>
      </c>
      <c r="E3840" t="s">
        <v>21562</v>
      </c>
      <c r="F3840" t="s">
        <v>31574</v>
      </c>
      <c r="G3840" t="s">
        <v>31581</v>
      </c>
      <c r="H3840" t="s">
        <v>31590</v>
      </c>
      <c r="I3840" t="s">
        <v>31644</v>
      </c>
      <c r="J3840" t="s">
        <v>34322</v>
      </c>
      <c r="K3840" t="s">
        <v>41196</v>
      </c>
      <c r="M3840" t="s">
        <v>42875</v>
      </c>
      <c r="N3840" t="s">
        <v>45095</v>
      </c>
      <c r="O3840" t="s">
        <v>45096</v>
      </c>
      <c r="P3840">
        <v>0</v>
      </c>
      <c r="Q3840">
        <v>2</v>
      </c>
      <c r="R3840" t="s">
        <v>45101</v>
      </c>
      <c r="S3840" t="s">
        <v>45231</v>
      </c>
      <c r="T3840" t="s">
        <v>47154</v>
      </c>
      <c r="U3840" t="s">
        <v>50746</v>
      </c>
      <c r="W3840" t="s">
        <v>42875</v>
      </c>
      <c r="X3840" t="s">
        <v>45102</v>
      </c>
    </row>
    <row r="3841" spans="1:24">
      <c r="A3841">
        <f>HYPERLINK("https://www.philgeps.gov.ph/GEPSNONPILOT/Tender/SplashBidNoticeAbstractUI.aspx?menuIndex=3&amp;refID=7041162&amp;Result=3","7041162")</f>
        <v>0</v>
      </c>
      <c r="B3841" t="s">
        <v>1327</v>
      </c>
      <c r="C3841" t="s">
        <v>6862</v>
      </c>
      <c r="E3841" t="s">
        <v>6862</v>
      </c>
      <c r="F3841" t="s">
        <v>31574</v>
      </c>
      <c r="G3841" t="s">
        <v>31581</v>
      </c>
      <c r="H3841" t="s">
        <v>31590</v>
      </c>
      <c r="I3841" t="s">
        <v>7185</v>
      </c>
      <c r="J3841" t="s">
        <v>34323</v>
      </c>
      <c r="K3841" t="s">
        <v>41193</v>
      </c>
      <c r="M3841" t="s">
        <v>42897</v>
      </c>
      <c r="N3841" t="s">
        <v>45095</v>
      </c>
      <c r="O3841" t="s">
        <v>45096</v>
      </c>
      <c r="P3841">
        <v>0</v>
      </c>
      <c r="Q3841">
        <v>0</v>
      </c>
      <c r="R3841" t="s">
        <v>45101</v>
      </c>
      <c r="S3841" t="s">
        <v>45231</v>
      </c>
      <c r="T3841" t="s">
        <v>47154</v>
      </c>
      <c r="U3841" t="s">
        <v>50747</v>
      </c>
      <c r="W3841" t="s">
        <v>42897</v>
      </c>
      <c r="X3841" t="s">
        <v>45102</v>
      </c>
    </row>
    <row r="3842" spans="1:24">
      <c r="A3842">
        <f>HYPERLINK("https://www.philgeps.gov.ph/GEPSNONPILOT/Tender/SplashBidNoticeAbstractUI.aspx?menuIndex=3&amp;refID=7041172&amp;Result=3","7041172")</f>
        <v>0</v>
      </c>
      <c r="B3842" t="s">
        <v>1356</v>
      </c>
      <c r="C3842" t="s">
        <v>6863</v>
      </c>
      <c r="E3842" t="s">
        <v>21563</v>
      </c>
      <c r="F3842" t="s">
        <v>31574</v>
      </c>
      <c r="G3842" t="s">
        <v>31582</v>
      </c>
      <c r="H3842" t="s">
        <v>31590</v>
      </c>
      <c r="I3842" t="s">
        <v>7162</v>
      </c>
      <c r="J3842" t="s">
        <v>34324</v>
      </c>
      <c r="K3842" t="s">
        <v>41184</v>
      </c>
      <c r="M3842" t="s">
        <v>42928</v>
      </c>
      <c r="N3842" t="s">
        <v>45095</v>
      </c>
      <c r="O3842" t="s">
        <v>45096</v>
      </c>
      <c r="P3842">
        <v>0</v>
      </c>
      <c r="Q3842">
        <v>0</v>
      </c>
      <c r="R3842" t="s">
        <v>45101</v>
      </c>
      <c r="S3842" t="s">
        <v>45231</v>
      </c>
      <c r="T3842" t="s">
        <v>47000</v>
      </c>
      <c r="U3842" t="s">
        <v>50748</v>
      </c>
      <c r="W3842" t="s">
        <v>42928</v>
      </c>
      <c r="X3842" t="s">
        <v>45102</v>
      </c>
    </row>
    <row r="3843" spans="1:24">
      <c r="A3843">
        <f>HYPERLINK("https://www.philgeps.gov.ph/GEPSNONPILOT/Tender/SplashBidNoticeAbstractUI.aspx?menuIndex=3&amp;refID=7041192&amp;Result=3","7041192")</f>
        <v>0</v>
      </c>
      <c r="B3843" t="s">
        <v>1352</v>
      </c>
      <c r="C3843" t="s">
        <v>6864</v>
      </c>
      <c r="D3843" t="s">
        <v>18076</v>
      </c>
      <c r="E3843" t="s">
        <v>21564</v>
      </c>
      <c r="F3843" t="s">
        <v>31574</v>
      </c>
      <c r="G3843" t="s">
        <v>31581</v>
      </c>
      <c r="H3843" t="s">
        <v>31590</v>
      </c>
      <c r="I3843" t="s">
        <v>4354</v>
      </c>
      <c r="J3843" t="s">
        <v>34325</v>
      </c>
      <c r="K3843" t="s">
        <v>41193</v>
      </c>
      <c r="M3843" t="s">
        <v>42924</v>
      </c>
      <c r="N3843" t="s">
        <v>45095</v>
      </c>
      <c r="O3843" t="s">
        <v>45096</v>
      </c>
      <c r="P3843">
        <v>0</v>
      </c>
      <c r="Q3843">
        <v>2</v>
      </c>
      <c r="R3843" t="s">
        <v>45101</v>
      </c>
      <c r="S3843" t="s">
        <v>45231</v>
      </c>
      <c r="T3843" t="s">
        <v>46949</v>
      </c>
      <c r="U3843" t="s">
        <v>50749</v>
      </c>
      <c r="W3843" t="s">
        <v>42924</v>
      </c>
      <c r="X3843" t="s">
        <v>45102</v>
      </c>
    </row>
    <row r="3844" spans="1:24">
      <c r="A3844">
        <f>HYPERLINK("https://www.philgeps.gov.ph/GEPSNONPILOT/Tender/SplashBidNoticeAbstractUI.aspx?menuIndex=3&amp;refID=7041179&amp;Result=3","7041179")</f>
        <v>0</v>
      </c>
      <c r="B3844" t="s">
        <v>1357</v>
      </c>
      <c r="C3844" t="s">
        <v>6865</v>
      </c>
      <c r="D3844" t="s">
        <v>18054</v>
      </c>
      <c r="E3844" t="s">
        <v>21565</v>
      </c>
      <c r="F3844" t="s">
        <v>31574</v>
      </c>
      <c r="G3844" t="s">
        <v>31582</v>
      </c>
      <c r="H3844" t="s">
        <v>31590</v>
      </c>
      <c r="I3844" t="s">
        <v>6800</v>
      </c>
      <c r="J3844" t="s">
        <v>34326</v>
      </c>
      <c r="K3844" t="s">
        <v>41192</v>
      </c>
      <c r="M3844" t="s">
        <v>42929</v>
      </c>
      <c r="N3844" t="s">
        <v>45095</v>
      </c>
      <c r="O3844" t="s">
        <v>45096</v>
      </c>
      <c r="P3844">
        <v>0</v>
      </c>
      <c r="Q3844">
        <v>1</v>
      </c>
      <c r="R3844" t="s">
        <v>45101</v>
      </c>
      <c r="S3844" t="s">
        <v>45231</v>
      </c>
      <c r="T3844" t="s">
        <v>46918</v>
      </c>
      <c r="U3844" t="s">
        <v>50750</v>
      </c>
      <c r="V3844" t="s">
        <v>60229</v>
      </c>
      <c r="W3844" t="s">
        <v>42929</v>
      </c>
      <c r="X3844" t="s">
        <v>45102</v>
      </c>
    </row>
    <row r="3845" spans="1:24">
      <c r="A3845">
        <f>HYPERLINK("https://www.philgeps.gov.ph/GEPSNONPILOT/Tender/SplashBidNoticeAbstractUI.aspx?menuIndex=3&amp;refID=7041185&amp;Result=3","7041185")</f>
        <v>0</v>
      </c>
      <c r="B3845" t="s">
        <v>812</v>
      </c>
      <c r="C3845" t="s">
        <v>6866</v>
      </c>
      <c r="D3845" t="s">
        <v>18102</v>
      </c>
      <c r="E3845" t="s">
        <v>21566</v>
      </c>
      <c r="F3845" t="s">
        <v>31574</v>
      </c>
      <c r="G3845" t="s">
        <v>31581</v>
      </c>
      <c r="H3845" t="s">
        <v>31590</v>
      </c>
      <c r="I3845" t="s">
        <v>31623</v>
      </c>
      <c r="J3845" t="s">
        <v>32553</v>
      </c>
      <c r="K3845" t="s">
        <v>41191</v>
      </c>
      <c r="M3845" t="s">
        <v>42328</v>
      </c>
      <c r="N3845" t="s">
        <v>45095</v>
      </c>
      <c r="O3845" t="s">
        <v>45096</v>
      </c>
      <c r="P3845">
        <v>0</v>
      </c>
      <c r="Q3845">
        <v>0</v>
      </c>
      <c r="R3845" t="s">
        <v>45101</v>
      </c>
      <c r="S3845" t="s">
        <v>45231</v>
      </c>
      <c r="T3845" t="s">
        <v>47076</v>
      </c>
      <c r="U3845" t="s">
        <v>50751</v>
      </c>
      <c r="W3845" t="s">
        <v>42328</v>
      </c>
      <c r="X3845" t="s">
        <v>45102</v>
      </c>
    </row>
    <row r="3846" spans="1:24">
      <c r="A3846">
        <f>HYPERLINK("https://www.philgeps.gov.ph/GEPSNONPILOT/Tender/SplashBidNoticeAbstractUI.aspx?menuIndex=3&amp;refID=7041199&amp;Result=3","7041199")</f>
        <v>0</v>
      </c>
      <c r="B3846" t="s">
        <v>1358</v>
      </c>
      <c r="C3846" t="s">
        <v>6867</v>
      </c>
      <c r="E3846" t="s">
        <v>21567</v>
      </c>
      <c r="F3846" t="s">
        <v>31575</v>
      </c>
      <c r="G3846" t="s">
        <v>31581</v>
      </c>
      <c r="H3846" t="s">
        <v>31590</v>
      </c>
      <c r="I3846" t="s">
        <v>31596</v>
      </c>
      <c r="J3846" t="s">
        <v>31845</v>
      </c>
      <c r="K3846" t="s">
        <v>41184</v>
      </c>
      <c r="M3846" t="s">
        <v>42930</v>
      </c>
      <c r="N3846" t="s">
        <v>45095</v>
      </c>
      <c r="O3846" t="s">
        <v>45096</v>
      </c>
      <c r="P3846">
        <v>0</v>
      </c>
      <c r="Q3846">
        <v>0</v>
      </c>
      <c r="R3846" t="s">
        <v>45101</v>
      </c>
      <c r="S3846" t="s">
        <v>45231</v>
      </c>
      <c r="T3846" t="s">
        <v>46911</v>
      </c>
      <c r="U3846" t="s">
        <v>50752</v>
      </c>
      <c r="W3846" t="s">
        <v>42930</v>
      </c>
      <c r="X3846" t="s">
        <v>45102</v>
      </c>
    </row>
    <row r="3847" spans="1:24">
      <c r="A3847">
        <f>HYPERLINK("https://www.philgeps.gov.ph/GEPSNONPILOT/Tender/SplashBidNoticeAbstractUI.aspx?menuIndex=3&amp;refID=7041106&amp;Result=3","7041106")</f>
        <v>0</v>
      </c>
      <c r="B3847" t="s">
        <v>299</v>
      </c>
      <c r="C3847" t="s">
        <v>6868</v>
      </c>
      <c r="D3847" t="s">
        <v>18081</v>
      </c>
      <c r="E3847" t="s">
        <v>21568</v>
      </c>
      <c r="F3847" t="s">
        <v>31574</v>
      </c>
      <c r="G3847" t="s">
        <v>31581</v>
      </c>
      <c r="H3847" t="s">
        <v>31590</v>
      </c>
      <c r="I3847" t="s">
        <v>31612</v>
      </c>
      <c r="J3847" t="s">
        <v>33015</v>
      </c>
      <c r="K3847" t="s">
        <v>41196</v>
      </c>
      <c r="M3847" t="s">
        <v>41785</v>
      </c>
      <c r="N3847" t="s">
        <v>45095</v>
      </c>
      <c r="O3847" t="s">
        <v>45096</v>
      </c>
      <c r="P3847">
        <v>0</v>
      </c>
      <c r="Q3847">
        <v>0</v>
      </c>
      <c r="R3847" t="s">
        <v>45101</v>
      </c>
      <c r="S3847" t="s">
        <v>45231</v>
      </c>
      <c r="T3847" t="s">
        <v>47064</v>
      </c>
      <c r="U3847" t="s">
        <v>50753</v>
      </c>
      <c r="W3847" t="s">
        <v>41785</v>
      </c>
      <c r="X3847" t="s">
        <v>45102</v>
      </c>
    </row>
    <row r="3848" spans="1:24">
      <c r="A3848">
        <f>HYPERLINK("https://www.philgeps.gov.ph/GEPSNONPILOT/Tender/SplashBidNoticeAbstractUI.aspx?menuIndex=3&amp;refID=7041213&amp;Result=3","7041213")</f>
        <v>0</v>
      </c>
      <c r="B3848" t="s">
        <v>1327</v>
      </c>
      <c r="C3848" t="s">
        <v>6869</v>
      </c>
      <c r="E3848" t="s">
        <v>6869</v>
      </c>
      <c r="F3848" t="s">
        <v>31574</v>
      </c>
      <c r="G3848" t="s">
        <v>31581</v>
      </c>
      <c r="H3848" t="s">
        <v>31590</v>
      </c>
      <c r="I3848" t="s">
        <v>7185</v>
      </c>
      <c r="J3848" t="s">
        <v>34323</v>
      </c>
      <c r="K3848" t="s">
        <v>41193</v>
      </c>
      <c r="M3848" t="s">
        <v>42897</v>
      </c>
      <c r="N3848" t="s">
        <v>45095</v>
      </c>
      <c r="O3848" t="s">
        <v>45096</v>
      </c>
      <c r="P3848">
        <v>0</v>
      </c>
      <c r="Q3848">
        <v>0</v>
      </c>
      <c r="R3848" t="s">
        <v>45101</v>
      </c>
      <c r="S3848" t="s">
        <v>45231</v>
      </c>
      <c r="T3848" t="s">
        <v>47154</v>
      </c>
      <c r="U3848" t="s">
        <v>50754</v>
      </c>
      <c r="W3848" t="s">
        <v>42897</v>
      </c>
      <c r="X3848" t="s">
        <v>45102</v>
      </c>
    </row>
    <row r="3849" spans="1:24">
      <c r="A3849">
        <f>HYPERLINK("https://www.philgeps.gov.ph/GEPSNONPILOT/Tender/SplashBidNoticeAbstractUI.aspx?menuIndex=3&amp;refID=7041189&amp;Result=3","7041189")</f>
        <v>0</v>
      </c>
      <c r="B3849" t="s">
        <v>1359</v>
      </c>
      <c r="C3849" t="s">
        <v>6870</v>
      </c>
      <c r="D3849" t="s">
        <v>18043</v>
      </c>
      <c r="E3849" t="s">
        <v>21569</v>
      </c>
      <c r="F3849" t="s">
        <v>31574</v>
      </c>
      <c r="G3849" t="s">
        <v>31582</v>
      </c>
      <c r="H3849" t="s">
        <v>31591</v>
      </c>
      <c r="I3849" t="s">
        <v>8822</v>
      </c>
      <c r="J3849" t="s">
        <v>31819</v>
      </c>
      <c r="K3849" t="s">
        <v>41200</v>
      </c>
      <c r="M3849" t="s">
        <v>42931</v>
      </c>
      <c r="N3849" t="s">
        <v>45095</v>
      </c>
      <c r="O3849" t="s">
        <v>45096</v>
      </c>
      <c r="P3849">
        <v>0</v>
      </c>
      <c r="Q3849">
        <v>1</v>
      </c>
      <c r="R3849" t="s">
        <v>45101</v>
      </c>
      <c r="S3849" t="s">
        <v>45231</v>
      </c>
      <c r="T3849" t="s">
        <v>46941</v>
      </c>
      <c r="U3849" t="s">
        <v>50755</v>
      </c>
      <c r="V3849" t="s">
        <v>60230</v>
      </c>
      <c r="W3849" t="s">
        <v>42931</v>
      </c>
      <c r="X3849" t="s">
        <v>45102</v>
      </c>
    </row>
    <row r="3850" spans="1:24">
      <c r="A3850">
        <f>HYPERLINK("https://www.philgeps.gov.ph/GEPSNONPILOT/Tender/SplashBidNoticeAbstractUI.aspx?menuIndex=3&amp;refID=7041184&amp;Result=3","7041184")</f>
        <v>0</v>
      </c>
      <c r="B3850" t="s">
        <v>1352</v>
      </c>
      <c r="C3850" t="s">
        <v>6871</v>
      </c>
      <c r="D3850" t="s">
        <v>18076</v>
      </c>
      <c r="E3850" t="s">
        <v>21570</v>
      </c>
      <c r="F3850" t="s">
        <v>31574</v>
      </c>
      <c r="G3850" t="s">
        <v>31581</v>
      </c>
      <c r="H3850" t="s">
        <v>31590</v>
      </c>
      <c r="I3850" t="s">
        <v>4327</v>
      </c>
      <c r="J3850" t="s">
        <v>33894</v>
      </c>
      <c r="K3850" t="s">
        <v>41193</v>
      </c>
      <c r="M3850" t="s">
        <v>42924</v>
      </c>
      <c r="N3850" t="s">
        <v>45095</v>
      </c>
      <c r="O3850" t="s">
        <v>45096</v>
      </c>
      <c r="P3850">
        <v>0</v>
      </c>
      <c r="Q3850">
        <v>2</v>
      </c>
      <c r="R3850" t="s">
        <v>45101</v>
      </c>
      <c r="S3850" t="s">
        <v>45231</v>
      </c>
      <c r="T3850" t="s">
        <v>46949</v>
      </c>
      <c r="U3850" t="s">
        <v>50756</v>
      </c>
      <c r="W3850" t="s">
        <v>42924</v>
      </c>
      <c r="X3850" t="s">
        <v>45102</v>
      </c>
    </row>
    <row r="3851" spans="1:24">
      <c r="A3851">
        <f>HYPERLINK("https://www.philgeps.gov.ph/GEPSNONPILOT/Tender/SplashBidNoticeAbstractUI.aspx?menuIndex=3&amp;refID=7041208&amp;Result=3","7041208")</f>
        <v>0</v>
      </c>
      <c r="B3851" t="s">
        <v>1352</v>
      </c>
      <c r="C3851" t="s">
        <v>6872</v>
      </c>
      <c r="D3851" t="s">
        <v>18076</v>
      </c>
      <c r="E3851" t="s">
        <v>21571</v>
      </c>
      <c r="F3851" t="s">
        <v>31574</v>
      </c>
      <c r="G3851" t="s">
        <v>31581</v>
      </c>
      <c r="H3851" t="s">
        <v>31590</v>
      </c>
      <c r="I3851" t="s">
        <v>31603</v>
      </c>
      <c r="J3851" t="s">
        <v>31947</v>
      </c>
      <c r="K3851" t="s">
        <v>41193</v>
      </c>
      <c r="M3851" t="s">
        <v>42924</v>
      </c>
      <c r="N3851" t="s">
        <v>45095</v>
      </c>
      <c r="O3851" t="s">
        <v>45096</v>
      </c>
      <c r="P3851">
        <v>0</v>
      </c>
      <c r="Q3851">
        <v>5</v>
      </c>
      <c r="R3851" t="s">
        <v>45101</v>
      </c>
      <c r="S3851" t="s">
        <v>45231</v>
      </c>
      <c r="T3851" t="s">
        <v>46949</v>
      </c>
      <c r="U3851" t="s">
        <v>50757</v>
      </c>
      <c r="W3851" t="s">
        <v>42924</v>
      </c>
      <c r="X3851" t="s">
        <v>45102</v>
      </c>
    </row>
    <row r="3852" spans="1:24">
      <c r="A3852">
        <f>HYPERLINK("https://www.philgeps.gov.ph/GEPSNONPILOT/Tender/SplashBidNoticeAbstractUI.aspx?menuIndex=3&amp;refID=7041206&amp;Result=3","7041206")</f>
        <v>0</v>
      </c>
      <c r="B3852" t="s">
        <v>1360</v>
      </c>
      <c r="C3852" t="s">
        <v>6873</v>
      </c>
      <c r="D3852" t="s">
        <v>18072</v>
      </c>
      <c r="E3852" t="s">
        <v>21572</v>
      </c>
      <c r="F3852" t="s">
        <v>31575</v>
      </c>
      <c r="G3852" t="s">
        <v>31582</v>
      </c>
      <c r="H3852" t="s">
        <v>31590</v>
      </c>
      <c r="I3852" t="s">
        <v>4046</v>
      </c>
      <c r="J3852" t="s">
        <v>34327</v>
      </c>
      <c r="K3852" t="s">
        <v>41192</v>
      </c>
      <c r="M3852" t="s">
        <v>42932</v>
      </c>
      <c r="N3852" t="s">
        <v>45095</v>
      </c>
      <c r="O3852" t="s">
        <v>45096</v>
      </c>
      <c r="P3852">
        <v>0</v>
      </c>
      <c r="Q3852">
        <v>0</v>
      </c>
      <c r="R3852" t="s">
        <v>45101</v>
      </c>
      <c r="S3852" t="s">
        <v>45231</v>
      </c>
      <c r="T3852" t="s">
        <v>47079</v>
      </c>
      <c r="U3852" t="s">
        <v>50758</v>
      </c>
      <c r="W3852" t="s">
        <v>42932</v>
      </c>
      <c r="X3852" t="s">
        <v>45102</v>
      </c>
    </row>
    <row r="3853" spans="1:24">
      <c r="A3853">
        <f>HYPERLINK("https://www.philgeps.gov.ph/GEPSNONPILOT/Tender/SplashBidNoticeAbstractUI.aspx?menuIndex=3&amp;refID=7041211&amp;Result=3","7041211")</f>
        <v>0</v>
      </c>
      <c r="B3853" t="s">
        <v>1310</v>
      </c>
      <c r="C3853" t="s">
        <v>6874</v>
      </c>
      <c r="D3853" t="s">
        <v>18074</v>
      </c>
      <c r="E3853" t="s">
        <v>21573</v>
      </c>
      <c r="F3853" t="s">
        <v>31574</v>
      </c>
      <c r="G3853" t="s">
        <v>31582</v>
      </c>
      <c r="H3853" t="s">
        <v>31590</v>
      </c>
      <c r="I3853" t="s">
        <v>6800</v>
      </c>
      <c r="J3853" t="s">
        <v>34328</v>
      </c>
      <c r="K3853" t="s">
        <v>41190</v>
      </c>
      <c r="M3853" t="s">
        <v>42880</v>
      </c>
      <c r="N3853" t="s">
        <v>45095</v>
      </c>
      <c r="O3853" t="s">
        <v>45096</v>
      </c>
      <c r="P3853">
        <v>0</v>
      </c>
      <c r="Q3853">
        <v>0</v>
      </c>
      <c r="R3853" t="s">
        <v>45101</v>
      </c>
      <c r="S3853" t="s">
        <v>45231</v>
      </c>
      <c r="T3853" t="s">
        <v>47043</v>
      </c>
      <c r="U3853" t="s">
        <v>50759</v>
      </c>
      <c r="W3853" t="s">
        <v>42880</v>
      </c>
      <c r="X3853" t="s">
        <v>45102</v>
      </c>
    </row>
    <row r="3854" spans="1:24">
      <c r="A3854">
        <f>HYPERLINK("https://www.philgeps.gov.ph/GEPSNONPILOT/Tender/SplashBidNoticeAbstractUI.aspx?menuIndex=3&amp;refID=7041178&amp;Result=3","7041178")</f>
        <v>0</v>
      </c>
      <c r="B3854" t="s">
        <v>1352</v>
      </c>
      <c r="C3854" t="s">
        <v>6875</v>
      </c>
      <c r="D3854" t="s">
        <v>18076</v>
      </c>
      <c r="E3854" t="s">
        <v>21574</v>
      </c>
      <c r="F3854" t="s">
        <v>31574</v>
      </c>
      <c r="G3854" t="s">
        <v>31581</v>
      </c>
      <c r="H3854" t="s">
        <v>31592</v>
      </c>
      <c r="I3854" t="s">
        <v>3489</v>
      </c>
      <c r="J3854" t="s">
        <v>31888</v>
      </c>
      <c r="K3854" t="s">
        <v>41193</v>
      </c>
      <c r="M3854" t="s">
        <v>42924</v>
      </c>
      <c r="N3854" t="s">
        <v>45095</v>
      </c>
      <c r="O3854" t="s">
        <v>45096</v>
      </c>
      <c r="P3854">
        <v>0</v>
      </c>
      <c r="Q3854">
        <v>0</v>
      </c>
      <c r="R3854" t="s">
        <v>45101</v>
      </c>
      <c r="S3854" t="s">
        <v>45231</v>
      </c>
      <c r="T3854" t="s">
        <v>46949</v>
      </c>
      <c r="U3854" t="s">
        <v>50760</v>
      </c>
      <c r="W3854" t="s">
        <v>42924</v>
      </c>
      <c r="X3854" t="s">
        <v>45102</v>
      </c>
    </row>
    <row r="3855" spans="1:24">
      <c r="A3855">
        <f>HYPERLINK("https://www.philgeps.gov.ph/GEPSNONPILOT/Tender/SplashBidNoticeAbstractUI.aspx?menuIndex=3&amp;refID=7041204&amp;Result=3","7041204")</f>
        <v>0</v>
      </c>
      <c r="B3855" t="s">
        <v>1319</v>
      </c>
      <c r="C3855" t="s">
        <v>6876</v>
      </c>
      <c r="D3855" t="s">
        <v>18075</v>
      </c>
      <c r="E3855" t="s">
        <v>21575</v>
      </c>
      <c r="F3855" t="s">
        <v>31574</v>
      </c>
      <c r="G3855" t="s">
        <v>31581</v>
      </c>
      <c r="H3855" t="s">
        <v>31590</v>
      </c>
      <c r="I3855" t="s">
        <v>8258</v>
      </c>
      <c r="J3855" t="s">
        <v>31845</v>
      </c>
      <c r="K3855" t="s">
        <v>41190</v>
      </c>
      <c r="M3855" t="s">
        <v>42889</v>
      </c>
      <c r="N3855" t="s">
        <v>45095</v>
      </c>
      <c r="O3855" t="s">
        <v>45096</v>
      </c>
      <c r="P3855">
        <v>0</v>
      </c>
      <c r="Q3855">
        <v>0</v>
      </c>
      <c r="R3855" t="s">
        <v>45101</v>
      </c>
      <c r="S3855" t="s">
        <v>45231</v>
      </c>
      <c r="T3855" t="s">
        <v>46985</v>
      </c>
      <c r="U3855" t="s">
        <v>50761</v>
      </c>
      <c r="V3855" t="s">
        <v>60227</v>
      </c>
      <c r="W3855" t="s">
        <v>42889</v>
      </c>
      <c r="X3855" t="s">
        <v>45102</v>
      </c>
    </row>
    <row r="3856" spans="1:24">
      <c r="A3856">
        <f>HYPERLINK("https://www.philgeps.gov.ph/GEPSNONPILOT/Tender/SplashBidNoticeAbstractUI.aspx?menuIndex=3&amp;refID=7041177&amp;Result=3","7041177")</f>
        <v>0</v>
      </c>
      <c r="B3856" t="s">
        <v>397</v>
      </c>
      <c r="C3856" t="s">
        <v>6877</v>
      </c>
      <c r="D3856" t="s">
        <v>18040</v>
      </c>
      <c r="E3856" t="s">
        <v>21576</v>
      </c>
      <c r="F3856" t="s">
        <v>31574</v>
      </c>
      <c r="G3856" t="s">
        <v>31581</v>
      </c>
      <c r="H3856" t="s">
        <v>31590</v>
      </c>
      <c r="I3856" t="s">
        <v>4046</v>
      </c>
      <c r="J3856" t="s">
        <v>34329</v>
      </c>
      <c r="K3856" t="s">
        <v>41184</v>
      </c>
      <c r="M3856" t="s">
        <v>41888</v>
      </c>
      <c r="N3856" t="s">
        <v>45095</v>
      </c>
      <c r="O3856" t="s">
        <v>45096</v>
      </c>
      <c r="P3856">
        <v>0</v>
      </c>
      <c r="Q3856">
        <v>1</v>
      </c>
      <c r="R3856" t="s">
        <v>45101</v>
      </c>
      <c r="S3856" t="s">
        <v>45231</v>
      </c>
      <c r="T3856" t="s">
        <v>47067</v>
      </c>
      <c r="U3856" t="s">
        <v>50762</v>
      </c>
      <c r="W3856" t="s">
        <v>41888</v>
      </c>
      <c r="X3856" t="s">
        <v>45102</v>
      </c>
    </row>
    <row r="3857" spans="1:24">
      <c r="A3857">
        <f>HYPERLINK("https://www.philgeps.gov.ph/GEPSNONPILOT/Tender/SplashBidNoticeAbstractUI.aspx?menuIndex=3&amp;refID=7041212&amp;Result=3","7041212")</f>
        <v>0</v>
      </c>
      <c r="B3857" t="s">
        <v>767</v>
      </c>
      <c r="C3857" t="s">
        <v>6878</v>
      </c>
      <c r="D3857" t="s">
        <v>18068</v>
      </c>
      <c r="E3857" t="s">
        <v>21577</v>
      </c>
      <c r="F3857" t="s">
        <v>31574</v>
      </c>
      <c r="G3857" t="s">
        <v>31582</v>
      </c>
      <c r="H3857" t="s">
        <v>31590</v>
      </c>
      <c r="I3857" t="s">
        <v>4046</v>
      </c>
      <c r="J3857" t="s">
        <v>34330</v>
      </c>
      <c r="K3857" t="s">
        <v>41191</v>
      </c>
      <c r="M3857" t="s">
        <v>42281</v>
      </c>
      <c r="N3857" t="s">
        <v>45095</v>
      </c>
      <c r="O3857" t="s">
        <v>45096</v>
      </c>
      <c r="P3857">
        <v>0</v>
      </c>
      <c r="Q3857">
        <v>0</v>
      </c>
      <c r="R3857" t="s">
        <v>45101</v>
      </c>
      <c r="S3857" t="s">
        <v>45231</v>
      </c>
      <c r="T3857" t="s">
        <v>47172</v>
      </c>
      <c r="U3857" t="s">
        <v>50763</v>
      </c>
      <c r="V3857" t="s">
        <v>60231</v>
      </c>
      <c r="W3857" t="s">
        <v>42281</v>
      </c>
      <c r="X3857" t="s">
        <v>45102</v>
      </c>
    </row>
    <row r="3858" spans="1:24">
      <c r="A3858">
        <f>HYPERLINK("https://www.philgeps.gov.ph/GEPSNONPILOT/Tender/SplashBidNoticeAbstractUI.aspx?menuIndex=3&amp;refID=7041217&amp;Result=3","7041217")</f>
        <v>0</v>
      </c>
      <c r="B3858" t="s">
        <v>1361</v>
      </c>
      <c r="C3858" t="s">
        <v>6879</v>
      </c>
      <c r="D3858" t="s">
        <v>18030</v>
      </c>
      <c r="E3858" t="s">
        <v>21578</v>
      </c>
      <c r="F3858" t="s">
        <v>31574</v>
      </c>
      <c r="G3858" t="s">
        <v>31581</v>
      </c>
      <c r="H3858" t="s">
        <v>31590</v>
      </c>
      <c r="I3858" t="s">
        <v>31626</v>
      </c>
      <c r="J3858" t="s">
        <v>34331</v>
      </c>
      <c r="K3858" t="s">
        <v>41184</v>
      </c>
      <c r="M3858" t="s">
        <v>42933</v>
      </c>
      <c r="N3858" t="s">
        <v>45095</v>
      </c>
      <c r="O3858" t="s">
        <v>45096</v>
      </c>
      <c r="P3858">
        <v>0</v>
      </c>
      <c r="Q3858">
        <v>5</v>
      </c>
      <c r="R3858" t="s">
        <v>45101</v>
      </c>
      <c r="S3858" t="s">
        <v>45231</v>
      </c>
      <c r="T3858" t="s">
        <v>46936</v>
      </c>
      <c r="U3858" t="s">
        <v>50764</v>
      </c>
      <c r="W3858" t="s">
        <v>42933</v>
      </c>
      <c r="X3858" t="s">
        <v>45102</v>
      </c>
    </row>
    <row r="3859" spans="1:24">
      <c r="A3859">
        <f>HYPERLINK("https://www.philgeps.gov.ph/GEPSNONPILOT/Tender/SplashBidNoticeAbstractUI.aspx?menuIndex=3&amp;refID=7041200&amp;Result=3","7041200")</f>
        <v>0</v>
      </c>
      <c r="B3859" t="s">
        <v>1352</v>
      </c>
      <c r="C3859" t="s">
        <v>6880</v>
      </c>
      <c r="D3859" t="s">
        <v>18076</v>
      </c>
      <c r="E3859" t="s">
        <v>21579</v>
      </c>
      <c r="F3859" t="s">
        <v>31574</v>
      </c>
      <c r="G3859" t="s">
        <v>31581</v>
      </c>
      <c r="H3859" t="s">
        <v>31590</v>
      </c>
      <c r="I3859" t="s">
        <v>5717</v>
      </c>
      <c r="J3859" t="s">
        <v>34332</v>
      </c>
      <c r="K3859" t="s">
        <v>41193</v>
      </c>
      <c r="M3859" t="s">
        <v>42924</v>
      </c>
      <c r="N3859" t="s">
        <v>45095</v>
      </c>
      <c r="O3859" t="s">
        <v>45096</v>
      </c>
      <c r="P3859">
        <v>0</v>
      </c>
      <c r="Q3859">
        <v>3</v>
      </c>
      <c r="R3859" t="s">
        <v>45101</v>
      </c>
      <c r="S3859" t="s">
        <v>45231</v>
      </c>
      <c r="T3859" t="s">
        <v>46949</v>
      </c>
      <c r="U3859" t="s">
        <v>50765</v>
      </c>
      <c r="W3859" t="s">
        <v>42924</v>
      </c>
      <c r="X3859" t="s">
        <v>45102</v>
      </c>
    </row>
    <row r="3860" spans="1:24">
      <c r="A3860">
        <f>HYPERLINK("https://www.philgeps.gov.ph/GEPSNONPILOT/Tender/SplashBidNoticeAbstractUI.aspx?menuIndex=3&amp;refID=7041207&amp;Result=3","7041207")</f>
        <v>0</v>
      </c>
      <c r="B3860" t="s">
        <v>1357</v>
      </c>
      <c r="C3860" t="s">
        <v>6881</v>
      </c>
      <c r="D3860" t="s">
        <v>18054</v>
      </c>
      <c r="E3860" t="s">
        <v>21580</v>
      </c>
      <c r="F3860" t="s">
        <v>31574</v>
      </c>
      <c r="G3860" t="s">
        <v>31582</v>
      </c>
      <c r="H3860" t="s">
        <v>31590</v>
      </c>
      <c r="I3860" t="s">
        <v>4327</v>
      </c>
      <c r="J3860" t="s">
        <v>34333</v>
      </c>
      <c r="K3860" t="s">
        <v>41192</v>
      </c>
      <c r="M3860" t="s">
        <v>42929</v>
      </c>
      <c r="N3860" t="s">
        <v>45095</v>
      </c>
      <c r="O3860" t="s">
        <v>45096</v>
      </c>
      <c r="P3860">
        <v>0</v>
      </c>
      <c r="Q3860">
        <v>1</v>
      </c>
      <c r="R3860" t="s">
        <v>45101</v>
      </c>
      <c r="S3860" t="s">
        <v>45231</v>
      </c>
      <c r="T3860" t="s">
        <v>46918</v>
      </c>
      <c r="U3860" t="s">
        <v>50750</v>
      </c>
      <c r="V3860" t="s">
        <v>60229</v>
      </c>
      <c r="W3860" t="s">
        <v>42929</v>
      </c>
      <c r="X3860" t="s">
        <v>45102</v>
      </c>
    </row>
    <row r="3861" spans="1:24">
      <c r="A3861">
        <f>HYPERLINK("https://www.philgeps.gov.ph/GEPSNONPILOT/Tender/SplashBidNoticeAbstractUI.aspx?menuIndex=3&amp;refID=7041203&amp;Result=3","7041203")</f>
        <v>0</v>
      </c>
      <c r="B3861" t="s">
        <v>1362</v>
      </c>
      <c r="C3861" t="s">
        <v>6882</v>
      </c>
      <c r="D3861" t="s">
        <v>18027</v>
      </c>
      <c r="E3861" t="s">
        <v>21581</v>
      </c>
      <c r="F3861" t="s">
        <v>31574</v>
      </c>
      <c r="G3861" t="s">
        <v>31583</v>
      </c>
      <c r="H3861" t="s">
        <v>31590</v>
      </c>
      <c r="I3861" t="s">
        <v>3487</v>
      </c>
      <c r="J3861" t="s">
        <v>31931</v>
      </c>
      <c r="K3861" t="s">
        <v>41190</v>
      </c>
      <c r="M3861" t="s">
        <v>42934</v>
      </c>
      <c r="N3861" t="s">
        <v>45095</v>
      </c>
      <c r="O3861" t="s">
        <v>45096</v>
      </c>
      <c r="P3861">
        <v>0</v>
      </c>
      <c r="Q3861">
        <v>2</v>
      </c>
      <c r="R3861" t="s">
        <v>45101</v>
      </c>
      <c r="S3861" t="s">
        <v>45231</v>
      </c>
      <c r="T3861" t="s">
        <v>47159</v>
      </c>
      <c r="U3861" t="s">
        <v>50766</v>
      </c>
      <c r="V3861" t="s">
        <v>60232</v>
      </c>
      <c r="W3861" t="s">
        <v>42934</v>
      </c>
      <c r="X3861" t="s">
        <v>45102</v>
      </c>
    </row>
    <row r="3862" spans="1:24">
      <c r="A3862">
        <f>HYPERLINK("https://www.philgeps.gov.ph/GEPSNONPILOT/Tender/SplashBidNoticeAbstractUI.aspx?menuIndex=3&amp;refID=7041220&amp;Result=3","7041220")</f>
        <v>0</v>
      </c>
      <c r="B3862" t="s">
        <v>1363</v>
      </c>
      <c r="C3862" t="s">
        <v>6883</v>
      </c>
      <c r="D3862" t="s">
        <v>18058</v>
      </c>
      <c r="E3862" t="s">
        <v>21582</v>
      </c>
      <c r="F3862" t="s">
        <v>31574</v>
      </c>
      <c r="G3862" t="s">
        <v>31582</v>
      </c>
      <c r="H3862" t="s">
        <v>31590</v>
      </c>
      <c r="I3862" t="s">
        <v>4046</v>
      </c>
      <c r="J3862" t="s">
        <v>34334</v>
      </c>
      <c r="K3862" t="s">
        <v>41196</v>
      </c>
      <c r="M3862" t="s">
        <v>42935</v>
      </c>
      <c r="N3862" t="s">
        <v>45095</v>
      </c>
      <c r="O3862" t="s">
        <v>45096</v>
      </c>
      <c r="P3862">
        <v>0</v>
      </c>
      <c r="Q3862">
        <v>0</v>
      </c>
      <c r="R3862" t="s">
        <v>45101</v>
      </c>
      <c r="S3862" t="s">
        <v>45231</v>
      </c>
      <c r="T3862" t="s">
        <v>46918</v>
      </c>
      <c r="U3862" t="s">
        <v>50767</v>
      </c>
      <c r="W3862" t="s">
        <v>42935</v>
      </c>
      <c r="X3862" t="s">
        <v>45102</v>
      </c>
    </row>
    <row r="3863" spans="1:24">
      <c r="A3863">
        <f>HYPERLINK("https://www.philgeps.gov.ph/GEPSNONPILOT/Tender/SplashBidNoticeAbstractUI.aspx?menuIndex=3&amp;refID=7041219&amp;Result=3","7041219")</f>
        <v>0</v>
      </c>
      <c r="B3863" t="s">
        <v>736</v>
      </c>
      <c r="C3863" t="s">
        <v>6884</v>
      </c>
      <c r="D3863" t="s">
        <v>18079</v>
      </c>
      <c r="E3863" t="s">
        <v>21583</v>
      </c>
      <c r="F3863" t="s">
        <v>31574</v>
      </c>
      <c r="G3863" t="s">
        <v>31582</v>
      </c>
      <c r="H3863" t="s">
        <v>31590</v>
      </c>
      <c r="I3863" t="s">
        <v>31599</v>
      </c>
      <c r="J3863" t="s">
        <v>32049</v>
      </c>
      <c r="K3863" t="s">
        <v>41186</v>
      </c>
      <c r="M3863" t="s">
        <v>42247</v>
      </c>
      <c r="N3863" t="s">
        <v>45095</v>
      </c>
      <c r="O3863" t="s">
        <v>45096</v>
      </c>
      <c r="P3863">
        <v>0</v>
      </c>
      <c r="Q3863">
        <v>0</v>
      </c>
      <c r="R3863" t="s">
        <v>45101</v>
      </c>
      <c r="S3863" t="s">
        <v>45231</v>
      </c>
      <c r="T3863" t="s">
        <v>47166</v>
      </c>
      <c r="U3863" t="s">
        <v>50768</v>
      </c>
      <c r="V3863" t="s">
        <v>60233</v>
      </c>
      <c r="W3863" t="s">
        <v>42247</v>
      </c>
      <c r="X3863" t="s">
        <v>45102</v>
      </c>
    </row>
    <row r="3864" spans="1:24">
      <c r="A3864">
        <f>HYPERLINK("https://www.philgeps.gov.ph/GEPSNONPILOT/Tender/SplashBidNoticeAbstractUI.aspx?menuIndex=3&amp;refID=7041223&amp;Result=3","7041223")</f>
        <v>0</v>
      </c>
      <c r="B3864" t="s">
        <v>1364</v>
      </c>
      <c r="C3864" t="s">
        <v>6885</v>
      </c>
      <c r="D3864" t="s">
        <v>18044</v>
      </c>
      <c r="E3864" t="s">
        <v>21584</v>
      </c>
      <c r="F3864" t="s">
        <v>31574</v>
      </c>
      <c r="G3864" t="s">
        <v>31581</v>
      </c>
      <c r="H3864" t="s">
        <v>31590</v>
      </c>
      <c r="I3864" t="s">
        <v>14544</v>
      </c>
      <c r="J3864" t="s">
        <v>34335</v>
      </c>
      <c r="K3864" t="s">
        <v>41193</v>
      </c>
      <c r="M3864" t="s">
        <v>42936</v>
      </c>
      <c r="N3864" t="s">
        <v>45095</v>
      </c>
      <c r="O3864" t="s">
        <v>45096</v>
      </c>
      <c r="P3864">
        <v>0</v>
      </c>
      <c r="Q3864">
        <v>0</v>
      </c>
      <c r="R3864" t="s">
        <v>45101</v>
      </c>
      <c r="S3864" t="s">
        <v>45231</v>
      </c>
      <c r="T3864" t="s">
        <v>46918</v>
      </c>
      <c r="U3864" t="s">
        <v>50769</v>
      </c>
      <c r="W3864" t="s">
        <v>42936</v>
      </c>
      <c r="X3864" t="s">
        <v>45102</v>
      </c>
    </row>
    <row r="3865" spans="1:24">
      <c r="A3865">
        <f>HYPERLINK("https://www.philgeps.gov.ph/GEPSNONPILOT/Tender/SplashBidNoticeAbstractUI.aspx?menuIndex=3&amp;refID=7041201&amp;Result=3","7041201")</f>
        <v>0</v>
      </c>
      <c r="B3865" t="s">
        <v>274</v>
      </c>
      <c r="C3865" t="s">
        <v>6886</v>
      </c>
      <c r="D3865" t="s">
        <v>18071</v>
      </c>
      <c r="E3865" t="s">
        <v>21585</v>
      </c>
      <c r="F3865" t="s">
        <v>31574</v>
      </c>
      <c r="G3865" t="s">
        <v>31585</v>
      </c>
      <c r="H3865" t="s">
        <v>31590</v>
      </c>
      <c r="I3865" t="s">
        <v>31608</v>
      </c>
      <c r="J3865" t="s">
        <v>31947</v>
      </c>
      <c r="K3865" t="s">
        <v>41184</v>
      </c>
      <c r="M3865" t="s">
        <v>41760</v>
      </c>
      <c r="N3865" t="s">
        <v>45095</v>
      </c>
      <c r="O3865" t="s">
        <v>45096</v>
      </c>
      <c r="P3865">
        <v>0</v>
      </c>
      <c r="Q3865">
        <v>2</v>
      </c>
      <c r="R3865" t="s">
        <v>45101</v>
      </c>
      <c r="S3865" t="s">
        <v>45231</v>
      </c>
      <c r="T3865" t="s">
        <v>47154</v>
      </c>
      <c r="U3865" t="s">
        <v>50770</v>
      </c>
      <c r="W3865" t="s">
        <v>61660</v>
      </c>
      <c r="X3865" t="s">
        <v>45102</v>
      </c>
    </row>
    <row r="3866" spans="1:24">
      <c r="A3866">
        <f>HYPERLINK("https://www.philgeps.gov.ph/GEPSNONPILOT/Tender/SplashBidNoticeAbstractUI.aspx?menuIndex=3&amp;refID=7041235&amp;Result=3","7041235")</f>
        <v>0</v>
      </c>
      <c r="B3866" t="s">
        <v>1365</v>
      </c>
      <c r="C3866" t="s">
        <v>6887</v>
      </c>
      <c r="D3866" t="s">
        <v>18050</v>
      </c>
      <c r="E3866" t="s">
        <v>21586</v>
      </c>
      <c r="F3866" t="s">
        <v>31576</v>
      </c>
      <c r="G3866" t="s">
        <v>31583</v>
      </c>
      <c r="H3866" t="s">
        <v>31590</v>
      </c>
      <c r="I3866" t="s">
        <v>3489</v>
      </c>
      <c r="J3866" t="s">
        <v>34336</v>
      </c>
      <c r="K3866" t="s">
        <v>41196</v>
      </c>
      <c r="M3866" t="s">
        <v>42937</v>
      </c>
      <c r="N3866" t="s">
        <v>45095</v>
      </c>
      <c r="O3866" t="s">
        <v>45096</v>
      </c>
      <c r="P3866">
        <v>0</v>
      </c>
      <c r="Q3866">
        <v>0</v>
      </c>
      <c r="R3866" t="s">
        <v>45101</v>
      </c>
      <c r="S3866" t="s">
        <v>45231</v>
      </c>
      <c r="T3866" t="s">
        <v>46957</v>
      </c>
      <c r="U3866" t="s">
        <v>50771</v>
      </c>
      <c r="W3866" t="s">
        <v>42937</v>
      </c>
      <c r="X3866" t="s">
        <v>45102</v>
      </c>
    </row>
    <row r="3867" spans="1:24">
      <c r="A3867">
        <f>HYPERLINK("https://www.philgeps.gov.ph/GEPSNONPILOT/Tender/SplashBidNoticeAbstractUI.aspx?menuIndex=3&amp;refID=7041231&amp;Result=3","7041231")</f>
        <v>0</v>
      </c>
      <c r="B3867" t="s">
        <v>1357</v>
      </c>
      <c r="C3867" t="s">
        <v>6888</v>
      </c>
      <c r="D3867" t="s">
        <v>18054</v>
      </c>
      <c r="E3867" t="s">
        <v>21587</v>
      </c>
      <c r="F3867" t="s">
        <v>31574</v>
      </c>
      <c r="G3867" t="s">
        <v>31582</v>
      </c>
      <c r="H3867" t="s">
        <v>31590</v>
      </c>
      <c r="I3867" t="s">
        <v>31615</v>
      </c>
      <c r="J3867" t="s">
        <v>31935</v>
      </c>
      <c r="K3867" t="s">
        <v>41192</v>
      </c>
      <c r="M3867" t="s">
        <v>42929</v>
      </c>
      <c r="N3867" t="s">
        <v>45095</v>
      </c>
      <c r="O3867" t="s">
        <v>45096</v>
      </c>
      <c r="P3867">
        <v>0</v>
      </c>
      <c r="Q3867">
        <v>1</v>
      </c>
      <c r="R3867" t="s">
        <v>45101</v>
      </c>
      <c r="S3867" t="s">
        <v>45231</v>
      </c>
      <c r="T3867" t="s">
        <v>46918</v>
      </c>
      <c r="U3867" t="s">
        <v>50750</v>
      </c>
      <c r="V3867" t="s">
        <v>60229</v>
      </c>
      <c r="W3867" t="s">
        <v>42929</v>
      </c>
      <c r="X3867" t="s">
        <v>45102</v>
      </c>
    </row>
    <row r="3868" spans="1:24">
      <c r="A3868">
        <f>HYPERLINK("https://www.philgeps.gov.ph/GEPSNONPILOT/Tender/SplashBidNoticeAbstractUI.aspx?menuIndex=3&amp;refID=7041234&amp;Result=3","7041234")</f>
        <v>0</v>
      </c>
      <c r="B3868" t="s">
        <v>841</v>
      </c>
      <c r="C3868" t="s">
        <v>6889</v>
      </c>
      <c r="D3868" t="s">
        <v>18101</v>
      </c>
      <c r="E3868" t="s">
        <v>21588</v>
      </c>
      <c r="F3868" t="s">
        <v>31574</v>
      </c>
      <c r="G3868" t="s">
        <v>31582</v>
      </c>
      <c r="H3868" t="s">
        <v>31590</v>
      </c>
      <c r="I3868" t="s">
        <v>31602</v>
      </c>
      <c r="J3868" t="s">
        <v>34337</v>
      </c>
      <c r="K3868" t="s">
        <v>41186</v>
      </c>
      <c r="M3868" t="s">
        <v>42360</v>
      </c>
      <c r="N3868" t="s">
        <v>45095</v>
      </c>
      <c r="O3868" t="s">
        <v>45096</v>
      </c>
      <c r="P3868">
        <v>0</v>
      </c>
      <c r="Q3868">
        <v>0</v>
      </c>
      <c r="R3868" t="s">
        <v>45101</v>
      </c>
      <c r="S3868" t="s">
        <v>45231</v>
      </c>
      <c r="T3868" t="s">
        <v>47037</v>
      </c>
      <c r="U3868" t="s">
        <v>50772</v>
      </c>
      <c r="W3868" t="s">
        <v>42360</v>
      </c>
      <c r="X3868" t="s">
        <v>45102</v>
      </c>
    </row>
    <row r="3869" spans="1:24">
      <c r="A3869">
        <f>HYPERLINK("https://www.philgeps.gov.ph/GEPSNONPILOT/Tender/SplashBidNoticeAbstractUI.aspx?menuIndex=3&amp;refID=7041232&amp;Result=3","7041232")</f>
        <v>0</v>
      </c>
      <c r="B3869" t="s">
        <v>1327</v>
      </c>
      <c r="C3869" t="s">
        <v>6890</v>
      </c>
      <c r="E3869" t="s">
        <v>6890</v>
      </c>
      <c r="F3869" t="s">
        <v>31574</v>
      </c>
      <c r="G3869" t="s">
        <v>31581</v>
      </c>
      <c r="H3869" t="s">
        <v>31590</v>
      </c>
      <c r="I3869" t="s">
        <v>7185</v>
      </c>
      <c r="J3869" t="s">
        <v>34338</v>
      </c>
      <c r="K3869" t="s">
        <v>41193</v>
      </c>
      <c r="M3869" t="s">
        <v>42897</v>
      </c>
      <c r="N3869" t="s">
        <v>45095</v>
      </c>
      <c r="O3869" t="s">
        <v>45096</v>
      </c>
      <c r="P3869">
        <v>0</v>
      </c>
      <c r="Q3869">
        <v>0</v>
      </c>
      <c r="R3869" t="s">
        <v>45101</v>
      </c>
      <c r="S3869" t="s">
        <v>45231</v>
      </c>
      <c r="T3869" t="s">
        <v>47154</v>
      </c>
      <c r="U3869" t="s">
        <v>50773</v>
      </c>
      <c r="W3869" t="s">
        <v>42897</v>
      </c>
      <c r="X3869" t="s">
        <v>45102</v>
      </c>
    </row>
    <row r="3870" spans="1:24">
      <c r="A3870">
        <f>HYPERLINK("https://www.philgeps.gov.ph/GEPSNONPILOT/Tender/SplashBidNoticeAbstractUI.aspx?menuIndex=3&amp;refID=7041259&amp;Result=3","7041259")</f>
        <v>0</v>
      </c>
      <c r="B3870" t="s">
        <v>1357</v>
      </c>
      <c r="C3870" t="s">
        <v>6891</v>
      </c>
      <c r="D3870" t="s">
        <v>18054</v>
      </c>
      <c r="E3870" t="s">
        <v>21589</v>
      </c>
      <c r="F3870" t="s">
        <v>31574</v>
      </c>
      <c r="G3870" t="s">
        <v>31582</v>
      </c>
      <c r="H3870" t="s">
        <v>31590</v>
      </c>
      <c r="I3870" t="s">
        <v>31615</v>
      </c>
      <c r="J3870" t="s">
        <v>34339</v>
      </c>
      <c r="K3870" t="s">
        <v>41192</v>
      </c>
      <c r="M3870" t="s">
        <v>42929</v>
      </c>
      <c r="N3870" t="s">
        <v>45095</v>
      </c>
      <c r="O3870" t="s">
        <v>45096</v>
      </c>
      <c r="P3870">
        <v>0</v>
      </c>
      <c r="Q3870">
        <v>0</v>
      </c>
      <c r="R3870" t="s">
        <v>45101</v>
      </c>
      <c r="S3870" t="s">
        <v>45231</v>
      </c>
      <c r="T3870" t="s">
        <v>46918</v>
      </c>
      <c r="U3870" t="s">
        <v>50750</v>
      </c>
      <c r="V3870" t="s">
        <v>60229</v>
      </c>
      <c r="W3870" t="s">
        <v>42929</v>
      </c>
      <c r="X3870" t="s">
        <v>45102</v>
      </c>
    </row>
    <row r="3871" spans="1:24">
      <c r="A3871">
        <f>HYPERLINK("https://www.philgeps.gov.ph/GEPSNONPILOT/Tender/SplashBidNoticeAbstractUI.aspx?menuIndex=3&amp;refID=7041262&amp;Result=3","7041262")</f>
        <v>0</v>
      </c>
      <c r="B3871" t="s">
        <v>1366</v>
      </c>
      <c r="C3871" t="s">
        <v>6892</v>
      </c>
      <c r="D3871" t="s">
        <v>18099</v>
      </c>
      <c r="E3871" t="s">
        <v>21590</v>
      </c>
      <c r="F3871" t="s">
        <v>31574</v>
      </c>
      <c r="G3871" t="s">
        <v>31583</v>
      </c>
      <c r="H3871" t="s">
        <v>31590</v>
      </c>
      <c r="I3871" t="s">
        <v>31608</v>
      </c>
      <c r="J3871" t="s">
        <v>34340</v>
      </c>
      <c r="K3871" t="s">
        <v>41184</v>
      </c>
      <c r="M3871" t="s">
        <v>42938</v>
      </c>
      <c r="N3871" t="s">
        <v>45095</v>
      </c>
      <c r="O3871" t="s">
        <v>45096</v>
      </c>
      <c r="P3871">
        <v>0</v>
      </c>
      <c r="Q3871">
        <v>1</v>
      </c>
      <c r="R3871" t="s">
        <v>45101</v>
      </c>
      <c r="S3871" t="s">
        <v>45231</v>
      </c>
      <c r="T3871" t="s">
        <v>47158</v>
      </c>
      <c r="U3871" t="s">
        <v>50774</v>
      </c>
      <c r="W3871" t="s">
        <v>42938</v>
      </c>
      <c r="X3871" t="s">
        <v>45102</v>
      </c>
    </row>
    <row r="3872" spans="1:24">
      <c r="A3872">
        <f>HYPERLINK("https://www.philgeps.gov.ph/GEPSNONPILOT/Tender/SplashBidNoticeAbstractUI.aspx?menuIndex=3&amp;refID=7041230&amp;Result=3","7041230")</f>
        <v>0</v>
      </c>
      <c r="B3872" t="s">
        <v>1313</v>
      </c>
      <c r="C3872" t="s">
        <v>6893</v>
      </c>
      <c r="D3872" t="s">
        <v>18063</v>
      </c>
      <c r="E3872" t="s">
        <v>21591</v>
      </c>
      <c r="F3872" t="s">
        <v>31574</v>
      </c>
      <c r="G3872" t="s">
        <v>31581</v>
      </c>
      <c r="H3872" t="s">
        <v>31590</v>
      </c>
      <c r="I3872" t="s">
        <v>31678</v>
      </c>
      <c r="J3872" t="s">
        <v>34341</v>
      </c>
      <c r="K3872" t="s">
        <v>41186</v>
      </c>
      <c r="M3872" t="s">
        <v>42939</v>
      </c>
      <c r="N3872" t="s">
        <v>45095</v>
      </c>
      <c r="O3872" t="s">
        <v>45096</v>
      </c>
      <c r="P3872">
        <v>0</v>
      </c>
      <c r="Q3872">
        <v>3</v>
      </c>
      <c r="R3872" t="s">
        <v>45101</v>
      </c>
      <c r="S3872" t="s">
        <v>45231</v>
      </c>
      <c r="T3872" t="s">
        <v>47158</v>
      </c>
      <c r="U3872" t="s">
        <v>50650</v>
      </c>
      <c r="W3872" t="s">
        <v>42939</v>
      </c>
      <c r="X3872" t="s">
        <v>45102</v>
      </c>
    </row>
    <row r="3873" spans="1:24">
      <c r="A3873">
        <f>HYPERLINK("https://www.philgeps.gov.ph/GEPSNONPILOT/Tender/SplashBidNoticeAbstractUI.aspx?menuIndex=3&amp;refID=7041257&amp;Result=3","7041257")</f>
        <v>0</v>
      </c>
      <c r="B3873" t="s">
        <v>841</v>
      </c>
      <c r="C3873" t="s">
        <v>6894</v>
      </c>
      <c r="D3873" t="s">
        <v>18101</v>
      </c>
      <c r="E3873" t="s">
        <v>21592</v>
      </c>
      <c r="F3873" t="s">
        <v>31574</v>
      </c>
      <c r="G3873" t="s">
        <v>31581</v>
      </c>
      <c r="H3873" t="s">
        <v>31590</v>
      </c>
      <c r="I3873" t="s">
        <v>31648</v>
      </c>
      <c r="J3873" t="s">
        <v>32017</v>
      </c>
      <c r="K3873" t="s">
        <v>41190</v>
      </c>
      <c r="M3873" t="s">
        <v>42360</v>
      </c>
      <c r="N3873" t="s">
        <v>45095</v>
      </c>
      <c r="O3873" t="s">
        <v>45096</v>
      </c>
      <c r="P3873">
        <v>0</v>
      </c>
      <c r="Q3873">
        <v>1</v>
      </c>
      <c r="R3873" t="s">
        <v>45101</v>
      </c>
      <c r="S3873" t="s">
        <v>45231</v>
      </c>
      <c r="T3873" t="s">
        <v>47197</v>
      </c>
      <c r="U3873" t="s">
        <v>50775</v>
      </c>
      <c r="W3873" t="s">
        <v>42360</v>
      </c>
      <c r="X3873" t="s">
        <v>45102</v>
      </c>
    </row>
    <row r="3874" spans="1:24">
      <c r="A3874">
        <f>HYPERLINK("https://www.philgeps.gov.ph/GEPSNONPILOT/Tender/SplashBidNoticeAbstractUI.aspx?menuIndex=3&amp;refID=7041255&amp;Result=3","7041255")</f>
        <v>0</v>
      </c>
      <c r="B3874" t="s">
        <v>1367</v>
      </c>
      <c r="C3874" t="s">
        <v>6895</v>
      </c>
      <c r="D3874" t="s">
        <v>18035</v>
      </c>
      <c r="E3874" t="s">
        <v>21593</v>
      </c>
      <c r="F3874" t="s">
        <v>31574</v>
      </c>
      <c r="G3874" t="s">
        <v>31582</v>
      </c>
      <c r="H3874" t="s">
        <v>31591</v>
      </c>
      <c r="I3874" t="s">
        <v>8822</v>
      </c>
      <c r="J3874" t="s">
        <v>31962</v>
      </c>
      <c r="K3874" t="s">
        <v>41185</v>
      </c>
      <c r="M3874" t="s">
        <v>42940</v>
      </c>
      <c r="N3874" t="s">
        <v>45095</v>
      </c>
      <c r="O3874" t="s">
        <v>45096</v>
      </c>
      <c r="P3874">
        <v>0</v>
      </c>
      <c r="Q3874">
        <v>2</v>
      </c>
      <c r="R3874" t="s">
        <v>45101</v>
      </c>
      <c r="S3874" t="s">
        <v>45231</v>
      </c>
      <c r="T3874" t="s">
        <v>47013</v>
      </c>
      <c r="U3874" t="s">
        <v>50776</v>
      </c>
      <c r="W3874" t="s">
        <v>42940</v>
      </c>
      <c r="X3874" t="s">
        <v>45102</v>
      </c>
    </row>
    <row r="3875" spans="1:24">
      <c r="A3875">
        <f>HYPERLINK("https://www.philgeps.gov.ph/GEPSNONPILOT/Tender/SplashBidNoticeAbstractUI.aspx?menuIndex=3&amp;refID=7041245&amp;Result=3","7041245")</f>
        <v>0</v>
      </c>
      <c r="B3875" t="s">
        <v>1361</v>
      </c>
      <c r="C3875" t="s">
        <v>4327</v>
      </c>
      <c r="D3875" t="s">
        <v>18030</v>
      </c>
      <c r="E3875" t="s">
        <v>21594</v>
      </c>
      <c r="F3875" t="s">
        <v>31574</v>
      </c>
      <c r="G3875" t="s">
        <v>31581</v>
      </c>
      <c r="H3875" t="s">
        <v>31590</v>
      </c>
      <c r="I3875" t="s">
        <v>4327</v>
      </c>
      <c r="J3875" t="s">
        <v>32236</v>
      </c>
      <c r="K3875" t="s">
        <v>41184</v>
      </c>
      <c r="M3875" t="s">
        <v>42933</v>
      </c>
      <c r="N3875" t="s">
        <v>45095</v>
      </c>
      <c r="O3875" t="s">
        <v>45096</v>
      </c>
      <c r="P3875">
        <v>0</v>
      </c>
      <c r="Q3875">
        <v>2</v>
      </c>
      <c r="R3875" t="s">
        <v>45101</v>
      </c>
      <c r="S3875" t="s">
        <v>45231</v>
      </c>
      <c r="T3875" t="s">
        <v>46936</v>
      </c>
      <c r="U3875" t="s">
        <v>50777</v>
      </c>
      <c r="W3875" t="s">
        <v>42933</v>
      </c>
      <c r="X3875" t="s">
        <v>45102</v>
      </c>
    </row>
    <row r="3876" spans="1:24">
      <c r="A3876">
        <f>HYPERLINK("https://www.philgeps.gov.ph/GEPSNONPILOT/Tender/SplashBidNoticeAbstractUI.aspx?menuIndex=3&amp;refID=7041260&amp;Result=3","7041260")</f>
        <v>0</v>
      </c>
      <c r="B3876" t="s">
        <v>1368</v>
      </c>
      <c r="C3876" t="s">
        <v>6896</v>
      </c>
      <c r="D3876" t="s">
        <v>18031</v>
      </c>
      <c r="E3876" t="s">
        <v>21595</v>
      </c>
      <c r="F3876" t="s">
        <v>31574</v>
      </c>
      <c r="G3876" t="s">
        <v>31581</v>
      </c>
      <c r="H3876" t="s">
        <v>31590</v>
      </c>
      <c r="I3876" t="s">
        <v>31610</v>
      </c>
      <c r="J3876" t="s">
        <v>32572</v>
      </c>
      <c r="K3876" t="s">
        <v>41186</v>
      </c>
      <c r="M3876" t="s">
        <v>42941</v>
      </c>
      <c r="N3876" t="s">
        <v>45095</v>
      </c>
      <c r="O3876" t="s">
        <v>45096</v>
      </c>
      <c r="P3876">
        <v>0</v>
      </c>
      <c r="Q3876">
        <v>3</v>
      </c>
      <c r="R3876" t="s">
        <v>45101</v>
      </c>
      <c r="S3876" t="s">
        <v>45231</v>
      </c>
      <c r="T3876" t="s">
        <v>47021</v>
      </c>
      <c r="U3876" t="s">
        <v>50778</v>
      </c>
      <c r="W3876" t="s">
        <v>42941</v>
      </c>
      <c r="X3876" t="s">
        <v>45102</v>
      </c>
    </row>
    <row r="3877" spans="1:24">
      <c r="A3877">
        <f>HYPERLINK("https://www.philgeps.gov.ph/GEPSNONPILOT/Tender/SplashBidNoticeAbstractUI.aspx?menuIndex=3&amp;refID=7041229&amp;Result=3","7041229")</f>
        <v>0</v>
      </c>
      <c r="B3877" t="s">
        <v>1368</v>
      </c>
      <c r="C3877" t="s">
        <v>6897</v>
      </c>
      <c r="D3877" t="s">
        <v>18031</v>
      </c>
      <c r="E3877" t="s">
        <v>21596</v>
      </c>
      <c r="F3877" t="s">
        <v>31574</v>
      </c>
      <c r="G3877" t="s">
        <v>31581</v>
      </c>
      <c r="H3877" t="s">
        <v>31590</v>
      </c>
      <c r="I3877" t="s">
        <v>8258</v>
      </c>
      <c r="J3877" t="s">
        <v>34342</v>
      </c>
      <c r="K3877" t="s">
        <v>41186</v>
      </c>
      <c r="M3877" t="s">
        <v>42941</v>
      </c>
      <c r="N3877" t="s">
        <v>45095</v>
      </c>
      <c r="O3877" t="s">
        <v>45096</v>
      </c>
      <c r="P3877">
        <v>0</v>
      </c>
      <c r="Q3877">
        <v>0</v>
      </c>
      <c r="R3877" t="s">
        <v>45101</v>
      </c>
      <c r="S3877" t="s">
        <v>45231</v>
      </c>
      <c r="T3877" t="s">
        <v>47021</v>
      </c>
      <c r="U3877" t="s">
        <v>50778</v>
      </c>
      <c r="W3877" t="s">
        <v>42941</v>
      </c>
      <c r="X3877" t="s">
        <v>45102</v>
      </c>
    </row>
    <row r="3878" spans="1:24">
      <c r="A3878">
        <f>HYPERLINK("https://www.philgeps.gov.ph/GEPSNONPILOT/Tender/SplashBidNoticeAbstractUI.aspx?menuIndex=3&amp;refID=7041240&amp;Result=3","7041240")</f>
        <v>0</v>
      </c>
      <c r="B3878" t="s">
        <v>1369</v>
      </c>
      <c r="C3878" t="s">
        <v>6898</v>
      </c>
      <c r="D3878" t="s">
        <v>18089</v>
      </c>
      <c r="E3878" t="s">
        <v>21597</v>
      </c>
      <c r="F3878" t="s">
        <v>31574</v>
      </c>
      <c r="G3878" t="s">
        <v>31581</v>
      </c>
      <c r="H3878" t="s">
        <v>31590</v>
      </c>
      <c r="I3878" t="s">
        <v>31612</v>
      </c>
      <c r="J3878" t="s">
        <v>31993</v>
      </c>
      <c r="K3878" t="s">
        <v>41193</v>
      </c>
      <c r="M3878" t="s">
        <v>42942</v>
      </c>
      <c r="N3878" t="s">
        <v>45095</v>
      </c>
      <c r="O3878" t="s">
        <v>45096</v>
      </c>
      <c r="P3878">
        <v>0</v>
      </c>
      <c r="Q3878">
        <v>0</v>
      </c>
      <c r="R3878" t="s">
        <v>45101</v>
      </c>
      <c r="S3878" t="s">
        <v>45231</v>
      </c>
      <c r="T3878" t="s">
        <v>46904</v>
      </c>
      <c r="U3878" t="s">
        <v>50779</v>
      </c>
      <c r="V3878" t="s">
        <v>60234</v>
      </c>
      <c r="W3878" t="s">
        <v>42942</v>
      </c>
      <c r="X3878" t="s">
        <v>45102</v>
      </c>
    </row>
    <row r="3879" spans="1:24">
      <c r="A3879">
        <f>HYPERLINK("https://www.philgeps.gov.ph/GEPSNONPILOT/Tender/SplashBidNoticeAbstractUI.aspx?menuIndex=3&amp;refID=7041280&amp;Result=3","7041280")</f>
        <v>0</v>
      </c>
      <c r="B3879" t="s">
        <v>516</v>
      </c>
      <c r="C3879" t="s">
        <v>6899</v>
      </c>
      <c r="D3879" t="s">
        <v>18031</v>
      </c>
      <c r="E3879" t="s">
        <v>21598</v>
      </c>
      <c r="F3879" t="s">
        <v>31574</v>
      </c>
      <c r="G3879" t="s">
        <v>31581</v>
      </c>
      <c r="H3879" t="s">
        <v>31590</v>
      </c>
      <c r="I3879" t="s">
        <v>31642</v>
      </c>
      <c r="J3879" t="s">
        <v>34343</v>
      </c>
      <c r="K3879" t="s">
        <v>41193</v>
      </c>
      <c r="M3879" t="s">
        <v>42012</v>
      </c>
      <c r="N3879" t="s">
        <v>45095</v>
      </c>
      <c r="O3879" t="s">
        <v>45096</v>
      </c>
      <c r="P3879">
        <v>0</v>
      </c>
      <c r="Q3879">
        <v>2</v>
      </c>
      <c r="R3879" t="s">
        <v>45101</v>
      </c>
      <c r="S3879" t="s">
        <v>45231</v>
      </c>
      <c r="T3879" t="s">
        <v>46918</v>
      </c>
      <c r="U3879" t="s">
        <v>48512</v>
      </c>
      <c r="W3879" t="s">
        <v>42012</v>
      </c>
      <c r="X3879" t="s">
        <v>45102</v>
      </c>
    </row>
    <row r="3880" spans="1:24">
      <c r="A3880">
        <f>HYPERLINK("https://www.philgeps.gov.ph/GEPSNONPILOT/Tender/SplashBidNoticeAbstractUI.aspx?menuIndex=3&amp;refID=7041247&amp;Result=3","7041247")</f>
        <v>0</v>
      </c>
      <c r="B3880" t="s">
        <v>767</v>
      </c>
      <c r="C3880" t="s">
        <v>6900</v>
      </c>
      <c r="D3880" t="s">
        <v>18068</v>
      </c>
      <c r="E3880" t="s">
        <v>21599</v>
      </c>
      <c r="F3880" t="s">
        <v>31574</v>
      </c>
      <c r="G3880" t="s">
        <v>31582</v>
      </c>
      <c r="H3880" t="s">
        <v>31590</v>
      </c>
      <c r="I3880" t="s">
        <v>4046</v>
      </c>
      <c r="J3880" t="s">
        <v>34344</v>
      </c>
      <c r="K3880" t="s">
        <v>41191</v>
      </c>
      <c r="M3880" t="s">
        <v>42281</v>
      </c>
      <c r="N3880" t="s">
        <v>45095</v>
      </c>
      <c r="O3880" t="s">
        <v>45096</v>
      </c>
      <c r="P3880">
        <v>0</v>
      </c>
      <c r="Q3880">
        <v>0</v>
      </c>
      <c r="R3880" t="s">
        <v>45101</v>
      </c>
      <c r="S3880" t="s">
        <v>45231</v>
      </c>
      <c r="T3880" t="s">
        <v>47172</v>
      </c>
      <c r="U3880" t="s">
        <v>50780</v>
      </c>
      <c r="V3880" t="s">
        <v>60231</v>
      </c>
      <c r="W3880" t="s">
        <v>42281</v>
      </c>
      <c r="X3880" t="s">
        <v>45102</v>
      </c>
    </row>
    <row r="3881" spans="1:24">
      <c r="A3881">
        <f>HYPERLINK("https://www.philgeps.gov.ph/GEPSNONPILOT/Tender/SplashBidNoticeAbstractUI.aspx?menuIndex=3&amp;refID=7041275&amp;Result=3","7041275")</f>
        <v>0</v>
      </c>
      <c r="B3881" t="s">
        <v>1370</v>
      </c>
      <c r="C3881" t="s">
        <v>6901</v>
      </c>
      <c r="D3881" t="s">
        <v>18030</v>
      </c>
      <c r="E3881" t="s">
        <v>21600</v>
      </c>
      <c r="F3881" t="s">
        <v>31574</v>
      </c>
      <c r="G3881" t="s">
        <v>31582</v>
      </c>
      <c r="H3881" t="s">
        <v>31590</v>
      </c>
      <c r="I3881" t="s">
        <v>7185</v>
      </c>
      <c r="J3881" t="s">
        <v>34345</v>
      </c>
      <c r="K3881" t="s">
        <v>41193</v>
      </c>
      <c r="M3881" t="s">
        <v>42943</v>
      </c>
      <c r="N3881" t="s">
        <v>45095</v>
      </c>
      <c r="O3881" t="s">
        <v>45096</v>
      </c>
      <c r="P3881">
        <v>0</v>
      </c>
      <c r="Q3881">
        <v>0</v>
      </c>
      <c r="R3881" t="s">
        <v>45101</v>
      </c>
      <c r="S3881" t="s">
        <v>45231</v>
      </c>
      <c r="T3881" t="s">
        <v>46911</v>
      </c>
      <c r="U3881" t="s">
        <v>50781</v>
      </c>
      <c r="W3881" t="s">
        <v>42943</v>
      </c>
      <c r="X3881" t="s">
        <v>45102</v>
      </c>
    </row>
    <row r="3882" spans="1:24">
      <c r="A3882">
        <f>HYPERLINK("https://www.philgeps.gov.ph/GEPSNONPILOT/Tender/SplashBidNoticeAbstractUI.aspx?menuIndex=3&amp;refID=7041264&amp;Result=3","7041264")</f>
        <v>0</v>
      </c>
      <c r="B3882" t="s">
        <v>736</v>
      </c>
      <c r="C3882" t="s">
        <v>6902</v>
      </c>
      <c r="D3882" t="s">
        <v>18079</v>
      </c>
      <c r="E3882" t="s">
        <v>21601</v>
      </c>
      <c r="F3882" t="s">
        <v>31574</v>
      </c>
      <c r="G3882" t="s">
        <v>31582</v>
      </c>
      <c r="H3882" t="s">
        <v>31590</v>
      </c>
      <c r="I3882" t="s">
        <v>3520</v>
      </c>
      <c r="J3882" t="s">
        <v>34346</v>
      </c>
      <c r="K3882" t="s">
        <v>41186</v>
      </c>
      <c r="M3882" t="s">
        <v>42247</v>
      </c>
      <c r="N3882" t="s">
        <v>45095</v>
      </c>
      <c r="O3882" t="s">
        <v>45096</v>
      </c>
      <c r="P3882">
        <v>0</v>
      </c>
      <c r="Q3882">
        <v>2</v>
      </c>
      <c r="R3882" t="s">
        <v>45101</v>
      </c>
      <c r="S3882" t="s">
        <v>45231</v>
      </c>
      <c r="T3882" t="s">
        <v>47166</v>
      </c>
      <c r="U3882" t="s">
        <v>50768</v>
      </c>
      <c r="V3882" t="s">
        <v>60233</v>
      </c>
      <c r="W3882" t="s">
        <v>42247</v>
      </c>
      <c r="X3882" t="s">
        <v>45102</v>
      </c>
    </row>
    <row r="3883" spans="1:24">
      <c r="A3883">
        <f>HYPERLINK("https://www.philgeps.gov.ph/GEPSNONPILOT/Tender/SplashBidNoticeAbstractUI.aspx?menuIndex=3&amp;refID=7041261&amp;Result=3","7041261")</f>
        <v>0</v>
      </c>
      <c r="B3883" t="s">
        <v>1131</v>
      </c>
      <c r="C3883" t="s">
        <v>6903</v>
      </c>
      <c r="D3883" t="s">
        <v>18071</v>
      </c>
      <c r="E3883" t="s">
        <v>21602</v>
      </c>
      <c r="F3883" t="s">
        <v>31574</v>
      </c>
      <c r="G3883" t="s">
        <v>31581</v>
      </c>
      <c r="H3883" t="s">
        <v>31590</v>
      </c>
      <c r="I3883" t="s">
        <v>31611</v>
      </c>
      <c r="J3883" t="s">
        <v>34347</v>
      </c>
      <c r="K3883" t="s">
        <v>41225</v>
      </c>
      <c r="M3883" t="s">
        <v>42682</v>
      </c>
      <c r="N3883" t="s">
        <v>45095</v>
      </c>
      <c r="O3883" t="s">
        <v>45096</v>
      </c>
      <c r="P3883">
        <v>0</v>
      </c>
      <c r="Q3883">
        <v>0</v>
      </c>
      <c r="R3883" t="s">
        <v>45101</v>
      </c>
      <c r="S3883" t="s">
        <v>45231</v>
      </c>
      <c r="T3883" t="s">
        <v>47064</v>
      </c>
      <c r="U3883" t="s">
        <v>50782</v>
      </c>
      <c r="W3883" t="s">
        <v>42682</v>
      </c>
      <c r="X3883" t="s">
        <v>45102</v>
      </c>
    </row>
    <row r="3884" spans="1:24">
      <c r="A3884">
        <f>HYPERLINK("https://www.philgeps.gov.ph/GEPSNONPILOT/Tender/SplashBidNoticeAbstractUI.aspx?menuIndex=3&amp;refID=7041282&amp;Result=3","7041282")</f>
        <v>0</v>
      </c>
      <c r="B3884" t="s">
        <v>1364</v>
      </c>
      <c r="C3884" t="s">
        <v>6904</v>
      </c>
      <c r="D3884" t="s">
        <v>18044</v>
      </c>
      <c r="E3884" t="s">
        <v>21603</v>
      </c>
      <c r="F3884" t="s">
        <v>31574</v>
      </c>
      <c r="G3884" t="s">
        <v>31581</v>
      </c>
      <c r="H3884" t="s">
        <v>31590</v>
      </c>
      <c r="I3884" t="s">
        <v>8258</v>
      </c>
      <c r="J3884" t="s">
        <v>34348</v>
      </c>
      <c r="K3884" t="s">
        <v>41193</v>
      </c>
      <c r="M3884" t="s">
        <v>42936</v>
      </c>
      <c r="N3884" t="s">
        <v>45095</v>
      </c>
      <c r="O3884" t="s">
        <v>45096</v>
      </c>
      <c r="P3884">
        <v>0</v>
      </c>
      <c r="Q3884">
        <v>0</v>
      </c>
      <c r="R3884" t="s">
        <v>45101</v>
      </c>
      <c r="S3884" t="s">
        <v>45231</v>
      </c>
      <c r="T3884" t="s">
        <v>46918</v>
      </c>
      <c r="U3884" t="s">
        <v>50783</v>
      </c>
      <c r="W3884" t="s">
        <v>42936</v>
      </c>
      <c r="X3884" t="s">
        <v>45102</v>
      </c>
    </row>
    <row r="3885" spans="1:24">
      <c r="A3885">
        <f>HYPERLINK("https://www.philgeps.gov.ph/GEPSNONPILOT/Tender/SplashBidNoticeAbstractUI.aspx?menuIndex=3&amp;refID=7041274&amp;Result=3","7041274")</f>
        <v>0</v>
      </c>
      <c r="B3885" t="s">
        <v>758</v>
      </c>
      <c r="C3885" t="s">
        <v>6905</v>
      </c>
      <c r="D3885" t="s">
        <v>18025</v>
      </c>
      <c r="E3885" t="s">
        <v>21604</v>
      </c>
      <c r="F3885" t="s">
        <v>31574</v>
      </c>
      <c r="G3885" t="s">
        <v>31585</v>
      </c>
      <c r="H3885" t="s">
        <v>31590</v>
      </c>
      <c r="I3885" t="s">
        <v>31676</v>
      </c>
      <c r="J3885" t="s">
        <v>31956</v>
      </c>
      <c r="K3885" t="s">
        <v>41196</v>
      </c>
      <c r="M3885" t="s">
        <v>42272</v>
      </c>
      <c r="N3885" t="s">
        <v>45095</v>
      </c>
      <c r="O3885" t="s">
        <v>45096</v>
      </c>
      <c r="P3885">
        <v>0</v>
      </c>
      <c r="Q3885">
        <v>0</v>
      </c>
      <c r="R3885" t="s">
        <v>45101</v>
      </c>
      <c r="S3885" t="s">
        <v>45231</v>
      </c>
      <c r="T3885" t="s">
        <v>47064</v>
      </c>
      <c r="U3885" t="s">
        <v>50784</v>
      </c>
      <c r="W3885" t="s">
        <v>42272</v>
      </c>
      <c r="X3885" t="s">
        <v>45102</v>
      </c>
    </row>
    <row r="3886" spans="1:24">
      <c r="A3886">
        <f>HYPERLINK("https://www.philgeps.gov.ph/GEPSNONPILOT/Tender/SplashBidNoticeAbstractUI.aspx?menuIndex=3&amp;refID=7041258&amp;Result=3","7041258")</f>
        <v>0</v>
      </c>
      <c r="B3886" t="s">
        <v>1371</v>
      </c>
      <c r="C3886" t="s">
        <v>6906</v>
      </c>
      <c r="D3886" t="s">
        <v>18022</v>
      </c>
      <c r="E3886" t="s">
        <v>21605</v>
      </c>
      <c r="F3886" t="s">
        <v>31580</v>
      </c>
      <c r="G3886" t="s">
        <v>31581</v>
      </c>
      <c r="H3886" t="s">
        <v>31590</v>
      </c>
      <c r="I3886" t="s">
        <v>31612</v>
      </c>
      <c r="J3886" t="s">
        <v>31780</v>
      </c>
      <c r="K3886" t="s">
        <v>41193</v>
      </c>
      <c r="M3886" t="s">
        <v>42944</v>
      </c>
      <c r="N3886" t="s">
        <v>45095</v>
      </c>
      <c r="O3886" t="s">
        <v>45096</v>
      </c>
      <c r="P3886">
        <v>0</v>
      </c>
      <c r="Q3886">
        <v>10</v>
      </c>
      <c r="R3886" t="s">
        <v>45101</v>
      </c>
      <c r="S3886" t="s">
        <v>45231</v>
      </c>
      <c r="T3886" t="s">
        <v>47096</v>
      </c>
      <c r="U3886" t="s">
        <v>50785</v>
      </c>
      <c r="V3886" t="s">
        <v>60235</v>
      </c>
      <c r="W3886" t="s">
        <v>42944</v>
      </c>
      <c r="X3886" t="s">
        <v>45102</v>
      </c>
    </row>
    <row r="3887" spans="1:24">
      <c r="A3887">
        <f>HYPERLINK("https://www.philgeps.gov.ph/GEPSNONPILOT/Tender/SplashBidNoticeAbstractUI.aspx?menuIndex=3&amp;refID=7041279&amp;Result=3","7041279")</f>
        <v>0</v>
      </c>
      <c r="B3887" t="s">
        <v>193</v>
      </c>
      <c r="C3887" t="s">
        <v>6907</v>
      </c>
      <c r="D3887" t="s">
        <v>18059</v>
      </c>
      <c r="E3887" t="s">
        <v>21606</v>
      </c>
      <c r="F3887" t="s">
        <v>31574</v>
      </c>
      <c r="G3887" t="s">
        <v>31582</v>
      </c>
      <c r="H3887" t="s">
        <v>31591</v>
      </c>
      <c r="I3887" t="s">
        <v>8822</v>
      </c>
      <c r="J3887" t="s">
        <v>32120</v>
      </c>
      <c r="K3887" t="s">
        <v>41189</v>
      </c>
      <c r="M3887" t="s">
        <v>41678</v>
      </c>
      <c r="N3887" t="s">
        <v>45095</v>
      </c>
      <c r="O3887" t="s">
        <v>45096</v>
      </c>
      <c r="P3887">
        <v>0</v>
      </c>
      <c r="Q3887">
        <v>0</v>
      </c>
      <c r="R3887" t="s">
        <v>45101</v>
      </c>
      <c r="S3887" t="s">
        <v>45231</v>
      </c>
      <c r="T3887" t="s">
        <v>47198</v>
      </c>
      <c r="U3887" t="s">
        <v>50786</v>
      </c>
      <c r="V3887" t="s">
        <v>60236</v>
      </c>
      <c r="W3887" t="s">
        <v>41678</v>
      </c>
      <c r="X3887" t="s">
        <v>45102</v>
      </c>
    </row>
    <row r="3888" spans="1:24">
      <c r="A3888">
        <f>HYPERLINK("https://www.philgeps.gov.ph/GEPSNONPILOT/Tender/SplashBidNoticeAbstractUI.aspx?menuIndex=3&amp;refID=7041269&amp;Result=3","7041269")</f>
        <v>0</v>
      </c>
      <c r="B3888" t="s">
        <v>533</v>
      </c>
      <c r="C3888" t="s">
        <v>6908</v>
      </c>
      <c r="D3888" t="s">
        <v>18075</v>
      </c>
      <c r="E3888" t="s">
        <v>21607</v>
      </c>
      <c r="F3888" t="s">
        <v>31574</v>
      </c>
      <c r="G3888" t="s">
        <v>31581</v>
      </c>
      <c r="H3888" t="s">
        <v>31590</v>
      </c>
      <c r="I3888" t="s">
        <v>3873</v>
      </c>
      <c r="J3888" t="s">
        <v>34349</v>
      </c>
      <c r="K3888" t="s">
        <v>41194</v>
      </c>
      <c r="M3888" t="s">
        <v>42945</v>
      </c>
      <c r="N3888" t="s">
        <v>45095</v>
      </c>
      <c r="O3888" t="s">
        <v>45096</v>
      </c>
      <c r="P3888">
        <v>0</v>
      </c>
      <c r="Q3888">
        <v>0</v>
      </c>
      <c r="R3888" t="s">
        <v>45101</v>
      </c>
      <c r="S3888" t="s">
        <v>45231</v>
      </c>
      <c r="T3888" t="s">
        <v>47046</v>
      </c>
      <c r="U3888" t="s">
        <v>50787</v>
      </c>
      <c r="W3888" t="s">
        <v>61698</v>
      </c>
      <c r="X3888" t="s">
        <v>45102</v>
      </c>
    </row>
    <row r="3889" spans="1:24">
      <c r="A3889">
        <f>HYPERLINK("https://www.philgeps.gov.ph/GEPSNONPILOT/Tender/SplashBidNoticeAbstractUI.aspx?menuIndex=3&amp;refID=7041271&amp;Result=3","7041271")</f>
        <v>0</v>
      </c>
      <c r="B3889" t="s">
        <v>1372</v>
      </c>
      <c r="C3889" t="s">
        <v>3328</v>
      </c>
      <c r="D3889" t="s">
        <v>18022</v>
      </c>
      <c r="E3889" t="s">
        <v>19404</v>
      </c>
      <c r="F3889" t="s">
        <v>31574</v>
      </c>
      <c r="G3889" t="s">
        <v>31583</v>
      </c>
      <c r="H3889" t="s">
        <v>31590</v>
      </c>
      <c r="I3889" t="s">
        <v>6800</v>
      </c>
      <c r="J3889" t="s">
        <v>31780</v>
      </c>
      <c r="K3889" t="s">
        <v>41190</v>
      </c>
      <c r="M3889" t="s">
        <v>42946</v>
      </c>
      <c r="N3889" t="s">
        <v>45095</v>
      </c>
      <c r="O3889" t="s">
        <v>45096</v>
      </c>
      <c r="P3889">
        <v>0</v>
      </c>
      <c r="Q3889">
        <v>4</v>
      </c>
      <c r="R3889" t="s">
        <v>45101</v>
      </c>
      <c r="S3889" t="s">
        <v>45231</v>
      </c>
      <c r="T3889" t="s">
        <v>47158</v>
      </c>
      <c r="U3889" t="s">
        <v>50788</v>
      </c>
      <c r="W3889" t="s">
        <v>42946</v>
      </c>
      <c r="X3889" t="s">
        <v>45102</v>
      </c>
    </row>
    <row r="3890" spans="1:24">
      <c r="A3890">
        <f>HYPERLINK("https://www.philgeps.gov.ph/GEPSNONPILOT/Tender/SplashBidNoticeAbstractUI.aspx?menuIndex=3&amp;refID=7041295&amp;Result=3","7041295")</f>
        <v>0</v>
      </c>
      <c r="B3890" t="s">
        <v>275</v>
      </c>
      <c r="C3890" t="s">
        <v>6909</v>
      </c>
      <c r="D3890" t="s">
        <v>18037</v>
      </c>
      <c r="E3890" t="s">
        <v>21608</v>
      </c>
      <c r="F3890" t="s">
        <v>31574</v>
      </c>
      <c r="G3890" t="s">
        <v>31582</v>
      </c>
      <c r="H3890" t="s">
        <v>31590</v>
      </c>
      <c r="I3890" t="s">
        <v>31602</v>
      </c>
      <c r="J3890" t="s">
        <v>33004</v>
      </c>
      <c r="K3890" t="s">
        <v>41186</v>
      </c>
      <c r="M3890" t="s">
        <v>41761</v>
      </c>
      <c r="N3890" t="s">
        <v>45095</v>
      </c>
      <c r="O3890" t="s">
        <v>45096</v>
      </c>
      <c r="P3890">
        <v>0</v>
      </c>
      <c r="Q3890">
        <v>0</v>
      </c>
      <c r="R3890" t="s">
        <v>45101</v>
      </c>
      <c r="S3890" t="s">
        <v>45231</v>
      </c>
      <c r="T3890" t="s">
        <v>46913</v>
      </c>
      <c r="U3890" t="s">
        <v>50789</v>
      </c>
      <c r="V3890" t="s">
        <v>60237</v>
      </c>
      <c r="W3890" t="s">
        <v>41761</v>
      </c>
      <c r="X3890" t="s">
        <v>45102</v>
      </c>
    </row>
    <row r="3891" spans="1:24">
      <c r="A3891">
        <f>HYPERLINK("https://www.philgeps.gov.ph/GEPSNONPILOT/Tender/SplashBidNoticeAbstractUI.aspx?menuIndex=3&amp;refID=7041270&amp;Result=3","7041270")</f>
        <v>0</v>
      </c>
      <c r="B3891" t="s">
        <v>1368</v>
      </c>
      <c r="C3891" t="s">
        <v>6910</v>
      </c>
      <c r="D3891" t="s">
        <v>18031</v>
      </c>
      <c r="E3891" t="s">
        <v>21609</v>
      </c>
      <c r="F3891" t="s">
        <v>31574</v>
      </c>
      <c r="G3891" t="s">
        <v>31581</v>
      </c>
      <c r="H3891" t="s">
        <v>31590</v>
      </c>
      <c r="I3891" t="s">
        <v>8258</v>
      </c>
      <c r="J3891" t="s">
        <v>34350</v>
      </c>
      <c r="K3891" t="s">
        <v>41186</v>
      </c>
      <c r="M3891" t="s">
        <v>42941</v>
      </c>
      <c r="N3891" t="s">
        <v>45095</v>
      </c>
      <c r="O3891" t="s">
        <v>45096</v>
      </c>
      <c r="P3891">
        <v>0</v>
      </c>
      <c r="Q3891">
        <v>3</v>
      </c>
      <c r="R3891" t="s">
        <v>45101</v>
      </c>
      <c r="S3891" t="s">
        <v>45231</v>
      </c>
      <c r="T3891" t="s">
        <v>47021</v>
      </c>
      <c r="U3891" t="s">
        <v>50778</v>
      </c>
      <c r="W3891" t="s">
        <v>42941</v>
      </c>
      <c r="X3891" t="s">
        <v>45102</v>
      </c>
    </row>
    <row r="3892" spans="1:24">
      <c r="A3892">
        <f>HYPERLINK("https://www.philgeps.gov.ph/GEPSNONPILOT/Tender/SplashBidNoticeAbstractUI.aspx?menuIndex=3&amp;refID=7041266&amp;Result=3","7041266")</f>
        <v>0</v>
      </c>
      <c r="B3892" t="s">
        <v>1373</v>
      </c>
      <c r="C3892" t="s">
        <v>6911</v>
      </c>
      <c r="D3892" t="s">
        <v>18036</v>
      </c>
      <c r="E3892" t="s">
        <v>21610</v>
      </c>
      <c r="F3892" t="s">
        <v>31574</v>
      </c>
      <c r="G3892" t="s">
        <v>31581</v>
      </c>
      <c r="H3892" t="s">
        <v>31590</v>
      </c>
      <c r="I3892" t="s">
        <v>6800</v>
      </c>
      <c r="J3892" t="s">
        <v>31727</v>
      </c>
      <c r="K3892" t="s">
        <v>41186</v>
      </c>
      <c r="M3892" t="s">
        <v>42947</v>
      </c>
      <c r="N3892" t="s">
        <v>45095</v>
      </c>
      <c r="O3892" t="s">
        <v>45096</v>
      </c>
      <c r="P3892">
        <v>0</v>
      </c>
      <c r="Q3892">
        <v>1</v>
      </c>
      <c r="R3892" t="s">
        <v>45101</v>
      </c>
      <c r="S3892" t="s">
        <v>45231</v>
      </c>
      <c r="T3892" t="s">
        <v>47162</v>
      </c>
      <c r="U3892" t="s">
        <v>50790</v>
      </c>
      <c r="V3892" t="s">
        <v>60238</v>
      </c>
      <c r="W3892" t="s">
        <v>42947</v>
      </c>
      <c r="X3892" t="s">
        <v>45102</v>
      </c>
    </row>
    <row r="3893" spans="1:24">
      <c r="A3893">
        <f>HYPERLINK("https://www.philgeps.gov.ph/GEPSNONPILOT/Tender/SplashBidNoticeAbstractUI.aspx?menuIndex=3&amp;refID=7041291&amp;Result=3","7041291")</f>
        <v>0</v>
      </c>
      <c r="B3893" t="s">
        <v>1374</v>
      </c>
      <c r="C3893" t="s">
        <v>6912</v>
      </c>
      <c r="D3893" t="s">
        <v>18041</v>
      </c>
      <c r="E3893" t="s">
        <v>21611</v>
      </c>
      <c r="F3893" t="s">
        <v>31574</v>
      </c>
      <c r="G3893" t="s">
        <v>31582</v>
      </c>
      <c r="H3893" t="s">
        <v>31590</v>
      </c>
      <c r="I3893" t="s">
        <v>4327</v>
      </c>
      <c r="J3893" t="s">
        <v>32101</v>
      </c>
      <c r="K3893" t="s">
        <v>41186</v>
      </c>
      <c r="M3893" t="s">
        <v>42948</v>
      </c>
      <c r="N3893" t="s">
        <v>45095</v>
      </c>
      <c r="O3893" t="s">
        <v>45096</v>
      </c>
      <c r="P3893">
        <v>0</v>
      </c>
      <c r="Q3893">
        <v>5</v>
      </c>
      <c r="R3893" t="s">
        <v>45101</v>
      </c>
      <c r="S3893" t="s">
        <v>45231</v>
      </c>
      <c r="T3893" t="s">
        <v>47108</v>
      </c>
      <c r="U3893" t="s">
        <v>50791</v>
      </c>
      <c r="W3893" t="s">
        <v>42948</v>
      </c>
      <c r="X3893" t="s">
        <v>45102</v>
      </c>
    </row>
    <row r="3894" spans="1:24">
      <c r="A3894">
        <f>HYPERLINK("https://www.philgeps.gov.ph/GEPSNONPILOT/Tender/SplashBidNoticeAbstractUI.aspx?menuIndex=3&amp;refID=7041293&amp;Result=3","7041293")</f>
        <v>0</v>
      </c>
      <c r="B3894" t="s">
        <v>1327</v>
      </c>
      <c r="C3894" t="s">
        <v>6913</v>
      </c>
      <c r="E3894" t="s">
        <v>6913</v>
      </c>
      <c r="F3894" t="s">
        <v>31574</v>
      </c>
      <c r="G3894" t="s">
        <v>31581</v>
      </c>
      <c r="H3894" t="s">
        <v>31590</v>
      </c>
      <c r="I3894" t="s">
        <v>7185</v>
      </c>
      <c r="J3894" t="s">
        <v>34351</v>
      </c>
      <c r="K3894" t="s">
        <v>41193</v>
      </c>
      <c r="M3894" t="s">
        <v>42897</v>
      </c>
      <c r="N3894" t="s">
        <v>45095</v>
      </c>
      <c r="O3894" t="s">
        <v>45096</v>
      </c>
      <c r="P3894">
        <v>0</v>
      </c>
      <c r="Q3894">
        <v>0</v>
      </c>
      <c r="R3894" t="s">
        <v>45101</v>
      </c>
      <c r="S3894" t="s">
        <v>45231</v>
      </c>
      <c r="T3894" t="s">
        <v>47154</v>
      </c>
      <c r="U3894" t="s">
        <v>50792</v>
      </c>
      <c r="W3894" t="s">
        <v>42897</v>
      </c>
      <c r="X3894" t="s">
        <v>45102</v>
      </c>
    </row>
    <row r="3895" spans="1:24">
      <c r="A3895">
        <f>HYPERLINK("https://www.philgeps.gov.ph/GEPSNONPILOT/Tender/SplashBidNoticeAbstractUI.aspx?menuIndex=3&amp;refID=7041288&amp;Result=3","7041288")</f>
        <v>0</v>
      </c>
      <c r="B3895" t="s">
        <v>1359</v>
      </c>
      <c r="C3895" t="s">
        <v>6914</v>
      </c>
      <c r="D3895" t="s">
        <v>18043</v>
      </c>
      <c r="E3895" t="s">
        <v>21569</v>
      </c>
      <c r="F3895" t="s">
        <v>31574</v>
      </c>
      <c r="G3895" t="s">
        <v>31582</v>
      </c>
      <c r="H3895" t="s">
        <v>31591</v>
      </c>
      <c r="I3895" t="s">
        <v>8822</v>
      </c>
      <c r="J3895" t="s">
        <v>31947</v>
      </c>
      <c r="K3895" t="s">
        <v>41186</v>
      </c>
      <c r="M3895" t="s">
        <v>42931</v>
      </c>
      <c r="N3895" t="s">
        <v>45095</v>
      </c>
      <c r="O3895" t="s">
        <v>45096</v>
      </c>
      <c r="P3895">
        <v>0</v>
      </c>
      <c r="Q3895">
        <v>0</v>
      </c>
      <c r="R3895" t="s">
        <v>45101</v>
      </c>
      <c r="S3895" t="s">
        <v>45231</v>
      </c>
      <c r="T3895" t="s">
        <v>46941</v>
      </c>
      <c r="U3895" t="s">
        <v>50793</v>
      </c>
      <c r="V3895" t="s">
        <v>60239</v>
      </c>
      <c r="W3895" t="s">
        <v>42931</v>
      </c>
      <c r="X3895" t="s">
        <v>45102</v>
      </c>
    </row>
    <row r="3896" spans="1:24">
      <c r="A3896">
        <f>HYPERLINK("https://www.philgeps.gov.ph/GEPSNONPILOT/Tender/SplashBidNoticeAbstractUI.aspx?menuIndex=3&amp;refID=7041301&amp;Result=3","7041301")</f>
        <v>0</v>
      </c>
      <c r="B3896" t="s">
        <v>1131</v>
      </c>
      <c r="C3896" t="s">
        <v>6915</v>
      </c>
      <c r="D3896" t="s">
        <v>18071</v>
      </c>
      <c r="E3896" t="s">
        <v>21612</v>
      </c>
      <c r="F3896" t="s">
        <v>31574</v>
      </c>
      <c r="G3896" t="s">
        <v>31581</v>
      </c>
      <c r="H3896" t="s">
        <v>31590</v>
      </c>
      <c r="I3896" t="s">
        <v>5717</v>
      </c>
      <c r="J3896" t="s">
        <v>31850</v>
      </c>
      <c r="K3896" t="s">
        <v>41186</v>
      </c>
      <c r="M3896" t="s">
        <v>42682</v>
      </c>
      <c r="N3896" t="s">
        <v>45095</v>
      </c>
      <c r="O3896" t="s">
        <v>45096</v>
      </c>
      <c r="P3896">
        <v>0</v>
      </c>
      <c r="Q3896">
        <v>4</v>
      </c>
      <c r="R3896" t="s">
        <v>45101</v>
      </c>
      <c r="S3896" t="s">
        <v>45231</v>
      </c>
      <c r="T3896" t="s">
        <v>47064</v>
      </c>
      <c r="U3896" t="s">
        <v>50794</v>
      </c>
      <c r="W3896" t="s">
        <v>42682</v>
      </c>
      <c r="X3896" t="s">
        <v>45102</v>
      </c>
    </row>
    <row r="3897" spans="1:24">
      <c r="A3897">
        <f>HYPERLINK("https://www.philgeps.gov.ph/GEPSNONPILOT/Tender/SplashBidNoticeAbstractUI.aspx?menuIndex=3&amp;refID=7041290&amp;Result=3","7041290")</f>
        <v>0</v>
      </c>
      <c r="B3897" t="s">
        <v>1368</v>
      </c>
      <c r="C3897" t="s">
        <v>6916</v>
      </c>
      <c r="D3897" t="s">
        <v>18031</v>
      </c>
      <c r="E3897" t="s">
        <v>21613</v>
      </c>
      <c r="F3897" t="s">
        <v>31574</v>
      </c>
      <c r="G3897" t="s">
        <v>31581</v>
      </c>
      <c r="H3897" t="s">
        <v>31590</v>
      </c>
      <c r="I3897" t="s">
        <v>8258</v>
      </c>
      <c r="J3897" t="s">
        <v>34213</v>
      </c>
      <c r="K3897" t="s">
        <v>41186</v>
      </c>
      <c r="M3897" t="s">
        <v>42941</v>
      </c>
      <c r="N3897" t="s">
        <v>45095</v>
      </c>
      <c r="O3897" t="s">
        <v>45096</v>
      </c>
      <c r="P3897">
        <v>0</v>
      </c>
      <c r="Q3897">
        <v>0</v>
      </c>
      <c r="R3897" t="s">
        <v>45101</v>
      </c>
      <c r="S3897" t="s">
        <v>45231</v>
      </c>
      <c r="T3897" t="s">
        <v>47021</v>
      </c>
      <c r="U3897" t="s">
        <v>50778</v>
      </c>
      <c r="W3897" t="s">
        <v>42941</v>
      </c>
      <c r="X3897" t="s">
        <v>45102</v>
      </c>
    </row>
    <row r="3898" spans="1:24">
      <c r="A3898">
        <f>HYPERLINK("https://www.philgeps.gov.ph/GEPSNONPILOT/Tender/SplashBidNoticeAbstractUI.aspx?menuIndex=3&amp;refID=7041306&amp;Result=3","7041306")</f>
        <v>0</v>
      </c>
      <c r="B3898" t="s">
        <v>1216</v>
      </c>
      <c r="C3898" t="s">
        <v>6917</v>
      </c>
      <c r="D3898" t="s">
        <v>18040</v>
      </c>
      <c r="E3898" t="s">
        <v>21614</v>
      </c>
      <c r="F3898" t="s">
        <v>31574</v>
      </c>
      <c r="G3898" t="s">
        <v>31581</v>
      </c>
      <c r="H3898" t="s">
        <v>31590</v>
      </c>
      <c r="I3898" t="s">
        <v>31622</v>
      </c>
      <c r="J3898" t="s">
        <v>32167</v>
      </c>
      <c r="K3898" t="s">
        <v>41196</v>
      </c>
      <c r="M3898" t="s">
        <v>42777</v>
      </c>
      <c r="N3898" t="s">
        <v>45095</v>
      </c>
      <c r="O3898" t="s">
        <v>45096</v>
      </c>
      <c r="P3898">
        <v>0</v>
      </c>
      <c r="Q3898">
        <v>5</v>
      </c>
      <c r="R3898" t="s">
        <v>45101</v>
      </c>
      <c r="S3898" t="s">
        <v>45231</v>
      </c>
      <c r="T3898" t="s">
        <v>47168</v>
      </c>
      <c r="U3898" t="s">
        <v>50795</v>
      </c>
      <c r="V3898" t="s">
        <v>60240</v>
      </c>
      <c r="W3898" t="s">
        <v>42777</v>
      </c>
      <c r="X3898" t="s">
        <v>45102</v>
      </c>
    </row>
    <row r="3899" spans="1:24">
      <c r="A3899">
        <f>HYPERLINK("https://www.philgeps.gov.ph/GEPSNONPILOT/Tender/SplashBidNoticeAbstractUI.aspx?menuIndex=3&amp;refID=7041283&amp;Result=3","7041283")</f>
        <v>0</v>
      </c>
      <c r="B3899" t="s">
        <v>767</v>
      </c>
      <c r="C3899" t="s">
        <v>6918</v>
      </c>
      <c r="D3899" t="s">
        <v>18068</v>
      </c>
      <c r="E3899" t="s">
        <v>21615</v>
      </c>
      <c r="F3899" t="s">
        <v>31574</v>
      </c>
      <c r="G3899" t="s">
        <v>31582</v>
      </c>
      <c r="H3899" t="s">
        <v>31590</v>
      </c>
      <c r="I3899" t="s">
        <v>4046</v>
      </c>
      <c r="J3899" t="s">
        <v>34352</v>
      </c>
      <c r="K3899" t="s">
        <v>41191</v>
      </c>
      <c r="M3899" t="s">
        <v>42281</v>
      </c>
      <c r="N3899" t="s">
        <v>45095</v>
      </c>
      <c r="O3899" t="s">
        <v>45096</v>
      </c>
      <c r="P3899">
        <v>0</v>
      </c>
      <c r="Q3899">
        <v>0</v>
      </c>
      <c r="R3899" t="s">
        <v>45101</v>
      </c>
      <c r="S3899" t="s">
        <v>45231</v>
      </c>
      <c r="T3899" t="s">
        <v>47172</v>
      </c>
      <c r="U3899" t="s">
        <v>50796</v>
      </c>
      <c r="V3899" t="s">
        <v>60231</v>
      </c>
      <c r="W3899" t="s">
        <v>42281</v>
      </c>
      <c r="X3899" t="s">
        <v>45102</v>
      </c>
    </row>
    <row r="3900" spans="1:24">
      <c r="A3900">
        <f>HYPERLINK("https://www.philgeps.gov.ph/GEPSNONPILOT/Tender/SplashBidNoticeAbstractUI.aspx?menuIndex=3&amp;refID=7041287&amp;Result=3","7041287")</f>
        <v>0</v>
      </c>
      <c r="B3900" t="s">
        <v>274</v>
      </c>
      <c r="C3900" t="s">
        <v>6919</v>
      </c>
      <c r="D3900" t="s">
        <v>18071</v>
      </c>
      <c r="E3900" t="s">
        <v>21616</v>
      </c>
      <c r="F3900" t="s">
        <v>31574</v>
      </c>
      <c r="G3900" t="s">
        <v>31585</v>
      </c>
      <c r="H3900" t="s">
        <v>31590</v>
      </c>
      <c r="I3900" t="s">
        <v>31602</v>
      </c>
      <c r="J3900" t="s">
        <v>34353</v>
      </c>
      <c r="K3900" t="s">
        <v>41184</v>
      </c>
      <c r="M3900" t="s">
        <v>41760</v>
      </c>
      <c r="N3900" t="s">
        <v>45095</v>
      </c>
      <c r="O3900" t="s">
        <v>45096</v>
      </c>
      <c r="P3900">
        <v>0</v>
      </c>
      <c r="Q3900">
        <v>0</v>
      </c>
      <c r="R3900" t="s">
        <v>45101</v>
      </c>
      <c r="S3900" t="s">
        <v>45231</v>
      </c>
      <c r="T3900" t="s">
        <v>47154</v>
      </c>
      <c r="U3900" t="s">
        <v>50797</v>
      </c>
      <c r="W3900" t="s">
        <v>61660</v>
      </c>
      <c r="X3900" t="s">
        <v>45102</v>
      </c>
    </row>
    <row r="3901" spans="1:24">
      <c r="A3901">
        <f>HYPERLINK("https://www.philgeps.gov.ph/GEPSNONPILOT/Tender/SplashBidNoticeAbstractUI.aspx?menuIndex=3&amp;refID=7041303&amp;Result=3","7041303")</f>
        <v>0</v>
      </c>
      <c r="B3901" t="s">
        <v>1375</v>
      </c>
      <c r="C3901" t="s">
        <v>6920</v>
      </c>
      <c r="E3901" t="s">
        <v>21617</v>
      </c>
      <c r="F3901" t="s">
        <v>31574</v>
      </c>
      <c r="G3901" t="s">
        <v>31583</v>
      </c>
      <c r="H3901" t="s">
        <v>31590</v>
      </c>
      <c r="I3901" t="s">
        <v>8258</v>
      </c>
      <c r="J3901" t="s">
        <v>34354</v>
      </c>
      <c r="K3901" t="s">
        <v>41184</v>
      </c>
      <c r="M3901" t="s">
        <v>42949</v>
      </c>
      <c r="N3901" t="s">
        <v>45095</v>
      </c>
      <c r="O3901" t="s">
        <v>45096</v>
      </c>
      <c r="P3901">
        <v>0</v>
      </c>
      <c r="Q3901">
        <v>11</v>
      </c>
      <c r="R3901" t="s">
        <v>45101</v>
      </c>
      <c r="S3901" t="s">
        <v>45231</v>
      </c>
      <c r="T3901" t="s">
        <v>47058</v>
      </c>
      <c r="U3901" t="s">
        <v>50798</v>
      </c>
      <c r="W3901" t="s">
        <v>42949</v>
      </c>
      <c r="X3901" t="s">
        <v>45102</v>
      </c>
    </row>
    <row r="3902" spans="1:24">
      <c r="A3902">
        <f>HYPERLINK("https://www.philgeps.gov.ph/GEPSNONPILOT/Tender/SplashBidNoticeAbstractUI.aspx?menuIndex=3&amp;refID=7041305&amp;Result=3","7041305")</f>
        <v>0</v>
      </c>
      <c r="B3902" t="s">
        <v>66</v>
      </c>
      <c r="C3902" t="s">
        <v>6921</v>
      </c>
      <c r="D3902" t="s">
        <v>18050</v>
      </c>
      <c r="E3902" t="s">
        <v>21618</v>
      </c>
      <c r="F3902" t="s">
        <v>31574</v>
      </c>
      <c r="G3902" t="s">
        <v>31581</v>
      </c>
      <c r="H3902" t="s">
        <v>31590</v>
      </c>
      <c r="I3902" t="s">
        <v>8258</v>
      </c>
      <c r="J3902" t="s">
        <v>34355</v>
      </c>
      <c r="K3902" t="s">
        <v>41190</v>
      </c>
      <c r="L3902" t="s">
        <v>66</v>
      </c>
      <c r="M3902" t="s">
        <v>41550</v>
      </c>
      <c r="N3902" t="s">
        <v>45095</v>
      </c>
      <c r="O3902" t="s">
        <v>45096</v>
      </c>
      <c r="P3902">
        <v>0</v>
      </c>
      <c r="Q3902">
        <v>6</v>
      </c>
      <c r="R3902" t="s">
        <v>45101</v>
      </c>
      <c r="S3902" t="s">
        <v>45231</v>
      </c>
      <c r="T3902" t="s">
        <v>47162</v>
      </c>
      <c r="U3902" t="s">
        <v>47541</v>
      </c>
      <c r="V3902" t="s">
        <v>60241</v>
      </c>
      <c r="W3902" t="s">
        <v>41550</v>
      </c>
      <c r="X3902" t="s">
        <v>45102</v>
      </c>
    </row>
    <row r="3903" spans="1:24">
      <c r="A3903">
        <f>HYPERLINK("https://www.philgeps.gov.ph/GEPSNONPILOT/Tender/SplashBidNoticeAbstractUI.aspx?menuIndex=3&amp;refID=7041284&amp;Result=3","7041284")</f>
        <v>0</v>
      </c>
      <c r="B3903" t="s">
        <v>1376</v>
      </c>
      <c r="C3903" t="s">
        <v>6922</v>
      </c>
      <c r="E3903" t="s">
        <v>21619</v>
      </c>
      <c r="F3903" t="s">
        <v>31574</v>
      </c>
      <c r="G3903" t="s">
        <v>31582</v>
      </c>
      <c r="H3903" t="s">
        <v>31592</v>
      </c>
      <c r="I3903" t="s">
        <v>31596</v>
      </c>
      <c r="J3903" t="s">
        <v>34356</v>
      </c>
      <c r="K3903" t="s">
        <v>41210</v>
      </c>
      <c r="M3903" t="s">
        <v>42950</v>
      </c>
      <c r="N3903" t="s">
        <v>45095</v>
      </c>
      <c r="O3903" t="s">
        <v>45096</v>
      </c>
      <c r="P3903">
        <v>0</v>
      </c>
      <c r="Q3903">
        <v>1</v>
      </c>
      <c r="R3903" t="s">
        <v>45101</v>
      </c>
      <c r="S3903" t="s">
        <v>45231</v>
      </c>
      <c r="T3903" t="s">
        <v>47199</v>
      </c>
      <c r="U3903" t="s">
        <v>50799</v>
      </c>
      <c r="W3903" t="s">
        <v>42950</v>
      </c>
      <c r="X3903" t="s">
        <v>45102</v>
      </c>
    </row>
    <row r="3904" spans="1:24">
      <c r="A3904">
        <f>HYPERLINK("https://www.philgeps.gov.ph/GEPSNONPILOT/Tender/SplashBidNoticeAbstractUI.aspx?menuIndex=3&amp;refID=7041318&amp;Result=3","7041318")</f>
        <v>0</v>
      </c>
      <c r="B3904" t="s">
        <v>1372</v>
      </c>
      <c r="C3904" t="s">
        <v>6923</v>
      </c>
      <c r="D3904" t="s">
        <v>18022</v>
      </c>
      <c r="E3904" t="s">
        <v>20206</v>
      </c>
      <c r="F3904" t="s">
        <v>31574</v>
      </c>
      <c r="G3904" t="s">
        <v>31583</v>
      </c>
      <c r="H3904" t="s">
        <v>31590</v>
      </c>
      <c r="I3904" t="s">
        <v>31595</v>
      </c>
      <c r="J3904" t="s">
        <v>32077</v>
      </c>
      <c r="K3904" t="s">
        <v>41190</v>
      </c>
      <c r="M3904" t="s">
        <v>42946</v>
      </c>
      <c r="N3904" t="s">
        <v>45095</v>
      </c>
      <c r="O3904" t="s">
        <v>45096</v>
      </c>
      <c r="P3904">
        <v>0</v>
      </c>
      <c r="Q3904">
        <v>8</v>
      </c>
      <c r="R3904" t="s">
        <v>45101</v>
      </c>
      <c r="S3904" t="s">
        <v>45231</v>
      </c>
      <c r="T3904" t="s">
        <v>47158</v>
      </c>
      <c r="U3904" t="s">
        <v>50800</v>
      </c>
      <c r="W3904" t="s">
        <v>42946</v>
      </c>
      <c r="X3904" t="s">
        <v>45102</v>
      </c>
    </row>
    <row r="3905" spans="1:24">
      <c r="A3905">
        <f>HYPERLINK("https://www.philgeps.gov.ph/GEPSNONPILOT/Tender/SplashBidNoticeAbstractUI.aspx?menuIndex=3&amp;refID=7041292&amp;Result=3","7041292")</f>
        <v>0</v>
      </c>
      <c r="B3905" t="s">
        <v>736</v>
      </c>
      <c r="C3905" t="s">
        <v>6924</v>
      </c>
      <c r="D3905" t="s">
        <v>18079</v>
      </c>
      <c r="E3905" t="s">
        <v>21620</v>
      </c>
      <c r="F3905" t="s">
        <v>31574</v>
      </c>
      <c r="G3905" t="s">
        <v>31582</v>
      </c>
      <c r="H3905" t="s">
        <v>31590</v>
      </c>
      <c r="I3905" t="s">
        <v>3539</v>
      </c>
      <c r="J3905" t="s">
        <v>34050</v>
      </c>
      <c r="K3905" t="s">
        <v>41186</v>
      </c>
      <c r="M3905" t="s">
        <v>42247</v>
      </c>
      <c r="N3905" t="s">
        <v>45095</v>
      </c>
      <c r="O3905" t="s">
        <v>45096</v>
      </c>
      <c r="P3905">
        <v>0</v>
      </c>
      <c r="Q3905">
        <v>1</v>
      </c>
      <c r="R3905" t="s">
        <v>45101</v>
      </c>
      <c r="S3905" t="s">
        <v>45231</v>
      </c>
      <c r="T3905" t="s">
        <v>47166</v>
      </c>
      <c r="U3905" t="s">
        <v>50768</v>
      </c>
      <c r="W3905" t="s">
        <v>42247</v>
      </c>
      <c r="X3905" t="s">
        <v>45102</v>
      </c>
    </row>
    <row r="3906" spans="1:24">
      <c r="A3906">
        <f>HYPERLINK("https://www.philgeps.gov.ph/GEPSNONPILOT/Tender/SplashBidNoticeAbstractUI.aspx?menuIndex=3&amp;refID=7041312&amp;Result=3","7041312")</f>
        <v>0</v>
      </c>
      <c r="B3906" t="s">
        <v>1377</v>
      </c>
      <c r="C3906" t="s">
        <v>6925</v>
      </c>
      <c r="D3906" t="s">
        <v>18025</v>
      </c>
      <c r="E3906" t="s">
        <v>21621</v>
      </c>
      <c r="F3906" t="s">
        <v>31574</v>
      </c>
      <c r="G3906" t="s">
        <v>31582</v>
      </c>
      <c r="H3906" t="s">
        <v>31590</v>
      </c>
      <c r="I3906" t="s">
        <v>7185</v>
      </c>
      <c r="J3906" t="s">
        <v>32572</v>
      </c>
      <c r="K3906" t="s">
        <v>41196</v>
      </c>
      <c r="M3906" t="s">
        <v>42951</v>
      </c>
      <c r="N3906" t="s">
        <v>45095</v>
      </c>
      <c r="O3906" t="s">
        <v>45096</v>
      </c>
      <c r="P3906">
        <v>0</v>
      </c>
      <c r="Q3906">
        <v>2</v>
      </c>
      <c r="R3906" t="s">
        <v>45101</v>
      </c>
      <c r="S3906" t="s">
        <v>45231</v>
      </c>
      <c r="T3906" t="s">
        <v>46953</v>
      </c>
      <c r="U3906" t="s">
        <v>50801</v>
      </c>
      <c r="V3906" t="s">
        <v>60242</v>
      </c>
      <c r="W3906" t="s">
        <v>42951</v>
      </c>
      <c r="X3906" t="s">
        <v>45102</v>
      </c>
    </row>
    <row r="3907" spans="1:24">
      <c r="A3907">
        <f>HYPERLINK("https://www.philgeps.gov.ph/GEPSNONPILOT/Tender/SplashBidNoticeAbstractUI.aspx?menuIndex=3&amp;refID=7041311&amp;Result=3","7041311")</f>
        <v>0</v>
      </c>
      <c r="B3907" t="s">
        <v>736</v>
      </c>
      <c r="C3907" t="s">
        <v>6926</v>
      </c>
      <c r="D3907" t="s">
        <v>18079</v>
      </c>
      <c r="E3907" t="s">
        <v>21622</v>
      </c>
      <c r="F3907" t="s">
        <v>31574</v>
      </c>
      <c r="G3907" t="s">
        <v>31582</v>
      </c>
      <c r="H3907" t="s">
        <v>31590</v>
      </c>
      <c r="I3907" t="s">
        <v>3539</v>
      </c>
      <c r="J3907" t="s">
        <v>31935</v>
      </c>
      <c r="K3907" t="s">
        <v>41186</v>
      </c>
      <c r="M3907" t="s">
        <v>42247</v>
      </c>
      <c r="N3907" t="s">
        <v>45095</v>
      </c>
      <c r="O3907" t="s">
        <v>45096</v>
      </c>
      <c r="P3907">
        <v>0</v>
      </c>
      <c r="Q3907">
        <v>1</v>
      </c>
      <c r="R3907" t="s">
        <v>45101</v>
      </c>
      <c r="S3907" t="s">
        <v>45231</v>
      </c>
      <c r="T3907" t="s">
        <v>47166</v>
      </c>
      <c r="U3907" t="s">
        <v>50768</v>
      </c>
      <c r="W3907" t="s">
        <v>42247</v>
      </c>
      <c r="X3907" t="s">
        <v>45102</v>
      </c>
    </row>
    <row r="3908" spans="1:24">
      <c r="A3908">
        <f>HYPERLINK("https://www.philgeps.gov.ph/GEPSNONPILOT/Tender/SplashBidNoticeAbstractUI.aspx?menuIndex=3&amp;refID=7041322&amp;Result=3","7041322")</f>
        <v>0</v>
      </c>
      <c r="B3908" t="s">
        <v>1374</v>
      </c>
      <c r="C3908" t="s">
        <v>6927</v>
      </c>
      <c r="D3908" t="s">
        <v>18041</v>
      </c>
      <c r="E3908" t="s">
        <v>21623</v>
      </c>
      <c r="F3908" t="s">
        <v>31574</v>
      </c>
      <c r="G3908" t="s">
        <v>31582</v>
      </c>
      <c r="H3908" t="s">
        <v>31590</v>
      </c>
      <c r="I3908" t="s">
        <v>31615</v>
      </c>
      <c r="J3908" t="s">
        <v>34357</v>
      </c>
      <c r="K3908" t="s">
        <v>41186</v>
      </c>
      <c r="M3908" t="s">
        <v>42948</v>
      </c>
      <c r="N3908" t="s">
        <v>45095</v>
      </c>
      <c r="O3908" t="s">
        <v>45096</v>
      </c>
      <c r="P3908">
        <v>0</v>
      </c>
      <c r="Q3908">
        <v>3</v>
      </c>
      <c r="R3908" t="s">
        <v>45101</v>
      </c>
      <c r="S3908" t="s">
        <v>45231</v>
      </c>
      <c r="T3908" t="s">
        <v>47108</v>
      </c>
      <c r="U3908" t="s">
        <v>50802</v>
      </c>
      <c r="W3908" t="s">
        <v>42948</v>
      </c>
      <c r="X3908" t="s">
        <v>45102</v>
      </c>
    </row>
    <row r="3909" spans="1:24">
      <c r="A3909">
        <f>HYPERLINK("https://www.philgeps.gov.ph/GEPSNONPILOT/Tender/SplashBidNoticeAbstractUI.aspx?menuIndex=3&amp;refID=7041338&amp;Result=3","7041338")</f>
        <v>0</v>
      </c>
      <c r="B3909" t="s">
        <v>525</v>
      </c>
      <c r="C3909" t="s">
        <v>6928</v>
      </c>
      <c r="D3909" t="s">
        <v>18091</v>
      </c>
      <c r="E3909" t="s">
        <v>6928</v>
      </c>
      <c r="F3909" t="s">
        <v>31574</v>
      </c>
      <c r="G3909" t="s">
        <v>31583</v>
      </c>
      <c r="H3909" t="s">
        <v>31590</v>
      </c>
      <c r="I3909" t="s">
        <v>4327</v>
      </c>
      <c r="J3909" t="s">
        <v>31789</v>
      </c>
      <c r="K3909" t="s">
        <v>41196</v>
      </c>
      <c r="L3909" t="s">
        <v>525</v>
      </c>
      <c r="M3909" t="s">
        <v>42021</v>
      </c>
      <c r="N3909" t="s">
        <v>45095</v>
      </c>
      <c r="O3909" t="s">
        <v>45096</v>
      </c>
      <c r="P3909">
        <v>0</v>
      </c>
      <c r="Q3909">
        <v>0</v>
      </c>
      <c r="R3909" t="s">
        <v>45101</v>
      </c>
      <c r="S3909" t="s">
        <v>45231</v>
      </c>
      <c r="T3909" t="s">
        <v>47200</v>
      </c>
      <c r="U3909" t="s">
        <v>50803</v>
      </c>
      <c r="W3909" t="s">
        <v>42021</v>
      </c>
      <c r="X3909" t="s">
        <v>45102</v>
      </c>
    </row>
    <row r="3910" spans="1:24">
      <c r="A3910">
        <f>HYPERLINK("https://www.philgeps.gov.ph/GEPSNONPILOT/Tender/SplashBidNoticeAbstractUI.aspx?menuIndex=3&amp;refID=7041339&amp;Result=3","7041339")</f>
        <v>0</v>
      </c>
      <c r="B3910" t="s">
        <v>1310</v>
      </c>
      <c r="C3910" t="s">
        <v>6929</v>
      </c>
      <c r="D3910" t="s">
        <v>18074</v>
      </c>
      <c r="E3910" t="s">
        <v>21624</v>
      </c>
      <c r="F3910" t="s">
        <v>31574</v>
      </c>
      <c r="G3910" t="s">
        <v>31582</v>
      </c>
      <c r="H3910" t="s">
        <v>31590</v>
      </c>
      <c r="I3910" t="s">
        <v>6800</v>
      </c>
      <c r="J3910" t="s">
        <v>32772</v>
      </c>
      <c r="K3910" t="s">
        <v>41190</v>
      </c>
      <c r="M3910" t="s">
        <v>42880</v>
      </c>
      <c r="N3910" t="s">
        <v>45095</v>
      </c>
      <c r="O3910" t="s">
        <v>45096</v>
      </c>
      <c r="P3910">
        <v>0</v>
      </c>
      <c r="Q3910">
        <v>0</v>
      </c>
      <c r="R3910" t="s">
        <v>45101</v>
      </c>
      <c r="S3910" t="s">
        <v>45231</v>
      </c>
      <c r="T3910" t="s">
        <v>47043</v>
      </c>
      <c r="U3910" t="s">
        <v>50804</v>
      </c>
      <c r="W3910" t="s">
        <v>42880</v>
      </c>
      <c r="X3910" t="s">
        <v>45102</v>
      </c>
    </row>
    <row r="3911" spans="1:24">
      <c r="A3911">
        <f>HYPERLINK("https://www.philgeps.gov.ph/GEPSNONPILOT/Tender/SplashBidNoticeAbstractUI.aspx?menuIndex=3&amp;refID=7041316&amp;Result=3","7041316")</f>
        <v>0</v>
      </c>
      <c r="B3911" t="s">
        <v>1131</v>
      </c>
      <c r="C3911" t="s">
        <v>6930</v>
      </c>
      <c r="D3911" t="s">
        <v>18071</v>
      </c>
      <c r="E3911" t="s">
        <v>21625</v>
      </c>
      <c r="F3911" t="s">
        <v>31574</v>
      </c>
      <c r="G3911" t="s">
        <v>31581</v>
      </c>
      <c r="H3911" t="s">
        <v>31590</v>
      </c>
      <c r="I3911" t="s">
        <v>14544</v>
      </c>
      <c r="J3911" t="s">
        <v>34358</v>
      </c>
      <c r="K3911" t="s">
        <v>41186</v>
      </c>
      <c r="M3911" t="s">
        <v>42682</v>
      </c>
      <c r="N3911" t="s">
        <v>45095</v>
      </c>
      <c r="O3911" t="s">
        <v>45096</v>
      </c>
      <c r="P3911">
        <v>0</v>
      </c>
      <c r="Q3911">
        <v>1</v>
      </c>
      <c r="R3911" t="s">
        <v>45101</v>
      </c>
      <c r="S3911" t="s">
        <v>45231</v>
      </c>
      <c r="T3911" t="s">
        <v>47064</v>
      </c>
      <c r="U3911" t="s">
        <v>50805</v>
      </c>
      <c r="W3911" t="s">
        <v>42682</v>
      </c>
      <c r="X3911" t="s">
        <v>45102</v>
      </c>
    </row>
    <row r="3912" spans="1:24">
      <c r="A3912">
        <f>HYPERLINK("https://www.philgeps.gov.ph/GEPSNONPILOT/Tender/SplashBidNoticeAbstractUI.aspx?menuIndex=3&amp;refID=7041333&amp;Result=3","7041333")</f>
        <v>0</v>
      </c>
      <c r="B3912" t="s">
        <v>1378</v>
      </c>
      <c r="C3912" t="s">
        <v>6931</v>
      </c>
      <c r="D3912" t="s">
        <v>18043</v>
      </c>
      <c r="E3912" t="s">
        <v>18227</v>
      </c>
      <c r="F3912" t="s">
        <v>31574</v>
      </c>
      <c r="G3912" t="s">
        <v>31582</v>
      </c>
      <c r="H3912" t="s">
        <v>31590</v>
      </c>
      <c r="I3912" t="s">
        <v>31615</v>
      </c>
      <c r="J3912" t="s">
        <v>34359</v>
      </c>
      <c r="K3912" t="s">
        <v>41196</v>
      </c>
      <c r="M3912" t="s">
        <v>42952</v>
      </c>
      <c r="N3912" t="s">
        <v>45095</v>
      </c>
      <c r="O3912" t="s">
        <v>45096</v>
      </c>
      <c r="P3912">
        <v>0</v>
      </c>
      <c r="Q3912">
        <v>1</v>
      </c>
      <c r="R3912" t="s">
        <v>45101</v>
      </c>
      <c r="S3912" t="s">
        <v>45231</v>
      </c>
      <c r="T3912" t="s">
        <v>46933</v>
      </c>
      <c r="U3912" t="s">
        <v>50806</v>
      </c>
      <c r="W3912" t="s">
        <v>61699</v>
      </c>
      <c r="X3912" t="s">
        <v>45102</v>
      </c>
    </row>
    <row r="3913" spans="1:24">
      <c r="A3913">
        <f>HYPERLINK("https://www.philgeps.gov.ph/GEPSNONPILOT/Tender/SplashBidNoticeAbstractUI.aspx?menuIndex=3&amp;refID=7041326&amp;Result=3","7041326")</f>
        <v>0</v>
      </c>
      <c r="B3913" t="s">
        <v>1376</v>
      </c>
      <c r="C3913" t="s">
        <v>6932</v>
      </c>
      <c r="E3913" t="s">
        <v>21626</v>
      </c>
      <c r="F3913" t="s">
        <v>31574</v>
      </c>
      <c r="G3913" t="s">
        <v>31582</v>
      </c>
      <c r="H3913" t="s">
        <v>31590</v>
      </c>
      <c r="I3913" t="s">
        <v>31625</v>
      </c>
      <c r="J3913" t="s">
        <v>32325</v>
      </c>
      <c r="K3913" t="s">
        <v>41184</v>
      </c>
      <c r="M3913" t="s">
        <v>42950</v>
      </c>
      <c r="N3913" t="s">
        <v>45095</v>
      </c>
      <c r="O3913" t="s">
        <v>45096</v>
      </c>
      <c r="P3913">
        <v>0</v>
      </c>
      <c r="Q3913">
        <v>0</v>
      </c>
      <c r="R3913" t="s">
        <v>45101</v>
      </c>
      <c r="S3913" t="s">
        <v>45231</v>
      </c>
      <c r="T3913" t="s">
        <v>47199</v>
      </c>
      <c r="U3913" t="s">
        <v>50807</v>
      </c>
      <c r="W3913" t="s">
        <v>42950</v>
      </c>
      <c r="X3913" t="s">
        <v>45102</v>
      </c>
    </row>
    <row r="3914" spans="1:24">
      <c r="A3914">
        <f>HYPERLINK("https://www.philgeps.gov.ph/GEPSNONPILOT/Tender/SplashBidNoticeAbstractUI.aspx?menuIndex=3&amp;refID=7041330&amp;Result=3","7041330")</f>
        <v>0</v>
      </c>
      <c r="B3914" t="s">
        <v>255</v>
      </c>
      <c r="C3914" t="s">
        <v>6933</v>
      </c>
      <c r="D3914" t="s">
        <v>18082</v>
      </c>
      <c r="E3914" t="s">
        <v>21627</v>
      </c>
      <c r="F3914" t="s">
        <v>31574</v>
      </c>
      <c r="G3914" t="s">
        <v>31582</v>
      </c>
      <c r="H3914" t="s">
        <v>31591</v>
      </c>
      <c r="I3914" t="s">
        <v>8822</v>
      </c>
      <c r="J3914" t="s">
        <v>34360</v>
      </c>
      <c r="K3914" t="s">
        <v>41305</v>
      </c>
      <c r="M3914" t="s">
        <v>41741</v>
      </c>
      <c r="N3914" t="s">
        <v>45095</v>
      </c>
      <c r="O3914" t="s">
        <v>45096</v>
      </c>
      <c r="P3914">
        <v>0</v>
      </c>
      <c r="Q3914">
        <v>1</v>
      </c>
      <c r="R3914" t="s">
        <v>45101</v>
      </c>
      <c r="S3914" t="s">
        <v>45231</v>
      </c>
      <c r="T3914" t="s">
        <v>46962</v>
      </c>
      <c r="U3914" t="s">
        <v>50808</v>
      </c>
      <c r="W3914" t="s">
        <v>41741</v>
      </c>
      <c r="X3914" t="s">
        <v>45102</v>
      </c>
    </row>
    <row r="3915" spans="1:24">
      <c r="A3915">
        <f>HYPERLINK("https://www.philgeps.gov.ph/GEPSNONPILOT/Tender/SplashBidNoticeAbstractUI.aspx?menuIndex=3&amp;refID=7041308&amp;Result=3","7041308")</f>
        <v>0</v>
      </c>
      <c r="B3915" t="s">
        <v>1287</v>
      </c>
      <c r="C3915" t="s">
        <v>4356</v>
      </c>
      <c r="D3915" t="s">
        <v>18037</v>
      </c>
      <c r="E3915" t="s">
        <v>18538</v>
      </c>
      <c r="F3915" t="s">
        <v>31574</v>
      </c>
      <c r="G3915" t="s">
        <v>31583</v>
      </c>
      <c r="H3915" t="s">
        <v>31590</v>
      </c>
      <c r="I3915" t="s">
        <v>6800</v>
      </c>
      <c r="J3915" t="s">
        <v>32621</v>
      </c>
      <c r="K3915" t="s">
        <v>41193</v>
      </c>
      <c r="M3915" t="s">
        <v>42856</v>
      </c>
      <c r="N3915" t="s">
        <v>45095</v>
      </c>
      <c r="O3915" t="s">
        <v>45096</v>
      </c>
      <c r="P3915">
        <v>0</v>
      </c>
      <c r="Q3915">
        <v>5</v>
      </c>
      <c r="R3915" t="s">
        <v>45101</v>
      </c>
      <c r="S3915" t="s">
        <v>45231</v>
      </c>
      <c r="T3915" t="s">
        <v>47167</v>
      </c>
      <c r="U3915" t="s">
        <v>50809</v>
      </c>
      <c r="W3915" t="s">
        <v>42856</v>
      </c>
      <c r="X3915" t="s">
        <v>45102</v>
      </c>
    </row>
    <row r="3916" spans="1:24">
      <c r="A3916">
        <f>HYPERLINK("https://www.philgeps.gov.ph/GEPSNONPILOT/Tender/SplashBidNoticeAbstractUI.aspx?menuIndex=3&amp;refID=7041347&amp;Result=3","7041347")</f>
        <v>0</v>
      </c>
      <c r="B3916" t="s">
        <v>1379</v>
      </c>
      <c r="C3916" t="s">
        <v>6934</v>
      </c>
      <c r="D3916" t="s">
        <v>18094</v>
      </c>
      <c r="E3916" t="s">
        <v>21628</v>
      </c>
      <c r="F3916" t="s">
        <v>31574</v>
      </c>
      <c r="G3916" t="s">
        <v>31582</v>
      </c>
      <c r="H3916" t="s">
        <v>31590</v>
      </c>
      <c r="I3916" t="s">
        <v>31615</v>
      </c>
      <c r="J3916" t="s">
        <v>31819</v>
      </c>
      <c r="K3916" t="s">
        <v>41196</v>
      </c>
      <c r="M3916" t="s">
        <v>42953</v>
      </c>
      <c r="N3916" t="s">
        <v>45095</v>
      </c>
      <c r="O3916" t="s">
        <v>45096</v>
      </c>
      <c r="P3916">
        <v>0</v>
      </c>
      <c r="Q3916">
        <v>4</v>
      </c>
      <c r="R3916" t="s">
        <v>45101</v>
      </c>
      <c r="S3916" t="s">
        <v>45231</v>
      </c>
      <c r="T3916" t="s">
        <v>47166</v>
      </c>
      <c r="U3916" t="s">
        <v>50810</v>
      </c>
      <c r="W3916" t="s">
        <v>42953</v>
      </c>
      <c r="X3916" t="s">
        <v>45102</v>
      </c>
    </row>
    <row r="3917" spans="1:24">
      <c r="A3917">
        <f>HYPERLINK("https://www.philgeps.gov.ph/GEPSNONPILOT/Tender/SplashBidNoticeAbstractUI.aspx?menuIndex=3&amp;refID=7041302&amp;Result=3","7041302")</f>
        <v>0</v>
      </c>
      <c r="B3917" t="s">
        <v>1376</v>
      </c>
      <c r="C3917" t="s">
        <v>6935</v>
      </c>
      <c r="E3917" t="s">
        <v>21629</v>
      </c>
      <c r="F3917" t="s">
        <v>31574</v>
      </c>
      <c r="G3917" t="s">
        <v>31582</v>
      </c>
      <c r="H3917" t="s">
        <v>31590</v>
      </c>
      <c r="I3917" t="s">
        <v>3873</v>
      </c>
      <c r="J3917" t="s">
        <v>34361</v>
      </c>
      <c r="K3917" t="s">
        <v>41184</v>
      </c>
      <c r="M3917" t="s">
        <v>42950</v>
      </c>
      <c r="N3917" t="s">
        <v>45095</v>
      </c>
      <c r="O3917" t="s">
        <v>45096</v>
      </c>
      <c r="P3917">
        <v>0</v>
      </c>
      <c r="Q3917">
        <v>0</v>
      </c>
      <c r="R3917" t="s">
        <v>45101</v>
      </c>
      <c r="S3917" t="s">
        <v>45231</v>
      </c>
      <c r="T3917" t="s">
        <v>47199</v>
      </c>
      <c r="U3917" t="s">
        <v>50807</v>
      </c>
      <c r="W3917" t="s">
        <v>42950</v>
      </c>
      <c r="X3917" t="s">
        <v>45102</v>
      </c>
    </row>
    <row r="3918" spans="1:24">
      <c r="A3918">
        <f>HYPERLINK("https://www.philgeps.gov.ph/GEPSNONPILOT/Tender/SplashBidNoticeAbstractUI.aspx?menuIndex=3&amp;refID=7041329&amp;Result=3","7041329")</f>
        <v>0</v>
      </c>
      <c r="B3918" t="s">
        <v>1380</v>
      </c>
      <c r="C3918" t="s">
        <v>6936</v>
      </c>
      <c r="D3918" t="s">
        <v>18023</v>
      </c>
      <c r="E3918" t="s">
        <v>21630</v>
      </c>
      <c r="F3918" t="s">
        <v>31574</v>
      </c>
      <c r="G3918" t="s">
        <v>31582</v>
      </c>
      <c r="H3918" t="s">
        <v>31590</v>
      </c>
      <c r="I3918" t="s">
        <v>31600</v>
      </c>
      <c r="J3918" t="s">
        <v>34362</v>
      </c>
      <c r="K3918" t="s">
        <v>41190</v>
      </c>
      <c r="M3918" t="s">
        <v>42954</v>
      </c>
      <c r="N3918" t="s">
        <v>45095</v>
      </c>
      <c r="O3918" t="s">
        <v>45096</v>
      </c>
      <c r="P3918">
        <v>0</v>
      </c>
      <c r="Q3918">
        <v>0</v>
      </c>
      <c r="R3918" t="s">
        <v>45101</v>
      </c>
      <c r="S3918" t="s">
        <v>45231</v>
      </c>
      <c r="T3918" t="s">
        <v>46904</v>
      </c>
      <c r="U3918" t="s">
        <v>50811</v>
      </c>
      <c r="V3918" t="s">
        <v>60243</v>
      </c>
      <c r="W3918" t="s">
        <v>42954</v>
      </c>
      <c r="X3918" t="s">
        <v>45102</v>
      </c>
    </row>
    <row r="3919" spans="1:24">
      <c r="A3919">
        <f>HYPERLINK("https://www.philgeps.gov.ph/GEPSNONPILOT/Tender/SplashBidNoticeAbstractUI.aspx?menuIndex=3&amp;refID=7041331&amp;Result=3","7041331")</f>
        <v>0</v>
      </c>
      <c r="B3919" t="s">
        <v>1381</v>
      </c>
      <c r="C3919" t="s">
        <v>6937</v>
      </c>
      <c r="D3919" t="s">
        <v>18074</v>
      </c>
      <c r="E3919" t="s">
        <v>21631</v>
      </c>
      <c r="F3919" t="s">
        <v>31574</v>
      </c>
      <c r="G3919" t="s">
        <v>31582</v>
      </c>
      <c r="H3919" t="s">
        <v>31590</v>
      </c>
      <c r="I3919" t="s">
        <v>7162</v>
      </c>
      <c r="J3919" t="s">
        <v>32049</v>
      </c>
      <c r="K3919" t="s">
        <v>41186</v>
      </c>
      <c r="M3919" t="s">
        <v>42955</v>
      </c>
      <c r="N3919" t="s">
        <v>45095</v>
      </c>
      <c r="O3919" t="s">
        <v>45096</v>
      </c>
      <c r="P3919">
        <v>0</v>
      </c>
      <c r="Q3919">
        <v>0</v>
      </c>
      <c r="R3919" t="s">
        <v>45101</v>
      </c>
      <c r="S3919" t="s">
        <v>45231</v>
      </c>
      <c r="T3919" t="s">
        <v>46911</v>
      </c>
      <c r="U3919" t="s">
        <v>50812</v>
      </c>
      <c r="V3919" t="s">
        <v>60244</v>
      </c>
      <c r="W3919" t="s">
        <v>42955</v>
      </c>
      <c r="X3919" t="s">
        <v>45102</v>
      </c>
    </row>
    <row r="3920" spans="1:24">
      <c r="A3920">
        <f>HYPERLINK("https://www.philgeps.gov.ph/GEPSNONPILOT/Tender/SplashBidNoticeAbstractUI.aspx?menuIndex=3&amp;refID=7041344&amp;Result=3","7041344")</f>
        <v>0</v>
      </c>
      <c r="B3920" t="s">
        <v>1376</v>
      </c>
      <c r="C3920" t="s">
        <v>6938</v>
      </c>
      <c r="E3920" t="s">
        <v>21632</v>
      </c>
      <c r="F3920" t="s">
        <v>31574</v>
      </c>
      <c r="G3920" t="s">
        <v>31582</v>
      </c>
      <c r="H3920" t="s">
        <v>31590</v>
      </c>
      <c r="I3920" t="s">
        <v>31614</v>
      </c>
      <c r="J3920" t="s">
        <v>34363</v>
      </c>
      <c r="K3920" t="s">
        <v>41184</v>
      </c>
      <c r="M3920" t="s">
        <v>42950</v>
      </c>
      <c r="N3920" t="s">
        <v>45095</v>
      </c>
      <c r="O3920" t="s">
        <v>45096</v>
      </c>
      <c r="P3920">
        <v>0</v>
      </c>
      <c r="Q3920">
        <v>1</v>
      </c>
      <c r="R3920" t="s">
        <v>45101</v>
      </c>
      <c r="S3920" t="s">
        <v>45231</v>
      </c>
      <c r="T3920" t="s">
        <v>47199</v>
      </c>
      <c r="U3920" t="s">
        <v>50807</v>
      </c>
      <c r="W3920" t="s">
        <v>42950</v>
      </c>
      <c r="X3920" t="s">
        <v>45102</v>
      </c>
    </row>
    <row r="3921" spans="1:24">
      <c r="A3921">
        <f>HYPERLINK("https://www.philgeps.gov.ph/GEPSNONPILOT/Tender/SplashBidNoticeAbstractUI.aspx?menuIndex=3&amp;refID=7041310&amp;Result=3","7041310")</f>
        <v>0</v>
      </c>
      <c r="B3921" t="s">
        <v>115</v>
      </c>
      <c r="C3921" t="s">
        <v>6939</v>
      </c>
      <c r="D3921" t="s">
        <v>18040</v>
      </c>
      <c r="E3921" t="s">
        <v>21633</v>
      </c>
      <c r="F3921" t="s">
        <v>31574</v>
      </c>
      <c r="G3921" t="s">
        <v>31581</v>
      </c>
      <c r="H3921" t="s">
        <v>31590</v>
      </c>
      <c r="I3921" t="s">
        <v>8258</v>
      </c>
      <c r="J3921" t="s">
        <v>31741</v>
      </c>
      <c r="K3921" t="s">
        <v>41193</v>
      </c>
      <c r="M3921" t="s">
        <v>41599</v>
      </c>
      <c r="N3921" t="s">
        <v>45095</v>
      </c>
      <c r="O3921" t="s">
        <v>45096</v>
      </c>
      <c r="P3921">
        <v>0</v>
      </c>
      <c r="Q3921">
        <v>0</v>
      </c>
      <c r="R3921" t="s">
        <v>45101</v>
      </c>
      <c r="S3921" t="s">
        <v>45231</v>
      </c>
      <c r="T3921" t="s">
        <v>47158</v>
      </c>
      <c r="U3921" t="s">
        <v>50813</v>
      </c>
      <c r="W3921" t="s">
        <v>41599</v>
      </c>
      <c r="X3921" t="s">
        <v>45102</v>
      </c>
    </row>
    <row r="3922" spans="1:24">
      <c r="A3922">
        <f>HYPERLINK("https://www.philgeps.gov.ph/GEPSNONPILOT/Tender/SplashBidNoticeAbstractUI.aspx?menuIndex=3&amp;refID=7041298&amp;Result=3","7041298")</f>
        <v>0</v>
      </c>
      <c r="B3922" t="s">
        <v>1357</v>
      </c>
      <c r="C3922" t="s">
        <v>6940</v>
      </c>
      <c r="D3922" t="s">
        <v>18054</v>
      </c>
      <c r="E3922" t="s">
        <v>21634</v>
      </c>
      <c r="F3922" t="s">
        <v>31574</v>
      </c>
      <c r="G3922" t="s">
        <v>31582</v>
      </c>
      <c r="H3922" t="s">
        <v>31590</v>
      </c>
      <c r="I3922" t="s">
        <v>31614</v>
      </c>
      <c r="J3922" t="s">
        <v>31789</v>
      </c>
      <c r="K3922" t="s">
        <v>41192</v>
      </c>
      <c r="M3922" t="s">
        <v>42929</v>
      </c>
      <c r="N3922" t="s">
        <v>45095</v>
      </c>
      <c r="O3922" t="s">
        <v>45096</v>
      </c>
      <c r="P3922">
        <v>0</v>
      </c>
      <c r="Q3922">
        <v>0</v>
      </c>
      <c r="R3922" t="s">
        <v>45101</v>
      </c>
      <c r="S3922" t="s">
        <v>45231</v>
      </c>
      <c r="T3922" t="s">
        <v>46918</v>
      </c>
      <c r="U3922" t="s">
        <v>50750</v>
      </c>
      <c r="V3922" t="s">
        <v>60229</v>
      </c>
      <c r="W3922" t="s">
        <v>42929</v>
      </c>
      <c r="X3922" t="s">
        <v>45102</v>
      </c>
    </row>
    <row r="3923" spans="1:24">
      <c r="A3923">
        <f>HYPERLINK("https://www.philgeps.gov.ph/GEPSNONPILOT/Tender/SplashBidNoticeAbstractUI.aspx?menuIndex=3&amp;refID=7041307&amp;Result=3","7041307")</f>
        <v>0</v>
      </c>
      <c r="B3923" t="s">
        <v>767</v>
      </c>
      <c r="C3923" t="s">
        <v>6941</v>
      </c>
      <c r="D3923" t="s">
        <v>18068</v>
      </c>
      <c r="E3923" t="s">
        <v>21635</v>
      </c>
      <c r="F3923" t="s">
        <v>31574</v>
      </c>
      <c r="G3923" t="s">
        <v>31582</v>
      </c>
      <c r="H3923" t="s">
        <v>31590</v>
      </c>
      <c r="I3923" t="s">
        <v>4046</v>
      </c>
      <c r="J3923" t="s">
        <v>34364</v>
      </c>
      <c r="K3923" t="s">
        <v>41191</v>
      </c>
      <c r="M3923" t="s">
        <v>42281</v>
      </c>
      <c r="N3923" t="s">
        <v>45095</v>
      </c>
      <c r="O3923" t="s">
        <v>45096</v>
      </c>
      <c r="P3923">
        <v>0</v>
      </c>
      <c r="Q3923">
        <v>0</v>
      </c>
      <c r="R3923" t="s">
        <v>45101</v>
      </c>
      <c r="S3923" t="s">
        <v>45231</v>
      </c>
      <c r="T3923" t="s">
        <v>47172</v>
      </c>
      <c r="U3923" t="s">
        <v>50814</v>
      </c>
      <c r="V3923" t="s">
        <v>60231</v>
      </c>
      <c r="W3923" t="s">
        <v>42281</v>
      </c>
      <c r="X3923" t="s">
        <v>45102</v>
      </c>
    </row>
    <row r="3924" spans="1:24">
      <c r="A3924">
        <f>HYPERLINK("https://www.philgeps.gov.ph/GEPSNONPILOT/Tender/SplashBidNoticeAbstractUI.aspx?menuIndex=3&amp;refID=7041341&amp;Result=3","7041341")</f>
        <v>0</v>
      </c>
      <c r="B3924" t="s">
        <v>1382</v>
      </c>
      <c r="C3924" t="s">
        <v>6942</v>
      </c>
      <c r="D3924" t="s">
        <v>18079</v>
      </c>
      <c r="E3924" t="s">
        <v>21636</v>
      </c>
      <c r="F3924" t="s">
        <v>31574</v>
      </c>
      <c r="G3924" t="s">
        <v>31582</v>
      </c>
      <c r="H3924" t="s">
        <v>31590</v>
      </c>
      <c r="I3924" t="s">
        <v>3489</v>
      </c>
      <c r="J3924" t="s">
        <v>34365</v>
      </c>
      <c r="K3924" t="s">
        <v>41196</v>
      </c>
      <c r="M3924" t="s">
        <v>42956</v>
      </c>
      <c r="N3924" t="s">
        <v>45095</v>
      </c>
      <c r="O3924" t="s">
        <v>45096</v>
      </c>
      <c r="P3924">
        <v>0</v>
      </c>
      <c r="Q3924">
        <v>1</v>
      </c>
      <c r="R3924" t="s">
        <v>45101</v>
      </c>
      <c r="S3924" t="s">
        <v>45231</v>
      </c>
      <c r="T3924" t="s">
        <v>47198</v>
      </c>
      <c r="U3924" t="s">
        <v>50815</v>
      </c>
      <c r="V3924" t="s">
        <v>60245</v>
      </c>
      <c r="W3924" t="s">
        <v>42956</v>
      </c>
      <c r="X3924" t="s">
        <v>45102</v>
      </c>
    </row>
    <row r="3925" spans="1:24">
      <c r="A3925">
        <f>HYPERLINK("https://www.philgeps.gov.ph/GEPSNONPILOT/Tender/SplashBidNoticeAbstractUI.aspx?menuIndex=3&amp;refID=7041372&amp;Result=3","7041372")</f>
        <v>0</v>
      </c>
      <c r="B3925" t="s">
        <v>1383</v>
      </c>
      <c r="C3925" t="s">
        <v>6943</v>
      </c>
      <c r="D3925" t="s">
        <v>18070</v>
      </c>
      <c r="E3925" t="s">
        <v>20023</v>
      </c>
      <c r="F3925" t="s">
        <v>31574</v>
      </c>
      <c r="G3925" t="s">
        <v>31582</v>
      </c>
      <c r="H3925" t="s">
        <v>31590</v>
      </c>
      <c r="I3925" t="s">
        <v>4046</v>
      </c>
      <c r="J3925" t="s">
        <v>33343</v>
      </c>
      <c r="K3925" t="s">
        <v>41184</v>
      </c>
      <c r="M3925" t="s">
        <v>42957</v>
      </c>
      <c r="N3925" t="s">
        <v>45095</v>
      </c>
      <c r="O3925" t="s">
        <v>45096</v>
      </c>
      <c r="P3925">
        <v>0</v>
      </c>
      <c r="Q3925">
        <v>0</v>
      </c>
      <c r="R3925" t="s">
        <v>45101</v>
      </c>
      <c r="S3925" t="s">
        <v>45231</v>
      </c>
      <c r="T3925" t="s">
        <v>47151</v>
      </c>
      <c r="U3925" t="s">
        <v>50816</v>
      </c>
      <c r="W3925" t="s">
        <v>42957</v>
      </c>
      <c r="X3925" t="s">
        <v>45102</v>
      </c>
    </row>
    <row r="3926" spans="1:24">
      <c r="A3926">
        <f>HYPERLINK("https://www.philgeps.gov.ph/GEPSNONPILOT/Tender/SplashBidNoticeAbstractUI.aspx?menuIndex=3&amp;refID=7041366&amp;Result=3","7041366")</f>
        <v>0</v>
      </c>
      <c r="B3926" t="s">
        <v>415</v>
      </c>
      <c r="C3926" t="s">
        <v>6944</v>
      </c>
      <c r="D3926" t="s">
        <v>18022</v>
      </c>
      <c r="E3926" t="s">
        <v>21637</v>
      </c>
      <c r="F3926" t="s">
        <v>31574</v>
      </c>
      <c r="G3926" t="s">
        <v>31583</v>
      </c>
      <c r="H3926" t="s">
        <v>31590</v>
      </c>
      <c r="I3926" t="s">
        <v>8258</v>
      </c>
      <c r="J3926" t="s">
        <v>34366</v>
      </c>
      <c r="K3926" t="s">
        <v>41190</v>
      </c>
      <c r="M3926" t="s">
        <v>42861</v>
      </c>
      <c r="N3926" t="s">
        <v>45095</v>
      </c>
      <c r="O3926" t="s">
        <v>45096</v>
      </c>
      <c r="P3926">
        <v>0</v>
      </c>
      <c r="Q3926">
        <v>3</v>
      </c>
      <c r="R3926" t="s">
        <v>45101</v>
      </c>
      <c r="S3926" t="s">
        <v>45231</v>
      </c>
      <c r="T3926" t="s">
        <v>47158</v>
      </c>
      <c r="U3926" t="s">
        <v>50817</v>
      </c>
      <c r="W3926" t="s">
        <v>42861</v>
      </c>
      <c r="X3926" t="s">
        <v>45102</v>
      </c>
    </row>
    <row r="3927" spans="1:24">
      <c r="A3927">
        <f>HYPERLINK("https://www.philgeps.gov.ph/GEPSNONPILOT/Tender/SplashBidNoticeAbstractUI.aspx?menuIndex=3&amp;refID=7041369&amp;Result=3","7041369")</f>
        <v>0</v>
      </c>
      <c r="B3927" t="s">
        <v>115</v>
      </c>
      <c r="C3927" t="s">
        <v>6945</v>
      </c>
      <c r="D3927" t="s">
        <v>18040</v>
      </c>
      <c r="E3927" t="s">
        <v>21638</v>
      </c>
      <c r="F3927" t="s">
        <v>31574</v>
      </c>
      <c r="G3927" t="s">
        <v>31581</v>
      </c>
      <c r="H3927" t="s">
        <v>31590</v>
      </c>
      <c r="I3927" t="s">
        <v>31659</v>
      </c>
      <c r="J3927" t="s">
        <v>31843</v>
      </c>
      <c r="K3927" t="s">
        <v>41193</v>
      </c>
      <c r="M3927" t="s">
        <v>41599</v>
      </c>
      <c r="N3927" t="s">
        <v>45095</v>
      </c>
      <c r="O3927" t="s">
        <v>45096</v>
      </c>
      <c r="P3927">
        <v>0</v>
      </c>
      <c r="Q3927">
        <v>0</v>
      </c>
      <c r="R3927" t="s">
        <v>45101</v>
      </c>
      <c r="S3927" t="s">
        <v>45231</v>
      </c>
      <c r="T3927" t="s">
        <v>47158</v>
      </c>
      <c r="U3927" t="s">
        <v>50818</v>
      </c>
      <c r="W3927" t="s">
        <v>41599</v>
      </c>
      <c r="X3927" t="s">
        <v>45102</v>
      </c>
    </row>
    <row r="3928" spans="1:24">
      <c r="A3928">
        <f>HYPERLINK("https://www.philgeps.gov.ph/GEPSNONPILOT/Tender/SplashBidNoticeAbstractUI.aspx?menuIndex=3&amp;refID=7041371&amp;Result=3","7041371")</f>
        <v>0</v>
      </c>
      <c r="B3928" t="s">
        <v>1131</v>
      </c>
      <c r="C3928" t="s">
        <v>6946</v>
      </c>
      <c r="D3928" t="s">
        <v>18071</v>
      </c>
      <c r="E3928" t="s">
        <v>21639</v>
      </c>
      <c r="F3928" t="s">
        <v>31574</v>
      </c>
      <c r="G3928" t="s">
        <v>31581</v>
      </c>
      <c r="H3928" t="s">
        <v>31593</v>
      </c>
      <c r="I3928" t="s">
        <v>31593</v>
      </c>
      <c r="J3928" t="s">
        <v>34367</v>
      </c>
      <c r="K3928" t="s">
        <v>41225</v>
      </c>
      <c r="M3928" t="s">
        <v>42682</v>
      </c>
      <c r="N3928" t="s">
        <v>45095</v>
      </c>
      <c r="O3928" t="s">
        <v>45096</v>
      </c>
      <c r="P3928">
        <v>0</v>
      </c>
      <c r="Q3928">
        <v>0</v>
      </c>
      <c r="R3928" t="s">
        <v>45101</v>
      </c>
      <c r="S3928" t="s">
        <v>45231</v>
      </c>
      <c r="T3928" t="s">
        <v>47064</v>
      </c>
      <c r="U3928" t="s">
        <v>50819</v>
      </c>
      <c r="W3928" t="s">
        <v>42682</v>
      </c>
      <c r="X3928" t="s">
        <v>45102</v>
      </c>
    </row>
    <row r="3929" spans="1:24">
      <c r="A3929">
        <f>HYPERLINK("https://www.philgeps.gov.ph/GEPSNONPILOT/Tender/SplashBidNoticeAbstractUI.aspx?menuIndex=3&amp;refID=7041358&amp;Result=3","7041358")</f>
        <v>0</v>
      </c>
      <c r="B3929" t="s">
        <v>1327</v>
      </c>
      <c r="C3929" t="s">
        <v>6947</v>
      </c>
      <c r="E3929" t="s">
        <v>6947</v>
      </c>
      <c r="F3929" t="s">
        <v>31574</v>
      </c>
      <c r="G3929" t="s">
        <v>31581</v>
      </c>
      <c r="H3929" t="s">
        <v>31590</v>
      </c>
      <c r="I3929" t="s">
        <v>31698</v>
      </c>
      <c r="J3929" t="s">
        <v>34368</v>
      </c>
      <c r="K3929" t="s">
        <v>41193</v>
      </c>
      <c r="M3929" t="s">
        <v>42897</v>
      </c>
      <c r="N3929" t="s">
        <v>45095</v>
      </c>
      <c r="O3929" t="s">
        <v>45096</v>
      </c>
      <c r="P3929">
        <v>0</v>
      </c>
      <c r="Q3929">
        <v>3</v>
      </c>
      <c r="R3929" t="s">
        <v>45101</v>
      </c>
      <c r="S3929" t="s">
        <v>45231</v>
      </c>
      <c r="T3929" t="s">
        <v>47154</v>
      </c>
      <c r="U3929" t="s">
        <v>50820</v>
      </c>
      <c r="W3929" t="s">
        <v>42897</v>
      </c>
      <c r="X3929" t="s">
        <v>45102</v>
      </c>
    </row>
    <row r="3930" spans="1:24">
      <c r="A3930">
        <f>HYPERLINK("https://www.philgeps.gov.ph/GEPSNONPILOT/Tender/SplashBidNoticeAbstractUI.aspx?menuIndex=3&amp;refID=7041356&amp;Result=3","7041356")</f>
        <v>0</v>
      </c>
      <c r="B3930" t="s">
        <v>1332</v>
      </c>
      <c r="C3930" t="s">
        <v>6948</v>
      </c>
      <c r="D3930" t="s">
        <v>18060</v>
      </c>
      <c r="E3930" t="s">
        <v>21640</v>
      </c>
      <c r="F3930" t="s">
        <v>31574</v>
      </c>
      <c r="G3930" t="s">
        <v>31581</v>
      </c>
      <c r="H3930" t="s">
        <v>31590</v>
      </c>
      <c r="I3930" t="s">
        <v>31625</v>
      </c>
      <c r="J3930" t="s">
        <v>31947</v>
      </c>
      <c r="K3930" t="s">
        <v>41186</v>
      </c>
      <c r="M3930" t="s">
        <v>42904</v>
      </c>
      <c r="N3930" t="s">
        <v>45095</v>
      </c>
      <c r="O3930" t="s">
        <v>45096</v>
      </c>
      <c r="P3930">
        <v>0</v>
      </c>
      <c r="Q3930">
        <v>1</v>
      </c>
      <c r="R3930" t="s">
        <v>45101</v>
      </c>
      <c r="S3930" t="s">
        <v>45231</v>
      </c>
      <c r="T3930" t="s">
        <v>46904</v>
      </c>
      <c r="U3930" t="s">
        <v>50821</v>
      </c>
      <c r="W3930" t="s">
        <v>42904</v>
      </c>
      <c r="X3930" t="s">
        <v>45102</v>
      </c>
    </row>
    <row r="3931" spans="1:24">
      <c r="A3931">
        <f>HYPERLINK("https://www.philgeps.gov.ph/GEPSNONPILOT/Tender/SplashBidNoticeAbstractUI.aspx?menuIndex=3&amp;refID=7041368&amp;Result=3","7041368")</f>
        <v>0</v>
      </c>
      <c r="B3931" t="s">
        <v>1379</v>
      </c>
      <c r="C3931" t="s">
        <v>6949</v>
      </c>
      <c r="D3931" t="s">
        <v>18094</v>
      </c>
      <c r="E3931" t="s">
        <v>21641</v>
      </c>
      <c r="F3931" t="s">
        <v>31574</v>
      </c>
      <c r="G3931" t="s">
        <v>31582</v>
      </c>
      <c r="H3931" t="s">
        <v>31590</v>
      </c>
      <c r="I3931" t="s">
        <v>31615</v>
      </c>
      <c r="J3931" t="s">
        <v>31819</v>
      </c>
      <c r="K3931" t="s">
        <v>41196</v>
      </c>
      <c r="M3931" t="s">
        <v>42953</v>
      </c>
      <c r="N3931" t="s">
        <v>45095</v>
      </c>
      <c r="O3931" t="s">
        <v>45096</v>
      </c>
      <c r="P3931">
        <v>0</v>
      </c>
      <c r="Q3931">
        <v>5</v>
      </c>
      <c r="R3931" t="s">
        <v>45101</v>
      </c>
      <c r="S3931" t="s">
        <v>45231</v>
      </c>
      <c r="T3931" t="s">
        <v>47166</v>
      </c>
      <c r="U3931" t="s">
        <v>50810</v>
      </c>
      <c r="W3931" t="s">
        <v>42953</v>
      </c>
      <c r="X3931" t="s">
        <v>45102</v>
      </c>
    </row>
    <row r="3932" spans="1:24">
      <c r="A3932">
        <f>HYPERLINK("https://www.philgeps.gov.ph/GEPSNONPILOT/Tender/SplashBidNoticeAbstractUI.aspx?menuIndex=3&amp;refID=7041365&amp;Result=3","7041365")</f>
        <v>0</v>
      </c>
      <c r="B3932" t="s">
        <v>1384</v>
      </c>
      <c r="C3932" t="s">
        <v>6950</v>
      </c>
      <c r="D3932" t="s">
        <v>18054</v>
      </c>
      <c r="E3932" t="s">
        <v>19061</v>
      </c>
      <c r="F3932" t="s">
        <v>31574</v>
      </c>
      <c r="G3932" t="s">
        <v>31582</v>
      </c>
      <c r="H3932" t="s">
        <v>31590</v>
      </c>
      <c r="I3932" t="s">
        <v>4046</v>
      </c>
      <c r="J3932" t="s">
        <v>34369</v>
      </c>
      <c r="K3932" t="s">
        <v>41196</v>
      </c>
      <c r="M3932" t="s">
        <v>42958</v>
      </c>
      <c r="N3932" t="s">
        <v>45095</v>
      </c>
      <c r="O3932" t="s">
        <v>45096</v>
      </c>
      <c r="P3932">
        <v>0</v>
      </c>
      <c r="Q3932">
        <v>0</v>
      </c>
      <c r="R3932" t="s">
        <v>45101</v>
      </c>
      <c r="S3932" t="s">
        <v>45231</v>
      </c>
      <c r="T3932" t="s">
        <v>46924</v>
      </c>
      <c r="U3932" t="s">
        <v>50822</v>
      </c>
      <c r="W3932" t="s">
        <v>42958</v>
      </c>
      <c r="X3932" t="s">
        <v>45102</v>
      </c>
    </row>
    <row r="3933" spans="1:24">
      <c r="A3933">
        <f>HYPERLINK("https://www.philgeps.gov.ph/GEPSNONPILOT/Tender/SplashBidNoticeAbstractUI.aspx?menuIndex=3&amp;refID=7041370&amp;Result=3","7041370")</f>
        <v>0</v>
      </c>
      <c r="B3933" t="s">
        <v>636</v>
      </c>
      <c r="C3933" t="s">
        <v>6951</v>
      </c>
      <c r="D3933" t="s">
        <v>18022</v>
      </c>
      <c r="E3933" t="s">
        <v>21642</v>
      </c>
      <c r="F3933" t="s">
        <v>31574</v>
      </c>
      <c r="G3933" t="s">
        <v>31581</v>
      </c>
      <c r="H3933" t="s">
        <v>31590</v>
      </c>
      <c r="I3933" t="s">
        <v>31656</v>
      </c>
      <c r="J3933" t="s">
        <v>32126</v>
      </c>
      <c r="K3933" t="s">
        <v>41184</v>
      </c>
      <c r="M3933" t="s">
        <v>42140</v>
      </c>
      <c r="N3933" t="s">
        <v>45095</v>
      </c>
      <c r="O3933" t="s">
        <v>45096</v>
      </c>
      <c r="P3933">
        <v>0</v>
      </c>
      <c r="Q3933">
        <v>2</v>
      </c>
      <c r="R3933" t="s">
        <v>45101</v>
      </c>
      <c r="S3933" t="s">
        <v>45231</v>
      </c>
      <c r="T3933" t="s">
        <v>47124</v>
      </c>
      <c r="U3933" t="s">
        <v>48788</v>
      </c>
      <c r="W3933" t="s">
        <v>42140</v>
      </c>
      <c r="X3933" t="s">
        <v>45102</v>
      </c>
    </row>
    <row r="3934" spans="1:24">
      <c r="A3934">
        <f>HYPERLINK("https://www.philgeps.gov.ph/GEPSNONPILOT/Tender/SplashBidNoticeAbstractUI.aspx?menuIndex=3&amp;refID=7041354&amp;Result=3","7041354")</f>
        <v>0</v>
      </c>
      <c r="B3934" t="s">
        <v>1374</v>
      </c>
      <c r="C3934" t="s">
        <v>6952</v>
      </c>
      <c r="D3934" t="s">
        <v>18041</v>
      </c>
      <c r="E3934" t="s">
        <v>21643</v>
      </c>
      <c r="F3934" t="s">
        <v>31574</v>
      </c>
      <c r="G3934" t="s">
        <v>31582</v>
      </c>
      <c r="H3934" t="s">
        <v>31590</v>
      </c>
      <c r="I3934" t="s">
        <v>31615</v>
      </c>
      <c r="J3934" t="s">
        <v>32026</v>
      </c>
      <c r="K3934" t="s">
        <v>41186</v>
      </c>
      <c r="M3934" t="s">
        <v>42948</v>
      </c>
      <c r="N3934" t="s">
        <v>45095</v>
      </c>
      <c r="O3934" t="s">
        <v>45096</v>
      </c>
      <c r="P3934">
        <v>0</v>
      </c>
      <c r="Q3934">
        <v>2</v>
      </c>
      <c r="R3934" t="s">
        <v>45101</v>
      </c>
      <c r="S3934" t="s">
        <v>45231</v>
      </c>
      <c r="T3934" t="s">
        <v>47108</v>
      </c>
      <c r="U3934" t="s">
        <v>50823</v>
      </c>
      <c r="W3934" t="s">
        <v>42948</v>
      </c>
      <c r="X3934" t="s">
        <v>45102</v>
      </c>
    </row>
    <row r="3935" spans="1:24">
      <c r="A3935">
        <f>HYPERLINK("https://www.philgeps.gov.ph/GEPSNONPILOT/Tender/SplashBidNoticeAbstractUI.aspx?menuIndex=3&amp;refID=7041367&amp;Result=3","7041367")</f>
        <v>0</v>
      </c>
      <c r="B3935" t="s">
        <v>1374</v>
      </c>
      <c r="C3935" t="s">
        <v>6953</v>
      </c>
      <c r="D3935" t="s">
        <v>18041</v>
      </c>
      <c r="E3935" t="s">
        <v>21644</v>
      </c>
      <c r="F3935" t="s">
        <v>31574</v>
      </c>
      <c r="G3935" t="s">
        <v>31582</v>
      </c>
      <c r="H3935" t="s">
        <v>31590</v>
      </c>
      <c r="I3935" t="s">
        <v>31615</v>
      </c>
      <c r="J3935" t="s">
        <v>31935</v>
      </c>
      <c r="K3935" t="s">
        <v>41186</v>
      </c>
      <c r="M3935" t="s">
        <v>42948</v>
      </c>
      <c r="N3935" t="s">
        <v>45095</v>
      </c>
      <c r="O3935" t="s">
        <v>45096</v>
      </c>
      <c r="P3935">
        <v>0</v>
      </c>
      <c r="Q3935">
        <v>2</v>
      </c>
      <c r="R3935" t="s">
        <v>45101</v>
      </c>
      <c r="S3935" t="s">
        <v>45231</v>
      </c>
      <c r="T3935" t="s">
        <v>47108</v>
      </c>
      <c r="U3935" t="s">
        <v>50824</v>
      </c>
      <c r="W3935" t="s">
        <v>42948</v>
      </c>
      <c r="X3935" t="s">
        <v>45102</v>
      </c>
    </row>
    <row r="3936" spans="1:24">
      <c r="A3936">
        <f>HYPERLINK("https://www.philgeps.gov.ph/GEPSNONPILOT/Tender/SplashBidNoticeAbstractUI.aspx?menuIndex=3&amp;refID=7041357&amp;Result=3","7041357")</f>
        <v>0</v>
      </c>
      <c r="B3936" t="s">
        <v>1385</v>
      </c>
      <c r="C3936" t="s">
        <v>6954</v>
      </c>
      <c r="D3936" t="s">
        <v>18103</v>
      </c>
      <c r="E3936" t="s">
        <v>21645</v>
      </c>
      <c r="F3936" t="s">
        <v>31574</v>
      </c>
      <c r="G3936" t="s">
        <v>31581</v>
      </c>
      <c r="H3936" t="s">
        <v>31590</v>
      </c>
      <c r="I3936" t="s">
        <v>31606</v>
      </c>
      <c r="J3936" t="s">
        <v>31947</v>
      </c>
      <c r="K3936" t="s">
        <v>41184</v>
      </c>
      <c r="M3936" t="s">
        <v>42959</v>
      </c>
      <c r="N3936" t="s">
        <v>45095</v>
      </c>
      <c r="O3936" t="s">
        <v>45096</v>
      </c>
      <c r="P3936">
        <v>0</v>
      </c>
      <c r="Q3936">
        <v>5</v>
      </c>
      <c r="R3936" t="s">
        <v>45101</v>
      </c>
      <c r="S3936" t="s">
        <v>45231</v>
      </c>
      <c r="T3936" t="s">
        <v>47183</v>
      </c>
      <c r="U3936" t="s">
        <v>50825</v>
      </c>
      <c r="W3936" t="s">
        <v>42959</v>
      </c>
      <c r="X3936" t="s">
        <v>45102</v>
      </c>
    </row>
    <row r="3937" spans="1:24">
      <c r="A3937">
        <f>HYPERLINK("https://www.philgeps.gov.ph/GEPSNONPILOT/Tender/SplashBidNoticeAbstractUI.aspx?menuIndex=3&amp;refID=7041352&amp;Result=3","7041352")</f>
        <v>0</v>
      </c>
      <c r="B3937" t="s">
        <v>736</v>
      </c>
      <c r="C3937" t="s">
        <v>6955</v>
      </c>
      <c r="D3937" t="s">
        <v>18079</v>
      </c>
      <c r="E3937" t="s">
        <v>21646</v>
      </c>
      <c r="F3937" t="s">
        <v>31574</v>
      </c>
      <c r="G3937" t="s">
        <v>31582</v>
      </c>
      <c r="H3937" t="s">
        <v>31591</v>
      </c>
      <c r="I3937" t="s">
        <v>8822</v>
      </c>
      <c r="J3937" t="s">
        <v>34370</v>
      </c>
      <c r="K3937" t="s">
        <v>41186</v>
      </c>
      <c r="M3937" t="s">
        <v>42247</v>
      </c>
      <c r="N3937" t="s">
        <v>45095</v>
      </c>
      <c r="O3937" t="s">
        <v>45096</v>
      </c>
      <c r="P3937">
        <v>0</v>
      </c>
      <c r="Q3937">
        <v>0</v>
      </c>
      <c r="R3937" t="s">
        <v>45101</v>
      </c>
      <c r="S3937" t="s">
        <v>45231</v>
      </c>
      <c r="T3937" t="s">
        <v>47166</v>
      </c>
      <c r="U3937" t="s">
        <v>50768</v>
      </c>
      <c r="W3937" t="s">
        <v>42247</v>
      </c>
      <c r="X3937" t="s">
        <v>45102</v>
      </c>
    </row>
    <row r="3938" spans="1:24">
      <c r="A3938">
        <f>HYPERLINK("https://www.philgeps.gov.ph/GEPSNONPILOT/Tender/SplashBidNoticeAbstractUI.aspx?menuIndex=3&amp;refID=7041355&amp;Result=3","7041355")</f>
        <v>0</v>
      </c>
      <c r="B3938" t="s">
        <v>1364</v>
      </c>
      <c r="C3938" t="s">
        <v>6956</v>
      </c>
      <c r="D3938" t="s">
        <v>18044</v>
      </c>
      <c r="E3938" t="s">
        <v>21647</v>
      </c>
      <c r="F3938" t="s">
        <v>31574</v>
      </c>
      <c r="G3938" t="s">
        <v>31582</v>
      </c>
      <c r="H3938" t="s">
        <v>31590</v>
      </c>
      <c r="I3938" t="s">
        <v>31595</v>
      </c>
      <c r="J3938" t="s">
        <v>34371</v>
      </c>
      <c r="K3938" t="s">
        <v>41193</v>
      </c>
      <c r="M3938" t="s">
        <v>42936</v>
      </c>
      <c r="N3938" t="s">
        <v>45095</v>
      </c>
      <c r="O3938" t="s">
        <v>45096</v>
      </c>
      <c r="Q3938">
        <v>1</v>
      </c>
      <c r="R3938" t="s">
        <v>45101</v>
      </c>
      <c r="S3938" t="s">
        <v>45232</v>
      </c>
      <c r="T3938" t="s">
        <v>46918</v>
      </c>
      <c r="U3938" t="s">
        <v>50826</v>
      </c>
      <c r="V3938" t="s">
        <v>60246</v>
      </c>
      <c r="W3938" t="s">
        <v>42936</v>
      </c>
      <c r="X3938" t="s">
        <v>45102</v>
      </c>
    </row>
    <row r="3939" spans="1:24">
      <c r="A3939">
        <f>HYPERLINK("https://www.philgeps.gov.ph/GEPSNONPILOT/Tender/SplashBidNoticeAbstractUI.aspx?menuIndex=3&amp;refID=7041390&amp;Result=3","7041390")</f>
        <v>0</v>
      </c>
      <c r="B3939" t="s">
        <v>1386</v>
      </c>
      <c r="C3939" t="s">
        <v>6957</v>
      </c>
      <c r="D3939" t="s">
        <v>18039</v>
      </c>
      <c r="E3939" t="s">
        <v>18271</v>
      </c>
      <c r="F3939" t="s">
        <v>31574</v>
      </c>
      <c r="G3939" t="s">
        <v>31581</v>
      </c>
      <c r="H3939" t="s">
        <v>31590</v>
      </c>
      <c r="I3939" t="s">
        <v>3489</v>
      </c>
      <c r="J3939" t="s">
        <v>33007</v>
      </c>
      <c r="K3939" t="s">
        <v>41184</v>
      </c>
      <c r="M3939" t="s">
        <v>42960</v>
      </c>
      <c r="N3939" t="s">
        <v>45095</v>
      </c>
      <c r="O3939" t="s">
        <v>45096</v>
      </c>
      <c r="P3939">
        <v>0</v>
      </c>
      <c r="Q3939">
        <v>0</v>
      </c>
      <c r="R3939" t="s">
        <v>45101</v>
      </c>
      <c r="S3939" t="s">
        <v>45231</v>
      </c>
      <c r="T3939" t="s">
        <v>47154</v>
      </c>
      <c r="U3939" t="s">
        <v>50827</v>
      </c>
      <c r="W3939" t="s">
        <v>42960</v>
      </c>
      <c r="X3939" t="s">
        <v>45102</v>
      </c>
    </row>
    <row r="3940" spans="1:24">
      <c r="A3940">
        <f>HYPERLINK("https://www.philgeps.gov.ph/GEPSNONPILOT/Tender/SplashBidNoticeAbstractUI.aspx?menuIndex=3&amp;refID=7041361&amp;Result=3","7041361")</f>
        <v>0</v>
      </c>
      <c r="B3940" t="s">
        <v>1387</v>
      </c>
      <c r="C3940" t="s">
        <v>6958</v>
      </c>
      <c r="D3940" t="s">
        <v>18060</v>
      </c>
      <c r="E3940" t="s">
        <v>15299</v>
      </c>
      <c r="F3940" t="s">
        <v>31574</v>
      </c>
      <c r="G3940" t="s">
        <v>31581</v>
      </c>
      <c r="H3940" t="s">
        <v>31591</v>
      </c>
      <c r="I3940" t="s">
        <v>31663</v>
      </c>
      <c r="J3940" t="s">
        <v>34372</v>
      </c>
      <c r="K3940" t="s">
        <v>41211</v>
      </c>
      <c r="M3940" t="s">
        <v>42961</v>
      </c>
      <c r="N3940" t="s">
        <v>45095</v>
      </c>
      <c r="O3940" t="s">
        <v>45096</v>
      </c>
      <c r="P3940">
        <v>0</v>
      </c>
      <c r="Q3940">
        <v>1</v>
      </c>
      <c r="R3940" t="s">
        <v>45101</v>
      </c>
      <c r="S3940" t="s">
        <v>45231</v>
      </c>
      <c r="T3940" t="s">
        <v>47159</v>
      </c>
      <c r="U3940" t="s">
        <v>50828</v>
      </c>
      <c r="W3940" t="s">
        <v>42961</v>
      </c>
      <c r="X3940" t="s">
        <v>45102</v>
      </c>
    </row>
    <row r="3941" spans="1:24">
      <c r="A3941">
        <f>HYPERLINK("https://www.philgeps.gov.ph/GEPSNONPILOT/Tender/SplashBidNoticeAbstractUI.aspx?menuIndex=3&amp;refID=7041351&amp;Result=3","7041351")</f>
        <v>0</v>
      </c>
      <c r="B3941" t="s">
        <v>629</v>
      </c>
      <c r="C3941" t="s">
        <v>6959</v>
      </c>
      <c r="D3941" t="s">
        <v>18075</v>
      </c>
      <c r="E3941" t="s">
        <v>18225</v>
      </c>
      <c r="F3941" t="s">
        <v>31574</v>
      </c>
      <c r="G3941" t="s">
        <v>31581</v>
      </c>
      <c r="H3941" t="s">
        <v>31590</v>
      </c>
      <c r="I3941" t="s">
        <v>4046</v>
      </c>
      <c r="J3941" t="s">
        <v>34373</v>
      </c>
      <c r="K3941" t="s">
        <v>41186</v>
      </c>
      <c r="M3941" t="s">
        <v>42133</v>
      </c>
      <c r="N3941" t="s">
        <v>45095</v>
      </c>
      <c r="O3941" t="s">
        <v>45096</v>
      </c>
      <c r="P3941">
        <v>0</v>
      </c>
      <c r="Q3941">
        <v>1</v>
      </c>
      <c r="R3941" t="s">
        <v>45101</v>
      </c>
      <c r="S3941" t="s">
        <v>45231</v>
      </c>
      <c r="T3941" t="s">
        <v>46904</v>
      </c>
      <c r="U3941" t="s">
        <v>50829</v>
      </c>
      <c r="W3941" t="s">
        <v>42133</v>
      </c>
      <c r="X3941" t="s">
        <v>45102</v>
      </c>
    </row>
    <row r="3942" spans="1:24">
      <c r="A3942">
        <f>HYPERLINK("https://www.philgeps.gov.ph/GEPSNONPILOT/Tender/SplashBidNoticeAbstractUI.aspx?menuIndex=3&amp;refID=7041373&amp;Result=3","7041373")</f>
        <v>0</v>
      </c>
      <c r="B3942" t="s">
        <v>1388</v>
      </c>
      <c r="C3942" t="s">
        <v>6960</v>
      </c>
      <c r="D3942" t="s">
        <v>18033</v>
      </c>
      <c r="E3942" t="s">
        <v>18227</v>
      </c>
      <c r="F3942" t="s">
        <v>31574</v>
      </c>
      <c r="G3942" t="s">
        <v>31582</v>
      </c>
      <c r="H3942" t="s">
        <v>31591</v>
      </c>
      <c r="I3942" t="s">
        <v>8822</v>
      </c>
      <c r="J3942" t="s">
        <v>31726</v>
      </c>
      <c r="K3942" t="s">
        <v>41192</v>
      </c>
      <c r="M3942" t="s">
        <v>42962</v>
      </c>
      <c r="N3942" t="s">
        <v>45095</v>
      </c>
      <c r="O3942" t="s">
        <v>45096</v>
      </c>
      <c r="P3942">
        <v>0</v>
      </c>
      <c r="Q3942">
        <v>0</v>
      </c>
      <c r="R3942" t="s">
        <v>45101</v>
      </c>
      <c r="S3942" t="s">
        <v>45231</v>
      </c>
      <c r="T3942" t="s">
        <v>46969</v>
      </c>
      <c r="U3942" t="s">
        <v>50830</v>
      </c>
      <c r="W3942" t="s">
        <v>42962</v>
      </c>
      <c r="X3942" t="s">
        <v>45102</v>
      </c>
    </row>
    <row r="3943" spans="1:24">
      <c r="A3943">
        <f>HYPERLINK("https://www.philgeps.gov.ph/GEPSNONPILOT/Tender/SplashBidNoticeAbstractUI.aspx?menuIndex=3&amp;refID=7041389&amp;Result=3","7041389")</f>
        <v>0</v>
      </c>
      <c r="B3943" t="s">
        <v>533</v>
      </c>
      <c r="C3943" t="s">
        <v>6961</v>
      </c>
      <c r="D3943" t="s">
        <v>18075</v>
      </c>
      <c r="E3943" t="s">
        <v>21648</v>
      </c>
      <c r="F3943" t="s">
        <v>31574</v>
      </c>
      <c r="G3943" t="s">
        <v>31581</v>
      </c>
      <c r="H3943" t="s">
        <v>31590</v>
      </c>
      <c r="I3943" t="s">
        <v>31599</v>
      </c>
      <c r="J3943" t="s">
        <v>34374</v>
      </c>
      <c r="K3943" t="s">
        <v>41194</v>
      </c>
      <c r="M3943" t="s">
        <v>42945</v>
      </c>
      <c r="N3943" t="s">
        <v>45095</v>
      </c>
      <c r="O3943" t="s">
        <v>45096</v>
      </c>
      <c r="P3943">
        <v>0</v>
      </c>
      <c r="Q3943">
        <v>2</v>
      </c>
      <c r="R3943" t="s">
        <v>45101</v>
      </c>
      <c r="S3943" t="s">
        <v>45231</v>
      </c>
      <c r="T3943" t="s">
        <v>47046</v>
      </c>
      <c r="U3943" t="s">
        <v>50831</v>
      </c>
      <c r="W3943" t="s">
        <v>61698</v>
      </c>
      <c r="X3943" t="s">
        <v>45102</v>
      </c>
    </row>
    <row r="3944" spans="1:24">
      <c r="A3944">
        <f>HYPERLINK("https://www.philgeps.gov.ph/GEPSNONPILOT/Tender/SplashBidNoticeAbstractUI.aspx?menuIndex=3&amp;refID=7041388&amp;Result=3","7041388")</f>
        <v>0</v>
      </c>
      <c r="B3944" t="s">
        <v>1374</v>
      </c>
      <c r="C3944" t="s">
        <v>6962</v>
      </c>
      <c r="D3944" t="s">
        <v>18041</v>
      </c>
      <c r="E3944" t="s">
        <v>21649</v>
      </c>
      <c r="F3944" t="s">
        <v>31574</v>
      </c>
      <c r="G3944" t="s">
        <v>31582</v>
      </c>
      <c r="H3944" t="s">
        <v>31590</v>
      </c>
      <c r="I3944" t="s">
        <v>31615</v>
      </c>
      <c r="J3944" t="s">
        <v>31771</v>
      </c>
      <c r="K3944" t="s">
        <v>41186</v>
      </c>
      <c r="M3944" t="s">
        <v>42948</v>
      </c>
      <c r="N3944" t="s">
        <v>45095</v>
      </c>
      <c r="O3944" t="s">
        <v>45096</v>
      </c>
      <c r="P3944">
        <v>0</v>
      </c>
      <c r="Q3944">
        <v>6</v>
      </c>
      <c r="R3944" t="s">
        <v>45101</v>
      </c>
      <c r="S3944" t="s">
        <v>45231</v>
      </c>
      <c r="T3944" t="s">
        <v>47108</v>
      </c>
      <c r="U3944" t="s">
        <v>50832</v>
      </c>
      <c r="W3944" t="s">
        <v>42948</v>
      </c>
      <c r="X3944" t="s">
        <v>45102</v>
      </c>
    </row>
    <row r="3945" spans="1:24">
      <c r="A3945">
        <f>HYPERLINK("https://www.philgeps.gov.ph/GEPSNONPILOT/Tender/SplashBidNoticeAbstractUI.aspx?menuIndex=3&amp;refID=7041374&amp;Result=3","7041374")</f>
        <v>0</v>
      </c>
      <c r="B3945" t="s">
        <v>193</v>
      </c>
      <c r="C3945" t="s">
        <v>6963</v>
      </c>
      <c r="D3945" t="s">
        <v>18059</v>
      </c>
      <c r="E3945" t="s">
        <v>21650</v>
      </c>
      <c r="F3945" t="s">
        <v>31574</v>
      </c>
      <c r="G3945" t="s">
        <v>31582</v>
      </c>
      <c r="H3945" t="s">
        <v>31590</v>
      </c>
      <c r="I3945" t="s">
        <v>7185</v>
      </c>
      <c r="J3945" t="s">
        <v>34375</v>
      </c>
      <c r="K3945" t="s">
        <v>41193</v>
      </c>
      <c r="M3945" t="s">
        <v>41678</v>
      </c>
      <c r="N3945" t="s">
        <v>45095</v>
      </c>
      <c r="O3945" t="s">
        <v>45096</v>
      </c>
      <c r="P3945">
        <v>0</v>
      </c>
      <c r="Q3945">
        <v>1</v>
      </c>
      <c r="R3945" t="s">
        <v>45101</v>
      </c>
      <c r="S3945" t="s">
        <v>45231</v>
      </c>
      <c r="T3945" t="s">
        <v>46949</v>
      </c>
      <c r="U3945" t="s">
        <v>50833</v>
      </c>
      <c r="V3945" t="s">
        <v>60236</v>
      </c>
      <c r="W3945" t="s">
        <v>41678</v>
      </c>
      <c r="X3945" t="s">
        <v>45102</v>
      </c>
    </row>
    <row r="3946" spans="1:24">
      <c r="A3946">
        <f>HYPERLINK("https://www.philgeps.gov.ph/GEPSNONPILOT/Tender/SplashBidNoticeAbstractUI.aspx?menuIndex=3&amp;refID=7041384&amp;Result=3","7041384")</f>
        <v>0</v>
      </c>
      <c r="B3946" t="s">
        <v>1389</v>
      </c>
      <c r="C3946" t="s">
        <v>6964</v>
      </c>
      <c r="D3946" t="s">
        <v>18089</v>
      </c>
      <c r="E3946" t="s">
        <v>21651</v>
      </c>
      <c r="F3946" t="s">
        <v>31574</v>
      </c>
      <c r="G3946" t="s">
        <v>31582</v>
      </c>
      <c r="H3946" t="s">
        <v>31591</v>
      </c>
      <c r="I3946" t="s">
        <v>31663</v>
      </c>
      <c r="J3946" t="s">
        <v>34376</v>
      </c>
      <c r="K3946" t="s">
        <v>41217</v>
      </c>
      <c r="M3946" t="s">
        <v>42963</v>
      </c>
      <c r="N3946" t="s">
        <v>45095</v>
      </c>
      <c r="O3946" t="s">
        <v>45096</v>
      </c>
      <c r="P3946">
        <v>0</v>
      </c>
      <c r="Q3946">
        <v>0</v>
      </c>
      <c r="R3946" t="s">
        <v>45101</v>
      </c>
      <c r="S3946" t="s">
        <v>45231</v>
      </c>
      <c r="T3946" t="s">
        <v>46918</v>
      </c>
      <c r="U3946" t="s">
        <v>50834</v>
      </c>
      <c r="V3946" t="s">
        <v>60247</v>
      </c>
      <c r="W3946" t="s">
        <v>42963</v>
      </c>
      <c r="X3946" t="s">
        <v>45102</v>
      </c>
    </row>
    <row r="3947" spans="1:24">
      <c r="A3947">
        <f>HYPERLINK("https://www.philgeps.gov.ph/GEPSNONPILOT/Tender/SplashBidNoticeAbstractUI.aspx?menuIndex=3&amp;refID=7041413&amp;Result=3","7041413")</f>
        <v>0</v>
      </c>
      <c r="B3947" t="s">
        <v>533</v>
      </c>
      <c r="C3947" t="s">
        <v>6965</v>
      </c>
      <c r="D3947" t="s">
        <v>18075</v>
      </c>
      <c r="E3947" t="s">
        <v>21652</v>
      </c>
      <c r="F3947" t="s">
        <v>31574</v>
      </c>
      <c r="G3947" t="s">
        <v>31582</v>
      </c>
      <c r="H3947" t="s">
        <v>31591</v>
      </c>
      <c r="I3947" t="s">
        <v>8822</v>
      </c>
      <c r="J3947" t="s">
        <v>31771</v>
      </c>
      <c r="K3947" t="s">
        <v>41306</v>
      </c>
      <c r="M3947" t="s">
        <v>42964</v>
      </c>
      <c r="N3947" t="s">
        <v>45095</v>
      </c>
      <c r="O3947" t="s">
        <v>45096</v>
      </c>
      <c r="P3947">
        <v>0</v>
      </c>
      <c r="Q3947">
        <v>0</v>
      </c>
      <c r="R3947" t="s">
        <v>45101</v>
      </c>
      <c r="S3947" t="s">
        <v>45231</v>
      </c>
      <c r="T3947" t="s">
        <v>47201</v>
      </c>
      <c r="U3947" t="s">
        <v>50835</v>
      </c>
      <c r="W3947" t="s">
        <v>42964</v>
      </c>
      <c r="X3947" t="s">
        <v>45102</v>
      </c>
    </row>
    <row r="3948" spans="1:24">
      <c r="A3948">
        <f>HYPERLINK("https://www.philgeps.gov.ph/GEPSNONPILOT/Tender/SplashBidNoticeAbstractUI.aspx?menuIndex=3&amp;refID=7041393&amp;Result=3","7041393")</f>
        <v>0</v>
      </c>
      <c r="B3948" t="s">
        <v>1390</v>
      </c>
      <c r="C3948" t="s">
        <v>6966</v>
      </c>
      <c r="D3948" t="s">
        <v>18070</v>
      </c>
      <c r="E3948" t="s">
        <v>21653</v>
      </c>
      <c r="F3948" t="s">
        <v>31574</v>
      </c>
      <c r="G3948" t="s">
        <v>31581</v>
      </c>
      <c r="H3948" t="s">
        <v>31590</v>
      </c>
      <c r="I3948" t="s">
        <v>7185</v>
      </c>
      <c r="J3948" t="s">
        <v>34055</v>
      </c>
      <c r="K3948" t="s">
        <v>41190</v>
      </c>
      <c r="M3948" t="s">
        <v>42965</v>
      </c>
      <c r="N3948" t="s">
        <v>45095</v>
      </c>
      <c r="O3948" t="s">
        <v>45096</v>
      </c>
      <c r="P3948">
        <v>0</v>
      </c>
      <c r="Q3948">
        <v>0</v>
      </c>
      <c r="R3948" t="s">
        <v>45101</v>
      </c>
      <c r="S3948" t="s">
        <v>45231</v>
      </c>
      <c r="T3948" t="s">
        <v>47183</v>
      </c>
      <c r="U3948" t="s">
        <v>50836</v>
      </c>
      <c r="W3948" t="s">
        <v>42965</v>
      </c>
      <c r="X3948" t="s">
        <v>45102</v>
      </c>
    </row>
    <row r="3949" spans="1:24">
      <c r="A3949">
        <f>HYPERLINK("https://www.philgeps.gov.ph/GEPSNONPILOT/Tender/SplashBidNoticeAbstractUI.aspx?menuIndex=3&amp;refID=7041409&amp;Result=3","7041409")</f>
        <v>0</v>
      </c>
      <c r="B3949" t="s">
        <v>1379</v>
      </c>
      <c r="C3949" t="s">
        <v>6967</v>
      </c>
      <c r="D3949" t="s">
        <v>18094</v>
      </c>
      <c r="E3949" t="s">
        <v>21654</v>
      </c>
      <c r="F3949" t="s">
        <v>31574</v>
      </c>
      <c r="G3949" t="s">
        <v>31582</v>
      </c>
      <c r="H3949" t="s">
        <v>31591</v>
      </c>
      <c r="I3949" t="s">
        <v>31640</v>
      </c>
      <c r="J3949" t="s">
        <v>31730</v>
      </c>
      <c r="K3949" t="s">
        <v>41200</v>
      </c>
      <c r="M3949" t="s">
        <v>42953</v>
      </c>
      <c r="N3949" t="s">
        <v>45095</v>
      </c>
      <c r="O3949" t="s">
        <v>45096</v>
      </c>
      <c r="P3949">
        <v>0</v>
      </c>
      <c r="Q3949">
        <v>2</v>
      </c>
      <c r="R3949" t="s">
        <v>45101</v>
      </c>
      <c r="S3949" t="s">
        <v>45231</v>
      </c>
      <c r="T3949" t="s">
        <v>47048</v>
      </c>
      <c r="U3949" t="s">
        <v>50837</v>
      </c>
      <c r="W3949" t="s">
        <v>42953</v>
      </c>
      <c r="X3949" t="s">
        <v>45102</v>
      </c>
    </row>
    <row r="3950" spans="1:24">
      <c r="A3950">
        <f>HYPERLINK("https://www.philgeps.gov.ph/GEPSNONPILOT/Tender/SplashBidNoticeAbstractUI.aspx?menuIndex=3&amp;refID=7041402&amp;Result=3","7041402")</f>
        <v>0</v>
      </c>
      <c r="B3950" t="s">
        <v>1388</v>
      </c>
      <c r="C3950" t="s">
        <v>6968</v>
      </c>
      <c r="D3950" t="s">
        <v>18033</v>
      </c>
      <c r="E3950" t="s">
        <v>18377</v>
      </c>
      <c r="F3950" t="s">
        <v>31574</v>
      </c>
      <c r="G3950" t="s">
        <v>31582</v>
      </c>
      <c r="H3950" t="s">
        <v>31591</v>
      </c>
      <c r="I3950" t="s">
        <v>8822</v>
      </c>
      <c r="J3950" t="s">
        <v>34377</v>
      </c>
      <c r="K3950" t="s">
        <v>41192</v>
      </c>
      <c r="M3950" t="s">
        <v>42962</v>
      </c>
      <c r="N3950" t="s">
        <v>45095</v>
      </c>
      <c r="O3950" t="s">
        <v>45096</v>
      </c>
      <c r="P3950">
        <v>0</v>
      </c>
      <c r="Q3950">
        <v>0</v>
      </c>
      <c r="R3950" t="s">
        <v>45101</v>
      </c>
      <c r="S3950" t="s">
        <v>45231</v>
      </c>
      <c r="T3950" t="s">
        <v>46971</v>
      </c>
      <c r="U3950" t="s">
        <v>50838</v>
      </c>
      <c r="W3950" t="s">
        <v>42962</v>
      </c>
      <c r="X3950" t="s">
        <v>45102</v>
      </c>
    </row>
    <row r="3951" spans="1:24">
      <c r="A3951">
        <f>HYPERLINK("https://www.philgeps.gov.ph/GEPSNONPILOT/Tender/SplashBidNoticeAbstractUI.aspx?menuIndex=3&amp;refID=7041411&amp;Result=3","7041411")</f>
        <v>0</v>
      </c>
      <c r="B3951" t="s">
        <v>1131</v>
      </c>
      <c r="C3951" t="s">
        <v>6969</v>
      </c>
      <c r="D3951" t="s">
        <v>18071</v>
      </c>
      <c r="E3951" t="s">
        <v>21655</v>
      </c>
      <c r="F3951" t="s">
        <v>31574</v>
      </c>
      <c r="G3951" t="s">
        <v>31581</v>
      </c>
      <c r="H3951" t="s">
        <v>31590</v>
      </c>
      <c r="I3951" t="s">
        <v>3487</v>
      </c>
      <c r="J3951" t="s">
        <v>34378</v>
      </c>
      <c r="K3951" t="s">
        <v>41186</v>
      </c>
      <c r="M3951" t="s">
        <v>42682</v>
      </c>
      <c r="N3951" t="s">
        <v>45095</v>
      </c>
      <c r="O3951" t="s">
        <v>45096</v>
      </c>
      <c r="P3951">
        <v>0</v>
      </c>
      <c r="Q3951">
        <v>1</v>
      </c>
      <c r="R3951" t="s">
        <v>45101</v>
      </c>
      <c r="S3951" t="s">
        <v>45231</v>
      </c>
      <c r="T3951" t="s">
        <v>47064</v>
      </c>
      <c r="U3951" t="s">
        <v>50839</v>
      </c>
      <c r="W3951" t="s">
        <v>42682</v>
      </c>
      <c r="X3951" t="s">
        <v>45102</v>
      </c>
    </row>
    <row r="3952" spans="1:24">
      <c r="A3952">
        <f>HYPERLINK("https://www.philgeps.gov.ph/GEPSNONPILOT/Tender/SplashBidNoticeAbstractUI.aspx?menuIndex=3&amp;refID=7041404&amp;Result=3","7041404")</f>
        <v>0</v>
      </c>
      <c r="B3952" t="s">
        <v>1391</v>
      </c>
      <c r="C3952" t="s">
        <v>6473</v>
      </c>
      <c r="D3952" t="s">
        <v>18073</v>
      </c>
      <c r="E3952" t="s">
        <v>21223</v>
      </c>
      <c r="F3952" t="s">
        <v>31574</v>
      </c>
      <c r="G3952" t="s">
        <v>31581</v>
      </c>
      <c r="H3952" t="s">
        <v>31590</v>
      </c>
      <c r="I3952" t="s">
        <v>31608</v>
      </c>
      <c r="J3952" t="s">
        <v>31942</v>
      </c>
      <c r="K3952" t="s">
        <v>41211</v>
      </c>
      <c r="M3952" t="s">
        <v>42966</v>
      </c>
      <c r="N3952" t="s">
        <v>45095</v>
      </c>
      <c r="O3952" t="s">
        <v>45096</v>
      </c>
      <c r="P3952">
        <v>0</v>
      </c>
      <c r="Q3952">
        <v>0</v>
      </c>
      <c r="R3952" t="s">
        <v>45101</v>
      </c>
      <c r="S3952" t="s">
        <v>45231</v>
      </c>
      <c r="T3952" t="s">
        <v>46936</v>
      </c>
      <c r="U3952" t="s">
        <v>50840</v>
      </c>
      <c r="W3952" t="s">
        <v>42966</v>
      </c>
      <c r="X3952" t="s">
        <v>45102</v>
      </c>
    </row>
    <row r="3953" spans="1:24">
      <c r="A3953">
        <f>HYPERLINK("https://www.philgeps.gov.ph/GEPSNONPILOT/Tender/SplashBidNoticeAbstractUI.aspx?menuIndex=3&amp;refID=7041394&amp;Result=3","7041394")</f>
        <v>0</v>
      </c>
      <c r="B3953" t="s">
        <v>1327</v>
      </c>
      <c r="C3953" t="s">
        <v>6970</v>
      </c>
      <c r="E3953" t="s">
        <v>6970</v>
      </c>
      <c r="F3953" t="s">
        <v>31574</v>
      </c>
      <c r="G3953" t="s">
        <v>31581</v>
      </c>
      <c r="H3953" t="s">
        <v>31590</v>
      </c>
      <c r="I3953" t="s">
        <v>3487</v>
      </c>
      <c r="J3953" t="s">
        <v>34379</v>
      </c>
      <c r="K3953" t="s">
        <v>41193</v>
      </c>
      <c r="M3953" t="s">
        <v>42897</v>
      </c>
      <c r="N3953" t="s">
        <v>45095</v>
      </c>
      <c r="O3953" t="s">
        <v>45096</v>
      </c>
      <c r="P3953">
        <v>0</v>
      </c>
      <c r="Q3953">
        <v>1</v>
      </c>
      <c r="R3953" t="s">
        <v>45101</v>
      </c>
      <c r="S3953" t="s">
        <v>45231</v>
      </c>
      <c r="T3953" t="s">
        <v>47154</v>
      </c>
      <c r="U3953" t="s">
        <v>50841</v>
      </c>
      <c r="W3953" t="s">
        <v>42897</v>
      </c>
      <c r="X3953" t="s">
        <v>45102</v>
      </c>
    </row>
    <row r="3954" spans="1:24">
      <c r="A3954">
        <f>HYPERLINK("https://www.philgeps.gov.ph/GEPSNONPILOT/Tender/SplashBidNoticeAbstractUI.aspx?menuIndex=3&amp;refID=7041400&amp;Result=3","7041400")</f>
        <v>0</v>
      </c>
      <c r="B3954" t="s">
        <v>1392</v>
      </c>
      <c r="C3954" t="s">
        <v>6971</v>
      </c>
      <c r="D3954" t="s">
        <v>18022</v>
      </c>
      <c r="E3954" t="s">
        <v>21656</v>
      </c>
      <c r="F3954" t="s">
        <v>31574</v>
      </c>
      <c r="G3954" t="s">
        <v>31584</v>
      </c>
      <c r="H3954" t="s">
        <v>31590</v>
      </c>
      <c r="I3954" t="s">
        <v>6800</v>
      </c>
      <c r="J3954" t="s">
        <v>34380</v>
      </c>
      <c r="K3954" t="s">
        <v>41196</v>
      </c>
      <c r="M3954" t="s">
        <v>42967</v>
      </c>
      <c r="N3954" t="s">
        <v>45095</v>
      </c>
      <c r="O3954" t="s">
        <v>45096</v>
      </c>
      <c r="P3954">
        <v>0</v>
      </c>
      <c r="Q3954">
        <v>3</v>
      </c>
      <c r="R3954" t="s">
        <v>45101</v>
      </c>
      <c r="S3954" t="s">
        <v>45231</v>
      </c>
      <c r="T3954" t="s">
        <v>47158</v>
      </c>
      <c r="U3954" t="s">
        <v>50842</v>
      </c>
      <c r="W3954" t="s">
        <v>42967</v>
      </c>
      <c r="X3954" t="s">
        <v>45102</v>
      </c>
    </row>
    <row r="3955" spans="1:24">
      <c r="A3955">
        <f>HYPERLINK("https://www.philgeps.gov.ph/GEPSNONPILOT/Tender/SplashBidNoticeAbstractUI.aspx?menuIndex=3&amp;refID=7041379&amp;Result=3","7041379")</f>
        <v>0</v>
      </c>
      <c r="B3955" t="s">
        <v>1393</v>
      </c>
      <c r="C3955" t="s">
        <v>6972</v>
      </c>
      <c r="D3955" t="s">
        <v>18045</v>
      </c>
      <c r="E3955" t="s">
        <v>21657</v>
      </c>
      <c r="F3955" t="s">
        <v>31574</v>
      </c>
      <c r="G3955" t="s">
        <v>31582</v>
      </c>
      <c r="H3955" t="s">
        <v>31590</v>
      </c>
      <c r="I3955" t="s">
        <v>31615</v>
      </c>
      <c r="J3955" t="s">
        <v>32085</v>
      </c>
      <c r="K3955" t="s">
        <v>41186</v>
      </c>
      <c r="M3955" t="s">
        <v>42968</v>
      </c>
      <c r="N3955" t="s">
        <v>45095</v>
      </c>
      <c r="O3955" t="s">
        <v>45096</v>
      </c>
      <c r="P3955">
        <v>0</v>
      </c>
      <c r="Q3955">
        <v>5</v>
      </c>
      <c r="R3955" t="s">
        <v>45101</v>
      </c>
      <c r="S3955" t="s">
        <v>45231</v>
      </c>
      <c r="T3955" t="s">
        <v>47202</v>
      </c>
      <c r="U3955" t="s">
        <v>50843</v>
      </c>
      <c r="W3955" t="s">
        <v>42968</v>
      </c>
      <c r="X3955" t="s">
        <v>45102</v>
      </c>
    </row>
    <row r="3956" spans="1:24">
      <c r="A3956">
        <f>HYPERLINK("https://www.philgeps.gov.ph/GEPSNONPILOT/Tender/SplashBidNoticeAbstractUI.aspx?menuIndex=3&amp;refID=7041403&amp;Result=3","7041403")</f>
        <v>0</v>
      </c>
      <c r="B3956" t="s">
        <v>1394</v>
      </c>
      <c r="C3956" t="s">
        <v>6973</v>
      </c>
      <c r="D3956" t="s">
        <v>18022</v>
      </c>
      <c r="E3956" t="s">
        <v>21658</v>
      </c>
      <c r="F3956" t="s">
        <v>31574</v>
      </c>
      <c r="G3956" t="s">
        <v>31581</v>
      </c>
      <c r="H3956" t="s">
        <v>31590</v>
      </c>
      <c r="I3956" t="s">
        <v>4046</v>
      </c>
      <c r="J3956" t="s">
        <v>32077</v>
      </c>
      <c r="K3956" t="s">
        <v>41213</v>
      </c>
      <c r="M3956" t="s">
        <v>42969</v>
      </c>
      <c r="N3956" t="s">
        <v>45095</v>
      </c>
      <c r="O3956" t="s">
        <v>45096</v>
      </c>
      <c r="P3956">
        <v>0</v>
      </c>
      <c r="Q3956">
        <v>2</v>
      </c>
      <c r="R3956" t="s">
        <v>45101</v>
      </c>
      <c r="S3956" t="s">
        <v>45231</v>
      </c>
      <c r="T3956" t="s">
        <v>46969</v>
      </c>
      <c r="U3956" t="s">
        <v>50844</v>
      </c>
      <c r="W3956" t="s">
        <v>42969</v>
      </c>
      <c r="X3956" t="s">
        <v>45102</v>
      </c>
    </row>
    <row r="3957" spans="1:24">
      <c r="A3957">
        <f>HYPERLINK("https://www.philgeps.gov.ph/GEPSNONPILOT/Tender/SplashBidNoticeAbstractUI.aspx?menuIndex=3&amp;refID=7041377&amp;Result=3","7041377")</f>
        <v>0</v>
      </c>
      <c r="B3957" t="s">
        <v>1379</v>
      </c>
      <c r="C3957" t="s">
        <v>6974</v>
      </c>
      <c r="D3957" t="s">
        <v>18094</v>
      </c>
      <c r="E3957" t="s">
        <v>21659</v>
      </c>
      <c r="F3957" t="s">
        <v>31574</v>
      </c>
      <c r="G3957" t="s">
        <v>31582</v>
      </c>
      <c r="H3957" t="s">
        <v>31590</v>
      </c>
      <c r="I3957" t="s">
        <v>31615</v>
      </c>
      <c r="J3957" t="s">
        <v>31819</v>
      </c>
      <c r="K3957" t="s">
        <v>41196</v>
      </c>
      <c r="M3957" t="s">
        <v>42953</v>
      </c>
      <c r="N3957" t="s">
        <v>45095</v>
      </c>
      <c r="O3957" t="s">
        <v>45096</v>
      </c>
      <c r="P3957">
        <v>0</v>
      </c>
      <c r="Q3957">
        <v>4</v>
      </c>
      <c r="R3957" t="s">
        <v>45101</v>
      </c>
      <c r="S3957" t="s">
        <v>45231</v>
      </c>
      <c r="T3957" t="s">
        <v>47166</v>
      </c>
      <c r="U3957" t="s">
        <v>50810</v>
      </c>
      <c r="W3957" t="s">
        <v>42953</v>
      </c>
      <c r="X3957" t="s">
        <v>45102</v>
      </c>
    </row>
    <row r="3958" spans="1:24">
      <c r="A3958">
        <f>HYPERLINK("https://www.philgeps.gov.ph/GEPSNONPILOT/Tender/SplashBidNoticeAbstractUI.aspx?menuIndex=3&amp;refID=7041383&amp;Result=3","7041383")</f>
        <v>0</v>
      </c>
      <c r="B3958" t="s">
        <v>1395</v>
      </c>
      <c r="C3958" t="s">
        <v>6975</v>
      </c>
      <c r="D3958" t="s">
        <v>18076</v>
      </c>
      <c r="E3958" t="s">
        <v>21660</v>
      </c>
      <c r="F3958" t="s">
        <v>31574</v>
      </c>
      <c r="G3958" t="s">
        <v>31582</v>
      </c>
      <c r="H3958" t="s">
        <v>31590</v>
      </c>
      <c r="I3958" t="s">
        <v>4046</v>
      </c>
      <c r="J3958" t="s">
        <v>34381</v>
      </c>
      <c r="K3958" t="s">
        <v>41186</v>
      </c>
      <c r="M3958" t="s">
        <v>42970</v>
      </c>
      <c r="N3958" t="s">
        <v>45095</v>
      </c>
      <c r="O3958" t="s">
        <v>45096</v>
      </c>
      <c r="P3958">
        <v>0</v>
      </c>
      <c r="Q3958">
        <v>1</v>
      </c>
      <c r="R3958" t="s">
        <v>45101</v>
      </c>
      <c r="S3958" t="s">
        <v>45231</v>
      </c>
      <c r="T3958" t="s">
        <v>46962</v>
      </c>
      <c r="U3958" t="s">
        <v>50845</v>
      </c>
      <c r="W3958" t="s">
        <v>42970</v>
      </c>
      <c r="X3958" t="s">
        <v>45102</v>
      </c>
    </row>
    <row r="3959" spans="1:24">
      <c r="A3959">
        <f>HYPERLINK("https://www.philgeps.gov.ph/GEPSNONPILOT/Tender/SplashBidNoticeAbstractUI.aspx?menuIndex=3&amp;refID=7041398&amp;Result=3","7041398")</f>
        <v>0</v>
      </c>
      <c r="B3959" t="s">
        <v>1384</v>
      </c>
      <c r="C3959" t="s">
        <v>6976</v>
      </c>
      <c r="D3959" t="s">
        <v>18054</v>
      </c>
      <c r="E3959" t="s">
        <v>18722</v>
      </c>
      <c r="F3959" t="s">
        <v>31574</v>
      </c>
      <c r="G3959" t="s">
        <v>31582</v>
      </c>
      <c r="H3959" t="s">
        <v>31590</v>
      </c>
      <c r="I3959" t="s">
        <v>4046</v>
      </c>
      <c r="J3959" t="s">
        <v>34382</v>
      </c>
      <c r="K3959" t="s">
        <v>41196</v>
      </c>
      <c r="M3959" t="s">
        <v>42958</v>
      </c>
      <c r="N3959" t="s">
        <v>45095</v>
      </c>
      <c r="O3959" t="s">
        <v>45096</v>
      </c>
      <c r="P3959">
        <v>0</v>
      </c>
      <c r="Q3959">
        <v>0</v>
      </c>
      <c r="R3959" t="s">
        <v>45101</v>
      </c>
      <c r="S3959" t="s">
        <v>45231</v>
      </c>
      <c r="T3959" t="s">
        <v>46924</v>
      </c>
      <c r="U3959" t="s">
        <v>50846</v>
      </c>
      <c r="W3959" t="s">
        <v>42958</v>
      </c>
      <c r="X3959" t="s">
        <v>45102</v>
      </c>
    </row>
    <row r="3960" spans="1:24">
      <c r="A3960">
        <f>HYPERLINK("https://www.philgeps.gov.ph/GEPSNONPILOT/Tender/SplashBidNoticeAbstractUI.aspx?menuIndex=3&amp;refID=7041395&amp;Result=3","7041395")</f>
        <v>0</v>
      </c>
      <c r="B3960" t="s">
        <v>1131</v>
      </c>
      <c r="C3960" t="s">
        <v>6977</v>
      </c>
      <c r="D3960" t="s">
        <v>18071</v>
      </c>
      <c r="E3960" t="s">
        <v>21661</v>
      </c>
      <c r="F3960" t="s">
        <v>31574</v>
      </c>
      <c r="G3960" t="s">
        <v>31581</v>
      </c>
      <c r="H3960" t="s">
        <v>31590</v>
      </c>
      <c r="I3960" t="s">
        <v>31614</v>
      </c>
      <c r="J3960" t="s">
        <v>31727</v>
      </c>
      <c r="K3960" t="s">
        <v>41186</v>
      </c>
      <c r="M3960" t="s">
        <v>42682</v>
      </c>
      <c r="N3960" t="s">
        <v>45095</v>
      </c>
      <c r="O3960" t="s">
        <v>45096</v>
      </c>
      <c r="P3960">
        <v>0</v>
      </c>
      <c r="Q3960">
        <v>2</v>
      </c>
      <c r="R3960" t="s">
        <v>45101</v>
      </c>
      <c r="S3960" t="s">
        <v>45231</v>
      </c>
      <c r="T3960" t="s">
        <v>47064</v>
      </c>
      <c r="U3960" t="s">
        <v>50847</v>
      </c>
      <c r="W3960" t="s">
        <v>42682</v>
      </c>
      <c r="X3960" t="s">
        <v>45102</v>
      </c>
    </row>
    <row r="3961" spans="1:24">
      <c r="A3961">
        <f>HYPERLINK("https://www.philgeps.gov.ph/GEPSNONPILOT/Tender/SplashBidNoticeAbstractUI.aspx?menuIndex=3&amp;refID=7041432&amp;Result=3","7041432")</f>
        <v>0</v>
      </c>
      <c r="B3961" t="s">
        <v>1396</v>
      </c>
      <c r="C3961" t="s">
        <v>6978</v>
      </c>
      <c r="D3961" t="s">
        <v>18044</v>
      </c>
      <c r="E3961" t="s">
        <v>21662</v>
      </c>
      <c r="F3961" t="s">
        <v>31574</v>
      </c>
      <c r="G3961" t="s">
        <v>31584</v>
      </c>
      <c r="H3961" t="s">
        <v>31590</v>
      </c>
      <c r="I3961" t="s">
        <v>31594</v>
      </c>
      <c r="J3961" t="s">
        <v>33385</v>
      </c>
      <c r="K3961" t="s">
        <v>41184</v>
      </c>
      <c r="M3961" t="s">
        <v>42971</v>
      </c>
      <c r="N3961" t="s">
        <v>45095</v>
      </c>
      <c r="O3961" t="s">
        <v>45096</v>
      </c>
      <c r="P3961">
        <v>0</v>
      </c>
      <c r="Q3961">
        <v>20</v>
      </c>
      <c r="R3961" t="s">
        <v>45101</v>
      </c>
      <c r="S3961" t="s">
        <v>45231</v>
      </c>
      <c r="T3961" t="s">
        <v>46973</v>
      </c>
      <c r="U3961" t="s">
        <v>50848</v>
      </c>
      <c r="W3961" t="s">
        <v>42971</v>
      </c>
      <c r="X3961" t="s">
        <v>45102</v>
      </c>
    </row>
    <row r="3962" spans="1:24">
      <c r="A3962">
        <f>HYPERLINK("https://www.philgeps.gov.ph/GEPSNONPILOT/Tender/SplashBidNoticeAbstractUI.aspx?menuIndex=3&amp;refID=7041441&amp;Result=3","7041441")</f>
        <v>0</v>
      </c>
      <c r="B3962" t="s">
        <v>725</v>
      </c>
      <c r="C3962" t="s">
        <v>6979</v>
      </c>
      <c r="D3962" t="s">
        <v>18092</v>
      </c>
      <c r="E3962" t="s">
        <v>21663</v>
      </c>
      <c r="F3962" t="s">
        <v>31574</v>
      </c>
      <c r="G3962" t="s">
        <v>31582</v>
      </c>
      <c r="H3962" t="s">
        <v>31590</v>
      </c>
      <c r="I3962" t="s">
        <v>31614</v>
      </c>
      <c r="J3962" t="s">
        <v>31727</v>
      </c>
      <c r="K3962" t="s">
        <v>41193</v>
      </c>
      <c r="M3962" t="s">
        <v>42235</v>
      </c>
      <c r="N3962" t="s">
        <v>45095</v>
      </c>
      <c r="O3962" t="s">
        <v>45096</v>
      </c>
      <c r="P3962">
        <v>0</v>
      </c>
      <c r="Q3962">
        <v>0</v>
      </c>
      <c r="R3962" t="s">
        <v>45101</v>
      </c>
      <c r="S3962" t="s">
        <v>45231</v>
      </c>
      <c r="T3962" t="s">
        <v>46932</v>
      </c>
      <c r="U3962" t="s">
        <v>50849</v>
      </c>
      <c r="V3962" t="s">
        <v>60248</v>
      </c>
      <c r="W3962" t="s">
        <v>42235</v>
      </c>
      <c r="X3962" t="s">
        <v>45102</v>
      </c>
    </row>
    <row r="3963" spans="1:24">
      <c r="A3963">
        <f>HYPERLINK("https://www.philgeps.gov.ph/GEPSNONPILOT/Tender/SplashBidNoticeAbstractUI.aspx?menuIndex=3&amp;refID=7041442&amp;Result=3","7041442")</f>
        <v>0</v>
      </c>
      <c r="B3963" t="s">
        <v>1391</v>
      </c>
      <c r="C3963" t="s">
        <v>6980</v>
      </c>
      <c r="D3963" t="s">
        <v>18073</v>
      </c>
      <c r="E3963" t="s">
        <v>21223</v>
      </c>
      <c r="F3963" t="s">
        <v>31574</v>
      </c>
      <c r="G3963" t="s">
        <v>31581</v>
      </c>
      <c r="H3963" t="s">
        <v>31590</v>
      </c>
      <c r="I3963" t="s">
        <v>7185</v>
      </c>
      <c r="J3963" t="s">
        <v>34383</v>
      </c>
      <c r="K3963" t="s">
        <v>41223</v>
      </c>
      <c r="M3963" t="s">
        <v>42966</v>
      </c>
      <c r="N3963" t="s">
        <v>45095</v>
      </c>
      <c r="O3963" t="s">
        <v>45096</v>
      </c>
      <c r="P3963">
        <v>0</v>
      </c>
      <c r="Q3963">
        <v>1</v>
      </c>
      <c r="R3963" t="s">
        <v>45101</v>
      </c>
      <c r="S3963" t="s">
        <v>45231</v>
      </c>
      <c r="T3963" t="s">
        <v>46936</v>
      </c>
      <c r="U3963" t="s">
        <v>50850</v>
      </c>
      <c r="W3963" t="s">
        <v>42966</v>
      </c>
      <c r="X3963" t="s">
        <v>45102</v>
      </c>
    </row>
    <row r="3964" spans="1:24">
      <c r="A3964">
        <f>HYPERLINK("https://www.philgeps.gov.ph/GEPSNONPILOT/Tender/SplashBidNoticeAbstractUI.aspx?menuIndex=3&amp;refID=7041381&amp;Result=3","7041381")</f>
        <v>0</v>
      </c>
      <c r="B3964" t="s">
        <v>274</v>
      </c>
      <c r="C3964" t="s">
        <v>6981</v>
      </c>
      <c r="D3964" t="s">
        <v>18071</v>
      </c>
      <c r="E3964" t="s">
        <v>21664</v>
      </c>
      <c r="F3964" t="s">
        <v>31574</v>
      </c>
      <c r="G3964" t="s">
        <v>31585</v>
      </c>
      <c r="H3964" t="s">
        <v>31590</v>
      </c>
      <c r="I3964" t="s">
        <v>31602</v>
      </c>
      <c r="J3964" t="s">
        <v>34384</v>
      </c>
      <c r="K3964" t="s">
        <v>41184</v>
      </c>
      <c r="M3964" t="s">
        <v>41760</v>
      </c>
      <c r="N3964" t="s">
        <v>45095</v>
      </c>
      <c r="O3964" t="s">
        <v>45096</v>
      </c>
      <c r="P3964">
        <v>0</v>
      </c>
      <c r="Q3964">
        <v>0</v>
      </c>
      <c r="R3964" t="s">
        <v>45101</v>
      </c>
      <c r="S3964" t="s">
        <v>45231</v>
      </c>
      <c r="T3964" t="s">
        <v>47154</v>
      </c>
      <c r="U3964" t="s">
        <v>50851</v>
      </c>
      <c r="W3964" t="s">
        <v>61660</v>
      </c>
      <c r="X3964" t="s">
        <v>45102</v>
      </c>
    </row>
    <row r="3965" spans="1:24">
      <c r="A3965">
        <f>HYPERLINK("https://www.philgeps.gov.ph/GEPSNONPILOT/Tender/SplashBidNoticeAbstractUI.aspx?menuIndex=3&amp;refID=7041447&amp;Result=3","7041447")</f>
        <v>0</v>
      </c>
      <c r="B3965" t="s">
        <v>1397</v>
      </c>
      <c r="C3965" t="s">
        <v>6982</v>
      </c>
      <c r="D3965" t="s">
        <v>18040</v>
      </c>
      <c r="E3965" t="s">
        <v>21386</v>
      </c>
      <c r="F3965" t="s">
        <v>31574</v>
      </c>
      <c r="G3965" t="s">
        <v>31582</v>
      </c>
      <c r="H3965" t="s">
        <v>31591</v>
      </c>
      <c r="I3965" t="s">
        <v>8822</v>
      </c>
      <c r="J3965" t="s">
        <v>32019</v>
      </c>
      <c r="K3965" t="s">
        <v>41184</v>
      </c>
      <c r="M3965" t="s">
        <v>42972</v>
      </c>
      <c r="N3965" t="s">
        <v>45095</v>
      </c>
      <c r="O3965" t="s">
        <v>45096</v>
      </c>
      <c r="P3965">
        <v>0</v>
      </c>
      <c r="Q3965">
        <v>0</v>
      </c>
      <c r="R3965" t="s">
        <v>45101</v>
      </c>
      <c r="S3965" t="s">
        <v>45231</v>
      </c>
      <c r="T3965" t="s">
        <v>46911</v>
      </c>
      <c r="U3965" t="s">
        <v>50852</v>
      </c>
      <c r="W3965" t="s">
        <v>42972</v>
      </c>
      <c r="X3965" t="s">
        <v>45102</v>
      </c>
    </row>
    <row r="3966" spans="1:24">
      <c r="A3966">
        <f>HYPERLINK("https://www.philgeps.gov.ph/GEPSNONPILOT/Tender/SplashBidNoticeAbstractUI.aspx?menuIndex=3&amp;refID=7041440&amp;Result=3","7041440")</f>
        <v>0</v>
      </c>
      <c r="B3966" t="s">
        <v>1398</v>
      </c>
      <c r="C3966" t="s">
        <v>6983</v>
      </c>
      <c r="D3966" t="s">
        <v>18037</v>
      </c>
      <c r="E3966" t="s">
        <v>21665</v>
      </c>
      <c r="F3966" t="s">
        <v>31574</v>
      </c>
      <c r="G3966" t="s">
        <v>31581</v>
      </c>
      <c r="H3966" t="s">
        <v>31590</v>
      </c>
      <c r="I3966" t="s">
        <v>31656</v>
      </c>
      <c r="J3966" t="s">
        <v>32258</v>
      </c>
      <c r="K3966" t="s">
        <v>41211</v>
      </c>
      <c r="M3966" t="s">
        <v>42973</v>
      </c>
      <c r="N3966" t="s">
        <v>45095</v>
      </c>
      <c r="O3966" t="s">
        <v>45096</v>
      </c>
      <c r="P3966">
        <v>0</v>
      </c>
      <c r="Q3966">
        <v>0</v>
      </c>
      <c r="R3966" t="s">
        <v>45101</v>
      </c>
      <c r="S3966" t="s">
        <v>45231</v>
      </c>
      <c r="T3966" t="s">
        <v>47165</v>
      </c>
      <c r="U3966" t="s">
        <v>50853</v>
      </c>
      <c r="W3966" t="s">
        <v>42973</v>
      </c>
      <c r="X3966" t="s">
        <v>45102</v>
      </c>
    </row>
    <row r="3967" spans="1:24">
      <c r="A3967">
        <f>HYPERLINK("https://www.philgeps.gov.ph/GEPSNONPILOT/Tender/SplashBidNoticeAbstractUI.aspx?menuIndex=3&amp;refID=7041444&amp;Result=3","7041444")</f>
        <v>0</v>
      </c>
      <c r="B3967" t="s">
        <v>1131</v>
      </c>
      <c r="C3967" t="s">
        <v>6984</v>
      </c>
      <c r="D3967" t="s">
        <v>18071</v>
      </c>
      <c r="E3967" t="s">
        <v>21666</v>
      </c>
      <c r="F3967" t="s">
        <v>31574</v>
      </c>
      <c r="G3967" t="s">
        <v>31581</v>
      </c>
      <c r="H3967" t="s">
        <v>31590</v>
      </c>
      <c r="I3967" t="s">
        <v>31599</v>
      </c>
      <c r="J3967" t="s">
        <v>31873</v>
      </c>
      <c r="K3967" t="s">
        <v>41186</v>
      </c>
      <c r="M3967" t="s">
        <v>42682</v>
      </c>
      <c r="N3967" t="s">
        <v>45095</v>
      </c>
      <c r="O3967" t="s">
        <v>45096</v>
      </c>
      <c r="P3967">
        <v>0</v>
      </c>
      <c r="Q3967">
        <v>0</v>
      </c>
      <c r="R3967" t="s">
        <v>45101</v>
      </c>
      <c r="S3967" t="s">
        <v>45231</v>
      </c>
      <c r="T3967" t="s">
        <v>47064</v>
      </c>
      <c r="U3967" t="s">
        <v>50854</v>
      </c>
      <c r="W3967" t="s">
        <v>42682</v>
      </c>
      <c r="X3967" t="s">
        <v>45102</v>
      </c>
    </row>
    <row r="3968" spans="1:24">
      <c r="A3968">
        <f>HYPERLINK("https://www.philgeps.gov.ph/GEPSNONPILOT/Tender/SplashBidNoticeAbstractUI.aspx?menuIndex=3&amp;refID=7041446&amp;Result=3","7041446")</f>
        <v>0</v>
      </c>
      <c r="B3968" t="s">
        <v>1327</v>
      </c>
      <c r="C3968" t="s">
        <v>6985</v>
      </c>
      <c r="E3968" t="s">
        <v>6985</v>
      </c>
      <c r="F3968" t="s">
        <v>31574</v>
      </c>
      <c r="G3968" t="s">
        <v>31581</v>
      </c>
      <c r="H3968" t="s">
        <v>31590</v>
      </c>
      <c r="I3968" t="s">
        <v>8258</v>
      </c>
      <c r="J3968" t="s">
        <v>34385</v>
      </c>
      <c r="K3968" t="s">
        <v>41193</v>
      </c>
      <c r="M3968" t="s">
        <v>42897</v>
      </c>
      <c r="N3968" t="s">
        <v>45095</v>
      </c>
      <c r="O3968" t="s">
        <v>45096</v>
      </c>
      <c r="P3968">
        <v>0</v>
      </c>
      <c r="Q3968">
        <v>0</v>
      </c>
      <c r="R3968" t="s">
        <v>45101</v>
      </c>
      <c r="S3968" t="s">
        <v>45231</v>
      </c>
      <c r="T3968" t="s">
        <v>47154</v>
      </c>
      <c r="U3968" t="s">
        <v>50855</v>
      </c>
      <c r="W3968" t="s">
        <v>42897</v>
      </c>
      <c r="X3968" t="s">
        <v>45102</v>
      </c>
    </row>
    <row r="3969" spans="1:24">
      <c r="A3969">
        <f>HYPERLINK("https://www.philgeps.gov.ph/GEPSNONPILOT/Tender/SplashBidNoticeAbstractUI.aspx?menuIndex=3&amp;refID=7041438&amp;Result=3","7041438")</f>
        <v>0</v>
      </c>
      <c r="B3969" t="s">
        <v>1399</v>
      </c>
      <c r="C3969" t="s">
        <v>6986</v>
      </c>
      <c r="D3969" t="s">
        <v>18081</v>
      </c>
      <c r="E3969" t="s">
        <v>21667</v>
      </c>
      <c r="F3969" t="s">
        <v>31574</v>
      </c>
      <c r="G3969" t="s">
        <v>31581</v>
      </c>
      <c r="H3969" t="s">
        <v>31590</v>
      </c>
      <c r="I3969" t="s">
        <v>31595</v>
      </c>
      <c r="J3969" t="s">
        <v>34386</v>
      </c>
      <c r="K3969" t="s">
        <v>41186</v>
      </c>
      <c r="M3969" t="s">
        <v>42974</v>
      </c>
      <c r="N3969" t="s">
        <v>45095</v>
      </c>
      <c r="O3969" t="s">
        <v>45096</v>
      </c>
      <c r="P3969">
        <v>0</v>
      </c>
      <c r="Q3969">
        <v>6</v>
      </c>
      <c r="R3969" t="s">
        <v>45101</v>
      </c>
      <c r="S3969" t="s">
        <v>45231</v>
      </c>
      <c r="T3969" t="s">
        <v>47076</v>
      </c>
      <c r="U3969" t="s">
        <v>50856</v>
      </c>
      <c r="V3969" t="s">
        <v>54891</v>
      </c>
      <c r="W3969" t="s">
        <v>42974</v>
      </c>
      <c r="X3969" t="s">
        <v>45102</v>
      </c>
    </row>
    <row r="3970" spans="1:24">
      <c r="A3970">
        <f>HYPERLINK("https://www.philgeps.gov.ph/GEPSNONPILOT/Tender/SplashBidNoticeAbstractUI.aspx?menuIndex=3&amp;refID=7041439&amp;Result=3","7041439")</f>
        <v>0</v>
      </c>
      <c r="B3970" t="s">
        <v>1400</v>
      </c>
      <c r="C3970" t="s">
        <v>6987</v>
      </c>
      <c r="D3970" t="s">
        <v>18084</v>
      </c>
      <c r="E3970" t="s">
        <v>19072</v>
      </c>
      <c r="F3970" t="s">
        <v>31574</v>
      </c>
      <c r="G3970" t="s">
        <v>31581</v>
      </c>
      <c r="H3970" t="s">
        <v>31590</v>
      </c>
      <c r="I3970" t="s">
        <v>31623</v>
      </c>
      <c r="J3970" t="s">
        <v>31833</v>
      </c>
      <c r="K3970" t="s">
        <v>41211</v>
      </c>
      <c r="M3970" t="s">
        <v>42975</v>
      </c>
      <c r="N3970" t="s">
        <v>45095</v>
      </c>
      <c r="O3970" t="s">
        <v>45096</v>
      </c>
      <c r="P3970">
        <v>0</v>
      </c>
      <c r="Q3970">
        <v>0</v>
      </c>
      <c r="R3970" t="s">
        <v>45101</v>
      </c>
      <c r="S3970" t="s">
        <v>45231</v>
      </c>
      <c r="T3970" t="s">
        <v>47176</v>
      </c>
      <c r="U3970" t="s">
        <v>50857</v>
      </c>
      <c r="W3970" t="s">
        <v>42975</v>
      </c>
      <c r="X3970" t="s">
        <v>45102</v>
      </c>
    </row>
    <row r="3971" spans="1:24">
      <c r="A3971">
        <f>HYPERLINK("https://www.philgeps.gov.ph/GEPSNONPILOT/Tender/SplashBidNoticeAbstractUI.aspx?menuIndex=3&amp;refID=7041456&amp;Result=3","7041456")</f>
        <v>0</v>
      </c>
      <c r="B3971" t="s">
        <v>1401</v>
      </c>
      <c r="C3971" t="s">
        <v>6988</v>
      </c>
      <c r="D3971" t="s">
        <v>18033</v>
      </c>
      <c r="E3971" t="s">
        <v>18191</v>
      </c>
      <c r="F3971" t="s">
        <v>31574</v>
      </c>
      <c r="G3971" t="s">
        <v>31582</v>
      </c>
      <c r="H3971" t="s">
        <v>31591</v>
      </c>
      <c r="I3971" t="s">
        <v>8822</v>
      </c>
      <c r="J3971" t="s">
        <v>31789</v>
      </c>
      <c r="K3971" t="s">
        <v>41192</v>
      </c>
      <c r="M3971" t="s">
        <v>42976</v>
      </c>
      <c r="N3971" t="s">
        <v>45095</v>
      </c>
      <c r="O3971" t="s">
        <v>45096</v>
      </c>
      <c r="P3971">
        <v>0</v>
      </c>
      <c r="Q3971">
        <v>0</v>
      </c>
      <c r="R3971" t="s">
        <v>45101</v>
      </c>
      <c r="S3971" t="s">
        <v>45231</v>
      </c>
      <c r="T3971" t="s">
        <v>46969</v>
      </c>
      <c r="U3971" t="s">
        <v>50858</v>
      </c>
      <c r="W3971" t="s">
        <v>42976</v>
      </c>
      <c r="X3971" t="s">
        <v>45102</v>
      </c>
    </row>
    <row r="3972" spans="1:24">
      <c r="A3972">
        <f>HYPERLINK("https://www.philgeps.gov.ph/GEPSNONPILOT/Tender/SplashBidNoticeAbstractUI.aspx?menuIndex=3&amp;refID=7041437&amp;Result=3","7041437")</f>
        <v>0</v>
      </c>
      <c r="B3972" t="s">
        <v>115</v>
      </c>
      <c r="C3972" t="s">
        <v>6989</v>
      </c>
      <c r="D3972" t="s">
        <v>18040</v>
      </c>
      <c r="E3972" t="s">
        <v>21668</v>
      </c>
      <c r="F3972" t="s">
        <v>31574</v>
      </c>
      <c r="G3972" t="s">
        <v>31581</v>
      </c>
      <c r="H3972" t="s">
        <v>31590</v>
      </c>
      <c r="I3972" t="s">
        <v>31638</v>
      </c>
      <c r="J3972" t="s">
        <v>34387</v>
      </c>
      <c r="K3972" t="s">
        <v>41193</v>
      </c>
      <c r="M3972" t="s">
        <v>41599</v>
      </c>
      <c r="N3972" t="s">
        <v>45095</v>
      </c>
      <c r="O3972" t="s">
        <v>45096</v>
      </c>
      <c r="P3972">
        <v>0</v>
      </c>
      <c r="Q3972">
        <v>0</v>
      </c>
      <c r="R3972" t="s">
        <v>45101</v>
      </c>
      <c r="S3972" t="s">
        <v>45231</v>
      </c>
      <c r="T3972" t="s">
        <v>47158</v>
      </c>
      <c r="U3972" t="s">
        <v>50859</v>
      </c>
      <c r="W3972" t="s">
        <v>41599</v>
      </c>
      <c r="X3972" t="s">
        <v>45102</v>
      </c>
    </row>
    <row r="3973" spans="1:24">
      <c r="A3973">
        <f>HYPERLINK("https://www.philgeps.gov.ph/GEPSNONPILOT/Tender/SplashBidNoticeAbstractUI.aspx?menuIndex=3&amp;refID=7041462&amp;Result=3","7041462")</f>
        <v>0</v>
      </c>
      <c r="B3973" t="s">
        <v>1131</v>
      </c>
      <c r="C3973" t="s">
        <v>6990</v>
      </c>
      <c r="D3973" t="s">
        <v>18071</v>
      </c>
      <c r="E3973" t="s">
        <v>21669</v>
      </c>
      <c r="F3973" t="s">
        <v>31574</v>
      </c>
      <c r="G3973" t="s">
        <v>31581</v>
      </c>
      <c r="H3973" t="s">
        <v>31590</v>
      </c>
      <c r="I3973" t="s">
        <v>31595</v>
      </c>
      <c r="J3973" t="s">
        <v>33085</v>
      </c>
      <c r="K3973" t="s">
        <v>41186</v>
      </c>
      <c r="M3973" t="s">
        <v>42682</v>
      </c>
      <c r="N3973" t="s">
        <v>45095</v>
      </c>
      <c r="O3973" t="s">
        <v>45096</v>
      </c>
      <c r="P3973">
        <v>0</v>
      </c>
      <c r="Q3973">
        <v>0</v>
      </c>
      <c r="R3973" t="s">
        <v>45101</v>
      </c>
      <c r="S3973" t="s">
        <v>45231</v>
      </c>
      <c r="T3973" t="s">
        <v>47064</v>
      </c>
      <c r="U3973" t="s">
        <v>50860</v>
      </c>
      <c r="W3973" t="s">
        <v>42682</v>
      </c>
      <c r="X3973" t="s">
        <v>45102</v>
      </c>
    </row>
    <row r="3974" spans="1:24">
      <c r="A3974">
        <f>HYPERLINK("https://www.philgeps.gov.ph/GEPSNONPILOT/Tender/SplashBidNoticeAbstractUI.aspx?menuIndex=3&amp;refID=7041454&amp;Result=3","7041454")</f>
        <v>0</v>
      </c>
      <c r="B3974" t="s">
        <v>736</v>
      </c>
      <c r="C3974" t="s">
        <v>6991</v>
      </c>
      <c r="D3974" t="s">
        <v>18079</v>
      </c>
      <c r="E3974" t="s">
        <v>21670</v>
      </c>
      <c r="F3974" t="s">
        <v>31574</v>
      </c>
      <c r="G3974" t="s">
        <v>31582</v>
      </c>
      <c r="H3974" t="s">
        <v>31590</v>
      </c>
      <c r="I3974" t="s">
        <v>14544</v>
      </c>
      <c r="J3974" t="s">
        <v>31844</v>
      </c>
      <c r="K3974" t="s">
        <v>41186</v>
      </c>
      <c r="M3974" t="s">
        <v>42247</v>
      </c>
      <c r="N3974" t="s">
        <v>45095</v>
      </c>
      <c r="O3974" t="s">
        <v>45096</v>
      </c>
      <c r="P3974">
        <v>0</v>
      </c>
      <c r="Q3974">
        <v>3</v>
      </c>
      <c r="R3974" t="s">
        <v>45101</v>
      </c>
      <c r="S3974" t="s">
        <v>45231</v>
      </c>
      <c r="T3974" t="s">
        <v>47166</v>
      </c>
      <c r="U3974" t="s">
        <v>50768</v>
      </c>
      <c r="W3974" t="s">
        <v>42247</v>
      </c>
      <c r="X3974" t="s">
        <v>45102</v>
      </c>
    </row>
    <row r="3975" spans="1:24">
      <c r="A3975">
        <f>HYPERLINK("https://www.philgeps.gov.ph/GEPSNONPILOT/Tender/SplashBidNoticeAbstractUI.aspx?menuIndex=3&amp;refID=7041435&amp;Result=3","7041435")</f>
        <v>0</v>
      </c>
      <c r="B3975" t="s">
        <v>500</v>
      </c>
      <c r="C3975" t="s">
        <v>6992</v>
      </c>
      <c r="D3975" t="s">
        <v>18023</v>
      </c>
      <c r="E3975" t="s">
        <v>21671</v>
      </c>
      <c r="F3975" t="s">
        <v>31574</v>
      </c>
      <c r="G3975" t="s">
        <v>31582</v>
      </c>
      <c r="H3975" t="s">
        <v>31591</v>
      </c>
      <c r="I3975" t="s">
        <v>8822</v>
      </c>
      <c r="J3975" t="s">
        <v>34388</v>
      </c>
      <c r="K3975" t="s">
        <v>41184</v>
      </c>
      <c r="M3975" t="s">
        <v>41996</v>
      </c>
      <c r="N3975" t="s">
        <v>45095</v>
      </c>
      <c r="O3975" t="s">
        <v>45096</v>
      </c>
      <c r="P3975">
        <v>0</v>
      </c>
      <c r="Q3975">
        <v>0</v>
      </c>
      <c r="R3975" t="s">
        <v>45101</v>
      </c>
      <c r="S3975" t="s">
        <v>45231</v>
      </c>
      <c r="T3975" t="s">
        <v>46937</v>
      </c>
      <c r="U3975" t="s">
        <v>50861</v>
      </c>
      <c r="W3975" t="s">
        <v>41996</v>
      </c>
      <c r="X3975" t="s">
        <v>45102</v>
      </c>
    </row>
    <row r="3976" spans="1:24">
      <c r="A3976">
        <f>HYPERLINK("https://www.philgeps.gov.ph/GEPSNONPILOT/Tender/SplashBidNoticeAbstractUI.aspx?menuIndex=3&amp;refID=7041451&amp;Result=3","7041451")</f>
        <v>0</v>
      </c>
      <c r="B3976" t="s">
        <v>1131</v>
      </c>
      <c r="C3976" t="s">
        <v>6993</v>
      </c>
      <c r="D3976" t="s">
        <v>18071</v>
      </c>
      <c r="E3976" t="s">
        <v>21672</v>
      </c>
      <c r="F3976" t="s">
        <v>31574</v>
      </c>
      <c r="G3976" t="s">
        <v>31581</v>
      </c>
      <c r="H3976" t="s">
        <v>31590</v>
      </c>
      <c r="I3976" t="s">
        <v>31599</v>
      </c>
      <c r="J3976" t="s">
        <v>33231</v>
      </c>
      <c r="K3976" t="s">
        <v>41186</v>
      </c>
      <c r="M3976" t="s">
        <v>42682</v>
      </c>
      <c r="N3976" t="s">
        <v>45095</v>
      </c>
      <c r="O3976" t="s">
        <v>45096</v>
      </c>
      <c r="P3976">
        <v>0</v>
      </c>
      <c r="Q3976">
        <v>1</v>
      </c>
      <c r="R3976" t="s">
        <v>45101</v>
      </c>
      <c r="S3976" t="s">
        <v>45231</v>
      </c>
      <c r="T3976" t="s">
        <v>47064</v>
      </c>
      <c r="U3976" t="s">
        <v>50862</v>
      </c>
      <c r="W3976" t="s">
        <v>42682</v>
      </c>
      <c r="X3976" t="s">
        <v>45102</v>
      </c>
    </row>
    <row r="3977" spans="1:24">
      <c r="A3977">
        <f>HYPERLINK("https://www.philgeps.gov.ph/GEPSNONPILOT/Tender/SplashBidNoticeAbstractUI.aspx?menuIndex=3&amp;refID=7041450&amp;Result=3","7041450")</f>
        <v>0</v>
      </c>
      <c r="B3977" t="s">
        <v>1396</v>
      </c>
      <c r="C3977" t="s">
        <v>6994</v>
      </c>
      <c r="D3977" t="s">
        <v>18044</v>
      </c>
      <c r="E3977" t="s">
        <v>21673</v>
      </c>
      <c r="F3977" t="s">
        <v>31574</v>
      </c>
      <c r="G3977" t="s">
        <v>31581</v>
      </c>
      <c r="H3977" t="s">
        <v>31590</v>
      </c>
      <c r="I3977" t="s">
        <v>31626</v>
      </c>
      <c r="J3977" t="s">
        <v>34389</v>
      </c>
      <c r="K3977" t="s">
        <v>41184</v>
      </c>
      <c r="M3977" t="s">
        <v>42971</v>
      </c>
      <c r="N3977" t="s">
        <v>45095</v>
      </c>
      <c r="O3977" t="s">
        <v>45096</v>
      </c>
      <c r="P3977">
        <v>0</v>
      </c>
      <c r="Q3977">
        <v>7</v>
      </c>
      <c r="R3977" t="s">
        <v>45101</v>
      </c>
      <c r="S3977" t="s">
        <v>45231</v>
      </c>
      <c r="T3977" t="s">
        <v>46973</v>
      </c>
      <c r="U3977" t="s">
        <v>50848</v>
      </c>
      <c r="W3977" t="s">
        <v>42971</v>
      </c>
      <c r="X3977" t="s">
        <v>45102</v>
      </c>
    </row>
    <row r="3978" spans="1:24">
      <c r="A3978">
        <f>HYPERLINK("https://www.philgeps.gov.ph/GEPSNONPILOT/Tender/SplashBidNoticeAbstractUI.aspx?menuIndex=3&amp;refID=7041460&amp;Result=3","7041460")</f>
        <v>0</v>
      </c>
      <c r="B3978" t="s">
        <v>1041</v>
      </c>
      <c r="C3978" t="s">
        <v>6995</v>
      </c>
      <c r="D3978" t="s">
        <v>18107</v>
      </c>
      <c r="E3978" t="s">
        <v>21674</v>
      </c>
      <c r="F3978" t="s">
        <v>31574</v>
      </c>
      <c r="G3978" t="s">
        <v>31581</v>
      </c>
      <c r="H3978" t="s">
        <v>31590</v>
      </c>
      <c r="I3978" t="s">
        <v>31602</v>
      </c>
      <c r="J3978" t="s">
        <v>32336</v>
      </c>
      <c r="K3978" t="s">
        <v>41196</v>
      </c>
      <c r="M3978" t="s">
        <v>42584</v>
      </c>
      <c r="N3978" t="s">
        <v>45095</v>
      </c>
      <c r="O3978" t="s">
        <v>45096</v>
      </c>
      <c r="P3978">
        <v>0</v>
      </c>
      <c r="Q3978">
        <v>1</v>
      </c>
      <c r="R3978" t="s">
        <v>45101</v>
      </c>
      <c r="S3978" t="s">
        <v>45231</v>
      </c>
      <c r="T3978" t="s">
        <v>47159</v>
      </c>
      <c r="U3978" t="s">
        <v>50863</v>
      </c>
      <c r="W3978" t="s">
        <v>42584</v>
      </c>
      <c r="X3978" t="s">
        <v>45102</v>
      </c>
    </row>
    <row r="3979" spans="1:24">
      <c r="A3979">
        <f>HYPERLINK("https://www.philgeps.gov.ph/GEPSNONPILOT/Tender/SplashBidNoticeAbstractUI.aspx?menuIndex=3&amp;refID=7041453&amp;Result=3","7041453")</f>
        <v>0</v>
      </c>
      <c r="B3979" t="s">
        <v>348</v>
      </c>
      <c r="C3979" t="s">
        <v>6996</v>
      </c>
      <c r="D3979" t="s">
        <v>18065</v>
      </c>
      <c r="E3979" t="s">
        <v>21675</v>
      </c>
      <c r="F3979" t="s">
        <v>31574</v>
      </c>
      <c r="G3979" t="s">
        <v>31583</v>
      </c>
      <c r="H3979" t="s">
        <v>31590</v>
      </c>
      <c r="I3979" t="s">
        <v>5717</v>
      </c>
      <c r="J3979" t="s">
        <v>34390</v>
      </c>
      <c r="K3979" t="s">
        <v>41186</v>
      </c>
      <c r="M3979" t="s">
        <v>41836</v>
      </c>
      <c r="N3979" t="s">
        <v>45095</v>
      </c>
      <c r="O3979" t="s">
        <v>45096</v>
      </c>
      <c r="P3979">
        <v>0</v>
      </c>
      <c r="Q3979">
        <v>4</v>
      </c>
      <c r="R3979" t="s">
        <v>45101</v>
      </c>
      <c r="S3979" t="s">
        <v>45231</v>
      </c>
      <c r="T3979" t="s">
        <v>46957</v>
      </c>
      <c r="U3979" t="s">
        <v>48153</v>
      </c>
      <c r="W3979" t="s">
        <v>41836</v>
      </c>
      <c r="X3979" t="s">
        <v>45102</v>
      </c>
    </row>
    <row r="3980" spans="1:24">
      <c r="A3980">
        <f>HYPERLINK("https://www.philgeps.gov.ph/GEPSNONPILOT/Tender/SplashBidNoticeAbstractUI.aspx?menuIndex=3&amp;refID=7041464&amp;Result=3","7041464")</f>
        <v>0</v>
      </c>
      <c r="B3980" t="s">
        <v>1385</v>
      </c>
      <c r="C3980" t="s">
        <v>6997</v>
      </c>
      <c r="D3980" t="s">
        <v>18103</v>
      </c>
      <c r="E3980" t="s">
        <v>21676</v>
      </c>
      <c r="F3980" t="s">
        <v>31574</v>
      </c>
      <c r="G3980" t="s">
        <v>31581</v>
      </c>
      <c r="H3980" t="s">
        <v>31590</v>
      </c>
      <c r="I3980" t="s">
        <v>31619</v>
      </c>
      <c r="J3980" t="s">
        <v>34391</v>
      </c>
      <c r="K3980" t="s">
        <v>41184</v>
      </c>
      <c r="M3980" t="s">
        <v>42959</v>
      </c>
      <c r="N3980" t="s">
        <v>45095</v>
      </c>
      <c r="O3980" t="s">
        <v>45096</v>
      </c>
      <c r="P3980">
        <v>0</v>
      </c>
      <c r="Q3980">
        <v>6</v>
      </c>
      <c r="R3980" t="s">
        <v>45101</v>
      </c>
      <c r="S3980" t="s">
        <v>45231</v>
      </c>
      <c r="T3980" t="s">
        <v>47183</v>
      </c>
      <c r="U3980" t="s">
        <v>50825</v>
      </c>
      <c r="W3980" t="s">
        <v>42959</v>
      </c>
      <c r="X3980" t="s">
        <v>45102</v>
      </c>
    </row>
    <row r="3981" spans="1:24">
      <c r="A3981">
        <f>HYPERLINK("https://www.philgeps.gov.ph/GEPSNONPILOT/Tender/SplashBidNoticeAbstractUI.aspx?menuIndex=3&amp;refID=7041448&amp;Result=3","7041448")</f>
        <v>0</v>
      </c>
      <c r="B3981" t="s">
        <v>1389</v>
      </c>
      <c r="C3981" t="s">
        <v>6998</v>
      </c>
      <c r="D3981" t="s">
        <v>18089</v>
      </c>
      <c r="E3981" t="s">
        <v>21677</v>
      </c>
      <c r="F3981" t="s">
        <v>31574</v>
      </c>
      <c r="G3981" t="s">
        <v>31582</v>
      </c>
      <c r="H3981" t="s">
        <v>31591</v>
      </c>
      <c r="I3981" t="s">
        <v>31663</v>
      </c>
      <c r="J3981" t="s">
        <v>34376</v>
      </c>
      <c r="K3981" t="s">
        <v>41217</v>
      </c>
      <c r="M3981" t="s">
        <v>42963</v>
      </c>
      <c r="N3981" t="s">
        <v>45095</v>
      </c>
      <c r="O3981" t="s">
        <v>45096</v>
      </c>
      <c r="P3981">
        <v>0</v>
      </c>
      <c r="Q3981">
        <v>0</v>
      </c>
      <c r="R3981" t="s">
        <v>45101</v>
      </c>
      <c r="S3981" t="s">
        <v>45231</v>
      </c>
      <c r="T3981" t="s">
        <v>46918</v>
      </c>
      <c r="U3981" t="s">
        <v>50834</v>
      </c>
      <c r="V3981" t="s">
        <v>59130</v>
      </c>
      <c r="W3981" t="s">
        <v>42963</v>
      </c>
      <c r="X3981" t="s">
        <v>45102</v>
      </c>
    </row>
    <row r="3982" spans="1:24">
      <c r="A3982">
        <f>HYPERLINK("https://www.philgeps.gov.ph/GEPSNONPILOT/Tender/SplashBidNoticeAbstractUI.aspx?menuIndex=3&amp;refID=7041471&amp;Result=3","7041471")</f>
        <v>0</v>
      </c>
      <c r="B3982" t="s">
        <v>500</v>
      </c>
      <c r="C3982" t="s">
        <v>6999</v>
      </c>
      <c r="D3982" t="s">
        <v>18100</v>
      </c>
      <c r="E3982" t="s">
        <v>21678</v>
      </c>
      <c r="F3982" t="s">
        <v>31574</v>
      </c>
      <c r="G3982" t="s">
        <v>31582</v>
      </c>
      <c r="H3982" t="s">
        <v>31590</v>
      </c>
      <c r="I3982" t="s">
        <v>3487</v>
      </c>
      <c r="J3982" t="s">
        <v>34392</v>
      </c>
      <c r="K3982" t="s">
        <v>41184</v>
      </c>
      <c r="M3982" t="s">
        <v>41996</v>
      </c>
      <c r="N3982" t="s">
        <v>45095</v>
      </c>
      <c r="O3982" t="s">
        <v>45096</v>
      </c>
      <c r="P3982">
        <v>0</v>
      </c>
      <c r="Q3982">
        <v>0</v>
      </c>
      <c r="R3982" t="s">
        <v>45101</v>
      </c>
      <c r="S3982" t="s">
        <v>45231</v>
      </c>
      <c r="T3982" t="s">
        <v>46937</v>
      </c>
      <c r="U3982" t="s">
        <v>50864</v>
      </c>
      <c r="W3982" t="s">
        <v>41996</v>
      </c>
      <c r="X3982" t="s">
        <v>45102</v>
      </c>
    </row>
    <row r="3983" spans="1:24">
      <c r="A3983">
        <f>HYPERLINK("https://www.philgeps.gov.ph/GEPSNONPILOT/Tender/SplashBidNoticeAbstractUI.aspx?menuIndex=3&amp;refID=7041457&amp;Result=3","7041457")</f>
        <v>0</v>
      </c>
      <c r="B3983" t="s">
        <v>1391</v>
      </c>
      <c r="C3983" t="s">
        <v>7000</v>
      </c>
      <c r="E3983" t="s">
        <v>21223</v>
      </c>
      <c r="F3983" t="s">
        <v>31574</v>
      </c>
      <c r="G3983" t="s">
        <v>31581</v>
      </c>
      <c r="H3983" t="s">
        <v>31590</v>
      </c>
      <c r="I3983" t="s">
        <v>31620</v>
      </c>
      <c r="J3983" t="s">
        <v>32178</v>
      </c>
      <c r="K3983" t="s">
        <v>41211</v>
      </c>
      <c r="M3983" t="s">
        <v>42966</v>
      </c>
      <c r="N3983" t="s">
        <v>45095</v>
      </c>
      <c r="O3983" t="s">
        <v>45096</v>
      </c>
      <c r="P3983">
        <v>0</v>
      </c>
      <c r="Q3983">
        <v>1</v>
      </c>
      <c r="R3983" t="s">
        <v>45101</v>
      </c>
      <c r="S3983" t="s">
        <v>45231</v>
      </c>
      <c r="T3983" t="s">
        <v>46936</v>
      </c>
      <c r="U3983" t="s">
        <v>50865</v>
      </c>
      <c r="W3983" t="s">
        <v>42966</v>
      </c>
      <c r="X3983" t="s">
        <v>45102</v>
      </c>
    </row>
    <row r="3984" spans="1:24">
      <c r="A3984">
        <f>HYPERLINK("https://www.philgeps.gov.ph/GEPSNONPILOT/Tender/SplashBidNoticeAbstractUI.aspx?menuIndex=3&amp;refID=7041465&amp;Result=3","7041465")</f>
        <v>0</v>
      </c>
      <c r="B3984" t="s">
        <v>1402</v>
      </c>
      <c r="C3984" t="s">
        <v>7001</v>
      </c>
      <c r="D3984" t="s">
        <v>18093</v>
      </c>
      <c r="E3984" t="s">
        <v>21679</v>
      </c>
      <c r="F3984" t="s">
        <v>31574</v>
      </c>
      <c r="G3984" t="s">
        <v>31582</v>
      </c>
      <c r="H3984" t="s">
        <v>31591</v>
      </c>
      <c r="I3984" t="s">
        <v>8822</v>
      </c>
      <c r="J3984" t="s">
        <v>34393</v>
      </c>
      <c r="K3984" t="s">
        <v>41186</v>
      </c>
      <c r="M3984" t="s">
        <v>42977</v>
      </c>
      <c r="N3984" t="s">
        <v>45095</v>
      </c>
      <c r="O3984" t="s">
        <v>45096</v>
      </c>
      <c r="P3984">
        <v>0</v>
      </c>
      <c r="Q3984">
        <v>0</v>
      </c>
      <c r="R3984" t="s">
        <v>45101</v>
      </c>
      <c r="S3984" t="s">
        <v>45231</v>
      </c>
      <c r="T3984" t="s">
        <v>46911</v>
      </c>
      <c r="U3984" t="s">
        <v>50866</v>
      </c>
      <c r="W3984" t="s">
        <v>42977</v>
      </c>
      <c r="X3984" t="s">
        <v>45102</v>
      </c>
    </row>
    <row r="3985" spans="1:24">
      <c r="A3985">
        <f>HYPERLINK("https://www.philgeps.gov.ph/GEPSNONPILOT/Tender/SplashBidNoticeAbstractUI.aspx?menuIndex=3&amp;refID=7041507&amp;Result=3","7041507")</f>
        <v>0</v>
      </c>
      <c r="B3985" t="s">
        <v>1401</v>
      </c>
      <c r="C3985" t="s">
        <v>7002</v>
      </c>
      <c r="D3985" t="s">
        <v>18033</v>
      </c>
      <c r="E3985" t="s">
        <v>19149</v>
      </c>
      <c r="F3985" t="s">
        <v>31574</v>
      </c>
      <c r="G3985" t="s">
        <v>31582</v>
      </c>
      <c r="H3985" t="s">
        <v>31591</v>
      </c>
      <c r="I3985" t="s">
        <v>8822</v>
      </c>
      <c r="J3985" t="s">
        <v>32232</v>
      </c>
      <c r="K3985" t="s">
        <v>41192</v>
      </c>
      <c r="M3985" t="s">
        <v>42976</v>
      </c>
      <c r="N3985" t="s">
        <v>45095</v>
      </c>
      <c r="O3985" t="s">
        <v>45096</v>
      </c>
      <c r="P3985">
        <v>0</v>
      </c>
      <c r="Q3985">
        <v>0</v>
      </c>
      <c r="R3985" t="s">
        <v>45101</v>
      </c>
      <c r="S3985" t="s">
        <v>45231</v>
      </c>
      <c r="T3985" t="s">
        <v>46971</v>
      </c>
      <c r="U3985" t="s">
        <v>50867</v>
      </c>
      <c r="W3985" t="s">
        <v>42976</v>
      </c>
      <c r="X3985" t="s">
        <v>45102</v>
      </c>
    </row>
    <row r="3986" spans="1:24">
      <c r="A3986">
        <f>HYPERLINK("https://www.philgeps.gov.ph/GEPSNONPILOT/Tender/SplashBidNoticeAbstractUI.aspx?menuIndex=3&amp;refID=7041472&amp;Result=3","7041472")</f>
        <v>0</v>
      </c>
      <c r="B3986" t="s">
        <v>1338</v>
      </c>
      <c r="C3986" t="s">
        <v>7003</v>
      </c>
      <c r="D3986" t="s">
        <v>18043</v>
      </c>
      <c r="E3986" t="s">
        <v>21680</v>
      </c>
      <c r="F3986" t="s">
        <v>31574</v>
      </c>
      <c r="G3986" t="s">
        <v>31581</v>
      </c>
      <c r="H3986" t="s">
        <v>31590</v>
      </c>
      <c r="I3986" t="s">
        <v>31685</v>
      </c>
      <c r="J3986" t="s">
        <v>31962</v>
      </c>
      <c r="K3986" t="s">
        <v>41186</v>
      </c>
      <c r="M3986" t="s">
        <v>42910</v>
      </c>
      <c r="N3986" t="s">
        <v>45095</v>
      </c>
      <c r="O3986" t="s">
        <v>45096</v>
      </c>
      <c r="P3986">
        <v>0</v>
      </c>
      <c r="Q3986">
        <v>0</v>
      </c>
      <c r="R3986" t="s">
        <v>45101</v>
      </c>
      <c r="S3986" t="s">
        <v>45231</v>
      </c>
      <c r="T3986" t="s">
        <v>46969</v>
      </c>
      <c r="U3986" t="s">
        <v>50868</v>
      </c>
      <c r="V3986" t="s">
        <v>60224</v>
      </c>
      <c r="W3986" t="s">
        <v>42910</v>
      </c>
      <c r="X3986" t="s">
        <v>45102</v>
      </c>
    </row>
    <row r="3987" spans="1:24">
      <c r="A3987">
        <f>HYPERLINK("https://www.philgeps.gov.ph/GEPSNONPILOT/Tender/SplashBidNoticeAbstractUI.aspx?menuIndex=3&amp;refID=7041466&amp;Result=3","7041466")</f>
        <v>0</v>
      </c>
      <c r="B3987" t="s">
        <v>1403</v>
      </c>
      <c r="C3987" t="s">
        <v>7004</v>
      </c>
      <c r="D3987" t="s">
        <v>18033</v>
      </c>
      <c r="E3987" t="s">
        <v>21681</v>
      </c>
      <c r="F3987" t="s">
        <v>31574</v>
      </c>
      <c r="G3987" t="s">
        <v>31582</v>
      </c>
      <c r="H3987" t="s">
        <v>31590</v>
      </c>
      <c r="I3987" t="s">
        <v>4046</v>
      </c>
      <c r="J3987" t="s">
        <v>31927</v>
      </c>
      <c r="K3987" t="s">
        <v>41196</v>
      </c>
      <c r="M3987" t="s">
        <v>42978</v>
      </c>
      <c r="N3987" t="s">
        <v>45095</v>
      </c>
      <c r="O3987" t="s">
        <v>45096</v>
      </c>
      <c r="Q3987">
        <v>1</v>
      </c>
      <c r="R3987" t="s">
        <v>45101</v>
      </c>
      <c r="S3987" t="s">
        <v>45233</v>
      </c>
      <c r="T3987" t="s">
        <v>46913</v>
      </c>
      <c r="U3987" t="s">
        <v>50869</v>
      </c>
      <c r="W3987" t="s">
        <v>42978</v>
      </c>
      <c r="X3987" t="s">
        <v>45102</v>
      </c>
    </row>
    <row r="3988" spans="1:24">
      <c r="A3988">
        <f>HYPERLINK("https://www.philgeps.gov.ph/GEPSNONPILOT/Tender/SplashBidNoticeAbstractUI.aspx?menuIndex=3&amp;refID=7041476&amp;Result=3","7041476")</f>
        <v>0</v>
      </c>
      <c r="B3988" t="s">
        <v>1397</v>
      </c>
      <c r="C3988" t="s">
        <v>7005</v>
      </c>
      <c r="D3988" t="s">
        <v>18040</v>
      </c>
      <c r="E3988" t="s">
        <v>21682</v>
      </c>
      <c r="F3988" t="s">
        <v>31574</v>
      </c>
      <c r="G3988" t="s">
        <v>31582</v>
      </c>
      <c r="H3988" t="s">
        <v>31591</v>
      </c>
      <c r="I3988" t="s">
        <v>8822</v>
      </c>
      <c r="J3988" t="s">
        <v>32019</v>
      </c>
      <c r="K3988" t="s">
        <v>41184</v>
      </c>
      <c r="M3988" t="s">
        <v>42972</v>
      </c>
      <c r="N3988" t="s">
        <v>45095</v>
      </c>
      <c r="O3988" t="s">
        <v>45096</v>
      </c>
      <c r="P3988">
        <v>0</v>
      </c>
      <c r="Q3988">
        <v>0</v>
      </c>
      <c r="R3988" t="s">
        <v>45101</v>
      </c>
      <c r="S3988" t="s">
        <v>45231</v>
      </c>
      <c r="T3988" t="s">
        <v>46911</v>
      </c>
      <c r="U3988" t="s">
        <v>50870</v>
      </c>
      <c r="W3988" t="s">
        <v>42972</v>
      </c>
      <c r="X3988" t="s">
        <v>45102</v>
      </c>
    </row>
    <row r="3989" spans="1:24">
      <c r="A3989">
        <f>HYPERLINK("https://www.philgeps.gov.ph/GEPSNONPILOT/Tender/SplashBidNoticeAbstractUI.aspx?menuIndex=3&amp;refID=7041500&amp;Result=3","7041500")</f>
        <v>0</v>
      </c>
      <c r="B3989" t="s">
        <v>1338</v>
      </c>
      <c r="C3989" t="s">
        <v>7006</v>
      </c>
      <c r="D3989" t="s">
        <v>18043</v>
      </c>
      <c r="E3989" t="s">
        <v>21683</v>
      </c>
      <c r="F3989" t="s">
        <v>31574</v>
      </c>
      <c r="G3989" t="s">
        <v>31581</v>
      </c>
      <c r="H3989" t="s">
        <v>31590</v>
      </c>
      <c r="I3989" t="s">
        <v>31638</v>
      </c>
      <c r="J3989" t="s">
        <v>32019</v>
      </c>
      <c r="K3989" t="s">
        <v>41186</v>
      </c>
      <c r="M3989" t="s">
        <v>42910</v>
      </c>
      <c r="N3989" t="s">
        <v>45095</v>
      </c>
      <c r="O3989" t="s">
        <v>45096</v>
      </c>
      <c r="P3989">
        <v>0</v>
      </c>
      <c r="Q3989">
        <v>0</v>
      </c>
      <c r="R3989" t="s">
        <v>45101</v>
      </c>
      <c r="S3989" t="s">
        <v>45231</v>
      </c>
      <c r="T3989" t="s">
        <v>46969</v>
      </c>
      <c r="U3989" t="s">
        <v>50871</v>
      </c>
      <c r="V3989" t="s">
        <v>60224</v>
      </c>
      <c r="W3989" t="s">
        <v>42910</v>
      </c>
      <c r="X3989" t="s">
        <v>45102</v>
      </c>
    </row>
    <row r="3990" spans="1:24">
      <c r="A3990">
        <f>HYPERLINK("https://www.philgeps.gov.ph/GEPSNONPILOT/Tender/SplashBidNoticeAbstractUI.aspx?menuIndex=3&amp;refID=7041467&amp;Result=3","7041467")</f>
        <v>0</v>
      </c>
      <c r="B3990" t="s">
        <v>66</v>
      </c>
      <c r="C3990" t="s">
        <v>7007</v>
      </c>
      <c r="D3990" t="s">
        <v>18050</v>
      </c>
      <c r="E3990" t="s">
        <v>21684</v>
      </c>
      <c r="F3990" t="s">
        <v>31574</v>
      </c>
      <c r="G3990" t="s">
        <v>31581</v>
      </c>
      <c r="H3990" t="s">
        <v>31590</v>
      </c>
      <c r="I3990" t="s">
        <v>31594</v>
      </c>
      <c r="J3990" t="s">
        <v>34394</v>
      </c>
      <c r="K3990" t="s">
        <v>41190</v>
      </c>
      <c r="L3990" t="s">
        <v>66</v>
      </c>
      <c r="M3990" t="s">
        <v>41550</v>
      </c>
      <c r="N3990" t="s">
        <v>45095</v>
      </c>
      <c r="O3990" t="s">
        <v>45096</v>
      </c>
      <c r="P3990">
        <v>0</v>
      </c>
      <c r="Q3990">
        <v>10</v>
      </c>
      <c r="R3990" t="s">
        <v>45101</v>
      </c>
      <c r="S3990" t="s">
        <v>45231</v>
      </c>
      <c r="T3990" t="s">
        <v>47162</v>
      </c>
      <c r="U3990" t="s">
        <v>47541</v>
      </c>
      <c r="V3990" t="s">
        <v>60241</v>
      </c>
      <c r="W3990" t="s">
        <v>41550</v>
      </c>
      <c r="X3990" t="s">
        <v>45102</v>
      </c>
    </row>
    <row r="3991" spans="1:24">
      <c r="A3991">
        <f>HYPERLINK("https://www.philgeps.gov.ph/GEPSNONPILOT/Tender/SplashBidNoticeAbstractUI.aspx?menuIndex=3&amp;refID=7041493&amp;Result=3","7041493")</f>
        <v>0</v>
      </c>
      <c r="B3991" t="s">
        <v>1327</v>
      </c>
      <c r="C3991" t="s">
        <v>7008</v>
      </c>
      <c r="E3991" t="s">
        <v>7008</v>
      </c>
      <c r="F3991" t="s">
        <v>31574</v>
      </c>
      <c r="G3991" t="s">
        <v>31581</v>
      </c>
      <c r="H3991" t="s">
        <v>31590</v>
      </c>
      <c r="I3991" t="s">
        <v>8258</v>
      </c>
      <c r="J3991" t="s">
        <v>32049</v>
      </c>
      <c r="K3991" t="s">
        <v>41193</v>
      </c>
      <c r="M3991" t="s">
        <v>42897</v>
      </c>
      <c r="N3991" t="s">
        <v>45095</v>
      </c>
      <c r="O3991" t="s">
        <v>45096</v>
      </c>
      <c r="P3991">
        <v>0</v>
      </c>
      <c r="Q3991">
        <v>1</v>
      </c>
      <c r="R3991" t="s">
        <v>45101</v>
      </c>
      <c r="S3991" t="s">
        <v>45231</v>
      </c>
      <c r="T3991" t="s">
        <v>47154</v>
      </c>
      <c r="U3991" t="s">
        <v>50872</v>
      </c>
      <c r="W3991" t="s">
        <v>42897</v>
      </c>
      <c r="X3991" t="s">
        <v>45102</v>
      </c>
    </row>
    <row r="3992" spans="1:24">
      <c r="A3992">
        <f>HYPERLINK("https://www.philgeps.gov.ph/GEPSNONPILOT/Tender/SplashBidNoticeAbstractUI.aspx?menuIndex=3&amp;refID=7041490&amp;Result=3","7041490")</f>
        <v>0</v>
      </c>
      <c r="B3992" t="s">
        <v>1338</v>
      </c>
      <c r="C3992" t="s">
        <v>7009</v>
      </c>
      <c r="D3992" t="s">
        <v>18043</v>
      </c>
      <c r="E3992" t="s">
        <v>21685</v>
      </c>
      <c r="F3992" t="s">
        <v>31574</v>
      </c>
      <c r="G3992" t="s">
        <v>31584</v>
      </c>
      <c r="H3992" t="s">
        <v>31590</v>
      </c>
      <c r="I3992" t="s">
        <v>31647</v>
      </c>
      <c r="J3992" t="s">
        <v>34395</v>
      </c>
      <c r="K3992" t="s">
        <v>41186</v>
      </c>
      <c r="M3992" t="s">
        <v>42910</v>
      </c>
      <c r="N3992" t="s">
        <v>45095</v>
      </c>
      <c r="O3992" t="s">
        <v>45096</v>
      </c>
      <c r="P3992">
        <v>0</v>
      </c>
      <c r="Q3992">
        <v>2</v>
      </c>
      <c r="R3992" t="s">
        <v>45101</v>
      </c>
      <c r="S3992" t="s">
        <v>45231</v>
      </c>
      <c r="T3992" t="s">
        <v>46969</v>
      </c>
      <c r="U3992" t="s">
        <v>50873</v>
      </c>
      <c r="V3992" t="s">
        <v>60224</v>
      </c>
      <c r="W3992" t="s">
        <v>42910</v>
      </c>
      <c r="X3992" t="s">
        <v>45102</v>
      </c>
    </row>
    <row r="3993" spans="1:24">
      <c r="A3993">
        <f>HYPERLINK("https://www.philgeps.gov.ph/GEPSNONPILOT/Tender/SplashBidNoticeAbstractUI.aspx?menuIndex=3&amp;refID=7041494&amp;Result=3","7041494")</f>
        <v>0</v>
      </c>
      <c r="B3993" t="s">
        <v>629</v>
      </c>
      <c r="C3993" t="s">
        <v>7010</v>
      </c>
      <c r="D3993" t="s">
        <v>18075</v>
      </c>
      <c r="E3993" t="s">
        <v>18258</v>
      </c>
      <c r="F3993" t="s">
        <v>31574</v>
      </c>
      <c r="G3993" t="s">
        <v>31581</v>
      </c>
      <c r="H3993" t="s">
        <v>31590</v>
      </c>
      <c r="I3993" t="s">
        <v>4046</v>
      </c>
      <c r="J3993" t="s">
        <v>34396</v>
      </c>
      <c r="K3993" t="s">
        <v>41212</v>
      </c>
      <c r="M3993" t="s">
        <v>42133</v>
      </c>
      <c r="N3993" t="s">
        <v>45095</v>
      </c>
      <c r="O3993" t="s">
        <v>45096</v>
      </c>
      <c r="P3993">
        <v>0</v>
      </c>
      <c r="Q3993">
        <v>1</v>
      </c>
      <c r="R3993" t="s">
        <v>45101</v>
      </c>
      <c r="S3993" t="s">
        <v>45231</v>
      </c>
      <c r="T3993" t="s">
        <v>46957</v>
      </c>
      <c r="U3993" t="s">
        <v>50874</v>
      </c>
      <c r="W3993" t="s">
        <v>42133</v>
      </c>
      <c r="X3993" t="s">
        <v>45102</v>
      </c>
    </row>
    <row r="3994" spans="1:24">
      <c r="A3994">
        <f>HYPERLINK("https://www.philgeps.gov.ph/GEPSNONPILOT/Tender/SplashBidNoticeAbstractUI.aspx?menuIndex=3&amp;refID=7041480&amp;Result=3","7041480")</f>
        <v>0</v>
      </c>
      <c r="B3994" t="s">
        <v>1404</v>
      </c>
      <c r="C3994" t="s">
        <v>7011</v>
      </c>
      <c r="D3994" t="s">
        <v>18026</v>
      </c>
      <c r="E3994" t="s">
        <v>21686</v>
      </c>
      <c r="F3994" t="s">
        <v>31574</v>
      </c>
      <c r="G3994" t="s">
        <v>31581</v>
      </c>
      <c r="H3994" t="s">
        <v>31592</v>
      </c>
      <c r="I3994" t="s">
        <v>4677</v>
      </c>
      <c r="J3994" t="s">
        <v>33954</v>
      </c>
      <c r="K3994" t="s">
        <v>41225</v>
      </c>
      <c r="M3994" t="s">
        <v>42979</v>
      </c>
      <c r="N3994" t="s">
        <v>45095</v>
      </c>
      <c r="O3994" t="s">
        <v>45096</v>
      </c>
      <c r="P3994">
        <v>0</v>
      </c>
      <c r="Q3994">
        <v>3</v>
      </c>
      <c r="R3994" t="s">
        <v>45101</v>
      </c>
      <c r="S3994" t="s">
        <v>45231</v>
      </c>
      <c r="T3994" t="s">
        <v>47203</v>
      </c>
      <c r="U3994" t="s">
        <v>50875</v>
      </c>
      <c r="V3994" t="s">
        <v>60249</v>
      </c>
      <c r="W3994" t="s">
        <v>42979</v>
      </c>
      <c r="X3994" t="s">
        <v>45102</v>
      </c>
    </row>
    <row r="3995" spans="1:24">
      <c r="A3995">
        <f>HYPERLINK("https://www.philgeps.gov.ph/GEPSNONPILOT/Tender/SplashBidNoticeAbstractUI.aspx?menuIndex=3&amp;refID=7041477&amp;Result=3","7041477")</f>
        <v>0</v>
      </c>
      <c r="B3995" t="s">
        <v>1394</v>
      </c>
      <c r="C3995" t="s">
        <v>7012</v>
      </c>
      <c r="D3995" t="s">
        <v>18022</v>
      </c>
      <c r="E3995" t="s">
        <v>21687</v>
      </c>
      <c r="F3995" t="s">
        <v>31574</v>
      </c>
      <c r="G3995" t="s">
        <v>31581</v>
      </c>
      <c r="H3995" t="s">
        <v>31590</v>
      </c>
      <c r="I3995" t="s">
        <v>4046</v>
      </c>
      <c r="J3995" t="s">
        <v>32167</v>
      </c>
      <c r="K3995" t="s">
        <v>41213</v>
      </c>
      <c r="M3995" t="s">
        <v>42969</v>
      </c>
      <c r="N3995" t="s">
        <v>45095</v>
      </c>
      <c r="O3995" t="s">
        <v>45096</v>
      </c>
      <c r="P3995">
        <v>0</v>
      </c>
      <c r="Q3995">
        <v>3</v>
      </c>
      <c r="R3995" t="s">
        <v>45101</v>
      </c>
      <c r="S3995" t="s">
        <v>45231</v>
      </c>
      <c r="T3995" t="s">
        <v>46969</v>
      </c>
      <c r="U3995" t="s">
        <v>50876</v>
      </c>
      <c r="W3995" t="s">
        <v>42969</v>
      </c>
      <c r="X3995" t="s">
        <v>45102</v>
      </c>
    </row>
    <row r="3996" spans="1:24">
      <c r="A3996">
        <f>HYPERLINK("https://www.philgeps.gov.ph/GEPSNONPILOT/Tender/SplashBidNoticeAbstractUI.aspx?menuIndex=3&amp;refID=7041479&amp;Result=3","7041479")</f>
        <v>0</v>
      </c>
      <c r="B3996" t="s">
        <v>201</v>
      </c>
      <c r="C3996" t="s">
        <v>7013</v>
      </c>
      <c r="D3996" t="s">
        <v>18045</v>
      </c>
      <c r="E3996" t="s">
        <v>21688</v>
      </c>
      <c r="F3996" t="s">
        <v>31574</v>
      </c>
      <c r="G3996" t="s">
        <v>31583</v>
      </c>
      <c r="H3996" t="s">
        <v>31590</v>
      </c>
      <c r="I3996" t="s">
        <v>3489</v>
      </c>
      <c r="J3996" t="s">
        <v>34397</v>
      </c>
      <c r="K3996" t="s">
        <v>41184</v>
      </c>
      <c r="M3996" t="s">
        <v>41686</v>
      </c>
      <c r="N3996" t="s">
        <v>45095</v>
      </c>
      <c r="O3996" t="s">
        <v>45096</v>
      </c>
      <c r="P3996">
        <v>0</v>
      </c>
      <c r="Q3996">
        <v>1</v>
      </c>
      <c r="R3996" t="s">
        <v>45101</v>
      </c>
      <c r="S3996" t="s">
        <v>45231</v>
      </c>
      <c r="T3996" t="s">
        <v>47154</v>
      </c>
      <c r="U3996" t="s">
        <v>50877</v>
      </c>
      <c r="W3996" t="s">
        <v>41686</v>
      </c>
      <c r="X3996" t="s">
        <v>45102</v>
      </c>
    </row>
    <row r="3997" spans="1:24">
      <c r="A3997">
        <f>HYPERLINK("https://www.philgeps.gov.ph/GEPSNONPILOT/Tender/SplashBidNoticeAbstractUI.aspx?menuIndex=3&amp;refID=7041496&amp;Result=3","7041496")</f>
        <v>0</v>
      </c>
      <c r="B3997" t="s">
        <v>1131</v>
      </c>
      <c r="C3997" t="s">
        <v>7014</v>
      </c>
      <c r="D3997" t="s">
        <v>18071</v>
      </c>
      <c r="E3997" t="s">
        <v>21689</v>
      </c>
      <c r="F3997" t="s">
        <v>31574</v>
      </c>
      <c r="G3997" t="s">
        <v>31581</v>
      </c>
      <c r="H3997" t="s">
        <v>31590</v>
      </c>
      <c r="I3997" t="s">
        <v>31594</v>
      </c>
      <c r="J3997" t="s">
        <v>34398</v>
      </c>
      <c r="K3997" t="s">
        <v>41186</v>
      </c>
      <c r="M3997" t="s">
        <v>42682</v>
      </c>
      <c r="N3997" t="s">
        <v>45095</v>
      </c>
      <c r="O3997" t="s">
        <v>45096</v>
      </c>
      <c r="P3997">
        <v>0</v>
      </c>
      <c r="Q3997">
        <v>2</v>
      </c>
      <c r="R3997" t="s">
        <v>45101</v>
      </c>
      <c r="S3997" t="s">
        <v>45231</v>
      </c>
      <c r="T3997" t="s">
        <v>47064</v>
      </c>
      <c r="U3997" t="s">
        <v>50878</v>
      </c>
      <c r="W3997" t="s">
        <v>42682</v>
      </c>
      <c r="X3997" t="s">
        <v>45102</v>
      </c>
    </row>
    <row r="3998" spans="1:24">
      <c r="A3998">
        <f>HYPERLINK("https://www.philgeps.gov.ph/GEPSNONPILOT/Tender/SplashBidNoticeAbstractUI.aspx?menuIndex=3&amp;refID=7041489&amp;Result=3","7041489")</f>
        <v>0</v>
      </c>
      <c r="B3998" t="s">
        <v>66</v>
      </c>
      <c r="C3998" t="s">
        <v>7015</v>
      </c>
      <c r="D3998" t="s">
        <v>18050</v>
      </c>
      <c r="E3998" t="s">
        <v>21690</v>
      </c>
      <c r="F3998" t="s">
        <v>31574</v>
      </c>
      <c r="G3998" t="s">
        <v>31581</v>
      </c>
      <c r="H3998" t="s">
        <v>31590</v>
      </c>
      <c r="I3998" t="s">
        <v>31602</v>
      </c>
      <c r="J3998" t="s">
        <v>34399</v>
      </c>
      <c r="K3998" t="s">
        <v>41190</v>
      </c>
      <c r="L3998" t="s">
        <v>66</v>
      </c>
      <c r="M3998" t="s">
        <v>41550</v>
      </c>
      <c r="N3998" t="s">
        <v>45095</v>
      </c>
      <c r="O3998" t="s">
        <v>45096</v>
      </c>
      <c r="P3998">
        <v>0</v>
      </c>
      <c r="Q3998">
        <v>0</v>
      </c>
      <c r="R3998" t="s">
        <v>45101</v>
      </c>
      <c r="S3998" t="s">
        <v>45231</v>
      </c>
      <c r="T3998" t="s">
        <v>47162</v>
      </c>
      <c r="U3998" t="s">
        <v>50879</v>
      </c>
      <c r="V3998" t="s">
        <v>60241</v>
      </c>
      <c r="W3998" t="s">
        <v>41550</v>
      </c>
      <c r="X3998" t="s">
        <v>45102</v>
      </c>
    </row>
    <row r="3999" spans="1:24">
      <c r="A3999">
        <f>HYPERLINK("https://www.philgeps.gov.ph/GEPSNONPILOT/Tender/SplashBidNoticeAbstractUI.aspx?menuIndex=3&amp;refID=7041503&amp;Result=3","7041503")</f>
        <v>0</v>
      </c>
      <c r="B3999" t="s">
        <v>66</v>
      </c>
      <c r="C3999" t="s">
        <v>7016</v>
      </c>
      <c r="D3999" t="s">
        <v>18050</v>
      </c>
      <c r="E3999" t="s">
        <v>21691</v>
      </c>
      <c r="F3999" t="s">
        <v>31574</v>
      </c>
      <c r="G3999" t="s">
        <v>31581</v>
      </c>
      <c r="H3999" t="s">
        <v>31590</v>
      </c>
      <c r="I3999" t="s">
        <v>4046</v>
      </c>
      <c r="J3999" t="s">
        <v>34400</v>
      </c>
      <c r="K3999" t="s">
        <v>41190</v>
      </c>
      <c r="L3999" t="s">
        <v>66</v>
      </c>
      <c r="M3999" t="s">
        <v>41550</v>
      </c>
      <c r="N3999" t="s">
        <v>45095</v>
      </c>
      <c r="O3999" t="s">
        <v>45096</v>
      </c>
      <c r="P3999">
        <v>0</v>
      </c>
      <c r="Q3999">
        <v>0</v>
      </c>
      <c r="R3999" t="s">
        <v>45101</v>
      </c>
      <c r="S3999" t="s">
        <v>45231</v>
      </c>
      <c r="T3999" t="s">
        <v>47162</v>
      </c>
      <c r="U3999" t="s">
        <v>50880</v>
      </c>
      <c r="V3999" t="s">
        <v>60241</v>
      </c>
      <c r="W3999" t="s">
        <v>41550</v>
      </c>
      <c r="X3999" t="s">
        <v>45102</v>
      </c>
    </row>
    <row r="4000" spans="1:24">
      <c r="A4000">
        <f>HYPERLINK("https://www.philgeps.gov.ph/GEPSNONPILOT/Tender/SplashBidNoticeAbstractUI.aspx?menuIndex=3&amp;refID=7041491&amp;Result=3","7041491")</f>
        <v>0</v>
      </c>
      <c r="B4000" t="s">
        <v>1405</v>
      </c>
      <c r="C4000" t="s">
        <v>7017</v>
      </c>
      <c r="E4000" t="s">
        <v>21692</v>
      </c>
      <c r="F4000" t="s">
        <v>31574</v>
      </c>
      <c r="G4000" t="s">
        <v>31583</v>
      </c>
      <c r="H4000" t="s">
        <v>31590</v>
      </c>
      <c r="I4000" t="s">
        <v>31595</v>
      </c>
      <c r="J4000" t="s">
        <v>31931</v>
      </c>
      <c r="K4000" t="s">
        <v>41184</v>
      </c>
      <c r="M4000" t="s">
        <v>42980</v>
      </c>
      <c r="N4000" t="s">
        <v>45095</v>
      </c>
      <c r="O4000" t="s">
        <v>45096</v>
      </c>
      <c r="P4000">
        <v>0</v>
      </c>
      <c r="Q4000">
        <v>5</v>
      </c>
      <c r="R4000" t="s">
        <v>45101</v>
      </c>
      <c r="S4000" t="s">
        <v>45231</v>
      </c>
      <c r="T4000" t="s">
        <v>47158</v>
      </c>
      <c r="U4000" t="s">
        <v>50881</v>
      </c>
      <c r="W4000" t="s">
        <v>61700</v>
      </c>
      <c r="X4000" t="s">
        <v>45102</v>
      </c>
    </row>
    <row r="4001" spans="1:24">
      <c r="A4001">
        <f>HYPERLINK("https://www.philgeps.gov.ph/GEPSNONPILOT/Tender/SplashBidNoticeAbstractUI.aspx?menuIndex=3&amp;refID=7041481&amp;Result=3","7041481")</f>
        <v>0</v>
      </c>
      <c r="B4001" t="s">
        <v>1131</v>
      </c>
      <c r="C4001" t="s">
        <v>7018</v>
      </c>
      <c r="D4001" t="s">
        <v>18071</v>
      </c>
      <c r="E4001" t="s">
        <v>21693</v>
      </c>
      <c r="F4001" t="s">
        <v>31574</v>
      </c>
      <c r="G4001" t="s">
        <v>31581</v>
      </c>
      <c r="H4001" t="s">
        <v>31590</v>
      </c>
      <c r="I4001" t="s">
        <v>31599</v>
      </c>
      <c r="J4001" t="s">
        <v>34401</v>
      </c>
      <c r="K4001" t="s">
        <v>41191</v>
      </c>
      <c r="M4001" t="s">
        <v>42682</v>
      </c>
      <c r="N4001" t="s">
        <v>45095</v>
      </c>
      <c r="O4001" t="s">
        <v>45096</v>
      </c>
      <c r="P4001">
        <v>0</v>
      </c>
      <c r="Q4001">
        <v>0</v>
      </c>
      <c r="R4001" t="s">
        <v>45101</v>
      </c>
      <c r="S4001" t="s">
        <v>45231</v>
      </c>
      <c r="T4001" t="s">
        <v>47064</v>
      </c>
      <c r="U4001" t="s">
        <v>50882</v>
      </c>
      <c r="W4001" t="s">
        <v>42682</v>
      </c>
      <c r="X4001" t="s">
        <v>45102</v>
      </c>
    </row>
    <row r="4002" spans="1:24">
      <c r="A4002">
        <f>HYPERLINK("https://www.philgeps.gov.ph/GEPSNONPILOT/Tender/SplashBidNoticeAbstractUI.aspx?menuIndex=3&amp;refID=7041526&amp;Result=3","7041526")</f>
        <v>0</v>
      </c>
      <c r="B4002" t="s">
        <v>1338</v>
      </c>
      <c r="C4002" t="s">
        <v>7019</v>
      </c>
      <c r="D4002" t="s">
        <v>18043</v>
      </c>
      <c r="E4002" t="s">
        <v>21694</v>
      </c>
      <c r="F4002" t="s">
        <v>31574</v>
      </c>
      <c r="G4002" t="s">
        <v>31584</v>
      </c>
      <c r="H4002" t="s">
        <v>31590</v>
      </c>
      <c r="I4002" t="s">
        <v>31602</v>
      </c>
      <c r="J4002" t="s">
        <v>34144</v>
      </c>
      <c r="K4002" t="s">
        <v>41186</v>
      </c>
      <c r="M4002" t="s">
        <v>42910</v>
      </c>
      <c r="N4002" t="s">
        <v>45095</v>
      </c>
      <c r="O4002" t="s">
        <v>45096</v>
      </c>
      <c r="P4002">
        <v>0</v>
      </c>
      <c r="Q4002">
        <v>2</v>
      </c>
      <c r="R4002" t="s">
        <v>45101</v>
      </c>
      <c r="S4002" t="s">
        <v>45231</v>
      </c>
      <c r="T4002" t="s">
        <v>46969</v>
      </c>
      <c r="U4002" t="s">
        <v>50883</v>
      </c>
      <c r="V4002" t="s">
        <v>60224</v>
      </c>
      <c r="W4002" t="s">
        <v>42910</v>
      </c>
      <c r="X4002" t="s">
        <v>45102</v>
      </c>
    </row>
    <row r="4003" spans="1:24">
      <c r="A4003">
        <f>HYPERLINK("https://www.philgeps.gov.ph/GEPSNONPILOT/Tender/SplashBidNoticeAbstractUI.aspx?menuIndex=3&amp;refID=7041521&amp;Result=3","7041521")</f>
        <v>0</v>
      </c>
      <c r="B4003" t="s">
        <v>1397</v>
      </c>
      <c r="C4003" t="s">
        <v>7020</v>
      </c>
      <c r="D4003" t="s">
        <v>18040</v>
      </c>
      <c r="E4003" t="s">
        <v>21695</v>
      </c>
      <c r="F4003" t="s">
        <v>31574</v>
      </c>
      <c r="G4003" t="s">
        <v>31582</v>
      </c>
      <c r="H4003" t="s">
        <v>31591</v>
      </c>
      <c r="I4003" t="s">
        <v>8822</v>
      </c>
      <c r="J4003" t="s">
        <v>32510</v>
      </c>
      <c r="K4003" t="s">
        <v>41184</v>
      </c>
      <c r="M4003" t="s">
        <v>42972</v>
      </c>
      <c r="N4003" t="s">
        <v>45095</v>
      </c>
      <c r="O4003" t="s">
        <v>45096</v>
      </c>
      <c r="P4003">
        <v>0</v>
      </c>
      <c r="Q4003">
        <v>0</v>
      </c>
      <c r="R4003" t="s">
        <v>45101</v>
      </c>
      <c r="S4003" t="s">
        <v>45231</v>
      </c>
      <c r="T4003" t="s">
        <v>46911</v>
      </c>
      <c r="U4003" t="s">
        <v>50884</v>
      </c>
      <c r="W4003" t="s">
        <v>42972</v>
      </c>
      <c r="X4003" t="s">
        <v>45102</v>
      </c>
    </row>
    <row r="4004" spans="1:24">
      <c r="A4004">
        <f>HYPERLINK("https://www.philgeps.gov.ph/GEPSNONPILOT/Tender/SplashBidNoticeAbstractUI.aspx?menuIndex=3&amp;refID=7041513&amp;Result=3","7041513")</f>
        <v>0</v>
      </c>
      <c r="B4004" t="s">
        <v>631</v>
      </c>
      <c r="C4004" t="s">
        <v>7021</v>
      </c>
      <c r="D4004" t="s">
        <v>18022</v>
      </c>
      <c r="E4004" t="s">
        <v>21696</v>
      </c>
      <c r="F4004" t="s">
        <v>31574</v>
      </c>
      <c r="G4004" t="s">
        <v>31581</v>
      </c>
      <c r="H4004" t="s">
        <v>31590</v>
      </c>
      <c r="I4004" t="s">
        <v>31612</v>
      </c>
      <c r="J4004" t="s">
        <v>34402</v>
      </c>
      <c r="K4004" t="s">
        <v>41196</v>
      </c>
      <c r="M4004" t="s">
        <v>42981</v>
      </c>
      <c r="N4004" t="s">
        <v>45095</v>
      </c>
      <c r="O4004" t="s">
        <v>45096</v>
      </c>
      <c r="P4004">
        <v>0</v>
      </c>
      <c r="Q4004">
        <v>4</v>
      </c>
      <c r="R4004" t="s">
        <v>45101</v>
      </c>
      <c r="S4004" t="s">
        <v>45231</v>
      </c>
      <c r="T4004" t="s">
        <v>46904</v>
      </c>
      <c r="U4004" t="s">
        <v>50885</v>
      </c>
      <c r="W4004" t="s">
        <v>42981</v>
      </c>
      <c r="X4004" t="s">
        <v>45102</v>
      </c>
    </row>
    <row r="4005" spans="1:24">
      <c r="A4005">
        <f>HYPERLINK("https://www.philgeps.gov.ph/GEPSNONPILOT/Tender/SplashBidNoticeAbstractUI.aspx?menuIndex=3&amp;refID=7041519&amp;Result=3","7041519")</f>
        <v>0</v>
      </c>
      <c r="B4005" t="s">
        <v>1406</v>
      </c>
      <c r="C4005" t="s">
        <v>7022</v>
      </c>
      <c r="D4005" t="s">
        <v>18071</v>
      </c>
      <c r="E4005" t="s">
        <v>21697</v>
      </c>
      <c r="F4005" t="s">
        <v>31574</v>
      </c>
      <c r="G4005" t="s">
        <v>31583</v>
      </c>
      <c r="H4005" t="s">
        <v>31590</v>
      </c>
      <c r="I4005" t="s">
        <v>31604</v>
      </c>
      <c r="J4005" t="s">
        <v>32017</v>
      </c>
      <c r="K4005" t="s">
        <v>41197</v>
      </c>
      <c r="M4005" t="s">
        <v>42982</v>
      </c>
      <c r="N4005" t="s">
        <v>45095</v>
      </c>
      <c r="O4005" t="s">
        <v>45096</v>
      </c>
      <c r="P4005">
        <v>0</v>
      </c>
      <c r="Q4005">
        <v>0</v>
      </c>
      <c r="R4005" t="s">
        <v>45101</v>
      </c>
      <c r="S4005" t="s">
        <v>45231</v>
      </c>
      <c r="T4005" t="s">
        <v>47050</v>
      </c>
      <c r="U4005" t="s">
        <v>50886</v>
      </c>
      <c r="V4005" t="s">
        <v>60250</v>
      </c>
      <c r="W4005" t="s">
        <v>42982</v>
      </c>
      <c r="X4005" t="s">
        <v>45102</v>
      </c>
    </row>
    <row r="4006" spans="1:24">
      <c r="A4006">
        <f>HYPERLINK("https://www.philgeps.gov.ph/GEPSNONPILOT/Tender/SplashBidNoticeAbstractUI.aspx?menuIndex=3&amp;refID=7041516&amp;Result=3","7041516")</f>
        <v>0</v>
      </c>
      <c r="B4006" t="s">
        <v>500</v>
      </c>
      <c r="C4006" t="s">
        <v>7023</v>
      </c>
      <c r="D4006" t="s">
        <v>18100</v>
      </c>
      <c r="E4006" t="s">
        <v>19191</v>
      </c>
      <c r="F4006" t="s">
        <v>31574</v>
      </c>
      <c r="G4006" t="s">
        <v>31582</v>
      </c>
      <c r="H4006" t="s">
        <v>31590</v>
      </c>
      <c r="I4006" t="s">
        <v>3487</v>
      </c>
      <c r="J4006" t="s">
        <v>34403</v>
      </c>
      <c r="K4006" t="s">
        <v>41184</v>
      </c>
      <c r="M4006" t="s">
        <v>41996</v>
      </c>
      <c r="N4006" t="s">
        <v>45095</v>
      </c>
      <c r="O4006" t="s">
        <v>45096</v>
      </c>
      <c r="P4006">
        <v>0</v>
      </c>
      <c r="Q4006">
        <v>0</v>
      </c>
      <c r="R4006" t="s">
        <v>45101</v>
      </c>
      <c r="S4006" t="s">
        <v>45231</v>
      </c>
      <c r="T4006" t="s">
        <v>46937</v>
      </c>
      <c r="U4006" t="s">
        <v>50887</v>
      </c>
      <c r="W4006" t="s">
        <v>41996</v>
      </c>
      <c r="X4006" t="s">
        <v>45102</v>
      </c>
    </row>
    <row r="4007" spans="1:24">
      <c r="A4007">
        <f>HYPERLINK("https://www.philgeps.gov.ph/GEPSNONPILOT/Tender/SplashBidNoticeAbstractUI.aspx?menuIndex=3&amp;refID=7041530&amp;Result=3","7041530")</f>
        <v>0</v>
      </c>
      <c r="B4007" t="s">
        <v>1338</v>
      </c>
      <c r="C4007" t="s">
        <v>7024</v>
      </c>
      <c r="D4007" t="s">
        <v>18043</v>
      </c>
      <c r="E4007" t="s">
        <v>21698</v>
      </c>
      <c r="F4007" t="s">
        <v>31574</v>
      </c>
      <c r="G4007" t="s">
        <v>31581</v>
      </c>
      <c r="H4007" t="s">
        <v>31590</v>
      </c>
      <c r="I4007" t="s">
        <v>31638</v>
      </c>
      <c r="J4007" t="s">
        <v>32019</v>
      </c>
      <c r="K4007" t="s">
        <v>41186</v>
      </c>
      <c r="M4007" t="s">
        <v>42910</v>
      </c>
      <c r="N4007" t="s">
        <v>45095</v>
      </c>
      <c r="O4007" t="s">
        <v>45096</v>
      </c>
      <c r="P4007">
        <v>0</v>
      </c>
      <c r="Q4007">
        <v>0</v>
      </c>
      <c r="R4007" t="s">
        <v>45101</v>
      </c>
      <c r="S4007" t="s">
        <v>45231</v>
      </c>
      <c r="T4007" t="s">
        <v>46969</v>
      </c>
      <c r="U4007" t="s">
        <v>50888</v>
      </c>
      <c r="V4007" t="s">
        <v>60224</v>
      </c>
      <c r="W4007" t="s">
        <v>42910</v>
      </c>
      <c r="X4007" t="s">
        <v>45102</v>
      </c>
    </row>
    <row r="4008" spans="1:24">
      <c r="A4008">
        <f>HYPERLINK("https://www.philgeps.gov.ph/GEPSNONPILOT/Tender/SplashBidNoticeAbstractUI.aspx?menuIndex=3&amp;refID=7041522&amp;Result=3","7041522")</f>
        <v>0</v>
      </c>
      <c r="B4008" t="s">
        <v>1327</v>
      </c>
      <c r="C4008" t="s">
        <v>7025</v>
      </c>
      <c r="E4008" t="s">
        <v>7025</v>
      </c>
      <c r="F4008" t="s">
        <v>31574</v>
      </c>
      <c r="G4008" t="s">
        <v>31581</v>
      </c>
      <c r="H4008" t="s">
        <v>31590</v>
      </c>
      <c r="I4008" t="s">
        <v>7185</v>
      </c>
      <c r="J4008" t="s">
        <v>34404</v>
      </c>
      <c r="K4008" t="s">
        <v>41193</v>
      </c>
      <c r="M4008" t="s">
        <v>42897</v>
      </c>
      <c r="N4008" t="s">
        <v>45095</v>
      </c>
      <c r="O4008" t="s">
        <v>45096</v>
      </c>
      <c r="P4008">
        <v>0</v>
      </c>
      <c r="Q4008">
        <v>0</v>
      </c>
      <c r="R4008" t="s">
        <v>45101</v>
      </c>
      <c r="S4008" t="s">
        <v>45231</v>
      </c>
      <c r="T4008" t="s">
        <v>47154</v>
      </c>
      <c r="U4008" t="s">
        <v>50889</v>
      </c>
      <c r="W4008" t="s">
        <v>42897</v>
      </c>
      <c r="X4008" t="s">
        <v>45102</v>
      </c>
    </row>
    <row r="4009" spans="1:24">
      <c r="A4009">
        <f>HYPERLINK("https://www.philgeps.gov.ph/GEPSNONPILOT/Tender/SplashBidNoticeAbstractUI.aspx?menuIndex=3&amp;refID=7041544&amp;Result=3","7041544")</f>
        <v>0</v>
      </c>
      <c r="B4009" t="s">
        <v>1338</v>
      </c>
      <c r="C4009" t="s">
        <v>7026</v>
      </c>
      <c r="D4009" t="s">
        <v>18043</v>
      </c>
      <c r="E4009" t="s">
        <v>21699</v>
      </c>
      <c r="F4009" t="s">
        <v>31574</v>
      </c>
      <c r="G4009" t="s">
        <v>31584</v>
      </c>
      <c r="H4009" t="s">
        <v>31590</v>
      </c>
      <c r="I4009" t="s">
        <v>31647</v>
      </c>
      <c r="J4009" t="s">
        <v>31947</v>
      </c>
      <c r="K4009" t="s">
        <v>41186</v>
      </c>
      <c r="M4009" t="s">
        <v>42910</v>
      </c>
      <c r="N4009" t="s">
        <v>45095</v>
      </c>
      <c r="O4009" t="s">
        <v>45096</v>
      </c>
      <c r="P4009">
        <v>0</v>
      </c>
      <c r="Q4009">
        <v>1</v>
      </c>
      <c r="R4009" t="s">
        <v>45101</v>
      </c>
      <c r="S4009" t="s">
        <v>45231</v>
      </c>
      <c r="T4009" t="s">
        <v>46969</v>
      </c>
      <c r="U4009" t="s">
        <v>50890</v>
      </c>
      <c r="V4009" t="s">
        <v>60224</v>
      </c>
      <c r="W4009" t="s">
        <v>42910</v>
      </c>
      <c r="X4009" t="s">
        <v>45102</v>
      </c>
    </row>
    <row r="4010" spans="1:24">
      <c r="A4010">
        <f>HYPERLINK("https://www.philgeps.gov.ph/GEPSNONPILOT/Tender/SplashBidNoticeAbstractUI.aspx?menuIndex=3&amp;refID=7041514&amp;Result=3","7041514")</f>
        <v>0</v>
      </c>
      <c r="B4010" t="s">
        <v>1338</v>
      </c>
      <c r="C4010" t="s">
        <v>7027</v>
      </c>
      <c r="D4010" t="s">
        <v>18043</v>
      </c>
      <c r="E4010" t="s">
        <v>21700</v>
      </c>
      <c r="F4010" t="s">
        <v>31574</v>
      </c>
      <c r="G4010" t="s">
        <v>31581</v>
      </c>
      <c r="H4010" t="s">
        <v>31590</v>
      </c>
      <c r="I4010" t="s">
        <v>31645</v>
      </c>
      <c r="J4010" t="s">
        <v>33228</v>
      </c>
      <c r="K4010" t="s">
        <v>41186</v>
      </c>
      <c r="M4010" t="s">
        <v>42910</v>
      </c>
      <c r="N4010" t="s">
        <v>45095</v>
      </c>
      <c r="O4010" t="s">
        <v>45096</v>
      </c>
      <c r="P4010">
        <v>0</v>
      </c>
      <c r="Q4010">
        <v>1</v>
      </c>
      <c r="R4010" t="s">
        <v>45101</v>
      </c>
      <c r="S4010" t="s">
        <v>45231</v>
      </c>
      <c r="T4010" t="s">
        <v>46969</v>
      </c>
      <c r="U4010" t="s">
        <v>50891</v>
      </c>
      <c r="V4010" t="s">
        <v>60224</v>
      </c>
      <c r="W4010" t="s">
        <v>42910</v>
      </c>
      <c r="X4010" t="s">
        <v>45102</v>
      </c>
    </row>
    <row r="4011" spans="1:24">
      <c r="A4011">
        <f>HYPERLINK("https://www.philgeps.gov.ph/GEPSNONPILOT/Tender/SplashBidNoticeAbstractUI.aspx?menuIndex=3&amp;refID=7041546&amp;Result=3","7041546")</f>
        <v>0</v>
      </c>
      <c r="B4011" t="s">
        <v>1407</v>
      </c>
      <c r="C4011" t="s">
        <v>7028</v>
      </c>
      <c r="E4011" t="s">
        <v>21701</v>
      </c>
      <c r="F4011" t="s">
        <v>31574</v>
      </c>
      <c r="G4011" t="s">
        <v>31585</v>
      </c>
      <c r="H4011" t="s">
        <v>31590</v>
      </c>
      <c r="I4011" t="s">
        <v>31699</v>
      </c>
      <c r="J4011" t="s">
        <v>34405</v>
      </c>
      <c r="K4011" t="s">
        <v>41184</v>
      </c>
      <c r="M4011" t="s">
        <v>42983</v>
      </c>
      <c r="N4011" t="s">
        <v>45095</v>
      </c>
      <c r="O4011" t="s">
        <v>45096</v>
      </c>
      <c r="P4011">
        <v>0</v>
      </c>
      <c r="Q4011">
        <v>4</v>
      </c>
      <c r="R4011" t="s">
        <v>45101</v>
      </c>
      <c r="S4011" t="s">
        <v>45231</v>
      </c>
      <c r="T4011" t="s">
        <v>46996</v>
      </c>
      <c r="U4011" t="s">
        <v>50892</v>
      </c>
      <c r="W4011" t="s">
        <v>42983</v>
      </c>
      <c r="X4011" t="s">
        <v>45102</v>
      </c>
    </row>
    <row r="4012" spans="1:24">
      <c r="A4012">
        <f>HYPERLINK("https://www.philgeps.gov.ph/GEPSNONPILOT/Tender/SplashBidNoticeAbstractUI.aspx?menuIndex=3&amp;refID=7041523&amp;Result=3","7041523")</f>
        <v>0</v>
      </c>
      <c r="B4012" t="s">
        <v>348</v>
      </c>
      <c r="C4012" t="s">
        <v>7029</v>
      </c>
      <c r="D4012" t="s">
        <v>18065</v>
      </c>
      <c r="E4012" t="s">
        <v>21702</v>
      </c>
      <c r="F4012" t="s">
        <v>31574</v>
      </c>
      <c r="G4012" t="s">
        <v>31583</v>
      </c>
      <c r="H4012" t="s">
        <v>31590</v>
      </c>
      <c r="I4012" t="s">
        <v>5717</v>
      </c>
      <c r="J4012" t="s">
        <v>34406</v>
      </c>
      <c r="K4012" t="s">
        <v>41186</v>
      </c>
      <c r="M4012" t="s">
        <v>41836</v>
      </c>
      <c r="N4012" t="s">
        <v>45095</v>
      </c>
      <c r="O4012" t="s">
        <v>45096</v>
      </c>
      <c r="P4012">
        <v>0</v>
      </c>
      <c r="Q4012">
        <v>3</v>
      </c>
      <c r="R4012" t="s">
        <v>45101</v>
      </c>
      <c r="S4012" t="s">
        <v>45231</v>
      </c>
      <c r="T4012" t="s">
        <v>46957</v>
      </c>
      <c r="U4012" t="s">
        <v>48153</v>
      </c>
      <c r="W4012" t="s">
        <v>41836</v>
      </c>
      <c r="X4012" t="s">
        <v>45102</v>
      </c>
    </row>
    <row r="4013" spans="1:24">
      <c r="A4013">
        <f>HYPERLINK("https://www.philgeps.gov.ph/GEPSNONPILOT/Tender/SplashBidNoticeAbstractUI.aspx?menuIndex=3&amp;refID=7041542&amp;Result=3","7041542")</f>
        <v>0</v>
      </c>
      <c r="B4013" t="s">
        <v>299</v>
      </c>
      <c r="C4013" t="s">
        <v>7030</v>
      </c>
      <c r="D4013" t="s">
        <v>18081</v>
      </c>
      <c r="E4013" t="s">
        <v>21703</v>
      </c>
      <c r="F4013" t="s">
        <v>31574</v>
      </c>
      <c r="G4013" t="s">
        <v>31581</v>
      </c>
      <c r="H4013" t="s">
        <v>31590</v>
      </c>
      <c r="I4013" t="s">
        <v>31602</v>
      </c>
      <c r="J4013" t="s">
        <v>34407</v>
      </c>
      <c r="K4013" t="s">
        <v>41196</v>
      </c>
      <c r="M4013" t="s">
        <v>41785</v>
      </c>
      <c r="N4013" t="s">
        <v>45095</v>
      </c>
      <c r="O4013" t="s">
        <v>45096</v>
      </c>
      <c r="P4013">
        <v>0</v>
      </c>
      <c r="Q4013">
        <v>0</v>
      </c>
      <c r="R4013" t="s">
        <v>45101</v>
      </c>
      <c r="S4013" t="s">
        <v>45231</v>
      </c>
      <c r="T4013" t="s">
        <v>47064</v>
      </c>
      <c r="U4013" t="s">
        <v>50893</v>
      </c>
      <c r="V4013" t="s">
        <v>60251</v>
      </c>
      <c r="W4013" t="s">
        <v>41785</v>
      </c>
      <c r="X4013" t="s">
        <v>45102</v>
      </c>
    </row>
    <row r="4014" spans="1:24">
      <c r="A4014">
        <f>HYPERLINK("https://www.philgeps.gov.ph/GEPSNONPILOT/Tender/SplashBidNoticeAbstractUI.aspx?menuIndex=3&amp;refID=7041535&amp;Result=3","7041535")</f>
        <v>0</v>
      </c>
      <c r="B4014" t="s">
        <v>1327</v>
      </c>
      <c r="C4014" t="s">
        <v>7031</v>
      </c>
      <c r="E4014" t="s">
        <v>7031</v>
      </c>
      <c r="F4014" t="s">
        <v>31574</v>
      </c>
      <c r="G4014" t="s">
        <v>31581</v>
      </c>
      <c r="H4014" t="s">
        <v>31590</v>
      </c>
      <c r="I4014" t="s">
        <v>7185</v>
      </c>
      <c r="J4014" t="s">
        <v>33056</v>
      </c>
      <c r="K4014" t="s">
        <v>41193</v>
      </c>
      <c r="M4014" t="s">
        <v>42897</v>
      </c>
      <c r="N4014" t="s">
        <v>45095</v>
      </c>
      <c r="O4014" t="s">
        <v>45096</v>
      </c>
      <c r="P4014">
        <v>0</v>
      </c>
      <c r="Q4014">
        <v>0</v>
      </c>
      <c r="R4014" t="s">
        <v>45101</v>
      </c>
      <c r="S4014" t="s">
        <v>45231</v>
      </c>
      <c r="T4014" t="s">
        <v>47154</v>
      </c>
      <c r="U4014" t="s">
        <v>50894</v>
      </c>
      <c r="W4014" t="s">
        <v>42897</v>
      </c>
      <c r="X4014" t="s">
        <v>45102</v>
      </c>
    </row>
    <row r="4015" spans="1:24">
      <c r="A4015">
        <f>HYPERLINK("https://www.philgeps.gov.ph/GEPSNONPILOT/Tender/SplashBidNoticeAbstractUI.aspx?menuIndex=3&amp;refID=7041541&amp;Result=3","7041541")</f>
        <v>0</v>
      </c>
      <c r="B4015" t="s">
        <v>1408</v>
      </c>
      <c r="C4015" t="s">
        <v>7032</v>
      </c>
      <c r="D4015" t="s">
        <v>18065</v>
      </c>
      <c r="E4015" t="s">
        <v>21704</v>
      </c>
      <c r="F4015" t="s">
        <v>31575</v>
      </c>
      <c r="G4015" t="s">
        <v>31581</v>
      </c>
      <c r="H4015" t="s">
        <v>31591</v>
      </c>
      <c r="I4015" t="s">
        <v>31638</v>
      </c>
      <c r="J4015" t="s">
        <v>31741</v>
      </c>
      <c r="K4015" t="s">
        <v>41184</v>
      </c>
      <c r="M4015" t="s">
        <v>42984</v>
      </c>
      <c r="N4015" t="s">
        <v>45095</v>
      </c>
      <c r="O4015" t="s">
        <v>45096</v>
      </c>
      <c r="P4015">
        <v>0</v>
      </c>
      <c r="Q4015">
        <v>0</v>
      </c>
      <c r="R4015" t="s">
        <v>45101</v>
      </c>
      <c r="S4015" t="s">
        <v>45231</v>
      </c>
      <c r="T4015" t="s">
        <v>46911</v>
      </c>
      <c r="U4015" t="s">
        <v>50895</v>
      </c>
      <c r="W4015" t="s">
        <v>42984</v>
      </c>
      <c r="X4015" t="s">
        <v>45102</v>
      </c>
    </row>
    <row r="4016" spans="1:24">
      <c r="A4016">
        <f>HYPERLINK("https://www.philgeps.gov.ph/GEPSNONPILOT/Tender/SplashBidNoticeAbstractUI.aspx?menuIndex=3&amp;refID=7041532&amp;Result=3","7041532")</f>
        <v>0</v>
      </c>
      <c r="B4016" t="s">
        <v>493</v>
      </c>
      <c r="C4016" t="s">
        <v>7033</v>
      </c>
      <c r="D4016" t="s">
        <v>18072</v>
      </c>
      <c r="E4016" t="s">
        <v>21705</v>
      </c>
      <c r="F4016" t="s">
        <v>31574</v>
      </c>
      <c r="G4016" t="s">
        <v>31582</v>
      </c>
      <c r="H4016" t="s">
        <v>31590</v>
      </c>
      <c r="I4016" t="s">
        <v>31615</v>
      </c>
      <c r="J4016" t="s">
        <v>34408</v>
      </c>
      <c r="K4016" t="s">
        <v>41186</v>
      </c>
      <c r="M4016" t="s">
        <v>41989</v>
      </c>
      <c r="N4016" t="s">
        <v>45095</v>
      </c>
      <c r="O4016" t="s">
        <v>45096</v>
      </c>
      <c r="P4016">
        <v>0</v>
      </c>
      <c r="Q4016">
        <v>3</v>
      </c>
      <c r="R4016" t="s">
        <v>45101</v>
      </c>
      <c r="S4016" t="s">
        <v>45231</v>
      </c>
      <c r="T4016" t="s">
        <v>47100</v>
      </c>
      <c r="U4016" t="s">
        <v>50896</v>
      </c>
      <c r="V4016" t="s">
        <v>59888</v>
      </c>
      <c r="W4016" t="s">
        <v>41989</v>
      </c>
      <c r="X4016" t="s">
        <v>45102</v>
      </c>
    </row>
    <row r="4017" spans="1:24">
      <c r="A4017">
        <f>HYPERLINK("https://www.philgeps.gov.ph/GEPSNONPILOT/Tender/SplashBidNoticeAbstractUI.aspx?menuIndex=3&amp;refID=7041533&amp;Result=3","7041533")</f>
        <v>0</v>
      </c>
      <c r="B4017" t="s">
        <v>274</v>
      </c>
      <c r="C4017" t="s">
        <v>7034</v>
      </c>
      <c r="D4017" t="s">
        <v>18071</v>
      </c>
      <c r="E4017" t="s">
        <v>21706</v>
      </c>
      <c r="F4017" t="s">
        <v>31574</v>
      </c>
      <c r="G4017" t="s">
        <v>31585</v>
      </c>
      <c r="H4017" t="s">
        <v>31590</v>
      </c>
      <c r="I4017" t="s">
        <v>4046</v>
      </c>
      <c r="J4017" t="s">
        <v>34409</v>
      </c>
      <c r="K4017" t="s">
        <v>41184</v>
      </c>
      <c r="M4017" t="s">
        <v>41760</v>
      </c>
      <c r="N4017" t="s">
        <v>45095</v>
      </c>
      <c r="O4017" t="s">
        <v>45096</v>
      </c>
      <c r="P4017">
        <v>0</v>
      </c>
      <c r="Q4017">
        <v>0</v>
      </c>
      <c r="R4017" t="s">
        <v>45101</v>
      </c>
      <c r="S4017" t="s">
        <v>45231</v>
      </c>
      <c r="T4017" t="s">
        <v>47154</v>
      </c>
      <c r="U4017" t="s">
        <v>50897</v>
      </c>
      <c r="W4017" t="s">
        <v>61660</v>
      </c>
      <c r="X4017" t="s">
        <v>45102</v>
      </c>
    </row>
    <row r="4018" spans="1:24">
      <c r="A4018">
        <f>HYPERLINK("https://www.philgeps.gov.ph/GEPSNONPILOT/Tender/SplashBidNoticeAbstractUI.aspx?menuIndex=3&amp;refID=7041537&amp;Result=3","7041537")</f>
        <v>0</v>
      </c>
      <c r="B4018" t="s">
        <v>1338</v>
      </c>
      <c r="C4018" t="s">
        <v>7035</v>
      </c>
      <c r="D4018" t="s">
        <v>18043</v>
      </c>
      <c r="E4018" t="s">
        <v>21707</v>
      </c>
      <c r="F4018" t="s">
        <v>31574</v>
      </c>
      <c r="G4018" t="s">
        <v>31584</v>
      </c>
      <c r="H4018" t="s">
        <v>31590</v>
      </c>
      <c r="I4018" t="s">
        <v>31602</v>
      </c>
      <c r="J4018" t="s">
        <v>31878</v>
      </c>
      <c r="K4018" t="s">
        <v>41186</v>
      </c>
      <c r="M4018" t="s">
        <v>42910</v>
      </c>
      <c r="N4018" t="s">
        <v>45095</v>
      </c>
      <c r="O4018" t="s">
        <v>45096</v>
      </c>
      <c r="P4018">
        <v>0</v>
      </c>
      <c r="Q4018">
        <v>0</v>
      </c>
      <c r="R4018" t="s">
        <v>45101</v>
      </c>
      <c r="S4018" t="s">
        <v>45231</v>
      </c>
      <c r="T4018" t="s">
        <v>46969</v>
      </c>
      <c r="U4018" t="s">
        <v>50898</v>
      </c>
      <c r="V4018" t="s">
        <v>60224</v>
      </c>
      <c r="W4018" t="s">
        <v>42910</v>
      </c>
      <c r="X4018" t="s">
        <v>45102</v>
      </c>
    </row>
    <row r="4019" spans="1:24">
      <c r="A4019">
        <f>HYPERLINK("https://www.philgeps.gov.ph/GEPSNONPILOT/Tender/SplashBidNoticeAbstractUI.aspx?menuIndex=3&amp;refID=7041540&amp;Result=3","7041540")</f>
        <v>0</v>
      </c>
      <c r="B4019" t="s">
        <v>1409</v>
      </c>
      <c r="C4019" t="s">
        <v>7036</v>
      </c>
      <c r="D4019" t="s">
        <v>18050</v>
      </c>
      <c r="E4019" t="s">
        <v>21708</v>
      </c>
      <c r="F4019" t="s">
        <v>31574</v>
      </c>
      <c r="G4019" t="s">
        <v>31583</v>
      </c>
      <c r="H4019" t="s">
        <v>31590</v>
      </c>
      <c r="I4019" t="s">
        <v>31595</v>
      </c>
      <c r="J4019" t="s">
        <v>34410</v>
      </c>
      <c r="K4019" t="s">
        <v>41186</v>
      </c>
      <c r="M4019" t="s">
        <v>42985</v>
      </c>
      <c r="N4019" t="s">
        <v>45095</v>
      </c>
      <c r="O4019" t="s">
        <v>45096</v>
      </c>
      <c r="P4019">
        <v>0</v>
      </c>
      <c r="Q4019">
        <v>2</v>
      </c>
      <c r="R4019" t="s">
        <v>45101</v>
      </c>
      <c r="S4019" t="s">
        <v>45231</v>
      </c>
      <c r="T4019" t="s">
        <v>46949</v>
      </c>
      <c r="U4019" t="s">
        <v>50899</v>
      </c>
      <c r="W4019" t="s">
        <v>42985</v>
      </c>
      <c r="X4019" t="s">
        <v>45102</v>
      </c>
    </row>
    <row r="4020" spans="1:24">
      <c r="A4020">
        <f>HYPERLINK("https://www.philgeps.gov.ph/GEPSNONPILOT/Tender/SplashBidNoticeAbstractUI.aspx?menuIndex=3&amp;refID=7041547&amp;Result=3","7041547")</f>
        <v>0</v>
      </c>
      <c r="B4020" t="s">
        <v>501</v>
      </c>
      <c r="C4020" t="s">
        <v>7037</v>
      </c>
      <c r="D4020" t="s">
        <v>18073</v>
      </c>
      <c r="E4020" t="s">
        <v>21709</v>
      </c>
      <c r="F4020" t="s">
        <v>31574</v>
      </c>
      <c r="G4020" t="s">
        <v>31581</v>
      </c>
      <c r="H4020" t="s">
        <v>31591</v>
      </c>
      <c r="I4020" t="s">
        <v>8822</v>
      </c>
      <c r="J4020" t="s">
        <v>31727</v>
      </c>
      <c r="K4020" t="s">
        <v>41186</v>
      </c>
      <c r="M4020" t="s">
        <v>41997</v>
      </c>
      <c r="N4020" t="s">
        <v>45095</v>
      </c>
      <c r="O4020" t="s">
        <v>45096</v>
      </c>
      <c r="P4020">
        <v>0</v>
      </c>
      <c r="Q4020">
        <v>0</v>
      </c>
      <c r="R4020" t="s">
        <v>45101</v>
      </c>
      <c r="S4020" t="s">
        <v>45231</v>
      </c>
      <c r="T4020" t="s">
        <v>47154</v>
      </c>
      <c r="U4020" t="s">
        <v>50900</v>
      </c>
      <c r="W4020" t="s">
        <v>41997</v>
      </c>
      <c r="X4020" t="s">
        <v>45102</v>
      </c>
    </row>
    <row r="4021" spans="1:24">
      <c r="A4021">
        <f>HYPERLINK("https://www.philgeps.gov.ph/GEPSNONPILOT/Tender/SplashBidNoticeAbstractUI.aspx?menuIndex=3&amp;refID=7041555&amp;Result=3","7041555")</f>
        <v>0</v>
      </c>
      <c r="B4021" t="s">
        <v>348</v>
      </c>
      <c r="C4021" t="s">
        <v>7038</v>
      </c>
      <c r="D4021" t="s">
        <v>18065</v>
      </c>
      <c r="E4021" t="s">
        <v>21710</v>
      </c>
      <c r="F4021" t="s">
        <v>31574</v>
      </c>
      <c r="G4021" t="s">
        <v>31583</v>
      </c>
      <c r="H4021" t="s">
        <v>31590</v>
      </c>
      <c r="I4021" t="s">
        <v>31607</v>
      </c>
      <c r="J4021" t="s">
        <v>34411</v>
      </c>
      <c r="K4021" t="s">
        <v>41185</v>
      </c>
      <c r="M4021" t="s">
        <v>41836</v>
      </c>
      <c r="N4021" t="s">
        <v>45095</v>
      </c>
      <c r="O4021" t="s">
        <v>45096</v>
      </c>
      <c r="P4021">
        <v>0</v>
      </c>
      <c r="Q4021">
        <v>6</v>
      </c>
      <c r="R4021" t="s">
        <v>45101</v>
      </c>
      <c r="S4021" t="s">
        <v>45231</v>
      </c>
      <c r="T4021" t="s">
        <v>46957</v>
      </c>
      <c r="U4021" t="s">
        <v>48153</v>
      </c>
      <c r="W4021" t="s">
        <v>41836</v>
      </c>
      <c r="X4021" t="s">
        <v>45102</v>
      </c>
    </row>
    <row r="4022" spans="1:24">
      <c r="A4022">
        <f>HYPERLINK("https://www.philgeps.gov.ph/GEPSNONPILOT/Tender/SplashBidNoticeAbstractUI.aspx?menuIndex=3&amp;refID=7041536&amp;Result=3","7041536")</f>
        <v>0</v>
      </c>
      <c r="B4022" t="s">
        <v>1410</v>
      </c>
      <c r="C4022" t="s">
        <v>7039</v>
      </c>
      <c r="D4022" t="s">
        <v>18037</v>
      </c>
      <c r="E4022" t="s">
        <v>21711</v>
      </c>
      <c r="F4022" t="s">
        <v>31574</v>
      </c>
      <c r="G4022" t="s">
        <v>31581</v>
      </c>
      <c r="H4022" t="s">
        <v>31590</v>
      </c>
      <c r="I4022" t="s">
        <v>3489</v>
      </c>
      <c r="J4022" t="s">
        <v>34412</v>
      </c>
      <c r="K4022" t="s">
        <v>41186</v>
      </c>
      <c r="M4022" t="s">
        <v>42986</v>
      </c>
      <c r="N4022" t="s">
        <v>45095</v>
      </c>
      <c r="O4022" t="s">
        <v>45096</v>
      </c>
      <c r="P4022">
        <v>0</v>
      </c>
      <c r="Q4022">
        <v>0</v>
      </c>
      <c r="R4022" t="s">
        <v>45101</v>
      </c>
      <c r="S4022" t="s">
        <v>45231</v>
      </c>
      <c r="T4022" t="s">
        <v>47159</v>
      </c>
      <c r="U4022" t="s">
        <v>47721</v>
      </c>
      <c r="W4022" t="s">
        <v>42986</v>
      </c>
      <c r="X4022" t="s">
        <v>45102</v>
      </c>
    </row>
    <row r="4023" spans="1:24">
      <c r="A4023">
        <f>HYPERLINK("https://www.philgeps.gov.ph/GEPSNONPILOT/Tender/SplashBidNoticeAbstractUI.aspx?menuIndex=3&amp;refID=7041559&amp;Result=3","7041559")</f>
        <v>0</v>
      </c>
      <c r="B4023" t="s">
        <v>1363</v>
      </c>
      <c r="C4023" t="s">
        <v>7040</v>
      </c>
      <c r="D4023" t="s">
        <v>18058</v>
      </c>
      <c r="E4023" t="s">
        <v>21712</v>
      </c>
      <c r="F4023" t="s">
        <v>31574</v>
      </c>
      <c r="G4023" t="s">
        <v>31582</v>
      </c>
      <c r="H4023" t="s">
        <v>31590</v>
      </c>
      <c r="I4023" t="s">
        <v>4046</v>
      </c>
      <c r="J4023" t="s">
        <v>34413</v>
      </c>
      <c r="K4023" t="s">
        <v>41196</v>
      </c>
      <c r="M4023" t="s">
        <v>42935</v>
      </c>
      <c r="N4023" t="s">
        <v>45095</v>
      </c>
      <c r="O4023" t="s">
        <v>45096</v>
      </c>
      <c r="P4023">
        <v>0</v>
      </c>
      <c r="Q4023">
        <v>0</v>
      </c>
      <c r="R4023" t="s">
        <v>45101</v>
      </c>
      <c r="S4023" t="s">
        <v>45231</v>
      </c>
      <c r="T4023" t="s">
        <v>46918</v>
      </c>
      <c r="U4023" t="s">
        <v>50901</v>
      </c>
      <c r="W4023" t="s">
        <v>42935</v>
      </c>
      <c r="X4023" t="s">
        <v>45102</v>
      </c>
    </row>
    <row r="4024" spans="1:24">
      <c r="A4024">
        <f>HYPERLINK("https://www.philgeps.gov.ph/GEPSNONPILOT/Tender/SplashBidNoticeAbstractUI.aspx?menuIndex=3&amp;refID=7041531&amp;Result=3","7041531")</f>
        <v>0</v>
      </c>
      <c r="B4024" t="s">
        <v>415</v>
      </c>
      <c r="C4024" t="s">
        <v>7041</v>
      </c>
      <c r="D4024" t="s">
        <v>18022</v>
      </c>
      <c r="E4024" t="s">
        <v>21713</v>
      </c>
      <c r="F4024" t="s">
        <v>31579</v>
      </c>
      <c r="G4024" t="s">
        <v>31583</v>
      </c>
      <c r="H4024" t="s">
        <v>31590</v>
      </c>
      <c r="I4024" t="s">
        <v>8258</v>
      </c>
      <c r="J4024" t="s">
        <v>34414</v>
      </c>
      <c r="K4024" t="s">
        <v>41190</v>
      </c>
      <c r="M4024" t="s">
        <v>42861</v>
      </c>
      <c r="N4024" t="s">
        <v>45095</v>
      </c>
      <c r="O4024" t="s">
        <v>45096</v>
      </c>
      <c r="P4024">
        <v>0</v>
      </c>
      <c r="Q4024">
        <v>1</v>
      </c>
      <c r="R4024" t="s">
        <v>45101</v>
      </c>
      <c r="S4024" t="s">
        <v>45231</v>
      </c>
      <c r="T4024" t="s">
        <v>47158</v>
      </c>
      <c r="U4024" t="s">
        <v>50902</v>
      </c>
      <c r="W4024" t="s">
        <v>42861</v>
      </c>
      <c r="X4024" t="s">
        <v>45102</v>
      </c>
    </row>
    <row r="4025" spans="1:24">
      <c r="A4025">
        <f>HYPERLINK("https://www.philgeps.gov.ph/GEPSNONPILOT/Tender/SplashBidNoticeAbstractUI.aspx?menuIndex=3&amp;refID=7041554&amp;Result=3","7041554")</f>
        <v>0</v>
      </c>
      <c r="B4025" t="s">
        <v>533</v>
      </c>
      <c r="C4025" t="s">
        <v>7042</v>
      </c>
      <c r="D4025" t="s">
        <v>18075</v>
      </c>
      <c r="E4025" t="s">
        <v>21714</v>
      </c>
      <c r="F4025" t="s">
        <v>31574</v>
      </c>
      <c r="G4025" t="s">
        <v>31582</v>
      </c>
      <c r="H4025" t="s">
        <v>31591</v>
      </c>
      <c r="I4025" t="s">
        <v>8822</v>
      </c>
      <c r="J4025" t="s">
        <v>34415</v>
      </c>
      <c r="K4025" t="s">
        <v>41307</v>
      </c>
      <c r="M4025" t="s">
        <v>42964</v>
      </c>
      <c r="N4025" t="s">
        <v>45095</v>
      </c>
      <c r="O4025" t="s">
        <v>45096</v>
      </c>
      <c r="P4025">
        <v>0</v>
      </c>
      <c r="Q4025">
        <v>0</v>
      </c>
      <c r="R4025" t="s">
        <v>45101</v>
      </c>
      <c r="S4025" t="s">
        <v>45231</v>
      </c>
      <c r="T4025" t="s">
        <v>47201</v>
      </c>
      <c r="U4025" t="s">
        <v>50835</v>
      </c>
      <c r="W4025" t="s">
        <v>42964</v>
      </c>
      <c r="X4025" t="s">
        <v>45102</v>
      </c>
    </row>
    <row r="4026" spans="1:24">
      <c r="A4026">
        <f>HYPERLINK("https://www.philgeps.gov.ph/GEPSNONPILOT/Tender/SplashBidNoticeAbstractUI.aspx?menuIndex=3&amp;refID=7041557&amp;Result=3","7041557")</f>
        <v>0</v>
      </c>
      <c r="B4026" t="s">
        <v>1327</v>
      </c>
      <c r="C4026" t="s">
        <v>7043</v>
      </c>
      <c r="E4026" t="s">
        <v>7043</v>
      </c>
      <c r="F4026" t="s">
        <v>31574</v>
      </c>
      <c r="G4026" t="s">
        <v>31581</v>
      </c>
      <c r="H4026" t="s">
        <v>31590</v>
      </c>
      <c r="I4026" t="s">
        <v>7185</v>
      </c>
      <c r="J4026" t="s">
        <v>34416</v>
      </c>
      <c r="K4026" t="s">
        <v>41193</v>
      </c>
      <c r="M4026" t="s">
        <v>42897</v>
      </c>
      <c r="N4026" t="s">
        <v>45095</v>
      </c>
      <c r="O4026" t="s">
        <v>45096</v>
      </c>
      <c r="P4026">
        <v>0</v>
      </c>
      <c r="Q4026">
        <v>1</v>
      </c>
      <c r="R4026" t="s">
        <v>45101</v>
      </c>
      <c r="S4026" t="s">
        <v>45231</v>
      </c>
      <c r="T4026" t="s">
        <v>47154</v>
      </c>
      <c r="U4026" t="s">
        <v>50903</v>
      </c>
      <c r="W4026" t="s">
        <v>42897</v>
      </c>
      <c r="X4026" t="s">
        <v>45102</v>
      </c>
    </row>
    <row r="4027" spans="1:24">
      <c r="A4027">
        <f>HYPERLINK("https://www.philgeps.gov.ph/GEPSNONPILOT/Tender/SplashBidNoticeAbstractUI.aspx?menuIndex=3&amp;refID=7041572&amp;Result=3","7041572")</f>
        <v>0</v>
      </c>
      <c r="B4027" t="s">
        <v>1300</v>
      </c>
      <c r="C4027" t="s">
        <v>7044</v>
      </c>
      <c r="D4027" t="s">
        <v>18066</v>
      </c>
      <c r="E4027" t="s">
        <v>18397</v>
      </c>
      <c r="F4027" t="s">
        <v>31574</v>
      </c>
      <c r="G4027" t="s">
        <v>31582</v>
      </c>
      <c r="H4027" t="s">
        <v>31591</v>
      </c>
      <c r="I4027" t="s">
        <v>8822</v>
      </c>
      <c r="J4027" t="s">
        <v>34417</v>
      </c>
      <c r="K4027" t="s">
        <v>41189</v>
      </c>
      <c r="M4027" t="s">
        <v>42870</v>
      </c>
      <c r="N4027" t="s">
        <v>45095</v>
      </c>
      <c r="O4027" t="s">
        <v>45096</v>
      </c>
      <c r="P4027">
        <v>0</v>
      </c>
      <c r="Q4027">
        <v>1</v>
      </c>
      <c r="R4027" t="s">
        <v>45101</v>
      </c>
      <c r="S4027" t="s">
        <v>45231</v>
      </c>
      <c r="T4027" t="s">
        <v>47196</v>
      </c>
      <c r="U4027" t="s">
        <v>50904</v>
      </c>
      <c r="W4027" t="s">
        <v>42870</v>
      </c>
      <c r="X4027" t="s">
        <v>45102</v>
      </c>
    </row>
    <row r="4028" spans="1:24">
      <c r="A4028">
        <f>HYPERLINK("https://www.philgeps.gov.ph/GEPSNONPILOT/Tender/SplashBidNoticeAbstractUI.aspx?menuIndex=3&amp;refID=7041561&amp;Result=3","7041561")</f>
        <v>0</v>
      </c>
      <c r="B4028" t="s">
        <v>1406</v>
      </c>
      <c r="C4028" t="s">
        <v>7045</v>
      </c>
      <c r="D4028" t="s">
        <v>18071</v>
      </c>
      <c r="E4028" t="s">
        <v>21715</v>
      </c>
      <c r="F4028" t="s">
        <v>31574</v>
      </c>
      <c r="G4028" t="s">
        <v>31583</v>
      </c>
      <c r="H4028" t="s">
        <v>31590</v>
      </c>
      <c r="I4028" t="s">
        <v>31606</v>
      </c>
      <c r="J4028" t="s">
        <v>33556</v>
      </c>
      <c r="K4028" t="s">
        <v>41197</v>
      </c>
      <c r="M4028" t="s">
        <v>42982</v>
      </c>
      <c r="N4028" t="s">
        <v>45095</v>
      </c>
      <c r="O4028" t="s">
        <v>45096</v>
      </c>
      <c r="P4028">
        <v>0</v>
      </c>
      <c r="Q4028">
        <v>3</v>
      </c>
      <c r="R4028" t="s">
        <v>45101</v>
      </c>
      <c r="S4028" t="s">
        <v>45231</v>
      </c>
      <c r="T4028" t="s">
        <v>47050</v>
      </c>
      <c r="U4028" t="s">
        <v>50905</v>
      </c>
      <c r="V4028" t="s">
        <v>60252</v>
      </c>
      <c r="W4028" t="s">
        <v>42982</v>
      </c>
      <c r="X4028" t="s">
        <v>45102</v>
      </c>
    </row>
    <row r="4029" spans="1:24">
      <c r="A4029">
        <f>HYPERLINK("https://www.philgeps.gov.ph/GEPSNONPILOT/Tender/SplashBidNoticeAbstractUI.aspx?menuIndex=3&amp;refID=7041550&amp;Result=3","7041550")</f>
        <v>0</v>
      </c>
      <c r="B4029" t="s">
        <v>1411</v>
      </c>
      <c r="C4029" t="s">
        <v>7046</v>
      </c>
      <c r="D4029" t="s">
        <v>18031</v>
      </c>
      <c r="E4029" t="s">
        <v>19061</v>
      </c>
      <c r="F4029" t="s">
        <v>31574</v>
      </c>
      <c r="G4029" t="s">
        <v>31582</v>
      </c>
      <c r="H4029" t="s">
        <v>31590</v>
      </c>
      <c r="I4029" t="s">
        <v>3487</v>
      </c>
      <c r="J4029" t="s">
        <v>31962</v>
      </c>
      <c r="K4029" t="s">
        <v>41223</v>
      </c>
      <c r="M4029" t="s">
        <v>42987</v>
      </c>
      <c r="N4029" t="s">
        <v>45095</v>
      </c>
      <c r="O4029" t="s">
        <v>45096</v>
      </c>
      <c r="P4029">
        <v>0</v>
      </c>
      <c r="Q4029">
        <v>3</v>
      </c>
      <c r="R4029" t="s">
        <v>45101</v>
      </c>
      <c r="S4029" t="s">
        <v>45231</v>
      </c>
      <c r="T4029" t="s">
        <v>47204</v>
      </c>
      <c r="U4029" t="s">
        <v>50906</v>
      </c>
      <c r="W4029" t="s">
        <v>42987</v>
      </c>
      <c r="X4029" t="s">
        <v>45102</v>
      </c>
    </row>
    <row r="4030" spans="1:24">
      <c r="A4030">
        <f>HYPERLINK("https://www.philgeps.gov.ph/GEPSNONPILOT/Tender/SplashBidNoticeAbstractUI.aspx?menuIndex=3&amp;refID=7041558&amp;Result=3","7041558")</f>
        <v>0</v>
      </c>
      <c r="B4030" t="s">
        <v>115</v>
      </c>
      <c r="C4030" t="s">
        <v>7047</v>
      </c>
      <c r="D4030" t="s">
        <v>18040</v>
      </c>
      <c r="E4030" t="s">
        <v>21716</v>
      </c>
      <c r="F4030" t="s">
        <v>31574</v>
      </c>
      <c r="G4030" t="s">
        <v>31584</v>
      </c>
      <c r="H4030" t="s">
        <v>31590</v>
      </c>
      <c r="I4030" t="s">
        <v>5717</v>
      </c>
      <c r="J4030" t="s">
        <v>32375</v>
      </c>
      <c r="K4030" t="s">
        <v>41193</v>
      </c>
      <c r="M4030" t="s">
        <v>41599</v>
      </c>
      <c r="N4030" t="s">
        <v>45095</v>
      </c>
      <c r="O4030" t="s">
        <v>45096</v>
      </c>
      <c r="P4030">
        <v>0</v>
      </c>
      <c r="Q4030">
        <v>1</v>
      </c>
      <c r="R4030" t="s">
        <v>45101</v>
      </c>
      <c r="S4030" t="s">
        <v>45231</v>
      </c>
      <c r="T4030" t="s">
        <v>47158</v>
      </c>
      <c r="U4030" t="s">
        <v>50907</v>
      </c>
      <c r="W4030" t="s">
        <v>41599</v>
      </c>
      <c r="X4030" t="s">
        <v>45102</v>
      </c>
    </row>
    <row r="4031" spans="1:24">
      <c r="A4031">
        <f>HYPERLINK("https://www.philgeps.gov.ph/GEPSNONPILOT/Tender/SplashBidNoticeAbstractUI.aspx?menuIndex=3&amp;refID=7041571&amp;Result=3","7041571")</f>
        <v>0</v>
      </c>
      <c r="B4031" t="s">
        <v>1412</v>
      </c>
      <c r="C4031" t="s">
        <v>7048</v>
      </c>
      <c r="D4031" t="s">
        <v>18075</v>
      </c>
      <c r="E4031" t="s">
        <v>21717</v>
      </c>
      <c r="F4031" t="s">
        <v>31574</v>
      </c>
      <c r="G4031" t="s">
        <v>31582</v>
      </c>
      <c r="H4031" t="s">
        <v>31591</v>
      </c>
      <c r="I4031" t="s">
        <v>8822</v>
      </c>
      <c r="J4031" t="s">
        <v>34418</v>
      </c>
      <c r="K4031" t="s">
        <v>41184</v>
      </c>
      <c r="M4031" t="s">
        <v>42988</v>
      </c>
      <c r="N4031" t="s">
        <v>45095</v>
      </c>
      <c r="O4031" t="s">
        <v>45096</v>
      </c>
      <c r="P4031">
        <v>0</v>
      </c>
      <c r="Q4031">
        <v>0</v>
      </c>
      <c r="R4031" t="s">
        <v>45101</v>
      </c>
      <c r="S4031" t="s">
        <v>45231</v>
      </c>
      <c r="T4031" t="s">
        <v>46930</v>
      </c>
      <c r="U4031" t="s">
        <v>50908</v>
      </c>
      <c r="W4031" t="s">
        <v>42988</v>
      </c>
      <c r="X4031" t="s">
        <v>45102</v>
      </c>
    </row>
    <row r="4032" spans="1:24">
      <c r="A4032">
        <f>HYPERLINK("https://www.philgeps.gov.ph/GEPSNONPILOT/Tender/SplashBidNoticeAbstractUI.aspx?menuIndex=3&amp;refID=7041566&amp;Result=3","7041566")</f>
        <v>0</v>
      </c>
      <c r="B4032" t="s">
        <v>1413</v>
      </c>
      <c r="C4032" t="s">
        <v>7049</v>
      </c>
      <c r="D4032" t="s">
        <v>18030</v>
      </c>
      <c r="E4032" t="s">
        <v>21718</v>
      </c>
      <c r="F4032" t="s">
        <v>31574</v>
      </c>
      <c r="G4032" t="s">
        <v>31582</v>
      </c>
      <c r="H4032" t="s">
        <v>31591</v>
      </c>
      <c r="I4032" t="s">
        <v>8822</v>
      </c>
      <c r="J4032" t="s">
        <v>34419</v>
      </c>
      <c r="K4032" t="s">
        <v>41282</v>
      </c>
      <c r="M4032" t="s">
        <v>42989</v>
      </c>
      <c r="N4032" t="s">
        <v>45095</v>
      </c>
      <c r="O4032" t="s">
        <v>45096</v>
      </c>
      <c r="P4032">
        <v>0</v>
      </c>
      <c r="Q4032">
        <v>0</v>
      </c>
      <c r="R4032" t="s">
        <v>45101</v>
      </c>
      <c r="S4032" t="s">
        <v>45231</v>
      </c>
      <c r="T4032" t="s">
        <v>46911</v>
      </c>
      <c r="U4032" t="s">
        <v>50909</v>
      </c>
      <c r="W4032" t="s">
        <v>42989</v>
      </c>
      <c r="X4032" t="s">
        <v>45102</v>
      </c>
    </row>
    <row r="4033" spans="1:24">
      <c r="A4033">
        <f>HYPERLINK("https://www.philgeps.gov.ph/GEPSNONPILOT/Tender/SplashBidNoticeAbstractUI.aspx?menuIndex=3&amp;refID=7041564&amp;Result=3","7041564")</f>
        <v>0</v>
      </c>
      <c r="B4033" t="s">
        <v>1414</v>
      </c>
      <c r="C4033" t="s">
        <v>7050</v>
      </c>
      <c r="D4033" t="s">
        <v>18030</v>
      </c>
      <c r="E4033" t="s">
        <v>21719</v>
      </c>
      <c r="F4033" t="s">
        <v>31574</v>
      </c>
      <c r="G4033" t="s">
        <v>31582</v>
      </c>
      <c r="H4033" t="s">
        <v>31591</v>
      </c>
      <c r="I4033" t="s">
        <v>8822</v>
      </c>
      <c r="J4033" t="s">
        <v>32020</v>
      </c>
      <c r="K4033" t="s">
        <v>41282</v>
      </c>
      <c r="M4033" t="s">
        <v>42990</v>
      </c>
      <c r="N4033" t="s">
        <v>45095</v>
      </c>
      <c r="O4033" t="s">
        <v>45096</v>
      </c>
      <c r="P4033">
        <v>0</v>
      </c>
      <c r="Q4033">
        <v>0</v>
      </c>
      <c r="R4033" t="s">
        <v>45101</v>
      </c>
      <c r="S4033" t="s">
        <v>45231</v>
      </c>
      <c r="T4033" t="s">
        <v>46969</v>
      </c>
      <c r="U4033" t="s">
        <v>50910</v>
      </c>
      <c r="W4033" t="s">
        <v>42990</v>
      </c>
      <c r="X4033" t="s">
        <v>45102</v>
      </c>
    </row>
    <row r="4034" spans="1:24">
      <c r="A4034">
        <f>HYPERLINK("https://www.philgeps.gov.ph/GEPSNONPILOT/Tender/SplashBidNoticeAbstractUI.aspx?menuIndex=3&amp;refID=7041580&amp;Result=3","7041580")</f>
        <v>0</v>
      </c>
      <c r="B4034" t="s">
        <v>533</v>
      </c>
      <c r="C4034" t="s">
        <v>7051</v>
      </c>
      <c r="D4034" t="s">
        <v>18075</v>
      </c>
      <c r="E4034" t="s">
        <v>21720</v>
      </c>
      <c r="F4034" t="s">
        <v>31574</v>
      </c>
      <c r="G4034" t="s">
        <v>31582</v>
      </c>
      <c r="H4034" t="s">
        <v>31591</v>
      </c>
      <c r="I4034" t="s">
        <v>8822</v>
      </c>
      <c r="J4034" t="s">
        <v>32026</v>
      </c>
      <c r="K4034" t="s">
        <v>41308</v>
      </c>
      <c r="M4034" t="s">
        <v>42964</v>
      </c>
      <c r="N4034" t="s">
        <v>45095</v>
      </c>
      <c r="O4034" t="s">
        <v>45096</v>
      </c>
      <c r="P4034">
        <v>0</v>
      </c>
      <c r="Q4034">
        <v>0</v>
      </c>
      <c r="R4034" t="s">
        <v>45101</v>
      </c>
      <c r="S4034" t="s">
        <v>45231</v>
      </c>
      <c r="T4034" t="s">
        <v>47201</v>
      </c>
      <c r="U4034" t="s">
        <v>50835</v>
      </c>
      <c r="W4034" t="s">
        <v>42964</v>
      </c>
      <c r="X4034" t="s">
        <v>45102</v>
      </c>
    </row>
    <row r="4035" spans="1:24">
      <c r="A4035">
        <f>HYPERLINK("https://www.philgeps.gov.ph/GEPSNONPILOT/Tender/SplashBidNoticeAbstractUI.aspx?menuIndex=3&amp;refID=7041562&amp;Result=3","7041562")</f>
        <v>0</v>
      </c>
      <c r="B4035" t="s">
        <v>1415</v>
      </c>
      <c r="C4035" t="s">
        <v>7052</v>
      </c>
      <c r="D4035" t="s">
        <v>18039</v>
      </c>
      <c r="E4035" t="s">
        <v>18722</v>
      </c>
      <c r="F4035" t="s">
        <v>31574</v>
      </c>
      <c r="G4035" t="s">
        <v>31581</v>
      </c>
      <c r="H4035" t="s">
        <v>31590</v>
      </c>
      <c r="I4035" t="s">
        <v>5717</v>
      </c>
      <c r="J4035" t="s">
        <v>34420</v>
      </c>
      <c r="K4035" t="s">
        <v>41184</v>
      </c>
      <c r="M4035" t="s">
        <v>42991</v>
      </c>
      <c r="N4035" t="s">
        <v>45095</v>
      </c>
      <c r="O4035" t="s">
        <v>45096</v>
      </c>
      <c r="P4035">
        <v>0</v>
      </c>
      <c r="Q4035">
        <v>0</v>
      </c>
      <c r="R4035" t="s">
        <v>45101</v>
      </c>
      <c r="S4035" t="s">
        <v>45231</v>
      </c>
      <c r="T4035" t="s">
        <v>47125</v>
      </c>
      <c r="U4035" t="s">
        <v>50911</v>
      </c>
      <c r="W4035" t="s">
        <v>42991</v>
      </c>
      <c r="X4035" t="s">
        <v>45102</v>
      </c>
    </row>
    <row r="4036" spans="1:24">
      <c r="A4036">
        <f>HYPERLINK("https://www.philgeps.gov.ph/GEPSNONPILOT/Tender/SplashBidNoticeAbstractUI.aspx?menuIndex=3&amp;refID=7041578&amp;Result=3","7041578")</f>
        <v>0</v>
      </c>
      <c r="B4036" t="s">
        <v>348</v>
      </c>
      <c r="C4036" t="s">
        <v>7053</v>
      </c>
      <c r="D4036" t="s">
        <v>18065</v>
      </c>
      <c r="E4036" t="s">
        <v>21721</v>
      </c>
      <c r="F4036" t="s">
        <v>31574</v>
      </c>
      <c r="G4036" t="s">
        <v>31583</v>
      </c>
      <c r="H4036" t="s">
        <v>31590</v>
      </c>
      <c r="I4036" t="s">
        <v>31600</v>
      </c>
      <c r="J4036" t="s">
        <v>31789</v>
      </c>
      <c r="K4036" t="s">
        <v>41184</v>
      </c>
      <c r="M4036" t="s">
        <v>41836</v>
      </c>
      <c r="N4036" t="s">
        <v>45095</v>
      </c>
      <c r="O4036" t="s">
        <v>45096</v>
      </c>
      <c r="P4036">
        <v>0</v>
      </c>
      <c r="Q4036">
        <v>3</v>
      </c>
      <c r="R4036" t="s">
        <v>45101</v>
      </c>
      <c r="S4036" t="s">
        <v>45231</v>
      </c>
      <c r="T4036" t="s">
        <v>46957</v>
      </c>
      <c r="U4036" t="s">
        <v>48153</v>
      </c>
      <c r="W4036" t="s">
        <v>41836</v>
      </c>
      <c r="X4036" t="s">
        <v>45102</v>
      </c>
    </row>
    <row r="4037" spans="1:24">
      <c r="A4037">
        <f>HYPERLINK("https://www.philgeps.gov.ph/GEPSNONPILOT/Tender/SplashBidNoticeAbstractUI.aspx?menuIndex=3&amp;refID=7041575&amp;Result=3","7041575")</f>
        <v>0</v>
      </c>
      <c r="B4037" t="s">
        <v>357</v>
      </c>
      <c r="C4037" t="s">
        <v>7054</v>
      </c>
      <c r="D4037" t="s">
        <v>18026</v>
      </c>
      <c r="E4037" t="s">
        <v>21722</v>
      </c>
      <c r="F4037" t="s">
        <v>31574</v>
      </c>
      <c r="G4037" t="s">
        <v>31581</v>
      </c>
      <c r="H4037" t="s">
        <v>31590</v>
      </c>
      <c r="I4037" t="s">
        <v>31625</v>
      </c>
      <c r="J4037" t="s">
        <v>34120</v>
      </c>
      <c r="K4037" t="s">
        <v>41193</v>
      </c>
      <c r="M4037" t="s">
        <v>42068</v>
      </c>
      <c r="N4037" t="s">
        <v>45095</v>
      </c>
      <c r="O4037" t="s">
        <v>45096</v>
      </c>
      <c r="P4037">
        <v>0</v>
      </c>
      <c r="Q4037">
        <v>1</v>
      </c>
      <c r="R4037" t="s">
        <v>45101</v>
      </c>
      <c r="S4037" t="s">
        <v>45231</v>
      </c>
      <c r="T4037" t="s">
        <v>46957</v>
      </c>
      <c r="U4037" t="s">
        <v>50912</v>
      </c>
      <c r="W4037" t="s">
        <v>42068</v>
      </c>
      <c r="X4037" t="s">
        <v>45102</v>
      </c>
    </row>
    <row r="4038" spans="1:24">
      <c r="A4038">
        <f>HYPERLINK("https://www.philgeps.gov.ph/GEPSNONPILOT/Tender/SplashBidNoticeAbstractUI.aspx?menuIndex=3&amp;refID=7041573&amp;Result=3","7041573")</f>
        <v>0</v>
      </c>
      <c r="B4038" t="s">
        <v>1377</v>
      </c>
      <c r="C4038" t="s">
        <v>7055</v>
      </c>
      <c r="D4038" t="s">
        <v>18025</v>
      </c>
      <c r="E4038" t="s">
        <v>21723</v>
      </c>
      <c r="F4038" t="s">
        <v>31574</v>
      </c>
      <c r="G4038" t="s">
        <v>31582</v>
      </c>
      <c r="H4038" t="s">
        <v>31590</v>
      </c>
      <c r="I4038" t="s">
        <v>5717</v>
      </c>
      <c r="J4038" t="s">
        <v>31741</v>
      </c>
      <c r="K4038" t="s">
        <v>41196</v>
      </c>
      <c r="M4038" t="s">
        <v>42951</v>
      </c>
      <c r="N4038" t="s">
        <v>45095</v>
      </c>
      <c r="O4038" t="s">
        <v>45096</v>
      </c>
      <c r="P4038">
        <v>0</v>
      </c>
      <c r="Q4038">
        <v>4</v>
      </c>
      <c r="R4038" t="s">
        <v>45101</v>
      </c>
      <c r="S4038" t="s">
        <v>45231</v>
      </c>
      <c r="T4038" t="s">
        <v>46953</v>
      </c>
      <c r="U4038" t="s">
        <v>50913</v>
      </c>
      <c r="V4038" t="s">
        <v>60253</v>
      </c>
      <c r="W4038" t="s">
        <v>42951</v>
      </c>
      <c r="X4038" t="s">
        <v>45102</v>
      </c>
    </row>
    <row r="4039" spans="1:24">
      <c r="A4039">
        <f>HYPERLINK("https://www.philgeps.gov.ph/GEPSNONPILOT/Tender/SplashBidNoticeAbstractUI.aspx?menuIndex=3&amp;refID=7041563&amp;Result=3","7041563")</f>
        <v>0</v>
      </c>
      <c r="B4039" t="s">
        <v>768</v>
      </c>
      <c r="C4039" t="s">
        <v>7056</v>
      </c>
      <c r="D4039" t="s">
        <v>18086</v>
      </c>
      <c r="E4039" t="s">
        <v>21724</v>
      </c>
      <c r="F4039" t="s">
        <v>31574</v>
      </c>
      <c r="G4039" t="s">
        <v>31582</v>
      </c>
      <c r="H4039" t="s">
        <v>31591</v>
      </c>
      <c r="I4039" t="s">
        <v>8822</v>
      </c>
      <c r="J4039" t="s">
        <v>34421</v>
      </c>
      <c r="K4039" t="s">
        <v>41189</v>
      </c>
      <c r="M4039" t="s">
        <v>42282</v>
      </c>
      <c r="N4039" t="s">
        <v>45095</v>
      </c>
      <c r="O4039" t="s">
        <v>45096</v>
      </c>
      <c r="P4039">
        <v>0</v>
      </c>
      <c r="Q4039">
        <v>0</v>
      </c>
      <c r="R4039" t="s">
        <v>45101</v>
      </c>
      <c r="S4039" t="s">
        <v>45231</v>
      </c>
      <c r="T4039" t="s">
        <v>47198</v>
      </c>
      <c r="U4039" t="s">
        <v>50914</v>
      </c>
      <c r="W4039" t="s">
        <v>42282</v>
      </c>
      <c r="X4039" t="s">
        <v>45102</v>
      </c>
    </row>
    <row r="4040" spans="1:24">
      <c r="A4040">
        <f>HYPERLINK("https://www.philgeps.gov.ph/GEPSNONPILOT/Tender/SplashBidNoticeAbstractUI.aspx?menuIndex=3&amp;refID=7041582&amp;Result=3","7041582")</f>
        <v>0</v>
      </c>
      <c r="B4040" t="s">
        <v>299</v>
      </c>
      <c r="C4040" t="s">
        <v>7057</v>
      </c>
      <c r="D4040" t="s">
        <v>18081</v>
      </c>
      <c r="E4040" t="s">
        <v>21725</v>
      </c>
      <c r="F4040" t="s">
        <v>31574</v>
      </c>
      <c r="G4040" t="s">
        <v>31581</v>
      </c>
      <c r="H4040" t="s">
        <v>31590</v>
      </c>
      <c r="I4040" t="s">
        <v>31615</v>
      </c>
      <c r="J4040" t="s">
        <v>31931</v>
      </c>
      <c r="K4040" t="s">
        <v>41196</v>
      </c>
      <c r="M4040" t="s">
        <v>41785</v>
      </c>
      <c r="N4040" t="s">
        <v>45095</v>
      </c>
      <c r="O4040" t="s">
        <v>45096</v>
      </c>
      <c r="P4040">
        <v>0</v>
      </c>
      <c r="Q4040">
        <v>0</v>
      </c>
      <c r="R4040" t="s">
        <v>45101</v>
      </c>
      <c r="S4040" t="s">
        <v>45231</v>
      </c>
      <c r="T4040" t="s">
        <v>47064</v>
      </c>
      <c r="U4040" t="s">
        <v>50915</v>
      </c>
      <c r="W4040" t="s">
        <v>41785</v>
      </c>
      <c r="X4040" t="s">
        <v>45102</v>
      </c>
    </row>
    <row r="4041" spans="1:24">
      <c r="A4041">
        <f>HYPERLINK("https://www.philgeps.gov.ph/GEPSNONPILOT/Tender/SplashBidNoticeAbstractUI.aspx?menuIndex=3&amp;refID=7041569&amp;Result=3","7041569")</f>
        <v>0</v>
      </c>
      <c r="B4041" t="s">
        <v>1294</v>
      </c>
      <c r="C4041" t="s">
        <v>7058</v>
      </c>
      <c r="D4041" t="s">
        <v>18036</v>
      </c>
      <c r="E4041" t="s">
        <v>21726</v>
      </c>
      <c r="F4041" t="s">
        <v>31574</v>
      </c>
      <c r="G4041" t="s">
        <v>31583</v>
      </c>
      <c r="H4041" t="s">
        <v>31590</v>
      </c>
      <c r="I4041" t="s">
        <v>4327</v>
      </c>
      <c r="J4041" t="s">
        <v>34422</v>
      </c>
      <c r="K4041" t="s">
        <v>41193</v>
      </c>
      <c r="M4041" t="s">
        <v>42864</v>
      </c>
      <c r="N4041" t="s">
        <v>45095</v>
      </c>
      <c r="O4041" t="s">
        <v>45096</v>
      </c>
      <c r="P4041">
        <v>0</v>
      </c>
      <c r="Q4041">
        <v>0</v>
      </c>
      <c r="R4041" t="s">
        <v>45101</v>
      </c>
      <c r="S4041" t="s">
        <v>45231</v>
      </c>
      <c r="T4041" t="s">
        <v>47183</v>
      </c>
      <c r="U4041" t="s">
        <v>50916</v>
      </c>
      <c r="W4041" t="s">
        <v>42864</v>
      </c>
      <c r="X4041" t="s">
        <v>45102</v>
      </c>
    </row>
    <row r="4042" spans="1:24">
      <c r="A4042">
        <f>HYPERLINK("https://www.philgeps.gov.ph/GEPSNONPILOT/Tender/SplashBidNoticeAbstractUI.aspx?menuIndex=3&amp;refID=7041581&amp;Result=3","7041581")</f>
        <v>0</v>
      </c>
      <c r="B4042" t="s">
        <v>470</v>
      </c>
      <c r="C4042" t="s">
        <v>7059</v>
      </c>
      <c r="D4042" t="s">
        <v>18022</v>
      </c>
      <c r="E4042" t="s">
        <v>21727</v>
      </c>
      <c r="F4042" t="s">
        <v>31574</v>
      </c>
      <c r="G4042" t="s">
        <v>31584</v>
      </c>
      <c r="H4042" t="s">
        <v>31590</v>
      </c>
      <c r="I4042" t="s">
        <v>4327</v>
      </c>
      <c r="J4042" t="s">
        <v>31805</v>
      </c>
      <c r="K4042" t="s">
        <v>41193</v>
      </c>
      <c r="M4042" t="s">
        <v>41964</v>
      </c>
      <c r="N4042" t="s">
        <v>45095</v>
      </c>
      <c r="O4042" t="s">
        <v>45096</v>
      </c>
      <c r="P4042">
        <v>0</v>
      </c>
      <c r="Q4042">
        <v>3</v>
      </c>
      <c r="R4042" t="s">
        <v>45101</v>
      </c>
      <c r="S4042" t="s">
        <v>45231</v>
      </c>
      <c r="T4042" t="s">
        <v>47064</v>
      </c>
      <c r="U4042" t="s">
        <v>50917</v>
      </c>
      <c r="W4042" t="s">
        <v>61668</v>
      </c>
      <c r="X4042" t="s">
        <v>45102</v>
      </c>
    </row>
    <row r="4043" spans="1:24">
      <c r="A4043">
        <f>HYPERLINK("https://www.philgeps.gov.ph/GEPSNONPILOT/Tender/SplashBidNoticeAbstractUI.aspx?menuIndex=3&amp;refID=7041596&amp;Result=3","7041596")</f>
        <v>0</v>
      </c>
      <c r="B4043" t="s">
        <v>1416</v>
      </c>
      <c r="C4043" t="s">
        <v>7060</v>
      </c>
      <c r="D4043" t="s">
        <v>18030</v>
      </c>
      <c r="E4043" t="s">
        <v>21728</v>
      </c>
      <c r="F4043" t="s">
        <v>31574</v>
      </c>
      <c r="G4043" t="s">
        <v>31582</v>
      </c>
      <c r="H4043" t="s">
        <v>31591</v>
      </c>
      <c r="I4043" t="s">
        <v>8822</v>
      </c>
      <c r="J4043" t="s">
        <v>34423</v>
      </c>
      <c r="K4043" t="s">
        <v>41196</v>
      </c>
      <c r="M4043" t="s">
        <v>42992</v>
      </c>
      <c r="N4043" t="s">
        <v>45095</v>
      </c>
      <c r="O4043" t="s">
        <v>45096</v>
      </c>
      <c r="P4043">
        <v>0</v>
      </c>
      <c r="Q4043">
        <v>0</v>
      </c>
      <c r="R4043" t="s">
        <v>45101</v>
      </c>
      <c r="S4043" t="s">
        <v>45231</v>
      </c>
      <c r="T4043" t="s">
        <v>46911</v>
      </c>
      <c r="U4043" t="s">
        <v>50918</v>
      </c>
      <c r="W4043" t="s">
        <v>42992</v>
      </c>
      <c r="X4043" t="s">
        <v>45102</v>
      </c>
    </row>
    <row r="4044" spans="1:24">
      <c r="A4044">
        <f>HYPERLINK("https://www.philgeps.gov.ph/GEPSNONPILOT/Tender/SplashBidNoticeAbstractUI.aspx?menuIndex=3&amp;refID=7041594&amp;Result=3","7041594")</f>
        <v>0</v>
      </c>
      <c r="B4044" t="s">
        <v>1417</v>
      </c>
      <c r="C4044" t="s">
        <v>7061</v>
      </c>
      <c r="D4044" t="s">
        <v>18024</v>
      </c>
      <c r="E4044" t="s">
        <v>18927</v>
      </c>
      <c r="F4044" t="s">
        <v>31574</v>
      </c>
      <c r="G4044" t="s">
        <v>31586</v>
      </c>
      <c r="H4044" t="s">
        <v>31590</v>
      </c>
      <c r="I4044" t="s">
        <v>31607</v>
      </c>
      <c r="J4044" t="s">
        <v>31845</v>
      </c>
      <c r="K4044" t="s">
        <v>41193</v>
      </c>
      <c r="M4044" t="s">
        <v>42993</v>
      </c>
      <c r="N4044" t="s">
        <v>45095</v>
      </c>
      <c r="O4044" t="s">
        <v>45096</v>
      </c>
      <c r="P4044">
        <v>0</v>
      </c>
      <c r="Q4044">
        <v>0</v>
      </c>
      <c r="R4044" t="s">
        <v>45101</v>
      </c>
      <c r="S4044" t="s">
        <v>45231</v>
      </c>
      <c r="T4044" t="s">
        <v>46936</v>
      </c>
      <c r="U4044" t="s">
        <v>50919</v>
      </c>
      <c r="W4044" t="s">
        <v>42993</v>
      </c>
      <c r="X4044" t="s">
        <v>45102</v>
      </c>
    </row>
    <row r="4045" spans="1:24">
      <c r="A4045">
        <f>HYPERLINK("https://www.philgeps.gov.ph/GEPSNONPILOT/Tender/SplashBidNoticeAbstractUI.aspx?menuIndex=3&amp;refID=7041586&amp;Result=3","7041586")</f>
        <v>0</v>
      </c>
      <c r="B4045" t="s">
        <v>1418</v>
      </c>
      <c r="C4045" t="s">
        <v>7062</v>
      </c>
      <c r="D4045" t="s">
        <v>18061</v>
      </c>
      <c r="E4045" t="s">
        <v>21729</v>
      </c>
      <c r="F4045" t="s">
        <v>31574</v>
      </c>
      <c r="G4045" t="s">
        <v>31582</v>
      </c>
      <c r="H4045" t="s">
        <v>31590</v>
      </c>
      <c r="I4045" t="s">
        <v>4046</v>
      </c>
      <c r="J4045" t="s">
        <v>34424</v>
      </c>
      <c r="K4045" t="s">
        <v>41192</v>
      </c>
      <c r="M4045" t="s">
        <v>42994</v>
      </c>
      <c r="N4045" t="s">
        <v>45095</v>
      </c>
      <c r="O4045" t="s">
        <v>45096</v>
      </c>
      <c r="P4045">
        <v>0</v>
      </c>
      <c r="Q4045">
        <v>0</v>
      </c>
      <c r="R4045" t="s">
        <v>45101</v>
      </c>
      <c r="S4045" t="s">
        <v>45231</v>
      </c>
      <c r="T4045" t="s">
        <v>46918</v>
      </c>
      <c r="U4045" t="s">
        <v>50920</v>
      </c>
      <c r="W4045" t="s">
        <v>42994</v>
      </c>
      <c r="X4045" t="s">
        <v>45102</v>
      </c>
    </row>
    <row r="4046" spans="1:24">
      <c r="A4046">
        <f>HYPERLINK("https://www.philgeps.gov.ph/GEPSNONPILOT/Tender/SplashBidNoticeAbstractUI.aspx?menuIndex=3&amp;refID=7041598&amp;Result=3","7041598")</f>
        <v>0</v>
      </c>
      <c r="B4046" t="s">
        <v>1419</v>
      </c>
      <c r="C4046" t="s">
        <v>7063</v>
      </c>
      <c r="D4046" t="s">
        <v>18057</v>
      </c>
      <c r="E4046" t="s">
        <v>21730</v>
      </c>
      <c r="F4046" t="s">
        <v>31574</v>
      </c>
      <c r="G4046" t="s">
        <v>31581</v>
      </c>
      <c r="H4046" t="s">
        <v>31590</v>
      </c>
      <c r="I4046" t="s">
        <v>31600</v>
      </c>
      <c r="J4046" t="s">
        <v>34425</v>
      </c>
      <c r="K4046" t="s">
        <v>41184</v>
      </c>
      <c r="M4046" t="s">
        <v>42995</v>
      </c>
      <c r="N4046" t="s">
        <v>45095</v>
      </c>
      <c r="O4046" t="s">
        <v>45096</v>
      </c>
      <c r="P4046">
        <v>0</v>
      </c>
      <c r="Q4046">
        <v>4</v>
      </c>
      <c r="R4046" t="s">
        <v>45101</v>
      </c>
      <c r="S4046" t="s">
        <v>45231</v>
      </c>
      <c r="T4046" t="s">
        <v>46979</v>
      </c>
      <c r="U4046" t="s">
        <v>50921</v>
      </c>
      <c r="V4046" t="s">
        <v>60254</v>
      </c>
      <c r="W4046" t="s">
        <v>42995</v>
      </c>
      <c r="X4046" t="s">
        <v>45102</v>
      </c>
    </row>
    <row r="4047" spans="1:24">
      <c r="A4047">
        <f>HYPERLINK("https://www.philgeps.gov.ph/GEPSNONPILOT/Tender/SplashBidNoticeAbstractUI.aspx?menuIndex=3&amp;refID=7041595&amp;Result=3","7041595")</f>
        <v>0</v>
      </c>
      <c r="B4047" t="s">
        <v>533</v>
      </c>
      <c r="C4047" t="s">
        <v>7064</v>
      </c>
      <c r="D4047" t="s">
        <v>18075</v>
      </c>
      <c r="E4047" t="s">
        <v>21731</v>
      </c>
      <c r="F4047" t="s">
        <v>31574</v>
      </c>
      <c r="G4047" t="s">
        <v>31582</v>
      </c>
      <c r="H4047" t="s">
        <v>31591</v>
      </c>
      <c r="I4047" t="s">
        <v>8822</v>
      </c>
      <c r="J4047" t="s">
        <v>31730</v>
      </c>
      <c r="K4047" t="s">
        <v>41236</v>
      </c>
      <c r="M4047" t="s">
        <v>42964</v>
      </c>
      <c r="N4047" t="s">
        <v>45095</v>
      </c>
      <c r="O4047" t="s">
        <v>45096</v>
      </c>
      <c r="P4047">
        <v>0</v>
      </c>
      <c r="Q4047">
        <v>0</v>
      </c>
      <c r="R4047" t="s">
        <v>45101</v>
      </c>
      <c r="S4047" t="s">
        <v>45231</v>
      </c>
      <c r="T4047" t="s">
        <v>47201</v>
      </c>
      <c r="U4047" t="s">
        <v>50835</v>
      </c>
      <c r="W4047" t="s">
        <v>42964</v>
      </c>
      <c r="X4047" t="s">
        <v>45102</v>
      </c>
    </row>
    <row r="4048" spans="1:24">
      <c r="A4048">
        <f>HYPERLINK("https://www.philgeps.gov.ph/GEPSNONPILOT/Tender/SplashBidNoticeAbstractUI.aspx?menuIndex=3&amp;refID=7041622&amp;Result=3","7041622")</f>
        <v>0</v>
      </c>
      <c r="B4048" t="s">
        <v>1420</v>
      </c>
      <c r="C4048" t="s">
        <v>7065</v>
      </c>
      <c r="D4048" t="s">
        <v>18022</v>
      </c>
      <c r="E4048" t="s">
        <v>21732</v>
      </c>
      <c r="F4048" t="s">
        <v>31574</v>
      </c>
      <c r="G4048" t="s">
        <v>31581</v>
      </c>
      <c r="H4048" t="s">
        <v>31590</v>
      </c>
      <c r="I4048" t="s">
        <v>31608</v>
      </c>
      <c r="J4048" t="s">
        <v>32000</v>
      </c>
      <c r="K4048" t="s">
        <v>41190</v>
      </c>
      <c r="M4048" t="s">
        <v>42996</v>
      </c>
      <c r="N4048" t="s">
        <v>45095</v>
      </c>
      <c r="O4048" t="s">
        <v>45096</v>
      </c>
      <c r="P4048">
        <v>0</v>
      </c>
      <c r="Q4048">
        <v>8</v>
      </c>
      <c r="R4048" t="s">
        <v>45101</v>
      </c>
      <c r="S4048" t="s">
        <v>45231</v>
      </c>
      <c r="T4048" t="s">
        <v>47125</v>
      </c>
      <c r="U4048" t="s">
        <v>50922</v>
      </c>
      <c r="W4048" t="s">
        <v>42996</v>
      </c>
      <c r="X4048" t="s">
        <v>45102</v>
      </c>
    </row>
    <row r="4049" spans="1:24">
      <c r="A4049">
        <f>HYPERLINK("https://www.philgeps.gov.ph/GEPSNONPILOT/Tender/SplashBidNoticeAbstractUI.aspx?menuIndex=3&amp;refID=7041591&amp;Result=3","7041591")</f>
        <v>0</v>
      </c>
      <c r="B4049" t="s">
        <v>1421</v>
      </c>
      <c r="C4049" t="s">
        <v>7066</v>
      </c>
      <c r="D4049" t="s">
        <v>18044</v>
      </c>
      <c r="E4049" t="s">
        <v>21733</v>
      </c>
      <c r="F4049" t="s">
        <v>31574</v>
      </c>
      <c r="G4049" t="s">
        <v>31588</v>
      </c>
      <c r="H4049" t="s">
        <v>31591</v>
      </c>
      <c r="I4049" t="s">
        <v>31663</v>
      </c>
      <c r="J4049" t="s">
        <v>32036</v>
      </c>
      <c r="K4049" t="s">
        <v>41200</v>
      </c>
      <c r="M4049" t="s">
        <v>42997</v>
      </c>
      <c r="N4049" t="s">
        <v>45095</v>
      </c>
      <c r="O4049" t="s">
        <v>45096</v>
      </c>
      <c r="P4049">
        <v>0</v>
      </c>
      <c r="Q4049">
        <v>0</v>
      </c>
      <c r="R4049" t="s">
        <v>45101</v>
      </c>
      <c r="S4049" t="s">
        <v>45231</v>
      </c>
      <c r="T4049" t="s">
        <v>47134</v>
      </c>
      <c r="U4049" t="s">
        <v>50923</v>
      </c>
      <c r="V4049" t="s">
        <v>60255</v>
      </c>
      <c r="W4049" t="s">
        <v>42997</v>
      </c>
      <c r="X4049" t="s">
        <v>45102</v>
      </c>
    </row>
    <row r="4050" spans="1:24">
      <c r="A4050">
        <f>HYPERLINK("https://www.philgeps.gov.ph/GEPSNONPILOT/Tender/SplashBidNoticeAbstractUI.aspx?menuIndex=3&amp;refID=7041617&amp;Result=3","7041617")</f>
        <v>0</v>
      </c>
      <c r="B4050" t="s">
        <v>1310</v>
      </c>
      <c r="C4050" t="s">
        <v>7067</v>
      </c>
      <c r="D4050" t="s">
        <v>18074</v>
      </c>
      <c r="E4050" t="s">
        <v>21734</v>
      </c>
      <c r="F4050" t="s">
        <v>31574</v>
      </c>
      <c r="G4050" t="s">
        <v>31582</v>
      </c>
      <c r="H4050" t="s">
        <v>31590</v>
      </c>
      <c r="I4050" t="s">
        <v>4327</v>
      </c>
      <c r="J4050" t="s">
        <v>34426</v>
      </c>
      <c r="K4050" t="s">
        <v>41190</v>
      </c>
      <c r="M4050" t="s">
        <v>42880</v>
      </c>
      <c r="N4050" t="s">
        <v>45095</v>
      </c>
      <c r="O4050" t="s">
        <v>45096</v>
      </c>
      <c r="P4050">
        <v>0</v>
      </c>
      <c r="Q4050">
        <v>0</v>
      </c>
      <c r="R4050" t="s">
        <v>45101</v>
      </c>
      <c r="S4050" t="s">
        <v>45231</v>
      </c>
      <c r="T4050" t="s">
        <v>47043</v>
      </c>
      <c r="U4050" t="s">
        <v>50924</v>
      </c>
      <c r="W4050" t="s">
        <v>42880</v>
      </c>
      <c r="X4050" t="s">
        <v>45102</v>
      </c>
    </row>
    <row r="4051" spans="1:24">
      <c r="A4051">
        <f>HYPERLINK("https://www.philgeps.gov.ph/GEPSNONPILOT/Tender/SplashBidNoticeAbstractUI.aspx?menuIndex=3&amp;refID=7041593&amp;Result=3","7041593")</f>
        <v>0</v>
      </c>
      <c r="B4051" t="s">
        <v>427</v>
      </c>
      <c r="C4051" t="s">
        <v>7068</v>
      </c>
      <c r="D4051" t="s">
        <v>18044</v>
      </c>
      <c r="E4051" t="s">
        <v>21735</v>
      </c>
      <c r="F4051" t="s">
        <v>31574</v>
      </c>
      <c r="G4051" t="s">
        <v>31583</v>
      </c>
      <c r="H4051" t="s">
        <v>31590</v>
      </c>
      <c r="I4051" t="s">
        <v>4354</v>
      </c>
      <c r="J4051" t="s">
        <v>34427</v>
      </c>
      <c r="K4051" t="s">
        <v>41197</v>
      </c>
      <c r="M4051" t="s">
        <v>41919</v>
      </c>
      <c r="N4051" t="s">
        <v>45095</v>
      </c>
      <c r="O4051" t="s">
        <v>45096</v>
      </c>
      <c r="P4051">
        <v>0</v>
      </c>
      <c r="Q4051">
        <v>1</v>
      </c>
      <c r="R4051" t="s">
        <v>45101</v>
      </c>
      <c r="S4051" t="s">
        <v>45231</v>
      </c>
      <c r="T4051" t="s">
        <v>47159</v>
      </c>
      <c r="U4051" t="s">
        <v>50925</v>
      </c>
      <c r="W4051" t="s">
        <v>41919</v>
      </c>
      <c r="X4051" t="s">
        <v>45102</v>
      </c>
    </row>
    <row r="4052" spans="1:24">
      <c r="A4052">
        <f>HYPERLINK("https://www.philgeps.gov.ph/GEPSNONPILOT/Tender/SplashBidNoticeAbstractUI.aspx?menuIndex=3&amp;refID=7041620&amp;Result=3","7041620")</f>
        <v>0</v>
      </c>
      <c r="B4052" t="s">
        <v>1092</v>
      </c>
      <c r="C4052" t="s">
        <v>7069</v>
      </c>
      <c r="D4052" t="s">
        <v>18022</v>
      </c>
      <c r="E4052" t="s">
        <v>21736</v>
      </c>
      <c r="F4052" t="s">
        <v>31574</v>
      </c>
      <c r="G4052" t="s">
        <v>31581</v>
      </c>
      <c r="H4052" t="s">
        <v>31590</v>
      </c>
      <c r="I4052" t="s">
        <v>31608</v>
      </c>
      <c r="J4052" t="s">
        <v>34428</v>
      </c>
      <c r="K4052" t="s">
        <v>41184</v>
      </c>
      <c r="M4052" t="s">
        <v>42641</v>
      </c>
      <c r="N4052" t="s">
        <v>45095</v>
      </c>
      <c r="O4052" t="s">
        <v>45096</v>
      </c>
      <c r="P4052">
        <v>0</v>
      </c>
      <c r="Q4052">
        <v>16</v>
      </c>
      <c r="R4052" t="s">
        <v>45101</v>
      </c>
      <c r="S4052" t="s">
        <v>45231</v>
      </c>
      <c r="T4052" t="s">
        <v>47176</v>
      </c>
      <c r="U4052" t="s">
        <v>50926</v>
      </c>
      <c r="W4052" t="s">
        <v>42641</v>
      </c>
      <c r="X4052" t="s">
        <v>45102</v>
      </c>
    </row>
    <row r="4053" spans="1:24">
      <c r="A4053">
        <f>HYPERLINK("https://www.philgeps.gov.ph/GEPSNONPILOT/Tender/SplashBidNoticeAbstractUI.aspx?menuIndex=3&amp;refID=7041584&amp;Result=3","7041584")</f>
        <v>0</v>
      </c>
      <c r="B4053" t="s">
        <v>415</v>
      </c>
      <c r="C4053" t="s">
        <v>7070</v>
      </c>
      <c r="D4053" t="s">
        <v>18022</v>
      </c>
      <c r="E4053" t="s">
        <v>21737</v>
      </c>
      <c r="F4053" t="s">
        <v>31574</v>
      </c>
      <c r="G4053" t="s">
        <v>31583</v>
      </c>
      <c r="H4053" t="s">
        <v>31590</v>
      </c>
      <c r="I4053" t="s">
        <v>8258</v>
      </c>
      <c r="J4053" t="s">
        <v>34429</v>
      </c>
      <c r="K4053" t="s">
        <v>41190</v>
      </c>
      <c r="M4053" t="s">
        <v>42861</v>
      </c>
      <c r="N4053" t="s">
        <v>45095</v>
      </c>
      <c r="O4053" t="s">
        <v>45096</v>
      </c>
      <c r="P4053">
        <v>0</v>
      </c>
      <c r="Q4053">
        <v>1</v>
      </c>
      <c r="R4053" t="s">
        <v>45101</v>
      </c>
      <c r="S4053" t="s">
        <v>45231</v>
      </c>
      <c r="T4053" t="s">
        <v>47158</v>
      </c>
      <c r="U4053" t="s">
        <v>50927</v>
      </c>
      <c r="W4053" t="s">
        <v>42861</v>
      </c>
      <c r="X4053" t="s">
        <v>45102</v>
      </c>
    </row>
    <row r="4054" spans="1:24">
      <c r="A4054">
        <f>HYPERLINK("https://www.philgeps.gov.ph/GEPSNONPILOT/Tender/SplashBidNoticeAbstractUI.aspx?menuIndex=3&amp;refID=7041613&amp;Result=3","7041613")</f>
        <v>0</v>
      </c>
      <c r="B4054" t="s">
        <v>1394</v>
      </c>
      <c r="C4054" t="s">
        <v>7071</v>
      </c>
      <c r="D4054" t="s">
        <v>18095</v>
      </c>
      <c r="E4054" t="s">
        <v>21738</v>
      </c>
      <c r="F4054" t="s">
        <v>31574</v>
      </c>
      <c r="G4054" t="s">
        <v>31581</v>
      </c>
      <c r="H4054" t="s">
        <v>31590</v>
      </c>
      <c r="I4054" t="s">
        <v>31605</v>
      </c>
      <c r="J4054" t="s">
        <v>34430</v>
      </c>
      <c r="K4054" t="s">
        <v>41213</v>
      </c>
      <c r="M4054" t="s">
        <v>42969</v>
      </c>
      <c r="N4054" t="s">
        <v>45095</v>
      </c>
      <c r="O4054" t="s">
        <v>45096</v>
      </c>
      <c r="P4054">
        <v>0</v>
      </c>
      <c r="Q4054">
        <v>6</v>
      </c>
      <c r="R4054" t="s">
        <v>45101</v>
      </c>
      <c r="S4054" t="s">
        <v>45231</v>
      </c>
      <c r="T4054" t="s">
        <v>46969</v>
      </c>
      <c r="U4054" t="s">
        <v>50928</v>
      </c>
      <c r="W4054" t="s">
        <v>42969</v>
      </c>
      <c r="X4054" t="s">
        <v>45102</v>
      </c>
    </row>
    <row r="4055" spans="1:24">
      <c r="A4055">
        <f>HYPERLINK("https://www.philgeps.gov.ph/GEPSNONPILOT/Tender/SplashBidNoticeAbstractUI.aspx?menuIndex=3&amp;refID=7041619&amp;Result=3","7041619")</f>
        <v>0</v>
      </c>
      <c r="B4055" t="s">
        <v>1422</v>
      </c>
      <c r="C4055" t="s">
        <v>7072</v>
      </c>
      <c r="D4055" t="s">
        <v>18084</v>
      </c>
      <c r="E4055" t="s">
        <v>21739</v>
      </c>
      <c r="F4055" t="s">
        <v>31574</v>
      </c>
      <c r="G4055" t="s">
        <v>31584</v>
      </c>
      <c r="H4055" t="s">
        <v>31590</v>
      </c>
      <c r="I4055" t="s">
        <v>3487</v>
      </c>
      <c r="J4055" t="s">
        <v>33039</v>
      </c>
      <c r="K4055" t="s">
        <v>41184</v>
      </c>
      <c r="M4055" t="s">
        <v>42998</v>
      </c>
      <c r="N4055" t="s">
        <v>45095</v>
      </c>
      <c r="O4055" t="s">
        <v>45096</v>
      </c>
      <c r="P4055">
        <v>0</v>
      </c>
      <c r="Q4055">
        <v>4</v>
      </c>
      <c r="R4055" t="s">
        <v>45101</v>
      </c>
      <c r="S4055" t="s">
        <v>45231</v>
      </c>
      <c r="T4055" t="s">
        <v>47154</v>
      </c>
      <c r="U4055" t="s">
        <v>50929</v>
      </c>
      <c r="W4055" t="s">
        <v>42998</v>
      </c>
      <c r="X4055" t="s">
        <v>45102</v>
      </c>
    </row>
    <row r="4056" spans="1:24">
      <c r="A4056">
        <f>HYPERLINK("https://www.philgeps.gov.ph/GEPSNONPILOT/Tender/SplashBidNoticeAbstractUI.aspx?menuIndex=3&amp;refID=7041616&amp;Result=3","7041616")</f>
        <v>0</v>
      </c>
      <c r="B4056" t="s">
        <v>533</v>
      </c>
      <c r="C4056" t="s">
        <v>7073</v>
      </c>
      <c r="D4056" t="s">
        <v>18075</v>
      </c>
      <c r="E4056" t="s">
        <v>21740</v>
      </c>
      <c r="F4056" t="s">
        <v>31574</v>
      </c>
      <c r="G4056" t="s">
        <v>31582</v>
      </c>
      <c r="H4056" t="s">
        <v>31591</v>
      </c>
      <c r="I4056" t="s">
        <v>8822</v>
      </c>
      <c r="J4056" t="s">
        <v>32076</v>
      </c>
      <c r="K4056" t="s">
        <v>41309</v>
      </c>
      <c r="M4056" t="s">
        <v>42964</v>
      </c>
      <c r="N4056" t="s">
        <v>45095</v>
      </c>
      <c r="O4056" t="s">
        <v>45096</v>
      </c>
      <c r="P4056">
        <v>0</v>
      </c>
      <c r="Q4056">
        <v>0</v>
      </c>
      <c r="R4056" t="s">
        <v>45101</v>
      </c>
      <c r="S4056" t="s">
        <v>45231</v>
      </c>
      <c r="T4056" t="s">
        <v>47201</v>
      </c>
      <c r="U4056" t="s">
        <v>50835</v>
      </c>
      <c r="W4056" t="s">
        <v>42964</v>
      </c>
      <c r="X4056" t="s">
        <v>45102</v>
      </c>
    </row>
    <row r="4057" spans="1:24">
      <c r="A4057">
        <f>HYPERLINK("https://www.philgeps.gov.ph/GEPSNONPILOT/Tender/SplashBidNoticeAbstractUI.aspx?menuIndex=3&amp;refID=7041612&amp;Result=3","7041612")</f>
        <v>0</v>
      </c>
      <c r="B4057" t="s">
        <v>115</v>
      </c>
      <c r="C4057" t="s">
        <v>7074</v>
      </c>
      <c r="D4057" t="s">
        <v>18040</v>
      </c>
      <c r="E4057" t="s">
        <v>21741</v>
      </c>
      <c r="F4057" t="s">
        <v>31574</v>
      </c>
      <c r="G4057" t="s">
        <v>31584</v>
      </c>
      <c r="H4057" t="s">
        <v>31590</v>
      </c>
      <c r="I4057" t="s">
        <v>5717</v>
      </c>
      <c r="J4057" t="s">
        <v>31742</v>
      </c>
      <c r="K4057" t="s">
        <v>41193</v>
      </c>
      <c r="M4057" t="s">
        <v>41599</v>
      </c>
      <c r="N4057" t="s">
        <v>45095</v>
      </c>
      <c r="O4057" t="s">
        <v>45096</v>
      </c>
      <c r="P4057">
        <v>0</v>
      </c>
      <c r="Q4057">
        <v>1</v>
      </c>
      <c r="R4057" t="s">
        <v>45101</v>
      </c>
      <c r="S4057" t="s">
        <v>45231</v>
      </c>
      <c r="T4057" t="s">
        <v>47158</v>
      </c>
      <c r="U4057" t="s">
        <v>50930</v>
      </c>
      <c r="W4057" t="s">
        <v>41599</v>
      </c>
      <c r="X4057" t="s">
        <v>45102</v>
      </c>
    </row>
    <row r="4058" spans="1:24">
      <c r="A4058">
        <f>HYPERLINK("https://www.philgeps.gov.ph/GEPSNONPILOT/Tender/SplashBidNoticeAbstractUI.aspx?menuIndex=3&amp;refID=7041623&amp;Result=3","7041623")</f>
        <v>0</v>
      </c>
      <c r="B4058" t="s">
        <v>171</v>
      </c>
      <c r="C4058" t="s">
        <v>7075</v>
      </c>
      <c r="E4058" t="s">
        <v>21742</v>
      </c>
      <c r="F4058" t="s">
        <v>31574</v>
      </c>
      <c r="G4058" t="s">
        <v>31581</v>
      </c>
      <c r="H4058" t="s">
        <v>31590</v>
      </c>
      <c r="I4058" t="s">
        <v>4046</v>
      </c>
      <c r="J4058" t="s">
        <v>33035</v>
      </c>
      <c r="K4058" t="s">
        <v>41184</v>
      </c>
      <c r="M4058" t="s">
        <v>41655</v>
      </c>
      <c r="N4058" t="s">
        <v>45095</v>
      </c>
      <c r="O4058" t="s">
        <v>45096</v>
      </c>
      <c r="P4058">
        <v>0</v>
      </c>
      <c r="Q4058">
        <v>0</v>
      </c>
      <c r="R4058" t="s">
        <v>45101</v>
      </c>
      <c r="S4058" t="s">
        <v>45231</v>
      </c>
      <c r="T4058" t="s">
        <v>47191</v>
      </c>
      <c r="U4058" t="s">
        <v>50931</v>
      </c>
      <c r="W4058" t="s">
        <v>41655</v>
      </c>
      <c r="X4058" t="s">
        <v>45102</v>
      </c>
    </row>
    <row r="4059" spans="1:24">
      <c r="A4059">
        <f>HYPERLINK("https://www.philgeps.gov.ph/GEPSNONPILOT/Tender/SplashBidNoticeAbstractUI.aspx?menuIndex=3&amp;refID=7041603&amp;Result=3","7041603")</f>
        <v>0</v>
      </c>
      <c r="B4059" t="s">
        <v>1423</v>
      </c>
      <c r="C4059" t="s">
        <v>7076</v>
      </c>
      <c r="D4059" t="s">
        <v>18053</v>
      </c>
      <c r="E4059" t="s">
        <v>21743</v>
      </c>
      <c r="F4059" t="s">
        <v>31574</v>
      </c>
      <c r="G4059" t="s">
        <v>31581</v>
      </c>
      <c r="H4059" t="s">
        <v>31593</v>
      </c>
      <c r="I4059" t="s">
        <v>31593</v>
      </c>
      <c r="J4059" t="s">
        <v>32389</v>
      </c>
      <c r="K4059" t="s">
        <v>41191</v>
      </c>
      <c r="M4059" t="s">
        <v>42999</v>
      </c>
      <c r="N4059" t="s">
        <v>45095</v>
      </c>
      <c r="O4059" t="s">
        <v>45096</v>
      </c>
      <c r="P4059">
        <v>0</v>
      </c>
      <c r="Q4059">
        <v>0</v>
      </c>
      <c r="R4059" t="s">
        <v>45101</v>
      </c>
      <c r="S4059" t="s">
        <v>45231</v>
      </c>
      <c r="T4059" t="s">
        <v>46932</v>
      </c>
      <c r="U4059" t="s">
        <v>50932</v>
      </c>
      <c r="V4059" t="s">
        <v>60256</v>
      </c>
      <c r="W4059" t="s">
        <v>42999</v>
      </c>
      <c r="X4059" t="s">
        <v>45102</v>
      </c>
    </row>
    <row r="4060" spans="1:24">
      <c r="A4060">
        <f>HYPERLINK("https://www.philgeps.gov.ph/GEPSNONPILOT/Tender/SplashBidNoticeAbstractUI.aspx?menuIndex=3&amp;refID=7041606&amp;Result=3","7041606")</f>
        <v>0</v>
      </c>
      <c r="B4060" t="s">
        <v>1424</v>
      </c>
      <c r="C4060" t="s">
        <v>7077</v>
      </c>
      <c r="D4060" t="s">
        <v>18046</v>
      </c>
      <c r="E4060" t="s">
        <v>21744</v>
      </c>
      <c r="F4060" t="s">
        <v>31574</v>
      </c>
      <c r="G4060" t="s">
        <v>31583</v>
      </c>
      <c r="H4060" t="s">
        <v>31590</v>
      </c>
      <c r="I4060" t="s">
        <v>31610</v>
      </c>
      <c r="J4060" t="s">
        <v>31780</v>
      </c>
      <c r="K4060" t="s">
        <v>41212</v>
      </c>
      <c r="M4060" t="s">
        <v>43000</v>
      </c>
      <c r="N4060" t="s">
        <v>45095</v>
      </c>
      <c r="O4060" t="s">
        <v>45096</v>
      </c>
      <c r="P4060">
        <v>0</v>
      </c>
      <c r="Q4060">
        <v>2</v>
      </c>
      <c r="R4060" t="s">
        <v>45101</v>
      </c>
      <c r="S4060" t="s">
        <v>45231</v>
      </c>
      <c r="T4060" t="s">
        <v>47106</v>
      </c>
      <c r="U4060" t="s">
        <v>50933</v>
      </c>
      <c r="W4060" t="s">
        <v>43000</v>
      </c>
      <c r="X4060" t="s">
        <v>45102</v>
      </c>
    </row>
    <row r="4061" spans="1:24">
      <c r="A4061">
        <f>HYPERLINK("https://www.philgeps.gov.ph/GEPSNONPILOT/Tender/SplashBidNoticeAbstractUI.aspx?menuIndex=3&amp;refID=7041624&amp;Result=3","7041624")</f>
        <v>0</v>
      </c>
      <c r="B4061" t="s">
        <v>299</v>
      </c>
      <c r="C4061" t="s">
        <v>7078</v>
      </c>
      <c r="D4061" t="s">
        <v>18081</v>
      </c>
      <c r="E4061" t="s">
        <v>21745</v>
      </c>
      <c r="F4061" t="s">
        <v>31574</v>
      </c>
      <c r="G4061" t="s">
        <v>31581</v>
      </c>
      <c r="H4061" t="s">
        <v>31590</v>
      </c>
      <c r="I4061" t="s">
        <v>31602</v>
      </c>
      <c r="J4061" t="s">
        <v>32197</v>
      </c>
      <c r="K4061" t="s">
        <v>41196</v>
      </c>
      <c r="M4061" t="s">
        <v>41785</v>
      </c>
      <c r="N4061" t="s">
        <v>45095</v>
      </c>
      <c r="O4061" t="s">
        <v>45096</v>
      </c>
      <c r="P4061">
        <v>0</v>
      </c>
      <c r="Q4061">
        <v>0</v>
      </c>
      <c r="R4061" t="s">
        <v>45101</v>
      </c>
      <c r="S4061" t="s">
        <v>45231</v>
      </c>
      <c r="T4061" t="s">
        <v>47064</v>
      </c>
      <c r="U4061" t="s">
        <v>50934</v>
      </c>
      <c r="W4061" t="s">
        <v>41785</v>
      </c>
      <c r="X4061" t="s">
        <v>45102</v>
      </c>
    </row>
    <row r="4062" spans="1:24">
      <c r="A4062">
        <f>HYPERLINK("https://www.philgeps.gov.ph/GEPSNONPILOT/Tender/SplashBidNoticeAbstractUI.aspx?menuIndex=3&amp;refID=7041605&amp;Result=3","7041605")</f>
        <v>0</v>
      </c>
      <c r="B4062" t="s">
        <v>1115</v>
      </c>
      <c r="C4062" t="s">
        <v>7079</v>
      </c>
      <c r="D4062" t="s">
        <v>18074</v>
      </c>
      <c r="E4062" t="s">
        <v>21746</v>
      </c>
      <c r="F4062" t="s">
        <v>31574</v>
      </c>
      <c r="G4062" t="s">
        <v>31582</v>
      </c>
      <c r="H4062" t="s">
        <v>31590</v>
      </c>
      <c r="I4062" t="s">
        <v>4046</v>
      </c>
      <c r="J4062" t="s">
        <v>31843</v>
      </c>
      <c r="K4062" t="s">
        <v>41190</v>
      </c>
      <c r="M4062" t="s">
        <v>42664</v>
      </c>
      <c r="N4062" t="s">
        <v>45095</v>
      </c>
      <c r="O4062" t="s">
        <v>45096</v>
      </c>
      <c r="P4062">
        <v>0</v>
      </c>
      <c r="Q4062">
        <v>0</v>
      </c>
      <c r="R4062" t="s">
        <v>45101</v>
      </c>
      <c r="S4062" t="s">
        <v>45231</v>
      </c>
      <c r="T4062" t="s">
        <v>46934</v>
      </c>
      <c r="U4062" t="s">
        <v>50935</v>
      </c>
      <c r="V4062" t="s">
        <v>60257</v>
      </c>
      <c r="W4062" t="s">
        <v>42664</v>
      </c>
      <c r="X4062" t="s">
        <v>45102</v>
      </c>
    </row>
    <row r="4063" spans="1:24">
      <c r="A4063">
        <f>HYPERLINK("https://www.philgeps.gov.ph/GEPSNONPILOT/Tender/SplashBidNoticeAbstractUI.aspx?menuIndex=3&amp;refID=7041651&amp;Result=3","7041651")</f>
        <v>0</v>
      </c>
      <c r="B4063" t="s">
        <v>1425</v>
      </c>
      <c r="C4063" t="s">
        <v>7080</v>
      </c>
      <c r="D4063" t="s">
        <v>18090</v>
      </c>
      <c r="E4063" t="s">
        <v>21747</v>
      </c>
      <c r="F4063" t="s">
        <v>31574</v>
      </c>
      <c r="G4063" t="s">
        <v>31582</v>
      </c>
      <c r="H4063" t="s">
        <v>31590</v>
      </c>
      <c r="I4063" t="s">
        <v>31653</v>
      </c>
      <c r="J4063" t="s">
        <v>31819</v>
      </c>
      <c r="K4063" t="s">
        <v>41200</v>
      </c>
      <c r="L4063" t="s">
        <v>1425</v>
      </c>
      <c r="M4063" t="s">
        <v>43001</v>
      </c>
      <c r="N4063" t="s">
        <v>45095</v>
      </c>
      <c r="O4063" t="s">
        <v>45096</v>
      </c>
      <c r="P4063">
        <v>0</v>
      </c>
      <c r="Q4063">
        <v>1</v>
      </c>
      <c r="R4063" t="s">
        <v>45101</v>
      </c>
      <c r="S4063" t="s">
        <v>45231</v>
      </c>
      <c r="T4063" t="s">
        <v>46915</v>
      </c>
      <c r="U4063" t="s">
        <v>50936</v>
      </c>
      <c r="W4063" t="s">
        <v>43001</v>
      </c>
      <c r="X4063" t="s">
        <v>45102</v>
      </c>
    </row>
    <row r="4064" spans="1:24">
      <c r="A4064">
        <f>HYPERLINK("https://www.philgeps.gov.ph/GEPSNONPILOT/Tender/SplashBidNoticeAbstractUI.aspx?menuIndex=3&amp;refID=7041637&amp;Result=3","7041637")</f>
        <v>0</v>
      </c>
      <c r="B4064" t="s">
        <v>1376</v>
      </c>
      <c r="C4064" t="s">
        <v>7081</v>
      </c>
      <c r="E4064" t="s">
        <v>21748</v>
      </c>
      <c r="F4064" t="s">
        <v>31574</v>
      </c>
      <c r="G4064" t="s">
        <v>31582</v>
      </c>
      <c r="H4064" t="s">
        <v>31593</v>
      </c>
      <c r="I4064" t="s">
        <v>31593</v>
      </c>
      <c r="J4064" t="s">
        <v>34431</v>
      </c>
      <c r="K4064" t="s">
        <v>41184</v>
      </c>
      <c r="M4064" t="s">
        <v>42950</v>
      </c>
      <c r="N4064" t="s">
        <v>45095</v>
      </c>
      <c r="O4064" t="s">
        <v>45096</v>
      </c>
      <c r="P4064">
        <v>0</v>
      </c>
      <c r="Q4064">
        <v>2</v>
      </c>
      <c r="R4064" t="s">
        <v>45101</v>
      </c>
      <c r="S4064" t="s">
        <v>45231</v>
      </c>
      <c r="T4064" t="s">
        <v>47199</v>
      </c>
      <c r="U4064" t="s">
        <v>50937</v>
      </c>
      <c r="W4064" t="s">
        <v>42950</v>
      </c>
      <c r="X4064" t="s">
        <v>45102</v>
      </c>
    </row>
    <row r="4065" spans="1:24">
      <c r="A4065">
        <f>HYPERLINK("https://www.philgeps.gov.ph/GEPSNONPILOT/Tender/SplashBidNoticeAbstractUI.aspx?menuIndex=3&amp;refID=7041627&amp;Result=3","7041627")</f>
        <v>0</v>
      </c>
      <c r="B4065" t="s">
        <v>1426</v>
      </c>
      <c r="C4065" t="s">
        <v>7082</v>
      </c>
      <c r="E4065" t="s">
        <v>18315</v>
      </c>
      <c r="F4065" t="s">
        <v>31574</v>
      </c>
      <c r="G4065" t="s">
        <v>31582</v>
      </c>
      <c r="H4065" t="s">
        <v>31590</v>
      </c>
      <c r="I4065" t="s">
        <v>4046</v>
      </c>
      <c r="J4065" t="s">
        <v>34432</v>
      </c>
      <c r="K4065" t="s">
        <v>41190</v>
      </c>
      <c r="M4065" t="s">
        <v>43002</v>
      </c>
      <c r="N4065" t="s">
        <v>45095</v>
      </c>
      <c r="O4065" t="s">
        <v>45096</v>
      </c>
      <c r="P4065">
        <v>0</v>
      </c>
      <c r="Q4065">
        <v>1</v>
      </c>
      <c r="R4065" t="s">
        <v>45101</v>
      </c>
      <c r="S4065" t="s">
        <v>45231</v>
      </c>
      <c r="T4065" t="s">
        <v>47166</v>
      </c>
      <c r="U4065" t="s">
        <v>50938</v>
      </c>
      <c r="V4065" t="s">
        <v>60258</v>
      </c>
      <c r="W4065" t="s">
        <v>43002</v>
      </c>
      <c r="X4065" t="s">
        <v>45102</v>
      </c>
    </row>
    <row r="4066" spans="1:24">
      <c r="A4066">
        <f>HYPERLINK("https://www.philgeps.gov.ph/GEPSNONPILOT/Tender/SplashBidNoticeAbstractUI.aspx?menuIndex=3&amp;refID=7041635&amp;Result=3","7041635")</f>
        <v>0</v>
      </c>
      <c r="B4066" t="s">
        <v>1427</v>
      </c>
      <c r="C4066" t="s">
        <v>7083</v>
      </c>
      <c r="D4066" t="s">
        <v>18072</v>
      </c>
      <c r="E4066" t="s">
        <v>18227</v>
      </c>
      <c r="F4066" t="s">
        <v>31574</v>
      </c>
      <c r="G4066" t="s">
        <v>31582</v>
      </c>
      <c r="H4066" t="s">
        <v>31590</v>
      </c>
      <c r="I4066" t="s">
        <v>31640</v>
      </c>
      <c r="J4066" t="s">
        <v>34433</v>
      </c>
      <c r="K4066" t="s">
        <v>41191</v>
      </c>
      <c r="M4066" t="s">
        <v>43003</v>
      </c>
      <c r="N4066" t="s">
        <v>45095</v>
      </c>
      <c r="O4066" t="s">
        <v>45096</v>
      </c>
      <c r="P4066">
        <v>0</v>
      </c>
      <c r="Q4066">
        <v>5</v>
      </c>
      <c r="R4066" t="s">
        <v>45101</v>
      </c>
      <c r="S4066" t="s">
        <v>45231</v>
      </c>
      <c r="T4066" t="s">
        <v>46977</v>
      </c>
      <c r="U4066" t="s">
        <v>50939</v>
      </c>
      <c r="V4066" t="s">
        <v>60259</v>
      </c>
      <c r="W4066" t="s">
        <v>43003</v>
      </c>
      <c r="X4066" t="s">
        <v>45102</v>
      </c>
    </row>
    <row r="4067" spans="1:24">
      <c r="A4067">
        <f>HYPERLINK("https://www.philgeps.gov.ph/GEPSNONPILOT/Tender/SplashBidNoticeAbstractUI.aspx?menuIndex=3&amp;refID=7041649&amp;Result=3","7041649")</f>
        <v>0</v>
      </c>
      <c r="B4067" t="s">
        <v>1428</v>
      </c>
      <c r="C4067" t="s">
        <v>7084</v>
      </c>
      <c r="D4067" t="s">
        <v>18059</v>
      </c>
      <c r="E4067" t="s">
        <v>21749</v>
      </c>
      <c r="F4067" t="s">
        <v>31574</v>
      </c>
      <c r="G4067" t="s">
        <v>31582</v>
      </c>
      <c r="H4067" t="s">
        <v>31590</v>
      </c>
      <c r="I4067" t="s">
        <v>31608</v>
      </c>
      <c r="J4067" t="s">
        <v>34434</v>
      </c>
      <c r="K4067" t="s">
        <v>41186</v>
      </c>
      <c r="M4067" t="s">
        <v>43004</v>
      </c>
      <c r="N4067" t="s">
        <v>45095</v>
      </c>
      <c r="O4067" t="s">
        <v>45096</v>
      </c>
      <c r="P4067">
        <v>0</v>
      </c>
      <c r="Q4067">
        <v>0</v>
      </c>
      <c r="R4067" t="s">
        <v>45101</v>
      </c>
      <c r="S4067" t="s">
        <v>45231</v>
      </c>
      <c r="T4067" t="s">
        <v>46910</v>
      </c>
      <c r="U4067" t="s">
        <v>50940</v>
      </c>
      <c r="W4067" t="s">
        <v>43004</v>
      </c>
      <c r="X4067" t="s">
        <v>45102</v>
      </c>
    </row>
    <row r="4068" spans="1:24">
      <c r="A4068">
        <f>HYPERLINK("https://www.philgeps.gov.ph/GEPSNONPILOT/Tender/SplashBidNoticeAbstractUI.aspx?menuIndex=3&amp;refID=7041641&amp;Result=3","7041641")</f>
        <v>0</v>
      </c>
      <c r="B4068" t="s">
        <v>522</v>
      </c>
      <c r="C4068" t="s">
        <v>7085</v>
      </c>
      <c r="D4068" t="s">
        <v>18101</v>
      </c>
      <c r="E4068" t="s">
        <v>21750</v>
      </c>
      <c r="F4068" t="s">
        <v>31575</v>
      </c>
      <c r="G4068" t="s">
        <v>31581</v>
      </c>
      <c r="H4068" t="s">
        <v>31592</v>
      </c>
      <c r="I4068" t="s">
        <v>31594</v>
      </c>
      <c r="J4068" t="s">
        <v>34435</v>
      </c>
      <c r="K4068" t="s">
        <v>41193</v>
      </c>
      <c r="M4068" t="s">
        <v>42018</v>
      </c>
      <c r="N4068" t="s">
        <v>45095</v>
      </c>
      <c r="O4068" t="s">
        <v>45096</v>
      </c>
      <c r="P4068">
        <v>0</v>
      </c>
      <c r="Q4068">
        <v>5</v>
      </c>
      <c r="R4068" t="s">
        <v>45101</v>
      </c>
      <c r="S4068" t="s">
        <v>45231</v>
      </c>
      <c r="T4068" t="s">
        <v>46911</v>
      </c>
      <c r="U4068" t="s">
        <v>50941</v>
      </c>
      <c r="W4068" t="s">
        <v>42018</v>
      </c>
      <c r="X4068" t="s">
        <v>45102</v>
      </c>
    </row>
    <row r="4069" spans="1:24">
      <c r="A4069">
        <f>HYPERLINK("https://www.philgeps.gov.ph/GEPSNONPILOT/Tender/SplashBidNoticeAbstractUI.aspx?menuIndex=3&amp;refID=7041632&amp;Result=3","7041632")</f>
        <v>0</v>
      </c>
      <c r="B4069" t="s">
        <v>1429</v>
      </c>
      <c r="C4069" t="s">
        <v>7086</v>
      </c>
      <c r="D4069" t="s">
        <v>18072</v>
      </c>
      <c r="E4069" t="s">
        <v>21751</v>
      </c>
      <c r="F4069" t="s">
        <v>31574</v>
      </c>
      <c r="G4069" t="s">
        <v>31582</v>
      </c>
      <c r="H4069" t="s">
        <v>31590</v>
      </c>
      <c r="I4069" t="s">
        <v>31610</v>
      </c>
      <c r="J4069" t="s">
        <v>34436</v>
      </c>
      <c r="K4069" t="s">
        <v>41186</v>
      </c>
      <c r="M4069" t="s">
        <v>43005</v>
      </c>
      <c r="N4069" t="s">
        <v>45095</v>
      </c>
      <c r="O4069" t="s">
        <v>45096</v>
      </c>
      <c r="P4069">
        <v>0</v>
      </c>
      <c r="Q4069">
        <v>1</v>
      </c>
      <c r="R4069" t="s">
        <v>45101</v>
      </c>
      <c r="S4069" t="s">
        <v>45231</v>
      </c>
      <c r="T4069" t="s">
        <v>47205</v>
      </c>
      <c r="U4069" t="s">
        <v>50942</v>
      </c>
      <c r="V4069" t="s">
        <v>60260</v>
      </c>
      <c r="W4069" t="s">
        <v>43005</v>
      </c>
      <c r="X4069" t="s">
        <v>45102</v>
      </c>
    </row>
    <row r="4070" spans="1:24">
      <c r="A4070">
        <f>HYPERLINK("https://www.philgeps.gov.ph/GEPSNONPILOT/Tender/SplashBidNoticeAbstractUI.aspx?menuIndex=3&amp;refID=7041633&amp;Result=3","7041633")</f>
        <v>0</v>
      </c>
      <c r="B4070" t="s">
        <v>1430</v>
      </c>
      <c r="C4070" t="s">
        <v>7087</v>
      </c>
      <c r="D4070" t="s">
        <v>18022</v>
      </c>
      <c r="E4070" t="s">
        <v>21752</v>
      </c>
      <c r="F4070" t="s">
        <v>31574</v>
      </c>
      <c r="G4070" t="s">
        <v>31582</v>
      </c>
      <c r="H4070" t="s">
        <v>31591</v>
      </c>
      <c r="I4070" t="s">
        <v>8822</v>
      </c>
      <c r="J4070" t="s">
        <v>34437</v>
      </c>
      <c r="K4070" t="s">
        <v>41189</v>
      </c>
      <c r="M4070" t="s">
        <v>43006</v>
      </c>
      <c r="N4070" t="s">
        <v>45095</v>
      </c>
      <c r="O4070" t="s">
        <v>45096</v>
      </c>
      <c r="P4070">
        <v>0</v>
      </c>
      <c r="Q4070">
        <v>2</v>
      </c>
      <c r="R4070" t="s">
        <v>45101</v>
      </c>
      <c r="S4070" t="s">
        <v>45231</v>
      </c>
      <c r="T4070" t="s">
        <v>47016</v>
      </c>
      <c r="U4070" t="s">
        <v>50943</v>
      </c>
      <c r="W4070" t="s">
        <v>43006</v>
      </c>
      <c r="X4070" t="s">
        <v>45102</v>
      </c>
    </row>
    <row r="4071" spans="1:24">
      <c r="A4071">
        <f>HYPERLINK("https://www.philgeps.gov.ph/GEPSNONPILOT/Tender/SplashBidNoticeAbstractUI.aspx?menuIndex=3&amp;refID=7041652&amp;Result=3","7041652")</f>
        <v>0</v>
      </c>
      <c r="B4071" t="s">
        <v>1288</v>
      </c>
      <c r="C4071" t="s">
        <v>7088</v>
      </c>
      <c r="D4071" t="s">
        <v>18057</v>
      </c>
      <c r="E4071" t="s">
        <v>21753</v>
      </c>
      <c r="F4071" t="s">
        <v>31574</v>
      </c>
      <c r="G4071" t="s">
        <v>31581</v>
      </c>
      <c r="H4071" t="s">
        <v>31590</v>
      </c>
      <c r="I4071" t="s">
        <v>3489</v>
      </c>
      <c r="J4071" t="s">
        <v>34438</v>
      </c>
      <c r="K4071" t="s">
        <v>41193</v>
      </c>
      <c r="M4071" t="s">
        <v>42857</v>
      </c>
      <c r="N4071" t="s">
        <v>45095</v>
      </c>
      <c r="O4071" t="s">
        <v>45096</v>
      </c>
      <c r="P4071">
        <v>0</v>
      </c>
      <c r="Q4071">
        <v>0</v>
      </c>
      <c r="R4071" t="s">
        <v>45101</v>
      </c>
      <c r="S4071" t="s">
        <v>45231</v>
      </c>
      <c r="T4071" t="s">
        <v>47154</v>
      </c>
      <c r="U4071" t="s">
        <v>50592</v>
      </c>
      <c r="V4071" t="s">
        <v>60261</v>
      </c>
      <c r="W4071" t="s">
        <v>42857</v>
      </c>
      <c r="X4071" t="s">
        <v>45102</v>
      </c>
    </row>
    <row r="4072" spans="1:24">
      <c r="A4072">
        <f>HYPERLINK("https://www.philgeps.gov.ph/GEPSNONPILOT/Tender/SplashBidNoticeAbstractUI.aspx?menuIndex=3&amp;refID=7041629&amp;Result=3","7041629")</f>
        <v>0</v>
      </c>
      <c r="B4072" t="s">
        <v>1131</v>
      </c>
      <c r="C4072" t="s">
        <v>7089</v>
      </c>
      <c r="D4072" t="s">
        <v>18071</v>
      </c>
      <c r="E4072" t="s">
        <v>21754</v>
      </c>
      <c r="F4072" t="s">
        <v>31574</v>
      </c>
      <c r="G4072" t="s">
        <v>31581</v>
      </c>
      <c r="H4072" t="s">
        <v>31590</v>
      </c>
      <c r="I4072" t="s">
        <v>31594</v>
      </c>
      <c r="J4072" t="s">
        <v>34439</v>
      </c>
      <c r="K4072" t="s">
        <v>41186</v>
      </c>
      <c r="M4072" t="s">
        <v>42682</v>
      </c>
      <c r="N4072" t="s">
        <v>45095</v>
      </c>
      <c r="O4072" t="s">
        <v>45096</v>
      </c>
      <c r="P4072">
        <v>0</v>
      </c>
      <c r="Q4072">
        <v>4</v>
      </c>
      <c r="R4072" t="s">
        <v>45101</v>
      </c>
      <c r="S4072" t="s">
        <v>45231</v>
      </c>
      <c r="T4072" t="s">
        <v>47064</v>
      </c>
      <c r="U4072" t="s">
        <v>50944</v>
      </c>
      <c r="W4072" t="s">
        <v>42682</v>
      </c>
      <c r="X4072" t="s">
        <v>45102</v>
      </c>
    </row>
    <row r="4073" spans="1:24">
      <c r="A4073">
        <f>HYPERLINK("https://www.philgeps.gov.ph/GEPSNONPILOT/Tender/SplashBidNoticeAbstractUI.aspx?menuIndex=3&amp;refID=7041636&amp;Result=3","7041636")</f>
        <v>0</v>
      </c>
      <c r="B4073" t="s">
        <v>1431</v>
      </c>
      <c r="C4073" t="s">
        <v>7090</v>
      </c>
      <c r="D4073" t="s">
        <v>18066</v>
      </c>
      <c r="E4073" t="s">
        <v>21755</v>
      </c>
      <c r="F4073" t="s">
        <v>31574</v>
      </c>
      <c r="G4073" t="s">
        <v>31582</v>
      </c>
      <c r="H4073" t="s">
        <v>31590</v>
      </c>
      <c r="I4073" t="s">
        <v>3489</v>
      </c>
      <c r="J4073" t="s">
        <v>34440</v>
      </c>
      <c r="K4073" t="s">
        <v>41192</v>
      </c>
      <c r="M4073" t="s">
        <v>43007</v>
      </c>
      <c r="N4073" t="s">
        <v>45095</v>
      </c>
      <c r="O4073" t="s">
        <v>45096</v>
      </c>
      <c r="P4073">
        <v>0</v>
      </c>
      <c r="Q4073">
        <v>1</v>
      </c>
      <c r="R4073" t="s">
        <v>45101</v>
      </c>
      <c r="S4073" t="s">
        <v>45231</v>
      </c>
      <c r="T4073" t="s">
        <v>47206</v>
      </c>
      <c r="U4073" t="s">
        <v>50945</v>
      </c>
      <c r="W4073" t="s">
        <v>43007</v>
      </c>
      <c r="X4073" t="s">
        <v>45102</v>
      </c>
    </row>
    <row r="4074" spans="1:24">
      <c r="A4074">
        <f>HYPERLINK("https://www.philgeps.gov.ph/GEPSNONPILOT/Tender/SplashBidNoticeAbstractUI.aspx?menuIndex=3&amp;refID=7041645&amp;Result=3","7041645")</f>
        <v>0</v>
      </c>
      <c r="B4074" t="s">
        <v>71</v>
      </c>
      <c r="C4074" t="s">
        <v>7091</v>
      </c>
      <c r="D4074" t="s">
        <v>18053</v>
      </c>
      <c r="E4074" t="s">
        <v>21756</v>
      </c>
      <c r="F4074" t="s">
        <v>31574</v>
      </c>
      <c r="G4074" t="s">
        <v>31582</v>
      </c>
      <c r="H4074" t="s">
        <v>31591</v>
      </c>
      <c r="I4074" t="s">
        <v>8822</v>
      </c>
      <c r="J4074" t="s">
        <v>34441</v>
      </c>
      <c r="K4074" t="s">
        <v>41185</v>
      </c>
      <c r="M4074" t="s">
        <v>41555</v>
      </c>
      <c r="N4074" t="s">
        <v>45095</v>
      </c>
      <c r="O4074" t="s">
        <v>45096</v>
      </c>
      <c r="P4074">
        <v>0</v>
      </c>
      <c r="Q4074">
        <v>1</v>
      </c>
      <c r="R4074" t="s">
        <v>45101</v>
      </c>
      <c r="S4074" t="s">
        <v>45231</v>
      </c>
      <c r="T4074" t="s">
        <v>46932</v>
      </c>
      <c r="U4074" t="s">
        <v>50946</v>
      </c>
      <c r="W4074" t="s">
        <v>41555</v>
      </c>
      <c r="X4074" t="s">
        <v>45102</v>
      </c>
    </row>
    <row r="4075" spans="1:24">
      <c r="A4075">
        <f>HYPERLINK("https://www.philgeps.gov.ph/GEPSNONPILOT/Tender/SplashBidNoticeAbstractUI.aspx?menuIndex=3&amp;refID=7041665&amp;Result=3","7041665")</f>
        <v>0</v>
      </c>
      <c r="B4075" t="s">
        <v>115</v>
      </c>
      <c r="C4075" t="s">
        <v>7092</v>
      </c>
      <c r="D4075" t="s">
        <v>18040</v>
      </c>
      <c r="E4075" t="s">
        <v>21757</v>
      </c>
      <c r="F4075" t="s">
        <v>31574</v>
      </c>
      <c r="G4075" t="s">
        <v>31581</v>
      </c>
      <c r="H4075" t="s">
        <v>31590</v>
      </c>
      <c r="I4075" t="s">
        <v>4327</v>
      </c>
      <c r="J4075" t="s">
        <v>31741</v>
      </c>
      <c r="K4075" t="s">
        <v>41193</v>
      </c>
      <c r="M4075" t="s">
        <v>41599</v>
      </c>
      <c r="N4075" t="s">
        <v>45095</v>
      </c>
      <c r="O4075" t="s">
        <v>45096</v>
      </c>
      <c r="P4075">
        <v>0</v>
      </c>
      <c r="Q4075">
        <v>1</v>
      </c>
      <c r="R4075" t="s">
        <v>45101</v>
      </c>
      <c r="S4075" t="s">
        <v>45231</v>
      </c>
      <c r="T4075" t="s">
        <v>47158</v>
      </c>
      <c r="U4075" t="s">
        <v>50947</v>
      </c>
      <c r="W4075" t="s">
        <v>41599</v>
      </c>
      <c r="X4075" t="s">
        <v>45102</v>
      </c>
    </row>
    <row r="4076" spans="1:24">
      <c r="A4076">
        <f>HYPERLINK("https://www.philgeps.gov.ph/GEPSNONPILOT/Tender/SplashBidNoticeAbstractUI.aspx?menuIndex=3&amp;refID=7041668&amp;Result=3","7041668")</f>
        <v>0</v>
      </c>
      <c r="B4076" t="s">
        <v>1432</v>
      </c>
      <c r="C4076" t="s">
        <v>7093</v>
      </c>
      <c r="D4076" t="s">
        <v>18035</v>
      </c>
      <c r="E4076" t="s">
        <v>21758</v>
      </c>
      <c r="F4076" t="s">
        <v>31574</v>
      </c>
      <c r="G4076" t="s">
        <v>31584</v>
      </c>
      <c r="H4076" t="s">
        <v>31590</v>
      </c>
      <c r="I4076" t="s">
        <v>31631</v>
      </c>
      <c r="J4076" t="s">
        <v>34442</v>
      </c>
      <c r="K4076" t="s">
        <v>41184</v>
      </c>
      <c r="M4076" t="s">
        <v>43008</v>
      </c>
      <c r="N4076" t="s">
        <v>45095</v>
      </c>
      <c r="O4076" t="s">
        <v>45096</v>
      </c>
      <c r="P4076">
        <v>0</v>
      </c>
      <c r="Q4076">
        <v>0</v>
      </c>
      <c r="R4076" t="s">
        <v>45101</v>
      </c>
      <c r="S4076" t="s">
        <v>45231</v>
      </c>
      <c r="T4076" t="s">
        <v>46985</v>
      </c>
      <c r="U4076" t="s">
        <v>50948</v>
      </c>
      <c r="W4076" t="s">
        <v>43008</v>
      </c>
      <c r="X4076" t="s">
        <v>45102</v>
      </c>
    </row>
    <row r="4077" spans="1:24">
      <c r="A4077">
        <f>HYPERLINK("https://www.philgeps.gov.ph/GEPSNONPILOT/Tender/SplashBidNoticeAbstractUI.aspx?menuIndex=3&amp;refID=7041655&amp;Result=3","7041655")</f>
        <v>0</v>
      </c>
      <c r="B4077" t="s">
        <v>1433</v>
      </c>
      <c r="C4077" t="s">
        <v>7094</v>
      </c>
      <c r="D4077" t="s">
        <v>18022</v>
      </c>
      <c r="E4077" t="s">
        <v>21759</v>
      </c>
      <c r="F4077" t="s">
        <v>31574</v>
      </c>
      <c r="G4077" t="s">
        <v>31581</v>
      </c>
      <c r="H4077" t="s">
        <v>31590</v>
      </c>
      <c r="I4077" t="s">
        <v>31595</v>
      </c>
      <c r="J4077" t="s">
        <v>34443</v>
      </c>
      <c r="K4077" t="s">
        <v>41184</v>
      </c>
      <c r="M4077" t="s">
        <v>43009</v>
      </c>
      <c r="N4077" t="s">
        <v>45095</v>
      </c>
      <c r="O4077" t="s">
        <v>45096</v>
      </c>
      <c r="P4077">
        <v>0</v>
      </c>
      <c r="Q4077">
        <v>4</v>
      </c>
      <c r="R4077" t="s">
        <v>45101</v>
      </c>
      <c r="S4077" t="s">
        <v>45231</v>
      </c>
      <c r="T4077" t="s">
        <v>46904</v>
      </c>
      <c r="U4077" t="s">
        <v>50949</v>
      </c>
      <c r="W4077" t="s">
        <v>43009</v>
      </c>
      <c r="X4077" t="s">
        <v>45102</v>
      </c>
    </row>
    <row r="4078" spans="1:24">
      <c r="A4078">
        <f>HYPERLINK("https://www.philgeps.gov.ph/GEPSNONPILOT/Tender/SplashBidNoticeAbstractUI.aspx?menuIndex=3&amp;refID=7041653&amp;Result=3","7041653")</f>
        <v>0</v>
      </c>
      <c r="B4078" t="s">
        <v>501</v>
      </c>
      <c r="C4078" t="s">
        <v>7095</v>
      </c>
      <c r="D4078" t="s">
        <v>18073</v>
      </c>
      <c r="E4078" t="s">
        <v>21760</v>
      </c>
      <c r="F4078" t="s">
        <v>31574</v>
      </c>
      <c r="G4078" t="s">
        <v>31581</v>
      </c>
      <c r="H4078" t="s">
        <v>31590</v>
      </c>
      <c r="I4078" t="s">
        <v>31608</v>
      </c>
      <c r="J4078" t="s">
        <v>31848</v>
      </c>
      <c r="K4078" t="s">
        <v>41193</v>
      </c>
      <c r="M4078" t="s">
        <v>41997</v>
      </c>
      <c r="N4078" t="s">
        <v>45095</v>
      </c>
      <c r="O4078" t="s">
        <v>45096</v>
      </c>
      <c r="P4078">
        <v>0</v>
      </c>
      <c r="Q4078">
        <v>2</v>
      </c>
      <c r="R4078" t="s">
        <v>45101</v>
      </c>
      <c r="S4078" t="s">
        <v>45231</v>
      </c>
      <c r="T4078" t="s">
        <v>47154</v>
      </c>
      <c r="U4078" t="s">
        <v>50950</v>
      </c>
      <c r="W4078" t="s">
        <v>41997</v>
      </c>
      <c r="X4078" t="s">
        <v>45102</v>
      </c>
    </row>
    <row r="4079" spans="1:24">
      <c r="A4079">
        <f>HYPERLINK("https://www.philgeps.gov.ph/GEPSNONPILOT/Tender/SplashBidNoticeAbstractUI.aspx?menuIndex=3&amp;refID=7041672&amp;Result=3","7041672")</f>
        <v>0</v>
      </c>
      <c r="B4079" t="s">
        <v>274</v>
      </c>
      <c r="C4079" t="s">
        <v>7096</v>
      </c>
      <c r="D4079" t="s">
        <v>18071</v>
      </c>
      <c r="E4079" t="s">
        <v>21761</v>
      </c>
      <c r="F4079" t="s">
        <v>31574</v>
      </c>
      <c r="G4079" t="s">
        <v>31585</v>
      </c>
      <c r="H4079" t="s">
        <v>31590</v>
      </c>
      <c r="I4079" t="s">
        <v>31623</v>
      </c>
      <c r="J4079" t="s">
        <v>34444</v>
      </c>
      <c r="K4079" t="s">
        <v>41184</v>
      </c>
      <c r="M4079" t="s">
        <v>41760</v>
      </c>
      <c r="N4079" t="s">
        <v>45095</v>
      </c>
      <c r="O4079" t="s">
        <v>45096</v>
      </c>
      <c r="P4079">
        <v>0</v>
      </c>
      <c r="Q4079">
        <v>0</v>
      </c>
      <c r="R4079" t="s">
        <v>45101</v>
      </c>
      <c r="S4079" t="s">
        <v>45231</v>
      </c>
      <c r="T4079" t="s">
        <v>47154</v>
      </c>
      <c r="U4079" t="s">
        <v>50951</v>
      </c>
      <c r="W4079" t="s">
        <v>61660</v>
      </c>
      <c r="X4079" t="s">
        <v>45102</v>
      </c>
    </row>
    <row r="4080" spans="1:24">
      <c r="A4080">
        <f>HYPERLINK("https://www.philgeps.gov.ph/GEPSNONPILOT/Tender/SplashBidNoticeAbstractUI.aspx?menuIndex=3&amp;refID=7041669&amp;Result=3","7041669")</f>
        <v>0</v>
      </c>
      <c r="B4080" t="s">
        <v>1434</v>
      </c>
      <c r="C4080" t="s">
        <v>7097</v>
      </c>
      <c r="D4080" t="s">
        <v>18063</v>
      </c>
      <c r="E4080" t="s">
        <v>21762</v>
      </c>
      <c r="F4080" t="s">
        <v>31574</v>
      </c>
      <c r="G4080" t="s">
        <v>31581</v>
      </c>
      <c r="H4080" t="s">
        <v>31590</v>
      </c>
      <c r="I4080" t="s">
        <v>4046</v>
      </c>
      <c r="J4080" t="s">
        <v>33536</v>
      </c>
      <c r="K4080" t="s">
        <v>41193</v>
      </c>
      <c r="M4080" t="s">
        <v>43010</v>
      </c>
      <c r="N4080" t="s">
        <v>45095</v>
      </c>
      <c r="O4080" t="s">
        <v>45096</v>
      </c>
      <c r="P4080">
        <v>0</v>
      </c>
      <c r="Q4080">
        <v>0</v>
      </c>
      <c r="R4080" t="s">
        <v>45101</v>
      </c>
      <c r="S4080" t="s">
        <v>45231</v>
      </c>
      <c r="T4080" t="s">
        <v>47159</v>
      </c>
      <c r="U4080" t="s">
        <v>50952</v>
      </c>
      <c r="W4080" t="s">
        <v>43010</v>
      </c>
      <c r="X4080" t="s">
        <v>45102</v>
      </c>
    </row>
    <row r="4081" spans="1:24">
      <c r="A4081">
        <f>HYPERLINK("https://www.philgeps.gov.ph/GEPSNONPILOT/Tender/SplashBidNoticeAbstractUI.aspx?menuIndex=3&amp;refID=7041646&amp;Result=3","7041646")</f>
        <v>0</v>
      </c>
      <c r="B4081" t="s">
        <v>1424</v>
      </c>
      <c r="C4081" t="s">
        <v>7098</v>
      </c>
      <c r="D4081" t="s">
        <v>18046</v>
      </c>
      <c r="E4081" t="s">
        <v>21763</v>
      </c>
      <c r="F4081" t="s">
        <v>31574</v>
      </c>
      <c r="G4081" t="s">
        <v>31583</v>
      </c>
      <c r="H4081" t="s">
        <v>31590</v>
      </c>
      <c r="I4081" t="s">
        <v>3520</v>
      </c>
      <c r="J4081" t="s">
        <v>32391</v>
      </c>
      <c r="K4081" t="s">
        <v>41212</v>
      </c>
      <c r="M4081" t="s">
        <v>43000</v>
      </c>
      <c r="N4081" t="s">
        <v>45095</v>
      </c>
      <c r="O4081" t="s">
        <v>45096</v>
      </c>
      <c r="P4081">
        <v>0</v>
      </c>
      <c r="Q4081">
        <v>1</v>
      </c>
      <c r="R4081" t="s">
        <v>45101</v>
      </c>
      <c r="S4081" t="s">
        <v>45231</v>
      </c>
      <c r="T4081" t="s">
        <v>47106</v>
      </c>
      <c r="U4081" t="s">
        <v>50933</v>
      </c>
      <c r="W4081" t="s">
        <v>43000</v>
      </c>
      <c r="X4081" t="s">
        <v>45102</v>
      </c>
    </row>
    <row r="4082" spans="1:24">
      <c r="A4082">
        <f>HYPERLINK("https://www.philgeps.gov.ph/GEPSNONPILOT/Tender/SplashBidNoticeAbstractUI.aspx?menuIndex=3&amp;refID=7041674&amp;Result=3","7041674")</f>
        <v>0</v>
      </c>
      <c r="B4082" t="s">
        <v>1435</v>
      </c>
      <c r="C4082" t="s">
        <v>7099</v>
      </c>
      <c r="D4082" t="s">
        <v>18023</v>
      </c>
      <c r="E4082" t="s">
        <v>21764</v>
      </c>
      <c r="F4082" t="s">
        <v>31574</v>
      </c>
      <c r="G4082" t="s">
        <v>31581</v>
      </c>
      <c r="H4082" t="s">
        <v>31590</v>
      </c>
      <c r="I4082" t="s">
        <v>6800</v>
      </c>
      <c r="J4082" t="s">
        <v>34445</v>
      </c>
      <c r="K4082" t="s">
        <v>41196</v>
      </c>
      <c r="L4082" t="s">
        <v>1435</v>
      </c>
      <c r="M4082" t="s">
        <v>43011</v>
      </c>
      <c r="N4082" t="s">
        <v>45095</v>
      </c>
      <c r="O4082" t="s">
        <v>45096</v>
      </c>
      <c r="P4082">
        <v>0</v>
      </c>
      <c r="Q4082">
        <v>0</v>
      </c>
      <c r="R4082" t="s">
        <v>45101</v>
      </c>
      <c r="S4082" t="s">
        <v>45231</v>
      </c>
      <c r="T4082" t="s">
        <v>46982</v>
      </c>
      <c r="U4082" t="s">
        <v>50953</v>
      </c>
      <c r="W4082" t="s">
        <v>43011</v>
      </c>
      <c r="X4082" t="s">
        <v>45102</v>
      </c>
    </row>
    <row r="4083" spans="1:24">
      <c r="A4083">
        <f>HYPERLINK("https://www.philgeps.gov.ph/GEPSNONPILOT/Tender/SplashBidNoticeAbstractUI.aspx?menuIndex=3&amp;refID=7041709&amp;Result=3","7041709")</f>
        <v>0</v>
      </c>
      <c r="B4083" t="s">
        <v>1310</v>
      </c>
      <c r="C4083" t="s">
        <v>7100</v>
      </c>
      <c r="D4083" t="s">
        <v>18074</v>
      </c>
      <c r="E4083" t="s">
        <v>21765</v>
      </c>
      <c r="F4083" t="s">
        <v>31574</v>
      </c>
      <c r="G4083" t="s">
        <v>31582</v>
      </c>
      <c r="H4083" t="s">
        <v>31590</v>
      </c>
      <c r="I4083" t="s">
        <v>6800</v>
      </c>
      <c r="J4083" t="s">
        <v>34446</v>
      </c>
      <c r="K4083" t="s">
        <v>41190</v>
      </c>
      <c r="M4083" t="s">
        <v>42880</v>
      </c>
      <c r="N4083" t="s">
        <v>45095</v>
      </c>
      <c r="O4083" t="s">
        <v>45096</v>
      </c>
      <c r="P4083">
        <v>0</v>
      </c>
      <c r="Q4083">
        <v>0</v>
      </c>
      <c r="R4083" t="s">
        <v>45101</v>
      </c>
      <c r="S4083" t="s">
        <v>45231</v>
      </c>
      <c r="T4083" t="s">
        <v>47043</v>
      </c>
      <c r="U4083" t="s">
        <v>50954</v>
      </c>
      <c r="W4083" t="s">
        <v>42880</v>
      </c>
      <c r="X4083" t="s">
        <v>45102</v>
      </c>
    </row>
    <row r="4084" spans="1:24">
      <c r="A4084">
        <f>HYPERLINK("https://www.philgeps.gov.ph/GEPSNONPILOT/Tender/SplashBidNoticeAbstractUI.aspx?menuIndex=3&amp;refID=7041683&amp;Result=3","7041683")</f>
        <v>0</v>
      </c>
      <c r="B4084" t="s">
        <v>1303</v>
      </c>
      <c r="C4084" t="s">
        <v>7101</v>
      </c>
      <c r="D4084" t="s">
        <v>18024</v>
      </c>
      <c r="E4084" t="s">
        <v>21766</v>
      </c>
      <c r="F4084" t="s">
        <v>31574</v>
      </c>
      <c r="G4084" t="s">
        <v>31582</v>
      </c>
      <c r="H4084" t="s">
        <v>31590</v>
      </c>
      <c r="I4084" t="s">
        <v>31620</v>
      </c>
      <c r="J4084" t="s">
        <v>34428</v>
      </c>
      <c r="K4084" t="s">
        <v>41186</v>
      </c>
      <c r="M4084" t="s">
        <v>42873</v>
      </c>
      <c r="N4084" t="s">
        <v>45095</v>
      </c>
      <c r="O4084" t="s">
        <v>45096</v>
      </c>
      <c r="P4084">
        <v>0</v>
      </c>
      <c r="Q4084">
        <v>6</v>
      </c>
      <c r="R4084" t="s">
        <v>45101</v>
      </c>
      <c r="S4084" t="s">
        <v>45231</v>
      </c>
      <c r="T4084" t="s">
        <v>46915</v>
      </c>
      <c r="U4084" t="s">
        <v>50955</v>
      </c>
      <c r="W4084" t="s">
        <v>61696</v>
      </c>
      <c r="X4084" t="s">
        <v>45102</v>
      </c>
    </row>
    <row r="4085" spans="1:24">
      <c r="A4085">
        <f>HYPERLINK("https://www.philgeps.gov.ph/GEPSNONPILOT/Tender/SplashBidNoticeAbstractUI.aspx?menuIndex=3&amp;refID=7041682&amp;Result=3","7041682")</f>
        <v>0</v>
      </c>
      <c r="B4085" t="s">
        <v>1432</v>
      </c>
      <c r="C4085" t="s">
        <v>7102</v>
      </c>
      <c r="D4085" t="s">
        <v>18035</v>
      </c>
      <c r="E4085" t="s">
        <v>21767</v>
      </c>
      <c r="F4085" t="s">
        <v>31574</v>
      </c>
      <c r="G4085" t="s">
        <v>31584</v>
      </c>
      <c r="H4085" t="s">
        <v>31590</v>
      </c>
      <c r="I4085" t="s">
        <v>31599</v>
      </c>
      <c r="J4085" t="s">
        <v>34447</v>
      </c>
      <c r="K4085" t="s">
        <v>41184</v>
      </c>
      <c r="M4085" t="s">
        <v>43008</v>
      </c>
      <c r="N4085" t="s">
        <v>45095</v>
      </c>
      <c r="O4085" t="s">
        <v>45096</v>
      </c>
      <c r="P4085">
        <v>0</v>
      </c>
      <c r="Q4085">
        <v>1</v>
      </c>
      <c r="R4085" t="s">
        <v>45101</v>
      </c>
      <c r="S4085" t="s">
        <v>45231</v>
      </c>
      <c r="T4085" t="s">
        <v>46985</v>
      </c>
      <c r="U4085" t="s">
        <v>50956</v>
      </c>
      <c r="W4085" t="s">
        <v>43008</v>
      </c>
      <c r="X4085" t="s">
        <v>45102</v>
      </c>
    </row>
    <row r="4086" spans="1:24">
      <c r="A4086">
        <f>HYPERLINK("https://www.philgeps.gov.ph/GEPSNONPILOT/Tender/SplashBidNoticeAbstractUI.aspx?menuIndex=3&amp;refID=7041693&amp;Result=3","7041693")</f>
        <v>0</v>
      </c>
      <c r="B4086" t="s">
        <v>1436</v>
      </c>
      <c r="C4086" t="s">
        <v>7103</v>
      </c>
      <c r="D4086" t="s">
        <v>18040</v>
      </c>
      <c r="E4086" t="s">
        <v>21768</v>
      </c>
      <c r="F4086" t="s">
        <v>31574</v>
      </c>
      <c r="G4086" t="s">
        <v>31583</v>
      </c>
      <c r="H4086" t="s">
        <v>31590</v>
      </c>
      <c r="I4086" t="s">
        <v>6800</v>
      </c>
      <c r="J4086" t="s">
        <v>34448</v>
      </c>
      <c r="K4086" t="s">
        <v>41193</v>
      </c>
      <c r="M4086" t="s">
        <v>43012</v>
      </c>
      <c r="N4086" t="s">
        <v>45095</v>
      </c>
      <c r="O4086" t="s">
        <v>45096</v>
      </c>
      <c r="P4086">
        <v>0</v>
      </c>
      <c r="Q4086">
        <v>0</v>
      </c>
      <c r="R4086" t="s">
        <v>45101</v>
      </c>
      <c r="S4086" t="s">
        <v>45231</v>
      </c>
      <c r="T4086" t="s">
        <v>47158</v>
      </c>
      <c r="U4086" t="s">
        <v>50957</v>
      </c>
      <c r="W4086" t="s">
        <v>43012</v>
      </c>
      <c r="X4086" t="s">
        <v>45102</v>
      </c>
    </row>
    <row r="4087" spans="1:24">
      <c r="A4087">
        <f>HYPERLINK("https://www.philgeps.gov.ph/GEPSNONPILOT/Tender/SplashBidNoticeAbstractUI.aspx?menuIndex=3&amp;refID=7041680&amp;Result=3","7041680")</f>
        <v>0</v>
      </c>
      <c r="B4087" t="s">
        <v>1424</v>
      </c>
      <c r="C4087" t="s">
        <v>7104</v>
      </c>
      <c r="D4087" t="s">
        <v>18046</v>
      </c>
      <c r="E4087" t="s">
        <v>21769</v>
      </c>
      <c r="F4087" t="s">
        <v>31574</v>
      </c>
      <c r="G4087" t="s">
        <v>31583</v>
      </c>
      <c r="H4087" t="s">
        <v>31590</v>
      </c>
      <c r="I4087" t="s">
        <v>4046</v>
      </c>
      <c r="J4087" t="s">
        <v>32372</v>
      </c>
      <c r="K4087" t="s">
        <v>41212</v>
      </c>
      <c r="M4087" t="s">
        <v>43000</v>
      </c>
      <c r="N4087" t="s">
        <v>45095</v>
      </c>
      <c r="O4087" t="s">
        <v>45096</v>
      </c>
      <c r="P4087">
        <v>0</v>
      </c>
      <c r="Q4087">
        <v>0</v>
      </c>
      <c r="R4087" t="s">
        <v>45101</v>
      </c>
      <c r="S4087" t="s">
        <v>45231</v>
      </c>
      <c r="T4087" t="s">
        <v>47106</v>
      </c>
      <c r="U4087" t="s">
        <v>50933</v>
      </c>
      <c r="W4087" t="s">
        <v>43000</v>
      </c>
      <c r="X4087" t="s">
        <v>45102</v>
      </c>
    </row>
    <row r="4088" spans="1:24">
      <c r="A4088">
        <f>HYPERLINK("https://www.philgeps.gov.ph/GEPSNONPILOT/Tender/SplashBidNoticeAbstractUI.aspx?menuIndex=3&amp;refID=7041725&amp;Result=3","7041725")</f>
        <v>0</v>
      </c>
      <c r="B4088" t="s">
        <v>1432</v>
      </c>
      <c r="C4088" t="s">
        <v>7105</v>
      </c>
      <c r="D4088" t="s">
        <v>18035</v>
      </c>
      <c r="E4088" t="s">
        <v>21597</v>
      </c>
      <c r="F4088" t="s">
        <v>31574</v>
      </c>
      <c r="G4088" t="s">
        <v>31584</v>
      </c>
      <c r="H4088" t="s">
        <v>31590</v>
      </c>
      <c r="I4088" t="s">
        <v>31612</v>
      </c>
      <c r="J4088" t="s">
        <v>34449</v>
      </c>
      <c r="K4088" t="s">
        <v>41184</v>
      </c>
      <c r="M4088" t="s">
        <v>43008</v>
      </c>
      <c r="N4088" t="s">
        <v>45095</v>
      </c>
      <c r="O4088" t="s">
        <v>45096</v>
      </c>
      <c r="P4088">
        <v>0</v>
      </c>
      <c r="Q4088">
        <v>1</v>
      </c>
      <c r="R4088" t="s">
        <v>45101</v>
      </c>
      <c r="S4088" t="s">
        <v>45231</v>
      </c>
      <c r="T4088" t="s">
        <v>46985</v>
      </c>
      <c r="U4088" t="s">
        <v>50958</v>
      </c>
      <c r="W4088" t="s">
        <v>43008</v>
      </c>
      <c r="X4088" t="s">
        <v>45102</v>
      </c>
    </row>
    <row r="4089" spans="1:24">
      <c r="A4089">
        <f>HYPERLINK("https://www.philgeps.gov.ph/GEPSNONPILOT/Tender/SplashBidNoticeAbstractUI.aspx?menuIndex=3&amp;refID=7041677&amp;Result=3","7041677")</f>
        <v>0</v>
      </c>
      <c r="B4089" t="s">
        <v>1300</v>
      </c>
      <c r="C4089" t="s">
        <v>7106</v>
      </c>
      <c r="D4089" t="s">
        <v>18066</v>
      </c>
      <c r="E4089" t="s">
        <v>21770</v>
      </c>
      <c r="F4089" t="s">
        <v>31574</v>
      </c>
      <c r="G4089" t="s">
        <v>31582</v>
      </c>
      <c r="H4089" t="s">
        <v>31591</v>
      </c>
      <c r="I4089" t="s">
        <v>8822</v>
      </c>
      <c r="J4089" t="s">
        <v>34450</v>
      </c>
      <c r="K4089" t="s">
        <v>41190</v>
      </c>
      <c r="M4089" t="s">
        <v>42870</v>
      </c>
      <c r="N4089" t="s">
        <v>45095</v>
      </c>
      <c r="O4089" t="s">
        <v>45096</v>
      </c>
      <c r="P4089">
        <v>0</v>
      </c>
      <c r="Q4089">
        <v>0</v>
      </c>
      <c r="R4089" t="s">
        <v>45101</v>
      </c>
      <c r="S4089" t="s">
        <v>45231</v>
      </c>
      <c r="T4089" t="s">
        <v>46949</v>
      </c>
      <c r="U4089" t="s">
        <v>50959</v>
      </c>
      <c r="W4089" t="s">
        <v>42870</v>
      </c>
      <c r="X4089" t="s">
        <v>45102</v>
      </c>
    </row>
    <row r="4090" spans="1:24">
      <c r="A4090">
        <f>HYPERLINK("https://www.philgeps.gov.ph/GEPSNONPILOT/Tender/SplashBidNoticeAbstractUI.aspx?menuIndex=3&amp;refID=7041707&amp;Result=3","7041707")</f>
        <v>0</v>
      </c>
      <c r="B4090" t="s">
        <v>1288</v>
      </c>
      <c r="C4090" t="s">
        <v>7107</v>
      </c>
      <c r="D4090" t="s">
        <v>18109</v>
      </c>
      <c r="E4090" t="s">
        <v>21771</v>
      </c>
      <c r="F4090" t="s">
        <v>31574</v>
      </c>
      <c r="G4090" t="s">
        <v>31582</v>
      </c>
      <c r="H4090" t="s">
        <v>31591</v>
      </c>
      <c r="I4090" t="s">
        <v>8822</v>
      </c>
      <c r="J4090" t="s">
        <v>31947</v>
      </c>
      <c r="K4090" t="s">
        <v>41192</v>
      </c>
      <c r="M4090" t="s">
        <v>42857</v>
      </c>
      <c r="N4090" t="s">
        <v>45095</v>
      </c>
      <c r="O4090" t="s">
        <v>45096</v>
      </c>
      <c r="P4090">
        <v>0</v>
      </c>
      <c r="Q4090">
        <v>0</v>
      </c>
      <c r="R4090" t="s">
        <v>45101</v>
      </c>
      <c r="S4090" t="s">
        <v>45231</v>
      </c>
      <c r="T4090" t="s">
        <v>46955</v>
      </c>
      <c r="U4090" t="s">
        <v>50592</v>
      </c>
      <c r="V4090" t="s">
        <v>60262</v>
      </c>
      <c r="W4090" t="s">
        <v>42857</v>
      </c>
      <c r="X4090" t="s">
        <v>45102</v>
      </c>
    </row>
    <row r="4091" spans="1:24">
      <c r="A4091">
        <f>HYPERLINK("https://www.philgeps.gov.ph/GEPSNONPILOT/Tender/SplashBidNoticeAbstractUI.aspx?menuIndex=3&amp;refID=7041698&amp;Result=3","7041698")</f>
        <v>0</v>
      </c>
      <c r="B4091" t="s">
        <v>1437</v>
      </c>
      <c r="C4091" t="s">
        <v>7108</v>
      </c>
      <c r="E4091" t="s">
        <v>21772</v>
      </c>
      <c r="F4091" t="s">
        <v>31574</v>
      </c>
      <c r="G4091" t="s">
        <v>31581</v>
      </c>
      <c r="H4091" t="s">
        <v>31590</v>
      </c>
      <c r="I4091" t="s">
        <v>7162</v>
      </c>
      <c r="J4091" t="s">
        <v>34451</v>
      </c>
      <c r="K4091" t="s">
        <v>41184</v>
      </c>
      <c r="M4091" t="s">
        <v>43013</v>
      </c>
      <c r="N4091" t="s">
        <v>45095</v>
      </c>
      <c r="O4091" t="s">
        <v>45096</v>
      </c>
      <c r="P4091">
        <v>0</v>
      </c>
      <c r="Q4091">
        <v>1</v>
      </c>
      <c r="R4091" t="s">
        <v>45101</v>
      </c>
      <c r="S4091" t="s">
        <v>45231</v>
      </c>
      <c r="T4091" t="s">
        <v>46963</v>
      </c>
      <c r="U4091" t="s">
        <v>50960</v>
      </c>
      <c r="W4091" t="s">
        <v>43013</v>
      </c>
      <c r="X4091" t="s">
        <v>45102</v>
      </c>
    </row>
    <row r="4092" spans="1:24">
      <c r="A4092">
        <f>HYPERLINK("https://www.philgeps.gov.ph/GEPSNONPILOT/Tender/SplashBidNoticeAbstractUI.aspx?menuIndex=3&amp;refID=7041679&amp;Result=3","7041679")</f>
        <v>0</v>
      </c>
      <c r="B4092" t="s">
        <v>1438</v>
      </c>
      <c r="C4092" t="s">
        <v>7109</v>
      </c>
      <c r="D4092" t="s">
        <v>18039</v>
      </c>
      <c r="E4092" t="s">
        <v>21773</v>
      </c>
      <c r="F4092" t="s">
        <v>31574</v>
      </c>
      <c r="G4092" t="s">
        <v>31582</v>
      </c>
      <c r="H4092" t="s">
        <v>31590</v>
      </c>
      <c r="I4092" t="s">
        <v>4046</v>
      </c>
      <c r="J4092" t="s">
        <v>34452</v>
      </c>
      <c r="K4092" t="s">
        <v>41184</v>
      </c>
      <c r="M4092" t="s">
        <v>43014</v>
      </c>
      <c r="N4092" t="s">
        <v>45095</v>
      </c>
      <c r="O4092" t="s">
        <v>45096</v>
      </c>
      <c r="P4092">
        <v>0</v>
      </c>
      <c r="Q4092">
        <v>0</v>
      </c>
      <c r="R4092" t="s">
        <v>45101</v>
      </c>
      <c r="S4092" t="s">
        <v>45231</v>
      </c>
      <c r="T4092" t="s">
        <v>46913</v>
      </c>
      <c r="U4092" t="s">
        <v>50961</v>
      </c>
      <c r="W4092" t="s">
        <v>43014</v>
      </c>
      <c r="X4092" t="s">
        <v>45102</v>
      </c>
    </row>
    <row r="4093" spans="1:24">
      <c r="A4093">
        <f>HYPERLINK("https://www.philgeps.gov.ph/GEPSNONPILOT/Tender/SplashBidNoticeAbstractUI.aspx?menuIndex=3&amp;refID=7041706&amp;Result=3","7041706")</f>
        <v>0</v>
      </c>
      <c r="B4093" t="s">
        <v>817</v>
      </c>
      <c r="C4093" t="s">
        <v>7110</v>
      </c>
      <c r="D4093" t="s">
        <v>18076</v>
      </c>
      <c r="E4093" t="s">
        <v>21774</v>
      </c>
      <c r="F4093" t="s">
        <v>31574</v>
      </c>
      <c r="G4093" t="s">
        <v>31581</v>
      </c>
      <c r="H4093" t="s">
        <v>31590</v>
      </c>
      <c r="I4093" t="s">
        <v>5717</v>
      </c>
      <c r="J4093" t="s">
        <v>34453</v>
      </c>
      <c r="K4093" t="s">
        <v>41211</v>
      </c>
      <c r="M4093" t="s">
        <v>42335</v>
      </c>
      <c r="N4093" t="s">
        <v>45095</v>
      </c>
      <c r="O4093" t="s">
        <v>45096</v>
      </c>
      <c r="P4093">
        <v>0</v>
      </c>
      <c r="Q4093">
        <v>3</v>
      </c>
      <c r="R4093" t="s">
        <v>45101</v>
      </c>
      <c r="S4093" t="s">
        <v>45231</v>
      </c>
      <c r="T4093" t="s">
        <v>47158</v>
      </c>
      <c r="U4093" t="s">
        <v>50962</v>
      </c>
      <c r="W4093" t="s">
        <v>42335</v>
      </c>
      <c r="X4093" t="s">
        <v>45102</v>
      </c>
    </row>
    <row r="4094" spans="1:24">
      <c r="A4094">
        <f>HYPERLINK("https://www.philgeps.gov.ph/GEPSNONPILOT/Tender/SplashBidNoticeAbstractUI.aspx?menuIndex=3&amp;refID=7041687&amp;Result=3","7041687")</f>
        <v>0</v>
      </c>
      <c r="B4094" t="s">
        <v>1405</v>
      </c>
      <c r="C4094" t="s">
        <v>7111</v>
      </c>
      <c r="E4094" t="s">
        <v>21775</v>
      </c>
      <c r="F4094" t="s">
        <v>31574</v>
      </c>
      <c r="G4094" t="s">
        <v>31582</v>
      </c>
      <c r="H4094" t="s">
        <v>31590</v>
      </c>
      <c r="I4094" t="s">
        <v>14544</v>
      </c>
      <c r="J4094" t="s">
        <v>34454</v>
      </c>
      <c r="K4094" t="s">
        <v>41184</v>
      </c>
      <c r="M4094" t="s">
        <v>42980</v>
      </c>
      <c r="N4094" t="s">
        <v>45095</v>
      </c>
      <c r="O4094" t="s">
        <v>45096</v>
      </c>
      <c r="P4094">
        <v>0</v>
      </c>
      <c r="Q4094">
        <v>12</v>
      </c>
      <c r="R4094" t="s">
        <v>45101</v>
      </c>
      <c r="S4094" t="s">
        <v>45231</v>
      </c>
      <c r="T4094" t="s">
        <v>47044</v>
      </c>
      <c r="U4094" t="s">
        <v>50963</v>
      </c>
      <c r="W4094" t="s">
        <v>61700</v>
      </c>
      <c r="X4094" t="s">
        <v>45102</v>
      </c>
    </row>
    <row r="4095" spans="1:24">
      <c r="A4095">
        <f>HYPERLINK("https://www.philgeps.gov.ph/GEPSNONPILOT/Tender/SplashBidNoticeAbstractUI.aspx?menuIndex=3&amp;refID=7041715&amp;Result=3","7041715")</f>
        <v>0</v>
      </c>
      <c r="B4095" t="s">
        <v>1439</v>
      </c>
      <c r="C4095" t="s">
        <v>7112</v>
      </c>
      <c r="D4095" t="s">
        <v>18046</v>
      </c>
      <c r="E4095" t="s">
        <v>21776</v>
      </c>
      <c r="F4095" t="s">
        <v>31574</v>
      </c>
      <c r="G4095" t="s">
        <v>31585</v>
      </c>
      <c r="H4095" t="s">
        <v>31590</v>
      </c>
      <c r="I4095" t="s">
        <v>8258</v>
      </c>
      <c r="J4095" t="s">
        <v>34455</v>
      </c>
      <c r="K4095" t="s">
        <v>41186</v>
      </c>
      <c r="L4095" t="s">
        <v>1439</v>
      </c>
      <c r="M4095" t="s">
        <v>43015</v>
      </c>
      <c r="N4095" t="s">
        <v>45095</v>
      </c>
      <c r="O4095" t="s">
        <v>45096</v>
      </c>
      <c r="P4095">
        <v>0</v>
      </c>
      <c r="Q4095">
        <v>5</v>
      </c>
      <c r="R4095" t="s">
        <v>45101</v>
      </c>
      <c r="S4095" t="s">
        <v>45231</v>
      </c>
      <c r="T4095" t="s">
        <v>47178</v>
      </c>
      <c r="U4095" t="s">
        <v>50964</v>
      </c>
      <c r="V4095" t="s">
        <v>60263</v>
      </c>
      <c r="W4095" t="s">
        <v>43015</v>
      </c>
      <c r="X4095" t="s">
        <v>45102</v>
      </c>
    </row>
    <row r="4096" spans="1:24">
      <c r="A4096">
        <f>HYPERLINK("https://www.philgeps.gov.ph/GEPSNONPILOT/Tender/SplashBidNoticeAbstractUI.aspx?menuIndex=3&amp;refID=7041713&amp;Result=3","7041713")</f>
        <v>0</v>
      </c>
      <c r="B4096" t="s">
        <v>1376</v>
      </c>
      <c r="C4096" t="s">
        <v>7081</v>
      </c>
      <c r="E4096" t="s">
        <v>21777</v>
      </c>
      <c r="F4096" t="s">
        <v>31574</v>
      </c>
      <c r="G4096" t="s">
        <v>31582</v>
      </c>
      <c r="H4096" t="s">
        <v>31593</v>
      </c>
      <c r="I4096" t="s">
        <v>31593</v>
      </c>
      <c r="J4096" t="s">
        <v>34456</v>
      </c>
      <c r="K4096" t="s">
        <v>41184</v>
      </c>
      <c r="M4096" t="s">
        <v>42950</v>
      </c>
      <c r="N4096" t="s">
        <v>45095</v>
      </c>
      <c r="O4096" t="s">
        <v>45096</v>
      </c>
      <c r="P4096">
        <v>0</v>
      </c>
      <c r="Q4096">
        <v>4</v>
      </c>
      <c r="R4096" t="s">
        <v>45101</v>
      </c>
      <c r="S4096" t="s">
        <v>45231</v>
      </c>
      <c r="T4096" t="s">
        <v>47199</v>
      </c>
      <c r="U4096" t="s">
        <v>50965</v>
      </c>
      <c r="W4096" t="s">
        <v>42950</v>
      </c>
      <c r="X4096" t="s">
        <v>45102</v>
      </c>
    </row>
    <row r="4097" spans="1:24">
      <c r="A4097">
        <f>HYPERLINK("https://www.philgeps.gov.ph/GEPSNONPILOT/Tender/SplashBidNoticeAbstractUI.aspx?menuIndex=3&amp;refID=7041712&amp;Result=3","7041712")</f>
        <v>0</v>
      </c>
      <c r="B4097" t="s">
        <v>1406</v>
      </c>
      <c r="C4097" t="s">
        <v>7113</v>
      </c>
      <c r="D4097" t="s">
        <v>18071</v>
      </c>
      <c r="E4097" t="s">
        <v>21778</v>
      </c>
      <c r="F4097" t="s">
        <v>31574</v>
      </c>
      <c r="G4097" t="s">
        <v>31583</v>
      </c>
      <c r="H4097" t="s">
        <v>31590</v>
      </c>
      <c r="I4097" t="s">
        <v>31625</v>
      </c>
      <c r="J4097" t="s">
        <v>32046</v>
      </c>
      <c r="K4097" t="s">
        <v>41197</v>
      </c>
      <c r="M4097" t="s">
        <v>42982</v>
      </c>
      <c r="N4097" t="s">
        <v>45095</v>
      </c>
      <c r="O4097" t="s">
        <v>45096</v>
      </c>
      <c r="P4097">
        <v>0</v>
      </c>
      <c r="Q4097">
        <v>0</v>
      </c>
      <c r="R4097" t="s">
        <v>45101</v>
      </c>
      <c r="S4097" t="s">
        <v>45231</v>
      </c>
      <c r="T4097" t="s">
        <v>47050</v>
      </c>
      <c r="U4097" t="s">
        <v>50966</v>
      </c>
      <c r="V4097" t="s">
        <v>60264</v>
      </c>
      <c r="W4097" t="s">
        <v>42982</v>
      </c>
      <c r="X4097" t="s">
        <v>45102</v>
      </c>
    </row>
    <row r="4098" spans="1:24">
      <c r="A4098">
        <f>HYPERLINK("https://www.philgeps.gov.ph/GEPSNONPILOT/Tender/SplashBidNoticeAbstractUI.aspx?menuIndex=3&amp;refID=7041717&amp;Result=3","7041717")</f>
        <v>0</v>
      </c>
      <c r="B4098" t="s">
        <v>601</v>
      </c>
      <c r="C4098" t="s">
        <v>7114</v>
      </c>
      <c r="D4098" t="s">
        <v>18023</v>
      </c>
      <c r="E4098" t="s">
        <v>18574</v>
      </c>
      <c r="F4098" t="s">
        <v>31574</v>
      </c>
      <c r="G4098" t="s">
        <v>31582</v>
      </c>
      <c r="H4098" t="s">
        <v>31590</v>
      </c>
      <c r="I4098" t="s">
        <v>4046</v>
      </c>
      <c r="J4098" t="s">
        <v>34457</v>
      </c>
      <c r="K4098" t="s">
        <v>41193</v>
      </c>
      <c r="M4098" t="s">
        <v>42104</v>
      </c>
      <c r="N4098" t="s">
        <v>45095</v>
      </c>
      <c r="O4098" t="s">
        <v>45096</v>
      </c>
      <c r="P4098">
        <v>0</v>
      </c>
      <c r="Q4098">
        <v>0</v>
      </c>
      <c r="R4098" t="s">
        <v>45101</v>
      </c>
      <c r="S4098" t="s">
        <v>45231</v>
      </c>
      <c r="T4098" t="s">
        <v>46946</v>
      </c>
      <c r="U4098" t="s">
        <v>50967</v>
      </c>
      <c r="W4098" t="s">
        <v>42104</v>
      </c>
      <c r="X4098" t="s">
        <v>45102</v>
      </c>
    </row>
    <row r="4099" spans="1:24">
      <c r="A4099">
        <f>HYPERLINK("https://www.philgeps.gov.ph/GEPSNONPILOT/Tender/SplashBidNoticeAbstractUI.aspx?menuIndex=3&amp;refID=7041719&amp;Result=3","7041719")</f>
        <v>0</v>
      </c>
      <c r="B4099" t="s">
        <v>1440</v>
      </c>
      <c r="C4099" t="s">
        <v>7115</v>
      </c>
      <c r="D4099" t="s">
        <v>18084</v>
      </c>
      <c r="E4099" t="s">
        <v>21779</v>
      </c>
      <c r="F4099" t="s">
        <v>31574</v>
      </c>
      <c r="G4099" t="s">
        <v>31581</v>
      </c>
      <c r="H4099" t="s">
        <v>31590</v>
      </c>
      <c r="I4099" t="s">
        <v>3651</v>
      </c>
      <c r="J4099" t="s">
        <v>34458</v>
      </c>
      <c r="K4099" t="s">
        <v>41191</v>
      </c>
      <c r="M4099" t="s">
        <v>43016</v>
      </c>
      <c r="N4099" t="s">
        <v>45095</v>
      </c>
      <c r="O4099" t="s">
        <v>45096</v>
      </c>
      <c r="P4099">
        <v>0</v>
      </c>
      <c r="Q4099">
        <v>0</v>
      </c>
      <c r="R4099" t="s">
        <v>45101</v>
      </c>
      <c r="S4099" t="s">
        <v>45231</v>
      </c>
      <c r="T4099" t="s">
        <v>47159</v>
      </c>
      <c r="U4099" t="s">
        <v>50968</v>
      </c>
      <c r="W4099" t="s">
        <v>61701</v>
      </c>
      <c r="X4099" t="s">
        <v>45102</v>
      </c>
    </row>
    <row r="4100" spans="1:24">
      <c r="A4100">
        <f>HYPERLINK("https://www.philgeps.gov.ph/GEPSNONPILOT/Tender/SplashBidNoticeAbstractUI.aspx?menuIndex=3&amp;refID=7041732&amp;Result=3","7041732")</f>
        <v>0</v>
      </c>
      <c r="B4100" t="s">
        <v>530</v>
      </c>
      <c r="C4100" t="s">
        <v>7116</v>
      </c>
      <c r="D4100" t="s">
        <v>18071</v>
      </c>
      <c r="E4100" t="s">
        <v>21780</v>
      </c>
      <c r="F4100" t="s">
        <v>31574</v>
      </c>
      <c r="G4100" t="s">
        <v>31581</v>
      </c>
      <c r="H4100" t="s">
        <v>31590</v>
      </c>
      <c r="I4100" t="s">
        <v>3489</v>
      </c>
      <c r="J4100" t="s">
        <v>34459</v>
      </c>
      <c r="K4100" t="s">
        <v>41186</v>
      </c>
      <c r="M4100" t="s">
        <v>43017</v>
      </c>
      <c r="N4100" t="s">
        <v>45095</v>
      </c>
      <c r="O4100" t="s">
        <v>45096</v>
      </c>
      <c r="P4100">
        <v>0</v>
      </c>
      <c r="Q4100">
        <v>0</v>
      </c>
      <c r="R4100" t="s">
        <v>45101</v>
      </c>
      <c r="S4100" t="s">
        <v>45231</v>
      </c>
      <c r="T4100" t="s">
        <v>47176</v>
      </c>
      <c r="U4100" t="s">
        <v>50969</v>
      </c>
      <c r="W4100" t="s">
        <v>43017</v>
      </c>
      <c r="X4100" t="s">
        <v>45102</v>
      </c>
    </row>
    <row r="4101" spans="1:24">
      <c r="A4101">
        <f>HYPERLINK("https://www.philgeps.gov.ph/GEPSNONPILOT/Tender/SplashBidNoticeAbstractUI.aspx?menuIndex=3&amp;refID=7041723&amp;Result=3","7041723")</f>
        <v>0</v>
      </c>
      <c r="B4101" t="s">
        <v>1441</v>
      </c>
      <c r="C4101" t="s">
        <v>7117</v>
      </c>
      <c r="D4101" t="s">
        <v>18057</v>
      </c>
      <c r="E4101" t="s">
        <v>21781</v>
      </c>
      <c r="F4101" t="s">
        <v>31574</v>
      </c>
      <c r="G4101" t="s">
        <v>31583</v>
      </c>
      <c r="H4101" t="s">
        <v>31590</v>
      </c>
      <c r="I4101" t="s">
        <v>31607</v>
      </c>
      <c r="J4101" t="s">
        <v>33514</v>
      </c>
      <c r="K4101" t="s">
        <v>41190</v>
      </c>
      <c r="M4101" t="s">
        <v>43018</v>
      </c>
      <c r="N4101" t="s">
        <v>45095</v>
      </c>
      <c r="O4101" t="s">
        <v>45096</v>
      </c>
      <c r="P4101">
        <v>0</v>
      </c>
      <c r="Q4101">
        <v>6</v>
      </c>
      <c r="R4101" t="s">
        <v>45101</v>
      </c>
      <c r="S4101" t="s">
        <v>45231</v>
      </c>
      <c r="T4101" t="s">
        <v>47162</v>
      </c>
      <c r="U4101" t="s">
        <v>50970</v>
      </c>
      <c r="W4101" t="s">
        <v>43018</v>
      </c>
      <c r="X4101" t="s">
        <v>45102</v>
      </c>
    </row>
    <row r="4102" spans="1:24">
      <c r="A4102">
        <f>HYPERLINK("https://www.philgeps.gov.ph/GEPSNONPILOT/Tender/SplashBidNoticeAbstractUI.aspx?menuIndex=3&amp;refID=7041751&amp;Result=3","7041751")</f>
        <v>0</v>
      </c>
      <c r="B4102" t="s">
        <v>1344</v>
      </c>
      <c r="C4102" t="s">
        <v>7118</v>
      </c>
      <c r="D4102" t="s">
        <v>18075</v>
      </c>
      <c r="E4102" t="s">
        <v>21782</v>
      </c>
      <c r="F4102" t="s">
        <v>31574</v>
      </c>
      <c r="G4102" t="s">
        <v>31583</v>
      </c>
      <c r="H4102" t="s">
        <v>31590</v>
      </c>
      <c r="I4102" t="s">
        <v>14034</v>
      </c>
      <c r="J4102" t="s">
        <v>32382</v>
      </c>
      <c r="K4102" t="s">
        <v>41196</v>
      </c>
      <c r="M4102" t="s">
        <v>42916</v>
      </c>
      <c r="N4102" t="s">
        <v>45095</v>
      </c>
      <c r="O4102" t="s">
        <v>45096</v>
      </c>
      <c r="P4102">
        <v>0</v>
      </c>
      <c r="Q4102">
        <v>0</v>
      </c>
      <c r="R4102" t="s">
        <v>45101</v>
      </c>
      <c r="S4102" t="s">
        <v>45231</v>
      </c>
      <c r="T4102" t="s">
        <v>46926</v>
      </c>
      <c r="U4102" t="s">
        <v>50971</v>
      </c>
      <c r="V4102" t="s">
        <v>60265</v>
      </c>
      <c r="W4102" t="s">
        <v>42916</v>
      </c>
      <c r="X4102" t="s">
        <v>45102</v>
      </c>
    </row>
    <row r="4103" spans="1:24">
      <c r="A4103">
        <f>HYPERLINK("https://www.philgeps.gov.ph/GEPSNONPILOT/Tender/SplashBidNoticeAbstractUI.aspx?menuIndex=3&amp;refID=7041748&amp;Result=3","7041748")</f>
        <v>0</v>
      </c>
      <c r="B4103" t="s">
        <v>1442</v>
      </c>
      <c r="C4103" t="s">
        <v>7119</v>
      </c>
      <c r="D4103" t="s">
        <v>18065</v>
      </c>
      <c r="E4103" t="s">
        <v>21783</v>
      </c>
      <c r="F4103" t="s">
        <v>31574</v>
      </c>
      <c r="G4103" t="s">
        <v>31584</v>
      </c>
      <c r="H4103" t="s">
        <v>31590</v>
      </c>
      <c r="I4103" t="s">
        <v>6800</v>
      </c>
      <c r="J4103" t="s">
        <v>34460</v>
      </c>
      <c r="K4103" t="s">
        <v>41196</v>
      </c>
      <c r="M4103" t="s">
        <v>43019</v>
      </c>
      <c r="N4103" t="s">
        <v>45095</v>
      </c>
      <c r="O4103" t="s">
        <v>45096</v>
      </c>
      <c r="P4103">
        <v>0</v>
      </c>
      <c r="Q4103">
        <v>1</v>
      </c>
      <c r="R4103" t="s">
        <v>45101</v>
      </c>
      <c r="S4103" t="s">
        <v>45231</v>
      </c>
      <c r="T4103" t="s">
        <v>47154</v>
      </c>
      <c r="U4103" t="s">
        <v>50972</v>
      </c>
      <c r="W4103" t="s">
        <v>43019</v>
      </c>
      <c r="X4103" t="s">
        <v>45102</v>
      </c>
    </row>
    <row r="4104" spans="1:24">
      <c r="A4104">
        <f>HYPERLINK("https://www.philgeps.gov.ph/GEPSNONPILOT/Tender/SplashBidNoticeAbstractUI.aspx?menuIndex=3&amp;refID=7041705&amp;Result=3","7041705")</f>
        <v>0</v>
      </c>
      <c r="B4104" t="s">
        <v>1438</v>
      </c>
      <c r="C4104" t="s">
        <v>7120</v>
      </c>
      <c r="D4104" t="s">
        <v>18039</v>
      </c>
      <c r="E4104" t="s">
        <v>21784</v>
      </c>
      <c r="F4104" t="s">
        <v>31574</v>
      </c>
      <c r="G4104" t="s">
        <v>31582</v>
      </c>
      <c r="H4104" t="s">
        <v>31590</v>
      </c>
      <c r="I4104" t="s">
        <v>4046</v>
      </c>
      <c r="J4104" t="s">
        <v>34461</v>
      </c>
      <c r="K4104" t="s">
        <v>41184</v>
      </c>
      <c r="M4104" t="s">
        <v>43014</v>
      </c>
      <c r="N4104" t="s">
        <v>45095</v>
      </c>
      <c r="O4104" t="s">
        <v>45096</v>
      </c>
      <c r="P4104">
        <v>0</v>
      </c>
      <c r="Q4104">
        <v>0</v>
      </c>
      <c r="R4104" t="s">
        <v>45101</v>
      </c>
      <c r="S4104" t="s">
        <v>45231</v>
      </c>
      <c r="T4104" t="s">
        <v>46913</v>
      </c>
      <c r="U4104" t="s">
        <v>50961</v>
      </c>
      <c r="W4104" t="s">
        <v>43014</v>
      </c>
      <c r="X4104" t="s">
        <v>45102</v>
      </c>
    </row>
    <row r="4105" spans="1:24">
      <c r="A4105">
        <f>HYPERLINK("https://www.philgeps.gov.ph/GEPSNONPILOT/Tender/SplashBidNoticeAbstractUI.aspx?menuIndex=3&amp;refID=7041741&amp;Result=3","7041741")</f>
        <v>0</v>
      </c>
      <c r="B4105" t="s">
        <v>1443</v>
      </c>
      <c r="C4105" t="s">
        <v>7121</v>
      </c>
      <c r="D4105" t="s">
        <v>18074</v>
      </c>
      <c r="E4105" t="s">
        <v>21785</v>
      </c>
      <c r="F4105" t="s">
        <v>31574</v>
      </c>
      <c r="G4105" t="s">
        <v>31581</v>
      </c>
      <c r="H4105" t="s">
        <v>31590</v>
      </c>
      <c r="I4105" t="s">
        <v>4046</v>
      </c>
      <c r="J4105" t="s">
        <v>34462</v>
      </c>
      <c r="K4105" t="s">
        <v>41190</v>
      </c>
      <c r="M4105" t="s">
        <v>43020</v>
      </c>
      <c r="N4105" t="s">
        <v>45095</v>
      </c>
      <c r="O4105" t="s">
        <v>45096</v>
      </c>
      <c r="P4105">
        <v>0</v>
      </c>
      <c r="Q4105">
        <v>0</v>
      </c>
      <c r="R4105" t="s">
        <v>45101</v>
      </c>
      <c r="S4105" t="s">
        <v>45231</v>
      </c>
      <c r="T4105" t="s">
        <v>46913</v>
      </c>
      <c r="U4105" t="s">
        <v>50973</v>
      </c>
      <c r="V4105" t="s">
        <v>60266</v>
      </c>
      <c r="W4105" t="s">
        <v>43020</v>
      </c>
      <c r="X4105" t="s">
        <v>45102</v>
      </c>
    </row>
    <row r="4106" spans="1:24">
      <c r="A4106">
        <f>HYPERLINK("https://www.philgeps.gov.ph/GEPSNONPILOT/Tender/SplashBidNoticeAbstractUI.aspx?menuIndex=3&amp;refID=7041750&amp;Result=3","7041750")</f>
        <v>0</v>
      </c>
      <c r="B4106" t="s">
        <v>333</v>
      </c>
      <c r="C4106" t="s">
        <v>7122</v>
      </c>
      <c r="D4106" t="s">
        <v>18081</v>
      </c>
      <c r="E4106" t="s">
        <v>19685</v>
      </c>
      <c r="F4106" t="s">
        <v>31574</v>
      </c>
      <c r="G4106" t="s">
        <v>31581</v>
      </c>
      <c r="H4106" t="s">
        <v>31590</v>
      </c>
      <c r="I4106" t="s">
        <v>31608</v>
      </c>
      <c r="J4106" t="s">
        <v>32258</v>
      </c>
      <c r="K4106" t="s">
        <v>41196</v>
      </c>
      <c r="M4106" t="s">
        <v>41821</v>
      </c>
      <c r="N4106" t="s">
        <v>45095</v>
      </c>
      <c r="O4106" t="s">
        <v>45096</v>
      </c>
      <c r="P4106">
        <v>0</v>
      </c>
      <c r="Q4106">
        <v>3</v>
      </c>
      <c r="R4106" t="s">
        <v>45101</v>
      </c>
      <c r="S4106" t="s">
        <v>45231</v>
      </c>
      <c r="T4106" t="s">
        <v>47050</v>
      </c>
      <c r="U4106" t="s">
        <v>50974</v>
      </c>
      <c r="W4106" t="s">
        <v>41821</v>
      </c>
      <c r="X4106" t="s">
        <v>45102</v>
      </c>
    </row>
    <row r="4107" spans="1:24">
      <c r="A4107">
        <f>HYPERLINK("https://www.philgeps.gov.ph/GEPSNONPILOT/Tender/SplashBidNoticeAbstractUI.aspx?menuIndex=3&amp;refID=7041740&amp;Result=3","7041740")</f>
        <v>0</v>
      </c>
      <c r="B4107" t="s">
        <v>1444</v>
      </c>
      <c r="C4107" t="s">
        <v>7123</v>
      </c>
      <c r="D4107" t="s">
        <v>18052</v>
      </c>
      <c r="E4107" t="s">
        <v>21786</v>
      </c>
      <c r="F4107" t="s">
        <v>31575</v>
      </c>
      <c r="G4107" t="s">
        <v>31584</v>
      </c>
      <c r="H4107" t="s">
        <v>31590</v>
      </c>
      <c r="I4107" t="s">
        <v>5717</v>
      </c>
      <c r="J4107" t="s">
        <v>34463</v>
      </c>
      <c r="K4107" t="s">
        <v>41184</v>
      </c>
      <c r="M4107" t="s">
        <v>43021</v>
      </c>
      <c r="N4107" t="s">
        <v>45095</v>
      </c>
      <c r="O4107" t="s">
        <v>45096</v>
      </c>
      <c r="P4107">
        <v>0</v>
      </c>
      <c r="Q4107">
        <v>1</v>
      </c>
      <c r="R4107" t="s">
        <v>45101</v>
      </c>
      <c r="S4107" t="s">
        <v>45231</v>
      </c>
      <c r="T4107" t="s">
        <v>46904</v>
      </c>
      <c r="U4107" t="s">
        <v>50975</v>
      </c>
      <c r="W4107" t="s">
        <v>43021</v>
      </c>
      <c r="X4107" t="s">
        <v>45102</v>
      </c>
    </row>
    <row r="4108" spans="1:24">
      <c r="A4108">
        <f>HYPERLINK("https://www.philgeps.gov.ph/GEPSNONPILOT/Tender/SplashBidNoticeAbstractUI.aspx?menuIndex=3&amp;refID=7041744&amp;Result=3","7041744")</f>
        <v>0</v>
      </c>
      <c r="B4108" t="s">
        <v>357</v>
      </c>
      <c r="C4108" t="s">
        <v>7124</v>
      </c>
      <c r="D4108" t="s">
        <v>18026</v>
      </c>
      <c r="E4108" t="s">
        <v>21787</v>
      </c>
      <c r="F4108" t="s">
        <v>31574</v>
      </c>
      <c r="G4108" t="s">
        <v>31581</v>
      </c>
      <c r="H4108" t="s">
        <v>31590</v>
      </c>
      <c r="I4108" t="s">
        <v>31615</v>
      </c>
      <c r="J4108" t="s">
        <v>34464</v>
      </c>
      <c r="K4108" t="s">
        <v>41193</v>
      </c>
      <c r="M4108" t="s">
        <v>42068</v>
      </c>
      <c r="N4108" t="s">
        <v>45095</v>
      </c>
      <c r="O4108" t="s">
        <v>45096</v>
      </c>
      <c r="P4108">
        <v>0</v>
      </c>
      <c r="Q4108">
        <v>1</v>
      </c>
      <c r="R4108" t="s">
        <v>45101</v>
      </c>
      <c r="S4108" t="s">
        <v>45231</v>
      </c>
      <c r="T4108" t="s">
        <v>46957</v>
      </c>
      <c r="U4108" t="s">
        <v>50976</v>
      </c>
      <c r="W4108" t="s">
        <v>42068</v>
      </c>
      <c r="X4108" t="s">
        <v>45102</v>
      </c>
    </row>
    <row r="4109" spans="1:24">
      <c r="A4109">
        <f>HYPERLINK("https://www.philgeps.gov.ph/GEPSNONPILOT/Tender/SplashBidNoticeAbstractUI.aspx?menuIndex=3&amp;refID=7041737&amp;Result=3","7041737")</f>
        <v>0</v>
      </c>
      <c r="B4109" t="s">
        <v>1445</v>
      </c>
      <c r="C4109" t="s">
        <v>7125</v>
      </c>
      <c r="D4109" t="s">
        <v>18039</v>
      </c>
      <c r="E4109" t="s">
        <v>18790</v>
      </c>
      <c r="F4109" t="s">
        <v>31574</v>
      </c>
      <c r="G4109" t="s">
        <v>31581</v>
      </c>
      <c r="H4109" t="s">
        <v>31590</v>
      </c>
      <c r="I4109" t="s">
        <v>4046</v>
      </c>
      <c r="J4109" t="s">
        <v>34465</v>
      </c>
      <c r="K4109" t="s">
        <v>41213</v>
      </c>
      <c r="M4109" t="s">
        <v>43022</v>
      </c>
      <c r="N4109" t="s">
        <v>45095</v>
      </c>
      <c r="O4109" t="s">
        <v>45096</v>
      </c>
      <c r="P4109">
        <v>0</v>
      </c>
      <c r="Q4109">
        <v>0</v>
      </c>
      <c r="R4109" t="s">
        <v>45101</v>
      </c>
      <c r="S4109" t="s">
        <v>45231</v>
      </c>
      <c r="T4109" t="s">
        <v>46918</v>
      </c>
      <c r="U4109" t="s">
        <v>50259</v>
      </c>
      <c r="W4109" t="s">
        <v>43022</v>
      </c>
      <c r="X4109" t="s">
        <v>45102</v>
      </c>
    </row>
    <row r="4110" spans="1:24">
      <c r="A4110">
        <f>HYPERLINK("https://www.philgeps.gov.ph/GEPSNONPILOT/Tender/SplashBidNoticeAbstractUI.aspx?menuIndex=3&amp;refID=7041749&amp;Result=3","7041749")</f>
        <v>0</v>
      </c>
      <c r="B4110" t="s">
        <v>115</v>
      </c>
      <c r="C4110" t="s">
        <v>7126</v>
      </c>
      <c r="D4110" t="s">
        <v>18040</v>
      </c>
      <c r="E4110" t="s">
        <v>21788</v>
      </c>
      <c r="F4110" t="s">
        <v>31574</v>
      </c>
      <c r="G4110" t="s">
        <v>31584</v>
      </c>
      <c r="H4110" t="s">
        <v>31590</v>
      </c>
      <c r="I4110" t="s">
        <v>5717</v>
      </c>
      <c r="J4110" t="s">
        <v>32375</v>
      </c>
      <c r="K4110" t="s">
        <v>41193</v>
      </c>
      <c r="M4110" t="s">
        <v>41599</v>
      </c>
      <c r="N4110" t="s">
        <v>45095</v>
      </c>
      <c r="O4110" t="s">
        <v>45096</v>
      </c>
      <c r="P4110">
        <v>0</v>
      </c>
      <c r="Q4110">
        <v>1</v>
      </c>
      <c r="R4110" t="s">
        <v>45101</v>
      </c>
      <c r="S4110" t="s">
        <v>45231</v>
      </c>
      <c r="T4110" t="s">
        <v>47158</v>
      </c>
      <c r="U4110" t="s">
        <v>50977</v>
      </c>
      <c r="W4110" t="s">
        <v>41599</v>
      </c>
      <c r="X4110" t="s">
        <v>45102</v>
      </c>
    </row>
    <row r="4111" spans="1:24">
      <c r="A4111">
        <f>HYPERLINK("https://www.philgeps.gov.ph/GEPSNONPILOT/Tender/SplashBidNoticeAbstractUI.aspx?menuIndex=3&amp;refID=7041743&amp;Result=3","7041743")</f>
        <v>0</v>
      </c>
      <c r="B4111" t="s">
        <v>1371</v>
      </c>
      <c r="C4111" t="s">
        <v>7127</v>
      </c>
      <c r="D4111" t="s">
        <v>18022</v>
      </c>
      <c r="E4111" t="s">
        <v>21789</v>
      </c>
      <c r="F4111" t="s">
        <v>31574</v>
      </c>
      <c r="G4111" t="s">
        <v>31581</v>
      </c>
      <c r="H4111" t="s">
        <v>31590</v>
      </c>
      <c r="I4111" t="s">
        <v>4327</v>
      </c>
      <c r="J4111" t="s">
        <v>31728</v>
      </c>
      <c r="K4111" t="s">
        <v>41196</v>
      </c>
      <c r="M4111" t="s">
        <v>42944</v>
      </c>
      <c r="N4111" t="s">
        <v>45095</v>
      </c>
      <c r="O4111" t="s">
        <v>45096</v>
      </c>
      <c r="P4111">
        <v>0</v>
      </c>
      <c r="Q4111">
        <v>6</v>
      </c>
      <c r="R4111" t="s">
        <v>45101</v>
      </c>
      <c r="S4111" t="s">
        <v>45231</v>
      </c>
      <c r="T4111" t="s">
        <v>47096</v>
      </c>
      <c r="U4111" t="s">
        <v>50978</v>
      </c>
      <c r="V4111" t="s">
        <v>60267</v>
      </c>
      <c r="W4111" t="s">
        <v>42944</v>
      </c>
      <c r="X4111" t="s">
        <v>45102</v>
      </c>
    </row>
    <row r="4112" spans="1:24">
      <c r="A4112">
        <f>HYPERLINK("https://www.philgeps.gov.ph/GEPSNONPILOT/Tender/SplashBidNoticeAbstractUI.aspx?menuIndex=3&amp;refID=7041726&amp;Result=3","7041726")</f>
        <v>0</v>
      </c>
      <c r="B4112" t="s">
        <v>1311</v>
      </c>
      <c r="C4112" t="s">
        <v>7128</v>
      </c>
      <c r="E4112" t="s">
        <v>21790</v>
      </c>
      <c r="F4112" t="s">
        <v>31574</v>
      </c>
      <c r="G4112" t="s">
        <v>31582</v>
      </c>
      <c r="H4112" t="s">
        <v>31590</v>
      </c>
      <c r="I4112" t="s">
        <v>31615</v>
      </c>
      <c r="J4112" t="s">
        <v>34466</v>
      </c>
      <c r="K4112" t="s">
        <v>41186</v>
      </c>
      <c r="M4112" t="s">
        <v>43023</v>
      </c>
      <c r="N4112" t="s">
        <v>45095</v>
      </c>
      <c r="O4112" t="s">
        <v>45096</v>
      </c>
      <c r="P4112">
        <v>0</v>
      </c>
      <c r="Q4112">
        <v>2</v>
      </c>
      <c r="R4112" t="s">
        <v>45101</v>
      </c>
      <c r="S4112" t="s">
        <v>45231</v>
      </c>
      <c r="T4112" t="s">
        <v>47166</v>
      </c>
      <c r="U4112" t="s">
        <v>50979</v>
      </c>
      <c r="V4112" t="s">
        <v>60268</v>
      </c>
      <c r="W4112" t="s">
        <v>43023</v>
      </c>
      <c r="X4112" t="s">
        <v>45102</v>
      </c>
    </row>
    <row r="4113" spans="1:24">
      <c r="A4113">
        <f>HYPERLINK("https://www.philgeps.gov.ph/GEPSNONPILOT/Tender/SplashBidNoticeAbstractUI.aspx?menuIndex=3&amp;refID=7041739&amp;Result=3","7041739")</f>
        <v>0</v>
      </c>
      <c r="B4113" t="s">
        <v>643</v>
      </c>
      <c r="C4113" t="s">
        <v>5975</v>
      </c>
      <c r="D4113" t="s">
        <v>18063</v>
      </c>
      <c r="E4113" t="s">
        <v>21791</v>
      </c>
      <c r="F4113" t="s">
        <v>31574</v>
      </c>
      <c r="G4113" t="s">
        <v>31581</v>
      </c>
      <c r="H4113" t="s">
        <v>31590</v>
      </c>
      <c r="I4113" t="s">
        <v>31605</v>
      </c>
      <c r="J4113" t="s">
        <v>34467</v>
      </c>
      <c r="K4113" t="s">
        <v>41196</v>
      </c>
      <c r="M4113" t="s">
        <v>43024</v>
      </c>
      <c r="N4113" t="s">
        <v>45095</v>
      </c>
      <c r="O4113" t="s">
        <v>45096</v>
      </c>
      <c r="P4113">
        <v>0</v>
      </c>
      <c r="Q4113">
        <v>4</v>
      </c>
      <c r="R4113" t="s">
        <v>45101</v>
      </c>
      <c r="S4113" t="s">
        <v>45231</v>
      </c>
      <c r="T4113" t="s">
        <v>47159</v>
      </c>
      <c r="U4113" t="s">
        <v>50980</v>
      </c>
      <c r="V4113" t="s">
        <v>60269</v>
      </c>
      <c r="W4113" t="s">
        <v>43024</v>
      </c>
      <c r="X4113" t="s">
        <v>45102</v>
      </c>
    </row>
    <row r="4114" spans="1:24">
      <c r="A4114">
        <f>HYPERLINK("https://www.philgeps.gov.ph/GEPSNONPILOT/Tender/SplashBidNoticeAbstractUI.aspx?menuIndex=3&amp;refID=7041755&amp;Result=3","7041755")</f>
        <v>0</v>
      </c>
      <c r="B4114" t="s">
        <v>1446</v>
      </c>
      <c r="C4114" t="s">
        <v>7129</v>
      </c>
      <c r="D4114" t="s">
        <v>18052</v>
      </c>
      <c r="E4114" t="s">
        <v>20114</v>
      </c>
      <c r="F4114" t="s">
        <v>31574</v>
      </c>
      <c r="G4114" t="s">
        <v>31582</v>
      </c>
      <c r="H4114" t="s">
        <v>31591</v>
      </c>
      <c r="I4114" t="s">
        <v>8822</v>
      </c>
      <c r="J4114" t="s">
        <v>32232</v>
      </c>
      <c r="K4114" t="s">
        <v>41192</v>
      </c>
      <c r="M4114" t="s">
        <v>43025</v>
      </c>
      <c r="N4114" t="s">
        <v>45095</v>
      </c>
      <c r="O4114" t="s">
        <v>45096</v>
      </c>
      <c r="P4114">
        <v>0</v>
      </c>
      <c r="Q4114">
        <v>0</v>
      </c>
      <c r="R4114" t="s">
        <v>45101</v>
      </c>
      <c r="S4114" t="s">
        <v>45231</v>
      </c>
      <c r="T4114" t="s">
        <v>47207</v>
      </c>
      <c r="U4114" t="s">
        <v>50981</v>
      </c>
      <c r="V4114" t="s">
        <v>60270</v>
      </c>
      <c r="W4114" t="s">
        <v>43025</v>
      </c>
      <c r="X4114" t="s">
        <v>45102</v>
      </c>
    </row>
    <row r="4115" spans="1:24">
      <c r="A4115">
        <f>HYPERLINK("https://www.philgeps.gov.ph/GEPSNONPILOT/Tender/SplashBidNoticeAbstractUI.aspx?menuIndex=3&amp;refID=7041731&amp;Result=3","7041731")</f>
        <v>0</v>
      </c>
      <c r="B4115" t="s">
        <v>1447</v>
      </c>
      <c r="C4115" t="s">
        <v>7130</v>
      </c>
      <c r="D4115" t="s">
        <v>18022</v>
      </c>
      <c r="E4115" t="s">
        <v>21792</v>
      </c>
      <c r="F4115" t="s">
        <v>31574</v>
      </c>
      <c r="G4115" t="s">
        <v>31583</v>
      </c>
      <c r="H4115" t="s">
        <v>31592</v>
      </c>
      <c r="I4115" t="s">
        <v>31656</v>
      </c>
      <c r="J4115" t="s">
        <v>34468</v>
      </c>
      <c r="K4115" t="s">
        <v>41196</v>
      </c>
      <c r="M4115" t="s">
        <v>43026</v>
      </c>
      <c r="N4115" t="s">
        <v>45095</v>
      </c>
      <c r="O4115" t="s">
        <v>45096</v>
      </c>
      <c r="P4115">
        <v>0</v>
      </c>
      <c r="Q4115">
        <v>2</v>
      </c>
      <c r="R4115" t="s">
        <v>45101</v>
      </c>
      <c r="S4115" t="s">
        <v>45231</v>
      </c>
      <c r="T4115" t="s">
        <v>47191</v>
      </c>
      <c r="U4115" t="s">
        <v>50982</v>
      </c>
      <c r="W4115" t="s">
        <v>43026</v>
      </c>
      <c r="X4115" t="s">
        <v>45102</v>
      </c>
    </row>
    <row r="4116" spans="1:24">
      <c r="A4116">
        <f>HYPERLINK("https://www.philgeps.gov.ph/GEPSNONPILOT/Tender/SplashBidNoticeAbstractUI.aspx?menuIndex=3&amp;refID=7041736&amp;Result=3","7041736")</f>
        <v>0</v>
      </c>
      <c r="B4116" t="s">
        <v>1448</v>
      </c>
      <c r="C4116" t="s">
        <v>7131</v>
      </c>
      <c r="D4116" t="s">
        <v>18043</v>
      </c>
      <c r="E4116" t="s">
        <v>21793</v>
      </c>
      <c r="F4116" t="s">
        <v>31574</v>
      </c>
      <c r="G4116" t="s">
        <v>31582</v>
      </c>
      <c r="H4116" t="s">
        <v>31591</v>
      </c>
      <c r="I4116" t="s">
        <v>8822</v>
      </c>
      <c r="J4116" t="s">
        <v>33288</v>
      </c>
      <c r="K4116" t="s">
        <v>41310</v>
      </c>
      <c r="M4116" t="s">
        <v>43027</v>
      </c>
      <c r="N4116" t="s">
        <v>45095</v>
      </c>
      <c r="O4116" t="s">
        <v>45096</v>
      </c>
      <c r="P4116">
        <v>0</v>
      </c>
      <c r="Q4116">
        <v>1</v>
      </c>
      <c r="R4116" t="s">
        <v>45101</v>
      </c>
      <c r="S4116" t="s">
        <v>45231</v>
      </c>
      <c r="T4116" t="s">
        <v>46992</v>
      </c>
      <c r="U4116" t="s">
        <v>50983</v>
      </c>
      <c r="W4116" t="s">
        <v>43027</v>
      </c>
      <c r="X4116" t="s">
        <v>45102</v>
      </c>
    </row>
    <row r="4117" spans="1:24">
      <c r="A4117">
        <f>HYPERLINK("https://www.philgeps.gov.ph/GEPSNONPILOT/Tender/SplashBidNoticeAbstractUI.aspx?menuIndex=3&amp;refID=7041752&amp;Result=3","7041752")</f>
        <v>0</v>
      </c>
      <c r="B4117" t="s">
        <v>1443</v>
      </c>
      <c r="C4117" t="s">
        <v>7132</v>
      </c>
      <c r="D4117" t="s">
        <v>18074</v>
      </c>
      <c r="E4117" t="s">
        <v>21794</v>
      </c>
      <c r="F4117" t="s">
        <v>31574</v>
      </c>
      <c r="G4117" t="s">
        <v>31581</v>
      </c>
      <c r="H4117" t="s">
        <v>31590</v>
      </c>
      <c r="I4117" t="s">
        <v>31623</v>
      </c>
      <c r="J4117" t="s">
        <v>34469</v>
      </c>
      <c r="K4117" t="s">
        <v>41196</v>
      </c>
      <c r="M4117" t="s">
        <v>43020</v>
      </c>
      <c r="N4117" t="s">
        <v>45095</v>
      </c>
      <c r="O4117" t="s">
        <v>45096</v>
      </c>
      <c r="P4117">
        <v>0</v>
      </c>
      <c r="Q4117">
        <v>0</v>
      </c>
      <c r="R4117" t="s">
        <v>45101</v>
      </c>
      <c r="S4117" t="s">
        <v>45231</v>
      </c>
      <c r="T4117" t="s">
        <v>46913</v>
      </c>
      <c r="U4117" t="s">
        <v>50984</v>
      </c>
      <c r="V4117" t="s">
        <v>60271</v>
      </c>
      <c r="W4117" t="s">
        <v>43020</v>
      </c>
      <c r="X4117" t="s">
        <v>45102</v>
      </c>
    </row>
    <row r="4118" spans="1:24">
      <c r="A4118">
        <f>HYPERLINK("https://www.philgeps.gov.ph/GEPSNONPILOT/Tender/SplashBidNoticeAbstractUI.aspx?menuIndex=3&amp;refID=7041767&amp;Result=3","7041767")</f>
        <v>0</v>
      </c>
      <c r="B4118" t="s">
        <v>1449</v>
      </c>
      <c r="C4118" t="s">
        <v>7133</v>
      </c>
      <c r="D4118" t="s">
        <v>18088</v>
      </c>
      <c r="E4118" t="s">
        <v>21795</v>
      </c>
      <c r="F4118" t="s">
        <v>31574</v>
      </c>
      <c r="G4118" t="s">
        <v>31582</v>
      </c>
      <c r="H4118" t="s">
        <v>31591</v>
      </c>
      <c r="I4118" t="s">
        <v>8822</v>
      </c>
      <c r="J4118" t="s">
        <v>34470</v>
      </c>
      <c r="K4118" t="s">
        <v>41189</v>
      </c>
      <c r="M4118" t="s">
        <v>43028</v>
      </c>
      <c r="N4118" t="s">
        <v>45095</v>
      </c>
      <c r="O4118" t="s">
        <v>45096</v>
      </c>
      <c r="P4118">
        <v>0</v>
      </c>
      <c r="Q4118">
        <v>1</v>
      </c>
      <c r="R4118" t="s">
        <v>45101</v>
      </c>
      <c r="S4118" t="s">
        <v>45231</v>
      </c>
      <c r="T4118" t="s">
        <v>47000</v>
      </c>
      <c r="U4118" t="s">
        <v>50985</v>
      </c>
      <c r="V4118" t="s">
        <v>60272</v>
      </c>
      <c r="W4118" t="s">
        <v>43028</v>
      </c>
      <c r="X4118" t="s">
        <v>45102</v>
      </c>
    </row>
    <row r="4119" spans="1:24">
      <c r="A4119">
        <f>HYPERLINK("https://www.philgeps.gov.ph/GEPSNONPILOT/Tender/SplashBidNoticeAbstractUI.aspx?menuIndex=3&amp;refID=7041735&amp;Result=3","7041735")</f>
        <v>0</v>
      </c>
      <c r="B4119" t="s">
        <v>53</v>
      </c>
      <c r="C4119" t="s">
        <v>7134</v>
      </c>
      <c r="D4119" t="s">
        <v>18040</v>
      </c>
      <c r="E4119" t="s">
        <v>21796</v>
      </c>
      <c r="F4119" t="s">
        <v>31574</v>
      </c>
      <c r="G4119" t="s">
        <v>31581</v>
      </c>
      <c r="H4119" t="s">
        <v>31590</v>
      </c>
      <c r="I4119" t="s">
        <v>8258</v>
      </c>
      <c r="J4119" t="s">
        <v>34457</v>
      </c>
      <c r="K4119" t="s">
        <v>41211</v>
      </c>
      <c r="M4119" t="s">
        <v>43029</v>
      </c>
      <c r="N4119" t="s">
        <v>45095</v>
      </c>
      <c r="O4119" t="s">
        <v>45096</v>
      </c>
      <c r="P4119">
        <v>0</v>
      </c>
      <c r="Q4119">
        <v>3</v>
      </c>
      <c r="R4119" t="s">
        <v>45101</v>
      </c>
      <c r="S4119" t="s">
        <v>45231</v>
      </c>
      <c r="T4119" t="s">
        <v>47050</v>
      </c>
      <c r="U4119" t="s">
        <v>50986</v>
      </c>
      <c r="W4119" t="s">
        <v>43029</v>
      </c>
      <c r="X4119" t="s">
        <v>45102</v>
      </c>
    </row>
    <row r="4120" spans="1:24">
      <c r="A4120">
        <f>HYPERLINK("https://www.philgeps.gov.ph/GEPSNONPILOT/Tender/SplashBidNoticeAbstractUI.aspx?menuIndex=3&amp;refID=7041753&amp;Result=3","7041753")</f>
        <v>0</v>
      </c>
      <c r="B4120" t="s">
        <v>1450</v>
      </c>
      <c r="C4120" t="s">
        <v>7135</v>
      </c>
      <c r="D4120" t="s">
        <v>18084</v>
      </c>
      <c r="E4120" t="s">
        <v>21797</v>
      </c>
      <c r="F4120" t="s">
        <v>31575</v>
      </c>
      <c r="G4120" t="s">
        <v>31583</v>
      </c>
      <c r="H4120" t="s">
        <v>31590</v>
      </c>
      <c r="I4120" t="s">
        <v>31684</v>
      </c>
      <c r="J4120" t="s">
        <v>34471</v>
      </c>
      <c r="K4120" t="s">
        <v>41289</v>
      </c>
      <c r="M4120" t="s">
        <v>43030</v>
      </c>
      <c r="N4120" t="s">
        <v>45095</v>
      </c>
      <c r="O4120" t="s">
        <v>45096</v>
      </c>
      <c r="P4120">
        <v>0</v>
      </c>
      <c r="Q4120">
        <v>1</v>
      </c>
      <c r="R4120" t="s">
        <v>45101</v>
      </c>
      <c r="S4120" t="s">
        <v>45231</v>
      </c>
      <c r="T4120" t="s">
        <v>46980</v>
      </c>
      <c r="U4120" t="s">
        <v>50987</v>
      </c>
      <c r="W4120" t="s">
        <v>43030</v>
      </c>
      <c r="X4120" t="s">
        <v>45102</v>
      </c>
    </row>
    <row r="4121" spans="1:24">
      <c r="A4121">
        <f>HYPERLINK("https://www.philgeps.gov.ph/GEPSNONPILOT/Tender/SplashBidNoticeAbstractUI.aspx?menuIndex=3&amp;refID=7041761&amp;Result=3","7041761")</f>
        <v>0</v>
      </c>
      <c r="B4121" t="s">
        <v>629</v>
      </c>
      <c r="C4121" t="s">
        <v>7136</v>
      </c>
      <c r="D4121" t="s">
        <v>18075</v>
      </c>
      <c r="E4121" t="s">
        <v>18274</v>
      </c>
      <c r="F4121" t="s">
        <v>31574</v>
      </c>
      <c r="G4121" t="s">
        <v>31581</v>
      </c>
      <c r="H4121" t="s">
        <v>31590</v>
      </c>
      <c r="I4121" t="s">
        <v>4046</v>
      </c>
      <c r="J4121" t="s">
        <v>34472</v>
      </c>
      <c r="K4121" t="s">
        <v>41212</v>
      </c>
      <c r="M4121" t="s">
        <v>42133</v>
      </c>
      <c r="N4121" t="s">
        <v>45095</v>
      </c>
      <c r="O4121" t="s">
        <v>45096</v>
      </c>
      <c r="P4121">
        <v>0</v>
      </c>
      <c r="Q4121">
        <v>1</v>
      </c>
      <c r="R4121" t="s">
        <v>45101</v>
      </c>
      <c r="S4121" t="s">
        <v>45231</v>
      </c>
      <c r="T4121" t="s">
        <v>46957</v>
      </c>
      <c r="U4121" t="s">
        <v>50988</v>
      </c>
      <c r="W4121" t="s">
        <v>42133</v>
      </c>
      <c r="X4121" t="s">
        <v>45102</v>
      </c>
    </row>
    <row r="4122" spans="1:24">
      <c r="A4122">
        <f>HYPERLINK("https://www.philgeps.gov.ph/GEPSNONPILOT/Tender/SplashBidNoticeAbstractUI.aspx?menuIndex=3&amp;refID=7041768&amp;Result=3","7041768")</f>
        <v>0</v>
      </c>
      <c r="B4122" t="s">
        <v>1443</v>
      </c>
      <c r="C4122" t="s">
        <v>7137</v>
      </c>
      <c r="D4122" t="s">
        <v>18074</v>
      </c>
      <c r="E4122" t="s">
        <v>21798</v>
      </c>
      <c r="F4122" t="s">
        <v>31574</v>
      </c>
      <c r="G4122" t="s">
        <v>31581</v>
      </c>
      <c r="H4122" t="s">
        <v>31590</v>
      </c>
      <c r="I4122" t="s">
        <v>31623</v>
      </c>
      <c r="J4122" t="s">
        <v>34473</v>
      </c>
      <c r="K4122" t="s">
        <v>41196</v>
      </c>
      <c r="M4122" t="s">
        <v>43020</v>
      </c>
      <c r="N4122" t="s">
        <v>45095</v>
      </c>
      <c r="O4122" t="s">
        <v>45096</v>
      </c>
      <c r="P4122">
        <v>0</v>
      </c>
      <c r="Q4122">
        <v>0</v>
      </c>
      <c r="R4122" t="s">
        <v>45101</v>
      </c>
      <c r="S4122" t="s">
        <v>45231</v>
      </c>
      <c r="T4122" t="s">
        <v>46913</v>
      </c>
      <c r="U4122" t="s">
        <v>50984</v>
      </c>
      <c r="V4122" t="s">
        <v>60273</v>
      </c>
      <c r="W4122" t="s">
        <v>43020</v>
      </c>
      <c r="X4122" t="s">
        <v>45102</v>
      </c>
    </row>
    <row r="4123" spans="1:24">
      <c r="A4123">
        <f>HYPERLINK("https://www.philgeps.gov.ph/GEPSNONPILOT/Tender/SplashBidNoticeAbstractUI.aspx?menuIndex=3&amp;refID=7041783&amp;Result=3","7041783")</f>
        <v>0</v>
      </c>
      <c r="B4123" t="s">
        <v>1313</v>
      </c>
      <c r="C4123" t="s">
        <v>7138</v>
      </c>
      <c r="D4123" t="s">
        <v>18063</v>
      </c>
      <c r="E4123" t="s">
        <v>21799</v>
      </c>
      <c r="F4123" t="s">
        <v>31574</v>
      </c>
      <c r="G4123" t="s">
        <v>31581</v>
      </c>
      <c r="H4123" t="s">
        <v>31590</v>
      </c>
      <c r="I4123" t="s">
        <v>31621</v>
      </c>
      <c r="J4123" t="s">
        <v>34474</v>
      </c>
      <c r="K4123" t="s">
        <v>41185</v>
      </c>
      <c r="M4123" t="s">
        <v>42883</v>
      </c>
      <c r="N4123" t="s">
        <v>45095</v>
      </c>
      <c r="O4123" t="s">
        <v>45096</v>
      </c>
      <c r="P4123">
        <v>0</v>
      </c>
      <c r="Q4123">
        <v>1</v>
      </c>
      <c r="R4123" t="s">
        <v>45101</v>
      </c>
      <c r="S4123" t="s">
        <v>45231</v>
      </c>
      <c r="T4123" t="s">
        <v>47208</v>
      </c>
      <c r="U4123" t="s">
        <v>50650</v>
      </c>
      <c r="W4123" t="s">
        <v>42883</v>
      </c>
      <c r="X4123" t="s">
        <v>45102</v>
      </c>
    </row>
    <row r="4124" spans="1:24">
      <c r="A4124">
        <f>HYPERLINK("https://www.philgeps.gov.ph/GEPSNONPILOT/Tender/SplashBidNoticeAbstractUI.aspx?menuIndex=3&amp;refID=7041776&amp;Result=3","7041776")</f>
        <v>0</v>
      </c>
      <c r="B4124" t="s">
        <v>1131</v>
      </c>
      <c r="C4124" t="s">
        <v>7139</v>
      </c>
      <c r="D4124" t="s">
        <v>18071</v>
      </c>
      <c r="E4124" t="s">
        <v>21800</v>
      </c>
      <c r="F4124" t="s">
        <v>31574</v>
      </c>
      <c r="G4124" t="s">
        <v>31581</v>
      </c>
      <c r="H4124" t="s">
        <v>31590</v>
      </c>
      <c r="I4124" t="s">
        <v>31626</v>
      </c>
      <c r="J4124" t="s">
        <v>34475</v>
      </c>
      <c r="K4124" t="s">
        <v>41185</v>
      </c>
      <c r="M4124" t="s">
        <v>42682</v>
      </c>
      <c r="N4124" t="s">
        <v>45095</v>
      </c>
      <c r="O4124" t="s">
        <v>45096</v>
      </c>
      <c r="P4124">
        <v>0</v>
      </c>
      <c r="Q4124">
        <v>3</v>
      </c>
      <c r="R4124" t="s">
        <v>45101</v>
      </c>
      <c r="S4124" t="s">
        <v>45231</v>
      </c>
      <c r="T4124" t="s">
        <v>47064</v>
      </c>
      <c r="U4124" t="s">
        <v>50989</v>
      </c>
      <c r="W4124" t="s">
        <v>42682</v>
      </c>
      <c r="X4124" t="s">
        <v>45102</v>
      </c>
    </row>
    <row r="4125" spans="1:24">
      <c r="A4125">
        <f>HYPERLINK("https://www.philgeps.gov.ph/GEPSNONPILOT/Tender/SplashBidNoticeAbstractUI.aspx?menuIndex=3&amp;refID=7041777&amp;Result=3","7041777")</f>
        <v>0</v>
      </c>
      <c r="B4125" t="s">
        <v>1451</v>
      </c>
      <c r="C4125" t="s">
        <v>7140</v>
      </c>
      <c r="D4125" t="s">
        <v>18070</v>
      </c>
      <c r="E4125" t="s">
        <v>21801</v>
      </c>
      <c r="F4125" t="s">
        <v>31574</v>
      </c>
      <c r="G4125" t="s">
        <v>31582</v>
      </c>
      <c r="H4125" t="s">
        <v>31591</v>
      </c>
      <c r="I4125" t="s">
        <v>8822</v>
      </c>
      <c r="J4125" t="s">
        <v>31819</v>
      </c>
      <c r="K4125" t="s">
        <v>41189</v>
      </c>
      <c r="M4125" t="s">
        <v>43031</v>
      </c>
      <c r="N4125" t="s">
        <v>45095</v>
      </c>
      <c r="O4125" t="s">
        <v>45096</v>
      </c>
      <c r="P4125">
        <v>0</v>
      </c>
      <c r="Q4125">
        <v>0</v>
      </c>
      <c r="R4125" t="s">
        <v>45101</v>
      </c>
      <c r="S4125" t="s">
        <v>45231</v>
      </c>
      <c r="T4125" t="s">
        <v>47209</v>
      </c>
      <c r="U4125" t="s">
        <v>50990</v>
      </c>
      <c r="W4125" t="s">
        <v>43031</v>
      </c>
      <c r="X4125" t="s">
        <v>45102</v>
      </c>
    </row>
    <row r="4126" spans="1:24">
      <c r="A4126">
        <f>HYPERLINK("https://www.philgeps.gov.ph/GEPSNONPILOT/Tender/SplashBidNoticeAbstractUI.aspx?menuIndex=3&amp;refID=7041774&amp;Result=3","7041774")</f>
        <v>0</v>
      </c>
      <c r="B4126" t="s">
        <v>1443</v>
      </c>
      <c r="C4126" t="s">
        <v>7141</v>
      </c>
      <c r="D4126" t="s">
        <v>18074</v>
      </c>
      <c r="E4126" t="s">
        <v>21802</v>
      </c>
      <c r="F4126" t="s">
        <v>31574</v>
      </c>
      <c r="G4126" t="s">
        <v>31581</v>
      </c>
      <c r="H4126" t="s">
        <v>31590</v>
      </c>
      <c r="I4126" t="s">
        <v>31623</v>
      </c>
      <c r="J4126" t="s">
        <v>34476</v>
      </c>
      <c r="K4126" t="s">
        <v>41196</v>
      </c>
      <c r="M4126" t="s">
        <v>43020</v>
      </c>
      <c r="N4126" t="s">
        <v>45095</v>
      </c>
      <c r="O4126" t="s">
        <v>45096</v>
      </c>
      <c r="P4126">
        <v>0</v>
      </c>
      <c r="Q4126">
        <v>0</v>
      </c>
      <c r="R4126" t="s">
        <v>45101</v>
      </c>
      <c r="S4126" t="s">
        <v>45231</v>
      </c>
      <c r="T4126" t="s">
        <v>46913</v>
      </c>
      <c r="U4126" t="s">
        <v>50984</v>
      </c>
      <c r="V4126" t="s">
        <v>60274</v>
      </c>
      <c r="W4126" t="s">
        <v>43020</v>
      </c>
      <c r="X4126" t="s">
        <v>45102</v>
      </c>
    </row>
    <row r="4127" spans="1:24">
      <c r="A4127">
        <f>HYPERLINK("https://www.philgeps.gov.ph/GEPSNONPILOT/Tender/SplashBidNoticeAbstractUI.aspx?menuIndex=3&amp;refID=7041790&amp;Result=3","7041790")</f>
        <v>0</v>
      </c>
      <c r="B4127" t="s">
        <v>1385</v>
      </c>
      <c r="C4127" t="s">
        <v>7142</v>
      </c>
      <c r="D4127" t="s">
        <v>18103</v>
      </c>
      <c r="E4127" t="s">
        <v>21803</v>
      </c>
      <c r="F4127" t="s">
        <v>31574</v>
      </c>
      <c r="G4127" t="s">
        <v>31581</v>
      </c>
      <c r="H4127" t="s">
        <v>31590</v>
      </c>
      <c r="I4127" t="s">
        <v>4327</v>
      </c>
      <c r="J4127" t="s">
        <v>34477</v>
      </c>
      <c r="K4127" t="s">
        <v>41184</v>
      </c>
      <c r="M4127" t="s">
        <v>42959</v>
      </c>
      <c r="N4127" t="s">
        <v>45095</v>
      </c>
      <c r="O4127" t="s">
        <v>45096</v>
      </c>
      <c r="P4127">
        <v>0</v>
      </c>
      <c r="Q4127">
        <v>1</v>
      </c>
      <c r="R4127" t="s">
        <v>45101</v>
      </c>
      <c r="S4127" t="s">
        <v>45231</v>
      </c>
      <c r="T4127" t="s">
        <v>47183</v>
      </c>
      <c r="U4127" t="s">
        <v>50825</v>
      </c>
      <c r="W4127" t="s">
        <v>42959</v>
      </c>
      <c r="X4127" t="s">
        <v>45102</v>
      </c>
    </row>
    <row r="4128" spans="1:24">
      <c r="A4128">
        <f>HYPERLINK("https://www.philgeps.gov.ph/GEPSNONPILOT/Tender/SplashBidNoticeAbstractUI.aspx?menuIndex=3&amp;refID=7041809&amp;Result=3","7041809")</f>
        <v>0</v>
      </c>
      <c r="B4128" t="s">
        <v>1448</v>
      </c>
      <c r="C4128" t="s">
        <v>7143</v>
      </c>
      <c r="D4128" t="s">
        <v>18043</v>
      </c>
      <c r="E4128" t="s">
        <v>21804</v>
      </c>
      <c r="F4128" t="s">
        <v>31574</v>
      </c>
      <c r="G4128" t="s">
        <v>31582</v>
      </c>
      <c r="H4128" t="s">
        <v>31591</v>
      </c>
      <c r="I4128" t="s">
        <v>8822</v>
      </c>
      <c r="J4128" t="s">
        <v>34360</v>
      </c>
      <c r="K4128" t="s">
        <v>41198</v>
      </c>
      <c r="M4128" t="s">
        <v>43027</v>
      </c>
      <c r="N4128" t="s">
        <v>45095</v>
      </c>
      <c r="O4128" t="s">
        <v>45096</v>
      </c>
      <c r="P4128">
        <v>0</v>
      </c>
      <c r="Q4128">
        <v>1</v>
      </c>
      <c r="R4128" t="s">
        <v>45101</v>
      </c>
      <c r="S4128" t="s">
        <v>45231</v>
      </c>
      <c r="T4128" t="s">
        <v>46992</v>
      </c>
      <c r="U4128" t="s">
        <v>50983</v>
      </c>
      <c r="W4128" t="s">
        <v>43027</v>
      </c>
      <c r="X4128" t="s">
        <v>45102</v>
      </c>
    </row>
    <row r="4129" spans="1:24">
      <c r="A4129">
        <f>HYPERLINK("https://www.philgeps.gov.ph/GEPSNONPILOT/Tender/SplashBidNoticeAbstractUI.aspx?menuIndex=3&amp;refID=7041811&amp;Result=3","7041811")</f>
        <v>0</v>
      </c>
      <c r="B4129" t="s">
        <v>1452</v>
      </c>
      <c r="C4129" t="s">
        <v>7144</v>
      </c>
      <c r="D4129" t="s">
        <v>18053</v>
      </c>
      <c r="E4129" t="s">
        <v>21805</v>
      </c>
      <c r="F4129" t="s">
        <v>31574</v>
      </c>
      <c r="G4129" t="s">
        <v>31583</v>
      </c>
      <c r="H4129" t="s">
        <v>31590</v>
      </c>
      <c r="I4129" t="s">
        <v>31599</v>
      </c>
      <c r="J4129" t="s">
        <v>34478</v>
      </c>
      <c r="K4129" t="s">
        <v>41193</v>
      </c>
      <c r="M4129" t="s">
        <v>43032</v>
      </c>
      <c r="N4129" t="s">
        <v>45095</v>
      </c>
      <c r="O4129" t="s">
        <v>45096</v>
      </c>
      <c r="P4129">
        <v>0</v>
      </c>
      <c r="Q4129">
        <v>1</v>
      </c>
      <c r="R4129" t="s">
        <v>45101</v>
      </c>
      <c r="S4129" t="s">
        <v>45231</v>
      </c>
      <c r="T4129" t="s">
        <v>46913</v>
      </c>
      <c r="U4129" t="s">
        <v>50991</v>
      </c>
      <c r="W4129" t="s">
        <v>43032</v>
      </c>
      <c r="X4129" t="s">
        <v>45102</v>
      </c>
    </row>
    <row r="4130" spans="1:24">
      <c r="A4130">
        <f>HYPERLINK("https://www.philgeps.gov.ph/GEPSNONPILOT/Tender/SplashBidNoticeAbstractUI.aspx?menuIndex=3&amp;refID=7041808&amp;Result=3","7041808")</f>
        <v>0</v>
      </c>
      <c r="B4130" t="s">
        <v>1433</v>
      </c>
      <c r="C4130" t="s">
        <v>7145</v>
      </c>
      <c r="D4130" t="s">
        <v>18022</v>
      </c>
      <c r="E4130" t="s">
        <v>21806</v>
      </c>
      <c r="F4130" t="s">
        <v>31574</v>
      </c>
      <c r="G4130" t="s">
        <v>31581</v>
      </c>
      <c r="H4130" t="s">
        <v>31590</v>
      </c>
      <c r="I4130" t="s">
        <v>31608</v>
      </c>
      <c r="J4130" t="s">
        <v>32611</v>
      </c>
      <c r="K4130" t="s">
        <v>41184</v>
      </c>
      <c r="M4130" t="s">
        <v>43009</v>
      </c>
      <c r="N4130" t="s">
        <v>45095</v>
      </c>
      <c r="O4130" t="s">
        <v>45096</v>
      </c>
      <c r="P4130">
        <v>0</v>
      </c>
      <c r="Q4130">
        <v>5</v>
      </c>
      <c r="R4130" t="s">
        <v>45101</v>
      </c>
      <c r="S4130" t="s">
        <v>45231</v>
      </c>
      <c r="T4130" t="s">
        <v>46904</v>
      </c>
      <c r="U4130" t="s">
        <v>50992</v>
      </c>
      <c r="W4130" t="s">
        <v>43009</v>
      </c>
      <c r="X4130" t="s">
        <v>45102</v>
      </c>
    </row>
    <row r="4131" spans="1:24">
      <c r="A4131">
        <f>HYPERLINK("https://www.philgeps.gov.ph/GEPSNONPILOT/Tender/SplashBidNoticeAbstractUI.aspx?menuIndex=3&amp;refID=7041795&amp;Result=3","7041795")</f>
        <v>0</v>
      </c>
      <c r="B4131" t="s">
        <v>1451</v>
      </c>
      <c r="C4131" t="s">
        <v>7146</v>
      </c>
      <c r="D4131" t="s">
        <v>18070</v>
      </c>
      <c r="E4131" t="s">
        <v>21807</v>
      </c>
      <c r="F4131" t="s">
        <v>31574</v>
      </c>
      <c r="G4131" t="s">
        <v>31582</v>
      </c>
      <c r="H4131" t="s">
        <v>31591</v>
      </c>
      <c r="I4131" t="s">
        <v>8822</v>
      </c>
      <c r="J4131" t="s">
        <v>32101</v>
      </c>
      <c r="K4131" t="s">
        <v>41189</v>
      </c>
      <c r="M4131" t="s">
        <v>43031</v>
      </c>
      <c r="N4131" t="s">
        <v>45095</v>
      </c>
      <c r="O4131" t="s">
        <v>45096</v>
      </c>
      <c r="P4131">
        <v>0</v>
      </c>
      <c r="Q4131">
        <v>0</v>
      </c>
      <c r="R4131" t="s">
        <v>45101</v>
      </c>
      <c r="S4131" t="s">
        <v>45231</v>
      </c>
      <c r="T4131" t="s">
        <v>47210</v>
      </c>
      <c r="U4131" t="s">
        <v>50993</v>
      </c>
      <c r="W4131" t="s">
        <v>43031</v>
      </c>
      <c r="X4131" t="s">
        <v>45102</v>
      </c>
    </row>
    <row r="4132" spans="1:24">
      <c r="A4132">
        <f>HYPERLINK("https://www.philgeps.gov.ph/GEPSNONPILOT/Tender/SplashBidNoticeAbstractUI.aspx?menuIndex=3&amp;refID=7041805&amp;Result=3","7041805")</f>
        <v>0</v>
      </c>
      <c r="B4132" t="s">
        <v>629</v>
      </c>
      <c r="C4132" t="s">
        <v>7147</v>
      </c>
      <c r="D4132" t="s">
        <v>18075</v>
      </c>
      <c r="E4132" t="s">
        <v>18268</v>
      </c>
      <c r="F4132" t="s">
        <v>31574</v>
      </c>
      <c r="G4132" t="s">
        <v>31581</v>
      </c>
      <c r="H4132" t="s">
        <v>31590</v>
      </c>
      <c r="I4132" t="s">
        <v>4046</v>
      </c>
      <c r="J4132" t="s">
        <v>34479</v>
      </c>
      <c r="K4132" t="s">
        <v>41211</v>
      </c>
      <c r="M4132" t="s">
        <v>42133</v>
      </c>
      <c r="N4132" t="s">
        <v>45095</v>
      </c>
      <c r="O4132" t="s">
        <v>45096</v>
      </c>
      <c r="P4132">
        <v>0</v>
      </c>
      <c r="Q4132">
        <v>0</v>
      </c>
      <c r="R4132" t="s">
        <v>45101</v>
      </c>
      <c r="S4132" t="s">
        <v>45231</v>
      </c>
      <c r="T4132" t="s">
        <v>46957</v>
      </c>
      <c r="U4132" t="s">
        <v>50994</v>
      </c>
      <c r="W4132" t="s">
        <v>42133</v>
      </c>
      <c r="X4132" t="s">
        <v>45102</v>
      </c>
    </row>
    <row r="4133" spans="1:24">
      <c r="A4133">
        <f>HYPERLINK("https://www.philgeps.gov.ph/GEPSNONPILOT/Tender/SplashBidNoticeAbstractUI.aspx?menuIndex=3&amp;refID=7041807&amp;Result=3","7041807")</f>
        <v>0</v>
      </c>
      <c r="B4133" t="s">
        <v>1453</v>
      </c>
      <c r="C4133" t="s">
        <v>7148</v>
      </c>
      <c r="D4133" t="s">
        <v>18035</v>
      </c>
      <c r="E4133" t="s">
        <v>21808</v>
      </c>
      <c r="F4133" t="s">
        <v>31574</v>
      </c>
      <c r="G4133" t="s">
        <v>31582</v>
      </c>
      <c r="H4133" t="s">
        <v>31590</v>
      </c>
      <c r="I4133" t="s">
        <v>31629</v>
      </c>
      <c r="J4133" t="s">
        <v>34480</v>
      </c>
      <c r="K4133" t="s">
        <v>41196</v>
      </c>
      <c r="M4133" t="s">
        <v>43033</v>
      </c>
      <c r="N4133" t="s">
        <v>45095</v>
      </c>
      <c r="O4133" t="s">
        <v>45096</v>
      </c>
      <c r="P4133">
        <v>0</v>
      </c>
      <c r="Q4133">
        <v>1</v>
      </c>
      <c r="R4133" t="s">
        <v>45101</v>
      </c>
      <c r="S4133" t="s">
        <v>45231</v>
      </c>
      <c r="T4133" t="s">
        <v>46946</v>
      </c>
      <c r="U4133" t="s">
        <v>50995</v>
      </c>
      <c r="W4133" t="s">
        <v>61702</v>
      </c>
      <c r="X4133" t="s">
        <v>45102</v>
      </c>
    </row>
    <row r="4134" spans="1:24">
      <c r="A4134">
        <f>HYPERLINK("https://www.philgeps.gov.ph/GEPSNONPILOT/Tender/SplashBidNoticeAbstractUI.aspx?menuIndex=3&amp;refID=7041785&amp;Result=3","7041785")</f>
        <v>0</v>
      </c>
      <c r="B4134" t="s">
        <v>1452</v>
      </c>
      <c r="C4134" t="s">
        <v>7149</v>
      </c>
      <c r="D4134" t="s">
        <v>18053</v>
      </c>
      <c r="E4134" t="s">
        <v>21805</v>
      </c>
      <c r="F4134" t="s">
        <v>31574</v>
      </c>
      <c r="G4134" t="s">
        <v>31582</v>
      </c>
      <c r="H4134" t="s">
        <v>31590</v>
      </c>
      <c r="I4134" t="s">
        <v>8258</v>
      </c>
      <c r="J4134" t="s">
        <v>31964</v>
      </c>
      <c r="K4134" t="s">
        <v>41193</v>
      </c>
      <c r="M4134" t="s">
        <v>43032</v>
      </c>
      <c r="N4134" t="s">
        <v>45095</v>
      </c>
      <c r="O4134" t="s">
        <v>45096</v>
      </c>
      <c r="P4134">
        <v>0</v>
      </c>
      <c r="Q4134">
        <v>1</v>
      </c>
      <c r="R4134" t="s">
        <v>45101</v>
      </c>
      <c r="S4134" t="s">
        <v>45231</v>
      </c>
      <c r="T4134" t="s">
        <v>47004</v>
      </c>
      <c r="U4134" t="s">
        <v>50996</v>
      </c>
      <c r="W4134" t="s">
        <v>43032</v>
      </c>
      <c r="X4134" t="s">
        <v>45102</v>
      </c>
    </row>
    <row r="4135" spans="1:24">
      <c r="A4135">
        <f>HYPERLINK("https://www.philgeps.gov.ph/GEPSNONPILOT/Tender/SplashBidNoticeAbstractUI.aspx?menuIndex=3&amp;refID=7041802&amp;Result=3","7041802")</f>
        <v>0</v>
      </c>
      <c r="B4135" t="s">
        <v>1036</v>
      </c>
      <c r="C4135" t="s">
        <v>7150</v>
      </c>
      <c r="D4135" t="s">
        <v>18072</v>
      </c>
      <c r="E4135" t="s">
        <v>21809</v>
      </c>
      <c r="F4135" t="s">
        <v>31574</v>
      </c>
      <c r="G4135" t="s">
        <v>31581</v>
      </c>
      <c r="H4135" t="s">
        <v>31590</v>
      </c>
      <c r="I4135" t="s">
        <v>6800</v>
      </c>
      <c r="J4135" t="s">
        <v>34481</v>
      </c>
      <c r="K4135" t="s">
        <v>41186</v>
      </c>
      <c r="M4135" t="s">
        <v>42579</v>
      </c>
      <c r="N4135" t="s">
        <v>45095</v>
      </c>
      <c r="O4135" t="s">
        <v>45096</v>
      </c>
      <c r="P4135">
        <v>0</v>
      </c>
      <c r="Q4135">
        <v>0</v>
      </c>
      <c r="R4135" t="s">
        <v>45101</v>
      </c>
      <c r="S4135" t="s">
        <v>45231</v>
      </c>
      <c r="T4135" t="s">
        <v>47125</v>
      </c>
      <c r="U4135" t="s">
        <v>50997</v>
      </c>
      <c r="W4135" t="s">
        <v>42579</v>
      </c>
      <c r="X4135" t="s">
        <v>45102</v>
      </c>
    </row>
    <row r="4136" spans="1:24">
      <c r="A4136">
        <f>HYPERLINK("https://www.philgeps.gov.ph/GEPSNONPILOT/Tender/SplashBidNoticeAbstractUI.aspx?menuIndex=3&amp;refID=7041799&amp;Result=3","7041799")</f>
        <v>0</v>
      </c>
      <c r="B4136" t="s">
        <v>1131</v>
      </c>
      <c r="C4136" t="s">
        <v>7151</v>
      </c>
      <c r="D4136" t="s">
        <v>18071</v>
      </c>
      <c r="E4136" t="s">
        <v>21810</v>
      </c>
      <c r="F4136" t="s">
        <v>31574</v>
      </c>
      <c r="G4136" t="s">
        <v>31581</v>
      </c>
      <c r="H4136" t="s">
        <v>31590</v>
      </c>
      <c r="I4136" t="s">
        <v>31594</v>
      </c>
      <c r="J4136" t="s">
        <v>32153</v>
      </c>
      <c r="K4136" t="s">
        <v>41186</v>
      </c>
      <c r="M4136" t="s">
        <v>42682</v>
      </c>
      <c r="N4136" t="s">
        <v>45095</v>
      </c>
      <c r="O4136" t="s">
        <v>45096</v>
      </c>
      <c r="P4136">
        <v>0</v>
      </c>
      <c r="Q4136">
        <v>2</v>
      </c>
      <c r="R4136" t="s">
        <v>45101</v>
      </c>
      <c r="S4136" t="s">
        <v>45231</v>
      </c>
      <c r="T4136" t="s">
        <v>47064</v>
      </c>
      <c r="U4136" t="s">
        <v>50998</v>
      </c>
      <c r="W4136" t="s">
        <v>42682</v>
      </c>
      <c r="X4136" t="s">
        <v>45102</v>
      </c>
    </row>
    <row r="4137" spans="1:24">
      <c r="A4137">
        <f>HYPERLINK("https://www.philgeps.gov.ph/GEPSNONPILOT/Tender/SplashBidNoticeAbstractUI.aspx?menuIndex=3&amp;refID=7041798&amp;Result=3","7041798")</f>
        <v>0</v>
      </c>
      <c r="B4137" t="s">
        <v>1454</v>
      </c>
      <c r="C4137" t="s">
        <v>7152</v>
      </c>
      <c r="D4137" t="s">
        <v>18023</v>
      </c>
      <c r="E4137" t="s">
        <v>21811</v>
      </c>
      <c r="F4137" t="s">
        <v>31574</v>
      </c>
      <c r="G4137" t="s">
        <v>31582</v>
      </c>
      <c r="H4137" t="s">
        <v>31591</v>
      </c>
      <c r="I4137" t="s">
        <v>8822</v>
      </c>
      <c r="J4137" t="s">
        <v>31947</v>
      </c>
      <c r="K4137" t="s">
        <v>41186</v>
      </c>
      <c r="M4137" t="s">
        <v>43034</v>
      </c>
      <c r="N4137" t="s">
        <v>45095</v>
      </c>
      <c r="O4137" t="s">
        <v>45096</v>
      </c>
      <c r="P4137">
        <v>0</v>
      </c>
      <c r="Q4137">
        <v>16</v>
      </c>
      <c r="R4137" t="s">
        <v>45101</v>
      </c>
      <c r="S4137" t="s">
        <v>45231</v>
      </c>
      <c r="T4137" t="s">
        <v>46987</v>
      </c>
      <c r="U4137" t="s">
        <v>50999</v>
      </c>
      <c r="V4137" t="s">
        <v>60275</v>
      </c>
      <c r="W4137" t="s">
        <v>43034</v>
      </c>
      <c r="X4137" t="s">
        <v>45102</v>
      </c>
    </row>
    <row r="4138" spans="1:24">
      <c r="A4138">
        <f>HYPERLINK("https://www.philgeps.gov.ph/GEPSNONPILOT/Tender/SplashBidNoticeAbstractUI.aspx?menuIndex=3&amp;refID=7041796&amp;Result=3","7041796")</f>
        <v>0</v>
      </c>
      <c r="B4138" t="s">
        <v>1455</v>
      </c>
      <c r="C4138" t="s">
        <v>7153</v>
      </c>
      <c r="E4138" t="s">
        <v>21812</v>
      </c>
      <c r="F4138" t="s">
        <v>31574</v>
      </c>
      <c r="G4138" t="s">
        <v>31581</v>
      </c>
      <c r="H4138" t="s">
        <v>31592</v>
      </c>
      <c r="I4138" t="s">
        <v>31611</v>
      </c>
      <c r="J4138" t="s">
        <v>32017</v>
      </c>
      <c r="K4138" t="s">
        <v>41215</v>
      </c>
      <c r="M4138" t="s">
        <v>43035</v>
      </c>
      <c r="N4138" t="s">
        <v>45095</v>
      </c>
      <c r="O4138" t="s">
        <v>45096</v>
      </c>
      <c r="P4138">
        <v>0</v>
      </c>
      <c r="Q4138">
        <v>4</v>
      </c>
      <c r="R4138" t="s">
        <v>45101</v>
      </c>
      <c r="S4138" t="s">
        <v>45231</v>
      </c>
      <c r="T4138" t="s">
        <v>47154</v>
      </c>
      <c r="U4138" t="s">
        <v>51000</v>
      </c>
      <c r="W4138" t="s">
        <v>43035</v>
      </c>
      <c r="X4138" t="s">
        <v>45102</v>
      </c>
    </row>
    <row r="4139" spans="1:24">
      <c r="A4139">
        <f>HYPERLINK("https://www.philgeps.gov.ph/GEPSNONPILOT/Tender/SplashBidNoticeAbstractUI.aspx?menuIndex=3&amp;refID=7041784&amp;Result=3","7041784")</f>
        <v>0</v>
      </c>
      <c r="B4139" t="s">
        <v>1344</v>
      </c>
      <c r="C4139" t="s">
        <v>7154</v>
      </c>
      <c r="D4139" t="s">
        <v>18075</v>
      </c>
      <c r="E4139" t="s">
        <v>21813</v>
      </c>
      <c r="F4139" t="s">
        <v>31574</v>
      </c>
      <c r="G4139" t="s">
        <v>31583</v>
      </c>
      <c r="H4139" t="s">
        <v>31590</v>
      </c>
      <c r="I4139" t="s">
        <v>8258</v>
      </c>
      <c r="J4139" t="s">
        <v>34482</v>
      </c>
      <c r="K4139" t="s">
        <v>41196</v>
      </c>
      <c r="M4139" t="s">
        <v>42916</v>
      </c>
      <c r="N4139" t="s">
        <v>45095</v>
      </c>
      <c r="O4139" t="s">
        <v>45096</v>
      </c>
      <c r="P4139">
        <v>0</v>
      </c>
      <c r="Q4139">
        <v>1</v>
      </c>
      <c r="R4139" t="s">
        <v>45101</v>
      </c>
      <c r="S4139" t="s">
        <v>45231</v>
      </c>
      <c r="T4139" t="s">
        <v>46926</v>
      </c>
      <c r="U4139" t="s">
        <v>51001</v>
      </c>
      <c r="V4139" t="s">
        <v>60265</v>
      </c>
      <c r="W4139" t="s">
        <v>42916</v>
      </c>
      <c r="X4139" t="s">
        <v>45102</v>
      </c>
    </row>
    <row r="4140" spans="1:24">
      <c r="A4140">
        <f>HYPERLINK("https://www.philgeps.gov.ph/GEPSNONPILOT/Tender/SplashBidNoticeAbstractUI.aspx?menuIndex=3&amp;refID=7041791&amp;Result=3","7041791")</f>
        <v>0</v>
      </c>
      <c r="B4140" t="s">
        <v>1453</v>
      </c>
      <c r="C4140" t="s">
        <v>7155</v>
      </c>
      <c r="D4140" t="s">
        <v>18035</v>
      </c>
      <c r="E4140" t="s">
        <v>21814</v>
      </c>
      <c r="F4140" t="s">
        <v>31574</v>
      </c>
      <c r="G4140" t="s">
        <v>31582</v>
      </c>
      <c r="H4140" t="s">
        <v>31590</v>
      </c>
      <c r="I4140" t="s">
        <v>31629</v>
      </c>
      <c r="J4140" t="s">
        <v>34483</v>
      </c>
      <c r="K4140" t="s">
        <v>41196</v>
      </c>
      <c r="M4140" t="s">
        <v>43033</v>
      </c>
      <c r="N4140" t="s">
        <v>45095</v>
      </c>
      <c r="O4140" t="s">
        <v>45096</v>
      </c>
      <c r="P4140">
        <v>0</v>
      </c>
      <c r="Q4140">
        <v>1</v>
      </c>
      <c r="R4140" t="s">
        <v>45101</v>
      </c>
      <c r="S4140" t="s">
        <v>45231</v>
      </c>
      <c r="T4140" t="s">
        <v>46946</v>
      </c>
      <c r="U4140" t="s">
        <v>51002</v>
      </c>
      <c r="W4140" t="s">
        <v>61702</v>
      </c>
      <c r="X4140" t="s">
        <v>45102</v>
      </c>
    </row>
    <row r="4141" spans="1:24">
      <c r="A4141">
        <f>HYPERLINK("https://www.philgeps.gov.ph/GEPSNONPILOT/Tender/SplashBidNoticeAbstractUI.aspx?menuIndex=3&amp;refID=7041814&amp;Result=3","7041814")</f>
        <v>0</v>
      </c>
      <c r="B4141" t="s">
        <v>1456</v>
      </c>
      <c r="C4141" t="s">
        <v>7156</v>
      </c>
      <c r="D4141" t="s">
        <v>18079</v>
      </c>
      <c r="E4141" t="s">
        <v>21815</v>
      </c>
      <c r="F4141" t="s">
        <v>31574</v>
      </c>
      <c r="G4141" t="s">
        <v>31581</v>
      </c>
      <c r="H4141" t="s">
        <v>31590</v>
      </c>
      <c r="I4141" t="s">
        <v>8258</v>
      </c>
      <c r="J4141" t="s">
        <v>31960</v>
      </c>
      <c r="K4141" t="s">
        <v>41190</v>
      </c>
      <c r="M4141" t="s">
        <v>43036</v>
      </c>
      <c r="N4141" t="s">
        <v>45095</v>
      </c>
      <c r="O4141" t="s">
        <v>45096</v>
      </c>
      <c r="P4141">
        <v>0</v>
      </c>
      <c r="Q4141">
        <v>4</v>
      </c>
      <c r="R4141" t="s">
        <v>45101</v>
      </c>
      <c r="S4141" t="s">
        <v>45231</v>
      </c>
      <c r="T4141" t="s">
        <v>46936</v>
      </c>
      <c r="U4141" t="s">
        <v>51003</v>
      </c>
      <c r="W4141" t="s">
        <v>43036</v>
      </c>
      <c r="X4141" t="s">
        <v>45102</v>
      </c>
    </row>
    <row r="4142" spans="1:24">
      <c r="A4142">
        <f>HYPERLINK("https://www.philgeps.gov.ph/GEPSNONPILOT/Tender/SplashBidNoticeAbstractUI.aspx?menuIndex=3&amp;refID=7041825&amp;Result=3","7041825")</f>
        <v>0</v>
      </c>
      <c r="B4142" t="s">
        <v>1457</v>
      </c>
      <c r="C4142" t="s">
        <v>7157</v>
      </c>
      <c r="D4142" t="s">
        <v>18022</v>
      </c>
      <c r="E4142" t="s">
        <v>21816</v>
      </c>
      <c r="F4142" t="s">
        <v>31574</v>
      </c>
      <c r="G4142" t="s">
        <v>31582</v>
      </c>
      <c r="H4142" t="s">
        <v>31590</v>
      </c>
      <c r="I4142" t="s">
        <v>3487</v>
      </c>
      <c r="J4142" t="s">
        <v>34484</v>
      </c>
      <c r="K4142" t="s">
        <v>41190</v>
      </c>
      <c r="M4142" t="s">
        <v>43037</v>
      </c>
      <c r="N4142" t="s">
        <v>45095</v>
      </c>
      <c r="O4142" t="s">
        <v>45096</v>
      </c>
      <c r="P4142">
        <v>0</v>
      </c>
      <c r="Q4142">
        <v>2</v>
      </c>
      <c r="R4142" t="s">
        <v>45101</v>
      </c>
      <c r="S4142" t="s">
        <v>45231</v>
      </c>
      <c r="T4142" t="s">
        <v>46946</v>
      </c>
      <c r="U4142" t="s">
        <v>51004</v>
      </c>
      <c r="W4142" t="s">
        <v>43037</v>
      </c>
      <c r="X4142" t="s">
        <v>45102</v>
      </c>
    </row>
    <row r="4143" spans="1:24">
      <c r="A4143">
        <f>HYPERLINK("https://www.philgeps.gov.ph/GEPSNONPILOT/Tender/SplashBidNoticeAbstractUI.aspx?menuIndex=3&amp;refID=7041815&amp;Result=3","7041815")</f>
        <v>0</v>
      </c>
      <c r="B4143" t="s">
        <v>1458</v>
      </c>
      <c r="C4143" t="s">
        <v>7158</v>
      </c>
      <c r="D4143" t="s">
        <v>18083</v>
      </c>
      <c r="E4143" t="s">
        <v>21817</v>
      </c>
      <c r="F4143" t="s">
        <v>31574</v>
      </c>
      <c r="G4143" t="s">
        <v>31583</v>
      </c>
      <c r="H4143" t="s">
        <v>31590</v>
      </c>
      <c r="I4143" t="s">
        <v>31654</v>
      </c>
      <c r="J4143" t="s">
        <v>31727</v>
      </c>
      <c r="K4143" t="s">
        <v>41186</v>
      </c>
      <c r="M4143" t="s">
        <v>43038</v>
      </c>
      <c r="N4143" t="s">
        <v>45095</v>
      </c>
      <c r="O4143" t="s">
        <v>45096</v>
      </c>
      <c r="P4143">
        <v>0</v>
      </c>
      <c r="Q4143">
        <v>1</v>
      </c>
      <c r="R4143" t="s">
        <v>45101</v>
      </c>
      <c r="S4143" t="s">
        <v>45231</v>
      </c>
      <c r="T4143" t="s">
        <v>46949</v>
      </c>
      <c r="U4143" t="s">
        <v>51005</v>
      </c>
      <c r="W4143" t="s">
        <v>43038</v>
      </c>
      <c r="X4143" t="s">
        <v>45102</v>
      </c>
    </row>
    <row r="4144" spans="1:24">
      <c r="A4144">
        <f>HYPERLINK("https://www.philgeps.gov.ph/GEPSNONPILOT/Tender/SplashBidNoticeAbstractUI.aspx?menuIndex=3&amp;refID=7041850&amp;Result=3","7041850")</f>
        <v>0</v>
      </c>
      <c r="B4144" t="s">
        <v>1131</v>
      </c>
      <c r="C4144" t="s">
        <v>7159</v>
      </c>
      <c r="D4144" t="s">
        <v>18071</v>
      </c>
      <c r="E4144" t="s">
        <v>21818</v>
      </c>
      <c r="F4144" t="s">
        <v>31574</v>
      </c>
      <c r="G4144" t="s">
        <v>31581</v>
      </c>
      <c r="H4144" t="s">
        <v>31590</v>
      </c>
      <c r="I4144" t="s">
        <v>8822</v>
      </c>
      <c r="J4144" t="s">
        <v>32436</v>
      </c>
      <c r="K4144" t="s">
        <v>41186</v>
      </c>
      <c r="M4144" t="s">
        <v>42682</v>
      </c>
      <c r="N4144" t="s">
        <v>45095</v>
      </c>
      <c r="O4144" t="s">
        <v>45096</v>
      </c>
      <c r="P4144">
        <v>0</v>
      </c>
      <c r="Q4144">
        <v>1</v>
      </c>
      <c r="R4144" t="s">
        <v>45101</v>
      </c>
      <c r="S4144" t="s">
        <v>45231</v>
      </c>
      <c r="T4144" t="s">
        <v>47064</v>
      </c>
      <c r="U4144" t="s">
        <v>51006</v>
      </c>
      <c r="W4144" t="s">
        <v>42682</v>
      </c>
      <c r="X4144" t="s">
        <v>45102</v>
      </c>
    </row>
    <row r="4145" spans="1:24">
      <c r="A4145">
        <f>HYPERLINK("https://www.philgeps.gov.ph/GEPSNONPILOT/Tender/SplashBidNoticeAbstractUI.aspx?menuIndex=3&amp;refID=7041828&amp;Result=3","7041828")</f>
        <v>0</v>
      </c>
      <c r="B4145" t="s">
        <v>1459</v>
      </c>
      <c r="C4145" t="s">
        <v>7160</v>
      </c>
      <c r="D4145" t="s">
        <v>18022</v>
      </c>
      <c r="E4145" t="s">
        <v>18626</v>
      </c>
      <c r="F4145" t="s">
        <v>31574</v>
      </c>
      <c r="G4145" t="s">
        <v>31581</v>
      </c>
      <c r="H4145" t="s">
        <v>31590</v>
      </c>
      <c r="I4145" t="s">
        <v>31595</v>
      </c>
      <c r="J4145" t="s">
        <v>33228</v>
      </c>
      <c r="K4145" t="s">
        <v>41186</v>
      </c>
      <c r="M4145" t="s">
        <v>43039</v>
      </c>
      <c r="N4145" t="s">
        <v>45095</v>
      </c>
      <c r="O4145" t="s">
        <v>45096</v>
      </c>
      <c r="P4145">
        <v>0</v>
      </c>
      <c r="Q4145">
        <v>2</v>
      </c>
      <c r="R4145" t="s">
        <v>45101</v>
      </c>
      <c r="S4145" t="s">
        <v>45231</v>
      </c>
      <c r="T4145" t="s">
        <v>46957</v>
      </c>
      <c r="U4145" t="s">
        <v>51007</v>
      </c>
      <c r="W4145" t="s">
        <v>43039</v>
      </c>
      <c r="X4145" t="s">
        <v>45102</v>
      </c>
    </row>
    <row r="4146" spans="1:24">
      <c r="A4146">
        <f>HYPERLINK("https://www.philgeps.gov.ph/GEPSNONPILOT/Tender/SplashBidNoticeAbstractUI.aspx?menuIndex=3&amp;refID=7041849&amp;Result=3","7041849")</f>
        <v>0</v>
      </c>
      <c r="B4146" t="s">
        <v>1136</v>
      </c>
      <c r="C4146" t="s">
        <v>7161</v>
      </c>
      <c r="D4146" t="s">
        <v>18022</v>
      </c>
      <c r="E4146" t="s">
        <v>18368</v>
      </c>
      <c r="F4146" t="s">
        <v>31574</v>
      </c>
      <c r="G4146" t="s">
        <v>31581</v>
      </c>
      <c r="H4146" t="s">
        <v>31590</v>
      </c>
      <c r="I4146" t="s">
        <v>31608</v>
      </c>
      <c r="J4146" t="s">
        <v>31789</v>
      </c>
      <c r="K4146" t="s">
        <v>41193</v>
      </c>
      <c r="M4146" t="s">
        <v>43040</v>
      </c>
      <c r="N4146" t="s">
        <v>45095</v>
      </c>
      <c r="O4146" t="s">
        <v>45096</v>
      </c>
      <c r="P4146">
        <v>0</v>
      </c>
      <c r="Q4146">
        <v>1</v>
      </c>
      <c r="R4146" t="s">
        <v>45101</v>
      </c>
      <c r="S4146" t="s">
        <v>45231</v>
      </c>
      <c r="T4146" t="s">
        <v>47083</v>
      </c>
      <c r="U4146" t="s">
        <v>51008</v>
      </c>
      <c r="V4146" t="s">
        <v>60276</v>
      </c>
      <c r="W4146" t="s">
        <v>43040</v>
      </c>
      <c r="X4146" t="s">
        <v>45102</v>
      </c>
    </row>
    <row r="4147" spans="1:24">
      <c r="A4147">
        <f>HYPERLINK("https://www.philgeps.gov.ph/GEPSNONPILOT/Tender/SplashBidNoticeAbstractUI.aspx?menuIndex=3&amp;refID=7041847&amp;Result=3","7041847")</f>
        <v>0</v>
      </c>
      <c r="B4147" t="s">
        <v>1460</v>
      </c>
      <c r="C4147" t="s">
        <v>7162</v>
      </c>
      <c r="D4147" t="s">
        <v>18040</v>
      </c>
      <c r="E4147" t="s">
        <v>21819</v>
      </c>
      <c r="F4147" t="s">
        <v>31574</v>
      </c>
      <c r="G4147" t="s">
        <v>31582</v>
      </c>
      <c r="H4147" t="s">
        <v>31590</v>
      </c>
      <c r="I4147" t="s">
        <v>7162</v>
      </c>
      <c r="J4147" t="s">
        <v>31727</v>
      </c>
      <c r="K4147" t="s">
        <v>41193</v>
      </c>
      <c r="M4147" t="s">
        <v>43041</v>
      </c>
      <c r="N4147" t="s">
        <v>45095</v>
      </c>
      <c r="O4147" t="s">
        <v>45096</v>
      </c>
      <c r="P4147">
        <v>0</v>
      </c>
      <c r="Q4147">
        <v>1</v>
      </c>
      <c r="R4147" t="s">
        <v>45101</v>
      </c>
      <c r="S4147" t="s">
        <v>45231</v>
      </c>
      <c r="T4147" t="s">
        <v>46911</v>
      </c>
      <c r="U4147" t="s">
        <v>51009</v>
      </c>
      <c r="W4147" t="s">
        <v>43041</v>
      </c>
      <c r="X4147" t="s">
        <v>45102</v>
      </c>
    </row>
    <row r="4148" spans="1:24">
      <c r="A4148">
        <f>HYPERLINK("https://www.philgeps.gov.ph/GEPSNONPILOT/Tender/SplashBidNoticeAbstractUI.aspx?menuIndex=3&amp;refID=7041832&amp;Result=3","7041832")</f>
        <v>0</v>
      </c>
      <c r="B4148" t="s">
        <v>200</v>
      </c>
      <c r="C4148" t="s">
        <v>7163</v>
      </c>
      <c r="D4148" t="s">
        <v>18070</v>
      </c>
      <c r="E4148" t="s">
        <v>21820</v>
      </c>
      <c r="F4148" t="s">
        <v>31574</v>
      </c>
      <c r="G4148" t="s">
        <v>31581</v>
      </c>
      <c r="H4148" t="s">
        <v>31590</v>
      </c>
      <c r="I4148" t="s">
        <v>14544</v>
      </c>
      <c r="J4148" t="s">
        <v>34485</v>
      </c>
      <c r="K4148" t="s">
        <v>41194</v>
      </c>
      <c r="M4148" t="s">
        <v>41685</v>
      </c>
      <c r="N4148" t="s">
        <v>45095</v>
      </c>
      <c r="O4148" t="s">
        <v>45096</v>
      </c>
      <c r="P4148">
        <v>0</v>
      </c>
      <c r="Q4148">
        <v>0</v>
      </c>
      <c r="R4148" t="s">
        <v>45101</v>
      </c>
      <c r="S4148" t="s">
        <v>45231</v>
      </c>
      <c r="T4148" t="s">
        <v>47154</v>
      </c>
      <c r="U4148" t="s">
        <v>51010</v>
      </c>
      <c r="W4148" t="s">
        <v>41685</v>
      </c>
      <c r="X4148" t="s">
        <v>45102</v>
      </c>
    </row>
    <row r="4149" spans="1:24">
      <c r="A4149">
        <f>HYPERLINK("https://www.philgeps.gov.ph/GEPSNONPILOT/Tender/SplashBidNoticeAbstractUI.aspx?menuIndex=3&amp;refID=7041846&amp;Result=3","7041846")</f>
        <v>0</v>
      </c>
      <c r="B4149" t="s">
        <v>1446</v>
      </c>
      <c r="C4149" t="s">
        <v>7164</v>
      </c>
      <c r="D4149" t="s">
        <v>18052</v>
      </c>
      <c r="E4149" t="s">
        <v>21821</v>
      </c>
      <c r="F4149" t="s">
        <v>31574</v>
      </c>
      <c r="G4149" t="s">
        <v>31582</v>
      </c>
      <c r="H4149" t="s">
        <v>31590</v>
      </c>
      <c r="I4149" t="s">
        <v>3901</v>
      </c>
      <c r="J4149" t="s">
        <v>32019</v>
      </c>
      <c r="K4149" t="s">
        <v>41186</v>
      </c>
      <c r="M4149" t="s">
        <v>43025</v>
      </c>
      <c r="N4149" t="s">
        <v>45095</v>
      </c>
      <c r="O4149" t="s">
        <v>45096</v>
      </c>
      <c r="P4149">
        <v>0</v>
      </c>
      <c r="Q4149">
        <v>0</v>
      </c>
      <c r="R4149" t="s">
        <v>45101</v>
      </c>
      <c r="S4149" t="s">
        <v>45231</v>
      </c>
      <c r="T4149" t="s">
        <v>47211</v>
      </c>
      <c r="U4149" t="s">
        <v>50981</v>
      </c>
      <c r="V4149" t="s">
        <v>60270</v>
      </c>
      <c r="W4149" t="s">
        <v>43025</v>
      </c>
      <c r="X4149" t="s">
        <v>45102</v>
      </c>
    </row>
    <row r="4150" spans="1:24">
      <c r="A4150">
        <f>HYPERLINK("https://www.philgeps.gov.ph/GEPSNONPILOT/Tender/SplashBidNoticeAbstractUI.aspx?menuIndex=3&amp;refID=7041848&amp;Result=3","7041848")</f>
        <v>0</v>
      </c>
      <c r="B4150" t="s">
        <v>1131</v>
      </c>
      <c r="C4150" t="s">
        <v>7165</v>
      </c>
      <c r="D4150" t="s">
        <v>18071</v>
      </c>
      <c r="E4150" t="s">
        <v>21822</v>
      </c>
      <c r="F4150" t="s">
        <v>31574</v>
      </c>
      <c r="G4150" t="s">
        <v>31581</v>
      </c>
      <c r="H4150" t="s">
        <v>31590</v>
      </c>
      <c r="I4150" t="s">
        <v>31594</v>
      </c>
      <c r="J4150" t="s">
        <v>34486</v>
      </c>
      <c r="K4150" t="s">
        <v>41186</v>
      </c>
      <c r="M4150" t="s">
        <v>42682</v>
      </c>
      <c r="N4150" t="s">
        <v>45095</v>
      </c>
      <c r="O4150" t="s">
        <v>45096</v>
      </c>
      <c r="P4150">
        <v>0</v>
      </c>
      <c r="Q4150">
        <v>6</v>
      </c>
      <c r="R4150" t="s">
        <v>45101</v>
      </c>
      <c r="S4150" t="s">
        <v>45231</v>
      </c>
      <c r="T4150" t="s">
        <v>47064</v>
      </c>
      <c r="U4150" t="s">
        <v>51011</v>
      </c>
      <c r="W4150" t="s">
        <v>42682</v>
      </c>
      <c r="X4150" t="s">
        <v>45102</v>
      </c>
    </row>
    <row r="4151" spans="1:24">
      <c r="A4151">
        <f>HYPERLINK("https://www.philgeps.gov.ph/GEPSNONPILOT/Tender/SplashBidNoticeAbstractUI.aspx?menuIndex=3&amp;refID=7041822&amp;Result=3","7041822")</f>
        <v>0</v>
      </c>
      <c r="B4151" t="s">
        <v>1452</v>
      </c>
      <c r="C4151" t="s">
        <v>5043</v>
      </c>
      <c r="D4151" t="s">
        <v>18053</v>
      </c>
      <c r="E4151" t="s">
        <v>21805</v>
      </c>
      <c r="F4151" t="s">
        <v>31574</v>
      </c>
      <c r="G4151" t="s">
        <v>31582</v>
      </c>
      <c r="H4151" t="s">
        <v>31590</v>
      </c>
      <c r="I4151" t="s">
        <v>6800</v>
      </c>
      <c r="J4151" t="s">
        <v>34487</v>
      </c>
      <c r="K4151" t="s">
        <v>41193</v>
      </c>
      <c r="M4151" t="s">
        <v>43032</v>
      </c>
      <c r="N4151" t="s">
        <v>45095</v>
      </c>
      <c r="O4151" t="s">
        <v>45096</v>
      </c>
      <c r="P4151">
        <v>0</v>
      </c>
      <c r="Q4151">
        <v>1</v>
      </c>
      <c r="R4151" t="s">
        <v>45101</v>
      </c>
      <c r="S4151" t="s">
        <v>45231</v>
      </c>
      <c r="T4151" t="s">
        <v>46962</v>
      </c>
      <c r="U4151" t="s">
        <v>51012</v>
      </c>
      <c r="W4151" t="s">
        <v>43032</v>
      </c>
      <c r="X4151" t="s">
        <v>45102</v>
      </c>
    </row>
    <row r="4152" spans="1:24">
      <c r="A4152">
        <f>HYPERLINK("https://www.philgeps.gov.ph/GEPSNONPILOT/Tender/SplashBidNoticeAbstractUI.aspx?menuIndex=3&amp;refID=7041842&amp;Result=3","7041842")</f>
        <v>0</v>
      </c>
      <c r="B4152" t="s">
        <v>164</v>
      </c>
      <c r="C4152" t="s">
        <v>7166</v>
      </c>
      <c r="D4152" t="s">
        <v>18022</v>
      </c>
      <c r="E4152" t="s">
        <v>21823</v>
      </c>
      <c r="F4152" t="s">
        <v>31574</v>
      </c>
      <c r="G4152" t="s">
        <v>31581</v>
      </c>
      <c r="H4152" t="s">
        <v>31590</v>
      </c>
      <c r="I4152" t="s">
        <v>3539</v>
      </c>
      <c r="J4152" t="s">
        <v>34488</v>
      </c>
      <c r="K4152" t="s">
        <v>41211</v>
      </c>
      <c r="M4152" t="s">
        <v>41648</v>
      </c>
      <c r="N4152" t="s">
        <v>45095</v>
      </c>
      <c r="O4152" t="s">
        <v>45096</v>
      </c>
      <c r="P4152">
        <v>0</v>
      </c>
      <c r="Q4152">
        <v>1</v>
      </c>
      <c r="R4152" t="s">
        <v>45101</v>
      </c>
      <c r="S4152" t="s">
        <v>45231</v>
      </c>
      <c r="T4152" t="s">
        <v>46985</v>
      </c>
      <c r="U4152" t="s">
        <v>51013</v>
      </c>
      <c r="W4152" t="s">
        <v>41648</v>
      </c>
      <c r="X4152" t="s">
        <v>45102</v>
      </c>
    </row>
    <row r="4153" spans="1:24">
      <c r="A4153">
        <f>HYPERLINK("https://www.philgeps.gov.ph/GEPSNONPILOT/Tender/SplashBidNoticeAbstractUI.aspx?menuIndex=3&amp;refID=7041843&amp;Result=3","7041843")</f>
        <v>0</v>
      </c>
      <c r="B4153" t="s">
        <v>1447</v>
      </c>
      <c r="C4153" t="s">
        <v>7130</v>
      </c>
      <c r="D4153" t="s">
        <v>18022</v>
      </c>
      <c r="E4153" t="s">
        <v>21824</v>
      </c>
      <c r="F4153" t="s">
        <v>31574</v>
      </c>
      <c r="G4153" t="s">
        <v>31583</v>
      </c>
      <c r="H4153" t="s">
        <v>31592</v>
      </c>
      <c r="I4153" t="s">
        <v>31656</v>
      </c>
      <c r="J4153" t="s">
        <v>34489</v>
      </c>
      <c r="K4153" t="s">
        <v>41196</v>
      </c>
      <c r="M4153" t="s">
        <v>43026</v>
      </c>
      <c r="N4153" t="s">
        <v>45095</v>
      </c>
      <c r="O4153" t="s">
        <v>45096</v>
      </c>
      <c r="P4153">
        <v>0</v>
      </c>
      <c r="Q4153">
        <v>2</v>
      </c>
      <c r="R4153" t="s">
        <v>45101</v>
      </c>
      <c r="S4153" t="s">
        <v>45231</v>
      </c>
      <c r="T4153" t="s">
        <v>47191</v>
      </c>
      <c r="U4153" t="s">
        <v>51014</v>
      </c>
      <c r="W4153" t="s">
        <v>43026</v>
      </c>
      <c r="X4153" t="s">
        <v>45102</v>
      </c>
    </row>
    <row r="4154" spans="1:24">
      <c r="A4154">
        <f>HYPERLINK("https://www.philgeps.gov.ph/GEPSNONPILOT/Tender/SplashBidNoticeAbstractUI.aspx?menuIndex=3&amp;refID=7041841&amp;Result=3","7041841")</f>
        <v>0</v>
      </c>
      <c r="B4154" t="s">
        <v>636</v>
      </c>
      <c r="C4154" t="s">
        <v>7167</v>
      </c>
      <c r="D4154" t="s">
        <v>18022</v>
      </c>
      <c r="E4154" t="s">
        <v>21825</v>
      </c>
      <c r="F4154" t="s">
        <v>31574</v>
      </c>
      <c r="G4154" t="s">
        <v>31581</v>
      </c>
      <c r="H4154" t="s">
        <v>31590</v>
      </c>
      <c r="I4154" t="s">
        <v>31623</v>
      </c>
      <c r="J4154" t="s">
        <v>32172</v>
      </c>
      <c r="K4154" t="s">
        <v>41184</v>
      </c>
      <c r="M4154" t="s">
        <v>42140</v>
      </c>
      <c r="N4154" t="s">
        <v>45095</v>
      </c>
      <c r="O4154" t="s">
        <v>45096</v>
      </c>
      <c r="P4154">
        <v>0</v>
      </c>
      <c r="Q4154">
        <v>1</v>
      </c>
      <c r="R4154" t="s">
        <v>45101</v>
      </c>
      <c r="S4154" t="s">
        <v>45231</v>
      </c>
      <c r="T4154" t="s">
        <v>47106</v>
      </c>
      <c r="U4154" t="s">
        <v>48788</v>
      </c>
      <c r="W4154" t="s">
        <v>42140</v>
      </c>
      <c r="X4154" t="s">
        <v>45102</v>
      </c>
    </row>
    <row r="4155" spans="1:24">
      <c r="A4155">
        <f>HYPERLINK("https://www.philgeps.gov.ph/GEPSNONPILOT/Tender/SplashBidNoticeAbstractUI.aspx?menuIndex=3&amp;refID=7041836&amp;Result=3","7041836")</f>
        <v>0</v>
      </c>
      <c r="B4155" t="s">
        <v>1461</v>
      </c>
      <c r="C4155" t="s">
        <v>7168</v>
      </c>
      <c r="D4155" t="s">
        <v>18022</v>
      </c>
      <c r="E4155" t="s">
        <v>21826</v>
      </c>
      <c r="F4155" t="s">
        <v>31574</v>
      </c>
      <c r="G4155" t="s">
        <v>31582</v>
      </c>
      <c r="H4155" t="s">
        <v>31590</v>
      </c>
      <c r="I4155" t="s">
        <v>3487</v>
      </c>
      <c r="J4155" t="s">
        <v>34490</v>
      </c>
      <c r="K4155" t="s">
        <v>41190</v>
      </c>
      <c r="M4155" t="s">
        <v>43042</v>
      </c>
      <c r="N4155" t="s">
        <v>45095</v>
      </c>
      <c r="O4155" t="s">
        <v>45096</v>
      </c>
      <c r="P4155">
        <v>0</v>
      </c>
      <c r="Q4155">
        <v>2</v>
      </c>
      <c r="R4155" t="s">
        <v>45101</v>
      </c>
      <c r="S4155" t="s">
        <v>45231</v>
      </c>
      <c r="T4155" t="s">
        <v>46946</v>
      </c>
      <c r="U4155" t="s">
        <v>51015</v>
      </c>
      <c r="W4155" t="s">
        <v>43042</v>
      </c>
      <c r="X4155" t="s">
        <v>45102</v>
      </c>
    </row>
    <row r="4156" spans="1:24">
      <c r="A4156">
        <f>HYPERLINK("https://www.philgeps.gov.ph/GEPSNONPILOT/Tender/SplashBidNoticeAbstractUI.aspx?menuIndex=3&amp;refID=7041838&amp;Result=3","7041838")</f>
        <v>0</v>
      </c>
      <c r="B4156" t="s">
        <v>1462</v>
      </c>
      <c r="C4156" t="s">
        <v>7169</v>
      </c>
      <c r="D4156" t="s">
        <v>18079</v>
      </c>
      <c r="E4156" t="s">
        <v>21827</v>
      </c>
      <c r="F4156" t="s">
        <v>31574</v>
      </c>
      <c r="G4156" t="s">
        <v>31581</v>
      </c>
      <c r="H4156" t="s">
        <v>31592</v>
      </c>
      <c r="I4156" t="s">
        <v>31623</v>
      </c>
      <c r="J4156" t="s">
        <v>34491</v>
      </c>
      <c r="K4156" t="s">
        <v>41195</v>
      </c>
      <c r="M4156" t="s">
        <v>43043</v>
      </c>
      <c r="N4156" t="s">
        <v>45095</v>
      </c>
      <c r="O4156" t="s">
        <v>45096</v>
      </c>
      <c r="P4156">
        <v>0</v>
      </c>
      <c r="Q4156">
        <v>0</v>
      </c>
      <c r="R4156" t="s">
        <v>45101</v>
      </c>
      <c r="S4156" t="s">
        <v>45231</v>
      </c>
      <c r="T4156" t="s">
        <v>47178</v>
      </c>
      <c r="U4156" t="s">
        <v>51016</v>
      </c>
      <c r="V4156" t="s">
        <v>60277</v>
      </c>
      <c r="W4156" t="s">
        <v>43043</v>
      </c>
      <c r="X4156" t="s">
        <v>45102</v>
      </c>
    </row>
    <row r="4157" spans="1:24">
      <c r="A4157">
        <f>HYPERLINK("https://www.philgeps.gov.ph/GEPSNONPILOT/Tender/SplashBidNoticeAbstractUI.aspx?menuIndex=3&amp;refID=7041837&amp;Result=3","7041837")</f>
        <v>0</v>
      </c>
      <c r="B4157" t="s">
        <v>1463</v>
      </c>
      <c r="C4157" t="s">
        <v>7170</v>
      </c>
      <c r="D4157" t="s">
        <v>18073</v>
      </c>
      <c r="E4157" t="s">
        <v>21828</v>
      </c>
      <c r="F4157" t="s">
        <v>31574</v>
      </c>
      <c r="G4157" t="s">
        <v>31582</v>
      </c>
      <c r="H4157" t="s">
        <v>31590</v>
      </c>
      <c r="I4157" t="s">
        <v>4046</v>
      </c>
      <c r="J4157" t="s">
        <v>34492</v>
      </c>
      <c r="K4157" t="s">
        <v>41184</v>
      </c>
      <c r="L4157" t="s">
        <v>1463</v>
      </c>
      <c r="M4157" t="s">
        <v>43044</v>
      </c>
      <c r="N4157" t="s">
        <v>45095</v>
      </c>
      <c r="O4157" t="s">
        <v>45096</v>
      </c>
      <c r="P4157">
        <v>0</v>
      </c>
      <c r="Q4157">
        <v>0</v>
      </c>
      <c r="R4157" t="s">
        <v>45101</v>
      </c>
      <c r="S4157" t="s">
        <v>45231</v>
      </c>
      <c r="T4157" t="s">
        <v>46918</v>
      </c>
      <c r="U4157" t="s">
        <v>51017</v>
      </c>
      <c r="W4157" t="s">
        <v>43044</v>
      </c>
      <c r="X4157" t="s">
        <v>45102</v>
      </c>
    </row>
    <row r="4158" spans="1:24">
      <c r="A4158">
        <f>HYPERLINK("https://www.philgeps.gov.ph/GEPSNONPILOT/Tender/SplashBidNoticeAbstractUI.aspx?menuIndex=3&amp;refID=7041833&amp;Result=3","7041833")</f>
        <v>0</v>
      </c>
      <c r="B4158" t="s">
        <v>1454</v>
      </c>
      <c r="C4158" t="s">
        <v>7152</v>
      </c>
      <c r="D4158" t="s">
        <v>18023</v>
      </c>
      <c r="E4158" t="s">
        <v>21829</v>
      </c>
      <c r="F4158" t="s">
        <v>31574</v>
      </c>
      <c r="G4158" t="s">
        <v>31582</v>
      </c>
      <c r="H4158" t="s">
        <v>31591</v>
      </c>
      <c r="I4158" t="s">
        <v>8822</v>
      </c>
      <c r="J4158" t="s">
        <v>34493</v>
      </c>
      <c r="K4158" t="s">
        <v>41311</v>
      </c>
      <c r="M4158" t="s">
        <v>43034</v>
      </c>
      <c r="N4158" t="s">
        <v>45095</v>
      </c>
      <c r="O4158" t="s">
        <v>45096</v>
      </c>
      <c r="P4158">
        <v>0</v>
      </c>
      <c r="Q4158">
        <v>27</v>
      </c>
      <c r="R4158" t="s">
        <v>45101</v>
      </c>
      <c r="S4158" t="s">
        <v>45231</v>
      </c>
      <c r="T4158" t="s">
        <v>46987</v>
      </c>
      <c r="U4158" t="s">
        <v>51018</v>
      </c>
      <c r="V4158" t="s">
        <v>60275</v>
      </c>
      <c r="W4158" t="s">
        <v>43034</v>
      </c>
      <c r="X4158" t="s">
        <v>45102</v>
      </c>
    </row>
    <row r="4159" spans="1:24">
      <c r="A4159">
        <f>HYPERLINK("https://www.philgeps.gov.ph/GEPSNONPILOT/Tender/SplashBidNoticeAbstractUI.aspx?menuIndex=3&amp;refID=7041840&amp;Result=3","7041840")</f>
        <v>0</v>
      </c>
      <c r="B4159" t="s">
        <v>1464</v>
      </c>
      <c r="C4159" t="s">
        <v>7171</v>
      </c>
      <c r="D4159" t="s">
        <v>18027</v>
      </c>
      <c r="E4159" t="s">
        <v>21830</v>
      </c>
      <c r="F4159" t="s">
        <v>31574</v>
      </c>
      <c r="G4159" t="s">
        <v>31582</v>
      </c>
      <c r="H4159" t="s">
        <v>31590</v>
      </c>
      <c r="I4159" t="s">
        <v>7185</v>
      </c>
      <c r="J4159" t="s">
        <v>31821</v>
      </c>
      <c r="K4159" t="s">
        <v>41190</v>
      </c>
      <c r="M4159" t="s">
        <v>43045</v>
      </c>
      <c r="N4159" t="s">
        <v>45095</v>
      </c>
      <c r="O4159" t="s">
        <v>45096</v>
      </c>
      <c r="P4159">
        <v>0</v>
      </c>
      <c r="Q4159">
        <v>1</v>
      </c>
      <c r="R4159" t="s">
        <v>45101</v>
      </c>
      <c r="S4159" t="s">
        <v>45231</v>
      </c>
      <c r="T4159" t="s">
        <v>46949</v>
      </c>
      <c r="U4159" t="s">
        <v>51019</v>
      </c>
      <c r="W4159" t="s">
        <v>43045</v>
      </c>
      <c r="X4159" t="s">
        <v>45102</v>
      </c>
    </row>
    <row r="4160" spans="1:24">
      <c r="A4160">
        <f>HYPERLINK("https://www.philgeps.gov.ph/GEPSNONPILOT/Tender/SplashBidNoticeAbstractUI.aspx?menuIndex=3&amp;refID=7041813&amp;Result=3","7041813")</f>
        <v>0</v>
      </c>
      <c r="B4160" t="s">
        <v>357</v>
      </c>
      <c r="C4160" t="s">
        <v>7172</v>
      </c>
      <c r="D4160" t="s">
        <v>18026</v>
      </c>
      <c r="E4160" t="s">
        <v>21831</v>
      </c>
      <c r="F4160" t="s">
        <v>31574</v>
      </c>
      <c r="G4160" t="s">
        <v>31581</v>
      </c>
      <c r="H4160" t="s">
        <v>31590</v>
      </c>
      <c r="I4160" t="s">
        <v>31639</v>
      </c>
      <c r="J4160" t="s">
        <v>32258</v>
      </c>
      <c r="K4160" t="s">
        <v>41193</v>
      </c>
      <c r="M4160" t="s">
        <v>42068</v>
      </c>
      <c r="N4160" t="s">
        <v>45095</v>
      </c>
      <c r="O4160" t="s">
        <v>45096</v>
      </c>
      <c r="P4160">
        <v>0</v>
      </c>
      <c r="Q4160">
        <v>1</v>
      </c>
      <c r="R4160" t="s">
        <v>45101</v>
      </c>
      <c r="S4160" t="s">
        <v>45231</v>
      </c>
      <c r="T4160" t="s">
        <v>46957</v>
      </c>
      <c r="U4160" t="s">
        <v>51020</v>
      </c>
      <c r="W4160" t="s">
        <v>42068</v>
      </c>
      <c r="X4160" t="s">
        <v>45102</v>
      </c>
    </row>
    <row r="4161" spans="1:24">
      <c r="A4161">
        <f>HYPERLINK("https://www.philgeps.gov.ph/GEPSNONPILOT/Tender/SplashBidNoticeAbstractUI.aspx?menuIndex=3&amp;refID=7041788&amp;Result=3","7041788")</f>
        <v>0</v>
      </c>
      <c r="B4161" t="s">
        <v>1310</v>
      </c>
      <c r="C4161" t="s">
        <v>7173</v>
      </c>
      <c r="D4161" t="s">
        <v>18074</v>
      </c>
      <c r="E4161" t="s">
        <v>21832</v>
      </c>
      <c r="F4161" t="s">
        <v>31574</v>
      </c>
      <c r="G4161" t="s">
        <v>31582</v>
      </c>
      <c r="H4161" t="s">
        <v>31590</v>
      </c>
      <c r="I4161" t="s">
        <v>5717</v>
      </c>
      <c r="J4161" t="s">
        <v>34494</v>
      </c>
      <c r="K4161" t="s">
        <v>41190</v>
      </c>
      <c r="M4161" t="s">
        <v>42880</v>
      </c>
      <c r="N4161" t="s">
        <v>45095</v>
      </c>
      <c r="O4161" t="s">
        <v>45096</v>
      </c>
      <c r="P4161">
        <v>0</v>
      </c>
      <c r="Q4161">
        <v>0</v>
      </c>
      <c r="R4161" t="s">
        <v>45101</v>
      </c>
      <c r="S4161" t="s">
        <v>45231</v>
      </c>
      <c r="T4161" t="s">
        <v>47043</v>
      </c>
      <c r="U4161" t="s">
        <v>51021</v>
      </c>
      <c r="W4161" t="s">
        <v>42880</v>
      </c>
      <c r="X4161" t="s">
        <v>45102</v>
      </c>
    </row>
    <row r="4162" spans="1:24">
      <c r="A4162">
        <f>HYPERLINK("https://www.philgeps.gov.ph/GEPSNONPILOT/Tender/SplashBidNoticeAbstractUI.aspx?menuIndex=3&amp;refID=7041852&amp;Result=3","7041852")</f>
        <v>0</v>
      </c>
      <c r="B4162" t="s">
        <v>1465</v>
      </c>
      <c r="C4162" t="s">
        <v>4244</v>
      </c>
      <c r="D4162" t="s">
        <v>18022</v>
      </c>
      <c r="E4162" t="s">
        <v>21833</v>
      </c>
      <c r="F4162" t="s">
        <v>31574</v>
      </c>
      <c r="G4162" t="s">
        <v>31582</v>
      </c>
      <c r="H4162" t="s">
        <v>31590</v>
      </c>
      <c r="I4162" t="s">
        <v>6800</v>
      </c>
      <c r="J4162" t="s">
        <v>31782</v>
      </c>
      <c r="K4162" t="s">
        <v>41193</v>
      </c>
      <c r="M4162" t="s">
        <v>43046</v>
      </c>
      <c r="N4162" t="s">
        <v>45095</v>
      </c>
      <c r="O4162" t="s">
        <v>45096</v>
      </c>
      <c r="P4162">
        <v>0</v>
      </c>
      <c r="Q4162">
        <v>1</v>
      </c>
      <c r="R4162" t="s">
        <v>45101</v>
      </c>
      <c r="S4162" t="s">
        <v>45231</v>
      </c>
      <c r="T4162" t="s">
        <v>46969</v>
      </c>
      <c r="U4162" t="s">
        <v>51022</v>
      </c>
      <c r="W4162" t="s">
        <v>43046</v>
      </c>
      <c r="X4162" t="s">
        <v>45102</v>
      </c>
    </row>
    <row r="4163" spans="1:24">
      <c r="A4163">
        <f>HYPERLINK("https://www.philgeps.gov.ph/GEPSNONPILOT/Tender/SplashBidNoticeAbstractUI.aspx?menuIndex=3&amp;refID=7041856&amp;Result=3","7041856")</f>
        <v>0</v>
      </c>
      <c r="B4163" t="s">
        <v>1131</v>
      </c>
      <c r="C4163" t="s">
        <v>7174</v>
      </c>
      <c r="D4163" t="s">
        <v>18071</v>
      </c>
      <c r="E4163" t="s">
        <v>21834</v>
      </c>
      <c r="F4163" t="s">
        <v>31574</v>
      </c>
      <c r="G4163" t="s">
        <v>31581</v>
      </c>
      <c r="H4163" t="s">
        <v>31590</v>
      </c>
      <c r="I4163" t="s">
        <v>3487</v>
      </c>
      <c r="J4163" t="s">
        <v>34495</v>
      </c>
      <c r="K4163" t="s">
        <v>41186</v>
      </c>
      <c r="M4163" t="s">
        <v>42682</v>
      </c>
      <c r="N4163" t="s">
        <v>45095</v>
      </c>
      <c r="O4163" t="s">
        <v>45096</v>
      </c>
      <c r="P4163">
        <v>0</v>
      </c>
      <c r="Q4163">
        <v>0</v>
      </c>
      <c r="R4163" t="s">
        <v>45101</v>
      </c>
      <c r="S4163" t="s">
        <v>45231</v>
      </c>
      <c r="T4163" t="s">
        <v>47064</v>
      </c>
      <c r="U4163" t="s">
        <v>51023</v>
      </c>
      <c r="W4163" t="s">
        <v>42682</v>
      </c>
      <c r="X4163" t="s">
        <v>45102</v>
      </c>
    </row>
    <row r="4164" spans="1:24">
      <c r="A4164">
        <f>HYPERLINK("https://www.philgeps.gov.ph/GEPSNONPILOT/Tender/SplashBidNoticeAbstractUI.aspx?menuIndex=3&amp;refID=7041872&amp;Result=3","7041872")</f>
        <v>0</v>
      </c>
      <c r="B4164" t="s">
        <v>1131</v>
      </c>
      <c r="C4164" t="s">
        <v>7175</v>
      </c>
      <c r="D4164" t="s">
        <v>18071</v>
      </c>
      <c r="E4164" t="s">
        <v>21835</v>
      </c>
      <c r="F4164" t="s">
        <v>31574</v>
      </c>
      <c r="G4164" t="s">
        <v>31581</v>
      </c>
      <c r="H4164" t="s">
        <v>31590</v>
      </c>
      <c r="I4164" t="s">
        <v>31599</v>
      </c>
      <c r="J4164" t="s">
        <v>34496</v>
      </c>
      <c r="K4164" t="s">
        <v>41186</v>
      </c>
      <c r="M4164" t="s">
        <v>42682</v>
      </c>
      <c r="N4164" t="s">
        <v>45095</v>
      </c>
      <c r="O4164" t="s">
        <v>45096</v>
      </c>
      <c r="P4164">
        <v>0</v>
      </c>
      <c r="Q4164">
        <v>0</v>
      </c>
      <c r="R4164" t="s">
        <v>45101</v>
      </c>
      <c r="S4164" t="s">
        <v>45231</v>
      </c>
      <c r="T4164" t="s">
        <v>47064</v>
      </c>
      <c r="U4164" t="s">
        <v>51024</v>
      </c>
      <c r="W4164" t="s">
        <v>42682</v>
      </c>
      <c r="X4164" t="s">
        <v>45102</v>
      </c>
    </row>
    <row r="4165" spans="1:24">
      <c r="A4165">
        <f>HYPERLINK("https://www.philgeps.gov.ph/GEPSNONPILOT/Tender/SplashBidNoticeAbstractUI.aspx?menuIndex=3&amp;refID=7041858&amp;Result=3","7041858")</f>
        <v>0</v>
      </c>
      <c r="B4165" t="s">
        <v>1332</v>
      </c>
      <c r="C4165" t="s">
        <v>7176</v>
      </c>
      <c r="D4165" t="s">
        <v>18060</v>
      </c>
      <c r="E4165" t="s">
        <v>21836</v>
      </c>
      <c r="F4165" t="s">
        <v>31574</v>
      </c>
      <c r="G4165" t="s">
        <v>31581</v>
      </c>
      <c r="H4165" t="s">
        <v>31590</v>
      </c>
      <c r="I4165" t="s">
        <v>31594</v>
      </c>
      <c r="J4165" t="s">
        <v>34497</v>
      </c>
      <c r="K4165" t="s">
        <v>41186</v>
      </c>
      <c r="M4165" t="s">
        <v>42904</v>
      </c>
      <c r="N4165" t="s">
        <v>45095</v>
      </c>
      <c r="O4165" t="s">
        <v>45096</v>
      </c>
      <c r="P4165">
        <v>0</v>
      </c>
      <c r="Q4165">
        <v>17</v>
      </c>
      <c r="R4165" t="s">
        <v>45101</v>
      </c>
      <c r="S4165" t="s">
        <v>45231</v>
      </c>
      <c r="T4165" t="s">
        <v>46904</v>
      </c>
      <c r="U4165" t="s">
        <v>51025</v>
      </c>
      <c r="W4165" t="s">
        <v>42904</v>
      </c>
      <c r="X4165" t="s">
        <v>45102</v>
      </c>
    </row>
    <row r="4166" spans="1:24">
      <c r="A4166">
        <f>HYPERLINK("https://www.philgeps.gov.ph/GEPSNONPILOT/Tender/SplashBidNoticeAbstractUI.aspx?menuIndex=3&amp;refID=7041854&amp;Result=3","7041854")</f>
        <v>0</v>
      </c>
      <c r="B4166" t="s">
        <v>1446</v>
      </c>
      <c r="C4166" t="s">
        <v>7177</v>
      </c>
      <c r="D4166" t="s">
        <v>18052</v>
      </c>
      <c r="E4166" t="s">
        <v>21837</v>
      </c>
      <c r="F4166" t="s">
        <v>31574</v>
      </c>
      <c r="G4166" t="s">
        <v>31582</v>
      </c>
      <c r="H4166" t="s">
        <v>31591</v>
      </c>
      <c r="I4166" t="s">
        <v>3539</v>
      </c>
      <c r="J4166" t="s">
        <v>31947</v>
      </c>
      <c r="K4166" t="s">
        <v>41186</v>
      </c>
      <c r="M4166" t="s">
        <v>43025</v>
      </c>
      <c r="N4166" t="s">
        <v>45095</v>
      </c>
      <c r="O4166" t="s">
        <v>45096</v>
      </c>
      <c r="P4166">
        <v>0</v>
      </c>
      <c r="Q4166">
        <v>0</v>
      </c>
      <c r="R4166" t="s">
        <v>45101</v>
      </c>
      <c r="S4166" t="s">
        <v>45231</v>
      </c>
      <c r="T4166" t="s">
        <v>47211</v>
      </c>
      <c r="U4166" t="s">
        <v>50981</v>
      </c>
      <c r="V4166" t="s">
        <v>60270</v>
      </c>
      <c r="W4166" t="s">
        <v>43025</v>
      </c>
      <c r="X4166" t="s">
        <v>45102</v>
      </c>
    </row>
    <row r="4167" spans="1:24">
      <c r="A4167">
        <f>HYPERLINK("https://www.philgeps.gov.ph/GEPSNONPILOT/Tender/SplashBidNoticeAbstractUI.aspx?menuIndex=3&amp;refID=7041860&amp;Result=3","7041860")</f>
        <v>0</v>
      </c>
      <c r="B4167" t="s">
        <v>1466</v>
      </c>
      <c r="C4167" t="s">
        <v>7178</v>
      </c>
      <c r="E4167" t="s">
        <v>21838</v>
      </c>
      <c r="F4167" t="s">
        <v>31574</v>
      </c>
      <c r="G4167" t="s">
        <v>31582</v>
      </c>
      <c r="H4167" t="s">
        <v>31590</v>
      </c>
      <c r="I4167" t="s">
        <v>7185</v>
      </c>
      <c r="J4167" t="s">
        <v>31741</v>
      </c>
      <c r="K4167" t="s">
        <v>41193</v>
      </c>
      <c r="M4167" t="s">
        <v>43047</v>
      </c>
      <c r="N4167" t="s">
        <v>45095</v>
      </c>
      <c r="O4167" t="s">
        <v>45096</v>
      </c>
      <c r="P4167">
        <v>0</v>
      </c>
      <c r="Q4167">
        <v>0</v>
      </c>
      <c r="R4167" t="s">
        <v>45101</v>
      </c>
      <c r="S4167" t="s">
        <v>45231</v>
      </c>
      <c r="T4167" t="s">
        <v>46911</v>
      </c>
      <c r="U4167" t="s">
        <v>51026</v>
      </c>
      <c r="W4167" t="s">
        <v>43047</v>
      </c>
      <c r="X4167" t="s">
        <v>45102</v>
      </c>
    </row>
    <row r="4168" spans="1:24">
      <c r="A4168">
        <f>HYPERLINK("https://www.philgeps.gov.ph/GEPSNONPILOT/Tender/SplashBidNoticeAbstractUI.aspx?menuIndex=3&amp;refID=7041882&amp;Result=3","7041882")</f>
        <v>0</v>
      </c>
      <c r="B4168" t="s">
        <v>1454</v>
      </c>
      <c r="C4168" t="s">
        <v>7152</v>
      </c>
      <c r="D4168" t="s">
        <v>18023</v>
      </c>
      <c r="E4168" t="s">
        <v>21839</v>
      </c>
      <c r="F4168" t="s">
        <v>31574</v>
      </c>
      <c r="G4168" t="s">
        <v>31582</v>
      </c>
      <c r="H4168" t="s">
        <v>31591</v>
      </c>
      <c r="I4168" t="s">
        <v>8822</v>
      </c>
      <c r="J4168" t="s">
        <v>32232</v>
      </c>
      <c r="K4168" t="s">
        <v>41192</v>
      </c>
      <c r="M4168" t="s">
        <v>43034</v>
      </c>
      <c r="N4168" t="s">
        <v>45095</v>
      </c>
      <c r="O4168" t="s">
        <v>45096</v>
      </c>
      <c r="P4168">
        <v>0</v>
      </c>
      <c r="Q4168">
        <v>15</v>
      </c>
      <c r="R4168" t="s">
        <v>45101</v>
      </c>
      <c r="S4168" t="s">
        <v>45231</v>
      </c>
      <c r="T4168" t="s">
        <v>46987</v>
      </c>
      <c r="U4168" t="s">
        <v>51027</v>
      </c>
      <c r="V4168" t="s">
        <v>60275</v>
      </c>
      <c r="W4168" t="s">
        <v>43034</v>
      </c>
      <c r="X4168" t="s">
        <v>45102</v>
      </c>
    </row>
    <row r="4169" spans="1:24">
      <c r="A4169">
        <f>HYPERLINK("https://www.philgeps.gov.ph/GEPSNONPILOT/Tender/SplashBidNoticeAbstractUI.aspx?menuIndex=3&amp;refID=7041875&amp;Result=3","7041875")</f>
        <v>0</v>
      </c>
      <c r="B4169" t="s">
        <v>1242</v>
      </c>
      <c r="C4169" t="s">
        <v>7179</v>
      </c>
      <c r="D4169" t="s">
        <v>18056</v>
      </c>
      <c r="E4169" t="s">
        <v>21840</v>
      </c>
      <c r="F4169" t="s">
        <v>31574</v>
      </c>
      <c r="G4169" t="s">
        <v>31581</v>
      </c>
      <c r="H4169" t="s">
        <v>31590</v>
      </c>
      <c r="I4169" t="s">
        <v>3651</v>
      </c>
      <c r="J4169" t="s">
        <v>34498</v>
      </c>
      <c r="K4169" t="s">
        <v>41189</v>
      </c>
      <c r="M4169" t="s">
        <v>42805</v>
      </c>
      <c r="N4169" t="s">
        <v>45095</v>
      </c>
      <c r="O4169" t="s">
        <v>45096</v>
      </c>
      <c r="P4169">
        <v>0</v>
      </c>
      <c r="Q4169">
        <v>1</v>
      </c>
      <c r="R4169" t="s">
        <v>45101</v>
      </c>
      <c r="S4169" t="s">
        <v>45231</v>
      </c>
      <c r="T4169" t="s">
        <v>47154</v>
      </c>
      <c r="U4169" t="s">
        <v>50453</v>
      </c>
      <c r="W4169" t="s">
        <v>42805</v>
      </c>
      <c r="X4169" t="s">
        <v>45102</v>
      </c>
    </row>
    <row r="4170" spans="1:24">
      <c r="A4170">
        <f>HYPERLINK("https://www.philgeps.gov.ph/GEPSNONPILOT/Tender/SplashBidNoticeAbstractUI.aspx?menuIndex=3&amp;refID=7041874&amp;Result=3","7041874")</f>
        <v>0</v>
      </c>
      <c r="B4170" t="s">
        <v>164</v>
      </c>
      <c r="C4170" t="s">
        <v>7180</v>
      </c>
      <c r="D4170" t="s">
        <v>18022</v>
      </c>
      <c r="E4170" t="s">
        <v>21841</v>
      </c>
      <c r="F4170" t="s">
        <v>31574</v>
      </c>
      <c r="G4170" t="s">
        <v>31584</v>
      </c>
      <c r="H4170" t="s">
        <v>31590</v>
      </c>
      <c r="I4170" t="s">
        <v>6800</v>
      </c>
      <c r="J4170" t="s">
        <v>34499</v>
      </c>
      <c r="K4170" t="s">
        <v>41196</v>
      </c>
      <c r="M4170" t="s">
        <v>41648</v>
      </c>
      <c r="N4170" t="s">
        <v>45095</v>
      </c>
      <c r="O4170" t="s">
        <v>45096</v>
      </c>
      <c r="P4170">
        <v>0</v>
      </c>
      <c r="Q4170">
        <v>9</v>
      </c>
      <c r="R4170" t="s">
        <v>45101</v>
      </c>
      <c r="S4170" t="s">
        <v>45231</v>
      </c>
      <c r="T4170" t="s">
        <v>46985</v>
      </c>
      <c r="U4170" t="s">
        <v>51028</v>
      </c>
      <c r="W4170" t="s">
        <v>41648</v>
      </c>
      <c r="X4170" t="s">
        <v>45102</v>
      </c>
    </row>
    <row r="4171" spans="1:24">
      <c r="A4171">
        <f>HYPERLINK("https://www.philgeps.gov.ph/GEPSNONPILOT/Tender/SplashBidNoticeAbstractUI.aspx?menuIndex=3&amp;refID=7041880&amp;Result=3","7041880")</f>
        <v>0</v>
      </c>
      <c r="B4171" t="s">
        <v>352</v>
      </c>
      <c r="C4171" t="s">
        <v>7181</v>
      </c>
      <c r="D4171" t="s">
        <v>18023</v>
      </c>
      <c r="E4171" t="s">
        <v>21842</v>
      </c>
      <c r="F4171" t="s">
        <v>31574</v>
      </c>
      <c r="G4171" t="s">
        <v>31581</v>
      </c>
      <c r="H4171" t="s">
        <v>31590</v>
      </c>
      <c r="I4171" t="s">
        <v>31597</v>
      </c>
      <c r="J4171" t="s">
        <v>31843</v>
      </c>
      <c r="K4171" t="s">
        <v>41196</v>
      </c>
      <c r="M4171" t="s">
        <v>41840</v>
      </c>
      <c r="N4171" t="s">
        <v>45095</v>
      </c>
      <c r="O4171" t="s">
        <v>45096</v>
      </c>
      <c r="P4171">
        <v>0</v>
      </c>
      <c r="Q4171">
        <v>3</v>
      </c>
      <c r="R4171" t="s">
        <v>45101</v>
      </c>
      <c r="S4171" t="s">
        <v>45231</v>
      </c>
      <c r="T4171" t="s">
        <v>46906</v>
      </c>
      <c r="U4171" t="s">
        <v>51029</v>
      </c>
      <c r="W4171" t="s">
        <v>41840</v>
      </c>
      <c r="X4171" t="s">
        <v>45102</v>
      </c>
    </row>
    <row r="4172" spans="1:24">
      <c r="A4172">
        <f>HYPERLINK("https://www.philgeps.gov.ph/GEPSNONPILOT/Tender/SplashBidNoticeAbstractUI.aspx?menuIndex=3&amp;refID=7041893&amp;Result=3","7041893")</f>
        <v>0</v>
      </c>
      <c r="B4172" t="s">
        <v>1467</v>
      </c>
      <c r="C4172" t="s">
        <v>7182</v>
      </c>
      <c r="D4172" t="s">
        <v>18022</v>
      </c>
      <c r="E4172" t="s">
        <v>21843</v>
      </c>
      <c r="F4172" t="s">
        <v>31574</v>
      </c>
      <c r="G4172" t="s">
        <v>31582</v>
      </c>
      <c r="H4172" t="s">
        <v>31590</v>
      </c>
      <c r="I4172" t="s">
        <v>8258</v>
      </c>
      <c r="J4172" t="s">
        <v>34500</v>
      </c>
      <c r="K4172" t="s">
        <v>41193</v>
      </c>
      <c r="M4172" t="s">
        <v>43048</v>
      </c>
      <c r="N4172" t="s">
        <v>45095</v>
      </c>
      <c r="O4172" t="s">
        <v>45096</v>
      </c>
      <c r="P4172">
        <v>0</v>
      </c>
      <c r="Q4172">
        <v>0</v>
      </c>
      <c r="R4172" t="s">
        <v>45101</v>
      </c>
      <c r="S4172" t="s">
        <v>45231</v>
      </c>
      <c r="T4172" t="s">
        <v>46916</v>
      </c>
      <c r="U4172" t="s">
        <v>51030</v>
      </c>
      <c r="W4172" t="s">
        <v>43048</v>
      </c>
      <c r="X4172" t="s">
        <v>45102</v>
      </c>
    </row>
    <row r="4173" spans="1:24">
      <c r="A4173">
        <f>HYPERLINK("https://www.philgeps.gov.ph/GEPSNONPILOT/Tender/SplashBidNoticeAbstractUI.aspx?menuIndex=3&amp;refID=7041861&amp;Result=3","7041861")</f>
        <v>0</v>
      </c>
      <c r="B4173" t="s">
        <v>1447</v>
      </c>
      <c r="C4173" t="s">
        <v>7130</v>
      </c>
      <c r="D4173" t="s">
        <v>18022</v>
      </c>
      <c r="E4173" t="s">
        <v>21844</v>
      </c>
      <c r="F4173" t="s">
        <v>31574</v>
      </c>
      <c r="G4173" t="s">
        <v>31583</v>
      </c>
      <c r="H4173" t="s">
        <v>31592</v>
      </c>
      <c r="I4173" t="s">
        <v>31656</v>
      </c>
      <c r="J4173" t="s">
        <v>31945</v>
      </c>
      <c r="K4173" t="s">
        <v>41196</v>
      </c>
      <c r="M4173" t="s">
        <v>43026</v>
      </c>
      <c r="N4173" t="s">
        <v>45095</v>
      </c>
      <c r="O4173" t="s">
        <v>45096</v>
      </c>
      <c r="P4173">
        <v>0</v>
      </c>
      <c r="Q4173">
        <v>2</v>
      </c>
      <c r="R4173" t="s">
        <v>45101</v>
      </c>
      <c r="S4173" t="s">
        <v>45231</v>
      </c>
      <c r="T4173" t="s">
        <v>47191</v>
      </c>
      <c r="U4173" t="s">
        <v>51031</v>
      </c>
      <c r="W4173" t="s">
        <v>43026</v>
      </c>
      <c r="X4173" t="s">
        <v>45102</v>
      </c>
    </row>
    <row r="4174" spans="1:24">
      <c r="A4174">
        <f>HYPERLINK("https://www.philgeps.gov.ph/GEPSNONPILOT/Tender/SplashBidNoticeAbstractUI.aspx?menuIndex=3&amp;refID=7041879&amp;Result=3","7041879")</f>
        <v>0</v>
      </c>
      <c r="B4174" t="s">
        <v>1468</v>
      </c>
      <c r="C4174" t="s">
        <v>7183</v>
      </c>
      <c r="D4174" t="s">
        <v>18028</v>
      </c>
      <c r="E4174" t="s">
        <v>21845</v>
      </c>
      <c r="F4174" t="s">
        <v>31574</v>
      </c>
      <c r="G4174" t="s">
        <v>31582</v>
      </c>
      <c r="H4174" t="s">
        <v>31591</v>
      </c>
      <c r="I4174" t="s">
        <v>8822</v>
      </c>
      <c r="J4174" t="s">
        <v>32381</v>
      </c>
      <c r="K4174" t="s">
        <v>41195</v>
      </c>
      <c r="M4174" t="s">
        <v>43049</v>
      </c>
      <c r="N4174" t="s">
        <v>45095</v>
      </c>
      <c r="O4174" t="s">
        <v>45096</v>
      </c>
      <c r="P4174">
        <v>0</v>
      </c>
      <c r="Q4174">
        <v>0</v>
      </c>
      <c r="R4174" t="s">
        <v>45101</v>
      </c>
      <c r="S4174" t="s">
        <v>45231</v>
      </c>
      <c r="T4174" t="s">
        <v>46913</v>
      </c>
      <c r="U4174" t="s">
        <v>51032</v>
      </c>
      <c r="W4174" t="s">
        <v>43049</v>
      </c>
      <c r="X4174" t="s">
        <v>45102</v>
      </c>
    </row>
    <row r="4175" spans="1:24">
      <c r="A4175">
        <f>HYPERLINK("https://www.philgeps.gov.ph/GEPSNONPILOT/Tender/SplashBidNoticeAbstractUI.aspx?menuIndex=3&amp;refID=7041888&amp;Result=3","7041888")</f>
        <v>0</v>
      </c>
      <c r="B4175" t="s">
        <v>164</v>
      </c>
      <c r="C4175" t="s">
        <v>7184</v>
      </c>
      <c r="D4175" t="s">
        <v>18022</v>
      </c>
      <c r="E4175" t="s">
        <v>21846</v>
      </c>
      <c r="F4175" t="s">
        <v>31574</v>
      </c>
      <c r="G4175" t="s">
        <v>31581</v>
      </c>
      <c r="H4175" t="s">
        <v>31590</v>
      </c>
      <c r="I4175" t="s">
        <v>31619</v>
      </c>
      <c r="J4175" t="s">
        <v>34501</v>
      </c>
      <c r="K4175" t="s">
        <v>41196</v>
      </c>
      <c r="M4175" t="s">
        <v>41648</v>
      </c>
      <c r="N4175" t="s">
        <v>45095</v>
      </c>
      <c r="O4175" t="s">
        <v>45096</v>
      </c>
      <c r="P4175">
        <v>0</v>
      </c>
      <c r="Q4175">
        <v>18</v>
      </c>
      <c r="R4175" t="s">
        <v>45101</v>
      </c>
      <c r="S4175" t="s">
        <v>45231</v>
      </c>
      <c r="T4175" t="s">
        <v>46985</v>
      </c>
      <c r="U4175" t="s">
        <v>51033</v>
      </c>
      <c r="W4175" t="s">
        <v>41648</v>
      </c>
      <c r="X4175" t="s">
        <v>45102</v>
      </c>
    </row>
    <row r="4176" spans="1:24">
      <c r="A4176">
        <f>HYPERLINK("https://www.philgeps.gov.ph/GEPSNONPILOT/Tender/SplashBidNoticeAbstractUI.aspx?menuIndex=3&amp;refID=7041883&amp;Result=3","7041883")</f>
        <v>0</v>
      </c>
      <c r="B4176" t="s">
        <v>1469</v>
      </c>
      <c r="C4176" t="s">
        <v>7185</v>
      </c>
      <c r="D4176" t="s">
        <v>18040</v>
      </c>
      <c r="E4176" t="s">
        <v>21847</v>
      </c>
      <c r="F4176" t="s">
        <v>31574</v>
      </c>
      <c r="G4176" t="s">
        <v>31582</v>
      </c>
      <c r="H4176" t="s">
        <v>31590</v>
      </c>
      <c r="I4176" t="s">
        <v>7185</v>
      </c>
      <c r="J4176" t="s">
        <v>31789</v>
      </c>
      <c r="K4176" t="s">
        <v>41193</v>
      </c>
      <c r="M4176" t="s">
        <v>43050</v>
      </c>
      <c r="N4176" t="s">
        <v>45095</v>
      </c>
      <c r="O4176" t="s">
        <v>45096</v>
      </c>
      <c r="P4176">
        <v>0</v>
      </c>
      <c r="Q4176">
        <v>2</v>
      </c>
      <c r="R4176" t="s">
        <v>45101</v>
      </c>
      <c r="S4176" t="s">
        <v>45231</v>
      </c>
      <c r="T4176" t="s">
        <v>46911</v>
      </c>
      <c r="U4176" t="s">
        <v>51034</v>
      </c>
      <c r="W4176" t="s">
        <v>43050</v>
      </c>
      <c r="X4176" t="s">
        <v>45102</v>
      </c>
    </row>
    <row r="4177" spans="1:24">
      <c r="A4177">
        <f>HYPERLINK("https://www.philgeps.gov.ph/GEPSNONPILOT/Tender/SplashBidNoticeAbstractUI.aspx?menuIndex=3&amp;refID=7041868&amp;Result=3","7041868")</f>
        <v>0</v>
      </c>
      <c r="B4177" t="s">
        <v>352</v>
      </c>
      <c r="C4177" t="s">
        <v>7186</v>
      </c>
      <c r="D4177" t="s">
        <v>18023</v>
      </c>
      <c r="E4177" t="s">
        <v>21842</v>
      </c>
      <c r="F4177" t="s">
        <v>31574</v>
      </c>
      <c r="G4177" t="s">
        <v>31581</v>
      </c>
      <c r="H4177" t="s">
        <v>31590</v>
      </c>
      <c r="I4177" t="s">
        <v>31597</v>
      </c>
      <c r="J4177" t="s">
        <v>31741</v>
      </c>
      <c r="K4177" t="s">
        <v>41196</v>
      </c>
      <c r="M4177" t="s">
        <v>41840</v>
      </c>
      <c r="N4177" t="s">
        <v>45095</v>
      </c>
      <c r="O4177" t="s">
        <v>45096</v>
      </c>
      <c r="P4177">
        <v>0</v>
      </c>
      <c r="Q4177">
        <v>4</v>
      </c>
      <c r="R4177" t="s">
        <v>45101</v>
      </c>
      <c r="S4177" t="s">
        <v>45231</v>
      </c>
      <c r="T4177" t="s">
        <v>46906</v>
      </c>
      <c r="U4177" t="s">
        <v>51035</v>
      </c>
      <c r="W4177" t="s">
        <v>41840</v>
      </c>
      <c r="X4177" t="s">
        <v>45102</v>
      </c>
    </row>
    <row r="4178" spans="1:24">
      <c r="A4178">
        <f>HYPERLINK("https://www.philgeps.gov.ph/GEPSNONPILOT/Tender/SplashBidNoticeAbstractUI.aspx?menuIndex=3&amp;refID=7041885&amp;Result=3","7041885")</f>
        <v>0</v>
      </c>
      <c r="B4178" t="s">
        <v>1468</v>
      </c>
      <c r="C4178" t="s">
        <v>7183</v>
      </c>
      <c r="D4178" t="s">
        <v>18028</v>
      </c>
      <c r="E4178" t="s">
        <v>21848</v>
      </c>
      <c r="F4178" t="s">
        <v>31574</v>
      </c>
      <c r="G4178" t="s">
        <v>31582</v>
      </c>
      <c r="H4178" t="s">
        <v>31591</v>
      </c>
      <c r="I4178" t="s">
        <v>8822</v>
      </c>
      <c r="J4178" t="s">
        <v>34502</v>
      </c>
      <c r="K4178" t="s">
        <v>41195</v>
      </c>
      <c r="M4178" t="s">
        <v>43049</v>
      </c>
      <c r="N4178" t="s">
        <v>45095</v>
      </c>
      <c r="O4178" t="s">
        <v>45096</v>
      </c>
      <c r="P4178">
        <v>0</v>
      </c>
      <c r="Q4178">
        <v>0</v>
      </c>
      <c r="R4178" t="s">
        <v>45101</v>
      </c>
      <c r="S4178" t="s">
        <v>45231</v>
      </c>
      <c r="T4178" t="s">
        <v>46969</v>
      </c>
      <c r="U4178" t="s">
        <v>51036</v>
      </c>
      <c r="W4178" t="s">
        <v>43049</v>
      </c>
      <c r="X4178" t="s">
        <v>45102</v>
      </c>
    </row>
    <row r="4179" spans="1:24">
      <c r="A4179">
        <f>HYPERLINK("https://www.philgeps.gov.ph/GEPSNONPILOT/Tender/SplashBidNoticeAbstractUI.aspx?menuIndex=3&amp;refID=7041870&amp;Result=3","7041870")</f>
        <v>0</v>
      </c>
      <c r="B4179" t="s">
        <v>1447</v>
      </c>
      <c r="C4179" t="s">
        <v>7187</v>
      </c>
      <c r="D4179" t="s">
        <v>18022</v>
      </c>
      <c r="E4179" t="s">
        <v>21849</v>
      </c>
      <c r="F4179" t="s">
        <v>31574</v>
      </c>
      <c r="G4179" t="s">
        <v>31583</v>
      </c>
      <c r="H4179" t="s">
        <v>31592</v>
      </c>
      <c r="I4179" t="s">
        <v>31656</v>
      </c>
      <c r="J4179" t="s">
        <v>34503</v>
      </c>
      <c r="K4179" t="s">
        <v>41196</v>
      </c>
      <c r="M4179" t="s">
        <v>43026</v>
      </c>
      <c r="N4179" t="s">
        <v>45095</v>
      </c>
      <c r="O4179" t="s">
        <v>45096</v>
      </c>
      <c r="P4179">
        <v>0</v>
      </c>
      <c r="Q4179">
        <v>0</v>
      </c>
      <c r="R4179" t="s">
        <v>45101</v>
      </c>
      <c r="S4179" t="s">
        <v>45231</v>
      </c>
      <c r="T4179" t="s">
        <v>47191</v>
      </c>
      <c r="U4179" t="s">
        <v>51037</v>
      </c>
      <c r="W4179" t="s">
        <v>43026</v>
      </c>
      <c r="X4179" t="s">
        <v>45102</v>
      </c>
    </row>
    <row r="4180" spans="1:24">
      <c r="A4180">
        <f>HYPERLINK("https://www.philgeps.gov.ph/GEPSNONPILOT/Tender/SplashBidNoticeAbstractUI.aspx?menuIndex=3&amp;refID=7041891&amp;Result=3","7041891")</f>
        <v>0</v>
      </c>
      <c r="B4180" t="s">
        <v>1386</v>
      </c>
      <c r="C4180" t="s">
        <v>7188</v>
      </c>
      <c r="D4180" t="s">
        <v>18039</v>
      </c>
      <c r="E4180" t="s">
        <v>18270</v>
      </c>
      <c r="F4180" t="s">
        <v>31574</v>
      </c>
      <c r="G4180" t="s">
        <v>31581</v>
      </c>
      <c r="H4180" t="s">
        <v>31590</v>
      </c>
      <c r="I4180" t="s">
        <v>4327</v>
      </c>
      <c r="J4180" t="s">
        <v>32017</v>
      </c>
      <c r="K4180" t="s">
        <v>41184</v>
      </c>
      <c r="M4180" t="s">
        <v>42960</v>
      </c>
      <c r="N4180" t="s">
        <v>45095</v>
      </c>
      <c r="O4180" t="s">
        <v>45096</v>
      </c>
      <c r="P4180">
        <v>0</v>
      </c>
      <c r="Q4180">
        <v>1</v>
      </c>
      <c r="R4180" t="s">
        <v>45101</v>
      </c>
      <c r="S4180" t="s">
        <v>45231</v>
      </c>
      <c r="T4180" t="s">
        <v>47154</v>
      </c>
      <c r="U4180" t="s">
        <v>51038</v>
      </c>
      <c r="W4180" t="s">
        <v>42960</v>
      </c>
      <c r="X4180" t="s">
        <v>45102</v>
      </c>
    </row>
    <row r="4181" spans="1:24">
      <c r="A4181">
        <f>HYPERLINK("https://www.philgeps.gov.ph/GEPSNONPILOT/Tender/SplashBidNoticeAbstractUI.aspx?menuIndex=3&amp;refID=7041867&amp;Result=3","7041867")</f>
        <v>0</v>
      </c>
      <c r="B4181" t="s">
        <v>1131</v>
      </c>
      <c r="C4181" t="s">
        <v>7189</v>
      </c>
      <c r="D4181" t="s">
        <v>18071</v>
      </c>
      <c r="E4181" t="s">
        <v>21850</v>
      </c>
      <c r="F4181" t="s">
        <v>31574</v>
      </c>
      <c r="G4181" t="s">
        <v>31581</v>
      </c>
      <c r="H4181" t="s">
        <v>31590</v>
      </c>
      <c r="I4181" t="s">
        <v>4327</v>
      </c>
      <c r="J4181" t="s">
        <v>32017</v>
      </c>
      <c r="K4181" t="s">
        <v>41186</v>
      </c>
      <c r="M4181" t="s">
        <v>42682</v>
      </c>
      <c r="N4181" t="s">
        <v>45095</v>
      </c>
      <c r="O4181" t="s">
        <v>45096</v>
      </c>
      <c r="P4181">
        <v>0</v>
      </c>
      <c r="Q4181">
        <v>0</v>
      </c>
      <c r="R4181" t="s">
        <v>45101</v>
      </c>
      <c r="S4181" t="s">
        <v>45231</v>
      </c>
      <c r="T4181" t="s">
        <v>47064</v>
      </c>
      <c r="U4181" t="s">
        <v>51039</v>
      </c>
      <c r="W4181" t="s">
        <v>42682</v>
      </c>
      <c r="X4181" t="s">
        <v>45102</v>
      </c>
    </row>
    <row r="4182" spans="1:24">
      <c r="A4182">
        <f>HYPERLINK("https://www.philgeps.gov.ph/GEPSNONPILOT/Tender/SplashBidNoticeAbstractUI.aspx?menuIndex=3&amp;refID=7041895&amp;Result=3","7041895")</f>
        <v>0</v>
      </c>
      <c r="B4182" t="s">
        <v>131</v>
      </c>
      <c r="C4182" t="s">
        <v>7190</v>
      </c>
      <c r="D4182" t="s">
        <v>18022</v>
      </c>
      <c r="E4182" t="s">
        <v>21851</v>
      </c>
      <c r="F4182" t="s">
        <v>31574</v>
      </c>
      <c r="G4182" t="s">
        <v>31581</v>
      </c>
      <c r="H4182" t="s">
        <v>31590</v>
      </c>
      <c r="I4182" t="s">
        <v>14544</v>
      </c>
      <c r="J4182" t="s">
        <v>31930</v>
      </c>
      <c r="K4182" t="s">
        <v>41186</v>
      </c>
      <c r="M4182" t="s">
        <v>42554</v>
      </c>
      <c r="N4182" t="s">
        <v>45095</v>
      </c>
      <c r="O4182" t="s">
        <v>45096</v>
      </c>
      <c r="P4182">
        <v>0</v>
      </c>
      <c r="Q4182">
        <v>1</v>
      </c>
      <c r="R4182" t="s">
        <v>45101</v>
      </c>
      <c r="S4182" t="s">
        <v>45231</v>
      </c>
      <c r="T4182" t="s">
        <v>47183</v>
      </c>
      <c r="U4182" t="s">
        <v>51040</v>
      </c>
      <c r="W4182" t="s">
        <v>42554</v>
      </c>
      <c r="X4182" t="s">
        <v>45102</v>
      </c>
    </row>
    <row r="4183" spans="1:24">
      <c r="A4183">
        <f>HYPERLINK("https://www.philgeps.gov.ph/GEPSNONPILOT/Tender/SplashBidNoticeAbstractUI.aspx?menuIndex=3&amp;refID=7041933&amp;Result=3","7041933")</f>
        <v>0</v>
      </c>
      <c r="B4183" t="s">
        <v>629</v>
      </c>
      <c r="C4183" t="s">
        <v>7191</v>
      </c>
      <c r="D4183" t="s">
        <v>18075</v>
      </c>
      <c r="E4183" t="s">
        <v>18280</v>
      </c>
      <c r="F4183" t="s">
        <v>31574</v>
      </c>
      <c r="G4183" t="s">
        <v>31581</v>
      </c>
      <c r="H4183" t="s">
        <v>31590</v>
      </c>
      <c r="I4183" t="s">
        <v>4046</v>
      </c>
      <c r="J4183" t="s">
        <v>34504</v>
      </c>
      <c r="K4183" t="s">
        <v>41213</v>
      </c>
      <c r="M4183" t="s">
        <v>42133</v>
      </c>
      <c r="N4183" t="s">
        <v>45095</v>
      </c>
      <c r="O4183" t="s">
        <v>45096</v>
      </c>
      <c r="P4183">
        <v>0</v>
      </c>
      <c r="Q4183">
        <v>1</v>
      </c>
      <c r="R4183" t="s">
        <v>45101</v>
      </c>
      <c r="S4183" t="s">
        <v>45231</v>
      </c>
      <c r="T4183" t="s">
        <v>46957</v>
      </c>
      <c r="U4183" t="s">
        <v>51041</v>
      </c>
      <c r="W4183" t="s">
        <v>42133</v>
      </c>
      <c r="X4183" t="s">
        <v>45102</v>
      </c>
    </row>
    <row r="4184" spans="1:24">
      <c r="A4184">
        <f>HYPERLINK("https://www.philgeps.gov.ph/GEPSNONPILOT/Tender/SplashBidNoticeAbstractUI.aspx?menuIndex=3&amp;refID=7041904&amp;Result=3","7041904")</f>
        <v>0</v>
      </c>
      <c r="B4184" t="s">
        <v>164</v>
      </c>
      <c r="C4184" t="s">
        <v>7192</v>
      </c>
      <c r="D4184" t="s">
        <v>18022</v>
      </c>
      <c r="E4184" t="s">
        <v>21852</v>
      </c>
      <c r="F4184" t="s">
        <v>31574</v>
      </c>
      <c r="G4184" t="s">
        <v>31581</v>
      </c>
      <c r="H4184" t="s">
        <v>31590</v>
      </c>
      <c r="I4184" t="s">
        <v>31610</v>
      </c>
      <c r="J4184" t="s">
        <v>32214</v>
      </c>
      <c r="K4184" t="s">
        <v>41196</v>
      </c>
      <c r="M4184" t="s">
        <v>41648</v>
      </c>
      <c r="N4184" t="s">
        <v>45095</v>
      </c>
      <c r="O4184" t="s">
        <v>45096</v>
      </c>
      <c r="P4184">
        <v>0</v>
      </c>
      <c r="Q4184">
        <v>7</v>
      </c>
      <c r="R4184" t="s">
        <v>45101</v>
      </c>
      <c r="S4184" t="s">
        <v>45231</v>
      </c>
      <c r="T4184" t="s">
        <v>46985</v>
      </c>
      <c r="U4184" t="s">
        <v>51042</v>
      </c>
      <c r="W4184" t="s">
        <v>41648</v>
      </c>
      <c r="X4184" t="s">
        <v>45102</v>
      </c>
    </row>
    <row r="4185" spans="1:24">
      <c r="A4185">
        <f>HYPERLINK("https://www.philgeps.gov.ph/GEPSNONPILOT/Tender/SplashBidNoticeAbstractUI.aspx?menuIndex=3&amp;refID=7041900&amp;Result=3","7041900")</f>
        <v>0</v>
      </c>
      <c r="B4185" t="s">
        <v>1386</v>
      </c>
      <c r="C4185" t="s">
        <v>7193</v>
      </c>
      <c r="D4185" t="s">
        <v>18039</v>
      </c>
      <c r="E4185" t="s">
        <v>18273</v>
      </c>
      <c r="F4185" t="s">
        <v>31574</v>
      </c>
      <c r="G4185" t="s">
        <v>31581</v>
      </c>
      <c r="H4185" t="s">
        <v>31590</v>
      </c>
      <c r="I4185" t="s">
        <v>3489</v>
      </c>
      <c r="J4185" t="s">
        <v>32334</v>
      </c>
      <c r="K4185" t="s">
        <v>41184</v>
      </c>
      <c r="M4185" t="s">
        <v>42960</v>
      </c>
      <c r="N4185" t="s">
        <v>45095</v>
      </c>
      <c r="O4185" t="s">
        <v>45096</v>
      </c>
      <c r="P4185">
        <v>0</v>
      </c>
      <c r="Q4185">
        <v>0</v>
      </c>
      <c r="R4185" t="s">
        <v>45101</v>
      </c>
      <c r="S4185" t="s">
        <v>45231</v>
      </c>
      <c r="T4185" t="s">
        <v>47154</v>
      </c>
      <c r="U4185" t="s">
        <v>51043</v>
      </c>
      <c r="W4185" t="s">
        <v>42960</v>
      </c>
      <c r="X4185" t="s">
        <v>45102</v>
      </c>
    </row>
    <row r="4186" spans="1:24">
      <c r="A4186">
        <f>HYPERLINK("https://www.philgeps.gov.ph/GEPSNONPILOT/Tender/SplashBidNoticeAbstractUI.aspx?menuIndex=3&amp;refID=7041952&amp;Result=3","7041952")</f>
        <v>0</v>
      </c>
      <c r="B4186" t="s">
        <v>1376</v>
      </c>
      <c r="C4186" t="s">
        <v>7194</v>
      </c>
      <c r="E4186" t="s">
        <v>21853</v>
      </c>
      <c r="F4186" t="s">
        <v>31574</v>
      </c>
      <c r="G4186" t="s">
        <v>31582</v>
      </c>
      <c r="H4186" t="s">
        <v>31591</v>
      </c>
      <c r="I4186" t="s">
        <v>8822</v>
      </c>
      <c r="J4186" t="s">
        <v>32241</v>
      </c>
      <c r="K4186" t="s">
        <v>41184</v>
      </c>
      <c r="M4186" t="s">
        <v>42950</v>
      </c>
      <c r="N4186" t="s">
        <v>45095</v>
      </c>
      <c r="O4186" t="s">
        <v>45096</v>
      </c>
      <c r="P4186">
        <v>0</v>
      </c>
      <c r="Q4186">
        <v>0</v>
      </c>
      <c r="R4186" t="s">
        <v>45101</v>
      </c>
      <c r="S4186" t="s">
        <v>45231</v>
      </c>
      <c r="T4186" t="s">
        <v>47199</v>
      </c>
      <c r="U4186" t="s">
        <v>51044</v>
      </c>
      <c r="W4186" t="s">
        <v>42950</v>
      </c>
      <c r="X4186" t="s">
        <v>45102</v>
      </c>
    </row>
    <row r="4187" spans="1:24">
      <c r="A4187">
        <f>HYPERLINK("https://www.philgeps.gov.ph/GEPSNONPILOT/Tender/SplashBidNoticeAbstractUI.aspx?menuIndex=3&amp;refID=7041947&amp;Result=3","7041947")</f>
        <v>0</v>
      </c>
      <c r="B4187" t="s">
        <v>1386</v>
      </c>
      <c r="C4187" t="s">
        <v>7195</v>
      </c>
      <c r="D4187" t="s">
        <v>18039</v>
      </c>
      <c r="E4187" t="s">
        <v>18288</v>
      </c>
      <c r="F4187" t="s">
        <v>31574</v>
      </c>
      <c r="G4187" t="s">
        <v>31581</v>
      </c>
      <c r="H4187" t="s">
        <v>31590</v>
      </c>
      <c r="I4187" t="s">
        <v>3489</v>
      </c>
      <c r="J4187" t="s">
        <v>34505</v>
      </c>
      <c r="K4187" t="s">
        <v>41184</v>
      </c>
      <c r="M4187" t="s">
        <v>42960</v>
      </c>
      <c r="N4187" t="s">
        <v>45095</v>
      </c>
      <c r="O4187" t="s">
        <v>45096</v>
      </c>
      <c r="P4187">
        <v>0</v>
      </c>
      <c r="Q4187">
        <v>0</v>
      </c>
      <c r="R4187" t="s">
        <v>45101</v>
      </c>
      <c r="S4187" t="s">
        <v>45231</v>
      </c>
      <c r="T4187" t="s">
        <v>47154</v>
      </c>
      <c r="U4187" t="s">
        <v>51045</v>
      </c>
      <c r="W4187" t="s">
        <v>42960</v>
      </c>
      <c r="X4187" t="s">
        <v>45102</v>
      </c>
    </row>
    <row r="4188" spans="1:24">
      <c r="A4188">
        <f>HYPERLINK("https://www.philgeps.gov.ph/GEPSNONPILOT/Tender/SplashBidNoticeAbstractUI.aspx?menuIndex=3&amp;refID=7041896&amp;Result=3","7041896")</f>
        <v>0</v>
      </c>
      <c r="B4188" t="s">
        <v>352</v>
      </c>
      <c r="C4188" t="s">
        <v>7196</v>
      </c>
      <c r="D4188" t="s">
        <v>18023</v>
      </c>
      <c r="E4188" t="s">
        <v>21854</v>
      </c>
      <c r="F4188" t="s">
        <v>31574</v>
      </c>
      <c r="G4188" t="s">
        <v>31581</v>
      </c>
      <c r="H4188" t="s">
        <v>31590</v>
      </c>
      <c r="I4188" t="s">
        <v>31605</v>
      </c>
      <c r="J4188" t="s">
        <v>34506</v>
      </c>
      <c r="K4188" t="s">
        <v>41196</v>
      </c>
      <c r="M4188" t="s">
        <v>41840</v>
      </c>
      <c r="N4188" t="s">
        <v>45095</v>
      </c>
      <c r="O4188" t="s">
        <v>45096</v>
      </c>
      <c r="P4188">
        <v>0</v>
      </c>
      <c r="Q4188">
        <v>7</v>
      </c>
      <c r="R4188" t="s">
        <v>45101</v>
      </c>
      <c r="S4188" t="s">
        <v>45231</v>
      </c>
      <c r="T4188" t="s">
        <v>46906</v>
      </c>
      <c r="U4188" t="s">
        <v>51046</v>
      </c>
      <c r="W4188" t="s">
        <v>41840</v>
      </c>
      <c r="X4188" t="s">
        <v>45102</v>
      </c>
    </row>
    <row r="4189" spans="1:24">
      <c r="A4189">
        <f>HYPERLINK("https://www.philgeps.gov.ph/GEPSNONPILOT/Tender/SplashBidNoticeAbstractUI.aspx?menuIndex=3&amp;refID=7041945&amp;Result=3","7041945")</f>
        <v>0</v>
      </c>
      <c r="B4189" t="s">
        <v>352</v>
      </c>
      <c r="C4189" t="s">
        <v>7197</v>
      </c>
      <c r="D4189" t="s">
        <v>18023</v>
      </c>
      <c r="E4189" t="s">
        <v>21855</v>
      </c>
      <c r="F4189" t="s">
        <v>31574</v>
      </c>
      <c r="G4189" t="s">
        <v>31581</v>
      </c>
      <c r="H4189" t="s">
        <v>31592</v>
      </c>
      <c r="I4189" t="s">
        <v>31623</v>
      </c>
      <c r="J4189" t="s">
        <v>31789</v>
      </c>
      <c r="K4189" t="s">
        <v>41196</v>
      </c>
      <c r="M4189" t="s">
        <v>41840</v>
      </c>
      <c r="N4189" t="s">
        <v>45095</v>
      </c>
      <c r="O4189" t="s">
        <v>45096</v>
      </c>
      <c r="P4189">
        <v>0</v>
      </c>
      <c r="Q4189">
        <v>4</v>
      </c>
      <c r="R4189" t="s">
        <v>45101</v>
      </c>
      <c r="S4189" t="s">
        <v>45231</v>
      </c>
      <c r="T4189" t="s">
        <v>46930</v>
      </c>
      <c r="U4189" t="s">
        <v>51047</v>
      </c>
      <c r="W4189" t="s">
        <v>41840</v>
      </c>
      <c r="X4189" t="s">
        <v>45102</v>
      </c>
    </row>
    <row r="4190" spans="1:24">
      <c r="A4190">
        <f>HYPERLINK("https://www.philgeps.gov.ph/GEPSNONPILOT/Tender/SplashBidNoticeAbstractUI.aspx?menuIndex=3&amp;refID=7041928&amp;Result=3","7041928")</f>
        <v>0</v>
      </c>
      <c r="B4190" t="s">
        <v>1376</v>
      </c>
      <c r="C4190" t="s">
        <v>7198</v>
      </c>
      <c r="E4190" t="s">
        <v>21856</v>
      </c>
      <c r="F4190" t="s">
        <v>31574</v>
      </c>
      <c r="G4190" t="s">
        <v>31582</v>
      </c>
      <c r="H4190" t="s">
        <v>31591</v>
      </c>
      <c r="I4190" t="s">
        <v>8822</v>
      </c>
      <c r="J4190" t="s">
        <v>31730</v>
      </c>
      <c r="K4190" t="s">
        <v>41184</v>
      </c>
      <c r="M4190" t="s">
        <v>42950</v>
      </c>
      <c r="N4190" t="s">
        <v>45095</v>
      </c>
      <c r="O4190" t="s">
        <v>45096</v>
      </c>
      <c r="P4190">
        <v>0</v>
      </c>
      <c r="Q4190">
        <v>0</v>
      </c>
      <c r="R4190" t="s">
        <v>45101</v>
      </c>
      <c r="S4190" t="s">
        <v>45231</v>
      </c>
      <c r="T4190" t="s">
        <v>47199</v>
      </c>
      <c r="U4190" t="s">
        <v>51044</v>
      </c>
      <c r="W4190" t="s">
        <v>42950</v>
      </c>
      <c r="X4190" t="s">
        <v>45102</v>
      </c>
    </row>
    <row r="4191" spans="1:24">
      <c r="A4191">
        <f>HYPERLINK("https://www.philgeps.gov.ph/GEPSNONPILOT/Tender/SplashBidNoticeAbstractUI.aspx?menuIndex=3&amp;refID=7041941&amp;Result=3","7041941")</f>
        <v>0</v>
      </c>
      <c r="B4191" t="s">
        <v>485</v>
      </c>
      <c r="C4191" t="s">
        <v>7199</v>
      </c>
      <c r="D4191" t="s">
        <v>18048</v>
      </c>
      <c r="E4191" t="s">
        <v>21857</v>
      </c>
      <c r="F4191" t="s">
        <v>31574</v>
      </c>
      <c r="G4191" t="s">
        <v>31585</v>
      </c>
      <c r="H4191" t="s">
        <v>31591</v>
      </c>
      <c r="I4191" t="s">
        <v>8822</v>
      </c>
      <c r="J4191" t="s">
        <v>34507</v>
      </c>
      <c r="K4191" t="s">
        <v>41185</v>
      </c>
      <c r="M4191" t="s">
        <v>43051</v>
      </c>
      <c r="N4191" t="s">
        <v>45095</v>
      </c>
      <c r="O4191" t="s">
        <v>45096</v>
      </c>
      <c r="P4191">
        <v>0</v>
      </c>
      <c r="Q4191">
        <v>1</v>
      </c>
      <c r="R4191" t="s">
        <v>45101</v>
      </c>
      <c r="S4191" t="s">
        <v>45231</v>
      </c>
      <c r="T4191" t="s">
        <v>47067</v>
      </c>
      <c r="U4191" t="s">
        <v>51048</v>
      </c>
      <c r="W4191" t="s">
        <v>43051</v>
      </c>
      <c r="X4191" t="s">
        <v>45102</v>
      </c>
    </row>
    <row r="4192" spans="1:24">
      <c r="A4192">
        <f>HYPERLINK("https://www.philgeps.gov.ph/GEPSNONPILOT/Tender/SplashBidNoticeAbstractUI.aspx?menuIndex=3&amp;refID=7041940&amp;Result=3","7041940")</f>
        <v>0</v>
      </c>
      <c r="B4192" t="s">
        <v>1470</v>
      </c>
      <c r="C4192" t="s">
        <v>7200</v>
      </c>
      <c r="D4192" t="s">
        <v>18065</v>
      </c>
      <c r="E4192" t="s">
        <v>21858</v>
      </c>
      <c r="F4192" t="s">
        <v>31574</v>
      </c>
      <c r="G4192" t="s">
        <v>31584</v>
      </c>
      <c r="H4192" t="s">
        <v>31590</v>
      </c>
      <c r="I4192" t="s">
        <v>8258</v>
      </c>
      <c r="J4192" t="s">
        <v>34508</v>
      </c>
      <c r="K4192" t="s">
        <v>41190</v>
      </c>
      <c r="M4192" t="s">
        <v>43052</v>
      </c>
      <c r="N4192" t="s">
        <v>45095</v>
      </c>
      <c r="O4192" t="s">
        <v>45096</v>
      </c>
      <c r="P4192">
        <v>0</v>
      </c>
      <c r="Q4192">
        <v>13</v>
      </c>
      <c r="R4192" t="s">
        <v>45101</v>
      </c>
      <c r="S4192" t="s">
        <v>45231</v>
      </c>
      <c r="T4192" t="s">
        <v>46973</v>
      </c>
      <c r="U4192" t="s">
        <v>51049</v>
      </c>
      <c r="W4192" t="s">
        <v>61703</v>
      </c>
      <c r="X4192" t="s">
        <v>45102</v>
      </c>
    </row>
    <row r="4193" spans="1:24">
      <c r="A4193">
        <f>HYPERLINK("https://www.philgeps.gov.ph/GEPSNONPILOT/Tender/SplashBidNoticeAbstractUI.aspx?menuIndex=3&amp;refID=7041906&amp;Result=3","7041906")</f>
        <v>0</v>
      </c>
      <c r="B4193" t="s">
        <v>407</v>
      </c>
      <c r="C4193" t="s">
        <v>7201</v>
      </c>
      <c r="D4193" t="s">
        <v>18036</v>
      </c>
      <c r="E4193" t="s">
        <v>19792</v>
      </c>
      <c r="F4193" t="s">
        <v>31574</v>
      </c>
      <c r="G4193" t="s">
        <v>31582</v>
      </c>
      <c r="H4193" t="s">
        <v>31593</v>
      </c>
      <c r="I4193" t="s">
        <v>31659</v>
      </c>
      <c r="J4193" t="s">
        <v>34509</v>
      </c>
      <c r="K4193" t="s">
        <v>41196</v>
      </c>
      <c r="M4193" t="s">
        <v>41898</v>
      </c>
      <c r="N4193" t="s">
        <v>45095</v>
      </c>
      <c r="O4193" t="s">
        <v>45096</v>
      </c>
      <c r="P4193">
        <v>0</v>
      </c>
      <c r="Q4193">
        <v>3</v>
      </c>
      <c r="R4193" t="s">
        <v>45101</v>
      </c>
      <c r="S4193" t="s">
        <v>45231</v>
      </c>
      <c r="T4193" t="s">
        <v>46911</v>
      </c>
      <c r="U4193" t="s">
        <v>51050</v>
      </c>
      <c r="W4193" t="s">
        <v>41898</v>
      </c>
      <c r="X4193" t="s">
        <v>45102</v>
      </c>
    </row>
    <row r="4194" spans="1:24">
      <c r="A4194">
        <f>HYPERLINK("https://www.philgeps.gov.ph/GEPSNONPILOT/Tender/SplashBidNoticeAbstractUI.aspx?menuIndex=3&amp;refID=7041959&amp;Result=3","7041959")</f>
        <v>0</v>
      </c>
      <c r="B4194" t="s">
        <v>1471</v>
      </c>
      <c r="C4194" t="s">
        <v>7202</v>
      </c>
      <c r="D4194" t="s">
        <v>18041</v>
      </c>
      <c r="E4194" t="s">
        <v>21859</v>
      </c>
      <c r="F4194" t="s">
        <v>31574</v>
      </c>
      <c r="G4194" t="s">
        <v>31581</v>
      </c>
      <c r="H4194" t="s">
        <v>31590</v>
      </c>
      <c r="I4194" t="s">
        <v>31602</v>
      </c>
      <c r="J4194" t="s">
        <v>34510</v>
      </c>
      <c r="K4194" t="s">
        <v>41196</v>
      </c>
      <c r="M4194" t="s">
        <v>43053</v>
      </c>
      <c r="N4194" t="s">
        <v>45095</v>
      </c>
      <c r="O4194" t="s">
        <v>45096</v>
      </c>
      <c r="P4194">
        <v>0</v>
      </c>
      <c r="Q4194">
        <v>0</v>
      </c>
      <c r="R4194" t="s">
        <v>45101</v>
      </c>
      <c r="S4194" t="s">
        <v>45231</v>
      </c>
      <c r="T4194" t="s">
        <v>47212</v>
      </c>
      <c r="U4194" t="s">
        <v>51051</v>
      </c>
      <c r="W4194" t="s">
        <v>43053</v>
      </c>
      <c r="X4194" t="s">
        <v>45102</v>
      </c>
    </row>
    <row r="4195" spans="1:24">
      <c r="A4195">
        <f>HYPERLINK("https://www.philgeps.gov.ph/GEPSNONPILOT/Tender/SplashBidNoticeAbstractUI.aspx?menuIndex=3&amp;refID=7041955&amp;Result=3","7041955")</f>
        <v>0</v>
      </c>
      <c r="B4195" t="s">
        <v>1443</v>
      </c>
      <c r="C4195" t="s">
        <v>7203</v>
      </c>
      <c r="D4195" t="s">
        <v>18074</v>
      </c>
      <c r="E4195" t="s">
        <v>21860</v>
      </c>
      <c r="F4195" t="s">
        <v>31574</v>
      </c>
      <c r="G4195" t="s">
        <v>31581</v>
      </c>
      <c r="H4195" t="s">
        <v>31590</v>
      </c>
      <c r="I4195" t="s">
        <v>4046</v>
      </c>
      <c r="J4195" t="s">
        <v>34511</v>
      </c>
      <c r="K4195" t="s">
        <v>41190</v>
      </c>
      <c r="M4195" t="s">
        <v>43020</v>
      </c>
      <c r="N4195" t="s">
        <v>45095</v>
      </c>
      <c r="O4195" t="s">
        <v>45096</v>
      </c>
      <c r="P4195">
        <v>0</v>
      </c>
      <c r="Q4195">
        <v>1</v>
      </c>
      <c r="R4195" t="s">
        <v>45101</v>
      </c>
      <c r="S4195" t="s">
        <v>45231</v>
      </c>
      <c r="T4195" t="s">
        <v>46913</v>
      </c>
      <c r="U4195" t="s">
        <v>51052</v>
      </c>
      <c r="V4195" t="s">
        <v>60278</v>
      </c>
      <c r="W4195" t="s">
        <v>43020</v>
      </c>
      <c r="X4195" t="s">
        <v>45102</v>
      </c>
    </row>
    <row r="4196" spans="1:24">
      <c r="A4196">
        <f>HYPERLINK("https://www.philgeps.gov.ph/GEPSNONPILOT/Tender/SplashBidNoticeAbstractUI.aspx?menuIndex=3&amp;refID=7041960&amp;Result=3","7041960")</f>
        <v>0</v>
      </c>
      <c r="B4196" t="s">
        <v>172</v>
      </c>
      <c r="C4196" t="s">
        <v>7204</v>
      </c>
      <c r="D4196" t="s">
        <v>18022</v>
      </c>
      <c r="E4196" t="s">
        <v>21861</v>
      </c>
      <c r="F4196" t="s">
        <v>31574</v>
      </c>
      <c r="G4196" t="s">
        <v>31581</v>
      </c>
      <c r="H4196" t="s">
        <v>31590</v>
      </c>
      <c r="I4196" t="s">
        <v>6800</v>
      </c>
      <c r="J4196" t="s">
        <v>33959</v>
      </c>
      <c r="K4196" t="s">
        <v>41184</v>
      </c>
      <c r="M4196" t="s">
        <v>41656</v>
      </c>
      <c r="N4196" t="s">
        <v>45095</v>
      </c>
      <c r="O4196" t="s">
        <v>45096</v>
      </c>
      <c r="P4196">
        <v>0</v>
      </c>
      <c r="Q4196">
        <v>9</v>
      </c>
      <c r="R4196" t="s">
        <v>45101</v>
      </c>
      <c r="S4196" t="s">
        <v>45231</v>
      </c>
      <c r="T4196" t="s">
        <v>47213</v>
      </c>
      <c r="U4196" t="s">
        <v>51053</v>
      </c>
      <c r="W4196" t="s">
        <v>41656</v>
      </c>
      <c r="X4196" t="s">
        <v>45102</v>
      </c>
    </row>
    <row r="4197" spans="1:24">
      <c r="A4197">
        <f>HYPERLINK("https://www.philgeps.gov.ph/GEPSNONPILOT/Tender/SplashBidNoticeAbstractUI.aspx?menuIndex=3&amp;refID=7041923&amp;Result=3","7041923")</f>
        <v>0</v>
      </c>
      <c r="B4197" t="s">
        <v>352</v>
      </c>
      <c r="C4197" t="s">
        <v>7205</v>
      </c>
      <c r="D4197" t="s">
        <v>18023</v>
      </c>
      <c r="E4197" t="s">
        <v>21862</v>
      </c>
      <c r="F4197" t="s">
        <v>31574</v>
      </c>
      <c r="G4197" t="s">
        <v>31581</v>
      </c>
      <c r="H4197" t="s">
        <v>31590</v>
      </c>
      <c r="I4197" t="s">
        <v>31597</v>
      </c>
      <c r="J4197" t="s">
        <v>31782</v>
      </c>
      <c r="K4197" t="s">
        <v>41196</v>
      </c>
      <c r="M4197" t="s">
        <v>41840</v>
      </c>
      <c r="N4197" t="s">
        <v>45095</v>
      </c>
      <c r="O4197" t="s">
        <v>45096</v>
      </c>
      <c r="P4197">
        <v>0</v>
      </c>
      <c r="Q4197">
        <v>3</v>
      </c>
      <c r="R4197" t="s">
        <v>45101</v>
      </c>
      <c r="S4197" t="s">
        <v>45231</v>
      </c>
      <c r="T4197" t="s">
        <v>46906</v>
      </c>
      <c r="U4197" t="s">
        <v>51054</v>
      </c>
      <c r="W4197" t="s">
        <v>41840</v>
      </c>
      <c r="X4197" t="s">
        <v>45102</v>
      </c>
    </row>
    <row r="4198" spans="1:24">
      <c r="A4198">
        <f>HYPERLINK("https://www.philgeps.gov.ph/GEPSNONPILOT/Tender/SplashBidNoticeAbstractUI.aspx?menuIndex=3&amp;refID=7041937&amp;Result=3","7041937")</f>
        <v>0</v>
      </c>
      <c r="B4198" t="s">
        <v>1472</v>
      </c>
      <c r="C4198" t="s">
        <v>7206</v>
      </c>
      <c r="D4198" t="s">
        <v>18040</v>
      </c>
      <c r="E4198" t="s">
        <v>21863</v>
      </c>
      <c r="F4198" t="s">
        <v>31574</v>
      </c>
      <c r="G4198" t="s">
        <v>31581</v>
      </c>
      <c r="H4198" t="s">
        <v>31590</v>
      </c>
      <c r="I4198" t="s">
        <v>4327</v>
      </c>
      <c r="J4198" t="s">
        <v>34512</v>
      </c>
      <c r="K4198" t="s">
        <v>41186</v>
      </c>
      <c r="M4198" t="s">
        <v>43054</v>
      </c>
      <c r="N4198" t="s">
        <v>45095</v>
      </c>
      <c r="O4198" t="s">
        <v>45096</v>
      </c>
      <c r="P4198">
        <v>0</v>
      </c>
      <c r="Q4198">
        <v>2</v>
      </c>
      <c r="R4198" t="s">
        <v>45101</v>
      </c>
      <c r="S4198" t="s">
        <v>45231</v>
      </c>
      <c r="T4198" t="s">
        <v>47159</v>
      </c>
      <c r="U4198" t="s">
        <v>51055</v>
      </c>
      <c r="W4198" t="s">
        <v>43054</v>
      </c>
      <c r="X4198" t="s">
        <v>45102</v>
      </c>
    </row>
    <row r="4199" spans="1:24">
      <c r="A4199">
        <f>HYPERLINK("https://www.philgeps.gov.ph/GEPSNONPILOT/Tender/SplashBidNoticeAbstractUI.aspx?menuIndex=3&amp;refID=7041920&amp;Result=3","7041920")</f>
        <v>0</v>
      </c>
      <c r="B4199" t="s">
        <v>1473</v>
      </c>
      <c r="C4199" t="s">
        <v>6703</v>
      </c>
      <c r="D4199" t="s">
        <v>18064</v>
      </c>
      <c r="E4199" t="s">
        <v>21864</v>
      </c>
      <c r="F4199" t="s">
        <v>31574</v>
      </c>
      <c r="G4199" t="s">
        <v>31582</v>
      </c>
      <c r="H4199" t="s">
        <v>31591</v>
      </c>
      <c r="I4199" t="s">
        <v>8822</v>
      </c>
      <c r="J4199" t="s">
        <v>31947</v>
      </c>
      <c r="K4199" t="s">
        <v>41282</v>
      </c>
      <c r="M4199" t="s">
        <v>43055</v>
      </c>
      <c r="N4199" t="s">
        <v>45095</v>
      </c>
      <c r="O4199" t="s">
        <v>45096</v>
      </c>
      <c r="P4199">
        <v>0</v>
      </c>
      <c r="Q4199">
        <v>0</v>
      </c>
      <c r="R4199" t="s">
        <v>45101</v>
      </c>
      <c r="S4199" t="s">
        <v>45231</v>
      </c>
      <c r="T4199" t="s">
        <v>46918</v>
      </c>
      <c r="U4199" t="s">
        <v>51056</v>
      </c>
      <c r="W4199" t="s">
        <v>43055</v>
      </c>
      <c r="X4199" t="s">
        <v>45102</v>
      </c>
    </row>
    <row r="4200" spans="1:24">
      <c r="A4200">
        <f>HYPERLINK("https://www.philgeps.gov.ph/GEPSNONPILOT/Tender/SplashBidNoticeAbstractUI.aspx?menuIndex=3&amp;refID=7041967&amp;Result=3","7041967")</f>
        <v>0</v>
      </c>
      <c r="B4200" t="s">
        <v>1474</v>
      </c>
      <c r="C4200" t="s">
        <v>7207</v>
      </c>
      <c r="D4200" t="s">
        <v>18060</v>
      </c>
      <c r="E4200" t="s">
        <v>21865</v>
      </c>
      <c r="F4200" t="s">
        <v>31574</v>
      </c>
      <c r="G4200" t="s">
        <v>31581</v>
      </c>
      <c r="H4200" t="s">
        <v>31590</v>
      </c>
      <c r="I4200" t="s">
        <v>31638</v>
      </c>
      <c r="J4200" t="s">
        <v>31964</v>
      </c>
      <c r="K4200" t="s">
        <v>41186</v>
      </c>
      <c r="M4200" t="s">
        <v>43056</v>
      </c>
      <c r="N4200" t="s">
        <v>45095</v>
      </c>
      <c r="O4200" t="s">
        <v>45096</v>
      </c>
      <c r="P4200">
        <v>0</v>
      </c>
      <c r="Q4200">
        <v>3</v>
      </c>
      <c r="R4200" t="s">
        <v>45101</v>
      </c>
      <c r="S4200" t="s">
        <v>45231</v>
      </c>
      <c r="T4200" t="s">
        <v>47106</v>
      </c>
      <c r="U4200" t="s">
        <v>51057</v>
      </c>
      <c r="W4200" t="s">
        <v>43056</v>
      </c>
      <c r="X4200" t="s">
        <v>45102</v>
      </c>
    </row>
    <row r="4201" spans="1:24">
      <c r="A4201">
        <f>HYPERLINK("https://www.philgeps.gov.ph/GEPSNONPILOT/Tender/SplashBidNoticeAbstractUI.aspx?menuIndex=3&amp;refID=7041907&amp;Result=3","7041907")</f>
        <v>0</v>
      </c>
      <c r="B4201" t="s">
        <v>1475</v>
      </c>
      <c r="C4201" t="s">
        <v>7208</v>
      </c>
      <c r="E4201" t="s">
        <v>18175</v>
      </c>
      <c r="F4201" t="s">
        <v>31574</v>
      </c>
      <c r="G4201" t="s">
        <v>31582</v>
      </c>
      <c r="H4201" t="s">
        <v>31591</v>
      </c>
      <c r="I4201" t="s">
        <v>8822</v>
      </c>
      <c r="J4201" t="s">
        <v>34513</v>
      </c>
      <c r="K4201" t="s">
        <v>41184</v>
      </c>
      <c r="M4201" t="s">
        <v>43057</v>
      </c>
      <c r="N4201" t="s">
        <v>45095</v>
      </c>
      <c r="O4201" t="s">
        <v>45096</v>
      </c>
      <c r="P4201">
        <v>0</v>
      </c>
      <c r="Q4201">
        <v>1</v>
      </c>
      <c r="R4201" t="s">
        <v>45101</v>
      </c>
      <c r="S4201" t="s">
        <v>45231</v>
      </c>
      <c r="T4201" t="s">
        <v>47196</v>
      </c>
      <c r="U4201" t="s">
        <v>51058</v>
      </c>
      <c r="W4201" t="s">
        <v>43057</v>
      </c>
      <c r="X4201" t="s">
        <v>45102</v>
      </c>
    </row>
    <row r="4202" spans="1:24">
      <c r="A4202">
        <f>HYPERLINK("https://www.philgeps.gov.ph/GEPSNONPILOT/Tender/SplashBidNoticeAbstractUI.aspx?menuIndex=3&amp;refID=7041962&amp;Result=3","7041962")</f>
        <v>0</v>
      </c>
      <c r="B4202" t="s">
        <v>1443</v>
      </c>
      <c r="C4202" t="s">
        <v>7209</v>
      </c>
      <c r="D4202" t="s">
        <v>18074</v>
      </c>
      <c r="E4202" t="s">
        <v>21866</v>
      </c>
      <c r="F4202" t="s">
        <v>31574</v>
      </c>
      <c r="G4202" t="s">
        <v>31581</v>
      </c>
      <c r="H4202" t="s">
        <v>31590</v>
      </c>
      <c r="I4202" t="s">
        <v>4046</v>
      </c>
      <c r="J4202" t="s">
        <v>34511</v>
      </c>
      <c r="K4202" t="s">
        <v>41190</v>
      </c>
      <c r="M4202" t="s">
        <v>43020</v>
      </c>
      <c r="N4202" t="s">
        <v>45095</v>
      </c>
      <c r="O4202" t="s">
        <v>45096</v>
      </c>
      <c r="P4202">
        <v>0</v>
      </c>
      <c r="Q4202">
        <v>2</v>
      </c>
      <c r="R4202" t="s">
        <v>45101</v>
      </c>
      <c r="S4202" t="s">
        <v>45231</v>
      </c>
      <c r="T4202" t="s">
        <v>46913</v>
      </c>
      <c r="U4202" t="s">
        <v>51052</v>
      </c>
      <c r="V4202" t="s">
        <v>60279</v>
      </c>
      <c r="W4202" t="s">
        <v>43020</v>
      </c>
      <c r="X4202" t="s">
        <v>45102</v>
      </c>
    </row>
    <row r="4203" spans="1:24">
      <c r="A4203">
        <f>HYPERLINK("https://www.philgeps.gov.ph/GEPSNONPILOT/Tender/SplashBidNoticeAbstractUI.aspx?menuIndex=3&amp;refID=7041970&amp;Result=3","7041970")</f>
        <v>0</v>
      </c>
      <c r="B4203" t="s">
        <v>1476</v>
      </c>
      <c r="C4203" t="s">
        <v>7210</v>
      </c>
      <c r="D4203" t="s">
        <v>18022</v>
      </c>
      <c r="E4203" t="s">
        <v>21867</v>
      </c>
      <c r="F4203" t="s">
        <v>31574</v>
      </c>
      <c r="G4203" t="s">
        <v>31581</v>
      </c>
      <c r="H4203" t="s">
        <v>31593</v>
      </c>
      <c r="I4203" t="s">
        <v>31593</v>
      </c>
      <c r="J4203" t="s">
        <v>31947</v>
      </c>
      <c r="K4203" t="s">
        <v>41216</v>
      </c>
      <c r="M4203" t="s">
        <v>43058</v>
      </c>
      <c r="N4203" t="s">
        <v>45095</v>
      </c>
      <c r="O4203" t="s">
        <v>45096</v>
      </c>
      <c r="P4203">
        <v>0</v>
      </c>
      <c r="Q4203">
        <v>2</v>
      </c>
      <c r="R4203" t="s">
        <v>45101</v>
      </c>
      <c r="S4203" t="s">
        <v>45231</v>
      </c>
      <c r="T4203" t="s">
        <v>47058</v>
      </c>
      <c r="U4203" t="s">
        <v>51059</v>
      </c>
      <c r="W4203" t="s">
        <v>43058</v>
      </c>
      <c r="X4203" t="s">
        <v>45102</v>
      </c>
    </row>
    <row r="4204" spans="1:24">
      <c r="A4204">
        <f>HYPERLINK("https://www.philgeps.gov.ph/GEPSNONPILOT/Tender/SplashBidNoticeAbstractUI.aspx?menuIndex=3&amp;refID=7041965&amp;Result=3","7041965")</f>
        <v>0</v>
      </c>
      <c r="B4204" t="s">
        <v>1477</v>
      </c>
      <c r="C4204" t="s">
        <v>7211</v>
      </c>
      <c r="D4204" t="s">
        <v>18075</v>
      </c>
      <c r="E4204" t="s">
        <v>21868</v>
      </c>
      <c r="F4204" t="s">
        <v>31574</v>
      </c>
      <c r="G4204" t="s">
        <v>31581</v>
      </c>
      <c r="H4204" t="s">
        <v>31590</v>
      </c>
      <c r="I4204" t="s">
        <v>31640</v>
      </c>
      <c r="J4204" t="s">
        <v>34514</v>
      </c>
      <c r="K4204" t="s">
        <v>41192</v>
      </c>
      <c r="M4204" t="s">
        <v>43059</v>
      </c>
      <c r="N4204" t="s">
        <v>45095</v>
      </c>
      <c r="O4204" t="s">
        <v>45096</v>
      </c>
      <c r="P4204">
        <v>0</v>
      </c>
      <c r="Q4204">
        <v>3</v>
      </c>
      <c r="R4204" t="s">
        <v>45101</v>
      </c>
      <c r="S4204" t="s">
        <v>45231</v>
      </c>
      <c r="T4204" t="s">
        <v>46985</v>
      </c>
      <c r="U4204" t="s">
        <v>51060</v>
      </c>
      <c r="W4204" t="s">
        <v>43059</v>
      </c>
      <c r="X4204" t="s">
        <v>45102</v>
      </c>
    </row>
    <row r="4205" spans="1:24">
      <c r="A4205">
        <f>HYPERLINK("https://www.philgeps.gov.ph/GEPSNONPILOT/Tender/SplashBidNoticeAbstractUI.aspx?menuIndex=3&amp;refID=7041921&amp;Result=3","7041921")</f>
        <v>0</v>
      </c>
      <c r="B4205" t="s">
        <v>1447</v>
      </c>
      <c r="C4205" t="s">
        <v>7187</v>
      </c>
      <c r="D4205" t="s">
        <v>18022</v>
      </c>
      <c r="E4205" t="s">
        <v>21869</v>
      </c>
      <c r="F4205" t="s">
        <v>31574</v>
      </c>
      <c r="G4205" t="s">
        <v>31583</v>
      </c>
      <c r="H4205" t="s">
        <v>31592</v>
      </c>
      <c r="I4205" t="s">
        <v>31656</v>
      </c>
      <c r="J4205" t="s">
        <v>34503</v>
      </c>
      <c r="K4205" t="s">
        <v>41196</v>
      </c>
      <c r="M4205" t="s">
        <v>43026</v>
      </c>
      <c r="N4205" t="s">
        <v>45095</v>
      </c>
      <c r="O4205" t="s">
        <v>45096</v>
      </c>
      <c r="P4205">
        <v>0</v>
      </c>
      <c r="Q4205">
        <v>1</v>
      </c>
      <c r="R4205" t="s">
        <v>45101</v>
      </c>
      <c r="S4205" t="s">
        <v>45231</v>
      </c>
      <c r="T4205" t="s">
        <v>47191</v>
      </c>
      <c r="U4205" t="s">
        <v>51061</v>
      </c>
      <c r="W4205" t="s">
        <v>43026</v>
      </c>
      <c r="X4205" t="s">
        <v>45102</v>
      </c>
    </row>
    <row r="4206" spans="1:24">
      <c r="A4206">
        <f>HYPERLINK("https://www.philgeps.gov.ph/GEPSNONPILOT/Tender/SplashBidNoticeAbstractUI.aspx?menuIndex=3&amp;refID=7041975&amp;Result=3","7041975")</f>
        <v>0</v>
      </c>
      <c r="B4206" t="s">
        <v>1376</v>
      </c>
      <c r="C4206" t="s">
        <v>7212</v>
      </c>
      <c r="E4206" t="s">
        <v>21870</v>
      </c>
      <c r="F4206" t="s">
        <v>31574</v>
      </c>
      <c r="G4206" t="s">
        <v>31582</v>
      </c>
      <c r="H4206" t="s">
        <v>31591</v>
      </c>
      <c r="I4206" t="s">
        <v>8822</v>
      </c>
      <c r="J4206" t="s">
        <v>32241</v>
      </c>
      <c r="K4206" t="s">
        <v>41184</v>
      </c>
      <c r="M4206" t="s">
        <v>42950</v>
      </c>
      <c r="N4206" t="s">
        <v>45095</v>
      </c>
      <c r="O4206" t="s">
        <v>45096</v>
      </c>
      <c r="P4206">
        <v>0</v>
      </c>
      <c r="Q4206">
        <v>0</v>
      </c>
      <c r="R4206" t="s">
        <v>45101</v>
      </c>
      <c r="S4206" t="s">
        <v>45231</v>
      </c>
      <c r="T4206" t="s">
        <v>47199</v>
      </c>
      <c r="U4206" t="s">
        <v>51044</v>
      </c>
      <c r="W4206" t="s">
        <v>42950</v>
      </c>
      <c r="X4206" t="s">
        <v>45102</v>
      </c>
    </row>
    <row r="4207" spans="1:24">
      <c r="A4207">
        <f>HYPERLINK("https://www.philgeps.gov.ph/GEPSNONPILOT/Tender/SplashBidNoticeAbstractUI.aspx?menuIndex=3&amp;refID=7041966&amp;Result=3","7041966")</f>
        <v>0</v>
      </c>
      <c r="B4207" t="s">
        <v>283</v>
      </c>
      <c r="C4207" t="s">
        <v>7213</v>
      </c>
      <c r="D4207" t="s">
        <v>18036</v>
      </c>
      <c r="E4207" t="s">
        <v>21871</v>
      </c>
      <c r="F4207" t="s">
        <v>31574</v>
      </c>
      <c r="G4207" t="s">
        <v>31582</v>
      </c>
      <c r="H4207" t="s">
        <v>31590</v>
      </c>
      <c r="I4207" t="s">
        <v>31608</v>
      </c>
      <c r="J4207" t="s">
        <v>32742</v>
      </c>
      <c r="K4207" t="s">
        <v>41186</v>
      </c>
      <c r="M4207" t="s">
        <v>43060</v>
      </c>
      <c r="N4207" t="s">
        <v>45095</v>
      </c>
      <c r="O4207" t="s">
        <v>45096</v>
      </c>
      <c r="P4207">
        <v>0</v>
      </c>
      <c r="Q4207">
        <v>4</v>
      </c>
      <c r="R4207" t="s">
        <v>45101</v>
      </c>
      <c r="S4207" t="s">
        <v>45231</v>
      </c>
      <c r="T4207" t="s">
        <v>47028</v>
      </c>
      <c r="U4207" t="s">
        <v>51062</v>
      </c>
      <c r="V4207" t="s">
        <v>60280</v>
      </c>
      <c r="W4207" t="s">
        <v>43060</v>
      </c>
      <c r="X4207" t="s">
        <v>45102</v>
      </c>
    </row>
    <row r="4208" spans="1:24">
      <c r="A4208">
        <f>HYPERLINK("https://www.philgeps.gov.ph/GEPSNONPILOT/Tender/SplashBidNoticeAbstractUI.aspx?menuIndex=3&amp;refID=7041968&amp;Result=3","7041968")</f>
        <v>0</v>
      </c>
      <c r="B4208" t="s">
        <v>1478</v>
      </c>
      <c r="C4208" t="s">
        <v>7214</v>
      </c>
      <c r="D4208" t="s">
        <v>18076</v>
      </c>
      <c r="E4208" t="s">
        <v>21872</v>
      </c>
      <c r="F4208" t="s">
        <v>31574</v>
      </c>
      <c r="G4208" t="s">
        <v>31582</v>
      </c>
      <c r="H4208" t="s">
        <v>31590</v>
      </c>
      <c r="I4208" t="s">
        <v>4046</v>
      </c>
      <c r="J4208" t="s">
        <v>34515</v>
      </c>
      <c r="K4208" t="s">
        <v>41185</v>
      </c>
      <c r="M4208" t="s">
        <v>43061</v>
      </c>
      <c r="N4208" t="s">
        <v>45095</v>
      </c>
      <c r="O4208" t="s">
        <v>45096</v>
      </c>
      <c r="P4208">
        <v>0</v>
      </c>
      <c r="Q4208">
        <v>1</v>
      </c>
      <c r="R4208" t="s">
        <v>45101</v>
      </c>
      <c r="S4208" t="s">
        <v>45231</v>
      </c>
      <c r="T4208" t="s">
        <v>46962</v>
      </c>
      <c r="U4208" t="s">
        <v>51063</v>
      </c>
      <c r="W4208" t="s">
        <v>43061</v>
      </c>
      <c r="X4208" t="s">
        <v>45102</v>
      </c>
    </row>
    <row r="4209" spans="1:24">
      <c r="A4209">
        <f>HYPERLINK("https://www.philgeps.gov.ph/GEPSNONPILOT/Tender/SplashBidNoticeAbstractUI.aspx?menuIndex=3&amp;refID=7041971&amp;Result=3","7041971")</f>
        <v>0</v>
      </c>
      <c r="B4209" t="s">
        <v>299</v>
      </c>
      <c r="C4209" t="s">
        <v>7215</v>
      </c>
      <c r="D4209" t="s">
        <v>18081</v>
      </c>
      <c r="E4209" t="s">
        <v>21873</v>
      </c>
      <c r="F4209" t="s">
        <v>31574</v>
      </c>
      <c r="G4209" t="s">
        <v>31581</v>
      </c>
      <c r="H4209" t="s">
        <v>31590</v>
      </c>
      <c r="I4209" t="s">
        <v>31612</v>
      </c>
      <c r="J4209" t="s">
        <v>34516</v>
      </c>
      <c r="K4209" t="s">
        <v>41196</v>
      </c>
      <c r="M4209" t="s">
        <v>41785</v>
      </c>
      <c r="N4209" t="s">
        <v>45095</v>
      </c>
      <c r="O4209" t="s">
        <v>45096</v>
      </c>
      <c r="P4209">
        <v>0</v>
      </c>
      <c r="Q4209">
        <v>0</v>
      </c>
      <c r="R4209" t="s">
        <v>45101</v>
      </c>
      <c r="S4209" t="s">
        <v>45231</v>
      </c>
      <c r="T4209" t="s">
        <v>47064</v>
      </c>
      <c r="U4209" t="s">
        <v>51064</v>
      </c>
      <c r="W4209" t="s">
        <v>41785</v>
      </c>
      <c r="X4209" t="s">
        <v>45102</v>
      </c>
    </row>
    <row r="4210" spans="1:24">
      <c r="A4210">
        <f>HYPERLINK("https://www.philgeps.gov.ph/GEPSNONPILOT/Tender/SplashBidNoticeAbstractUI.aspx?menuIndex=3&amp;refID=7041974&amp;Result=3","7041974")</f>
        <v>0</v>
      </c>
      <c r="B4210" t="s">
        <v>1479</v>
      </c>
      <c r="C4210" t="s">
        <v>7216</v>
      </c>
      <c r="D4210" t="s">
        <v>18022</v>
      </c>
      <c r="E4210" t="s">
        <v>21874</v>
      </c>
      <c r="F4210" t="s">
        <v>31574</v>
      </c>
      <c r="G4210" t="s">
        <v>31582</v>
      </c>
      <c r="H4210" t="s">
        <v>31591</v>
      </c>
      <c r="I4210" t="s">
        <v>8822</v>
      </c>
      <c r="J4210" t="s">
        <v>34517</v>
      </c>
      <c r="K4210" t="s">
        <v>41200</v>
      </c>
      <c r="M4210" t="s">
        <v>43062</v>
      </c>
      <c r="N4210" t="s">
        <v>45095</v>
      </c>
      <c r="O4210" t="s">
        <v>45096</v>
      </c>
      <c r="P4210">
        <v>0</v>
      </c>
      <c r="Q4210">
        <v>2</v>
      </c>
      <c r="R4210" t="s">
        <v>45101</v>
      </c>
      <c r="S4210" t="s">
        <v>45231</v>
      </c>
      <c r="T4210" t="s">
        <v>47004</v>
      </c>
      <c r="U4210" t="s">
        <v>49674</v>
      </c>
      <c r="W4210" t="s">
        <v>43062</v>
      </c>
      <c r="X4210" t="s">
        <v>45102</v>
      </c>
    </row>
    <row r="4211" spans="1:24">
      <c r="A4211">
        <f>HYPERLINK("https://www.philgeps.gov.ph/GEPSNONPILOT/Tender/SplashBidNoticeAbstractUI.aspx?menuIndex=3&amp;refID=7041977&amp;Result=3","7041977")</f>
        <v>0</v>
      </c>
      <c r="B4211" t="s">
        <v>1443</v>
      </c>
      <c r="C4211" t="s">
        <v>7217</v>
      </c>
      <c r="D4211" t="s">
        <v>18074</v>
      </c>
      <c r="E4211" t="s">
        <v>21875</v>
      </c>
      <c r="F4211" t="s">
        <v>31574</v>
      </c>
      <c r="G4211" t="s">
        <v>31581</v>
      </c>
      <c r="H4211" t="s">
        <v>31590</v>
      </c>
      <c r="I4211" t="s">
        <v>4046</v>
      </c>
      <c r="J4211" t="s">
        <v>34518</v>
      </c>
      <c r="K4211" t="s">
        <v>41190</v>
      </c>
      <c r="M4211" t="s">
        <v>43020</v>
      </c>
      <c r="N4211" t="s">
        <v>45095</v>
      </c>
      <c r="O4211" t="s">
        <v>45096</v>
      </c>
      <c r="P4211">
        <v>0</v>
      </c>
      <c r="Q4211">
        <v>0</v>
      </c>
      <c r="R4211" t="s">
        <v>45101</v>
      </c>
      <c r="S4211" t="s">
        <v>45231</v>
      </c>
      <c r="T4211" t="s">
        <v>46913</v>
      </c>
      <c r="U4211" t="s">
        <v>51052</v>
      </c>
      <c r="V4211" t="s">
        <v>60281</v>
      </c>
      <c r="W4211" t="s">
        <v>43020</v>
      </c>
      <c r="X4211" t="s">
        <v>45102</v>
      </c>
    </row>
    <row r="4212" spans="1:24">
      <c r="A4212">
        <f>HYPERLINK("https://www.philgeps.gov.ph/GEPSNONPILOT/Tender/SplashBidNoticeAbstractUI.aspx?menuIndex=3&amp;refID=7041944&amp;Result=3","7041944")</f>
        <v>0</v>
      </c>
      <c r="B4212" t="s">
        <v>1443</v>
      </c>
      <c r="C4212" t="s">
        <v>7218</v>
      </c>
      <c r="D4212" t="s">
        <v>18074</v>
      </c>
      <c r="E4212" t="s">
        <v>21876</v>
      </c>
      <c r="F4212" t="s">
        <v>31574</v>
      </c>
      <c r="G4212" t="s">
        <v>31581</v>
      </c>
      <c r="H4212" t="s">
        <v>31590</v>
      </c>
      <c r="I4212" t="s">
        <v>31623</v>
      </c>
      <c r="J4212" t="s">
        <v>34469</v>
      </c>
      <c r="K4212" t="s">
        <v>41196</v>
      </c>
      <c r="M4212" t="s">
        <v>43020</v>
      </c>
      <c r="N4212" t="s">
        <v>45095</v>
      </c>
      <c r="O4212" t="s">
        <v>45096</v>
      </c>
      <c r="P4212">
        <v>0</v>
      </c>
      <c r="Q4212">
        <v>0</v>
      </c>
      <c r="R4212" t="s">
        <v>45101</v>
      </c>
      <c r="S4212" t="s">
        <v>45231</v>
      </c>
      <c r="T4212" t="s">
        <v>46913</v>
      </c>
      <c r="U4212" t="s">
        <v>50984</v>
      </c>
      <c r="V4212" t="s">
        <v>60282</v>
      </c>
      <c r="W4212" t="s">
        <v>43020</v>
      </c>
      <c r="X4212" t="s">
        <v>45102</v>
      </c>
    </row>
    <row r="4213" spans="1:24">
      <c r="A4213">
        <f>HYPERLINK("https://www.philgeps.gov.ph/GEPSNONPILOT/Tender/SplashBidNoticeAbstractUI.aspx?menuIndex=3&amp;refID=7041973&amp;Result=3","7041973")</f>
        <v>0</v>
      </c>
      <c r="B4213" t="s">
        <v>352</v>
      </c>
      <c r="C4213" t="s">
        <v>7219</v>
      </c>
      <c r="D4213" t="s">
        <v>18023</v>
      </c>
      <c r="E4213" t="s">
        <v>21877</v>
      </c>
      <c r="F4213" t="s">
        <v>31574</v>
      </c>
      <c r="G4213" t="s">
        <v>31581</v>
      </c>
      <c r="H4213" t="s">
        <v>31590</v>
      </c>
      <c r="I4213" t="s">
        <v>31597</v>
      </c>
      <c r="J4213" t="s">
        <v>31843</v>
      </c>
      <c r="K4213" t="s">
        <v>41196</v>
      </c>
      <c r="M4213" t="s">
        <v>41840</v>
      </c>
      <c r="N4213" t="s">
        <v>45095</v>
      </c>
      <c r="O4213" t="s">
        <v>45096</v>
      </c>
      <c r="P4213">
        <v>0</v>
      </c>
      <c r="Q4213">
        <v>3</v>
      </c>
      <c r="R4213" t="s">
        <v>45101</v>
      </c>
      <c r="S4213" t="s">
        <v>45231</v>
      </c>
      <c r="T4213" t="s">
        <v>46930</v>
      </c>
      <c r="U4213" t="s">
        <v>51065</v>
      </c>
      <c r="W4213" t="s">
        <v>41840</v>
      </c>
      <c r="X4213" t="s">
        <v>45102</v>
      </c>
    </row>
    <row r="4214" spans="1:24">
      <c r="A4214">
        <f>HYPERLINK("https://www.philgeps.gov.ph/GEPSNONPILOT/Tender/SplashBidNoticeAbstractUI.aspx?menuIndex=3&amp;refID=7041983&amp;Result=3","7041983")</f>
        <v>0</v>
      </c>
      <c r="B4214" t="s">
        <v>1443</v>
      </c>
      <c r="C4214" t="s">
        <v>7220</v>
      </c>
      <c r="D4214" t="s">
        <v>18074</v>
      </c>
      <c r="E4214" t="s">
        <v>21878</v>
      </c>
      <c r="F4214" t="s">
        <v>31574</v>
      </c>
      <c r="G4214" t="s">
        <v>31581</v>
      </c>
      <c r="H4214" t="s">
        <v>31590</v>
      </c>
      <c r="I4214" t="s">
        <v>31633</v>
      </c>
      <c r="J4214" t="s">
        <v>34519</v>
      </c>
      <c r="K4214" t="s">
        <v>41190</v>
      </c>
      <c r="M4214" t="s">
        <v>43020</v>
      </c>
      <c r="N4214" t="s">
        <v>45095</v>
      </c>
      <c r="O4214" t="s">
        <v>45096</v>
      </c>
      <c r="P4214">
        <v>0</v>
      </c>
      <c r="Q4214">
        <v>3</v>
      </c>
      <c r="R4214" t="s">
        <v>45101</v>
      </c>
      <c r="S4214" t="s">
        <v>45231</v>
      </c>
      <c r="T4214" t="s">
        <v>46913</v>
      </c>
      <c r="U4214" t="s">
        <v>51066</v>
      </c>
      <c r="V4214" t="s">
        <v>60283</v>
      </c>
      <c r="W4214" t="s">
        <v>43020</v>
      </c>
      <c r="X4214" t="s">
        <v>45102</v>
      </c>
    </row>
    <row r="4215" spans="1:24">
      <c r="A4215">
        <f>HYPERLINK("https://www.philgeps.gov.ph/GEPSNONPILOT/Tender/SplashBidNoticeAbstractUI.aspx?menuIndex=3&amp;refID=7041990&amp;Result=3","7041990")</f>
        <v>0</v>
      </c>
      <c r="B4215" t="s">
        <v>283</v>
      </c>
      <c r="C4215" t="s">
        <v>7221</v>
      </c>
      <c r="D4215" t="s">
        <v>18036</v>
      </c>
      <c r="E4215" t="s">
        <v>21879</v>
      </c>
      <c r="F4215" t="s">
        <v>31574</v>
      </c>
      <c r="G4215" t="s">
        <v>31582</v>
      </c>
      <c r="H4215" t="s">
        <v>31590</v>
      </c>
      <c r="I4215" t="s">
        <v>31608</v>
      </c>
      <c r="J4215" t="s">
        <v>34520</v>
      </c>
      <c r="K4215" t="s">
        <v>41186</v>
      </c>
      <c r="M4215" t="s">
        <v>43060</v>
      </c>
      <c r="N4215" t="s">
        <v>45095</v>
      </c>
      <c r="O4215" t="s">
        <v>45096</v>
      </c>
      <c r="P4215">
        <v>0</v>
      </c>
      <c r="Q4215">
        <v>6</v>
      </c>
      <c r="R4215" t="s">
        <v>45101</v>
      </c>
      <c r="S4215" t="s">
        <v>45231</v>
      </c>
      <c r="T4215" t="s">
        <v>47028</v>
      </c>
      <c r="U4215" t="s">
        <v>51067</v>
      </c>
      <c r="V4215" t="s">
        <v>60284</v>
      </c>
      <c r="W4215" t="s">
        <v>43060</v>
      </c>
      <c r="X4215" t="s">
        <v>45102</v>
      </c>
    </row>
    <row r="4216" spans="1:24">
      <c r="A4216">
        <f>HYPERLINK("https://www.philgeps.gov.ph/GEPSNONPILOT/Tender/SplashBidNoticeAbstractUI.aspx?menuIndex=3&amp;refID=7041982&amp;Result=3","7041982")</f>
        <v>0</v>
      </c>
      <c r="B4216" t="s">
        <v>132</v>
      </c>
      <c r="C4216" t="s">
        <v>7222</v>
      </c>
      <c r="D4216" t="s">
        <v>18059</v>
      </c>
      <c r="E4216" t="s">
        <v>21880</v>
      </c>
      <c r="F4216" t="s">
        <v>31574</v>
      </c>
      <c r="G4216" t="s">
        <v>31581</v>
      </c>
      <c r="H4216" t="s">
        <v>31590</v>
      </c>
      <c r="I4216" t="s">
        <v>31599</v>
      </c>
      <c r="J4216" t="s">
        <v>34521</v>
      </c>
      <c r="K4216" t="s">
        <v>41193</v>
      </c>
      <c r="M4216" t="s">
        <v>41616</v>
      </c>
      <c r="N4216" t="s">
        <v>45095</v>
      </c>
      <c r="O4216" t="s">
        <v>45096</v>
      </c>
      <c r="P4216">
        <v>0</v>
      </c>
      <c r="Q4216">
        <v>0</v>
      </c>
      <c r="R4216" t="s">
        <v>45101</v>
      </c>
      <c r="S4216" t="s">
        <v>45231</v>
      </c>
      <c r="T4216" t="s">
        <v>47159</v>
      </c>
      <c r="U4216" t="s">
        <v>51068</v>
      </c>
      <c r="W4216" t="s">
        <v>41616</v>
      </c>
      <c r="X4216" t="s">
        <v>45102</v>
      </c>
    </row>
    <row r="4217" spans="1:24">
      <c r="A4217">
        <f>HYPERLINK("https://www.philgeps.gov.ph/GEPSNONPILOT/Tender/SplashBidNoticeAbstractUI.aspx?menuIndex=3&amp;refID=7041984&amp;Result=3","7041984")</f>
        <v>0</v>
      </c>
      <c r="B4217" t="s">
        <v>1451</v>
      </c>
      <c r="C4217" t="s">
        <v>7223</v>
      </c>
      <c r="D4217" t="s">
        <v>18070</v>
      </c>
      <c r="E4217" t="s">
        <v>21881</v>
      </c>
      <c r="F4217" t="s">
        <v>31574</v>
      </c>
      <c r="G4217" t="s">
        <v>31582</v>
      </c>
      <c r="H4217" t="s">
        <v>31590</v>
      </c>
      <c r="I4217" t="s">
        <v>31615</v>
      </c>
      <c r="J4217" t="s">
        <v>33856</v>
      </c>
      <c r="K4217" t="s">
        <v>41186</v>
      </c>
      <c r="M4217" t="s">
        <v>43031</v>
      </c>
      <c r="N4217" t="s">
        <v>45095</v>
      </c>
      <c r="O4217" t="s">
        <v>45096</v>
      </c>
      <c r="P4217">
        <v>0</v>
      </c>
      <c r="Q4217">
        <v>6</v>
      </c>
      <c r="R4217" t="s">
        <v>45101</v>
      </c>
      <c r="S4217" t="s">
        <v>45231</v>
      </c>
      <c r="T4217" t="s">
        <v>46954</v>
      </c>
      <c r="U4217" t="s">
        <v>51069</v>
      </c>
      <c r="W4217" t="s">
        <v>43031</v>
      </c>
      <c r="X4217" t="s">
        <v>45102</v>
      </c>
    </row>
    <row r="4218" spans="1:24">
      <c r="A4218">
        <f>HYPERLINK("https://www.philgeps.gov.ph/GEPSNONPILOT/Tender/SplashBidNoticeAbstractUI.aspx?menuIndex=3&amp;refID=7041988&amp;Result=3","7041988")</f>
        <v>0</v>
      </c>
      <c r="B4218" t="s">
        <v>1480</v>
      </c>
      <c r="C4218" t="s">
        <v>7224</v>
      </c>
      <c r="D4218" t="s">
        <v>18065</v>
      </c>
      <c r="E4218" t="s">
        <v>21882</v>
      </c>
      <c r="F4218" t="s">
        <v>31574</v>
      </c>
      <c r="G4218" t="s">
        <v>31581</v>
      </c>
      <c r="H4218" t="s">
        <v>31590</v>
      </c>
      <c r="I4218" t="s">
        <v>8258</v>
      </c>
      <c r="J4218" t="s">
        <v>34522</v>
      </c>
      <c r="K4218" t="s">
        <v>41184</v>
      </c>
      <c r="M4218" t="s">
        <v>43063</v>
      </c>
      <c r="N4218" t="s">
        <v>45095</v>
      </c>
      <c r="O4218" t="s">
        <v>45096</v>
      </c>
      <c r="P4218">
        <v>0</v>
      </c>
      <c r="Q4218">
        <v>10</v>
      </c>
      <c r="R4218" t="s">
        <v>45101</v>
      </c>
      <c r="S4218" t="s">
        <v>45231</v>
      </c>
      <c r="T4218" t="s">
        <v>47050</v>
      </c>
      <c r="U4218" t="s">
        <v>51070</v>
      </c>
      <c r="W4218" t="s">
        <v>43063</v>
      </c>
      <c r="X4218" t="s">
        <v>45102</v>
      </c>
    </row>
    <row r="4219" spans="1:24">
      <c r="A4219">
        <f>HYPERLINK("https://www.philgeps.gov.ph/GEPSNONPILOT/Tender/SplashBidNoticeAbstractUI.aspx?menuIndex=3&amp;refID=7041986&amp;Result=3","7041986")</f>
        <v>0</v>
      </c>
      <c r="B4219" t="s">
        <v>290</v>
      </c>
      <c r="C4219" t="s">
        <v>7225</v>
      </c>
      <c r="D4219" t="s">
        <v>18043</v>
      </c>
      <c r="E4219" t="s">
        <v>21883</v>
      </c>
      <c r="F4219" t="s">
        <v>31574</v>
      </c>
      <c r="G4219" t="s">
        <v>31581</v>
      </c>
      <c r="H4219" t="s">
        <v>31590</v>
      </c>
      <c r="I4219" t="s">
        <v>3539</v>
      </c>
      <c r="J4219" t="s">
        <v>34523</v>
      </c>
      <c r="K4219" t="s">
        <v>41193</v>
      </c>
      <c r="M4219" t="s">
        <v>41776</v>
      </c>
      <c r="N4219" t="s">
        <v>45095</v>
      </c>
      <c r="O4219" t="s">
        <v>45096</v>
      </c>
      <c r="P4219">
        <v>0</v>
      </c>
      <c r="Q4219">
        <v>0</v>
      </c>
      <c r="R4219" t="s">
        <v>45101</v>
      </c>
      <c r="S4219" t="s">
        <v>45231</v>
      </c>
      <c r="T4219" t="s">
        <v>46926</v>
      </c>
      <c r="U4219" t="s">
        <v>48030</v>
      </c>
      <c r="W4219" t="s">
        <v>41776</v>
      </c>
      <c r="X4219" t="s">
        <v>45102</v>
      </c>
    </row>
    <row r="4220" spans="1:24">
      <c r="A4220">
        <f>HYPERLINK("https://www.philgeps.gov.ph/GEPSNONPILOT/Tender/SplashBidNoticeAbstractUI.aspx?menuIndex=3&amp;refID=7041985&amp;Result=3","7041985")</f>
        <v>0</v>
      </c>
      <c r="B4220" t="s">
        <v>701</v>
      </c>
      <c r="C4220" t="s">
        <v>7226</v>
      </c>
      <c r="D4220" t="s">
        <v>18056</v>
      </c>
      <c r="E4220" t="s">
        <v>21884</v>
      </c>
      <c r="F4220" t="s">
        <v>31574</v>
      </c>
      <c r="G4220" t="s">
        <v>31582</v>
      </c>
      <c r="H4220" t="s">
        <v>31590</v>
      </c>
      <c r="I4220" t="s">
        <v>5717</v>
      </c>
      <c r="J4220" t="s">
        <v>31935</v>
      </c>
      <c r="K4220" t="s">
        <v>41186</v>
      </c>
      <c r="M4220" t="s">
        <v>43064</v>
      </c>
      <c r="N4220" t="s">
        <v>45095</v>
      </c>
      <c r="O4220" t="s">
        <v>45096</v>
      </c>
      <c r="P4220">
        <v>0</v>
      </c>
      <c r="Q4220">
        <v>5</v>
      </c>
      <c r="R4220" t="s">
        <v>45101</v>
      </c>
      <c r="S4220" t="s">
        <v>45231</v>
      </c>
      <c r="T4220" t="s">
        <v>46919</v>
      </c>
      <c r="U4220" t="s">
        <v>51071</v>
      </c>
      <c r="W4220" t="s">
        <v>43064</v>
      </c>
      <c r="X4220" t="s">
        <v>45102</v>
      </c>
    </row>
    <row r="4221" spans="1:24">
      <c r="A4221">
        <f>HYPERLINK("https://www.philgeps.gov.ph/GEPSNONPILOT/Tender/SplashBidNoticeAbstractUI.aspx?menuIndex=3&amp;refID=7041978&amp;Result=3","7041978")</f>
        <v>0</v>
      </c>
      <c r="B4221" t="s">
        <v>290</v>
      </c>
      <c r="C4221" t="s">
        <v>7227</v>
      </c>
      <c r="D4221" t="s">
        <v>18043</v>
      </c>
      <c r="E4221" t="s">
        <v>21885</v>
      </c>
      <c r="F4221" t="s">
        <v>31574</v>
      </c>
      <c r="G4221" t="s">
        <v>31581</v>
      </c>
      <c r="H4221" t="s">
        <v>31590</v>
      </c>
      <c r="I4221" t="s">
        <v>31608</v>
      </c>
      <c r="J4221" t="s">
        <v>31789</v>
      </c>
      <c r="K4221" t="s">
        <v>41193</v>
      </c>
      <c r="M4221" t="s">
        <v>41776</v>
      </c>
      <c r="N4221" t="s">
        <v>45095</v>
      </c>
      <c r="O4221" t="s">
        <v>45096</v>
      </c>
      <c r="P4221">
        <v>0</v>
      </c>
      <c r="Q4221">
        <v>2</v>
      </c>
      <c r="R4221" t="s">
        <v>45101</v>
      </c>
      <c r="S4221" t="s">
        <v>45231</v>
      </c>
      <c r="T4221" t="s">
        <v>46926</v>
      </c>
      <c r="U4221" t="s">
        <v>48030</v>
      </c>
      <c r="W4221" t="s">
        <v>41776</v>
      </c>
      <c r="X4221" t="s">
        <v>45102</v>
      </c>
    </row>
    <row r="4222" spans="1:24">
      <c r="A4222">
        <f>HYPERLINK("https://www.philgeps.gov.ph/GEPSNONPILOT/Tender/SplashBidNoticeAbstractUI.aspx?menuIndex=3&amp;refID=7041991&amp;Result=3","7041991")</f>
        <v>0</v>
      </c>
      <c r="B4222" t="s">
        <v>1481</v>
      </c>
      <c r="C4222" t="s">
        <v>7228</v>
      </c>
      <c r="D4222" t="s">
        <v>18022</v>
      </c>
      <c r="E4222" t="s">
        <v>19149</v>
      </c>
      <c r="F4222" t="s">
        <v>31574</v>
      </c>
      <c r="G4222" t="s">
        <v>31581</v>
      </c>
      <c r="H4222" t="s">
        <v>31590</v>
      </c>
      <c r="I4222" t="s">
        <v>3487</v>
      </c>
      <c r="J4222" t="s">
        <v>32232</v>
      </c>
      <c r="K4222" t="s">
        <v>41184</v>
      </c>
      <c r="M4222" t="s">
        <v>43065</v>
      </c>
      <c r="N4222" t="s">
        <v>45095</v>
      </c>
      <c r="O4222" t="s">
        <v>45096</v>
      </c>
      <c r="P4222">
        <v>0</v>
      </c>
      <c r="Q4222">
        <v>9</v>
      </c>
      <c r="R4222" t="s">
        <v>45101</v>
      </c>
      <c r="S4222" t="s">
        <v>45231</v>
      </c>
      <c r="T4222" t="s">
        <v>47164</v>
      </c>
      <c r="U4222" t="s">
        <v>51072</v>
      </c>
      <c r="W4222" t="s">
        <v>43065</v>
      </c>
      <c r="X4222" t="s">
        <v>45102</v>
      </c>
    </row>
    <row r="4223" spans="1:24">
      <c r="A4223">
        <f>HYPERLINK("https://www.philgeps.gov.ph/GEPSNONPILOT/Tender/SplashBidNoticeAbstractUI.aspx?menuIndex=3&amp;refID=7041999&amp;Result=3","7041999")</f>
        <v>0</v>
      </c>
      <c r="B4223" t="s">
        <v>1409</v>
      </c>
      <c r="C4223" t="s">
        <v>7229</v>
      </c>
      <c r="D4223" t="s">
        <v>18050</v>
      </c>
      <c r="E4223" t="s">
        <v>21886</v>
      </c>
      <c r="F4223" t="s">
        <v>31574</v>
      </c>
      <c r="G4223" t="s">
        <v>31583</v>
      </c>
      <c r="H4223" t="s">
        <v>31590</v>
      </c>
      <c r="I4223" t="s">
        <v>31602</v>
      </c>
      <c r="J4223" t="s">
        <v>32236</v>
      </c>
      <c r="K4223" t="s">
        <v>41191</v>
      </c>
      <c r="M4223" t="s">
        <v>42985</v>
      </c>
      <c r="N4223" t="s">
        <v>45095</v>
      </c>
      <c r="O4223" t="s">
        <v>45096</v>
      </c>
      <c r="P4223">
        <v>0</v>
      </c>
      <c r="Q4223">
        <v>0</v>
      </c>
      <c r="R4223" t="s">
        <v>45101</v>
      </c>
      <c r="S4223" t="s">
        <v>45231</v>
      </c>
      <c r="T4223" t="s">
        <v>46949</v>
      </c>
      <c r="U4223" t="s">
        <v>51073</v>
      </c>
      <c r="W4223" t="s">
        <v>42985</v>
      </c>
      <c r="X4223" t="s">
        <v>45102</v>
      </c>
    </row>
    <row r="4224" spans="1:24">
      <c r="A4224">
        <f>HYPERLINK("https://www.philgeps.gov.ph/GEPSNONPILOT/Tender/SplashBidNoticeAbstractUI.aspx?menuIndex=3&amp;refID=7041995&amp;Result=3","7041995")</f>
        <v>0</v>
      </c>
      <c r="B4224" t="s">
        <v>522</v>
      </c>
      <c r="C4224" t="s">
        <v>7230</v>
      </c>
      <c r="D4224" t="s">
        <v>18101</v>
      </c>
      <c r="E4224" t="s">
        <v>21887</v>
      </c>
      <c r="F4224" t="s">
        <v>31575</v>
      </c>
      <c r="G4224" t="s">
        <v>31581</v>
      </c>
      <c r="H4224" t="s">
        <v>31592</v>
      </c>
      <c r="I4224" t="s">
        <v>31618</v>
      </c>
      <c r="J4224" t="s">
        <v>31742</v>
      </c>
      <c r="K4224" t="s">
        <v>41193</v>
      </c>
      <c r="M4224" t="s">
        <v>42018</v>
      </c>
      <c r="N4224" t="s">
        <v>45095</v>
      </c>
      <c r="O4224" t="s">
        <v>45096</v>
      </c>
      <c r="P4224">
        <v>0</v>
      </c>
      <c r="Q4224">
        <v>1</v>
      </c>
      <c r="R4224" t="s">
        <v>45101</v>
      </c>
      <c r="S4224" t="s">
        <v>45231</v>
      </c>
      <c r="T4224" t="s">
        <v>46911</v>
      </c>
      <c r="U4224" t="s">
        <v>51074</v>
      </c>
      <c r="W4224" t="s">
        <v>42018</v>
      </c>
      <c r="X4224" t="s">
        <v>45102</v>
      </c>
    </row>
    <row r="4225" spans="1:24">
      <c r="A4225">
        <f>HYPERLINK("https://www.philgeps.gov.ph/GEPSNONPILOT/Tender/SplashBidNoticeAbstractUI.aspx?menuIndex=3&amp;refID=7042001&amp;Result=3","7042001")</f>
        <v>0</v>
      </c>
      <c r="B4225" t="s">
        <v>1242</v>
      </c>
      <c r="C4225" t="s">
        <v>7231</v>
      </c>
      <c r="D4225" t="s">
        <v>18056</v>
      </c>
      <c r="E4225" t="s">
        <v>21888</v>
      </c>
      <c r="F4225" t="s">
        <v>31574</v>
      </c>
      <c r="G4225" t="s">
        <v>31583</v>
      </c>
      <c r="H4225" t="s">
        <v>31590</v>
      </c>
      <c r="I4225" t="s">
        <v>5717</v>
      </c>
      <c r="J4225" t="s">
        <v>34524</v>
      </c>
      <c r="K4225" t="s">
        <v>41196</v>
      </c>
      <c r="M4225" t="s">
        <v>43066</v>
      </c>
      <c r="N4225" t="s">
        <v>45095</v>
      </c>
      <c r="O4225" t="s">
        <v>45096</v>
      </c>
      <c r="P4225">
        <v>0</v>
      </c>
      <c r="Q4225">
        <v>9</v>
      </c>
      <c r="R4225" t="s">
        <v>45101</v>
      </c>
      <c r="S4225" t="s">
        <v>45231</v>
      </c>
      <c r="T4225" t="s">
        <v>47154</v>
      </c>
      <c r="U4225" t="s">
        <v>51075</v>
      </c>
      <c r="W4225" t="s">
        <v>43066</v>
      </c>
      <c r="X4225" t="s">
        <v>45102</v>
      </c>
    </row>
    <row r="4226" spans="1:24">
      <c r="A4226">
        <f>HYPERLINK("https://www.philgeps.gov.ph/GEPSNONPILOT/Tender/SplashBidNoticeAbstractUI.aspx?menuIndex=3&amp;refID=7041994&amp;Result=3","7041994")</f>
        <v>0</v>
      </c>
      <c r="B4226" t="s">
        <v>1443</v>
      </c>
      <c r="C4226" t="s">
        <v>7232</v>
      </c>
      <c r="D4226" t="s">
        <v>18074</v>
      </c>
      <c r="E4226" t="s">
        <v>21889</v>
      </c>
      <c r="F4226" t="s">
        <v>31574</v>
      </c>
      <c r="G4226" t="s">
        <v>31581</v>
      </c>
      <c r="H4226" t="s">
        <v>31590</v>
      </c>
      <c r="I4226" t="s">
        <v>31605</v>
      </c>
      <c r="J4226" t="s">
        <v>31843</v>
      </c>
      <c r="K4226" t="s">
        <v>41190</v>
      </c>
      <c r="M4226" t="s">
        <v>43020</v>
      </c>
      <c r="N4226" t="s">
        <v>45095</v>
      </c>
      <c r="O4226" t="s">
        <v>45096</v>
      </c>
      <c r="P4226">
        <v>0</v>
      </c>
      <c r="Q4226">
        <v>1</v>
      </c>
      <c r="R4226" t="s">
        <v>45101</v>
      </c>
      <c r="S4226" t="s">
        <v>45231</v>
      </c>
      <c r="T4226" t="s">
        <v>46913</v>
      </c>
      <c r="U4226" t="s">
        <v>51076</v>
      </c>
      <c r="V4226" t="s">
        <v>60285</v>
      </c>
      <c r="W4226" t="s">
        <v>43020</v>
      </c>
      <c r="X4226" t="s">
        <v>45102</v>
      </c>
    </row>
    <row r="4227" spans="1:24">
      <c r="A4227">
        <f>HYPERLINK("https://www.philgeps.gov.ph/GEPSNONPILOT/Tender/SplashBidNoticeAbstractUI.aspx?menuIndex=3&amp;refID=7042032&amp;Result=3","7042032")</f>
        <v>0</v>
      </c>
      <c r="B4227" t="s">
        <v>461</v>
      </c>
      <c r="C4227" t="s">
        <v>7233</v>
      </c>
      <c r="D4227" t="s">
        <v>18057</v>
      </c>
      <c r="E4227" t="s">
        <v>21890</v>
      </c>
      <c r="F4227" t="s">
        <v>31574</v>
      </c>
      <c r="G4227" t="s">
        <v>31582</v>
      </c>
      <c r="H4227" t="s">
        <v>31590</v>
      </c>
      <c r="I4227" t="s">
        <v>31700</v>
      </c>
      <c r="J4227" t="s">
        <v>34496</v>
      </c>
      <c r="K4227" t="s">
        <v>41196</v>
      </c>
      <c r="M4227" t="s">
        <v>41955</v>
      </c>
      <c r="N4227" t="s">
        <v>45095</v>
      </c>
      <c r="O4227" t="s">
        <v>45096</v>
      </c>
      <c r="P4227">
        <v>0</v>
      </c>
      <c r="Q4227">
        <v>1</v>
      </c>
      <c r="R4227" t="s">
        <v>45101</v>
      </c>
      <c r="S4227" t="s">
        <v>45231</v>
      </c>
      <c r="T4227" t="s">
        <v>46949</v>
      </c>
      <c r="U4227" t="s">
        <v>51077</v>
      </c>
      <c r="W4227" t="s">
        <v>41955</v>
      </c>
      <c r="X4227" t="s">
        <v>45102</v>
      </c>
    </row>
    <row r="4228" spans="1:24">
      <c r="A4228">
        <f>HYPERLINK("https://www.philgeps.gov.ph/GEPSNONPILOT/Tender/SplashBidNoticeAbstractUI.aspx?menuIndex=3&amp;refID=7041997&amp;Result=3","7041997")</f>
        <v>0</v>
      </c>
      <c r="B4228" t="s">
        <v>1376</v>
      </c>
      <c r="C4228" t="s">
        <v>7234</v>
      </c>
      <c r="E4228" t="s">
        <v>21891</v>
      </c>
      <c r="F4228" t="s">
        <v>31574</v>
      </c>
      <c r="G4228" t="s">
        <v>31582</v>
      </c>
      <c r="H4228" t="s">
        <v>31591</v>
      </c>
      <c r="I4228" t="s">
        <v>8822</v>
      </c>
      <c r="J4228" t="s">
        <v>32510</v>
      </c>
      <c r="K4228" t="s">
        <v>41184</v>
      </c>
      <c r="M4228" t="s">
        <v>42950</v>
      </c>
      <c r="N4228" t="s">
        <v>45095</v>
      </c>
      <c r="O4228" t="s">
        <v>45096</v>
      </c>
      <c r="P4228">
        <v>0</v>
      </c>
      <c r="Q4228">
        <v>0</v>
      </c>
      <c r="R4228" t="s">
        <v>45101</v>
      </c>
      <c r="S4228" t="s">
        <v>45231</v>
      </c>
      <c r="T4228" t="s">
        <v>47199</v>
      </c>
      <c r="U4228" t="s">
        <v>51044</v>
      </c>
      <c r="W4228" t="s">
        <v>42950</v>
      </c>
      <c r="X4228" t="s">
        <v>45102</v>
      </c>
    </row>
    <row r="4229" spans="1:24">
      <c r="A4229">
        <f>HYPERLINK("https://www.philgeps.gov.ph/GEPSNONPILOT/Tender/SplashBidNoticeAbstractUI.aspx?menuIndex=3&amp;refID=7042033&amp;Result=3","7042033")</f>
        <v>0</v>
      </c>
      <c r="B4229" t="s">
        <v>1482</v>
      </c>
      <c r="C4229" t="s">
        <v>7235</v>
      </c>
      <c r="D4229" t="s">
        <v>18037</v>
      </c>
      <c r="E4229" t="s">
        <v>21892</v>
      </c>
      <c r="F4229" t="s">
        <v>31574</v>
      </c>
      <c r="G4229" t="s">
        <v>31581</v>
      </c>
      <c r="H4229" t="s">
        <v>31590</v>
      </c>
      <c r="I4229" t="s">
        <v>31595</v>
      </c>
      <c r="J4229" t="s">
        <v>34525</v>
      </c>
      <c r="K4229" t="s">
        <v>41193</v>
      </c>
      <c r="M4229" t="s">
        <v>43067</v>
      </c>
      <c r="N4229" t="s">
        <v>45095</v>
      </c>
      <c r="O4229" t="s">
        <v>45096</v>
      </c>
      <c r="P4229">
        <v>0</v>
      </c>
      <c r="Q4229">
        <v>4</v>
      </c>
      <c r="R4229" t="s">
        <v>45101</v>
      </c>
      <c r="S4229" t="s">
        <v>45231</v>
      </c>
      <c r="T4229" t="s">
        <v>47077</v>
      </c>
      <c r="U4229" t="s">
        <v>51078</v>
      </c>
      <c r="W4229" t="s">
        <v>43067</v>
      </c>
      <c r="X4229" t="s">
        <v>45102</v>
      </c>
    </row>
    <row r="4230" spans="1:24">
      <c r="A4230">
        <f>HYPERLINK("https://www.philgeps.gov.ph/GEPSNONPILOT/Tender/SplashBidNoticeAbstractUI.aspx?menuIndex=3&amp;refID=7042005&amp;Result=3","7042005")</f>
        <v>0</v>
      </c>
      <c r="B4230" t="s">
        <v>333</v>
      </c>
      <c r="C4230" t="s">
        <v>7236</v>
      </c>
      <c r="D4230" t="s">
        <v>18081</v>
      </c>
      <c r="E4230" t="s">
        <v>19158</v>
      </c>
      <c r="F4230" t="s">
        <v>31574</v>
      </c>
      <c r="G4230" t="s">
        <v>31581</v>
      </c>
      <c r="H4230" t="s">
        <v>31590</v>
      </c>
      <c r="I4230" t="s">
        <v>31594</v>
      </c>
      <c r="J4230" t="s">
        <v>31742</v>
      </c>
      <c r="K4230" t="s">
        <v>41196</v>
      </c>
      <c r="M4230" t="s">
        <v>41821</v>
      </c>
      <c r="N4230" t="s">
        <v>45095</v>
      </c>
      <c r="O4230" t="s">
        <v>45096</v>
      </c>
      <c r="P4230">
        <v>0</v>
      </c>
      <c r="Q4230">
        <v>15</v>
      </c>
      <c r="R4230" t="s">
        <v>45101</v>
      </c>
      <c r="S4230" t="s">
        <v>45231</v>
      </c>
      <c r="T4230" t="s">
        <v>47050</v>
      </c>
      <c r="U4230" t="s">
        <v>51079</v>
      </c>
      <c r="W4230" t="s">
        <v>41821</v>
      </c>
      <c r="X4230" t="s">
        <v>45102</v>
      </c>
    </row>
    <row r="4231" spans="1:24">
      <c r="A4231">
        <f>HYPERLINK("https://www.philgeps.gov.ph/GEPSNONPILOT/Tender/SplashBidNoticeAbstractUI.aspx?menuIndex=3&amp;refID=7042004&amp;Result=3","7042004")</f>
        <v>0</v>
      </c>
      <c r="B4231" t="s">
        <v>1443</v>
      </c>
      <c r="C4231" t="s">
        <v>7237</v>
      </c>
      <c r="D4231" t="s">
        <v>18074</v>
      </c>
      <c r="E4231" t="s">
        <v>21893</v>
      </c>
      <c r="F4231" t="s">
        <v>31574</v>
      </c>
      <c r="G4231" t="s">
        <v>31581</v>
      </c>
      <c r="H4231" t="s">
        <v>31590</v>
      </c>
      <c r="I4231" t="s">
        <v>4046</v>
      </c>
      <c r="J4231" t="s">
        <v>34526</v>
      </c>
      <c r="K4231" t="s">
        <v>41190</v>
      </c>
      <c r="M4231" t="s">
        <v>43020</v>
      </c>
      <c r="N4231" t="s">
        <v>45095</v>
      </c>
      <c r="O4231" t="s">
        <v>45096</v>
      </c>
      <c r="P4231">
        <v>0</v>
      </c>
      <c r="Q4231">
        <v>0</v>
      </c>
      <c r="R4231" t="s">
        <v>45101</v>
      </c>
      <c r="S4231" t="s">
        <v>45231</v>
      </c>
      <c r="T4231" t="s">
        <v>46913</v>
      </c>
      <c r="U4231" t="s">
        <v>51052</v>
      </c>
      <c r="V4231" t="s">
        <v>60286</v>
      </c>
      <c r="W4231" t="s">
        <v>43020</v>
      </c>
      <c r="X4231" t="s">
        <v>45102</v>
      </c>
    </row>
    <row r="4232" spans="1:24">
      <c r="A4232">
        <f>HYPERLINK("https://www.philgeps.gov.ph/GEPSNONPILOT/Tender/SplashBidNoticeAbstractUI.aspx?menuIndex=3&amp;refID=7042020&amp;Result=3","7042020")</f>
        <v>0</v>
      </c>
      <c r="B4232" t="s">
        <v>1376</v>
      </c>
      <c r="C4232" t="s">
        <v>7238</v>
      </c>
      <c r="E4232" t="s">
        <v>21894</v>
      </c>
      <c r="F4232" t="s">
        <v>31574</v>
      </c>
      <c r="G4232" t="s">
        <v>31582</v>
      </c>
      <c r="H4232" t="s">
        <v>31591</v>
      </c>
      <c r="I4232" t="s">
        <v>8822</v>
      </c>
      <c r="J4232" t="s">
        <v>32510</v>
      </c>
      <c r="K4232" t="s">
        <v>41184</v>
      </c>
      <c r="M4232" t="s">
        <v>42950</v>
      </c>
      <c r="N4232" t="s">
        <v>45095</v>
      </c>
      <c r="O4232" t="s">
        <v>45096</v>
      </c>
      <c r="P4232">
        <v>0</v>
      </c>
      <c r="Q4232">
        <v>0</v>
      </c>
      <c r="R4232" t="s">
        <v>45101</v>
      </c>
      <c r="S4232" t="s">
        <v>45231</v>
      </c>
      <c r="T4232" t="s">
        <v>47199</v>
      </c>
      <c r="U4232" t="s">
        <v>51044</v>
      </c>
      <c r="W4232" t="s">
        <v>42950</v>
      </c>
      <c r="X4232" t="s">
        <v>45102</v>
      </c>
    </row>
    <row r="4233" spans="1:24">
      <c r="A4233">
        <f>HYPERLINK("https://www.philgeps.gov.ph/GEPSNONPILOT/Tender/SplashBidNoticeAbstractUI.aspx?menuIndex=3&amp;refID=7042031&amp;Result=3","7042031")</f>
        <v>0</v>
      </c>
      <c r="B4233" t="s">
        <v>1483</v>
      </c>
      <c r="C4233" t="s">
        <v>7239</v>
      </c>
      <c r="D4233" t="s">
        <v>18060</v>
      </c>
      <c r="E4233" t="s">
        <v>21895</v>
      </c>
      <c r="F4233" t="s">
        <v>31575</v>
      </c>
      <c r="G4233" t="s">
        <v>31581</v>
      </c>
      <c r="H4233" t="s">
        <v>31590</v>
      </c>
      <c r="I4233" t="s">
        <v>4046</v>
      </c>
      <c r="J4233" t="s">
        <v>34527</v>
      </c>
      <c r="K4233" t="s">
        <v>41193</v>
      </c>
      <c r="M4233" t="s">
        <v>43068</v>
      </c>
      <c r="N4233" t="s">
        <v>45095</v>
      </c>
      <c r="O4233" t="s">
        <v>45096</v>
      </c>
      <c r="P4233">
        <v>0</v>
      </c>
      <c r="Q4233">
        <v>0</v>
      </c>
      <c r="R4233" t="s">
        <v>45101</v>
      </c>
      <c r="S4233" t="s">
        <v>45231</v>
      </c>
      <c r="T4233" t="s">
        <v>46961</v>
      </c>
      <c r="U4233" t="s">
        <v>51080</v>
      </c>
      <c r="W4233" t="s">
        <v>43068</v>
      </c>
      <c r="X4233" t="s">
        <v>45102</v>
      </c>
    </row>
    <row r="4234" spans="1:24">
      <c r="A4234">
        <f>HYPERLINK("https://www.philgeps.gov.ph/GEPSNONPILOT/Tender/SplashBidNoticeAbstractUI.aspx?menuIndex=3&amp;refID=7042000&amp;Result=3","7042000")</f>
        <v>0</v>
      </c>
      <c r="B4234" t="s">
        <v>1115</v>
      </c>
      <c r="C4234" t="s">
        <v>7240</v>
      </c>
      <c r="D4234" t="s">
        <v>18074</v>
      </c>
      <c r="E4234" t="s">
        <v>21746</v>
      </c>
      <c r="F4234" t="s">
        <v>31574</v>
      </c>
      <c r="G4234" t="s">
        <v>31582</v>
      </c>
      <c r="H4234" t="s">
        <v>31590</v>
      </c>
      <c r="I4234" t="s">
        <v>31602</v>
      </c>
      <c r="J4234" t="s">
        <v>34528</v>
      </c>
      <c r="K4234" t="s">
        <v>41190</v>
      </c>
      <c r="M4234" t="s">
        <v>42664</v>
      </c>
      <c r="N4234" t="s">
        <v>45095</v>
      </c>
      <c r="O4234" t="s">
        <v>45096</v>
      </c>
      <c r="P4234">
        <v>0</v>
      </c>
      <c r="Q4234">
        <v>0</v>
      </c>
      <c r="R4234" t="s">
        <v>45101</v>
      </c>
      <c r="S4234" t="s">
        <v>45231</v>
      </c>
      <c r="T4234" t="s">
        <v>47035</v>
      </c>
      <c r="U4234" t="s">
        <v>51081</v>
      </c>
      <c r="V4234" t="s">
        <v>60287</v>
      </c>
      <c r="W4234" t="s">
        <v>42664</v>
      </c>
      <c r="X4234" t="s">
        <v>45102</v>
      </c>
    </row>
    <row r="4235" spans="1:24">
      <c r="A4235">
        <f>HYPERLINK("https://www.philgeps.gov.ph/GEPSNONPILOT/Tender/SplashBidNoticeAbstractUI.aspx?menuIndex=3&amp;refID=7042019&amp;Result=3","7042019")</f>
        <v>0</v>
      </c>
      <c r="B4235" t="s">
        <v>283</v>
      </c>
      <c r="C4235" t="s">
        <v>7241</v>
      </c>
      <c r="D4235" t="s">
        <v>18036</v>
      </c>
      <c r="E4235" t="s">
        <v>21896</v>
      </c>
      <c r="F4235" t="s">
        <v>31574</v>
      </c>
      <c r="G4235" t="s">
        <v>31582</v>
      </c>
      <c r="H4235" t="s">
        <v>31591</v>
      </c>
      <c r="I4235" t="s">
        <v>8822</v>
      </c>
      <c r="J4235" t="s">
        <v>34529</v>
      </c>
      <c r="K4235" t="s">
        <v>41200</v>
      </c>
      <c r="M4235" t="s">
        <v>43060</v>
      </c>
      <c r="N4235" t="s">
        <v>45095</v>
      </c>
      <c r="O4235" t="s">
        <v>45096</v>
      </c>
      <c r="P4235">
        <v>0</v>
      </c>
      <c r="Q4235">
        <v>1</v>
      </c>
      <c r="R4235" t="s">
        <v>45101</v>
      </c>
      <c r="S4235" t="s">
        <v>45231</v>
      </c>
      <c r="T4235" t="s">
        <v>46943</v>
      </c>
      <c r="U4235" t="s">
        <v>51067</v>
      </c>
      <c r="V4235" t="s">
        <v>60288</v>
      </c>
      <c r="W4235" t="s">
        <v>43060</v>
      </c>
      <c r="X4235" t="s">
        <v>45102</v>
      </c>
    </row>
    <row r="4236" spans="1:24">
      <c r="A4236">
        <f>HYPERLINK("https://www.philgeps.gov.ph/GEPSNONPILOT/Tender/SplashBidNoticeAbstractUI.aspx?menuIndex=3&amp;refID=7042024&amp;Result=3","7042024")</f>
        <v>0</v>
      </c>
      <c r="B4236" t="s">
        <v>1484</v>
      </c>
      <c r="C4236" t="s">
        <v>7242</v>
      </c>
      <c r="D4236" t="s">
        <v>18066</v>
      </c>
      <c r="E4236" t="s">
        <v>18788</v>
      </c>
      <c r="F4236" t="s">
        <v>31574</v>
      </c>
      <c r="G4236" t="s">
        <v>31582</v>
      </c>
      <c r="H4236" t="s">
        <v>31591</v>
      </c>
      <c r="I4236" t="s">
        <v>8822</v>
      </c>
      <c r="J4236" t="s">
        <v>34530</v>
      </c>
      <c r="K4236" t="s">
        <v>41191</v>
      </c>
      <c r="M4236" t="s">
        <v>43069</v>
      </c>
      <c r="N4236" t="s">
        <v>45095</v>
      </c>
      <c r="O4236" t="s">
        <v>45096</v>
      </c>
      <c r="P4236">
        <v>0</v>
      </c>
      <c r="Q4236">
        <v>0</v>
      </c>
      <c r="R4236" t="s">
        <v>45101</v>
      </c>
      <c r="S4236" t="s">
        <v>45231</v>
      </c>
      <c r="T4236" t="s">
        <v>46913</v>
      </c>
      <c r="U4236" t="s">
        <v>51082</v>
      </c>
      <c r="W4236" t="s">
        <v>43069</v>
      </c>
      <c r="X4236" t="s">
        <v>45102</v>
      </c>
    </row>
    <row r="4237" spans="1:24">
      <c r="A4237">
        <f>HYPERLINK("https://www.philgeps.gov.ph/GEPSNONPILOT/Tender/SplashBidNoticeAbstractUI.aspx?menuIndex=3&amp;refID=7042003&amp;Result=3","7042003")</f>
        <v>0</v>
      </c>
      <c r="B4237" t="s">
        <v>290</v>
      </c>
      <c r="C4237" t="s">
        <v>7243</v>
      </c>
      <c r="D4237" t="s">
        <v>18043</v>
      </c>
      <c r="E4237" t="s">
        <v>21897</v>
      </c>
      <c r="F4237" t="s">
        <v>31574</v>
      </c>
      <c r="G4237" t="s">
        <v>31581</v>
      </c>
      <c r="H4237" t="s">
        <v>31590</v>
      </c>
      <c r="I4237" t="s">
        <v>4327</v>
      </c>
      <c r="J4237" t="s">
        <v>34531</v>
      </c>
      <c r="K4237" t="s">
        <v>41193</v>
      </c>
      <c r="M4237" t="s">
        <v>41776</v>
      </c>
      <c r="N4237" t="s">
        <v>45095</v>
      </c>
      <c r="O4237" t="s">
        <v>45096</v>
      </c>
      <c r="P4237">
        <v>0</v>
      </c>
      <c r="Q4237">
        <v>1</v>
      </c>
      <c r="R4237" t="s">
        <v>45101</v>
      </c>
      <c r="S4237" t="s">
        <v>45231</v>
      </c>
      <c r="T4237" t="s">
        <v>46926</v>
      </c>
      <c r="U4237" t="s">
        <v>48030</v>
      </c>
      <c r="W4237" t="s">
        <v>41776</v>
      </c>
      <c r="X4237" t="s">
        <v>45102</v>
      </c>
    </row>
    <row r="4238" spans="1:24">
      <c r="A4238">
        <f>HYPERLINK("https://www.philgeps.gov.ph/GEPSNONPILOT/Tender/SplashBidNoticeAbstractUI.aspx?menuIndex=3&amp;refID=7042009&amp;Result=3","7042009")</f>
        <v>0</v>
      </c>
      <c r="B4238" t="s">
        <v>1386</v>
      </c>
      <c r="C4238" t="s">
        <v>7244</v>
      </c>
      <c r="D4238" t="s">
        <v>18039</v>
      </c>
      <c r="E4238" t="s">
        <v>18281</v>
      </c>
      <c r="F4238" t="s">
        <v>31574</v>
      </c>
      <c r="G4238" t="s">
        <v>31581</v>
      </c>
      <c r="H4238" t="s">
        <v>31590</v>
      </c>
      <c r="I4238" t="s">
        <v>14544</v>
      </c>
      <c r="J4238" t="s">
        <v>34532</v>
      </c>
      <c r="K4238" t="s">
        <v>41184</v>
      </c>
      <c r="M4238" t="s">
        <v>42960</v>
      </c>
      <c r="N4238" t="s">
        <v>45095</v>
      </c>
      <c r="O4238" t="s">
        <v>45096</v>
      </c>
      <c r="P4238">
        <v>0</v>
      </c>
      <c r="Q4238">
        <v>0</v>
      </c>
      <c r="R4238" t="s">
        <v>45101</v>
      </c>
      <c r="S4238" t="s">
        <v>45231</v>
      </c>
      <c r="T4238" t="s">
        <v>47154</v>
      </c>
      <c r="U4238" t="s">
        <v>51083</v>
      </c>
      <c r="W4238" t="s">
        <v>42960</v>
      </c>
      <c r="X4238" t="s">
        <v>45102</v>
      </c>
    </row>
    <row r="4239" spans="1:24">
      <c r="A4239">
        <f>HYPERLINK("https://www.philgeps.gov.ph/GEPSNONPILOT/Tender/SplashBidNoticeAbstractUI.aspx?menuIndex=3&amp;refID=7042022&amp;Result=3","7042022")</f>
        <v>0</v>
      </c>
      <c r="B4239" t="s">
        <v>1485</v>
      </c>
      <c r="C4239" t="s">
        <v>7245</v>
      </c>
      <c r="D4239" t="s">
        <v>18039</v>
      </c>
      <c r="E4239" t="s">
        <v>20688</v>
      </c>
      <c r="F4239" t="s">
        <v>31574</v>
      </c>
      <c r="G4239" t="s">
        <v>31582</v>
      </c>
      <c r="H4239" t="s">
        <v>31590</v>
      </c>
      <c r="I4239" t="s">
        <v>31596</v>
      </c>
      <c r="J4239" t="s">
        <v>34533</v>
      </c>
      <c r="K4239" t="s">
        <v>41210</v>
      </c>
      <c r="M4239" t="s">
        <v>43070</v>
      </c>
      <c r="N4239" t="s">
        <v>45095</v>
      </c>
      <c r="O4239" t="s">
        <v>45096</v>
      </c>
      <c r="P4239">
        <v>0</v>
      </c>
      <c r="Q4239">
        <v>3</v>
      </c>
      <c r="R4239" t="s">
        <v>45101</v>
      </c>
      <c r="S4239" t="s">
        <v>45231</v>
      </c>
      <c r="T4239" t="s">
        <v>47100</v>
      </c>
      <c r="U4239" t="s">
        <v>51084</v>
      </c>
      <c r="V4239" t="s">
        <v>60289</v>
      </c>
      <c r="W4239" t="s">
        <v>43070</v>
      </c>
      <c r="X4239" t="s">
        <v>45102</v>
      </c>
    </row>
    <row r="4240" spans="1:24">
      <c r="A4240">
        <f>HYPERLINK("https://www.philgeps.gov.ph/GEPSNONPILOT/Tender/SplashBidNoticeAbstractUI.aspx?menuIndex=3&amp;refID=7042018&amp;Result=3","7042018")</f>
        <v>0</v>
      </c>
      <c r="B4240" t="s">
        <v>1443</v>
      </c>
      <c r="C4240" t="s">
        <v>7246</v>
      </c>
      <c r="D4240" t="s">
        <v>18074</v>
      </c>
      <c r="E4240" t="s">
        <v>21898</v>
      </c>
      <c r="F4240" t="s">
        <v>31574</v>
      </c>
      <c r="G4240" t="s">
        <v>31581</v>
      </c>
      <c r="H4240" t="s">
        <v>31590</v>
      </c>
      <c r="I4240" t="s">
        <v>31630</v>
      </c>
      <c r="J4240" t="s">
        <v>32375</v>
      </c>
      <c r="K4240" t="s">
        <v>41190</v>
      </c>
      <c r="M4240" t="s">
        <v>43020</v>
      </c>
      <c r="N4240" t="s">
        <v>45095</v>
      </c>
      <c r="O4240" t="s">
        <v>45096</v>
      </c>
      <c r="P4240">
        <v>0</v>
      </c>
      <c r="Q4240">
        <v>1</v>
      </c>
      <c r="R4240" t="s">
        <v>45101</v>
      </c>
      <c r="S4240" t="s">
        <v>45231</v>
      </c>
      <c r="T4240" t="s">
        <v>46913</v>
      </c>
      <c r="U4240" t="s">
        <v>51085</v>
      </c>
      <c r="V4240" t="s">
        <v>60290</v>
      </c>
      <c r="W4240" t="s">
        <v>43020</v>
      </c>
      <c r="X4240" t="s">
        <v>45102</v>
      </c>
    </row>
    <row r="4241" spans="1:24">
      <c r="A4241">
        <f>HYPERLINK("https://www.philgeps.gov.ph/GEPSNONPILOT/Tender/SplashBidNoticeAbstractUI.aspx?menuIndex=3&amp;refID=7042029&amp;Result=3","7042029")</f>
        <v>0</v>
      </c>
      <c r="B4241" t="s">
        <v>1443</v>
      </c>
      <c r="C4241" t="s">
        <v>7247</v>
      </c>
      <c r="D4241" t="s">
        <v>18074</v>
      </c>
      <c r="E4241" t="s">
        <v>21899</v>
      </c>
      <c r="F4241" t="s">
        <v>31574</v>
      </c>
      <c r="G4241" t="s">
        <v>31581</v>
      </c>
      <c r="H4241" t="s">
        <v>31590</v>
      </c>
      <c r="I4241" t="s">
        <v>31630</v>
      </c>
      <c r="J4241" t="s">
        <v>32078</v>
      </c>
      <c r="K4241" t="s">
        <v>41190</v>
      </c>
      <c r="M4241" t="s">
        <v>43020</v>
      </c>
      <c r="N4241" t="s">
        <v>45095</v>
      </c>
      <c r="O4241" t="s">
        <v>45096</v>
      </c>
      <c r="P4241">
        <v>0</v>
      </c>
      <c r="Q4241">
        <v>0</v>
      </c>
      <c r="R4241" t="s">
        <v>45101</v>
      </c>
      <c r="S4241" t="s">
        <v>45231</v>
      </c>
      <c r="T4241" t="s">
        <v>46913</v>
      </c>
      <c r="U4241" t="s">
        <v>51086</v>
      </c>
      <c r="V4241" t="s">
        <v>60291</v>
      </c>
      <c r="W4241" t="s">
        <v>43020</v>
      </c>
      <c r="X4241" t="s">
        <v>45102</v>
      </c>
    </row>
    <row r="4242" spans="1:24">
      <c r="A4242">
        <f>HYPERLINK("https://www.philgeps.gov.ph/GEPSNONPILOT/Tender/SplashBidNoticeAbstractUI.aspx?menuIndex=3&amp;refID=7042034&amp;Result=3","7042034")</f>
        <v>0</v>
      </c>
      <c r="B4242" t="s">
        <v>1486</v>
      </c>
      <c r="C4242" t="s">
        <v>7248</v>
      </c>
      <c r="D4242" t="s">
        <v>18102</v>
      </c>
      <c r="E4242" t="s">
        <v>21900</v>
      </c>
      <c r="F4242" t="s">
        <v>31574</v>
      </c>
      <c r="G4242" t="s">
        <v>31583</v>
      </c>
      <c r="H4242" t="s">
        <v>31590</v>
      </c>
      <c r="I4242" t="s">
        <v>6800</v>
      </c>
      <c r="J4242" t="s">
        <v>34534</v>
      </c>
      <c r="K4242" t="s">
        <v>41190</v>
      </c>
      <c r="M4242" t="s">
        <v>43071</v>
      </c>
      <c r="N4242" t="s">
        <v>45095</v>
      </c>
      <c r="O4242" t="s">
        <v>45096</v>
      </c>
      <c r="P4242">
        <v>0</v>
      </c>
      <c r="Q4242">
        <v>1</v>
      </c>
      <c r="R4242" t="s">
        <v>45101</v>
      </c>
      <c r="S4242" t="s">
        <v>45231</v>
      </c>
      <c r="T4242" t="s">
        <v>47067</v>
      </c>
      <c r="U4242" t="s">
        <v>51087</v>
      </c>
      <c r="W4242" t="s">
        <v>43071</v>
      </c>
      <c r="X4242" t="s">
        <v>45102</v>
      </c>
    </row>
    <row r="4243" spans="1:24">
      <c r="A4243">
        <f>HYPERLINK("https://www.philgeps.gov.ph/GEPSNONPILOT/Tender/SplashBidNoticeAbstractUI.aspx?menuIndex=3&amp;refID=7042040&amp;Result=3","7042040")</f>
        <v>0</v>
      </c>
      <c r="B4243" t="s">
        <v>290</v>
      </c>
      <c r="C4243" t="s">
        <v>7249</v>
      </c>
      <c r="D4243" t="s">
        <v>18043</v>
      </c>
      <c r="E4243" t="s">
        <v>21901</v>
      </c>
      <c r="F4243" t="s">
        <v>31574</v>
      </c>
      <c r="G4243" t="s">
        <v>31581</v>
      </c>
      <c r="H4243" t="s">
        <v>31590</v>
      </c>
      <c r="I4243" t="s">
        <v>5222</v>
      </c>
      <c r="J4243" t="s">
        <v>34535</v>
      </c>
      <c r="K4243" t="s">
        <v>41193</v>
      </c>
      <c r="M4243" t="s">
        <v>41776</v>
      </c>
      <c r="N4243" t="s">
        <v>45095</v>
      </c>
      <c r="O4243" t="s">
        <v>45096</v>
      </c>
      <c r="P4243">
        <v>0</v>
      </c>
      <c r="Q4243">
        <v>2</v>
      </c>
      <c r="R4243" t="s">
        <v>45101</v>
      </c>
      <c r="S4243" t="s">
        <v>45231</v>
      </c>
      <c r="T4243" t="s">
        <v>46926</v>
      </c>
      <c r="U4243" t="s">
        <v>48030</v>
      </c>
      <c r="W4243" t="s">
        <v>41776</v>
      </c>
      <c r="X4243" t="s">
        <v>45102</v>
      </c>
    </row>
    <row r="4244" spans="1:24">
      <c r="A4244">
        <f>HYPERLINK("https://www.philgeps.gov.ph/GEPSNONPILOT/Tender/SplashBidNoticeAbstractUI.aspx?menuIndex=3&amp;refID=7042041&amp;Result=3","7042041")</f>
        <v>0</v>
      </c>
      <c r="B4244" t="s">
        <v>1306</v>
      </c>
      <c r="C4244" t="s">
        <v>7250</v>
      </c>
      <c r="D4244" t="s">
        <v>18065</v>
      </c>
      <c r="E4244" t="s">
        <v>21902</v>
      </c>
      <c r="F4244" t="s">
        <v>31576</v>
      </c>
      <c r="G4244" t="s">
        <v>31583</v>
      </c>
      <c r="H4244" t="s">
        <v>31590</v>
      </c>
      <c r="I4244" t="s">
        <v>31656</v>
      </c>
      <c r="J4244" t="s">
        <v>34536</v>
      </c>
      <c r="K4244" t="s">
        <v>41186</v>
      </c>
      <c r="M4244" t="s">
        <v>42876</v>
      </c>
      <c r="N4244" t="s">
        <v>45095</v>
      </c>
      <c r="O4244" t="s">
        <v>45096</v>
      </c>
      <c r="P4244">
        <v>0</v>
      </c>
      <c r="Q4244">
        <v>0</v>
      </c>
      <c r="R4244" t="s">
        <v>45101</v>
      </c>
      <c r="S4244" t="s">
        <v>45231</v>
      </c>
      <c r="T4244" t="s">
        <v>46913</v>
      </c>
      <c r="U4244" t="s">
        <v>51088</v>
      </c>
      <c r="W4244" t="s">
        <v>42876</v>
      </c>
      <c r="X4244" t="s">
        <v>45102</v>
      </c>
    </row>
    <row r="4245" spans="1:24">
      <c r="A4245">
        <f>HYPERLINK("https://www.philgeps.gov.ph/GEPSNONPILOT/Tender/SplashBidNoticeAbstractUI.aspx?menuIndex=3&amp;refID=7042057&amp;Result=3","7042057")</f>
        <v>0</v>
      </c>
      <c r="B4245" t="s">
        <v>1456</v>
      </c>
      <c r="C4245" t="s">
        <v>7251</v>
      </c>
      <c r="D4245" t="s">
        <v>18079</v>
      </c>
      <c r="E4245" t="s">
        <v>21903</v>
      </c>
      <c r="F4245" t="s">
        <v>31574</v>
      </c>
      <c r="G4245" t="s">
        <v>31581</v>
      </c>
      <c r="H4245" t="s">
        <v>31590</v>
      </c>
      <c r="I4245" t="s">
        <v>5717</v>
      </c>
      <c r="J4245" t="s">
        <v>34537</v>
      </c>
      <c r="K4245" t="s">
        <v>41190</v>
      </c>
      <c r="M4245" t="s">
        <v>43036</v>
      </c>
      <c r="N4245" t="s">
        <v>45095</v>
      </c>
      <c r="O4245" t="s">
        <v>45096</v>
      </c>
      <c r="P4245">
        <v>0</v>
      </c>
      <c r="Q4245">
        <v>5</v>
      </c>
      <c r="R4245" t="s">
        <v>45101</v>
      </c>
      <c r="S4245" t="s">
        <v>45231</v>
      </c>
      <c r="T4245" t="s">
        <v>46936</v>
      </c>
      <c r="U4245" t="s">
        <v>51089</v>
      </c>
      <c r="W4245" t="s">
        <v>43036</v>
      </c>
      <c r="X4245" t="s">
        <v>45102</v>
      </c>
    </row>
    <row r="4246" spans="1:24">
      <c r="A4246">
        <f>HYPERLINK("https://www.philgeps.gov.ph/GEPSNONPILOT/Tender/SplashBidNoticeAbstractUI.aspx?menuIndex=3&amp;refID=7042053&amp;Result=3","7042053")</f>
        <v>0</v>
      </c>
      <c r="B4246" t="s">
        <v>1482</v>
      </c>
      <c r="C4246" t="s">
        <v>7252</v>
      </c>
      <c r="D4246" t="s">
        <v>18037</v>
      </c>
      <c r="E4246" t="s">
        <v>21904</v>
      </c>
      <c r="F4246" t="s">
        <v>31574</v>
      </c>
      <c r="G4246" t="s">
        <v>31581</v>
      </c>
      <c r="H4246" t="s">
        <v>31590</v>
      </c>
      <c r="I4246" t="s">
        <v>31619</v>
      </c>
      <c r="J4246" t="s">
        <v>33164</v>
      </c>
      <c r="K4246" t="s">
        <v>41193</v>
      </c>
      <c r="M4246" t="s">
        <v>43067</v>
      </c>
      <c r="N4246" t="s">
        <v>45095</v>
      </c>
      <c r="O4246" t="s">
        <v>45096</v>
      </c>
      <c r="P4246">
        <v>0</v>
      </c>
      <c r="Q4246">
        <v>4</v>
      </c>
      <c r="R4246" t="s">
        <v>45101</v>
      </c>
      <c r="S4246" t="s">
        <v>45231</v>
      </c>
      <c r="T4246" t="s">
        <v>47077</v>
      </c>
      <c r="U4246" t="s">
        <v>51078</v>
      </c>
      <c r="W4246" t="s">
        <v>43067</v>
      </c>
      <c r="X4246" t="s">
        <v>45102</v>
      </c>
    </row>
    <row r="4247" spans="1:24">
      <c r="A4247">
        <f>HYPERLINK("https://www.philgeps.gov.ph/GEPSNONPILOT/Tender/SplashBidNoticeAbstractUI.aspx?menuIndex=3&amp;refID=7042052&amp;Result=3","7042052")</f>
        <v>0</v>
      </c>
      <c r="B4247" t="s">
        <v>402</v>
      </c>
      <c r="C4247" t="s">
        <v>7253</v>
      </c>
      <c r="D4247" t="s">
        <v>18078</v>
      </c>
      <c r="E4247" t="s">
        <v>21905</v>
      </c>
      <c r="F4247" t="s">
        <v>31574</v>
      </c>
      <c r="G4247" t="s">
        <v>31581</v>
      </c>
      <c r="H4247" t="s">
        <v>31592</v>
      </c>
      <c r="I4247" t="s">
        <v>31623</v>
      </c>
      <c r="J4247" t="s">
        <v>32366</v>
      </c>
      <c r="K4247" t="s">
        <v>41197</v>
      </c>
      <c r="M4247" t="s">
        <v>41893</v>
      </c>
      <c r="N4247" t="s">
        <v>45095</v>
      </c>
      <c r="O4247" t="s">
        <v>45096</v>
      </c>
      <c r="P4247">
        <v>0</v>
      </c>
      <c r="Q4247">
        <v>0</v>
      </c>
      <c r="R4247" t="s">
        <v>45101</v>
      </c>
      <c r="S4247" t="s">
        <v>45231</v>
      </c>
      <c r="T4247" t="s">
        <v>47183</v>
      </c>
      <c r="U4247" t="s">
        <v>51090</v>
      </c>
      <c r="W4247" t="s">
        <v>41893</v>
      </c>
      <c r="X4247" t="s">
        <v>45102</v>
      </c>
    </row>
    <row r="4248" spans="1:24">
      <c r="A4248">
        <f>HYPERLINK("https://www.philgeps.gov.ph/GEPSNONPILOT/Tender/SplashBidNoticeAbstractUI.aspx?menuIndex=3&amp;refID=7042055&amp;Result=3","7042055")</f>
        <v>0</v>
      </c>
      <c r="B4248" t="s">
        <v>1357</v>
      </c>
      <c r="C4248" t="s">
        <v>7254</v>
      </c>
      <c r="D4248" t="s">
        <v>18054</v>
      </c>
      <c r="E4248" t="s">
        <v>21906</v>
      </c>
      <c r="F4248" t="s">
        <v>31574</v>
      </c>
      <c r="G4248" t="s">
        <v>31582</v>
      </c>
      <c r="H4248" t="s">
        <v>31590</v>
      </c>
      <c r="I4248" t="s">
        <v>31614</v>
      </c>
      <c r="J4248" t="s">
        <v>32774</v>
      </c>
      <c r="K4248" t="s">
        <v>41192</v>
      </c>
      <c r="M4248" t="s">
        <v>42929</v>
      </c>
      <c r="N4248" t="s">
        <v>45095</v>
      </c>
      <c r="O4248" t="s">
        <v>45096</v>
      </c>
      <c r="P4248">
        <v>0</v>
      </c>
      <c r="Q4248">
        <v>3</v>
      </c>
      <c r="R4248" t="s">
        <v>45101</v>
      </c>
      <c r="S4248" t="s">
        <v>45231</v>
      </c>
      <c r="T4248" t="s">
        <v>46913</v>
      </c>
      <c r="U4248" t="s">
        <v>50750</v>
      </c>
      <c r="V4248" t="s">
        <v>60229</v>
      </c>
      <c r="W4248" t="s">
        <v>42929</v>
      </c>
      <c r="X4248" t="s">
        <v>45102</v>
      </c>
    </row>
    <row r="4249" spans="1:24">
      <c r="A4249">
        <f>HYPERLINK("https://www.philgeps.gov.ph/GEPSNONPILOT/Tender/SplashBidNoticeAbstractUI.aspx?menuIndex=3&amp;refID=7042061&amp;Result=3","7042061")</f>
        <v>0</v>
      </c>
      <c r="B4249" t="s">
        <v>1487</v>
      </c>
      <c r="C4249" t="s">
        <v>7255</v>
      </c>
      <c r="D4249" t="s">
        <v>18047</v>
      </c>
      <c r="E4249" t="s">
        <v>21907</v>
      </c>
      <c r="F4249" t="s">
        <v>31574</v>
      </c>
      <c r="G4249" t="s">
        <v>31582</v>
      </c>
      <c r="H4249" t="s">
        <v>31591</v>
      </c>
      <c r="I4249" t="s">
        <v>8822</v>
      </c>
      <c r="J4249" t="s">
        <v>34538</v>
      </c>
      <c r="K4249" t="s">
        <v>41228</v>
      </c>
      <c r="M4249" t="s">
        <v>43072</v>
      </c>
      <c r="N4249" t="s">
        <v>45095</v>
      </c>
      <c r="O4249" t="s">
        <v>45096</v>
      </c>
      <c r="P4249">
        <v>0</v>
      </c>
      <c r="Q4249">
        <v>0</v>
      </c>
      <c r="R4249" t="s">
        <v>45101</v>
      </c>
      <c r="S4249" t="s">
        <v>45231</v>
      </c>
      <c r="T4249" t="s">
        <v>47192</v>
      </c>
      <c r="U4249" t="s">
        <v>51091</v>
      </c>
      <c r="W4249" t="s">
        <v>43072</v>
      </c>
      <c r="X4249" t="s">
        <v>45102</v>
      </c>
    </row>
    <row r="4250" spans="1:24">
      <c r="A4250">
        <f>HYPERLINK("https://www.philgeps.gov.ph/GEPSNONPILOT/Tender/SplashBidNoticeAbstractUI.aspx?menuIndex=3&amp;refID=7042047&amp;Result=3","7042047")</f>
        <v>0</v>
      </c>
      <c r="B4250" t="s">
        <v>1443</v>
      </c>
      <c r="C4250" t="s">
        <v>7256</v>
      </c>
      <c r="D4250" t="s">
        <v>18074</v>
      </c>
      <c r="E4250" t="s">
        <v>21908</v>
      </c>
      <c r="F4250" t="s">
        <v>31574</v>
      </c>
      <c r="G4250" t="s">
        <v>31581</v>
      </c>
      <c r="H4250" t="s">
        <v>31590</v>
      </c>
      <c r="I4250" t="s">
        <v>31602</v>
      </c>
      <c r="J4250" t="s">
        <v>34539</v>
      </c>
      <c r="K4250" t="s">
        <v>41190</v>
      </c>
      <c r="M4250" t="s">
        <v>43020</v>
      </c>
      <c r="N4250" t="s">
        <v>45095</v>
      </c>
      <c r="O4250" t="s">
        <v>45096</v>
      </c>
      <c r="P4250">
        <v>0</v>
      </c>
      <c r="Q4250">
        <v>0</v>
      </c>
      <c r="R4250" t="s">
        <v>45101</v>
      </c>
      <c r="S4250" t="s">
        <v>45231</v>
      </c>
      <c r="T4250" t="s">
        <v>46913</v>
      </c>
      <c r="U4250" t="s">
        <v>51092</v>
      </c>
      <c r="V4250" t="s">
        <v>60292</v>
      </c>
      <c r="W4250" t="s">
        <v>43020</v>
      </c>
      <c r="X4250" t="s">
        <v>45102</v>
      </c>
    </row>
    <row r="4251" spans="1:24">
      <c r="A4251">
        <f>HYPERLINK("https://www.philgeps.gov.ph/GEPSNONPILOT/Tender/SplashBidNoticeAbstractUI.aspx?menuIndex=3&amp;refID=7042068&amp;Result=3","7042068")</f>
        <v>0</v>
      </c>
      <c r="B4251" t="s">
        <v>1376</v>
      </c>
      <c r="C4251" t="s">
        <v>7257</v>
      </c>
      <c r="E4251" t="s">
        <v>21909</v>
      </c>
      <c r="F4251" t="s">
        <v>31574</v>
      </c>
      <c r="G4251" t="s">
        <v>31582</v>
      </c>
      <c r="H4251" t="s">
        <v>31591</v>
      </c>
      <c r="I4251" t="s">
        <v>8822</v>
      </c>
      <c r="J4251" t="s">
        <v>31771</v>
      </c>
      <c r="K4251" t="s">
        <v>41184</v>
      </c>
      <c r="M4251" t="s">
        <v>42950</v>
      </c>
      <c r="N4251" t="s">
        <v>45095</v>
      </c>
      <c r="O4251" t="s">
        <v>45096</v>
      </c>
      <c r="P4251">
        <v>0</v>
      </c>
      <c r="Q4251">
        <v>0</v>
      </c>
      <c r="R4251" t="s">
        <v>45101</v>
      </c>
      <c r="S4251" t="s">
        <v>45231</v>
      </c>
      <c r="T4251" t="s">
        <v>47199</v>
      </c>
      <c r="U4251" t="s">
        <v>51044</v>
      </c>
      <c r="W4251" t="s">
        <v>42950</v>
      </c>
      <c r="X4251" t="s">
        <v>45102</v>
      </c>
    </row>
    <row r="4252" spans="1:24">
      <c r="A4252">
        <f>HYPERLINK("https://www.philgeps.gov.ph/GEPSNONPILOT/Tender/SplashBidNoticeAbstractUI.aspx?menuIndex=3&amp;refID=7042067&amp;Result=3","7042067")</f>
        <v>0</v>
      </c>
      <c r="B4252" t="s">
        <v>469</v>
      </c>
      <c r="C4252" t="s">
        <v>4604</v>
      </c>
      <c r="D4252" t="s">
        <v>18091</v>
      </c>
      <c r="E4252" t="s">
        <v>21910</v>
      </c>
      <c r="F4252" t="s">
        <v>31574</v>
      </c>
      <c r="G4252" t="s">
        <v>31581</v>
      </c>
      <c r="H4252" t="s">
        <v>31590</v>
      </c>
      <c r="I4252" t="s">
        <v>3487</v>
      </c>
      <c r="J4252" t="s">
        <v>34540</v>
      </c>
      <c r="K4252" t="s">
        <v>41196</v>
      </c>
      <c r="M4252" t="s">
        <v>41963</v>
      </c>
      <c r="N4252" t="s">
        <v>45095</v>
      </c>
      <c r="O4252" t="s">
        <v>45096</v>
      </c>
      <c r="P4252">
        <v>0</v>
      </c>
      <c r="Q4252">
        <v>1</v>
      </c>
      <c r="R4252" t="s">
        <v>45101</v>
      </c>
      <c r="S4252" t="s">
        <v>45231</v>
      </c>
      <c r="T4252" t="s">
        <v>47178</v>
      </c>
      <c r="U4252" t="s">
        <v>51093</v>
      </c>
      <c r="W4252" t="s">
        <v>41963</v>
      </c>
      <c r="X4252" t="s">
        <v>45102</v>
      </c>
    </row>
    <row r="4253" spans="1:24">
      <c r="A4253">
        <f>HYPERLINK("https://www.philgeps.gov.ph/GEPSNONPILOT/Tender/SplashBidNoticeAbstractUI.aspx?menuIndex=3&amp;refID=7042059&amp;Result=3","7042059")</f>
        <v>0</v>
      </c>
      <c r="B4253" t="s">
        <v>1443</v>
      </c>
      <c r="C4253" t="s">
        <v>7258</v>
      </c>
      <c r="D4253" t="s">
        <v>18074</v>
      </c>
      <c r="E4253" t="s">
        <v>21911</v>
      </c>
      <c r="F4253" t="s">
        <v>31574</v>
      </c>
      <c r="G4253" t="s">
        <v>31581</v>
      </c>
      <c r="H4253" t="s">
        <v>31590</v>
      </c>
      <c r="I4253" t="s">
        <v>5717</v>
      </c>
      <c r="J4253" t="s">
        <v>34541</v>
      </c>
      <c r="K4253" t="s">
        <v>41190</v>
      </c>
      <c r="M4253" t="s">
        <v>43020</v>
      </c>
      <c r="N4253" t="s">
        <v>45095</v>
      </c>
      <c r="O4253" t="s">
        <v>45096</v>
      </c>
      <c r="P4253">
        <v>0</v>
      </c>
      <c r="Q4253">
        <v>5</v>
      </c>
      <c r="R4253" t="s">
        <v>45101</v>
      </c>
      <c r="S4253" t="s">
        <v>45231</v>
      </c>
      <c r="T4253" t="s">
        <v>46913</v>
      </c>
      <c r="U4253" t="s">
        <v>51094</v>
      </c>
      <c r="V4253" t="s">
        <v>60293</v>
      </c>
      <c r="W4253" t="s">
        <v>43020</v>
      </c>
      <c r="X4253" t="s">
        <v>45102</v>
      </c>
    </row>
    <row r="4254" spans="1:24">
      <c r="A4254">
        <f>HYPERLINK("https://www.philgeps.gov.ph/GEPSNONPILOT/Tender/SplashBidNoticeAbstractUI.aspx?menuIndex=3&amp;refID=7042064&amp;Result=3","7042064")</f>
        <v>0</v>
      </c>
      <c r="B4254" t="s">
        <v>516</v>
      </c>
      <c r="C4254" t="s">
        <v>7259</v>
      </c>
      <c r="D4254" t="s">
        <v>18031</v>
      </c>
      <c r="E4254" t="s">
        <v>21912</v>
      </c>
      <c r="F4254" t="s">
        <v>31574</v>
      </c>
      <c r="G4254" t="s">
        <v>31581</v>
      </c>
      <c r="H4254" t="s">
        <v>31590</v>
      </c>
      <c r="I4254" t="s">
        <v>31615</v>
      </c>
      <c r="J4254" t="s">
        <v>34542</v>
      </c>
      <c r="K4254" t="s">
        <v>41193</v>
      </c>
      <c r="M4254" t="s">
        <v>42012</v>
      </c>
      <c r="N4254" t="s">
        <v>45095</v>
      </c>
      <c r="O4254" t="s">
        <v>45096</v>
      </c>
      <c r="P4254">
        <v>0</v>
      </c>
      <c r="Q4254">
        <v>0</v>
      </c>
      <c r="R4254" t="s">
        <v>45101</v>
      </c>
      <c r="S4254" t="s">
        <v>45231</v>
      </c>
      <c r="T4254" t="s">
        <v>46918</v>
      </c>
      <c r="U4254" t="s">
        <v>48512</v>
      </c>
      <c r="W4254" t="s">
        <v>42012</v>
      </c>
      <c r="X4254" t="s">
        <v>45102</v>
      </c>
    </row>
    <row r="4255" spans="1:24">
      <c r="A4255">
        <f>HYPERLINK("https://www.philgeps.gov.ph/GEPSNONPILOT/Tender/SplashBidNoticeAbstractUI.aspx?menuIndex=3&amp;refID=7042050&amp;Result=3","7042050")</f>
        <v>0</v>
      </c>
      <c r="B4255" t="s">
        <v>200</v>
      </c>
      <c r="C4255" t="s">
        <v>7260</v>
      </c>
      <c r="D4255" t="s">
        <v>18070</v>
      </c>
      <c r="E4255" t="s">
        <v>21913</v>
      </c>
      <c r="F4255" t="s">
        <v>31574</v>
      </c>
      <c r="G4255" t="s">
        <v>31581</v>
      </c>
      <c r="H4255" t="s">
        <v>31590</v>
      </c>
      <c r="I4255" t="s">
        <v>14544</v>
      </c>
      <c r="J4255" t="s">
        <v>34543</v>
      </c>
      <c r="K4255" t="s">
        <v>41194</v>
      </c>
      <c r="M4255" t="s">
        <v>41685</v>
      </c>
      <c r="N4255" t="s">
        <v>45095</v>
      </c>
      <c r="O4255" t="s">
        <v>45096</v>
      </c>
      <c r="P4255">
        <v>0</v>
      </c>
      <c r="Q4255">
        <v>0</v>
      </c>
      <c r="R4255" t="s">
        <v>45101</v>
      </c>
      <c r="S4255" t="s">
        <v>45231</v>
      </c>
      <c r="T4255" t="s">
        <v>47154</v>
      </c>
      <c r="U4255" t="s">
        <v>51095</v>
      </c>
      <c r="W4255" t="s">
        <v>41685</v>
      </c>
      <c r="X4255" t="s">
        <v>45102</v>
      </c>
    </row>
    <row r="4256" spans="1:24">
      <c r="A4256">
        <f>HYPERLINK("https://www.philgeps.gov.ph/GEPSNONPILOT/Tender/SplashBidNoticeAbstractUI.aspx?menuIndex=3&amp;refID=7042065&amp;Result=3","7042065")</f>
        <v>0</v>
      </c>
      <c r="B4256" t="s">
        <v>1488</v>
      </c>
      <c r="C4256" t="s">
        <v>7261</v>
      </c>
      <c r="D4256" t="s">
        <v>18088</v>
      </c>
      <c r="E4256" t="s">
        <v>21914</v>
      </c>
      <c r="F4256" t="s">
        <v>31574</v>
      </c>
      <c r="G4256" t="s">
        <v>31583</v>
      </c>
      <c r="H4256" t="s">
        <v>31590</v>
      </c>
      <c r="I4256" t="s">
        <v>3487</v>
      </c>
      <c r="J4256" t="s">
        <v>34544</v>
      </c>
      <c r="K4256" t="s">
        <v>41184</v>
      </c>
      <c r="M4256" t="s">
        <v>43073</v>
      </c>
      <c r="N4256" t="s">
        <v>45095</v>
      </c>
      <c r="O4256" t="s">
        <v>45096</v>
      </c>
      <c r="P4256">
        <v>0</v>
      </c>
      <c r="Q4256">
        <v>0</v>
      </c>
      <c r="R4256" t="s">
        <v>45101</v>
      </c>
      <c r="S4256" t="s">
        <v>45231</v>
      </c>
      <c r="T4256" t="s">
        <v>47154</v>
      </c>
      <c r="U4256" t="s">
        <v>51096</v>
      </c>
      <c r="V4256" t="s">
        <v>60294</v>
      </c>
      <c r="W4256" t="s">
        <v>43073</v>
      </c>
      <c r="X4256" t="s">
        <v>45102</v>
      </c>
    </row>
    <row r="4257" spans="1:24">
      <c r="A4257">
        <f>HYPERLINK("https://www.philgeps.gov.ph/GEPSNONPILOT/Tender/SplashBidNoticeAbstractUI.aspx?menuIndex=3&amp;refID=7042072&amp;Result=3","7042072")</f>
        <v>0</v>
      </c>
      <c r="B4257" t="s">
        <v>421</v>
      </c>
      <c r="C4257" t="s">
        <v>7262</v>
      </c>
      <c r="D4257" t="s">
        <v>18053</v>
      </c>
      <c r="E4257" t="s">
        <v>21915</v>
      </c>
      <c r="F4257" t="s">
        <v>31574</v>
      </c>
      <c r="G4257" t="s">
        <v>31583</v>
      </c>
      <c r="H4257" t="s">
        <v>31590</v>
      </c>
      <c r="I4257" t="s">
        <v>5717</v>
      </c>
      <c r="J4257" t="s">
        <v>34545</v>
      </c>
      <c r="K4257" t="s">
        <v>41184</v>
      </c>
      <c r="L4257" t="s">
        <v>421</v>
      </c>
      <c r="M4257" t="s">
        <v>41913</v>
      </c>
      <c r="N4257" t="s">
        <v>45095</v>
      </c>
      <c r="O4257" t="s">
        <v>45096</v>
      </c>
      <c r="P4257">
        <v>0</v>
      </c>
      <c r="Q4257">
        <v>3</v>
      </c>
      <c r="R4257" t="s">
        <v>45101</v>
      </c>
      <c r="S4257" t="s">
        <v>45231</v>
      </c>
      <c r="T4257" t="s">
        <v>46963</v>
      </c>
      <c r="U4257" t="s">
        <v>48307</v>
      </c>
      <c r="W4257" t="s">
        <v>41913</v>
      </c>
      <c r="X4257" t="s">
        <v>45102</v>
      </c>
    </row>
    <row r="4258" spans="1:24">
      <c r="A4258">
        <f>HYPERLINK("https://www.philgeps.gov.ph/GEPSNONPILOT/Tender/SplashBidNoticeAbstractUI.aspx?menuIndex=3&amp;refID=7042063&amp;Result=3","7042063")</f>
        <v>0</v>
      </c>
      <c r="B4258" t="s">
        <v>1489</v>
      </c>
      <c r="C4258" t="s">
        <v>7263</v>
      </c>
      <c r="D4258" t="s">
        <v>18026</v>
      </c>
      <c r="E4258" t="s">
        <v>21916</v>
      </c>
      <c r="F4258" t="s">
        <v>31574</v>
      </c>
      <c r="G4258" t="s">
        <v>31582</v>
      </c>
      <c r="H4258" t="s">
        <v>31591</v>
      </c>
      <c r="I4258" t="s">
        <v>4046</v>
      </c>
      <c r="J4258" t="s">
        <v>34546</v>
      </c>
      <c r="K4258" t="s">
        <v>41184</v>
      </c>
      <c r="M4258" t="s">
        <v>43074</v>
      </c>
      <c r="N4258" t="s">
        <v>45095</v>
      </c>
      <c r="O4258" t="s">
        <v>45096</v>
      </c>
      <c r="P4258">
        <v>0</v>
      </c>
      <c r="Q4258">
        <v>1</v>
      </c>
      <c r="R4258" t="s">
        <v>45101</v>
      </c>
      <c r="S4258" t="s">
        <v>45231</v>
      </c>
      <c r="T4258" t="s">
        <v>46989</v>
      </c>
      <c r="U4258" t="s">
        <v>51097</v>
      </c>
      <c r="V4258" t="s">
        <v>60295</v>
      </c>
      <c r="W4258" t="s">
        <v>43074</v>
      </c>
      <c r="X4258" t="s">
        <v>45102</v>
      </c>
    </row>
    <row r="4259" spans="1:24">
      <c r="A4259">
        <f>HYPERLINK("https://www.philgeps.gov.ph/GEPSNONPILOT/Tender/SplashBidNoticeAbstractUI.aspx?menuIndex=3&amp;refID=7042071&amp;Result=3","7042071")</f>
        <v>0</v>
      </c>
      <c r="B4259" t="s">
        <v>1443</v>
      </c>
      <c r="C4259" t="s">
        <v>7264</v>
      </c>
      <c r="D4259" t="s">
        <v>18074</v>
      </c>
      <c r="E4259" t="s">
        <v>21917</v>
      </c>
      <c r="F4259" t="s">
        <v>31574</v>
      </c>
      <c r="G4259" t="s">
        <v>31581</v>
      </c>
      <c r="H4259" t="s">
        <v>31590</v>
      </c>
      <c r="I4259" t="s">
        <v>4046</v>
      </c>
      <c r="J4259" t="s">
        <v>34547</v>
      </c>
      <c r="K4259" t="s">
        <v>41190</v>
      </c>
      <c r="M4259" t="s">
        <v>43020</v>
      </c>
      <c r="N4259" t="s">
        <v>45095</v>
      </c>
      <c r="O4259" t="s">
        <v>45096</v>
      </c>
      <c r="P4259">
        <v>0</v>
      </c>
      <c r="Q4259">
        <v>0</v>
      </c>
      <c r="R4259" t="s">
        <v>45101</v>
      </c>
      <c r="S4259" t="s">
        <v>45231</v>
      </c>
      <c r="T4259" t="s">
        <v>46913</v>
      </c>
      <c r="U4259" t="s">
        <v>51052</v>
      </c>
      <c r="V4259" t="s">
        <v>60296</v>
      </c>
      <c r="W4259" t="s">
        <v>43020</v>
      </c>
      <c r="X4259" t="s">
        <v>45102</v>
      </c>
    </row>
    <row r="4260" spans="1:24">
      <c r="A4260">
        <f>HYPERLINK("https://www.philgeps.gov.ph/GEPSNONPILOT/Tender/SplashBidNoticeAbstractUI.aspx?menuIndex=3&amp;refID=7042038&amp;Result=3","7042038")</f>
        <v>0</v>
      </c>
      <c r="B4260" t="s">
        <v>189</v>
      </c>
      <c r="C4260" t="s">
        <v>6886</v>
      </c>
      <c r="D4260" t="s">
        <v>18081</v>
      </c>
      <c r="E4260" t="s">
        <v>20047</v>
      </c>
      <c r="F4260" t="s">
        <v>31574</v>
      </c>
      <c r="G4260" t="s">
        <v>31581</v>
      </c>
      <c r="H4260" t="s">
        <v>31590</v>
      </c>
      <c r="I4260" t="s">
        <v>31608</v>
      </c>
      <c r="J4260" t="s">
        <v>32746</v>
      </c>
      <c r="K4260" t="s">
        <v>41196</v>
      </c>
      <c r="M4260" t="s">
        <v>41674</v>
      </c>
      <c r="N4260" t="s">
        <v>45095</v>
      </c>
      <c r="O4260" t="s">
        <v>45096</v>
      </c>
      <c r="P4260">
        <v>0</v>
      </c>
      <c r="Q4260">
        <v>1</v>
      </c>
      <c r="R4260" t="s">
        <v>45101</v>
      </c>
      <c r="S4260" t="s">
        <v>45231</v>
      </c>
      <c r="T4260" t="s">
        <v>47191</v>
      </c>
      <c r="U4260" t="s">
        <v>51098</v>
      </c>
      <c r="W4260" t="s">
        <v>41674</v>
      </c>
      <c r="X4260" t="s">
        <v>45102</v>
      </c>
    </row>
    <row r="4261" spans="1:24">
      <c r="A4261">
        <f>HYPERLINK("https://www.philgeps.gov.ph/GEPSNONPILOT/Tender/SplashBidNoticeAbstractUI.aspx?menuIndex=3&amp;refID=7042100&amp;Result=3","7042100")</f>
        <v>0</v>
      </c>
      <c r="B4261" t="s">
        <v>118</v>
      </c>
      <c r="C4261" t="s">
        <v>7265</v>
      </c>
      <c r="D4261" t="s">
        <v>18055</v>
      </c>
      <c r="E4261" t="s">
        <v>21918</v>
      </c>
      <c r="F4261" t="s">
        <v>31574</v>
      </c>
      <c r="G4261" t="s">
        <v>31582</v>
      </c>
      <c r="H4261" t="s">
        <v>31591</v>
      </c>
      <c r="I4261" t="s">
        <v>8822</v>
      </c>
      <c r="J4261" t="s">
        <v>34548</v>
      </c>
      <c r="K4261" t="s">
        <v>41312</v>
      </c>
      <c r="M4261" t="s">
        <v>41602</v>
      </c>
      <c r="N4261" t="s">
        <v>45095</v>
      </c>
      <c r="O4261" t="s">
        <v>45096</v>
      </c>
      <c r="P4261">
        <v>0</v>
      </c>
      <c r="Q4261">
        <v>8</v>
      </c>
      <c r="R4261" t="s">
        <v>45101</v>
      </c>
      <c r="S4261" t="s">
        <v>45231</v>
      </c>
      <c r="T4261" t="s">
        <v>46987</v>
      </c>
      <c r="U4261" t="s">
        <v>51099</v>
      </c>
      <c r="W4261" t="s">
        <v>41602</v>
      </c>
      <c r="X4261" t="s">
        <v>45102</v>
      </c>
    </row>
    <row r="4262" spans="1:24">
      <c r="A4262">
        <f>HYPERLINK("https://www.philgeps.gov.ph/GEPSNONPILOT/Tender/SplashBidNoticeAbstractUI.aspx?menuIndex=3&amp;refID=7042049&amp;Result=3","7042049")</f>
        <v>0</v>
      </c>
      <c r="B4262" t="s">
        <v>469</v>
      </c>
      <c r="C4262" t="s">
        <v>7266</v>
      </c>
      <c r="D4262" t="s">
        <v>18091</v>
      </c>
      <c r="E4262" t="s">
        <v>21919</v>
      </c>
      <c r="F4262" t="s">
        <v>31574</v>
      </c>
      <c r="G4262" t="s">
        <v>31581</v>
      </c>
      <c r="H4262" t="s">
        <v>31592</v>
      </c>
      <c r="I4262" t="s">
        <v>31623</v>
      </c>
      <c r="J4262" t="s">
        <v>32019</v>
      </c>
      <c r="K4262" t="s">
        <v>41196</v>
      </c>
      <c r="M4262" t="s">
        <v>41963</v>
      </c>
      <c r="N4262" t="s">
        <v>45095</v>
      </c>
      <c r="O4262" t="s">
        <v>45096</v>
      </c>
      <c r="P4262">
        <v>0</v>
      </c>
      <c r="Q4262">
        <v>0</v>
      </c>
      <c r="R4262" t="s">
        <v>45101</v>
      </c>
      <c r="S4262" t="s">
        <v>45231</v>
      </c>
      <c r="T4262" t="s">
        <v>47178</v>
      </c>
      <c r="U4262" t="s">
        <v>51100</v>
      </c>
      <c r="W4262" t="s">
        <v>41963</v>
      </c>
      <c r="X4262" t="s">
        <v>45102</v>
      </c>
    </row>
    <row r="4263" spans="1:24">
      <c r="A4263">
        <f>HYPERLINK("https://www.philgeps.gov.ph/GEPSNONPILOT/Tender/SplashBidNoticeAbstractUI.aspx?menuIndex=3&amp;refID=7042073&amp;Result=3","7042073")</f>
        <v>0</v>
      </c>
      <c r="B4263" t="s">
        <v>274</v>
      </c>
      <c r="C4263" t="s">
        <v>7267</v>
      </c>
      <c r="D4263" t="s">
        <v>18071</v>
      </c>
      <c r="E4263" t="s">
        <v>21920</v>
      </c>
      <c r="F4263" t="s">
        <v>31574</v>
      </c>
      <c r="G4263" t="s">
        <v>31585</v>
      </c>
      <c r="H4263" t="s">
        <v>31590</v>
      </c>
      <c r="I4263" t="s">
        <v>31623</v>
      </c>
      <c r="J4263" t="s">
        <v>34549</v>
      </c>
      <c r="K4263" t="s">
        <v>41184</v>
      </c>
      <c r="M4263" t="s">
        <v>41760</v>
      </c>
      <c r="N4263" t="s">
        <v>45095</v>
      </c>
      <c r="O4263" t="s">
        <v>45096</v>
      </c>
      <c r="P4263">
        <v>0</v>
      </c>
      <c r="Q4263">
        <v>0</v>
      </c>
      <c r="R4263" t="s">
        <v>45101</v>
      </c>
      <c r="S4263" t="s">
        <v>45231</v>
      </c>
      <c r="T4263" t="s">
        <v>47154</v>
      </c>
      <c r="U4263" t="s">
        <v>51101</v>
      </c>
      <c r="W4263" t="s">
        <v>61660</v>
      </c>
      <c r="X4263" t="s">
        <v>45102</v>
      </c>
    </row>
    <row r="4264" spans="1:24">
      <c r="A4264">
        <f>HYPERLINK("https://www.philgeps.gov.ph/GEPSNONPILOT/Tender/SplashBidNoticeAbstractUI.aspx?menuIndex=3&amp;refID=7042098&amp;Result=3","7042098")</f>
        <v>0</v>
      </c>
      <c r="B4264" t="s">
        <v>1242</v>
      </c>
      <c r="C4264" t="s">
        <v>7268</v>
      </c>
      <c r="D4264" t="s">
        <v>18056</v>
      </c>
      <c r="E4264" t="s">
        <v>21921</v>
      </c>
      <c r="F4264" t="s">
        <v>31574</v>
      </c>
      <c r="G4264" t="s">
        <v>31581</v>
      </c>
      <c r="H4264" t="s">
        <v>31590</v>
      </c>
      <c r="I4264" t="s">
        <v>31693</v>
      </c>
      <c r="J4264" t="s">
        <v>31962</v>
      </c>
      <c r="K4264" t="s">
        <v>41186</v>
      </c>
      <c r="M4264" t="s">
        <v>43066</v>
      </c>
      <c r="N4264" t="s">
        <v>45095</v>
      </c>
      <c r="O4264" t="s">
        <v>45096</v>
      </c>
      <c r="P4264">
        <v>0</v>
      </c>
      <c r="Q4264">
        <v>2</v>
      </c>
      <c r="R4264" t="s">
        <v>45101</v>
      </c>
      <c r="S4264" t="s">
        <v>45231</v>
      </c>
      <c r="T4264" t="s">
        <v>47154</v>
      </c>
      <c r="U4264" t="s">
        <v>50453</v>
      </c>
      <c r="W4264" t="s">
        <v>43066</v>
      </c>
      <c r="X4264" t="s">
        <v>45102</v>
      </c>
    </row>
    <row r="4265" spans="1:24">
      <c r="A4265">
        <f>HYPERLINK("https://www.philgeps.gov.ph/GEPSNONPILOT/Tender/SplashBidNoticeAbstractUI.aspx?menuIndex=3&amp;refID=7042039&amp;Result=3","7042039")</f>
        <v>0</v>
      </c>
      <c r="B4265" t="s">
        <v>1487</v>
      </c>
      <c r="C4265" t="s">
        <v>7269</v>
      </c>
      <c r="D4265" t="s">
        <v>18047</v>
      </c>
      <c r="E4265" t="s">
        <v>21922</v>
      </c>
      <c r="F4265" t="s">
        <v>31574</v>
      </c>
      <c r="G4265" t="s">
        <v>31582</v>
      </c>
      <c r="H4265" t="s">
        <v>31590</v>
      </c>
      <c r="I4265" t="s">
        <v>31701</v>
      </c>
      <c r="J4265" t="s">
        <v>32049</v>
      </c>
      <c r="K4265" t="s">
        <v>41186</v>
      </c>
      <c r="M4265" t="s">
        <v>43072</v>
      </c>
      <c r="N4265" t="s">
        <v>45095</v>
      </c>
      <c r="O4265" t="s">
        <v>45096</v>
      </c>
      <c r="P4265">
        <v>0</v>
      </c>
      <c r="Q4265">
        <v>2</v>
      </c>
      <c r="R4265" t="s">
        <v>45101</v>
      </c>
      <c r="S4265" t="s">
        <v>45231</v>
      </c>
      <c r="T4265" t="s">
        <v>46986</v>
      </c>
      <c r="U4265" t="s">
        <v>51102</v>
      </c>
      <c r="W4265" t="s">
        <v>43072</v>
      </c>
      <c r="X4265" t="s">
        <v>45102</v>
      </c>
    </row>
    <row r="4266" spans="1:24">
      <c r="A4266">
        <f>HYPERLINK("https://www.philgeps.gov.ph/GEPSNONPILOT/Tender/SplashBidNoticeAbstractUI.aspx?menuIndex=3&amp;refID=7042043&amp;Result=3","7042043")</f>
        <v>0</v>
      </c>
      <c r="B4266" t="s">
        <v>1376</v>
      </c>
      <c r="C4266" t="s">
        <v>7270</v>
      </c>
      <c r="E4266" t="s">
        <v>21923</v>
      </c>
      <c r="F4266" t="s">
        <v>31574</v>
      </c>
      <c r="G4266" t="s">
        <v>31582</v>
      </c>
      <c r="H4266" t="s">
        <v>31591</v>
      </c>
      <c r="I4266" t="s">
        <v>8822</v>
      </c>
      <c r="J4266" t="s">
        <v>34550</v>
      </c>
      <c r="K4266" t="s">
        <v>41184</v>
      </c>
      <c r="M4266" t="s">
        <v>42950</v>
      </c>
      <c r="N4266" t="s">
        <v>45095</v>
      </c>
      <c r="O4266" t="s">
        <v>45096</v>
      </c>
      <c r="P4266">
        <v>0</v>
      </c>
      <c r="Q4266">
        <v>0</v>
      </c>
      <c r="R4266" t="s">
        <v>45101</v>
      </c>
      <c r="S4266" t="s">
        <v>45231</v>
      </c>
      <c r="T4266" t="s">
        <v>47199</v>
      </c>
      <c r="U4266" t="s">
        <v>51044</v>
      </c>
      <c r="W4266" t="s">
        <v>42950</v>
      </c>
      <c r="X4266" t="s">
        <v>45102</v>
      </c>
    </row>
    <row r="4267" spans="1:24">
      <c r="A4267">
        <f>HYPERLINK("https://www.philgeps.gov.ph/GEPSNONPILOT/Tender/SplashBidNoticeAbstractUI.aspx?menuIndex=3&amp;refID=7042099&amp;Result=3","7042099")</f>
        <v>0</v>
      </c>
      <c r="B4267" t="s">
        <v>1376</v>
      </c>
      <c r="C4267" t="s">
        <v>7271</v>
      </c>
      <c r="E4267" t="s">
        <v>21924</v>
      </c>
      <c r="F4267" t="s">
        <v>31574</v>
      </c>
      <c r="G4267" t="s">
        <v>31582</v>
      </c>
      <c r="H4267" t="s">
        <v>31591</v>
      </c>
      <c r="I4267" t="s">
        <v>8822</v>
      </c>
      <c r="J4267" t="s">
        <v>32076</v>
      </c>
      <c r="K4267" t="s">
        <v>41184</v>
      </c>
      <c r="M4267" t="s">
        <v>42950</v>
      </c>
      <c r="N4267" t="s">
        <v>45095</v>
      </c>
      <c r="O4267" t="s">
        <v>45096</v>
      </c>
      <c r="P4267">
        <v>0</v>
      </c>
      <c r="Q4267">
        <v>0</v>
      </c>
      <c r="R4267" t="s">
        <v>45101</v>
      </c>
      <c r="S4267" t="s">
        <v>45231</v>
      </c>
      <c r="T4267" t="s">
        <v>47199</v>
      </c>
      <c r="U4267" t="s">
        <v>51044</v>
      </c>
      <c r="W4267" t="s">
        <v>42950</v>
      </c>
      <c r="X4267" t="s">
        <v>45102</v>
      </c>
    </row>
    <row r="4268" spans="1:24">
      <c r="A4268">
        <f>HYPERLINK("https://www.philgeps.gov.ph/GEPSNONPILOT/Tender/SplashBidNoticeAbstractUI.aspx?menuIndex=3&amp;refID=7042093&amp;Result=3","7042093")</f>
        <v>0</v>
      </c>
      <c r="B4268" t="s">
        <v>1443</v>
      </c>
      <c r="C4268" t="s">
        <v>7272</v>
      </c>
      <c r="D4268" t="s">
        <v>18074</v>
      </c>
      <c r="E4268" t="s">
        <v>21925</v>
      </c>
      <c r="F4268" t="s">
        <v>31574</v>
      </c>
      <c r="G4268" t="s">
        <v>31581</v>
      </c>
      <c r="H4268" t="s">
        <v>31590</v>
      </c>
      <c r="I4268" t="s">
        <v>31605</v>
      </c>
      <c r="J4268" t="s">
        <v>33219</v>
      </c>
      <c r="K4268" t="s">
        <v>41190</v>
      </c>
      <c r="M4268" t="s">
        <v>43020</v>
      </c>
      <c r="N4268" t="s">
        <v>45095</v>
      </c>
      <c r="O4268" t="s">
        <v>45096</v>
      </c>
      <c r="P4268">
        <v>0</v>
      </c>
      <c r="Q4268">
        <v>1</v>
      </c>
      <c r="R4268" t="s">
        <v>45101</v>
      </c>
      <c r="S4268" t="s">
        <v>45231</v>
      </c>
      <c r="T4268" t="s">
        <v>46913</v>
      </c>
      <c r="U4268" t="s">
        <v>51103</v>
      </c>
      <c r="V4268" t="s">
        <v>60297</v>
      </c>
      <c r="W4268" t="s">
        <v>43020</v>
      </c>
      <c r="X4268" t="s">
        <v>45102</v>
      </c>
    </row>
    <row r="4269" spans="1:24">
      <c r="A4269">
        <f>HYPERLINK("https://www.philgeps.gov.ph/GEPSNONPILOT/Tender/SplashBidNoticeAbstractUI.aspx?menuIndex=3&amp;refID=7042097&amp;Result=3","7042097")</f>
        <v>0</v>
      </c>
      <c r="B4269" t="s">
        <v>200</v>
      </c>
      <c r="C4269" t="s">
        <v>7273</v>
      </c>
      <c r="D4269" t="s">
        <v>18070</v>
      </c>
      <c r="E4269" t="s">
        <v>21926</v>
      </c>
      <c r="F4269" t="s">
        <v>31574</v>
      </c>
      <c r="G4269" t="s">
        <v>31581</v>
      </c>
      <c r="H4269" t="s">
        <v>31590</v>
      </c>
      <c r="I4269" t="s">
        <v>31642</v>
      </c>
      <c r="J4269" t="s">
        <v>31955</v>
      </c>
      <c r="K4269" t="s">
        <v>41194</v>
      </c>
      <c r="M4269" t="s">
        <v>41685</v>
      </c>
      <c r="N4269" t="s">
        <v>45095</v>
      </c>
      <c r="O4269" t="s">
        <v>45096</v>
      </c>
      <c r="P4269">
        <v>0</v>
      </c>
      <c r="Q4269">
        <v>2</v>
      </c>
      <c r="R4269" t="s">
        <v>45101</v>
      </c>
      <c r="S4269" t="s">
        <v>45231</v>
      </c>
      <c r="T4269" t="s">
        <v>47154</v>
      </c>
      <c r="U4269" t="s">
        <v>51104</v>
      </c>
      <c r="W4269" t="s">
        <v>41685</v>
      </c>
      <c r="X4269" t="s">
        <v>45102</v>
      </c>
    </row>
    <row r="4270" spans="1:24">
      <c r="A4270">
        <f>HYPERLINK("https://www.philgeps.gov.ph/GEPSNONPILOT/Tender/SplashBidNoticeAbstractUI.aspx?menuIndex=3&amp;refID=7042104&amp;Result=3","7042104")</f>
        <v>0</v>
      </c>
      <c r="B4270" t="s">
        <v>1409</v>
      </c>
      <c r="C4270" t="s">
        <v>7274</v>
      </c>
      <c r="D4270" t="s">
        <v>18050</v>
      </c>
      <c r="E4270" t="s">
        <v>21927</v>
      </c>
      <c r="F4270" t="s">
        <v>31574</v>
      </c>
      <c r="G4270" t="s">
        <v>31583</v>
      </c>
      <c r="H4270" t="s">
        <v>31590</v>
      </c>
      <c r="I4270" t="s">
        <v>5717</v>
      </c>
      <c r="J4270" t="s">
        <v>34551</v>
      </c>
      <c r="K4270" t="s">
        <v>41186</v>
      </c>
      <c r="M4270" t="s">
        <v>42985</v>
      </c>
      <c r="N4270" t="s">
        <v>45095</v>
      </c>
      <c r="O4270" t="s">
        <v>45096</v>
      </c>
      <c r="P4270">
        <v>0</v>
      </c>
      <c r="Q4270">
        <v>0</v>
      </c>
      <c r="R4270" t="s">
        <v>45101</v>
      </c>
      <c r="S4270" t="s">
        <v>45231</v>
      </c>
      <c r="T4270" t="s">
        <v>46949</v>
      </c>
      <c r="U4270" t="s">
        <v>51105</v>
      </c>
      <c r="W4270" t="s">
        <v>42985</v>
      </c>
      <c r="X4270" t="s">
        <v>45102</v>
      </c>
    </row>
    <row r="4271" spans="1:24">
      <c r="A4271">
        <f>HYPERLINK("https://www.philgeps.gov.ph/GEPSNONPILOT/Tender/SplashBidNoticeAbstractUI.aspx?menuIndex=3&amp;refID=7042107&amp;Result=3","7042107")</f>
        <v>0</v>
      </c>
      <c r="B4271" t="s">
        <v>421</v>
      </c>
      <c r="C4271" t="s">
        <v>7275</v>
      </c>
      <c r="D4271" t="s">
        <v>18053</v>
      </c>
      <c r="E4271" t="s">
        <v>21928</v>
      </c>
      <c r="F4271" t="s">
        <v>31574</v>
      </c>
      <c r="G4271" t="s">
        <v>31583</v>
      </c>
      <c r="H4271" t="s">
        <v>31590</v>
      </c>
      <c r="I4271" t="s">
        <v>5717</v>
      </c>
      <c r="J4271" t="s">
        <v>34552</v>
      </c>
      <c r="K4271" t="s">
        <v>41184</v>
      </c>
      <c r="L4271" t="s">
        <v>421</v>
      </c>
      <c r="M4271" t="s">
        <v>41913</v>
      </c>
      <c r="N4271" t="s">
        <v>45095</v>
      </c>
      <c r="O4271" t="s">
        <v>45096</v>
      </c>
      <c r="P4271">
        <v>0</v>
      </c>
      <c r="Q4271">
        <v>4</v>
      </c>
      <c r="R4271" t="s">
        <v>45101</v>
      </c>
      <c r="S4271" t="s">
        <v>45231</v>
      </c>
      <c r="T4271" t="s">
        <v>46963</v>
      </c>
      <c r="U4271" t="s">
        <v>48307</v>
      </c>
      <c r="W4271" t="s">
        <v>41913</v>
      </c>
      <c r="X4271" t="s">
        <v>45102</v>
      </c>
    </row>
    <row r="4272" spans="1:24">
      <c r="A4272">
        <f>HYPERLINK("https://www.philgeps.gov.ph/GEPSNONPILOT/Tender/SplashBidNoticeAbstractUI.aspx?menuIndex=3&amp;refID=7042102&amp;Result=3","7042102")</f>
        <v>0</v>
      </c>
      <c r="B4272" t="s">
        <v>1490</v>
      </c>
      <c r="C4272" t="s">
        <v>7276</v>
      </c>
      <c r="D4272" t="s">
        <v>18037</v>
      </c>
      <c r="E4272" t="s">
        <v>21929</v>
      </c>
      <c r="F4272" t="s">
        <v>31574</v>
      </c>
      <c r="G4272" t="s">
        <v>31588</v>
      </c>
      <c r="H4272" t="s">
        <v>31590</v>
      </c>
      <c r="I4272" t="s">
        <v>31594</v>
      </c>
      <c r="J4272" t="s">
        <v>32421</v>
      </c>
      <c r="K4272" t="s">
        <v>41186</v>
      </c>
      <c r="M4272" t="s">
        <v>43075</v>
      </c>
      <c r="N4272" t="s">
        <v>45095</v>
      </c>
      <c r="O4272" t="s">
        <v>45096</v>
      </c>
      <c r="P4272">
        <v>0</v>
      </c>
      <c r="Q4272">
        <v>10</v>
      </c>
      <c r="R4272" t="s">
        <v>45101</v>
      </c>
      <c r="S4272" t="s">
        <v>45231</v>
      </c>
      <c r="T4272" t="s">
        <v>46904</v>
      </c>
      <c r="U4272" t="s">
        <v>51106</v>
      </c>
      <c r="V4272" t="s">
        <v>60298</v>
      </c>
      <c r="W4272" t="s">
        <v>43075</v>
      </c>
      <c r="X4272" t="s">
        <v>45102</v>
      </c>
    </row>
    <row r="4273" spans="1:24">
      <c r="A4273">
        <f>HYPERLINK("https://www.philgeps.gov.ph/GEPSNONPILOT/Tender/SplashBidNoticeAbstractUI.aspx?menuIndex=3&amp;refID=7042084&amp;Result=3","7042084")</f>
        <v>0</v>
      </c>
      <c r="B4273" t="s">
        <v>54</v>
      </c>
      <c r="C4273" t="s">
        <v>7277</v>
      </c>
      <c r="D4273" t="s">
        <v>18045</v>
      </c>
      <c r="E4273" t="s">
        <v>21930</v>
      </c>
      <c r="F4273" t="s">
        <v>31574</v>
      </c>
      <c r="G4273" t="s">
        <v>31582</v>
      </c>
      <c r="H4273" t="s">
        <v>31590</v>
      </c>
      <c r="I4273" t="s">
        <v>31629</v>
      </c>
      <c r="J4273" t="s">
        <v>31821</v>
      </c>
      <c r="K4273" t="s">
        <v>41186</v>
      </c>
      <c r="M4273" t="s">
        <v>41538</v>
      </c>
      <c r="N4273" t="s">
        <v>45095</v>
      </c>
      <c r="O4273" t="s">
        <v>45096</v>
      </c>
      <c r="P4273">
        <v>0</v>
      </c>
      <c r="Q4273">
        <v>0</v>
      </c>
      <c r="R4273" t="s">
        <v>45101</v>
      </c>
      <c r="S4273" t="s">
        <v>45231</v>
      </c>
      <c r="T4273" t="s">
        <v>46914</v>
      </c>
      <c r="U4273" t="s">
        <v>51107</v>
      </c>
      <c r="W4273" t="s">
        <v>41538</v>
      </c>
      <c r="X4273" t="s">
        <v>45102</v>
      </c>
    </row>
    <row r="4274" spans="1:24">
      <c r="A4274">
        <f>HYPERLINK("https://www.philgeps.gov.ph/GEPSNONPILOT/Tender/SplashBidNoticeAbstractUI.aspx?menuIndex=3&amp;refID=7042103&amp;Result=3","7042103")</f>
        <v>0</v>
      </c>
      <c r="B4274" t="s">
        <v>1131</v>
      </c>
      <c r="C4274" t="s">
        <v>7278</v>
      </c>
      <c r="D4274" t="s">
        <v>18071</v>
      </c>
      <c r="E4274" t="s">
        <v>21931</v>
      </c>
      <c r="F4274" t="s">
        <v>31574</v>
      </c>
      <c r="G4274" t="s">
        <v>31581</v>
      </c>
      <c r="H4274" t="s">
        <v>31590</v>
      </c>
      <c r="I4274" t="s">
        <v>3487</v>
      </c>
      <c r="J4274" t="s">
        <v>32227</v>
      </c>
      <c r="K4274" t="s">
        <v>41186</v>
      </c>
      <c r="M4274" t="s">
        <v>42682</v>
      </c>
      <c r="N4274" t="s">
        <v>45095</v>
      </c>
      <c r="O4274" t="s">
        <v>45096</v>
      </c>
      <c r="P4274">
        <v>0</v>
      </c>
      <c r="Q4274">
        <v>0</v>
      </c>
      <c r="R4274" t="s">
        <v>45101</v>
      </c>
      <c r="S4274" t="s">
        <v>45231</v>
      </c>
      <c r="T4274" t="s">
        <v>47064</v>
      </c>
      <c r="U4274" t="s">
        <v>51108</v>
      </c>
      <c r="W4274" t="s">
        <v>42682</v>
      </c>
      <c r="X4274" t="s">
        <v>45102</v>
      </c>
    </row>
    <row r="4275" spans="1:24">
      <c r="A4275">
        <f>HYPERLINK("https://www.philgeps.gov.ph/GEPSNONPILOT/Tender/SplashBidNoticeAbstractUI.aspx?menuIndex=3&amp;refID=7042078&amp;Result=3","7042078")</f>
        <v>0</v>
      </c>
      <c r="B4275" t="s">
        <v>1131</v>
      </c>
      <c r="C4275" t="s">
        <v>7279</v>
      </c>
      <c r="D4275" t="s">
        <v>18071</v>
      </c>
      <c r="E4275" t="s">
        <v>21932</v>
      </c>
      <c r="F4275" t="s">
        <v>31574</v>
      </c>
      <c r="G4275" t="s">
        <v>31581</v>
      </c>
      <c r="H4275" t="s">
        <v>31590</v>
      </c>
      <c r="I4275" t="s">
        <v>31614</v>
      </c>
      <c r="J4275" t="s">
        <v>32010</v>
      </c>
      <c r="K4275" t="s">
        <v>41186</v>
      </c>
      <c r="M4275" t="s">
        <v>42682</v>
      </c>
      <c r="N4275" t="s">
        <v>45095</v>
      </c>
      <c r="O4275" t="s">
        <v>45096</v>
      </c>
      <c r="P4275">
        <v>0</v>
      </c>
      <c r="Q4275">
        <v>0</v>
      </c>
      <c r="R4275" t="s">
        <v>45101</v>
      </c>
      <c r="S4275" t="s">
        <v>45231</v>
      </c>
      <c r="T4275" t="s">
        <v>47064</v>
      </c>
      <c r="U4275" t="s">
        <v>51109</v>
      </c>
      <c r="W4275" t="s">
        <v>42682</v>
      </c>
      <c r="X4275" t="s">
        <v>45102</v>
      </c>
    </row>
    <row r="4276" spans="1:24">
      <c r="A4276">
        <f>HYPERLINK("https://www.philgeps.gov.ph/GEPSNONPILOT/Tender/SplashBidNoticeAbstractUI.aspx?menuIndex=3&amp;refID=7042089&amp;Result=3","7042089")</f>
        <v>0</v>
      </c>
      <c r="B4276" t="s">
        <v>300</v>
      </c>
      <c r="C4276" t="s">
        <v>7280</v>
      </c>
      <c r="D4276" t="s">
        <v>18060</v>
      </c>
      <c r="E4276" t="s">
        <v>21933</v>
      </c>
      <c r="F4276" t="s">
        <v>31574</v>
      </c>
      <c r="G4276" t="s">
        <v>31583</v>
      </c>
      <c r="H4276" t="s">
        <v>31590</v>
      </c>
      <c r="I4276" t="s">
        <v>4327</v>
      </c>
      <c r="J4276" t="s">
        <v>34553</v>
      </c>
      <c r="K4276" t="s">
        <v>41186</v>
      </c>
      <c r="M4276" t="s">
        <v>41786</v>
      </c>
      <c r="N4276" t="s">
        <v>45095</v>
      </c>
      <c r="O4276" t="s">
        <v>45096</v>
      </c>
      <c r="P4276">
        <v>0</v>
      </c>
      <c r="Q4276">
        <v>0</v>
      </c>
      <c r="R4276" t="s">
        <v>45101</v>
      </c>
      <c r="S4276" t="s">
        <v>45231</v>
      </c>
      <c r="T4276" t="s">
        <v>46918</v>
      </c>
      <c r="U4276" t="s">
        <v>51110</v>
      </c>
      <c r="W4276" t="s">
        <v>41786</v>
      </c>
      <c r="X4276" t="s">
        <v>45102</v>
      </c>
    </row>
    <row r="4277" spans="1:24">
      <c r="A4277">
        <f>HYPERLINK("https://www.philgeps.gov.ph/GEPSNONPILOT/Tender/SplashBidNoticeAbstractUI.aspx?menuIndex=3&amp;refID=7042080&amp;Result=3","7042080")</f>
        <v>0</v>
      </c>
      <c r="B4277" t="s">
        <v>1482</v>
      </c>
      <c r="C4277" t="s">
        <v>7281</v>
      </c>
      <c r="D4277" t="s">
        <v>18037</v>
      </c>
      <c r="E4277" t="s">
        <v>21934</v>
      </c>
      <c r="F4277" t="s">
        <v>31574</v>
      </c>
      <c r="G4277" t="s">
        <v>31581</v>
      </c>
      <c r="H4277" t="s">
        <v>31590</v>
      </c>
      <c r="I4277" t="s">
        <v>4354</v>
      </c>
      <c r="J4277" t="s">
        <v>34554</v>
      </c>
      <c r="K4277" t="s">
        <v>41193</v>
      </c>
      <c r="M4277" t="s">
        <v>43067</v>
      </c>
      <c r="N4277" t="s">
        <v>45095</v>
      </c>
      <c r="O4277" t="s">
        <v>45096</v>
      </c>
      <c r="P4277">
        <v>0</v>
      </c>
      <c r="Q4277">
        <v>2</v>
      </c>
      <c r="R4277" t="s">
        <v>45101</v>
      </c>
      <c r="S4277" t="s">
        <v>45231</v>
      </c>
      <c r="T4277" t="s">
        <v>47077</v>
      </c>
      <c r="U4277" t="s">
        <v>51111</v>
      </c>
      <c r="W4277" t="s">
        <v>43067</v>
      </c>
      <c r="X4277" t="s">
        <v>45102</v>
      </c>
    </row>
    <row r="4278" spans="1:24">
      <c r="A4278">
        <f>HYPERLINK("https://www.philgeps.gov.ph/GEPSNONPILOT/Tender/SplashBidNoticeAbstractUI.aspx?menuIndex=3&amp;refID=7042083&amp;Result=3","7042083")</f>
        <v>0</v>
      </c>
      <c r="B4278" t="s">
        <v>469</v>
      </c>
      <c r="C4278" t="s">
        <v>3219</v>
      </c>
      <c r="D4278" t="s">
        <v>18091</v>
      </c>
      <c r="E4278" t="s">
        <v>21935</v>
      </c>
      <c r="F4278" t="s">
        <v>31574</v>
      </c>
      <c r="G4278" t="s">
        <v>31581</v>
      </c>
      <c r="H4278" t="s">
        <v>31590</v>
      </c>
      <c r="I4278" t="s">
        <v>4327</v>
      </c>
      <c r="J4278" t="s">
        <v>34555</v>
      </c>
      <c r="K4278" t="s">
        <v>41196</v>
      </c>
      <c r="M4278" t="s">
        <v>41963</v>
      </c>
      <c r="N4278" t="s">
        <v>45095</v>
      </c>
      <c r="O4278" t="s">
        <v>45096</v>
      </c>
      <c r="P4278">
        <v>0</v>
      </c>
      <c r="Q4278">
        <v>0</v>
      </c>
      <c r="R4278" t="s">
        <v>45101</v>
      </c>
      <c r="S4278" t="s">
        <v>45231</v>
      </c>
      <c r="T4278" t="s">
        <v>47178</v>
      </c>
      <c r="U4278" t="s">
        <v>51112</v>
      </c>
      <c r="W4278" t="s">
        <v>41963</v>
      </c>
      <c r="X4278" t="s">
        <v>45102</v>
      </c>
    </row>
    <row r="4279" spans="1:24">
      <c r="A4279">
        <f>HYPERLINK("https://www.philgeps.gov.ph/GEPSNONPILOT/Tender/SplashBidNoticeAbstractUI.aspx?menuIndex=3&amp;refID=7042111&amp;Result=3","7042111")</f>
        <v>0</v>
      </c>
      <c r="B4279" t="s">
        <v>1491</v>
      </c>
      <c r="C4279" t="s">
        <v>7282</v>
      </c>
      <c r="D4279" t="s">
        <v>18086</v>
      </c>
      <c r="E4279" t="s">
        <v>21936</v>
      </c>
      <c r="F4279" t="s">
        <v>31574</v>
      </c>
      <c r="G4279" t="s">
        <v>31581</v>
      </c>
      <c r="H4279" t="s">
        <v>31590</v>
      </c>
      <c r="I4279" t="s">
        <v>3539</v>
      </c>
      <c r="J4279" t="s">
        <v>32389</v>
      </c>
      <c r="K4279" t="s">
        <v>41211</v>
      </c>
      <c r="L4279" t="s">
        <v>1491</v>
      </c>
      <c r="M4279" t="s">
        <v>43076</v>
      </c>
      <c r="N4279" t="s">
        <v>45095</v>
      </c>
      <c r="O4279" t="s">
        <v>45096</v>
      </c>
      <c r="P4279">
        <v>0</v>
      </c>
      <c r="Q4279">
        <v>0</v>
      </c>
      <c r="R4279" t="s">
        <v>45101</v>
      </c>
      <c r="S4279" t="s">
        <v>45231</v>
      </c>
      <c r="T4279" t="s">
        <v>47214</v>
      </c>
      <c r="U4279" t="s">
        <v>51113</v>
      </c>
      <c r="V4279" t="s">
        <v>60299</v>
      </c>
      <c r="W4279" t="s">
        <v>43076</v>
      </c>
      <c r="X4279" t="s">
        <v>45102</v>
      </c>
    </row>
    <row r="4280" spans="1:24">
      <c r="A4280">
        <f>HYPERLINK("https://www.philgeps.gov.ph/GEPSNONPILOT/Tender/SplashBidNoticeAbstractUI.aspx?menuIndex=3&amp;refID=7042106&amp;Result=3","7042106")</f>
        <v>0</v>
      </c>
      <c r="B4280" t="s">
        <v>1443</v>
      </c>
      <c r="C4280" t="s">
        <v>7283</v>
      </c>
      <c r="D4280" t="s">
        <v>18074</v>
      </c>
      <c r="E4280" t="s">
        <v>21937</v>
      </c>
      <c r="F4280" t="s">
        <v>31574</v>
      </c>
      <c r="G4280" t="s">
        <v>31581</v>
      </c>
      <c r="H4280" t="s">
        <v>31590</v>
      </c>
      <c r="I4280" t="s">
        <v>4046</v>
      </c>
      <c r="J4280" t="s">
        <v>34556</v>
      </c>
      <c r="K4280" t="s">
        <v>41190</v>
      </c>
      <c r="M4280" t="s">
        <v>43020</v>
      </c>
      <c r="N4280" t="s">
        <v>45095</v>
      </c>
      <c r="O4280" t="s">
        <v>45096</v>
      </c>
      <c r="P4280">
        <v>0</v>
      </c>
      <c r="Q4280">
        <v>1</v>
      </c>
      <c r="R4280" t="s">
        <v>45101</v>
      </c>
      <c r="S4280" t="s">
        <v>45231</v>
      </c>
      <c r="T4280" t="s">
        <v>46913</v>
      </c>
      <c r="U4280" t="s">
        <v>51052</v>
      </c>
      <c r="V4280" t="s">
        <v>60300</v>
      </c>
      <c r="W4280" t="s">
        <v>43020</v>
      </c>
      <c r="X4280" t="s">
        <v>45102</v>
      </c>
    </row>
    <row r="4281" spans="1:24">
      <c r="A4281">
        <f>HYPERLINK("https://www.philgeps.gov.ph/GEPSNONPILOT/Tender/SplashBidNoticeAbstractUI.aspx?menuIndex=3&amp;refID=7042082&amp;Result=3","7042082")</f>
        <v>0</v>
      </c>
      <c r="B4281" t="s">
        <v>117</v>
      </c>
      <c r="C4281" t="s">
        <v>7284</v>
      </c>
      <c r="D4281" t="s">
        <v>18046</v>
      </c>
      <c r="E4281" t="s">
        <v>21938</v>
      </c>
      <c r="F4281" t="s">
        <v>31574</v>
      </c>
      <c r="G4281" t="s">
        <v>31582</v>
      </c>
      <c r="H4281" t="s">
        <v>31591</v>
      </c>
      <c r="I4281" t="s">
        <v>8822</v>
      </c>
      <c r="J4281" t="s">
        <v>34557</v>
      </c>
      <c r="K4281" t="s">
        <v>41263</v>
      </c>
      <c r="M4281" t="s">
        <v>41601</v>
      </c>
      <c r="N4281" t="s">
        <v>45095</v>
      </c>
      <c r="O4281" t="s">
        <v>45096</v>
      </c>
      <c r="P4281">
        <v>0</v>
      </c>
      <c r="Q4281">
        <v>2</v>
      </c>
      <c r="R4281" t="s">
        <v>45101</v>
      </c>
      <c r="S4281" t="s">
        <v>45231</v>
      </c>
      <c r="T4281" t="s">
        <v>47100</v>
      </c>
      <c r="U4281" t="s">
        <v>51114</v>
      </c>
      <c r="W4281" t="s">
        <v>41601</v>
      </c>
      <c r="X4281" t="s">
        <v>45102</v>
      </c>
    </row>
    <row r="4282" spans="1:24">
      <c r="A4282">
        <f>HYPERLINK("https://www.philgeps.gov.ph/GEPSNONPILOT/Tender/SplashBidNoticeAbstractUI.aspx?menuIndex=3&amp;refID=7042091&amp;Result=3","7042091")</f>
        <v>0</v>
      </c>
      <c r="B4282" t="s">
        <v>1311</v>
      </c>
      <c r="C4282" t="s">
        <v>7285</v>
      </c>
      <c r="D4282" t="s">
        <v>18040</v>
      </c>
      <c r="E4282" t="s">
        <v>21939</v>
      </c>
      <c r="F4282" t="s">
        <v>31574</v>
      </c>
      <c r="G4282" t="s">
        <v>31582</v>
      </c>
      <c r="H4282" t="s">
        <v>31590</v>
      </c>
      <c r="I4282" t="s">
        <v>31615</v>
      </c>
      <c r="J4282" t="s">
        <v>34558</v>
      </c>
      <c r="K4282" t="s">
        <v>41225</v>
      </c>
      <c r="M4282" t="s">
        <v>43023</v>
      </c>
      <c r="N4282" t="s">
        <v>45095</v>
      </c>
      <c r="O4282" t="s">
        <v>45096</v>
      </c>
      <c r="P4282">
        <v>0</v>
      </c>
      <c r="Q4282">
        <v>10</v>
      </c>
      <c r="R4282" t="s">
        <v>45101</v>
      </c>
      <c r="S4282" t="s">
        <v>45231</v>
      </c>
      <c r="T4282" t="s">
        <v>47166</v>
      </c>
      <c r="U4282" t="s">
        <v>51115</v>
      </c>
      <c r="V4282" t="s">
        <v>60268</v>
      </c>
      <c r="W4282" t="s">
        <v>43023</v>
      </c>
      <c r="X4282" t="s">
        <v>45102</v>
      </c>
    </row>
    <row r="4283" spans="1:24">
      <c r="A4283">
        <f>HYPERLINK("https://www.philgeps.gov.ph/GEPSNONPILOT/Tender/SplashBidNoticeAbstractUI.aspx?menuIndex=3&amp;refID=7042124&amp;Result=3","7042124")</f>
        <v>0</v>
      </c>
      <c r="B4283" t="s">
        <v>1487</v>
      </c>
      <c r="C4283" t="s">
        <v>7255</v>
      </c>
      <c r="D4283" t="s">
        <v>18047</v>
      </c>
      <c r="E4283" t="s">
        <v>21940</v>
      </c>
      <c r="F4283" t="s">
        <v>31574</v>
      </c>
      <c r="G4283" t="s">
        <v>31582</v>
      </c>
      <c r="H4283" t="s">
        <v>31591</v>
      </c>
      <c r="I4283" t="s">
        <v>8822</v>
      </c>
      <c r="J4283" t="s">
        <v>34559</v>
      </c>
      <c r="K4283" t="s">
        <v>41228</v>
      </c>
      <c r="M4283" t="s">
        <v>43072</v>
      </c>
      <c r="N4283" t="s">
        <v>45095</v>
      </c>
      <c r="O4283" t="s">
        <v>45096</v>
      </c>
      <c r="P4283">
        <v>0</v>
      </c>
      <c r="Q4283">
        <v>0</v>
      </c>
      <c r="R4283" t="s">
        <v>45101</v>
      </c>
      <c r="S4283" t="s">
        <v>45231</v>
      </c>
      <c r="T4283" t="s">
        <v>47030</v>
      </c>
      <c r="U4283" t="s">
        <v>49760</v>
      </c>
      <c r="W4283" t="s">
        <v>43072</v>
      </c>
      <c r="X4283" t="s">
        <v>45102</v>
      </c>
    </row>
    <row r="4284" spans="1:24">
      <c r="A4284">
        <f>HYPERLINK("https://www.philgeps.gov.ph/GEPSNONPILOT/Tender/SplashBidNoticeAbstractUI.aspx?menuIndex=3&amp;refID=7042118&amp;Result=3","7042118")</f>
        <v>0</v>
      </c>
      <c r="B4284" t="s">
        <v>1443</v>
      </c>
      <c r="C4284" t="s">
        <v>7286</v>
      </c>
      <c r="D4284" t="s">
        <v>18074</v>
      </c>
      <c r="E4284" t="s">
        <v>21941</v>
      </c>
      <c r="F4284" t="s">
        <v>31574</v>
      </c>
      <c r="G4284" t="s">
        <v>31581</v>
      </c>
      <c r="H4284" t="s">
        <v>31590</v>
      </c>
      <c r="I4284" t="s">
        <v>5717</v>
      </c>
      <c r="J4284" t="s">
        <v>34560</v>
      </c>
      <c r="K4284" t="s">
        <v>41190</v>
      </c>
      <c r="M4284" t="s">
        <v>43020</v>
      </c>
      <c r="N4284" t="s">
        <v>45095</v>
      </c>
      <c r="O4284" t="s">
        <v>45096</v>
      </c>
      <c r="P4284">
        <v>0</v>
      </c>
      <c r="Q4284">
        <v>5</v>
      </c>
      <c r="R4284" t="s">
        <v>45101</v>
      </c>
      <c r="S4284" t="s">
        <v>45231</v>
      </c>
      <c r="T4284" t="s">
        <v>46913</v>
      </c>
      <c r="U4284" t="s">
        <v>51094</v>
      </c>
      <c r="V4284" t="s">
        <v>60301</v>
      </c>
      <c r="W4284" t="s">
        <v>43020</v>
      </c>
      <c r="X4284" t="s">
        <v>45102</v>
      </c>
    </row>
    <row r="4285" spans="1:24">
      <c r="A4285">
        <f>HYPERLINK("https://www.philgeps.gov.ph/GEPSNONPILOT/Tender/SplashBidNoticeAbstractUI.aspx?menuIndex=3&amp;refID=7042121&amp;Result=3","7042121")</f>
        <v>0</v>
      </c>
      <c r="B4285" t="s">
        <v>1131</v>
      </c>
      <c r="C4285" t="s">
        <v>7287</v>
      </c>
      <c r="D4285" t="s">
        <v>18071</v>
      </c>
      <c r="E4285" t="s">
        <v>21942</v>
      </c>
      <c r="F4285" t="s">
        <v>31574</v>
      </c>
      <c r="G4285" t="s">
        <v>31581</v>
      </c>
      <c r="H4285" t="s">
        <v>31590</v>
      </c>
      <c r="I4285" t="s">
        <v>4327</v>
      </c>
      <c r="J4285" t="s">
        <v>32028</v>
      </c>
      <c r="K4285" t="s">
        <v>41186</v>
      </c>
      <c r="M4285" t="s">
        <v>42682</v>
      </c>
      <c r="N4285" t="s">
        <v>45095</v>
      </c>
      <c r="O4285" t="s">
        <v>45096</v>
      </c>
      <c r="P4285">
        <v>0</v>
      </c>
      <c r="Q4285">
        <v>0</v>
      </c>
      <c r="R4285" t="s">
        <v>45101</v>
      </c>
      <c r="S4285" t="s">
        <v>45231</v>
      </c>
      <c r="T4285" t="s">
        <v>47064</v>
      </c>
      <c r="U4285" t="s">
        <v>51116</v>
      </c>
      <c r="W4285" t="s">
        <v>42682</v>
      </c>
      <c r="X4285" t="s">
        <v>45102</v>
      </c>
    </row>
    <row r="4286" spans="1:24">
      <c r="A4286">
        <f>HYPERLINK("https://www.philgeps.gov.ph/GEPSNONPILOT/Tender/SplashBidNoticeAbstractUI.aspx?menuIndex=3&amp;refID=7042112&amp;Result=3","7042112")</f>
        <v>0</v>
      </c>
      <c r="B4286" t="s">
        <v>1482</v>
      </c>
      <c r="C4286" t="s">
        <v>7288</v>
      </c>
      <c r="D4286" t="s">
        <v>18037</v>
      </c>
      <c r="E4286" t="s">
        <v>21943</v>
      </c>
      <c r="F4286" t="s">
        <v>31574</v>
      </c>
      <c r="G4286" t="s">
        <v>31581</v>
      </c>
      <c r="H4286" t="s">
        <v>31590</v>
      </c>
      <c r="I4286" t="s">
        <v>31630</v>
      </c>
      <c r="J4286" t="s">
        <v>31782</v>
      </c>
      <c r="K4286" t="s">
        <v>41193</v>
      </c>
      <c r="M4286" t="s">
        <v>43067</v>
      </c>
      <c r="N4286" t="s">
        <v>45095</v>
      </c>
      <c r="O4286" t="s">
        <v>45096</v>
      </c>
      <c r="P4286">
        <v>0</v>
      </c>
      <c r="Q4286">
        <v>2</v>
      </c>
      <c r="R4286" t="s">
        <v>45101</v>
      </c>
      <c r="S4286" t="s">
        <v>45231</v>
      </c>
      <c r="T4286" t="s">
        <v>47077</v>
      </c>
      <c r="U4286" t="s">
        <v>51111</v>
      </c>
      <c r="W4286" t="s">
        <v>43067</v>
      </c>
      <c r="X4286" t="s">
        <v>45102</v>
      </c>
    </row>
    <row r="4287" spans="1:24">
      <c r="A4287">
        <f>HYPERLINK("https://www.philgeps.gov.ph/GEPSNONPILOT/Tender/SplashBidNoticeAbstractUI.aspx?menuIndex=3&amp;refID=7042116&amp;Result=3","7042116")</f>
        <v>0</v>
      </c>
      <c r="B4287" t="s">
        <v>1492</v>
      </c>
      <c r="C4287" t="s">
        <v>7289</v>
      </c>
      <c r="D4287" t="s">
        <v>18072</v>
      </c>
      <c r="E4287" t="s">
        <v>21944</v>
      </c>
      <c r="F4287" t="s">
        <v>31574</v>
      </c>
      <c r="G4287" t="s">
        <v>31581</v>
      </c>
      <c r="H4287" t="s">
        <v>31591</v>
      </c>
      <c r="I4287" t="s">
        <v>8822</v>
      </c>
      <c r="J4287" t="s">
        <v>32232</v>
      </c>
      <c r="K4287" t="s">
        <v>41186</v>
      </c>
      <c r="M4287" t="s">
        <v>43077</v>
      </c>
      <c r="N4287" t="s">
        <v>45095</v>
      </c>
      <c r="O4287" t="s">
        <v>45096</v>
      </c>
      <c r="P4287">
        <v>0</v>
      </c>
      <c r="Q4287">
        <v>1</v>
      </c>
      <c r="R4287" t="s">
        <v>45101</v>
      </c>
      <c r="S4287" t="s">
        <v>45231</v>
      </c>
      <c r="T4287" t="s">
        <v>47154</v>
      </c>
      <c r="U4287" t="s">
        <v>51117</v>
      </c>
      <c r="W4287" t="s">
        <v>43077</v>
      </c>
      <c r="X4287" t="s">
        <v>45102</v>
      </c>
    </row>
    <row r="4288" spans="1:24">
      <c r="A4288">
        <f>HYPERLINK("https://www.philgeps.gov.ph/GEPSNONPILOT/Tender/SplashBidNoticeAbstractUI.aspx?menuIndex=3&amp;refID=7042120&amp;Result=3","7042120")</f>
        <v>0</v>
      </c>
      <c r="B4288" t="s">
        <v>485</v>
      </c>
      <c r="C4288" t="s">
        <v>7290</v>
      </c>
      <c r="D4288" t="s">
        <v>18048</v>
      </c>
      <c r="E4288" t="s">
        <v>21945</v>
      </c>
      <c r="F4288" t="s">
        <v>31574</v>
      </c>
      <c r="G4288" t="s">
        <v>31581</v>
      </c>
      <c r="H4288" t="s">
        <v>31590</v>
      </c>
      <c r="I4288" t="s">
        <v>14544</v>
      </c>
      <c r="J4288" t="s">
        <v>34561</v>
      </c>
      <c r="K4288" t="s">
        <v>41184</v>
      </c>
      <c r="M4288" t="s">
        <v>41981</v>
      </c>
      <c r="N4288" t="s">
        <v>45095</v>
      </c>
      <c r="O4288" t="s">
        <v>45096</v>
      </c>
      <c r="P4288">
        <v>0</v>
      </c>
      <c r="Q4288">
        <v>0</v>
      </c>
      <c r="R4288" t="s">
        <v>45101</v>
      </c>
      <c r="S4288" t="s">
        <v>45231</v>
      </c>
      <c r="T4288" t="s">
        <v>47106</v>
      </c>
      <c r="U4288" t="s">
        <v>51118</v>
      </c>
      <c r="W4288" t="s">
        <v>41981</v>
      </c>
      <c r="X4288" t="s">
        <v>45102</v>
      </c>
    </row>
    <row r="4289" spans="1:24">
      <c r="A4289">
        <f>HYPERLINK("https://www.philgeps.gov.ph/GEPSNONPILOT/Tender/SplashBidNoticeAbstractUI.aspx?menuIndex=3&amp;refID=7042136&amp;Result=3","7042136")</f>
        <v>0</v>
      </c>
      <c r="B4289" t="s">
        <v>1493</v>
      </c>
      <c r="C4289" t="s">
        <v>7291</v>
      </c>
      <c r="D4289" t="s">
        <v>18102</v>
      </c>
      <c r="E4289" t="s">
        <v>21946</v>
      </c>
      <c r="F4289" t="s">
        <v>31574</v>
      </c>
      <c r="G4289" t="s">
        <v>31582</v>
      </c>
      <c r="H4289" t="s">
        <v>31591</v>
      </c>
      <c r="I4289" t="s">
        <v>8822</v>
      </c>
      <c r="J4289" t="s">
        <v>34562</v>
      </c>
      <c r="K4289" t="s">
        <v>41244</v>
      </c>
      <c r="M4289" t="s">
        <v>43078</v>
      </c>
      <c r="N4289" t="s">
        <v>45095</v>
      </c>
      <c r="O4289" t="s">
        <v>45096</v>
      </c>
      <c r="P4289">
        <v>0</v>
      </c>
      <c r="Q4289">
        <v>0</v>
      </c>
      <c r="R4289" t="s">
        <v>45101</v>
      </c>
      <c r="S4289" t="s">
        <v>45231</v>
      </c>
      <c r="T4289" t="s">
        <v>47030</v>
      </c>
      <c r="U4289" t="s">
        <v>51119</v>
      </c>
      <c r="V4289" t="s">
        <v>60302</v>
      </c>
      <c r="W4289" t="s">
        <v>43078</v>
      </c>
      <c r="X4289" t="s">
        <v>45102</v>
      </c>
    </row>
    <row r="4290" spans="1:24">
      <c r="A4290">
        <f>HYPERLINK("https://www.philgeps.gov.ph/GEPSNONPILOT/Tender/SplashBidNoticeAbstractUI.aspx?menuIndex=3&amp;refID=7042122&amp;Result=3","7042122")</f>
        <v>0</v>
      </c>
      <c r="B4290" t="s">
        <v>421</v>
      </c>
      <c r="C4290" t="s">
        <v>7292</v>
      </c>
      <c r="D4290" t="s">
        <v>18053</v>
      </c>
      <c r="E4290" t="s">
        <v>21947</v>
      </c>
      <c r="F4290" t="s">
        <v>31574</v>
      </c>
      <c r="G4290" t="s">
        <v>31583</v>
      </c>
      <c r="H4290" t="s">
        <v>31590</v>
      </c>
      <c r="I4290" t="s">
        <v>3487</v>
      </c>
      <c r="J4290" t="s">
        <v>34563</v>
      </c>
      <c r="K4290" t="s">
        <v>41184</v>
      </c>
      <c r="L4290" t="s">
        <v>421</v>
      </c>
      <c r="M4290" t="s">
        <v>41913</v>
      </c>
      <c r="N4290" t="s">
        <v>45095</v>
      </c>
      <c r="O4290" t="s">
        <v>45096</v>
      </c>
      <c r="P4290">
        <v>0</v>
      </c>
      <c r="Q4290">
        <v>1</v>
      </c>
      <c r="R4290" t="s">
        <v>45101</v>
      </c>
      <c r="S4290" t="s">
        <v>45231</v>
      </c>
      <c r="T4290" t="s">
        <v>46963</v>
      </c>
      <c r="U4290" t="s">
        <v>48307</v>
      </c>
      <c r="W4290" t="s">
        <v>41913</v>
      </c>
      <c r="X4290" t="s">
        <v>45102</v>
      </c>
    </row>
    <row r="4291" spans="1:24">
      <c r="A4291">
        <f>HYPERLINK("https://www.philgeps.gov.ph/GEPSNONPILOT/Tender/SplashBidNoticeAbstractUI.aspx?menuIndex=3&amp;refID=7042133&amp;Result=3","7042133")</f>
        <v>0</v>
      </c>
      <c r="B4291" t="s">
        <v>1494</v>
      </c>
      <c r="C4291" t="s">
        <v>7293</v>
      </c>
      <c r="D4291" t="s">
        <v>18031</v>
      </c>
      <c r="E4291" t="s">
        <v>21948</v>
      </c>
      <c r="F4291" t="s">
        <v>31574</v>
      </c>
      <c r="G4291" t="s">
        <v>31581</v>
      </c>
      <c r="H4291" t="s">
        <v>31590</v>
      </c>
      <c r="I4291" t="s">
        <v>31595</v>
      </c>
      <c r="J4291" t="s">
        <v>32290</v>
      </c>
      <c r="K4291" t="s">
        <v>41193</v>
      </c>
      <c r="M4291" t="s">
        <v>43079</v>
      </c>
      <c r="N4291" t="s">
        <v>45095</v>
      </c>
      <c r="O4291" t="s">
        <v>45096</v>
      </c>
      <c r="P4291">
        <v>0</v>
      </c>
      <c r="Q4291">
        <v>1</v>
      </c>
      <c r="R4291" t="s">
        <v>45101</v>
      </c>
      <c r="S4291" t="s">
        <v>45231</v>
      </c>
      <c r="T4291" t="s">
        <v>47159</v>
      </c>
      <c r="U4291" t="s">
        <v>51120</v>
      </c>
      <c r="W4291" t="s">
        <v>43079</v>
      </c>
      <c r="X4291" t="s">
        <v>45102</v>
      </c>
    </row>
    <row r="4292" spans="1:24">
      <c r="A4292">
        <f>HYPERLINK("https://www.philgeps.gov.ph/GEPSNONPILOT/Tender/SplashBidNoticeAbstractUI.aspx?menuIndex=3&amp;refID=7042140&amp;Result=3","7042140")</f>
        <v>0</v>
      </c>
      <c r="B4292" t="s">
        <v>1482</v>
      </c>
      <c r="C4292" t="s">
        <v>7294</v>
      </c>
      <c r="D4292" t="s">
        <v>18037</v>
      </c>
      <c r="E4292" t="s">
        <v>21949</v>
      </c>
      <c r="F4292" t="s">
        <v>31574</v>
      </c>
      <c r="G4292" t="s">
        <v>31581</v>
      </c>
      <c r="H4292" t="s">
        <v>31590</v>
      </c>
      <c r="I4292" t="s">
        <v>31608</v>
      </c>
      <c r="J4292" t="s">
        <v>32017</v>
      </c>
      <c r="K4292" t="s">
        <v>41193</v>
      </c>
      <c r="M4292" t="s">
        <v>43067</v>
      </c>
      <c r="N4292" t="s">
        <v>45095</v>
      </c>
      <c r="O4292" t="s">
        <v>45096</v>
      </c>
      <c r="P4292">
        <v>0</v>
      </c>
      <c r="Q4292">
        <v>2</v>
      </c>
      <c r="R4292" t="s">
        <v>45101</v>
      </c>
      <c r="S4292" t="s">
        <v>45231</v>
      </c>
      <c r="T4292" t="s">
        <v>47077</v>
      </c>
      <c r="U4292" t="s">
        <v>51111</v>
      </c>
      <c r="W4292" t="s">
        <v>43067</v>
      </c>
      <c r="X4292" t="s">
        <v>45102</v>
      </c>
    </row>
    <row r="4293" spans="1:24">
      <c r="A4293">
        <f>HYPERLINK("https://www.philgeps.gov.ph/GEPSNONPILOT/Tender/SplashBidNoticeAbstractUI.aspx?menuIndex=3&amp;refID=7042131&amp;Result=3","7042131")</f>
        <v>0</v>
      </c>
      <c r="B4293" t="s">
        <v>1443</v>
      </c>
      <c r="C4293" t="s">
        <v>7295</v>
      </c>
      <c r="D4293" t="s">
        <v>18074</v>
      </c>
      <c r="E4293" t="s">
        <v>21950</v>
      </c>
      <c r="F4293" t="s">
        <v>31574</v>
      </c>
      <c r="G4293" t="s">
        <v>31581</v>
      </c>
      <c r="H4293" t="s">
        <v>31590</v>
      </c>
      <c r="I4293" t="s">
        <v>6800</v>
      </c>
      <c r="J4293" t="s">
        <v>34564</v>
      </c>
      <c r="K4293" t="s">
        <v>41190</v>
      </c>
      <c r="M4293" t="s">
        <v>43020</v>
      </c>
      <c r="N4293" t="s">
        <v>45095</v>
      </c>
      <c r="O4293" t="s">
        <v>45096</v>
      </c>
      <c r="P4293">
        <v>0</v>
      </c>
      <c r="Q4293">
        <v>2</v>
      </c>
      <c r="R4293" t="s">
        <v>45101</v>
      </c>
      <c r="S4293" t="s">
        <v>45231</v>
      </c>
      <c r="T4293" t="s">
        <v>46913</v>
      </c>
      <c r="U4293" t="s">
        <v>47916</v>
      </c>
      <c r="V4293" t="s">
        <v>60303</v>
      </c>
      <c r="W4293" t="s">
        <v>43020</v>
      </c>
      <c r="X4293" t="s">
        <v>45102</v>
      </c>
    </row>
    <row r="4294" spans="1:24">
      <c r="A4294">
        <f>HYPERLINK("https://www.philgeps.gov.ph/GEPSNONPILOT/Tender/SplashBidNoticeAbstractUI.aspx?menuIndex=3&amp;refID=7042134&amp;Result=3","7042134")</f>
        <v>0</v>
      </c>
      <c r="B4294" t="s">
        <v>1488</v>
      </c>
      <c r="C4294" t="s">
        <v>7296</v>
      </c>
      <c r="D4294" t="s">
        <v>18088</v>
      </c>
      <c r="E4294" t="s">
        <v>21914</v>
      </c>
      <c r="F4294" t="s">
        <v>31574</v>
      </c>
      <c r="G4294" t="s">
        <v>31583</v>
      </c>
      <c r="H4294" t="s">
        <v>31590</v>
      </c>
      <c r="I4294" t="s">
        <v>3487</v>
      </c>
      <c r="J4294" t="s">
        <v>31789</v>
      </c>
      <c r="K4294" t="s">
        <v>41184</v>
      </c>
      <c r="M4294" t="s">
        <v>43073</v>
      </c>
      <c r="N4294" t="s">
        <v>45095</v>
      </c>
      <c r="O4294" t="s">
        <v>45096</v>
      </c>
      <c r="P4294">
        <v>0</v>
      </c>
      <c r="Q4294">
        <v>0</v>
      </c>
      <c r="R4294" t="s">
        <v>45101</v>
      </c>
      <c r="S4294" t="s">
        <v>45231</v>
      </c>
      <c r="T4294" t="s">
        <v>47154</v>
      </c>
      <c r="U4294" t="s">
        <v>51121</v>
      </c>
      <c r="V4294" t="s">
        <v>60304</v>
      </c>
      <c r="W4294" t="s">
        <v>43073</v>
      </c>
      <c r="X4294" t="s">
        <v>45102</v>
      </c>
    </row>
    <row r="4295" spans="1:24">
      <c r="A4295">
        <f>HYPERLINK("https://www.philgeps.gov.ph/GEPSNONPILOT/Tender/SplashBidNoticeAbstractUI.aspx?menuIndex=3&amp;refID=7042138&amp;Result=3","7042138")</f>
        <v>0</v>
      </c>
      <c r="B4295" t="s">
        <v>1131</v>
      </c>
      <c r="C4295" t="s">
        <v>7297</v>
      </c>
      <c r="D4295" t="s">
        <v>18071</v>
      </c>
      <c r="E4295" t="s">
        <v>21951</v>
      </c>
      <c r="F4295" t="s">
        <v>31574</v>
      </c>
      <c r="G4295" t="s">
        <v>31581</v>
      </c>
      <c r="H4295" t="s">
        <v>31590</v>
      </c>
      <c r="I4295" t="s">
        <v>31623</v>
      </c>
      <c r="J4295" t="s">
        <v>32389</v>
      </c>
      <c r="K4295" t="s">
        <v>41313</v>
      </c>
      <c r="M4295" t="s">
        <v>42682</v>
      </c>
      <c r="N4295" t="s">
        <v>45095</v>
      </c>
      <c r="O4295" t="s">
        <v>45096</v>
      </c>
      <c r="P4295">
        <v>0</v>
      </c>
      <c r="Q4295">
        <v>0</v>
      </c>
      <c r="R4295" t="s">
        <v>45101</v>
      </c>
      <c r="S4295" t="s">
        <v>45231</v>
      </c>
      <c r="T4295" t="s">
        <v>47064</v>
      </c>
      <c r="U4295" t="s">
        <v>51122</v>
      </c>
      <c r="W4295" t="s">
        <v>42682</v>
      </c>
      <c r="X4295" t="s">
        <v>45102</v>
      </c>
    </row>
    <row r="4296" spans="1:24">
      <c r="A4296">
        <f>HYPERLINK("https://www.philgeps.gov.ph/GEPSNONPILOT/Tender/SplashBidNoticeAbstractUI.aspx?menuIndex=3&amp;refID=7042125&amp;Result=3","7042125")</f>
        <v>0</v>
      </c>
      <c r="B4296" t="s">
        <v>1242</v>
      </c>
      <c r="C4296" t="s">
        <v>7298</v>
      </c>
      <c r="D4296" t="s">
        <v>18056</v>
      </c>
      <c r="E4296" t="s">
        <v>21952</v>
      </c>
      <c r="F4296" t="s">
        <v>31574</v>
      </c>
      <c r="G4296" t="s">
        <v>31581</v>
      </c>
      <c r="H4296" t="s">
        <v>31590</v>
      </c>
      <c r="I4296" t="s">
        <v>31615</v>
      </c>
      <c r="J4296" t="s">
        <v>31727</v>
      </c>
      <c r="K4296" t="s">
        <v>41211</v>
      </c>
      <c r="M4296" t="s">
        <v>43066</v>
      </c>
      <c r="N4296" t="s">
        <v>45095</v>
      </c>
      <c r="O4296" t="s">
        <v>45096</v>
      </c>
      <c r="P4296">
        <v>0</v>
      </c>
      <c r="Q4296">
        <v>0</v>
      </c>
      <c r="R4296" t="s">
        <v>45101</v>
      </c>
      <c r="S4296" t="s">
        <v>45231</v>
      </c>
      <c r="T4296" t="s">
        <v>47154</v>
      </c>
      <c r="U4296" t="s">
        <v>50453</v>
      </c>
      <c r="W4296" t="s">
        <v>43066</v>
      </c>
      <c r="X4296" t="s">
        <v>45102</v>
      </c>
    </row>
    <row r="4297" spans="1:24">
      <c r="A4297">
        <f>HYPERLINK("https://www.philgeps.gov.ph/GEPSNONPILOT/Tender/SplashBidNoticeAbstractUI.aspx?menuIndex=3&amp;refID=7042128&amp;Result=3","7042128")</f>
        <v>0</v>
      </c>
      <c r="B4297" t="s">
        <v>220</v>
      </c>
      <c r="C4297" t="s">
        <v>7299</v>
      </c>
      <c r="D4297" t="s">
        <v>18083</v>
      </c>
      <c r="E4297" t="s">
        <v>21953</v>
      </c>
      <c r="F4297" t="s">
        <v>31574</v>
      </c>
      <c r="G4297" t="s">
        <v>31582</v>
      </c>
      <c r="H4297" t="s">
        <v>31590</v>
      </c>
      <c r="I4297" t="s">
        <v>31615</v>
      </c>
      <c r="J4297" t="s">
        <v>32510</v>
      </c>
      <c r="K4297" t="s">
        <v>41189</v>
      </c>
      <c r="M4297" t="s">
        <v>41705</v>
      </c>
      <c r="N4297" t="s">
        <v>45095</v>
      </c>
      <c r="O4297" t="s">
        <v>45096</v>
      </c>
      <c r="P4297">
        <v>0</v>
      </c>
      <c r="Q4297">
        <v>3</v>
      </c>
      <c r="R4297" t="s">
        <v>45101</v>
      </c>
      <c r="S4297" t="s">
        <v>45231</v>
      </c>
      <c r="T4297" t="s">
        <v>46941</v>
      </c>
      <c r="U4297" t="s">
        <v>51123</v>
      </c>
      <c r="W4297" t="s">
        <v>41705</v>
      </c>
      <c r="X4297" t="s">
        <v>45102</v>
      </c>
    </row>
    <row r="4298" spans="1:24">
      <c r="A4298">
        <f>HYPERLINK("https://www.philgeps.gov.ph/GEPSNONPILOT/Tender/SplashBidNoticeAbstractUI.aspx?menuIndex=3&amp;refID=7042135&amp;Result=3","7042135")</f>
        <v>0</v>
      </c>
      <c r="B4298" t="s">
        <v>200</v>
      </c>
      <c r="C4298" t="s">
        <v>7300</v>
      </c>
      <c r="D4298" t="s">
        <v>18070</v>
      </c>
      <c r="E4298" t="s">
        <v>21954</v>
      </c>
      <c r="F4298" t="s">
        <v>31574</v>
      </c>
      <c r="G4298" t="s">
        <v>31581</v>
      </c>
      <c r="H4298" t="s">
        <v>31590</v>
      </c>
      <c r="I4298" t="s">
        <v>4046</v>
      </c>
      <c r="J4298" t="s">
        <v>34565</v>
      </c>
      <c r="K4298" t="s">
        <v>41194</v>
      </c>
      <c r="M4298" t="s">
        <v>41685</v>
      </c>
      <c r="N4298" t="s">
        <v>45095</v>
      </c>
      <c r="O4298" t="s">
        <v>45096</v>
      </c>
      <c r="P4298">
        <v>0</v>
      </c>
      <c r="Q4298">
        <v>0</v>
      </c>
      <c r="R4298" t="s">
        <v>45101</v>
      </c>
      <c r="S4298" t="s">
        <v>45231</v>
      </c>
      <c r="T4298" t="s">
        <v>47154</v>
      </c>
      <c r="U4298" t="s">
        <v>51124</v>
      </c>
      <c r="W4298" t="s">
        <v>41685</v>
      </c>
      <c r="X4298" t="s">
        <v>45102</v>
      </c>
    </row>
    <row r="4299" spans="1:24">
      <c r="A4299">
        <f>HYPERLINK("https://www.philgeps.gov.ph/GEPSNONPILOT/Tender/SplashBidNoticeAbstractUI.aspx?menuIndex=3&amp;refID=7042127&amp;Result=3","7042127")</f>
        <v>0</v>
      </c>
      <c r="B4299" t="s">
        <v>300</v>
      </c>
      <c r="C4299" t="s">
        <v>7301</v>
      </c>
      <c r="D4299" t="s">
        <v>18060</v>
      </c>
      <c r="E4299" t="s">
        <v>21955</v>
      </c>
      <c r="F4299" t="s">
        <v>31574</v>
      </c>
      <c r="G4299" t="s">
        <v>31581</v>
      </c>
      <c r="H4299" t="s">
        <v>31590</v>
      </c>
      <c r="I4299" t="s">
        <v>31600</v>
      </c>
      <c r="J4299" t="s">
        <v>34566</v>
      </c>
      <c r="K4299" t="s">
        <v>41193</v>
      </c>
      <c r="M4299" t="s">
        <v>41786</v>
      </c>
      <c r="N4299" t="s">
        <v>45095</v>
      </c>
      <c r="O4299" t="s">
        <v>45096</v>
      </c>
      <c r="P4299">
        <v>0</v>
      </c>
      <c r="Q4299">
        <v>1</v>
      </c>
      <c r="R4299" t="s">
        <v>45101</v>
      </c>
      <c r="S4299" t="s">
        <v>45231</v>
      </c>
      <c r="T4299" t="s">
        <v>46918</v>
      </c>
      <c r="U4299" t="s">
        <v>51125</v>
      </c>
      <c r="W4299" t="s">
        <v>41786</v>
      </c>
      <c r="X4299" t="s">
        <v>45102</v>
      </c>
    </row>
    <row r="4300" spans="1:24">
      <c r="A4300">
        <f>HYPERLINK("https://www.philgeps.gov.ph/GEPSNONPILOT/Tender/SplashBidNoticeAbstractUI.aspx?menuIndex=3&amp;refID=7042142&amp;Result=3","7042142")</f>
        <v>0</v>
      </c>
      <c r="B4300" t="s">
        <v>1495</v>
      </c>
      <c r="C4300" t="s">
        <v>7302</v>
      </c>
      <c r="D4300" t="s">
        <v>18069</v>
      </c>
      <c r="E4300" t="s">
        <v>21956</v>
      </c>
      <c r="F4300" t="s">
        <v>31574</v>
      </c>
      <c r="G4300" t="s">
        <v>31582</v>
      </c>
      <c r="H4300" t="s">
        <v>31591</v>
      </c>
      <c r="I4300" t="s">
        <v>3487</v>
      </c>
      <c r="J4300" t="s">
        <v>32742</v>
      </c>
      <c r="K4300" t="s">
        <v>41189</v>
      </c>
      <c r="M4300" t="s">
        <v>43080</v>
      </c>
      <c r="N4300" t="s">
        <v>45095</v>
      </c>
      <c r="O4300" t="s">
        <v>45096</v>
      </c>
      <c r="P4300">
        <v>0</v>
      </c>
      <c r="Q4300">
        <v>0</v>
      </c>
      <c r="R4300" t="s">
        <v>45101</v>
      </c>
      <c r="S4300" t="s">
        <v>45231</v>
      </c>
      <c r="T4300" t="s">
        <v>46918</v>
      </c>
      <c r="U4300" t="s">
        <v>51126</v>
      </c>
      <c r="W4300" t="s">
        <v>43080</v>
      </c>
      <c r="X4300" t="s">
        <v>45102</v>
      </c>
    </row>
    <row r="4301" spans="1:24">
      <c r="A4301">
        <f>HYPERLINK("https://www.philgeps.gov.ph/GEPSNONPILOT/Tender/SplashBidNoticeAbstractUI.aspx?menuIndex=3&amp;refID=7042115&amp;Result=3","7042115")</f>
        <v>0</v>
      </c>
      <c r="B4301" t="s">
        <v>1495</v>
      </c>
      <c r="C4301" t="s">
        <v>7303</v>
      </c>
      <c r="D4301" t="s">
        <v>18069</v>
      </c>
      <c r="E4301" t="s">
        <v>21957</v>
      </c>
      <c r="F4301" t="s">
        <v>31574</v>
      </c>
      <c r="G4301" t="s">
        <v>31582</v>
      </c>
      <c r="H4301" t="s">
        <v>31591</v>
      </c>
      <c r="I4301" t="s">
        <v>31627</v>
      </c>
      <c r="J4301" t="s">
        <v>32026</v>
      </c>
      <c r="K4301" t="s">
        <v>41189</v>
      </c>
      <c r="M4301" t="s">
        <v>43080</v>
      </c>
      <c r="N4301" t="s">
        <v>45095</v>
      </c>
      <c r="O4301" t="s">
        <v>45096</v>
      </c>
      <c r="P4301">
        <v>0</v>
      </c>
      <c r="Q4301">
        <v>0</v>
      </c>
      <c r="R4301" t="s">
        <v>45101</v>
      </c>
      <c r="S4301" t="s">
        <v>45231</v>
      </c>
      <c r="T4301" t="s">
        <v>47100</v>
      </c>
      <c r="U4301" t="s">
        <v>51127</v>
      </c>
      <c r="W4301" t="s">
        <v>43080</v>
      </c>
      <c r="X4301" t="s">
        <v>45102</v>
      </c>
    </row>
    <row r="4302" spans="1:24">
      <c r="A4302">
        <f>HYPERLINK("https://www.philgeps.gov.ph/GEPSNONPILOT/Tender/SplashBidNoticeAbstractUI.aspx?menuIndex=3&amp;refID=7042141&amp;Result=3","7042141")</f>
        <v>0</v>
      </c>
      <c r="B4302" t="s">
        <v>1157</v>
      </c>
      <c r="C4302" t="s">
        <v>7304</v>
      </c>
      <c r="E4302" t="s">
        <v>21958</v>
      </c>
      <c r="F4302" t="s">
        <v>31574</v>
      </c>
      <c r="G4302" t="s">
        <v>31581</v>
      </c>
      <c r="H4302" t="s">
        <v>31590</v>
      </c>
      <c r="I4302" t="s">
        <v>31626</v>
      </c>
      <c r="J4302" t="s">
        <v>31727</v>
      </c>
      <c r="K4302" t="s">
        <v>41184</v>
      </c>
      <c r="M4302" t="s">
        <v>42714</v>
      </c>
      <c r="N4302" t="s">
        <v>45095</v>
      </c>
      <c r="O4302" t="s">
        <v>45096</v>
      </c>
      <c r="P4302">
        <v>0</v>
      </c>
      <c r="Q4302">
        <v>2</v>
      </c>
      <c r="R4302" t="s">
        <v>45101</v>
      </c>
      <c r="S4302" t="s">
        <v>45231</v>
      </c>
      <c r="T4302" t="s">
        <v>46976</v>
      </c>
      <c r="U4302" t="s">
        <v>50261</v>
      </c>
      <c r="W4302" t="s">
        <v>42714</v>
      </c>
      <c r="X4302" t="s">
        <v>45102</v>
      </c>
    </row>
    <row r="4303" spans="1:24">
      <c r="A4303">
        <f>HYPERLINK("https://www.philgeps.gov.ph/GEPSNONPILOT/Tender/SplashBidNoticeAbstractUI.aspx?menuIndex=3&amp;refID=7042169&amp;Result=3","7042169")</f>
        <v>0</v>
      </c>
      <c r="B4303" t="s">
        <v>1496</v>
      </c>
      <c r="C4303" t="s">
        <v>7305</v>
      </c>
      <c r="D4303" t="s">
        <v>18047</v>
      </c>
      <c r="E4303" t="s">
        <v>21837</v>
      </c>
      <c r="F4303" t="s">
        <v>31574</v>
      </c>
      <c r="G4303" t="s">
        <v>31581</v>
      </c>
      <c r="H4303" t="s">
        <v>31590</v>
      </c>
      <c r="I4303" t="s">
        <v>3873</v>
      </c>
      <c r="J4303" t="s">
        <v>34567</v>
      </c>
      <c r="K4303" t="s">
        <v>41184</v>
      </c>
      <c r="M4303" t="s">
        <v>43081</v>
      </c>
      <c r="N4303" t="s">
        <v>45095</v>
      </c>
      <c r="O4303" t="s">
        <v>45096</v>
      </c>
      <c r="P4303">
        <v>0</v>
      </c>
      <c r="Q4303">
        <v>0</v>
      </c>
      <c r="R4303" t="s">
        <v>45101</v>
      </c>
      <c r="S4303" t="s">
        <v>45231</v>
      </c>
      <c r="T4303" t="s">
        <v>47159</v>
      </c>
      <c r="U4303" t="s">
        <v>51128</v>
      </c>
      <c r="V4303" t="s">
        <v>60305</v>
      </c>
      <c r="W4303" t="s">
        <v>43081</v>
      </c>
      <c r="X4303" t="s">
        <v>45102</v>
      </c>
    </row>
    <row r="4304" spans="1:24">
      <c r="A4304">
        <f>HYPERLINK("https://www.philgeps.gov.ph/GEPSNONPILOT/Tender/SplashBidNoticeAbstractUI.aspx?menuIndex=3&amp;refID=7042161&amp;Result=3","7042161")</f>
        <v>0</v>
      </c>
      <c r="B4304" t="s">
        <v>1376</v>
      </c>
      <c r="C4304" t="s">
        <v>7306</v>
      </c>
      <c r="E4304" t="s">
        <v>21959</v>
      </c>
      <c r="F4304" t="s">
        <v>31574</v>
      </c>
      <c r="G4304" t="s">
        <v>31582</v>
      </c>
      <c r="H4304" t="s">
        <v>31591</v>
      </c>
      <c r="I4304" t="s">
        <v>8822</v>
      </c>
      <c r="J4304" t="s">
        <v>34568</v>
      </c>
      <c r="K4304" t="s">
        <v>41184</v>
      </c>
      <c r="M4304" t="s">
        <v>42950</v>
      </c>
      <c r="N4304" t="s">
        <v>45095</v>
      </c>
      <c r="O4304" t="s">
        <v>45096</v>
      </c>
      <c r="P4304">
        <v>0</v>
      </c>
      <c r="Q4304">
        <v>0</v>
      </c>
      <c r="R4304" t="s">
        <v>45101</v>
      </c>
      <c r="S4304" t="s">
        <v>45231</v>
      </c>
      <c r="T4304" t="s">
        <v>47199</v>
      </c>
      <c r="U4304" t="s">
        <v>51044</v>
      </c>
      <c r="W4304" t="s">
        <v>42950</v>
      </c>
      <c r="X4304" t="s">
        <v>45102</v>
      </c>
    </row>
    <row r="4305" spans="1:24">
      <c r="A4305">
        <f>HYPERLINK("https://www.philgeps.gov.ph/GEPSNONPILOT/Tender/SplashBidNoticeAbstractUI.aspx?menuIndex=3&amp;refID=7042174&amp;Result=3","7042174")</f>
        <v>0</v>
      </c>
      <c r="B4305" t="s">
        <v>1497</v>
      </c>
      <c r="C4305" t="s">
        <v>7307</v>
      </c>
      <c r="E4305" t="s">
        <v>21960</v>
      </c>
      <c r="F4305" t="s">
        <v>31574</v>
      </c>
      <c r="G4305" t="s">
        <v>31581</v>
      </c>
      <c r="H4305" t="s">
        <v>31590</v>
      </c>
      <c r="I4305" t="s">
        <v>3487</v>
      </c>
      <c r="J4305" t="s">
        <v>31726</v>
      </c>
      <c r="K4305" t="s">
        <v>41184</v>
      </c>
      <c r="M4305" t="s">
        <v>43082</v>
      </c>
      <c r="N4305" t="s">
        <v>45095</v>
      </c>
      <c r="O4305" t="s">
        <v>45096</v>
      </c>
      <c r="P4305">
        <v>0</v>
      </c>
      <c r="Q4305">
        <v>5</v>
      </c>
      <c r="R4305" t="s">
        <v>45101</v>
      </c>
      <c r="S4305" t="s">
        <v>45231</v>
      </c>
      <c r="T4305" t="s">
        <v>47215</v>
      </c>
      <c r="U4305" t="s">
        <v>51129</v>
      </c>
      <c r="W4305" t="s">
        <v>43082</v>
      </c>
      <c r="X4305" t="s">
        <v>45102</v>
      </c>
    </row>
    <row r="4306" spans="1:24">
      <c r="A4306">
        <f>HYPERLINK("https://www.philgeps.gov.ph/GEPSNONPILOT/Tender/SplashBidNoticeAbstractUI.aspx?menuIndex=3&amp;refID=7042143&amp;Result=3","7042143")</f>
        <v>0</v>
      </c>
      <c r="B4306" t="s">
        <v>1498</v>
      </c>
      <c r="C4306" t="s">
        <v>7308</v>
      </c>
      <c r="D4306" t="s">
        <v>18022</v>
      </c>
      <c r="E4306" t="s">
        <v>21961</v>
      </c>
      <c r="F4306" t="s">
        <v>31574</v>
      </c>
      <c r="G4306" t="s">
        <v>31583</v>
      </c>
      <c r="H4306" t="s">
        <v>31590</v>
      </c>
      <c r="I4306" t="s">
        <v>31675</v>
      </c>
      <c r="J4306" t="s">
        <v>31727</v>
      </c>
      <c r="K4306" t="s">
        <v>41186</v>
      </c>
      <c r="M4306" t="s">
        <v>43083</v>
      </c>
      <c r="N4306" t="s">
        <v>45095</v>
      </c>
      <c r="O4306" t="s">
        <v>45096</v>
      </c>
      <c r="P4306">
        <v>0</v>
      </c>
      <c r="Q4306">
        <v>7</v>
      </c>
      <c r="R4306" t="s">
        <v>45101</v>
      </c>
      <c r="S4306" t="s">
        <v>45231</v>
      </c>
      <c r="T4306" t="s">
        <v>47164</v>
      </c>
      <c r="U4306" t="s">
        <v>51130</v>
      </c>
      <c r="W4306" t="s">
        <v>43083</v>
      </c>
      <c r="X4306" t="s">
        <v>45102</v>
      </c>
    </row>
    <row r="4307" spans="1:24">
      <c r="A4307">
        <f>HYPERLINK("https://www.philgeps.gov.ph/GEPSNONPILOT/Tender/SplashBidNoticeAbstractUI.aspx?menuIndex=3&amp;refID=7042171&amp;Result=3","7042171")</f>
        <v>0</v>
      </c>
      <c r="B4307" t="s">
        <v>1131</v>
      </c>
      <c r="C4307" t="s">
        <v>7309</v>
      </c>
      <c r="D4307" t="s">
        <v>18071</v>
      </c>
      <c r="E4307" t="s">
        <v>21962</v>
      </c>
      <c r="F4307" t="s">
        <v>31574</v>
      </c>
      <c r="G4307" t="s">
        <v>31581</v>
      </c>
      <c r="H4307" t="s">
        <v>31590</v>
      </c>
      <c r="I4307" t="s">
        <v>3487</v>
      </c>
      <c r="J4307" t="s">
        <v>34569</v>
      </c>
      <c r="K4307" t="s">
        <v>41186</v>
      </c>
      <c r="M4307" t="s">
        <v>42682</v>
      </c>
      <c r="N4307" t="s">
        <v>45095</v>
      </c>
      <c r="O4307" t="s">
        <v>45096</v>
      </c>
      <c r="P4307">
        <v>0</v>
      </c>
      <c r="Q4307">
        <v>0</v>
      </c>
      <c r="R4307" t="s">
        <v>45101</v>
      </c>
      <c r="S4307" t="s">
        <v>45231</v>
      </c>
      <c r="T4307" t="s">
        <v>47064</v>
      </c>
      <c r="U4307" t="s">
        <v>51131</v>
      </c>
      <c r="W4307" t="s">
        <v>42682</v>
      </c>
      <c r="X4307" t="s">
        <v>45102</v>
      </c>
    </row>
    <row r="4308" spans="1:24">
      <c r="A4308">
        <f>HYPERLINK("https://www.philgeps.gov.ph/GEPSNONPILOT/Tender/SplashBidNoticeAbstractUI.aspx?menuIndex=3&amp;refID=7042172&amp;Result=3","7042172")</f>
        <v>0</v>
      </c>
      <c r="B4308" t="s">
        <v>1405</v>
      </c>
      <c r="C4308" t="s">
        <v>7310</v>
      </c>
      <c r="E4308" t="s">
        <v>21963</v>
      </c>
      <c r="F4308" t="s">
        <v>31574</v>
      </c>
      <c r="G4308" t="s">
        <v>31583</v>
      </c>
      <c r="H4308" t="s">
        <v>31590</v>
      </c>
      <c r="I4308" t="s">
        <v>4327</v>
      </c>
      <c r="J4308" t="s">
        <v>32232</v>
      </c>
      <c r="K4308" t="s">
        <v>41184</v>
      </c>
      <c r="M4308" t="s">
        <v>42980</v>
      </c>
      <c r="N4308" t="s">
        <v>45095</v>
      </c>
      <c r="O4308" t="s">
        <v>45096</v>
      </c>
      <c r="P4308">
        <v>0</v>
      </c>
      <c r="Q4308">
        <v>5</v>
      </c>
      <c r="R4308" t="s">
        <v>45101</v>
      </c>
      <c r="S4308" t="s">
        <v>45231</v>
      </c>
      <c r="T4308" t="s">
        <v>47158</v>
      </c>
      <c r="U4308" t="s">
        <v>50881</v>
      </c>
      <c r="W4308" t="s">
        <v>61700</v>
      </c>
      <c r="X4308" t="s">
        <v>45102</v>
      </c>
    </row>
    <row r="4309" spans="1:24">
      <c r="A4309">
        <f>HYPERLINK("https://www.philgeps.gov.ph/GEPSNONPILOT/Tender/SplashBidNoticeAbstractUI.aspx?menuIndex=3&amp;refID=7042165&amp;Result=3","7042165")</f>
        <v>0</v>
      </c>
      <c r="B4309" t="s">
        <v>1499</v>
      </c>
      <c r="C4309" t="s">
        <v>7311</v>
      </c>
      <c r="D4309" t="s">
        <v>18035</v>
      </c>
      <c r="E4309" t="s">
        <v>21964</v>
      </c>
      <c r="F4309" t="s">
        <v>31574</v>
      </c>
      <c r="G4309" t="s">
        <v>31581</v>
      </c>
      <c r="H4309" t="s">
        <v>31590</v>
      </c>
      <c r="I4309" t="s">
        <v>31615</v>
      </c>
      <c r="J4309" t="s">
        <v>31964</v>
      </c>
      <c r="K4309" t="s">
        <v>41184</v>
      </c>
      <c r="M4309" t="s">
        <v>43084</v>
      </c>
      <c r="N4309" t="s">
        <v>45095</v>
      </c>
      <c r="O4309" t="s">
        <v>45096</v>
      </c>
      <c r="P4309">
        <v>0</v>
      </c>
      <c r="Q4309">
        <v>1</v>
      </c>
      <c r="R4309" t="s">
        <v>45101</v>
      </c>
      <c r="S4309" t="s">
        <v>45231</v>
      </c>
      <c r="T4309" t="s">
        <v>47106</v>
      </c>
      <c r="U4309" t="s">
        <v>51132</v>
      </c>
      <c r="V4309" t="s">
        <v>60306</v>
      </c>
      <c r="W4309" t="s">
        <v>43084</v>
      </c>
      <c r="X4309" t="s">
        <v>45102</v>
      </c>
    </row>
    <row r="4310" spans="1:24">
      <c r="A4310">
        <f>HYPERLINK("https://www.philgeps.gov.ph/GEPSNONPILOT/Tender/SplashBidNoticeAbstractUI.aspx?menuIndex=3&amp;refID=7042117&amp;Result=3","7042117")</f>
        <v>0</v>
      </c>
      <c r="B4310" t="s">
        <v>1357</v>
      </c>
      <c r="C4310" t="s">
        <v>7312</v>
      </c>
      <c r="D4310" t="s">
        <v>18054</v>
      </c>
      <c r="E4310" t="s">
        <v>21965</v>
      </c>
      <c r="F4310" t="s">
        <v>31574</v>
      </c>
      <c r="G4310" t="s">
        <v>31582</v>
      </c>
      <c r="H4310" t="s">
        <v>31590</v>
      </c>
      <c r="I4310" t="s">
        <v>31614</v>
      </c>
      <c r="J4310" t="s">
        <v>31764</v>
      </c>
      <c r="K4310" t="s">
        <v>41192</v>
      </c>
      <c r="M4310" t="s">
        <v>42929</v>
      </c>
      <c r="N4310" t="s">
        <v>45095</v>
      </c>
      <c r="O4310" t="s">
        <v>45096</v>
      </c>
      <c r="P4310">
        <v>0</v>
      </c>
      <c r="Q4310">
        <v>0</v>
      </c>
      <c r="R4310" t="s">
        <v>45101</v>
      </c>
      <c r="S4310" t="s">
        <v>45231</v>
      </c>
      <c r="T4310" t="s">
        <v>46918</v>
      </c>
      <c r="U4310" t="s">
        <v>50750</v>
      </c>
      <c r="V4310" t="s">
        <v>60229</v>
      </c>
      <c r="W4310" t="s">
        <v>42929</v>
      </c>
      <c r="X4310" t="s">
        <v>45102</v>
      </c>
    </row>
    <row r="4311" spans="1:24">
      <c r="A4311">
        <f>HYPERLINK("https://www.philgeps.gov.ph/GEPSNONPILOT/Tender/SplashBidNoticeAbstractUI.aspx?menuIndex=3&amp;refID=7042176&amp;Result=3","7042176")</f>
        <v>0</v>
      </c>
      <c r="B4311" t="s">
        <v>1366</v>
      </c>
      <c r="C4311" t="s">
        <v>7313</v>
      </c>
      <c r="D4311" t="s">
        <v>18099</v>
      </c>
      <c r="E4311" t="s">
        <v>21966</v>
      </c>
      <c r="F4311" t="s">
        <v>31574</v>
      </c>
      <c r="G4311" t="s">
        <v>31583</v>
      </c>
      <c r="H4311" t="s">
        <v>31590</v>
      </c>
      <c r="I4311" t="s">
        <v>4046</v>
      </c>
      <c r="J4311" t="s">
        <v>34570</v>
      </c>
      <c r="K4311" t="s">
        <v>41184</v>
      </c>
      <c r="M4311" t="s">
        <v>42938</v>
      </c>
      <c r="N4311" t="s">
        <v>45095</v>
      </c>
      <c r="O4311" t="s">
        <v>45096</v>
      </c>
      <c r="P4311">
        <v>0</v>
      </c>
      <c r="Q4311">
        <v>0</v>
      </c>
      <c r="R4311" t="s">
        <v>45101</v>
      </c>
      <c r="S4311" t="s">
        <v>45231</v>
      </c>
      <c r="T4311" t="s">
        <v>47158</v>
      </c>
      <c r="U4311" t="s">
        <v>51133</v>
      </c>
      <c r="W4311" t="s">
        <v>42938</v>
      </c>
      <c r="X4311" t="s">
        <v>45102</v>
      </c>
    </row>
    <row r="4312" spans="1:24">
      <c r="A4312">
        <f>HYPERLINK("https://www.philgeps.gov.ph/GEPSNONPILOT/Tender/SplashBidNoticeAbstractUI.aspx?menuIndex=3&amp;refID=7042168&amp;Result=3","7042168")</f>
        <v>0</v>
      </c>
      <c r="B4312" t="s">
        <v>1443</v>
      </c>
      <c r="C4312" t="s">
        <v>7314</v>
      </c>
      <c r="D4312" t="s">
        <v>18074</v>
      </c>
      <c r="E4312" t="s">
        <v>21967</v>
      </c>
      <c r="F4312" t="s">
        <v>31574</v>
      </c>
      <c r="G4312" t="s">
        <v>31581</v>
      </c>
      <c r="H4312" t="s">
        <v>31590</v>
      </c>
      <c r="I4312" t="s">
        <v>4046</v>
      </c>
      <c r="J4312" t="s">
        <v>34571</v>
      </c>
      <c r="K4312" t="s">
        <v>41190</v>
      </c>
      <c r="M4312" t="s">
        <v>43020</v>
      </c>
      <c r="N4312" t="s">
        <v>45095</v>
      </c>
      <c r="O4312" t="s">
        <v>45096</v>
      </c>
      <c r="P4312">
        <v>0</v>
      </c>
      <c r="Q4312">
        <v>0</v>
      </c>
      <c r="R4312" t="s">
        <v>45101</v>
      </c>
      <c r="S4312" t="s">
        <v>45231</v>
      </c>
      <c r="T4312" t="s">
        <v>46913</v>
      </c>
      <c r="U4312" t="s">
        <v>51052</v>
      </c>
      <c r="V4312" t="s">
        <v>60307</v>
      </c>
      <c r="W4312" t="s">
        <v>43020</v>
      </c>
      <c r="X4312" t="s">
        <v>45102</v>
      </c>
    </row>
    <row r="4313" spans="1:24">
      <c r="A4313">
        <f>HYPERLINK("https://www.philgeps.gov.ph/GEPSNONPILOT/Tender/SplashBidNoticeAbstractUI.aspx?menuIndex=3&amp;refID=7042170&amp;Result=3","7042170")</f>
        <v>0</v>
      </c>
      <c r="B4313" t="s">
        <v>1476</v>
      </c>
      <c r="C4313" t="s">
        <v>7315</v>
      </c>
      <c r="D4313" t="s">
        <v>18022</v>
      </c>
      <c r="E4313" t="s">
        <v>21968</v>
      </c>
      <c r="F4313" t="s">
        <v>31574</v>
      </c>
      <c r="G4313" t="s">
        <v>31581</v>
      </c>
      <c r="H4313" t="s">
        <v>31592</v>
      </c>
      <c r="I4313" t="s">
        <v>31628</v>
      </c>
      <c r="J4313" t="s">
        <v>31726</v>
      </c>
      <c r="K4313" t="s">
        <v>41251</v>
      </c>
      <c r="M4313" t="s">
        <v>43058</v>
      </c>
      <c r="N4313" t="s">
        <v>45095</v>
      </c>
      <c r="O4313" t="s">
        <v>45096</v>
      </c>
      <c r="P4313">
        <v>0</v>
      </c>
      <c r="Q4313">
        <v>3</v>
      </c>
      <c r="R4313" t="s">
        <v>45101</v>
      </c>
      <c r="S4313" t="s">
        <v>45231</v>
      </c>
      <c r="T4313" t="s">
        <v>47058</v>
      </c>
      <c r="U4313" t="s">
        <v>51134</v>
      </c>
      <c r="W4313" t="s">
        <v>43058</v>
      </c>
      <c r="X4313" t="s">
        <v>45102</v>
      </c>
    </row>
    <row r="4314" spans="1:24">
      <c r="A4314">
        <f>HYPERLINK("https://www.philgeps.gov.ph/GEPSNONPILOT/Tender/SplashBidNoticeAbstractUI.aspx?menuIndex=3&amp;refID=7042166&amp;Result=3","7042166")</f>
        <v>0</v>
      </c>
      <c r="B4314" t="s">
        <v>1494</v>
      </c>
      <c r="C4314" t="s">
        <v>7316</v>
      </c>
      <c r="D4314" t="s">
        <v>18031</v>
      </c>
      <c r="E4314" t="s">
        <v>21969</v>
      </c>
      <c r="F4314" t="s">
        <v>31574</v>
      </c>
      <c r="G4314" t="s">
        <v>31581</v>
      </c>
      <c r="H4314" t="s">
        <v>31590</v>
      </c>
      <c r="I4314" t="s">
        <v>3487</v>
      </c>
      <c r="J4314" t="s">
        <v>34572</v>
      </c>
      <c r="K4314" t="s">
        <v>41193</v>
      </c>
      <c r="M4314" t="s">
        <v>43079</v>
      </c>
      <c r="N4314" t="s">
        <v>45095</v>
      </c>
      <c r="O4314" t="s">
        <v>45096</v>
      </c>
      <c r="P4314">
        <v>0</v>
      </c>
      <c r="Q4314">
        <v>1</v>
      </c>
      <c r="R4314" t="s">
        <v>45101</v>
      </c>
      <c r="S4314" t="s">
        <v>45231</v>
      </c>
      <c r="T4314" t="s">
        <v>47159</v>
      </c>
      <c r="U4314" t="s">
        <v>51135</v>
      </c>
      <c r="W4314" t="s">
        <v>43079</v>
      </c>
      <c r="X4314" t="s">
        <v>45102</v>
      </c>
    </row>
    <row r="4315" spans="1:24">
      <c r="A4315">
        <f>HYPERLINK("https://www.philgeps.gov.ph/GEPSNONPILOT/Tender/SplashBidNoticeAbstractUI.aspx?menuIndex=3&amp;refID=7042152&amp;Result=3","7042152")</f>
        <v>0</v>
      </c>
      <c r="B4315" t="s">
        <v>1443</v>
      </c>
      <c r="C4315" t="s">
        <v>7317</v>
      </c>
      <c r="D4315" t="s">
        <v>18074</v>
      </c>
      <c r="E4315" t="s">
        <v>21970</v>
      </c>
      <c r="F4315" t="s">
        <v>31574</v>
      </c>
      <c r="G4315" t="s">
        <v>31581</v>
      </c>
      <c r="H4315" t="s">
        <v>31590</v>
      </c>
      <c r="I4315" t="s">
        <v>4046</v>
      </c>
      <c r="J4315" t="s">
        <v>34571</v>
      </c>
      <c r="K4315" t="s">
        <v>41190</v>
      </c>
      <c r="M4315" t="s">
        <v>43020</v>
      </c>
      <c r="N4315" t="s">
        <v>45095</v>
      </c>
      <c r="O4315" t="s">
        <v>45096</v>
      </c>
      <c r="P4315">
        <v>0</v>
      </c>
      <c r="Q4315">
        <v>0</v>
      </c>
      <c r="R4315" t="s">
        <v>45101</v>
      </c>
      <c r="S4315" t="s">
        <v>45231</v>
      </c>
      <c r="T4315" t="s">
        <v>46913</v>
      </c>
      <c r="U4315" t="s">
        <v>51052</v>
      </c>
      <c r="V4315" t="s">
        <v>60308</v>
      </c>
      <c r="W4315" t="s">
        <v>43020</v>
      </c>
      <c r="X4315" t="s">
        <v>45102</v>
      </c>
    </row>
    <row r="4316" spans="1:24">
      <c r="A4316">
        <f>HYPERLINK("https://www.philgeps.gov.ph/GEPSNONPILOT/Tender/SplashBidNoticeAbstractUI.aspx?menuIndex=3&amp;refID=7042179&amp;Result=3","7042179")</f>
        <v>0</v>
      </c>
      <c r="B4316" t="s">
        <v>274</v>
      </c>
      <c r="C4316" t="s">
        <v>7318</v>
      </c>
      <c r="D4316" t="s">
        <v>18071</v>
      </c>
      <c r="E4316" t="s">
        <v>21971</v>
      </c>
      <c r="F4316" t="s">
        <v>31574</v>
      </c>
      <c r="G4316" t="s">
        <v>31585</v>
      </c>
      <c r="H4316" t="s">
        <v>31590</v>
      </c>
      <c r="I4316" t="s">
        <v>31623</v>
      </c>
      <c r="J4316" t="s">
        <v>34444</v>
      </c>
      <c r="K4316" t="s">
        <v>41184</v>
      </c>
      <c r="M4316" t="s">
        <v>41760</v>
      </c>
      <c r="N4316" t="s">
        <v>45095</v>
      </c>
      <c r="O4316" t="s">
        <v>45096</v>
      </c>
      <c r="P4316">
        <v>0</v>
      </c>
      <c r="Q4316">
        <v>0</v>
      </c>
      <c r="R4316" t="s">
        <v>45101</v>
      </c>
      <c r="S4316" t="s">
        <v>45231</v>
      </c>
      <c r="T4316" t="s">
        <v>47154</v>
      </c>
      <c r="U4316" t="s">
        <v>51136</v>
      </c>
      <c r="W4316" t="s">
        <v>61660</v>
      </c>
      <c r="X4316" t="s">
        <v>45102</v>
      </c>
    </row>
    <row r="4317" spans="1:24">
      <c r="A4317">
        <f>HYPERLINK("https://www.philgeps.gov.ph/GEPSNONPILOT/Tender/SplashBidNoticeAbstractUI.aspx?menuIndex=3&amp;refID=7042193&amp;Result=3","7042193")</f>
        <v>0</v>
      </c>
      <c r="B4317" t="s">
        <v>83</v>
      </c>
      <c r="C4317" t="s">
        <v>7319</v>
      </c>
      <c r="D4317" t="s">
        <v>18043</v>
      </c>
      <c r="E4317" t="s">
        <v>21972</v>
      </c>
      <c r="F4317" t="s">
        <v>31574</v>
      </c>
      <c r="G4317" t="s">
        <v>31581</v>
      </c>
      <c r="H4317" t="s">
        <v>31590</v>
      </c>
      <c r="I4317" t="s">
        <v>31625</v>
      </c>
      <c r="J4317" t="s">
        <v>32049</v>
      </c>
      <c r="K4317" t="s">
        <v>41189</v>
      </c>
      <c r="M4317" t="s">
        <v>41567</v>
      </c>
      <c r="N4317" t="s">
        <v>45095</v>
      </c>
      <c r="O4317" t="s">
        <v>45096</v>
      </c>
      <c r="P4317">
        <v>0</v>
      </c>
      <c r="Q4317">
        <v>1</v>
      </c>
      <c r="R4317" t="s">
        <v>45101</v>
      </c>
      <c r="S4317" t="s">
        <v>45231</v>
      </c>
      <c r="T4317" t="s">
        <v>46935</v>
      </c>
      <c r="U4317" t="s">
        <v>51137</v>
      </c>
      <c r="W4317" t="s">
        <v>41567</v>
      </c>
      <c r="X4317" t="s">
        <v>45102</v>
      </c>
    </row>
    <row r="4318" spans="1:24">
      <c r="A4318">
        <f>HYPERLINK("https://www.philgeps.gov.ph/GEPSNONPILOT/Tender/SplashBidNoticeAbstractUI.aspx?menuIndex=3&amp;refID=7042147&amp;Result=3","7042147")</f>
        <v>0</v>
      </c>
      <c r="B4318" t="s">
        <v>1492</v>
      </c>
      <c r="C4318" t="s">
        <v>7320</v>
      </c>
      <c r="D4318" t="s">
        <v>18072</v>
      </c>
      <c r="E4318" t="s">
        <v>21973</v>
      </c>
      <c r="F4318" t="s">
        <v>31574</v>
      </c>
      <c r="G4318" t="s">
        <v>31581</v>
      </c>
      <c r="H4318" t="s">
        <v>31591</v>
      </c>
      <c r="I4318" t="s">
        <v>8822</v>
      </c>
      <c r="J4318" t="s">
        <v>32232</v>
      </c>
      <c r="K4318" t="s">
        <v>41186</v>
      </c>
      <c r="M4318" t="s">
        <v>43077</v>
      </c>
      <c r="N4318" t="s">
        <v>45095</v>
      </c>
      <c r="O4318" t="s">
        <v>45096</v>
      </c>
      <c r="P4318">
        <v>0</v>
      </c>
      <c r="Q4318">
        <v>1</v>
      </c>
      <c r="R4318" t="s">
        <v>45101</v>
      </c>
      <c r="S4318" t="s">
        <v>45231</v>
      </c>
      <c r="T4318" t="s">
        <v>47154</v>
      </c>
      <c r="U4318" t="s">
        <v>51138</v>
      </c>
      <c r="W4318" t="s">
        <v>43077</v>
      </c>
      <c r="X4318" t="s">
        <v>45102</v>
      </c>
    </row>
    <row r="4319" spans="1:24">
      <c r="A4319">
        <f>HYPERLINK("https://www.philgeps.gov.ph/GEPSNONPILOT/Tender/SplashBidNoticeAbstractUI.aspx?menuIndex=3&amp;refID=7042192&amp;Result=3","7042192")</f>
        <v>0</v>
      </c>
      <c r="B4319" t="s">
        <v>1494</v>
      </c>
      <c r="C4319" t="s">
        <v>7321</v>
      </c>
      <c r="D4319" t="s">
        <v>18031</v>
      </c>
      <c r="E4319" t="s">
        <v>21974</v>
      </c>
      <c r="F4319" t="s">
        <v>31574</v>
      </c>
      <c r="G4319" t="s">
        <v>31581</v>
      </c>
      <c r="H4319" t="s">
        <v>31590</v>
      </c>
      <c r="I4319" t="s">
        <v>4046</v>
      </c>
      <c r="J4319" t="s">
        <v>34573</v>
      </c>
      <c r="K4319" t="s">
        <v>41193</v>
      </c>
      <c r="M4319" t="s">
        <v>43079</v>
      </c>
      <c r="N4319" t="s">
        <v>45095</v>
      </c>
      <c r="O4319" t="s">
        <v>45096</v>
      </c>
      <c r="P4319">
        <v>0</v>
      </c>
      <c r="Q4319">
        <v>0</v>
      </c>
      <c r="R4319" t="s">
        <v>45101</v>
      </c>
      <c r="S4319" t="s">
        <v>45231</v>
      </c>
      <c r="T4319" t="s">
        <v>47159</v>
      </c>
      <c r="U4319" t="s">
        <v>51139</v>
      </c>
      <c r="W4319" t="s">
        <v>43079</v>
      </c>
      <c r="X4319" t="s">
        <v>45102</v>
      </c>
    </row>
    <row r="4320" spans="1:24">
      <c r="A4320">
        <f>HYPERLINK("https://www.philgeps.gov.ph/GEPSNONPILOT/Tender/SplashBidNoticeAbstractUI.aspx?menuIndex=3&amp;refID=7042156&amp;Result=3","7042156")</f>
        <v>0</v>
      </c>
      <c r="B4320" t="s">
        <v>485</v>
      </c>
      <c r="C4320" t="s">
        <v>7322</v>
      </c>
      <c r="D4320" t="s">
        <v>18048</v>
      </c>
      <c r="E4320" t="s">
        <v>21975</v>
      </c>
      <c r="F4320" t="s">
        <v>31574</v>
      </c>
      <c r="G4320" t="s">
        <v>31581</v>
      </c>
      <c r="H4320" t="s">
        <v>31590</v>
      </c>
      <c r="I4320" t="s">
        <v>31659</v>
      </c>
      <c r="J4320" t="s">
        <v>32017</v>
      </c>
      <c r="K4320" t="s">
        <v>41184</v>
      </c>
      <c r="M4320" t="s">
        <v>41981</v>
      </c>
      <c r="N4320" t="s">
        <v>45095</v>
      </c>
      <c r="O4320" t="s">
        <v>45096</v>
      </c>
      <c r="P4320">
        <v>0</v>
      </c>
      <c r="Q4320">
        <v>0</v>
      </c>
      <c r="R4320" t="s">
        <v>45101</v>
      </c>
      <c r="S4320" t="s">
        <v>45231</v>
      </c>
      <c r="T4320" t="s">
        <v>47106</v>
      </c>
      <c r="U4320" t="s">
        <v>51140</v>
      </c>
      <c r="W4320" t="s">
        <v>41981</v>
      </c>
      <c r="X4320" t="s">
        <v>45102</v>
      </c>
    </row>
    <row r="4321" spans="1:24">
      <c r="A4321">
        <f>HYPERLINK("https://www.philgeps.gov.ph/GEPSNONPILOT/Tender/SplashBidNoticeAbstractUI.aspx?menuIndex=3&amp;refID=7042144&amp;Result=3","7042144")</f>
        <v>0</v>
      </c>
      <c r="B4321" t="s">
        <v>1303</v>
      </c>
      <c r="C4321" t="s">
        <v>7323</v>
      </c>
      <c r="D4321" t="s">
        <v>18024</v>
      </c>
      <c r="E4321" t="s">
        <v>21976</v>
      </c>
      <c r="F4321" t="s">
        <v>31574</v>
      </c>
      <c r="G4321" t="s">
        <v>31582</v>
      </c>
      <c r="H4321" t="s">
        <v>31590</v>
      </c>
      <c r="I4321" t="s">
        <v>5717</v>
      </c>
      <c r="J4321" t="s">
        <v>34574</v>
      </c>
      <c r="K4321" t="s">
        <v>41186</v>
      </c>
      <c r="M4321" t="s">
        <v>42873</v>
      </c>
      <c r="N4321" t="s">
        <v>45095</v>
      </c>
      <c r="O4321" t="s">
        <v>45096</v>
      </c>
      <c r="P4321">
        <v>0</v>
      </c>
      <c r="Q4321">
        <v>1</v>
      </c>
      <c r="R4321" t="s">
        <v>45101</v>
      </c>
      <c r="S4321" t="s">
        <v>45231</v>
      </c>
      <c r="T4321" t="s">
        <v>46915</v>
      </c>
      <c r="U4321" t="s">
        <v>51141</v>
      </c>
      <c r="W4321" t="s">
        <v>61696</v>
      </c>
      <c r="X4321" t="s">
        <v>45102</v>
      </c>
    </row>
    <row r="4322" spans="1:24">
      <c r="A4322">
        <f>HYPERLINK("https://www.philgeps.gov.ph/GEPSNONPILOT/Tender/SplashBidNoticeAbstractUI.aspx?menuIndex=3&amp;refID=7042187&amp;Result=3","7042187")</f>
        <v>0</v>
      </c>
      <c r="B4322" t="s">
        <v>1443</v>
      </c>
      <c r="C4322" t="s">
        <v>7324</v>
      </c>
      <c r="D4322" t="s">
        <v>18074</v>
      </c>
      <c r="E4322" t="s">
        <v>21977</v>
      </c>
      <c r="F4322" t="s">
        <v>31574</v>
      </c>
      <c r="G4322" t="s">
        <v>31581</v>
      </c>
      <c r="H4322" t="s">
        <v>31590</v>
      </c>
      <c r="I4322" t="s">
        <v>31602</v>
      </c>
      <c r="J4322" t="s">
        <v>34575</v>
      </c>
      <c r="K4322" t="s">
        <v>41190</v>
      </c>
      <c r="M4322" t="s">
        <v>43020</v>
      </c>
      <c r="N4322" t="s">
        <v>45095</v>
      </c>
      <c r="O4322" t="s">
        <v>45096</v>
      </c>
      <c r="P4322">
        <v>0</v>
      </c>
      <c r="Q4322">
        <v>0</v>
      </c>
      <c r="R4322" t="s">
        <v>45101</v>
      </c>
      <c r="S4322" t="s">
        <v>45231</v>
      </c>
      <c r="T4322" t="s">
        <v>46913</v>
      </c>
      <c r="U4322" t="s">
        <v>51142</v>
      </c>
      <c r="V4322" t="s">
        <v>60309</v>
      </c>
      <c r="W4322" t="s">
        <v>43020</v>
      </c>
      <c r="X4322" t="s">
        <v>45102</v>
      </c>
    </row>
    <row r="4323" spans="1:24">
      <c r="A4323">
        <f>HYPERLINK("https://www.philgeps.gov.ph/GEPSNONPILOT/Tender/SplashBidNoticeAbstractUI.aspx?menuIndex=3&amp;refID=7042186&amp;Result=3","7042186")</f>
        <v>0</v>
      </c>
      <c r="B4323" t="s">
        <v>1500</v>
      </c>
      <c r="C4323" t="s">
        <v>7325</v>
      </c>
      <c r="D4323" t="s">
        <v>18023</v>
      </c>
      <c r="E4323" t="s">
        <v>21978</v>
      </c>
      <c r="F4323" t="s">
        <v>31574</v>
      </c>
      <c r="G4323" t="s">
        <v>31582</v>
      </c>
      <c r="H4323" t="s">
        <v>31591</v>
      </c>
      <c r="I4323" t="s">
        <v>8822</v>
      </c>
      <c r="J4323" t="s">
        <v>34576</v>
      </c>
      <c r="K4323" t="s">
        <v>41202</v>
      </c>
      <c r="M4323" t="s">
        <v>43085</v>
      </c>
      <c r="N4323" t="s">
        <v>45095</v>
      </c>
      <c r="O4323" t="s">
        <v>45096</v>
      </c>
      <c r="P4323">
        <v>0</v>
      </c>
      <c r="Q4323">
        <v>5</v>
      </c>
      <c r="R4323" t="s">
        <v>45101</v>
      </c>
      <c r="S4323" t="s">
        <v>45231</v>
      </c>
      <c r="T4323" t="s">
        <v>46915</v>
      </c>
      <c r="U4323" t="s">
        <v>51143</v>
      </c>
      <c r="W4323" t="s">
        <v>43085</v>
      </c>
      <c r="X4323" t="s">
        <v>45102</v>
      </c>
    </row>
    <row r="4324" spans="1:24">
      <c r="A4324">
        <f>HYPERLINK("https://www.philgeps.gov.ph/GEPSNONPILOT/Tender/SplashBidNoticeAbstractUI.aspx?menuIndex=3&amp;refID=7042189&amp;Result=3","7042189")</f>
        <v>0</v>
      </c>
      <c r="B4324" t="s">
        <v>200</v>
      </c>
      <c r="C4324" t="s">
        <v>7326</v>
      </c>
      <c r="D4324" t="s">
        <v>18070</v>
      </c>
      <c r="E4324" t="s">
        <v>21979</v>
      </c>
      <c r="F4324" t="s">
        <v>31574</v>
      </c>
      <c r="G4324" t="s">
        <v>31581</v>
      </c>
      <c r="H4324" t="s">
        <v>31590</v>
      </c>
      <c r="I4324" t="s">
        <v>14544</v>
      </c>
      <c r="J4324" t="s">
        <v>34543</v>
      </c>
      <c r="K4324" t="s">
        <v>41194</v>
      </c>
      <c r="M4324" t="s">
        <v>41685</v>
      </c>
      <c r="N4324" t="s">
        <v>45095</v>
      </c>
      <c r="O4324" t="s">
        <v>45096</v>
      </c>
      <c r="P4324">
        <v>0</v>
      </c>
      <c r="Q4324">
        <v>0</v>
      </c>
      <c r="R4324" t="s">
        <v>45101</v>
      </c>
      <c r="S4324" t="s">
        <v>45231</v>
      </c>
      <c r="T4324" t="s">
        <v>47154</v>
      </c>
      <c r="U4324" t="s">
        <v>51144</v>
      </c>
      <c r="W4324" t="s">
        <v>41685</v>
      </c>
      <c r="X4324" t="s">
        <v>45102</v>
      </c>
    </row>
    <row r="4325" spans="1:24">
      <c r="A4325">
        <f>HYPERLINK("https://www.philgeps.gov.ph/GEPSNONPILOT/Tender/SplashBidNoticeAbstractUI.aspx?menuIndex=3&amp;refID=7042200&amp;Result=3","7042200")</f>
        <v>0</v>
      </c>
      <c r="B4325" t="s">
        <v>391</v>
      </c>
      <c r="C4325" t="s">
        <v>7327</v>
      </c>
      <c r="D4325" t="s">
        <v>18081</v>
      </c>
      <c r="E4325" t="s">
        <v>21980</v>
      </c>
      <c r="F4325" t="s">
        <v>31574</v>
      </c>
      <c r="G4325" t="s">
        <v>31581</v>
      </c>
      <c r="H4325" t="s">
        <v>31590</v>
      </c>
      <c r="I4325" t="s">
        <v>31595</v>
      </c>
      <c r="J4325" t="s">
        <v>32929</v>
      </c>
      <c r="K4325" t="s">
        <v>41193</v>
      </c>
      <c r="M4325" t="s">
        <v>41882</v>
      </c>
      <c r="N4325" t="s">
        <v>45095</v>
      </c>
      <c r="O4325" t="s">
        <v>45096</v>
      </c>
      <c r="P4325">
        <v>0</v>
      </c>
      <c r="Q4325">
        <v>0</v>
      </c>
      <c r="R4325" t="s">
        <v>45101</v>
      </c>
      <c r="S4325" t="s">
        <v>45231</v>
      </c>
      <c r="T4325" t="s">
        <v>46985</v>
      </c>
      <c r="U4325" t="s">
        <v>51145</v>
      </c>
      <c r="W4325" t="s">
        <v>41882</v>
      </c>
      <c r="X4325" t="s">
        <v>45102</v>
      </c>
    </row>
    <row r="4326" spans="1:24">
      <c r="A4326">
        <f>HYPERLINK("https://www.philgeps.gov.ph/GEPSNONPILOT/Tender/SplashBidNoticeAbstractUI.aspx?menuIndex=3&amp;refID=7042155&amp;Result=3","7042155")</f>
        <v>0</v>
      </c>
      <c r="B4326" t="s">
        <v>333</v>
      </c>
      <c r="C4326" t="s">
        <v>7328</v>
      </c>
      <c r="D4326" t="s">
        <v>18081</v>
      </c>
      <c r="E4326" t="s">
        <v>19020</v>
      </c>
      <c r="F4326" t="s">
        <v>31574</v>
      </c>
      <c r="G4326" t="s">
        <v>31581</v>
      </c>
      <c r="H4326" t="s">
        <v>31590</v>
      </c>
      <c r="I4326" t="s">
        <v>31608</v>
      </c>
      <c r="J4326" t="s">
        <v>32235</v>
      </c>
      <c r="K4326" t="s">
        <v>41196</v>
      </c>
      <c r="M4326" t="s">
        <v>41821</v>
      </c>
      <c r="N4326" t="s">
        <v>45095</v>
      </c>
      <c r="O4326" t="s">
        <v>45096</v>
      </c>
      <c r="P4326">
        <v>0</v>
      </c>
      <c r="Q4326">
        <v>4</v>
      </c>
      <c r="R4326" t="s">
        <v>45101</v>
      </c>
      <c r="S4326" t="s">
        <v>45231</v>
      </c>
      <c r="T4326" t="s">
        <v>47050</v>
      </c>
      <c r="U4326" t="s">
        <v>50974</v>
      </c>
      <c r="W4326" t="s">
        <v>41821</v>
      </c>
      <c r="X4326" t="s">
        <v>45102</v>
      </c>
    </row>
    <row r="4327" spans="1:24">
      <c r="A4327">
        <f>HYPERLINK("https://www.philgeps.gov.ph/GEPSNONPILOT/Tender/SplashBidNoticeAbstractUI.aspx?menuIndex=3&amp;refID=7042184&amp;Result=3","7042184")</f>
        <v>0</v>
      </c>
      <c r="B4327" t="s">
        <v>1131</v>
      </c>
      <c r="C4327" t="s">
        <v>7329</v>
      </c>
      <c r="D4327" t="s">
        <v>18071</v>
      </c>
      <c r="E4327" t="s">
        <v>21981</v>
      </c>
      <c r="F4327" t="s">
        <v>31574</v>
      </c>
      <c r="G4327" t="s">
        <v>31581</v>
      </c>
      <c r="H4327" t="s">
        <v>31590</v>
      </c>
      <c r="I4327" t="s">
        <v>3487</v>
      </c>
      <c r="J4327" t="s">
        <v>34422</v>
      </c>
      <c r="K4327" t="s">
        <v>41186</v>
      </c>
      <c r="M4327" t="s">
        <v>42682</v>
      </c>
      <c r="N4327" t="s">
        <v>45095</v>
      </c>
      <c r="O4327" t="s">
        <v>45096</v>
      </c>
      <c r="P4327">
        <v>0</v>
      </c>
      <c r="Q4327">
        <v>1</v>
      </c>
      <c r="R4327" t="s">
        <v>45101</v>
      </c>
      <c r="S4327" t="s">
        <v>45231</v>
      </c>
      <c r="T4327" t="s">
        <v>47064</v>
      </c>
      <c r="U4327" t="s">
        <v>51146</v>
      </c>
      <c r="W4327" t="s">
        <v>42682</v>
      </c>
      <c r="X4327" t="s">
        <v>45102</v>
      </c>
    </row>
    <row r="4328" spans="1:24">
      <c r="A4328">
        <f>HYPERLINK("https://www.philgeps.gov.ph/GEPSNONPILOT/Tender/SplashBidNoticeAbstractUI.aspx?menuIndex=3&amp;refID=7042210&amp;Result=3","7042210")</f>
        <v>0</v>
      </c>
      <c r="B4328" t="s">
        <v>1311</v>
      </c>
      <c r="C4328" t="s">
        <v>7330</v>
      </c>
      <c r="D4328" t="s">
        <v>18040</v>
      </c>
      <c r="E4328" t="s">
        <v>21982</v>
      </c>
      <c r="F4328" t="s">
        <v>31574</v>
      </c>
      <c r="G4328" t="s">
        <v>31582</v>
      </c>
      <c r="H4328" t="s">
        <v>31590</v>
      </c>
      <c r="I4328" t="s">
        <v>31615</v>
      </c>
      <c r="J4328" t="s">
        <v>32530</v>
      </c>
      <c r="K4328" t="s">
        <v>41216</v>
      </c>
      <c r="M4328" t="s">
        <v>43023</v>
      </c>
      <c r="N4328" t="s">
        <v>45095</v>
      </c>
      <c r="O4328" t="s">
        <v>45096</v>
      </c>
      <c r="P4328">
        <v>0</v>
      </c>
      <c r="Q4328">
        <v>9</v>
      </c>
      <c r="R4328" t="s">
        <v>45101</v>
      </c>
      <c r="S4328" t="s">
        <v>45231</v>
      </c>
      <c r="T4328" t="s">
        <v>47166</v>
      </c>
      <c r="U4328" t="s">
        <v>51147</v>
      </c>
      <c r="V4328" t="s">
        <v>60268</v>
      </c>
      <c r="W4328" t="s">
        <v>43023</v>
      </c>
      <c r="X4328" t="s">
        <v>45102</v>
      </c>
    </row>
    <row r="4329" spans="1:24">
      <c r="A4329">
        <f>HYPERLINK("https://www.philgeps.gov.ph/GEPSNONPILOT/Tender/SplashBidNoticeAbstractUI.aspx?menuIndex=3&amp;refID=7042198&amp;Result=3","7042198")</f>
        <v>0</v>
      </c>
      <c r="B4329" t="s">
        <v>1131</v>
      </c>
      <c r="C4329" t="s">
        <v>7331</v>
      </c>
      <c r="D4329" t="s">
        <v>18071</v>
      </c>
      <c r="E4329" t="s">
        <v>21983</v>
      </c>
      <c r="F4329" t="s">
        <v>31574</v>
      </c>
      <c r="G4329" t="s">
        <v>31581</v>
      </c>
      <c r="H4329" t="s">
        <v>31590</v>
      </c>
      <c r="I4329" t="s">
        <v>31595</v>
      </c>
      <c r="J4329" t="s">
        <v>34577</v>
      </c>
      <c r="K4329" t="s">
        <v>41186</v>
      </c>
      <c r="M4329" t="s">
        <v>42682</v>
      </c>
      <c r="N4329" t="s">
        <v>45095</v>
      </c>
      <c r="O4329" t="s">
        <v>45096</v>
      </c>
      <c r="P4329">
        <v>0</v>
      </c>
      <c r="Q4329">
        <v>1</v>
      </c>
      <c r="R4329" t="s">
        <v>45101</v>
      </c>
      <c r="S4329" t="s">
        <v>45231</v>
      </c>
      <c r="T4329" t="s">
        <v>47064</v>
      </c>
      <c r="U4329" t="s">
        <v>51148</v>
      </c>
      <c r="W4329" t="s">
        <v>42682</v>
      </c>
      <c r="X4329" t="s">
        <v>45102</v>
      </c>
    </row>
    <row r="4330" spans="1:24">
      <c r="A4330">
        <f>HYPERLINK("https://www.philgeps.gov.ph/GEPSNONPILOT/Tender/SplashBidNoticeAbstractUI.aspx?menuIndex=3&amp;refID=7042160&amp;Result=3","7042160")</f>
        <v>0</v>
      </c>
      <c r="B4330" t="s">
        <v>1501</v>
      </c>
      <c r="C4330" t="s">
        <v>7332</v>
      </c>
      <c r="D4330" t="s">
        <v>18022</v>
      </c>
      <c r="E4330" t="s">
        <v>21984</v>
      </c>
      <c r="F4330" t="s">
        <v>31574</v>
      </c>
      <c r="G4330" t="s">
        <v>31582</v>
      </c>
      <c r="H4330" t="s">
        <v>31590</v>
      </c>
      <c r="I4330" t="s">
        <v>31620</v>
      </c>
      <c r="J4330" t="s">
        <v>34578</v>
      </c>
      <c r="K4330" t="s">
        <v>41184</v>
      </c>
      <c r="L4330" t="s">
        <v>1501</v>
      </c>
      <c r="M4330" t="s">
        <v>43086</v>
      </c>
      <c r="N4330" t="s">
        <v>45095</v>
      </c>
      <c r="O4330" t="s">
        <v>45096</v>
      </c>
      <c r="P4330">
        <v>0</v>
      </c>
      <c r="Q4330">
        <v>21</v>
      </c>
      <c r="R4330" t="s">
        <v>45101</v>
      </c>
      <c r="S4330" t="s">
        <v>45231</v>
      </c>
      <c r="T4330" t="s">
        <v>47166</v>
      </c>
      <c r="U4330" t="s">
        <v>51149</v>
      </c>
      <c r="W4330" t="s">
        <v>43086</v>
      </c>
      <c r="X4330" t="s">
        <v>45102</v>
      </c>
    </row>
    <row r="4331" spans="1:24">
      <c r="A4331">
        <f>HYPERLINK("https://www.philgeps.gov.ph/GEPSNONPILOT/Tender/SplashBidNoticeAbstractUI.aspx?menuIndex=3&amp;refID=7042191&amp;Result=3","7042191")</f>
        <v>0</v>
      </c>
      <c r="B4331" t="s">
        <v>1376</v>
      </c>
      <c r="C4331" t="s">
        <v>7333</v>
      </c>
      <c r="E4331" t="s">
        <v>21985</v>
      </c>
      <c r="F4331" t="s">
        <v>31574</v>
      </c>
      <c r="G4331" t="s">
        <v>31582</v>
      </c>
      <c r="H4331" t="s">
        <v>31591</v>
      </c>
      <c r="I4331" t="s">
        <v>8822</v>
      </c>
      <c r="J4331" t="s">
        <v>34579</v>
      </c>
      <c r="K4331" t="s">
        <v>41184</v>
      </c>
      <c r="M4331" t="s">
        <v>42950</v>
      </c>
      <c r="N4331" t="s">
        <v>45095</v>
      </c>
      <c r="O4331" t="s">
        <v>45096</v>
      </c>
      <c r="P4331">
        <v>0</v>
      </c>
      <c r="Q4331">
        <v>0</v>
      </c>
      <c r="R4331" t="s">
        <v>45101</v>
      </c>
      <c r="S4331" t="s">
        <v>45231</v>
      </c>
      <c r="T4331" t="s">
        <v>47199</v>
      </c>
      <c r="U4331" t="s">
        <v>51044</v>
      </c>
      <c r="W4331" t="s">
        <v>42950</v>
      </c>
      <c r="X4331" t="s">
        <v>45102</v>
      </c>
    </row>
    <row r="4332" spans="1:24">
      <c r="A4332">
        <f>HYPERLINK("https://www.philgeps.gov.ph/GEPSNONPILOT/Tender/SplashBidNoticeAbstractUI.aspx?menuIndex=3&amp;refID=7042159&amp;Result=3","7042159")</f>
        <v>0</v>
      </c>
      <c r="B4332" t="s">
        <v>1487</v>
      </c>
      <c r="C4332" t="s">
        <v>7334</v>
      </c>
      <c r="D4332" t="s">
        <v>18047</v>
      </c>
      <c r="E4332" t="s">
        <v>21907</v>
      </c>
      <c r="F4332" t="s">
        <v>31574</v>
      </c>
      <c r="G4332" t="s">
        <v>31582</v>
      </c>
      <c r="H4332" t="s">
        <v>31591</v>
      </c>
      <c r="I4332" t="s">
        <v>8822</v>
      </c>
      <c r="J4332" t="s">
        <v>34538</v>
      </c>
      <c r="K4332" t="s">
        <v>41228</v>
      </c>
      <c r="M4332" t="s">
        <v>43072</v>
      </c>
      <c r="N4332" t="s">
        <v>45095</v>
      </c>
      <c r="O4332" t="s">
        <v>45096</v>
      </c>
      <c r="P4332">
        <v>0</v>
      </c>
      <c r="Q4332">
        <v>0</v>
      </c>
      <c r="R4332" t="s">
        <v>45101</v>
      </c>
      <c r="S4332" t="s">
        <v>45231</v>
      </c>
      <c r="T4332" t="s">
        <v>47192</v>
      </c>
      <c r="U4332" t="s">
        <v>49760</v>
      </c>
      <c r="W4332" t="s">
        <v>43072</v>
      </c>
      <c r="X4332" t="s">
        <v>45102</v>
      </c>
    </row>
    <row r="4333" spans="1:24">
      <c r="A4333">
        <f>HYPERLINK("https://www.philgeps.gov.ph/GEPSNONPILOT/Tender/SplashBidNoticeAbstractUI.aspx?menuIndex=3&amp;refID=7042208&amp;Result=3","7042208")</f>
        <v>0</v>
      </c>
      <c r="B4333" t="s">
        <v>1502</v>
      </c>
      <c r="C4333" t="s">
        <v>7335</v>
      </c>
      <c r="D4333" t="s">
        <v>18086</v>
      </c>
      <c r="E4333" t="s">
        <v>21986</v>
      </c>
      <c r="F4333" t="s">
        <v>31574</v>
      </c>
      <c r="G4333" t="s">
        <v>31581</v>
      </c>
      <c r="H4333" t="s">
        <v>31591</v>
      </c>
      <c r="I4333" t="s">
        <v>8822</v>
      </c>
      <c r="J4333" t="s">
        <v>31843</v>
      </c>
      <c r="K4333" t="s">
        <v>41186</v>
      </c>
      <c r="M4333" t="s">
        <v>43087</v>
      </c>
      <c r="N4333" t="s">
        <v>45095</v>
      </c>
      <c r="O4333" t="s">
        <v>45096</v>
      </c>
      <c r="P4333">
        <v>0</v>
      </c>
      <c r="Q4333">
        <v>0</v>
      </c>
      <c r="R4333" t="s">
        <v>45101</v>
      </c>
      <c r="S4333" t="s">
        <v>45231</v>
      </c>
      <c r="T4333" t="s">
        <v>47094</v>
      </c>
      <c r="U4333" t="s">
        <v>51150</v>
      </c>
      <c r="W4333" t="s">
        <v>43087</v>
      </c>
      <c r="X4333" t="s">
        <v>45102</v>
      </c>
    </row>
    <row r="4334" spans="1:24">
      <c r="A4334">
        <f>HYPERLINK("https://www.philgeps.gov.ph/GEPSNONPILOT/Tender/SplashBidNoticeAbstractUI.aspx?menuIndex=3&amp;refID=7042209&amp;Result=3","7042209")</f>
        <v>0</v>
      </c>
      <c r="B4334" t="s">
        <v>469</v>
      </c>
      <c r="C4334" t="s">
        <v>7336</v>
      </c>
      <c r="D4334" t="s">
        <v>18091</v>
      </c>
      <c r="E4334" t="s">
        <v>21987</v>
      </c>
      <c r="F4334" t="s">
        <v>31574</v>
      </c>
      <c r="G4334" t="s">
        <v>31581</v>
      </c>
      <c r="H4334" t="s">
        <v>31590</v>
      </c>
      <c r="I4334" t="s">
        <v>8258</v>
      </c>
      <c r="J4334" t="s">
        <v>32214</v>
      </c>
      <c r="K4334" t="s">
        <v>41196</v>
      </c>
      <c r="M4334" t="s">
        <v>41963</v>
      </c>
      <c r="N4334" t="s">
        <v>45095</v>
      </c>
      <c r="O4334" t="s">
        <v>45096</v>
      </c>
      <c r="P4334">
        <v>0</v>
      </c>
      <c r="Q4334">
        <v>0</v>
      </c>
      <c r="R4334" t="s">
        <v>45101</v>
      </c>
      <c r="S4334" t="s">
        <v>45231</v>
      </c>
      <c r="T4334" t="s">
        <v>47178</v>
      </c>
      <c r="U4334" t="s">
        <v>51151</v>
      </c>
      <c r="W4334" t="s">
        <v>41963</v>
      </c>
      <c r="X4334" t="s">
        <v>45102</v>
      </c>
    </row>
    <row r="4335" spans="1:24">
      <c r="A4335">
        <f>HYPERLINK("https://www.philgeps.gov.ph/GEPSNONPILOT/Tender/SplashBidNoticeAbstractUI.aspx?menuIndex=3&amp;refID=7042212&amp;Result=3","7042212")</f>
        <v>0</v>
      </c>
      <c r="B4335" t="s">
        <v>161</v>
      </c>
      <c r="C4335" t="s">
        <v>7337</v>
      </c>
      <c r="D4335" t="s">
        <v>18056</v>
      </c>
      <c r="E4335" t="s">
        <v>21988</v>
      </c>
      <c r="F4335" t="s">
        <v>31574</v>
      </c>
      <c r="G4335" t="s">
        <v>31582</v>
      </c>
      <c r="H4335" t="s">
        <v>31590</v>
      </c>
      <c r="I4335" t="s">
        <v>31690</v>
      </c>
      <c r="J4335" t="s">
        <v>33343</v>
      </c>
      <c r="K4335" t="s">
        <v>41196</v>
      </c>
      <c r="M4335" t="s">
        <v>41721</v>
      </c>
      <c r="N4335" t="s">
        <v>45095</v>
      </c>
      <c r="O4335" t="s">
        <v>45096</v>
      </c>
      <c r="P4335">
        <v>0</v>
      </c>
      <c r="Q4335">
        <v>2</v>
      </c>
      <c r="R4335" t="s">
        <v>45101</v>
      </c>
      <c r="S4335" t="s">
        <v>45231</v>
      </c>
      <c r="T4335" t="s">
        <v>47166</v>
      </c>
      <c r="U4335" t="s">
        <v>51152</v>
      </c>
      <c r="W4335" t="s">
        <v>41721</v>
      </c>
      <c r="X4335" t="s">
        <v>45102</v>
      </c>
    </row>
    <row r="4336" spans="1:24">
      <c r="A4336">
        <f>HYPERLINK("https://www.philgeps.gov.ph/GEPSNONPILOT/Tender/SplashBidNoticeAbstractUI.aspx?menuIndex=3&amp;refID=7042214&amp;Result=3","7042214")</f>
        <v>0</v>
      </c>
      <c r="B4336" t="s">
        <v>1501</v>
      </c>
      <c r="C4336" t="s">
        <v>7338</v>
      </c>
      <c r="D4336" t="s">
        <v>18022</v>
      </c>
      <c r="E4336" t="s">
        <v>21989</v>
      </c>
      <c r="F4336" t="s">
        <v>31574</v>
      </c>
      <c r="G4336" t="s">
        <v>31582</v>
      </c>
      <c r="H4336" t="s">
        <v>31590</v>
      </c>
      <c r="I4336" t="s">
        <v>31620</v>
      </c>
      <c r="J4336" t="s">
        <v>34454</v>
      </c>
      <c r="K4336" t="s">
        <v>41184</v>
      </c>
      <c r="L4336" t="s">
        <v>1501</v>
      </c>
      <c r="M4336" t="s">
        <v>43086</v>
      </c>
      <c r="N4336" t="s">
        <v>45095</v>
      </c>
      <c r="O4336" t="s">
        <v>45096</v>
      </c>
      <c r="P4336">
        <v>0</v>
      </c>
      <c r="Q4336">
        <v>14</v>
      </c>
      <c r="R4336" t="s">
        <v>45101</v>
      </c>
      <c r="S4336" t="s">
        <v>45231</v>
      </c>
      <c r="T4336" t="s">
        <v>47166</v>
      </c>
      <c r="U4336" t="s">
        <v>51149</v>
      </c>
      <c r="W4336" t="s">
        <v>43086</v>
      </c>
      <c r="X4336" t="s">
        <v>45102</v>
      </c>
    </row>
    <row r="4337" spans="1:24">
      <c r="A4337">
        <f>HYPERLINK("https://www.philgeps.gov.ph/GEPSNONPILOT/Tender/SplashBidNoticeAbstractUI.aspx?menuIndex=3&amp;refID=7042195&amp;Result=3","7042195")</f>
        <v>0</v>
      </c>
      <c r="B4337" t="s">
        <v>1492</v>
      </c>
      <c r="C4337" t="s">
        <v>7339</v>
      </c>
      <c r="D4337" t="s">
        <v>18072</v>
      </c>
      <c r="E4337" t="s">
        <v>21990</v>
      </c>
      <c r="F4337" t="s">
        <v>31574</v>
      </c>
      <c r="G4337" t="s">
        <v>31581</v>
      </c>
      <c r="H4337" t="s">
        <v>31591</v>
      </c>
      <c r="I4337" t="s">
        <v>8822</v>
      </c>
      <c r="J4337" t="s">
        <v>31789</v>
      </c>
      <c r="K4337" t="s">
        <v>41186</v>
      </c>
      <c r="M4337" t="s">
        <v>43077</v>
      </c>
      <c r="N4337" t="s">
        <v>45095</v>
      </c>
      <c r="O4337" t="s">
        <v>45096</v>
      </c>
      <c r="P4337">
        <v>0</v>
      </c>
      <c r="Q4337">
        <v>1</v>
      </c>
      <c r="R4337" t="s">
        <v>45101</v>
      </c>
      <c r="S4337" t="s">
        <v>45231</v>
      </c>
      <c r="T4337" t="s">
        <v>47154</v>
      </c>
      <c r="U4337" t="s">
        <v>51153</v>
      </c>
      <c r="W4337" t="s">
        <v>43077</v>
      </c>
      <c r="X4337" t="s">
        <v>45102</v>
      </c>
    </row>
    <row r="4338" spans="1:24">
      <c r="A4338">
        <f>HYPERLINK("https://www.philgeps.gov.ph/GEPSNONPILOT/Tender/SplashBidNoticeAbstractUI.aspx?menuIndex=3&amp;refID=7042204&amp;Result=3","7042204")</f>
        <v>0</v>
      </c>
      <c r="B4338" t="s">
        <v>574</v>
      </c>
      <c r="C4338" t="s">
        <v>7340</v>
      </c>
      <c r="D4338" t="s">
        <v>18040</v>
      </c>
      <c r="E4338" t="s">
        <v>21991</v>
      </c>
      <c r="F4338" t="s">
        <v>31574</v>
      </c>
      <c r="G4338" t="s">
        <v>31581</v>
      </c>
      <c r="H4338" t="s">
        <v>31590</v>
      </c>
      <c r="I4338" t="s">
        <v>3539</v>
      </c>
      <c r="J4338" t="s">
        <v>34580</v>
      </c>
      <c r="K4338" t="s">
        <v>41197</v>
      </c>
      <c r="M4338" t="s">
        <v>42075</v>
      </c>
      <c r="N4338" t="s">
        <v>45095</v>
      </c>
      <c r="O4338" t="s">
        <v>45096</v>
      </c>
      <c r="P4338">
        <v>0</v>
      </c>
      <c r="Q4338">
        <v>1</v>
      </c>
      <c r="R4338" t="s">
        <v>45101</v>
      </c>
      <c r="S4338" t="s">
        <v>45231</v>
      </c>
      <c r="T4338" t="s">
        <v>47164</v>
      </c>
      <c r="U4338" t="s">
        <v>51154</v>
      </c>
      <c r="W4338" t="s">
        <v>42075</v>
      </c>
      <c r="X4338" t="s">
        <v>45102</v>
      </c>
    </row>
    <row r="4339" spans="1:24">
      <c r="A4339">
        <f>HYPERLINK("https://www.philgeps.gov.ph/GEPSNONPILOT/Tender/SplashBidNoticeAbstractUI.aspx?menuIndex=3&amp;refID=7042203&amp;Result=3","7042203")</f>
        <v>0</v>
      </c>
      <c r="B4339" t="s">
        <v>84</v>
      </c>
      <c r="C4339" t="s">
        <v>7341</v>
      </c>
      <c r="D4339" t="s">
        <v>18022</v>
      </c>
      <c r="E4339" t="s">
        <v>21992</v>
      </c>
      <c r="F4339" t="s">
        <v>31574</v>
      </c>
      <c r="G4339" t="s">
        <v>31581</v>
      </c>
      <c r="H4339" t="s">
        <v>31590</v>
      </c>
      <c r="I4339" t="s">
        <v>31595</v>
      </c>
      <c r="J4339" t="s">
        <v>34581</v>
      </c>
      <c r="K4339" t="s">
        <v>41193</v>
      </c>
      <c r="M4339" t="s">
        <v>41568</v>
      </c>
      <c r="N4339" t="s">
        <v>45095</v>
      </c>
      <c r="O4339" t="s">
        <v>45096</v>
      </c>
      <c r="P4339">
        <v>0</v>
      </c>
      <c r="Q4339">
        <v>0</v>
      </c>
      <c r="R4339" t="s">
        <v>45101</v>
      </c>
      <c r="S4339" t="s">
        <v>45231</v>
      </c>
      <c r="T4339" t="s">
        <v>46973</v>
      </c>
      <c r="U4339" t="s">
        <v>51155</v>
      </c>
      <c r="W4339" t="s">
        <v>41568</v>
      </c>
      <c r="X4339" t="s">
        <v>45102</v>
      </c>
    </row>
    <row r="4340" spans="1:24">
      <c r="A4340">
        <f>HYPERLINK("https://www.philgeps.gov.ph/GEPSNONPILOT/Tender/SplashBidNoticeAbstractUI.aspx?menuIndex=3&amp;refID=7042194&amp;Result=3","7042194")</f>
        <v>0</v>
      </c>
      <c r="B4340" t="s">
        <v>1501</v>
      </c>
      <c r="C4340" t="s">
        <v>7342</v>
      </c>
      <c r="D4340" t="s">
        <v>18022</v>
      </c>
      <c r="E4340" t="s">
        <v>21993</v>
      </c>
      <c r="F4340" t="s">
        <v>31574</v>
      </c>
      <c r="G4340" t="s">
        <v>31582</v>
      </c>
      <c r="H4340" t="s">
        <v>31590</v>
      </c>
      <c r="I4340" t="s">
        <v>31620</v>
      </c>
      <c r="J4340" t="s">
        <v>34582</v>
      </c>
      <c r="K4340" t="s">
        <v>41184</v>
      </c>
      <c r="L4340" t="s">
        <v>1501</v>
      </c>
      <c r="M4340" t="s">
        <v>43086</v>
      </c>
      <c r="N4340" t="s">
        <v>45095</v>
      </c>
      <c r="O4340" t="s">
        <v>45096</v>
      </c>
      <c r="P4340">
        <v>0</v>
      </c>
      <c r="Q4340">
        <v>14</v>
      </c>
      <c r="R4340" t="s">
        <v>45101</v>
      </c>
      <c r="S4340" t="s">
        <v>45231</v>
      </c>
      <c r="T4340" t="s">
        <v>47166</v>
      </c>
      <c r="U4340" t="s">
        <v>51149</v>
      </c>
      <c r="W4340" t="s">
        <v>43086</v>
      </c>
      <c r="X4340" t="s">
        <v>45102</v>
      </c>
    </row>
    <row r="4341" spans="1:24">
      <c r="A4341">
        <f>HYPERLINK("https://www.philgeps.gov.ph/GEPSNONPILOT/Tender/SplashBidNoticeAbstractUI.aspx?menuIndex=3&amp;refID=7042234&amp;Result=3","7042234")</f>
        <v>0</v>
      </c>
      <c r="B4341" t="s">
        <v>181</v>
      </c>
      <c r="C4341" t="s">
        <v>7343</v>
      </c>
      <c r="D4341" t="s">
        <v>18022</v>
      </c>
      <c r="E4341" t="s">
        <v>18146</v>
      </c>
      <c r="F4341" t="s">
        <v>31574</v>
      </c>
      <c r="G4341" t="s">
        <v>31582</v>
      </c>
      <c r="H4341" t="s">
        <v>31590</v>
      </c>
      <c r="I4341" t="s">
        <v>31608</v>
      </c>
      <c r="J4341" t="s">
        <v>34054</v>
      </c>
      <c r="K4341" t="s">
        <v>41186</v>
      </c>
      <c r="M4341" t="s">
        <v>43088</v>
      </c>
      <c r="N4341" t="s">
        <v>45095</v>
      </c>
      <c r="O4341" t="s">
        <v>45096</v>
      </c>
      <c r="P4341">
        <v>0</v>
      </c>
      <c r="Q4341">
        <v>10</v>
      </c>
      <c r="R4341" t="s">
        <v>45101</v>
      </c>
      <c r="S4341" t="s">
        <v>45231</v>
      </c>
      <c r="T4341" t="s">
        <v>47151</v>
      </c>
      <c r="U4341" t="s">
        <v>51156</v>
      </c>
      <c r="W4341" t="s">
        <v>43088</v>
      </c>
      <c r="X4341" t="s">
        <v>45102</v>
      </c>
    </row>
    <row r="4342" spans="1:24">
      <c r="A4342">
        <f>HYPERLINK("https://www.philgeps.gov.ph/GEPSNONPILOT/Tender/SplashBidNoticeAbstractUI.aspx?menuIndex=3&amp;refID=7042202&amp;Result=3","7042202")</f>
        <v>0</v>
      </c>
      <c r="B4342" t="s">
        <v>1503</v>
      </c>
      <c r="C4342" t="s">
        <v>7344</v>
      </c>
      <c r="D4342" t="s">
        <v>18030</v>
      </c>
      <c r="E4342" t="s">
        <v>21994</v>
      </c>
      <c r="F4342" t="s">
        <v>31574</v>
      </c>
      <c r="G4342" t="s">
        <v>31583</v>
      </c>
      <c r="H4342" t="s">
        <v>31590</v>
      </c>
      <c r="I4342" t="s">
        <v>4327</v>
      </c>
      <c r="J4342" t="s">
        <v>34583</v>
      </c>
      <c r="K4342" t="s">
        <v>41191</v>
      </c>
      <c r="M4342" t="s">
        <v>43089</v>
      </c>
      <c r="N4342" t="s">
        <v>45095</v>
      </c>
      <c r="O4342" t="s">
        <v>45096</v>
      </c>
      <c r="P4342">
        <v>0</v>
      </c>
      <c r="Q4342">
        <v>1</v>
      </c>
      <c r="R4342" t="s">
        <v>45101</v>
      </c>
      <c r="S4342" t="s">
        <v>45231</v>
      </c>
      <c r="T4342" t="s">
        <v>47159</v>
      </c>
      <c r="U4342" t="s">
        <v>51157</v>
      </c>
      <c r="W4342" t="s">
        <v>43089</v>
      </c>
      <c r="X4342" t="s">
        <v>45102</v>
      </c>
    </row>
    <row r="4343" spans="1:24">
      <c r="A4343">
        <f>HYPERLINK("https://www.philgeps.gov.ph/GEPSNONPILOT/Tender/SplashBidNoticeAbstractUI.aspx?menuIndex=3&amp;refID=7042232&amp;Result=3","7042232")</f>
        <v>0</v>
      </c>
      <c r="B4343" t="s">
        <v>1504</v>
      </c>
      <c r="C4343" t="s">
        <v>7345</v>
      </c>
      <c r="D4343" t="s">
        <v>18043</v>
      </c>
      <c r="E4343" t="s">
        <v>21995</v>
      </c>
      <c r="F4343" t="s">
        <v>31574</v>
      </c>
      <c r="G4343" t="s">
        <v>31581</v>
      </c>
      <c r="H4343" t="s">
        <v>31590</v>
      </c>
      <c r="I4343" t="s">
        <v>3539</v>
      </c>
      <c r="J4343" t="s">
        <v>34584</v>
      </c>
      <c r="K4343" t="s">
        <v>41213</v>
      </c>
      <c r="M4343" t="s">
        <v>43090</v>
      </c>
      <c r="N4343" t="s">
        <v>45095</v>
      </c>
      <c r="O4343" t="s">
        <v>45096</v>
      </c>
      <c r="P4343">
        <v>0</v>
      </c>
      <c r="Q4343">
        <v>0</v>
      </c>
      <c r="R4343" t="s">
        <v>45101</v>
      </c>
      <c r="S4343" t="s">
        <v>45231</v>
      </c>
      <c r="T4343" t="s">
        <v>47124</v>
      </c>
      <c r="U4343" t="s">
        <v>51158</v>
      </c>
      <c r="W4343" t="s">
        <v>43090</v>
      </c>
      <c r="X4343" t="s">
        <v>45102</v>
      </c>
    </row>
    <row r="4344" spans="1:24">
      <c r="A4344">
        <f>HYPERLINK("https://www.philgeps.gov.ph/GEPSNONPILOT/Tender/SplashBidNoticeAbstractUI.aspx?menuIndex=3&amp;refID=7042223&amp;Result=3","7042223")</f>
        <v>0</v>
      </c>
      <c r="B4344" t="s">
        <v>200</v>
      </c>
      <c r="C4344" t="s">
        <v>7346</v>
      </c>
      <c r="D4344" t="s">
        <v>18070</v>
      </c>
      <c r="E4344" t="s">
        <v>21996</v>
      </c>
      <c r="F4344" t="s">
        <v>31574</v>
      </c>
      <c r="G4344" t="s">
        <v>31581</v>
      </c>
      <c r="H4344" t="s">
        <v>31590</v>
      </c>
      <c r="I4344" t="s">
        <v>3487</v>
      </c>
      <c r="J4344" t="s">
        <v>34585</v>
      </c>
      <c r="K4344" t="s">
        <v>41194</v>
      </c>
      <c r="M4344" t="s">
        <v>41685</v>
      </c>
      <c r="N4344" t="s">
        <v>45095</v>
      </c>
      <c r="O4344" t="s">
        <v>45096</v>
      </c>
      <c r="P4344">
        <v>0</v>
      </c>
      <c r="Q4344">
        <v>0</v>
      </c>
      <c r="R4344" t="s">
        <v>45101</v>
      </c>
      <c r="S4344" t="s">
        <v>45231</v>
      </c>
      <c r="T4344" t="s">
        <v>47154</v>
      </c>
      <c r="U4344" t="s">
        <v>51159</v>
      </c>
      <c r="W4344" t="s">
        <v>41685</v>
      </c>
      <c r="X4344" t="s">
        <v>45102</v>
      </c>
    </row>
    <row r="4345" spans="1:24">
      <c r="A4345">
        <f>HYPERLINK("https://www.philgeps.gov.ph/GEPSNONPILOT/Tender/SplashBidNoticeAbstractUI.aspx?menuIndex=3&amp;refID=7042227&amp;Result=3","7042227")</f>
        <v>0</v>
      </c>
      <c r="B4345" t="s">
        <v>627</v>
      </c>
      <c r="C4345" t="s">
        <v>7347</v>
      </c>
      <c r="E4345" t="s">
        <v>21997</v>
      </c>
      <c r="F4345" t="s">
        <v>31574</v>
      </c>
      <c r="G4345" t="s">
        <v>31582</v>
      </c>
      <c r="H4345" t="s">
        <v>31591</v>
      </c>
      <c r="I4345" t="s">
        <v>8822</v>
      </c>
      <c r="J4345" t="s">
        <v>34586</v>
      </c>
      <c r="K4345" t="s">
        <v>41198</v>
      </c>
      <c r="M4345" t="s">
        <v>43091</v>
      </c>
      <c r="N4345" t="s">
        <v>45095</v>
      </c>
      <c r="O4345" t="s">
        <v>45096</v>
      </c>
      <c r="P4345">
        <v>0</v>
      </c>
      <c r="Q4345">
        <v>1</v>
      </c>
      <c r="R4345" t="s">
        <v>45101</v>
      </c>
      <c r="S4345" t="s">
        <v>45231</v>
      </c>
      <c r="T4345" t="s">
        <v>47198</v>
      </c>
      <c r="U4345" t="s">
        <v>51160</v>
      </c>
      <c r="W4345" t="s">
        <v>42131</v>
      </c>
      <c r="X4345" t="s">
        <v>45102</v>
      </c>
    </row>
    <row r="4346" spans="1:24">
      <c r="A4346">
        <f>HYPERLINK("https://www.philgeps.gov.ph/GEPSNONPILOT/Tender/SplashBidNoticeAbstractUI.aspx?menuIndex=3&amp;refID=7042215&amp;Result=3","7042215")</f>
        <v>0</v>
      </c>
      <c r="B4346" t="s">
        <v>1494</v>
      </c>
      <c r="C4346" t="s">
        <v>7348</v>
      </c>
      <c r="D4346" t="s">
        <v>18031</v>
      </c>
      <c r="E4346" t="s">
        <v>21998</v>
      </c>
      <c r="F4346" t="s">
        <v>31574</v>
      </c>
      <c r="G4346" t="s">
        <v>31581</v>
      </c>
      <c r="H4346" t="s">
        <v>31590</v>
      </c>
      <c r="I4346" t="s">
        <v>31608</v>
      </c>
      <c r="J4346" t="s">
        <v>31821</v>
      </c>
      <c r="K4346" t="s">
        <v>41193</v>
      </c>
      <c r="M4346" t="s">
        <v>43079</v>
      </c>
      <c r="N4346" t="s">
        <v>45095</v>
      </c>
      <c r="O4346" t="s">
        <v>45096</v>
      </c>
      <c r="P4346">
        <v>0</v>
      </c>
      <c r="Q4346">
        <v>6</v>
      </c>
      <c r="R4346" t="s">
        <v>45101</v>
      </c>
      <c r="S4346" t="s">
        <v>45231</v>
      </c>
      <c r="T4346" t="s">
        <v>47159</v>
      </c>
      <c r="U4346" t="s">
        <v>51161</v>
      </c>
      <c r="W4346" t="s">
        <v>43079</v>
      </c>
      <c r="X4346" t="s">
        <v>45102</v>
      </c>
    </row>
    <row r="4347" spans="1:24">
      <c r="A4347">
        <f>HYPERLINK("https://www.philgeps.gov.ph/GEPSNONPILOT/Tender/SplashBidNoticeAbstractUI.aspx?menuIndex=3&amp;refID=7042229&amp;Result=3","7042229")</f>
        <v>0</v>
      </c>
      <c r="B4347" t="s">
        <v>1477</v>
      </c>
      <c r="C4347" t="s">
        <v>7349</v>
      </c>
      <c r="D4347" t="s">
        <v>18075</v>
      </c>
      <c r="E4347" t="s">
        <v>21999</v>
      </c>
      <c r="F4347" t="s">
        <v>31574</v>
      </c>
      <c r="G4347" t="s">
        <v>31581</v>
      </c>
      <c r="H4347" t="s">
        <v>31590</v>
      </c>
      <c r="I4347" t="s">
        <v>31661</v>
      </c>
      <c r="J4347" t="s">
        <v>34587</v>
      </c>
      <c r="K4347" t="s">
        <v>41192</v>
      </c>
      <c r="M4347" t="s">
        <v>43059</v>
      </c>
      <c r="N4347" t="s">
        <v>45095</v>
      </c>
      <c r="O4347" t="s">
        <v>45096</v>
      </c>
      <c r="P4347">
        <v>0</v>
      </c>
      <c r="Q4347">
        <v>0</v>
      </c>
      <c r="R4347" t="s">
        <v>45101</v>
      </c>
      <c r="S4347" t="s">
        <v>45231</v>
      </c>
      <c r="T4347" t="s">
        <v>46963</v>
      </c>
      <c r="U4347" t="s">
        <v>51162</v>
      </c>
      <c r="W4347" t="s">
        <v>43059</v>
      </c>
      <c r="X4347" t="s">
        <v>45102</v>
      </c>
    </row>
    <row r="4348" spans="1:24">
      <c r="A4348">
        <f>HYPERLINK("https://www.philgeps.gov.ph/GEPSNONPILOT/Tender/SplashBidNoticeAbstractUI.aspx?menuIndex=3&amp;refID=7042219&amp;Result=3","7042219")</f>
        <v>0</v>
      </c>
      <c r="B4348" t="s">
        <v>1496</v>
      </c>
      <c r="C4348" t="s">
        <v>7350</v>
      </c>
      <c r="D4348" t="s">
        <v>18047</v>
      </c>
      <c r="E4348" t="s">
        <v>20114</v>
      </c>
      <c r="F4348" t="s">
        <v>31574</v>
      </c>
      <c r="G4348" t="s">
        <v>31581</v>
      </c>
      <c r="H4348" t="s">
        <v>31590</v>
      </c>
      <c r="I4348" t="s">
        <v>31612</v>
      </c>
      <c r="J4348" t="s">
        <v>32010</v>
      </c>
      <c r="K4348" t="s">
        <v>41184</v>
      </c>
      <c r="M4348" t="s">
        <v>43081</v>
      </c>
      <c r="N4348" t="s">
        <v>45095</v>
      </c>
      <c r="O4348" t="s">
        <v>45096</v>
      </c>
      <c r="P4348">
        <v>0</v>
      </c>
      <c r="Q4348">
        <v>4</v>
      </c>
      <c r="R4348" t="s">
        <v>45101</v>
      </c>
      <c r="S4348" t="s">
        <v>45231</v>
      </c>
      <c r="T4348" t="s">
        <v>47159</v>
      </c>
      <c r="U4348" t="s">
        <v>51128</v>
      </c>
      <c r="V4348" t="s">
        <v>60305</v>
      </c>
      <c r="W4348" t="s">
        <v>43081</v>
      </c>
      <c r="X4348" t="s">
        <v>45102</v>
      </c>
    </row>
    <row r="4349" spans="1:24">
      <c r="A4349">
        <f>HYPERLINK("https://www.philgeps.gov.ph/GEPSNONPILOT/Tender/SplashBidNoticeAbstractUI.aspx?menuIndex=3&amp;refID=7042222&amp;Result=3","7042222")</f>
        <v>0</v>
      </c>
      <c r="B4349" t="s">
        <v>1505</v>
      </c>
      <c r="C4349" t="s">
        <v>7351</v>
      </c>
      <c r="E4349" t="s">
        <v>22000</v>
      </c>
      <c r="F4349" t="s">
        <v>31574</v>
      </c>
      <c r="G4349" t="s">
        <v>31582</v>
      </c>
      <c r="H4349" t="s">
        <v>31591</v>
      </c>
      <c r="I4349" t="s">
        <v>8822</v>
      </c>
      <c r="J4349" t="s">
        <v>34588</v>
      </c>
      <c r="K4349" t="s">
        <v>41184</v>
      </c>
      <c r="M4349" t="s">
        <v>43092</v>
      </c>
      <c r="N4349" t="s">
        <v>45095</v>
      </c>
      <c r="O4349" t="s">
        <v>45096</v>
      </c>
      <c r="P4349">
        <v>0</v>
      </c>
      <c r="Q4349">
        <v>1</v>
      </c>
      <c r="R4349" t="s">
        <v>45101</v>
      </c>
      <c r="S4349" t="s">
        <v>45231</v>
      </c>
      <c r="T4349" t="s">
        <v>46952</v>
      </c>
      <c r="U4349" t="s">
        <v>51163</v>
      </c>
      <c r="W4349" t="s">
        <v>43092</v>
      </c>
      <c r="X4349" t="s">
        <v>45102</v>
      </c>
    </row>
    <row r="4350" spans="1:24">
      <c r="A4350">
        <f>HYPERLINK("https://www.philgeps.gov.ph/GEPSNONPILOT/Tender/SplashBidNoticeAbstractUI.aspx?menuIndex=3&amp;refID=7042224&amp;Result=3","7042224")</f>
        <v>0</v>
      </c>
      <c r="B4350" t="s">
        <v>516</v>
      </c>
      <c r="C4350" t="s">
        <v>7352</v>
      </c>
      <c r="D4350" t="s">
        <v>18031</v>
      </c>
      <c r="E4350" t="s">
        <v>22001</v>
      </c>
      <c r="F4350" t="s">
        <v>31574</v>
      </c>
      <c r="G4350" t="s">
        <v>31581</v>
      </c>
      <c r="H4350" t="s">
        <v>31590</v>
      </c>
      <c r="I4350" t="s">
        <v>3651</v>
      </c>
      <c r="J4350" t="s">
        <v>33869</v>
      </c>
      <c r="K4350" t="s">
        <v>41193</v>
      </c>
      <c r="M4350" t="s">
        <v>42012</v>
      </c>
      <c r="N4350" t="s">
        <v>45095</v>
      </c>
      <c r="O4350" t="s">
        <v>45096</v>
      </c>
      <c r="P4350">
        <v>0</v>
      </c>
      <c r="Q4350">
        <v>0</v>
      </c>
      <c r="R4350" t="s">
        <v>45101</v>
      </c>
      <c r="S4350" t="s">
        <v>45231</v>
      </c>
      <c r="T4350" t="s">
        <v>46918</v>
      </c>
      <c r="U4350" t="s">
        <v>48512</v>
      </c>
      <c r="W4350" t="s">
        <v>42012</v>
      </c>
      <c r="X4350" t="s">
        <v>45102</v>
      </c>
    </row>
    <row r="4351" spans="1:24">
      <c r="A4351">
        <f>HYPERLINK("https://www.philgeps.gov.ph/GEPSNONPILOT/Tender/SplashBidNoticeAbstractUI.aspx?menuIndex=3&amp;refID=7042243&amp;Result=3","7042243")</f>
        <v>0</v>
      </c>
      <c r="B4351" t="s">
        <v>1503</v>
      </c>
      <c r="C4351" t="s">
        <v>7353</v>
      </c>
      <c r="D4351" t="s">
        <v>18030</v>
      </c>
      <c r="E4351" t="s">
        <v>22002</v>
      </c>
      <c r="F4351" t="s">
        <v>31574</v>
      </c>
      <c r="G4351" t="s">
        <v>31583</v>
      </c>
      <c r="H4351" t="s">
        <v>31590</v>
      </c>
      <c r="I4351" t="s">
        <v>4327</v>
      </c>
      <c r="J4351" t="s">
        <v>34589</v>
      </c>
      <c r="K4351" t="s">
        <v>41191</v>
      </c>
      <c r="M4351" t="s">
        <v>43089</v>
      </c>
      <c r="N4351" t="s">
        <v>45095</v>
      </c>
      <c r="O4351" t="s">
        <v>45096</v>
      </c>
      <c r="P4351">
        <v>0</v>
      </c>
      <c r="Q4351">
        <v>4</v>
      </c>
      <c r="R4351" t="s">
        <v>45101</v>
      </c>
      <c r="S4351" t="s">
        <v>45231</v>
      </c>
      <c r="T4351" t="s">
        <v>47159</v>
      </c>
      <c r="U4351" t="s">
        <v>51164</v>
      </c>
      <c r="W4351" t="s">
        <v>43089</v>
      </c>
      <c r="X4351" t="s">
        <v>45102</v>
      </c>
    </row>
    <row r="4352" spans="1:24">
      <c r="A4352">
        <f>HYPERLINK("https://www.philgeps.gov.ph/GEPSNONPILOT/Tender/SplashBidNoticeAbstractUI.aspx?menuIndex=3&amp;refID=7042238&amp;Result=3","7042238")</f>
        <v>0</v>
      </c>
      <c r="B4352" t="s">
        <v>645</v>
      </c>
      <c r="C4352" t="s">
        <v>7354</v>
      </c>
      <c r="D4352" t="s">
        <v>18035</v>
      </c>
      <c r="E4352" t="s">
        <v>7354</v>
      </c>
      <c r="F4352" t="s">
        <v>31574</v>
      </c>
      <c r="G4352" t="s">
        <v>31583</v>
      </c>
      <c r="H4352" t="s">
        <v>31590</v>
      </c>
      <c r="I4352" t="s">
        <v>5717</v>
      </c>
      <c r="J4352" t="s">
        <v>32382</v>
      </c>
      <c r="K4352" t="s">
        <v>41213</v>
      </c>
      <c r="M4352" t="s">
        <v>42149</v>
      </c>
      <c r="N4352" t="s">
        <v>45095</v>
      </c>
      <c r="O4352" t="s">
        <v>45096</v>
      </c>
      <c r="P4352">
        <v>0</v>
      </c>
      <c r="Q4352">
        <v>0</v>
      </c>
      <c r="R4352" t="s">
        <v>45101</v>
      </c>
      <c r="S4352" t="s">
        <v>45231</v>
      </c>
      <c r="T4352" t="s">
        <v>47183</v>
      </c>
      <c r="U4352" t="s">
        <v>51165</v>
      </c>
      <c r="W4352" t="s">
        <v>42149</v>
      </c>
      <c r="X4352" t="s">
        <v>45102</v>
      </c>
    </row>
    <row r="4353" spans="1:24">
      <c r="A4353">
        <f>HYPERLINK("https://www.philgeps.gov.ph/GEPSNONPILOT/Tender/SplashBidNoticeAbstractUI.aspx?menuIndex=3&amp;refID=7042254&amp;Result=3","7042254")</f>
        <v>0</v>
      </c>
      <c r="B4353" t="s">
        <v>1492</v>
      </c>
      <c r="C4353" t="s">
        <v>7355</v>
      </c>
      <c r="D4353" t="s">
        <v>18072</v>
      </c>
      <c r="E4353" t="s">
        <v>22003</v>
      </c>
      <c r="F4353" t="s">
        <v>31574</v>
      </c>
      <c r="G4353" t="s">
        <v>31585</v>
      </c>
      <c r="H4353" t="s">
        <v>31590</v>
      </c>
      <c r="I4353" t="s">
        <v>31604</v>
      </c>
      <c r="J4353" t="s">
        <v>34590</v>
      </c>
      <c r="K4353" t="s">
        <v>41186</v>
      </c>
      <c r="M4353" t="s">
        <v>43077</v>
      </c>
      <c r="N4353" t="s">
        <v>45095</v>
      </c>
      <c r="O4353" t="s">
        <v>45096</v>
      </c>
      <c r="P4353">
        <v>0</v>
      </c>
      <c r="Q4353">
        <v>3</v>
      </c>
      <c r="R4353" t="s">
        <v>45101</v>
      </c>
      <c r="S4353" t="s">
        <v>45231</v>
      </c>
      <c r="T4353" t="s">
        <v>47154</v>
      </c>
      <c r="U4353" t="s">
        <v>51166</v>
      </c>
      <c r="W4353" t="s">
        <v>43077</v>
      </c>
      <c r="X4353" t="s">
        <v>45102</v>
      </c>
    </row>
    <row r="4354" spans="1:24">
      <c r="A4354">
        <f>HYPERLINK("https://www.philgeps.gov.ph/GEPSNONPILOT/Tender/SplashBidNoticeAbstractUI.aspx?menuIndex=3&amp;refID=7042250&amp;Result=3","7042250")</f>
        <v>0</v>
      </c>
      <c r="B4354" t="s">
        <v>1506</v>
      </c>
      <c r="C4354" t="s">
        <v>7356</v>
      </c>
      <c r="D4354" t="s">
        <v>18027</v>
      </c>
      <c r="E4354" t="s">
        <v>22004</v>
      </c>
      <c r="F4354" t="s">
        <v>31574</v>
      </c>
      <c r="G4354" t="s">
        <v>31583</v>
      </c>
      <c r="H4354" t="s">
        <v>31590</v>
      </c>
      <c r="I4354" t="s">
        <v>8258</v>
      </c>
      <c r="J4354" t="s">
        <v>32849</v>
      </c>
      <c r="K4354" t="s">
        <v>41197</v>
      </c>
      <c r="M4354" t="s">
        <v>43093</v>
      </c>
      <c r="N4354" t="s">
        <v>45095</v>
      </c>
      <c r="O4354" t="s">
        <v>45096</v>
      </c>
      <c r="P4354">
        <v>0</v>
      </c>
      <c r="Q4354">
        <v>2</v>
      </c>
      <c r="R4354" t="s">
        <v>45101</v>
      </c>
      <c r="S4354" t="s">
        <v>45231</v>
      </c>
      <c r="T4354" t="s">
        <v>47158</v>
      </c>
      <c r="U4354" t="s">
        <v>51167</v>
      </c>
      <c r="W4354" t="s">
        <v>43093</v>
      </c>
      <c r="X4354" t="s">
        <v>45102</v>
      </c>
    </row>
    <row r="4355" spans="1:24">
      <c r="A4355">
        <f>HYPERLINK("https://www.philgeps.gov.ph/GEPSNONPILOT/Tender/SplashBidNoticeAbstractUI.aspx?menuIndex=3&amp;refID=7042253&amp;Result=3","7042253")</f>
        <v>0</v>
      </c>
      <c r="B4355" t="s">
        <v>645</v>
      </c>
      <c r="C4355" t="s">
        <v>7357</v>
      </c>
      <c r="D4355" t="s">
        <v>18035</v>
      </c>
      <c r="E4355" t="s">
        <v>7357</v>
      </c>
      <c r="F4355" t="s">
        <v>31574</v>
      </c>
      <c r="G4355" t="s">
        <v>31583</v>
      </c>
      <c r="H4355" t="s">
        <v>31590</v>
      </c>
      <c r="I4355" t="s">
        <v>6800</v>
      </c>
      <c r="J4355" t="s">
        <v>34591</v>
      </c>
      <c r="K4355" t="s">
        <v>41213</v>
      </c>
      <c r="M4355" t="s">
        <v>42149</v>
      </c>
      <c r="N4355" t="s">
        <v>45095</v>
      </c>
      <c r="O4355" t="s">
        <v>45096</v>
      </c>
      <c r="P4355">
        <v>0</v>
      </c>
      <c r="Q4355">
        <v>2</v>
      </c>
      <c r="R4355" t="s">
        <v>45101</v>
      </c>
      <c r="S4355" t="s">
        <v>45231</v>
      </c>
      <c r="T4355" t="s">
        <v>47183</v>
      </c>
      <c r="U4355" t="s">
        <v>51165</v>
      </c>
      <c r="W4355" t="s">
        <v>42149</v>
      </c>
      <c r="X4355" t="s">
        <v>45102</v>
      </c>
    </row>
    <row r="4356" spans="1:24">
      <c r="A4356">
        <f>HYPERLINK("https://www.philgeps.gov.ph/GEPSNONPILOT/Tender/SplashBidNoticeAbstractUI.aspx?menuIndex=3&amp;refID=7042236&amp;Result=3","7042236")</f>
        <v>0</v>
      </c>
      <c r="B4356" t="s">
        <v>1493</v>
      </c>
      <c r="C4356" t="s">
        <v>7358</v>
      </c>
      <c r="D4356" t="s">
        <v>18102</v>
      </c>
      <c r="E4356" t="s">
        <v>22005</v>
      </c>
      <c r="F4356" t="s">
        <v>31574</v>
      </c>
      <c r="G4356" t="s">
        <v>31582</v>
      </c>
      <c r="H4356" t="s">
        <v>31591</v>
      </c>
      <c r="I4356" t="s">
        <v>8822</v>
      </c>
      <c r="J4356" t="s">
        <v>34592</v>
      </c>
      <c r="K4356" t="s">
        <v>41206</v>
      </c>
      <c r="M4356" t="s">
        <v>43078</v>
      </c>
      <c r="N4356" t="s">
        <v>45095</v>
      </c>
      <c r="O4356" t="s">
        <v>45096</v>
      </c>
      <c r="P4356">
        <v>0</v>
      </c>
      <c r="Q4356">
        <v>0</v>
      </c>
      <c r="R4356" t="s">
        <v>45101</v>
      </c>
      <c r="S4356" t="s">
        <v>45231</v>
      </c>
      <c r="T4356" t="s">
        <v>47030</v>
      </c>
      <c r="U4356" t="s">
        <v>51168</v>
      </c>
      <c r="V4356" t="s">
        <v>60302</v>
      </c>
      <c r="W4356" t="s">
        <v>43078</v>
      </c>
      <c r="X4356" t="s">
        <v>45102</v>
      </c>
    </row>
    <row r="4357" spans="1:24">
      <c r="A4357">
        <f>HYPERLINK("https://www.philgeps.gov.ph/GEPSNONPILOT/Tender/SplashBidNoticeAbstractUI.aspx?menuIndex=3&amp;refID=7042256&amp;Result=3","7042256")</f>
        <v>0</v>
      </c>
      <c r="B4357" t="s">
        <v>118</v>
      </c>
      <c r="C4357" t="s">
        <v>7359</v>
      </c>
      <c r="D4357" t="s">
        <v>18055</v>
      </c>
      <c r="E4357" t="s">
        <v>22006</v>
      </c>
      <c r="F4357" t="s">
        <v>31574</v>
      </c>
      <c r="G4357" t="s">
        <v>31582</v>
      </c>
      <c r="H4357" t="s">
        <v>31591</v>
      </c>
      <c r="I4357" t="s">
        <v>8822</v>
      </c>
      <c r="J4357" t="s">
        <v>34593</v>
      </c>
      <c r="K4357" t="s">
        <v>41314</v>
      </c>
      <c r="M4357" t="s">
        <v>41602</v>
      </c>
      <c r="N4357" t="s">
        <v>45095</v>
      </c>
      <c r="O4357" t="s">
        <v>45096</v>
      </c>
      <c r="P4357">
        <v>0</v>
      </c>
      <c r="Q4357">
        <v>7</v>
      </c>
      <c r="R4357" t="s">
        <v>45101</v>
      </c>
      <c r="S4357" t="s">
        <v>45231</v>
      </c>
      <c r="T4357" t="s">
        <v>46987</v>
      </c>
      <c r="U4357" t="s">
        <v>51169</v>
      </c>
      <c r="W4357" t="s">
        <v>41602</v>
      </c>
      <c r="X4357" t="s">
        <v>45102</v>
      </c>
    </row>
    <row r="4358" spans="1:24">
      <c r="A4358">
        <f>HYPERLINK("https://www.philgeps.gov.ph/GEPSNONPILOT/Tender/SplashBidNoticeAbstractUI.aspx?menuIndex=3&amp;refID=7042245&amp;Result=3","7042245")</f>
        <v>0</v>
      </c>
      <c r="B4358" t="s">
        <v>1131</v>
      </c>
      <c r="C4358" t="s">
        <v>7360</v>
      </c>
      <c r="D4358" t="s">
        <v>18071</v>
      </c>
      <c r="E4358" t="s">
        <v>22007</v>
      </c>
      <c r="F4358" t="s">
        <v>31574</v>
      </c>
      <c r="G4358" t="s">
        <v>31581</v>
      </c>
      <c r="H4358" t="s">
        <v>31590</v>
      </c>
      <c r="I4358" t="s">
        <v>4327</v>
      </c>
      <c r="J4358" t="s">
        <v>32528</v>
      </c>
      <c r="K4358" t="s">
        <v>41186</v>
      </c>
      <c r="M4358" t="s">
        <v>42682</v>
      </c>
      <c r="N4358" t="s">
        <v>45095</v>
      </c>
      <c r="O4358" t="s">
        <v>45096</v>
      </c>
      <c r="P4358">
        <v>0</v>
      </c>
      <c r="Q4358">
        <v>0</v>
      </c>
      <c r="R4358" t="s">
        <v>45101</v>
      </c>
      <c r="S4358" t="s">
        <v>45231</v>
      </c>
      <c r="T4358" t="s">
        <v>47064</v>
      </c>
      <c r="U4358" t="s">
        <v>51170</v>
      </c>
      <c r="W4358" t="s">
        <v>42682</v>
      </c>
      <c r="X4358" t="s">
        <v>45102</v>
      </c>
    </row>
    <row r="4359" spans="1:24">
      <c r="A4359">
        <f>HYPERLINK("https://www.philgeps.gov.ph/GEPSNONPILOT/Tender/SplashBidNoticeAbstractUI.aspx?menuIndex=3&amp;refID=7042217&amp;Result=3","7042217")</f>
        <v>0</v>
      </c>
      <c r="B4359" t="s">
        <v>1492</v>
      </c>
      <c r="C4359" t="s">
        <v>7361</v>
      </c>
      <c r="D4359" t="s">
        <v>18072</v>
      </c>
      <c r="E4359" t="s">
        <v>22008</v>
      </c>
      <c r="F4359" t="s">
        <v>31574</v>
      </c>
      <c r="G4359" t="s">
        <v>31581</v>
      </c>
      <c r="H4359" t="s">
        <v>31590</v>
      </c>
      <c r="I4359" t="s">
        <v>4327</v>
      </c>
      <c r="J4359" t="s">
        <v>34594</v>
      </c>
      <c r="K4359" t="s">
        <v>41213</v>
      </c>
      <c r="M4359" t="s">
        <v>43077</v>
      </c>
      <c r="N4359" t="s">
        <v>45095</v>
      </c>
      <c r="O4359" t="s">
        <v>45096</v>
      </c>
      <c r="P4359">
        <v>0</v>
      </c>
      <c r="Q4359">
        <v>1</v>
      </c>
      <c r="R4359" t="s">
        <v>45101</v>
      </c>
      <c r="S4359" t="s">
        <v>45231</v>
      </c>
      <c r="T4359" t="s">
        <v>47154</v>
      </c>
      <c r="U4359" t="s">
        <v>51171</v>
      </c>
      <c r="W4359" t="s">
        <v>43077</v>
      </c>
      <c r="X4359" t="s">
        <v>45102</v>
      </c>
    </row>
    <row r="4360" spans="1:24">
      <c r="A4360">
        <f>HYPERLINK("https://www.philgeps.gov.ph/GEPSNONPILOT/Tender/SplashBidNoticeAbstractUI.aspx?menuIndex=3&amp;refID=7042235&amp;Result=3","7042235")</f>
        <v>0</v>
      </c>
      <c r="B4360" t="s">
        <v>469</v>
      </c>
      <c r="C4360" t="s">
        <v>7362</v>
      </c>
      <c r="D4360" t="s">
        <v>18091</v>
      </c>
      <c r="E4360" t="s">
        <v>22009</v>
      </c>
      <c r="F4360" t="s">
        <v>31574</v>
      </c>
      <c r="G4360" t="s">
        <v>31581</v>
      </c>
      <c r="H4360" t="s">
        <v>31590</v>
      </c>
      <c r="I4360" t="s">
        <v>8258</v>
      </c>
      <c r="J4360" t="s">
        <v>34595</v>
      </c>
      <c r="K4360" t="s">
        <v>41196</v>
      </c>
      <c r="M4360" t="s">
        <v>41963</v>
      </c>
      <c r="N4360" t="s">
        <v>45095</v>
      </c>
      <c r="O4360" t="s">
        <v>45096</v>
      </c>
      <c r="P4360">
        <v>0</v>
      </c>
      <c r="Q4360">
        <v>1</v>
      </c>
      <c r="R4360" t="s">
        <v>45101</v>
      </c>
      <c r="S4360" t="s">
        <v>45231</v>
      </c>
      <c r="T4360" t="s">
        <v>47178</v>
      </c>
      <c r="U4360" t="s">
        <v>51172</v>
      </c>
      <c r="W4360" t="s">
        <v>41963</v>
      </c>
      <c r="X4360" t="s">
        <v>45102</v>
      </c>
    </row>
    <row r="4361" spans="1:24">
      <c r="A4361">
        <f>HYPERLINK("https://www.philgeps.gov.ph/GEPSNONPILOT/Tender/SplashBidNoticeAbstractUI.aspx?menuIndex=3&amp;refID=7042280&amp;Result=3","7042280")</f>
        <v>0</v>
      </c>
      <c r="B4361" t="s">
        <v>181</v>
      </c>
      <c r="C4361" t="s">
        <v>7363</v>
      </c>
      <c r="D4361" t="s">
        <v>18022</v>
      </c>
      <c r="E4361" t="s">
        <v>18553</v>
      </c>
      <c r="F4361" t="s">
        <v>31574</v>
      </c>
      <c r="G4361" t="s">
        <v>31582</v>
      </c>
      <c r="H4361" t="s">
        <v>31590</v>
      </c>
      <c r="I4361" t="s">
        <v>31595</v>
      </c>
      <c r="J4361" t="s">
        <v>34596</v>
      </c>
      <c r="K4361" t="s">
        <v>41192</v>
      </c>
      <c r="M4361" t="s">
        <v>43088</v>
      </c>
      <c r="N4361" t="s">
        <v>45095</v>
      </c>
      <c r="O4361" t="s">
        <v>45096</v>
      </c>
      <c r="P4361">
        <v>0</v>
      </c>
      <c r="Q4361">
        <v>14</v>
      </c>
      <c r="R4361" t="s">
        <v>45101</v>
      </c>
      <c r="S4361" t="s">
        <v>45231</v>
      </c>
      <c r="T4361" t="s">
        <v>47198</v>
      </c>
      <c r="U4361" t="s">
        <v>51173</v>
      </c>
      <c r="W4361" t="s">
        <v>43088</v>
      </c>
      <c r="X4361" t="s">
        <v>45102</v>
      </c>
    </row>
    <row r="4362" spans="1:24">
      <c r="A4362">
        <f>HYPERLINK("https://www.philgeps.gov.ph/GEPSNONPILOT/Tender/SplashBidNoticeAbstractUI.aspx?menuIndex=3&amp;refID=7042242&amp;Result=3","7042242")</f>
        <v>0</v>
      </c>
      <c r="B4362" t="s">
        <v>1507</v>
      </c>
      <c r="C4362" t="s">
        <v>7364</v>
      </c>
      <c r="D4362" t="s">
        <v>18045</v>
      </c>
      <c r="E4362" t="s">
        <v>22010</v>
      </c>
      <c r="F4362" t="s">
        <v>31574</v>
      </c>
      <c r="G4362" t="s">
        <v>31581</v>
      </c>
      <c r="H4362" t="s">
        <v>31590</v>
      </c>
      <c r="I4362" t="s">
        <v>6800</v>
      </c>
      <c r="J4362" t="s">
        <v>32375</v>
      </c>
      <c r="K4362" t="s">
        <v>41186</v>
      </c>
      <c r="M4362" t="s">
        <v>43094</v>
      </c>
      <c r="N4362" t="s">
        <v>45095</v>
      </c>
      <c r="O4362" t="s">
        <v>45096</v>
      </c>
      <c r="P4362">
        <v>0</v>
      </c>
      <c r="Q4362">
        <v>2</v>
      </c>
      <c r="R4362" t="s">
        <v>45101</v>
      </c>
      <c r="S4362" t="s">
        <v>45231</v>
      </c>
      <c r="T4362" t="s">
        <v>47159</v>
      </c>
      <c r="U4362" t="s">
        <v>51174</v>
      </c>
      <c r="W4362" t="s">
        <v>43094</v>
      </c>
      <c r="X4362" t="s">
        <v>45102</v>
      </c>
    </row>
    <row r="4363" spans="1:24">
      <c r="A4363">
        <f>HYPERLINK("https://www.philgeps.gov.ph/GEPSNONPILOT/Tender/SplashBidNoticeAbstractUI.aspx?menuIndex=3&amp;refID=7042255&amp;Result=3","7042255")</f>
        <v>0</v>
      </c>
      <c r="B4363" t="s">
        <v>530</v>
      </c>
      <c r="C4363" t="s">
        <v>7365</v>
      </c>
      <c r="D4363" t="s">
        <v>18071</v>
      </c>
      <c r="E4363" t="s">
        <v>22011</v>
      </c>
      <c r="F4363" t="s">
        <v>31574</v>
      </c>
      <c r="G4363" t="s">
        <v>31581</v>
      </c>
      <c r="H4363" t="s">
        <v>31590</v>
      </c>
      <c r="I4363" t="s">
        <v>14544</v>
      </c>
      <c r="J4363" t="s">
        <v>34597</v>
      </c>
      <c r="K4363" t="s">
        <v>41191</v>
      </c>
      <c r="M4363" t="s">
        <v>43095</v>
      </c>
      <c r="N4363" t="s">
        <v>45095</v>
      </c>
      <c r="O4363" t="s">
        <v>45096</v>
      </c>
      <c r="P4363">
        <v>0</v>
      </c>
      <c r="Q4363">
        <v>0</v>
      </c>
      <c r="R4363" t="s">
        <v>45101</v>
      </c>
      <c r="S4363" t="s">
        <v>45231</v>
      </c>
      <c r="T4363" t="s">
        <v>47176</v>
      </c>
      <c r="U4363" t="s">
        <v>51175</v>
      </c>
      <c r="W4363" t="s">
        <v>43095</v>
      </c>
      <c r="X4363" t="s">
        <v>45102</v>
      </c>
    </row>
    <row r="4364" spans="1:24">
      <c r="A4364">
        <f>HYPERLINK("https://www.philgeps.gov.ph/GEPSNONPILOT/Tender/SplashBidNoticeAbstractUI.aspx?menuIndex=3&amp;refID=7042276&amp;Result=3","7042276")</f>
        <v>0</v>
      </c>
      <c r="B4364" t="s">
        <v>1447</v>
      </c>
      <c r="C4364" t="s">
        <v>7130</v>
      </c>
      <c r="D4364" t="s">
        <v>18022</v>
      </c>
      <c r="E4364" t="s">
        <v>22012</v>
      </c>
      <c r="F4364" t="s">
        <v>31574</v>
      </c>
      <c r="G4364" t="s">
        <v>31583</v>
      </c>
      <c r="H4364" t="s">
        <v>31592</v>
      </c>
      <c r="I4364" t="s">
        <v>31656</v>
      </c>
      <c r="J4364" t="s">
        <v>34503</v>
      </c>
      <c r="K4364" t="s">
        <v>41196</v>
      </c>
      <c r="M4364" t="s">
        <v>43026</v>
      </c>
      <c r="N4364" t="s">
        <v>45095</v>
      </c>
      <c r="O4364" t="s">
        <v>45096</v>
      </c>
      <c r="P4364">
        <v>0</v>
      </c>
      <c r="Q4364">
        <v>0</v>
      </c>
      <c r="R4364" t="s">
        <v>45101</v>
      </c>
      <c r="S4364" t="s">
        <v>45231</v>
      </c>
      <c r="T4364" t="s">
        <v>47191</v>
      </c>
      <c r="U4364" t="s">
        <v>51176</v>
      </c>
      <c r="W4364" t="s">
        <v>43026</v>
      </c>
      <c r="X4364" t="s">
        <v>45102</v>
      </c>
    </row>
    <row r="4365" spans="1:24">
      <c r="A4365">
        <f>HYPERLINK("https://www.philgeps.gov.ph/GEPSNONPILOT/Tender/SplashBidNoticeAbstractUI.aspx?menuIndex=3&amp;refID=7042273&amp;Result=3","7042273")</f>
        <v>0</v>
      </c>
      <c r="B4365" t="s">
        <v>1508</v>
      </c>
      <c r="C4365" t="s">
        <v>7366</v>
      </c>
      <c r="D4365" t="s">
        <v>18039</v>
      </c>
      <c r="E4365" t="s">
        <v>22013</v>
      </c>
      <c r="F4365" t="s">
        <v>31574</v>
      </c>
      <c r="G4365" t="s">
        <v>31582</v>
      </c>
      <c r="H4365" t="s">
        <v>31590</v>
      </c>
      <c r="I4365" t="s">
        <v>4046</v>
      </c>
      <c r="J4365" t="s">
        <v>34598</v>
      </c>
      <c r="K4365" t="s">
        <v>41193</v>
      </c>
      <c r="M4365" t="s">
        <v>43096</v>
      </c>
      <c r="N4365" t="s">
        <v>45095</v>
      </c>
      <c r="O4365" t="s">
        <v>45096</v>
      </c>
      <c r="P4365">
        <v>0</v>
      </c>
      <c r="Q4365">
        <v>0</v>
      </c>
      <c r="R4365" t="s">
        <v>45101</v>
      </c>
      <c r="S4365" t="s">
        <v>45231</v>
      </c>
      <c r="T4365" t="s">
        <v>47166</v>
      </c>
      <c r="U4365" t="s">
        <v>51177</v>
      </c>
      <c r="W4365" t="s">
        <v>43096</v>
      </c>
      <c r="X4365" t="s">
        <v>45102</v>
      </c>
    </row>
    <row r="4366" spans="1:24">
      <c r="A4366">
        <f>HYPERLINK("https://www.philgeps.gov.ph/GEPSNONPILOT/Tender/SplashBidNoticeAbstractUI.aspx?menuIndex=3&amp;refID=7042218&amp;Result=3","7042218")</f>
        <v>0</v>
      </c>
      <c r="B4366" t="s">
        <v>485</v>
      </c>
      <c r="C4366" t="s">
        <v>7367</v>
      </c>
      <c r="D4366" t="s">
        <v>18048</v>
      </c>
      <c r="E4366" t="s">
        <v>22014</v>
      </c>
      <c r="F4366" t="s">
        <v>31574</v>
      </c>
      <c r="G4366" t="s">
        <v>31581</v>
      </c>
      <c r="H4366" t="s">
        <v>31590</v>
      </c>
      <c r="I4366" t="s">
        <v>4046</v>
      </c>
      <c r="J4366" t="s">
        <v>34599</v>
      </c>
      <c r="K4366" t="s">
        <v>41184</v>
      </c>
      <c r="M4366" t="s">
        <v>41981</v>
      </c>
      <c r="N4366" t="s">
        <v>45095</v>
      </c>
      <c r="O4366" t="s">
        <v>45096</v>
      </c>
      <c r="P4366">
        <v>0</v>
      </c>
      <c r="Q4366">
        <v>0</v>
      </c>
      <c r="R4366" t="s">
        <v>45101</v>
      </c>
      <c r="S4366" t="s">
        <v>45231</v>
      </c>
      <c r="T4366" t="s">
        <v>47106</v>
      </c>
      <c r="U4366" t="s">
        <v>51178</v>
      </c>
      <c r="W4366" t="s">
        <v>41981</v>
      </c>
      <c r="X4366" t="s">
        <v>45102</v>
      </c>
    </row>
    <row r="4367" spans="1:24">
      <c r="A4367">
        <f>HYPERLINK("https://www.philgeps.gov.ph/GEPSNONPILOT/Tender/SplashBidNoticeAbstractUI.aspx?menuIndex=3&amp;refID=7042272&amp;Result=3","7042272")</f>
        <v>0</v>
      </c>
      <c r="B4367" t="s">
        <v>1131</v>
      </c>
      <c r="C4367" t="s">
        <v>7368</v>
      </c>
      <c r="D4367" t="s">
        <v>18071</v>
      </c>
      <c r="E4367" t="s">
        <v>22015</v>
      </c>
      <c r="F4367" t="s">
        <v>31574</v>
      </c>
      <c r="G4367" t="s">
        <v>31581</v>
      </c>
      <c r="H4367" t="s">
        <v>31590</v>
      </c>
      <c r="I4367" t="s">
        <v>31614</v>
      </c>
      <c r="J4367" t="s">
        <v>31782</v>
      </c>
      <c r="K4367" t="s">
        <v>41186</v>
      </c>
      <c r="M4367" t="s">
        <v>42682</v>
      </c>
      <c r="N4367" t="s">
        <v>45095</v>
      </c>
      <c r="O4367" t="s">
        <v>45096</v>
      </c>
      <c r="P4367">
        <v>0</v>
      </c>
      <c r="Q4367">
        <v>0</v>
      </c>
      <c r="R4367" t="s">
        <v>45101</v>
      </c>
      <c r="S4367" t="s">
        <v>45231</v>
      </c>
      <c r="T4367" t="s">
        <v>47064</v>
      </c>
      <c r="U4367" t="s">
        <v>51179</v>
      </c>
      <c r="W4367" t="s">
        <v>42682</v>
      </c>
      <c r="X4367" t="s">
        <v>45102</v>
      </c>
    </row>
    <row r="4368" spans="1:24">
      <c r="A4368">
        <f>HYPERLINK("https://www.philgeps.gov.ph/GEPSNONPILOT/Tender/SplashBidNoticeAbstractUI.aspx?menuIndex=3&amp;refID=7042271&amp;Result=3","7042271")</f>
        <v>0</v>
      </c>
      <c r="B4368" t="s">
        <v>319</v>
      </c>
      <c r="C4368" t="s">
        <v>7369</v>
      </c>
      <c r="D4368" t="s">
        <v>18065</v>
      </c>
      <c r="E4368" t="s">
        <v>22016</v>
      </c>
      <c r="F4368" t="s">
        <v>31574</v>
      </c>
      <c r="G4368" t="s">
        <v>31581</v>
      </c>
      <c r="H4368" t="s">
        <v>31590</v>
      </c>
      <c r="I4368" t="s">
        <v>14544</v>
      </c>
      <c r="J4368" t="s">
        <v>34600</v>
      </c>
      <c r="K4368" t="s">
        <v>41193</v>
      </c>
      <c r="M4368" t="s">
        <v>41807</v>
      </c>
      <c r="N4368" t="s">
        <v>45095</v>
      </c>
      <c r="O4368" t="s">
        <v>45096</v>
      </c>
      <c r="P4368">
        <v>0</v>
      </c>
      <c r="Q4368">
        <v>2</v>
      </c>
      <c r="R4368" t="s">
        <v>45101</v>
      </c>
      <c r="S4368" t="s">
        <v>45231</v>
      </c>
      <c r="T4368" t="s">
        <v>47050</v>
      </c>
      <c r="U4368" t="s">
        <v>51180</v>
      </c>
      <c r="W4368" t="s">
        <v>61662</v>
      </c>
      <c r="X4368" t="s">
        <v>45102</v>
      </c>
    </row>
    <row r="4369" spans="1:24">
      <c r="A4369">
        <f>HYPERLINK("https://www.philgeps.gov.ph/GEPSNONPILOT/Tender/SplashBidNoticeAbstractUI.aspx?menuIndex=3&amp;refID=7042275&amp;Result=3","7042275")</f>
        <v>0</v>
      </c>
      <c r="B4369" t="s">
        <v>115</v>
      </c>
      <c r="C4369" t="s">
        <v>7370</v>
      </c>
      <c r="D4369" t="s">
        <v>18040</v>
      </c>
      <c r="E4369" t="s">
        <v>22017</v>
      </c>
      <c r="F4369" t="s">
        <v>31574</v>
      </c>
      <c r="G4369" t="s">
        <v>31581</v>
      </c>
      <c r="H4369" t="s">
        <v>31590</v>
      </c>
      <c r="I4369" t="s">
        <v>4327</v>
      </c>
      <c r="J4369" t="s">
        <v>32017</v>
      </c>
      <c r="K4369" t="s">
        <v>41193</v>
      </c>
      <c r="M4369" t="s">
        <v>41599</v>
      </c>
      <c r="N4369" t="s">
        <v>45095</v>
      </c>
      <c r="O4369" t="s">
        <v>45096</v>
      </c>
      <c r="P4369">
        <v>0</v>
      </c>
      <c r="Q4369">
        <v>1</v>
      </c>
      <c r="R4369" t="s">
        <v>45101</v>
      </c>
      <c r="S4369" t="s">
        <v>45231</v>
      </c>
      <c r="T4369" t="s">
        <v>47158</v>
      </c>
      <c r="U4369" t="s">
        <v>51181</v>
      </c>
      <c r="W4369" t="s">
        <v>41599</v>
      </c>
      <c r="X4369" t="s">
        <v>45102</v>
      </c>
    </row>
    <row r="4370" spans="1:24">
      <c r="A4370">
        <f>HYPERLINK("https://www.philgeps.gov.ph/GEPSNONPILOT/Tender/SplashBidNoticeAbstractUI.aspx?menuIndex=3&amp;refID=7042281&amp;Result=3","7042281")</f>
        <v>0</v>
      </c>
      <c r="B4370" t="s">
        <v>1492</v>
      </c>
      <c r="C4370" t="s">
        <v>7371</v>
      </c>
      <c r="D4370" t="s">
        <v>18072</v>
      </c>
      <c r="E4370" t="s">
        <v>22018</v>
      </c>
      <c r="F4370" t="s">
        <v>31574</v>
      </c>
      <c r="G4370" t="s">
        <v>31585</v>
      </c>
      <c r="H4370" t="s">
        <v>31590</v>
      </c>
      <c r="I4370" t="s">
        <v>4327</v>
      </c>
      <c r="J4370" t="s">
        <v>31843</v>
      </c>
      <c r="K4370" t="s">
        <v>41193</v>
      </c>
      <c r="M4370" t="s">
        <v>43077</v>
      </c>
      <c r="N4370" t="s">
        <v>45095</v>
      </c>
      <c r="O4370" t="s">
        <v>45096</v>
      </c>
      <c r="P4370">
        <v>0</v>
      </c>
      <c r="Q4370">
        <v>0</v>
      </c>
      <c r="R4370" t="s">
        <v>45101</v>
      </c>
      <c r="S4370" t="s">
        <v>45231</v>
      </c>
      <c r="T4370" t="s">
        <v>47154</v>
      </c>
      <c r="U4370" t="s">
        <v>51182</v>
      </c>
      <c r="W4370" t="s">
        <v>43077</v>
      </c>
      <c r="X4370" t="s">
        <v>45102</v>
      </c>
    </row>
    <row r="4371" spans="1:24">
      <c r="A4371">
        <f>HYPERLINK("https://www.philgeps.gov.ph/GEPSNONPILOT/Tender/SplashBidNoticeAbstractUI.aspx?menuIndex=3&amp;refID=7042279&amp;Result=3","7042279")</f>
        <v>0</v>
      </c>
      <c r="B4371" t="s">
        <v>1470</v>
      </c>
      <c r="C4371" t="s">
        <v>7372</v>
      </c>
      <c r="D4371" t="s">
        <v>18036</v>
      </c>
      <c r="E4371" t="s">
        <v>22019</v>
      </c>
      <c r="F4371" t="s">
        <v>31574</v>
      </c>
      <c r="G4371" t="s">
        <v>31581</v>
      </c>
      <c r="H4371" t="s">
        <v>31590</v>
      </c>
      <c r="I4371" t="s">
        <v>31612</v>
      </c>
      <c r="J4371" t="s">
        <v>34601</v>
      </c>
      <c r="K4371" t="s">
        <v>41196</v>
      </c>
      <c r="M4371" t="s">
        <v>43097</v>
      </c>
      <c r="N4371" t="s">
        <v>45095</v>
      </c>
      <c r="O4371" t="s">
        <v>45096</v>
      </c>
      <c r="P4371">
        <v>0</v>
      </c>
      <c r="Q4371">
        <v>0</v>
      </c>
      <c r="R4371" t="s">
        <v>45101</v>
      </c>
      <c r="S4371" t="s">
        <v>45231</v>
      </c>
      <c r="T4371" t="s">
        <v>47159</v>
      </c>
      <c r="U4371" t="s">
        <v>51183</v>
      </c>
      <c r="V4371" t="s">
        <v>60310</v>
      </c>
      <c r="W4371" t="s">
        <v>43097</v>
      </c>
      <c r="X4371" t="s">
        <v>45102</v>
      </c>
    </row>
    <row r="4372" spans="1:24">
      <c r="A4372">
        <f>HYPERLINK("https://www.philgeps.gov.ph/GEPSNONPILOT/Tender/SplashBidNoticeAbstractUI.aspx?menuIndex=3&amp;refID=7042270&amp;Result=3","7042270")</f>
        <v>0</v>
      </c>
      <c r="B4372" t="s">
        <v>333</v>
      </c>
      <c r="C4372" t="s">
        <v>7373</v>
      </c>
      <c r="D4372" t="s">
        <v>18081</v>
      </c>
      <c r="E4372" t="s">
        <v>22020</v>
      </c>
      <c r="F4372" t="s">
        <v>31574</v>
      </c>
      <c r="G4372" t="s">
        <v>31581</v>
      </c>
      <c r="H4372" t="s">
        <v>31590</v>
      </c>
      <c r="I4372" t="s">
        <v>31619</v>
      </c>
      <c r="J4372" t="s">
        <v>33980</v>
      </c>
      <c r="K4372" t="s">
        <v>41196</v>
      </c>
      <c r="M4372" t="s">
        <v>41821</v>
      </c>
      <c r="N4372" t="s">
        <v>45095</v>
      </c>
      <c r="O4372" t="s">
        <v>45096</v>
      </c>
      <c r="P4372">
        <v>0</v>
      </c>
      <c r="Q4372">
        <v>3</v>
      </c>
      <c r="R4372" t="s">
        <v>45101</v>
      </c>
      <c r="S4372" t="s">
        <v>45231</v>
      </c>
      <c r="T4372" t="s">
        <v>47050</v>
      </c>
      <c r="U4372" t="s">
        <v>51184</v>
      </c>
      <c r="W4372" t="s">
        <v>41821</v>
      </c>
      <c r="X4372" t="s">
        <v>45102</v>
      </c>
    </row>
    <row r="4373" spans="1:24">
      <c r="A4373">
        <f>HYPERLINK("https://www.philgeps.gov.ph/GEPSNONPILOT/Tender/SplashBidNoticeAbstractUI.aspx?menuIndex=3&amp;refID=7042263&amp;Result=3","7042263")</f>
        <v>0</v>
      </c>
      <c r="B4373" t="s">
        <v>1507</v>
      </c>
      <c r="C4373" t="s">
        <v>7374</v>
      </c>
      <c r="D4373" t="s">
        <v>18045</v>
      </c>
      <c r="E4373" t="s">
        <v>22021</v>
      </c>
      <c r="F4373" t="s">
        <v>31574</v>
      </c>
      <c r="G4373" t="s">
        <v>31581</v>
      </c>
      <c r="H4373" t="s">
        <v>31590</v>
      </c>
      <c r="I4373" t="s">
        <v>31636</v>
      </c>
      <c r="J4373" t="s">
        <v>32389</v>
      </c>
      <c r="K4373" t="s">
        <v>41186</v>
      </c>
      <c r="M4373" t="s">
        <v>43094</v>
      </c>
      <c r="N4373" t="s">
        <v>45095</v>
      </c>
      <c r="O4373" t="s">
        <v>45096</v>
      </c>
      <c r="P4373">
        <v>0</v>
      </c>
      <c r="Q4373">
        <v>0</v>
      </c>
      <c r="R4373" t="s">
        <v>45101</v>
      </c>
      <c r="S4373" t="s">
        <v>45231</v>
      </c>
      <c r="T4373" t="s">
        <v>47159</v>
      </c>
      <c r="U4373" t="s">
        <v>51185</v>
      </c>
      <c r="W4373" t="s">
        <v>43094</v>
      </c>
      <c r="X4373" t="s">
        <v>45102</v>
      </c>
    </row>
    <row r="4374" spans="1:24">
      <c r="A4374">
        <f>HYPERLINK("https://www.philgeps.gov.ph/GEPSNONPILOT/Tender/SplashBidNoticeAbstractUI.aspx?menuIndex=3&amp;refID=7042286&amp;Result=3","7042286")</f>
        <v>0</v>
      </c>
      <c r="B4374" t="s">
        <v>1344</v>
      </c>
      <c r="C4374" t="s">
        <v>7375</v>
      </c>
      <c r="D4374" t="s">
        <v>18075</v>
      </c>
      <c r="E4374" t="s">
        <v>22022</v>
      </c>
      <c r="F4374" t="s">
        <v>31574</v>
      </c>
      <c r="G4374" t="s">
        <v>31583</v>
      </c>
      <c r="H4374" t="s">
        <v>31590</v>
      </c>
      <c r="I4374" t="s">
        <v>8258</v>
      </c>
      <c r="J4374" t="s">
        <v>34602</v>
      </c>
      <c r="K4374" t="s">
        <v>41196</v>
      </c>
      <c r="M4374" t="s">
        <v>42916</v>
      </c>
      <c r="N4374" t="s">
        <v>45095</v>
      </c>
      <c r="O4374" t="s">
        <v>45096</v>
      </c>
      <c r="P4374">
        <v>0</v>
      </c>
      <c r="Q4374">
        <v>0</v>
      </c>
      <c r="R4374" t="s">
        <v>45101</v>
      </c>
      <c r="S4374" t="s">
        <v>45231</v>
      </c>
      <c r="T4374" t="s">
        <v>46926</v>
      </c>
      <c r="U4374" t="s">
        <v>51186</v>
      </c>
      <c r="V4374" t="s">
        <v>60265</v>
      </c>
      <c r="W4374" t="s">
        <v>42916</v>
      </c>
      <c r="X4374" t="s">
        <v>45102</v>
      </c>
    </row>
    <row r="4375" spans="1:24">
      <c r="A4375">
        <f>HYPERLINK("https://www.philgeps.gov.ph/GEPSNONPILOT/Tender/SplashBidNoticeAbstractUI.aspx?menuIndex=3&amp;refID=7042284&amp;Result=3","7042284")</f>
        <v>0</v>
      </c>
      <c r="B4375" t="s">
        <v>1509</v>
      </c>
      <c r="C4375" t="s">
        <v>7376</v>
      </c>
      <c r="D4375" t="s">
        <v>18022</v>
      </c>
      <c r="E4375" t="s">
        <v>22023</v>
      </c>
      <c r="F4375" t="s">
        <v>31574</v>
      </c>
      <c r="G4375" t="s">
        <v>31582</v>
      </c>
      <c r="H4375" t="s">
        <v>31590</v>
      </c>
      <c r="I4375" t="s">
        <v>31623</v>
      </c>
      <c r="J4375" t="s">
        <v>34603</v>
      </c>
      <c r="K4375" t="s">
        <v>41184</v>
      </c>
      <c r="M4375" t="s">
        <v>43098</v>
      </c>
      <c r="N4375" t="s">
        <v>45095</v>
      </c>
      <c r="O4375" t="s">
        <v>45096</v>
      </c>
      <c r="P4375">
        <v>0</v>
      </c>
      <c r="Q4375">
        <v>8</v>
      </c>
      <c r="R4375" t="s">
        <v>45101</v>
      </c>
      <c r="S4375" t="s">
        <v>45231</v>
      </c>
      <c r="T4375" t="s">
        <v>46924</v>
      </c>
      <c r="U4375" t="s">
        <v>51187</v>
      </c>
      <c r="V4375" t="s">
        <v>59855</v>
      </c>
      <c r="W4375" t="s">
        <v>43098</v>
      </c>
      <c r="X4375" t="s">
        <v>45102</v>
      </c>
    </row>
    <row r="4376" spans="1:24">
      <c r="A4376">
        <f>HYPERLINK("https://www.philgeps.gov.ph/GEPSNONPILOT/Tender/SplashBidNoticeAbstractUI.aspx?menuIndex=3&amp;refID=7042283&amp;Result=3","7042283")</f>
        <v>0</v>
      </c>
      <c r="B4376" t="s">
        <v>246</v>
      </c>
      <c r="C4376" t="s">
        <v>7377</v>
      </c>
      <c r="D4376" t="s">
        <v>18033</v>
      </c>
      <c r="E4376" t="s">
        <v>22024</v>
      </c>
      <c r="F4376" t="s">
        <v>31574</v>
      </c>
      <c r="G4376" t="s">
        <v>31582</v>
      </c>
      <c r="H4376" t="s">
        <v>31590</v>
      </c>
      <c r="I4376" t="s">
        <v>31631</v>
      </c>
      <c r="J4376" t="s">
        <v>34604</v>
      </c>
      <c r="K4376" t="s">
        <v>41186</v>
      </c>
      <c r="M4376" t="s">
        <v>42490</v>
      </c>
      <c r="N4376" t="s">
        <v>45095</v>
      </c>
      <c r="O4376" t="s">
        <v>45096</v>
      </c>
      <c r="P4376">
        <v>0</v>
      </c>
      <c r="Q4376">
        <v>0</v>
      </c>
      <c r="R4376" t="s">
        <v>45101</v>
      </c>
      <c r="S4376" t="s">
        <v>45231</v>
      </c>
      <c r="T4376" t="s">
        <v>47028</v>
      </c>
      <c r="U4376" t="s">
        <v>51188</v>
      </c>
      <c r="W4376" t="s">
        <v>42490</v>
      </c>
      <c r="X4376" t="s">
        <v>45102</v>
      </c>
    </row>
    <row r="4377" spans="1:24">
      <c r="A4377">
        <f>HYPERLINK("https://www.philgeps.gov.ph/GEPSNONPILOT/Tender/SplashBidNoticeAbstractUI.aspx?menuIndex=3&amp;refID=7042266&amp;Result=3","7042266")</f>
        <v>0</v>
      </c>
      <c r="B4377" t="s">
        <v>533</v>
      </c>
      <c r="C4377" t="s">
        <v>7378</v>
      </c>
      <c r="D4377" t="s">
        <v>18075</v>
      </c>
      <c r="E4377" t="s">
        <v>22025</v>
      </c>
      <c r="F4377" t="s">
        <v>31574</v>
      </c>
      <c r="G4377" t="s">
        <v>31581</v>
      </c>
      <c r="H4377" t="s">
        <v>31591</v>
      </c>
      <c r="I4377" t="s">
        <v>8822</v>
      </c>
      <c r="J4377" t="s">
        <v>32019</v>
      </c>
      <c r="K4377" t="s">
        <v>41315</v>
      </c>
      <c r="M4377" t="s">
        <v>43099</v>
      </c>
      <c r="N4377" t="s">
        <v>45095</v>
      </c>
      <c r="O4377" t="s">
        <v>45096</v>
      </c>
      <c r="P4377">
        <v>0</v>
      </c>
      <c r="Q4377">
        <v>0</v>
      </c>
      <c r="R4377" t="s">
        <v>45101</v>
      </c>
      <c r="S4377" t="s">
        <v>45231</v>
      </c>
      <c r="T4377" t="s">
        <v>47002</v>
      </c>
      <c r="U4377" t="s">
        <v>50835</v>
      </c>
      <c r="W4377" t="s">
        <v>42964</v>
      </c>
      <c r="X4377" t="s">
        <v>45102</v>
      </c>
    </row>
    <row r="4378" spans="1:24">
      <c r="A4378">
        <f>HYPERLINK("https://www.philgeps.gov.ph/GEPSNONPILOT/Tender/SplashBidNoticeAbstractUI.aspx?menuIndex=3&amp;refID=7042268&amp;Result=3","7042268")</f>
        <v>0</v>
      </c>
      <c r="B4378" t="s">
        <v>29</v>
      </c>
      <c r="C4378" t="s">
        <v>7379</v>
      </c>
      <c r="D4378" t="s">
        <v>18026</v>
      </c>
      <c r="E4378" t="s">
        <v>22026</v>
      </c>
      <c r="F4378" t="s">
        <v>31574</v>
      </c>
      <c r="G4378" t="s">
        <v>31582</v>
      </c>
      <c r="H4378" t="s">
        <v>31590</v>
      </c>
      <c r="I4378" t="s">
        <v>14544</v>
      </c>
      <c r="J4378" t="s">
        <v>33555</v>
      </c>
      <c r="K4378" t="s">
        <v>41196</v>
      </c>
      <c r="M4378" t="s">
        <v>41511</v>
      </c>
      <c r="N4378" t="s">
        <v>45095</v>
      </c>
      <c r="O4378" t="s">
        <v>45096</v>
      </c>
      <c r="P4378">
        <v>0</v>
      </c>
      <c r="Q4378">
        <v>1</v>
      </c>
      <c r="R4378" t="s">
        <v>45101</v>
      </c>
      <c r="S4378" t="s">
        <v>45231</v>
      </c>
      <c r="T4378" t="s">
        <v>46920</v>
      </c>
      <c r="U4378" t="s">
        <v>51189</v>
      </c>
      <c r="W4378" t="s">
        <v>41511</v>
      </c>
      <c r="X4378" t="s">
        <v>45102</v>
      </c>
    </row>
    <row r="4379" spans="1:24">
      <c r="A4379">
        <f>HYPERLINK("https://www.philgeps.gov.ph/GEPSNONPILOT/Tender/SplashBidNoticeAbstractUI.aspx?menuIndex=3&amp;refID=7042262&amp;Result=3","7042262")</f>
        <v>0</v>
      </c>
      <c r="B4379" t="s">
        <v>485</v>
      </c>
      <c r="C4379" t="s">
        <v>7380</v>
      </c>
      <c r="D4379" t="s">
        <v>18048</v>
      </c>
      <c r="E4379" t="s">
        <v>22027</v>
      </c>
      <c r="F4379" t="s">
        <v>31574</v>
      </c>
      <c r="G4379" t="s">
        <v>31581</v>
      </c>
      <c r="H4379" t="s">
        <v>31590</v>
      </c>
      <c r="I4379" t="s">
        <v>14544</v>
      </c>
      <c r="J4379" t="s">
        <v>32214</v>
      </c>
      <c r="K4379" t="s">
        <v>41184</v>
      </c>
      <c r="M4379" t="s">
        <v>41981</v>
      </c>
      <c r="N4379" t="s">
        <v>45095</v>
      </c>
      <c r="O4379" t="s">
        <v>45096</v>
      </c>
      <c r="P4379">
        <v>0</v>
      </c>
      <c r="Q4379">
        <v>0</v>
      </c>
      <c r="R4379" t="s">
        <v>45101</v>
      </c>
      <c r="S4379" t="s">
        <v>45231</v>
      </c>
      <c r="T4379" t="s">
        <v>47106</v>
      </c>
      <c r="U4379" t="s">
        <v>51190</v>
      </c>
      <c r="W4379" t="s">
        <v>41981</v>
      </c>
      <c r="X4379" t="s">
        <v>45102</v>
      </c>
    </row>
    <row r="4380" spans="1:24">
      <c r="A4380">
        <f>HYPERLINK("https://www.philgeps.gov.ph/GEPSNONPILOT/Tender/SplashBidNoticeAbstractUI.aspx?menuIndex=3&amp;refID=7042287&amp;Result=3","7042287")</f>
        <v>0</v>
      </c>
      <c r="B4380" t="s">
        <v>435</v>
      </c>
      <c r="C4380" t="s">
        <v>7381</v>
      </c>
      <c r="D4380" t="s">
        <v>18057</v>
      </c>
      <c r="E4380" t="s">
        <v>22028</v>
      </c>
      <c r="F4380" t="s">
        <v>31575</v>
      </c>
      <c r="G4380" t="s">
        <v>31582</v>
      </c>
      <c r="H4380" t="s">
        <v>31590</v>
      </c>
      <c r="I4380" t="s">
        <v>31594</v>
      </c>
      <c r="J4380" t="s">
        <v>34605</v>
      </c>
      <c r="K4380" t="s">
        <v>41189</v>
      </c>
      <c r="M4380" t="s">
        <v>41928</v>
      </c>
      <c r="N4380" t="s">
        <v>45095</v>
      </c>
      <c r="O4380" t="s">
        <v>45096</v>
      </c>
      <c r="P4380">
        <v>0</v>
      </c>
      <c r="Q4380">
        <v>20</v>
      </c>
      <c r="R4380" t="s">
        <v>45101</v>
      </c>
      <c r="S4380" t="s">
        <v>45231</v>
      </c>
      <c r="T4380" t="s">
        <v>47216</v>
      </c>
      <c r="U4380" t="s">
        <v>51191</v>
      </c>
      <c r="W4380" t="s">
        <v>41928</v>
      </c>
      <c r="X4380" t="s">
        <v>45102</v>
      </c>
    </row>
    <row r="4381" spans="1:24">
      <c r="A4381">
        <f>HYPERLINK("https://www.philgeps.gov.ph/GEPSNONPILOT/Tender/SplashBidNoticeAbstractUI.aspx?menuIndex=3&amp;refID=7042261&amp;Result=3","7042261")</f>
        <v>0</v>
      </c>
      <c r="B4381" t="s">
        <v>1131</v>
      </c>
      <c r="C4381" t="s">
        <v>7382</v>
      </c>
      <c r="D4381" t="s">
        <v>18071</v>
      </c>
      <c r="E4381" t="s">
        <v>22029</v>
      </c>
      <c r="F4381" t="s">
        <v>31574</v>
      </c>
      <c r="G4381" t="s">
        <v>31581</v>
      </c>
      <c r="H4381" t="s">
        <v>31590</v>
      </c>
      <c r="I4381" t="s">
        <v>31599</v>
      </c>
      <c r="J4381" t="s">
        <v>34606</v>
      </c>
      <c r="K4381" t="s">
        <v>41192</v>
      </c>
      <c r="M4381" t="s">
        <v>42682</v>
      </c>
      <c r="N4381" t="s">
        <v>45095</v>
      </c>
      <c r="O4381" t="s">
        <v>45096</v>
      </c>
      <c r="P4381">
        <v>0</v>
      </c>
      <c r="Q4381">
        <v>1</v>
      </c>
      <c r="R4381" t="s">
        <v>45101</v>
      </c>
      <c r="S4381" t="s">
        <v>45231</v>
      </c>
      <c r="T4381" t="s">
        <v>47064</v>
      </c>
      <c r="U4381" t="s">
        <v>51192</v>
      </c>
      <c r="W4381" t="s">
        <v>42682</v>
      </c>
      <c r="X4381" t="s">
        <v>45102</v>
      </c>
    </row>
    <row r="4382" spans="1:24">
      <c r="A4382">
        <f>HYPERLINK("https://www.philgeps.gov.ph/GEPSNONPILOT/Tender/SplashBidNoticeAbstractUI.aspx?menuIndex=3&amp;refID=7042288&amp;Result=3","7042288")</f>
        <v>0</v>
      </c>
      <c r="B4382" t="s">
        <v>533</v>
      </c>
      <c r="C4382" t="s">
        <v>7383</v>
      </c>
      <c r="D4382" t="s">
        <v>18075</v>
      </c>
      <c r="E4382" t="s">
        <v>22030</v>
      </c>
      <c r="F4382" t="s">
        <v>31574</v>
      </c>
      <c r="G4382" t="s">
        <v>31581</v>
      </c>
      <c r="H4382" t="s">
        <v>31591</v>
      </c>
      <c r="I4382" t="s">
        <v>8822</v>
      </c>
      <c r="J4382" t="s">
        <v>32019</v>
      </c>
      <c r="K4382" t="s">
        <v>41271</v>
      </c>
      <c r="M4382" t="s">
        <v>43099</v>
      </c>
      <c r="N4382" t="s">
        <v>45095</v>
      </c>
      <c r="O4382" t="s">
        <v>45096</v>
      </c>
      <c r="P4382">
        <v>0</v>
      </c>
      <c r="Q4382">
        <v>0</v>
      </c>
      <c r="R4382" t="s">
        <v>45101</v>
      </c>
      <c r="S4382" t="s">
        <v>45231</v>
      </c>
      <c r="T4382" t="s">
        <v>47002</v>
      </c>
      <c r="U4382" t="s">
        <v>50835</v>
      </c>
      <c r="W4382" t="s">
        <v>42964</v>
      </c>
      <c r="X4382" t="s">
        <v>45102</v>
      </c>
    </row>
    <row r="4383" spans="1:24">
      <c r="A4383">
        <f>HYPERLINK("https://www.philgeps.gov.ph/GEPSNONPILOT/Tender/SplashBidNoticeAbstractUI.aspx?menuIndex=3&amp;refID=7042294&amp;Result=3","7042294")</f>
        <v>0</v>
      </c>
      <c r="B4383" t="s">
        <v>485</v>
      </c>
      <c r="C4383" t="s">
        <v>7384</v>
      </c>
      <c r="D4383" t="s">
        <v>18048</v>
      </c>
      <c r="E4383" t="s">
        <v>22031</v>
      </c>
      <c r="F4383" t="s">
        <v>31574</v>
      </c>
      <c r="G4383" t="s">
        <v>31581</v>
      </c>
      <c r="H4383" t="s">
        <v>31590</v>
      </c>
      <c r="I4383" t="s">
        <v>31604</v>
      </c>
      <c r="J4383" t="s">
        <v>34607</v>
      </c>
      <c r="K4383" t="s">
        <v>41184</v>
      </c>
      <c r="M4383" t="s">
        <v>41981</v>
      </c>
      <c r="N4383" t="s">
        <v>45095</v>
      </c>
      <c r="O4383" t="s">
        <v>45096</v>
      </c>
      <c r="P4383">
        <v>0</v>
      </c>
      <c r="Q4383">
        <v>1</v>
      </c>
      <c r="R4383" t="s">
        <v>45101</v>
      </c>
      <c r="S4383" t="s">
        <v>45231</v>
      </c>
      <c r="T4383" t="s">
        <v>47106</v>
      </c>
      <c r="U4383" t="s">
        <v>51193</v>
      </c>
      <c r="W4383" t="s">
        <v>41981</v>
      </c>
      <c r="X4383" t="s">
        <v>45102</v>
      </c>
    </row>
    <row r="4384" spans="1:24">
      <c r="A4384">
        <f>HYPERLINK("https://www.philgeps.gov.ph/GEPSNONPILOT/Tender/SplashBidNoticeAbstractUI.aspx?menuIndex=3&amp;refID=7042290&amp;Result=3","7042290")</f>
        <v>0</v>
      </c>
      <c r="B4384" t="s">
        <v>1131</v>
      </c>
      <c r="C4384" t="s">
        <v>7385</v>
      </c>
      <c r="D4384" t="s">
        <v>18071</v>
      </c>
      <c r="E4384" t="s">
        <v>22032</v>
      </c>
      <c r="F4384" t="s">
        <v>31574</v>
      </c>
      <c r="G4384" t="s">
        <v>31581</v>
      </c>
      <c r="H4384" t="s">
        <v>31590</v>
      </c>
      <c r="I4384" t="s">
        <v>5717</v>
      </c>
      <c r="J4384" t="s">
        <v>31728</v>
      </c>
      <c r="K4384" t="s">
        <v>41186</v>
      </c>
      <c r="M4384" t="s">
        <v>42682</v>
      </c>
      <c r="N4384" t="s">
        <v>45095</v>
      </c>
      <c r="O4384" t="s">
        <v>45096</v>
      </c>
      <c r="P4384">
        <v>0</v>
      </c>
      <c r="Q4384">
        <v>0</v>
      </c>
      <c r="R4384" t="s">
        <v>45101</v>
      </c>
      <c r="S4384" t="s">
        <v>45231</v>
      </c>
      <c r="T4384" t="s">
        <v>47064</v>
      </c>
      <c r="U4384" t="s">
        <v>51194</v>
      </c>
      <c r="W4384" t="s">
        <v>42682</v>
      </c>
      <c r="X4384" t="s">
        <v>45102</v>
      </c>
    </row>
    <row r="4385" spans="1:24">
      <c r="A4385">
        <f>HYPERLINK("https://www.philgeps.gov.ph/GEPSNONPILOT/Tender/SplashBidNoticeAbstractUI.aspx?menuIndex=3&amp;refID=7042334&amp;Result=3","7042334")</f>
        <v>0</v>
      </c>
      <c r="B4385" t="s">
        <v>485</v>
      </c>
      <c r="C4385" t="s">
        <v>7386</v>
      </c>
      <c r="D4385" t="s">
        <v>18048</v>
      </c>
      <c r="E4385" t="s">
        <v>22033</v>
      </c>
      <c r="F4385" t="s">
        <v>31574</v>
      </c>
      <c r="G4385" t="s">
        <v>31581</v>
      </c>
      <c r="H4385" t="s">
        <v>31590</v>
      </c>
      <c r="I4385" t="s">
        <v>31604</v>
      </c>
      <c r="J4385" t="s">
        <v>31845</v>
      </c>
      <c r="K4385" t="s">
        <v>41184</v>
      </c>
      <c r="M4385" t="s">
        <v>41981</v>
      </c>
      <c r="N4385" t="s">
        <v>45095</v>
      </c>
      <c r="O4385" t="s">
        <v>45096</v>
      </c>
      <c r="P4385">
        <v>0</v>
      </c>
      <c r="Q4385">
        <v>0</v>
      </c>
      <c r="R4385" t="s">
        <v>45101</v>
      </c>
      <c r="S4385" t="s">
        <v>45231</v>
      </c>
      <c r="T4385" t="s">
        <v>47106</v>
      </c>
      <c r="U4385" t="s">
        <v>51195</v>
      </c>
      <c r="W4385" t="s">
        <v>41981</v>
      </c>
      <c r="X4385" t="s">
        <v>45102</v>
      </c>
    </row>
    <row r="4386" spans="1:24">
      <c r="A4386">
        <f>HYPERLINK("https://www.philgeps.gov.ph/GEPSNONPILOT/Tender/SplashBidNoticeAbstractUI.aspx?menuIndex=3&amp;refID=7042308&amp;Result=3","7042308")</f>
        <v>0</v>
      </c>
      <c r="B4386" t="s">
        <v>1492</v>
      </c>
      <c r="C4386" t="s">
        <v>7387</v>
      </c>
      <c r="D4386" t="s">
        <v>18072</v>
      </c>
      <c r="E4386" t="s">
        <v>22034</v>
      </c>
      <c r="F4386" t="s">
        <v>31574</v>
      </c>
      <c r="G4386" t="s">
        <v>31585</v>
      </c>
      <c r="H4386" t="s">
        <v>31590</v>
      </c>
      <c r="I4386" t="s">
        <v>6800</v>
      </c>
      <c r="J4386" t="s">
        <v>34608</v>
      </c>
      <c r="K4386" t="s">
        <v>41184</v>
      </c>
      <c r="M4386" t="s">
        <v>43100</v>
      </c>
      <c r="N4386" t="s">
        <v>45095</v>
      </c>
      <c r="O4386" t="s">
        <v>45096</v>
      </c>
      <c r="P4386">
        <v>0</v>
      </c>
      <c r="Q4386">
        <v>1</v>
      </c>
      <c r="R4386" t="s">
        <v>45101</v>
      </c>
      <c r="S4386" t="s">
        <v>45231</v>
      </c>
      <c r="T4386" t="s">
        <v>47154</v>
      </c>
      <c r="U4386" t="s">
        <v>51196</v>
      </c>
      <c r="W4386" t="s">
        <v>43100</v>
      </c>
      <c r="X4386" t="s">
        <v>45102</v>
      </c>
    </row>
    <row r="4387" spans="1:24">
      <c r="A4387">
        <f>HYPERLINK("https://www.philgeps.gov.ph/GEPSNONPILOT/Tender/SplashBidNoticeAbstractUI.aspx?menuIndex=3&amp;refID=7042330&amp;Result=3","7042330")</f>
        <v>0</v>
      </c>
      <c r="B4387" t="s">
        <v>319</v>
      </c>
      <c r="C4387" t="s">
        <v>7388</v>
      </c>
      <c r="D4387" t="s">
        <v>18065</v>
      </c>
      <c r="E4387" t="s">
        <v>22035</v>
      </c>
      <c r="F4387" t="s">
        <v>31574</v>
      </c>
      <c r="G4387" t="s">
        <v>31581</v>
      </c>
      <c r="H4387" t="s">
        <v>31590</v>
      </c>
      <c r="I4387" t="s">
        <v>31652</v>
      </c>
      <c r="J4387" t="s">
        <v>32366</v>
      </c>
      <c r="K4387" t="s">
        <v>41193</v>
      </c>
      <c r="M4387" t="s">
        <v>41807</v>
      </c>
      <c r="N4387" t="s">
        <v>45095</v>
      </c>
      <c r="O4387" t="s">
        <v>45096</v>
      </c>
      <c r="P4387">
        <v>0</v>
      </c>
      <c r="Q4387">
        <v>0</v>
      </c>
      <c r="R4387" t="s">
        <v>45101</v>
      </c>
      <c r="S4387" t="s">
        <v>45231</v>
      </c>
      <c r="T4387" t="s">
        <v>47050</v>
      </c>
      <c r="U4387" t="s">
        <v>51180</v>
      </c>
      <c r="W4387" t="s">
        <v>61662</v>
      </c>
      <c r="X4387" t="s">
        <v>45102</v>
      </c>
    </row>
    <row r="4388" spans="1:24">
      <c r="A4388">
        <f>HYPERLINK("https://www.philgeps.gov.ph/GEPSNONPILOT/Tender/SplashBidNoticeAbstractUI.aspx?menuIndex=3&amp;refID=7042327&amp;Result=3","7042327")</f>
        <v>0</v>
      </c>
      <c r="B4388" t="s">
        <v>1488</v>
      </c>
      <c r="C4388" t="s">
        <v>7389</v>
      </c>
      <c r="D4388" t="s">
        <v>18088</v>
      </c>
      <c r="E4388" t="s">
        <v>21914</v>
      </c>
      <c r="F4388" t="s">
        <v>31574</v>
      </c>
      <c r="G4388" t="s">
        <v>31583</v>
      </c>
      <c r="H4388" t="s">
        <v>31590</v>
      </c>
      <c r="I4388" t="s">
        <v>6800</v>
      </c>
      <c r="J4388" t="s">
        <v>33219</v>
      </c>
      <c r="K4388" t="s">
        <v>41184</v>
      </c>
      <c r="M4388" t="s">
        <v>43073</v>
      </c>
      <c r="N4388" t="s">
        <v>45095</v>
      </c>
      <c r="O4388" t="s">
        <v>45096</v>
      </c>
      <c r="P4388">
        <v>0</v>
      </c>
      <c r="Q4388">
        <v>0</v>
      </c>
      <c r="R4388" t="s">
        <v>45101</v>
      </c>
      <c r="S4388" t="s">
        <v>45231</v>
      </c>
      <c r="T4388" t="s">
        <v>47154</v>
      </c>
      <c r="U4388" t="s">
        <v>51197</v>
      </c>
      <c r="V4388" t="s">
        <v>60311</v>
      </c>
      <c r="W4388" t="s">
        <v>43073</v>
      </c>
      <c r="X4388" t="s">
        <v>45102</v>
      </c>
    </row>
    <row r="4389" spans="1:24">
      <c r="A4389">
        <f>HYPERLINK("https://www.philgeps.gov.ph/GEPSNONPILOT/Tender/SplashBidNoticeAbstractUI.aspx?menuIndex=3&amp;refID=7042331&amp;Result=3","7042331")</f>
        <v>0</v>
      </c>
      <c r="B4389" t="s">
        <v>1443</v>
      </c>
      <c r="C4389" t="s">
        <v>7390</v>
      </c>
      <c r="D4389" t="s">
        <v>18074</v>
      </c>
      <c r="E4389" t="s">
        <v>22036</v>
      </c>
      <c r="F4389" t="s">
        <v>31574</v>
      </c>
      <c r="G4389" t="s">
        <v>31582</v>
      </c>
      <c r="H4389" t="s">
        <v>31590</v>
      </c>
      <c r="I4389" t="s">
        <v>4046</v>
      </c>
      <c r="J4389" t="s">
        <v>34609</v>
      </c>
      <c r="K4389" t="s">
        <v>41191</v>
      </c>
      <c r="M4389" t="s">
        <v>43020</v>
      </c>
      <c r="N4389" t="s">
        <v>45095</v>
      </c>
      <c r="O4389" t="s">
        <v>45096</v>
      </c>
      <c r="P4389">
        <v>0</v>
      </c>
      <c r="Q4389">
        <v>3</v>
      </c>
      <c r="R4389" t="s">
        <v>45101</v>
      </c>
      <c r="S4389" t="s">
        <v>45231</v>
      </c>
      <c r="T4389" t="s">
        <v>47166</v>
      </c>
      <c r="U4389" t="s">
        <v>51052</v>
      </c>
      <c r="V4389" t="s">
        <v>60312</v>
      </c>
      <c r="W4389" t="s">
        <v>43020</v>
      </c>
      <c r="X4389" t="s">
        <v>45102</v>
      </c>
    </row>
    <row r="4390" spans="1:24">
      <c r="A4390">
        <f>HYPERLINK("https://www.philgeps.gov.ph/GEPSNONPILOT/Tender/SplashBidNoticeAbstractUI.aspx?menuIndex=3&amp;refID=7042326&amp;Result=3","7042326")</f>
        <v>0</v>
      </c>
      <c r="B4390" t="s">
        <v>1510</v>
      </c>
      <c r="C4390" t="s">
        <v>7391</v>
      </c>
      <c r="D4390" t="s">
        <v>18092</v>
      </c>
      <c r="E4390" t="s">
        <v>22037</v>
      </c>
      <c r="F4390" t="s">
        <v>31574</v>
      </c>
      <c r="G4390" t="s">
        <v>31582</v>
      </c>
      <c r="H4390" t="s">
        <v>31590</v>
      </c>
      <c r="I4390" t="s">
        <v>4046</v>
      </c>
      <c r="J4390" t="s">
        <v>31812</v>
      </c>
      <c r="K4390" t="s">
        <v>41193</v>
      </c>
      <c r="M4390" t="s">
        <v>43101</v>
      </c>
      <c r="N4390" t="s">
        <v>45095</v>
      </c>
      <c r="O4390" t="s">
        <v>45096</v>
      </c>
      <c r="P4390">
        <v>0</v>
      </c>
      <c r="Q4390">
        <v>0</v>
      </c>
      <c r="R4390" t="s">
        <v>45101</v>
      </c>
      <c r="S4390" t="s">
        <v>45231</v>
      </c>
      <c r="T4390" t="s">
        <v>46926</v>
      </c>
      <c r="U4390" t="s">
        <v>51198</v>
      </c>
      <c r="W4390" t="s">
        <v>43101</v>
      </c>
      <c r="X4390" t="s">
        <v>45102</v>
      </c>
    </row>
    <row r="4391" spans="1:24">
      <c r="A4391">
        <f>HYPERLINK("https://www.philgeps.gov.ph/GEPSNONPILOT/Tender/SplashBidNoticeAbstractUI.aspx?menuIndex=3&amp;refID=7042289&amp;Result=3","7042289")</f>
        <v>0</v>
      </c>
      <c r="B4391" t="s">
        <v>1443</v>
      </c>
      <c r="C4391" t="s">
        <v>7392</v>
      </c>
      <c r="D4391" t="s">
        <v>18074</v>
      </c>
      <c r="E4391" t="s">
        <v>22038</v>
      </c>
      <c r="F4391" t="s">
        <v>31574</v>
      </c>
      <c r="G4391" t="s">
        <v>31582</v>
      </c>
      <c r="H4391" t="s">
        <v>31590</v>
      </c>
      <c r="I4391" t="s">
        <v>4046</v>
      </c>
      <c r="J4391" t="s">
        <v>34610</v>
      </c>
      <c r="K4391" t="s">
        <v>41191</v>
      </c>
      <c r="M4391" t="s">
        <v>43020</v>
      </c>
      <c r="N4391" t="s">
        <v>45095</v>
      </c>
      <c r="O4391" t="s">
        <v>45096</v>
      </c>
      <c r="P4391">
        <v>0</v>
      </c>
      <c r="Q4391">
        <v>1</v>
      </c>
      <c r="R4391" t="s">
        <v>45101</v>
      </c>
      <c r="S4391" t="s">
        <v>45231</v>
      </c>
      <c r="T4391" t="s">
        <v>47166</v>
      </c>
      <c r="U4391" t="s">
        <v>51052</v>
      </c>
      <c r="V4391" t="s">
        <v>60313</v>
      </c>
      <c r="W4391" t="s">
        <v>43020</v>
      </c>
      <c r="X4391" t="s">
        <v>45102</v>
      </c>
    </row>
    <row r="4392" spans="1:24">
      <c r="A4392">
        <f>HYPERLINK("https://www.philgeps.gov.ph/GEPSNONPILOT/Tender/SplashBidNoticeAbstractUI.aspx?menuIndex=3&amp;refID=7042322&amp;Result=3","7042322")</f>
        <v>0</v>
      </c>
      <c r="B4392" t="s">
        <v>181</v>
      </c>
      <c r="C4392" t="s">
        <v>7393</v>
      </c>
      <c r="D4392" t="s">
        <v>18022</v>
      </c>
      <c r="E4392" t="s">
        <v>22039</v>
      </c>
      <c r="F4392" t="s">
        <v>31574</v>
      </c>
      <c r="G4392" t="s">
        <v>31582</v>
      </c>
      <c r="H4392" t="s">
        <v>31590</v>
      </c>
      <c r="I4392" t="s">
        <v>31639</v>
      </c>
      <c r="J4392" t="s">
        <v>34611</v>
      </c>
      <c r="K4392" t="s">
        <v>41192</v>
      </c>
      <c r="M4392" t="s">
        <v>43088</v>
      </c>
      <c r="N4392" t="s">
        <v>45095</v>
      </c>
      <c r="O4392" t="s">
        <v>45096</v>
      </c>
      <c r="P4392">
        <v>0</v>
      </c>
      <c r="Q4392">
        <v>6</v>
      </c>
      <c r="R4392" t="s">
        <v>45101</v>
      </c>
      <c r="S4392" t="s">
        <v>45231</v>
      </c>
      <c r="T4392" t="s">
        <v>47202</v>
      </c>
      <c r="U4392" t="s">
        <v>51199</v>
      </c>
      <c r="W4392" t="s">
        <v>43088</v>
      </c>
      <c r="X4392" t="s">
        <v>45102</v>
      </c>
    </row>
    <row r="4393" spans="1:24">
      <c r="A4393">
        <f>HYPERLINK("https://www.philgeps.gov.ph/GEPSNONPILOT/Tender/SplashBidNoticeAbstractUI.aspx?menuIndex=3&amp;refID=7042304&amp;Result=3","7042304")</f>
        <v>0</v>
      </c>
      <c r="B4393" t="s">
        <v>1131</v>
      </c>
      <c r="C4393" t="s">
        <v>7394</v>
      </c>
      <c r="D4393" t="s">
        <v>18071</v>
      </c>
      <c r="E4393" t="s">
        <v>22040</v>
      </c>
      <c r="F4393" t="s">
        <v>31574</v>
      </c>
      <c r="G4393" t="s">
        <v>31581</v>
      </c>
      <c r="H4393" t="s">
        <v>31590</v>
      </c>
      <c r="I4393" t="s">
        <v>31611</v>
      </c>
      <c r="J4393" t="s">
        <v>32425</v>
      </c>
      <c r="K4393" t="s">
        <v>41237</v>
      </c>
      <c r="M4393" t="s">
        <v>42682</v>
      </c>
      <c r="N4393" t="s">
        <v>45095</v>
      </c>
      <c r="O4393" t="s">
        <v>45096</v>
      </c>
      <c r="P4393">
        <v>0</v>
      </c>
      <c r="Q4393">
        <v>0</v>
      </c>
      <c r="R4393" t="s">
        <v>45101</v>
      </c>
      <c r="S4393" t="s">
        <v>45231</v>
      </c>
      <c r="T4393" t="s">
        <v>47064</v>
      </c>
      <c r="U4393" t="s">
        <v>51200</v>
      </c>
      <c r="W4393" t="s">
        <v>42682</v>
      </c>
      <c r="X4393" t="s">
        <v>45102</v>
      </c>
    </row>
    <row r="4394" spans="1:24">
      <c r="A4394">
        <f>HYPERLINK("https://www.philgeps.gov.ph/GEPSNONPILOT/Tender/SplashBidNoticeAbstractUI.aspx?menuIndex=3&amp;refID=7042321&amp;Result=3","7042321")</f>
        <v>0</v>
      </c>
      <c r="B4394" t="s">
        <v>1511</v>
      </c>
      <c r="C4394" t="s">
        <v>7395</v>
      </c>
      <c r="D4394" t="s">
        <v>18022</v>
      </c>
      <c r="E4394" t="s">
        <v>22041</v>
      </c>
      <c r="F4394" t="s">
        <v>31574</v>
      </c>
      <c r="G4394" t="s">
        <v>31583</v>
      </c>
      <c r="H4394" t="s">
        <v>31590</v>
      </c>
      <c r="I4394" t="s">
        <v>31595</v>
      </c>
      <c r="J4394" t="s">
        <v>34612</v>
      </c>
      <c r="K4394" t="s">
        <v>41184</v>
      </c>
      <c r="M4394" t="s">
        <v>43102</v>
      </c>
      <c r="N4394" t="s">
        <v>45095</v>
      </c>
      <c r="O4394" t="s">
        <v>45096</v>
      </c>
      <c r="P4394">
        <v>0</v>
      </c>
      <c r="Q4394">
        <v>3</v>
      </c>
      <c r="R4394" t="s">
        <v>45101</v>
      </c>
      <c r="S4394" t="s">
        <v>45231</v>
      </c>
      <c r="T4394" t="s">
        <v>47176</v>
      </c>
      <c r="U4394" t="s">
        <v>51201</v>
      </c>
      <c r="W4394" t="s">
        <v>43102</v>
      </c>
      <c r="X4394" t="s">
        <v>45102</v>
      </c>
    </row>
    <row r="4395" spans="1:24">
      <c r="A4395">
        <f>HYPERLINK("https://www.philgeps.gov.ph/GEPSNONPILOT/Tender/SplashBidNoticeAbstractUI.aspx?menuIndex=3&amp;refID=7042324&amp;Result=3","7042324")</f>
        <v>0</v>
      </c>
      <c r="B4395" t="s">
        <v>1512</v>
      </c>
      <c r="C4395" t="s">
        <v>7396</v>
      </c>
      <c r="D4395" t="s">
        <v>18053</v>
      </c>
      <c r="E4395" t="s">
        <v>22042</v>
      </c>
      <c r="F4395" t="s">
        <v>31574</v>
      </c>
      <c r="G4395" t="s">
        <v>31582</v>
      </c>
      <c r="H4395" t="s">
        <v>31590</v>
      </c>
      <c r="I4395" t="s">
        <v>6800</v>
      </c>
      <c r="J4395" t="s">
        <v>34613</v>
      </c>
      <c r="K4395" t="s">
        <v>41218</v>
      </c>
      <c r="M4395" t="s">
        <v>43103</v>
      </c>
      <c r="N4395" t="s">
        <v>45095</v>
      </c>
      <c r="O4395" t="s">
        <v>45096</v>
      </c>
      <c r="P4395">
        <v>0</v>
      </c>
      <c r="Q4395">
        <v>0</v>
      </c>
      <c r="R4395" t="s">
        <v>45101</v>
      </c>
      <c r="S4395" t="s">
        <v>45231</v>
      </c>
      <c r="T4395" t="s">
        <v>47217</v>
      </c>
      <c r="U4395" t="s">
        <v>51202</v>
      </c>
      <c r="W4395" t="s">
        <v>43103</v>
      </c>
      <c r="X4395" t="s">
        <v>45102</v>
      </c>
    </row>
    <row r="4396" spans="1:24">
      <c r="A4396">
        <f>HYPERLINK("https://www.philgeps.gov.ph/GEPSNONPILOT/Tender/SplashBidNoticeAbstractUI.aspx?menuIndex=3&amp;refID=7042317&amp;Result=3","7042317")</f>
        <v>0</v>
      </c>
      <c r="B4396" t="s">
        <v>1513</v>
      </c>
      <c r="C4396" t="s">
        <v>7397</v>
      </c>
      <c r="D4396" t="s">
        <v>18022</v>
      </c>
      <c r="E4396" t="s">
        <v>22043</v>
      </c>
      <c r="F4396" t="s">
        <v>31574</v>
      </c>
      <c r="G4396" t="s">
        <v>31584</v>
      </c>
      <c r="H4396" t="s">
        <v>31590</v>
      </c>
      <c r="I4396" t="s">
        <v>31605</v>
      </c>
      <c r="J4396" t="s">
        <v>34614</v>
      </c>
      <c r="K4396" t="s">
        <v>41193</v>
      </c>
      <c r="M4396" t="s">
        <v>43104</v>
      </c>
      <c r="N4396" t="s">
        <v>45095</v>
      </c>
      <c r="O4396" t="s">
        <v>45096</v>
      </c>
      <c r="P4396">
        <v>0</v>
      </c>
      <c r="Q4396">
        <v>2</v>
      </c>
      <c r="R4396" t="s">
        <v>45101</v>
      </c>
      <c r="S4396" t="s">
        <v>45231</v>
      </c>
      <c r="T4396" t="s">
        <v>47064</v>
      </c>
      <c r="U4396" t="s">
        <v>51203</v>
      </c>
      <c r="V4396" t="s">
        <v>60314</v>
      </c>
      <c r="W4396" t="s">
        <v>43104</v>
      </c>
      <c r="X4396" t="s">
        <v>45102</v>
      </c>
    </row>
    <row r="4397" spans="1:24">
      <c r="A4397">
        <f>HYPERLINK("https://www.philgeps.gov.ph/GEPSNONPILOT/Tender/SplashBidNoticeAbstractUI.aspx?menuIndex=3&amp;refID=7042309&amp;Result=3","7042309")</f>
        <v>0</v>
      </c>
      <c r="B4397" t="s">
        <v>29</v>
      </c>
      <c r="C4397" t="s">
        <v>7398</v>
      </c>
      <c r="D4397" t="s">
        <v>18026</v>
      </c>
      <c r="E4397" t="s">
        <v>22026</v>
      </c>
      <c r="F4397" t="s">
        <v>31574</v>
      </c>
      <c r="G4397" t="s">
        <v>31582</v>
      </c>
      <c r="H4397" t="s">
        <v>31590</v>
      </c>
      <c r="I4397" t="s">
        <v>14544</v>
      </c>
      <c r="J4397" t="s">
        <v>34615</v>
      </c>
      <c r="K4397" t="s">
        <v>41196</v>
      </c>
      <c r="M4397" t="s">
        <v>41511</v>
      </c>
      <c r="N4397" t="s">
        <v>45095</v>
      </c>
      <c r="O4397" t="s">
        <v>45096</v>
      </c>
      <c r="P4397">
        <v>0</v>
      </c>
      <c r="Q4397">
        <v>1</v>
      </c>
      <c r="R4397" t="s">
        <v>45101</v>
      </c>
      <c r="S4397" t="s">
        <v>45231</v>
      </c>
      <c r="T4397" t="s">
        <v>46920</v>
      </c>
      <c r="U4397" t="s">
        <v>51189</v>
      </c>
      <c r="W4397" t="s">
        <v>41511</v>
      </c>
      <c r="X4397" t="s">
        <v>45102</v>
      </c>
    </row>
    <row r="4398" spans="1:24">
      <c r="A4398">
        <f>HYPERLINK("https://www.philgeps.gov.ph/GEPSNONPILOT/Tender/SplashBidNoticeAbstractUI.aspx?menuIndex=3&amp;refID=7042298&amp;Result=3","7042298")</f>
        <v>0</v>
      </c>
      <c r="B4398" t="s">
        <v>319</v>
      </c>
      <c r="C4398" t="s">
        <v>7399</v>
      </c>
      <c r="D4398" t="s">
        <v>18065</v>
      </c>
      <c r="E4398" t="s">
        <v>22044</v>
      </c>
      <c r="F4398" t="s">
        <v>31574</v>
      </c>
      <c r="G4398" t="s">
        <v>31581</v>
      </c>
      <c r="H4398" t="s">
        <v>31590</v>
      </c>
      <c r="I4398" t="s">
        <v>31602</v>
      </c>
      <c r="J4398" t="s">
        <v>34616</v>
      </c>
      <c r="K4398" t="s">
        <v>41193</v>
      </c>
      <c r="M4398" t="s">
        <v>41807</v>
      </c>
      <c r="N4398" t="s">
        <v>45095</v>
      </c>
      <c r="O4398" t="s">
        <v>45096</v>
      </c>
      <c r="P4398">
        <v>0</v>
      </c>
      <c r="Q4398">
        <v>0</v>
      </c>
      <c r="R4398" t="s">
        <v>45101</v>
      </c>
      <c r="S4398" t="s">
        <v>45231</v>
      </c>
      <c r="T4398" t="s">
        <v>47050</v>
      </c>
      <c r="U4398" t="s">
        <v>51180</v>
      </c>
      <c r="W4398" t="s">
        <v>61662</v>
      </c>
      <c r="X4398" t="s">
        <v>45102</v>
      </c>
    </row>
    <row r="4399" spans="1:24">
      <c r="A4399">
        <f>HYPERLINK("https://www.philgeps.gov.ph/GEPSNONPILOT/Tender/SplashBidNoticeAbstractUI.aspx?menuIndex=3&amp;refID=7042336&amp;Result=3","7042336")</f>
        <v>0</v>
      </c>
      <c r="B4399" t="s">
        <v>29</v>
      </c>
      <c r="C4399" t="s">
        <v>7400</v>
      </c>
      <c r="D4399" t="s">
        <v>18026</v>
      </c>
      <c r="E4399" t="s">
        <v>22026</v>
      </c>
      <c r="F4399" t="s">
        <v>31574</v>
      </c>
      <c r="G4399" t="s">
        <v>31582</v>
      </c>
      <c r="H4399" t="s">
        <v>31590</v>
      </c>
      <c r="I4399" t="s">
        <v>14544</v>
      </c>
      <c r="J4399" t="s">
        <v>34617</v>
      </c>
      <c r="K4399" t="s">
        <v>41196</v>
      </c>
      <c r="M4399" t="s">
        <v>41511</v>
      </c>
      <c r="N4399" t="s">
        <v>45095</v>
      </c>
      <c r="O4399" t="s">
        <v>45096</v>
      </c>
      <c r="P4399">
        <v>0</v>
      </c>
      <c r="Q4399">
        <v>1</v>
      </c>
      <c r="R4399" t="s">
        <v>45101</v>
      </c>
      <c r="S4399" t="s">
        <v>45231</v>
      </c>
      <c r="T4399" t="s">
        <v>46920</v>
      </c>
      <c r="U4399" t="s">
        <v>51189</v>
      </c>
      <c r="W4399" t="s">
        <v>41511</v>
      </c>
      <c r="X4399" t="s">
        <v>45102</v>
      </c>
    </row>
    <row r="4400" spans="1:24">
      <c r="A4400">
        <f>HYPERLINK("https://www.philgeps.gov.ph/GEPSNONPILOT/Tender/SplashBidNoticeAbstractUI.aspx?menuIndex=3&amp;refID=7042296&amp;Result=3","7042296")</f>
        <v>0</v>
      </c>
      <c r="B4400" t="s">
        <v>1462</v>
      </c>
      <c r="C4400" t="s">
        <v>7401</v>
      </c>
      <c r="D4400" t="s">
        <v>18079</v>
      </c>
      <c r="E4400" t="s">
        <v>22045</v>
      </c>
      <c r="F4400" t="s">
        <v>31574</v>
      </c>
      <c r="G4400" t="s">
        <v>31581</v>
      </c>
      <c r="H4400" t="s">
        <v>31592</v>
      </c>
      <c r="I4400" t="s">
        <v>31623</v>
      </c>
      <c r="J4400" t="s">
        <v>34618</v>
      </c>
      <c r="K4400" t="s">
        <v>41195</v>
      </c>
      <c r="M4400" t="s">
        <v>43043</v>
      </c>
      <c r="N4400" t="s">
        <v>45095</v>
      </c>
      <c r="O4400" t="s">
        <v>45096</v>
      </c>
      <c r="P4400">
        <v>0</v>
      </c>
      <c r="Q4400">
        <v>0</v>
      </c>
      <c r="R4400" t="s">
        <v>45101</v>
      </c>
      <c r="S4400" t="s">
        <v>45231</v>
      </c>
      <c r="T4400" t="s">
        <v>47178</v>
      </c>
      <c r="U4400" t="s">
        <v>51016</v>
      </c>
      <c r="V4400" t="s">
        <v>60277</v>
      </c>
      <c r="W4400" t="s">
        <v>43043</v>
      </c>
      <c r="X4400" t="s">
        <v>45102</v>
      </c>
    </row>
    <row r="4401" spans="1:24">
      <c r="A4401">
        <f>HYPERLINK("https://www.philgeps.gov.ph/GEPSNONPILOT/Tender/SplashBidNoticeAbstractUI.aspx?menuIndex=3&amp;refID=7042344&amp;Result=3","7042344")</f>
        <v>0</v>
      </c>
      <c r="B4401" t="s">
        <v>370</v>
      </c>
      <c r="C4401" t="s">
        <v>7402</v>
      </c>
      <c r="D4401" t="s">
        <v>18022</v>
      </c>
      <c r="E4401" t="s">
        <v>22046</v>
      </c>
      <c r="F4401" t="s">
        <v>31574</v>
      </c>
      <c r="G4401" t="s">
        <v>31581</v>
      </c>
      <c r="H4401" t="s">
        <v>31590</v>
      </c>
      <c r="I4401" t="s">
        <v>31608</v>
      </c>
      <c r="J4401" t="s">
        <v>34619</v>
      </c>
      <c r="K4401" t="s">
        <v>41193</v>
      </c>
      <c r="M4401" t="s">
        <v>41860</v>
      </c>
      <c r="N4401" t="s">
        <v>45095</v>
      </c>
      <c r="O4401" t="s">
        <v>45096</v>
      </c>
      <c r="P4401">
        <v>0</v>
      </c>
      <c r="Q4401">
        <v>6</v>
      </c>
      <c r="R4401" t="s">
        <v>45101</v>
      </c>
      <c r="S4401" t="s">
        <v>45231</v>
      </c>
      <c r="T4401" t="s">
        <v>46957</v>
      </c>
      <c r="U4401" t="s">
        <v>51204</v>
      </c>
      <c r="V4401" t="s">
        <v>59929</v>
      </c>
      <c r="W4401" t="s">
        <v>41860</v>
      </c>
      <c r="X4401" t="s">
        <v>45102</v>
      </c>
    </row>
    <row r="4402" spans="1:24">
      <c r="A4402">
        <f>HYPERLINK("https://www.philgeps.gov.ph/GEPSNONPILOT/Tender/SplashBidNoticeAbstractUI.aspx?menuIndex=3&amp;refID=7042361&amp;Result=3","7042361")</f>
        <v>0</v>
      </c>
      <c r="B4402" t="s">
        <v>1504</v>
      </c>
      <c r="C4402" t="s">
        <v>7403</v>
      </c>
      <c r="D4402" t="s">
        <v>18043</v>
      </c>
      <c r="E4402" t="s">
        <v>22047</v>
      </c>
      <c r="F4402" t="s">
        <v>31574</v>
      </c>
      <c r="G4402" t="s">
        <v>31581</v>
      </c>
      <c r="H4402" t="s">
        <v>31590</v>
      </c>
      <c r="I4402" t="s">
        <v>31600</v>
      </c>
      <c r="J4402" t="s">
        <v>34620</v>
      </c>
      <c r="K4402" t="s">
        <v>41213</v>
      </c>
      <c r="M4402" t="s">
        <v>43090</v>
      </c>
      <c r="N4402" t="s">
        <v>45095</v>
      </c>
      <c r="O4402" t="s">
        <v>45096</v>
      </c>
      <c r="P4402">
        <v>0</v>
      </c>
      <c r="Q4402">
        <v>1</v>
      </c>
      <c r="R4402" t="s">
        <v>45101</v>
      </c>
      <c r="S4402" t="s">
        <v>45231</v>
      </c>
      <c r="T4402" t="s">
        <v>47124</v>
      </c>
      <c r="U4402" t="s">
        <v>51158</v>
      </c>
      <c r="W4402" t="s">
        <v>43090</v>
      </c>
      <c r="X4402" t="s">
        <v>45102</v>
      </c>
    </row>
    <row r="4403" spans="1:24">
      <c r="A4403">
        <f>HYPERLINK("https://www.philgeps.gov.ph/GEPSNONPILOT/Tender/SplashBidNoticeAbstractUI.aspx?menuIndex=3&amp;refID=7042291&amp;Result=3","7042291")</f>
        <v>0</v>
      </c>
      <c r="B4403" t="s">
        <v>1504</v>
      </c>
      <c r="C4403" t="s">
        <v>7404</v>
      </c>
      <c r="D4403" t="s">
        <v>18043</v>
      </c>
      <c r="E4403" t="s">
        <v>22048</v>
      </c>
      <c r="F4403" t="s">
        <v>31574</v>
      </c>
      <c r="G4403" t="s">
        <v>31581</v>
      </c>
      <c r="H4403" t="s">
        <v>31590</v>
      </c>
      <c r="I4403" t="s">
        <v>5717</v>
      </c>
      <c r="J4403" t="s">
        <v>34621</v>
      </c>
      <c r="K4403" t="s">
        <v>41213</v>
      </c>
      <c r="M4403" t="s">
        <v>43090</v>
      </c>
      <c r="N4403" t="s">
        <v>45095</v>
      </c>
      <c r="O4403" t="s">
        <v>45096</v>
      </c>
      <c r="P4403">
        <v>0</v>
      </c>
      <c r="Q4403">
        <v>9</v>
      </c>
      <c r="R4403" t="s">
        <v>45101</v>
      </c>
      <c r="S4403" t="s">
        <v>45231</v>
      </c>
      <c r="T4403" t="s">
        <v>47124</v>
      </c>
      <c r="U4403" t="s">
        <v>51158</v>
      </c>
      <c r="W4403" t="s">
        <v>43090</v>
      </c>
      <c r="X4403" t="s">
        <v>45102</v>
      </c>
    </row>
    <row r="4404" spans="1:24">
      <c r="A4404">
        <f>HYPERLINK("https://www.philgeps.gov.ph/GEPSNONPILOT/Tender/SplashBidNoticeAbstractUI.aspx?menuIndex=3&amp;refID=7042358&amp;Result=3","7042358")</f>
        <v>0</v>
      </c>
      <c r="B4404" t="s">
        <v>1514</v>
      </c>
      <c r="C4404" t="s">
        <v>7405</v>
      </c>
      <c r="D4404" t="s">
        <v>18037</v>
      </c>
      <c r="E4404" t="s">
        <v>22049</v>
      </c>
      <c r="F4404" t="s">
        <v>31574</v>
      </c>
      <c r="G4404" t="s">
        <v>31582</v>
      </c>
      <c r="H4404" t="s">
        <v>31590</v>
      </c>
      <c r="I4404" t="s">
        <v>31594</v>
      </c>
      <c r="J4404" t="s">
        <v>34622</v>
      </c>
      <c r="K4404" t="s">
        <v>41192</v>
      </c>
      <c r="M4404" t="s">
        <v>43105</v>
      </c>
      <c r="N4404" t="s">
        <v>45095</v>
      </c>
      <c r="O4404" t="s">
        <v>45096</v>
      </c>
      <c r="P4404">
        <v>0</v>
      </c>
      <c r="Q4404">
        <v>27</v>
      </c>
      <c r="R4404" t="s">
        <v>45101</v>
      </c>
      <c r="S4404" t="s">
        <v>45231</v>
      </c>
      <c r="T4404" t="s">
        <v>47170</v>
      </c>
      <c r="U4404" t="s">
        <v>51205</v>
      </c>
      <c r="V4404" t="s">
        <v>59855</v>
      </c>
      <c r="W4404" t="s">
        <v>43105</v>
      </c>
      <c r="X4404" t="s">
        <v>45102</v>
      </c>
    </row>
    <row r="4405" spans="1:24">
      <c r="A4405">
        <f>HYPERLINK("https://www.philgeps.gov.ph/GEPSNONPILOT/Tender/SplashBidNoticeAbstractUI.aspx?menuIndex=3&amp;refID=7042345&amp;Result=3","7042345")</f>
        <v>0</v>
      </c>
      <c r="B4405" t="s">
        <v>1515</v>
      </c>
      <c r="C4405" t="s">
        <v>7406</v>
      </c>
      <c r="D4405" t="s">
        <v>18022</v>
      </c>
      <c r="E4405" t="s">
        <v>22050</v>
      </c>
      <c r="F4405" t="s">
        <v>31574</v>
      </c>
      <c r="G4405" t="s">
        <v>31585</v>
      </c>
      <c r="H4405" t="s">
        <v>31590</v>
      </c>
      <c r="I4405" t="s">
        <v>8258</v>
      </c>
      <c r="J4405" t="s">
        <v>34623</v>
      </c>
      <c r="K4405" t="s">
        <v>41184</v>
      </c>
      <c r="M4405" t="s">
        <v>43106</v>
      </c>
      <c r="N4405" t="s">
        <v>45095</v>
      </c>
      <c r="O4405" t="s">
        <v>45096</v>
      </c>
      <c r="P4405">
        <v>0</v>
      </c>
      <c r="Q4405">
        <v>24</v>
      </c>
      <c r="R4405" t="s">
        <v>45101</v>
      </c>
      <c r="S4405" t="s">
        <v>45231</v>
      </c>
      <c r="T4405" t="s">
        <v>47157</v>
      </c>
      <c r="U4405" t="s">
        <v>51206</v>
      </c>
      <c r="W4405" t="s">
        <v>43106</v>
      </c>
      <c r="X4405" t="s">
        <v>45102</v>
      </c>
    </row>
    <row r="4406" spans="1:24">
      <c r="A4406">
        <f>HYPERLINK("https://www.philgeps.gov.ph/GEPSNONPILOT/Tender/SplashBidNoticeAbstractUI.aspx?menuIndex=3&amp;refID=7042300&amp;Result=3","7042300")</f>
        <v>0</v>
      </c>
      <c r="B4406" t="s">
        <v>161</v>
      </c>
      <c r="C4406" t="s">
        <v>4748</v>
      </c>
      <c r="D4406" t="s">
        <v>18056</v>
      </c>
      <c r="E4406" t="s">
        <v>22051</v>
      </c>
      <c r="F4406" t="s">
        <v>31574</v>
      </c>
      <c r="G4406" t="s">
        <v>31582</v>
      </c>
      <c r="H4406" t="s">
        <v>31590</v>
      </c>
      <c r="I4406" t="s">
        <v>31599</v>
      </c>
      <c r="J4406" t="s">
        <v>34624</v>
      </c>
      <c r="K4406" t="s">
        <v>41186</v>
      </c>
      <c r="M4406" t="s">
        <v>41721</v>
      </c>
      <c r="N4406" t="s">
        <v>45095</v>
      </c>
      <c r="O4406" t="s">
        <v>45096</v>
      </c>
      <c r="P4406">
        <v>0</v>
      </c>
      <c r="Q4406">
        <v>4</v>
      </c>
      <c r="R4406" t="s">
        <v>45101</v>
      </c>
      <c r="S4406" t="s">
        <v>45231</v>
      </c>
      <c r="T4406" t="s">
        <v>47166</v>
      </c>
      <c r="U4406" t="s">
        <v>51207</v>
      </c>
      <c r="W4406" t="s">
        <v>41721</v>
      </c>
      <c r="X4406" t="s">
        <v>45102</v>
      </c>
    </row>
    <row r="4407" spans="1:24">
      <c r="A4407">
        <f>HYPERLINK("https://www.philgeps.gov.ph/GEPSNONPILOT/Tender/SplashBidNoticeAbstractUI.aspx?menuIndex=3&amp;refID=7042363&amp;Result=3","7042363")</f>
        <v>0</v>
      </c>
      <c r="B4407" t="s">
        <v>1516</v>
      </c>
      <c r="C4407" t="s">
        <v>7407</v>
      </c>
      <c r="D4407" t="s">
        <v>18022</v>
      </c>
      <c r="E4407" t="s">
        <v>22052</v>
      </c>
      <c r="F4407" t="s">
        <v>31574</v>
      </c>
      <c r="G4407" t="s">
        <v>31581</v>
      </c>
      <c r="H4407" t="s">
        <v>31590</v>
      </c>
      <c r="I4407" t="s">
        <v>31608</v>
      </c>
      <c r="J4407" t="s">
        <v>31821</v>
      </c>
      <c r="K4407" t="s">
        <v>41186</v>
      </c>
      <c r="M4407" t="s">
        <v>43107</v>
      </c>
      <c r="N4407" t="s">
        <v>45095</v>
      </c>
      <c r="O4407" t="s">
        <v>45096</v>
      </c>
      <c r="P4407">
        <v>0</v>
      </c>
      <c r="Q4407">
        <v>1</v>
      </c>
      <c r="R4407" t="s">
        <v>45101</v>
      </c>
      <c r="S4407" t="s">
        <v>45231</v>
      </c>
      <c r="T4407" t="s">
        <v>47125</v>
      </c>
      <c r="U4407" t="s">
        <v>51208</v>
      </c>
      <c r="W4407" t="s">
        <v>43107</v>
      </c>
      <c r="X4407" t="s">
        <v>45102</v>
      </c>
    </row>
    <row r="4408" spans="1:24">
      <c r="A4408">
        <f>HYPERLINK("https://www.philgeps.gov.ph/GEPSNONPILOT/Tender/SplashBidNoticeAbstractUI.aspx?menuIndex=3&amp;refID=7042343&amp;Result=3","7042343")</f>
        <v>0</v>
      </c>
      <c r="B4408" t="s">
        <v>530</v>
      </c>
      <c r="C4408" t="s">
        <v>7408</v>
      </c>
      <c r="D4408" t="s">
        <v>18071</v>
      </c>
      <c r="E4408" t="s">
        <v>22053</v>
      </c>
      <c r="F4408" t="s">
        <v>31574</v>
      </c>
      <c r="G4408" t="s">
        <v>31583</v>
      </c>
      <c r="H4408" t="s">
        <v>31590</v>
      </c>
      <c r="I4408" t="s">
        <v>31602</v>
      </c>
      <c r="J4408" t="s">
        <v>34625</v>
      </c>
      <c r="K4408" t="s">
        <v>41197</v>
      </c>
      <c r="M4408" t="s">
        <v>43095</v>
      </c>
      <c r="N4408" t="s">
        <v>45095</v>
      </c>
      <c r="O4408" t="s">
        <v>45096</v>
      </c>
      <c r="P4408">
        <v>0</v>
      </c>
      <c r="Q4408">
        <v>0</v>
      </c>
      <c r="R4408" t="s">
        <v>45101</v>
      </c>
      <c r="S4408" t="s">
        <v>45231</v>
      </c>
      <c r="T4408" t="s">
        <v>47176</v>
      </c>
      <c r="U4408" t="s">
        <v>51209</v>
      </c>
      <c r="W4408" t="s">
        <v>43095</v>
      </c>
      <c r="X4408" t="s">
        <v>45102</v>
      </c>
    </row>
    <row r="4409" spans="1:24">
      <c r="A4409">
        <f>HYPERLINK("https://www.philgeps.gov.ph/GEPSNONPILOT/Tender/SplashBidNoticeAbstractUI.aspx?menuIndex=3&amp;refID=7042356&amp;Result=3","7042356")</f>
        <v>0</v>
      </c>
      <c r="B4409" t="s">
        <v>533</v>
      </c>
      <c r="C4409" t="s">
        <v>7409</v>
      </c>
      <c r="D4409" t="s">
        <v>18075</v>
      </c>
      <c r="E4409" t="s">
        <v>22054</v>
      </c>
      <c r="F4409" t="s">
        <v>31574</v>
      </c>
      <c r="G4409" t="s">
        <v>31581</v>
      </c>
      <c r="H4409" t="s">
        <v>31591</v>
      </c>
      <c r="I4409" t="s">
        <v>8822</v>
      </c>
      <c r="J4409" t="s">
        <v>32019</v>
      </c>
      <c r="K4409" t="s">
        <v>41276</v>
      </c>
      <c r="M4409" t="s">
        <v>43099</v>
      </c>
      <c r="N4409" t="s">
        <v>45095</v>
      </c>
      <c r="O4409" t="s">
        <v>45096</v>
      </c>
      <c r="P4409">
        <v>0</v>
      </c>
      <c r="Q4409">
        <v>0</v>
      </c>
      <c r="R4409" t="s">
        <v>45101</v>
      </c>
      <c r="S4409" t="s">
        <v>45231</v>
      </c>
      <c r="T4409" t="s">
        <v>47002</v>
      </c>
      <c r="U4409" t="s">
        <v>50835</v>
      </c>
      <c r="W4409" t="s">
        <v>42964</v>
      </c>
      <c r="X4409" t="s">
        <v>45102</v>
      </c>
    </row>
    <row r="4410" spans="1:24">
      <c r="A4410">
        <f>HYPERLINK("https://www.philgeps.gov.ph/GEPSNONPILOT/Tender/SplashBidNoticeAbstractUI.aspx?menuIndex=3&amp;refID=7042350&amp;Result=3","7042350")</f>
        <v>0</v>
      </c>
      <c r="B4410" t="s">
        <v>760</v>
      </c>
      <c r="C4410" t="s">
        <v>7410</v>
      </c>
      <c r="D4410" t="s">
        <v>18073</v>
      </c>
      <c r="E4410" t="s">
        <v>22055</v>
      </c>
      <c r="F4410" t="s">
        <v>31574</v>
      </c>
      <c r="G4410" t="s">
        <v>31581</v>
      </c>
      <c r="H4410" t="s">
        <v>31591</v>
      </c>
      <c r="I4410" t="s">
        <v>8822</v>
      </c>
      <c r="J4410" t="s">
        <v>31935</v>
      </c>
      <c r="K4410" t="s">
        <v>41186</v>
      </c>
      <c r="M4410" t="s">
        <v>42274</v>
      </c>
      <c r="N4410" t="s">
        <v>45095</v>
      </c>
      <c r="O4410" t="s">
        <v>45096</v>
      </c>
      <c r="P4410">
        <v>0</v>
      </c>
      <c r="Q4410">
        <v>1</v>
      </c>
      <c r="R4410" t="s">
        <v>45101</v>
      </c>
      <c r="S4410" t="s">
        <v>45231</v>
      </c>
      <c r="T4410" t="s">
        <v>47125</v>
      </c>
      <c r="U4410" t="s">
        <v>51210</v>
      </c>
      <c r="W4410" t="s">
        <v>42274</v>
      </c>
      <c r="X4410" t="s">
        <v>45102</v>
      </c>
    </row>
    <row r="4411" spans="1:24">
      <c r="A4411">
        <f>HYPERLINK("https://www.philgeps.gov.ph/GEPSNONPILOT/Tender/SplashBidNoticeAbstractUI.aspx?menuIndex=3&amp;refID=7042355&amp;Result=3","7042355")</f>
        <v>0</v>
      </c>
      <c r="B4411" t="s">
        <v>485</v>
      </c>
      <c r="C4411" t="s">
        <v>7411</v>
      </c>
      <c r="D4411" t="s">
        <v>18048</v>
      </c>
      <c r="E4411" t="s">
        <v>22056</v>
      </c>
      <c r="F4411" t="s">
        <v>31574</v>
      </c>
      <c r="G4411" t="s">
        <v>31581</v>
      </c>
      <c r="H4411" t="s">
        <v>31590</v>
      </c>
      <c r="I4411" t="s">
        <v>3489</v>
      </c>
      <c r="J4411" t="s">
        <v>34626</v>
      </c>
      <c r="K4411" t="s">
        <v>41184</v>
      </c>
      <c r="M4411" t="s">
        <v>41981</v>
      </c>
      <c r="N4411" t="s">
        <v>45095</v>
      </c>
      <c r="O4411" t="s">
        <v>45096</v>
      </c>
      <c r="P4411">
        <v>0</v>
      </c>
      <c r="Q4411">
        <v>0</v>
      </c>
      <c r="R4411" t="s">
        <v>45101</v>
      </c>
      <c r="S4411" t="s">
        <v>45231</v>
      </c>
      <c r="T4411" t="s">
        <v>47106</v>
      </c>
      <c r="U4411" t="s">
        <v>51211</v>
      </c>
      <c r="W4411" t="s">
        <v>41981</v>
      </c>
      <c r="X4411" t="s">
        <v>45102</v>
      </c>
    </row>
    <row r="4412" spans="1:24">
      <c r="A4412">
        <f>HYPERLINK("https://www.philgeps.gov.ph/GEPSNONPILOT/Tender/SplashBidNoticeAbstractUI.aspx?menuIndex=3&amp;refID=7042374&amp;Result=3","7042374")</f>
        <v>0</v>
      </c>
      <c r="B4412" t="s">
        <v>485</v>
      </c>
      <c r="C4412" t="s">
        <v>7412</v>
      </c>
      <c r="D4412" t="s">
        <v>18048</v>
      </c>
      <c r="E4412" t="s">
        <v>22057</v>
      </c>
      <c r="F4412" t="s">
        <v>31574</v>
      </c>
      <c r="G4412" t="s">
        <v>31581</v>
      </c>
      <c r="H4412" t="s">
        <v>31590</v>
      </c>
      <c r="I4412" t="s">
        <v>31624</v>
      </c>
      <c r="J4412" t="s">
        <v>34627</v>
      </c>
      <c r="K4412" t="s">
        <v>41184</v>
      </c>
      <c r="M4412" t="s">
        <v>41981</v>
      </c>
      <c r="N4412" t="s">
        <v>45095</v>
      </c>
      <c r="O4412" t="s">
        <v>45096</v>
      </c>
      <c r="P4412">
        <v>0</v>
      </c>
      <c r="Q4412">
        <v>4</v>
      </c>
      <c r="R4412" t="s">
        <v>45101</v>
      </c>
      <c r="S4412" t="s">
        <v>45231</v>
      </c>
      <c r="T4412" t="s">
        <v>47106</v>
      </c>
      <c r="U4412" t="s">
        <v>51212</v>
      </c>
      <c r="W4412" t="s">
        <v>41981</v>
      </c>
      <c r="X4412" t="s">
        <v>45102</v>
      </c>
    </row>
    <row r="4413" spans="1:24">
      <c r="A4413">
        <f>HYPERLINK("https://www.philgeps.gov.ph/GEPSNONPILOT/Tender/SplashBidNoticeAbstractUI.aspx?menuIndex=3&amp;refID=7042375&amp;Result=3","7042375")</f>
        <v>0</v>
      </c>
      <c r="B4413" t="s">
        <v>1447</v>
      </c>
      <c r="C4413" t="s">
        <v>7413</v>
      </c>
      <c r="D4413" t="s">
        <v>18022</v>
      </c>
      <c r="E4413" t="s">
        <v>22058</v>
      </c>
      <c r="F4413" t="s">
        <v>31574</v>
      </c>
      <c r="G4413" t="s">
        <v>31583</v>
      </c>
      <c r="H4413" t="s">
        <v>31592</v>
      </c>
      <c r="I4413" t="s">
        <v>31656</v>
      </c>
      <c r="J4413" t="s">
        <v>34503</v>
      </c>
      <c r="K4413" t="s">
        <v>41196</v>
      </c>
      <c r="M4413" t="s">
        <v>43026</v>
      </c>
      <c r="N4413" t="s">
        <v>45095</v>
      </c>
      <c r="O4413" t="s">
        <v>45096</v>
      </c>
      <c r="P4413">
        <v>0</v>
      </c>
      <c r="Q4413">
        <v>0</v>
      </c>
      <c r="R4413" t="s">
        <v>45101</v>
      </c>
      <c r="S4413" t="s">
        <v>45231</v>
      </c>
      <c r="T4413" t="s">
        <v>47191</v>
      </c>
      <c r="U4413" t="s">
        <v>51213</v>
      </c>
      <c r="W4413" t="s">
        <v>43026</v>
      </c>
      <c r="X4413" t="s">
        <v>45102</v>
      </c>
    </row>
    <row r="4414" spans="1:24">
      <c r="A4414">
        <f>HYPERLINK("https://www.philgeps.gov.ph/GEPSNONPILOT/Tender/SplashBidNoticeAbstractUI.aspx?menuIndex=3&amp;refID=7042373&amp;Result=3","7042373")</f>
        <v>0</v>
      </c>
      <c r="B4414" t="s">
        <v>29</v>
      </c>
      <c r="C4414" t="s">
        <v>7414</v>
      </c>
      <c r="D4414" t="s">
        <v>18026</v>
      </c>
      <c r="E4414" t="s">
        <v>22026</v>
      </c>
      <c r="F4414" t="s">
        <v>31574</v>
      </c>
      <c r="G4414" t="s">
        <v>31582</v>
      </c>
      <c r="H4414" t="s">
        <v>31590</v>
      </c>
      <c r="I4414" t="s">
        <v>8258</v>
      </c>
      <c r="J4414" t="s">
        <v>34628</v>
      </c>
      <c r="K4414" t="s">
        <v>41196</v>
      </c>
      <c r="M4414" t="s">
        <v>41511</v>
      </c>
      <c r="N4414" t="s">
        <v>45095</v>
      </c>
      <c r="O4414" t="s">
        <v>45096</v>
      </c>
      <c r="P4414">
        <v>0</v>
      </c>
      <c r="Q4414">
        <v>2</v>
      </c>
      <c r="R4414" t="s">
        <v>45101</v>
      </c>
      <c r="S4414" t="s">
        <v>45231</v>
      </c>
      <c r="T4414" t="s">
        <v>46920</v>
      </c>
      <c r="U4414" t="s">
        <v>51189</v>
      </c>
      <c r="W4414" t="s">
        <v>41511</v>
      </c>
      <c r="X4414" t="s">
        <v>45102</v>
      </c>
    </row>
    <row r="4415" spans="1:24">
      <c r="A4415">
        <f>HYPERLINK("https://www.philgeps.gov.ph/GEPSNONPILOT/Tender/SplashBidNoticeAbstractUI.aspx?menuIndex=3&amp;refID=7042353&amp;Result=3","7042353")</f>
        <v>0</v>
      </c>
      <c r="B4415" t="s">
        <v>1517</v>
      </c>
      <c r="C4415" t="s">
        <v>7415</v>
      </c>
      <c r="E4415" t="s">
        <v>22059</v>
      </c>
      <c r="F4415" t="s">
        <v>31574</v>
      </c>
      <c r="G4415" t="s">
        <v>31582</v>
      </c>
      <c r="H4415" t="s">
        <v>31590</v>
      </c>
      <c r="I4415" t="s">
        <v>3487</v>
      </c>
      <c r="J4415" t="s">
        <v>31821</v>
      </c>
      <c r="K4415" t="s">
        <v>41184</v>
      </c>
      <c r="M4415" t="s">
        <v>43108</v>
      </c>
      <c r="N4415" t="s">
        <v>45095</v>
      </c>
      <c r="O4415" t="s">
        <v>45096</v>
      </c>
      <c r="P4415">
        <v>0</v>
      </c>
      <c r="Q4415">
        <v>0</v>
      </c>
      <c r="R4415" t="s">
        <v>45101</v>
      </c>
      <c r="S4415" t="s">
        <v>45231</v>
      </c>
      <c r="T4415" t="s">
        <v>46918</v>
      </c>
      <c r="U4415" t="s">
        <v>51214</v>
      </c>
      <c r="W4415" t="s">
        <v>43108</v>
      </c>
      <c r="X4415" t="s">
        <v>45102</v>
      </c>
    </row>
    <row r="4416" spans="1:24">
      <c r="A4416">
        <f>HYPERLINK("https://www.philgeps.gov.ph/GEPSNONPILOT/Tender/SplashBidNoticeAbstractUI.aspx?menuIndex=3&amp;refID=7042369&amp;Result=3","7042369")</f>
        <v>0</v>
      </c>
      <c r="B4416" t="s">
        <v>758</v>
      </c>
      <c r="C4416" t="s">
        <v>7416</v>
      </c>
      <c r="D4416" t="s">
        <v>18025</v>
      </c>
      <c r="E4416" t="s">
        <v>22060</v>
      </c>
      <c r="F4416" t="s">
        <v>31574</v>
      </c>
      <c r="G4416" t="s">
        <v>31583</v>
      </c>
      <c r="H4416" t="s">
        <v>31590</v>
      </c>
      <c r="I4416" t="s">
        <v>31682</v>
      </c>
      <c r="J4416" t="s">
        <v>33347</v>
      </c>
      <c r="K4416" t="s">
        <v>41196</v>
      </c>
      <c r="M4416" t="s">
        <v>42272</v>
      </c>
      <c r="N4416" t="s">
        <v>45095</v>
      </c>
      <c r="O4416" t="s">
        <v>45096</v>
      </c>
      <c r="P4416">
        <v>0</v>
      </c>
      <c r="Q4416">
        <v>1</v>
      </c>
      <c r="R4416" t="s">
        <v>45101</v>
      </c>
      <c r="S4416" t="s">
        <v>45231</v>
      </c>
      <c r="T4416" t="s">
        <v>47064</v>
      </c>
      <c r="U4416" t="s">
        <v>51215</v>
      </c>
      <c r="W4416" t="s">
        <v>42272</v>
      </c>
      <c r="X4416" t="s">
        <v>45102</v>
      </c>
    </row>
    <row r="4417" spans="1:24">
      <c r="A4417">
        <f>HYPERLINK("https://www.philgeps.gov.ph/GEPSNONPILOT/Tender/SplashBidNoticeAbstractUI.aspx?menuIndex=3&amp;refID=7042346&amp;Result=3","7042346")</f>
        <v>0</v>
      </c>
      <c r="B4417" t="s">
        <v>1509</v>
      </c>
      <c r="C4417" t="s">
        <v>7417</v>
      </c>
      <c r="D4417" t="s">
        <v>18022</v>
      </c>
      <c r="E4417" t="s">
        <v>22061</v>
      </c>
      <c r="F4417" t="s">
        <v>31574</v>
      </c>
      <c r="G4417" t="s">
        <v>31582</v>
      </c>
      <c r="H4417" t="s">
        <v>31590</v>
      </c>
      <c r="I4417" t="s">
        <v>4327</v>
      </c>
      <c r="J4417" t="s">
        <v>31730</v>
      </c>
      <c r="K4417" t="s">
        <v>41184</v>
      </c>
      <c r="M4417" t="s">
        <v>43098</v>
      </c>
      <c r="N4417" t="s">
        <v>45095</v>
      </c>
      <c r="O4417" t="s">
        <v>45096</v>
      </c>
      <c r="P4417">
        <v>0</v>
      </c>
      <c r="Q4417">
        <v>5</v>
      </c>
      <c r="R4417" t="s">
        <v>45101</v>
      </c>
      <c r="S4417" t="s">
        <v>45231</v>
      </c>
      <c r="T4417" t="s">
        <v>46915</v>
      </c>
      <c r="U4417" t="s">
        <v>51216</v>
      </c>
      <c r="V4417" t="s">
        <v>59855</v>
      </c>
      <c r="W4417" t="s">
        <v>43098</v>
      </c>
      <c r="X4417" t="s">
        <v>45102</v>
      </c>
    </row>
    <row r="4418" spans="1:24">
      <c r="A4418">
        <f>HYPERLINK("https://www.philgeps.gov.ph/GEPSNONPILOT/Tender/SplashBidNoticeAbstractUI.aspx?menuIndex=3&amp;refID=7042364&amp;Result=3","7042364")</f>
        <v>0</v>
      </c>
      <c r="B4418" t="s">
        <v>1510</v>
      </c>
      <c r="C4418" t="s">
        <v>7418</v>
      </c>
      <c r="D4418" t="s">
        <v>18092</v>
      </c>
      <c r="E4418" t="s">
        <v>22062</v>
      </c>
      <c r="F4418" t="s">
        <v>31574</v>
      </c>
      <c r="G4418" t="s">
        <v>31582</v>
      </c>
      <c r="H4418" t="s">
        <v>31590</v>
      </c>
      <c r="I4418" t="s">
        <v>3489</v>
      </c>
      <c r="J4418" t="s">
        <v>34629</v>
      </c>
      <c r="K4418" t="s">
        <v>41193</v>
      </c>
      <c r="M4418" t="s">
        <v>43101</v>
      </c>
      <c r="N4418" t="s">
        <v>45095</v>
      </c>
      <c r="O4418" t="s">
        <v>45096</v>
      </c>
      <c r="P4418">
        <v>0</v>
      </c>
      <c r="Q4418">
        <v>0</v>
      </c>
      <c r="R4418" t="s">
        <v>45101</v>
      </c>
      <c r="S4418" t="s">
        <v>45231</v>
      </c>
      <c r="T4418" t="s">
        <v>46926</v>
      </c>
      <c r="U4418" t="s">
        <v>51217</v>
      </c>
      <c r="W4418" t="s">
        <v>43101</v>
      </c>
      <c r="X4418" t="s">
        <v>45102</v>
      </c>
    </row>
    <row r="4419" spans="1:24">
      <c r="A4419">
        <f>HYPERLINK("https://www.philgeps.gov.ph/GEPSNONPILOT/Tender/SplashBidNoticeAbstractUI.aspx?menuIndex=3&amp;refID=7042370&amp;Result=3","7042370")</f>
        <v>0</v>
      </c>
      <c r="B4419" t="s">
        <v>1376</v>
      </c>
      <c r="C4419" t="s">
        <v>7419</v>
      </c>
      <c r="E4419" t="s">
        <v>22063</v>
      </c>
      <c r="F4419" t="s">
        <v>31574</v>
      </c>
      <c r="G4419" t="s">
        <v>31581</v>
      </c>
      <c r="H4419" t="s">
        <v>31590</v>
      </c>
      <c r="I4419" t="s">
        <v>31623</v>
      </c>
      <c r="J4419" t="s">
        <v>34630</v>
      </c>
      <c r="K4419" t="s">
        <v>41184</v>
      </c>
      <c r="M4419" t="s">
        <v>42950</v>
      </c>
      <c r="N4419" t="s">
        <v>45095</v>
      </c>
      <c r="O4419" t="s">
        <v>45096</v>
      </c>
      <c r="P4419">
        <v>0</v>
      </c>
      <c r="Q4419">
        <v>0</v>
      </c>
      <c r="R4419" t="s">
        <v>45101</v>
      </c>
      <c r="S4419" t="s">
        <v>45231</v>
      </c>
      <c r="T4419" t="s">
        <v>46957</v>
      </c>
      <c r="U4419" t="s">
        <v>51218</v>
      </c>
      <c r="W4419" t="s">
        <v>42950</v>
      </c>
      <c r="X4419" t="s">
        <v>45102</v>
      </c>
    </row>
    <row r="4420" spans="1:24">
      <c r="A4420">
        <f>HYPERLINK("https://www.philgeps.gov.ph/GEPSNONPILOT/Tender/SplashBidNoticeAbstractUI.aspx?menuIndex=3&amp;refID=7042367&amp;Result=3","7042367")</f>
        <v>0</v>
      </c>
      <c r="B4420" t="s">
        <v>1517</v>
      </c>
      <c r="C4420" t="s">
        <v>7420</v>
      </c>
      <c r="E4420" t="s">
        <v>22064</v>
      </c>
      <c r="F4420" t="s">
        <v>31574</v>
      </c>
      <c r="G4420" t="s">
        <v>31582</v>
      </c>
      <c r="H4420" t="s">
        <v>31590</v>
      </c>
      <c r="I4420" t="s">
        <v>3487</v>
      </c>
      <c r="J4420" t="s">
        <v>32019</v>
      </c>
      <c r="K4420" t="s">
        <v>41184</v>
      </c>
      <c r="M4420" t="s">
        <v>43108</v>
      </c>
      <c r="N4420" t="s">
        <v>45095</v>
      </c>
      <c r="O4420" t="s">
        <v>45096</v>
      </c>
      <c r="P4420">
        <v>0</v>
      </c>
      <c r="Q4420">
        <v>0</v>
      </c>
      <c r="R4420" t="s">
        <v>45101</v>
      </c>
      <c r="S4420" t="s">
        <v>45231</v>
      </c>
      <c r="T4420" t="s">
        <v>46918</v>
      </c>
      <c r="U4420" t="s">
        <v>51219</v>
      </c>
      <c r="W4420" t="s">
        <v>43108</v>
      </c>
      <c r="X4420" t="s">
        <v>45102</v>
      </c>
    </row>
    <row r="4421" spans="1:24">
      <c r="A4421">
        <f>HYPERLINK("https://www.philgeps.gov.ph/GEPSNONPILOT/Tender/SplashBidNoticeAbstractUI.aspx?menuIndex=3&amp;refID=7042372&amp;Result=3","7042372")</f>
        <v>0</v>
      </c>
      <c r="B4421" t="s">
        <v>1518</v>
      </c>
      <c r="C4421" t="s">
        <v>7421</v>
      </c>
      <c r="D4421" t="s">
        <v>18041</v>
      </c>
      <c r="E4421" t="s">
        <v>22065</v>
      </c>
      <c r="F4421" t="s">
        <v>31574</v>
      </c>
      <c r="G4421" t="s">
        <v>31582</v>
      </c>
      <c r="H4421" t="s">
        <v>31590</v>
      </c>
      <c r="I4421" t="s">
        <v>31615</v>
      </c>
      <c r="J4421" t="s">
        <v>34631</v>
      </c>
      <c r="K4421" t="s">
        <v>41186</v>
      </c>
      <c r="M4421" t="s">
        <v>43109</v>
      </c>
      <c r="N4421" t="s">
        <v>45095</v>
      </c>
      <c r="O4421" t="s">
        <v>45096</v>
      </c>
      <c r="P4421">
        <v>0</v>
      </c>
      <c r="Q4421">
        <v>9</v>
      </c>
      <c r="R4421" t="s">
        <v>45101</v>
      </c>
      <c r="S4421" t="s">
        <v>45231</v>
      </c>
      <c r="T4421" t="s">
        <v>47048</v>
      </c>
      <c r="U4421" t="s">
        <v>51220</v>
      </c>
      <c r="W4421" t="s">
        <v>43109</v>
      </c>
      <c r="X4421" t="s">
        <v>45102</v>
      </c>
    </row>
    <row r="4422" spans="1:24">
      <c r="A4422">
        <f>HYPERLINK("https://www.philgeps.gov.ph/GEPSNONPILOT/Tender/SplashBidNoticeAbstractUI.aspx?menuIndex=3&amp;refID=7042378&amp;Result=3","7042378")</f>
        <v>0</v>
      </c>
      <c r="B4422" t="s">
        <v>533</v>
      </c>
      <c r="C4422" t="s">
        <v>7422</v>
      </c>
      <c r="D4422" t="s">
        <v>18075</v>
      </c>
      <c r="E4422" t="s">
        <v>22066</v>
      </c>
      <c r="F4422" t="s">
        <v>31574</v>
      </c>
      <c r="G4422" t="s">
        <v>31581</v>
      </c>
      <c r="H4422" t="s">
        <v>31591</v>
      </c>
      <c r="I4422" t="s">
        <v>8822</v>
      </c>
      <c r="J4422" t="s">
        <v>32019</v>
      </c>
      <c r="K4422" t="s">
        <v>41186</v>
      </c>
      <c r="M4422" t="s">
        <v>43099</v>
      </c>
      <c r="N4422" t="s">
        <v>45095</v>
      </c>
      <c r="O4422" t="s">
        <v>45096</v>
      </c>
      <c r="P4422">
        <v>0</v>
      </c>
      <c r="Q4422">
        <v>0</v>
      </c>
      <c r="R4422" t="s">
        <v>45101</v>
      </c>
      <c r="S4422" t="s">
        <v>45231</v>
      </c>
      <c r="T4422" t="s">
        <v>47002</v>
      </c>
      <c r="U4422" t="s">
        <v>50835</v>
      </c>
      <c r="W4422" t="s">
        <v>42964</v>
      </c>
      <c r="X4422" t="s">
        <v>45102</v>
      </c>
    </row>
    <row r="4423" spans="1:24">
      <c r="A4423">
        <f>HYPERLINK("https://www.philgeps.gov.ph/GEPSNONPILOT/Tender/SplashBidNoticeAbstractUI.aspx?menuIndex=3&amp;refID=7042380&amp;Result=3","7042380")</f>
        <v>0</v>
      </c>
      <c r="B4423" t="s">
        <v>1516</v>
      </c>
      <c r="C4423" t="s">
        <v>7423</v>
      </c>
      <c r="D4423" t="s">
        <v>18022</v>
      </c>
      <c r="E4423" t="s">
        <v>22067</v>
      </c>
      <c r="F4423" t="s">
        <v>31574</v>
      </c>
      <c r="G4423" t="s">
        <v>31581</v>
      </c>
      <c r="H4423" t="s">
        <v>31590</v>
      </c>
      <c r="I4423" t="s">
        <v>3489</v>
      </c>
      <c r="J4423" t="s">
        <v>31727</v>
      </c>
      <c r="K4423" t="s">
        <v>41186</v>
      </c>
      <c r="M4423" t="s">
        <v>43107</v>
      </c>
      <c r="N4423" t="s">
        <v>45095</v>
      </c>
      <c r="O4423" t="s">
        <v>45096</v>
      </c>
      <c r="P4423">
        <v>0</v>
      </c>
      <c r="Q4423">
        <v>4</v>
      </c>
      <c r="R4423" t="s">
        <v>45101</v>
      </c>
      <c r="S4423" t="s">
        <v>45231</v>
      </c>
      <c r="T4423" t="s">
        <v>47125</v>
      </c>
      <c r="U4423" t="s">
        <v>51221</v>
      </c>
      <c r="W4423" t="s">
        <v>43107</v>
      </c>
      <c r="X4423" t="s">
        <v>45102</v>
      </c>
    </row>
    <row r="4424" spans="1:24">
      <c r="A4424">
        <f>HYPERLINK("https://www.philgeps.gov.ph/GEPSNONPILOT/Tender/SplashBidNoticeAbstractUI.aspx?menuIndex=3&amp;refID=7042390&amp;Result=3","7042390")</f>
        <v>0</v>
      </c>
      <c r="B4424" t="s">
        <v>433</v>
      </c>
      <c r="C4424" t="s">
        <v>7424</v>
      </c>
      <c r="E4424" t="s">
        <v>22068</v>
      </c>
      <c r="F4424" t="s">
        <v>31574</v>
      </c>
      <c r="G4424" t="s">
        <v>31581</v>
      </c>
      <c r="H4424" t="s">
        <v>31590</v>
      </c>
      <c r="I4424" t="s">
        <v>3651</v>
      </c>
      <c r="J4424" t="s">
        <v>34632</v>
      </c>
      <c r="K4424" t="s">
        <v>41184</v>
      </c>
      <c r="M4424" t="s">
        <v>41926</v>
      </c>
      <c r="N4424" t="s">
        <v>45095</v>
      </c>
      <c r="O4424" t="s">
        <v>45096</v>
      </c>
      <c r="P4424">
        <v>0</v>
      </c>
      <c r="Q4424">
        <v>0</v>
      </c>
      <c r="R4424" t="s">
        <v>45101</v>
      </c>
      <c r="S4424" t="s">
        <v>45231</v>
      </c>
      <c r="T4424" t="s">
        <v>47067</v>
      </c>
      <c r="U4424" t="s">
        <v>51222</v>
      </c>
      <c r="W4424" t="s">
        <v>41926</v>
      </c>
      <c r="X4424" t="s">
        <v>45102</v>
      </c>
    </row>
    <row r="4425" spans="1:24">
      <c r="A4425">
        <f>HYPERLINK("https://www.philgeps.gov.ph/GEPSNONPILOT/Tender/SplashBidNoticeAbstractUI.aspx?menuIndex=3&amp;refID=7042405&amp;Result=3","7042405")</f>
        <v>0</v>
      </c>
      <c r="B4425" t="s">
        <v>1519</v>
      </c>
      <c r="C4425" t="s">
        <v>7425</v>
      </c>
      <c r="D4425" t="s">
        <v>18071</v>
      </c>
      <c r="E4425" t="s">
        <v>7425</v>
      </c>
      <c r="F4425" t="s">
        <v>31574</v>
      </c>
      <c r="G4425" t="s">
        <v>31581</v>
      </c>
      <c r="H4425" t="s">
        <v>31590</v>
      </c>
      <c r="I4425" t="s">
        <v>3901</v>
      </c>
      <c r="J4425" t="s">
        <v>31843</v>
      </c>
      <c r="K4425" t="s">
        <v>41186</v>
      </c>
      <c r="M4425" t="s">
        <v>43110</v>
      </c>
      <c r="N4425" t="s">
        <v>45095</v>
      </c>
      <c r="O4425" t="s">
        <v>45096</v>
      </c>
      <c r="P4425">
        <v>0</v>
      </c>
      <c r="Q4425">
        <v>1</v>
      </c>
      <c r="R4425" t="s">
        <v>45101</v>
      </c>
      <c r="S4425" t="s">
        <v>45231</v>
      </c>
      <c r="T4425" t="s">
        <v>47125</v>
      </c>
      <c r="U4425" t="s">
        <v>51223</v>
      </c>
      <c r="V4425" t="s">
        <v>60315</v>
      </c>
      <c r="W4425" t="s">
        <v>43110</v>
      </c>
      <c r="X4425" t="s">
        <v>45102</v>
      </c>
    </row>
    <row r="4426" spans="1:24">
      <c r="A4426">
        <f>HYPERLINK("https://www.philgeps.gov.ph/GEPSNONPILOT/Tender/SplashBidNoticeAbstractUI.aspx?menuIndex=3&amp;refID=7042381&amp;Result=3","7042381")</f>
        <v>0</v>
      </c>
      <c r="B4426" t="s">
        <v>1492</v>
      </c>
      <c r="C4426" t="s">
        <v>7426</v>
      </c>
      <c r="D4426" t="s">
        <v>18072</v>
      </c>
      <c r="E4426" t="s">
        <v>22069</v>
      </c>
      <c r="F4426" t="s">
        <v>31574</v>
      </c>
      <c r="G4426" t="s">
        <v>31585</v>
      </c>
      <c r="H4426" t="s">
        <v>31590</v>
      </c>
      <c r="I4426" t="s">
        <v>31619</v>
      </c>
      <c r="J4426" t="s">
        <v>34633</v>
      </c>
      <c r="K4426" t="s">
        <v>41186</v>
      </c>
      <c r="M4426" t="s">
        <v>43100</v>
      </c>
      <c r="N4426" t="s">
        <v>45095</v>
      </c>
      <c r="O4426" t="s">
        <v>45096</v>
      </c>
      <c r="P4426">
        <v>0</v>
      </c>
      <c r="Q4426">
        <v>4</v>
      </c>
      <c r="R4426" t="s">
        <v>45101</v>
      </c>
      <c r="S4426" t="s">
        <v>45231</v>
      </c>
      <c r="T4426" t="s">
        <v>47154</v>
      </c>
      <c r="U4426" t="s">
        <v>51224</v>
      </c>
      <c r="W4426" t="s">
        <v>43100</v>
      </c>
      <c r="X4426" t="s">
        <v>45102</v>
      </c>
    </row>
    <row r="4427" spans="1:24">
      <c r="A4427">
        <f>HYPERLINK("https://www.philgeps.gov.ph/GEPSNONPILOT/Tender/SplashBidNoticeAbstractUI.aspx?menuIndex=3&amp;refID=7042401&amp;Result=3","7042401")</f>
        <v>0</v>
      </c>
      <c r="B4427" t="s">
        <v>1520</v>
      </c>
      <c r="C4427" t="s">
        <v>7427</v>
      </c>
      <c r="E4427" t="s">
        <v>22070</v>
      </c>
      <c r="F4427" t="s">
        <v>31574</v>
      </c>
      <c r="G4427" t="s">
        <v>31582</v>
      </c>
      <c r="H4427" t="s">
        <v>31591</v>
      </c>
      <c r="I4427" t="s">
        <v>8822</v>
      </c>
      <c r="J4427" t="s">
        <v>34634</v>
      </c>
      <c r="K4427" t="s">
        <v>41184</v>
      </c>
      <c r="M4427" t="s">
        <v>43111</v>
      </c>
      <c r="N4427" t="s">
        <v>45095</v>
      </c>
      <c r="O4427" t="s">
        <v>45096</v>
      </c>
      <c r="P4427">
        <v>0</v>
      </c>
      <c r="Q4427">
        <v>11</v>
      </c>
      <c r="R4427" t="s">
        <v>45101</v>
      </c>
      <c r="S4427" t="s">
        <v>45231</v>
      </c>
      <c r="T4427" t="s">
        <v>47100</v>
      </c>
      <c r="U4427" t="s">
        <v>51225</v>
      </c>
      <c r="W4427" t="s">
        <v>61704</v>
      </c>
      <c r="X4427" t="s">
        <v>45102</v>
      </c>
    </row>
    <row r="4428" spans="1:24">
      <c r="A4428">
        <f>HYPERLINK("https://www.philgeps.gov.ph/GEPSNONPILOT/Tender/SplashBidNoticeAbstractUI.aspx?menuIndex=3&amp;refID=7042406&amp;Result=3","7042406")</f>
        <v>0</v>
      </c>
      <c r="B4428" t="s">
        <v>1521</v>
      </c>
      <c r="C4428" t="s">
        <v>5717</v>
      </c>
      <c r="D4428" t="s">
        <v>18058</v>
      </c>
      <c r="E4428" t="s">
        <v>22071</v>
      </c>
      <c r="F4428" t="s">
        <v>31574</v>
      </c>
      <c r="G4428" t="s">
        <v>31581</v>
      </c>
      <c r="H4428" t="s">
        <v>31590</v>
      </c>
      <c r="I4428" t="s">
        <v>5717</v>
      </c>
      <c r="J4428" t="s">
        <v>34635</v>
      </c>
      <c r="K4428" t="s">
        <v>41213</v>
      </c>
      <c r="M4428" t="s">
        <v>43112</v>
      </c>
      <c r="N4428" t="s">
        <v>45095</v>
      </c>
      <c r="O4428" t="s">
        <v>45096</v>
      </c>
      <c r="P4428">
        <v>0</v>
      </c>
      <c r="Q4428">
        <v>1</v>
      </c>
      <c r="R4428" t="s">
        <v>45101</v>
      </c>
      <c r="S4428" t="s">
        <v>45231</v>
      </c>
      <c r="T4428" t="s">
        <v>46985</v>
      </c>
      <c r="U4428" t="s">
        <v>51226</v>
      </c>
      <c r="V4428" t="s">
        <v>60316</v>
      </c>
      <c r="W4428" t="s">
        <v>43112</v>
      </c>
      <c r="X4428" t="s">
        <v>45102</v>
      </c>
    </row>
    <row r="4429" spans="1:24">
      <c r="A4429">
        <f>HYPERLINK("https://www.philgeps.gov.ph/GEPSNONPILOT/Tender/SplashBidNoticeAbstractUI.aspx?menuIndex=3&amp;refID=7042387&amp;Result=3","7042387")</f>
        <v>0</v>
      </c>
      <c r="B4429" t="s">
        <v>181</v>
      </c>
      <c r="C4429" t="s">
        <v>7428</v>
      </c>
      <c r="D4429" t="s">
        <v>18022</v>
      </c>
      <c r="E4429" t="s">
        <v>22072</v>
      </c>
      <c r="F4429" t="s">
        <v>31574</v>
      </c>
      <c r="G4429" t="s">
        <v>31582</v>
      </c>
      <c r="H4429" t="s">
        <v>31590</v>
      </c>
      <c r="I4429" t="s">
        <v>31639</v>
      </c>
      <c r="J4429" t="s">
        <v>32359</v>
      </c>
      <c r="K4429" t="s">
        <v>41185</v>
      </c>
      <c r="M4429" t="s">
        <v>43088</v>
      </c>
      <c r="N4429" t="s">
        <v>45095</v>
      </c>
      <c r="O4429" t="s">
        <v>45096</v>
      </c>
      <c r="P4429">
        <v>0</v>
      </c>
      <c r="Q4429">
        <v>0</v>
      </c>
      <c r="R4429" t="s">
        <v>45101</v>
      </c>
      <c r="S4429" t="s">
        <v>45231</v>
      </c>
      <c r="T4429" t="s">
        <v>47202</v>
      </c>
      <c r="U4429" t="s">
        <v>51199</v>
      </c>
      <c r="W4429" t="s">
        <v>43088</v>
      </c>
      <c r="X4429" t="s">
        <v>45102</v>
      </c>
    </row>
    <row r="4430" spans="1:24">
      <c r="A4430">
        <f>HYPERLINK("https://www.philgeps.gov.ph/GEPSNONPILOT/Tender/SplashBidNoticeAbstractUI.aspx?menuIndex=3&amp;refID=7042400&amp;Result=3","7042400")</f>
        <v>0</v>
      </c>
      <c r="B4430" t="s">
        <v>485</v>
      </c>
      <c r="C4430" t="s">
        <v>7386</v>
      </c>
      <c r="D4430" t="s">
        <v>18048</v>
      </c>
      <c r="E4430" t="s">
        <v>22073</v>
      </c>
      <c r="F4430" t="s">
        <v>31574</v>
      </c>
      <c r="G4430" t="s">
        <v>31581</v>
      </c>
      <c r="H4430" t="s">
        <v>31590</v>
      </c>
      <c r="I4430" t="s">
        <v>31604</v>
      </c>
      <c r="J4430" t="s">
        <v>34636</v>
      </c>
      <c r="K4430" t="s">
        <v>41184</v>
      </c>
      <c r="M4430" t="s">
        <v>41981</v>
      </c>
      <c r="N4430" t="s">
        <v>45095</v>
      </c>
      <c r="O4430" t="s">
        <v>45096</v>
      </c>
      <c r="P4430">
        <v>0</v>
      </c>
      <c r="Q4430">
        <v>1</v>
      </c>
      <c r="R4430" t="s">
        <v>45101</v>
      </c>
      <c r="S4430" t="s">
        <v>45231</v>
      </c>
      <c r="T4430" t="s">
        <v>47106</v>
      </c>
      <c r="U4430" t="s">
        <v>51227</v>
      </c>
      <c r="W4430" t="s">
        <v>41981</v>
      </c>
      <c r="X4430" t="s">
        <v>45102</v>
      </c>
    </row>
    <row r="4431" spans="1:24">
      <c r="A4431">
        <f>HYPERLINK("https://www.philgeps.gov.ph/GEPSNONPILOT/Tender/SplashBidNoticeAbstractUI.aspx?menuIndex=3&amp;refID=7042404&amp;Result=3","7042404")</f>
        <v>0</v>
      </c>
      <c r="B4431" t="s">
        <v>1522</v>
      </c>
      <c r="C4431" t="s">
        <v>7429</v>
      </c>
      <c r="D4431" t="s">
        <v>18056</v>
      </c>
      <c r="E4431" t="s">
        <v>18192</v>
      </c>
      <c r="F4431" t="s">
        <v>31574</v>
      </c>
      <c r="G4431" t="s">
        <v>31581</v>
      </c>
      <c r="H4431" t="s">
        <v>31592</v>
      </c>
      <c r="I4431" t="s">
        <v>31633</v>
      </c>
      <c r="J4431" t="s">
        <v>31726</v>
      </c>
      <c r="K4431" t="s">
        <v>41192</v>
      </c>
      <c r="M4431" t="s">
        <v>43113</v>
      </c>
      <c r="N4431" t="s">
        <v>45095</v>
      </c>
      <c r="O4431" t="s">
        <v>45096</v>
      </c>
      <c r="P4431">
        <v>0</v>
      </c>
      <c r="Q4431">
        <v>2</v>
      </c>
      <c r="R4431" t="s">
        <v>45101</v>
      </c>
      <c r="S4431" t="s">
        <v>45231</v>
      </c>
      <c r="T4431" t="s">
        <v>47021</v>
      </c>
      <c r="U4431" t="s">
        <v>51228</v>
      </c>
      <c r="V4431" t="s">
        <v>60317</v>
      </c>
      <c r="W4431" t="s">
        <v>43113</v>
      </c>
      <c r="X4431" t="s">
        <v>45102</v>
      </c>
    </row>
    <row r="4432" spans="1:24">
      <c r="A4432">
        <f>HYPERLINK("https://www.philgeps.gov.ph/GEPSNONPILOT/Tender/SplashBidNoticeAbstractUI.aspx?menuIndex=3&amp;refID=7042382&amp;Result=3","7042382")</f>
        <v>0</v>
      </c>
      <c r="B4432" t="s">
        <v>533</v>
      </c>
      <c r="C4432" t="s">
        <v>7430</v>
      </c>
      <c r="D4432" t="s">
        <v>18075</v>
      </c>
      <c r="E4432" t="s">
        <v>22074</v>
      </c>
      <c r="F4432" t="s">
        <v>31574</v>
      </c>
      <c r="G4432" t="s">
        <v>31581</v>
      </c>
      <c r="H4432" t="s">
        <v>31591</v>
      </c>
      <c r="I4432" t="s">
        <v>8822</v>
      </c>
      <c r="J4432" t="s">
        <v>32019</v>
      </c>
      <c r="K4432" t="s">
        <v>41199</v>
      </c>
      <c r="M4432" t="s">
        <v>43099</v>
      </c>
      <c r="N4432" t="s">
        <v>45095</v>
      </c>
      <c r="O4432" t="s">
        <v>45096</v>
      </c>
      <c r="P4432">
        <v>0</v>
      </c>
      <c r="Q4432">
        <v>0</v>
      </c>
      <c r="R4432" t="s">
        <v>45101</v>
      </c>
      <c r="S4432" t="s">
        <v>45231</v>
      </c>
      <c r="T4432" t="s">
        <v>47002</v>
      </c>
      <c r="U4432" t="s">
        <v>50835</v>
      </c>
      <c r="W4432" t="s">
        <v>42964</v>
      </c>
      <c r="X4432" t="s">
        <v>45102</v>
      </c>
    </row>
    <row r="4433" spans="1:24">
      <c r="A4433">
        <f>HYPERLINK("https://www.philgeps.gov.ph/GEPSNONPILOT/Tender/SplashBidNoticeAbstractUI.aspx?menuIndex=3&amp;refID=7042391&amp;Result=3","7042391")</f>
        <v>0</v>
      </c>
      <c r="B4433" t="s">
        <v>533</v>
      </c>
      <c r="C4433" t="s">
        <v>7431</v>
      </c>
      <c r="D4433" t="s">
        <v>18075</v>
      </c>
      <c r="E4433" t="s">
        <v>22075</v>
      </c>
      <c r="F4433" t="s">
        <v>31574</v>
      </c>
      <c r="G4433" t="s">
        <v>31581</v>
      </c>
      <c r="H4433" t="s">
        <v>31591</v>
      </c>
      <c r="I4433" t="s">
        <v>8822</v>
      </c>
      <c r="J4433" t="s">
        <v>31962</v>
      </c>
      <c r="K4433" t="s">
        <v>41244</v>
      </c>
      <c r="M4433" t="s">
        <v>43099</v>
      </c>
      <c r="N4433" t="s">
        <v>45095</v>
      </c>
      <c r="O4433" t="s">
        <v>45096</v>
      </c>
      <c r="P4433">
        <v>0</v>
      </c>
      <c r="Q4433">
        <v>0</v>
      </c>
      <c r="R4433" t="s">
        <v>45101</v>
      </c>
      <c r="S4433" t="s">
        <v>45231</v>
      </c>
      <c r="T4433" t="s">
        <v>47002</v>
      </c>
      <c r="U4433" t="s">
        <v>50835</v>
      </c>
      <c r="W4433" t="s">
        <v>42964</v>
      </c>
      <c r="X4433" t="s">
        <v>45102</v>
      </c>
    </row>
    <row r="4434" spans="1:24">
      <c r="A4434">
        <f>HYPERLINK("https://www.philgeps.gov.ph/GEPSNONPILOT/Tender/SplashBidNoticeAbstractUI.aspx?menuIndex=3&amp;refID=7042407&amp;Result=3","7042407")</f>
        <v>0</v>
      </c>
      <c r="B4434" t="s">
        <v>1507</v>
      </c>
      <c r="C4434" t="s">
        <v>7432</v>
      </c>
      <c r="D4434" t="s">
        <v>18045</v>
      </c>
      <c r="E4434" t="s">
        <v>22076</v>
      </c>
      <c r="F4434" t="s">
        <v>31574</v>
      </c>
      <c r="G4434" t="s">
        <v>31581</v>
      </c>
      <c r="H4434" t="s">
        <v>31590</v>
      </c>
      <c r="I4434" t="s">
        <v>14544</v>
      </c>
      <c r="J4434" t="s">
        <v>34637</v>
      </c>
      <c r="K4434" t="s">
        <v>41186</v>
      </c>
      <c r="M4434" t="s">
        <v>43094</v>
      </c>
      <c r="N4434" t="s">
        <v>45095</v>
      </c>
      <c r="O4434" t="s">
        <v>45096</v>
      </c>
      <c r="P4434">
        <v>0</v>
      </c>
      <c r="Q4434">
        <v>3</v>
      </c>
      <c r="R4434" t="s">
        <v>45101</v>
      </c>
      <c r="S4434" t="s">
        <v>45231</v>
      </c>
      <c r="T4434" t="s">
        <v>46979</v>
      </c>
      <c r="U4434" t="s">
        <v>51229</v>
      </c>
      <c r="W4434" t="s">
        <v>43094</v>
      </c>
      <c r="X4434" t="s">
        <v>45102</v>
      </c>
    </row>
    <row r="4435" spans="1:24">
      <c r="A4435">
        <f>HYPERLINK("https://www.philgeps.gov.ph/GEPSNONPILOT/Tender/SplashBidNoticeAbstractUI.aspx?menuIndex=3&amp;refID=7042413&amp;Result=3","7042413")</f>
        <v>0</v>
      </c>
      <c r="B4435" t="s">
        <v>1520</v>
      </c>
      <c r="C4435" t="s">
        <v>7433</v>
      </c>
      <c r="E4435" t="s">
        <v>22077</v>
      </c>
      <c r="F4435" t="s">
        <v>31574</v>
      </c>
      <c r="G4435" t="s">
        <v>31582</v>
      </c>
      <c r="H4435" t="s">
        <v>31591</v>
      </c>
      <c r="I4435" t="s">
        <v>8822</v>
      </c>
      <c r="J4435" t="s">
        <v>34638</v>
      </c>
      <c r="K4435" t="s">
        <v>41184</v>
      </c>
      <c r="M4435" t="s">
        <v>43111</v>
      </c>
      <c r="N4435" t="s">
        <v>45095</v>
      </c>
      <c r="O4435" t="s">
        <v>45096</v>
      </c>
      <c r="P4435">
        <v>0</v>
      </c>
      <c r="Q4435">
        <v>10</v>
      </c>
      <c r="R4435" t="s">
        <v>45101</v>
      </c>
      <c r="S4435" t="s">
        <v>45231</v>
      </c>
      <c r="T4435" t="s">
        <v>47100</v>
      </c>
      <c r="U4435" t="s">
        <v>51225</v>
      </c>
      <c r="W4435" t="s">
        <v>61704</v>
      </c>
      <c r="X4435" t="s">
        <v>45102</v>
      </c>
    </row>
    <row r="4436" spans="1:24">
      <c r="A4436">
        <f>HYPERLINK("https://www.philgeps.gov.ph/GEPSNONPILOT/Tender/SplashBidNoticeAbstractUI.aspx?menuIndex=3&amp;refID=7042402&amp;Result=3","7042402")</f>
        <v>0</v>
      </c>
      <c r="B4436" t="s">
        <v>1523</v>
      </c>
      <c r="C4436" t="s">
        <v>7434</v>
      </c>
      <c r="D4436" t="s">
        <v>18035</v>
      </c>
      <c r="E4436" t="s">
        <v>22078</v>
      </c>
      <c r="F4436" t="s">
        <v>31574</v>
      </c>
      <c r="G4436" t="s">
        <v>31583</v>
      </c>
      <c r="H4436" t="s">
        <v>31590</v>
      </c>
      <c r="I4436" t="s">
        <v>31698</v>
      </c>
      <c r="J4436" t="s">
        <v>32236</v>
      </c>
      <c r="K4436" t="s">
        <v>41223</v>
      </c>
      <c r="M4436" t="s">
        <v>43114</v>
      </c>
      <c r="N4436" t="s">
        <v>45095</v>
      </c>
      <c r="O4436" t="s">
        <v>45096</v>
      </c>
      <c r="P4436">
        <v>0</v>
      </c>
      <c r="Q4436">
        <v>1</v>
      </c>
      <c r="R4436" t="s">
        <v>45101</v>
      </c>
      <c r="S4436" t="s">
        <v>45231</v>
      </c>
      <c r="T4436" t="s">
        <v>47067</v>
      </c>
      <c r="U4436" t="s">
        <v>51230</v>
      </c>
      <c r="V4436" t="s">
        <v>60318</v>
      </c>
      <c r="W4436" t="s">
        <v>43114</v>
      </c>
      <c r="X4436" t="s">
        <v>45102</v>
      </c>
    </row>
    <row r="4437" spans="1:24">
      <c r="A4437">
        <f>HYPERLINK("https://www.philgeps.gov.ph/GEPSNONPILOT/Tender/SplashBidNoticeAbstractUI.aspx?menuIndex=3&amp;refID=7042408&amp;Result=3","7042408")</f>
        <v>0</v>
      </c>
      <c r="B4437" t="s">
        <v>533</v>
      </c>
      <c r="C4437" t="s">
        <v>7435</v>
      </c>
      <c r="D4437" t="s">
        <v>18075</v>
      </c>
      <c r="E4437" t="s">
        <v>22079</v>
      </c>
      <c r="F4437" t="s">
        <v>31574</v>
      </c>
      <c r="G4437" t="s">
        <v>31581</v>
      </c>
      <c r="H4437" t="s">
        <v>31591</v>
      </c>
      <c r="I4437" t="s">
        <v>8822</v>
      </c>
      <c r="J4437" t="s">
        <v>32001</v>
      </c>
      <c r="K4437" t="s">
        <v>41316</v>
      </c>
      <c r="M4437" t="s">
        <v>43099</v>
      </c>
      <c r="N4437" t="s">
        <v>45095</v>
      </c>
      <c r="O4437" t="s">
        <v>45096</v>
      </c>
      <c r="P4437">
        <v>0</v>
      </c>
      <c r="Q4437">
        <v>1</v>
      </c>
      <c r="R4437" t="s">
        <v>45101</v>
      </c>
      <c r="S4437" t="s">
        <v>45231</v>
      </c>
      <c r="T4437" t="s">
        <v>47002</v>
      </c>
      <c r="U4437" t="s">
        <v>50835</v>
      </c>
      <c r="W4437" t="s">
        <v>42964</v>
      </c>
      <c r="X4437" t="s">
        <v>45102</v>
      </c>
    </row>
    <row r="4438" spans="1:24">
      <c r="A4438">
        <f>HYPERLINK("https://www.philgeps.gov.ph/GEPSNONPILOT/Tender/SplashBidNoticeAbstractUI.aspx?menuIndex=3&amp;refID=7042399&amp;Result=3","7042399")</f>
        <v>0</v>
      </c>
      <c r="B4438" t="s">
        <v>533</v>
      </c>
      <c r="C4438" t="s">
        <v>7436</v>
      </c>
      <c r="D4438" t="s">
        <v>18075</v>
      </c>
      <c r="E4438" t="s">
        <v>22080</v>
      </c>
      <c r="F4438" t="s">
        <v>31574</v>
      </c>
      <c r="G4438" t="s">
        <v>31581</v>
      </c>
      <c r="H4438" t="s">
        <v>31591</v>
      </c>
      <c r="I4438" t="s">
        <v>8822</v>
      </c>
      <c r="J4438" t="s">
        <v>31935</v>
      </c>
      <c r="K4438" t="s">
        <v>41246</v>
      </c>
      <c r="M4438" t="s">
        <v>43099</v>
      </c>
      <c r="N4438" t="s">
        <v>45095</v>
      </c>
      <c r="O4438" t="s">
        <v>45096</v>
      </c>
      <c r="P4438">
        <v>0</v>
      </c>
      <c r="Q4438">
        <v>0</v>
      </c>
      <c r="R4438" t="s">
        <v>45101</v>
      </c>
      <c r="S4438" t="s">
        <v>45231</v>
      </c>
      <c r="T4438" t="s">
        <v>47002</v>
      </c>
      <c r="U4438" t="s">
        <v>50835</v>
      </c>
      <c r="W4438" t="s">
        <v>42964</v>
      </c>
      <c r="X4438" t="s">
        <v>45102</v>
      </c>
    </row>
    <row r="4439" spans="1:24">
      <c r="A4439">
        <f>HYPERLINK("https://www.philgeps.gov.ph/GEPSNONPILOT/Tender/SplashBidNoticeAbstractUI.aspx?menuIndex=3&amp;refID=7042412&amp;Result=3","7042412")</f>
        <v>0</v>
      </c>
      <c r="B4439" t="s">
        <v>1504</v>
      </c>
      <c r="C4439" t="s">
        <v>7437</v>
      </c>
      <c r="D4439" t="s">
        <v>18043</v>
      </c>
      <c r="E4439" t="s">
        <v>22081</v>
      </c>
      <c r="F4439" t="s">
        <v>31574</v>
      </c>
      <c r="G4439" t="s">
        <v>31581</v>
      </c>
      <c r="H4439" t="s">
        <v>31590</v>
      </c>
      <c r="I4439" t="s">
        <v>8258</v>
      </c>
      <c r="J4439" t="s">
        <v>34639</v>
      </c>
      <c r="K4439" t="s">
        <v>41213</v>
      </c>
      <c r="M4439" t="s">
        <v>43090</v>
      </c>
      <c r="N4439" t="s">
        <v>45095</v>
      </c>
      <c r="O4439" t="s">
        <v>45096</v>
      </c>
      <c r="P4439">
        <v>0</v>
      </c>
      <c r="Q4439">
        <v>2</v>
      </c>
      <c r="R4439" t="s">
        <v>45101</v>
      </c>
      <c r="S4439" t="s">
        <v>45231</v>
      </c>
      <c r="T4439" t="s">
        <v>47124</v>
      </c>
      <c r="U4439" t="s">
        <v>51158</v>
      </c>
      <c r="W4439" t="s">
        <v>43090</v>
      </c>
      <c r="X4439" t="s">
        <v>45102</v>
      </c>
    </row>
    <row r="4440" spans="1:24">
      <c r="A4440">
        <f>HYPERLINK("https://www.philgeps.gov.ph/GEPSNONPILOT/Tender/SplashBidNoticeAbstractUI.aspx?menuIndex=3&amp;refID=7042392&amp;Result=3","7042392")</f>
        <v>0</v>
      </c>
      <c r="B4440" t="s">
        <v>530</v>
      </c>
      <c r="C4440" t="s">
        <v>7438</v>
      </c>
      <c r="D4440" t="s">
        <v>18071</v>
      </c>
      <c r="E4440" t="s">
        <v>22082</v>
      </c>
      <c r="F4440" t="s">
        <v>31574</v>
      </c>
      <c r="G4440" t="s">
        <v>31585</v>
      </c>
      <c r="H4440" t="s">
        <v>31590</v>
      </c>
      <c r="I4440" t="s">
        <v>7185</v>
      </c>
      <c r="J4440" t="s">
        <v>34640</v>
      </c>
      <c r="K4440" t="s">
        <v>41186</v>
      </c>
      <c r="M4440" t="s">
        <v>43095</v>
      </c>
      <c r="N4440" t="s">
        <v>45095</v>
      </c>
      <c r="O4440" t="s">
        <v>45096</v>
      </c>
      <c r="P4440">
        <v>0</v>
      </c>
      <c r="Q4440">
        <v>2</v>
      </c>
      <c r="R4440" t="s">
        <v>45101</v>
      </c>
      <c r="S4440" t="s">
        <v>45231</v>
      </c>
      <c r="T4440" t="s">
        <v>46936</v>
      </c>
      <c r="U4440" t="s">
        <v>51231</v>
      </c>
      <c r="W4440" t="s">
        <v>43095</v>
      </c>
      <c r="X4440" t="s">
        <v>45102</v>
      </c>
    </row>
    <row r="4441" spans="1:24">
      <c r="A4441">
        <f>HYPERLINK("https://www.philgeps.gov.ph/GEPSNONPILOT/Tender/SplashBidNoticeAbstractUI.aspx?menuIndex=3&amp;refID=7042414&amp;Result=3","7042414")</f>
        <v>0</v>
      </c>
      <c r="B4441" t="s">
        <v>1476</v>
      </c>
      <c r="C4441" t="s">
        <v>7439</v>
      </c>
      <c r="D4441" t="s">
        <v>18022</v>
      </c>
      <c r="E4441" t="s">
        <v>22083</v>
      </c>
      <c r="F4441" t="s">
        <v>31574</v>
      </c>
      <c r="G4441" t="s">
        <v>31581</v>
      </c>
      <c r="H4441" t="s">
        <v>31592</v>
      </c>
      <c r="I4441" t="s">
        <v>31603</v>
      </c>
      <c r="J4441" t="s">
        <v>32375</v>
      </c>
      <c r="K4441" t="s">
        <v>41186</v>
      </c>
      <c r="M4441" t="s">
        <v>43058</v>
      </c>
      <c r="N4441" t="s">
        <v>45095</v>
      </c>
      <c r="O4441" t="s">
        <v>45096</v>
      </c>
      <c r="P4441">
        <v>0</v>
      </c>
      <c r="Q4441">
        <v>18</v>
      </c>
      <c r="R4441" t="s">
        <v>45101</v>
      </c>
      <c r="S4441" t="s">
        <v>45231</v>
      </c>
      <c r="T4441" t="s">
        <v>47058</v>
      </c>
      <c r="U4441" t="s">
        <v>51232</v>
      </c>
      <c r="W4441" t="s">
        <v>43058</v>
      </c>
      <c r="X4441" t="s">
        <v>45102</v>
      </c>
    </row>
    <row r="4442" spans="1:24">
      <c r="A4442">
        <f>HYPERLINK("https://www.philgeps.gov.ph/GEPSNONPILOT/Tender/SplashBidNoticeAbstractUI.aspx?menuIndex=3&amp;refID=7042428&amp;Result=3","7042428")</f>
        <v>0</v>
      </c>
      <c r="B4442" t="s">
        <v>530</v>
      </c>
      <c r="C4442" t="s">
        <v>7440</v>
      </c>
      <c r="D4442" t="s">
        <v>18071</v>
      </c>
      <c r="E4442" t="s">
        <v>7440</v>
      </c>
      <c r="F4442" t="s">
        <v>31574</v>
      </c>
      <c r="G4442" t="s">
        <v>31585</v>
      </c>
      <c r="H4442" t="s">
        <v>31590</v>
      </c>
      <c r="I4442" t="s">
        <v>31633</v>
      </c>
      <c r="J4442" t="s">
        <v>34641</v>
      </c>
      <c r="K4442" t="s">
        <v>41186</v>
      </c>
      <c r="M4442" t="s">
        <v>43095</v>
      </c>
      <c r="N4442" t="s">
        <v>45095</v>
      </c>
      <c r="O4442" t="s">
        <v>45096</v>
      </c>
      <c r="P4442">
        <v>0</v>
      </c>
      <c r="Q4442">
        <v>0</v>
      </c>
      <c r="R4442" t="s">
        <v>45101</v>
      </c>
      <c r="S4442" t="s">
        <v>45231</v>
      </c>
      <c r="T4442" t="s">
        <v>47021</v>
      </c>
      <c r="U4442" t="s">
        <v>51233</v>
      </c>
      <c r="W4442" t="s">
        <v>43095</v>
      </c>
      <c r="X4442" t="s">
        <v>45102</v>
      </c>
    </row>
    <row r="4443" spans="1:24">
      <c r="A4443">
        <f>HYPERLINK("https://www.philgeps.gov.ph/GEPSNONPILOT/Tender/SplashBidNoticeAbstractUI.aspx?menuIndex=3&amp;refID=7042409&amp;Result=3","7042409")</f>
        <v>0</v>
      </c>
      <c r="B4443" t="s">
        <v>1376</v>
      </c>
      <c r="C4443" t="s">
        <v>7441</v>
      </c>
      <c r="E4443" t="s">
        <v>22084</v>
      </c>
      <c r="F4443" t="s">
        <v>31574</v>
      </c>
      <c r="G4443" t="s">
        <v>31581</v>
      </c>
      <c r="H4443" t="s">
        <v>31590</v>
      </c>
      <c r="I4443" t="s">
        <v>31623</v>
      </c>
      <c r="J4443" t="s">
        <v>31958</v>
      </c>
      <c r="K4443" t="s">
        <v>41184</v>
      </c>
      <c r="M4443" t="s">
        <v>42950</v>
      </c>
      <c r="N4443" t="s">
        <v>45095</v>
      </c>
      <c r="O4443" t="s">
        <v>45096</v>
      </c>
      <c r="P4443">
        <v>0</v>
      </c>
      <c r="Q4443">
        <v>0</v>
      </c>
      <c r="R4443" t="s">
        <v>45101</v>
      </c>
      <c r="S4443" t="s">
        <v>45231</v>
      </c>
      <c r="T4443" t="s">
        <v>46957</v>
      </c>
      <c r="U4443" t="s">
        <v>51234</v>
      </c>
      <c r="W4443" t="s">
        <v>42950</v>
      </c>
      <c r="X4443" t="s">
        <v>45102</v>
      </c>
    </row>
    <row r="4444" spans="1:24">
      <c r="A4444">
        <f>HYPERLINK("https://www.philgeps.gov.ph/GEPSNONPILOT/Tender/SplashBidNoticeAbstractUI.aspx?menuIndex=3&amp;refID=7042417&amp;Result=3","7042417")</f>
        <v>0</v>
      </c>
      <c r="B4444" t="s">
        <v>1514</v>
      </c>
      <c r="C4444" t="s">
        <v>7442</v>
      </c>
      <c r="D4444" t="s">
        <v>18037</v>
      </c>
      <c r="E4444" t="s">
        <v>22085</v>
      </c>
      <c r="F4444" t="s">
        <v>31574</v>
      </c>
      <c r="G4444" t="s">
        <v>31582</v>
      </c>
      <c r="H4444" t="s">
        <v>31590</v>
      </c>
      <c r="I4444" t="s">
        <v>31620</v>
      </c>
      <c r="J4444" t="s">
        <v>34642</v>
      </c>
      <c r="K4444" t="s">
        <v>41192</v>
      </c>
      <c r="M4444" t="s">
        <v>43105</v>
      </c>
      <c r="N4444" t="s">
        <v>45095</v>
      </c>
      <c r="O4444" t="s">
        <v>45096</v>
      </c>
      <c r="P4444">
        <v>0</v>
      </c>
      <c r="Q4444">
        <v>30</v>
      </c>
      <c r="R4444" t="s">
        <v>45101</v>
      </c>
      <c r="S4444" t="s">
        <v>45231</v>
      </c>
      <c r="T4444" t="s">
        <v>47170</v>
      </c>
      <c r="U4444" t="s">
        <v>51235</v>
      </c>
      <c r="V4444" t="s">
        <v>59855</v>
      </c>
      <c r="W4444" t="s">
        <v>43105</v>
      </c>
      <c r="X4444" t="s">
        <v>45102</v>
      </c>
    </row>
    <row r="4445" spans="1:24">
      <c r="A4445">
        <f>HYPERLINK("https://www.philgeps.gov.ph/GEPSNONPILOT/Tender/SplashBidNoticeAbstractUI.aspx?menuIndex=3&amp;refID=7042439&amp;Result=3","7042439")</f>
        <v>0</v>
      </c>
      <c r="B4445" t="s">
        <v>1524</v>
      </c>
      <c r="C4445" t="s">
        <v>7443</v>
      </c>
      <c r="D4445" t="s">
        <v>18083</v>
      </c>
      <c r="E4445" t="s">
        <v>22086</v>
      </c>
      <c r="F4445" t="s">
        <v>31574</v>
      </c>
      <c r="G4445" t="s">
        <v>31582</v>
      </c>
      <c r="H4445" t="s">
        <v>31591</v>
      </c>
      <c r="I4445" t="s">
        <v>8822</v>
      </c>
      <c r="J4445" t="s">
        <v>34643</v>
      </c>
      <c r="K4445" t="s">
        <v>41268</v>
      </c>
      <c r="M4445" t="s">
        <v>43115</v>
      </c>
      <c r="N4445" t="s">
        <v>45095</v>
      </c>
      <c r="O4445" t="s">
        <v>45096</v>
      </c>
      <c r="P4445">
        <v>0</v>
      </c>
      <c r="Q4445">
        <v>0</v>
      </c>
      <c r="R4445" t="s">
        <v>45101</v>
      </c>
      <c r="S4445" t="s">
        <v>45231</v>
      </c>
      <c r="T4445" t="s">
        <v>46962</v>
      </c>
      <c r="U4445" t="s">
        <v>51236</v>
      </c>
      <c r="V4445" t="s">
        <v>60319</v>
      </c>
      <c r="W4445" t="s">
        <v>43115</v>
      </c>
      <c r="X4445" t="s">
        <v>45102</v>
      </c>
    </row>
    <row r="4446" spans="1:24">
      <c r="A4446">
        <f>HYPERLINK("https://www.philgeps.gov.ph/GEPSNONPILOT/Tender/SplashBidNoticeAbstractUI.aspx?menuIndex=3&amp;refID=7042429&amp;Result=3","7042429")</f>
        <v>0</v>
      </c>
      <c r="B4446" t="s">
        <v>681</v>
      </c>
      <c r="C4446" t="s">
        <v>7444</v>
      </c>
      <c r="D4446" t="s">
        <v>18039</v>
      </c>
      <c r="E4446" t="s">
        <v>22087</v>
      </c>
      <c r="F4446" t="s">
        <v>31574</v>
      </c>
      <c r="G4446" t="s">
        <v>31583</v>
      </c>
      <c r="H4446" t="s">
        <v>31590</v>
      </c>
      <c r="I4446" t="s">
        <v>8258</v>
      </c>
      <c r="J4446" t="s">
        <v>32381</v>
      </c>
      <c r="K4446" t="s">
        <v>41184</v>
      </c>
      <c r="M4446" t="s">
        <v>42188</v>
      </c>
      <c r="N4446" t="s">
        <v>45095</v>
      </c>
      <c r="O4446" t="s">
        <v>45096</v>
      </c>
      <c r="P4446">
        <v>0</v>
      </c>
      <c r="Q4446">
        <v>3</v>
      </c>
      <c r="R4446" t="s">
        <v>45101</v>
      </c>
      <c r="S4446" t="s">
        <v>45231</v>
      </c>
      <c r="T4446" t="s">
        <v>46957</v>
      </c>
      <c r="U4446" t="s">
        <v>51237</v>
      </c>
      <c r="W4446" t="s">
        <v>42188</v>
      </c>
      <c r="X4446" t="s">
        <v>45102</v>
      </c>
    </row>
    <row r="4447" spans="1:24">
      <c r="A4447">
        <f>HYPERLINK("https://www.philgeps.gov.ph/GEPSNONPILOT/Tender/SplashBidNoticeAbstractUI.aspx?menuIndex=3&amp;refID=7042430&amp;Result=3","7042430")</f>
        <v>0</v>
      </c>
      <c r="B4447" t="s">
        <v>1519</v>
      </c>
      <c r="C4447" t="s">
        <v>7445</v>
      </c>
      <c r="D4447" t="s">
        <v>18071</v>
      </c>
      <c r="E4447" t="s">
        <v>7445</v>
      </c>
      <c r="F4447" t="s">
        <v>31574</v>
      </c>
      <c r="G4447" t="s">
        <v>31581</v>
      </c>
      <c r="H4447" t="s">
        <v>31590</v>
      </c>
      <c r="I4447" t="s">
        <v>3901</v>
      </c>
      <c r="J4447" t="s">
        <v>31845</v>
      </c>
      <c r="K4447" t="s">
        <v>41186</v>
      </c>
      <c r="M4447" t="s">
        <v>43110</v>
      </c>
      <c r="N4447" t="s">
        <v>45095</v>
      </c>
      <c r="O4447" t="s">
        <v>45096</v>
      </c>
      <c r="P4447">
        <v>0</v>
      </c>
      <c r="Q4447">
        <v>0</v>
      </c>
      <c r="R4447" t="s">
        <v>45101</v>
      </c>
      <c r="S4447" t="s">
        <v>45231</v>
      </c>
      <c r="T4447" t="s">
        <v>47125</v>
      </c>
      <c r="U4447" t="s">
        <v>51238</v>
      </c>
      <c r="V4447" t="s">
        <v>60320</v>
      </c>
      <c r="W4447" t="s">
        <v>43110</v>
      </c>
      <c r="X4447" t="s">
        <v>45102</v>
      </c>
    </row>
    <row r="4448" spans="1:24">
      <c r="A4448">
        <f>HYPERLINK("https://www.philgeps.gov.ph/GEPSNONPILOT/Tender/SplashBidNoticeAbstractUI.aspx?menuIndex=3&amp;refID=7042451&amp;Result=3","7042451")</f>
        <v>0</v>
      </c>
      <c r="B4448" t="s">
        <v>269</v>
      </c>
      <c r="C4448" t="s">
        <v>7446</v>
      </c>
      <c r="D4448" t="s">
        <v>18058</v>
      </c>
      <c r="E4448" t="s">
        <v>22088</v>
      </c>
      <c r="F4448" t="s">
        <v>31575</v>
      </c>
      <c r="G4448" t="s">
        <v>31582</v>
      </c>
      <c r="H4448" t="s">
        <v>31592</v>
      </c>
      <c r="I4448" t="s">
        <v>31654</v>
      </c>
      <c r="J4448" t="s">
        <v>34644</v>
      </c>
      <c r="K4448" t="s">
        <v>41192</v>
      </c>
      <c r="M4448" t="s">
        <v>41755</v>
      </c>
      <c r="N4448" t="s">
        <v>45095</v>
      </c>
      <c r="O4448" t="s">
        <v>45096</v>
      </c>
      <c r="Q4448">
        <v>8</v>
      </c>
      <c r="R4448" t="s">
        <v>45101</v>
      </c>
      <c r="S4448" t="s">
        <v>45234</v>
      </c>
      <c r="T4448" t="s">
        <v>47174</v>
      </c>
      <c r="U4448" t="s">
        <v>51239</v>
      </c>
      <c r="W4448" t="s">
        <v>41755</v>
      </c>
      <c r="X4448" t="s">
        <v>45102</v>
      </c>
    </row>
    <row r="4449" spans="1:24">
      <c r="A4449">
        <f>HYPERLINK("https://www.philgeps.gov.ph/GEPSNONPILOT/Tender/SplashBidNoticeAbstractUI.aspx?menuIndex=3&amp;refID=7042438&amp;Result=3","7042438")</f>
        <v>0</v>
      </c>
      <c r="B4449" t="s">
        <v>485</v>
      </c>
      <c r="C4449" t="s">
        <v>7447</v>
      </c>
      <c r="D4449" t="s">
        <v>18048</v>
      </c>
      <c r="E4449" t="s">
        <v>22089</v>
      </c>
      <c r="F4449" t="s">
        <v>31574</v>
      </c>
      <c r="G4449" t="s">
        <v>31581</v>
      </c>
      <c r="H4449" t="s">
        <v>31590</v>
      </c>
      <c r="I4449" t="s">
        <v>14544</v>
      </c>
      <c r="J4449" t="s">
        <v>33385</v>
      </c>
      <c r="K4449" t="s">
        <v>41184</v>
      </c>
      <c r="M4449" t="s">
        <v>41981</v>
      </c>
      <c r="N4449" t="s">
        <v>45095</v>
      </c>
      <c r="O4449" t="s">
        <v>45096</v>
      </c>
      <c r="P4449">
        <v>0</v>
      </c>
      <c r="Q4449">
        <v>0</v>
      </c>
      <c r="R4449" t="s">
        <v>45101</v>
      </c>
      <c r="S4449" t="s">
        <v>45231</v>
      </c>
      <c r="T4449" t="s">
        <v>47106</v>
      </c>
      <c r="U4449" t="s">
        <v>51240</v>
      </c>
      <c r="W4449" t="s">
        <v>41981</v>
      </c>
      <c r="X4449" t="s">
        <v>45102</v>
      </c>
    </row>
    <row r="4450" spans="1:24">
      <c r="A4450">
        <f>HYPERLINK("https://www.philgeps.gov.ph/GEPSNONPILOT/Tender/SplashBidNoticeAbstractUI.aspx?menuIndex=3&amp;refID=7042423&amp;Result=3","7042423")</f>
        <v>0</v>
      </c>
      <c r="B4450" t="s">
        <v>181</v>
      </c>
      <c r="C4450" t="s">
        <v>7448</v>
      </c>
      <c r="D4450" t="s">
        <v>18022</v>
      </c>
      <c r="E4450" t="s">
        <v>22090</v>
      </c>
      <c r="F4450" t="s">
        <v>31574</v>
      </c>
      <c r="G4450" t="s">
        <v>31582</v>
      </c>
      <c r="H4450" t="s">
        <v>31590</v>
      </c>
      <c r="I4450" t="s">
        <v>31702</v>
      </c>
      <c r="J4450" t="s">
        <v>34645</v>
      </c>
      <c r="K4450" t="s">
        <v>41185</v>
      </c>
      <c r="M4450" t="s">
        <v>43088</v>
      </c>
      <c r="N4450" t="s">
        <v>45095</v>
      </c>
      <c r="O4450" t="s">
        <v>45096</v>
      </c>
      <c r="P4450">
        <v>0</v>
      </c>
      <c r="Q4450">
        <v>4</v>
      </c>
      <c r="R4450" t="s">
        <v>45101</v>
      </c>
      <c r="S4450" t="s">
        <v>45231</v>
      </c>
      <c r="T4450" t="s">
        <v>47218</v>
      </c>
      <c r="U4450" t="s">
        <v>51241</v>
      </c>
      <c r="W4450" t="s">
        <v>43088</v>
      </c>
      <c r="X4450" t="s">
        <v>45102</v>
      </c>
    </row>
    <row r="4451" spans="1:24">
      <c r="A4451">
        <f>HYPERLINK("https://www.philgeps.gov.ph/GEPSNONPILOT/Tender/SplashBidNoticeAbstractUI.aspx?menuIndex=3&amp;refID=7042418&amp;Result=3","7042418")</f>
        <v>0</v>
      </c>
      <c r="B4451" t="s">
        <v>1447</v>
      </c>
      <c r="C4451" t="s">
        <v>7187</v>
      </c>
      <c r="D4451" t="s">
        <v>18022</v>
      </c>
      <c r="E4451" t="s">
        <v>22091</v>
      </c>
      <c r="F4451" t="s">
        <v>31574</v>
      </c>
      <c r="G4451" t="s">
        <v>31583</v>
      </c>
      <c r="H4451" t="s">
        <v>31592</v>
      </c>
      <c r="I4451" t="s">
        <v>31656</v>
      </c>
      <c r="J4451" t="s">
        <v>34503</v>
      </c>
      <c r="K4451" t="s">
        <v>41196</v>
      </c>
      <c r="M4451" t="s">
        <v>43026</v>
      </c>
      <c r="N4451" t="s">
        <v>45095</v>
      </c>
      <c r="O4451" t="s">
        <v>45096</v>
      </c>
      <c r="P4451">
        <v>0</v>
      </c>
      <c r="Q4451">
        <v>1</v>
      </c>
      <c r="R4451" t="s">
        <v>45101</v>
      </c>
      <c r="S4451" t="s">
        <v>45231</v>
      </c>
      <c r="T4451" t="s">
        <v>47191</v>
      </c>
      <c r="U4451" t="s">
        <v>51242</v>
      </c>
      <c r="W4451" t="s">
        <v>43026</v>
      </c>
      <c r="X4451" t="s">
        <v>45102</v>
      </c>
    </row>
    <row r="4452" spans="1:24">
      <c r="A4452">
        <f>HYPERLINK("https://www.philgeps.gov.ph/GEPSNONPILOT/Tender/SplashBidNoticeAbstractUI.aspx?menuIndex=3&amp;refID=7042434&amp;Result=3","7042434")</f>
        <v>0</v>
      </c>
      <c r="B4452" t="s">
        <v>1504</v>
      </c>
      <c r="C4452" t="s">
        <v>7449</v>
      </c>
      <c r="D4452" t="s">
        <v>18043</v>
      </c>
      <c r="E4452" t="s">
        <v>22092</v>
      </c>
      <c r="F4452" t="s">
        <v>31574</v>
      </c>
      <c r="G4452" t="s">
        <v>31581</v>
      </c>
      <c r="H4452" t="s">
        <v>31590</v>
      </c>
      <c r="I4452" t="s">
        <v>3539</v>
      </c>
      <c r="J4452" t="s">
        <v>31907</v>
      </c>
      <c r="K4452" t="s">
        <v>41213</v>
      </c>
      <c r="M4452" t="s">
        <v>43090</v>
      </c>
      <c r="N4452" t="s">
        <v>45095</v>
      </c>
      <c r="O4452" t="s">
        <v>45096</v>
      </c>
      <c r="P4452">
        <v>0</v>
      </c>
      <c r="Q4452">
        <v>0</v>
      </c>
      <c r="R4452" t="s">
        <v>45101</v>
      </c>
      <c r="S4452" t="s">
        <v>45231</v>
      </c>
      <c r="T4452" t="s">
        <v>47124</v>
      </c>
      <c r="U4452" t="s">
        <v>51158</v>
      </c>
      <c r="W4452" t="s">
        <v>43090</v>
      </c>
      <c r="X4452" t="s">
        <v>45102</v>
      </c>
    </row>
    <row r="4453" spans="1:24">
      <c r="A4453">
        <f>HYPERLINK("https://www.philgeps.gov.ph/GEPSNONPILOT/Tender/SplashBidNoticeAbstractUI.aspx?menuIndex=3&amp;refID=7042444&amp;Result=3","7042444")</f>
        <v>0</v>
      </c>
      <c r="B4453" t="s">
        <v>469</v>
      </c>
      <c r="C4453" t="s">
        <v>7450</v>
      </c>
      <c r="D4453" t="s">
        <v>18091</v>
      </c>
      <c r="E4453" t="s">
        <v>22093</v>
      </c>
      <c r="F4453" t="s">
        <v>31574</v>
      </c>
      <c r="G4453" t="s">
        <v>31581</v>
      </c>
      <c r="H4453" t="s">
        <v>31590</v>
      </c>
      <c r="I4453" t="s">
        <v>31631</v>
      </c>
      <c r="J4453" t="s">
        <v>34646</v>
      </c>
      <c r="K4453" t="s">
        <v>41196</v>
      </c>
      <c r="M4453" t="s">
        <v>41963</v>
      </c>
      <c r="N4453" t="s">
        <v>45095</v>
      </c>
      <c r="O4453" t="s">
        <v>45096</v>
      </c>
      <c r="P4453">
        <v>0</v>
      </c>
      <c r="Q4453">
        <v>0</v>
      </c>
      <c r="R4453" t="s">
        <v>45101</v>
      </c>
      <c r="S4453" t="s">
        <v>45231</v>
      </c>
      <c r="T4453" t="s">
        <v>47178</v>
      </c>
      <c r="U4453" t="s">
        <v>51243</v>
      </c>
      <c r="W4453" t="s">
        <v>41963</v>
      </c>
      <c r="X4453" t="s">
        <v>45102</v>
      </c>
    </row>
    <row r="4454" spans="1:24">
      <c r="A4454">
        <f>HYPERLINK("https://www.philgeps.gov.ph/GEPSNONPILOT/Tender/SplashBidNoticeAbstractUI.aspx?menuIndex=3&amp;refID=7042452&amp;Result=3","7042452")</f>
        <v>0</v>
      </c>
      <c r="B4454" t="s">
        <v>1504</v>
      </c>
      <c r="C4454" t="s">
        <v>7451</v>
      </c>
      <c r="D4454" t="s">
        <v>18043</v>
      </c>
      <c r="E4454" t="s">
        <v>22094</v>
      </c>
      <c r="F4454" t="s">
        <v>31574</v>
      </c>
      <c r="G4454" t="s">
        <v>31581</v>
      </c>
      <c r="H4454" t="s">
        <v>31590</v>
      </c>
      <c r="I4454" t="s">
        <v>31602</v>
      </c>
      <c r="J4454" t="s">
        <v>34647</v>
      </c>
      <c r="K4454" t="s">
        <v>41213</v>
      </c>
      <c r="M4454" t="s">
        <v>43090</v>
      </c>
      <c r="N4454" t="s">
        <v>45095</v>
      </c>
      <c r="O4454" t="s">
        <v>45096</v>
      </c>
      <c r="P4454">
        <v>0</v>
      </c>
      <c r="Q4454">
        <v>0</v>
      </c>
      <c r="R4454" t="s">
        <v>45101</v>
      </c>
      <c r="S4454" t="s">
        <v>45231</v>
      </c>
      <c r="T4454" t="s">
        <v>47124</v>
      </c>
      <c r="U4454" t="s">
        <v>51158</v>
      </c>
      <c r="W4454" t="s">
        <v>43090</v>
      </c>
      <c r="X4454" t="s">
        <v>45102</v>
      </c>
    </row>
    <row r="4455" spans="1:24">
      <c r="A4455">
        <f>HYPERLINK("https://www.philgeps.gov.ph/GEPSNONPILOT/Tender/SplashBidNoticeAbstractUI.aspx?menuIndex=3&amp;refID=7042424&amp;Result=3","7042424")</f>
        <v>0</v>
      </c>
      <c r="B4455" t="s">
        <v>1520</v>
      </c>
      <c r="C4455" t="s">
        <v>7452</v>
      </c>
      <c r="E4455" t="s">
        <v>22095</v>
      </c>
      <c r="F4455" t="s">
        <v>31574</v>
      </c>
      <c r="G4455" t="s">
        <v>31582</v>
      </c>
      <c r="H4455" t="s">
        <v>31591</v>
      </c>
      <c r="I4455" t="s">
        <v>8822</v>
      </c>
      <c r="J4455" t="s">
        <v>34648</v>
      </c>
      <c r="K4455" t="s">
        <v>41184</v>
      </c>
      <c r="M4455" t="s">
        <v>43111</v>
      </c>
      <c r="N4455" t="s">
        <v>45095</v>
      </c>
      <c r="O4455" t="s">
        <v>45096</v>
      </c>
      <c r="P4455">
        <v>0</v>
      </c>
      <c r="Q4455">
        <v>11</v>
      </c>
      <c r="R4455" t="s">
        <v>45101</v>
      </c>
      <c r="S4455" t="s">
        <v>45231</v>
      </c>
      <c r="T4455" t="s">
        <v>47100</v>
      </c>
      <c r="U4455" t="s">
        <v>51225</v>
      </c>
      <c r="W4455" t="s">
        <v>61704</v>
      </c>
      <c r="X4455" t="s">
        <v>45102</v>
      </c>
    </row>
    <row r="4456" spans="1:24">
      <c r="A4456">
        <f>HYPERLINK("https://www.philgeps.gov.ph/GEPSNONPILOT/Tender/SplashBidNoticeAbstractUI.aspx?menuIndex=3&amp;refID=7042440&amp;Result=3","7042440")</f>
        <v>0</v>
      </c>
      <c r="B4456" t="s">
        <v>67</v>
      </c>
      <c r="C4456" t="s">
        <v>7453</v>
      </c>
      <c r="D4456" t="s">
        <v>18027</v>
      </c>
      <c r="E4456" t="s">
        <v>22096</v>
      </c>
      <c r="F4456" t="s">
        <v>31574</v>
      </c>
      <c r="G4456" t="s">
        <v>31582</v>
      </c>
      <c r="H4456" t="s">
        <v>31591</v>
      </c>
      <c r="I4456" t="s">
        <v>8822</v>
      </c>
      <c r="J4456" t="s">
        <v>34649</v>
      </c>
      <c r="K4456" t="s">
        <v>41186</v>
      </c>
      <c r="M4456" t="s">
        <v>42902</v>
      </c>
      <c r="N4456" t="s">
        <v>45095</v>
      </c>
      <c r="O4456" t="s">
        <v>45096</v>
      </c>
      <c r="P4456">
        <v>0</v>
      </c>
      <c r="Q4456">
        <v>0</v>
      </c>
      <c r="R4456" t="s">
        <v>45101</v>
      </c>
      <c r="S4456" t="s">
        <v>45231</v>
      </c>
      <c r="T4456" t="s">
        <v>46945</v>
      </c>
      <c r="U4456" t="s">
        <v>51244</v>
      </c>
      <c r="W4456" t="s">
        <v>42902</v>
      </c>
      <c r="X4456" t="s">
        <v>45102</v>
      </c>
    </row>
    <row r="4457" spans="1:24">
      <c r="A4457">
        <f>HYPERLINK("https://www.philgeps.gov.ph/GEPSNONPILOT/Tender/SplashBidNoticeAbstractUI.aspx?menuIndex=3&amp;refID=7042450&amp;Result=3","7042450")</f>
        <v>0</v>
      </c>
      <c r="B4457" t="s">
        <v>1376</v>
      </c>
      <c r="C4457" t="s">
        <v>7419</v>
      </c>
      <c r="E4457" t="s">
        <v>22097</v>
      </c>
      <c r="F4457" t="s">
        <v>31574</v>
      </c>
      <c r="G4457" t="s">
        <v>31581</v>
      </c>
      <c r="H4457" t="s">
        <v>31590</v>
      </c>
      <c r="I4457" t="s">
        <v>31623</v>
      </c>
      <c r="J4457" t="s">
        <v>31930</v>
      </c>
      <c r="K4457" t="s">
        <v>41184</v>
      </c>
      <c r="M4457" t="s">
        <v>42950</v>
      </c>
      <c r="N4457" t="s">
        <v>45095</v>
      </c>
      <c r="O4457" t="s">
        <v>45096</v>
      </c>
      <c r="P4457">
        <v>0</v>
      </c>
      <c r="Q4457">
        <v>0</v>
      </c>
      <c r="R4457" t="s">
        <v>45101</v>
      </c>
      <c r="S4457" t="s">
        <v>45231</v>
      </c>
      <c r="T4457" t="s">
        <v>46957</v>
      </c>
      <c r="U4457" t="s">
        <v>51245</v>
      </c>
      <c r="W4457" t="s">
        <v>42950</v>
      </c>
      <c r="X4457" t="s">
        <v>45102</v>
      </c>
    </row>
    <row r="4458" spans="1:24">
      <c r="A4458">
        <f>HYPERLINK("https://www.philgeps.gov.ph/GEPSNONPILOT/Tender/SplashBidNoticeAbstractUI.aspx?menuIndex=3&amp;refID=7042432&amp;Result=3","7042432")</f>
        <v>0</v>
      </c>
      <c r="B4458" t="s">
        <v>1525</v>
      </c>
      <c r="C4458" t="s">
        <v>7454</v>
      </c>
      <c r="D4458" t="s">
        <v>18022</v>
      </c>
      <c r="E4458" t="s">
        <v>22098</v>
      </c>
      <c r="F4458" t="s">
        <v>31574</v>
      </c>
      <c r="G4458" t="s">
        <v>31581</v>
      </c>
      <c r="H4458" t="s">
        <v>31590</v>
      </c>
      <c r="I4458" t="s">
        <v>31623</v>
      </c>
      <c r="J4458" t="s">
        <v>31789</v>
      </c>
      <c r="K4458" t="s">
        <v>41184</v>
      </c>
      <c r="M4458" t="s">
        <v>43116</v>
      </c>
      <c r="N4458" t="s">
        <v>45095</v>
      </c>
      <c r="O4458" t="s">
        <v>45096</v>
      </c>
      <c r="P4458">
        <v>0</v>
      </c>
      <c r="Q4458">
        <v>0</v>
      </c>
      <c r="R4458" t="s">
        <v>45101</v>
      </c>
      <c r="S4458" t="s">
        <v>45231</v>
      </c>
      <c r="T4458" t="s">
        <v>46904</v>
      </c>
      <c r="U4458" t="s">
        <v>51246</v>
      </c>
      <c r="W4458" t="s">
        <v>43116</v>
      </c>
      <c r="X4458" t="s">
        <v>45102</v>
      </c>
    </row>
    <row r="4459" spans="1:24">
      <c r="A4459">
        <f>HYPERLINK("https://www.philgeps.gov.ph/GEPSNONPILOT/Tender/SplashBidNoticeAbstractUI.aspx?menuIndex=3&amp;refID=7042447&amp;Result=3","7042447")</f>
        <v>0</v>
      </c>
      <c r="B4459" t="s">
        <v>1415</v>
      </c>
      <c r="C4459" t="s">
        <v>7455</v>
      </c>
      <c r="D4459" t="s">
        <v>18039</v>
      </c>
      <c r="E4459" t="s">
        <v>19061</v>
      </c>
      <c r="F4459" t="s">
        <v>31574</v>
      </c>
      <c r="G4459" t="s">
        <v>31581</v>
      </c>
      <c r="H4459" t="s">
        <v>31590</v>
      </c>
      <c r="I4459" t="s">
        <v>5717</v>
      </c>
      <c r="J4459" t="s">
        <v>31782</v>
      </c>
      <c r="K4459" t="s">
        <v>41184</v>
      </c>
      <c r="M4459" t="s">
        <v>42991</v>
      </c>
      <c r="N4459" t="s">
        <v>45095</v>
      </c>
      <c r="O4459" t="s">
        <v>45096</v>
      </c>
      <c r="P4459">
        <v>0</v>
      </c>
      <c r="Q4459">
        <v>4</v>
      </c>
      <c r="R4459" t="s">
        <v>45101</v>
      </c>
      <c r="S4459" t="s">
        <v>45231</v>
      </c>
      <c r="T4459" t="s">
        <v>47125</v>
      </c>
      <c r="U4459" t="s">
        <v>51247</v>
      </c>
      <c r="W4459" t="s">
        <v>42991</v>
      </c>
      <c r="X4459" t="s">
        <v>45102</v>
      </c>
    </row>
    <row r="4460" spans="1:24">
      <c r="A4460">
        <f>HYPERLINK("https://www.philgeps.gov.ph/GEPSNONPILOT/Tender/SplashBidNoticeAbstractUI.aspx?menuIndex=3&amp;refID=7042442&amp;Result=3","7042442")</f>
        <v>0</v>
      </c>
      <c r="B4460" t="s">
        <v>533</v>
      </c>
      <c r="C4460" t="s">
        <v>7456</v>
      </c>
      <c r="D4460" t="s">
        <v>18075</v>
      </c>
      <c r="E4460" t="s">
        <v>22099</v>
      </c>
      <c r="F4460" t="s">
        <v>31574</v>
      </c>
      <c r="G4460" t="s">
        <v>31581</v>
      </c>
      <c r="H4460" t="s">
        <v>31591</v>
      </c>
      <c r="I4460" t="s">
        <v>8822</v>
      </c>
      <c r="J4460" t="s">
        <v>31935</v>
      </c>
      <c r="K4460" t="s">
        <v>41317</v>
      </c>
      <c r="M4460" t="s">
        <v>43099</v>
      </c>
      <c r="N4460" t="s">
        <v>45095</v>
      </c>
      <c r="O4460" t="s">
        <v>45096</v>
      </c>
      <c r="P4460">
        <v>0</v>
      </c>
      <c r="Q4460">
        <v>0</v>
      </c>
      <c r="R4460" t="s">
        <v>45101</v>
      </c>
      <c r="S4460" t="s">
        <v>45231</v>
      </c>
      <c r="T4460" t="s">
        <v>47002</v>
      </c>
      <c r="U4460" t="s">
        <v>50835</v>
      </c>
      <c r="W4460" t="s">
        <v>42964</v>
      </c>
      <c r="X4460" t="s">
        <v>45102</v>
      </c>
    </row>
    <row r="4461" spans="1:24">
      <c r="A4461">
        <f>HYPERLINK("https://www.philgeps.gov.ph/GEPSNONPILOT/Tender/SplashBidNoticeAbstractUI.aspx?menuIndex=3&amp;refID=7042463&amp;Result=3","7042463")</f>
        <v>0</v>
      </c>
      <c r="B4461" t="s">
        <v>660</v>
      </c>
      <c r="C4461" t="s">
        <v>7457</v>
      </c>
      <c r="D4461" t="s">
        <v>18022</v>
      </c>
      <c r="E4461" t="s">
        <v>22100</v>
      </c>
      <c r="F4461" t="s">
        <v>31574</v>
      </c>
      <c r="G4461" t="s">
        <v>31581</v>
      </c>
      <c r="H4461" t="s">
        <v>31590</v>
      </c>
      <c r="I4461" t="s">
        <v>31621</v>
      </c>
      <c r="J4461" t="s">
        <v>34650</v>
      </c>
      <c r="K4461" t="s">
        <v>41184</v>
      </c>
      <c r="M4461" t="s">
        <v>42165</v>
      </c>
      <c r="N4461" t="s">
        <v>45095</v>
      </c>
      <c r="O4461" t="s">
        <v>45096</v>
      </c>
      <c r="P4461">
        <v>0</v>
      </c>
      <c r="Q4461">
        <v>22</v>
      </c>
      <c r="R4461" t="s">
        <v>45101</v>
      </c>
      <c r="S4461" t="s">
        <v>45231</v>
      </c>
      <c r="T4461" t="s">
        <v>47158</v>
      </c>
      <c r="U4461" t="s">
        <v>51248</v>
      </c>
      <c r="W4461" t="s">
        <v>42165</v>
      </c>
      <c r="X4461" t="s">
        <v>45102</v>
      </c>
    </row>
    <row r="4462" spans="1:24">
      <c r="A4462">
        <f>HYPERLINK("https://www.philgeps.gov.ph/GEPSNONPILOT/Tender/SplashBidNoticeAbstractUI.aspx?menuIndex=3&amp;refID=7042455&amp;Result=3","7042455")</f>
        <v>0</v>
      </c>
      <c r="B4462" t="s">
        <v>1526</v>
      </c>
      <c r="C4462" t="s">
        <v>7458</v>
      </c>
      <c r="D4462" t="s">
        <v>18022</v>
      </c>
      <c r="E4462" t="s">
        <v>22101</v>
      </c>
      <c r="F4462" t="s">
        <v>31574</v>
      </c>
      <c r="G4462" t="s">
        <v>31583</v>
      </c>
      <c r="H4462" t="s">
        <v>31590</v>
      </c>
      <c r="I4462" t="s">
        <v>31594</v>
      </c>
      <c r="J4462" t="s">
        <v>31830</v>
      </c>
      <c r="K4462" t="s">
        <v>41196</v>
      </c>
      <c r="M4462" t="s">
        <v>43117</v>
      </c>
      <c r="N4462" t="s">
        <v>45095</v>
      </c>
      <c r="O4462" t="s">
        <v>45096</v>
      </c>
      <c r="P4462">
        <v>0</v>
      </c>
      <c r="Q4462">
        <v>3</v>
      </c>
      <c r="R4462" t="s">
        <v>45101</v>
      </c>
      <c r="S4462" t="s">
        <v>45231</v>
      </c>
      <c r="T4462" t="s">
        <v>47067</v>
      </c>
      <c r="U4462" t="s">
        <v>51249</v>
      </c>
      <c r="V4462" t="s">
        <v>60321</v>
      </c>
      <c r="W4462" t="s">
        <v>61705</v>
      </c>
      <c r="X4462" t="s">
        <v>45102</v>
      </c>
    </row>
    <row r="4463" spans="1:24">
      <c r="A4463">
        <f>HYPERLINK("https://www.philgeps.gov.ph/GEPSNONPILOT/Tender/SplashBidNoticeAbstractUI.aspx?menuIndex=3&amp;refID=7042462&amp;Result=3","7042462")</f>
        <v>0</v>
      </c>
      <c r="B4463" t="s">
        <v>1477</v>
      </c>
      <c r="C4463" t="s">
        <v>7459</v>
      </c>
      <c r="E4463" t="s">
        <v>22102</v>
      </c>
      <c r="F4463" t="s">
        <v>31574</v>
      </c>
      <c r="G4463" t="s">
        <v>31581</v>
      </c>
      <c r="H4463" t="s">
        <v>31591</v>
      </c>
      <c r="I4463" t="s">
        <v>8822</v>
      </c>
      <c r="J4463" t="s">
        <v>34651</v>
      </c>
      <c r="K4463" t="s">
        <v>41184</v>
      </c>
      <c r="M4463" t="s">
        <v>43059</v>
      </c>
      <c r="N4463" t="s">
        <v>45095</v>
      </c>
      <c r="O4463" t="s">
        <v>45096</v>
      </c>
      <c r="P4463">
        <v>0</v>
      </c>
      <c r="Q4463">
        <v>1</v>
      </c>
      <c r="R4463" t="s">
        <v>45101</v>
      </c>
      <c r="S4463" t="s">
        <v>45231</v>
      </c>
      <c r="T4463" t="s">
        <v>46973</v>
      </c>
      <c r="U4463" t="s">
        <v>51250</v>
      </c>
      <c r="W4463" t="s">
        <v>43059</v>
      </c>
      <c r="X4463" t="s">
        <v>45102</v>
      </c>
    </row>
    <row r="4464" spans="1:24">
      <c r="A4464">
        <f>HYPERLINK("https://www.philgeps.gov.ph/GEPSNONPILOT/Tender/SplashBidNoticeAbstractUI.aspx?menuIndex=3&amp;refID=7042461&amp;Result=3","7042461")</f>
        <v>0</v>
      </c>
      <c r="B4464" t="s">
        <v>115</v>
      </c>
      <c r="C4464" t="s">
        <v>7460</v>
      </c>
      <c r="D4464" t="s">
        <v>18040</v>
      </c>
      <c r="E4464" t="s">
        <v>22103</v>
      </c>
      <c r="F4464" t="s">
        <v>31574</v>
      </c>
      <c r="G4464" t="s">
        <v>31582</v>
      </c>
      <c r="H4464" t="s">
        <v>31591</v>
      </c>
      <c r="I4464" t="s">
        <v>8822</v>
      </c>
      <c r="J4464" t="s">
        <v>34652</v>
      </c>
      <c r="K4464" t="s">
        <v>41192</v>
      </c>
      <c r="M4464" t="s">
        <v>41599</v>
      </c>
      <c r="N4464" t="s">
        <v>45095</v>
      </c>
      <c r="O4464" t="s">
        <v>45096</v>
      </c>
      <c r="P4464">
        <v>0</v>
      </c>
      <c r="Q4464">
        <v>0</v>
      </c>
      <c r="R4464" t="s">
        <v>45101</v>
      </c>
      <c r="S4464" t="s">
        <v>45231</v>
      </c>
      <c r="T4464" t="s">
        <v>46949</v>
      </c>
      <c r="U4464" t="s">
        <v>51251</v>
      </c>
      <c r="V4464" t="s">
        <v>60322</v>
      </c>
      <c r="W4464" t="s">
        <v>41599</v>
      </c>
      <c r="X4464" t="s">
        <v>45102</v>
      </c>
    </row>
    <row r="4465" spans="1:24">
      <c r="A4465">
        <f>HYPERLINK("https://www.philgeps.gov.ph/GEPSNONPILOT/Tender/SplashBidNoticeAbstractUI.aspx?menuIndex=3&amp;refID=7042448&amp;Result=3","7042448")</f>
        <v>0</v>
      </c>
      <c r="B4465" t="s">
        <v>1527</v>
      </c>
      <c r="C4465" t="s">
        <v>7461</v>
      </c>
      <c r="D4465" t="s">
        <v>18048</v>
      </c>
      <c r="E4465" t="s">
        <v>22104</v>
      </c>
      <c r="F4465" t="s">
        <v>31574</v>
      </c>
      <c r="G4465" t="s">
        <v>31584</v>
      </c>
      <c r="H4465" t="s">
        <v>31590</v>
      </c>
      <c r="I4465" t="s">
        <v>4327</v>
      </c>
      <c r="J4465" t="s">
        <v>32562</v>
      </c>
      <c r="K4465" t="s">
        <v>41211</v>
      </c>
      <c r="M4465" t="s">
        <v>43118</v>
      </c>
      <c r="N4465" t="s">
        <v>45095</v>
      </c>
      <c r="O4465" t="s">
        <v>45096</v>
      </c>
      <c r="P4465">
        <v>0</v>
      </c>
      <c r="Q4465">
        <v>0</v>
      </c>
      <c r="R4465" t="s">
        <v>45101</v>
      </c>
      <c r="S4465" t="s">
        <v>45231</v>
      </c>
      <c r="T4465" t="s">
        <v>46904</v>
      </c>
      <c r="U4465" t="s">
        <v>51252</v>
      </c>
      <c r="W4465" t="s">
        <v>43118</v>
      </c>
      <c r="X4465" t="s">
        <v>45102</v>
      </c>
    </row>
    <row r="4466" spans="1:24">
      <c r="A4466">
        <f>HYPERLINK("https://www.philgeps.gov.ph/GEPSNONPILOT/Tender/SplashBidNoticeAbstractUI.aspx?menuIndex=3&amp;refID=7042486&amp;Result=3","7042486")</f>
        <v>0</v>
      </c>
      <c r="B4466" t="s">
        <v>1528</v>
      </c>
      <c r="C4466" t="s">
        <v>7462</v>
      </c>
      <c r="D4466" t="s">
        <v>18022</v>
      </c>
      <c r="E4466" t="s">
        <v>22105</v>
      </c>
      <c r="F4466" t="s">
        <v>31574</v>
      </c>
      <c r="G4466" t="s">
        <v>31583</v>
      </c>
      <c r="H4466" t="s">
        <v>31590</v>
      </c>
      <c r="I4466" t="s">
        <v>4046</v>
      </c>
      <c r="J4466" t="s">
        <v>34653</v>
      </c>
      <c r="K4466" t="s">
        <v>41193</v>
      </c>
      <c r="M4466" t="s">
        <v>43119</v>
      </c>
      <c r="N4466" t="s">
        <v>45095</v>
      </c>
      <c r="O4466" t="s">
        <v>45096</v>
      </c>
      <c r="P4466">
        <v>0</v>
      </c>
      <c r="Q4466">
        <v>0</v>
      </c>
      <c r="R4466" t="s">
        <v>45101</v>
      </c>
      <c r="S4466" t="s">
        <v>45231</v>
      </c>
      <c r="T4466" t="s">
        <v>46985</v>
      </c>
      <c r="U4466" t="s">
        <v>51253</v>
      </c>
      <c r="W4466" t="s">
        <v>43119</v>
      </c>
      <c r="X4466" t="s">
        <v>45102</v>
      </c>
    </row>
    <row r="4467" spans="1:24">
      <c r="A4467">
        <f>HYPERLINK("https://www.philgeps.gov.ph/GEPSNONPILOT/Tender/SplashBidNoticeAbstractUI.aspx?menuIndex=3&amp;refID=7042484&amp;Result=3","7042484")</f>
        <v>0</v>
      </c>
      <c r="B4467" t="s">
        <v>1529</v>
      </c>
      <c r="C4467" t="s">
        <v>6692</v>
      </c>
      <c r="D4467" t="s">
        <v>18087</v>
      </c>
      <c r="E4467" t="s">
        <v>22106</v>
      </c>
      <c r="F4467" t="s">
        <v>31574</v>
      </c>
      <c r="G4467" t="s">
        <v>31583</v>
      </c>
      <c r="H4467" t="s">
        <v>31590</v>
      </c>
      <c r="I4467" t="s">
        <v>8258</v>
      </c>
      <c r="J4467" t="s">
        <v>34654</v>
      </c>
      <c r="K4467" t="s">
        <v>41190</v>
      </c>
      <c r="M4467" t="s">
        <v>43120</v>
      </c>
      <c r="N4467" t="s">
        <v>45095</v>
      </c>
      <c r="O4467" t="s">
        <v>45096</v>
      </c>
      <c r="P4467">
        <v>0</v>
      </c>
      <c r="Q4467">
        <v>3</v>
      </c>
      <c r="R4467" t="s">
        <v>45101</v>
      </c>
      <c r="S4467" t="s">
        <v>45231</v>
      </c>
      <c r="T4467" t="s">
        <v>46963</v>
      </c>
      <c r="U4467" t="s">
        <v>51254</v>
      </c>
      <c r="W4467" t="s">
        <v>43120</v>
      </c>
      <c r="X4467" t="s">
        <v>45102</v>
      </c>
    </row>
    <row r="4468" spans="1:24">
      <c r="A4468">
        <f>HYPERLINK("https://www.philgeps.gov.ph/GEPSNONPILOT/Tender/SplashBidNoticeAbstractUI.aspx?menuIndex=3&amp;refID=7042482&amp;Result=3","7042482")</f>
        <v>0</v>
      </c>
      <c r="B4468" t="s">
        <v>1523</v>
      </c>
      <c r="C4468" t="s">
        <v>7463</v>
      </c>
      <c r="D4468" t="s">
        <v>18035</v>
      </c>
      <c r="E4468" t="s">
        <v>22107</v>
      </c>
      <c r="F4468" t="s">
        <v>31574</v>
      </c>
      <c r="G4468" t="s">
        <v>31583</v>
      </c>
      <c r="H4468" t="s">
        <v>31590</v>
      </c>
      <c r="I4468" t="s">
        <v>6800</v>
      </c>
      <c r="J4468" t="s">
        <v>34655</v>
      </c>
      <c r="K4468" t="s">
        <v>41223</v>
      </c>
      <c r="M4468" t="s">
        <v>43114</v>
      </c>
      <c r="N4468" t="s">
        <v>45095</v>
      </c>
      <c r="O4468" t="s">
        <v>45096</v>
      </c>
      <c r="P4468">
        <v>0</v>
      </c>
      <c r="Q4468">
        <v>1</v>
      </c>
      <c r="R4468" t="s">
        <v>45101</v>
      </c>
      <c r="S4468" t="s">
        <v>45231</v>
      </c>
      <c r="T4468" t="s">
        <v>47067</v>
      </c>
      <c r="U4468" t="s">
        <v>51255</v>
      </c>
      <c r="V4468" t="s">
        <v>60318</v>
      </c>
      <c r="W4468" t="s">
        <v>43114</v>
      </c>
      <c r="X4468" t="s">
        <v>45102</v>
      </c>
    </row>
    <row r="4469" spans="1:24">
      <c r="A4469">
        <f>HYPERLINK("https://www.philgeps.gov.ph/GEPSNONPILOT/Tender/SplashBidNoticeAbstractUI.aspx?menuIndex=3&amp;refID=7042472&amp;Result=3","7042472")</f>
        <v>0</v>
      </c>
      <c r="B4469" t="s">
        <v>1530</v>
      </c>
      <c r="C4469" t="s">
        <v>3993</v>
      </c>
      <c r="D4469" t="s">
        <v>18042</v>
      </c>
      <c r="E4469" t="s">
        <v>22108</v>
      </c>
      <c r="F4469" t="s">
        <v>31574</v>
      </c>
      <c r="G4469" t="s">
        <v>31581</v>
      </c>
      <c r="H4469" t="s">
        <v>31590</v>
      </c>
      <c r="I4469" t="s">
        <v>6800</v>
      </c>
      <c r="J4469" t="s">
        <v>32012</v>
      </c>
      <c r="K4469" t="s">
        <v>41190</v>
      </c>
      <c r="M4469" t="s">
        <v>43121</v>
      </c>
      <c r="N4469" t="s">
        <v>45095</v>
      </c>
      <c r="O4469" t="s">
        <v>45096</v>
      </c>
      <c r="P4469">
        <v>0</v>
      </c>
      <c r="Q4469">
        <v>0</v>
      </c>
      <c r="R4469" t="s">
        <v>45101</v>
      </c>
      <c r="S4469" t="s">
        <v>45231</v>
      </c>
      <c r="T4469" t="s">
        <v>46952</v>
      </c>
      <c r="U4469" t="s">
        <v>47721</v>
      </c>
      <c r="W4469" t="s">
        <v>43121</v>
      </c>
      <c r="X4469" t="s">
        <v>45102</v>
      </c>
    </row>
    <row r="4470" spans="1:24">
      <c r="A4470">
        <f>HYPERLINK("https://www.philgeps.gov.ph/GEPSNONPILOT/Tender/SplashBidNoticeAbstractUI.aspx?menuIndex=3&amp;refID=7042457&amp;Result=3","7042457")</f>
        <v>0</v>
      </c>
      <c r="B4470" t="s">
        <v>309</v>
      </c>
      <c r="C4470" t="s">
        <v>7464</v>
      </c>
      <c r="D4470" t="s">
        <v>18074</v>
      </c>
      <c r="E4470" t="s">
        <v>22109</v>
      </c>
      <c r="F4470" t="s">
        <v>31574</v>
      </c>
      <c r="G4470" t="s">
        <v>31582</v>
      </c>
      <c r="H4470" t="s">
        <v>31590</v>
      </c>
      <c r="I4470" t="s">
        <v>31602</v>
      </c>
      <c r="J4470" t="s">
        <v>34656</v>
      </c>
      <c r="K4470" t="s">
        <v>41184</v>
      </c>
      <c r="M4470" t="s">
        <v>41795</v>
      </c>
      <c r="N4470" t="s">
        <v>45095</v>
      </c>
      <c r="O4470" t="s">
        <v>45096</v>
      </c>
      <c r="P4470">
        <v>0</v>
      </c>
      <c r="Q4470">
        <v>0</v>
      </c>
      <c r="R4470" t="s">
        <v>45101</v>
      </c>
      <c r="S4470" t="s">
        <v>45231</v>
      </c>
      <c r="T4470" t="s">
        <v>46932</v>
      </c>
      <c r="U4470" t="s">
        <v>51256</v>
      </c>
      <c r="W4470" t="s">
        <v>41795</v>
      </c>
      <c r="X4470" t="s">
        <v>45102</v>
      </c>
    </row>
    <row r="4471" spans="1:24">
      <c r="A4471">
        <f>HYPERLINK("https://www.philgeps.gov.ph/GEPSNONPILOT/Tender/SplashBidNoticeAbstractUI.aspx?menuIndex=3&amp;refID=7042466&amp;Result=3","7042466")</f>
        <v>0</v>
      </c>
      <c r="B4471" t="s">
        <v>395</v>
      </c>
      <c r="C4471" t="s">
        <v>7465</v>
      </c>
      <c r="D4471" t="s">
        <v>18050</v>
      </c>
      <c r="E4471" t="s">
        <v>22110</v>
      </c>
      <c r="F4471" t="s">
        <v>31574</v>
      </c>
      <c r="G4471" t="s">
        <v>31582</v>
      </c>
      <c r="H4471" t="s">
        <v>31590</v>
      </c>
      <c r="I4471" t="s">
        <v>7185</v>
      </c>
      <c r="J4471" t="s">
        <v>34657</v>
      </c>
      <c r="K4471" t="s">
        <v>41196</v>
      </c>
      <c r="M4471" t="s">
        <v>41886</v>
      </c>
      <c r="N4471" t="s">
        <v>45095</v>
      </c>
      <c r="O4471" t="s">
        <v>45096</v>
      </c>
      <c r="P4471">
        <v>0</v>
      </c>
      <c r="Q4471">
        <v>2</v>
      </c>
      <c r="R4471" t="s">
        <v>45101</v>
      </c>
      <c r="S4471" t="s">
        <v>45231</v>
      </c>
      <c r="T4471" t="s">
        <v>47196</v>
      </c>
      <c r="U4471" t="s">
        <v>51257</v>
      </c>
      <c r="W4471" t="s">
        <v>41886</v>
      </c>
      <c r="X4471" t="s">
        <v>45102</v>
      </c>
    </row>
    <row r="4472" spans="1:24">
      <c r="A4472">
        <f>HYPERLINK("https://www.philgeps.gov.ph/GEPSNONPILOT/Tender/SplashBidNoticeAbstractUI.aspx?menuIndex=3&amp;refID=7042477&amp;Result=3","7042477")</f>
        <v>0</v>
      </c>
      <c r="B4472" t="s">
        <v>1528</v>
      </c>
      <c r="C4472" t="s">
        <v>7466</v>
      </c>
      <c r="D4472" t="s">
        <v>18022</v>
      </c>
      <c r="E4472" t="s">
        <v>22111</v>
      </c>
      <c r="F4472" t="s">
        <v>31574</v>
      </c>
      <c r="G4472" t="s">
        <v>31583</v>
      </c>
      <c r="H4472" t="s">
        <v>31590</v>
      </c>
      <c r="I4472" t="s">
        <v>6800</v>
      </c>
      <c r="J4472" t="s">
        <v>34658</v>
      </c>
      <c r="K4472" t="s">
        <v>41193</v>
      </c>
      <c r="M4472" t="s">
        <v>43119</v>
      </c>
      <c r="N4472" t="s">
        <v>45095</v>
      </c>
      <c r="O4472" t="s">
        <v>45096</v>
      </c>
      <c r="P4472">
        <v>0</v>
      </c>
      <c r="Q4472">
        <v>1</v>
      </c>
      <c r="R4472" t="s">
        <v>45101</v>
      </c>
      <c r="S4472" t="s">
        <v>45231</v>
      </c>
      <c r="T4472" t="s">
        <v>46985</v>
      </c>
      <c r="U4472" t="s">
        <v>51258</v>
      </c>
      <c r="W4472" t="s">
        <v>43119</v>
      </c>
      <c r="X4472" t="s">
        <v>45102</v>
      </c>
    </row>
    <row r="4473" spans="1:24">
      <c r="A4473">
        <f>HYPERLINK("https://www.philgeps.gov.ph/GEPSNONPILOT/Tender/SplashBidNoticeAbstractUI.aspx?menuIndex=3&amp;refID=7042483&amp;Result=3","7042483")</f>
        <v>0</v>
      </c>
      <c r="B4473" t="s">
        <v>1531</v>
      </c>
      <c r="C4473" t="s">
        <v>7467</v>
      </c>
      <c r="D4473" t="s">
        <v>18044</v>
      </c>
      <c r="E4473" t="s">
        <v>22112</v>
      </c>
      <c r="F4473" t="s">
        <v>31574</v>
      </c>
      <c r="G4473" t="s">
        <v>31582</v>
      </c>
      <c r="H4473" t="s">
        <v>31591</v>
      </c>
      <c r="I4473" t="s">
        <v>8822</v>
      </c>
      <c r="J4473" t="s">
        <v>34659</v>
      </c>
      <c r="K4473" t="s">
        <v>41189</v>
      </c>
      <c r="M4473" t="s">
        <v>43122</v>
      </c>
      <c r="N4473" t="s">
        <v>45095</v>
      </c>
      <c r="O4473" t="s">
        <v>45096</v>
      </c>
      <c r="P4473">
        <v>0</v>
      </c>
      <c r="Q4473">
        <v>0</v>
      </c>
      <c r="R4473" t="s">
        <v>45101</v>
      </c>
      <c r="S4473" t="s">
        <v>45231</v>
      </c>
      <c r="T4473" t="s">
        <v>46962</v>
      </c>
      <c r="U4473" t="s">
        <v>51259</v>
      </c>
      <c r="V4473" t="s">
        <v>60323</v>
      </c>
      <c r="W4473" t="s">
        <v>43122</v>
      </c>
      <c r="X4473" t="s">
        <v>45102</v>
      </c>
    </row>
    <row r="4474" spans="1:24">
      <c r="A4474">
        <f>HYPERLINK("https://www.philgeps.gov.ph/GEPSNONPILOT/Tender/SplashBidNoticeAbstractUI.aspx?menuIndex=3&amp;refID=7042465&amp;Result=3","7042465")</f>
        <v>0</v>
      </c>
      <c r="B4474" t="s">
        <v>1476</v>
      </c>
      <c r="C4474" t="s">
        <v>7468</v>
      </c>
      <c r="D4474" t="s">
        <v>18022</v>
      </c>
      <c r="E4474" t="s">
        <v>22113</v>
      </c>
      <c r="F4474" t="s">
        <v>31574</v>
      </c>
      <c r="G4474" t="s">
        <v>31581</v>
      </c>
      <c r="H4474" t="s">
        <v>31590</v>
      </c>
      <c r="I4474" t="s">
        <v>31603</v>
      </c>
      <c r="J4474" t="s">
        <v>34660</v>
      </c>
      <c r="K4474" t="s">
        <v>41193</v>
      </c>
      <c r="M4474" t="s">
        <v>43058</v>
      </c>
      <c r="N4474" t="s">
        <v>45095</v>
      </c>
      <c r="O4474" t="s">
        <v>45096</v>
      </c>
      <c r="P4474">
        <v>0</v>
      </c>
      <c r="Q4474">
        <v>9</v>
      </c>
      <c r="R4474" t="s">
        <v>45101</v>
      </c>
      <c r="S4474" t="s">
        <v>45231</v>
      </c>
      <c r="T4474" t="s">
        <v>47058</v>
      </c>
      <c r="U4474" t="s">
        <v>51260</v>
      </c>
      <c r="W4474" t="s">
        <v>43058</v>
      </c>
      <c r="X4474" t="s">
        <v>45102</v>
      </c>
    </row>
    <row r="4475" spans="1:24">
      <c r="A4475">
        <f>HYPERLINK("https://www.philgeps.gov.ph/GEPSNONPILOT/Tender/SplashBidNoticeAbstractUI.aspx?menuIndex=3&amp;refID=7042476&amp;Result=3","7042476")</f>
        <v>0</v>
      </c>
      <c r="B4475" t="s">
        <v>335</v>
      </c>
      <c r="C4475" t="s">
        <v>7469</v>
      </c>
      <c r="D4475" t="s">
        <v>18079</v>
      </c>
      <c r="E4475" t="s">
        <v>22114</v>
      </c>
      <c r="F4475" t="s">
        <v>31574</v>
      </c>
      <c r="G4475" t="s">
        <v>31582</v>
      </c>
      <c r="H4475" t="s">
        <v>31591</v>
      </c>
      <c r="I4475" t="s">
        <v>8822</v>
      </c>
      <c r="J4475" t="s">
        <v>34661</v>
      </c>
      <c r="K4475" t="s">
        <v>41240</v>
      </c>
      <c r="M4475" t="s">
        <v>43123</v>
      </c>
      <c r="N4475" t="s">
        <v>45095</v>
      </c>
      <c r="O4475" t="s">
        <v>45096</v>
      </c>
      <c r="P4475">
        <v>0</v>
      </c>
      <c r="Q4475">
        <v>0</v>
      </c>
      <c r="R4475" t="s">
        <v>45101</v>
      </c>
      <c r="S4475" t="s">
        <v>45231</v>
      </c>
      <c r="T4475" t="s">
        <v>47134</v>
      </c>
      <c r="U4475" t="s">
        <v>51261</v>
      </c>
      <c r="W4475" t="s">
        <v>43123</v>
      </c>
      <c r="X4475" t="s">
        <v>45102</v>
      </c>
    </row>
    <row r="4476" spans="1:24">
      <c r="A4476">
        <f>HYPERLINK("https://www.philgeps.gov.ph/GEPSNONPILOT/Tender/SplashBidNoticeAbstractUI.aspx?menuIndex=3&amp;refID=7042490&amp;Result=3","7042490")</f>
        <v>0</v>
      </c>
      <c r="B4476" t="s">
        <v>1504</v>
      </c>
      <c r="C4476" t="s">
        <v>7470</v>
      </c>
      <c r="D4476" t="s">
        <v>18043</v>
      </c>
      <c r="E4476" t="s">
        <v>22115</v>
      </c>
      <c r="F4476" t="s">
        <v>31574</v>
      </c>
      <c r="G4476" t="s">
        <v>31581</v>
      </c>
      <c r="H4476" t="s">
        <v>31590</v>
      </c>
      <c r="I4476" t="s">
        <v>31602</v>
      </c>
      <c r="J4476" t="s">
        <v>31947</v>
      </c>
      <c r="K4476" t="s">
        <v>41213</v>
      </c>
      <c r="M4476" t="s">
        <v>43090</v>
      </c>
      <c r="N4476" t="s">
        <v>45095</v>
      </c>
      <c r="O4476" t="s">
        <v>45096</v>
      </c>
      <c r="P4476">
        <v>0</v>
      </c>
      <c r="Q4476">
        <v>0</v>
      </c>
      <c r="R4476" t="s">
        <v>45101</v>
      </c>
      <c r="S4476" t="s">
        <v>45231</v>
      </c>
      <c r="T4476" t="s">
        <v>47124</v>
      </c>
      <c r="U4476" t="s">
        <v>51158</v>
      </c>
      <c r="W4476" t="s">
        <v>43090</v>
      </c>
      <c r="X4476" t="s">
        <v>45102</v>
      </c>
    </row>
    <row r="4477" spans="1:24">
      <c r="A4477">
        <f>HYPERLINK("https://www.philgeps.gov.ph/GEPSNONPILOT/Tender/SplashBidNoticeAbstractUI.aspx?menuIndex=3&amp;refID=7042488&amp;Result=3","7042488")</f>
        <v>0</v>
      </c>
      <c r="B4477" t="s">
        <v>1459</v>
      </c>
      <c r="C4477" t="s">
        <v>7471</v>
      </c>
      <c r="D4477" t="s">
        <v>18022</v>
      </c>
      <c r="E4477" t="s">
        <v>18380</v>
      </c>
      <c r="F4477" t="s">
        <v>31574</v>
      </c>
      <c r="G4477" t="s">
        <v>31581</v>
      </c>
      <c r="H4477" t="s">
        <v>31590</v>
      </c>
      <c r="I4477" t="s">
        <v>4327</v>
      </c>
      <c r="J4477" t="s">
        <v>34662</v>
      </c>
      <c r="K4477" t="s">
        <v>41191</v>
      </c>
      <c r="M4477" t="s">
        <v>43039</v>
      </c>
      <c r="N4477" t="s">
        <v>45095</v>
      </c>
      <c r="O4477" t="s">
        <v>45096</v>
      </c>
      <c r="P4477">
        <v>0</v>
      </c>
      <c r="Q4477">
        <v>8</v>
      </c>
      <c r="R4477" t="s">
        <v>45101</v>
      </c>
      <c r="S4477" t="s">
        <v>45231</v>
      </c>
      <c r="T4477" t="s">
        <v>46957</v>
      </c>
      <c r="U4477" t="s">
        <v>51262</v>
      </c>
      <c r="W4477" t="s">
        <v>43039</v>
      </c>
      <c r="X4477" t="s">
        <v>45102</v>
      </c>
    </row>
    <row r="4478" spans="1:24">
      <c r="A4478">
        <f>HYPERLINK("https://www.philgeps.gov.ph/GEPSNONPILOT/Tender/SplashBidNoticeAbstractUI.aspx?menuIndex=3&amp;refID=7042475&amp;Result=3","7042475")</f>
        <v>0</v>
      </c>
      <c r="B4478" t="s">
        <v>1532</v>
      </c>
      <c r="C4478" t="s">
        <v>7472</v>
      </c>
      <c r="D4478" t="s">
        <v>18040</v>
      </c>
      <c r="E4478" t="s">
        <v>22116</v>
      </c>
      <c r="F4478" t="s">
        <v>31574</v>
      </c>
      <c r="G4478" t="s">
        <v>31583</v>
      </c>
      <c r="H4478" t="s">
        <v>31590</v>
      </c>
      <c r="I4478" t="s">
        <v>31608</v>
      </c>
      <c r="J4478" t="s">
        <v>32939</v>
      </c>
      <c r="K4478" t="s">
        <v>41211</v>
      </c>
      <c r="M4478" t="s">
        <v>43124</v>
      </c>
      <c r="N4478" t="s">
        <v>45095</v>
      </c>
      <c r="O4478" t="s">
        <v>45096</v>
      </c>
      <c r="P4478">
        <v>0</v>
      </c>
      <c r="Q4478">
        <v>0</v>
      </c>
      <c r="R4478" t="s">
        <v>45101</v>
      </c>
      <c r="S4478" t="s">
        <v>45231</v>
      </c>
      <c r="T4478" t="s">
        <v>47092</v>
      </c>
      <c r="U4478" t="s">
        <v>51263</v>
      </c>
      <c r="W4478" t="s">
        <v>43124</v>
      </c>
      <c r="X4478" t="s">
        <v>45102</v>
      </c>
    </row>
    <row r="4479" spans="1:24">
      <c r="A4479">
        <f>HYPERLINK("https://www.philgeps.gov.ph/GEPSNONPILOT/Tender/SplashBidNoticeAbstractUI.aspx?menuIndex=3&amp;refID=7042480&amp;Result=3","7042480")</f>
        <v>0</v>
      </c>
      <c r="B4479" t="s">
        <v>1514</v>
      </c>
      <c r="C4479" t="s">
        <v>7473</v>
      </c>
      <c r="D4479" t="s">
        <v>18037</v>
      </c>
      <c r="E4479" t="s">
        <v>22117</v>
      </c>
      <c r="F4479" t="s">
        <v>31574</v>
      </c>
      <c r="G4479" t="s">
        <v>31582</v>
      </c>
      <c r="H4479" t="s">
        <v>31590</v>
      </c>
      <c r="I4479" t="s">
        <v>31620</v>
      </c>
      <c r="J4479" t="s">
        <v>34663</v>
      </c>
      <c r="K4479" t="s">
        <v>41192</v>
      </c>
      <c r="M4479" t="s">
        <v>43105</v>
      </c>
      <c r="N4479" t="s">
        <v>45095</v>
      </c>
      <c r="O4479" t="s">
        <v>45096</v>
      </c>
      <c r="P4479">
        <v>0</v>
      </c>
      <c r="Q4479">
        <v>12</v>
      </c>
      <c r="R4479" t="s">
        <v>45101</v>
      </c>
      <c r="S4479" t="s">
        <v>45231</v>
      </c>
      <c r="T4479" t="s">
        <v>47170</v>
      </c>
      <c r="U4479" t="s">
        <v>51264</v>
      </c>
      <c r="V4479" t="s">
        <v>59855</v>
      </c>
      <c r="W4479" t="s">
        <v>43105</v>
      </c>
      <c r="X4479" t="s">
        <v>45102</v>
      </c>
    </row>
    <row r="4480" spans="1:24">
      <c r="A4480">
        <f>HYPERLINK("https://www.philgeps.gov.ph/GEPSNONPILOT/Tender/SplashBidNoticeAbstractUI.aspx?menuIndex=3&amp;refID=7042491&amp;Result=3","7042491")</f>
        <v>0</v>
      </c>
      <c r="B4480" t="s">
        <v>485</v>
      </c>
      <c r="C4480" t="s">
        <v>7474</v>
      </c>
      <c r="D4480" t="s">
        <v>18048</v>
      </c>
      <c r="E4480" t="s">
        <v>22118</v>
      </c>
      <c r="F4480" t="s">
        <v>31574</v>
      </c>
      <c r="G4480" t="s">
        <v>31584</v>
      </c>
      <c r="H4480" t="s">
        <v>31590</v>
      </c>
      <c r="I4480" t="s">
        <v>31608</v>
      </c>
      <c r="J4480" t="s">
        <v>34664</v>
      </c>
      <c r="K4480" t="s">
        <v>41184</v>
      </c>
      <c r="M4480" t="s">
        <v>41981</v>
      </c>
      <c r="N4480" t="s">
        <v>45095</v>
      </c>
      <c r="O4480" t="s">
        <v>45096</v>
      </c>
      <c r="P4480">
        <v>0</v>
      </c>
      <c r="Q4480">
        <v>1</v>
      </c>
      <c r="R4480" t="s">
        <v>45101</v>
      </c>
      <c r="S4480" t="s">
        <v>45231</v>
      </c>
      <c r="T4480" t="s">
        <v>47106</v>
      </c>
      <c r="U4480" t="s">
        <v>51265</v>
      </c>
      <c r="W4480" t="s">
        <v>41981</v>
      </c>
      <c r="X4480" t="s">
        <v>45102</v>
      </c>
    </row>
    <row r="4481" spans="1:24">
      <c r="A4481">
        <f>HYPERLINK("https://www.philgeps.gov.ph/GEPSNONPILOT/Tender/SplashBidNoticeAbstractUI.aspx?menuIndex=3&amp;refID=7042468&amp;Result=3","7042468")</f>
        <v>0</v>
      </c>
      <c r="B4481" t="s">
        <v>1528</v>
      </c>
      <c r="C4481" t="s">
        <v>7475</v>
      </c>
      <c r="D4481" t="s">
        <v>18022</v>
      </c>
      <c r="E4481" t="s">
        <v>22119</v>
      </c>
      <c r="F4481" t="s">
        <v>31574</v>
      </c>
      <c r="G4481" t="s">
        <v>31583</v>
      </c>
      <c r="H4481" t="s">
        <v>31590</v>
      </c>
      <c r="I4481" t="s">
        <v>6800</v>
      </c>
      <c r="J4481" t="s">
        <v>34665</v>
      </c>
      <c r="K4481" t="s">
        <v>41193</v>
      </c>
      <c r="M4481" t="s">
        <v>43119</v>
      </c>
      <c r="N4481" t="s">
        <v>45095</v>
      </c>
      <c r="O4481" t="s">
        <v>45096</v>
      </c>
      <c r="P4481">
        <v>0</v>
      </c>
      <c r="Q4481">
        <v>1</v>
      </c>
      <c r="R4481" t="s">
        <v>45101</v>
      </c>
      <c r="S4481" t="s">
        <v>45231</v>
      </c>
      <c r="T4481" t="s">
        <v>46985</v>
      </c>
      <c r="U4481" t="s">
        <v>51266</v>
      </c>
      <c r="W4481" t="s">
        <v>43119</v>
      </c>
      <c r="X4481" t="s">
        <v>45102</v>
      </c>
    </row>
    <row r="4482" spans="1:24">
      <c r="A4482">
        <f>HYPERLINK("https://www.philgeps.gov.ph/GEPSNONPILOT/Tender/SplashBidNoticeAbstractUI.aspx?menuIndex=3&amp;refID=7042474&amp;Result=3","7042474")</f>
        <v>0</v>
      </c>
      <c r="B4482" t="s">
        <v>309</v>
      </c>
      <c r="C4482" t="s">
        <v>7476</v>
      </c>
      <c r="D4482" t="s">
        <v>18074</v>
      </c>
      <c r="E4482" t="s">
        <v>22120</v>
      </c>
      <c r="F4482" t="s">
        <v>31574</v>
      </c>
      <c r="G4482" t="s">
        <v>31582</v>
      </c>
      <c r="H4482" t="s">
        <v>31590</v>
      </c>
      <c r="I4482" t="s">
        <v>31602</v>
      </c>
      <c r="J4482" t="s">
        <v>34666</v>
      </c>
      <c r="K4482" t="s">
        <v>41184</v>
      </c>
      <c r="M4482" t="s">
        <v>41795</v>
      </c>
      <c r="N4482" t="s">
        <v>45095</v>
      </c>
      <c r="O4482" t="s">
        <v>45096</v>
      </c>
      <c r="P4482">
        <v>0</v>
      </c>
      <c r="Q4482">
        <v>0</v>
      </c>
      <c r="R4482" t="s">
        <v>45101</v>
      </c>
      <c r="S4482" t="s">
        <v>45231</v>
      </c>
      <c r="T4482" t="s">
        <v>46948</v>
      </c>
      <c r="U4482" t="s">
        <v>51267</v>
      </c>
      <c r="W4482" t="s">
        <v>41795</v>
      </c>
      <c r="X4482" t="s">
        <v>45102</v>
      </c>
    </row>
    <row r="4483" spans="1:24">
      <c r="A4483">
        <f>HYPERLINK("https://www.philgeps.gov.ph/GEPSNONPILOT/Tender/SplashBidNoticeAbstractUI.aspx?menuIndex=3&amp;refID=7042510&amp;Result=3","7042510")</f>
        <v>0</v>
      </c>
      <c r="B4483" t="s">
        <v>370</v>
      </c>
      <c r="C4483" t="s">
        <v>7477</v>
      </c>
      <c r="D4483" t="s">
        <v>18022</v>
      </c>
      <c r="E4483" t="s">
        <v>22121</v>
      </c>
      <c r="F4483" t="s">
        <v>31574</v>
      </c>
      <c r="G4483" t="s">
        <v>31581</v>
      </c>
      <c r="H4483" t="s">
        <v>31590</v>
      </c>
      <c r="I4483" t="s">
        <v>31593</v>
      </c>
      <c r="J4483" t="s">
        <v>34033</v>
      </c>
      <c r="K4483" t="s">
        <v>41193</v>
      </c>
      <c r="M4483" t="s">
        <v>41860</v>
      </c>
      <c r="N4483" t="s">
        <v>45095</v>
      </c>
      <c r="O4483" t="s">
        <v>45096</v>
      </c>
      <c r="P4483">
        <v>0</v>
      </c>
      <c r="Q4483">
        <v>4</v>
      </c>
      <c r="R4483" t="s">
        <v>45101</v>
      </c>
      <c r="S4483" t="s">
        <v>45231</v>
      </c>
      <c r="T4483" t="s">
        <v>46957</v>
      </c>
      <c r="U4483" t="s">
        <v>51268</v>
      </c>
      <c r="V4483" t="s">
        <v>60324</v>
      </c>
      <c r="W4483" t="s">
        <v>41860</v>
      </c>
      <c r="X4483" t="s">
        <v>45102</v>
      </c>
    </row>
    <row r="4484" spans="1:24">
      <c r="A4484">
        <f>HYPERLINK("https://www.philgeps.gov.ph/GEPSNONPILOT/Tender/SplashBidNoticeAbstractUI.aspx?menuIndex=3&amp;refID=7042500&amp;Result=3","7042500")</f>
        <v>0</v>
      </c>
      <c r="B4484" t="s">
        <v>1533</v>
      </c>
      <c r="C4484" t="s">
        <v>7478</v>
      </c>
      <c r="D4484" t="s">
        <v>18022</v>
      </c>
      <c r="E4484" t="s">
        <v>22122</v>
      </c>
      <c r="F4484" t="s">
        <v>31574</v>
      </c>
      <c r="G4484" t="s">
        <v>31581</v>
      </c>
      <c r="H4484" t="s">
        <v>31590</v>
      </c>
      <c r="I4484" t="s">
        <v>31641</v>
      </c>
      <c r="J4484" t="s">
        <v>34667</v>
      </c>
      <c r="K4484" t="s">
        <v>41186</v>
      </c>
      <c r="M4484" t="s">
        <v>43125</v>
      </c>
      <c r="N4484" t="s">
        <v>45095</v>
      </c>
      <c r="O4484" t="s">
        <v>45096</v>
      </c>
      <c r="Q4484">
        <v>2</v>
      </c>
      <c r="R4484" t="s">
        <v>45101</v>
      </c>
      <c r="S4484" t="s">
        <v>45235</v>
      </c>
      <c r="T4484" t="s">
        <v>47110</v>
      </c>
      <c r="U4484" t="s">
        <v>51269</v>
      </c>
      <c r="W4484" t="s">
        <v>43125</v>
      </c>
      <c r="X4484" t="s">
        <v>45102</v>
      </c>
    </row>
    <row r="4485" spans="1:24">
      <c r="A4485">
        <f>HYPERLINK("https://www.philgeps.gov.ph/GEPSNONPILOT/Tender/SplashBidNoticeAbstractUI.aspx?menuIndex=3&amp;refID=7042492&amp;Result=3","7042492")</f>
        <v>0</v>
      </c>
      <c r="B4485" t="s">
        <v>533</v>
      </c>
      <c r="C4485" t="s">
        <v>7479</v>
      </c>
      <c r="D4485" t="s">
        <v>18075</v>
      </c>
      <c r="E4485" t="s">
        <v>22123</v>
      </c>
      <c r="F4485" t="s">
        <v>31574</v>
      </c>
      <c r="G4485" t="s">
        <v>31581</v>
      </c>
      <c r="H4485" t="s">
        <v>31591</v>
      </c>
      <c r="I4485" t="s">
        <v>8822</v>
      </c>
      <c r="J4485" t="s">
        <v>32001</v>
      </c>
      <c r="K4485" t="s">
        <v>41254</v>
      </c>
      <c r="M4485" t="s">
        <v>43099</v>
      </c>
      <c r="N4485" t="s">
        <v>45095</v>
      </c>
      <c r="O4485" t="s">
        <v>45096</v>
      </c>
      <c r="P4485">
        <v>0</v>
      </c>
      <c r="Q4485">
        <v>0</v>
      </c>
      <c r="R4485" t="s">
        <v>45101</v>
      </c>
      <c r="S4485" t="s">
        <v>45231</v>
      </c>
      <c r="T4485" t="s">
        <v>47002</v>
      </c>
      <c r="U4485" t="s">
        <v>50835</v>
      </c>
      <c r="W4485" t="s">
        <v>42964</v>
      </c>
      <c r="X4485" t="s">
        <v>45102</v>
      </c>
    </row>
    <row r="4486" spans="1:24">
      <c r="A4486">
        <f>HYPERLINK("https://www.philgeps.gov.ph/GEPSNONPILOT/Tender/SplashBidNoticeAbstractUI.aspx?menuIndex=3&amp;refID=7042511&amp;Result=3","7042511")</f>
        <v>0</v>
      </c>
      <c r="B4486" t="s">
        <v>1531</v>
      </c>
      <c r="C4486" t="s">
        <v>7480</v>
      </c>
      <c r="D4486" t="s">
        <v>18044</v>
      </c>
      <c r="E4486" t="s">
        <v>22124</v>
      </c>
      <c r="F4486" t="s">
        <v>31574</v>
      </c>
      <c r="G4486" t="s">
        <v>31582</v>
      </c>
      <c r="H4486" t="s">
        <v>31591</v>
      </c>
      <c r="I4486" t="s">
        <v>8822</v>
      </c>
      <c r="J4486" t="s">
        <v>32526</v>
      </c>
      <c r="K4486" t="s">
        <v>41192</v>
      </c>
      <c r="M4486" t="s">
        <v>43122</v>
      </c>
      <c r="N4486" t="s">
        <v>45095</v>
      </c>
      <c r="O4486" t="s">
        <v>45096</v>
      </c>
      <c r="P4486">
        <v>0</v>
      </c>
      <c r="Q4486">
        <v>0</v>
      </c>
      <c r="R4486" t="s">
        <v>45101</v>
      </c>
      <c r="S4486" t="s">
        <v>45231</v>
      </c>
      <c r="T4486" t="s">
        <v>46962</v>
      </c>
      <c r="U4486" t="s">
        <v>51259</v>
      </c>
      <c r="V4486" t="s">
        <v>60323</v>
      </c>
      <c r="W4486" t="s">
        <v>43122</v>
      </c>
      <c r="X4486" t="s">
        <v>45102</v>
      </c>
    </row>
    <row r="4487" spans="1:24">
      <c r="A4487">
        <f>HYPERLINK("https://www.philgeps.gov.ph/GEPSNONPILOT/Tender/SplashBidNoticeAbstractUI.aspx?menuIndex=3&amp;refID=7042498&amp;Result=3","7042498")</f>
        <v>0</v>
      </c>
      <c r="B4487" t="s">
        <v>533</v>
      </c>
      <c r="C4487" t="s">
        <v>7481</v>
      </c>
      <c r="D4487" t="s">
        <v>18075</v>
      </c>
      <c r="E4487" t="s">
        <v>22125</v>
      </c>
      <c r="F4487" t="s">
        <v>31574</v>
      </c>
      <c r="G4487" t="s">
        <v>31581</v>
      </c>
      <c r="H4487" t="s">
        <v>31591</v>
      </c>
      <c r="I4487" t="s">
        <v>8822</v>
      </c>
      <c r="J4487" t="s">
        <v>31935</v>
      </c>
      <c r="K4487" t="s">
        <v>41192</v>
      </c>
      <c r="M4487" t="s">
        <v>43099</v>
      </c>
      <c r="N4487" t="s">
        <v>45095</v>
      </c>
      <c r="O4487" t="s">
        <v>45096</v>
      </c>
      <c r="P4487">
        <v>0</v>
      </c>
      <c r="Q4487">
        <v>0</v>
      </c>
      <c r="R4487" t="s">
        <v>45101</v>
      </c>
      <c r="S4487" t="s">
        <v>45231</v>
      </c>
      <c r="T4487" t="s">
        <v>47002</v>
      </c>
      <c r="U4487" t="s">
        <v>50835</v>
      </c>
      <c r="W4487" t="s">
        <v>42964</v>
      </c>
      <c r="X4487" t="s">
        <v>45102</v>
      </c>
    </row>
    <row r="4488" spans="1:24">
      <c r="A4488">
        <f>HYPERLINK("https://www.philgeps.gov.ph/GEPSNONPILOT/Tender/SplashBidNoticeAbstractUI.aspx?menuIndex=3&amp;refID=7042505&amp;Result=3","7042505")</f>
        <v>0</v>
      </c>
      <c r="B4488" t="s">
        <v>1531</v>
      </c>
      <c r="C4488" t="s">
        <v>7482</v>
      </c>
      <c r="D4488" t="s">
        <v>18044</v>
      </c>
      <c r="E4488" t="s">
        <v>22126</v>
      </c>
      <c r="F4488" t="s">
        <v>31574</v>
      </c>
      <c r="G4488" t="s">
        <v>31582</v>
      </c>
      <c r="H4488" t="s">
        <v>31591</v>
      </c>
      <c r="I4488" t="s">
        <v>8822</v>
      </c>
      <c r="J4488" t="s">
        <v>34659</v>
      </c>
      <c r="K4488" t="s">
        <v>41192</v>
      </c>
      <c r="M4488" t="s">
        <v>43122</v>
      </c>
      <c r="N4488" t="s">
        <v>45095</v>
      </c>
      <c r="O4488" t="s">
        <v>45096</v>
      </c>
      <c r="P4488">
        <v>0</v>
      </c>
      <c r="Q4488">
        <v>0</v>
      </c>
      <c r="R4488" t="s">
        <v>45101</v>
      </c>
      <c r="S4488" t="s">
        <v>45231</v>
      </c>
      <c r="T4488" t="s">
        <v>46962</v>
      </c>
      <c r="U4488" t="s">
        <v>51259</v>
      </c>
      <c r="V4488" t="s">
        <v>60323</v>
      </c>
      <c r="W4488" t="s">
        <v>43122</v>
      </c>
      <c r="X4488" t="s">
        <v>45102</v>
      </c>
    </row>
    <row r="4489" spans="1:24">
      <c r="A4489">
        <f>HYPERLINK("https://www.philgeps.gov.ph/GEPSNONPILOT/Tender/SplashBidNoticeAbstractUI.aspx?menuIndex=3&amp;refID=7042496&amp;Result=3","7042496")</f>
        <v>0</v>
      </c>
      <c r="B4489" t="s">
        <v>1534</v>
      </c>
      <c r="C4489" t="s">
        <v>7483</v>
      </c>
      <c r="D4489" t="s">
        <v>18052</v>
      </c>
      <c r="E4489" t="s">
        <v>22127</v>
      </c>
      <c r="F4489" t="s">
        <v>31574</v>
      </c>
      <c r="G4489" t="s">
        <v>31582</v>
      </c>
      <c r="H4489" t="s">
        <v>31590</v>
      </c>
      <c r="I4489" t="s">
        <v>31630</v>
      </c>
      <c r="J4489" t="s">
        <v>32030</v>
      </c>
      <c r="K4489" t="s">
        <v>41186</v>
      </c>
      <c r="L4489" t="s">
        <v>1534</v>
      </c>
      <c r="M4489" t="s">
        <v>43126</v>
      </c>
      <c r="N4489" t="s">
        <v>45095</v>
      </c>
      <c r="O4489" t="s">
        <v>45096</v>
      </c>
      <c r="P4489">
        <v>0</v>
      </c>
      <c r="Q4489">
        <v>0</v>
      </c>
      <c r="R4489" t="s">
        <v>45101</v>
      </c>
      <c r="S4489" t="s">
        <v>45231</v>
      </c>
      <c r="T4489" t="s">
        <v>47043</v>
      </c>
      <c r="U4489" t="s">
        <v>51270</v>
      </c>
      <c r="V4489" t="s">
        <v>60325</v>
      </c>
      <c r="W4489" t="s">
        <v>43126</v>
      </c>
      <c r="X4489" t="s">
        <v>45102</v>
      </c>
    </row>
    <row r="4490" spans="1:24">
      <c r="A4490">
        <f>HYPERLINK("https://www.philgeps.gov.ph/GEPSNONPILOT/Tender/SplashBidNoticeAbstractUI.aspx?menuIndex=3&amp;refID=7042508&amp;Result=3","7042508")</f>
        <v>0</v>
      </c>
      <c r="B4490" t="s">
        <v>533</v>
      </c>
      <c r="C4490" t="s">
        <v>7484</v>
      </c>
      <c r="D4490" t="s">
        <v>18075</v>
      </c>
      <c r="E4490" t="s">
        <v>22128</v>
      </c>
      <c r="F4490" t="s">
        <v>31574</v>
      </c>
      <c r="G4490" t="s">
        <v>31581</v>
      </c>
      <c r="H4490" t="s">
        <v>31591</v>
      </c>
      <c r="I4490" t="s">
        <v>8822</v>
      </c>
      <c r="J4490" t="s">
        <v>32019</v>
      </c>
      <c r="K4490" t="s">
        <v>41201</v>
      </c>
      <c r="M4490" t="s">
        <v>43099</v>
      </c>
      <c r="N4490" t="s">
        <v>45095</v>
      </c>
      <c r="O4490" t="s">
        <v>45096</v>
      </c>
      <c r="P4490">
        <v>0</v>
      </c>
      <c r="Q4490">
        <v>0</v>
      </c>
      <c r="R4490" t="s">
        <v>45101</v>
      </c>
      <c r="S4490" t="s">
        <v>45231</v>
      </c>
      <c r="T4490" t="s">
        <v>47002</v>
      </c>
      <c r="U4490" t="s">
        <v>50835</v>
      </c>
      <c r="W4490" t="s">
        <v>42964</v>
      </c>
      <c r="X4490" t="s">
        <v>45102</v>
      </c>
    </row>
    <row r="4491" spans="1:24">
      <c r="A4491">
        <f>HYPERLINK("https://www.philgeps.gov.ph/GEPSNONPILOT/Tender/SplashBidNoticeAbstractUI.aspx?menuIndex=3&amp;refID=7042502&amp;Result=3","7042502")</f>
        <v>0</v>
      </c>
      <c r="B4491" t="s">
        <v>1535</v>
      </c>
      <c r="C4491" t="s">
        <v>7485</v>
      </c>
      <c r="D4491" t="s">
        <v>18073</v>
      </c>
      <c r="E4491" t="s">
        <v>22129</v>
      </c>
      <c r="F4491" t="s">
        <v>31574</v>
      </c>
      <c r="G4491" t="s">
        <v>31581</v>
      </c>
      <c r="H4491" t="s">
        <v>31590</v>
      </c>
      <c r="I4491" t="s">
        <v>31602</v>
      </c>
      <c r="J4491" t="s">
        <v>34668</v>
      </c>
      <c r="K4491" t="s">
        <v>41186</v>
      </c>
      <c r="M4491" t="s">
        <v>43127</v>
      </c>
      <c r="N4491" t="s">
        <v>45095</v>
      </c>
      <c r="O4491" t="s">
        <v>45096</v>
      </c>
      <c r="P4491">
        <v>0</v>
      </c>
      <c r="Q4491">
        <v>0</v>
      </c>
      <c r="R4491" t="s">
        <v>45101</v>
      </c>
      <c r="S4491" t="s">
        <v>45231</v>
      </c>
      <c r="T4491" t="s">
        <v>47050</v>
      </c>
      <c r="U4491" t="s">
        <v>51271</v>
      </c>
      <c r="W4491" t="s">
        <v>43127</v>
      </c>
      <c r="X4491" t="s">
        <v>45102</v>
      </c>
    </row>
    <row r="4492" spans="1:24">
      <c r="A4492">
        <f>HYPERLINK("https://www.philgeps.gov.ph/GEPSNONPILOT/Tender/SplashBidNoticeAbstractUI.aspx?menuIndex=3&amp;refID=7042497&amp;Result=3","7042497")</f>
        <v>0</v>
      </c>
      <c r="B4492" t="s">
        <v>1536</v>
      </c>
      <c r="C4492" t="s">
        <v>7486</v>
      </c>
      <c r="D4492" t="s">
        <v>18059</v>
      </c>
      <c r="E4492" t="s">
        <v>22130</v>
      </c>
      <c r="F4492" t="s">
        <v>31574</v>
      </c>
      <c r="G4492" t="s">
        <v>31582</v>
      </c>
      <c r="H4492" t="s">
        <v>31591</v>
      </c>
      <c r="I4492" t="s">
        <v>31632</v>
      </c>
      <c r="J4492" t="s">
        <v>31730</v>
      </c>
      <c r="K4492" t="s">
        <v>41198</v>
      </c>
      <c r="M4492" t="s">
        <v>43128</v>
      </c>
      <c r="N4492" t="s">
        <v>45095</v>
      </c>
      <c r="O4492" t="s">
        <v>45096</v>
      </c>
      <c r="P4492">
        <v>0</v>
      </c>
      <c r="Q4492">
        <v>1</v>
      </c>
      <c r="R4492" t="s">
        <v>45101</v>
      </c>
      <c r="S4492" t="s">
        <v>45231</v>
      </c>
      <c r="T4492" t="s">
        <v>47017</v>
      </c>
      <c r="U4492" t="s">
        <v>51272</v>
      </c>
      <c r="W4492" t="s">
        <v>43128</v>
      </c>
      <c r="X4492" t="s">
        <v>45102</v>
      </c>
    </row>
    <row r="4493" spans="1:24">
      <c r="A4493">
        <f>HYPERLINK("https://www.philgeps.gov.ph/GEPSNONPILOT/Tender/SplashBidNoticeAbstractUI.aspx?menuIndex=3&amp;refID=7042507&amp;Result=3","7042507")</f>
        <v>0</v>
      </c>
      <c r="B4493" t="s">
        <v>1524</v>
      </c>
      <c r="C4493" t="s">
        <v>7487</v>
      </c>
      <c r="D4493" t="s">
        <v>18083</v>
      </c>
      <c r="E4493" t="s">
        <v>22131</v>
      </c>
      <c r="F4493" t="s">
        <v>31574</v>
      </c>
      <c r="G4493" t="s">
        <v>31582</v>
      </c>
      <c r="H4493" t="s">
        <v>31593</v>
      </c>
      <c r="I4493" t="s">
        <v>31593</v>
      </c>
      <c r="J4493" t="s">
        <v>34669</v>
      </c>
      <c r="K4493" t="s">
        <v>41192</v>
      </c>
      <c r="M4493" t="s">
        <v>43115</v>
      </c>
      <c r="N4493" t="s">
        <v>45095</v>
      </c>
      <c r="O4493" t="s">
        <v>45096</v>
      </c>
      <c r="P4493">
        <v>0</v>
      </c>
      <c r="Q4493">
        <v>2</v>
      </c>
      <c r="R4493" t="s">
        <v>45101</v>
      </c>
      <c r="S4493" t="s">
        <v>45231</v>
      </c>
      <c r="T4493" t="s">
        <v>46962</v>
      </c>
      <c r="U4493" t="s">
        <v>51273</v>
      </c>
      <c r="V4493" t="s">
        <v>60326</v>
      </c>
      <c r="W4493" t="s">
        <v>43115</v>
      </c>
      <c r="X4493" t="s">
        <v>45102</v>
      </c>
    </row>
    <row r="4494" spans="1:24">
      <c r="A4494">
        <f>HYPERLINK("https://www.philgeps.gov.ph/GEPSNONPILOT/Tender/SplashBidNoticeAbstractUI.aspx?menuIndex=3&amp;refID=7042515&amp;Result=3","7042515")</f>
        <v>0</v>
      </c>
      <c r="B4494" t="s">
        <v>485</v>
      </c>
      <c r="C4494" t="s">
        <v>7488</v>
      </c>
      <c r="D4494" t="s">
        <v>18048</v>
      </c>
      <c r="E4494" t="s">
        <v>22132</v>
      </c>
      <c r="F4494" t="s">
        <v>31574</v>
      </c>
      <c r="G4494" t="s">
        <v>31581</v>
      </c>
      <c r="H4494" t="s">
        <v>31590</v>
      </c>
      <c r="I4494" t="s">
        <v>31612</v>
      </c>
      <c r="J4494" t="s">
        <v>31727</v>
      </c>
      <c r="K4494" t="s">
        <v>41184</v>
      </c>
      <c r="M4494" t="s">
        <v>41981</v>
      </c>
      <c r="N4494" t="s">
        <v>45095</v>
      </c>
      <c r="O4494" t="s">
        <v>45096</v>
      </c>
      <c r="P4494">
        <v>0</v>
      </c>
      <c r="Q4494">
        <v>0</v>
      </c>
      <c r="R4494" t="s">
        <v>45101</v>
      </c>
      <c r="S4494" t="s">
        <v>45231</v>
      </c>
      <c r="T4494" t="s">
        <v>47106</v>
      </c>
      <c r="U4494" t="s">
        <v>51274</v>
      </c>
      <c r="W4494" t="s">
        <v>41981</v>
      </c>
      <c r="X4494" t="s">
        <v>45102</v>
      </c>
    </row>
    <row r="4495" spans="1:24">
      <c r="A4495">
        <f>HYPERLINK("https://www.philgeps.gov.ph/GEPSNONPILOT/Tender/SplashBidNoticeAbstractUI.aspx?menuIndex=3&amp;refID=7042494&amp;Result=3","7042494")</f>
        <v>0</v>
      </c>
      <c r="B4495" t="s">
        <v>1528</v>
      </c>
      <c r="C4495" t="s">
        <v>7489</v>
      </c>
      <c r="D4495" t="s">
        <v>18022</v>
      </c>
      <c r="E4495" t="s">
        <v>22133</v>
      </c>
      <c r="F4495" t="s">
        <v>31574</v>
      </c>
      <c r="G4495" t="s">
        <v>31583</v>
      </c>
      <c r="H4495" t="s">
        <v>31590</v>
      </c>
      <c r="I4495" t="s">
        <v>4046</v>
      </c>
      <c r="J4495" t="s">
        <v>34670</v>
      </c>
      <c r="K4495" t="s">
        <v>41193</v>
      </c>
      <c r="M4495" t="s">
        <v>43119</v>
      </c>
      <c r="N4495" t="s">
        <v>45095</v>
      </c>
      <c r="O4495" t="s">
        <v>45096</v>
      </c>
      <c r="P4495">
        <v>0</v>
      </c>
      <c r="Q4495">
        <v>1</v>
      </c>
      <c r="R4495" t="s">
        <v>45101</v>
      </c>
      <c r="S4495" t="s">
        <v>45231</v>
      </c>
      <c r="T4495" t="s">
        <v>46985</v>
      </c>
      <c r="U4495" t="s">
        <v>51275</v>
      </c>
      <c r="W4495" t="s">
        <v>43119</v>
      </c>
      <c r="X4495" t="s">
        <v>45102</v>
      </c>
    </row>
    <row r="4496" spans="1:24">
      <c r="A4496">
        <f>HYPERLINK("https://www.philgeps.gov.ph/GEPSNONPILOT/Tender/SplashBidNoticeAbstractUI.aspx?menuIndex=3&amp;refID=7042518&amp;Result=3","7042518")</f>
        <v>0</v>
      </c>
      <c r="B4496" t="s">
        <v>1504</v>
      </c>
      <c r="C4496" t="s">
        <v>7490</v>
      </c>
      <c r="D4496" t="s">
        <v>18043</v>
      </c>
      <c r="E4496" t="s">
        <v>22134</v>
      </c>
      <c r="F4496" t="s">
        <v>31574</v>
      </c>
      <c r="G4496" t="s">
        <v>31581</v>
      </c>
      <c r="H4496" t="s">
        <v>31590</v>
      </c>
      <c r="I4496" t="s">
        <v>3539</v>
      </c>
      <c r="J4496" t="s">
        <v>32046</v>
      </c>
      <c r="K4496" t="s">
        <v>41213</v>
      </c>
      <c r="M4496" t="s">
        <v>43090</v>
      </c>
      <c r="N4496" t="s">
        <v>45095</v>
      </c>
      <c r="O4496" t="s">
        <v>45096</v>
      </c>
      <c r="P4496">
        <v>0</v>
      </c>
      <c r="Q4496">
        <v>0</v>
      </c>
      <c r="R4496" t="s">
        <v>45101</v>
      </c>
      <c r="S4496" t="s">
        <v>45231</v>
      </c>
      <c r="T4496" t="s">
        <v>47124</v>
      </c>
      <c r="U4496" t="s">
        <v>51158</v>
      </c>
      <c r="W4496" t="s">
        <v>43090</v>
      </c>
      <c r="X4496" t="s">
        <v>45102</v>
      </c>
    </row>
    <row r="4497" spans="1:24">
      <c r="A4497">
        <f>HYPERLINK("https://www.philgeps.gov.ph/GEPSNONPILOT/Tender/SplashBidNoticeAbstractUI.aspx?menuIndex=3&amp;refID=7042514&amp;Result=3","7042514")</f>
        <v>0</v>
      </c>
      <c r="B4497" t="s">
        <v>1532</v>
      </c>
      <c r="C4497" t="s">
        <v>7491</v>
      </c>
      <c r="D4497" t="s">
        <v>18040</v>
      </c>
      <c r="E4497" t="s">
        <v>22135</v>
      </c>
      <c r="F4497" t="s">
        <v>31574</v>
      </c>
      <c r="G4497" t="s">
        <v>31581</v>
      </c>
      <c r="H4497" t="s">
        <v>31590</v>
      </c>
      <c r="I4497" t="s">
        <v>5717</v>
      </c>
      <c r="J4497" t="s">
        <v>34671</v>
      </c>
      <c r="K4497" t="s">
        <v>41211</v>
      </c>
      <c r="M4497" t="s">
        <v>43124</v>
      </c>
      <c r="N4497" t="s">
        <v>45095</v>
      </c>
      <c r="O4497" t="s">
        <v>45096</v>
      </c>
      <c r="P4497">
        <v>0</v>
      </c>
      <c r="Q4497">
        <v>1</v>
      </c>
      <c r="R4497" t="s">
        <v>45101</v>
      </c>
      <c r="S4497" t="s">
        <v>45231</v>
      </c>
      <c r="T4497" t="s">
        <v>47092</v>
      </c>
      <c r="U4497" t="s">
        <v>51276</v>
      </c>
      <c r="W4497" t="s">
        <v>43124</v>
      </c>
      <c r="X4497" t="s">
        <v>45102</v>
      </c>
    </row>
    <row r="4498" spans="1:24">
      <c r="A4498">
        <f>HYPERLINK("https://www.philgeps.gov.ph/GEPSNONPILOT/Tender/SplashBidNoticeAbstractUI.aspx?menuIndex=3&amp;refID=7042516&amp;Result=3","7042516")</f>
        <v>0</v>
      </c>
      <c r="B4498" t="s">
        <v>1535</v>
      </c>
      <c r="C4498" t="s">
        <v>7492</v>
      </c>
      <c r="D4498" t="s">
        <v>18073</v>
      </c>
      <c r="E4498" t="s">
        <v>22136</v>
      </c>
      <c r="F4498" t="s">
        <v>31574</v>
      </c>
      <c r="G4498" t="s">
        <v>31581</v>
      </c>
      <c r="H4498" t="s">
        <v>31590</v>
      </c>
      <c r="I4498" t="s">
        <v>31602</v>
      </c>
      <c r="J4498" t="s">
        <v>34668</v>
      </c>
      <c r="K4498" t="s">
        <v>41186</v>
      </c>
      <c r="M4498" t="s">
        <v>43127</v>
      </c>
      <c r="N4498" t="s">
        <v>45095</v>
      </c>
      <c r="O4498" t="s">
        <v>45096</v>
      </c>
      <c r="P4498">
        <v>0</v>
      </c>
      <c r="Q4498">
        <v>0</v>
      </c>
      <c r="R4498" t="s">
        <v>45101</v>
      </c>
      <c r="S4498" t="s">
        <v>45231</v>
      </c>
      <c r="T4498" t="s">
        <v>47050</v>
      </c>
      <c r="U4498" t="s">
        <v>51271</v>
      </c>
      <c r="W4498" t="s">
        <v>43127</v>
      </c>
      <c r="X4498" t="s">
        <v>45102</v>
      </c>
    </row>
    <row r="4499" spans="1:24">
      <c r="A4499">
        <f>HYPERLINK("https://www.philgeps.gov.ph/GEPSNONPILOT/Tender/SplashBidNoticeAbstractUI.aspx?menuIndex=3&amp;refID=7042512&amp;Result=3","7042512")</f>
        <v>0</v>
      </c>
      <c r="B4499" t="s">
        <v>533</v>
      </c>
      <c r="C4499" t="s">
        <v>7493</v>
      </c>
      <c r="D4499" t="s">
        <v>18075</v>
      </c>
      <c r="E4499" t="s">
        <v>22137</v>
      </c>
      <c r="F4499" t="s">
        <v>31574</v>
      </c>
      <c r="G4499" t="s">
        <v>31581</v>
      </c>
      <c r="H4499" t="s">
        <v>31591</v>
      </c>
      <c r="I4499" t="s">
        <v>8822</v>
      </c>
      <c r="J4499" t="s">
        <v>31935</v>
      </c>
      <c r="K4499" t="s">
        <v>41185</v>
      </c>
      <c r="M4499" t="s">
        <v>43099</v>
      </c>
      <c r="N4499" t="s">
        <v>45095</v>
      </c>
      <c r="O4499" t="s">
        <v>45096</v>
      </c>
      <c r="P4499">
        <v>0</v>
      </c>
      <c r="Q4499">
        <v>0</v>
      </c>
      <c r="R4499" t="s">
        <v>45101</v>
      </c>
      <c r="S4499" t="s">
        <v>45231</v>
      </c>
      <c r="T4499" t="s">
        <v>47002</v>
      </c>
      <c r="U4499" t="s">
        <v>50835</v>
      </c>
      <c r="W4499" t="s">
        <v>42964</v>
      </c>
      <c r="X4499" t="s">
        <v>45102</v>
      </c>
    </row>
    <row r="4500" spans="1:24">
      <c r="A4500">
        <f>HYPERLINK("https://www.philgeps.gov.ph/GEPSNONPILOT/Tender/SplashBidNoticeAbstractUI.aspx?menuIndex=3&amp;refID=7042517&amp;Result=3","7042517")</f>
        <v>0</v>
      </c>
      <c r="B4500" t="s">
        <v>1537</v>
      </c>
      <c r="C4500" t="s">
        <v>7494</v>
      </c>
      <c r="D4500" t="s">
        <v>18033</v>
      </c>
      <c r="E4500" t="s">
        <v>18936</v>
      </c>
      <c r="F4500" t="s">
        <v>31575</v>
      </c>
      <c r="G4500" t="s">
        <v>31583</v>
      </c>
      <c r="H4500" t="s">
        <v>31590</v>
      </c>
      <c r="I4500" t="s">
        <v>6800</v>
      </c>
      <c r="J4500" t="s">
        <v>34672</v>
      </c>
      <c r="K4500" t="s">
        <v>41193</v>
      </c>
      <c r="M4500" t="s">
        <v>43129</v>
      </c>
      <c r="N4500" t="s">
        <v>45095</v>
      </c>
      <c r="O4500" t="s">
        <v>45096</v>
      </c>
      <c r="P4500">
        <v>0</v>
      </c>
      <c r="Q4500">
        <v>1</v>
      </c>
      <c r="R4500" t="s">
        <v>45101</v>
      </c>
      <c r="S4500" t="s">
        <v>45231</v>
      </c>
      <c r="T4500" t="s">
        <v>46936</v>
      </c>
      <c r="U4500" t="s">
        <v>51277</v>
      </c>
      <c r="W4500" t="s">
        <v>43129</v>
      </c>
      <c r="X4500" t="s">
        <v>45102</v>
      </c>
    </row>
    <row r="4501" spans="1:24">
      <c r="A4501">
        <f>HYPERLINK("https://www.philgeps.gov.ph/GEPSNONPILOT/Tender/SplashBidNoticeAbstractUI.aspx?menuIndex=3&amp;refID=7042519&amp;Result=3","7042519")</f>
        <v>0</v>
      </c>
      <c r="B4501" t="s">
        <v>1536</v>
      </c>
      <c r="C4501" t="s">
        <v>7495</v>
      </c>
      <c r="D4501" t="s">
        <v>18059</v>
      </c>
      <c r="E4501" t="s">
        <v>22138</v>
      </c>
      <c r="F4501" t="s">
        <v>31574</v>
      </c>
      <c r="G4501" t="s">
        <v>31582</v>
      </c>
      <c r="H4501" t="s">
        <v>31591</v>
      </c>
      <c r="I4501" t="s">
        <v>8822</v>
      </c>
      <c r="J4501" t="s">
        <v>34673</v>
      </c>
      <c r="K4501" t="s">
        <v>41195</v>
      </c>
      <c r="M4501" t="s">
        <v>43128</v>
      </c>
      <c r="N4501" t="s">
        <v>45095</v>
      </c>
      <c r="O4501" t="s">
        <v>45096</v>
      </c>
      <c r="P4501">
        <v>0</v>
      </c>
      <c r="Q4501">
        <v>1</v>
      </c>
      <c r="R4501" t="s">
        <v>45101</v>
      </c>
      <c r="S4501" t="s">
        <v>45231</v>
      </c>
      <c r="T4501" t="s">
        <v>47017</v>
      </c>
      <c r="U4501" t="s">
        <v>51278</v>
      </c>
      <c r="W4501" t="s">
        <v>43128</v>
      </c>
      <c r="X4501" t="s">
        <v>45102</v>
      </c>
    </row>
    <row r="4502" spans="1:24">
      <c r="A4502">
        <f>HYPERLINK("https://www.philgeps.gov.ph/GEPSNONPILOT/Tender/SplashBidNoticeAbstractUI.aspx?menuIndex=3&amp;refID=7042506&amp;Result=3","7042506")</f>
        <v>0</v>
      </c>
      <c r="B4502" t="s">
        <v>1528</v>
      </c>
      <c r="C4502" t="s">
        <v>7496</v>
      </c>
      <c r="D4502" t="s">
        <v>18022</v>
      </c>
      <c r="E4502" t="s">
        <v>22139</v>
      </c>
      <c r="F4502" t="s">
        <v>31574</v>
      </c>
      <c r="G4502" t="s">
        <v>31583</v>
      </c>
      <c r="H4502" t="s">
        <v>31590</v>
      </c>
      <c r="I4502" t="s">
        <v>4046</v>
      </c>
      <c r="J4502" t="s">
        <v>34674</v>
      </c>
      <c r="K4502" t="s">
        <v>41193</v>
      </c>
      <c r="M4502" t="s">
        <v>43119</v>
      </c>
      <c r="N4502" t="s">
        <v>45095</v>
      </c>
      <c r="O4502" t="s">
        <v>45096</v>
      </c>
      <c r="P4502">
        <v>0</v>
      </c>
      <c r="Q4502">
        <v>1</v>
      </c>
      <c r="R4502" t="s">
        <v>45101</v>
      </c>
      <c r="S4502" t="s">
        <v>45231</v>
      </c>
      <c r="T4502" t="s">
        <v>46985</v>
      </c>
      <c r="U4502" t="s">
        <v>51279</v>
      </c>
      <c r="W4502" t="s">
        <v>43119</v>
      </c>
      <c r="X4502" t="s">
        <v>45102</v>
      </c>
    </row>
    <row r="4503" spans="1:24">
      <c r="A4503">
        <f>HYPERLINK("https://www.philgeps.gov.ph/GEPSNONPILOT/Tender/SplashBidNoticeAbstractUI.aspx?menuIndex=3&amp;refID=7042530&amp;Result=3","7042530")</f>
        <v>0</v>
      </c>
      <c r="B4503" t="s">
        <v>1538</v>
      </c>
      <c r="C4503" t="s">
        <v>7497</v>
      </c>
      <c r="D4503" t="s">
        <v>18055</v>
      </c>
      <c r="E4503" t="s">
        <v>22140</v>
      </c>
      <c r="F4503" t="s">
        <v>31574</v>
      </c>
      <c r="G4503" t="s">
        <v>31581</v>
      </c>
      <c r="H4503" t="s">
        <v>31590</v>
      </c>
      <c r="I4503" t="s">
        <v>7185</v>
      </c>
      <c r="J4503" t="s">
        <v>34675</v>
      </c>
      <c r="K4503" t="s">
        <v>41193</v>
      </c>
      <c r="M4503" t="s">
        <v>43130</v>
      </c>
      <c r="N4503" t="s">
        <v>45095</v>
      </c>
      <c r="O4503" t="s">
        <v>45096</v>
      </c>
      <c r="P4503">
        <v>0</v>
      </c>
      <c r="Q4503">
        <v>1</v>
      </c>
      <c r="R4503" t="s">
        <v>45101</v>
      </c>
      <c r="S4503" t="s">
        <v>45231</v>
      </c>
      <c r="T4503" t="s">
        <v>47125</v>
      </c>
      <c r="U4503" t="s">
        <v>51280</v>
      </c>
      <c r="W4503" t="s">
        <v>43130</v>
      </c>
      <c r="X4503" t="s">
        <v>45102</v>
      </c>
    </row>
    <row r="4504" spans="1:24">
      <c r="A4504">
        <f>HYPERLINK("https://www.philgeps.gov.ph/GEPSNONPILOT/Tender/SplashBidNoticeAbstractUI.aspx?menuIndex=3&amp;refID=7042527&amp;Result=3","7042527")</f>
        <v>0</v>
      </c>
      <c r="B4504" t="s">
        <v>1531</v>
      </c>
      <c r="C4504" t="s">
        <v>7498</v>
      </c>
      <c r="D4504" t="s">
        <v>18044</v>
      </c>
      <c r="E4504" t="s">
        <v>22141</v>
      </c>
      <c r="F4504" t="s">
        <v>31574</v>
      </c>
      <c r="G4504" t="s">
        <v>31582</v>
      </c>
      <c r="H4504" t="s">
        <v>31591</v>
      </c>
      <c r="I4504" t="s">
        <v>8822</v>
      </c>
      <c r="J4504" t="s">
        <v>33252</v>
      </c>
      <c r="K4504" t="s">
        <v>41200</v>
      </c>
      <c r="M4504" t="s">
        <v>43122</v>
      </c>
      <c r="N4504" t="s">
        <v>45095</v>
      </c>
      <c r="O4504" t="s">
        <v>45096</v>
      </c>
      <c r="P4504">
        <v>0</v>
      </c>
      <c r="Q4504">
        <v>0</v>
      </c>
      <c r="R4504" t="s">
        <v>45101</v>
      </c>
      <c r="S4504" t="s">
        <v>45231</v>
      </c>
      <c r="T4504" t="s">
        <v>46962</v>
      </c>
      <c r="U4504" t="s">
        <v>51259</v>
      </c>
      <c r="V4504" t="s">
        <v>60323</v>
      </c>
      <c r="W4504" t="s">
        <v>43122</v>
      </c>
      <c r="X4504" t="s">
        <v>45102</v>
      </c>
    </row>
    <row r="4505" spans="1:24">
      <c r="A4505">
        <f>HYPERLINK("https://www.philgeps.gov.ph/GEPSNONPILOT/Tender/SplashBidNoticeAbstractUI.aspx?menuIndex=3&amp;refID=7042550&amp;Result=3","7042550")</f>
        <v>0</v>
      </c>
      <c r="B4505" t="s">
        <v>1539</v>
      </c>
      <c r="C4505" t="s">
        <v>7499</v>
      </c>
      <c r="D4505" t="s">
        <v>18035</v>
      </c>
      <c r="E4505" t="s">
        <v>21177</v>
      </c>
      <c r="F4505" t="s">
        <v>31574</v>
      </c>
      <c r="G4505" t="s">
        <v>31581</v>
      </c>
      <c r="H4505" t="s">
        <v>31590</v>
      </c>
      <c r="I4505" t="s">
        <v>31608</v>
      </c>
      <c r="J4505" t="s">
        <v>34676</v>
      </c>
      <c r="K4505" t="s">
        <v>41192</v>
      </c>
      <c r="M4505" t="s">
        <v>43131</v>
      </c>
      <c r="N4505" t="s">
        <v>45095</v>
      </c>
      <c r="O4505" t="s">
        <v>45096</v>
      </c>
      <c r="P4505">
        <v>0</v>
      </c>
      <c r="Q4505">
        <v>4</v>
      </c>
      <c r="R4505" t="s">
        <v>45101</v>
      </c>
      <c r="S4505" t="s">
        <v>45231</v>
      </c>
      <c r="T4505" t="s">
        <v>47219</v>
      </c>
      <c r="U4505" t="s">
        <v>51281</v>
      </c>
      <c r="W4505" t="s">
        <v>43131</v>
      </c>
      <c r="X4505" t="s">
        <v>45102</v>
      </c>
    </row>
    <row r="4506" spans="1:24">
      <c r="A4506">
        <f>HYPERLINK("https://www.philgeps.gov.ph/GEPSNONPILOT/Tender/SplashBidNoticeAbstractUI.aspx?menuIndex=3&amp;refID=7042543&amp;Result=3","7042543")</f>
        <v>0</v>
      </c>
      <c r="B4506" t="s">
        <v>800</v>
      </c>
      <c r="C4506" t="s">
        <v>7500</v>
      </c>
      <c r="D4506" t="s">
        <v>18106</v>
      </c>
      <c r="E4506" t="s">
        <v>22142</v>
      </c>
      <c r="F4506" t="s">
        <v>31574</v>
      </c>
      <c r="G4506" t="s">
        <v>31581</v>
      </c>
      <c r="H4506" t="s">
        <v>31590</v>
      </c>
      <c r="I4506" t="s">
        <v>31623</v>
      </c>
      <c r="J4506" t="s">
        <v>32774</v>
      </c>
      <c r="K4506" t="s">
        <v>41184</v>
      </c>
      <c r="M4506" t="s">
        <v>43132</v>
      </c>
      <c r="N4506" t="s">
        <v>45095</v>
      </c>
      <c r="O4506" t="s">
        <v>45096</v>
      </c>
      <c r="P4506">
        <v>0</v>
      </c>
      <c r="Q4506">
        <v>0</v>
      </c>
      <c r="R4506" t="s">
        <v>45101</v>
      </c>
      <c r="S4506" t="s">
        <v>45231</v>
      </c>
      <c r="T4506" t="s">
        <v>47076</v>
      </c>
      <c r="U4506" t="s">
        <v>50461</v>
      </c>
      <c r="V4506" t="s">
        <v>60327</v>
      </c>
      <c r="W4506" t="s">
        <v>43132</v>
      </c>
      <c r="X4506" t="s">
        <v>45102</v>
      </c>
    </row>
    <row r="4507" spans="1:24">
      <c r="A4507">
        <f>HYPERLINK("https://www.philgeps.gov.ph/GEPSNONPILOT/Tender/SplashBidNoticeAbstractUI.aspx?menuIndex=3&amp;refID=7042524&amp;Result=3","7042524")</f>
        <v>0</v>
      </c>
      <c r="B4507" t="s">
        <v>335</v>
      </c>
      <c r="C4507" t="s">
        <v>7501</v>
      </c>
      <c r="D4507" t="s">
        <v>18079</v>
      </c>
      <c r="E4507" t="s">
        <v>22143</v>
      </c>
      <c r="F4507" t="s">
        <v>31574</v>
      </c>
      <c r="G4507" t="s">
        <v>31582</v>
      </c>
      <c r="H4507" t="s">
        <v>31591</v>
      </c>
      <c r="I4507" t="s">
        <v>8822</v>
      </c>
      <c r="J4507" t="s">
        <v>34677</v>
      </c>
      <c r="K4507" t="s">
        <v>41240</v>
      </c>
      <c r="M4507" t="s">
        <v>43123</v>
      </c>
      <c r="N4507" t="s">
        <v>45095</v>
      </c>
      <c r="O4507" t="s">
        <v>45096</v>
      </c>
      <c r="P4507">
        <v>0</v>
      </c>
      <c r="Q4507">
        <v>0</v>
      </c>
      <c r="R4507" t="s">
        <v>45101</v>
      </c>
      <c r="S4507" t="s">
        <v>45231</v>
      </c>
      <c r="T4507" t="s">
        <v>47134</v>
      </c>
      <c r="U4507" t="s">
        <v>51282</v>
      </c>
      <c r="W4507" t="s">
        <v>43123</v>
      </c>
      <c r="X4507" t="s">
        <v>45102</v>
      </c>
    </row>
    <row r="4508" spans="1:24">
      <c r="A4508">
        <f>HYPERLINK("https://www.philgeps.gov.ph/GEPSNONPILOT/Tender/SplashBidNoticeAbstractUI.aspx?menuIndex=3&amp;refID=7042551&amp;Result=3","7042551")</f>
        <v>0</v>
      </c>
      <c r="B4508" t="s">
        <v>1540</v>
      </c>
      <c r="C4508" t="s">
        <v>7502</v>
      </c>
      <c r="D4508" t="s">
        <v>18073</v>
      </c>
      <c r="E4508" t="s">
        <v>22144</v>
      </c>
      <c r="F4508" t="s">
        <v>31574</v>
      </c>
      <c r="G4508" t="s">
        <v>31581</v>
      </c>
      <c r="H4508" t="s">
        <v>31590</v>
      </c>
      <c r="I4508" t="s">
        <v>4327</v>
      </c>
      <c r="J4508" t="s">
        <v>31845</v>
      </c>
      <c r="K4508" t="s">
        <v>41193</v>
      </c>
      <c r="L4508" t="s">
        <v>1540</v>
      </c>
      <c r="M4508" t="s">
        <v>43133</v>
      </c>
      <c r="N4508" t="s">
        <v>45095</v>
      </c>
      <c r="O4508" t="s">
        <v>45096</v>
      </c>
      <c r="P4508">
        <v>0</v>
      </c>
      <c r="Q4508">
        <v>2</v>
      </c>
      <c r="R4508" t="s">
        <v>45101</v>
      </c>
      <c r="S4508" t="s">
        <v>45231</v>
      </c>
      <c r="T4508" t="s">
        <v>47165</v>
      </c>
      <c r="U4508" t="s">
        <v>51283</v>
      </c>
      <c r="W4508" t="s">
        <v>43133</v>
      </c>
      <c r="X4508" t="s">
        <v>45102</v>
      </c>
    </row>
    <row r="4509" spans="1:24">
      <c r="A4509">
        <f>HYPERLINK("https://www.philgeps.gov.ph/GEPSNONPILOT/Tender/SplashBidNoticeAbstractUI.aspx?menuIndex=3&amp;refID=7042542&amp;Result=3","7042542")</f>
        <v>0</v>
      </c>
      <c r="B4509" t="s">
        <v>1534</v>
      </c>
      <c r="C4509" t="s">
        <v>7503</v>
      </c>
      <c r="D4509" t="s">
        <v>18052</v>
      </c>
      <c r="E4509" t="s">
        <v>22145</v>
      </c>
      <c r="F4509" t="s">
        <v>31574</v>
      </c>
      <c r="G4509" t="s">
        <v>31582</v>
      </c>
      <c r="H4509" t="s">
        <v>31590</v>
      </c>
      <c r="I4509" t="s">
        <v>8258</v>
      </c>
      <c r="J4509" t="s">
        <v>34678</v>
      </c>
      <c r="K4509" t="s">
        <v>41186</v>
      </c>
      <c r="L4509" t="s">
        <v>1534</v>
      </c>
      <c r="M4509" t="s">
        <v>43126</v>
      </c>
      <c r="N4509" t="s">
        <v>45095</v>
      </c>
      <c r="O4509" t="s">
        <v>45096</v>
      </c>
      <c r="P4509">
        <v>0</v>
      </c>
      <c r="Q4509">
        <v>1</v>
      </c>
      <c r="R4509" t="s">
        <v>45101</v>
      </c>
      <c r="S4509" t="s">
        <v>45231</v>
      </c>
      <c r="T4509" t="s">
        <v>47043</v>
      </c>
      <c r="U4509" t="s">
        <v>51284</v>
      </c>
      <c r="V4509" t="s">
        <v>60328</v>
      </c>
      <c r="W4509" t="s">
        <v>43126</v>
      </c>
      <c r="X4509" t="s">
        <v>45102</v>
      </c>
    </row>
    <row r="4510" spans="1:24">
      <c r="A4510">
        <f>HYPERLINK("https://www.philgeps.gov.ph/GEPSNONPILOT/Tender/SplashBidNoticeAbstractUI.aspx?menuIndex=3&amp;refID=7042533&amp;Result=3","7042533")</f>
        <v>0</v>
      </c>
      <c r="B4510" t="s">
        <v>1532</v>
      </c>
      <c r="C4510" t="s">
        <v>7504</v>
      </c>
      <c r="D4510" t="s">
        <v>18040</v>
      </c>
      <c r="E4510" t="s">
        <v>22146</v>
      </c>
      <c r="F4510" t="s">
        <v>31574</v>
      </c>
      <c r="G4510" t="s">
        <v>31581</v>
      </c>
      <c r="H4510" t="s">
        <v>31590</v>
      </c>
      <c r="I4510" t="s">
        <v>31610</v>
      </c>
      <c r="J4510" t="s">
        <v>34679</v>
      </c>
      <c r="K4510" t="s">
        <v>41211</v>
      </c>
      <c r="M4510" t="s">
        <v>43124</v>
      </c>
      <c r="N4510" t="s">
        <v>45095</v>
      </c>
      <c r="O4510" t="s">
        <v>45096</v>
      </c>
      <c r="P4510">
        <v>0</v>
      </c>
      <c r="Q4510">
        <v>9</v>
      </c>
      <c r="R4510" t="s">
        <v>45101</v>
      </c>
      <c r="S4510" t="s">
        <v>45231</v>
      </c>
      <c r="T4510" t="s">
        <v>47092</v>
      </c>
      <c r="U4510" t="s">
        <v>51285</v>
      </c>
      <c r="W4510" t="s">
        <v>43124</v>
      </c>
      <c r="X4510" t="s">
        <v>45102</v>
      </c>
    </row>
    <row r="4511" spans="1:24">
      <c r="A4511">
        <f>HYPERLINK("https://www.philgeps.gov.ph/GEPSNONPILOT/Tender/SplashBidNoticeAbstractUI.aspx?menuIndex=3&amp;refID=7042520&amp;Result=3","7042520")</f>
        <v>0</v>
      </c>
      <c r="B4511" t="s">
        <v>1419</v>
      </c>
      <c r="C4511" t="s">
        <v>7505</v>
      </c>
      <c r="D4511" t="s">
        <v>18057</v>
      </c>
      <c r="E4511" t="s">
        <v>22147</v>
      </c>
      <c r="F4511" t="s">
        <v>31574</v>
      </c>
      <c r="G4511" t="s">
        <v>31581</v>
      </c>
      <c r="H4511" t="s">
        <v>31590</v>
      </c>
      <c r="I4511" t="s">
        <v>3901</v>
      </c>
      <c r="J4511" t="s">
        <v>34680</v>
      </c>
      <c r="K4511" t="s">
        <v>41184</v>
      </c>
      <c r="M4511" t="s">
        <v>43134</v>
      </c>
      <c r="N4511" t="s">
        <v>45095</v>
      </c>
      <c r="O4511" t="s">
        <v>45096</v>
      </c>
      <c r="P4511">
        <v>0</v>
      </c>
      <c r="Q4511">
        <v>3</v>
      </c>
      <c r="R4511" t="s">
        <v>45101</v>
      </c>
      <c r="S4511" t="s">
        <v>45231</v>
      </c>
      <c r="T4511" t="s">
        <v>46973</v>
      </c>
      <c r="U4511" t="s">
        <v>51286</v>
      </c>
      <c r="V4511" t="s">
        <v>60329</v>
      </c>
      <c r="W4511" t="s">
        <v>43134</v>
      </c>
      <c r="X4511" t="s">
        <v>45102</v>
      </c>
    </row>
    <row r="4512" spans="1:24">
      <c r="A4512">
        <f>HYPERLINK("https://www.philgeps.gov.ph/GEPSNONPILOT/Tender/SplashBidNoticeAbstractUI.aspx?menuIndex=3&amp;refID=7042538&amp;Result=3","7042538")</f>
        <v>0</v>
      </c>
      <c r="B4512" t="s">
        <v>1440</v>
      </c>
      <c r="C4512" t="s">
        <v>7506</v>
      </c>
      <c r="D4512" t="s">
        <v>18084</v>
      </c>
      <c r="E4512" t="s">
        <v>22148</v>
      </c>
      <c r="F4512" t="s">
        <v>31574</v>
      </c>
      <c r="G4512" t="s">
        <v>31583</v>
      </c>
      <c r="H4512" t="s">
        <v>31590</v>
      </c>
      <c r="I4512" t="s">
        <v>6800</v>
      </c>
      <c r="J4512" t="s">
        <v>34681</v>
      </c>
      <c r="K4512" t="s">
        <v>41191</v>
      </c>
      <c r="M4512" t="s">
        <v>43135</v>
      </c>
      <c r="N4512" t="s">
        <v>45095</v>
      </c>
      <c r="O4512" t="s">
        <v>45096</v>
      </c>
      <c r="P4512">
        <v>0</v>
      </c>
      <c r="Q4512">
        <v>4</v>
      </c>
      <c r="R4512" t="s">
        <v>45101</v>
      </c>
      <c r="S4512" t="s">
        <v>45231</v>
      </c>
      <c r="T4512" t="s">
        <v>47159</v>
      </c>
      <c r="U4512" t="s">
        <v>51287</v>
      </c>
      <c r="V4512" t="s">
        <v>60330</v>
      </c>
      <c r="W4512" t="s">
        <v>61706</v>
      </c>
      <c r="X4512" t="s">
        <v>45102</v>
      </c>
    </row>
    <row r="4513" spans="1:24">
      <c r="A4513">
        <f>HYPERLINK("https://www.philgeps.gov.ph/GEPSNONPILOT/Tender/SplashBidNoticeAbstractUI.aspx?menuIndex=3&amp;refID=7042560&amp;Result=3","7042560")</f>
        <v>0</v>
      </c>
      <c r="B4513" t="s">
        <v>402</v>
      </c>
      <c r="C4513" t="s">
        <v>7507</v>
      </c>
      <c r="D4513" t="s">
        <v>18078</v>
      </c>
      <c r="E4513" t="s">
        <v>22149</v>
      </c>
      <c r="F4513" t="s">
        <v>31574</v>
      </c>
      <c r="G4513" t="s">
        <v>31581</v>
      </c>
      <c r="H4513" t="s">
        <v>31590</v>
      </c>
      <c r="I4513" t="s">
        <v>6800</v>
      </c>
      <c r="J4513" t="s">
        <v>34682</v>
      </c>
      <c r="K4513" t="s">
        <v>41190</v>
      </c>
      <c r="M4513" t="s">
        <v>41893</v>
      </c>
      <c r="N4513" t="s">
        <v>45095</v>
      </c>
      <c r="O4513" t="s">
        <v>45096</v>
      </c>
      <c r="P4513">
        <v>0</v>
      </c>
      <c r="Q4513">
        <v>0</v>
      </c>
      <c r="R4513" t="s">
        <v>45101</v>
      </c>
      <c r="S4513" t="s">
        <v>45231</v>
      </c>
      <c r="T4513" t="s">
        <v>47183</v>
      </c>
      <c r="U4513" t="s">
        <v>51288</v>
      </c>
      <c r="W4513" t="s">
        <v>41893</v>
      </c>
      <c r="X4513" t="s">
        <v>45102</v>
      </c>
    </row>
    <row r="4514" spans="1:24">
      <c r="A4514">
        <f>HYPERLINK("https://www.philgeps.gov.ph/GEPSNONPILOT/Tender/SplashBidNoticeAbstractUI.aspx?menuIndex=3&amp;refID=7042557&amp;Result=3","7042557")</f>
        <v>0</v>
      </c>
      <c r="B4514" t="s">
        <v>795</v>
      </c>
      <c r="C4514" t="s">
        <v>7508</v>
      </c>
      <c r="D4514" t="s">
        <v>18033</v>
      </c>
      <c r="E4514" t="s">
        <v>22150</v>
      </c>
      <c r="F4514" t="s">
        <v>31574</v>
      </c>
      <c r="G4514" t="s">
        <v>31584</v>
      </c>
      <c r="H4514" t="s">
        <v>31590</v>
      </c>
      <c r="I4514" t="s">
        <v>3487</v>
      </c>
      <c r="J4514" t="s">
        <v>34683</v>
      </c>
      <c r="K4514" t="s">
        <v>41193</v>
      </c>
      <c r="M4514" t="s">
        <v>42309</v>
      </c>
      <c r="N4514" t="s">
        <v>45095</v>
      </c>
      <c r="O4514" t="s">
        <v>45096</v>
      </c>
      <c r="P4514">
        <v>0</v>
      </c>
      <c r="Q4514">
        <v>1</v>
      </c>
      <c r="R4514" t="s">
        <v>45101</v>
      </c>
      <c r="S4514" t="s">
        <v>45231</v>
      </c>
      <c r="T4514" t="s">
        <v>46963</v>
      </c>
      <c r="U4514" t="s">
        <v>51289</v>
      </c>
      <c r="W4514" t="s">
        <v>42309</v>
      </c>
      <c r="X4514" t="s">
        <v>45102</v>
      </c>
    </row>
    <row r="4515" spans="1:24">
      <c r="A4515">
        <f>HYPERLINK("https://www.philgeps.gov.ph/GEPSNONPILOT/Tender/SplashBidNoticeAbstractUI.aspx?menuIndex=3&amp;refID=7042547&amp;Result=3","7042547")</f>
        <v>0</v>
      </c>
      <c r="B4515" t="s">
        <v>1541</v>
      </c>
      <c r="C4515" t="s">
        <v>7509</v>
      </c>
      <c r="D4515" t="s">
        <v>18043</v>
      </c>
      <c r="E4515" t="s">
        <v>18607</v>
      </c>
      <c r="F4515" t="s">
        <v>31574</v>
      </c>
      <c r="G4515" t="s">
        <v>31581</v>
      </c>
      <c r="H4515" t="s">
        <v>31591</v>
      </c>
      <c r="I4515" t="s">
        <v>8822</v>
      </c>
      <c r="J4515" t="s">
        <v>34684</v>
      </c>
      <c r="K4515" t="s">
        <v>41186</v>
      </c>
      <c r="M4515" t="s">
        <v>43136</v>
      </c>
      <c r="N4515" t="s">
        <v>45095</v>
      </c>
      <c r="O4515" t="s">
        <v>45096</v>
      </c>
      <c r="P4515">
        <v>0</v>
      </c>
      <c r="Q4515">
        <v>0</v>
      </c>
      <c r="R4515" t="s">
        <v>45101</v>
      </c>
      <c r="S4515" t="s">
        <v>45231</v>
      </c>
      <c r="T4515" t="s">
        <v>47076</v>
      </c>
      <c r="U4515" t="s">
        <v>51290</v>
      </c>
      <c r="W4515" t="s">
        <v>43136</v>
      </c>
      <c r="X4515" t="s">
        <v>45102</v>
      </c>
    </row>
    <row r="4516" spans="1:24">
      <c r="A4516">
        <f>HYPERLINK("https://www.philgeps.gov.ph/GEPSNONPILOT/Tender/SplashBidNoticeAbstractUI.aspx?menuIndex=3&amp;refID=7042554&amp;Result=3","7042554")</f>
        <v>0</v>
      </c>
      <c r="B4516" t="s">
        <v>1542</v>
      </c>
      <c r="C4516" t="s">
        <v>7510</v>
      </c>
      <c r="D4516" t="s">
        <v>18079</v>
      </c>
      <c r="E4516" t="s">
        <v>22151</v>
      </c>
      <c r="F4516" t="s">
        <v>31574</v>
      </c>
      <c r="G4516" t="s">
        <v>31581</v>
      </c>
      <c r="H4516" t="s">
        <v>31590</v>
      </c>
      <c r="I4516" t="s">
        <v>31600</v>
      </c>
      <c r="J4516" t="s">
        <v>31741</v>
      </c>
      <c r="K4516" t="s">
        <v>41193</v>
      </c>
      <c r="M4516" t="s">
        <v>43137</v>
      </c>
      <c r="N4516" t="s">
        <v>45095</v>
      </c>
      <c r="O4516" t="s">
        <v>45096</v>
      </c>
      <c r="P4516">
        <v>0</v>
      </c>
      <c r="Q4516">
        <v>4</v>
      </c>
      <c r="R4516" t="s">
        <v>45101</v>
      </c>
      <c r="S4516" t="s">
        <v>45231</v>
      </c>
      <c r="T4516" t="s">
        <v>47183</v>
      </c>
      <c r="U4516" t="s">
        <v>51291</v>
      </c>
      <c r="W4516" t="s">
        <v>43137</v>
      </c>
      <c r="X4516" t="s">
        <v>45102</v>
      </c>
    </row>
    <row r="4517" spans="1:24">
      <c r="A4517">
        <f>HYPERLINK("https://www.philgeps.gov.ph/GEPSNONPILOT/Tender/SplashBidNoticeAbstractUI.aspx?menuIndex=3&amp;refID=7042559&amp;Result=3","7042559")</f>
        <v>0</v>
      </c>
      <c r="B4517" t="s">
        <v>1531</v>
      </c>
      <c r="C4517" t="s">
        <v>7511</v>
      </c>
      <c r="D4517" t="s">
        <v>18044</v>
      </c>
      <c r="E4517" t="s">
        <v>22152</v>
      </c>
      <c r="F4517" t="s">
        <v>31574</v>
      </c>
      <c r="G4517" t="s">
        <v>31582</v>
      </c>
      <c r="H4517" t="s">
        <v>31591</v>
      </c>
      <c r="I4517" t="s">
        <v>8822</v>
      </c>
      <c r="J4517" t="s">
        <v>34685</v>
      </c>
      <c r="K4517" t="s">
        <v>41200</v>
      </c>
      <c r="M4517" t="s">
        <v>43122</v>
      </c>
      <c r="N4517" t="s">
        <v>45095</v>
      </c>
      <c r="O4517" t="s">
        <v>45096</v>
      </c>
      <c r="P4517">
        <v>0</v>
      </c>
      <c r="Q4517">
        <v>1</v>
      </c>
      <c r="R4517" t="s">
        <v>45101</v>
      </c>
      <c r="S4517" t="s">
        <v>45231</v>
      </c>
      <c r="T4517" t="s">
        <v>46962</v>
      </c>
      <c r="U4517" t="s">
        <v>51259</v>
      </c>
      <c r="V4517" t="s">
        <v>60323</v>
      </c>
      <c r="W4517" t="s">
        <v>43122</v>
      </c>
      <c r="X4517" t="s">
        <v>45102</v>
      </c>
    </row>
    <row r="4518" spans="1:24">
      <c r="A4518">
        <f>HYPERLINK("https://www.philgeps.gov.ph/GEPSNONPILOT/Tender/SplashBidNoticeAbstractUI.aspx?menuIndex=3&amp;refID=7042552&amp;Result=3","7042552")</f>
        <v>0</v>
      </c>
      <c r="B4518" t="s">
        <v>1543</v>
      </c>
      <c r="C4518" t="s">
        <v>7512</v>
      </c>
      <c r="D4518" t="s">
        <v>18046</v>
      </c>
      <c r="E4518" t="s">
        <v>22153</v>
      </c>
      <c r="F4518" t="s">
        <v>31574</v>
      </c>
      <c r="G4518" t="s">
        <v>31581</v>
      </c>
      <c r="H4518" t="s">
        <v>31590</v>
      </c>
      <c r="I4518" t="s">
        <v>31654</v>
      </c>
      <c r="J4518" t="s">
        <v>31845</v>
      </c>
      <c r="K4518" t="s">
        <v>41193</v>
      </c>
      <c r="M4518" t="s">
        <v>43138</v>
      </c>
      <c r="N4518" t="s">
        <v>45095</v>
      </c>
      <c r="O4518" t="s">
        <v>45096</v>
      </c>
      <c r="P4518">
        <v>0</v>
      </c>
      <c r="Q4518">
        <v>1</v>
      </c>
      <c r="R4518" t="s">
        <v>45101</v>
      </c>
      <c r="S4518" t="s">
        <v>45231</v>
      </c>
      <c r="T4518" t="s">
        <v>46911</v>
      </c>
      <c r="U4518" t="s">
        <v>51292</v>
      </c>
      <c r="W4518" t="s">
        <v>43138</v>
      </c>
      <c r="X4518" t="s">
        <v>45102</v>
      </c>
    </row>
    <row r="4519" spans="1:24">
      <c r="A4519">
        <f>HYPERLINK("https://www.philgeps.gov.ph/GEPSNONPILOT/Tender/SplashBidNoticeAbstractUI.aspx?menuIndex=3&amp;refID=7042563&amp;Result=3","7042563")</f>
        <v>0</v>
      </c>
      <c r="B4519" t="s">
        <v>1544</v>
      </c>
      <c r="C4519" t="s">
        <v>7513</v>
      </c>
      <c r="D4519" t="s">
        <v>18075</v>
      </c>
      <c r="E4519" t="s">
        <v>22154</v>
      </c>
      <c r="F4519" t="s">
        <v>31574</v>
      </c>
      <c r="G4519" t="s">
        <v>31582</v>
      </c>
      <c r="H4519" t="s">
        <v>31592</v>
      </c>
      <c r="I4519" t="s">
        <v>31611</v>
      </c>
      <c r="J4519" t="s">
        <v>31935</v>
      </c>
      <c r="K4519" t="s">
        <v>41186</v>
      </c>
      <c r="M4519" t="s">
        <v>43139</v>
      </c>
      <c r="N4519" t="s">
        <v>45095</v>
      </c>
      <c r="O4519" t="s">
        <v>45096</v>
      </c>
      <c r="Q4519">
        <v>0</v>
      </c>
      <c r="R4519" t="s">
        <v>45101</v>
      </c>
      <c r="S4519" t="s">
        <v>45236</v>
      </c>
      <c r="T4519" t="s">
        <v>46931</v>
      </c>
      <c r="U4519" t="s">
        <v>51293</v>
      </c>
      <c r="W4519" t="s">
        <v>43139</v>
      </c>
      <c r="X4519" t="s">
        <v>45102</v>
      </c>
    </row>
    <row r="4520" spans="1:24">
      <c r="A4520">
        <f>HYPERLINK("https://www.philgeps.gov.ph/GEPSNONPILOT/Tender/SplashBidNoticeAbstractUI.aspx?menuIndex=3&amp;refID=7042555&amp;Result=3","7042555")</f>
        <v>0</v>
      </c>
      <c r="B4520" t="s">
        <v>1350</v>
      </c>
      <c r="C4520" t="s">
        <v>7514</v>
      </c>
      <c r="D4520" t="s">
        <v>18057</v>
      </c>
      <c r="E4520" t="s">
        <v>22155</v>
      </c>
      <c r="F4520" t="s">
        <v>31574</v>
      </c>
      <c r="G4520" t="s">
        <v>31581</v>
      </c>
      <c r="H4520" t="s">
        <v>31590</v>
      </c>
      <c r="I4520" t="s">
        <v>4354</v>
      </c>
      <c r="J4520" t="s">
        <v>32211</v>
      </c>
      <c r="K4520" t="s">
        <v>41186</v>
      </c>
      <c r="M4520" t="s">
        <v>42922</v>
      </c>
      <c r="N4520" t="s">
        <v>45095</v>
      </c>
      <c r="O4520" t="s">
        <v>45096</v>
      </c>
      <c r="P4520">
        <v>0</v>
      </c>
      <c r="Q4520">
        <v>10</v>
      </c>
      <c r="R4520" t="s">
        <v>45101</v>
      </c>
      <c r="S4520" t="s">
        <v>45231</v>
      </c>
      <c r="T4520" t="s">
        <v>47064</v>
      </c>
      <c r="U4520" t="s">
        <v>51294</v>
      </c>
      <c r="W4520" t="s">
        <v>42922</v>
      </c>
      <c r="X4520" t="s">
        <v>45102</v>
      </c>
    </row>
    <row r="4521" spans="1:24">
      <c r="A4521">
        <f>HYPERLINK("https://www.philgeps.gov.ph/GEPSNONPILOT/Tender/SplashBidNoticeAbstractUI.aspx?menuIndex=3&amp;refID=7042545&amp;Result=3","7042545")</f>
        <v>0</v>
      </c>
      <c r="B4521" t="s">
        <v>702</v>
      </c>
      <c r="C4521" t="s">
        <v>7515</v>
      </c>
      <c r="D4521" t="s">
        <v>18041</v>
      </c>
      <c r="E4521" t="s">
        <v>22156</v>
      </c>
      <c r="F4521" t="s">
        <v>31574</v>
      </c>
      <c r="G4521" t="s">
        <v>31581</v>
      </c>
      <c r="H4521" t="s">
        <v>31590</v>
      </c>
      <c r="I4521" t="s">
        <v>4046</v>
      </c>
      <c r="J4521" t="s">
        <v>34686</v>
      </c>
      <c r="K4521" t="s">
        <v>41193</v>
      </c>
      <c r="M4521" t="s">
        <v>43140</v>
      </c>
      <c r="N4521" t="s">
        <v>45095</v>
      </c>
      <c r="O4521" t="s">
        <v>45096</v>
      </c>
      <c r="P4521">
        <v>0</v>
      </c>
      <c r="Q4521">
        <v>0</v>
      </c>
      <c r="R4521" t="s">
        <v>45101</v>
      </c>
      <c r="S4521" t="s">
        <v>45231</v>
      </c>
      <c r="T4521" t="s">
        <v>47176</v>
      </c>
      <c r="U4521" t="s">
        <v>51295</v>
      </c>
      <c r="W4521" t="s">
        <v>43140</v>
      </c>
      <c r="X4521" t="s">
        <v>45102</v>
      </c>
    </row>
    <row r="4522" spans="1:24">
      <c r="A4522">
        <f>HYPERLINK("https://www.philgeps.gov.ph/GEPSNONPILOT/Tender/SplashBidNoticeAbstractUI.aspx?menuIndex=3&amp;refID=7042587&amp;Result=3","7042587")</f>
        <v>0</v>
      </c>
      <c r="B4522" t="s">
        <v>1545</v>
      </c>
      <c r="C4522" t="s">
        <v>7516</v>
      </c>
      <c r="D4522" t="s">
        <v>18023</v>
      </c>
      <c r="E4522" t="s">
        <v>22157</v>
      </c>
      <c r="F4522" t="s">
        <v>31574</v>
      </c>
      <c r="G4522" t="s">
        <v>31582</v>
      </c>
      <c r="H4522" t="s">
        <v>31591</v>
      </c>
      <c r="I4522" t="s">
        <v>8822</v>
      </c>
      <c r="J4522" t="s">
        <v>33445</v>
      </c>
      <c r="K4522" t="s">
        <v>41318</v>
      </c>
      <c r="M4522" t="s">
        <v>43141</v>
      </c>
      <c r="N4522" t="s">
        <v>45095</v>
      </c>
      <c r="O4522" t="s">
        <v>45096</v>
      </c>
      <c r="P4522">
        <v>0</v>
      </c>
      <c r="Q4522">
        <v>14</v>
      </c>
      <c r="R4522" t="s">
        <v>45101</v>
      </c>
      <c r="S4522" t="s">
        <v>45231</v>
      </c>
      <c r="T4522" t="s">
        <v>47011</v>
      </c>
      <c r="U4522" t="s">
        <v>51296</v>
      </c>
      <c r="W4522" t="s">
        <v>43141</v>
      </c>
      <c r="X4522" t="s">
        <v>45102</v>
      </c>
    </row>
    <row r="4523" spans="1:24">
      <c r="A4523">
        <f>HYPERLINK("https://www.philgeps.gov.ph/GEPSNONPILOT/Tender/SplashBidNoticeAbstractUI.aspx?menuIndex=3&amp;refID=7042581&amp;Result=3","7042581")</f>
        <v>0</v>
      </c>
      <c r="B4523" t="s">
        <v>1310</v>
      </c>
      <c r="C4523" t="s">
        <v>7517</v>
      </c>
      <c r="D4523" t="s">
        <v>18074</v>
      </c>
      <c r="E4523" t="s">
        <v>22158</v>
      </c>
      <c r="F4523" t="s">
        <v>31574</v>
      </c>
      <c r="G4523" t="s">
        <v>31582</v>
      </c>
      <c r="H4523" t="s">
        <v>31590</v>
      </c>
      <c r="I4523" t="s">
        <v>4046</v>
      </c>
      <c r="J4523" t="s">
        <v>34687</v>
      </c>
      <c r="K4523" t="s">
        <v>41190</v>
      </c>
      <c r="M4523" t="s">
        <v>42880</v>
      </c>
      <c r="N4523" t="s">
        <v>45095</v>
      </c>
      <c r="O4523" t="s">
        <v>45096</v>
      </c>
      <c r="P4523">
        <v>0</v>
      </c>
      <c r="Q4523">
        <v>0</v>
      </c>
      <c r="R4523" t="s">
        <v>45101</v>
      </c>
      <c r="S4523" t="s">
        <v>45231</v>
      </c>
      <c r="T4523" t="s">
        <v>47043</v>
      </c>
      <c r="U4523" t="s">
        <v>51297</v>
      </c>
      <c r="W4523" t="s">
        <v>42880</v>
      </c>
      <c r="X4523" t="s">
        <v>45102</v>
      </c>
    </row>
    <row r="4524" spans="1:24">
      <c r="A4524">
        <f>HYPERLINK("https://www.philgeps.gov.ph/GEPSNONPILOT/Tender/SplashBidNoticeAbstractUI.aspx?menuIndex=3&amp;refID=7042544&amp;Result=3","7042544")</f>
        <v>0</v>
      </c>
      <c r="B4524" t="s">
        <v>763</v>
      </c>
      <c r="C4524" t="s">
        <v>7518</v>
      </c>
      <c r="D4524" t="s">
        <v>18033</v>
      </c>
      <c r="E4524" t="s">
        <v>22159</v>
      </c>
      <c r="F4524" t="s">
        <v>31574</v>
      </c>
      <c r="G4524" t="s">
        <v>31581</v>
      </c>
      <c r="H4524" t="s">
        <v>31590</v>
      </c>
      <c r="I4524" t="s">
        <v>31617</v>
      </c>
      <c r="J4524" t="s">
        <v>33588</v>
      </c>
      <c r="K4524" t="s">
        <v>41184</v>
      </c>
      <c r="M4524" t="s">
        <v>43142</v>
      </c>
      <c r="N4524" t="s">
        <v>45095</v>
      </c>
      <c r="O4524" t="s">
        <v>45096</v>
      </c>
      <c r="P4524">
        <v>0</v>
      </c>
      <c r="Q4524">
        <v>2</v>
      </c>
      <c r="R4524" t="s">
        <v>45101</v>
      </c>
      <c r="S4524" t="s">
        <v>45231</v>
      </c>
      <c r="T4524" t="s">
        <v>47076</v>
      </c>
      <c r="U4524" t="s">
        <v>51298</v>
      </c>
      <c r="W4524" t="s">
        <v>43142</v>
      </c>
      <c r="X4524" t="s">
        <v>45102</v>
      </c>
    </row>
    <row r="4525" spans="1:24">
      <c r="A4525">
        <f>HYPERLINK("https://www.philgeps.gov.ph/GEPSNONPILOT/Tender/SplashBidNoticeAbstractUI.aspx?menuIndex=3&amp;refID=7042574&amp;Result=3","7042574")</f>
        <v>0</v>
      </c>
      <c r="B4525" t="s">
        <v>344</v>
      </c>
      <c r="C4525" t="s">
        <v>7519</v>
      </c>
      <c r="D4525" t="s">
        <v>18027</v>
      </c>
      <c r="E4525" t="s">
        <v>22160</v>
      </c>
      <c r="F4525" t="s">
        <v>31574</v>
      </c>
      <c r="G4525" t="s">
        <v>31581</v>
      </c>
      <c r="H4525" t="s">
        <v>31590</v>
      </c>
      <c r="I4525" t="s">
        <v>3651</v>
      </c>
      <c r="J4525" t="s">
        <v>32101</v>
      </c>
      <c r="K4525" t="s">
        <v>41184</v>
      </c>
      <c r="M4525" t="s">
        <v>43143</v>
      </c>
      <c r="N4525" t="s">
        <v>45095</v>
      </c>
      <c r="O4525" t="s">
        <v>45096</v>
      </c>
      <c r="P4525">
        <v>0</v>
      </c>
      <c r="Q4525">
        <v>0</v>
      </c>
      <c r="R4525" t="s">
        <v>45101</v>
      </c>
      <c r="S4525" t="s">
        <v>45231</v>
      </c>
      <c r="T4525" t="s">
        <v>46911</v>
      </c>
      <c r="U4525" t="s">
        <v>51299</v>
      </c>
      <c r="W4525" t="s">
        <v>43143</v>
      </c>
      <c r="X4525" t="s">
        <v>45102</v>
      </c>
    </row>
    <row r="4526" spans="1:24">
      <c r="A4526">
        <f>HYPERLINK("https://www.philgeps.gov.ph/GEPSNONPILOT/Tender/SplashBidNoticeAbstractUI.aspx?menuIndex=3&amp;refID=7042573&amp;Result=3","7042573")</f>
        <v>0</v>
      </c>
      <c r="B4526" t="s">
        <v>1546</v>
      </c>
      <c r="C4526" t="s">
        <v>7520</v>
      </c>
      <c r="D4526" t="s">
        <v>18075</v>
      </c>
      <c r="E4526" t="s">
        <v>22161</v>
      </c>
      <c r="F4526" t="s">
        <v>31574</v>
      </c>
      <c r="G4526" t="s">
        <v>31583</v>
      </c>
      <c r="H4526" t="s">
        <v>31590</v>
      </c>
      <c r="I4526" t="s">
        <v>31607</v>
      </c>
      <c r="J4526" t="s">
        <v>31782</v>
      </c>
      <c r="K4526" t="s">
        <v>41211</v>
      </c>
      <c r="M4526" t="s">
        <v>43144</v>
      </c>
      <c r="N4526" t="s">
        <v>45095</v>
      </c>
      <c r="O4526" t="s">
        <v>45096</v>
      </c>
      <c r="P4526">
        <v>0</v>
      </c>
      <c r="Q4526">
        <v>2</v>
      </c>
      <c r="R4526" t="s">
        <v>45101</v>
      </c>
      <c r="S4526" t="s">
        <v>45231</v>
      </c>
      <c r="T4526" t="s">
        <v>47165</v>
      </c>
      <c r="U4526" t="s">
        <v>51300</v>
      </c>
      <c r="W4526" t="s">
        <v>43144</v>
      </c>
      <c r="X4526" t="s">
        <v>45102</v>
      </c>
    </row>
    <row r="4527" spans="1:24">
      <c r="A4527">
        <f>HYPERLINK("https://www.philgeps.gov.ph/GEPSNONPILOT/Tender/SplashBidNoticeAbstractUI.aspx?menuIndex=3&amp;refID=7042575&amp;Result=3","7042575")</f>
        <v>0</v>
      </c>
      <c r="B4527" t="s">
        <v>241</v>
      </c>
      <c r="C4527" t="s">
        <v>7521</v>
      </c>
      <c r="D4527" t="s">
        <v>18072</v>
      </c>
      <c r="E4527" t="s">
        <v>22162</v>
      </c>
      <c r="F4527" t="s">
        <v>31574</v>
      </c>
      <c r="G4527" t="s">
        <v>31581</v>
      </c>
      <c r="H4527" t="s">
        <v>31590</v>
      </c>
      <c r="I4527" t="s">
        <v>4327</v>
      </c>
      <c r="J4527" t="s">
        <v>32553</v>
      </c>
      <c r="K4527" t="s">
        <v>41213</v>
      </c>
      <c r="M4527" t="s">
        <v>41727</v>
      </c>
      <c r="N4527" t="s">
        <v>45095</v>
      </c>
      <c r="O4527" t="s">
        <v>45096</v>
      </c>
      <c r="P4527">
        <v>0</v>
      </c>
      <c r="Q4527">
        <v>0</v>
      </c>
      <c r="R4527" t="s">
        <v>45101</v>
      </c>
      <c r="S4527" t="s">
        <v>45231</v>
      </c>
      <c r="T4527" t="s">
        <v>47159</v>
      </c>
      <c r="U4527" t="s">
        <v>51301</v>
      </c>
      <c r="W4527" t="s">
        <v>41727</v>
      </c>
      <c r="X4527" t="s">
        <v>45102</v>
      </c>
    </row>
    <row r="4528" spans="1:24">
      <c r="A4528">
        <f>HYPERLINK("https://www.philgeps.gov.ph/GEPSNONPILOT/Tender/SplashBidNoticeAbstractUI.aspx?menuIndex=3&amp;refID=7042588&amp;Result=3","7042588")</f>
        <v>0</v>
      </c>
      <c r="B4528" t="s">
        <v>83</v>
      </c>
      <c r="C4528" t="s">
        <v>7522</v>
      </c>
      <c r="D4528" t="s">
        <v>18043</v>
      </c>
      <c r="E4528" t="s">
        <v>22163</v>
      </c>
      <c r="F4528" t="s">
        <v>31574</v>
      </c>
      <c r="G4528" t="s">
        <v>31581</v>
      </c>
      <c r="H4528" t="s">
        <v>31590</v>
      </c>
      <c r="I4528" t="s">
        <v>31683</v>
      </c>
      <c r="J4528" t="s">
        <v>34688</v>
      </c>
      <c r="K4528" t="s">
        <v>41196</v>
      </c>
      <c r="M4528" t="s">
        <v>41567</v>
      </c>
      <c r="N4528" t="s">
        <v>45095</v>
      </c>
      <c r="O4528" t="s">
        <v>45096</v>
      </c>
      <c r="P4528">
        <v>0</v>
      </c>
      <c r="Q4528">
        <v>2</v>
      </c>
      <c r="R4528" t="s">
        <v>45101</v>
      </c>
      <c r="S4528" t="s">
        <v>45231</v>
      </c>
      <c r="T4528" t="s">
        <v>47067</v>
      </c>
      <c r="U4528" t="s">
        <v>51302</v>
      </c>
      <c r="W4528" t="s">
        <v>41567</v>
      </c>
      <c r="X4528" t="s">
        <v>45102</v>
      </c>
    </row>
    <row r="4529" spans="1:24">
      <c r="A4529">
        <f>HYPERLINK("https://www.philgeps.gov.ph/GEPSNONPILOT/Tender/SplashBidNoticeAbstractUI.aspx?menuIndex=3&amp;refID=7042569&amp;Result=3","7042569")</f>
        <v>0</v>
      </c>
      <c r="B4529" t="s">
        <v>1531</v>
      </c>
      <c r="C4529" t="s">
        <v>7523</v>
      </c>
      <c r="D4529" t="s">
        <v>18044</v>
      </c>
      <c r="E4529" t="s">
        <v>22164</v>
      </c>
      <c r="F4529" t="s">
        <v>31574</v>
      </c>
      <c r="G4529" t="s">
        <v>31582</v>
      </c>
      <c r="H4529" t="s">
        <v>31591</v>
      </c>
      <c r="I4529" t="s">
        <v>8822</v>
      </c>
      <c r="J4529" t="s">
        <v>34689</v>
      </c>
      <c r="K4529" t="s">
        <v>41200</v>
      </c>
      <c r="M4529" t="s">
        <v>43122</v>
      </c>
      <c r="N4529" t="s">
        <v>45095</v>
      </c>
      <c r="O4529" t="s">
        <v>45096</v>
      </c>
      <c r="P4529">
        <v>0</v>
      </c>
      <c r="Q4529">
        <v>2</v>
      </c>
      <c r="R4529" t="s">
        <v>45101</v>
      </c>
      <c r="S4529" t="s">
        <v>45231</v>
      </c>
      <c r="T4529" t="s">
        <v>46962</v>
      </c>
      <c r="U4529" t="s">
        <v>51259</v>
      </c>
      <c r="V4529" t="s">
        <v>60323</v>
      </c>
      <c r="W4529" t="s">
        <v>43122</v>
      </c>
      <c r="X4529" t="s">
        <v>45102</v>
      </c>
    </row>
    <row r="4530" spans="1:24">
      <c r="A4530">
        <f>HYPERLINK("https://www.philgeps.gov.ph/GEPSNONPILOT/Tender/SplashBidNoticeAbstractUI.aspx?menuIndex=3&amp;refID=7042570&amp;Result=3","7042570")</f>
        <v>0</v>
      </c>
      <c r="B4530" t="s">
        <v>1545</v>
      </c>
      <c r="C4530" t="s">
        <v>7524</v>
      </c>
      <c r="D4530" t="s">
        <v>18023</v>
      </c>
      <c r="E4530" t="s">
        <v>22165</v>
      </c>
      <c r="F4530" t="s">
        <v>31574</v>
      </c>
      <c r="G4530" t="s">
        <v>31582</v>
      </c>
      <c r="H4530" t="s">
        <v>31591</v>
      </c>
      <c r="I4530" t="s">
        <v>8822</v>
      </c>
      <c r="J4530" t="s">
        <v>34690</v>
      </c>
      <c r="K4530" t="s">
        <v>41318</v>
      </c>
      <c r="M4530" t="s">
        <v>43141</v>
      </c>
      <c r="N4530" t="s">
        <v>45095</v>
      </c>
      <c r="O4530" t="s">
        <v>45096</v>
      </c>
      <c r="P4530">
        <v>0</v>
      </c>
      <c r="Q4530">
        <v>16</v>
      </c>
      <c r="R4530" t="s">
        <v>45101</v>
      </c>
      <c r="S4530" t="s">
        <v>45231</v>
      </c>
      <c r="T4530" t="s">
        <v>47011</v>
      </c>
      <c r="U4530" t="s">
        <v>51303</v>
      </c>
      <c r="W4530" t="s">
        <v>43141</v>
      </c>
      <c r="X4530" t="s">
        <v>45102</v>
      </c>
    </row>
    <row r="4531" spans="1:24">
      <c r="A4531">
        <f>HYPERLINK("https://www.philgeps.gov.ph/GEPSNONPILOT/Tender/SplashBidNoticeAbstractUI.aspx?menuIndex=3&amp;refID=7042605&amp;Result=3","7042605")</f>
        <v>0</v>
      </c>
      <c r="B4531" t="s">
        <v>309</v>
      </c>
      <c r="C4531" t="s">
        <v>7525</v>
      </c>
      <c r="D4531" t="s">
        <v>18074</v>
      </c>
      <c r="E4531" t="s">
        <v>22166</v>
      </c>
      <c r="F4531" t="s">
        <v>31574</v>
      </c>
      <c r="G4531" t="s">
        <v>31582</v>
      </c>
      <c r="H4531" t="s">
        <v>31590</v>
      </c>
      <c r="I4531" t="s">
        <v>4046</v>
      </c>
      <c r="J4531" t="s">
        <v>34691</v>
      </c>
      <c r="K4531" t="s">
        <v>41184</v>
      </c>
      <c r="M4531" t="s">
        <v>41795</v>
      </c>
      <c r="N4531" t="s">
        <v>45095</v>
      </c>
      <c r="O4531" t="s">
        <v>45096</v>
      </c>
      <c r="P4531">
        <v>0</v>
      </c>
      <c r="Q4531">
        <v>1</v>
      </c>
      <c r="R4531" t="s">
        <v>45101</v>
      </c>
      <c r="S4531" t="s">
        <v>45231</v>
      </c>
      <c r="T4531" t="s">
        <v>46932</v>
      </c>
      <c r="U4531" t="s">
        <v>51304</v>
      </c>
      <c r="W4531" t="s">
        <v>41795</v>
      </c>
      <c r="X4531" t="s">
        <v>45102</v>
      </c>
    </row>
    <row r="4532" spans="1:24">
      <c r="A4532">
        <f>HYPERLINK("https://www.philgeps.gov.ph/GEPSNONPILOT/Tender/SplashBidNoticeAbstractUI.aspx?menuIndex=3&amp;refID=7042566&amp;Result=3","7042566")</f>
        <v>0</v>
      </c>
      <c r="B4532" t="s">
        <v>335</v>
      </c>
      <c r="C4532" t="s">
        <v>7526</v>
      </c>
      <c r="D4532" t="s">
        <v>18079</v>
      </c>
      <c r="E4532" t="s">
        <v>22167</v>
      </c>
      <c r="F4532" t="s">
        <v>31574</v>
      </c>
      <c r="G4532" t="s">
        <v>31582</v>
      </c>
      <c r="H4532" t="s">
        <v>31591</v>
      </c>
      <c r="I4532" t="s">
        <v>8822</v>
      </c>
      <c r="J4532" t="s">
        <v>31771</v>
      </c>
      <c r="K4532" t="s">
        <v>41263</v>
      </c>
      <c r="M4532" t="s">
        <v>43123</v>
      </c>
      <c r="N4532" t="s">
        <v>45095</v>
      </c>
      <c r="O4532" t="s">
        <v>45096</v>
      </c>
      <c r="P4532">
        <v>0</v>
      </c>
      <c r="Q4532">
        <v>0</v>
      </c>
      <c r="R4532" t="s">
        <v>45101</v>
      </c>
      <c r="S4532" t="s">
        <v>45231</v>
      </c>
      <c r="T4532" t="s">
        <v>47134</v>
      </c>
      <c r="U4532" t="s">
        <v>51305</v>
      </c>
      <c r="W4532" t="s">
        <v>43123</v>
      </c>
      <c r="X4532" t="s">
        <v>45102</v>
      </c>
    </row>
    <row r="4533" spans="1:24">
      <c r="A4533">
        <f>HYPERLINK("https://www.philgeps.gov.ph/GEPSNONPILOT/Tender/SplashBidNoticeAbstractUI.aspx?menuIndex=3&amp;refID=7042578&amp;Result=3","7042578")</f>
        <v>0</v>
      </c>
      <c r="B4533" t="s">
        <v>461</v>
      </c>
      <c r="C4533" t="s">
        <v>7527</v>
      </c>
      <c r="D4533" t="s">
        <v>18057</v>
      </c>
      <c r="E4533" t="s">
        <v>22168</v>
      </c>
      <c r="F4533" t="s">
        <v>31574</v>
      </c>
      <c r="G4533" t="s">
        <v>31582</v>
      </c>
      <c r="H4533" t="s">
        <v>31591</v>
      </c>
      <c r="I4533" t="s">
        <v>8822</v>
      </c>
      <c r="J4533" t="s">
        <v>34692</v>
      </c>
      <c r="K4533" t="s">
        <v>41192</v>
      </c>
      <c r="M4533" t="s">
        <v>41955</v>
      </c>
      <c r="N4533" t="s">
        <v>45095</v>
      </c>
      <c r="O4533" t="s">
        <v>45096</v>
      </c>
      <c r="P4533">
        <v>0</v>
      </c>
      <c r="Q4533">
        <v>0</v>
      </c>
      <c r="R4533" t="s">
        <v>45101</v>
      </c>
      <c r="S4533" t="s">
        <v>45231</v>
      </c>
      <c r="T4533" t="s">
        <v>46910</v>
      </c>
      <c r="U4533" t="s">
        <v>51306</v>
      </c>
      <c r="W4533" t="s">
        <v>41955</v>
      </c>
      <c r="X4533" t="s">
        <v>45102</v>
      </c>
    </row>
    <row r="4534" spans="1:24">
      <c r="A4534">
        <f>HYPERLINK("https://www.philgeps.gov.ph/GEPSNONPILOT/Tender/SplashBidNoticeAbstractUI.aspx?menuIndex=3&amp;refID=7042599&amp;Result=3","7042599")</f>
        <v>0</v>
      </c>
      <c r="B4534" t="s">
        <v>401</v>
      </c>
      <c r="C4534" t="s">
        <v>7528</v>
      </c>
      <c r="D4534" t="s">
        <v>18052</v>
      </c>
      <c r="E4534" t="s">
        <v>22169</v>
      </c>
      <c r="F4534" t="s">
        <v>31574</v>
      </c>
      <c r="G4534" t="s">
        <v>31582</v>
      </c>
      <c r="H4534" t="s">
        <v>31590</v>
      </c>
      <c r="I4534" t="s">
        <v>31608</v>
      </c>
      <c r="J4534" t="s">
        <v>34693</v>
      </c>
      <c r="K4534" t="s">
        <v>41186</v>
      </c>
      <c r="M4534" t="s">
        <v>41892</v>
      </c>
      <c r="N4534" t="s">
        <v>45095</v>
      </c>
      <c r="O4534" t="s">
        <v>45096</v>
      </c>
      <c r="P4534">
        <v>0</v>
      </c>
      <c r="Q4534">
        <v>2</v>
      </c>
      <c r="R4534" t="s">
        <v>45101</v>
      </c>
      <c r="S4534" t="s">
        <v>45231</v>
      </c>
      <c r="T4534" t="s">
        <v>46919</v>
      </c>
      <c r="U4534" t="s">
        <v>51307</v>
      </c>
      <c r="W4534" t="s">
        <v>41892</v>
      </c>
      <c r="X4534" t="s">
        <v>45102</v>
      </c>
    </row>
    <row r="4535" spans="1:24">
      <c r="A4535">
        <f>HYPERLINK("https://www.philgeps.gov.ph/GEPSNONPILOT/Tender/SplashBidNoticeAbstractUI.aspx?menuIndex=3&amp;refID=7042602&amp;Result=3","7042602")</f>
        <v>0</v>
      </c>
      <c r="B4535" t="s">
        <v>1514</v>
      </c>
      <c r="C4535" t="s">
        <v>7529</v>
      </c>
      <c r="D4535" t="s">
        <v>18037</v>
      </c>
      <c r="E4535" t="s">
        <v>22170</v>
      </c>
      <c r="F4535" t="s">
        <v>31574</v>
      </c>
      <c r="G4535" t="s">
        <v>31582</v>
      </c>
      <c r="H4535" t="s">
        <v>31590</v>
      </c>
      <c r="I4535" t="s">
        <v>31620</v>
      </c>
      <c r="J4535" t="s">
        <v>34694</v>
      </c>
      <c r="K4535" t="s">
        <v>41192</v>
      </c>
      <c r="M4535" t="s">
        <v>43105</v>
      </c>
      <c r="N4535" t="s">
        <v>45095</v>
      </c>
      <c r="O4535" t="s">
        <v>45096</v>
      </c>
      <c r="P4535">
        <v>0</v>
      </c>
      <c r="Q4535">
        <v>22</v>
      </c>
      <c r="R4535" t="s">
        <v>45101</v>
      </c>
      <c r="S4535" t="s">
        <v>45231</v>
      </c>
      <c r="T4535" t="s">
        <v>47170</v>
      </c>
      <c r="U4535" t="s">
        <v>51308</v>
      </c>
      <c r="V4535" t="s">
        <v>59855</v>
      </c>
      <c r="W4535" t="s">
        <v>43105</v>
      </c>
      <c r="X4535" t="s">
        <v>45102</v>
      </c>
    </row>
    <row r="4536" spans="1:24">
      <c r="A4536">
        <f>HYPERLINK("https://www.philgeps.gov.ph/GEPSNONPILOT/Tender/SplashBidNoticeAbstractUI.aspx?menuIndex=3&amp;refID=7042572&amp;Result=3","7042572")</f>
        <v>0</v>
      </c>
      <c r="B4536" t="s">
        <v>795</v>
      </c>
      <c r="C4536" t="s">
        <v>7530</v>
      </c>
      <c r="D4536" t="s">
        <v>18033</v>
      </c>
      <c r="E4536" t="s">
        <v>22171</v>
      </c>
      <c r="F4536" t="s">
        <v>31574</v>
      </c>
      <c r="G4536" t="s">
        <v>31584</v>
      </c>
      <c r="H4536" t="s">
        <v>31590</v>
      </c>
      <c r="I4536" t="s">
        <v>3487</v>
      </c>
      <c r="J4536" t="s">
        <v>33588</v>
      </c>
      <c r="K4536" t="s">
        <v>41193</v>
      </c>
      <c r="M4536" t="s">
        <v>42309</v>
      </c>
      <c r="N4536" t="s">
        <v>45095</v>
      </c>
      <c r="O4536" t="s">
        <v>45096</v>
      </c>
      <c r="P4536">
        <v>0</v>
      </c>
      <c r="Q4536">
        <v>1</v>
      </c>
      <c r="R4536" t="s">
        <v>45101</v>
      </c>
      <c r="S4536" t="s">
        <v>45231</v>
      </c>
      <c r="T4536" t="s">
        <v>46963</v>
      </c>
      <c r="U4536" t="s">
        <v>51289</v>
      </c>
      <c r="W4536" t="s">
        <v>42309</v>
      </c>
      <c r="X4536" t="s">
        <v>45102</v>
      </c>
    </row>
    <row r="4537" spans="1:24">
      <c r="A4537">
        <f>HYPERLINK("https://www.philgeps.gov.ph/GEPSNONPILOT/Tender/SplashBidNoticeAbstractUI.aspx?menuIndex=3&amp;refID=7042583&amp;Result=3","7042583")</f>
        <v>0</v>
      </c>
      <c r="B4537" t="s">
        <v>416</v>
      </c>
      <c r="C4537" t="s">
        <v>7531</v>
      </c>
      <c r="D4537" t="s">
        <v>18046</v>
      </c>
      <c r="E4537" t="s">
        <v>22172</v>
      </c>
      <c r="F4537" t="s">
        <v>31574</v>
      </c>
      <c r="G4537" t="s">
        <v>31581</v>
      </c>
      <c r="H4537" t="s">
        <v>31590</v>
      </c>
      <c r="I4537" t="s">
        <v>5717</v>
      </c>
      <c r="J4537" t="s">
        <v>34695</v>
      </c>
      <c r="K4537" t="s">
        <v>41196</v>
      </c>
      <c r="M4537" t="s">
        <v>41908</v>
      </c>
      <c r="N4537" t="s">
        <v>45095</v>
      </c>
      <c r="O4537" t="s">
        <v>45096</v>
      </c>
      <c r="P4537">
        <v>0</v>
      </c>
      <c r="Q4537">
        <v>2</v>
      </c>
      <c r="R4537" t="s">
        <v>45101</v>
      </c>
      <c r="S4537" t="s">
        <v>45231</v>
      </c>
      <c r="T4537" t="s">
        <v>46963</v>
      </c>
      <c r="U4537" t="s">
        <v>51309</v>
      </c>
      <c r="W4537" t="s">
        <v>41908</v>
      </c>
      <c r="X4537" t="s">
        <v>45102</v>
      </c>
    </row>
    <row r="4538" spans="1:24">
      <c r="A4538">
        <f>HYPERLINK("https://www.philgeps.gov.ph/GEPSNONPILOT/Tender/SplashBidNoticeAbstractUI.aspx?menuIndex=3&amp;refID=7042592&amp;Result=3","7042592")</f>
        <v>0</v>
      </c>
      <c r="B4538" t="s">
        <v>1547</v>
      </c>
      <c r="C4538" t="s">
        <v>7532</v>
      </c>
      <c r="D4538" t="s">
        <v>18039</v>
      </c>
      <c r="E4538" t="s">
        <v>22173</v>
      </c>
      <c r="F4538" t="s">
        <v>31574</v>
      </c>
      <c r="G4538" t="s">
        <v>31585</v>
      </c>
      <c r="H4538" t="s">
        <v>31590</v>
      </c>
      <c r="I4538" t="s">
        <v>3873</v>
      </c>
      <c r="J4538" t="s">
        <v>34696</v>
      </c>
      <c r="K4538" t="s">
        <v>41186</v>
      </c>
      <c r="M4538" t="s">
        <v>43145</v>
      </c>
      <c r="N4538" t="s">
        <v>45095</v>
      </c>
      <c r="O4538" t="s">
        <v>45096</v>
      </c>
      <c r="P4538">
        <v>0</v>
      </c>
      <c r="Q4538">
        <v>1</v>
      </c>
      <c r="R4538" t="s">
        <v>45101</v>
      </c>
      <c r="S4538" t="s">
        <v>45231</v>
      </c>
      <c r="T4538" t="s">
        <v>46904</v>
      </c>
      <c r="U4538" t="s">
        <v>51310</v>
      </c>
      <c r="W4538" t="s">
        <v>43145</v>
      </c>
      <c r="X4538" t="s">
        <v>45102</v>
      </c>
    </row>
    <row r="4539" spans="1:24">
      <c r="A4539">
        <f>HYPERLINK("https://www.philgeps.gov.ph/GEPSNONPILOT/Tender/SplashBidNoticeAbstractUI.aspx?menuIndex=3&amp;refID=7042597&amp;Result=3","7042597")</f>
        <v>0</v>
      </c>
      <c r="B4539" t="s">
        <v>1545</v>
      </c>
      <c r="C4539" t="s">
        <v>7533</v>
      </c>
      <c r="D4539" t="s">
        <v>18023</v>
      </c>
      <c r="E4539" t="s">
        <v>22174</v>
      </c>
      <c r="F4539" t="s">
        <v>31574</v>
      </c>
      <c r="G4539" t="s">
        <v>31582</v>
      </c>
      <c r="H4539" t="s">
        <v>31591</v>
      </c>
      <c r="I4539" t="s">
        <v>8822</v>
      </c>
      <c r="J4539" t="s">
        <v>34697</v>
      </c>
      <c r="K4539" t="s">
        <v>41308</v>
      </c>
      <c r="M4539" t="s">
        <v>43141</v>
      </c>
      <c r="N4539" t="s">
        <v>45095</v>
      </c>
      <c r="O4539" t="s">
        <v>45096</v>
      </c>
      <c r="P4539">
        <v>0</v>
      </c>
      <c r="Q4539">
        <v>9</v>
      </c>
      <c r="R4539" t="s">
        <v>45101</v>
      </c>
      <c r="S4539" t="s">
        <v>45231</v>
      </c>
      <c r="T4539" t="s">
        <v>47011</v>
      </c>
      <c r="U4539" t="s">
        <v>51296</v>
      </c>
      <c r="W4539" t="s">
        <v>43141</v>
      </c>
      <c r="X4539" t="s">
        <v>45102</v>
      </c>
    </row>
    <row r="4540" spans="1:24">
      <c r="A4540">
        <f>HYPERLINK("https://www.philgeps.gov.ph/GEPSNONPILOT/Tender/SplashBidNoticeAbstractUI.aspx?menuIndex=3&amp;refID=7042564&amp;Result=3","7042564")</f>
        <v>0</v>
      </c>
      <c r="B4540" t="s">
        <v>1483</v>
      </c>
      <c r="C4540" t="s">
        <v>7534</v>
      </c>
      <c r="D4540" t="s">
        <v>18060</v>
      </c>
      <c r="E4540" t="s">
        <v>22175</v>
      </c>
      <c r="F4540" t="s">
        <v>31575</v>
      </c>
      <c r="G4540" t="s">
        <v>31581</v>
      </c>
      <c r="H4540" t="s">
        <v>31590</v>
      </c>
      <c r="I4540" t="s">
        <v>4046</v>
      </c>
      <c r="J4540" t="s">
        <v>34698</v>
      </c>
      <c r="K4540" t="s">
        <v>41193</v>
      </c>
      <c r="M4540" t="s">
        <v>43068</v>
      </c>
      <c r="N4540" t="s">
        <v>45095</v>
      </c>
      <c r="O4540" t="s">
        <v>45096</v>
      </c>
      <c r="P4540">
        <v>0</v>
      </c>
      <c r="Q4540">
        <v>0</v>
      </c>
      <c r="R4540" t="s">
        <v>45101</v>
      </c>
      <c r="S4540" t="s">
        <v>45231</v>
      </c>
      <c r="T4540" t="s">
        <v>46961</v>
      </c>
      <c r="U4540" t="s">
        <v>51311</v>
      </c>
      <c r="W4540" t="s">
        <v>43068</v>
      </c>
      <c r="X4540" t="s">
        <v>45102</v>
      </c>
    </row>
    <row r="4541" spans="1:24">
      <c r="A4541">
        <f>HYPERLINK("https://www.philgeps.gov.ph/GEPSNONPILOT/Tender/SplashBidNoticeAbstractUI.aspx?menuIndex=3&amp;refID=7042606&amp;Result=3","7042606")</f>
        <v>0</v>
      </c>
      <c r="B4541" t="s">
        <v>1548</v>
      </c>
      <c r="C4541" t="s">
        <v>7535</v>
      </c>
      <c r="D4541" t="s">
        <v>18052</v>
      </c>
      <c r="E4541" t="s">
        <v>22176</v>
      </c>
      <c r="F4541" t="s">
        <v>31575</v>
      </c>
      <c r="G4541" t="s">
        <v>31581</v>
      </c>
      <c r="H4541" t="s">
        <v>31592</v>
      </c>
      <c r="I4541" t="s">
        <v>31681</v>
      </c>
      <c r="J4541" t="s">
        <v>32068</v>
      </c>
      <c r="K4541" t="s">
        <v>41251</v>
      </c>
      <c r="M4541" t="s">
        <v>43146</v>
      </c>
      <c r="N4541" t="s">
        <v>45095</v>
      </c>
      <c r="O4541" t="s">
        <v>45096</v>
      </c>
      <c r="P4541">
        <v>0</v>
      </c>
      <c r="Q4541">
        <v>1</v>
      </c>
      <c r="R4541" t="s">
        <v>45101</v>
      </c>
      <c r="S4541" t="s">
        <v>45231</v>
      </c>
      <c r="T4541" t="s">
        <v>46911</v>
      </c>
      <c r="U4541" t="s">
        <v>51312</v>
      </c>
      <c r="W4541" t="s">
        <v>43146</v>
      </c>
      <c r="X4541" t="s">
        <v>45102</v>
      </c>
    </row>
    <row r="4542" spans="1:24">
      <c r="A4542">
        <f>HYPERLINK("https://www.philgeps.gov.ph/GEPSNONPILOT/Tender/SplashBidNoticeAbstractUI.aspx?menuIndex=3&amp;refID=7042613&amp;Result=3","7042613")</f>
        <v>0</v>
      </c>
      <c r="B4542" t="s">
        <v>1415</v>
      </c>
      <c r="C4542" t="s">
        <v>7536</v>
      </c>
      <c r="D4542" t="s">
        <v>18039</v>
      </c>
      <c r="E4542" t="s">
        <v>18367</v>
      </c>
      <c r="F4542" t="s">
        <v>31574</v>
      </c>
      <c r="G4542" t="s">
        <v>31581</v>
      </c>
      <c r="H4542" t="s">
        <v>31590</v>
      </c>
      <c r="I4542" t="s">
        <v>6800</v>
      </c>
      <c r="J4542" t="s">
        <v>34699</v>
      </c>
      <c r="K4542" t="s">
        <v>41184</v>
      </c>
      <c r="M4542" t="s">
        <v>42991</v>
      </c>
      <c r="N4542" t="s">
        <v>45095</v>
      </c>
      <c r="O4542" t="s">
        <v>45096</v>
      </c>
      <c r="P4542">
        <v>0</v>
      </c>
      <c r="Q4542">
        <v>5</v>
      </c>
      <c r="R4542" t="s">
        <v>45101</v>
      </c>
      <c r="S4542" t="s">
        <v>45231</v>
      </c>
      <c r="T4542" t="s">
        <v>47125</v>
      </c>
      <c r="U4542" t="s">
        <v>51313</v>
      </c>
      <c r="W4542" t="s">
        <v>42991</v>
      </c>
      <c r="X4542" t="s">
        <v>45102</v>
      </c>
    </row>
    <row r="4543" spans="1:24">
      <c r="A4543">
        <f>HYPERLINK("https://www.philgeps.gov.ph/GEPSNONPILOT/Tender/SplashBidNoticeAbstractUI.aspx?menuIndex=3&amp;refID=7042634&amp;Result=3","7042634")</f>
        <v>0</v>
      </c>
      <c r="B4543" t="s">
        <v>1492</v>
      </c>
      <c r="C4543" t="s">
        <v>7537</v>
      </c>
      <c r="D4543" t="s">
        <v>18072</v>
      </c>
      <c r="E4543" t="s">
        <v>22177</v>
      </c>
      <c r="F4543" t="s">
        <v>31574</v>
      </c>
      <c r="G4543" t="s">
        <v>31585</v>
      </c>
      <c r="H4543" t="s">
        <v>31590</v>
      </c>
      <c r="I4543" t="s">
        <v>3901</v>
      </c>
      <c r="J4543" t="s">
        <v>34700</v>
      </c>
      <c r="K4543" t="s">
        <v>41186</v>
      </c>
      <c r="M4543" t="s">
        <v>43077</v>
      </c>
      <c r="N4543" t="s">
        <v>45095</v>
      </c>
      <c r="O4543" t="s">
        <v>45096</v>
      </c>
      <c r="P4543">
        <v>0</v>
      </c>
      <c r="Q4543">
        <v>0</v>
      </c>
      <c r="R4543" t="s">
        <v>45101</v>
      </c>
      <c r="S4543" t="s">
        <v>45231</v>
      </c>
      <c r="T4543" t="s">
        <v>47154</v>
      </c>
      <c r="U4543" t="s">
        <v>51314</v>
      </c>
      <c r="W4543" t="s">
        <v>43077</v>
      </c>
      <c r="X4543" t="s">
        <v>45102</v>
      </c>
    </row>
    <row r="4544" spans="1:24">
      <c r="A4544">
        <f>HYPERLINK("https://www.philgeps.gov.ph/GEPSNONPILOT/Tender/SplashBidNoticeAbstractUI.aspx?menuIndex=3&amp;refID=7042589&amp;Result=3","7042589")</f>
        <v>0</v>
      </c>
      <c r="B4544" t="s">
        <v>1290</v>
      </c>
      <c r="C4544" t="s">
        <v>7538</v>
      </c>
      <c r="D4544" t="s">
        <v>18050</v>
      </c>
      <c r="E4544" t="s">
        <v>22178</v>
      </c>
      <c r="F4544" t="s">
        <v>31574</v>
      </c>
      <c r="G4544" t="s">
        <v>31582</v>
      </c>
      <c r="H4544" t="s">
        <v>31590</v>
      </c>
      <c r="I4544" t="s">
        <v>31662</v>
      </c>
      <c r="J4544" t="s">
        <v>34701</v>
      </c>
      <c r="K4544" t="s">
        <v>41186</v>
      </c>
      <c r="M4544" t="s">
        <v>42859</v>
      </c>
      <c r="N4544" t="s">
        <v>45095</v>
      </c>
      <c r="O4544" t="s">
        <v>45096</v>
      </c>
      <c r="P4544">
        <v>0</v>
      </c>
      <c r="Q4544">
        <v>2</v>
      </c>
      <c r="R4544" t="s">
        <v>45101</v>
      </c>
      <c r="S4544" t="s">
        <v>45231</v>
      </c>
      <c r="T4544" t="s">
        <v>46962</v>
      </c>
      <c r="U4544" t="s">
        <v>51315</v>
      </c>
      <c r="W4544" t="s">
        <v>42859</v>
      </c>
      <c r="X4544" t="s">
        <v>45102</v>
      </c>
    </row>
    <row r="4545" spans="1:24">
      <c r="A4545">
        <f>HYPERLINK("https://www.philgeps.gov.ph/GEPSNONPILOT/Tender/SplashBidNoticeAbstractUI.aspx?menuIndex=3&amp;refID=7042617&amp;Result=3","7042617")</f>
        <v>0</v>
      </c>
      <c r="B4545" t="s">
        <v>1545</v>
      </c>
      <c r="C4545" t="s">
        <v>7539</v>
      </c>
      <c r="D4545" t="s">
        <v>18023</v>
      </c>
      <c r="E4545" t="s">
        <v>22179</v>
      </c>
      <c r="F4545" t="s">
        <v>31574</v>
      </c>
      <c r="G4545" t="s">
        <v>31582</v>
      </c>
      <c r="H4545" t="s">
        <v>31591</v>
      </c>
      <c r="I4545" t="s">
        <v>8822</v>
      </c>
      <c r="J4545" t="s">
        <v>34596</v>
      </c>
      <c r="K4545" t="s">
        <v>41319</v>
      </c>
      <c r="M4545" t="s">
        <v>43141</v>
      </c>
      <c r="N4545" t="s">
        <v>45095</v>
      </c>
      <c r="O4545" t="s">
        <v>45096</v>
      </c>
      <c r="P4545">
        <v>0</v>
      </c>
      <c r="Q4545">
        <v>13</v>
      </c>
      <c r="R4545" t="s">
        <v>45101</v>
      </c>
      <c r="S4545" t="s">
        <v>45231</v>
      </c>
      <c r="T4545" t="s">
        <v>47011</v>
      </c>
      <c r="U4545" t="s">
        <v>51296</v>
      </c>
      <c r="W4545" t="s">
        <v>43141</v>
      </c>
      <c r="X4545" t="s">
        <v>45102</v>
      </c>
    </row>
    <row r="4546" spans="1:24">
      <c r="A4546">
        <f>HYPERLINK("https://www.philgeps.gov.ph/GEPSNONPILOT/Tender/SplashBidNoticeAbstractUI.aspx?menuIndex=3&amp;refID=7042629&amp;Result=3","7042629")</f>
        <v>0</v>
      </c>
      <c r="B4546" t="s">
        <v>1549</v>
      </c>
      <c r="C4546" t="s">
        <v>7540</v>
      </c>
      <c r="D4546" t="s">
        <v>18036</v>
      </c>
      <c r="E4546" t="s">
        <v>19061</v>
      </c>
      <c r="F4546" t="s">
        <v>31574</v>
      </c>
      <c r="G4546" t="s">
        <v>31582</v>
      </c>
      <c r="H4546" t="s">
        <v>31590</v>
      </c>
      <c r="I4546" t="s">
        <v>4046</v>
      </c>
      <c r="J4546" t="s">
        <v>34702</v>
      </c>
      <c r="K4546" t="s">
        <v>41200</v>
      </c>
      <c r="M4546" t="s">
        <v>43147</v>
      </c>
      <c r="N4546" t="s">
        <v>45095</v>
      </c>
      <c r="O4546" t="s">
        <v>45096</v>
      </c>
      <c r="P4546">
        <v>0</v>
      </c>
      <c r="Q4546">
        <v>0</v>
      </c>
      <c r="R4546" t="s">
        <v>45101</v>
      </c>
      <c r="S4546" t="s">
        <v>45231</v>
      </c>
      <c r="T4546" t="s">
        <v>46987</v>
      </c>
      <c r="U4546" t="s">
        <v>51316</v>
      </c>
      <c r="W4546" t="s">
        <v>43147</v>
      </c>
      <c r="X4546" t="s">
        <v>45102</v>
      </c>
    </row>
    <row r="4547" spans="1:24">
      <c r="A4547">
        <f>HYPERLINK("https://www.philgeps.gov.ph/GEPSNONPILOT/Tender/SplashBidNoticeAbstractUI.aspx?menuIndex=3&amp;refID=7042639&amp;Result=3","7042639")</f>
        <v>0</v>
      </c>
      <c r="B4547" t="s">
        <v>1451</v>
      </c>
      <c r="C4547" t="s">
        <v>7541</v>
      </c>
      <c r="D4547" t="s">
        <v>18070</v>
      </c>
      <c r="E4547" t="s">
        <v>22180</v>
      </c>
      <c r="F4547" t="s">
        <v>31574</v>
      </c>
      <c r="G4547" t="s">
        <v>31582</v>
      </c>
      <c r="H4547" t="s">
        <v>31591</v>
      </c>
      <c r="I4547" t="s">
        <v>8822</v>
      </c>
      <c r="J4547" t="s">
        <v>32026</v>
      </c>
      <c r="K4547" t="s">
        <v>41192</v>
      </c>
      <c r="M4547" t="s">
        <v>43031</v>
      </c>
      <c r="N4547" t="s">
        <v>45095</v>
      </c>
      <c r="O4547" t="s">
        <v>45096</v>
      </c>
      <c r="P4547">
        <v>0</v>
      </c>
      <c r="Q4547">
        <v>0</v>
      </c>
      <c r="R4547" t="s">
        <v>45101</v>
      </c>
      <c r="S4547" t="s">
        <v>45231</v>
      </c>
      <c r="T4547" t="s">
        <v>47220</v>
      </c>
      <c r="U4547" t="s">
        <v>51317</v>
      </c>
      <c r="W4547" t="s">
        <v>43031</v>
      </c>
      <c r="X4547" t="s">
        <v>45102</v>
      </c>
    </row>
    <row r="4548" spans="1:24">
      <c r="A4548">
        <f>HYPERLINK("https://www.philgeps.gov.ph/GEPSNONPILOT/Tender/SplashBidNoticeAbstractUI.aspx?menuIndex=3&amp;refID=7042615&amp;Result=3","7042615")</f>
        <v>0</v>
      </c>
      <c r="B4548" t="s">
        <v>246</v>
      </c>
      <c r="C4548" t="s">
        <v>7377</v>
      </c>
      <c r="D4548" t="s">
        <v>18033</v>
      </c>
      <c r="E4548" t="s">
        <v>22181</v>
      </c>
      <c r="F4548" t="s">
        <v>31574</v>
      </c>
      <c r="G4548" t="s">
        <v>31582</v>
      </c>
      <c r="H4548" t="s">
        <v>31590</v>
      </c>
      <c r="I4548" t="s">
        <v>31631</v>
      </c>
      <c r="J4548" t="s">
        <v>34703</v>
      </c>
      <c r="K4548" t="s">
        <v>41186</v>
      </c>
      <c r="M4548" t="s">
        <v>42490</v>
      </c>
      <c r="N4548" t="s">
        <v>45095</v>
      </c>
      <c r="O4548" t="s">
        <v>45096</v>
      </c>
      <c r="P4548">
        <v>0</v>
      </c>
      <c r="Q4548">
        <v>0</v>
      </c>
      <c r="R4548" t="s">
        <v>45101</v>
      </c>
      <c r="S4548" t="s">
        <v>45231</v>
      </c>
      <c r="T4548" t="s">
        <v>47028</v>
      </c>
      <c r="U4548" t="s">
        <v>51318</v>
      </c>
      <c r="W4548" t="s">
        <v>42490</v>
      </c>
      <c r="X4548" t="s">
        <v>45102</v>
      </c>
    </row>
    <row r="4549" spans="1:24">
      <c r="A4549">
        <f>HYPERLINK("https://www.philgeps.gov.ph/GEPSNONPILOT/Tender/SplashBidNoticeAbstractUI.aspx?menuIndex=3&amp;refID=7042631&amp;Result=3","7042631")</f>
        <v>0</v>
      </c>
      <c r="B4549" t="s">
        <v>1550</v>
      </c>
      <c r="C4549" t="s">
        <v>7542</v>
      </c>
      <c r="D4549" t="s">
        <v>18040</v>
      </c>
      <c r="E4549" t="s">
        <v>22182</v>
      </c>
      <c r="F4549" t="s">
        <v>31574</v>
      </c>
      <c r="G4549" t="s">
        <v>31582</v>
      </c>
      <c r="H4549" t="s">
        <v>31590</v>
      </c>
      <c r="I4549" t="s">
        <v>8822</v>
      </c>
      <c r="J4549" t="s">
        <v>34704</v>
      </c>
      <c r="K4549" t="s">
        <v>41186</v>
      </c>
      <c r="M4549" t="s">
        <v>43148</v>
      </c>
      <c r="N4549" t="s">
        <v>45095</v>
      </c>
      <c r="O4549" t="s">
        <v>45096</v>
      </c>
      <c r="P4549">
        <v>0</v>
      </c>
      <c r="Q4549">
        <v>0</v>
      </c>
      <c r="R4549" t="s">
        <v>45101</v>
      </c>
      <c r="S4549" t="s">
        <v>45231</v>
      </c>
      <c r="T4549" t="s">
        <v>47055</v>
      </c>
      <c r="U4549" t="s">
        <v>51319</v>
      </c>
      <c r="V4549" t="s">
        <v>60331</v>
      </c>
      <c r="W4549" t="s">
        <v>43148</v>
      </c>
      <c r="X4549" t="s">
        <v>45102</v>
      </c>
    </row>
    <row r="4550" spans="1:24">
      <c r="A4550">
        <f>HYPERLINK("https://www.philgeps.gov.ph/GEPSNONPILOT/Tender/SplashBidNoticeAbstractUI.aspx?menuIndex=3&amp;refID=7042621&amp;Result=3","7042621")</f>
        <v>0</v>
      </c>
      <c r="B4550" t="s">
        <v>416</v>
      </c>
      <c r="C4550" t="s">
        <v>7543</v>
      </c>
      <c r="D4550" t="s">
        <v>18046</v>
      </c>
      <c r="E4550" t="s">
        <v>22183</v>
      </c>
      <c r="F4550" t="s">
        <v>31574</v>
      </c>
      <c r="G4550" t="s">
        <v>31581</v>
      </c>
      <c r="H4550" t="s">
        <v>31590</v>
      </c>
      <c r="I4550" t="s">
        <v>31598</v>
      </c>
      <c r="J4550" t="s">
        <v>32650</v>
      </c>
      <c r="K4550" t="s">
        <v>41196</v>
      </c>
      <c r="M4550" t="s">
        <v>41908</v>
      </c>
      <c r="N4550" t="s">
        <v>45095</v>
      </c>
      <c r="O4550" t="s">
        <v>45096</v>
      </c>
      <c r="P4550">
        <v>0</v>
      </c>
      <c r="Q4550">
        <v>1</v>
      </c>
      <c r="R4550" t="s">
        <v>45101</v>
      </c>
      <c r="S4550" t="s">
        <v>45231</v>
      </c>
      <c r="T4550" t="s">
        <v>46963</v>
      </c>
      <c r="U4550" t="s">
        <v>51320</v>
      </c>
      <c r="W4550" t="s">
        <v>41908</v>
      </c>
      <c r="X4550" t="s">
        <v>45102</v>
      </c>
    </row>
    <row r="4551" spans="1:24">
      <c r="A4551">
        <f>HYPERLINK("https://www.philgeps.gov.ph/GEPSNONPILOT/Tender/SplashBidNoticeAbstractUI.aspx?menuIndex=3&amp;refID=7042618&amp;Result=3","7042618")</f>
        <v>0</v>
      </c>
      <c r="B4551" t="s">
        <v>1350</v>
      </c>
      <c r="C4551" t="s">
        <v>7544</v>
      </c>
      <c r="D4551" t="s">
        <v>18057</v>
      </c>
      <c r="E4551" t="s">
        <v>22184</v>
      </c>
      <c r="F4551" t="s">
        <v>31574</v>
      </c>
      <c r="G4551" t="s">
        <v>31582</v>
      </c>
      <c r="H4551" t="s">
        <v>31590</v>
      </c>
      <c r="I4551" t="s">
        <v>31600</v>
      </c>
      <c r="J4551" t="s">
        <v>34705</v>
      </c>
      <c r="K4551" t="s">
        <v>41192</v>
      </c>
      <c r="M4551" t="s">
        <v>42922</v>
      </c>
      <c r="N4551" t="s">
        <v>45095</v>
      </c>
      <c r="O4551" t="s">
        <v>45096</v>
      </c>
      <c r="P4551">
        <v>0</v>
      </c>
      <c r="Q4551">
        <v>5</v>
      </c>
      <c r="R4551" t="s">
        <v>45101</v>
      </c>
      <c r="S4551" t="s">
        <v>45231</v>
      </c>
      <c r="T4551" t="s">
        <v>46916</v>
      </c>
      <c r="U4551" t="s">
        <v>51321</v>
      </c>
      <c r="W4551" t="s">
        <v>42922</v>
      </c>
      <c r="X4551" t="s">
        <v>45102</v>
      </c>
    </row>
    <row r="4552" spans="1:24">
      <c r="A4552">
        <f>HYPERLINK("https://www.philgeps.gov.ph/GEPSNONPILOT/Tender/SplashBidNoticeAbstractUI.aspx?menuIndex=3&amp;refID=7042625&amp;Result=3","7042625")</f>
        <v>0</v>
      </c>
      <c r="B4552" t="s">
        <v>763</v>
      </c>
      <c r="C4552" t="s">
        <v>7545</v>
      </c>
      <c r="D4552" t="s">
        <v>18041</v>
      </c>
      <c r="E4552" t="s">
        <v>22185</v>
      </c>
      <c r="F4552" t="s">
        <v>31574</v>
      </c>
      <c r="G4552" t="s">
        <v>31581</v>
      </c>
      <c r="H4552" t="s">
        <v>31590</v>
      </c>
      <c r="I4552" t="s">
        <v>31617</v>
      </c>
      <c r="J4552" t="s">
        <v>32699</v>
      </c>
      <c r="K4552" t="s">
        <v>41184</v>
      </c>
      <c r="M4552" t="s">
        <v>43142</v>
      </c>
      <c r="N4552" t="s">
        <v>45095</v>
      </c>
      <c r="O4552" t="s">
        <v>45096</v>
      </c>
      <c r="P4552">
        <v>0</v>
      </c>
      <c r="Q4552">
        <v>0</v>
      </c>
      <c r="R4552" t="s">
        <v>45101</v>
      </c>
      <c r="S4552" t="s">
        <v>45231</v>
      </c>
      <c r="T4552" t="s">
        <v>47076</v>
      </c>
      <c r="U4552" t="s">
        <v>51322</v>
      </c>
      <c r="W4552" t="s">
        <v>43142</v>
      </c>
      <c r="X4552" t="s">
        <v>45102</v>
      </c>
    </row>
    <row r="4553" spans="1:24">
      <c r="A4553">
        <f>HYPERLINK("https://www.philgeps.gov.ph/GEPSNONPILOT/Tender/SplashBidNoticeAbstractUI.aspx?menuIndex=3&amp;refID=7042623&amp;Result=3","7042623")</f>
        <v>0</v>
      </c>
      <c r="B4553" t="s">
        <v>1519</v>
      </c>
      <c r="C4553" t="s">
        <v>7546</v>
      </c>
      <c r="D4553" t="s">
        <v>18071</v>
      </c>
      <c r="E4553" t="s">
        <v>7546</v>
      </c>
      <c r="F4553" t="s">
        <v>31574</v>
      </c>
      <c r="G4553" t="s">
        <v>31581</v>
      </c>
      <c r="H4553" t="s">
        <v>31590</v>
      </c>
      <c r="I4553" t="s">
        <v>3901</v>
      </c>
      <c r="J4553" t="s">
        <v>32232</v>
      </c>
      <c r="K4553" t="s">
        <v>41186</v>
      </c>
      <c r="M4553" t="s">
        <v>43110</v>
      </c>
      <c r="N4553" t="s">
        <v>45095</v>
      </c>
      <c r="O4553" t="s">
        <v>45096</v>
      </c>
      <c r="P4553">
        <v>0</v>
      </c>
      <c r="Q4553">
        <v>0</v>
      </c>
      <c r="R4553" t="s">
        <v>45101</v>
      </c>
      <c r="S4553" t="s">
        <v>45231</v>
      </c>
      <c r="T4553" t="s">
        <v>47125</v>
      </c>
      <c r="U4553" t="s">
        <v>51323</v>
      </c>
      <c r="V4553" t="s">
        <v>60332</v>
      </c>
      <c r="W4553" t="s">
        <v>43110</v>
      </c>
      <c r="X4553" t="s">
        <v>45102</v>
      </c>
    </row>
    <row r="4554" spans="1:24">
      <c r="A4554">
        <f>HYPERLINK("https://www.philgeps.gov.ph/GEPSNONPILOT/Tender/SplashBidNoticeAbstractUI.aspx?menuIndex=3&amp;refID=7042627&amp;Result=3","7042627")</f>
        <v>0</v>
      </c>
      <c r="B4554" t="s">
        <v>69</v>
      </c>
      <c r="C4554" t="s">
        <v>7547</v>
      </c>
      <c r="D4554" t="s">
        <v>18052</v>
      </c>
      <c r="E4554" t="s">
        <v>22186</v>
      </c>
      <c r="F4554" t="s">
        <v>31574</v>
      </c>
      <c r="G4554" t="s">
        <v>31582</v>
      </c>
      <c r="H4554" t="s">
        <v>31590</v>
      </c>
      <c r="I4554" t="s">
        <v>3539</v>
      </c>
      <c r="J4554" t="s">
        <v>34706</v>
      </c>
      <c r="K4554" t="s">
        <v>41193</v>
      </c>
      <c r="M4554" t="s">
        <v>41553</v>
      </c>
      <c r="N4554" t="s">
        <v>45095</v>
      </c>
      <c r="O4554" t="s">
        <v>45096</v>
      </c>
      <c r="P4554">
        <v>0</v>
      </c>
      <c r="Q4554">
        <v>0</v>
      </c>
      <c r="R4554" t="s">
        <v>45101</v>
      </c>
      <c r="S4554" t="s">
        <v>45231</v>
      </c>
      <c r="T4554" t="s">
        <v>46911</v>
      </c>
      <c r="U4554" t="s">
        <v>51324</v>
      </c>
      <c r="W4554" t="s">
        <v>41553</v>
      </c>
      <c r="X4554" t="s">
        <v>45102</v>
      </c>
    </row>
    <row r="4555" spans="1:24">
      <c r="A4555">
        <f>HYPERLINK("https://www.philgeps.gov.ph/GEPSNONPILOT/Tender/SplashBidNoticeAbstractUI.aspx?menuIndex=3&amp;refID=7042645&amp;Result=3","7042645")</f>
        <v>0</v>
      </c>
      <c r="B4555" t="s">
        <v>161</v>
      </c>
      <c r="C4555" t="s">
        <v>7548</v>
      </c>
      <c r="D4555" t="s">
        <v>18056</v>
      </c>
      <c r="E4555" t="s">
        <v>22187</v>
      </c>
      <c r="F4555" t="s">
        <v>31574</v>
      </c>
      <c r="G4555" t="s">
        <v>31582</v>
      </c>
      <c r="H4555" t="s">
        <v>31590</v>
      </c>
      <c r="I4555" t="s">
        <v>31614</v>
      </c>
      <c r="J4555" t="s">
        <v>32530</v>
      </c>
      <c r="K4555" t="s">
        <v>41186</v>
      </c>
      <c r="M4555" t="s">
        <v>41721</v>
      </c>
      <c r="N4555" t="s">
        <v>45095</v>
      </c>
      <c r="O4555" t="s">
        <v>45096</v>
      </c>
      <c r="P4555">
        <v>0</v>
      </c>
      <c r="Q4555">
        <v>4</v>
      </c>
      <c r="R4555" t="s">
        <v>45101</v>
      </c>
      <c r="S4555" t="s">
        <v>45231</v>
      </c>
      <c r="T4555" t="s">
        <v>47166</v>
      </c>
      <c r="U4555" t="s">
        <v>51325</v>
      </c>
      <c r="W4555" t="s">
        <v>41721</v>
      </c>
      <c r="X4555" t="s">
        <v>45102</v>
      </c>
    </row>
    <row r="4556" spans="1:24">
      <c r="A4556">
        <f>HYPERLINK("https://www.philgeps.gov.ph/GEPSNONPILOT/Tender/SplashBidNoticeAbstractUI.aspx?menuIndex=3&amp;refID=7042641&amp;Result=3","7042641")</f>
        <v>0</v>
      </c>
      <c r="B4556" t="s">
        <v>1545</v>
      </c>
      <c r="C4556" t="s">
        <v>7549</v>
      </c>
      <c r="D4556" t="s">
        <v>18023</v>
      </c>
      <c r="E4556" t="s">
        <v>22188</v>
      </c>
      <c r="F4556" t="s">
        <v>31574</v>
      </c>
      <c r="G4556" t="s">
        <v>31582</v>
      </c>
      <c r="H4556" t="s">
        <v>31591</v>
      </c>
      <c r="I4556" t="s">
        <v>8822</v>
      </c>
      <c r="J4556" t="s">
        <v>34707</v>
      </c>
      <c r="K4556" t="s">
        <v>41243</v>
      </c>
      <c r="M4556" t="s">
        <v>43141</v>
      </c>
      <c r="N4556" t="s">
        <v>45095</v>
      </c>
      <c r="O4556" t="s">
        <v>45096</v>
      </c>
      <c r="P4556">
        <v>0</v>
      </c>
      <c r="Q4556">
        <v>13</v>
      </c>
      <c r="R4556" t="s">
        <v>45101</v>
      </c>
      <c r="S4556" t="s">
        <v>45231</v>
      </c>
      <c r="T4556" t="s">
        <v>47011</v>
      </c>
      <c r="U4556" t="s">
        <v>51296</v>
      </c>
      <c r="W4556" t="s">
        <v>43141</v>
      </c>
      <c r="X4556" t="s">
        <v>45102</v>
      </c>
    </row>
    <row r="4557" spans="1:24">
      <c r="A4557">
        <f>HYPERLINK("https://www.philgeps.gov.ph/GEPSNONPILOT/Tender/SplashBidNoticeAbstractUI.aspx?menuIndex=3&amp;refID=7042626&amp;Result=3","7042626")</f>
        <v>0</v>
      </c>
      <c r="B4557" t="s">
        <v>1514</v>
      </c>
      <c r="C4557" t="s">
        <v>7550</v>
      </c>
      <c r="D4557" t="s">
        <v>18037</v>
      </c>
      <c r="E4557" t="s">
        <v>22189</v>
      </c>
      <c r="F4557" t="s">
        <v>31574</v>
      </c>
      <c r="G4557" t="s">
        <v>31582</v>
      </c>
      <c r="H4557" t="s">
        <v>31590</v>
      </c>
      <c r="I4557" t="s">
        <v>31620</v>
      </c>
      <c r="J4557" t="s">
        <v>34708</v>
      </c>
      <c r="K4557" t="s">
        <v>41192</v>
      </c>
      <c r="M4557" t="s">
        <v>43105</v>
      </c>
      <c r="N4557" t="s">
        <v>45095</v>
      </c>
      <c r="O4557" t="s">
        <v>45096</v>
      </c>
      <c r="P4557">
        <v>0</v>
      </c>
      <c r="Q4557">
        <v>12</v>
      </c>
      <c r="R4557" t="s">
        <v>45101</v>
      </c>
      <c r="S4557" t="s">
        <v>45231</v>
      </c>
      <c r="T4557" t="s">
        <v>47170</v>
      </c>
      <c r="U4557" t="s">
        <v>51326</v>
      </c>
      <c r="V4557" t="s">
        <v>59855</v>
      </c>
      <c r="W4557" t="s">
        <v>43105</v>
      </c>
      <c r="X4557" t="s">
        <v>45102</v>
      </c>
    </row>
    <row r="4558" spans="1:24">
      <c r="A4558">
        <f>HYPERLINK("https://www.philgeps.gov.ph/GEPSNONPILOT/Tender/SplashBidNoticeAbstractUI.aspx?menuIndex=3&amp;refID=7042652&amp;Result=3","7042652")</f>
        <v>0</v>
      </c>
      <c r="B4558" t="s">
        <v>1549</v>
      </c>
      <c r="C4558" t="s">
        <v>7551</v>
      </c>
      <c r="D4558" t="s">
        <v>18036</v>
      </c>
      <c r="E4558" t="s">
        <v>18722</v>
      </c>
      <c r="F4558" t="s">
        <v>31574</v>
      </c>
      <c r="G4558" t="s">
        <v>31581</v>
      </c>
      <c r="H4558" t="s">
        <v>31590</v>
      </c>
      <c r="I4558" t="s">
        <v>4046</v>
      </c>
      <c r="J4558" t="s">
        <v>34709</v>
      </c>
      <c r="K4558" t="s">
        <v>41191</v>
      </c>
      <c r="M4558" t="s">
        <v>43147</v>
      </c>
      <c r="N4558" t="s">
        <v>45095</v>
      </c>
      <c r="O4558" t="s">
        <v>45096</v>
      </c>
      <c r="P4558">
        <v>0</v>
      </c>
      <c r="Q4558">
        <v>0</v>
      </c>
      <c r="R4558" t="s">
        <v>45101</v>
      </c>
      <c r="S4558" t="s">
        <v>45231</v>
      </c>
      <c r="T4558" t="s">
        <v>47094</v>
      </c>
      <c r="U4558" t="s">
        <v>51327</v>
      </c>
      <c r="W4558" t="s">
        <v>43147</v>
      </c>
      <c r="X4558" t="s">
        <v>45102</v>
      </c>
    </row>
    <row r="4559" spans="1:24">
      <c r="A4559">
        <f>HYPERLINK("https://www.philgeps.gov.ph/GEPSNONPILOT/Tender/SplashBidNoticeAbstractUI.aspx?menuIndex=3&amp;refID=7042643&amp;Result=3","7042643")</f>
        <v>0</v>
      </c>
      <c r="B4559" t="s">
        <v>402</v>
      </c>
      <c r="C4559" t="s">
        <v>7552</v>
      </c>
      <c r="D4559" t="s">
        <v>18078</v>
      </c>
      <c r="E4559" t="s">
        <v>22190</v>
      </c>
      <c r="F4559" t="s">
        <v>31574</v>
      </c>
      <c r="G4559" t="s">
        <v>31581</v>
      </c>
      <c r="H4559" t="s">
        <v>31590</v>
      </c>
      <c r="I4559" t="s">
        <v>31648</v>
      </c>
      <c r="J4559" t="s">
        <v>34710</v>
      </c>
      <c r="K4559" t="s">
        <v>41190</v>
      </c>
      <c r="M4559" t="s">
        <v>41893</v>
      </c>
      <c r="N4559" t="s">
        <v>45095</v>
      </c>
      <c r="O4559" t="s">
        <v>45096</v>
      </c>
      <c r="P4559">
        <v>0</v>
      </c>
      <c r="Q4559">
        <v>1</v>
      </c>
      <c r="R4559" t="s">
        <v>45101</v>
      </c>
      <c r="S4559" t="s">
        <v>45231</v>
      </c>
      <c r="T4559" t="s">
        <v>47183</v>
      </c>
      <c r="U4559" t="s">
        <v>51288</v>
      </c>
      <c r="W4559" t="s">
        <v>41893</v>
      </c>
      <c r="X4559" t="s">
        <v>45102</v>
      </c>
    </row>
    <row r="4560" spans="1:24">
      <c r="A4560">
        <f>HYPERLINK("https://www.philgeps.gov.ph/GEPSNONPILOT/Tender/SplashBidNoticeAbstractUI.aspx?menuIndex=3&amp;refID=7042647&amp;Result=3","7042647")</f>
        <v>0</v>
      </c>
      <c r="B4560" t="s">
        <v>1519</v>
      </c>
      <c r="C4560" t="s">
        <v>7553</v>
      </c>
      <c r="D4560" t="s">
        <v>18071</v>
      </c>
      <c r="E4560" t="s">
        <v>7553</v>
      </c>
      <c r="F4560" t="s">
        <v>31574</v>
      </c>
      <c r="G4560" t="s">
        <v>31581</v>
      </c>
      <c r="H4560" t="s">
        <v>31590</v>
      </c>
      <c r="I4560" t="s">
        <v>3901</v>
      </c>
      <c r="J4560" t="s">
        <v>32019</v>
      </c>
      <c r="K4560" t="s">
        <v>41186</v>
      </c>
      <c r="M4560" t="s">
        <v>43110</v>
      </c>
      <c r="N4560" t="s">
        <v>45095</v>
      </c>
      <c r="O4560" t="s">
        <v>45096</v>
      </c>
      <c r="P4560">
        <v>0</v>
      </c>
      <c r="Q4560">
        <v>0</v>
      </c>
      <c r="R4560" t="s">
        <v>45101</v>
      </c>
      <c r="S4560" t="s">
        <v>45231</v>
      </c>
      <c r="T4560" t="s">
        <v>47125</v>
      </c>
      <c r="U4560" t="s">
        <v>51328</v>
      </c>
      <c r="V4560" t="s">
        <v>60333</v>
      </c>
      <c r="W4560" t="s">
        <v>43110</v>
      </c>
      <c r="X4560" t="s">
        <v>45102</v>
      </c>
    </row>
    <row r="4561" spans="1:24">
      <c r="A4561">
        <f>HYPERLINK("https://www.philgeps.gov.ph/GEPSNONPILOT/Tender/SplashBidNoticeAbstractUI.aspx?menuIndex=3&amp;refID=7042656&amp;Result=3","7042656")</f>
        <v>0</v>
      </c>
      <c r="B4561" t="s">
        <v>1551</v>
      </c>
      <c r="C4561" t="s">
        <v>7554</v>
      </c>
      <c r="D4561" t="s">
        <v>18043</v>
      </c>
      <c r="E4561" t="s">
        <v>22191</v>
      </c>
      <c r="F4561" t="s">
        <v>31574</v>
      </c>
      <c r="G4561" t="s">
        <v>31581</v>
      </c>
      <c r="H4561" t="s">
        <v>31590</v>
      </c>
      <c r="I4561" t="s">
        <v>31600</v>
      </c>
      <c r="J4561" t="s">
        <v>31726</v>
      </c>
      <c r="K4561" t="s">
        <v>41196</v>
      </c>
      <c r="M4561" t="s">
        <v>43149</v>
      </c>
      <c r="N4561" t="s">
        <v>45095</v>
      </c>
      <c r="O4561" t="s">
        <v>45096</v>
      </c>
      <c r="P4561">
        <v>0</v>
      </c>
      <c r="Q4561">
        <v>0</v>
      </c>
      <c r="R4561" t="s">
        <v>45101</v>
      </c>
      <c r="S4561" t="s">
        <v>45231</v>
      </c>
      <c r="T4561" t="s">
        <v>47125</v>
      </c>
      <c r="U4561" t="s">
        <v>51329</v>
      </c>
      <c r="W4561" t="s">
        <v>43149</v>
      </c>
      <c r="X4561" t="s">
        <v>45102</v>
      </c>
    </row>
    <row r="4562" spans="1:24">
      <c r="A4562">
        <f>HYPERLINK("https://www.philgeps.gov.ph/GEPSNONPILOT/Tender/SplashBidNoticeAbstractUI.aspx?menuIndex=3&amp;refID=7042619&amp;Result=3","7042619")</f>
        <v>0</v>
      </c>
      <c r="B4562" t="s">
        <v>1552</v>
      </c>
      <c r="C4562" t="s">
        <v>7555</v>
      </c>
      <c r="D4562" t="s">
        <v>18084</v>
      </c>
      <c r="E4562" t="s">
        <v>22192</v>
      </c>
      <c r="F4562" t="s">
        <v>31574</v>
      </c>
      <c r="G4562" t="s">
        <v>31581</v>
      </c>
      <c r="H4562" t="s">
        <v>31590</v>
      </c>
      <c r="I4562" t="s">
        <v>31607</v>
      </c>
      <c r="J4562" t="s">
        <v>34711</v>
      </c>
      <c r="K4562" t="s">
        <v>41213</v>
      </c>
      <c r="M4562" t="s">
        <v>43150</v>
      </c>
      <c r="N4562" t="s">
        <v>45095</v>
      </c>
      <c r="O4562" t="s">
        <v>45096</v>
      </c>
      <c r="P4562">
        <v>0</v>
      </c>
      <c r="Q4562">
        <v>8</v>
      </c>
      <c r="R4562" t="s">
        <v>45101</v>
      </c>
      <c r="S4562" t="s">
        <v>45231</v>
      </c>
      <c r="T4562" t="s">
        <v>47154</v>
      </c>
      <c r="U4562" t="s">
        <v>51330</v>
      </c>
      <c r="W4562" t="s">
        <v>43150</v>
      </c>
      <c r="X4562" t="s">
        <v>45102</v>
      </c>
    </row>
    <row r="4563" spans="1:24">
      <c r="A4563">
        <f>HYPERLINK("https://www.philgeps.gov.ph/GEPSNONPILOT/Tender/SplashBidNoticeAbstractUI.aspx?menuIndex=3&amp;refID=7042658&amp;Result=3","7042658")</f>
        <v>0</v>
      </c>
      <c r="B4563" t="s">
        <v>1553</v>
      </c>
      <c r="C4563" t="s">
        <v>7556</v>
      </c>
      <c r="D4563" t="s">
        <v>18068</v>
      </c>
      <c r="E4563" t="s">
        <v>19881</v>
      </c>
      <c r="F4563" t="s">
        <v>31574</v>
      </c>
      <c r="G4563" t="s">
        <v>31581</v>
      </c>
      <c r="H4563" t="s">
        <v>31593</v>
      </c>
      <c r="I4563" t="s">
        <v>31623</v>
      </c>
      <c r="J4563" t="s">
        <v>34014</v>
      </c>
      <c r="K4563" t="s">
        <v>41225</v>
      </c>
      <c r="M4563" t="s">
        <v>43151</v>
      </c>
      <c r="N4563" t="s">
        <v>45095</v>
      </c>
      <c r="O4563" t="s">
        <v>45096</v>
      </c>
      <c r="P4563">
        <v>0</v>
      </c>
      <c r="Q4563">
        <v>0</v>
      </c>
      <c r="R4563" t="s">
        <v>45101</v>
      </c>
      <c r="S4563" t="s">
        <v>45231</v>
      </c>
      <c r="T4563" t="s">
        <v>46963</v>
      </c>
      <c r="U4563" t="s">
        <v>51331</v>
      </c>
      <c r="W4563" t="s">
        <v>43151</v>
      </c>
      <c r="X4563" t="s">
        <v>45102</v>
      </c>
    </row>
    <row r="4564" spans="1:24">
      <c r="A4564">
        <f>HYPERLINK("https://www.philgeps.gov.ph/GEPSNONPILOT/Tender/SplashBidNoticeAbstractUI.aspx?menuIndex=3&amp;refID=7042678&amp;Result=3","7042678")</f>
        <v>0</v>
      </c>
      <c r="B4564" t="s">
        <v>1548</v>
      </c>
      <c r="C4564" t="s">
        <v>7557</v>
      </c>
      <c r="D4564" t="s">
        <v>18052</v>
      </c>
      <c r="E4564" t="s">
        <v>22193</v>
      </c>
      <c r="F4564" t="s">
        <v>31575</v>
      </c>
      <c r="G4564" t="s">
        <v>31581</v>
      </c>
      <c r="H4564" t="s">
        <v>31592</v>
      </c>
      <c r="I4564" t="s">
        <v>31681</v>
      </c>
      <c r="J4564" t="s">
        <v>31728</v>
      </c>
      <c r="K4564" t="s">
        <v>41225</v>
      </c>
      <c r="M4564" t="s">
        <v>43146</v>
      </c>
      <c r="N4564" t="s">
        <v>45095</v>
      </c>
      <c r="O4564" t="s">
        <v>45096</v>
      </c>
      <c r="P4564">
        <v>0</v>
      </c>
      <c r="Q4564">
        <v>1</v>
      </c>
      <c r="R4564" t="s">
        <v>45101</v>
      </c>
      <c r="S4564" t="s">
        <v>45231</v>
      </c>
      <c r="T4564" t="s">
        <v>46911</v>
      </c>
      <c r="U4564" t="s">
        <v>51332</v>
      </c>
      <c r="W4564" t="s">
        <v>43146</v>
      </c>
      <c r="X4564" t="s">
        <v>45102</v>
      </c>
    </row>
    <row r="4565" spans="1:24">
      <c r="A4565">
        <f>HYPERLINK("https://www.philgeps.gov.ph/GEPSNONPILOT/Tender/SplashBidNoticeAbstractUI.aspx?menuIndex=3&amp;refID=7042666&amp;Result=3","7042666")</f>
        <v>0</v>
      </c>
      <c r="B4565" t="s">
        <v>511</v>
      </c>
      <c r="C4565" t="s">
        <v>7558</v>
      </c>
      <c r="D4565" t="s">
        <v>18043</v>
      </c>
      <c r="E4565" t="s">
        <v>22194</v>
      </c>
      <c r="F4565" t="s">
        <v>31574</v>
      </c>
      <c r="G4565" t="s">
        <v>31581</v>
      </c>
      <c r="H4565" t="s">
        <v>31590</v>
      </c>
      <c r="I4565" t="s">
        <v>31703</v>
      </c>
      <c r="J4565" t="s">
        <v>34712</v>
      </c>
      <c r="K4565" t="s">
        <v>41196</v>
      </c>
      <c r="M4565" t="s">
        <v>42007</v>
      </c>
      <c r="N4565" t="s">
        <v>45095</v>
      </c>
      <c r="O4565" t="s">
        <v>45096</v>
      </c>
      <c r="P4565">
        <v>0</v>
      </c>
      <c r="Q4565">
        <v>3</v>
      </c>
      <c r="R4565" t="s">
        <v>45101</v>
      </c>
      <c r="S4565" t="s">
        <v>45231</v>
      </c>
      <c r="T4565" t="s">
        <v>46904</v>
      </c>
      <c r="U4565" t="s">
        <v>48502</v>
      </c>
      <c r="V4565" t="s">
        <v>59960</v>
      </c>
      <c r="W4565" t="s">
        <v>42007</v>
      </c>
      <c r="X4565" t="s">
        <v>45102</v>
      </c>
    </row>
    <row r="4566" spans="1:24">
      <c r="A4566">
        <f>HYPERLINK("https://www.philgeps.gov.ph/GEPSNONPILOT/Tender/SplashBidNoticeAbstractUI.aspx?menuIndex=3&amp;refID=7042674&amp;Result=3","7042674")</f>
        <v>0</v>
      </c>
      <c r="B4566" t="s">
        <v>1514</v>
      </c>
      <c r="C4566" t="s">
        <v>7559</v>
      </c>
      <c r="D4566" t="s">
        <v>18037</v>
      </c>
      <c r="E4566" t="s">
        <v>22195</v>
      </c>
      <c r="F4566" t="s">
        <v>31574</v>
      </c>
      <c r="G4566" t="s">
        <v>31582</v>
      </c>
      <c r="H4566" t="s">
        <v>31590</v>
      </c>
      <c r="I4566" t="s">
        <v>31620</v>
      </c>
      <c r="J4566" t="s">
        <v>33219</v>
      </c>
      <c r="K4566" t="s">
        <v>41192</v>
      </c>
      <c r="M4566" t="s">
        <v>43105</v>
      </c>
      <c r="N4566" t="s">
        <v>45095</v>
      </c>
      <c r="O4566" t="s">
        <v>45096</v>
      </c>
      <c r="P4566">
        <v>0</v>
      </c>
      <c r="Q4566">
        <v>8</v>
      </c>
      <c r="R4566" t="s">
        <v>45101</v>
      </c>
      <c r="S4566" t="s">
        <v>45231</v>
      </c>
      <c r="T4566" t="s">
        <v>47170</v>
      </c>
      <c r="U4566" t="s">
        <v>51333</v>
      </c>
      <c r="V4566" t="s">
        <v>59855</v>
      </c>
      <c r="W4566" t="s">
        <v>43105</v>
      </c>
      <c r="X4566" t="s">
        <v>45102</v>
      </c>
    </row>
    <row r="4567" spans="1:24">
      <c r="A4567">
        <f>HYPERLINK("https://www.philgeps.gov.ph/GEPSNONPILOT/Tender/SplashBidNoticeAbstractUI.aspx?menuIndex=3&amp;refID=7042677&amp;Result=3","7042677")</f>
        <v>0</v>
      </c>
      <c r="B4567" t="s">
        <v>129</v>
      </c>
      <c r="C4567" t="s">
        <v>7560</v>
      </c>
      <c r="E4567" t="s">
        <v>22196</v>
      </c>
      <c r="F4567" t="s">
        <v>31574</v>
      </c>
      <c r="G4567" t="s">
        <v>31581</v>
      </c>
      <c r="H4567" t="s">
        <v>31590</v>
      </c>
      <c r="I4567" t="s">
        <v>3487</v>
      </c>
      <c r="J4567" t="s">
        <v>31930</v>
      </c>
      <c r="K4567" t="s">
        <v>41193</v>
      </c>
      <c r="M4567" t="s">
        <v>43152</v>
      </c>
      <c r="N4567" t="s">
        <v>45095</v>
      </c>
      <c r="O4567" t="s">
        <v>45096</v>
      </c>
      <c r="P4567">
        <v>0</v>
      </c>
      <c r="Q4567">
        <v>12</v>
      </c>
      <c r="R4567" t="s">
        <v>45101</v>
      </c>
      <c r="S4567" t="s">
        <v>45231</v>
      </c>
      <c r="T4567" t="s">
        <v>47178</v>
      </c>
      <c r="U4567" t="s">
        <v>51334</v>
      </c>
      <c r="W4567" t="s">
        <v>43152</v>
      </c>
      <c r="X4567" t="s">
        <v>45102</v>
      </c>
    </row>
    <row r="4568" spans="1:24">
      <c r="A4568">
        <f>HYPERLINK("https://www.philgeps.gov.ph/GEPSNONPILOT/Tender/SplashBidNoticeAbstractUI.aspx?menuIndex=3&amp;refID=7042670&amp;Result=3","7042670")</f>
        <v>0</v>
      </c>
      <c r="B4568" t="s">
        <v>1554</v>
      </c>
      <c r="C4568" t="s">
        <v>7561</v>
      </c>
      <c r="D4568" t="s">
        <v>18056</v>
      </c>
      <c r="E4568" t="s">
        <v>22197</v>
      </c>
      <c r="F4568" t="s">
        <v>31574</v>
      </c>
      <c r="G4568" t="s">
        <v>31581</v>
      </c>
      <c r="H4568" t="s">
        <v>31590</v>
      </c>
      <c r="I4568" t="s">
        <v>3873</v>
      </c>
      <c r="J4568" t="s">
        <v>31780</v>
      </c>
      <c r="K4568" t="s">
        <v>41191</v>
      </c>
      <c r="M4568" t="s">
        <v>43153</v>
      </c>
      <c r="N4568" t="s">
        <v>45095</v>
      </c>
      <c r="O4568" t="s">
        <v>45096</v>
      </c>
      <c r="P4568">
        <v>0</v>
      </c>
      <c r="Q4568">
        <v>0</v>
      </c>
      <c r="R4568" t="s">
        <v>45101</v>
      </c>
      <c r="S4568" t="s">
        <v>45231</v>
      </c>
      <c r="T4568" t="s">
        <v>47159</v>
      </c>
      <c r="U4568" t="s">
        <v>51335</v>
      </c>
      <c r="W4568" t="s">
        <v>43153</v>
      </c>
      <c r="X4568" t="s">
        <v>45102</v>
      </c>
    </row>
    <row r="4569" spans="1:24">
      <c r="A4569">
        <f>HYPERLINK("https://www.philgeps.gov.ph/GEPSNONPILOT/Tender/SplashBidNoticeAbstractUI.aspx?menuIndex=3&amp;refID=7042660&amp;Result=3","7042660")</f>
        <v>0</v>
      </c>
      <c r="B4569" t="s">
        <v>1555</v>
      </c>
      <c r="C4569" t="s">
        <v>7562</v>
      </c>
      <c r="D4569" t="s">
        <v>18056</v>
      </c>
      <c r="E4569" t="s">
        <v>22198</v>
      </c>
      <c r="F4569" t="s">
        <v>31575</v>
      </c>
      <c r="G4569" t="s">
        <v>31581</v>
      </c>
      <c r="H4569" t="s">
        <v>31590</v>
      </c>
      <c r="I4569" t="s">
        <v>3487</v>
      </c>
      <c r="J4569" t="s">
        <v>33774</v>
      </c>
      <c r="K4569" t="s">
        <v>41196</v>
      </c>
      <c r="M4569" t="s">
        <v>43154</v>
      </c>
      <c r="N4569" t="s">
        <v>45095</v>
      </c>
      <c r="O4569" t="s">
        <v>45096</v>
      </c>
      <c r="P4569">
        <v>0</v>
      </c>
      <c r="Q4569">
        <v>1</v>
      </c>
      <c r="R4569" t="s">
        <v>45101</v>
      </c>
      <c r="S4569" t="s">
        <v>45231</v>
      </c>
      <c r="T4569" t="s">
        <v>46918</v>
      </c>
      <c r="U4569" t="s">
        <v>51336</v>
      </c>
      <c r="W4569" t="s">
        <v>43154</v>
      </c>
      <c r="X4569" t="s">
        <v>45102</v>
      </c>
    </row>
    <row r="4570" spans="1:24">
      <c r="A4570">
        <f>HYPERLINK("https://www.philgeps.gov.ph/GEPSNONPILOT/Tender/SplashBidNoticeAbstractUI.aspx?menuIndex=3&amp;refID=7042688&amp;Result=3","7042688")</f>
        <v>0</v>
      </c>
      <c r="B4570" t="s">
        <v>667</v>
      </c>
      <c r="C4570" t="s">
        <v>7563</v>
      </c>
      <c r="D4570" t="s">
        <v>18035</v>
      </c>
      <c r="E4570" t="s">
        <v>7563</v>
      </c>
      <c r="F4570" t="s">
        <v>31574</v>
      </c>
      <c r="G4570" t="s">
        <v>31582</v>
      </c>
      <c r="H4570" t="s">
        <v>31590</v>
      </c>
      <c r="I4570" t="s">
        <v>31607</v>
      </c>
      <c r="J4570" t="s">
        <v>34713</v>
      </c>
      <c r="K4570" t="s">
        <v>41184</v>
      </c>
      <c r="M4570" t="s">
        <v>42172</v>
      </c>
      <c r="N4570" t="s">
        <v>45095</v>
      </c>
      <c r="O4570" t="s">
        <v>45096</v>
      </c>
      <c r="P4570">
        <v>0</v>
      </c>
      <c r="Q4570">
        <v>6</v>
      </c>
      <c r="R4570" t="s">
        <v>45101</v>
      </c>
      <c r="S4570" t="s">
        <v>45231</v>
      </c>
      <c r="T4570" t="s">
        <v>47221</v>
      </c>
      <c r="U4570" t="s">
        <v>51337</v>
      </c>
      <c r="W4570" t="s">
        <v>42172</v>
      </c>
      <c r="X4570" t="s">
        <v>45102</v>
      </c>
    </row>
    <row r="4571" spans="1:24">
      <c r="A4571">
        <f>HYPERLINK("https://www.philgeps.gov.ph/GEPSNONPILOT/Tender/SplashBidNoticeAbstractUI.aspx?menuIndex=3&amp;refID=7042690&amp;Result=3","7042690")</f>
        <v>0</v>
      </c>
      <c r="B4571" t="s">
        <v>1556</v>
      </c>
      <c r="C4571" t="s">
        <v>7564</v>
      </c>
      <c r="D4571" t="s">
        <v>18022</v>
      </c>
      <c r="E4571" t="s">
        <v>22199</v>
      </c>
      <c r="F4571" t="s">
        <v>31574</v>
      </c>
      <c r="G4571" t="s">
        <v>31581</v>
      </c>
      <c r="H4571" t="s">
        <v>31590</v>
      </c>
      <c r="I4571" t="s">
        <v>14034</v>
      </c>
      <c r="J4571" t="s">
        <v>31930</v>
      </c>
      <c r="K4571" t="s">
        <v>41184</v>
      </c>
      <c r="M4571" t="s">
        <v>43155</v>
      </c>
      <c r="N4571" t="s">
        <v>45095</v>
      </c>
      <c r="O4571" t="s">
        <v>45096</v>
      </c>
      <c r="P4571">
        <v>0</v>
      </c>
      <c r="Q4571">
        <v>1</v>
      </c>
      <c r="R4571" t="s">
        <v>45101</v>
      </c>
      <c r="S4571" t="s">
        <v>45231</v>
      </c>
      <c r="T4571" t="s">
        <v>47058</v>
      </c>
      <c r="U4571" t="s">
        <v>51338</v>
      </c>
      <c r="W4571" t="s">
        <v>61707</v>
      </c>
      <c r="X4571" t="s">
        <v>45102</v>
      </c>
    </row>
    <row r="4572" spans="1:24">
      <c r="A4572">
        <f>HYPERLINK("https://www.philgeps.gov.ph/GEPSNONPILOT/Tender/SplashBidNoticeAbstractUI.aspx?menuIndex=3&amp;refID=7042683&amp;Result=3","7042683")</f>
        <v>0</v>
      </c>
      <c r="B4572" t="s">
        <v>452</v>
      </c>
      <c r="C4572" t="s">
        <v>7565</v>
      </c>
      <c r="D4572" t="s">
        <v>18022</v>
      </c>
      <c r="E4572" t="s">
        <v>22200</v>
      </c>
      <c r="F4572" t="s">
        <v>31574</v>
      </c>
      <c r="G4572" t="s">
        <v>31584</v>
      </c>
      <c r="H4572" t="s">
        <v>31590</v>
      </c>
      <c r="I4572" t="s">
        <v>3487</v>
      </c>
      <c r="J4572" t="s">
        <v>31984</v>
      </c>
      <c r="K4572" t="s">
        <v>41196</v>
      </c>
      <c r="M4572" t="s">
        <v>41946</v>
      </c>
      <c r="N4572" t="s">
        <v>45095</v>
      </c>
      <c r="O4572" t="s">
        <v>45096</v>
      </c>
      <c r="P4572">
        <v>0</v>
      </c>
      <c r="Q4572">
        <v>0</v>
      </c>
      <c r="R4572" t="s">
        <v>45101</v>
      </c>
      <c r="S4572" t="s">
        <v>45231</v>
      </c>
      <c r="T4572" t="s">
        <v>47191</v>
      </c>
      <c r="U4572" t="s">
        <v>51339</v>
      </c>
      <c r="V4572" t="s">
        <v>51339</v>
      </c>
      <c r="W4572" t="s">
        <v>41946</v>
      </c>
      <c r="X4572" t="s">
        <v>45102</v>
      </c>
    </row>
    <row r="4573" spans="1:24">
      <c r="A4573">
        <f>HYPERLINK("https://www.philgeps.gov.ph/GEPSNONPILOT/Tender/SplashBidNoticeAbstractUI.aspx?menuIndex=3&amp;refID=7042667&amp;Result=3","7042667")</f>
        <v>0</v>
      </c>
      <c r="B4573" t="s">
        <v>1512</v>
      </c>
      <c r="C4573" t="s">
        <v>7566</v>
      </c>
      <c r="D4573" t="s">
        <v>18053</v>
      </c>
      <c r="E4573" t="s">
        <v>22201</v>
      </c>
      <c r="F4573" t="s">
        <v>31574</v>
      </c>
      <c r="G4573" t="s">
        <v>31582</v>
      </c>
      <c r="H4573" t="s">
        <v>31590</v>
      </c>
      <c r="I4573" t="s">
        <v>31619</v>
      </c>
      <c r="J4573" t="s">
        <v>34714</v>
      </c>
      <c r="K4573" t="s">
        <v>41218</v>
      </c>
      <c r="M4573" t="s">
        <v>43103</v>
      </c>
      <c r="N4573" t="s">
        <v>45095</v>
      </c>
      <c r="O4573" t="s">
        <v>45096</v>
      </c>
      <c r="P4573">
        <v>0</v>
      </c>
      <c r="Q4573">
        <v>3</v>
      </c>
      <c r="R4573" t="s">
        <v>45101</v>
      </c>
      <c r="S4573" t="s">
        <v>45231</v>
      </c>
      <c r="T4573" t="s">
        <v>47217</v>
      </c>
      <c r="U4573" t="s">
        <v>51340</v>
      </c>
      <c r="W4573" t="s">
        <v>43103</v>
      </c>
      <c r="X4573" t="s">
        <v>45102</v>
      </c>
    </row>
    <row r="4574" spans="1:24">
      <c r="A4574">
        <f>HYPERLINK("https://www.philgeps.gov.ph/GEPSNONPILOT/Tender/SplashBidNoticeAbstractUI.aspx?menuIndex=3&amp;refID=7042681&amp;Result=3","7042681")</f>
        <v>0</v>
      </c>
      <c r="B4574" t="s">
        <v>1557</v>
      </c>
      <c r="C4574" t="s">
        <v>7567</v>
      </c>
      <c r="D4574" t="s">
        <v>18040</v>
      </c>
      <c r="E4574" t="s">
        <v>22202</v>
      </c>
      <c r="F4574" t="s">
        <v>31574</v>
      </c>
      <c r="G4574" t="s">
        <v>31581</v>
      </c>
      <c r="H4574" t="s">
        <v>31591</v>
      </c>
      <c r="I4574" t="s">
        <v>8822</v>
      </c>
      <c r="J4574" t="s">
        <v>34715</v>
      </c>
      <c r="K4574" t="s">
        <v>41186</v>
      </c>
      <c r="M4574" t="s">
        <v>43156</v>
      </c>
      <c r="N4574" t="s">
        <v>45095</v>
      </c>
      <c r="O4574" t="s">
        <v>45096</v>
      </c>
      <c r="P4574">
        <v>0</v>
      </c>
      <c r="Q4574">
        <v>4</v>
      </c>
      <c r="R4574" t="s">
        <v>45101</v>
      </c>
      <c r="S4574" t="s">
        <v>45231</v>
      </c>
      <c r="T4574" t="s">
        <v>47159</v>
      </c>
      <c r="U4574" t="s">
        <v>51341</v>
      </c>
      <c r="W4574" t="s">
        <v>43156</v>
      </c>
      <c r="X4574" t="s">
        <v>45102</v>
      </c>
    </row>
    <row r="4575" spans="1:24">
      <c r="A4575">
        <f>HYPERLINK("https://www.philgeps.gov.ph/GEPSNONPILOT/Tender/SplashBidNoticeAbstractUI.aspx?menuIndex=3&amp;refID=7042682&amp;Result=3","7042682")</f>
        <v>0</v>
      </c>
      <c r="B4575" t="s">
        <v>1549</v>
      </c>
      <c r="C4575" t="s">
        <v>7568</v>
      </c>
      <c r="E4575" t="s">
        <v>22203</v>
      </c>
      <c r="F4575" t="s">
        <v>31574</v>
      </c>
      <c r="G4575" t="s">
        <v>31581</v>
      </c>
      <c r="H4575" t="s">
        <v>31590</v>
      </c>
      <c r="I4575" t="s">
        <v>4046</v>
      </c>
      <c r="J4575" t="s">
        <v>32710</v>
      </c>
      <c r="K4575" t="s">
        <v>41191</v>
      </c>
      <c r="M4575" t="s">
        <v>43147</v>
      </c>
      <c r="N4575" t="s">
        <v>45095</v>
      </c>
      <c r="O4575" t="s">
        <v>45096</v>
      </c>
      <c r="P4575">
        <v>0</v>
      </c>
      <c r="Q4575">
        <v>0</v>
      </c>
      <c r="R4575" t="s">
        <v>45101</v>
      </c>
      <c r="S4575" t="s">
        <v>45231</v>
      </c>
      <c r="T4575" t="s">
        <v>46918</v>
      </c>
      <c r="U4575" t="s">
        <v>51342</v>
      </c>
      <c r="W4575" t="s">
        <v>43147</v>
      </c>
      <c r="X4575" t="s">
        <v>45102</v>
      </c>
    </row>
    <row r="4576" spans="1:24">
      <c r="A4576">
        <f>HYPERLINK("https://www.philgeps.gov.ph/GEPSNONPILOT/Tender/SplashBidNoticeAbstractUI.aspx?menuIndex=3&amp;refID=7042692&amp;Result=3","7042692")</f>
        <v>0</v>
      </c>
      <c r="B4576" t="s">
        <v>1558</v>
      </c>
      <c r="C4576" t="s">
        <v>7569</v>
      </c>
      <c r="D4576" t="s">
        <v>18042</v>
      </c>
      <c r="E4576" t="s">
        <v>22204</v>
      </c>
      <c r="F4576" t="s">
        <v>31574</v>
      </c>
      <c r="G4576" t="s">
        <v>31581</v>
      </c>
      <c r="H4576" t="s">
        <v>31590</v>
      </c>
      <c r="I4576" t="s">
        <v>31704</v>
      </c>
      <c r="J4576" t="s">
        <v>34716</v>
      </c>
      <c r="K4576" t="s">
        <v>41196</v>
      </c>
      <c r="M4576" t="s">
        <v>43157</v>
      </c>
      <c r="N4576" t="s">
        <v>45095</v>
      </c>
      <c r="O4576" t="s">
        <v>45096</v>
      </c>
      <c r="P4576">
        <v>0</v>
      </c>
      <c r="Q4576">
        <v>1</v>
      </c>
      <c r="R4576" t="s">
        <v>45101</v>
      </c>
      <c r="S4576" t="s">
        <v>45231</v>
      </c>
      <c r="T4576" t="s">
        <v>47155</v>
      </c>
      <c r="U4576" t="s">
        <v>51343</v>
      </c>
      <c r="W4576" t="s">
        <v>43157</v>
      </c>
      <c r="X4576" t="s">
        <v>45102</v>
      </c>
    </row>
    <row r="4577" spans="1:24">
      <c r="A4577">
        <f>HYPERLINK("https://www.philgeps.gov.ph/GEPSNONPILOT/Tender/SplashBidNoticeAbstractUI.aspx?menuIndex=3&amp;refID=7042694&amp;Result=3","7042694")</f>
        <v>0</v>
      </c>
      <c r="B4577" t="s">
        <v>1531</v>
      </c>
      <c r="C4577" t="s">
        <v>7570</v>
      </c>
      <c r="D4577" t="s">
        <v>18044</v>
      </c>
      <c r="E4577" t="s">
        <v>22205</v>
      </c>
      <c r="F4577" t="s">
        <v>31574</v>
      </c>
      <c r="G4577" t="s">
        <v>31582</v>
      </c>
      <c r="H4577" t="s">
        <v>31591</v>
      </c>
      <c r="I4577" t="s">
        <v>8822</v>
      </c>
      <c r="J4577" t="s">
        <v>34689</v>
      </c>
      <c r="K4577" t="s">
        <v>41200</v>
      </c>
      <c r="M4577" t="s">
        <v>43122</v>
      </c>
      <c r="N4577" t="s">
        <v>45095</v>
      </c>
      <c r="O4577" t="s">
        <v>45096</v>
      </c>
      <c r="P4577">
        <v>0</v>
      </c>
      <c r="Q4577">
        <v>1</v>
      </c>
      <c r="R4577" t="s">
        <v>45101</v>
      </c>
      <c r="S4577" t="s">
        <v>45231</v>
      </c>
      <c r="T4577" t="s">
        <v>46962</v>
      </c>
      <c r="U4577" t="s">
        <v>51259</v>
      </c>
      <c r="V4577" t="s">
        <v>60323</v>
      </c>
      <c r="W4577" t="s">
        <v>43122</v>
      </c>
      <c r="X4577" t="s">
        <v>45102</v>
      </c>
    </row>
    <row r="4578" spans="1:24">
      <c r="A4578">
        <f>HYPERLINK("https://www.philgeps.gov.ph/GEPSNONPILOT/Tender/SplashBidNoticeAbstractUI.aspx?menuIndex=3&amp;refID=7042659&amp;Result=3","7042659")</f>
        <v>0</v>
      </c>
      <c r="B4578" t="s">
        <v>1559</v>
      </c>
      <c r="C4578" t="s">
        <v>4970</v>
      </c>
      <c r="D4578" t="s">
        <v>18073</v>
      </c>
      <c r="E4578" t="s">
        <v>19149</v>
      </c>
      <c r="F4578" t="s">
        <v>31574</v>
      </c>
      <c r="G4578" t="s">
        <v>31583</v>
      </c>
      <c r="H4578" t="s">
        <v>31590</v>
      </c>
      <c r="I4578" t="s">
        <v>5717</v>
      </c>
      <c r="J4578" t="s">
        <v>34717</v>
      </c>
      <c r="K4578" t="s">
        <v>41193</v>
      </c>
      <c r="M4578" t="s">
        <v>43158</v>
      </c>
      <c r="N4578" t="s">
        <v>45095</v>
      </c>
      <c r="O4578" t="s">
        <v>45096</v>
      </c>
      <c r="P4578">
        <v>0</v>
      </c>
      <c r="Q4578">
        <v>8</v>
      </c>
      <c r="R4578" t="s">
        <v>45101</v>
      </c>
      <c r="S4578" t="s">
        <v>45231</v>
      </c>
      <c r="T4578" t="s">
        <v>46936</v>
      </c>
      <c r="U4578" t="s">
        <v>51344</v>
      </c>
      <c r="W4578" t="s">
        <v>43158</v>
      </c>
      <c r="X4578" t="s">
        <v>45102</v>
      </c>
    </row>
    <row r="4579" spans="1:24">
      <c r="A4579">
        <f>HYPERLINK("https://www.philgeps.gov.ph/GEPSNONPILOT/Tender/SplashBidNoticeAbstractUI.aspx?menuIndex=3&amp;refID=7042686&amp;Result=3","7042686")</f>
        <v>0</v>
      </c>
      <c r="B4579" t="s">
        <v>1560</v>
      </c>
      <c r="C4579" t="s">
        <v>7571</v>
      </c>
      <c r="D4579" t="s">
        <v>18072</v>
      </c>
      <c r="E4579" t="s">
        <v>22206</v>
      </c>
      <c r="F4579" t="s">
        <v>31574</v>
      </c>
      <c r="G4579" t="s">
        <v>31582</v>
      </c>
      <c r="H4579" t="s">
        <v>31590</v>
      </c>
      <c r="I4579" t="s">
        <v>31612</v>
      </c>
      <c r="J4579" t="s">
        <v>32381</v>
      </c>
      <c r="K4579" t="s">
        <v>41196</v>
      </c>
      <c r="M4579" t="s">
        <v>43159</v>
      </c>
      <c r="N4579" t="s">
        <v>45095</v>
      </c>
      <c r="O4579" t="s">
        <v>45096</v>
      </c>
      <c r="P4579">
        <v>0</v>
      </c>
      <c r="Q4579">
        <v>1</v>
      </c>
      <c r="R4579" t="s">
        <v>45101</v>
      </c>
      <c r="S4579" t="s">
        <v>45231</v>
      </c>
      <c r="T4579" t="s">
        <v>46920</v>
      </c>
      <c r="U4579" t="s">
        <v>51345</v>
      </c>
      <c r="W4579" t="s">
        <v>43159</v>
      </c>
      <c r="X4579" t="s">
        <v>45102</v>
      </c>
    </row>
    <row r="4580" spans="1:24">
      <c r="A4580">
        <f>HYPERLINK("https://www.philgeps.gov.ph/GEPSNONPILOT/Tender/SplashBidNoticeAbstractUI.aspx?menuIndex=3&amp;refID=7042693&amp;Result=3","7042693")</f>
        <v>0</v>
      </c>
      <c r="B4580" t="s">
        <v>1301</v>
      </c>
      <c r="C4580" t="s">
        <v>7572</v>
      </c>
      <c r="E4580" t="s">
        <v>22207</v>
      </c>
      <c r="F4580" t="s">
        <v>31574</v>
      </c>
      <c r="G4580" t="s">
        <v>31581</v>
      </c>
      <c r="H4580" t="s">
        <v>31590</v>
      </c>
      <c r="I4580" t="s">
        <v>6800</v>
      </c>
      <c r="J4580" t="s">
        <v>34718</v>
      </c>
      <c r="K4580" t="s">
        <v>41184</v>
      </c>
      <c r="M4580" t="s">
        <v>42871</v>
      </c>
      <c r="N4580" t="s">
        <v>45095</v>
      </c>
      <c r="O4580" t="s">
        <v>45096</v>
      </c>
      <c r="P4580">
        <v>0</v>
      </c>
      <c r="Q4580">
        <v>2</v>
      </c>
      <c r="R4580" t="s">
        <v>45101</v>
      </c>
      <c r="S4580" t="s">
        <v>45231</v>
      </c>
      <c r="T4580" t="s">
        <v>47159</v>
      </c>
      <c r="U4580" t="s">
        <v>51346</v>
      </c>
      <c r="W4580" t="s">
        <v>42871</v>
      </c>
      <c r="X4580" t="s">
        <v>45102</v>
      </c>
    </row>
    <row r="4581" spans="1:24">
      <c r="A4581">
        <f>HYPERLINK("https://www.philgeps.gov.ph/GEPSNONPILOT/Tender/SplashBidNoticeAbstractUI.aspx?menuIndex=3&amp;refID=7042668&amp;Result=3","7042668")</f>
        <v>0</v>
      </c>
      <c r="B4581" t="s">
        <v>1301</v>
      </c>
      <c r="C4581" t="s">
        <v>7573</v>
      </c>
      <c r="E4581" t="s">
        <v>22208</v>
      </c>
      <c r="F4581" t="s">
        <v>31574</v>
      </c>
      <c r="G4581" t="s">
        <v>31581</v>
      </c>
      <c r="H4581" t="s">
        <v>31590</v>
      </c>
      <c r="I4581" t="s">
        <v>4046</v>
      </c>
      <c r="J4581" t="s">
        <v>34719</v>
      </c>
      <c r="K4581" t="s">
        <v>41184</v>
      </c>
      <c r="M4581" t="s">
        <v>42871</v>
      </c>
      <c r="N4581" t="s">
        <v>45095</v>
      </c>
      <c r="O4581" t="s">
        <v>45096</v>
      </c>
      <c r="P4581">
        <v>0</v>
      </c>
      <c r="Q4581">
        <v>0</v>
      </c>
      <c r="R4581" t="s">
        <v>45101</v>
      </c>
      <c r="S4581" t="s">
        <v>45231</v>
      </c>
      <c r="T4581" t="s">
        <v>47159</v>
      </c>
      <c r="U4581" t="s">
        <v>48551</v>
      </c>
      <c r="W4581" t="s">
        <v>42871</v>
      </c>
      <c r="X4581" t="s">
        <v>45102</v>
      </c>
    </row>
    <row r="4582" spans="1:24">
      <c r="A4582">
        <f>HYPERLINK("https://www.philgeps.gov.ph/GEPSNONPILOT/Tender/SplashBidNoticeAbstractUI.aspx?menuIndex=3&amp;refID=7042696&amp;Result=3","7042696")</f>
        <v>0</v>
      </c>
      <c r="B4582" t="s">
        <v>1557</v>
      </c>
      <c r="C4582" t="s">
        <v>7574</v>
      </c>
      <c r="D4582" t="s">
        <v>18040</v>
      </c>
      <c r="E4582" t="s">
        <v>22209</v>
      </c>
      <c r="F4582" t="s">
        <v>31574</v>
      </c>
      <c r="G4582" t="s">
        <v>31581</v>
      </c>
      <c r="H4582" t="s">
        <v>31591</v>
      </c>
      <c r="I4582" t="s">
        <v>8822</v>
      </c>
      <c r="J4582" t="s">
        <v>34720</v>
      </c>
      <c r="K4582" t="s">
        <v>41186</v>
      </c>
      <c r="M4582" t="s">
        <v>43156</v>
      </c>
      <c r="N4582" t="s">
        <v>45095</v>
      </c>
      <c r="O4582" t="s">
        <v>45096</v>
      </c>
      <c r="P4582">
        <v>0</v>
      </c>
      <c r="Q4582">
        <v>4</v>
      </c>
      <c r="R4582" t="s">
        <v>45101</v>
      </c>
      <c r="S4582" t="s">
        <v>45231</v>
      </c>
      <c r="T4582" t="s">
        <v>47159</v>
      </c>
      <c r="U4582" t="s">
        <v>51341</v>
      </c>
      <c r="W4582" t="s">
        <v>43156</v>
      </c>
      <c r="X4582" t="s">
        <v>45102</v>
      </c>
    </row>
    <row r="4583" spans="1:24">
      <c r="A4583">
        <f>HYPERLINK("https://www.philgeps.gov.ph/GEPSNONPILOT/Tender/SplashBidNoticeAbstractUI.aspx?menuIndex=3&amp;refID=7042698&amp;Result=3","7042698")</f>
        <v>0</v>
      </c>
      <c r="B4583" t="s">
        <v>1561</v>
      </c>
      <c r="C4583" t="s">
        <v>7575</v>
      </c>
      <c r="D4583" t="s">
        <v>18081</v>
      </c>
      <c r="E4583" t="s">
        <v>18227</v>
      </c>
      <c r="F4583" t="s">
        <v>31574</v>
      </c>
      <c r="G4583" t="s">
        <v>31582</v>
      </c>
      <c r="H4583" t="s">
        <v>31590</v>
      </c>
      <c r="I4583" t="s">
        <v>31602</v>
      </c>
      <c r="J4583" t="s">
        <v>32108</v>
      </c>
      <c r="K4583" t="s">
        <v>41196</v>
      </c>
      <c r="L4583" t="s">
        <v>1561</v>
      </c>
      <c r="M4583" t="s">
        <v>43160</v>
      </c>
      <c r="N4583" t="s">
        <v>45095</v>
      </c>
      <c r="O4583" t="s">
        <v>45096</v>
      </c>
      <c r="P4583">
        <v>0</v>
      </c>
      <c r="Q4583">
        <v>0</v>
      </c>
      <c r="R4583" t="s">
        <v>45101</v>
      </c>
      <c r="S4583" t="s">
        <v>45231</v>
      </c>
      <c r="T4583" t="s">
        <v>46966</v>
      </c>
      <c r="U4583" t="s">
        <v>51347</v>
      </c>
      <c r="V4583" t="s">
        <v>60334</v>
      </c>
      <c r="W4583" t="s">
        <v>43160</v>
      </c>
      <c r="X4583" t="s">
        <v>45102</v>
      </c>
    </row>
    <row r="4584" spans="1:24">
      <c r="A4584">
        <f>HYPERLINK("https://www.philgeps.gov.ph/GEPSNONPILOT/Tender/SplashBidNoticeAbstractUI.aspx?menuIndex=3&amp;refID=7042708&amp;Result=3","7042708")</f>
        <v>0</v>
      </c>
      <c r="B4584" t="s">
        <v>1514</v>
      </c>
      <c r="C4584" t="s">
        <v>7576</v>
      </c>
      <c r="D4584" t="s">
        <v>18037</v>
      </c>
      <c r="E4584" t="s">
        <v>22210</v>
      </c>
      <c r="F4584" t="s">
        <v>31574</v>
      </c>
      <c r="G4584" t="s">
        <v>31582</v>
      </c>
      <c r="H4584" t="s">
        <v>31590</v>
      </c>
      <c r="I4584" t="s">
        <v>8258</v>
      </c>
      <c r="J4584" t="s">
        <v>34721</v>
      </c>
      <c r="K4584" t="s">
        <v>41191</v>
      </c>
      <c r="M4584" t="s">
        <v>43105</v>
      </c>
      <c r="N4584" t="s">
        <v>45095</v>
      </c>
      <c r="O4584" t="s">
        <v>45096</v>
      </c>
      <c r="P4584">
        <v>0</v>
      </c>
      <c r="Q4584">
        <v>17</v>
      </c>
      <c r="R4584" t="s">
        <v>45101</v>
      </c>
      <c r="S4584" t="s">
        <v>45231</v>
      </c>
      <c r="T4584" t="s">
        <v>47170</v>
      </c>
      <c r="U4584" t="s">
        <v>51348</v>
      </c>
      <c r="V4584" t="s">
        <v>59855</v>
      </c>
      <c r="W4584" t="s">
        <v>43105</v>
      </c>
      <c r="X4584" t="s">
        <v>45102</v>
      </c>
    </row>
    <row r="4585" spans="1:24">
      <c r="A4585">
        <f>HYPERLINK("https://www.philgeps.gov.ph/GEPSNONPILOT/Tender/SplashBidNoticeAbstractUI.aspx?menuIndex=3&amp;refID=7042706&amp;Result=3","7042706")</f>
        <v>0</v>
      </c>
      <c r="B4585" t="s">
        <v>1519</v>
      </c>
      <c r="C4585" t="s">
        <v>7577</v>
      </c>
      <c r="D4585" t="s">
        <v>18071</v>
      </c>
      <c r="E4585" t="s">
        <v>7577</v>
      </c>
      <c r="F4585" t="s">
        <v>31574</v>
      </c>
      <c r="G4585" t="s">
        <v>31581</v>
      </c>
      <c r="H4585" t="s">
        <v>31590</v>
      </c>
      <c r="I4585" t="s">
        <v>3901</v>
      </c>
      <c r="J4585" t="s">
        <v>32232</v>
      </c>
      <c r="K4585" t="s">
        <v>41186</v>
      </c>
      <c r="M4585" t="s">
        <v>43110</v>
      </c>
      <c r="N4585" t="s">
        <v>45095</v>
      </c>
      <c r="O4585" t="s">
        <v>45096</v>
      </c>
      <c r="P4585">
        <v>0</v>
      </c>
      <c r="Q4585">
        <v>0</v>
      </c>
      <c r="R4585" t="s">
        <v>45101</v>
      </c>
      <c r="S4585" t="s">
        <v>45231</v>
      </c>
      <c r="T4585" t="s">
        <v>47125</v>
      </c>
      <c r="U4585" t="s">
        <v>51349</v>
      </c>
      <c r="V4585" t="s">
        <v>60335</v>
      </c>
      <c r="W4585" t="s">
        <v>43110</v>
      </c>
      <c r="X4585" t="s">
        <v>45102</v>
      </c>
    </row>
    <row r="4586" spans="1:24">
      <c r="A4586">
        <f>HYPERLINK("https://www.philgeps.gov.ph/GEPSNONPILOT/Tender/SplashBidNoticeAbstractUI.aspx?menuIndex=3&amp;refID=7042703&amp;Result=3","7042703")</f>
        <v>0</v>
      </c>
      <c r="B4586" t="s">
        <v>309</v>
      </c>
      <c r="C4586" t="s">
        <v>7578</v>
      </c>
      <c r="D4586" t="s">
        <v>18074</v>
      </c>
      <c r="E4586" t="s">
        <v>22211</v>
      </c>
      <c r="F4586" t="s">
        <v>31574</v>
      </c>
      <c r="G4586" t="s">
        <v>31582</v>
      </c>
      <c r="H4586" t="s">
        <v>31590</v>
      </c>
      <c r="I4586" t="s">
        <v>31605</v>
      </c>
      <c r="J4586" t="s">
        <v>34722</v>
      </c>
      <c r="K4586" t="s">
        <v>41184</v>
      </c>
      <c r="M4586" t="s">
        <v>41795</v>
      </c>
      <c r="N4586" t="s">
        <v>45095</v>
      </c>
      <c r="O4586" t="s">
        <v>45096</v>
      </c>
      <c r="P4586">
        <v>0</v>
      </c>
      <c r="Q4586">
        <v>0</v>
      </c>
      <c r="R4586" t="s">
        <v>45101</v>
      </c>
      <c r="S4586" t="s">
        <v>45231</v>
      </c>
      <c r="T4586" t="s">
        <v>46932</v>
      </c>
      <c r="U4586" t="s">
        <v>51350</v>
      </c>
      <c r="W4586" t="s">
        <v>41795</v>
      </c>
      <c r="X4586" t="s">
        <v>45102</v>
      </c>
    </row>
    <row r="4587" spans="1:24">
      <c r="A4587">
        <f>HYPERLINK("https://www.philgeps.gov.ph/GEPSNONPILOT/Tender/SplashBidNoticeAbstractUI.aspx?menuIndex=3&amp;refID=7042728&amp;Result=3","7042728")</f>
        <v>0</v>
      </c>
      <c r="B4587" t="s">
        <v>1512</v>
      </c>
      <c r="C4587" t="s">
        <v>7579</v>
      </c>
      <c r="D4587" t="s">
        <v>18053</v>
      </c>
      <c r="E4587" t="s">
        <v>22212</v>
      </c>
      <c r="F4587" t="s">
        <v>31574</v>
      </c>
      <c r="G4587" t="s">
        <v>31582</v>
      </c>
      <c r="H4587" t="s">
        <v>31590</v>
      </c>
      <c r="I4587" t="s">
        <v>31595</v>
      </c>
      <c r="J4587" t="s">
        <v>33408</v>
      </c>
      <c r="K4587" t="s">
        <v>41218</v>
      </c>
      <c r="M4587" t="s">
        <v>43103</v>
      </c>
      <c r="N4587" t="s">
        <v>45095</v>
      </c>
      <c r="O4587" t="s">
        <v>45096</v>
      </c>
      <c r="P4587">
        <v>0</v>
      </c>
      <c r="Q4587">
        <v>2</v>
      </c>
      <c r="R4587" t="s">
        <v>45101</v>
      </c>
      <c r="S4587" t="s">
        <v>45231</v>
      </c>
      <c r="T4587" t="s">
        <v>47217</v>
      </c>
      <c r="U4587" t="s">
        <v>51351</v>
      </c>
      <c r="W4587" t="s">
        <v>43103</v>
      </c>
      <c r="X4587" t="s">
        <v>45102</v>
      </c>
    </row>
    <row r="4588" spans="1:24">
      <c r="A4588">
        <f>HYPERLINK("https://www.philgeps.gov.ph/GEPSNONPILOT/Tender/SplashBidNoticeAbstractUI.aspx?menuIndex=3&amp;refID=7042727&amp;Result=3","7042727")</f>
        <v>0</v>
      </c>
      <c r="B4588" t="s">
        <v>1514</v>
      </c>
      <c r="C4588" t="s">
        <v>7580</v>
      </c>
      <c r="D4588" t="s">
        <v>18037</v>
      </c>
      <c r="E4588" t="s">
        <v>22213</v>
      </c>
      <c r="F4588" t="s">
        <v>31574</v>
      </c>
      <c r="G4588" t="s">
        <v>31582</v>
      </c>
      <c r="H4588" t="s">
        <v>31590</v>
      </c>
      <c r="I4588" t="s">
        <v>8258</v>
      </c>
      <c r="J4588" t="s">
        <v>34723</v>
      </c>
      <c r="K4588" t="s">
        <v>41191</v>
      </c>
      <c r="M4588" t="s">
        <v>43105</v>
      </c>
      <c r="N4588" t="s">
        <v>45095</v>
      </c>
      <c r="O4588" t="s">
        <v>45096</v>
      </c>
      <c r="P4588">
        <v>0</v>
      </c>
      <c r="Q4588">
        <v>11</v>
      </c>
      <c r="R4588" t="s">
        <v>45101</v>
      </c>
      <c r="S4588" t="s">
        <v>45231</v>
      </c>
      <c r="T4588" t="s">
        <v>47170</v>
      </c>
      <c r="U4588" t="s">
        <v>51352</v>
      </c>
      <c r="V4588" t="s">
        <v>59855</v>
      </c>
      <c r="W4588" t="s">
        <v>43105</v>
      </c>
      <c r="X4588" t="s">
        <v>45102</v>
      </c>
    </row>
    <row r="4589" spans="1:24">
      <c r="A4589">
        <f>HYPERLINK("https://www.philgeps.gov.ph/GEPSNONPILOT/Tender/SplashBidNoticeAbstractUI.aspx?menuIndex=3&amp;refID=7042704&amp;Result=3","7042704")</f>
        <v>0</v>
      </c>
      <c r="B4589" t="s">
        <v>800</v>
      </c>
      <c r="C4589" t="s">
        <v>7581</v>
      </c>
      <c r="D4589" t="s">
        <v>18022</v>
      </c>
      <c r="E4589" t="s">
        <v>22214</v>
      </c>
      <c r="F4589" t="s">
        <v>31574</v>
      </c>
      <c r="G4589" t="s">
        <v>31584</v>
      </c>
      <c r="H4589" t="s">
        <v>31590</v>
      </c>
      <c r="I4589" t="s">
        <v>3487</v>
      </c>
      <c r="J4589" t="s">
        <v>31927</v>
      </c>
      <c r="K4589" t="s">
        <v>41196</v>
      </c>
      <c r="M4589" t="s">
        <v>42810</v>
      </c>
      <c r="N4589" t="s">
        <v>45095</v>
      </c>
      <c r="O4589" t="s">
        <v>45096</v>
      </c>
      <c r="P4589">
        <v>0</v>
      </c>
      <c r="Q4589">
        <v>4</v>
      </c>
      <c r="R4589" t="s">
        <v>45101</v>
      </c>
      <c r="S4589" t="s">
        <v>45231</v>
      </c>
      <c r="T4589" t="s">
        <v>47076</v>
      </c>
      <c r="U4589" t="s">
        <v>50461</v>
      </c>
      <c r="V4589" t="s">
        <v>60327</v>
      </c>
      <c r="W4589" t="s">
        <v>42810</v>
      </c>
      <c r="X4589" t="s">
        <v>45102</v>
      </c>
    </row>
    <row r="4590" spans="1:24">
      <c r="A4590">
        <f>HYPERLINK("https://www.philgeps.gov.ph/GEPSNONPILOT/Tender/SplashBidNoticeAbstractUI.aspx?menuIndex=3&amp;refID=7042702&amp;Result=3","7042702")</f>
        <v>0</v>
      </c>
      <c r="B4590" t="s">
        <v>1562</v>
      </c>
      <c r="C4590" t="s">
        <v>7582</v>
      </c>
      <c r="D4590" t="s">
        <v>18023</v>
      </c>
      <c r="E4590" t="s">
        <v>22215</v>
      </c>
      <c r="F4590" t="s">
        <v>31574</v>
      </c>
      <c r="G4590" t="s">
        <v>31584</v>
      </c>
      <c r="H4590" t="s">
        <v>31590</v>
      </c>
      <c r="I4590" t="s">
        <v>6800</v>
      </c>
      <c r="J4590" t="s">
        <v>34724</v>
      </c>
      <c r="K4590" t="s">
        <v>41186</v>
      </c>
      <c r="M4590" t="s">
        <v>43161</v>
      </c>
      <c r="N4590" t="s">
        <v>45095</v>
      </c>
      <c r="O4590" t="s">
        <v>45096</v>
      </c>
      <c r="P4590">
        <v>0</v>
      </c>
      <c r="Q4590">
        <v>4</v>
      </c>
      <c r="R4590" t="s">
        <v>45101</v>
      </c>
      <c r="S4590" t="s">
        <v>45231</v>
      </c>
      <c r="T4590" t="s">
        <v>46955</v>
      </c>
      <c r="U4590" t="s">
        <v>51353</v>
      </c>
      <c r="W4590" t="s">
        <v>43161</v>
      </c>
      <c r="X4590" t="s">
        <v>45102</v>
      </c>
    </row>
    <row r="4591" spans="1:24">
      <c r="A4591">
        <f>HYPERLINK("https://www.philgeps.gov.ph/GEPSNONPILOT/Tender/SplashBidNoticeAbstractUI.aspx?menuIndex=3&amp;refID=7042726&amp;Result=3","7042726")</f>
        <v>0</v>
      </c>
      <c r="B4591" t="s">
        <v>1531</v>
      </c>
      <c r="C4591" t="s">
        <v>7583</v>
      </c>
      <c r="D4591" t="s">
        <v>18044</v>
      </c>
      <c r="E4591" t="s">
        <v>22216</v>
      </c>
      <c r="F4591" t="s">
        <v>31574</v>
      </c>
      <c r="G4591" t="s">
        <v>31582</v>
      </c>
      <c r="H4591" t="s">
        <v>31591</v>
      </c>
      <c r="I4591" t="s">
        <v>8822</v>
      </c>
      <c r="J4591" t="s">
        <v>34725</v>
      </c>
      <c r="K4591" t="s">
        <v>41198</v>
      </c>
      <c r="M4591" t="s">
        <v>43122</v>
      </c>
      <c r="N4591" t="s">
        <v>45095</v>
      </c>
      <c r="O4591" t="s">
        <v>45096</v>
      </c>
      <c r="P4591">
        <v>0</v>
      </c>
      <c r="Q4591">
        <v>3</v>
      </c>
      <c r="R4591" t="s">
        <v>45101</v>
      </c>
      <c r="S4591" t="s">
        <v>45231</v>
      </c>
      <c r="T4591" t="s">
        <v>46962</v>
      </c>
      <c r="U4591" t="s">
        <v>51259</v>
      </c>
      <c r="V4591" t="s">
        <v>60323</v>
      </c>
      <c r="W4591" t="s">
        <v>43122</v>
      </c>
      <c r="X4591" t="s">
        <v>45102</v>
      </c>
    </row>
    <row r="4592" spans="1:24">
      <c r="A4592">
        <f>HYPERLINK("https://www.philgeps.gov.ph/GEPSNONPILOT/Tender/SplashBidNoticeAbstractUI.aspx?menuIndex=3&amp;refID=7042697&amp;Result=3","7042697")</f>
        <v>0</v>
      </c>
      <c r="B4592" t="s">
        <v>416</v>
      </c>
      <c r="C4592" t="s">
        <v>7584</v>
      </c>
      <c r="D4592" t="s">
        <v>18046</v>
      </c>
      <c r="E4592" t="s">
        <v>22217</v>
      </c>
      <c r="F4592" t="s">
        <v>31574</v>
      </c>
      <c r="G4592" t="s">
        <v>31581</v>
      </c>
      <c r="H4592" t="s">
        <v>31590</v>
      </c>
      <c r="I4592" t="s">
        <v>31629</v>
      </c>
      <c r="J4592" t="s">
        <v>34726</v>
      </c>
      <c r="K4592" t="s">
        <v>41196</v>
      </c>
      <c r="M4592" t="s">
        <v>41908</v>
      </c>
      <c r="N4592" t="s">
        <v>45095</v>
      </c>
      <c r="O4592" t="s">
        <v>45096</v>
      </c>
      <c r="P4592">
        <v>0</v>
      </c>
      <c r="Q4592">
        <v>0</v>
      </c>
      <c r="R4592" t="s">
        <v>45101</v>
      </c>
      <c r="S4592" t="s">
        <v>45231</v>
      </c>
      <c r="T4592" t="s">
        <v>46963</v>
      </c>
      <c r="U4592" t="s">
        <v>51354</v>
      </c>
      <c r="W4592" t="s">
        <v>41908</v>
      </c>
      <c r="X4592" t="s">
        <v>45102</v>
      </c>
    </row>
    <row r="4593" spans="1:24">
      <c r="A4593">
        <f>HYPERLINK("https://www.philgeps.gov.ph/GEPSNONPILOT/Tender/SplashBidNoticeAbstractUI.aspx?menuIndex=3&amp;refID=7042715&amp;Result=3","7042715")</f>
        <v>0</v>
      </c>
      <c r="B4593" t="s">
        <v>1554</v>
      </c>
      <c r="C4593" t="s">
        <v>7585</v>
      </c>
      <c r="D4593" t="s">
        <v>18056</v>
      </c>
      <c r="E4593" t="s">
        <v>22218</v>
      </c>
      <c r="F4593" t="s">
        <v>31574</v>
      </c>
      <c r="G4593" t="s">
        <v>31581</v>
      </c>
      <c r="H4593" t="s">
        <v>31590</v>
      </c>
      <c r="I4593" t="s">
        <v>14544</v>
      </c>
      <c r="J4593" t="s">
        <v>34727</v>
      </c>
      <c r="K4593" t="s">
        <v>41191</v>
      </c>
      <c r="M4593" t="s">
        <v>43153</v>
      </c>
      <c r="N4593" t="s">
        <v>45095</v>
      </c>
      <c r="O4593" t="s">
        <v>45096</v>
      </c>
      <c r="P4593">
        <v>0</v>
      </c>
      <c r="Q4593">
        <v>1</v>
      </c>
      <c r="R4593" t="s">
        <v>45101</v>
      </c>
      <c r="S4593" t="s">
        <v>45231</v>
      </c>
      <c r="T4593" t="s">
        <v>47159</v>
      </c>
      <c r="U4593" t="s">
        <v>51355</v>
      </c>
      <c r="W4593" t="s">
        <v>43153</v>
      </c>
      <c r="X4593" t="s">
        <v>45102</v>
      </c>
    </row>
    <row r="4594" spans="1:24">
      <c r="A4594">
        <f>HYPERLINK("https://www.philgeps.gov.ph/GEPSNONPILOT/Tender/SplashBidNoticeAbstractUI.aspx?menuIndex=3&amp;refID=7042714&amp;Result=3","7042714")</f>
        <v>0</v>
      </c>
      <c r="B4594" t="s">
        <v>115</v>
      </c>
      <c r="C4594" t="s">
        <v>7586</v>
      </c>
      <c r="D4594" t="s">
        <v>18040</v>
      </c>
      <c r="E4594" t="s">
        <v>22219</v>
      </c>
      <c r="F4594" t="s">
        <v>31574</v>
      </c>
      <c r="G4594" t="s">
        <v>31582</v>
      </c>
      <c r="H4594" t="s">
        <v>31591</v>
      </c>
      <c r="I4594" t="s">
        <v>8822</v>
      </c>
      <c r="J4594" t="s">
        <v>34728</v>
      </c>
      <c r="K4594" t="s">
        <v>41198</v>
      </c>
      <c r="M4594" t="s">
        <v>41599</v>
      </c>
      <c r="N4594" t="s">
        <v>45095</v>
      </c>
      <c r="O4594" t="s">
        <v>45096</v>
      </c>
      <c r="P4594">
        <v>0</v>
      </c>
      <c r="Q4594">
        <v>0</v>
      </c>
      <c r="R4594" t="s">
        <v>45101</v>
      </c>
      <c r="S4594" t="s">
        <v>45231</v>
      </c>
      <c r="T4594" t="s">
        <v>47198</v>
      </c>
      <c r="U4594" t="s">
        <v>51356</v>
      </c>
      <c r="V4594" t="s">
        <v>60336</v>
      </c>
      <c r="W4594" t="s">
        <v>41599</v>
      </c>
      <c r="X4594" t="s">
        <v>45102</v>
      </c>
    </row>
    <row r="4595" spans="1:24">
      <c r="A4595">
        <f>HYPERLINK("https://www.philgeps.gov.ph/GEPSNONPILOT/Tender/SplashBidNoticeAbstractUI.aspx?menuIndex=3&amp;refID=7042713&amp;Result=3","7042713")</f>
        <v>0</v>
      </c>
      <c r="B4595" t="s">
        <v>1531</v>
      </c>
      <c r="C4595" t="s">
        <v>7587</v>
      </c>
      <c r="D4595" t="s">
        <v>18044</v>
      </c>
      <c r="E4595" t="s">
        <v>22220</v>
      </c>
      <c r="F4595" t="s">
        <v>31574</v>
      </c>
      <c r="G4595" t="s">
        <v>31582</v>
      </c>
      <c r="H4595" t="s">
        <v>31591</v>
      </c>
      <c r="I4595" t="s">
        <v>8822</v>
      </c>
      <c r="J4595" t="s">
        <v>34725</v>
      </c>
      <c r="K4595" t="s">
        <v>41198</v>
      </c>
      <c r="M4595" t="s">
        <v>43122</v>
      </c>
      <c r="N4595" t="s">
        <v>45095</v>
      </c>
      <c r="O4595" t="s">
        <v>45096</v>
      </c>
      <c r="P4595">
        <v>0</v>
      </c>
      <c r="Q4595">
        <v>3</v>
      </c>
      <c r="R4595" t="s">
        <v>45101</v>
      </c>
      <c r="S4595" t="s">
        <v>45231</v>
      </c>
      <c r="T4595" t="s">
        <v>46962</v>
      </c>
      <c r="U4595" t="s">
        <v>51259</v>
      </c>
      <c r="V4595" t="s">
        <v>60323</v>
      </c>
      <c r="W4595" t="s">
        <v>43122</v>
      </c>
      <c r="X4595" t="s">
        <v>45102</v>
      </c>
    </row>
    <row r="4596" spans="1:24">
      <c r="A4596">
        <f>HYPERLINK("https://www.philgeps.gov.ph/GEPSNONPILOT/Tender/SplashBidNoticeAbstractUI.aspx?menuIndex=3&amp;refID=7042699&amp;Result=3","7042699")</f>
        <v>0</v>
      </c>
      <c r="B4596" t="s">
        <v>1217</v>
      </c>
      <c r="C4596" t="s">
        <v>7588</v>
      </c>
      <c r="D4596" t="s">
        <v>18073</v>
      </c>
      <c r="E4596" t="s">
        <v>21223</v>
      </c>
      <c r="F4596" t="s">
        <v>31574</v>
      </c>
      <c r="G4596" t="s">
        <v>31581</v>
      </c>
      <c r="H4596" t="s">
        <v>31590</v>
      </c>
      <c r="I4596" t="s">
        <v>31595</v>
      </c>
      <c r="J4596" t="s">
        <v>32334</v>
      </c>
      <c r="K4596" t="s">
        <v>41211</v>
      </c>
      <c r="M4596" t="s">
        <v>42778</v>
      </c>
      <c r="N4596" t="s">
        <v>45095</v>
      </c>
      <c r="O4596" t="s">
        <v>45096</v>
      </c>
      <c r="P4596">
        <v>0</v>
      </c>
      <c r="Q4596">
        <v>1</v>
      </c>
      <c r="R4596" t="s">
        <v>45101</v>
      </c>
      <c r="S4596" t="s">
        <v>45231</v>
      </c>
      <c r="T4596" t="s">
        <v>46936</v>
      </c>
      <c r="U4596" t="s">
        <v>51357</v>
      </c>
      <c r="W4596" t="s">
        <v>42778</v>
      </c>
      <c r="X4596" t="s">
        <v>45102</v>
      </c>
    </row>
    <row r="4597" spans="1:24">
      <c r="A4597">
        <f>HYPERLINK("https://www.philgeps.gov.ph/GEPSNONPILOT/Tender/SplashBidNoticeAbstractUI.aspx?menuIndex=3&amp;refID=7042722&amp;Result=3","7042722")</f>
        <v>0</v>
      </c>
      <c r="B4597" t="s">
        <v>1563</v>
      </c>
      <c r="C4597" t="s">
        <v>7589</v>
      </c>
      <c r="D4597" t="s">
        <v>18050</v>
      </c>
      <c r="E4597" t="s">
        <v>22221</v>
      </c>
      <c r="F4597" t="s">
        <v>31574</v>
      </c>
      <c r="G4597" t="s">
        <v>31581</v>
      </c>
      <c r="H4597" t="s">
        <v>31592</v>
      </c>
      <c r="I4597" t="s">
        <v>31656</v>
      </c>
      <c r="J4597" t="s">
        <v>34729</v>
      </c>
      <c r="K4597" t="s">
        <v>41190</v>
      </c>
      <c r="M4597" t="s">
        <v>43162</v>
      </c>
      <c r="N4597" t="s">
        <v>45095</v>
      </c>
      <c r="O4597" t="s">
        <v>45096</v>
      </c>
      <c r="P4597">
        <v>0</v>
      </c>
      <c r="Q4597">
        <v>0</v>
      </c>
      <c r="R4597" t="s">
        <v>45101</v>
      </c>
      <c r="S4597" t="s">
        <v>45231</v>
      </c>
      <c r="T4597" t="s">
        <v>47050</v>
      </c>
      <c r="U4597" t="s">
        <v>51358</v>
      </c>
      <c r="W4597" t="s">
        <v>61708</v>
      </c>
      <c r="X4597" t="s">
        <v>45102</v>
      </c>
    </row>
    <row r="4598" spans="1:24">
      <c r="A4598">
        <f>HYPERLINK("https://www.philgeps.gov.ph/GEPSNONPILOT/Tender/SplashBidNoticeAbstractUI.aspx?menuIndex=3&amp;refID=7042711&amp;Result=3","7042711")</f>
        <v>0</v>
      </c>
      <c r="B4598" t="s">
        <v>1555</v>
      </c>
      <c r="C4598" t="s">
        <v>7590</v>
      </c>
      <c r="D4598" t="s">
        <v>18056</v>
      </c>
      <c r="E4598" t="s">
        <v>22222</v>
      </c>
      <c r="F4598" t="s">
        <v>31575</v>
      </c>
      <c r="G4598" t="s">
        <v>31582</v>
      </c>
      <c r="H4598" t="s">
        <v>31590</v>
      </c>
      <c r="I4598" t="s">
        <v>31666</v>
      </c>
      <c r="J4598" t="s">
        <v>32652</v>
      </c>
      <c r="K4598" t="s">
        <v>41186</v>
      </c>
      <c r="M4598" t="s">
        <v>43154</v>
      </c>
      <c r="N4598" t="s">
        <v>45095</v>
      </c>
      <c r="O4598" t="s">
        <v>45096</v>
      </c>
      <c r="P4598">
        <v>0</v>
      </c>
      <c r="Q4598">
        <v>4</v>
      </c>
      <c r="R4598" t="s">
        <v>45101</v>
      </c>
      <c r="S4598" t="s">
        <v>45231</v>
      </c>
      <c r="T4598" t="s">
        <v>47100</v>
      </c>
      <c r="U4598" t="s">
        <v>51359</v>
      </c>
      <c r="V4598" t="s">
        <v>60337</v>
      </c>
      <c r="W4598" t="s">
        <v>43154</v>
      </c>
      <c r="X4598" t="s">
        <v>45102</v>
      </c>
    </row>
    <row r="4599" spans="1:24">
      <c r="A4599">
        <f>HYPERLINK("https://www.philgeps.gov.ph/GEPSNONPILOT/Tender/SplashBidNoticeAbstractUI.aspx?menuIndex=3&amp;refID=7042720&amp;Result=3","7042720")</f>
        <v>0</v>
      </c>
      <c r="B4599" t="s">
        <v>416</v>
      </c>
      <c r="C4599" t="s">
        <v>7591</v>
      </c>
      <c r="D4599" t="s">
        <v>18046</v>
      </c>
      <c r="E4599" t="s">
        <v>22223</v>
      </c>
      <c r="F4599" t="s">
        <v>31574</v>
      </c>
      <c r="G4599" t="s">
        <v>31581</v>
      </c>
      <c r="H4599" t="s">
        <v>31590</v>
      </c>
      <c r="I4599" t="s">
        <v>31602</v>
      </c>
      <c r="J4599" t="s">
        <v>34730</v>
      </c>
      <c r="K4599" t="s">
        <v>41196</v>
      </c>
      <c r="M4599" t="s">
        <v>41908</v>
      </c>
      <c r="N4599" t="s">
        <v>45095</v>
      </c>
      <c r="O4599" t="s">
        <v>45096</v>
      </c>
      <c r="P4599">
        <v>0</v>
      </c>
      <c r="Q4599">
        <v>0</v>
      </c>
      <c r="R4599" t="s">
        <v>45101</v>
      </c>
      <c r="S4599" t="s">
        <v>45231</v>
      </c>
      <c r="T4599" t="s">
        <v>46963</v>
      </c>
      <c r="U4599" t="s">
        <v>51360</v>
      </c>
      <c r="W4599" t="s">
        <v>41908</v>
      </c>
      <c r="X4599" t="s">
        <v>45102</v>
      </c>
    </row>
    <row r="4600" spans="1:24">
      <c r="A4600">
        <f>HYPERLINK("https://www.philgeps.gov.ph/GEPSNONPILOT/Tender/SplashBidNoticeAbstractUI.aspx?menuIndex=3&amp;refID=7042700&amp;Result=3","7042700")</f>
        <v>0</v>
      </c>
      <c r="B4600" t="s">
        <v>402</v>
      </c>
      <c r="C4600" t="s">
        <v>7592</v>
      </c>
      <c r="D4600" t="s">
        <v>18078</v>
      </c>
      <c r="E4600" t="s">
        <v>22224</v>
      </c>
      <c r="F4600" t="s">
        <v>31574</v>
      </c>
      <c r="G4600" t="s">
        <v>31581</v>
      </c>
      <c r="H4600" t="s">
        <v>31590</v>
      </c>
      <c r="I4600" t="s">
        <v>6800</v>
      </c>
      <c r="J4600" t="s">
        <v>34731</v>
      </c>
      <c r="K4600" t="s">
        <v>41190</v>
      </c>
      <c r="M4600" t="s">
        <v>41893</v>
      </c>
      <c r="N4600" t="s">
        <v>45095</v>
      </c>
      <c r="O4600" t="s">
        <v>45096</v>
      </c>
      <c r="P4600">
        <v>0</v>
      </c>
      <c r="Q4600">
        <v>0</v>
      </c>
      <c r="R4600" t="s">
        <v>45101</v>
      </c>
      <c r="S4600" t="s">
        <v>45231</v>
      </c>
      <c r="T4600" t="s">
        <v>47183</v>
      </c>
      <c r="U4600" t="s">
        <v>51361</v>
      </c>
      <c r="W4600" t="s">
        <v>41893</v>
      </c>
      <c r="X4600" t="s">
        <v>45102</v>
      </c>
    </row>
    <row r="4601" spans="1:24">
      <c r="A4601">
        <f>HYPERLINK("https://www.philgeps.gov.ph/GEPSNONPILOT/Tender/SplashBidNoticeAbstractUI.aspx?menuIndex=3&amp;refID=7042716&amp;Result=3","7042716")</f>
        <v>0</v>
      </c>
      <c r="B4601" t="s">
        <v>1564</v>
      </c>
      <c r="C4601" t="s">
        <v>7593</v>
      </c>
      <c r="D4601" t="s">
        <v>18022</v>
      </c>
      <c r="E4601" t="s">
        <v>22225</v>
      </c>
      <c r="F4601" t="s">
        <v>31574</v>
      </c>
      <c r="G4601" t="s">
        <v>31584</v>
      </c>
      <c r="H4601" t="s">
        <v>31590</v>
      </c>
      <c r="I4601" t="s">
        <v>6800</v>
      </c>
      <c r="J4601" t="s">
        <v>34709</v>
      </c>
      <c r="K4601" t="s">
        <v>41186</v>
      </c>
      <c r="M4601" t="s">
        <v>43163</v>
      </c>
      <c r="N4601" t="s">
        <v>45095</v>
      </c>
      <c r="O4601" t="s">
        <v>45096</v>
      </c>
      <c r="P4601">
        <v>0</v>
      </c>
      <c r="Q4601">
        <v>14</v>
      </c>
      <c r="R4601" t="s">
        <v>45101</v>
      </c>
      <c r="S4601" t="s">
        <v>45231</v>
      </c>
      <c r="T4601" t="s">
        <v>47064</v>
      </c>
      <c r="U4601" t="s">
        <v>51362</v>
      </c>
      <c r="V4601" t="s">
        <v>60338</v>
      </c>
      <c r="W4601" t="s">
        <v>43163</v>
      </c>
      <c r="X4601" t="s">
        <v>45102</v>
      </c>
    </row>
    <row r="4602" spans="1:24">
      <c r="A4602">
        <f>HYPERLINK("https://www.philgeps.gov.ph/GEPSNONPILOT/Tender/SplashBidNoticeAbstractUI.aspx?menuIndex=3&amp;refID=7042732&amp;Result=3","7042732")</f>
        <v>0</v>
      </c>
      <c r="B4602" t="s">
        <v>1565</v>
      </c>
      <c r="C4602" t="s">
        <v>7594</v>
      </c>
      <c r="D4602" t="s">
        <v>18057</v>
      </c>
      <c r="E4602" t="s">
        <v>22226</v>
      </c>
      <c r="F4602" t="s">
        <v>31574</v>
      </c>
      <c r="G4602" t="s">
        <v>31582</v>
      </c>
      <c r="H4602" t="s">
        <v>31591</v>
      </c>
      <c r="I4602" t="s">
        <v>8822</v>
      </c>
      <c r="J4602" t="s">
        <v>34732</v>
      </c>
      <c r="K4602" t="s">
        <v>41186</v>
      </c>
      <c r="M4602" t="s">
        <v>43164</v>
      </c>
      <c r="N4602" t="s">
        <v>45095</v>
      </c>
      <c r="O4602" t="s">
        <v>45096</v>
      </c>
      <c r="P4602">
        <v>0</v>
      </c>
      <c r="Q4602">
        <v>1</v>
      </c>
      <c r="R4602" t="s">
        <v>45101</v>
      </c>
      <c r="S4602" t="s">
        <v>45231</v>
      </c>
      <c r="T4602" t="s">
        <v>46908</v>
      </c>
      <c r="U4602" t="s">
        <v>51363</v>
      </c>
      <c r="W4602" t="s">
        <v>61709</v>
      </c>
      <c r="X4602" t="s">
        <v>45102</v>
      </c>
    </row>
    <row r="4603" spans="1:24">
      <c r="A4603">
        <f>HYPERLINK("https://www.philgeps.gov.ph/GEPSNONPILOT/Tender/SplashBidNoticeAbstractUI.aspx?menuIndex=3&amp;refID=7042734&amp;Result=3","7042734")</f>
        <v>0</v>
      </c>
      <c r="B4603" t="s">
        <v>1459</v>
      </c>
      <c r="C4603" t="s">
        <v>7595</v>
      </c>
      <c r="D4603" t="s">
        <v>18022</v>
      </c>
      <c r="E4603" t="s">
        <v>18795</v>
      </c>
      <c r="F4603" t="s">
        <v>31574</v>
      </c>
      <c r="G4603" t="s">
        <v>31581</v>
      </c>
      <c r="H4603" t="s">
        <v>31590</v>
      </c>
      <c r="I4603" t="s">
        <v>31608</v>
      </c>
      <c r="J4603" t="s">
        <v>34733</v>
      </c>
      <c r="K4603" t="s">
        <v>41186</v>
      </c>
      <c r="M4603" t="s">
        <v>43039</v>
      </c>
      <c r="N4603" t="s">
        <v>45095</v>
      </c>
      <c r="O4603" t="s">
        <v>45096</v>
      </c>
      <c r="P4603">
        <v>0</v>
      </c>
      <c r="Q4603">
        <v>16</v>
      </c>
      <c r="R4603" t="s">
        <v>45101</v>
      </c>
      <c r="S4603" t="s">
        <v>45231</v>
      </c>
      <c r="T4603" t="s">
        <v>46957</v>
      </c>
      <c r="U4603" t="s">
        <v>51364</v>
      </c>
      <c r="W4603" t="s">
        <v>43039</v>
      </c>
      <c r="X4603" t="s">
        <v>45102</v>
      </c>
    </row>
    <row r="4604" spans="1:24">
      <c r="A4604">
        <f>HYPERLINK("https://www.philgeps.gov.ph/GEPSNONPILOT/Tender/SplashBidNoticeAbstractUI.aspx?menuIndex=3&amp;refID=7042758&amp;Result=3","7042758")</f>
        <v>0</v>
      </c>
      <c r="B4604" t="s">
        <v>1217</v>
      </c>
      <c r="C4604" t="s">
        <v>7596</v>
      </c>
      <c r="D4604" t="s">
        <v>18073</v>
      </c>
      <c r="E4604" t="s">
        <v>21223</v>
      </c>
      <c r="F4604" t="s">
        <v>31574</v>
      </c>
      <c r="G4604" t="s">
        <v>31583</v>
      </c>
      <c r="H4604" t="s">
        <v>31590</v>
      </c>
      <c r="I4604" t="s">
        <v>6800</v>
      </c>
      <c r="J4604" t="s">
        <v>32012</v>
      </c>
      <c r="K4604" t="s">
        <v>41211</v>
      </c>
      <c r="M4604" t="s">
        <v>42778</v>
      </c>
      <c r="N4604" t="s">
        <v>45095</v>
      </c>
      <c r="O4604" t="s">
        <v>45096</v>
      </c>
      <c r="P4604">
        <v>0</v>
      </c>
      <c r="Q4604">
        <v>0</v>
      </c>
      <c r="R4604" t="s">
        <v>45101</v>
      </c>
      <c r="S4604" t="s">
        <v>45231</v>
      </c>
      <c r="T4604" t="s">
        <v>46936</v>
      </c>
      <c r="U4604" t="s">
        <v>51365</v>
      </c>
      <c r="W4604" t="s">
        <v>42778</v>
      </c>
      <c r="X4604" t="s">
        <v>45102</v>
      </c>
    </row>
    <row r="4605" spans="1:24">
      <c r="A4605">
        <f>HYPERLINK("https://www.philgeps.gov.ph/GEPSNONPILOT/Tender/SplashBidNoticeAbstractUI.aspx?menuIndex=3&amp;refID=7042731&amp;Result=3","7042731")</f>
        <v>0</v>
      </c>
      <c r="B4605" t="s">
        <v>800</v>
      </c>
      <c r="C4605" t="s">
        <v>7597</v>
      </c>
      <c r="D4605" t="s">
        <v>18022</v>
      </c>
      <c r="E4605" t="s">
        <v>22227</v>
      </c>
      <c r="F4605" t="s">
        <v>31574</v>
      </c>
      <c r="G4605" t="s">
        <v>31584</v>
      </c>
      <c r="H4605" t="s">
        <v>31590</v>
      </c>
      <c r="I4605" t="s">
        <v>6800</v>
      </c>
      <c r="J4605" t="s">
        <v>34734</v>
      </c>
      <c r="K4605" t="s">
        <v>41196</v>
      </c>
      <c r="M4605" t="s">
        <v>42810</v>
      </c>
      <c r="N4605" t="s">
        <v>45095</v>
      </c>
      <c r="O4605" t="s">
        <v>45096</v>
      </c>
      <c r="P4605">
        <v>0</v>
      </c>
      <c r="Q4605">
        <v>7</v>
      </c>
      <c r="R4605" t="s">
        <v>45101</v>
      </c>
      <c r="S4605" t="s">
        <v>45231</v>
      </c>
      <c r="T4605" t="s">
        <v>47076</v>
      </c>
      <c r="U4605" t="s">
        <v>50461</v>
      </c>
      <c r="V4605" t="s">
        <v>60327</v>
      </c>
      <c r="W4605" t="s">
        <v>42810</v>
      </c>
      <c r="X4605" t="s">
        <v>45102</v>
      </c>
    </row>
    <row r="4606" spans="1:24">
      <c r="A4606">
        <f>HYPERLINK("https://www.philgeps.gov.ph/GEPSNONPILOT/Tender/SplashBidNoticeAbstractUI.aspx?menuIndex=3&amp;refID=7042756&amp;Result=3","7042756")</f>
        <v>0</v>
      </c>
      <c r="B4606" t="s">
        <v>1566</v>
      </c>
      <c r="C4606" t="s">
        <v>7598</v>
      </c>
      <c r="E4606" t="s">
        <v>22228</v>
      </c>
      <c r="F4606" t="s">
        <v>31574</v>
      </c>
      <c r="G4606" t="s">
        <v>31582</v>
      </c>
      <c r="H4606" t="s">
        <v>31590</v>
      </c>
      <c r="I4606" t="s">
        <v>31615</v>
      </c>
      <c r="J4606" t="s">
        <v>32026</v>
      </c>
      <c r="K4606" t="s">
        <v>41184</v>
      </c>
      <c r="M4606" t="s">
        <v>43165</v>
      </c>
      <c r="N4606" t="s">
        <v>45095</v>
      </c>
      <c r="O4606" t="s">
        <v>45096</v>
      </c>
      <c r="P4606">
        <v>0</v>
      </c>
      <c r="Q4606">
        <v>2</v>
      </c>
      <c r="R4606" t="s">
        <v>45101</v>
      </c>
      <c r="S4606" t="s">
        <v>45231</v>
      </c>
      <c r="T4606" t="s">
        <v>47084</v>
      </c>
      <c r="U4606" t="s">
        <v>51366</v>
      </c>
      <c r="V4606" t="s">
        <v>59888</v>
      </c>
      <c r="W4606" t="s">
        <v>43165</v>
      </c>
      <c r="X4606" t="s">
        <v>45102</v>
      </c>
    </row>
    <row r="4607" spans="1:24">
      <c r="A4607">
        <f>HYPERLINK("https://www.philgeps.gov.ph/GEPSNONPILOT/Tender/SplashBidNoticeAbstractUI.aspx?menuIndex=3&amp;refID=7042751&amp;Result=3","7042751")</f>
        <v>0</v>
      </c>
      <c r="B4607" t="s">
        <v>1301</v>
      </c>
      <c r="C4607" t="s">
        <v>7599</v>
      </c>
      <c r="E4607" t="s">
        <v>22229</v>
      </c>
      <c r="F4607" t="s">
        <v>31574</v>
      </c>
      <c r="G4607" t="s">
        <v>31581</v>
      </c>
      <c r="H4607" t="s">
        <v>31590</v>
      </c>
      <c r="I4607" t="s">
        <v>3487</v>
      </c>
      <c r="J4607" t="s">
        <v>34735</v>
      </c>
      <c r="K4607" t="s">
        <v>41184</v>
      </c>
      <c r="M4607" t="s">
        <v>42871</v>
      </c>
      <c r="N4607" t="s">
        <v>45095</v>
      </c>
      <c r="O4607" t="s">
        <v>45096</v>
      </c>
      <c r="P4607">
        <v>0</v>
      </c>
      <c r="Q4607">
        <v>0</v>
      </c>
      <c r="R4607" t="s">
        <v>45101</v>
      </c>
      <c r="S4607" t="s">
        <v>45231</v>
      </c>
      <c r="T4607" t="s">
        <v>47159</v>
      </c>
      <c r="U4607" t="s">
        <v>50619</v>
      </c>
      <c r="W4607" t="s">
        <v>42871</v>
      </c>
      <c r="X4607" t="s">
        <v>45102</v>
      </c>
    </row>
    <row r="4608" spans="1:24">
      <c r="A4608">
        <f>HYPERLINK("https://www.philgeps.gov.ph/GEPSNONPILOT/Tender/SplashBidNoticeAbstractUI.aspx?menuIndex=3&amp;refID=7042745&amp;Result=3","7042745")</f>
        <v>0</v>
      </c>
      <c r="B4608" t="s">
        <v>416</v>
      </c>
      <c r="C4608" t="s">
        <v>7600</v>
      </c>
      <c r="D4608" t="s">
        <v>18046</v>
      </c>
      <c r="E4608" t="s">
        <v>22230</v>
      </c>
      <c r="F4608" t="s">
        <v>31574</v>
      </c>
      <c r="G4608" t="s">
        <v>31581</v>
      </c>
      <c r="H4608" t="s">
        <v>31590</v>
      </c>
      <c r="I4608" t="s">
        <v>31602</v>
      </c>
      <c r="J4608" t="s">
        <v>34736</v>
      </c>
      <c r="K4608" t="s">
        <v>41196</v>
      </c>
      <c r="M4608" t="s">
        <v>41908</v>
      </c>
      <c r="N4608" t="s">
        <v>45095</v>
      </c>
      <c r="O4608" t="s">
        <v>45096</v>
      </c>
      <c r="P4608">
        <v>0</v>
      </c>
      <c r="Q4608">
        <v>0</v>
      </c>
      <c r="R4608" t="s">
        <v>45101</v>
      </c>
      <c r="S4608" t="s">
        <v>45231</v>
      </c>
      <c r="T4608" t="s">
        <v>46963</v>
      </c>
      <c r="U4608" t="s">
        <v>51367</v>
      </c>
      <c r="W4608" t="s">
        <v>41908</v>
      </c>
      <c r="X4608" t="s">
        <v>45102</v>
      </c>
    </row>
    <row r="4609" spans="1:24">
      <c r="A4609">
        <f>HYPERLINK("https://www.philgeps.gov.ph/GEPSNONPILOT/Tender/SplashBidNoticeAbstractUI.aspx?menuIndex=3&amp;refID=7042760&amp;Result=3","7042760")</f>
        <v>0</v>
      </c>
      <c r="B4609" t="s">
        <v>1531</v>
      </c>
      <c r="C4609" t="s">
        <v>7601</v>
      </c>
      <c r="D4609" t="s">
        <v>18044</v>
      </c>
      <c r="E4609" t="s">
        <v>22231</v>
      </c>
      <c r="F4609" t="s">
        <v>31574</v>
      </c>
      <c r="G4609" t="s">
        <v>31582</v>
      </c>
      <c r="H4609" t="s">
        <v>31591</v>
      </c>
      <c r="I4609" t="s">
        <v>8822</v>
      </c>
      <c r="J4609" t="s">
        <v>34697</v>
      </c>
      <c r="K4609" t="s">
        <v>41320</v>
      </c>
      <c r="M4609" t="s">
        <v>43122</v>
      </c>
      <c r="N4609" t="s">
        <v>45095</v>
      </c>
      <c r="O4609" t="s">
        <v>45096</v>
      </c>
      <c r="P4609">
        <v>0</v>
      </c>
      <c r="Q4609">
        <v>2</v>
      </c>
      <c r="R4609" t="s">
        <v>45101</v>
      </c>
      <c r="S4609" t="s">
        <v>45231</v>
      </c>
      <c r="T4609" t="s">
        <v>46962</v>
      </c>
      <c r="U4609" t="s">
        <v>51259</v>
      </c>
      <c r="V4609" t="s">
        <v>60323</v>
      </c>
      <c r="W4609" t="s">
        <v>43122</v>
      </c>
      <c r="X4609" t="s">
        <v>45102</v>
      </c>
    </row>
    <row r="4610" spans="1:24">
      <c r="A4610">
        <f>HYPERLINK("https://www.philgeps.gov.ph/GEPSNONPILOT/Tender/SplashBidNoticeAbstractUI.aspx?menuIndex=3&amp;refID=7042730&amp;Result=3","7042730")</f>
        <v>0</v>
      </c>
      <c r="B4610" t="s">
        <v>1567</v>
      </c>
      <c r="C4610" t="s">
        <v>7602</v>
      </c>
      <c r="D4610" t="s">
        <v>18084</v>
      </c>
      <c r="E4610" t="s">
        <v>22232</v>
      </c>
      <c r="F4610" t="s">
        <v>31574</v>
      </c>
      <c r="G4610" t="s">
        <v>31582</v>
      </c>
      <c r="H4610" t="s">
        <v>31591</v>
      </c>
      <c r="I4610" t="s">
        <v>8822</v>
      </c>
      <c r="J4610" t="s">
        <v>31819</v>
      </c>
      <c r="K4610" t="s">
        <v>41279</v>
      </c>
      <c r="M4610" t="s">
        <v>43166</v>
      </c>
      <c r="N4610" t="s">
        <v>45095</v>
      </c>
      <c r="O4610" t="s">
        <v>45096</v>
      </c>
      <c r="P4610">
        <v>0</v>
      </c>
      <c r="Q4610">
        <v>2</v>
      </c>
      <c r="R4610" t="s">
        <v>45101</v>
      </c>
      <c r="S4610" t="s">
        <v>45231</v>
      </c>
      <c r="T4610" t="s">
        <v>46915</v>
      </c>
      <c r="U4610" t="s">
        <v>51368</v>
      </c>
      <c r="W4610" t="s">
        <v>43166</v>
      </c>
      <c r="X4610" t="s">
        <v>45102</v>
      </c>
    </row>
    <row r="4611" spans="1:24">
      <c r="A4611">
        <f>HYPERLINK("https://www.philgeps.gov.ph/GEPSNONPILOT/Tender/SplashBidNoticeAbstractUI.aspx?menuIndex=3&amp;refID=7042765&amp;Result=3","7042765")</f>
        <v>0</v>
      </c>
      <c r="B4611" t="s">
        <v>1301</v>
      </c>
      <c r="C4611" t="s">
        <v>7603</v>
      </c>
      <c r="E4611" t="s">
        <v>22233</v>
      </c>
      <c r="F4611" t="s">
        <v>31574</v>
      </c>
      <c r="G4611" t="s">
        <v>31581</v>
      </c>
      <c r="H4611" t="s">
        <v>31590</v>
      </c>
      <c r="I4611" t="s">
        <v>4046</v>
      </c>
      <c r="J4611" t="s">
        <v>32017</v>
      </c>
      <c r="K4611" t="s">
        <v>41184</v>
      </c>
      <c r="M4611" t="s">
        <v>42871</v>
      </c>
      <c r="N4611" t="s">
        <v>45095</v>
      </c>
      <c r="O4611" t="s">
        <v>45096</v>
      </c>
      <c r="P4611">
        <v>0</v>
      </c>
      <c r="Q4611">
        <v>0</v>
      </c>
      <c r="R4611" t="s">
        <v>45101</v>
      </c>
      <c r="S4611" t="s">
        <v>45231</v>
      </c>
      <c r="T4611" t="s">
        <v>47159</v>
      </c>
      <c r="U4611" t="s">
        <v>48551</v>
      </c>
      <c r="W4611" t="s">
        <v>42871</v>
      </c>
      <c r="X4611" t="s">
        <v>45102</v>
      </c>
    </row>
    <row r="4612" spans="1:24">
      <c r="A4612">
        <f>HYPERLINK("https://www.philgeps.gov.ph/GEPSNONPILOT/Tender/SplashBidNoticeAbstractUI.aspx?menuIndex=3&amp;refID=7042764&amp;Result=3","7042764")</f>
        <v>0</v>
      </c>
      <c r="B4612" t="s">
        <v>1399</v>
      </c>
      <c r="C4612" t="s">
        <v>7604</v>
      </c>
      <c r="D4612" t="s">
        <v>18081</v>
      </c>
      <c r="E4612" t="s">
        <v>22234</v>
      </c>
      <c r="F4612" t="s">
        <v>31574</v>
      </c>
      <c r="G4612" t="s">
        <v>31582</v>
      </c>
      <c r="H4612" t="s">
        <v>31591</v>
      </c>
      <c r="I4612" t="s">
        <v>8822</v>
      </c>
      <c r="J4612" t="s">
        <v>33574</v>
      </c>
      <c r="K4612" t="s">
        <v>41185</v>
      </c>
      <c r="M4612" t="s">
        <v>43167</v>
      </c>
      <c r="N4612" t="s">
        <v>45095</v>
      </c>
      <c r="O4612" t="s">
        <v>45096</v>
      </c>
      <c r="P4612">
        <v>0</v>
      </c>
      <c r="Q4612">
        <v>0</v>
      </c>
      <c r="R4612" t="s">
        <v>45101</v>
      </c>
      <c r="S4612" t="s">
        <v>45231</v>
      </c>
      <c r="T4612" t="s">
        <v>47198</v>
      </c>
      <c r="U4612" t="s">
        <v>51369</v>
      </c>
      <c r="V4612" t="s">
        <v>53358</v>
      </c>
      <c r="W4612" t="s">
        <v>43167</v>
      </c>
      <c r="X4612" t="s">
        <v>45102</v>
      </c>
    </row>
    <row r="4613" spans="1:24">
      <c r="A4613">
        <f>HYPERLINK("https://www.philgeps.gov.ph/GEPSNONPILOT/Tender/SplashBidNoticeAbstractUI.aspx?menuIndex=3&amp;refID=7042729&amp;Result=3","7042729")</f>
        <v>0</v>
      </c>
      <c r="B4613" t="s">
        <v>1543</v>
      </c>
      <c r="C4613" t="s">
        <v>7605</v>
      </c>
      <c r="E4613" t="s">
        <v>22235</v>
      </c>
      <c r="F4613" t="s">
        <v>31574</v>
      </c>
      <c r="G4613" t="s">
        <v>31581</v>
      </c>
      <c r="H4613" t="s">
        <v>31590</v>
      </c>
      <c r="I4613" t="s">
        <v>14034</v>
      </c>
      <c r="J4613" t="s">
        <v>31780</v>
      </c>
      <c r="K4613" t="s">
        <v>41184</v>
      </c>
      <c r="M4613" t="s">
        <v>43168</v>
      </c>
      <c r="N4613" t="s">
        <v>45095</v>
      </c>
      <c r="O4613" t="s">
        <v>45096</v>
      </c>
      <c r="P4613">
        <v>0</v>
      </c>
      <c r="Q4613">
        <v>1</v>
      </c>
      <c r="R4613" t="s">
        <v>45101</v>
      </c>
      <c r="S4613" t="s">
        <v>45231</v>
      </c>
      <c r="T4613" t="s">
        <v>46957</v>
      </c>
      <c r="U4613" t="s">
        <v>51370</v>
      </c>
      <c r="W4613" t="s">
        <v>43168</v>
      </c>
      <c r="X4613" t="s">
        <v>45102</v>
      </c>
    </row>
    <row r="4614" spans="1:24">
      <c r="A4614">
        <f>HYPERLINK("https://www.philgeps.gov.ph/GEPSNONPILOT/Tender/SplashBidNoticeAbstractUI.aspx?menuIndex=3&amp;refID=7042759&amp;Result=3","7042759")</f>
        <v>0</v>
      </c>
      <c r="B4614" t="s">
        <v>800</v>
      </c>
      <c r="C4614" t="s">
        <v>7606</v>
      </c>
      <c r="D4614" t="s">
        <v>18022</v>
      </c>
      <c r="E4614" t="s">
        <v>22236</v>
      </c>
      <c r="F4614" t="s">
        <v>31574</v>
      </c>
      <c r="G4614" t="s">
        <v>31584</v>
      </c>
      <c r="H4614" t="s">
        <v>31590</v>
      </c>
      <c r="I4614" t="s">
        <v>4327</v>
      </c>
      <c r="J4614" t="s">
        <v>34737</v>
      </c>
      <c r="K4614" t="s">
        <v>41196</v>
      </c>
      <c r="M4614" t="s">
        <v>42810</v>
      </c>
      <c r="N4614" t="s">
        <v>45095</v>
      </c>
      <c r="O4614" t="s">
        <v>45096</v>
      </c>
      <c r="P4614">
        <v>0</v>
      </c>
      <c r="Q4614">
        <v>6</v>
      </c>
      <c r="R4614" t="s">
        <v>45101</v>
      </c>
      <c r="S4614" t="s">
        <v>45231</v>
      </c>
      <c r="T4614" t="s">
        <v>47076</v>
      </c>
      <c r="U4614" t="s">
        <v>50461</v>
      </c>
      <c r="V4614" t="s">
        <v>60327</v>
      </c>
      <c r="W4614" t="s">
        <v>42810</v>
      </c>
      <c r="X4614" t="s">
        <v>45102</v>
      </c>
    </row>
    <row r="4615" spans="1:24">
      <c r="A4615">
        <f>HYPERLINK("https://www.philgeps.gov.ph/GEPSNONPILOT/Tender/SplashBidNoticeAbstractUI.aspx?menuIndex=3&amp;refID=7042747&amp;Result=3","7042747")</f>
        <v>0</v>
      </c>
      <c r="B4615" t="s">
        <v>1514</v>
      </c>
      <c r="C4615" t="s">
        <v>7607</v>
      </c>
      <c r="D4615" t="s">
        <v>18037</v>
      </c>
      <c r="E4615" t="s">
        <v>22237</v>
      </c>
      <c r="F4615" t="s">
        <v>31574</v>
      </c>
      <c r="G4615" t="s">
        <v>31582</v>
      </c>
      <c r="H4615" t="s">
        <v>31590</v>
      </c>
      <c r="I4615" t="s">
        <v>8258</v>
      </c>
      <c r="J4615" t="s">
        <v>34738</v>
      </c>
      <c r="K4615" t="s">
        <v>41191</v>
      </c>
      <c r="M4615" t="s">
        <v>43105</v>
      </c>
      <c r="N4615" t="s">
        <v>45095</v>
      </c>
      <c r="O4615" t="s">
        <v>45096</v>
      </c>
      <c r="P4615">
        <v>0</v>
      </c>
      <c r="Q4615">
        <v>4</v>
      </c>
      <c r="R4615" t="s">
        <v>45101</v>
      </c>
      <c r="S4615" t="s">
        <v>45231</v>
      </c>
      <c r="T4615" t="s">
        <v>47170</v>
      </c>
      <c r="U4615" t="s">
        <v>51371</v>
      </c>
      <c r="V4615" t="s">
        <v>59855</v>
      </c>
      <c r="W4615" t="s">
        <v>43105</v>
      </c>
      <c r="X4615" t="s">
        <v>45102</v>
      </c>
    </row>
    <row r="4616" spans="1:24">
      <c r="A4616">
        <f>HYPERLINK("https://www.philgeps.gov.ph/GEPSNONPILOT/Tender/SplashBidNoticeAbstractUI.aspx?menuIndex=3&amp;refID=7042744&amp;Result=3","7042744")</f>
        <v>0</v>
      </c>
      <c r="B4616" t="s">
        <v>461</v>
      </c>
      <c r="C4616" t="s">
        <v>7608</v>
      </c>
      <c r="D4616" t="s">
        <v>18057</v>
      </c>
      <c r="E4616" t="s">
        <v>22238</v>
      </c>
      <c r="F4616" t="s">
        <v>31574</v>
      </c>
      <c r="G4616" t="s">
        <v>31582</v>
      </c>
      <c r="H4616" t="s">
        <v>31591</v>
      </c>
      <c r="I4616" t="s">
        <v>8822</v>
      </c>
      <c r="J4616" t="s">
        <v>34739</v>
      </c>
      <c r="K4616" t="s">
        <v>41235</v>
      </c>
      <c r="M4616" t="s">
        <v>41955</v>
      </c>
      <c r="N4616" t="s">
        <v>45095</v>
      </c>
      <c r="O4616" t="s">
        <v>45096</v>
      </c>
      <c r="P4616">
        <v>0</v>
      </c>
      <c r="Q4616">
        <v>0</v>
      </c>
      <c r="R4616" t="s">
        <v>45101</v>
      </c>
      <c r="S4616" t="s">
        <v>45231</v>
      </c>
      <c r="T4616" t="s">
        <v>46920</v>
      </c>
      <c r="U4616" t="s">
        <v>51372</v>
      </c>
      <c r="W4616" t="s">
        <v>41955</v>
      </c>
      <c r="X4616" t="s">
        <v>45102</v>
      </c>
    </row>
    <row r="4617" spans="1:24">
      <c r="A4617">
        <f>HYPERLINK("https://www.philgeps.gov.ph/GEPSNONPILOT/Tender/SplashBidNoticeAbstractUI.aspx?menuIndex=3&amp;refID=7042735&amp;Result=3","7042735")</f>
        <v>0</v>
      </c>
      <c r="B4617" t="s">
        <v>401</v>
      </c>
      <c r="C4617" t="s">
        <v>7609</v>
      </c>
      <c r="D4617" t="s">
        <v>18052</v>
      </c>
      <c r="E4617" t="s">
        <v>22239</v>
      </c>
      <c r="F4617" t="s">
        <v>31574</v>
      </c>
      <c r="G4617" t="s">
        <v>31582</v>
      </c>
      <c r="H4617" t="s">
        <v>31590</v>
      </c>
      <c r="I4617" t="s">
        <v>31614</v>
      </c>
      <c r="J4617" t="s">
        <v>34740</v>
      </c>
      <c r="K4617" t="s">
        <v>41192</v>
      </c>
      <c r="M4617" t="s">
        <v>41892</v>
      </c>
      <c r="N4617" t="s">
        <v>45095</v>
      </c>
      <c r="O4617" t="s">
        <v>45096</v>
      </c>
      <c r="P4617">
        <v>0</v>
      </c>
      <c r="Q4617">
        <v>2</v>
      </c>
      <c r="R4617" t="s">
        <v>45101</v>
      </c>
      <c r="S4617" t="s">
        <v>45231</v>
      </c>
      <c r="T4617" t="s">
        <v>46919</v>
      </c>
      <c r="U4617" t="s">
        <v>51307</v>
      </c>
      <c r="W4617" t="s">
        <v>41892</v>
      </c>
      <c r="X4617" t="s">
        <v>45102</v>
      </c>
    </row>
    <row r="4618" spans="1:24">
      <c r="A4618">
        <f>HYPERLINK("https://www.philgeps.gov.ph/GEPSNONPILOT/Tender/SplashBidNoticeAbstractUI.aspx?menuIndex=3&amp;refID=7042762&amp;Result=3","7042762")</f>
        <v>0</v>
      </c>
      <c r="B4618" t="s">
        <v>1568</v>
      </c>
      <c r="C4618" t="s">
        <v>7610</v>
      </c>
      <c r="D4618" t="s">
        <v>18058</v>
      </c>
      <c r="E4618" t="s">
        <v>20927</v>
      </c>
      <c r="F4618" t="s">
        <v>31574</v>
      </c>
      <c r="G4618" t="s">
        <v>31581</v>
      </c>
      <c r="H4618" t="s">
        <v>31590</v>
      </c>
      <c r="I4618" t="s">
        <v>31620</v>
      </c>
      <c r="J4618" t="s">
        <v>34741</v>
      </c>
      <c r="K4618" t="s">
        <v>41191</v>
      </c>
      <c r="M4618" t="s">
        <v>43169</v>
      </c>
      <c r="N4618" t="s">
        <v>45095</v>
      </c>
      <c r="O4618" t="s">
        <v>45096</v>
      </c>
      <c r="P4618">
        <v>0</v>
      </c>
      <c r="Q4618">
        <v>12</v>
      </c>
      <c r="R4618" t="s">
        <v>45101</v>
      </c>
      <c r="S4618" t="s">
        <v>45231</v>
      </c>
      <c r="T4618" t="s">
        <v>47165</v>
      </c>
      <c r="U4618" t="s">
        <v>48884</v>
      </c>
      <c r="W4618" t="s">
        <v>43169</v>
      </c>
      <c r="X4618" t="s">
        <v>45102</v>
      </c>
    </row>
    <row r="4619" spans="1:24">
      <c r="A4619">
        <f>HYPERLINK("https://www.philgeps.gov.ph/GEPSNONPILOT/Tender/SplashBidNoticeAbstractUI.aspx?menuIndex=3&amp;refID=7042742&amp;Result=3","7042742")</f>
        <v>0</v>
      </c>
      <c r="B4619" t="s">
        <v>800</v>
      </c>
      <c r="C4619" t="s">
        <v>7611</v>
      </c>
      <c r="D4619" t="s">
        <v>18022</v>
      </c>
      <c r="E4619" t="s">
        <v>22240</v>
      </c>
      <c r="F4619" t="s">
        <v>31574</v>
      </c>
      <c r="G4619" t="s">
        <v>31584</v>
      </c>
      <c r="H4619" t="s">
        <v>31590</v>
      </c>
      <c r="I4619" t="s">
        <v>4327</v>
      </c>
      <c r="J4619" t="s">
        <v>31726</v>
      </c>
      <c r="K4619" t="s">
        <v>41196</v>
      </c>
      <c r="M4619" t="s">
        <v>42810</v>
      </c>
      <c r="N4619" t="s">
        <v>45095</v>
      </c>
      <c r="O4619" t="s">
        <v>45096</v>
      </c>
      <c r="P4619">
        <v>0</v>
      </c>
      <c r="Q4619">
        <v>11</v>
      </c>
      <c r="R4619" t="s">
        <v>45101</v>
      </c>
      <c r="S4619" t="s">
        <v>45231</v>
      </c>
      <c r="T4619" t="s">
        <v>47076</v>
      </c>
      <c r="U4619" t="s">
        <v>50461</v>
      </c>
      <c r="V4619" t="s">
        <v>60327</v>
      </c>
      <c r="W4619" t="s">
        <v>42810</v>
      </c>
      <c r="X4619" t="s">
        <v>45102</v>
      </c>
    </row>
    <row r="4620" spans="1:24">
      <c r="A4620">
        <f>HYPERLINK("https://www.philgeps.gov.ph/GEPSNONPILOT/Tender/SplashBidNoticeAbstractUI.aspx?menuIndex=3&amp;refID=7042769&amp;Result=3","7042769")</f>
        <v>0</v>
      </c>
      <c r="B4620" t="s">
        <v>1531</v>
      </c>
      <c r="C4620" t="s">
        <v>7612</v>
      </c>
      <c r="D4620" t="s">
        <v>18044</v>
      </c>
      <c r="E4620" t="s">
        <v>22241</v>
      </c>
      <c r="F4620" t="s">
        <v>31574</v>
      </c>
      <c r="G4620" t="s">
        <v>31582</v>
      </c>
      <c r="H4620" t="s">
        <v>31591</v>
      </c>
      <c r="I4620" t="s">
        <v>8822</v>
      </c>
      <c r="J4620" t="s">
        <v>34697</v>
      </c>
      <c r="K4620" t="s">
        <v>41198</v>
      </c>
      <c r="M4620" t="s">
        <v>43122</v>
      </c>
      <c r="N4620" t="s">
        <v>45095</v>
      </c>
      <c r="O4620" t="s">
        <v>45096</v>
      </c>
      <c r="P4620">
        <v>0</v>
      </c>
      <c r="Q4620">
        <v>2</v>
      </c>
      <c r="R4620" t="s">
        <v>45101</v>
      </c>
      <c r="S4620" t="s">
        <v>45231</v>
      </c>
      <c r="T4620" t="s">
        <v>46962</v>
      </c>
      <c r="U4620" t="s">
        <v>51259</v>
      </c>
      <c r="V4620" t="s">
        <v>60323</v>
      </c>
      <c r="W4620" t="s">
        <v>43122</v>
      </c>
      <c r="X4620" t="s">
        <v>45102</v>
      </c>
    </row>
    <row r="4621" spans="1:24">
      <c r="A4621">
        <f>HYPERLINK("https://www.philgeps.gov.ph/GEPSNONPILOT/Tender/SplashBidNoticeAbstractUI.aspx?menuIndex=3&amp;refID=7042740&amp;Result=3","7042740")</f>
        <v>0</v>
      </c>
      <c r="B4621" t="s">
        <v>1569</v>
      </c>
      <c r="C4621" t="s">
        <v>7613</v>
      </c>
      <c r="D4621" t="s">
        <v>18039</v>
      </c>
      <c r="E4621" t="s">
        <v>22242</v>
      </c>
      <c r="F4621" t="s">
        <v>31574</v>
      </c>
      <c r="G4621" t="s">
        <v>31581</v>
      </c>
      <c r="H4621" t="s">
        <v>31593</v>
      </c>
      <c r="I4621" t="s">
        <v>31608</v>
      </c>
      <c r="J4621" t="s">
        <v>31743</v>
      </c>
      <c r="K4621" t="s">
        <v>41186</v>
      </c>
      <c r="M4621" t="s">
        <v>43170</v>
      </c>
      <c r="N4621" t="s">
        <v>45095</v>
      </c>
      <c r="O4621" t="s">
        <v>45096</v>
      </c>
      <c r="P4621">
        <v>0</v>
      </c>
      <c r="Q4621">
        <v>1</v>
      </c>
      <c r="R4621" t="s">
        <v>45101</v>
      </c>
      <c r="S4621" t="s">
        <v>45231</v>
      </c>
      <c r="T4621" t="s">
        <v>47162</v>
      </c>
      <c r="U4621" t="s">
        <v>51373</v>
      </c>
      <c r="W4621" t="s">
        <v>43170</v>
      </c>
      <c r="X4621" t="s">
        <v>45102</v>
      </c>
    </row>
    <row r="4622" spans="1:24">
      <c r="A4622">
        <f>HYPERLINK("https://www.philgeps.gov.ph/GEPSNONPILOT/Tender/SplashBidNoticeAbstractUI.aspx?menuIndex=3&amp;refID=7042780&amp;Result=3","7042780")</f>
        <v>0</v>
      </c>
      <c r="B4622" t="s">
        <v>901</v>
      </c>
      <c r="C4622" t="s">
        <v>7614</v>
      </c>
      <c r="D4622" t="s">
        <v>18066</v>
      </c>
      <c r="E4622" t="s">
        <v>22243</v>
      </c>
      <c r="F4622" t="s">
        <v>31574</v>
      </c>
      <c r="G4622" t="s">
        <v>31582</v>
      </c>
      <c r="H4622" t="s">
        <v>31591</v>
      </c>
      <c r="I4622" t="s">
        <v>8822</v>
      </c>
      <c r="J4622" t="s">
        <v>34742</v>
      </c>
      <c r="K4622" t="s">
        <v>41203</v>
      </c>
      <c r="M4622" t="s">
        <v>42425</v>
      </c>
      <c r="N4622" t="s">
        <v>45095</v>
      </c>
      <c r="O4622" t="s">
        <v>45096</v>
      </c>
      <c r="P4622">
        <v>0</v>
      </c>
      <c r="Q4622">
        <v>0</v>
      </c>
      <c r="R4622" t="s">
        <v>45101</v>
      </c>
      <c r="S4622" t="s">
        <v>45231</v>
      </c>
      <c r="T4622" t="s">
        <v>46966</v>
      </c>
      <c r="U4622" t="s">
        <v>51374</v>
      </c>
      <c r="W4622" t="s">
        <v>42425</v>
      </c>
      <c r="X4622" t="s">
        <v>45102</v>
      </c>
    </row>
    <row r="4623" spans="1:24">
      <c r="A4623">
        <f>HYPERLINK("https://www.philgeps.gov.ph/GEPSNONPILOT/Tender/SplashBidNoticeAbstractUI.aspx?menuIndex=3&amp;refID=7042739&amp;Result=3","7042739")</f>
        <v>0</v>
      </c>
      <c r="B4623" t="s">
        <v>1531</v>
      </c>
      <c r="C4623" t="s">
        <v>7615</v>
      </c>
      <c r="D4623" t="s">
        <v>18044</v>
      </c>
      <c r="E4623" t="s">
        <v>22244</v>
      </c>
      <c r="F4623" t="s">
        <v>31574</v>
      </c>
      <c r="G4623" t="s">
        <v>31582</v>
      </c>
      <c r="H4623" t="s">
        <v>31591</v>
      </c>
      <c r="I4623" t="s">
        <v>8822</v>
      </c>
      <c r="J4623" t="s">
        <v>34743</v>
      </c>
      <c r="K4623" t="s">
        <v>41202</v>
      </c>
      <c r="M4623" t="s">
        <v>43122</v>
      </c>
      <c r="N4623" t="s">
        <v>45095</v>
      </c>
      <c r="O4623" t="s">
        <v>45096</v>
      </c>
      <c r="P4623">
        <v>0</v>
      </c>
      <c r="Q4623">
        <v>2</v>
      </c>
      <c r="R4623" t="s">
        <v>45101</v>
      </c>
      <c r="S4623" t="s">
        <v>45231</v>
      </c>
      <c r="T4623" t="s">
        <v>46962</v>
      </c>
      <c r="U4623" t="s">
        <v>51259</v>
      </c>
      <c r="V4623" t="s">
        <v>60323</v>
      </c>
      <c r="W4623" t="s">
        <v>43122</v>
      </c>
      <c r="X4623" t="s">
        <v>45102</v>
      </c>
    </row>
    <row r="4624" spans="1:24">
      <c r="A4624">
        <f>HYPERLINK("https://www.philgeps.gov.ph/GEPSNONPILOT/Tender/SplashBidNoticeAbstractUI.aspx?menuIndex=3&amp;refID=7042781&amp;Result=3","7042781")</f>
        <v>0</v>
      </c>
      <c r="B4624" t="s">
        <v>1543</v>
      </c>
      <c r="C4624" t="s">
        <v>7512</v>
      </c>
      <c r="D4624" t="s">
        <v>18046</v>
      </c>
      <c r="E4624" t="s">
        <v>18376</v>
      </c>
      <c r="F4624" t="s">
        <v>31574</v>
      </c>
      <c r="G4624" t="s">
        <v>31581</v>
      </c>
      <c r="H4624" t="s">
        <v>31590</v>
      </c>
      <c r="I4624" t="s">
        <v>31601</v>
      </c>
      <c r="J4624" t="s">
        <v>31845</v>
      </c>
      <c r="K4624" t="s">
        <v>41193</v>
      </c>
      <c r="M4624" t="s">
        <v>43138</v>
      </c>
      <c r="N4624" t="s">
        <v>45095</v>
      </c>
      <c r="O4624" t="s">
        <v>45096</v>
      </c>
      <c r="P4624">
        <v>0</v>
      </c>
      <c r="Q4624">
        <v>0</v>
      </c>
      <c r="R4624" t="s">
        <v>45101</v>
      </c>
      <c r="S4624" t="s">
        <v>45231</v>
      </c>
      <c r="T4624" t="s">
        <v>46911</v>
      </c>
      <c r="U4624" t="s">
        <v>51375</v>
      </c>
      <c r="W4624" t="s">
        <v>43138</v>
      </c>
      <c r="X4624" t="s">
        <v>45102</v>
      </c>
    </row>
    <row r="4625" spans="1:24">
      <c r="A4625">
        <f>HYPERLINK("https://www.philgeps.gov.ph/GEPSNONPILOT/Tender/SplashBidNoticeAbstractUI.aspx?menuIndex=3&amp;refID=7042771&amp;Result=3","7042771")</f>
        <v>0</v>
      </c>
      <c r="B4625" t="s">
        <v>1560</v>
      </c>
      <c r="C4625" t="s">
        <v>7616</v>
      </c>
      <c r="D4625" t="s">
        <v>18072</v>
      </c>
      <c r="E4625" t="s">
        <v>22245</v>
      </c>
      <c r="F4625" t="s">
        <v>31574</v>
      </c>
      <c r="G4625" t="s">
        <v>31582</v>
      </c>
      <c r="H4625" t="s">
        <v>31590</v>
      </c>
      <c r="I4625" t="s">
        <v>31607</v>
      </c>
      <c r="J4625" t="s">
        <v>32232</v>
      </c>
      <c r="K4625" t="s">
        <v>41186</v>
      </c>
      <c r="M4625" t="s">
        <v>43159</v>
      </c>
      <c r="N4625" t="s">
        <v>45095</v>
      </c>
      <c r="O4625" t="s">
        <v>45096</v>
      </c>
      <c r="P4625">
        <v>0</v>
      </c>
      <c r="Q4625">
        <v>3</v>
      </c>
      <c r="R4625" t="s">
        <v>45101</v>
      </c>
      <c r="S4625" t="s">
        <v>45231</v>
      </c>
      <c r="T4625" t="s">
        <v>47091</v>
      </c>
      <c r="U4625" t="s">
        <v>51376</v>
      </c>
      <c r="W4625" t="s">
        <v>43159</v>
      </c>
      <c r="X4625" t="s">
        <v>45102</v>
      </c>
    </row>
    <row r="4626" spans="1:24">
      <c r="A4626">
        <f>HYPERLINK("https://www.philgeps.gov.ph/GEPSNONPILOT/Tender/SplashBidNoticeAbstractUI.aspx?menuIndex=3&amp;refID=7042773&amp;Result=3","7042773")</f>
        <v>0</v>
      </c>
      <c r="B4626" t="s">
        <v>1570</v>
      </c>
      <c r="C4626" t="s">
        <v>7617</v>
      </c>
      <c r="D4626" t="s">
        <v>18086</v>
      </c>
      <c r="E4626" t="s">
        <v>22246</v>
      </c>
      <c r="F4626" t="s">
        <v>31574</v>
      </c>
      <c r="G4626" t="s">
        <v>31582</v>
      </c>
      <c r="H4626" t="s">
        <v>31591</v>
      </c>
      <c r="I4626" t="s">
        <v>8822</v>
      </c>
      <c r="J4626" t="s">
        <v>34744</v>
      </c>
      <c r="K4626" t="s">
        <v>41189</v>
      </c>
      <c r="M4626" t="s">
        <v>43171</v>
      </c>
      <c r="N4626" t="s">
        <v>45095</v>
      </c>
      <c r="O4626" t="s">
        <v>45096</v>
      </c>
      <c r="P4626">
        <v>0</v>
      </c>
      <c r="Q4626">
        <v>0</v>
      </c>
      <c r="R4626" t="s">
        <v>45101</v>
      </c>
      <c r="S4626" t="s">
        <v>45231</v>
      </c>
      <c r="T4626" t="s">
        <v>47198</v>
      </c>
      <c r="U4626" t="s">
        <v>51377</v>
      </c>
      <c r="W4626" t="s">
        <v>43171</v>
      </c>
      <c r="X4626" t="s">
        <v>45102</v>
      </c>
    </row>
    <row r="4627" spans="1:24">
      <c r="A4627">
        <f>HYPERLINK("https://www.philgeps.gov.ph/GEPSNONPILOT/Tender/SplashBidNoticeAbstractUI.aspx?menuIndex=3&amp;refID=7042772&amp;Result=3","7042772")</f>
        <v>0</v>
      </c>
      <c r="B4627" t="s">
        <v>216</v>
      </c>
      <c r="C4627" t="s">
        <v>7618</v>
      </c>
      <c r="D4627" t="s">
        <v>18058</v>
      </c>
      <c r="E4627" t="s">
        <v>22247</v>
      </c>
      <c r="F4627" t="s">
        <v>31574</v>
      </c>
      <c r="G4627" t="s">
        <v>31582</v>
      </c>
      <c r="H4627" t="s">
        <v>31590</v>
      </c>
      <c r="I4627" t="s">
        <v>31602</v>
      </c>
      <c r="J4627" t="s">
        <v>34745</v>
      </c>
      <c r="K4627" t="s">
        <v>41193</v>
      </c>
      <c r="M4627" t="s">
        <v>41701</v>
      </c>
      <c r="N4627" t="s">
        <v>45095</v>
      </c>
      <c r="O4627" t="s">
        <v>45096</v>
      </c>
      <c r="P4627">
        <v>0</v>
      </c>
      <c r="Q4627">
        <v>0</v>
      </c>
      <c r="R4627" t="s">
        <v>45101</v>
      </c>
      <c r="S4627" t="s">
        <v>45231</v>
      </c>
      <c r="T4627" t="s">
        <v>46910</v>
      </c>
      <c r="U4627" t="s">
        <v>51378</v>
      </c>
      <c r="W4627" t="s">
        <v>41701</v>
      </c>
      <c r="X4627" t="s">
        <v>45102</v>
      </c>
    </row>
    <row r="4628" spans="1:24">
      <c r="A4628">
        <f>HYPERLINK("https://www.philgeps.gov.ph/GEPSNONPILOT/Tender/SplashBidNoticeAbstractUI.aspx?menuIndex=3&amp;refID=7042782&amp;Result=3","7042782")</f>
        <v>0</v>
      </c>
      <c r="B4628" t="s">
        <v>1566</v>
      </c>
      <c r="C4628" t="s">
        <v>7619</v>
      </c>
      <c r="E4628" t="s">
        <v>22248</v>
      </c>
      <c r="F4628" t="s">
        <v>31574</v>
      </c>
      <c r="G4628" t="s">
        <v>31582</v>
      </c>
      <c r="H4628" t="s">
        <v>31590</v>
      </c>
      <c r="I4628" t="s">
        <v>31676</v>
      </c>
      <c r="J4628" t="s">
        <v>32076</v>
      </c>
      <c r="K4628" t="s">
        <v>41184</v>
      </c>
      <c r="M4628" t="s">
        <v>43165</v>
      </c>
      <c r="N4628" t="s">
        <v>45095</v>
      </c>
      <c r="O4628" t="s">
        <v>45096</v>
      </c>
      <c r="P4628">
        <v>0</v>
      </c>
      <c r="Q4628">
        <v>1</v>
      </c>
      <c r="R4628" t="s">
        <v>45101</v>
      </c>
      <c r="S4628" t="s">
        <v>45231</v>
      </c>
      <c r="T4628" t="s">
        <v>47084</v>
      </c>
      <c r="U4628" t="s">
        <v>51366</v>
      </c>
      <c r="V4628" t="s">
        <v>59888</v>
      </c>
      <c r="W4628" t="s">
        <v>43165</v>
      </c>
      <c r="X4628" t="s">
        <v>45102</v>
      </c>
    </row>
    <row r="4629" spans="1:24">
      <c r="A4629">
        <f>HYPERLINK("https://www.philgeps.gov.ph/GEPSNONPILOT/Tender/SplashBidNoticeAbstractUI.aspx?menuIndex=3&amp;refID=7042770&amp;Result=3","7042770")</f>
        <v>0</v>
      </c>
      <c r="B4629" t="s">
        <v>319</v>
      </c>
      <c r="C4629" t="s">
        <v>7620</v>
      </c>
      <c r="D4629" t="s">
        <v>18065</v>
      </c>
      <c r="E4629" t="s">
        <v>22249</v>
      </c>
      <c r="F4629" t="s">
        <v>31574</v>
      </c>
      <c r="G4629" t="s">
        <v>31582</v>
      </c>
      <c r="H4629" t="s">
        <v>31591</v>
      </c>
      <c r="I4629" t="s">
        <v>8822</v>
      </c>
      <c r="J4629" t="s">
        <v>31771</v>
      </c>
      <c r="K4629" t="s">
        <v>41185</v>
      </c>
      <c r="M4629" t="s">
        <v>43172</v>
      </c>
      <c r="N4629" t="s">
        <v>45095</v>
      </c>
      <c r="O4629" t="s">
        <v>45096</v>
      </c>
      <c r="P4629">
        <v>0</v>
      </c>
      <c r="Q4629">
        <v>0</v>
      </c>
      <c r="R4629" t="s">
        <v>45101</v>
      </c>
      <c r="S4629" t="s">
        <v>45231</v>
      </c>
      <c r="T4629" t="s">
        <v>46926</v>
      </c>
      <c r="U4629" t="s">
        <v>51379</v>
      </c>
      <c r="W4629" t="s">
        <v>43172</v>
      </c>
      <c r="X4629" t="s">
        <v>45102</v>
      </c>
    </row>
    <row r="4630" spans="1:24">
      <c r="A4630">
        <f>HYPERLINK("https://www.philgeps.gov.ph/GEPSNONPILOT/Tender/SplashBidNoticeAbstractUI.aspx?menuIndex=3&amp;refID=7042799&amp;Result=3","7042799")</f>
        <v>0</v>
      </c>
      <c r="B4630" t="s">
        <v>1571</v>
      </c>
      <c r="C4630" t="s">
        <v>7621</v>
      </c>
      <c r="D4630" t="s">
        <v>18022</v>
      </c>
      <c r="E4630" t="s">
        <v>22250</v>
      </c>
      <c r="F4630" t="s">
        <v>31574</v>
      </c>
      <c r="G4630" t="s">
        <v>31581</v>
      </c>
      <c r="H4630" t="s">
        <v>31590</v>
      </c>
      <c r="I4630" t="s">
        <v>31595</v>
      </c>
      <c r="J4630" t="s">
        <v>34746</v>
      </c>
      <c r="K4630" t="s">
        <v>41190</v>
      </c>
      <c r="M4630" t="s">
        <v>43173</v>
      </c>
      <c r="N4630" t="s">
        <v>45095</v>
      </c>
      <c r="O4630" t="s">
        <v>45096</v>
      </c>
      <c r="P4630">
        <v>0</v>
      </c>
      <c r="Q4630">
        <v>4</v>
      </c>
      <c r="R4630" t="s">
        <v>45101</v>
      </c>
      <c r="S4630" t="s">
        <v>45231</v>
      </c>
      <c r="T4630" t="s">
        <v>47154</v>
      </c>
      <c r="U4630" t="s">
        <v>51380</v>
      </c>
      <c r="V4630" t="s">
        <v>60339</v>
      </c>
      <c r="W4630" t="s">
        <v>43173</v>
      </c>
      <c r="X4630" t="s">
        <v>45102</v>
      </c>
    </row>
    <row r="4631" spans="1:24">
      <c r="A4631">
        <f>HYPERLINK("https://www.philgeps.gov.ph/GEPSNONPILOT/Tender/SplashBidNoticeAbstractUI.aspx?menuIndex=3&amp;refID=7042779&amp;Result=3","7042779")</f>
        <v>0</v>
      </c>
      <c r="B4631" t="s">
        <v>1415</v>
      </c>
      <c r="C4631" t="s">
        <v>7622</v>
      </c>
      <c r="D4631" t="s">
        <v>18039</v>
      </c>
      <c r="E4631" t="s">
        <v>19368</v>
      </c>
      <c r="F4631" t="s">
        <v>31574</v>
      </c>
      <c r="G4631" t="s">
        <v>31581</v>
      </c>
      <c r="H4631" t="s">
        <v>31590</v>
      </c>
      <c r="I4631" t="s">
        <v>31595</v>
      </c>
      <c r="J4631" t="s">
        <v>34747</v>
      </c>
      <c r="K4631" t="s">
        <v>41184</v>
      </c>
      <c r="M4631" t="s">
        <v>42991</v>
      </c>
      <c r="N4631" t="s">
        <v>45095</v>
      </c>
      <c r="O4631" t="s">
        <v>45096</v>
      </c>
      <c r="P4631">
        <v>0</v>
      </c>
      <c r="Q4631">
        <v>2</v>
      </c>
      <c r="R4631" t="s">
        <v>45101</v>
      </c>
      <c r="S4631" t="s">
        <v>45231</v>
      </c>
      <c r="T4631" t="s">
        <v>47125</v>
      </c>
      <c r="U4631" t="s">
        <v>51381</v>
      </c>
      <c r="W4631" t="s">
        <v>42991</v>
      </c>
      <c r="X4631" t="s">
        <v>45102</v>
      </c>
    </row>
    <row r="4632" spans="1:24">
      <c r="A4632">
        <f>HYPERLINK("https://www.philgeps.gov.ph/GEPSNONPILOT/Tender/SplashBidNoticeAbstractUI.aspx?menuIndex=3&amp;refID=7042794&amp;Result=3","7042794")</f>
        <v>0</v>
      </c>
      <c r="B4632" t="s">
        <v>1301</v>
      </c>
      <c r="C4632" t="s">
        <v>7623</v>
      </c>
      <c r="E4632" t="s">
        <v>22251</v>
      </c>
      <c r="F4632" t="s">
        <v>31574</v>
      </c>
      <c r="G4632" t="s">
        <v>31581</v>
      </c>
      <c r="H4632" t="s">
        <v>31590</v>
      </c>
      <c r="I4632" t="s">
        <v>3487</v>
      </c>
      <c r="J4632" t="s">
        <v>34748</v>
      </c>
      <c r="K4632" t="s">
        <v>41184</v>
      </c>
      <c r="M4632" t="s">
        <v>42871</v>
      </c>
      <c r="N4632" t="s">
        <v>45095</v>
      </c>
      <c r="O4632" t="s">
        <v>45096</v>
      </c>
      <c r="P4632">
        <v>0</v>
      </c>
      <c r="Q4632">
        <v>0</v>
      </c>
      <c r="R4632" t="s">
        <v>45101</v>
      </c>
      <c r="S4632" t="s">
        <v>45231</v>
      </c>
      <c r="T4632" t="s">
        <v>47159</v>
      </c>
      <c r="U4632" t="s">
        <v>50619</v>
      </c>
      <c r="W4632" t="s">
        <v>42871</v>
      </c>
      <c r="X4632" t="s">
        <v>45102</v>
      </c>
    </row>
    <row r="4633" spans="1:24">
      <c r="A4633">
        <f>HYPERLINK("https://www.philgeps.gov.ph/GEPSNONPILOT/Tender/SplashBidNoticeAbstractUI.aspx?menuIndex=3&amp;refID=7042800&amp;Result=3","7042800")</f>
        <v>0</v>
      </c>
      <c r="B4633" t="s">
        <v>397</v>
      </c>
      <c r="C4633" t="s">
        <v>6877</v>
      </c>
      <c r="D4633" t="s">
        <v>18040</v>
      </c>
      <c r="E4633" t="s">
        <v>22252</v>
      </c>
      <c r="F4633" t="s">
        <v>31574</v>
      </c>
      <c r="G4633" t="s">
        <v>31581</v>
      </c>
      <c r="H4633" t="s">
        <v>31590</v>
      </c>
      <c r="I4633" t="s">
        <v>4046</v>
      </c>
      <c r="J4633" t="s">
        <v>34749</v>
      </c>
      <c r="K4633" t="s">
        <v>41184</v>
      </c>
      <c r="M4633" t="s">
        <v>41888</v>
      </c>
      <c r="N4633" t="s">
        <v>45095</v>
      </c>
      <c r="O4633" t="s">
        <v>45096</v>
      </c>
      <c r="P4633">
        <v>0</v>
      </c>
      <c r="Q4633">
        <v>1</v>
      </c>
      <c r="R4633" t="s">
        <v>45101</v>
      </c>
      <c r="S4633" t="s">
        <v>45231</v>
      </c>
      <c r="T4633" t="s">
        <v>47067</v>
      </c>
      <c r="U4633" t="s">
        <v>51382</v>
      </c>
      <c r="W4633" t="s">
        <v>41888</v>
      </c>
      <c r="X4633" t="s">
        <v>45102</v>
      </c>
    </row>
    <row r="4634" spans="1:24">
      <c r="A4634">
        <f>HYPERLINK("https://www.philgeps.gov.ph/GEPSNONPILOT/Tender/SplashBidNoticeAbstractUI.aspx?menuIndex=3&amp;refID=7042796&amp;Result=3","7042796")</f>
        <v>0</v>
      </c>
      <c r="B4634" t="s">
        <v>67</v>
      </c>
      <c r="C4634" t="s">
        <v>7624</v>
      </c>
      <c r="D4634" t="s">
        <v>18027</v>
      </c>
      <c r="E4634" t="s">
        <v>22253</v>
      </c>
      <c r="F4634" t="s">
        <v>31574</v>
      </c>
      <c r="G4634" t="s">
        <v>31582</v>
      </c>
      <c r="H4634" t="s">
        <v>31591</v>
      </c>
      <c r="I4634" t="s">
        <v>8822</v>
      </c>
      <c r="J4634" t="s">
        <v>34750</v>
      </c>
      <c r="K4634" t="s">
        <v>41192</v>
      </c>
      <c r="M4634" t="s">
        <v>42902</v>
      </c>
      <c r="N4634" t="s">
        <v>45095</v>
      </c>
      <c r="O4634" t="s">
        <v>45096</v>
      </c>
      <c r="P4634">
        <v>0</v>
      </c>
      <c r="Q4634">
        <v>0</v>
      </c>
      <c r="R4634" t="s">
        <v>45101</v>
      </c>
      <c r="S4634" t="s">
        <v>45231</v>
      </c>
      <c r="T4634" t="s">
        <v>46945</v>
      </c>
      <c r="U4634" t="s">
        <v>51383</v>
      </c>
      <c r="W4634" t="s">
        <v>42902</v>
      </c>
      <c r="X4634" t="s">
        <v>45102</v>
      </c>
    </row>
    <row r="4635" spans="1:24">
      <c r="A4635">
        <f>HYPERLINK("https://www.philgeps.gov.ph/GEPSNONPILOT/Tender/SplashBidNoticeAbstractUI.aspx?menuIndex=3&amp;refID=7042793&amp;Result=3","7042793")</f>
        <v>0</v>
      </c>
      <c r="B4635" t="s">
        <v>1531</v>
      </c>
      <c r="C4635" t="s">
        <v>7625</v>
      </c>
      <c r="D4635" t="s">
        <v>18044</v>
      </c>
      <c r="E4635" t="s">
        <v>22254</v>
      </c>
      <c r="F4635" t="s">
        <v>31574</v>
      </c>
      <c r="G4635" t="s">
        <v>31582</v>
      </c>
      <c r="H4635" t="s">
        <v>31591</v>
      </c>
      <c r="I4635" t="s">
        <v>8822</v>
      </c>
      <c r="J4635" t="s">
        <v>34751</v>
      </c>
      <c r="K4635" t="s">
        <v>41267</v>
      </c>
      <c r="M4635" t="s">
        <v>43122</v>
      </c>
      <c r="N4635" t="s">
        <v>45095</v>
      </c>
      <c r="O4635" t="s">
        <v>45096</v>
      </c>
      <c r="P4635">
        <v>0</v>
      </c>
      <c r="Q4635">
        <v>3</v>
      </c>
      <c r="R4635" t="s">
        <v>45101</v>
      </c>
      <c r="S4635" t="s">
        <v>45231</v>
      </c>
      <c r="T4635" t="s">
        <v>46962</v>
      </c>
      <c r="U4635" t="s">
        <v>51259</v>
      </c>
      <c r="V4635" t="s">
        <v>60323</v>
      </c>
      <c r="W4635" t="s">
        <v>43122</v>
      </c>
      <c r="X4635" t="s">
        <v>45102</v>
      </c>
    </row>
    <row r="4636" spans="1:24">
      <c r="A4636">
        <f>HYPERLINK("https://www.philgeps.gov.ph/GEPSNONPILOT/Tender/SplashBidNoticeAbstractUI.aspx?menuIndex=3&amp;refID=7042786&amp;Result=3","7042786")</f>
        <v>0</v>
      </c>
      <c r="B4636" t="s">
        <v>1531</v>
      </c>
      <c r="C4636" t="s">
        <v>7626</v>
      </c>
      <c r="D4636" t="s">
        <v>18044</v>
      </c>
      <c r="E4636" t="s">
        <v>22255</v>
      </c>
      <c r="F4636" t="s">
        <v>31574</v>
      </c>
      <c r="G4636" t="s">
        <v>31582</v>
      </c>
      <c r="H4636" t="s">
        <v>31591</v>
      </c>
      <c r="I4636" t="s">
        <v>8822</v>
      </c>
      <c r="J4636" t="s">
        <v>34707</v>
      </c>
      <c r="K4636" t="s">
        <v>41267</v>
      </c>
      <c r="M4636" t="s">
        <v>43122</v>
      </c>
      <c r="N4636" t="s">
        <v>45095</v>
      </c>
      <c r="O4636" t="s">
        <v>45096</v>
      </c>
      <c r="P4636">
        <v>0</v>
      </c>
      <c r="Q4636">
        <v>2</v>
      </c>
      <c r="R4636" t="s">
        <v>45101</v>
      </c>
      <c r="S4636" t="s">
        <v>45231</v>
      </c>
      <c r="T4636" t="s">
        <v>46962</v>
      </c>
      <c r="U4636" t="s">
        <v>51259</v>
      </c>
      <c r="V4636" t="s">
        <v>60323</v>
      </c>
      <c r="W4636" t="s">
        <v>43122</v>
      </c>
      <c r="X4636" t="s">
        <v>45102</v>
      </c>
    </row>
    <row r="4637" spans="1:24">
      <c r="A4637">
        <f>HYPERLINK("https://www.philgeps.gov.ph/GEPSNONPILOT/Tender/SplashBidNoticeAbstractUI.aspx?menuIndex=3&amp;refID=7042792&amp;Result=3","7042792")</f>
        <v>0</v>
      </c>
      <c r="B4637" t="s">
        <v>1217</v>
      </c>
      <c r="C4637" t="s">
        <v>7627</v>
      </c>
      <c r="D4637" t="s">
        <v>18073</v>
      </c>
      <c r="E4637" t="s">
        <v>21223</v>
      </c>
      <c r="F4637" t="s">
        <v>31574</v>
      </c>
      <c r="G4637" t="s">
        <v>31581</v>
      </c>
      <c r="H4637" t="s">
        <v>31591</v>
      </c>
      <c r="I4637" t="s">
        <v>31611</v>
      </c>
      <c r="J4637" t="s">
        <v>32382</v>
      </c>
      <c r="K4637" t="s">
        <v>41223</v>
      </c>
      <c r="M4637" t="s">
        <v>42778</v>
      </c>
      <c r="N4637" t="s">
        <v>45095</v>
      </c>
      <c r="O4637" t="s">
        <v>45096</v>
      </c>
      <c r="P4637">
        <v>0</v>
      </c>
      <c r="Q4637">
        <v>0</v>
      </c>
      <c r="R4637" t="s">
        <v>45101</v>
      </c>
      <c r="S4637" t="s">
        <v>45231</v>
      </c>
      <c r="T4637" t="s">
        <v>46936</v>
      </c>
      <c r="U4637" t="s">
        <v>51384</v>
      </c>
      <c r="W4637" t="s">
        <v>42778</v>
      </c>
      <c r="X4637" t="s">
        <v>45102</v>
      </c>
    </row>
    <row r="4638" spans="1:24">
      <c r="A4638">
        <f>HYPERLINK("https://www.philgeps.gov.ph/GEPSNONPILOT/Tender/SplashBidNoticeAbstractUI.aspx?menuIndex=3&amp;refID=7042789&amp;Result=3","7042789")</f>
        <v>0</v>
      </c>
      <c r="B4638" t="s">
        <v>416</v>
      </c>
      <c r="C4638" t="s">
        <v>7628</v>
      </c>
      <c r="D4638" t="s">
        <v>18046</v>
      </c>
      <c r="E4638" t="s">
        <v>22256</v>
      </c>
      <c r="F4638" t="s">
        <v>31574</v>
      </c>
      <c r="G4638" t="s">
        <v>31581</v>
      </c>
      <c r="H4638" t="s">
        <v>31590</v>
      </c>
      <c r="I4638" t="s">
        <v>31602</v>
      </c>
      <c r="J4638" t="s">
        <v>33000</v>
      </c>
      <c r="K4638" t="s">
        <v>41196</v>
      </c>
      <c r="M4638" t="s">
        <v>41908</v>
      </c>
      <c r="N4638" t="s">
        <v>45095</v>
      </c>
      <c r="O4638" t="s">
        <v>45096</v>
      </c>
      <c r="P4638">
        <v>0</v>
      </c>
      <c r="Q4638">
        <v>0</v>
      </c>
      <c r="R4638" t="s">
        <v>45101</v>
      </c>
      <c r="S4638" t="s">
        <v>45231</v>
      </c>
      <c r="T4638" t="s">
        <v>46963</v>
      </c>
      <c r="U4638" t="s">
        <v>51385</v>
      </c>
      <c r="W4638" t="s">
        <v>41908</v>
      </c>
      <c r="X4638" t="s">
        <v>45102</v>
      </c>
    </row>
    <row r="4639" spans="1:24">
      <c r="A4639">
        <f>HYPERLINK("https://www.philgeps.gov.ph/GEPSNONPILOT/Tender/SplashBidNoticeAbstractUI.aspx?menuIndex=3&amp;refID=7042798&amp;Result=3","7042798")</f>
        <v>0</v>
      </c>
      <c r="B4639" t="s">
        <v>401</v>
      </c>
      <c r="C4639" t="s">
        <v>7629</v>
      </c>
      <c r="D4639" t="s">
        <v>18052</v>
      </c>
      <c r="E4639" t="s">
        <v>22257</v>
      </c>
      <c r="F4639" t="s">
        <v>31574</v>
      </c>
      <c r="G4639" t="s">
        <v>31582</v>
      </c>
      <c r="H4639" t="s">
        <v>31590</v>
      </c>
      <c r="I4639" t="s">
        <v>31612</v>
      </c>
      <c r="J4639" t="s">
        <v>34752</v>
      </c>
      <c r="K4639" t="s">
        <v>41186</v>
      </c>
      <c r="M4639" t="s">
        <v>41892</v>
      </c>
      <c r="N4639" t="s">
        <v>45095</v>
      </c>
      <c r="O4639" t="s">
        <v>45096</v>
      </c>
      <c r="P4639">
        <v>0</v>
      </c>
      <c r="Q4639">
        <v>1</v>
      </c>
      <c r="R4639" t="s">
        <v>45101</v>
      </c>
      <c r="S4639" t="s">
        <v>45231</v>
      </c>
      <c r="T4639" t="s">
        <v>46914</v>
      </c>
      <c r="U4639" t="s">
        <v>51307</v>
      </c>
      <c r="W4639" t="s">
        <v>41892</v>
      </c>
      <c r="X4639" t="s">
        <v>45102</v>
      </c>
    </row>
    <row r="4640" spans="1:24">
      <c r="A4640">
        <f>HYPERLINK("https://www.philgeps.gov.ph/GEPSNONPILOT/Tender/SplashBidNoticeAbstractUI.aspx?menuIndex=3&amp;refID=7042784&amp;Result=3","7042784")</f>
        <v>0</v>
      </c>
      <c r="B4640" t="s">
        <v>1513</v>
      </c>
      <c r="C4640" t="s">
        <v>7630</v>
      </c>
      <c r="D4640" t="s">
        <v>18022</v>
      </c>
      <c r="E4640" t="s">
        <v>22258</v>
      </c>
      <c r="F4640" t="s">
        <v>31574</v>
      </c>
      <c r="G4640" t="s">
        <v>31582</v>
      </c>
      <c r="H4640" t="s">
        <v>31590</v>
      </c>
      <c r="I4640" t="s">
        <v>4327</v>
      </c>
      <c r="J4640" t="s">
        <v>34753</v>
      </c>
      <c r="K4640" t="s">
        <v>41189</v>
      </c>
      <c r="M4640" t="s">
        <v>43174</v>
      </c>
      <c r="N4640" t="s">
        <v>45095</v>
      </c>
      <c r="O4640" t="s">
        <v>45096</v>
      </c>
      <c r="P4640">
        <v>0</v>
      </c>
      <c r="Q4640">
        <v>10</v>
      </c>
      <c r="R4640" t="s">
        <v>45101</v>
      </c>
      <c r="S4640" t="s">
        <v>45231</v>
      </c>
      <c r="T4640" t="s">
        <v>47004</v>
      </c>
      <c r="U4640" t="s">
        <v>51386</v>
      </c>
      <c r="V4640" t="s">
        <v>60340</v>
      </c>
      <c r="W4640" t="s">
        <v>43174</v>
      </c>
      <c r="X4640" t="s">
        <v>45102</v>
      </c>
    </row>
    <row r="4641" spans="1:24">
      <c r="A4641">
        <f>HYPERLINK("https://www.philgeps.gov.ph/GEPSNONPILOT/Tender/SplashBidNoticeAbstractUI.aspx?menuIndex=3&amp;refID=7042815&amp;Result=3","7042815")</f>
        <v>0</v>
      </c>
      <c r="B4641" t="s">
        <v>397</v>
      </c>
      <c r="C4641" t="s">
        <v>6877</v>
      </c>
      <c r="D4641" t="s">
        <v>18040</v>
      </c>
      <c r="E4641" t="s">
        <v>22259</v>
      </c>
      <c r="F4641" t="s">
        <v>31574</v>
      </c>
      <c r="G4641" t="s">
        <v>31581</v>
      </c>
      <c r="H4641" t="s">
        <v>31590</v>
      </c>
      <c r="I4641" t="s">
        <v>4046</v>
      </c>
      <c r="J4641" t="s">
        <v>33406</v>
      </c>
      <c r="K4641" t="s">
        <v>41184</v>
      </c>
      <c r="M4641" t="s">
        <v>41888</v>
      </c>
      <c r="N4641" t="s">
        <v>45095</v>
      </c>
      <c r="O4641" t="s">
        <v>45096</v>
      </c>
      <c r="P4641">
        <v>0</v>
      </c>
      <c r="Q4641">
        <v>1</v>
      </c>
      <c r="R4641" t="s">
        <v>45101</v>
      </c>
      <c r="S4641" t="s">
        <v>45231</v>
      </c>
      <c r="T4641" t="s">
        <v>47067</v>
      </c>
      <c r="U4641" t="s">
        <v>51387</v>
      </c>
      <c r="W4641" t="s">
        <v>41888</v>
      </c>
      <c r="X4641" t="s">
        <v>45102</v>
      </c>
    </row>
    <row r="4642" spans="1:24">
      <c r="A4642">
        <f>HYPERLINK("https://www.philgeps.gov.ph/GEPSNONPILOT/Tender/SplashBidNoticeAbstractUI.aspx?menuIndex=3&amp;refID=7042807&amp;Result=3","7042807")</f>
        <v>0</v>
      </c>
      <c r="B4642" t="s">
        <v>1301</v>
      </c>
      <c r="C4642" t="s">
        <v>7631</v>
      </c>
      <c r="E4642" t="s">
        <v>22260</v>
      </c>
      <c r="F4642" t="s">
        <v>31574</v>
      </c>
      <c r="G4642" t="s">
        <v>31581</v>
      </c>
      <c r="H4642" t="s">
        <v>31590</v>
      </c>
      <c r="I4642" t="s">
        <v>3487</v>
      </c>
      <c r="J4642" t="s">
        <v>34754</v>
      </c>
      <c r="K4642" t="s">
        <v>41184</v>
      </c>
      <c r="M4642" t="s">
        <v>42871</v>
      </c>
      <c r="N4642" t="s">
        <v>45095</v>
      </c>
      <c r="O4642" t="s">
        <v>45096</v>
      </c>
      <c r="P4642">
        <v>0</v>
      </c>
      <c r="Q4642">
        <v>0</v>
      </c>
      <c r="R4642" t="s">
        <v>45101</v>
      </c>
      <c r="S4642" t="s">
        <v>45231</v>
      </c>
      <c r="T4642" t="s">
        <v>47159</v>
      </c>
      <c r="U4642" t="s">
        <v>50619</v>
      </c>
      <c r="W4642" t="s">
        <v>42871</v>
      </c>
      <c r="X4642" t="s">
        <v>45102</v>
      </c>
    </row>
    <row r="4643" spans="1:24">
      <c r="A4643">
        <f>HYPERLINK("https://www.philgeps.gov.ph/GEPSNONPILOT/Tender/SplashBidNoticeAbstractUI.aspx?menuIndex=3&amp;refID=7042802&amp;Result=3","7042802")</f>
        <v>0</v>
      </c>
      <c r="B4643" t="s">
        <v>1531</v>
      </c>
      <c r="C4643" t="s">
        <v>7632</v>
      </c>
      <c r="D4643" t="s">
        <v>18044</v>
      </c>
      <c r="E4643" t="s">
        <v>22261</v>
      </c>
      <c r="F4643" t="s">
        <v>31574</v>
      </c>
      <c r="G4643" t="s">
        <v>31582</v>
      </c>
      <c r="H4643" t="s">
        <v>31591</v>
      </c>
      <c r="I4643" t="s">
        <v>8822</v>
      </c>
      <c r="J4643" t="s">
        <v>34755</v>
      </c>
      <c r="K4643" t="s">
        <v>41267</v>
      </c>
      <c r="M4643" t="s">
        <v>43122</v>
      </c>
      <c r="N4643" t="s">
        <v>45095</v>
      </c>
      <c r="O4643" t="s">
        <v>45096</v>
      </c>
      <c r="P4643">
        <v>0</v>
      </c>
      <c r="Q4643">
        <v>4</v>
      </c>
      <c r="R4643" t="s">
        <v>45101</v>
      </c>
      <c r="S4643" t="s">
        <v>45231</v>
      </c>
      <c r="T4643" t="s">
        <v>46962</v>
      </c>
      <c r="U4643" t="s">
        <v>51259</v>
      </c>
      <c r="V4643" t="s">
        <v>60323</v>
      </c>
      <c r="W4643" t="s">
        <v>43122</v>
      </c>
      <c r="X4643" t="s">
        <v>45102</v>
      </c>
    </row>
    <row r="4644" spans="1:24">
      <c r="A4644">
        <f>HYPERLINK("https://www.philgeps.gov.ph/GEPSNONPILOT/Tender/SplashBidNoticeAbstractUI.aspx?menuIndex=3&amp;refID=7042777&amp;Result=3","7042777")</f>
        <v>0</v>
      </c>
      <c r="B4644" t="s">
        <v>1514</v>
      </c>
      <c r="C4644" t="s">
        <v>7633</v>
      </c>
      <c r="D4644" t="s">
        <v>18037</v>
      </c>
      <c r="E4644" t="s">
        <v>22262</v>
      </c>
      <c r="F4644" t="s">
        <v>31574</v>
      </c>
      <c r="G4644" t="s">
        <v>31582</v>
      </c>
      <c r="H4644" t="s">
        <v>31590</v>
      </c>
      <c r="I4644" t="s">
        <v>7185</v>
      </c>
      <c r="J4644" t="s">
        <v>34756</v>
      </c>
      <c r="K4644" t="s">
        <v>41191</v>
      </c>
      <c r="M4644" t="s">
        <v>43105</v>
      </c>
      <c r="N4644" t="s">
        <v>45095</v>
      </c>
      <c r="O4644" t="s">
        <v>45096</v>
      </c>
      <c r="P4644">
        <v>0</v>
      </c>
      <c r="Q4644">
        <v>6</v>
      </c>
      <c r="R4644" t="s">
        <v>45101</v>
      </c>
      <c r="S4644" t="s">
        <v>45231</v>
      </c>
      <c r="T4644" t="s">
        <v>47170</v>
      </c>
      <c r="U4644" t="s">
        <v>51388</v>
      </c>
      <c r="V4644" t="s">
        <v>59855</v>
      </c>
      <c r="W4644" t="s">
        <v>43105</v>
      </c>
      <c r="X4644" t="s">
        <v>45102</v>
      </c>
    </row>
    <row r="4645" spans="1:24">
      <c r="A4645">
        <f>HYPERLINK("https://www.philgeps.gov.ph/GEPSNONPILOT/Tender/SplashBidNoticeAbstractUI.aspx?menuIndex=3&amp;refID=7042803&amp;Result=3","7042803")</f>
        <v>0</v>
      </c>
      <c r="B4645" t="s">
        <v>319</v>
      </c>
      <c r="C4645" t="s">
        <v>7634</v>
      </c>
      <c r="D4645" t="s">
        <v>18065</v>
      </c>
      <c r="E4645" t="s">
        <v>22263</v>
      </c>
      <c r="F4645" t="s">
        <v>31574</v>
      </c>
      <c r="G4645" t="s">
        <v>31582</v>
      </c>
      <c r="H4645" t="s">
        <v>31591</v>
      </c>
      <c r="I4645" t="s">
        <v>8822</v>
      </c>
      <c r="J4645" t="s">
        <v>32076</v>
      </c>
      <c r="K4645" t="s">
        <v>41192</v>
      </c>
      <c r="M4645" t="s">
        <v>43172</v>
      </c>
      <c r="N4645" t="s">
        <v>45095</v>
      </c>
      <c r="O4645" t="s">
        <v>45096</v>
      </c>
      <c r="P4645">
        <v>0</v>
      </c>
      <c r="Q4645">
        <v>0</v>
      </c>
      <c r="R4645" t="s">
        <v>45101</v>
      </c>
      <c r="S4645" t="s">
        <v>45231</v>
      </c>
      <c r="T4645" t="s">
        <v>46916</v>
      </c>
      <c r="U4645" t="s">
        <v>51389</v>
      </c>
      <c r="W4645" t="s">
        <v>43172</v>
      </c>
      <c r="X4645" t="s">
        <v>45102</v>
      </c>
    </row>
    <row r="4646" spans="1:24">
      <c r="A4646">
        <f>HYPERLINK("https://www.philgeps.gov.ph/GEPSNONPILOT/Tender/SplashBidNoticeAbstractUI.aspx?menuIndex=3&amp;refID=7042810&amp;Result=3","7042810")</f>
        <v>0</v>
      </c>
      <c r="B4646" t="s">
        <v>1506</v>
      </c>
      <c r="C4646" t="s">
        <v>7635</v>
      </c>
      <c r="D4646" t="s">
        <v>18027</v>
      </c>
      <c r="E4646" t="s">
        <v>22264</v>
      </c>
      <c r="F4646" t="s">
        <v>31574</v>
      </c>
      <c r="G4646" t="s">
        <v>31583</v>
      </c>
      <c r="H4646" t="s">
        <v>31590</v>
      </c>
      <c r="I4646" t="s">
        <v>31605</v>
      </c>
      <c r="J4646" t="s">
        <v>32497</v>
      </c>
      <c r="K4646" t="s">
        <v>41197</v>
      </c>
      <c r="M4646" t="s">
        <v>43093</v>
      </c>
      <c r="N4646" t="s">
        <v>45095</v>
      </c>
      <c r="O4646" t="s">
        <v>45096</v>
      </c>
      <c r="P4646">
        <v>0</v>
      </c>
      <c r="Q4646">
        <v>4</v>
      </c>
      <c r="R4646" t="s">
        <v>45101</v>
      </c>
      <c r="S4646" t="s">
        <v>45231</v>
      </c>
      <c r="T4646" t="s">
        <v>46957</v>
      </c>
      <c r="U4646" t="s">
        <v>51390</v>
      </c>
      <c r="W4646" t="s">
        <v>43093</v>
      </c>
      <c r="X4646" t="s">
        <v>45102</v>
      </c>
    </row>
    <row r="4647" spans="1:24">
      <c r="A4647">
        <f>HYPERLINK("https://www.philgeps.gov.ph/GEPSNONPILOT/Tender/SplashBidNoticeAbstractUI.aspx?menuIndex=3&amp;refID=7042826&amp;Result=3","7042826")</f>
        <v>0</v>
      </c>
      <c r="B4647" t="s">
        <v>1301</v>
      </c>
      <c r="C4647" t="s">
        <v>7636</v>
      </c>
      <c r="E4647" t="s">
        <v>22265</v>
      </c>
      <c r="F4647" t="s">
        <v>31574</v>
      </c>
      <c r="G4647" t="s">
        <v>31581</v>
      </c>
      <c r="H4647" t="s">
        <v>31590</v>
      </c>
      <c r="I4647" t="s">
        <v>6800</v>
      </c>
      <c r="J4647" t="s">
        <v>32197</v>
      </c>
      <c r="K4647" t="s">
        <v>41184</v>
      </c>
      <c r="M4647" t="s">
        <v>42871</v>
      </c>
      <c r="N4647" t="s">
        <v>45095</v>
      </c>
      <c r="O4647" t="s">
        <v>45096</v>
      </c>
      <c r="P4647">
        <v>0</v>
      </c>
      <c r="Q4647">
        <v>0</v>
      </c>
      <c r="R4647" t="s">
        <v>45101</v>
      </c>
      <c r="S4647" t="s">
        <v>45231</v>
      </c>
      <c r="T4647" t="s">
        <v>47159</v>
      </c>
      <c r="U4647" t="s">
        <v>51391</v>
      </c>
      <c r="W4647" t="s">
        <v>42871</v>
      </c>
      <c r="X4647" t="s">
        <v>45102</v>
      </c>
    </row>
    <row r="4648" spans="1:24">
      <c r="A4648">
        <f>HYPERLINK("https://www.philgeps.gov.ph/GEPSNONPILOT/Tender/SplashBidNoticeAbstractUI.aspx?menuIndex=3&amp;refID=7042812&amp;Result=3","7042812")</f>
        <v>0</v>
      </c>
      <c r="B4648" t="s">
        <v>1572</v>
      </c>
      <c r="C4648" t="s">
        <v>7637</v>
      </c>
      <c r="D4648" t="s">
        <v>18070</v>
      </c>
      <c r="E4648" t="s">
        <v>18230</v>
      </c>
      <c r="F4648" t="s">
        <v>31574</v>
      </c>
      <c r="G4648" t="s">
        <v>31582</v>
      </c>
      <c r="H4648" t="s">
        <v>31590</v>
      </c>
      <c r="I4648" t="s">
        <v>4327</v>
      </c>
      <c r="J4648" t="s">
        <v>34757</v>
      </c>
      <c r="K4648" t="s">
        <v>41193</v>
      </c>
      <c r="M4648" t="s">
        <v>43175</v>
      </c>
      <c r="N4648" t="s">
        <v>45095</v>
      </c>
      <c r="O4648" t="s">
        <v>45096</v>
      </c>
      <c r="P4648">
        <v>0</v>
      </c>
      <c r="Q4648">
        <v>2</v>
      </c>
      <c r="R4648" t="s">
        <v>45101</v>
      </c>
      <c r="S4648" t="s">
        <v>45231</v>
      </c>
      <c r="T4648" t="s">
        <v>46918</v>
      </c>
      <c r="U4648" t="s">
        <v>51392</v>
      </c>
      <c r="W4648" t="s">
        <v>43175</v>
      </c>
      <c r="X4648" t="s">
        <v>45102</v>
      </c>
    </row>
    <row r="4649" spans="1:24">
      <c r="A4649">
        <f>HYPERLINK("https://www.philgeps.gov.ph/GEPSNONPILOT/Tender/SplashBidNoticeAbstractUI.aspx?menuIndex=3&amp;refID=7042829&amp;Result=3","7042829")</f>
        <v>0</v>
      </c>
      <c r="B4649" t="s">
        <v>1573</v>
      </c>
      <c r="C4649" t="s">
        <v>7638</v>
      </c>
      <c r="D4649" t="s">
        <v>18055</v>
      </c>
      <c r="E4649" t="s">
        <v>22266</v>
      </c>
      <c r="F4649" t="s">
        <v>31574</v>
      </c>
      <c r="G4649" t="s">
        <v>31581</v>
      </c>
      <c r="H4649" t="s">
        <v>31592</v>
      </c>
      <c r="I4649" t="s">
        <v>31632</v>
      </c>
      <c r="J4649" t="s">
        <v>34758</v>
      </c>
      <c r="K4649" t="s">
        <v>41186</v>
      </c>
      <c r="M4649" t="s">
        <v>43176</v>
      </c>
      <c r="N4649" t="s">
        <v>45095</v>
      </c>
      <c r="O4649" t="s">
        <v>45096</v>
      </c>
      <c r="P4649">
        <v>0</v>
      </c>
      <c r="Q4649">
        <v>0</v>
      </c>
      <c r="R4649" t="s">
        <v>45101</v>
      </c>
      <c r="S4649" t="s">
        <v>45231</v>
      </c>
      <c r="T4649" t="s">
        <v>46979</v>
      </c>
      <c r="U4649" t="s">
        <v>51393</v>
      </c>
      <c r="W4649" t="s">
        <v>43176</v>
      </c>
      <c r="X4649" t="s">
        <v>45102</v>
      </c>
    </row>
    <row r="4650" spans="1:24">
      <c r="A4650">
        <f>HYPERLINK("https://www.philgeps.gov.ph/GEPSNONPILOT/Tender/SplashBidNoticeAbstractUI.aspx?menuIndex=3&amp;refID=7042820&amp;Result=3","7042820")</f>
        <v>0</v>
      </c>
      <c r="B4650" t="s">
        <v>1531</v>
      </c>
      <c r="C4650" t="s">
        <v>7639</v>
      </c>
      <c r="D4650" t="s">
        <v>18044</v>
      </c>
      <c r="E4650" t="s">
        <v>22267</v>
      </c>
      <c r="F4650" t="s">
        <v>31574</v>
      </c>
      <c r="G4650" t="s">
        <v>31582</v>
      </c>
      <c r="H4650" t="s">
        <v>31591</v>
      </c>
      <c r="I4650" t="s">
        <v>8822</v>
      </c>
      <c r="J4650" t="s">
        <v>34071</v>
      </c>
      <c r="K4650" t="s">
        <v>41256</v>
      </c>
      <c r="M4650" t="s">
        <v>43122</v>
      </c>
      <c r="N4650" t="s">
        <v>45095</v>
      </c>
      <c r="O4650" t="s">
        <v>45096</v>
      </c>
      <c r="P4650">
        <v>0</v>
      </c>
      <c r="Q4650">
        <v>4</v>
      </c>
      <c r="R4650" t="s">
        <v>45101</v>
      </c>
      <c r="S4650" t="s">
        <v>45231</v>
      </c>
      <c r="T4650" t="s">
        <v>46962</v>
      </c>
      <c r="U4650" t="s">
        <v>51259</v>
      </c>
      <c r="V4650" t="s">
        <v>60323</v>
      </c>
      <c r="W4650" t="s">
        <v>43122</v>
      </c>
      <c r="X4650" t="s">
        <v>45102</v>
      </c>
    </row>
    <row r="4651" spans="1:24">
      <c r="A4651">
        <f>HYPERLINK("https://www.philgeps.gov.ph/GEPSNONPILOT/Tender/SplashBidNoticeAbstractUI.aspx?menuIndex=3&amp;refID=7042816&amp;Result=3","7042816")</f>
        <v>0</v>
      </c>
      <c r="B4651" t="s">
        <v>1566</v>
      </c>
      <c r="C4651" t="s">
        <v>7640</v>
      </c>
      <c r="E4651" t="s">
        <v>22268</v>
      </c>
      <c r="F4651" t="s">
        <v>31574</v>
      </c>
      <c r="G4651" t="s">
        <v>31582</v>
      </c>
      <c r="H4651" t="s">
        <v>31591</v>
      </c>
      <c r="I4651" t="s">
        <v>8822</v>
      </c>
      <c r="J4651" t="s">
        <v>34759</v>
      </c>
      <c r="K4651" t="s">
        <v>41184</v>
      </c>
      <c r="M4651" t="s">
        <v>43165</v>
      </c>
      <c r="N4651" t="s">
        <v>45095</v>
      </c>
      <c r="O4651" t="s">
        <v>45096</v>
      </c>
      <c r="P4651">
        <v>0</v>
      </c>
      <c r="Q4651">
        <v>0</v>
      </c>
      <c r="R4651" t="s">
        <v>45101</v>
      </c>
      <c r="S4651" t="s">
        <v>45231</v>
      </c>
      <c r="T4651" t="s">
        <v>47084</v>
      </c>
      <c r="U4651" t="s">
        <v>51394</v>
      </c>
      <c r="V4651" t="s">
        <v>59888</v>
      </c>
      <c r="W4651" t="s">
        <v>43165</v>
      </c>
      <c r="X4651" t="s">
        <v>45102</v>
      </c>
    </row>
    <row r="4652" spans="1:24">
      <c r="A4652">
        <f>HYPERLINK("https://www.philgeps.gov.ph/GEPSNONPILOT/Tender/SplashBidNoticeAbstractUI.aspx?menuIndex=3&amp;refID=7042804&amp;Result=3","7042804")</f>
        <v>0</v>
      </c>
      <c r="B4652" t="s">
        <v>416</v>
      </c>
      <c r="C4652" t="s">
        <v>7641</v>
      </c>
      <c r="D4652" t="s">
        <v>18046</v>
      </c>
      <c r="E4652" t="s">
        <v>22269</v>
      </c>
      <c r="F4652" t="s">
        <v>31574</v>
      </c>
      <c r="G4652" t="s">
        <v>31581</v>
      </c>
      <c r="H4652" t="s">
        <v>31590</v>
      </c>
      <c r="I4652" t="s">
        <v>14544</v>
      </c>
      <c r="J4652" t="s">
        <v>34760</v>
      </c>
      <c r="K4652" t="s">
        <v>41196</v>
      </c>
      <c r="M4652" t="s">
        <v>41908</v>
      </c>
      <c r="N4652" t="s">
        <v>45095</v>
      </c>
      <c r="O4652" t="s">
        <v>45096</v>
      </c>
      <c r="P4652">
        <v>0</v>
      </c>
      <c r="Q4652">
        <v>0</v>
      </c>
      <c r="R4652" t="s">
        <v>45101</v>
      </c>
      <c r="S4652" t="s">
        <v>45231</v>
      </c>
      <c r="T4652" t="s">
        <v>46963</v>
      </c>
      <c r="U4652" t="s">
        <v>51395</v>
      </c>
      <c r="W4652" t="s">
        <v>41908</v>
      </c>
      <c r="X4652" t="s">
        <v>45102</v>
      </c>
    </row>
    <row r="4653" spans="1:24">
      <c r="A4653">
        <f>HYPERLINK("https://www.philgeps.gov.ph/GEPSNONPILOT/Tender/SplashBidNoticeAbstractUI.aspx?menuIndex=3&amp;refID=7042836&amp;Result=3","7042836")</f>
        <v>0</v>
      </c>
      <c r="B4653" t="s">
        <v>1531</v>
      </c>
      <c r="C4653" t="s">
        <v>7642</v>
      </c>
      <c r="D4653" t="s">
        <v>18044</v>
      </c>
      <c r="E4653" t="s">
        <v>22270</v>
      </c>
      <c r="F4653" t="s">
        <v>31574</v>
      </c>
      <c r="G4653" t="s">
        <v>31582</v>
      </c>
      <c r="H4653" t="s">
        <v>31591</v>
      </c>
      <c r="I4653" t="s">
        <v>8822</v>
      </c>
      <c r="J4653" t="s">
        <v>34071</v>
      </c>
      <c r="K4653" t="s">
        <v>41256</v>
      </c>
      <c r="M4653" t="s">
        <v>43122</v>
      </c>
      <c r="N4653" t="s">
        <v>45095</v>
      </c>
      <c r="O4653" t="s">
        <v>45096</v>
      </c>
      <c r="P4653">
        <v>0</v>
      </c>
      <c r="Q4653">
        <v>3</v>
      </c>
      <c r="R4653" t="s">
        <v>45101</v>
      </c>
      <c r="S4653" t="s">
        <v>45231</v>
      </c>
      <c r="T4653" t="s">
        <v>47013</v>
      </c>
      <c r="U4653" t="s">
        <v>51259</v>
      </c>
      <c r="V4653" t="s">
        <v>60323</v>
      </c>
      <c r="W4653" t="s">
        <v>43122</v>
      </c>
      <c r="X4653" t="s">
        <v>45102</v>
      </c>
    </row>
    <row r="4654" spans="1:24">
      <c r="A4654">
        <f>HYPERLINK("https://www.philgeps.gov.ph/GEPSNONPILOT/Tender/SplashBidNoticeAbstractUI.aspx?menuIndex=3&amp;refID=7042835&amp;Result=3","7042835")</f>
        <v>0</v>
      </c>
      <c r="B4654" t="s">
        <v>1163</v>
      </c>
      <c r="C4654" t="s">
        <v>7643</v>
      </c>
      <c r="D4654" t="s">
        <v>18022</v>
      </c>
      <c r="E4654" t="s">
        <v>22271</v>
      </c>
      <c r="F4654" t="s">
        <v>31574</v>
      </c>
      <c r="G4654" t="s">
        <v>31582</v>
      </c>
      <c r="H4654" t="s">
        <v>31593</v>
      </c>
      <c r="I4654" t="s">
        <v>31593</v>
      </c>
      <c r="J4654" t="s">
        <v>31730</v>
      </c>
      <c r="K4654" t="s">
        <v>41229</v>
      </c>
      <c r="M4654" t="s">
        <v>42722</v>
      </c>
      <c r="N4654" t="s">
        <v>45095</v>
      </c>
      <c r="O4654" t="s">
        <v>45096</v>
      </c>
      <c r="P4654">
        <v>0</v>
      </c>
      <c r="Q4654">
        <v>8</v>
      </c>
      <c r="R4654" t="s">
        <v>45101</v>
      </c>
      <c r="S4654" t="s">
        <v>45231</v>
      </c>
      <c r="T4654" t="s">
        <v>46949</v>
      </c>
      <c r="U4654" t="s">
        <v>51396</v>
      </c>
      <c r="V4654" t="s">
        <v>60341</v>
      </c>
      <c r="W4654" t="s">
        <v>42722</v>
      </c>
      <c r="X4654" t="s">
        <v>45102</v>
      </c>
    </row>
    <row r="4655" spans="1:24">
      <c r="A4655">
        <f>HYPERLINK("https://www.philgeps.gov.ph/GEPSNONPILOT/Tender/SplashBidNoticeAbstractUI.aspx?menuIndex=3&amp;refID=7042825&amp;Result=3","7042825")</f>
        <v>0</v>
      </c>
      <c r="B4655" t="s">
        <v>901</v>
      </c>
      <c r="C4655" t="s">
        <v>7644</v>
      </c>
      <c r="D4655" t="s">
        <v>18066</v>
      </c>
      <c r="E4655" t="s">
        <v>22272</v>
      </c>
      <c r="F4655" t="s">
        <v>31574</v>
      </c>
      <c r="G4655" t="s">
        <v>31582</v>
      </c>
      <c r="H4655" t="s">
        <v>31591</v>
      </c>
      <c r="I4655" t="s">
        <v>8822</v>
      </c>
      <c r="J4655" t="s">
        <v>34761</v>
      </c>
      <c r="K4655" t="s">
        <v>41203</v>
      </c>
      <c r="M4655" t="s">
        <v>42425</v>
      </c>
      <c r="N4655" t="s">
        <v>45095</v>
      </c>
      <c r="O4655" t="s">
        <v>45096</v>
      </c>
      <c r="P4655">
        <v>0</v>
      </c>
      <c r="Q4655">
        <v>0</v>
      </c>
      <c r="R4655" t="s">
        <v>45101</v>
      </c>
      <c r="S4655" t="s">
        <v>45231</v>
      </c>
      <c r="T4655" t="s">
        <v>46966</v>
      </c>
      <c r="U4655" t="s">
        <v>51397</v>
      </c>
      <c r="W4655" t="s">
        <v>42425</v>
      </c>
      <c r="X4655" t="s">
        <v>45102</v>
      </c>
    </row>
    <row r="4656" spans="1:24">
      <c r="A4656">
        <f>HYPERLINK("https://www.philgeps.gov.ph/GEPSNONPILOT/Tender/SplashBidNoticeAbstractUI.aspx?menuIndex=3&amp;refID=7042833&amp;Result=3","7042833")</f>
        <v>0</v>
      </c>
      <c r="B4656" t="s">
        <v>216</v>
      </c>
      <c r="C4656" t="s">
        <v>7645</v>
      </c>
      <c r="D4656" t="s">
        <v>18058</v>
      </c>
      <c r="E4656" t="s">
        <v>22273</v>
      </c>
      <c r="F4656" t="s">
        <v>31574</v>
      </c>
      <c r="G4656" t="s">
        <v>31582</v>
      </c>
      <c r="H4656" t="s">
        <v>31590</v>
      </c>
      <c r="I4656" t="s">
        <v>31602</v>
      </c>
      <c r="J4656" t="s">
        <v>34762</v>
      </c>
      <c r="K4656" t="s">
        <v>41193</v>
      </c>
      <c r="M4656" t="s">
        <v>41701</v>
      </c>
      <c r="N4656" t="s">
        <v>45095</v>
      </c>
      <c r="O4656" t="s">
        <v>45096</v>
      </c>
      <c r="P4656">
        <v>0</v>
      </c>
      <c r="Q4656">
        <v>0</v>
      </c>
      <c r="R4656" t="s">
        <v>45101</v>
      </c>
      <c r="S4656" t="s">
        <v>45231</v>
      </c>
      <c r="T4656" t="s">
        <v>46910</v>
      </c>
      <c r="U4656" t="s">
        <v>51398</v>
      </c>
      <c r="W4656" t="s">
        <v>41701</v>
      </c>
      <c r="X4656" t="s">
        <v>45102</v>
      </c>
    </row>
    <row r="4657" spans="1:24">
      <c r="A4657">
        <f>HYPERLINK("https://www.philgeps.gov.ph/GEPSNONPILOT/Tender/SplashBidNoticeAbstractUI.aspx?menuIndex=3&amp;refID=7042830&amp;Result=3","7042830")</f>
        <v>0</v>
      </c>
      <c r="B4657" t="s">
        <v>1554</v>
      </c>
      <c r="C4657" t="s">
        <v>7646</v>
      </c>
      <c r="D4657" t="s">
        <v>18056</v>
      </c>
      <c r="E4657" t="s">
        <v>22274</v>
      </c>
      <c r="F4657" t="s">
        <v>31574</v>
      </c>
      <c r="G4657" t="s">
        <v>31581</v>
      </c>
      <c r="H4657" t="s">
        <v>31590</v>
      </c>
      <c r="I4657" t="s">
        <v>31602</v>
      </c>
      <c r="J4657" t="s">
        <v>34763</v>
      </c>
      <c r="K4657" t="s">
        <v>41191</v>
      </c>
      <c r="M4657" t="s">
        <v>43153</v>
      </c>
      <c r="N4657" t="s">
        <v>45095</v>
      </c>
      <c r="O4657" t="s">
        <v>45096</v>
      </c>
      <c r="P4657">
        <v>0</v>
      </c>
      <c r="Q4657">
        <v>0</v>
      </c>
      <c r="R4657" t="s">
        <v>45101</v>
      </c>
      <c r="S4657" t="s">
        <v>45231</v>
      </c>
      <c r="T4657" t="s">
        <v>47159</v>
      </c>
      <c r="U4657" t="s">
        <v>51399</v>
      </c>
      <c r="W4657" t="s">
        <v>43153</v>
      </c>
      <c r="X4657" t="s">
        <v>45102</v>
      </c>
    </row>
    <row r="4658" spans="1:24">
      <c r="A4658">
        <f>HYPERLINK("https://www.philgeps.gov.ph/GEPSNONPILOT/Tender/SplashBidNoticeAbstractUI.aspx?menuIndex=3&amp;refID=7042818&amp;Result=3","7042818")</f>
        <v>0</v>
      </c>
      <c r="B4658" t="s">
        <v>1570</v>
      </c>
      <c r="C4658" t="s">
        <v>7647</v>
      </c>
      <c r="D4658" t="s">
        <v>18086</v>
      </c>
      <c r="E4658" t="s">
        <v>22275</v>
      </c>
      <c r="F4658" t="s">
        <v>31574</v>
      </c>
      <c r="G4658" t="s">
        <v>31582</v>
      </c>
      <c r="H4658" t="s">
        <v>31591</v>
      </c>
      <c r="I4658" t="s">
        <v>8822</v>
      </c>
      <c r="J4658" t="s">
        <v>31730</v>
      </c>
      <c r="K4658" t="s">
        <v>41200</v>
      </c>
      <c r="M4658" t="s">
        <v>43171</v>
      </c>
      <c r="N4658" t="s">
        <v>45095</v>
      </c>
      <c r="O4658" t="s">
        <v>45096</v>
      </c>
      <c r="P4658">
        <v>0</v>
      </c>
      <c r="Q4658">
        <v>0</v>
      </c>
      <c r="R4658" t="s">
        <v>45101</v>
      </c>
      <c r="S4658" t="s">
        <v>45231</v>
      </c>
      <c r="T4658" t="s">
        <v>47198</v>
      </c>
      <c r="U4658" t="s">
        <v>51400</v>
      </c>
      <c r="W4658" t="s">
        <v>43171</v>
      </c>
      <c r="X4658" t="s">
        <v>45102</v>
      </c>
    </row>
    <row r="4659" spans="1:24">
      <c r="A4659">
        <f>HYPERLINK("https://www.philgeps.gov.ph/GEPSNONPILOT/Tender/SplashBidNoticeAbstractUI.aspx?menuIndex=3&amp;refID=7042834&amp;Result=3","7042834")</f>
        <v>0</v>
      </c>
      <c r="B4659" t="s">
        <v>1574</v>
      </c>
      <c r="C4659" t="s">
        <v>7648</v>
      </c>
      <c r="D4659" t="s">
        <v>18031</v>
      </c>
      <c r="E4659" t="s">
        <v>22276</v>
      </c>
      <c r="F4659" t="s">
        <v>31574</v>
      </c>
      <c r="G4659" t="s">
        <v>31583</v>
      </c>
      <c r="H4659" t="s">
        <v>31590</v>
      </c>
      <c r="I4659" t="s">
        <v>7185</v>
      </c>
      <c r="J4659" t="s">
        <v>31741</v>
      </c>
      <c r="K4659" t="s">
        <v>41193</v>
      </c>
      <c r="M4659" t="s">
        <v>43177</v>
      </c>
      <c r="N4659" t="s">
        <v>45095</v>
      </c>
      <c r="O4659" t="s">
        <v>45096</v>
      </c>
      <c r="P4659">
        <v>0</v>
      </c>
      <c r="Q4659">
        <v>3</v>
      </c>
      <c r="R4659" t="s">
        <v>45101</v>
      </c>
      <c r="S4659" t="s">
        <v>45231</v>
      </c>
      <c r="T4659" t="s">
        <v>46957</v>
      </c>
      <c r="U4659" t="s">
        <v>51401</v>
      </c>
      <c r="V4659" t="s">
        <v>60342</v>
      </c>
      <c r="W4659" t="s">
        <v>43177</v>
      </c>
      <c r="X4659" t="s">
        <v>45102</v>
      </c>
    </row>
    <row r="4660" spans="1:24">
      <c r="A4660">
        <f>HYPERLINK("https://www.philgeps.gov.ph/GEPSNONPILOT/Tender/SplashBidNoticeAbstractUI.aspx?menuIndex=3&amp;refID=7042837&amp;Result=3","7042837")</f>
        <v>0</v>
      </c>
      <c r="B4660" t="s">
        <v>1575</v>
      </c>
      <c r="C4660" t="s">
        <v>7649</v>
      </c>
      <c r="D4660" t="s">
        <v>18065</v>
      </c>
      <c r="E4660" t="s">
        <v>22277</v>
      </c>
      <c r="F4660" t="s">
        <v>31574</v>
      </c>
      <c r="G4660" t="s">
        <v>31582</v>
      </c>
      <c r="H4660" t="s">
        <v>31590</v>
      </c>
      <c r="I4660" t="s">
        <v>31683</v>
      </c>
      <c r="J4660" t="s">
        <v>34764</v>
      </c>
      <c r="K4660" t="s">
        <v>41192</v>
      </c>
      <c r="M4660" t="s">
        <v>43178</v>
      </c>
      <c r="N4660" t="s">
        <v>45095</v>
      </c>
      <c r="O4660" t="s">
        <v>45096</v>
      </c>
      <c r="P4660">
        <v>0</v>
      </c>
      <c r="Q4660">
        <v>0</v>
      </c>
      <c r="R4660" t="s">
        <v>45101</v>
      </c>
      <c r="S4660" t="s">
        <v>45231</v>
      </c>
      <c r="T4660" t="s">
        <v>46904</v>
      </c>
      <c r="U4660" t="s">
        <v>51402</v>
      </c>
      <c r="V4660" t="s">
        <v>60343</v>
      </c>
      <c r="W4660" t="s">
        <v>43178</v>
      </c>
      <c r="X4660" t="s">
        <v>45102</v>
      </c>
    </row>
    <row r="4661" spans="1:24">
      <c r="A4661">
        <f>HYPERLINK("https://www.philgeps.gov.ph/GEPSNONPILOT/Tender/SplashBidNoticeAbstractUI.aspx?menuIndex=3&amp;refID=7042817&amp;Result=3","7042817")</f>
        <v>0</v>
      </c>
      <c r="B4661" t="s">
        <v>402</v>
      </c>
      <c r="C4661" t="s">
        <v>7650</v>
      </c>
      <c r="D4661" t="s">
        <v>18078</v>
      </c>
      <c r="E4661" t="s">
        <v>22278</v>
      </c>
      <c r="F4661" t="s">
        <v>31574</v>
      </c>
      <c r="G4661" t="s">
        <v>31581</v>
      </c>
      <c r="H4661" t="s">
        <v>31592</v>
      </c>
      <c r="I4661" t="s">
        <v>3539</v>
      </c>
      <c r="J4661" t="s">
        <v>31884</v>
      </c>
      <c r="K4661" t="s">
        <v>41197</v>
      </c>
      <c r="M4661" t="s">
        <v>41893</v>
      </c>
      <c r="N4661" t="s">
        <v>45095</v>
      </c>
      <c r="O4661" t="s">
        <v>45096</v>
      </c>
      <c r="P4661">
        <v>0</v>
      </c>
      <c r="Q4661">
        <v>0</v>
      </c>
      <c r="R4661" t="s">
        <v>45101</v>
      </c>
      <c r="S4661" t="s">
        <v>45231</v>
      </c>
      <c r="T4661" t="s">
        <v>47183</v>
      </c>
      <c r="U4661" t="s">
        <v>51403</v>
      </c>
      <c r="W4661" t="s">
        <v>41893</v>
      </c>
      <c r="X4661" t="s">
        <v>45102</v>
      </c>
    </row>
    <row r="4662" spans="1:24">
      <c r="A4662">
        <f>HYPERLINK("https://www.philgeps.gov.ph/GEPSNONPILOT/Tender/SplashBidNoticeAbstractUI.aspx?menuIndex=3&amp;refID=7042823&amp;Result=3","7042823")</f>
        <v>0</v>
      </c>
      <c r="B4662" t="s">
        <v>416</v>
      </c>
      <c r="C4662" t="s">
        <v>7651</v>
      </c>
      <c r="D4662" t="s">
        <v>18046</v>
      </c>
      <c r="E4662" t="s">
        <v>22279</v>
      </c>
      <c r="F4662" t="s">
        <v>31574</v>
      </c>
      <c r="G4662" t="s">
        <v>31581</v>
      </c>
      <c r="H4662" t="s">
        <v>31590</v>
      </c>
      <c r="I4662" t="s">
        <v>31607</v>
      </c>
      <c r="J4662" t="s">
        <v>34072</v>
      </c>
      <c r="K4662" t="s">
        <v>41196</v>
      </c>
      <c r="M4662" t="s">
        <v>41908</v>
      </c>
      <c r="N4662" t="s">
        <v>45095</v>
      </c>
      <c r="O4662" t="s">
        <v>45096</v>
      </c>
      <c r="P4662">
        <v>0</v>
      </c>
      <c r="Q4662">
        <v>1</v>
      </c>
      <c r="R4662" t="s">
        <v>45101</v>
      </c>
      <c r="S4662" t="s">
        <v>45231</v>
      </c>
      <c r="T4662" t="s">
        <v>46963</v>
      </c>
      <c r="U4662" t="s">
        <v>51404</v>
      </c>
      <c r="W4662" t="s">
        <v>41908</v>
      </c>
      <c r="X4662" t="s">
        <v>45102</v>
      </c>
    </row>
    <row r="4663" spans="1:24">
      <c r="A4663">
        <f>HYPERLINK("https://www.philgeps.gov.ph/GEPSNONPILOT/Tender/SplashBidNoticeAbstractUI.aspx?menuIndex=3&amp;refID=7042844&amp;Result=3","7042844")</f>
        <v>0</v>
      </c>
      <c r="B4663" t="s">
        <v>1576</v>
      </c>
      <c r="C4663" t="s">
        <v>7652</v>
      </c>
      <c r="D4663" t="s">
        <v>18022</v>
      </c>
      <c r="E4663" t="s">
        <v>22280</v>
      </c>
      <c r="F4663" t="s">
        <v>31574</v>
      </c>
      <c r="G4663" t="s">
        <v>31581</v>
      </c>
      <c r="H4663" t="s">
        <v>31590</v>
      </c>
      <c r="I4663" t="s">
        <v>8569</v>
      </c>
      <c r="J4663" t="s">
        <v>34765</v>
      </c>
      <c r="K4663" t="s">
        <v>41186</v>
      </c>
      <c r="M4663" t="s">
        <v>43179</v>
      </c>
      <c r="N4663" t="s">
        <v>45095</v>
      </c>
      <c r="O4663" t="s">
        <v>45096</v>
      </c>
      <c r="P4663">
        <v>0</v>
      </c>
      <c r="Q4663">
        <v>2</v>
      </c>
      <c r="R4663" t="s">
        <v>45101</v>
      </c>
      <c r="S4663" t="s">
        <v>45231</v>
      </c>
      <c r="T4663" t="s">
        <v>47050</v>
      </c>
      <c r="U4663" t="s">
        <v>51405</v>
      </c>
      <c r="V4663" t="s">
        <v>60344</v>
      </c>
      <c r="W4663" t="s">
        <v>43179</v>
      </c>
      <c r="X4663" t="s">
        <v>45102</v>
      </c>
    </row>
    <row r="4664" spans="1:24">
      <c r="A4664">
        <f>HYPERLINK("https://www.philgeps.gov.ph/GEPSNONPILOT/Tender/SplashBidNoticeAbstractUI.aspx?menuIndex=3&amp;refID=7042840&amp;Result=3","7042840")</f>
        <v>0</v>
      </c>
      <c r="B4664" t="s">
        <v>319</v>
      </c>
      <c r="C4664" t="s">
        <v>7653</v>
      </c>
      <c r="D4664" t="s">
        <v>18065</v>
      </c>
      <c r="E4664" t="s">
        <v>22281</v>
      </c>
      <c r="F4664" t="s">
        <v>31574</v>
      </c>
      <c r="G4664" t="s">
        <v>31582</v>
      </c>
      <c r="H4664" t="s">
        <v>31591</v>
      </c>
      <c r="I4664" t="s">
        <v>8822</v>
      </c>
      <c r="J4664" t="s">
        <v>31771</v>
      </c>
      <c r="K4664" t="s">
        <v>41191</v>
      </c>
      <c r="M4664" t="s">
        <v>43172</v>
      </c>
      <c r="N4664" t="s">
        <v>45095</v>
      </c>
      <c r="O4664" t="s">
        <v>45096</v>
      </c>
      <c r="P4664">
        <v>0</v>
      </c>
      <c r="Q4664">
        <v>0</v>
      </c>
      <c r="R4664" t="s">
        <v>45101</v>
      </c>
      <c r="S4664" t="s">
        <v>45231</v>
      </c>
      <c r="T4664" t="s">
        <v>46951</v>
      </c>
      <c r="U4664" t="s">
        <v>51389</v>
      </c>
      <c r="W4664" t="s">
        <v>43172</v>
      </c>
      <c r="X4664" t="s">
        <v>45102</v>
      </c>
    </row>
    <row r="4665" spans="1:24">
      <c r="A4665">
        <f>HYPERLINK("https://www.philgeps.gov.ph/GEPSNONPILOT/Tender/SplashBidNoticeAbstractUI.aspx?menuIndex=3&amp;refID=7042864&amp;Result=3","7042864")</f>
        <v>0</v>
      </c>
      <c r="B4665" t="s">
        <v>1506</v>
      </c>
      <c r="C4665" t="s">
        <v>7654</v>
      </c>
      <c r="D4665" t="s">
        <v>18027</v>
      </c>
      <c r="E4665" t="s">
        <v>22282</v>
      </c>
      <c r="F4665" t="s">
        <v>31574</v>
      </c>
      <c r="G4665" t="s">
        <v>31583</v>
      </c>
      <c r="H4665" t="s">
        <v>31590</v>
      </c>
      <c r="I4665" t="s">
        <v>4046</v>
      </c>
      <c r="J4665" t="s">
        <v>31930</v>
      </c>
      <c r="K4665" t="s">
        <v>41197</v>
      </c>
      <c r="M4665" t="s">
        <v>43093</v>
      </c>
      <c r="N4665" t="s">
        <v>45095</v>
      </c>
      <c r="O4665" t="s">
        <v>45096</v>
      </c>
      <c r="P4665">
        <v>0</v>
      </c>
      <c r="Q4665">
        <v>0</v>
      </c>
      <c r="R4665" t="s">
        <v>45101</v>
      </c>
      <c r="S4665" t="s">
        <v>45231</v>
      </c>
      <c r="T4665" t="s">
        <v>46957</v>
      </c>
      <c r="U4665" t="s">
        <v>51406</v>
      </c>
      <c r="W4665" t="s">
        <v>43093</v>
      </c>
      <c r="X4665" t="s">
        <v>45102</v>
      </c>
    </row>
    <row r="4666" spans="1:24">
      <c r="A4666">
        <f>HYPERLINK("https://www.philgeps.gov.ph/GEPSNONPILOT/Tender/SplashBidNoticeAbstractUI.aspx?menuIndex=3&amp;refID=7042843&amp;Result=3","7042843")</f>
        <v>0</v>
      </c>
      <c r="B4666" t="s">
        <v>1506</v>
      </c>
      <c r="C4666" t="s">
        <v>7655</v>
      </c>
      <c r="D4666" t="s">
        <v>18027</v>
      </c>
      <c r="E4666" t="s">
        <v>22283</v>
      </c>
      <c r="F4666" t="s">
        <v>31574</v>
      </c>
      <c r="G4666" t="s">
        <v>31583</v>
      </c>
      <c r="H4666" t="s">
        <v>31590</v>
      </c>
      <c r="I4666" t="s">
        <v>31607</v>
      </c>
      <c r="J4666" t="s">
        <v>31804</v>
      </c>
      <c r="K4666" t="s">
        <v>41197</v>
      </c>
      <c r="M4666" t="s">
        <v>43093</v>
      </c>
      <c r="N4666" t="s">
        <v>45095</v>
      </c>
      <c r="O4666" t="s">
        <v>45096</v>
      </c>
      <c r="P4666">
        <v>0</v>
      </c>
      <c r="Q4666">
        <v>4</v>
      </c>
      <c r="R4666" t="s">
        <v>45101</v>
      </c>
      <c r="S4666" t="s">
        <v>45231</v>
      </c>
      <c r="T4666" t="s">
        <v>46957</v>
      </c>
      <c r="U4666" t="s">
        <v>51407</v>
      </c>
      <c r="W4666" t="s">
        <v>43093</v>
      </c>
      <c r="X4666" t="s">
        <v>45102</v>
      </c>
    </row>
    <row r="4667" spans="1:24">
      <c r="A4667">
        <f>HYPERLINK("https://www.philgeps.gov.ph/GEPSNONPILOT/Tender/SplashBidNoticeAbstractUI.aspx?menuIndex=3&amp;refID=7042841&amp;Result=3","7042841")</f>
        <v>0</v>
      </c>
      <c r="B4667" t="s">
        <v>1548</v>
      </c>
      <c r="C4667" t="s">
        <v>7535</v>
      </c>
      <c r="D4667" t="s">
        <v>18052</v>
      </c>
      <c r="E4667" t="s">
        <v>22284</v>
      </c>
      <c r="F4667" t="s">
        <v>31575</v>
      </c>
      <c r="G4667" t="s">
        <v>31581</v>
      </c>
      <c r="H4667" t="s">
        <v>31592</v>
      </c>
      <c r="I4667" t="s">
        <v>31681</v>
      </c>
      <c r="J4667" t="s">
        <v>31780</v>
      </c>
      <c r="K4667" t="s">
        <v>41225</v>
      </c>
      <c r="M4667" t="s">
        <v>43146</v>
      </c>
      <c r="N4667" t="s">
        <v>45095</v>
      </c>
      <c r="O4667" t="s">
        <v>45096</v>
      </c>
      <c r="P4667">
        <v>0</v>
      </c>
      <c r="Q4667">
        <v>1</v>
      </c>
      <c r="R4667" t="s">
        <v>45101</v>
      </c>
      <c r="S4667" t="s">
        <v>45231</v>
      </c>
      <c r="T4667" t="s">
        <v>46911</v>
      </c>
      <c r="U4667" t="s">
        <v>51408</v>
      </c>
      <c r="W4667" t="s">
        <v>43146</v>
      </c>
      <c r="X4667" t="s">
        <v>45102</v>
      </c>
    </row>
    <row r="4668" spans="1:24">
      <c r="A4668">
        <f>HYPERLINK("https://www.philgeps.gov.ph/GEPSNONPILOT/Tender/SplashBidNoticeAbstractUI.aspx?menuIndex=3&amp;refID=7042854&amp;Result=3","7042854")</f>
        <v>0</v>
      </c>
      <c r="B4668" t="s">
        <v>77</v>
      </c>
      <c r="C4668" t="s">
        <v>7656</v>
      </c>
      <c r="E4668" t="s">
        <v>22285</v>
      </c>
      <c r="F4668" t="s">
        <v>31574</v>
      </c>
      <c r="G4668" t="s">
        <v>31582</v>
      </c>
      <c r="H4668" t="s">
        <v>31591</v>
      </c>
      <c r="I4668" t="s">
        <v>31601</v>
      </c>
      <c r="J4668" t="s">
        <v>34766</v>
      </c>
      <c r="K4668" t="s">
        <v>41184</v>
      </c>
      <c r="M4668" t="s">
        <v>41561</v>
      </c>
      <c r="N4668" t="s">
        <v>45095</v>
      </c>
      <c r="O4668" t="s">
        <v>45096</v>
      </c>
      <c r="P4668">
        <v>0</v>
      </c>
      <c r="Q4668">
        <v>0</v>
      </c>
      <c r="R4668" t="s">
        <v>45101</v>
      </c>
      <c r="S4668" t="s">
        <v>45231</v>
      </c>
      <c r="T4668" t="s">
        <v>46911</v>
      </c>
      <c r="U4668" t="s">
        <v>49119</v>
      </c>
      <c r="W4668" t="s">
        <v>41561</v>
      </c>
      <c r="X4668" t="s">
        <v>45102</v>
      </c>
    </row>
    <row r="4669" spans="1:24">
      <c r="A4669">
        <f>HYPERLINK("https://www.philgeps.gov.ph/GEPSNONPILOT/Tender/SplashBidNoticeAbstractUI.aspx?menuIndex=3&amp;refID=7042853&amp;Result=3","7042853")</f>
        <v>0</v>
      </c>
      <c r="B4669" t="s">
        <v>1566</v>
      </c>
      <c r="C4669" t="s">
        <v>7657</v>
      </c>
      <c r="D4669" t="s">
        <v>18045</v>
      </c>
      <c r="E4669" t="s">
        <v>22286</v>
      </c>
      <c r="F4669" t="s">
        <v>31574</v>
      </c>
      <c r="G4669" t="s">
        <v>31582</v>
      </c>
      <c r="H4669" t="s">
        <v>31591</v>
      </c>
      <c r="I4669" t="s">
        <v>8822</v>
      </c>
      <c r="J4669" t="s">
        <v>31935</v>
      </c>
      <c r="K4669" t="s">
        <v>41184</v>
      </c>
      <c r="M4669" t="s">
        <v>43165</v>
      </c>
      <c r="N4669" t="s">
        <v>45095</v>
      </c>
      <c r="O4669" t="s">
        <v>45096</v>
      </c>
      <c r="P4669">
        <v>0</v>
      </c>
      <c r="Q4669">
        <v>2</v>
      </c>
      <c r="R4669" t="s">
        <v>45101</v>
      </c>
      <c r="S4669" t="s">
        <v>45231</v>
      </c>
      <c r="T4669" t="s">
        <v>47084</v>
      </c>
      <c r="U4669" t="s">
        <v>51409</v>
      </c>
      <c r="V4669" t="s">
        <v>59888</v>
      </c>
      <c r="W4669" t="s">
        <v>43165</v>
      </c>
      <c r="X4669" t="s">
        <v>45102</v>
      </c>
    </row>
    <row r="4670" spans="1:24">
      <c r="A4670">
        <f>HYPERLINK("https://www.philgeps.gov.ph/GEPSNONPILOT/Tender/SplashBidNoticeAbstractUI.aspx?menuIndex=3&amp;refID=7042861&amp;Result=3","7042861")</f>
        <v>0</v>
      </c>
      <c r="B4670" t="s">
        <v>1577</v>
      </c>
      <c r="C4670" t="s">
        <v>7658</v>
      </c>
      <c r="D4670" t="s">
        <v>18075</v>
      </c>
      <c r="E4670" t="s">
        <v>18472</v>
      </c>
      <c r="F4670" t="s">
        <v>31574</v>
      </c>
      <c r="G4670" t="s">
        <v>31581</v>
      </c>
      <c r="H4670" t="s">
        <v>31590</v>
      </c>
      <c r="I4670" t="s">
        <v>4327</v>
      </c>
      <c r="J4670" t="s">
        <v>31780</v>
      </c>
      <c r="K4670" t="s">
        <v>41190</v>
      </c>
      <c r="M4670" t="s">
        <v>43180</v>
      </c>
      <c r="N4670" t="s">
        <v>45095</v>
      </c>
      <c r="O4670" t="s">
        <v>45096</v>
      </c>
      <c r="P4670">
        <v>0</v>
      </c>
      <c r="Q4670">
        <v>2</v>
      </c>
      <c r="R4670" t="s">
        <v>45101</v>
      </c>
      <c r="S4670" t="s">
        <v>45231</v>
      </c>
      <c r="T4670" t="s">
        <v>46963</v>
      </c>
      <c r="U4670" t="s">
        <v>51410</v>
      </c>
      <c r="V4670" t="s">
        <v>60345</v>
      </c>
      <c r="W4670" t="s">
        <v>43180</v>
      </c>
      <c r="X4670" t="s">
        <v>45102</v>
      </c>
    </row>
    <row r="4671" spans="1:24">
      <c r="A4671">
        <f>HYPERLINK("https://www.philgeps.gov.ph/GEPSNONPILOT/Tender/SplashBidNoticeAbstractUI.aspx?menuIndex=3&amp;refID=7042859&amp;Result=3","7042859")</f>
        <v>0</v>
      </c>
      <c r="B4671" t="s">
        <v>1338</v>
      </c>
      <c r="C4671" t="s">
        <v>7659</v>
      </c>
      <c r="D4671" t="s">
        <v>18043</v>
      </c>
      <c r="E4671" t="s">
        <v>22287</v>
      </c>
      <c r="F4671" t="s">
        <v>31574</v>
      </c>
      <c r="G4671" t="s">
        <v>31584</v>
      </c>
      <c r="H4671" t="s">
        <v>31590</v>
      </c>
      <c r="I4671" t="s">
        <v>31700</v>
      </c>
      <c r="J4671" t="s">
        <v>31962</v>
      </c>
      <c r="K4671" t="s">
        <v>41186</v>
      </c>
      <c r="M4671" t="s">
        <v>42910</v>
      </c>
      <c r="N4671" t="s">
        <v>45095</v>
      </c>
      <c r="O4671" t="s">
        <v>45096</v>
      </c>
      <c r="P4671">
        <v>0</v>
      </c>
      <c r="Q4671">
        <v>2</v>
      </c>
      <c r="R4671" t="s">
        <v>45101</v>
      </c>
      <c r="S4671" t="s">
        <v>45231</v>
      </c>
      <c r="T4671" t="s">
        <v>46969</v>
      </c>
      <c r="U4671" t="s">
        <v>51411</v>
      </c>
      <c r="V4671" t="s">
        <v>60224</v>
      </c>
      <c r="W4671" t="s">
        <v>42910</v>
      </c>
      <c r="X4671" t="s">
        <v>45102</v>
      </c>
    </row>
    <row r="4672" spans="1:24">
      <c r="A4672">
        <f>HYPERLINK("https://www.philgeps.gov.ph/GEPSNONPILOT/Tender/SplashBidNoticeAbstractUI.aspx?menuIndex=3&amp;refID=7042851&amp;Result=3","7042851")</f>
        <v>0</v>
      </c>
      <c r="B4672" t="s">
        <v>1564</v>
      </c>
      <c r="C4672" t="s">
        <v>7660</v>
      </c>
      <c r="D4672" t="s">
        <v>18022</v>
      </c>
      <c r="E4672" t="s">
        <v>22288</v>
      </c>
      <c r="F4672" t="s">
        <v>31574</v>
      </c>
      <c r="G4672" t="s">
        <v>31581</v>
      </c>
      <c r="H4672" t="s">
        <v>31590</v>
      </c>
      <c r="I4672" t="s">
        <v>31616</v>
      </c>
      <c r="J4672" t="s">
        <v>32603</v>
      </c>
      <c r="K4672" t="s">
        <v>41185</v>
      </c>
      <c r="M4672" t="s">
        <v>43163</v>
      </c>
      <c r="N4672" t="s">
        <v>45095</v>
      </c>
      <c r="O4672" t="s">
        <v>45096</v>
      </c>
      <c r="P4672">
        <v>0</v>
      </c>
      <c r="Q4672">
        <v>6</v>
      </c>
      <c r="R4672" t="s">
        <v>45101</v>
      </c>
      <c r="S4672" t="s">
        <v>45231</v>
      </c>
      <c r="T4672" t="s">
        <v>47064</v>
      </c>
      <c r="U4672" t="s">
        <v>51412</v>
      </c>
      <c r="V4672" t="s">
        <v>60346</v>
      </c>
      <c r="W4672" t="s">
        <v>43163</v>
      </c>
      <c r="X4672" t="s">
        <v>45102</v>
      </c>
    </row>
    <row r="4673" spans="1:24">
      <c r="A4673">
        <f>HYPERLINK("https://www.philgeps.gov.ph/GEPSNONPILOT/Tender/SplashBidNoticeAbstractUI.aspx?menuIndex=3&amp;refID=7042868&amp;Result=3","7042868")</f>
        <v>0</v>
      </c>
      <c r="B4673" t="s">
        <v>1554</v>
      </c>
      <c r="C4673" t="s">
        <v>7661</v>
      </c>
      <c r="D4673" t="s">
        <v>18056</v>
      </c>
      <c r="E4673" t="s">
        <v>22289</v>
      </c>
      <c r="F4673" t="s">
        <v>31574</v>
      </c>
      <c r="G4673" t="s">
        <v>31581</v>
      </c>
      <c r="H4673" t="s">
        <v>31590</v>
      </c>
      <c r="I4673" t="s">
        <v>31612</v>
      </c>
      <c r="J4673" t="s">
        <v>32232</v>
      </c>
      <c r="K4673" t="s">
        <v>41191</v>
      </c>
      <c r="M4673" t="s">
        <v>43153</v>
      </c>
      <c r="N4673" t="s">
        <v>45095</v>
      </c>
      <c r="O4673" t="s">
        <v>45096</v>
      </c>
      <c r="P4673">
        <v>0</v>
      </c>
      <c r="Q4673">
        <v>1</v>
      </c>
      <c r="R4673" t="s">
        <v>45101</v>
      </c>
      <c r="S4673" t="s">
        <v>45231</v>
      </c>
      <c r="T4673" t="s">
        <v>47159</v>
      </c>
      <c r="U4673" t="s">
        <v>51413</v>
      </c>
      <c r="W4673" t="s">
        <v>43153</v>
      </c>
      <c r="X4673" t="s">
        <v>45102</v>
      </c>
    </row>
    <row r="4674" spans="1:24">
      <c r="A4674">
        <f>HYPERLINK("https://www.philgeps.gov.ph/GEPSNONPILOT/Tender/SplashBidNoticeAbstractUI.aspx?menuIndex=3&amp;refID=7042846&amp;Result=3","7042846")</f>
        <v>0</v>
      </c>
      <c r="B4674" t="s">
        <v>1562</v>
      </c>
      <c r="C4674" t="s">
        <v>7662</v>
      </c>
      <c r="D4674" t="s">
        <v>18023</v>
      </c>
      <c r="E4674" t="s">
        <v>22290</v>
      </c>
      <c r="F4674" t="s">
        <v>31574</v>
      </c>
      <c r="G4674" t="s">
        <v>31581</v>
      </c>
      <c r="H4674" t="s">
        <v>31590</v>
      </c>
      <c r="I4674" t="s">
        <v>5717</v>
      </c>
      <c r="J4674" t="s">
        <v>34767</v>
      </c>
      <c r="K4674" t="s">
        <v>41186</v>
      </c>
      <c r="M4674" t="s">
        <v>43161</v>
      </c>
      <c r="N4674" t="s">
        <v>45095</v>
      </c>
      <c r="O4674" t="s">
        <v>45096</v>
      </c>
      <c r="P4674">
        <v>0</v>
      </c>
      <c r="Q4674">
        <v>9</v>
      </c>
      <c r="R4674" t="s">
        <v>45101</v>
      </c>
      <c r="S4674" t="s">
        <v>45231</v>
      </c>
      <c r="T4674" t="s">
        <v>46955</v>
      </c>
      <c r="U4674" t="s">
        <v>51353</v>
      </c>
      <c r="W4674" t="s">
        <v>43161</v>
      </c>
      <c r="X4674" t="s">
        <v>45102</v>
      </c>
    </row>
    <row r="4675" spans="1:24">
      <c r="A4675">
        <f>HYPERLINK("https://www.philgeps.gov.ph/GEPSNONPILOT/Tender/SplashBidNoticeAbstractUI.aspx?menuIndex=3&amp;refID=7042852&amp;Result=3","7042852")</f>
        <v>0</v>
      </c>
      <c r="B4675" t="s">
        <v>1578</v>
      </c>
      <c r="C4675" t="s">
        <v>7663</v>
      </c>
      <c r="D4675" t="s">
        <v>18046</v>
      </c>
      <c r="E4675" t="s">
        <v>22291</v>
      </c>
      <c r="F4675" t="s">
        <v>31574</v>
      </c>
      <c r="G4675" t="s">
        <v>31582</v>
      </c>
      <c r="H4675" t="s">
        <v>31591</v>
      </c>
      <c r="I4675" t="s">
        <v>8822</v>
      </c>
      <c r="J4675" t="s">
        <v>34768</v>
      </c>
      <c r="K4675" t="s">
        <v>41186</v>
      </c>
      <c r="M4675" t="s">
        <v>43181</v>
      </c>
      <c r="N4675" t="s">
        <v>45095</v>
      </c>
      <c r="O4675" t="s">
        <v>45096</v>
      </c>
      <c r="P4675">
        <v>0</v>
      </c>
      <c r="Q4675">
        <v>0</v>
      </c>
      <c r="R4675" t="s">
        <v>45101</v>
      </c>
      <c r="S4675" t="s">
        <v>45231</v>
      </c>
      <c r="T4675" t="s">
        <v>46977</v>
      </c>
      <c r="U4675" t="s">
        <v>51414</v>
      </c>
      <c r="W4675" t="s">
        <v>43181</v>
      </c>
      <c r="X4675" t="s">
        <v>45102</v>
      </c>
    </row>
    <row r="4676" spans="1:24">
      <c r="A4676">
        <f>HYPERLINK("https://www.philgeps.gov.ph/GEPSNONPILOT/Tender/SplashBidNoticeAbstractUI.aspx?menuIndex=3&amp;refID=7042870&amp;Result=3","7042870")</f>
        <v>0</v>
      </c>
      <c r="B4676" t="s">
        <v>1519</v>
      </c>
      <c r="C4676" t="s">
        <v>7664</v>
      </c>
      <c r="D4676" t="s">
        <v>18071</v>
      </c>
      <c r="E4676" t="s">
        <v>7664</v>
      </c>
      <c r="F4676" t="s">
        <v>31574</v>
      </c>
      <c r="G4676" t="s">
        <v>31581</v>
      </c>
      <c r="H4676" t="s">
        <v>31590</v>
      </c>
      <c r="I4676" t="s">
        <v>3901</v>
      </c>
      <c r="J4676" t="s">
        <v>32001</v>
      </c>
      <c r="K4676" t="s">
        <v>41186</v>
      </c>
      <c r="M4676" t="s">
        <v>43110</v>
      </c>
      <c r="N4676" t="s">
        <v>45095</v>
      </c>
      <c r="O4676" t="s">
        <v>45096</v>
      </c>
      <c r="P4676">
        <v>0</v>
      </c>
      <c r="Q4676">
        <v>1</v>
      </c>
      <c r="R4676" t="s">
        <v>45101</v>
      </c>
      <c r="S4676" t="s">
        <v>45231</v>
      </c>
      <c r="T4676" t="s">
        <v>47125</v>
      </c>
      <c r="U4676" t="s">
        <v>51415</v>
      </c>
      <c r="V4676" t="s">
        <v>60347</v>
      </c>
      <c r="W4676" t="s">
        <v>43110</v>
      </c>
      <c r="X4676" t="s">
        <v>45102</v>
      </c>
    </row>
    <row r="4677" spans="1:24">
      <c r="A4677">
        <f>HYPERLINK("https://www.philgeps.gov.ph/GEPSNONPILOT/Tender/SplashBidNoticeAbstractUI.aspx?menuIndex=3&amp;refID=7042849&amp;Result=3","7042849")</f>
        <v>0</v>
      </c>
      <c r="B4677" t="s">
        <v>319</v>
      </c>
      <c r="C4677" t="s">
        <v>7665</v>
      </c>
      <c r="D4677" t="s">
        <v>18065</v>
      </c>
      <c r="E4677" t="s">
        <v>22292</v>
      </c>
      <c r="F4677" t="s">
        <v>31574</v>
      </c>
      <c r="G4677" t="s">
        <v>31581</v>
      </c>
      <c r="H4677" t="s">
        <v>31590</v>
      </c>
      <c r="I4677" t="s">
        <v>3539</v>
      </c>
      <c r="J4677" t="s">
        <v>32389</v>
      </c>
      <c r="K4677" t="s">
        <v>41193</v>
      </c>
      <c r="M4677" t="s">
        <v>41807</v>
      </c>
      <c r="N4677" t="s">
        <v>45095</v>
      </c>
      <c r="O4677" t="s">
        <v>45096</v>
      </c>
      <c r="P4677">
        <v>0</v>
      </c>
      <c r="Q4677">
        <v>0</v>
      </c>
      <c r="R4677" t="s">
        <v>45101</v>
      </c>
      <c r="S4677" t="s">
        <v>45231</v>
      </c>
      <c r="T4677" t="s">
        <v>47050</v>
      </c>
      <c r="U4677" t="s">
        <v>51180</v>
      </c>
      <c r="W4677" t="s">
        <v>61662</v>
      </c>
      <c r="X4677" t="s">
        <v>45102</v>
      </c>
    </row>
    <row r="4678" spans="1:24">
      <c r="A4678">
        <f>HYPERLINK("https://www.philgeps.gov.ph/GEPSNONPILOT/Tender/SplashBidNoticeAbstractUI.aspx?menuIndex=3&amp;refID=7042847&amp;Result=3","7042847")</f>
        <v>0</v>
      </c>
      <c r="B4678" t="s">
        <v>1579</v>
      </c>
      <c r="C4678" t="s">
        <v>7666</v>
      </c>
      <c r="D4678" t="s">
        <v>18044</v>
      </c>
      <c r="E4678" t="s">
        <v>22293</v>
      </c>
      <c r="F4678" t="s">
        <v>31574</v>
      </c>
      <c r="G4678" t="s">
        <v>31584</v>
      </c>
      <c r="H4678" t="s">
        <v>31590</v>
      </c>
      <c r="I4678" t="s">
        <v>5717</v>
      </c>
      <c r="J4678" t="s">
        <v>34769</v>
      </c>
      <c r="K4678" t="s">
        <v>41211</v>
      </c>
      <c r="M4678" t="s">
        <v>43182</v>
      </c>
      <c r="N4678" t="s">
        <v>45095</v>
      </c>
      <c r="O4678" t="s">
        <v>45096</v>
      </c>
      <c r="P4678">
        <v>0</v>
      </c>
      <c r="Q4678">
        <v>7</v>
      </c>
      <c r="R4678" t="s">
        <v>45101</v>
      </c>
      <c r="S4678" t="s">
        <v>45231</v>
      </c>
      <c r="T4678" t="s">
        <v>47050</v>
      </c>
      <c r="U4678" t="s">
        <v>47721</v>
      </c>
      <c r="W4678" t="s">
        <v>43182</v>
      </c>
      <c r="X4678" t="s">
        <v>45102</v>
      </c>
    </row>
    <row r="4679" spans="1:24">
      <c r="A4679">
        <f>HYPERLINK("https://www.philgeps.gov.ph/GEPSNONPILOT/Tender/SplashBidNoticeAbstractUI.aspx?menuIndex=3&amp;refID=7042845&amp;Result=3","7042845")</f>
        <v>0</v>
      </c>
      <c r="B4679" t="s">
        <v>1570</v>
      </c>
      <c r="C4679" t="s">
        <v>7667</v>
      </c>
      <c r="D4679" t="s">
        <v>18086</v>
      </c>
      <c r="E4679" t="s">
        <v>22294</v>
      </c>
      <c r="F4679" t="s">
        <v>31574</v>
      </c>
      <c r="G4679" t="s">
        <v>31582</v>
      </c>
      <c r="H4679" t="s">
        <v>31591</v>
      </c>
      <c r="I4679" t="s">
        <v>8822</v>
      </c>
      <c r="J4679" t="s">
        <v>34770</v>
      </c>
      <c r="K4679" t="s">
        <v>41243</v>
      </c>
      <c r="M4679" t="s">
        <v>43171</v>
      </c>
      <c r="N4679" t="s">
        <v>45095</v>
      </c>
      <c r="O4679" t="s">
        <v>45096</v>
      </c>
      <c r="P4679">
        <v>0</v>
      </c>
      <c r="Q4679">
        <v>1</v>
      </c>
      <c r="R4679" t="s">
        <v>45101</v>
      </c>
      <c r="S4679" t="s">
        <v>45231</v>
      </c>
      <c r="T4679" t="s">
        <v>47198</v>
      </c>
      <c r="U4679" t="s">
        <v>51416</v>
      </c>
      <c r="W4679" t="s">
        <v>43171</v>
      </c>
      <c r="X4679" t="s">
        <v>45102</v>
      </c>
    </row>
    <row r="4680" spans="1:24">
      <c r="A4680">
        <f>HYPERLINK("https://www.philgeps.gov.ph/GEPSNONPILOT/Tender/SplashBidNoticeAbstractUI.aspx?menuIndex=3&amp;refID=7042869&amp;Result=3","7042869")</f>
        <v>0</v>
      </c>
      <c r="B4680" t="s">
        <v>1548</v>
      </c>
      <c r="C4680" t="s">
        <v>7535</v>
      </c>
      <c r="D4680" t="s">
        <v>18052</v>
      </c>
      <c r="E4680" t="s">
        <v>22295</v>
      </c>
      <c r="F4680" t="s">
        <v>31575</v>
      </c>
      <c r="G4680" t="s">
        <v>31581</v>
      </c>
      <c r="H4680" t="s">
        <v>31592</v>
      </c>
      <c r="I4680" t="s">
        <v>31681</v>
      </c>
      <c r="J4680" t="s">
        <v>32017</v>
      </c>
      <c r="K4680" t="s">
        <v>41225</v>
      </c>
      <c r="M4680" t="s">
        <v>43146</v>
      </c>
      <c r="N4680" t="s">
        <v>45095</v>
      </c>
      <c r="O4680" t="s">
        <v>45096</v>
      </c>
      <c r="P4680">
        <v>0</v>
      </c>
      <c r="Q4680">
        <v>1</v>
      </c>
      <c r="R4680" t="s">
        <v>45101</v>
      </c>
      <c r="S4680" t="s">
        <v>45231</v>
      </c>
      <c r="T4680" t="s">
        <v>46911</v>
      </c>
      <c r="U4680" t="s">
        <v>51417</v>
      </c>
      <c r="W4680" t="s">
        <v>43146</v>
      </c>
      <c r="X4680" t="s">
        <v>45102</v>
      </c>
    </row>
    <row r="4681" spans="1:24">
      <c r="A4681">
        <f>HYPERLINK("https://www.philgeps.gov.ph/GEPSNONPILOT/Tender/SplashBidNoticeAbstractUI.aspx?menuIndex=3&amp;refID=7042848&amp;Result=3","7042848")</f>
        <v>0</v>
      </c>
      <c r="B4681" t="s">
        <v>1250</v>
      </c>
      <c r="C4681" t="s">
        <v>7668</v>
      </c>
      <c r="D4681" t="s">
        <v>18082</v>
      </c>
      <c r="E4681" t="s">
        <v>22296</v>
      </c>
      <c r="F4681" t="s">
        <v>31574</v>
      </c>
      <c r="G4681" t="s">
        <v>31581</v>
      </c>
      <c r="H4681" t="s">
        <v>31590</v>
      </c>
      <c r="I4681" t="s">
        <v>3487</v>
      </c>
      <c r="J4681" t="s">
        <v>34771</v>
      </c>
      <c r="K4681" t="s">
        <v>41184</v>
      </c>
      <c r="M4681" t="s">
        <v>42816</v>
      </c>
      <c r="N4681" t="s">
        <v>45095</v>
      </c>
      <c r="O4681" t="s">
        <v>45096</v>
      </c>
      <c r="P4681">
        <v>0</v>
      </c>
      <c r="Q4681">
        <v>1</v>
      </c>
      <c r="R4681" t="s">
        <v>45101</v>
      </c>
      <c r="S4681" t="s">
        <v>45231</v>
      </c>
      <c r="T4681" t="s">
        <v>46949</v>
      </c>
      <c r="U4681" t="s">
        <v>51418</v>
      </c>
      <c r="V4681" t="s">
        <v>60202</v>
      </c>
      <c r="W4681" t="s">
        <v>42816</v>
      </c>
      <c r="X4681" t="s">
        <v>45102</v>
      </c>
    </row>
    <row r="4682" spans="1:24">
      <c r="A4682">
        <f>HYPERLINK("https://www.philgeps.gov.ph/GEPSNONPILOT/Tender/SplashBidNoticeAbstractUI.aspx?menuIndex=3&amp;refID=7042872&amp;Result=3","7042872")</f>
        <v>0</v>
      </c>
      <c r="B4682" t="s">
        <v>216</v>
      </c>
      <c r="C4682" t="s">
        <v>7669</v>
      </c>
      <c r="D4682" t="s">
        <v>18058</v>
      </c>
      <c r="E4682" t="s">
        <v>22297</v>
      </c>
      <c r="F4682" t="s">
        <v>31574</v>
      </c>
      <c r="G4682" t="s">
        <v>31582</v>
      </c>
      <c r="H4682" t="s">
        <v>31590</v>
      </c>
      <c r="I4682" t="s">
        <v>31602</v>
      </c>
      <c r="J4682" t="s">
        <v>31964</v>
      </c>
      <c r="K4682" t="s">
        <v>41193</v>
      </c>
      <c r="M4682" t="s">
        <v>41701</v>
      </c>
      <c r="N4682" t="s">
        <v>45095</v>
      </c>
      <c r="O4682" t="s">
        <v>45096</v>
      </c>
      <c r="P4682">
        <v>0</v>
      </c>
      <c r="Q4682">
        <v>0</v>
      </c>
      <c r="R4682" t="s">
        <v>45101</v>
      </c>
      <c r="S4682" t="s">
        <v>45231</v>
      </c>
      <c r="T4682" t="s">
        <v>46910</v>
      </c>
      <c r="U4682" t="s">
        <v>51419</v>
      </c>
      <c r="W4682" t="s">
        <v>41701</v>
      </c>
      <c r="X4682" t="s">
        <v>45102</v>
      </c>
    </row>
    <row r="4683" spans="1:24">
      <c r="A4683">
        <f>HYPERLINK("https://www.philgeps.gov.ph/GEPSNONPILOT/Tender/SplashBidNoticeAbstractUI.aspx?menuIndex=3&amp;refID=7042879&amp;Result=3","7042879")</f>
        <v>0</v>
      </c>
      <c r="B4683" t="s">
        <v>319</v>
      </c>
      <c r="C4683" t="s">
        <v>7665</v>
      </c>
      <c r="D4683" t="s">
        <v>18065</v>
      </c>
      <c r="E4683" t="s">
        <v>22298</v>
      </c>
      <c r="F4683" t="s">
        <v>31574</v>
      </c>
      <c r="G4683" t="s">
        <v>31581</v>
      </c>
      <c r="H4683" t="s">
        <v>31590</v>
      </c>
      <c r="I4683" t="s">
        <v>3539</v>
      </c>
      <c r="J4683" t="s">
        <v>31789</v>
      </c>
      <c r="K4683" t="s">
        <v>41193</v>
      </c>
      <c r="M4683" t="s">
        <v>41807</v>
      </c>
      <c r="N4683" t="s">
        <v>45095</v>
      </c>
      <c r="O4683" t="s">
        <v>45096</v>
      </c>
      <c r="P4683">
        <v>0</v>
      </c>
      <c r="Q4683">
        <v>0</v>
      </c>
      <c r="R4683" t="s">
        <v>45101</v>
      </c>
      <c r="S4683" t="s">
        <v>45231</v>
      </c>
      <c r="T4683" t="s">
        <v>47050</v>
      </c>
      <c r="U4683" t="s">
        <v>51180</v>
      </c>
      <c r="W4683" t="s">
        <v>61662</v>
      </c>
      <c r="X4683" t="s">
        <v>45102</v>
      </c>
    </row>
    <row r="4684" spans="1:24">
      <c r="A4684">
        <f>HYPERLINK("https://www.philgeps.gov.ph/GEPSNONPILOT/Tender/SplashBidNoticeAbstractUI.aspx?menuIndex=3&amp;refID=7042900&amp;Result=3","7042900")</f>
        <v>0</v>
      </c>
      <c r="B4684" t="s">
        <v>319</v>
      </c>
      <c r="C4684" t="s">
        <v>7665</v>
      </c>
      <c r="D4684" t="s">
        <v>18065</v>
      </c>
      <c r="E4684" t="s">
        <v>22299</v>
      </c>
      <c r="F4684" t="s">
        <v>31574</v>
      </c>
      <c r="G4684" t="s">
        <v>31581</v>
      </c>
      <c r="H4684" t="s">
        <v>31590</v>
      </c>
      <c r="I4684" t="s">
        <v>3539</v>
      </c>
      <c r="J4684" t="s">
        <v>31741</v>
      </c>
      <c r="K4684" t="s">
        <v>41193</v>
      </c>
      <c r="M4684" t="s">
        <v>41807</v>
      </c>
      <c r="N4684" t="s">
        <v>45095</v>
      </c>
      <c r="O4684" t="s">
        <v>45096</v>
      </c>
      <c r="P4684">
        <v>0</v>
      </c>
      <c r="Q4684">
        <v>0</v>
      </c>
      <c r="R4684" t="s">
        <v>45101</v>
      </c>
      <c r="S4684" t="s">
        <v>45231</v>
      </c>
      <c r="T4684" t="s">
        <v>47050</v>
      </c>
      <c r="U4684" t="s">
        <v>51180</v>
      </c>
      <c r="W4684" t="s">
        <v>61662</v>
      </c>
      <c r="X4684" t="s">
        <v>45102</v>
      </c>
    </row>
    <row r="4685" spans="1:24">
      <c r="A4685">
        <f>HYPERLINK("https://www.philgeps.gov.ph/GEPSNONPILOT/Tender/SplashBidNoticeAbstractUI.aspx?menuIndex=3&amp;refID=7042880&amp;Result=3","7042880")</f>
        <v>0</v>
      </c>
      <c r="B4685" t="s">
        <v>1525</v>
      </c>
      <c r="C4685" t="s">
        <v>7670</v>
      </c>
      <c r="D4685" t="s">
        <v>18110</v>
      </c>
      <c r="E4685" t="s">
        <v>22300</v>
      </c>
      <c r="F4685" t="s">
        <v>31574</v>
      </c>
      <c r="G4685" t="s">
        <v>31582</v>
      </c>
      <c r="H4685" t="s">
        <v>31590</v>
      </c>
      <c r="I4685" t="s">
        <v>31614</v>
      </c>
      <c r="J4685" t="s">
        <v>34772</v>
      </c>
      <c r="K4685" t="s">
        <v>41200</v>
      </c>
      <c r="M4685" t="s">
        <v>43183</v>
      </c>
      <c r="N4685" t="s">
        <v>45095</v>
      </c>
      <c r="O4685" t="s">
        <v>45096</v>
      </c>
      <c r="P4685">
        <v>0</v>
      </c>
      <c r="Q4685">
        <v>5</v>
      </c>
      <c r="R4685" t="s">
        <v>45101</v>
      </c>
      <c r="S4685" t="s">
        <v>45231</v>
      </c>
      <c r="T4685" t="s">
        <v>47108</v>
      </c>
      <c r="U4685" t="s">
        <v>51420</v>
      </c>
      <c r="V4685" t="s">
        <v>60348</v>
      </c>
      <c r="W4685" t="s">
        <v>43183</v>
      </c>
      <c r="X4685" t="s">
        <v>45102</v>
      </c>
    </row>
    <row r="4686" spans="1:24">
      <c r="A4686">
        <f>HYPERLINK("https://www.philgeps.gov.ph/GEPSNONPILOT/Tender/SplashBidNoticeAbstractUI.aspx?menuIndex=3&amp;refID=7042898&amp;Result=3","7042898")</f>
        <v>0</v>
      </c>
      <c r="B4686" t="s">
        <v>216</v>
      </c>
      <c r="C4686" t="s">
        <v>7671</v>
      </c>
      <c r="D4686" t="s">
        <v>18058</v>
      </c>
      <c r="E4686" t="s">
        <v>22301</v>
      </c>
      <c r="F4686" t="s">
        <v>31574</v>
      </c>
      <c r="G4686" t="s">
        <v>31582</v>
      </c>
      <c r="H4686" t="s">
        <v>31590</v>
      </c>
      <c r="I4686" t="s">
        <v>7185</v>
      </c>
      <c r="J4686" t="s">
        <v>34773</v>
      </c>
      <c r="K4686" t="s">
        <v>41193</v>
      </c>
      <c r="M4686" t="s">
        <v>41701</v>
      </c>
      <c r="N4686" t="s">
        <v>45095</v>
      </c>
      <c r="O4686" t="s">
        <v>45096</v>
      </c>
      <c r="P4686">
        <v>0</v>
      </c>
      <c r="Q4686">
        <v>3</v>
      </c>
      <c r="R4686" t="s">
        <v>45101</v>
      </c>
      <c r="S4686" t="s">
        <v>45231</v>
      </c>
      <c r="T4686" t="s">
        <v>46910</v>
      </c>
      <c r="U4686" t="s">
        <v>51421</v>
      </c>
      <c r="W4686" t="s">
        <v>41701</v>
      </c>
      <c r="X4686" t="s">
        <v>45102</v>
      </c>
    </row>
    <row r="4687" spans="1:24">
      <c r="A4687">
        <f>HYPERLINK("https://www.philgeps.gov.ph/GEPSNONPILOT/Tender/SplashBidNoticeAbstractUI.aspx?menuIndex=3&amp;refID=7042876&amp;Result=3","7042876")</f>
        <v>0</v>
      </c>
      <c r="B4687" t="s">
        <v>1578</v>
      </c>
      <c r="C4687" t="s">
        <v>7672</v>
      </c>
      <c r="D4687" t="s">
        <v>18046</v>
      </c>
      <c r="E4687" t="s">
        <v>22291</v>
      </c>
      <c r="F4687" t="s">
        <v>31574</v>
      </c>
      <c r="G4687" t="s">
        <v>31582</v>
      </c>
      <c r="H4687" t="s">
        <v>31591</v>
      </c>
      <c r="I4687" t="s">
        <v>8822</v>
      </c>
      <c r="J4687" t="s">
        <v>34774</v>
      </c>
      <c r="K4687" t="s">
        <v>41269</v>
      </c>
      <c r="M4687" t="s">
        <v>43181</v>
      </c>
      <c r="N4687" t="s">
        <v>45095</v>
      </c>
      <c r="O4687" t="s">
        <v>45096</v>
      </c>
      <c r="P4687">
        <v>0</v>
      </c>
      <c r="Q4687">
        <v>0</v>
      </c>
      <c r="R4687" t="s">
        <v>45101</v>
      </c>
      <c r="S4687" t="s">
        <v>45231</v>
      </c>
      <c r="T4687" t="s">
        <v>46977</v>
      </c>
      <c r="U4687" t="s">
        <v>51422</v>
      </c>
      <c r="W4687" t="s">
        <v>43181</v>
      </c>
      <c r="X4687" t="s">
        <v>45102</v>
      </c>
    </row>
    <row r="4688" spans="1:24">
      <c r="A4688">
        <f>HYPERLINK("https://www.philgeps.gov.ph/GEPSNONPILOT/Tender/SplashBidNoticeAbstractUI.aspx?menuIndex=3&amp;refID=7042888&amp;Result=3","7042888")</f>
        <v>0</v>
      </c>
      <c r="B4688" t="s">
        <v>1580</v>
      </c>
      <c r="C4688" t="s">
        <v>7673</v>
      </c>
      <c r="D4688" t="s">
        <v>18053</v>
      </c>
      <c r="E4688" t="s">
        <v>18227</v>
      </c>
      <c r="F4688" t="s">
        <v>31574</v>
      </c>
      <c r="G4688" t="s">
        <v>31582</v>
      </c>
      <c r="H4688" t="s">
        <v>31591</v>
      </c>
      <c r="I4688" t="s">
        <v>4046</v>
      </c>
      <c r="J4688" t="s">
        <v>34775</v>
      </c>
      <c r="K4688" t="s">
        <v>41193</v>
      </c>
      <c r="M4688" t="s">
        <v>43184</v>
      </c>
      <c r="N4688" t="s">
        <v>45095</v>
      </c>
      <c r="O4688" t="s">
        <v>45096</v>
      </c>
      <c r="P4688">
        <v>0</v>
      </c>
      <c r="Q4688">
        <v>0</v>
      </c>
      <c r="R4688" t="s">
        <v>45101</v>
      </c>
      <c r="S4688" t="s">
        <v>45231</v>
      </c>
      <c r="T4688" t="s">
        <v>47166</v>
      </c>
      <c r="U4688" t="s">
        <v>51423</v>
      </c>
      <c r="W4688" t="s">
        <v>43184</v>
      </c>
      <c r="X4688" t="s">
        <v>45102</v>
      </c>
    </row>
    <row r="4689" spans="1:24">
      <c r="A4689">
        <f>HYPERLINK("https://www.philgeps.gov.ph/GEPSNONPILOT/Tender/SplashBidNoticeAbstractUI.aspx?menuIndex=3&amp;refID=7042886&amp;Result=3","7042886")</f>
        <v>0</v>
      </c>
      <c r="B4689" t="s">
        <v>1548</v>
      </c>
      <c r="C4689" t="s">
        <v>7674</v>
      </c>
      <c r="D4689" t="s">
        <v>18052</v>
      </c>
      <c r="E4689" t="s">
        <v>22302</v>
      </c>
      <c r="F4689" t="s">
        <v>31575</v>
      </c>
      <c r="G4689" t="s">
        <v>31581</v>
      </c>
      <c r="H4689" t="s">
        <v>31592</v>
      </c>
      <c r="I4689" t="s">
        <v>31681</v>
      </c>
      <c r="J4689" t="s">
        <v>32017</v>
      </c>
      <c r="K4689" t="s">
        <v>41225</v>
      </c>
      <c r="M4689" t="s">
        <v>43146</v>
      </c>
      <c r="N4689" t="s">
        <v>45095</v>
      </c>
      <c r="O4689" t="s">
        <v>45096</v>
      </c>
      <c r="P4689">
        <v>0</v>
      </c>
      <c r="Q4689">
        <v>1</v>
      </c>
      <c r="R4689" t="s">
        <v>45101</v>
      </c>
      <c r="S4689" t="s">
        <v>45231</v>
      </c>
      <c r="T4689" t="s">
        <v>46911</v>
      </c>
      <c r="U4689" t="s">
        <v>51424</v>
      </c>
      <c r="W4689" t="s">
        <v>43146</v>
      </c>
      <c r="X4689" t="s">
        <v>45102</v>
      </c>
    </row>
    <row r="4690" spans="1:24">
      <c r="A4690">
        <f>HYPERLINK("https://www.philgeps.gov.ph/GEPSNONPILOT/Tender/SplashBidNoticeAbstractUI.aspx?menuIndex=3&amp;refID=7042875&amp;Result=3","7042875")</f>
        <v>0</v>
      </c>
      <c r="B4690" t="s">
        <v>796</v>
      </c>
      <c r="C4690" t="s">
        <v>7675</v>
      </c>
      <c r="D4690" t="s">
        <v>18023</v>
      </c>
      <c r="E4690" t="s">
        <v>22303</v>
      </c>
      <c r="F4690" t="s">
        <v>31574</v>
      </c>
      <c r="G4690" t="s">
        <v>31581</v>
      </c>
      <c r="H4690" t="s">
        <v>31590</v>
      </c>
      <c r="I4690" t="s">
        <v>4327</v>
      </c>
      <c r="J4690" t="s">
        <v>33245</v>
      </c>
      <c r="K4690" t="s">
        <v>41189</v>
      </c>
      <c r="M4690" t="s">
        <v>42310</v>
      </c>
      <c r="N4690" t="s">
        <v>45095</v>
      </c>
      <c r="O4690" t="s">
        <v>45096</v>
      </c>
      <c r="Q4690">
        <v>0</v>
      </c>
      <c r="R4690" t="s">
        <v>45101</v>
      </c>
      <c r="S4690" t="s">
        <v>45237</v>
      </c>
      <c r="T4690" t="s">
        <v>46918</v>
      </c>
      <c r="U4690" t="s">
        <v>51425</v>
      </c>
      <c r="W4690" t="s">
        <v>42310</v>
      </c>
      <c r="X4690" t="s">
        <v>45102</v>
      </c>
    </row>
    <row r="4691" spans="1:24">
      <c r="A4691">
        <f>HYPERLINK("https://www.philgeps.gov.ph/GEPSNONPILOT/Tender/SplashBidNoticeAbstractUI.aspx?menuIndex=3&amp;refID=7042882&amp;Result=3","7042882")</f>
        <v>0</v>
      </c>
      <c r="B4691" t="s">
        <v>125</v>
      </c>
      <c r="C4691" t="s">
        <v>7676</v>
      </c>
      <c r="D4691" t="s">
        <v>18039</v>
      </c>
      <c r="E4691" t="s">
        <v>22304</v>
      </c>
      <c r="F4691" t="s">
        <v>31574</v>
      </c>
      <c r="G4691" t="s">
        <v>31582</v>
      </c>
      <c r="H4691" t="s">
        <v>31590</v>
      </c>
      <c r="I4691" t="s">
        <v>3487</v>
      </c>
      <c r="J4691" t="s">
        <v>31771</v>
      </c>
      <c r="K4691" t="s">
        <v>41186</v>
      </c>
      <c r="M4691" t="s">
        <v>41609</v>
      </c>
      <c r="N4691" t="s">
        <v>45095</v>
      </c>
      <c r="O4691" t="s">
        <v>45096</v>
      </c>
      <c r="P4691">
        <v>0</v>
      </c>
      <c r="Q4691">
        <v>1</v>
      </c>
      <c r="R4691" t="s">
        <v>45101</v>
      </c>
      <c r="S4691" t="s">
        <v>45231</v>
      </c>
      <c r="T4691" t="s">
        <v>46919</v>
      </c>
      <c r="U4691" t="s">
        <v>51426</v>
      </c>
      <c r="W4691" t="s">
        <v>41609</v>
      </c>
      <c r="X4691" t="s">
        <v>45102</v>
      </c>
    </row>
    <row r="4692" spans="1:24">
      <c r="A4692">
        <f>HYPERLINK("https://www.philgeps.gov.ph/GEPSNONPILOT/Tender/SplashBidNoticeAbstractUI.aspx?menuIndex=3&amp;refID=7042911&amp;Result=3","7042911")</f>
        <v>0</v>
      </c>
      <c r="B4692" t="s">
        <v>1578</v>
      </c>
      <c r="C4692" t="s">
        <v>7677</v>
      </c>
      <c r="D4692" t="s">
        <v>18046</v>
      </c>
      <c r="E4692" t="s">
        <v>22305</v>
      </c>
      <c r="F4692" t="s">
        <v>31574</v>
      </c>
      <c r="G4692" t="s">
        <v>31582</v>
      </c>
      <c r="H4692" t="s">
        <v>31591</v>
      </c>
      <c r="I4692" t="s">
        <v>8822</v>
      </c>
      <c r="J4692" t="s">
        <v>34776</v>
      </c>
      <c r="K4692" t="s">
        <v>41186</v>
      </c>
      <c r="M4692" t="s">
        <v>43181</v>
      </c>
      <c r="N4692" t="s">
        <v>45095</v>
      </c>
      <c r="O4692" t="s">
        <v>45096</v>
      </c>
      <c r="P4692">
        <v>0</v>
      </c>
      <c r="Q4692">
        <v>0</v>
      </c>
      <c r="R4692" t="s">
        <v>45101</v>
      </c>
      <c r="S4692" t="s">
        <v>45231</v>
      </c>
      <c r="T4692" t="s">
        <v>46977</v>
      </c>
      <c r="U4692" t="s">
        <v>51427</v>
      </c>
      <c r="W4692" t="s">
        <v>43181</v>
      </c>
      <c r="X4692" t="s">
        <v>45102</v>
      </c>
    </row>
    <row r="4693" spans="1:24">
      <c r="A4693">
        <f>HYPERLINK("https://www.philgeps.gov.ph/GEPSNONPILOT/Tender/SplashBidNoticeAbstractUI.aspx?menuIndex=3&amp;refID=7042909&amp;Result=3","7042909")</f>
        <v>0</v>
      </c>
      <c r="B4693" t="s">
        <v>1301</v>
      </c>
      <c r="C4693" t="s">
        <v>7678</v>
      </c>
      <c r="E4693" t="s">
        <v>22306</v>
      </c>
      <c r="F4693" t="s">
        <v>31574</v>
      </c>
      <c r="G4693" t="s">
        <v>31581</v>
      </c>
      <c r="H4693" t="s">
        <v>31590</v>
      </c>
      <c r="I4693" t="s">
        <v>3487</v>
      </c>
      <c r="J4693" t="s">
        <v>31947</v>
      </c>
      <c r="K4693" t="s">
        <v>41184</v>
      </c>
      <c r="M4693" t="s">
        <v>42871</v>
      </c>
      <c r="N4693" t="s">
        <v>45095</v>
      </c>
      <c r="O4693" t="s">
        <v>45096</v>
      </c>
      <c r="P4693">
        <v>0</v>
      </c>
      <c r="Q4693">
        <v>1</v>
      </c>
      <c r="R4693" t="s">
        <v>45101</v>
      </c>
      <c r="S4693" t="s">
        <v>45231</v>
      </c>
      <c r="T4693" t="s">
        <v>47159</v>
      </c>
      <c r="U4693" t="s">
        <v>50619</v>
      </c>
      <c r="W4693" t="s">
        <v>42871</v>
      </c>
      <c r="X4693" t="s">
        <v>45102</v>
      </c>
    </row>
    <row r="4694" spans="1:24">
      <c r="A4694">
        <f>HYPERLINK("https://www.philgeps.gov.ph/GEPSNONPILOT/Tender/SplashBidNoticeAbstractUI.aspx?menuIndex=3&amp;refID=7042881&amp;Result=3","7042881")</f>
        <v>0</v>
      </c>
      <c r="B4694" t="s">
        <v>1293</v>
      </c>
      <c r="C4694" t="s">
        <v>7679</v>
      </c>
      <c r="D4694" t="s">
        <v>18022</v>
      </c>
      <c r="E4694" t="s">
        <v>22307</v>
      </c>
      <c r="F4694" t="s">
        <v>31574</v>
      </c>
      <c r="G4694" t="s">
        <v>31583</v>
      </c>
      <c r="H4694" t="s">
        <v>31590</v>
      </c>
      <c r="I4694" t="s">
        <v>31603</v>
      </c>
      <c r="J4694" t="s">
        <v>31804</v>
      </c>
      <c r="K4694" t="s">
        <v>41193</v>
      </c>
      <c r="M4694" t="s">
        <v>42863</v>
      </c>
      <c r="N4694" t="s">
        <v>45095</v>
      </c>
      <c r="O4694" t="s">
        <v>45096</v>
      </c>
      <c r="P4694">
        <v>0</v>
      </c>
      <c r="Q4694">
        <v>13</v>
      </c>
      <c r="R4694" t="s">
        <v>45101</v>
      </c>
      <c r="S4694" t="s">
        <v>45231</v>
      </c>
      <c r="T4694" t="s">
        <v>46952</v>
      </c>
      <c r="U4694" t="s">
        <v>51428</v>
      </c>
      <c r="W4694" t="s">
        <v>42863</v>
      </c>
      <c r="X4694" t="s">
        <v>45102</v>
      </c>
    </row>
    <row r="4695" spans="1:24">
      <c r="A4695">
        <f>HYPERLINK("https://www.philgeps.gov.ph/GEPSNONPILOT/Tender/SplashBidNoticeAbstractUI.aspx?menuIndex=3&amp;refID=7042874&amp;Result=3","7042874")</f>
        <v>0</v>
      </c>
      <c r="B4695" t="s">
        <v>416</v>
      </c>
      <c r="C4695" t="s">
        <v>7680</v>
      </c>
      <c r="D4695" t="s">
        <v>18046</v>
      </c>
      <c r="E4695" t="s">
        <v>22308</v>
      </c>
      <c r="F4695" t="s">
        <v>31574</v>
      </c>
      <c r="G4695" t="s">
        <v>31581</v>
      </c>
      <c r="H4695" t="s">
        <v>31590</v>
      </c>
      <c r="I4695" t="s">
        <v>4046</v>
      </c>
      <c r="J4695" t="s">
        <v>34777</v>
      </c>
      <c r="K4695" t="s">
        <v>41196</v>
      </c>
      <c r="M4695" t="s">
        <v>41908</v>
      </c>
      <c r="N4695" t="s">
        <v>45095</v>
      </c>
      <c r="O4695" t="s">
        <v>45096</v>
      </c>
      <c r="P4695">
        <v>0</v>
      </c>
      <c r="Q4695">
        <v>0</v>
      </c>
      <c r="R4695" t="s">
        <v>45101</v>
      </c>
      <c r="S4695" t="s">
        <v>45231</v>
      </c>
      <c r="T4695" t="s">
        <v>46963</v>
      </c>
      <c r="U4695" t="s">
        <v>51429</v>
      </c>
      <c r="W4695" t="s">
        <v>41908</v>
      </c>
      <c r="X4695" t="s">
        <v>45102</v>
      </c>
    </row>
    <row r="4696" spans="1:24">
      <c r="A4696">
        <f>HYPERLINK("https://www.philgeps.gov.ph/GEPSNONPILOT/Tender/SplashBidNoticeAbstractUI.aspx?menuIndex=3&amp;refID=7042906&amp;Result=3","7042906")</f>
        <v>0</v>
      </c>
      <c r="B4696" t="s">
        <v>1566</v>
      </c>
      <c r="C4696" t="s">
        <v>7681</v>
      </c>
      <c r="E4696" t="s">
        <v>22309</v>
      </c>
      <c r="F4696" t="s">
        <v>31574</v>
      </c>
      <c r="G4696" t="s">
        <v>31582</v>
      </c>
      <c r="H4696" t="s">
        <v>31590</v>
      </c>
      <c r="I4696" t="s">
        <v>4046</v>
      </c>
      <c r="J4696" t="s">
        <v>34778</v>
      </c>
      <c r="K4696" t="s">
        <v>41184</v>
      </c>
      <c r="M4696" t="s">
        <v>43165</v>
      </c>
      <c r="N4696" t="s">
        <v>45095</v>
      </c>
      <c r="O4696" t="s">
        <v>45096</v>
      </c>
      <c r="P4696">
        <v>0</v>
      </c>
      <c r="Q4696">
        <v>0</v>
      </c>
      <c r="R4696" t="s">
        <v>45101</v>
      </c>
      <c r="S4696" t="s">
        <v>45231</v>
      </c>
      <c r="T4696" t="s">
        <v>46914</v>
      </c>
      <c r="U4696" t="s">
        <v>51366</v>
      </c>
      <c r="V4696" t="s">
        <v>59888</v>
      </c>
      <c r="W4696" t="s">
        <v>43165</v>
      </c>
      <c r="X4696" t="s">
        <v>45102</v>
      </c>
    </row>
    <row r="4697" spans="1:24">
      <c r="A4697">
        <f>HYPERLINK("https://www.philgeps.gov.ph/GEPSNONPILOT/Tender/SplashBidNoticeAbstractUI.aspx?menuIndex=3&amp;refID=7042910&amp;Result=3","7042910")</f>
        <v>0</v>
      </c>
      <c r="B4697" t="s">
        <v>1548</v>
      </c>
      <c r="C4697" t="s">
        <v>7674</v>
      </c>
      <c r="D4697" t="s">
        <v>18046</v>
      </c>
      <c r="E4697" t="s">
        <v>22310</v>
      </c>
      <c r="F4697" t="s">
        <v>31575</v>
      </c>
      <c r="G4697" t="s">
        <v>31581</v>
      </c>
      <c r="H4697" t="s">
        <v>31592</v>
      </c>
      <c r="I4697" t="s">
        <v>31681</v>
      </c>
      <c r="J4697" t="s">
        <v>32258</v>
      </c>
      <c r="K4697" t="s">
        <v>41225</v>
      </c>
      <c r="M4697" t="s">
        <v>43146</v>
      </c>
      <c r="N4697" t="s">
        <v>45095</v>
      </c>
      <c r="O4697" t="s">
        <v>45096</v>
      </c>
      <c r="P4697">
        <v>0</v>
      </c>
      <c r="Q4697">
        <v>1</v>
      </c>
      <c r="R4697" t="s">
        <v>45101</v>
      </c>
      <c r="S4697" t="s">
        <v>45231</v>
      </c>
      <c r="T4697" t="s">
        <v>46911</v>
      </c>
      <c r="U4697" t="s">
        <v>51430</v>
      </c>
      <c r="W4697" t="s">
        <v>43146</v>
      </c>
      <c r="X4697" t="s">
        <v>45102</v>
      </c>
    </row>
    <row r="4698" spans="1:24">
      <c r="A4698">
        <f>HYPERLINK("https://www.philgeps.gov.ph/GEPSNONPILOT/Tender/SplashBidNoticeAbstractUI.aspx?menuIndex=3&amp;refID=7042890&amp;Result=3","7042890")</f>
        <v>0</v>
      </c>
      <c r="B4698" t="s">
        <v>1581</v>
      </c>
      <c r="C4698" t="s">
        <v>7682</v>
      </c>
      <c r="D4698" t="s">
        <v>18086</v>
      </c>
      <c r="E4698" t="s">
        <v>22311</v>
      </c>
      <c r="F4698" t="s">
        <v>31574</v>
      </c>
      <c r="G4698" t="s">
        <v>31582</v>
      </c>
      <c r="H4698" t="s">
        <v>31590</v>
      </c>
      <c r="I4698" t="s">
        <v>4046</v>
      </c>
      <c r="J4698" t="s">
        <v>31742</v>
      </c>
      <c r="K4698" t="s">
        <v>41190</v>
      </c>
      <c r="M4698" t="s">
        <v>43185</v>
      </c>
      <c r="N4698" t="s">
        <v>45095</v>
      </c>
      <c r="O4698" t="s">
        <v>45096</v>
      </c>
      <c r="P4698">
        <v>0</v>
      </c>
      <c r="Q4698">
        <v>1</v>
      </c>
      <c r="R4698" t="s">
        <v>45101</v>
      </c>
      <c r="S4698" t="s">
        <v>45231</v>
      </c>
      <c r="T4698" t="s">
        <v>46980</v>
      </c>
      <c r="U4698" t="s">
        <v>51431</v>
      </c>
      <c r="V4698" t="s">
        <v>60349</v>
      </c>
      <c r="W4698" t="s">
        <v>43185</v>
      </c>
      <c r="X4698" t="s">
        <v>45102</v>
      </c>
    </row>
    <row r="4699" spans="1:24">
      <c r="A4699">
        <f>HYPERLINK("https://www.philgeps.gov.ph/GEPSNONPILOT/Tender/SplashBidNoticeAbstractUI.aspx?menuIndex=3&amp;refID=7042904&amp;Result=3","7042904")</f>
        <v>0</v>
      </c>
      <c r="B4699" t="s">
        <v>1582</v>
      </c>
      <c r="C4699" t="s">
        <v>7683</v>
      </c>
      <c r="D4699" t="s">
        <v>18037</v>
      </c>
      <c r="E4699" t="s">
        <v>22312</v>
      </c>
      <c r="F4699" t="s">
        <v>31574</v>
      </c>
      <c r="G4699" t="s">
        <v>31582</v>
      </c>
      <c r="H4699" t="s">
        <v>31590</v>
      </c>
      <c r="I4699" t="s">
        <v>31607</v>
      </c>
      <c r="J4699" t="s">
        <v>34779</v>
      </c>
      <c r="K4699" t="s">
        <v>41196</v>
      </c>
      <c r="M4699" t="s">
        <v>43186</v>
      </c>
      <c r="N4699" t="s">
        <v>45095</v>
      </c>
      <c r="O4699" t="s">
        <v>45096</v>
      </c>
      <c r="P4699">
        <v>0</v>
      </c>
      <c r="Q4699">
        <v>1</v>
      </c>
      <c r="R4699" t="s">
        <v>45101</v>
      </c>
      <c r="S4699" t="s">
        <v>45231</v>
      </c>
      <c r="T4699" t="s">
        <v>46949</v>
      </c>
      <c r="U4699" t="s">
        <v>51432</v>
      </c>
      <c r="W4699" t="s">
        <v>43186</v>
      </c>
      <c r="X4699" t="s">
        <v>45102</v>
      </c>
    </row>
    <row r="4700" spans="1:24">
      <c r="A4700">
        <f>HYPERLINK("https://www.philgeps.gov.ph/GEPSNONPILOT/Tender/SplashBidNoticeAbstractUI.aspx?menuIndex=3&amp;refID=7042922&amp;Result=3","7042922")</f>
        <v>0</v>
      </c>
      <c r="B4700" t="s">
        <v>125</v>
      </c>
      <c r="C4700" t="s">
        <v>7684</v>
      </c>
      <c r="D4700" t="s">
        <v>18039</v>
      </c>
      <c r="E4700" t="s">
        <v>22313</v>
      </c>
      <c r="F4700" t="s">
        <v>31574</v>
      </c>
      <c r="G4700" t="s">
        <v>31582</v>
      </c>
      <c r="H4700" t="s">
        <v>31590</v>
      </c>
      <c r="I4700" t="s">
        <v>31615</v>
      </c>
      <c r="J4700" t="s">
        <v>33193</v>
      </c>
      <c r="K4700" t="s">
        <v>41192</v>
      </c>
      <c r="M4700" t="s">
        <v>41609</v>
      </c>
      <c r="N4700" t="s">
        <v>45095</v>
      </c>
      <c r="O4700" t="s">
        <v>45096</v>
      </c>
      <c r="P4700">
        <v>0</v>
      </c>
      <c r="Q4700">
        <v>5</v>
      </c>
      <c r="R4700" t="s">
        <v>45101</v>
      </c>
      <c r="S4700" t="s">
        <v>45231</v>
      </c>
      <c r="T4700" t="s">
        <v>46919</v>
      </c>
      <c r="U4700" t="s">
        <v>51433</v>
      </c>
      <c r="W4700" t="s">
        <v>41609</v>
      </c>
      <c r="X4700" t="s">
        <v>45102</v>
      </c>
    </row>
    <row r="4701" spans="1:24">
      <c r="A4701">
        <f>HYPERLINK("https://www.philgeps.gov.ph/GEPSNONPILOT/Tender/SplashBidNoticeAbstractUI.aspx?menuIndex=3&amp;refID=7042903&amp;Result=3","7042903")</f>
        <v>0</v>
      </c>
      <c r="B4701" t="s">
        <v>125</v>
      </c>
      <c r="C4701" t="s">
        <v>7685</v>
      </c>
      <c r="D4701" t="s">
        <v>18039</v>
      </c>
      <c r="E4701" t="s">
        <v>22314</v>
      </c>
      <c r="F4701" t="s">
        <v>31574</v>
      </c>
      <c r="G4701" t="s">
        <v>31582</v>
      </c>
      <c r="H4701" t="s">
        <v>31590</v>
      </c>
      <c r="I4701" t="s">
        <v>31602</v>
      </c>
      <c r="J4701" t="s">
        <v>34780</v>
      </c>
      <c r="K4701" t="s">
        <v>41184</v>
      </c>
      <c r="M4701" t="s">
        <v>41609</v>
      </c>
      <c r="N4701" t="s">
        <v>45095</v>
      </c>
      <c r="O4701" t="s">
        <v>45096</v>
      </c>
      <c r="P4701">
        <v>0</v>
      </c>
      <c r="Q4701">
        <v>1</v>
      </c>
      <c r="R4701" t="s">
        <v>45101</v>
      </c>
      <c r="S4701" t="s">
        <v>45231</v>
      </c>
      <c r="T4701" t="s">
        <v>46951</v>
      </c>
      <c r="U4701" t="s">
        <v>51434</v>
      </c>
      <c r="W4701" t="s">
        <v>41609</v>
      </c>
      <c r="X4701" t="s">
        <v>45102</v>
      </c>
    </row>
    <row r="4702" spans="1:24">
      <c r="A4702">
        <f>HYPERLINK("https://www.philgeps.gov.ph/GEPSNONPILOT/Tender/SplashBidNoticeAbstractUI.aspx?menuIndex=3&amp;refID=7042908&amp;Result=3","7042908")</f>
        <v>0</v>
      </c>
      <c r="B4702" t="s">
        <v>1050</v>
      </c>
      <c r="C4702" t="s">
        <v>7686</v>
      </c>
      <c r="D4702" t="s">
        <v>18024</v>
      </c>
      <c r="E4702" t="s">
        <v>22315</v>
      </c>
      <c r="F4702" t="s">
        <v>31574</v>
      </c>
      <c r="G4702" t="s">
        <v>31582</v>
      </c>
      <c r="H4702" t="s">
        <v>31590</v>
      </c>
      <c r="I4702" t="s">
        <v>4046</v>
      </c>
      <c r="J4702" t="s">
        <v>34781</v>
      </c>
      <c r="K4702" t="s">
        <v>41190</v>
      </c>
      <c r="M4702" t="s">
        <v>42594</v>
      </c>
      <c r="N4702" t="s">
        <v>45095</v>
      </c>
      <c r="O4702" t="s">
        <v>45096</v>
      </c>
      <c r="P4702">
        <v>0</v>
      </c>
      <c r="Q4702">
        <v>0</v>
      </c>
      <c r="R4702" t="s">
        <v>45101</v>
      </c>
      <c r="S4702" t="s">
        <v>45231</v>
      </c>
      <c r="T4702" t="s">
        <v>46935</v>
      </c>
      <c r="U4702" t="s">
        <v>51435</v>
      </c>
      <c r="W4702" t="s">
        <v>42594</v>
      </c>
      <c r="X4702" t="s">
        <v>45102</v>
      </c>
    </row>
    <row r="4703" spans="1:24">
      <c r="A4703">
        <f>HYPERLINK("https://www.philgeps.gov.ph/GEPSNONPILOT/Tender/SplashBidNoticeAbstractUI.aspx?menuIndex=3&amp;refID=7042917&amp;Result=3","7042917")</f>
        <v>0</v>
      </c>
      <c r="B4703" t="s">
        <v>1554</v>
      </c>
      <c r="C4703" t="s">
        <v>7687</v>
      </c>
      <c r="D4703" t="s">
        <v>18056</v>
      </c>
      <c r="E4703" t="s">
        <v>22316</v>
      </c>
      <c r="F4703" t="s">
        <v>31574</v>
      </c>
      <c r="G4703" t="s">
        <v>31581</v>
      </c>
      <c r="H4703" t="s">
        <v>31590</v>
      </c>
      <c r="I4703" t="s">
        <v>14034</v>
      </c>
      <c r="J4703" t="s">
        <v>32017</v>
      </c>
      <c r="K4703" t="s">
        <v>41191</v>
      </c>
      <c r="M4703" t="s">
        <v>43153</v>
      </c>
      <c r="N4703" t="s">
        <v>45095</v>
      </c>
      <c r="O4703" t="s">
        <v>45096</v>
      </c>
      <c r="P4703">
        <v>0</v>
      </c>
      <c r="Q4703">
        <v>0</v>
      </c>
      <c r="R4703" t="s">
        <v>45101</v>
      </c>
      <c r="S4703" t="s">
        <v>45231</v>
      </c>
      <c r="T4703" t="s">
        <v>47159</v>
      </c>
      <c r="U4703" t="s">
        <v>51436</v>
      </c>
      <c r="W4703" t="s">
        <v>43153</v>
      </c>
      <c r="X4703" t="s">
        <v>45102</v>
      </c>
    </row>
    <row r="4704" spans="1:24">
      <c r="A4704">
        <f>HYPERLINK("https://www.philgeps.gov.ph/GEPSNONPILOT/Tender/SplashBidNoticeAbstractUI.aspx?menuIndex=3&amp;refID=7042915&amp;Result=3","7042915")</f>
        <v>0</v>
      </c>
      <c r="B4704" t="s">
        <v>416</v>
      </c>
      <c r="C4704" t="s">
        <v>7688</v>
      </c>
      <c r="D4704" t="s">
        <v>18046</v>
      </c>
      <c r="E4704" t="s">
        <v>22317</v>
      </c>
      <c r="F4704" t="s">
        <v>31574</v>
      </c>
      <c r="G4704" t="s">
        <v>31581</v>
      </c>
      <c r="H4704" t="s">
        <v>31590</v>
      </c>
      <c r="I4704" t="s">
        <v>4046</v>
      </c>
      <c r="J4704" t="s">
        <v>34782</v>
      </c>
      <c r="K4704" t="s">
        <v>41196</v>
      </c>
      <c r="M4704" t="s">
        <v>41908</v>
      </c>
      <c r="N4704" t="s">
        <v>45095</v>
      </c>
      <c r="O4704" t="s">
        <v>45096</v>
      </c>
      <c r="P4704">
        <v>0</v>
      </c>
      <c r="Q4704">
        <v>0</v>
      </c>
      <c r="R4704" t="s">
        <v>45101</v>
      </c>
      <c r="S4704" t="s">
        <v>45231</v>
      </c>
      <c r="T4704" t="s">
        <v>46963</v>
      </c>
      <c r="U4704" t="s">
        <v>51437</v>
      </c>
      <c r="W4704" t="s">
        <v>41908</v>
      </c>
      <c r="X4704" t="s">
        <v>45102</v>
      </c>
    </row>
    <row r="4705" spans="1:24">
      <c r="A4705">
        <f>HYPERLINK("https://www.philgeps.gov.ph/GEPSNONPILOT/Tender/SplashBidNoticeAbstractUI.aspx?menuIndex=3&amp;refID=7042939&amp;Result=3","7042939")</f>
        <v>0</v>
      </c>
      <c r="B4705" t="s">
        <v>1583</v>
      </c>
      <c r="C4705" t="s">
        <v>7689</v>
      </c>
      <c r="D4705" t="s">
        <v>18027</v>
      </c>
      <c r="E4705" t="s">
        <v>22318</v>
      </c>
      <c r="F4705" t="s">
        <v>31574</v>
      </c>
      <c r="G4705" t="s">
        <v>31585</v>
      </c>
      <c r="H4705" t="s">
        <v>31590</v>
      </c>
      <c r="I4705" t="s">
        <v>31612</v>
      </c>
      <c r="J4705" t="s">
        <v>32001</v>
      </c>
      <c r="K4705" t="s">
        <v>41196</v>
      </c>
      <c r="M4705" t="s">
        <v>43187</v>
      </c>
      <c r="N4705" t="s">
        <v>45095</v>
      </c>
      <c r="O4705" t="s">
        <v>45096</v>
      </c>
      <c r="P4705">
        <v>0</v>
      </c>
      <c r="Q4705">
        <v>4</v>
      </c>
      <c r="R4705" t="s">
        <v>45101</v>
      </c>
      <c r="S4705" t="s">
        <v>45231</v>
      </c>
      <c r="T4705" t="s">
        <v>47191</v>
      </c>
      <c r="U4705" t="s">
        <v>51438</v>
      </c>
      <c r="V4705" t="s">
        <v>60350</v>
      </c>
      <c r="W4705" t="s">
        <v>43187</v>
      </c>
      <c r="X4705" t="s">
        <v>45102</v>
      </c>
    </row>
    <row r="4706" spans="1:24">
      <c r="A4706">
        <f>HYPERLINK("https://www.philgeps.gov.ph/GEPSNONPILOT/Tender/SplashBidNoticeAbstractUI.aspx?menuIndex=3&amp;refID=7042936&amp;Result=3","7042936")</f>
        <v>0</v>
      </c>
      <c r="B4706" t="s">
        <v>1584</v>
      </c>
      <c r="C4706" t="s">
        <v>7690</v>
      </c>
      <c r="D4706" t="s">
        <v>18079</v>
      </c>
      <c r="E4706" t="s">
        <v>22319</v>
      </c>
      <c r="F4706" t="s">
        <v>31574</v>
      </c>
      <c r="G4706" t="s">
        <v>31581</v>
      </c>
      <c r="H4706" t="s">
        <v>31590</v>
      </c>
      <c r="I4706" t="s">
        <v>3489</v>
      </c>
      <c r="J4706" t="s">
        <v>34783</v>
      </c>
      <c r="K4706" t="s">
        <v>41190</v>
      </c>
      <c r="M4706" t="s">
        <v>43188</v>
      </c>
      <c r="N4706" t="s">
        <v>45095</v>
      </c>
      <c r="O4706" t="s">
        <v>45096</v>
      </c>
      <c r="P4706">
        <v>0</v>
      </c>
      <c r="Q4706">
        <v>0</v>
      </c>
      <c r="R4706" t="s">
        <v>45101</v>
      </c>
      <c r="S4706" t="s">
        <v>45231</v>
      </c>
      <c r="T4706" t="s">
        <v>47159</v>
      </c>
      <c r="U4706" t="s">
        <v>51439</v>
      </c>
      <c r="W4706" t="s">
        <v>43188</v>
      </c>
      <c r="X4706" t="s">
        <v>45102</v>
      </c>
    </row>
    <row r="4707" spans="1:24">
      <c r="A4707">
        <f>HYPERLINK("https://www.philgeps.gov.ph/GEPSNONPILOT/Tender/SplashBidNoticeAbstractUI.aspx?menuIndex=3&amp;refID=7042921&amp;Result=3","7042921")</f>
        <v>0</v>
      </c>
      <c r="B4707" t="s">
        <v>1585</v>
      </c>
      <c r="C4707" t="s">
        <v>7691</v>
      </c>
      <c r="D4707" t="s">
        <v>18043</v>
      </c>
      <c r="E4707" t="s">
        <v>22320</v>
      </c>
      <c r="F4707" t="s">
        <v>31574</v>
      </c>
      <c r="G4707" t="s">
        <v>31582</v>
      </c>
      <c r="H4707" t="s">
        <v>31591</v>
      </c>
      <c r="I4707" t="s">
        <v>8822</v>
      </c>
      <c r="J4707" t="s">
        <v>31819</v>
      </c>
      <c r="K4707" t="s">
        <v>41243</v>
      </c>
      <c r="M4707" t="s">
        <v>43189</v>
      </c>
      <c r="N4707" t="s">
        <v>45095</v>
      </c>
      <c r="O4707" t="s">
        <v>45096</v>
      </c>
      <c r="P4707">
        <v>0</v>
      </c>
      <c r="Q4707">
        <v>2</v>
      </c>
      <c r="R4707" t="s">
        <v>45101</v>
      </c>
      <c r="S4707" t="s">
        <v>45231</v>
      </c>
      <c r="T4707" t="s">
        <v>47100</v>
      </c>
      <c r="U4707" t="s">
        <v>51440</v>
      </c>
      <c r="V4707" t="s">
        <v>60351</v>
      </c>
      <c r="W4707" t="s">
        <v>43189</v>
      </c>
      <c r="X4707" t="s">
        <v>45102</v>
      </c>
    </row>
    <row r="4708" spans="1:24">
      <c r="A4708">
        <f>HYPERLINK("https://www.philgeps.gov.ph/GEPSNONPILOT/Tender/SplashBidNoticeAbstractUI.aspx?menuIndex=3&amp;refID=7042934&amp;Result=3","7042934")</f>
        <v>0</v>
      </c>
      <c r="B4708" t="s">
        <v>1543</v>
      </c>
      <c r="C4708" t="s">
        <v>7692</v>
      </c>
      <c r="E4708" t="s">
        <v>22321</v>
      </c>
      <c r="F4708" t="s">
        <v>31574</v>
      </c>
      <c r="G4708" t="s">
        <v>31581</v>
      </c>
      <c r="H4708" t="s">
        <v>31590</v>
      </c>
      <c r="I4708" t="s">
        <v>31599</v>
      </c>
      <c r="J4708" t="s">
        <v>34784</v>
      </c>
      <c r="K4708" t="s">
        <v>41184</v>
      </c>
      <c r="M4708" t="s">
        <v>43168</v>
      </c>
      <c r="N4708" t="s">
        <v>45095</v>
      </c>
      <c r="O4708" t="s">
        <v>45096</v>
      </c>
      <c r="P4708">
        <v>0</v>
      </c>
      <c r="Q4708">
        <v>0</v>
      </c>
      <c r="R4708" t="s">
        <v>45101</v>
      </c>
      <c r="S4708" t="s">
        <v>45231</v>
      </c>
      <c r="T4708" t="s">
        <v>46957</v>
      </c>
      <c r="U4708" t="s">
        <v>51441</v>
      </c>
      <c r="W4708" t="s">
        <v>43168</v>
      </c>
      <c r="X4708" t="s">
        <v>45102</v>
      </c>
    </row>
    <row r="4709" spans="1:24">
      <c r="A4709">
        <f>HYPERLINK("https://www.philgeps.gov.ph/GEPSNONPILOT/Tender/SplashBidNoticeAbstractUI.aspx?menuIndex=3&amp;refID=7042935&amp;Result=3","7042935")</f>
        <v>0</v>
      </c>
      <c r="B4709" t="s">
        <v>756</v>
      </c>
      <c r="C4709" t="s">
        <v>7693</v>
      </c>
      <c r="D4709" t="s">
        <v>18035</v>
      </c>
      <c r="E4709" t="s">
        <v>22322</v>
      </c>
      <c r="F4709" t="s">
        <v>31574</v>
      </c>
      <c r="G4709" t="s">
        <v>31581</v>
      </c>
      <c r="H4709" t="s">
        <v>31591</v>
      </c>
      <c r="I4709" t="s">
        <v>31638</v>
      </c>
      <c r="J4709" t="s">
        <v>34785</v>
      </c>
      <c r="K4709" t="s">
        <v>41192</v>
      </c>
      <c r="M4709" t="s">
        <v>42270</v>
      </c>
      <c r="N4709" t="s">
        <v>45095</v>
      </c>
      <c r="O4709" t="s">
        <v>45096</v>
      </c>
      <c r="P4709">
        <v>0</v>
      </c>
      <c r="Q4709">
        <v>2</v>
      </c>
      <c r="R4709" t="s">
        <v>45101</v>
      </c>
      <c r="S4709" t="s">
        <v>45231</v>
      </c>
      <c r="T4709" t="s">
        <v>46964</v>
      </c>
      <c r="U4709" t="s">
        <v>51442</v>
      </c>
      <c r="W4709" t="s">
        <v>42270</v>
      </c>
      <c r="X4709" t="s">
        <v>45102</v>
      </c>
    </row>
    <row r="4710" spans="1:24">
      <c r="A4710">
        <f>HYPERLINK("https://www.philgeps.gov.ph/GEPSNONPILOT/Tender/SplashBidNoticeAbstractUI.aspx?menuIndex=3&amp;refID=7042928&amp;Result=3","7042928")</f>
        <v>0</v>
      </c>
      <c r="B4710" t="s">
        <v>1583</v>
      </c>
      <c r="C4710" t="s">
        <v>7694</v>
      </c>
      <c r="D4710" t="s">
        <v>18027</v>
      </c>
      <c r="E4710" t="s">
        <v>22323</v>
      </c>
      <c r="F4710" t="s">
        <v>31574</v>
      </c>
      <c r="G4710" t="s">
        <v>31585</v>
      </c>
      <c r="H4710" t="s">
        <v>31590</v>
      </c>
      <c r="I4710" t="s">
        <v>8056</v>
      </c>
      <c r="J4710" t="s">
        <v>34786</v>
      </c>
      <c r="K4710" t="s">
        <v>41193</v>
      </c>
      <c r="M4710" t="s">
        <v>43187</v>
      </c>
      <c r="N4710" t="s">
        <v>45095</v>
      </c>
      <c r="O4710" t="s">
        <v>45096</v>
      </c>
      <c r="P4710">
        <v>0</v>
      </c>
      <c r="Q4710">
        <v>5</v>
      </c>
      <c r="R4710" t="s">
        <v>45101</v>
      </c>
      <c r="S4710" t="s">
        <v>45231</v>
      </c>
      <c r="T4710" t="s">
        <v>47191</v>
      </c>
      <c r="U4710" t="s">
        <v>51443</v>
      </c>
      <c r="V4710" t="s">
        <v>60350</v>
      </c>
      <c r="W4710" t="s">
        <v>43187</v>
      </c>
      <c r="X4710" t="s">
        <v>45102</v>
      </c>
    </row>
    <row r="4711" spans="1:24">
      <c r="A4711">
        <f>HYPERLINK("https://www.philgeps.gov.ph/GEPSNONPILOT/Tender/SplashBidNoticeAbstractUI.aspx?menuIndex=3&amp;refID=7042933&amp;Result=3","7042933")</f>
        <v>0</v>
      </c>
      <c r="B4711" t="s">
        <v>402</v>
      </c>
      <c r="C4711" t="s">
        <v>7695</v>
      </c>
      <c r="D4711" t="s">
        <v>18078</v>
      </c>
      <c r="E4711" t="s">
        <v>22324</v>
      </c>
      <c r="F4711" t="s">
        <v>31574</v>
      </c>
      <c r="G4711" t="s">
        <v>31581</v>
      </c>
      <c r="H4711" t="s">
        <v>31590</v>
      </c>
      <c r="I4711" t="s">
        <v>6800</v>
      </c>
      <c r="J4711" t="s">
        <v>34787</v>
      </c>
      <c r="K4711" t="s">
        <v>41190</v>
      </c>
      <c r="M4711" t="s">
        <v>41893</v>
      </c>
      <c r="N4711" t="s">
        <v>45095</v>
      </c>
      <c r="O4711" t="s">
        <v>45096</v>
      </c>
      <c r="P4711">
        <v>0</v>
      </c>
      <c r="Q4711">
        <v>0</v>
      </c>
      <c r="R4711" t="s">
        <v>45101</v>
      </c>
      <c r="S4711" t="s">
        <v>45231</v>
      </c>
      <c r="T4711" t="s">
        <v>47183</v>
      </c>
      <c r="U4711" t="s">
        <v>51444</v>
      </c>
      <c r="W4711" t="s">
        <v>41893</v>
      </c>
      <c r="X4711" t="s">
        <v>45102</v>
      </c>
    </row>
    <row r="4712" spans="1:24">
      <c r="A4712">
        <f>HYPERLINK("https://www.philgeps.gov.ph/GEPSNONPILOT/Tender/SplashBidNoticeAbstractUI.aspx?menuIndex=3&amp;refID=7042943&amp;Result=3","7042943")</f>
        <v>0</v>
      </c>
      <c r="B4712" t="s">
        <v>1586</v>
      </c>
      <c r="C4712" t="s">
        <v>7696</v>
      </c>
      <c r="E4712" t="s">
        <v>22325</v>
      </c>
      <c r="F4712" t="s">
        <v>31574</v>
      </c>
      <c r="G4712" t="s">
        <v>31581</v>
      </c>
      <c r="H4712" t="s">
        <v>31590</v>
      </c>
      <c r="I4712" t="s">
        <v>31600</v>
      </c>
      <c r="J4712" t="s">
        <v>32207</v>
      </c>
      <c r="K4712" t="s">
        <v>41184</v>
      </c>
      <c r="M4712" t="s">
        <v>43190</v>
      </c>
      <c r="N4712" t="s">
        <v>45095</v>
      </c>
      <c r="O4712" t="s">
        <v>45096</v>
      </c>
      <c r="P4712">
        <v>0</v>
      </c>
      <c r="Q4712">
        <v>8</v>
      </c>
      <c r="R4712" t="s">
        <v>45101</v>
      </c>
      <c r="S4712" t="s">
        <v>45231</v>
      </c>
      <c r="T4712" t="s">
        <v>47083</v>
      </c>
      <c r="U4712" t="s">
        <v>51445</v>
      </c>
      <c r="V4712" t="s">
        <v>60352</v>
      </c>
      <c r="W4712" t="s">
        <v>61710</v>
      </c>
      <c r="X4712" t="s">
        <v>45102</v>
      </c>
    </row>
    <row r="4713" spans="1:24">
      <c r="A4713">
        <f>HYPERLINK("https://www.philgeps.gov.ph/GEPSNONPILOT/Tender/SplashBidNoticeAbstractUI.aspx?menuIndex=3&amp;refID=7042919&amp;Result=3","7042919")</f>
        <v>0</v>
      </c>
      <c r="B4713" t="s">
        <v>1506</v>
      </c>
      <c r="C4713" t="s">
        <v>7697</v>
      </c>
      <c r="D4713" t="s">
        <v>18027</v>
      </c>
      <c r="E4713" t="s">
        <v>22326</v>
      </c>
      <c r="F4713" t="s">
        <v>31574</v>
      </c>
      <c r="G4713" t="s">
        <v>31583</v>
      </c>
      <c r="H4713" t="s">
        <v>31590</v>
      </c>
      <c r="I4713" t="s">
        <v>31622</v>
      </c>
      <c r="J4713" t="s">
        <v>31727</v>
      </c>
      <c r="K4713" t="s">
        <v>41197</v>
      </c>
      <c r="M4713" t="s">
        <v>43093</v>
      </c>
      <c r="N4713" t="s">
        <v>45095</v>
      </c>
      <c r="O4713" t="s">
        <v>45096</v>
      </c>
      <c r="P4713">
        <v>0</v>
      </c>
      <c r="Q4713">
        <v>2</v>
      </c>
      <c r="R4713" t="s">
        <v>45101</v>
      </c>
      <c r="S4713" t="s">
        <v>45231</v>
      </c>
      <c r="T4713" t="s">
        <v>46957</v>
      </c>
      <c r="U4713" t="s">
        <v>51446</v>
      </c>
      <c r="W4713" t="s">
        <v>43093</v>
      </c>
      <c r="X4713" t="s">
        <v>45102</v>
      </c>
    </row>
    <row r="4714" spans="1:24">
      <c r="A4714">
        <f>HYPERLINK("https://www.philgeps.gov.ph/GEPSNONPILOT/Tender/SplashBidNoticeAbstractUI.aspx?menuIndex=3&amp;refID=7042931&amp;Result=3","7042931")</f>
        <v>0</v>
      </c>
      <c r="B4714" t="s">
        <v>759</v>
      </c>
      <c r="C4714" t="s">
        <v>7698</v>
      </c>
      <c r="E4714" t="s">
        <v>22327</v>
      </c>
      <c r="F4714" t="s">
        <v>31574</v>
      </c>
      <c r="G4714" t="s">
        <v>31581</v>
      </c>
      <c r="H4714" t="s">
        <v>31590</v>
      </c>
      <c r="I4714" t="s">
        <v>8258</v>
      </c>
      <c r="J4714" t="s">
        <v>34290</v>
      </c>
      <c r="K4714" t="s">
        <v>41184</v>
      </c>
      <c r="M4714" t="s">
        <v>42273</v>
      </c>
      <c r="N4714" t="s">
        <v>45095</v>
      </c>
      <c r="O4714" t="s">
        <v>45096</v>
      </c>
      <c r="P4714">
        <v>0</v>
      </c>
      <c r="Q4714">
        <v>9</v>
      </c>
      <c r="R4714" t="s">
        <v>45101</v>
      </c>
      <c r="S4714" t="s">
        <v>45231</v>
      </c>
      <c r="T4714" t="s">
        <v>47125</v>
      </c>
      <c r="U4714" t="s">
        <v>49095</v>
      </c>
      <c r="V4714" t="s">
        <v>60035</v>
      </c>
      <c r="W4714" t="s">
        <v>42273</v>
      </c>
      <c r="X4714" t="s">
        <v>45102</v>
      </c>
    </row>
    <row r="4715" spans="1:24">
      <c r="A4715">
        <f>HYPERLINK("https://www.philgeps.gov.ph/GEPSNONPILOT/Tender/SplashBidNoticeAbstractUI.aspx?menuIndex=3&amp;refID=7042916&amp;Result=3","7042916")</f>
        <v>0</v>
      </c>
      <c r="B4715" t="s">
        <v>1338</v>
      </c>
      <c r="C4715" t="s">
        <v>7699</v>
      </c>
      <c r="D4715" t="s">
        <v>18043</v>
      </c>
      <c r="E4715" t="s">
        <v>22328</v>
      </c>
      <c r="F4715" t="s">
        <v>31574</v>
      </c>
      <c r="G4715" t="s">
        <v>31584</v>
      </c>
      <c r="H4715" t="s">
        <v>31590</v>
      </c>
      <c r="I4715" t="s">
        <v>4327</v>
      </c>
      <c r="J4715" t="s">
        <v>31741</v>
      </c>
      <c r="K4715" t="s">
        <v>41186</v>
      </c>
      <c r="M4715" t="s">
        <v>42910</v>
      </c>
      <c r="N4715" t="s">
        <v>45095</v>
      </c>
      <c r="O4715" t="s">
        <v>45096</v>
      </c>
      <c r="P4715">
        <v>0</v>
      </c>
      <c r="Q4715">
        <v>1</v>
      </c>
      <c r="R4715" t="s">
        <v>45101</v>
      </c>
      <c r="S4715" t="s">
        <v>45231</v>
      </c>
      <c r="T4715" t="s">
        <v>46969</v>
      </c>
      <c r="U4715" t="s">
        <v>51447</v>
      </c>
      <c r="V4715" t="s">
        <v>60224</v>
      </c>
      <c r="W4715" t="s">
        <v>42910</v>
      </c>
      <c r="X4715" t="s">
        <v>45102</v>
      </c>
    </row>
    <row r="4716" spans="1:24">
      <c r="A4716">
        <f>HYPERLINK("https://www.philgeps.gov.ph/GEPSNONPILOT/Tender/SplashBidNoticeAbstractUI.aspx?menuIndex=3&amp;refID=7042925&amp;Result=3","7042925")</f>
        <v>0</v>
      </c>
      <c r="B4716" t="s">
        <v>760</v>
      </c>
      <c r="C4716" t="s">
        <v>7700</v>
      </c>
      <c r="D4716" t="s">
        <v>18073</v>
      </c>
      <c r="E4716" t="s">
        <v>22329</v>
      </c>
      <c r="F4716" t="s">
        <v>31574</v>
      </c>
      <c r="G4716" t="s">
        <v>31581</v>
      </c>
      <c r="H4716" t="s">
        <v>31590</v>
      </c>
      <c r="I4716" t="s">
        <v>31608</v>
      </c>
      <c r="J4716" t="s">
        <v>34788</v>
      </c>
      <c r="K4716" t="s">
        <v>41206</v>
      </c>
      <c r="M4716" t="s">
        <v>42274</v>
      </c>
      <c r="N4716" t="s">
        <v>45095</v>
      </c>
      <c r="O4716" t="s">
        <v>45096</v>
      </c>
      <c r="P4716">
        <v>0</v>
      </c>
      <c r="Q4716">
        <v>7</v>
      </c>
      <c r="R4716" t="s">
        <v>45101</v>
      </c>
      <c r="S4716" t="s">
        <v>45231</v>
      </c>
      <c r="T4716" t="s">
        <v>47125</v>
      </c>
      <c r="U4716" t="s">
        <v>49096</v>
      </c>
      <c r="W4716" t="s">
        <v>42274</v>
      </c>
      <c r="X4716" t="s">
        <v>45102</v>
      </c>
    </row>
    <row r="4717" spans="1:24">
      <c r="A4717">
        <f>HYPERLINK("https://www.philgeps.gov.ph/GEPSNONPILOT/Tender/SplashBidNoticeAbstractUI.aspx?menuIndex=3&amp;refID=7042941&amp;Result=3","7042941")</f>
        <v>0</v>
      </c>
      <c r="B4717" t="s">
        <v>1587</v>
      </c>
      <c r="C4717" t="s">
        <v>7701</v>
      </c>
      <c r="E4717" t="s">
        <v>22330</v>
      </c>
      <c r="F4717" t="s">
        <v>31574</v>
      </c>
      <c r="G4717" t="s">
        <v>31581</v>
      </c>
      <c r="H4717" t="s">
        <v>31590</v>
      </c>
      <c r="I4717" t="s">
        <v>31600</v>
      </c>
      <c r="J4717" t="s">
        <v>33116</v>
      </c>
      <c r="K4717" t="s">
        <v>41184</v>
      </c>
      <c r="M4717" t="s">
        <v>43191</v>
      </c>
      <c r="N4717" t="s">
        <v>45095</v>
      </c>
      <c r="O4717" t="s">
        <v>45096</v>
      </c>
      <c r="P4717">
        <v>0</v>
      </c>
      <c r="Q4717">
        <v>0</v>
      </c>
      <c r="R4717" t="s">
        <v>45101</v>
      </c>
      <c r="S4717" t="s">
        <v>45231</v>
      </c>
      <c r="T4717" t="s">
        <v>47067</v>
      </c>
      <c r="U4717" t="s">
        <v>51448</v>
      </c>
      <c r="W4717" t="s">
        <v>43191</v>
      </c>
      <c r="X4717" t="s">
        <v>45102</v>
      </c>
    </row>
    <row r="4718" spans="1:24">
      <c r="A4718">
        <f>HYPERLINK("https://www.philgeps.gov.ph/GEPSNONPILOT/Tender/SplashBidNoticeAbstractUI.aspx?menuIndex=3&amp;refID=7042946&amp;Result=3","7042946")</f>
        <v>0</v>
      </c>
      <c r="B4718" t="s">
        <v>1582</v>
      </c>
      <c r="C4718" t="s">
        <v>7702</v>
      </c>
      <c r="D4718" t="s">
        <v>18037</v>
      </c>
      <c r="E4718" t="s">
        <v>22331</v>
      </c>
      <c r="F4718" t="s">
        <v>31574</v>
      </c>
      <c r="G4718" t="s">
        <v>31582</v>
      </c>
      <c r="H4718" t="s">
        <v>31590</v>
      </c>
      <c r="I4718" t="s">
        <v>4046</v>
      </c>
      <c r="J4718" t="s">
        <v>34789</v>
      </c>
      <c r="K4718" t="s">
        <v>41196</v>
      </c>
      <c r="M4718" t="s">
        <v>43186</v>
      </c>
      <c r="N4718" t="s">
        <v>45095</v>
      </c>
      <c r="O4718" t="s">
        <v>45096</v>
      </c>
      <c r="P4718">
        <v>0</v>
      </c>
      <c r="Q4718">
        <v>0</v>
      </c>
      <c r="R4718" t="s">
        <v>45101</v>
      </c>
      <c r="S4718" t="s">
        <v>45231</v>
      </c>
      <c r="T4718" t="s">
        <v>46949</v>
      </c>
      <c r="U4718" t="s">
        <v>51449</v>
      </c>
      <c r="W4718" t="s">
        <v>43186</v>
      </c>
      <c r="X4718" t="s">
        <v>45102</v>
      </c>
    </row>
    <row r="4719" spans="1:24">
      <c r="A4719">
        <f>HYPERLINK("https://www.philgeps.gov.ph/GEPSNONPILOT/Tender/SplashBidNoticeAbstractUI.aspx?menuIndex=3&amp;refID=7042930&amp;Result=3","7042930")</f>
        <v>0</v>
      </c>
      <c r="B4719" t="s">
        <v>74</v>
      </c>
      <c r="C4719" t="s">
        <v>7703</v>
      </c>
      <c r="D4719" t="s">
        <v>18037</v>
      </c>
      <c r="E4719" t="s">
        <v>22332</v>
      </c>
      <c r="F4719" t="s">
        <v>31574</v>
      </c>
      <c r="G4719" t="s">
        <v>31582</v>
      </c>
      <c r="H4719" t="s">
        <v>31590</v>
      </c>
      <c r="I4719" t="s">
        <v>31607</v>
      </c>
      <c r="J4719" t="s">
        <v>34790</v>
      </c>
      <c r="K4719" t="s">
        <v>41186</v>
      </c>
      <c r="M4719" t="s">
        <v>41558</v>
      </c>
      <c r="N4719" t="s">
        <v>45095</v>
      </c>
      <c r="O4719" t="s">
        <v>45096</v>
      </c>
      <c r="P4719">
        <v>0</v>
      </c>
      <c r="Q4719">
        <v>7</v>
      </c>
      <c r="R4719" t="s">
        <v>45101</v>
      </c>
      <c r="S4719" t="s">
        <v>45231</v>
      </c>
      <c r="T4719" t="s">
        <v>47011</v>
      </c>
      <c r="U4719" t="s">
        <v>51450</v>
      </c>
      <c r="V4719" t="s">
        <v>60353</v>
      </c>
      <c r="W4719" t="s">
        <v>41558</v>
      </c>
      <c r="X4719" t="s">
        <v>45102</v>
      </c>
    </row>
    <row r="4720" spans="1:24">
      <c r="A4720">
        <f>HYPERLINK("https://www.philgeps.gov.ph/GEPSNONPILOT/Tender/SplashBidNoticeAbstractUI.aspx?menuIndex=3&amp;refID=7042926&amp;Result=3","7042926")</f>
        <v>0</v>
      </c>
      <c r="B4720" t="s">
        <v>1584</v>
      </c>
      <c r="C4720" t="s">
        <v>7704</v>
      </c>
      <c r="D4720" t="s">
        <v>18079</v>
      </c>
      <c r="E4720" t="s">
        <v>22333</v>
      </c>
      <c r="F4720" t="s">
        <v>31574</v>
      </c>
      <c r="G4720" t="s">
        <v>31581</v>
      </c>
      <c r="H4720" t="s">
        <v>31590</v>
      </c>
      <c r="I4720" t="s">
        <v>3489</v>
      </c>
      <c r="J4720" t="s">
        <v>34791</v>
      </c>
      <c r="K4720" t="s">
        <v>41190</v>
      </c>
      <c r="M4720" t="s">
        <v>43188</v>
      </c>
      <c r="N4720" t="s">
        <v>45095</v>
      </c>
      <c r="O4720" t="s">
        <v>45096</v>
      </c>
      <c r="P4720">
        <v>0</v>
      </c>
      <c r="Q4720">
        <v>0</v>
      </c>
      <c r="R4720" t="s">
        <v>45101</v>
      </c>
      <c r="S4720" t="s">
        <v>45231</v>
      </c>
      <c r="T4720" t="s">
        <v>47159</v>
      </c>
      <c r="U4720" t="s">
        <v>51439</v>
      </c>
      <c r="W4720" t="s">
        <v>43188</v>
      </c>
      <c r="X4720" t="s">
        <v>45102</v>
      </c>
    </row>
    <row r="4721" spans="1:24">
      <c r="A4721">
        <f>HYPERLINK("https://www.philgeps.gov.ph/GEPSNONPILOT/Tender/SplashBidNoticeAbstractUI.aspx?menuIndex=3&amp;refID=7042945&amp;Result=3","7042945")</f>
        <v>0</v>
      </c>
      <c r="B4721" t="s">
        <v>125</v>
      </c>
      <c r="C4721" t="s">
        <v>7705</v>
      </c>
      <c r="D4721" t="s">
        <v>18039</v>
      </c>
      <c r="E4721" t="s">
        <v>22334</v>
      </c>
      <c r="F4721" t="s">
        <v>31574</v>
      </c>
      <c r="G4721" t="s">
        <v>31582</v>
      </c>
      <c r="H4721" t="s">
        <v>31590</v>
      </c>
      <c r="I4721" t="s">
        <v>31615</v>
      </c>
      <c r="J4721" t="s">
        <v>34792</v>
      </c>
      <c r="K4721" t="s">
        <v>41192</v>
      </c>
      <c r="M4721" t="s">
        <v>41609</v>
      </c>
      <c r="N4721" t="s">
        <v>45095</v>
      </c>
      <c r="O4721" t="s">
        <v>45096</v>
      </c>
      <c r="P4721">
        <v>0</v>
      </c>
      <c r="Q4721">
        <v>5</v>
      </c>
      <c r="R4721" t="s">
        <v>45101</v>
      </c>
      <c r="S4721" t="s">
        <v>45231</v>
      </c>
      <c r="T4721" t="s">
        <v>46919</v>
      </c>
      <c r="U4721" t="s">
        <v>51451</v>
      </c>
      <c r="W4721" t="s">
        <v>41609</v>
      </c>
      <c r="X4721" t="s">
        <v>45102</v>
      </c>
    </row>
    <row r="4722" spans="1:24">
      <c r="A4722">
        <f>HYPERLINK("https://www.philgeps.gov.ph/GEPSNONPILOT/Tender/SplashBidNoticeAbstractUI.aspx?menuIndex=3&amp;refID=7042952&amp;Result=3","7042952")</f>
        <v>0</v>
      </c>
      <c r="B4722" t="s">
        <v>319</v>
      </c>
      <c r="C4722" t="s">
        <v>7706</v>
      </c>
      <c r="D4722" t="s">
        <v>18065</v>
      </c>
      <c r="E4722" t="s">
        <v>22335</v>
      </c>
      <c r="F4722" t="s">
        <v>31574</v>
      </c>
      <c r="G4722" t="s">
        <v>31584</v>
      </c>
      <c r="H4722" t="s">
        <v>31590</v>
      </c>
      <c r="I4722" t="s">
        <v>6800</v>
      </c>
      <c r="J4722" t="s">
        <v>31857</v>
      </c>
      <c r="K4722" t="s">
        <v>41193</v>
      </c>
      <c r="M4722" t="s">
        <v>41807</v>
      </c>
      <c r="N4722" t="s">
        <v>45095</v>
      </c>
      <c r="O4722" t="s">
        <v>45096</v>
      </c>
      <c r="P4722">
        <v>0</v>
      </c>
      <c r="Q4722">
        <v>3</v>
      </c>
      <c r="R4722" t="s">
        <v>45101</v>
      </c>
      <c r="S4722" t="s">
        <v>45231</v>
      </c>
      <c r="T4722" t="s">
        <v>47050</v>
      </c>
      <c r="U4722" t="s">
        <v>51452</v>
      </c>
      <c r="W4722" t="s">
        <v>61662</v>
      </c>
      <c r="X4722" t="s">
        <v>45102</v>
      </c>
    </row>
    <row r="4723" spans="1:24">
      <c r="A4723">
        <f>HYPERLINK("https://www.philgeps.gov.ph/GEPSNONPILOT/Tender/SplashBidNoticeAbstractUI.aspx?menuIndex=3&amp;refID=7042958&amp;Result=3","7042958")</f>
        <v>0</v>
      </c>
      <c r="B4723" t="s">
        <v>366</v>
      </c>
      <c r="C4723" t="s">
        <v>7707</v>
      </c>
      <c r="D4723" t="s">
        <v>18089</v>
      </c>
      <c r="E4723" t="s">
        <v>22336</v>
      </c>
      <c r="F4723" t="s">
        <v>31574</v>
      </c>
      <c r="G4723" t="s">
        <v>31581</v>
      </c>
      <c r="H4723" t="s">
        <v>31590</v>
      </c>
      <c r="I4723" t="s">
        <v>5717</v>
      </c>
      <c r="J4723" t="s">
        <v>34793</v>
      </c>
      <c r="K4723" t="s">
        <v>41184</v>
      </c>
      <c r="M4723" t="s">
        <v>41856</v>
      </c>
      <c r="N4723" t="s">
        <v>45095</v>
      </c>
      <c r="O4723" t="s">
        <v>45096</v>
      </c>
      <c r="P4723">
        <v>0</v>
      </c>
      <c r="Q4723">
        <v>1</v>
      </c>
      <c r="R4723" t="s">
        <v>45101</v>
      </c>
      <c r="S4723" t="s">
        <v>45231</v>
      </c>
      <c r="T4723" t="s">
        <v>47171</v>
      </c>
      <c r="U4723" t="s">
        <v>51453</v>
      </c>
      <c r="W4723" t="s">
        <v>41856</v>
      </c>
      <c r="X4723" t="s">
        <v>45102</v>
      </c>
    </row>
    <row r="4724" spans="1:24">
      <c r="A4724">
        <f>HYPERLINK("https://www.philgeps.gov.ph/GEPSNONPILOT/Tender/SplashBidNoticeAbstractUI.aspx?menuIndex=3&amp;refID=7042947&amp;Result=3","7042947")</f>
        <v>0</v>
      </c>
      <c r="B4724" t="s">
        <v>1564</v>
      </c>
      <c r="C4724" t="s">
        <v>7708</v>
      </c>
      <c r="D4724" t="s">
        <v>18022</v>
      </c>
      <c r="E4724" t="s">
        <v>22337</v>
      </c>
      <c r="F4724" t="s">
        <v>31574</v>
      </c>
      <c r="G4724" t="s">
        <v>31581</v>
      </c>
      <c r="H4724" t="s">
        <v>31590</v>
      </c>
      <c r="I4724" t="s">
        <v>31608</v>
      </c>
      <c r="J4724" t="s">
        <v>32258</v>
      </c>
      <c r="K4724" t="s">
        <v>41321</v>
      </c>
      <c r="M4724" t="s">
        <v>43163</v>
      </c>
      <c r="N4724" t="s">
        <v>45095</v>
      </c>
      <c r="O4724" t="s">
        <v>45096</v>
      </c>
      <c r="P4724">
        <v>0</v>
      </c>
      <c r="Q4724">
        <v>4</v>
      </c>
      <c r="R4724" t="s">
        <v>45101</v>
      </c>
      <c r="S4724" t="s">
        <v>45231</v>
      </c>
      <c r="T4724" t="s">
        <v>47064</v>
      </c>
      <c r="U4724" t="s">
        <v>51454</v>
      </c>
      <c r="V4724" t="s">
        <v>60338</v>
      </c>
      <c r="W4724" t="s">
        <v>43163</v>
      </c>
      <c r="X4724" t="s">
        <v>45102</v>
      </c>
    </row>
    <row r="4725" spans="1:24">
      <c r="A4725">
        <f>HYPERLINK("https://www.philgeps.gov.ph/GEPSNONPILOT/Tender/SplashBidNoticeAbstractUI.aspx?menuIndex=3&amp;refID=7042962&amp;Result=3","7042962")</f>
        <v>0</v>
      </c>
      <c r="B4725" t="s">
        <v>1588</v>
      </c>
      <c r="C4725" t="s">
        <v>7709</v>
      </c>
      <c r="D4725" t="s">
        <v>18079</v>
      </c>
      <c r="E4725" t="s">
        <v>22338</v>
      </c>
      <c r="F4725" t="s">
        <v>31574</v>
      </c>
      <c r="G4725" t="s">
        <v>31582</v>
      </c>
      <c r="H4725" t="s">
        <v>31591</v>
      </c>
      <c r="I4725" t="s">
        <v>8822</v>
      </c>
      <c r="J4725" t="s">
        <v>33252</v>
      </c>
      <c r="K4725" t="s">
        <v>41243</v>
      </c>
      <c r="M4725" t="s">
        <v>43192</v>
      </c>
      <c r="N4725" t="s">
        <v>45095</v>
      </c>
      <c r="O4725" t="s">
        <v>45096</v>
      </c>
      <c r="P4725">
        <v>0</v>
      </c>
      <c r="Q4725">
        <v>0</v>
      </c>
      <c r="R4725" t="s">
        <v>45101</v>
      </c>
      <c r="S4725" t="s">
        <v>45231</v>
      </c>
      <c r="T4725" t="s">
        <v>46939</v>
      </c>
      <c r="U4725" t="s">
        <v>51455</v>
      </c>
      <c r="W4725" t="s">
        <v>43192</v>
      </c>
      <c r="X4725" t="s">
        <v>45102</v>
      </c>
    </row>
    <row r="4726" spans="1:24">
      <c r="A4726">
        <f>HYPERLINK("https://www.philgeps.gov.ph/GEPSNONPILOT/Tender/SplashBidNoticeAbstractUI.aspx?menuIndex=3&amp;refID=7042966&amp;Result=3","7042966")</f>
        <v>0</v>
      </c>
      <c r="B4726" t="s">
        <v>1589</v>
      </c>
      <c r="C4726" t="s">
        <v>7710</v>
      </c>
      <c r="D4726" t="s">
        <v>18022</v>
      </c>
      <c r="E4726" t="s">
        <v>22339</v>
      </c>
      <c r="F4726" t="s">
        <v>31574</v>
      </c>
      <c r="G4726" t="s">
        <v>31582</v>
      </c>
      <c r="H4726" t="s">
        <v>31590</v>
      </c>
      <c r="I4726" t="s">
        <v>6800</v>
      </c>
      <c r="J4726" t="s">
        <v>34794</v>
      </c>
      <c r="K4726" t="s">
        <v>41196</v>
      </c>
      <c r="M4726" t="s">
        <v>43193</v>
      </c>
      <c r="N4726" t="s">
        <v>45095</v>
      </c>
      <c r="O4726" t="s">
        <v>45096</v>
      </c>
      <c r="P4726">
        <v>0</v>
      </c>
      <c r="Q4726">
        <v>1</v>
      </c>
      <c r="R4726" t="s">
        <v>45101</v>
      </c>
      <c r="S4726" t="s">
        <v>45231</v>
      </c>
      <c r="T4726" t="s">
        <v>47004</v>
      </c>
      <c r="U4726" t="s">
        <v>47916</v>
      </c>
      <c r="W4726" t="s">
        <v>43193</v>
      </c>
      <c r="X4726" t="s">
        <v>45102</v>
      </c>
    </row>
    <row r="4727" spans="1:24">
      <c r="A4727">
        <f>HYPERLINK("https://www.philgeps.gov.ph/GEPSNONPILOT/Tender/SplashBidNoticeAbstractUI.aspx?menuIndex=3&amp;refID=7042982&amp;Result=3","7042982")</f>
        <v>0</v>
      </c>
      <c r="B4727" t="s">
        <v>760</v>
      </c>
      <c r="C4727" t="s">
        <v>7711</v>
      </c>
      <c r="D4727" t="s">
        <v>18073</v>
      </c>
      <c r="E4727" t="s">
        <v>22340</v>
      </c>
      <c r="F4727" t="s">
        <v>31574</v>
      </c>
      <c r="G4727" t="s">
        <v>31582</v>
      </c>
      <c r="H4727" t="s">
        <v>31591</v>
      </c>
      <c r="I4727" t="s">
        <v>8822</v>
      </c>
      <c r="J4727" t="s">
        <v>31819</v>
      </c>
      <c r="K4727" t="s">
        <v>41189</v>
      </c>
      <c r="M4727" t="s">
        <v>42274</v>
      </c>
      <c r="N4727" t="s">
        <v>45095</v>
      </c>
      <c r="O4727" t="s">
        <v>45096</v>
      </c>
      <c r="P4727">
        <v>0</v>
      </c>
      <c r="Q4727">
        <v>2</v>
      </c>
      <c r="R4727" t="s">
        <v>45101</v>
      </c>
      <c r="S4727" t="s">
        <v>45231</v>
      </c>
      <c r="T4727" t="s">
        <v>47222</v>
      </c>
      <c r="U4727" t="s">
        <v>51456</v>
      </c>
      <c r="W4727" t="s">
        <v>42274</v>
      </c>
      <c r="X4727" t="s">
        <v>45102</v>
      </c>
    </row>
    <row r="4728" spans="1:24">
      <c r="A4728">
        <f>HYPERLINK("https://www.philgeps.gov.ph/GEPSNONPILOT/Tender/SplashBidNoticeAbstractUI.aspx?menuIndex=3&amp;refID=7042981&amp;Result=3","7042981")</f>
        <v>0</v>
      </c>
      <c r="B4728" t="s">
        <v>1589</v>
      </c>
      <c r="C4728" t="s">
        <v>7712</v>
      </c>
      <c r="D4728" t="s">
        <v>18022</v>
      </c>
      <c r="E4728" t="s">
        <v>22341</v>
      </c>
      <c r="F4728" t="s">
        <v>31574</v>
      </c>
      <c r="G4728" t="s">
        <v>31582</v>
      </c>
      <c r="H4728" t="s">
        <v>31590</v>
      </c>
      <c r="I4728" t="s">
        <v>6800</v>
      </c>
      <c r="J4728" t="s">
        <v>34795</v>
      </c>
      <c r="K4728" t="s">
        <v>41196</v>
      </c>
      <c r="M4728" t="s">
        <v>43193</v>
      </c>
      <c r="N4728" t="s">
        <v>45095</v>
      </c>
      <c r="O4728" t="s">
        <v>45096</v>
      </c>
      <c r="P4728">
        <v>0</v>
      </c>
      <c r="Q4728">
        <v>1</v>
      </c>
      <c r="R4728" t="s">
        <v>45101</v>
      </c>
      <c r="S4728" t="s">
        <v>45231</v>
      </c>
      <c r="T4728" t="s">
        <v>47004</v>
      </c>
      <c r="U4728" t="s">
        <v>47916</v>
      </c>
      <c r="W4728" t="s">
        <v>43193</v>
      </c>
      <c r="X4728" t="s">
        <v>45102</v>
      </c>
    </row>
    <row r="4729" spans="1:24">
      <c r="A4729">
        <f>HYPERLINK("https://www.philgeps.gov.ph/GEPSNONPILOT/Tender/SplashBidNoticeAbstractUI.aspx?menuIndex=3&amp;refID=7042964&amp;Result=3","7042964")</f>
        <v>0</v>
      </c>
      <c r="B4729" t="s">
        <v>1554</v>
      </c>
      <c r="C4729" t="s">
        <v>7713</v>
      </c>
      <c r="D4729" t="s">
        <v>18056</v>
      </c>
      <c r="E4729" t="s">
        <v>22342</v>
      </c>
      <c r="F4729" t="s">
        <v>31574</v>
      </c>
      <c r="G4729" t="s">
        <v>31581</v>
      </c>
      <c r="H4729" t="s">
        <v>31590</v>
      </c>
      <c r="I4729" t="s">
        <v>31619</v>
      </c>
      <c r="J4729" t="s">
        <v>34796</v>
      </c>
      <c r="K4729" t="s">
        <v>41191</v>
      </c>
      <c r="M4729" t="s">
        <v>43153</v>
      </c>
      <c r="N4729" t="s">
        <v>45095</v>
      </c>
      <c r="O4729" t="s">
        <v>45096</v>
      </c>
      <c r="P4729">
        <v>0</v>
      </c>
      <c r="Q4729">
        <v>4</v>
      </c>
      <c r="R4729" t="s">
        <v>45101</v>
      </c>
      <c r="S4729" t="s">
        <v>45231</v>
      </c>
      <c r="T4729" t="s">
        <v>47159</v>
      </c>
      <c r="U4729" t="s">
        <v>51457</v>
      </c>
      <c r="W4729" t="s">
        <v>43153</v>
      </c>
      <c r="X4729" t="s">
        <v>45102</v>
      </c>
    </row>
    <row r="4730" spans="1:24">
      <c r="A4730">
        <f>HYPERLINK("https://www.philgeps.gov.ph/GEPSNONPILOT/Tender/SplashBidNoticeAbstractUI.aspx?menuIndex=3&amp;refID=7042955&amp;Result=3","7042955")</f>
        <v>0</v>
      </c>
      <c r="B4730" t="s">
        <v>1590</v>
      </c>
      <c r="C4730" t="s">
        <v>7714</v>
      </c>
      <c r="D4730" t="s">
        <v>18075</v>
      </c>
      <c r="E4730" t="s">
        <v>22343</v>
      </c>
      <c r="F4730" t="s">
        <v>31574</v>
      </c>
      <c r="G4730" t="s">
        <v>31582</v>
      </c>
      <c r="H4730" t="s">
        <v>31591</v>
      </c>
      <c r="I4730" t="s">
        <v>31627</v>
      </c>
      <c r="J4730" t="s">
        <v>34797</v>
      </c>
      <c r="K4730" t="s">
        <v>41243</v>
      </c>
      <c r="M4730" t="s">
        <v>43194</v>
      </c>
      <c r="N4730" t="s">
        <v>45095</v>
      </c>
      <c r="O4730" t="s">
        <v>45096</v>
      </c>
      <c r="P4730">
        <v>0</v>
      </c>
      <c r="Q4730">
        <v>2</v>
      </c>
      <c r="R4730" t="s">
        <v>45101</v>
      </c>
      <c r="S4730" t="s">
        <v>45231</v>
      </c>
      <c r="T4730" t="s">
        <v>46916</v>
      </c>
      <c r="U4730" t="s">
        <v>51458</v>
      </c>
      <c r="W4730" t="s">
        <v>43194</v>
      </c>
      <c r="X4730" t="s">
        <v>45102</v>
      </c>
    </row>
    <row r="4731" spans="1:24">
      <c r="A4731">
        <f>HYPERLINK("https://www.philgeps.gov.ph/GEPSNONPILOT/Tender/SplashBidNoticeAbstractUI.aspx?menuIndex=3&amp;refID=7042971&amp;Result=3","7042971")</f>
        <v>0</v>
      </c>
      <c r="B4731" t="s">
        <v>1591</v>
      </c>
      <c r="C4731" t="s">
        <v>7715</v>
      </c>
      <c r="D4731" t="s">
        <v>18058</v>
      </c>
      <c r="E4731" t="s">
        <v>22344</v>
      </c>
      <c r="F4731" t="s">
        <v>31574</v>
      </c>
      <c r="G4731" t="s">
        <v>31582</v>
      </c>
      <c r="H4731" t="s">
        <v>31590</v>
      </c>
      <c r="I4731" t="s">
        <v>5717</v>
      </c>
      <c r="J4731" t="s">
        <v>34798</v>
      </c>
      <c r="K4731" t="s">
        <v>41186</v>
      </c>
      <c r="M4731" t="s">
        <v>43195</v>
      </c>
      <c r="N4731" t="s">
        <v>45095</v>
      </c>
      <c r="O4731" t="s">
        <v>45096</v>
      </c>
      <c r="P4731">
        <v>0</v>
      </c>
      <c r="Q4731">
        <v>1</v>
      </c>
      <c r="R4731" t="s">
        <v>45101</v>
      </c>
      <c r="S4731" t="s">
        <v>45231</v>
      </c>
      <c r="T4731" t="s">
        <v>47223</v>
      </c>
      <c r="U4731" t="s">
        <v>51459</v>
      </c>
      <c r="V4731" t="s">
        <v>60354</v>
      </c>
      <c r="W4731" t="s">
        <v>43195</v>
      </c>
      <c r="X4731" t="s">
        <v>45102</v>
      </c>
    </row>
    <row r="4732" spans="1:24">
      <c r="A4732">
        <f>HYPERLINK("https://www.philgeps.gov.ph/GEPSNONPILOT/Tender/SplashBidNoticeAbstractUI.aspx?menuIndex=3&amp;refID=7042978&amp;Result=3","7042978")</f>
        <v>0</v>
      </c>
      <c r="B4732" t="s">
        <v>401</v>
      </c>
      <c r="C4732" t="s">
        <v>7716</v>
      </c>
      <c r="D4732" t="s">
        <v>18052</v>
      </c>
      <c r="E4732" t="s">
        <v>22345</v>
      </c>
      <c r="F4732" t="s">
        <v>31574</v>
      </c>
      <c r="G4732" t="s">
        <v>31582</v>
      </c>
      <c r="H4732" t="s">
        <v>31590</v>
      </c>
      <c r="I4732" t="s">
        <v>14544</v>
      </c>
      <c r="J4732" t="s">
        <v>34799</v>
      </c>
      <c r="K4732" t="s">
        <v>41186</v>
      </c>
      <c r="M4732" t="s">
        <v>41892</v>
      </c>
      <c r="N4732" t="s">
        <v>45095</v>
      </c>
      <c r="O4732" t="s">
        <v>45096</v>
      </c>
      <c r="P4732">
        <v>0</v>
      </c>
      <c r="Q4732">
        <v>1</v>
      </c>
      <c r="R4732" t="s">
        <v>45101</v>
      </c>
      <c r="S4732" t="s">
        <v>45231</v>
      </c>
      <c r="T4732" t="s">
        <v>46914</v>
      </c>
      <c r="U4732" t="s">
        <v>51307</v>
      </c>
      <c r="W4732" t="s">
        <v>41892</v>
      </c>
      <c r="X4732" t="s">
        <v>45102</v>
      </c>
    </row>
    <row r="4733" spans="1:24">
      <c r="A4733">
        <f>HYPERLINK("https://www.philgeps.gov.ph/GEPSNONPILOT/Tender/SplashBidNoticeAbstractUI.aspx?menuIndex=3&amp;refID=7042972&amp;Result=3","7042972")</f>
        <v>0</v>
      </c>
      <c r="B4733" t="s">
        <v>1301</v>
      </c>
      <c r="C4733" t="s">
        <v>7717</v>
      </c>
      <c r="E4733" t="s">
        <v>22346</v>
      </c>
      <c r="F4733" t="s">
        <v>31574</v>
      </c>
      <c r="G4733" t="s">
        <v>31581</v>
      </c>
      <c r="H4733" t="s">
        <v>31590</v>
      </c>
      <c r="I4733" t="s">
        <v>31630</v>
      </c>
      <c r="J4733" t="s">
        <v>34800</v>
      </c>
      <c r="K4733" t="s">
        <v>41184</v>
      </c>
      <c r="M4733" t="s">
        <v>42871</v>
      </c>
      <c r="N4733" t="s">
        <v>45095</v>
      </c>
      <c r="O4733" t="s">
        <v>45096</v>
      </c>
      <c r="P4733">
        <v>0</v>
      </c>
      <c r="Q4733">
        <v>0</v>
      </c>
      <c r="R4733" t="s">
        <v>45101</v>
      </c>
      <c r="S4733" t="s">
        <v>45231</v>
      </c>
      <c r="T4733" t="s">
        <v>47159</v>
      </c>
      <c r="U4733" t="s">
        <v>51460</v>
      </c>
      <c r="W4733" t="s">
        <v>42871</v>
      </c>
      <c r="X4733" t="s">
        <v>45102</v>
      </c>
    </row>
    <row r="4734" spans="1:24">
      <c r="A4734">
        <f>HYPERLINK("https://www.philgeps.gov.ph/GEPSNONPILOT/Tender/SplashBidNoticeAbstractUI.aspx?menuIndex=3&amp;refID=7042953&amp;Result=3","7042953")</f>
        <v>0</v>
      </c>
      <c r="B4734" t="s">
        <v>1592</v>
      </c>
      <c r="C4734" t="s">
        <v>7718</v>
      </c>
      <c r="D4734" t="s">
        <v>18072</v>
      </c>
      <c r="E4734" t="s">
        <v>22347</v>
      </c>
      <c r="F4734" t="s">
        <v>31574</v>
      </c>
      <c r="G4734" t="s">
        <v>31582</v>
      </c>
      <c r="H4734" t="s">
        <v>31591</v>
      </c>
      <c r="I4734" t="s">
        <v>8822</v>
      </c>
      <c r="J4734" t="s">
        <v>33288</v>
      </c>
      <c r="K4734" t="s">
        <v>41322</v>
      </c>
      <c r="M4734" t="s">
        <v>43196</v>
      </c>
      <c r="N4734" t="s">
        <v>45095</v>
      </c>
      <c r="O4734" t="s">
        <v>45096</v>
      </c>
      <c r="P4734">
        <v>0</v>
      </c>
      <c r="Q4734">
        <v>2</v>
      </c>
      <c r="R4734" t="s">
        <v>45101</v>
      </c>
      <c r="S4734" t="s">
        <v>45231</v>
      </c>
      <c r="T4734" t="s">
        <v>46965</v>
      </c>
      <c r="U4734" t="s">
        <v>51461</v>
      </c>
      <c r="W4734" t="s">
        <v>43196</v>
      </c>
      <c r="X4734" t="s">
        <v>45102</v>
      </c>
    </row>
    <row r="4735" spans="1:24">
      <c r="A4735">
        <f>HYPERLINK("https://www.philgeps.gov.ph/GEPSNONPILOT/Tender/SplashBidNoticeAbstractUI.aspx?menuIndex=3&amp;refID=7042984&amp;Result=3","7042984")</f>
        <v>0</v>
      </c>
      <c r="B4735" t="s">
        <v>1250</v>
      </c>
      <c r="C4735" t="s">
        <v>7719</v>
      </c>
      <c r="D4735" t="s">
        <v>18084</v>
      </c>
      <c r="E4735" t="s">
        <v>22348</v>
      </c>
      <c r="F4735" t="s">
        <v>31574</v>
      </c>
      <c r="G4735" t="s">
        <v>31581</v>
      </c>
      <c r="H4735" t="s">
        <v>31590</v>
      </c>
      <c r="I4735" t="s">
        <v>3487</v>
      </c>
      <c r="J4735" t="s">
        <v>32246</v>
      </c>
      <c r="K4735" t="s">
        <v>41184</v>
      </c>
      <c r="M4735" t="s">
        <v>42816</v>
      </c>
      <c r="N4735" t="s">
        <v>45095</v>
      </c>
      <c r="O4735" t="s">
        <v>45096</v>
      </c>
      <c r="P4735">
        <v>0</v>
      </c>
      <c r="Q4735">
        <v>2</v>
      </c>
      <c r="R4735" t="s">
        <v>45101</v>
      </c>
      <c r="S4735" t="s">
        <v>45231</v>
      </c>
      <c r="T4735" t="s">
        <v>46949</v>
      </c>
      <c r="U4735" t="s">
        <v>51462</v>
      </c>
      <c r="V4735" t="s">
        <v>60202</v>
      </c>
      <c r="W4735" t="s">
        <v>42816</v>
      </c>
      <c r="X4735" t="s">
        <v>45102</v>
      </c>
    </row>
    <row r="4736" spans="1:24">
      <c r="A4736">
        <f>HYPERLINK("https://www.philgeps.gov.ph/GEPSNONPILOT/Tender/SplashBidNoticeAbstractUI.aspx?menuIndex=3&amp;refID=7042987&amp;Result=3","7042987")</f>
        <v>0</v>
      </c>
      <c r="B4736" t="s">
        <v>1586</v>
      </c>
      <c r="C4736" t="s">
        <v>7720</v>
      </c>
      <c r="E4736" t="s">
        <v>22349</v>
      </c>
      <c r="F4736" t="s">
        <v>31574</v>
      </c>
      <c r="G4736" t="s">
        <v>31581</v>
      </c>
      <c r="H4736" t="s">
        <v>31590</v>
      </c>
      <c r="I4736" t="s">
        <v>31652</v>
      </c>
      <c r="J4736" t="s">
        <v>32570</v>
      </c>
      <c r="K4736" t="s">
        <v>41184</v>
      </c>
      <c r="M4736" t="s">
        <v>43190</v>
      </c>
      <c r="N4736" t="s">
        <v>45095</v>
      </c>
      <c r="O4736" t="s">
        <v>45096</v>
      </c>
      <c r="P4736">
        <v>0</v>
      </c>
      <c r="Q4736">
        <v>0</v>
      </c>
      <c r="R4736" t="s">
        <v>45101</v>
      </c>
      <c r="S4736" t="s">
        <v>45231</v>
      </c>
      <c r="T4736" t="s">
        <v>46922</v>
      </c>
      <c r="U4736" t="s">
        <v>51463</v>
      </c>
      <c r="V4736" t="s">
        <v>60355</v>
      </c>
      <c r="W4736" t="s">
        <v>61710</v>
      </c>
      <c r="X4736" t="s">
        <v>45102</v>
      </c>
    </row>
    <row r="4737" spans="1:24">
      <c r="A4737">
        <f>HYPERLINK("https://www.philgeps.gov.ph/GEPSNONPILOT/Tender/SplashBidNoticeAbstractUI.aspx?menuIndex=3&amp;refID=7043005&amp;Result=3","7043005")</f>
        <v>0</v>
      </c>
      <c r="B4737" t="s">
        <v>1593</v>
      </c>
      <c r="C4737" t="s">
        <v>7721</v>
      </c>
      <c r="D4737" t="s">
        <v>18073</v>
      </c>
      <c r="E4737" t="s">
        <v>22350</v>
      </c>
      <c r="F4737" t="s">
        <v>31574</v>
      </c>
      <c r="G4737" t="s">
        <v>31582</v>
      </c>
      <c r="H4737" t="s">
        <v>31591</v>
      </c>
      <c r="I4737" t="s">
        <v>8822</v>
      </c>
      <c r="J4737" t="s">
        <v>31789</v>
      </c>
      <c r="K4737" t="s">
        <v>41208</v>
      </c>
      <c r="M4737" t="s">
        <v>43197</v>
      </c>
      <c r="N4737" t="s">
        <v>45095</v>
      </c>
      <c r="O4737" t="s">
        <v>45096</v>
      </c>
      <c r="P4737">
        <v>0</v>
      </c>
      <c r="Q4737">
        <v>1</v>
      </c>
      <c r="R4737" t="s">
        <v>45101</v>
      </c>
      <c r="S4737" t="s">
        <v>45231</v>
      </c>
      <c r="T4737" t="s">
        <v>47224</v>
      </c>
      <c r="U4737" t="s">
        <v>51464</v>
      </c>
      <c r="W4737" t="s">
        <v>43197</v>
      </c>
      <c r="X4737" t="s">
        <v>45102</v>
      </c>
    </row>
    <row r="4738" spans="1:24">
      <c r="A4738">
        <f>HYPERLINK("https://www.philgeps.gov.ph/GEPSNONPILOT/Tender/SplashBidNoticeAbstractUI.aspx?menuIndex=3&amp;refID=7042986&amp;Result=3","7042986")</f>
        <v>0</v>
      </c>
      <c r="B4738" t="s">
        <v>1594</v>
      </c>
      <c r="C4738" t="s">
        <v>7722</v>
      </c>
      <c r="D4738" t="s">
        <v>18022</v>
      </c>
      <c r="E4738" t="s">
        <v>22351</v>
      </c>
      <c r="F4738" t="s">
        <v>31574</v>
      </c>
      <c r="G4738" t="s">
        <v>31584</v>
      </c>
      <c r="H4738" t="s">
        <v>31590</v>
      </c>
      <c r="I4738" t="s">
        <v>31595</v>
      </c>
      <c r="J4738" t="s">
        <v>34801</v>
      </c>
      <c r="K4738" t="s">
        <v>41191</v>
      </c>
      <c r="M4738" t="s">
        <v>43198</v>
      </c>
      <c r="N4738" t="s">
        <v>45095</v>
      </c>
      <c r="O4738" t="s">
        <v>45096</v>
      </c>
      <c r="P4738">
        <v>0</v>
      </c>
      <c r="Q4738">
        <v>9</v>
      </c>
      <c r="R4738" t="s">
        <v>45101</v>
      </c>
      <c r="S4738" t="s">
        <v>45231</v>
      </c>
      <c r="T4738" t="s">
        <v>47064</v>
      </c>
      <c r="U4738" t="s">
        <v>51465</v>
      </c>
      <c r="W4738" t="s">
        <v>43198</v>
      </c>
      <c r="X4738" t="s">
        <v>45102</v>
      </c>
    </row>
    <row r="4739" spans="1:24">
      <c r="A4739">
        <f>HYPERLINK("https://www.philgeps.gov.ph/GEPSNONPILOT/Tender/SplashBidNoticeAbstractUI.aspx?menuIndex=3&amp;refID=7042977&amp;Result=3","7042977")</f>
        <v>0</v>
      </c>
      <c r="B4739" t="s">
        <v>333</v>
      </c>
      <c r="C4739" t="s">
        <v>7723</v>
      </c>
      <c r="D4739" t="s">
        <v>18081</v>
      </c>
      <c r="E4739" t="s">
        <v>22352</v>
      </c>
      <c r="F4739" t="s">
        <v>31574</v>
      </c>
      <c r="G4739" t="s">
        <v>31581</v>
      </c>
      <c r="H4739" t="s">
        <v>31590</v>
      </c>
      <c r="I4739" t="s">
        <v>31619</v>
      </c>
      <c r="J4739" t="s">
        <v>34802</v>
      </c>
      <c r="K4739" t="s">
        <v>41196</v>
      </c>
      <c r="M4739" t="s">
        <v>41821</v>
      </c>
      <c r="N4739" t="s">
        <v>45095</v>
      </c>
      <c r="O4739" t="s">
        <v>45096</v>
      </c>
      <c r="P4739">
        <v>0</v>
      </c>
      <c r="Q4739">
        <v>7</v>
      </c>
      <c r="R4739" t="s">
        <v>45101</v>
      </c>
      <c r="S4739" t="s">
        <v>45231</v>
      </c>
      <c r="T4739" t="s">
        <v>47050</v>
      </c>
      <c r="U4739" t="s">
        <v>51466</v>
      </c>
      <c r="W4739" t="s">
        <v>41821</v>
      </c>
      <c r="X4739" t="s">
        <v>45102</v>
      </c>
    </row>
    <row r="4740" spans="1:24">
      <c r="A4740">
        <f>HYPERLINK("https://www.philgeps.gov.ph/GEPSNONPILOT/Tender/SplashBidNoticeAbstractUI.aspx?menuIndex=3&amp;refID=7042985&amp;Result=3","7042985")</f>
        <v>0</v>
      </c>
      <c r="B4740" t="s">
        <v>1543</v>
      </c>
      <c r="C4740" t="s">
        <v>7724</v>
      </c>
      <c r="E4740" t="s">
        <v>22353</v>
      </c>
      <c r="F4740" t="s">
        <v>31574</v>
      </c>
      <c r="G4740" t="s">
        <v>31581</v>
      </c>
      <c r="H4740" t="s">
        <v>31590</v>
      </c>
      <c r="I4740" t="s">
        <v>31614</v>
      </c>
      <c r="J4740" t="s">
        <v>34803</v>
      </c>
      <c r="K4740" t="s">
        <v>41184</v>
      </c>
      <c r="M4740" t="s">
        <v>43168</v>
      </c>
      <c r="N4740" t="s">
        <v>45095</v>
      </c>
      <c r="O4740" t="s">
        <v>45096</v>
      </c>
      <c r="P4740">
        <v>0</v>
      </c>
      <c r="Q4740">
        <v>0</v>
      </c>
      <c r="R4740" t="s">
        <v>45101</v>
      </c>
      <c r="S4740" t="s">
        <v>45231</v>
      </c>
      <c r="T4740" t="s">
        <v>46936</v>
      </c>
      <c r="U4740" t="s">
        <v>51441</v>
      </c>
      <c r="W4740" t="s">
        <v>43168</v>
      </c>
      <c r="X4740" t="s">
        <v>45102</v>
      </c>
    </row>
    <row r="4741" spans="1:24">
      <c r="A4741">
        <f>HYPERLINK("https://www.philgeps.gov.ph/GEPSNONPILOT/Tender/SplashBidNoticeAbstractUI.aspx?menuIndex=3&amp;refID=7043003&amp;Result=3","7043003")</f>
        <v>0</v>
      </c>
      <c r="B4741" t="s">
        <v>1595</v>
      </c>
      <c r="C4741" t="s">
        <v>7725</v>
      </c>
      <c r="D4741" t="s">
        <v>18094</v>
      </c>
      <c r="E4741" t="s">
        <v>22354</v>
      </c>
      <c r="F4741" t="s">
        <v>31574</v>
      </c>
      <c r="G4741" t="s">
        <v>31581</v>
      </c>
      <c r="H4741" t="s">
        <v>31590</v>
      </c>
      <c r="I4741" t="s">
        <v>3873</v>
      </c>
      <c r="J4741" t="s">
        <v>34804</v>
      </c>
      <c r="K4741" t="s">
        <v>41193</v>
      </c>
      <c r="M4741" t="s">
        <v>43199</v>
      </c>
      <c r="N4741" t="s">
        <v>45095</v>
      </c>
      <c r="O4741" t="s">
        <v>45096</v>
      </c>
      <c r="P4741">
        <v>0</v>
      </c>
      <c r="Q4741">
        <v>0</v>
      </c>
      <c r="R4741" t="s">
        <v>45101</v>
      </c>
      <c r="S4741" t="s">
        <v>45231</v>
      </c>
      <c r="T4741" t="s">
        <v>47162</v>
      </c>
      <c r="U4741" t="s">
        <v>51467</v>
      </c>
      <c r="W4741" t="s">
        <v>43199</v>
      </c>
      <c r="X4741" t="s">
        <v>45102</v>
      </c>
    </row>
    <row r="4742" spans="1:24">
      <c r="A4742">
        <f>HYPERLINK("https://www.philgeps.gov.ph/GEPSNONPILOT/Tender/SplashBidNoticeAbstractUI.aspx?menuIndex=3&amp;refID=7042976&amp;Result=3","7042976")</f>
        <v>0</v>
      </c>
      <c r="B4742" t="s">
        <v>366</v>
      </c>
      <c r="C4742" t="s">
        <v>7726</v>
      </c>
      <c r="D4742" t="s">
        <v>18089</v>
      </c>
      <c r="E4742" t="s">
        <v>22355</v>
      </c>
      <c r="F4742" t="s">
        <v>31574</v>
      </c>
      <c r="G4742" t="s">
        <v>31581</v>
      </c>
      <c r="H4742" t="s">
        <v>31590</v>
      </c>
      <c r="I4742" t="s">
        <v>5717</v>
      </c>
      <c r="J4742" t="s">
        <v>34805</v>
      </c>
      <c r="K4742" t="s">
        <v>41184</v>
      </c>
      <c r="M4742" t="s">
        <v>41856</v>
      </c>
      <c r="N4742" t="s">
        <v>45095</v>
      </c>
      <c r="O4742" t="s">
        <v>45096</v>
      </c>
      <c r="P4742">
        <v>0</v>
      </c>
      <c r="Q4742">
        <v>1</v>
      </c>
      <c r="R4742" t="s">
        <v>45101</v>
      </c>
      <c r="S4742" t="s">
        <v>45231</v>
      </c>
      <c r="T4742" t="s">
        <v>47171</v>
      </c>
      <c r="U4742" t="s">
        <v>51468</v>
      </c>
      <c r="W4742" t="s">
        <v>41856</v>
      </c>
      <c r="X4742" t="s">
        <v>45102</v>
      </c>
    </row>
    <row r="4743" spans="1:24">
      <c r="A4743">
        <f>HYPERLINK("https://www.philgeps.gov.ph/GEPSNONPILOT/Tender/SplashBidNoticeAbstractUI.aspx?menuIndex=3&amp;refID=7042961&amp;Result=3","7042961")</f>
        <v>0</v>
      </c>
      <c r="B4743" t="s">
        <v>416</v>
      </c>
      <c r="C4743" t="s">
        <v>7727</v>
      </c>
      <c r="D4743" t="s">
        <v>18046</v>
      </c>
      <c r="E4743" t="s">
        <v>22356</v>
      </c>
      <c r="F4743" t="s">
        <v>31574</v>
      </c>
      <c r="G4743" t="s">
        <v>31581</v>
      </c>
      <c r="H4743" t="s">
        <v>31590</v>
      </c>
      <c r="I4743" t="s">
        <v>4046</v>
      </c>
      <c r="J4743" t="s">
        <v>34806</v>
      </c>
      <c r="K4743" t="s">
        <v>41196</v>
      </c>
      <c r="M4743" t="s">
        <v>41908</v>
      </c>
      <c r="N4743" t="s">
        <v>45095</v>
      </c>
      <c r="O4743" t="s">
        <v>45096</v>
      </c>
      <c r="P4743">
        <v>0</v>
      </c>
      <c r="Q4743">
        <v>0</v>
      </c>
      <c r="R4743" t="s">
        <v>45101</v>
      </c>
      <c r="S4743" t="s">
        <v>45231</v>
      </c>
      <c r="T4743" t="s">
        <v>46963</v>
      </c>
      <c r="U4743" t="s">
        <v>51469</v>
      </c>
      <c r="W4743" t="s">
        <v>41908</v>
      </c>
      <c r="X4743" t="s">
        <v>45102</v>
      </c>
    </row>
    <row r="4744" spans="1:24">
      <c r="A4744">
        <f>HYPERLINK("https://www.philgeps.gov.ph/GEPSNONPILOT/Tender/SplashBidNoticeAbstractUI.aspx?menuIndex=3&amp;refID=7043001&amp;Result=3","7043001")</f>
        <v>0</v>
      </c>
      <c r="B4744" t="s">
        <v>1596</v>
      </c>
      <c r="C4744" t="s">
        <v>7728</v>
      </c>
      <c r="D4744" t="s">
        <v>18025</v>
      </c>
      <c r="E4744" t="s">
        <v>22357</v>
      </c>
      <c r="F4744" t="s">
        <v>31574</v>
      </c>
      <c r="G4744" t="s">
        <v>31581</v>
      </c>
      <c r="H4744" t="s">
        <v>31590</v>
      </c>
      <c r="I4744" t="s">
        <v>5717</v>
      </c>
      <c r="J4744" t="s">
        <v>32178</v>
      </c>
      <c r="K4744" t="s">
        <v>41186</v>
      </c>
      <c r="M4744" t="s">
        <v>43200</v>
      </c>
      <c r="N4744" t="s">
        <v>45095</v>
      </c>
      <c r="O4744" t="s">
        <v>45096</v>
      </c>
      <c r="P4744">
        <v>0</v>
      </c>
      <c r="Q4744">
        <v>0</v>
      </c>
      <c r="R4744" t="s">
        <v>45101</v>
      </c>
      <c r="S4744" t="s">
        <v>45231</v>
      </c>
      <c r="T4744" t="s">
        <v>47064</v>
      </c>
      <c r="U4744" t="s">
        <v>51470</v>
      </c>
      <c r="W4744" t="s">
        <v>43200</v>
      </c>
      <c r="X4744" t="s">
        <v>45102</v>
      </c>
    </row>
    <row r="4745" spans="1:24">
      <c r="A4745">
        <f>HYPERLINK("https://www.philgeps.gov.ph/GEPSNONPILOT/Tender/SplashBidNoticeAbstractUI.aspx?menuIndex=3&amp;refID=7042969&amp;Result=3","7042969")</f>
        <v>0</v>
      </c>
      <c r="B4745" t="s">
        <v>1015</v>
      </c>
      <c r="C4745" t="s">
        <v>7729</v>
      </c>
      <c r="D4745" t="s">
        <v>18079</v>
      </c>
      <c r="E4745" t="s">
        <v>18379</v>
      </c>
      <c r="F4745" t="s">
        <v>31574</v>
      </c>
      <c r="G4745" t="s">
        <v>31582</v>
      </c>
      <c r="H4745" t="s">
        <v>31590</v>
      </c>
      <c r="I4745" t="s">
        <v>31615</v>
      </c>
      <c r="J4745" t="s">
        <v>34807</v>
      </c>
      <c r="K4745" t="s">
        <v>41186</v>
      </c>
      <c r="M4745" t="s">
        <v>42556</v>
      </c>
      <c r="N4745" t="s">
        <v>45095</v>
      </c>
      <c r="O4745" t="s">
        <v>45096</v>
      </c>
      <c r="P4745">
        <v>0</v>
      </c>
      <c r="Q4745">
        <v>4</v>
      </c>
      <c r="R4745" t="s">
        <v>45101</v>
      </c>
      <c r="S4745" t="s">
        <v>45231</v>
      </c>
      <c r="T4745" t="s">
        <v>47225</v>
      </c>
      <c r="U4745" t="s">
        <v>51471</v>
      </c>
      <c r="W4745" t="s">
        <v>42556</v>
      </c>
      <c r="X4745" t="s">
        <v>45102</v>
      </c>
    </row>
    <row r="4746" spans="1:24">
      <c r="A4746">
        <f>HYPERLINK("https://www.philgeps.gov.ph/GEPSNONPILOT/Tender/SplashBidNoticeAbstractUI.aspx?menuIndex=3&amp;refID=7043000&amp;Result=3","7043000")</f>
        <v>0</v>
      </c>
      <c r="B4746" t="s">
        <v>1588</v>
      </c>
      <c r="C4746" t="s">
        <v>7730</v>
      </c>
      <c r="D4746" t="s">
        <v>18079</v>
      </c>
      <c r="E4746" t="s">
        <v>22358</v>
      </c>
      <c r="F4746" t="s">
        <v>31574</v>
      </c>
      <c r="G4746" t="s">
        <v>31582</v>
      </c>
      <c r="H4746" t="s">
        <v>31591</v>
      </c>
      <c r="I4746" t="s">
        <v>8822</v>
      </c>
      <c r="J4746" t="s">
        <v>34596</v>
      </c>
      <c r="K4746" t="s">
        <v>41188</v>
      </c>
      <c r="M4746" t="s">
        <v>43192</v>
      </c>
      <c r="N4746" t="s">
        <v>45095</v>
      </c>
      <c r="O4746" t="s">
        <v>45096</v>
      </c>
      <c r="P4746">
        <v>0</v>
      </c>
      <c r="Q4746">
        <v>1</v>
      </c>
      <c r="R4746" t="s">
        <v>45101</v>
      </c>
      <c r="S4746" t="s">
        <v>45231</v>
      </c>
      <c r="T4746" t="s">
        <v>46939</v>
      </c>
      <c r="U4746" t="s">
        <v>51472</v>
      </c>
      <c r="W4746" t="s">
        <v>43192</v>
      </c>
      <c r="X4746" t="s">
        <v>45102</v>
      </c>
    </row>
    <row r="4747" spans="1:24">
      <c r="A4747">
        <f>HYPERLINK("https://www.philgeps.gov.ph/GEPSNONPILOT/Tender/SplashBidNoticeAbstractUI.aspx?menuIndex=3&amp;refID=7042999&amp;Result=3","7042999")</f>
        <v>0</v>
      </c>
      <c r="B4747" t="s">
        <v>760</v>
      </c>
      <c r="C4747" t="s">
        <v>7731</v>
      </c>
      <c r="D4747" t="s">
        <v>18073</v>
      </c>
      <c r="E4747" t="s">
        <v>22359</v>
      </c>
      <c r="F4747" t="s">
        <v>31574</v>
      </c>
      <c r="G4747" t="s">
        <v>31582</v>
      </c>
      <c r="H4747" t="s">
        <v>31590</v>
      </c>
      <c r="I4747" t="s">
        <v>31608</v>
      </c>
      <c r="J4747" t="s">
        <v>34808</v>
      </c>
      <c r="K4747" t="s">
        <v>41186</v>
      </c>
      <c r="M4747" t="s">
        <v>42274</v>
      </c>
      <c r="N4747" t="s">
        <v>45095</v>
      </c>
      <c r="O4747" t="s">
        <v>45096</v>
      </c>
      <c r="P4747">
        <v>0</v>
      </c>
      <c r="Q4747">
        <v>8</v>
      </c>
      <c r="R4747" t="s">
        <v>45101</v>
      </c>
      <c r="S4747" t="s">
        <v>45231</v>
      </c>
      <c r="T4747" t="s">
        <v>47166</v>
      </c>
      <c r="U4747" t="s">
        <v>51456</v>
      </c>
      <c r="W4747" t="s">
        <v>42274</v>
      </c>
      <c r="X4747" t="s">
        <v>45102</v>
      </c>
    </row>
    <row r="4748" spans="1:24">
      <c r="A4748">
        <f>HYPERLINK("https://www.philgeps.gov.ph/GEPSNONPILOT/Tender/SplashBidNoticeAbstractUI.aspx?menuIndex=3&amp;refID=7043013&amp;Result=3","7043013")</f>
        <v>0</v>
      </c>
      <c r="B4748" t="s">
        <v>901</v>
      </c>
      <c r="C4748" t="s">
        <v>7732</v>
      </c>
      <c r="D4748" t="s">
        <v>18066</v>
      </c>
      <c r="E4748" t="s">
        <v>22360</v>
      </c>
      <c r="F4748" t="s">
        <v>31574</v>
      </c>
      <c r="G4748" t="s">
        <v>31584</v>
      </c>
      <c r="H4748" t="s">
        <v>31590</v>
      </c>
      <c r="I4748" t="s">
        <v>14544</v>
      </c>
      <c r="J4748" t="s">
        <v>34809</v>
      </c>
      <c r="K4748" t="s">
        <v>41193</v>
      </c>
      <c r="M4748" t="s">
        <v>42425</v>
      </c>
      <c r="N4748" t="s">
        <v>45095</v>
      </c>
      <c r="O4748" t="s">
        <v>45096</v>
      </c>
      <c r="P4748">
        <v>0</v>
      </c>
      <c r="Q4748">
        <v>0</v>
      </c>
      <c r="R4748" t="s">
        <v>45101</v>
      </c>
      <c r="S4748" t="s">
        <v>45231</v>
      </c>
      <c r="T4748" t="s">
        <v>46949</v>
      </c>
      <c r="U4748" t="s">
        <v>51473</v>
      </c>
      <c r="W4748" t="s">
        <v>42425</v>
      </c>
      <c r="X4748" t="s">
        <v>45102</v>
      </c>
    </row>
    <row r="4749" spans="1:24">
      <c r="A4749">
        <f>HYPERLINK("https://www.philgeps.gov.ph/GEPSNONPILOT/Tender/SplashBidNoticeAbstractUI.aspx?menuIndex=3&amp;refID=7042995&amp;Result=3","7042995")</f>
        <v>0</v>
      </c>
      <c r="B4749" t="s">
        <v>1591</v>
      </c>
      <c r="C4749" t="s">
        <v>7733</v>
      </c>
      <c r="D4749" t="s">
        <v>18058</v>
      </c>
      <c r="E4749" t="s">
        <v>22361</v>
      </c>
      <c r="F4749" t="s">
        <v>31574</v>
      </c>
      <c r="G4749" t="s">
        <v>31582</v>
      </c>
      <c r="H4749" t="s">
        <v>31591</v>
      </c>
      <c r="I4749" t="s">
        <v>8822</v>
      </c>
      <c r="J4749" t="s">
        <v>34810</v>
      </c>
      <c r="K4749" t="s">
        <v>41203</v>
      </c>
      <c r="M4749" t="s">
        <v>43195</v>
      </c>
      <c r="N4749" t="s">
        <v>45095</v>
      </c>
      <c r="O4749" t="s">
        <v>45096</v>
      </c>
      <c r="P4749">
        <v>0</v>
      </c>
      <c r="Q4749">
        <v>1</v>
      </c>
      <c r="R4749" t="s">
        <v>45101</v>
      </c>
      <c r="S4749" t="s">
        <v>45231</v>
      </c>
      <c r="T4749" t="s">
        <v>47223</v>
      </c>
      <c r="U4749" t="s">
        <v>51474</v>
      </c>
      <c r="V4749" t="s">
        <v>60356</v>
      </c>
      <c r="W4749" t="s">
        <v>43195</v>
      </c>
      <c r="X4749" t="s">
        <v>45102</v>
      </c>
    </row>
    <row r="4750" spans="1:24">
      <c r="A4750">
        <f>HYPERLINK("https://www.philgeps.gov.ph/GEPSNONPILOT/Tender/SplashBidNoticeAbstractUI.aspx?menuIndex=3&amp;refID=7042994&amp;Result=3","7042994")</f>
        <v>0</v>
      </c>
      <c r="B4750" t="s">
        <v>901</v>
      </c>
      <c r="C4750" t="s">
        <v>7734</v>
      </c>
      <c r="D4750" t="s">
        <v>18066</v>
      </c>
      <c r="E4750" t="s">
        <v>22362</v>
      </c>
      <c r="F4750" t="s">
        <v>31574</v>
      </c>
      <c r="G4750" t="s">
        <v>31584</v>
      </c>
      <c r="H4750" t="s">
        <v>31590</v>
      </c>
      <c r="I4750" t="s">
        <v>3489</v>
      </c>
      <c r="J4750" t="s">
        <v>34811</v>
      </c>
      <c r="K4750" t="s">
        <v>41193</v>
      </c>
      <c r="M4750" t="s">
        <v>42425</v>
      </c>
      <c r="N4750" t="s">
        <v>45095</v>
      </c>
      <c r="O4750" t="s">
        <v>45096</v>
      </c>
      <c r="P4750">
        <v>0</v>
      </c>
      <c r="Q4750">
        <v>0</v>
      </c>
      <c r="R4750" t="s">
        <v>45101</v>
      </c>
      <c r="S4750" t="s">
        <v>45231</v>
      </c>
      <c r="T4750" t="s">
        <v>46949</v>
      </c>
      <c r="U4750" t="s">
        <v>51475</v>
      </c>
      <c r="W4750" t="s">
        <v>42425</v>
      </c>
      <c r="X4750" t="s">
        <v>45102</v>
      </c>
    </row>
    <row r="4751" spans="1:24">
      <c r="A4751">
        <f>HYPERLINK("https://www.philgeps.gov.ph/GEPSNONPILOT/Tender/SplashBidNoticeAbstractUI.aspx?menuIndex=3&amp;refID=7042997&amp;Result=3","7042997")</f>
        <v>0</v>
      </c>
      <c r="B4751" t="s">
        <v>1597</v>
      </c>
      <c r="C4751" t="s">
        <v>4009</v>
      </c>
      <c r="D4751" t="s">
        <v>18041</v>
      </c>
      <c r="E4751" t="s">
        <v>21865</v>
      </c>
      <c r="F4751" t="s">
        <v>31574</v>
      </c>
      <c r="G4751" t="s">
        <v>31583</v>
      </c>
      <c r="H4751" t="s">
        <v>31590</v>
      </c>
      <c r="I4751" t="s">
        <v>6800</v>
      </c>
      <c r="J4751" t="s">
        <v>34812</v>
      </c>
      <c r="K4751" t="s">
        <v>41213</v>
      </c>
      <c r="M4751" t="s">
        <v>43201</v>
      </c>
      <c r="N4751" t="s">
        <v>45095</v>
      </c>
      <c r="O4751" t="s">
        <v>45096</v>
      </c>
      <c r="P4751">
        <v>0</v>
      </c>
      <c r="Q4751">
        <v>3</v>
      </c>
      <c r="R4751" t="s">
        <v>45101</v>
      </c>
      <c r="S4751" t="s">
        <v>45231</v>
      </c>
      <c r="T4751" t="s">
        <v>47162</v>
      </c>
      <c r="U4751" t="s">
        <v>51476</v>
      </c>
      <c r="W4751" t="s">
        <v>61711</v>
      </c>
      <c r="X4751" t="s">
        <v>45102</v>
      </c>
    </row>
    <row r="4752" spans="1:24">
      <c r="A4752">
        <f>HYPERLINK("https://www.philgeps.gov.ph/GEPSNONPILOT/Tender/SplashBidNoticeAbstractUI.aspx?menuIndex=3&amp;refID=7043011&amp;Result=3","7043011")</f>
        <v>0</v>
      </c>
      <c r="B4752" t="s">
        <v>1554</v>
      </c>
      <c r="C4752" t="s">
        <v>7735</v>
      </c>
      <c r="D4752" t="s">
        <v>18056</v>
      </c>
      <c r="E4752" t="s">
        <v>22363</v>
      </c>
      <c r="F4752" t="s">
        <v>31574</v>
      </c>
      <c r="G4752" t="s">
        <v>31581</v>
      </c>
      <c r="H4752" t="s">
        <v>31590</v>
      </c>
      <c r="I4752" t="s">
        <v>7185</v>
      </c>
      <c r="J4752" t="s">
        <v>31724</v>
      </c>
      <c r="K4752" t="s">
        <v>41191</v>
      </c>
      <c r="M4752" t="s">
        <v>43153</v>
      </c>
      <c r="N4752" t="s">
        <v>45095</v>
      </c>
      <c r="O4752" t="s">
        <v>45096</v>
      </c>
      <c r="P4752">
        <v>0</v>
      </c>
      <c r="Q4752">
        <v>0</v>
      </c>
      <c r="R4752" t="s">
        <v>45101</v>
      </c>
      <c r="S4752" t="s">
        <v>45231</v>
      </c>
      <c r="T4752" t="s">
        <v>47159</v>
      </c>
      <c r="U4752" t="s">
        <v>51477</v>
      </c>
      <c r="W4752" t="s">
        <v>43153</v>
      </c>
      <c r="X4752" t="s">
        <v>45102</v>
      </c>
    </row>
    <row r="4753" spans="1:24">
      <c r="A4753">
        <f>HYPERLINK("https://www.philgeps.gov.ph/GEPSNONPILOT/Tender/SplashBidNoticeAbstractUI.aspx?menuIndex=3&amp;refID=7043014&amp;Result=3","7043014")</f>
        <v>0</v>
      </c>
      <c r="B4753" t="s">
        <v>1598</v>
      </c>
      <c r="C4753" t="s">
        <v>7736</v>
      </c>
      <c r="D4753" t="s">
        <v>18102</v>
      </c>
      <c r="E4753" t="s">
        <v>22364</v>
      </c>
      <c r="F4753" t="s">
        <v>31574</v>
      </c>
      <c r="G4753" t="s">
        <v>31582</v>
      </c>
      <c r="H4753" t="s">
        <v>31591</v>
      </c>
      <c r="I4753" t="s">
        <v>8822</v>
      </c>
      <c r="J4753" t="s">
        <v>31771</v>
      </c>
      <c r="K4753" t="s">
        <v>41185</v>
      </c>
      <c r="M4753" t="s">
        <v>43202</v>
      </c>
      <c r="N4753" t="s">
        <v>45095</v>
      </c>
      <c r="O4753" t="s">
        <v>45096</v>
      </c>
      <c r="P4753">
        <v>0</v>
      </c>
      <c r="Q4753">
        <v>0</v>
      </c>
      <c r="R4753" t="s">
        <v>45101</v>
      </c>
      <c r="S4753" t="s">
        <v>45231</v>
      </c>
      <c r="T4753" t="s">
        <v>47048</v>
      </c>
      <c r="U4753" t="s">
        <v>51478</v>
      </c>
      <c r="W4753" t="s">
        <v>43202</v>
      </c>
      <c r="X4753" t="s">
        <v>45102</v>
      </c>
    </row>
    <row r="4754" spans="1:24">
      <c r="A4754">
        <f>HYPERLINK("https://www.philgeps.gov.ph/GEPSNONPILOT/Tender/SplashBidNoticeAbstractUI.aspx?menuIndex=3&amp;refID=7042998&amp;Result=3","7042998")</f>
        <v>0</v>
      </c>
      <c r="B4754" t="s">
        <v>1554</v>
      </c>
      <c r="C4754" t="s">
        <v>7737</v>
      </c>
      <c r="D4754" t="s">
        <v>18056</v>
      </c>
      <c r="E4754" t="s">
        <v>22365</v>
      </c>
      <c r="F4754" t="s">
        <v>31574</v>
      </c>
      <c r="G4754" t="s">
        <v>31581</v>
      </c>
      <c r="H4754" t="s">
        <v>31590</v>
      </c>
      <c r="I4754" t="s">
        <v>14544</v>
      </c>
      <c r="J4754" t="s">
        <v>34813</v>
      </c>
      <c r="K4754" t="s">
        <v>41191</v>
      </c>
      <c r="M4754" t="s">
        <v>43153</v>
      </c>
      <c r="N4754" t="s">
        <v>45095</v>
      </c>
      <c r="O4754" t="s">
        <v>45096</v>
      </c>
      <c r="P4754">
        <v>0</v>
      </c>
      <c r="Q4754">
        <v>1</v>
      </c>
      <c r="R4754" t="s">
        <v>45101</v>
      </c>
      <c r="S4754" t="s">
        <v>45231</v>
      </c>
      <c r="T4754" t="s">
        <v>47159</v>
      </c>
      <c r="U4754" t="s">
        <v>51479</v>
      </c>
      <c r="W4754" t="s">
        <v>43153</v>
      </c>
      <c r="X4754" t="s">
        <v>45102</v>
      </c>
    </row>
    <row r="4755" spans="1:24">
      <c r="A4755">
        <f>HYPERLINK("https://www.philgeps.gov.ph/GEPSNONPILOT/Tender/SplashBidNoticeAbstractUI.aspx?menuIndex=3&amp;refID=7042988&amp;Result=3","7042988")</f>
        <v>0</v>
      </c>
      <c r="B4755" t="s">
        <v>760</v>
      </c>
      <c r="C4755" t="s">
        <v>7738</v>
      </c>
      <c r="D4755" t="s">
        <v>18073</v>
      </c>
      <c r="E4755" t="s">
        <v>22366</v>
      </c>
      <c r="F4755" t="s">
        <v>31574</v>
      </c>
      <c r="G4755" t="s">
        <v>31582</v>
      </c>
      <c r="H4755" t="s">
        <v>31590</v>
      </c>
      <c r="I4755" t="s">
        <v>31594</v>
      </c>
      <c r="J4755" t="s">
        <v>34814</v>
      </c>
      <c r="K4755" t="s">
        <v>41192</v>
      </c>
      <c r="M4755" t="s">
        <v>42274</v>
      </c>
      <c r="N4755" t="s">
        <v>45095</v>
      </c>
      <c r="O4755" t="s">
        <v>45096</v>
      </c>
      <c r="P4755">
        <v>0</v>
      </c>
      <c r="Q4755">
        <v>15</v>
      </c>
      <c r="R4755" t="s">
        <v>45101</v>
      </c>
      <c r="S4755" t="s">
        <v>45231</v>
      </c>
      <c r="T4755" t="s">
        <v>47166</v>
      </c>
      <c r="U4755" t="s">
        <v>51456</v>
      </c>
      <c r="W4755" t="s">
        <v>42274</v>
      </c>
      <c r="X4755" t="s">
        <v>45102</v>
      </c>
    </row>
    <row r="4756" spans="1:24">
      <c r="A4756">
        <f>HYPERLINK("https://www.philgeps.gov.ph/GEPSNONPILOT/Tender/SplashBidNoticeAbstractUI.aspx?menuIndex=3&amp;refID=7043006&amp;Result=3","7043006")</f>
        <v>0</v>
      </c>
      <c r="B4756" t="s">
        <v>1589</v>
      </c>
      <c r="C4756" t="s">
        <v>7739</v>
      </c>
      <c r="D4756" t="s">
        <v>18022</v>
      </c>
      <c r="E4756" t="s">
        <v>22367</v>
      </c>
      <c r="F4756" t="s">
        <v>31574</v>
      </c>
      <c r="G4756" t="s">
        <v>31582</v>
      </c>
      <c r="H4756" t="s">
        <v>31590</v>
      </c>
      <c r="I4756" t="s">
        <v>6800</v>
      </c>
      <c r="J4756" t="s">
        <v>34815</v>
      </c>
      <c r="K4756" t="s">
        <v>41196</v>
      </c>
      <c r="M4756" t="s">
        <v>43193</v>
      </c>
      <c r="N4756" t="s">
        <v>45095</v>
      </c>
      <c r="O4756" t="s">
        <v>45096</v>
      </c>
      <c r="P4756">
        <v>0</v>
      </c>
      <c r="Q4756">
        <v>1</v>
      </c>
      <c r="R4756" t="s">
        <v>45101</v>
      </c>
      <c r="S4756" t="s">
        <v>45231</v>
      </c>
      <c r="T4756" t="s">
        <v>47004</v>
      </c>
      <c r="U4756" t="s">
        <v>47916</v>
      </c>
      <c r="W4756" t="s">
        <v>43193</v>
      </c>
      <c r="X4756" t="s">
        <v>45102</v>
      </c>
    </row>
    <row r="4757" spans="1:24">
      <c r="A4757">
        <f>HYPERLINK("https://www.philgeps.gov.ph/GEPSNONPILOT/Tender/SplashBidNoticeAbstractUI.aspx?menuIndex=3&amp;refID=7043018&amp;Result=3","7043018")</f>
        <v>0</v>
      </c>
      <c r="B4757" t="s">
        <v>1599</v>
      </c>
      <c r="C4757" t="s">
        <v>7740</v>
      </c>
      <c r="D4757" t="s">
        <v>18063</v>
      </c>
      <c r="E4757" t="s">
        <v>22368</v>
      </c>
      <c r="F4757" t="s">
        <v>31574</v>
      </c>
      <c r="G4757" t="s">
        <v>31583</v>
      </c>
      <c r="H4757" t="s">
        <v>31590</v>
      </c>
      <c r="I4757" t="s">
        <v>31603</v>
      </c>
      <c r="J4757" t="s">
        <v>31930</v>
      </c>
      <c r="K4757" t="s">
        <v>41190</v>
      </c>
      <c r="M4757" t="s">
        <v>43203</v>
      </c>
      <c r="N4757" t="s">
        <v>45095</v>
      </c>
      <c r="O4757" t="s">
        <v>45096</v>
      </c>
      <c r="P4757">
        <v>0</v>
      </c>
      <c r="Q4757">
        <v>1</v>
      </c>
      <c r="R4757" t="s">
        <v>45101</v>
      </c>
      <c r="S4757" t="s">
        <v>45231</v>
      </c>
      <c r="T4757" t="s">
        <v>46969</v>
      </c>
      <c r="U4757" t="s">
        <v>51480</v>
      </c>
      <c r="W4757" t="s">
        <v>61712</v>
      </c>
      <c r="X4757" t="s">
        <v>45102</v>
      </c>
    </row>
    <row r="4758" spans="1:24">
      <c r="A4758">
        <f>HYPERLINK("https://www.philgeps.gov.ph/GEPSNONPILOT/Tender/SplashBidNoticeAbstractUI.aspx?menuIndex=3&amp;refID=7042989&amp;Result=3","7042989")</f>
        <v>0</v>
      </c>
      <c r="B4758" t="s">
        <v>1550</v>
      </c>
      <c r="C4758" t="s">
        <v>7741</v>
      </c>
      <c r="D4758" t="s">
        <v>18040</v>
      </c>
      <c r="E4758" t="s">
        <v>22369</v>
      </c>
      <c r="F4758" t="s">
        <v>31574</v>
      </c>
      <c r="G4758" t="s">
        <v>31582</v>
      </c>
      <c r="H4758" t="s">
        <v>31590</v>
      </c>
      <c r="I4758" t="s">
        <v>8822</v>
      </c>
      <c r="J4758" t="s">
        <v>31727</v>
      </c>
      <c r="K4758" t="s">
        <v>41186</v>
      </c>
      <c r="M4758" t="s">
        <v>43148</v>
      </c>
      <c r="N4758" t="s">
        <v>45095</v>
      </c>
      <c r="O4758" t="s">
        <v>45096</v>
      </c>
      <c r="P4758">
        <v>0</v>
      </c>
      <c r="Q4758">
        <v>0</v>
      </c>
      <c r="R4758" t="s">
        <v>45101</v>
      </c>
      <c r="S4758" t="s">
        <v>45231</v>
      </c>
      <c r="T4758" t="s">
        <v>47055</v>
      </c>
      <c r="U4758" t="s">
        <v>51481</v>
      </c>
      <c r="V4758" t="s">
        <v>60357</v>
      </c>
      <c r="W4758" t="s">
        <v>43148</v>
      </c>
      <c r="X4758" t="s">
        <v>45102</v>
      </c>
    </row>
    <row r="4759" spans="1:24">
      <c r="A4759">
        <f>HYPERLINK("https://www.philgeps.gov.ph/GEPSNONPILOT/Tender/SplashBidNoticeAbstractUI.aspx?menuIndex=3&amp;refID=7043012&amp;Result=3","7043012")</f>
        <v>0</v>
      </c>
      <c r="B4759" t="s">
        <v>1596</v>
      </c>
      <c r="C4759" t="s">
        <v>7742</v>
      </c>
      <c r="D4759" t="s">
        <v>18025</v>
      </c>
      <c r="E4759" t="s">
        <v>22370</v>
      </c>
      <c r="F4759" t="s">
        <v>31574</v>
      </c>
      <c r="G4759" t="s">
        <v>31581</v>
      </c>
      <c r="H4759" t="s">
        <v>31590</v>
      </c>
      <c r="I4759" t="s">
        <v>14544</v>
      </c>
      <c r="J4759" t="s">
        <v>32955</v>
      </c>
      <c r="K4759" t="s">
        <v>41186</v>
      </c>
      <c r="M4759" t="s">
        <v>43200</v>
      </c>
      <c r="N4759" t="s">
        <v>45095</v>
      </c>
      <c r="O4759" t="s">
        <v>45096</v>
      </c>
      <c r="P4759">
        <v>0</v>
      </c>
      <c r="Q4759">
        <v>0</v>
      </c>
      <c r="R4759" t="s">
        <v>45101</v>
      </c>
      <c r="S4759" t="s">
        <v>45231</v>
      </c>
      <c r="T4759" t="s">
        <v>47064</v>
      </c>
      <c r="U4759" t="s">
        <v>51482</v>
      </c>
      <c r="W4759" t="s">
        <v>43200</v>
      </c>
      <c r="X4759" t="s">
        <v>45102</v>
      </c>
    </row>
    <row r="4760" spans="1:24">
      <c r="A4760">
        <f>HYPERLINK("https://www.philgeps.gov.ph/GEPSNONPILOT/Tender/SplashBidNoticeAbstractUI.aspx?menuIndex=3&amp;refID=7042993&amp;Result=3","7042993")</f>
        <v>0</v>
      </c>
      <c r="B4760" t="s">
        <v>1598</v>
      </c>
      <c r="C4760" t="s">
        <v>7743</v>
      </c>
      <c r="D4760" t="s">
        <v>18102</v>
      </c>
      <c r="E4760" t="s">
        <v>22371</v>
      </c>
      <c r="F4760" t="s">
        <v>31574</v>
      </c>
      <c r="G4760" t="s">
        <v>31582</v>
      </c>
      <c r="H4760" t="s">
        <v>31591</v>
      </c>
      <c r="I4760" t="s">
        <v>8822</v>
      </c>
      <c r="J4760" t="s">
        <v>31947</v>
      </c>
      <c r="K4760" t="s">
        <v>41195</v>
      </c>
      <c r="M4760" t="s">
        <v>43202</v>
      </c>
      <c r="N4760" t="s">
        <v>45095</v>
      </c>
      <c r="O4760" t="s">
        <v>45096</v>
      </c>
      <c r="P4760">
        <v>0</v>
      </c>
      <c r="Q4760">
        <v>0</v>
      </c>
      <c r="R4760" t="s">
        <v>45101</v>
      </c>
      <c r="S4760" t="s">
        <v>45231</v>
      </c>
      <c r="T4760" t="s">
        <v>47048</v>
      </c>
      <c r="U4760" t="s">
        <v>51483</v>
      </c>
      <c r="W4760" t="s">
        <v>43202</v>
      </c>
      <c r="X4760" t="s">
        <v>45102</v>
      </c>
    </row>
    <row r="4761" spans="1:24">
      <c r="A4761">
        <f>HYPERLINK("https://www.philgeps.gov.ph/GEPSNONPILOT/Tender/SplashBidNoticeAbstractUI.aspx?menuIndex=3&amp;refID=7043015&amp;Result=3","7043015")</f>
        <v>0</v>
      </c>
      <c r="B4761" t="s">
        <v>1591</v>
      </c>
      <c r="C4761" t="s">
        <v>7744</v>
      </c>
      <c r="D4761" t="s">
        <v>18058</v>
      </c>
      <c r="E4761" t="s">
        <v>22372</v>
      </c>
      <c r="F4761" t="s">
        <v>31574</v>
      </c>
      <c r="G4761" t="s">
        <v>31582</v>
      </c>
      <c r="H4761" t="s">
        <v>31591</v>
      </c>
      <c r="I4761" t="s">
        <v>8822</v>
      </c>
      <c r="J4761" t="s">
        <v>34816</v>
      </c>
      <c r="K4761" t="s">
        <v>41203</v>
      </c>
      <c r="M4761" t="s">
        <v>43195</v>
      </c>
      <c r="N4761" t="s">
        <v>45095</v>
      </c>
      <c r="O4761" t="s">
        <v>45096</v>
      </c>
      <c r="P4761">
        <v>0</v>
      </c>
      <c r="Q4761">
        <v>1</v>
      </c>
      <c r="R4761" t="s">
        <v>45101</v>
      </c>
      <c r="S4761" t="s">
        <v>45231</v>
      </c>
      <c r="T4761" t="s">
        <v>47223</v>
      </c>
      <c r="U4761" t="s">
        <v>51474</v>
      </c>
      <c r="V4761" t="s">
        <v>60356</v>
      </c>
      <c r="W4761" t="s">
        <v>43195</v>
      </c>
      <c r="X4761" t="s">
        <v>45102</v>
      </c>
    </row>
    <row r="4762" spans="1:24">
      <c r="A4762">
        <f>HYPERLINK("https://www.philgeps.gov.ph/GEPSNONPILOT/Tender/SplashBidNoticeAbstractUI.aspx?menuIndex=3&amp;refID=7043008&amp;Result=3","7043008")</f>
        <v>0</v>
      </c>
      <c r="B4762" t="s">
        <v>760</v>
      </c>
      <c r="C4762" t="s">
        <v>7745</v>
      </c>
      <c r="D4762" t="s">
        <v>18073</v>
      </c>
      <c r="E4762" t="s">
        <v>22373</v>
      </c>
      <c r="F4762" t="s">
        <v>31574</v>
      </c>
      <c r="G4762" t="s">
        <v>31582</v>
      </c>
      <c r="H4762" t="s">
        <v>31590</v>
      </c>
      <c r="I4762" t="s">
        <v>31619</v>
      </c>
      <c r="J4762" t="s">
        <v>34817</v>
      </c>
      <c r="K4762" t="s">
        <v>41186</v>
      </c>
      <c r="M4762" t="s">
        <v>42274</v>
      </c>
      <c r="N4762" t="s">
        <v>45095</v>
      </c>
      <c r="O4762" t="s">
        <v>45096</v>
      </c>
      <c r="P4762">
        <v>0</v>
      </c>
      <c r="Q4762">
        <v>13</v>
      </c>
      <c r="R4762" t="s">
        <v>45101</v>
      </c>
      <c r="S4762" t="s">
        <v>45231</v>
      </c>
      <c r="T4762" t="s">
        <v>47166</v>
      </c>
      <c r="U4762" t="s">
        <v>51456</v>
      </c>
      <c r="W4762" t="s">
        <v>42274</v>
      </c>
      <c r="X4762" t="s">
        <v>45102</v>
      </c>
    </row>
    <row r="4763" spans="1:24">
      <c r="A4763">
        <f>HYPERLINK("https://www.philgeps.gov.ph/GEPSNONPILOT/Tender/SplashBidNoticeAbstractUI.aspx?menuIndex=3&amp;refID=7043041&amp;Result=3","7043041")</f>
        <v>0</v>
      </c>
      <c r="B4763" t="s">
        <v>1157</v>
      </c>
      <c r="C4763" t="s">
        <v>7746</v>
      </c>
      <c r="E4763" t="s">
        <v>22374</v>
      </c>
      <c r="F4763" t="s">
        <v>31574</v>
      </c>
      <c r="G4763" t="s">
        <v>31581</v>
      </c>
      <c r="H4763" t="s">
        <v>31590</v>
      </c>
      <c r="I4763" t="s">
        <v>31602</v>
      </c>
      <c r="J4763" t="s">
        <v>32755</v>
      </c>
      <c r="K4763" t="s">
        <v>41184</v>
      </c>
      <c r="M4763" t="s">
        <v>42714</v>
      </c>
      <c r="N4763" t="s">
        <v>45095</v>
      </c>
      <c r="O4763" t="s">
        <v>45096</v>
      </c>
      <c r="P4763">
        <v>0</v>
      </c>
      <c r="Q4763">
        <v>0</v>
      </c>
      <c r="R4763" t="s">
        <v>45101</v>
      </c>
      <c r="S4763" t="s">
        <v>45231</v>
      </c>
      <c r="T4763" t="s">
        <v>47154</v>
      </c>
      <c r="U4763" t="s">
        <v>50261</v>
      </c>
      <c r="W4763" t="s">
        <v>42714</v>
      </c>
      <c r="X4763" t="s">
        <v>45102</v>
      </c>
    </row>
    <row r="4764" spans="1:24">
      <c r="A4764">
        <f>HYPERLINK("https://www.philgeps.gov.ph/GEPSNONPILOT/Tender/SplashBidNoticeAbstractUI.aspx?menuIndex=3&amp;refID=7042992&amp;Result=3","7042992")</f>
        <v>0</v>
      </c>
      <c r="B4764" t="s">
        <v>1600</v>
      </c>
      <c r="C4764" t="s">
        <v>7747</v>
      </c>
      <c r="D4764" t="s">
        <v>18044</v>
      </c>
      <c r="E4764" t="s">
        <v>18250</v>
      </c>
      <c r="F4764" t="s">
        <v>31574</v>
      </c>
      <c r="G4764" t="s">
        <v>31582</v>
      </c>
      <c r="H4764" t="s">
        <v>31590</v>
      </c>
      <c r="I4764" t="s">
        <v>31612</v>
      </c>
      <c r="J4764" t="s">
        <v>34818</v>
      </c>
      <c r="K4764" t="s">
        <v>41184</v>
      </c>
      <c r="M4764" t="s">
        <v>43204</v>
      </c>
      <c r="N4764" t="s">
        <v>45095</v>
      </c>
      <c r="O4764" t="s">
        <v>45096</v>
      </c>
      <c r="P4764">
        <v>0</v>
      </c>
      <c r="Q4764">
        <v>0</v>
      </c>
      <c r="R4764" t="s">
        <v>45101</v>
      </c>
      <c r="S4764" t="s">
        <v>45231</v>
      </c>
      <c r="T4764" t="s">
        <v>47143</v>
      </c>
      <c r="U4764" t="s">
        <v>51484</v>
      </c>
      <c r="W4764" t="s">
        <v>43204</v>
      </c>
      <c r="X4764" t="s">
        <v>45102</v>
      </c>
    </row>
    <row r="4765" spans="1:24">
      <c r="A4765">
        <f>HYPERLINK("https://www.philgeps.gov.ph/GEPSNONPILOT/Tender/SplashBidNoticeAbstractUI.aspx?menuIndex=3&amp;refID=7043016&amp;Result=3","7043016")</f>
        <v>0</v>
      </c>
      <c r="B4765" t="s">
        <v>1589</v>
      </c>
      <c r="C4765" t="s">
        <v>7748</v>
      </c>
      <c r="D4765" t="s">
        <v>18022</v>
      </c>
      <c r="E4765" t="s">
        <v>22375</v>
      </c>
      <c r="F4765" t="s">
        <v>31574</v>
      </c>
      <c r="G4765" t="s">
        <v>31582</v>
      </c>
      <c r="H4765" t="s">
        <v>31590</v>
      </c>
      <c r="I4765" t="s">
        <v>6800</v>
      </c>
      <c r="J4765" t="s">
        <v>34819</v>
      </c>
      <c r="K4765" t="s">
        <v>41196</v>
      </c>
      <c r="M4765" t="s">
        <v>43193</v>
      </c>
      <c r="N4765" t="s">
        <v>45095</v>
      </c>
      <c r="O4765" t="s">
        <v>45096</v>
      </c>
      <c r="P4765">
        <v>0</v>
      </c>
      <c r="Q4765">
        <v>0</v>
      </c>
      <c r="R4765" t="s">
        <v>45101</v>
      </c>
      <c r="S4765" t="s">
        <v>45231</v>
      </c>
      <c r="T4765" t="s">
        <v>47004</v>
      </c>
      <c r="U4765" t="s">
        <v>47916</v>
      </c>
      <c r="W4765" t="s">
        <v>43193</v>
      </c>
      <c r="X4765" t="s">
        <v>45102</v>
      </c>
    </row>
    <row r="4766" spans="1:24">
      <c r="A4766">
        <f>HYPERLINK("https://www.philgeps.gov.ph/GEPSNONPILOT/Tender/SplashBidNoticeAbstractUI.aspx?menuIndex=3&amp;refID=7043034&amp;Result=3","7043034")</f>
        <v>0</v>
      </c>
      <c r="B4766" t="s">
        <v>1588</v>
      </c>
      <c r="C4766" t="s">
        <v>7749</v>
      </c>
      <c r="D4766" t="s">
        <v>18079</v>
      </c>
      <c r="E4766" t="s">
        <v>22376</v>
      </c>
      <c r="F4766" t="s">
        <v>31574</v>
      </c>
      <c r="G4766" t="s">
        <v>31582</v>
      </c>
      <c r="H4766" t="s">
        <v>31591</v>
      </c>
      <c r="I4766" t="s">
        <v>8822</v>
      </c>
      <c r="J4766" t="s">
        <v>31771</v>
      </c>
      <c r="K4766" t="s">
        <v>41200</v>
      </c>
      <c r="M4766" t="s">
        <v>43192</v>
      </c>
      <c r="N4766" t="s">
        <v>45095</v>
      </c>
      <c r="O4766" t="s">
        <v>45096</v>
      </c>
      <c r="P4766">
        <v>0</v>
      </c>
      <c r="Q4766">
        <v>0</v>
      </c>
      <c r="R4766" t="s">
        <v>45101</v>
      </c>
      <c r="S4766" t="s">
        <v>45231</v>
      </c>
      <c r="T4766" t="s">
        <v>46939</v>
      </c>
      <c r="U4766" t="s">
        <v>51485</v>
      </c>
      <c r="W4766" t="s">
        <v>43192</v>
      </c>
      <c r="X4766" t="s">
        <v>45102</v>
      </c>
    </row>
    <row r="4767" spans="1:24">
      <c r="A4767">
        <f>HYPERLINK("https://www.philgeps.gov.ph/GEPSNONPILOT/Tender/SplashBidNoticeAbstractUI.aspx?menuIndex=3&amp;refID=7043032&amp;Result=3","7043032")</f>
        <v>0</v>
      </c>
      <c r="B4767" t="s">
        <v>1601</v>
      </c>
      <c r="C4767" t="s">
        <v>7750</v>
      </c>
      <c r="D4767" t="s">
        <v>18036</v>
      </c>
      <c r="E4767" t="s">
        <v>22377</v>
      </c>
      <c r="F4767" t="s">
        <v>31574</v>
      </c>
      <c r="G4767" t="s">
        <v>31582</v>
      </c>
      <c r="H4767" t="s">
        <v>31591</v>
      </c>
      <c r="I4767" t="s">
        <v>8822</v>
      </c>
      <c r="J4767" t="s">
        <v>34707</v>
      </c>
      <c r="K4767" t="s">
        <v>41323</v>
      </c>
      <c r="L4767" t="s">
        <v>1601</v>
      </c>
      <c r="M4767" t="s">
        <v>43205</v>
      </c>
      <c r="N4767" t="s">
        <v>45095</v>
      </c>
      <c r="O4767" t="s">
        <v>45096</v>
      </c>
      <c r="P4767">
        <v>0</v>
      </c>
      <c r="Q4767">
        <v>0</v>
      </c>
      <c r="R4767" t="s">
        <v>45101</v>
      </c>
      <c r="S4767" t="s">
        <v>45231</v>
      </c>
      <c r="T4767" t="s">
        <v>47100</v>
      </c>
      <c r="U4767" t="s">
        <v>51486</v>
      </c>
      <c r="W4767" t="s">
        <v>43205</v>
      </c>
      <c r="X4767" t="s">
        <v>45102</v>
      </c>
    </row>
    <row r="4768" spans="1:24">
      <c r="A4768">
        <f>HYPERLINK("https://www.philgeps.gov.ph/GEPSNONPILOT/Tender/SplashBidNoticeAbstractUI.aspx?menuIndex=3&amp;refID=7043044&amp;Result=3","7043044")</f>
        <v>0</v>
      </c>
      <c r="B4768" t="s">
        <v>760</v>
      </c>
      <c r="C4768" t="s">
        <v>7751</v>
      </c>
      <c r="D4768" t="s">
        <v>18073</v>
      </c>
      <c r="E4768" t="s">
        <v>22378</v>
      </c>
      <c r="F4768" t="s">
        <v>31574</v>
      </c>
      <c r="G4768" t="s">
        <v>31581</v>
      </c>
      <c r="H4768" t="s">
        <v>31590</v>
      </c>
      <c r="I4768" t="s">
        <v>5717</v>
      </c>
      <c r="J4768" t="s">
        <v>34820</v>
      </c>
      <c r="K4768" t="s">
        <v>41194</v>
      </c>
      <c r="M4768" t="s">
        <v>42274</v>
      </c>
      <c r="N4768" t="s">
        <v>45095</v>
      </c>
      <c r="O4768" t="s">
        <v>45096</v>
      </c>
      <c r="P4768">
        <v>0</v>
      </c>
      <c r="Q4768">
        <v>10</v>
      </c>
      <c r="R4768" t="s">
        <v>45101</v>
      </c>
      <c r="S4768" t="s">
        <v>45231</v>
      </c>
      <c r="T4768" t="s">
        <v>47125</v>
      </c>
      <c r="U4768" t="s">
        <v>49096</v>
      </c>
      <c r="W4768" t="s">
        <v>42274</v>
      </c>
      <c r="X4768" t="s">
        <v>45102</v>
      </c>
    </row>
    <row r="4769" spans="1:24">
      <c r="A4769">
        <f>HYPERLINK("https://www.philgeps.gov.ph/GEPSNONPILOT/Tender/SplashBidNoticeAbstractUI.aspx?menuIndex=3&amp;refID=7043030&amp;Result=3","7043030")</f>
        <v>0</v>
      </c>
      <c r="B4769" t="s">
        <v>1543</v>
      </c>
      <c r="C4769" t="s">
        <v>7752</v>
      </c>
      <c r="D4769" t="s">
        <v>18065</v>
      </c>
      <c r="E4769" t="s">
        <v>19469</v>
      </c>
      <c r="F4769" t="s">
        <v>31574</v>
      </c>
      <c r="G4769" t="s">
        <v>31584</v>
      </c>
      <c r="H4769" t="s">
        <v>31590</v>
      </c>
      <c r="I4769" t="s">
        <v>6800</v>
      </c>
      <c r="J4769" t="s">
        <v>31843</v>
      </c>
      <c r="K4769" t="s">
        <v>41193</v>
      </c>
      <c r="M4769" t="s">
        <v>43206</v>
      </c>
      <c r="N4769" t="s">
        <v>45095</v>
      </c>
      <c r="O4769" t="s">
        <v>45096</v>
      </c>
      <c r="P4769">
        <v>0</v>
      </c>
      <c r="Q4769">
        <v>2</v>
      </c>
      <c r="R4769" t="s">
        <v>45101</v>
      </c>
      <c r="S4769" t="s">
        <v>45231</v>
      </c>
      <c r="T4769" t="s">
        <v>47058</v>
      </c>
      <c r="U4769" t="s">
        <v>51487</v>
      </c>
      <c r="W4769" t="s">
        <v>43206</v>
      </c>
      <c r="X4769" t="s">
        <v>45102</v>
      </c>
    </row>
    <row r="4770" spans="1:24">
      <c r="A4770">
        <f>HYPERLINK("https://www.philgeps.gov.ph/GEPSNONPILOT/Tender/SplashBidNoticeAbstractUI.aspx?menuIndex=3&amp;refID=7043031&amp;Result=3","7043031")</f>
        <v>0</v>
      </c>
      <c r="B4770" t="s">
        <v>1589</v>
      </c>
      <c r="C4770" t="s">
        <v>7753</v>
      </c>
      <c r="D4770" t="s">
        <v>18022</v>
      </c>
      <c r="E4770" t="s">
        <v>22379</v>
      </c>
      <c r="F4770" t="s">
        <v>31574</v>
      </c>
      <c r="G4770" t="s">
        <v>31582</v>
      </c>
      <c r="H4770" t="s">
        <v>31590</v>
      </c>
      <c r="I4770" t="s">
        <v>3487</v>
      </c>
      <c r="J4770" t="s">
        <v>34821</v>
      </c>
      <c r="K4770" t="s">
        <v>41196</v>
      </c>
      <c r="M4770" t="s">
        <v>43193</v>
      </c>
      <c r="N4770" t="s">
        <v>45095</v>
      </c>
      <c r="O4770" t="s">
        <v>45096</v>
      </c>
      <c r="P4770">
        <v>0</v>
      </c>
      <c r="Q4770">
        <v>0</v>
      </c>
      <c r="R4770" t="s">
        <v>45101</v>
      </c>
      <c r="S4770" t="s">
        <v>45231</v>
      </c>
      <c r="T4770" t="s">
        <v>47004</v>
      </c>
      <c r="U4770" t="s">
        <v>51488</v>
      </c>
      <c r="W4770" t="s">
        <v>43193</v>
      </c>
      <c r="X4770" t="s">
        <v>45102</v>
      </c>
    </row>
    <row r="4771" spans="1:24">
      <c r="A4771">
        <f>HYPERLINK("https://www.philgeps.gov.ph/GEPSNONPILOT/Tender/SplashBidNoticeAbstractUI.aspx?menuIndex=3&amp;refID=7043028&amp;Result=3","7043028")</f>
        <v>0</v>
      </c>
      <c r="B4771" t="s">
        <v>1597</v>
      </c>
      <c r="C4771" t="s">
        <v>7754</v>
      </c>
      <c r="D4771" t="s">
        <v>18041</v>
      </c>
      <c r="E4771" t="s">
        <v>22380</v>
      </c>
      <c r="F4771" t="s">
        <v>31574</v>
      </c>
      <c r="G4771" t="s">
        <v>31583</v>
      </c>
      <c r="H4771" t="s">
        <v>31590</v>
      </c>
      <c r="I4771" t="s">
        <v>31610</v>
      </c>
      <c r="J4771" t="s">
        <v>32334</v>
      </c>
      <c r="K4771" t="s">
        <v>41213</v>
      </c>
      <c r="M4771" t="s">
        <v>43201</v>
      </c>
      <c r="N4771" t="s">
        <v>45095</v>
      </c>
      <c r="O4771" t="s">
        <v>45096</v>
      </c>
      <c r="P4771">
        <v>0</v>
      </c>
      <c r="Q4771">
        <v>2</v>
      </c>
      <c r="R4771" t="s">
        <v>45101</v>
      </c>
      <c r="S4771" t="s">
        <v>45231</v>
      </c>
      <c r="T4771" t="s">
        <v>47162</v>
      </c>
      <c r="U4771" t="s">
        <v>51489</v>
      </c>
      <c r="W4771" t="s">
        <v>61711</v>
      </c>
      <c r="X4771" t="s">
        <v>45102</v>
      </c>
    </row>
    <row r="4772" spans="1:24">
      <c r="A4772">
        <f>HYPERLINK("https://www.philgeps.gov.ph/GEPSNONPILOT/Tender/SplashBidNoticeAbstractUI.aspx?menuIndex=3&amp;refID=7043043&amp;Result=3","7043043")</f>
        <v>0</v>
      </c>
      <c r="B4772" t="s">
        <v>1602</v>
      </c>
      <c r="C4772" t="s">
        <v>7755</v>
      </c>
      <c r="D4772" t="s">
        <v>18022</v>
      </c>
      <c r="E4772" t="s">
        <v>22381</v>
      </c>
      <c r="F4772" t="s">
        <v>31579</v>
      </c>
      <c r="G4772" t="s">
        <v>31582</v>
      </c>
      <c r="H4772" t="s">
        <v>31590</v>
      </c>
      <c r="I4772" t="s">
        <v>3487</v>
      </c>
      <c r="J4772" t="s">
        <v>31962</v>
      </c>
      <c r="K4772" t="s">
        <v>41193</v>
      </c>
      <c r="M4772" t="s">
        <v>43207</v>
      </c>
      <c r="N4772" t="s">
        <v>45095</v>
      </c>
      <c r="O4772" t="s">
        <v>45096</v>
      </c>
      <c r="P4772">
        <v>0</v>
      </c>
      <c r="Q4772">
        <v>0</v>
      </c>
      <c r="R4772" t="s">
        <v>45101</v>
      </c>
      <c r="S4772" t="s">
        <v>45231</v>
      </c>
      <c r="T4772" t="s">
        <v>47079</v>
      </c>
      <c r="U4772" t="s">
        <v>51490</v>
      </c>
      <c r="W4772" t="s">
        <v>43207</v>
      </c>
      <c r="X4772" t="s">
        <v>45102</v>
      </c>
    </row>
    <row r="4773" spans="1:24">
      <c r="A4773">
        <f>HYPERLINK("https://www.philgeps.gov.ph/GEPSNONPILOT/Tender/SplashBidNoticeAbstractUI.aspx?menuIndex=3&amp;refID=7043050&amp;Result=3","7043050")</f>
        <v>0</v>
      </c>
      <c r="B4773" t="s">
        <v>1589</v>
      </c>
      <c r="C4773" t="s">
        <v>7756</v>
      </c>
      <c r="D4773" t="s">
        <v>18022</v>
      </c>
      <c r="E4773" t="s">
        <v>22382</v>
      </c>
      <c r="F4773" t="s">
        <v>31574</v>
      </c>
      <c r="G4773" t="s">
        <v>31582</v>
      </c>
      <c r="H4773" t="s">
        <v>31590</v>
      </c>
      <c r="I4773" t="s">
        <v>3487</v>
      </c>
      <c r="J4773" t="s">
        <v>34822</v>
      </c>
      <c r="K4773" t="s">
        <v>41196</v>
      </c>
      <c r="M4773" t="s">
        <v>43193</v>
      </c>
      <c r="N4773" t="s">
        <v>45095</v>
      </c>
      <c r="O4773" t="s">
        <v>45096</v>
      </c>
      <c r="P4773">
        <v>0</v>
      </c>
      <c r="Q4773">
        <v>1</v>
      </c>
      <c r="R4773" t="s">
        <v>45101</v>
      </c>
      <c r="S4773" t="s">
        <v>45231</v>
      </c>
      <c r="T4773" t="s">
        <v>47004</v>
      </c>
      <c r="U4773" t="s">
        <v>51488</v>
      </c>
      <c r="W4773" t="s">
        <v>43193</v>
      </c>
      <c r="X4773" t="s">
        <v>45102</v>
      </c>
    </row>
    <row r="4774" spans="1:24">
      <c r="A4774">
        <f>HYPERLINK("https://www.philgeps.gov.ph/GEPSNONPILOT/Tender/SplashBidNoticeAbstractUI.aspx?menuIndex=3&amp;refID=7043029&amp;Result=3","7043029")</f>
        <v>0</v>
      </c>
      <c r="B4774" t="s">
        <v>1591</v>
      </c>
      <c r="C4774" t="s">
        <v>7757</v>
      </c>
      <c r="D4774" t="s">
        <v>18058</v>
      </c>
      <c r="E4774" t="s">
        <v>22383</v>
      </c>
      <c r="F4774" t="s">
        <v>31574</v>
      </c>
      <c r="G4774" t="s">
        <v>31582</v>
      </c>
      <c r="H4774" t="s">
        <v>31591</v>
      </c>
      <c r="I4774" t="s">
        <v>8822</v>
      </c>
      <c r="J4774" t="s">
        <v>34823</v>
      </c>
      <c r="K4774" t="s">
        <v>41203</v>
      </c>
      <c r="M4774" t="s">
        <v>43195</v>
      </c>
      <c r="N4774" t="s">
        <v>45095</v>
      </c>
      <c r="O4774" t="s">
        <v>45096</v>
      </c>
      <c r="P4774">
        <v>0</v>
      </c>
      <c r="Q4774">
        <v>1</v>
      </c>
      <c r="R4774" t="s">
        <v>45101</v>
      </c>
      <c r="S4774" t="s">
        <v>45231</v>
      </c>
      <c r="T4774" t="s">
        <v>47223</v>
      </c>
      <c r="U4774" t="s">
        <v>51474</v>
      </c>
      <c r="V4774" t="s">
        <v>60356</v>
      </c>
      <c r="W4774" t="s">
        <v>43195</v>
      </c>
      <c r="X4774" t="s">
        <v>45102</v>
      </c>
    </row>
    <row r="4775" spans="1:24">
      <c r="A4775">
        <f>HYPERLINK("https://www.philgeps.gov.ph/GEPSNONPILOT/Tender/SplashBidNoticeAbstractUI.aspx?menuIndex=3&amp;refID=7043048&amp;Result=3","7043048")</f>
        <v>0</v>
      </c>
      <c r="B4775" t="s">
        <v>1588</v>
      </c>
      <c r="C4775" t="s">
        <v>7758</v>
      </c>
      <c r="D4775" t="s">
        <v>18079</v>
      </c>
      <c r="E4775" t="s">
        <v>22384</v>
      </c>
      <c r="F4775" t="s">
        <v>31574</v>
      </c>
      <c r="G4775" t="s">
        <v>31582</v>
      </c>
      <c r="H4775" t="s">
        <v>31591</v>
      </c>
      <c r="I4775" t="s">
        <v>8822</v>
      </c>
      <c r="J4775" t="s">
        <v>34824</v>
      </c>
      <c r="K4775" t="s">
        <v>41192</v>
      </c>
      <c r="M4775" t="s">
        <v>43192</v>
      </c>
      <c r="N4775" t="s">
        <v>45095</v>
      </c>
      <c r="O4775" t="s">
        <v>45096</v>
      </c>
      <c r="P4775">
        <v>0</v>
      </c>
      <c r="Q4775">
        <v>0</v>
      </c>
      <c r="R4775" t="s">
        <v>45101</v>
      </c>
      <c r="S4775" t="s">
        <v>45231</v>
      </c>
      <c r="T4775" t="s">
        <v>46939</v>
      </c>
      <c r="U4775" t="s">
        <v>51491</v>
      </c>
      <c r="W4775" t="s">
        <v>43192</v>
      </c>
      <c r="X4775" t="s">
        <v>45102</v>
      </c>
    </row>
    <row r="4776" spans="1:24">
      <c r="A4776">
        <f>HYPERLINK("https://www.philgeps.gov.ph/GEPSNONPILOT/Tender/SplashBidNoticeAbstractUI.aspx?menuIndex=3&amp;refID=7043027&amp;Result=3","7043027")</f>
        <v>0</v>
      </c>
      <c r="B4776" t="s">
        <v>1589</v>
      </c>
      <c r="C4776" t="s">
        <v>7759</v>
      </c>
      <c r="D4776" t="s">
        <v>18022</v>
      </c>
      <c r="E4776" t="s">
        <v>22385</v>
      </c>
      <c r="F4776" t="s">
        <v>31574</v>
      </c>
      <c r="G4776" t="s">
        <v>31582</v>
      </c>
      <c r="H4776" t="s">
        <v>31590</v>
      </c>
      <c r="I4776" t="s">
        <v>3487</v>
      </c>
      <c r="J4776" t="s">
        <v>34825</v>
      </c>
      <c r="K4776" t="s">
        <v>41196</v>
      </c>
      <c r="M4776" t="s">
        <v>43193</v>
      </c>
      <c r="N4776" t="s">
        <v>45095</v>
      </c>
      <c r="O4776" t="s">
        <v>45096</v>
      </c>
      <c r="P4776">
        <v>0</v>
      </c>
      <c r="Q4776">
        <v>0</v>
      </c>
      <c r="R4776" t="s">
        <v>45101</v>
      </c>
      <c r="S4776" t="s">
        <v>45231</v>
      </c>
      <c r="T4776" t="s">
        <v>47004</v>
      </c>
      <c r="U4776" t="s">
        <v>51488</v>
      </c>
      <c r="W4776" t="s">
        <v>43193</v>
      </c>
      <c r="X4776" t="s">
        <v>45102</v>
      </c>
    </row>
    <row r="4777" spans="1:24">
      <c r="A4777">
        <f>HYPERLINK("https://www.philgeps.gov.ph/GEPSNONPILOT/Tender/SplashBidNoticeAbstractUI.aspx?menuIndex=3&amp;refID=7043024&amp;Result=3","7043024")</f>
        <v>0</v>
      </c>
      <c r="B4777" t="s">
        <v>1598</v>
      </c>
      <c r="C4777" t="s">
        <v>7760</v>
      </c>
      <c r="D4777" t="s">
        <v>18102</v>
      </c>
      <c r="E4777" t="s">
        <v>22386</v>
      </c>
      <c r="F4777" t="s">
        <v>31574</v>
      </c>
      <c r="G4777" t="s">
        <v>31582</v>
      </c>
      <c r="H4777" t="s">
        <v>31591</v>
      </c>
      <c r="I4777" t="s">
        <v>8822</v>
      </c>
      <c r="J4777" t="s">
        <v>34826</v>
      </c>
      <c r="K4777" t="s">
        <v>41185</v>
      </c>
      <c r="M4777" t="s">
        <v>43202</v>
      </c>
      <c r="N4777" t="s">
        <v>45095</v>
      </c>
      <c r="O4777" t="s">
        <v>45096</v>
      </c>
      <c r="P4777">
        <v>0</v>
      </c>
      <c r="Q4777">
        <v>0</v>
      </c>
      <c r="R4777" t="s">
        <v>45101</v>
      </c>
      <c r="S4777" t="s">
        <v>45231</v>
      </c>
      <c r="T4777" t="s">
        <v>47048</v>
      </c>
      <c r="U4777" t="s">
        <v>51492</v>
      </c>
      <c r="W4777" t="s">
        <v>43202</v>
      </c>
      <c r="X4777" t="s">
        <v>45102</v>
      </c>
    </row>
    <row r="4778" spans="1:24">
      <c r="A4778">
        <f>HYPERLINK("https://www.philgeps.gov.ph/GEPSNONPILOT/Tender/SplashBidNoticeAbstractUI.aspx?menuIndex=3&amp;refID=7043045&amp;Result=3","7043045")</f>
        <v>0</v>
      </c>
      <c r="B4778" t="s">
        <v>1591</v>
      </c>
      <c r="C4778" t="s">
        <v>7761</v>
      </c>
      <c r="D4778" t="s">
        <v>18058</v>
      </c>
      <c r="E4778" t="s">
        <v>22387</v>
      </c>
      <c r="F4778" t="s">
        <v>31574</v>
      </c>
      <c r="G4778" t="s">
        <v>31582</v>
      </c>
      <c r="H4778" t="s">
        <v>31591</v>
      </c>
      <c r="I4778" t="s">
        <v>8822</v>
      </c>
      <c r="J4778" t="s">
        <v>34827</v>
      </c>
      <c r="K4778" t="s">
        <v>41203</v>
      </c>
      <c r="M4778" t="s">
        <v>43195</v>
      </c>
      <c r="N4778" t="s">
        <v>45095</v>
      </c>
      <c r="O4778" t="s">
        <v>45096</v>
      </c>
      <c r="P4778">
        <v>0</v>
      </c>
      <c r="Q4778">
        <v>0</v>
      </c>
      <c r="R4778" t="s">
        <v>45101</v>
      </c>
      <c r="S4778" t="s">
        <v>45231</v>
      </c>
      <c r="T4778" t="s">
        <v>47223</v>
      </c>
      <c r="U4778" t="s">
        <v>51474</v>
      </c>
      <c r="V4778" t="s">
        <v>60356</v>
      </c>
      <c r="W4778" t="s">
        <v>43195</v>
      </c>
      <c r="X4778" t="s">
        <v>45102</v>
      </c>
    </row>
    <row r="4779" spans="1:24">
      <c r="A4779">
        <f>HYPERLINK("https://www.philgeps.gov.ph/GEPSNONPILOT/Tender/SplashBidNoticeAbstractUI.aspx?menuIndex=3&amp;refID=7043047&amp;Result=3","7043047")</f>
        <v>0</v>
      </c>
      <c r="B4779" t="s">
        <v>879</v>
      </c>
      <c r="C4779" t="s">
        <v>7762</v>
      </c>
      <c r="D4779" t="s">
        <v>18022</v>
      </c>
      <c r="E4779" t="s">
        <v>22388</v>
      </c>
      <c r="F4779" t="s">
        <v>31574</v>
      </c>
      <c r="G4779" t="s">
        <v>31583</v>
      </c>
      <c r="H4779" t="s">
        <v>31590</v>
      </c>
      <c r="I4779" t="s">
        <v>31608</v>
      </c>
      <c r="J4779" t="s">
        <v>34828</v>
      </c>
      <c r="K4779" t="s">
        <v>41184</v>
      </c>
      <c r="M4779" t="s">
        <v>42400</v>
      </c>
      <c r="N4779" t="s">
        <v>45095</v>
      </c>
      <c r="O4779" t="s">
        <v>45096</v>
      </c>
      <c r="P4779">
        <v>0</v>
      </c>
      <c r="Q4779">
        <v>8</v>
      </c>
      <c r="R4779" t="s">
        <v>45101</v>
      </c>
      <c r="S4779" t="s">
        <v>45231</v>
      </c>
      <c r="T4779" t="s">
        <v>46973</v>
      </c>
      <c r="U4779" t="s">
        <v>51493</v>
      </c>
      <c r="W4779" t="s">
        <v>42400</v>
      </c>
      <c r="X4779" t="s">
        <v>45102</v>
      </c>
    </row>
    <row r="4780" spans="1:24">
      <c r="A4780">
        <f>HYPERLINK("https://www.philgeps.gov.ph/GEPSNONPILOT/Tender/SplashBidNoticeAbstractUI.aspx?menuIndex=3&amp;refID=7043040&amp;Result=3","7043040")</f>
        <v>0</v>
      </c>
      <c r="B4780" t="s">
        <v>1589</v>
      </c>
      <c r="C4780" t="s">
        <v>7763</v>
      </c>
      <c r="D4780" t="s">
        <v>18022</v>
      </c>
      <c r="E4780" t="s">
        <v>22389</v>
      </c>
      <c r="F4780" t="s">
        <v>31574</v>
      </c>
      <c r="G4780" t="s">
        <v>31582</v>
      </c>
      <c r="H4780" t="s">
        <v>31590</v>
      </c>
      <c r="I4780" t="s">
        <v>3487</v>
      </c>
      <c r="J4780" t="s">
        <v>34829</v>
      </c>
      <c r="K4780" t="s">
        <v>41196</v>
      </c>
      <c r="M4780" t="s">
        <v>43193</v>
      </c>
      <c r="N4780" t="s">
        <v>45095</v>
      </c>
      <c r="O4780" t="s">
        <v>45096</v>
      </c>
      <c r="P4780">
        <v>0</v>
      </c>
      <c r="Q4780">
        <v>0</v>
      </c>
      <c r="R4780" t="s">
        <v>45101</v>
      </c>
      <c r="S4780" t="s">
        <v>45231</v>
      </c>
      <c r="T4780" t="s">
        <v>47004</v>
      </c>
      <c r="U4780" t="s">
        <v>51488</v>
      </c>
      <c r="W4780" t="s">
        <v>43193</v>
      </c>
      <c r="X4780" t="s">
        <v>45102</v>
      </c>
    </row>
    <row r="4781" spans="1:24">
      <c r="A4781">
        <f>HYPERLINK("https://www.philgeps.gov.ph/GEPSNONPILOT/Tender/SplashBidNoticeAbstractUI.aspx?menuIndex=3&amp;refID=7043020&amp;Result=3","7043020")</f>
        <v>0</v>
      </c>
      <c r="B4781" t="s">
        <v>1250</v>
      </c>
      <c r="C4781" t="s">
        <v>7764</v>
      </c>
      <c r="D4781" t="s">
        <v>18084</v>
      </c>
      <c r="E4781" t="s">
        <v>19750</v>
      </c>
      <c r="F4781" t="s">
        <v>31574</v>
      </c>
      <c r="G4781" t="s">
        <v>31581</v>
      </c>
      <c r="H4781" t="s">
        <v>31590</v>
      </c>
      <c r="I4781" t="s">
        <v>31619</v>
      </c>
      <c r="J4781" t="s">
        <v>34830</v>
      </c>
      <c r="K4781" t="s">
        <v>41184</v>
      </c>
      <c r="M4781" t="s">
        <v>42816</v>
      </c>
      <c r="N4781" t="s">
        <v>45095</v>
      </c>
      <c r="O4781" t="s">
        <v>45096</v>
      </c>
      <c r="P4781">
        <v>0</v>
      </c>
      <c r="Q4781">
        <v>2</v>
      </c>
      <c r="R4781" t="s">
        <v>45101</v>
      </c>
      <c r="S4781" t="s">
        <v>45231</v>
      </c>
      <c r="T4781" t="s">
        <v>46949</v>
      </c>
      <c r="U4781" t="s">
        <v>51494</v>
      </c>
      <c r="V4781" t="s">
        <v>60202</v>
      </c>
      <c r="W4781" t="s">
        <v>42816</v>
      </c>
      <c r="X4781" t="s">
        <v>45102</v>
      </c>
    </row>
    <row r="4782" spans="1:24">
      <c r="A4782">
        <f>HYPERLINK("https://www.philgeps.gov.ph/GEPSNONPILOT/Tender/SplashBidNoticeAbstractUI.aspx?menuIndex=3&amp;refID=7043058&amp;Result=3","7043058")</f>
        <v>0</v>
      </c>
      <c r="B4782" t="s">
        <v>1589</v>
      </c>
      <c r="C4782" t="s">
        <v>7765</v>
      </c>
      <c r="D4782" t="s">
        <v>18022</v>
      </c>
      <c r="E4782" t="s">
        <v>22390</v>
      </c>
      <c r="F4782" t="s">
        <v>31574</v>
      </c>
      <c r="G4782" t="s">
        <v>31582</v>
      </c>
      <c r="H4782" t="s">
        <v>31590</v>
      </c>
      <c r="I4782" t="s">
        <v>3487</v>
      </c>
      <c r="J4782" t="s">
        <v>34831</v>
      </c>
      <c r="K4782" t="s">
        <v>41196</v>
      </c>
      <c r="M4782" t="s">
        <v>43193</v>
      </c>
      <c r="N4782" t="s">
        <v>45095</v>
      </c>
      <c r="O4782" t="s">
        <v>45096</v>
      </c>
      <c r="P4782">
        <v>0</v>
      </c>
      <c r="Q4782">
        <v>1</v>
      </c>
      <c r="R4782" t="s">
        <v>45101</v>
      </c>
      <c r="S4782" t="s">
        <v>45231</v>
      </c>
      <c r="T4782" t="s">
        <v>47004</v>
      </c>
      <c r="U4782" t="s">
        <v>51488</v>
      </c>
      <c r="W4782" t="s">
        <v>43193</v>
      </c>
      <c r="X4782" t="s">
        <v>45102</v>
      </c>
    </row>
    <row r="4783" spans="1:24">
      <c r="A4783">
        <f>HYPERLINK("https://www.philgeps.gov.ph/GEPSNONPILOT/Tender/SplashBidNoticeAbstractUI.aspx?menuIndex=3&amp;refID=7043051&amp;Result=3","7043051")</f>
        <v>0</v>
      </c>
      <c r="B4783" t="s">
        <v>1603</v>
      </c>
      <c r="C4783" t="s">
        <v>7766</v>
      </c>
      <c r="D4783" t="s">
        <v>18022</v>
      </c>
      <c r="E4783" t="s">
        <v>22391</v>
      </c>
      <c r="F4783" t="s">
        <v>31574</v>
      </c>
      <c r="G4783" t="s">
        <v>31582</v>
      </c>
      <c r="H4783" t="s">
        <v>31591</v>
      </c>
      <c r="I4783" t="s">
        <v>8822</v>
      </c>
      <c r="J4783" t="s">
        <v>34832</v>
      </c>
      <c r="K4783" t="s">
        <v>41189</v>
      </c>
      <c r="M4783" t="s">
        <v>43208</v>
      </c>
      <c r="N4783" t="s">
        <v>45095</v>
      </c>
      <c r="O4783" t="s">
        <v>45096</v>
      </c>
      <c r="P4783">
        <v>0</v>
      </c>
      <c r="Q4783">
        <v>15</v>
      </c>
      <c r="R4783" t="s">
        <v>45101</v>
      </c>
      <c r="S4783" t="s">
        <v>45231</v>
      </c>
      <c r="T4783" t="s">
        <v>47013</v>
      </c>
      <c r="U4783" t="s">
        <v>51495</v>
      </c>
      <c r="V4783" t="s">
        <v>60358</v>
      </c>
      <c r="W4783" t="s">
        <v>43208</v>
      </c>
      <c r="X4783" t="s">
        <v>45102</v>
      </c>
    </row>
    <row r="4784" spans="1:24">
      <c r="A4784">
        <f>HYPERLINK("https://www.philgeps.gov.ph/GEPSNONPILOT/Tender/SplashBidNoticeAbstractUI.aspx?menuIndex=3&amp;refID=7043067&amp;Result=3","7043067")</f>
        <v>0</v>
      </c>
      <c r="B4784" t="s">
        <v>1588</v>
      </c>
      <c r="C4784" t="s">
        <v>7767</v>
      </c>
      <c r="D4784" t="s">
        <v>18079</v>
      </c>
      <c r="E4784" t="s">
        <v>22392</v>
      </c>
      <c r="F4784" t="s">
        <v>31574</v>
      </c>
      <c r="G4784" t="s">
        <v>31582</v>
      </c>
      <c r="H4784" t="s">
        <v>31591</v>
      </c>
      <c r="I4784" t="s">
        <v>8822</v>
      </c>
      <c r="J4784" t="s">
        <v>34833</v>
      </c>
      <c r="K4784" t="s">
        <v>41189</v>
      </c>
      <c r="M4784" t="s">
        <v>43192</v>
      </c>
      <c r="N4784" t="s">
        <v>45095</v>
      </c>
      <c r="O4784" t="s">
        <v>45096</v>
      </c>
      <c r="P4784">
        <v>0</v>
      </c>
      <c r="Q4784">
        <v>0</v>
      </c>
      <c r="R4784" t="s">
        <v>45101</v>
      </c>
      <c r="S4784" t="s">
        <v>45231</v>
      </c>
      <c r="T4784" t="s">
        <v>46939</v>
      </c>
      <c r="U4784" t="s">
        <v>51491</v>
      </c>
      <c r="W4784" t="s">
        <v>43192</v>
      </c>
      <c r="X4784" t="s">
        <v>45102</v>
      </c>
    </row>
    <row r="4785" spans="1:24">
      <c r="A4785">
        <f>HYPERLINK("https://www.philgeps.gov.ph/GEPSNONPILOT/Tender/SplashBidNoticeAbstractUI.aspx?menuIndex=3&amp;refID=7043061&amp;Result=3","7043061")</f>
        <v>0</v>
      </c>
      <c r="B4785" t="s">
        <v>1604</v>
      </c>
      <c r="C4785" t="s">
        <v>7768</v>
      </c>
      <c r="E4785" t="s">
        <v>22393</v>
      </c>
      <c r="F4785" t="s">
        <v>31574</v>
      </c>
      <c r="G4785" t="s">
        <v>31582</v>
      </c>
      <c r="H4785" t="s">
        <v>31593</v>
      </c>
      <c r="I4785" t="s">
        <v>31593</v>
      </c>
      <c r="J4785" t="s">
        <v>34834</v>
      </c>
      <c r="K4785" t="s">
        <v>41235</v>
      </c>
      <c r="M4785" t="s">
        <v>43209</v>
      </c>
      <c r="N4785" t="s">
        <v>45095</v>
      </c>
      <c r="O4785" t="s">
        <v>45096</v>
      </c>
      <c r="P4785">
        <v>0</v>
      </c>
      <c r="Q4785">
        <v>4</v>
      </c>
      <c r="R4785" t="s">
        <v>45101</v>
      </c>
      <c r="S4785" t="s">
        <v>45231</v>
      </c>
      <c r="T4785" t="s">
        <v>46913</v>
      </c>
      <c r="U4785" t="s">
        <v>51496</v>
      </c>
      <c r="W4785" t="s">
        <v>43209</v>
      </c>
      <c r="X4785" t="s">
        <v>45102</v>
      </c>
    </row>
    <row r="4786" spans="1:24">
      <c r="A4786">
        <f>HYPERLINK("https://www.philgeps.gov.ph/GEPSNONPILOT/Tender/SplashBidNoticeAbstractUI.aspx?menuIndex=3&amp;refID=7043066&amp;Result=3","7043066")</f>
        <v>0</v>
      </c>
      <c r="B4786" t="s">
        <v>1589</v>
      </c>
      <c r="C4786" t="s">
        <v>7769</v>
      </c>
      <c r="D4786" t="s">
        <v>18022</v>
      </c>
      <c r="E4786" t="s">
        <v>22394</v>
      </c>
      <c r="F4786" t="s">
        <v>31574</v>
      </c>
      <c r="G4786" t="s">
        <v>31582</v>
      </c>
      <c r="H4786" t="s">
        <v>31590</v>
      </c>
      <c r="I4786" t="s">
        <v>3651</v>
      </c>
      <c r="J4786" t="s">
        <v>34835</v>
      </c>
      <c r="K4786" t="s">
        <v>41196</v>
      </c>
      <c r="M4786" t="s">
        <v>43193</v>
      </c>
      <c r="N4786" t="s">
        <v>45095</v>
      </c>
      <c r="O4786" t="s">
        <v>45096</v>
      </c>
      <c r="P4786">
        <v>0</v>
      </c>
      <c r="Q4786">
        <v>0</v>
      </c>
      <c r="R4786" t="s">
        <v>45101</v>
      </c>
      <c r="S4786" t="s">
        <v>45231</v>
      </c>
      <c r="T4786" t="s">
        <v>47004</v>
      </c>
      <c r="U4786" t="s">
        <v>51497</v>
      </c>
      <c r="W4786" t="s">
        <v>43193</v>
      </c>
      <c r="X4786" t="s">
        <v>45102</v>
      </c>
    </row>
    <row r="4787" spans="1:24">
      <c r="A4787">
        <f>HYPERLINK("https://www.philgeps.gov.ph/GEPSNONPILOT/Tender/SplashBidNoticeAbstractUI.aspx?menuIndex=3&amp;refID=7043062&amp;Result=3","7043062")</f>
        <v>0</v>
      </c>
      <c r="B4787" t="s">
        <v>1589</v>
      </c>
      <c r="C4787" t="s">
        <v>7770</v>
      </c>
      <c r="D4787" t="s">
        <v>18022</v>
      </c>
      <c r="E4787" t="s">
        <v>22395</v>
      </c>
      <c r="F4787" t="s">
        <v>31574</v>
      </c>
      <c r="G4787" t="s">
        <v>31582</v>
      </c>
      <c r="H4787" t="s">
        <v>31590</v>
      </c>
      <c r="I4787" t="s">
        <v>3487</v>
      </c>
      <c r="J4787" t="s">
        <v>34836</v>
      </c>
      <c r="K4787" t="s">
        <v>41196</v>
      </c>
      <c r="M4787" t="s">
        <v>43193</v>
      </c>
      <c r="N4787" t="s">
        <v>45095</v>
      </c>
      <c r="O4787" t="s">
        <v>45096</v>
      </c>
      <c r="P4787">
        <v>0</v>
      </c>
      <c r="Q4787">
        <v>1</v>
      </c>
      <c r="R4787" t="s">
        <v>45101</v>
      </c>
      <c r="S4787" t="s">
        <v>45231</v>
      </c>
      <c r="T4787" t="s">
        <v>47004</v>
      </c>
      <c r="U4787" t="s">
        <v>51488</v>
      </c>
      <c r="W4787" t="s">
        <v>43193</v>
      </c>
      <c r="X4787" t="s">
        <v>45102</v>
      </c>
    </row>
    <row r="4788" spans="1:24">
      <c r="A4788">
        <f>HYPERLINK("https://www.philgeps.gov.ph/GEPSNONPILOT/Tender/SplashBidNoticeAbstractUI.aspx?menuIndex=3&amp;refID=7043069&amp;Result=3","7043069")</f>
        <v>0</v>
      </c>
      <c r="B4788" t="s">
        <v>1605</v>
      </c>
      <c r="C4788" t="s">
        <v>7771</v>
      </c>
      <c r="D4788" t="s">
        <v>18030</v>
      </c>
      <c r="E4788" t="s">
        <v>22396</v>
      </c>
      <c r="F4788" t="s">
        <v>31574</v>
      </c>
      <c r="G4788" t="s">
        <v>31583</v>
      </c>
      <c r="H4788" t="s">
        <v>31590</v>
      </c>
      <c r="I4788" t="s">
        <v>4327</v>
      </c>
      <c r="J4788" t="s">
        <v>32258</v>
      </c>
      <c r="K4788" t="s">
        <v>41193</v>
      </c>
      <c r="M4788" t="s">
        <v>43210</v>
      </c>
      <c r="N4788" t="s">
        <v>45095</v>
      </c>
      <c r="O4788" t="s">
        <v>45096</v>
      </c>
      <c r="P4788">
        <v>0</v>
      </c>
      <c r="Q4788">
        <v>5</v>
      </c>
      <c r="R4788" t="s">
        <v>45101</v>
      </c>
      <c r="S4788" t="s">
        <v>45231</v>
      </c>
      <c r="T4788" t="s">
        <v>46904</v>
      </c>
      <c r="U4788" t="s">
        <v>49093</v>
      </c>
      <c r="W4788" t="s">
        <v>43210</v>
      </c>
      <c r="X4788" t="s">
        <v>45102</v>
      </c>
    </row>
    <row r="4789" spans="1:24">
      <c r="A4789">
        <f>HYPERLINK("https://www.philgeps.gov.ph/GEPSNONPILOT/Tender/SplashBidNoticeAbstractUI.aspx?menuIndex=3&amp;refID=7043064&amp;Result=3","7043064")</f>
        <v>0</v>
      </c>
      <c r="B4789" t="s">
        <v>1606</v>
      </c>
      <c r="C4789" t="s">
        <v>7772</v>
      </c>
      <c r="D4789" t="s">
        <v>18072</v>
      </c>
      <c r="E4789" t="s">
        <v>20688</v>
      </c>
      <c r="F4789" t="s">
        <v>31574</v>
      </c>
      <c r="G4789" t="s">
        <v>31582</v>
      </c>
      <c r="H4789" t="s">
        <v>31593</v>
      </c>
      <c r="I4789" t="s">
        <v>31593</v>
      </c>
      <c r="J4789" t="s">
        <v>34837</v>
      </c>
      <c r="K4789" t="s">
        <v>41200</v>
      </c>
      <c r="M4789" t="s">
        <v>43211</v>
      </c>
      <c r="N4789" t="s">
        <v>45095</v>
      </c>
      <c r="O4789" t="s">
        <v>45096</v>
      </c>
      <c r="Q4789">
        <v>3</v>
      </c>
      <c r="R4789" t="s">
        <v>45101</v>
      </c>
      <c r="S4789" t="s">
        <v>45238</v>
      </c>
      <c r="T4789" t="s">
        <v>47179</v>
      </c>
      <c r="U4789" t="s">
        <v>51498</v>
      </c>
      <c r="V4789" t="s">
        <v>60359</v>
      </c>
      <c r="W4789" t="s">
        <v>43211</v>
      </c>
      <c r="X4789" t="s">
        <v>45102</v>
      </c>
    </row>
    <row r="4790" spans="1:24">
      <c r="A4790">
        <f>HYPERLINK("https://www.philgeps.gov.ph/GEPSNONPILOT/Tender/SplashBidNoticeAbstractUI.aspx?menuIndex=3&amp;refID=7043081&amp;Result=3","7043081")</f>
        <v>0</v>
      </c>
      <c r="B4790" t="s">
        <v>1586</v>
      </c>
      <c r="C4790" t="s">
        <v>7773</v>
      </c>
      <c r="E4790" t="s">
        <v>22397</v>
      </c>
      <c r="F4790" t="s">
        <v>31574</v>
      </c>
      <c r="G4790" t="s">
        <v>31581</v>
      </c>
      <c r="H4790" t="s">
        <v>31590</v>
      </c>
      <c r="I4790" t="s">
        <v>31680</v>
      </c>
      <c r="J4790" t="s">
        <v>33197</v>
      </c>
      <c r="K4790" t="s">
        <v>41184</v>
      </c>
      <c r="M4790" t="s">
        <v>43190</v>
      </c>
      <c r="N4790" t="s">
        <v>45095</v>
      </c>
      <c r="O4790" t="s">
        <v>45096</v>
      </c>
      <c r="P4790">
        <v>0</v>
      </c>
      <c r="Q4790">
        <v>1</v>
      </c>
      <c r="R4790" t="s">
        <v>45101</v>
      </c>
      <c r="S4790" t="s">
        <v>45231</v>
      </c>
      <c r="T4790" t="s">
        <v>47083</v>
      </c>
      <c r="U4790" t="s">
        <v>51499</v>
      </c>
      <c r="V4790" t="s">
        <v>60352</v>
      </c>
      <c r="W4790" t="s">
        <v>61710</v>
      </c>
      <c r="X4790" t="s">
        <v>45102</v>
      </c>
    </row>
    <row r="4791" spans="1:24">
      <c r="A4791">
        <f>HYPERLINK("https://www.philgeps.gov.ph/GEPSNONPILOT/Tender/SplashBidNoticeAbstractUI.aspx?menuIndex=3&amp;refID=7043071&amp;Result=3","7043071")</f>
        <v>0</v>
      </c>
      <c r="B4791" t="s">
        <v>723</v>
      </c>
      <c r="C4791" t="s">
        <v>7774</v>
      </c>
      <c r="D4791" t="s">
        <v>18022</v>
      </c>
      <c r="E4791" t="s">
        <v>22398</v>
      </c>
      <c r="F4791" t="s">
        <v>31574</v>
      </c>
      <c r="G4791" t="s">
        <v>31581</v>
      </c>
      <c r="H4791" t="s">
        <v>31590</v>
      </c>
      <c r="I4791" t="s">
        <v>31623</v>
      </c>
      <c r="J4791" t="s">
        <v>34838</v>
      </c>
      <c r="K4791" t="s">
        <v>41184</v>
      </c>
      <c r="M4791" t="s">
        <v>42233</v>
      </c>
      <c r="N4791" t="s">
        <v>45095</v>
      </c>
      <c r="O4791" t="s">
        <v>45096</v>
      </c>
      <c r="P4791">
        <v>0</v>
      </c>
      <c r="Q4791">
        <v>2</v>
      </c>
      <c r="R4791" t="s">
        <v>45101</v>
      </c>
      <c r="S4791" t="s">
        <v>45231</v>
      </c>
      <c r="T4791" t="s">
        <v>47158</v>
      </c>
      <c r="U4791" t="s">
        <v>51500</v>
      </c>
      <c r="V4791" t="s">
        <v>60019</v>
      </c>
      <c r="W4791" t="s">
        <v>42233</v>
      </c>
      <c r="X4791" t="s">
        <v>45102</v>
      </c>
    </row>
    <row r="4792" spans="1:24">
      <c r="A4792">
        <f>HYPERLINK("https://www.philgeps.gov.ph/GEPSNONPILOT/Tender/SplashBidNoticeAbstractUI.aspx?menuIndex=3&amp;refID=7043077&amp;Result=3","7043077")</f>
        <v>0</v>
      </c>
      <c r="B4792" t="s">
        <v>1607</v>
      </c>
      <c r="C4792" t="s">
        <v>7775</v>
      </c>
      <c r="D4792" t="s">
        <v>18035</v>
      </c>
      <c r="E4792" t="s">
        <v>18962</v>
      </c>
      <c r="F4792" t="s">
        <v>31574</v>
      </c>
      <c r="G4792" t="s">
        <v>31581</v>
      </c>
      <c r="H4792" t="s">
        <v>31592</v>
      </c>
      <c r="I4792" t="s">
        <v>31638</v>
      </c>
      <c r="J4792" t="s">
        <v>34839</v>
      </c>
      <c r="K4792" t="s">
        <v>41186</v>
      </c>
      <c r="M4792" t="s">
        <v>43212</v>
      </c>
      <c r="N4792" t="s">
        <v>45095</v>
      </c>
      <c r="O4792" t="s">
        <v>45096</v>
      </c>
      <c r="P4792">
        <v>0</v>
      </c>
      <c r="Q4792">
        <v>0</v>
      </c>
      <c r="R4792" t="s">
        <v>45101</v>
      </c>
      <c r="S4792" t="s">
        <v>45231</v>
      </c>
      <c r="T4792" t="s">
        <v>46985</v>
      </c>
      <c r="U4792" t="s">
        <v>51501</v>
      </c>
      <c r="W4792" t="s">
        <v>43212</v>
      </c>
      <c r="X4792" t="s">
        <v>45102</v>
      </c>
    </row>
    <row r="4793" spans="1:24">
      <c r="A4793">
        <f>HYPERLINK("https://www.philgeps.gov.ph/GEPSNONPILOT/Tender/SplashBidNoticeAbstractUI.aspx?menuIndex=3&amp;refID=7043063&amp;Result=3","7043063")</f>
        <v>0</v>
      </c>
      <c r="B4793" t="s">
        <v>879</v>
      </c>
      <c r="C4793" t="s">
        <v>6556</v>
      </c>
      <c r="D4793" t="s">
        <v>18022</v>
      </c>
      <c r="E4793" t="s">
        <v>22399</v>
      </c>
      <c r="F4793" t="s">
        <v>31574</v>
      </c>
      <c r="G4793" t="s">
        <v>31583</v>
      </c>
      <c r="H4793" t="s">
        <v>31590</v>
      </c>
      <c r="I4793" t="s">
        <v>6800</v>
      </c>
      <c r="J4793" t="s">
        <v>34840</v>
      </c>
      <c r="K4793" t="s">
        <v>41184</v>
      </c>
      <c r="M4793" t="s">
        <v>42400</v>
      </c>
      <c r="N4793" t="s">
        <v>45095</v>
      </c>
      <c r="O4793" t="s">
        <v>45096</v>
      </c>
      <c r="P4793">
        <v>0</v>
      </c>
      <c r="Q4793">
        <v>10</v>
      </c>
      <c r="R4793" t="s">
        <v>45101</v>
      </c>
      <c r="S4793" t="s">
        <v>45231</v>
      </c>
      <c r="T4793" t="s">
        <v>46973</v>
      </c>
      <c r="U4793" t="s">
        <v>51493</v>
      </c>
      <c r="W4793" t="s">
        <v>42400</v>
      </c>
      <c r="X4793" t="s">
        <v>45102</v>
      </c>
    </row>
    <row r="4794" spans="1:24">
      <c r="A4794">
        <f>HYPERLINK("https://www.philgeps.gov.ph/GEPSNONPILOT/Tender/SplashBidNoticeAbstractUI.aspx?menuIndex=3&amp;refID=7043070&amp;Result=3","7043070")</f>
        <v>0</v>
      </c>
      <c r="B4794" t="s">
        <v>1607</v>
      </c>
      <c r="C4794" t="s">
        <v>7776</v>
      </c>
      <c r="D4794" t="s">
        <v>18035</v>
      </c>
      <c r="E4794" t="s">
        <v>21176</v>
      </c>
      <c r="F4794" t="s">
        <v>31574</v>
      </c>
      <c r="G4794" t="s">
        <v>31581</v>
      </c>
      <c r="H4794" t="s">
        <v>31592</v>
      </c>
      <c r="I4794" t="s">
        <v>31638</v>
      </c>
      <c r="J4794" t="s">
        <v>32017</v>
      </c>
      <c r="K4794" t="s">
        <v>41186</v>
      </c>
      <c r="M4794" t="s">
        <v>43212</v>
      </c>
      <c r="N4794" t="s">
        <v>45095</v>
      </c>
      <c r="O4794" t="s">
        <v>45096</v>
      </c>
      <c r="P4794">
        <v>0</v>
      </c>
      <c r="Q4794">
        <v>0</v>
      </c>
      <c r="R4794" t="s">
        <v>45101</v>
      </c>
      <c r="S4794" t="s">
        <v>45231</v>
      </c>
      <c r="T4794" t="s">
        <v>46985</v>
      </c>
      <c r="U4794" t="s">
        <v>51502</v>
      </c>
      <c r="W4794" t="s">
        <v>43212</v>
      </c>
      <c r="X4794" t="s">
        <v>45102</v>
      </c>
    </row>
    <row r="4795" spans="1:24">
      <c r="A4795">
        <f>HYPERLINK("https://www.philgeps.gov.ph/GEPSNONPILOT/Tender/SplashBidNoticeAbstractUI.aspx?menuIndex=3&amp;refID=7043093&amp;Result=3","7043093")</f>
        <v>0</v>
      </c>
      <c r="B4795" t="s">
        <v>1608</v>
      </c>
      <c r="C4795" t="s">
        <v>7777</v>
      </c>
      <c r="D4795" t="s">
        <v>18069</v>
      </c>
      <c r="E4795" t="s">
        <v>18175</v>
      </c>
      <c r="F4795" t="s">
        <v>31574</v>
      </c>
      <c r="G4795" t="s">
        <v>31582</v>
      </c>
      <c r="H4795" t="s">
        <v>31590</v>
      </c>
      <c r="I4795" t="s">
        <v>4046</v>
      </c>
      <c r="J4795" t="s">
        <v>34841</v>
      </c>
      <c r="K4795" t="s">
        <v>41184</v>
      </c>
      <c r="M4795" t="s">
        <v>43213</v>
      </c>
      <c r="N4795" t="s">
        <v>45095</v>
      </c>
      <c r="O4795" t="s">
        <v>45096</v>
      </c>
      <c r="P4795">
        <v>0</v>
      </c>
      <c r="Q4795">
        <v>0</v>
      </c>
      <c r="R4795" t="s">
        <v>45101</v>
      </c>
      <c r="S4795" t="s">
        <v>45231</v>
      </c>
      <c r="T4795" t="s">
        <v>46941</v>
      </c>
      <c r="U4795" t="s">
        <v>51503</v>
      </c>
      <c r="W4795" t="s">
        <v>43213</v>
      </c>
      <c r="X4795" t="s">
        <v>45102</v>
      </c>
    </row>
    <row r="4796" spans="1:24">
      <c r="A4796">
        <f>HYPERLINK("https://www.philgeps.gov.ph/GEPSNONPILOT/Tender/SplashBidNoticeAbstractUI.aspx?menuIndex=3&amp;refID=7043090&amp;Result=3","7043090")</f>
        <v>0</v>
      </c>
      <c r="B4796" t="s">
        <v>1443</v>
      </c>
      <c r="C4796" t="s">
        <v>7778</v>
      </c>
      <c r="D4796" t="s">
        <v>18074</v>
      </c>
      <c r="E4796" t="s">
        <v>22400</v>
      </c>
      <c r="F4796" t="s">
        <v>31574</v>
      </c>
      <c r="G4796" t="s">
        <v>31582</v>
      </c>
      <c r="H4796" t="s">
        <v>31590</v>
      </c>
      <c r="I4796" t="s">
        <v>5717</v>
      </c>
      <c r="J4796" t="s">
        <v>34842</v>
      </c>
      <c r="K4796" t="s">
        <v>41191</v>
      </c>
      <c r="M4796" t="s">
        <v>43020</v>
      </c>
      <c r="N4796" t="s">
        <v>45095</v>
      </c>
      <c r="O4796" t="s">
        <v>45096</v>
      </c>
      <c r="P4796">
        <v>0</v>
      </c>
      <c r="Q4796">
        <v>2</v>
      </c>
      <c r="R4796" t="s">
        <v>45101</v>
      </c>
      <c r="S4796" t="s">
        <v>45231</v>
      </c>
      <c r="T4796" t="s">
        <v>47166</v>
      </c>
      <c r="U4796" t="s">
        <v>51504</v>
      </c>
      <c r="V4796" t="s">
        <v>60360</v>
      </c>
      <c r="W4796" t="s">
        <v>43020</v>
      </c>
      <c r="X4796" t="s">
        <v>45102</v>
      </c>
    </row>
    <row r="4797" spans="1:24">
      <c r="A4797">
        <f>HYPERLINK("https://www.philgeps.gov.ph/GEPSNONPILOT/Tender/SplashBidNoticeAbstractUI.aspx?menuIndex=3&amp;refID=7043068&amp;Result=3","7043068")</f>
        <v>0</v>
      </c>
      <c r="B4797" t="s">
        <v>1609</v>
      </c>
      <c r="C4797" t="s">
        <v>7779</v>
      </c>
      <c r="E4797" t="s">
        <v>22401</v>
      </c>
      <c r="F4797" t="s">
        <v>31574</v>
      </c>
      <c r="G4797" t="s">
        <v>31581</v>
      </c>
      <c r="H4797" t="s">
        <v>31590</v>
      </c>
      <c r="I4797" t="s">
        <v>31599</v>
      </c>
      <c r="J4797" t="s">
        <v>32017</v>
      </c>
      <c r="K4797" t="s">
        <v>41196</v>
      </c>
      <c r="M4797" t="s">
        <v>43214</v>
      </c>
      <c r="N4797" t="s">
        <v>45095</v>
      </c>
      <c r="O4797" t="s">
        <v>45096</v>
      </c>
      <c r="P4797">
        <v>0</v>
      </c>
      <c r="Q4797">
        <v>0</v>
      </c>
      <c r="R4797" t="s">
        <v>45101</v>
      </c>
      <c r="S4797" t="s">
        <v>45231</v>
      </c>
      <c r="T4797" t="s">
        <v>46918</v>
      </c>
      <c r="U4797" t="s">
        <v>51505</v>
      </c>
      <c r="V4797" t="s">
        <v>60361</v>
      </c>
      <c r="W4797" t="s">
        <v>43214</v>
      </c>
      <c r="X4797" t="s">
        <v>45102</v>
      </c>
    </row>
    <row r="4798" spans="1:24">
      <c r="A4798">
        <f>HYPERLINK("https://www.philgeps.gov.ph/GEPSNONPILOT/Tender/SplashBidNoticeAbstractUI.aspx?menuIndex=3&amp;refID=7043092&amp;Result=3","7043092")</f>
        <v>0</v>
      </c>
      <c r="B4798" t="s">
        <v>723</v>
      </c>
      <c r="C4798" t="s">
        <v>7780</v>
      </c>
      <c r="D4798" t="s">
        <v>18022</v>
      </c>
      <c r="E4798" t="s">
        <v>22402</v>
      </c>
      <c r="F4798" t="s">
        <v>31574</v>
      </c>
      <c r="G4798" t="s">
        <v>31584</v>
      </c>
      <c r="H4798" t="s">
        <v>31590</v>
      </c>
      <c r="I4798" t="s">
        <v>31608</v>
      </c>
      <c r="J4798" t="s">
        <v>33243</v>
      </c>
      <c r="K4798" t="s">
        <v>41186</v>
      </c>
      <c r="M4798" t="s">
        <v>42233</v>
      </c>
      <c r="N4798" t="s">
        <v>45095</v>
      </c>
      <c r="O4798" t="s">
        <v>45096</v>
      </c>
      <c r="P4798">
        <v>0</v>
      </c>
      <c r="Q4798">
        <v>12</v>
      </c>
      <c r="R4798" t="s">
        <v>45101</v>
      </c>
      <c r="S4798" t="s">
        <v>45231</v>
      </c>
      <c r="T4798" t="s">
        <v>47158</v>
      </c>
      <c r="U4798" t="s">
        <v>51506</v>
      </c>
      <c r="V4798" t="s">
        <v>60019</v>
      </c>
      <c r="W4798" t="s">
        <v>42233</v>
      </c>
      <c r="X4798" t="s">
        <v>45102</v>
      </c>
    </row>
    <row r="4799" spans="1:24">
      <c r="A4799">
        <f>HYPERLINK("https://www.philgeps.gov.ph/GEPSNONPILOT/Tender/SplashBidNoticeAbstractUI.aspx?menuIndex=3&amp;refID=7043091&amp;Result=3","7043091")</f>
        <v>0</v>
      </c>
      <c r="B4799" t="s">
        <v>1589</v>
      </c>
      <c r="C4799" t="s">
        <v>7781</v>
      </c>
      <c r="D4799" t="s">
        <v>18022</v>
      </c>
      <c r="E4799" t="s">
        <v>22403</v>
      </c>
      <c r="F4799" t="s">
        <v>31574</v>
      </c>
      <c r="G4799" t="s">
        <v>31582</v>
      </c>
      <c r="H4799" t="s">
        <v>31590</v>
      </c>
      <c r="I4799" t="s">
        <v>6800</v>
      </c>
      <c r="J4799" t="s">
        <v>34843</v>
      </c>
      <c r="K4799" t="s">
        <v>41196</v>
      </c>
      <c r="M4799" t="s">
        <v>43193</v>
      </c>
      <c r="N4799" t="s">
        <v>45095</v>
      </c>
      <c r="O4799" t="s">
        <v>45096</v>
      </c>
      <c r="P4799">
        <v>0</v>
      </c>
      <c r="Q4799">
        <v>0</v>
      </c>
      <c r="R4799" t="s">
        <v>45101</v>
      </c>
      <c r="S4799" t="s">
        <v>45231</v>
      </c>
      <c r="T4799" t="s">
        <v>47004</v>
      </c>
      <c r="U4799" t="s">
        <v>47916</v>
      </c>
      <c r="W4799" t="s">
        <v>43193</v>
      </c>
      <c r="X4799" t="s">
        <v>45102</v>
      </c>
    </row>
    <row r="4800" spans="1:24">
      <c r="A4800">
        <f>HYPERLINK("https://www.philgeps.gov.ph/GEPSNONPILOT/Tender/SplashBidNoticeAbstractUI.aspx?menuIndex=3&amp;refID=7043085&amp;Result=3","7043085")</f>
        <v>0</v>
      </c>
      <c r="B4800" t="s">
        <v>1564</v>
      </c>
      <c r="C4800" t="s">
        <v>7782</v>
      </c>
      <c r="D4800" t="s">
        <v>18022</v>
      </c>
      <c r="E4800" t="s">
        <v>22404</v>
      </c>
      <c r="F4800" t="s">
        <v>31574</v>
      </c>
      <c r="G4800" t="s">
        <v>31581</v>
      </c>
      <c r="H4800" t="s">
        <v>31590</v>
      </c>
      <c r="I4800" t="s">
        <v>31608</v>
      </c>
      <c r="J4800" t="s">
        <v>31931</v>
      </c>
      <c r="K4800" t="s">
        <v>41225</v>
      </c>
      <c r="M4800" t="s">
        <v>43163</v>
      </c>
      <c r="N4800" t="s">
        <v>45095</v>
      </c>
      <c r="O4800" t="s">
        <v>45096</v>
      </c>
      <c r="P4800">
        <v>0</v>
      </c>
      <c r="Q4800">
        <v>2</v>
      </c>
      <c r="R4800" t="s">
        <v>45101</v>
      </c>
      <c r="S4800" t="s">
        <v>45231</v>
      </c>
      <c r="T4800" t="s">
        <v>47064</v>
      </c>
      <c r="U4800" t="s">
        <v>51507</v>
      </c>
      <c r="V4800" t="s">
        <v>60338</v>
      </c>
      <c r="W4800" t="s">
        <v>43163</v>
      </c>
      <c r="X4800" t="s">
        <v>45102</v>
      </c>
    </row>
    <row r="4801" spans="1:24">
      <c r="A4801">
        <f>HYPERLINK("https://www.philgeps.gov.ph/GEPSNONPILOT/Tender/SplashBidNoticeAbstractUI.aspx?menuIndex=3&amp;refID=7043094&amp;Result=3","7043094")</f>
        <v>0</v>
      </c>
      <c r="B4801" t="s">
        <v>1605</v>
      </c>
      <c r="C4801" t="s">
        <v>7783</v>
      </c>
      <c r="D4801" t="s">
        <v>18030</v>
      </c>
      <c r="E4801" t="s">
        <v>22405</v>
      </c>
      <c r="F4801" t="s">
        <v>31574</v>
      </c>
      <c r="G4801" t="s">
        <v>31583</v>
      </c>
      <c r="H4801" t="s">
        <v>31590</v>
      </c>
      <c r="I4801" t="s">
        <v>6800</v>
      </c>
      <c r="J4801" t="s">
        <v>34844</v>
      </c>
      <c r="K4801" t="s">
        <v>41193</v>
      </c>
      <c r="M4801" t="s">
        <v>43210</v>
      </c>
      <c r="N4801" t="s">
        <v>45095</v>
      </c>
      <c r="O4801" t="s">
        <v>45096</v>
      </c>
      <c r="P4801">
        <v>0</v>
      </c>
      <c r="Q4801">
        <v>3</v>
      </c>
      <c r="R4801" t="s">
        <v>45101</v>
      </c>
      <c r="S4801" t="s">
        <v>45231</v>
      </c>
      <c r="T4801" t="s">
        <v>46904</v>
      </c>
      <c r="U4801" t="s">
        <v>51508</v>
      </c>
      <c r="W4801" t="s">
        <v>43210</v>
      </c>
      <c r="X4801" t="s">
        <v>45102</v>
      </c>
    </row>
    <row r="4802" spans="1:24">
      <c r="A4802">
        <f>HYPERLINK("https://www.philgeps.gov.ph/GEPSNONPILOT/Tender/SplashBidNoticeAbstractUI.aspx?menuIndex=3&amp;refID=7043073&amp;Result=3","7043073")</f>
        <v>0</v>
      </c>
      <c r="B4802" t="s">
        <v>1589</v>
      </c>
      <c r="C4802" t="s">
        <v>7784</v>
      </c>
      <c r="D4802" t="s">
        <v>18022</v>
      </c>
      <c r="E4802" t="s">
        <v>22406</v>
      </c>
      <c r="F4802" t="s">
        <v>31574</v>
      </c>
      <c r="G4802" t="s">
        <v>31582</v>
      </c>
      <c r="H4802" t="s">
        <v>31590</v>
      </c>
      <c r="I4802" t="s">
        <v>3651</v>
      </c>
      <c r="J4802" t="s">
        <v>34845</v>
      </c>
      <c r="K4802" t="s">
        <v>41196</v>
      </c>
      <c r="M4802" t="s">
        <v>43193</v>
      </c>
      <c r="N4802" t="s">
        <v>45095</v>
      </c>
      <c r="O4802" t="s">
        <v>45096</v>
      </c>
      <c r="P4802">
        <v>0</v>
      </c>
      <c r="Q4802">
        <v>0</v>
      </c>
      <c r="R4802" t="s">
        <v>45101</v>
      </c>
      <c r="S4802" t="s">
        <v>45231</v>
      </c>
      <c r="T4802" t="s">
        <v>47004</v>
      </c>
      <c r="U4802" t="s">
        <v>51497</v>
      </c>
      <c r="W4802" t="s">
        <v>43193</v>
      </c>
      <c r="X4802" t="s">
        <v>45102</v>
      </c>
    </row>
    <row r="4803" spans="1:24">
      <c r="A4803">
        <f>HYPERLINK("https://www.philgeps.gov.ph/GEPSNONPILOT/Tender/SplashBidNoticeAbstractUI.aspx?menuIndex=3&amp;refID=7043100&amp;Result=3","7043100")</f>
        <v>0</v>
      </c>
      <c r="B4803" t="s">
        <v>1443</v>
      </c>
      <c r="C4803" t="s">
        <v>7785</v>
      </c>
      <c r="D4803" t="s">
        <v>18074</v>
      </c>
      <c r="E4803" t="s">
        <v>22407</v>
      </c>
      <c r="F4803" t="s">
        <v>31574</v>
      </c>
      <c r="G4803" t="s">
        <v>31582</v>
      </c>
      <c r="H4803" t="s">
        <v>31590</v>
      </c>
      <c r="I4803" t="s">
        <v>4046</v>
      </c>
      <c r="J4803" t="s">
        <v>34846</v>
      </c>
      <c r="K4803" t="s">
        <v>41191</v>
      </c>
      <c r="M4803" t="s">
        <v>43020</v>
      </c>
      <c r="N4803" t="s">
        <v>45095</v>
      </c>
      <c r="O4803" t="s">
        <v>45096</v>
      </c>
      <c r="P4803">
        <v>0</v>
      </c>
      <c r="Q4803">
        <v>2</v>
      </c>
      <c r="R4803" t="s">
        <v>45101</v>
      </c>
      <c r="S4803" t="s">
        <v>45231</v>
      </c>
      <c r="T4803" t="s">
        <v>47166</v>
      </c>
      <c r="U4803" t="s">
        <v>51052</v>
      </c>
      <c r="V4803" t="s">
        <v>60362</v>
      </c>
      <c r="W4803" t="s">
        <v>43020</v>
      </c>
      <c r="X4803" t="s">
        <v>45102</v>
      </c>
    </row>
    <row r="4804" spans="1:24">
      <c r="A4804">
        <f>HYPERLINK("https://www.philgeps.gov.ph/GEPSNONPILOT/Tender/SplashBidNoticeAbstractUI.aspx?menuIndex=3&amp;refID=7043102&amp;Result=3","7043102")</f>
        <v>0</v>
      </c>
      <c r="B4804" t="s">
        <v>1608</v>
      </c>
      <c r="C4804" t="s">
        <v>7786</v>
      </c>
      <c r="D4804" t="s">
        <v>18069</v>
      </c>
      <c r="E4804" t="s">
        <v>22408</v>
      </c>
      <c r="F4804" t="s">
        <v>31574</v>
      </c>
      <c r="G4804" t="s">
        <v>31582</v>
      </c>
      <c r="H4804" t="s">
        <v>31590</v>
      </c>
      <c r="I4804" t="s">
        <v>4046</v>
      </c>
      <c r="J4804" t="s">
        <v>31727</v>
      </c>
      <c r="K4804" t="s">
        <v>41184</v>
      </c>
      <c r="M4804" t="s">
        <v>43213</v>
      </c>
      <c r="N4804" t="s">
        <v>45095</v>
      </c>
      <c r="O4804" t="s">
        <v>45096</v>
      </c>
      <c r="P4804">
        <v>0</v>
      </c>
      <c r="Q4804">
        <v>0</v>
      </c>
      <c r="R4804" t="s">
        <v>45101</v>
      </c>
      <c r="S4804" t="s">
        <v>45231</v>
      </c>
      <c r="T4804" t="s">
        <v>46941</v>
      </c>
      <c r="U4804" t="s">
        <v>51503</v>
      </c>
      <c r="W4804" t="s">
        <v>43213</v>
      </c>
      <c r="X4804" t="s">
        <v>45102</v>
      </c>
    </row>
    <row r="4805" spans="1:24">
      <c r="A4805">
        <f>HYPERLINK("https://www.philgeps.gov.ph/GEPSNONPILOT/Tender/SplashBidNoticeAbstractUI.aspx?menuIndex=3&amp;refID=7043099&amp;Result=3","7043099")</f>
        <v>0</v>
      </c>
      <c r="B4805" t="s">
        <v>1589</v>
      </c>
      <c r="C4805" t="s">
        <v>7787</v>
      </c>
      <c r="D4805" t="s">
        <v>18022</v>
      </c>
      <c r="E4805" t="s">
        <v>22409</v>
      </c>
      <c r="F4805" t="s">
        <v>31574</v>
      </c>
      <c r="G4805" t="s">
        <v>31582</v>
      </c>
      <c r="H4805" t="s">
        <v>31590</v>
      </c>
      <c r="I4805" t="s">
        <v>6800</v>
      </c>
      <c r="J4805" t="s">
        <v>32076</v>
      </c>
      <c r="K4805" t="s">
        <v>41196</v>
      </c>
      <c r="M4805" t="s">
        <v>43193</v>
      </c>
      <c r="N4805" t="s">
        <v>45095</v>
      </c>
      <c r="O4805" t="s">
        <v>45096</v>
      </c>
      <c r="P4805">
        <v>0</v>
      </c>
      <c r="Q4805">
        <v>0</v>
      </c>
      <c r="R4805" t="s">
        <v>45101</v>
      </c>
      <c r="S4805" t="s">
        <v>45231</v>
      </c>
      <c r="T4805" t="s">
        <v>47004</v>
      </c>
      <c r="U4805" t="s">
        <v>47916</v>
      </c>
      <c r="W4805" t="s">
        <v>43193</v>
      </c>
      <c r="X4805" t="s">
        <v>45102</v>
      </c>
    </row>
    <row r="4806" spans="1:24">
      <c r="A4806">
        <f>HYPERLINK("https://www.philgeps.gov.ph/GEPSNONPILOT/Tender/SplashBidNoticeAbstractUI.aspx?menuIndex=3&amp;refID=7043118&amp;Result=3","7043118")</f>
        <v>0</v>
      </c>
      <c r="B4806" t="s">
        <v>1589</v>
      </c>
      <c r="C4806" t="s">
        <v>7788</v>
      </c>
      <c r="D4806" t="s">
        <v>18022</v>
      </c>
      <c r="E4806" t="s">
        <v>22410</v>
      </c>
      <c r="F4806" t="s">
        <v>31574</v>
      </c>
      <c r="G4806" t="s">
        <v>31582</v>
      </c>
      <c r="H4806" t="s">
        <v>31590</v>
      </c>
      <c r="I4806" t="s">
        <v>6800</v>
      </c>
      <c r="J4806" t="s">
        <v>34847</v>
      </c>
      <c r="K4806" t="s">
        <v>41196</v>
      </c>
      <c r="M4806" t="s">
        <v>43193</v>
      </c>
      <c r="N4806" t="s">
        <v>45095</v>
      </c>
      <c r="O4806" t="s">
        <v>45096</v>
      </c>
      <c r="P4806">
        <v>0</v>
      </c>
      <c r="Q4806">
        <v>0</v>
      </c>
      <c r="R4806" t="s">
        <v>45101</v>
      </c>
      <c r="S4806" t="s">
        <v>45231</v>
      </c>
      <c r="T4806" t="s">
        <v>47004</v>
      </c>
      <c r="U4806" t="s">
        <v>47916</v>
      </c>
      <c r="W4806" t="s">
        <v>43193</v>
      </c>
      <c r="X4806" t="s">
        <v>45102</v>
      </c>
    </row>
    <row r="4807" spans="1:24">
      <c r="A4807">
        <f>HYPERLINK("https://www.philgeps.gov.ph/GEPSNONPILOT/Tender/SplashBidNoticeAbstractUI.aspx?menuIndex=3&amp;refID=7043103&amp;Result=3","7043103")</f>
        <v>0</v>
      </c>
      <c r="B4807" t="s">
        <v>1278</v>
      </c>
      <c r="C4807" t="s">
        <v>7789</v>
      </c>
      <c r="D4807" t="s">
        <v>18044</v>
      </c>
      <c r="E4807" t="s">
        <v>22411</v>
      </c>
      <c r="F4807" t="s">
        <v>31574</v>
      </c>
      <c r="G4807" t="s">
        <v>31581</v>
      </c>
      <c r="H4807" t="s">
        <v>31590</v>
      </c>
      <c r="I4807" t="s">
        <v>31599</v>
      </c>
      <c r="J4807" t="s">
        <v>34848</v>
      </c>
      <c r="K4807" t="s">
        <v>41194</v>
      </c>
      <c r="M4807" t="s">
        <v>42846</v>
      </c>
      <c r="N4807" t="s">
        <v>45095</v>
      </c>
      <c r="O4807" t="s">
        <v>45096</v>
      </c>
      <c r="P4807">
        <v>0</v>
      </c>
      <c r="Q4807">
        <v>1</v>
      </c>
      <c r="R4807" t="s">
        <v>45101</v>
      </c>
      <c r="S4807" t="s">
        <v>45231</v>
      </c>
      <c r="T4807" t="s">
        <v>47076</v>
      </c>
      <c r="U4807" t="s">
        <v>51509</v>
      </c>
      <c r="W4807" t="s">
        <v>42846</v>
      </c>
      <c r="X4807" t="s">
        <v>45102</v>
      </c>
    </row>
    <row r="4808" spans="1:24">
      <c r="A4808">
        <f>HYPERLINK("https://www.philgeps.gov.ph/GEPSNONPILOT/Tender/SplashBidNoticeAbstractUI.aspx?menuIndex=3&amp;refID=7043117&amp;Result=3","7043117")</f>
        <v>0</v>
      </c>
      <c r="B4808" t="s">
        <v>1278</v>
      </c>
      <c r="C4808" t="s">
        <v>7790</v>
      </c>
      <c r="D4808" t="s">
        <v>18044</v>
      </c>
      <c r="E4808" t="s">
        <v>22412</v>
      </c>
      <c r="F4808" t="s">
        <v>31574</v>
      </c>
      <c r="G4808" t="s">
        <v>31581</v>
      </c>
      <c r="H4808" t="s">
        <v>31591</v>
      </c>
      <c r="I4808" t="s">
        <v>8822</v>
      </c>
      <c r="J4808" t="s">
        <v>34849</v>
      </c>
      <c r="K4808" t="s">
        <v>41186</v>
      </c>
      <c r="M4808" t="s">
        <v>42846</v>
      </c>
      <c r="N4808" t="s">
        <v>45095</v>
      </c>
      <c r="O4808" t="s">
        <v>45096</v>
      </c>
      <c r="P4808">
        <v>0</v>
      </c>
      <c r="Q4808">
        <v>0</v>
      </c>
      <c r="R4808" t="s">
        <v>45101</v>
      </c>
      <c r="S4808" t="s">
        <v>45231</v>
      </c>
      <c r="T4808" t="s">
        <v>47076</v>
      </c>
      <c r="U4808" t="s">
        <v>51510</v>
      </c>
      <c r="W4808" t="s">
        <v>42846</v>
      </c>
      <c r="X4808" t="s">
        <v>45102</v>
      </c>
    </row>
    <row r="4809" spans="1:24">
      <c r="A4809">
        <f>HYPERLINK("https://www.philgeps.gov.ph/GEPSNONPILOT/Tender/SplashBidNoticeAbstractUI.aspx?menuIndex=3&amp;refID=7043114&amp;Result=3","7043114")</f>
        <v>0</v>
      </c>
      <c r="B4809" t="s">
        <v>1278</v>
      </c>
      <c r="C4809" t="s">
        <v>7791</v>
      </c>
      <c r="D4809" t="s">
        <v>18044</v>
      </c>
      <c r="E4809" t="s">
        <v>22413</v>
      </c>
      <c r="F4809" t="s">
        <v>31574</v>
      </c>
      <c r="G4809" t="s">
        <v>31581</v>
      </c>
      <c r="H4809" t="s">
        <v>31590</v>
      </c>
      <c r="I4809" t="s">
        <v>31612</v>
      </c>
      <c r="J4809" t="s">
        <v>34850</v>
      </c>
      <c r="K4809" t="s">
        <v>41193</v>
      </c>
      <c r="M4809" t="s">
        <v>42846</v>
      </c>
      <c r="N4809" t="s">
        <v>45095</v>
      </c>
      <c r="O4809" t="s">
        <v>45096</v>
      </c>
      <c r="P4809">
        <v>0</v>
      </c>
      <c r="Q4809">
        <v>2</v>
      </c>
      <c r="R4809" t="s">
        <v>45101</v>
      </c>
      <c r="S4809" t="s">
        <v>45231</v>
      </c>
      <c r="T4809" t="s">
        <v>47076</v>
      </c>
      <c r="U4809" t="s">
        <v>51511</v>
      </c>
      <c r="W4809" t="s">
        <v>42846</v>
      </c>
      <c r="X4809" t="s">
        <v>45102</v>
      </c>
    </row>
    <row r="4810" spans="1:24">
      <c r="A4810">
        <f>HYPERLINK("https://www.philgeps.gov.ph/GEPSNONPILOT/Tender/SplashBidNoticeAbstractUI.aspx?menuIndex=3&amp;refID=7043110&amp;Result=3","7043110")</f>
        <v>0</v>
      </c>
      <c r="B4810" t="s">
        <v>1278</v>
      </c>
      <c r="C4810" t="s">
        <v>7792</v>
      </c>
      <c r="D4810" t="s">
        <v>18044</v>
      </c>
      <c r="E4810" t="s">
        <v>22414</v>
      </c>
      <c r="F4810" t="s">
        <v>31574</v>
      </c>
      <c r="G4810" t="s">
        <v>31581</v>
      </c>
      <c r="H4810" t="s">
        <v>31590</v>
      </c>
      <c r="I4810" t="s">
        <v>3487</v>
      </c>
      <c r="J4810" t="s">
        <v>34851</v>
      </c>
      <c r="K4810" t="s">
        <v>41194</v>
      </c>
      <c r="M4810" t="s">
        <v>42846</v>
      </c>
      <c r="N4810" t="s">
        <v>45095</v>
      </c>
      <c r="O4810" t="s">
        <v>45096</v>
      </c>
      <c r="P4810">
        <v>0</v>
      </c>
      <c r="Q4810">
        <v>2</v>
      </c>
      <c r="R4810" t="s">
        <v>45101</v>
      </c>
      <c r="S4810" t="s">
        <v>45231</v>
      </c>
      <c r="T4810" t="s">
        <v>47076</v>
      </c>
      <c r="U4810" t="s">
        <v>51512</v>
      </c>
      <c r="W4810" t="s">
        <v>42846</v>
      </c>
      <c r="X4810" t="s">
        <v>45102</v>
      </c>
    </row>
    <row r="4811" spans="1:24">
      <c r="A4811">
        <f>HYPERLINK("https://www.philgeps.gov.ph/GEPSNONPILOT/Tender/SplashBidNoticeAbstractUI.aspx?menuIndex=3&amp;refID=7043113&amp;Result=3","7043113")</f>
        <v>0</v>
      </c>
      <c r="B4811" t="s">
        <v>1092</v>
      </c>
      <c r="C4811" t="s">
        <v>7793</v>
      </c>
      <c r="D4811" t="s">
        <v>18022</v>
      </c>
      <c r="E4811" t="s">
        <v>22415</v>
      </c>
      <c r="F4811" t="s">
        <v>31574</v>
      </c>
      <c r="G4811" t="s">
        <v>31581</v>
      </c>
      <c r="H4811" t="s">
        <v>31590</v>
      </c>
      <c r="I4811" t="s">
        <v>31608</v>
      </c>
      <c r="J4811" t="s">
        <v>32167</v>
      </c>
      <c r="K4811" t="s">
        <v>41184</v>
      </c>
      <c r="M4811" t="s">
        <v>42641</v>
      </c>
      <c r="N4811" t="s">
        <v>45095</v>
      </c>
      <c r="O4811" t="s">
        <v>45096</v>
      </c>
      <c r="P4811">
        <v>0</v>
      </c>
      <c r="Q4811">
        <v>11</v>
      </c>
      <c r="R4811" t="s">
        <v>45101</v>
      </c>
      <c r="S4811" t="s">
        <v>45231</v>
      </c>
      <c r="T4811" t="s">
        <v>47176</v>
      </c>
      <c r="U4811" t="s">
        <v>50007</v>
      </c>
      <c r="W4811" t="s">
        <v>42641</v>
      </c>
      <c r="X4811" t="s">
        <v>45102</v>
      </c>
    </row>
    <row r="4812" spans="1:24">
      <c r="A4812">
        <f>HYPERLINK("https://www.philgeps.gov.ph/GEPSNONPILOT/Tender/SplashBidNoticeAbstractUI.aspx?menuIndex=3&amp;refID=7043096&amp;Result=3","7043096")</f>
        <v>0</v>
      </c>
      <c r="B4812" t="s">
        <v>1589</v>
      </c>
      <c r="C4812" t="s">
        <v>7794</v>
      </c>
      <c r="D4812" t="s">
        <v>18022</v>
      </c>
      <c r="E4812" t="s">
        <v>22416</v>
      </c>
      <c r="F4812" t="s">
        <v>31574</v>
      </c>
      <c r="G4812" t="s">
        <v>31582</v>
      </c>
      <c r="H4812" t="s">
        <v>31590</v>
      </c>
      <c r="I4812" t="s">
        <v>6800</v>
      </c>
      <c r="J4812" t="s">
        <v>34852</v>
      </c>
      <c r="K4812" t="s">
        <v>41196</v>
      </c>
      <c r="M4812" t="s">
        <v>43193</v>
      </c>
      <c r="N4812" t="s">
        <v>45095</v>
      </c>
      <c r="O4812" t="s">
        <v>45096</v>
      </c>
      <c r="P4812">
        <v>0</v>
      </c>
      <c r="Q4812">
        <v>0</v>
      </c>
      <c r="R4812" t="s">
        <v>45101</v>
      </c>
      <c r="S4812" t="s">
        <v>45231</v>
      </c>
      <c r="T4812" t="s">
        <v>47004</v>
      </c>
      <c r="U4812" t="s">
        <v>47916</v>
      </c>
      <c r="W4812" t="s">
        <v>43193</v>
      </c>
      <c r="X4812" t="s">
        <v>45102</v>
      </c>
    </row>
    <row r="4813" spans="1:24">
      <c r="A4813">
        <f>HYPERLINK("https://www.philgeps.gov.ph/GEPSNONPILOT/Tender/SplashBidNoticeAbstractUI.aspx?menuIndex=3&amp;refID=7043108&amp;Result=3","7043108")</f>
        <v>0</v>
      </c>
      <c r="B4813" t="s">
        <v>1278</v>
      </c>
      <c r="C4813" t="s">
        <v>7795</v>
      </c>
      <c r="D4813" t="s">
        <v>18044</v>
      </c>
      <c r="E4813" t="s">
        <v>22417</v>
      </c>
      <c r="F4813" t="s">
        <v>31574</v>
      </c>
      <c r="G4813" t="s">
        <v>31581</v>
      </c>
      <c r="H4813" t="s">
        <v>31590</v>
      </c>
      <c r="I4813" t="s">
        <v>31640</v>
      </c>
      <c r="J4813" t="s">
        <v>34853</v>
      </c>
      <c r="K4813" t="s">
        <v>41206</v>
      </c>
      <c r="M4813" t="s">
        <v>42846</v>
      </c>
      <c r="N4813" t="s">
        <v>45095</v>
      </c>
      <c r="O4813" t="s">
        <v>45096</v>
      </c>
      <c r="P4813">
        <v>0</v>
      </c>
      <c r="Q4813">
        <v>2</v>
      </c>
      <c r="R4813" t="s">
        <v>45101</v>
      </c>
      <c r="S4813" t="s">
        <v>45231</v>
      </c>
      <c r="T4813" t="s">
        <v>47076</v>
      </c>
      <c r="U4813" t="s">
        <v>51513</v>
      </c>
      <c r="W4813" t="s">
        <v>42846</v>
      </c>
      <c r="X4813" t="s">
        <v>45102</v>
      </c>
    </row>
    <row r="4814" spans="1:24">
      <c r="A4814">
        <f>HYPERLINK("https://www.philgeps.gov.ph/GEPSNONPILOT/Tender/SplashBidNoticeAbstractUI.aspx?menuIndex=3&amp;refID=7043104&amp;Result=3","7043104")</f>
        <v>0</v>
      </c>
      <c r="B4814" t="s">
        <v>1278</v>
      </c>
      <c r="C4814" t="s">
        <v>7796</v>
      </c>
      <c r="D4814" t="s">
        <v>18044</v>
      </c>
      <c r="E4814" t="s">
        <v>22418</v>
      </c>
      <c r="F4814" t="s">
        <v>31574</v>
      </c>
      <c r="G4814" t="s">
        <v>31581</v>
      </c>
      <c r="H4814" t="s">
        <v>31590</v>
      </c>
      <c r="I4814" t="s">
        <v>3487</v>
      </c>
      <c r="J4814" t="s">
        <v>34854</v>
      </c>
      <c r="K4814" t="s">
        <v>41194</v>
      </c>
      <c r="M4814" t="s">
        <v>42846</v>
      </c>
      <c r="N4814" t="s">
        <v>45095</v>
      </c>
      <c r="O4814" t="s">
        <v>45096</v>
      </c>
      <c r="P4814">
        <v>0</v>
      </c>
      <c r="Q4814">
        <v>1</v>
      </c>
      <c r="R4814" t="s">
        <v>45101</v>
      </c>
      <c r="S4814" t="s">
        <v>45231</v>
      </c>
      <c r="T4814" t="s">
        <v>47076</v>
      </c>
      <c r="U4814" t="s">
        <v>51514</v>
      </c>
      <c r="W4814" t="s">
        <v>42846</v>
      </c>
      <c r="X4814" t="s">
        <v>45102</v>
      </c>
    </row>
    <row r="4815" spans="1:24">
      <c r="A4815">
        <f>HYPERLINK("https://www.philgeps.gov.ph/GEPSNONPILOT/Tender/SplashBidNoticeAbstractUI.aspx?menuIndex=3&amp;refID=7043109&amp;Result=3","7043109")</f>
        <v>0</v>
      </c>
      <c r="B4815" t="s">
        <v>1589</v>
      </c>
      <c r="C4815" t="s">
        <v>7797</v>
      </c>
      <c r="D4815" t="s">
        <v>18022</v>
      </c>
      <c r="E4815" t="s">
        <v>22419</v>
      </c>
      <c r="F4815" t="s">
        <v>31574</v>
      </c>
      <c r="G4815" t="s">
        <v>31582</v>
      </c>
      <c r="H4815" t="s">
        <v>31590</v>
      </c>
      <c r="I4815" t="s">
        <v>6800</v>
      </c>
      <c r="J4815" t="s">
        <v>34855</v>
      </c>
      <c r="K4815" t="s">
        <v>41196</v>
      </c>
      <c r="M4815" t="s">
        <v>43193</v>
      </c>
      <c r="N4815" t="s">
        <v>45095</v>
      </c>
      <c r="O4815" t="s">
        <v>45096</v>
      </c>
      <c r="P4815">
        <v>0</v>
      </c>
      <c r="Q4815">
        <v>0</v>
      </c>
      <c r="R4815" t="s">
        <v>45101</v>
      </c>
      <c r="S4815" t="s">
        <v>45231</v>
      </c>
      <c r="T4815" t="s">
        <v>47004</v>
      </c>
      <c r="U4815" t="s">
        <v>47916</v>
      </c>
      <c r="W4815" t="s">
        <v>43193</v>
      </c>
      <c r="X4815" t="s">
        <v>45102</v>
      </c>
    </row>
    <row r="4816" spans="1:24">
      <c r="A4816">
        <f>HYPERLINK("https://www.philgeps.gov.ph/GEPSNONPILOT/Tender/SplashBidNoticeAbstractUI.aspx?menuIndex=3&amp;refID=7043105&amp;Result=3","7043105")</f>
        <v>0</v>
      </c>
      <c r="B4816" t="s">
        <v>1443</v>
      </c>
      <c r="C4816" t="s">
        <v>7798</v>
      </c>
      <c r="D4816" t="s">
        <v>18074</v>
      </c>
      <c r="E4816" t="s">
        <v>22420</v>
      </c>
      <c r="F4816" t="s">
        <v>31574</v>
      </c>
      <c r="G4816" t="s">
        <v>31582</v>
      </c>
      <c r="H4816" t="s">
        <v>31590</v>
      </c>
      <c r="I4816" t="s">
        <v>4046</v>
      </c>
      <c r="J4816" t="s">
        <v>34856</v>
      </c>
      <c r="K4816" t="s">
        <v>41191</v>
      </c>
      <c r="M4816" t="s">
        <v>43020</v>
      </c>
      <c r="N4816" t="s">
        <v>45095</v>
      </c>
      <c r="O4816" t="s">
        <v>45096</v>
      </c>
      <c r="P4816">
        <v>0</v>
      </c>
      <c r="Q4816">
        <v>0</v>
      </c>
      <c r="R4816" t="s">
        <v>45101</v>
      </c>
      <c r="S4816" t="s">
        <v>45231</v>
      </c>
      <c r="T4816" t="s">
        <v>47166</v>
      </c>
      <c r="U4816" t="s">
        <v>51052</v>
      </c>
      <c r="V4816" t="s">
        <v>60363</v>
      </c>
      <c r="W4816" t="s">
        <v>43020</v>
      </c>
      <c r="X4816" t="s">
        <v>45102</v>
      </c>
    </row>
    <row r="4817" spans="1:24">
      <c r="A4817">
        <f>HYPERLINK("https://www.philgeps.gov.ph/GEPSNONPILOT/Tender/SplashBidNoticeAbstractUI.aspx?menuIndex=3&amp;refID=7043106&amp;Result=3","7043106")</f>
        <v>0</v>
      </c>
      <c r="B4817" t="s">
        <v>1610</v>
      </c>
      <c r="C4817" t="s">
        <v>7799</v>
      </c>
      <c r="E4817" t="s">
        <v>22421</v>
      </c>
      <c r="F4817" t="s">
        <v>31574</v>
      </c>
      <c r="G4817" t="s">
        <v>31581</v>
      </c>
      <c r="H4817" t="s">
        <v>31590</v>
      </c>
      <c r="I4817" t="s">
        <v>31597</v>
      </c>
      <c r="J4817" t="s">
        <v>34857</v>
      </c>
      <c r="K4817" t="s">
        <v>41184</v>
      </c>
      <c r="M4817" t="s">
        <v>43215</v>
      </c>
      <c r="N4817" t="s">
        <v>45095</v>
      </c>
      <c r="O4817" t="s">
        <v>45096</v>
      </c>
      <c r="P4817">
        <v>0</v>
      </c>
      <c r="Q4817">
        <v>1</v>
      </c>
      <c r="R4817" t="s">
        <v>45101</v>
      </c>
      <c r="S4817" t="s">
        <v>45231</v>
      </c>
      <c r="T4817" t="s">
        <v>47076</v>
      </c>
      <c r="U4817" t="s">
        <v>51515</v>
      </c>
      <c r="W4817" t="s">
        <v>43215</v>
      </c>
      <c r="X4817" t="s">
        <v>45102</v>
      </c>
    </row>
    <row r="4818" spans="1:24">
      <c r="A4818">
        <f>HYPERLINK("https://www.philgeps.gov.ph/GEPSNONPILOT/Tender/SplashBidNoticeAbstractUI.aspx?menuIndex=3&amp;refID=7043098&amp;Result=3","7043098")</f>
        <v>0</v>
      </c>
      <c r="B4818" t="s">
        <v>1606</v>
      </c>
      <c r="C4818" t="s">
        <v>7800</v>
      </c>
      <c r="D4818" t="s">
        <v>18072</v>
      </c>
      <c r="E4818" t="s">
        <v>18191</v>
      </c>
      <c r="F4818" t="s">
        <v>31574</v>
      </c>
      <c r="G4818" t="s">
        <v>31582</v>
      </c>
      <c r="H4818" t="s">
        <v>31593</v>
      </c>
      <c r="I4818" t="s">
        <v>31593</v>
      </c>
      <c r="J4818" t="s">
        <v>34819</v>
      </c>
      <c r="K4818" t="s">
        <v>41189</v>
      </c>
      <c r="M4818" t="s">
        <v>43211</v>
      </c>
      <c r="N4818" t="s">
        <v>45095</v>
      </c>
      <c r="O4818" t="s">
        <v>45096</v>
      </c>
      <c r="Q4818">
        <v>2</v>
      </c>
      <c r="R4818" t="s">
        <v>45101</v>
      </c>
      <c r="S4818" t="s">
        <v>45239</v>
      </c>
      <c r="T4818" t="s">
        <v>47161</v>
      </c>
      <c r="U4818" t="s">
        <v>51516</v>
      </c>
      <c r="V4818" t="s">
        <v>60364</v>
      </c>
      <c r="W4818" t="s">
        <v>43211</v>
      </c>
      <c r="X4818" t="s">
        <v>45102</v>
      </c>
    </row>
    <row r="4819" spans="1:24">
      <c r="A4819">
        <f>HYPERLINK("https://www.philgeps.gov.ph/GEPSNONPILOT/Tender/SplashBidNoticeAbstractUI.aspx?menuIndex=3&amp;refID=7043119&amp;Result=3","7043119")</f>
        <v>0</v>
      </c>
      <c r="B4819" t="s">
        <v>42</v>
      </c>
      <c r="C4819" t="s">
        <v>7801</v>
      </c>
      <c r="D4819" t="s">
        <v>18038</v>
      </c>
      <c r="E4819" t="s">
        <v>22422</v>
      </c>
      <c r="F4819" t="s">
        <v>31574</v>
      </c>
      <c r="G4819" t="s">
        <v>31582</v>
      </c>
      <c r="H4819" t="s">
        <v>31590</v>
      </c>
      <c r="I4819" t="s">
        <v>31601</v>
      </c>
      <c r="J4819" t="s">
        <v>34858</v>
      </c>
      <c r="K4819" t="s">
        <v>41189</v>
      </c>
      <c r="M4819" t="s">
        <v>41525</v>
      </c>
      <c r="N4819" t="s">
        <v>45095</v>
      </c>
      <c r="O4819" t="s">
        <v>45096</v>
      </c>
      <c r="P4819">
        <v>0</v>
      </c>
      <c r="Q4819">
        <v>1</v>
      </c>
      <c r="R4819" t="s">
        <v>45101</v>
      </c>
      <c r="S4819" t="s">
        <v>45231</v>
      </c>
      <c r="T4819" t="s">
        <v>46904</v>
      </c>
      <c r="U4819" t="s">
        <v>51517</v>
      </c>
      <c r="V4819" t="s">
        <v>60365</v>
      </c>
      <c r="W4819" t="s">
        <v>41525</v>
      </c>
      <c r="X4819" t="s">
        <v>45102</v>
      </c>
    </row>
    <row r="4820" spans="1:24">
      <c r="A4820">
        <f>HYPERLINK("https://www.philgeps.gov.ph/GEPSNONPILOT/Tender/SplashBidNoticeAbstractUI.aspx?menuIndex=3&amp;refID=7043097&amp;Result=3","7043097")</f>
        <v>0</v>
      </c>
      <c r="B4820" t="s">
        <v>1611</v>
      </c>
      <c r="C4820" t="s">
        <v>7802</v>
      </c>
      <c r="D4820" t="s">
        <v>18068</v>
      </c>
      <c r="E4820" t="s">
        <v>22423</v>
      </c>
      <c r="F4820" t="s">
        <v>31574</v>
      </c>
      <c r="G4820" t="s">
        <v>31582</v>
      </c>
      <c r="H4820" t="s">
        <v>31590</v>
      </c>
      <c r="I4820" t="s">
        <v>8822</v>
      </c>
      <c r="J4820" t="s">
        <v>34859</v>
      </c>
      <c r="K4820" t="s">
        <v>41324</v>
      </c>
      <c r="M4820" t="s">
        <v>43216</v>
      </c>
      <c r="N4820" t="s">
        <v>45095</v>
      </c>
      <c r="O4820" t="s">
        <v>45096</v>
      </c>
      <c r="P4820">
        <v>0</v>
      </c>
      <c r="Q4820">
        <v>0</v>
      </c>
      <c r="R4820" t="s">
        <v>45101</v>
      </c>
      <c r="S4820" t="s">
        <v>45231</v>
      </c>
      <c r="T4820" t="s">
        <v>47226</v>
      </c>
      <c r="U4820" t="s">
        <v>51518</v>
      </c>
      <c r="W4820" t="s">
        <v>43216</v>
      </c>
      <c r="X4820" t="s">
        <v>45102</v>
      </c>
    </row>
    <row r="4821" spans="1:24">
      <c r="A4821">
        <f>HYPERLINK("https://www.philgeps.gov.ph/GEPSNONPILOT/Tender/SplashBidNoticeAbstractUI.aspx?menuIndex=3&amp;refID=7043121&amp;Result=3","7043121")</f>
        <v>0</v>
      </c>
      <c r="B4821" t="s">
        <v>1612</v>
      </c>
      <c r="C4821" t="s">
        <v>7803</v>
      </c>
      <c r="D4821" t="s">
        <v>18070</v>
      </c>
      <c r="E4821" t="s">
        <v>22424</v>
      </c>
      <c r="F4821" t="s">
        <v>31574</v>
      </c>
      <c r="G4821" t="s">
        <v>31582</v>
      </c>
      <c r="H4821" t="s">
        <v>31593</v>
      </c>
      <c r="I4821" t="s">
        <v>31593</v>
      </c>
      <c r="J4821" t="s">
        <v>34860</v>
      </c>
      <c r="K4821" t="s">
        <v>41243</v>
      </c>
      <c r="M4821" t="s">
        <v>43217</v>
      </c>
      <c r="N4821" t="s">
        <v>45095</v>
      </c>
      <c r="O4821" t="s">
        <v>45096</v>
      </c>
      <c r="P4821">
        <v>0</v>
      </c>
      <c r="Q4821">
        <v>3</v>
      </c>
      <c r="R4821" t="s">
        <v>45101</v>
      </c>
      <c r="S4821" t="s">
        <v>45231</v>
      </c>
      <c r="T4821" t="s">
        <v>47007</v>
      </c>
      <c r="U4821" t="s">
        <v>51519</v>
      </c>
      <c r="W4821" t="s">
        <v>43217</v>
      </c>
      <c r="X4821" t="s">
        <v>45102</v>
      </c>
    </row>
    <row r="4822" spans="1:24">
      <c r="A4822">
        <f>HYPERLINK("https://www.philgeps.gov.ph/GEPSNONPILOT/Tender/SplashBidNoticeAbstractUI.aspx?menuIndex=3&amp;refID=7043122&amp;Result=3","7043122")</f>
        <v>0</v>
      </c>
      <c r="B4822" t="s">
        <v>1613</v>
      </c>
      <c r="C4822" t="s">
        <v>7804</v>
      </c>
      <c r="D4822" t="s">
        <v>18075</v>
      </c>
      <c r="E4822" t="s">
        <v>22425</v>
      </c>
      <c r="F4822" t="s">
        <v>31574</v>
      </c>
      <c r="G4822" t="s">
        <v>31582</v>
      </c>
      <c r="H4822" t="s">
        <v>31590</v>
      </c>
      <c r="I4822" t="s">
        <v>8258</v>
      </c>
      <c r="J4822" t="s">
        <v>34861</v>
      </c>
      <c r="K4822" t="s">
        <v>41186</v>
      </c>
      <c r="M4822" t="s">
        <v>43218</v>
      </c>
      <c r="N4822" t="s">
        <v>45095</v>
      </c>
      <c r="O4822" t="s">
        <v>45096</v>
      </c>
      <c r="P4822">
        <v>0</v>
      </c>
      <c r="Q4822">
        <v>0</v>
      </c>
      <c r="R4822" t="s">
        <v>45101</v>
      </c>
      <c r="S4822" t="s">
        <v>45231</v>
      </c>
      <c r="T4822" t="s">
        <v>47198</v>
      </c>
      <c r="U4822" t="s">
        <v>51520</v>
      </c>
      <c r="W4822" t="s">
        <v>43218</v>
      </c>
      <c r="X4822" t="s">
        <v>45102</v>
      </c>
    </row>
    <row r="4823" spans="1:24">
      <c r="A4823">
        <f>HYPERLINK("https://www.philgeps.gov.ph/GEPSNONPILOT/Tender/SplashBidNoticeAbstractUI.aspx?menuIndex=3&amp;refID=7043139&amp;Result=3","7043139")</f>
        <v>0</v>
      </c>
      <c r="B4823" t="s">
        <v>1614</v>
      </c>
      <c r="C4823" t="s">
        <v>7805</v>
      </c>
      <c r="D4823" t="s">
        <v>18044</v>
      </c>
      <c r="E4823" t="s">
        <v>22426</v>
      </c>
      <c r="F4823" t="s">
        <v>31574</v>
      </c>
      <c r="G4823" t="s">
        <v>31584</v>
      </c>
      <c r="H4823" t="s">
        <v>31590</v>
      </c>
      <c r="I4823" t="s">
        <v>5717</v>
      </c>
      <c r="J4823" t="s">
        <v>34862</v>
      </c>
      <c r="K4823" t="s">
        <v>41192</v>
      </c>
      <c r="M4823" t="s">
        <v>43219</v>
      </c>
      <c r="N4823" t="s">
        <v>45095</v>
      </c>
      <c r="O4823" t="s">
        <v>45096</v>
      </c>
      <c r="P4823">
        <v>0</v>
      </c>
      <c r="Q4823">
        <v>7</v>
      </c>
      <c r="R4823" t="s">
        <v>45101</v>
      </c>
      <c r="S4823" t="s">
        <v>45231</v>
      </c>
      <c r="T4823" t="s">
        <v>47176</v>
      </c>
      <c r="U4823" t="s">
        <v>51521</v>
      </c>
      <c r="W4823" t="s">
        <v>43219</v>
      </c>
      <c r="X4823" t="s">
        <v>45102</v>
      </c>
    </row>
    <row r="4824" spans="1:24">
      <c r="A4824">
        <f>HYPERLINK("https://www.philgeps.gov.ph/GEPSNONPILOT/Tender/SplashBidNoticeAbstractUI.aspx?menuIndex=3&amp;refID=7043126&amp;Result=3","7043126")</f>
        <v>0</v>
      </c>
      <c r="B4824" t="s">
        <v>1615</v>
      </c>
      <c r="C4824" t="s">
        <v>7806</v>
      </c>
      <c r="D4824" t="s">
        <v>18100</v>
      </c>
      <c r="E4824" t="s">
        <v>22427</v>
      </c>
      <c r="F4824" t="s">
        <v>31579</v>
      </c>
      <c r="G4824" t="s">
        <v>31582</v>
      </c>
      <c r="H4824" t="s">
        <v>31590</v>
      </c>
      <c r="I4824" t="s">
        <v>4046</v>
      </c>
      <c r="J4824" t="s">
        <v>34863</v>
      </c>
      <c r="K4824" t="s">
        <v>41190</v>
      </c>
      <c r="M4824" t="s">
        <v>43220</v>
      </c>
      <c r="N4824" t="s">
        <v>45095</v>
      </c>
      <c r="O4824" t="s">
        <v>45096</v>
      </c>
      <c r="P4824">
        <v>0</v>
      </c>
      <c r="Q4824">
        <v>0</v>
      </c>
      <c r="R4824" t="s">
        <v>45101</v>
      </c>
      <c r="S4824" t="s">
        <v>45231</v>
      </c>
      <c r="T4824" t="s">
        <v>47079</v>
      </c>
      <c r="U4824" t="s">
        <v>51522</v>
      </c>
      <c r="W4824" t="s">
        <v>43220</v>
      </c>
      <c r="X4824" t="s">
        <v>45102</v>
      </c>
    </row>
    <row r="4825" spans="1:24">
      <c r="A4825">
        <f>HYPERLINK("https://www.philgeps.gov.ph/GEPSNONPILOT/Tender/SplashBidNoticeAbstractUI.aspx?menuIndex=3&amp;refID=7043123&amp;Result=3","7043123")</f>
        <v>0</v>
      </c>
      <c r="B4825" t="s">
        <v>1616</v>
      </c>
      <c r="C4825" t="s">
        <v>7807</v>
      </c>
      <c r="D4825" t="s">
        <v>18033</v>
      </c>
      <c r="E4825" t="s">
        <v>22428</v>
      </c>
      <c r="F4825" t="s">
        <v>31574</v>
      </c>
      <c r="G4825" t="s">
        <v>31581</v>
      </c>
      <c r="H4825" t="s">
        <v>31590</v>
      </c>
      <c r="I4825" t="s">
        <v>4327</v>
      </c>
      <c r="J4825" t="s">
        <v>34864</v>
      </c>
      <c r="K4825" t="s">
        <v>41195</v>
      </c>
      <c r="M4825" t="s">
        <v>43221</v>
      </c>
      <c r="N4825" t="s">
        <v>45095</v>
      </c>
      <c r="O4825" t="s">
        <v>45096</v>
      </c>
      <c r="P4825">
        <v>0</v>
      </c>
      <c r="Q4825">
        <v>2</v>
      </c>
      <c r="R4825" t="s">
        <v>45101</v>
      </c>
      <c r="S4825" t="s">
        <v>45231</v>
      </c>
      <c r="T4825" t="s">
        <v>46973</v>
      </c>
      <c r="U4825" t="s">
        <v>51523</v>
      </c>
      <c r="W4825" t="s">
        <v>43221</v>
      </c>
      <c r="X4825" t="s">
        <v>45102</v>
      </c>
    </row>
    <row r="4826" spans="1:24">
      <c r="A4826">
        <f>HYPERLINK("https://www.philgeps.gov.ph/GEPSNONPILOT/Tender/SplashBidNoticeAbstractUI.aspx?menuIndex=3&amp;refID=7043133&amp;Result=3","7043133")</f>
        <v>0</v>
      </c>
      <c r="B4826" t="s">
        <v>1613</v>
      </c>
      <c r="C4826" t="s">
        <v>7808</v>
      </c>
      <c r="D4826" t="s">
        <v>18027</v>
      </c>
      <c r="E4826" t="s">
        <v>22429</v>
      </c>
      <c r="F4826" t="s">
        <v>31574</v>
      </c>
      <c r="G4826" t="s">
        <v>31582</v>
      </c>
      <c r="H4826" t="s">
        <v>31590</v>
      </c>
      <c r="I4826" t="s">
        <v>7185</v>
      </c>
      <c r="J4826" t="s">
        <v>34865</v>
      </c>
      <c r="K4826" t="s">
        <v>41217</v>
      </c>
      <c r="M4826" t="s">
        <v>43218</v>
      </c>
      <c r="N4826" t="s">
        <v>45095</v>
      </c>
      <c r="O4826" t="s">
        <v>45096</v>
      </c>
      <c r="P4826">
        <v>0</v>
      </c>
      <c r="Q4826">
        <v>2</v>
      </c>
      <c r="R4826" t="s">
        <v>45101</v>
      </c>
      <c r="S4826" t="s">
        <v>45231</v>
      </c>
      <c r="T4826" t="s">
        <v>47198</v>
      </c>
      <c r="U4826" t="s">
        <v>51524</v>
      </c>
      <c r="W4826" t="s">
        <v>43218</v>
      </c>
      <c r="X4826" t="s">
        <v>45102</v>
      </c>
    </row>
    <row r="4827" spans="1:24">
      <c r="A4827">
        <f>HYPERLINK("https://www.philgeps.gov.ph/GEPSNONPILOT/Tender/SplashBidNoticeAbstractUI.aspx?menuIndex=3&amp;refID=7043161&amp;Result=3","7043161")</f>
        <v>0</v>
      </c>
      <c r="B4827" t="s">
        <v>1617</v>
      </c>
      <c r="C4827" t="s">
        <v>7809</v>
      </c>
      <c r="E4827" t="s">
        <v>22430</v>
      </c>
      <c r="F4827" t="s">
        <v>31574</v>
      </c>
      <c r="G4827" t="s">
        <v>31582</v>
      </c>
      <c r="H4827" t="s">
        <v>31593</v>
      </c>
      <c r="I4827" t="s">
        <v>31593</v>
      </c>
      <c r="J4827" t="s">
        <v>34866</v>
      </c>
      <c r="K4827" t="s">
        <v>41184</v>
      </c>
      <c r="M4827" t="s">
        <v>43222</v>
      </c>
      <c r="N4827" t="s">
        <v>45095</v>
      </c>
      <c r="O4827" t="s">
        <v>45096</v>
      </c>
      <c r="P4827">
        <v>0</v>
      </c>
      <c r="Q4827">
        <v>1</v>
      </c>
      <c r="R4827" t="s">
        <v>45101</v>
      </c>
      <c r="S4827" t="s">
        <v>45231</v>
      </c>
      <c r="T4827" t="s">
        <v>46979</v>
      </c>
      <c r="U4827" t="s">
        <v>51525</v>
      </c>
      <c r="V4827" t="s">
        <v>60366</v>
      </c>
      <c r="W4827" t="s">
        <v>44987</v>
      </c>
      <c r="X4827" t="s">
        <v>45102</v>
      </c>
    </row>
    <row r="4828" spans="1:24">
      <c r="A4828">
        <f>HYPERLINK("https://www.philgeps.gov.ph/GEPSNONPILOT/Tender/SplashBidNoticeAbstractUI.aspx?menuIndex=3&amp;refID=7043160&amp;Result=3","7043160")</f>
        <v>0</v>
      </c>
      <c r="B4828" t="s">
        <v>1589</v>
      </c>
      <c r="C4828" t="s">
        <v>7810</v>
      </c>
      <c r="D4828" t="s">
        <v>18022</v>
      </c>
      <c r="E4828" t="s">
        <v>22431</v>
      </c>
      <c r="F4828" t="s">
        <v>31574</v>
      </c>
      <c r="G4828" t="s">
        <v>31582</v>
      </c>
      <c r="H4828" t="s">
        <v>31590</v>
      </c>
      <c r="I4828" t="s">
        <v>3651</v>
      </c>
      <c r="J4828" t="s">
        <v>34867</v>
      </c>
      <c r="K4828" t="s">
        <v>41196</v>
      </c>
      <c r="M4828" t="s">
        <v>43193</v>
      </c>
      <c r="N4828" t="s">
        <v>45095</v>
      </c>
      <c r="O4828" t="s">
        <v>45096</v>
      </c>
      <c r="P4828">
        <v>0</v>
      </c>
      <c r="Q4828">
        <v>0</v>
      </c>
      <c r="R4828" t="s">
        <v>45101</v>
      </c>
      <c r="S4828" t="s">
        <v>45231</v>
      </c>
      <c r="T4828" t="s">
        <v>47004</v>
      </c>
      <c r="U4828" t="s">
        <v>51497</v>
      </c>
      <c r="W4828" t="s">
        <v>43193</v>
      </c>
      <c r="X4828" t="s">
        <v>45102</v>
      </c>
    </row>
    <row r="4829" spans="1:24">
      <c r="A4829">
        <f>HYPERLINK("https://www.philgeps.gov.ph/GEPSNONPILOT/Tender/SplashBidNoticeAbstractUI.aspx?menuIndex=3&amp;refID=7043138&amp;Result=3","7043138")</f>
        <v>0</v>
      </c>
      <c r="B4829" t="s">
        <v>1612</v>
      </c>
      <c r="C4829" t="s">
        <v>7811</v>
      </c>
      <c r="D4829" t="s">
        <v>18070</v>
      </c>
      <c r="E4829" t="s">
        <v>22432</v>
      </c>
      <c r="F4829" t="s">
        <v>31574</v>
      </c>
      <c r="G4829" t="s">
        <v>31582</v>
      </c>
      <c r="H4829" t="s">
        <v>31593</v>
      </c>
      <c r="I4829" t="s">
        <v>31593</v>
      </c>
      <c r="J4829" t="s">
        <v>34868</v>
      </c>
      <c r="K4829" t="s">
        <v>41186</v>
      </c>
      <c r="M4829" t="s">
        <v>43217</v>
      </c>
      <c r="N4829" t="s">
        <v>45095</v>
      </c>
      <c r="O4829" t="s">
        <v>45096</v>
      </c>
      <c r="P4829">
        <v>0</v>
      </c>
      <c r="Q4829">
        <v>3</v>
      </c>
      <c r="R4829" t="s">
        <v>45101</v>
      </c>
      <c r="S4829" t="s">
        <v>45231</v>
      </c>
      <c r="T4829" t="s">
        <v>47007</v>
      </c>
      <c r="U4829" t="s">
        <v>51526</v>
      </c>
      <c r="W4829" t="s">
        <v>43217</v>
      </c>
      <c r="X4829" t="s">
        <v>45102</v>
      </c>
    </row>
    <row r="4830" spans="1:24">
      <c r="A4830">
        <f>HYPERLINK("https://www.philgeps.gov.ph/GEPSNONPILOT/Tender/SplashBidNoticeAbstractUI.aspx?menuIndex=3&amp;refID=7043154&amp;Result=3","7043154")</f>
        <v>0</v>
      </c>
      <c r="B4830" t="s">
        <v>1612</v>
      </c>
      <c r="C4830" t="s">
        <v>7812</v>
      </c>
      <c r="D4830" t="s">
        <v>18070</v>
      </c>
      <c r="E4830" t="s">
        <v>22433</v>
      </c>
      <c r="F4830" t="s">
        <v>31574</v>
      </c>
      <c r="G4830" t="s">
        <v>31582</v>
      </c>
      <c r="H4830" t="s">
        <v>31591</v>
      </c>
      <c r="I4830" t="s">
        <v>8822</v>
      </c>
      <c r="J4830" t="s">
        <v>34869</v>
      </c>
      <c r="K4830" t="s">
        <v>41200</v>
      </c>
      <c r="M4830" t="s">
        <v>43217</v>
      </c>
      <c r="N4830" t="s">
        <v>45095</v>
      </c>
      <c r="O4830" t="s">
        <v>45096</v>
      </c>
      <c r="P4830">
        <v>0</v>
      </c>
      <c r="Q4830">
        <v>0</v>
      </c>
      <c r="R4830" t="s">
        <v>45101</v>
      </c>
      <c r="S4830" t="s">
        <v>45231</v>
      </c>
      <c r="T4830" t="s">
        <v>46962</v>
      </c>
      <c r="U4830" t="s">
        <v>51527</v>
      </c>
      <c r="W4830" t="s">
        <v>43217</v>
      </c>
      <c r="X4830" t="s">
        <v>45102</v>
      </c>
    </row>
    <row r="4831" spans="1:24">
      <c r="A4831">
        <f>HYPERLINK("https://www.philgeps.gov.ph/GEPSNONPILOT/Tender/SplashBidNoticeAbstractUI.aspx?menuIndex=3&amp;refID=7043136&amp;Result=3","7043136")</f>
        <v>0</v>
      </c>
      <c r="B4831" t="s">
        <v>1589</v>
      </c>
      <c r="C4831" t="s">
        <v>7813</v>
      </c>
      <c r="D4831" t="s">
        <v>18022</v>
      </c>
      <c r="E4831" t="s">
        <v>22434</v>
      </c>
      <c r="F4831" t="s">
        <v>31574</v>
      </c>
      <c r="G4831" t="s">
        <v>31582</v>
      </c>
      <c r="H4831" t="s">
        <v>31590</v>
      </c>
      <c r="I4831" t="s">
        <v>3651</v>
      </c>
      <c r="J4831" t="s">
        <v>34870</v>
      </c>
      <c r="K4831" t="s">
        <v>41196</v>
      </c>
      <c r="M4831" t="s">
        <v>43193</v>
      </c>
      <c r="N4831" t="s">
        <v>45095</v>
      </c>
      <c r="O4831" t="s">
        <v>45096</v>
      </c>
      <c r="P4831">
        <v>0</v>
      </c>
      <c r="Q4831">
        <v>0</v>
      </c>
      <c r="R4831" t="s">
        <v>45101</v>
      </c>
      <c r="S4831" t="s">
        <v>45231</v>
      </c>
      <c r="T4831" t="s">
        <v>47004</v>
      </c>
      <c r="U4831" t="s">
        <v>51497</v>
      </c>
      <c r="W4831" t="s">
        <v>43193</v>
      </c>
      <c r="X4831" t="s">
        <v>45102</v>
      </c>
    </row>
    <row r="4832" spans="1:24">
      <c r="A4832">
        <f>HYPERLINK("https://www.philgeps.gov.ph/GEPSNONPILOT/Tender/SplashBidNoticeAbstractUI.aspx?menuIndex=3&amp;refID=7043152&amp;Result=3","7043152")</f>
        <v>0</v>
      </c>
      <c r="B4832" t="s">
        <v>1618</v>
      </c>
      <c r="C4832" t="s">
        <v>7814</v>
      </c>
      <c r="D4832" t="s">
        <v>18022</v>
      </c>
      <c r="E4832" t="s">
        <v>22435</v>
      </c>
      <c r="F4832" t="s">
        <v>31574</v>
      </c>
      <c r="G4832" t="s">
        <v>31581</v>
      </c>
      <c r="H4832" t="s">
        <v>31590</v>
      </c>
      <c r="I4832" t="s">
        <v>7185</v>
      </c>
      <c r="J4832" t="s">
        <v>34871</v>
      </c>
      <c r="K4832" t="s">
        <v>41190</v>
      </c>
      <c r="M4832" t="s">
        <v>43223</v>
      </c>
      <c r="N4832" t="s">
        <v>45095</v>
      </c>
      <c r="O4832" t="s">
        <v>45096</v>
      </c>
      <c r="P4832">
        <v>0</v>
      </c>
      <c r="Q4832">
        <v>3</v>
      </c>
      <c r="R4832" t="s">
        <v>45101</v>
      </c>
      <c r="S4832" t="s">
        <v>45231</v>
      </c>
      <c r="T4832" t="s">
        <v>47176</v>
      </c>
      <c r="U4832" t="s">
        <v>51528</v>
      </c>
      <c r="V4832" t="s">
        <v>60367</v>
      </c>
      <c r="W4832" t="s">
        <v>43223</v>
      </c>
      <c r="X4832" t="s">
        <v>45102</v>
      </c>
    </row>
    <row r="4833" spans="1:24">
      <c r="A4833">
        <f>HYPERLINK("https://www.philgeps.gov.ph/GEPSNONPILOT/Tender/SplashBidNoticeAbstractUI.aspx?menuIndex=3&amp;refID=7043157&amp;Result=3","7043157")</f>
        <v>0</v>
      </c>
      <c r="B4833" t="s">
        <v>1262</v>
      </c>
      <c r="C4833" t="s">
        <v>7815</v>
      </c>
      <c r="D4833" t="s">
        <v>18065</v>
      </c>
      <c r="E4833" t="s">
        <v>22436</v>
      </c>
      <c r="F4833" t="s">
        <v>31574</v>
      </c>
      <c r="G4833" t="s">
        <v>31582</v>
      </c>
      <c r="H4833" t="s">
        <v>31590</v>
      </c>
      <c r="I4833" t="s">
        <v>31602</v>
      </c>
      <c r="J4833" t="s">
        <v>34872</v>
      </c>
      <c r="K4833" t="s">
        <v>41213</v>
      </c>
      <c r="M4833" t="s">
        <v>42830</v>
      </c>
      <c r="N4833" t="s">
        <v>45095</v>
      </c>
      <c r="O4833" t="s">
        <v>45096</v>
      </c>
      <c r="P4833">
        <v>0</v>
      </c>
      <c r="Q4833">
        <v>0</v>
      </c>
      <c r="R4833" t="s">
        <v>45101</v>
      </c>
      <c r="S4833" t="s">
        <v>45231</v>
      </c>
      <c r="T4833" t="s">
        <v>47227</v>
      </c>
      <c r="U4833" t="s">
        <v>51529</v>
      </c>
      <c r="V4833" t="s">
        <v>59855</v>
      </c>
      <c r="W4833" t="s">
        <v>42830</v>
      </c>
      <c r="X4833" t="s">
        <v>45102</v>
      </c>
    </row>
    <row r="4834" spans="1:24">
      <c r="A4834">
        <f>HYPERLINK("https://www.philgeps.gov.ph/GEPSNONPILOT/Tender/SplashBidNoticeAbstractUI.aspx?menuIndex=3&amp;refID=7043125&amp;Result=3","7043125")</f>
        <v>0</v>
      </c>
      <c r="B4834" t="s">
        <v>1589</v>
      </c>
      <c r="C4834" t="s">
        <v>7816</v>
      </c>
      <c r="D4834" t="s">
        <v>18022</v>
      </c>
      <c r="E4834" t="s">
        <v>22437</v>
      </c>
      <c r="F4834" t="s">
        <v>31574</v>
      </c>
      <c r="G4834" t="s">
        <v>31582</v>
      </c>
      <c r="H4834" t="s">
        <v>31590</v>
      </c>
      <c r="I4834" t="s">
        <v>6800</v>
      </c>
      <c r="J4834" t="s">
        <v>34873</v>
      </c>
      <c r="K4834" t="s">
        <v>41196</v>
      </c>
      <c r="M4834" t="s">
        <v>43193</v>
      </c>
      <c r="N4834" t="s">
        <v>45095</v>
      </c>
      <c r="O4834" t="s">
        <v>45096</v>
      </c>
      <c r="P4834">
        <v>0</v>
      </c>
      <c r="Q4834">
        <v>1</v>
      </c>
      <c r="R4834" t="s">
        <v>45101</v>
      </c>
      <c r="S4834" t="s">
        <v>45231</v>
      </c>
      <c r="T4834" t="s">
        <v>47004</v>
      </c>
      <c r="U4834" t="s">
        <v>47916</v>
      </c>
      <c r="W4834" t="s">
        <v>43193</v>
      </c>
      <c r="X4834" t="s">
        <v>45102</v>
      </c>
    </row>
    <row r="4835" spans="1:24">
      <c r="A4835">
        <f>HYPERLINK("https://www.philgeps.gov.ph/GEPSNONPILOT/Tender/SplashBidNoticeAbstractUI.aspx?menuIndex=3&amp;refID=7043131&amp;Result=3","7043131")</f>
        <v>0</v>
      </c>
      <c r="B4835" t="s">
        <v>1589</v>
      </c>
      <c r="C4835" t="s">
        <v>7817</v>
      </c>
      <c r="D4835" t="s">
        <v>18022</v>
      </c>
      <c r="E4835" t="s">
        <v>22438</v>
      </c>
      <c r="F4835" t="s">
        <v>31574</v>
      </c>
      <c r="G4835" t="s">
        <v>31582</v>
      </c>
      <c r="H4835" t="s">
        <v>31590</v>
      </c>
      <c r="I4835" t="s">
        <v>3651</v>
      </c>
      <c r="J4835" t="s">
        <v>32076</v>
      </c>
      <c r="K4835" t="s">
        <v>41196</v>
      </c>
      <c r="M4835" t="s">
        <v>43193</v>
      </c>
      <c r="N4835" t="s">
        <v>45095</v>
      </c>
      <c r="O4835" t="s">
        <v>45096</v>
      </c>
      <c r="P4835">
        <v>0</v>
      </c>
      <c r="Q4835">
        <v>1</v>
      </c>
      <c r="R4835" t="s">
        <v>45101</v>
      </c>
      <c r="S4835" t="s">
        <v>45231</v>
      </c>
      <c r="T4835" t="s">
        <v>47004</v>
      </c>
      <c r="U4835" t="s">
        <v>51497</v>
      </c>
      <c r="W4835" t="s">
        <v>43193</v>
      </c>
      <c r="X4835" t="s">
        <v>45102</v>
      </c>
    </row>
    <row r="4836" spans="1:24">
      <c r="A4836">
        <f>HYPERLINK("https://www.philgeps.gov.ph/GEPSNONPILOT/Tender/SplashBidNoticeAbstractUI.aspx?menuIndex=3&amp;refID=7043143&amp;Result=3","7043143")</f>
        <v>0</v>
      </c>
      <c r="B4836" t="s">
        <v>1612</v>
      </c>
      <c r="C4836" t="s">
        <v>7818</v>
      </c>
      <c r="D4836" t="s">
        <v>18070</v>
      </c>
      <c r="E4836" t="s">
        <v>22439</v>
      </c>
      <c r="F4836" t="s">
        <v>31574</v>
      </c>
      <c r="G4836" t="s">
        <v>31582</v>
      </c>
      <c r="H4836" t="s">
        <v>31593</v>
      </c>
      <c r="I4836" t="s">
        <v>31593</v>
      </c>
      <c r="J4836" t="s">
        <v>34868</v>
      </c>
      <c r="K4836" t="s">
        <v>41186</v>
      </c>
      <c r="M4836" t="s">
        <v>43217</v>
      </c>
      <c r="N4836" t="s">
        <v>45095</v>
      </c>
      <c r="O4836" t="s">
        <v>45096</v>
      </c>
      <c r="P4836">
        <v>0</v>
      </c>
      <c r="Q4836">
        <v>3</v>
      </c>
      <c r="R4836" t="s">
        <v>45101</v>
      </c>
      <c r="S4836" t="s">
        <v>45231</v>
      </c>
      <c r="T4836" t="s">
        <v>47007</v>
      </c>
      <c r="U4836" t="s">
        <v>51530</v>
      </c>
      <c r="W4836" t="s">
        <v>43217</v>
      </c>
      <c r="X4836" t="s">
        <v>45102</v>
      </c>
    </row>
    <row r="4837" spans="1:24">
      <c r="A4837">
        <f>HYPERLINK("https://www.philgeps.gov.ph/GEPSNONPILOT/Tender/SplashBidNoticeAbstractUI.aspx?menuIndex=3&amp;refID=7043149&amp;Result=3","7043149")</f>
        <v>0</v>
      </c>
      <c r="B4837" t="s">
        <v>1503</v>
      </c>
      <c r="C4837" t="s">
        <v>7819</v>
      </c>
      <c r="D4837" t="s">
        <v>18030</v>
      </c>
      <c r="E4837" t="s">
        <v>22440</v>
      </c>
      <c r="F4837" t="s">
        <v>31574</v>
      </c>
      <c r="G4837" t="s">
        <v>31582</v>
      </c>
      <c r="H4837" t="s">
        <v>31591</v>
      </c>
      <c r="I4837" t="s">
        <v>8822</v>
      </c>
      <c r="J4837" t="s">
        <v>34874</v>
      </c>
      <c r="K4837" t="s">
        <v>41200</v>
      </c>
      <c r="M4837" t="s">
        <v>43224</v>
      </c>
      <c r="N4837" t="s">
        <v>45095</v>
      </c>
      <c r="O4837" t="s">
        <v>45096</v>
      </c>
      <c r="P4837">
        <v>0</v>
      </c>
      <c r="Q4837">
        <v>17</v>
      </c>
      <c r="R4837" t="s">
        <v>45101</v>
      </c>
      <c r="S4837" t="s">
        <v>45231</v>
      </c>
      <c r="T4837" t="s">
        <v>46988</v>
      </c>
      <c r="U4837" t="s">
        <v>51531</v>
      </c>
      <c r="V4837" t="s">
        <v>60368</v>
      </c>
      <c r="W4837" t="s">
        <v>43224</v>
      </c>
      <c r="X4837" t="s">
        <v>45102</v>
      </c>
    </row>
    <row r="4838" spans="1:24">
      <c r="A4838">
        <f>HYPERLINK("https://www.philgeps.gov.ph/GEPSNONPILOT/Tender/SplashBidNoticeAbstractUI.aspx?menuIndex=3&amp;refID=7043130&amp;Result=3","7043130")</f>
        <v>0</v>
      </c>
      <c r="B4838" t="s">
        <v>1503</v>
      </c>
      <c r="C4838" t="s">
        <v>7820</v>
      </c>
      <c r="D4838" t="s">
        <v>18030</v>
      </c>
      <c r="E4838" t="s">
        <v>22441</v>
      </c>
      <c r="F4838" t="s">
        <v>31574</v>
      </c>
      <c r="G4838" t="s">
        <v>31582</v>
      </c>
      <c r="H4838" t="s">
        <v>31591</v>
      </c>
      <c r="I4838" t="s">
        <v>8822</v>
      </c>
      <c r="J4838" t="s">
        <v>34875</v>
      </c>
      <c r="K4838" t="s">
        <v>41200</v>
      </c>
      <c r="M4838" t="s">
        <v>43224</v>
      </c>
      <c r="N4838" t="s">
        <v>45095</v>
      </c>
      <c r="O4838" t="s">
        <v>45096</v>
      </c>
      <c r="P4838">
        <v>0</v>
      </c>
      <c r="Q4838">
        <v>15</v>
      </c>
      <c r="R4838" t="s">
        <v>45101</v>
      </c>
      <c r="S4838" t="s">
        <v>45231</v>
      </c>
      <c r="T4838" t="s">
        <v>46988</v>
      </c>
      <c r="U4838" t="s">
        <v>51532</v>
      </c>
      <c r="V4838" t="s">
        <v>60368</v>
      </c>
      <c r="W4838" t="s">
        <v>43224</v>
      </c>
      <c r="X4838" t="s">
        <v>45102</v>
      </c>
    </row>
    <row r="4839" spans="1:24">
      <c r="A4839">
        <f>HYPERLINK("https://www.philgeps.gov.ph/GEPSNONPILOT/Tender/SplashBidNoticeAbstractUI.aspx?menuIndex=3&amp;refID=7043163&amp;Result=3","7043163")</f>
        <v>0</v>
      </c>
      <c r="B4839" t="s">
        <v>1503</v>
      </c>
      <c r="C4839" t="s">
        <v>7821</v>
      </c>
      <c r="D4839" t="s">
        <v>18030</v>
      </c>
      <c r="E4839" t="s">
        <v>22442</v>
      </c>
      <c r="F4839" t="s">
        <v>31574</v>
      </c>
      <c r="G4839" t="s">
        <v>31582</v>
      </c>
      <c r="H4839" t="s">
        <v>31591</v>
      </c>
      <c r="I4839" t="s">
        <v>8822</v>
      </c>
      <c r="J4839" t="s">
        <v>34876</v>
      </c>
      <c r="K4839" t="s">
        <v>41256</v>
      </c>
      <c r="M4839" t="s">
        <v>43224</v>
      </c>
      <c r="N4839" t="s">
        <v>45095</v>
      </c>
      <c r="O4839" t="s">
        <v>45096</v>
      </c>
      <c r="P4839">
        <v>0</v>
      </c>
      <c r="Q4839">
        <v>19</v>
      </c>
      <c r="R4839" t="s">
        <v>45101</v>
      </c>
      <c r="S4839" t="s">
        <v>45231</v>
      </c>
      <c r="T4839" t="s">
        <v>46988</v>
      </c>
      <c r="U4839" t="s">
        <v>51533</v>
      </c>
      <c r="V4839" t="s">
        <v>60368</v>
      </c>
      <c r="W4839" t="s">
        <v>43224</v>
      </c>
      <c r="X4839" t="s">
        <v>45102</v>
      </c>
    </row>
    <row r="4840" spans="1:24">
      <c r="A4840">
        <f>HYPERLINK("https://www.philgeps.gov.ph/GEPSNONPILOT/Tender/SplashBidNoticeAbstractUI.aspx?menuIndex=3&amp;refID=7043144&amp;Result=3","7043144")</f>
        <v>0</v>
      </c>
      <c r="B4840" t="s">
        <v>1618</v>
      </c>
      <c r="C4840" t="s">
        <v>7822</v>
      </c>
      <c r="D4840" t="s">
        <v>18022</v>
      </c>
      <c r="E4840" t="s">
        <v>22443</v>
      </c>
      <c r="F4840" t="s">
        <v>31574</v>
      </c>
      <c r="G4840" t="s">
        <v>31581</v>
      </c>
      <c r="H4840" t="s">
        <v>31590</v>
      </c>
      <c r="I4840" t="s">
        <v>31652</v>
      </c>
      <c r="J4840" t="s">
        <v>34877</v>
      </c>
      <c r="K4840" t="s">
        <v>41190</v>
      </c>
      <c r="M4840" t="s">
        <v>43223</v>
      </c>
      <c r="N4840" t="s">
        <v>45095</v>
      </c>
      <c r="O4840" t="s">
        <v>45096</v>
      </c>
      <c r="P4840">
        <v>0</v>
      </c>
      <c r="Q4840">
        <v>2</v>
      </c>
      <c r="R4840" t="s">
        <v>45101</v>
      </c>
      <c r="S4840" t="s">
        <v>45231</v>
      </c>
      <c r="T4840" t="s">
        <v>47176</v>
      </c>
      <c r="U4840" t="s">
        <v>51534</v>
      </c>
      <c r="V4840" t="s">
        <v>60367</v>
      </c>
      <c r="W4840" t="s">
        <v>43223</v>
      </c>
      <c r="X4840" t="s">
        <v>45102</v>
      </c>
    </row>
    <row r="4841" spans="1:24">
      <c r="A4841">
        <f>HYPERLINK("https://www.philgeps.gov.ph/GEPSNONPILOT/Tender/SplashBidNoticeAbstractUI.aspx?menuIndex=3&amp;refID=7043171&amp;Result=3","7043171")</f>
        <v>0</v>
      </c>
      <c r="B4841" t="s">
        <v>1619</v>
      </c>
      <c r="C4841" t="s">
        <v>7823</v>
      </c>
      <c r="D4841" t="s">
        <v>18102</v>
      </c>
      <c r="E4841" t="s">
        <v>22444</v>
      </c>
      <c r="F4841" t="s">
        <v>31578</v>
      </c>
      <c r="G4841" t="s">
        <v>31582</v>
      </c>
      <c r="H4841" t="s">
        <v>31590</v>
      </c>
      <c r="I4841" t="s">
        <v>4046</v>
      </c>
      <c r="J4841" t="s">
        <v>34878</v>
      </c>
      <c r="K4841" t="s">
        <v>41186</v>
      </c>
      <c r="M4841" t="s">
        <v>43225</v>
      </c>
      <c r="N4841" t="s">
        <v>45095</v>
      </c>
      <c r="O4841" t="s">
        <v>45096</v>
      </c>
      <c r="P4841">
        <v>0</v>
      </c>
      <c r="Q4841">
        <v>0</v>
      </c>
      <c r="R4841" t="s">
        <v>45101</v>
      </c>
      <c r="S4841" t="s">
        <v>45231</v>
      </c>
      <c r="T4841" t="s">
        <v>47096</v>
      </c>
      <c r="U4841" t="s">
        <v>51535</v>
      </c>
      <c r="W4841" t="s">
        <v>43225</v>
      </c>
      <c r="X4841" t="s">
        <v>45102</v>
      </c>
    </row>
    <row r="4842" spans="1:24">
      <c r="A4842">
        <f>HYPERLINK("https://www.philgeps.gov.ph/GEPSNONPILOT/Tender/SplashBidNoticeAbstractUI.aspx?menuIndex=3&amp;refID=7043142&amp;Result=3","7043142")</f>
        <v>0</v>
      </c>
      <c r="B4842" t="s">
        <v>1503</v>
      </c>
      <c r="C4842" t="s">
        <v>7824</v>
      </c>
      <c r="D4842" t="s">
        <v>18030</v>
      </c>
      <c r="E4842" t="s">
        <v>22445</v>
      </c>
      <c r="F4842" t="s">
        <v>31574</v>
      </c>
      <c r="G4842" t="s">
        <v>31582</v>
      </c>
      <c r="H4842" t="s">
        <v>31591</v>
      </c>
      <c r="I4842" t="s">
        <v>8822</v>
      </c>
      <c r="J4842" t="s">
        <v>34879</v>
      </c>
      <c r="K4842" t="s">
        <v>41200</v>
      </c>
      <c r="M4842" t="s">
        <v>43224</v>
      </c>
      <c r="N4842" t="s">
        <v>45095</v>
      </c>
      <c r="O4842" t="s">
        <v>45096</v>
      </c>
      <c r="P4842">
        <v>0</v>
      </c>
      <c r="Q4842">
        <v>17</v>
      </c>
      <c r="R4842" t="s">
        <v>45101</v>
      </c>
      <c r="S4842" t="s">
        <v>45231</v>
      </c>
      <c r="T4842" t="s">
        <v>46988</v>
      </c>
      <c r="U4842" t="s">
        <v>51536</v>
      </c>
      <c r="V4842" t="s">
        <v>60368</v>
      </c>
      <c r="W4842" t="s">
        <v>43224</v>
      </c>
      <c r="X4842" t="s">
        <v>45102</v>
      </c>
    </row>
    <row r="4843" spans="1:24">
      <c r="A4843">
        <f>HYPERLINK("https://www.philgeps.gov.ph/GEPSNONPILOT/Tender/SplashBidNoticeAbstractUI.aspx?menuIndex=3&amp;refID=7043168&amp;Result=3","7043168")</f>
        <v>0</v>
      </c>
      <c r="B4843" t="s">
        <v>1262</v>
      </c>
      <c r="C4843" t="s">
        <v>7825</v>
      </c>
      <c r="D4843" t="s">
        <v>18065</v>
      </c>
      <c r="E4843" t="s">
        <v>22446</v>
      </c>
      <c r="F4843" t="s">
        <v>31574</v>
      </c>
      <c r="G4843" t="s">
        <v>31582</v>
      </c>
      <c r="H4843" t="s">
        <v>31590</v>
      </c>
      <c r="I4843" t="s">
        <v>6800</v>
      </c>
      <c r="J4843" t="s">
        <v>34880</v>
      </c>
      <c r="K4843" t="s">
        <v>41213</v>
      </c>
      <c r="M4843" t="s">
        <v>42830</v>
      </c>
      <c r="N4843" t="s">
        <v>45095</v>
      </c>
      <c r="O4843" t="s">
        <v>45096</v>
      </c>
      <c r="P4843">
        <v>0</v>
      </c>
      <c r="Q4843">
        <v>4</v>
      </c>
      <c r="R4843" t="s">
        <v>45101</v>
      </c>
      <c r="S4843" t="s">
        <v>45231</v>
      </c>
      <c r="T4843" t="s">
        <v>47227</v>
      </c>
      <c r="U4843" t="s">
        <v>51537</v>
      </c>
      <c r="V4843" t="s">
        <v>59855</v>
      </c>
      <c r="W4843" t="s">
        <v>42830</v>
      </c>
      <c r="X4843" t="s">
        <v>45102</v>
      </c>
    </row>
    <row r="4844" spans="1:24">
      <c r="A4844">
        <f>HYPERLINK("https://www.philgeps.gov.ph/GEPSNONPILOT/Tender/SplashBidNoticeAbstractUI.aspx?menuIndex=3&amp;refID=7043173&amp;Result=3","7043173")</f>
        <v>0</v>
      </c>
      <c r="B4844" t="s">
        <v>1262</v>
      </c>
      <c r="C4844" t="s">
        <v>7826</v>
      </c>
      <c r="D4844" t="s">
        <v>18065</v>
      </c>
      <c r="E4844" t="s">
        <v>22447</v>
      </c>
      <c r="F4844" t="s">
        <v>31574</v>
      </c>
      <c r="G4844" t="s">
        <v>31582</v>
      </c>
      <c r="H4844" t="s">
        <v>31590</v>
      </c>
      <c r="I4844" t="s">
        <v>3487</v>
      </c>
      <c r="J4844" t="s">
        <v>34881</v>
      </c>
      <c r="K4844" t="s">
        <v>41213</v>
      </c>
      <c r="M4844" t="s">
        <v>42830</v>
      </c>
      <c r="N4844" t="s">
        <v>45095</v>
      </c>
      <c r="O4844" t="s">
        <v>45096</v>
      </c>
      <c r="P4844">
        <v>0</v>
      </c>
      <c r="Q4844">
        <v>2</v>
      </c>
      <c r="R4844" t="s">
        <v>45101</v>
      </c>
      <c r="S4844" t="s">
        <v>45231</v>
      </c>
      <c r="T4844" t="s">
        <v>47227</v>
      </c>
      <c r="U4844" t="s">
        <v>51538</v>
      </c>
      <c r="V4844" t="s">
        <v>59855</v>
      </c>
      <c r="W4844" t="s">
        <v>42830</v>
      </c>
      <c r="X4844" t="s">
        <v>45102</v>
      </c>
    </row>
    <row r="4845" spans="1:24">
      <c r="A4845">
        <f>HYPERLINK("https://www.philgeps.gov.ph/GEPSNONPILOT/Tender/SplashBidNoticeAbstractUI.aspx?menuIndex=3&amp;refID=7043167&amp;Result=3","7043167")</f>
        <v>0</v>
      </c>
      <c r="B4845" t="s">
        <v>1617</v>
      </c>
      <c r="C4845" t="s">
        <v>7827</v>
      </c>
      <c r="E4845" t="s">
        <v>22448</v>
      </c>
      <c r="F4845" t="s">
        <v>31574</v>
      </c>
      <c r="G4845" t="s">
        <v>31582</v>
      </c>
      <c r="H4845" t="s">
        <v>31593</v>
      </c>
      <c r="I4845" t="s">
        <v>8822</v>
      </c>
      <c r="J4845" t="s">
        <v>34882</v>
      </c>
      <c r="K4845" t="s">
        <v>41184</v>
      </c>
      <c r="M4845" t="s">
        <v>43222</v>
      </c>
      <c r="N4845" t="s">
        <v>45095</v>
      </c>
      <c r="O4845" t="s">
        <v>45096</v>
      </c>
      <c r="P4845">
        <v>0</v>
      </c>
      <c r="Q4845">
        <v>0</v>
      </c>
      <c r="R4845" t="s">
        <v>45101</v>
      </c>
      <c r="S4845" t="s">
        <v>45231</v>
      </c>
      <c r="T4845" t="s">
        <v>46979</v>
      </c>
      <c r="U4845" t="s">
        <v>51539</v>
      </c>
      <c r="V4845" t="s">
        <v>60369</v>
      </c>
      <c r="W4845" t="s">
        <v>44987</v>
      </c>
      <c r="X4845" t="s">
        <v>45102</v>
      </c>
    </row>
    <row r="4846" spans="1:24">
      <c r="A4846">
        <f>HYPERLINK("https://www.philgeps.gov.ph/GEPSNONPILOT/Tender/SplashBidNoticeAbstractUI.aspx?menuIndex=3&amp;refID=7043180&amp;Result=3","7043180")</f>
        <v>0</v>
      </c>
      <c r="B4846" t="s">
        <v>1589</v>
      </c>
      <c r="C4846" t="s">
        <v>7828</v>
      </c>
      <c r="D4846" t="s">
        <v>18022</v>
      </c>
      <c r="E4846" t="s">
        <v>22449</v>
      </c>
      <c r="F4846" t="s">
        <v>31574</v>
      </c>
      <c r="G4846" t="s">
        <v>31582</v>
      </c>
      <c r="H4846" t="s">
        <v>31590</v>
      </c>
      <c r="I4846" t="s">
        <v>3487</v>
      </c>
      <c r="J4846" t="s">
        <v>34883</v>
      </c>
      <c r="K4846" t="s">
        <v>41196</v>
      </c>
      <c r="M4846" t="s">
        <v>43193</v>
      </c>
      <c r="N4846" t="s">
        <v>45095</v>
      </c>
      <c r="O4846" t="s">
        <v>45096</v>
      </c>
      <c r="P4846">
        <v>0</v>
      </c>
      <c r="Q4846">
        <v>0</v>
      </c>
      <c r="R4846" t="s">
        <v>45101</v>
      </c>
      <c r="S4846" t="s">
        <v>45231</v>
      </c>
      <c r="T4846" t="s">
        <v>47004</v>
      </c>
      <c r="U4846" t="s">
        <v>51488</v>
      </c>
      <c r="W4846" t="s">
        <v>43193</v>
      </c>
      <c r="X4846" t="s">
        <v>45102</v>
      </c>
    </row>
    <row r="4847" spans="1:24">
      <c r="A4847">
        <f>HYPERLINK("https://www.philgeps.gov.ph/GEPSNONPILOT/Tender/SplashBidNoticeAbstractUI.aspx?menuIndex=3&amp;refID=7043186&amp;Result=3","7043186")</f>
        <v>0</v>
      </c>
      <c r="B4847" t="s">
        <v>1503</v>
      </c>
      <c r="C4847" t="s">
        <v>7829</v>
      </c>
      <c r="D4847" t="s">
        <v>18030</v>
      </c>
      <c r="E4847" t="s">
        <v>22450</v>
      </c>
      <c r="F4847" t="s">
        <v>31574</v>
      </c>
      <c r="G4847" t="s">
        <v>31582</v>
      </c>
      <c r="H4847" t="s">
        <v>31591</v>
      </c>
      <c r="I4847" t="s">
        <v>8822</v>
      </c>
      <c r="J4847" t="s">
        <v>34884</v>
      </c>
      <c r="K4847" t="s">
        <v>41325</v>
      </c>
      <c r="M4847" t="s">
        <v>43224</v>
      </c>
      <c r="N4847" t="s">
        <v>45095</v>
      </c>
      <c r="O4847" t="s">
        <v>45096</v>
      </c>
      <c r="P4847">
        <v>0</v>
      </c>
      <c r="Q4847">
        <v>10</v>
      </c>
      <c r="R4847" t="s">
        <v>45101</v>
      </c>
      <c r="S4847" t="s">
        <v>45231</v>
      </c>
      <c r="T4847" t="s">
        <v>46988</v>
      </c>
      <c r="U4847" t="s">
        <v>51540</v>
      </c>
      <c r="V4847" t="s">
        <v>60368</v>
      </c>
      <c r="W4847" t="s">
        <v>43224</v>
      </c>
      <c r="X4847" t="s">
        <v>45102</v>
      </c>
    </row>
    <row r="4848" spans="1:24">
      <c r="A4848">
        <f>HYPERLINK("https://www.philgeps.gov.ph/GEPSNONPILOT/Tender/SplashBidNoticeAbstractUI.aspx?menuIndex=3&amp;refID=7043166&amp;Result=3","7043166")</f>
        <v>0</v>
      </c>
      <c r="B4848" t="s">
        <v>1589</v>
      </c>
      <c r="C4848" t="s">
        <v>7830</v>
      </c>
      <c r="D4848" t="s">
        <v>18022</v>
      </c>
      <c r="E4848" t="s">
        <v>22451</v>
      </c>
      <c r="F4848" t="s">
        <v>31574</v>
      </c>
      <c r="G4848" t="s">
        <v>31582</v>
      </c>
      <c r="H4848" t="s">
        <v>31590</v>
      </c>
      <c r="I4848" t="s">
        <v>3651</v>
      </c>
      <c r="J4848" t="s">
        <v>34885</v>
      </c>
      <c r="K4848" t="s">
        <v>41196</v>
      </c>
      <c r="M4848" t="s">
        <v>43193</v>
      </c>
      <c r="N4848" t="s">
        <v>45095</v>
      </c>
      <c r="O4848" t="s">
        <v>45096</v>
      </c>
      <c r="P4848">
        <v>0</v>
      </c>
      <c r="Q4848">
        <v>0</v>
      </c>
      <c r="R4848" t="s">
        <v>45101</v>
      </c>
      <c r="S4848" t="s">
        <v>45231</v>
      </c>
      <c r="T4848" t="s">
        <v>47004</v>
      </c>
      <c r="U4848" t="s">
        <v>51497</v>
      </c>
      <c r="W4848" t="s">
        <v>43193</v>
      </c>
      <c r="X4848" t="s">
        <v>45102</v>
      </c>
    </row>
    <row r="4849" spans="1:24">
      <c r="A4849">
        <f>HYPERLINK("https://www.philgeps.gov.ph/GEPSNONPILOT/Tender/SplashBidNoticeAbstractUI.aspx?menuIndex=3&amp;refID=7043174&amp;Result=3","7043174")</f>
        <v>0</v>
      </c>
      <c r="B4849" t="s">
        <v>1613</v>
      </c>
      <c r="C4849" t="s">
        <v>7831</v>
      </c>
      <c r="D4849" t="s">
        <v>18027</v>
      </c>
      <c r="E4849" t="s">
        <v>22452</v>
      </c>
      <c r="F4849" t="s">
        <v>31574</v>
      </c>
      <c r="G4849" t="s">
        <v>31582</v>
      </c>
      <c r="H4849" t="s">
        <v>31590</v>
      </c>
      <c r="I4849" t="s">
        <v>8258</v>
      </c>
      <c r="J4849" t="s">
        <v>34886</v>
      </c>
      <c r="K4849" t="s">
        <v>41217</v>
      </c>
      <c r="M4849" t="s">
        <v>43218</v>
      </c>
      <c r="N4849" t="s">
        <v>45095</v>
      </c>
      <c r="O4849" t="s">
        <v>45096</v>
      </c>
      <c r="P4849">
        <v>0</v>
      </c>
      <c r="Q4849">
        <v>1</v>
      </c>
      <c r="R4849" t="s">
        <v>45101</v>
      </c>
      <c r="S4849" t="s">
        <v>45231</v>
      </c>
      <c r="T4849" t="s">
        <v>47198</v>
      </c>
      <c r="U4849" t="s">
        <v>51541</v>
      </c>
      <c r="W4849" t="s">
        <v>43218</v>
      </c>
      <c r="X4849" t="s">
        <v>45102</v>
      </c>
    </row>
    <row r="4850" spans="1:24">
      <c r="A4850">
        <f>HYPERLINK("https://www.philgeps.gov.ph/GEPSNONPILOT/Tender/SplashBidNoticeAbstractUI.aspx?menuIndex=3&amp;refID=7043191&amp;Result=3","7043191")</f>
        <v>0</v>
      </c>
      <c r="B4850" t="s">
        <v>1620</v>
      </c>
      <c r="C4850" t="s">
        <v>7832</v>
      </c>
      <c r="D4850" t="s">
        <v>18028</v>
      </c>
      <c r="E4850" t="s">
        <v>22453</v>
      </c>
      <c r="F4850" t="s">
        <v>31575</v>
      </c>
      <c r="G4850" t="s">
        <v>31582</v>
      </c>
      <c r="H4850" t="s">
        <v>31592</v>
      </c>
      <c r="I4850" t="s">
        <v>7162</v>
      </c>
      <c r="J4850" t="s">
        <v>33392</v>
      </c>
      <c r="K4850" t="s">
        <v>41196</v>
      </c>
      <c r="M4850" t="s">
        <v>43226</v>
      </c>
      <c r="N4850" t="s">
        <v>45095</v>
      </c>
      <c r="O4850" t="s">
        <v>45096</v>
      </c>
      <c r="P4850">
        <v>0</v>
      </c>
      <c r="Q4850">
        <v>1</v>
      </c>
      <c r="R4850" t="s">
        <v>45101</v>
      </c>
      <c r="S4850" t="s">
        <v>45231</v>
      </c>
      <c r="T4850" t="s">
        <v>47011</v>
      </c>
      <c r="U4850" t="s">
        <v>51542</v>
      </c>
      <c r="W4850" t="s">
        <v>61713</v>
      </c>
      <c r="X4850" t="s">
        <v>45102</v>
      </c>
    </row>
    <row r="4851" spans="1:24">
      <c r="A4851">
        <f>HYPERLINK("https://www.philgeps.gov.ph/GEPSNONPILOT/Tender/SplashBidNoticeAbstractUI.aspx?menuIndex=3&amp;refID=7043129&amp;Result=3","7043129")</f>
        <v>0</v>
      </c>
      <c r="B4851" t="s">
        <v>1038</v>
      </c>
      <c r="C4851" t="s">
        <v>7833</v>
      </c>
      <c r="D4851" t="s">
        <v>18031</v>
      </c>
      <c r="E4851" t="s">
        <v>22454</v>
      </c>
      <c r="F4851" t="s">
        <v>31574</v>
      </c>
      <c r="G4851" t="s">
        <v>31583</v>
      </c>
      <c r="H4851" t="s">
        <v>31590</v>
      </c>
      <c r="I4851" t="s">
        <v>8258</v>
      </c>
      <c r="J4851" t="s">
        <v>34887</v>
      </c>
      <c r="K4851" t="s">
        <v>41196</v>
      </c>
      <c r="M4851" t="s">
        <v>42581</v>
      </c>
      <c r="N4851" t="s">
        <v>45095</v>
      </c>
      <c r="O4851" t="s">
        <v>45096</v>
      </c>
      <c r="P4851">
        <v>0</v>
      </c>
      <c r="Q4851">
        <v>9</v>
      </c>
      <c r="R4851" t="s">
        <v>45101</v>
      </c>
      <c r="S4851" t="s">
        <v>45231</v>
      </c>
      <c r="T4851" t="s">
        <v>47080</v>
      </c>
      <c r="U4851" t="s">
        <v>51543</v>
      </c>
      <c r="W4851" t="s">
        <v>42581</v>
      </c>
      <c r="X4851" t="s">
        <v>45102</v>
      </c>
    </row>
    <row r="4852" spans="1:24">
      <c r="A4852">
        <f>HYPERLINK("https://www.philgeps.gov.ph/GEPSNONPILOT/Tender/SplashBidNoticeAbstractUI.aspx?menuIndex=3&amp;refID=7043201&amp;Result=3","7043201")</f>
        <v>0</v>
      </c>
      <c r="B4852" t="s">
        <v>1063</v>
      </c>
      <c r="C4852" t="s">
        <v>7834</v>
      </c>
      <c r="D4852" t="s">
        <v>18042</v>
      </c>
      <c r="E4852" t="s">
        <v>21402</v>
      </c>
      <c r="F4852" t="s">
        <v>31574</v>
      </c>
      <c r="G4852" t="s">
        <v>31583</v>
      </c>
      <c r="H4852" t="s">
        <v>31590</v>
      </c>
      <c r="I4852" t="s">
        <v>31629</v>
      </c>
      <c r="J4852" t="s">
        <v>34888</v>
      </c>
      <c r="K4852" t="s">
        <v>41190</v>
      </c>
      <c r="L4852" t="s">
        <v>1063</v>
      </c>
      <c r="M4852" t="s">
        <v>42608</v>
      </c>
      <c r="N4852" t="s">
        <v>45095</v>
      </c>
      <c r="O4852" t="s">
        <v>45096</v>
      </c>
      <c r="P4852">
        <v>0</v>
      </c>
      <c r="Q4852">
        <v>0</v>
      </c>
      <c r="R4852" t="s">
        <v>45101</v>
      </c>
      <c r="S4852" t="s">
        <v>45231</v>
      </c>
      <c r="T4852" t="s">
        <v>47159</v>
      </c>
      <c r="U4852" t="s">
        <v>49934</v>
      </c>
      <c r="W4852" t="s">
        <v>42608</v>
      </c>
      <c r="X4852" t="s">
        <v>45102</v>
      </c>
    </row>
    <row r="4853" spans="1:24">
      <c r="A4853">
        <f>HYPERLINK("https://www.philgeps.gov.ph/GEPSNONPILOT/Tender/SplashBidNoticeAbstractUI.aspx?menuIndex=3&amp;refID=7043175&amp;Result=3","7043175")</f>
        <v>0</v>
      </c>
      <c r="B4853" t="s">
        <v>1589</v>
      </c>
      <c r="C4853" t="s">
        <v>7835</v>
      </c>
      <c r="D4853" t="s">
        <v>18022</v>
      </c>
      <c r="E4853" t="s">
        <v>22455</v>
      </c>
      <c r="F4853" t="s">
        <v>31574</v>
      </c>
      <c r="G4853" t="s">
        <v>31582</v>
      </c>
      <c r="H4853" t="s">
        <v>31590</v>
      </c>
      <c r="I4853" t="s">
        <v>3487</v>
      </c>
      <c r="J4853" t="s">
        <v>34889</v>
      </c>
      <c r="K4853" t="s">
        <v>41196</v>
      </c>
      <c r="M4853" t="s">
        <v>43193</v>
      </c>
      <c r="N4853" t="s">
        <v>45095</v>
      </c>
      <c r="O4853" t="s">
        <v>45096</v>
      </c>
      <c r="P4853">
        <v>0</v>
      </c>
      <c r="Q4853">
        <v>0</v>
      </c>
      <c r="R4853" t="s">
        <v>45101</v>
      </c>
      <c r="S4853" t="s">
        <v>45231</v>
      </c>
      <c r="T4853" t="s">
        <v>47004</v>
      </c>
      <c r="U4853" t="s">
        <v>51488</v>
      </c>
      <c r="W4853" t="s">
        <v>43193</v>
      </c>
      <c r="X4853" t="s">
        <v>45102</v>
      </c>
    </row>
    <row r="4854" spans="1:24">
      <c r="A4854">
        <f>HYPERLINK("https://www.philgeps.gov.ph/GEPSNONPILOT/Tender/SplashBidNoticeAbstractUI.aspx?menuIndex=3&amp;refID=7043188&amp;Result=3","7043188")</f>
        <v>0</v>
      </c>
      <c r="B4854" t="s">
        <v>1604</v>
      </c>
      <c r="C4854" t="s">
        <v>7836</v>
      </c>
      <c r="E4854" t="s">
        <v>22456</v>
      </c>
      <c r="F4854" t="s">
        <v>31574</v>
      </c>
      <c r="G4854" t="s">
        <v>31582</v>
      </c>
      <c r="H4854" t="s">
        <v>31591</v>
      </c>
      <c r="I4854" t="s">
        <v>8822</v>
      </c>
      <c r="J4854" t="s">
        <v>34890</v>
      </c>
      <c r="K4854" t="s">
        <v>41184</v>
      </c>
      <c r="M4854" t="s">
        <v>43227</v>
      </c>
      <c r="N4854" t="s">
        <v>45095</v>
      </c>
      <c r="O4854" t="s">
        <v>45096</v>
      </c>
      <c r="P4854">
        <v>0</v>
      </c>
      <c r="Q4854">
        <v>0</v>
      </c>
      <c r="R4854" t="s">
        <v>45101</v>
      </c>
      <c r="S4854" t="s">
        <v>45231</v>
      </c>
      <c r="T4854" t="s">
        <v>47166</v>
      </c>
      <c r="U4854" t="s">
        <v>51544</v>
      </c>
      <c r="W4854" t="s">
        <v>43227</v>
      </c>
      <c r="X4854" t="s">
        <v>45102</v>
      </c>
    </row>
    <row r="4855" spans="1:24">
      <c r="A4855">
        <f>HYPERLINK("https://www.philgeps.gov.ph/GEPSNONPILOT/Tender/SplashBidNoticeAbstractUI.aspx?menuIndex=3&amp;refID=7043198&amp;Result=3","7043198")</f>
        <v>0</v>
      </c>
      <c r="B4855" t="s">
        <v>1618</v>
      </c>
      <c r="C4855" t="s">
        <v>7837</v>
      </c>
      <c r="D4855" t="s">
        <v>18075</v>
      </c>
      <c r="E4855" t="s">
        <v>22457</v>
      </c>
      <c r="F4855" t="s">
        <v>31574</v>
      </c>
      <c r="G4855" t="s">
        <v>31581</v>
      </c>
      <c r="H4855" t="s">
        <v>31590</v>
      </c>
      <c r="I4855" t="s">
        <v>4046</v>
      </c>
      <c r="J4855" t="s">
        <v>34891</v>
      </c>
      <c r="K4855" t="s">
        <v>41190</v>
      </c>
      <c r="M4855" t="s">
        <v>43223</v>
      </c>
      <c r="N4855" t="s">
        <v>45095</v>
      </c>
      <c r="O4855" t="s">
        <v>45096</v>
      </c>
      <c r="P4855">
        <v>0</v>
      </c>
      <c r="Q4855">
        <v>1</v>
      </c>
      <c r="R4855" t="s">
        <v>45101</v>
      </c>
      <c r="S4855" t="s">
        <v>45231</v>
      </c>
      <c r="T4855" t="s">
        <v>47176</v>
      </c>
      <c r="U4855" t="s">
        <v>51545</v>
      </c>
      <c r="V4855" t="s">
        <v>60367</v>
      </c>
      <c r="W4855" t="s">
        <v>43223</v>
      </c>
      <c r="X4855" t="s">
        <v>45102</v>
      </c>
    </row>
    <row r="4856" spans="1:24">
      <c r="A4856">
        <f>HYPERLINK("https://www.philgeps.gov.ph/GEPSNONPILOT/Tender/SplashBidNoticeAbstractUI.aspx?menuIndex=3&amp;refID=7043179&amp;Result=3","7043179")</f>
        <v>0</v>
      </c>
      <c r="B4856" t="s">
        <v>1618</v>
      </c>
      <c r="C4856" t="s">
        <v>7838</v>
      </c>
      <c r="D4856" t="s">
        <v>18022</v>
      </c>
      <c r="E4856" t="s">
        <v>22458</v>
      </c>
      <c r="F4856" t="s">
        <v>31574</v>
      </c>
      <c r="G4856" t="s">
        <v>31581</v>
      </c>
      <c r="H4856" t="s">
        <v>31590</v>
      </c>
      <c r="I4856" t="s">
        <v>31603</v>
      </c>
      <c r="J4856" t="s">
        <v>33503</v>
      </c>
      <c r="K4856" t="s">
        <v>41190</v>
      </c>
      <c r="M4856" t="s">
        <v>43223</v>
      </c>
      <c r="N4856" t="s">
        <v>45095</v>
      </c>
      <c r="O4856" t="s">
        <v>45096</v>
      </c>
      <c r="P4856">
        <v>0</v>
      </c>
      <c r="Q4856">
        <v>6</v>
      </c>
      <c r="R4856" t="s">
        <v>45101</v>
      </c>
      <c r="S4856" t="s">
        <v>45231</v>
      </c>
      <c r="T4856" t="s">
        <v>47176</v>
      </c>
      <c r="U4856" t="s">
        <v>51546</v>
      </c>
      <c r="V4856" t="s">
        <v>60367</v>
      </c>
      <c r="W4856" t="s">
        <v>43223</v>
      </c>
      <c r="X4856" t="s">
        <v>45102</v>
      </c>
    </row>
    <row r="4857" spans="1:24">
      <c r="A4857">
        <f>HYPERLINK("https://www.philgeps.gov.ph/GEPSNONPILOT/Tender/SplashBidNoticeAbstractUI.aspx?menuIndex=3&amp;refID=7043193&amp;Result=3","7043193")</f>
        <v>0</v>
      </c>
      <c r="B4857" t="s">
        <v>1589</v>
      </c>
      <c r="C4857" t="s">
        <v>7839</v>
      </c>
      <c r="D4857" t="s">
        <v>18022</v>
      </c>
      <c r="E4857" t="s">
        <v>22459</v>
      </c>
      <c r="F4857" t="s">
        <v>31574</v>
      </c>
      <c r="G4857" t="s">
        <v>31582</v>
      </c>
      <c r="H4857" t="s">
        <v>31590</v>
      </c>
      <c r="I4857" t="s">
        <v>3487</v>
      </c>
      <c r="J4857" t="s">
        <v>31935</v>
      </c>
      <c r="K4857" t="s">
        <v>41196</v>
      </c>
      <c r="M4857" t="s">
        <v>43193</v>
      </c>
      <c r="N4857" t="s">
        <v>45095</v>
      </c>
      <c r="O4857" t="s">
        <v>45096</v>
      </c>
      <c r="P4857">
        <v>0</v>
      </c>
      <c r="Q4857">
        <v>0</v>
      </c>
      <c r="R4857" t="s">
        <v>45101</v>
      </c>
      <c r="S4857" t="s">
        <v>45231</v>
      </c>
      <c r="T4857" t="s">
        <v>47004</v>
      </c>
      <c r="U4857" t="s">
        <v>51488</v>
      </c>
      <c r="W4857" t="s">
        <v>43193</v>
      </c>
      <c r="X4857" t="s">
        <v>45102</v>
      </c>
    </row>
    <row r="4858" spans="1:24">
      <c r="A4858">
        <f>HYPERLINK("https://www.philgeps.gov.ph/GEPSNONPILOT/Tender/SplashBidNoticeAbstractUI.aspx?menuIndex=3&amp;refID=7043196&amp;Result=3","7043196")</f>
        <v>0</v>
      </c>
      <c r="B4858" t="s">
        <v>1262</v>
      </c>
      <c r="C4858" t="s">
        <v>7840</v>
      </c>
      <c r="D4858" t="s">
        <v>18065</v>
      </c>
      <c r="E4858" t="s">
        <v>22460</v>
      </c>
      <c r="F4858" t="s">
        <v>31574</v>
      </c>
      <c r="G4858" t="s">
        <v>31582</v>
      </c>
      <c r="H4858" t="s">
        <v>31590</v>
      </c>
      <c r="I4858" t="s">
        <v>31705</v>
      </c>
      <c r="J4858" t="s">
        <v>34892</v>
      </c>
      <c r="K4858" t="s">
        <v>41213</v>
      </c>
      <c r="M4858" t="s">
        <v>42830</v>
      </c>
      <c r="N4858" t="s">
        <v>45095</v>
      </c>
      <c r="O4858" t="s">
        <v>45096</v>
      </c>
      <c r="P4858">
        <v>0</v>
      </c>
      <c r="Q4858">
        <v>1</v>
      </c>
      <c r="R4858" t="s">
        <v>45101</v>
      </c>
      <c r="S4858" t="s">
        <v>45231</v>
      </c>
      <c r="T4858" t="s">
        <v>47227</v>
      </c>
      <c r="U4858" t="s">
        <v>51547</v>
      </c>
      <c r="V4858" t="s">
        <v>59855</v>
      </c>
      <c r="W4858" t="s">
        <v>42830</v>
      </c>
      <c r="X4858" t="s">
        <v>45102</v>
      </c>
    </row>
    <row r="4859" spans="1:24">
      <c r="A4859">
        <f>HYPERLINK("https://www.philgeps.gov.ph/GEPSNONPILOT/Tender/SplashBidNoticeAbstractUI.aspx?menuIndex=3&amp;refID=7043185&amp;Result=3","7043185")</f>
        <v>0</v>
      </c>
      <c r="B4859" t="s">
        <v>1262</v>
      </c>
      <c r="C4859" t="s">
        <v>7841</v>
      </c>
      <c r="D4859" t="s">
        <v>18065</v>
      </c>
      <c r="E4859" t="s">
        <v>22461</v>
      </c>
      <c r="F4859" t="s">
        <v>31574</v>
      </c>
      <c r="G4859" t="s">
        <v>31582</v>
      </c>
      <c r="H4859" t="s">
        <v>31590</v>
      </c>
      <c r="I4859" t="s">
        <v>7185</v>
      </c>
      <c r="J4859" t="s">
        <v>34893</v>
      </c>
      <c r="K4859" t="s">
        <v>41213</v>
      </c>
      <c r="M4859" t="s">
        <v>42830</v>
      </c>
      <c r="N4859" t="s">
        <v>45095</v>
      </c>
      <c r="O4859" t="s">
        <v>45096</v>
      </c>
      <c r="P4859">
        <v>0</v>
      </c>
      <c r="Q4859">
        <v>4</v>
      </c>
      <c r="R4859" t="s">
        <v>45101</v>
      </c>
      <c r="S4859" t="s">
        <v>45231</v>
      </c>
      <c r="T4859" t="s">
        <v>47227</v>
      </c>
      <c r="U4859" t="s">
        <v>51548</v>
      </c>
      <c r="V4859" t="s">
        <v>59855</v>
      </c>
      <c r="W4859" t="s">
        <v>42830</v>
      </c>
      <c r="X4859" t="s">
        <v>45102</v>
      </c>
    </row>
    <row r="4860" spans="1:24">
      <c r="A4860">
        <f>HYPERLINK("https://www.philgeps.gov.ph/GEPSNONPILOT/Tender/SplashBidNoticeAbstractUI.aspx?menuIndex=3&amp;refID=7043202&amp;Result=3","7043202")</f>
        <v>0</v>
      </c>
      <c r="B4860" t="s">
        <v>1621</v>
      </c>
      <c r="C4860" t="s">
        <v>7842</v>
      </c>
      <c r="D4860" t="s">
        <v>18022</v>
      </c>
      <c r="E4860" t="s">
        <v>18137</v>
      </c>
      <c r="F4860" t="s">
        <v>31574</v>
      </c>
      <c r="G4860" t="s">
        <v>31581</v>
      </c>
      <c r="H4860" t="s">
        <v>31590</v>
      </c>
      <c r="I4860" t="s">
        <v>31594</v>
      </c>
      <c r="J4860" t="s">
        <v>34894</v>
      </c>
      <c r="K4860" t="s">
        <v>41192</v>
      </c>
      <c r="M4860" t="s">
        <v>43228</v>
      </c>
      <c r="N4860" t="s">
        <v>45095</v>
      </c>
      <c r="O4860" t="s">
        <v>45096</v>
      </c>
      <c r="P4860">
        <v>0</v>
      </c>
      <c r="Q4860">
        <v>24</v>
      </c>
      <c r="R4860" t="s">
        <v>45101</v>
      </c>
      <c r="S4860" t="s">
        <v>45231</v>
      </c>
      <c r="T4860" t="s">
        <v>47228</v>
      </c>
      <c r="U4860" t="s">
        <v>51549</v>
      </c>
      <c r="W4860" t="s">
        <v>43228</v>
      </c>
      <c r="X4860" t="s">
        <v>45102</v>
      </c>
    </row>
    <row r="4861" spans="1:24">
      <c r="A4861">
        <f>HYPERLINK("https://www.philgeps.gov.ph/GEPSNONPILOT/Tender/SplashBidNoticeAbstractUI.aspx?menuIndex=3&amp;refID=7043204&amp;Result=3","7043204")</f>
        <v>0</v>
      </c>
      <c r="B4861" t="s">
        <v>1503</v>
      </c>
      <c r="C4861" t="s">
        <v>7843</v>
      </c>
      <c r="D4861" t="s">
        <v>18030</v>
      </c>
      <c r="E4861" t="s">
        <v>22462</v>
      </c>
      <c r="F4861" t="s">
        <v>31574</v>
      </c>
      <c r="G4861" t="s">
        <v>31582</v>
      </c>
      <c r="H4861" t="s">
        <v>31591</v>
      </c>
      <c r="I4861" t="s">
        <v>8822</v>
      </c>
      <c r="J4861" t="s">
        <v>34895</v>
      </c>
      <c r="K4861" t="s">
        <v>41235</v>
      </c>
      <c r="M4861" t="s">
        <v>43224</v>
      </c>
      <c r="N4861" t="s">
        <v>45095</v>
      </c>
      <c r="O4861" t="s">
        <v>45096</v>
      </c>
      <c r="P4861">
        <v>0</v>
      </c>
      <c r="Q4861">
        <v>11</v>
      </c>
      <c r="R4861" t="s">
        <v>45101</v>
      </c>
      <c r="S4861" t="s">
        <v>45231</v>
      </c>
      <c r="T4861" t="s">
        <v>46988</v>
      </c>
      <c r="U4861" t="s">
        <v>51550</v>
      </c>
      <c r="V4861" t="s">
        <v>60368</v>
      </c>
      <c r="W4861" t="s">
        <v>43224</v>
      </c>
      <c r="X4861" t="s">
        <v>45102</v>
      </c>
    </row>
    <row r="4862" spans="1:24">
      <c r="A4862">
        <f>HYPERLINK("https://www.philgeps.gov.ph/GEPSNONPILOT/Tender/SplashBidNoticeAbstractUI.aspx?menuIndex=3&amp;refID=7043192&amp;Result=3","7043192")</f>
        <v>0</v>
      </c>
      <c r="B4862" t="s">
        <v>1262</v>
      </c>
      <c r="C4862" t="s">
        <v>7844</v>
      </c>
      <c r="D4862" t="s">
        <v>18065</v>
      </c>
      <c r="E4862" t="s">
        <v>22463</v>
      </c>
      <c r="F4862" t="s">
        <v>31574</v>
      </c>
      <c r="G4862" t="s">
        <v>31582</v>
      </c>
      <c r="H4862" t="s">
        <v>31590</v>
      </c>
      <c r="I4862" t="s">
        <v>31603</v>
      </c>
      <c r="J4862" t="s">
        <v>34896</v>
      </c>
      <c r="K4862" t="s">
        <v>41213</v>
      </c>
      <c r="M4862" t="s">
        <v>42830</v>
      </c>
      <c r="N4862" t="s">
        <v>45095</v>
      </c>
      <c r="O4862" t="s">
        <v>45096</v>
      </c>
      <c r="P4862">
        <v>0</v>
      </c>
      <c r="Q4862">
        <v>3</v>
      </c>
      <c r="R4862" t="s">
        <v>45101</v>
      </c>
      <c r="S4862" t="s">
        <v>45231</v>
      </c>
      <c r="T4862" t="s">
        <v>47227</v>
      </c>
      <c r="U4862" t="s">
        <v>51551</v>
      </c>
      <c r="V4862" t="s">
        <v>59855</v>
      </c>
      <c r="W4862" t="s">
        <v>42830</v>
      </c>
      <c r="X4862" t="s">
        <v>45102</v>
      </c>
    </row>
    <row r="4863" spans="1:24">
      <c r="A4863">
        <f>HYPERLINK("https://www.philgeps.gov.ph/GEPSNONPILOT/Tender/SplashBidNoticeAbstractUI.aspx?menuIndex=3&amp;refID=7043207&amp;Result=3","7043207")</f>
        <v>0</v>
      </c>
      <c r="B4863" t="s">
        <v>1621</v>
      </c>
      <c r="C4863" t="s">
        <v>7845</v>
      </c>
      <c r="D4863" t="s">
        <v>18022</v>
      </c>
      <c r="E4863" t="s">
        <v>18230</v>
      </c>
      <c r="F4863" t="s">
        <v>31574</v>
      </c>
      <c r="G4863" t="s">
        <v>31581</v>
      </c>
      <c r="H4863" t="s">
        <v>31590</v>
      </c>
      <c r="I4863" t="s">
        <v>31594</v>
      </c>
      <c r="J4863" t="s">
        <v>34894</v>
      </c>
      <c r="K4863" t="s">
        <v>41192</v>
      </c>
      <c r="M4863" t="s">
        <v>43228</v>
      </c>
      <c r="N4863" t="s">
        <v>45095</v>
      </c>
      <c r="O4863" t="s">
        <v>45096</v>
      </c>
      <c r="P4863">
        <v>0</v>
      </c>
      <c r="Q4863">
        <v>5</v>
      </c>
      <c r="R4863" t="s">
        <v>45101</v>
      </c>
      <c r="S4863" t="s">
        <v>45231</v>
      </c>
      <c r="T4863" t="s">
        <v>47228</v>
      </c>
      <c r="U4863" t="s">
        <v>51552</v>
      </c>
      <c r="W4863" t="s">
        <v>43228</v>
      </c>
      <c r="X4863" t="s">
        <v>45102</v>
      </c>
    </row>
    <row r="4864" spans="1:24">
      <c r="A4864">
        <f>HYPERLINK("https://www.philgeps.gov.ph/GEPSNONPILOT/Tender/SplashBidNoticeAbstractUI.aspx?menuIndex=3&amp;refID=7043205&amp;Result=3","7043205")</f>
        <v>0</v>
      </c>
      <c r="B4864" t="s">
        <v>1622</v>
      </c>
      <c r="C4864" t="s">
        <v>7846</v>
      </c>
      <c r="D4864" t="s">
        <v>18073</v>
      </c>
      <c r="E4864" t="s">
        <v>18192</v>
      </c>
      <c r="F4864" t="s">
        <v>31574</v>
      </c>
      <c r="G4864" t="s">
        <v>31582</v>
      </c>
      <c r="H4864" t="s">
        <v>31591</v>
      </c>
      <c r="I4864" t="s">
        <v>8822</v>
      </c>
      <c r="J4864" t="s">
        <v>32574</v>
      </c>
      <c r="K4864" t="s">
        <v>41196</v>
      </c>
      <c r="M4864" t="s">
        <v>43229</v>
      </c>
      <c r="N4864" t="s">
        <v>45095</v>
      </c>
      <c r="O4864" t="s">
        <v>45096</v>
      </c>
      <c r="P4864">
        <v>0</v>
      </c>
      <c r="Q4864">
        <v>0</v>
      </c>
      <c r="R4864" t="s">
        <v>45101</v>
      </c>
      <c r="S4864" t="s">
        <v>45231</v>
      </c>
      <c r="T4864" t="s">
        <v>46911</v>
      </c>
      <c r="U4864" t="s">
        <v>51553</v>
      </c>
      <c r="W4864" t="s">
        <v>43229</v>
      </c>
      <c r="X4864" t="s">
        <v>45102</v>
      </c>
    </row>
    <row r="4865" spans="1:24">
      <c r="A4865">
        <f>HYPERLINK("https://www.philgeps.gov.ph/GEPSNONPILOT/Tender/SplashBidNoticeAbstractUI.aspx?menuIndex=3&amp;refID=7043217&amp;Result=3","7043217")</f>
        <v>0</v>
      </c>
      <c r="B4865" t="s">
        <v>1623</v>
      </c>
      <c r="C4865" t="s">
        <v>7847</v>
      </c>
      <c r="D4865" t="s">
        <v>18045</v>
      </c>
      <c r="E4865" t="s">
        <v>22464</v>
      </c>
      <c r="F4865" t="s">
        <v>31574</v>
      </c>
      <c r="G4865" t="s">
        <v>31581</v>
      </c>
      <c r="H4865" t="s">
        <v>31590</v>
      </c>
      <c r="I4865" t="s">
        <v>6800</v>
      </c>
      <c r="J4865" t="s">
        <v>34897</v>
      </c>
      <c r="K4865" t="s">
        <v>41186</v>
      </c>
      <c r="M4865" t="s">
        <v>43230</v>
      </c>
      <c r="N4865" t="s">
        <v>45095</v>
      </c>
      <c r="O4865" t="s">
        <v>45096</v>
      </c>
      <c r="P4865">
        <v>0</v>
      </c>
      <c r="Q4865">
        <v>2</v>
      </c>
      <c r="R4865" t="s">
        <v>45101</v>
      </c>
      <c r="S4865" t="s">
        <v>45231</v>
      </c>
      <c r="T4865" t="s">
        <v>47193</v>
      </c>
      <c r="U4865" t="s">
        <v>51554</v>
      </c>
      <c r="W4865" t="s">
        <v>43230</v>
      </c>
      <c r="X4865" t="s">
        <v>45102</v>
      </c>
    </row>
    <row r="4866" spans="1:24">
      <c r="A4866">
        <f>HYPERLINK("https://www.philgeps.gov.ph/GEPSNONPILOT/Tender/SplashBidNoticeAbstractUI.aspx?menuIndex=3&amp;refID=7043195&amp;Result=3","7043195")</f>
        <v>0</v>
      </c>
      <c r="B4866" t="s">
        <v>1624</v>
      </c>
      <c r="C4866" t="s">
        <v>7848</v>
      </c>
      <c r="D4866" t="s">
        <v>18102</v>
      </c>
      <c r="E4866" t="s">
        <v>22465</v>
      </c>
      <c r="F4866" t="s">
        <v>31574</v>
      </c>
      <c r="G4866" t="s">
        <v>31582</v>
      </c>
      <c r="H4866" t="s">
        <v>31590</v>
      </c>
      <c r="I4866" t="s">
        <v>4046</v>
      </c>
      <c r="J4866" t="s">
        <v>34898</v>
      </c>
      <c r="K4866" t="s">
        <v>41186</v>
      </c>
      <c r="M4866" t="s">
        <v>43231</v>
      </c>
      <c r="N4866" t="s">
        <v>45095</v>
      </c>
      <c r="O4866" t="s">
        <v>45096</v>
      </c>
      <c r="P4866">
        <v>0</v>
      </c>
      <c r="Q4866">
        <v>0</v>
      </c>
      <c r="R4866" t="s">
        <v>45101</v>
      </c>
      <c r="S4866" t="s">
        <v>45231</v>
      </c>
      <c r="T4866" t="s">
        <v>47094</v>
      </c>
      <c r="U4866" t="s">
        <v>51555</v>
      </c>
      <c r="W4866" t="s">
        <v>43231</v>
      </c>
      <c r="X4866" t="s">
        <v>45102</v>
      </c>
    </row>
    <row r="4867" spans="1:24">
      <c r="A4867">
        <f>HYPERLINK("https://www.philgeps.gov.ph/GEPSNONPILOT/Tender/SplashBidNoticeAbstractUI.aspx?menuIndex=3&amp;refID=7043206&amp;Result=3","7043206")</f>
        <v>0</v>
      </c>
      <c r="B4867" t="s">
        <v>1625</v>
      </c>
      <c r="C4867" t="s">
        <v>7849</v>
      </c>
      <c r="D4867" t="s">
        <v>18052</v>
      </c>
      <c r="E4867" t="s">
        <v>22466</v>
      </c>
      <c r="F4867" t="s">
        <v>31574</v>
      </c>
      <c r="G4867" t="s">
        <v>31582</v>
      </c>
      <c r="H4867" t="s">
        <v>31590</v>
      </c>
      <c r="I4867" t="s">
        <v>4046</v>
      </c>
      <c r="J4867" t="s">
        <v>34899</v>
      </c>
      <c r="K4867" t="s">
        <v>41198</v>
      </c>
      <c r="M4867" t="s">
        <v>43232</v>
      </c>
      <c r="N4867" t="s">
        <v>45095</v>
      </c>
      <c r="O4867" t="s">
        <v>45096</v>
      </c>
      <c r="P4867">
        <v>0</v>
      </c>
      <c r="Q4867">
        <v>0</v>
      </c>
      <c r="R4867" t="s">
        <v>45101</v>
      </c>
      <c r="S4867" t="s">
        <v>45231</v>
      </c>
      <c r="T4867" t="s">
        <v>47004</v>
      </c>
      <c r="U4867" t="s">
        <v>51556</v>
      </c>
      <c r="W4867" t="s">
        <v>43232</v>
      </c>
      <c r="X4867" t="s">
        <v>45102</v>
      </c>
    </row>
    <row r="4868" spans="1:24">
      <c r="A4868">
        <f>HYPERLINK("https://www.philgeps.gov.ph/GEPSNONPILOT/Tender/SplashBidNoticeAbstractUI.aspx?menuIndex=3&amp;refID=7043212&amp;Result=3","7043212")</f>
        <v>0</v>
      </c>
      <c r="B4868" t="s">
        <v>714</v>
      </c>
      <c r="C4868" t="s">
        <v>7850</v>
      </c>
      <c r="D4868" t="s">
        <v>18022</v>
      </c>
      <c r="E4868" t="s">
        <v>22467</v>
      </c>
      <c r="F4868" t="s">
        <v>31574</v>
      </c>
      <c r="G4868" t="s">
        <v>31582</v>
      </c>
      <c r="H4868" t="s">
        <v>31593</v>
      </c>
      <c r="I4868" t="s">
        <v>31593</v>
      </c>
      <c r="J4868" t="s">
        <v>32510</v>
      </c>
      <c r="K4868" t="s">
        <v>41189</v>
      </c>
      <c r="M4868" t="s">
        <v>42224</v>
      </c>
      <c r="N4868" t="s">
        <v>45095</v>
      </c>
      <c r="O4868" t="s">
        <v>45096</v>
      </c>
      <c r="P4868">
        <v>0</v>
      </c>
      <c r="Q4868">
        <v>2</v>
      </c>
      <c r="R4868" t="s">
        <v>45101</v>
      </c>
      <c r="S4868" t="s">
        <v>45231</v>
      </c>
      <c r="T4868" t="s">
        <v>46919</v>
      </c>
      <c r="U4868" t="s">
        <v>51557</v>
      </c>
      <c r="W4868" t="s">
        <v>42224</v>
      </c>
      <c r="X4868" t="s">
        <v>45102</v>
      </c>
    </row>
    <row r="4869" spans="1:24">
      <c r="A4869">
        <f>HYPERLINK("https://www.philgeps.gov.ph/GEPSNONPILOT/Tender/SplashBidNoticeAbstractUI.aspx?menuIndex=3&amp;refID=7043203&amp;Result=3","7043203")</f>
        <v>0</v>
      </c>
      <c r="B4869" t="s">
        <v>1624</v>
      </c>
      <c r="C4869" t="s">
        <v>7851</v>
      </c>
      <c r="D4869" t="s">
        <v>18102</v>
      </c>
      <c r="E4869" t="s">
        <v>22468</v>
      </c>
      <c r="F4869" t="s">
        <v>31574</v>
      </c>
      <c r="G4869" t="s">
        <v>31582</v>
      </c>
      <c r="H4869" t="s">
        <v>31590</v>
      </c>
      <c r="I4869" t="s">
        <v>31640</v>
      </c>
      <c r="J4869" t="s">
        <v>34900</v>
      </c>
      <c r="K4869" t="s">
        <v>41186</v>
      </c>
      <c r="M4869" t="s">
        <v>43231</v>
      </c>
      <c r="N4869" t="s">
        <v>45095</v>
      </c>
      <c r="O4869" t="s">
        <v>45096</v>
      </c>
      <c r="P4869">
        <v>0</v>
      </c>
      <c r="Q4869">
        <v>0</v>
      </c>
      <c r="R4869" t="s">
        <v>45101</v>
      </c>
      <c r="S4869" t="s">
        <v>45231</v>
      </c>
      <c r="T4869" t="s">
        <v>47094</v>
      </c>
      <c r="U4869" t="s">
        <v>51558</v>
      </c>
      <c r="W4869" t="s">
        <v>43231</v>
      </c>
      <c r="X4869" t="s">
        <v>45102</v>
      </c>
    </row>
    <row r="4870" spans="1:24">
      <c r="A4870">
        <f>HYPERLINK("https://www.philgeps.gov.ph/GEPSNONPILOT/Tender/SplashBidNoticeAbstractUI.aspx?menuIndex=3&amp;refID=7043213&amp;Result=3","7043213")</f>
        <v>0</v>
      </c>
      <c r="B4870" t="s">
        <v>1625</v>
      </c>
      <c r="C4870" t="s">
        <v>7852</v>
      </c>
      <c r="D4870" t="s">
        <v>18052</v>
      </c>
      <c r="E4870" t="s">
        <v>22469</v>
      </c>
      <c r="F4870" t="s">
        <v>31574</v>
      </c>
      <c r="G4870" t="s">
        <v>31582</v>
      </c>
      <c r="H4870" t="s">
        <v>31591</v>
      </c>
      <c r="I4870" t="s">
        <v>8822</v>
      </c>
      <c r="J4870" t="s">
        <v>34901</v>
      </c>
      <c r="K4870" t="s">
        <v>41326</v>
      </c>
      <c r="M4870" t="s">
        <v>43232</v>
      </c>
      <c r="N4870" t="s">
        <v>45095</v>
      </c>
      <c r="O4870" t="s">
        <v>45096</v>
      </c>
      <c r="P4870">
        <v>0</v>
      </c>
      <c r="Q4870">
        <v>2</v>
      </c>
      <c r="R4870" t="s">
        <v>45101</v>
      </c>
      <c r="S4870" t="s">
        <v>45231</v>
      </c>
      <c r="T4870" t="s">
        <v>47004</v>
      </c>
      <c r="U4870" t="s">
        <v>51559</v>
      </c>
      <c r="W4870" t="s">
        <v>43232</v>
      </c>
      <c r="X4870" t="s">
        <v>45102</v>
      </c>
    </row>
    <row r="4871" spans="1:24">
      <c r="A4871">
        <f>HYPERLINK("https://www.philgeps.gov.ph/GEPSNONPILOT/Tender/SplashBidNoticeAbstractUI.aspx?menuIndex=3&amp;refID=7043208&amp;Result=3","7043208")</f>
        <v>0</v>
      </c>
      <c r="B4871" t="s">
        <v>1626</v>
      </c>
      <c r="C4871" t="s">
        <v>7853</v>
      </c>
      <c r="D4871" t="s">
        <v>18040</v>
      </c>
      <c r="E4871" t="s">
        <v>22470</v>
      </c>
      <c r="F4871" t="s">
        <v>31574</v>
      </c>
      <c r="G4871" t="s">
        <v>31582</v>
      </c>
      <c r="H4871" t="s">
        <v>31591</v>
      </c>
      <c r="I4871" t="s">
        <v>8822</v>
      </c>
      <c r="J4871" t="s">
        <v>31727</v>
      </c>
      <c r="K4871" t="s">
        <v>41186</v>
      </c>
      <c r="M4871" t="s">
        <v>43233</v>
      </c>
      <c r="N4871" t="s">
        <v>45095</v>
      </c>
      <c r="O4871" t="s">
        <v>45096</v>
      </c>
      <c r="P4871">
        <v>0</v>
      </c>
      <c r="Q4871">
        <v>0</v>
      </c>
      <c r="R4871" t="s">
        <v>45101</v>
      </c>
      <c r="S4871" t="s">
        <v>45231</v>
      </c>
      <c r="T4871" t="s">
        <v>46918</v>
      </c>
      <c r="U4871" t="s">
        <v>51560</v>
      </c>
      <c r="W4871" t="s">
        <v>43233</v>
      </c>
      <c r="X4871" t="s">
        <v>45102</v>
      </c>
    </row>
    <row r="4872" spans="1:24">
      <c r="A4872">
        <f>HYPERLINK("https://www.philgeps.gov.ph/GEPSNONPILOT/Tender/SplashBidNoticeAbstractUI.aspx?menuIndex=3&amp;refID=7043231&amp;Result=3","7043231")</f>
        <v>0</v>
      </c>
      <c r="B4872" t="s">
        <v>923</v>
      </c>
      <c r="C4872" t="s">
        <v>7854</v>
      </c>
      <c r="D4872" t="s">
        <v>18022</v>
      </c>
      <c r="E4872" t="s">
        <v>22471</v>
      </c>
      <c r="F4872" t="s">
        <v>31574</v>
      </c>
      <c r="G4872" t="s">
        <v>31581</v>
      </c>
      <c r="H4872" t="s">
        <v>31590</v>
      </c>
      <c r="I4872" t="s">
        <v>3520</v>
      </c>
      <c r="J4872" t="s">
        <v>34902</v>
      </c>
      <c r="K4872" t="s">
        <v>41211</v>
      </c>
      <c r="M4872" t="s">
        <v>42450</v>
      </c>
      <c r="N4872" t="s">
        <v>45095</v>
      </c>
      <c r="O4872" t="s">
        <v>45096</v>
      </c>
      <c r="P4872">
        <v>0</v>
      </c>
      <c r="Q4872">
        <v>2</v>
      </c>
      <c r="R4872" t="s">
        <v>45101</v>
      </c>
      <c r="S4872" t="s">
        <v>45231</v>
      </c>
      <c r="T4872" t="s">
        <v>47154</v>
      </c>
      <c r="U4872" t="s">
        <v>51561</v>
      </c>
      <c r="W4872" t="s">
        <v>42450</v>
      </c>
      <c r="X4872" t="s">
        <v>45102</v>
      </c>
    </row>
    <row r="4873" spans="1:24">
      <c r="A4873">
        <f>HYPERLINK("https://www.philgeps.gov.ph/GEPSNONPILOT/Tender/SplashBidNoticeAbstractUI.aspx?menuIndex=3&amp;refID=7043229&amp;Result=3","7043229")</f>
        <v>0</v>
      </c>
      <c r="B4873" t="s">
        <v>1627</v>
      </c>
      <c r="C4873" t="s">
        <v>7855</v>
      </c>
      <c r="D4873" t="s">
        <v>18040</v>
      </c>
      <c r="E4873" t="s">
        <v>22472</v>
      </c>
      <c r="F4873" t="s">
        <v>31574</v>
      </c>
      <c r="G4873" t="s">
        <v>31582</v>
      </c>
      <c r="H4873" t="s">
        <v>31590</v>
      </c>
      <c r="I4873" t="s">
        <v>31640</v>
      </c>
      <c r="J4873" t="s">
        <v>34903</v>
      </c>
      <c r="K4873" t="s">
        <v>41213</v>
      </c>
      <c r="M4873" t="s">
        <v>43234</v>
      </c>
      <c r="N4873" t="s">
        <v>45095</v>
      </c>
      <c r="O4873" t="s">
        <v>45096</v>
      </c>
      <c r="P4873">
        <v>0</v>
      </c>
      <c r="Q4873">
        <v>0</v>
      </c>
      <c r="R4873" t="s">
        <v>45101</v>
      </c>
      <c r="S4873" t="s">
        <v>45231</v>
      </c>
      <c r="T4873" t="s">
        <v>46911</v>
      </c>
      <c r="U4873" t="s">
        <v>51562</v>
      </c>
      <c r="W4873" t="s">
        <v>43234</v>
      </c>
      <c r="X4873" t="s">
        <v>45102</v>
      </c>
    </row>
    <row r="4874" spans="1:24">
      <c r="A4874">
        <f>HYPERLINK("https://www.philgeps.gov.ph/GEPSNONPILOT/Tender/SplashBidNoticeAbstractUI.aspx?menuIndex=3&amp;refID=7043224&amp;Result=3","7043224")</f>
        <v>0</v>
      </c>
      <c r="B4874" t="s">
        <v>1628</v>
      </c>
      <c r="C4874" t="s">
        <v>7856</v>
      </c>
      <c r="D4874" t="s">
        <v>18079</v>
      </c>
      <c r="E4874" t="s">
        <v>21865</v>
      </c>
      <c r="F4874" t="s">
        <v>31574</v>
      </c>
      <c r="G4874" t="s">
        <v>31585</v>
      </c>
      <c r="H4874" t="s">
        <v>31590</v>
      </c>
      <c r="I4874" t="s">
        <v>7162</v>
      </c>
      <c r="J4874" t="s">
        <v>34904</v>
      </c>
      <c r="K4874" t="s">
        <v>41196</v>
      </c>
      <c r="M4874" t="s">
        <v>43235</v>
      </c>
      <c r="N4874" t="s">
        <v>45095</v>
      </c>
      <c r="O4874" t="s">
        <v>45096</v>
      </c>
      <c r="P4874">
        <v>0</v>
      </c>
      <c r="Q4874">
        <v>0</v>
      </c>
      <c r="R4874" t="s">
        <v>45101</v>
      </c>
      <c r="S4874" t="s">
        <v>45231</v>
      </c>
      <c r="T4874" t="s">
        <v>47058</v>
      </c>
      <c r="U4874" t="s">
        <v>51563</v>
      </c>
      <c r="W4874" t="s">
        <v>43235</v>
      </c>
      <c r="X4874" t="s">
        <v>45102</v>
      </c>
    </row>
    <row r="4875" spans="1:24">
      <c r="A4875">
        <f>HYPERLINK("https://www.philgeps.gov.ph/GEPSNONPILOT/Tender/SplashBidNoticeAbstractUI.aspx?menuIndex=3&amp;refID=7043228&amp;Result=3","7043228")</f>
        <v>0</v>
      </c>
      <c r="B4875" t="s">
        <v>1241</v>
      </c>
      <c r="C4875" t="s">
        <v>7857</v>
      </c>
      <c r="E4875" t="s">
        <v>22473</v>
      </c>
      <c r="F4875" t="s">
        <v>31574</v>
      </c>
      <c r="G4875" t="s">
        <v>31582</v>
      </c>
      <c r="H4875" t="s">
        <v>31590</v>
      </c>
      <c r="I4875" t="s">
        <v>31693</v>
      </c>
      <c r="J4875" t="s">
        <v>34905</v>
      </c>
      <c r="K4875" t="s">
        <v>41184</v>
      </c>
      <c r="M4875" t="s">
        <v>43236</v>
      </c>
      <c r="N4875" t="s">
        <v>45095</v>
      </c>
      <c r="O4875" t="s">
        <v>45096</v>
      </c>
      <c r="P4875">
        <v>0</v>
      </c>
      <c r="Q4875">
        <v>0</v>
      </c>
      <c r="R4875" t="s">
        <v>45101</v>
      </c>
      <c r="S4875" t="s">
        <v>45231</v>
      </c>
      <c r="T4875" t="s">
        <v>46946</v>
      </c>
      <c r="U4875" t="s">
        <v>51564</v>
      </c>
      <c r="W4875" t="s">
        <v>43236</v>
      </c>
      <c r="X4875" t="s">
        <v>45102</v>
      </c>
    </row>
    <row r="4876" spans="1:24">
      <c r="A4876">
        <f>HYPERLINK("https://www.philgeps.gov.ph/GEPSNONPILOT/Tender/SplashBidNoticeAbstractUI.aspx?menuIndex=3&amp;refID=7043219&amp;Result=3","7043219")</f>
        <v>0</v>
      </c>
      <c r="B4876" t="s">
        <v>1623</v>
      </c>
      <c r="C4876" t="s">
        <v>7858</v>
      </c>
      <c r="D4876" t="s">
        <v>18045</v>
      </c>
      <c r="E4876" t="s">
        <v>22474</v>
      </c>
      <c r="F4876" t="s">
        <v>31574</v>
      </c>
      <c r="G4876" t="s">
        <v>31581</v>
      </c>
      <c r="H4876" t="s">
        <v>31590</v>
      </c>
      <c r="I4876" t="s">
        <v>3489</v>
      </c>
      <c r="J4876" t="s">
        <v>34906</v>
      </c>
      <c r="K4876" t="s">
        <v>41186</v>
      </c>
      <c r="M4876" t="s">
        <v>43230</v>
      </c>
      <c r="N4876" t="s">
        <v>45095</v>
      </c>
      <c r="O4876" t="s">
        <v>45096</v>
      </c>
      <c r="P4876">
        <v>0</v>
      </c>
      <c r="Q4876">
        <v>0</v>
      </c>
      <c r="R4876" t="s">
        <v>45101</v>
      </c>
      <c r="S4876" t="s">
        <v>45231</v>
      </c>
      <c r="T4876" t="s">
        <v>47193</v>
      </c>
      <c r="U4876" t="s">
        <v>51565</v>
      </c>
      <c r="W4876" t="s">
        <v>43230</v>
      </c>
      <c r="X4876" t="s">
        <v>45102</v>
      </c>
    </row>
    <row r="4877" spans="1:24">
      <c r="A4877">
        <f>HYPERLINK("https://www.philgeps.gov.ph/GEPSNONPILOT/Tender/SplashBidNoticeAbstractUI.aspx?menuIndex=3&amp;refID=7043221&amp;Result=3","7043221")</f>
        <v>0</v>
      </c>
      <c r="B4877" t="s">
        <v>194</v>
      </c>
      <c r="C4877" t="s">
        <v>7859</v>
      </c>
      <c r="D4877" t="s">
        <v>18065</v>
      </c>
      <c r="E4877" t="s">
        <v>18741</v>
      </c>
      <c r="F4877" t="s">
        <v>31574</v>
      </c>
      <c r="G4877" t="s">
        <v>31582</v>
      </c>
      <c r="H4877" t="s">
        <v>31590</v>
      </c>
      <c r="I4877" t="s">
        <v>7162</v>
      </c>
      <c r="J4877" t="s">
        <v>34907</v>
      </c>
      <c r="K4877" t="s">
        <v>41184</v>
      </c>
      <c r="M4877" t="s">
        <v>41679</v>
      </c>
      <c r="N4877" t="s">
        <v>45095</v>
      </c>
      <c r="O4877" t="s">
        <v>45096</v>
      </c>
      <c r="P4877">
        <v>0</v>
      </c>
      <c r="Q4877">
        <v>1</v>
      </c>
      <c r="R4877" t="s">
        <v>45101</v>
      </c>
      <c r="S4877" t="s">
        <v>45231</v>
      </c>
      <c r="T4877" t="s">
        <v>47190</v>
      </c>
      <c r="U4877" t="s">
        <v>51566</v>
      </c>
      <c r="W4877" t="s">
        <v>41679</v>
      </c>
      <c r="X4877" t="s">
        <v>45102</v>
      </c>
    </row>
    <row r="4878" spans="1:24">
      <c r="A4878">
        <f>HYPERLINK("https://www.philgeps.gov.ph/GEPSNONPILOT/Tender/SplashBidNoticeAbstractUI.aspx?menuIndex=3&amp;refID=7043226&amp;Result=3","7043226")</f>
        <v>0</v>
      </c>
      <c r="B4878" t="s">
        <v>1296</v>
      </c>
      <c r="C4878" t="s">
        <v>7860</v>
      </c>
      <c r="E4878" t="s">
        <v>22475</v>
      </c>
      <c r="F4878" t="s">
        <v>31574</v>
      </c>
      <c r="G4878" t="s">
        <v>31581</v>
      </c>
      <c r="H4878" t="s">
        <v>31590</v>
      </c>
      <c r="I4878" t="s">
        <v>31622</v>
      </c>
      <c r="J4878" t="s">
        <v>31842</v>
      </c>
      <c r="K4878" t="s">
        <v>41184</v>
      </c>
      <c r="M4878" t="s">
        <v>42866</v>
      </c>
      <c r="N4878" t="s">
        <v>45095</v>
      </c>
      <c r="O4878" t="s">
        <v>45096</v>
      </c>
      <c r="P4878">
        <v>0</v>
      </c>
      <c r="Q4878">
        <v>0</v>
      </c>
      <c r="R4878" t="s">
        <v>45101</v>
      </c>
      <c r="S4878" t="s">
        <v>45231</v>
      </c>
      <c r="T4878" t="s">
        <v>46985</v>
      </c>
      <c r="U4878" t="s">
        <v>50607</v>
      </c>
      <c r="W4878" t="s">
        <v>42866</v>
      </c>
      <c r="X4878" t="s">
        <v>45102</v>
      </c>
    </row>
    <row r="4879" spans="1:24">
      <c r="A4879">
        <f>HYPERLINK("https://www.philgeps.gov.ph/GEPSNONPILOT/Tender/SplashBidNoticeAbstractUI.aspx?menuIndex=3&amp;refID=7043220&amp;Result=3","7043220")</f>
        <v>0</v>
      </c>
      <c r="B4879" t="s">
        <v>1623</v>
      </c>
      <c r="C4879" t="s">
        <v>7861</v>
      </c>
      <c r="D4879" t="s">
        <v>18045</v>
      </c>
      <c r="E4879" t="s">
        <v>22476</v>
      </c>
      <c r="F4879" t="s">
        <v>31574</v>
      </c>
      <c r="G4879" t="s">
        <v>31581</v>
      </c>
      <c r="H4879" t="s">
        <v>31590</v>
      </c>
      <c r="I4879" t="s">
        <v>6800</v>
      </c>
      <c r="J4879" t="s">
        <v>34908</v>
      </c>
      <c r="K4879" t="s">
        <v>41186</v>
      </c>
      <c r="M4879" t="s">
        <v>43230</v>
      </c>
      <c r="N4879" t="s">
        <v>45095</v>
      </c>
      <c r="O4879" t="s">
        <v>45096</v>
      </c>
      <c r="P4879">
        <v>0</v>
      </c>
      <c r="Q4879">
        <v>2</v>
      </c>
      <c r="R4879" t="s">
        <v>45101</v>
      </c>
      <c r="S4879" t="s">
        <v>45231</v>
      </c>
      <c r="T4879" t="s">
        <v>47193</v>
      </c>
      <c r="U4879" t="s">
        <v>51567</v>
      </c>
      <c r="W4879" t="s">
        <v>43230</v>
      </c>
      <c r="X4879" t="s">
        <v>45102</v>
      </c>
    </row>
    <row r="4880" spans="1:24">
      <c r="A4880">
        <f>HYPERLINK("https://www.philgeps.gov.ph/GEPSNONPILOT/Tender/SplashBidNoticeAbstractUI.aspx?menuIndex=3&amp;refID=7043223&amp;Result=3","7043223")</f>
        <v>0</v>
      </c>
      <c r="B4880" t="s">
        <v>1629</v>
      </c>
      <c r="C4880" t="s">
        <v>7862</v>
      </c>
      <c r="D4880" t="s">
        <v>18040</v>
      </c>
      <c r="E4880" t="s">
        <v>22477</v>
      </c>
      <c r="F4880" t="s">
        <v>31574</v>
      </c>
      <c r="G4880" t="s">
        <v>31582</v>
      </c>
      <c r="H4880" t="s">
        <v>31590</v>
      </c>
      <c r="I4880" t="s">
        <v>4046</v>
      </c>
      <c r="J4880" t="s">
        <v>31782</v>
      </c>
      <c r="K4880" t="s">
        <v>41191</v>
      </c>
      <c r="M4880" t="s">
        <v>43237</v>
      </c>
      <c r="N4880" t="s">
        <v>45095</v>
      </c>
      <c r="O4880" t="s">
        <v>45096</v>
      </c>
      <c r="P4880">
        <v>0</v>
      </c>
      <c r="Q4880">
        <v>0</v>
      </c>
      <c r="R4880" t="s">
        <v>45101</v>
      </c>
      <c r="S4880" t="s">
        <v>45231</v>
      </c>
      <c r="T4880" t="s">
        <v>46913</v>
      </c>
      <c r="U4880" t="s">
        <v>51568</v>
      </c>
      <c r="W4880" t="s">
        <v>43237</v>
      </c>
      <c r="X4880" t="s">
        <v>45102</v>
      </c>
    </row>
    <row r="4881" spans="1:24">
      <c r="A4881">
        <f>HYPERLINK("https://www.philgeps.gov.ph/GEPSNONPILOT/Tender/SplashBidNoticeAbstractUI.aspx?menuIndex=3&amp;refID=7043235&amp;Result=3","7043235")</f>
        <v>0</v>
      </c>
      <c r="B4881" t="s">
        <v>1630</v>
      </c>
      <c r="C4881" t="s">
        <v>7863</v>
      </c>
      <c r="D4881" t="s">
        <v>18022</v>
      </c>
      <c r="E4881" t="s">
        <v>20000</v>
      </c>
      <c r="F4881" t="s">
        <v>31574</v>
      </c>
      <c r="G4881" t="s">
        <v>31581</v>
      </c>
      <c r="H4881" t="s">
        <v>31592</v>
      </c>
      <c r="I4881" t="s">
        <v>31640</v>
      </c>
      <c r="J4881" t="s">
        <v>33555</v>
      </c>
      <c r="K4881" t="s">
        <v>41193</v>
      </c>
      <c r="M4881" t="s">
        <v>43238</v>
      </c>
      <c r="N4881" t="s">
        <v>45095</v>
      </c>
      <c r="O4881" t="s">
        <v>45096</v>
      </c>
      <c r="P4881">
        <v>0</v>
      </c>
      <c r="Q4881">
        <v>8</v>
      </c>
      <c r="R4881" t="s">
        <v>45101</v>
      </c>
      <c r="S4881" t="s">
        <v>45231</v>
      </c>
      <c r="T4881" t="s">
        <v>47164</v>
      </c>
      <c r="U4881" t="s">
        <v>51569</v>
      </c>
      <c r="V4881" t="s">
        <v>60370</v>
      </c>
      <c r="W4881" t="s">
        <v>43238</v>
      </c>
      <c r="X4881" t="s">
        <v>45102</v>
      </c>
    </row>
    <row r="4882" spans="1:24">
      <c r="A4882">
        <f>HYPERLINK("https://www.philgeps.gov.ph/GEPSNONPILOT/Tender/SplashBidNoticeAbstractUI.aspx?menuIndex=3&amp;refID=7043241&amp;Result=3","7043241")</f>
        <v>0</v>
      </c>
      <c r="B4882" t="s">
        <v>691</v>
      </c>
      <c r="C4882" t="s">
        <v>7864</v>
      </c>
      <c r="D4882" t="s">
        <v>18043</v>
      </c>
      <c r="E4882" t="s">
        <v>22478</v>
      </c>
      <c r="F4882" t="s">
        <v>31574</v>
      </c>
      <c r="G4882" t="s">
        <v>31582</v>
      </c>
      <c r="H4882" t="s">
        <v>31590</v>
      </c>
      <c r="I4882" t="s">
        <v>5717</v>
      </c>
      <c r="J4882" t="s">
        <v>34909</v>
      </c>
      <c r="K4882" t="s">
        <v>41186</v>
      </c>
      <c r="M4882" t="s">
        <v>42198</v>
      </c>
      <c r="N4882" t="s">
        <v>45095</v>
      </c>
      <c r="O4882" t="s">
        <v>45096</v>
      </c>
      <c r="P4882">
        <v>0</v>
      </c>
      <c r="Q4882">
        <v>4</v>
      </c>
      <c r="R4882" t="s">
        <v>45101</v>
      </c>
      <c r="S4882" t="s">
        <v>45231</v>
      </c>
      <c r="T4882" t="s">
        <v>46911</v>
      </c>
      <c r="U4882" t="s">
        <v>51570</v>
      </c>
      <c r="W4882" t="s">
        <v>42198</v>
      </c>
      <c r="X4882" t="s">
        <v>45102</v>
      </c>
    </row>
    <row r="4883" spans="1:24">
      <c r="A4883">
        <f>HYPERLINK("https://www.philgeps.gov.ph/GEPSNONPILOT/Tender/SplashBidNoticeAbstractUI.aspx?menuIndex=3&amp;refID=7043225&amp;Result=3","7043225")</f>
        <v>0</v>
      </c>
      <c r="B4883" t="s">
        <v>1625</v>
      </c>
      <c r="C4883" t="s">
        <v>7865</v>
      </c>
      <c r="D4883" t="s">
        <v>18052</v>
      </c>
      <c r="E4883" t="s">
        <v>22479</v>
      </c>
      <c r="F4883" t="s">
        <v>31574</v>
      </c>
      <c r="G4883" t="s">
        <v>31582</v>
      </c>
      <c r="H4883" t="s">
        <v>31591</v>
      </c>
      <c r="I4883" t="s">
        <v>8822</v>
      </c>
      <c r="J4883" t="s">
        <v>34910</v>
      </c>
      <c r="K4883" t="s">
        <v>41326</v>
      </c>
      <c r="M4883" t="s">
        <v>43232</v>
      </c>
      <c r="N4883" t="s">
        <v>45095</v>
      </c>
      <c r="O4883" t="s">
        <v>45096</v>
      </c>
      <c r="P4883">
        <v>0</v>
      </c>
      <c r="Q4883">
        <v>2</v>
      </c>
      <c r="R4883" t="s">
        <v>45101</v>
      </c>
      <c r="S4883" t="s">
        <v>45231</v>
      </c>
      <c r="T4883" t="s">
        <v>47004</v>
      </c>
      <c r="U4883" t="s">
        <v>51571</v>
      </c>
      <c r="W4883" t="s">
        <v>43232</v>
      </c>
      <c r="X4883" t="s">
        <v>45102</v>
      </c>
    </row>
    <row r="4884" spans="1:24">
      <c r="A4884">
        <f>HYPERLINK("https://www.philgeps.gov.ph/GEPSNONPILOT/Tender/SplashBidNoticeAbstractUI.aspx?menuIndex=3&amp;refID=7043232&amp;Result=3","7043232")</f>
        <v>0</v>
      </c>
      <c r="B4884" t="s">
        <v>1631</v>
      </c>
      <c r="C4884" t="s">
        <v>6624</v>
      </c>
      <c r="D4884" t="s">
        <v>18022</v>
      </c>
      <c r="E4884" t="s">
        <v>22480</v>
      </c>
      <c r="F4884" t="s">
        <v>31574</v>
      </c>
      <c r="G4884" t="s">
        <v>31582</v>
      </c>
      <c r="H4884" t="s">
        <v>31590</v>
      </c>
      <c r="I4884" t="s">
        <v>3487</v>
      </c>
      <c r="J4884" t="s">
        <v>34911</v>
      </c>
      <c r="K4884" t="s">
        <v>41190</v>
      </c>
      <c r="M4884" t="s">
        <v>43239</v>
      </c>
      <c r="N4884" t="s">
        <v>45095</v>
      </c>
      <c r="O4884" t="s">
        <v>45096</v>
      </c>
      <c r="P4884">
        <v>0</v>
      </c>
      <c r="Q4884">
        <v>0</v>
      </c>
      <c r="R4884" t="s">
        <v>45101</v>
      </c>
      <c r="S4884" t="s">
        <v>45231</v>
      </c>
      <c r="T4884" t="s">
        <v>46913</v>
      </c>
      <c r="U4884" t="s">
        <v>51572</v>
      </c>
      <c r="W4884" t="s">
        <v>43239</v>
      </c>
      <c r="X4884" t="s">
        <v>45102</v>
      </c>
    </row>
    <row r="4885" spans="1:24">
      <c r="A4885">
        <f>HYPERLINK("https://www.philgeps.gov.ph/GEPSNONPILOT/Tender/SplashBidNoticeAbstractUI.aspx?menuIndex=3&amp;refID=7043239&amp;Result=3","7043239")</f>
        <v>0</v>
      </c>
      <c r="B4885" t="s">
        <v>194</v>
      </c>
      <c r="C4885" t="s">
        <v>7866</v>
      </c>
      <c r="D4885" t="s">
        <v>18065</v>
      </c>
      <c r="E4885" t="s">
        <v>19618</v>
      </c>
      <c r="F4885" t="s">
        <v>31574</v>
      </c>
      <c r="G4885" t="s">
        <v>31582</v>
      </c>
      <c r="H4885" t="s">
        <v>31590</v>
      </c>
      <c r="I4885" t="s">
        <v>7162</v>
      </c>
      <c r="J4885" t="s">
        <v>34912</v>
      </c>
      <c r="K4885" t="s">
        <v>41184</v>
      </c>
      <c r="M4885" t="s">
        <v>41679</v>
      </c>
      <c r="N4885" t="s">
        <v>45095</v>
      </c>
      <c r="O4885" t="s">
        <v>45096</v>
      </c>
      <c r="P4885">
        <v>0</v>
      </c>
      <c r="Q4885">
        <v>1</v>
      </c>
      <c r="R4885" t="s">
        <v>45101</v>
      </c>
      <c r="S4885" t="s">
        <v>45231</v>
      </c>
      <c r="T4885" t="s">
        <v>47190</v>
      </c>
      <c r="U4885" t="s">
        <v>51566</v>
      </c>
      <c r="W4885" t="s">
        <v>41679</v>
      </c>
      <c r="X4885" t="s">
        <v>45102</v>
      </c>
    </row>
    <row r="4886" spans="1:24">
      <c r="A4886">
        <f>HYPERLINK("https://www.philgeps.gov.ph/GEPSNONPILOT/Tender/SplashBidNoticeAbstractUI.aspx?menuIndex=3&amp;refID=7043233&amp;Result=3","7043233")</f>
        <v>0</v>
      </c>
      <c r="B4886" t="s">
        <v>194</v>
      </c>
      <c r="C4886" t="s">
        <v>7867</v>
      </c>
      <c r="D4886" t="s">
        <v>18065</v>
      </c>
      <c r="E4886" t="s">
        <v>18815</v>
      </c>
      <c r="F4886" t="s">
        <v>31574</v>
      </c>
      <c r="G4886" t="s">
        <v>31582</v>
      </c>
      <c r="H4886" t="s">
        <v>31590</v>
      </c>
      <c r="I4886" t="s">
        <v>7162</v>
      </c>
      <c r="J4886" t="s">
        <v>34913</v>
      </c>
      <c r="K4886" t="s">
        <v>41184</v>
      </c>
      <c r="M4886" t="s">
        <v>41679</v>
      </c>
      <c r="N4886" t="s">
        <v>45095</v>
      </c>
      <c r="O4886" t="s">
        <v>45096</v>
      </c>
      <c r="P4886">
        <v>0</v>
      </c>
      <c r="Q4886">
        <v>1</v>
      </c>
      <c r="R4886" t="s">
        <v>45101</v>
      </c>
      <c r="S4886" t="s">
        <v>45231</v>
      </c>
      <c r="T4886" t="s">
        <v>47190</v>
      </c>
      <c r="U4886" t="s">
        <v>51566</v>
      </c>
      <c r="W4886" t="s">
        <v>41679</v>
      </c>
      <c r="X4886" t="s">
        <v>45102</v>
      </c>
    </row>
    <row r="4887" spans="1:24">
      <c r="A4887">
        <f>HYPERLINK("https://www.philgeps.gov.ph/GEPSNONPILOT/Tender/SplashBidNoticeAbstractUI.aspx?menuIndex=3&amp;refID=7043257&amp;Result=3","7043257")</f>
        <v>0</v>
      </c>
      <c r="B4887" t="s">
        <v>224</v>
      </c>
      <c r="C4887" t="s">
        <v>7868</v>
      </c>
      <c r="D4887" t="s">
        <v>18040</v>
      </c>
      <c r="E4887" t="s">
        <v>22481</v>
      </c>
      <c r="F4887" t="s">
        <v>31574</v>
      </c>
      <c r="G4887" t="s">
        <v>31582</v>
      </c>
      <c r="H4887" t="s">
        <v>31590</v>
      </c>
      <c r="I4887" t="s">
        <v>31636</v>
      </c>
      <c r="J4887" t="s">
        <v>32101</v>
      </c>
      <c r="K4887" t="s">
        <v>41196</v>
      </c>
      <c r="M4887" t="s">
        <v>41709</v>
      </c>
      <c r="N4887" t="s">
        <v>45095</v>
      </c>
      <c r="O4887" t="s">
        <v>45096</v>
      </c>
      <c r="P4887">
        <v>0</v>
      </c>
      <c r="Q4887">
        <v>3</v>
      </c>
      <c r="R4887" t="s">
        <v>45101</v>
      </c>
      <c r="S4887" t="s">
        <v>45231</v>
      </c>
      <c r="T4887" t="s">
        <v>47100</v>
      </c>
      <c r="U4887" t="s">
        <v>51573</v>
      </c>
      <c r="W4887" t="s">
        <v>41709</v>
      </c>
      <c r="X4887" t="s">
        <v>45102</v>
      </c>
    </row>
    <row r="4888" spans="1:24">
      <c r="A4888">
        <f>HYPERLINK("https://www.philgeps.gov.ph/GEPSNONPILOT/Tender/SplashBidNoticeAbstractUI.aspx?menuIndex=3&amp;refID=7043240&amp;Result=3","7043240")</f>
        <v>0</v>
      </c>
      <c r="B4888" t="s">
        <v>1632</v>
      </c>
      <c r="C4888" t="s">
        <v>7869</v>
      </c>
      <c r="D4888" t="s">
        <v>18022</v>
      </c>
      <c r="E4888" t="s">
        <v>22482</v>
      </c>
      <c r="F4888" t="s">
        <v>31574</v>
      </c>
      <c r="G4888" t="s">
        <v>31582</v>
      </c>
      <c r="H4888" t="s">
        <v>31590</v>
      </c>
      <c r="I4888" t="s">
        <v>31594</v>
      </c>
      <c r="J4888" t="s">
        <v>32510</v>
      </c>
      <c r="K4888" t="s">
        <v>41192</v>
      </c>
      <c r="M4888" t="s">
        <v>43240</v>
      </c>
      <c r="N4888" t="s">
        <v>45095</v>
      </c>
      <c r="O4888" t="s">
        <v>45096</v>
      </c>
      <c r="P4888">
        <v>0</v>
      </c>
      <c r="Q4888">
        <v>6</v>
      </c>
      <c r="R4888" t="s">
        <v>45101</v>
      </c>
      <c r="S4888" t="s">
        <v>45231</v>
      </c>
      <c r="T4888" t="s">
        <v>46915</v>
      </c>
      <c r="U4888" t="s">
        <v>51574</v>
      </c>
      <c r="W4888" t="s">
        <v>43240</v>
      </c>
      <c r="X4888" t="s">
        <v>45102</v>
      </c>
    </row>
    <row r="4889" spans="1:24">
      <c r="A4889">
        <f>HYPERLINK("https://www.philgeps.gov.ph/GEPSNONPILOT/Tender/SplashBidNoticeAbstractUI.aspx?menuIndex=3&amp;refID=7043259&amp;Result=3","7043259")</f>
        <v>0</v>
      </c>
      <c r="B4889" t="s">
        <v>1633</v>
      </c>
      <c r="C4889" t="s">
        <v>7870</v>
      </c>
      <c r="D4889" t="s">
        <v>18037</v>
      </c>
      <c r="E4889" t="s">
        <v>22483</v>
      </c>
      <c r="F4889" t="s">
        <v>31574</v>
      </c>
      <c r="G4889" t="s">
        <v>31581</v>
      </c>
      <c r="H4889" t="s">
        <v>31590</v>
      </c>
      <c r="I4889" t="s">
        <v>31667</v>
      </c>
      <c r="J4889" t="s">
        <v>34914</v>
      </c>
      <c r="K4889" t="s">
        <v>41190</v>
      </c>
      <c r="M4889" t="s">
        <v>43241</v>
      </c>
      <c r="N4889" t="s">
        <v>45095</v>
      </c>
      <c r="O4889" t="s">
        <v>45096</v>
      </c>
      <c r="P4889">
        <v>0</v>
      </c>
      <c r="Q4889">
        <v>2</v>
      </c>
      <c r="R4889" t="s">
        <v>45101</v>
      </c>
      <c r="S4889" t="s">
        <v>45231</v>
      </c>
      <c r="T4889" t="s">
        <v>47125</v>
      </c>
      <c r="U4889" t="s">
        <v>51575</v>
      </c>
      <c r="W4889" t="s">
        <v>43241</v>
      </c>
      <c r="X4889" t="s">
        <v>45102</v>
      </c>
    </row>
    <row r="4890" spans="1:24">
      <c r="A4890">
        <f>HYPERLINK("https://www.philgeps.gov.ph/GEPSNONPILOT/Tender/SplashBidNoticeAbstractUI.aspx?menuIndex=3&amp;refID=7043254&amp;Result=3","7043254")</f>
        <v>0</v>
      </c>
      <c r="B4890" t="s">
        <v>1633</v>
      </c>
      <c r="C4890" t="s">
        <v>7871</v>
      </c>
      <c r="D4890" t="s">
        <v>18037</v>
      </c>
      <c r="E4890" t="s">
        <v>22484</v>
      </c>
      <c r="F4890" t="s">
        <v>31574</v>
      </c>
      <c r="G4890" t="s">
        <v>31581</v>
      </c>
      <c r="H4890" t="s">
        <v>31590</v>
      </c>
      <c r="I4890" t="s">
        <v>31667</v>
      </c>
      <c r="J4890" t="s">
        <v>34914</v>
      </c>
      <c r="K4890" t="s">
        <v>41190</v>
      </c>
      <c r="M4890" t="s">
        <v>43241</v>
      </c>
      <c r="N4890" t="s">
        <v>45095</v>
      </c>
      <c r="O4890" t="s">
        <v>45096</v>
      </c>
      <c r="P4890">
        <v>0</v>
      </c>
      <c r="Q4890">
        <v>2</v>
      </c>
      <c r="R4890" t="s">
        <v>45101</v>
      </c>
      <c r="S4890" t="s">
        <v>45231</v>
      </c>
      <c r="T4890" t="s">
        <v>47125</v>
      </c>
      <c r="U4890" t="s">
        <v>51575</v>
      </c>
      <c r="W4890" t="s">
        <v>43241</v>
      </c>
      <c r="X4890" t="s">
        <v>45102</v>
      </c>
    </row>
    <row r="4891" spans="1:24">
      <c r="A4891">
        <f>HYPERLINK("https://www.philgeps.gov.ph/GEPSNONPILOT/Tender/SplashBidNoticeAbstractUI.aspx?menuIndex=3&amp;refID=7043252&amp;Result=3","7043252")</f>
        <v>0</v>
      </c>
      <c r="B4891" t="s">
        <v>1631</v>
      </c>
      <c r="C4891" t="s">
        <v>6624</v>
      </c>
      <c r="D4891" t="s">
        <v>18022</v>
      </c>
      <c r="E4891" t="s">
        <v>22485</v>
      </c>
      <c r="F4891" t="s">
        <v>31574</v>
      </c>
      <c r="G4891" t="s">
        <v>31582</v>
      </c>
      <c r="H4891" t="s">
        <v>31590</v>
      </c>
      <c r="I4891" t="s">
        <v>3487</v>
      </c>
      <c r="J4891" t="s">
        <v>34915</v>
      </c>
      <c r="K4891" t="s">
        <v>41190</v>
      </c>
      <c r="M4891" t="s">
        <v>43239</v>
      </c>
      <c r="N4891" t="s">
        <v>45095</v>
      </c>
      <c r="O4891" t="s">
        <v>45096</v>
      </c>
      <c r="P4891">
        <v>0</v>
      </c>
      <c r="Q4891">
        <v>0</v>
      </c>
      <c r="R4891" t="s">
        <v>45101</v>
      </c>
      <c r="S4891" t="s">
        <v>45231</v>
      </c>
      <c r="T4891" t="s">
        <v>46949</v>
      </c>
      <c r="U4891" t="s">
        <v>51576</v>
      </c>
      <c r="W4891" t="s">
        <v>43239</v>
      </c>
      <c r="X4891" t="s">
        <v>45102</v>
      </c>
    </row>
    <row r="4892" spans="1:24">
      <c r="A4892">
        <f>HYPERLINK("https://www.philgeps.gov.ph/GEPSNONPILOT/Tender/SplashBidNoticeAbstractUI.aspx?menuIndex=3&amp;refID=7043250&amp;Result=3","7043250")</f>
        <v>0</v>
      </c>
      <c r="B4892" t="s">
        <v>691</v>
      </c>
      <c r="C4892" t="s">
        <v>7872</v>
      </c>
      <c r="D4892" t="s">
        <v>18043</v>
      </c>
      <c r="E4892" t="s">
        <v>22486</v>
      </c>
      <c r="F4892" t="s">
        <v>31574</v>
      </c>
      <c r="G4892" t="s">
        <v>31584</v>
      </c>
      <c r="H4892" t="s">
        <v>31590</v>
      </c>
      <c r="I4892" t="s">
        <v>14544</v>
      </c>
      <c r="J4892" t="s">
        <v>34916</v>
      </c>
      <c r="K4892" t="s">
        <v>41186</v>
      </c>
      <c r="M4892" t="s">
        <v>42198</v>
      </c>
      <c r="N4892" t="s">
        <v>45095</v>
      </c>
      <c r="O4892" t="s">
        <v>45096</v>
      </c>
      <c r="P4892">
        <v>0</v>
      </c>
      <c r="Q4892">
        <v>0</v>
      </c>
      <c r="R4892" t="s">
        <v>45101</v>
      </c>
      <c r="S4892" t="s">
        <v>45231</v>
      </c>
      <c r="T4892" t="s">
        <v>46973</v>
      </c>
      <c r="U4892" t="s">
        <v>51577</v>
      </c>
      <c r="W4892" t="s">
        <v>42198</v>
      </c>
      <c r="X4892" t="s">
        <v>45102</v>
      </c>
    </row>
    <row r="4893" spans="1:24">
      <c r="A4893">
        <f>HYPERLINK("https://www.philgeps.gov.ph/GEPSNONPILOT/Tender/SplashBidNoticeAbstractUI.aspx?menuIndex=3&amp;refID=7043260&amp;Result=3","7043260")</f>
        <v>0</v>
      </c>
      <c r="B4893" t="s">
        <v>224</v>
      </c>
      <c r="C4893" t="s">
        <v>7873</v>
      </c>
      <c r="D4893" t="s">
        <v>18040</v>
      </c>
      <c r="E4893" t="s">
        <v>22487</v>
      </c>
      <c r="F4893" t="s">
        <v>31574</v>
      </c>
      <c r="G4893" t="s">
        <v>31582</v>
      </c>
      <c r="H4893" t="s">
        <v>31590</v>
      </c>
      <c r="I4893" t="s">
        <v>31612</v>
      </c>
      <c r="J4893" t="s">
        <v>34917</v>
      </c>
      <c r="K4893" t="s">
        <v>41196</v>
      </c>
      <c r="M4893" t="s">
        <v>41709</v>
      </c>
      <c r="N4893" t="s">
        <v>45095</v>
      </c>
      <c r="O4893" t="s">
        <v>45096</v>
      </c>
      <c r="P4893">
        <v>0</v>
      </c>
      <c r="Q4893">
        <v>5</v>
      </c>
      <c r="R4893" t="s">
        <v>45101</v>
      </c>
      <c r="S4893" t="s">
        <v>45231</v>
      </c>
      <c r="T4893" t="s">
        <v>47100</v>
      </c>
      <c r="U4893" t="s">
        <v>51578</v>
      </c>
      <c r="W4893" t="s">
        <v>41709</v>
      </c>
      <c r="X4893" t="s">
        <v>45102</v>
      </c>
    </row>
    <row r="4894" spans="1:24">
      <c r="A4894">
        <f>HYPERLINK("https://www.philgeps.gov.ph/GEPSNONPILOT/Tender/SplashBidNoticeAbstractUI.aspx?menuIndex=3&amp;refID=7043244&amp;Result=3","7043244")</f>
        <v>0</v>
      </c>
      <c r="B4894" t="s">
        <v>691</v>
      </c>
      <c r="C4894" t="s">
        <v>7874</v>
      </c>
      <c r="D4894" t="s">
        <v>18043</v>
      </c>
      <c r="E4894" t="s">
        <v>22488</v>
      </c>
      <c r="F4894" t="s">
        <v>31574</v>
      </c>
      <c r="G4894" t="s">
        <v>31581</v>
      </c>
      <c r="H4894" t="s">
        <v>31590</v>
      </c>
      <c r="I4894" t="s">
        <v>4046</v>
      </c>
      <c r="J4894" t="s">
        <v>34918</v>
      </c>
      <c r="K4894" t="s">
        <v>41186</v>
      </c>
      <c r="M4894" t="s">
        <v>42198</v>
      </c>
      <c r="N4894" t="s">
        <v>45095</v>
      </c>
      <c r="O4894" t="s">
        <v>45096</v>
      </c>
      <c r="P4894">
        <v>0</v>
      </c>
      <c r="Q4894">
        <v>0</v>
      </c>
      <c r="R4894" t="s">
        <v>45101</v>
      </c>
      <c r="S4894" t="s">
        <v>45231</v>
      </c>
      <c r="T4894" t="s">
        <v>46973</v>
      </c>
      <c r="U4894" t="s">
        <v>48930</v>
      </c>
      <c r="W4894" t="s">
        <v>42198</v>
      </c>
      <c r="X4894" t="s">
        <v>45102</v>
      </c>
    </row>
    <row r="4895" spans="1:24">
      <c r="A4895">
        <f>HYPERLINK("https://www.philgeps.gov.ph/GEPSNONPILOT/Tender/SplashBidNoticeAbstractUI.aspx?menuIndex=3&amp;refID=7043258&amp;Result=3","7043258")</f>
        <v>0</v>
      </c>
      <c r="B4895" t="s">
        <v>1634</v>
      </c>
      <c r="C4895" t="s">
        <v>7875</v>
      </c>
      <c r="D4895" t="s">
        <v>18064</v>
      </c>
      <c r="E4895" t="s">
        <v>22489</v>
      </c>
      <c r="F4895" t="s">
        <v>31574</v>
      </c>
      <c r="G4895" t="s">
        <v>31582</v>
      </c>
      <c r="H4895" t="s">
        <v>31591</v>
      </c>
      <c r="I4895" t="s">
        <v>8822</v>
      </c>
      <c r="J4895" t="s">
        <v>32258</v>
      </c>
      <c r="K4895" t="s">
        <v>41193</v>
      </c>
      <c r="M4895" t="s">
        <v>43242</v>
      </c>
      <c r="N4895" t="s">
        <v>45095</v>
      </c>
      <c r="O4895" t="s">
        <v>45096</v>
      </c>
      <c r="P4895">
        <v>0</v>
      </c>
      <c r="Q4895">
        <v>0</v>
      </c>
      <c r="R4895" t="s">
        <v>45101</v>
      </c>
      <c r="S4895" t="s">
        <v>45231</v>
      </c>
      <c r="T4895" t="s">
        <v>46918</v>
      </c>
      <c r="U4895" t="s">
        <v>51579</v>
      </c>
      <c r="W4895" t="s">
        <v>43242</v>
      </c>
      <c r="X4895" t="s">
        <v>45102</v>
      </c>
    </row>
    <row r="4896" spans="1:24">
      <c r="A4896">
        <f>HYPERLINK("https://www.philgeps.gov.ph/GEPSNONPILOT/Tender/SplashBidNoticeAbstractUI.aspx?menuIndex=3&amp;refID=7043247&amp;Result=3","7043247")</f>
        <v>0</v>
      </c>
      <c r="B4896" t="s">
        <v>1564</v>
      </c>
      <c r="C4896" t="s">
        <v>7876</v>
      </c>
      <c r="D4896" t="s">
        <v>18022</v>
      </c>
      <c r="E4896" t="s">
        <v>22490</v>
      </c>
      <c r="F4896" t="s">
        <v>31574</v>
      </c>
      <c r="G4896" t="s">
        <v>31581</v>
      </c>
      <c r="H4896" t="s">
        <v>31590</v>
      </c>
      <c r="I4896" t="s">
        <v>31595</v>
      </c>
      <c r="J4896" t="s">
        <v>32258</v>
      </c>
      <c r="K4896" t="s">
        <v>41185</v>
      </c>
      <c r="M4896" t="s">
        <v>43163</v>
      </c>
      <c r="N4896" t="s">
        <v>45095</v>
      </c>
      <c r="O4896" t="s">
        <v>45096</v>
      </c>
      <c r="P4896">
        <v>0</v>
      </c>
      <c r="Q4896">
        <v>4</v>
      </c>
      <c r="R4896" t="s">
        <v>45101</v>
      </c>
      <c r="S4896" t="s">
        <v>45231</v>
      </c>
      <c r="T4896" t="s">
        <v>47064</v>
      </c>
      <c r="U4896" t="s">
        <v>51580</v>
      </c>
      <c r="V4896" t="s">
        <v>60346</v>
      </c>
      <c r="W4896" t="s">
        <v>43163</v>
      </c>
      <c r="X4896" t="s">
        <v>45102</v>
      </c>
    </row>
    <row r="4897" spans="1:24">
      <c r="A4897">
        <f>HYPERLINK("https://www.philgeps.gov.ph/GEPSNONPILOT/Tender/SplashBidNoticeAbstractUI.aspx?menuIndex=3&amp;refID=7043262&amp;Result=3","7043262")</f>
        <v>0</v>
      </c>
      <c r="B4897" t="s">
        <v>224</v>
      </c>
      <c r="C4897" t="s">
        <v>7877</v>
      </c>
      <c r="D4897" t="s">
        <v>18040</v>
      </c>
      <c r="E4897" t="s">
        <v>22491</v>
      </c>
      <c r="F4897" t="s">
        <v>31574</v>
      </c>
      <c r="G4897" t="s">
        <v>31582</v>
      </c>
      <c r="H4897" t="s">
        <v>31590</v>
      </c>
      <c r="I4897" t="s">
        <v>31608</v>
      </c>
      <c r="J4897" t="s">
        <v>31730</v>
      </c>
      <c r="K4897" t="s">
        <v>41196</v>
      </c>
      <c r="M4897" t="s">
        <v>41709</v>
      </c>
      <c r="N4897" t="s">
        <v>45095</v>
      </c>
      <c r="O4897" t="s">
        <v>45096</v>
      </c>
      <c r="P4897">
        <v>0</v>
      </c>
      <c r="Q4897">
        <v>1</v>
      </c>
      <c r="R4897" t="s">
        <v>45101</v>
      </c>
      <c r="S4897" t="s">
        <v>45231</v>
      </c>
      <c r="T4897" t="s">
        <v>47100</v>
      </c>
      <c r="U4897" t="s">
        <v>51581</v>
      </c>
      <c r="V4897" t="s">
        <v>60371</v>
      </c>
      <c r="W4897" t="s">
        <v>41709</v>
      </c>
      <c r="X4897" t="s">
        <v>45102</v>
      </c>
    </row>
    <row r="4898" spans="1:24">
      <c r="A4898">
        <f>HYPERLINK("https://www.philgeps.gov.ph/GEPSNONPILOT/Tender/SplashBidNoticeAbstractUI.aspx?menuIndex=3&amp;refID=7043243&amp;Result=3","7043243")</f>
        <v>0</v>
      </c>
      <c r="B4898" t="s">
        <v>1635</v>
      </c>
      <c r="C4898" t="s">
        <v>7878</v>
      </c>
      <c r="D4898" t="s">
        <v>18027</v>
      </c>
      <c r="E4898" t="s">
        <v>22492</v>
      </c>
      <c r="F4898" t="s">
        <v>31574</v>
      </c>
      <c r="G4898" t="s">
        <v>31581</v>
      </c>
      <c r="H4898" t="s">
        <v>31590</v>
      </c>
      <c r="I4898" t="s">
        <v>31603</v>
      </c>
      <c r="J4898" t="s">
        <v>34919</v>
      </c>
      <c r="K4898" t="s">
        <v>41193</v>
      </c>
      <c r="M4898" t="s">
        <v>43243</v>
      </c>
      <c r="N4898" t="s">
        <v>45095</v>
      </c>
      <c r="O4898" t="s">
        <v>45096</v>
      </c>
      <c r="P4898">
        <v>0</v>
      </c>
      <c r="Q4898">
        <v>2</v>
      </c>
      <c r="R4898" t="s">
        <v>45101</v>
      </c>
      <c r="S4898" t="s">
        <v>45231</v>
      </c>
      <c r="T4898" t="s">
        <v>46957</v>
      </c>
      <c r="U4898" t="s">
        <v>51582</v>
      </c>
      <c r="W4898" t="s">
        <v>43243</v>
      </c>
      <c r="X4898" t="s">
        <v>45102</v>
      </c>
    </row>
    <row r="4899" spans="1:24">
      <c r="A4899">
        <f>HYPERLINK("https://www.philgeps.gov.ph/GEPSNONPILOT/Tender/SplashBidNoticeAbstractUI.aspx?menuIndex=3&amp;refID=7043261&amp;Result=3","7043261")</f>
        <v>0</v>
      </c>
      <c r="B4899" t="s">
        <v>1636</v>
      </c>
      <c r="C4899" t="s">
        <v>6624</v>
      </c>
      <c r="D4899" t="s">
        <v>18022</v>
      </c>
      <c r="E4899" t="s">
        <v>22493</v>
      </c>
      <c r="F4899" t="s">
        <v>31574</v>
      </c>
      <c r="G4899" t="s">
        <v>31582</v>
      </c>
      <c r="H4899" t="s">
        <v>31590</v>
      </c>
      <c r="I4899" t="s">
        <v>3487</v>
      </c>
      <c r="J4899" t="s">
        <v>34920</v>
      </c>
      <c r="K4899" t="s">
        <v>41190</v>
      </c>
      <c r="M4899" t="s">
        <v>43244</v>
      </c>
      <c r="N4899" t="s">
        <v>45095</v>
      </c>
      <c r="O4899" t="s">
        <v>45096</v>
      </c>
      <c r="P4899">
        <v>0</v>
      </c>
      <c r="Q4899">
        <v>2</v>
      </c>
      <c r="R4899" t="s">
        <v>45101</v>
      </c>
      <c r="S4899" t="s">
        <v>45231</v>
      </c>
      <c r="T4899" t="s">
        <v>46913</v>
      </c>
      <c r="U4899" t="s">
        <v>51583</v>
      </c>
      <c r="W4899" t="s">
        <v>43244</v>
      </c>
      <c r="X4899" t="s">
        <v>45102</v>
      </c>
    </row>
    <row r="4900" spans="1:24">
      <c r="A4900">
        <f>HYPERLINK("https://www.philgeps.gov.ph/GEPSNONPILOT/Tender/SplashBidNoticeAbstractUI.aspx?menuIndex=3&amp;refID=7043249&amp;Result=3","7043249")</f>
        <v>0</v>
      </c>
      <c r="B4900" t="s">
        <v>671</v>
      </c>
      <c r="C4900" t="s">
        <v>7879</v>
      </c>
      <c r="D4900" t="s">
        <v>18022</v>
      </c>
      <c r="E4900" t="s">
        <v>22494</v>
      </c>
      <c r="F4900" t="s">
        <v>31574</v>
      </c>
      <c r="G4900" t="s">
        <v>31582</v>
      </c>
      <c r="H4900" t="s">
        <v>31590</v>
      </c>
      <c r="I4900" t="s">
        <v>31683</v>
      </c>
      <c r="J4900" t="s">
        <v>34921</v>
      </c>
      <c r="K4900" t="s">
        <v>41327</v>
      </c>
      <c r="M4900" t="s">
        <v>43245</v>
      </c>
      <c r="N4900" t="s">
        <v>45095</v>
      </c>
      <c r="O4900" t="s">
        <v>45096</v>
      </c>
      <c r="P4900">
        <v>0</v>
      </c>
      <c r="Q4900">
        <v>7</v>
      </c>
      <c r="R4900" t="s">
        <v>45101</v>
      </c>
      <c r="S4900" t="s">
        <v>45231</v>
      </c>
      <c r="T4900" t="s">
        <v>47151</v>
      </c>
      <c r="U4900" t="s">
        <v>51584</v>
      </c>
      <c r="W4900" t="s">
        <v>43245</v>
      </c>
      <c r="X4900" t="s">
        <v>45102</v>
      </c>
    </row>
    <row r="4901" spans="1:24">
      <c r="A4901">
        <f>HYPERLINK("https://www.philgeps.gov.ph/GEPSNONPILOT/Tender/SplashBidNoticeAbstractUI.aspx?menuIndex=3&amp;refID=7043256&amp;Result=3","7043256")</f>
        <v>0</v>
      </c>
      <c r="B4901" t="s">
        <v>691</v>
      </c>
      <c r="C4901" t="s">
        <v>7880</v>
      </c>
      <c r="D4901" t="s">
        <v>18043</v>
      </c>
      <c r="E4901" t="s">
        <v>22495</v>
      </c>
      <c r="F4901" t="s">
        <v>31574</v>
      </c>
      <c r="G4901" t="s">
        <v>31584</v>
      </c>
      <c r="H4901" t="s">
        <v>31590</v>
      </c>
      <c r="I4901" t="s">
        <v>31602</v>
      </c>
      <c r="J4901" t="s">
        <v>31890</v>
      </c>
      <c r="K4901" t="s">
        <v>41186</v>
      </c>
      <c r="M4901" t="s">
        <v>42198</v>
      </c>
      <c r="N4901" t="s">
        <v>45095</v>
      </c>
      <c r="O4901" t="s">
        <v>45096</v>
      </c>
      <c r="P4901">
        <v>0</v>
      </c>
      <c r="Q4901">
        <v>0</v>
      </c>
      <c r="R4901" t="s">
        <v>45101</v>
      </c>
      <c r="S4901" t="s">
        <v>45231</v>
      </c>
      <c r="T4901" t="s">
        <v>46973</v>
      </c>
      <c r="U4901" t="s">
        <v>48930</v>
      </c>
      <c r="W4901" t="s">
        <v>42198</v>
      </c>
      <c r="X4901" t="s">
        <v>45102</v>
      </c>
    </row>
    <row r="4902" spans="1:24">
      <c r="A4902">
        <f>HYPERLINK("https://www.philgeps.gov.ph/GEPSNONPILOT/Tender/SplashBidNoticeAbstractUI.aspx?menuIndex=3&amp;refID=7043263&amp;Result=3","7043263")</f>
        <v>0</v>
      </c>
      <c r="B4902" t="s">
        <v>1634</v>
      </c>
      <c r="C4902" t="s">
        <v>7881</v>
      </c>
      <c r="D4902" t="s">
        <v>18064</v>
      </c>
      <c r="E4902" t="s">
        <v>22496</v>
      </c>
      <c r="F4902" t="s">
        <v>31574</v>
      </c>
      <c r="G4902" t="s">
        <v>31582</v>
      </c>
      <c r="H4902" t="s">
        <v>31591</v>
      </c>
      <c r="I4902" t="s">
        <v>8822</v>
      </c>
      <c r="J4902" t="s">
        <v>31726</v>
      </c>
      <c r="K4902" t="s">
        <v>41215</v>
      </c>
      <c r="M4902" t="s">
        <v>43242</v>
      </c>
      <c r="N4902" t="s">
        <v>45095</v>
      </c>
      <c r="O4902" t="s">
        <v>45096</v>
      </c>
      <c r="P4902">
        <v>0</v>
      </c>
      <c r="Q4902">
        <v>0</v>
      </c>
      <c r="R4902" t="s">
        <v>45101</v>
      </c>
      <c r="S4902" t="s">
        <v>45231</v>
      </c>
      <c r="T4902" t="s">
        <v>46918</v>
      </c>
      <c r="U4902" t="s">
        <v>51585</v>
      </c>
      <c r="W4902" t="s">
        <v>43242</v>
      </c>
      <c r="X4902" t="s">
        <v>45102</v>
      </c>
    </row>
    <row r="4903" spans="1:24">
      <c r="A4903">
        <f>HYPERLINK("https://www.philgeps.gov.ph/GEPSNONPILOT/Tender/SplashBidNoticeAbstractUI.aspx?menuIndex=3&amp;refID=7043274&amp;Result=3","7043274")</f>
        <v>0</v>
      </c>
      <c r="B4903" t="s">
        <v>1634</v>
      </c>
      <c r="C4903" t="s">
        <v>7882</v>
      </c>
      <c r="D4903" t="s">
        <v>18064</v>
      </c>
      <c r="E4903" t="s">
        <v>22497</v>
      </c>
      <c r="F4903" t="s">
        <v>31574</v>
      </c>
      <c r="G4903" t="s">
        <v>31582</v>
      </c>
      <c r="H4903" t="s">
        <v>31591</v>
      </c>
      <c r="I4903" t="s">
        <v>8822</v>
      </c>
      <c r="J4903" t="s">
        <v>32232</v>
      </c>
      <c r="K4903" t="s">
        <v>41196</v>
      </c>
      <c r="M4903" t="s">
        <v>43242</v>
      </c>
      <c r="N4903" t="s">
        <v>45095</v>
      </c>
      <c r="O4903" t="s">
        <v>45096</v>
      </c>
      <c r="P4903">
        <v>0</v>
      </c>
      <c r="Q4903">
        <v>0</v>
      </c>
      <c r="R4903" t="s">
        <v>45101</v>
      </c>
      <c r="S4903" t="s">
        <v>45231</v>
      </c>
      <c r="T4903" t="s">
        <v>46918</v>
      </c>
      <c r="U4903" t="s">
        <v>51586</v>
      </c>
      <c r="W4903" t="s">
        <v>43242</v>
      </c>
      <c r="X4903" t="s">
        <v>45102</v>
      </c>
    </row>
    <row r="4904" spans="1:24">
      <c r="A4904">
        <f>HYPERLINK("https://www.philgeps.gov.ph/GEPSNONPILOT/Tender/SplashBidNoticeAbstractUI.aspx?menuIndex=3&amp;refID=7043272&amp;Result=3","7043272")</f>
        <v>0</v>
      </c>
      <c r="B4904" t="s">
        <v>1634</v>
      </c>
      <c r="C4904" t="s">
        <v>7883</v>
      </c>
      <c r="D4904" t="s">
        <v>18064</v>
      </c>
      <c r="E4904" t="s">
        <v>22498</v>
      </c>
      <c r="F4904" t="s">
        <v>31574</v>
      </c>
      <c r="G4904" t="s">
        <v>31582</v>
      </c>
      <c r="H4904" t="s">
        <v>31591</v>
      </c>
      <c r="I4904" t="s">
        <v>8822</v>
      </c>
      <c r="J4904" t="s">
        <v>34922</v>
      </c>
      <c r="K4904" t="s">
        <v>41238</v>
      </c>
      <c r="M4904" t="s">
        <v>43242</v>
      </c>
      <c r="N4904" t="s">
        <v>45095</v>
      </c>
      <c r="O4904" t="s">
        <v>45096</v>
      </c>
      <c r="P4904">
        <v>0</v>
      </c>
      <c r="Q4904">
        <v>0</v>
      </c>
      <c r="R4904" t="s">
        <v>45101</v>
      </c>
      <c r="S4904" t="s">
        <v>45231</v>
      </c>
      <c r="T4904" t="s">
        <v>46918</v>
      </c>
      <c r="U4904" t="s">
        <v>51587</v>
      </c>
      <c r="W4904" t="s">
        <v>43242</v>
      </c>
      <c r="X4904" t="s">
        <v>45102</v>
      </c>
    </row>
    <row r="4905" spans="1:24">
      <c r="A4905">
        <f>HYPERLINK("https://www.philgeps.gov.ph/GEPSNONPILOT/Tender/SplashBidNoticeAbstractUI.aspx?menuIndex=3&amp;refID=7043278&amp;Result=3","7043278")</f>
        <v>0</v>
      </c>
      <c r="B4905" t="s">
        <v>1637</v>
      </c>
      <c r="C4905" t="s">
        <v>7884</v>
      </c>
      <c r="D4905" t="s">
        <v>18036</v>
      </c>
      <c r="E4905" t="s">
        <v>22499</v>
      </c>
      <c r="F4905" t="s">
        <v>31574</v>
      </c>
      <c r="G4905" t="s">
        <v>31582</v>
      </c>
      <c r="H4905" t="s">
        <v>31591</v>
      </c>
      <c r="I4905" t="s">
        <v>8822</v>
      </c>
      <c r="J4905" t="s">
        <v>34059</v>
      </c>
      <c r="K4905" t="s">
        <v>41328</v>
      </c>
      <c r="L4905" t="s">
        <v>1637</v>
      </c>
      <c r="M4905" t="s">
        <v>43246</v>
      </c>
      <c r="N4905" t="s">
        <v>45095</v>
      </c>
      <c r="O4905" t="s">
        <v>45096</v>
      </c>
      <c r="P4905">
        <v>0</v>
      </c>
      <c r="Q4905">
        <v>0</v>
      </c>
      <c r="R4905" t="s">
        <v>45101</v>
      </c>
      <c r="S4905" t="s">
        <v>45231</v>
      </c>
      <c r="T4905" t="s">
        <v>47100</v>
      </c>
      <c r="U4905" t="s">
        <v>51588</v>
      </c>
      <c r="W4905" t="s">
        <v>43246</v>
      </c>
      <c r="X4905" t="s">
        <v>45102</v>
      </c>
    </row>
    <row r="4906" spans="1:24">
      <c r="A4906">
        <f>HYPERLINK("https://www.philgeps.gov.ph/GEPSNONPILOT/Tender/SplashBidNoticeAbstractUI.aspx?menuIndex=3&amp;refID=7043267&amp;Result=3","7043267")</f>
        <v>0</v>
      </c>
      <c r="B4906" t="s">
        <v>1564</v>
      </c>
      <c r="C4906" t="s">
        <v>7885</v>
      </c>
      <c r="D4906" t="s">
        <v>18022</v>
      </c>
      <c r="E4906" t="s">
        <v>22500</v>
      </c>
      <c r="F4906" t="s">
        <v>31574</v>
      </c>
      <c r="G4906" t="s">
        <v>31581</v>
      </c>
      <c r="H4906" t="s">
        <v>31590</v>
      </c>
      <c r="I4906" t="s">
        <v>31608</v>
      </c>
      <c r="J4906" t="s">
        <v>32013</v>
      </c>
      <c r="K4906" t="s">
        <v>41186</v>
      </c>
      <c r="M4906" t="s">
        <v>43163</v>
      </c>
      <c r="N4906" t="s">
        <v>45095</v>
      </c>
      <c r="O4906" t="s">
        <v>45096</v>
      </c>
      <c r="P4906">
        <v>0</v>
      </c>
      <c r="Q4906">
        <v>2</v>
      </c>
      <c r="R4906" t="s">
        <v>45101</v>
      </c>
      <c r="S4906" t="s">
        <v>45231</v>
      </c>
      <c r="T4906" t="s">
        <v>47064</v>
      </c>
      <c r="U4906" t="s">
        <v>51589</v>
      </c>
      <c r="V4906" t="s">
        <v>60338</v>
      </c>
      <c r="W4906" t="s">
        <v>43163</v>
      </c>
      <c r="X4906" t="s">
        <v>45102</v>
      </c>
    </row>
    <row r="4907" spans="1:24">
      <c r="A4907">
        <f>HYPERLINK("https://www.philgeps.gov.ph/GEPSNONPILOT/Tender/SplashBidNoticeAbstractUI.aspx?menuIndex=3&amp;refID=7043266&amp;Result=3","7043266")</f>
        <v>0</v>
      </c>
      <c r="B4907" t="s">
        <v>1634</v>
      </c>
      <c r="C4907" t="s">
        <v>7886</v>
      </c>
      <c r="D4907" t="s">
        <v>18064</v>
      </c>
      <c r="E4907" t="s">
        <v>22501</v>
      </c>
      <c r="F4907" t="s">
        <v>31574</v>
      </c>
      <c r="G4907" t="s">
        <v>31582</v>
      </c>
      <c r="H4907" t="s">
        <v>31591</v>
      </c>
      <c r="I4907" t="s">
        <v>8822</v>
      </c>
      <c r="J4907" t="s">
        <v>31782</v>
      </c>
      <c r="K4907" t="s">
        <v>41213</v>
      </c>
      <c r="M4907" t="s">
        <v>43242</v>
      </c>
      <c r="N4907" t="s">
        <v>45095</v>
      </c>
      <c r="O4907" t="s">
        <v>45096</v>
      </c>
      <c r="P4907">
        <v>0</v>
      </c>
      <c r="Q4907">
        <v>0</v>
      </c>
      <c r="R4907" t="s">
        <v>45101</v>
      </c>
      <c r="S4907" t="s">
        <v>45231</v>
      </c>
      <c r="T4907" t="s">
        <v>46918</v>
      </c>
      <c r="U4907" t="s">
        <v>51590</v>
      </c>
      <c r="W4907" t="s">
        <v>43242</v>
      </c>
      <c r="X4907" t="s">
        <v>45102</v>
      </c>
    </row>
    <row r="4908" spans="1:24">
      <c r="A4908">
        <f>HYPERLINK("https://www.philgeps.gov.ph/GEPSNONPILOT/Tender/SplashBidNoticeAbstractUI.aspx?menuIndex=3&amp;refID=7043283&amp;Result=3","7043283")</f>
        <v>0</v>
      </c>
      <c r="B4908" t="s">
        <v>1638</v>
      </c>
      <c r="C4908" t="s">
        <v>7887</v>
      </c>
      <c r="E4908" t="s">
        <v>22502</v>
      </c>
      <c r="F4908" t="s">
        <v>31574</v>
      </c>
      <c r="G4908" t="s">
        <v>31581</v>
      </c>
      <c r="H4908" t="s">
        <v>31591</v>
      </c>
      <c r="I4908" t="s">
        <v>8822</v>
      </c>
      <c r="J4908" t="s">
        <v>32126</v>
      </c>
      <c r="K4908" t="s">
        <v>41184</v>
      </c>
      <c r="M4908" t="s">
        <v>43247</v>
      </c>
      <c r="N4908" t="s">
        <v>45095</v>
      </c>
      <c r="O4908" t="s">
        <v>45096</v>
      </c>
      <c r="P4908">
        <v>0</v>
      </c>
      <c r="Q4908">
        <v>3</v>
      </c>
      <c r="R4908" t="s">
        <v>45101</v>
      </c>
      <c r="S4908" t="s">
        <v>45231</v>
      </c>
      <c r="T4908" t="s">
        <v>47106</v>
      </c>
      <c r="U4908" t="s">
        <v>51591</v>
      </c>
      <c r="W4908" t="s">
        <v>43247</v>
      </c>
      <c r="X4908" t="s">
        <v>45102</v>
      </c>
    </row>
    <row r="4909" spans="1:24">
      <c r="A4909">
        <f>HYPERLINK("https://www.philgeps.gov.ph/GEPSNONPILOT/Tender/SplashBidNoticeAbstractUI.aspx?menuIndex=3&amp;refID=7043273&amp;Result=3","7043273")</f>
        <v>0</v>
      </c>
      <c r="B4909" t="s">
        <v>1637</v>
      </c>
      <c r="C4909" t="s">
        <v>7888</v>
      </c>
      <c r="D4909" t="s">
        <v>18036</v>
      </c>
      <c r="E4909" t="s">
        <v>22503</v>
      </c>
      <c r="F4909" t="s">
        <v>31574</v>
      </c>
      <c r="G4909" t="s">
        <v>31582</v>
      </c>
      <c r="H4909" t="s">
        <v>31591</v>
      </c>
      <c r="I4909" t="s">
        <v>8822</v>
      </c>
      <c r="J4909" t="s">
        <v>34697</v>
      </c>
      <c r="K4909" t="s">
        <v>41243</v>
      </c>
      <c r="L4909" t="s">
        <v>1637</v>
      </c>
      <c r="M4909" t="s">
        <v>43246</v>
      </c>
      <c r="N4909" t="s">
        <v>45095</v>
      </c>
      <c r="O4909" t="s">
        <v>45096</v>
      </c>
      <c r="P4909">
        <v>0</v>
      </c>
      <c r="Q4909">
        <v>2</v>
      </c>
      <c r="R4909" t="s">
        <v>45101</v>
      </c>
      <c r="S4909" t="s">
        <v>45231</v>
      </c>
      <c r="T4909" t="s">
        <v>47100</v>
      </c>
      <c r="U4909" t="s">
        <v>51592</v>
      </c>
      <c r="W4909" t="s">
        <v>43246</v>
      </c>
      <c r="X4909" t="s">
        <v>45102</v>
      </c>
    </row>
    <row r="4910" spans="1:24">
      <c r="A4910">
        <f>HYPERLINK("https://www.philgeps.gov.ph/GEPSNONPILOT/Tender/SplashBidNoticeAbstractUI.aspx?menuIndex=3&amp;refID=7043270&amp;Result=3","7043270")</f>
        <v>0</v>
      </c>
      <c r="B4910" t="s">
        <v>1637</v>
      </c>
      <c r="C4910" t="s">
        <v>7889</v>
      </c>
      <c r="D4910" t="s">
        <v>18036</v>
      </c>
      <c r="E4910" t="s">
        <v>22504</v>
      </c>
      <c r="F4910" t="s">
        <v>31574</v>
      </c>
      <c r="G4910" t="s">
        <v>31582</v>
      </c>
      <c r="H4910" t="s">
        <v>31591</v>
      </c>
      <c r="I4910" t="s">
        <v>8822</v>
      </c>
      <c r="J4910" t="s">
        <v>34923</v>
      </c>
      <c r="K4910" t="s">
        <v>41189</v>
      </c>
      <c r="L4910" t="s">
        <v>1637</v>
      </c>
      <c r="M4910" t="s">
        <v>43246</v>
      </c>
      <c r="N4910" t="s">
        <v>45095</v>
      </c>
      <c r="O4910" t="s">
        <v>45096</v>
      </c>
      <c r="P4910">
        <v>0</v>
      </c>
      <c r="Q4910">
        <v>1</v>
      </c>
      <c r="R4910" t="s">
        <v>45101</v>
      </c>
      <c r="S4910" t="s">
        <v>45231</v>
      </c>
      <c r="T4910" t="s">
        <v>47100</v>
      </c>
      <c r="U4910" t="s">
        <v>51593</v>
      </c>
      <c r="W4910" t="s">
        <v>43246</v>
      </c>
      <c r="X4910" t="s">
        <v>45102</v>
      </c>
    </row>
    <row r="4911" spans="1:24">
      <c r="A4911">
        <f>HYPERLINK("https://www.philgeps.gov.ph/GEPSNONPILOT/Tender/SplashBidNoticeAbstractUI.aspx?menuIndex=3&amp;refID=7043291&amp;Result=3","7043291")</f>
        <v>0</v>
      </c>
      <c r="B4911" t="s">
        <v>1639</v>
      </c>
      <c r="C4911" t="s">
        <v>7890</v>
      </c>
      <c r="E4911" t="s">
        <v>22505</v>
      </c>
      <c r="F4911" t="s">
        <v>31574</v>
      </c>
      <c r="G4911" t="s">
        <v>31581</v>
      </c>
      <c r="H4911" t="s">
        <v>31590</v>
      </c>
      <c r="I4911" t="s">
        <v>8056</v>
      </c>
      <c r="J4911" t="s">
        <v>31931</v>
      </c>
      <c r="K4911" t="s">
        <v>41184</v>
      </c>
      <c r="M4911" t="s">
        <v>43248</v>
      </c>
      <c r="N4911" t="s">
        <v>45095</v>
      </c>
      <c r="O4911" t="s">
        <v>45096</v>
      </c>
      <c r="P4911">
        <v>0</v>
      </c>
      <c r="Q4911">
        <v>5</v>
      </c>
      <c r="R4911" t="s">
        <v>45101</v>
      </c>
      <c r="S4911" t="s">
        <v>45231</v>
      </c>
      <c r="T4911" t="s">
        <v>47171</v>
      </c>
      <c r="U4911" t="s">
        <v>51594</v>
      </c>
      <c r="W4911" t="s">
        <v>43248</v>
      </c>
      <c r="X4911" t="s">
        <v>45102</v>
      </c>
    </row>
    <row r="4912" spans="1:24">
      <c r="A4912">
        <f>HYPERLINK("https://www.philgeps.gov.ph/GEPSNONPILOT/Tender/SplashBidNoticeAbstractUI.aspx?menuIndex=3&amp;refID=7043282&amp;Result=3","7043282")</f>
        <v>0</v>
      </c>
      <c r="B4912" t="s">
        <v>90</v>
      </c>
      <c r="C4912" t="s">
        <v>7891</v>
      </c>
      <c r="E4912" t="s">
        <v>22506</v>
      </c>
      <c r="F4912" t="s">
        <v>31574</v>
      </c>
      <c r="G4912" t="s">
        <v>31585</v>
      </c>
      <c r="H4912" t="s">
        <v>31590</v>
      </c>
      <c r="I4912" t="s">
        <v>31597</v>
      </c>
      <c r="J4912" t="s">
        <v>34924</v>
      </c>
      <c r="K4912" t="s">
        <v>41184</v>
      </c>
      <c r="M4912" t="s">
        <v>41574</v>
      </c>
      <c r="N4912" t="s">
        <v>45095</v>
      </c>
      <c r="O4912" t="s">
        <v>45096</v>
      </c>
      <c r="Q4912">
        <v>1</v>
      </c>
      <c r="R4912" t="s">
        <v>45101</v>
      </c>
      <c r="S4912" t="s">
        <v>45240</v>
      </c>
      <c r="T4912" t="s">
        <v>46962</v>
      </c>
      <c r="U4912" t="s">
        <v>51595</v>
      </c>
      <c r="V4912" t="s">
        <v>60372</v>
      </c>
      <c r="W4912" t="s">
        <v>41574</v>
      </c>
      <c r="X4912" t="s">
        <v>45102</v>
      </c>
    </row>
    <row r="4913" spans="1:24">
      <c r="A4913">
        <f>HYPERLINK("https://www.philgeps.gov.ph/GEPSNONPILOT/Tender/SplashBidNoticeAbstractUI.aspx?menuIndex=3&amp;refID=7043277&amp;Result=3","7043277")</f>
        <v>0</v>
      </c>
      <c r="B4913" t="s">
        <v>1637</v>
      </c>
      <c r="C4913" t="s">
        <v>7892</v>
      </c>
      <c r="D4913" t="s">
        <v>18036</v>
      </c>
      <c r="E4913" t="s">
        <v>22507</v>
      </c>
      <c r="F4913" t="s">
        <v>31574</v>
      </c>
      <c r="G4913" t="s">
        <v>31582</v>
      </c>
      <c r="H4913" t="s">
        <v>31591</v>
      </c>
      <c r="I4913" t="s">
        <v>8822</v>
      </c>
      <c r="J4913" t="s">
        <v>33252</v>
      </c>
      <c r="K4913" t="s">
        <v>41189</v>
      </c>
      <c r="L4913" t="s">
        <v>1637</v>
      </c>
      <c r="M4913" t="s">
        <v>43246</v>
      </c>
      <c r="N4913" t="s">
        <v>45095</v>
      </c>
      <c r="O4913" t="s">
        <v>45096</v>
      </c>
      <c r="P4913">
        <v>0</v>
      </c>
      <c r="Q4913">
        <v>1</v>
      </c>
      <c r="R4913" t="s">
        <v>45101</v>
      </c>
      <c r="S4913" t="s">
        <v>45231</v>
      </c>
      <c r="T4913" t="s">
        <v>47100</v>
      </c>
      <c r="U4913" t="s">
        <v>51596</v>
      </c>
      <c r="W4913" t="s">
        <v>43246</v>
      </c>
      <c r="X4913" t="s">
        <v>45102</v>
      </c>
    </row>
    <row r="4914" spans="1:24">
      <c r="A4914">
        <f>HYPERLINK("https://www.philgeps.gov.ph/GEPSNONPILOT/Tender/SplashBidNoticeAbstractUI.aspx?menuIndex=3&amp;refID=7043265&amp;Result=3","7043265")</f>
        <v>0</v>
      </c>
      <c r="B4914" t="s">
        <v>1633</v>
      </c>
      <c r="C4914" t="s">
        <v>7893</v>
      </c>
      <c r="D4914" t="s">
        <v>18104</v>
      </c>
      <c r="E4914" t="s">
        <v>22508</v>
      </c>
      <c r="F4914" t="s">
        <v>31574</v>
      </c>
      <c r="G4914" t="s">
        <v>31581</v>
      </c>
      <c r="H4914" t="s">
        <v>31590</v>
      </c>
      <c r="I4914" t="s">
        <v>31667</v>
      </c>
      <c r="J4914" t="s">
        <v>34914</v>
      </c>
      <c r="K4914" t="s">
        <v>41190</v>
      </c>
      <c r="M4914" t="s">
        <v>43241</v>
      </c>
      <c r="N4914" t="s">
        <v>45095</v>
      </c>
      <c r="O4914" t="s">
        <v>45096</v>
      </c>
      <c r="P4914">
        <v>0</v>
      </c>
      <c r="Q4914">
        <v>2</v>
      </c>
      <c r="R4914" t="s">
        <v>45101</v>
      </c>
      <c r="S4914" t="s">
        <v>45231</v>
      </c>
      <c r="T4914" t="s">
        <v>47125</v>
      </c>
      <c r="U4914" t="s">
        <v>51575</v>
      </c>
      <c r="V4914" t="s">
        <v>60373</v>
      </c>
      <c r="W4914" t="s">
        <v>43241</v>
      </c>
      <c r="X4914" t="s">
        <v>45102</v>
      </c>
    </row>
    <row r="4915" spans="1:24">
      <c r="A4915">
        <f>HYPERLINK("https://www.philgeps.gov.ph/GEPSNONPILOT/Tender/SplashBidNoticeAbstractUI.aspx?menuIndex=3&amp;refID=7043279&amp;Result=3","7043279")</f>
        <v>0</v>
      </c>
      <c r="B4915" t="s">
        <v>1423</v>
      </c>
      <c r="C4915" t="s">
        <v>7894</v>
      </c>
      <c r="D4915" t="s">
        <v>18053</v>
      </c>
      <c r="E4915" t="s">
        <v>22509</v>
      </c>
      <c r="F4915" t="s">
        <v>31574</v>
      </c>
      <c r="G4915" t="s">
        <v>31581</v>
      </c>
      <c r="H4915" t="s">
        <v>31590</v>
      </c>
      <c r="I4915" t="s">
        <v>3487</v>
      </c>
      <c r="J4915" t="s">
        <v>31789</v>
      </c>
      <c r="K4915" t="s">
        <v>41193</v>
      </c>
      <c r="M4915" t="s">
        <v>42999</v>
      </c>
      <c r="N4915" t="s">
        <v>45095</v>
      </c>
      <c r="O4915" t="s">
        <v>45096</v>
      </c>
      <c r="P4915">
        <v>0</v>
      </c>
      <c r="Q4915">
        <v>0</v>
      </c>
      <c r="R4915" t="s">
        <v>45101</v>
      </c>
      <c r="S4915" t="s">
        <v>45231</v>
      </c>
      <c r="T4915" t="s">
        <v>46973</v>
      </c>
      <c r="U4915" t="s">
        <v>51597</v>
      </c>
      <c r="V4915" t="s">
        <v>60374</v>
      </c>
      <c r="W4915" t="s">
        <v>42999</v>
      </c>
      <c r="X4915" t="s">
        <v>45102</v>
      </c>
    </row>
    <row r="4916" spans="1:24">
      <c r="A4916">
        <f>HYPERLINK("https://www.philgeps.gov.ph/GEPSNONPILOT/Tender/SplashBidNoticeAbstractUI.aspx?menuIndex=3&amp;refID=7043284&amp;Result=3","7043284")</f>
        <v>0</v>
      </c>
      <c r="B4916" t="s">
        <v>1640</v>
      </c>
      <c r="C4916" t="s">
        <v>7895</v>
      </c>
      <c r="D4916" t="s">
        <v>18041</v>
      </c>
      <c r="E4916" t="s">
        <v>22510</v>
      </c>
      <c r="F4916" t="s">
        <v>31574</v>
      </c>
      <c r="G4916" t="s">
        <v>31581</v>
      </c>
      <c r="H4916" t="s">
        <v>31590</v>
      </c>
      <c r="I4916" t="s">
        <v>4046</v>
      </c>
      <c r="J4916" t="s">
        <v>34925</v>
      </c>
      <c r="K4916" t="s">
        <v>41190</v>
      </c>
      <c r="M4916" t="s">
        <v>43249</v>
      </c>
      <c r="N4916" t="s">
        <v>45095</v>
      </c>
      <c r="O4916" t="s">
        <v>45096</v>
      </c>
      <c r="P4916">
        <v>0</v>
      </c>
      <c r="Q4916">
        <v>0</v>
      </c>
      <c r="R4916" t="s">
        <v>45101</v>
      </c>
      <c r="S4916" t="s">
        <v>45231</v>
      </c>
      <c r="T4916" t="s">
        <v>47157</v>
      </c>
      <c r="U4916" t="s">
        <v>51598</v>
      </c>
      <c r="W4916" t="s">
        <v>43249</v>
      </c>
      <c r="X4916" t="s">
        <v>45102</v>
      </c>
    </row>
    <row r="4917" spans="1:24">
      <c r="A4917">
        <f>HYPERLINK("https://www.philgeps.gov.ph/GEPSNONPILOT/Tender/SplashBidNoticeAbstractUI.aspx?menuIndex=3&amp;refID=7043285&amp;Result=3","7043285")</f>
        <v>0</v>
      </c>
      <c r="B4917" t="s">
        <v>181</v>
      </c>
      <c r="C4917" t="s">
        <v>7896</v>
      </c>
      <c r="D4917" t="s">
        <v>18030</v>
      </c>
      <c r="E4917" t="s">
        <v>18724</v>
      </c>
      <c r="F4917" t="s">
        <v>31574</v>
      </c>
      <c r="G4917" t="s">
        <v>31582</v>
      </c>
      <c r="H4917" t="s">
        <v>31590</v>
      </c>
      <c r="I4917" t="s">
        <v>31694</v>
      </c>
      <c r="J4917" t="s">
        <v>34926</v>
      </c>
      <c r="K4917" t="s">
        <v>41186</v>
      </c>
      <c r="M4917" t="s">
        <v>43250</v>
      </c>
      <c r="N4917" t="s">
        <v>45095</v>
      </c>
      <c r="O4917" t="s">
        <v>45096</v>
      </c>
      <c r="Q4917">
        <v>5</v>
      </c>
      <c r="R4917" t="s">
        <v>45101</v>
      </c>
      <c r="S4917" t="s">
        <v>45241</v>
      </c>
      <c r="T4917" t="s">
        <v>47170</v>
      </c>
      <c r="U4917" t="s">
        <v>51599</v>
      </c>
      <c r="W4917" t="s">
        <v>43250</v>
      </c>
      <c r="X4917" t="s">
        <v>45102</v>
      </c>
    </row>
    <row r="4918" spans="1:24">
      <c r="A4918">
        <f>HYPERLINK("https://www.philgeps.gov.ph/GEPSNONPILOT/Tender/SplashBidNoticeAbstractUI.aspx?menuIndex=3&amp;refID=7043276&amp;Result=3","7043276")</f>
        <v>0</v>
      </c>
      <c r="B4918" t="s">
        <v>1423</v>
      </c>
      <c r="C4918" t="s">
        <v>7897</v>
      </c>
      <c r="D4918" t="s">
        <v>18053</v>
      </c>
      <c r="E4918" t="s">
        <v>22511</v>
      </c>
      <c r="F4918" t="s">
        <v>31574</v>
      </c>
      <c r="G4918" t="s">
        <v>31583</v>
      </c>
      <c r="H4918" t="s">
        <v>31590</v>
      </c>
      <c r="I4918" t="s">
        <v>31629</v>
      </c>
      <c r="J4918" t="s">
        <v>31789</v>
      </c>
      <c r="K4918" t="s">
        <v>41193</v>
      </c>
      <c r="M4918" t="s">
        <v>42999</v>
      </c>
      <c r="N4918" t="s">
        <v>45095</v>
      </c>
      <c r="O4918" t="s">
        <v>45096</v>
      </c>
      <c r="P4918">
        <v>0</v>
      </c>
      <c r="Q4918">
        <v>0</v>
      </c>
      <c r="R4918" t="s">
        <v>45101</v>
      </c>
      <c r="S4918" t="s">
        <v>45231</v>
      </c>
      <c r="T4918" t="s">
        <v>46973</v>
      </c>
      <c r="U4918" t="s">
        <v>51600</v>
      </c>
      <c r="V4918" t="s">
        <v>60375</v>
      </c>
      <c r="W4918" t="s">
        <v>42999</v>
      </c>
      <c r="X4918" t="s">
        <v>45102</v>
      </c>
    </row>
    <row r="4919" spans="1:24">
      <c r="A4919">
        <f>HYPERLINK("https://www.philgeps.gov.ph/GEPSNONPILOT/Tender/SplashBidNoticeAbstractUI.aspx?menuIndex=3&amp;refID=7043287&amp;Result=3","7043287")</f>
        <v>0</v>
      </c>
      <c r="B4919" t="s">
        <v>1637</v>
      </c>
      <c r="C4919" t="s">
        <v>7898</v>
      </c>
      <c r="D4919" t="s">
        <v>18036</v>
      </c>
      <c r="E4919" t="s">
        <v>22512</v>
      </c>
      <c r="F4919" t="s">
        <v>31574</v>
      </c>
      <c r="G4919" t="s">
        <v>31582</v>
      </c>
      <c r="H4919" t="s">
        <v>31590</v>
      </c>
      <c r="I4919" t="s">
        <v>31601</v>
      </c>
      <c r="J4919" t="s">
        <v>34927</v>
      </c>
      <c r="K4919" t="s">
        <v>41232</v>
      </c>
      <c r="L4919" t="s">
        <v>1637</v>
      </c>
      <c r="M4919" t="s">
        <v>43246</v>
      </c>
      <c r="N4919" t="s">
        <v>45095</v>
      </c>
      <c r="O4919" t="s">
        <v>45096</v>
      </c>
      <c r="P4919">
        <v>0</v>
      </c>
      <c r="Q4919">
        <v>0</v>
      </c>
      <c r="R4919" t="s">
        <v>45101</v>
      </c>
      <c r="S4919" t="s">
        <v>45231</v>
      </c>
      <c r="T4919" t="s">
        <v>46918</v>
      </c>
      <c r="U4919" t="s">
        <v>51601</v>
      </c>
      <c r="W4919" t="s">
        <v>43246</v>
      </c>
      <c r="X4919" t="s">
        <v>45102</v>
      </c>
    </row>
    <row r="4920" spans="1:24">
      <c r="A4920">
        <f>HYPERLINK("https://www.philgeps.gov.ph/GEPSNONPILOT/Tender/SplashBidNoticeAbstractUI.aspx?menuIndex=3&amp;refID=7043292&amp;Result=3","7043292")</f>
        <v>0</v>
      </c>
      <c r="B4920" t="s">
        <v>1637</v>
      </c>
      <c r="C4920" t="s">
        <v>7899</v>
      </c>
      <c r="D4920" t="s">
        <v>18036</v>
      </c>
      <c r="E4920" t="s">
        <v>22513</v>
      </c>
      <c r="F4920" t="s">
        <v>31574</v>
      </c>
      <c r="G4920" t="s">
        <v>31582</v>
      </c>
      <c r="H4920" t="s">
        <v>31590</v>
      </c>
      <c r="I4920" t="s">
        <v>31601</v>
      </c>
      <c r="J4920" t="s">
        <v>34928</v>
      </c>
      <c r="K4920" t="s">
        <v>41232</v>
      </c>
      <c r="L4920" t="s">
        <v>1637</v>
      </c>
      <c r="M4920" t="s">
        <v>43246</v>
      </c>
      <c r="N4920" t="s">
        <v>45095</v>
      </c>
      <c r="O4920" t="s">
        <v>45096</v>
      </c>
      <c r="P4920">
        <v>0</v>
      </c>
      <c r="Q4920">
        <v>0</v>
      </c>
      <c r="R4920" t="s">
        <v>45101</v>
      </c>
      <c r="S4920" t="s">
        <v>45231</v>
      </c>
      <c r="T4920" t="s">
        <v>46918</v>
      </c>
      <c r="U4920" t="s">
        <v>51602</v>
      </c>
      <c r="W4920" t="s">
        <v>43246</v>
      </c>
      <c r="X4920" t="s">
        <v>45102</v>
      </c>
    </row>
    <row r="4921" spans="1:24">
      <c r="A4921">
        <f>HYPERLINK("https://www.philgeps.gov.ph/GEPSNONPILOT/Tender/SplashBidNoticeAbstractUI.aspx?menuIndex=3&amp;refID=7043294&amp;Result=3","7043294")</f>
        <v>0</v>
      </c>
      <c r="B4921" t="s">
        <v>1637</v>
      </c>
      <c r="C4921" t="s">
        <v>7900</v>
      </c>
      <c r="D4921" t="s">
        <v>18036</v>
      </c>
      <c r="E4921" t="s">
        <v>22514</v>
      </c>
      <c r="F4921" t="s">
        <v>31574</v>
      </c>
      <c r="G4921" t="s">
        <v>31582</v>
      </c>
      <c r="H4921" t="s">
        <v>31590</v>
      </c>
      <c r="I4921" t="s">
        <v>31601</v>
      </c>
      <c r="J4921" t="s">
        <v>34927</v>
      </c>
      <c r="K4921" t="s">
        <v>41232</v>
      </c>
      <c r="L4921" t="s">
        <v>1637</v>
      </c>
      <c r="M4921" t="s">
        <v>43246</v>
      </c>
      <c r="N4921" t="s">
        <v>45095</v>
      </c>
      <c r="O4921" t="s">
        <v>45096</v>
      </c>
      <c r="P4921">
        <v>0</v>
      </c>
      <c r="Q4921">
        <v>0</v>
      </c>
      <c r="R4921" t="s">
        <v>45101</v>
      </c>
      <c r="S4921" t="s">
        <v>45231</v>
      </c>
      <c r="T4921" t="s">
        <v>46918</v>
      </c>
      <c r="U4921" t="s">
        <v>51603</v>
      </c>
      <c r="W4921" t="s">
        <v>43246</v>
      </c>
      <c r="X4921" t="s">
        <v>45102</v>
      </c>
    </row>
    <row r="4922" spans="1:24">
      <c r="A4922">
        <f>HYPERLINK("https://www.philgeps.gov.ph/GEPSNONPILOT/Tender/SplashBidNoticeAbstractUI.aspx?menuIndex=3&amp;refID=7043293&amp;Result=3","7043293")</f>
        <v>0</v>
      </c>
      <c r="B4922" t="s">
        <v>1641</v>
      </c>
      <c r="C4922" t="s">
        <v>7901</v>
      </c>
      <c r="D4922" t="s">
        <v>18056</v>
      </c>
      <c r="E4922" t="s">
        <v>22515</v>
      </c>
      <c r="F4922" t="s">
        <v>31574</v>
      </c>
      <c r="G4922" t="s">
        <v>31582</v>
      </c>
      <c r="H4922" t="s">
        <v>31591</v>
      </c>
      <c r="I4922" t="s">
        <v>8822</v>
      </c>
      <c r="J4922" t="s">
        <v>34929</v>
      </c>
      <c r="K4922" t="s">
        <v>41202</v>
      </c>
      <c r="M4922" t="s">
        <v>43251</v>
      </c>
      <c r="N4922" t="s">
        <v>45095</v>
      </c>
      <c r="O4922" t="s">
        <v>45096</v>
      </c>
      <c r="P4922">
        <v>0</v>
      </c>
      <c r="Q4922">
        <v>0</v>
      </c>
      <c r="R4922" t="s">
        <v>45101</v>
      </c>
      <c r="S4922" t="s">
        <v>45231</v>
      </c>
      <c r="T4922" t="s">
        <v>46916</v>
      </c>
      <c r="U4922" t="s">
        <v>51604</v>
      </c>
      <c r="W4922" t="s">
        <v>43251</v>
      </c>
      <c r="X4922" t="s">
        <v>45102</v>
      </c>
    </row>
    <row r="4923" spans="1:24">
      <c r="A4923">
        <f>HYPERLINK("https://www.philgeps.gov.ph/GEPSNONPILOT/Tender/SplashBidNoticeAbstractUI.aspx?menuIndex=3&amp;refID=7043286&amp;Result=3","7043286")</f>
        <v>0</v>
      </c>
      <c r="B4923" t="s">
        <v>1642</v>
      </c>
      <c r="C4923" t="s">
        <v>7902</v>
      </c>
      <c r="D4923" t="s">
        <v>18065</v>
      </c>
      <c r="E4923" t="s">
        <v>22516</v>
      </c>
      <c r="F4923" t="s">
        <v>31574</v>
      </c>
      <c r="G4923" t="s">
        <v>31582</v>
      </c>
      <c r="H4923" t="s">
        <v>31591</v>
      </c>
      <c r="I4923" t="s">
        <v>8822</v>
      </c>
      <c r="J4923" t="s">
        <v>32490</v>
      </c>
      <c r="K4923" t="s">
        <v>41191</v>
      </c>
      <c r="M4923" t="s">
        <v>43252</v>
      </c>
      <c r="N4923" t="s">
        <v>45095</v>
      </c>
      <c r="O4923" t="s">
        <v>45096</v>
      </c>
      <c r="P4923">
        <v>0</v>
      </c>
      <c r="Q4923">
        <v>0</v>
      </c>
      <c r="R4923" t="s">
        <v>45101</v>
      </c>
      <c r="S4923" t="s">
        <v>45231</v>
      </c>
      <c r="T4923" t="s">
        <v>46917</v>
      </c>
      <c r="U4923" t="s">
        <v>51605</v>
      </c>
      <c r="W4923" t="s">
        <v>43252</v>
      </c>
      <c r="X4923" t="s">
        <v>45102</v>
      </c>
    </row>
    <row r="4924" spans="1:24">
      <c r="A4924">
        <f>HYPERLINK("https://www.philgeps.gov.ph/GEPSNONPILOT/Tender/SplashBidNoticeAbstractUI.aspx?menuIndex=3&amp;refID=6984749&amp;Result=3","6984749")</f>
        <v>0</v>
      </c>
      <c r="B4924" t="s">
        <v>38</v>
      </c>
      <c r="C4924" t="s">
        <v>7903</v>
      </c>
      <c r="D4924" t="s">
        <v>18033</v>
      </c>
      <c r="E4924" t="s">
        <v>22517</v>
      </c>
      <c r="F4924" t="s">
        <v>31574</v>
      </c>
      <c r="G4924" t="s">
        <v>31582</v>
      </c>
      <c r="H4924" t="s">
        <v>31590</v>
      </c>
      <c r="I4924" t="s">
        <v>4046</v>
      </c>
      <c r="J4924" t="s">
        <v>34930</v>
      </c>
      <c r="K4924" t="s">
        <v>41194</v>
      </c>
      <c r="M4924" t="s">
        <v>41663</v>
      </c>
      <c r="N4924" t="s">
        <v>45095</v>
      </c>
      <c r="O4924" t="s">
        <v>45096</v>
      </c>
      <c r="P4924">
        <v>0</v>
      </c>
      <c r="Q4924">
        <v>0</v>
      </c>
      <c r="R4924" t="s">
        <v>45102</v>
      </c>
      <c r="S4924" t="s">
        <v>45242</v>
      </c>
      <c r="T4924" t="s">
        <v>46913</v>
      </c>
      <c r="U4924" t="s">
        <v>51606</v>
      </c>
      <c r="W4924" t="s">
        <v>41663</v>
      </c>
      <c r="X4924" t="s">
        <v>45138</v>
      </c>
    </row>
    <row r="4925" spans="1:24">
      <c r="A4925">
        <f>HYPERLINK("https://www.philgeps.gov.ph/GEPSNONPILOT/Tender/SplashBidNoticeAbstractUI.aspx?menuIndex=3&amp;refID=7043289&amp;Result=3","7043289")</f>
        <v>0</v>
      </c>
      <c r="B4925" t="s">
        <v>1637</v>
      </c>
      <c r="C4925" t="s">
        <v>7904</v>
      </c>
      <c r="D4925" t="s">
        <v>18036</v>
      </c>
      <c r="E4925" t="s">
        <v>22518</v>
      </c>
      <c r="F4925" t="s">
        <v>31574</v>
      </c>
      <c r="G4925" t="s">
        <v>31582</v>
      </c>
      <c r="H4925" t="s">
        <v>31590</v>
      </c>
      <c r="I4925" t="s">
        <v>31601</v>
      </c>
      <c r="J4925" t="s">
        <v>34931</v>
      </c>
      <c r="K4925" t="s">
        <v>41196</v>
      </c>
      <c r="L4925" t="s">
        <v>1637</v>
      </c>
      <c r="M4925" t="s">
        <v>43246</v>
      </c>
      <c r="N4925" t="s">
        <v>45095</v>
      </c>
      <c r="O4925" t="s">
        <v>45096</v>
      </c>
      <c r="P4925">
        <v>0</v>
      </c>
      <c r="Q4925">
        <v>0</v>
      </c>
      <c r="R4925" t="s">
        <v>45101</v>
      </c>
      <c r="S4925" t="s">
        <v>45231</v>
      </c>
      <c r="T4925" t="s">
        <v>46918</v>
      </c>
      <c r="U4925" t="s">
        <v>51607</v>
      </c>
      <c r="W4925" t="s">
        <v>43246</v>
      </c>
      <c r="X4925" t="s">
        <v>45102</v>
      </c>
    </row>
    <row r="4926" spans="1:24">
      <c r="A4926">
        <f>HYPERLINK("https://www.philgeps.gov.ph/GEPSNONPILOT/Tender/SplashBidNoticeAbstractUI.aspx?menuIndex=3&amp;refID=6947611&amp;Result=3","6947611")</f>
        <v>0</v>
      </c>
      <c r="B4926" t="s">
        <v>1643</v>
      </c>
      <c r="C4926" t="s">
        <v>7905</v>
      </c>
      <c r="D4926" t="s">
        <v>18079</v>
      </c>
      <c r="E4926" t="s">
        <v>22519</v>
      </c>
      <c r="F4926" t="s">
        <v>31574</v>
      </c>
      <c r="G4926" t="s">
        <v>31582</v>
      </c>
      <c r="H4926" t="s">
        <v>31590</v>
      </c>
      <c r="I4926" t="s">
        <v>7185</v>
      </c>
      <c r="J4926" t="s">
        <v>31821</v>
      </c>
      <c r="K4926" t="s">
        <v>41186</v>
      </c>
      <c r="M4926" t="s">
        <v>43253</v>
      </c>
      <c r="N4926" t="s">
        <v>45095</v>
      </c>
      <c r="O4926" t="s">
        <v>45096</v>
      </c>
      <c r="P4926">
        <v>0</v>
      </c>
      <c r="Q4926">
        <v>6</v>
      </c>
      <c r="R4926" t="s">
        <v>45102</v>
      </c>
      <c r="S4926" t="s">
        <v>45242</v>
      </c>
      <c r="T4926" t="s">
        <v>47151</v>
      </c>
      <c r="U4926" t="s">
        <v>51608</v>
      </c>
      <c r="V4926" t="s">
        <v>60376</v>
      </c>
      <c r="W4926" t="s">
        <v>43253</v>
      </c>
      <c r="X4926" t="s">
        <v>45166</v>
      </c>
    </row>
    <row r="4927" spans="1:24">
      <c r="A4927">
        <f>HYPERLINK("https://www.philgeps.gov.ph/GEPSNONPILOT/Tender/SplashBidNoticeAbstractUI.aspx?menuIndex=3&amp;refID=6832172&amp;Result=3","6832172")</f>
        <v>0</v>
      </c>
      <c r="B4927" t="s">
        <v>1644</v>
      </c>
      <c r="C4927" t="s">
        <v>7906</v>
      </c>
      <c r="D4927" t="s">
        <v>18041</v>
      </c>
      <c r="E4927" t="s">
        <v>22520</v>
      </c>
      <c r="F4927" t="s">
        <v>31574</v>
      </c>
      <c r="G4927" t="s">
        <v>31581</v>
      </c>
      <c r="H4927" t="s">
        <v>31591</v>
      </c>
      <c r="I4927" t="s">
        <v>7162</v>
      </c>
      <c r="J4927" t="s">
        <v>34932</v>
      </c>
      <c r="K4927" t="s">
        <v>41211</v>
      </c>
      <c r="M4927" t="s">
        <v>43254</v>
      </c>
      <c r="N4927" t="s">
        <v>45095</v>
      </c>
      <c r="O4927" t="s">
        <v>45096</v>
      </c>
      <c r="P4927">
        <v>0</v>
      </c>
      <c r="Q4927">
        <v>0</v>
      </c>
      <c r="R4927" t="s">
        <v>45102</v>
      </c>
      <c r="S4927" t="s">
        <v>45242</v>
      </c>
      <c r="T4927" t="s">
        <v>47176</v>
      </c>
      <c r="U4927" t="s">
        <v>51609</v>
      </c>
      <c r="W4927" t="s">
        <v>43254</v>
      </c>
      <c r="X4927" t="s">
        <v>45203</v>
      </c>
    </row>
    <row r="4928" spans="1:24">
      <c r="A4928">
        <f>HYPERLINK("https://www.philgeps.gov.ph/GEPSNONPILOT/Tender/SplashBidNoticeAbstractUI.aspx?menuIndex=3&amp;refID=6860806&amp;Result=3","6860806")</f>
        <v>0</v>
      </c>
      <c r="B4928" t="s">
        <v>1645</v>
      </c>
      <c r="C4928" t="s">
        <v>7907</v>
      </c>
      <c r="D4928" t="s">
        <v>18023</v>
      </c>
      <c r="E4928" t="s">
        <v>22521</v>
      </c>
      <c r="F4928" t="s">
        <v>31574</v>
      </c>
      <c r="G4928" t="s">
        <v>31582</v>
      </c>
      <c r="H4928" t="s">
        <v>31590</v>
      </c>
      <c r="I4928" t="s">
        <v>31600</v>
      </c>
      <c r="J4928" t="s">
        <v>34933</v>
      </c>
      <c r="K4928" t="s">
        <v>41213</v>
      </c>
      <c r="M4928" t="s">
        <v>43255</v>
      </c>
      <c r="N4928" t="s">
        <v>45095</v>
      </c>
      <c r="O4928" t="s">
        <v>45096</v>
      </c>
      <c r="P4928">
        <v>0</v>
      </c>
      <c r="Q4928">
        <v>0</v>
      </c>
      <c r="R4928" t="s">
        <v>45102</v>
      </c>
      <c r="S4928" t="s">
        <v>45242</v>
      </c>
      <c r="T4928" t="s">
        <v>46904</v>
      </c>
      <c r="U4928" t="s">
        <v>51610</v>
      </c>
      <c r="V4928" t="s">
        <v>59888</v>
      </c>
      <c r="W4928" t="s">
        <v>43255</v>
      </c>
      <c r="X4928" t="s">
        <v>45202</v>
      </c>
    </row>
    <row r="4929" spans="1:24">
      <c r="A4929">
        <f>HYPERLINK("https://www.philgeps.gov.ph/GEPSNONPILOT/Tender/SplashBidNoticeAbstractUI.aspx?menuIndex=3&amp;refID=6999268&amp;Result=3","6999268")</f>
        <v>0</v>
      </c>
      <c r="B4929" t="s">
        <v>1646</v>
      </c>
      <c r="C4929" t="s">
        <v>7908</v>
      </c>
      <c r="D4929" t="s">
        <v>18053</v>
      </c>
      <c r="E4929" t="s">
        <v>22522</v>
      </c>
      <c r="F4929" t="s">
        <v>31574</v>
      </c>
      <c r="G4929" t="s">
        <v>31582</v>
      </c>
      <c r="H4929" t="s">
        <v>31591</v>
      </c>
      <c r="I4929" t="s">
        <v>31663</v>
      </c>
      <c r="J4929" t="s">
        <v>31907</v>
      </c>
      <c r="K4929" t="s">
        <v>41276</v>
      </c>
      <c r="M4929" t="s">
        <v>43256</v>
      </c>
      <c r="N4929" t="s">
        <v>45095</v>
      </c>
      <c r="O4929" t="s">
        <v>45096</v>
      </c>
      <c r="P4929">
        <v>0</v>
      </c>
      <c r="Q4929">
        <v>0</v>
      </c>
      <c r="R4929" t="s">
        <v>45102</v>
      </c>
      <c r="S4929" t="s">
        <v>45242</v>
      </c>
      <c r="T4929" t="s">
        <v>47219</v>
      </c>
      <c r="U4929" t="s">
        <v>51611</v>
      </c>
      <c r="W4929" t="s">
        <v>43256</v>
      </c>
      <c r="X4929" t="s">
        <v>45128</v>
      </c>
    </row>
    <row r="4930" spans="1:24">
      <c r="A4930">
        <f>HYPERLINK("https://www.philgeps.gov.ph/GEPSNONPILOT/Tender/SplashBidNoticeAbstractUI.aspx?menuIndex=3&amp;refID=6807454&amp;Result=3","6807454")</f>
        <v>0</v>
      </c>
      <c r="B4930" t="s">
        <v>1647</v>
      </c>
      <c r="C4930" t="s">
        <v>7909</v>
      </c>
      <c r="D4930" t="s">
        <v>18033</v>
      </c>
      <c r="E4930" t="s">
        <v>22523</v>
      </c>
      <c r="F4930" t="s">
        <v>31574</v>
      </c>
      <c r="G4930" t="s">
        <v>31582</v>
      </c>
      <c r="H4930" t="s">
        <v>31590</v>
      </c>
      <c r="I4930" t="s">
        <v>31615</v>
      </c>
      <c r="J4930" t="s">
        <v>32118</v>
      </c>
      <c r="K4930" t="s">
        <v>41192</v>
      </c>
      <c r="M4930" t="s">
        <v>43257</v>
      </c>
      <c r="N4930" t="s">
        <v>45095</v>
      </c>
      <c r="O4930" t="s">
        <v>45096</v>
      </c>
      <c r="P4930">
        <v>0</v>
      </c>
      <c r="Q4930">
        <v>5</v>
      </c>
      <c r="R4930" t="s">
        <v>45102</v>
      </c>
      <c r="S4930" t="s">
        <v>45242</v>
      </c>
      <c r="T4930" t="s">
        <v>47004</v>
      </c>
      <c r="U4930" t="s">
        <v>51612</v>
      </c>
      <c r="W4930" t="s">
        <v>43257</v>
      </c>
      <c r="X4930" t="s">
        <v>45209</v>
      </c>
    </row>
    <row r="4931" spans="1:24">
      <c r="A4931">
        <f>HYPERLINK("https://www.philgeps.gov.ph/GEPSNONPILOT/Tender/SplashBidNoticeAbstractUI.aspx?menuIndex=3&amp;refID=7043299&amp;Result=3","7043299")</f>
        <v>0</v>
      </c>
      <c r="B4931" t="s">
        <v>1641</v>
      </c>
      <c r="C4931" t="s">
        <v>5720</v>
      </c>
      <c r="D4931" t="s">
        <v>18056</v>
      </c>
      <c r="E4931" t="s">
        <v>22524</v>
      </c>
      <c r="F4931" t="s">
        <v>31574</v>
      </c>
      <c r="G4931" t="s">
        <v>31582</v>
      </c>
      <c r="H4931" t="s">
        <v>31591</v>
      </c>
      <c r="I4931" t="s">
        <v>8822</v>
      </c>
      <c r="J4931" t="s">
        <v>34934</v>
      </c>
      <c r="K4931" t="s">
        <v>41209</v>
      </c>
      <c r="M4931" t="s">
        <v>43251</v>
      </c>
      <c r="N4931" t="s">
        <v>45095</v>
      </c>
      <c r="O4931" t="s">
        <v>45096</v>
      </c>
      <c r="P4931">
        <v>0</v>
      </c>
      <c r="Q4931">
        <v>0</v>
      </c>
      <c r="R4931" t="s">
        <v>45101</v>
      </c>
      <c r="S4931" t="s">
        <v>45231</v>
      </c>
      <c r="T4931" t="s">
        <v>46916</v>
      </c>
      <c r="U4931" t="s">
        <v>51613</v>
      </c>
      <c r="W4931" t="s">
        <v>43251</v>
      </c>
      <c r="X4931" t="s">
        <v>45102</v>
      </c>
    </row>
    <row r="4932" spans="1:24">
      <c r="A4932">
        <f>HYPERLINK("https://www.philgeps.gov.ph/GEPSNONPILOT/Tender/SplashBidNoticeAbstractUI.aspx?menuIndex=3&amp;refID=7043295&amp;Result=3","7043295")</f>
        <v>0</v>
      </c>
      <c r="B4932" t="s">
        <v>1637</v>
      </c>
      <c r="C4932" t="s">
        <v>7910</v>
      </c>
      <c r="D4932" t="s">
        <v>18036</v>
      </c>
      <c r="E4932" t="s">
        <v>22525</v>
      </c>
      <c r="F4932" t="s">
        <v>31574</v>
      </c>
      <c r="G4932" t="s">
        <v>31582</v>
      </c>
      <c r="H4932" t="s">
        <v>31590</v>
      </c>
      <c r="I4932" t="s">
        <v>31601</v>
      </c>
      <c r="J4932" t="s">
        <v>34928</v>
      </c>
      <c r="K4932" t="s">
        <v>41232</v>
      </c>
      <c r="L4932" t="s">
        <v>1637</v>
      </c>
      <c r="M4932" t="s">
        <v>43246</v>
      </c>
      <c r="N4932" t="s">
        <v>45095</v>
      </c>
      <c r="O4932" t="s">
        <v>45096</v>
      </c>
      <c r="P4932">
        <v>0</v>
      </c>
      <c r="Q4932">
        <v>0</v>
      </c>
      <c r="R4932" t="s">
        <v>45101</v>
      </c>
      <c r="S4932" t="s">
        <v>45231</v>
      </c>
      <c r="T4932" t="s">
        <v>46918</v>
      </c>
      <c r="U4932" t="s">
        <v>51614</v>
      </c>
      <c r="W4932" t="s">
        <v>43246</v>
      </c>
      <c r="X4932" t="s">
        <v>45102</v>
      </c>
    </row>
    <row r="4933" spans="1:24">
      <c r="A4933">
        <f>HYPERLINK("https://www.philgeps.gov.ph/GEPSNONPILOT/Tender/SplashBidNoticeAbstractUI.aspx?menuIndex=3&amp;refID=7043298&amp;Result=3","7043298")</f>
        <v>0</v>
      </c>
      <c r="B4933" t="s">
        <v>530</v>
      </c>
      <c r="C4933" t="s">
        <v>7911</v>
      </c>
      <c r="D4933" t="s">
        <v>18071</v>
      </c>
      <c r="E4933" t="s">
        <v>22526</v>
      </c>
      <c r="F4933" t="s">
        <v>31574</v>
      </c>
      <c r="G4933" t="s">
        <v>31582</v>
      </c>
      <c r="H4933" t="s">
        <v>31591</v>
      </c>
      <c r="I4933" t="s">
        <v>8822</v>
      </c>
      <c r="J4933" t="s">
        <v>34935</v>
      </c>
      <c r="K4933" t="s">
        <v>41189</v>
      </c>
      <c r="M4933" t="s">
        <v>43258</v>
      </c>
      <c r="N4933" t="s">
        <v>45095</v>
      </c>
      <c r="O4933" t="s">
        <v>45096</v>
      </c>
      <c r="P4933">
        <v>0</v>
      </c>
      <c r="Q4933">
        <v>0</v>
      </c>
      <c r="R4933" t="s">
        <v>45101</v>
      </c>
      <c r="S4933" t="s">
        <v>45231</v>
      </c>
      <c r="T4933" t="s">
        <v>47174</v>
      </c>
      <c r="U4933" t="s">
        <v>51615</v>
      </c>
      <c r="W4933" t="s">
        <v>43258</v>
      </c>
      <c r="X4933" t="s">
        <v>45102</v>
      </c>
    </row>
    <row r="4934" spans="1:24">
      <c r="A4934">
        <f>HYPERLINK("https://www.philgeps.gov.ph/GEPSNONPILOT/Tender/SplashBidNoticeAbstractUI.aspx?menuIndex=3&amp;refID=6858289&amp;Result=3","6858289")</f>
        <v>0</v>
      </c>
      <c r="B4934" t="s">
        <v>1643</v>
      </c>
      <c r="C4934" t="s">
        <v>7912</v>
      </c>
      <c r="D4934" t="s">
        <v>18079</v>
      </c>
      <c r="E4934" t="s">
        <v>22527</v>
      </c>
      <c r="F4934" t="s">
        <v>31574</v>
      </c>
      <c r="G4934" t="s">
        <v>31582</v>
      </c>
      <c r="H4934" t="s">
        <v>31590</v>
      </c>
      <c r="I4934" t="s">
        <v>7185</v>
      </c>
      <c r="J4934" t="s">
        <v>34936</v>
      </c>
      <c r="K4934" t="s">
        <v>41225</v>
      </c>
      <c r="M4934" t="s">
        <v>43253</v>
      </c>
      <c r="N4934" t="s">
        <v>45095</v>
      </c>
      <c r="O4934" t="s">
        <v>45096</v>
      </c>
      <c r="P4934">
        <v>0</v>
      </c>
      <c r="Q4934">
        <v>4</v>
      </c>
      <c r="R4934" t="s">
        <v>45102</v>
      </c>
      <c r="S4934" t="s">
        <v>45242</v>
      </c>
      <c r="T4934" t="s">
        <v>46962</v>
      </c>
      <c r="U4934" t="s">
        <v>51616</v>
      </c>
      <c r="V4934" t="s">
        <v>60377</v>
      </c>
      <c r="W4934" t="s">
        <v>43253</v>
      </c>
      <c r="X4934" t="s">
        <v>45199</v>
      </c>
    </row>
    <row r="4935" spans="1:24">
      <c r="A4935">
        <f>HYPERLINK("https://www.philgeps.gov.ph/GEPSNONPILOT/Tender/SplashBidNoticeAbstractUI.aspx?menuIndex=3&amp;refID=6947170&amp;Result=3","6947170")</f>
        <v>0</v>
      </c>
      <c r="B4935" t="s">
        <v>1643</v>
      </c>
      <c r="C4935" t="s">
        <v>7913</v>
      </c>
      <c r="D4935" t="s">
        <v>18079</v>
      </c>
      <c r="E4935" t="s">
        <v>22528</v>
      </c>
      <c r="F4935" t="s">
        <v>31574</v>
      </c>
      <c r="G4935" t="s">
        <v>31582</v>
      </c>
      <c r="H4935" t="s">
        <v>31590</v>
      </c>
      <c r="I4935" t="s">
        <v>8258</v>
      </c>
      <c r="J4935" t="s">
        <v>34937</v>
      </c>
      <c r="K4935" t="s">
        <v>41225</v>
      </c>
      <c r="M4935" t="s">
        <v>43253</v>
      </c>
      <c r="N4935" t="s">
        <v>45095</v>
      </c>
      <c r="O4935" t="s">
        <v>45096</v>
      </c>
      <c r="P4935">
        <v>0</v>
      </c>
      <c r="Q4935">
        <v>3</v>
      </c>
      <c r="R4935" t="s">
        <v>45102</v>
      </c>
      <c r="S4935" t="s">
        <v>45242</v>
      </c>
      <c r="T4935" t="s">
        <v>47151</v>
      </c>
      <c r="U4935" t="s">
        <v>51617</v>
      </c>
      <c r="V4935" t="s">
        <v>60376</v>
      </c>
      <c r="W4935" t="s">
        <v>43253</v>
      </c>
      <c r="X4935" t="s">
        <v>45166</v>
      </c>
    </row>
    <row r="4936" spans="1:24">
      <c r="A4936">
        <f>HYPERLINK("https://www.philgeps.gov.ph/GEPSNONPILOT/Tender/SplashBidNoticeAbstractUI.aspx?menuIndex=3&amp;refID=6984702&amp;Result=3","6984702")</f>
        <v>0</v>
      </c>
      <c r="B4936" t="s">
        <v>38</v>
      </c>
      <c r="C4936" t="s">
        <v>7914</v>
      </c>
      <c r="D4936" t="s">
        <v>18033</v>
      </c>
      <c r="E4936" t="s">
        <v>22529</v>
      </c>
      <c r="F4936" t="s">
        <v>31574</v>
      </c>
      <c r="G4936" t="s">
        <v>31582</v>
      </c>
      <c r="H4936" t="s">
        <v>31590</v>
      </c>
      <c r="I4936" t="s">
        <v>4046</v>
      </c>
      <c r="J4936" t="s">
        <v>34938</v>
      </c>
      <c r="K4936" t="s">
        <v>41190</v>
      </c>
      <c r="M4936" t="s">
        <v>41663</v>
      </c>
      <c r="N4936" t="s">
        <v>45095</v>
      </c>
      <c r="O4936" t="s">
        <v>45096</v>
      </c>
      <c r="P4936">
        <v>0</v>
      </c>
      <c r="Q4936">
        <v>0</v>
      </c>
      <c r="R4936" t="s">
        <v>45102</v>
      </c>
      <c r="S4936" t="s">
        <v>45242</v>
      </c>
      <c r="T4936" t="s">
        <v>46913</v>
      </c>
      <c r="U4936" t="s">
        <v>51618</v>
      </c>
      <c r="W4936" t="s">
        <v>41663</v>
      </c>
      <c r="X4936" t="s">
        <v>45138</v>
      </c>
    </row>
    <row r="4937" spans="1:24">
      <c r="A4937">
        <f>HYPERLINK("https://www.philgeps.gov.ph/GEPSNONPILOT/Tender/SplashBidNoticeAbstractUI.aspx?menuIndex=3&amp;refID=7017985&amp;Result=3","7017985")</f>
        <v>0</v>
      </c>
      <c r="B4937" t="s">
        <v>698</v>
      </c>
      <c r="C4937" t="s">
        <v>7915</v>
      </c>
      <c r="D4937" t="s">
        <v>18070</v>
      </c>
      <c r="E4937" t="s">
        <v>22388</v>
      </c>
      <c r="F4937" t="s">
        <v>31574</v>
      </c>
      <c r="G4937" t="s">
        <v>31582</v>
      </c>
      <c r="H4937" t="s">
        <v>31591</v>
      </c>
      <c r="I4937" t="s">
        <v>8822</v>
      </c>
      <c r="J4937" t="s">
        <v>31730</v>
      </c>
      <c r="K4937" t="s">
        <v>41200</v>
      </c>
      <c r="M4937" t="s">
        <v>42205</v>
      </c>
      <c r="N4937" t="s">
        <v>45095</v>
      </c>
      <c r="O4937" t="s">
        <v>45096</v>
      </c>
      <c r="P4937">
        <v>0</v>
      </c>
      <c r="Q4937">
        <v>0</v>
      </c>
      <c r="R4937" t="s">
        <v>45102</v>
      </c>
      <c r="S4937" t="s">
        <v>45242</v>
      </c>
      <c r="T4937" t="s">
        <v>47166</v>
      </c>
      <c r="U4937" t="s">
        <v>51619</v>
      </c>
      <c r="V4937" t="s">
        <v>60378</v>
      </c>
      <c r="W4937" t="s">
        <v>42205</v>
      </c>
      <c r="X4937" t="s">
        <v>45115</v>
      </c>
    </row>
    <row r="4938" spans="1:24">
      <c r="A4938">
        <f>HYPERLINK("https://www.philgeps.gov.ph/GEPSNONPILOT/Tender/SplashBidNoticeAbstractUI.aspx?menuIndex=3&amp;refID=7011163&amp;Result=3","7011163")</f>
        <v>0</v>
      </c>
      <c r="B4938" t="s">
        <v>1648</v>
      </c>
      <c r="C4938" t="s">
        <v>7916</v>
      </c>
      <c r="E4938" t="s">
        <v>22530</v>
      </c>
      <c r="F4938" t="s">
        <v>31574</v>
      </c>
      <c r="G4938" t="s">
        <v>31581</v>
      </c>
      <c r="H4938" t="s">
        <v>31590</v>
      </c>
      <c r="I4938" t="s">
        <v>31614</v>
      </c>
      <c r="J4938" t="s">
        <v>31744</v>
      </c>
      <c r="K4938" t="s">
        <v>41186</v>
      </c>
      <c r="M4938" t="s">
        <v>43259</v>
      </c>
      <c r="N4938" t="s">
        <v>45095</v>
      </c>
      <c r="O4938" t="s">
        <v>45096</v>
      </c>
      <c r="P4938">
        <v>0</v>
      </c>
      <c r="Q4938">
        <v>2</v>
      </c>
      <c r="R4938" t="s">
        <v>45102</v>
      </c>
      <c r="S4938" t="s">
        <v>45242</v>
      </c>
      <c r="T4938" t="s">
        <v>47008</v>
      </c>
      <c r="U4938" t="s">
        <v>51620</v>
      </c>
      <c r="W4938" t="s">
        <v>61714</v>
      </c>
      <c r="X4938" t="s">
        <v>45118</v>
      </c>
    </row>
    <row r="4939" spans="1:24">
      <c r="A4939">
        <f>HYPERLINK("https://www.philgeps.gov.ph/GEPSNONPILOT/Tender/SplashBidNoticeAbstractUI.aspx?menuIndex=3&amp;refID=7017519-2&amp;Result=3","7017519-2")</f>
        <v>0</v>
      </c>
      <c r="B4939" t="s">
        <v>1649</v>
      </c>
      <c r="C4939" t="s">
        <v>7917</v>
      </c>
      <c r="D4939" t="s">
        <v>18066</v>
      </c>
      <c r="E4939" t="s">
        <v>22531</v>
      </c>
      <c r="F4939" t="s">
        <v>31574</v>
      </c>
      <c r="G4939" t="s">
        <v>31582</v>
      </c>
      <c r="H4939" t="s">
        <v>31593</v>
      </c>
      <c r="I4939" t="s">
        <v>31659</v>
      </c>
      <c r="J4939" t="s">
        <v>34939</v>
      </c>
      <c r="K4939" t="s">
        <v>41200</v>
      </c>
      <c r="M4939" t="s">
        <v>43260</v>
      </c>
      <c r="N4939" t="s">
        <v>45095</v>
      </c>
      <c r="O4939" t="s">
        <v>45096</v>
      </c>
      <c r="P4939">
        <v>0</v>
      </c>
      <c r="Q4939">
        <v>1</v>
      </c>
      <c r="R4939" t="s">
        <v>45102</v>
      </c>
      <c r="S4939" t="s">
        <v>45242</v>
      </c>
      <c r="T4939" t="s">
        <v>46957</v>
      </c>
      <c r="U4939" t="s">
        <v>51621</v>
      </c>
      <c r="W4939" t="s">
        <v>43260</v>
      </c>
      <c r="X4939" t="s">
        <v>45103</v>
      </c>
    </row>
    <row r="4940" spans="1:24">
      <c r="A4940">
        <f>HYPERLINK("https://www.philgeps.gov.ph/GEPSNONPILOT/Tender/SplashBidNoticeAbstractUI.aspx?menuIndex=3&amp;refID=7010886&amp;Result=3","7010886")</f>
        <v>0</v>
      </c>
      <c r="B4940" t="s">
        <v>1648</v>
      </c>
      <c r="C4940" t="s">
        <v>7918</v>
      </c>
      <c r="E4940" t="s">
        <v>22532</v>
      </c>
      <c r="F4940" t="s">
        <v>31574</v>
      </c>
      <c r="G4940" t="s">
        <v>31581</v>
      </c>
      <c r="H4940" t="s">
        <v>31590</v>
      </c>
      <c r="I4940" t="s">
        <v>31614</v>
      </c>
      <c r="J4940" t="s">
        <v>34940</v>
      </c>
      <c r="K4940" t="s">
        <v>41186</v>
      </c>
      <c r="M4940" t="s">
        <v>43259</v>
      </c>
      <c r="N4940" t="s">
        <v>45095</v>
      </c>
      <c r="O4940" t="s">
        <v>45096</v>
      </c>
      <c r="P4940">
        <v>0</v>
      </c>
      <c r="Q4940">
        <v>1</v>
      </c>
      <c r="R4940" t="s">
        <v>45102</v>
      </c>
      <c r="S4940" t="s">
        <v>45242</v>
      </c>
      <c r="T4940" t="s">
        <v>47008</v>
      </c>
      <c r="U4940" t="s">
        <v>51622</v>
      </c>
      <c r="W4940" t="s">
        <v>61714</v>
      </c>
      <c r="X4940" t="s">
        <v>45118</v>
      </c>
    </row>
    <row r="4941" spans="1:24">
      <c r="A4941">
        <f>HYPERLINK("https://www.philgeps.gov.ph/GEPSNONPILOT/Tender/SplashBidNoticeAbstractUI.aspx?menuIndex=3&amp;refID=7030280&amp;Result=3","7030280")</f>
        <v>0</v>
      </c>
      <c r="B4941" t="s">
        <v>1650</v>
      </c>
      <c r="C4941" t="s">
        <v>7919</v>
      </c>
      <c r="D4941" t="s">
        <v>18046</v>
      </c>
      <c r="E4941" t="s">
        <v>22533</v>
      </c>
      <c r="F4941" t="s">
        <v>31574</v>
      </c>
      <c r="G4941" t="s">
        <v>31582</v>
      </c>
      <c r="H4941" t="s">
        <v>31590</v>
      </c>
      <c r="I4941" t="s">
        <v>31608</v>
      </c>
      <c r="J4941" t="s">
        <v>32530</v>
      </c>
      <c r="K4941" t="s">
        <v>41192</v>
      </c>
      <c r="M4941" t="s">
        <v>43261</v>
      </c>
      <c r="N4941" t="s">
        <v>45095</v>
      </c>
      <c r="O4941" t="s">
        <v>45096</v>
      </c>
      <c r="P4941">
        <v>0</v>
      </c>
      <c r="Q4941">
        <v>3</v>
      </c>
      <c r="R4941" t="s">
        <v>45102</v>
      </c>
      <c r="S4941" t="s">
        <v>45242</v>
      </c>
      <c r="T4941" t="s">
        <v>47199</v>
      </c>
      <c r="U4941" t="s">
        <v>51623</v>
      </c>
      <c r="W4941" t="s">
        <v>43261</v>
      </c>
      <c r="X4941" t="s">
        <v>45108</v>
      </c>
    </row>
    <row r="4942" spans="1:24">
      <c r="A4942">
        <f>HYPERLINK("https://www.philgeps.gov.ph/GEPSNONPILOT/Tender/SplashBidNoticeAbstractUI.aspx?menuIndex=3&amp;refID=7010943&amp;Result=3","7010943")</f>
        <v>0</v>
      </c>
      <c r="B4942" t="s">
        <v>1648</v>
      </c>
      <c r="C4942" t="s">
        <v>7920</v>
      </c>
      <c r="E4942" t="s">
        <v>22534</v>
      </c>
      <c r="F4942" t="s">
        <v>31574</v>
      </c>
      <c r="G4942" t="s">
        <v>31581</v>
      </c>
      <c r="H4942" t="s">
        <v>31590</v>
      </c>
      <c r="I4942" t="s">
        <v>31676</v>
      </c>
      <c r="J4942" t="s">
        <v>33620</v>
      </c>
      <c r="K4942" t="s">
        <v>41186</v>
      </c>
      <c r="M4942" t="s">
        <v>43259</v>
      </c>
      <c r="N4942" t="s">
        <v>45095</v>
      </c>
      <c r="O4942" t="s">
        <v>45096</v>
      </c>
      <c r="Q4942">
        <v>2</v>
      </c>
      <c r="R4942" t="s">
        <v>45102</v>
      </c>
      <c r="S4942" t="s">
        <v>45243</v>
      </c>
      <c r="T4942" t="s">
        <v>47008</v>
      </c>
      <c r="U4942" t="s">
        <v>51624</v>
      </c>
      <c r="W4942" t="s">
        <v>61714</v>
      </c>
      <c r="X4942" t="s">
        <v>45118</v>
      </c>
    </row>
    <row r="4943" spans="1:24">
      <c r="A4943">
        <f>HYPERLINK("https://www.philgeps.gov.ph/GEPSNONPILOT/Tender/SplashBidNoticeAbstractUI.aspx?menuIndex=3&amp;refID=7031018&amp;Result=3","7031018")</f>
        <v>0</v>
      </c>
      <c r="B4943" t="s">
        <v>1651</v>
      </c>
      <c r="C4943" t="s">
        <v>7921</v>
      </c>
      <c r="D4943" t="s">
        <v>18040</v>
      </c>
      <c r="E4943" t="s">
        <v>22535</v>
      </c>
      <c r="F4943" t="s">
        <v>31574</v>
      </c>
      <c r="G4943" t="s">
        <v>31582</v>
      </c>
      <c r="H4943" t="s">
        <v>31590</v>
      </c>
      <c r="I4943" t="s">
        <v>8258</v>
      </c>
      <c r="J4943" t="s">
        <v>34941</v>
      </c>
      <c r="K4943" t="s">
        <v>41184</v>
      </c>
      <c r="M4943" t="s">
        <v>43262</v>
      </c>
      <c r="N4943" t="s">
        <v>45095</v>
      </c>
      <c r="O4943" t="s">
        <v>45096</v>
      </c>
      <c r="P4943">
        <v>0</v>
      </c>
      <c r="Q4943">
        <v>1</v>
      </c>
      <c r="R4943" t="s">
        <v>45102</v>
      </c>
      <c r="S4943" t="s">
        <v>45242</v>
      </c>
      <c r="T4943" t="s">
        <v>47198</v>
      </c>
      <c r="U4943" t="s">
        <v>51625</v>
      </c>
      <c r="W4943" t="s">
        <v>43262</v>
      </c>
      <c r="X4943" t="s">
        <v>45108</v>
      </c>
    </row>
    <row r="4944" spans="1:24">
      <c r="A4944">
        <f>HYPERLINK("https://www.philgeps.gov.ph/GEPSNONPILOT/Tender/SplashBidNoticeAbstractUI.aspx?menuIndex=3&amp;refID=7034111&amp;Result=3","7034111")</f>
        <v>0</v>
      </c>
      <c r="B4944" t="s">
        <v>1652</v>
      </c>
      <c r="C4944" t="s">
        <v>7922</v>
      </c>
      <c r="D4944" t="s">
        <v>18039</v>
      </c>
      <c r="E4944" t="s">
        <v>22536</v>
      </c>
      <c r="F4944" t="s">
        <v>31574</v>
      </c>
      <c r="G4944" t="s">
        <v>31582</v>
      </c>
      <c r="H4944" t="s">
        <v>31590</v>
      </c>
      <c r="I4944" t="s">
        <v>31600</v>
      </c>
      <c r="J4944" t="s">
        <v>34942</v>
      </c>
      <c r="K4944" t="s">
        <v>41196</v>
      </c>
      <c r="M4944" t="s">
        <v>43263</v>
      </c>
      <c r="N4944" t="s">
        <v>45095</v>
      </c>
      <c r="O4944" t="s">
        <v>45096</v>
      </c>
      <c r="P4944">
        <v>0</v>
      </c>
      <c r="Q4944">
        <v>0</v>
      </c>
      <c r="R4944" t="s">
        <v>45102</v>
      </c>
      <c r="S4944" t="s">
        <v>45242</v>
      </c>
      <c r="T4944" t="s">
        <v>47004</v>
      </c>
      <c r="U4944" t="s">
        <v>51626</v>
      </c>
      <c r="W4944" t="s">
        <v>43263</v>
      </c>
      <c r="X4944" t="s">
        <v>45105</v>
      </c>
    </row>
    <row r="4945" spans="1:24">
      <c r="A4945">
        <f>HYPERLINK("https://www.philgeps.gov.ph/GEPSNONPILOT/Tender/SplashBidNoticeAbstractUI.aspx?menuIndex=3&amp;refID=7018107&amp;Result=3","7018107")</f>
        <v>0</v>
      </c>
      <c r="B4945" t="s">
        <v>698</v>
      </c>
      <c r="C4945" t="s">
        <v>7923</v>
      </c>
      <c r="D4945" t="s">
        <v>18070</v>
      </c>
      <c r="E4945" t="s">
        <v>22399</v>
      </c>
      <c r="F4945" t="s">
        <v>31574</v>
      </c>
      <c r="G4945" t="s">
        <v>31582</v>
      </c>
      <c r="H4945" t="s">
        <v>31591</v>
      </c>
      <c r="I4945" t="s">
        <v>8822</v>
      </c>
      <c r="J4945" t="s">
        <v>34943</v>
      </c>
      <c r="K4945" t="s">
        <v>41185</v>
      </c>
      <c r="M4945" t="s">
        <v>42205</v>
      </c>
      <c r="N4945" t="s">
        <v>45095</v>
      </c>
      <c r="O4945" t="s">
        <v>45096</v>
      </c>
      <c r="P4945">
        <v>0</v>
      </c>
      <c r="Q4945">
        <v>1</v>
      </c>
      <c r="R4945" t="s">
        <v>45102</v>
      </c>
      <c r="S4945" t="s">
        <v>45242</v>
      </c>
      <c r="T4945" t="s">
        <v>47166</v>
      </c>
      <c r="U4945" t="s">
        <v>51627</v>
      </c>
      <c r="V4945" t="s">
        <v>60378</v>
      </c>
      <c r="W4945" t="s">
        <v>42205</v>
      </c>
      <c r="X4945" t="s">
        <v>45115</v>
      </c>
    </row>
    <row r="4946" spans="1:24">
      <c r="A4946">
        <f>HYPERLINK("https://www.philgeps.gov.ph/GEPSNONPILOT/Tender/SplashBidNoticeAbstractUI.aspx?menuIndex=3&amp;refID=7031453&amp;Result=3","7031453")</f>
        <v>0</v>
      </c>
      <c r="B4946" t="s">
        <v>1653</v>
      </c>
      <c r="C4946" t="s">
        <v>7924</v>
      </c>
      <c r="D4946" t="s">
        <v>18090</v>
      </c>
      <c r="E4946" t="s">
        <v>22537</v>
      </c>
      <c r="F4946" t="s">
        <v>31574</v>
      </c>
      <c r="G4946" t="s">
        <v>31585</v>
      </c>
      <c r="H4946" t="s">
        <v>31590</v>
      </c>
      <c r="I4946" t="s">
        <v>31600</v>
      </c>
      <c r="J4946" t="s">
        <v>34944</v>
      </c>
      <c r="K4946" t="s">
        <v>41196</v>
      </c>
      <c r="M4946" t="s">
        <v>43264</v>
      </c>
      <c r="N4946" t="s">
        <v>45095</v>
      </c>
      <c r="O4946" t="s">
        <v>45096</v>
      </c>
      <c r="P4946">
        <v>0</v>
      </c>
      <c r="Q4946">
        <v>1</v>
      </c>
      <c r="R4946" t="s">
        <v>45102</v>
      </c>
      <c r="S4946" t="s">
        <v>45242</v>
      </c>
      <c r="T4946" t="s">
        <v>46991</v>
      </c>
      <c r="U4946" t="s">
        <v>51628</v>
      </c>
      <c r="W4946" t="s">
        <v>43264</v>
      </c>
      <c r="X4946" t="s">
        <v>45108</v>
      </c>
    </row>
    <row r="4947" spans="1:24">
      <c r="A4947">
        <f>HYPERLINK("https://www.philgeps.gov.ph/GEPSNONPILOT/Tender/SplashBidNoticeAbstractUI.aspx?menuIndex=3&amp;refID=7033009&amp;Result=3","7033009")</f>
        <v>0</v>
      </c>
      <c r="B4947" t="s">
        <v>1650</v>
      </c>
      <c r="C4947" t="s">
        <v>7925</v>
      </c>
      <c r="D4947" t="s">
        <v>18046</v>
      </c>
      <c r="E4947" t="s">
        <v>22538</v>
      </c>
      <c r="F4947" t="s">
        <v>31574</v>
      </c>
      <c r="G4947" t="s">
        <v>31582</v>
      </c>
      <c r="H4947" t="s">
        <v>31590</v>
      </c>
      <c r="I4947" t="s">
        <v>31614</v>
      </c>
      <c r="J4947" t="s">
        <v>32232</v>
      </c>
      <c r="K4947" t="s">
        <v>41186</v>
      </c>
      <c r="M4947" t="s">
        <v>43261</v>
      </c>
      <c r="N4947" t="s">
        <v>45095</v>
      </c>
      <c r="O4947" t="s">
        <v>45096</v>
      </c>
      <c r="P4947">
        <v>0</v>
      </c>
      <c r="Q4947">
        <v>1</v>
      </c>
      <c r="R4947" t="s">
        <v>45102</v>
      </c>
      <c r="S4947" t="s">
        <v>45242</v>
      </c>
      <c r="T4947" t="s">
        <v>47064</v>
      </c>
      <c r="U4947" t="s">
        <v>51629</v>
      </c>
      <c r="W4947" t="s">
        <v>43261</v>
      </c>
      <c r="X4947" t="s">
        <v>45105</v>
      </c>
    </row>
    <row r="4948" spans="1:24">
      <c r="A4948">
        <f>HYPERLINK("https://www.philgeps.gov.ph/GEPSNONPILOT/Tender/SplashBidNoticeAbstractUI.aspx?menuIndex=3&amp;refID=7033748&amp;Result=3","7033748")</f>
        <v>0</v>
      </c>
      <c r="B4948" t="s">
        <v>1654</v>
      </c>
      <c r="C4948" t="s">
        <v>7926</v>
      </c>
      <c r="D4948" t="s">
        <v>18091</v>
      </c>
      <c r="E4948" t="s">
        <v>22539</v>
      </c>
      <c r="F4948" t="s">
        <v>31574</v>
      </c>
      <c r="G4948" t="s">
        <v>31581</v>
      </c>
      <c r="H4948" t="s">
        <v>31590</v>
      </c>
      <c r="I4948" t="s">
        <v>31625</v>
      </c>
      <c r="J4948" t="s">
        <v>34945</v>
      </c>
      <c r="K4948" t="s">
        <v>41196</v>
      </c>
      <c r="M4948" t="s">
        <v>43265</v>
      </c>
      <c r="N4948" t="s">
        <v>45095</v>
      </c>
      <c r="O4948" t="s">
        <v>45096</v>
      </c>
      <c r="P4948">
        <v>0</v>
      </c>
      <c r="Q4948">
        <v>0</v>
      </c>
      <c r="R4948" t="s">
        <v>45102</v>
      </c>
      <c r="S4948" t="s">
        <v>45242</v>
      </c>
      <c r="T4948" t="s">
        <v>47159</v>
      </c>
      <c r="U4948" t="s">
        <v>51630</v>
      </c>
      <c r="W4948" t="s">
        <v>43265</v>
      </c>
      <c r="X4948" t="s">
        <v>45105</v>
      </c>
    </row>
    <row r="4949" spans="1:24">
      <c r="A4949">
        <f>HYPERLINK("https://www.philgeps.gov.ph/GEPSNONPILOT/Tender/SplashBidNoticeAbstractUI.aspx?menuIndex=3&amp;refID=7033072&amp;Result=3","7033072")</f>
        <v>0</v>
      </c>
      <c r="B4949" t="s">
        <v>1650</v>
      </c>
      <c r="C4949" t="s">
        <v>7927</v>
      </c>
      <c r="D4949" t="s">
        <v>18046</v>
      </c>
      <c r="E4949" t="s">
        <v>22540</v>
      </c>
      <c r="F4949" t="s">
        <v>31574</v>
      </c>
      <c r="G4949" t="s">
        <v>31582</v>
      </c>
      <c r="H4949" t="s">
        <v>31590</v>
      </c>
      <c r="I4949" t="s">
        <v>31623</v>
      </c>
      <c r="J4949" t="s">
        <v>34946</v>
      </c>
      <c r="K4949" t="s">
        <v>41201</v>
      </c>
      <c r="M4949" t="s">
        <v>43261</v>
      </c>
      <c r="N4949" t="s">
        <v>45095</v>
      </c>
      <c r="O4949" t="s">
        <v>45096</v>
      </c>
      <c r="P4949">
        <v>0</v>
      </c>
      <c r="Q4949">
        <v>0</v>
      </c>
      <c r="R4949" t="s">
        <v>45102</v>
      </c>
      <c r="S4949" t="s">
        <v>45242</v>
      </c>
      <c r="T4949" t="s">
        <v>47064</v>
      </c>
      <c r="U4949" t="s">
        <v>51631</v>
      </c>
      <c r="W4949" t="s">
        <v>43261</v>
      </c>
      <c r="X4949" t="s">
        <v>45105</v>
      </c>
    </row>
    <row r="4950" spans="1:24">
      <c r="A4950">
        <f>HYPERLINK("https://www.philgeps.gov.ph/GEPSNONPILOT/Tender/SplashBidNoticeAbstractUI.aspx?menuIndex=3&amp;refID=7032604&amp;Result=3","7032604")</f>
        <v>0</v>
      </c>
      <c r="B4950" t="s">
        <v>39</v>
      </c>
      <c r="C4950" t="s">
        <v>7928</v>
      </c>
      <c r="D4950" t="s">
        <v>18034</v>
      </c>
      <c r="E4950" t="s">
        <v>22541</v>
      </c>
      <c r="F4950" t="s">
        <v>31574</v>
      </c>
      <c r="G4950" t="s">
        <v>31582</v>
      </c>
      <c r="H4950" t="s">
        <v>31591</v>
      </c>
      <c r="I4950" t="s">
        <v>8822</v>
      </c>
      <c r="J4950" t="s">
        <v>34947</v>
      </c>
      <c r="K4950" t="s">
        <v>41195</v>
      </c>
      <c r="M4950" t="s">
        <v>41522</v>
      </c>
      <c r="N4950" t="s">
        <v>45095</v>
      </c>
      <c r="O4950" t="s">
        <v>45096</v>
      </c>
      <c r="P4950">
        <v>0</v>
      </c>
      <c r="Q4950">
        <v>0</v>
      </c>
      <c r="R4950" t="s">
        <v>45102</v>
      </c>
      <c r="S4950" t="s">
        <v>45242</v>
      </c>
      <c r="T4950" t="s">
        <v>46963</v>
      </c>
      <c r="U4950" t="s">
        <v>51632</v>
      </c>
      <c r="W4950" t="s">
        <v>41522</v>
      </c>
      <c r="X4950" t="s">
        <v>45106</v>
      </c>
    </row>
    <row r="4951" spans="1:24">
      <c r="A4951">
        <f>HYPERLINK("https://www.philgeps.gov.ph/GEPSNONPILOT/Tender/SplashBidNoticeAbstractUI.aspx?menuIndex=3&amp;refID=7032256&amp;Result=3","7032256")</f>
        <v>0</v>
      </c>
      <c r="B4951" t="s">
        <v>1431</v>
      </c>
      <c r="C4951" t="s">
        <v>7929</v>
      </c>
      <c r="D4951" t="s">
        <v>18066</v>
      </c>
      <c r="E4951" t="s">
        <v>22542</v>
      </c>
      <c r="F4951" t="s">
        <v>31574</v>
      </c>
      <c r="G4951" t="s">
        <v>31582</v>
      </c>
      <c r="H4951" t="s">
        <v>31591</v>
      </c>
      <c r="I4951" t="s">
        <v>8822</v>
      </c>
      <c r="J4951" t="s">
        <v>34948</v>
      </c>
      <c r="K4951" t="s">
        <v>41233</v>
      </c>
      <c r="M4951" t="s">
        <v>43007</v>
      </c>
      <c r="N4951" t="s">
        <v>45095</v>
      </c>
      <c r="O4951" t="s">
        <v>45096</v>
      </c>
      <c r="P4951">
        <v>0</v>
      </c>
      <c r="Q4951">
        <v>1</v>
      </c>
      <c r="R4951" t="s">
        <v>45102</v>
      </c>
      <c r="S4951" t="s">
        <v>45242</v>
      </c>
      <c r="T4951" t="s">
        <v>47229</v>
      </c>
      <c r="U4951" t="s">
        <v>51633</v>
      </c>
      <c r="W4951" t="s">
        <v>43007</v>
      </c>
      <c r="X4951" t="s">
        <v>45107</v>
      </c>
    </row>
    <row r="4952" spans="1:24">
      <c r="A4952">
        <f>HYPERLINK("https://www.philgeps.gov.ph/GEPSNONPILOT/Tender/SplashBidNoticeAbstractUI.aspx?menuIndex=3&amp;refID=7032245&amp;Result=3","7032245")</f>
        <v>0</v>
      </c>
      <c r="B4952" t="s">
        <v>1431</v>
      </c>
      <c r="C4952" t="s">
        <v>7930</v>
      </c>
      <c r="D4952" t="s">
        <v>18066</v>
      </c>
      <c r="E4952" t="s">
        <v>22543</v>
      </c>
      <c r="F4952" t="s">
        <v>31574</v>
      </c>
      <c r="G4952" t="s">
        <v>31582</v>
      </c>
      <c r="H4952" t="s">
        <v>31591</v>
      </c>
      <c r="I4952" t="s">
        <v>8822</v>
      </c>
      <c r="J4952" t="s">
        <v>34949</v>
      </c>
      <c r="K4952" t="s">
        <v>41192</v>
      </c>
      <c r="M4952" t="s">
        <v>43007</v>
      </c>
      <c r="N4952" t="s">
        <v>45095</v>
      </c>
      <c r="O4952" t="s">
        <v>45096</v>
      </c>
      <c r="P4952">
        <v>0</v>
      </c>
      <c r="Q4952">
        <v>1</v>
      </c>
      <c r="R4952" t="s">
        <v>45102</v>
      </c>
      <c r="S4952" t="s">
        <v>45242</v>
      </c>
      <c r="T4952" t="s">
        <v>47229</v>
      </c>
      <c r="U4952" t="s">
        <v>51634</v>
      </c>
      <c r="W4952" t="s">
        <v>43007</v>
      </c>
      <c r="X4952" t="s">
        <v>45107</v>
      </c>
    </row>
    <row r="4953" spans="1:24">
      <c r="A4953">
        <f>HYPERLINK("https://www.philgeps.gov.ph/GEPSNONPILOT/Tender/SplashBidNoticeAbstractUI.aspx?menuIndex=3&amp;refID=7032263&amp;Result=3","7032263")</f>
        <v>0</v>
      </c>
      <c r="B4953" t="s">
        <v>1431</v>
      </c>
      <c r="C4953" t="s">
        <v>7931</v>
      </c>
      <c r="D4953" t="s">
        <v>18066</v>
      </c>
      <c r="E4953" t="s">
        <v>22544</v>
      </c>
      <c r="F4953" t="s">
        <v>31574</v>
      </c>
      <c r="G4953" t="s">
        <v>31582</v>
      </c>
      <c r="H4953" t="s">
        <v>31591</v>
      </c>
      <c r="I4953" t="s">
        <v>8822</v>
      </c>
      <c r="J4953" t="s">
        <v>34950</v>
      </c>
      <c r="K4953" t="s">
        <v>41186</v>
      </c>
      <c r="M4953" t="s">
        <v>43007</v>
      </c>
      <c r="N4953" t="s">
        <v>45095</v>
      </c>
      <c r="O4953" t="s">
        <v>45096</v>
      </c>
      <c r="P4953">
        <v>0</v>
      </c>
      <c r="Q4953">
        <v>1</v>
      </c>
      <c r="R4953" t="s">
        <v>45102</v>
      </c>
      <c r="S4953" t="s">
        <v>45242</v>
      </c>
      <c r="T4953" t="s">
        <v>47229</v>
      </c>
      <c r="U4953" t="s">
        <v>51635</v>
      </c>
      <c r="W4953" t="s">
        <v>43007</v>
      </c>
      <c r="X4953" t="s">
        <v>45107</v>
      </c>
    </row>
    <row r="4954" spans="1:24">
      <c r="A4954">
        <f>HYPERLINK("https://www.philgeps.gov.ph/GEPSNONPILOT/Tender/SplashBidNoticeAbstractUI.aspx?menuIndex=3&amp;refID=7032605&amp;Result=3","7032605")</f>
        <v>0</v>
      </c>
      <c r="B4954" t="s">
        <v>135</v>
      </c>
      <c r="C4954" t="s">
        <v>7932</v>
      </c>
      <c r="D4954" t="s">
        <v>18022</v>
      </c>
      <c r="E4954" t="s">
        <v>22545</v>
      </c>
      <c r="F4954" t="s">
        <v>31574</v>
      </c>
      <c r="G4954" t="s">
        <v>31582</v>
      </c>
      <c r="H4954" t="s">
        <v>31590</v>
      </c>
      <c r="I4954" t="s">
        <v>8258</v>
      </c>
      <c r="J4954" t="s">
        <v>32411</v>
      </c>
      <c r="K4954" t="s">
        <v>41184</v>
      </c>
      <c r="M4954" t="s">
        <v>43266</v>
      </c>
      <c r="N4954" t="s">
        <v>45095</v>
      </c>
      <c r="O4954" t="s">
        <v>45096</v>
      </c>
      <c r="P4954">
        <v>0</v>
      </c>
      <c r="Q4954">
        <v>1</v>
      </c>
      <c r="R4954" t="s">
        <v>45102</v>
      </c>
      <c r="S4954" t="s">
        <v>45242</v>
      </c>
      <c r="T4954" t="s">
        <v>47004</v>
      </c>
      <c r="U4954" t="s">
        <v>51636</v>
      </c>
      <c r="W4954" t="s">
        <v>43266</v>
      </c>
      <c r="X4954" t="s">
        <v>45106</v>
      </c>
    </row>
    <row r="4955" spans="1:24">
      <c r="A4955">
        <f>HYPERLINK("https://www.philgeps.gov.ph/GEPSNONPILOT/Tender/SplashBidNoticeAbstractUI.aspx?menuIndex=3&amp;refID=7032251&amp;Result=3","7032251")</f>
        <v>0</v>
      </c>
      <c r="B4955" t="s">
        <v>1431</v>
      </c>
      <c r="C4955" t="s">
        <v>7933</v>
      </c>
      <c r="D4955" t="s">
        <v>18066</v>
      </c>
      <c r="E4955" t="s">
        <v>22546</v>
      </c>
      <c r="F4955" t="s">
        <v>31574</v>
      </c>
      <c r="G4955" t="s">
        <v>31582</v>
      </c>
      <c r="H4955" t="s">
        <v>31591</v>
      </c>
      <c r="I4955" t="s">
        <v>8822</v>
      </c>
      <c r="J4955" t="s">
        <v>34951</v>
      </c>
      <c r="K4955" t="s">
        <v>41186</v>
      </c>
      <c r="M4955" t="s">
        <v>43007</v>
      </c>
      <c r="N4955" t="s">
        <v>45095</v>
      </c>
      <c r="O4955" t="s">
        <v>45096</v>
      </c>
      <c r="P4955">
        <v>0</v>
      </c>
      <c r="Q4955">
        <v>1</v>
      </c>
      <c r="R4955" t="s">
        <v>45102</v>
      </c>
      <c r="S4955" t="s">
        <v>45242</v>
      </c>
      <c r="T4955" t="s">
        <v>47229</v>
      </c>
      <c r="U4955" t="s">
        <v>51637</v>
      </c>
      <c r="W4955" t="s">
        <v>43007</v>
      </c>
      <c r="X4955" t="s">
        <v>45107</v>
      </c>
    </row>
    <row r="4956" spans="1:24">
      <c r="A4956">
        <f>HYPERLINK("https://www.philgeps.gov.ph/GEPSNONPILOT/Tender/SplashBidNoticeAbstractUI.aspx?menuIndex=3&amp;refID=7034236&amp;Result=3","7034236")</f>
        <v>0</v>
      </c>
      <c r="B4956" t="s">
        <v>1655</v>
      </c>
      <c r="C4956" t="s">
        <v>7934</v>
      </c>
      <c r="D4956" t="s">
        <v>18030</v>
      </c>
      <c r="E4956" t="s">
        <v>22547</v>
      </c>
      <c r="F4956" t="s">
        <v>31574</v>
      </c>
      <c r="G4956" t="s">
        <v>31582</v>
      </c>
      <c r="H4956" t="s">
        <v>31591</v>
      </c>
      <c r="I4956" t="s">
        <v>8822</v>
      </c>
      <c r="J4956" t="s">
        <v>34952</v>
      </c>
      <c r="K4956" t="s">
        <v>41198</v>
      </c>
      <c r="M4956" t="s">
        <v>43267</v>
      </c>
      <c r="N4956" t="s">
        <v>45095</v>
      </c>
      <c r="O4956" t="s">
        <v>45096</v>
      </c>
      <c r="P4956">
        <v>0</v>
      </c>
      <c r="Q4956">
        <v>1</v>
      </c>
      <c r="R4956" t="s">
        <v>45102</v>
      </c>
      <c r="S4956" t="s">
        <v>45242</v>
      </c>
      <c r="T4956" t="s">
        <v>47230</v>
      </c>
      <c r="U4956" t="s">
        <v>51638</v>
      </c>
      <c r="W4956" t="s">
        <v>43267</v>
      </c>
      <c r="X4956" t="s">
        <v>45105</v>
      </c>
    </row>
    <row r="4957" spans="1:24">
      <c r="A4957">
        <f>HYPERLINK("https://www.philgeps.gov.ph/GEPSNONPILOT/Tender/SplashBidNoticeAbstractUI.aspx?menuIndex=3&amp;refID=7034267&amp;Result=3","7034267")</f>
        <v>0</v>
      </c>
      <c r="B4957" t="s">
        <v>1655</v>
      </c>
      <c r="C4957" t="s">
        <v>7935</v>
      </c>
      <c r="D4957" t="s">
        <v>18030</v>
      </c>
      <c r="E4957" t="s">
        <v>22548</v>
      </c>
      <c r="F4957" t="s">
        <v>31574</v>
      </c>
      <c r="G4957" t="s">
        <v>31582</v>
      </c>
      <c r="H4957" t="s">
        <v>31591</v>
      </c>
      <c r="I4957" t="s">
        <v>8822</v>
      </c>
      <c r="J4957" t="s">
        <v>32076</v>
      </c>
      <c r="K4957" t="s">
        <v>41217</v>
      </c>
      <c r="M4957" t="s">
        <v>43267</v>
      </c>
      <c r="N4957" t="s">
        <v>45095</v>
      </c>
      <c r="O4957" t="s">
        <v>45096</v>
      </c>
      <c r="P4957">
        <v>0</v>
      </c>
      <c r="Q4957">
        <v>1</v>
      </c>
      <c r="R4957" t="s">
        <v>45102</v>
      </c>
      <c r="S4957" t="s">
        <v>45242</v>
      </c>
      <c r="T4957" t="s">
        <v>47230</v>
      </c>
      <c r="U4957" t="s">
        <v>51639</v>
      </c>
      <c r="W4957" t="s">
        <v>43267</v>
      </c>
      <c r="X4957" t="s">
        <v>45105</v>
      </c>
    </row>
    <row r="4958" spans="1:24">
      <c r="A4958">
        <f>HYPERLINK("https://www.philgeps.gov.ph/GEPSNONPILOT/Tender/SplashBidNoticeAbstractUI.aspx?menuIndex=3&amp;refID=7018772&amp;Result=3","7018772")</f>
        <v>0</v>
      </c>
      <c r="B4958" t="s">
        <v>1656</v>
      </c>
      <c r="C4958" t="s">
        <v>7936</v>
      </c>
      <c r="D4958" t="s">
        <v>18022</v>
      </c>
      <c r="E4958" t="s">
        <v>22549</v>
      </c>
      <c r="F4958" t="s">
        <v>31574</v>
      </c>
      <c r="G4958" t="s">
        <v>31581</v>
      </c>
      <c r="H4958" t="s">
        <v>31590</v>
      </c>
      <c r="I4958" t="s">
        <v>3487</v>
      </c>
      <c r="J4958" t="s">
        <v>31771</v>
      </c>
      <c r="K4958" t="s">
        <v>41193</v>
      </c>
      <c r="M4958" t="s">
        <v>43268</v>
      </c>
      <c r="N4958" t="s">
        <v>45095</v>
      </c>
      <c r="O4958" t="s">
        <v>45096</v>
      </c>
      <c r="P4958">
        <v>0</v>
      </c>
      <c r="Q4958">
        <v>6</v>
      </c>
      <c r="R4958" t="s">
        <v>45102</v>
      </c>
      <c r="S4958" t="s">
        <v>45242</v>
      </c>
      <c r="T4958" t="s">
        <v>46936</v>
      </c>
      <c r="U4958" t="s">
        <v>51640</v>
      </c>
      <c r="W4958" t="s">
        <v>43268</v>
      </c>
      <c r="X4958" t="s">
        <v>45114</v>
      </c>
    </row>
    <row r="4959" spans="1:24">
      <c r="A4959">
        <f>HYPERLINK("https://www.philgeps.gov.ph/GEPSNONPILOT/Tender/SplashBidNoticeAbstractUI.aspx?menuIndex=3&amp;refID=7032843&amp;Result=3","7032843")</f>
        <v>0</v>
      </c>
      <c r="B4959" t="s">
        <v>972</v>
      </c>
      <c r="C4959" t="s">
        <v>7937</v>
      </c>
      <c r="D4959" t="s">
        <v>18102</v>
      </c>
      <c r="E4959" t="s">
        <v>22550</v>
      </c>
      <c r="F4959" t="s">
        <v>31574</v>
      </c>
      <c r="G4959" t="s">
        <v>31582</v>
      </c>
      <c r="H4959" t="s">
        <v>31590</v>
      </c>
      <c r="I4959" t="s">
        <v>31615</v>
      </c>
      <c r="J4959" t="s">
        <v>34953</v>
      </c>
      <c r="K4959" t="s">
        <v>41189</v>
      </c>
      <c r="M4959" t="s">
        <v>42502</v>
      </c>
      <c r="N4959" t="s">
        <v>45095</v>
      </c>
      <c r="O4959" t="s">
        <v>45096</v>
      </c>
      <c r="P4959">
        <v>0</v>
      </c>
      <c r="Q4959">
        <v>5</v>
      </c>
      <c r="R4959" t="s">
        <v>45102</v>
      </c>
      <c r="S4959" t="s">
        <v>45242</v>
      </c>
      <c r="T4959" t="s">
        <v>47211</v>
      </c>
      <c r="U4959" t="s">
        <v>51641</v>
      </c>
      <c r="V4959" t="s">
        <v>60379</v>
      </c>
      <c r="W4959" t="s">
        <v>42502</v>
      </c>
      <c r="X4959" t="s">
        <v>45105</v>
      </c>
    </row>
    <row r="4960" spans="1:24">
      <c r="A4960">
        <f>HYPERLINK("https://www.philgeps.gov.ph/GEPSNONPILOT/Tender/SplashBidNoticeAbstractUI.aspx?menuIndex=3&amp;refID=7034276&amp;Result=3","7034276")</f>
        <v>0</v>
      </c>
      <c r="B4960" t="s">
        <v>1351</v>
      </c>
      <c r="C4960" t="s">
        <v>7938</v>
      </c>
      <c r="D4960" t="s">
        <v>18043</v>
      </c>
      <c r="E4960" t="s">
        <v>22551</v>
      </c>
      <c r="F4960" t="s">
        <v>31574</v>
      </c>
      <c r="G4960" t="s">
        <v>31582</v>
      </c>
      <c r="H4960" t="s">
        <v>31591</v>
      </c>
      <c r="I4960" t="s">
        <v>8822</v>
      </c>
      <c r="J4960" t="s">
        <v>34954</v>
      </c>
      <c r="K4960" t="s">
        <v>41243</v>
      </c>
      <c r="M4960" t="s">
        <v>42923</v>
      </c>
      <c r="N4960" t="s">
        <v>45095</v>
      </c>
      <c r="O4960" t="s">
        <v>45096</v>
      </c>
      <c r="P4960">
        <v>0</v>
      </c>
      <c r="Q4960">
        <v>2</v>
      </c>
      <c r="R4960" t="s">
        <v>45102</v>
      </c>
      <c r="S4960" t="s">
        <v>45242</v>
      </c>
      <c r="T4960" t="s">
        <v>47196</v>
      </c>
      <c r="U4960" t="s">
        <v>51642</v>
      </c>
      <c r="W4960" t="s">
        <v>42923</v>
      </c>
      <c r="X4960" t="s">
        <v>45105</v>
      </c>
    </row>
    <row r="4961" spans="1:24">
      <c r="A4961">
        <f>HYPERLINK("https://www.philgeps.gov.ph/GEPSNONPILOT/Tender/SplashBidNoticeAbstractUI.aspx?menuIndex=3&amp;refID=7034648&amp;Result=3","7034648")</f>
        <v>0</v>
      </c>
      <c r="B4961" t="s">
        <v>344</v>
      </c>
      <c r="C4961" t="s">
        <v>7939</v>
      </c>
      <c r="D4961" t="s">
        <v>18027</v>
      </c>
      <c r="E4961" t="s">
        <v>22552</v>
      </c>
      <c r="F4961" t="s">
        <v>31574</v>
      </c>
      <c r="G4961" t="s">
        <v>31582</v>
      </c>
      <c r="H4961" t="s">
        <v>31590</v>
      </c>
      <c r="I4961" t="s">
        <v>8822</v>
      </c>
      <c r="J4961" t="s">
        <v>34955</v>
      </c>
      <c r="K4961" t="s">
        <v>41189</v>
      </c>
      <c r="M4961" t="s">
        <v>43143</v>
      </c>
      <c r="N4961" t="s">
        <v>45095</v>
      </c>
      <c r="O4961" t="s">
        <v>45096</v>
      </c>
      <c r="P4961">
        <v>0</v>
      </c>
      <c r="Q4961">
        <v>2</v>
      </c>
      <c r="R4961" t="s">
        <v>45102</v>
      </c>
      <c r="S4961" t="s">
        <v>45242</v>
      </c>
      <c r="T4961" t="s">
        <v>47048</v>
      </c>
      <c r="U4961" t="s">
        <v>51643</v>
      </c>
      <c r="W4961" t="s">
        <v>43143</v>
      </c>
      <c r="X4961" t="s">
        <v>45105</v>
      </c>
    </row>
    <row r="4962" spans="1:24">
      <c r="A4962">
        <f>HYPERLINK("https://www.philgeps.gov.ph/GEPSNONPILOT/Tender/SplashBidNoticeAbstractUI.aspx?menuIndex=3&amp;refID=7034166&amp;Result=3","7034166")</f>
        <v>0</v>
      </c>
      <c r="B4962" t="s">
        <v>1655</v>
      </c>
      <c r="C4962" t="s">
        <v>7940</v>
      </c>
      <c r="D4962" t="s">
        <v>18030</v>
      </c>
      <c r="E4962" t="s">
        <v>22553</v>
      </c>
      <c r="F4962" t="s">
        <v>31574</v>
      </c>
      <c r="G4962" t="s">
        <v>31582</v>
      </c>
      <c r="H4962" t="s">
        <v>31591</v>
      </c>
      <c r="I4962" t="s">
        <v>8822</v>
      </c>
      <c r="J4962" t="s">
        <v>33193</v>
      </c>
      <c r="K4962" t="s">
        <v>41198</v>
      </c>
      <c r="M4962" t="s">
        <v>43267</v>
      </c>
      <c r="N4962" t="s">
        <v>45095</v>
      </c>
      <c r="O4962" t="s">
        <v>45096</v>
      </c>
      <c r="P4962">
        <v>0</v>
      </c>
      <c r="Q4962">
        <v>1</v>
      </c>
      <c r="R4962" t="s">
        <v>45102</v>
      </c>
      <c r="S4962" t="s">
        <v>45242</v>
      </c>
      <c r="T4962" t="s">
        <v>47230</v>
      </c>
      <c r="U4962" t="s">
        <v>51644</v>
      </c>
      <c r="W4962" t="s">
        <v>43267</v>
      </c>
      <c r="X4962" t="s">
        <v>45105</v>
      </c>
    </row>
    <row r="4963" spans="1:24">
      <c r="A4963">
        <f>HYPERLINK("https://www.philgeps.gov.ph/GEPSNONPILOT/Tender/SplashBidNoticeAbstractUI.aspx?menuIndex=3&amp;refID=7034819&amp;Result=3","7034819")</f>
        <v>0</v>
      </c>
      <c r="B4963" t="s">
        <v>1657</v>
      </c>
      <c r="C4963" t="s">
        <v>7941</v>
      </c>
      <c r="E4963" t="s">
        <v>21494</v>
      </c>
      <c r="F4963" t="s">
        <v>31574</v>
      </c>
      <c r="G4963" t="s">
        <v>31582</v>
      </c>
      <c r="H4963" t="s">
        <v>31590</v>
      </c>
      <c r="I4963" t="s">
        <v>31608</v>
      </c>
      <c r="J4963" t="s">
        <v>31962</v>
      </c>
      <c r="K4963" t="s">
        <v>41190</v>
      </c>
      <c r="M4963" t="s">
        <v>43269</v>
      </c>
      <c r="N4963" t="s">
        <v>45095</v>
      </c>
      <c r="O4963" t="s">
        <v>45096</v>
      </c>
      <c r="P4963">
        <v>0</v>
      </c>
      <c r="Q4963">
        <v>5</v>
      </c>
      <c r="R4963" t="s">
        <v>45102</v>
      </c>
      <c r="S4963" t="s">
        <v>45242</v>
      </c>
      <c r="T4963" t="s">
        <v>47170</v>
      </c>
      <c r="U4963" t="s">
        <v>51645</v>
      </c>
      <c r="W4963" t="s">
        <v>43269</v>
      </c>
      <c r="X4963" t="s">
        <v>45105</v>
      </c>
    </row>
    <row r="4964" spans="1:24">
      <c r="A4964">
        <f>HYPERLINK("https://www.philgeps.gov.ph/GEPSNONPILOT/Tender/SplashBidNoticeAbstractUI.aspx?menuIndex=3&amp;refID=7034530&amp;Result=3","7034530")</f>
        <v>0</v>
      </c>
      <c r="B4964" t="s">
        <v>1658</v>
      </c>
      <c r="C4964" t="s">
        <v>7942</v>
      </c>
      <c r="D4964" t="s">
        <v>18045</v>
      </c>
      <c r="E4964" t="s">
        <v>19116</v>
      </c>
      <c r="F4964" t="s">
        <v>31574</v>
      </c>
      <c r="G4964" t="s">
        <v>31582</v>
      </c>
      <c r="H4964" t="s">
        <v>31591</v>
      </c>
      <c r="I4964" t="s">
        <v>4046</v>
      </c>
      <c r="J4964" t="s">
        <v>34956</v>
      </c>
      <c r="K4964" t="s">
        <v>41243</v>
      </c>
      <c r="M4964" t="s">
        <v>43270</v>
      </c>
      <c r="N4964" t="s">
        <v>45095</v>
      </c>
      <c r="O4964" t="s">
        <v>45096</v>
      </c>
      <c r="P4964">
        <v>0</v>
      </c>
      <c r="Q4964">
        <v>0</v>
      </c>
      <c r="R4964" t="s">
        <v>45102</v>
      </c>
      <c r="S4964" t="s">
        <v>45242</v>
      </c>
      <c r="T4964" t="s">
        <v>46913</v>
      </c>
      <c r="U4964" t="s">
        <v>51646</v>
      </c>
      <c r="W4964" t="s">
        <v>43270</v>
      </c>
      <c r="X4964" t="s">
        <v>45105</v>
      </c>
    </row>
    <row r="4965" spans="1:24">
      <c r="A4965">
        <f>HYPERLINK("https://www.philgeps.gov.ph/GEPSNONPILOT/Tender/SplashBidNoticeAbstractUI.aspx?menuIndex=3&amp;refID=7033810&amp;Result=3","7033810")</f>
        <v>0</v>
      </c>
      <c r="B4965" t="s">
        <v>1659</v>
      </c>
      <c r="C4965" t="s">
        <v>7943</v>
      </c>
      <c r="D4965" t="s">
        <v>18039</v>
      </c>
      <c r="E4965" t="s">
        <v>22554</v>
      </c>
      <c r="F4965" t="s">
        <v>31574</v>
      </c>
      <c r="G4965" t="s">
        <v>31582</v>
      </c>
      <c r="H4965" t="s">
        <v>31590</v>
      </c>
      <c r="I4965" t="s">
        <v>31600</v>
      </c>
      <c r="J4965" t="s">
        <v>34957</v>
      </c>
      <c r="K4965" t="s">
        <v>41196</v>
      </c>
      <c r="M4965" t="s">
        <v>43271</v>
      </c>
      <c r="N4965" t="s">
        <v>45095</v>
      </c>
      <c r="O4965" t="s">
        <v>45096</v>
      </c>
      <c r="P4965">
        <v>0</v>
      </c>
      <c r="Q4965">
        <v>2</v>
      </c>
      <c r="R4965" t="s">
        <v>45102</v>
      </c>
      <c r="S4965" t="s">
        <v>45242</v>
      </c>
      <c r="T4965" t="s">
        <v>47004</v>
      </c>
      <c r="U4965" t="s">
        <v>51647</v>
      </c>
      <c r="W4965" t="s">
        <v>43271</v>
      </c>
      <c r="X4965" t="s">
        <v>45105</v>
      </c>
    </row>
    <row r="4966" spans="1:24">
      <c r="A4966">
        <f>HYPERLINK("https://www.philgeps.gov.ph/GEPSNONPILOT/Tender/SplashBidNoticeAbstractUI.aspx?menuIndex=3&amp;refID=7035017&amp;Result=3","7035017")</f>
        <v>0</v>
      </c>
      <c r="B4966" t="s">
        <v>1660</v>
      </c>
      <c r="C4966" t="s">
        <v>7944</v>
      </c>
      <c r="D4966" t="s">
        <v>18066</v>
      </c>
      <c r="E4966" t="s">
        <v>22555</v>
      </c>
      <c r="F4966" t="s">
        <v>31574</v>
      </c>
      <c r="G4966" t="s">
        <v>31582</v>
      </c>
      <c r="H4966" t="s">
        <v>31590</v>
      </c>
      <c r="I4966" t="s">
        <v>31672</v>
      </c>
      <c r="J4966" t="s">
        <v>34958</v>
      </c>
      <c r="K4966" t="s">
        <v>41192</v>
      </c>
      <c r="M4966" t="s">
        <v>43272</v>
      </c>
      <c r="N4966" t="s">
        <v>45095</v>
      </c>
      <c r="O4966" t="s">
        <v>45096</v>
      </c>
      <c r="P4966">
        <v>0</v>
      </c>
      <c r="Q4966">
        <v>0</v>
      </c>
      <c r="R4966" t="s">
        <v>45102</v>
      </c>
      <c r="S4966" t="s">
        <v>45242</v>
      </c>
      <c r="T4966" t="s">
        <v>47003</v>
      </c>
      <c r="U4966" t="s">
        <v>51648</v>
      </c>
      <c r="W4966" t="s">
        <v>43272</v>
      </c>
      <c r="X4966" t="s">
        <v>45105</v>
      </c>
    </row>
    <row r="4967" spans="1:24">
      <c r="A4967">
        <f>HYPERLINK("https://www.philgeps.gov.ph/GEPSNONPILOT/Tender/SplashBidNoticeAbstractUI.aspx?menuIndex=3&amp;refID=7035390&amp;Result=3","7035390")</f>
        <v>0</v>
      </c>
      <c r="B4967" t="s">
        <v>1661</v>
      </c>
      <c r="C4967" t="s">
        <v>6628</v>
      </c>
      <c r="D4967" t="s">
        <v>18066</v>
      </c>
      <c r="E4967" t="s">
        <v>18227</v>
      </c>
      <c r="F4967" t="s">
        <v>31575</v>
      </c>
      <c r="G4967" t="s">
        <v>31582</v>
      </c>
      <c r="H4967" t="s">
        <v>31591</v>
      </c>
      <c r="I4967" t="s">
        <v>8822</v>
      </c>
      <c r="J4967" t="s">
        <v>31727</v>
      </c>
      <c r="K4967" t="s">
        <v>41196</v>
      </c>
      <c r="M4967" t="s">
        <v>43273</v>
      </c>
      <c r="N4967" t="s">
        <v>45095</v>
      </c>
      <c r="O4967" t="s">
        <v>45096</v>
      </c>
      <c r="P4967">
        <v>0</v>
      </c>
      <c r="Q4967">
        <v>1</v>
      </c>
      <c r="R4967" t="s">
        <v>45102</v>
      </c>
      <c r="S4967" t="s">
        <v>45242</v>
      </c>
      <c r="T4967" t="s">
        <v>46991</v>
      </c>
      <c r="U4967" t="s">
        <v>51649</v>
      </c>
      <c r="W4967" t="s">
        <v>43273</v>
      </c>
      <c r="X4967" t="s">
        <v>45104</v>
      </c>
    </row>
    <row r="4968" spans="1:24">
      <c r="A4968">
        <f>HYPERLINK("https://www.philgeps.gov.ph/GEPSNONPILOT/Tender/SplashBidNoticeAbstractUI.aspx?menuIndex=3&amp;refID=7034681&amp;Result=3","7034681")</f>
        <v>0</v>
      </c>
      <c r="B4968" t="s">
        <v>344</v>
      </c>
      <c r="C4968" t="s">
        <v>7945</v>
      </c>
      <c r="D4968" t="s">
        <v>18027</v>
      </c>
      <c r="E4968" t="s">
        <v>22556</v>
      </c>
      <c r="F4968" t="s">
        <v>31574</v>
      </c>
      <c r="G4968" t="s">
        <v>31582</v>
      </c>
      <c r="H4968" t="s">
        <v>31590</v>
      </c>
      <c r="I4968" t="s">
        <v>8822</v>
      </c>
      <c r="J4968" t="s">
        <v>34959</v>
      </c>
      <c r="K4968" t="s">
        <v>41189</v>
      </c>
      <c r="M4968" t="s">
        <v>43143</v>
      </c>
      <c r="N4968" t="s">
        <v>45095</v>
      </c>
      <c r="O4968" t="s">
        <v>45096</v>
      </c>
      <c r="P4968">
        <v>0</v>
      </c>
      <c r="Q4968">
        <v>2</v>
      </c>
      <c r="R4968" t="s">
        <v>45102</v>
      </c>
      <c r="S4968" t="s">
        <v>45242</v>
      </c>
      <c r="T4968" t="s">
        <v>47048</v>
      </c>
      <c r="U4968" t="s">
        <v>51643</v>
      </c>
      <c r="W4968" t="s">
        <v>43143</v>
      </c>
      <c r="X4968" t="s">
        <v>45105</v>
      </c>
    </row>
    <row r="4969" spans="1:24">
      <c r="A4969">
        <f>HYPERLINK("https://www.philgeps.gov.ph/GEPSNONPILOT/Tender/SplashBidNoticeAbstractUI.aspx?menuIndex=3&amp;refID=7034513&amp;Result=3","7034513")</f>
        <v>0</v>
      </c>
      <c r="B4969" t="s">
        <v>1659</v>
      </c>
      <c r="C4969" t="s">
        <v>7946</v>
      </c>
      <c r="D4969" t="s">
        <v>18039</v>
      </c>
      <c r="E4969" t="s">
        <v>22557</v>
      </c>
      <c r="F4969" t="s">
        <v>31574</v>
      </c>
      <c r="G4969" t="s">
        <v>31582</v>
      </c>
      <c r="H4969" t="s">
        <v>31590</v>
      </c>
      <c r="I4969" t="s">
        <v>31600</v>
      </c>
      <c r="J4969" t="s">
        <v>34960</v>
      </c>
      <c r="K4969" t="s">
        <v>41196</v>
      </c>
      <c r="M4969" t="s">
        <v>43271</v>
      </c>
      <c r="N4969" t="s">
        <v>45095</v>
      </c>
      <c r="O4969" t="s">
        <v>45096</v>
      </c>
      <c r="P4969">
        <v>0</v>
      </c>
      <c r="Q4969">
        <v>0</v>
      </c>
      <c r="R4969" t="s">
        <v>45102</v>
      </c>
      <c r="S4969" t="s">
        <v>45242</v>
      </c>
      <c r="T4969" t="s">
        <v>47004</v>
      </c>
      <c r="U4969" t="s">
        <v>51650</v>
      </c>
      <c r="W4969" t="s">
        <v>43271</v>
      </c>
      <c r="X4969" t="s">
        <v>45105</v>
      </c>
    </row>
    <row r="4970" spans="1:24">
      <c r="A4970">
        <f>HYPERLINK("https://www.philgeps.gov.ph/GEPSNONPILOT/Tender/SplashBidNoticeAbstractUI.aspx?menuIndex=3&amp;refID=7035367&amp;Result=3","7035367")</f>
        <v>0</v>
      </c>
      <c r="B4970" t="s">
        <v>1662</v>
      </c>
      <c r="C4970" t="s">
        <v>7947</v>
      </c>
      <c r="D4970" t="s">
        <v>18039</v>
      </c>
      <c r="E4970" t="s">
        <v>22558</v>
      </c>
      <c r="F4970" t="s">
        <v>31574</v>
      </c>
      <c r="G4970" t="s">
        <v>31582</v>
      </c>
      <c r="H4970" t="s">
        <v>31590</v>
      </c>
      <c r="I4970" t="s">
        <v>31600</v>
      </c>
      <c r="J4970" t="s">
        <v>34961</v>
      </c>
      <c r="K4970" t="s">
        <v>41196</v>
      </c>
      <c r="M4970" t="s">
        <v>43274</v>
      </c>
      <c r="N4970" t="s">
        <v>45095</v>
      </c>
      <c r="O4970" t="s">
        <v>45096</v>
      </c>
      <c r="P4970">
        <v>0</v>
      </c>
      <c r="Q4970">
        <v>1</v>
      </c>
      <c r="R4970" t="s">
        <v>45102</v>
      </c>
      <c r="S4970" t="s">
        <v>45242</v>
      </c>
      <c r="T4970" t="s">
        <v>47004</v>
      </c>
      <c r="U4970" t="s">
        <v>51651</v>
      </c>
      <c r="W4970" t="s">
        <v>43274</v>
      </c>
      <c r="X4970" t="s">
        <v>45104</v>
      </c>
    </row>
    <row r="4971" spans="1:24">
      <c r="A4971">
        <f>HYPERLINK("https://www.philgeps.gov.ph/GEPSNONPILOT/Tender/SplashBidNoticeAbstractUI.aspx?menuIndex=3&amp;refID=7035334&amp;Result=3","7035334")</f>
        <v>0</v>
      </c>
      <c r="B4971" t="s">
        <v>1302</v>
      </c>
      <c r="C4971" t="s">
        <v>7948</v>
      </c>
      <c r="D4971" t="s">
        <v>18076</v>
      </c>
      <c r="E4971" t="s">
        <v>22559</v>
      </c>
      <c r="F4971" t="s">
        <v>31574</v>
      </c>
      <c r="G4971" t="s">
        <v>31583</v>
      </c>
      <c r="H4971" t="s">
        <v>31590</v>
      </c>
      <c r="I4971" t="s">
        <v>5717</v>
      </c>
      <c r="J4971" t="s">
        <v>34962</v>
      </c>
      <c r="K4971" t="s">
        <v>41186</v>
      </c>
      <c r="M4971" t="s">
        <v>42872</v>
      </c>
      <c r="N4971" t="s">
        <v>45095</v>
      </c>
      <c r="O4971" t="s">
        <v>45096</v>
      </c>
      <c r="P4971">
        <v>0</v>
      </c>
      <c r="Q4971">
        <v>7</v>
      </c>
      <c r="R4971" t="s">
        <v>45102</v>
      </c>
      <c r="S4971" t="s">
        <v>45242</v>
      </c>
      <c r="T4971" t="s">
        <v>47021</v>
      </c>
      <c r="U4971" t="s">
        <v>51652</v>
      </c>
      <c r="W4971" t="s">
        <v>42872</v>
      </c>
      <c r="X4971" t="s">
        <v>45104</v>
      </c>
    </row>
    <row r="4972" spans="1:24">
      <c r="A4972">
        <f>HYPERLINK("https://www.philgeps.gov.ph/GEPSNONPILOT/Tender/SplashBidNoticeAbstractUI.aspx?menuIndex=3&amp;refID=7035385&amp;Result=3","7035385")</f>
        <v>0</v>
      </c>
      <c r="B4972" t="s">
        <v>1663</v>
      </c>
      <c r="C4972" t="s">
        <v>7949</v>
      </c>
      <c r="D4972" t="s">
        <v>18033</v>
      </c>
      <c r="E4972" t="s">
        <v>22560</v>
      </c>
      <c r="F4972" t="s">
        <v>31574</v>
      </c>
      <c r="G4972" t="s">
        <v>31582</v>
      </c>
      <c r="H4972" t="s">
        <v>31591</v>
      </c>
      <c r="I4972" t="s">
        <v>8822</v>
      </c>
      <c r="J4972" t="s">
        <v>32019</v>
      </c>
      <c r="K4972" t="s">
        <v>41282</v>
      </c>
      <c r="M4972" t="s">
        <v>43275</v>
      </c>
      <c r="N4972" t="s">
        <v>45095</v>
      </c>
      <c r="O4972" t="s">
        <v>45096</v>
      </c>
      <c r="P4972">
        <v>0</v>
      </c>
      <c r="Q4972">
        <v>0</v>
      </c>
      <c r="R4972" t="s">
        <v>45102</v>
      </c>
      <c r="S4972" t="s">
        <v>45242</v>
      </c>
      <c r="T4972" t="s">
        <v>46963</v>
      </c>
      <c r="U4972" t="s">
        <v>51653</v>
      </c>
      <c r="W4972" t="s">
        <v>43275</v>
      </c>
      <c r="X4972" t="s">
        <v>45104</v>
      </c>
    </row>
    <row r="4973" spans="1:24">
      <c r="A4973">
        <f>HYPERLINK("https://www.philgeps.gov.ph/GEPSNONPILOT/Tender/SplashBidNoticeAbstractUI.aspx?menuIndex=3&amp;refID=7035241&amp;Result=3","7035241")</f>
        <v>0</v>
      </c>
      <c r="B4973" t="s">
        <v>1660</v>
      </c>
      <c r="C4973" t="s">
        <v>4988</v>
      </c>
      <c r="D4973" t="s">
        <v>18066</v>
      </c>
      <c r="E4973" t="s">
        <v>22561</v>
      </c>
      <c r="F4973" t="s">
        <v>31574</v>
      </c>
      <c r="G4973" t="s">
        <v>31581</v>
      </c>
      <c r="H4973" t="s">
        <v>31590</v>
      </c>
      <c r="I4973" t="s">
        <v>31605</v>
      </c>
      <c r="J4973" t="s">
        <v>34963</v>
      </c>
      <c r="K4973" t="s">
        <v>41196</v>
      </c>
      <c r="M4973" t="s">
        <v>43272</v>
      </c>
      <c r="N4973" t="s">
        <v>45095</v>
      </c>
      <c r="O4973" t="s">
        <v>45096</v>
      </c>
      <c r="P4973">
        <v>0</v>
      </c>
      <c r="Q4973">
        <v>2</v>
      </c>
      <c r="R4973" t="s">
        <v>45102</v>
      </c>
      <c r="S4973" t="s">
        <v>45242</v>
      </c>
      <c r="T4973" t="s">
        <v>47077</v>
      </c>
      <c r="U4973" t="s">
        <v>51648</v>
      </c>
      <c r="W4973" t="s">
        <v>43272</v>
      </c>
      <c r="X4973" t="s">
        <v>45105</v>
      </c>
    </row>
    <row r="4974" spans="1:24">
      <c r="A4974">
        <f>HYPERLINK("https://www.philgeps.gov.ph/GEPSNONPILOT/Tender/SplashBidNoticeAbstractUI.aspx?menuIndex=3&amp;refID=7035462&amp;Result=3","7035462")</f>
        <v>0</v>
      </c>
      <c r="B4974" t="s">
        <v>1663</v>
      </c>
      <c r="C4974" t="s">
        <v>7950</v>
      </c>
      <c r="D4974" t="s">
        <v>18033</v>
      </c>
      <c r="E4974" t="s">
        <v>22562</v>
      </c>
      <c r="F4974" t="s">
        <v>31574</v>
      </c>
      <c r="G4974" t="s">
        <v>31582</v>
      </c>
      <c r="H4974" t="s">
        <v>31591</v>
      </c>
      <c r="I4974" t="s">
        <v>8822</v>
      </c>
      <c r="J4974" t="s">
        <v>32019</v>
      </c>
      <c r="K4974" t="s">
        <v>41186</v>
      </c>
      <c r="M4974" t="s">
        <v>43275</v>
      </c>
      <c r="N4974" t="s">
        <v>45095</v>
      </c>
      <c r="O4974" t="s">
        <v>45096</v>
      </c>
      <c r="P4974">
        <v>0</v>
      </c>
      <c r="Q4974">
        <v>0</v>
      </c>
      <c r="R4974" t="s">
        <v>45102</v>
      </c>
      <c r="S4974" t="s">
        <v>45242</v>
      </c>
      <c r="T4974" t="s">
        <v>46963</v>
      </c>
      <c r="U4974" t="s">
        <v>51654</v>
      </c>
      <c r="W4974" t="s">
        <v>43275</v>
      </c>
      <c r="X4974" t="s">
        <v>45104</v>
      </c>
    </row>
    <row r="4975" spans="1:24">
      <c r="A4975">
        <f>HYPERLINK("https://www.philgeps.gov.ph/GEPSNONPILOT/Tender/SplashBidNoticeAbstractUI.aspx?menuIndex=3&amp;refID=7035174&amp;Result=3","7035174")</f>
        <v>0</v>
      </c>
      <c r="B4975" t="s">
        <v>1660</v>
      </c>
      <c r="C4975" t="s">
        <v>7951</v>
      </c>
      <c r="D4975" t="s">
        <v>18066</v>
      </c>
      <c r="E4975" t="s">
        <v>22563</v>
      </c>
      <c r="F4975" t="s">
        <v>31574</v>
      </c>
      <c r="G4975" t="s">
        <v>31582</v>
      </c>
      <c r="H4975" t="s">
        <v>31591</v>
      </c>
      <c r="I4975" t="s">
        <v>8822</v>
      </c>
      <c r="J4975" t="s">
        <v>34964</v>
      </c>
      <c r="K4975" t="s">
        <v>41238</v>
      </c>
      <c r="M4975" t="s">
        <v>43272</v>
      </c>
      <c r="N4975" t="s">
        <v>45095</v>
      </c>
      <c r="O4975" t="s">
        <v>45096</v>
      </c>
      <c r="P4975">
        <v>0</v>
      </c>
      <c r="Q4975">
        <v>1</v>
      </c>
      <c r="R4975" t="s">
        <v>45102</v>
      </c>
      <c r="S4975" t="s">
        <v>45242</v>
      </c>
      <c r="T4975" t="s">
        <v>47003</v>
      </c>
      <c r="U4975" t="s">
        <v>51655</v>
      </c>
      <c r="W4975" t="s">
        <v>43272</v>
      </c>
      <c r="X4975" t="s">
        <v>45105</v>
      </c>
    </row>
    <row r="4976" spans="1:24">
      <c r="A4976">
        <f>HYPERLINK("https://www.philgeps.gov.ph/GEPSNONPILOT/Tender/SplashBidNoticeAbstractUI.aspx?menuIndex=3&amp;refID=7035351&amp;Result=3","7035351")</f>
        <v>0</v>
      </c>
      <c r="B4976" t="s">
        <v>31</v>
      </c>
      <c r="C4976" t="s">
        <v>7952</v>
      </c>
      <c r="E4976" t="s">
        <v>22564</v>
      </c>
      <c r="F4976" t="s">
        <v>31574</v>
      </c>
      <c r="G4976" t="s">
        <v>31582</v>
      </c>
      <c r="H4976" t="s">
        <v>31590</v>
      </c>
      <c r="I4976" t="s">
        <v>31615</v>
      </c>
      <c r="J4976" t="s">
        <v>34965</v>
      </c>
      <c r="K4976" t="s">
        <v>41186</v>
      </c>
      <c r="M4976" t="s">
        <v>41518</v>
      </c>
      <c r="N4976" t="s">
        <v>45095</v>
      </c>
      <c r="O4976" t="s">
        <v>45096</v>
      </c>
      <c r="P4976">
        <v>0</v>
      </c>
      <c r="Q4976">
        <v>4</v>
      </c>
      <c r="R4976" t="s">
        <v>45102</v>
      </c>
      <c r="S4976" t="s">
        <v>45242</v>
      </c>
      <c r="T4976" t="s">
        <v>47196</v>
      </c>
      <c r="U4976" t="s">
        <v>51656</v>
      </c>
      <c r="W4976" t="s">
        <v>41518</v>
      </c>
      <c r="X4976" t="s">
        <v>45104</v>
      </c>
    </row>
    <row r="4977" spans="1:24">
      <c r="A4977">
        <f>HYPERLINK("https://www.philgeps.gov.ph/GEPSNONPILOT/Tender/SplashBidNoticeAbstractUI.aspx?menuIndex=3&amp;refID=7035048&amp;Result=3","7035048")</f>
        <v>0</v>
      </c>
      <c r="B4977" t="s">
        <v>1660</v>
      </c>
      <c r="C4977" t="s">
        <v>7953</v>
      </c>
      <c r="D4977" t="s">
        <v>18066</v>
      </c>
      <c r="E4977" t="s">
        <v>22565</v>
      </c>
      <c r="F4977" t="s">
        <v>31574</v>
      </c>
      <c r="G4977" t="s">
        <v>31582</v>
      </c>
      <c r="H4977" t="s">
        <v>31590</v>
      </c>
      <c r="I4977" t="s">
        <v>4046</v>
      </c>
      <c r="J4977" t="s">
        <v>34966</v>
      </c>
      <c r="K4977" t="s">
        <v>41186</v>
      </c>
      <c r="M4977" t="s">
        <v>43272</v>
      </c>
      <c r="N4977" t="s">
        <v>45095</v>
      </c>
      <c r="O4977" t="s">
        <v>45096</v>
      </c>
      <c r="P4977">
        <v>0</v>
      </c>
      <c r="Q4977">
        <v>0</v>
      </c>
      <c r="R4977" t="s">
        <v>45102</v>
      </c>
      <c r="S4977" t="s">
        <v>45242</v>
      </c>
      <c r="T4977" t="s">
        <v>47003</v>
      </c>
      <c r="U4977" t="s">
        <v>51648</v>
      </c>
      <c r="W4977" t="s">
        <v>43272</v>
      </c>
      <c r="X4977" t="s">
        <v>45105</v>
      </c>
    </row>
    <row r="4978" spans="1:24">
      <c r="A4978">
        <f>HYPERLINK("https://www.philgeps.gov.ph/GEPSNONPILOT/Tender/SplashBidNoticeAbstractUI.aspx?menuIndex=3&amp;refID=7035412&amp;Result=3","7035412")</f>
        <v>0</v>
      </c>
      <c r="B4978" t="s">
        <v>1663</v>
      </c>
      <c r="C4978" t="s">
        <v>7954</v>
      </c>
      <c r="D4978" t="s">
        <v>18033</v>
      </c>
      <c r="E4978" t="s">
        <v>22566</v>
      </c>
      <c r="F4978" t="s">
        <v>31574</v>
      </c>
      <c r="G4978" t="s">
        <v>31582</v>
      </c>
      <c r="H4978" t="s">
        <v>31591</v>
      </c>
      <c r="I4978" t="s">
        <v>8822</v>
      </c>
      <c r="J4978" t="s">
        <v>34967</v>
      </c>
      <c r="K4978" t="s">
        <v>41195</v>
      </c>
      <c r="M4978" t="s">
        <v>43275</v>
      </c>
      <c r="N4978" t="s">
        <v>45095</v>
      </c>
      <c r="O4978" t="s">
        <v>45096</v>
      </c>
      <c r="P4978">
        <v>0</v>
      </c>
      <c r="Q4978">
        <v>0</v>
      </c>
      <c r="R4978" t="s">
        <v>45102</v>
      </c>
      <c r="S4978" t="s">
        <v>45242</v>
      </c>
      <c r="T4978" t="s">
        <v>46963</v>
      </c>
      <c r="U4978" t="s">
        <v>51657</v>
      </c>
      <c r="W4978" t="s">
        <v>43275</v>
      </c>
      <c r="X4978" t="s">
        <v>45104</v>
      </c>
    </row>
    <row r="4979" spans="1:24">
      <c r="A4979">
        <f>HYPERLINK("https://www.philgeps.gov.ph/GEPSNONPILOT/Tender/SplashBidNoticeAbstractUI.aspx?menuIndex=3&amp;refID=7035371&amp;Result=3","7035371")</f>
        <v>0</v>
      </c>
      <c r="B4979" t="s">
        <v>38</v>
      </c>
      <c r="C4979" t="s">
        <v>7955</v>
      </c>
      <c r="D4979" t="s">
        <v>18033</v>
      </c>
      <c r="E4979" t="s">
        <v>22567</v>
      </c>
      <c r="F4979" t="s">
        <v>31574</v>
      </c>
      <c r="G4979" t="s">
        <v>31582</v>
      </c>
      <c r="H4979" t="s">
        <v>31591</v>
      </c>
      <c r="I4979" t="s">
        <v>8822</v>
      </c>
      <c r="J4979" t="s">
        <v>34968</v>
      </c>
      <c r="K4979" t="s">
        <v>41329</v>
      </c>
      <c r="M4979" t="s">
        <v>43276</v>
      </c>
      <c r="N4979" t="s">
        <v>45095</v>
      </c>
      <c r="O4979" t="s">
        <v>45096</v>
      </c>
      <c r="P4979">
        <v>0</v>
      </c>
      <c r="Q4979">
        <v>0</v>
      </c>
      <c r="R4979" t="s">
        <v>45102</v>
      </c>
      <c r="S4979" t="s">
        <v>45242</v>
      </c>
      <c r="T4979" t="s">
        <v>47089</v>
      </c>
      <c r="U4979" t="s">
        <v>49667</v>
      </c>
      <c r="V4979" t="s">
        <v>59888</v>
      </c>
      <c r="W4979" t="s">
        <v>43276</v>
      </c>
      <c r="X4979" t="s">
        <v>45104</v>
      </c>
    </row>
    <row r="4980" spans="1:24">
      <c r="A4980">
        <f>HYPERLINK("https://www.philgeps.gov.ph/GEPSNONPILOT/Tender/SplashBidNoticeAbstractUI.aspx?menuIndex=3&amp;refID=7035474&amp;Result=3","7035474")</f>
        <v>0</v>
      </c>
      <c r="B4980" t="s">
        <v>1663</v>
      </c>
      <c r="C4980" t="s">
        <v>7956</v>
      </c>
      <c r="D4980" t="s">
        <v>18033</v>
      </c>
      <c r="E4980" t="s">
        <v>21812</v>
      </c>
      <c r="F4980" t="s">
        <v>31574</v>
      </c>
      <c r="G4980" t="s">
        <v>31582</v>
      </c>
      <c r="H4980" t="s">
        <v>31591</v>
      </c>
      <c r="I4980" t="s">
        <v>8822</v>
      </c>
      <c r="J4980" t="s">
        <v>32497</v>
      </c>
      <c r="K4980" t="s">
        <v>41204</v>
      </c>
      <c r="M4980" t="s">
        <v>43275</v>
      </c>
      <c r="N4980" t="s">
        <v>45095</v>
      </c>
      <c r="O4980" t="s">
        <v>45096</v>
      </c>
      <c r="P4980">
        <v>0</v>
      </c>
      <c r="Q4980">
        <v>0</v>
      </c>
      <c r="R4980" t="s">
        <v>45102</v>
      </c>
      <c r="S4980" t="s">
        <v>45242</v>
      </c>
      <c r="T4980" t="s">
        <v>46963</v>
      </c>
      <c r="U4980" t="s">
        <v>51658</v>
      </c>
      <c r="W4980" t="s">
        <v>43275</v>
      </c>
      <c r="X4980" t="s">
        <v>45104</v>
      </c>
    </row>
    <row r="4981" spans="1:24">
      <c r="A4981">
        <f>HYPERLINK("https://www.philgeps.gov.ph/GEPSNONPILOT/Tender/SplashBidNoticeAbstractUI.aspx?menuIndex=3&amp;refID=7035441&amp;Result=3","7035441")</f>
        <v>0</v>
      </c>
      <c r="B4981" t="s">
        <v>1663</v>
      </c>
      <c r="C4981" t="s">
        <v>7957</v>
      </c>
      <c r="D4981" t="s">
        <v>18033</v>
      </c>
      <c r="E4981" t="s">
        <v>22568</v>
      </c>
      <c r="F4981" t="s">
        <v>31574</v>
      </c>
      <c r="G4981" t="s">
        <v>31582</v>
      </c>
      <c r="H4981" t="s">
        <v>31591</v>
      </c>
      <c r="I4981" t="s">
        <v>8822</v>
      </c>
      <c r="J4981" t="s">
        <v>31890</v>
      </c>
      <c r="K4981" t="s">
        <v>41185</v>
      </c>
      <c r="M4981" t="s">
        <v>43275</v>
      </c>
      <c r="N4981" t="s">
        <v>45095</v>
      </c>
      <c r="O4981" t="s">
        <v>45096</v>
      </c>
      <c r="P4981">
        <v>0</v>
      </c>
      <c r="Q4981">
        <v>0</v>
      </c>
      <c r="R4981" t="s">
        <v>45102</v>
      </c>
      <c r="S4981" t="s">
        <v>45242</v>
      </c>
      <c r="T4981" t="s">
        <v>46963</v>
      </c>
      <c r="U4981" t="s">
        <v>51659</v>
      </c>
      <c r="W4981" t="s">
        <v>43275</v>
      </c>
      <c r="X4981" t="s">
        <v>45104</v>
      </c>
    </row>
    <row r="4982" spans="1:24">
      <c r="A4982">
        <f>HYPERLINK("https://www.philgeps.gov.ph/GEPSNONPILOT/Tender/SplashBidNoticeAbstractUI.aspx?menuIndex=3&amp;refID=7035534&amp;Result=3","7035534")</f>
        <v>0</v>
      </c>
      <c r="B4982" t="s">
        <v>1663</v>
      </c>
      <c r="C4982" t="s">
        <v>7958</v>
      </c>
      <c r="D4982" t="s">
        <v>18033</v>
      </c>
      <c r="E4982" t="s">
        <v>22569</v>
      </c>
      <c r="F4982" t="s">
        <v>31574</v>
      </c>
      <c r="G4982" t="s">
        <v>31582</v>
      </c>
      <c r="H4982" t="s">
        <v>31591</v>
      </c>
      <c r="I4982" t="s">
        <v>8822</v>
      </c>
      <c r="J4982" t="s">
        <v>34969</v>
      </c>
      <c r="K4982" t="s">
        <v>41311</v>
      </c>
      <c r="M4982" t="s">
        <v>43275</v>
      </c>
      <c r="N4982" t="s">
        <v>45095</v>
      </c>
      <c r="O4982" t="s">
        <v>45096</v>
      </c>
      <c r="P4982">
        <v>0</v>
      </c>
      <c r="Q4982">
        <v>1</v>
      </c>
      <c r="R4982" t="s">
        <v>45102</v>
      </c>
      <c r="S4982" t="s">
        <v>45242</v>
      </c>
      <c r="T4982" t="s">
        <v>47166</v>
      </c>
      <c r="U4982" t="s">
        <v>51660</v>
      </c>
      <c r="W4982" t="s">
        <v>43275</v>
      </c>
      <c r="X4982" t="s">
        <v>45104</v>
      </c>
    </row>
    <row r="4983" spans="1:24">
      <c r="A4983">
        <f>HYPERLINK("https://www.philgeps.gov.ph/GEPSNONPILOT/Tender/SplashBidNoticeAbstractUI.aspx?menuIndex=3&amp;refID=7035595&amp;Result=3","7035595")</f>
        <v>0</v>
      </c>
      <c r="B4983" t="s">
        <v>31</v>
      </c>
      <c r="C4983" t="s">
        <v>7959</v>
      </c>
      <c r="E4983" t="s">
        <v>22570</v>
      </c>
      <c r="F4983" t="s">
        <v>31574</v>
      </c>
      <c r="G4983" t="s">
        <v>31581</v>
      </c>
      <c r="H4983" t="s">
        <v>31590</v>
      </c>
      <c r="I4983" t="s">
        <v>5717</v>
      </c>
      <c r="J4983" t="s">
        <v>31780</v>
      </c>
      <c r="K4983" t="s">
        <v>41191</v>
      </c>
      <c r="M4983" t="s">
        <v>41518</v>
      </c>
      <c r="N4983" t="s">
        <v>45095</v>
      </c>
      <c r="O4983" t="s">
        <v>45096</v>
      </c>
      <c r="P4983">
        <v>0</v>
      </c>
      <c r="Q4983">
        <v>2</v>
      </c>
      <c r="R4983" t="s">
        <v>45102</v>
      </c>
      <c r="S4983" t="s">
        <v>45242</v>
      </c>
      <c r="T4983" t="s">
        <v>47183</v>
      </c>
      <c r="U4983" t="s">
        <v>48316</v>
      </c>
      <c r="W4983" t="s">
        <v>41518</v>
      </c>
      <c r="X4983" t="s">
        <v>45104</v>
      </c>
    </row>
    <row r="4984" spans="1:24">
      <c r="A4984">
        <f>HYPERLINK("https://www.philgeps.gov.ph/GEPSNONPILOT/Tender/SplashBidNoticeAbstractUI.aspx?menuIndex=3&amp;refID=7035951&amp;Result=3","7035951")</f>
        <v>0</v>
      </c>
      <c r="B4984" t="s">
        <v>80</v>
      </c>
      <c r="C4984" t="s">
        <v>7960</v>
      </c>
      <c r="D4984" t="s">
        <v>18041</v>
      </c>
      <c r="E4984" t="s">
        <v>22571</v>
      </c>
      <c r="F4984" t="s">
        <v>31574</v>
      </c>
      <c r="G4984" t="s">
        <v>31583</v>
      </c>
      <c r="H4984" t="s">
        <v>31590</v>
      </c>
      <c r="I4984" t="s">
        <v>31596</v>
      </c>
      <c r="J4984" t="s">
        <v>34970</v>
      </c>
      <c r="K4984" t="s">
        <v>41196</v>
      </c>
      <c r="M4984" t="s">
        <v>41564</v>
      </c>
      <c r="N4984" t="s">
        <v>45095</v>
      </c>
      <c r="O4984" t="s">
        <v>45096</v>
      </c>
      <c r="P4984">
        <v>0</v>
      </c>
      <c r="Q4984">
        <v>0</v>
      </c>
      <c r="R4984" t="s">
        <v>45102</v>
      </c>
      <c r="S4984" t="s">
        <v>45242</v>
      </c>
      <c r="T4984" t="s">
        <v>46957</v>
      </c>
      <c r="U4984" t="s">
        <v>51661</v>
      </c>
      <c r="W4984" t="s">
        <v>41564</v>
      </c>
      <c r="X4984" t="s">
        <v>45104</v>
      </c>
    </row>
    <row r="4985" spans="1:24">
      <c r="A4985">
        <f>HYPERLINK("https://www.philgeps.gov.ph/GEPSNONPILOT/Tender/SplashBidNoticeAbstractUI.aspx?menuIndex=3&amp;refID=7035954&amp;Result=3","7035954")</f>
        <v>0</v>
      </c>
      <c r="B4985" t="s">
        <v>1663</v>
      </c>
      <c r="C4985" t="s">
        <v>7961</v>
      </c>
      <c r="D4985" t="s">
        <v>18033</v>
      </c>
      <c r="E4985" t="s">
        <v>22572</v>
      </c>
      <c r="F4985" t="s">
        <v>31574</v>
      </c>
      <c r="G4985" t="s">
        <v>31582</v>
      </c>
      <c r="H4985" t="s">
        <v>31591</v>
      </c>
      <c r="I4985" t="s">
        <v>8822</v>
      </c>
      <c r="J4985" t="s">
        <v>32458</v>
      </c>
      <c r="K4985" t="s">
        <v>41198</v>
      </c>
      <c r="M4985" t="s">
        <v>43275</v>
      </c>
      <c r="N4985" t="s">
        <v>45095</v>
      </c>
      <c r="O4985" t="s">
        <v>45096</v>
      </c>
      <c r="P4985">
        <v>0</v>
      </c>
      <c r="Q4985">
        <v>0</v>
      </c>
      <c r="R4985" t="s">
        <v>45102</v>
      </c>
      <c r="S4985" t="s">
        <v>45242</v>
      </c>
      <c r="T4985" t="s">
        <v>47166</v>
      </c>
      <c r="U4985" t="s">
        <v>51662</v>
      </c>
      <c r="W4985" t="s">
        <v>43275</v>
      </c>
      <c r="X4985" t="s">
        <v>45104</v>
      </c>
    </row>
    <row r="4986" spans="1:24">
      <c r="A4986">
        <f>HYPERLINK("https://www.philgeps.gov.ph/GEPSNONPILOT/Tender/SplashBidNoticeAbstractUI.aspx?menuIndex=3&amp;refID=7035726&amp;Result=3","7035726")</f>
        <v>0</v>
      </c>
      <c r="B4986" t="s">
        <v>1663</v>
      </c>
      <c r="C4986" t="s">
        <v>7962</v>
      </c>
      <c r="D4986" t="s">
        <v>18033</v>
      </c>
      <c r="E4986" t="s">
        <v>22573</v>
      </c>
      <c r="F4986" t="s">
        <v>31574</v>
      </c>
      <c r="G4986" t="s">
        <v>31582</v>
      </c>
      <c r="H4986" t="s">
        <v>31591</v>
      </c>
      <c r="I4986" t="s">
        <v>8822</v>
      </c>
      <c r="J4986" t="s">
        <v>31819</v>
      </c>
      <c r="K4986" t="s">
        <v>41189</v>
      </c>
      <c r="M4986" t="s">
        <v>43275</v>
      </c>
      <c r="N4986" t="s">
        <v>45095</v>
      </c>
      <c r="O4986" t="s">
        <v>45096</v>
      </c>
      <c r="P4986">
        <v>0</v>
      </c>
      <c r="Q4986">
        <v>0</v>
      </c>
      <c r="R4986" t="s">
        <v>45102</v>
      </c>
      <c r="S4986" t="s">
        <v>45242</v>
      </c>
      <c r="T4986" t="s">
        <v>47166</v>
      </c>
      <c r="U4986" t="s">
        <v>51663</v>
      </c>
      <c r="W4986" t="s">
        <v>43275</v>
      </c>
      <c r="X4986" t="s">
        <v>45104</v>
      </c>
    </row>
    <row r="4987" spans="1:24">
      <c r="A4987">
        <f>HYPERLINK("https://www.philgeps.gov.ph/GEPSNONPILOT/Tender/SplashBidNoticeAbstractUI.aspx?menuIndex=3&amp;refID=7035919&amp;Result=3","7035919")</f>
        <v>0</v>
      </c>
      <c r="B4987" t="s">
        <v>1663</v>
      </c>
      <c r="C4987" t="s">
        <v>7963</v>
      </c>
      <c r="D4987" t="s">
        <v>18033</v>
      </c>
      <c r="E4987" t="s">
        <v>22574</v>
      </c>
      <c r="F4987" t="s">
        <v>31574</v>
      </c>
      <c r="G4987" t="s">
        <v>31582</v>
      </c>
      <c r="H4987" t="s">
        <v>31591</v>
      </c>
      <c r="I4987" t="s">
        <v>8822</v>
      </c>
      <c r="J4987" t="s">
        <v>34971</v>
      </c>
      <c r="K4987" t="s">
        <v>41330</v>
      </c>
      <c r="M4987" t="s">
        <v>43275</v>
      </c>
      <c r="N4987" t="s">
        <v>45095</v>
      </c>
      <c r="O4987" t="s">
        <v>45096</v>
      </c>
      <c r="P4987">
        <v>0</v>
      </c>
      <c r="Q4987">
        <v>1</v>
      </c>
      <c r="R4987" t="s">
        <v>45102</v>
      </c>
      <c r="S4987" t="s">
        <v>45242</v>
      </c>
      <c r="T4987" t="s">
        <v>47166</v>
      </c>
      <c r="U4987" t="s">
        <v>51664</v>
      </c>
      <c r="W4987" t="s">
        <v>43275</v>
      </c>
      <c r="X4987" t="s">
        <v>45104</v>
      </c>
    </row>
    <row r="4988" spans="1:24">
      <c r="A4988">
        <f>HYPERLINK("https://www.philgeps.gov.ph/GEPSNONPILOT/Tender/SplashBidNoticeAbstractUI.aspx?menuIndex=3&amp;refID=7035844&amp;Result=3","7035844")</f>
        <v>0</v>
      </c>
      <c r="B4988" t="s">
        <v>1664</v>
      </c>
      <c r="C4988" t="s">
        <v>7964</v>
      </c>
      <c r="D4988" t="s">
        <v>18046</v>
      </c>
      <c r="E4988" t="s">
        <v>22575</v>
      </c>
      <c r="F4988" t="s">
        <v>31574</v>
      </c>
      <c r="G4988" t="s">
        <v>31581</v>
      </c>
      <c r="H4988" t="s">
        <v>31590</v>
      </c>
      <c r="I4988" t="s">
        <v>31612</v>
      </c>
      <c r="J4988" t="s">
        <v>34972</v>
      </c>
      <c r="K4988" t="s">
        <v>41186</v>
      </c>
      <c r="M4988" t="s">
        <v>43277</v>
      </c>
      <c r="N4988" t="s">
        <v>45095</v>
      </c>
      <c r="O4988" t="s">
        <v>45096</v>
      </c>
      <c r="P4988">
        <v>0</v>
      </c>
      <c r="Q4988">
        <v>0</v>
      </c>
      <c r="R4988" t="s">
        <v>45102</v>
      </c>
      <c r="S4988" t="s">
        <v>45242</v>
      </c>
      <c r="T4988" t="s">
        <v>46913</v>
      </c>
      <c r="U4988" t="s">
        <v>51665</v>
      </c>
      <c r="W4988" t="s">
        <v>43277</v>
      </c>
      <c r="X4988" t="s">
        <v>45104</v>
      </c>
    </row>
    <row r="4989" spans="1:24">
      <c r="A4989">
        <f>HYPERLINK("https://www.philgeps.gov.ph/GEPSNONPILOT/Tender/SplashBidNoticeAbstractUI.aspx?menuIndex=3&amp;refID=7035635&amp;Result=3","7035635")</f>
        <v>0</v>
      </c>
      <c r="B4989" t="s">
        <v>1663</v>
      </c>
      <c r="C4989" t="s">
        <v>7965</v>
      </c>
      <c r="D4989" t="s">
        <v>18033</v>
      </c>
      <c r="E4989" t="s">
        <v>22576</v>
      </c>
      <c r="F4989" t="s">
        <v>31574</v>
      </c>
      <c r="G4989" t="s">
        <v>31582</v>
      </c>
      <c r="H4989" t="s">
        <v>31591</v>
      </c>
      <c r="I4989" t="s">
        <v>8822</v>
      </c>
      <c r="J4989" t="s">
        <v>31935</v>
      </c>
      <c r="K4989" t="s">
        <v>41185</v>
      </c>
      <c r="M4989" t="s">
        <v>43275</v>
      </c>
      <c r="N4989" t="s">
        <v>45095</v>
      </c>
      <c r="O4989" t="s">
        <v>45096</v>
      </c>
      <c r="P4989">
        <v>0</v>
      </c>
      <c r="Q4989">
        <v>0</v>
      </c>
      <c r="R4989" t="s">
        <v>45102</v>
      </c>
      <c r="S4989" t="s">
        <v>45242</v>
      </c>
      <c r="T4989" t="s">
        <v>47166</v>
      </c>
      <c r="U4989" t="s">
        <v>51666</v>
      </c>
      <c r="W4989" t="s">
        <v>43275</v>
      </c>
      <c r="X4989" t="s">
        <v>45104</v>
      </c>
    </row>
    <row r="4990" spans="1:24">
      <c r="A4990">
        <f>HYPERLINK("https://www.philgeps.gov.ph/GEPSNONPILOT/Tender/SplashBidNoticeAbstractUI.aspx?menuIndex=3&amp;refID=7035788&amp;Result=3","7035788")</f>
        <v>0</v>
      </c>
      <c r="B4990" t="s">
        <v>1663</v>
      </c>
      <c r="C4990" t="s">
        <v>7966</v>
      </c>
      <c r="D4990" t="s">
        <v>18033</v>
      </c>
      <c r="E4990" t="s">
        <v>22577</v>
      </c>
      <c r="F4990" t="s">
        <v>31574</v>
      </c>
      <c r="G4990" t="s">
        <v>31582</v>
      </c>
      <c r="H4990" t="s">
        <v>31591</v>
      </c>
      <c r="I4990" t="s">
        <v>8822</v>
      </c>
      <c r="J4990" t="s">
        <v>32530</v>
      </c>
      <c r="K4990" t="s">
        <v>41285</v>
      </c>
      <c r="M4990" t="s">
        <v>43275</v>
      </c>
      <c r="N4990" t="s">
        <v>45095</v>
      </c>
      <c r="O4990" t="s">
        <v>45096</v>
      </c>
      <c r="P4990">
        <v>0</v>
      </c>
      <c r="Q4990">
        <v>0</v>
      </c>
      <c r="R4990" t="s">
        <v>45102</v>
      </c>
      <c r="S4990" t="s">
        <v>45242</v>
      </c>
      <c r="T4990" t="s">
        <v>47166</v>
      </c>
      <c r="U4990" t="s">
        <v>51667</v>
      </c>
      <c r="W4990" t="s">
        <v>43275</v>
      </c>
      <c r="X4990" t="s">
        <v>45104</v>
      </c>
    </row>
    <row r="4991" spans="1:24">
      <c r="A4991">
        <f>HYPERLINK("https://www.philgeps.gov.ph/GEPSNONPILOT/Tender/SplashBidNoticeAbstractUI.aspx?menuIndex=3&amp;refID=7035774&amp;Result=3","7035774")</f>
        <v>0</v>
      </c>
      <c r="B4991" t="s">
        <v>1664</v>
      </c>
      <c r="C4991" t="s">
        <v>7967</v>
      </c>
      <c r="D4991" t="s">
        <v>18046</v>
      </c>
      <c r="E4991" t="s">
        <v>22578</v>
      </c>
      <c r="F4991" t="s">
        <v>31574</v>
      </c>
      <c r="G4991" t="s">
        <v>31581</v>
      </c>
      <c r="H4991" t="s">
        <v>31590</v>
      </c>
      <c r="I4991" t="s">
        <v>31608</v>
      </c>
      <c r="J4991" t="s">
        <v>34700</v>
      </c>
      <c r="K4991" t="s">
        <v>41186</v>
      </c>
      <c r="M4991" t="s">
        <v>43277</v>
      </c>
      <c r="N4991" t="s">
        <v>45095</v>
      </c>
      <c r="O4991" t="s">
        <v>45096</v>
      </c>
      <c r="P4991">
        <v>0</v>
      </c>
      <c r="Q4991">
        <v>0</v>
      </c>
      <c r="R4991" t="s">
        <v>45102</v>
      </c>
      <c r="S4991" t="s">
        <v>45242</v>
      </c>
      <c r="T4991" t="s">
        <v>46913</v>
      </c>
      <c r="U4991" t="s">
        <v>51668</v>
      </c>
      <c r="W4991" t="s">
        <v>43277</v>
      </c>
      <c r="X4991" t="s">
        <v>45104</v>
      </c>
    </row>
    <row r="4992" spans="1:24">
      <c r="A4992">
        <f>HYPERLINK("https://www.philgeps.gov.ph/GEPSNONPILOT/Tender/SplashBidNoticeAbstractUI.aspx?menuIndex=3&amp;refID=7035849&amp;Result=3","7035849")</f>
        <v>0</v>
      </c>
      <c r="B4992" t="s">
        <v>1663</v>
      </c>
      <c r="C4992" t="s">
        <v>7968</v>
      </c>
      <c r="D4992" t="s">
        <v>18033</v>
      </c>
      <c r="E4992" t="s">
        <v>22579</v>
      </c>
      <c r="F4992" t="s">
        <v>31574</v>
      </c>
      <c r="G4992" t="s">
        <v>31582</v>
      </c>
      <c r="H4992" t="s">
        <v>31591</v>
      </c>
      <c r="I4992" t="s">
        <v>8822</v>
      </c>
      <c r="J4992" t="s">
        <v>31771</v>
      </c>
      <c r="K4992" t="s">
        <v>41192</v>
      </c>
      <c r="M4992" t="s">
        <v>43275</v>
      </c>
      <c r="N4992" t="s">
        <v>45095</v>
      </c>
      <c r="O4992" t="s">
        <v>45096</v>
      </c>
      <c r="P4992">
        <v>0</v>
      </c>
      <c r="Q4992">
        <v>0</v>
      </c>
      <c r="R4992" t="s">
        <v>45102</v>
      </c>
      <c r="S4992" t="s">
        <v>45242</v>
      </c>
      <c r="T4992" t="s">
        <v>47166</v>
      </c>
      <c r="U4992" t="s">
        <v>51669</v>
      </c>
      <c r="W4992" t="s">
        <v>43275</v>
      </c>
      <c r="X4992" t="s">
        <v>45104</v>
      </c>
    </row>
    <row r="4993" spans="1:24">
      <c r="A4993">
        <f>HYPERLINK("https://www.philgeps.gov.ph/GEPSNONPILOT/Tender/SplashBidNoticeAbstractUI.aspx?menuIndex=3&amp;refID=7035688&amp;Result=3","7035688")</f>
        <v>0</v>
      </c>
      <c r="B4993" t="s">
        <v>1663</v>
      </c>
      <c r="C4993" t="s">
        <v>7969</v>
      </c>
      <c r="D4993" t="s">
        <v>18033</v>
      </c>
      <c r="E4993" t="s">
        <v>22580</v>
      </c>
      <c r="F4993" t="s">
        <v>31574</v>
      </c>
      <c r="G4993" t="s">
        <v>31582</v>
      </c>
      <c r="H4993" t="s">
        <v>31591</v>
      </c>
      <c r="I4993" t="s">
        <v>8822</v>
      </c>
      <c r="J4993" t="s">
        <v>34050</v>
      </c>
      <c r="K4993" t="s">
        <v>41285</v>
      </c>
      <c r="M4993" t="s">
        <v>43275</v>
      </c>
      <c r="N4993" t="s">
        <v>45095</v>
      </c>
      <c r="O4993" t="s">
        <v>45096</v>
      </c>
      <c r="P4993">
        <v>0</v>
      </c>
      <c r="Q4993">
        <v>0</v>
      </c>
      <c r="R4993" t="s">
        <v>45102</v>
      </c>
      <c r="S4993" t="s">
        <v>45242</v>
      </c>
      <c r="T4993" t="s">
        <v>47166</v>
      </c>
      <c r="U4993" t="s">
        <v>51670</v>
      </c>
      <c r="W4993" t="s">
        <v>43275</v>
      </c>
      <c r="X4993" t="s">
        <v>45104</v>
      </c>
    </row>
    <row r="4994" spans="1:24">
      <c r="A4994">
        <f>HYPERLINK("https://www.philgeps.gov.ph/GEPSNONPILOT/Tender/SplashBidNoticeAbstractUI.aspx?menuIndex=3&amp;refID=7035979&amp;Result=3","7035979")</f>
        <v>0</v>
      </c>
      <c r="B4994" t="s">
        <v>1663</v>
      </c>
      <c r="C4994" t="s">
        <v>7970</v>
      </c>
      <c r="D4994" t="s">
        <v>18033</v>
      </c>
      <c r="E4994" t="s">
        <v>22581</v>
      </c>
      <c r="F4994" t="s">
        <v>31574</v>
      </c>
      <c r="G4994" t="s">
        <v>31582</v>
      </c>
      <c r="H4994" t="s">
        <v>31591</v>
      </c>
      <c r="I4994" t="s">
        <v>8822</v>
      </c>
      <c r="J4994" t="s">
        <v>34973</v>
      </c>
      <c r="K4994" t="s">
        <v>41188</v>
      </c>
      <c r="M4994" t="s">
        <v>43275</v>
      </c>
      <c r="N4994" t="s">
        <v>45095</v>
      </c>
      <c r="O4994" t="s">
        <v>45096</v>
      </c>
      <c r="P4994">
        <v>0</v>
      </c>
      <c r="Q4994">
        <v>0</v>
      </c>
      <c r="R4994" t="s">
        <v>45102</v>
      </c>
      <c r="S4994" t="s">
        <v>45242</v>
      </c>
      <c r="T4994" t="s">
        <v>47166</v>
      </c>
      <c r="U4994" t="s">
        <v>51671</v>
      </c>
      <c r="W4994" t="s">
        <v>43275</v>
      </c>
      <c r="X4994" t="s">
        <v>45104</v>
      </c>
    </row>
    <row r="4995" spans="1:24">
      <c r="A4995">
        <f>HYPERLINK("https://www.philgeps.gov.ph/GEPSNONPILOT/Tender/SplashBidNoticeAbstractUI.aspx?menuIndex=3&amp;refID=7035874&amp;Result=3","7035874")</f>
        <v>0</v>
      </c>
      <c r="B4995" t="s">
        <v>80</v>
      </c>
      <c r="C4995" t="s">
        <v>7971</v>
      </c>
      <c r="D4995" t="s">
        <v>18041</v>
      </c>
      <c r="E4995" t="s">
        <v>22582</v>
      </c>
      <c r="F4995" t="s">
        <v>31574</v>
      </c>
      <c r="G4995" t="s">
        <v>31583</v>
      </c>
      <c r="H4995" t="s">
        <v>31590</v>
      </c>
      <c r="I4995" t="s">
        <v>31596</v>
      </c>
      <c r="J4995" t="s">
        <v>34974</v>
      </c>
      <c r="K4995" t="s">
        <v>41196</v>
      </c>
      <c r="M4995" t="s">
        <v>41564</v>
      </c>
      <c r="N4995" t="s">
        <v>45095</v>
      </c>
      <c r="O4995" t="s">
        <v>45096</v>
      </c>
      <c r="P4995">
        <v>0</v>
      </c>
      <c r="Q4995">
        <v>0</v>
      </c>
      <c r="R4995" t="s">
        <v>45102</v>
      </c>
      <c r="S4995" t="s">
        <v>45242</v>
      </c>
      <c r="T4995" t="s">
        <v>46957</v>
      </c>
      <c r="U4995" t="s">
        <v>51672</v>
      </c>
      <c r="W4995" t="s">
        <v>41564</v>
      </c>
      <c r="X4995" t="s">
        <v>45104</v>
      </c>
    </row>
    <row r="4996" spans="1:24">
      <c r="A4996">
        <f>HYPERLINK("https://www.philgeps.gov.ph/GEPSNONPILOT/Tender/SplashBidNoticeAbstractUI.aspx?menuIndex=3&amp;refID=7035759&amp;Result=3","7035759")</f>
        <v>0</v>
      </c>
      <c r="B4996" t="s">
        <v>1663</v>
      </c>
      <c r="C4996" t="s">
        <v>7972</v>
      </c>
      <c r="D4996" t="s">
        <v>18033</v>
      </c>
      <c r="E4996" t="s">
        <v>22583</v>
      </c>
      <c r="F4996" t="s">
        <v>31574</v>
      </c>
      <c r="G4996" t="s">
        <v>31582</v>
      </c>
      <c r="H4996" t="s">
        <v>31591</v>
      </c>
      <c r="I4996" t="s">
        <v>8822</v>
      </c>
      <c r="J4996" t="s">
        <v>31935</v>
      </c>
      <c r="K4996" t="s">
        <v>41185</v>
      </c>
      <c r="M4996" t="s">
        <v>43275</v>
      </c>
      <c r="N4996" t="s">
        <v>45095</v>
      </c>
      <c r="O4996" t="s">
        <v>45096</v>
      </c>
      <c r="P4996">
        <v>0</v>
      </c>
      <c r="Q4996">
        <v>0</v>
      </c>
      <c r="R4996" t="s">
        <v>45102</v>
      </c>
      <c r="S4996" t="s">
        <v>45242</v>
      </c>
      <c r="T4996" t="s">
        <v>47166</v>
      </c>
      <c r="U4996" t="s">
        <v>51673</v>
      </c>
      <c r="W4996" t="s">
        <v>43275</v>
      </c>
      <c r="X4996" t="s">
        <v>45104</v>
      </c>
    </row>
    <row r="4997" spans="1:24">
      <c r="A4997">
        <f>HYPERLINK("https://www.philgeps.gov.ph/GEPSNONPILOT/Tender/SplashBidNoticeAbstractUI.aspx?menuIndex=3&amp;refID=7035790&amp;Result=3","7035790")</f>
        <v>0</v>
      </c>
      <c r="B4997" t="s">
        <v>148</v>
      </c>
      <c r="C4997" t="s">
        <v>7973</v>
      </c>
      <c r="D4997" t="s">
        <v>18025</v>
      </c>
      <c r="E4997" t="s">
        <v>22584</v>
      </c>
      <c r="F4997" t="s">
        <v>31574</v>
      </c>
      <c r="G4997" t="s">
        <v>31582</v>
      </c>
      <c r="H4997" t="s">
        <v>31590</v>
      </c>
      <c r="I4997" t="s">
        <v>4046</v>
      </c>
      <c r="J4997" t="s">
        <v>34975</v>
      </c>
      <c r="K4997" t="s">
        <v>41213</v>
      </c>
      <c r="M4997" t="s">
        <v>41632</v>
      </c>
      <c r="N4997" t="s">
        <v>45095</v>
      </c>
      <c r="O4997" t="s">
        <v>45096</v>
      </c>
      <c r="P4997">
        <v>0</v>
      </c>
      <c r="Q4997">
        <v>0</v>
      </c>
      <c r="R4997" t="s">
        <v>45102</v>
      </c>
      <c r="S4997" t="s">
        <v>45242</v>
      </c>
      <c r="T4997" t="s">
        <v>46986</v>
      </c>
      <c r="U4997" t="s">
        <v>51674</v>
      </c>
      <c r="W4997" t="s">
        <v>41632</v>
      </c>
      <c r="X4997" t="s">
        <v>45104</v>
      </c>
    </row>
    <row r="4998" spans="1:24">
      <c r="A4998">
        <f>HYPERLINK("https://www.philgeps.gov.ph/GEPSNONPILOT/Tender/SplashBidNoticeAbstractUI.aspx?menuIndex=3&amp;refID=7036019&amp;Result=3","7036019")</f>
        <v>0</v>
      </c>
      <c r="B4998" t="s">
        <v>80</v>
      </c>
      <c r="C4998" t="s">
        <v>7974</v>
      </c>
      <c r="D4998" t="s">
        <v>18041</v>
      </c>
      <c r="E4998" t="s">
        <v>22585</v>
      </c>
      <c r="F4998" t="s">
        <v>31574</v>
      </c>
      <c r="G4998" t="s">
        <v>31583</v>
      </c>
      <c r="H4998" t="s">
        <v>31590</v>
      </c>
      <c r="I4998" t="s">
        <v>31596</v>
      </c>
      <c r="J4998" t="s">
        <v>34970</v>
      </c>
      <c r="K4998" t="s">
        <v>41196</v>
      </c>
      <c r="M4998" t="s">
        <v>41564</v>
      </c>
      <c r="N4998" t="s">
        <v>45095</v>
      </c>
      <c r="O4998" t="s">
        <v>45096</v>
      </c>
      <c r="P4998">
        <v>0</v>
      </c>
      <c r="Q4998">
        <v>0</v>
      </c>
      <c r="R4998" t="s">
        <v>45102</v>
      </c>
      <c r="S4998" t="s">
        <v>45242</v>
      </c>
      <c r="T4998" t="s">
        <v>46957</v>
      </c>
      <c r="U4998" t="s">
        <v>51675</v>
      </c>
      <c r="W4998" t="s">
        <v>41564</v>
      </c>
      <c r="X4998" t="s">
        <v>45104</v>
      </c>
    </row>
    <row r="4999" spans="1:24">
      <c r="A4999">
        <f>HYPERLINK("https://www.philgeps.gov.ph/GEPSNONPILOT/Tender/SplashBidNoticeAbstractUI.aspx?menuIndex=3&amp;refID=7036079&amp;Result=3","7036079")</f>
        <v>0</v>
      </c>
      <c r="B4999" t="s">
        <v>80</v>
      </c>
      <c r="C4999" t="s">
        <v>7975</v>
      </c>
      <c r="D4999" t="s">
        <v>18041</v>
      </c>
      <c r="E4999" t="s">
        <v>22586</v>
      </c>
      <c r="F4999" t="s">
        <v>31574</v>
      </c>
      <c r="G4999" t="s">
        <v>31583</v>
      </c>
      <c r="H4999" t="s">
        <v>31590</v>
      </c>
      <c r="I4999" t="s">
        <v>31596</v>
      </c>
      <c r="J4999" t="s">
        <v>34970</v>
      </c>
      <c r="K4999" t="s">
        <v>41196</v>
      </c>
      <c r="M4999" t="s">
        <v>41564</v>
      </c>
      <c r="N4999" t="s">
        <v>45095</v>
      </c>
      <c r="O4999" t="s">
        <v>45096</v>
      </c>
      <c r="P4999">
        <v>0</v>
      </c>
      <c r="Q4999">
        <v>0</v>
      </c>
      <c r="R4999" t="s">
        <v>45102</v>
      </c>
      <c r="S4999" t="s">
        <v>45242</v>
      </c>
      <c r="T4999" t="s">
        <v>46957</v>
      </c>
      <c r="U4999" t="s">
        <v>51676</v>
      </c>
      <c r="W4999" t="s">
        <v>41564</v>
      </c>
      <c r="X4999" t="s">
        <v>45104</v>
      </c>
    </row>
    <row r="5000" spans="1:24">
      <c r="A5000">
        <f>HYPERLINK("https://www.philgeps.gov.ph/GEPSNONPILOT/Tender/SplashBidNoticeAbstractUI.aspx?menuIndex=3&amp;refID=7035888&amp;Result=3","7035888")</f>
        <v>0</v>
      </c>
      <c r="B5000" t="s">
        <v>1663</v>
      </c>
      <c r="C5000" t="s">
        <v>7976</v>
      </c>
      <c r="D5000" t="s">
        <v>18033</v>
      </c>
      <c r="E5000" t="s">
        <v>22587</v>
      </c>
      <c r="F5000" t="s">
        <v>31574</v>
      </c>
      <c r="G5000" t="s">
        <v>31582</v>
      </c>
      <c r="H5000" t="s">
        <v>31591</v>
      </c>
      <c r="I5000" t="s">
        <v>8822</v>
      </c>
      <c r="J5000" t="s">
        <v>34976</v>
      </c>
      <c r="K5000" t="s">
        <v>41192</v>
      </c>
      <c r="M5000" t="s">
        <v>43275</v>
      </c>
      <c r="N5000" t="s">
        <v>45095</v>
      </c>
      <c r="O5000" t="s">
        <v>45096</v>
      </c>
      <c r="P5000">
        <v>0</v>
      </c>
      <c r="Q5000">
        <v>0</v>
      </c>
      <c r="R5000" t="s">
        <v>45102</v>
      </c>
      <c r="S5000" t="s">
        <v>45242</v>
      </c>
      <c r="T5000" t="s">
        <v>47166</v>
      </c>
      <c r="U5000" t="s">
        <v>51677</v>
      </c>
      <c r="W5000" t="s">
        <v>43275</v>
      </c>
      <c r="X5000" t="s">
        <v>45104</v>
      </c>
    </row>
    <row r="5001" spans="1:24">
      <c r="A5001">
        <f>HYPERLINK("https://www.philgeps.gov.ph/GEPSNONPILOT/Tender/SplashBidNoticeAbstractUI.aspx?menuIndex=3&amp;refID=7036110&amp;Result=3","7036110")</f>
        <v>0</v>
      </c>
      <c r="B5001" t="s">
        <v>31</v>
      </c>
      <c r="C5001" t="s">
        <v>7977</v>
      </c>
      <c r="E5001" t="s">
        <v>22588</v>
      </c>
      <c r="F5001" t="s">
        <v>31574</v>
      </c>
      <c r="G5001" t="s">
        <v>31582</v>
      </c>
      <c r="H5001" t="s">
        <v>31591</v>
      </c>
      <c r="I5001" t="s">
        <v>8822</v>
      </c>
      <c r="J5001" t="s">
        <v>34977</v>
      </c>
      <c r="K5001" t="s">
        <v>41235</v>
      </c>
      <c r="M5001" t="s">
        <v>41518</v>
      </c>
      <c r="N5001" t="s">
        <v>45095</v>
      </c>
      <c r="O5001" t="s">
        <v>45096</v>
      </c>
      <c r="P5001">
        <v>0</v>
      </c>
      <c r="Q5001">
        <v>1</v>
      </c>
      <c r="R5001" t="s">
        <v>45102</v>
      </c>
      <c r="S5001" t="s">
        <v>45242</v>
      </c>
      <c r="T5001" t="s">
        <v>47196</v>
      </c>
      <c r="U5001" t="s">
        <v>51678</v>
      </c>
      <c r="W5001" t="s">
        <v>41518</v>
      </c>
      <c r="X5001" t="s">
        <v>45104</v>
      </c>
    </row>
    <row r="5002" spans="1:24">
      <c r="A5002">
        <f>HYPERLINK("https://www.philgeps.gov.ph/GEPSNONPILOT/Tender/SplashBidNoticeAbstractUI.aspx?menuIndex=3&amp;refID=7036101&amp;Result=3","7036101")</f>
        <v>0</v>
      </c>
      <c r="B5002" t="s">
        <v>1665</v>
      </c>
      <c r="C5002" t="s">
        <v>7978</v>
      </c>
      <c r="D5002" t="s">
        <v>18075</v>
      </c>
      <c r="E5002" t="s">
        <v>22589</v>
      </c>
      <c r="F5002" t="s">
        <v>31574</v>
      </c>
      <c r="G5002" t="s">
        <v>31581</v>
      </c>
      <c r="H5002" t="s">
        <v>31590</v>
      </c>
      <c r="I5002" t="s">
        <v>4327</v>
      </c>
      <c r="J5002" t="s">
        <v>32741</v>
      </c>
      <c r="K5002" t="s">
        <v>41190</v>
      </c>
      <c r="M5002" t="s">
        <v>43278</v>
      </c>
      <c r="N5002" t="s">
        <v>45095</v>
      </c>
      <c r="O5002" t="s">
        <v>45096</v>
      </c>
      <c r="P5002">
        <v>0</v>
      </c>
      <c r="Q5002">
        <v>1</v>
      </c>
      <c r="R5002" t="s">
        <v>45102</v>
      </c>
      <c r="S5002" t="s">
        <v>45242</v>
      </c>
      <c r="T5002" t="s">
        <v>47159</v>
      </c>
      <c r="U5002" t="s">
        <v>51679</v>
      </c>
      <c r="W5002" t="s">
        <v>43278</v>
      </c>
      <c r="X5002" t="s">
        <v>45104</v>
      </c>
    </row>
    <row r="5003" spans="1:24">
      <c r="A5003">
        <f>HYPERLINK("https://www.philgeps.gov.ph/GEPSNONPILOT/Tender/SplashBidNoticeAbstractUI.aspx?menuIndex=3&amp;refID=7036953&amp;Result=3","7036953")</f>
        <v>0</v>
      </c>
      <c r="B5003" t="s">
        <v>135</v>
      </c>
      <c r="C5003" t="s">
        <v>7979</v>
      </c>
      <c r="D5003" t="s">
        <v>18022</v>
      </c>
      <c r="E5003" t="s">
        <v>22590</v>
      </c>
      <c r="F5003" t="s">
        <v>31574</v>
      </c>
      <c r="G5003" t="s">
        <v>31582</v>
      </c>
      <c r="H5003" t="s">
        <v>31590</v>
      </c>
      <c r="I5003" t="s">
        <v>31612</v>
      </c>
      <c r="J5003" t="s">
        <v>34978</v>
      </c>
      <c r="K5003" t="s">
        <v>41184</v>
      </c>
      <c r="M5003" t="s">
        <v>42258</v>
      </c>
      <c r="N5003" t="s">
        <v>45095</v>
      </c>
      <c r="O5003" t="s">
        <v>45096</v>
      </c>
      <c r="P5003">
        <v>0</v>
      </c>
      <c r="Q5003">
        <v>10</v>
      </c>
      <c r="R5003" t="s">
        <v>45102</v>
      </c>
      <c r="S5003" t="s">
        <v>45242</v>
      </c>
      <c r="T5003" t="s">
        <v>47004</v>
      </c>
      <c r="U5003" t="s">
        <v>51680</v>
      </c>
      <c r="V5003" t="s">
        <v>60030</v>
      </c>
      <c r="W5003" t="s">
        <v>42258</v>
      </c>
      <c r="X5003" t="s">
        <v>45104</v>
      </c>
    </row>
    <row r="5004" spans="1:24">
      <c r="A5004">
        <f>HYPERLINK("https://www.philgeps.gov.ph/GEPSNONPILOT/Tender/SplashBidNoticeAbstractUI.aspx?menuIndex=3&amp;refID=7036907&amp;Result=3","7036907")</f>
        <v>0</v>
      </c>
      <c r="B5004" t="s">
        <v>1211</v>
      </c>
      <c r="C5004" t="s">
        <v>7980</v>
      </c>
      <c r="D5004" t="s">
        <v>18041</v>
      </c>
      <c r="E5004" t="s">
        <v>22591</v>
      </c>
      <c r="F5004" t="s">
        <v>31574</v>
      </c>
      <c r="G5004" t="s">
        <v>31582</v>
      </c>
      <c r="H5004" t="s">
        <v>31590</v>
      </c>
      <c r="I5004" t="s">
        <v>31603</v>
      </c>
      <c r="J5004" t="s">
        <v>31727</v>
      </c>
      <c r="K5004" t="s">
        <v>41191</v>
      </c>
      <c r="M5004" t="s">
        <v>42771</v>
      </c>
      <c r="N5004" t="s">
        <v>45095</v>
      </c>
      <c r="O5004" t="s">
        <v>45096</v>
      </c>
      <c r="Q5004">
        <v>5</v>
      </c>
      <c r="R5004" t="s">
        <v>45102</v>
      </c>
      <c r="S5004" t="s">
        <v>45244</v>
      </c>
      <c r="T5004" t="s">
        <v>47188</v>
      </c>
      <c r="U5004" t="s">
        <v>51681</v>
      </c>
      <c r="W5004" t="s">
        <v>61694</v>
      </c>
      <c r="X5004" t="s">
        <v>45104</v>
      </c>
    </row>
    <row r="5005" spans="1:24">
      <c r="A5005">
        <f>HYPERLINK("https://www.philgeps.gov.ph/GEPSNONPILOT/Tender/SplashBidNoticeAbstractUI.aspx?menuIndex=3&amp;refID=7035615&amp;Result=3","7035615")</f>
        <v>0</v>
      </c>
      <c r="B5005" t="s">
        <v>1666</v>
      </c>
      <c r="C5005" t="s">
        <v>7981</v>
      </c>
      <c r="D5005" t="s">
        <v>18090</v>
      </c>
      <c r="E5005" t="s">
        <v>18227</v>
      </c>
      <c r="F5005" t="s">
        <v>31574</v>
      </c>
      <c r="G5005" t="s">
        <v>31582</v>
      </c>
      <c r="H5005" t="s">
        <v>31591</v>
      </c>
      <c r="I5005" t="s">
        <v>8822</v>
      </c>
      <c r="J5005" t="s">
        <v>31947</v>
      </c>
      <c r="K5005" t="s">
        <v>41201</v>
      </c>
      <c r="M5005" t="s">
        <v>43279</v>
      </c>
      <c r="N5005" t="s">
        <v>45095</v>
      </c>
      <c r="O5005" t="s">
        <v>45096</v>
      </c>
      <c r="P5005">
        <v>0</v>
      </c>
      <c r="Q5005">
        <v>0</v>
      </c>
      <c r="R5005" t="s">
        <v>45102</v>
      </c>
      <c r="S5005" t="s">
        <v>45242</v>
      </c>
      <c r="T5005" t="s">
        <v>46957</v>
      </c>
      <c r="U5005" t="s">
        <v>51682</v>
      </c>
      <c r="W5005" t="s">
        <v>43279</v>
      </c>
      <c r="X5005" t="s">
        <v>45104</v>
      </c>
    </row>
    <row r="5006" spans="1:24">
      <c r="A5006">
        <f>HYPERLINK("https://www.philgeps.gov.ph/GEPSNONPILOT/Tender/SplashBidNoticeAbstractUI.aspx?menuIndex=3&amp;refID=7036290&amp;Result=3","7036290")</f>
        <v>0</v>
      </c>
      <c r="B5006" t="s">
        <v>1385</v>
      </c>
      <c r="C5006" t="s">
        <v>7982</v>
      </c>
      <c r="D5006" t="s">
        <v>18103</v>
      </c>
      <c r="E5006" t="s">
        <v>22592</v>
      </c>
      <c r="F5006" t="s">
        <v>31574</v>
      </c>
      <c r="G5006" t="s">
        <v>31582</v>
      </c>
      <c r="H5006" t="s">
        <v>31590</v>
      </c>
      <c r="I5006" t="s">
        <v>4046</v>
      </c>
      <c r="J5006" t="s">
        <v>34979</v>
      </c>
      <c r="K5006" t="s">
        <v>41184</v>
      </c>
      <c r="M5006" t="s">
        <v>42959</v>
      </c>
      <c r="N5006" t="s">
        <v>45095</v>
      </c>
      <c r="O5006" t="s">
        <v>45096</v>
      </c>
      <c r="P5006">
        <v>0</v>
      </c>
      <c r="Q5006">
        <v>4</v>
      </c>
      <c r="R5006" t="s">
        <v>45102</v>
      </c>
      <c r="S5006" t="s">
        <v>45242</v>
      </c>
      <c r="T5006" t="s">
        <v>47231</v>
      </c>
      <c r="U5006" t="s">
        <v>51683</v>
      </c>
      <c r="W5006" t="s">
        <v>42959</v>
      </c>
      <c r="X5006" t="s">
        <v>45104</v>
      </c>
    </row>
    <row r="5007" spans="1:24">
      <c r="A5007">
        <f>HYPERLINK("https://www.philgeps.gov.ph/GEPSNONPILOT/Tender/SplashBidNoticeAbstractUI.aspx?menuIndex=3&amp;refID=7036805&amp;Result=3","7036805")</f>
        <v>0</v>
      </c>
      <c r="B5007" t="s">
        <v>1667</v>
      </c>
      <c r="C5007" t="s">
        <v>7983</v>
      </c>
      <c r="D5007" t="s">
        <v>18093</v>
      </c>
      <c r="E5007" t="s">
        <v>22593</v>
      </c>
      <c r="F5007" t="s">
        <v>31574</v>
      </c>
      <c r="G5007" t="s">
        <v>31581</v>
      </c>
      <c r="H5007" t="s">
        <v>31590</v>
      </c>
      <c r="I5007" t="s">
        <v>31603</v>
      </c>
      <c r="J5007" t="s">
        <v>31764</v>
      </c>
      <c r="K5007" t="s">
        <v>41184</v>
      </c>
      <c r="M5007" t="s">
        <v>43280</v>
      </c>
      <c r="N5007" t="s">
        <v>45095</v>
      </c>
      <c r="O5007" t="s">
        <v>45096</v>
      </c>
      <c r="P5007">
        <v>0</v>
      </c>
      <c r="Q5007">
        <v>16</v>
      </c>
      <c r="R5007" t="s">
        <v>45102</v>
      </c>
      <c r="S5007" t="s">
        <v>45242</v>
      </c>
      <c r="T5007" t="s">
        <v>47125</v>
      </c>
      <c r="U5007" t="s">
        <v>51684</v>
      </c>
      <c r="V5007" t="s">
        <v>60380</v>
      </c>
      <c r="W5007" t="s">
        <v>43280</v>
      </c>
      <c r="X5007" t="s">
        <v>45104</v>
      </c>
    </row>
    <row r="5008" spans="1:24">
      <c r="A5008">
        <f>HYPERLINK("https://www.philgeps.gov.ph/GEPSNONPILOT/Tender/SplashBidNoticeAbstractUI.aspx?menuIndex=3&amp;refID=7035659&amp;Result=3","7035659")</f>
        <v>0</v>
      </c>
      <c r="B5008" t="s">
        <v>1663</v>
      </c>
      <c r="C5008" t="s">
        <v>7984</v>
      </c>
      <c r="D5008" t="s">
        <v>18033</v>
      </c>
      <c r="E5008" t="s">
        <v>22594</v>
      </c>
      <c r="F5008" t="s">
        <v>31574</v>
      </c>
      <c r="G5008" t="s">
        <v>31582</v>
      </c>
      <c r="H5008" t="s">
        <v>31591</v>
      </c>
      <c r="I5008" t="s">
        <v>8822</v>
      </c>
      <c r="J5008" t="s">
        <v>32936</v>
      </c>
      <c r="K5008" t="s">
        <v>41285</v>
      </c>
      <c r="M5008" t="s">
        <v>43275</v>
      </c>
      <c r="N5008" t="s">
        <v>45095</v>
      </c>
      <c r="O5008" t="s">
        <v>45096</v>
      </c>
      <c r="P5008">
        <v>0</v>
      </c>
      <c r="Q5008">
        <v>0</v>
      </c>
      <c r="R5008" t="s">
        <v>45102</v>
      </c>
      <c r="S5008" t="s">
        <v>45242</v>
      </c>
      <c r="T5008" t="s">
        <v>47166</v>
      </c>
      <c r="U5008" t="s">
        <v>51685</v>
      </c>
      <c r="W5008" t="s">
        <v>43275</v>
      </c>
      <c r="X5008" t="s">
        <v>45104</v>
      </c>
    </row>
    <row r="5009" spans="1:24">
      <c r="A5009">
        <f>HYPERLINK("https://www.philgeps.gov.ph/GEPSNONPILOT/Tender/SplashBidNoticeAbstractUI.aspx?menuIndex=3&amp;refID=7036419&amp;Result=3","7036419")</f>
        <v>0</v>
      </c>
      <c r="B5009" t="s">
        <v>40</v>
      </c>
      <c r="C5009" t="s">
        <v>7985</v>
      </c>
      <c r="D5009" t="s">
        <v>18035</v>
      </c>
      <c r="E5009" t="s">
        <v>22595</v>
      </c>
      <c r="F5009" t="s">
        <v>31574</v>
      </c>
      <c r="G5009" t="s">
        <v>31582</v>
      </c>
      <c r="H5009" t="s">
        <v>31591</v>
      </c>
      <c r="I5009" t="s">
        <v>8822</v>
      </c>
      <c r="J5009" t="s">
        <v>34980</v>
      </c>
      <c r="K5009" t="s">
        <v>41189</v>
      </c>
      <c r="M5009" t="s">
        <v>41523</v>
      </c>
      <c r="N5009" t="s">
        <v>45095</v>
      </c>
      <c r="O5009" t="s">
        <v>45096</v>
      </c>
      <c r="P5009">
        <v>0</v>
      </c>
      <c r="Q5009">
        <v>10</v>
      </c>
      <c r="R5009" t="s">
        <v>45102</v>
      </c>
      <c r="S5009" t="s">
        <v>45242</v>
      </c>
      <c r="T5009" t="s">
        <v>46962</v>
      </c>
      <c r="U5009" t="s">
        <v>47493</v>
      </c>
      <c r="V5009" t="s">
        <v>59850</v>
      </c>
      <c r="W5009" t="s">
        <v>41523</v>
      </c>
      <c r="X5009" t="s">
        <v>45104</v>
      </c>
    </row>
    <row r="5010" spans="1:24">
      <c r="A5010">
        <f>HYPERLINK("https://www.philgeps.gov.ph/GEPSNONPILOT/Tender/SplashBidNoticeAbstractUI.aspx?menuIndex=3&amp;refID=7036636&amp;Result=3","7036636")</f>
        <v>0</v>
      </c>
      <c r="B5010" t="s">
        <v>1668</v>
      </c>
      <c r="C5010" t="s">
        <v>7986</v>
      </c>
      <c r="D5010" t="s">
        <v>18070</v>
      </c>
      <c r="E5010" t="s">
        <v>22596</v>
      </c>
      <c r="F5010" t="s">
        <v>31574</v>
      </c>
      <c r="G5010" t="s">
        <v>31582</v>
      </c>
      <c r="H5010" t="s">
        <v>31591</v>
      </c>
      <c r="I5010" t="s">
        <v>8822</v>
      </c>
      <c r="J5010" t="s">
        <v>34981</v>
      </c>
      <c r="K5010" t="s">
        <v>41189</v>
      </c>
      <c r="M5010" t="s">
        <v>43281</v>
      </c>
      <c r="N5010" t="s">
        <v>45095</v>
      </c>
      <c r="O5010" t="s">
        <v>45096</v>
      </c>
      <c r="P5010">
        <v>0</v>
      </c>
      <c r="Q5010">
        <v>1</v>
      </c>
      <c r="R5010" t="s">
        <v>45102</v>
      </c>
      <c r="S5010" t="s">
        <v>45242</v>
      </c>
      <c r="T5010" t="s">
        <v>46939</v>
      </c>
      <c r="U5010" t="s">
        <v>51686</v>
      </c>
      <c r="W5010" t="s">
        <v>43281</v>
      </c>
      <c r="X5010" t="s">
        <v>45104</v>
      </c>
    </row>
    <row r="5011" spans="1:24">
      <c r="A5011">
        <f>HYPERLINK("https://www.philgeps.gov.ph/GEPSNONPILOT/Tender/SplashBidNoticeAbstractUI.aspx?menuIndex=3&amp;refID=7036996&amp;Result=3","7036996")</f>
        <v>0</v>
      </c>
      <c r="B5011" t="s">
        <v>1669</v>
      </c>
      <c r="C5011" t="s">
        <v>7987</v>
      </c>
      <c r="D5011" t="s">
        <v>18031</v>
      </c>
      <c r="E5011" t="s">
        <v>22597</v>
      </c>
      <c r="F5011" t="s">
        <v>31574</v>
      </c>
      <c r="G5011" t="s">
        <v>31583</v>
      </c>
      <c r="H5011" t="s">
        <v>31590</v>
      </c>
      <c r="I5011" t="s">
        <v>4354</v>
      </c>
      <c r="J5011" t="s">
        <v>34982</v>
      </c>
      <c r="K5011" t="s">
        <v>41213</v>
      </c>
      <c r="M5011" t="s">
        <v>43282</v>
      </c>
      <c r="N5011" t="s">
        <v>45095</v>
      </c>
      <c r="O5011" t="s">
        <v>45096</v>
      </c>
      <c r="P5011">
        <v>0</v>
      </c>
      <c r="Q5011">
        <v>5</v>
      </c>
      <c r="R5011" t="s">
        <v>45102</v>
      </c>
      <c r="S5011" t="s">
        <v>45242</v>
      </c>
      <c r="T5011" t="s">
        <v>47067</v>
      </c>
      <c r="U5011" t="s">
        <v>51687</v>
      </c>
      <c r="W5011" t="s">
        <v>43282</v>
      </c>
      <c r="X5011" t="s">
        <v>45104</v>
      </c>
    </row>
    <row r="5012" spans="1:24">
      <c r="A5012">
        <f>HYPERLINK("https://www.philgeps.gov.ph/GEPSNONPILOT/Tender/SplashBidNoticeAbstractUI.aspx?menuIndex=3&amp;refID=7036682&amp;Result=3","7036682")</f>
        <v>0</v>
      </c>
      <c r="B5012" t="s">
        <v>31</v>
      </c>
      <c r="C5012" t="s">
        <v>7988</v>
      </c>
      <c r="E5012" t="s">
        <v>22598</v>
      </c>
      <c r="F5012" t="s">
        <v>31574</v>
      </c>
      <c r="G5012" t="s">
        <v>31581</v>
      </c>
      <c r="H5012" t="s">
        <v>31590</v>
      </c>
      <c r="I5012" t="s">
        <v>31615</v>
      </c>
      <c r="J5012" t="s">
        <v>31727</v>
      </c>
      <c r="K5012" t="s">
        <v>41186</v>
      </c>
      <c r="M5012" t="s">
        <v>41513</v>
      </c>
      <c r="N5012" t="s">
        <v>45095</v>
      </c>
      <c r="O5012" t="s">
        <v>45096</v>
      </c>
      <c r="P5012">
        <v>0</v>
      </c>
      <c r="Q5012">
        <v>1</v>
      </c>
      <c r="R5012" t="s">
        <v>45102</v>
      </c>
      <c r="S5012" t="s">
        <v>45242</v>
      </c>
      <c r="T5012" t="s">
        <v>47183</v>
      </c>
      <c r="U5012" t="s">
        <v>47477</v>
      </c>
      <c r="W5012" t="s">
        <v>41513</v>
      </c>
      <c r="X5012" t="s">
        <v>45104</v>
      </c>
    </row>
    <row r="5013" spans="1:24">
      <c r="A5013">
        <f>HYPERLINK("https://www.philgeps.gov.ph/GEPSNONPILOT/Tender/SplashBidNoticeAbstractUI.aspx?menuIndex=3&amp;refID=7036980&amp;Result=3","7036980")</f>
        <v>0</v>
      </c>
      <c r="B5013" t="s">
        <v>135</v>
      </c>
      <c r="C5013" t="s">
        <v>7989</v>
      </c>
      <c r="D5013" t="s">
        <v>18022</v>
      </c>
      <c r="E5013" t="s">
        <v>22599</v>
      </c>
      <c r="F5013" t="s">
        <v>31574</v>
      </c>
      <c r="G5013" t="s">
        <v>31582</v>
      </c>
      <c r="H5013" t="s">
        <v>31590</v>
      </c>
      <c r="I5013" t="s">
        <v>31608</v>
      </c>
      <c r="J5013" t="s">
        <v>34983</v>
      </c>
      <c r="K5013" t="s">
        <v>41184</v>
      </c>
      <c r="M5013" t="s">
        <v>42258</v>
      </c>
      <c r="N5013" t="s">
        <v>45095</v>
      </c>
      <c r="O5013" t="s">
        <v>45096</v>
      </c>
      <c r="P5013">
        <v>0</v>
      </c>
      <c r="Q5013">
        <v>14</v>
      </c>
      <c r="R5013" t="s">
        <v>45102</v>
      </c>
      <c r="S5013" t="s">
        <v>45242</v>
      </c>
      <c r="T5013" t="s">
        <v>47004</v>
      </c>
      <c r="U5013" t="s">
        <v>51688</v>
      </c>
      <c r="V5013" t="s">
        <v>60030</v>
      </c>
      <c r="W5013" t="s">
        <v>42258</v>
      </c>
      <c r="X5013" t="s">
        <v>45104</v>
      </c>
    </row>
    <row r="5014" spans="1:24">
      <c r="A5014">
        <f>HYPERLINK("https://www.philgeps.gov.ph/GEPSNONPILOT/Tender/SplashBidNoticeAbstractUI.aspx?menuIndex=3&amp;refID=7036786&amp;Result=3","7036786")</f>
        <v>0</v>
      </c>
      <c r="B5014" t="s">
        <v>1211</v>
      </c>
      <c r="C5014" t="s">
        <v>7990</v>
      </c>
      <c r="D5014" t="s">
        <v>18041</v>
      </c>
      <c r="E5014" t="s">
        <v>22600</v>
      </c>
      <c r="F5014" t="s">
        <v>31574</v>
      </c>
      <c r="G5014" t="s">
        <v>31582</v>
      </c>
      <c r="H5014" t="s">
        <v>31590</v>
      </c>
      <c r="I5014" t="s">
        <v>31683</v>
      </c>
      <c r="J5014" t="s">
        <v>34984</v>
      </c>
      <c r="K5014" t="s">
        <v>41191</v>
      </c>
      <c r="M5014" t="s">
        <v>42771</v>
      </c>
      <c r="N5014" t="s">
        <v>45095</v>
      </c>
      <c r="O5014" t="s">
        <v>45096</v>
      </c>
      <c r="Q5014">
        <v>1</v>
      </c>
      <c r="R5014" t="s">
        <v>45102</v>
      </c>
      <c r="S5014" t="s">
        <v>45245</v>
      </c>
      <c r="T5014" t="s">
        <v>47188</v>
      </c>
      <c r="U5014" t="s">
        <v>51681</v>
      </c>
      <c r="W5014" t="s">
        <v>61694</v>
      </c>
      <c r="X5014" t="s">
        <v>45104</v>
      </c>
    </row>
    <row r="5015" spans="1:24">
      <c r="A5015">
        <f>HYPERLINK("https://www.philgeps.gov.ph/GEPSNONPILOT/Tender/SplashBidNoticeAbstractUI.aspx?menuIndex=3&amp;refID=7036495&amp;Result=3","7036495")</f>
        <v>0</v>
      </c>
      <c r="B5015" t="s">
        <v>40</v>
      </c>
      <c r="C5015" t="s">
        <v>7991</v>
      </c>
      <c r="D5015" t="s">
        <v>18035</v>
      </c>
      <c r="E5015" t="s">
        <v>22601</v>
      </c>
      <c r="F5015" t="s">
        <v>31574</v>
      </c>
      <c r="G5015" t="s">
        <v>31581</v>
      </c>
      <c r="H5015" t="s">
        <v>31590</v>
      </c>
      <c r="I5015" t="s">
        <v>8056</v>
      </c>
      <c r="J5015" t="s">
        <v>34985</v>
      </c>
      <c r="K5015" t="s">
        <v>41190</v>
      </c>
      <c r="M5015" t="s">
        <v>41523</v>
      </c>
      <c r="N5015" t="s">
        <v>45095</v>
      </c>
      <c r="O5015" t="s">
        <v>45096</v>
      </c>
      <c r="P5015">
        <v>0</v>
      </c>
      <c r="Q5015">
        <v>8</v>
      </c>
      <c r="R5015" t="s">
        <v>45102</v>
      </c>
      <c r="S5015" t="s">
        <v>45242</v>
      </c>
      <c r="T5015" t="s">
        <v>47159</v>
      </c>
      <c r="U5015" t="s">
        <v>51689</v>
      </c>
      <c r="W5015" t="s">
        <v>41523</v>
      </c>
      <c r="X5015" t="s">
        <v>45104</v>
      </c>
    </row>
    <row r="5016" spans="1:24">
      <c r="A5016">
        <f>HYPERLINK("https://www.philgeps.gov.ph/GEPSNONPILOT/Tender/SplashBidNoticeAbstractUI.aspx?menuIndex=3&amp;refID=7036533&amp;Result=3","7036533")</f>
        <v>0</v>
      </c>
      <c r="B5016" t="s">
        <v>40</v>
      </c>
      <c r="C5016" t="s">
        <v>7992</v>
      </c>
      <c r="D5016" t="s">
        <v>18035</v>
      </c>
      <c r="E5016" t="s">
        <v>22602</v>
      </c>
      <c r="F5016" t="s">
        <v>31574</v>
      </c>
      <c r="G5016" t="s">
        <v>31581</v>
      </c>
      <c r="H5016" t="s">
        <v>31590</v>
      </c>
      <c r="I5016" t="s">
        <v>31605</v>
      </c>
      <c r="J5016" t="s">
        <v>34986</v>
      </c>
      <c r="K5016" t="s">
        <v>41190</v>
      </c>
      <c r="M5016" t="s">
        <v>41523</v>
      </c>
      <c r="N5016" t="s">
        <v>45095</v>
      </c>
      <c r="O5016" t="s">
        <v>45096</v>
      </c>
      <c r="P5016">
        <v>0</v>
      </c>
      <c r="Q5016">
        <v>1</v>
      </c>
      <c r="R5016" t="s">
        <v>45102</v>
      </c>
      <c r="S5016" t="s">
        <v>45242</v>
      </c>
      <c r="T5016" t="s">
        <v>47159</v>
      </c>
      <c r="U5016" t="s">
        <v>51689</v>
      </c>
      <c r="W5016" t="s">
        <v>41523</v>
      </c>
      <c r="X5016" t="s">
        <v>45104</v>
      </c>
    </row>
    <row r="5017" spans="1:24">
      <c r="A5017">
        <f>HYPERLINK("https://www.philgeps.gov.ph/GEPSNONPILOT/Tender/SplashBidNoticeAbstractUI.aspx?menuIndex=3&amp;refID=7036100&amp;Result=3","7036100")</f>
        <v>0</v>
      </c>
      <c r="B5017" t="s">
        <v>363</v>
      </c>
      <c r="C5017" t="s">
        <v>7993</v>
      </c>
      <c r="D5017" t="s">
        <v>18044</v>
      </c>
      <c r="E5017" t="s">
        <v>22603</v>
      </c>
      <c r="F5017" t="s">
        <v>31574</v>
      </c>
      <c r="G5017" t="s">
        <v>31582</v>
      </c>
      <c r="H5017" t="s">
        <v>31591</v>
      </c>
      <c r="I5017" t="s">
        <v>8822</v>
      </c>
      <c r="J5017" t="s">
        <v>34973</v>
      </c>
      <c r="K5017" t="s">
        <v>41188</v>
      </c>
      <c r="M5017" t="s">
        <v>41853</v>
      </c>
      <c r="N5017" t="s">
        <v>45095</v>
      </c>
      <c r="O5017" t="s">
        <v>45096</v>
      </c>
      <c r="P5017">
        <v>0</v>
      </c>
      <c r="Q5017">
        <v>1</v>
      </c>
      <c r="R5017" t="s">
        <v>45102</v>
      </c>
      <c r="S5017" t="s">
        <v>45242</v>
      </c>
      <c r="T5017" t="s">
        <v>46962</v>
      </c>
      <c r="U5017" t="s">
        <v>51690</v>
      </c>
      <c r="W5017" t="s">
        <v>41853</v>
      </c>
      <c r="X5017" t="s">
        <v>45104</v>
      </c>
    </row>
    <row r="5018" spans="1:24">
      <c r="A5018">
        <f>HYPERLINK("https://www.philgeps.gov.ph/GEPSNONPILOT/Tender/SplashBidNoticeAbstractUI.aspx?menuIndex=3&amp;refID=7036575&amp;Result=3","7036575")</f>
        <v>0</v>
      </c>
      <c r="B5018" t="s">
        <v>40</v>
      </c>
      <c r="C5018" t="s">
        <v>7994</v>
      </c>
      <c r="D5018" t="s">
        <v>18035</v>
      </c>
      <c r="E5018" t="s">
        <v>22604</v>
      </c>
      <c r="F5018" t="s">
        <v>31574</v>
      </c>
      <c r="G5018" t="s">
        <v>31581</v>
      </c>
      <c r="H5018" t="s">
        <v>31590</v>
      </c>
      <c r="I5018" t="s">
        <v>4046</v>
      </c>
      <c r="J5018" t="s">
        <v>34987</v>
      </c>
      <c r="K5018" t="s">
        <v>41190</v>
      </c>
      <c r="M5018" t="s">
        <v>41523</v>
      </c>
      <c r="N5018" t="s">
        <v>45095</v>
      </c>
      <c r="O5018" t="s">
        <v>45096</v>
      </c>
      <c r="P5018">
        <v>0</v>
      </c>
      <c r="Q5018">
        <v>1</v>
      </c>
      <c r="R5018" t="s">
        <v>45102</v>
      </c>
      <c r="S5018" t="s">
        <v>45242</v>
      </c>
      <c r="T5018" t="s">
        <v>47159</v>
      </c>
      <c r="U5018" t="s">
        <v>51689</v>
      </c>
      <c r="W5018" t="s">
        <v>41523</v>
      </c>
      <c r="X5018" t="s">
        <v>45104</v>
      </c>
    </row>
    <row r="5019" spans="1:24">
      <c r="A5019">
        <f>HYPERLINK("https://www.philgeps.gov.ph/GEPSNONPILOT/Tender/SplashBidNoticeAbstractUI.aspx?menuIndex=3&amp;refID=7036463&amp;Result=3","7036463")</f>
        <v>0</v>
      </c>
      <c r="B5019" t="s">
        <v>40</v>
      </c>
      <c r="C5019" t="s">
        <v>7995</v>
      </c>
      <c r="D5019" t="s">
        <v>18035</v>
      </c>
      <c r="E5019" t="s">
        <v>22605</v>
      </c>
      <c r="F5019" t="s">
        <v>31574</v>
      </c>
      <c r="G5019" t="s">
        <v>31581</v>
      </c>
      <c r="H5019" t="s">
        <v>31590</v>
      </c>
      <c r="I5019" t="s">
        <v>4354</v>
      </c>
      <c r="J5019" t="s">
        <v>34988</v>
      </c>
      <c r="K5019" t="s">
        <v>41190</v>
      </c>
      <c r="M5019" t="s">
        <v>41523</v>
      </c>
      <c r="N5019" t="s">
        <v>45095</v>
      </c>
      <c r="O5019" t="s">
        <v>45096</v>
      </c>
      <c r="P5019">
        <v>0</v>
      </c>
      <c r="Q5019">
        <v>3</v>
      </c>
      <c r="R5019" t="s">
        <v>45102</v>
      </c>
      <c r="S5019" t="s">
        <v>45242</v>
      </c>
      <c r="T5019" t="s">
        <v>47159</v>
      </c>
      <c r="U5019" t="s">
        <v>51689</v>
      </c>
      <c r="W5019" t="s">
        <v>41523</v>
      </c>
      <c r="X5019" t="s">
        <v>45104</v>
      </c>
    </row>
    <row r="5020" spans="1:24">
      <c r="A5020">
        <f>HYPERLINK("https://www.philgeps.gov.ph/GEPSNONPILOT/Tender/SplashBidNoticeAbstractUI.aspx?menuIndex=3&amp;refID=7037038&amp;Result=3","7037038")</f>
        <v>0</v>
      </c>
      <c r="B5020" t="s">
        <v>135</v>
      </c>
      <c r="C5020" t="s">
        <v>7996</v>
      </c>
      <c r="D5020" t="s">
        <v>18022</v>
      </c>
      <c r="E5020" t="s">
        <v>22606</v>
      </c>
      <c r="F5020" t="s">
        <v>31574</v>
      </c>
      <c r="G5020" t="s">
        <v>31582</v>
      </c>
      <c r="H5020" t="s">
        <v>31590</v>
      </c>
      <c r="I5020" t="s">
        <v>3539</v>
      </c>
      <c r="J5020" t="s">
        <v>31771</v>
      </c>
      <c r="K5020" t="s">
        <v>41184</v>
      </c>
      <c r="M5020" t="s">
        <v>42258</v>
      </c>
      <c r="N5020" t="s">
        <v>45095</v>
      </c>
      <c r="O5020" t="s">
        <v>45096</v>
      </c>
      <c r="P5020">
        <v>0</v>
      </c>
      <c r="Q5020">
        <v>4</v>
      </c>
      <c r="R5020" t="s">
        <v>45102</v>
      </c>
      <c r="S5020" t="s">
        <v>45242</v>
      </c>
      <c r="T5020" t="s">
        <v>47004</v>
      </c>
      <c r="U5020" t="s">
        <v>51691</v>
      </c>
      <c r="V5020" t="s">
        <v>60030</v>
      </c>
      <c r="W5020" t="s">
        <v>42258</v>
      </c>
      <c r="X5020" t="s">
        <v>45104</v>
      </c>
    </row>
    <row r="5021" spans="1:24">
      <c r="A5021">
        <f>HYPERLINK("https://www.philgeps.gov.ph/GEPSNONPILOT/Tender/SplashBidNoticeAbstractUI.aspx?menuIndex=3&amp;refID=7036541&amp;Result=3","7036541")</f>
        <v>0</v>
      </c>
      <c r="B5021" t="s">
        <v>1670</v>
      </c>
      <c r="C5021" t="s">
        <v>7997</v>
      </c>
      <c r="D5021" t="s">
        <v>18042</v>
      </c>
      <c r="E5021" t="s">
        <v>22607</v>
      </c>
      <c r="F5021" t="s">
        <v>31574</v>
      </c>
      <c r="G5021" t="s">
        <v>31585</v>
      </c>
      <c r="H5021" t="s">
        <v>31590</v>
      </c>
      <c r="I5021" t="s">
        <v>31625</v>
      </c>
      <c r="J5021" t="s">
        <v>34989</v>
      </c>
      <c r="K5021" t="s">
        <v>41184</v>
      </c>
      <c r="M5021" t="s">
        <v>43283</v>
      </c>
      <c r="N5021" t="s">
        <v>45095</v>
      </c>
      <c r="O5021" t="s">
        <v>45096</v>
      </c>
      <c r="P5021">
        <v>0</v>
      </c>
      <c r="Q5021">
        <v>0</v>
      </c>
      <c r="R5021" t="s">
        <v>45102</v>
      </c>
      <c r="S5021" t="s">
        <v>45242</v>
      </c>
      <c r="T5021" t="s">
        <v>46918</v>
      </c>
      <c r="U5021" t="s">
        <v>51692</v>
      </c>
      <c r="W5021" t="s">
        <v>43283</v>
      </c>
      <c r="X5021" t="s">
        <v>45104</v>
      </c>
    </row>
    <row r="5022" spans="1:24">
      <c r="A5022">
        <f>HYPERLINK("https://www.philgeps.gov.ph/GEPSNONPILOT/Tender/SplashBidNoticeAbstractUI.aspx?menuIndex=3&amp;refID=7037430&amp;Result=3","7037430")</f>
        <v>0</v>
      </c>
      <c r="B5022" t="s">
        <v>1211</v>
      </c>
      <c r="C5022" t="s">
        <v>7998</v>
      </c>
      <c r="D5022" t="s">
        <v>18041</v>
      </c>
      <c r="E5022" t="s">
        <v>22608</v>
      </c>
      <c r="F5022" t="s">
        <v>31574</v>
      </c>
      <c r="G5022" t="s">
        <v>31582</v>
      </c>
      <c r="H5022" t="s">
        <v>31590</v>
      </c>
      <c r="I5022" t="s">
        <v>31608</v>
      </c>
      <c r="J5022" t="s">
        <v>34990</v>
      </c>
      <c r="K5022" t="s">
        <v>41191</v>
      </c>
      <c r="M5022" t="s">
        <v>42771</v>
      </c>
      <c r="N5022" t="s">
        <v>45095</v>
      </c>
      <c r="O5022" t="s">
        <v>45096</v>
      </c>
      <c r="Q5022">
        <v>2</v>
      </c>
      <c r="R5022" t="s">
        <v>45102</v>
      </c>
      <c r="S5022" t="s">
        <v>45246</v>
      </c>
      <c r="T5022" t="s">
        <v>47188</v>
      </c>
      <c r="U5022" t="s">
        <v>51681</v>
      </c>
      <c r="W5022" t="s">
        <v>61694</v>
      </c>
      <c r="X5022" t="s">
        <v>45104</v>
      </c>
    </row>
    <row r="5023" spans="1:24">
      <c r="A5023">
        <f>HYPERLINK("https://www.philgeps.gov.ph/GEPSNONPILOT/Tender/SplashBidNoticeAbstractUI.aspx?menuIndex=3&amp;refID=7037382&amp;Result=3","7037382")</f>
        <v>0</v>
      </c>
      <c r="B5023" t="s">
        <v>1671</v>
      </c>
      <c r="C5023" t="s">
        <v>7999</v>
      </c>
      <c r="D5023" t="s">
        <v>18056</v>
      </c>
      <c r="E5023" t="s">
        <v>22609</v>
      </c>
      <c r="F5023" t="s">
        <v>31574</v>
      </c>
      <c r="G5023" t="s">
        <v>31582</v>
      </c>
      <c r="H5023" t="s">
        <v>31591</v>
      </c>
      <c r="I5023" t="s">
        <v>8822</v>
      </c>
      <c r="J5023" t="s">
        <v>32101</v>
      </c>
      <c r="K5023" t="s">
        <v>41192</v>
      </c>
      <c r="M5023" t="s">
        <v>43284</v>
      </c>
      <c r="N5023" t="s">
        <v>45095</v>
      </c>
      <c r="O5023" t="s">
        <v>45096</v>
      </c>
      <c r="P5023">
        <v>0</v>
      </c>
      <c r="Q5023">
        <v>0</v>
      </c>
      <c r="R5023" t="s">
        <v>45102</v>
      </c>
      <c r="S5023" t="s">
        <v>45242</v>
      </c>
      <c r="T5023" t="s">
        <v>46988</v>
      </c>
      <c r="U5023" t="s">
        <v>51693</v>
      </c>
      <c r="W5023" t="s">
        <v>43284</v>
      </c>
      <c r="X5023" t="s">
        <v>45104</v>
      </c>
    </row>
    <row r="5024" spans="1:24">
      <c r="A5024">
        <f>HYPERLINK("https://www.philgeps.gov.ph/GEPSNONPILOT/Tender/SplashBidNoticeAbstractUI.aspx?menuIndex=3&amp;refID=7036436&amp;Result=3","7036436")</f>
        <v>0</v>
      </c>
      <c r="B5024" t="s">
        <v>1668</v>
      </c>
      <c r="C5024" t="s">
        <v>8000</v>
      </c>
      <c r="D5024" t="s">
        <v>18070</v>
      </c>
      <c r="E5024" t="s">
        <v>22610</v>
      </c>
      <c r="F5024" t="s">
        <v>31574</v>
      </c>
      <c r="G5024" t="s">
        <v>31582</v>
      </c>
      <c r="H5024" t="s">
        <v>31591</v>
      </c>
      <c r="I5024" t="s">
        <v>8822</v>
      </c>
      <c r="J5024" t="s">
        <v>34991</v>
      </c>
      <c r="K5024" t="s">
        <v>41189</v>
      </c>
      <c r="M5024" t="s">
        <v>43281</v>
      </c>
      <c r="N5024" t="s">
        <v>45095</v>
      </c>
      <c r="O5024" t="s">
        <v>45096</v>
      </c>
      <c r="P5024">
        <v>0</v>
      </c>
      <c r="Q5024">
        <v>1</v>
      </c>
      <c r="R5024" t="s">
        <v>45102</v>
      </c>
      <c r="S5024" t="s">
        <v>45242</v>
      </c>
      <c r="T5024" t="s">
        <v>46939</v>
      </c>
      <c r="U5024" t="s">
        <v>51694</v>
      </c>
      <c r="W5024" t="s">
        <v>43281</v>
      </c>
      <c r="X5024" t="s">
        <v>45104</v>
      </c>
    </row>
    <row r="5025" spans="1:24">
      <c r="A5025">
        <f>HYPERLINK("https://www.philgeps.gov.ph/GEPSNONPILOT/Tender/SplashBidNoticeAbstractUI.aspx?menuIndex=3&amp;refID=7037291&amp;Result=3","7037291")</f>
        <v>0</v>
      </c>
      <c r="B5025" t="s">
        <v>1672</v>
      </c>
      <c r="C5025" t="s">
        <v>8001</v>
      </c>
      <c r="D5025" t="s">
        <v>18022</v>
      </c>
      <c r="E5025" t="s">
        <v>22611</v>
      </c>
      <c r="F5025" t="s">
        <v>31574</v>
      </c>
      <c r="G5025" t="s">
        <v>31581</v>
      </c>
      <c r="H5025" t="s">
        <v>31590</v>
      </c>
      <c r="I5025" t="s">
        <v>3487</v>
      </c>
      <c r="J5025" t="s">
        <v>34992</v>
      </c>
      <c r="K5025" t="s">
        <v>41196</v>
      </c>
      <c r="M5025" t="s">
        <v>43285</v>
      </c>
      <c r="N5025" t="s">
        <v>45095</v>
      </c>
      <c r="O5025" t="s">
        <v>45096</v>
      </c>
      <c r="P5025">
        <v>0</v>
      </c>
      <c r="Q5025">
        <v>2</v>
      </c>
      <c r="R5025" t="s">
        <v>45102</v>
      </c>
      <c r="S5025" t="s">
        <v>45242</v>
      </c>
      <c r="T5025" t="s">
        <v>46963</v>
      </c>
      <c r="U5025" t="s">
        <v>50610</v>
      </c>
      <c r="W5025" t="s">
        <v>43285</v>
      </c>
      <c r="X5025" t="s">
        <v>45104</v>
      </c>
    </row>
    <row r="5026" spans="1:24">
      <c r="A5026">
        <f>HYPERLINK("https://www.philgeps.gov.ph/GEPSNONPILOT/Tender/SplashBidNoticeAbstractUI.aspx?menuIndex=3&amp;refID=7037362&amp;Result=3","7037362")</f>
        <v>0</v>
      </c>
      <c r="B5026" t="s">
        <v>1211</v>
      </c>
      <c r="C5026" t="s">
        <v>8002</v>
      </c>
      <c r="D5026" t="s">
        <v>18041</v>
      </c>
      <c r="E5026" t="s">
        <v>22612</v>
      </c>
      <c r="F5026" t="s">
        <v>31574</v>
      </c>
      <c r="G5026" t="s">
        <v>31582</v>
      </c>
      <c r="H5026" t="s">
        <v>31590</v>
      </c>
      <c r="I5026" t="s">
        <v>31608</v>
      </c>
      <c r="J5026" t="s">
        <v>34993</v>
      </c>
      <c r="K5026" t="s">
        <v>41191</v>
      </c>
      <c r="M5026" t="s">
        <v>42771</v>
      </c>
      <c r="N5026" t="s">
        <v>45095</v>
      </c>
      <c r="O5026" t="s">
        <v>45096</v>
      </c>
      <c r="Q5026">
        <v>2</v>
      </c>
      <c r="R5026" t="s">
        <v>45102</v>
      </c>
      <c r="S5026" t="s">
        <v>45247</v>
      </c>
      <c r="T5026" t="s">
        <v>47188</v>
      </c>
      <c r="U5026" t="s">
        <v>51681</v>
      </c>
      <c r="W5026" t="s">
        <v>61694</v>
      </c>
      <c r="X5026" t="s">
        <v>45104</v>
      </c>
    </row>
    <row r="5027" spans="1:24">
      <c r="A5027">
        <f>HYPERLINK("https://www.philgeps.gov.ph/GEPSNONPILOT/Tender/SplashBidNoticeAbstractUI.aspx?menuIndex=3&amp;refID=7037161&amp;Result=3","7037161")</f>
        <v>0</v>
      </c>
      <c r="B5027" t="s">
        <v>1673</v>
      </c>
      <c r="C5027" t="s">
        <v>8003</v>
      </c>
      <c r="D5027" t="s">
        <v>18034</v>
      </c>
      <c r="E5027" t="s">
        <v>22613</v>
      </c>
      <c r="F5027" t="s">
        <v>31574</v>
      </c>
      <c r="G5027" t="s">
        <v>31582</v>
      </c>
      <c r="H5027" t="s">
        <v>31591</v>
      </c>
      <c r="I5027" t="s">
        <v>8822</v>
      </c>
      <c r="J5027" t="s">
        <v>34994</v>
      </c>
      <c r="K5027" t="s">
        <v>41198</v>
      </c>
      <c r="M5027" t="s">
        <v>43286</v>
      </c>
      <c r="N5027" t="s">
        <v>45095</v>
      </c>
      <c r="O5027" t="s">
        <v>45096</v>
      </c>
      <c r="P5027">
        <v>0</v>
      </c>
      <c r="Q5027">
        <v>3</v>
      </c>
      <c r="R5027" t="s">
        <v>45102</v>
      </c>
      <c r="S5027" t="s">
        <v>45242</v>
      </c>
      <c r="T5027" t="s">
        <v>46969</v>
      </c>
      <c r="U5027" t="s">
        <v>51695</v>
      </c>
      <c r="W5027" t="s">
        <v>43286</v>
      </c>
      <c r="X5027" t="s">
        <v>45104</v>
      </c>
    </row>
    <row r="5028" spans="1:24">
      <c r="A5028">
        <f>HYPERLINK("https://www.philgeps.gov.ph/GEPSNONPILOT/Tender/SplashBidNoticeAbstractUI.aspx?menuIndex=3&amp;refID=7037340&amp;Result=3","7037340")</f>
        <v>0</v>
      </c>
      <c r="B5028" t="s">
        <v>265</v>
      </c>
      <c r="C5028" t="s">
        <v>8004</v>
      </c>
      <c r="D5028" t="s">
        <v>18052</v>
      </c>
      <c r="E5028" t="s">
        <v>22614</v>
      </c>
      <c r="F5028" t="s">
        <v>31574</v>
      </c>
      <c r="G5028" t="s">
        <v>31583</v>
      </c>
      <c r="H5028" t="s">
        <v>31590</v>
      </c>
      <c r="I5028" t="s">
        <v>8258</v>
      </c>
      <c r="J5028" t="s">
        <v>34995</v>
      </c>
      <c r="K5028" t="s">
        <v>41184</v>
      </c>
      <c r="M5028" t="s">
        <v>41751</v>
      </c>
      <c r="N5028" t="s">
        <v>45095</v>
      </c>
      <c r="O5028" t="s">
        <v>45096</v>
      </c>
      <c r="P5028">
        <v>0</v>
      </c>
      <c r="Q5028">
        <v>3</v>
      </c>
      <c r="R5028" t="s">
        <v>45102</v>
      </c>
      <c r="S5028" t="s">
        <v>45242</v>
      </c>
      <c r="T5028" t="s">
        <v>46969</v>
      </c>
      <c r="U5028" t="s">
        <v>51696</v>
      </c>
      <c r="W5028" t="s">
        <v>41751</v>
      </c>
      <c r="X5028" t="s">
        <v>45104</v>
      </c>
    </row>
    <row r="5029" spans="1:24">
      <c r="A5029">
        <f>HYPERLINK("https://www.philgeps.gov.ph/GEPSNONPILOT/Tender/SplashBidNoticeAbstractUI.aspx?menuIndex=3&amp;refID=7037500&amp;Result=3","7037500")</f>
        <v>0</v>
      </c>
      <c r="B5029" t="s">
        <v>1211</v>
      </c>
      <c r="C5029" t="s">
        <v>8005</v>
      </c>
      <c r="D5029" t="s">
        <v>18041</v>
      </c>
      <c r="E5029" t="s">
        <v>22615</v>
      </c>
      <c r="F5029" t="s">
        <v>31574</v>
      </c>
      <c r="G5029" t="s">
        <v>31582</v>
      </c>
      <c r="H5029" t="s">
        <v>31590</v>
      </c>
      <c r="I5029" t="s">
        <v>31706</v>
      </c>
      <c r="J5029" t="s">
        <v>34996</v>
      </c>
      <c r="K5029" t="s">
        <v>41191</v>
      </c>
      <c r="M5029" t="s">
        <v>42771</v>
      </c>
      <c r="N5029" t="s">
        <v>45095</v>
      </c>
      <c r="O5029" t="s">
        <v>45096</v>
      </c>
      <c r="P5029">
        <v>0</v>
      </c>
      <c r="Q5029">
        <v>1</v>
      </c>
      <c r="R5029" t="s">
        <v>45102</v>
      </c>
      <c r="S5029" t="s">
        <v>45242</v>
      </c>
      <c r="T5029" t="s">
        <v>47232</v>
      </c>
      <c r="U5029" t="s">
        <v>51681</v>
      </c>
      <c r="W5029" t="s">
        <v>61694</v>
      </c>
      <c r="X5029" t="s">
        <v>45104</v>
      </c>
    </row>
    <row r="5030" spans="1:24">
      <c r="A5030">
        <f>HYPERLINK("https://www.philgeps.gov.ph/GEPSNONPILOT/Tender/SplashBidNoticeAbstractUI.aspx?menuIndex=3&amp;refID=7037539&amp;Result=3","7037539")</f>
        <v>0</v>
      </c>
      <c r="B5030" t="s">
        <v>1609</v>
      </c>
      <c r="C5030" t="s">
        <v>8006</v>
      </c>
      <c r="D5030" t="s">
        <v>18094</v>
      </c>
      <c r="E5030" t="s">
        <v>22616</v>
      </c>
      <c r="F5030" t="s">
        <v>31574</v>
      </c>
      <c r="G5030" t="s">
        <v>31581</v>
      </c>
      <c r="H5030" t="s">
        <v>31590</v>
      </c>
      <c r="I5030" t="s">
        <v>31599</v>
      </c>
      <c r="J5030" t="s">
        <v>31900</v>
      </c>
      <c r="K5030" t="s">
        <v>41186</v>
      </c>
      <c r="M5030" t="s">
        <v>43214</v>
      </c>
      <c r="N5030" t="s">
        <v>45095</v>
      </c>
      <c r="O5030" t="s">
        <v>45096</v>
      </c>
      <c r="P5030">
        <v>0</v>
      </c>
      <c r="Q5030">
        <v>1</v>
      </c>
      <c r="R5030" t="s">
        <v>45102</v>
      </c>
      <c r="S5030" t="s">
        <v>45242</v>
      </c>
      <c r="T5030" t="s">
        <v>46973</v>
      </c>
      <c r="U5030" t="s">
        <v>51697</v>
      </c>
      <c r="W5030" t="s">
        <v>43214</v>
      </c>
      <c r="X5030" t="s">
        <v>45104</v>
      </c>
    </row>
    <row r="5031" spans="1:24">
      <c r="A5031">
        <f>HYPERLINK("https://www.philgeps.gov.ph/GEPSNONPILOT/Tender/SplashBidNoticeAbstractUI.aspx?menuIndex=3&amp;refID=7037076&amp;Result=3","7037076")</f>
        <v>0</v>
      </c>
      <c r="B5031" t="s">
        <v>135</v>
      </c>
      <c r="C5031" t="s">
        <v>8007</v>
      </c>
      <c r="D5031" t="s">
        <v>18022</v>
      </c>
      <c r="E5031" t="s">
        <v>22617</v>
      </c>
      <c r="F5031" t="s">
        <v>31574</v>
      </c>
      <c r="G5031" t="s">
        <v>31582</v>
      </c>
      <c r="H5031" t="s">
        <v>31590</v>
      </c>
      <c r="I5031" t="s">
        <v>6800</v>
      </c>
      <c r="J5031" t="s">
        <v>34997</v>
      </c>
      <c r="K5031" t="s">
        <v>41184</v>
      </c>
      <c r="M5031" t="s">
        <v>42258</v>
      </c>
      <c r="N5031" t="s">
        <v>45095</v>
      </c>
      <c r="O5031" t="s">
        <v>45096</v>
      </c>
      <c r="P5031">
        <v>0</v>
      </c>
      <c r="Q5031">
        <v>3</v>
      </c>
      <c r="R5031" t="s">
        <v>45102</v>
      </c>
      <c r="S5031" t="s">
        <v>45242</v>
      </c>
      <c r="T5031" t="s">
        <v>47004</v>
      </c>
      <c r="U5031" t="s">
        <v>51698</v>
      </c>
      <c r="V5031" t="s">
        <v>60030</v>
      </c>
      <c r="W5031" t="s">
        <v>42258</v>
      </c>
      <c r="X5031" t="s">
        <v>45104</v>
      </c>
    </row>
    <row r="5032" spans="1:24">
      <c r="A5032">
        <f>HYPERLINK("https://www.philgeps.gov.ph/GEPSNONPILOT/Tender/SplashBidNoticeAbstractUI.aspx?menuIndex=3&amp;refID=7037459&amp;Result=3","7037459")</f>
        <v>0</v>
      </c>
      <c r="B5032" t="s">
        <v>1393</v>
      </c>
      <c r="C5032" t="s">
        <v>8008</v>
      </c>
      <c r="D5032" t="s">
        <v>18045</v>
      </c>
      <c r="E5032" t="s">
        <v>22618</v>
      </c>
      <c r="F5032" t="s">
        <v>31574</v>
      </c>
      <c r="G5032" t="s">
        <v>31581</v>
      </c>
      <c r="H5032" t="s">
        <v>31590</v>
      </c>
      <c r="I5032" t="s">
        <v>3651</v>
      </c>
      <c r="J5032" t="s">
        <v>34998</v>
      </c>
      <c r="K5032" t="s">
        <v>41193</v>
      </c>
      <c r="M5032" t="s">
        <v>42968</v>
      </c>
      <c r="N5032" t="s">
        <v>45095</v>
      </c>
      <c r="O5032" t="s">
        <v>45096</v>
      </c>
      <c r="P5032">
        <v>0</v>
      </c>
      <c r="Q5032">
        <v>0</v>
      </c>
      <c r="R5032" t="s">
        <v>45102</v>
      </c>
      <c r="S5032" t="s">
        <v>45242</v>
      </c>
      <c r="T5032" t="s">
        <v>47154</v>
      </c>
      <c r="U5032" t="s">
        <v>51699</v>
      </c>
      <c r="W5032" t="s">
        <v>42968</v>
      </c>
      <c r="X5032" t="s">
        <v>45104</v>
      </c>
    </row>
    <row r="5033" spans="1:24">
      <c r="A5033">
        <f>HYPERLINK("https://www.philgeps.gov.ph/GEPSNONPILOT/Tender/SplashBidNoticeAbstractUI.aspx?menuIndex=3&amp;refID=7037066&amp;Result=3","7037066")</f>
        <v>0</v>
      </c>
      <c r="B5033" t="s">
        <v>1674</v>
      </c>
      <c r="C5033" t="s">
        <v>8009</v>
      </c>
      <c r="D5033" t="s">
        <v>18037</v>
      </c>
      <c r="E5033" t="s">
        <v>22619</v>
      </c>
      <c r="F5033" t="s">
        <v>31574</v>
      </c>
      <c r="G5033" t="s">
        <v>31582</v>
      </c>
      <c r="H5033" t="s">
        <v>31593</v>
      </c>
      <c r="I5033" t="s">
        <v>31593</v>
      </c>
      <c r="J5033" t="s">
        <v>34999</v>
      </c>
      <c r="K5033" t="s">
        <v>41192</v>
      </c>
      <c r="M5033" t="s">
        <v>43287</v>
      </c>
      <c r="N5033" t="s">
        <v>45095</v>
      </c>
      <c r="O5033" t="s">
        <v>45096</v>
      </c>
      <c r="P5033">
        <v>0</v>
      </c>
      <c r="Q5033">
        <v>3</v>
      </c>
      <c r="R5033" t="s">
        <v>45102</v>
      </c>
      <c r="S5033" t="s">
        <v>45242</v>
      </c>
      <c r="T5033" t="s">
        <v>46909</v>
      </c>
      <c r="U5033" t="s">
        <v>51700</v>
      </c>
      <c r="W5033" t="s">
        <v>43287</v>
      </c>
      <c r="X5033" t="s">
        <v>45104</v>
      </c>
    </row>
    <row r="5034" spans="1:24">
      <c r="A5034">
        <f>HYPERLINK("https://www.philgeps.gov.ph/GEPSNONPILOT/Tender/SplashBidNoticeAbstractUI.aspx?menuIndex=3&amp;refID=7037645&amp;Result=3","7037645")</f>
        <v>0</v>
      </c>
      <c r="B5034" t="s">
        <v>58</v>
      </c>
      <c r="C5034" t="s">
        <v>8010</v>
      </c>
      <c r="D5034" t="s">
        <v>18047</v>
      </c>
      <c r="E5034" t="s">
        <v>20652</v>
      </c>
      <c r="F5034" t="s">
        <v>31574</v>
      </c>
      <c r="G5034" t="s">
        <v>31582</v>
      </c>
      <c r="H5034" t="s">
        <v>31590</v>
      </c>
      <c r="I5034" t="s">
        <v>5717</v>
      </c>
      <c r="J5034" t="s">
        <v>35000</v>
      </c>
      <c r="K5034" t="s">
        <v>41193</v>
      </c>
      <c r="M5034" t="s">
        <v>41542</v>
      </c>
      <c r="N5034" t="s">
        <v>45095</v>
      </c>
      <c r="O5034" t="s">
        <v>45096</v>
      </c>
      <c r="P5034">
        <v>0</v>
      </c>
      <c r="Q5034">
        <v>4</v>
      </c>
      <c r="R5034" t="s">
        <v>45102</v>
      </c>
      <c r="S5034" t="s">
        <v>45242</v>
      </c>
      <c r="T5034" t="s">
        <v>47233</v>
      </c>
      <c r="U5034" t="s">
        <v>51701</v>
      </c>
      <c r="V5034" t="s">
        <v>60381</v>
      </c>
      <c r="W5034" t="s">
        <v>41542</v>
      </c>
      <c r="X5034" t="s">
        <v>45104</v>
      </c>
    </row>
    <row r="5035" spans="1:24">
      <c r="A5035">
        <f>HYPERLINK("https://www.philgeps.gov.ph/GEPSNONPILOT/Tender/SplashBidNoticeAbstractUI.aspx?menuIndex=3&amp;refID=7037571&amp;Result=3","7037571")</f>
        <v>0</v>
      </c>
      <c r="B5035" t="s">
        <v>1675</v>
      </c>
      <c r="C5035" t="s">
        <v>8011</v>
      </c>
      <c r="D5035" t="s">
        <v>18022</v>
      </c>
      <c r="E5035" t="s">
        <v>22620</v>
      </c>
      <c r="F5035" t="s">
        <v>31574</v>
      </c>
      <c r="G5035" t="s">
        <v>31582</v>
      </c>
      <c r="H5035" t="s">
        <v>31590</v>
      </c>
      <c r="I5035" t="s">
        <v>4046</v>
      </c>
      <c r="J5035" t="s">
        <v>32017</v>
      </c>
      <c r="K5035" t="s">
        <v>41213</v>
      </c>
      <c r="M5035" t="s">
        <v>43288</v>
      </c>
      <c r="N5035" t="s">
        <v>45095</v>
      </c>
      <c r="O5035" t="s">
        <v>45096</v>
      </c>
      <c r="P5035">
        <v>0</v>
      </c>
      <c r="Q5035">
        <v>0</v>
      </c>
      <c r="R5035" t="s">
        <v>45102</v>
      </c>
      <c r="S5035" t="s">
        <v>45242</v>
      </c>
      <c r="T5035" t="s">
        <v>46949</v>
      </c>
      <c r="U5035" t="s">
        <v>51702</v>
      </c>
      <c r="W5035" t="s">
        <v>43288</v>
      </c>
      <c r="X5035" t="s">
        <v>45104</v>
      </c>
    </row>
    <row r="5036" spans="1:24">
      <c r="A5036">
        <f>HYPERLINK("https://www.philgeps.gov.ph/GEPSNONPILOT/Tender/SplashBidNoticeAbstractUI.aspx?menuIndex=3&amp;refID=7037568&amp;Result=3","7037568")</f>
        <v>0</v>
      </c>
      <c r="B5036" t="s">
        <v>1031</v>
      </c>
      <c r="C5036" t="s">
        <v>8012</v>
      </c>
      <c r="D5036" t="s">
        <v>18056</v>
      </c>
      <c r="E5036" t="s">
        <v>22621</v>
      </c>
      <c r="F5036" t="s">
        <v>31574</v>
      </c>
      <c r="G5036" t="s">
        <v>31582</v>
      </c>
      <c r="H5036" t="s">
        <v>31591</v>
      </c>
      <c r="I5036" t="s">
        <v>8822</v>
      </c>
      <c r="J5036" t="s">
        <v>35001</v>
      </c>
      <c r="K5036" t="s">
        <v>41192</v>
      </c>
      <c r="M5036" t="s">
        <v>42572</v>
      </c>
      <c r="N5036" t="s">
        <v>45095</v>
      </c>
      <c r="O5036" t="s">
        <v>45096</v>
      </c>
      <c r="P5036">
        <v>0</v>
      </c>
      <c r="Q5036">
        <v>0</v>
      </c>
      <c r="R5036" t="s">
        <v>45102</v>
      </c>
      <c r="S5036" t="s">
        <v>45242</v>
      </c>
      <c r="T5036" t="s">
        <v>47139</v>
      </c>
      <c r="U5036" t="s">
        <v>51703</v>
      </c>
      <c r="W5036" t="s">
        <v>42572</v>
      </c>
      <c r="X5036" t="s">
        <v>45104</v>
      </c>
    </row>
    <row r="5037" spans="1:24">
      <c r="A5037">
        <f>HYPERLINK("https://www.philgeps.gov.ph/GEPSNONPILOT/Tender/SplashBidNoticeAbstractUI.aspx?menuIndex=3&amp;refID=7037504&amp;Result=3","7037504")</f>
        <v>0</v>
      </c>
      <c r="B5037" t="s">
        <v>1676</v>
      </c>
      <c r="C5037" t="s">
        <v>8013</v>
      </c>
      <c r="D5037" t="s">
        <v>18090</v>
      </c>
      <c r="E5037" t="s">
        <v>22622</v>
      </c>
      <c r="F5037" t="s">
        <v>31574</v>
      </c>
      <c r="G5037" t="s">
        <v>31582</v>
      </c>
      <c r="H5037" t="s">
        <v>31590</v>
      </c>
      <c r="I5037" t="s">
        <v>31615</v>
      </c>
      <c r="J5037" t="s">
        <v>31819</v>
      </c>
      <c r="K5037" t="s">
        <v>41192</v>
      </c>
      <c r="L5037" t="s">
        <v>1676</v>
      </c>
      <c r="M5037" t="s">
        <v>43289</v>
      </c>
      <c r="N5037" t="s">
        <v>45095</v>
      </c>
      <c r="O5037" t="s">
        <v>45096</v>
      </c>
      <c r="P5037">
        <v>0</v>
      </c>
      <c r="Q5037">
        <v>7</v>
      </c>
      <c r="R5037" t="s">
        <v>45102</v>
      </c>
      <c r="S5037" t="s">
        <v>45242</v>
      </c>
      <c r="T5037" t="s">
        <v>46939</v>
      </c>
      <c r="U5037" t="s">
        <v>51704</v>
      </c>
      <c r="V5037" t="s">
        <v>60382</v>
      </c>
      <c r="W5037" t="s">
        <v>43289</v>
      </c>
      <c r="X5037" t="s">
        <v>45104</v>
      </c>
    </row>
    <row r="5038" spans="1:24">
      <c r="A5038">
        <f>HYPERLINK("https://www.philgeps.gov.ph/GEPSNONPILOT/Tender/SplashBidNoticeAbstractUI.aspx?menuIndex=3&amp;refID=7037630&amp;Result=3","7037630")</f>
        <v>0</v>
      </c>
      <c r="B5038" t="s">
        <v>1609</v>
      </c>
      <c r="C5038" t="s">
        <v>8014</v>
      </c>
      <c r="D5038" t="s">
        <v>18058</v>
      </c>
      <c r="E5038" t="s">
        <v>22623</v>
      </c>
      <c r="F5038" t="s">
        <v>31574</v>
      </c>
      <c r="G5038" t="s">
        <v>31581</v>
      </c>
      <c r="H5038" t="s">
        <v>31590</v>
      </c>
      <c r="I5038" t="s">
        <v>31599</v>
      </c>
      <c r="J5038" t="s">
        <v>31900</v>
      </c>
      <c r="K5038" t="s">
        <v>41186</v>
      </c>
      <c r="M5038" t="s">
        <v>43214</v>
      </c>
      <c r="N5038" t="s">
        <v>45095</v>
      </c>
      <c r="O5038" t="s">
        <v>45096</v>
      </c>
      <c r="P5038">
        <v>0</v>
      </c>
      <c r="Q5038">
        <v>2</v>
      </c>
      <c r="R5038" t="s">
        <v>45102</v>
      </c>
      <c r="S5038" t="s">
        <v>45242</v>
      </c>
      <c r="T5038" t="s">
        <v>46973</v>
      </c>
      <c r="U5038" t="s">
        <v>51705</v>
      </c>
      <c r="W5038" t="s">
        <v>43214</v>
      </c>
      <c r="X5038" t="s">
        <v>45104</v>
      </c>
    </row>
    <row r="5039" spans="1:24">
      <c r="A5039">
        <f>HYPERLINK("https://www.philgeps.gov.ph/GEPSNONPILOT/Tender/SplashBidNoticeAbstractUI.aspx?menuIndex=3&amp;refID=7037487&amp;Result=3","7037487")</f>
        <v>0</v>
      </c>
      <c r="B5039" t="s">
        <v>58</v>
      </c>
      <c r="C5039" t="s">
        <v>8015</v>
      </c>
      <c r="D5039" t="s">
        <v>18047</v>
      </c>
      <c r="E5039" t="s">
        <v>20630</v>
      </c>
      <c r="F5039" t="s">
        <v>31574</v>
      </c>
      <c r="G5039" t="s">
        <v>31582</v>
      </c>
      <c r="H5039" t="s">
        <v>31591</v>
      </c>
      <c r="I5039" t="s">
        <v>8822</v>
      </c>
      <c r="J5039" t="s">
        <v>35002</v>
      </c>
      <c r="K5039" t="s">
        <v>41200</v>
      </c>
      <c r="M5039" t="s">
        <v>41542</v>
      </c>
      <c r="N5039" t="s">
        <v>45095</v>
      </c>
      <c r="O5039" t="s">
        <v>45096</v>
      </c>
      <c r="P5039">
        <v>0</v>
      </c>
      <c r="Q5039">
        <v>1</v>
      </c>
      <c r="R5039" t="s">
        <v>45102</v>
      </c>
      <c r="S5039" t="s">
        <v>45242</v>
      </c>
      <c r="T5039" t="s">
        <v>47234</v>
      </c>
      <c r="U5039" t="s">
        <v>51706</v>
      </c>
      <c r="V5039" t="s">
        <v>59855</v>
      </c>
      <c r="W5039" t="s">
        <v>41542</v>
      </c>
      <c r="X5039" t="s">
        <v>45104</v>
      </c>
    </row>
    <row r="5040" spans="1:24">
      <c r="A5040">
        <f>HYPERLINK("https://www.philgeps.gov.ph/GEPSNONPILOT/Tender/SplashBidNoticeAbstractUI.aspx?menuIndex=3&amp;refID=7037205&amp;Result=3","7037205")</f>
        <v>0</v>
      </c>
      <c r="B5040" t="s">
        <v>38</v>
      </c>
      <c r="C5040" t="s">
        <v>8016</v>
      </c>
      <c r="D5040" t="s">
        <v>18033</v>
      </c>
      <c r="E5040" t="s">
        <v>22624</v>
      </c>
      <c r="F5040" t="s">
        <v>31574</v>
      </c>
      <c r="G5040" t="s">
        <v>31581</v>
      </c>
      <c r="H5040" t="s">
        <v>31590</v>
      </c>
      <c r="I5040" t="s">
        <v>6800</v>
      </c>
      <c r="J5040" t="s">
        <v>35003</v>
      </c>
      <c r="K5040" t="s">
        <v>41194</v>
      </c>
      <c r="M5040" t="s">
        <v>42506</v>
      </c>
      <c r="N5040" t="s">
        <v>45095</v>
      </c>
      <c r="O5040" t="s">
        <v>45096</v>
      </c>
      <c r="P5040">
        <v>0</v>
      </c>
      <c r="Q5040">
        <v>2</v>
      </c>
      <c r="R5040" t="s">
        <v>45102</v>
      </c>
      <c r="S5040" t="s">
        <v>45242</v>
      </c>
      <c r="T5040" t="s">
        <v>47154</v>
      </c>
      <c r="U5040" t="s">
        <v>51707</v>
      </c>
      <c r="V5040" t="s">
        <v>60383</v>
      </c>
      <c r="W5040" t="s">
        <v>42506</v>
      </c>
      <c r="X5040" t="s">
        <v>45104</v>
      </c>
    </row>
    <row r="5041" spans="1:24">
      <c r="A5041">
        <f>HYPERLINK("https://www.philgeps.gov.ph/GEPSNONPILOT/Tender/SplashBidNoticeAbstractUI.aspx?menuIndex=3&amp;refID=7037308&amp;Result=3","7037308")</f>
        <v>0</v>
      </c>
      <c r="B5041" t="s">
        <v>1211</v>
      </c>
      <c r="C5041" t="s">
        <v>8017</v>
      </c>
      <c r="D5041" t="s">
        <v>18041</v>
      </c>
      <c r="E5041" t="s">
        <v>22625</v>
      </c>
      <c r="F5041" t="s">
        <v>31574</v>
      </c>
      <c r="G5041" t="s">
        <v>31582</v>
      </c>
      <c r="H5041" t="s">
        <v>31590</v>
      </c>
      <c r="I5041" t="s">
        <v>31608</v>
      </c>
      <c r="J5041" t="s">
        <v>35004</v>
      </c>
      <c r="K5041" t="s">
        <v>41191</v>
      </c>
      <c r="M5041" t="s">
        <v>42771</v>
      </c>
      <c r="N5041" t="s">
        <v>45095</v>
      </c>
      <c r="O5041" t="s">
        <v>45096</v>
      </c>
      <c r="Q5041">
        <v>2</v>
      </c>
      <c r="R5041" t="s">
        <v>45102</v>
      </c>
      <c r="S5041" t="s">
        <v>45248</v>
      </c>
      <c r="T5041" t="s">
        <v>47188</v>
      </c>
      <c r="U5041" t="s">
        <v>51681</v>
      </c>
      <c r="W5041" t="s">
        <v>61694</v>
      </c>
      <c r="X5041" t="s">
        <v>45104</v>
      </c>
    </row>
    <row r="5042" spans="1:24">
      <c r="A5042">
        <f>HYPERLINK("https://www.philgeps.gov.ph/GEPSNONPILOT/Tender/SplashBidNoticeAbstractUI.aspx?menuIndex=3&amp;refID=7037662&amp;Result=3","7037662")</f>
        <v>0</v>
      </c>
      <c r="B5042" t="s">
        <v>247</v>
      </c>
      <c r="C5042" t="s">
        <v>8018</v>
      </c>
      <c r="D5042" t="s">
        <v>18072</v>
      </c>
      <c r="E5042" t="s">
        <v>22626</v>
      </c>
      <c r="F5042" t="s">
        <v>31575</v>
      </c>
      <c r="G5042" t="s">
        <v>31583</v>
      </c>
      <c r="H5042" t="s">
        <v>31590</v>
      </c>
      <c r="I5042" t="s">
        <v>8056</v>
      </c>
      <c r="J5042" t="s">
        <v>33424</v>
      </c>
      <c r="K5042" t="s">
        <v>41190</v>
      </c>
      <c r="M5042" t="s">
        <v>41733</v>
      </c>
      <c r="N5042" t="s">
        <v>45095</v>
      </c>
      <c r="O5042" t="s">
        <v>45096</v>
      </c>
      <c r="P5042">
        <v>0</v>
      </c>
      <c r="Q5042">
        <v>7</v>
      </c>
      <c r="R5042" t="s">
        <v>45102</v>
      </c>
      <c r="S5042" t="s">
        <v>45242</v>
      </c>
      <c r="T5042" t="s">
        <v>46966</v>
      </c>
      <c r="U5042" t="s">
        <v>51708</v>
      </c>
      <c r="W5042" t="s">
        <v>41733</v>
      </c>
      <c r="X5042" t="s">
        <v>45104</v>
      </c>
    </row>
    <row r="5043" spans="1:24">
      <c r="A5043">
        <f>HYPERLINK("https://www.philgeps.gov.ph/GEPSNONPILOT/Tender/SplashBidNoticeAbstractUI.aspx?menuIndex=3&amp;refID=7037727&amp;Result=3","7037727")</f>
        <v>0</v>
      </c>
      <c r="B5043" t="s">
        <v>1211</v>
      </c>
      <c r="C5043" t="s">
        <v>8019</v>
      </c>
      <c r="D5043" t="s">
        <v>18041</v>
      </c>
      <c r="E5043" t="s">
        <v>22627</v>
      </c>
      <c r="F5043" t="s">
        <v>31574</v>
      </c>
      <c r="G5043" t="s">
        <v>31582</v>
      </c>
      <c r="H5043" t="s">
        <v>31590</v>
      </c>
      <c r="I5043" t="s">
        <v>31612</v>
      </c>
      <c r="J5043" t="s">
        <v>35005</v>
      </c>
      <c r="K5043" t="s">
        <v>41192</v>
      </c>
      <c r="M5043" t="s">
        <v>42771</v>
      </c>
      <c r="N5043" t="s">
        <v>45095</v>
      </c>
      <c r="O5043" t="s">
        <v>45096</v>
      </c>
      <c r="P5043">
        <v>0</v>
      </c>
      <c r="Q5043">
        <v>4</v>
      </c>
      <c r="R5043" t="s">
        <v>45102</v>
      </c>
      <c r="S5043" t="s">
        <v>45242</v>
      </c>
      <c r="T5043" t="s">
        <v>47232</v>
      </c>
      <c r="U5043" t="s">
        <v>51681</v>
      </c>
      <c r="W5043" t="s">
        <v>61694</v>
      </c>
      <c r="X5043" t="s">
        <v>45104</v>
      </c>
    </row>
    <row r="5044" spans="1:24">
      <c r="A5044">
        <f>HYPERLINK("https://www.philgeps.gov.ph/GEPSNONPILOT/Tender/SplashBidNoticeAbstractUI.aspx?menuIndex=3&amp;refID=7038164&amp;Result=3","7038164")</f>
        <v>0</v>
      </c>
      <c r="B5044" t="s">
        <v>1677</v>
      </c>
      <c r="C5044" t="s">
        <v>8020</v>
      </c>
      <c r="D5044" t="s">
        <v>18022</v>
      </c>
      <c r="E5044" t="s">
        <v>22628</v>
      </c>
      <c r="F5044" t="s">
        <v>31574</v>
      </c>
      <c r="G5044" t="s">
        <v>31581</v>
      </c>
      <c r="H5044" t="s">
        <v>31590</v>
      </c>
      <c r="I5044" t="s">
        <v>31595</v>
      </c>
      <c r="J5044" t="s">
        <v>32147</v>
      </c>
      <c r="K5044" t="s">
        <v>41193</v>
      </c>
      <c r="M5044" t="s">
        <v>43290</v>
      </c>
      <c r="N5044" t="s">
        <v>45095</v>
      </c>
      <c r="O5044" t="s">
        <v>45096</v>
      </c>
      <c r="P5044">
        <v>0</v>
      </c>
      <c r="Q5044">
        <v>3</v>
      </c>
      <c r="R5044" t="s">
        <v>45102</v>
      </c>
      <c r="S5044" t="s">
        <v>45242</v>
      </c>
      <c r="T5044" t="s">
        <v>47159</v>
      </c>
      <c r="U5044" t="s">
        <v>51709</v>
      </c>
      <c r="W5044" t="s">
        <v>43290</v>
      </c>
      <c r="X5044" t="s">
        <v>45103</v>
      </c>
    </row>
    <row r="5045" spans="1:24">
      <c r="A5045">
        <f>HYPERLINK("https://www.philgeps.gov.ph/GEPSNONPILOT/Tender/SplashBidNoticeAbstractUI.aspx?menuIndex=3&amp;refID=7037940&amp;Result=3","7037940")</f>
        <v>0</v>
      </c>
      <c r="B5045" t="s">
        <v>1013</v>
      </c>
      <c r="C5045" t="s">
        <v>8021</v>
      </c>
      <c r="D5045" t="s">
        <v>18070</v>
      </c>
      <c r="E5045" t="s">
        <v>22629</v>
      </c>
      <c r="F5045" t="s">
        <v>31574</v>
      </c>
      <c r="G5045" t="s">
        <v>31582</v>
      </c>
      <c r="H5045" t="s">
        <v>31591</v>
      </c>
      <c r="I5045" t="s">
        <v>8822</v>
      </c>
      <c r="J5045" t="s">
        <v>35006</v>
      </c>
      <c r="K5045" t="s">
        <v>41186</v>
      </c>
      <c r="M5045" t="s">
        <v>42553</v>
      </c>
      <c r="N5045" t="s">
        <v>45095</v>
      </c>
      <c r="O5045" t="s">
        <v>45096</v>
      </c>
      <c r="P5045">
        <v>0</v>
      </c>
      <c r="Q5045">
        <v>0</v>
      </c>
      <c r="R5045" t="s">
        <v>45102</v>
      </c>
      <c r="S5045" t="s">
        <v>45242</v>
      </c>
      <c r="T5045" t="s">
        <v>46988</v>
      </c>
      <c r="U5045" t="s">
        <v>49752</v>
      </c>
      <c r="W5045" t="s">
        <v>42553</v>
      </c>
      <c r="X5045" t="s">
        <v>45104</v>
      </c>
    </row>
    <row r="5046" spans="1:24">
      <c r="A5046">
        <f>HYPERLINK("https://www.philgeps.gov.ph/GEPSNONPILOT/Tender/SplashBidNoticeAbstractUI.aspx?menuIndex=3&amp;refID=7038158&amp;Result=3","7038158")</f>
        <v>0</v>
      </c>
      <c r="B5046" t="s">
        <v>1580</v>
      </c>
      <c r="C5046" t="s">
        <v>8022</v>
      </c>
      <c r="D5046" t="s">
        <v>18053</v>
      </c>
      <c r="E5046" t="s">
        <v>18367</v>
      </c>
      <c r="F5046" t="s">
        <v>31574</v>
      </c>
      <c r="G5046" t="s">
        <v>31585</v>
      </c>
      <c r="H5046" t="s">
        <v>31591</v>
      </c>
      <c r="I5046" t="s">
        <v>4046</v>
      </c>
      <c r="J5046" t="s">
        <v>35007</v>
      </c>
      <c r="K5046" t="s">
        <v>41193</v>
      </c>
      <c r="M5046" t="s">
        <v>43184</v>
      </c>
      <c r="N5046" t="s">
        <v>45095</v>
      </c>
      <c r="O5046" t="s">
        <v>45096</v>
      </c>
      <c r="P5046">
        <v>0</v>
      </c>
      <c r="Q5046">
        <v>0</v>
      </c>
      <c r="R5046" t="s">
        <v>45102</v>
      </c>
      <c r="S5046" t="s">
        <v>45242</v>
      </c>
      <c r="T5046" t="s">
        <v>46973</v>
      </c>
      <c r="U5046" t="s">
        <v>51710</v>
      </c>
      <c r="W5046" t="s">
        <v>43184</v>
      </c>
      <c r="X5046" t="s">
        <v>45103</v>
      </c>
    </row>
    <row r="5047" spans="1:24">
      <c r="A5047">
        <f>HYPERLINK("https://www.philgeps.gov.ph/GEPSNONPILOT/Tender/SplashBidNoticeAbstractUI.aspx?menuIndex=3&amp;refID=7038067&amp;Result=3","7038067")</f>
        <v>0</v>
      </c>
      <c r="B5047" t="s">
        <v>1678</v>
      </c>
      <c r="C5047" t="s">
        <v>8023</v>
      </c>
      <c r="D5047" t="s">
        <v>18055</v>
      </c>
      <c r="E5047" t="s">
        <v>18162</v>
      </c>
      <c r="F5047" t="s">
        <v>31575</v>
      </c>
      <c r="G5047" t="s">
        <v>31582</v>
      </c>
      <c r="H5047" t="s">
        <v>31590</v>
      </c>
      <c r="I5047" t="s">
        <v>4046</v>
      </c>
      <c r="J5047" t="s">
        <v>35008</v>
      </c>
      <c r="K5047" t="s">
        <v>41193</v>
      </c>
      <c r="M5047" t="s">
        <v>43291</v>
      </c>
      <c r="N5047" t="s">
        <v>45095</v>
      </c>
      <c r="O5047" t="s">
        <v>45096</v>
      </c>
      <c r="P5047">
        <v>0</v>
      </c>
      <c r="Q5047">
        <v>5</v>
      </c>
      <c r="R5047" t="s">
        <v>45102</v>
      </c>
      <c r="S5047" t="s">
        <v>45242</v>
      </c>
      <c r="T5047" t="s">
        <v>46981</v>
      </c>
      <c r="U5047" t="s">
        <v>51711</v>
      </c>
      <c r="V5047" t="s">
        <v>60384</v>
      </c>
      <c r="W5047" t="s">
        <v>43291</v>
      </c>
      <c r="X5047" t="s">
        <v>45104</v>
      </c>
    </row>
    <row r="5048" spans="1:24">
      <c r="A5048">
        <f>HYPERLINK("https://www.philgeps.gov.ph/GEPSNONPILOT/Tender/SplashBidNoticeAbstractUI.aspx?menuIndex=3&amp;refID=7037931&amp;Result=3","7037931")</f>
        <v>0</v>
      </c>
      <c r="B5048" t="s">
        <v>1013</v>
      </c>
      <c r="C5048" t="s">
        <v>8024</v>
      </c>
      <c r="D5048" t="s">
        <v>18070</v>
      </c>
      <c r="E5048" t="s">
        <v>22630</v>
      </c>
      <c r="F5048" t="s">
        <v>31574</v>
      </c>
      <c r="G5048" t="s">
        <v>31582</v>
      </c>
      <c r="H5048" t="s">
        <v>31591</v>
      </c>
      <c r="I5048" t="s">
        <v>8822</v>
      </c>
      <c r="J5048" t="s">
        <v>31819</v>
      </c>
      <c r="K5048" t="s">
        <v>41234</v>
      </c>
      <c r="M5048" t="s">
        <v>42553</v>
      </c>
      <c r="N5048" t="s">
        <v>45095</v>
      </c>
      <c r="O5048" t="s">
        <v>45096</v>
      </c>
      <c r="P5048">
        <v>0</v>
      </c>
      <c r="Q5048">
        <v>0</v>
      </c>
      <c r="R5048" t="s">
        <v>45102</v>
      </c>
      <c r="S5048" t="s">
        <v>45242</v>
      </c>
      <c r="T5048" t="s">
        <v>46988</v>
      </c>
      <c r="U5048" t="s">
        <v>49752</v>
      </c>
      <c r="W5048" t="s">
        <v>42553</v>
      </c>
      <c r="X5048" t="s">
        <v>45104</v>
      </c>
    </row>
    <row r="5049" spans="1:24">
      <c r="A5049">
        <f>HYPERLINK("https://www.philgeps.gov.ph/GEPSNONPILOT/Tender/SplashBidNoticeAbstractUI.aspx?menuIndex=3&amp;refID=7038036&amp;Result=3","7038036")</f>
        <v>0</v>
      </c>
      <c r="B5049" t="s">
        <v>1679</v>
      </c>
      <c r="C5049" t="s">
        <v>8025</v>
      </c>
      <c r="D5049" t="s">
        <v>18022</v>
      </c>
      <c r="E5049" t="s">
        <v>22631</v>
      </c>
      <c r="F5049" t="s">
        <v>31574</v>
      </c>
      <c r="G5049" t="s">
        <v>31583</v>
      </c>
      <c r="H5049" t="s">
        <v>31590</v>
      </c>
      <c r="I5049" t="s">
        <v>5717</v>
      </c>
      <c r="J5049" t="s">
        <v>32381</v>
      </c>
      <c r="K5049" t="s">
        <v>41213</v>
      </c>
      <c r="M5049" t="s">
        <v>43292</v>
      </c>
      <c r="N5049" t="s">
        <v>45095</v>
      </c>
      <c r="O5049" t="s">
        <v>45096</v>
      </c>
      <c r="P5049">
        <v>0</v>
      </c>
      <c r="Q5049">
        <v>7</v>
      </c>
      <c r="R5049" t="s">
        <v>45102</v>
      </c>
      <c r="S5049" t="s">
        <v>45242</v>
      </c>
      <c r="T5049" t="s">
        <v>46911</v>
      </c>
      <c r="U5049" t="s">
        <v>51712</v>
      </c>
      <c r="W5049" t="s">
        <v>43292</v>
      </c>
      <c r="X5049" t="s">
        <v>45104</v>
      </c>
    </row>
    <row r="5050" spans="1:24">
      <c r="A5050">
        <f>HYPERLINK("https://www.philgeps.gov.ph/GEPSNONPILOT/Tender/SplashBidNoticeAbstractUI.aspx?menuIndex=3&amp;refID=7038020&amp;Result=3","7038020")</f>
        <v>0</v>
      </c>
      <c r="B5050" t="s">
        <v>1680</v>
      </c>
      <c r="C5050" t="s">
        <v>8026</v>
      </c>
      <c r="D5050" t="s">
        <v>18039</v>
      </c>
      <c r="E5050" t="s">
        <v>8026</v>
      </c>
      <c r="F5050" t="s">
        <v>31574</v>
      </c>
      <c r="G5050" t="s">
        <v>31582</v>
      </c>
      <c r="H5050" t="s">
        <v>31591</v>
      </c>
      <c r="I5050" t="s">
        <v>8822</v>
      </c>
      <c r="J5050" t="s">
        <v>35009</v>
      </c>
      <c r="K5050" t="s">
        <v>41192</v>
      </c>
      <c r="M5050" t="s">
        <v>43293</v>
      </c>
      <c r="N5050" t="s">
        <v>45095</v>
      </c>
      <c r="O5050" t="s">
        <v>45096</v>
      </c>
      <c r="P5050">
        <v>0</v>
      </c>
      <c r="Q5050">
        <v>0</v>
      </c>
      <c r="R5050" t="s">
        <v>45102</v>
      </c>
      <c r="S5050" t="s">
        <v>45242</v>
      </c>
      <c r="T5050" t="s">
        <v>46982</v>
      </c>
      <c r="U5050" t="s">
        <v>51713</v>
      </c>
      <c r="V5050" t="s">
        <v>59888</v>
      </c>
      <c r="W5050" t="s">
        <v>43293</v>
      </c>
      <c r="X5050" t="s">
        <v>45104</v>
      </c>
    </row>
    <row r="5051" spans="1:24">
      <c r="A5051">
        <f>HYPERLINK("https://www.philgeps.gov.ph/GEPSNONPILOT/Tender/SplashBidNoticeAbstractUI.aspx?menuIndex=3&amp;refID=7038163&amp;Result=3","7038163")</f>
        <v>0</v>
      </c>
      <c r="B5051" t="s">
        <v>1681</v>
      </c>
      <c r="C5051" t="s">
        <v>8027</v>
      </c>
      <c r="D5051" t="s">
        <v>18072</v>
      </c>
      <c r="E5051" t="s">
        <v>22632</v>
      </c>
      <c r="F5051" t="s">
        <v>31574</v>
      </c>
      <c r="G5051" t="s">
        <v>31582</v>
      </c>
      <c r="H5051" t="s">
        <v>31590</v>
      </c>
      <c r="I5051" t="s">
        <v>4046</v>
      </c>
      <c r="J5051" t="s">
        <v>35010</v>
      </c>
      <c r="K5051" t="s">
        <v>41195</v>
      </c>
      <c r="M5051" t="s">
        <v>43294</v>
      </c>
      <c r="N5051" t="s">
        <v>45095</v>
      </c>
      <c r="O5051" t="s">
        <v>45096</v>
      </c>
      <c r="P5051">
        <v>0</v>
      </c>
      <c r="Q5051">
        <v>0</v>
      </c>
      <c r="R5051" t="s">
        <v>45102</v>
      </c>
      <c r="S5051" t="s">
        <v>45242</v>
      </c>
      <c r="T5051" t="s">
        <v>46966</v>
      </c>
      <c r="U5051" t="s">
        <v>51714</v>
      </c>
      <c r="W5051" t="s">
        <v>43294</v>
      </c>
      <c r="X5051" t="s">
        <v>45103</v>
      </c>
    </row>
    <row r="5052" spans="1:24">
      <c r="A5052">
        <f>HYPERLINK("https://www.philgeps.gov.ph/GEPSNONPILOT/Tender/SplashBidNoticeAbstractUI.aspx?menuIndex=3&amp;refID=7037745&amp;Result=3","7037745")</f>
        <v>0</v>
      </c>
      <c r="B5052" t="s">
        <v>1211</v>
      </c>
      <c r="C5052" t="s">
        <v>8028</v>
      </c>
      <c r="D5052" t="s">
        <v>18041</v>
      </c>
      <c r="E5052" t="s">
        <v>22633</v>
      </c>
      <c r="F5052" t="s">
        <v>31574</v>
      </c>
      <c r="G5052" t="s">
        <v>31582</v>
      </c>
      <c r="H5052" t="s">
        <v>31590</v>
      </c>
      <c r="I5052" t="s">
        <v>31604</v>
      </c>
      <c r="J5052" t="s">
        <v>35011</v>
      </c>
      <c r="K5052" t="s">
        <v>41191</v>
      </c>
      <c r="M5052" t="s">
        <v>42771</v>
      </c>
      <c r="N5052" t="s">
        <v>45095</v>
      </c>
      <c r="O5052" t="s">
        <v>45096</v>
      </c>
      <c r="P5052">
        <v>0</v>
      </c>
      <c r="Q5052">
        <v>2</v>
      </c>
      <c r="R5052" t="s">
        <v>45102</v>
      </c>
      <c r="S5052" t="s">
        <v>45242</v>
      </c>
      <c r="T5052" t="s">
        <v>47232</v>
      </c>
      <c r="U5052" t="s">
        <v>51681</v>
      </c>
      <c r="W5052" t="s">
        <v>61694</v>
      </c>
      <c r="X5052" t="s">
        <v>45104</v>
      </c>
    </row>
    <row r="5053" spans="1:24">
      <c r="A5053">
        <f>HYPERLINK("https://www.philgeps.gov.ph/GEPSNONPILOT/Tender/SplashBidNoticeAbstractUI.aspx?menuIndex=3&amp;refID=7038152&amp;Result=3","7038152")</f>
        <v>0</v>
      </c>
      <c r="B5053" t="s">
        <v>1682</v>
      </c>
      <c r="C5053" t="s">
        <v>8029</v>
      </c>
      <c r="D5053" t="s">
        <v>18064</v>
      </c>
      <c r="E5053" t="s">
        <v>22634</v>
      </c>
      <c r="F5053" t="s">
        <v>31574</v>
      </c>
      <c r="G5053" t="s">
        <v>31582</v>
      </c>
      <c r="H5053" t="s">
        <v>31591</v>
      </c>
      <c r="I5053" t="s">
        <v>8822</v>
      </c>
      <c r="J5053" t="s">
        <v>31789</v>
      </c>
      <c r="K5053" t="s">
        <v>41186</v>
      </c>
      <c r="M5053" t="s">
        <v>43295</v>
      </c>
      <c r="N5053" t="s">
        <v>45095</v>
      </c>
      <c r="O5053" t="s">
        <v>45096</v>
      </c>
      <c r="P5053">
        <v>0</v>
      </c>
      <c r="Q5053">
        <v>0</v>
      </c>
      <c r="R5053" t="s">
        <v>45102</v>
      </c>
      <c r="S5053" t="s">
        <v>45242</v>
      </c>
      <c r="T5053" t="s">
        <v>47011</v>
      </c>
      <c r="U5053" t="s">
        <v>51715</v>
      </c>
      <c r="W5053" t="s">
        <v>43295</v>
      </c>
      <c r="X5053" t="s">
        <v>45104</v>
      </c>
    </row>
    <row r="5054" spans="1:24">
      <c r="A5054">
        <f>HYPERLINK("https://www.philgeps.gov.ph/GEPSNONPILOT/Tender/SplashBidNoticeAbstractUI.aspx?menuIndex=3&amp;refID=7037997&amp;Result=3","7037997")</f>
        <v>0</v>
      </c>
      <c r="B5054" t="s">
        <v>869</v>
      </c>
      <c r="C5054" t="s">
        <v>8030</v>
      </c>
      <c r="D5054" t="s">
        <v>18062</v>
      </c>
      <c r="E5054" t="s">
        <v>22635</v>
      </c>
      <c r="F5054" t="s">
        <v>31574</v>
      </c>
      <c r="G5054" t="s">
        <v>31581</v>
      </c>
      <c r="H5054" t="s">
        <v>31590</v>
      </c>
      <c r="I5054" t="s">
        <v>8056</v>
      </c>
      <c r="J5054" t="s">
        <v>35012</v>
      </c>
      <c r="K5054" t="s">
        <v>41186</v>
      </c>
      <c r="M5054" t="s">
        <v>42389</v>
      </c>
      <c r="N5054" t="s">
        <v>45095</v>
      </c>
      <c r="O5054" t="s">
        <v>45096</v>
      </c>
      <c r="P5054">
        <v>0</v>
      </c>
      <c r="Q5054">
        <v>7</v>
      </c>
      <c r="R5054" t="s">
        <v>45102</v>
      </c>
      <c r="S5054" t="s">
        <v>45242</v>
      </c>
      <c r="T5054" t="s">
        <v>47068</v>
      </c>
      <c r="U5054" t="s">
        <v>51716</v>
      </c>
      <c r="W5054" t="s">
        <v>42389</v>
      </c>
      <c r="X5054" t="s">
        <v>45104</v>
      </c>
    </row>
    <row r="5055" spans="1:24">
      <c r="A5055">
        <f>HYPERLINK("https://www.philgeps.gov.ph/GEPSNONPILOT/Tender/SplashBidNoticeAbstractUI.aspx?menuIndex=3&amp;refID=7038165&amp;Result=3","7038165")</f>
        <v>0</v>
      </c>
      <c r="B5055" t="s">
        <v>1683</v>
      </c>
      <c r="C5055" t="s">
        <v>8031</v>
      </c>
      <c r="D5055" t="s">
        <v>18100</v>
      </c>
      <c r="E5055" t="s">
        <v>19061</v>
      </c>
      <c r="F5055" t="s">
        <v>31574</v>
      </c>
      <c r="G5055" t="s">
        <v>31582</v>
      </c>
      <c r="H5055" t="s">
        <v>31590</v>
      </c>
      <c r="I5055" t="s">
        <v>31615</v>
      </c>
      <c r="J5055" t="s">
        <v>35013</v>
      </c>
      <c r="K5055" t="s">
        <v>41192</v>
      </c>
      <c r="M5055" t="s">
        <v>43296</v>
      </c>
      <c r="N5055" t="s">
        <v>45095</v>
      </c>
      <c r="O5055" t="s">
        <v>45096</v>
      </c>
      <c r="P5055">
        <v>0</v>
      </c>
      <c r="Q5055">
        <v>0</v>
      </c>
      <c r="R5055" t="s">
        <v>45102</v>
      </c>
      <c r="S5055" t="s">
        <v>45242</v>
      </c>
      <c r="T5055" t="s">
        <v>46936</v>
      </c>
      <c r="U5055" t="s">
        <v>51717</v>
      </c>
      <c r="W5055" t="s">
        <v>43296</v>
      </c>
      <c r="X5055" t="s">
        <v>45103</v>
      </c>
    </row>
    <row r="5056" spans="1:24">
      <c r="A5056">
        <f>HYPERLINK("https://www.philgeps.gov.ph/GEPSNONPILOT/Tender/SplashBidNoticeAbstractUI.aspx?menuIndex=3&amp;refID=7038001&amp;Result=3","7038001")</f>
        <v>0</v>
      </c>
      <c r="B5056" t="s">
        <v>1678</v>
      </c>
      <c r="C5056" t="s">
        <v>8032</v>
      </c>
      <c r="D5056" t="s">
        <v>18055</v>
      </c>
      <c r="E5056" t="s">
        <v>18192</v>
      </c>
      <c r="F5056" t="s">
        <v>31576</v>
      </c>
      <c r="G5056" t="s">
        <v>31582</v>
      </c>
      <c r="H5056" t="s">
        <v>31590</v>
      </c>
      <c r="I5056" t="s">
        <v>4046</v>
      </c>
      <c r="J5056" t="s">
        <v>35014</v>
      </c>
      <c r="K5056" t="s">
        <v>41193</v>
      </c>
      <c r="M5056" t="s">
        <v>43291</v>
      </c>
      <c r="N5056" t="s">
        <v>45095</v>
      </c>
      <c r="O5056" t="s">
        <v>45096</v>
      </c>
      <c r="P5056">
        <v>0</v>
      </c>
      <c r="Q5056">
        <v>2</v>
      </c>
      <c r="R5056" t="s">
        <v>45102</v>
      </c>
      <c r="S5056" t="s">
        <v>45242</v>
      </c>
      <c r="T5056" t="s">
        <v>47019</v>
      </c>
      <c r="U5056" t="s">
        <v>51711</v>
      </c>
      <c r="W5056" t="s">
        <v>43291</v>
      </c>
      <c r="X5056" t="s">
        <v>45104</v>
      </c>
    </row>
    <row r="5057" spans="1:24">
      <c r="A5057">
        <f>HYPERLINK("https://www.philgeps.gov.ph/GEPSNONPILOT/Tender/SplashBidNoticeAbstractUI.aspx?menuIndex=3&amp;refID=7037985&amp;Result=3","7037985")</f>
        <v>0</v>
      </c>
      <c r="B5057" t="s">
        <v>1684</v>
      </c>
      <c r="C5057" t="s">
        <v>8033</v>
      </c>
      <c r="D5057" t="s">
        <v>18035</v>
      </c>
      <c r="E5057" t="s">
        <v>22636</v>
      </c>
      <c r="F5057" t="s">
        <v>31574</v>
      </c>
      <c r="G5057" t="s">
        <v>31582</v>
      </c>
      <c r="H5057" t="s">
        <v>31590</v>
      </c>
      <c r="I5057" t="s">
        <v>4046</v>
      </c>
      <c r="J5057" t="s">
        <v>35015</v>
      </c>
      <c r="K5057" t="s">
        <v>41184</v>
      </c>
      <c r="M5057" t="s">
        <v>43297</v>
      </c>
      <c r="N5057" t="s">
        <v>45095</v>
      </c>
      <c r="O5057" t="s">
        <v>45096</v>
      </c>
      <c r="P5057">
        <v>0</v>
      </c>
      <c r="Q5057">
        <v>1</v>
      </c>
      <c r="R5057" t="s">
        <v>45102</v>
      </c>
      <c r="S5057" t="s">
        <v>45242</v>
      </c>
      <c r="T5057" t="s">
        <v>46963</v>
      </c>
      <c r="U5057" t="s">
        <v>51718</v>
      </c>
      <c r="W5057" t="s">
        <v>43297</v>
      </c>
      <c r="X5057" t="s">
        <v>45104</v>
      </c>
    </row>
    <row r="5058" spans="1:24">
      <c r="A5058">
        <f>HYPERLINK("https://www.philgeps.gov.ph/GEPSNONPILOT/Tender/SplashBidNoticeAbstractUI.aspx?menuIndex=3&amp;refID=7038042&amp;Result=3","7038042")</f>
        <v>0</v>
      </c>
      <c r="B5058" t="s">
        <v>1679</v>
      </c>
      <c r="C5058" t="s">
        <v>8025</v>
      </c>
      <c r="D5058" t="s">
        <v>18022</v>
      </c>
      <c r="E5058" t="s">
        <v>22637</v>
      </c>
      <c r="F5058" t="s">
        <v>31574</v>
      </c>
      <c r="G5058" t="s">
        <v>31583</v>
      </c>
      <c r="H5058" t="s">
        <v>31590</v>
      </c>
      <c r="I5058" t="s">
        <v>5717</v>
      </c>
      <c r="J5058" t="s">
        <v>31727</v>
      </c>
      <c r="K5058" t="s">
        <v>41213</v>
      </c>
      <c r="M5058" t="s">
        <v>43292</v>
      </c>
      <c r="N5058" t="s">
        <v>45095</v>
      </c>
      <c r="O5058" t="s">
        <v>45096</v>
      </c>
      <c r="P5058">
        <v>0</v>
      </c>
      <c r="Q5058">
        <v>4</v>
      </c>
      <c r="R5058" t="s">
        <v>45102</v>
      </c>
      <c r="S5058" t="s">
        <v>45242</v>
      </c>
      <c r="T5058" t="s">
        <v>46911</v>
      </c>
      <c r="U5058" t="s">
        <v>51719</v>
      </c>
      <c r="W5058" t="s">
        <v>43292</v>
      </c>
      <c r="X5058" t="s">
        <v>45104</v>
      </c>
    </row>
    <row r="5059" spans="1:24">
      <c r="A5059">
        <f>HYPERLINK("https://www.philgeps.gov.ph/GEPSNONPILOT/Tender/SplashBidNoticeAbstractUI.aspx?menuIndex=3&amp;refID=7037685&amp;Result=3","7037685")</f>
        <v>0</v>
      </c>
      <c r="B5059" t="s">
        <v>1211</v>
      </c>
      <c r="C5059" t="s">
        <v>8034</v>
      </c>
      <c r="D5059" t="s">
        <v>18041</v>
      </c>
      <c r="E5059" t="s">
        <v>22638</v>
      </c>
      <c r="F5059" t="s">
        <v>31574</v>
      </c>
      <c r="G5059" t="s">
        <v>31582</v>
      </c>
      <c r="H5059" t="s">
        <v>31590</v>
      </c>
      <c r="I5059" t="s">
        <v>3901</v>
      </c>
      <c r="J5059" t="s">
        <v>32076</v>
      </c>
      <c r="K5059" t="s">
        <v>41191</v>
      </c>
      <c r="M5059" t="s">
        <v>42771</v>
      </c>
      <c r="N5059" t="s">
        <v>45095</v>
      </c>
      <c r="O5059" t="s">
        <v>45096</v>
      </c>
      <c r="P5059">
        <v>0</v>
      </c>
      <c r="Q5059">
        <v>3</v>
      </c>
      <c r="R5059" t="s">
        <v>45102</v>
      </c>
      <c r="S5059" t="s">
        <v>45242</v>
      </c>
      <c r="T5059" t="s">
        <v>47232</v>
      </c>
      <c r="U5059" t="s">
        <v>51681</v>
      </c>
      <c r="W5059" t="s">
        <v>61694</v>
      </c>
      <c r="X5059" t="s">
        <v>45104</v>
      </c>
    </row>
    <row r="5060" spans="1:24">
      <c r="A5060">
        <f>HYPERLINK("https://www.philgeps.gov.ph/GEPSNONPILOT/Tender/SplashBidNoticeAbstractUI.aspx?menuIndex=3&amp;refID=7037984&amp;Result=3","7037984")</f>
        <v>0</v>
      </c>
      <c r="B5060" t="s">
        <v>219</v>
      </c>
      <c r="C5060" t="s">
        <v>8035</v>
      </c>
      <c r="D5060" t="s">
        <v>18028</v>
      </c>
      <c r="E5060" t="s">
        <v>18146</v>
      </c>
      <c r="F5060" t="s">
        <v>31574</v>
      </c>
      <c r="G5060" t="s">
        <v>31582</v>
      </c>
      <c r="H5060" t="s">
        <v>31591</v>
      </c>
      <c r="I5060" t="s">
        <v>8822</v>
      </c>
      <c r="J5060" t="s">
        <v>31789</v>
      </c>
      <c r="K5060" t="s">
        <v>41186</v>
      </c>
      <c r="M5060" t="s">
        <v>41704</v>
      </c>
      <c r="N5060" t="s">
        <v>45095</v>
      </c>
      <c r="O5060" t="s">
        <v>45096</v>
      </c>
      <c r="P5060">
        <v>0</v>
      </c>
      <c r="Q5060">
        <v>0</v>
      </c>
      <c r="R5060" t="s">
        <v>45102</v>
      </c>
      <c r="S5060" t="s">
        <v>45242</v>
      </c>
      <c r="T5060" t="s">
        <v>46966</v>
      </c>
      <c r="U5060" t="s">
        <v>51720</v>
      </c>
      <c r="W5060" t="s">
        <v>41704</v>
      </c>
      <c r="X5060" t="s">
        <v>45104</v>
      </c>
    </row>
    <row r="5061" spans="1:24">
      <c r="A5061">
        <f>HYPERLINK("https://www.philgeps.gov.ph/GEPSNONPILOT/Tender/SplashBidNoticeAbstractUI.aspx?menuIndex=3&amp;refID=7038168&amp;Result=3","7038168")</f>
        <v>0</v>
      </c>
      <c r="B5061" t="s">
        <v>1685</v>
      </c>
      <c r="C5061" t="s">
        <v>8036</v>
      </c>
      <c r="D5061" t="s">
        <v>18026</v>
      </c>
      <c r="E5061" t="s">
        <v>18227</v>
      </c>
      <c r="F5061" t="s">
        <v>31574</v>
      </c>
      <c r="G5061" t="s">
        <v>31582</v>
      </c>
      <c r="H5061" t="s">
        <v>31590</v>
      </c>
      <c r="I5061" t="s">
        <v>4046</v>
      </c>
      <c r="J5061" t="s">
        <v>35016</v>
      </c>
      <c r="K5061" t="s">
        <v>41186</v>
      </c>
      <c r="M5061" t="s">
        <v>43298</v>
      </c>
      <c r="N5061" t="s">
        <v>45095</v>
      </c>
      <c r="O5061" t="s">
        <v>45096</v>
      </c>
      <c r="P5061">
        <v>0</v>
      </c>
      <c r="Q5061">
        <v>1</v>
      </c>
      <c r="R5061" t="s">
        <v>45102</v>
      </c>
      <c r="S5061" t="s">
        <v>45242</v>
      </c>
      <c r="T5061" t="s">
        <v>47156</v>
      </c>
      <c r="U5061" t="s">
        <v>51721</v>
      </c>
      <c r="W5061" t="s">
        <v>43298</v>
      </c>
      <c r="X5061" t="s">
        <v>45103</v>
      </c>
    </row>
    <row r="5062" spans="1:24">
      <c r="A5062">
        <f>HYPERLINK("https://www.philgeps.gov.ph/GEPSNONPILOT/Tender/SplashBidNoticeAbstractUI.aspx?menuIndex=3&amp;refID=7037800&amp;Result=3","7037800")</f>
        <v>0</v>
      </c>
      <c r="B5062" t="s">
        <v>1686</v>
      </c>
      <c r="C5062" t="s">
        <v>8037</v>
      </c>
      <c r="D5062" t="s">
        <v>18066</v>
      </c>
      <c r="E5062" t="s">
        <v>22639</v>
      </c>
      <c r="F5062" t="s">
        <v>31574</v>
      </c>
      <c r="G5062" t="s">
        <v>31581</v>
      </c>
      <c r="H5062" t="s">
        <v>31590</v>
      </c>
      <c r="I5062" t="s">
        <v>31600</v>
      </c>
      <c r="J5062" t="s">
        <v>35017</v>
      </c>
      <c r="K5062" t="s">
        <v>41196</v>
      </c>
      <c r="M5062" t="s">
        <v>43299</v>
      </c>
      <c r="N5062" t="s">
        <v>45095</v>
      </c>
      <c r="O5062" t="s">
        <v>45096</v>
      </c>
      <c r="P5062">
        <v>0</v>
      </c>
      <c r="Q5062">
        <v>1</v>
      </c>
      <c r="R5062" t="s">
        <v>45102</v>
      </c>
      <c r="S5062" t="s">
        <v>45242</v>
      </c>
      <c r="T5062" t="s">
        <v>47158</v>
      </c>
      <c r="U5062" t="s">
        <v>51722</v>
      </c>
      <c r="W5062" t="s">
        <v>43299</v>
      </c>
      <c r="X5062" t="s">
        <v>45104</v>
      </c>
    </row>
    <row r="5063" spans="1:24">
      <c r="A5063">
        <f>HYPERLINK("https://www.philgeps.gov.ph/GEPSNONPILOT/Tender/SplashBidNoticeAbstractUI.aspx?menuIndex=3&amp;refID=7038173&amp;Result=3","7038173")</f>
        <v>0</v>
      </c>
      <c r="B5063" t="s">
        <v>781</v>
      </c>
      <c r="C5063" t="s">
        <v>8038</v>
      </c>
      <c r="D5063" t="s">
        <v>18047</v>
      </c>
      <c r="E5063" t="s">
        <v>22640</v>
      </c>
      <c r="F5063" t="s">
        <v>31574</v>
      </c>
      <c r="G5063" t="s">
        <v>31582</v>
      </c>
      <c r="H5063" t="s">
        <v>31590</v>
      </c>
      <c r="I5063" t="s">
        <v>7185</v>
      </c>
      <c r="J5063" t="s">
        <v>35018</v>
      </c>
      <c r="K5063" t="s">
        <v>41184</v>
      </c>
      <c r="M5063" t="s">
        <v>42295</v>
      </c>
      <c r="N5063" t="s">
        <v>45095</v>
      </c>
      <c r="O5063" t="s">
        <v>45096</v>
      </c>
      <c r="P5063">
        <v>0</v>
      </c>
      <c r="Q5063">
        <v>8</v>
      </c>
      <c r="R5063" t="s">
        <v>45102</v>
      </c>
      <c r="S5063" t="s">
        <v>45242</v>
      </c>
      <c r="T5063" t="s">
        <v>47064</v>
      </c>
      <c r="U5063" t="s">
        <v>49139</v>
      </c>
      <c r="W5063" t="s">
        <v>42295</v>
      </c>
      <c r="X5063" t="s">
        <v>45103</v>
      </c>
    </row>
    <row r="5064" spans="1:24">
      <c r="A5064">
        <f>HYPERLINK("https://www.philgeps.gov.ph/GEPSNONPILOT/Tender/SplashBidNoticeAbstractUI.aspx?menuIndex=3&amp;refID=7038185&amp;Result=3","7038185")</f>
        <v>0</v>
      </c>
      <c r="B5064" t="s">
        <v>781</v>
      </c>
      <c r="C5064" t="s">
        <v>8039</v>
      </c>
      <c r="D5064" t="s">
        <v>18047</v>
      </c>
      <c r="E5064" t="s">
        <v>22641</v>
      </c>
      <c r="F5064" t="s">
        <v>31574</v>
      </c>
      <c r="G5064" t="s">
        <v>31582</v>
      </c>
      <c r="H5064" t="s">
        <v>31590</v>
      </c>
      <c r="I5064" t="s">
        <v>8258</v>
      </c>
      <c r="J5064" t="s">
        <v>35019</v>
      </c>
      <c r="K5064" t="s">
        <v>41184</v>
      </c>
      <c r="M5064" t="s">
        <v>42295</v>
      </c>
      <c r="N5064" t="s">
        <v>45095</v>
      </c>
      <c r="O5064" t="s">
        <v>45096</v>
      </c>
      <c r="P5064">
        <v>0</v>
      </c>
      <c r="Q5064">
        <v>9</v>
      </c>
      <c r="R5064" t="s">
        <v>45102</v>
      </c>
      <c r="S5064" t="s">
        <v>45242</v>
      </c>
      <c r="T5064" t="s">
        <v>47064</v>
      </c>
      <c r="U5064" t="s">
        <v>49139</v>
      </c>
      <c r="W5064" t="s">
        <v>42295</v>
      </c>
      <c r="X5064" t="s">
        <v>45103</v>
      </c>
    </row>
    <row r="5065" spans="1:24">
      <c r="A5065">
        <f>HYPERLINK("https://www.philgeps.gov.ph/GEPSNONPILOT/Tender/SplashBidNoticeAbstractUI.aspx?menuIndex=3&amp;refID=7038184&amp;Result=3","7038184")</f>
        <v>0</v>
      </c>
      <c r="B5065" t="s">
        <v>1032</v>
      </c>
      <c r="C5065" t="s">
        <v>8040</v>
      </c>
      <c r="D5065" t="s">
        <v>18022</v>
      </c>
      <c r="E5065" t="s">
        <v>22642</v>
      </c>
      <c r="F5065" t="s">
        <v>31574</v>
      </c>
      <c r="G5065" t="s">
        <v>31581</v>
      </c>
      <c r="H5065" t="s">
        <v>31590</v>
      </c>
      <c r="I5065" t="s">
        <v>31608</v>
      </c>
      <c r="J5065" t="s">
        <v>35020</v>
      </c>
      <c r="K5065" t="s">
        <v>41184</v>
      </c>
      <c r="M5065" t="s">
        <v>43300</v>
      </c>
      <c r="N5065" t="s">
        <v>45095</v>
      </c>
      <c r="O5065" t="s">
        <v>45096</v>
      </c>
      <c r="P5065">
        <v>0</v>
      </c>
      <c r="Q5065">
        <v>7</v>
      </c>
      <c r="R5065" t="s">
        <v>45102</v>
      </c>
      <c r="S5065" t="s">
        <v>45242</v>
      </c>
      <c r="T5065" t="s">
        <v>47235</v>
      </c>
      <c r="U5065" t="s">
        <v>51723</v>
      </c>
      <c r="W5065" t="s">
        <v>43300</v>
      </c>
      <c r="X5065" t="s">
        <v>45103</v>
      </c>
    </row>
    <row r="5066" spans="1:24">
      <c r="A5066">
        <f>HYPERLINK("https://www.philgeps.gov.ph/GEPSNONPILOT/Tender/SplashBidNoticeAbstractUI.aspx?menuIndex=3&amp;refID=7038175&amp;Result=3","7038175")</f>
        <v>0</v>
      </c>
      <c r="B5066" t="s">
        <v>1687</v>
      </c>
      <c r="C5066" t="s">
        <v>8041</v>
      </c>
      <c r="D5066" t="s">
        <v>18089</v>
      </c>
      <c r="E5066" t="s">
        <v>18227</v>
      </c>
      <c r="F5066" t="s">
        <v>31574</v>
      </c>
      <c r="G5066" t="s">
        <v>31582</v>
      </c>
      <c r="H5066" t="s">
        <v>31590</v>
      </c>
      <c r="I5066" t="s">
        <v>4046</v>
      </c>
      <c r="J5066" t="s">
        <v>34554</v>
      </c>
      <c r="K5066" t="s">
        <v>41190</v>
      </c>
      <c r="M5066" t="s">
        <v>43301</v>
      </c>
      <c r="N5066" t="s">
        <v>45095</v>
      </c>
      <c r="O5066" t="s">
        <v>45096</v>
      </c>
      <c r="P5066">
        <v>0</v>
      </c>
      <c r="Q5066">
        <v>0</v>
      </c>
      <c r="R5066" t="s">
        <v>45102</v>
      </c>
      <c r="S5066" t="s">
        <v>45242</v>
      </c>
      <c r="T5066" t="s">
        <v>46918</v>
      </c>
      <c r="U5066" t="s">
        <v>51724</v>
      </c>
      <c r="W5066" t="s">
        <v>43301</v>
      </c>
      <c r="X5066" t="s">
        <v>45103</v>
      </c>
    </row>
    <row r="5067" spans="1:24">
      <c r="A5067">
        <f>HYPERLINK("https://www.philgeps.gov.ph/GEPSNONPILOT/Tender/SplashBidNoticeAbstractUI.aspx?menuIndex=3&amp;refID=7038187&amp;Result=3","7038187")</f>
        <v>0</v>
      </c>
      <c r="B5067" t="s">
        <v>781</v>
      </c>
      <c r="C5067" t="s">
        <v>8042</v>
      </c>
      <c r="D5067" t="s">
        <v>18047</v>
      </c>
      <c r="E5067" t="s">
        <v>22643</v>
      </c>
      <c r="F5067" t="s">
        <v>31574</v>
      </c>
      <c r="G5067" t="s">
        <v>31582</v>
      </c>
      <c r="H5067" t="s">
        <v>31590</v>
      </c>
      <c r="I5067" t="s">
        <v>8258</v>
      </c>
      <c r="J5067" t="s">
        <v>35021</v>
      </c>
      <c r="K5067" t="s">
        <v>41184</v>
      </c>
      <c r="M5067" t="s">
        <v>42295</v>
      </c>
      <c r="N5067" t="s">
        <v>45095</v>
      </c>
      <c r="O5067" t="s">
        <v>45096</v>
      </c>
      <c r="P5067">
        <v>0</v>
      </c>
      <c r="Q5067">
        <v>9</v>
      </c>
      <c r="R5067" t="s">
        <v>45102</v>
      </c>
      <c r="S5067" t="s">
        <v>45242</v>
      </c>
      <c r="T5067" t="s">
        <v>47064</v>
      </c>
      <c r="U5067" t="s">
        <v>49139</v>
      </c>
      <c r="W5067" t="s">
        <v>42295</v>
      </c>
      <c r="X5067" t="s">
        <v>45103</v>
      </c>
    </row>
    <row r="5068" spans="1:24">
      <c r="A5068">
        <f>HYPERLINK("https://www.philgeps.gov.ph/GEPSNONPILOT/Tender/SplashBidNoticeAbstractUI.aspx?menuIndex=3&amp;refID=7038176&amp;Result=3","7038176")</f>
        <v>0</v>
      </c>
      <c r="B5068" t="s">
        <v>781</v>
      </c>
      <c r="C5068" t="s">
        <v>8043</v>
      </c>
      <c r="D5068" t="s">
        <v>18047</v>
      </c>
      <c r="E5068" t="s">
        <v>22644</v>
      </c>
      <c r="F5068" t="s">
        <v>31574</v>
      </c>
      <c r="G5068" t="s">
        <v>31582</v>
      </c>
      <c r="H5068" t="s">
        <v>31590</v>
      </c>
      <c r="I5068" t="s">
        <v>7185</v>
      </c>
      <c r="J5068" t="s">
        <v>35022</v>
      </c>
      <c r="K5068" t="s">
        <v>41184</v>
      </c>
      <c r="M5068" t="s">
        <v>42295</v>
      </c>
      <c r="N5068" t="s">
        <v>45095</v>
      </c>
      <c r="O5068" t="s">
        <v>45096</v>
      </c>
      <c r="P5068">
        <v>0</v>
      </c>
      <c r="Q5068">
        <v>5</v>
      </c>
      <c r="R5068" t="s">
        <v>45102</v>
      </c>
      <c r="S5068" t="s">
        <v>45242</v>
      </c>
      <c r="T5068" t="s">
        <v>47064</v>
      </c>
      <c r="U5068" t="s">
        <v>49139</v>
      </c>
      <c r="W5068" t="s">
        <v>42295</v>
      </c>
      <c r="X5068" t="s">
        <v>45103</v>
      </c>
    </row>
    <row r="5069" spans="1:24">
      <c r="A5069">
        <f>HYPERLINK("https://www.philgeps.gov.ph/GEPSNONPILOT/Tender/SplashBidNoticeAbstractUI.aspx?menuIndex=3&amp;refID=7038171&amp;Result=3","7038171")</f>
        <v>0</v>
      </c>
      <c r="B5069" t="s">
        <v>1688</v>
      </c>
      <c r="C5069" t="s">
        <v>8044</v>
      </c>
      <c r="D5069" t="s">
        <v>18033</v>
      </c>
      <c r="E5069" t="s">
        <v>18137</v>
      </c>
      <c r="F5069" t="s">
        <v>31574</v>
      </c>
      <c r="G5069" t="s">
        <v>31582</v>
      </c>
      <c r="H5069" t="s">
        <v>31590</v>
      </c>
      <c r="I5069" t="s">
        <v>31595</v>
      </c>
      <c r="J5069" t="s">
        <v>35023</v>
      </c>
      <c r="K5069" t="s">
        <v>41196</v>
      </c>
      <c r="M5069" t="s">
        <v>43302</v>
      </c>
      <c r="N5069" t="s">
        <v>45095</v>
      </c>
      <c r="O5069" t="s">
        <v>45096</v>
      </c>
      <c r="P5069">
        <v>0</v>
      </c>
      <c r="Q5069">
        <v>4</v>
      </c>
      <c r="R5069" t="s">
        <v>45102</v>
      </c>
      <c r="S5069" t="s">
        <v>45242</v>
      </c>
      <c r="T5069" t="s">
        <v>47236</v>
      </c>
      <c r="U5069" t="s">
        <v>51725</v>
      </c>
      <c r="W5069" t="s">
        <v>43302</v>
      </c>
      <c r="X5069" t="s">
        <v>45103</v>
      </c>
    </row>
    <row r="5070" spans="1:24">
      <c r="A5070">
        <f>HYPERLINK("https://www.philgeps.gov.ph/GEPSNONPILOT/Tender/SplashBidNoticeAbstractUI.aspx?menuIndex=3&amp;refID=7038206&amp;Result=3","7038206")</f>
        <v>0</v>
      </c>
      <c r="B5070" t="s">
        <v>1686</v>
      </c>
      <c r="C5070" t="s">
        <v>8045</v>
      </c>
      <c r="D5070" t="s">
        <v>18066</v>
      </c>
      <c r="E5070" t="s">
        <v>22645</v>
      </c>
      <c r="F5070" t="s">
        <v>31574</v>
      </c>
      <c r="G5070" t="s">
        <v>31581</v>
      </c>
      <c r="H5070" t="s">
        <v>31590</v>
      </c>
      <c r="I5070" t="s">
        <v>31600</v>
      </c>
      <c r="J5070" t="s">
        <v>35024</v>
      </c>
      <c r="K5070" t="s">
        <v>41196</v>
      </c>
      <c r="M5070" t="s">
        <v>43299</v>
      </c>
      <c r="N5070" t="s">
        <v>45095</v>
      </c>
      <c r="O5070" t="s">
        <v>45096</v>
      </c>
      <c r="P5070">
        <v>0</v>
      </c>
      <c r="Q5070">
        <v>2</v>
      </c>
      <c r="R5070" t="s">
        <v>45102</v>
      </c>
      <c r="S5070" t="s">
        <v>45242</v>
      </c>
      <c r="T5070" t="s">
        <v>47158</v>
      </c>
      <c r="U5070" t="s">
        <v>51726</v>
      </c>
      <c r="W5070" t="s">
        <v>43299</v>
      </c>
      <c r="X5070" t="s">
        <v>45103</v>
      </c>
    </row>
    <row r="5071" spans="1:24">
      <c r="A5071">
        <f>HYPERLINK("https://www.philgeps.gov.ph/GEPSNONPILOT/Tender/SplashBidNoticeAbstractUI.aspx?menuIndex=3&amp;refID=7038166&amp;Result=3","7038166")</f>
        <v>0</v>
      </c>
      <c r="B5071" t="s">
        <v>1683</v>
      </c>
      <c r="C5071" t="s">
        <v>8046</v>
      </c>
      <c r="D5071" t="s">
        <v>18100</v>
      </c>
      <c r="E5071" t="s">
        <v>22646</v>
      </c>
      <c r="F5071" t="s">
        <v>31574</v>
      </c>
      <c r="G5071" t="s">
        <v>31582</v>
      </c>
      <c r="H5071" t="s">
        <v>31590</v>
      </c>
      <c r="I5071" t="s">
        <v>4046</v>
      </c>
      <c r="J5071" t="s">
        <v>35025</v>
      </c>
      <c r="K5071" t="s">
        <v>41186</v>
      </c>
      <c r="M5071" t="s">
        <v>43296</v>
      </c>
      <c r="N5071" t="s">
        <v>45095</v>
      </c>
      <c r="O5071" t="s">
        <v>45096</v>
      </c>
      <c r="P5071">
        <v>0</v>
      </c>
      <c r="Q5071">
        <v>0</v>
      </c>
      <c r="R5071" t="s">
        <v>45102</v>
      </c>
      <c r="S5071" t="s">
        <v>45242</v>
      </c>
      <c r="T5071" t="s">
        <v>47106</v>
      </c>
      <c r="U5071" t="s">
        <v>51727</v>
      </c>
      <c r="W5071" t="s">
        <v>43296</v>
      </c>
      <c r="X5071" t="s">
        <v>45103</v>
      </c>
    </row>
    <row r="5072" spans="1:24">
      <c r="A5072">
        <f>HYPERLINK("https://www.philgeps.gov.ph/GEPSNONPILOT/Tender/SplashBidNoticeAbstractUI.aspx?menuIndex=3&amp;refID=7038203&amp;Result=3","7038203")</f>
        <v>0</v>
      </c>
      <c r="B5072" t="s">
        <v>781</v>
      </c>
      <c r="C5072" t="s">
        <v>8047</v>
      </c>
      <c r="D5072" t="s">
        <v>18047</v>
      </c>
      <c r="E5072" t="s">
        <v>22647</v>
      </c>
      <c r="F5072" t="s">
        <v>31574</v>
      </c>
      <c r="G5072" t="s">
        <v>31581</v>
      </c>
      <c r="H5072" t="s">
        <v>31590</v>
      </c>
      <c r="I5072" t="s">
        <v>31594</v>
      </c>
      <c r="J5072" t="s">
        <v>35026</v>
      </c>
      <c r="K5072" t="s">
        <v>41184</v>
      </c>
      <c r="M5072" t="s">
        <v>42295</v>
      </c>
      <c r="N5072" t="s">
        <v>45095</v>
      </c>
      <c r="O5072" t="s">
        <v>45096</v>
      </c>
      <c r="P5072">
        <v>0</v>
      </c>
      <c r="Q5072">
        <v>5</v>
      </c>
      <c r="R5072" t="s">
        <v>45102</v>
      </c>
      <c r="S5072" t="s">
        <v>45242</v>
      </c>
      <c r="T5072" t="s">
        <v>47064</v>
      </c>
      <c r="U5072" t="s">
        <v>49139</v>
      </c>
      <c r="W5072" t="s">
        <v>42295</v>
      </c>
      <c r="X5072" t="s">
        <v>45103</v>
      </c>
    </row>
    <row r="5073" spans="1:24">
      <c r="A5073">
        <f>HYPERLINK("https://www.philgeps.gov.ph/GEPSNONPILOT/Tender/SplashBidNoticeAbstractUI.aspx?menuIndex=3&amp;refID=7038179&amp;Result=3","7038179")</f>
        <v>0</v>
      </c>
      <c r="B5073" t="s">
        <v>1032</v>
      </c>
      <c r="C5073" t="s">
        <v>8048</v>
      </c>
      <c r="D5073" t="s">
        <v>18022</v>
      </c>
      <c r="E5073" t="s">
        <v>22648</v>
      </c>
      <c r="F5073" t="s">
        <v>31574</v>
      </c>
      <c r="G5073" t="s">
        <v>31581</v>
      </c>
      <c r="H5073" t="s">
        <v>31590</v>
      </c>
      <c r="I5073" t="s">
        <v>14034</v>
      </c>
      <c r="J5073" t="s">
        <v>32017</v>
      </c>
      <c r="K5073" t="s">
        <v>41184</v>
      </c>
      <c r="M5073" t="s">
        <v>43300</v>
      </c>
      <c r="N5073" t="s">
        <v>45095</v>
      </c>
      <c r="O5073" t="s">
        <v>45096</v>
      </c>
      <c r="P5073">
        <v>0</v>
      </c>
      <c r="Q5073">
        <v>11</v>
      </c>
      <c r="R5073" t="s">
        <v>45102</v>
      </c>
      <c r="S5073" t="s">
        <v>45242</v>
      </c>
      <c r="T5073" t="s">
        <v>47235</v>
      </c>
      <c r="U5073" t="s">
        <v>51728</v>
      </c>
      <c r="W5073" t="s">
        <v>43300</v>
      </c>
      <c r="X5073" t="s">
        <v>45103</v>
      </c>
    </row>
    <row r="5074" spans="1:24">
      <c r="A5074">
        <f>HYPERLINK("https://www.philgeps.gov.ph/GEPSNONPILOT/Tender/SplashBidNoticeAbstractUI.aspx?menuIndex=3&amp;refID=7038199&amp;Result=3","7038199")</f>
        <v>0</v>
      </c>
      <c r="B5074" t="s">
        <v>1689</v>
      </c>
      <c r="C5074" t="s">
        <v>8049</v>
      </c>
      <c r="E5074" t="s">
        <v>22649</v>
      </c>
      <c r="F5074" t="s">
        <v>31574</v>
      </c>
      <c r="G5074" t="s">
        <v>31582</v>
      </c>
      <c r="H5074" t="s">
        <v>31590</v>
      </c>
      <c r="I5074" t="s">
        <v>31615</v>
      </c>
      <c r="J5074" t="s">
        <v>35027</v>
      </c>
      <c r="K5074" t="s">
        <v>41184</v>
      </c>
      <c r="M5074" t="s">
        <v>43303</v>
      </c>
      <c r="N5074" t="s">
        <v>45095</v>
      </c>
      <c r="O5074" t="s">
        <v>45096</v>
      </c>
      <c r="P5074">
        <v>0</v>
      </c>
      <c r="Q5074">
        <v>5</v>
      </c>
      <c r="R5074" t="s">
        <v>45102</v>
      </c>
      <c r="S5074" t="s">
        <v>45242</v>
      </c>
      <c r="T5074" t="s">
        <v>47170</v>
      </c>
      <c r="U5074" t="s">
        <v>51729</v>
      </c>
      <c r="W5074" t="s">
        <v>43303</v>
      </c>
      <c r="X5074" t="s">
        <v>45103</v>
      </c>
    </row>
    <row r="5075" spans="1:24">
      <c r="A5075">
        <f>HYPERLINK("https://www.philgeps.gov.ph/GEPSNONPILOT/Tender/SplashBidNoticeAbstractUI.aspx?menuIndex=3&amp;refID=7038183&amp;Result=3","7038183")</f>
        <v>0</v>
      </c>
      <c r="B5075" t="s">
        <v>781</v>
      </c>
      <c r="C5075" t="s">
        <v>8050</v>
      </c>
      <c r="D5075" t="s">
        <v>18047</v>
      </c>
      <c r="E5075" t="s">
        <v>22650</v>
      </c>
      <c r="F5075" t="s">
        <v>31574</v>
      </c>
      <c r="G5075" t="s">
        <v>31582</v>
      </c>
      <c r="H5075" t="s">
        <v>31590</v>
      </c>
      <c r="I5075" t="s">
        <v>31620</v>
      </c>
      <c r="J5075" t="s">
        <v>35028</v>
      </c>
      <c r="K5075" t="s">
        <v>41184</v>
      </c>
      <c r="M5075" t="s">
        <v>42295</v>
      </c>
      <c r="N5075" t="s">
        <v>45095</v>
      </c>
      <c r="O5075" t="s">
        <v>45096</v>
      </c>
      <c r="P5075">
        <v>0</v>
      </c>
      <c r="Q5075">
        <v>8</v>
      </c>
      <c r="R5075" t="s">
        <v>45102</v>
      </c>
      <c r="S5075" t="s">
        <v>45242</v>
      </c>
      <c r="T5075" t="s">
        <v>47064</v>
      </c>
      <c r="U5075" t="s">
        <v>49139</v>
      </c>
      <c r="W5075" t="s">
        <v>42295</v>
      </c>
      <c r="X5075" t="s">
        <v>45103</v>
      </c>
    </row>
    <row r="5076" spans="1:24">
      <c r="A5076">
        <f>HYPERLINK("https://www.philgeps.gov.ph/GEPSNONPILOT/Tender/SplashBidNoticeAbstractUI.aspx?menuIndex=3&amp;refID=7038205&amp;Result=3","7038205")</f>
        <v>0</v>
      </c>
      <c r="B5076" t="s">
        <v>1690</v>
      </c>
      <c r="C5076" t="s">
        <v>8051</v>
      </c>
      <c r="D5076" t="s">
        <v>18068</v>
      </c>
      <c r="E5076" t="s">
        <v>20886</v>
      </c>
      <c r="F5076" t="s">
        <v>31574</v>
      </c>
      <c r="G5076" t="s">
        <v>31582</v>
      </c>
      <c r="H5076" t="s">
        <v>31591</v>
      </c>
      <c r="I5076" t="s">
        <v>8822</v>
      </c>
      <c r="J5076" t="s">
        <v>35029</v>
      </c>
      <c r="K5076" t="s">
        <v>41198</v>
      </c>
      <c r="M5076" t="s">
        <v>43304</v>
      </c>
      <c r="N5076" t="s">
        <v>45095</v>
      </c>
      <c r="O5076" t="s">
        <v>45096</v>
      </c>
      <c r="P5076">
        <v>0</v>
      </c>
      <c r="Q5076">
        <v>0</v>
      </c>
      <c r="R5076" t="s">
        <v>45102</v>
      </c>
      <c r="S5076" t="s">
        <v>45242</v>
      </c>
      <c r="T5076" t="s">
        <v>47010</v>
      </c>
      <c r="U5076" t="s">
        <v>51730</v>
      </c>
      <c r="W5076" t="s">
        <v>43304</v>
      </c>
      <c r="X5076" t="s">
        <v>45103</v>
      </c>
    </row>
    <row r="5077" spans="1:24">
      <c r="A5077">
        <f>HYPERLINK("https://www.philgeps.gov.ph/GEPSNONPILOT/Tender/SplashBidNoticeAbstractUI.aspx?menuIndex=3&amp;refID=7038190&amp;Result=3","7038190")</f>
        <v>0</v>
      </c>
      <c r="B5077" t="s">
        <v>598</v>
      </c>
      <c r="C5077" t="s">
        <v>8052</v>
      </c>
      <c r="D5077" t="s">
        <v>18022</v>
      </c>
      <c r="E5077" t="s">
        <v>22651</v>
      </c>
      <c r="F5077" t="s">
        <v>31574</v>
      </c>
      <c r="G5077" t="s">
        <v>31581</v>
      </c>
      <c r="H5077" t="s">
        <v>31590</v>
      </c>
      <c r="I5077" t="s">
        <v>14544</v>
      </c>
      <c r="J5077" t="s">
        <v>35030</v>
      </c>
      <c r="K5077" t="s">
        <v>41213</v>
      </c>
      <c r="M5077" t="s">
        <v>42101</v>
      </c>
      <c r="N5077" t="s">
        <v>45095</v>
      </c>
      <c r="O5077" t="s">
        <v>45096</v>
      </c>
      <c r="P5077">
        <v>0</v>
      </c>
      <c r="Q5077">
        <v>0</v>
      </c>
      <c r="R5077" t="s">
        <v>45102</v>
      </c>
      <c r="S5077" t="s">
        <v>45242</v>
      </c>
      <c r="T5077" t="s">
        <v>47067</v>
      </c>
      <c r="U5077" t="s">
        <v>51731</v>
      </c>
      <c r="V5077" t="s">
        <v>59987</v>
      </c>
      <c r="W5077" t="s">
        <v>42101</v>
      </c>
      <c r="X5077" t="s">
        <v>45103</v>
      </c>
    </row>
    <row r="5078" spans="1:24">
      <c r="A5078">
        <f>HYPERLINK("https://www.philgeps.gov.ph/GEPSNONPILOT/Tender/SplashBidNoticeAbstractUI.aspx?menuIndex=3&amp;refID=7038181&amp;Result=3","7038181")</f>
        <v>0</v>
      </c>
      <c r="B5078" t="s">
        <v>781</v>
      </c>
      <c r="C5078" t="s">
        <v>8053</v>
      </c>
      <c r="D5078" t="s">
        <v>18047</v>
      </c>
      <c r="E5078" t="s">
        <v>22652</v>
      </c>
      <c r="F5078" t="s">
        <v>31574</v>
      </c>
      <c r="G5078" t="s">
        <v>31585</v>
      </c>
      <c r="H5078" t="s">
        <v>31590</v>
      </c>
      <c r="I5078" t="s">
        <v>7185</v>
      </c>
      <c r="J5078" t="s">
        <v>35031</v>
      </c>
      <c r="K5078" t="s">
        <v>41184</v>
      </c>
      <c r="M5078" t="s">
        <v>42295</v>
      </c>
      <c r="N5078" t="s">
        <v>45095</v>
      </c>
      <c r="O5078" t="s">
        <v>45096</v>
      </c>
      <c r="P5078">
        <v>0</v>
      </c>
      <c r="Q5078">
        <v>5</v>
      </c>
      <c r="R5078" t="s">
        <v>45102</v>
      </c>
      <c r="S5078" t="s">
        <v>45242</v>
      </c>
      <c r="T5078" t="s">
        <v>47064</v>
      </c>
      <c r="U5078" t="s">
        <v>49139</v>
      </c>
      <c r="W5078" t="s">
        <v>42295</v>
      </c>
      <c r="X5078" t="s">
        <v>45103</v>
      </c>
    </row>
    <row r="5079" spans="1:24">
      <c r="A5079">
        <f>HYPERLINK("https://www.philgeps.gov.ph/GEPSNONPILOT/Tender/SplashBidNoticeAbstractUI.aspx?menuIndex=3&amp;refID=7038198&amp;Result=3","7038198")</f>
        <v>0</v>
      </c>
      <c r="B5079" t="s">
        <v>1686</v>
      </c>
      <c r="C5079" t="s">
        <v>8054</v>
      </c>
      <c r="D5079" t="s">
        <v>18066</v>
      </c>
      <c r="E5079" t="s">
        <v>22653</v>
      </c>
      <c r="F5079" t="s">
        <v>31574</v>
      </c>
      <c r="G5079" t="s">
        <v>31581</v>
      </c>
      <c r="H5079" t="s">
        <v>31590</v>
      </c>
      <c r="I5079" t="s">
        <v>31600</v>
      </c>
      <c r="J5079" t="s">
        <v>35032</v>
      </c>
      <c r="K5079" t="s">
        <v>41196</v>
      </c>
      <c r="M5079" t="s">
        <v>43299</v>
      </c>
      <c r="N5079" t="s">
        <v>45095</v>
      </c>
      <c r="O5079" t="s">
        <v>45096</v>
      </c>
      <c r="P5079">
        <v>0</v>
      </c>
      <c r="Q5079">
        <v>2</v>
      </c>
      <c r="R5079" t="s">
        <v>45102</v>
      </c>
      <c r="S5079" t="s">
        <v>45242</v>
      </c>
      <c r="T5079" t="s">
        <v>47158</v>
      </c>
      <c r="U5079" t="s">
        <v>51732</v>
      </c>
      <c r="W5079" t="s">
        <v>43299</v>
      </c>
      <c r="X5079" t="s">
        <v>45103</v>
      </c>
    </row>
    <row r="5080" spans="1:24">
      <c r="A5080">
        <f>HYPERLINK("https://www.philgeps.gov.ph/GEPSNONPILOT/Tender/SplashBidNoticeAbstractUI.aspx?menuIndex=3&amp;refID=7038208&amp;Result=3","7038208")</f>
        <v>0</v>
      </c>
      <c r="B5080" t="s">
        <v>1689</v>
      </c>
      <c r="C5080" t="s">
        <v>8055</v>
      </c>
      <c r="E5080" t="s">
        <v>22654</v>
      </c>
      <c r="F5080" t="s">
        <v>31574</v>
      </c>
      <c r="G5080" t="s">
        <v>31582</v>
      </c>
      <c r="H5080" t="s">
        <v>31590</v>
      </c>
      <c r="I5080" t="s">
        <v>31615</v>
      </c>
      <c r="J5080" t="s">
        <v>35033</v>
      </c>
      <c r="K5080" t="s">
        <v>41184</v>
      </c>
      <c r="M5080" t="s">
        <v>43303</v>
      </c>
      <c r="N5080" t="s">
        <v>45095</v>
      </c>
      <c r="O5080" t="s">
        <v>45096</v>
      </c>
      <c r="P5080">
        <v>0</v>
      </c>
      <c r="Q5080">
        <v>3</v>
      </c>
      <c r="R5080" t="s">
        <v>45102</v>
      </c>
      <c r="S5080" t="s">
        <v>45242</v>
      </c>
      <c r="T5080" t="s">
        <v>47170</v>
      </c>
      <c r="U5080" t="s">
        <v>51733</v>
      </c>
      <c r="W5080" t="s">
        <v>43303</v>
      </c>
      <c r="X5080" t="s">
        <v>45103</v>
      </c>
    </row>
    <row r="5081" spans="1:24">
      <c r="A5081">
        <f>HYPERLINK("https://www.philgeps.gov.ph/GEPSNONPILOT/Tender/SplashBidNoticeAbstractUI.aspx?menuIndex=3&amp;refID=7038197&amp;Result=3","7038197")</f>
        <v>0</v>
      </c>
      <c r="B5081" t="s">
        <v>247</v>
      </c>
      <c r="C5081" t="s">
        <v>8056</v>
      </c>
      <c r="D5081" t="s">
        <v>18072</v>
      </c>
      <c r="E5081" t="s">
        <v>22655</v>
      </c>
      <c r="F5081" t="s">
        <v>31575</v>
      </c>
      <c r="G5081" t="s">
        <v>31583</v>
      </c>
      <c r="H5081" t="s">
        <v>31590</v>
      </c>
      <c r="I5081" t="s">
        <v>8056</v>
      </c>
      <c r="J5081" t="s">
        <v>32126</v>
      </c>
      <c r="K5081" t="s">
        <v>41190</v>
      </c>
      <c r="M5081" t="s">
        <v>41733</v>
      </c>
      <c r="N5081" t="s">
        <v>45095</v>
      </c>
      <c r="O5081" t="s">
        <v>45096</v>
      </c>
      <c r="P5081">
        <v>0</v>
      </c>
      <c r="Q5081">
        <v>2</v>
      </c>
      <c r="R5081" t="s">
        <v>45102</v>
      </c>
      <c r="S5081" t="s">
        <v>45242</v>
      </c>
      <c r="T5081" t="s">
        <v>46966</v>
      </c>
      <c r="U5081" t="s">
        <v>51734</v>
      </c>
      <c r="W5081" t="s">
        <v>41733</v>
      </c>
      <c r="X5081" t="s">
        <v>45103</v>
      </c>
    </row>
    <row r="5082" spans="1:24">
      <c r="A5082">
        <f>HYPERLINK("https://www.philgeps.gov.ph/GEPSNONPILOT/Tender/SplashBidNoticeAbstractUI.aspx?menuIndex=3&amp;refID=7038196&amp;Result=3","7038196")</f>
        <v>0</v>
      </c>
      <c r="B5082" t="s">
        <v>1032</v>
      </c>
      <c r="C5082" t="s">
        <v>8057</v>
      </c>
      <c r="D5082" t="s">
        <v>18022</v>
      </c>
      <c r="E5082" t="s">
        <v>22656</v>
      </c>
      <c r="F5082" t="s">
        <v>31574</v>
      </c>
      <c r="G5082" t="s">
        <v>31581</v>
      </c>
      <c r="H5082" t="s">
        <v>31590</v>
      </c>
      <c r="I5082" t="s">
        <v>31619</v>
      </c>
      <c r="J5082" t="s">
        <v>32003</v>
      </c>
      <c r="K5082" t="s">
        <v>41184</v>
      </c>
      <c r="M5082" t="s">
        <v>43300</v>
      </c>
      <c r="N5082" t="s">
        <v>45095</v>
      </c>
      <c r="O5082" t="s">
        <v>45096</v>
      </c>
      <c r="P5082">
        <v>0</v>
      </c>
      <c r="Q5082">
        <v>9</v>
      </c>
      <c r="R5082" t="s">
        <v>45102</v>
      </c>
      <c r="S5082" t="s">
        <v>45242</v>
      </c>
      <c r="T5082" t="s">
        <v>47235</v>
      </c>
      <c r="U5082" t="s">
        <v>51735</v>
      </c>
      <c r="W5082" t="s">
        <v>43300</v>
      </c>
      <c r="X5082" t="s">
        <v>45103</v>
      </c>
    </row>
    <row r="5083" spans="1:24">
      <c r="A5083">
        <f>HYPERLINK("https://www.philgeps.gov.ph/GEPSNONPILOT/Tender/SplashBidNoticeAbstractUI.aspx?menuIndex=3&amp;refID=7038218&amp;Result=3","7038218")</f>
        <v>0</v>
      </c>
      <c r="B5083" t="s">
        <v>59</v>
      </c>
      <c r="C5083" t="s">
        <v>8058</v>
      </c>
      <c r="D5083" t="s">
        <v>18048</v>
      </c>
      <c r="E5083" t="s">
        <v>22657</v>
      </c>
      <c r="F5083" t="s">
        <v>31574</v>
      </c>
      <c r="G5083" t="s">
        <v>31583</v>
      </c>
      <c r="H5083" t="s">
        <v>31590</v>
      </c>
      <c r="I5083" t="s">
        <v>4046</v>
      </c>
      <c r="J5083" t="s">
        <v>32931</v>
      </c>
      <c r="K5083" t="s">
        <v>41185</v>
      </c>
      <c r="M5083" t="s">
        <v>41543</v>
      </c>
      <c r="N5083" t="s">
        <v>45095</v>
      </c>
      <c r="O5083" t="s">
        <v>45096</v>
      </c>
      <c r="P5083">
        <v>0</v>
      </c>
      <c r="Q5083">
        <v>0</v>
      </c>
      <c r="R5083" t="s">
        <v>45102</v>
      </c>
      <c r="S5083" t="s">
        <v>45242</v>
      </c>
      <c r="T5083" t="s">
        <v>46973</v>
      </c>
      <c r="U5083" t="s">
        <v>51736</v>
      </c>
      <c r="V5083" t="s">
        <v>59856</v>
      </c>
      <c r="W5083" t="s">
        <v>41543</v>
      </c>
      <c r="X5083" t="s">
        <v>45103</v>
      </c>
    </row>
    <row r="5084" spans="1:24">
      <c r="A5084">
        <f>HYPERLINK("https://www.philgeps.gov.ph/GEPSNONPILOT/Tender/SplashBidNoticeAbstractUI.aspx?menuIndex=3&amp;refID=7038222&amp;Result=3","7038222")</f>
        <v>0</v>
      </c>
      <c r="B5084" t="s">
        <v>408</v>
      </c>
      <c r="C5084" t="s">
        <v>8059</v>
      </c>
      <c r="D5084" t="s">
        <v>18059</v>
      </c>
      <c r="E5084" t="s">
        <v>22658</v>
      </c>
      <c r="F5084" t="s">
        <v>31574</v>
      </c>
      <c r="G5084" t="s">
        <v>31582</v>
      </c>
      <c r="H5084" t="s">
        <v>31590</v>
      </c>
      <c r="I5084" t="s">
        <v>7185</v>
      </c>
      <c r="J5084" t="s">
        <v>31819</v>
      </c>
      <c r="K5084" t="s">
        <v>41184</v>
      </c>
      <c r="M5084" t="s">
        <v>41899</v>
      </c>
      <c r="N5084" t="s">
        <v>45095</v>
      </c>
      <c r="O5084" t="s">
        <v>45096</v>
      </c>
      <c r="P5084">
        <v>0</v>
      </c>
      <c r="Q5084">
        <v>4</v>
      </c>
      <c r="R5084" t="s">
        <v>45102</v>
      </c>
      <c r="S5084" t="s">
        <v>45242</v>
      </c>
      <c r="T5084" t="s">
        <v>47237</v>
      </c>
      <c r="U5084" t="s">
        <v>51737</v>
      </c>
      <c r="W5084" t="s">
        <v>41899</v>
      </c>
      <c r="X5084" t="s">
        <v>45103</v>
      </c>
    </row>
    <row r="5085" spans="1:24">
      <c r="A5085">
        <f>HYPERLINK("https://www.philgeps.gov.ph/GEPSNONPILOT/Tender/SplashBidNoticeAbstractUI.aspx?menuIndex=3&amp;refID=7038214&amp;Result=3","7038214")</f>
        <v>0</v>
      </c>
      <c r="B5085" t="s">
        <v>1689</v>
      </c>
      <c r="C5085" t="s">
        <v>8060</v>
      </c>
      <c r="E5085" t="s">
        <v>22659</v>
      </c>
      <c r="F5085" t="s">
        <v>31574</v>
      </c>
      <c r="G5085" t="s">
        <v>31582</v>
      </c>
      <c r="H5085" t="s">
        <v>31590</v>
      </c>
      <c r="I5085" t="s">
        <v>31629</v>
      </c>
      <c r="J5085" t="s">
        <v>35034</v>
      </c>
      <c r="K5085" t="s">
        <v>41184</v>
      </c>
      <c r="M5085" t="s">
        <v>43303</v>
      </c>
      <c r="N5085" t="s">
        <v>45095</v>
      </c>
      <c r="O5085" t="s">
        <v>45096</v>
      </c>
      <c r="P5085">
        <v>0</v>
      </c>
      <c r="Q5085">
        <v>0</v>
      </c>
      <c r="R5085" t="s">
        <v>45102</v>
      </c>
      <c r="S5085" t="s">
        <v>45242</v>
      </c>
      <c r="T5085" t="s">
        <v>47170</v>
      </c>
      <c r="U5085" t="s">
        <v>51738</v>
      </c>
      <c r="W5085" t="s">
        <v>43303</v>
      </c>
      <c r="X5085" t="s">
        <v>45103</v>
      </c>
    </row>
    <row r="5086" spans="1:24">
      <c r="A5086">
        <f>HYPERLINK("https://www.philgeps.gov.ph/GEPSNONPILOT/Tender/SplashBidNoticeAbstractUI.aspx?menuIndex=3&amp;refID=7038215&amp;Result=3","7038215")</f>
        <v>0</v>
      </c>
      <c r="B5086" t="s">
        <v>1691</v>
      </c>
      <c r="C5086" t="s">
        <v>8061</v>
      </c>
      <c r="D5086" t="s">
        <v>18052</v>
      </c>
      <c r="E5086" t="s">
        <v>20665</v>
      </c>
      <c r="F5086" t="s">
        <v>31575</v>
      </c>
      <c r="G5086" t="s">
        <v>31583</v>
      </c>
      <c r="H5086" t="s">
        <v>31590</v>
      </c>
      <c r="I5086" t="s">
        <v>5717</v>
      </c>
      <c r="J5086" t="s">
        <v>35035</v>
      </c>
      <c r="K5086" t="s">
        <v>41197</v>
      </c>
      <c r="M5086" t="s">
        <v>43305</v>
      </c>
      <c r="N5086" t="s">
        <v>45095</v>
      </c>
      <c r="O5086" t="s">
        <v>45096</v>
      </c>
      <c r="P5086">
        <v>0</v>
      </c>
      <c r="Q5086">
        <v>0</v>
      </c>
      <c r="R5086" t="s">
        <v>45102</v>
      </c>
      <c r="S5086" t="s">
        <v>45242</v>
      </c>
      <c r="T5086" t="s">
        <v>47162</v>
      </c>
      <c r="U5086" t="s">
        <v>51739</v>
      </c>
      <c r="W5086" t="s">
        <v>43305</v>
      </c>
      <c r="X5086" t="s">
        <v>45103</v>
      </c>
    </row>
    <row r="5087" spans="1:24">
      <c r="A5087">
        <f>HYPERLINK("https://www.philgeps.gov.ph/GEPSNONPILOT/Tender/SplashBidNoticeAbstractUI.aspx?menuIndex=3&amp;refID=7038232&amp;Result=3","7038232")</f>
        <v>0</v>
      </c>
      <c r="B5087" t="s">
        <v>1686</v>
      </c>
      <c r="C5087" t="s">
        <v>8062</v>
      </c>
      <c r="D5087" t="s">
        <v>18066</v>
      </c>
      <c r="E5087" t="s">
        <v>22660</v>
      </c>
      <c r="F5087" t="s">
        <v>31574</v>
      </c>
      <c r="G5087" t="s">
        <v>31581</v>
      </c>
      <c r="H5087" t="s">
        <v>31590</v>
      </c>
      <c r="I5087" t="s">
        <v>31600</v>
      </c>
      <c r="J5087" t="s">
        <v>32902</v>
      </c>
      <c r="K5087" t="s">
        <v>41196</v>
      </c>
      <c r="M5087" t="s">
        <v>43299</v>
      </c>
      <c r="N5087" t="s">
        <v>45095</v>
      </c>
      <c r="O5087" t="s">
        <v>45096</v>
      </c>
      <c r="P5087">
        <v>0</v>
      </c>
      <c r="Q5087">
        <v>2</v>
      </c>
      <c r="R5087" t="s">
        <v>45102</v>
      </c>
      <c r="S5087" t="s">
        <v>45242</v>
      </c>
      <c r="T5087" t="s">
        <v>47158</v>
      </c>
      <c r="U5087" t="s">
        <v>51740</v>
      </c>
      <c r="W5087" t="s">
        <v>43299</v>
      </c>
      <c r="X5087" t="s">
        <v>45103</v>
      </c>
    </row>
    <row r="5088" spans="1:24">
      <c r="A5088">
        <f>HYPERLINK("https://www.philgeps.gov.ph/GEPSNONPILOT/Tender/SplashBidNoticeAbstractUI.aspx?menuIndex=3&amp;refID=7038209&amp;Result=3","7038209")</f>
        <v>0</v>
      </c>
      <c r="B5088" t="s">
        <v>781</v>
      </c>
      <c r="C5088" t="s">
        <v>8063</v>
      </c>
      <c r="D5088" t="s">
        <v>18047</v>
      </c>
      <c r="E5088" t="s">
        <v>22661</v>
      </c>
      <c r="F5088" t="s">
        <v>31574</v>
      </c>
      <c r="G5088" t="s">
        <v>31581</v>
      </c>
      <c r="H5088" t="s">
        <v>31590</v>
      </c>
      <c r="I5088" t="s">
        <v>14544</v>
      </c>
      <c r="J5088" t="s">
        <v>32017</v>
      </c>
      <c r="K5088" t="s">
        <v>41184</v>
      </c>
      <c r="M5088" t="s">
        <v>42295</v>
      </c>
      <c r="N5088" t="s">
        <v>45095</v>
      </c>
      <c r="O5088" t="s">
        <v>45096</v>
      </c>
      <c r="P5088">
        <v>0</v>
      </c>
      <c r="Q5088">
        <v>1</v>
      </c>
      <c r="R5088" t="s">
        <v>45102</v>
      </c>
      <c r="S5088" t="s">
        <v>45242</v>
      </c>
      <c r="T5088" t="s">
        <v>47064</v>
      </c>
      <c r="U5088" t="s">
        <v>49139</v>
      </c>
      <c r="W5088" t="s">
        <v>42295</v>
      </c>
      <c r="X5088" t="s">
        <v>45103</v>
      </c>
    </row>
    <row r="5089" spans="1:24">
      <c r="A5089">
        <f>HYPERLINK("https://www.philgeps.gov.ph/GEPSNONPILOT/Tender/SplashBidNoticeAbstractUI.aspx?menuIndex=3&amp;refID=7038230&amp;Result=3","7038230")</f>
        <v>0</v>
      </c>
      <c r="B5089" t="s">
        <v>1689</v>
      </c>
      <c r="C5089" t="s">
        <v>8064</v>
      </c>
      <c r="E5089" t="s">
        <v>22662</v>
      </c>
      <c r="F5089" t="s">
        <v>31574</v>
      </c>
      <c r="G5089" t="s">
        <v>31582</v>
      </c>
      <c r="H5089" t="s">
        <v>31590</v>
      </c>
      <c r="I5089" t="s">
        <v>4327</v>
      </c>
      <c r="J5089" t="s">
        <v>35036</v>
      </c>
      <c r="K5089" t="s">
        <v>41184</v>
      </c>
      <c r="M5089" t="s">
        <v>43303</v>
      </c>
      <c r="N5089" t="s">
        <v>45095</v>
      </c>
      <c r="O5089" t="s">
        <v>45096</v>
      </c>
      <c r="P5089">
        <v>0</v>
      </c>
      <c r="Q5089">
        <v>3</v>
      </c>
      <c r="R5089" t="s">
        <v>45102</v>
      </c>
      <c r="S5089" t="s">
        <v>45242</v>
      </c>
      <c r="T5089" t="s">
        <v>47170</v>
      </c>
      <c r="U5089" t="s">
        <v>51741</v>
      </c>
      <c r="W5089" t="s">
        <v>43303</v>
      </c>
      <c r="X5089" t="s">
        <v>45103</v>
      </c>
    </row>
    <row r="5090" spans="1:24">
      <c r="A5090">
        <f>HYPERLINK("https://www.philgeps.gov.ph/GEPSNONPILOT/Tender/SplashBidNoticeAbstractUI.aspx?menuIndex=3&amp;refID=7038228&amp;Result=3","7038228")</f>
        <v>0</v>
      </c>
      <c r="B5090" t="s">
        <v>1692</v>
      </c>
      <c r="C5090" t="s">
        <v>8065</v>
      </c>
      <c r="D5090" t="s">
        <v>18037</v>
      </c>
      <c r="E5090" t="s">
        <v>22663</v>
      </c>
      <c r="F5090" t="s">
        <v>31574</v>
      </c>
      <c r="G5090" t="s">
        <v>31582</v>
      </c>
      <c r="H5090" t="s">
        <v>31590</v>
      </c>
      <c r="I5090" t="s">
        <v>31607</v>
      </c>
      <c r="J5090" t="s">
        <v>35037</v>
      </c>
      <c r="K5090" t="s">
        <v>41185</v>
      </c>
      <c r="M5090" t="s">
        <v>43306</v>
      </c>
      <c r="N5090" t="s">
        <v>45095</v>
      </c>
      <c r="O5090" t="s">
        <v>45096</v>
      </c>
      <c r="P5090">
        <v>0</v>
      </c>
      <c r="Q5090">
        <v>2</v>
      </c>
      <c r="R5090" t="s">
        <v>45102</v>
      </c>
      <c r="S5090" t="s">
        <v>45242</v>
      </c>
      <c r="T5090" t="s">
        <v>46933</v>
      </c>
      <c r="U5090" t="s">
        <v>51742</v>
      </c>
      <c r="W5090" t="s">
        <v>43306</v>
      </c>
      <c r="X5090" t="s">
        <v>45103</v>
      </c>
    </row>
    <row r="5091" spans="1:24">
      <c r="A5091">
        <f>HYPERLINK("https://www.philgeps.gov.ph/GEPSNONPILOT/Tender/SplashBidNoticeAbstractUI.aspx?menuIndex=3&amp;refID=7038210&amp;Result=3","7038210")</f>
        <v>0</v>
      </c>
      <c r="B5091" t="s">
        <v>1689</v>
      </c>
      <c r="C5091" t="s">
        <v>8066</v>
      </c>
      <c r="E5091" t="s">
        <v>22664</v>
      </c>
      <c r="F5091" t="s">
        <v>31574</v>
      </c>
      <c r="G5091" t="s">
        <v>31582</v>
      </c>
      <c r="H5091" t="s">
        <v>31590</v>
      </c>
      <c r="I5091" t="s">
        <v>4354</v>
      </c>
      <c r="J5091" t="s">
        <v>35038</v>
      </c>
      <c r="K5091" t="s">
        <v>41184</v>
      </c>
      <c r="M5091" t="s">
        <v>43303</v>
      </c>
      <c r="N5091" t="s">
        <v>45095</v>
      </c>
      <c r="O5091" t="s">
        <v>45096</v>
      </c>
      <c r="P5091">
        <v>0</v>
      </c>
      <c r="Q5091">
        <v>2</v>
      </c>
      <c r="R5091" t="s">
        <v>45102</v>
      </c>
      <c r="S5091" t="s">
        <v>45242</v>
      </c>
      <c r="T5091" t="s">
        <v>47170</v>
      </c>
      <c r="U5091" t="s">
        <v>51743</v>
      </c>
      <c r="W5091" t="s">
        <v>43303</v>
      </c>
      <c r="X5091" t="s">
        <v>45103</v>
      </c>
    </row>
    <row r="5092" spans="1:24">
      <c r="A5092">
        <f>HYPERLINK("https://www.philgeps.gov.ph/GEPSNONPILOT/Tender/SplashBidNoticeAbstractUI.aspx?menuIndex=3&amp;refID=7038231&amp;Result=3","7038231")</f>
        <v>0</v>
      </c>
      <c r="B5092" t="s">
        <v>636</v>
      </c>
      <c r="C5092" t="s">
        <v>8067</v>
      </c>
      <c r="D5092" t="s">
        <v>18022</v>
      </c>
      <c r="E5092" t="s">
        <v>21089</v>
      </c>
      <c r="F5092" t="s">
        <v>31574</v>
      </c>
      <c r="G5092" t="s">
        <v>31581</v>
      </c>
      <c r="H5092" t="s">
        <v>31590</v>
      </c>
      <c r="I5092" t="s">
        <v>3489</v>
      </c>
      <c r="J5092" t="s">
        <v>31845</v>
      </c>
      <c r="K5092" t="s">
        <v>41184</v>
      </c>
      <c r="M5092" t="s">
        <v>42140</v>
      </c>
      <c r="N5092" t="s">
        <v>45095</v>
      </c>
      <c r="O5092" t="s">
        <v>45096</v>
      </c>
      <c r="P5092">
        <v>0</v>
      </c>
      <c r="Q5092">
        <v>1</v>
      </c>
      <c r="R5092" t="s">
        <v>45102</v>
      </c>
      <c r="S5092" t="s">
        <v>45242</v>
      </c>
      <c r="T5092" t="s">
        <v>47164</v>
      </c>
      <c r="U5092" t="s">
        <v>48788</v>
      </c>
      <c r="W5092" t="s">
        <v>42140</v>
      </c>
      <c r="X5092" t="s">
        <v>45103</v>
      </c>
    </row>
    <row r="5093" spans="1:24">
      <c r="A5093">
        <f>HYPERLINK("https://www.philgeps.gov.ph/GEPSNONPILOT/Tender/SplashBidNoticeAbstractUI.aspx?menuIndex=3&amp;refID=7038227&amp;Result=3","7038227")</f>
        <v>0</v>
      </c>
      <c r="B5093" t="s">
        <v>1009</v>
      </c>
      <c r="C5093" t="s">
        <v>8068</v>
      </c>
      <c r="D5093" t="s">
        <v>18036</v>
      </c>
      <c r="E5093" t="s">
        <v>8068</v>
      </c>
      <c r="F5093" t="s">
        <v>31574</v>
      </c>
      <c r="G5093" t="s">
        <v>31581</v>
      </c>
      <c r="H5093" t="s">
        <v>31590</v>
      </c>
      <c r="I5093" t="s">
        <v>5717</v>
      </c>
      <c r="J5093" t="s">
        <v>35039</v>
      </c>
      <c r="K5093" t="s">
        <v>41193</v>
      </c>
      <c r="M5093" t="s">
        <v>42549</v>
      </c>
      <c r="N5093" t="s">
        <v>45095</v>
      </c>
      <c r="O5093" t="s">
        <v>45096</v>
      </c>
      <c r="P5093">
        <v>0</v>
      </c>
      <c r="Q5093">
        <v>0</v>
      </c>
      <c r="R5093" t="s">
        <v>45102</v>
      </c>
      <c r="S5093" t="s">
        <v>45242</v>
      </c>
      <c r="T5093" t="s">
        <v>46952</v>
      </c>
      <c r="U5093" t="s">
        <v>51744</v>
      </c>
      <c r="W5093" t="s">
        <v>42549</v>
      </c>
      <c r="X5093" t="s">
        <v>45103</v>
      </c>
    </row>
    <row r="5094" spans="1:24">
      <c r="A5094">
        <f>HYPERLINK("https://www.philgeps.gov.ph/GEPSNONPILOT/Tender/SplashBidNoticeAbstractUI.aspx?menuIndex=3&amp;refID=7038224&amp;Result=3","7038224")</f>
        <v>0</v>
      </c>
      <c r="B5094" t="s">
        <v>1439</v>
      </c>
      <c r="C5094" t="s">
        <v>8069</v>
      </c>
      <c r="D5094" t="s">
        <v>18046</v>
      </c>
      <c r="E5094" t="s">
        <v>22665</v>
      </c>
      <c r="F5094" t="s">
        <v>31574</v>
      </c>
      <c r="G5094" t="s">
        <v>31581</v>
      </c>
      <c r="H5094" t="s">
        <v>31590</v>
      </c>
      <c r="I5094" t="s">
        <v>7185</v>
      </c>
      <c r="J5094" t="s">
        <v>32375</v>
      </c>
      <c r="K5094" t="s">
        <v>41196</v>
      </c>
      <c r="L5094" t="s">
        <v>1439</v>
      </c>
      <c r="M5094" t="s">
        <v>43015</v>
      </c>
      <c r="N5094" t="s">
        <v>45095</v>
      </c>
      <c r="O5094" t="s">
        <v>45096</v>
      </c>
      <c r="P5094">
        <v>0</v>
      </c>
      <c r="Q5094">
        <v>2</v>
      </c>
      <c r="R5094" t="s">
        <v>45102</v>
      </c>
      <c r="S5094" t="s">
        <v>45242</v>
      </c>
      <c r="T5094" t="s">
        <v>47178</v>
      </c>
      <c r="U5094" t="s">
        <v>51745</v>
      </c>
      <c r="V5094" t="s">
        <v>60385</v>
      </c>
      <c r="W5094" t="s">
        <v>43015</v>
      </c>
      <c r="X5094" t="s">
        <v>45103</v>
      </c>
    </row>
    <row r="5095" spans="1:24">
      <c r="A5095">
        <f>HYPERLINK("https://www.philgeps.gov.ph/GEPSNONPILOT/Tender/SplashBidNoticeAbstractUI.aspx?menuIndex=3&amp;refID=7038236&amp;Result=3","7038236")</f>
        <v>0</v>
      </c>
      <c r="B5095" t="s">
        <v>1689</v>
      </c>
      <c r="C5095" t="s">
        <v>8070</v>
      </c>
      <c r="E5095" t="s">
        <v>22666</v>
      </c>
      <c r="F5095" t="s">
        <v>31574</v>
      </c>
      <c r="G5095" t="s">
        <v>31582</v>
      </c>
      <c r="H5095" t="s">
        <v>31590</v>
      </c>
      <c r="I5095" t="s">
        <v>14034</v>
      </c>
      <c r="J5095" t="s">
        <v>35040</v>
      </c>
      <c r="K5095" t="s">
        <v>41184</v>
      </c>
      <c r="M5095" t="s">
        <v>43303</v>
      </c>
      <c r="N5095" t="s">
        <v>45095</v>
      </c>
      <c r="O5095" t="s">
        <v>45096</v>
      </c>
      <c r="P5095">
        <v>0</v>
      </c>
      <c r="Q5095">
        <v>0</v>
      </c>
      <c r="R5095" t="s">
        <v>45102</v>
      </c>
      <c r="S5095" t="s">
        <v>45242</v>
      </c>
      <c r="T5095" t="s">
        <v>47170</v>
      </c>
      <c r="U5095" t="s">
        <v>51746</v>
      </c>
      <c r="W5095" t="s">
        <v>43303</v>
      </c>
      <c r="X5095" t="s">
        <v>45103</v>
      </c>
    </row>
    <row r="5096" spans="1:24">
      <c r="A5096">
        <f>HYPERLINK("https://www.philgeps.gov.ph/GEPSNONPILOT/Tender/SplashBidNoticeAbstractUI.aspx?menuIndex=3&amp;refID=7038217&amp;Result=3","7038217")</f>
        <v>0</v>
      </c>
      <c r="B5096" t="s">
        <v>1686</v>
      </c>
      <c r="C5096" t="s">
        <v>8071</v>
      </c>
      <c r="D5096" t="s">
        <v>18066</v>
      </c>
      <c r="E5096" t="s">
        <v>22667</v>
      </c>
      <c r="F5096" t="s">
        <v>31574</v>
      </c>
      <c r="G5096" t="s">
        <v>31581</v>
      </c>
      <c r="H5096" t="s">
        <v>31590</v>
      </c>
      <c r="I5096" t="s">
        <v>31600</v>
      </c>
      <c r="J5096" t="s">
        <v>35041</v>
      </c>
      <c r="K5096" t="s">
        <v>41196</v>
      </c>
      <c r="M5096" t="s">
        <v>43299</v>
      </c>
      <c r="N5096" t="s">
        <v>45095</v>
      </c>
      <c r="O5096" t="s">
        <v>45096</v>
      </c>
      <c r="P5096">
        <v>0</v>
      </c>
      <c r="Q5096">
        <v>2</v>
      </c>
      <c r="R5096" t="s">
        <v>45102</v>
      </c>
      <c r="S5096" t="s">
        <v>45242</v>
      </c>
      <c r="T5096" t="s">
        <v>47158</v>
      </c>
      <c r="U5096" t="s">
        <v>51747</v>
      </c>
      <c r="W5096" t="s">
        <v>43299</v>
      </c>
      <c r="X5096" t="s">
        <v>45103</v>
      </c>
    </row>
    <row r="5097" spans="1:24">
      <c r="A5097">
        <f>HYPERLINK("https://www.philgeps.gov.ph/GEPSNONPILOT/Tender/SplashBidNoticeAbstractUI.aspx?menuIndex=3&amp;refID=7038220&amp;Result=3","7038220")</f>
        <v>0</v>
      </c>
      <c r="B5097" t="s">
        <v>1689</v>
      </c>
      <c r="C5097" t="s">
        <v>8072</v>
      </c>
      <c r="E5097" t="s">
        <v>22668</v>
      </c>
      <c r="F5097" t="s">
        <v>31574</v>
      </c>
      <c r="G5097" t="s">
        <v>31582</v>
      </c>
      <c r="H5097" t="s">
        <v>31590</v>
      </c>
      <c r="I5097" t="s">
        <v>7185</v>
      </c>
      <c r="J5097" t="s">
        <v>35042</v>
      </c>
      <c r="K5097" t="s">
        <v>41184</v>
      </c>
      <c r="M5097" t="s">
        <v>43303</v>
      </c>
      <c r="N5097" t="s">
        <v>45095</v>
      </c>
      <c r="O5097" t="s">
        <v>45096</v>
      </c>
      <c r="P5097">
        <v>0</v>
      </c>
      <c r="Q5097">
        <v>3</v>
      </c>
      <c r="R5097" t="s">
        <v>45102</v>
      </c>
      <c r="S5097" t="s">
        <v>45242</v>
      </c>
      <c r="T5097" t="s">
        <v>47170</v>
      </c>
      <c r="U5097" t="s">
        <v>51748</v>
      </c>
      <c r="W5097" t="s">
        <v>43303</v>
      </c>
      <c r="X5097" t="s">
        <v>45103</v>
      </c>
    </row>
    <row r="5098" spans="1:24">
      <c r="A5098">
        <f>HYPERLINK("https://www.philgeps.gov.ph/GEPSNONPILOT/Tender/SplashBidNoticeAbstractUI.aspx?menuIndex=3&amp;refID=7038237&amp;Result=3","7038237")</f>
        <v>0</v>
      </c>
      <c r="B5098" t="s">
        <v>1693</v>
      </c>
      <c r="C5098" t="s">
        <v>8073</v>
      </c>
      <c r="E5098" t="s">
        <v>8073</v>
      </c>
      <c r="F5098" t="s">
        <v>31574</v>
      </c>
      <c r="G5098" t="s">
        <v>31582</v>
      </c>
      <c r="H5098" t="s">
        <v>31591</v>
      </c>
      <c r="I5098" t="s">
        <v>8822</v>
      </c>
      <c r="J5098" t="s">
        <v>35043</v>
      </c>
      <c r="K5098" t="s">
        <v>41184</v>
      </c>
      <c r="M5098" t="s">
        <v>43307</v>
      </c>
      <c r="N5098" t="s">
        <v>45095</v>
      </c>
      <c r="O5098" t="s">
        <v>45096</v>
      </c>
      <c r="P5098">
        <v>0</v>
      </c>
      <c r="Q5098">
        <v>1</v>
      </c>
      <c r="R5098" t="s">
        <v>45102</v>
      </c>
      <c r="S5098" t="s">
        <v>45242</v>
      </c>
      <c r="T5098" t="s">
        <v>46911</v>
      </c>
      <c r="U5098" t="s">
        <v>51749</v>
      </c>
      <c r="W5098" t="s">
        <v>43307</v>
      </c>
      <c r="X5098" t="s">
        <v>45103</v>
      </c>
    </row>
    <row r="5099" spans="1:24">
      <c r="A5099">
        <f>HYPERLINK("https://www.philgeps.gov.ph/GEPSNONPILOT/Tender/SplashBidNoticeAbstractUI.aspx?menuIndex=3&amp;refID=7038234&amp;Result=3","7038234")</f>
        <v>0</v>
      </c>
      <c r="B5099" t="s">
        <v>408</v>
      </c>
      <c r="C5099" t="s">
        <v>8074</v>
      </c>
      <c r="D5099" t="s">
        <v>18059</v>
      </c>
      <c r="E5099" t="s">
        <v>22669</v>
      </c>
      <c r="F5099" t="s">
        <v>31574</v>
      </c>
      <c r="G5099" t="s">
        <v>31582</v>
      </c>
      <c r="H5099" t="s">
        <v>31590</v>
      </c>
      <c r="I5099" t="s">
        <v>7185</v>
      </c>
      <c r="J5099" t="s">
        <v>35044</v>
      </c>
      <c r="K5099" t="s">
        <v>41184</v>
      </c>
      <c r="M5099" t="s">
        <v>41899</v>
      </c>
      <c r="N5099" t="s">
        <v>45095</v>
      </c>
      <c r="O5099" t="s">
        <v>45096</v>
      </c>
      <c r="P5099">
        <v>0</v>
      </c>
      <c r="Q5099">
        <v>2</v>
      </c>
      <c r="R5099" t="s">
        <v>45102</v>
      </c>
      <c r="S5099" t="s">
        <v>45242</v>
      </c>
      <c r="T5099" t="s">
        <v>46938</v>
      </c>
      <c r="U5099" t="s">
        <v>51750</v>
      </c>
      <c r="W5099" t="s">
        <v>41899</v>
      </c>
      <c r="X5099" t="s">
        <v>45103</v>
      </c>
    </row>
    <row r="5100" spans="1:24">
      <c r="A5100">
        <f>HYPERLINK("https://www.philgeps.gov.ph/GEPSNONPILOT/Tender/SplashBidNoticeAbstractUI.aspx?menuIndex=3&amp;refID=7038223&amp;Result=3","7038223")</f>
        <v>0</v>
      </c>
      <c r="B5100" t="s">
        <v>1694</v>
      </c>
      <c r="C5100" t="s">
        <v>8075</v>
      </c>
      <c r="D5100" t="s">
        <v>18039</v>
      </c>
      <c r="E5100" t="s">
        <v>18533</v>
      </c>
      <c r="F5100" t="s">
        <v>31574</v>
      </c>
      <c r="G5100" t="s">
        <v>31582</v>
      </c>
      <c r="H5100" t="s">
        <v>31590</v>
      </c>
      <c r="I5100" t="s">
        <v>31615</v>
      </c>
      <c r="J5100" t="s">
        <v>31744</v>
      </c>
      <c r="K5100" t="s">
        <v>41186</v>
      </c>
      <c r="M5100" t="s">
        <v>43308</v>
      </c>
      <c r="N5100" t="s">
        <v>45095</v>
      </c>
      <c r="O5100" t="s">
        <v>45096</v>
      </c>
      <c r="P5100">
        <v>0</v>
      </c>
      <c r="Q5100">
        <v>0</v>
      </c>
      <c r="R5100" t="s">
        <v>45102</v>
      </c>
      <c r="S5100" t="s">
        <v>45242</v>
      </c>
      <c r="T5100" t="s">
        <v>46930</v>
      </c>
      <c r="U5100" t="s">
        <v>51751</v>
      </c>
      <c r="W5100" t="s">
        <v>43308</v>
      </c>
      <c r="X5100" t="s">
        <v>45103</v>
      </c>
    </row>
    <row r="5101" spans="1:24">
      <c r="A5101">
        <f>HYPERLINK("https://www.philgeps.gov.ph/GEPSNONPILOT/Tender/SplashBidNoticeAbstractUI.aspx?menuIndex=3&amp;refID=7038235&amp;Result=3","7038235")</f>
        <v>0</v>
      </c>
      <c r="B5101" t="s">
        <v>1695</v>
      </c>
      <c r="C5101" t="s">
        <v>8076</v>
      </c>
      <c r="D5101" t="s">
        <v>18094</v>
      </c>
      <c r="E5101" t="s">
        <v>19935</v>
      </c>
      <c r="F5101" t="s">
        <v>31574</v>
      </c>
      <c r="G5101" t="s">
        <v>31582</v>
      </c>
      <c r="H5101" t="s">
        <v>31591</v>
      </c>
      <c r="I5101" t="s">
        <v>8822</v>
      </c>
      <c r="J5101" t="s">
        <v>35045</v>
      </c>
      <c r="K5101" t="s">
        <v>41192</v>
      </c>
      <c r="M5101" t="s">
        <v>43309</v>
      </c>
      <c r="N5101" t="s">
        <v>45095</v>
      </c>
      <c r="O5101" t="s">
        <v>45096</v>
      </c>
      <c r="P5101">
        <v>0</v>
      </c>
      <c r="Q5101">
        <v>2</v>
      </c>
      <c r="R5101" t="s">
        <v>45102</v>
      </c>
      <c r="S5101" t="s">
        <v>45242</v>
      </c>
      <c r="T5101" t="s">
        <v>47238</v>
      </c>
      <c r="U5101" t="s">
        <v>51752</v>
      </c>
      <c r="V5101" t="s">
        <v>60386</v>
      </c>
      <c r="W5101" t="s">
        <v>43309</v>
      </c>
      <c r="X5101" t="s">
        <v>45103</v>
      </c>
    </row>
    <row r="5102" spans="1:24">
      <c r="A5102">
        <f>HYPERLINK("https://www.philgeps.gov.ph/GEPSNONPILOT/Tender/SplashBidNoticeAbstractUI.aspx?menuIndex=3&amp;refID=7038238&amp;Result=3","7038238")</f>
        <v>0</v>
      </c>
      <c r="B5102" t="s">
        <v>1696</v>
      </c>
      <c r="C5102" t="s">
        <v>8077</v>
      </c>
      <c r="D5102" t="s">
        <v>18046</v>
      </c>
      <c r="E5102" t="s">
        <v>22670</v>
      </c>
      <c r="F5102" t="s">
        <v>31574</v>
      </c>
      <c r="G5102" t="s">
        <v>31582</v>
      </c>
      <c r="H5102" t="s">
        <v>31590</v>
      </c>
      <c r="I5102" t="s">
        <v>31602</v>
      </c>
      <c r="J5102" t="s">
        <v>35046</v>
      </c>
      <c r="K5102" t="s">
        <v>41190</v>
      </c>
      <c r="M5102" t="s">
        <v>43310</v>
      </c>
      <c r="N5102" t="s">
        <v>45095</v>
      </c>
      <c r="O5102" t="s">
        <v>45096</v>
      </c>
      <c r="P5102">
        <v>0</v>
      </c>
      <c r="Q5102">
        <v>0</v>
      </c>
      <c r="R5102" t="s">
        <v>45102</v>
      </c>
      <c r="S5102" t="s">
        <v>45242</v>
      </c>
      <c r="T5102" t="s">
        <v>46914</v>
      </c>
      <c r="U5102" t="s">
        <v>51753</v>
      </c>
      <c r="V5102" t="s">
        <v>60387</v>
      </c>
      <c r="W5102" t="s">
        <v>43310</v>
      </c>
      <c r="X5102" t="s">
        <v>45103</v>
      </c>
    </row>
    <row r="5103" spans="1:24">
      <c r="A5103">
        <f>HYPERLINK("https://www.philgeps.gov.ph/GEPSNONPILOT/Tender/SplashBidNoticeAbstractUI.aspx?menuIndex=3&amp;refID=7038245&amp;Result=3","7038245")</f>
        <v>0</v>
      </c>
      <c r="B5103" t="s">
        <v>781</v>
      </c>
      <c r="C5103" t="s">
        <v>8078</v>
      </c>
      <c r="D5103" t="s">
        <v>18047</v>
      </c>
      <c r="E5103" t="s">
        <v>22671</v>
      </c>
      <c r="F5103" t="s">
        <v>31574</v>
      </c>
      <c r="G5103" t="s">
        <v>31581</v>
      </c>
      <c r="H5103" t="s">
        <v>31590</v>
      </c>
      <c r="I5103" t="s">
        <v>14544</v>
      </c>
      <c r="J5103" t="s">
        <v>35047</v>
      </c>
      <c r="K5103" t="s">
        <v>41184</v>
      </c>
      <c r="M5103" t="s">
        <v>42295</v>
      </c>
      <c r="N5103" t="s">
        <v>45095</v>
      </c>
      <c r="O5103" t="s">
        <v>45096</v>
      </c>
      <c r="P5103">
        <v>0</v>
      </c>
      <c r="Q5103">
        <v>1</v>
      </c>
      <c r="R5103" t="s">
        <v>45102</v>
      </c>
      <c r="S5103" t="s">
        <v>45242</v>
      </c>
      <c r="T5103" t="s">
        <v>47064</v>
      </c>
      <c r="U5103" t="s">
        <v>49139</v>
      </c>
      <c r="W5103" t="s">
        <v>42295</v>
      </c>
      <c r="X5103" t="s">
        <v>45103</v>
      </c>
    </row>
    <row r="5104" spans="1:24">
      <c r="A5104">
        <f>HYPERLINK("https://www.philgeps.gov.ph/GEPSNONPILOT/Tender/SplashBidNoticeAbstractUI.aspx?menuIndex=3&amp;refID=7038255&amp;Result=3","7038255")</f>
        <v>0</v>
      </c>
      <c r="B5104" t="s">
        <v>408</v>
      </c>
      <c r="C5104" t="s">
        <v>8079</v>
      </c>
      <c r="D5104" t="s">
        <v>18059</v>
      </c>
      <c r="E5104" t="s">
        <v>22672</v>
      </c>
      <c r="F5104" t="s">
        <v>31574</v>
      </c>
      <c r="G5104" t="s">
        <v>31582</v>
      </c>
      <c r="H5104" t="s">
        <v>31590</v>
      </c>
      <c r="I5104" t="s">
        <v>7185</v>
      </c>
      <c r="J5104" t="s">
        <v>35048</v>
      </c>
      <c r="K5104" t="s">
        <v>41184</v>
      </c>
      <c r="M5104" t="s">
        <v>41899</v>
      </c>
      <c r="N5104" t="s">
        <v>45095</v>
      </c>
      <c r="O5104" t="s">
        <v>45096</v>
      </c>
      <c r="P5104">
        <v>0</v>
      </c>
      <c r="Q5104">
        <v>4</v>
      </c>
      <c r="R5104" t="s">
        <v>45102</v>
      </c>
      <c r="S5104" t="s">
        <v>45242</v>
      </c>
      <c r="T5104" t="s">
        <v>46938</v>
      </c>
      <c r="U5104" t="s">
        <v>51750</v>
      </c>
      <c r="W5104" t="s">
        <v>41899</v>
      </c>
      <c r="X5104" t="s">
        <v>45103</v>
      </c>
    </row>
    <row r="5105" spans="1:24">
      <c r="A5105">
        <f>HYPERLINK("https://www.philgeps.gov.ph/GEPSNONPILOT/Tender/SplashBidNoticeAbstractUI.aspx?menuIndex=3&amp;refID=7038240&amp;Result=3","7038240")</f>
        <v>0</v>
      </c>
      <c r="B5105" t="s">
        <v>781</v>
      </c>
      <c r="C5105" t="s">
        <v>8080</v>
      </c>
      <c r="D5105" t="s">
        <v>18047</v>
      </c>
      <c r="E5105" t="s">
        <v>22673</v>
      </c>
      <c r="F5105" t="s">
        <v>31574</v>
      </c>
      <c r="G5105" t="s">
        <v>31581</v>
      </c>
      <c r="H5105" t="s">
        <v>31590</v>
      </c>
      <c r="I5105" t="s">
        <v>14544</v>
      </c>
      <c r="J5105" t="s">
        <v>35049</v>
      </c>
      <c r="K5105" t="s">
        <v>41184</v>
      </c>
      <c r="M5105" t="s">
        <v>42295</v>
      </c>
      <c r="N5105" t="s">
        <v>45095</v>
      </c>
      <c r="O5105" t="s">
        <v>45096</v>
      </c>
      <c r="P5105">
        <v>0</v>
      </c>
      <c r="Q5105">
        <v>0</v>
      </c>
      <c r="R5105" t="s">
        <v>45102</v>
      </c>
      <c r="S5105" t="s">
        <v>45242</v>
      </c>
      <c r="T5105" t="s">
        <v>47064</v>
      </c>
      <c r="U5105" t="s">
        <v>49139</v>
      </c>
      <c r="W5105" t="s">
        <v>42295</v>
      </c>
      <c r="X5105" t="s">
        <v>45103</v>
      </c>
    </row>
    <row r="5106" spans="1:24">
      <c r="A5106">
        <f>HYPERLINK("https://www.philgeps.gov.ph/GEPSNONPILOT/Tender/SplashBidNoticeAbstractUI.aspx?menuIndex=3&amp;refID=7038239&amp;Result=3","7038239")</f>
        <v>0</v>
      </c>
      <c r="B5106" t="s">
        <v>636</v>
      </c>
      <c r="C5106" t="s">
        <v>8081</v>
      </c>
      <c r="D5106" t="s">
        <v>18022</v>
      </c>
      <c r="E5106" t="s">
        <v>22674</v>
      </c>
      <c r="F5106" t="s">
        <v>31574</v>
      </c>
      <c r="G5106" t="s">
        <v>31581</v>
      </c>
      <c r="H5106" t="s">
        <v>31590</v>
      </c>
      <c r="I5106" t="s">
        <v>3489</v>
      </c>
      <c r="J5106" t="s">
        <v>31845</v>
      </c>
      <c r="K5106" t="s">
        <v>41184</v>
      </c>
      <c r="M5106" t="s">
        <v>42140</v>
      </c>
      <c r="N5106" t="s">
        <v>45095</v>
      </c>
      <c r="O5106" t="s">
        <v>45096</v>
      </c>
      <c r="P5106">
        <v>0</v>
      </c>
      <c r="Q5106">
        <v>0</v>
      </c>
      <c r="R5106" t="s">
        <v>45102</v>
      </c>
      <c r="S5106" t="s">
        <v>45242</v>
      </c>
      <c r="T5106" t="s">
        <v>47164</v>
      </c>
      <c r="U5106" t="s">
        <v>48788</v>
      </c>
      <c r="W5106" t="s">
        <v>42140</v>
      </c>
      <c r="X5106" t="s">
        <v>45103</v>
      </c>
    </row>
    <row r="5107" spans="1:24">
      <c r="A5107">
        <f>HYPERLINK("https://www.philgeps.gov.ph/GEPSNONPILOT/Tender/SplashBidNoticeAbstractUI.aspx?menuIndex=3&amp;refID=7038257&amp;Result=3","7038257")</f>
        <v>0</v>
      </c>
      <c r="B5107" t="s">
        <v>1697</v>
      </c>
      <c r="C5107" t="s">
        <v>8082</v>
      </c>
      <c r="D5107" t="s">
        <v>18055</v>
      </c>
      <c r="E5107" t="s">
        <v>19124</v>
      </c>
      <c r="F5107" t="s">
        <v>31574</v>
      </c>
      <c r="G5107" t="s">
        <v>31581</v>
      </c>
      <c r="H5107" t="s">
        <v>31590</v>
      </c>
      <c r="I5107" t="s">
        <v>4046</v>
      </c>
      <c r="J5107" t="s">
        <v>35050</v>
      </c>
      <c r="K5107" t="s">
        <v>41196</v>
      </c>
      <c r="M5107" t="s">
        <v>43311</v>
      </c>
      <c r="N5107" t="s">
        <v>45095</v>
      </c>
      <c r="O5107" t="s">
        <v>45096</v>
      </c>
      <c r="P5107">
        <v>0</v>
      </c>
      <c r="Q5107">
        <v>1</v>
      </c>
      <c r="R5107" t="s">
        <v>45102</v>
      </c>
      <c r="S5107" t="s">
        <v>45242</v>
      </c>
      <c r="T5107" t="s">
        <v>46963</v>
      </c>
      <c r="U5107" t="s">
        <v>51754</v>
      </c>
      <c r="W5107" t="s">
        <v>43311</v>
      </c>
      <c r="X5107" t="s">
        <v>45103</v>
      </c>
    </row>
    <row r="5108" spans="1:24">
      <c r="A5108">
        <f>HYPERLINK("https://www.philgeps.gov.ph/GEPSNONPILOT/Tender/SplashBidNoticeAbstractUI.aspx?menuIndex=3&amp;refID=7038271&amp;Result=3","7038271")</f>
        <v>0</v>
      </c>
      <c r="B5108" t="s">
        <v>967</v>
      </c>
      <c r="C5108" t="s">
        <v>8083</v>
      </c>
      <c r="D5108" t="s">
        <v>18027</v>
      </c>
      <c r="E5108" t="s">
        <v>22675</v>
      </c>
      <c r="F5108" t="s">
        <v>31574</v>
      </c>
      <c r="G5108" t="s">
        <v>31582</v>
      </c>
      <c r="H5108" t="s">
        <v>31590</v>
      </c>
      <c r="I5108" t="s">
        <v>5222</v>
      </c>
      <c r="J5108" t="s">
        <v>35051</v>
      </c>
      <c r="K5108" t="s">
        <v>41198</v>
      </c>
      <c r="M5108" t="s">
        <v>42496</v>
      </c>
      <c r="N5108" t="s">
        <v>45095</v>
      </c>
      <c r="O5108" t="s">
        <v>45096</v>
      </c>
      <c r="P5108">
        <v>0</v>
      </c>
      <c r="Q5108">
        <v>0</v>
      </c>
      <c r="R5108" t="s">
        <v>45102</v>
      </c>
      <c r="S5108" t="s">
        <v>45242</v>
      </c>
      <c r="T5108" t="s">
        <v>47151</v>
      </c>
      <c r="U5108" t="s">
        <v>51755</v>
      </c>
      <c r="W5108" t="s">
        <v>42496</v>
      </c>
      <c r="X5108" t="s">
        <v>45103</v>
      </c>
    </row>
    <row r="5109" spans="1:24">
      <c r="A5109">
        <f>HYPERLINK("https://www.philgeps.gov.ph/GEPSNONPILOT/Tender/SplashBidNoticeAbstractUI.aspx?menuIndex=3&amp;refID=7038248&amp;Result=3","7038248")</f>
        <v>0</v>
      </c>
      <c r="B5109" t="s">
        <v>1698</v>
      </c>
      <c r="C5109" t="s">
        <v>8084</v>
      </c>
      <c r="D5109" t="s">
        <v>18039</v>
      </c>
      <c r="E5109" t="s">
        <v>18574</v>
      </c>
      <c r="F5109" t="s">
        <v>31574</v>
      </c>
      <c r="G5109" t="s">
        <v>31585</v>
      </c>
      <c r="H5109" t="s">
        <v>31590</v>
      </c>
      <c r="I5109" t="s">
        <v>4046</v>
      </c>
      <c r="J5109" t="s">
        <v>35052</v>
      </c>
      <c r="K5109" t="s">
        <v>41186</v>
      </c>
      <c r="M5109" t="s">
        <v>43312</v>
      </c>
      <c r="N5109" t="s">
        <v>45095</v>
      </c>
      <c r="O5109" t="s">
        <v>45096</v>
      </c>
      <c r="P5109">
        <v>0</v>
      </c>
      <c r="Q5109">
        <v>0</v>
      </c>
      <c r="R5109" t="s">
        <v>45102</v>
      </c>
      <c r="S5109" t="s">
        <v>45242</v>
      </c>
      <c r="T5109" t="s">
        <v>46930</v>
      </c>
      <c r="U5109" t="s">
        <v>51756</v>
      </c>
      <c r="W5109" t="s">
        <v>43312</v>
      </c>
      <c r="X5109" t="s">
        <v>45103</v>
      </c>
    </row>
    <row r="5110" spans="1:24">
      <c r="A5110">
        <f>HYPERLINK("https://www.philgeps.gov.ph/GEPSNONPILOT/Tender/SplashBidNoticeAbstractUI.aspx?menuIndex=3&amp;refID=7038244&amp;Result=3","7038244")</f>
        <v>0</v>
      </c>
      <c r="B5110" t="s">
        <v>370</v>
      </c>
      <c r="C5110" t="s">
        <v>8085</v>
      </c>
      <c r="D5110" t="s">
        <v>18022</v>
      </c>
      <c r="E5110" t="s">
        <v>22676</v>
      </c>
      <c r="F5110" t="s">
        <v>31574</v>
      </c>
      <c r="G5110" t="s">
        <v>31583</v>
      </c>
      <c r="H5110" t="s">
        <v>31590</v>
      </c>
      <c r="I5110" t="s">
        <v>3487</v>
      </c>
      <c r="J5110" t="s">
        <v>32012</v>
      </c>
      <c r="K5110" t="s">
        <v>41193</v>
      </c>
      <c r="M5110" t="s">
        <v>41860</v>
      </c>
      <c r="N5110" t="s">
        <v>45095</v>
      </c>
      <c r="O5110" t="s">
        <v>45096</v>
      </c>
      <c r="P5110">
        <v>0</v>
      </c>
      <c r="Q5110">
        <v>0</v>
      </c>
      <c r="R5110" t="s">
        <v>45102</v>
      </c>
      <c r="S5110" t="s">
        <v>45242</v>
      </c>
      <c r="T5110" t="s">
        <v>47125</v>
      </c>
      <c r="U5110" t="s">
        <v>51757</v>
      </c>
      <c r="V5110" t="s">
        <v>59929</v>
      </c>
      <c r="W5110" t="s">
        <v>41860</v>
      </c>
      <c r="X5110" t="s">
        <v>45103</v>
      </c>
    </row>
    <row r="5111" spans="1:24">
      <c r="A5111">
        <f>HYPERLINK("https://www.philgeps.gov.ph/GEPSNONPILOT/Tender/SplashBidNoticeAbstractUI.aspx?menuIndex=3&amp;refID=7038268&amp;Result=3","7038268")</f>
        <v>0</v>
      </c>
      <c r="B5111" t="s">
        <v>1689</v>
      </c>
      <c r="C5111" t="s">
        <v>8086</v>
      </c>
      <c r="E5111" t="s">
        <v>22677</v>
      </c>
      <c r="F5111" t="s">
        <v>31574</v>
      </c>
      <c r="G5111" t="s">
        <v>31582</v>
      </c>
      <c r="H5111" t="s">
        <v>31590</v>
      </c>
      <c r="I5111" t="s">
        <v>31664</v>
      </c>
      <c r="J5111" t="s">
        <v>35053</v>
      </c>
      <c r="K5111" t="s">
        <v>41184</v>
      </c>
      <c r="M5111" t="s">
        <v>43303</v>
      </c>
      <c r="N5111" t="s">
        <v>45095</v>
      </c>
      <c r="O5111" t="s">
        <v>45096</v>
      </c>
      <c r="P5111">
        <v>0</v>
      </c>
      <c r="Q5111">
        <v>2</v>
      </c>
      <c r="R5111" t="s">
        <v>45102</v>
      </c>
      <c r="S5111" t="s">
        <v>45242</v>
      </c>
      <c r="T5111" t="s">
        <v>47170</v>
      </c>
      <c r="U5111" t="s">
        <v>51758</v>
      </c>
      <c r="W5111" t="s">
        <v>43303</v>
      </c>
      <c r="X5111" t="s">
        <v>45103</v>
      </c>
    </row>
    <row r="5112" spans="1:24">
      <c r="A5112">
        <f>HYPERLINK("https://www.philgeps.gov.ph/GEPSNONPILOT/Tender/SplashBidNoticeAbstractUI.aspx?menuIndex=3&amp;refID=7038252&amp;Result=3","7038252")</f>
        <v>0</v>
      </c>
      <c r="B5112" t="s">
        <v>636</v>
      </c>
      <c r="C5112" t="s">
        <v>8087</v>
      </c>
      <c r="D5112" t="s">
        <v>18022</v>
      </c>
      <c r="E5112" t="s">
        <v>19531</v>
      </c>
      <c r="F5112" t="s">
        <v>31574</v>
      </c>
      <c r="G5112" t="s">
        <v>31581</v>
      </c>
      <c r="H5112" t="s">
        <v>31590</v>
      </c>
      <c r="I5112" t="s">
        <v>3489</v>
      </c>
      <c r="J5112" t="s">
        <v>31845</v>
      </c>
      <c r="K5112" t="s">
        <v>41184</v>
      </c>
      <c r="M5112" t="s">
        <v>42140</v>
      </c>
      <c r="N5112" t="s">
        <v>45095</v>
      </c>
      <c r="O5112" t="s">
        <v>45096</v>
      </c>
      <c r="P5112">
        <v>0</v>
      </c>
      <c r="Q5112">
        <v>0</v>
      </c>
      <c r="R5112" t="s">
        <v>45102</v>
      </c>
      <c r="S5112" t="s">
        <v>45242</v>
      </c>
      <c r="T5112" t="s">
        <v>47164</v>
      </c>
      <c r="U5112" t="s">
        <v>48788</v>
      </c>
      <c r="W5112" t="s">
        <v>42140</v>
      </c>
      <c r="X5112" t="s">
        <v>45103</v>
      </c>
    </row>
    <row r="5113" spans="1:24">
      <c r="A5113">
        <f>HYPERLINK("https://www.philgeps.gov.ph/GEPSNONPILOT/Tender/SplashBidNoticeAbstractUI.aspx?menuIndex=3&amp;refID=7038263&amp;Result=3","7038263")</f>
        <v>0</v>
      </c>
      <c r="B5113" t="s">
        <v>176</v>
      </c>
      <c r="C5113" t="s">
        <v>8088</v>
      </c>
      <c r="D5113" t="s">
        <v>18059</v>
      </c>
      <c r="E5113" t="s">
        <v>22678</v>
      </c>
      <c r="F5113" t="s">
        <v>31574</v>
      </c>
      <c r="G5113" t="s">
        <v>31581</v>
      </c>
      <c r="H5113" t="s">
        <v>31590</v>
      </c>
      <c r="I5113" t="s">
        <v>31599</v>
      </c>
      <c r="J5113" t="s">
        <v>31789</v>
      </c>
      <c r="K5113" t="s">
        <v>41193</v>
      </c>
      <c r="M5113" t="s">
        <v>41660</v>
      </c>
      <c r="N5113" t="s">
        <v>45095</v>
      </c>
      <c r="O5113" t="s">
        <v>45096</v>
      </c>
      <c r="P5113">
        <v>0</v>
      </c>
      <c r="Q5113">
        <v>2</v>
      </c>
      <c r="R5113" t="s">
        <v>45102</v>
      </c>
      <c r="S5113" t="s">
        <v>45242</v>
      </c>
      <c r="T5113" t="s">
        <v>47197</v>
      </c>
      <c r="U5113" t="s">
        <v>51759</v>
      </c>
      <c r="V5113" t="s">
        <v>59893</v>
      </c>
      <c r="W5113" t="s">
        <v>41660</v>
      </c>
      <c r="X5113" t="s">
        <v>45103</v>
      </c>
    </row>
    <row r="5114" spans="1:24">
      <c r="A5114">
        <f>HYPERLINK("https://www.philgeps.gov.ph/GEPSNONPILOT/Tender/SplashBidNoticeAbstractUI.aspx?menuIndex=3&amp;refID=7038270&amp;Result=3","7038270")</f>
        <v>0</v>
      </c>
      <c r="B5114" t="s">
        <v>1699</v>
      </c>
      <c r="C5114" t="s">
        <v>8089</v>
      </c>
      <c r="D5114" t="s">
        <v>18043</v>
      </c>
      <c r="E5114" t="s">
        <v>22679</v>
      </c>
      <c r="F5114" t="s">
        <v>31575</v>
      </c>
      <c r="G5114" t="s">
        <v>31581</v>
      </c>
      <c r="H5114" t="s">
        <v>31592</v>
      </c>
      <c r="I5114" t="s">
        <v>31707</v>
      </c>
      <c r="J5114" t="s">
        <v>32931</v>
      </c>
      <c r="K5114" t="s">
        <v>41187</v>
      </c>
      <c r="M5114" t="s">
        <v>43313</v>
      </c>
      <c r="N5114" t="s">
        <v>45095</v>
      </c>
      <c r="O5114" t="s">
        <v>45096</v>
      </c>
      <c r="P5114">
        <v>0</v>
      </c>
      <c r="Q5114">
        <v>1</v>
      </c>
      <c r="R5114" t="s">
        <v>45102</v>
      </c>
      <c r="S5114" t="s">
        <v>45242</v>
      </c>
      <c r="T5114" t="s">
        <v>47021</v>
      </c>
      <c r="U5114" t="s">
        <v>51760</v>
      </c>
      <c r="W5114" t="s">
        <v>43313</v>
      </c>
      <c r="X5114" t="s">
        <v>45103</v>
      </c>
    </row>
    <row r="5115" spans="1:24">
      <c r="A5115">
        <f>HYPERLINK("https://www.philgeps.gov.ph/GEPSNONPILOT/Tender/SplashBidNoticeAbstractUI.aspx?menuIndex=3&amp;refID=7038265&amp;Result=3","7038265")</f>
        <v>0</v>
      </c>
      <c r="B5115" t="s">
        <v>255</v>
      </c>
      <c r="C5115" t="s">
        <v>8090</v>
      </c>
      <c r="D5115" t="s">
        <v>18082</v>
      </c>
      <c r="E5115" t="s">
        <v>22680</v>
      </c>
      <c r="F5115" t="s">
        <v>31574</v>
      </c>
      <c r="G5115" t="s">
        <v>31582</v>
      </c>
      <c r="H5115" t="s">
        <v>31591</v>
      </c>
      <c r="I5115" t="s">
        <v>8822</v>
      </c>
      <c r="J5115" t="s">
        <v>35054</v>
      </c>
      <c r="K5115" t="s">
        <v>41290</v>
      </c>
      <c r="M5115" t="s">
        <v>41741</v>
      </c>
      <c r="N5115" t="s">
        <v>45095</v>
      </c>
      <c r="O5115" t="s">
        <v>45096</v>
      </c>
      <c r="P5115">
        <v>0</v>
      </c>
      <c r="Q5115">
        <v>0</v>
      </c>
      <c r="R5115" t="s">
        <v>45102</v>
      </c>
      <c r="S5115" t="s">
        <v>45242</v>
      </c>
      <c r="T5115" t="s">
        <v>46988</v>
      </c>
      <c r="U5115" t="s">
        <v>51761</v>
      </c>
      <c r="V5115" t="s">
        <v>60388</v>
      </c>
      <c r="W5115" t="s">
        <v>41741</v>
      </c>
      <c r="X5115" t="s">
        <v>45103</v>
      </c>
    </row>
    <row r="5116" spans="1:24">
      <c r="A5116">
        <f>HYPERLINK("https://www.philgeps.gov.ph/GEPSNONPILOT/Tender/SplashBidNoticeAbstractUI.aspx?menuIndex=3&amp;refID=7038261&amp;Result=3","7038261")</f>
        <v>0</v>
      </c>
      <c r="B5116" t="s">
        <v>1686</v>
      </c>
      <c r="C5116" t="s">
        <v>8091</v>
      </c>
      <c r="D5116" t="s">
        <v>18066</v>
      </c>
      <c r="E5116" t="s">
        <v>22681</v>
      </c>
      <c r="F5116" t="s">
        <v>31574</v>
      </c>
      <c r="G5116" t="s">
        <v>31581</v>
      </c>
      <c r="H5116" t="s">
        <v>31590</v>
      </c>
      <c r="I5116" t="s">
        <v>31626</v>
      </c>
      <c r="J5116" t="s">
        <v>32003</v>
      </c>
      <c r="K5116" t="s">
        <v>41196</v>
      </c>
      <c r="M5116" t="s">
        <v>43299</v>
      </c>
      <c r="N5116" t="s">
        <v>45095</v>
      </c>
      <c r="O5116" t="s">
        <v>45096</v>
      </c>
      <c r="P5116">
        <v>0</v>
      </c>
      <c r="Q5116">
        <v>3</v>
      </c>
      <c r="R5116" t="s">
        <v>45102</v>
      </c>
      <c r="S5116" t="s">
        <v>45242</v>
      </c>
      <c r="T5116" t="s">
        <v>47158</v>
      </c>
      <c r="U5116" t="s">
        <v>51762</v>
      </c>
      <c r="W5116" t="s">
        <v>43299</v>
      </c>
      <c r="X5116" t="s">
        <v>45103</v>
      </c>
    </row>
    <row r="5117" spans="1:24">
      <c r="A5117">
        <f>HYPERLINK("https://www.philgeps.gov.ph/GEPSNONPILOT/Tender/SplashBidNoticeAbstractUI.aspx?menuIndex=3&amp;refID=7038247&amp;Result=3","7038247")</f>
        <v>0</v>
      </c>
      <c r="B5117" t="s">
        <v>1689</v>
      </c>
      <c r="C5117" t="s">
        <v>8092</v>
      </c>
      <c r="E5117" t="s">
        <v>22682</v>
      </c>
      <c r="F5117" t="s">
        <v>31574</v>
      </c>
      <c r="G5117" t="s">
        <v>31582</v>
      </c>
      <c r="H5117" t="s">
        <v>31590</v>
      </c>
      <c r="I5117" t="s">
        <v>4327</v>
      </c>
      <c r="J5117" t="s">
        <v>35055</v>
      </c>
      <c r="K5117" t="s">
        <v>41184</v>
      </c>
      <c r="M5117" t="s">
        <v>43303</v>
      </c>
      <c r="N5117" t="s">
        <v>45095</v>
      </c>
      <c r="O5117" t="s">
        <v>45096</v>
      </c>
      <c r="P5117">
        <v>0</v>
      </c>
      <c r="Q5117">
        <v>7</v>
      </c>
      <c r="R5117" t="s">
        <v>45102</v>
      </c>
      <c r="S5117" t="s">
        <v>45242</v>
      </c>
      <c r="T5117" t="s">
        <v>47170</v>
      </c>
      <c r="U5117" t="s">
        <v>51763</v>
      </c>
      <c r="W5117" t="s">
        <v>43303</v>
      </c>
      <c r="X5117" t="s">
        <v>45103</v>
      </c>
    </row>
    <row r="5118" spans="1:24">
      <c r="A5118">
        <f>HYPERLINK("https://www.philgeps.gov.ph/GEPSNONPILOT/Tender/SplashBidNoticeAbstractUI.aspx?menuIndex=3&amp;refID=7038269&amp;Result=3","7038269")</f>
        <v>0</v>
      </c>
      <c r="B5118" t="s">
        <v>674</v>
      </c>
      <c r="C5118" t="s">
        <v>8093</v>
      </c>
      <c r="D5118" t="s">
        <v>18071</v>
      </c>
      <c r="E5118" t="s">
        <v>22683</v>
      </c>
      <c r="F5118" t="s">
        <v>31574</v>
      </c>
      <c r="G5118" t="s">
        <v>31581</v>
      </c>
      <c r="H5118" t="s">
        <v>31590</v>
      </c>
      <c r="I5118" t="s">
        <v>31611</v>
      </c>
      <c r="J5118" t="s">
        <v>31947</v>
      </c>
      <c r="K5118" t="s">
        <v>41191</v>
      </c>
      <c r="M5118" t="s">
        <v>42180</v>
      </c>
      <c r="N5118" t="s">
        <v>45095</v>
      </c>
      <c r="O5118" t="s">
        <v>45096</v>
      </c>
      <c r="P5118">
        <v>0</v>
      </c>
      <c r="Q5118">
        <v>0</v>
      </c>
      <c r="R5118" t="s">
        <v>45102</v>
      </c>
      <c r="S5118" t="s">
        <v>45242</v>
      </c>
      <c r="T5118" t="s">
        <v>46973</v>
      </c>
      <c r="U5118" t="s">
        <v>51764</v>
      </c>
      <c r="W5118" t="s">
        <v>42180</v>
      </c>
      <c r="X5118" t="s">
        <v>45103</v>
      </c>
    </row>
    <row r="5119" spans="1:24">
      <c r="A5119">
        <f>HYPERLINK("https://www.philgeps.gov.ph/GEPSNONPILOT/Tender/SplashBidNoticeAbstractUI.aspx?menuIndex=3&amp;refID=7038241&amp;Result=3","7038241")</f>
        <v>0</v>
      </c>
      <c r="B5119" t="s">
        <v>408</v>
      </c>
      <c r="C5119" t="s">
        <v>8094</v>
      </c>
      <c r="D5119" t="s">
        <v>18059</v>
      </c>
      <c r="E5119" t="s">
        <v>22684</v>
      </c>
      <c r="F5119" t="s">
        <v>31574</v>
      </c>
      <c r="G5119" t="s">
        <v>31582</v>
      </c>
      <c r="H5119" t="s">
        <v>31590</v>
      </c>
      <c r="I5119" t="s">
        <v>31620</v>
      </c>
      <c r="J5119" t="s">
        <v>33033</v>
      </c>
      <c r="K5119" t="s">
        <v>41184</v>
      </c>
      <c r="M5119" t="s">
        <v>41899</v>
      </c>
      <c r="N5119" t="s">
        <v>45095</v>
      </c>
      <c r="O5119" t="s">
        <v>45096</v>
      </c>
      <c r="P5119">
        <v>0</v>
      </c>
      <c r="Q5119">
        <v>4</v>
      </c>
      <c r="R5119" t="s">
        <v>45102</v>
      </c>
      <c r="S5119" t="s">
        <v>45242</v>
      </c>
      <c r="T5119" t="s">
        <v>46938</v>
      </c>
      <c r="U5119" t="s">
        <v>51765</v>
      </c>
      <c r="W5119" t="s">
        <v>41899</v>
      </c>
      <c r="X5119" t="s">
        <v>45103</v>
      </c>
    </row>
    <row r="5120" spans="1:24">
      <c r="A5120">
        <f>HYPERLINK("https://www.philgeps.gov.ph/GEPSNONPILOT/Tender/SplashBidNoticeAbstractUI.aspx?menuIndex=3&amp;refID=7038273&amp;Result=3","7038273")</f>
        <v>0</v>
      </c>
      <c r="B5120" t="s">
        <v>408</v>
      </c>
      <c r="C5120" t="s">
        <v>8095</v>
      </c>
      <c r="D5120" t="s">
        <v>18059</v>
      </c>
      <c r="E5120" t="s">
        <v>22685</v>
      </c>
      <c r="F5120" t="s">
        <v>31574</v>
      </c>
      <c r="G5120" t="s">
        <v>31582</v>
      </c>
      <c r="H5120" t="s">
        <v>31590</v>
      </c>
      <c r="I5120" t="s">
        <v>31617</v>
      </c>
      <c r="J5120" t="s">
        <v>32019</v>
      </c>
      <c r="K5120" t="s">
        <v>41184</v>
      </c>
      <c r="M5120" t="s">
        <v>41899</v>
      </c>
      <c r="N5120" t="s">
        <v>45095</v>
      </c>
      <c r="O5120" t="s">
        <v>45096</v>
      </c>
      <c r="P5120">
        <v>0</v>
      </c>
      <c r="Q5120">
        <v>1</v>
      </c>
      <c r="R5120" t="s">
        <v>45102</v>
      </c>
      <c r="S5120" t="s">
        <v>45242</v>
      </c>
      <c r="T5120" t="s">
        <v>46938</v>
      </c>
      <c r="U5120" t="s">
        <v>51766</v>
      </c>
      <c r="W5120" t="s">
        <v>41899</v>
      </c>
      <c r="X5120" t="s">
        <v>45103</v>
      </c>
    </row>
    <row r="5121" spans="1:24">
      <c r="A5121">
        <f>HYPERLINK("https://www.philgeps.gov.ph/GEPSNONPILOT/Tender/SplashBidNoticeAbstractUI.aspx?menuIndex=3&amp;refID=7038253&amp;Result=3","7038253")</f>
        <v>0</v>
      </c>
      <c r="B5121" t="s">
        <v>781</v>
      </c>
      <c r="C5121" t="s">
        <v>8096</v>
      </c>
      <c r="D5121" t="s">
        <v>18047</v>
      </c>
      <c r="E5121" t="s">
        <v>22686</v>
      </c>
      <c r="F5121" t="s">
        <v>31574</v>
      </c>
      <c r="G5121" t="s">
        <v>31581</v>
      </c>
      <c r="H5121" t="s">
        <v>31590</v>
      </c>
      <c r="I5121" t="s">
        <v>14544</v>
      </c>
      <c r="J5121" t="s">
        <v>32389</v>
      </c>
      <c r="K5121" t="s">
        <v>41184</v>
      </c>
      <c r="M5121" t="s">
        <v>42295</v>
      </c>
      <c r="N5121" t="s">
        <v>45095</v>
      </c>
      <c r="O5121" t="s">
        <v>45096</v>
      </c>
      <c r="P5121">
        <v>0</v>
      </c>
      <c r="Q5121">
        <v>1</v>
      </c>
      <c r="R5121" t="s">
        <v>45102</v>
      </c>
      <c r="S5121" t="s">
        <v>45242</v>
      </c>
      <c r="T5121" t="s">
        <v>47064</v>
      </c>
      <c r="U5121" t="s">
        <v>49139</v>
      </c>
      <c r="W5121" t="s">
        <v>42295</v>
      </c>
      <c r="X5121" t="s">
        <v>45103</v>
      </c>
    </row>
    <row r="5122" spans="1:24">
      <c r="A5122">
        <f>HYPERLINK("https://www.philgeps.gov.ph/GEPSNONPILOT/Tender/SplashBidNoticeAbstractUI.aspx?menuIndex=3&amp;refID=7038288&amp;Result=3","7038288")</f>
        <v>0</v>
      </c>
      <c r="B5122" t="s">
        <v>1449</v>
      </c>
      <c r="C5122" t="s">
        <v>8097</v>
      </c>
      <c r="D5122" t="s">
        <v>18088</v>
      </c>
      <c r="E5122" t="s">
        <v>22687</v>
      </c>
      <c r="F5122" t="s">
        <v>31574</v>
      </c>
      <c r="G5122" t="s">
        <v>31582</v>
      </c>
      <c r="H5122" t="s">
        <v>31593</v>
      </c>
      <c r="I5122" t="s">
        <v>31593</v>
      </c>
      <c r="J5122" t="s">
        <v>35056</v>
      </c>
      <c r="K5122" t="s">
        <v>41192</v>
      </c>
      <c r="M5122" t="s">
        <v>43028</v>
      </c>
      <c r="N5122" t="s">
        <v>45095</v>
      </c>
      <c r="O5122" t="s">
        <v>45096</v>
      </c>
      <c r="P5122">
        <v>0</v>
      </c>
      <c r="Q5122">
        <v>3</v>
      </c>
      <c r="R5122" t="s">
        <v>45102</v>
      </c>
      <c r="S5122" t="s">
        <v>45242</v>
      </c>
      <c r="T5122" t="s">
        <v>46918</v>
      </c>
      <c r="U5122" t="s">
        <v>51767</v>
      </c>
      <c r="V5122" t="s">
        <v>60389</v>
      </c>
      <c r="W5122" t="s">
        <v>43028</v>
      </c>
      <c r="X5122" t="s">
        <v>45103</v>
      </c>
    </row>
    <row r="5123" spans="1:24">
      <c r="A5123">
        <f>HYPERLINK("https://www.philgeps.gov.ph/GEPSNONPILOT/Tender/SplashBidNoticeAbstractUI.aspx?menuIndex=3&amp;refID=7038258&amp;Result=3","7038258")</f>
        <v>0</v>
      </c>
      <c r="B5123" t="s">
        <v>255</v>
      </c>
      <c r="C5123" t="s">
        <v>8098</v>
      </c>
      <c r="D5123" t="s">
        <v>18082</v>
      </c>
      <c r="E5123" t="s">
        <v>22688</v>
      </c>
      <c r="F5123" t="s">
        <v>31574</v>
      </c>
      <c r="G5123" t="s">
        <v>31582</v>
      </c>
      <c r="H5123" t="s">
        <v>31591</v>
      </c>
      <c r="I5123" t="s">
        <v>8822</v>
      </c>
      <c r="J5123" t="s">
        <v>32504</v>
      </c>
      <c r="K5123" t="s">
        <v>41189</v>
      </c>
      <c r="M5123" t="s">
        <v>41741</v>
      </c>
      <c r="N5123" t="s">
        <v>45095</v>
      </c>
      <c r="O5123" t="s">
        <v>45096</v>
      </c>
      <c r="P5123">
        <v>0</v>
      </c>
      <c r="Q5123">
        <v>0</v>
      </c>
      <c r="R5123" t="s">
        <v>45102</v>
      </c>
      <c r="S5123" t="s">
        <v>45242</v>
      </c>
      <c r="T5123" t="s">
        <v>46988</v>
      </c>
      <c r="U5123" t="s">
        <v>51768</v>
      </c>
      <c r="V5123" t="s">
        <v>60390</v>
      </c>
      <c r="W5123" t="s">
        <v>41741</v>
      </c>
      <c r="X5123" t="s">
        <v>45103</v>
      </c>
    </row>
    <row r="5124" spans="1:24">
      <c r="A5124">
        <f>HYPERLINK("https://www.philgeps.gov.ph/GEPSNONPILOT/Tender/SplashBidNoticeAbstractUI.aspx?menuIndex=3&amp;refID=7038292&amp;Result=3","7038292")</f>
        <v>0</v>
      </c>
      <c r="B5124" t="s">
        <v>1700</v>
      </c>
      <c r="C5124" t="s">
        <v>8099</v>
      </c>
      <c r="D5124" t="s">
        <v>18052</v>
      </c>
      <c r="E5124" t="s">
        <v>22689</v>
      </c>
      <c r="F5124" t="s">
        <v>31574</v>
      </c>
      <c r="G5124" t="s">
        <v>31582</v>
      </c>
      <c r="H5124" t="s">
        <v>31590</v>
      </c>
      <c r="I5124" t="s">
        <v>31602</v>
      </c>
      <c r="J5124" t="s">
        <v>33408</v>
      </c>
      <c r="K5124" t="s">
        <v>41186</v>
      </c>
      <c r="M5124" t="s">
        <v>43314</v>
      </c>
      <c r="N5124" t="s">
        <v>45095</v>
      </c>
      <c r="O5124" t="s">
        <v>45096</v>
      </c>
      <c r="P5124">
        <v>0</v>
      </c>
      <c r="Q5124">
        <v>0</v>
      </c>
      <c r="R5124" t="s">
        <v>45102</v>
      </c>
      <c r="S5124" t="s">
        <v>45242</v>
      </c>
      <c r="T5124" t="s">
        <v>46982</v>
      </c>
      <c r="U5124" t="s">
        <v>51769</v>
      </c>
      <c r="V5124" t="s">
        <v>60391</v>
      </c>
      <c r="W5124" t="s">
        <v>43314</v>
      </c>
      <c r="X5124" t="s">
        <v>45103</v>
      </c>
    </row>
    <row r="5125" spans="1:24">
      <c r="A5125">
        <f>HYPERLINK("https://www.philgeps.gov.ph/GEPSNONPILOT/Tender/SplashBidNoticeAbstractUI.aspx?menuIndex=3&amp;refID=7038274&amp;Result=3","7038274")</f>
        <v>0</v>
      </c>
      <c r="B5125" t="s">
        <v>1696</v>
      </c>
      <c r="C5125" t="s">
        <v>8077</v>
      </c>
      <c r="D5125" t="s">
        <v>18046</v>
      </c>
      <c r="E5125" t="s">
        <v>22690</v>
      </c>
      <c r="F5125" t="s">
        <v>31574</v>
      </c>
      <c r="G5125" t="s">
        <v>31582</v>
      </c>
      <c r="H5125" t="s">
        <v>31590</v>
      </c>
      <c r="I5125" t="s">
        <v>31602</v>
      </c>
      <c r="J5125" t="s">
        <v>35057</v>
      </c>
      <c r="K5125" t="s">
        <v>41190</v>
      </c>
      <c r="M5125" t="s">
        <v>43310</v>
      </c>
      <c r="N5125" t="s">
        <v>45095</v>
      </c>
      <c r="O5125" t="s">
        <v>45096</v>
      </c>
      <c r="P5125">
        <v>0</v>
      </c>
      <c r="Q5125">
        <v>0</v>
      </c>
      <c r="R5125" t="s">
        <v>45102</v>
      </c>
      <c r="S5125" t="s">
        <v>45242</v>
      </c>
      <c r="T5125" t="s">
        <v>46914</v>
      </c>
      <c r="U5125" t="s">
        <v>51770</v>
      </c>
      <c r="V5125" t="s">
        <v>60392</v>
      </c>
      <c r="W5125" t="s">
        <v>43310</v>
      </c>
      <c r="X5125" t="s">
        <v>45103</v>
      </c>
    </row>
    <row r="5126" spans="1:24">
      <c r="A5126">
        <f>HYPERLINK("https://www.philgeps.gov.ph/GEPSNONPILOT/Tender/SplashBidNoticeAbstractUI.aspx?menuIndex=3&amp;refID=7038295&amp;Result=3","7038295")</f>
        <v>0</v>
      </c>
      <c r="B5126" t="s">
        <v>967</v>
      </c>
      <c r="C5126" t="s">
        <v>8100</v>
      </c>
      <c r="D5126" t="s">
        <v>18027</v>
      </c>
      <c r="E5126" t="s">
        <v>22691</v>
      </c>
      <c r="F5126" t="s">
        <v>31574</v>
      </c>
      <c r="G5126" t="s">
        <v>31582</v>
      </c>
      <c r="H5126" t="s">
        <v>31591</v>
      </c>
      <c r="I5126" t="s">
        <v>8822</v>
      </c>
      <c r="J5126" t="s">
        <v>35058</v>
      </c>
      <c r="K5126" t="s">
        <v>41192</v>
      </c>
      <c r="M5126" t="s">
        <v>42496</v>
      </c>
      <c r="N5126" t="s">
        <v>45095</v>
      </c>
      <c r="O5126" t="s">
        <v>45096</v>
      </c>
      <c r="P5126">
        <v>0</v>
      </c>
      <c r="Q5126">
        <v>0</v>
      </c>
      <c r="R5126" t="s">
        <v>45102</v>
      </c>
      <c r="S5126" t="s">
        <v>45242</v>
      </c>
      <c r="T5126" t="s">
        <v>47151</v>
      </c>
      <c r="U5126" t="s">
        <v>51771</v>
      </c>
      <c r="W5126" t="s">
        <v>42496</v>
      </c>
      <c r="X5126" t="s">
        <v>45103</v>
      </c>
    </row>
    <row r="5127" spans="1:24">
      <c r="A5127">
        <f>HYPERLINK("https://www.philgeps.gov.ph/GEPSNONPILOT/Tender/SplashBidNoticeAbstractUI.aspx?menuIndex=3&amp;refID=7038286&amp;Result=3","7038286")</f>
        <v>0</v>
      </c>
      <c r="B5127" t="s">
        <v>1689</v>
      </c>
      <c r="C5127" t="s">
        <v>8101</v>
      </c>
      <c r="E5127" t="s">
        <v>22692</v>
      </c>
      <c r="F5127" t="s">
        <v>31574</v>
      </c>
      <c r="G5127" t="s">
        <v>31582</v>
      </c>
      <c r="H5127" t="s">
        <v>31590</v>
      </c>
      <c r="I5127" t="s">
        <v>31664</v>
      </c>
      <c r="J5127" t="s">
        <v>35059</v>
      </c>
      <c r="K5127" t="s">
        <v>41184</v>
      </c>
      <c r="M5127" t="s">
        <v>43303</v>
      </c>
      <c r="N5127" t="s">
        <v>45095</v>
      </c>
      <c r="O5127" t="s">
        <v>45096</v>
      </c>
      <c r="P5127">
        <v>0</v>
      </c>
      <c r="Q5127">
        <v>7</v>
      </c>
      <c r="R5127" t="s">
        <v>45102</v>
      </c>
      <c r="S5127" t="s">
        <v>45242</v>
      </c>
      <c r="T5127" t="s">
        <v>47170</v>
      </c>
      <c r="U5127" t="s">
        <v>51772</v>
      </c>
      <c r="W5127" t="s">
        <v>43303</v>
      </c>
      <c r="X5127" t="s">
        <v>45103</v>
      </c>
    </row>
    <row r="5128" spans="1:24">
      <c r="A5128">
        <f>HYPERLINK("https://www.philgeps.gov.ph/GEPSNONPILOT/Tender/SplashBidNoticeAbstractUI.aspx?menuIndex=3&amp;refID=7038294&amp;Result=3","7038294")</f>
        <v>0</v>
      </c>
      <c r="B5128" t="s">
        <v>346</v>
      </c>
      <c r="C5128" t="s">
        <v>8102</v>
      </c>
      <c r="D5128" t="s">
        <v>18044</v>
      </c>
      <c r="E5128" t="s">
        <v>22693</v>
      </c>
      <c r="F5128" t="s">
        <v>31574</v>
      </c>
      <c r="G5128" t="s">
        <v>31583</v>
      </c>
      <c r="H5128" t="s">
        <v>31590</v>
      </c>
      <c r="I5128" t="s">
        <v>7185</v>
      </c>
      <c r="J5128" t="s">
        <v>35060</v>
      </c>
      <c r="K5128" t="s">
        <v>41196</v>
      </c>
      <c r="M5128" t="s">
        <v>41834</v>
      </c>
      <c r="N5128" t="s">
        <v>45095</v>
      </c>
      <c r="O5128" t="s">
        <v>45096</v>
      </c>
      <c r="P5128">
        <v>0</v>
      </c>
      <c r="Q5128">
        <v>1</v>
      </c>
      <c r="R5128" t="s">
        <v>45102</v>
      </c>
      <c r="S5128" t="s">
        <v>45242</v>
      </c>
      <c r="T5128" t="s">
        <v>47159</v>
      </c>
      <c r="U5128" t="s">
        <v>51773</v>
      </c>
      <c r="W5128" t="s">
        <v>44356</v>
      </c>
      <c r="X5128" t="s">
        <v>45103</v>
      </c>
    </row>
    <row r="5129" spans="1:24">
      <c r="A5129">
        <f>HYPERLINK("https://www.philgeps.gov.ph/GEPSNONPILOT/Tender/SplashBidNoticeAbstractUI.aspx?menuIndex=3&amp;refID=7038285&amp;Result=3","7038285")</f>
        <v>0</v>
      </c>
      <c r="B5129" t="s">
        <v>1275</v>
      </c>
      <c r="C5129" t="s">
        <v>8103</v>
      </c>
      <c r="D5129" t="s">
        <v>18026</v>
      </c>
      <c r="E5129" t="s">
        <v>22694</v>
      </c>
      <c r="F5129" t="s">
        <v>31574</v>
      </c>
      <c r="G5129" t="s">
        <v>31581</v>
      </c>
      <c r="H5129" t="s">
        <v>31590</v>
      </c>
      <c r="I5129" t="s">
        <v>31595</v>
      </c>
      <c r="J5129" t="s">
        <v>35061</v>
      </c>
      <c r="K5129" t="s">
        <v>41190</v>
      </c>
      <c r="M5129" t="s">
        <v>43315</v>
      </c>
      <c r="N5129" t="s">
        <v>45095</v>
      </c>
      <c r="O5129" t="s">
        <v>45096</v>
      </c>
      <c r="P5129">
        <v>0</v>
      </c>
      <c r="Q5129">
        <v>5</v>
      </c>
      <c r="R5129" t="s">
        <v>45102</v>
      </c>
      <c r="S5129" t="s">
        <v>45242</v>
      </c>
      <c r="T5129" t="s">
        <v>47050</v>
      </c>
      <c r="U5129" t="s">
        <v>51774</v>
      </c>
      <c r="V5129" t="s">
        <v>60393</v>
      </c>
      <c r="W5129" t="s">
        <v>43315</v>
      </c>
      <c r="X5129" t="s">
        <v>45103</v>
      </c>
    </row>
    <row r="5130" spans="1:24">
      <c r="A5130">
        <f>HYPERLINK("https://www.philgeps.gov.ph/GEPSNONPILOT/Tender/SplashBidNoticeAbstractUI.aspx?menuIndex=3&amp;refID=7038290&amp;Result=3","7038290")</f>
        <v>0</v>
      </c>
      <c r="B5130" t="s">
        <v>346</v>
      </c>
      <c r="C5130" t="s">
        <v>8104</v>
      </c>
      <c r="D5130" t="s">
        <v>18044</v>
      </c>
      <c r="E5130" t="s">
        <v>22695</v>
      </c>
      <c r="F5130" t="s">
        <v>31574</v>
      </c>
      <c r="G5130" t="s">
        <v>31583</v>
      </c>
      <c r="H5130" t="s">
        <v>31590</v>
      </c>
      <c r="I5130" t="s">
        <v>7185</v>
      </c>
      <c r="J5130" t="s">
        <v>35062</v>
      </c>
      <c r="K5130" t="s">
        <v>41196</v>
      </c>
      <c r="M5130" t="s">
        <v>41834</v>
      </c>
      <c r="N5130" t="s">
        <v>45095</v>
      </c>
      <c r="O5130" t="s">
        <v>45096</v>
      </c>
      <c r="P5130">
        <v>0</v>
      </c>
      <c r="Q5130">
        <v>0</v>
      </c>
      <c r="R5130" t="s">
        <v>45102</v>
      </c>
      <c r="S5130" t="s">
        <v>45242</v>
      </c>
      <c r="T5130" t="s">
        <v>47159</v>
      </c>
      <c r="U5130" t="s">
        <v>51775</v>
      </c>
      <c r="W5130" t="s">
        <v>44356</v>
      </c>
      <c r="X5130" t="s">
        <v>45103</v>
      </c>
    </row>
    <row r="5131" spans="1:24">
      <c r="A5131">
        <f>HYPERLINK("https://www.philgeps.gov.ph/GEPSNONPILOT/Tender/SplashBidNoticeAbstractUI.aspx?menuIndex=3&amp;refID=7038297&amp;Result=3","7038297")</f>
        <v>0</v>
      </c>
      <c r="B5131" t="s">
        <v>1440</v>
      </c>
      <c r="C5131" t="s">
        <v>8105</v>
      </c>
      <c r="D5131" t="s">
        <v>18084</v>
      </c>
      <c r="E5131" t="s">
        <v>22696</v>
      </c>
      <c r="F5131" t="s">
        <v>31574</v>
      </c>
      <c r="G5131" t="s">
        <v>31581</v>
      </c>
      <c r="H5131" t="s">
        <v>31590</v>
      </c>
      <c r="I5131" t="s">
        <v>4046</v>
      </c>
      <c r="J5131" t="s">
        <v>35063</v>
      </c>
      <c r="K5131" t="s">
        <v>41186</v>
      </c>
      <c r="M5131" t="s">
        <v>43316</v>
      </c>
      <c r="N5131" t="s">
        <v>45095</v>
      </c>
      <c r="O5131" t="s">
        <v>45096</v>
      </c>
      <c r="P5131">
        <v>0</v>
      </c>
      <c r="Q5131">
        <v>1</v>
      </c>
      <c r="R5131" t="s">
        <v>45102</v>
      </c>
      <c r="S5131" t="s">
        <v>45242</v>
      </c>
      <c r="T5131" t="s">
        <v>47159</v>
      </c>
      <c r="U5131" t="s">
        <v>51287</v>
      </c>
      <c r="V5131" t="s">
        <v>60330</v>
      </c>
      <c r="W5131" t="s">
        <v>61706</v>
      </c>
      <c r="X5131" t="s">
        <v>45103</v>
      </c>
    </row>
    <row r="5132" spans="1:24">
      <c r="A5132">
        <f>HYPERLINK("https://www.philgeps.gov.ph/GEPSNONPILOT/Tender/SplashBidNoticeAbstractUI.aspx?menuIndex=3&amp;refID=7038287&amp;Result=3","7038287")</f>
        <v>0</v>
      </c>
      <c r="B5132" t="s">
        <v>966</v>
      </c>
      <c r="C5132" t="s">
        <v>8106</v>
      </c>
      <c r="D5132" t="s">
        <v>18040</v>
      </c>
      <c r="E5132" t="s">
        <v>22697</v>
      </c>
      <c r="F5132" t="s">
        <v>31575</v>
      </c>
      <c r="G5132" t="s">
        <v>31582</v>
      </c>
      <c r="H5132" t="s">
        <v>31590</v>
      </c>
      <c r="I5132" t="s">
        <v>4046</v>
      </c>
      <c r="J5132" t="s">
        <v>32381</v>
      </c>
      <c r="K5132" t="s">
        <v>41211</v>
      </c>
      <c r="M5132" t="s">
        <v>42495</v>
      </c>
      <c r="N5132" t="s">
        <v>45095</v>
      </c>
      <c r="O5132" t="s">
        <v>45096</v>
      </c>
      <c r="P5132">
        <v>0</v>
      </c>
      <c r="Q5132">
        <v>1</v>
      </c>
      <c r="R5132" t="s">
        <v>45102</v>
      </c>
      <c r="S5132" t="s">
        <v>45242</v>
      </c>
      <c r="T5132" t="s">
        <v>46966</v>
      </c>
      <c r="U5132" t="s">
        <v>51776</v>
      </c>
      <c r="W5132" t="s">
        <v>42495</v>
      </c>
      <c r="X5132" t="s">
        <v>45103</v>
      </c>
    </row>
    <row r="5133" spans="1:24">
      <c r="A5133">
        <f>HYPERLINK("https://www.philgeps.gov.ph/GEPSNONPILOT/Tender/SplashBidNoticeAbstractUI.aspx?menuIndex=3&amp;refID=7038293&amp;Result=3","7038293")</f>
        <v>0</v>
      </c>
      <c r="B5133" t="s">
        <v>1686</v>
      </c>
      <c r="C5133" t="s">
        <v>8107</v>
      </c>
      <c r="D5133" t="s">
        <v>18066</v>
      </c>
      <c r="E5133" t="s">
        <v>22698</v>
      </c>
      <c r="F5133" t="s">
        <v>31574</v>
      </c>
      <c r="G5133" t="s">
        <v>31581</v>
      </c>
      <c r="H5133" t="s">
        <v>31590</v>
      </c>
      <c r="I5133" t="s">
        <v>31612</v>
      </c>
      <c r="J5133" t="s">
        <v>35064</v>
      </c>
      <c r="K5133" t="s">
        <v>41196</v>
      </c>
      <c r="M5133" t="s">
        <v>43299</v>
      </c>
      <c r="N5133" t="s">
        <v>45095</v>
      </c>
      <c r="O5133" t="s">
        <v>45096</v>
      </c>
      <c r="P5133">
        <v>0</v>
      </c>
      <c r="Q5133">
        <v>0</v>
      </c>
      <c r="R5133" t="s">
        <v>45102</v>
      </c>
      <c r="S5133" t="s">
        <v>45242</v>
      </c>
      <c r="T5133" t="s">
        <v>47158</v>
      </c>
      <c r="U5133" t="s">
        <v>51777</v>
      </c>
      <c r="W5133" t="s">
        <v>43299</v>
      </c>
      <c r="X5133" t="s">
        <v>45103</v>
      </c>
    </row>
    <row r="5134" spans="1:24">
      <c r="A5134">
        <f>HYPERLINK("https://www.philgeps.gov.ph/GEPSNONPILOT/Tender/SplashBidNoticeAbstractUI.aspx?menuIndex=3&amp;refID=7038283&amp;Result=3","7038283")</f>
        <v>0</v>
      </c>
      <c r="B5134" t="s">
        <v>346</v>
      </c>
      <c r="C5134" t="s">
        <v>8108</v>
      </c>
      <c r="D5134" t="s">
        <v>18044</v>
      </c>
      <c r="E5134" t="s">
        <v>22699</v>
      </c>
      <c r="F5134" t="s">
        <v>31574</v>
      </c>
      <c r="G5134" t="s">
        <v>31583</v>
      </c>
      <c r="H5134" t="s">
        <v>31590</v>
      </c>
      <c r="I5134" t="s">
        <v>7185</v>
      </c>
      <c r="J5134" t="s">
        <v>35065</v>
      </c>
      <c r="K5134" t="s">
        <v>41196</v>
      </c>
      <c r="M5134" t="s">
        <v>41834</v>
      </c>
      <c r="N5134" t="s">
        <v>45095</v>
      </c>
      <c r="O5134" t="s">
        <v>45096</v>
      </c>
      <c r="P5134">
        <v>0</v>
      </c>
      <c r="Q5134">
        <v>2</v>
      </c>
      <c r="R5134" t="s">
        <v>45102</v>
      </c>
      <c r="S5134" t="s">
        <v>45242</v>
      </c>
      <c r="T5134" t="s">
        <v>47159</v>
      </c>
      <c r="U5134" t="s">
        <v>51778</v>
      </c>
      <c r="W5134" t="s">
        <v>44356</v>
      </c>
      <c r="X5134" t="s">
        <v>45103</v>
      </c>
    </row>
    <row r="5135" spans="1:24">
      <c r="A5135">
        <f>HYPERLINK("https://www.philgeps.gov.ph/GEPSNONPILOT/Tender/SplashBidNoticeAbstractUI.aspx?menuIndex=3&amp;refID=7038279&amp;Result=3","7038279")</f>
        <v>0</v>
      </c>
      <c r="B5135" t="s">
        <v>176</v>
      </c>
      <c r="C5135" t="s">
        <v>8109</v>
      </c>
      <c r="D5135" t="s">
        <v>18059</v>
      </c>
      <c r="E5135" t="s">
        <v>22700</v>
      </c>
      <c r="F5135" t="s">
        <v>31574</v>
      </c>
      <c r="G5135" t="s">
        <v>31581</v>
      </c>
      <c r="H5135" t="s">
        <v>31590</v>
      </c>
      <c r="I5135" t="s">
        <v>31604</v>
      </c>
      <c r="J5135" t="s">
        <v>35066</v>
      </c>
      <c r="K5135" t="s">
        <v>41193</v>
      </c>
      <c r="M5135" t="s">
        <v>41660</v>
      </c>
      <c r="N5135" t="s">
        <v>45095</v>
      </c>
      <c r="O5135" t="s">
        <v>45096</v>
      </c>
      <c r="P5135">
        <v>0</v>
      </c>
      <c r="Q5135">
        <v>2</v>
      </c>
      <c r="R5135" t="s">
        <v>45102</v>
      </c>
      <c r="S5135" t="s">
        <v>45242</v>
      </c>
      <c r="T5135" t="s">
        <v>47197</v>
      </c>
      <c r="U5135" t="s">
        <v>51779</v>
      </c>
      <c r="V5135" t="s">
        <v>59893</v>
      </c>
      <c r="W5135" t="s">
        <v>41660</v>
      </c>
      <c r="X5135" t="s">
        <v>45103</v>
      </c>
    </row>
    <row r="5136" spans="1:24">
      <c r="A5136">
        <f>HYPERLINK("https://www.philgeps.gov.ph/GEPSNONPILOT/Tender/SplashBidNoticeAbstractUI.aspx?menuIndex=3&amp;refID=7038289&amp;Result=3","7038289")</f>
        <v>0</v>
      </c>
      <c r="B5136" t="s">
        <v>1031</v>
      </c>
      <c r="C5136" t="s">
        <v>8110</v>
      </c>
      <c r="D5136" t="s">
        <v>18056</v>
      </c>
      <c r="E5136" t="s">
        <v>22701</v>
      </c>
      <c r="F5136" t="s">
        <v>31574</v>
      </c>
      <c r="G5136" t="s">
        <v>31582</v>
      </c>
      <c r="H5136" t="s">
        <v>31591</v>
      </c>
      <c r="I5136" t="s">
        <v>8822</v>
      </c>
      <c r="J5136" t="s">
        <v>35067</v>
      </c>
      <c r="K5136" t="s">
        <v>41243</v>
      </c>
      <c r="M5136" t="s">
        <v>42572</v>
      </c>
      <c r="N5136" t="s">
        <v>45095</v>
      </c>
      <c r="O5136" t="s">
        <v>45096</v>
      </c>
      <c r="P5136">
        <v>0</v>
      </c>
      <c r="Q5136">
        <v>1</v>
      </c>
      <c r="R5136" t="s">
        <v>45102</v>
      </c>
      <c r="S5136" t="s">
        <v>45242</v>
      </c>
      <c r="T5136" t="s">
        <v>47239</v>
      </c>
      <c r="U5136" t="s">
        <v>51780</v>
      </c>
      <c r="W5136" t="s">
        <v>42572</v>
      </c>
      <c r="X5136" t="s">
        <v>45103</v>
      </c>
    </row>
    <row r="5137" spans="1:24">
      <c r="A5137">
        <f>HYPERLINK("https://www.philgeps.gov.ph/GEPSNONPILOT/Tender/SplashBidNoticeAbstractUI.aspx?menuIndex=3&amp;refID=7038282&amp;Result=3","7038282")</f>
        <v>0</v>
      </c>
      <c r="B5137" t="s">
        <v>1701</v>
      </c>
      <c r="C5137" t="s">
        <v>8111</v>
      </c>
      <c r="D5137" t="s">
        <v>18039</v>
      </c>
      <c r="E5137" t="s">
        <v>18533</v>
      </c>
      <c r="F5137" t="s">
        <v>31574</v>
      </c>
      <c r="G5137" t="s">
        <v>31582</v>
      </c>
      <c r="H5137" t="s">
        <v>31590</v>
      </c>
      <c r="I5137" t="s">
        <v>31615</v>
      </c>
      <c r="J5137" t="s">
        <v>31947</v>
      </c>
      <c r="K5137" t="s">
        <v>41186</v>
      </c>
      <c r="M5137" t="s">
        <v>43317</v>
      </c>
      <c r="N5137" t="s">
        <v>45095</v>
      </c>
      <c r="O5137" t="s">
        <v>45096</v>
      </c>
      <c r="P5137">
        <v>0</v>
      </c>
      <c r="Q5137">
        <v>0</v>
      </c>
      <c r="R5137" t="s">
        <v>45102</v>
      </c>
      <c r="S5137" t="s">
        <v>45242</v>
      </c>
      <c r="T5137" t="s">
        <v>46930</v>
      </c>
      <c r="U5137" t="s">
        <v>51781</v>
      </c>
      <c r="W5137" t="s">
        <v>43317</v>
      </c>
      <c r="X5137" t="s">
        <v>45103</v>
      </c>
    </row>
    <row r="5138" spans="1:24">
      <c r="A5138">
        <f>HYPERLINK("https://www.philgeps.gov.ph/GEPSNONPILOT/Tender/SplashBidNoticeAbstractUI.aspx?menuIndex=3&amp;refID=7038291&amp;Result=3","7038291")</f>
        <v>0</v>
      </c>
      <c r="B5138" t="s">
        <v>1671</v>
      </c>
      <c r="C5138" t="s">
        <v>8112</v>
      </c>
      <c r="D5138" t="s">
        <v>18056</v>
      </c>
      <c r="E5138" t="s">
        <v>22702</v>
      </c>
      <c r="F5138" t="s">
        <v>31574</v>
      </c>
      <c r="G5138" t="s">
        <v>31582</v>
      </c>
      <c r="H5138" t="s">
        <v>31591</v>
      </c>
      <c r="I5138" t="s">
        <v>8822</v>
      </c>
      <c r="J5138" t="s">
        <v>32049</v>
      </c>
      <c r="K5138" t="s">
        <v>41192</v>
      </c>
      <c r="M5138" t="s">
        <v>43284</v>
      </c>
      <c r="N5138" t="s">
        <v>45095</v>
      </c>
      <c r="O5138" t="s">
        <v>45096</v>
      </c>
      <c r="P5138">
        <v>0</v>
      </c>
      <c r="Q5138">
        <v>0</v>
      </c>
      <c r="R5138" t="s">
        <v>45102</v>
      </c>
      <c r="S5138" t="s">
        <v>45242</v>
      </c>
      <c r="T5138" t="s">
        <v>46988</v>
      </c>
      <c r="U5138" t="s">
        <v>51782</v>
      </c>
      <c r="W5138" t="s">
        <v>43284</v>
      </c>
      <c r="X5138" t="s">
        <v>45103</v>
      </c>
    </row>
    <row r="5139" spans="1:24">
      <c r="A5139">
        <f>HYPERLINK("https://www.philgeps.gov.ph/GEPSNONPILOT/Tender/SplashBidNoticeAbstractUI.aspx?menuIndex=3&amp;refID=7038307&amp;Result=3","7038307")</f>
        <v>0</v>
      </c>
      <c r="B5139" t="s">
        <v>1696</v>
      </c>
      <c r="C5139" t="s">
        <v>8077</v>
      </c>
      <c r="D5139" t="s">
        <v>18046</v>
      </c>
      <c r="E5139" t="s">
        <v>22703</v>
      </c>
      <c r="F5139" t="s">
        <v>31574</v>
      </c>
      <c r="G5139" t="s">
        <v>31582</v>
      </c>
      <c r="H5139" t="s">
        <v>31590</v>
      </c>
      <c r="I5139" t="s">
        <v>31602</v>
      </c>
      <c r="J5139" t="s">
        <v>35068</v>
      </c>
      <c r="K5139" t="s">
        <v>41190</v>
      </c>
      <c r="M5139" t="s">
        <v>43310</v>
      </c>
      <c r="N5139" t="s">
        <v>45095</v>
      </c>
      <c r="O5139" t="s">
        <v>45096</v>
      </c>
      <c r="P5139">
        <v>0</v>
      </c>
      <c r="Q5139">
        <v>0</v>
      </c>
      <c r="R5139" t="s">
        <v>45102</v>
      </c>
      <c r="S5139" t="s">
        <v>45242</v>
      </c>
      <c r="T5139" t="s">
        <v>46914</v>
      </c>
      <c r="U5139" t="s">
        <v>51783</v>
      </c>
      <c r="V5139" t="s">
        <v>60394</v>
      </c>
      <c r="W5139" t="s">
        <v>43310</v>
      </c>
      <c r="X5139" t="s">
        <v>45103</v>
      </c>
    </row>
    <row r="5140" spans="1:24">
      <c r="A5140">
        <f>HYPERLINK("https://www.philgeps.gov.ph/GEPSNONPILOT/Tender/SplashBidNoticeAbstractUI.aspx?menuIndex=3&amp;refID=7038300&amp;Result=3","7038300")</f>
        <v>0</v>
      </c>
      <c r="B5140" t="s">
        <v>687</v>
      </c>
      <c r="C5140" t="s">
        <v>8113</v>
      </c>
      <c r="D5140" t="s">
        <v>18070</v>
      </c>
      <c r="E5140" t="s">
        <v>22704</v>
      </c>
      <c r="F5140" t="s">
        <v>31574</v>
      </c>
      <c r="G5140" t="s">
        <v>31581</v>
      </c>
      <c r="H5140" t="s">
        <v>31590</v>
      </c>
      <c r="I5140" t="s">
        <v>31599</v>
      </c>
      <c r="J5140" t="s">
        <v>35069</v>
      </c>
      <c r="K5140" t="s">
        <v>41193</v>
      </c>
      <c r="M5140" t="s">
        <v>42194</v>
      </c>
      <c r="N5140" t="s">
        <v>45095</v>
      </c>
      <c r="O5140" t="s">
        <v>45096</v>
      </c>
      <c r="P5140">
        <v>0</v>
      </c>
      <c r="Q5140">
        <v>2</v>
      </c>
      <c r="R5140" t="s">
        <v>45102</v>
      </c>
      <c r="S5140" t="s">
        <v>45242</v>
      </c>
      <c r="T5140" t="s">
        <v>47162</v>
      </c>
      <c r="U5140" t="s">
        <v>51784</v>
      </c>
      <c r="V5140" t="s">
        <v>60009</v>
      </c>
      <c r="W5140" t="s">
        <v>42194</v>
      </c>
      <c r="X5140" t="s">
        <v>45103</v>
      </c>
    </row>
    <row r="5141" spans="1:24">
      <c r="A5141">
        <f>HYPERLINK("https://www.philgeps.gov.ph/GEPSNONPILOT/Tender/SplashBidNoticeAbstractUI.aspx?menuIndex=3&amp;refID=7038280&amp;Result=3","7038280")</f>
        <v>0</v>
      </c>
      <c r="B5141" t="s">
        <v>255</v>
      </c>
      <c r="C5141" t="s">
        <v>8114</v>
      </c>
      <c r="D5141" t="s">
        <v>18082</v>
      </c>
      <c r="E5141" t="s">
        <v>22705</v>
      </c>
      <c r="F5141" t="s">
        <v>31574</v>
      </c>
      <c r="G5141" t="s">
        <v>31582</v>
      </c>
      <c r="H5141" t="s">
        <v>31591</v>
      </c>
      <c r="I5141" t="s">
        <v>8822</v>
      </c>
      <c r="J5141" t="s">
        <v>31935</v>
      </c>
      <c r="K5141" t="s">
        <v>41286</v>
      </c>
      <c r="M5141" t="s">
        <v>41741</v>
      </c>
      <c r="N5141" t="s">
        <v>45095</v>
      </c>
      <c r="O5141" t="s">
        <v>45096</v>
      </c>
      <c r="P5141">
        <v>0</v>
      </c>
      <c r="Q5141">
        <v>0</v>
      </c>
      <c r="R5141" t="s">
        <v>45102</v>
      </c>
      <c r="S5141" t="s">
        <v>45242</v>
      </c>
      <c r="T5141" t="s">
        <v>46988</v>
      </c>
      <c r="U5141" t="s">
        <v>51785</v>
      </c>
      <c r="V5141" t="s">
        <v>60395</v>
      </c>
      <c r="W5141" t="s">
        <v>41741</v>
      </c>
      <c r="X5141" t="s">
        <v>45103</v>
      </c>
    </row>
    <row r="5142" spans="1:24">
      <c r="A5142">
        <f>HYPERLINK("https://www.philgeps.gov.ph/GEPSNONPILOT/Tender/SplashBidNoticeAbstractUI.aspx?menuIndex=3&amp;refID=7038311&amp;Result=3","7038311")</f>
        <v>0</v>
      </c>
      <c r="B5142" t="s">
        <v>1695</v>
      </c>
      <c r="C5142" t="s">
        <v>8115</v>
      </c>
      <c r="D5142" t="s">
        <v>18094</v>
      </c>
      <c r="E5142" t="s">
        <v>19962</v>
      </c>
      <c r="F5142" t="s">
        <v>31574</v>
      </c>
      <c r="G5142" t="s">
        <v>31582</v>
      </c>
      <c r="H5142" t="s">
        <v>31591</v>
      </c>
      <c r="I5142" t="s">
        <v>8822</v>
      </c>
      <c r="J5142" t="s">
        <v>32120</v>
      </c>
      <c r="K5142" t="s">
        <v>41203</v>
      </c>
      <c r="M5142" t="s">
        <v>43309</v>
      </c>
      <c r="N5142" t="s">
        <v>45095</v>
      </c>
      <c r="O5142" t="s">
        <v>45096</v>
      </c>
      <c r="P5142">
        <v>0</v>
      </c>
      <c r="Q5142">
        <v>2</v>
      </c>
      <c r="R5142" t="s">
        <v>45102</v>
      </c>
      <c r="S5142" t="s">
        <v>45242</v>
      </c>
      <c r="T5142" t="s">
        <v>47238</v>
      </c>
      <c r="U5142" t="s">
        <v>51786</v>
      </c>
      <c r="V5142" t="s">
        <v>60386</v>
      </c>
      <c r="W5142" t="s">
        <v>43309</v>
      </c>
      <c r="X5142" t="s">
        <v>45103</v>
      </c>
    </row>
    <row r="5143" spans="1:24">
      <c r="A5143">
        <f>HYPERLINK("https://www.philgeps.gov.ph/GEPSNONPILOT/Tender/SplashBidNoticeAbstractUI.aspx?menuIndex=3&amp;refID=7038276&amp;Result=3","7038276")</f>
        <v>0</v>
      </c>
      <c r="B5143" t="s">
        <v>1702</v>
      </c>
      <c r="C5143" t="s">
        <v>8116</v>
      </c>
      <c r="D5143" t="s">
        <v>18027</v>
      </c>
      <c r="E5143" t="s">
        <v>22706</v>
      </c>
      <c r="F5143" t="s">
        <v>31574</v>
      </c>
      <c r="G5143" t="s">
        <v>31582</v>
      </c>
      <c r="H5143" t="s">
        <v>31590</v>
      </c>
      <c r="I5143" t="s">
        <v>8822</v>
      </c>
      <c r="J5143" t="s">
        <v>35070</v>
      </c>
      <c r="K5143" t="s">
        <v>41193</v>
      </c>
      <c r="M5143" t="s">
        <v>43318</v>
      </c>
      <c r="N5143" t="s">
        <v>45095</v>
      </c>
      <c r="O5143" t="s">
        <v>45096</v>
      </c>
      <c r="P5143">
        <v>0</v>
      </c>
      <c r="Q5143">
        <v>0</v>
      </c>
      <c r="R5143" t="s">
        <v>45102</v>
      </c>
      <c r="S5143" t="s">
        <v>45242</v>
      </c>
      <c r="T5143" t="s">
        <v>47240</v>
      </c>
      <c r="U5143" t="s">
        <v>51787</v>
      </c>
      <c r="W5143" t="s">
        <v>43318</v>
      </c>
      <c r="X5143" t="s">
        <v>45103</v>
      </c>
    </row>
    <row r="5144" spans="1:24">
      <c r="A5144">
        <f>HYPERLINK("https://www.philgeps.gov.ph/GEPSNONPILOT/Tender/SplashBidNoticeAbstractUI.aspx?menuIndex=3&amp;refID=7038309&amp;Result=3","7038309")</f>
        <v>0</v>
      </c>
      <c r="B5144" t="s">
        <v>1703</v>
      </c>
      <c r="C5144" t="s">
        <v>8117</v>
      </c>
      <c r="D5144" t="s">
        <v>18035</v>
      </c>
      <c r="E5144" t="s">
        <v>22707</v>
      </c>
      <c r="F5144" t="s">
        <v>31574</v>
      </c>
      <c r="G5144" t="s">
        <v>31582</v>
      </c>
      <c r="H5144" t="s">
        <v>31591</v>
      </c>
      <c r="I5144" t="s">
        <v>8822</v>
      </c>
      <c r="J5144" t="s">
        <v>35071</v>
      </c>
      <c r="K5144" t="s">
        <v>41329</v>
      </c>
      <c r="M5144" t="s">
        <v>43319</v>
      </c>
      <c r="N5144" t="s">
        <v>45095</v>
      </c>
      <c r="O5144" t="s">
        <v>45096</v>
      </c>
      <c r="P5144">
        <v>0</v>
      </c>
      <c r="Q5144">
        <v>12</v>
      </c>
      <c r="R5144" t="s">
        <v>45102</v>
      </c>
      <c r="S5144" t="s">
        <v>45242</v>
      </c>
      <c r="T5144" t="s">
        <v>46941</v>
      </c>
      <c r="U5144" t="s">
        <v>51788</v>
      </c>
      <c r="V5144" t="s">
        <v>60396</v>
      </c>
      <c r="W5144" t="s">
        <v>43319</v>
      </c>
      <c r="X5144" t="s">
        <v>45103</v>
      </c>
    </row>
    <row r="5145" spans="1:24">
      <c r="A5145">
        <f>HYPERLINK("https://www.philgeps.gov.ph/GEPSNONPILOT/Tender/SplashBidNoticeAbstractUI.aspx?menuIndex=3&amp;refID=7038330&amp;Result=3","7038330")</f>
        <v>0</v>
      </c>
      <c r="B5145" t="s">
        <v>1704</v>
      </c>
      <c r="C5145" t="s">
        <v>8118</v>
      </c>
      <c r="D5145" t="s">
        <v>18066</v>
      </c>
      <c r="E5145" t="s">
        <v>22708</v>
      </c>
      <c r="F5145" t="s">
        <v>31574</v>
      </c>
      <c r="G5145" t="s">
        <v>31582</v>
      </c>
      <c r="H5145" t="s">
        <v>31591</v>
      </c>
      <c r="I5145" t="s">
        <v>8822</v>
      </c>
      <c r="J5145" t="s">
        <v>32049</v>
      </c>
      <c r="K5145" t="s">
        <v>41191</v>
      </c>
      <c r="M5145" t="s">
        <v>43320</v>
      </c>
      <c r="N5145" t="s">
        <v>45095</v>
      </c>
      <c r="O5145" t="s">
        <v>45096</v>
      </c>
      <c r="P5145">
        <v>0</v>
      </c>
      <c r="Q5145">
        <v>0</v>
      </c>
      <c r="R5145" t="s">
        <v>45102</v>
      </c>
      <c r="S5145" t="s">
        <v>45242</v>
      </c>
      <c r="T5145" t="s">
        <v>46963</v>
      </c>
      <c r="U5145" t="s">
        <v>51789</v>
      </c>
      <c r="W5145" t="s">
        <v>43320</v>
      </c>
      <c r="X5145" t="s">
        <v>45103</v>
      </c>
    </row>
    <row r="5146" spans="1:24">
      <c r="A5146">
        <f>HYPERLINK("https://www.philgeps.gov.ph/GEPSNONPILOT/Tender/SplashBidNoticeAbstractUI.aspx?menuIndex=3&amp;refID=7038301&amp;Result=3","7038301")</f>
        <v>0</v>
      </c>
      <c r="B5146" t="s">
        <v>1705</v>
      </c>
      <c r="C5146" t="s">
        <v>8119</v>
      </c>
      <c r="D5146" t="s">
        <v>18022</v>
      </c>
      <c r="E5146" t="s">
        <v>22709</v>
      </c>
      <c r="F5146" t="s">
        <v>31574</v>
      </c>
      <c r="G5146" t="s">
        <v>31581</v>
      </c>
      <c r="H5146" t="s">
        <v>31592</v>
      </c>
      <c r="I5146" t="s">
        <v>31641</v>
      </c>
      <c r="J5146" t="s">
        <v>35072</v>
      </c>
      <c r="K5146" t="s">
        <v>41193</v>
      </c>
      <c r="M5146" t="s">
        <v>43321</v>
      </c>
      <c r="N5146" t="s">
        <v>45095</v>
      </c>
      <c r="O5146" t="s">
        <v>45096</v>
      </c>
      <c r="P5146">
        <v>0</v>
      </c>
      <c r="Q5146">
        <v>4</v>
      </c>
      <c r="R5146" t="s">
        <v>45102</v>
      </c>
      <c r="S5146" t="s">
        <v>45242</v>
      </c>
      <c r="T5146" t="s">
        <v>47125</v>
      </c>
      <c r="U5146" t="s">
        <v>51790</v>
      </c>
      <c r="W5146" t="s">
        <v>43321</v>
      </c>
      <c r="X5146" t="s">
        <v>45103</v>
      </c>
    </row>
    <row r="5147" spans="1:24">
      <c r="A5147">
        <f>HYPERLINK("https://www.philgeps.gov.ph/GEPSNONPILOT/Tender/SplashBidNoticeAbstractUI.aspx?menuIndex=3&amp;refID=7038275&amp;Result=3","7038275")</f>
        <v>0</v>
      </c>
      <c r="B5147" t="s">
        <v>346</v>
      </c>
      <c r="C5147" t="s">
        <v>8120</v>
      </c>
      <c r="D5147" t="s">
        <v>18044</v>
      </c>
      <c r="E5147" t="s">
        <v>22710</v>
      </c>
      <c r="F5147" t="s">
        <v>31574</v>
      </c>
      <c r="G5147" t="s">
        <v>31581</v>
      </c>
      <c r="H5147" t="s">
        <v>31590</v>
      </c>
      <c r="I5147" t="s">
        <v>31605</v>
      </c>
      <c r="J5147" t="s">
        <v>35073</v>
      </c>
      <c r="K5147" t="s">
        <v>41196</v>
      </c>
      <c r="M5147" t="s">
        <v>41834</v>
      </c>
      <c r="N5147" t="s">
        <v>45095</v>
      </c>
      <c r="O5147" t="s">
        <v>45096</v>
      </c>
      <c r="P5147">
        <v>0</v>
      </c>
      <c r="Q5147">
        <v>2</v>
      </c>
      <c r="R5147" t="s">
        <v>45102</v>
      </c>
      <c r="S5147" t="s">
        <v>45242</v>
      </c>
      <c r="T5147" t="s">
        <v>47159</v>
      </c>
      <c r="U5147" t="s">
        <v>48146</v>
      </c>
      <c r="W5147" t="s">
        <v>44356</v>
      </c>
      <c r="X5147" t="s">
        <v>45103</v>
      </c>
    </row>
    <row r="5148" spans="1:24">
      <c r="A5148">
        <f>HYPERLINK("https://www.philgeps.gov.ph/GEPSNONPILOT/Tender/SplashBidNoticeAbstractUI.aspx?menuIndex=3&amp;refID=7038329&amp;Result=3","7038329")</f>
        <v>0</v>
      </c>
      <c r="B5148" t="s">
        <v>1696</v>
      </c>
      <c r="C5148" t="s">
        <v>8121</v>
      </c>
      <c r="D5148" t="s">
        <v>18046</v>
      </c>
      <c r="E5148" t="s">
        <v>22711</v>
      </c>
      <c r="F5148" t="s">
        <v>31574</v>
      </c>
      <c r="G5148" t="s">
        <v>31582</v>
      </c>
      <c r="H5148" t="s">
        <v>31590</v>
      </c>
      <c r="I5148" t="s">
        <v>31608</v>
      </c>
      <c r="J5148" t="s">
        <v>32010</v>
      </c>
      <c r="K5148" t="s">
        <v>41190</v>
      </c>
      <c r="M5148" t="s">
        <v>43310</v>
      </c>
      <c r="N5148" t="s">
        <v>45095</v>
      </c>
      <c r="O5148" t="s">
        <v>45096</v>
      </c>
      <c r="P5148">
        <v>0</v>
      </c>
      <c r="Q5148">
        <v>0</v>
      </c>
      <c r="R5148" t="s">
        <v>45102</v>
      </c>
      <c r="S5148" t="s">
        <v>45242</v>
      </c>
      <c r="T5148" t="s">
        <v>46914</v>
      </c>
      <c r="U5148" t="s">
        <v>51791</v>
      </c>
      <c r="V5148" t="s">
        <v>60397</v>
      </c>
      <c r="W5148" t="s">
        <v>43310</v>
      </c>
      <c r="X5148" t="s">
        <v>45103</v>
      </c>
    </row>
    <row r="5149" spans="1:24">
      <c r="A5149">
        <f>HYPERLINK("https://www.philgeps.gov.ph/GEPSNONPILOT/Tender/SplashBidNoticeAbstractUI.aspx?menuIndex=3&amp;refID=7038308&amp;Result=3","7038308")</f>
        <v>0</v>
      </c>
      <c r="B5149" t="s">
        <v>1706</v>
      </c>
      <c r="C5149" t="s">
        <v>5946</v>
      </c>
      <c r="D5149" t="s">
        <v>18027</v>
      </c>
      <c r="E5149" t="s">
        <v>22712</v>
      </c>
      <c r="F5149" t="s">
        <v>31574</v>
      </c>
      <c r="G5149" t="s">
        <v>31582</v>
      </c>
      <c r="H5149" t="s">
        <v>31590</v>
      </c>
      <c r="I5149" t="s">
        <v>31607</v>
      </c>
      <c r="J5149" t="s">
        <v>35074</v>
      </c>
      <c r="K5149" t="s">
        <v>41193</v>
      </c>
      <c r="M5149" t="s">
        <v>43322</v>
      </c>
      <c r="N5149" t="s">
        <v>45095</v>
      </c>
      <c r="O5149" t="s">
        <v>45096</v>
      </c>
      <c r="P5149">
        <v>0</v>
      </c>
      <c r="Q5149">
        <v>1</v>
      </c>
      <c r="R5149" t="s">
        <v>45102</v>
      </c>
      <c r="S5149" t="s">
        <v>45242</v>
      </c>
      <c r="T5149" t="s">
        <v>47241</v>
      </c>
      <c r="U5149" t="s">
        <v>51792</v>
      </c>
      <c r="W5149" t="s">
        <v>43322</v>
      </c>
      <c r="X5149" t="s">
        <v>45103</v>
      </c>
    </row>
    <row r="5150" spans="1:24">
      <c r="A5150">
        <f>HYPERLINK("https://www.philgeps.gov.ph/GEPSNONPILOT/Tender/SplashBidNoticeAbstractUI.aspx?menuIndex=3&amp;refID=7038303&amp;Result=3","7038303")</f>
        <v>0</v>
      </c>
      <c r="B5150" t="s">
        <v>1275</v>
      </c>
      <c r="C5150" t="s">
        <v>8122</v>
      </c>
      <c r="D5150" t="s">
        <v>18026</v>
      </c>
      <c r="E5150" t="s">
        <v>22713</v>
      </c>
      <c r="F5150" t="s">
        <v>31574</v>
      </c>
      <c r="G5150" t="s">
        <v>31581</v>
      </c>
      <c r="H5150" t="s">
        <v>31590</v>
      </c>
      <c r="I5150" t="s">
        <v>31626</v>
      </c>
      <c r="J5150" t="s">
        <v>35075</v>
      </c>
      <c r="K5150" t="s">
        <v>41190</v>
      </c>
      <c r="M5150" t="s">
        <v>43315</v>
      </c>
      <c r="N5150" t="s">
        <v>45095</v>
      </c>
      <c r="O5150" t="s">
        <v>45096</v>
      </c>
      <c r="P5150">
        <v>0</v>
      </c>
      <c r="Q5150">
        <v>4</v>
      </c>
      <c r="R5150" t="s">
        <v>45102</v>
      </c>
      <c r="S5150" t="s">
        <v>45242</v>
      </c>
      <c r="T5150" t="s">
        <v>47050</v>
      </c>
      <c r="U5150" t="s">
        <v>51793</v>
      </c>
      <c r="V5150" t="s">
        <v>60398</v>
      </c>
      <c r="W5150" t="s">
        <v>43315</v>
      </c>
      <c r="X5150" t="s">
        <v>45103</v>
      </c>
    </row>
    <row r="5151" spans="1:24">
      <c r="A5151">
        <f>HYPERLINK("https://www.philgeps.gov.ph/GEPSNONPILOT/Tender/SplashBidNoticeAbstractUI.aspx?menuIndex=3&amp;refID=7038325&amp;Result=3","7038325")</f>
        <v>0</v>
      </c>
      <c r="B5151" t="s">
        <v>1707</v>
      </c>
      <c r="C5151" t="s">
        <v>8123</v>
      </c>
      <c r="D5151" t="s">
        <v>18023</v>
      </c>
      <c r="E5151" t="s">
        <v>22714</v>
      </c>
      <c r="F5151" t="s">
        <v>31574</v>
      </c>
      <c r="G5151" t="s">
        <v>31583</v>
      </c>
      <c r="H5151" t="s">
        <v>31590</v>
      </c>
      <c r="I5151" t="s">
        <v>31607</v>
      </c>
      <c r="J5151" t="s">
        <v>32553</v>
      </c>
      <c r="K5151" t="s">
        <v>41186</v>
      </c>
      <c r="M5151" t="s">
        <v>43323</v>
      </c>
      <c r="N5151" t="s">
        <v>45095</v>
      </c>
      <c r="O5151" t="s">
        <v>45096</v>
      </c>
      <c r="P5151">
        <v>0</v>
      </c>
      <c r="Q5151">
        <v>4</v>
      </c>
      <c r="R5151" t="s">
        <v>45102</v>
      </c>
      <c r="S5151" t="s">
        <v>45242</v>
      </c>
      <c r="T5151" t="s">
        <v>47125</v>
      </c>
      <c r="U5151" t="s">
        <v>51794</v>
      </c>
      <c r="W5151" t="s">
        <v>43323</v>
      </c>
      <c r="X5151" t="s">
        <v>45103</v>
      </c>
    </row>
    <row r="5152" spans="1:24">
      <c r="A5152">
        <f>HYPERLINK("https://www.philgeps.gov.ph/GEPSNONPILOT/Tender/SplashBidNoticeAbstractUI.aspx?menuIndex=3&amp;refID=7038324&amp;Result=3","7038324")</f>
        <v>0</v>
      </c>
      <c r="B5152" t="s">
        <v>1708</v>
      </c>
      <c r="C5152" t="s">
        <v>8124</v>
      </c>
      <c r="D5152" t="s">
        <v>18039</v>
      </c>
      <c r="E5152" t="s">
        <v>22715</v>
      </c>
      <c r="F5152" t="s">
        <v>31574</v>
      </c>
      <c r="G5152" t="s">
        <v>31581</v>
      </c>
      <c r="H5152" t="s">
        <v>31590</v>
      </c>
      <c r="I5152" t="s">
        <v>31705</v>
      </c>
      <c r="J5152" t="s">
        <v>35076</v>
      </c>
      <c r="K5152" t="s">
        <v>41191</v>
      </c>
      <c r="M5152" t="s">
        <v>43324</v>
      </c>
      <c r="N5152" t="s">
        <v>45095</v>
      </c>
      <c r="O5152" t="s">
        <v>45096</v>
      </c>
      <c r="P5152">
        <v>0</v>
      </c>
      <c r="Q5152">
        <v>0</v>
      </c>
      <c r="R5152" t="s">
        <v>45102</v>
      </c>
      <c r="S5152" t="s">
        <v>45242</v>
      </c>
      <c r="T5152" t="s">
        <v>46963</v>
      </c>
      <c r="U5152" t="s">
        <v>51795</v>
      </c>
      <c r="W5152" t="s">
        <v>43324</v>
      </c>
      <c r="X5152" t="s">
        <v>45103</v>
      </c>
    </row>
    <row r="5153" spans="1:24">
      <c r="A5153">
        <f>HYPERLINK("https://www.philgeps.gov.ph/GEPSNONPILOT/Tender/SplashBidNoticeAbstractUI.aspx?menuIndex=3&amp;refID=7038306&amp;Result=3","7038306")</f>
        <v>0</v>
      </c>
      <c r="B5153" t="s">
        <v>1709</v>
      </c>
      <c r="C5153" t="s">
        <v>8125</v>
      </c>
      <c r="D5153" t="s">
        <v>18071</v>
      </c>
      <c r="E5153" t="s">
        <v>22716</v>
      </c>
      <c r="F5153" t="s">
        <v>31574</v>
      </c>
      <c r="G5153" t="s">
        <v>31581</v>
      </c>
      <c r="H5153" t="s">
        <v>31590</v>
      </c>
      <c r="I5153" t="s">
        <v>5717</v>
      </c>
      <c r="J5153" t="s">
        <v>35077</v>
      </c>
      <c r="K5153" t="s">
        <v>41184</v>
      </c>
      <c r="M5153" t="s">
        <v>43325</v>
      </c>
      <c r="N5153" t="s">
        <v>45095</v>
      </c>
      <c r="O5153" t="s">
        <v>45096</v>
      </c>
      <c r="P5153">
        <v>0</v>
      </c>
      <c r="Q5153">
        <v>2</v>
      </c>
      <c r="R5153" t="s">
        <v>45102</v>
      </c>
      <c r="S5153" t="s">
        <v>45242</v>
      </c>
      <c r="T5153" t="s">
        <v>47154</v>
      </c>
      <c r="U5153" t="s">
        <v>51796</v>
      </c>
      <c r="V5153" t="s">
        <v>60399</v>
      </c>
      <c r="W5153" t="s">
        <v>43325</v>
      </c>
      <c r="X5153" t="s">
        <v>45103</v>
      </c>
    </row>
    <row r="5154" spans="1:24">
      <c r="A5154">
        <f>HYPERLINK("https://www.philgeps.gov.ph/GEPSNONPILOT/Tender/SplashBidNoticeAbstractUI.aspx?menuIndex=3&amp;refID=7038313&amp;Result=3","7038313")</f>
        <v>0</v>
      </c>
      <c r="B5154" t="s">
        <v>1710</v>
      </c>
      <c r="C5154" t="s">
        <v>8126</v>
      </c>
      <c r="D5154" t="s">
        <v>18024</v>
      </c>
      <c r="E5154" t="s">
        <v>22717</v>
      </c>
      <c r="F5154" t="s">
        <v>31575</v>
      </c>
      <c r="G5154" t="s">
        <v>31585</v>
      </c>
      <c r="H5154" t="s">
        <v>31591</v>
      </c>
      <c r="I5154" t="s">
        <v>31605</v>
      </c>
      <c r="J5154" t="s">
        <v>31789</v>
      </c>
      <c r="K5154" t="s">
        <v>41186</v>
      </c>
      <c r="M5154" t="s">
        <v>43326</v>
      </c>
      <c r="N5154" t="s">
        <v>45095</v>
      </c>
      <c r="O5154" t="s">
        <v>45096</v>
      </c>
      <c r="P5154">
        <v>0</v>
      </c>
      <c r="Q5154">
        <v>0</v>
      </c>
      <c r="R5154" t="s">
        <v>45102</v>
      </c>
      <c r="S5154" t="s">
        <v>45242</v>
      </c>
      <c r="T5154" t="s">
        <v>46904</v>
      </c>
      <c r="U5154" t="s">
        <v>51797</v>
      </c>
      <c r="V5154" t="s">
        <v>60400</v>
      </c>
      <c r="W5154" t="s">
        <v>43326</v>
      </c>
      <c r="X5154" t="s">
        <v>45103</v>
      </c>
    </row>
    <row r="5155" spans="1:24">
      <c r="A5155">
        <f>HYPERLINK("https://www.philgeps.gov.ph/GEPSNONPILOT/Tender/SplashBidNoticeAbstractUI.aspx?menuIndex=3&amp;refID=7038317&amp;Result=3","7038317")</f>
        <v>0</v>
      </c>
      <c r="B5155" t="s">
        <v>1711</v>
      </c>
      <c r="C5155" t="s">
        <v>8127</v>
      </c>
      <c r="E5155" t="s">
        <v>22718</v>
      </c>
      <c r="F5155" t="s">
        <v>31574</v>
      </c>
      <c r="G5155" t="s">
        <v>31582</v>
      </c>
      <c r="H5155" t="s">
        <v>31590</v>
      </c>
      <c r="I5155" t="s">
        <v>4046</v>
      </c>
      <c r="J5155" t="s">
        <v>35078</v>
      </c>
      <c r="K5155" t="s">
        <v>41184</v>
      </c>
      <c r="M5155" t="s">
        <v>43327</v>
      </c>
      <c r="N5155" t="s">
        <v>45095</v>
      </c>
      <c r="O5155" t="s">
        <v>45096</v>
      </c>
      <c r="P5155">
        <v>0</v>
      </c>
      <c r="Q5155">
        <v>0</v>
      </c>
      <c r="R5155" t="s">
        <v>45102</v>
      </c>
      <c r="S5155" t="s">
        <v>45242</v>
      </c>
      <c r="T5155" t="s">
        <v>47242</v>
      </c>
      <c r="U5155" t="s">
        <v>51798</v>
      </c>
      <c r="W5155" t="s">
        <v>43327</v>
      </c>
      <c r="X5155" t="s">
        <v>45103</v>
      </c>
    </row>
    <row r="5156" spans="1:24">
      <c r="A5156">
        <f>HYPERLINK("https://www.philgeps.gov.ph/GEPSNONPILOT/Tender/SplashBidNoticeAbstractUI.aspx?menuIndex=3&amp;refID=7038323&amp;Result=3","7038323")</f>
        <v>0</v>
      </c>
      <c r="B5156" t="s">
        <v>674</v>
      </c>
      <c r="C5156" t="s">
        <v>8128</v>
      </c>
      <c r="D5156" t="s">
        <v>18071</v>
      </c>
      <c r="E5156" t="s">
        <v>22719</v>
      </c>
      <c r="F5156" t="s">
        <v>31574</v>
      </c>
      <c r="G5156" t="s">
        <v>31583</v>
      </c>
      <c r="H5156" t="s">
        <v>31590</v>
      </c>
      <c r="I5156" t="s">
        <v>6800</v>
      </c>
      <c r="J5156" t="s">
        <v>35079</v>
      </c>
      <c r="K5156" t="s">
        <v>41191</v>
      </c>
      <c r="M5156" t="s">
        <v>42180</v>
      </c>
      <c r="N5156" t="s">
        <v>45095</v>
      </c>
      <c r="O5156" t="s">
        <v>45096</v>
      </c>
      <c r="P5156">
        <v>0</v>
      </c>
      <c r="Q5156">
        <v>2</v>
      </c>
      <c r="R5156" t="s">
        <v>45102</v>
      </c>
      <c r="S5156" t="s">
        <v>45242</v>
      </c>
      <c r="T5156" t="s">
        <v>46973</v>
      </c>
      <c r="U5156" t="s">
        <v>51799</v>
      </c>
      <c r="W5156" t="s">
        <v>42180</v>
      </c>
      <c r="X5156" t="s">
        <v>45103</v>
      </c>
    </row>
    <row r="5157" spans="1:24">
      <c r="A5157">
        <f>HYPERLINK("https://www.philgeps.gov.ph/GEPSNONPILOT/Tender/SplashBidNoticeAbstractUI.aspx?menuIndex=3&amp;refID=7038331&amp;Result=3","7038331")</f>
        <v>0</v>
      </c>
      <c r="B5157" t="s">
        <v>1712</v>
      </c>
      <c r="C5157" t="s">
        <v>8129</v>
      </c>
      <c r="D5157" t="s">
        <v>18052</v>
      </c>
      <c r="E5157" t="s">
        <v>22720</v>
      </c>
      <c r="F5157" t="s">
        <v>31574</v>
      </c>
      <c r="G5157" t="s">
        <v>31582</v>
      </c>
      <c r="H5157" t="s">
        <v>31590</v>
      </c>
      <c r="I5157" t="s">
        <v>31615</v>
      </c>
      <c r="J5157" t="s">
        <v>32232</v>
      </c>
      <c r="K5157" t="s">
        <v>41192</v>
      </c>
      <c r="M5157" t="s">
        <v>43328</v>
      </c>
      <c r="N5157" t="s">
        <v>45095</v>
      </c>
      <c r="O5157" t="s">
        <v>45096</v>
      </c>
      <c r="P5157">
        <v>0</v>
      </c>
      <c r="Q5157">
        <v>1</v>
      </c>
      <c r="R5157" t="s">
        <v>45102</v>
      </c>
      <c r="S5157" t="s">
        <v>45242</v>
      </c>
      <c r="T5157" t="s">
        <v>47243</v>
      </c>
      <c r="U5157" t="s">
        <v>51800</v>
      </c>
      <c r="W5157" t="s">
        <v>43328</v>
      </c>
      <c r="X5157" t="s">
        <v>45103</v>
      </c>
    </row>
    <row r="5158" spans="1:24">
      <c r="A5158">
        <f>HYPERLINK("https://www.philgeps.gov.ph/GEPSNONPILOT/Tender/SplashBidNoticeAbstractUI.aspx?menuIndex=3&amp;refID=7038312&amp;Result=3","7038312")</f>
        <v>0</v>
      </c>
      <c r="B5158" t="s">
        <v>967</v>
      </c>
      <c r="C5158" t="s">
        <v>8130</v>
      </c>
      <c r="D5158" t="s">
        <v>18027</v>
      </c>
      <c r="E5158" t="s">
        <v>22721</v>
      </c>
      <c r="F5158" t="s">
        <v>31574</v>
      </c>
      <c r="G5158" t="s">
        <v>31582</v>
      </c>
      <c r="H5158" t="s">
        <v>31591</v>
      </c>
      <c r="I5158" t="s">
        <v>8822</v>
      </c>
      <c r="J5158" t="s">
        <v>35080</v>
      </c>
      <c r="K5158" t="s">
        <v>41192</v>
      </c>
      <c r="M5158" t="s">
        <v>42496</v>
      </c>
      <c r="N5158" t="s">
        <v>45095</v>
      </c>
      <c r="O5158" t="s">
        <v>45096</v>
      </c>
      <c r="P5158">
        <v>0</v>
      </c>
      <c r="Q5158">
        <v>0</v>
      </c>
      <c r="R5158" t="s">
        <v>45102</v>
      </c>
      <c r="S5158" t="s">
        <v>45242</v>
      </c>
      <c r="T5158" t="s">
        <v>47151</v>
      </c>
      <c r="U5158" t="s">
        <v>51801</v>
      </c>
      <c r="W5158" t="s">
        <v>42496</v>
      </c>
      <c r="X5158" t="s">
        <v>45103</v>
      </c>
    </row>
    <row r="5159" spans="1:24">
      <c r="A5159">
        <f>HYPERLINK("https://www.philgeps.gov.ph/GEPSNONPILOT/Tender/SplashBidNoticeAbstractUI.aspx?menuIndex=3&amp;refID=7038315&amp;Result=3","7038315")</f>
        <v>0</v>
      </c>
      <c r="B5159" t="s">
        <v>1671</v>
      </c>
      <c r="C5159" t="s">
        <v>8131</v>
      </c>
      <c r="D5159" t="s">
        <v>18056</v>
      </c>
      <c r="E5159" t="s">
        <v>22722</v>
      </c>
      <c r="F5159" t="s">
        <v>31574</v>
      </c>
      <c r="G5159" t="s">
        <v>31582</v>
      </c>
      <c r="H5159" t="s">
        <v>31590</v>
      </c>
      <c r="I5159" t="s">
        <v>31599</v>
      </c>
      <c r="J5159" t="s">
        <v>31947</v>
      </c>
      <c r="K5159" t="s">
        <v>41186</v>
      </c>
      <c r="M5159" t="s">
        <v>43284</v>
      </c>
      <c r="N5159" t="s">
        <v>45095</v>
      </c>
      <c r="O5159" t="s">
        <v>45096</v>
      </c>
      <c r="P5159">
        <v>0</v>
      </c>
      <c r="Q5159">
        <v>1</v>
      </c>
      <c r="R5159" t="s">
        <v>45102</v>
      </c>
      <c r="S5159" t="s">
        <v>45242</v>
      </c>
      <c r="T5159" t="s">
        <v>46988</v>
      </c>
      <c r="U5159" t="s">
        <v>51802</v>
      </c>
      <c r="W5159" t="s">
        <v>43284</v>
      </c>
      <c r="X5159" t="s">
        <v>45103</v>
      </c>
    </row>
    <row r="5160" spans="1:24">
      <c r="A5160">
        <f>HYPERLINK("https://www.philgeps.gov.ph/GEPSNONPILOT/Tender/SplashBidNoticeAbstractUI.aspx?menuIndex=3&amp;refID=7038318&amp;Result=3","7038318")</f>
        <v>0</v>
      </c>
      <c r="B5160" t="s">
        <v>1713</v>
      </c>
      <c r="C5160" t="s">
        <v>8132</v>
      </c>
      <c r="D5160" t="s">
        <v>18053</v>
      </c>
      <c r="E5160" t="s">
        <v>22723</v>
      </c>
      <c r="F5160" t="s">
        <v>31574</v>
      </c>
      <c r="G5160" t="s">
        <v>31582</v>
      </c>
      <c r="H5160" t="s">
        <v>31591</v>
      </c>
      <c r="I5160" t="s">
        <v>8822</v>
      </c>
      <c r="J5160" t="s">
        <v>35081</v>
      </c>
      <c r="K5160" t="s">
        <v>41282</v>
      </c>
      <c r="M5160" t="s">
        <v>43329</v>
      </c>
      <c r="N5160" t="s">
        <v>45095</v>
      </c>
      <c r="O5160" t="s">
        <v>45096</v>
      </c>
      <c r="P5160">
        <v>0</v>
      </c>
      <c r="Q5160">
        <v>0</v>
      </c>
      <c r="R5160" t="s">
        <v>45102</v>
      </c>
      <c r="S5160" t="s">
        <v>45242</v>
      </c>
      <c r="T5160" t="s">
        <v>46977</v>
      </c>
      <c r="U5160" t="s">
        <v>51803</v>
      </c>
      <c r="W5160" t="s">
        <v>43329</v>
      </c>
      <c r="X5160" t="s">
        <v>45103</v>
      </c>
    </row>
    <row r="5161" spans="1:24">
      <c r="A5161">
        <f>HYPERLINK("https://www.philgeps.gov.ph/GEPSNONPILOT/Tender/SplashBidNoticeAbstractUI.aspx?menuIndex=3&amp;refID=7038336&amp;Result=3","7038336")</f>
        <v>0</v>
      </c>
      <c r="B5161" t="s">
        <v>634</v>
      </c>
      <c r="C5161" t="s">
        <v>8133</v>
      </c>
      <c r="D5161" t="s">
        <v>18052</v>
      </c>
      <c r="E5161" t="s">
        <v>22724</v>
      </c>
      <c r="F5161" t="s">
        <v>31574</v>
      </c>
      <c r="G5161" t="s">
        <v>31582</v>
      </c>
      <c r="H5161" t="s">
        <v>31590</v>
      </c>
      <c r="I5161" t="s">
        <v>31602</v>
      </c>
      <c r="J5161" t="s">
        <v>35082</v>
      </c>
      <c r="K5161" t="s">
        <v>41189</v>
      </c>
      <c r="M5161" t="s">
        <v>42138</v>
      </c>
      <c r="N5161" t="s">
        <v>45095</v>
      </c>
      <c r="O5161" t="s">
        <v>45096</v>
      </c>
      <c r="P5161">
        <v>0</v>
      </c>
      <c r="Q5161">
        <v>0</v>
      </c>
      <c r="R5161" t="s">
        <v>45102</v>
      </c>
      <c r="S5161" t="s">
        <v>45242</v>
      </c>
      <c r="T5161" t="s">
        <v>46918</v>
      </c>
      <c r="U5161" t="s">
        <v>51804</v>
      </c>
      <c r="V5161" t="s">
        <v>60401</v>
      </c>
      <c r="W5161" t="s">
        <v>42138</v>
      </c>
      <c r="X5161" t="s">
        <v>45103</v>
      </c>
    </row>
    <row r="5162" spans="1:24">
      <c r="A5162">
        <f>HYPERLINK("https://www.philgeps.gov.ph/GEPSNONPILOT/Tender/SplashBidNoticeAbstractUI.aspx?menuIndex=3&amp;refID=7038327&amp;Result=3","7038327")</f>
        <v>0</v>
      </c>
      <c r="B5162" t="s">
        <v>1714</v>
      </c>
      <c r="C5162" t="s">
        <v>8134</v>
      </c>
      <c r="D5162" t="s">
        <v>18084</v>
      </c>
      <c r="E5162" t="s">
        <v>22725</v>
      </c>
      <c r="F5162" t="s">
        <v>31574</v>
      </c>
      <c r="G5162" t="s">
        <v>31581</v>
      </c>
      <c r="H5162" t="s">
        <v>31590</v>
      </c>
      <c r="I5162" t="s">
        <v>31664</v>
      </c>
      <c r="J5162" t="s">
        <v>32046</v>
      </c>
      <c r="K5162" t="s">
        <v>41194</v>
      </c>
      <c r="M5162" t="s">
        <v>43330</v>
      </c>
      <c r="N5162" t="s">
        <v>45095</v>
      </c>
      <c r="O5162" t="s">
        <v>45096</v>
      </c>
      <c r="P5162">
        <v>0</v>
      </c>
      <c r="Q5162">
        <v>0</v>
      </c>
      <c r="R5162" t="s">
        <v>45102</v>
      </c>
      <c r="S5162" t="s">
        <v>45242</v>
      </c>
      <c r="T5162" t="s">
        <v>47067</v>
      </c>
      <c r="U5162" t="s">
        <v>51805</v>
      </c>
      <c r="W5162" t="s">
        <v>43330</v>
      </c>
      <c r="X5162" t="s">
        <v>45103</v>
      </c>
    </row>
    <row r="5163" spans="1:24">
      <c r="A5163">
        <f>HYPERLINK("https://www.philgeps.gov.ph/GEPSNONPILOT/Tender/SplashBidNoticeAbstractUI.aspx?menuIndex=3&amp;refID=7038335&amp;Result=3","7038335")</f>
        <v>0</v>
      </c>
      <c r="B5163" t="s">
        <v>967</v>
      </c>
      <c r="C5163" t="s">
        <v>8135</v>
      </c>
      <c r="D5163" t="s">
        <v>18027</v>
      </c>
      <c r="E5163" t="s">
        <v>22726</v>
      </c>
      <c r="F5163" t="s">
        <v>31574</v>
      </c>
      <c r="G5163" t="s">
        <v>31582</v>
      </c>
      <c r="H5163" t="s">
        <v>31591</v>
      </c>
      <c r="I5163" t="s">
        <v>8822</v>
      </c>
      <c r="J5163" t="s">
        <v>35083</v>
      </c>
      <c r="K5163" t="s">
        <v>41200</v>
      </c>
      <c r="M5163" t="s">
        <v>42496</v>
      </c>
      <c r="N5163" t="s">
        <v>45095</v>
      </c>
      <c r="O5163" t="s">
        <v>45096</v>
      </c>
      <c r="P5163">
        <v>0</v>
      </c>
      <c r="Q5163">
        <v>1</v>
      </c>
      <c r="R5163" t="s">
        <v>45102</v>
      </c>
      <c r="S5163" t="s">
        <v>45242</v>
      </c>
      <c r="T5163" t="s">
        <v>47151</v>
      </c>
      <c r="U5163" t="s">
        <v>51806</v>
      </c>
      <c r="W5163" t="s">
        <v>42496</v>
      </c>
      <c r="X5163" t="s">
        <v>45103</v>
      </c>
    </row>
    <row r="5164" spans="1:24">
      <c r="A5164">
        <f>HYPERLINK("https://www.philgeps.gov.ph/GEPSNONPILOT/Tender/SplashBidNoticeAbstractUI.aspx?menuIndex=3&amp;refID=7038355&amp;Result=3","7038355")</f>
        <v>0</v>
      </c>
      <c r="B5164" t="s">
        <v>967</v>
      </c>
      <c r="C5164" t="s">
        <v>8136</v>
      </c>
      <c r="D5164" t="s">
        <v>18027</v>
      </c>
      <c r="E5164" t="s">
        <v>22727</v>
      </c>
      <c r="F5164" t="s">
        <v>31574</v>
      </c>
      <c r="G5164" t="s">
        <v>31582</v>
      </c>
      <c r="H5164" t="s">
        <v>31591</v>
      </c>
      <c r="I5164" t="s">
        <v>8822</v>
      </c>
      <c r="J5164" t="s">
        <v>35084</v>
      </c>
      <c r="K5164" t="s">
        <v>41192</v>
      </c>
      <c r="M5164" t="s">
        <v>42496</v>
      </c>
      <c r="N5164" t="s">
        <v>45095</v>
      </c>
      <c r="O5164" t="s">
        <v>45096</v>
      </c>
      <c r="P5164">
        <v>0</v>
      </c>
      <c r="Q5164">
        <v>0</v>
      </c>
      <c r="R5164" t="s">
        <v>45102</v>
      </c>
      <c r="S5164" t="s">
        <v>45242</v>
      </c>
      <c r="T5164" t="s">
        <v>47151</v>
      </c>
      <c r="U5164" t="s">
        <v>51807</v>
      </c>
      <c r="W5164" t="s">
        <v>42496</v>
      </c>
      <c r="X5164" t="s">
        <v>45103</v>
      </c>
    </row>
    <row r="5165" spans="1:24">
      <c r="A5165">
        <f>HYPERLINK("https://www.philgeps.gov.ph/GEPSNONPILOT/Tender/SplashBidNoticeAbstractUI.aspx?menuIndex=3&amp;refID=7038332&amp;Result=3","7038332")</f>
        <v>0</v>
      </c>
      <c r="B5165" t="s">
        <v>344</v>
      </c>
      <c r="C5165" t="s">
        <v>8137</v>
      </c>
      <c r="D5165" t="s">
        <v>18027</v>
      </c>
      <c r="E5165" t="s">
        <v>22728</v>
      </c>
      <c r="F5165" t="s">
        <v>31574</v>
      </c>
      <c r="G5165" t="s">
        <v>31582</v>
      </c>
      <c r="H5165" t="s">
        <v>31591</v>
      </c>
      <c r="I5165" t="s">
        <v>8822</v>
      </c>
      <c r="J5165" t="s">
        <v>35085</v>
      </c>
      <c r="K5165" t="s">
        <v>41185</v>
      </c>
      <c r="M5165" t="s">
        <v>41832</v>
      </c>
      <c r="N5165" t="s">
        <v>45095</v>
      </c>
      <c r="O5165" t="s">
        <v>45096</v>
      </c>
      <c r="P5165">
        <v>0</v>
      </c>
      <c r="Q5165">
        <v>0</v>
      </c>
      <c r="R5165" t="s">
        <v>45102</v>
      </c>
      <c r="S5165" t="s">
        <v>45242</v>
      </c>
      <c r="T5165" t="s">
        <v>46935</v>
      </c>
      <c r="U5165" t="s">
        <v>51808</v>
      </c>
      <c r="W5165" t="s">
        <v>41832</v>
      </c>
      <c r="X5165" t="s">
        <v>45103</v>
      </c>
    </row>
    <row r="5166" spans="1:24">
      <c r="A5166">
        <f>HYPERLINK("https://www.philgeps.gov.ph/GEPSNONPILOT/Tender/SplashBidNoticeAbstractUI.aspx?menuIndex=3&amp;refID=7038353&amp;Result=3","7038353")</f>
        <v>0</v>
      </c>
      <c r="B5166" t="s">
        <v>1399</v>
      </c>
      <c r="C5166" t="s">
        <v>8138</v>
      </c>
      <c r="D5166" t="s">
        <v>18081</v>
      </c>
      <c r="E5166" t="s">
        <v>22729</v>
      </c>
      <c r="F5166" t="s">
        <v>31574</v>
      </c>
      <c r="G5166" t="s">
        <v>31581</v>
      </c>
      <c r="H5166" t="s">
        <v>31590</v>
      </c>
      <c r="I5166" t="s">
        <v>31595</v>
      </c>
      <c r="J5166" t="s">
        <v>32258</v>
      </c>
      <c r="K5166" t="s">
        <v>41186</v>
      </c>
      <c r="M5166" t="s">
        <v>42974</v>
      </c>
      <c r="N5166" t="s">
        <v>45095</v>
      </c>
      <c r="O5166" t="s">
        <v>45096</v>
      </c>
      <c r="P5166">
        <v>0</v>
      </c>
      <c r="Q5166">
        <v>3</v>
      </c>
      <c r="R5166" t="s">
        <v>45102</v>
      </c>
      <c r="S5166" t="s">
        <v>45242</v>
      </c>
      <c r="T5166" t="s">
        <v>47183</v>
      </c>
      <c r="U5166" t="s">
        <v>51809</v>
      </c>
      <c r="V5166" t="s">
        <v>54891</v>
      </c>
      <c r="W5166" t="s">
        <v>42974</v>
      </c>
      <c r="X5166" t="s">
        <v>45103</v>
      </c>
    </row>
    <row r="5167" spans="1:24">
      <c r="A5167">
        <f>HYPERLINK("https://www.philgeps.gov.ph/GEPSNONPILOT/Tender/SplashBidNoticeAbstractUI.aspx?menuIndex=3&amp;refID=7038351&amp;Result=3","7038351")</f>
        <v>0</v>
      </c>
      <c r="B5167" t="s">
        <v>1715</v>
      </c>
      <c r="C5167" t="s">
        <v>4780</v>
      </c>
      <c r="D5167" t="s">
        <v>18035</v>
      </c>
      <c r="E5167" t="s">
        <v>22730</v>
      </c>
      <c r="F5167" t="s">
        <v>31574</v>
      </c>
      <c r="G5167" t="s">
        <v>31581</v>
      </c>
      <c r="H5167" t="s">
        <v>31590</v>
      </c>
      <c r="I5167" t="s">
        <v>4046</v>
      </c>
      <c r="J5167" t="s">
        <v>35086</v>
      </c>
      <c r="K5167" t="s">
        <v>41184</v>
      </c>
      <c r="M5167" t="s">
        <v>43331</v>
      </c>
      <c r="N5167" t="s">
        <v>45095</v>
      </c>
      <c r="O5167" t="s">
        <v>45096</v>
      </c>
      <c r="P5167">
        <v>0</v>
      </c>
      <c r="Q5167">
        <v>2</v>
      </c>
      <c r="R5167" t="s">
        <v>45102</v>
      </c>
      <c r="S5167" t="s">
        <v>45242</v>
      </c>
      <c r="T5167" t="s">
        <v>47050</v>
      </c>
      <c r="U5167" t="s">
        <v>51810</v>
      </c>
      <c r="W5167" t="s">
        <v>43331</v>
      </c>
      <c r="X5167" t="s">
        <v>45103</v>
      </c>
    </row>
    <row r="5168" spans="1:24">
      <c r="A5168">
        <f>HYPERLINK("https://www.philgeps.gov.ph/GEPSNONPILOT/Tender/SplashBidNoticeAbstractUI.aspx?menuIndex=3&amp;refID=7038357&amp;Result=3","7038357")</f>
        <v>0</v>
      </c>
      <c r="B5168" t="s">
        <v>1716</v>
      </c>
      <c r="C5168" t="s">
        <v>8139</v>
      </c>
      <c r="D5168" t="s">
        <v>18043</v>
      </c>
      <c r="E5168" t="s">
        <v>22731</v>
      </c>
      <c r="F5168" t="s">
        <v>31574</v>
      </c>
      <c r="G5168" t="s">
        <v>31583</v>
      </c>
      <c r="H5168" t="s">
        <v>31590</v>
      </c>
      <c r="I5168" t="s">
        <v>5717</v>
      </c>
      <c r="J5168" t="s">
        <v>35087</v>
      </c>
      <c r="K5168" t="s">
        <v>41184</v>
      </c>
      <c r="M5168" t="s">
        <v>43332</v>
      </c>
      <c r="N5168" t="s">
        <v>45095</v>
      </c>
      <c r="O5168" t="s">
        <v>45096</v>
      </c>
      <c r="P5168">
        <v>0</v>
      </c>
      <c r="Q5168">
        <v>6</v>
      </c>
      <c r="R5168" t="s">
        <v>45102</v>
      </c>
      <c r="S5168" t="s">
        <v>45242</v>
      </c>
      <c r="T5168" t="s">
        <v>46936</v>
      </c>
      <c r="U5168" t="s">
        <v>51811</v>
      </c>
      <c r="W5168" t="s">
        <v>43332</v>
      </c>
      <c r="X5168" t="s">
        <v>45103</v>
      </c>
    </row>
    <row r="5169" spans="1:24">
      <c r="A5169">
        <f>HYPERLINK("https://www.philgeps.gov.ph/GEPSNONPILOT/Tender/SplashBidNoticeAbstractUI.aspx?menuIndex=3&amp;refID=7038356&amp;Result=3","7038356")</f>
        <v>0</v>
      </c>
      <c r="B5169" t="s">
        <v>1671</v>
      </c>
      <c r="C5169" t="s">
        <v>8140</v>
      </c>
      <c r="D5169" t="s">
        <v>18056</v>
      </c>
      <c r="E5169" t="s">
        <v>22732</v>
      </c>
      <c r="F5169" t="s">
        <v>31574</v>
      </c>
      <c r="G5169" t="s">
        <v>31582</v>
      </c>
      <c r="H5169" t="s">
        <v>31591</v>
      </c>
      <c r="I5169" t="s">
        <v>8822</v>
      </c>
      <c r="J5169" t="s">
        <v>32318</v>
      </c>
      <c r="K5169" t="s">
        <v>41192</v>
      </c>
      <c r="M5169" t="s">
        <v>43284</v>
      </c>
      <c r="N5169" t="s">
        <v>45095</v>
      </c>
      <c r="O5169" t="s">
        <v>45096</v>
      </c>
      <c r="P5169">
        <v>0</v>
      </c>
      <c r="Q5169">
        <v>0</v>
      </c>
      <c r="R5169" t="s">
        <v>45102</v>
      </c>
      <c r="S5169" t="s">
        <v>45242</v>
      </c>
      <c r="T5169" t="s">
        <v>46988</v>
      </c>
      <c r="U5169" t="s">
        <v>51812</v>
      </c>
      <c r="W5169" t="s">
        <v>43284</v>
      </c>
      <c r="X5169" t="s">
        <v>45103</v>
      </c>
    </row>
    <row r="5170" spans="1:24">
      <c r="A5170">
        <f>HYPERLINK("https://www.philgeps.gov.ph/GEPSNONPILOT/Tender/SplashBidNoticeAbstractUI.aspx?menuIndex=3&amp;refID=7038350&amp;Result=3","7038350")</f>
        <v>0</v>
      </c>
      <c r="B5170" t="s">
        <v>674</v>
      </c>
      <c r="C5170" t="s">
        <v>8141</v>
      </c>
      <c r="D5170" t="s">
        <v>18071</v>
      </c>
      <c r="E5170" t="s">
        <v>22733</v>
      </c>
      <c r="F5170" t="s">
        <v>31574</v>
      </c>
      <c r="G5170" t="s">
        <v>31583</v>
      </c>
      <c r="H5170" t="s">
        <v>31590</v>
      </c>
      <c r="I5170" t="s">
        <v>6800</v>
      </c>
      <c r="J5170" t="s">
        <v>35088</v>
      </c>
      <c r="K5170" t="s">
        <v>41191</v>
      </c>
      <c r="M5170" t="s">
        <v>42180</v>
      </c>
      <c r="N5170" t="s">
        <v>45095</v>
      </c>
      <c r="O5170" t="s">
        <v>45096</v>
      </c>
      <c r="P5170">
        <v>0</v>
      </c>
      <c r="Q5170">
        <v>4</v>
      </c>
      <c r="R5170" t="s">
        <v>45102</v>
      </c>
      <c r="S5170" t="s">
        <v>45242</v>
      </c>
      <c r="T5170" t="s">
        <v>46973</v>
      </c>
      <c r="U5170" t="s">
        <v>51813</v>
      </c>
      <c r="W5170" t="s">
        <v>42180</v>
      </c>
      <c r="X5170" t="s">
        <v>45103</v>
      </c>
    </row>
    <row r="5171" spans="1:24">
      <c r="A5171">
        <f>HYPERLINK("https://www.philgeps.gov.ph/GEPSNONPILOT/Tender/SplashBidNoticeAbstractUI.aspx?menuIndex=3&amp;refID=7038348&amp;Result=3","7038348")</f>
        <v>0</v>
      </c>
      <c r="B5171" t="s">
        <v>132</v>
      </c>
      <c r="C5171" t="s">
        <v>8142</v>
      </c>
      <c r="D5171" t="s">
        <v>18059</v>
      </c>
      <c r="E5171" t="s">
        <v>22734</v>
      </c>
      <c r="F5171" t="s">
        <v>31574</v>
      </c>
      <c r="G5171" t="s">
        <v>31581</v>
      </c>
      <c r="H5171" t="s">
        <v>31590</v>
      </c>
      <c r="I5171" t="s">
        <v>31601</v>
      </c>
      <c r="J5171" t="s">
        <v>35089</v>
      </c>
      <c r="K5171" t="s">
        <v>41193</v>
      </c>
      <c r="M5171" t="s">
        <v>41616</v>
      </c>
      <c r="N5171" t="s">
        <v>45095</v>
      </c>
      <c r="O5171" t="s">
        <v>45096</v>
      </c>
      <c r="P5171">
        <v>0</v>
      </c>
      <c r="Q5171">
        <v>0</v>
      </c>
      <c r="R5171" t="s">
        <v>45102</v>
      </c>
      <c r="S5171" t="s">
        <v>45242</v>
      </c>
      <c r="T5171" t="s">
        <v>47159</v>
      </c>
      <c r="U5171" t="s">
        <v>51814</v>
      </c>
      <c r="W5171" t="s">
        <v>41616</v>
      </c>
      <c r="X5171" t="s">
        <v>45103</v>
      </c>
    </row>
    <row r="5172" spans="1:24">
      <c r="A5172">
        <f>HYPERLINK("https://www.philgeps.gov.ph/GEPSNONPILOT/Tender/SplashBidNoticeAbstractUI.aspx?menuIndex=3&amp;refID=7038354&amp;Result=3","7038354")</f>
        <v>0</v>
      </c>
      <c r="B5172" t="s">
        <v>1717</v>
      </c>
      <c r="C5172" t="s">
        <v>8143</v>
      </c>
      <c r="D5172" t="s">
        <v>18053</v>
      </c>
      <c r="E5172" t="s">
        <v>8143</v>
      </c>
      <c r="F5172" t="s">
        <v>31574</v>
      </c>
      <c r="G5172" t="s">
        <v>31582</v>
      </c>
      <c r="H5172" t="s">
        <v>31591</v>
      </c>
      <c r="I5172" t="s">
        <v>8822</v>
      </c>
      <c r="J5172" t="s">
        <v>35090</v>
      </c>
      <c r="K5172" t="s">
        <v>41188</v>
      </c>
      <c r="M5172" t="s">
        <v>43333</v>
      </c>
      <c r="N5172" t="s">
        <v>45095</v>
      </c>
      <c r="O5172" t="s">
        <v>45096</v>
      </c>
      <c r="P5172">
        <v>0</v>
      </c>
      <c r="Q5172">
        <v>0</v>
      </c>
      <c r="R5172" t="s">
        <v>45102</v>
      </c>
      <c r="S5172" t="s">
        <v>45242</v>
      </c>
      <c r="T5172" t="s">
        <v>46962</v>
      </c>
      <c r="U5172" t="s">
        <v>51815</v>
      </c>
      <c r="W5172" t="s">
        <v>43333</v>
      </c>
      <c r="X5172" t="s">
        <v>45103</v>
      </c>
    </row>
    <row r="5173" spans="1:24">
      <c r="A5173">
        <f>HYPERLINK("https://www.philgeps.gov.ph/GEPSNONPILOT/Tender/SplashBidNoticeAbstractUI.aspx?menuIndex=3&amp;refID=7038349&amp;Result=3","7038349")</f>
        <v>0</v>
      </c>
      <c r="B5173" t="s">
        <v>1718</v>
      </c>
      <c r="C5173" t="s">
        <v>8144</v>
      </c>
      <c r="D5173" t="s">
        <v>18076</v>
      </c>
      <c r="E5173" t="s">
        <v>22735</v>
      </c>
      <c r="F5173" t="s">
        <v>31574</v>
      </c>
      <c r="G5173" t="s">
        <v>31581</v>
      </c>
      <c r="H5173" t="s">
        <v>31592</v>
      </c>
      <c r="I5173" t="s">
        <v>31667</v>
      </c>
      <c r="J5173" t="s">
        <v>31764</v>
      </c>
      <c r="K5173" t="s">
        <v>41331</v>
      </c>
      <c r="L5173" t="s">
        <v>1718</v>
      </c>
      <c r="M5173" t="s">
        <v>43334</v>
      </c>
      <c r="N5173" t="s">
        <v>45095</v>
      </c>
      <c r="O5173" t="s">
        <v>45096</v>
      </c>
      <c r="P5173">
        <v>0</v>
      </c>
      <c r="Q5173">
        <v>1</v>
      </c>
      <c r="R5173" t="s">
        <v>45102</v>
      </c>
      <c r="S5173" t="s">
        <v>45242</v>
      </c>
      <c r="T5173" t="s">
        <v>47176</v>
      </c>
      <c r="U5173" t="s">
        <v>51816</v>
      </c>
      <c r="W5173" t="s">
        <v>43334</v>
      </c>
      <c r="X5173" t="s">
        <v>45103</v>
      </c>
    </row>
    <row r="5174" spans="1:24">
      <c r="A5174">
        <f>HYPERLINK("https://www.philgeps.gov.ph/GEPSNONPILOT/Tender/SplashBidNoticeAbstractUI.aspx?menuIndex=3&amp;refID=7038370&amp;Result=3","7038370")</f>
        <v>0</v>
      </c>
      <c r="B5174" t="s">
        <v>339</v>
      </c>
      <c r="C5174" t="s">
        <v>8145</v>
      </c>
      <c r="D5174" t="s">
        <v>18092</v>
      </c>
      <c r="E5174" t="s">
        <v>22736</v>
      </c>
      <c r="F5174" t="s">
        <v>31574</v>
      </c>
      <c r="G5174" t="s">
        <v>31581</v>
      </c>
      <c r="H5174" t="s">
        <v>31590</v>
      </c>
      <c r="I5174" t="s">
        <v>6800</v>
      </c>
      <c r="J5174" t="s">
        <v>31985</v>
      </c>
      <c r="K5174" t="s">
        <v>41186</v>
      </c>
      <c r="M5174" t="s">
        <v>41827</v>
      </c>
      <c r="N5174" t="s">
        <v>45095</v>
      </c>
      <c r="O5174" t="s">
        <v>45096</v>
      </c>
      <c r="P5174">
        <v>0</v>
      </c>
      <c r="Q5174">
        <v>0</v>
      </c>
      <c r="R5174" t="s">
        <v>45102</v>
      </c>
      <c r="S5174" t="s">
        <v>45242</v>
      </c>
      <c r="T5174" t="s">
        <v>47077</v>
      </c>
      <c r="U5174" t="s">
        <v>51817</v>
      </c>
      <c r="W5174" t="s">
        <v>61664</v>
      </c>
      <c r="X5174" t="s">
        <v>45103</v>
      </c>
    </row>
    <row r="5175" spans="1:24">
      <c r="A5175">
        <f>HYPERLINK("https://www.philgeps.gov.ph/GEPSNONPILOT/Tender/SplashBidNoticeAbstractUI.aspx?menuIndex=3&amp;refID=7038372&amp;Result=3","7038372")</f>
        <v>0</v>
      </c>
      <c r="B5175" t="s">
        <v>778</v>
      </c>
      <c r="C5175" t="s">
        <v>8146</v>
      </c>
      <c r="D5175" t="s">
        <v>18054</v>
      </c>
      <c r="E5175" t="s">
        <v>22737</v>
      </c>
      <c r="F5175" t="s">
        <v>31574</v>
      </c>
      <c r="G5175" t="s">
        <v>31582</v>
      </c>
      <c r="H5175" t="s">
        <v>31591</v>
      </c>
      <c r="I5175" t="s">
        <v>8822</v>
      </c>
      <c r="J5175" t="s">
        <v>32101</v>
      </c>
      <c r="K5175" t="s">
        <v>41198</v>
      </c>
      <c r="M5175" t="s">
        <v>42292</v>
      </c>
      <c r="N5175" t="s">
        <v>45095</v>
      </c>
      <c r="O5175" t="s">
        <v>45096</v>
      </c>
      <c r="P5175">
        <v>0</v>
      </c>
      <c r="Q5175">
        <v>7</v>
      </c>
      <c r="R5175" t="s">
        <v>45102</v>
      </c>
      <c r="S5175" t="s">
        <v>45242</v>
      </c>
      <c r="T5175" t="s">
        <v>46962</v>
      </c>
      <c r="U5175" t="s">
        <v>51818</v>
      </c>
      <c r="W5175" t="s">
        <v>42292</v>
      </c>
      <c r="X5175" t="s">
        <v>45103</v>
      </c>
    </row>
    <row r="5176" spans="1:24">
      <c r="A5176">
        <f>HYPERLINK("https://www.philgeps.gov.ph/GEPSNONPILOT/Tender/SplashBidNoticeAbstractUI.aspx?menuIndex=3&amp;refID=7038343&amp;Result=3","7038343")</f>
        <v>0</v>
      </c>
      <c r="B5176" t="s">
        <v>467</v>
      </c>
      <c r="C5176" t="s">
        <v>4356</v>
      </c>
      <c r="D5176" t="s">
        <v>18065</v>
      </c>
      <c r="E5176" t="s">
        <v>19072</v>
      </c>
      <c r="F5176" t="s">
        <v>31574</v>
      </c>
      <c r="G5176" t="s">
        <v>31583</v>
      </c>
      <c r="H5176" t="s">
        <v>31590</v>
      </c>
      <c r="I5176" t="s">
        <v>6800</v>
      </c>
      <c r="J5176" t="s">
        <v>35091</v>
      </c>
      <c r="K5176" t="s">
        <v>41213</v>
      </c>
      <c r="M5176" t="s">
        <v>41961</v>
      </c>
      <c r="N5176" t="s">
        <v>45095</v>
      </c>
      <c r="O5176" t="s">
        <v>45096</v>
      </c>
      <c r="P5176">
        <v>0</v>
      </c>
      <c r="Q5176">
        <v>0</v>
      </c>
      <c r="R5176" t="s">
        <v>45102</v>
      </c>
      <c r="S5176" t="s">
        <v>45242</v>
      </c>
      <c r="T5176" t="s">
        <v>47242</v>
      </c>
      <c r="U5176" t="s">
        <v>51819</v>
      </c>
      <c r="V5176" t="s">
        <v>59949</v>
      </c>
      <c r="W5176" t="s">
        <v>41961</v>
      </c>
      <c r="X5176" t="s">
        <v>45103</v>
      </c>
    </row>
    <row r="5177" spans="1:24">
      <c r="A5177">
        <f>HYPERLINK("https://www.philgeps.gov.ph/GEPSNONPILOT/Tender/SplashBidNoticeAbstractUI.aspx?menuIndex=3&amp;refID=7038342&amp;Result=3","7038342")</f>
        <v>0</v>
      </c>
      <c r="B5177" t="s">
        <v>767</v>
      </c>
      <c r="C5177" t="s">
        <v>8147</v>
      </c>
      <c r="D5177" t="s">
        <v>18068</v>
      </c>
      <c r="E5177" t="s">
        <v>22738</v>
      </c>
      <c r="F5177" t="s">
        <v>31574</v>
      </c>
      <c r="G5177" t="s">
        <v>31582</v>
      </c>
      <c r="H5177" t="s">
        <v>31590</v>
      </c>
      <c r="I5177" t="s">
        <v>5717</v>
      </c>
      <c r="J5177" t="s">
        <v>35092</v>
      </c>
      <c r="K5177" t="s">
        <v>41191</v>
      </c>
      <c r="M5177" t="s">
        <v>42281</v>
      </c>
      <c r="N5177" t="s">
        <v>45095</v>
      </c>
      <c r="O5177" t="s">
        <v>45096</v>
      </c>
      <c r="P5177">
        <v>0</v>
      </c>
      <c r="Q5177">
        <v>1</v>
      </c>
      <c r="R5177" t="s">
        <v>45102</v>
      </c>
      <c r="S5177" t="s">
        <v>45242</v>
      </c>
      <c r="T5177" t="s">
        <v>47172</v>
      </c>
      <c r="U5177" t="s">
        <v>51820</v>
      </c>
      <c r="V5177" t="s">
        <v>60231</v>
      </c>
      <c r="W5177" t="s">
        <v>42281</v>
      </c>
      <c r="X5177" t="s">
        <v>45103</v>
      </c>
    </row>
    <row r="5178" spans="1:24">
      <c r="A5178">
        <f>HYPERLINK("https://www.philgeps.gov.ph/GEPSNONPILOT/Tender/SplashBidNoticeAbstractUI.aspx?menuIndex=3&amp;refID=7038373&amp;Result=3","7038373")</f>
        <v>0</v>
      </c>
      <c r="B5178" t="s">
        <v>1351</v>
      </c>
      <c r="C5178" t="s">
        <v>8148</v>
      </c>
      <c r="D5178" t="s">
        <v>18043</v>
      </c>
      <c r="E5178" t="s">
        <v>22739</v>
      </c>
      <c r="F5178" t="s">
        <v>31574</v>
      </c>
      <c r="G5178" t="s">
        <v>31582</v>
      </c>
      <c r="H5178" t="s">
        <v>31590</v>
      </c>
      <c r="I5178" t="s">
        <v>6800</v>
      </c>
      <c r="J5178" t="s">
        <v>35093</v>
      </c>
      <c r="K5178" t="s">
        <v>41186</v>
      </c>
      <c r="M5178" t="s">
        <v>42923</v>
      </c>
      <c r="N5178" t="s">
        <v>45095</v>
      </c>
      <c r="O5178" t="s">
        <v>45096</v>
      </c>
      <c r="P5178">
        <v>0</v>
      </c>
      <c r="Q5178">
        <v>3</v>
      </c>
      <c r="R5178" t="s">
        <v>45102</v>
      </c>
      <c r="S5178" t="s">
        <v>45242</v>
      </c>
      <c r="T5178" t="s">
        <v>47064</v>
      </c>
      <c r="U5178" t="s">
        <v>51821</v>
      </c>
      <c r="W5178" t="s">
        <v>42923</v>
      </c>
      <c r="X5178" t="s">
        <v>45103</v>
      </c>
    </row>
    <row r="5179" spans="1:24">
      <c r="A5179">
        <f>HYPERLINK("https://www.philgeps.gov.ph/GEPSNONPILOT/Tender/SplashBidNoticeAbstractUI.aspx?menuIndex=3&amp;refID=7038375&amp;Result=3","7038375")</f>
        <v>0</v>
      </c>
      <c r="B5179" t="s">
        <v>683</v>
      </c>
      <c r="C5179" t="s">
        <v>8149</v>
      </c>
      <c r="D5179" t="s">
        <v>18059</v>
      </c>
      <c r="E5179" t="s">
        <v>22740</v>
      </c>
      <c r="F5179" t="s">
        <v>31574</v>
      </c>
      <c r="G5179" t="s">
        <v>31581</v>
      </c>
      <c r="H5179" t="s">
        <v>31590</v>
      </c>
      <c r="I5179" t="s">
        <v>31614</v>
      </c>
      <c r="J5179" t="s">
        <v>33894</v>
      </c>
      <c r="K5179" t="s">
        <v>41184</v>
      </c>
      <c r="M5179" t="s">
        <v>42190</v>
      </c>
      <c r="N5179" t="s">
        <v>45095</v>
      </c>
      <c r="O5179" t="s">
        <v>45096</v>
      </c>
      <c r="P5179">
        <v>0</v>
      </c>
      <c r="Q5179">
        <v>1</v>
      </c>
      <c r="R5179" t="s">
        <v>45102</v>
      </c>
      <c r="S5179" t="s">
        <v>45242</v>
      </c>
      <c r="T5179" t="s">
        <v>47159</v>
      </c>
      <c r="U5179" t="s">
        <v>51822</v>
      </c>
      <c r="W5179" t="s">
        <v>42190</v>
      </c>
      <c r="X5179" t="s">
        <v>45103</v>
      </c>
    </row>
    <row r="5180" spans="1:24">
      <c r="A5180">
        <f>HYPERLINK("https://www.philgeps.gov.ph/GEPSNONPILOT/Tender/SplashBidNoticeAbstractUI.aspx?menuIndex=3&amp;refID=7038339&amp;Result=3","7038339")</f>
        <v>0</v>
      </c>
      <c r="B5180" t="s">
        <v>1719</v>
      </c>
      <c r="C5180" t="s">
        <v>8150</v>
      </c>
      <c r="D5180" t="s">
        <v>18054</v>
      </c>
      <c r="E5180" t="s">
        <v>22741</v>
      </c>
      <c r="F5180" t="s">
        <v>31574</v>
      </c>
      <c r="G5180" t="s">
        <v>31582</v>
      </c>
      <c r="H5180" t="s">
        <v>31590</v>
      </c>
      <c r="I5180" t="s">
        <v>31600</v>
      </c>
      <c r="J5180" t="s">
        <v>33408</v>
      </c>
      <c r="K5180" t="s">
        <v>41186</v>
      </c>
      <c r="M5180" t="s">
        <v>43335</v>
      </c>
      <c r="N5180" t="s">
        <v>45095</v>
      </c>
      <c r="O5180" t="s">
        <v>45096</v>
      </c>
      <c r="P5180">
        <v>0</v>
      </c>
      <c r="Q5180">
        <v>0</v>
      </c>
      <c r="R5180" t="s">
        <v>45102</v>
      </c>
      <c r="S5180" t="s">
        <v>45242</v>
      </c>
      <c r="T5180" t="s">
        <v>47106</v>
      </c>
      <c r="U5180" t="s">
        <v>51823</v>
      </c>
      <c r="V5180" t="s">
        <v>60402</v>
      </c>
      <c r="W5180" t="s">
        <v>43335</v>
      </c>
      <c r="X5180" t="s">
        <v>45103</v>
      </c>
    </row>
    <row r="5181" spans="1:24">
      <c r="A5181">
        <f>HYPERLINK("https://www.philgeps.gov.ph/GEPSNONPILOT/Tender/SplashBidNoticeAbstractUI.aspx?menuIndex=3&amp;refID=7038396&amp;Result=3","7038396")</f>
        <v>0</v>
      </c>
      <c r="B5181" t="s">
        <v>1310</v>
      </c>
      <c r="C5181" t="s">
        <v>8151</v>
      </c>
      <c r="D5181" t="s">
        <v>18074</v>
      </c>
      <c r="E5181" t="s">
        <v>22742</v>
      </c>
      <c r="F5181" t="s">
        <v>31574</v>
      </c>
      <c r="G5181" t="s">
        <v>31582</v>
      </c>
      <c r="H5181" t="s">
        <v>31590</v>
      </c>
      <c r="I5181" t="s">
        <v>31614</v>
      </c>
      <c r="J5181" t="s">
        <v>35094</v>
      </c>
      <c r="K5181" t="s">
        <v>41190</v>
      </c>
      <c r="M5181" t="s">
        <v>42880</v>
      </c>
      <c r="N5181" t="s">
        <v>45095</v>
      </c>
      <c r="O5181" t="s">
        <v>45096</v>
      </c>
      <c r="P5181">
        <v>0</v>
      </c>
      <c r="Q5181">
        <v>1</v>
      </c>
      <c r="R5181" t="s">
        <v>45102</v>
      </c>
      <c r="S5181" t="s">
        <v>45242</v>
      </c>
      <c r="T5181" t="s">
        <v>47043</v>
      </c>
      <c r="U5181" t="s">
        <v>51824</v>
      </c>
      <c r="W5181" t="s">
        <v>42880</v>
      </c>
      <c r="X5181" t="s">
        <v>45103</v>
      </c>
    </row>
    <row r="5182" spans="1:24">
      <c r="A5182">
        <f>HYPERLINK("https://www.philgeps.gov.ph/GEPSNONPILOT/Tender/SplashBidNoticeAbstractUI.aspx?menuIndex=3&amp;refID=7038371&amp;Result=3","7038371")</f>
        <v>0</v>
      </c>
      <c r="B5182" t="s">
        <v>190</v>
      </c>
      <c r="C5182" t="s">
        <v>5059</v>
      </c>
      <c r="D5182" t="s">
        <v>18036</v>
      </c>
      <c r="E5182" t="s">
        <v>22743</v>
      </c>
      <c r="F5182" t="s">
        <v>31574</v>
      </c>
      <c r="G5182" t="s">
        <v>31581</v>
      </c>
      <c r="H5182" t="s">
        <v>31590</v>
      </c>
      <c r="I5182" t="s">
        <v>8258</v>
      </c>
      <c r="J5182" t="s">
        <v>31883</v>
      </c>
      <c r="K5182" t="s">
        <v>41190</v>
      </c>
      <c r="M5182" t="s">
        <v>43336</v>
      </c>
      <c r="N5182" t="s">
        <v>45095</v>
      </c>
      <c r="O5182" t="s">
        <v>45096</v>
      </c>
      <c r="P5182">
        <v>0</v>
      </c>
      <c r="Q5182">
        <v>9</v>
      </c>
      <c r="R5182" t="s">
        <v>45102</v>
      </c>
      <c r="S5182" t="s">
        <v>45242</v>
      </c>
      <c r="T5182" t="s">
        <v>47050</v>
      </c>
      <c r="U5182" t="s">
        <v>51825</v>
      </c>
      <c r="W5182" t="s">
        <v>43336</v>
      </c>
      <c r="X5182" t="s">
        <v>45103</v>
      </c>
    </row>
    <row r="5183" spans="1:24">
      <c r="A5183">
        <f>HYPERLINK("https://www.philgeps.gov.ph/GEPSNONPILOT/Tender/SplashBidNoticeAbstractUI.aspx?menuIndex=3&amp;refID=7038367&amp;Result=3","7038367")</f>
        <v>0</v>
      </c>
      <c r="B5183" t="s">
        <v>683</v>
      </c>
      <c r="C5183" t="s">
        <v>8152</v>
      </c>
      <c r="D5183" t="s">
        <v>18059</v>
      </c>
      <c r="E5183" t="s">
        <v>22744</v>
      </c>
      <c r="F5183" t="s">
        <v>31574</v>
      </c>
      <c r="G5183" t="s">
        <v>31581</v>
      </c>
      <c r="H5183" t="s">
        <v>31590</v>
      </c>
      <c r="I5183" t="s">
        <v>31607</v>
      </c>
      <c r="J5183" t="s">
        <v>31726</v>
      </c>
      <c r="K5183" t="s">
        <v>41184</v>
      </c>
      <c r="M5183" t="s">
        <v>42190</v>
      </c>
      <c r="N5183" t="s">
        <v>45095</v>
      </c>
      <c r="O5183" t="s">
        <v>45096</v>
      </c>
      <c r="P5183">
        <v>0</v>
      </c>
      <c r="Q5183">
        <v>1</v>
      </c>
      <c r="R5183" t="s">
        <v>45102</v>
      </c>
      <c r="S5183" t="s">
        <v>45242</v>
      </c>
      <c r="T5183" t="s">
        <v>47159</v>
      </c>
      <c r="U5183" t="s">
        <v>51826</v>
      </c>
      <c r="W5183" t="s">
        <v>42190</v>
      </c>
      <c r="X5183" t="s">
        <v>45103</v>
      </c>
    </row>
    <row r="5184" spans="1:24">
      <c r="A5184">
        <f>HYPERLINK("https://www.philgeps.gov.ph/GEPSNONPILOT/Tender/SplashBidNoticeAbstractUI.aspx?menuIndex=3&amp;refID=7038383&amp;Result=3","7038383")</f>
        <v>0</v>
      </c>
      <c r="B5184" t="s">
        <v>1720</v>
      </c>
      <c r="C5184" t="s">
        <v>4327</v>
      </c>
      <c r="D5184" t="s">
        <v>18042</v>
      </c>
      <c r="E5184" t="s">
        <v>22745</v>
      </c>
      <c r="F5184" t="s">
        <v>31574</v>
      </c>
      <c r="G5184" t="s">
        <v>31581</v>
      </c>
      <c r="H5184" t="s">
        <v>31590</v>
      </c>
      <c r="I5184" t="s">
        <v>4327</v>
      </c>
      <c r="J5184" t="s">
        <v>31960</v>
      </c>
      <c r="K5184" t="s">
        <v>41196</v>
      </c>
      <c r="L5184" t="s">
        <v>1720</v>
      </c>
      <c r="M5184" t="s">
        <v>43337</v>
      </c>
      <c r="N5184" t="s">
        <v>45095</v>
      </c>
      <c r="O5184" t="s">
        <v>45096</v>
      </c>
      <c r="P5184">
        <v>0</v>
      </c>
      <c r="Q5184">
        <v>0</v>
      </c>
      <c r="R5184" t="s">
        <v>45102</v>
      </c>
      <c r="S5184" t="s">
        <v>45242</v>
      </c>
      <c r="T5184" t="s">
        <v>46963</v>
      </c>
      <c r="U5184" t="s">
        <v>51827</v>
      </c>
      <c r="W5184" t="s">
        <v>43337</v>
      </c>
      <c r="X5184" t="s">
        <v>45103</v>
      </c>
    </row>
    <row r="5185" spans="1:24">
      <c r="A5185">
        <f>HYPERLINK("https://www.philgeps.gov.ph/GEPSNONPILOT/Tender/SplashBidNoticeAbstractUI.aspx?menuIndex=3&amp;refID=7038361&amp;Result=3","7038361")</f>
        <v>0</v>
      </c>
      <c r="B5185" t="s">
        <v>1721</v>
      </c>
      <c r="C5185" t="s">
        <v>8153</v>
      </c>
      <c r="D5185" t="s">
        <v>18022</v>
      </c>
      <c r="E5185" t="s">
        <v>22746</v>
      </c>
      <c r="F5185" t="s">
        <v>31574</v>
      </c>
      <c r="G5185" t="s">
        <v>31582</v>
      </c>
      <c r="H5185" t="s">
        <v>31590</v>
      </c>
      <c r="I5185" t="s">
        <v>14544</v>
      </c>
      <c r="J5185" t="s">
        <v>31782</v>
      </c>
      <c r="K5185" t="s">
        <v>41184</v>
      </c>
      <c r="M5185" t="s">
        <v>43338</v>
      </c>
      <c r="N5185" t="s">
        <v>45095</v>
      </c>
      <c r="O5185" t="s">
        <v>45096</v>
      </c>
      <c r="P5185">
        <v>0</v>
      </c>
      <c r="Q5185">
        <v>0</v>
      </c>
      <c r="R5185" t="s">
        <v>45102</v>
      </c>
      <c r="S5185" t="s">
        <v>45242</v>
      </c>
      <c r="T5185" t="s">
        <v>46936</v>
      </c>
      <c r="U5185" t="s">
        <v>51828</v>
      </c>
      <c r="W5185" t="s">
        <v>43338</v>
      </c>
      <c r="X5185" t="s">
        <v>45103</v>
      </c>
    </row>
    <row r="5186" spans="1:24">
      <c r="A5186">
        <f>HYPERLINK("https://www.philgeps.gov.ph/GEPSNONPILOT/Tender/SplashBidNoticeAbstractUI.aspx?menuIndex=3&amp;refID=7038382&amp;Result=3","7038382")</f>
        <v>0</v>
      </c>
      <c r="B5186" t="s">
        <v>1721</v>
      </c>
      <c r="C5186" t="s">
        <v>8154</v>
      </c>
      <c r="D5186" t="s">
        <v>18022</v>
      </c>
      <c r="E5186" t="s">
        <v>22747</v>
      </c>
      <c r="F5186" t="s">
        <v>31574</v>
      </c>
      <c r="G5186" t="s">
        <v>31582</v>
      </c>
      <c r="H5186" t="s">
        <v>31590</v>
      </c>
      <c r="I5186" t="s">
        <v>31638</v>
      </c>
      <c r="J5186" t="s">
        <v>31782</v>
      </c>
      <c r="K5186" t="s">
        <v>41184</v>
      </c>
      <c r="M5186" t="s">
        <v>43338</v>
      </c>
      <c r="N5186" t="s">
        <v>45095</v>
      </c>
      <c r="O5186" t="s">
        <v>45096</v>
      </c>
      <c r="P5186">
        <v>0</v>
      </c>
      <c r="Q5186">
        <v>0</v>
      </c>
      <c r="R5186" t="s">
        <v>45102</v>
      </c>
      <c r="S5186" t="s">
        <v>45242</v>
      </c>
      <c r="T5186" t="s">
        <v>46936</v>
      </c>
      <c r="U5186" t="s">
        <v>51829</v>
      </c>
      <c r="W5186" t="s">
        <v>43338</v>
      </c>
      <c r="X5186" t="s">
        <v>45103</v>
      </c>
    </row>
    <row r="5187" spans="1:24">
      <c r="A5187">
        <f>HYPERLINK("https://www.philgeps.gov.ph/GEPSNONPILOT/Tender/SplashBidNoticeAbstractUI.aspx?menuIndex=3&amp;refID=7038376&amp;Result=3","7038376")</f>
        <v>0</v>
      </c>
      <c r="B5187" t="s">
        <v>352</v>
      </c>
      <c r="C5187" t="s">
        <v>6886</v>
      </c>
      <c r="D5187" t="s">
        <v>18023</v>
      </c>
      <c r="E5187" t="s">
        <v>22748</v>
      </c>
      <c r="F5187" t="s">
        <v>31574</v>
      </c>
      <c r="G5187" t="s">
        <v>31585</v>
      </c>
      <c r="H5187" t="s">
        <v>31590</v>
      </c>
      <c r="I5187" t="s">
        <v>31595</v>
      </c>
      <c r="J5187" t="s">
        <v>35095</v>
      </c>
      <c r="K5187" t="s">
        <v>41186</v>
      </c>
      <c r="M5187" t="s">
        <v>41840</v>
      </c>
      <c r="N5187" t="s">
        <v>45095</v>
      </c>
      <c r="O5187" t="s">
        <v>45096</v>
      </c>
      <c r="P5187">
        <v>0</v>
      </c>
      <c r="Q5187">
        <v>7</v>
      </c>
      <c r="R5187" t="s">
        <v>45102</v>
      </c>
      <c r="S5187" t="s">
        <v>45242</v>
      </c>
      <c r="T5187" t="s">
        <v>46906</v>
      </c>
      <c r="U5187" t="s">
        <v>51830</v>
      </c>
      <c r="W5187" t="s">
        <v>41840</v>
      </c>
      <c r="X5187" t="s">
        <v>45103</v>
      </c>
    </row>
    <row r="5188" spans="1:24">
      <c r="A5188">
        <f>HYPERLINK("https://www.philgeps.gov.ph/GEPSNONPILOT/Tender/SplashBidNoticeAbstractUI.aspx?menuIndex=3&amp;refID=7038389&amp;Result=3","7038389")</f>
        <v>0</v>
      </c>
      <c r="B5188" t="s">
        <v>683</v>
      </c>
      <c r="C5188" t="s">
        <v>8155</v>
      </c>
      <c r="D5188" t="s">
        <v>18059</v>
      </c>
      <c r="E5188" t="s">
        <v>22749</v>
      </c>
      <c r="F5188" t="s">
        <v>31574</v>
      </c>
      <c r="G5188" t="s">
        <v>31581</v>
      </c>
      <c r="H5188" t="s">
        <v>31590</v>
      </c>
      <c r="I5188" t="s">
        <v>31602</v>
      </c>
      <c r="J5188" t="s">
        <v>35096</v>
      </c>
      <c r="K5188" t="s">
        <v>41184</v>
      </c>
      <c r="M5188" t="s">
        <v>42190</v>
      </c>
      <c r="N5188" t="s">
        <v>45095</v>
      </c>
      <c r="O5188" t="s">
        <v>45096</v>
      </c>
      <c r="P5188">
        <v>0</v>
      </c>
      <c r="Q5188">
        <v>0</v>
      </c>
      <c r="R5188" t="s">
        <v>45102</v>
      </c>
      <c r="S5188" t="s">
        <v>45242</v>
      </c>
      <c r="T5188" t="s">
        <v>47159</v>
      </c>
      <c r="U5188" t="s">
        <v>51831</v>
      </c>
      <c r="W5188" t="s">
        <v>42190</v>
      </c>
      <c r="X5188" t="s">
        <v>45103</v>
      </c>
    </row>
    <row r="5189" spans="1:24">
      <c r="A5189">
        <f>HYPERLINK("https://www.philgeps.gov.ph/GEPSNONPILOT/Tender/SplashBidNoticeAbstractUI.aspx?menuIndex=3&amp;refID=7038391&amp;Result=3","7038391")</f>
        <v>0</v>
      </c>
      <c r="B5189" t="s">
        <v>288</v>
      </c>
      <c r="C5189" t="s">
        <v>8156</v>
      </c>
      <c r="D5189" t="s">
        <v>18075</v>
      </c>
      <c r="E5189" t="s">
        <v>22750</v>
      </c>
      <c r="F5189" t="s">
        <v>31574</v>
      </c>
      <c r="G5189" t="s">
        <v>31581</v>
      </c>
      <c r="H5189" t="s">
        <v>31590</v>
      </c>
      <c r="I5189" t="s">
        <v>6800</v>
      </c>
      <c r="J5189" t="s">
        <v>35097</v>
      </c>
      <c r="K5189" t="s">
        <v>41190</v>
      </c>
      <c r="M5189" t="s">
        <v>41774</v>
      </c>
      <c r="N5189" t="s">
        <v>45095</v>
      </c>
      <c r="O5189" t="s">
        <v>45096</v>
      </c>
      <c r="P5189">
        <v>0</v>
      </c>
      <c r="Q5189">
        <v>7</v>
      </c>
      <c r="R5189" t="s">
        <v>45102</v>
      </c>
      <c r="S5189" t="s">
        <v>45242</v>
      </c>
      <c r="T5189" t="s">
        <v>47187</v>
      </c>
      <c r="U5189" t="s">
        <v>51832</v>
      </c>
      <c r="W5189" t="s">
        <v>41774</v>
      </c>
      <c r="X5189" t="s">
        <v>45103</v>
      </c>
    </row>
    <row r="5190" spans="1:24">
      <c r="A5190">
        <f>HYPERLINK("https://www.philgeps.gov.ph/GEPSNONPILOT/Tender/SplashBidNoticeAbstractUI.aspx?menuIndex=3&amp;refID=7038415&amp;Result=3","7038415")</f>
        <v>0</v>
      </c>
      <c r="B5190" t="s">
        <v>1439</v>
      </c>
      <c r="C5190" t="s">
        <v>8157</v>
      </c>
      <c r="D5190" t="s">
        <v>18046</v>
      </c>
      <c r="E5190" t="s">
        <v>22751</v>
      </c>
      <c r="F5190" t="s">
        <v>31574</v>
      </c>
      <c r="G5190" t="s">
        <v>31581</v>
      </c>
      <c r="H5190" t="s">
        <v>31590</v>
      </c>
      <c r="I5190" t="s">
        <v>7185</v>
      </c>
      <c r="J5190" t="s">
        <v>34191</v>
      </c>
      <c r="K5190" t="s">
        <v>41196</v>
      </c>
      <c r="L5190" t="s">
        <v>1439</v>
      </c>
      <c r="M5190" t="s">
        <v>43015</v>
      </c>
      <c r="N5190" t="s">
        <v>45095</v>
      </c>
      <c r="O5190" t="s">
        <v>45096</v>
      </c>
      <c r="P5190">
        <v>0</v>
      </c>
      <c r="Q5190">
        <v>3</v>
      </c>
      <c r="R5190" t="s">
        <v>45102</v>
      </c>
      <c r="S5190" t="s">
        <v>45242</v>
      </c>
      <c r="T5190" t="s">
        <v>47178</v>
      </c>
      <c r="U5190" t="s">
        <v>51745</v>
      </c>
      <c r="V5190" t="s">
        <v>60403</v>
      </c>
      <c r="W5190" t="s">
        <v>43015</v>
      </c>
      <c r="X5190" t="s">
        <v>45103</v>
      </c>
    </row>
    <row r="5191" spans="1:24">
      <c r="A5191">
        <f>HYPERLINK("https://www.philgeps.gov.ph/GEPSNONPILOT/Tender/SplashBidNoticeAbstractUI.aspx?menuIndex=3&amp;refID=7038379&amp;Result=3","7038379")</f>
        <v>0</v>
      </c>
      <c r="B5191" t="s">
        <v>1722</v>
      </c>
      <c r="C5191" t="s">
        <v>8158</v>
      </c>
      <c r="D5191" t="s">
        <v>18022</v>
      </c>
      <c r="E5191" t="s">
        <v>22752</v>
      </c>
      <c r="F5191" t="s">
        <v>31574</v>
      </c>
      <c r="G5191" t="s">
        <v>31581</v>
      </c>
      <c r="H5191" t="s">
        <v>31590</v>
      </c>
      <c r="I5191" t="s">
        <v>31653</v>
      </c>
      <c r="J5191" t="s">
        <v>32355</v>
      </c>
      <c r="K5191" t="s">
        <v>41192</v>
      </c>
      <c r="M5191" t="s">
        <v>43339</v>
      </c>
      <c r="N5191" t="s">
        <v>45095</v>
      </c>
      <c r="O5191" t="s">
        <v>45096</v>
      </c>
      <c r="P5191">
        <v>0</v>
      </c>
      <c r="Q5191">
        <v>1</v>
      </c>
      <c r="R5191" t="s">
        <v>45102</v>
      </c>
      <c r="S5191" t="s">
        <v>45242</v>
      </c>
      <c r="T5191" t="s">
        <v>46957</v>
      </c>
      <c r="U5191" t="s">
        <v>51833</v>
      </c>
      <c r="W5191" t="s">
        <v>43339</v>
      </c>
      <c r="X5191" t="s">
        <v>45103</v>
      </c>
    </row>
    <row r="5192" spans="1:24">
      <c r="A5192">
        <f>HYPERLINK("https://www.philgeps.gov.ph/GEPSNONPILOT/Tender/SplashBidNoticeAbstractUI.aspx?menuIndex=3&amp;refID=7038399&amp;Result=3","7038399")</f>
        <v>0</v>
      </c>
      <c r="B5192" t="s">
        <v>364</v>
      </c>
      <c r="C5192" t="s">
        <v>8159</v>
      </c>
      <c r="D5192" t="s">
        <v>18022</v>
      </c>
      <c r="E5192" t="s">
        <v>22753</v>
      </c>
      <c r="F5192" t="s">
        <v>31574</v>
      </c>
      <c r="G5192" t="s">
        <v>31581</v>
      </c>
      <c r="H5192" t="s">
        <v>31592</v>
      </c>
      <c r="I5192" t="s">
        <v>31608</v>
      </c>
      <c r="J5192" t="s">
        <v>35098</v>
      </c>
      <c r="K5192" t="s">
        <v>41210</v>
      </c>
      <c r="M5192" t="s">
        <v>41854</v>
      </c>
      <c r="N5192" t="s">
        <v>45095</v>
      </c>
      <c r="O5192" t="s">
        <v>45096</v>
      </c>
      <c r="P5192">
        <v>0</v>
      </c>
      <c r="Q5192">
        <v>3</v>
      </c>
      <c r="R5192" t="s">
        <v>45102</v>
      </c>
      <c r="S5192" t="s">
        <v>45242</v>
      </c>
      <c r="T5192" t="s">
        <v>47176</v>
      </c>
      <c r="U5192" t="s">
        <v>51834</v>
      </c>
      <c r="W5192" t="s">
        <v>41854</v>
      </c>
      <c r="X5192" t="s">
        <v>45103</v>
      </c>
    </row>
    <row r="5193" spans="1:24">
      <c r="A5193">
        <f>HYPERLINK("https://www.philgeps.gov.ph/GEPSNONPILOT/Tender/SplashBidNoticeAbstractUI.aspx?menuIndex=3&amp;refID=7038416&amp;Result=3","7038416")</f>
        <v>0</v>
      </c>
      <c r="B5193" t="s">
        <v>1723</v>
      </c>
      <c r="C5193" t="s">
        <v>8160</v>
      </c>
      <c r="D5193" t="s">
        <v>18022</v>
      </c>
      <c r="E5193" t="s">
        <v>22754</v>
      </c>
      <c r="F5193" t="s">
        <v>31574</v>
      </c>
      <c r="G5193" t="s">
        <v>31582</v>
      </c>
      <c r="H5193" t="s">
        <v>31590</v>
      </c>
      <c r="I5193" t="s">
        <v>31615</v>
      </c>
      <c r="J5193" t="s">
        <v>35099</v>
      </c>
      <c r="K5193" t="s">
        <v>41184</v>
      </c>
      <c r="M5193" t="s">
        <v>43340</v>
      </c>
      <c r="N5193" t="s">
        <v>45095</v>
      </c>
      <c r="O5193" t="s">
        <v>45096</v>
      </c>
      <c r="P5193">
        <v>0</v>
      </c>
      <c r="Q5193">
        <v>14</v>
      </c>
      <c r="R5193" t="s">
        <v>45102</v>
      </c>
      <c r="S5193" t="s">
        <v>45242</v>
      </c>
      <c r="T5193" t="s">
        <v>46919</v>
      </c>
      <c r="U5193" t="s">
        <v>51835</v>
      </c>
      <c r="V5193" t="s">
        <v>60404</v>
      </c>
      <c r="W5193" t="s">
        <v>43340</v>
      </c>
      <c r="X5193" t="s">
        <v>45103</v>
      </c>
    </row>
    <row r="5194" spans="1:24">
      <c r="A5194">
        <f>HYPERLINK("https://www.philgeps.gov.ph/GEPSNONPILOT/Tender/SplashBidNoticeAbstractUI.aspx?menuIndex=3&amp;refID=7038411&amp;Result=3","7038411")</f>
        <v>0</v>
      </c>
      <c r="B5194" t="s">
        <v>1724</v>
      </c>
      <c r="C5194" t="s">
        <v>8161</v>
      </c>
      <c r="D5194" t="s">
        <v>18058</v>
      </c>
      <c r="E5194" t="s">
        <v>22755</v>
      </c>
      <c r="F5194" t="s">
        <v>31574</v>
      </c>
      <c r="G5194" t="s">
        <v>31582</v>
      </c>
      <c r="H5194" t="s">
        <v>31590</v>
      </c>
      <c r="I5194" t="s">
        <v>31602</v>
      </c>
      <c r="J5194" t="s">
        <v>35100</v>
      </c>
      <c r="K5194" t="s">
        <v>41192</v>
      </c>
      <c r="M5194" t="s">
        <v>43341</v>
      </c>
      <c r="N5194" t="s">
        <v>45095</v>
      </c>
      <c r="O5194" t="s">
        <v>45096</v>
      </c>
      <c r="P5194">
        <v>0</v>
      </c>
      <c r="Q5194">
        <v>0</v>
      </c>
      <c r="R5194" t="s">
        <v>45102</v>
      </c>
      <c r="S5194" t="s">
        <v>45242</v>
      </c>
      <c r="T5194" t="s">
        <v>47024</v>
      </c>
      <c r="U5194" t="s">
        <v>51836</v>
      </c>
      <c r="V5194" t="s">
        <v>60405</v>
      </c>
      <c r="W5194" t="s">
        <v>43341</v>
      </c>
      <c r="X5194" t="s">
        <v>45103</v>
      </c>
    </row>
    <row r="5195" spans="1:24">
      <c r="A5195">
        <f>HYPERLINK("https://www.philgeps.gov.ph/GEPSNONPILOT/Tender/SplashBidNoticeAbstractUI.aspx?menuIndex=3&amp;refID=7038405&amp;Result=3","7038405")</f>
        <v>0</v>
      </c>
      <c r="B5195" t="s">
        <v>141</v>
      </c>
      <c r="C5195" t="s">
        <v>8162</v>
      </c>
      <c r="D5195" t="s">
        <v>18074</v>
      </c>
      <c r="E5195" t="s">
        <v>22756</v>
      </c>
      <c r="F5195" t="s">
        <v>31574</v>
      </c>
      <c r="G5195" t="s">
        <v>31582</v>
      </c>
      <c r="H5195" t="s">
        <v>31590</v>
      </c>
      <c r="I5195" t="s">
        <v>4327</v>
      </c>
      <c r="J5195" t="s">
        <v>35101</v>
      </c>
      <c r="K5195" t="s">
        <v>41184</v>
      </c>
      <c r="M5195" t="s">
        <v>41625</v>
      </c>
      <c r="N5195" t="s">
        <v>45095</v>
      </c>
      <c r="O5195" t="s">
        <v>45096</v>
      </c>
      <c r="P5195">
        <v>0</v>
      </c>
      <c r="Q5195">
        <v>3</v>
      </c>
      <c r="R5195" t="s">
        <v>45102</v>
      </c>
      <c r="S5195" t="s">
        <v>45242</v>
      </c>
      <c r="T5195" t="s">
        <v>46943</v>
      </c>
      <c r="U5195" t="s">
        <v>51837</v>
      </c>
      <c r="W5195" t="s">
        <v>41625</v>
      </c>
      <c r="X5195" t="s">
        <v>45103</v>
      </c>
    </row>
    <row r="5196" spans="1:24">
      <c r="A5196">
        <f>HYPERLINK("https://www.philgeps.gov.ph/GEPSNONPILOT/Tender/SplashBidNoticeAbstractUI.aspx?menuIndex=3&amp;refID=7038378&amp;Result=3","7038378")</f>
        <v>0</v>
      </c>
      <c r="B5196" t="s">
        <v>1725</v>
      </c>
      <c r="C5196" t="s">
        <v>8163</v>
      </c>
      <c r="D5196" t="s">
        <v>18074</v>
      </c>
      <c r="E5196" t="s">
        <v>22757</v>
      </c>
      <c r="F5196" t="s">
        <v>31574</v>
      </c>
      <c r="G5196" t="s">
        <v>31582</v>
      </c>
      <c r="H5196" t="s">
        <v>31590</v>
      </c>
      <c r="I5196" t="s">
        <v>31615</v>
      </c>
      <c r="J5196" t="s">
        <v>32026</v>
      </c>
      <c r="K5196" t="s">
        <v>41186</v>
      </c>
      <c r="M5196" t="s">
        <v>43342</v>
      </c>
      <c r="N5196" t="s">
        <v>45095</v>
      </c>
      <c r="O5196" t="s">
        <v>45096</v>
      </c>
      <c r="P5196">
        <v>0</v>
      </c>
      <c r="Q5196">
        <v>6</v>
      </c>
      <c r="R5196" t="s">
        <v>45102</v>
      </c>
      <c r="S5196" t="s">
        <v>45242</v>
      </c>
      <c r="T5196" t="s">
        <v>47244</v>
      </c>
      <c r="U5196" t="s">
        <v>51838</v>
      </c>
      <c r="W5196" t="s">
        <v>43342</v>
      </c>
      <c r="X5196" t="s">
        <v>45103</v>
      </c>
    </row>
    <row r="5197" spans="1:24">
      <c r="A5197">
        <f>HYPERLINK("https://www.philgeps.gov.ph/GEPSNONPILOT/Tender/SplashBidNoticeAbstractUI.aspx?menuIndex=3&amp;refID=7038419&amp;Result=3","7038419")</f>
        <v>0</v>
      </c>
      <c r="B5197" t="s">
        <v>767</v>
      </c>
      <c r="C5197" t="s">
        <v>8164</v>
      </c>
      <c r="D5197" t="s">
        <v>18068</v>
      </c>
      <c r="E5197" t="s">
        <v>22758</v>
      </c>
      <c r="F5197" t="s">
        <v>31574</v>
      </c>
      <c r="G5197" t="s">
        <v>31582</v>
      </c>
      <c r="H5197" t="s">
        <v>31590</v>
      </c>
      <c r="I5197" t="s">
        <v>8258</v>
      </c>
      <c r="J5197" t="s">
        <v>31821</v>
      </c>
      <c r="K5197" t="s">
        <v>41191</v>
      </c>
      <c r="M5197" t="s">
        <v>42281</v>
      </c>
      <c r="N5197" t="s">
        <v>45095</v>
      </c>
      <c r="O5197" t="s">
        <v>45096</v>
      </c>
      <c r="P5197">
        <v>0</v>
      </c>
      <c r="Q5197">
        <v>3</v>
      </c>
      <c r="R5197" t="s">
        <v>45102</v>
      </c>
      <c r="S5197" t="s">
        <v>45242</v>
      </c>
      <c r="T5197" t="s">
        <v>47172</v>
      </c>
      <c r="U5197" t="s">
        <v>51839</v>
      </c>
      <c r="V5197" t="s">
        <v>60231</v>
      </c>
      <c r="W5197" t="s">
        <v>42281</v>
      </c>
      <c r="X5197" t="s">
        <v>45103</v>
      </c>
    </row>
    <row r="5198" spans="1:24">
      <c r="A5198">
        <f>HYPERLINK("https://www.philgeps.gov.ph/GEPSNONPILOT/Tender/SplashBidNoticeAbstractUI.aspx?menuIndex=3&amp;refID=7038403&amp;Result=3","7038403")</f>
        <v>0</v>
      </c>
      <c r="B5198" t="s">
        <v>1312</v>
      </c>
      <c r="C5198" t="s">
        <v>8165</v>
      </c>
      <c r="D5198" t="s">
        <v>18033</v>
      </c>
      <c r="E5198" t="s">
        <v>22759</v>
      </c>
      <c r="F5198" t="s">
        <v>31574</v>
      </c>
      <c r="G5198" t="s">
        <v>31583</v>
      </c>
      <c r="H5198" t="s">
        <v>31590</v>
      </c>
      <c r="I5198" t="s">
        <v>31605</v>
      </c>
      <c r="J5198" t="s">
        <v>35102</v>
      </c>
      <c r="K5198" t="s">
        <v>41211</v>
      </c>
      <c r="M5198" t="s">
        <v>42882</v>
      </c>
      <c r="N5198" t="s">
        <v>45095</v>
      </c>
      <c r="O5198" t="s">
        <v>45096</v>
      </c>
      <c r="P5198">
        <v>0</v>
      </c>
      <c r="Q5198">
        <v>1</v>
      </c>
      <c r="R5198" t="s">
        <v>45102</v>
      </c>
      <c r="S5198" t="s">
        <v>45242</v>
      </c>
      <c r="T5198" t="s">
        <v>47067</v>
      </c>
      <c r="U5198" t="s">
        <v>51840</v>
      </c>
      <c r="W5198" t="s">
        <v>42882</v>
      </c>
      <c r="X5198" t="s">
        <v>45103</v>
      </c>
    </row>
    <row r="5199" spans="1:24">
      <c r="A5199">
        <f>HYPERLINK("https://www.philgeps.gov.ph/GEPSNONPILOT/Tender/SplashBidNoticeAbstractUI.aspx?menuIndex=3&amp;refID=7038423&amp;Result=3","7038423")</f>
        <v>0</v>
      </c>
      <c r="B5199" t="s">
        <v>249</v>
      </c>
      <c r="C5199" t="s">
        <v>6624</v>
      </c>
      <c r="D5199" t="s">
        <v>18070</v>
      </c>
      <c r="E5199" t="s">
        <v>22760</v>
      </c>
      <c r="F5199" t="s">
        <v>31574</v>
      </c>
      <c r="G5199" t="s">
        <v>31583</v>
      </c>
      <c r="H5199" t="s">
        <v>31590</v>
      </c>
      <c r="I5199" t="s">
        <v>3487</v>
      </c>
      <c r="J5199" t="s">
        <v>35103</v>
      </c>
      <c r="K5199" t="s">
        <v>41193</v>
      </c>
      <c r="M5199" t="s">
        <v>43343</v>
      </c>
      <c r="N5199" t="s">
        <v>45095</v>
      </c>
      <c r="O5199" t="s">
        <v>45096</v>
      </c>
      <c r="P5199">
        <v>0</v>
      </c>
      <c r="Q5199">
        <v>2</v>
      </c>
      <c r="R5199" t="s">
        <v>45102</v>
      </c>
      <c r="S5199" t="s">
        <v>45242</v>
      </c>
      <c r="T5199" t="s">
        <v>46982</v>
      </c>
      <c r="U5199" t="s">
        <v>51841</v>
      </c>
      <c r="W5199" t="s">
        <v>43343</v>
      </c>
      <c r="X5199" t="s">
        <v>45103</v>
      </c>
    </row>
    <row r="5200" spans="1:24">
      <c r="A5200">
        <f>HYPERLINK("https://www.philgeps.gov.ph/GEPSNONPILOT/Tender/SplashBidNoticeAbstractUI.aspx?menuIndex=3&amp;refID=7038417&amp;Result=3","7038417")</f>
        <v>0</v>
      </c>
      <c r="B5200" t="s">
        <v>1211</v>
      </c>
      <c r="C5200" t="s">
        <v>8166</v>
      </c>
      <c r="D5200" t="s">
        <v>18041</v>
      </c>
      <c r="E5200" t="s">
        <v>22761</v>
      </c>
      <c r="F5200" t="s">
        <v>31574</v>
      </c>
      <c r="G5200" t="s">
        <v>31582</v>
      </c>
      <c r="H5200" t="s">
        <v>31590</v>
      </c>
      <c r="I5200" t="s">
        <v>31604</v>
      </c>
      <c r="J5200" t="s">
        <v>35104</v>
      </c>
      <c r="K5200" t="s">
        <v>41191</v>
      </c>
      <c r="M5200" t="s">
        <v>42771</v>
      </c>
      <c r="N5200" t="s">
        <v>45095</v>
      </c>
      <c r="O5200" t="s">
        <v>45096</v>
      </c>
      <c r="Q5200">
        <v>2</v>
      </c>
      <c r="R5200" t="s">
        <v>45102</v>
      </c>
      <c r="S5200" t="s">
        <v>45249</v>
      </c>
      <c r="T5200" t="s">
        <v>47188</v>
      </c>
      <c r="U5200" t="s">
        <v>51681</v>
      </c>
      <c r="W5200" t="s">
        <v>61694</v>
      </c>
      <c r="X5200" t="s">
        <v>45103</v>
      </c>
    </row>
    <row r="5201" spans="1:24">
      <c r="A5201">
        <f>HYPERLINK("https://www.philgeps.gov.ph/GEPSNONPILOT/Tender/SplashBidNoticeAbstractUI.aspx?menuIndex=3&amp;refID=7038430&amp;Result=3","7038430")</f>
        <v>0</v>
      </c>
      <c r="B5201" t="s">
        <v>683</v>
      </c>
      <c r="C5201" t="s">
        <v>8167</v>
      </c>
      <c r="D5201" t="s">
        <v>18059</v>
      </c>
      <c r="E5201" t="s">
        <v>22762</v>
      </c>
      <c r="F5201" t="s">
        <v>31574</v>
      </c>
      <c r="G5201" t="s">
        <v>31583</v>
      </c>
      <c r="H5201" t="s">
        <v>31590</v>
      </c>
      <c r="I5201" t="s">
        <v>3487</v>
      </c>
      <c r="J5201" t="s">
        <v>35105</v>
      </c>
      <c r="K5201" t="s">
        <v>41184</v>
      </c>
      <c r="M5201" t="s">
        <v>42190</v>
      </c>
      <c r="N5201" t="s">
        <v>45095</v>
      </c>
      <c r="O5201" t="s">
        <v>45096</v>
      </c>
      <c r="P5201">
        <v>0</v>
      </c>
      <c r="Q5201">
        <v>0</v>
      </c>
      <c r="R5201" t="s">
        <v>45102</v>
      </c>
      <c r="S5201" t="s">
        <v>45242</v>
      </c>
      <c r="T5201" t="s">
        <v>47159</v>
      </c>
      <c r="U5201" t="s">
        <v>51842</v>
      </c>
      <c r="W5201" t="s">
        <v>42190</v>
      </c>
      <c r="X5201" t="s">
        <v>45103</v>
      </c>
    </row>
    <row r="5202" spans="1:24">
      <c r="A5202">
        <f>HYPERLINK("https://www.philgeps.gov.ph/GEPSNONPILOT/Tender/SplashBidNoticeAbstractUI.aspx?menuIndex=3&amp;refID=7038418&amp;Result=3","7038418")</f>
        <v>0</v>
      </c>
      <c r="B5202" t="s">
        <v>1061</v>
      </c>
      <c r="C5202" t="s">
        <v>8168</v>
      </c>
      <c r="D5202" t="s">
        <v>18022</v>
      </c>
      <c r="E5202" t="s">
        <v>18191</v>
      </c>
      <c r="F5202" t="s">
        <v>31574</v>
      </c>
      <c r="G5202" t="s">
        <v>31581</v>
      </c>
      <c r="H5202" t="s">
        <v>31590</v>
      </c>
      <c r="I5202" t="s">
        <v>31595</v>
      </c>
      <c r="J5202" t="s">
        <v>35106</v>
      </c>
      <c r="K5202" t="s">
        <v>41213</v>
      </c>
      <c r="M5202" t="s">
        <v>42606</v>
      </c>
      <c r="N5202" t="s">
        <v>45095</v>
      </c>
      <c r="O5202" t="s">
        <v>45096</v>
      </c>
      <c r="P5202">
        <v>0</v>
      </c>
      <c r="Q5202">
        <v>12</v>
      </c>
      <c r="R5202" t="s">
        <v>45102</v>
      </c>
      <c r="S5202" t="s">
        <v>45242</v>
      </c>
      <c r="T5202" t="s">
        <v>46936</v>
      </c>
      <c r="U5202" t="s">
        <v>51843</v>
      </c>
      <c r="W5202" t="s">
        <v>42606</v>
      </c>
      <c r="X5202" t="s">
        <v>45103</v>
      </c>
    </row>
    <row r="5203" spans="1:24">
      <c r="A5203">
        <f>HYPERLINK("https://www.philgeps.gov.ph/GEPSNONPILOT/Tender/SplashBidNoticeAbstractUI.aspx?menuIndex=3&amp;refID=7038445&amp;Result=3","7038445")</f>
        <v>0</v>
      </c>
      <c r="B5203" t="s">
        <v>1726</v>
      </c>
      <c r="C5203" t="s">
        <v>8169</v>
      </c>
      <c r="D5203" t="s">
        <v>18028</v>
      </c>
      <c r="E5203" t="s">
        <v>22763</v>
      </c>
      <c r="F5203" t="s">
        <v>31574</v>
      </c>
      <c r="G5203" t="s">
        <v>31582</v>
      </c>
      <c r="H5203" t="s">
        <v>31591</v>
      </c>
      <c r="I5203" t="s">
        <v>8822</v>
      </c>
      <c r="J5203" t="s">
        <v>35107</v>
      </c>
      <c r="K5203" t="s">
        <v>41184</v>
      </c>
      <c r="M5203" t="s">
        <v>43344</v>
      </c>
      <c r="N5203" t="s">
        <v>45095</v>
      </c>
      <c r="O5203" t="s">
        <v>45096</v>
      </c>
      <c r="P5203">
        <v>0</v>
      </c>
      <c r="Q5203">
        <v>0</v>
      </c>
      <c r="R5203" t="s">
        <v>45102</v>
      </c>
      <c r="S5203" t="s">
        <v>45242</v>
      </c>
      <c r="T5203" t="s">
        <v>46982</v>
      </c>
      <c r="U5203" t="s">
        <v>51844</v>
      </c>
      <c r="V5203" t="s">
        <v>60406</v>
      </c>
      <c r="W5203" t="s">
        <v>43344</v>
      </c>
      <c r="X5203" t="s">
        <v>45103</v>
      </c>
    </row>
    <row r="5204" spans="1:24">
      <c r="A5204">
        <f>HYPERLINK("https://www.philgeps.gov.ph/GEPSNONPILOT/Tender/SplashBidNoticeAbstractUI.aspx?menuIndex=3&amp;refID=7038439&amp;Result=3","7038439")</f>
        <v>0</v>
      </c>
      <c r="B5204" t="s">
        <v>683</v>
      </c>
      <c r="C5204" t="s">
        <v>8170</v>
      </c>
      <c r="D5204" t="s">
        <v>18059</v>
      </c>
      <c r="E5204" t="s">
        <v>22764</v>
      </c>
      <c r="F5204" t="s">
        <v>31574</v>
      </c>
      <c r="G5204" t="s">
        <v>31581</v>
      </c>
      <c r="H5204" t="s">
        <v>31590</v>
      </c>
      <c r="I5204" t="s">
        <v>31640</v>
      </c>
      <c r="J5204" t="s">
        <v>32381</v>
      </c>
      <c r="K5204" t="s">
        <v>41184</v>
      </c>
      <c r="M5204" t="s">
        <v>42190</v>
      </c>
      <c r="N5204" t="s">
        <v>45095</v>
      </c>
      <c r="O5204" t="s">
        <v>45096</v>
      </c>
      <c r="P5204">
        <v>0</v>
      </c>
      <c r="Q5204">
        <v>0</v>
      </c>
      <c r="R5204" t="s">
        <v>45102</v>
      </c>
      <c r="S5204" t="s">
        <v>45242</v>
      </c>
      <c r="T5204" t="s">
        <v>47159</v>
      </c>
      <c r="U5204" t="s">
        <v>51845</v>
      </c>
      <c r="W5204" t="s">
        <v>42190</v>
      </c>
      <c r="X5204" t="s">
        <v>45103</v>
      </c>
    </row>
    <row r="5205" spans="1:24">
      <c r="A5205">
        <f>HYPERLINK("https://www.philgeps.gov.ph/GEPSNONPILOT/Tender/SplashBidNoticeAbstractUI.aspx?menuIndex=3&amp;refID=7038436&amp;Result=3","7038436")</f>
        <v>0</v>
      </c>
      <c r="B5205" t="s">
        <v>288</v>
      </c>
      <c r="C5205" t="s">
        <v>8156</v>
      </c>
      <c r="D5205" t="s">
        <v>18075</v>
      </c>
      <c r="E5205" t="s">
        <v>22765</v>
      </c>
      <c r="F5205" t="s">
        <v>31574</v>
      </c>
      <c r="G5205" t="s">
        <v>31584</v>
      </c>
      <c r="H5205" t="s">
        <v>31590</v>
      </c>
      <c r="I5205" t="s">
        <v>6800</v>
      </c>
      <c r="J5205" t="s">
        <v>35108</v>
      </c>
      <c r="K5205" t="s">
        <v>41190</v>
      </c>
      <c r="M5205" t="s">
        <v>41774</v>
      </c>
      <c r="N5205" t="s">
        <v>45095</v>
      </c>
      <c r="O5205" t="s">
        <v>45096</v>
      </c>
      <c r="P5205">
        <v>0</v>
      </c>
      <c r="Q5205">
        <v>6</v>
      </c>
      <c r="R5205" t="s">
        <v>45102</v>
      </c>
      <c r="S5205" t="s">
        <v>45242</v>
      </c>
      <c r="T5205" t="s">
        <v>47187</v>
      </c>
      <c r="U5205" t="s">
        <v>51846</v>
      </c>
      <c r="W5205" t="s">
        <v>41774</v>
      </c>
      <c r="X5205" t="s">
        <v>45103</v>
      </c>
    </row>
    <row r="5206" spans="1:24">
      <c r="A5206">
        <f>HYPERLINK("https://www.philgeps.gov.ph/GEPSNONPILOT/Tender/SplashBidNoticeAbstractUI.aspx?menuIndex=3&amp;refID=7038455&amp;Result=3","7038455")</f>
        <v>0</v>
      </c>
      <c r="B5206" t="s">
        <v>460</v>
      </c>
      <c r="C5206" t="s">
        <v>8171</v>
      </c>
      <c r="D5206" t="s">
        <v>18030</v>
      </c>
      <c r="E5206" t="s">
        <v>19633</v>
      </c>
      <c r="F5206" t="s">
        <v>31574</v>
      </c>
      <c r="G5206" t="s">
        <v>31582</v>
      </c>
      <c r="H5206" t="s">
        <v>31590</v>
      </c>
      <c r="I5206" t="s">
        <v>31595</v>
      </c>
      <c r="J5206" t="s">
        <v>35109</v>
      </c>
      <c r="K5206" t="s">
        <v>41184</v>
      </c>
      <c r="M5206" t="s">
        <v>41954</v>
      </c>
      <c r="N5206" t="s">
        <v>45095</v>
      </c>
      <c r="O5206" t="s">
        <v>45096</v>
      </c>
      <c r="P5206">
        <v>0</v>
      </c>
      <c r="Q5206">
        <v>0</v>
      </c>
      <c r="R5206" t="s">
        <v>45102</v>
      </c>
      <c r="S5206" t="s">
        <v>45242</v>
      </c>
      <c r="T5206" t="s">
        <v>46926</v>
      </c>
      <c r="U5206" t="s">
        <v>51847</v>
      </c>
      <c r="W5206" t="s">
        <v>41954</v>
      </c>
      <c r="X5206" t="s">
        <v>45103</v>
      </c>
    </row>
    <row r="5207" spans="1:24">
      <c r="A5207">
        <f>HYPERLINK("https://www.philgeps.gov.ph/GEPSNONPILOT/Tender/SplashBidNoticeAbstractUI.aspx?menuIndex=3&amp;refID=7038435&amp;Result=3","7038435")</f>
        <v>0</v>
      </c>
      <c r="B5207" t="s">
        <v>339</v>
      </c>
      <c r="C5207" t="s">
        <v>8172</v>
      </c>
      <c r="D5207" t="s">
        <v>18092</v>
      </c>
      <c r="E5207" t="s">
        <v>22766</v>
      </c>
      <c r="F5207" t="s">
        <v>31574</v>
      </c>
      <c r="G5207" t="s">
        <v>31581</v>
      </c>
      <c r="H5207" t="s">
        <v>31590</v>
      </c>
      <c r="I5207" t="s">
        <v>6800</v>
      </c>
      <c r="J5207" t="s">
        <v>31742</v>
      </c>
      <c r="K5207" t="s">
        <v>41186</v>
      </c>
      <c r="M5207" t="s">
        <v>41827</v>
      </c>
      <c r="N5207" t="s">
        <v>45095</v>
      </c>
      <c r="O5207" t="s">
        <v>45096</v>
      </c>
      <c r="P5207">
        <v>0</v>
      </c>
      <c r="Q5207">
        <v>1</v>
      </c>
      <c r="R5207" t="s">
        <v>45102</v>
      </c>
      <c r="S5207" t="s">
        <v>45242</v>
      </c>
      <c r="T5207" t="s">
        <v>47077</v>
      </c>
      <c r="U5207" t="s">
        <v>51848</v>
      </c>
      <c r="W5207" t="s">
        <v>61664</v>
      </c>
      <c r="X5207" t="s">
        <v>45103</v>
      </c>
    </row>
    <row r="5208" spans="1:24">
      <c r="A5208">
        <f>HYPERLINK("https://www.philgeps.gov.ph/GEPSNONPILOT/Tender/SplashBidNoticeAbstractUI.aspx?menuIndex=3&amp;refID=7038438&amp;Result=3","7038438")</f>
        <v>0</v>
      </c>
      <c r="B5208" t="s">
        <v>1727</v>
      </c>
      <c r="C5208" t="s">
        <v>8173</v>
      </c>
      <c r="D5208" t="s">
        <v>18028</v>
      </c>
      <c r="E5208" t="s">
        <v>22767</v>
      </c>
      <c r="F5208" t="s">
        <v>31574</v>
      </c>
      <c r="G5208" t="s">
        <v>31581</v>
      </c>
      <c r="H5208" t="s">
        <v>31590</v>
      </c>
      <c r="I5208" t="s">
        <v>4046</v>
      </c>
      <c r="J5208" t="s">
        <v>35110</v>
      </c>
      <c r="K5208" t="s">
        <v>41186</v>
      </c>
      <c r="M5208" t="s">
        <v>43345</v>
      </c>
      <c r="N5208" t="s">
        <v>45095</v>
      </c>
      <c r="O5208" t="s">
        <v>45096</v>
      </c>
      <c r="P5208">
        <v>0</v>
      </c>
      <c r="Q5208">
        <v>0</v>
      </c>
      <c r="R5208" t="s">
        <v>45102</v>
      </c>
      <c r="S5208" t="s">
        <v>45242</v>
      </c>
      <c r="T5208" t="s">
        <v>47125</v>
      </c>
      <c r="U5208" t="s">
        <v>51849</v>
      </c>
      <c r="W5208" t="s">
        <v>43345</v>
      </c>
      <c r="X5208" t="s">
        <v>45103</v>
      </c>
    </row>
    <row r="5209" spans="1:24">
      <c r="A5209">
        <f>HYPERLINK("https://www.philgeps.gov.ph/GEPSNONPILOT/Tender/SplashBidNoticeAbstractUI.aspx?menuIndex=3&amp;refID=7038431&amp;Result=3","7038431")</f>
        <v>0</v>
      </c>
      <c r="B5209" t="s">
        <v>1304</v>
      </c>
      <c r="C5209" t="s">
        <v>8174</v>
      </c>
      <c r="D5209" t="s">
        <v>18090</v>
      </c>
      <c r="E5209" t="s">
        <v>22768</v>
      </c>
      <c r="F5209" t="s">
        <v>31574</v>
      </c>
      <c r="G5209" t="s">
        <v>31582</v>
      </c>
      <c r="H5209" t="s">
        <v>31590</v>
      </c>
      <c r="I5209" t="s">
        <v>31598</v>
      </c>
      <c r="J5209" t="s">
        <v>35111</v>
      </c>
      <c r="K5209" t="s">
        <v>41193</v>
      </c>
      <c r="M5209" t="s">
        <v>42874</v>
      </c>
      <c r="N5209" t="s">
        <v>45095</v>
      </c>
      <c r="O5209" t="s">
        <v>45096</v>
      </c>
      <c r="P5209">
        <v>0</v>
      </c>
      <c r="Q5209">
        <v>2</v>
      </c>
      <c r="R5209" t="s">
        <v>45102</v>
      </c>
      <c r="S5209" t="s">
        <v>45242</v>
      </c>
      <c r="T5209" t="s">
        <v>46973</v>
      </c>
      <c r="U5209" t="s">
        <v>51850</v>
      </c>
      <c r="W5209" t="s">
        <v>42874</v>
      </c>
      <c r="X5209" t="s">
        <v>45103</v>
      </c>
    </row>
    <row r="5210" spans="1:24">
      <c r="A5210">
        <f>HYPERLINK("https://www.philgeps.gov.ph/GEPSNONPILOT/Tender/SplashBidNoticeAbstractUI.aspx?menuIndex=3&amp;refID=7038434&amp;Result=3","7038434")</f>
        <v>0</v>
      </c>
      <c r="B5210" t="s">
        <v>325</v>
      </c>
      <c r="C5210" t="s">
        <v>8175</v>
      </c>
      <c r="D5210" t="s">
        <v>18022</v>
      </c>
      <c r="E5210" t="s">
        <v>22769</v>
      </c>
      <c r="F5210" t="s">
        <v>31574</v>
      </c>
      <c r="G5210" t="s">
        <v>31581</v>
      </c>
      <c r="H5210" t="s">
        <v>31590</v>
      </c>
      <c r="I5210" t="s">
        <v>31602</v>
      </c>
      <c r="J5210" t="s">
        <v>35023</v>
      </c>
      <c r="K5210" t="s">
        <v>41184</v>
      </c>
      <c r="M5210" t="s">
        <v>41813</v>
      </c>
      <c r="N5210" t="s">
        <v>45095</v>
      </c>
      <c r="O5210" t="s">
        <v>45096</v>
      </c>
      <c r="P5210">
        <v>0</v>
      </c>
      <c r="Q5210">
        <v>0</v>
      </c>
      <c r="R5210" t="s">
        <v>45102</v>
      </c>
      <c r="S5210" t="s">
        <v>45242</v>
      </c>
      <c r="T5210" t="s">
        <v>47158</v>
      </c>
      <c r="U5210" t="s">
        <v>51851</v>
      </c>
      <c r="W5210" t="s">
        <v>41813</v>
      </c>
      <c r="X5210" t="s">
        <v>45103</v>
      </c>
    </row>
    <row r="5211" spans="1:24">
      <c r="A5211">
        <f>HYPERLINK("https://www.philgeps.gov.ph/GEPSNONPILOT/Tender/SplashBidNoticeAbstractUI.aspx?menuIndex=3&amp;refID=7038469&amp;Result=3","7038469")</f>
        <v>0</v>
      </c>
      <c r="B5211" t="s">
        <v>1728</v>
      </c>
      <c r="C5211" t="s">
        <v>8176</v>
      </c>
      <c r="D5211" t="s">
        <v>18023</v>
      </c>
      <c r="E5211" t="s">
        <v>22770</v>
      </c>
      <c r="F5211" t="s">
        <v>31574</v>
      </c>
      <c r="G5211" t="s">
        <v>31581</v>
      </c>
      <c r="H5211" t="s">
        <v>31590</v>
      </c>
      <c r="I5211" t="s">
        <v>4327</v>
      </c>
      <c r="J5211" t="s">
        <v>34615</v>
      </c>
      <c r="K5211" t="s">
        <v>41196</v>
      </c>
      <c r="M5211" t="s">
        <v>43346</v>
      </c>
      <c r="N5211" t="s">
        <v>45095</v>
      </c>
      <c r="O5211" t="s">
        <v>45096</v>
      </c>
      <c r="P5211">
        <v>0</v>
      </c>
      <c r="Q5211">
        <v>0</v>
      </c>
      <c r="R5211" t="s">
        <v>45102</v>
      </c>
      <c r="S5211" t="s">
        <v>45242</v>
      </c>
      <c r="T5211" t="s">
        <v>46982</v>
      </c>
      <c r="U5211" t="s">
        <v>51852</v>
      </c>
      <c r="W5211" t="s">
        <v>43346</v>
      </c>
      <c r="X5211" t="s">
        <v>45103</v>
      </c>
    </row>
    <row r="5212" spans="1:24">
      <c r="A5212">
        <f>HYPERLINK("https://www.philgeps.gov.ph/GEPSNONPILOT/Tender/SplashBidNoticeAbstractUI.aspx?menuIndex=3&amp;refID=7038448&amp;Result=3","7038448")</f>
        <v>0</v>
      </c>
      <c r="B5212" t="s">
        <v>683</v>
      </c>
      <c r="C5212" t="s">
        <v>8177</v>
      </c>
      <c r="D5212" t="s">
        <v>18059</v>
      </c>
      <c r="E5212" t="s">
        <v>22771</v>
      </c>
      <c r="F5212" t="s">
        <v>31574</v>
      </c>
      <c r="G5212" t="s">
        <v>31583</v>
      </c>
      <c r="H5212" t="s">
        <v>31590</v>
      </c>
      <c r="I5212" t="s">
        <v>7185</v>
      </c>
      <c r="J5212" t="s">
        <v>35112</v>
      </c>
      <c r="K5212" t="s">
        <v>41184</v>
      </c>
      <c r="M5212" t="s">
        <v>42190</v>
      </c>
      <c r="N5212" t="s">
        <v>45095</v>
      </c>
      <c r="O5212" t="s">
        <v>45096</v>
      </c>
      <c r="P5212">
        <v>0</v>
      </c>
      <c r="Q5212">
        <v>2</v>
      </c>
      <c r="R5212" t="s">
        <v>45102</v>
      </c>
      <c r="S5212" t="s">
        <v>45242</v>
      </c>
      <c r="T5212" t="s">
        <v>47159</v>
      </c>
      <c r="U5212" t="s">
        <v>51853</v>
      </c>
      <c r="W5212" t="s">
        <v>42190</v>
      </c>
      <c r="X5212" t="s">
        <v>45103</v>
      </c>
    </row>
    <row r="5213" spans="1:24">
      <c r="A5213">
        <f>HYPERLINK("https://www.philgeps.gov.ph/GEPSNONPILOT/Tender/SplashBidNoticeAbstractUI.aspx?menuIndex=3&amp;refID=7038460&amp;Result=3","7038460")</f>
        <v>0</v>
      </c>
      <c r="B5213" t="s">
        <v>1729</v>
      </c>
      <c r="C5213" t="s">
        <v>8178</v>
      </c>
      <c r="D5213" t="s">
        <v>18103</v>
      </c>
      <c r="E5213" t="s">
        <v>22772</v>
      </c>
      <c r="F5213" t="s">
        <v>31574</v>
      </c>
      <c r="G5213" t="s">
        <v>31584</v>
      </c>
      <c r="H5213" t="s">
        <v>31590</v>
      </c>
      <c r="I5213" t="s">
        <v>6800</v>
      </c>
      <c r="J5213" t="s">
        <v>35113</v>
      </c>
      <c r="K5213" t="s">
        <v>41190</v>
      </c>
      <c r="M5213" t="s">
        <v>43347</v>
      </c>
      <c r="N5213" t="s">
        <v>45095</v>
      </c>
      <c r="O5213" t="s">
        <v>45096</v>
      </c>
      <c r="P5213">
        <v>0</v>
      </c>
      <c r="Q5213">
        <v>4</v>
      </c>
      <c r="R5213" t="s">
        <v>45102</v>
      </c>
      <c r="S5213" t="s">
        <v>45242</v>
      </c>
      <c r="T5213" t="s">
        <v>47159</v>
      </c>
      <c r="U5213" t="s">
        <v>51854</v>
      </c>
      <c r="W5213" t="s">
        <v>43347</v>
      </c>
      <c r="X5213" t="s">
        <v>45103</v>
      </c>
    </row>
    <row r="5214" spans="1:24">
      <c r="A5214">
        <f>HYPERLINK("https://www.philgeps.gov.ph/GEPSNONPILOT/Tender/SplashBidNoticeAbstractUI.aspx?menuIndex=3&amp;refID=7038468&amp;Result=3","7038468")</f>
        <v>0</v>
      </c>
      <c r="B5214" t="s">
        <v>1730</v>
      </c>
      <c r="C5214" t="s">
        <v>8179</v>
      </c>
      <c r="D5214" t="s">
        <v>18039</v>
      </c>
      <c r="E5214" t="s">
        <v>22773</v>
      </c>
      <c r="F5214" t="s">
        <v>31574</v>
      </c>
      <c r="G5214" t="s">
        <v>31581</v>
      </c>
      <c r="H5214" t="s">
        <v>31590</v>
      </c>
      <c r="I5214" t="s">
        <v>6800</v>
      </c>
      <c r="J5214" t="s">
        <v>35114</v>
      </c>
      <c r="K5214" t="s">
        <v>41195</v>
      </c>
      <c r="M5214" t="s">
        <v>43348</v>
      </c>
      <c r="N5214" t="s">
        <v>45095</v>
      </c>
      <c r="O5214" t="s">
        <v>45096</v>
      </c>
      <c r="P5214">
        <v>0</v>
      </c>
      <c r="Q5214">
        <v>7</v>
      </c>
      <c r="R5214" t="s">
        <v>45102</v>
      </c>
      <c r="S5214" t="s">
        <v>45242</v>
      </c>
      <c r="T5214" t="s">
        <v>47157</v>
      </c>
      <c r="U5214" t="s">
        <v>51855</v>
      </c>
      <c r="W5214" t="s">
        <v>43348</v>
      </c>
      <c r="X5214" t="s">
        <v>45103</v>
      </c>
    </row>
    <row r="5215" spans="1:24">
      <c r="A5215">
        <f>HYPERLINK("https://www.philgeps.gov.ph/GEPSNONPILOT/Tender/SplashBidNoticeAbstractUI.aspx?menuIndex=3&amp;refID=7038467&amp;Result=3","7038467")</f>
        <v>0</v>
      </c>
      <c r="B5215" t="s">
        <v>683</v>
      </c>
      <c r="C5215" t="s">
        <v>8180</v>
      </c>
      <c r="D5215" t="s">
        <v>18059</v>
      </c>
      <c r="E5215" t="s">
        <v>22774</v>
      </c>
      <c r="F5215" t="s">
        <v>31574</v>
      </c>
      <c r="G5215" t="s">
        <v>31581</v>
      </c>
      <c r="H5215" t="s">
        <v>31590</v>
      </c>
      <c r="I5215" t="s">
        <v>31608</v>
      </c>
      <c r="J5215" t="s">
        <v>31907</v>
      </c>
      <c r="K5215" t="s">
        <v>41184</v>
      </c>
      <c r="M5215" t="s">
        <v>42190</v>
      </c>
      <c r="N5215" t="s">
        <v>45095</v>
      </c>
      <c r="O5215" t="s">
        <v>45096</v>
      </c>
      <c r="P5215">
        <v>0</v>
      </c>
      <c r="Q5215">
        <v>0</v>
      </c>
      <c r="R5215" t="s">
        <v>45102</v>
      </c>
      <c r="S5215" t="s">
        <v>45242</v>
      </c>
      <c r="T5215" t="s">
        <v>47159</v>
      </c>
      <c r="U5215" t="s">
        <v>51856</v>
      </c>
      <c r="W5215" t="s">
        <v>42190</v>
      </c>
      <c r="X5215" t="s">
        <v>45103</v>
      </c>
    </row>
    <row r="5216" spans="1:24">
      <c r="A5216">
        <f>HYPERLINK("https://www.philgeps.gov.ph/GEPSNONPILOT/Tender/SplashBidNoticeAbstractUI.aspx?menuIndex=3&amp;refID=7038486&amp;Result=3","7038486")</f>
        <v>0</v>
      </c>
      <c r="B5216" t="s">
        <v>328</v>
      </c>
      <c r="C5216" t="s">
        <v>8181</v>
      </c>
      <c r="D5216" t="s">
        <v>18056</v>
      </c>
      <c r="E5216" t="s">
        <v>22775</v>
      </c>
      <c r="F5216" t="s">
        <v>31574</v>
      </c>
      <c r="G5216" t="s">
        <v>31582</v>
      </c>
      <c r="H5216" t="s">
        <v>31590</v>
      </c>
      <c r="I5216" t="s">
        <v>31691</v>
      </c>
      <c r="J5216" t="s">
        <v>35115</v>
      </c>
      <c r="K5216" t="s">
        <v>41186</v>
      </c>
      <c r="M5216" t="s">
        <v>43349</v>
      </c>
      <c r="N5216" t="s">
        <v>45095</v>
      </c>
      <c r="O5216" t="s">
        <v>45096</v>
      </c>
      <c r="P5216">
        <v>0</v>
      </c>
      <c r="Q5216">
        <v>3</v>
      </c>
      <c r="R5216" t="s">
        <v>45102</v>
      </c>
      <c r="S5216" t="s">
        <v>45242</v>
      </c>
      <c r="T5216" t="s">
        <v>47196</v>
      </c>
      <c r="U5216" t="s">
        <v>51857</v>
      </c>
      <c r="W5216" t="s">
        <v>43349</v>
      </c>
      <c r="X5216" t="s">
        <v>45103</v>
      </c>
    </row>
    <row r="5217" spans="1:24">
      <c r="A5217">
        <f>HYPERLINK("https://www.philgeps.gov.ph/GEPSNONPILOT/Tender/SplashBidNoticeAbstractUI.aspx?menuIndex=3&amp;refID=7038453&amp;Result=3","7038453")</f>
        <v>0</v>
      </c>
      <c r="B5217" t="s">
        <v>508</v>
      </c>
      <c r="C5217" t="s">
        <v>8182</v>
      </c>
      <c r="D5217" t="s">
        <v>18023</v>
      </c>
      <c r="E5217" t="s">
        <v>22776</v>
      </c>
      <c r="F5217" t="s">
        <v>31574</v>
      </c>
      <c r="G5217" t="s">
        <v>31581</v>
      </c>
      <c r="H5217" t="s">
        <v>31590</v>
      </c>
      <c r="I5217" t="s">
        <v>31638</v>
      </c>
      <c r="J5217" t="s">
        <v>32017</v>
      </c>
      <c r="K5217" t="s">
        <v>41184</v>
      </c>
      <c r="M5217" t="s">
        <v>42004</v>
      </c>
      <c r="N5217" t="s">
        <v>45095</v>
      </c>
      <c r="O5217" t="s">
        <v>45096</v>
      </c>
      <c r="P5217">
        <v>0</v>
      </c>
      <c r="Q5217">
        <v>0</v>
      </c>
      <c r="R5217" t="s">
        <v>45102</v>
      </c>
      <c r="S5217" t="s">
        <v>45242</v>
      </c>
      <c r="T5217" t="s">
        <v>47125</v>
      </c>
      <c r="U5217" t="s">
        <v>48660</v>
      </c>
      <c r="V5217" t="s">
        <v>60407</v>
      </c>
      <c r="W5217" t="s">
        <v>42004</v>
      </c>
      <c r="X5217" t="s">
        <v>45103</v>
      </c>
    </row>
    <row r="5218" spans="1:24">
      <c r="A5218">
        <f>HYPERLINK("https://www.philgeps.gov.ph/GEPSNONPILOT/Tender/SplashBidNoticeAbstractUI.aspx?menuIndex=3&amp;refID=7038464&amp;Result=3","7038464")</f>
        <v>0</v>
      </c>
      <c r="B5218" t="s">
        <v>121</v>
      </c>
      <c r="C5218" t="s">
        <v>8183</v>
      </c>
      <c r="D5218" t="s">
        <v>18023</v>
      </c>
      <c r="E5218" t="s">
        <v>22777</v>
      </c>
      <c r="F5218" t="s">
        <v>31574</v>
      </c>
      <c r="G5218" t="s">
        <v>31582</v>
      </c>
      <c r="H5218" t="s">
        <v>31590</v>
      </c>
      <c r="I5218" t="s">
        <v>4046</v>
      </c>
      <c r="J5218" t="s">
        <v>35116</v>
      </c>
      <c r="K5218" t="s">
        <v>41192</v>
      </c>
      <c r="L5218" t="s">
        <v>121</v>
      </c>
      <c r="M5218" t="s">
        <v>41605</v>
      </c>
      <c r="N5218" t="s">
        <v>45095</v>
      </c>
      <c r="O5218" t="s">
        <v>45096</v>
      </c>
      <c r="P5218">
        <v>0</v>
      </c>
      <c r="Q5218">
        <v>3</v>
      </c>
      <c r="R5218" t="s">
        <v>45102</v>
      </c>
      <c r="S5218" t="s">
        <v>45242</v>
      </c>
      <c r="T5218" t="s">
        <v>47011</v>
      </c>
      <c r="U5218" t="s">
        <v>51858</v>
      </c>
      <c r="W5218" t="s">
        <v>41605</v>
      </c>
      <c r="X5218" t="s">
        <v>45103</v>
      </c>
    </row>
    <row r="5219" spans="1:24">
      <c r="A5219">
        <f>HYPERLINK("https://www.philgeps.gov.ph/GEPSNONPILOT/Tender/SplashBidNoticeAbstractUI.aspx?menuIndex=3&amp;refID=7038457&amp;Result=3","7038457")</f>
        <v>0</v>
      </c>
      <c r="B5219" t="s">
        <v>683</v>
      </c>
      <c r="C5219" t="s">
        <v>8184</v>
      </c>
      <c r="D5219" t="s">
        <v>18059</v>
      </c>
      <c r="E5219" t="s">
        <v>22778</v>
      </c>
      <c r="F5219" t="s">
        <v>31574</v>
      </c>
      <c r="G5219" t="s">
        <v>31581</v>
      </c>
      <c r="H5219" t="s">
        <v>31590</v>
      </c>
      <c r="I5219" t="s">
        <v>31612</v>
      </c>
      <c r="J5219" t="s">
        <v>34026</v>
      </c>
      <c r="K5219" t="s">
        <v>41184</v>
      </c>
      <c r="M5219" t="s">
        <v>42190</v>
      </c>
      <c r="N5219" t="s">
        <v>45095</v>
      </c>
      <c r="O5219" t="s">
        <v>45096</v>
      </c>
      <c r="P5219">
        <v>0</v>
      </c>
      <c r="Q5219">
        <v>0</v>
      </c>
      <c r="R5219" t="s">
        <v>45102</v>
      </c>
      <c r="S5219" t="s">
        <v>45242</v>
      </c>
      <c r="T5219" t="s">
        <v>47159</v>
      </c>
      <c r="U5219" t="s">
        <v>51859</v>
      </c>
      <c r="W5219" t="s">
        <v>42190</v>
      </c>
      <c r="X5219" t="s">
        <v>45103</v>
      </c>
    </row>
    <row r="5220" spans="1:24">
      <c r="A5220">
        <f>HYPERLINK("https://www.philgeps.gov.ph/GEPSNONPILOT/Tender/SplashBidNoticeAbstractUI.aspx?menuIndex=3&amp;refID=7038465&amp;Result=3","7038465")</f>
        <v>0</v>
      </c>
      <c r="B5220" t="s">
        <v>1731</v>
      </c>
      <c r="C5220" t="s">
        <v>8185</v>
      </c>
      <c r="D5220" t="s">
        <v>18022</v>
      </c>
      <c r="E5220" t="s">
        <v>22779</v>
      </c>
      <c r="F5220" t="s">
        <v>31575</v>
      </c>
      <c r="G5220" t="s">
        <v>31583</v>
      </c>
      <c r="H5220" t="s">
        <v>31590</v>
      </c>
      <c r="I5220" t="s">
        <v>7162</v>
      </c>
      <c r="J5220" t="s">
        <v>32955</v>
      </c>
      <c r="K5220" t="s">
        <v>41211</v>
      </c>
      <c r="M5220" t="s">
        <v>43350</v>
      </c>
      <c r="N5220" t="s">
        <v>45095</v>
      </c>
      <c r="O5220" t="s">
        <v>45096</v>
      </c>
      <c r="P5220">
        <v>0</v>
      </c>
      <c r="Q5220">
        <v>1</v>
      </c>
      <c r="R5220" t="s">
        <v>45102</v>
      </c>
      <c r="S5220" t="s">
        <v>45242</v>
      </c>
      <c r="T5220" t="s">
        <v>47124</v>
      </c>
      <c r="U5220" t="s">
        <v>51860</v>
      </c>
      <c r="W5220" t="s">
        <v>43350</v>
      </c>
      <c r="X5220" t="s">
        <v>45103</v>
      </c>
    </row>
    <row r="5221" spans="1:24">
      <c r="A5221">
        <f>HYPERLINK("https://www.philgeps.gov.ph/GEPSNONPILOT/Tender/SplashBidNoticeAbstractUI.aspx?menuIndex=3&amp;refID=7038450&amp;Result=3","7038450")</f>
        <v>0</v>
      </c>
      <c r="B5221" t="s">
        <v>1732</v>
      </c>
      <c r="C5221" t="s">
        <v>8186</v>
      </c>
      <c r="D5221" t="s">
        <v>18041</v>
      </c>
      <c r="E5221" t="s">
        <v>22780</v>
      </c>
      <c r="F5221" t="s">
        <v>31574</v>
      </c>
      <c r="G5221" t="s">
        <v>31581</v>
      </c>
      <c r="H5221" t="s">
        <v>31590</v>
      </c>
      <c r="I5221" t="s">
        <v>31622</v>
      </c>
      <c r="J5221" t="s">
        <v>32572</v>
      </c>
      <c r="K5221" t="s">
        <v>41190</v>
      </c>
      <c r="M5221" t="s">
        <v>43351</v>
      </c>
      <c r="N5221" t="s">
        <v>45095</v>
      </c>
      <c r="O5221" t="s">
        <v>45096</v>
      </c>
      <c r="P5221">
        <v>0</v>
      </c>
      <c r="Q5221">
        <v>0</v>
      </c>
      <c r="R5221" t="s">
        <v>45102</v>
      </c>
      <c r="S5221" t="s">
        <v>45242</v>
      </c>
      <c r="T5221" t="s">
        <v>46985</v>
      </c>
      <c r="U5221" t="s">
        <v>51861</v>
      </c>
      <c r="W5221" t="s">
        <v>61715</v>
      </c>
      <c r="X5221" t="s">
        <v>45103</v>
      </c>
    </row>
    <row r="5222" spans="1:24">
      <c r="A5222">
        <f>HYPERLINK("https://www.philgeps.gov.ph/GEPSNONPILOT/Tender/SplashBidNoticeAbstractUI.aspx?menuIndex=3&amp;refID=7038482&amp;Result=3","7038482")</f>
        <v>0</v>
      </c>
      <c r="B5222" t="s">
        <v>1733</v>
      </c>
      <c r="C5222" t="s">
        <v>8187</v>
      </c>
      <c r="D5222" t="s">
        <v>18040</v>
      </c>
      <c r="E5222" t="s">
        <v>22781</v>
      </c>
      <c r="F5222" t="s">
        <v>31574</v>
      </c>
      <c r="G5222" t="s">
        <v>31582</v>
      </c>
      <c r="H5222" t="s">
        <v>31593</v>
      </c>
      <c r="I5222" t="s">
        <v>31593</v>
      </c>
      <c r="J5222" t="s">
        <v>35117</v>
      </c>
      <c r="K5222" t="s">
        <v>41186</v>
      </c>
      <c r="M5222" t="s">
        <v>43352</v>
      </c>
      <c r="N5222" t="s">
        <v>45095</v>
      </c>
      <c r="O5222" t="s">
        <v>45096</v>
      </c>
      <c r="P5222">
        <v>0</v>
      </c>
      <c r="Q5222">
        <v>5</v>
      </c>
      <c r="R5222" t="s">
        <v>45102</v>
      </c>
      <c r="S5222" t="s">
        <v>45242</v>
      </c>
      <c r="T5222" t="s">
        <v>47069</v>
      </c>
      <c r="U5222" t="s">
        <v>51862</v>
      </c>
      <c r="W5222" t="s">
        <v>43352</v>
      </c>
      <c r="X5222" t="s">
        <v>45103</v>
      </c>
    </row>
    <row r="5223" spans="1:24">
      <c r="A5223">
        <f>HYPERLINK("https://www.philgeps.gov.ph/GEPSNONPILOT/Tender/SplashBidNoticeAbstractUI.aspx?menuIndex=3&amp;refID=7038459&amp;Result=3","7038459")</f>
        <v>0</v>
      </c>
      <c r="B5223" t="s">
        <v>249</v>
      </c>
      <c r="C5223" t="s">
        <v>8188</v>
      </c>
      <c r="D5223" t="s">
        <v>18070</v>
      </c>
      <c r="E5223" t="s">
        <v>22782</v>
      </c>
      <c r="F5223" t="s">
        <v>31574</v>
      </c>
      <c r="G5223" t="s">
        <v>31583</v>
      </c>
      <c r="H5223" t="s">
        <v>31590</v>
      </c>
      <c r="I5223" t="s">
        <v>31599</v>
      </c>
      <c r="J5223" t="s">
        <v>35118</v>
      </c>
      <c r="K5223" t="s">
        <v>41186</v>
      </c>
      <c r="M5223" t="s">
        <v>43343</v>
      </c>
      <c r="N5223" t="s">
        <v>45095</v>
      </c>
      <c r="O5223" t="s">
        <v>45096</v>
      </c>
      <c r="P5223">
        <v>0</v>
      </c>
      <c r="Q5223">
        <v>2</v>
      </c>
      <c r="R5223" t="s">
        <v>45102</v>
      </c>
      <c r="S5223" t="s">
        <v>45242</v>
      </c>
      <c r="T5223" t="s">
        <v>46982</v>
      </c>
      <c r="U5223" t="s">
        <v>51863</v>
      </c>
      <c r="W5223" t="s">
        <v>43343</v>
      </c>
      <c r="X5223" t="s">
        <v>45103</v>
      </c>
    </row>
    <row r="5224" spans="1:24">
      <c r="A5224">
        <f>HYPERLINK("https://www.philgeps.gov.ph/GEPSNONPILOT/Tender/SplashBidNoticeAbstractUI.aspx?menuIndex=3&amp;refID=7038503&amp;Result=3","7038503")</f>
        <v>0</v>
      </c>
      <c r="B5224" t="s">
        <v>508</v>
      </c>
      <c r="C5224" t="s">
        <v>8189</v>
      </c>
      <c r="D5224" t="s">
        <v>18023</v>
      </c>
      <c r="E5224" t="s">
        <v>22783</v>
      </c>
      <c r="F5224" t="s">
        <v>31574</v>
      </c>
      <c r="G5224" t="s">
        <v>31581</v>
      </c>
      <c r="H5224" t="s">
        <v>31590</v>
      </c>
      <c r="I5224" t="s">
        <v>14034</v>
      </c>
      <c r="J5224" t="s">
        <v>33408</v>
      </c>
      <c r="K5224" t="s">
        <v>41184</v>
      </c>
      <c r="M5224" t="s">
        <v>42004</v>
      </c>
      <c r="N5224" t="s">
        <v>45095</v>
      </c>
      <c r="O5224" t="s">
        <v>45096</v>
      </c>
      <c r="P5224">
        <v>0</v>
      </c>
      <c r="Q5224">
        <v>4</v>
      </c>
      <c r="R5224" t="s">
        <v>45102</v>
      </c>
      <c r="S5224" t="s">
        <v>45242</v>
      </c>
      <c r="T5224" t="s">
        <v>47125</v>
      </c>
      <c r="U5224" t="s">
        <v>48660</v>
      </c>
      <c r="V5224" t="s">
        <v>60408</v>
      </c>
      <c r="W5224" t="s">
        <v>42004</v>
      </c>
      <c r="X5224" t="s">
        <v>45103</v>
      </c>
    </row>
    <row r="5225" spans="1:24">
      <c r="A5225">
        <f>HYPERLINK("https://www.philgeps.gov.ph/GEPSNONPILOT/Tender/SplashBidNoticeAbstractUI.aspx?menuIndex=3&amp;refID=7038504&amp;Result=3","7038504")</f>
        <v>0</v>
      </c>
      <c r="B5225" t="s">
        <v>1211</v>
      </c>
      <c r="C5225" t="s">
        <v>8190</v>
      </c>
      <c r="D5225" t="s">
        <v>18041</v>
      </c>
      <c r="E5225" t="s">
        <v>22784</v>
      </c>
      <c r="F5225" t="s">
        <v>31574</v>
      </c>
      <c r="G5225" t="s">
        <v>31582</v>
      </c>
      <c r="H5225" t="s">
        <v>31590</v>
      </c>
      <c r="I5225" t="s">
        <v>3489</v>
      </c>
      <c r="J5225" t="s">
        <v>35119</v>
      </c>
      <c r="K5225" t="s">
        <v>41191</v>
      </c>
      <c r="M5225" t="s">
        <v>42771</v>
      </c>
      <c r="N5225" t="s">
        <v>45095</v>
      </c>
      <c r="O5225" t="s">
        <v>45096</v>
      </c>
      <c r="Q5225">
        <v>2</v>
      </c>
      <c r="R5225" t="s">
        <v>45102</v>
      </c>
      <c r="S5225" t="s">
        <v>45250</v>
      </c>
      <c r="T5225" t="s">
        <v>47188</v>
      </c>
      <c r="U5225" t="s">
        <v>51681</v>
      </c>
      <c r="W5225" t="s">
        <v>61694</v>
      </c>
      <c r="X5225" t="s">
        <v>45103</v>
      </c>
    </row>
    <row r="5226" spans="1:24">
      <c r="A5226">
        <f>HYPERLINK("https://www.philgeps.gov.ph/GEPSNONPILOT/Tender/SplashBidNoticeAbstractUI.aspx?menuIndex=3&amp;refID=7038483&amp;Result=3","7038483")</f>
        <v>0</v>
      </c>
      <c r="B5226" t="s">
        <v>1685</v>
      </c>
      <c r="C5226" t="s">
        <v>8191</v>
      </c>
      <c r="D5226" t="s">
        <v>18026</v>
      </c>
      <c r="E5226" t="s">
        <v>18377</v>
      </c>
      <c r="F5226" t="s">
        <v>31574</v>
      </c>
      <c r="G5226" t="s">
        <v>31582</v>
      </c>
      <c r="H5226" t="s">
        <v>31590</v>
      </c>
      <c r="I5226" t="s">
        <v>4046</v>
      </c>
      <c r="J5226" t="s">
        <v>35120</v>
      </c>
      <c r="K5226" t="s">
        <v>41189</v>
      </c>
      <c r="M5226" t="s">
        <v>43298</v>
      </c>
      <c r="N5226" t="s">
        <v>45095</v>
      </c>
      <c r="O5226" t="s">
        <v>45096</v>
      </c>
      <c r="P5226">
        <v>0</v>
      </c>
      <c r="Q5226">
        <v>3</v>
      </c>
      <c r="R5226" t="s">
        <v>45102</v>
      </c>
      <c r="S5226" t="s">
        <v>45242</v>
      </c>
      <c r="T5226" t="s">
        <v>47156</v>
      </c>
      <c r="U5226" t="s">
        <v>51864</v>
      </c>
      <c r="W5226" t="s">
        <v>43298</v>
      </c>
      <c r="X5226" t="s">
        <v>45103</v>
      </c>
    </row>
    <row r="5227" spans="1:24">
      <c r="A5227">
        <f>HYPERLINK("https://www.philgeps.gov.ph/GEPSNONPILOT/Tender/SplashBidNoticeAbstractUI.aspx?menuIndex=3&amp;refID=7038484&amp;Result=3","7038484")</f>
        <v>0</v>
      </c>
      <c r="B5227" t="s">
        <v>975</v>
      </c>
      <c r="C5227" t="s">
        <v>8192</v>
      </c>
      <c r="D5227" t="s">
        <v>18030</v>
      </c>
      <c r="E5227" t="s">
        <v>22785</v>
      </c>
      <c r="F5227" t="s">
        <v>31574</v>
      </c>
      <c r="G5227" t="s">
        <v>31581</v>
      </c>
      <c r="H5227" t="s">
        <v>31591</v>
      </c>
      <c r="I5227" t="s">
        <v>8822</v>
      </c>
      <c r="J5227" t="s">
        <v>31935</v>
      </c>
      <c r="K5227" t="s">
        <v>41192</v>
      </c>
      <c r="M5227" t="s">
        <v>42507</v>
      </c>
      <c r="N5227" t="s">
        <v>45095</v>
      </c>
      <c r="O5227" t="s">
        <v>45096</v>
      </c>
      <c r="P5227">
        <v>0</v>
      </c>
      <c r="Q5227">
        <v>0</v>
      </c>
      <c r="R5227" t="s">
        <v>45102</v>
      </c>
      <c r="S5227" t="s">
        <v>45242</v>
      </c>
      <c r="T5227" t="s">
        <v>47067</v>
      </c>
      <c r="U5227" t="s">
        <v>51865</v>
      </c>
      <c r="W5227" t="s">
        <v>42507</v>
      </c>
      <c r="X5227" t="s">
        <v>45103</v>
      </c>
    </row>
    <row r="5228" spans="1:24">
      <c r="A5228">
        <f>HYPERLINK("https://www.philgeps.gov.ph/GEPSNONPILOT/Tender/SplashBidNoticeAbstractUI.aspx?menuIndex=3&amp;refID=7038497&amp;Result=3","7038497")</f>
        <v>0</v>
      </c>
      <c r="B5228" t="s">
        <v>1724</v>
      </c>
      <c r="C5228" t="s">
        <v>8193</v>
      </c>
      <c r="D5228" t="s">
        <v>18058</v>
      </c>
      <c r="E5228" t="s">
        <v>22786</v>
      </c>
      <c r="F5228" t="s">
        <v>31574</v>
      </c>
      <c r="G5228" t="s">
        <v>31582</v>
      </c>
      <c r="H5228" t="s">
        <v>31590</v>
      </c>
      <c r="I5228" t="s">
        <v>14544</v>
      </c>
      <c r="J5228" t="s">
        <v>35121</v>
      </c>
      <c r="K5228" t="s">
        <v>41186</v>
      </c>
      <c r="M5228" t="s">
        <v>43341</v>
      </c>
      <c r="N5228" t="s">
        <v>45095</v>
      </c>
      <c r="O5228" t="s">
        <v>45096</v>
      </c>
      <c r="P5228">
        <v>0</v>
      </c>
      <c r="Q5228">
        <v>0</v>
      </c>
      <c r="R5228" t="s">
        <v>45102</v>
      </c>
      <c r="S5228" t="s">
        <v>45242</v>
      </c>
      <c r="T5228" t="s">
        <v>46949</v>
      </c>
      <c r="U5228" t="s">
        <v>51866</v>
      </c>
      <c r="V5228" t="s">
        <v>60409</v>
      </c>
      <c r="W5228" t="s">
        <v>43341</v>
      </c>
      <c r="X5228" t="s">
        <v>45103</v>
      </c>
    </row>
    <row r="5229" spans="1:24">
      <c r="A5229">
        <f>HYPERLINK("https://www.philgeps.gov.ph/GEPSNONPILOT/Tender/SplashBidNoticeAbstractUI.aspx?menuIndex=3&amp;refID=7038501&amp;Result=3","7038501")</f>
        <v>0</v>
      </c>
      <c r="B5229" t="s">
        <v>366</v>
      </c>
      <c r="C5229" t="s">
        <v>8194</v>
      </c>
      <c r="D5229" t="s">
        <v>18089</v>
      </c>
      <c r="E5229" t="s">
        <v>8194</v>
      </c>
      <c r="F5229" t="s">
        <v>31574</v>
      </c>
      <c r="G5229" t="s">
        <v>31581</v>
      </c>
      <c r="H5229" t="s">
        <v>31590</v>
      </c>
      <c r="I5229" t="s">
        <v>31608</v>
      </c>
      <c r="J5229" t="s">
        <v>31764</v>
      </c>
      <c r="K5229" t="s">
        <v>41184</v>
      </c>
      <c r="M5229" t="s">
        <v>41856</v>
      </c>
      <c r="N5229" t="s">
        <v>45095</v>
      </c>
      <c r="O5229" t="s">
        <v>45096</v>
      </c>
      <c r="P5229">
        <v>0</v>
      </c>
      <c r="Q5229">
        <v>0</v>
      </c>
      <c r="R5229" t="s">
        <v>45102</v>
      </c>
      <c r="S5229" t="s">
        <v>45242</v>
      </c>
      <c r="T5229" t="s">
        <v>47171</v>
      </c>
      <c r="U5229" t="s">
        <v>51867</v>
      </c>
      <c r="W5229" t="s">
        <v>41856</v>
      </c>
      <c r="X5229" t="s">
        <v>45103</v>
      </c>
    </row>
    <row r="5230" spans="1:24">
      <c r="A5230">
        <f>HYPERLINK("https://www.philgeps.gov.ph/GEPSNONPILOT/Tender/SplashBidNoticeAbstractUI.aspx?menuIndex=3&amp;refID=7038506&amp;Result=3","7038506")</f>
        <v>0</v>
      </c>
      <c r="B5230" t="s">
        <v>1734</v>
      </c>
      <c r="C5230" t="s">
        <v>8195</v>
      </c>
      <c r="D5230" t="s">
        <v>18076</v>
      </c>
      <c r="E5230" t="s">
        <v>22787</v>
      </c>
      <c r="F5230" t="s">
        <v>31574</v>
      </c>
      <c r="G5230" t="s">
        <v>31581</v>
      </c>
      <c r="H5230" t="s">
        <v>31590</v>
      </c>
      <c r="I5230" t="s">
        <v>4327</v>
      </c>
      <c r="J5230" t="s">
        <v>31780</v>
      </c>
      <c r="K5230" t="s">
        <v>41186</v>
      </c>
      <c r="M5230" t="s">
        <v>43353</v>
      </c>
      <c r="N5230" t="s">
        <v>45095</v>
      </c>
      <c r="O5230" t="s">
        <v>45096</v>
      </c>
      <c r="P5230">
        <v>0</v>
      </c>
      <c r="Q5230">
        <v>9</v>
      </c>
      <c r="R5230" t="s">
        <v>45102</v>
      </c>
      <c r="S5230" t="s">
        <v>45242</v>
      </c>
      <c r="T5230" t="s">
        <v>47164</v>
      </c>
      <c r="U5230" t="s">
        <v>51868</v>
      </c>
      <c r="W5230" t="s">
        <v>43353</v>
      </c>
      <c r="X5230" t="s">
        <v>45103</v>
      </c>
    </row>
    <row r="5231" spans="1:24">
      <c r="A5231">
        <f>HYPERLINK("https://www.philgeps.gov.ph/GEPSNONPILOT/Tender/SplashBidNoticeAbstractUI.aspx?menuIndex=3&amp;refID=7038511&amp;Result=3","7038511")</f>
        <v>0</v>
      </c>
      <c r="B5231" t="s">
        <v>207</v>
      </c>
      <c r="C5231" t="s">
        <v>8196</v>
      </c>
      <c r="D5231" t="s">
        <v>18023</v>
      </c>
      <c r="E5231" t="s">
        <v>22788</v>
      </c>
      <c r="F5231" t="s">
        <v>31574</v>
      </c>
      <c r="G5231" t="s">
        <v>31581</v>
      </c>
      <c r="H5231" t="s">
        <v>31590</v>
      </c>
      <c r="I5231" t="s">
        <v>7162</v>
      </c>
      <c r="J5231" t="s">
        <v>32375</v>
      </c>
      <c r="K5231" t="s">
        <v>41196</v>
      </c>
      <c r="M5231" t="s">
        <v>41692</v>
      </c>
      <c r="N5231" t="s">
        <v>45095</v>
      </c>
      <c r="O5231" t="s">
        <v>45096</v>
      </c>
      <c r="P5231">
        <v>0</v>
      </c>
      <c r="Q5231">
        <v>1</v>
      </c>
      <c r="R5231" t="s">
        <v>45102</v>
      </c>
      <c r="S5231" t="s">
        <v>45242</v>
      </c>
      <c r="T5231" t="s">
        <v>46973</v>
      </c>
      <c r="U5231" t="s">
        <v>51869</v>
      </c>
      <c r="W5231" t="s">
        <v>41692</v>
      </c>
      <c r="X5231" t="s">
        <v>45103</v>
      </c>
    </row>
    <row r="5232" spans="1:24">
      <c r="A5232">
        <f>HYPERLINK("https://www.philgeps.gov.ph/GEPSNONPILOT/Tender/SplashBidNoticeAbstractUI.aspx?menuIndex=3&amp;refID=7038492&amp;Result=3","7038492")</f>
        <v>0</v>
      </c>
      <c r="B5232" t="s">
        <v>121</v>
      </c>
      <c r="C5232" t="s">
        <v>8197</v>
      </c>
      <c r="D5232" t="s">
        <v>18023</v>
      </c>
      <c r="E5232" t="s">
        <v>22789</v>
      </c>
      <c r="F5232" t="s">
        <v>31574</v>
      </c>
      <c r="G5232" t="s">
        <v>31582</v>
      </c>
      <c r="H5232" t="s">
        <v>31590</v>
      </c>
      <c r="I5232" t="s">
        <v>4046</v>
      </c>
      <c r="J5232" t="s">
        <v>35122</v>
      </c>
      <c r="K5232" t="s">
        <v>41185</v>
      </c>
      <c r="L5232" t="s">
        <v>121</v>
      </c>
      <c r="M5232" t="s">
        <v>41605</v>
      </c>
      <c r="N5232" t="s">
        <v>45095</v>
      </c>
      <c r="O5232" t="s">
        <v>45096</v>
      </c>
      <c r="P5232">
        <v>0</v>
      </c>
      <c r="Q5232">
        <v>4</v>
      </c>
      <c r="R5232" t="s">
        <v>45102</v>
      </c>
      <c r="S5232" t="s">
        <v>45242</v>
      </c>
      <c r="T5232" t="s">
        <v>47245</v>
      </c>
      <c r="U5232" t="s">
        <v>51870</v>
      </c>
      <c r="W5232" t="s">
        <v>41605</v>
      </c>
      <c r="X5232" t="s">
        <v>45103</v>
      </c>
    </row>
    <row r="5233" spans="1:24">
      <c r="A5233">
        <f>HYPERLINK("https://www.philgeps.gov.ph/GEPSNONPILOT/Tender/SplashBidNoticeAbstractUI.aspx?menuIndex=3&amp;refID=7038507&amp;Result=3","7038507")</f>
        <v>0</v>
      </c>
      <c r="B5233" t="s">
        <v>1735</v>
      </c>
      <c r="C5233" t="s">
        <v>8198</v>
      </c>
      <c r="D5233" t="s">
        <v>18073</v>
      </c>
      <c r="E5233" t="s">
        <v>21499</v>
      </c>
      <c r="F5233" t="s">
        <v>31574</v>
      </c>
      <c r="G5233" t="s">
        <v>31584</v>
      </c>
      <c r="H5233" t="s">
        <v>31590</v>
      </c>
      <c r="I5233" t="s">
        <v>31608</v>
      </c>
      <c r="J5233" t="s">
        <v>32017</v>
      </c>
      <c r="K5233" t="s">
        <v>41213</v>
      </c>
      <c r="M5233" t="s">
        <v>43354</v>
      </c>
      <c r="N5233" t="s">
        <v>45095</v>
      </c>
      <c r="O5233" t="s">
        <v>45096</v>
      </c>
      <c r="P5233">
        <v>0</v>
      </c>
      <c r="Q5233">
        <v>2</v>
      </c>
      <c r="R5233" t="s">
        <v>45102</v>
      </c>
      <c r="S5233" t="s">
        <v>45242</v>
      </c>
      <c r="T5233" t="s">
        <v>46936</v>
      </c>
      <c r="U5233" t="s">
        <v>51871</v>
      </c>
      <c r="W5233" t="s">
        <v>43354</v>
      </c>
      <c r="X5233" t="s">
        <v>45103</v>
      </c>
    </row>
    <row r="5234" spans="1:24">
      <c r="A5234">
        <f>HYPERLINK("https://www.philgeps.gov.ph/GEPSNONPILOT/Tender/SplashBidNoticeAbstractUI.aspx?menuIndex=3&amp;refID=7038510&amp;Result=3","7038510")</f>
        <v>0</v>
      </c>
      <c r="B5234" t="s">
        <v>1726</v>
      </c>
      <c r="C5234" t="s">
        <v>8199</v>
      </c>
      <c r="D5234" t="s">
        <v>18028</v>
      </c>
      <c r="E5234" t="s">
        <v>22790</v>
      </c>
      <c r="F5234" t="s">
        <v>31574</v>
      </c>
      <c r="G5234" t="s">
        <v>31582</v>
      </c>
      <c r="H5234" t="s">
        <v>31591</v>
      </c>
      <c r="I5234" t="s">
        <v>8822</v>
      </c>
      <c r="J5234" t="s">
        <v>32774</v>
      </c>
      <c r="K5234" t="s">
        <v>41184</v>
      </c>
      <c r="M5234" t="s">
        <v>43344</v>
      </c>
      <c r="N5234" t="s">
        <v>45095</v>
      </c>
      <c r="O5234" t="s">
        <v>45096</v>
      </c>
      <c r="P5234">
        <v>0</v>
      </c>
      <c r="Q5234">
        <v>0</v>
      </c>
      <c r="R5234" t="s">
        <v>45102</v>
      </c>
      <c r="S5234" t="s">
        <v>45242</v>
      </c>
      <c r="T5234" t="s">
        <v>46963</v>
      </c>
      <c r="U5234" t="s">
        <v>51872</v>
      </c>
      <c r="V5234" t="s">
        <v>60406</v>
      </c>
      <c r="W5234" t="s">
        <v>43344</v>
      </c>
      <c r="X5234" t="s">
        <v>45103</v>
      </c>
    </row>
    <row r="5235" spans="1:24">
      <c r="A5235">
        <f>HYPERLINK("https://www.philgeps.gov.ph/GEPSNONPILOT/Tender/SplashBidNoticeAbstractUI.aspx?menuIndex=3&amp;refID=7038502&amp;Result=3","7038502")</f>
        <v>0</v>
      </c>
      <c r="B5235" t="s">
        <v>460</v>
      </c>
      <c r="C5235" t="s">
        <v>8200</v>
      </c>
      <c r="D5235" t="s">
        <v>18030</v>
      </c>
      <c r="E5235" t="s">
        <v>18846</v>
      </c>
      <c r="F5235" t="s">
        <v>31574</v>
      </c>
      <c r="G5235" t="s">
        <v>31582</v>
      </c>
      <c r="H5235" t="s">
        <v>31591</v>
      </c>
      <c r="I5235" t="s">
        <v>8822</v>
      </c>
      <c r="J5235" t="s">
        <v>35123</v>
      </c>
      <c r="K5235" t="s">
        <v>41184</v>
      </c>
      <c r="M5235" t="s">
        <v>41954</v>
      </c>
      <c r="N5235" t="s">
        <v>45095</v>
      </c>
      <c r="O5235" t="s">
        <v>45096</v>
      </c>
      <c r="P5235">
        <v>0</v>
      </c>
      <c r="Q5235">
        <v>0</v>
      </c>
      <c r="R5235" t="s">
        <v>45102</v>
      </c>
      <c r="S5235" t="s">
        <v>45242</v>
      </c>
      <c r="T5235" t="s">
        <v>46926</v>
      </c>
      <c r="U5235" t="s">
        <v>51873</v>
      </c>
      <c r="W5235" t="s">
        <v>41954</v>
      </c>
      <c r="X5235" t="s">
        <v>45103</v>
      </c>
    </row>
    <row r="5236" spans="1:24">
      <c r="A5236">
        <f>HYPERLINK("https://www.philgeps.gov.ph/GEPSNONPILOT/Tender/SplashBidNoticeAbstractUI.aspx?menuIndex=3&amp;refID=7038489&amp;Result=3","7038489")</f>
        <v>0</v>
      </c>
      <c r="B5236" t="s">
        <v>1736</v>
      </c>
      <c r="C5236" t="s">
        <v>8201</v>
      </c>
      <c r="D5236" t="s">
        <v>18084</v>
      </c>
      <c r="E5236" t="s">
        <v>21451</v>
      </c>
      <c r="F5236" t="s">
        <v>31574</v>
      </c>
      <c r="G5236" t="s">
        <v>31581</v>
      </c>
      <c r="H5236" t="s">
        <v>31590</v>
      </c>
      <c r="I5236" t="s">
        <v>31638</v>
      </c>
      <c r="J5236" t="s">
        <v>32375</v>
      </c>
      <c r="K5236" t="s">
        <v>41186</v>
      </c>
      <c r="M5236" t="s">
        <v>43355</v>
      </c>
      <c r="N5236" t="s">
        <v>45095</v>
      </c>
      <c r="O5236" t="s">
        <v>45096</v>
      </c>
      <c r="P5236">
        <v>0</v>
      </c>
      <c r="Q5236">
        <v>3</v>
      </c>
      <c r="R5236" t="s">
        <v>45102</v>
      </c>
      <c r="S5236" t="s">
        <v>45242</v>
      </c>
      <c r="T5236" t="s">
        <v>47124</v>
      </c>
      <c r="U5236" t="s">
        <v>51874</v>
      </c>
      <c r="W5236" t="s">
        <v>43355</v>
      </c>
      <c r="X5236" t="s">
        <v>45103</v>
      </c>
    </row>
    <row r="5237" spans="1:24">
      <c r="A5237">
        <f>HYPERLINK("https://www.philgeps.gov.ph/GEPSNONPILOT/Tender/SplashBidNoticeAbstractUI.aspx?menuIndex=3&amp;refID=7038487&amp;Result=3","7038487")</f>
        <v>0</v>
      </c>
      <c r="B5237" t="s">
        <v>683</v>
      </c>
      <c r="C5237" t="s">
        <v>8202</v>
      </c>
      <c r="D5237" t="s">
        <v>18059</v>
      </c>
      <c r="E5237" t="s">
        <v>22791</v>
      </c>
      <c r="F5237" t="s">
        <v>31574</v>
      </c>
      <c r="G5237" t="s">
        <v>31583</v>
      </c>
      <c r="H5237" t="s">
        <v>31590</v>
      </c>
      <c r="I5237" t="s">
        <v>8258</v>
      </c>
      <c r="J5237" t="s">
        <v>31963</v>
      </c>
      <c r="K5237" t="s">
        <v>41184</v>
      </c>
      <c r="M5237" t="s">
        <v>42190</v>
      </c>
      <c r="N5237" t="s">
        <v>45095</v>
      </c>
      <c r="O5237" t="s">
        <v>45096</v>
      </c>
      <c r="P5237">
        <v>0</v>
      </c>
      <c r="Q5237">
        <v>1</v>
      </c>
      <c r="R5237" t="s">
        <v>45102</v>
      </c>
      <c r="S5237" t="s">
        <v>45242</v>
      </c>
      <c r="T5237" t="s">
        <v>47159</v>
      </c>
      <c r="U5237" t="s">
        <v>51875</v>
      </c>
      <c r="W5237" t="s">
        <v>42190</v>
      </c>
      <c r="X5237" t="s">
        <v>45103</v>
      </c>
    </row>
    <row r="5238" spans="1:24">
      <c r="A5238">
        <f>HYPERLINK("https://www.philgeps.gov.ph/GEPSNONPILOT/Tender/SplashBidNoticeAbstractUI.aspx?menuIndex=3&amp;refID=7038490&amp;Result=3","7038490")</f>
        <v>0</v>
      </c>
      <c r="B5238" t="s">
        <v>803</v>
      </c>
      <c r="C5238" t="s">
        <v>8203</v>
      </c>
      <c r="D5238" t="s">
        <v>18058</v>
      </c>
      <c r="E5238" t="s">
        <v>22792</v>
      </c>
      <c r="F5238" t="s">
        <v>31574</v>
      </c>
      <c r="G5238" t="s">
        <v>31582</v>
      </c>
      <c r="H5238" t="s">
        <v>31590</v>
      </c>
      <c r="I5238" t="s">
        <v>7185</v>
      </c>
      <c r="J5238" t="s">
        <v>35124</v>
      </c>
      <c r="K5238" t="s">
        <v>41186</v>
      </c>
      <c r="M5238" t="s">
        <v>42318</v>
      </c>
      <c r="N5238" t="s">
        <v>45095</v>
      </c>
      <c r="O5238" t="s">
        <v>45096</v>
      </c>
      <c r="P5238">
        <v>0</v>
      </c>
      <c r="Q5238">
        <v>9</v>
      </c>
      <c r="R5238" t="s">
        <v>45102</v>
      </c>
      <c r="S5238" t="s">
        <v>45242</v>
      </c>
      <c r="T5238" t="s">
        <v>47013</v>
      </c>
      <c r="U5238" t="s">
        <v>51876</v>
      </c>
      <c r="W5238" t="s">
        <v>42318</v>
      </c>
      <c r="X5238" t="s">
        <v>45103</v>
      </c>
    </row>
    <row r="5239" spans="1:24">
      <c r="A5239">
        <f>HYPERLINK("https://www.philgeps.gov.ph/GEPSNONPILOT/Tender/SplashBidNoticeAbstractUI.aspx?menuIndex=3&amp;refID=7038520&amp;Result=3","7038520")</f>
        <v>0</v>
      </c>
      <c r="B5239" t="s">
        <v>1639</v>
      </c>
      <c r="C5239" t="s">
        <v>8204</v>
      </c>
      <c r="E5239" t="s">
        <v>22793</v>
      </c>
      <c r="F5239" t="s">
        <v>31574</v>
      </c>
      <c r="G5239" t="s">
        <v>31581</v>
      </c>
      <c r="H5239" t="s">
        <v>31590</v>
      </c>
      <c r="I5239" t="s">
        <v>31599</v>
      </c>
      <c r="J5239" t="s">
        <v>31741</v>
      </c>
      <c r="K5239" t="s">
        <v>41184</v>
      </c>
      <c r="M5239" t="s">
        <v>43248</v>
      </c>
      <c r="N5239" t="s">
        <v>45095</v>
      </c>
      <c r="O5239" t="s">
        <v>45096</v>
      </c>
      <c r="P5239">
        <v>0</v>
      </c>
      <c r="Q5239">
        <v>0</v>
      </c>
      <c r="R5239" t="s">
        <v>45102</v>
      </c>
      <c r="S5239" t="s">
        <v>45242</v>
      </c>
      <c r="T5239" t="s">
        <v>47171</v>
      </c>
      <c r="U5239" t="s">
        <v>51877</v>
      </c>
      <c r="W5239" t="s">
        <v>43248</v>
      </c>
      <c r="X5239" t="s">
        <v>45103</v>
      </c>
    </row>
    <row r="5240" spans="1:24">
      <c r="A5240">
        <f>HYPERLINK("https://www.philgeps.gov.ph/GEPSNONPILOT/Tender/SplashBidNoticeAbstractUI.aspx?menuIndex=3&amp;refID=7038491&amp;Result=3","7038491")</f>
        <v>0</v>
      </c>
      <c r="B5240" t="s">
        <v>249</v>
      </c>
      <c r="C5240" t="s">
        <v>8205</v>
      </c>
      <c r="D5240" t="s">
        <v>18070</v>
      </c>
      <c r="E5240" t="s">
        <v>22794</v>
      </c>
      <c r="F5240" t="s">
        <v>31574</v>
      </c>
      <c r="G5240" t="s">
        <v>31581</v>
      </c>
      <c r="H5240" t="s">
        <v>31590</v>
      </c>
      <c r="I5240" t="s">
        <v>31614</v>
      </c>
      <c r="J5240" t="s">
        <v>32017</v>
      </c>
      <c r="K5240" t="s">
        <v>41196</v>
      </c>
      <c r="M5240" t="s">
        <v>43343</v>
      </c>
      <c r="N5240" t="s">
        <v>45095</v>
      </c>
      <c r="O5240" t="s">
        <v>45096</v>
      </c>
      <c r="P5240">
        <v>0</v>
      </c>
      <c r="Q5240">
        <v>1</v>
      </c>
      <c r="R5240" t="s">
        <v>45102</v>
      </c>
      <c r="S5240" t="s">
        <v>45242</v>
      </c>
      <c r="T5240" t="s">
        <v>46936</v>
      </c>
      <c r="U5240" t="s">
        <v>51878</v>
      </c>
      <c r="W5240" t="s">
        <v>43343</v>
      </c>
      <c r="X5240" t="s">
        <v>45103</v>
      </c>
    </row>
    <row r="5241" spans="1:24">
      <c r="A5241">
        <f>HYPERLINK("https://www.philgeps.gov.ph/GEPSNONPILOT/Tender/SplashBidNoticeAbstractUI.aspx?menuIndex=3&amp;refID=7038512&amp;Result=3","7038512")</f>
        <v>0</v>
      </c>
      <c r="B5241" t="s">
        <v>1737</v>
      </c>
      <c r="C5241" t="s">
        <v>8206</v>
      </c>
      <c r="D5241" t="s">
        <v>18022</v>
      </c>
      <c r="E5241" t="s">
        <v>22795</v>
      </c>
      <c r="F5241" t="s">
        <v>31574</v>
      </c>
      <c r="G5241" t="s">
        <v>31583</v>
      </c>
      <c r="H5241" t="s">
        <v>31590</v>
      </c>
      <c r="I5241" t="s">
        <v>4354</v>
      </c>
      <c r="J5241" t="s">
        <v>34993</v>
      </c>
      <c r="K5241" t="s">
        <v>41190</v>
      </c>
      <c r="M5241" t="s">
        <v>43356</v>
      </c>
      <c r="N5241" t="s">
        <v>45095</v>
      </c>
      <c r="O5241" t="s">
        <v>45096</v>
      </c>
      <c r="P5241">
        <v>0</v>
      </c>
      <c r="Q5241">
        <v>9</v>
      </c>
      <c r="R5241" t="s">
        <v>45102</v>
      </c>
      <c r="S5241" t="s">
        <v>45242</v>
      </c>
      <c r="T5241" t="s">
        <v>47178</v>
      </c>
      <c r="U5241" t="s">
        <v>51879</v>
      </c>
      <c r="V5241" t="s">
        <v>60410</v>
      </c>
      <c r="W5241" t="s">
        <v>43356</v>
      </c>
      <c r="X5241" t="s">
        <v>45103</v>
      </c>
    </row>
    <row r="5242" spans="1:24">
      <c r="A5242">
        <f>HYPERLINK("https://www.philgeps.gov.ph/GEPSNONPILOT/Tender/SplashBidNoticeAbstractUI.aspx?menuIndex=3&amp;refID=7038531&amp;Result=3","7038531")</f>
        <v>0</v>
      </c>
      <c r="B5242" t="s">
        <v>1712</v>
      </c>
      <c r="C5242" t="s">
        <v>8207</v>
      </c>
      <c r="D5242" t="s">
        <v>18052</v>
      </c>
      <c r="E5242" t="s">
        <v>22796</v>
      </c>
      <c r="F5242" t="s">
        <v>31574</v>
      </c>
      <c r="G5242" t="s">
        <v>31582</v>
      </c>
      <c r="H5242" t="s">
        <v>31590</v>
      </c>
      <c r="I5242" t="s">
        <v>31615</v>
      </c>
      <c r="J5242" t="s">
        <v>32232</v>
      </c>
      <c r="K5242" t="s">
        <v>41192</v>
      </c>
      <c r="M5242" t="s">
        <v>43328</v>
      </c>
      <c r="N5242" t="s">
        <v>45095</v>
      </c>
      <c r="O5242" t="s">
        <v>45096</v>
      </c>
      <c r="P5242">
        <v>0</v>
      </c>
      <c r="Q5242">
        <v>0</v>
      </c>
      <c r="R5242" t="s">
        <v>45102</v>
      </c>
      <c r="S5242" t="s">
        <v>45242</v>
      </c>
      <c r="T5242" t="s">
        <v>47246</v>
      </c>
      <c r="U5242" t="s">
        <v>51880</v>
      </c>
      <c r="W5242" t="s">
        <v>43328</v>
      </c>
      <c r="X5242" t="s">
        <v>45103</v>
      </c>
    </row>
    <row r="5243" spans="1:24">
      <c r="A5243">
        <f>HYPERLINK("https://www.philgeps.gov.ph/GEPSNONPILOT/Tender/SplashBidNoticeAbstractUI.aspx?menuIndex=3&amp;refID=7038517&amp;Result=3","7038517")</f>
        <v>0</v>
      </c>
      <c r="B5243" t="s">
        <v>1738</v>
      </c>
      <c r="C5243" t="s">
        <v>8208</v>
      </c>
      <c r="D5243" t="s">
        <v>18079</v>
      </c>
      <c r="E5243" t="s">
        <v>22797</v>
      </c>
      <c r="F5243" t="s">
        <v>31574</v>
      </c>
      <c r="G5243" t="s">
        <v>31581</v>
      </c>
      <c r="H5243" t="s">
        <v>31591</v>
      </c>
      <c r="I5243" t="s">
        <v>4046</v>
      </c>
      <c r="J5243" t="s">
        <v>34536</v>
      </c>
      <c r="K5243" t="s">
        <v>41185</v>
      </c>
      <c r="M5243" t="s">
        <v>43357</v>
      </c>
      <c r="N5243" t="s">
        <v>45095</v>
      </c>
      <c r="O5243" t="s">
        <v>45096</v>
      </c>
      <c r="P5243">
        <v>0</v>
      </c>
      <c r="Q5243">
        <v>1</v>
      </c>
      <c r="R5243" t="s">
        <v>45102</v>
      </c>
      <c r="S5243" t="s">
        <v>45242</v>
      </c>
      <c r="T5243" t="s">
        <v>47067</v>
      </c>
      <c r="U5243" t="s">
        <v>51881</v>
      </c>
      <c r="V5243" t="s">
        <v>60411</v>
      </c>
      <c r="W5243" t="s">
        <v>43357</v>
      </c>
      <c r="X5243" t="s">
        <v>45103</v>
      </c>
    </row>
    <row r="5244" spans="1:24">
      <c r="A5244">
        <f>HYPERLINK("https://www.philgeps.gov.ph/GEPSNONPILOT/Tender/SplashBidNoticeAbstractUI.aspx?menuIndex=3&amp;refID=7038523&amp;Result=3","7038523")</f>
        <v>0</v>
      </c>
      <c r="B5244" t="s">
        <v>1732</v>
      </c>
      <c r="C5244" t="s">
        <v>8209</v>
      </c>
      <c r="D5244" t="s">
        <v>18041</v>
      </c>
      <c r="E5244" t="s">
        <v>22798</v>
      </c>
      <c r="F5244" t="s">
        <v>31574</v>
      </c>
      <c r="G5244" t="s">
        <v>31581</v>
      </c>
      <c r="H5244" t="s">
        <v>31590</v>
      </c>
      <c r="I5244" t="s">
        <v>31612</v>
      </c>
      <c r="J5244" t="s">
        <v>35125</v>
      </c>
      <c r="K5244" t="s">
        <v>41196</v>
      </c>
      <c r="M5244" t="s">
        <v>43351</v>
      </c>
      <c r="N5244" t="s">
        <v>45095</v>
      </c>
      <c r="O5244" t="s">
        <v>45096</v>
      </c>
      <c r="P5244">
        <v>0</v>
      </c>
      <c r="Q5244">
        <v>0</v>
      </c>
      <c r="R5244" t="s">
        <v>45102</v>
      </c>
      <c r="S5244" t="s">
        <v>45242</v>
      </c>
      <c r="T5244" t="s">
        <v>46985</v>
      </c>
      <c r="U5244" t="s">
        <v>51882</v>
      </c>
      <c r="W5244" t="s">
        <v>61715</v>
      </c>
      <c r="X5244" t="s">
        <v>45103</v>
      </c>
    </row>
    <row r="5245" spans="1:24">
      <c r="A5245">
        <f>HYPERLINK("https://www.philgeps.gov.ph/GEPSNONPILOT/Tender/SplashBidNoticeAbstractUI.aspx?menuIndex=3&amp;refID=7038533&amp;Result=3","7038533")</f>
        <v>0</v>
      </c>
      <c r="B5245" t="s">
        <v>249</v>
      </c>
      <c r="C5245" t="s">
        <v>8210</v>
      </c>
      <c r="D5245" t="s">
        <v>18039</v>
      </c>
      <c r="E5245" t="s">
        <v>22799</v>
      </c>
      <c r="F5245" t="s">
        <v>31574</v>
      </c>
      <c r="G5245" t="s">
        <v>31581</v>
      </c>
      <c r="H5245" t="s">
        <v>31590</v>
      </c>
      <c r="I5245" t="s">
        <v>4046</v>
      </c>
      <c r="J5245" t="s">
        <v>35126</v>
      </c>
      <c r="K5245" t="s">
        <v>41186</v>
      </c>
      <c r="M5245" t="s">
        <v>43358</v>
      </c>
      <c r="N5245" t="s">
        <v>45095</v>
      </c>
      <c r="O5245" t="s">
        <v>45096</v>
      </c>
      <c r="P5245">
        <v>0</v>
      </c>
      <c r="Q5245">
        <v>0</v>
      </c>
      <c r="R5245" t="s">
        <v>45102</v>
      </c>
      <c r="S5245" t="s">
        <v>45242</v>
      </c>
      <c r="T5245" t="s">
        <v>47077</v>
      </c>
      <c r="U5245" t="s">
        <v>51883</v>
      </c>
      <c r="W5245" t="s">
        <v>43358</v>
      </c>
      <c r="X5245" t="s">
        <v>45103</v>
      </c>
    </row>
    <row r="5246" spans="1:24">
      <c r="A5246">
        <f>HYPERLINK("https://www.philgeps.gov.ph/GEPSNONPILOT/Tender/SplashBidNoticeAbstractUI.aspx?menuIndex=3&amp;refID=7038516&amp;Result=3","7038516")</f>
        <v>0</v>
      </c>
      <c r="B5246" t="s">
        <v>508</v>
      </c>
      <c r="C5246" t="s">
        <v>8211</v>
      </c>
      <c r="D5246" t="s">
        <v>18023</v>
      </c>
      <c r="E5246" t="s">
        <v>22800</v>
      </c>
      <c r="F5246" t="s">
        <v>31574</v>
      </c>
      <c r="G5246" t="s">
        <v>31583</v>
      </c>
      <c r="H5246" t="s">
        <v>31590</v>
      </c>
      <c r="I5246" t="s">
        <v>31638</v>
      </c>
      <c r="J5246" t="s">
        <v>32473</v>
      </c>
      <c r="K5246" t="s">
        <v>41184</v>
      </c>
      <c r="M5246" t="s">
        <v>42004</v>
      </c>
      <c r="N5246" t="s">
        <v>45095</v>
      </c>
      <c r="O5246" t="s">
        <v>45096</v>
      </c>
      <c r="P5246">
        <v>0</v>
      </c>
      <c r="Q5246">
        <v>0</v>
      </c>
      <c r="R5246" t="s">
        <v>45102</v>
      </c>
      <c r="S5246" t="s">
        <v>45242</v>
      </c>
      <c r="T5246" t="s">
        <v>47125</v>
      </c>
      <c r="U5246" t="s">
        <v>48508</v>
      </c>
      <c r="V5246" t="s">
        <v>59982</v>
      </c>
      <c r="W5246" t="s">
        <v>42004</v>
      </c>
      <c r="X5246" t="s">
        <v>45103</v>
      </c>
    </row>
    <row r="5247" spans="1:24">
      <c r="A5247">
        <f>HYPERLINK("https://www.philgeps.gov.ph/GEPSNONPILOT/Tender/SplashBidNoticeAbstractUI.aspx?menuIndex=3&amp;refID=7038529&amp;Result=3","7038529")</f>
        <v>0</v>
      </c>
      <c r="B5247" t="s">
        <v>1739</v>
      </c>
      <c r="C5247" t="s">
        <v>8212</v>
      </c>
      <c r="D5247" t="s">
        <v>18031</v>
      </c>
      <c r="E5247" t="s">
        <v>22801</v>
      </c>
      <c r="F5247" t="s">
        <v>31574</v>
      </c>
      <c r="G5247" t="s">
        <v>31581</v>
      </c>
      <c r="H5247" t="s">
        <v>31590</v>
      </c>
      <c r="I5247" t="s">
        <v>4327</v>
      </c>
      <c r="J5247" t="s">
        <v>35127</v>
      </c>
      <c r="K5247" t="s">
        <v>41184</v>
      </c>
      <c r="M5247" t="s">
        <v>43359</v>
      </c>
      <c r="N5247" t="s">
        <v>45095</v>
      </c>
      <c r="O5247" t="s">
        <v>45096</v>
      </c>
      <c r="P5247">
        <v>0</v>
      </c>
      <c r="Q5247">
        <v>0</v>
      </c>
      <c r="R5247" t="s">
        <v>45102</v>
      </c>
      <c r="S5247" t="s">
        <v>45242</v>
      </c>
      <c r="T5247" t="s">
        <v>47125</v>
      </c>
      <c r="U5247" t="s">
        <v>51884</v>
      </c>
      <c r="V5247" t="s">
        <v>60412</v>
      </c>
      <c r="W5247" t="s">
        <v>43359</v>
      </c>
      <c r="X5247" t="s">
        <v>45103</v>
      </c>
    </row>
    <row r="5248" spans="1:24">
      <c r="A5248">
        <f>HYPERLINK("https://www.philgeps.gov.ph/GEPSNONPILOT/Tender/SplashBidNoticeAbstractUI.aspx?menuIndex=3&amp;refID=7038534&amp;Result=3","7038534")</f>
        <v>0</v>
      </c>
      <c r="B5248" t="s">
        <v>1509</v>
      </c>
      <c r="C5248" t="s">
        <v>8213</v>
      </c>
      <c r="E5248" t="s">
        <v>22802</v>
      </c>
      <c r="F5248" t="s">
        <v>31574</v>
      </c>
      <c r="G5248" t="s">
        <v>31581</v>
      </c>
      <c r="H5248" t="s">
        <v>31590</v>
      </c>
      <c r="I5248" t="s">
        <v>31608</v>
      </c>
      <c r="J5248" t="s">
        <v>32235</v>
      </c>
      <c r="K5248" t="s">
        <v>41184</v>
      </c>
      <c r="M5248" t="s">
        <v>43098</v>
      </c>
      <c r="N5248" t="s">
        <v>45095</v>
      </c>
      <c r="O5248" t="s">
        <v>45096</v>
      </c>
      <c r="P5248">
        <v>0</v>
      </c>
      <c r="Q5248">
        <v>7</v>
      </c>
      <c r="R5248" t="s">
        <v>45102</v>
      </c>
      <c r="S5248" t="s">
        <v>45242</v>
      </c>
      <c r="T5248" t="s">
        <v>46918</v>
      </c>
      <c r="U5248" t="s">
        <v>51885</v>
      </c>
      <c r="W5248" t="s">
        <v>43098</v>
      </c>
      <c r="X5248" t="s">
        <v>45103</v>
      </c>
    </row>
    <row r="5249" spans="1:24">
      <c r="A5249">
        <f>HYPERLINK("https://www.philgeps.gov.ph/GEPSNONPILOT/Tender/SplashBidNoticeAbstractUI.aspx?menuIndex=3&amp;refID=7038549&amp;Result=3","7038549")</f>
        <v>0</v>
      </c>
      <c r="B5249" t="s">
        <v>1740</v>
      </c>
      <c r="C5249" t="s">
        <v>8214</v>
      </c>
      <c r="D5249" t="s">
        <v>18056</v>
      </c>
      <c r="E5249" t="s">
        <v>22803</v>
      </c>
      <c r="F5249" t="s">
        <v>31574</v>
      </c>
      <c r="G5249" t="s">
        <v>31586</v>
      </c>
      <c r="H5249" t="s">
        <v>31590</v>
      </c>
      <c r="I5249" t="s">
        <v>31629</v>
      </c>
      <c r="J5249" t="s">
        <v>35128</v>
      </c>
      <c r="K5249" t="s">
        <v>41190</v>
      </c>
      <c r="M5249" t="s">
        <v>43360</v>
      </c>
      <c r="N5249" t="s">
        <v>45095</v>
      </c>
      <c r="O5249" t="s">
        <v>45096</v>
      </c>
      <c r="P5249">
        <v>0</v>
      </c>
      <c r="Q5249">
        <v>0</v>
      </c>
      <c r="R5249" t="s">
        <v>45102</v>
      </c>
      <c r="S5249" t="s">
        <v>45242</v>
      </c>
      <c r="T5249" t="s">
        <v>47164</v>
      </c>
      <c r="U5249" t="s">
        <v>51886</v>
      </c>
      <c r="W5249" t="s">
        <v>43360</v>
      </c>
      <c r="X5249" t="s">
        <v>45103</v>
      </c>
    </row>
    <row r="5250" spans="1:24">
      <c r="A5250">
        <f>HYPERLINK("https://www.philgeps.gov.ph/GEPSNONPILOT/Tender/SplashBidNoticeAbstractUI.aspx?menuIndex=3&amp;refID=7038493&amp;Result=3","7038493")</f>
        <v>0</v>
      </c>
      <c r="B5250" t="s">
        <v>1639</v>
      </c>
      <c r="C5250" t="s">
        <v>8215</v>
      </c>
      <c r="E5250" t="s">
        <v>22804</v>
      </c>
      <c r="F5250" t="s">
        <v>31574</v>
      </c>
      <c r="G5250" t="s">
        <v>31581</v>
      </c>
      <c r="H5250" t="s">
        <v>31590</v>
      </c>
      <c r="I5250" t="s">
        <v>31594</v>
      </c>
      <c r="J5250" t="s">
        <v>35129</v>
      </c>
      <c r="K5250" t="s">
        <v>41184</v>
      </c>
      <c r="M5250" t="s">
        <v>43248</v>
      </c>
      <c r="N5250" t="s">
        <v>45095</v>
      </c>
      <c r="O5250" t="s">
        <v>45096</v>
      </c>
      <c r="P5250">
        <v>0</v>
      </c>
      <c r="Q5250">
        <v>3</v>
      </c>
      <c r="R5250" t="s">
        <v>45102</v>
      </c>
      <c r="S5250" t="s">
        <v>45242</v>
      </c>
      <c r="T5250" t="s">
        <v>47171</v>
      </c>
      <c r="U5250" t="s">
        <v>51887</v>
      </c>
      <c r="W5250" t="s">
        <v>43248</v>
      </c>
      <c r="X5250" t="s">
        <v>45103</v>
      </c>
    </row>
    <row r="5251" spans="1:24">
      <c r="A5251">
        <f>HYPERLINK("https://www.philgeps.gov.ph/GEPSNONPILOT/Tender/SplashBidNoticeAbstractUI.aspx?menuIndex=3&amp;refID=7038530&amp;Result=3","7038530")</f>
        <v>0</v>
      </c>
      <c r="B5251" t="s">
        <v>460</v>
      </c>
      <c r="C5251" t="s">
        <v>8216</v>
      </c>
      <c r="D5251" t="s">
        <v>18030</v>
      </c>
      <c r="E5251" t="s">
        <v>18943</v>
      </c>
      <c r="F5251" t="s">
        <v>31574</v>
      </c>
      <c r="G5251" t="s">
        <v>31582</v>
      </c>
      <c r="H5251" t="s">
        <v>31591</v>
      </c>
      <c r="I5251" t="s">
        <v>8822</v>
      </c>
      <c r="J5251" t="s">
        <v>35130</v>
      </c>
      <c r="K5251" t="s">
        <v>41184</v>
      </c>
      <c r="M5251" t="s">
        <v>41954</v>
      </c>
      <c r="N5251" t="s">
        <v>45095</v>
      </c>
      <c r="O5251" t="s">
        <v>45096</v>
      </c>
      <c r="P5251">
        <v>0</v>
      </c>
      <c r="Q5251">
        <v>0</v>
      </c>
      <c r="R5251" t="s">
        <v>45102</v>
      </c>
      <c r="S5251" t="s">
        <v>45242</v>
      </c>
      <c r="T5251" t="s">
        <v>46926</v>
      </c>
      <c r="U5251" t="s">
        <v>51888</v>
      </c>
      <c r="W5251" t="s">
        <v>41954</v>
      </c>
      <c r="X5251" t="s">
        <v>45103</v>
      </c>
    </row>
    <row r="5252" spans="1:24">
      <c r="A5252">
        <f>HYPERLINK("https://www.philgeps.gov.ph/GEPSNONPILOT/Tender/SplashBidNoticeAbstractUI.aspx?menuIndex=3&amp;refID=7038544&amp;Result=3","7038544")</f>
        <v>0</v>
      </c>
      <c r="B5252" t="s">
        <v>1116</v>
      </c>
      <c r="C5252" t="s">
        <v>8217</v>
      </c>
      <c r="D5252" t="s">
        <v>18095</v>
      </c>
      <c r="E5252" t="s">
        <v>22805</v>
      </c>
      <c r="F5252" t="s">
        <v>31574</v>
      </c>
      <c r="G5252" t="s">
        <v>31582</v>
      </c>
      <c r="H5252" t="s">
        <v>31591</v>
      </c>
      <c r="I5252" t="s">
        <v>8822</v>
      </c>
      <c r="J5252" t="s">
        <v>35131</v>
      </c>
      <c r="K5252" t="s">
        <v>41200</v>
      </c>
      <c r="M5252" t="s">
        <v>43361</v>
      </c>
      <c r="N5252" t="s">
        <v>45095</v>
      </c>
      <c r="O5252" t="s">
        <v>45096</v>
      </c>
      <c r="P5252">
        <v>0</v>
      </c>
      <c r="Q5252">
        <v>0</v>
      </c>
      <c r="R5252" t="s">
        <v>45102</v>
      </c>
      <c r="S5252" t="s">
        <v>45242</v>
      </c>
      <c r="T5252" t="s">
        <v>47211</v>
      </c>
      <c r="U5252" t="s">
        <v>51889</v>
      </c>
      <c r="W5252" t="s">
        <v>43361</v>
      </c>
      <c r="X5252" t="s">
        <v>45103</v>
      </c>
    </row>
    <row r="5253" spans="1:24">
      <c r="A5253">
        <f>HYPERLINK("https://www.philgeps.gov.ph/GEPSNONPILOT/Tender/SplashBidNoticeAbstractUI.aspx?menuIndex=3&amp;refID=7038509&amp;Result=3","7038509")</f>
        <v>0</v>
      </c>
      <c r="B5253" t="s">
        <v>249</v>
      </c>
      <c r="C5253" t="s">
        <v>8218</v>
      </c>
      <c r="D5253" t="s">
        <v>18070</v>
      </c>
      <c r="E5253" t="s">
        <v>22806</v>
      </c>
      <c r="F5253" t="s">
        <v>31574</v>
      </c>
      <c r="G5253" t="s">
        <v>31581</v>
      </c>
      <c r="H5253" t="s">
        <v>31590</v>
      </c>
      <c r="I5253" t="s">
        <v>31599</v>
      </c>
      <c r="J5253" t="s">
        <v>33116</v>
      </c>
      <c r="K5253" t="s">
        <v>41196</v>
      </c>
      <c r="M5253" t="s">
        <v>43343</v>
      </c>
      <c r="N5253" t="s">
        <v>45095</v>
      </c>
      <c r="O5253" t="s">
        <v>45096</v>
      </c>
      <c r="P5253">
        <v>0</v>
      </c>
      <c r="Q5253">
        <v>2</v>
      </c>
      <c r="R5253" t="s">
        <v>45102</v>
      </c>
      <c r="S5253" t="s">
        <v>45242</v>
      </c>
      <c r="T5253" t="s">
        <v>46982</v>
      </c>
      <c r="U5253" t="s">
        <v>51890</v>
      </c>
      <c r="W5253" t="s">
        <v>43343</v>
      </c>
      <c r="X5253" t="s">
        <v>45103</v>
      </c>
    </row>
    <row r="5254" spans="1:24">
      <c r="A5254">
        <f>HYPERLINK("https://www.philgeps.gov.ph/GEPSNONPILOT/Tender/SplashBidNoticeAbstractUI.aspx?menuIndex=3&amp;refID=7038545&amp;Result=3","7038545")</f>
        <v>0</v>
      </c>
      <c r="B5254" t="s">
        <v>924</v>
      </c>
      <c r="C5254" t="s">
        <v>8219</v>
      </c>
      <c r="D5254" t="s">
        <v>18022</v>
      </c>
      <c r="E5254" t="s">
        <v>22807</v>
      </c>
      <c r="F5254" t="s">
        <v>31574</v>
      </c>
      <c r="G5254" t="s">
        <v>31581</v>
      </c>
      <c r="H5254" t="s">
        <v>31590</v>
      </c>
      <c r="I5254" t="s">
        <v>6800</v>
      </c>
      <c r="J5254" t="s">
        <v>35132</v>
      </c>
      <c r="K5254" t="s">
        <v>41193</v>
      </c>
      <c r="M5254" t="s">
        <v>41517</v>
      </c>
      <c r="N5254" t="s">
        <v>45095</v>
      </c>
      <c r="O5254" t="s">
        <v>45096</v>
      </c>
      <c r="P5254">
        <v>0</v>
      </c>
      <c r="Q5254">
        <v>0</v>
      </c>
      <c r="R5254" t="s">
        <v>45102</v>
      </c>
      <c r="S5254" t="s">
        <v>45242</v>
      </c>
      <c r="T5254" t="s">
        <v>47159</v>
      </c>
      <c r="U5254" t="s">
        <v>51891</v>
      </c>
      <c r="V5254" t="s">
        <v>60105</v>
      </c>
      <c r="W5254" t="s">
        <v>41517</v>
      </c>
      <c r="X5254" t="s">
        <v>45103</v>
      </c>
    </row>
    <row r="5255" spans="1:24">
      <c r="A5255">
        <f>HYPERLINK("https://www.philgeps.gov.ph/GEPSNONPILOT/Tender/SplashBidNoticeAbstractUI.aspx?menuIndex=3&amp;refID=7038540&amp;Result=3","7038540")</f>
        <v>0</v>
      </c>
      <c r="B5255" t="s">
        <v>1272</v>
      </c>
      <c r="C5255" t="s">
        <v>8220</v>
      </c>
      <c r="D5255" t="s">
        <v>18024</v>
      </c>
      <c r="E5255" t="s">
        <v>21455</v>
      </c>
      <c r="F5255" t="s">
        <v>31574</v>
      </c>
      <c r="G5255" t="s">
        <v>31582</v>
      </c>
      <c r="H5255" t="s">
        <v>31591</v>
      </c>
      <c r="I5255" t="s">
        <v>4046</v>
      </c>
      <c r="J5255" t="s">
        <v>31727</v>
      </c>
      <c r="K5255" t="s">
        <v>41213</v>
      </c>
      <c r="M5255" t="s">
        <v>42840</v>
      </c>
      <c r="N5255" t="s">
        <v>45095</v>
      </c>
      <c r="O5255" t="s">
        <v>45096</v>
      </c>
      <c r="P5255">
        <v>0</v>
      </c>
      <c r="Q5255">
        <v>1</v>
      </c>
      <c r="R5255" t="s">
        <v>45102</v>
      </c>
      <c r="S5255" t="s">
        <v>45242</v>
      </c>
      <c r="T5255" t="s">
        <v>46946</v>
      </c>
      <c r="U5255" t="s">
        <v>51892</v>
      </c>
      <c r="W5255" t="s">
        <v>42840</v>
      </c>
      <c r="X5255" t="s">
        <v>45103</v>
      </c>
    </row>
    <row r="5256" spans="1:24">
      <c r="A5256">
        <f>HYPERLINK("https://www.philgeps.gov.ph/GEPSNONPILOT/Tender/SplashBidNoticeAbstractUI.aspx?menuIndex=3&amp;refID=7038543&amp;Result=3","7038543")</f>
        <v>0</v>
      </c>
      <c r="B5256" t="s">
        <v>771</v>
      </c>
      <c r="C5256" t="s">
        <v>8221</v>
      </c>
      <c r="D5256" t="s">
        <v>18050</v>
      </c>
      <c r="E5256" t="s">
        <v>22808</v>
      </c>
      <c r="F5256" t="s">
        <v>31574</v>
      </c>
      <c r="G5256" t="s">
        <v>31582</v>
      </c>
      <c r="H5256" t="s">
        <v>31590</v>
      </c>
      <c r="I5256" t="s">
        <v>3651</v>
      </c>
      <c r="J5256" t="s">
        <v>35133</v>
      </c>
      <c r="K5256" t="s">
        <v>41211</v>
      </c>
      <c r="M5256" t="s">
        <v>42285</v>
      </c>
      <c r="N5256" t="s">
        <v>45095</v>
      </c>
      <c r="O5256" t="s">
        <v>45096</v>
      </c>
      <c r="P5256">
        <v>0</v>
      </c>
      <c r="Q5256">
        <v>1</v>
      </c>
      <c r="R5256" t="s">
        <v>45102</v>
      </c>
      <c r="S5256" t="s">
        <v>45242</v>
      </c>
      <c r="T5256" t="s">
        <v>47166</v>
      </c>
      <c r="U5256" t="s">
        <v>51893</v>
      </c>
      <c r="W5256" t="s">
        <v>42285</v>
      </c>
      <c r="X5256" t="s">
        <v>45103</v>
      </c>
    </row>
    <row r="5257" spans="1:24">
      <c r="A5257">
        <f>HYPERLINK("https://www.philgeps.gov.ph/GEPSNONPILOT/Tender/SplashBidNoticeAbstractUI.aspx?menuIndex=3&amp;refID=7038535&amp;Result=3","7038535")</f>
        <v>0</v>
      </c>
      <c r="B5257" t="s">
        <v>1741</v>
      </c>
      <c r="C5257" t="s">
        <v>8222</v>
      </c>
      <c r="D5257" t="s">
        <v>18096</v>
      </c>
      <c r="E5257" t="s">
        <v>22809</v>
      </c>
      <c r="F5257" t="s">
        <v>31574</v>
      </c>
      <c r="G5257" t="s">
        <v>31582</v>
      </c>
      <c r="H5257" t="s">
        <v>31591</v>
      </c>
      <c r="I5257" t="s">
        <v>8822</v>
      </c>
      <c r="J5257" t="s">
        <v>35134</v>
      </c>
      <c r="K5257" t="s">
        <v>41200</v>
      </c>
      <c r="M5257" t="s">
        <v>43362</v>
      </c>
      <c r="N5257" t="s">
        <v>45095</v>
      </c>
      <c r="O5257" t="s">
        <v>45096</v>
      </c>
      <c r="P5257">
        <v>0</v>
      </c>
      <c r="Q5257">
        <v>0</v>
      </c>
      <c r="R5257" t="s">
        <v>45102</v>
      </c>
      <c r="S5257" t="s">
        <v>45242</v>
      </c>
      <c r="T5257" t="s">
        <v>47196</v>
      </c>
      <c r="U5257" t="s">
        <v>51894</v>
      </c>
      <c r="W5257" t="s">
        <v>43362</v>
      </c>
      <c r="X5257" t="s">
        <v>45103</v>
      </c>
    </row>
    <row r="5258" spans="1:24">
      <c r="A5258">
        <f>HYPERLINK("https://www.philgeps.gov.ph/GEPSNONPILOT/Tender/SplashBidNoticeAbstractUI.aspx?menuIndex=3&amp;refID=7038539&amp;Result=3","7038539")</f>
        <v>0</v>
      </c>
      <c r="B5258" t="s">
        <v>46</v>
      </c>
      <c r="C5258" t="s">
        <v>8223</v>
      </c>
      <c r="D5258" t="s">
        <v>18050</v>
      </c>
      <c r="E5258" t="s">
        <v>22810</v>
      </c>
      <c r="F5258" t="s">
        <v>31574</v>
      </c>
      <c r="G5258" t="s">
        <v>31583</v>
      </c>
      <c r="H5258" t="s">
        <v>31590</v>
      </c>
      <c r="I5258" t="s">
        <v>31611</v>
      </c>
      <c r="J5258" t="s">
        <v>33289</v>
      </c>
      <c r="K5258" t="s">
        <v>41186</v>
      </c>
      <c r="M5258" t="s">
        <v>42527</v>
      </c>
      <c r="N5258" t="s">
        <v>45095</v>
      </c>
      <c r="O5258" t="s">
        <v>45096</v>
      </c>
      <c r="P5258">
        <v>0</v>
      </c>
      <c r="Q5258">
        <v>0</v>
      </c>
      <c r="R5258" t="s">
        <v>45102</v>
      </c>
      <c r="S5258" t="s">
        <v>45242</v>
      </c>
      <c r="T5258" t="s">
        <v>47165</v>
      </c>
      <c r="U5258" t="s">
        <v>51895</v>
      </c>
      <c r="W5258" t="s">
        <v>42527</v>
      </c>
      <c r="X5258" t="s">
        <v>45103</v>
      </c>
    </row>
    <row r="5259" spans="1:24">
      <c r="A5259">
        <f>HYPERLINK("https://www.philgeps.gov.ph/GEPSNONPILOT/Tender/SplashBidNoticeAbstractUI.aspx?menuIndex=3&amp;refID=7038527&amp;Result=3","7038527")</f>
        <v>0</v>
      </c>
      <c r="B5259" t="s">
        <v>1116</v>
      </c>
      <c r="C5259" t="s">
        <v>8224</v>
      </c>
      <c r="D5259" t="s">
        <v>18095</v>
      </c>
      <c r="E5259" t="s">
        <v>22811</v>
      </c>
      <c r="F5259" t="s">
        <v>31574</v>
      </c>
      <c r="G5259" t="s">
        <v>31582</v>
      </c>
      <c r="H5259" t="s">
        <v>31591</v>
      </c>
      <c r="I5259" t="s">
        <v>8822</v>
      </c>
      <c r="J5259" t="s">
        <v>35135</v>
      </c>
      <c r="K5259" t="s">
        <v>41200</v>
      </c>
      <c r="M5259" t="s">
        <v>43361</v>
      </c>
      <c r="N5259" t="s">
        <v>45095</v>
      </c>
      <c r="O5259" t="s">
        <v>45096</v>
      </c>
      <c r="P5259">
        <v>0</v>
      </c>
      <c r="Q5259">
        <v>0</v>
      </c>
      <c r="R5259" t="s">
        <v>45102</v>
      </c>
      <c r="S5259" t="s">
        <v>45242</v>
      </c>
      <c r="T5259" t="s">
        <v>47211</v>
      </c>
      <c r="U5259" t="s">
        <v>51896</v>
      </c>
      <c r="W5259" t="s">
        <v>43361</v>
      </c>
      <c r="X5259" t="s">
        <v>45103</v>
      </c>
    </row>
    <row r="5260" spans="1:24">
      <c r="A5260">
        <f>HYPERLINK("https://www.philgeps.gov.ph/GEPSNONPILOT/Tender/SplashBidNoticeAbstractUI.aspx?menuIndex=3&amp;refID=7038550&amp;Result=3","7038550")</f>
        <v>0</v>
      </c>
      <c r="B5260" t="s">
        <v>349</v>
      </c>
      <c r="C5260" t="s">
        <v>8225</v>
      </c>
      <c r="D5260" t="s">
        <v>18071</v>
      </c>
      <c r="E5260" t="s">
        <v>22812</v>
      </c>
      <c r="F5260" t="s">
        <v>31574</v>
      </c>
      <c r="G5260" t="s">
        <v>31582</v>
      </c>
      <c r="H5260" t="s">
        <v>31591</v>
      </c>
      <c r="I5260" t="s">
        <v>8822</v>
      </c>
      <c r="J5260" t="s">
        <v>35136</v>
      </c>
      <c r="K5260" t="s">
        <v>41200</v>
      </c>
      <c r="M5260" t="s">
        <v>43363</v>
      </c>
      <c r="N5260" t="s">
        <v>45095</v>
      </c>
      <c r="O5260" t="s">
        <v>45096</v>
      </c>
      <c r="P5260">
        <v>0</v>
      </c>
      <c r="Q5260">
        <v>0</v>
      </c>
      <c r="R5260" t="s">
        <v>45102</v>
      </c>
      <c r="S5260" t="s">
        <v>45242</v>
      </c>
      <c r="T5260" t="s">
        <v>47230</v>
      </c>
      <c r="U5260" t="s">
        <v>51897</v>
      </c>
      <c r="W5260" t="s">
        <v>43363</v>
      </c>
      <c r="X5260" t="s">
        <v>45103</v>
      </c>
    </row>
    <row r="5261" spans="1:24">
      <c r="A5261">
        <f>HYPERLINK("https://www.philgeps.gov.ph/GEPSNONPILOT/Tender/SplashBidNoticeAbstractUI.aspx?menuIndex=3&amp;refID=7038537&amp;Result=3","7038537")</f>
        <v>0</v>
      </c>
      <c r="B5261" t="s">
        <v>1742</v>
      </c>
      <c r="C5261" t="s">
        <v>8226</v>
      </c>
      <c r="D5261" t="s">
        <v>18022</v>
      </c>
      <c r="E5261" t="s">
        <v>22813</v>
      </c>
      <c r="F5261" t="s">
        <v>31574</v>
      </c>
      <c r="G5261" t="s">
        <v>31581</v>
      </c>
      <c r="H5261" t="s">
        <v>31590</v>
      </c>
      <c r="I5261" t="s">
        <v>3489</v>
      </c>
      <c r="J5261" t="s">
        <v>35137</v>
      </c>
      <c r="K5261" t="s">
        <v>41213</v>
      </c>
      <c r="M5261" t="s">
        <v>43364</v>
      </c>
      <c r="N5261" t="s">
        <v>45095</v>
      </c>
      <c r="O5261" t="s">
        <v>45096</v>
      </c>
      <c r="P5261">
        <v>0</v>
      </c>
      <c r="Q5261">
        <v>3</v>
      </c>
      <c r="R5261" t="s">
        <v>45102</v>
      </c>
      <c r="S5261" t="s">
        <v>45242</v>
      </c>
      <c r="T5261" t="s">
        <v>47154</v>
      </c>
      <c r="U5261" t="s">
        <v>51898</v>
      </c>
      <c r="W5261" t="s">
        <v>43364</v>
      </c>
      <c r="X5261" t="s">
        <v>45103</v>
      </c>
    </row>
    <row r="5262" spans="1:24">
      <c r="A5262">
        <f>HYPERLINK("https://www.philgeps.gov.ph/GEPSNONPILOT/Tender/SplashBidNoticeAbstractUI.aspx?menuIndex=3&amp;refID=7038525&amp;Result=3","7038525")</f>
        <v>0</v>
      </c>
      <c r="B5262" t="s">
        <v>1727</v>
      </c>
      <c r="C5262" t="s">
        <v>8227</v>
      </c>
      <c r="D5262" t="s">
        <v>18028</v>
      </c>
      <c r="E5262" t="s">
        <v>22622</v>
      </c>
      <c r="F5262" t="s">
        <v>31574</v>
      </c>
      <c r="G5262" t="s">
        <v>31581</v>
      </c>
      <c r="H5262" t="s">
        <v>31590</v>
      </c>
      <c r="I5262" t="s">
        <v>4046</v>
      </c>
      <c r="J5262" t="s">
        <v>35138</v>
      </c>
      <c r="K5262" t="s">
        <v>41186</v>
      </c>
      <c r="M5262" t="s">
        <v>43345</v>
      </c>
      <c r="N5262" t="s">
        <v>45095</v>
      </c>
      <c r="O5262" t="s">
        <v>45096</v>
      </c>
      <c r="P5262">
        <v>0</v>
      </c>
      <c r="Q5262">
        <v>1</v>
      </c>
      <c r="R5262" t="s">
        <v>45102</v>
      </c>
      <c r="S5262" t="s">
        <v>45242</v>
      </c>
      <c r="T5262" t="s">
        <v>47125</v>
      </c>
      <c r="U5262" t="s">
        <v>47721</v>
      </c>
      <c r="W5262" t="s">
        <v>43345</v>
      </c>
      <c r="X5262" t="s">
        <v>45103</v>
      </c>
    </row>
    <row r="5263" spans="1:24">
      <c r="A5263">
        <f>HYPERLINK("https://www.philgeps.gov.ph/GEPSNONPILOT/Tender/SplashBidNoticeAbstractUI.aspx?menuIndex=3&amp;refID=7038574&amp;Result=3","7038574")</f>
        <v>0</v>
      </c>
      <c r="B5263" t="s">
        <v>1743</v>
      </c>
      <c r="C5263" t="s">
        <v>8228</v>
      </c>
      <c r="D5263" t="s">
        <v>18075</v>
      </c>
      <c r="E5263" t="s">
        <v>22814</v>
      </c>
      <c r="F5263" t="s">
        <v>31574</v>
      </c>
      <c r="G5263" t="s">
        <v>31584</v>
      </c>
      <c r="H5263" t="s">
        <v>31590</v>
      </c>
      <c r="I5263" t="s">
        <v>6800</v>
      </c>
      <c r="J5263" t="s">
        <v>35139</v>
      </c>
      <c r="K5263" t="s">
        <v>41213</v>
      </c>
      <c r="M5263" t="s">
        <v>43365</v>
      </c>
      <c r="N5263" t="s">
        <v>45095</v>
      </c>
      <c r="O5263" t="s">
        <v>45096</v>
      </c>
      <c r="P5263">
        <v>0</v>
      </c>
      <c r="Q5263">
        <v>1</v>
      </c>
      <c r="R5263" t="s">
        <v>45102</v>
      </c>
      <c r="S5263" t="s">
        <v>45242</v>
      </c>
      <c r="T5263" t="s">
        <v>46911</v>
      </c>
      <c r="U5263" t="s">
        <v>51899</v>
      </c>
      <c r="W5263" t="s">
        <v>43365</v>
      </c>
      <c r="X5263" t="s">
        <v>45103</v>
      </c>
    </row>
    <row r="5264" spans="1:24">
      <c r="A5264">
        <f>HYPERLINK("https://www.philgeps.gov.ph/GEPSNONPILOT/Tender/SplashBidNoticeAbstractUI.aspx?menuIndex=3&amp;refID=7038558&amp;Result=3","7038558")</f>
        <v>0</v>
      </c>
      <c r="B5264" t="s">
        <v>1695</v>
      </c>
      <c r="C5264" t="s">
        <v>8229</v>
      </c>
      <c r="D5264" t="s">
        <v>18094</v>
      </c>
      <c r="E5264" t="s">
        <v>22815</v>
      </c>
      <c r="F5264" t="s">
        <v>31574</v>
      </c>
      <c r="G5264" t="s">
        <v>31582</v>
      </c>
      <c r="H5264" t="s">
        <v>31591</v>
      </c>
      <c r="I5264" t="s">
        <v>8822</v>
      </c>
      <c r="J5264" t="s">
        <v>35140</v>
      </c>
      <c r="K5264" t="s">
        <v>41185</v>
      </c>
      <c r="M5264" t="s">
        <v>43309</v>
      </c>
      <c r="N5264" t="s">
        <v>45095</v>
      </c>
      <c r="O5264" t="s">
        <v>45096</v>
      </c>
      <c r="P5264">
        <v>0</v>
      </c>
      <c r="Q5264">
        <v>0</v>
      </c>
      <c r="R5264" t="s">
        <v>45102</v>
      </c>
      <c r="S5264" t="s">
        <v>45242</v>
      </c>
      <c r="T5264" t="s">
        <v>47074</v>
      </c>
      <c r="U5264" t="s">
        <v>51900</v>
      </c>
      <c r="V5264" t="s">
        <v>60413</v>
      </c>
      <c r="W5264" t="s">
        <v>43309</v>
      </c>
      <c r="X5264" t="s">
        <v>45103</v>
      </c>
    </row>
    <row r="5265" spans="1:24">
      <c r="A5265">
        <f>HYPERLINK("https://www.philgeps.gov.ph/GEPSNONPILOT/Tender/SplashBidNoticeAbstractUI.aspx?menuIndex=3&amp;refID=7038553&amp;Result=3","7038553")</f>
        <v>0</v>
      </c>
      <c r="B5265" t="s">
        <v>510</v>
      </c>
      <c r="C5265" t="s">
        <v>8230</v>
      </c>
      <c r="D5265" t="s">
        <v>18053</v>
      </c>
      <c r="E5265" t="s">
        <v>22816</v>
      </c>
      <c r="F5265" t="s">
        <v>31574</v>
      </c>
      <c r="G5265" t="s">
        <v>31582</v>
      </c>
      <c r="H5265" t="s">
        <v>31590</v>
      </c>
      <c r="I5265" t="s">
        <v>4327</v>
      </c>
      <c r="J5265" t="s">
        <v>35141</v>
      </c>
      <c r="K5265" t="s">
        <v>41193</v>
      </c>
      <c r="M5265" t="s">
        <v>42006</v>
      </c>
      <c r="N5265" t="s">
        <v>45095</v>
      </c>
      <c r="O5265" t="s">
        <v>45096</v>
      </c>
      <c r="P5265">
        <v>0</v>
      </c>
      <c r="Q5265">
        <v>3</v>
      </c>
      <c r="R5265" t="s">
        <v>45102</v>
      </c>
      <c r="S5265" t="s">
        <v>45242</v>
      </c>
      <c r="T5265" t="s">
        <v>46988</v>
      </c>
      <c r="U5265" t="s">
        <v>51901</v>
      </c>
      <c r="W5265" t="s">
        <v>42006</v>
      </c>
      <c r="X5265" t="s">
        <v>45103</v>
      </c>
    </row>
    <row r="5266" spans="1:24">
      <c r="A5266">
        <f>HYPERLINK("https://www.philgeps.gov.ph/GEPSNONPILOT/Tender/SplashBidNoticeAbstractUI.aspx?menuIndex=3&amp;refID=7038573&amp;Result=3","7038573")</f>
        <v>0</v>
      </c>
      <c r="B5266" t="s">
        <v>1116</v>
      </c>
      <c r="C5266" t="s">
        <v>8231</v>
      </c>
      <c r="D5266" t="s">
        <v>18095</v>
      </c>
      <c r="E5266" t="s">
        <v>22817</v>
      </c>
      <c r="F5266" t="s">
        <v>31574</v>
      </c>
      <c r="G5266" t="s">
        <v>31582</v>
      </c>
      <c r="H5266" t="s">
        <v>31591</v>
      </c>
      <c r="I5266" t="s">
        <v>8822</v>
      </c>
      <c r="J5266" t="s">
        <v>35142</v>
      </c>
      <c r="K5266" t="s">
        <v>41200</v>
      </c>
      <c r="M5266" t="s">
        <v>43361</v>
      </c>
      <c r="N5266" t="s">
        <v>45095</v>
      </c>
      <c r="O5266" t="s">
        <v>45096</v>
      </c>
      <c r="P5266">
        <v>0</v>
      </c>
      <c r="Q5266">
        <v>0</v>
      </c>
      <c r="R5266" t="s">
        <v>45102</v>
      </c>
      <c r="S5266" t="s">
        <v>45242</v>
      </c>
      <c r="T5266" t="s">
        <v>47211</v>
      </c>
      <c r="U5266" t="s">
        <v>51902</v>
      </c>
      <c r="W5266" t="s">
        <v>43361</v>
      </c>
      <c r="X5266" t="s">
        <v>45103</v>
      </c>
    </row>
    <row r="5267" spans="1:24">
      <c r="A5267">
        <f>HYPERLINK("https://www.philgeps.gov.ph/GEPSNONPILOT/Tender/SplashBidNoticeAbstractUI.aspx?menuIndex=3&amp;refID=7038571&amp;Result=3","7038571")</f>
        <v>0</v>
      </c>
      <c r="B5267" t="s">
        <v>1079</v>
      </c>
      <c r="C5267" t="s">
        <v>8232</v>
      </c>
      <c r="E5267" t="s">
        <v>22818</v>
      </c>
      <c r="F5267" t="s">
        <v>31574</v>
      </c>
      <c r="G5267" t="s">
        <v>31581</v>
      </c>
      <c r="H5267" t="s">
        <v>31590</v>
      </c>
      <c r="I5267" t="s">
        <v>31599</v>
      </c>
      <c r="J5267" t="s">
        <v>35143</v>
      </c>
      <c r="K5267" t="s">
        <v>41184</v>
      </c>
      <c r="M5267" t="s">
        <v>43366</v>
      </c>
      <c r="N5267" t="s">
        <v>45095</v>
      </c>
      <c r="O5267" t="s">
        <v>45096</v>
      </c>
      <c r="P5267">
        <v>0</v>
      </c>
      <c r="Q5267">
        <v>1</v>
      </c>
      <c r="R5267" t="s">
        <v>45102</v>
      </c>
      <c r="S5267" t="s">
        <v>45242</v>
      </c>
      <c r="T5267" t="s">
        <v>47125</v>
      </c>
      <c r="U5267" t="s">
        <v>51903</v>
      </c>
      <c r="V5267" t="s">
        <v>60414</v>
      </c>
      <c r="W5267" t="s">
        <v>43366</v>
      </c>
      <c r="X5267" t="s">
        <v>45103</v>
      </c>
    </row>
    <row r="5268" spans="1:24">
      <c r="A5268">
        <f>HYPERLINK("https://www.philgeps.gov.ph/GEPSNONPILOT/Tender/SplashBidNoticeAbstractUI.aspx?menuIndex=3&amp;refID=7038562&amp;Result=3","7038562")</f>
        <v>0</v>
      </c>
      <c r="B5268" t="s">
        <v>1116</v>
      </c>
      <c r="C5268" t="s">
        <v>8233</v>
      </c>
      <c r="D5268" t="s">
        <v>18095</v>
      </c>
      <c r="E5268" t="s">
        <v>22819</v>
      </c>
      <c r="F5268" t="s">
        <v>31574</v>
      </c>
      <c r="G5268" t="s">
        <v>31582</v>
      </c>
      <c r="H5268" t="s">
        <v>31591</v>
      </c>
      <c r="I5268" t="s">
        <v>8822</v>
      </c>
      <c r="J5268" t="s">
        <v>35144</v>
      </c>
      <c r="K5268" t="s">
        <v>41200</v>
      </c>
      <c r="M5268" t="s">
        <v>43361</v>
      </c>
      <c r="N5268" t="s">
        <v>45095</v>
      </c>
      <c r="O5268" t="s">
        <v>45096</v>
      </c>
      <c r="P5268">
        <v>0</v>
      </c>
      <c r="Q5268">
        <v>0</v>
      </c>
      <c r="R5268" t="s">
        <v>45102</v>
      </c>
      <c r="S5268" t="s">
        <v>45242</v>
      </c>
      <c r="T5268" t="s">
        <v>47211</v>
      </c>
      <c r="U5268" t="s">
        <v>51904</v>
      </c>
      <c r="W5268" t="s">
        <v>43361</v>
      </c>
      <c r="X5268" t="s">
        <v>45103</v>
      </c>
    </row>
    <row r="5269" spans="1:24">
      <c r="A5269">
        <f>HYPERLINK("https://www.philgeps.gov.ph/GEPSNONPILOT/Tender/SplashBidNoticeAbstractUI.aspx?menuIndex=3&amp;refID=7038552&amp;Result=3","7038552")</f>
        <v>0</v>
      </c>
      <c r="B5269" t="s">
        <v>1744</v>
      </c>
      <c r="C5269" t="s">
        <v>8234</v>
      </c>
      <c r="D5269" t="s">
        <v>18072</v>
      </c>
      <c r="E5269" t="s">
        <v>22820</v>
      </c>
      <c r="F5269" t="s">
        <v>31574</v>
      </c>
      <c r="G5269" t="s">
        <v>31581</v>
      </c>
      <c r="H5269" t="s">
        <v>31590</v>
      </c>
      <c r="I5269" t="s">
        <v>31607</v>
      </c>
      <c r="J5269" t="s">
        <v>35145</v>
      </c>
      <c r="K5269" t="s">
        <v>41186</v>
      </c>
      <c r="M5269" t="s">
        <v>43367</v>
      </c>
      <c r="N5269" t="s">
        <v>45095</v>
      </c>
      <c r="O5269" t="s">
        <v>45096</v>
      </c>
      <c r="P5269">
        <v>0</v>
      </c>
      <c r="Q5269">
        <v>9</v>
      </c>
      <c r="R5269" t="s">
        <v>45102</v>
      </c>
      <c r="S5269" t="s">
        <v>45242</v>
      </c>
      <c r="T5269" t="s">
        <v>46904</v>
      </c>
      <c r="U5269" t="s">
        <v>51905</v>
      </c>
      <c r="W5269" t="s">
        <v>43367</v>
      </c>
      <c r="X5269" t="s">
        <v>45103</v>
      </c>
    </row>
    <row r="5270" spans="1:24">
      <c r="A5270">
        <f>HYPERLINK("https://www.philgeps.gov.ph/GEPSNONPILOT/Tender/SplashBidNoticeAbstractUI.aspx?menuIndex=3&amp;refID=7038554&amp;Result=3","7038554")</f>
        <v>0</v>
      </c>
      <c r="B5270" t="s">
        <v>1211</v>
      </c>
      <c r="C5270" t="s">
        <v>8235</v>
      </c>
      <c r="D5270" t="s">
        <v>18041</v>
      </c>
      <c r="E5270" t="s">
        <v>22821</v>
      </c>
      <c r="F5270" t="s">
        <v>31574</v>
      </c>
      <c r="G5270" t="s">
        <v>31582</v>
      </c>
      <c r="H5270" t="s">
        <v>31590</v>
      </c>
      <c r="I5270" t="s">
        <v>31614</v>
      </c>
      <c r="J5270" t="s">
        <v>35146</v>
      </c>
      <c r="K5270" t="s">
        <v>41191</v>
      </c>
      <c r="M5270" t="s">
        <v>42771</v>
      </c>
      <c r="N5270" t="s">
        <v>45095</v>
      </c>
      <c r="O5270" t="s">
        <v>45096</v>
      </c>
      <c r="Q5270">
        <v>0</v>
      </c>
      <c r="R5270" t="s">
        <v>45102</v>
      </c>
      <c r="S5270" t="s">
        <v>45251</v>
      </c>
      <c r="T5270" t="s">
        <v>47188</v>
      </c>
      <c r="U5270" t="s">
        <v>51681</v>
      </c>
      <c r="W5270" t="s">
        <v>61694</v>
      </c>
      <c r="X5270" t="s">
        <v>45103</v>
      </c>
    </row>
    <row r="5271" spans="1:24">
      <c r="A5271">
        <f>HYPERLINK("https://www.philgeps.gov.ph/GEPSNONPILOT/Tender/SplashBidNoticeAbstractUI.aspx?menuIndex=3&amp;refID=7038568&amp;Result=3","7038568")</f>
        <v>0</v>
      </c>
      <c r="B5271" t="s">
        <v>683</v>
      </c>
      <c r="C5271" t="s">
        <v>8236</v>
      </c>
      <c r="D5271" t="s">
        <v>18059</v>
      </c>
      <c r="E5271" t="s">
        <v>22822</v>
      </c>
      <c r="F5271" t="s">
        <v>31574</v>
      </c>
      <c r="G5271" t="s">
        <v>31581</v>
      </c>
      <c r="H5271" t="s">
        <v>31590</v>
      </c>
      <c r="I5271" t="s">
        <v>4327</v>
      </c>
      <c r="J5271" t="s">
        <v>31845</v>
      </c>
      <c r="K5271" t="s">
        <v>41184</v>
      </c>
      <c r="M5271" t="s">
        <v>42190</v>
      </c>
      <c r="N5271" t="s">
        <v>45095</v>
      </c>
      <c r="O5271" t="s">
        <v>45096</v>
      </c>
      <c r="P5271">
        <v>0</v>
      </c>
      <c r="Q5271">
        <v>1</v>
      </c>
      <c r="R5271" t="s">
        <v>45102</v>
      </c>
      <c r="S5271" t="s">
        <v>45242</v>
      </c>
      <c r="T5271" t="s">
        <v>47159</v>
      </c>
      <c r="U5271" t="s">
        <v>51906</v>
      </c>
      <c r="W5271" t="s">
        <v>42190</v>
      </c>
      <c r="X5271" t="s">
        <v>45103</v>
      </c>
    </row>
    <row r="5272" spans="1:24">
      <c r="A5272">
        <f>HYPERLINK("https://www.philgeps.gov.ph/GEPSNONPILOT/Tender/SplashBidNoticeAbstractUI.aspx?menuIndex=3&amp;refID=7038565&amp;Result=3","7038565")</f>
        <v>0</v>
      </c>
      <c r="B5272" t="s">
        <v>246</v>
      </c>
      <c r="C5272" t="s">
        <v>8237</v>
      </c>
      <c r="D5272" t="s">
        <v>18033</v>
      </c>
      <c r="E5272" t="s">
        <v>22823</v>
      </c>
      <c r="F5272" t="s">
        <v>31574</v>
      </c>
      <c r="G5272" t="s">
        <v>31581</v>
      </c>
      <c r="H5272" t="s">
        <v>31590</v>
      </c>
      <c r="I5272" t="s">
        <v>5717</v>
      </c>
      <c r="J5272" t="s">
        <v>35147</v>
      </c>
      <c r="K5272" t="s">
        <v>41196</v>
      </c>
      <c r="M5272" t="s">
        <v>41732</v>
      </c>
      <c r="N5272" t="s">
        <v>45095</v>
      </c>
      <c r="O5272" t="s">
        <v>45096</v>
      </c>
      <c r="P5272">
        <v>0</v>
      </c>
      <c r="Q5272">
        <v>2</v>
      </c>
      <c r="R5272" t="s">
        <v>45102</v>
      </c>
      <c r="S5272" t="s">
        <v>45242</v>
      </c>
      <c r="T5272" t="s">
        <v>47021</v>
      </c>
      <c r="U5272" t="s">
        <v>51907</v>
      </c>
      <c r="W5272" t="s">
        <v>41732</v>
      </c>
      <c r="X5272" t="s">
        <v>45103</v>
      </c>
    </row>
    <row r="5273" spans="1:24">
      <c r="A5273">
        <f>HYPERLINK("https://www.philgeps.gov.ph/GEPSNONPILOT/Tender/SplashBidNoticeAbstractUI.aspx?menuIndex=3&amp;refID=7038564&amp;Result=3","7038564")</f>
        <v>0</v>
      </c>
      <c r="B5273" t="s">
        <v>1691</v>
      </c>
      <c r="C5273" t="s">
        <v>8238</v>
      </c>
      <c r="D5273" t="s">
        <v>18052</v>
      </c>
      <c r="E5273" t="s">
        <v>22824</v>
      </c>
      <c r="F5273" t="s">
        <v>31575</v>
      </c>
      <c r="G5273" t="s">
        <v>31583</v>
      </c>
      <c r="H5273" t="s">
        <v>31590</v>
      </c>
      <c r="I5273" t="s">
        <v>4046</v>
      </c>
      <c r="J5273" t="s">
        <v>35148</v>
      </c>
      <c r="K5273" t="s">
        <v>41197</v>
      </c>
      <c r="M5273" t="s">
        <v>43305</v>
      </c>
      <c r="N5273" t="s">
        <v>45095</v>
      </c>
      <c r="O5273" t="s">
        <v>45096</v>
      </c>
      <c r="P5273">
        <v>0</v>
      </c>
      <c r="Q5273">
        <v>0</v>
      </c>
      <c r="R5273" t="s">
        <v>45102</v>
      </c>
      <c r="S5273" t="s">
        <v>45242</v>
      </c>
      <c r="T5273" t="s">
        <v>47162</v>
      </c>
      <c r="U5273" t="s">
        <v>51908</v>
      </c>
      <c r="W5273" t="s">
        <v>43305</v>
      </c>
      <c r="X5273" t="s">
        <v>45103</v>
      </c>
    </row>
    <row r="5274" spans="1:24">
      <c r="A5274">
        <f>HYPERLINK("https://www.philgeps.gov.ph/GEPSNONPILOT/Tender/SplashBidNoticeAbstractUI.aspx?menuIndex=3&amp;refID=7038577&amp;Result=3","7038577")</f>
        <v>0</v>
      </c>
      <c r="B5274" t="s">
        <v>683</v>
      </c>
      <c r="C5274" t="s">
        <v>8239</v>
      </c>
      <c r="D5274" t="s">
        <v>18059</v>
      </c>
      <c r="E5274" t="s">
        <v>22825</v>
      </c>
      <c r="F5274" t="s">
        <v>31574</v>
      </c>
      <c r="G5274" t="s">
        <v>31581</v>
      </c>
      <c r="H5274" t="s">
        <v>31590</v>
      </c>
      <c r="I5274" t="s">
        <v>4354</v>
      </c>
      <c r="J5274" t="s">
        <v>35149</v>
      </c>
      <c r="K5274" t="s">
        <v>41184</v>
      </c>
      <c r="M5274" t="s">
        <v>42190</v>
      </c>
      <c r="N5274" t="s">
        <v>45095</v>
      </c>
      <c r="O5274" t="s">
        <v>45096</v>
      </c>
      <c r="P5274">
        <v>0</v>
      </c>
      <c r="Q5274">
        <v>0</v>
      </c>
      <c r="R5274" t="s">
        <v>45102</v>
      </c>
      <c r="S5274" t="s">
        <v>45242</v>
      </c>
      <c r="T5274" t="s">
        <v>47159</v>
      </c>
      <c r="U5274" t="s">
        <v>51909</v>
      </c>
      <c r="W5274" t="s">
        <v>42190</v>
      </c>
      <c r="X5274" t="s">
        <v>45103</v>
      </c>
    </row>
    <row r="5275" spans="1:24">
      <c r="A5275">
        <f>HYPERLINK("https://www.philgeps.gov.ph/GEPSNONPILOT/Tender/SplashBidNoticeAbstractUI.aspx?menuIndex=3&amp;refID=7038580&amp;Result=3","7038580")</f>
        <v>0</v>
      </c>
      <c r="B5275" t="s">
        <v>1116</v>
      </c>
      <c r="C5275" t="s">
        <v>8240</v>
      </c>
      <c r="D5275" t="s">
        <v>18095</v>
      </c>
      <c r="E5275" t="s">
        <v>22826</v>
      </c>
      <c r="F5275" t="s">
        <v>31574</v>
      </c>
      <c r="G5275" t="s">
        <v>31582</v>
      </c>
      <c r="H5275" t="s">
        <v>31591</v>
      </c>
      <c r="I5275" t="s">
        <v>8822</v>
      </c>
      <c r="J5275" t="s">
        <v>35150</v>
      </c>
      <c r="K5275" t="s">
        <v>41200</v>
      </c>
      <c r="M5275" t="s">
        <v>43361</v>
      </c>
      <c r="N5275" t="s">
        <v>45095</v>
      </c>
      <c r="O5275" t="s">
        <v>45096</v>
      </c>
      <c r="P5275">
        <v>0</v>
      </c>
      <c r="Q5275">
        <v>0</v>
      </c>
      <c r="R5275" t="s">
        <v>45102</v>
      </c>
      <c r="S5275" t="s">
        <v>45242</v>
      </c>
      <c r="T5275" t="s">
        <v>47211</v>
      </c>
      <c r="U5275" t="s">
        <v>51910</v>
      </c>
      <c r="W5275" t="s">
        <v>43361</v>
      </c>
      <c r="X5275" t="s">
        <v>45103</v>
      </c>
    </row>
    <row r="5276" spans="1:24">
      <c r="A5276">
        <f>HYPERLINK("https://www.philgeps.gov.ph/GEPSNONPILOT/Tender/SplashBidNoticeAbstractUI.aspx?menuIndex=3&amp;refID=7038587&amp;Result=3","7038587")</f>
        <v>0</v>
      </c>
      <c r="B5276" t="s">
        <v>1745</v>
      </c>
      <c r="C5276" t="s">
        <v>8241</v>
      </c>
      <c r="D5276" t="s">
        <v>18022</v>
      </c>
      <c r="E5276" t="s">
        <v>22827</v>
      </c>
      <c r="F5276" t="s">
        <v>31574</v>
      </c>
      <c r="G5276" t="s">
        <v>31583</v>
      </c>
      <c r="H5276" t="s">
        <v>31590</v>
      </c>
      <c r="I5276" t="s">
        <v>31708</v>
      </c>
      <c r="J5276" t="s">
        <v>32258</v>
      </c>
      <c r="K5276" t="s">
        <v>41184</v>
      </c>
      <c r="M5276" t="s">
        <v>43368</v>
      </c>
      <c r="N5276" t="s">
        <v>45095</v>
      </c>
      <c r="O5276" t="s">
        <v>45096</v>
      </c>
      <c r="P5276">
        <v>0</v>
      </c>
      <c r="Q5276">
        <v>2</v>
      </c>
      <c r="R5276" t="s">
        <v>45102</v>
      </c>
      <c r="S5276" t="s">
        <v>45242</v>
      </c>
      <c r="T5276" t="s">
        <v>47178</v>
      </c>
      <c r="U5276" t="s">
        <v>51911</v>
      </c>
      <c r="W5276" t="s">
        <v>43368</v>
      </c>
      <c r="X5276" t="s">
        <v>45103</v>
      </c>
    </row>
    <row r="5277" spans="1:24">
      <c r="A5277">
        <f>HYPERLINK("https://www.philgeps.gov.ph/GEPSNONPILOT/Tender/SplashBidNoticeAbstractUI.aspx?menuIndex=3&amp;refID=7038581&amp;Result=3","7038581")</f>
        <v>0</v>
      </c>
      <c r="B5277" t="s">
        <v>1746</v>
      </c>
      <c r="C5277" t="s">
        <v>7185</v>
      </c>
      <c r="E5277" t="s">
        <v>22828</v>
      </c>
      <c r="F5277" t="s">
        <v>31574</v>
      </c>
      <c r="G5277" t="s">
        <v>31582</v>
      </c>
      <c r="H5277" t="s">
        <v>31590</v>
      </c>
      <c r="I5277" t="s">
        <v>7185</v>
      </c>
      <c r="J5277" t="s">
        <v>35151</v>
      </c>
      <c r="K5277" t="s">
        <v>41184</v>
      </c>
      <c r="M5277" t="s">
        <v>43369</v>
      </c>
      <c r="N5277" t="s">
        <v>45095</v>
      </c>
      <c r="O5277" t="s">
        <v>45096</v>
      </c>
      <c r="P5277">
        <v>0</v>
      </c>
      <c r="Q5277">
        <v>3</v>
      </c>
      <c r="R5277" t="s">
        <v>45102</v>
      </c>
      <c r="S5277" t="s">
        <v>45242</v>
      </c>
      <c r="T5277" t="s">
        <v>47247</v>
      </c>
      <c r="U5277" t="s">
        <v>51912</v>
      </c>
      <c r="W5277" t="s">
        <v>43369</v>
      </c>
      <c r="X5277" t="s">
        <v>45103</v>
      </c>
    </row>
    <row r="5278" spans="1:24">
      <c r="A5278">
        <f>HYPERLINK("https://www.philgeps.gov.ph/GEPSNONPILOT/Tender/SplashBidNoticeAbstractUI.aspx?menuIndex=3&amp;refID=7038603&amp;Result=3","7038603")</f>
        <v>0</v>
      </c>
      <c r="B5278" t="s">
        <v>264</v>
      </c>
      <c r="C5278" t="s">
        <v>8242</v>
      </c>
      <c r="D5278" t="s">
        <v>18066</v>
      </c>
      <c r="E5278" t="s">
        <v>19602</v>
      </c>
      <c r="F5278" t="s">
        <v>31574</v>
      </c>
      <c r="G5278" t="s">
        <v>31582</v>
      </c>
      <c r="H5278" t="s">
        <v>31590</v>
      </c>
      <c r="I5278" t="s">
        <v>4046</v>
      </c>
      <c r="J5278" t="s">
        <v>35152</v>
      </c>
      <c r="K5278" t="s">
        <v>41184</v>
      </c>
      <c r="M5278" t="s">
        <v>41750</v>
      </c>
      <c r="N5278" t="s">
        <v>45095</v>
      </c>
      <c r="O5278" t="s">
        <v>45096</v>
      </c>
      <c r="P5278">
        <v>0</v>
      </c>
      <c r="Q5278">
        <v>0</v>
      </c>
      <c r="R5278" t="s">
        <v>45102</v>
      </c>
      <c r="S5278" t="s">
        <v>45242</v>
      </c>
      <c r="T5278" t="s">
        <v>46963</v>
      </c>
      <c r="U5278" t="s">
        <v>51913</v>
      </c>
      <c r="W5278" t="s">
        <v>61674</v>
      </c>
      <c r="X5278" t="s">
        <v>45103</v>
      </c>
    </row>
    <row r="5279" spans="1:24">
      <c r="A5279">
        <f>HYPERLINK("https://www.philgeps.gov.ph/GEPSNONPILOT/Tender/SplashBidNoticeAbstractUI.aspx?menuIndex=3&amp;refID=7038588&amp;Result=3","7038588")</f>
        <v>0</v>
      </c>
      <c r="B5279" t="s">
        <v>1727</v>
      </c>
      <c r="C5279" t="s">
        <v>8243</v>
      </c>
      <c r="D5279" t="s">
        <v>18028</v>
      </c>
      <c r="E5279" t="s">
        <v>22829</v>
      </c>
      <c r="F5279" t="s">
        <v>31574</v>
      </c>
      <c r="G5279" t="s">
        <v>31581</v>
      </c>
      <c r="H5279" t="s">
        <v>31590</v>
      </c>
      <c r="I5279" t="s">
        <v>4046</v>
      </c>
      <c r="J5279" t="s">
        <v>35153</v>
      </c>
      <c r="K5279" t="s">
        <v>41186</v>
      </c>
      <c r="M5279" t="s">
        <v>43345</v>
      </c>
      <c r="N5279" t="s">
        <v>45095</v>
      </c>
      <c r="O5279" t="s">
        <v>45096</v>
      </c>
      <c r="P5279">
        <v>0</v>
      </c>
      <c r="Q5279">
        <v>0</v>
      </c>
      <c r="R5279" t="s">
        <v>45102</v>
      </c>
      <c r="S5279" t="s">
        <v>45242</v>
      </c>
      <c r="T5279" t="s">
        <v>47125</v>
      </c>
      <c r="U5279" t="s">
        <v>47721</v>
      </c>
      <c r="W5279" t="s">
        <v>43345</v>
      </c>
      <c r="X5279" t="s">
        <v>45103</v>
      </c>
    </row>
    <row r="5280" spans="1:24">
      <c r="A5280">
        <f>HYPERLINK("https://www.philgeps.gov.ph/GEPSNONPILOT/Tender/SplashBidNoticeAbstractUI.aspx?menuIndex=3&amp;refID=7038589&amp;Result=3","7038589")</f>
        <v>0</v>
      </c>
      <c r="B5280" t="s">
        <v>1747</v>
      </c>
      <c r="C5280" t="s">
        <v>8244</v>
      </c>
      <c r="D5280" t="s">
        <v>18090</v>
      </c>
      <c r="E5280" t="s">
        <v>22830</v>
      </c>
      <c r="F5280" t="s">
        <v>31574</v>
      </c>
      <c r="G5280" t="s">
        <v>31582</v>
      </c>
      <c r="H5280" t="s">
        <v>31590</v>
      </c>
      <c r="I5280" t="s">
        <v>31630</v>
      </c>
      <c r="J5280" t="s">
        <v>35154</v>
      </c>
      <c r="K5280" t="s">
        <v>41196</v>
      </c>
      <c r="M5280" t="s">
        <v>43370</v>
      </c>
      <c r="N5280" t="s">
        <v>45095</v>
      </c>
      <c r="O5280" t="s">
        <v>45096</v>
      </c>
      <c r="P5280">
        <v>0</v>
      </c>
      <c r="Q5280">
        <v>3</v>
      </c>
      <c r="R5280" t="s">
        <v>45102</v>
      </c>
      <c r="S5280" t="s">
        <v>45242</v>
      </c>
      <c r="T5280" t="s">
        <v>47004</v>
      </c>
      <c r="U5280" t="s">
        <v>51914</v>
      </c>
      <c r="W5280" t="s">
        <v>43370</v>
      </c>
      <c r="X5280" t="s">
        <v>45103</v>
      </c>
    </row>
    <row r="5281" spans="1:24">
      <c r="A5281">
        <f>HYPERLINK("https://www.philgeps.gov.ph/GEPSNONPILOT/Tender/SplashBidNoticeAbstractUI.aspx?menuIndex=3&amp;refID=7038576&amp;Result=3","7038576")</f>
        <v>0</v>
      </c>
      <c r="B5281" t="s">
        <v>46</v>
      </c>
      <c r="C5281" t="s">
        <v>5694</v>
      </c>
      <c r="D5281" t="s">
        <v>18050</v>
      </c>
      <c r="E5281" t="s">
        <v>22831</v>
      </c>
      <c r="F5281" t="s">
        <v>31574</v>
      </c>
      <c r="G5281" t="s">
        <v>31583</v>
      </c>
      <c r="H5281" t="s">
        <v>31590</v>
      </c>
      <c r="I5281" t="s">
        <v>6800</v>
      </c>
      <c r="J5281" t="s">
        <v>35155</v>
      </c>
      <c r="K5281" t="s">
        <v>41186</v>
      </c>
      <c r="M5281" t="s">
        <v>42527</v>
      </c>
      <c r="N5281" t="s">
        <v>45095</v>
      </c>
      <c r="O5281" t="s">
        <v>45096</v>
      </c>
      <c r="P5281">
        <v>0</v>
      </c>
      <c r="Q5281">
        <v>3</v>
      </c>
      <c r="R5281" t="s">
        <v>45102</v>
      </c>
      <c r="S5281" t="s">
        <v>45242</v>
      </c>
      <c r="T5281" t="s">
        <v>47165</v>
      </c>
      <c r="U5281" t="s">
        <v>51915</v>
      </c>
      <c r="W5281" t="s">
        <v>42527</v>
      </c>
      <c r="X5281" t="s">
        <v>45103</v>
      </c>
    </row>
    <row r="5282" spans="1:24">
      <c r="A5282">
        <f>HYPERLINK("https://www.philgeps.gov.ph/GEPSNONPILOT/Tender/SplashBidNoticeAbstractUI.aspx?menuIndex=3&amp;refID=7038602&amp;Result=3","7038602")</f>
        <v>0</v>
      </c>
      <c r="B5282" t="s">
        <v>1746</v>
      </c>
      <c r="C5282" t="s">
        <v>4327</v>
      </c>
      <c r="E5282" t="s">
        <v>22832</v>
      </c>
      <c r="F5282" t="s">
        <v>31574</v>
      </c>
      <c r="G5282" t="s">
        <v>31582</v>
      </c>
      <c r="H5282" t="s">
        <v>31590</v>
      </c>
      <c r="I5282" t="s">
        <v>4327</v>
      </c>
      <c r="J5282" t="s">
        <v>35156</v>
      </c>
      <c r="K5282" t="s">
        <v>41184</v>
      </c>
      <c r="M5282" t="s">
        <v>43369</v>
      </c>
      <c r="N5282" t="s">
        <v>45095</v>
      </c>
      <c r="O5282" t="s">
        <v>45096</v>
      </c>
      <c r="P5282">
        <v>0</v>
      </c>
      <c r="Q5282">
        <v>0</v>
      </c>
      <c r="R5282" t="s">
        <v>45102</v>
      </c>
      <c r="S5282" t="s">
        <v>45242</v>
      </c>
      <c r="T5282" t="s">
        <v>47247</v>
      </c>
      <c r="U5282" t="s">
        <v>51916</v>
      </c>
      <c r="W5282" t="s">
        <v>43369</v>
      </c>
      <c r="X5282" t="s">
        <v>45103</v>
      </c>
    </row>
    <row r="5283" spans="1:24">
      <c r="A5283">
        <f>HYPERLINK("https://www.philgeps.gov.ph/GEPSNONPILOT/Tender/SplashBidNoticeAbstractUI.aspx?menuIndex=3&amp;refID=7038598&amp;Result=3","7038598")</f>
        <v>0</v>
      </c>
      <c r="B5283" t="s">
        <v>1047</v>
      </c>
      <c r="C5283" t="s">
        <v>8245</v>
      </c>
      <c r="D5283" t="s">
        <v>18059</v>
      </c>
      <c r="E5283" t="s">
        <v>22833</v>
      </c>
      <c r="F5283" t="s">
        <v>31574</v>
      </c>
      <c r="G5283" t="s">
        <v>31581</v>
      </c>
      <c r="H5283" t="s">
        <v>31590</v>
      </c>
      <c r="I5283" t="s">
        <v>8258</v>
      </c>
      <c r="J5283" t="s">
        <v>32381</v>
      </c>
      <c r="K5283" t="s">
        <v>41184</v>
      </c>
      <c r="M5283" t="s">
        <v>43371</v>
      </c>
      <c r="N5283" t="s">
        <v>45095</v>
      </c>
      <c r="O5283" t="s">
        <v>45096</v>
      </c>
      <c r="P5283">
        <v>0</v>
      </c>
      <c r="Q5283">
        <v>9</v>
      </c>
      <c r="R5283" t="s">
        <v>45102</v>
      </c>
      <c r="S5283" t="s">
        <v>45242</v>
      </c>
      <c r="T5283" t="s">
        <v>46949</v>
      </c>
      <c r="U5283" t="s">
        <v>51917</v>
      </c>
      <c r="V5283" t="s">
        <v>60415</v>
      </c>
      <c r="W5283" t="s">
        <v>61688</v>
      </c>
      <c r="X5283" t="s">
        <v>45103</v>
      </c>
    </row>
    <row r="5284" spans="1:24">
      <c r="A5284">
        <f>HYPERLINK("https://www.philgeps.gov.ph/GEPSNONPILOT/Tender/SplashBidNoticeAbstractUI.aspx?menuIndex=3&amp;refID=7038595&amp;Result=3","7038595")</f>
        <v>0</v>
      </c>
      <c r="B5284" t="s">
        <v>1748</v>
      </c>
      <c r="C5284" t="s">
        <v>8246</v>
      </c>
      <c r="D5284" t="s">
        <v>18033</v>
      </c>
      <c r="E5284" t="s">
        <v>22834</v>
      </c>
      <c r="F5284" t="s">
        <v>31574</v>
      </c>
      <c r="G5284" t="s">
        <v>31583</v>
      </c>
      <c r="H5284" t="s">
        <v>31590</v>
      </c>
      <c r="I5284" t="s">
        <v>31638</v>
      </c>
      <c r="J5284" t="s">
        <v>35157</v>
      </c>
      <c r="K5284" t="s">
        <v>41213</v>
      </c>
      <c r="M5284" t="s">
        <v>43372</v>
      </c>
      <c r="N5284" t="s">
        <v>45095</v>
      </c>
      <c r="O5284" t="s">
        <v>45096</v>
      </c>
      <c r="P5284">
        <v>0</v>
      </c>
      <c r="Q5284">
        <v>0</v>
      </c>
      <c r="R5284" t="s">
        <v>45102</v>
      </c>
      <c r="S5284" t="s">
        <v>45242</v>
      </c>
      <c r="T5284" t="s">
        <v>47248</v>
      </c>
      <c r="U5284" t="s">
        <v>51918</v>
      </c>
      <c r="W5284" t="s">
        <v>43372</v>
      </c>
      <c r="X5284" t="s">
        <v>45103</v>
      </c>
    </row>
    <row r="5285" spans="1:24">
      <c r="A5285">
        <f>HYPERLINK("https://www.philgeps.gov.ph/GEPSNONPILOT/Tender/SplashBidNoticeAbstractUI.aspx?menuIndex=3&amp;refID=7038563&amp;Result=3","7038563")</f>
        <v>0</v>
      </c>
      <c r="B5285" t="s">
        <v>1749</v>
      </c>
      <c r="C5285" t="s">
        <v>8247</v>
      </c>
      <c r="D5285" t="s">
        <v>18023</v>
      </c>
      <c r="E5285" t="s">
        <v>20105</v>
      </c>
      <c r="F5285" t="s">
        <v>31574</v>
      </c>
      <c r="G5285" t="s">
        <v>31582</v>
      </c>
      <c r="H5285" t="s">
        <v>31590</v>
      </c>
      <c r="I5285" t="s">
        <v>7162</v>
      </c>
      <c r="J5285" t="s">
        <v>35158</v>
      </c>
      <c r="K5285" t="s">
        <v>41192</v>
      </c>
      <c r="M5285" t="s">
        <v>43373</v>
      </c>
      <c r="N5285" t="s">
        <v>45095</v>
      </c>
      <c r="O5285" t="s">
        <v>45096</v>
      </c>
      <c r="P5285">
        <v>0</v>
      </c>
      <c r="Q5285">
        <v>3</v>
      </c>
      <c r="R5285" t="s">
        <v>45102</v>
      </c>
      <c r="S5285" t="s">
        <v>45242</v>
      </c>
      <c r="T5285" t="s">
        <v>47000</v>
      </c>
      <c r="U5285" t="s">
        <v>51919</v>
      </c>
      <c r="V5285" t="s">
        <v>60416</v>
      </c>
      <c r="W5285" t="s">
        <v>43373</v>
      </c>
      <c r="X5285" t="s">
        <v>45103</v>
      </c>
    </row>
    <row r="5286" spans="1:24">
      <c r="A5286">
        <f>HYPERLINK("https://www.philgeps.gov.ph/GEPSNONPILOT/Tender/SplashBidNoticeAbstractUI.aspx?menuIndex=3&amp;refID=7038599&amp;Result=3","7038599")</f>
        <v>0</v>
      </c>
      <c r="B5286" t="s">
        <v>1310</v>
      </c>
      <c r="C5286" t="s">
        <v>8248</v>
      </c>
      <c r="D5286" t="s">
        <v>18074</v>
      </c>
      <c r="E5286" t="s">
        <v>22835</v>
      </c>
      <c r="F5286" t="s">
        <v>31574</v>
      </c>
      <c r="G5286" t="s">
        <v>31582</v>
      </c>
      <c r="H5286" t="s">
        <v>31590</v>
      </c>
      <c r="I5286" t="s">
        <v>3651</v>
      </c>
      <c r="J5286" t="s">
        <v>35159</v>
      </c>
      <c r="K5286" t="s">
        <v>41190</v>
      </c>
      <c r="M5286" t="s">
        <v>42880</v>
      </c>
      <c r="N5286" t="s">
        <v>45095</v>
      </c>
      <c r="O5286" t="s">
        <v>45096</v>
      </c>
      <c r="P5286">
        <v>0</v>
      </c>
      <c r="Q5286">
        <v>0</v>
      </c>
      <c r="R5286" t="s">
        <v>45102</v>
      </c>
      <c r="S5286" t="s">
        <v>45242</v>
      </c>
      <c r="T5286" t="s">
        <v>47043</v>
      </c>
      <c r="U5286" t="s">
        <v>51920</v>
      </c>
      <c r="W5286" t="s">
        <v>42880</v>
      </c>
      <c r="X5286" t="s">
        <v>45103</v>
      </c>
    </row>
    <row r="5287" spans="1:24">
      <c r="A5287">
        <f>HYPERLINK("https://www.philgeps.gov.ph/GEPSNONPILOT/Tender/SplashBidNoticeAbstractUI.aspx?menuIndex=3&amp;refID=7038591&amp;Result=3","7038591")</f>
        <v>0</v>
      </c>
      <c r="B5287" t="s">
        <v>1750</v>
      </c>
      <c r="C5287" t="s">
        <v>8249</v>
      </c>
      <c r="D5287" t="s">
        <v>18065</v>
      </c>
      <c r="E5287" t="s">
        <v>18192</v>
      </c>
      <c r="F5287" t="s">
        <v>31574</v>
      </c>
      <c r="G5287" t="s">
        <v>31582</v>
      </c>
      <c r="H5287" t="s">
        <v>31590</v>
      </c>
      <c r="I5287" t="s">
        <v>31602</v>
      </c>
      <c r="J5287" t="s">
        <v>32019</v>
      </c>
      <c r="K5287" t="s">
        <v>41218</v>
      </c>
      <c r="M5287" t="s">
        <v>43374</v>
      </c>
      <c r="N5287" t="s">
        <v>45095</v>
      </c>
      <c r="O5287" t="s">
        <v>45096</v>
      </c>
      <c r="P5287">
        <v>0</v>
      </c>
      <c r="Q5287">
        <v>0</v>
      </c>
      <c r="R5287" t="s">
        <v>45102</v>
      </c>
      <c r="S5287" t="s">
        <v>45242</v>
      </c>
      <c r="T5287" t="s">
        <v>46957</v>
      </c>
      <c r="U5287" t="s">
        <v>51921</v>
      </c>
      <c r="W5287" t="s">
        <v>43374</v>
      </c>
      <c r="X5287" t="s">
        <v>45103</v>
      </c>
    </row>
    <row r="5288" spans="1:24">
      <c r="A5288">
        <f>HYPERLINK("https://www.philgeps.gov.ph/GEPSNONPILOT/Tender/SplashBidNoticeAbstractUI.aspx?menuIndex=3&amp;refID=7038583&amp;Result=3","7038583")</f>
        <v>0</v>
      </c>
      <c r="B5288" t="s">
        <v>46</v>
      </c>
      <c r="C5288" t="s">
        <v>3509</v>
      </c>
      <c r="D5288" t="s">
        <v>18050</v>
      </c>
      <c r="E5288" t="s">
        <v>22836</v>
      </c>
      <c r="F5288" t="s">
        <v>31574</v>
      </c>
      <c r="G5288" t="s">
        <v>31583</v>
      </c>
      <c r="H5288" t="s">
        <v>31590</v>
      </c>
      <c r="I5288" t="s">
        <v>8258</v>
      </c>
      <c r="J5288" t="s">
        <v>35160</v>
      </c>
      <c r="K5288" t="s">
        <v>41186</v>
      </c>
      <c r="M5288" t="s">
        <v>42527</v>
      </c>
      <c r="N5288" t="s">
        <v>45095</v>
      </c>
      <c r="O5288" t="s">
        <v>45096</v>
      </c>
      <c r="P5288">
        <v>0</v>
      </c>
      <c r="Q5288">
        <v>9</v>
      </c>
      <c r="R5288" t="s">
        <v>45102</v>
      </c>
      <c r="S5288" t="s">
        <v>45242</v>
      </c>
      <c r="T5288" t="s">
        <v>47165</v>
      </c>
      <c r="U5288" t="s">
        <v>51922</v>
      </c>
      <c r="W5288" t="s">
        <v>42527</v>
      </c>
      <c r="X5288" t="s">
        <v>45103</v>
      </c>
    </row>
    <row r="5289" spans="1:24">
      <c r="A5289">
        <f>HYPERLINK("https://www.philgeps.gov.ph/GEPSNONPILOT/Tender/SplashBidNoticeAbstractUI.aspx?menuIndex=3&amp;refID=7038597&amp;Result=3","7038597")</f>
        <v>0</v>
      </c>
      <c r="B5289" t="s">
        <v>1116</v>
      </c>
      <c r="C5289" t="s">
        <v>8250</v>
      </c>
      <c r="D5289" t="s">
        <v>18095</v>
      </c>
      <c r="E5289" t="s">
        <v>22837</v>
      </c>
      <c r="F5289" t="s">
        <v>31574</v>
      </c>
      <c r="G5289" t="s">
        <v>31582</v>
      </c>
      <c r="H5289" t="s">
        <v>31591</v>
      </c>
      <c r="I5289" t="s">
        <v>8822</v>
      </c>
      <c r="J5289" t="s">
        <v>35161</v>
      </c>
      <c r="K5289" t="s">
        <v>41200</v>
      </c>
      <c r="M5289" t="s">
        <v>43361</v>
      </c>
      <c r="N5289" t="s">
        <v>45095</v>
      </c>
      <c r="O5289" t="s">
        <v>45096</v>
      </c>
      <c r="P5289">
        <v>0</v>
      </c>
      <c r="Q5289">
        <v>0</v>
      </c>
      <c r="R5289" t="s">
        <v>45102</v>
      </c>
      <c r="S5289" t="s">
        <v>45242</v>
      </c>
      <c r="T5289" t="s">
        <v>47211</v>
      </c>
      <c r="U5289" t="s">
        <v>51923</v>
      </c>
      <c r="W5289" t="s">
        <v>43361</v>
      </c>
      <c r="X5289" t="s">
        <v>45103</v>
      </c>
    </row>
    <row r="5290" spans="1:24">
      <c r="A5290">
        <f>HYPERLINK("https://www.philgeps.gov.ph/GEPSNONPILOT/Tender/SplashBidNoticeAbstractUI.aspx?menuIndex=3&amp;refID=7038623&amp;Result=3","7038623")</f>
        <v>0</v>
      </c>
      <c r="B5290" t="s">
        <v>1751</v>
      </c>
      <c r="C5290" t="s">
        <v>8251</v>
      </c>
      <c r="D5290" t="s">
        <v>18107</v>
      </c>
      <c r="E5290" t="s">
        <v>22838</v>
      </c>
      <c r="F5290" t="s">
        <v>31574</v>
      </c>
      <c r="G5290" t="s">
        <v>31582</v>
      </c>
      <c r="H5290" t="s">
        <v>31590</v>
      </c>
      <c r="I5290" t="s">
        <v>31671</v>
      </c>
      <c r="J5290" t="s">
        <v>35162</v>
      </c>
      <c r="K5290" t="s">
        <v>41190</v>
      </c>
      <c r="M5290" t="s">
        <v>43375</v>
      </c>
      <c r="N5290" t="s">
        <v>45095</v>
      </c>
      <c r="O5290" t="s">
        <v>45096</v>
      </c>
      <c r="P5290">
        <v>0</v>
      </c>
      <c r="Q5290">
        <v>2</v>
      </c>
      <c r="R5290" t="s">
        <v>45102</v>
      </c>
      <c r="S5290" t="s">
        <v>45242</v>
      </c>
      <c r="T5290" t="s">
        <v>47064</v>
      </c>
      <c r="U5290" t="s">
        <v>51924</v>
      </c>
      <c r="W5290" t="s">
        <v>43375</v>
      </c>
      <c r="X5290" t="s">
        <v>45103</v>
      </c>
    </row>
    <row r="5291" spans="1:24">
      <c r="A5291">
        <f>HYPERLINK("https://www.philgeps.gov.ph/GEPSNONPILOT/Tender/SplashBidNoticeAbstractUI.aspx?menuIndex=3&amp;refID=7038606&amp;Result=3","7038606")</f>
        <v>0</v>
      </c>
      <c r="B5291" t="s">
        <v>48</v>
      </c>
      <c r="C5291" t="s">
        <v>8252</v>
      </c>
      <c r="D5291" t="s">
        <v>18041</v>
      </c>
      <c r="E5291" t="s">
        <v>22839</v>
      </c>
      <c r="F5291" t="s">
        <v>31574</v>
      </c>
      <c r="G5291" t="s">
        <v>31582</v>
      </c>
      <c r="H5291" t="s">
        <v>31591</v>
      </c>
      <c r="I5291" t="s">
        <v>8822</v>
      </c>
      <c r="J5291" t="s">
        <v>35163</v>
      </c>
      <c r="K5291" t="s">
        <v>41184</v>
      </c>
      <c r="M5291" t="s">
        <v>43376</v>
      </c>
      <c r="N5291" t="s">
        <v>45095</v>
      </c>
      <c r="O5291" t="s">
        <v>45096</v>
      </c>
      <c r="P5291">
        <v>0</v>
      </c>
      <c r="Q5291">
        <v>1</v>
      </c>
      <c r="R5291" t="s">
        <v>45102</v>
      </c>
      <c r="S5291" t="s">
        <v>45242</v>
      </c>
      <c r="T5291" t="s">
        <v>47198</v>
      </c>
      <c r="U5291" t="s">
        <v>51925</v>
      </c>
      <c r="W5291" t="s">
        <v>43376</v>
      </c>
      <c r="X5291" t="s">
        <v>45103</v>
      </c>
    </row>
    <row r="5292" spans="1:24">
      <c r="A5292">
        <f>HYPERLINK("https://www.philgeps.gov.ph/GEPSNONPILOT/Tender/SplashBidNoticeAbstractUI.aspx?menuIndex=3&amp;refID=7038592&amp;Result=3","7038592")</f>
        <v>0</v>
      </c>
      <c r="B5292" t="s">
        <v>1752</v>
      </c>
      <c r="C5292" t="s">
        <v>8253</v>
      </c>
      <c r="D5292" t="s">
        <v>18035</v>
      </c>
      <c r="E5292" t="s">
        <v>21381</v>
      </c>
      <c r="F5292" t="s">
        <v>31574</v>
      </c>
      <c r="G5292" t="s">
        <v>31582</v>
      </c>
      <c r="H5292" t="s">
        <v>31590</v>
      </c>
      <c r="I5292" t="s">
        <v>31633</v>
      </c>
      <c r="J5292" t="s">
        <v>35164</v>
      </c>
      <c r="K5292" t="s">
        <v>41186</v>
      </c>
      <c r="M5292" t="s">
        <v>43377</v>
      </c>
      <c r="N5292" t="s">
        <v>45095</v>
      </c>
      <c r="O5292" t="s">
        <v>45096</v>
      </c>
      <c r="P5292">
        <v>0</v>
      </c>
      <c r="Q5292">
        <v>1</v>
      </c>
      <c r="R5292" t="s">
        <v>45102</v>
      </c>
      <c r="S5292" t="s">
        <v>45242</v>
      </c>
      <c r="T5292" t="s">
        <v>46973</v>
      </c>
      <c r="U5292" t="s">
        <v>51926</v>
      </c>
      <c r="W5292" t="s">
        <v>43377</v>
      </c>
      <c r="X5292" t="s">
        <v>45103</v>
      </c>
    </row>
    <row r="5293" spans="1:24">
      <c r="A5293">
        <f>HYPERLINK("https://www.philgeps.gov.ph/GEPSNONPILOT/Tender/SplashBidNoticeAbstractUI.aspx?menuIndex=3&amp;refID=7038617&amp;Result=3","7038617")</f>
        <v>0</v>
      </c>
      <c r="B5293" t="s">
        <v>1744</v>
      </c>
      <c r="C5293" t="s">
        <v>8254</v>
      </c>
      <c r="D5293" t="s">
        <v>18072</v>
      </c>
      <c r="E5293" t="s">
        <v>22840</v>
      </c>
      <c r="F5293" t="s">
        <v>31574</v>
      </c>
      <c r="G5293" t="s">
        <v>31584</v>
      </c>
      <c r="H5293" t="s">
        <v>31590</v>
      </c>
      <c r="I5293" t="s">
        <v>6800</v>
      </c>
      <c r="J5293" t="s">
        <v>35165</v>
      </c>
      <c r="K5293" t="s">
        <v>41186</v>
      </c>
      <c r="M5293" t="s">
        <v>43367</v>
      </c>
      <c r="N5293" t="s">
        <v>45095</v>
      </c>
      <c r="O5293" t="s">
        <v>45096</v>
      </c>
      <c r="P5293">
        <v>0</v>
      </c>
      <c r="Q5293">
        <v>2</v>
      </c>
      <c r="R5293" t="s">
        <v>45102</v>
      </c>
      <c r="S5293" t="s">
        <v>45242</v>
      </c>
      <c r="T5293" t="s">
        <v>46904</v>
      </c>
      <c r="U5293" t="s">
        <v>51905</v>
      </c>
      <c r="W5293" t="s">
        <v>43367</v>
      </c>
      <c r="X5293" t="s">
        <v>45103</v>
      </c>
    </row>
    <row r="5294" spans="1:24">
      <c r="A5294">
        <f>HYPERLINK("https://www.philgeps.gov.ph/GEPSNONPILOT/Tender/SplashBidNoticeAbstractUI.aspx?menuIndex=3&amp;refID=7038579&amp;Result=3","7038579")</f>
        <v>0</v>
      </c>
      <c r="B5294" t="s">
        <v>1753</v>
      </c>
      <c r="C5294" t="s">
        <v>8255</v>
      </c>
      <c r="D5294" t="s">
        <v>18075</v>
      </c>
      <c r="E5294" t="s">
        <v>22841</v>
      </c>
      <c r="F5294" t="s">
        <v>31574</v>
      </c>
      <c r="G5294" t="s">
        <v>31582</v>
      </c>
      <c r="H5294" t="s">
        <v>31590</v>
      </c>
      <c r="I5294" t="s">
        <v>3487</v>
      </c>
      <c r="J5294" t="s">
        <v>35166</v>
      </c>
      <c r="K5294" t="s">
        <v>41189</v>
      </c>
      <c r="M5294" t="s">
        <v>43378</v>
      </c>
      <c r="N5294" t="s">
        <v>45095</v>
      </c>
      <c r="O5294" t="s">
        <v>45096</v>
      </c>
      <c r="P5294">
        <v>0</v>
      </c>
      <c r="Q5294">
        <v>6</v>
      </c>
      <c r="R5294" t="s">
        <v>45102</v>
      </c>
      <c r="S5294" t="s">
        <v>45242</v>
      </c>
      <c r="T5294" t="s">
        <v>47151</v>
      </c>
      <c r="U5294" t="s">
        <v>51927</v>
      </c>
      <c r="W5294" t="s">
        <v>43378</v>
      </c>
      <c r="X5294" t="s">
        <v>45103</v>
      </c>
    </row>
    <row r="5295" spans="1:24">
      <c r="A5295">
        <f>HYPERLINK("https://www.philgeps.gov.ph/GEPSNONPILOT/Tender/SplashBidNoticeAbstractUI.aspx?menuIndex=3&amp;refID=7038622&amp;Result=3","7038622")</f>
        <v>0</v>
      </c>
      <c r="B5295" t="s">
        <v>1754</v>
      </c>
      <c r="C5295" t="s">
        <v>8256</v>
      </c>
      <c r="D5295" t="s">
        <v>18076</v>
      </c>
      <c r="E5295" t="s">
        <v>22763</v>
      </c>
      <c r="F5295" t="s">
        <v>31574</v>
      </c>
      <c r="G5295" t="s">
        <v>31582</v>
      </c>
      <c r="H5295" t="s">
        <v>31590</v>
      </c>
      <c r="I5295" t="s">
        <v>4046</v>
      </c>
      <c r="J5295" t="s">
        <v>35167</v>
      </c>
      <c r="K5295" t="s">
        <v>41213</v>
      </c>
      <c r="M5295" t="s">
        <v>43379</v>
      </c>
      <c r="N5295" t="s">
        <v>45095</v>
      </c>
      <c r="O5295" t="s">
        <v>45096</v>
      </c>
      <c r="P5295">
        <v>0</v>
      </c>
      <c r="Q5295">
        <v>0</v>
      </c>
      <c r="R5295" t="s">
        <v>45102</v>
      </c>
      <c r="S5295" t="s">
        <v>45242</v>
      </c>
      <c r="T5295" t="s">
        <v>46922</v>
      </c>
      <c r="U5295" t="s">
        <v>51928</v>
      </c>
      <c r="W5295" t="s">
        <v>43379</v>
      </c>
      <c r="X5295" t="s">
        <v>45103</v>
      </c>
    </row>
    <row r="5296" spans="1:24">
      <c r="A5296">
        <f>HYPERLINK("https://www.philgeps.gov.ph/GEPSNONPILOT/Tender/SplashBidNoticeAbstractUI.aspx?menuIndex=3&amp;refID=7038613&amp;Result=3","7038613")</f>
        <v>0</v>
      </c>
      <c r="B5296" t="s">
        <v>1079</v>
      </c>
      <c r="C5296" t="s">
        <v>8257</v>
      </c>
      <c r="D5296" t="s">
        <v>18084</v>
      </c>
      <c r="E5296" t="s">
        <v>22842</v>
      </c>
      <c r="F5296" t="s">
        <v>31574</v>
      </c>
      <c r="G5296" t="s">
        <v>31581</v>
      </c>
      <c r="H5296" t="s">
        <v>31590</v>
      </c>
      <c r="I5296" t="s">
        <v>6800</v>
      </c>
      <c r="J5296" t="s">
        <v>35168</v>
      </c>
      <c r="K5296" t="s">
        <v>41196</v>
      </c>
      <c r="M5296" t="s">
        <v>43380</v>
      </c>
      <c r="N5296" t="s">
        <v>45095</v>
      </c>
      <c r="O5296" t="s">
        <v>45096</v>
      </c>
      <c r="P5296">
        <v>0</v>
      </c>
      <c r="Q5296">
        <v>4</v>
      </c>
      <c r="R5296" t="s">
        <v>45102</v>
      </c>
      <c r="S5296" t="s">
        <v>45242</v>
      </c>
      <c r="T5296" t="s">
        <v>47158</v>
      </c>
      <c r="U5296" t="s">
        <v>51929</v>
      </c>
      <c r="V5296" t="s">
        <v>60133</v>
      </c>
      <c r="W5296" t="s">
        <v>43380</v>
      </c>
      <c r="X5296" t="s">
        <v>45103</v>
      </c>
    </row>
    <row r="5297" spans="1:24">
      <c r="A5297">
        <f>HYPERLINK("https://www.philgeps.gov.ph/GEPSNONPILOT/Tender/SplashBidNoticeAbstractUI.aspx?menuIndex=3&amp;refID=7038610&amp;Result=3","7038610")</f>
        <v>0</v>
      </c>
      <c r="B5297" t="s">
        <v>46</v>
      </c>
      <c r="C5297" t="s">
        <v>8258</v>
      </c>
      <c r="D5297" t="s">
        <v>18050</v>
      </c>
      <c r="E5297" t="s">
        <v>22843</v>
      </c>
      <c r="F5297" t="s">
        <v>31574</v>
      </c>
      <c r="G5297" t="s">
        <v>31583</v>
      </c>
      <c r="H5297" t="s">
        <v>31590</v>
      </c>
      <c r="I5297" t="s">
        <v>8258</v>
      </c>
      <c r="J5297" t="s">
        <v>35169</v>
      </c>
      <c r="K5297" t="s">
        <v>41186</v>
      </c>
      <c r="M5297" t="s">
        <v>42527</v>
      </c>
      <c r="N5297" t="s">
        <v>45095</v>
      </c>
      <c r="O5297" t="s">
        <v>45096</v>
      </c>
      <c r="P5297">
        <v>0</v>
      </c>
      <c r="Q5297">
        <v>7</v>
      </c>
      <c r="R5297" t="s">
        <v>45102</v>
      </c>
      <c r="S5297" t="s">
        <v>45242</v>
      </c>
      <c r="T5297" t="s">
        <v>47165</v>
      </c>
      <c r="U5297" t="s">
        <v>51930</v>
      </c>
      <c r="W5297" t="s">
        <v>42527</v>
      </c>
      <c r="X5297" t="s">
        <v>45103</v>
      </c>
    </row>
    <row r="5298" spans="1:24">
      <c r="A5298">
        <f>HYPERLINK("https://www.philgeps.gov.ph/GEPSNONPILOT/Tender/SplashBidNoticeAbstractUI.aspx?menuIndex=3&amp;refID=7038616&amp;Result=3","7038616")</f>
        <v>0</v>
      </c>
      <c r="B5298" t="s">
        <v>1724</v>
      </c>
      <c r="C5298" t="s">
        <v>8259</v>
      </c>
      <c r="D5298" t="s">
        <v>18058</v>
      </c>
      <c r="E5298" t="s">
        <v>22844</v>
      </c>
      <c r="F5298" t="s">
        <v>31574</v>
      </c>
      <c r="G5298" t="s">
        <v>31582</v>
      </c>
      <c r="H5298" t="s">
        <v>31590</v>
      </c>
      <c r="I5298" t="s">
        <v>14544</v>
      </c>
      <c r="J5298" t="s">
        <v>33033</v>
      </c>
      <c r="K5298" t="s">
        <v>41186</v>
      </c>
      <c r="M5298" t="s">
        <v>43341</v>
      </c>
      <c r="N5298" t="s">
        <v>45095</v>
      </c>
      <c r="O5298" t="s">
        <v>45096</v>
      </c>
      <c r="P5298">
        <v>0</v>
      </c>
      <c r="Q5298">
        <v>1</v>
      </c>
      <c r="R5298" t="s">
        <v>45102</v>
      </c>
      <c r="S5298" t="s">
        <v>45242</v>
      </c>
      <c r="T5298" t="s">
        <v>47057</v>
      </c>
      <c r="U5298" t="s">
        <v>51931</v>
      </c>
      <c r="V5298" t="s">
        <v>60409</v>
      </c>
      <c r="W5298" t="s">
        <v>43341</v>
      </c>
      <c r="X5298" t="s">
        <v>45103</v>
      </c>
    </row>
    <row r="5299" spans="1:24">
      <c r="A5299">
        <f>HYPERLINK("https://www.philgeps.gov.ph/GEPSNONPILOT/Tender/SplashBidNoticeAbstractUI.aspx?menuIndex=3&amp;refID=7038609&amp;Result=3","7038609")</f>
        <v>0</v>
      </c>
      <c r="B5299" t="s">
        <v>1116</v>
      </c>
      <c r="C5299" t="s">
        <v>8260</v>
      </c>
      <c r="D5299" t="s">
        <v>18095</v>
      </c>
      <c r="E5299" t="s">
        <v>22845</v>
      </c>
      <c r="F5299" t="s">
        <v>31574</v>
      </c>
      <c r="G5299" t="s">
        <v>31582</v>
      </c>
      <c r="H5299" t="s">
        <v>31591</v>
      </c>
      <c r="I5299" t="s">
        <v>8822</v>
      </c>
      <c r="J5299" t="s">
        <v>35170</v>
      </c>
      <c r="K5299" t="s">
        <v>41243</v>
      </c>
      <c r="M5299" t="s">
        <v>43361</v>
      </c>
      <c r="N5299" t="s">
        <v>45095</v>
      </c>
      <c r="O5299" t="s">
        <v>45096</v>
      </c>
      <c r="P5299">
        <v>0</v>
      </c>
      <c r="Q5299">
        <v>0</v>
      </c>
      <c r="R5299" t="s">
        <v>45102</v>
      </c>
      <c r="S5299" t="s">
        <v>45242</v>
      </c>
      <c r="T5299" t="s">
        <v>47211</v>
      </c>
      <c r="U5299" t="s">
        <v>51932</v>
      </c>
      <c r="W5299" t="s">
        <v>43361</v>
      </c>
      <c r="X5299" t="s">
        <v>45103</v>
      </c>
    </row>
    <row r="5300" spans="1:24">
      <c r="A5300">
        <f>HYPERLINK("https://www.philgeps.gov.ph/GEPSNONPILOT/Tender/SplashBidNoticeAbstractUI.aspx?menuIndex=3&amp;refID=7038612&amp;Result=3","7038612")</f>
        <v>0</v>
      </c>
      <c r="B5300" t="s">
        <v>987</v>
      </c>
      <c r="C5300" t="s">
        <v>8261</v>
      </c>
      <c r="D5300" t="s">
        <v>18066</v>
      </c>
      <c r="E5300" t="s">
        <v>22846</v>
      </c>
      <c r="F5300" t="s">
        <v>31574</v>
      </c>
      <c r="G5300" t="s">
        <v>31585</v>
      </c>
      <c r="H5300" t="s">
        <v>31591</v>
      </c>
      <c r="I5300" t="s">
        <v>8822</v>
      </c>
      <c r="J5300" t="s">
        <v>35171</v>
      </c>
      <c r="K5300" t="s">
        <v>41200</v>
      </c>
      <c r="M5300" t="s">
        <v>42521</v>
      </c>
      <c r="N5300" t="s">
        <v>45095</v>
      </c>
      <c r="O5300" t="s">
        <v>45096</v>
      </c>
      <c r="P5300">
        <v>0</v>
      </c>
      <c r="Q5300">
        <v>0</v>
      </c>
      <c r="R5300" t="s">
        <v>45102</v>
      </c>
      <c r="S5300" t="s">
        <v>45242</v>
      </c>
      <c r="T5300" t="s">
        <v>46918</v>
      </c>
      <c r="U5300" t="s">
        <v>49679</v>
      </c>
      <c r="W5300" t="s">
        <v>42521</v>
      </c>
      <c r="X5300" t="s">
        <v>45103</v>
      </c>
    </row>
    <row r="5301" spans="1:24">
      <c r="A5301">
        <f>HYPERLINK("https://www.philgeps.gov.ph/GEPSNONPILOT/Tender/SplashBidNoticeAbstractUI.aspx?menuIndex=3&amp;refID=7038627&amp;Result=3","7038627")</f>
        <v>0</v>
      </c>
      <c r="B5301" t="s">
        <v>674</v>
      </c>
      <c r="C5301" t="s">
        <v>8262</v>
      </c>
      <c r="D5301" t="s">
        <v>18071</v>
      </c>
      <c r="E5301" t="s">
        <v>22847</v>
      </c>
      <c r="F5301" t="s">
        <v>31574</v>
      </c>
      <c r="G5301" t="s">
        <v>31583</v>
      </c>
      <c r="H5301" t="s">
        <v>31590</v>
      </c>
      <c r="I5301" t="s">
        <v>6800</v>
      </c>
      <c r="J5301" t="s">
        <v>35172</v>
      </c>
      <c r="K5301" t="s">
        <v>41191</v>
      </c>
      <c r="M5301" t="s">
        <v>42180</v>
      </c>
      <c r="N5301" t="s">
        <v>45095</v>
      </c>
      <c r="O5301" t="s">
        <v>45096</v>
      </c>
      <c r="P5301">
        <v>0</v>
      </c>
      <c r="Q5301">
        <v>0</v>
      </c>
      <c r="R5301" t="s">
        <v>45102</v>
      </c>
      <c r="S5301" t="s">
        <v>45242</v>
      </c>
      <c r="T5301" t="s">
        <v>46973</v>
      </c>
      <c r="U5301" t="s">
        <v>51933</v>
      </c>
      <c r="W5301" t="s">
        <v>42180</v>
      </c>
      <c r="X5301" t="s">
        <v>45103</v>
      </c>
    </row>
    <row r="5302" spans="1:24">
      <c r="A5302">
        <f>HYPERLINK("https://www.philgeps.gov.ph/GEPSNONPILOT/Tender/SplashBidNoticeAbstractUI.aspx?menuIndex=3&amp;refID=7038621&amp;Result=3","7038621")</f>
        <v>0</v>
      </c>
      <c r="B5302" t="s">
        <v>1755</v>
      </c>
      <c r="C5302" t="s">
        <v>8263</v>
      </c>
      <c r="D5302" t="s">
        <v>18035</v>
      </c>
      <c r="E5302" t="s">
        <v>22848</v>
      </c>
      <c r="F5302" t="s">
        <v>31574</v>
      </c>
      <c r="G5302" t="s">
        <v>31581</v>
      </c>
      <c r="H5302" t="s">
        <v>31590</v>
      </c>
      <c r="I5302" t="s">
        <v>31610</v>
      </c>
      <c r="J5302" t="s">
        <v>31931</v>
      </c>
      <c r="K5302" t="s">
        <v>41186</v>
      </c>
      <c r="M5302" t="s">
        <v>43381</v>
      </c>
      <c r="N5302" t="s">
        <v>45095</v>
      </c>
      <c r="O5302" t="s">
        <v>45096</v>
      </c>
      <c r="P5302">
        <v>0</v>
      </c>
      <c r="Q5302">
        <v>2</v>
      </c>
      <c r="R5302" t="s">
        <v>45102</v>
      </c>
      <c r="S5302" t="s">
        <v>45242</v>
      </c>
      <c r="T5302" t="s">
        <v>46973</v>
      </c>
      <c r="U5302" t="s">
        <v>51926</v>
      </c>
      <c r="W5302" t="s">
        <v>43381</v>
      </c>
      <c r="X5302" t="s">
        <v>45103</v>
      </c>
    </row>
    <row r="5303" spans="1:24">
      <c r="A5303">
        <f>HYPERLINK("https://www.philgeps.gov.ph/GEPSNONPILOT/Tender/SplashBidNoticeAbstractUI.aspx?menuIndex=3&amp;refID=7038630&amp;Result=3","7038630")</f>
        <v>0</v>
      </c>
      <c r="B5303" t="s">
        <v>1756</v>
      </c>
      <c r="C5303" t="s">
        <v>8264</v>
      </c>
      <c r="D5303" t="s">
        <v>18030</v>
      </c>
      <c r="E5303" t="s">
        <v>22849</v>
      </c>
      <c r="F5303" t="s">
        <v>31574</v>
      </c>
      <c r="G5303" t="s">
        <v>31582</v>
      </c>
      <c r="H5303" t="s">
        <v>31590</v>
      </c>
      <c r="I5303" t="s">
        <v>31615</v>
      </c>
      <c r="J5303" t="s">
        <v>33343</v>
      </c>
      <c r="K5303" t="s">
        <v>41184</v>
      </c>
      <c r="M5303" t="s">
        <v>43382</v>
      </c>
      <c r="N5303" t="s">
        <v>45095</v>
      </c>
      <c r="O5303" t="s">
        <v>45096</v>
      </c>
      <c r="P5303">
        <v>0</v>
      </c>
      <c r="Q5303">
        <v>6</v>
      </c>
      <c r="R5303" t="s">
        <v>45102</v>
      </c>
      <c r="S5303" t="s">
        <v>45242</v>
      </c>
      <c r="T5303" t="s">
        <v>47198</v>
      </c>
      <c r="U5303" t="s">
        <v>51934</v>
      </c>
      <c r="W5303" t="s">
        <v>43382</v>
      </c>
      <c r="X5303" t="s">
        <v>45103</v>
      </c>
    </row>
    <row r="5304" spans="1:24">
      <c r="A5304">
        <f>HYPERLINK("https://www.philgeps.gov.ph/GEPSNONPILOT/Tender/SplashBidNoticeAbstractUI.aspx?menuIndex=3&amp;refID=7038638&amp;Result=3","7038638")</f>
        <v>0</v>
      </c>
      <c r="B5304" t="s">
        <v>264</v>
      </c>
      <c r="C5304" t="s">
        <v>8265</v>
      </c>
      <c r="D5304" t="s">
        <v>18066</v>
      </c>
      <c r="E5304" t="s">
        <v>22850</v>
      </c>
      <c r="F5304" t="s">
        <v>31574</v>
      </c>
      <c r="G5304" t="s">
        <v>31582</v>
      </c>
      <c r="H5304" t="s">
        <v>31590</v>
      </c>
      <c r="I5304" t="s">
        <v>4046</v>
      </c>
      <c r="J5304" t="s">
        <v>35173</v>
      </c>
      <c r="K5304" t="s">
        <v>41184</v>
      </c>
      <c r="M5304" t="s">
        <v>41750</v>
      </c>
      <c r="N5304" t="s">
        <v>45095</v>
      </c>
      <c r="O5304" t="s">
        <v>45096</v>
      </c>
      <c r="P5304">
        <v>0</v>
      </c>
      <c r="Q5304">
        <v>0</v>
      </c>
      <c r="R5304" t="s">
        <v>45102</v>
      </c>
      <c r="S5304" t="s">
        <v>45242</v>
      </c>
      <c r="T5304" t="s">
        <v>46963</v>
      </c>
      <c r="U5304" t="s">
        <v>51935</v>
      </c>
      <c r="W5304" t="s">
        <v>61674</v>
      </c>
      <c r="X5304" t="s">
        <v>45103</v>
      </c>
    </row>
    <row r="5305" spans="1:24">
      <c r="A5305">
        <f>HYPERLINK("https://www.philgeps.gov.ph/GEPSNONPILOT/Tender/SplashBidNoticeAbstractUI.aspx?menuIndex=3&amp;refID=7038636&amp;Result=3","7038636")</f>
        <v>0</v>
      </c>
      <c r="B5305" t="s">
        <v>1685</v>
      </c>
      <c r="C5305" t="s">
        <v>8266</v>
      </c>
      <c r="D5305" t="s">
        <v>18026</v>
      </c>
      <c r="E5305" t="s">
        <v>22851</v>
      </c>
      <c r="F5305" t="s">
        <v>31574</v>
      </c>
      <c r="G5305" t="s">
        <v>31582</v>
      </c>
      <c r="H5305" t="s">
        <v>31590</v>
      </c>
      <c r="I5305" t="s">
        <v>4046</v>
      </c>
      <c r="J5305" t="s">
        <v>35174</v>
      </c>
      <c r="K5305" t="s">
        <v>41189</v>
      </c>
      <c r="M5305" t="s">
        <v>43298</v>
      </c>
      <c r="N5305" t="s">
        <v>45095</v>
      </c>
      <c r="O5305" t="s">
        <v>45096</v>
      </c>
      <c r="P5305">
        <v>0</v>
      </c>
      <c r="Q5305">
        <v>1</v>
      </c>
      <c r="R5305" t="s">
        <v>45102</v>
      </c>
      <c r="S5305" t="s">
        <v>45242</v>
      </c>
      <c r="T5305" t="s">
        <v>47156</v>
      </c>
      <c r="U5305" t="s">
        <v>51936</v>
      </c>
      <c r="W5305" t="s">
        <v>43298</v>
      </c>
      <c r="X5305" t="s">
        <v>45103</v>
      </c>
    </row>
    <row r="5306" spans="1:24">
      <c r="A5306">
        <f>HYPERLINK("https://www.philgeps.gov.ph/GEPSNONPILOT/Tender/SplashBidNoticeAbstractUI.aspx?menuIndex=3&amp;refID=7038641&amp;Result=3","7038641")</f>
        <v>0</v>
      </c>
      <c r="B5306" t="s">
        <v>1409</v>
      </c>
      <c r="C5306" t="s">
        <v>8267</v>
      </c>
      <c r="D5306" t="s">
        <v>18050</v>
      </c>
      <c r="E5306" t="s">
        <v>22852</v>
      </c>
      <c r="F5306" t="s">
        <v>31574</v>
      </c>
      <c r="G5306" t="s">
        <v>31583</v>
      </c>
      <c r="H5306" t="s">
        <v>31590</v>
      </c>
      <c r="I5306" t="s">
        <v>31640</v>
      </c>
      <c r="J5306" t="s">
        <v>35175</v>
      </c>
      <c r="K5306" t="s">
        <v>41196</v>
      </c>
      <c r="M5306" t="s">
        <v>42985</v>
      </c>
      <c r="N5306" t="s">
        <v>45095</v>
      </c>
      <c r="O5306" t="s">
        <v>45096</v>
      </c>
      <c r="P5306">
        <v>0</v>
      </c>
      <c r="Q5306">
        <v>0</v>
      </c>
      <c r="R5306" t="s">
        <v>45102</v>
      </c>
      <c r="S5306" t="s">
        <v>45242</v>
      </c>
      <c r="T5306" t="s">
        <v>46949</v>
      </c>
      <c r="U5306" t="s">
        <v>51073</v>
      </c>
      <c r="W5306" t="s">
        <v>42985</v>
      </c>
      <c r="X5306" t="s">
        <v>45103</v>
      </c>
    </row>
    <row r="5307" spans="1:24">
      <c r="A5307">
        <f>HYPERLINK("https://www.philgeps.gov.ph/GEPSNONPILOT/Tender/SplashBidNoticeAbstractUI.aspx?menuIndex=3&amp;refID=7038624&amp;Result=3","7038624")</f>
        <v>0</v>
      </c>
      <c r="B5307" t="s">
        <v>687</v>
      </c>
      <c r="C5307" t="s">
        <v>8268</v>
      </c>
      <c r="D5307" t="s">
        <v>18070</v>
      </c>
      <c r="E5307" t="s">
        <v>22853</v>
      </c>
      <c r="F5307" t="s">
        <v>31574</v>
      </c>
      <c r="G5307" t="s">
        <v>31581</v>
      </c>
      <c r="H5307" t="s">
        <v>31590</v>
      </c>
      <c r="I5307" t="s">
        <v>31625</v>
      </c>
      <c r="J5307" t="s">
        <v>31804</v>
      </c>
      <c r="K5307" t="s">
        <v>41193</v>
      </c>
      <c r="M5307" t="s">
        <v>42194</v>
      </c>
      <c r="N5307" t="s">
        <v>45095</v>
      </c>
      <c r="O5307" t="s">
        <v>45096</v>
      </c>
      <c r="P5307">
        <v>0</v>
      </c>
      <c r="Q5307">
        <v>0</v>
      </c>
      <c r="R5307" t="s">
        <v>45102</v>
      </c>
      <c r="S5307" t="s">
        <v>45242</v>
      </c>
      <c r="T5307" t="s">
        <v>47162</v>
      </c>
      <c r="U5307" t="s">
        <v>51937</v>
      </c>
      <c r="V5307" t="s">
        <v>60417</v>
      </c>
      <c r="W5307" t="s">
        <v>42194</v>
      </c>
      <c r="X5307" t="s">
        <v>45103</v>
      </c>
    </row>
    <row r="5308" spans="1:24">
      <c r="A5308">
        <f>HYPERLINK("https://www.philgeps.gov.ph/GEPSNONPILOT/Tender/SplashBidNoticeAbstractUI.aspx?menuIndex=3&amp;refID=7038637&amp;Result=3","7038637")</f>
        <v>0</v>
      </c>
      <c r="B5308" t="s">
        <v>987</v>
      </c>
      <c r="C5308" t="s">
        <v>8269</v>
      </c>
      <c r="D5308" t="s">
        <v>18066</v>
      </c>
      <c r="E5308" t="s">
        <v>22854</v>
      </c>
      <c r="F5308" t="s">
        <v>31574</v>
      </c>
      <c r="G5308" t="s">
        <v>31585</v>
      </c>
      <c r="H5308" t="s">
        <v>31591</v>
      </c>
      <c r="I5308" t="s">
        <v>8822</v>
      </c>
      <c r="J5308" t="s">
        <v>35171</v>
      </c>
      <c r="K5308" t="s">
        <v>41200</v>
      </c>
      <c r="M5308" t="s">
        <v>42521</v>
      </c>
      <c r="N5308" t="s">
        <v>45095</v>
      </c>
      <c r="O5308" t="s">
        <v>45096</v>
      </c>
      <c r="P5308">
        <v>0</v>
      </c>
      <c r="Q5308">
        <v>0</v>
      </c>
      <c r="R5308" t="s">
        <v>45102</v>
      </c>
      <c r="S5308" t="s">
        <v>45242</v>
      </c>
      <c r="T5308" t="s">
        <v>46918</v>
      </c>
      <c r="U5308" t="s">
        <v>49679</v>
      </c>
      <c r="W5308" t="s">
        <v>42521</v>
      </c>
      <c r="X5308" t="s">
        <v>45103</v>
      </c>
    </row>
    <row r="5309" spans="1:24">
      <c r="A5309">
        <f>HYPERLINK("https://www.philgeps.gov.ph/GEPSNONPILOT/Tender/SplashBidNoticeAbstractUI.aspx?menuIndex=3&amp;refID=7038633&amp;Result=3","7038633")</f>
        <v>0</v>
      </c>
      <c r="B5309" t="s">
        <v>1048</v>
      </c>
      <c r="C5309" t="s">
        <v>8270</v>
      </c>
      <c r="D5309" t="s">
        <v>18084</v>
      </c>
      <c r="E5309" t="s">
        <v>21451</v>
      </c>
      <c r="F5309" t="s">
        <v>31574</v>
      </c>
      <c r="G5309" t="s">
        <v>31581</v>
      </c>
      <c r="H5309" t="s">
        <v>31590</v>
      </c>
      <c r="I5309" t="s">
        <v>31638</v>
      </c>
      <c r="J5309" t="s">
        <v>32126</v>
      </c>
      <c r="K5309" t="s">
        <v>41186</v>
      </c>
      <c r="M5309" t="s">
        <v>42592</v>
      </c>
      <c r="N5309" t="s">
        <v>45095</v>
      </c>
      <c r="O5309" t="s">
        <v>45096</v>
      </c>
      <c r="P5309">
        <v>0</v>
      </c>
      <c r="Q5309">
        <v>3</v>
      </c>
      <c r="R5309" t="s">
        <v>45102</v>
      </c>
      <c r="S5309" t="s">
        <v>45242</v>
      </c>
      <c r="T5309" t="s">
        <v>47124</v>
      </c>
      <c r="U5309" t="s">
        <v>51938</v>
      </c>
      <c r="W5309" t="s">
        <v>42592</v>
      </c>
      <c r="X5309" t="s">
        <v>45103</v>
      </c>
    </row>
    <row r="5310" spans="1:24">
      <c r="A5310">
        <f>HYPERLINK("https://www.philgeps.gov.ph/GEPSNONPILOT/Tender/SplashBidNoticeAbstractUI.aspx?menuIndex=3&amp;refID=7038646&amp;Result=3","7038646")</f>
        <v>0</v>
      </c>
      <c r="B5310" t="s">
        <v>132</v>
      </c>
      <c r="C5310" t="s">
        <v>8271</v>
      </c>
      <c r="D5310" t="s">
        <v>18059</v>
      </c>
      <c r="E5310" t="s">
        <v>22855</v>
      </c>
      <c r="F5310" t="s">
        <v>31574</v>
      </c>
      <c r="G5310" t="s">
        <v>31582</v>
      </c>
      <c r="H5310" t="s">
        <v>31590</v>
      </c>
      <c r="I5310" t="s">
        <v>4046</v>
      </c>
      <c r="J5310" t="s">
        <v>35176</v>
      </c>
      <c r="K5310" t="s">
        <v>41190</v>
      </c>
      <c r="M5310" t="s">
        <v>41616</v>
      </c>
      <c r="N5310" t="s">
        <v>45095</v>
      </c>
      <c r="O5310" t="s">
        <v>45096</v>
      </c>
      <c r="P5310">
        <v>0</v>
      </c>
      <c r="Q5310">
        <v>0</v>
      </c>
      <c r="R5310" t="s">
        <v>45102</v>
      </c>
      <c r="S5310" t="s">
        <v>45242</v>
      </c>
      <c r="T5310" t="s">
        <v>46973</v>
      </c>
      <c r="U5310" t="s">
        <v>51939</v>
      </c>
      <c r="W5310" t="s">
        <v>41616</v>
      </c>
      <c r="X5310" t="s">
        <v>45103</v>
      </c>
    </row>
    <row r="5311" spans="1:24">
      <c r="A5311">
        <f>HYPERLINK("https://www.philgeps.gov.ph/GEPSNONPILOT/Tender/SplashBidNoticeAbstractUI.aspx?menuIndex=3&amp;refID=7038635&amp;Result=3","7038635")</f>
        <v>0</v>
      </c>
      <c r="B5311" t="s">
        <v>719</v>
      </c>
      <c r="C5311" t="s">
        <v>8272</v>
      </c>
      <c r="D5311" t="s">
        <v>18055</v>
      </c>
      <c r="E5311" t="s">
        <v>18422</v>
      </c>
      <c r="F5311" t="s">
        <v>31574</v>
      </c>
      <c r="G5311" t="s">
        <v>31582</v>
      </c>
      <c r="H5311" t="s">
        <v>31591</v>
      </c>
      <c r="I5311" t="s">
        <v>8822</v>
      </c>
      <c r="J5311" t="s">
        <v>35177</v>
      </c>
      <c r="K5311" t="s">
        <v>41185</v>
      </c>
      <c r="M5311" t="s">
        <v>42229</v>
      </c>
      <c r="N5311" t="s">
        <v>45095</v>
      </c>
      <c r="O5311" t="s">
        <v>45096</v>
      </c>
      <c r="P5311">
        <v>0</v>
      </c>
      <c r="Q5311">
        <v>1</v>
      </c>
      <c r="R5311" t="s">
        <v>45102</v>
      </c>
      <c r="S5311" t="s">
        <v>45242</v>
      </c>
      <c r="T5311" t="s">
        <v>47249</v>
      </c>
      <c r="U5311" t="s">
        <v>51940</v>
      </c>
      <c r="W5311" t="s">
        <v>42229</v>
      </c>
      <c r="X5311" t="s">
        <v>45103</v>
      </c>
    </row>
    <row r="5312" spans="1:24">
      <c r="A5312">
        <f>HYPERLINK("https://www.philgeps.gov.ph/GEPSNONPILOT/Tender/SplashBidNoticeAbstractUI.aspx?menuIndex=3&amp;refID=7038642&amp;Result=3","7038642")</f>
        <v>0</v>
      </c>
      <c r="B5312" t="s">
        <v>1116</v>
      </c>
      <c r="C5312" t="s">
        <v>8273</v>
      </c>
      <c r="D5312" t="s">
        <v>18095</v>
      </c>
      <c r="E5312" t="s">
        <v>22856</v>
      </c>
      <c r="F5312" t="s">
        <v>31574</v>
      </c>
      <c r="G5312" t="s">
        <v>31582</v>
      </c>
      <c r="H5312" t="s">
        <v>31591</v>
      </c>
      <c r="I5312" t="s">
        <v>8822</v>
      </c>
      <c r="J5312" t="s">
        <v>35178</v>
      </c>
      <c r="K5312" t="s">
        <v>41243</v>
      </c>
      <c r="M5312" t="s">
        <v>43361</v>
      </c>
      <c r="N5312" t="s">
        <v>45095</v>
      </c>
      <c r="O5312" t="s">
        <v>45096</v>
      </c>
      <c r="P5312">
        <v>0</v>
      </c>
      <c r="Q5312">
        <v>0</v>
      </c>
      <c r="R5312" t="s">
        <v>45102</v>
      </c>
      <c r="S5312" t="s">
        <v>45242</v>
      </c>
      <c r="T5312" t="s">
        <v>47211</v>
      </c>
      <c r="U5312" t="s">
        <v>51941</v>
      </c>
      <c r="W5312" t="s">
        <v>43361</v>
      </c>
      <c r="X5312" t="s">
        <v>45103</v>
      </c>
    </row>
    <row r="5313" spans="1:24">
      <c r="A5313">
        <f>HYPERLINK("https://www.philgeps.gov.ph/GEPSNONPILOT/Tender/SplashBidNoticeAbstractUI.aspx?menuIndex=3&amp;refID=7038658&amp;Result=3","7038658")</f>
        <v>0</v>
      </c>
      <c r="B5313" t="s">
        <v>1116</v>
      </c>
      <c r="C5313" t="s">
        <v>8274</v>
      </c>
      <c r="D5313" t="s">
        <v>18095</v>
      </c>
      <c r="E5313" t="s">
        <v>22857</v>
      </c>
      <c r="F5313" t="s">
        <v>31574</v>
      </c>
      <c r="G5313" t="s">
        <v>31582</v>
      </c>
      <c r="H5313" t="s">
        <v>31591</v>
      </c>
      <c r="I5313" t="s">
        <v>8822</v>
      </c>
      <c r="J5313" t="s">
        <v>35179</v>
      </c>
      <c r="K5313" t="s">
        <v>41200</v>
      </c>
      <c r="M5313" t="s">
        <v>43361</v>
      </c>
      <c r="N5313" t="s">
        <v>45095</v>
      </c>
      <c r="O5313" t="s">
        <v>45096</v>
      </c>
      <c r="P5313">
        <v>0</v>
      </c>
      <c r="Q5313">
        <v>0</v>
      </c>
      <c r="R5313" t="s">
        <v>45102</v>
      </c>
      <c r="S5313" t="s">
        <v>45242</v>
      </c>
      <c r="T5313" t="s">
        <v>47211</v>
      </c>
      <c r="U5313" t="s">
        <v>51942</v>
      </c>
      <c r="W5313" t="s">
        <v>43361</v>
      </c>
      <c r="X5313" t="s">
        <v>45103</v>
      </c>
    </row>
    <row r="5314" spans="1:24">
      <c r="A5314">
        <f>HYPERLINK("https://www.philgeps.gov.ph/GEPSNONPILOT/Tender/SplashBidNoticeAbstractUI.aspx?menuIndex=3&amp;refID=7038632&amp;Result=3","7038632")</f>
        <v>0</v>
      </c>
      <c r="B5314" t="s">
        <v>1116</v>
      </c>
      <c r="C5314" t="s">
        <v>8275</v>
      </c>
      <c r="D5314" t="s">
        <v>18095</v>
      </c>
      <c r="E5314" t="s">
        <v>22858</v>
      </c>
      <c r="F5314" t="s">
        <v>31574</v>
      </c>
      <c r="G5314" t="s">
        <v>31582</v>
      </c>
      <c r="H5314" t="s">
        <v>31591</v>
      </c>
      <c r="I5314" t="s">
        <v>8822</v>
      </c>
      <c r="J5314" t="s">
        <v>35180</v>
      </c>
      <c r="K5314" t="s">
        <v>41200</v>
      </c>
      <c r="M5314" t="s">
        <v>43361</v>
      </c>
      <c r="N5314" t="s">
        <v>45095</v>
      </c>
      <c r="O5314" t="s">
        <v>45096</v>
      </c>
      <c r="P5314">
        <v>0</v>
      </c>
      <c r="Q5314">
        <v>0</v>
      </c>
      <c r="R5314" t="s">
        <v>45102</v>
      </c>
      <c r="S5314" t="s">
        <v>45242</v>
      </c>
      <c r="T5314" t="s">
        <v>47211</v>
      </c>
      <c r="U5314" t="s">
        <v>51943</v>
      </c>
      <c r="W5314" t="s">
        <v>43361</v>
      </c>
      <c r="X5314" t="s">
        <v>45103</v>
      </c>
    </row>
    <row r="5315" spans="1:24">
      <c r="A5315">
        <f>HYPERLINK("https://www.philgeps.gov.ph/GEPSNONPILOT/Tender/SplashBidNoticeAbstractUI.aspx?menuIndex=3&amp;refID=7038640&amp;Result=3","7038640")</f>
        <v>0</v>
      </c>
      <c r="B5315" t="s">
        <v>492</v>
      </c>
      <c r="C5315" t="s">
        <v>8276</v>
      </c>
      <c r="D5315" t="s">
        <v>18027</v>
      </c>
      <c r="E5315" t="s">
        <v>22859</v>
      </c>
      <c r="F5315" t="s">
        <v>31574</v>
      </c>
      <c r="G5315" t="s">
        <v>31581</v>
      </c>
      <c r="H5315" t="s">
        <v>31590</v>
      </c>
      <c r="I5315" t="s">
        <v>31595</v>
      </c>
      <c r="J5315" t="s">
        <v>35181</v>
      </c>
      <c r="K5315" t="s">
        <v>41184</v>
      </c>
      <c r="M5315" t="s">
        <v>41988</v>
      </c>
      <c r="N5315" t="s">
        <v>45095</v>
      </c>
      <c r="O5315" t="s">
        <v>45096</v>
      </c>
      <c r="P5315">
        <v>0</v>
      </c>
      <c r="Q5315">
        <v>1</v>
      </c>
      <c r="R5315" t="s">
        <v>45102</v>
      </c>
      <c r="S5315" t="s">
        <v>45242</v>
      </c>
      <c r="T5315" t="s">
        <v>47058</v>
      </c>
      <c r="U5315" t="s">
        <v>51944</v>
      </c>
      <c r="W5315" t="s">
        <v>41988</v>
      </c>
      <c r="X5315" t="s">
        <v>45103</v>
      </c>
    </row>
    <row r="5316" spans="1:24">
      <c r="A5316">
        <f>HYPERLINK("https://www.philgeps.gov.ph/GEPSNONPILOT/Tender/SplashBidNoticeAbstractUI.aspx?menuIndex=3&amp;refID=7038651&amp;Result=3","7038651")</f>
        <v>0</v>
      </c>
      <c r="B5316" t="s">
        <v>1757</v>
      </c>
      <c r="C5316" t="s">
        <v>8277</v>
      </c>
      <c r="D5316" t="s">
        <v>18052</v>
      </c>
      <c r="E5316" t="s">
        <v>22860</v>
      </c>
      <c r="F5316" t="s">
        <v>31574</v>
      </c>
      <c r="G5316" t="s">
        <v>31584</v>
      </c>
      <c r="H5316" t="s">
        <v>31590</v>
      </c>
      <c r="I5316" t="s">
        <v>4046</v>
      </c>
      <c r="J5316" t="s">
        <v>35182</v>
      </c>
      <c r="K5316" t="s">
        <v>41197</v>
      </c>
      <c r="M5316" t="s">
        <v>43383</v>
      </c>
      <c r="N5316" t="s">
        <v>45095</v>
      </c>
      <c r="O5316" t="s">
        <v>45096</v>
      </c>
      <c r="P5316">
        <v>0</v>
      </c>
      <c r="Q5316">
        <v>0</v>
      </c>
      <c r="R5316" t="s">
        <v>45102</v>
      </c>
      <c r="S5316" t="s">
        <v>45242</v>
      </c>
      <c r="T5316" t="s">
        <v>47067</v>
      </c>
      <c r="U5316" t="s">
        <v>51945</v>
      </c>
      <c r="W5316" t="s">
        <v>43383</v>
      </c>
      <c r="X5316" t="s">
        <v>45103</v>
      </c>
    </row>
    <row r="5317" spans="1:24">
      <c r="A5317">
        <f>HYPERLINK("https://www.philgeps.gov.ph/GEPSNONPILOT/Tender/SplashBidNoticeAbstractUI.aspx?menuIndex=3&amp;refID=7038659&amp;Result=3","7038659")</f>
        <v>0</v>
      </c>
      <c r="B5317" t="s">
        <v>1399</v>
      </c>
      <c r="C5317" t="s">
        <v>8278</v>
      </c>
      <c r="D5317" t="s">
        <v>18081</v>
      </c>
      <c r="E5317" t="s">
        <v>22861</v>
      </c>
      <c r="F5317" t="s">
        <v>31574</v>
      </c>
      <c r="G5317" t="s">
        <v>31581</v>
      </c>
      <c r="H5317" t="s">
        <v>31590</v>
      </c>
      <c r="I5317" t="s">
        <v>14544</v>
      </c>
      <c r="J5317" t="s">
        <v>35183</v>
      </c>
      <c r="K5317" t="s">
        <v>41186</v>
      </c>
      <c r="M5317" t="s">
        <v>42974</v>
      </c>
      <c r="N5317" t="s">
        <v>45095</v>
      </c>
      <c r="O5317" t="s">
        <v>45096</v>
      </c>
      <c r="P5317">
        <v>0</v>
      </c>
      <c r="Q5317">
        <v>0</v>
      </c>
      <c r="R5317" t="s">
        <v>45102</v>
      </c>
      <c r="S5317" t="s">
        <v>45242</v>
      </c>
      <c r="T5317" t="s">
        <v>47183</v>
      </c>
      <c r="U5317" t="s">
        <v>51946</v>
      </c>
      <c r="V5317" t="s">
        <v>54891</v>
      </c>
      <c r="W5317" t="s">
        <v>42974</v>
      </c>
      <c r="X5317" t="s">
        <v>45103</v>
      </c>
    </row>
    <row r="5318" spans="1:24">
      <c r="A5318">
        <f>HYPERLINK("https://www.philgeps.gov.ph/GEPSNONPILOT/Tender/SplashBidNoticeAbstractUI.aspx?menuIndex=3&amp;refID=7038654&amp;Result=3","7038654")</f>
        <v>0</v>
      </c>
      <c r="B5318" t="s">
        <v>1644</v>
      </c>
      <c r="C5318" t="s">
        <v>8279</v>
      </c>
      <c r="D5318" t="s">
        <v>18041</v>
      </c>
      <c r="E5318" t="s">
        <v>22862</v>
      </c>
      <c r="F5318" t="s">
        <v>31574</v>
      </c>
      <c r="G5318" t="s">
        <v>31581</v>
      </c>
      <c r="H5318" t="s">
        <v>31591</v>
      </c>
      <c r="I5318" t="s">
        <v>4046</v>
      </c>
      <c r="J5318" t="s">
        <v>35184</v>
      </c>
      <c r="K5318" t="s">
        <v>41211</v>
      </c>
      <c r="M5318" t="s">
        <v>43254</v>
      </c>
      <c r="N5318" t="s">
        <v>45095</v>
      </c>
      <c r="O5318" t="s">
        <v>45096</v>
      </c>
      <c r="P5318">
        <v>0</v>
      </c>
      <c r="Q5318">
        <v>0</v>
      </c>
      <c r="R5318" t="s">
        <v>45102</v>
      </c>
      <c r="S5318" t="s">
        <v>45242</v>
      </c>
      <c r="T5318" t="s">
        <v>47159</v>
      </c>
      <c r="U5318" t="s">
        <v>51947</v>
      </c>
      <c r="W5318" t="s">
        <v>43254</v>
      </c>
      <c r="X5318" t="s">
        <v>45103</v>
      </c>
    </row>
    <row r="5319" spans="1:24">
      <c r="A5319">
        <f>HYPERLINK("https://www.philgeps.gov.ph/GEPSNONPILOT/Tender/SplashBidNoticeAbstractUI.aspx?menuIndex=3&amp;refID=7038647&amp;Result=3","7038647")</f>
        <v>0</v>
      </c>
      <c r="B5319" t="s">
        <v>987</v>
      </c>
      <c r="C5319" t="s">
        <v>8280</v>
      </c>
      <c r="D5319" t="s">
        <v>18066</v>
      </c>
      <c r="E5319" t="s">
        <v>22863</v>
      </c>
      <c r="F5319" t="s">
        <v>31574</v>
      </c>
      <c r="G5319" t="s">
        <v>31585</v>
      </c>
      <c r="H5319" t="s">
        <v>31591</v>
      </c>
      <c r="I5319" t="s">
        <v>8822</v>
      </c>
      <c r="J5319" t="s">
        <v>35171</v>
      </c>
      <c r="K5319" t="s">
        <v>41200</v>
      </c>
      <c r="M5319" t="s">
        <v>42521</v>
      </c>
      <c r="N5319" t="s">
        <v>45095</v>
      </c>
      <c r="O5319" t="s">
        <v>45096</v>
      </c>
      <c r="P5319">
        <v>0</v>
      </c>
      <c r="Q5319">
        <v>0</v>
      </c>
      <c r="R5319" t="s">
        <v>45102</v>
      </c>
      <c r="S5319" t="s">
        <v>45242</v>
      </c>
      <c r="T5319" t="s">
        <v>46918</v>
      </c>
      <c r="U5319" t="s">
        <v>49679</v>
      </c>
      <c r="W5319" t="s">
        <v>42521</v>
      </c>
      <c r="X5319" t="s">
        <v>45103</v>
      </c>
    </row>
    <row r="5320" spans="1:24">
      <c r="A5320">
        <f>HYPERLINK("https://www.philgeps.gov.ph/GEPSNONPILOT/Tender/SplashBidNoticeAbstractUI.aspx?menuIndex=3&amp;refID=7038650&amp;Result=3","7038650")</f>
        <v>0</v>
      </c>
      <c r="B5320" t="s">
        <v>264</v>
      </c>
      <c r="C5320" t="s">
        <v>8281</v>
      </c>
      <c r="D5320" t="s">
        <v>18066</v>
      </c>
      <c r="E5320" t="s">
        <v>22864</v>
      </c>
      <c r="F5320" t="s">
        <v>31574</v>
      </c>
      <c r="G5320" t="s">
        <v>31582</v>
      </c>
      <c r="H5320" t="s">
        <v>31590</v>
      </c>
      <c r="I5320" t="s">
        <v>4046</v>
      </c>
      <c r="J5320" t="s">
        <v>35185</v>
      </c>
      <c r="K5320" t="s">
        <v>41184</v>
      </c>
      <c r="M5320" t="s">
        <v>41750</v>
      </c>
      <c r="N5320" t="s">
        <v>45095</v>
      </c>
      <c r="O5320" t="s">
        <v>45096</v>
      </c>
      <c r="P5320">
        <v>0</v>
      </c>
      <c r="Q5320">
        <v>0</v>
      </c>
      <c r="R5320" t="s">
        <v>45102</v>
      </c>
      <c r="S5320" t="s">
        <v>45242</v>
      </c>
      <c r="T5320" t="s">
        <v>46963</v>
      </c>
      <c r="U5320" t="s">
        <v>51948</v>
      </c>
      <c r="W5320" t="s">
        <v>61674</v>
      </c>
      <c r="X5320" t="s">
        <v>45103</v>
      </c>
    </row>
    <row r="5321" spans="1:24">
      <c r="A5321">
        <f>HYPERLINK("https://www.philgeps.gov.ph/GEPSNONPILOT/Tender/SplashBidNoticeAbstractUI.aspx?menuIndex=3&amp;refID=7038649&amp;Result=3","7038649")</f>
        <v>0</v>
      </c>
      <c r="B5321" t="s">
        <v>1079</v>
      </c>
      <c r="C5321" t="s">
        <v>8282</v>
      </c>
      <c r="D5321" t="s">
        <v>18084</v>
      </c>
      <c r="E5321" t="s">
        <v>22865</v>
      </c>
      <c r="F5321" t="s">
        <v>31574</v>
      </c>
      <c r="G5321" t="s">
        <v>31581</v>
      </c>
      <c r="H5321" t="s">
        <v>31590</v>
      </c>
      <c r="I5321" t="s">
        <v>6800</v>
      </c>
      <c r="J5321" t="s">
        <v>35186</v>
      </c>
      <c r="K5321" t="s">
        <v>41196</v>
      </c>
      <c r="M5321" t="s">
        <v>43380</v>
      </c>
      <c r="N5321" t="s">
        <v>45095</v>
      </c>
      <c r="O5321" t="s">
        <v>45096</v>
      </c>
      <c r="P5321">
        <v>0</v>
      </c>
      <c r="Q5321">
        <v>3</v>
      </c>
      <c r="R5321" t="s">
        <v>45102</v>
      </c>
      <c r="S5321" t="s">
        <v>45242</v>
      </c>
      <c r="T5321" t="s">
        <v>47158</v>
      </c>
      <c r="U5321" t="s">
        <v>51949</v>
      </c>
      <c r="V5321" t="s">
        <v>60133</v>
      </c>
      <c r="W5321" t="s">
        <v>43380</v>
      </c>
      <c r="X5321" t="s">
        <v>45103</v>
      </c>
    </row>
    <row r="5322" spans="1:24">
      <c r="A5322">
        <f>HYPERLINK("https://www.philgeps.gov.ph/GEPSNONPILOT/Tender/SplashBidNoticeAbstractUI.aspx?menuIndex=3&amp;refID=7038660&amp;Result=3","7038660")</f>
        <v>0</v>
      </c>
      <c r="B5322" t="s">
        <v>987</v>
      </c>
      <c r="C5322" t="s">
        <v>8283</v>
      </c>
      <c r="D5322" t="s">
        <v>18066</v>
      </c>
      <c r="E5322" t="s">
        <v>22866</v>
      </c>
      <c r="F5322" t="s">
        <v>31574</v>
      </c>
      <c r="G5322" t="s">
        <v>31585</v>
      </c>
      <c r="H5322" t="s">
        <v>31591</v>
      </c>
      <c r="I5322" t="s">
        <v>8822</v>
      </c>
      <c r="J5322" t="s">
        <v>35187</v>
      </c>
      <c r="K5322" t="s">
        <v>41189</v>
      </c>
      <c r="M5322" t="s">
        <v>42521</v>
      </c>
      <c r="N5322" t="s">
        <v>45095</v>
      </c>
      <c r="O5322" t="s">
        <v>45096</v>
      </c>
      <c r="P5322">
        <v>0</v>
      </c>
      <c r="Q5322">
        <v>0</v>
      </c>
      <c r="R5322" t="s">
        <v>45102</v>
      </c>
      <c r="S5322" t="s">
        <v>45242</v>
      </c>
      <c r="T5322" t="s">
        <v>46918</v>
      </c>
      <c r="U5322" t="s">
        <v>49679</v>
      </c>
      <c r="W5322" t="s">
        <v>42521</v>
      </c>
      <c r="X5322" t="s">
        <v>45103</v>
      </c>
    </row>
    <row r="5323" spans="1:24">
      <c r="A5323">
        <f>HYPERLINK("https://www.philgeps.gov.ph/GEPSNONPILOT/Tender/SplashBidNoticeAbstractUI.aspx?menuIndex=3&amp;refID=7038673&amp;Result=3","7038673")</f>
        <v>0</v>
      </c>
      <c r="B5323" t="s">
        <v>924</v>
      </c>
      <c r="C5323" t="s">
        <v>5685</v>
      </c>
      <c r="D5323" t="s">
        <v>18022</v>
      </c>
      <c r="E5323" t="s">
        <v>22867</v>
      </c>
      <c r="F5323" t="s">
        <v>31574</v>
      </c>
      <c r="G5323" t="s">
        <v>31581</v>
      </c>
      <c r="H5323" t="s">
        <v>31590</v>
      </c>
      <c r="I5323" t="s">
        <v>31629</v>
      </c>
      <c r="J5323" t="s">
        <v>35188</v>
      </c>
      <c r="K5323" t="s">
        <v>41193</v>
      </c>
      <c r="M5323" t="s">
        <v>41517</v>
      </c>
      <c r="N5323" t="s">
        <v>45095</v>
      </c>
      <c r="O5323" t="s">
        <v>45096</v>
      </c>
      <c r="P5323">
        <v>0</v>
      </c>
      <c r="Q5323">
        <v>0</v>
      </c>
      <c r="R5323" t="s">
        <v>45102</v>
      </c>
      <c r="S5323" t="s">
        <v>45242</v>
      </c>
      <c r="T5323" t="s">
        <v>47159</v>
      </c>
      <c r="U5323" t="s">
        <v>51950</v>
      </c>
      <c r="V5323" t="s">
        <v>60105</v>
      </c>
      <c r="W5323" t="s">
        <v>41517</v>
      </c>
      <c r="X5323" t="s">
        <v>45103</v>
      </c>
    </row>
    <row r="5324" spans="1:24">
      <c r="A5324">
        <f>HYPERLINK("https://www.philgeps.gov.ph/GEPSNONPILOT/Tender/SplashBidNoticeAbstractUI.aspx?menuIndex=3&amp;refID=7038665&amp;Result=3","7038665")</f>
        <v>0</v>
      </c>
      <c r="B5324" t="s">
        <v>334</v>
      </c>
      <c r="C5324" t="s">
        <v>8284</v>
      </c>
      <c r="D5324" t="s">
        <v>18050</v>
      </c>
      <c r="E5324" t="s">
        <v>22868</v>
      </c>
      <c r="F5324" t="s">
        <v>31574</v>
      </c>
      <c r="G5324" t="s">
        <v>31581</v>
      </c>
      <c r="H5324" t="s">
        <v>31590</v>
      </c>
      <c r="I5324" t="s">
        <v>31619</v>
      </c>
      <c r="J5324" t="s">
        <v>35189</v>
      </c>
      <c r="K5324" t="s">
        <v>41189</v>
      </c>
      <c r="M5324" t="s">
        <v>41822</v>
      </c>
      <c r="N5324" t="s">
        <v>45095</v>
      </c>
      <c r="O5324" t="s">
        <v>45096</v>
      </c>
      <c r="P5324">
        <v>0</v>
      </c>
      <c r="Q5324">
        <v>2</v>
      </c>
      <c r="R5324" t="s">
        <v>45102</v>
      </c>
      <c r="S5324" t="s">
        <v>45242</v>
      </c>
      <c r="T5324" t="s">
        <v>46936</v>
      </c>
      <c r="U5324" t="s">
        <v>51951</v>
      </c>
      <c r="W5324" t="s">
        <v>61663</v>
      </c>
      <c r="X5324" t="s">
        <v>45103</v>
      </c>
    </row>
    <row r="5325" spans="1:24">
      <c r="A5325">
        <f>HYPERLINK("https://www.philgeps.gov.ph/GEPSNONPILOT/Tender/SplashBidNoticeAbstractUI.aspx?menuIndex=3&amp;refID=7038664&amp;Result=3","7038664")</f>
        <v>0</v>
      </c>
      <c r="B5325" t="s">
        <v>1746</v>
      </c>
      <c r="C5325" t="s">
        <v>8285</v>
      </c>
      <c r="E5325" t="s">
        <v>22869</v>
      </c>
      <c r="F5325" t="s">
        <v>31574</v>
      </c>
      <c r="G5325" t="s">
        <v>31582</v>
      </c>
      <c r="H5325" t="s">
        <v>31590</v>
      </c>
      <c r="I5325" t="s">
        <v>31607</v>
      </c>
      <c r="J5325" t="s">
        <v>35190</v>
      </c>
      <c r="K5325" t="s">
        <v>41184</v>
      </c>
      <c r="M5325" t="s">
        <v>43369</v>
      </c>
      <c r="N5325" t="s">
        <v>45095</v>
      </c>
      <c r="O5325" t="s">
        <v>45096</v>
      </c>
      <c r="P5325">
        <v>0</v>
      </c>
      <c r="Q5325">
        <v>0</v>
      </c>
      <c r="R5325" t="s">
        <v>45102</v>
      </c>
      <c r="S5325" t="s">
        <v>45242</v>
      </c>
      <c r="T5325" t="s">
        <v>47247</v>
      </c>
      <c r="U5325" t="s">
        <v>51952</v>
      </c>
      <c r="W5325" t="s">
        <v>43369</v>
      </c>
      <c r="X5325" t="s">
        <v>45103</v>
      </c>
    </row>
    <row r="5326" spans="1:24">
      <c r="A5326">
        <f>HYPERLINK("https://www.philgeps.gov.ph/GEPSNONPILOT/Tender/SplashBidNoticeAbstractUI.aspx?menuIndex=3&amp;refID=7038663&amp;Result=3","7038663")</f>
        <v>0</v>
      </c>
      <c r="B5326" t="s">
        <v>695</v>
      </c>
      <c r="C5326" t="s">
        <v>4836</v>
      </c>
      <c r="D5326" t="s">
        <v>18033</v>
      </c>
      <c r="E5326" t="s">
        <v>22870</v>
      </c>
      <c r="F5326" t="s">
        <v>31574</v>
      </c>
      <c r="G5326" t="s">
        <v>31583</v>
      </c>
      <c r="H5326" t="s">
        <v>31590</v>
      </c>
      <c r="I5326" t="s">
        <v>6800</v>
      </c>
      <c r="J5326" t="s">
        <v>35191</v>
      </c>
      <c r="K5326" t="s">
        <v>41211</v>
      </c>
      <c r="M5326" t="s">
        <v>42202</v>
      </c>
      <c r="N5326" t="s">
        <v>45095</v>
      </c>
      <c r="O5326" t="s">
        <v>45096</v>
      </c>
      <c r="P5326">
        <v>0</v>
      </c>
      <c r="Q5326">
        <v>0</v>
      </c>
      <c r="R5326" t="s">
        <v>45102</v>
      </c>
      <c r="S5326" t="s">
        <v>45242</v>
      </c>
      <c r="T5326" t="s">
        <v>47158</v>
      </c>
      <c r="U5326" t="s">
        <v>51953</v>
      </c>
      <c r="W5326" t="s">
        <v>42202</v>
      </c>
      <c r="X5326" t="s">
        <v>45103</v>
      </c>
    </row>
    <row r="5327" spans="1:24">
      <c r="A5327">
        <f>HYPERLINK("https://www.philgeps.gov.ph/GEPSNONPILOT/Tender/SplashBidNoticeAbstractUI.aspx?menuIndex=3&amp;refID=7038662&amp;Result=3","7038662")</f>
        <v>0</v>
      </c>
      <c r="B5327" t="s">
        <v>264</v>
      </c>
      <c r="C5327" t="s">
        <v>8286</v>
      </c>
      <c r="D5327" t="s">
        <v>18066</v>
      </c>
      <c r="E5327" t="s">
        <v>22871</v>
      </c>
      <c r="F5327" t="s">
        <v>31574</v>
      </c>
      <c r="G5327" t="s">
        <v>31582</v>
      </c>
      <c r="H5327" t="s">
        <v>31590</v>
      </c>
      <c r="I5327" t="s">
        <v>31616</v>
      </c>
      <c r="J5327" t="s">
        <v>35192</v>
      </c>
      <c r="K5327" t="s">
        <v>41184</v>
      </c>
      <c r="M5327" t="s">
        <v>41750</v>
      </c>
      <c r="N5327" t="s">
        <v>45095</v>
      </c>
      <c r="O5327" t="s">
        <v>45096</v>
      </c>
      <c r="P5327">
        <v>0</v>
      </c>
      <c r="Q5327">
        <v>2</v>
      </c>
      <c r="R5327" t="s">
        <v>45102</v>
      </c>
      <c r="S5327" t="s">
        <v>45242</v>
      </c>
      <c r="T5327" t="s">
        <v>46963</v>
      </c>
      <c r="U5327" t="s">
        <v>51954</v>
      </c>
      <c r="W5327" t="s">
        <v>61674</v>
      </c>
      <c r="X5327" t="s">
        <v>45103</v>
      </c>
    </row>
    <row r="5328" spans="1:24">
      <c r="A5328">
        <f>HYPERLINK("https://www.philgeps.gov.ph/GEPSNONPILOT/Tender/SplashBidNoticeAbstractUI.aspx?menuIndex=3&amp;refID=7038661&amp;Result=3","7038661")</f>
        <v>0</v>
      </c>
      <c r="B5328" t="s">
        <v>1756</v>
      </c>
      <c r="C5328" t="s">
        <v>8287</v>
      </c>
      <c r="D5328" t="s">
        <v>18030</v>
      </c>
      <c r="E5328" t="s">
        <v>22872</v>
      </c>
      <c r="F5328" t="s">
        <v>31574</v>
      </c>
      <c r="G5328" t="s">
        <v>31582</v>
      </c>
      <c r="H5328" t="s">
        <v>31590</v>
      </c>
      <c r="I5328" t="s">
        <v>31601</v>
      </c>
      <c r="J5328" t="s">
        <v>34454</v>
      </c>
      <c r="K5328" t="s">
        <v>41184</v>
      </c>
      <c r="M5328" t="s">
        <v>43382</v>
      </c>
      <c r="N5328" t="s">
        <v>45095</v>
      </c>
      <c r="O5328" t="s">
        <v>45096</v>
      </c>
      <c r="P5328">
        <v>0</v>
      </c>
      <c r="Q5328">
        <v>6</v>
      </c>
      <c r="R5328" t="s">
        <v>45102</v>
      </c>
      <c r="S5328" t="s">
        <v>45242</v>
      </c>
      <c r="T5328" t="s">
        <v>47198</v>
      </c>
      <c r="U5328" t="s">
        <v>51934</v>
      </c>
      <c r="W5328" t="s">
        <v>43382</v>
      </c>
      <c r="X5328" t="s">
        <v>45103</v>
      </c>
    </row>
    <row r="5329" spans="1:24">
      <c r="A5329">
        <f>HYPERLINK("https://www.philgeps.gov.ph/GEPSNONPILOT/Tender/SplashBidNoticeAbstractUI.aspx?menuIndex=3&amp;refID=7038674&amp;Result=3","7038674")</f>
        <v>0</v>
      </c>
      <c r="B5329" t="s">
        <v>75</v>
      </c>
      <c r="C5329" t="s">
        <v>8288</v>
      </c>
      <c r="D5329" t="s">
        <v>18054</v>
      </c>
      <c r="E5329" t="s">
        <v>22873</v>
      </c>
      <c r="F5329" t="s">
        <v>31574</v>
      </c>
      <c r="G5329" t="s">
        <v>31582</v>
      </c>
      <c r="H5329" t="s">
        <v>31590</v>
      </c>
      <c r="I5329" t="s">
        <v>6800</v>
      </c>
      <c r="J5329" t="s">
        <v>35193</v>
      </c>
      <c r="K5329" t="s">
        <v>41186</v>
      </c>
      <c r="M5329" t="s">
        <v>41559</v>
      </c>
      <c r="N5329" t="s">
        <v>45095</v>
      </c>
      <c r="O5329" t="s">
        <v>45096</v>
      </c>
      <c r="P5329">
        <v>0</v>
      </c>
      <c r="Q5329">
        <v>0</v>
      </c>
      <c r="R5329" t="s">
        <v>45102</v>
      </c>
      <c r="S5329" t="s">
        <v>45242</v>
      </c>
      <c r="T5329" t="s">
        <v>46988</v>
      </c>
      <c r="U5329" t="s">
        <v>51955</v>
      </c>
      <c r="W5329" t="s">
        <v>41559</v>
      </c>
      <c r="X5329" t="s">
        <v>45103</v>
      </c>
    </row>
    <row r="5330" spans="1:24">
      <c r="A5330">
        <f>HYPERLINK("https://www.philgeps.gov.ph/GEPSNONPILOT/Tender/SplashBidNoticeAbstractUI.aspx?menuIndex=3&amp;refID=7038686&amp;Result=3","7038686")</f>
        <v>0</v>
      </c>
      <c r="B5330" t="s">
        <v>1758</v>
      </c>
      <c r="C5330" t="s">
        <v>8289</v>
      </c>
      <c r="D5330" t="s">
        <v>18102</v>
      </c>
      <c r="E5330" t="s">
        <v>22874</v>
      </c>
      <c r="F5330" t="s">
        <v>31574</v>
      </c>
      <c r="G5330" t="s">
        <v>31582</v>
      </c>
      <c r="H5330" t="s">
        <v>31591</v>
      </c>
      <c r="I5330" t="s">
        <v>8822</v>
      </c>
      <c r="J5330" t="s">
        <v>35194</v>
      </c>
      <c r="K5330" t="s">
        <v>41192</v>
      </c>
      <c r="M5330" t="s">
        <v>43384</v>
      </c>
      <c r="N5330" t="s">
        <v>45095</v>
      </c>
      <c r="O5330" t="s">
        <v>45096</v>
      </c>
      <c r="P5330">
        <v>0</v>
      </c>
      <c r="Q5330">
        <v>0</v>
      </c>
      <c r="R5330" t="s">
        <v>45102</v>
      </c>
      <c r="S5330" t="s">
        <v>45242</v>
      </c>
      <c r="T5330" t="s">
        <v>46965</v>
      </c>
      <c r="U5330" t="s">
        <v>51956</v>
      </c>
      <c r="V5330" t="s">
        <v>60418</v>
      </c>
      <c r="W5330" t="s">
        <v>43384</v>
      </c>
      <c r="X5330" t="s">
        <v>45103</v>
      </c>
    </row>
    <row r="5331" spans="1:24">
      <c r="A5331">
        <f>HYPERLINK("https://www.philgeps.gov.ph/GEPSNONPILOT/Tender/SplashBidNoticeAbstractUI.aspx?menuIndex=3&amp;refID=7038675&amp;Result=3","7038675")</f>
        <v>0</v>
      </c>
      <c r="B5331" t="s">
        <v>470</v>
      </c>
      <c r="C5331" t="s">
        <v>8290</v>
      </c>
      <c r="D5331" t="s">
        <v>18075</v>
      </c>
      <c r="E5331" t="s">
        <v>22875</v>
      </c>
      <c r="F5331" t="s">
        <v>31574</v>
      </c>
      <c r="G5331" t="s">
        <v>31581</v>
      </c>
      <c r="H5331" t="s">
        <v>31590</v>
      </c>
      <c r="I5331" t="s">
        <v>8822</v>
      </c>
      <c r="J5331" t="s">
        <v>35195</v>
      </c>
      <c r="K5331" t="s">
        <v>41193</v>
      </c>
      <c r="M5331" t="s">
        <v>41964</v>
      </c>
      <c r="N5331" t="s">
        <v>45095</v>
      </c>
      <c r="O5331" t="s">
        <v>45096</v>
      </c>
      <c r="P5331">
        <v>0</v>
      </c>
      <c r="Q5331">
        <v>1</v>
      </c>
      <c r="R5331" t="s">
        <v>45102</v>
      </c>
      <c r="S5331" t="s">
        <v>45242</v>
      </c>
      <c r="T5331" t="s">
        <v>47183</v>
      </c>
      <c r="U5331" t="s">
        <v>51957</v>
      </c>
      <c r="W5331" t="s">
        <v>61668</v>
      </c>
      <c r="X5331" t="s">
        <v>45103</v>
      </c>
    </row>
    <row r="5332" spans="1:24">
      <c r="A5332">
        <f>HYPERLINK("https://www.philgeps.gov.ph/GEPSNONPILOT/Tender/SplashBidNoticeAbstractUI.aspx?menuIndex=3&amp;refID=7038684&amp;Result=3","7038684")</f>
        <v>0</v>
      </c>
      <c r="B5332" t="s">
        <v>1724</v>
      </c>
      <c r="C5332" t="s">
        <v>8291</v>
      </c>
      <c r="D5332" t="s">
        <v>18058</v>
      </c>
      <c r="E5332" t="s">
        <v>22876</v>
      </c>
      <c r="F5332" t="s">
        <v>31574</v>
      </c>
      <c r="G5332" t="s">
        <v>31581</v>
      </c>
      <c r="H5332" t="s">
        <v>31590</v>
      </c>
      <c r="I5332" t="s">
        <v>4046</v>
      </c>
      <c r="J5332" t="s">
        <v>31727</v>
      </c>
      <c r="K5332" t="s">
        <v>41186</v>
      </c>
      <c r="M5332" t="s">
        <v>43341</v>
      </c>
      <c r="N5332" t="s">
        <v>45095</v>
      </c>
      <c r="O5332" t="s">
        <v>45096</v>
      </c>
      <c r="P5332">
        <v>0</v>
      </c>
      <c r="Q5332">
        <v>0</v>
      </c>
      <c r="R5332" t="s">
        <v>45102</v>
      </c>
      <c r="S5332" t="s">
        <v>45242</v>
      </c>
      <c r="T5332" t="s">
        <v>46911</v>
      </c>
      <c r="U5332" t="s">
        <v>51866</v>
      </c>
      <c r="V5332" t="s">
        <v>60419</v>
      </c>
      <c r="W5332" t="s">
        <v>43341</v>
      </c>
      <c r="X5332" t="s">
        <v>45103</v>
      </c>
    </row>
    <row r="5333" spans="1:24">
      <c r="A5333">
        <f>HYPERLINK("https://www.philgeps.gov.ph/GEPSNONPILOT/Tender/SplashBidNoticeAbstractUI.aspx?menuIndex=3&amp;refID=7038683&amp;Result=3","7038683")</f>
        <v>0</v>
      </c>
      <c r="B5333" t="s">
        <v>1759</v>
      </c>
      <c r="C5333" t="s">
        <v>8292</v>
      </c>
      <c r="D5333" t="s">
        <v>18082</v>
      </c>
      <c r="E5333" t="s">
        <v>22877</v>
      </c>
      <c r="F5333" t="s">
        <v>31574</v>
      </c>
      <c r="G5333" t="s">
        <v>31581</v>
      </c>
      <c r="H5333" t="s">
        <v>31590</v>
      </c>
      <c r="I5333" t="s">
        <v>31608</v>
      </c>
      <c r="J5333" t="s">
        <v>35196</v>
      </c>
      <c r="K5333" t="s">
        <v>41186</v>
      </c>
      <c r="M5333" t="s">
        <v>43385</v>
      </c>
      <c r="N5333" t="s">
        <v>45095</v>
      </c>
      <c r="O5333" t="s">
        <v>45096</v>
      </c>
      <c r="P5333">
        <v>0</v>
      </c>
      <c r="Q5333">
        <v>1</v>
      </c>
      <c r="R5333" t="s">
        <v>45102</v>
      </c>
      <c r="S5333" t="s">
        <v>45242</v>
      </c>
      <c r="T5333" t="s">
        <v>47250</v>
      </c>
      <c r="U5333" t="s">
        <v>51958</v>
      </c>
      <c r="W5333" t="s">
        <v>43385</v>
      </c>
      <c r="X5333" t="s">
        <v>45103</v>
      </c>
    </row>
    <row r="5334" spans="1:24">
      <c r="A5334">
        <f>HYPERLINK("https://www.philgeps.gov.ph/GEPSNONPILOT/Tender/SplashBidNoticeAbstractUI.aspx?menuIndex=3&amp;refID=7038682&amp;Result=3","7038682")</f>
        <v>0</v>
      </c>
      <c r="B5334" t="s">
        <v>987</v>
      </c>
      <c r="C5334" t="s">
        <v>8293</v>
      </c>
      <c r="D5334" t="s">
        <v>18066</v>
      </c>
      <c r="E5334" t="s">
        <v>22878</v>
      </c>
      <c r="F5334" t="s">
        <v>31574</v>
      </c>
      <c r="G5334" t="s">
        <v>31585</v>
      </c>
      <c r="H5334" t="s">
        <v>31591</v>
      </c>
      <c r="I5334" t="s">
        <v>8822</v>
      </c>
      <c r="J5334" t="s">
        <v>35197</v>
      </c>
      <c r="K5334" t="s">
        <v>41200</v>
      </c>
      <c r="M5334" t="s">
        <v>42521</v>
      </c>
      <c r="N5334" t="s">
        <v>45095</v>
      </c>
      <c r="O5334" t="s">
        <v>45096</v>
      </c>
      <c r="P5334">
        <v>0</v>
      </c>
      <c r="Q5334">
        <v>0</v>
      </c>
      <c r="R5334" t="s">
        <v>45102</v>
      </c>
      <c r="S5334" t="s">
        <v>45242</v>
      </c>
      <c r="T5334" t="s">
        <v>46918</v>
      </c>
      <c r="U5334" t="s">
        <v>51959</v>
      </c>
      <c r="W5334" t="s">
        <v>42521</v>
      </c>
      <c r="X5334" t="s">
        <v>45103</v>
      </c>
    </row>
    <row r="5335" spans="1:24">
      <c r="A5335">
        <f>HYPERLINK("https://www.philgeps.gov.ph/GEPSNONPILOT/Tender/SplashBidNoticeAbstractUI.aspx?menuIndex=3&amp;refID=7038676&amp;Result=3","7038676")</f>
        <v>0</v>
      </c>
      <c r="B5335" t="s">
        <v>1695</v>
      </c>
      <c r="C5335" t="s">
        <v>8294</v>
      </c>
      <c r="D5335" t="s">
        <v>18094</v>
      </c>
      <c r="E5335" t="s">
        <v>22879</v>
      </c>
      <c r="F5335" t="s">
        <v>31574</v>
      </c>
      <c r="G5335" t="s">
        <v>31582</v>
      </c>
      <c r="H5335" t="s">
        <v>31591</v>
      </c>
      <c r="I5335" t="s">
        <v>8822</v>
      </c>
      <c r="J5335" t="s">
        <v>31789</v>
      </c>
      <c r="K5335" t="s">
        <v>41185</v>
      </c>
      <c r="M5335" t="s">
        <v>43309</v>
      </c>
      <c r="N5335" t="s">
        <v>45095</v>
      </c>
      <c r="O5335" t="s">
        <v>45096</v>
      </c>
      <c r="P5335">
        <v>0</v>
      </c>
      <c r="Q5335">
        <v>0</v>
      </c>
      <c r="R5335" t="s">
        <v>45102</v>
      </c>
      <c r="S5335" t="s">
        <v>45242</v>
      </c>
      <c r="T5335" t="s">
        <v>47074</v>
      </c>
      <c r="U5335" t="s">
        <v>51960</v>
      </c>
      <c r="V5335" t="s">
        <v>60413</v>
      </c>
      <c r="W5335" t="s">
        <v>43309</v>
      </c>
      <c r="X5335" t="s">
        <v>45103</v>
      </c>
    </row>
    <row r="5336" spans="1:24">
      <c r="A5336">
        <f>HYPERLINK("https://www.philgeps.gov.ph/GEPSNONPILOT/Tender/SplashBidNoticeAbstractUI.aspx?menuIndex=3&amp;refID=7038681&amp;Result=3","7038681")</f>
        <v>0</v>
      </c>
      <c r="B5336" t="s">
        <v>1116</v>
      </c>
      <c r="C5336" t="s">
        <v>8295</v>
      </c>
      <c r="D5336" t="s">
        <v>18095</v>
      </c>
      <c r="E5336" t="s">
        <v>22880</v>
      </c>
      <c r="F5336" t="s">
        <v>31574</v>
      </c>
      <c r="G5336" t="s">
        <v>31582</v>
      </c>
      <c r="H5336" t="s">
        <v>31591</v>
      </c>
      <c r="I5336" t="s">
        <v>8822</v>
      </c>
      <c r="J5336" t="s">
        <v>35198</v>
      </c>
      <c r="K5336" t="s">
        <v>41243</v>
      </c>
      <c r="M5336" t="s">
        <v>43361</v>
      </c>
      <c r="N5336" t="s">
        <v>45095</v>
      </c>
      <c r="O5336" t="s">
        <v>45096</v>
      </c>
      <c r="P5336">
        <v>0</v>
      </c>
      <c r="Q5336">
        <v>0</v>
      </c>
      <c r="R5336" t="s">
        <v>45102</v>
      </c>
      <c r="S5336" t="s">
        <v>45242</v>
      </c>
      <c r="T5336" t="s">
        <v>47211</v>
      </c>
      <c r="U5336" t="s">
        <v>51961</v>
      </c>
      <c r="W5336" t="s">
        <v>43361</v>
      </c>
      <c r="X5336" t="s">
        <v>45103</v>
      </c>
    </row>
    <row r="5337" spans="1:24">
      <c r="A5337">
        <f>HYPERLINK("https://www.philgeps.gov.ph/GEPSNONPILOT/Tender/SplashBidNoticeAbstractUI.aspx?menuIndex=3&amp;refID=7038685&amp;Result=3","7038685")</f>
        <v>0</v>
      </c>
      <c r="B5337" t="s">
        <v>1047</v>
      </c>
      <c r="C5337" t="s">
        <v>8296</v>
      </c>
      <c r="D5337" t="s">
        <v>18059</v>
      </c>
      <c r="E5337" t="s">
        <v>22881</v>
      </c>
      <c r="F5337" t="s">
        <v>31574</v>
      </c>
      <c r="G5337" t="s">
        <v>31581</v>
      </c>
      <c r="H5337" t="s">
        <v>31590</v>
      </c>
      <c r="I5337" t="s">
        <v>3539</v>
      </c>
      <c r="J5337" t="s">
        <v>32381</v>
      </c>
      <c r="K5337" t="s">
        <v>41184</v>
      </c>
      <c r="M5337" t="s">
        <v>43386</v>
      </c>
      <c r="N5337" t="s">
        <v>45095</v>
      </c>
      <c r="O5337" t="s">
        <v>45096</v>
      </c>
      <c r="P5337">
        <v>0</v>
      </c>
      <c r="Q5337">
        <v>0</v>
      </c>
      <c r="R5337" t="s">
        <v>45102</v>
      </c>
      <c r="S5337" t="s">
        <v>45242</v>
      </c>
      <c r="T5337" t="s">
        <v>46969</v>
      </c>
      <c r="U5337" t="s">
        <v>51962</v>
      </c>
      <c r="W5337" t="s">
        <v>61688</v>
      </c>
      <c r="X5337" t="s">
        <v>45103</v>
      </c>
    </row>
    <row r="5338" spans="1:24">
      <c r="A5338">
        <f>HYPERLINK("https://www.philgeps.gov.ph/GEPSNONPILOT/Tender/SplashBidNoticeAbstractUI.aspx?menuIndex=3&amp;refID=7038690&amp;Result=3","7038690")</f>
        <v>0</v>
      </c>
      <c r="B5338" t="s">
        <v>264</v>
      </c>
      <c r="C5338" t="s">
        <v>8297</v>
      </c>
      <c r="D5338" t="s">
        <v>18066</v>
      </c>
      <c r="E5338" t="s">
        <v>22882</v>
      </c>
      <c r="F5338" t="s">
        <v>31574</v>
      </c>
      <c r="G5338" t="s">
        <v>31582</v>
      </c>
      <c r="H5338" t="s">
        <v>31590</v>
      </c>
      <c r="I5338" t="s">
        <v>4046</v>
      </c>
      <c r="J5338" t="s">
        <v>35199</v>
      </c>
      <c r="K5338" t="s">
        <v>41184</v>
      </c>
      <c r="M5338" t="s">
        <v>41750</v>
      </c>
      <c r="N5338" t="s">
        <v>45095</v>
      </c>
      <c r="O5338" t="s">
        <v>45096</v>
      </c>
      <c r="P5338">
        <v>0</v>
      </c>
      <c r="Q5338">
        <v>0</v>
      </c>
      <c r="R5338" t="s">
        <v>45102</v>
      </c>
      <c r="S5338" t="s">
        <v>45242</v>
      </c>
      <c r="T5338" t="s">
        <v>46963</v>
      </c>
      <c r="U5338" t="s">
        <v>51963</v>
      </c>
      <c r="W5338" t="s">
        <v>61674</v>
      </c>
      <c r="X5338" t="s">
        <v>45103</v>
      </c>
    </row>
    <row r="5339" spans="1:24">
      <c r="A5339">
        <f>HYPERLINK("https://www.philgeps.gov.ph/GEPSNONPILOT/Tender/SplashBidNoticeAbstractUI.aspx?menuIndex=3&amp;refID=7038672&amp;Result=3","7038672")</f>
        <v>0</v>
      </c>
      <c r="B5339" t="s">
        <v>159</v>
      </c>
      <c r="C5339" t="s">
        <v>8298</v>
      </c>
      <c r="D5339" t="s">
        <v>18046</v>
      </c>
      <c r="E5339" t="s">
        <v>22883</v>
      </c>
      <c r="F5339" t="s">
        <v>31574</v>
      </c>
      <c r="G5339" t="s">
        <v>31582</v>
      </c>
      <c r="H5339" t="s">
        <v>31590</v>
      </c>
      <c r="I5339" t="s">
        <v>3539</v>
      </c>
      <c r="J5339" t="s">
        <v>33977</v>
      </c>
      <c r="K5339" t="s">
        <v>41197</v>
      </c>
      <c r="M5339" t="s">
        <v>43387</v>
      </c>
      <c r="N5339" t="s">
        <v>45095</v>
      </c>
      <c r="O5339" t="s">
        <v>45096</v>
      </c>
      <c r="P5339">
        <v>0</v>
      </c>
      <c r="Q5339">
        <v>0</v>
      </c>
      <c r="R5339" t="s">
        <v>45102</v>
      </c>
      <c r="S5339" t="s">
        <v>45242</v>
      </c>
      <c r="T5339" t="s">
        <v>46963</v>
      </c>
      <c r="U5339" t="s">
        <v>51964</v>
      </c>
      <c r="V5339" t="s">
        <v>59890</v>
      </c>
      <c r="W5339" t="s">
        <v>43387</v>
      </c>
      <c r="X5339" t="s">
        <v>45103</v>
      </c>
    </row>
    <row r="5340" spans="1:24">
      <c r="A5340">
        <f>HYPERLINK("https://www.philgeps.gov.ph/GEPSNONPILOT/Tender/SplashBidNoticeAbstractUI.aspx?menuIndex=3&amp;refID=7038680&amp;Result=3","7038680")</f>
        <v>0</v>
      </c>
      <c r="B5340" t="s">
        <v>1760</v>
      </c>
      <c r="C5340" t="s">
        <v>8299</v>
      </c>
      <c r="D5340" t="s">
        <v>18028</v>
      </c>
      <c r="E5340" t="s">
        <v>22884</v>
      </c>
      <c r="F5340" t="s">
        <v>31574</v>
      </c>
      <c r="G5340" t="s">
        <v>31582</v>
      </c>
      <c r="H5340" t="s">
        <v>31591</v>
      </c>
      <c r="I5340" t="s">
        <v>31638</v>
      </c>
      <c r="J5340" t="s">
        <v>35200</v>
      </c>
      <c r="K5340" t="s">
        <v>41186</v>
      </c>
      <c r="M5340" t="s">
        <v>43388</v>
      </c>
      <c r="N5340" t="s">
        <v>45095</v>
      </c>
      <c r="O5340" t="s">
        <v>45096</v>
      </c>
      <c r="P5340">
        <v>0</v>
      </c>
      <c r="Q5340">
        <v>0</v>
      </c>
      <c r="R5340" t="s">
        <v>45102</v>
      </c>
      <c r="S5340" t="s">
        <v>45242</v>
      </c>
      <c r="T5340" t="s">
        <v>47089</v>
      </c>
      <c r="U5340" t="s">
        <v>51965</v>
      </c>
      <c r="W5340" t="s">
        <v>43388</v>
      </c>
      <c r="X5340" t="s">
        <v>45103</v>
      </c>
    </row>
    <row r="5341" spans="1:24">
      <c r="A5341">
        <f>HYPERLINK("https://www.philgeps.gov.ph/GEPSNONPILOT/Tender/SplashBidNoticeAbstractUI.aspx?menuIndex=3&amp;refID=7038689&amp;Result=3","7038689")</f>
        <v>0</v>
      </c>
      <c r="B5341" t="s">
        <v>1754</v>
      </c>
      <c r="C5341" t="s">
        <v>8300</v>
      </c>
      <c r="D5341" t="s">
        <v>18076</v>
      </c>
      <c r="E5341" t="s">
        <v>22790</v>
      </c>
      <c r="F5341" t="s">
        <v>31574</v>
      </c>
      <c r="G5341" t="s">
        <v>31582</v>
      </c>
      <c r="H5341" t="s">
        <v>31590</v>
      </c>
      <c r="I5341" t="s">
        <v>4046</v>
      </c>
      <c r="J5341" t="s">
        <v>35201</v>
      </c>
      <c r="K5341" t="s">
        <v>41213</v>
      </c>
      <c r="M5341" t="s">
        <v>43379</v>
      </c>
      <c r="N5341" t="s">
        <v>45095</v>
      </c>
      <c r="O5341" t="s">
        <v>45096</v>
      </c>
      <c r="P5341">
        <v>0</v>
      </c>
      <c r="Q5341">
        <v>0</v>
      </c>
      <c r="R5341" t="s">
        <v>45102</v>
      </c>
      <c r="S5341" t="s">
        <v>45242</v>
      </c>
      <c r="T5341" t="s">
        <v>46922</v>
      </c>
      <c r="U5341" t="s">
        <v>51966</v>
      </c>
      <c r="W5341" t="s">
        <v>43379</v>
      </c>
      <c r="X5341" t="s">
        <v>45103</v>
      </c>
    </row>
    <row r="5342" spans="1:24">
      <c r="A5342">
        <f>HYPERLINK("https://www.philgeps.gov.ph/GEPSNONPILOT/Tender/SplashBidNoticeAbstractUI.aspx?menuIndex=3&amp;refID=7038716&amp;Result=3","7038716")</f>
        <v>0</v>
      </c>
      <c r="B5342" t="s">
        <v>159</v>
      </c>
      <c r="C5342" t="s">
        <v>8301</v>
      </c>
      <c r="D5342" t="s">
        <v>18046</v>
      </c>
      <c r="E5342" t="s">
        <v>22885</v>
      </c>
      <c r="F5342" t="s">
        <v>31574</v>
      </c>
      <c r="G5342" t="s">
        <v>31582</v>
      </c>
      <c r="H5342" t="s">
        <v>31590</v>
      </c>
      <c r="I5342" t="s">
        <v>3539</v>
      </c>
      <c r="J5342" t="s">
        <v>35202</v>
      </c>
      <c r="K5342" t="s">
        <v>41197</v>
      </c>
      <c r="M5342" t="s">
        <v>43387</v>
      </c>
      <c r="N5342" t="s">
        <v>45095</v>
      </c>
      <c r="O5342" t="s">
        <v>45096</v>
      </c>
      <c r="P5342">
        <v>0</v>
      </c>
      <c r="Q5342">
        <v>0</v>
      </c>
      <c r="R5342" t="s">
        <v>45102</v>
      </c>
      <c r="S5342" t="s">
        <v>45242</v>
      </c>
      <c r="T5342" t="s">
        <v>46963</v>
      </c>
      <c r="U5342" t="s">
        <v>51964</v>
      </c>
      <c r="V5342" t="s">
        <v>59890</v>
      </c>
      <c r="W5342" t="s">
        <v>43387</v>
      </c>
      <c r="X5342" t="s">
        <v>45103</v>
      </c>
    </row>
    <row r="5343" spans="1:24">
      <c r="A5343">
        <f>HYPERLINK("https://www.philgeps.gov.ph/GEPSNONPILOT/Tender/SplashBidNoticeAbstractUI.aspx?menuIndex=3&amp;refID=7038706&amp;Result=3","7038706")</f>
        <v>0</v>
      </c>
      <c r="B5343" t="s">
        <v>1761</v>
      </c>
      <c r="C5343" t="s">
        <v>8302</v>
      </c>
      <c r="D5343" t="s">
        <v>18022</v>
      </c>
      <c r="E5343" t="s">
        <v>22886</v>
      </c>
      <c r="F5343" t="s">
        <v>31574</v>
      </c>
      <c r="G5343" t="s">
        <v>31581</v>
      </c>
      <c r="H5343" t="s">
        <v>31590</v>
      </c>
      <c r="I5343" t="s">
        <v>3520</v>
      </c>
      <c r="J5343" t="s">
        <v>35203</v>
      </c>
      <c r="K5343" t="s">
        <v>41190</v>
      </c>
      <c r="M5343" t="s">
        <v>43389</v>
      </c>
      <c r="N5343" t="s">
        <v>45095</v>
      </c>
      <c r="O5343" t="s">
        <v>45096</v>
      </c>
      <c r="P5343">
        <v>0</v>
      </c>
      <c r="Q5343">
        <v>5</v>
      </c>
      <c r="R5343" t="s">
        <v>45102</v>
      </c>
      <c r="S5343" t="s">
        <v>45242</v>
      </c>
      <c r="T5343" t="s">
        <v>47125</v>
      </c>
      <c r="U5343" t="s">
        <v>51967</v>
      </c>
      <c r="W5343" t="s">
        <v>43389</v>
      </c>
      <c r="X5343" t="s">
        <v>45103</v>
      </c>
    </row>
    <row r="5344" spans="1:24">
      <c r="A5344">
        <f>HYPERLINK("https://www.philgeps.gov.ph/GEPSNONPILOT/Tender/SplashBidNoticeAbstractUI.aspx?menuIndex=3&amp;refID=7038679&amp;Result=3","7038679")</f>
        <v>0</v>
      </c>
      <c r="B5344" t="s">
        <v>62</v>
      </c>
      <c r="C5344" t="s">
        <v>8303</v>
      </c>
      <c r="D5344" t="s">
        <v>18037</v>
      </c>
      <c r="E5344" t="s">
        <v>22887</v>
      </c>
      <c r="F5344" t="s">
        <v>31574</v>
      </c>
      <c r="G5344" t="s">
        <v>31588</v>
      </c>
      <c r="H5344" t="s">
        <v>31591</v>
      </c>
      <c r="I5344" t="s">
        <v>8822</v>
      </c>
      <c r="J5344" t="s">
        <v>33420</v>
      </c>
      <c r="K5344" t="s">
        <v>41184</v>
      </c>
      <c r="L5344" t="s">
        <v>62</v>
      </c>
      <c r="M5344" t="s">
        <v>43390</v>
      </c>
      <c r="N5344" t="s">
        <v>45095</v>
      </c>
      <c r="O5344" t="s">
        <v>45096</v>
      </c>
      <c r="P5344">
        <v>0</v>
      </c>
      <c r="Q5344">
        <v>2</v>
      </c>
      <c r="R5344" t="s">
        <v>45102</v>
      </c>
      <c r="S5344" t="s">
        <v>45242</v>
      </c>
      <c r="T5344" t="s">
        <v>46965</v>
      </c>
      <c r="U5344" t="s">
        <v>51968</v>
      </c>
      <c r="W5344" t="s">
        <v>43390</v>
      </c>
      <c r="X5344" t="s">
        <v>45103</v>
      </c>
    </row>
    <row r="5345" spans="1:24">
      <c r="A5345">
        <f>HYPERLINK("https://www.philgeps.gov.ph/GEPSNONPILOT/Tender/SplashBidNoticeAbstractUI.aspx?menuIndex=3&amp;refID=7038707&amp;Result=3","7038707")</f>
        <v>0</v>
      </c>
      <c r="B5345" t="s">
        <v>1741</v>
      </c>
      <c r="C5345" t="s">
        <v>8304</v>
      </c>
      <c r="D5345" t="s">
        <v>18096</v>
      </c>
      <c r="E5345" t="s">
        <v>22888</v>
      </c>
      <c r="F5345" t="s">
        <v>31574</v>
      </c>
      <c r="G5345" t="s">
        <v>31582</v>
      </c>
      <c r="H5345" t="s">
        <v>31591</v>
      </c>
      <c r="I5345" t="s">
        <v>8822</v>
      </c>
      <c r="J5345" t="s">
        <v>35204</v>
      </c>
      <c r="K5345" t="s">
        <v>41200</v>
      </c>
      <c r="M5345" t="s">
        <v>43362</v>
      </c>
      <c r="N5345" t="s">
        <v>45095</v>
      </c>
      <c r="O5345" t="s">
        <v>45096</v>
      </c>
      <c r="P5345">
        <v>0</v>
      </c>
      <c r="Q5345">
        <v>0</v>
      </c>
      <c r="R5345" t="s">
        <v>45102</v>
      </c>
      <c r="S5345" t="s">
        <v>45242</v>
      </c>
      <c r="T5345" t="s">
        <v>47196</v>
      </c>
      <c r="U5345" t="s">
        <v>51969</v>
      </c>
      <c r="W5345" t="s">
        <v>43362</v>
      </c>
      <c r="X5345" t="s">
        <v>45103</v>
      </c>
    </row>
    <row r="5346" spans="1:24">
      <c r="A5346">
        <f>HYPERLINK("https://www.philgeps.gov.ph/GEPSNONPILOT/Tender/SplashBidNoticeAbstractUI.aspx?menuIndex=3&amp;refID=7038705&amp;Result=3","7038705")</f>
        <v>0</v>
      </c>
      <c r="B5346" t="s">
        <v>1409</v>
      </c>
      <c r="C5346" t="s">
        <v>8305</v>
      </c>
      <c r="D5346" t="s">
        <v>18050</v>
      </c>
      <c r="E5346" t="s">
        <v>22889</v>
      </c>
      <c r="F5346" t="s">
        <v>31574</v>
      </c>
      <c r="G5346" t="s">
        <v>31583</v>
      </c>
      <c r="H5346" t="s">
        <v>31590</v>
      </c>
      <c r="I5346" t="s">
        <v>4046</v>
      </c>
      <c r="J5346" t="s">
        <v>35205</v>
      </c>
      <c r="K5346" t="s">
        <v>41191</v>
      </c>
      <c r="M5346" t="s">
        <v>42985</v>
      </c>
      <c r="N5346" t="s">
        <v>45095</v>
      </c>
      <c r="O5346" t="s">
        <v>45096</v>
      </c>
      <c r="P5346">
        <v>0</v>
      </c>
      <c r="Q5346">
        <v>0</v>
      </c>
      <c r="R5346" t="s">
        <v>45102</v>
      </c>
      <c r="S5346" t="s">
        <v>45242</v>
      </c>
      <c r="T5346" t="s">
        <v>46949</v>
      </c>
      <c r="U5346" t="s">
        <v>51073</v>
      </c>
      <c r="W5346" t="s">
        <v>42985</v>
      </c>
      <c r="X5346" t="s">
        <v>45103</v>
      </c>
    </row>
    <row r="5347" spans="1:24">
      <c r="A5347">
        <f>HYPERLINK("https://www.philgeps.gov.ph/GEPSNONPILOT/Tender/SplashBidNoticeAbstractUI.aspx?menuIndex=3&amp;refID=7038713&amp;Result=3","7038713")</f>
        <v>0</v>
      </c>
      <c r="B5347" t="s">
        <v>46</v>
      </c>
      <c r="C5347" t="s">
        <v>8306</v>
      </c>
      <c r="D5347" t="s">
        <v>18050</v>
      </c>
      <c r="E5347" t="s">
        <v>22890</v>
      </c>
      <c r="F5347" t="s">
        <v>31574</v>
      </c>
      <c r="G5347" t="s">
        <v>31583</v>
      </c>
      <c r="H5347" t="s">
        <v>31590</v>
      </c>
      <c r="I5347" t="s">
        <v>5717</v>
      </c>
      <c r="J5347" t="s">
        <v>35206</v>
      </c>
      <c r="K5347" t="s">
        <v>41186</v>
      </c>
      <c r="M5347" t="s">
        <v>42527</v>
      </c>
      <c r="N5347" t="s">
        <v>45095</v>
      </c>
      <c r="O5347" t="s">
        <v>45096</v>
      </c>
      <c r="P5347">
        <v>0</v>
      </c>
      <c r="Q5347">
        <v>15</v>
      </c>
      <c r="R5347" t="s">
        <v>45102</v>
      </c>
      <c r="S5347" t="s">
        <v>45242</v>
      </c>
      <c r="T5347" t="s">
        <v>47165</v>
      </c>
      <c r="U5347" t="s">
        <v>51970</v>
      </c>
      <c r="W5347" t="s">
        <v>42527</v>
      </c>
      <c r="X5347" t="s">
        <v>45103</v>
      </c>
    </row>
    <row r="5348" spans="1:24">
      <c r="A5348">
        <f>HYPERLINK("https://www.philgeps.gov.ph/GEPSNONPILOT/Tender/SplashBidNoticeAbstractUI.aspx?menuIndex=3&amp;refID=7038712&amp;Result=3","7038712")</f>
        <v>0</v>
      </c>
      <c r="B5348" t="s">
        <v>1760</v>
      </c>
      <c r="C5348" t="s">
        <v>8307</v>
      </c>
      <c r="D5348" t="s">
        <v>18028</v>
      </c>
      <c r="E5348" t="s">
        <v>22891</v>
      </c>
      <c r="F5348" t="s">
        <v>31574</v>
      </c>
      <c r="G5348" t="s">
        <v>31582</v>
      </c>
      <c r="H5348" t="s">
        <v>31591</v>
      </c>
      <c r="I5348" t="s">
        <v>8822</v>
      </c>
      <c r="J5348" t="s">
        <v>35207</v>
      </c>
      <c r="K5348" t="s">
        <v>41257</v>
      </c>
      <c r="M5348" t="s">
        <v>43388</v>
      </c>
      <c r="N5348" t="s">
        <v>45095</v>
      </c>
      <c r="O5348" t="s">
        <v>45096</v>
      </c>
      <c r="P5348">
        <v>0</v>
      </c>
      <c r="Q5348">
        <v>0</v>
      </c>
      <c r="R5348" t="s">
        <v>45102</v>
      </c>
      <c r="S5348" t="s">
        <v>45242</v>
      </c>
      <c r="T5348" t="s">
        <v>47251</v>
      </c>
      <c r="U5348" t="s">
        <v>51971</v>
      </c>
      <c r="W5348" t="s">
        <v>43388</v>
      </c>
      <c r="X5348" t="s">
        <v>45103</v>
      </c>
    </row>
    <row r="5349" spans="1:24">
      <c r="A5349">
        <f>HYPERLINK("https://www.philgeps.gov.ph/GEPSNONPILOT/Tender/SplashBidNoticeAbstractUI.aspx?menuIndex=3&amp;refID=7038688&amp;Result=3","7038688")</f>
        <v>0</v>
      </c>
      <c r="B5349" t="s">
        <v>1732</v>
      </c>
      <c r="C5349" t="s">
        <v>8308</v>
      </c>
      <c r="D5349" t="s">
        <v>18041</v>
      </c>
      <c r="E5349" t="s">
        <v>22892</v>
      </c>
      <c r="F5349" t="s">
        <v>31574</v>
      </c>
      <c r="G5349" t="s">
        <v>31581</v>
      </c>
      <c r="H5349" t="s">
        <v>31590</v>
      </c>
      <c r="I5349" t="s">
        <v>31607</v>
      </c>
      <c r="J5349" t="s">
        <v>33087</v>
      </c>
      <c r="K5349" t="s">
        <v>41190</v>
      </c>
      <c r="M5349" t="s">
        <v>43351</v>
      </c>
      <c r="N5349" t="s">
        <v>45095</v>
      </c>
      <c r="O5349" t="s">
        <v>45096</v>
      </c>
      <c r="P5349">
        <v>0</v>
      </c>
      <c r="Q5349">
        <v>0</v>
      </c>
      <c r="R5349" t="s">
        <v>45102</v>
      </c>
      <c r="S5349" t="s">
        <v>45242</v>
      </c>
      <c r="T5349" t="s">
        <v>46985</v>
      </c>
      <c r="U5349" t="s">
        <v>51972</v>
      </c>
      <c r="W5349" t="s">
        <v>61715</v>
      </c>
      <c r="X5349" t="s">
        <v>45103</v>
      </c>
    </row>
    <row r="5350" spans="1:24">
      <c r="A5350">
        <f>HYPERLINK("https://www.philgeps.gov.ph/GEPSNONPILOT/Tender/SplashBidNoticeAbstractUI.aspx?menuIndex=3&amp;refID=7038677&amp;Result=3","7038677")</f>
        <v>0</v>
      </c>
      <c r="B5350" t="s">
        <v>510</v>
      </c>
      <c r="C5350" t="s">
        <v>8309</v>
      </c>
      <c r="D5350" t="s">
        <v>18053</v>
      </c>
      <c r="E5350" t="s">
        <v>22893</v>
      </c>
      <c r="F5350" t="s">
        <v>31574</v>
      </c>
      <c r="G5350" t="s">
        <v>31582</v>
      </c>
      <c r="H5350" t="s">
        <v>31590</v>
      </c>
      <c r="I5350" t="s">
        <v>31614</v>
      </c>
      <c r="J5350" t="s">
        <v>32906</v>
      </c>
      <c r="K5350" t="s">
        <v>41191</v>
      </c>
      <c r="M5350" t="s">
        <v>42006</v>
      </c>
      <c r="N5350" t="s">
        <v>45095</v>
      </c>
      <c r="O5350" t="s">
        <v>45096</v>
      </c>
      <c r="P5350">
        <v>0</v>
      </c>
      <c r="Q5350">
        <v>7</v>
      </c>
      <c r="R5350" t="s">
        <v>45102</v>
      </c>
      <c r="S5350" t="s">
        <v>45242</v>
      </c>
      <c r="T5350" t="s">
        <v>46988</v>
      </c>
      <c r="U5350" t="s">
        <v>51901</v>
      </c>
      <c r="W5350" t="s">
        <v>42006</v>
      </c>
      <c r="X5350" t="s">
        <v>45103</v>
      </c>
    </row>
    <row r="5351" spans="1:24">
      <c r="A5351">
        <f>HYPERLINK("https://www.philgeps.gov.ph/GEPSNONPILOT/Tender/SplashBidNoticeAbstractUI.aspx?menuIndex=3&amp;refID=7038704&amp;Result=3","7038704")</f>
        <v>0</v>
      </c>
      <c r="B5351" t="s">
        <v>1116</v>
      </c>
      <c r="C5351" t="s">
        <v>8310</v>
      </c>
      <c r="D5351" t="s">
        <v>18095</v>
      </c>
      <c r="E5351" t="s">
        <v>22894</v>
      </c>
      <c r="F5351" t="s">
        <v>31574</v>
      </c>
      <c r="G5351" t="s">
        <v>31582</v>
      </c>
      <c r="H5351" t="s">
        <v>31591</v>
      </c>
      <c r="I5351" t="s">
        <v>8822</v>
      </c>
      <c r="J5351" t="s">
        <v>35208</v>
      </c>
      <c r="K5351" t="s">
        <v>41200</v>
      </c>
      <c r="M5351" t="s">
        <v>43361</v>
      </c>
      <c r="N5351" t="s">
        <v>45095</v>
      </c>
      <c r="O5351" t="s">
        <v>45096</v>
      </c>
      <c r="P5351">
        <v>0</v>
      </c>
      <c r="Q5351">
        <v>0</v>
      </c>
      <c r="R5351" t="s">
        <v>45102</v>
      </c>
      <c r="S5351" t="s">
        <v>45242</v>
      </c>
      <c r="T5351" t="s">
        <v>47211</v>
      </c>
      <c r="U5351" t="s">
        <v>51973</v>
      </c>
      <c r="W5351" t="s">
        <v>43361</v>
      </c>
      <c r="X5351" t="s">
        <v>45103</v>
      </c>
    </row>
    <row r="5352" spans="1:24">
      <c r="A5352">
        <f>HYPERLINK("https://www.philgeps.gov.ph/GEPSNONPILOT/Tender/SplashBidNoticeAbstractUI.aspx?menuIndex=3&amp;refID=7038718&amp;Result=3","7038718")</f>
        <v>0</v>
      </c>
      <c r="B5352" t="s">
        <v>1692</v>
      </c>
      <c r="C5352" t="s">
        <v>8311</v>
      </c>
      <c r="D5352" t="s">
        <v>18037</v>
      </c>
      <c r="E5352" t="s">
        <v>22895</v>
      </c>
      <c r="F5352" t="s">
        <v>31574</v>
      </c>
      <c r="G5352" t="s">
        <v>31582</v>
      </c>
      <c r="H5352" t="s">
        <v>31590</v>
      </c>
      <c r="I5352" t="s">
        <v>31607</v>
      </c>
      <c r="J5352" t="s">
        <v>35209</v>
      </c>
      <c r="K5352" t="s">
        <v>41185</v>
      </c>
      <c r="M5352" t="s">
        <v>43306</v>
      </c>
      <c r="N5352" t="s">
        <v>45095</v>
      </c>
      <c r="O5352" t="s">
        <v>45096</v>
      </c>
      <c r="P5352">
        <v>0</v>
      </c>
      <c r="Q5352">
        <v>2</v>
      </c>
      <c r="R5352" t="s">
        <v>45102</v>
      </c>
      <c r="S5352" t="s">
        <v>45242</v>
      </c>
      <c r="T5352" t="s">
        <v>47105</v>
      </c>
      <c r="U5352" t="s">
        <v>51974</v>
      </c>
      <c r="W5352" t="s">
        <v>43306</v>
      </c>
      <c r="X5352" t="s">
        <v>45103</v>
      </c>
    </row>
    <row r="5353" spans="1:24">
      <c r="A5353">
        <f>HYPERLINK("https://www.philgeps.gov.ph/GEPSNONPILOT/Tender/SplashBidNoticeAbstractUI.aspx?menuIndex=3&amp;refID=7038708&amp;Result=3","7038708")</f>
        <v>0</v>
      </c>
      <c r="B5353" t="s">
        <v>1762</v>
      </c>
      <c r="C5353" t="s">
        <v>8312</v>
      </c>
      <c r="D5353" t="s">
        <v>18026</v>
      </c>
      <c r="E5353" t="s">
        <v>18377</v>
      </c>
      <c r="F5353" t="s">
        <v>31574</v>
      </c>
      <c r="G5353" t="s">
        <v>31582</v>
      </c>
      <c r="H5353" t="s">
        <v>31590</v>
      </c>
      <c r="I5353" t="s">
        <v>4046</v>
      </c>
      <c r="J5353" t="s">
        <v>35210</v>
      </c>
      <c r="K5353" t="s">
        <v>41193</v>
      </c>
      <c r="M5353" t="s">
        <v>43391</v>
      </c>
      <c r="N5353" t="s">
        <v>45095</v>
      </c>
      <c r="O5353" t="s">
        <v>45096</v>
      </c>
      <c r="P5353">
        <v>0</v>
      </c>
      <c r="Q5353">
        <v>1</v>
      </c>
      <c r="R5353" t="s">
        <v>45102</v>
      </c>
      <c r="S5353" t="s">
        <v>45242</v>
      </c>
      <c r="T5353" t="s">
        <v>46969</v>
      </c>
      <c r="U5353" t="s">
        <v>51975</v>
      </c>
      <c r="W5353" t="s">
        <v>43391</v>
      </c>
      <c r="X5353" t="s">
        <v>45103</v>
      </c>
    </row>
    <row r="5354" spans="1:24">
      <c r="A5354">
        <f>HYPERLINK("https://www.philgeps.gov.ph/GEPSNONPILOT/Tender/SplashBidNoticeAbstractUI.aspx?menuIndex=3&amp;refID=7038701&amp;Result=3","7038701")</f>
        <v>0</v>
      </c>
      <c r="B5354" t="s">
        <v>1763</v>
      </c>
      <c r="C5354" t="s">
        <v>8313</v>
      </c>
      <c r="D5354" t="s">
        <v>18039</v>
      </c>
      <c r="E5354" t="s">
        <v>22896</v>
      </c>
      <c r="F5354" t="s">
        <v>31574</v>
      </c>
      <c r="G5354" t="s">
        <v>31581</v>
      </c>
      <c r="H5354" t="s">
        <v>31592</v>
      </c>
      <c r="I5354" t="s">
        <v>31666</v>
      </c>
      <c r="J5354" t="s">
        <v>32019</v>
      </c>
      <c r="K5354" t="s">
        <v>41192</v>
      </c>
      <c r="M5354" t="s">
        <v>43392</v>
      </c>
      <c r="N5354" t="s">
        <v>45095</v>
      </c>
      <c r="O5354" t="s">
        <v>45096</v>
      </c>
      <c r="P5354">
        <v>0</v>
      </c>
      <c r="Q5354">
        <v>5</v>
      </c>
      <c r="R5354" t="s">
        <v>45102</v>
      </c>
      <c r="S5354" t="s">
        <v>45242</v>
      </c>
      <c r="T5354" t="s">
        <v>46936</v>
      </c>
      <c r="U5354" t="s">
        <v>51976</v>
      </c>
      <c r="W5354" t="s">
        <v>43392</v>
      </c>
      <c r="X5354" t="s">
        <v>45103</v>
      </c>
    </row>
    <row r="5355" spans="1:24">
      <c r="A5355">
        <f>HYPERLINK("https://www.philgeps.gov.ph/GEPSNONPILOT/Tender/SplashBidNoticeAbstractUI.aspx?menuIndex=3&amp;refID=7038703&amp;Result=3","7038703")</f>
        <v>0</v>
      </c>
      <c r="B5355" t="s">
        <v>132</v>
      </c>
      <c r="C5355" t="s">
        <v>8314</v>
      </c>
      <c r="D5355" t="s">
        <v>18059</v>
      </c>
      <c r="E5355" t="s">
        <v>22897</v>
      </c>
      <c r="F5355" t="s">
        <v>31574</v>
      </c>
      <c r="G5355" t="s">
        <v>31582</v>
      </c>
      <c r="H5355" t="s">
        <v>31590</v>
      </c>
      <c r="I5355" t="s">
        <v>4046</v>
      </c>
      <c r="J5355" t="s">
        <v>35211</v>
      </c>
      <c r="K5355" t="s">
        <v>41184</v>
      </c>
      <c r="M5355" t="s">
        <v>43393</v>
      </c>
      <c r="N5355" t="s">
        <v>45095</v>
      </c>
      <c r="O5355" t="s">
        <v>45096</v>
      </c>
      <c r="P5355">
        <v>0</v>
      </c>
      <c r="Q5355">
        <v>0</v>
      </c>
      <c r="R5355" t="s">
        <v>45102</v>
      </c>
      <c r="S5355" t="s">
        <v>45242</v>
      </c>
      <c r="T5355" t="s">
        <v>46988</v>
      </c>
      <c r="U5355" t="s">
        <v>51977</v>
      </c>
      <c r="W5355" t="s">
        <v>43393</v>
      </c>
      <c r="X5355" t="s">
        <v>45103</v>
      </c>
    </row>
    <row r="5356" spans="1:24">
      <c r="A5356">
        <f>HYPERLINK("https://www.philgeps.gov.ph/GEPSNONPILOT/Tender/SplashBidNoticeAbstractUI.aspx?menuIndex=3&amp;refID=7038695&amp;Result=3","7038695")</f>
        <v>0</v>
      </c>
      <c r="B5356" t="s">
        <v>159</v>
      </c>
      <c r="C5356" t="s">
        <v>8315</v>
      </c>
      <c r="D5356" t="s">
        <v>18046</v>
      </c>
      <c r="E5356" t="s">
        <v>22898</v>
      </c>
      <c r="F5356" t="s">
        <v>31574</v>
      </c>
      <c r="G5356" t="s">
        <v>31582</v>
      </c>
      <c r="H5356" t="s">
        <v>31590</v>
      </c>
      <c r="I5356" t="s">
        <v>3539</v>
      </c>
      <c r="J5356" t="s">
        <v>33977</v>
      </c>
      <c r="K5356" t="s">
        <v>41197</v>
      </c>
      <c r="M5356" t="s">
        <v>43387</v>
      </c>
      <c r="N5356" t="s">
        <v>45095</v>
      </c>
      <c r="O5356" t="s">
        <v>45096</v>
      </c>
      <c r="P5356">
        <v>0</v>
      </c>
      <c r="Q5356">
        <v>0</v>
      </c>
      <c r="R5356" t="s">
        <v>45102</v>
      </c>
      <c r="S5356" t="s">
        <v>45242</v>
      </c>
      <c r="T5356" t="s">
        <v>46963</v>
      </c>
      <c r="U5356" t="s">
        <v>51964</v>
      </c>
      <c r="V5356" t="s">
        <v>59890</v>
      </c>
      <c r="W5356" t="s">
        <v>43387</v>
      </c>
      <c r="X5356" t="s">
        <v>45103</v>
      </c>
    </row>
    <row r="5357" spans="1:24">
      <c r="A5357">
        <f>HYPERLINK("https://www.philgeps.gov.ph/GEPSNONPILOT/Tender/SplashBidNoticeAbstractUI.aspx?menuIndex=3&amp;refID=7038726&amp;Result=3","7038726")</f>
        <v>0</v>
      </c>
      <c r="B5357" t="s">
        <v>1764</v>
      </c>
      <c r="C5357" t="s">
        <v>8316</v>
      </c>
      <c r="D5357" t="s">
        <v>18041</v>
      </c>
      <c r="E5357" t="s">
        <v>19404</v>
      </c>
      <c r="F5357" t="s">
        <v>31574</v>
      </c>
      <c r="G5357" t="s">
        <v>31582</v>
      </c>
      <c r="H5357" t="s">
        <v>31590</v>
      </c>
      <c r="I5357" t="s">
        <v>4046</v>
      </c>
      <c r="J5357" t="s">
        <v>35212</v>
      </c>
      <c r="K5357" t="s">
        <v>41213</v>
      </c>
      <c r="M5357" t="s">
        <v>43394</v>
      </c>
      <c r="N5357" t="s">
        <v>45095</v>
      </c>
      <c r="O5357" t="s">
        <v>45096</v>
      </c>
      <c r="P5357">
        <v>0</v>
      </c>
      <c r="Q5357">
        <v>1</v>
      </c>
      <c r="R5357" t="s">
        <v>45102</v>
      </c>
      <c r="S5357" t="s">
        <v>45242</v>
      </c>
      <c r="T5357" t="s">
        <v>46965</v>
      </c>
      <c r="U5357" t="s">
        <v>51978</v>
      </c>
      <c r="W5357" t="s">
        <v>43394</v>
      </c>
      <c r="X5357" t="s">
        <v>45103</v>
      </c>
    </row>
    <row r="5358" spans="1:24">
      <c r="A5358">
        <f>HYPERLINK("https://www.philgeps.gov.ph/GEPSNONPILOT/Tender/SplashBidNoticeAbstractUI.aspx?menuIndex=3&amp;refID=7038699&amp;Result=3","7038699")</f>
        <v>0</v>
      </c>
      <c r="B5358" t="s">
        <v>1746</v>
      </c>
      <c r="C5358" t="s">
        <v>8317</v>
      </c>
      <c r="E5358" t="s">
        <v>22899</v>
      </c>
      <c r="F5358" t="s">
        <v>31574</v>
      </c>
      <c r="G5358" t="s">
        <v>31582</v>
      </c>
      <c r="H5358" t="s">
        <v>31590</v>
      </c>
      <c r="I5358" t="s">
        <v>3873</v>
      </c>
      <c r="J5358" t="s">
        <v>35213</v>
      </c>
      <c r="K5358" t="s">
        <v>41184</v>
      </c>
      <c r="M5358" t="s">
        <v>43369</v>
      </c>
      <c r="N5358" t="s">
        <v>45095</v>
      </c>
      <c r="O5358" t="s">
        <v>45096</v>
      </c>
      <c r="P5358">
        <v>0</v>
      </c>
      <c r="Q5358">
        <v>0</v>
      </c>
      <c r="R5358" t="s">
        <v>45102</v>
      </c>
      <c r="S5358" t="s">
        <v>45242</v>
      </c>
      <c r="T5358" t="s">
        <v>47247</v>
      </c>
      <c r="U5358" t="s">
        <v>51979</v>
      </c>
      <c r="W5358" t="s">
        <v>43369</v>
      </c>
      <c r="X5358" t="s">
        <v>45103</v>
      </c>
    </row>
    <row r="5359" spans="1:24">
      <c r="A5359">
        <f>HYPERLINK("https://www.philgeps.gov.ph/GEPSNONPILOT/Tender/SplashBidNoticeAbstractUI.aspx?menuIndex=3&amp;refID=7038694&amp;Result=3","7038694")</f>
        <v>0</v>
      </c>
      <c r="B5359" t="s">
        <v>1765</v>
      </c>
      <c r="C5359" t="s">
        <v>8318</v>
      </c>
      <c r="D5359" t="s">
        <v>18036</v>
      </c>
      <c r="E5359" t="s">
        <v>22900</v>
      </c>
      <c r="F5359" t="s">
        <v>31574</v>
      </c>
      <c r="G5359" t="s">
        <v>31581</v>
      </c>
      <c r="H5359" t="s">
        <v>31590</v>
      </c>
      <c r="I5359" t="s">
        <v>31629</v>
      </c>
      <c r="J5359" t="s">
        <v>35214</v>
      </c>
      <c r="K5359" t="s">
        <v>41196</v>
      </c>
      <c r="M5359" t="s">
        <v>43395</v>
      </c>
      <c r="N5359" t="s">
        <v>45095</v>
      </c>
      <c r="O5359" t="s">
        <v>45096</v>
      </c>
      <c r="P5359">
        <v>0</v>
      </c>
      <c r="Q5359">
        <v>1</v>
      </c>
      <c r="R5359" t="s">
        <v>45102</v>
      </c>
      <c r="S5359" t="s">
        <v>45242</v>
      </c>
      <c r="T5359" t="s">
        <v>46936</v>
      </c>
      <c r="U5359" t="s">
        <v>51980</v>
      </c>
      <c r="W5359" t="s">
        <v>43395</v>
      </c>
      <c r="X5359" t="s">
        <v>45103</v>
      </c>
    </row>
    <row r="5360" spans="1:24">
      <c r="A5360">
        <f>HYPERLINK("https://www.philgeps.gov.ph/GEPSNONPILOT/Tender/SplashBidNoticeAbstractUI.aspx?menuIndex=3&amp;refID=7038723&amp;Result=3","7038723")</f>
        <v>0</v>
      </c>
      <c r="B5360" t="s">
        <v>1766</v>
      </c>
      <c r="C5360" t="s">
        <v>8319</v>
      </c>
      <c r="D5360" t="s">
        <v>18030</v>
      </c>
      <c r="E5360" t="s">
        <v>19015</v>
      </c>
      <c r="F5360" t="s">
        <v>31574</v>
      </c>
      <c r="G5360" t="s">
        <v>31581</v>
      </c>
      <c r="H5360" t="s">
        <v>31590</v>
      </c>
      <c r="I5360" t="s">
        <v>3487</v>
      </c>
      <c r="J5360" t="s">
        <v>31741</v>
      </c>
      <c r="K5360" t="s">
        <v>41184</v>
      </c>
      <c r="M5360" t="s">
        <v>43396</v>
      </c>
      <c r="N5360" t="s">
        <v>45095</v>
      </c>
      <c r="O5360" t="s">
        <v>45096</v>
      </c>
      <c r="P5360">
        <v>0</v>
      </c>
      <c r="Q5360">
        <v>3</v>
      </c>
      <c r="R5360" t="s">
        <v>45102</v>
      </c>
      <c r="S5360" t="s">
        <v>45242</v>
      </c>
      <c r="T5360" t="s">
        <v>47050</v>
      </c>
      <c r="U5360" t="s">
        <v>51981</v>
      </c>
      <c r="W5360" t="s">
        <v>43396</v>
      </c>
      <c r="X5360" t="s">
        <v>45103</v>
      </c>
    </row>
    <row r="5361" spans="1:24">
      <c r="A5361">
        <f>HYPERLINK("https://www.philgeps.gov.ph/GEPSNONPILOT/Tender/SplashBidNoticeAbstractUI.aspx?menuIndex=3&amp;refID=7038725&amp;Result=3","7038725")</f>
        <v>0</v>
      </c>
      <c r="B5361" t="s">
        <v>1116</v>
      </c>
      <c r="C5361" t="s">
        <v>8320</v>
      </c>
      <c r="D5361" t="s">
        <v>18095</v>
      </c>
      <c r="E5361" t="s">
        <v>22901</v>
      </c>
      <c r="F5361" t="s">
        <v>31574</v>
      </c>
      <c r="G5361" t="s">
        <v>31582</v>
      </c>
      <c r="H5361" t="s">
        <v>31591</v>
      </c>
      <c r="I5361" t="s">
        <v>8822</v>
      </c>
      <c r="J5361" t="s">
        <v>32026</v>
      </c>
      <c r="K5361" t="s">
        <v>41200</v>
      </c>
      <c r="M5361" t="s">
        <v>43361</v>
      </c>
      <c r="N5361" t="s">
        <v>45095</v>
      </c>
      <c r="O5361" t="s">
        <v>45096</v>
      </c>
      <c r="P5361">
        <v>0</v>
      </c>
      <c r="Q5361">
        <v>0</v>
      </c>
      <c r="R5361" t="s">
        <v>45102</v>
      </c>
      <c r="S5361" t="s">
        <v>45242</v>
      </c>
      <c r="T5361" t="s">
        <v>47211</v>
      </c>
      <c r="U5361" t="s">
        <v>51982</v>
      </c>
      <c r="W5361" t="s">
        <v>43361</v>
      </c>
      <c r="X5361" t="s">
        <v>45103</v>
      </c>
    </row>
    <row r="5362" spans="1:24">
      <c r="A5362">
        <f>HYPERLINK("https://www.philgeps.gov.ph/GEPSNONPILOT/Tender/SplashBidNoticeAbstractUI.aspx?menuIndex=3&amp;refID=7038702&amp;Result=3","7038702")</f>
        <v>0</v>
      </c>
      <c r="B5362" t="s">
        <v>264</v>
      </c>
      <c r="C5362" t="s">
        <v>8321</v>
      </c>
      <c r="D5362" t="s">
        <v>18066</v>
      </c>
      <c r="E5362" t="s">
        <v>22902</v>
      </c>
      <c r="F5362" t="s">
        <v>31574</v>
      </c>
      <c r="G5362" t="s">
        <v>31582</v>
      </c>
      <c r="H5362" t="s">
        <v>31590</v>
      </c>
      <c r="I5362" t="s">
        <v>4046</v>
      </c>
      <c r="J5362" t="s">
        <v>35215</v>
      </c>
      <c r="K5362" t="s">
        <v>41184</v>
      </c>
      <c r="M5362" t="s">
        <v>41750</v>
      </c>
      <c r="N5362" t="s">
        <v>45095</v>
      </c>
      <c r="O5362" t="s">
        <v>45096</v>
      </c>
      <c r="P5362">
        <v>0</v>
      </c>
      <c r="Q5362">
        <v>0</v>
      </c>
      <c r="R5362" t="s">
        <v>45102</v>
      </c>
      <c r="S5362" t="s">
        <v>45242</v>
      </c>
      <c r="T5362" t="s">
        <v>46963</v>
      </c>
      <c r="U5362" t="s">
        <v>51983</v>
      </c>
      <c r="W5362" t="s">
        <v>61674</v>
      </c>
      <c r="X5362" t="s">
        <v>45103</v>
      </c>
    </row>
    <row r="5363" spans="1:24">
      <c r="A5363">
        <f>HYPERLINK("https://www.philgeps.gov.ph/GEPSNONPILOT/Tender/SplashBidNoticeAbstractUI.aspx?menuIndex=3&amp;refID=7038734&amp;Result=3","7038734")</f>
        <v>0</v>
      </c>
      <c r="B5363" t="s">
        <v>1409</v>
      </c>
      <c r="C5363" t="s">
        <v>8322</v>
      </c>
      <c r="D5363" t="s">
        <v>18050</v>
      </c>
      <c r="E5363" t="s">
        <v>22903</v>
      </c>
      <c r="F5363" t="s">
        <v>31574</v>
      </c>
      <c r="G5363" t="s">
        <v>31583</v>
      </c>
      <c r="H5363" t="s">
        <v>31590</v>
      </c>
      <c r="I5363" t="s">
        <v>4046</v>
      </c>
      <c r="J5363" t="s">
        <v>35216</v>
      </c>
      <c r="K5363" t="s">
        <v>41196</v>
      </c>
      <c r="M5363" t="s">
        <v>42985</v>
      </c>
      <c r="N5363" t="s">
        <v>45095</v>
      </c>
      <c r="O5363" t="s">
        <v>45096</v>
      </c>
      <c r="P5363">
        <v>0</v>
      </c>
      <c r="Q5363">
        <v>0</v>
      </c>
      <c r="R5363" t="s">
        <v>45102</v>
      </c>
      <c r="S5363" t="s">
        <v>45242</v>
      </c>
      <c r="T5363" t="s">
        <v>46949</v>
      </c>
      <c r="U5363" t="s">
        <v>51073</v>
      </c>
      <c r="W5363" t="s">
        <v>42985</v>
      </c>
      <c r="X5363" t="s">
        <v>45103</v>
      </c>
    </row>
    <row r="5364" spans="1:24">
      <c r="A5364">
        <f>HYPERLINK("https://www.philgeps.gov.ph/GEPSNONPILOT/Tender/SplashBidNoticeAbstractUI.aspx?menuIndex=3&amp;refID=7038733&amp;Result=3","7038733")</f>
        <v>0</v>
      </c>
      <c r="B5364" t="s">
        <v>1376</v>
      </c>
      <c r="C5364" t="s">
        <v>8323</v>
      </c>
      <c r="E5364" t="s">
        <v>22904</v>
      </c>
      <c r="F5364" t="s">
        <v>31574</v>
      </c>
      <c r="G5364" t="s">
        <v>31581</v>
      </c>
      <c r="H5364" t="s">
        <v>31590</v>
      </c>
      <c r="I5364" t="s">
        <v>6800</v>
      </c>
      <c r="J5364" t="s">
        <v>32144</v>
      </c>
      <c r="K5364" t="s">
        <v>41184</v>
      </c>
      <c r="M5364" t="s">
        <v>42950</v>
      </c>
      <c r="N5364" t="s">
        <v>45095</v>
      </c>
      <c r="O5364" t="s">
        <v>45096</v>
      </c>
      <c r="P5364">
        <v>0</v>
      </c>
      <c r="Q5364">
        <v>1</v>
      </c>
      <c r="R5364" t="s">
        <v>45102</v>
      </c>
      <c r="S5364" t="s">
        <v>45242</v>
      </c>
      <c r="T5364" t="s">
        <v>47125</v>
      </c>
      <c r="U5364" t="s">
        <v>51984</v>
      </c>
      <c r="W5364" t="s">
        <v>42950</v>
      </c>
      <c r="X5364" t="s">
        <v>45103</v>
      </c>
    </row>
    <row r="5365" spans="1:24">
      <c r="A5365">
        <f>HYPERLINK("https://www.philgeps.gov.ph/GEPSNONPILOT/Tender/SplashBidNoticeAbstractUI.aspx?menuIndex=3&amp;refID=7038730&amp;Result=3","7038730")</f>
        <v>0</v>
      </c>
      <c r="B5365" t="s">
        <v>62</v>
      </c>
      <c r="C5365" t="s">
        <v>8324</v>
      </c>
      <c r="D5365" t="s">
        <v>18037</v>
      </c>
      <c r="E5365" t="s">
        <v>22905</v>
      </c>
      <c r="F5365" t="s">
        <v>31574</v>
      </c>
      <c r="G5365" t="s">
        <v>31588</v>
      </c>
      <c r="H5365" t="s">
        <v>31591</v>
      </c>
      <c r="I5365" t="s">
        <v>8822</v>
      </c>
      <c r="J5365" t="s">
        <v>35217</v>
      </c>
      <c r="K5365" t="s">
        <v>41184</v>
      </c>
      <c r="L5365" t="s">
        <v>62</v>
      </c>
      <c r="M5365" t="s">
        <v>43390</v>
      </c>
      <c r="N5365" t="s">
        <v>45095</v>
      </c>
      <c r="O5365" t="s">
        <v>45096</v>
      </c>
      <c r="P5365">
        <v>0</v>
      </c>
      <c r="Q5365">
        <v>2</v>
      </c>
      <c r="R5365" t="s">
        <v>45102</v>
      </c>
      <c r="S5365" t="s">
        <v>45242</v>
      </c>
      <c r="T5365" t="s">
        <v>46965</v>
      </c>
      <c r="U5365" t="s">
        <v>51985</v>
      </c>
      <c r="W5365" t="s">
        <v>43390</v>
      </c>
      <c r="X5365" t="s">
        <v>45103</v>
      </c>
    </row>
    <row r="5366" spans="1:24">
      <c r="A5366">
        <f>HYPERLINK("https://www.philgeps.gov.ph/GEPSNONPILOT/Tender/SplashBidNoticeAbstractUI.aspx?menuIndex=3&amp;refID=7038732&amp;Result=3","7038732")</f>
        <v>0</v>
      </c>
      <c r="B5366" t="s">
        <v>264</v>
      </c>
      <c r="C5366" t="s">
        <v>8325</v>
      </c>
      <c r="D5366" t="s">
        <v>18066</v>
      </c>
      <c r="E5366" t="s">
        <v>22906</v>
      </c>
      <c r="F5366" t="s">
        <v>31574</v>
      </c>
      <c r="G5366" t="s">
        <v>31582</v>
      </c>
      <c r="H5366" t="s">
        <v>31590</v>
      </c>
      <c r="I5366" t="s">
        <v>31600</v>
      </c>
      <c r="J5366" t="s">
        <v>35218</v>
      </c>
      <c r="K5366" t="s">
        <v>41184</v>
      </c>
      <c r="M5366" t="s">
        <v>41750</v>
      </c>
      <c r="N5366" t="s">
        <v>45095</v>
      </c>
      <c r="O5366" t="s">
        <v>45096</v>
      </c>
      <c r="P5366">
        <v>0</v>
      </c>
      <c r="Q5366">
        <v>0</v>
      </c>
      <c r="R5366" t="s">
        <v>45102</v>
      </c>
      <c r="S5366" t="s">
        <v>45242</v>
      </c>
      <c r="T5366" t="s">
        <v>46963</v>
      </c>
      <c r="U5366" t="s">
        <v>51986</v>
      </c>
      <c r="W5366" t="s">
        <v>61674</v>
      </c>
      <c r="X5366" t="s">
        <v>45103</v>
      </c>
    </row>
    <row r="5367" spans="1:24">
      <c r="A5367">
        <f>HYPERLINK("https://www.philgeps.gov.ph/GEPSNONPILOT/Tender/SplashBidNoticeAbstractUI.aspx?menuIndex=3&amp;refID=7038737&amp;Result=3","7038737")</f>
        <v>0</v>
      </c>
      <c r="B5367" t="s">
        <v>1746</v>
      </c>
      <c r="C5367" t="s">
        <v>8326</v>
      </c>
      <c r="E5367" t="s">
        <v>22907</v>
      </c>
      <c r="F5367" t="s">
        <v>31574</v>
      </c>
      <c r="G5367" t="s">
        <v>31582</v>
      </c>
      <c r="H5367" t="s">
        <v>31590</v>
      </c>
      <c r="I5367" t="s">
        <v>31625</v>
      </c>
      <c r="J5367" t="s">
        <v>35219</v>
      </c>
      <c r="K5367" t="s">
        <v>41184</v>
      </c>
      <c r="M5367" t="s">
        <v>43369</v>
      </c>
      <c r="N5367" t="s">
        <v>45095</v>
      </c>
      <c r="O5367" t="s">
        <v>45096</v>
      </c>
      <c r="P5367">
        <v>0</v>
      </c>
      <c r="Q5367">
        <v>0</v>
      </c>
      <c r="R5367" t="s">
        <v>45102</v>
      </c>
      <c r="S5367" t="s">
        <v>45242</v>
      </c>
      <c r="T5367" t="s">
        <v>47247</v>
      </c>
      <c r="U5367" t="s">
        <v>51987</v>
      </c>
      <c r="W5367" t="s">
        <v>43369</v>
      </c>
      <c r="X5367" t="s">
        <v>45103</v>
      </c>
    </row>
    <row r="5368" spans="1:24">
      <c r="A5368">
        <f>HYPERLINK("https://www.philgeps.gov.ph/GEPSNONPILOT/Tender/SplashBidNoticeAbstractUI.aspx?menuIndex=3&amp;refID=7038697&amp;Result=3","7038697")</f>
        <v>0</v>
      </c>
      <c r="B5368" t="s">
        <v>132</v>
      </c>
      <c r="C5368" t="s">
        <v>8327</v>
      </c>
      <c r="D5368" t="s">
        <v>18059</v>
      </c>
      <c r="E5368" t="s">
        <v>22908</v>
      </c>
      <c r="F5368" t="s">
        <v>31574</v>
      </c>
      <c r="G5368" t="s">
        <v>31582</v>
      </c>
      <c r="H5368" t="s">
        <v>31590</v>
      </c>
      <c r="I5368" t="s">
        <v>4046</v>
      </c>
      <c r="J5368" t="s">
        <v>35220</v>
      </c>
      <c r="K5368" t="s">
        <v>41190</v>
      </c>
      <c r="M5368" t="s">
        <v>41616</v>
      </c>
      <c r="N5368" t="s">
        <v>45095</v>
      </c>
      <c r="O5368" t="s">
        <v>45096</v>
      </c>
      <c r="P5368">
        <v>0</v>
      </c>
      <c r="Q5368">
        <v>0</v>
      </c>
      <c r="R5368" t="s">
        <v>45102</v>
      </c>
      <c r="S5368" t="s">
        <v>45242</v>
      </c>
      <c r="T5368" t="s">
        <v>46973</v>
      </c>
      <c r="U5368" t="s">
        <v>51988</v>
      </c>
      <c r="W5368" t="s">
        <v>41616</v>
      </c>
      <c r="X5368" t="s">
        <v>45103</v>
      </c>
    </row>
    <row r="5369" spans="1:24">
      <c r="A5369">
        <f>HYPERLINK("https://www.philgeps.gov.ph/GEPSNONPILOT/Tender/SplashBidNoticeAbstractUI.aspx?menuIndex=3&amp;refID=7038731&amp;Result=3","7038731")</f>
        <v>0</v>
      </c>
      <c r="B5369" t="s">
        <v>1648</v>
      </c>
      <c r="C5369" t="s">
        <v>8328</v>
      </c>
      <c r="E5369" t="s">
        <v>22909</v>
      </c>
      <c r="F5369" t="s">
        <v>31574</v>
      </c>
      <c r="G5369" t="s">
        <v>31581</v>
      </c>
      <c r="H5369" t="s">
        <v>31590</v>
      </c>
      <c r="I5369" t="s">
        <v>3487</v>
      </c>
      <c r="J5369" t="s">
        <v>35221</v>
      </c>
      <c r="K5369" t="s">
        <v>41186</v>
      </c>
      <c r="M5369" t="s">
        <v>43259</v>
      </c>
      <c r="N5369" t="s">
        <v>45095</v>
      </c>
      <c r="O5369" t="s">
        <v>45096</v>
      </c>
      <c r="P5369">
        <v>0</v>
      </c>
      <c r="Q5369">
        <v>2</v>
      </c>
      <c r="R5369" t="s">
        <v>45102</v>
      </c>
      <c r="S5369" t="s">
        <v>45242</v>
      </c>
      <c r="T5369" t="s">
        <v>47008</v>
      </c>
      <c r="U5369" t="s">
        <v>51989</v>
      </c>
      <c r="W5369" t="s">
        <v>61714</v>
      </c>
      <c r="X5369" t="s">
        <v>45103</v>
      </c>
    </row>
    <row r="5370" spans="1:24">
      <c r="A5370">
        <f>HYPERLINK("https://www.philgeps.gov.ph/GEPSNONPILOT/Tender/SplashBidNoticeAbstractUI.aspx?menuIndex=3&amp;refID=7038747&amp;Result=3","7038747")</f>
        <v>0</v>
      </c>
      <c r="B5370" t="s">
        <v>1116</v>
      </c>
      <c r="C5370" t="s">
        <v>8329</v>
      </c>
      <c r="D5370" t="s">
        <v>18095</v>
      </c>
      <c r="E5370" t="s">
        <v>22910</v>
      </c>
      <c r="F5370" t="s">
        <v>31574</v>
      </c>
      <c r="G5370" t="s">
        <v>31582</v>
      </c>
      <c r="H5370" t="s">
        <v>31591</v>
      </c>
      <c r="I5370" t="s">
        <v>8822</v>
      </c>
      <c r="J5370" t="s">
        <v>34054</v>
      </c>
      <c r="K5370" t="s">
        <v>41243</v>
      </c>
      <c r="M5370" t="s">
        <v>43361</v>
      </c>
      <c r="N5370" t="s">
        <v>45095</v>
      </c>
      <c r="O5370" t="s">
        <v>45096</v>
      </c>
      <c r="P5370">
        <v>0</v>
      </c>
      <c r="Q5370">
        <v>0</v>
      </c>
      <c r="R5370" t="s">
        <v>45102</v>
      </c>
      <c r="S5370" t="s">
        <v>45242</v>
      </c>
      <c r="T5370" t="s">
        <v>47211</v>
      </c>
      <c r="U5370" t="s">
        <v>51990</v>
      </c>
      <c r="W5370" t="s">
        <v>43361</v>
      </c>
      <c r="X5370" t="s">
        <v>45103</v>
      </c>
    </row>
    <row r="5371" spans="1:24">
      <c r="A5371">
        <f>HYPERLINK("https://www.philgeps.gov.ph/GEPSNONPILOT/Tender/SplashBidNoticeAbstractUI.aspx?menuIndex=3&amp;refID=7038728&amp;Result=3","7038728")</f>
        <v>0</v>
      </c>
      <c r="B5371" t="s">
        <v>1767</v>
      </c>
      <c r="C5371" t="s">
        <v>8330</v>
      </c>
      <c r="D5371" t="s">
        <v>18044</v>
      </c>
      <c r="E5371" t="s">
        <v>22911</v>
      </c>
      <c r="F5371" t="s">
        <v>31574</v>
      </c>
      <c r="G5371" t="s">
        <v>31582</v>
      </c>
      <c r="H5371" t="s">
        <v>31592</v>
      </c>
      <c r="I5371" t="s">
        <v>31623</v>
      </c>
      <c r="J5371" t="s">
        <v>35222</v>
      </c>
      <c r="K5371" t="s">
        <v>41210</v>
      </c>
      <c r="M5371" t="s">
        <v>43397</v>
      </c>
      <c r="N5371" t="s">
        <v>45095</v>
      </c>
      <c r="O5371" t="s">
        <v>45096</v>
      </c>
      <c r="Q5371">
        <v>0</v>
      </c>
      <c r="R5371" t="s">
        <v>45102</v>
      </c>
      <c r="S5371" t="s">
        <v>45252</v>
      </c>
      <c r="T5371" t="s">
        <v>47134</v>
      </c>
      <c r="U5371" t="s">
        <v>51991</v>
      </c>
      <c r="V5371" t="s">
        <v>60420</v>
      </c>
      <c r="W5371" t="s">
        <v>43397</v>
      </c>
      <c r="X5371" t="s">
        <v>45103</v>
      </c>
    </row>
    <row r="5372" spans="1:24">
      <c r="A5372">
        <f>HYPERLINK("https://www.philgeps.gov.ph/GEPSNONPILOT/Tender/SplashBidNoticeAbstractUI.aspx?menuIndex=3&amp;refID=7038696&amp;Result=3","7038696")</f>
        <v>0</v>
      </c>
      <c r="B5372" t="s">
        <v>1753</v>
      </c>
      <c r="C5372" t="s">
        <v>8331</v>
      </c>
      <c r="D5372" t="s">
        <v>18075</v>
      </c>
      <c r="E5372" t="s">
        <v>22912</v>
      </c>
      <c r="F5372" t="s">
        <v>31574</v>
      </c>
      <c r="G5372" t="s">
        <v>31582</v>
      </c>
      <c r="H5372" t="s">
        <v>31590</v>
      </c>
      <c r="I5372" t="s">
        <v>31594</v>
      </c>
      <c r="J5372" t="s">
        <v>35223</v>
      </c>
      <c r="K5372" t="s">
        <v>41189</v>
      </c>
      <c r="M5372" t="s">
        <v>43378</v>
      </c>
      <c r="N5372" t="s">
        <v>45095</v>
      </c>
      <c r="O5372" t="s">
        <v>45096</v>
      </c>
      <c r="P5372">
        <v>0</v>
      </c>
      <c r="Q5372">
        <v>42</v>
      </c>
      <c r="R5372" t="s">
        <v>45102</v>
      </c>
      <c r="S5372" t="s">
        <v>45242</v>
      </c>
      <c r="T5372" t="s">
        <v>47202</v>
      </c>
      <c r="U5372" t="s">
        <v>51992</v>
      </c>
      <c r="W5372" t="s">
        <v>43378</v>
      </c>
      <c r="X5372" t="s">
        <v>45103</v>
      </c>
    </row>
    <row r="5373" spans="1:24">
      <c r="A5373">
        <f>HYPERLINK("https://www.philgeps.gov.ph/GEPSNONPILOT/Tender/SplashBidNoticeAbstractUI.aspx?menuIndex=3&amp;refID=7038719&amp;Result=3","7038719")</f>
        <v>0</v>
      </c>
      <c r="B5373" t="s">
        <v>264</v>
      </c>
      <c r="C5373" t="s">
        <v>8332</v>
      </c>
      <c r="D5373" t="s">
        <v>18066</v>
      </c>
      <c r="E5373" t="s">
        <v>22913</v>
      </c>
      <c r="F5373" t="s">
        <v>31574</v>
      </c>
      <c r="G5373" t="s">
        <v>31582</v>
      </c>
      <c r="H5373" t="s">
        <v>31590</v>
      </c>
      <c r="I5373" t="s">
        <v>4046</v>
      </c>
      <c r="J5373" t="s">
        <v>35224</v>
      </c>
      <c r="K5373" t="s">
        <v>41184</v>
      </c>
      <c r="M5373" t="s">
        <v>41750</v>
      </c>
      <c r="N5373" t="s">
        <v>45095</v>
      </c>
      <c r="O5373" t="s">
        <v>45096</v>
      </c>
      <c r="P5373">
        <v>0</v>
      </c>
      <c r="Q5373">
        <v>0</v>
      </c>
      <c r="R5373" t="s">
        <v>45102</v>
      </c>
      <c r="S5373" t="s">
        <v>45242</v>
      </c>
      <c r="T5373" t="s">
        <v>46963</v>
      </c>
      <c r="U5373" t="s">
        <v>51993</v>
      </c>
      <c r="W5373" t="s">
        <v>61674</v>
      </c>
      <c r="X5373" t="s">
        <v>45103</v>
      </c>
    </row>
    <row r="5374" spans="1:24">
      <c r="A5374">
        <f>HYPERLINK("https://www.philgeps.gov.ph/GEPSNONPILOT/Tender/SplashBidNoticeAbstractUI.aspx?menuIndex=3&amp;refID=7038752&amp;Result=3","7038752")</f>
        <v>0</v>
      </c>
      <c r="B5374" t="s">
        <v>1768</v>
      </c>
      <c r="C5374" t="s">
        <v>8333</v>
      </c>
      <c r="D5374" t="s">
        <v>18028</v>
      </c>
      <c r="E5374" t="s">
        <v>22914</v>
      </c>
      <c r="F5374" t="s">
        <v>31574</v>
      </c>
      <c r="G5374" t="s">
        <v>31581</v>
      </c>
      <c r="H5374" t="s">
        <v>31590</v>
      </c>
      <c r="I5374" t="s">
        <v>31615</v>
      </c>
      <c r="J5374" t="s">
        <v>33514</v>
      </c>
      <c r="K5374" t="s">
        <v>41192</v>
      </c>
      <c r="M5374" t="s">
        <v>43398</v>
      </c>
      <c r="N5374" t="s">
        <v>45095</v>
      </c>
      <c r="O5374" t="s">
        <v>45096</v>
      </c>
      <c r="P5374">
        <v>0</v>
      </c>
      <c r="Q5374">
        <v>0</v>
      </c>
      <c r="R5374" t="s">
        <v>45102</v>
      </c>
      <c r="S5374" t="s">
        <v>45242</v>
      </c>
      <c r="T5374" t="s">
        <v>46961</v>
      </c>
      <c r="U5374" t="s">
        <v>51994</v>
      </c>
      <c r="V5374" t="s">
        <v>60421</v>
      </c>
      <c r="W5374" t="s">
        <v>43398</v>
      </c>
      <c r="X5374" t="s">
        <v>45103</v>
      </c>
    </row>
    <row r="5375" spans="1:24">
      <c r="A5375">
        <f>HYPERLINK("https://www.philgeps.gov.ph/GEPSNONPILOT/Tender/SplashBidNoticeAbstractUI.aspx?menuIndex=3&amp;refID=7038743&amp;Result=3","7038743")</f>
        <v>0</v>
      </c>
      <c r="B5375" t="s">
        <v>1760</v>
      </c>
      <c r="C5375" t="s">
        <v>8334</v>
      </c>
      <c r="D5375" t="s">
        <v>18028</v>
      </c>
      <c r="E5375" t="s">
        <v>22915</v>
      </c>
      <c r="F5375" t="s">
        <v>31574</v>
      </c>
      <c r="G5375" t="s">
        <v>31582</v>
      </c>
      <c r="H5375" t="s">
        <v>31590</v>
      </c>
      <c r="I5375" t="s">
        <v>31615</v>
      </c>
      <c r="J5375" t="s">
        <v>31947</v>
      </c>
      <c r="K5375" t="s">
        <v>41196</v>
      </c>
      <c r="M5375" t="s">
        <v>43388</v>
      </c>
      <c r="N5375" t="s">
        <v>45095</v>
      </c>
      <c r="O5375" t="s">
        <v>45096</v>
      </c>
      <c r="P5375">
        <v>0</v>
      </c>
      <c r="Q5375">
        <v>1</v>
      </c>
      <c r="R5375" t="s">
        <v>45102</v>
      </c>
      <c r="S5375" t="s">
        <v>45242</v>
      </c>
      <c r="T5375" t="s">
        <v>46981</v>
      </c>
      <c r="U5375" t="s">
        <v>51995</v>
      </c>
      <c r="W5375" t="s">
        <v>43388</v>
      </c>
      <c r="X5375" t="s">
        <v>45103</v>
      </c>
    </row>
    <row r="5376" spans="1:24">
      <c r="A5376">
        <f>HYPERLINK("https://www.philgeps.gov.ph/GEPSNONPILOT/Tender/SplashBidNoticeAbstractUI.aspx?menuIndex=3&amp;refID=7038749&amp;Result=3","7038749")</f>
        <v>0</v>
      </c>
      <c r="B5376" t="s">
        <v>46</v>
      </c>
      <c r="C5376" t="s">
        <v>8335</v>
      </c>
      <c r="D5376" t="s">
        <v>18050</v>
      </c>
      <c r="E5376" t="s">
        <v>20486</v>
      </c>
      <c r="F5376" t="s">
        <v>31574</v>
      </c>
      <c r="G5376" t="s">
        <v>31583</v>
      </c>
      <c r="H5376" t="s">
        <v>31590</v>
      </c>
      <c r="I5376" t="s">
        <v>31630</v>
      </c>
      <c r="J5376" t="s">
        <v>35225</v>
      </c>
      <c r="K5376" t="s">
        <v>41186</v>
      </c>
      <c r="M5376" t="s">
        <v>42527</v>
      </c>
      <c r="N5376" t="s">
        <v>45095</v>
      </c>
      <c r="O5376" t="s">
        <v>45096</v>
      </c>
      <c r="P5376">
        <v>0</v>
      </c>
      <c r="Q5376">
        <v>3</v>
      </c>
      <c r="R5376" t="s">
        <v>45102</v>
      </c>
      <c r="S5376" t="s">
        <v>45242</v>
      </c>
      <c r="T5376" t="s">
        <v>47165</v>
      </c>
      <c r="U5376" t="s">
        <v>51996</v>
      </c>
      <c r="W5376" t="s">
        <v>42527</v>
      </c>
      <c r="X5376" t="s">
        <v>45103</v>
      </c>
    </row>
    <row r="5377" spans="1:24">
      <c r="A5377">
        <f>HYPERLINK("https://www.philgeps.gov.ph/GEPSNONPILOT/Tender/SplashBidNoticeAbstractUI.aspx?menuIndex=3&amp;refID=7038740&amp;Result=3","7038740")</f>
        <v>0</v>
      </c>
      <c r="B5377" t="s">
        <v>264</v>
      </c>
      <c r="C5377" t="s">
        <v>8336</v>
      </c>
      <c r="D5377" t="s">
        <v>18066</v>
      </c>
      <c r="E5377" t="s">
        <v>22916</v>
      </c>
      <c r="F5377" t="s">
        <v>31574</v>
      </c>
      <c r="G5377" t="s">
        <v>31582</v>
      </c>
      <c r="H5377" t="s">
        <v>31590</v>
      </c>
      <c r="I5377" t="s">
        <v>31600</v>
      </c>
      <c r="J5377" t="s">
        <v>35226</v>
      </c>
      <c r="K5377" t="s">
        <v>41184</v>
      </c>
      <c r="M5377" t="s">
        <v>41750</v>
      </c>
      <c r="N5377" t="s">
        <v>45095</v>
      </c>
      <c r="O5377" t="s">
        <v>45096</v>
      </c>
      <c r="P5377">
        <v>0</v>
      </c>
      <c r="Q5377">
        <v>0</v>
      </c>
      <c r="R5377" t="s">
        <v>45102</v>
      </c>
      <c r="S5377" t="s">
        <v>45242</v>
      </c>
      <c r="T5377" t="s">
        <v>46963</v>
      </c>
      <c r="U5377" t="s">
        <v>51997</v>
      </c>
      <c r="W5377" t="s">
        <v>61674</v>
      </c>
      <c r="X5377" t="s">
        <v>45103</v>
      </c>
    </row>
    <row r="5378" spans="1:24">
      <c r="A5378">
        <f>HYPERLINK("https://www.philgeps.gov.ph/GEPSNONPILOT/Tender/SplashBidNoticeAbstractUI.aspx?menuIndex=3&amp;refID=7038746&amp;Result=3","7038746")</f>
        <v>0</v>
      </c>
      <c r="B5378" t="s">
        <v>1750</v>
      </c>
      <c r="C5378" t="s">
        <v>8337</v>
      </c>
      <c r="D5378" t="s">
        <v>18065</v>
      </c>
      <c r="E5378" t="s">
        <v>18162</v>
      </c>
      <c r="F5378" t="s">
        <v>31574</v>
      </c>
      <c r="G5378" t="s">
        <v>31582</v>
      </c>
      <c r="H5378" t="s">
        <v>31590</v>
      </c>
      <c r="I5378" t="s">
        <v>4046</v>
      </c>
      <c r="J5378" t="s">
        <v>35227</v>
      </c>
      <c r="K5378" t="s">
        <v>41189</v>
      </c>
      <c r="M5378" t="s">
        <v>43374</v>
      </c>
      <c r="N5378" t="s">
        <v>45095</v>
      </c>
      <c r="O5378" t="s">
        <v>45096</v>
      </c>
      <c r="P5378">
        <v>0</v>
      </c>
      <c r="Q5378">
        <v>1</v>
      </c>
      <c r="R5378" t="s">
        <v>45102</v>
      </c>
      <c r="S5378" t="s">
        <v>45242</v>
      </c>
      <c r="T5378" t="s">
        <v>46936</v>
      </c>
      <c r="U5378" t="s">
        <v>51921</v>
      </c>
      <c r="W5378" t="s">
        <v>43374</v>
      </c>
      <c r="X5378" t="s">
        <v>45103</v>
      </c>
    </row>
    <row r="5379" spans="1:24">
      <c r="A5379">
        <f>HYPERLINK("https://www.philgeps.gov.ph/GEPSNONPILOT/Tender/SplashBidNoticeAbstractUI.aspx?menuIndex=3&amp;refID=7038750&amp;Result=3","7038750")</f>
        <v>0</v>
      </c>
      <c r="B5379" t="s">
        <v>264</v>
      </c>
      <c r="C5379" t="s">
        <v>8338</v>
      </c>
      <c r="D5379" t="s">
        <v>18066</v>
      </c>
      <c r="E5379" t="s">
        <v>22917</v>
      </c>
      <c r="F5379" t="s">
        <v>31574</v>
      </c>
      <c r="G5379" t="s">
        <v>31582</v>
      </c>
      <c r="H5379" t="s">
        <v>31590</v>
      </c>
      <c r="I5379" t="s">
        <v>31608</v>
      </c>
      <c r="J5379" t="s">
        <v>35228</v>
      </c>
      <c r="K5379" t="s">
        <v>41184</v>
      </c>
      <c r="M5379" t="s">
        <v>41750</v>
      </c>
      <c r="N5379" t="s">
        <v>45095</v>
      </c>
      <c r="O5379" t="s">
        <v>45096</v>
      </c>
      <c r="P5379">
        <v>0</v>
      </c>
      <c r="Q5379">
        <v>3</v>
      </c>
      <c r="R5379" t="s">
        <v>45102</v>
      </c>
      <c r="S5379" t="s">
        <v>45242</v>
      </c>
      <c r="T5379" t="s">
        <v>46963</v>
      </c>
      <c r="U5379" t="s">
        <v>51998</v>
      </c>
      <c r="W5379" t="s">
        <v>61674</v>
      </c>
      <c r="X5379" t="s">
        <v>45103</v>
      </c>
    </row>
    <row r="5380" spans="1:24">
      <c r="A5380">
        <f>HYPERLINK("https://www.philgeps.gov.ph/GEPSNONPILOT/Tender/SplashBidNoticeAbstractUI.aspx?menuIndex=3&amp;refID=7038741&amp;Result=3","7038741")</f>
        <v>0</v>
      </c>
      <c r="B5380" t="s">
        <v>334</v>
      </c>
      <c r="C5380" t="s">
        <v>8339</v>
      </c>
      <c r="D5380" t="s">
        <v>18050</v>
      </c>
      <c r="E5380" t="s">
        <v>22918</v>
      </c>
      <c r="F5380" t="s">
        <v>31574</v>
      </c>
      <c r="G5380" t="s">
        <v>31581</v>
      </c>
      <c r="H5380" t="s">
        <v>31590</v>
      </c>
      <c r="I5380" t="s">
        <v>14034</v>
      </c>
      <c r="J5380" t="s">
        <v>35229</v>
      </c>
      <c r="K5380" t="s">
        <v>41192</v>
      </c>
      <c r="M5380" t="s">
        <v>41822</v>
      </c>
      <c r="N5380" t="s">
        <v>45095</v>
      </c>
      <c r="O5380" t="s">
        <v>45096</v>
      </c>
      <c r="P5380">
        <v>0</v>
      </c>
      <c r="Q5380">
        <v>1</v>
      </c>
      <c r="R5380" t="s">
        <v>45102</v>
      </c>
      <c r="S5380" t="s">
        <v>45242</v>
      </c>
      <c r="T5380" t="s">
        <v>46936</v>
      </c>
      <c r="U5380" t="s">
        <v>51999</v>
      </c>
      <c r="W5380" t="s">
        <v>61663</v>
      </c>
      <c r="X5380" t="s">
        <v>45103</v>
      </c>
    </row>
    <row r="5381" spans="1:24">
      <c r="A5381">
        <f>HYPERLINK("https://www.philgeps.gov.ph/GEPSNONPILOT/Tender/SplashBidNoticeAbstractUI.aspx?menuIndex=3&amp;refID=7038753&amp;Result=3","7038753")</f>
        <v>0</v>
      </c>
      <c r="B5381" t="s">
        <v>1650</v>
      </c>
      <c r="C5381" t="s">
        <v>8340</v>
      </c>
      <c r="D5381" t="s">
        <v>18046</v>
      </c>
      <c r="E5381" t="s">
        <v>22919</v>
      </c>
      <c r="F5381" t="s">
        <v>31574</v>
      </c>
      <c r="G5381" t="s">
        <v>31582</v>
      </c>
      <c r="H5381" t="s">
        <v>31590</v>
      </c>
      <c r="I5381" t="s">
        <v>4354</v>
      </c>
      <c r="J5381" t="s">
        <v>35230</v>
      </c>
      <c r="K5381" t="s">
        <v>41186</v>
      </c>
      <c r="M5381" t="s">
        <v>43261</v>
      </c>
      <c r="N5381" t="s">
        <v>45095</v>
      </c>
      <c r="O5381" t="s">
        <v>45096</v>
      </c>
      <c r="P5381">
        <v>0</v>
      </c>
      <c r="Q5381">
        <v>4</v>
      </c>
      <c r="R5381" t="s">
        <v>45102</v>
      </c>
      <c r="S5381" t="s">
        <v>45242</v>
      </c>
      <c r="T5381" t="s">
        <v>47064</v>
      </c>
      <c r="U5381" t="s">
        <v>52000</v>
      </c>
      <c r="W5381" t="s">
        <v>43261</v>
      </c>
      <c r="X5381" t="s">
        <v>45103</v>
      </c>
    </row>
    <row r="5382" spans="1:24">
      <c r="A5382">
        <f>HYPERLINK("https://www.philgeps.gov.ph/GEPSNONPILOT/Tender/SplashBidNoticeAbstractUI.aspx?menuIndex=3&amp;refID=7038748&amp;Result=3","7038748")</f>
        <v>0</v>
      </c>
      <c r="B5382" t="s">
        <v>359</v>
      </c>
      <c r="C5382" t="s">
        <v>8341</v>
      </c>
      <c r="E5382" t="s">
        <v>22920</v>
      </c>
      <c r="F5382" t="s">
        <v>31574</v>
      </c>
      <c r="G5382" t="s">
        <v>31582</v>
      </c>
      <c r="H5382" t="s">
        <v>31590</v>
      </c>
      <c r="I5382" t="s">
        <v>3487</v>
      </c>
      <c r="J5382" t="s">
        <v>31741</v>
      </c>
      <c r="K5382" t="s">
        <v>41190</v>
      </c>
      <c r="M5382" t="s">
        <v>41849</v>
      </c>
      <c r="N5382" t="s">
        <v>45095</v>
      </c>
      <c r="O5382" t="s">
        <v>45096</v>
      </c>
      <c r="P5382">
        <v>0</v>
      </c>
      <c r="Q5382">
        <v>0</v>
      </c>
      <c r="R5382" t="s">
        <v>45102</v>
      </c>
      <c r="S5382" t="s">
        <v>45242</v>
      </c>
      <c r="T5382" t="s">
        <v>47011</v>
      </c>
      <c r="U5382" t="s">
        <v>52001</v>
      </c>
      <c r="W5382" t="s">
        <v>41849</v>
      </c>
      <c r="X5382" t="s">
        <v>45103</v>
      </c>
    </row>
    <row r="5383" spans="1:24">
      <c r="A5383">
        <f>HYPERLINK("https://www.philgeps.gov.ph/GEPSNONPILOT/Tender/SplashBidNoticeAbstractUI.aspx?menuIndex=3&amp;refID=7038776&amp;Result=3","7038776")</f>
        <v>0</v>
      </c>
      <c r="B5383" t="s">
        <v>1769</v>
      </c>
      <c r="C5383" t="s">
        <v>8342</v>
      </c>
      <c r="D5383" t="s">
        <v>18031</v>
      </c>
      <c r="E5383" t="s">
        <v>22921</v>
      </c>
      <c r="F5383" t="s">
        <v>31574</v>
      </c>
      <c r="G5383" t="s">
        <v>31582</v>
      </c>
      <c r="H5383" t="s">
        <v>31590</v>
      </c>
      <c r="I5383" t="s">
        <v>31640</v>
      </c>
      <c r="J5383" t="s">
        <v>35231</v>
      </c>
      <c r="K5383" t="s">
        <v>41190</v>
      </c>
      <c r="M5383" t="s">
        <v>43399</v>
      </c>
      <c r="N5383" t="s">
        <v>45095</v>
      </c>
      <c r="O5383" t="s">
        <v>45096</v>
      </c>
      <c r="P5383">
        <v>0</v>
      </c>
      <c r="Q5383">
        <v>2</v>
      </c>
      <c r="R5383" t="s">
        <v>45102</v>
      </c>
      <c r="S5383" t="s">
        <v>45242</v>
      </c>
      <c r="T5383" t="s">
        <v>46963</v>
      </c>
      <c r="U5383" t="s">
        <v>52002</v>
      </c>
      <c r="W5383" t="s">
        <v>43399</v>
      </c>
      <c r="X5383" t="s">
        <v>45103</v>
      </c>
    </row>
    <row r="5384" spans="1:24">
      <c r="A5384">
        <f>HYPERLINK("https://www.philgeps.gov.ph/GEPSNONPILOT/Tender/SplashBidNoticeAbstractUI.aspx?menuIndex=3&amp;refID=7038766&amp;Result=3","7038766")</f>
        <v>0</v>
      </c>
      <c r="B5384" t="s">
        <v>1760</v>
      </c>
      <c r="C5384" t="s">
        <v>8343</v>
      </c>
      <c r="D5384" t="s">
        <v>18028</v>
      </c>
      <c r="E5384" t="s">
        <v>22922</v>
      </c>
      <c r="F5384" t="s">
        <v>31574</v>
      </c>
      <c r="G5384" t="s">
        <v>31582</v>
      </c>
      <c r="H5384" t="s">
        <v>31590</v>
      </c>
      <c r="I5384" t="s">
        <v>31615</v>
      </c>
      <c r="J5384" t="s">
        <v>31935</v>
      </c>
      <c r="K5384" t="s">
        <v>41196</v>
      </c>
      <c r="M5384" t="s">
        <v>43388</v>
      </c>
      <c r="N5384" t="s">
        <v>45095</v>
      </c>
      <c r="O5384" t="s">
        <v>45096</v>
      </c>
      <c r="P5384">
        <v>0</v>
      </c>
      <c r="Q5384">
        <v>3</v>
      </c>
      <c r="R5384" t="s">
        <v>45102</v>
      </c>
      <c r="S5384" t="s">
        <v>45242</v>
      </c>
      <c r="T5384" t="s">
        <v>47216</v>
      </c>
      <c r="U5384" t="s">
        <v>52003</v>
      </c>
      <c r="W5384" t="s">
        <v>43388</v>
      </c>
      <c r="X5384" t="s">
        <v>45103</v>
      </c>
    </row>
    <row r="5385" spans="1:24">
      <c r="A5385">
        <f>HYPERLINK("https://www.philgeps.gov.ph/GEPSNONPILOT/Tender/SplashBidNoticeAbstractUI.aspx?menuIndex=3&amp;refID=7038761&amp;Result=3","7038761")</f>
        <v>0</v>
      </c>
      <c r="B5385" t="s">
        <v>1765</v>
      </c>
      <c r="C5385" t="s">
        <v>8344</v>
      </c>
      <c r="D5385" t="s">
        <v>18036</v>
      </c>
      <c r="E5385" t="s">
        <v>22923</v>
      </c>
      <c r="F5385" t="s">
        <v>31574</v>
      </c>
      <c r="G5385" t="s">
        <v>31581</v>
      </c>
      <c r="H5385" t="s">
        <v>31590</v>
      </c>
      <c r="I5385" t="s">
        <v>6800</v>
      </c>
      <c r="J5385" t="s">
        <v>35232</v>
      </c>
      <c r="K5385" t="s">
        <v>41196</v>
      </c>
      <c r="M5385" t="s">
        <v>43395</v>
      </c>
      <c r="N5385" t="s">
        <v>45095</v>
      </c>
      <c r="O5385" t="s">
        <v>45096</v>
      </c>
      <c r="P5385">
        <v>0</v>
      </c>
      <c r="Q5385">
        <v>4</v>
      </c>
      <c r="R5385" t="s">
        <v>45102</v>
      </c>
      <c r="S5385" t="s">
        <v>45242</v>
      </c>
      <c r="T5385" t="s">
        <v>46936</v>
      </c>
      <c r="U5385" t="s">
        <v>51980</v>
      </c>
      <c r="W5385" t="s">
        <v>43395</v>
      </c>
      <c r="X5385" t="s">
        <v>45103</v>
      </c>
    </row>
    <row r="5386" spans="1:24">
      <c r="A5386">
        <f>HYPERLINK("https://www.philgeps.gov.ph/GEPSNONPILOT/Tender/SplashBidNoticeAbstractUI.aspx?menuIndex=3&amp;refID=7038771&amp;Result=3","7038771")</f>
        <v>0</v>
      </c>
      <c r="B5386" t="s">
        <v>1732</v>
      </c>
      <c r="C5386" t="s">
        <v>8345</v>
      </c>
      <c r="D5386" t="s">
        <v>18041</v>
      </c>
      <c r="E5386" t="s">
        <v>22924</v>
      </c>
      <c r="F5386" t="s">
        <v>31574</v>
      </c>
      <c r="G5386" t="s">
        <v>31581</v>
      </c>
      <c r="H5386" t="s">
        <v>31590</v>
      </c>
      <c r="I5386" t="s">
        <v>31612</v>
      </c>
      <c r="J5386" t="s">
        <v>35233</v>
      </c>
      <c r="K5386" t="s">
        <v>41196</v>
      </c>
      <c r="M5386" t="s">
        <v>43351</v>
      </c>
      <c r="N5386" t="s">
        <v>45095</v>
      </c>
      <c r="O5386" t="s">
        <v>45096</v>
      </c>
      <c r="P5386">
        <v>0</v>
      </c>
      <c r="Q5386">
        <v>0</v>
      </c>
      <c r="R5386" t="s">
        <v>45102</v>
      </c>
      <c r="S5386" t="s">
        <v>45242</v>
      </c>
      <c r="T5386" t="s">
        <v>46985</v>
      </c>
      <c r="U5386" t="s">
        <v>52004</v>
      </c>
      <c r="W5386" t="s">
        <v>61715</v>
      </c>
      <c r="X5386" t="s">
        <v>45103</v>
      </c>
    </row>
    <row r="5387" spans="1:24">
      <c r="A5387">
        <f>HYPERLINK("https://www.philgeps.gov.ph/GEPSNONPILOT/Tender/SplashBidNoticeAbstractUI.aspx?menuIndex=3&amp;refID=7038764&amp;Result=3","7038764")</f>
        <v>0</v>
      </c>
      <c r="B5387" t="s">
        <v>1764</v>
      </c>
      <c r="C5387" t="s">
        <v>8346</v>
      </c>
      <c r="D5387" t="s">
        <v>18041</v>
      </c>
      <c r="E5387" t="s">
        <v>20206</v>
      </c>
      <c r="F5387" t="s">
        <v>31574</v>
      </c>
      <c r="G5387" t="s">
        <v>31582</v>
      </c>
      <c r="H5387" t="s">
        <v>31590</v>
      </c>
      <c r="I5387" t="s">
        <v>31615</v>
      </c>
      <c r="J5387" t="s">
        <v>35234</v>
      </c>
      <c r="K5387" t="s">
        <v>41195</v>
      </c>
      <c r="M5387" t="s">
        <v>43394</v>
      </c>
      <c r="N5387" t="s">
        <v>45095</v>
      </c>
      <c r="O5387" t="s">
        <v>45096</v>
      </c>
      <c r="P5387">
        <v>0</v>
      </c>
      <c r="Q5387">
        <v>2</v>
      </c>
      <c r="R5387" t="s">
        <v>45102</v>
      </c>
      <c r="S5387" t="s">
        <v>45242</v>
      </c>
      <c r="T5387" t="s">
        <v>46965</v>
      </c>
      <c r="U5387" t="s">
        <v>52005</v>
      </c>
      <c r="W5387" t="s">
        <v>43394</v>
      </c>
      <c r="X5387" t="s">
        <v>45103</v>
      </c>
    </row>
    <row r="5388" spans="1:24">
      <c r="A5388">
        <f>HYPERLINK("https://www.philgeps.gov.ph/GEPSNONPILOT/Tender/SplashBidNoticeAbstractUI.aspx?menuIndex=3&amp;refID=7038756&amp;Result=3","7038756")</f>
        <v>0</v>
      </c>
      <c r="B5388" t="s">
        <v>62</v>
      </c>
      <c r="C5388" t="s">
        <v>8347</v>
      </c>
      <c r="D5388" t="s">
        <v>18037</v>
      </c>
      <c r="E5388" t="s">
        <v>22925</v>
      </c>
      <c r="F5388" t="s">
        <v>31574</v>
      </c>
      <c r="G5388" t="s">
        <v>31588</v>
      </c>
      <c r="H5388" t="s">
        <v>31591</v>
      </c>
      <c r="I5388" t="s">
        <v>8822</v>
      </c>
      <c r="J5388" t="s">
        <v>35235</v>
      </c>
      <c r="K5388" t="s">
        <v>41184</v>
      </c>
      <c r="L5388" t="s">
        <v>62</v>
      </c>
      <c r="M5388" t="s">
        <v>43390</v>
      </c>
      <c r="N5388" t="s">
        <v>45095</v>
      </c>
      <c r="O5388" t="s">
        <v>45096</v>
      </c>
      <c r="P5388">
        <v>0</v>
      </c>
      <c r="Q5388">
        <v>2</v>
      </c>
      <c r="R5388" t="s">
        <v>45102</v>
      </c>
      <c r="S5388" t="s">
        <v>45242</v>
      </c>
      <c r="T5388" t="s">
        <v>46965</v>
      </c>
      <c r="U5388" t="s">
        <v>52006</v>
      </c>
      <c r="W5388" t="s">
        <v>43390</v>
      </c>
      <c r="X5388" t="s">
        <v>45103</v>
      </c>
    </row>
    <row r="5389" spans="1:24">
      <c r="A5389">
        <f>HYPERLINK("https://www.philgeps.gov.ph/GEPSNONPILOT/Tender/SplashBidNoticeAbstractUI.aspx?menuIndex=3&amp;refID=7038759&amp;Result=3","7038759")</f>
        <v>0</v>
      </c>
      <c r="B5389" t="s">
        <v>1770</v>
      </c>
      <c r="C5389" t="s">
        <v>8348</v>
      </c>
      <c r="D5389" t="s">
        <v>18065</v>
      </c>
      <c r="E5389" t="s">
        <v>22926</v>
      </c>
      <c r="F5389" t="s">
        <v>31574</v>
      </c>
      <c r="G5389" t="s">
        <v>31582</v>
      </c>
      <c r="H5389" t="s">
        <v>31590</v>
      </c>
      <c r="I5389" t="s">
        <v>31707</v>
      </c>
      <c r="J5389" t="s">
        <v>31741</v>
      </c>
      <c r="K5389" t="s">
        <v>41192</v>
      </c>
      <c r="L5389" t="s">
        <v>1770</v>
      </c>
      <c r="M5389" t="s">
        <v>43400</v>
      </c>
      <c r="N5389" t="s">
        <v>45095</v>
      </c>
      <c r="O5389" t="s">
        <v>45096</v>
      </c>
      <c r="P5389">
        <v>0</v>
      </c>
      <c r="Q5389">
        <v>1</v>
      </c>
      <c r="R5389" t="s">
        <v>45102</v>
      </c>
      <c r="S5389" t="s">
        <v>45242</v>
      </c>
      <c r="T5389" t="s">
        <v>47252</v>
      </c>
      <c r="U5389" t="s">
        <v>52007</v>
      </c>
      <c r="W5389" t="s">
        <v>43400</v>
      </c>
      <c r="X5389" t="s">
        <v>45103</v>
      </c>
    </row>
    <row r="5390" spans="1:24">
      <c r="A5390">
        <f>HYPERLINK("https://www.philgeps.gov.ph/GEPSNONPILOT/Tender/SplashBidNoticeAbstractUI.aspx?menuIndex=3&amp;refID=7038786&amp;Result=3","7038786")</f>
        <v>0</v>
      </c>
      <c r="B5390" t="s">
        <v>1771</v>
      </c>
      <c r="C5390" t="s">
        <v>8349</v>
      </c>
      <c r="D5390" t="s">
        <v>18079</v>
      </c>
      <c r="E5390" t="s">
        <v>8349</v>
      </c>
      <c r="F5390" t="s">
        <v>31574</v>
      </c>
      <c r="G5390" t="s">
        <v>31583</v>
      </c>
      <c r="H5390" t="s">
        <v>31590</v>
      </c>
      <c r="I5390" t="s">
        <v>14544</v>
      </c>
      <c r="J5390" t="s">
        <v>35236</v>
      </c>
      <c r="K5390" t="s">
        <v>41193</v>
      </c>
      <c r="M5390" t="s">
        <v>43401</v>
      </c>
      <c r="N5390" t="s">
        <v>45095</v>
      </c>
      <c r="O5390" t="s">
        <v>45096</v>
      </c>
      <c r="P5390">
        <v>0</v>
      </c>
      <c r="Q5390">
        <v>0</v>
      </c>
      <c r="R5390" t="s">
        <v>45102</v>
      </c>
      <c r="S5390" t="s">
        <v>45242</v>
      </c>
      <c r="T5390" t="s">
        <v>46963</v>
      </c>
      <c r="U5390" t="s">
        <v>52008</v>
      </c>
      <c r="V5390" t="s">
        <v>60422</v>
      </c>
      <c r="W5390" t="s">
        <v>43401</v>
      </c>
      <c r="X5390" t="s">
        <v>45103</v>
      </c>
    </row>
    <row r="5391" spans="1:24">
      <c r="A5391">
        <f>HYPERLINK("https://www.philgeps.gov.ph/GEPSNONPILOT/Tender/SplashBidNoticeAbstractUI.aspx?menuIndex=3&amp;refID=7038767&amp;Result=3","7038767")</f>
        <v>0</v>
      </c>
      <c r="B5391" t="s">
        <v>1746</v>
      </c>
      <c r="C5391" t="s">
        <v>8350</v>
      </c>
      <c r="E5391" t="s">
        <v>22927</v>
      </c>
      <c r="F5391" t="s">
        <v>31574</v>
      </c>
      <c r="G5391" t="s">
        <v>31582</v>
      </c>
      <c r="H5391" t="s">
        <v>31590</v>
      </c>
      <c r="I5391" t="s">
        <v>31631</v>
      </c>
      <c r="J5391" t="s">
        <v>31805</v>
      </c>
      <c r="K5391" t="s">
        <v>41184</v>
      </c>
      <c r="M5391" t="s">
        <v>43369</v>
      </c>
      <c r="N5391" t="s">
        <v>45095</v>
      </c>
      <c r="O5391" t="s">
        <v>45096</v>
      </c>
      <c r="P5391">
        <v>0</v>
      </c>
      <c r="Q5391">
        <v>0</v>
      </c>
      <c r="R5391" t="s">
        <v>45102</v>
      </c>
      <c r="S5391" t="s">
        <v>45242</v>
      </c>
      <c r="T5391" t="s">
        <v>47247</v>
      </c>
      <c r="U5391" t="s">
        <v>52009</v>
      </c>
      <c r="W5391" t="s">
        <v>43369</v>
      </c>
      <c r="X5391" t="s">
        <v>45103</v>
      </c>
    </row>
    <row r="5392" spans="1:24">
      <c r="A5392">
        <f>HYPERLINK("https://www.philgeps.gov.ph/GEPSNONPILOT/Tender/SplashBidNoticeAbstractUI.aspx?menuIndex=3&amp;refID=7038783&amp;Result=3","7038783")</f>
        <v>0</v>
      </c>
      <c r="B5392" t="s">
        <v>1747</v>
      </c>
      <c r="C5392" t="s">
        <v>8351</v>
      </c>
      <c r="D5392" t="s">
        <v>18090</v>
      </c>
      <c r="E5392" t="s">
        <v>22928</v>
      </c>
      <c r="F5392" t="s">
        <v>31574</v>
      </c>
      <c r="G5392" t="s">
        <v>31582</v>
      </c>
      <c r="H5392" t="s">
        <v>31590</v>
      </c>
      <c r="I5392" t="s">
        <v>31662</v>
      </c>
      <c r="J5392" t="s">
        <v>35237</v>
      </c>
      <c r="K5392" t="s">
        <v>41196</v>
      </c>
      <c r="M5392" t="s">
        <v>43370</v>
      </c>
      <c r="N5392" t="s">
        <v>45095</v>
      </c>
      <c r="O5392" t="s">
        <v>45096</v>
      </c>
      <c r="P5392">
        <v>0</v>
      </c>
      <c r="Q5392">
        <v>3</v>
      </c>
      <c r="R5392" t="s">
        <v>45102</v>
      </c>
      <c r="S5392" t="s">
        <v>45242</v>
      </c>
      <c r="T5392" t="s">
        <v>47004</v>
      </c>
      <c r="U5392" t="s">
        <v>52010</v>
      </c>
      <c r="W5392" t="s">
        <v>43370</v>
      </c>
      <c r="X5392" t="s">
        <v>45103</v>
      </c>
    </row>
    <row r="5393" spans="1:24">
      <c r="A5393">
        <f>HYPERLINK("https://www.philgeps.gov.ph/GEPSNONPILOT/Tender/SplashBidNoticeAbstractUI.aspx?menuIndex=3&amp;refID=7038763&amp;Result=3","7038763")</f>
        <v>0</v>
      </c>
      <c r="B5393" t="s">
        <v>1116</v>
      </c>
      <c r="C5393" t="s">
        <v>8352</v>
      </c>
      <c r="D5393" t="s">
        <v>18095</v>
      </c>
      <c r="E5393" t="s">
        <v>22929</v>
      </c>
      <c r="F5393" t="s">
        <v>31574</v>
      </c>
      <c r="G5393" t="s">
        <v>31582</v>
      </c>
      <c r="H5393" t="s">
        <v>31591</v>
      </c>
      <c r="I5393" t="s">
        <v>8822</v>
      </c>
      <c r="J5393" t="s">
        <v>34054</v>
      </c>
      <c r="K5393" t="s">
        <v>41243</v>
      </c>
      <c r="M5393" t="s">
        <v>43361</v>
      </c>
      <c r="N5393" t="s">
        <v>45095</v>
      </c>
      <c r="O5393" t="s">
        <v>45096</v>
      </c>
      <c r="P5393">
        <v>0</v>
      </c>
      <c r="Q5393">
        <v>0</v>
      </c>
      <c r="R5393" t="s">
        <v>45102</v>
      </c>
      <c r="S5393" t="s">
        <v>45242</v>
      </c>
      <c r="T5393" t="s">
        <v>47211</v>
      </c>
      <c r="U5393" t="s">
        <v>52011</v>
      </c>
      <c r="W5393" t="s">
        <v>43361</v>
      </c>
      <c r="X5393" t="s">
        <v>45103</v>
      </c>
    </row>
    <row r="5394" spans="1:24">
      <c r="A5394">
        <f>HYPERLINK("https://www.philgeps.gov.ph/GEPSNONPILOT/Tender/SplashBidNoticeAbstractUI.aspx?menuIndex=3&amp;refID=7038785&amp;Result=3","7038785")</f>
        <v>0</v>
      </c>
      <c r="B5394" t="s">
        <v>63</v>
      </c>
      <c r="C5394" t="s">
        <v>8353</v>
      </c>
      <c r="D5394" t="s">
        <v>18049</v>
      </c>
      <c r="E5394" t="s">
        <v>22930</v>
      </c>
      <c r="F5394" t="s">
        <v>31574</v>
      </c>
      <c r="G5394" t="s">
        <v>31582</v>
      </c>
      <c r="H5394" t="s">
        <v>31590</v>
      </c>
      <c r="I5394" t="s">
        <v>31594</v>
      </c>
      <c r="J5394" t="s">
        <v>31728</v>
      </c>
      <c r="K5394" t="s">
        <v>41193</v>
      </c>
      <c r="M5394" t="s">
        <v>42536</v>
      </c>
      <c r="N5394" t="s">
        <v>45095</v>
      </c>
      <c r="O5394" t="s">
        <v>45096</v>
      </c>
      <c r="P5394">
        <v>0</v>
      </c>
      <c r="Q5394">
        <v>8</v>
      </c>
      <c r="R5394" t="s">
        <v>45102</v>
      </c>
      <c r="S5394" t="s">
        <v>45242</v>
      </c>
      <c r="T5394" t="s">
        <v>46982</v>
      </c>
      <c r="U5394" t="s">
        <v>52012</v>
      </c>
      <c r="W5394" t="s">
        <v>42536</v>
      </c>
      <c r="X5394" t="s">
        <v>45103</v>
      </c>
    </row>
    <row r="5395" spans="1:24">
      <c r="A5395">
        <f>HYPERLINK("https://www.philgeps.gov.ph/GEPSNONPILOT/Tender/SplashBidNoticeAbstractUI.aspx?menuIndex=3&amp;refID=7038780&amp;Result=3","7038780")</f>
        <v>0</v>
      </c>
      <c r="B5395" t="s">
        <v>1772</v>
      </c>
      <c r="C5395" t="s">
        <v>4523</v>
      </c>
      <c r="D5395" t="s">
        <v>18041</v>
      </c>
      <c r="E5395" t="s">
        <v>21451</v>
      </c>
      <c r="F5395" t="s">
        <v>31574</v>
      </c>
      <c r="G5395" t="s">
        <v>31581</v>
      </c>
      <c r="H5395" t="s">
        <v>31590</v>
      </c>
      <c r="I5395" t="s">
        <v>4046</v>
      </c>
      <c r="J5395" t="s">
        <v>35238</v>
      </c>
      <c r="K5395" t="s">
        <v>41196</v>
      </c>
      <c r="M5395" t="s">
        <v>43402</v>
      </c>
      <c r="N5395" t="s">
        <v>45095</v>
      </c>
      <c r="O5395" t="s">
        <v>45096</v>
      </c>
      <c r="P5395">
        <v>0</v>
      </c>
      <c r="Q5395">
        <v>0</v>
      </c>
      <c r="R5395" t="s">
        <v>45102</v>
      </c>
      <c r="S5395" t="s">
        <v>45242</v>
      </c>
      <c r="T5395" t="s">
        <v>47067</v>
      </c>
      <c r="U5395" t="s">
        <v>52013</v>
      </c>
      <c r="V5395" t="s">
        <v>60423</v>
      </c>
      <c r="W5395" t="s">
        <v>43402</v>
      </c>
      <c r="X5395" t="s">
        <v>45103</v>
      </c>
    </row>
    <row r="5396" spans="1:24">
      <c r="A5396">
        <f>HYPERLINK("https://www.philgeps.gov.ph/GEPSNONPILOT/Tender/SplashBidNoticeAbstractUI.aspx?menuIndex=3&amp;refID=7038784&amp;Result=3","7038784")</f>
        <v>0</v>
      </c>
      <c r="B5396" t="s">
        <v>264</v>
      </c>
      <c r="C5396" t="s">
        <v>8354</v>
      </c>
      <c r="D5396" t="s">
        <v>18066</v>
      </c>
      <c r="E5396" t="s">
        <v>22931</v>
      </c>
      <c r="F5396" t="s">
        <v>31574</v>
      </c>
      <c r="G5396" t="s">
        <v>31582</v>
      </c>
      <c r="H5396" t="s">
        <v>31590</v>
      </c>
      <c r="I5396" t="s">
        <v>31603</v>
      </c>
      <c r="J5396" t="s">
        <v>31962</v>
      </c>
      <c r="K5396" t="s">
        <v>41184</v>
      </c>
      <c r="M5396" t="s">
        <v>41750</v>
      </c>
      <c r="N5396" t="s">
        <v>45095</v>
      </c>
      <c r="O5396" t="s">
        <v>45096</v>
      </c>
      <c r="P5396">
        <v>0</v>
      </c>
      <c r="Q5396">
        <v>8</v>
      </c>
      <c r="R5396" t="s">
        <v>45102</v>
      </c>
      <c r="S5396" t="s">
        <v>45242</v>
      </c>
      <c r="T5396" t="s">
        <v>46963</v>
      </c>
      <c r="U5396" t="s">
        <v>52014</v>
      </c>
      <c r="W5396" t="s">
        <v>61674</v>
      </c>
      <c r="X5396" t="s">
        <v>45103</v>
      </c>
    </row>
    <row r="5397" spans="1:24">
      <c r="A5397">
        <f>HYPERLINK("https://www.philgeps.gov.ph/GEPSNONPILOT/Tender/SplashBidNoticeAbstractUI.aspx?menuIndex=3&amp;refID=7038778&amp;Result=3","7038778")</f>
        <v>0</v>
      </c>
      <c r="B5397" t="s">
        <v>1758</v>
      </c>
      <c r="C5397" t="s">
        <v>8355</v>
      </c>
      <c r="D5397" t="s">
        <v>18102</v>
      </c>
      <c r="E5397" t="s">
        <v>22932</v>
      </c>
      <c r="F5397" t="s">
        <v>31574</v>
      </c>
      <c r="G5397" t="s">
        <v>31582</v>
      </c>
      <c r="H5397" t="s">
        <v>31591</v>
      </c>
      <c r="I5397" t="s">
        <v>8822</v>
      </c>
      <c r="J5397" t="s">
        <v>35239</v>
      </c>
      <c r="K5397" t="s">
        <v>41203</v>
      </c>
      <c r="M5397" t="s">
        <v>43384</v>
      </c>
      <c r="N5397" t="s">
        <v>45095</v>
      </c>
      <c r="O5397" t="s">
        <v>45096</v>
      </c>
      <c r="P5397">
        <v>0</v>
      </c>
      <c r="Q5397">
        <v>1</v>
      </c>
      <c r="R5397" t="s">
        <v>45102</v>
      </c>
      <c r="S5397" t="s">
        <v>45242</v>
      </c>
      <c r="T5397" t="s">
        <v>46965</v>
      </c>
      <c r="U5397" t="s">
        <v>52015</v>
      </c>
      <c r="V5397" t="s">
        <v>60424</v>
      </c>
      <c r="W5397" t="s">
        <v>43384</v>
      </c>
      <c r="X5397" t="s">
        <v>45103</v>
      </c>
    </row>
    <row r="5398" spans="1:24">
      <c r="A5398">
        <f>HYPERLINK("https://www.philgeps.gov.ph/GEPSNONPILOT/Tender/SplashBidNoticeAbstractUI.aspx?menuIndex=3&amp;refID=7038754&amp;Result=3","7038754")</f>
        <v>0</v>
      </c>
      <c r="B5398" t="s">
        <v>313</v>
      </c>
      <c r="C5398" t="s">
        <v>8356</v>
      </c>
      <c r="D5398" t="s">
        <v>18039</v>
      </c>
      <c r="E5398" t="s">
        <v>22933</v>
      </c>
      <c r="F5398" t="s">
        <v>31574</v>
      </c>
      <c r="G5398" t="s">
        <v>31581</v>
      </c>
      <c r="H5398" t="s">
        <v>31590</v>
      </c>
      <c r="I5398" t="s">
        <v>14544</v>
      </c>
      <c r="J5398" t="s">
        <v>31789</v>
      </c>
      <c r="K5398" t="s">
        <v>41186</v>
      </c>
      <c r="M5398" t="s">
        <v>41800</v>
      </c>
      <c r="N5398" t="s">
        <v>45095</v>
      </c>
      <c r="O5398" t="s">
        <v>45096</v>
      </c>
      <c r="P5398">
        <v>0</v>
      </c>
      <c r="Q5398">
        <v>0</v>
      </c>
      <c r="R5398" t="s">
        <v>45102</v>
      </c>
      <c r="S5398" t="s">
        <v>45242</v>
      </c>
      <c r="T5398" t="s">
        <v>47077</v>
      </c>
      <c r="U5398" t="s">
        <v>52016</v>
      </c>
      <c r="W5398" t="s">
        <v>41800</v>
      </c>
      <c r="X5398" t="s">
        <v>45103</v>
      </c>
    </row>
    <row r="5399" spans="1:24">
      <c r="A5399">
        <f>HYPERLINK("https://www.philgeps.gov.ph/GEPSNONPILOT/Tender/SplashBidNoticeAbstractUI.aspx?menuIndex=3&amp;refID=7038758&amp;Result=3","7038758")</f>
        <v>0</v>
      </c>
      <c r="B5399" t="s">
        <v>924</v>
      </c>
      <c r="C5399" t="s">
        <v>8357</v>
      </c>
      <c r="D5399" t="s">
        <v>18022</v>
      </c>
      <c r="E5399" t="s">
        <v>22934</v>
      </c>
      <c r="F5399" t="s">
        <v>31574</v>
      </c>
      <c r="G5399" t="s">
        <v>31581</v>
      </c>
      <c r="H5399" t="s">
        <v>31590</v>
      </c>
      <c r="I5399" t="s">
        <v>3487</v>
      </c>
      <c r="J5399" t="s">
        <v>35240</v>
      </c>
      <c r="K5399" t="s">
        <v>41193</v>
      </c>
      <c r="M5399" t="s">
        <v>41517</v>
      </c>
      <c r="N5399" t="s">
        <v>45095</v>
      </c>
      <c r="O5399" t="s">
        <v>45096</v>
      </c>
      <c r="P5399">
        <v>0</v>
      </c>
      <c r="Q5399">
        <v>0</v>
      </c>
      <c r="R5399" t="s">
        <v>45102</v>
      </c>
      <c r="S5399" t="s">
        <v>45242</v>
      </c>
      <c r="T5399" t="s">
        <v>47159</v>
      </c>
      <c r="U5399" t="s">
        <v>52017</v>
      </c>
      <c r="V5399" t="s">
        <v>60105</v>
      </c>
      <c r="W5399" t="s">
        <v>41517</v>
      </c>
      <c r="X5399" t="s">
        <v>45103</v>
      </c>
    </row>
    <row r="5400" spans="1:24">
      <c r="A5400">
        <f>HYPERLINK("https://www.philgeps.gov.ph/GEPSNONPILOT/Tender/SplashBidNoticeAbstractUI.aspx?menuIndex=3&amp;refID=7038779&amp;Result=3","7038779")</f>
        <v>0</v>
      </c>
      <c r="B5400" t="s">
        <v>516</v>
      </c>
      <c r="C5400" t="s">
        <v>8358</v>
      </c>
      <c r="D5400" t="s">
        <v>18031</v>
      </c>
      <c r="E5400" t="s">
        <v>22935</v>
      </c>
      <c r="F5400" t="s">
        <v>31574</v>
      </c>
      <c r="G5400" t="s">
        <v>31581</v>
      </c>
      <c r="H5400" t="s">
        <v>31592</v>
      </c>
      <c r="I5400" t="s">
        <v>31611</v>
      </c>
      <c r="J5400" t="s">
        <v>33536</v>
      </c>
      <c r="K5400" t="s">
        <v>41193</v>
      </c>
      <c r="M5400" t="s">
        <v>42012</v>
      </c>
      <c r="N5400" t="s">
        <v>45095</v>
      </c>
      <c r="O5400" t="s">
        <v>45096</v>
      </c>
      <c r="P5400">
        <v>0</v>
      </c>
      <c r="Q5400">
        <v>0</v>
      </c>
      <c r="R5400" t="s">
        <v>45102</v>
      </c>
      <c r="S5400" t="s">
        <v>45242</v>
      </c>
      <c r="T5400" t="s">
        <v>46973</v>
      </c>
      <c r="U5400" t="s">
        <v>48512</v>
      </c>
      <c r="W5400" t="s">
        <v>42012</v>
      </c>
      <c r="X5400" t="s">
        <v>45103</v>
      </c>
    </row>
    <row r="5401" spans="1:24">
      <c r="A5401">
        <f>HYPERLINK("https://www.philgeps.gov.ph/GEPSNONPILOT/Tender/SplashBidNoticeAbstractUI.aspx?menuIndex=3&amp;refID=7038790&amp;Result=3","7038790")</f>
        <v>0</v>
      </c>
      <c r="B5401" t="s">
        <v>1751</v>
      </c>
      <c r="C5401" t="s">
        <v>8359</v>
      </c>
      <c r="D5401" t="s">
        <v>18107</v>
      </c>
      <c r="E5401" t="s">
        <v>22936</v>
      </c>
      <c r="F5401" t="s">
        <v>31574</v>
      </c>
      <c r="G5401" t="s">
        <v>31582</v>
      </c>
      <c r="H5401" t="s">
        <v>31590</v>
      </c>
      <c r="I5401" t="s">
        <v>31709</v>
      </c>
      <c r="J5401" t="s">
        <v>35241</v>
      </c>
      <c r="K5401" t="s">
        <v>41190</v>
      </c>
      <c r="M5401" t="s">
        <v>43375</v>
      </c>
      <c r="N5401" t="s">
        <v>45095</v>
      </c>
      <c r="O5401" t="s">
        <v>45096</v>
      </c>
      <c r="P5401">
        <v>0</v>
      </c>
      <c r="Q5401">
        <v>2</v>
      </c>
      <c r="R5401" t="s">
        <v>45102</v>
      </c>
      <c r="S5401" t="s">
        <v>45242</v>
      </c>
      <c r="T5401" t="s">
        <v>46949</v>
      </c>
      <c r="U5401" t="s">
        <v>51924</v>
      </c>
      <c r="W5401" t="s">
        <v>43375</v>
      </c>
      <c r="X5401" t="s">
        <v>45103</v>
      </c>
    </row>
    <row r="5402" spans="1:24">
      <c r="A5402">
        <f>HYPERLINK("https://www.philgeps.gov.ph/GEPSNONPILOT/Tender/SplashBidNoticeAbstractUI.aspx?menuIndex=3&amp;refID=7038788&amp;Result=3","7038788")</f>
        <v>0</v>
      </c>
      <c r="B5402" t="s">
        <v>62</v>
      </c>
      <c r="C5402" t="s">
        <v>8360</v>
      </c>
      <c r="D5402" t="s">
        <v>18037</v>
      </c>
      <c r="E5402" t="s">
        <v>22937</v>
      </c>
      <c r="F5402" t="s">
        <v>31574</v>
      </c>
      <c r="G5402" t="s">
        <v>31581</v>
      </c>
      <c r="H5402" t="s">
        <v>31590</v>
      </c>
      <c r="I5402" t="s">
        <v>31612</v>
      </c>
      <c r="J5402" t="s">
        <v>35242</v>
      </c>
      <c r="K5402" t="s">
        <v>41184</v>
      </c>
      <c r="L5402" t="s">
        <v>62</v>
      </c>
      <c r="M5402" t="s">
        <v>41546</v>
      </c>
      <c r="N5402" t="s">
        <v>45095</v>
      </c>
      <c r="O5402" t="s">
        <v>45096</v>
      </c>
      <c r="P5402">
        <v>0</v>
      </c>
      <c r="Q5402">
        <v>3</v>
      </c>
      <c r="R5402" t="s">
        <v>45102</v>
      </c>
      <c r="S5402" t="s">
        <v>45242</v>
      </c>
      <c r="T5402" t="s">
        <v>47050</v>
      </c>
      <c r="U5402" t="s">
        <v>52018</v>
      </c>
      <c r="W5402" t="s">
        <v>41546</v>
      </c>
      <c r="X5402" t="s">
        <v>45103</v>
      </c>
    </row>
    <row r="5403" spans="1:24">
      <c r="A5403">
        <f>HYPERLINK("https://www.philgeps.gov.ph/GEPSNONPILOT/Tender/SplashBidNoticeAbstractUI.aspx?menuIndex=3&amp;refID=7038802&amp;Result=3","7038802")</f>
        <v>0</v>
      </c>
      <c r="B5403" t="s">
        <v>1116</v>
      </c>
      <c r="C5403" t="s">
        <v>8361</v>
      </c>
      <c r="D5403" t="s">
        <v>18095</v>
      </c>
      <c r="E5403" t="s">
        <v>22938</v>
      </c>
      <c r="F5403" t="s">
        <v>31574</v>
      </c>
      <c r="G5403" t="s">
        <v>31582</v>
      </c>
      <c r="H5403" t="s">
        <v>31591</v>
      </c>
      <c r="I5403" t="s">
        <v>8822</v>
      </c>
      <c r="J5403" t="s">
        <v>35243</v>
      </c>
      <c r="K5403" t="s">
        <v>41243</v>
      </c>
      <c r="M5403" t="s">
        <v>43361</v>
      </c>
      <c r="N5403" t="s">
        <v>45095</v>
      </c>
      <c r="O5403" t="s">
        <v>45096</v>
      </c>
      <c r="P5403">
        <v>0</v>
      </c>
      <c r="Q5403">
        <v>0</v>
      </c>
      <c r="R5403" t="s">
        <v>45102</v>
      </c>
      <c r="S5403" t="s">
        <v>45242</v>
      </c>
      <c r="T5403" t="s">
        <v>47211</v>
      </c>
      <c r="U5403" t="s">
        <v>52019</v>
      </c>
      <c r="W5403" t="s">
        <v>43361</v>
      </c>
      <c r="X5403" t="s">
        <v>45103</v>
      </c>
    </row>
    <row r="5404" spans="1:24">
      <c r="A5404">
        <f>HYPERLINK("https://www.philgeps.gov.ph/GEPSNONPILOT/Tender/SplashBidNoticeAbstractUI.aspx?menuIndex=3&amp;refID=7038777&amp;Result=3","7038777")</f>
        <v>0</v>
      </c>
      <c r="B5404" t="s">
        <v>1406</v>
      </c>
      <c r="C5404" t="s">
        <v>8362</v>
      </c>
      <c r="D5404" t="s">
        <v>18071</v>
      </c>
      <c r="E5404" t="s">
        <v>22939</v>
      </c>
      <c r="F5404" t="s">
        <v>31574</v>
      </c>
      <c r="G5404" t="s">
        <v>31581</v>
      </c>
      <c r="H5404" t="s">
        <v>31590</v>
      </c>
      <c r="I5404" t="s">
        <v>31625</v>
      </c>
      <c r="J5404" t="s">
        <v>32355</v>
      </c>
      <c r="K5404" t="s">
        <v>41197</v>
      </c>
      <c r="M5404" t="s">
        <v>42982</v>
      </c>
      <c r="N5404" t="s">
        <v>45095</v>
      </c>
      <c r="O5404" t="s">
        <v>45096</v>
      </c>
      <c r="P5404">
        <v>0</v>
      </c>
      <c r="Q5404">
        <v>0</v>
      </c>
      <c r="R5404" t="s">
        <v>45102</v>
      </c>
      <c r="S5404" t="s">
        <v>45242</v>
      </c>
      <c r="T5404" t="s">
        <v>47050</v>
      </c>
      <c r="U5404" t="s">
        <v>52020</v>
      </c>
      <c r="V5404" t="s">
        <v>60425</v>
      </c>
      <c r="W5404" t="s">
        <v>42982</v>
      </c>
      <c r="X5404" t="s">
        <v>45103</v>
      </c>
    </row>
    <row r="5405" spans="1:24">
      <c r="A5405">
        <f>HYPERLINK("https://www.philgeps.gov.ph/GEPSNONPILOT/Tender/SplashBidNoticeAbstractUI.aspx?menuIndex=3&amp;refID=7038800&amp;Result=3","7038800")</f>
        <v>0</v>
      </c>
      <c r="B5405" t="s">
        <v>75</v>
      </c>
      <c r="C5405" t="s">
        <v>8363</v>
      </c>
      <c r="D5405" t="s">
        <v>18054</v>
      </c>
      <c r="E5405" t="s">
        <v>22940</v>
      </c>
      <c r="F5405" t="s">
        <v>31574</v>
      </c>
      <c r="G5405" t="s">
        <v>31582</v>
      </c>
      <c r="H5405" t="s">
        <v>31590</v>
      </c>
      <c r="I5405" t="s">
        <v>31602</v>
      </c>
      <c r="J5405" t="s">
        <v>35244</v>
      </c>
      <c r="K5405" t="s">
        <v>41186</v>
      </c>
      <c r="M5405" t="s">
        <v>41559</v>
      </c>
      <c r="N5405" t="s">
        <v>45095</v>
      </c>
      <c r="O5405" t="s">
        <v>45096</v>
      </c>
      <c r="P5405">
        <v>0</v>
      </c>
      <c r="Q5405">
        <v>0</v>
      </c>
      <c r="R5405" t="s">
        <v>45102</v>
      </c>
      <c r="S5405" t="s">
        <v>45242</v>
      </c>
      <c r="T5405" t="s">
        <v>46973</v>
      </c>
      <c r="U5405" t="s">
        <v>52021</v>
      </c>
      <c r="W5405" t="s">
        <v>41559</v>
      </c>
      <c r="X5405" t="s">
        <v>45103</v>
      </c>
    </row>
    <row r="5406" spans="1:24">
      <c r="A5406">
        <f>HYPERLINK("https://www.philgeps.gov.ph/GEPSNONPILOT/Tender/SplashBidNoticeAbstractUI.aspx?menuIndex=3&amp;refID=7038797&amp;Result=3","7038797")</f>
        <v>0</v>
      </c>
      <c r="B5406" t="s">
        <v>1727</v>
      </c>
      <c r="C5406" t="s">
        <v>8364</v>
      </c>
      <c r="D5406" t="s">
        <v>18028</v>
      </c>
      <c r="E5406" t="s">
        <v>22941</v>
      </c>
      <c r="F5406" t="s">
        <v>31574</v>
      </c>
      <c r="G5406" t="s">
        <v>31581</v>
      </c>
      <c r="H5406" t="s">
        <v>31590</v>
      </c>
      <c r="I5406" t="s">
        <v>3489</v>
      </c>
      <c r="J5406" t="s">
        <v>33869</v>
      </c>
      <c r="K5406" t="s">
        <v>41186</v>
      </c>
      <c r="M5406" t="s">
        <v>43345</v>
      </c>
      <c r="N5406" t="s">
        <v>45095</v>
      </c>
      <c r="O5406" t="s">
        <v>45096</v>
      </c>
      <c r="P5406">
        <v>0</v>
      </c>
      <c r="Q5406">
        <v>2</v>
      </c>
      <c r="R5406" t="s">
        <v>45102</v>
      </c>
      <c r="S5406" t="s">
        <v>45242</v>
      </c>
      <c r="T5406" t="s">
        <v>47125</v>
      </c>
      <c r="U5406" t="s">
        <v>47721</v>
      </c>
      <c r="W5406" t="s">
        <v>43345</v>
      </c>
      <c r="X5406" t="s">
        <v>45103</v>
      </c>
    </row>
    <row r="5407" spans="1:24">
      <c r="A5407">
        <f>HYPERLINK("https://www.philgeps.gov.ph/GEPSNONPILOT/Tender/SplashBidNoticeAbstractUI.aspx?menuIndex=3&amp;refID=7038807&amp;Result=3","7038807")</f>
        <v>0</v>
      </c>
      <c r="B5407" t="s">
        <v>1773</v>
      </c>
      <c r="C5407" t="s">
        <v>8365</v>
      </c>
      <c r="D5407" t="s">
        <v>18037</v>
      </c>
      <c r="E5407" t="s">
        <v>22942</v>
      </c>
      <c r="F5407" t="s">
        <v>31574</v>
      </c>
      <c r="G5407" t="s">
        <v>31582</v>
      </c>
      <c r="H5407" t="s">
        <v>31590</v>
      </c>
      <c r="I5407" t="s">
        <v>7185</v>
      </c>
      <c r="J5407" t="s">
        <v>35245</v>
      </c>
      <c r="K5407" t="s">
        <v>41186</v>
      </c>
      <c r="M5407" t="s">
        <v>43403</v>
      </c>
      <c r="N5407" t="s">
        <v>45095</v>
      </c>
      <c r="O5407" t="s">
        <v>45096</v>
      </c>
      <c r="P5407">
        <v>0</v>
      </c>
      <c r="Q5407">
        <v>2</v>
      </c>
      <c r="R5407" t="s">
        <v>45102</v>
      </c>
      <c r="S5407" t="s">
        <v>45242</v>
      </c>
      <c r="T5407" t="s">
        <v>47253</v>
      </c>
      <c r="U5407" t="s">
        <v>52022</v>
      </c>
      <c r="W5407" t="s">
        <v>43403</v>
      </c>
      <c r="X5407" t="s">
        <v>45103</v>
      </c>
    </row>
    <row r="5408" spans="1:24">
      <c r="A5408">
        <f>HYPERLINK("https://www.philgeps.gov.ph/GEPSNONPILOT/Tender/SplashBidNoticeAbstractUI.aspx?menuIndex=3&amp;refID=7038796&amp;Result=3","7038796")</f>
        <v>0</v>
      </c>
      <c r="B5408" t="s">
        <v>264</v>
      </c>
      <c r="C5408" t="s">
        <v>8366</v>
      </c>
      <c r="D5408" t="s">
        <v>18066</v>
      </c>
      <c r="E5408" t="s">
        <v>22943</v>
      </c>
      <c r="F5408" t="s">
        <v>31574</v>
      </c>
      <c r="G5408" t="s">
        <v>31582</v>
      </c>
      <c r="H5408" t="s">
        <v>31590</v>
      </c>
      <c r="I5408" t="s">
        <v>31615</v>
      </c>
      <c r="J5408" t="s">
        <v>34428</v>
      </c>
      <c r="K5408" t="s">
        <v>41184</v>
      </c>
      <c r="M5408" t="s">
        <v>41750</v>
      </c>
      <c r="N5408" t="s">
        <v>45095</v>
      </c>
      <c r="O5408" t="s">
        <v>45096</v>
      </c>
      <c r="P5408">
        <v>0</v>
      </c>
      <c r="Q5408">
        <v>1</v>
      </c>
      <c r="R5408" t="s">
        <v>45102</v>
      </c>
      <c r="S5408" t="s">
        <v>45242</v>
      </c>
      <c r="T5408" t="s">
        <v>46963</v>
      </c>
      <c r="U5408" t="s">
        <v>52023</v>
      </c>
      <c r="W5408" t="s">
        <v>61674</v>
      </c>
      <c r="X5408" t="s">
        <v>45103</v>
      </c>
    </row>
    <row r="5409" spans="1:24">
      <c r="A5409">
        <f>HYPERLINK("https://www.philgeps.gov.ph/GEPSNONPILOT/Tender/SplashBidNoticeAbstractUI.aspx?menuIndex=3&amp;refID=7038794&amp;Result=3","7038794")</f>
        <v>0</v>
      </c>
      <c r="B5409" t="s">
        <v>1774</v>
      </c>
      <c r="C5409" t="s">
        <v>8367</v>
      </c>
      <c r="D5409" t="s">
        <v>18087</v>
      </c>
      <c r="E5409" t="s">
        <v>22944</v>
      </c>
      <c r="F5409" t="s">
        <v>31574</v>
      </c>
      <c r="G5409" t="s">
        <v>31583</v>
      </c>
      <c r="H5409" t="s">
        <v>31590</v>
      </c>
      <c r="I5409" t="s">
        <v>31600</v>
      </c>
      <c r="J5409" t="s">
        <v>32045</v>
      </c>
      <c r="K5409" t="s">
        <v>41186</v>
      </c>
      <c r="M5409" t="s">
        <v>43404</v>
      </c>
      <c r="N5409" t="s">
        <v>45095</v>
      </c>
      <c r="O5409" t="s">
        <v>45096</v>
      </c>
      <c r="P5409">
        <v>0</v>
      </c>
      <c r="Q5409">
        <v>0</v>
      </c>
      <c r="R5409" t="s">
        <v>45102</v>
      </c>
      <c r="S5409" t="s">
        <v>45242</v>
      </c>
      <c r="T5409" t="s">
        <v>46963</v>
      </c>
      <c r="U5409" t="s">
        <v>52024</v>
      </c>
      <c r="W5409" t="s">
        <v>43404</v>
      </c>
      <c r="X5409" t="s">
        <v>45103</v>
      </c>
    </row>
    <row r="5410" spans="1:24">
      <c r="A5410">
        <f>HYPERLINK("https://www.philgeps.gov.ph/GEPSNONPILOT/Tender/SplashBidNoticeAbstractUI.aspx?menuIndex=3&amp;refID=7038801&amp;Result=3","7038801")</f>
        <v>0</v>
      </c>
      <c r="B5410" t="s">
        <v>1764</v>
      </c>
      <c r="C5410" t="s">
        <v>8368</v>
      </c>
      <c r="D5410" t="s">
        <v>18041</v>
      </c>
      <c r="E5410" t="s">
        <v>18922</v>
      </c>
      <c r="F5410" t="s">
        <v>31574</v>
      </c>
      <c r="G5410" t="s">
        <v>31582</v>
      </c>
      <c r="H5410" t="s">
        <v>31590</v>
      </c>
      <c r="I5410" t="s">
        <v>4046</v>
      </c>
      <c r="J5410" t="s">
        <v>35246</v>
      </c>
      <c r="K5410" t="s">
        <v>41196</v>
      </c>
      <c r="M5410" t="s">
        <v>43394</v>
      </c>
      <c r="N5410" t="s">
        <v>45095</v>
      </c>
      <c r="O5410" t="s">
        <v>45096</v>
      </c>
      <c r="P5410">
        <v>0</v>
      </c>
      <c r="Q5410">
        <v>1</v>
      </c>
      <c r="R5410" t="s">
        <v>45102</v>
      </c>
      <c r="S5410" t="s">
        <v>45242</v>
      </c>
      <c r="T5410" t="s">
        <v>46965</v>
      </c>
      <c r="U5410" t="s">
        <v>52025</v>
      </c>
      <c r="W5410" t="s">
        <v>43394</v>
      </c>
      <c r="X5410" t="s">
        <v>45103</v>
      </c>
    </row>
    <row r="5411" spans="1:24">
      <c r="A5411">
        <f>HYPERLINK("https://www.philgeps.gov.ph/GEPSNONPILOT/Tender/SplashBidNoticeAbstractUI.aspx?menuIndex=3&amp;refID=7038803&amp;Result=3","7038803")</f>
        <v>0</v>
      </c>
      <c r="B5411" t="s">
        <v>924</v>
      </c>
      <c r="C5411" t="s">
        <v>8369</v>
      </c>
      <c r="D5411" t="s">
        <v>18022</v>
      </c>
      <c r="E5411" t="s">
        <v>22945</v>
      </c>
      <c r="F5411" t="s">
        <v>31574</v>
      </c>
      <c r="G5411" t="s">
        <v>31581</v>
      </c>
      <c r="H5411" t="s">
        <v>31590</v>
      </c>
      <c r="I5411" t="s">
        <v>3520</v>
      </c>
      <c r="J5411" t="s">
        <v>31764</v>
      </c>
      <c r="K5411" t="s">
        <v>41193</v>
      </c>
      <c r="M5411" t="s">
        <v>41517</v>
      </c>
      <c r="N5411" t="s">
        <v>45095</v>
      </c>
      <c r="O5411" t="s">
        <v>45096</v>
      </c>
      <c r="P5411">
        <v>0</v>
      </c>
      <c r="Q5411">
        <v>0</v>
      </c>
      <c r="R5411" t="s">
        <v>45102</v>
      </c>
      <c r="S5411" t="s">
        <v>45242</v>
      </c>
      <c r="T5411" t="s">
        <v>47159</v>
      </c>
      <c r="U5411" t="s">
        <v>52026</v>
      </c>
      <c r="V5411" t="s">
        <v>60105</v>
      </c>
      <c r="W5411" t="s">
        <v>41517</v>
      </c>
      <c r="X5411" t="s">
        <v>45103</v>
      </c>
    </row>
    <row r="5412" spans="1:24">
      <c r="A5412">
        <f>HYPERLINK("https://www.philgeps.gov.ph/GEPSNONPILOT/Tender/SplashBidNoticeAbstractUI.aspx?menuIndex=3&amp;refID=7038793&amp;Result=3","7038793")</f>
        <v>0</v>
      </c>
      <c r="B5412" t="s">
        <v>1760</v>
      </c>
      <c r="C5412" t="s">
        <v>8370</v>
      </c>
      <c r="D5412" t="s">
        <v>18028</v>
      </c>
      <c r="E5412" t="s">
        <v>22946</v>
      </c>
      <c r="F5412" t="s">
        <v>31574</v>
      </c>
      <c r="G5412" t="s">
        <v>31582</v>
      </c>
      <c r="H5412" t="s">
        <v>31590</v>
      </c>
      <c r="I5412" t="s">
        <v>4046</v>
      </c>
      <c r="J5412" t="s">
        <v>35247</v>
      </c>
      <c r="K5412" t="s">
        <v>41196</v>
      </c>
      <c r="M5412" t="s">
        <v>43388</v>
      </c>
      <c r="N5412" t="s">
        <v>45095</v>
      </c>
      <c r="O5412" t="s">
        <v>45096</v>
      </c>
      <c r="P5412">
        <v>0</v>
      </c>
      <c r="Q5412">
        <v>0</v>
      </c>
      <c r="R5412" t="s">
        <v>45102</v>
      </c>
      <c r="S5412" t="s">
        <v>45242</v>
      </c>
      <c r="T5412" t="s">
        <v>46919</v>
      </c>
      <c r="U5412" t="s">
        <v>52027</v>
      </c>
      <c r="W5412" t="s">
        <v>43388</v>
      </c>
      <c r="X5412" t="s">
        <v>45103</v>
      </c>
    </row>
    <row r="5413" spans="1:24">
      <c r="A5413">
        <f>HYPERLINK("https://www.philgeps.gov.ph/GEPSNONPILOT/Tender/SplashBidNoticeAbstractUI.aspx?menuIndex=3&amp;refID=7038811&amp;Result=3","7038811")</f>
        <v>0</v>
      </c>
      <c r="B5413" t="s">
        <v>1644</v>
      </c>
      <c r="C5413" t="s">
        <v>8371</v>
      </c>
      <c r="D5413" t="s">
        <v>18041</v>
      </c>
      <c r="E5413" t="s">
        <v>22947</v>
      </c>
      <c r="F5413" t="s">
        <v>31574</v>
      </c>
      <c r="G5413" t="s">
        <v>31583</v>
      </c>
      <c r="H5413" t="s">
        <v>31590</v>
      </c>
      <c r="I5413" t="s">
        <v>4327</v>
      </c>
      <c r="J5413" t="s">
        <v>32066</v>
      </c>
      <c r="K5413" t="s">
        <v>41211</v>
      </c>
      <c r="M5413" t="s">
        <v>43254</v>
      </c>
      <c r="N5413" t="s">
        <v>45095</v>
      </c>
      <c r="O5413" t="s">
        <v>45096</v>
      </c>
      <c r="P5413">
        <v>0</v>
      </c>
      <c r="Q5413">
        <v>1</v>
      </c>
      <c r="R5413" t="s">
        <v>45102</v>
      </c>
      <c r="S5413" t="s">
        <v>45242</v>
      </c>
      <c r="T5413" t="s">
        <v>47159</v>
      </c>
      <c r="U5413" t="s">
        <v>52028</v>
      </c>
      <c r="W5413" t="s">
        <v>43254</v>
      </c>
      <c r="X5413" t="s">
        <v>45103</v>
      </c>
    </row>
    <row r="5414" spans="1:24">
      <c r="A5414">
        <f>HYPERLINK("https://www.philgeps.gov.ph/GEPSNONPILOT/Tender/SplashBidNoticeAbstractUI.aspx?menuIndex=3&amp;refID=7038810&amp;Result=3","7038810")</f>
        <v>0</v>
      </c>
      <c r="B5414" t="s">
        <v>312</v>
      </c>
      <c r="C5414" t="s">
        <v>8372</v>
      </c>
      <c r="D5414" t="s">
        <v>18024</v>
      </c>
      <c r="E5414" t="s">
        <v>22948</v>
      </c>
      <c r="F5414" t="s">
        <v>31574</v>
      </c>
      <c r="G5414" t="s">
        <v>31581</v>
      </c>
      <c r="H5414" t="s">
        <v>31590</v>
      </c>
      <c r="I5414" t="s">
        <v>4046</v>
      </c>
      <c r="J5414" t="s">
        <v>35248</v>
      </c>
      <c r="K5414" t="s">
        <v>41196</v>
      </c>
      <c r="M5414" t="s">
        <v>41799</v>
      </c>
      <c r="N5414" t="s">
        <v>45095</v>
      </c>
      <c r="O5414" t="s">
        <v>45096</v>
      </c>
      <c r="P5414">
        <v>0</v>
      </c>
      <c r="Q5414">
        <v>0</v>
      </c>
      <c r="R5414" t="s">
        <v>45102</v>
      </c>
      <c r="S5414" t="s">
        <v>45242</v>
      </c>
      <c r="T5414" t="s">
        <v>47183</v>
      </c>
      <c r="U5414" t="s">
        <v>52029</v>
      </c>
      <c r="W5414" t="s">
        <v>41799</v>
      </c>
      <c r="X5414" t="s">
        <v>45103</v>
      </c>
    </row>
    <row r="5415" spans="1:24">
      <c r="A5415">
        <f>HYPERLINK("https://www.philgeps.gov.ph/GEPSNONPILOT/Tender/SplashBidNoticeAbstractUI.aspx?menuIndex=3&amp;refID=7038791&amp;Result=3","7038791")</f>
        <v>0</v>
      </c>
      <c r="B5415" t="s">
        <v>1770</v>
      </c>
      <c r="C5415" t="s">
        <v>8373</v>
      </c>
      <c r="D5415" t="s">
        <v>18065</v>
      </c>
      <c r="E5415" t="s">
        <v>22949</v>
      </c>
      <c r="F5415" t="s">
        <v>31574</v>
      </c>
      <c r="G5415" t="s">
        <v>31582</v>
      </c>
      <c r="H5415" t="s">
        <v>31590</v>
      </c>
      <c r="I5415" t="s">
        <v>31602</v>
      </c>
      <c r="J5415" t="s">
        <v>31845</v>
      </c>
      <c r="K5415" t="s">
        <v>41192</v>
      </c>
      <c r="L5415" t="s">
        <v>1770</v>
      </c>
      <c r="M5415" t="s">
        <v>43400</v>
      </c>
      <c r="N5415" t="s">
        <v>45095</v>
      </c>
      <c r="O5415" t="s">
        <v>45096</v>
      </c>
      <c r="P5415">
        <v>0</v>
      </c>
      <c r="Q5415">
        <v>0</v>
      </c>
      <c r="R5415" t="s">
        <v>45102</v>
      </c>
      <c r="S5415" t="s">
        <v>45242</v>
      </c>
      <c r="T5415" t="s">
        <v>47252</v>
      </c>
      <c r="U5415" t="s">
        <v>52030</v>
      </c>
      <c r="W5415" t="s">
        <v>43400</v>
      </c>
      <c r="X5415" t="s">
        <v>45103</v>
      </c>
    </row>
    <row r="5416" spans="1:24">
      <c r="A5416">
        <f>HYPERLINK("https://www.philgeps.gov.ph/GEPSNONPILOT/Tender/SplashBidNoticeAbstractUI.aspx?menuIndex=3&amp;refID=7038817&amp;Result=3","7038817")</f>
        <v>0</v>
      </c>
      <c r="B5416" t="s">
        <v>1765</v>
      </c>
      <c r="C5416" t="s">
        <v>8374</v>
      </c>
      <c r="D5416" t="s">
        <v>18036</v>
      </c>
      <c r="E5416" t="s">
        <v>22950</v>
      </c>
      <c r="F5416" t="s">
        <v>31574</v>
      </c>
      <c r="G5416" t="s">
        <v>31581</v>
      </c>
      <c r="H5416" t="s">
        <v>31590</v>
      </c>
      <c r="I5416" t="s">
        <v>31621</v>
      </c>
      <c r="J5416" t="s">
        <v>31744</v>
      </c>
      <c r="K5416" t="s">
        <v>41196</v>
      </c>
      <c r="M5416" t="s">
        <v>43395</v>
      </c>
      <c r="N5416" t="s">
        <v>45095</v>
      </c>
      <c r="O5416" t="s">
        <v>45096</v>
      </c>
      <c r="P5416">
        <v>0</v>
      </c>
      <c r="Q5416">
        <v>2</v>
      </c>
      <c r="R5416" t="s">
        <v>45102</v>
      </c>
      <c r="S5416" t="s">
        <v>45242</v>
      </c>
      <c r="T5416" t="s">
        <v>46936</v>
      </c>
      <c r="U5416" t="s">
        <v>51980</v>
      </c>
      <c r="W5416" t="s">
        <v>43395</v>
      </c>
      <c r="X5416" t="s">
        <v>45103</v>
      </c>
    </row>
    <row r="5417" spans="1:24">
      <c r="A5417">
        <f>HYPERLINK("https://www.philgeps.gov.ph/GEPSNONPILOT/Tender/SplashBidNoticeAbstractUI.aspx?menuIndex=3&amp;refID=7038809&amp;Result=3","7038809")</f>
        <v>0</v>
      </c>
      <c r="B5417" t="s">
        <v>264</v>
      </c>
      <c r="C5417" t="s">
        <v>8375</v>
      </c>
      <c r="D5417" t="s">
        <v>18066</v>
      </c>
      <c r="E5417" t="s">
        <v>22951</v>
      </c>
      <c r="F5417" t="s">
        <v>31574</v>
      </c>
      <c r="G5417" t="s">
        <v>31582</v>
      </c>
      <c r="H5417" t="s">
        <v>31590</v>
      </c>
      <c r="I5417" t="s">
        <v>4046</v>
      </c>
      <c r="J5417" t="s">
        <v>35249</v>
      </c>
      <c r="K5417" t="s">
        <v>41184</v>
      </c>
      <c r="M5417" t="s">
        <v>41750</v>
      </c>
      <c r="N5417" t="s">
        <v>45095</v>
      </c>
      <c r="O5417" t="s">
        <v>45096</v>
      </c>
      <c r="P5417">
        <v>0</v>
      </c>
      <c r="Q5417">
        <v>0</v>
      </c>
      <c r="R5417" t="s">
        <v>45102</v>
      </c>
      <c r="S5417" t="s">
        <v>45242</v>
      </c>
      <c r="T5417" t="s">
        <v>46963</v>
      </c>
      <c r="U5417" t="s">
        <v>52031</v>
      </c>
      <c r="W5417" t="s">
        <v>61674</v>
      </c>
      <c r="X5417" t="s">
        <v>45103</v>
      </c>
    </row>
    <row r="5418" spans="1:24">
      <c r="A5418">
        <f>HYPERLINK("https://www.philgeps.gov.ph/GEPSNONPILOT/Tender/SplashBidNoticeAbstractUI.aspx?menuIndex=3&amp;refID=7038820&amp;Result=3","7038820")</f>
        <v>0</v>
      </c>
      <c r="B5418" t="s">
        <v>1116</v>
      </c>
      <c r="C5418" t="s">
        <v>8376</v>
      </c>
      <c r="D5418" t="s">
        <v>18095</v>
      </c>
      <c r="E5418" t="s">
        <v>22952</v>
      </c>
      <c r="F5418" t="s">
        <v>31574</v>
      </c>
      <c r="G5418" t="s">
        <v>31582</v>
      </c>
      <c r="H5418" t="s">
        <v>31591</v>
      </c>
      <c r="I5418" t="s">
        <v>8822</v>
      </c>
      <c r="J5418" t="s">
        <v>35250</v>
      </c>
      <c r="K5418" t="s">
        <v>41200</v>
      </c>
      <c r="M5418" t="s">
        <v>43361</v>
      </c>
      <c r="N5418" t="s">
        <v>45095</v>
      </c>
      <c r="O5418" t="s">
        <v>45096</v>
      </c>
      <c r="P5418">
        <v>0</v>
      </c>
      <c r="Q5418">
        <v>0</v>
      </c>
      <c r="R5418" t="s">
        <v>45102</v>
      </c>
      <c r="S5418" t="s">
        <v>45242</v>
      </c>
      <c r="T5418" t="s">
        <v>47211</v>
      </c>
      <c r="U5418" t="s">
        <v>52032</v>
      </c>
      <c r="W5418" t="s">
        <v>43361</v>
      </c>
      <c r="X5418" t="s">
        <v>45103</v>
      </c>
    </row>
    <row r="5419" spans="1:24">
      <c r="A5419">
        <f>HYPERLINK("https://www.philgeps.gov.ph/GEPSNONPILOT/Tender/SplashBidNoticeAbstractUI.aspx?menuIndex=3&amp;refID=7038825&amp;Result=3","7038825")</f>
        <v>0</v>
      </c>
      <c r="B5419" t="s">
        <v>1769</v>
      </c>
      <c r="C5419" t="s">
        <v>8377</v>
      </c>
      <c r="D5419" t="s">
        <v>18031</v>
      </c>
      <c r="E5419" t="s">
        <v>22953</v>
      </c>
      <c r="F5419" t="s">
        <v>31574</v>
      </c>
      <c r="G5419" t="s">
        <v>31582</v>
      </c>
      <c r="H5419" t="s">
        <v>31590</v>
      </c>
      <c r="I5419" t="s">
        <v>31648</v>
      </c>
      <c r="J5419" t="s">
        <v>35251</v>
      </c>
      <c r="K5419" t="s">
        <v>41190</v>
      </c>
      <c r="M5419" t="s">
        <v>43399</v>
      </c>
      <c r="N5419" t="s">
        <v>45095</v>
      </c>
      <c r="O5419" t="s">
        <v>45096</v>
      </c>
      <c r="P5419">
        <v>0</v>
      </c>
      <c r="Q5419">
        <v>0</v>
      </c>
      <c r="R5419" t="s">
        <v>45102</v>
      </c>
      <c r="S5419" t="s">
        <v>45242</v>
      </c>
      <c r="T5419" t="s">
        <v>46963</v>
      </c>
      <c r="U5419" t="s">
        <v>52033</v>
      </c>
      <c r="W5419" t="s">
        <v>43399</v>
      </c>
      <c r="X5419" t="s">
        <v>45103</v>
      </c>
    </row>
    <row r="5420" spans="1:24">
      <c r="A5420">
        <f>HYPERLINK("https://www.philgeps.gov.ph/GEPSNONPILOT/Tender/SplashBidNoticeAbstractUI.aspx?menuIndex=3&amp;refID=7038819&amp;Result=3","7038819")</f>
        <v>0</v>
      </c>
      <c r="B5420" t="s">
        <v>1775</v>
      </c>
      <c r="C5420" t="s">
        <v>8378</v>
      </c>
      <c r="D5420" t="s">
        <v>18023</v>
      </c>
      <c r="E5420" t="s">
        <v>22954</v>
      </c>
      <c r="F5420" t="s">
        <v>31574</v>
      </c>
      <c r="G5420" t="s">
        <v>31582</v>
      </c>
      <c r="H5420" t="s">
        <v>31590</v>
      </c>
      <c r="I5420" t="s">
        <v>4046</v>
      </c>
      <c r="J5420" t="s">
        <v>35252</v>
      </c>
      <c r="K5420" t="s">
        <v>41213</v>
      </c>
      <c r="M5420" t="s">
        <v>43405</v>
      </c>
      <c r="N5420" t="s">
        <v>45095</v>
      </c>
      <c r="O5420" t="s">
        <v>45096</v>
      </c>
      <c r="P5420">
        <v>0</v>
      </c>
      <c r="Q5420">
        <v>1</v>
      </c>
      <c r="R5420" t="s">
        <v>45102</v>
      </c>
      <c r="S5420" t="s">
        <v>45242</v>
      </c>
      <c r="T5420" t="s">
        <v>46957</v>
      </c>
      <c r="U5420" t="s">
        <v>52034</v>
      </c>
      <c r="W5420" t="s">
        <v>43405</v>
      </c>
      <c r="X5420" t="s">
        <v>45103</v>
      </c>
    </row>
    <row r="5421" spans="1:24">
      <c r="A5421">
        <f>HYPERLINK("https://www.philgeps.gov.ph/GEPSNONPILOT/Tender/SplashBidNoticeAbstractUI.aspx?menuIndex=3&amp;refID=7038821&amp;Result=3","7038821")</f>
        <v>0</v>
      </c>
      <c r="B5421" t="s">
        <v>1764</v>
      </c>
      <c r="C5421" t="s">
        <v>8379</v>
      </c>
      <c r="D5421" t="s">
        <v>18041</v>
      </c>
      <c r="E5421" t="s">
        <v>19260</v>
      </c>
      <c r="F5421" t="s">
        <v>31574</v>
      </c>
      <c r="G5421" t="s">
        <v>31582</v>
      </c>
      <c r="H5421" t="s">
        <v>31590</v>
      </c>
      <c r="I5421" t="s">
        <v>4046</v>
      </c>
      <c r="J5421" t="s">
        <v>31724</v>
      </c>
      <c r="K5421" t="s">
        <v>41196</v>
      </c>
      <c r="M5421" t="s">
        <v>43394</v>
      </c>
      <c r="N5421" t="s">
        <v>45095</v>
      </c>
      <c r="O5421" t="s">
        <v>45096</v>
      </c>
      <c r="P5421">
        <v>0</v>
      </c>
      <c r="Q5421">
        <v>1</v>
      </c>
      <c r="R5421" t="s">
        <v>45102</v>
      </c>
      <c r="S5421" t="s">
        <v>45242</v>
      </c>
      <c r="T5421" t="s">
        <v>46965</v>
      </c>
      <c r="U5421" t="s">
        <v>52035</v>
      </c>
      <c r="W5421" t="s">
        <v>43394</v>
      </c>
      <c r="X5421" t="s">
        <v>45103</v>
      </c>
    </row>
    <row r="5422" spans="1:24">
      <c r="A5422">
        <f>HYPERLINK("https://www.philgeps.gov.ph/GEPSNONPILOT/Tender/SplashBidNoticeAbstractUI.aspx?menuIndex=3&amp;refID=7038808&amp;Result=3","7038808")</f>
        <v>0</v>
      </c>
      <c r="B5422" t="s">
        <v>1759</v>
      </c>
      <c r="C5422" t="s">
        <v>8380</v>
      </c>
      <c r="D5422" t="s">
        <v>18082</v>
      </c>
      <c r="E5422" t="s">
        <v>22955</v>
      </c>
      <c r="F5422" t="s">
        <v>31574</v>
      </c>
      <c r="G5422" t="s">
        <v>31581</v>
      </c>
      <c r="H5422" t="s">
        <v>31590</v>
      </c>
      <c r="I5422" t="s">
        <v>31615</v>
      </c>
      <c r="J5422" t="s">
        <v>32017</v>
      </c>
      <c r="K5422" t="s">
        <v>41186</v>
      </c>
      <c r="M5422" t="s">
        <v>43385</v>
      </c>
      <c r="N5422" t="s">
        <v>45095</v>
      </c>
      <c r="O5422" t="s">
        <v>45096</v>
      </c>
      <c r="P5422">
        <v>0</v>
      </c>
      <c r="Q5422">
        <v>0</v>
      </c>
      <c r="R5422" t="s">
        <v>45102</v>
      </c>
      <c r="S5422" t="s">
        <v>45242</v>
      </c>
      <c r="T5422" t="s">
        <v>47191</v>
      </c>
      <c r="U5422" t="s">
        <v>52036</v>
      </c>
      <c r="W5422" t="s">
        <v>43385</v>
      </c>
      <c r="X5422" t="s">
        <v>45103</v>
      </c>
    </row>
    <row r="5423" spans="1:24">
      <c r="A5423">
        <f>HYPERLINK("https://www.philgeps.gov.ph/GEPSNONPILOT/Tender/SplashBidNoticeAbstractUI.aspx?menuIndex=3&amp;refID=7038849&amp;Result=3","7038849")</f>
        <v>0</v>
      </c>
      <c r="B5423" t="s">
        <v>1770</v>
      </c>
      <c r="C5423" t="s">
        <v>8381</v>
      </c>
      <c r="D5423" t="s">
        <v>18065</v>
      </c>
      <c r="E5423" t="s">
        <v>22956</v>
      </c>
      <c r="F5423" t="s">
        <v>31574</v>
      </c>
      <c r="G5423" t="s">
        <v>31582</v>
      </c>
      <c r="H5423" t="s">
        <v>31590</v>
      </c>
      <c r="I5423" t="s">
        <v>31602</v>
      </c>
      <c r="J5423" t="s">
        <v>31782</v>
      </c>
      <c r="K5423" t="s">
        <v>41186</v>
      </c>
      <c r="L5423" t="s">
        <v>1770</v>
      </c>
      <c r="M5423" t="s">
        <v>43400</v>
      </c>
      <c r="N5423" t="s">
        <v>45095</v>
      </c>
      <c r="O5423" t="s">
        <v>45096</v>
      </c>
      <c r="P5423">
        <v>0</v>
      </c>
      <c r="Q5423">
        <v>0</v>
      </c>
      <c r="R5423" t="s">
        <v>45102</v>
      </c>
      <c r="S5423" t="s">
        <v>45242</v>
      </c>
      <c r="T5423" t="s">
        <v>47252</v>
      </c>
      <c r="U5423" t="s">
        <v>52037</v>
      </c>
      <c r="W5423" t="s">
        <v>43400</v>
      </c>
      <c r="X5423" t="s">
        <v>45103</v>
      </c>
    </row>
    <row r="5424" spans="1:24">
      <c r="A5424">
        <f>HYPERLINK("https://www.philgeps.gov.ph/GEPSNONPILOT/Tender/SplashBidNoticeAbstractUI.aspx?menuIndex=3&amp;refID=7038851&amp;Result=3","7038851")</f>
        <v>0</v>
      </c>
      <c r="B5424" t="s">
        <v>1764</v>
      </c>
      <c r="C5424" t="s">
        <v>8382</v>
      </c>
      <c r="D5424" t="s">
        <v>18041</v>
      </c>
      <c r="E5424" t="s">
        <v>18368</v>
      </c>
      <c r="F5424" t="s">
        <v>31574</v>
      </c>
      <c r="G5424" t="s">
        <v>31582</v>
      </c>
      <c r="H5424" t="s">
        <v>31590</v>
      </c>
      <c r="I5424" t="s">
        <v>4046</v>
      </c>
      <c r="J5424" t="s">
        <v>35253</v>
      </c>
      <c r="K5424" t="s">
        <v>41196</v>
      </c>
      <c r="M5424" t="s">
        <v>43394</v>
      </c>
      <c r="N5424" t="s">
        <v>45095</v>
      </c>
      <c r="O5424" t="s">
        <v>45096</v>
      </c>
      <c r="P5424">
        <v>0</v>
      </c>
      <c r="Q5424">
        <v>1</v>
      </c>
      <c r="R5424" t="s">
        <v>45102</v>
      </c>
      <c r="S5424" t="s">
        <v>45242</v>
      </c>
      <c r="T5424" t="s">
        <v>46965</v>
      </c>
      <c r="U5424" t="s">
        <v>52038</v>
      </c>
      <c r="W5424" t="s">
        <v>43394</v>
      </c>
      <c r="X5424" t="s">
        <v>45103</v>
      </c>
    </row>
    <row r="5425" spans="1:24">
      <c r="A5425">
        <f>HYPERLINK("https://www.philgeps.gov.ph/GEPSNONPILOT/Tender/SplashBidNoticeAbstractUI.aspx?menuIndex=3&amp;refID=7038813&amp;Result=3","7038813")</f>
        <v>0</v>
      </c>
      <c r="B5425" t="s">
        <v>1770</v>
      </c>
      <c r="C5425" t="s">
        <v>8383</v>
      </c>
      <c r="D5425" t="s">
        <v>18065</v>
      </c>
      <c r="E5425" t="s">
        <v>22957</v>
      </c>
      <c r="F5425" t="s">
        <v>31574</v>
      </c>
      <c r="G5425" t="s">
        <v>31582</v>
      </c>
      <c r="H5425" t="s">
        <v>31590</v>
      </c>
      <c r="I5425" t="s">
        <v>31602</v>
      </c>
      <c r="J5425" t="s">
        <v>32013</v>
      </c>
      <c r="K5425" t="s">
        <v>41186</v>
      </c>
      <c r="L5425" t="s">
        <v>1770</v>
      </c>
      <c r="M5425" t="s">
        <v>43400</v>
      </c>
      <c r="N5425" t="s">
        <v>45095</v>
      </c>
      <c r="O5425" t="s">
        <v>45096</v>
      </c>
      <c r="P5425">
        <v>0</v>
      </c>
      <c r="Q5425">
        <v>0</v>
      </c>
      <c r="R5425" t="s">
        <v>45102</v>
      </c>
      <c r="S5425" t="s">
        <v>45242</v>
      </c>
      <c r="T5425" t="s">
        <v>47252</v>
      </c>
      <c r="U5425" t="s">
        <v>52039</v>
      </c>
      <c r="W5425" t="s">
        <v>43400</v>
      </c>
      <c r="X5425" t="s">
        <v>45103</v>
      </c>
    </row>
    <row r="5426" spans="1:24">
      <c r="A5426">
        <f>HYPERLINK("https://www.philgeps.gov.ph/GEPSNONPILOT/Tender/SplashBidNoticeAbstractUI.aspx?menuIndex=3&amp;refID=7038789&amp;Result=3","7038789")</f>
        <v>0</v>
      </c>
      <c r="B5426" t="s">
        <v>1776</v>
      </c>
      <c r="C5426" t="s">
        <v>8384</v>
      </c>
      <c r="D5426" t="s">
        <v>18073</v>
      </c>
      <c r="E5426" t="s">
        <v>18946</v>
      </c>
      <c r="F5426" t="s">
        <v>31574</v>
      </c>
      <c r="G5426" t="s">
        <v>31581</v>
      </c>
      <c r="H5426" t="s">
        <v>31591</v>
      </c>
      <c r="I5426" t="s">
        <v>31632</v>
      </c>
      <c r="J5426" t="s">
        <v>31845</v>
      </c>
      <c r="K5426" t="s">
        <v>41278</v>
      </c>
      <c r="M5426" t="s">
        <v>43406</v>
      </c>
      <c r="N5426" t="s">
        <v>45095</v>
      </c>
      <c r="O5426" t="s">
        <v>45096</v>
      </c>
      <c r="P5426">
        <v>0</v>
      </c>
      <c r="Q5426">
        <v>0</v>
      </c>
      <c r="R5426" t="s">
        <v>45102</v>
      </c>
      <c r="S5426" t="s">
        <v>45242</v>
      </c>
      <c r="T5426" t="s">
        <v>47120</v>
      </c>
      <c r="U5426" t="s">
        <v>52040</v>
      </c>
      <c r="W5426" t="s">
        <v>43406</v>
      </c>
      <c r="X5426" t="s">
        <v>45103</v>
      </c>
    </row>
    <row r="5427" spans="1:24">
      <c r="A5427">
        <f>HYPERLINK("https://www.philgeps.gov.ph/GEPSNONPILOT/Tender/SplashBidNoticeAbstractUI.aspx?menuIndex=3&amp;refID=7038841&amp;Result=3","7038841")</f>
        <v>0</v>
      </c>
      <c r="B5427" t="s">
        <v>1116</v>
      </c>
      <c r="C5427" t="s">
        <v>8385</v>
      </c>
      <c r="D5427" t="s">
        <v>18095</v>
      </c>
      <c r="E5427" t="s">
        <v>22958</v>
      </c>
      <c r="F5427" t="s">
        <v>31574</v>
      </c>
      <c r="G5427" t="s">
        <v>31582</v>
      </c>
      <c r="H5427" t="s">
        <v>31591</v>
      </c>
      <c r="I5427" t="s">
        <v>8822</v>
      </c>
      <c r="J5427" t="s">
        <v>35254</v>
      </c>
      <c r="K5427" t="s">
        <v>41200</v>
      </c>
      <c r="M5427" t="s">
        <v>43361</v>
      </c>
      <c r="N5427" t="s">
        <v>45095</v>
      </c>
      <c r="O5427" t="s">
        <v>45096</v>
      </c>
      <c r="P5427">
        <v>0</v>
      </c>
      <c r="Q5427">
        <v>0</v>
      </c>
      <c r="R5427" t="s">
        <v>45102</v>
      </c>
      <c r="S5427" t="s">
        <v>45242</v>
      </c>
      <c r="T5427" t="s">
        <v>47211</v>
      </c>
      <c r="U5427" t="s">
        <v>52041</v>
      </c>
      <c r="W5427" t="s">
        <v>43361</v>
      </c>
      <c r="X5427" t="s">
        <v>45103</v>
      </c>
    </row>
    <row r="5428" spans="1:24">
      <c r="A5428">
        <f>HYPERLINK("https://www.philgeps.gov.ph/GEPSNONPILOT/Tender/SplashBidNoticeAbstractUI.aspx?menuIndex=3&amp;refID=7038815&amp;Result=3","7038815")</f>
        <v>0</v>
      </c>
      <c r="B5428" t="s">
        <v>264</v>
      </c>
      <c r="C5428" t="s">
        <v>8386</v>
      </c>
      <c r="D5428" t="s">
        <v>18066</v>
      </c>
      <c r="E5428" t="s">
        <v>22959</v>
      </c>
      <c r="F5428" t="s">
        <v>31574</v>
      </c>
      <c r="G5428" t="s">
        <v>31582</v>
      </c>
      <c r="H5428" t="s">
        <v>31590</v>
      </c>
      <c r="I5428" t="s">
        <v>4046</v>
      </c>
      <c r="J5428" t="s">
        <v>35255</v>
      </c>
      <c r="K5428" t="s">
        <v>41184</v>
      </c>
      <c r="M5428" t="s">
        <v>41750</v>
      </c>
      <c r="N5428" t="s">
        <v>45095</v>
      </c>
      <c r="O5428" t="s">
        <v>45096</v>
      </c>
      <c r="P5428">
        <v>0</v>
      </c>
      <c r="Q5428">
        <v>0</v>
      </c>
      <c r="R5428" t="s">
        <v>45102</v>
      </c>
      <c r="S5428" t="s">
        <v>45242</v>
      </c>
      <c r="T5428" t="s">
        <v>46963</v>
      </c>
      <c r="U5428" t="s">
        <v>52042</v>
      </c>
      <c r="W5428" t="s">
        <v>61674</v>
      </c>
      <c r="X5428" t="s">
        <v>45103</v>
      </c>
    </row>
    <row r="5429" spans="1:24">
      <c r="A5429">
        <f>HYPERLINK("https://www.philgeps.gov.ph/GEPSNONPILOT/Tender/SplashBidNoticeAbstractUI.aspx?menuIndex=3&amp;refID=7038839&amp;Result=3","7038839")</f>
        <v>0</v>
      </c>
      <c r="B5429" t="s">
        <v>1386</v>
      </c>
      <c r="C5429" t="s">
        <v>8387</v>
      </c>
      <c r="D5429" t="s">
        <v>18039</v>
      </c>
      <c r="E5429" t="s">
        <v>22960</v>
      </c>
      <c r="F5429" t="s">
        <v>31574</v>
      </c>
      <c r="G5429" t="s">
        <v>31582</v>
      </c>
      <c r="H5429" t="s">
        <v>31591</v>
      </c>
      <c r="I5429" t="s">
        <v>8822</v>
      </c>
      <c r="J5429" t="s">
        <v>35256</v>
      </c>
      <c r="K5429" t="s">
        <v>41184</v>
      </c>
      <c r="M5429" t="s">
        <v>42960</v>
      </c>
      <c r="N5429" t="s">
        <v>45095</v>
      </c>
      <c r="O5429" t="s">
        <v>45096</v>
      </c>
      <c r="P5429">
        <v>0</v>
      </c>
      <c r="Q5429">
        <v>0</v>
      </c>
      <c r="R5429" t="s">
        <v>45102</v>
      </c>
      <c r="S5429" t="s">
        <v>45242</v>
      </c>
      <c r="T5429" t="s">
        <v>47166</v>
      </c>
      <c r="U5429" t="s">
        <v>52043</v>
      </c>
      <c r="W5429" t="s">
        <v>42960</v>
      </c>
      <c r="X5429" t="s">
        <v>45103</v>
      </c>
    </row>
    <row r="5430" spans="1:24">
      <c r="A5430">
        <f>HYPERLINK("https://www.philgeps.gov.ph/GEPSNONPILOT/Tender/SplashBidNoticeAbstractUI.aspx?menuIndex=3&amp;refID=7038857&amp;Result=3","7038857")</f>
        <v>0</v>
      </c>
      <c r="B5430" t="s">
        <v>1116</v>
      </c>
      <c r="C5430" t="s">
        <v>8388</v>
      </c>
      <c r="D5430" t="s">
        <v>18095</v>
      </c>
      <c r="E5430" t="s">
        <v>22961</v>
      </c>
      <c r="F5430" t="s">
        <v>31574</v>
      </c>
      <c r="G5430" t="s">
        <v>31582</v>
      </c>
      <c r="H5430" t="s">
        <v>31591</v>
      </c>
      <c r="I5430" t="s">
        <v>8822</v>
      </c>
      <c r="J5430" t="s">
        <v>34238</v>
      </c>
      <c r="K5430" t="s">
        <v>41200</v>
      </c>
      <c r="M5430" t="s">
        <v>43361</v>
      </c>
      <c r="N5430" t="s">
        <v>45095</v>
      </c>
      <c r="O5430" t="s">
        <v>45096</v>
      </c>
      <c r="P5430">
        <v>0</v>
      </c>
      <c r="Q5430">
        <v>0</v>
      </c>
      <c r="R5430" t="s">
        <v>45102</v>
      </c>
      <c r="S5430" t="s">
        <v>45242</v>
      </c>
      <c r="T5430" t="s">
        <v>47211</v>
      </c>
      <c r="U5430" t="s">
        <v>52044</v>
      </c>
      <c r="W5430" t="s">
        <v>43361</v>
      </c>
      <c r="X5430" t="s">
        <v>45103</v>
      </c>
    </row>
    <row r="5431" spans="1:24">
      <c r="A5431">
        <f>HYPERLINK("https://www.philgeps.gov.ph/GEPSNONPILOT/Tender/SplashBidNoticeAbstractUI.aspx?menuIndex=3&amp;refID=7038845&amp;Result=3","7038845")</f>
        <v>0</v>
      </c>
      <c r="B5431" t="s">
        <v>264</v>
      </c>
      <c r="C5431" t="s">
        <v>8389</v>
      </c>
      <c r="D5431" t="s">
        <v>18066</v>
      </c>
      <c r="E5431" t="s">
        <v>22962</v>
      </c>
      <c r="F5431" t="s">
        <v>31574</v>
      </c>
      <c r="G5431" t="s">
        <v>31582</v>
      </c>
      <c r="H5431" t="s">
        <v>31590</v>
      </c>
      <c r="I5431" t="s">
        <v>7185</v>
      </c>
      <c r="J5431" t="s">
        <v>35257</v>
      </c>
      <c r="K5431" t="s">
        <v>41184</v>
      </c>
      <c r="M5431" t="s">
        <v>41750</v>
      </c>
      <c r="N5431" t="s">
        <v>45095</v>
      </c>
      <c r="O5431" t="s">
        <v>45096</v>
      </c>
      <c r="P5431">
        <v>0</v>
      </c>
      <c r="Q5431">
        <v>1</v>
      </c>
      <c r="R5431" t="s">
        <v>45102</v>
      </c>
      <c r="S5431" t="s">
        <v>45242</v>
      </c>
      <c r="T5431" t="s">
        <v>46963</v>
      </c>
      <c r="U5431" t="s">
        <v>52045</v>
      </c>
      <c r="W5431" t="s">
        <v>61674</v>
      </c>
      <c r="X5431" t="s">
        <v>45103</v>
      </c>
    </row>
    <row r="5432" spans="1:24">
      <c r="A5432">
        <f>HYPERLINK("https://www.philgeps.gov.ph/GEPSNONPILOT/Tender/SplashBidNoticeAbstractUI.aspx?menuIndex=3&amp;refID=7038840&amp;Result=3","7038840")</f>
        <v>0</v>
      </c>
      <c r="B5432" t="s">
        <v>1777</v>
      </c>
      <c r="C5432" t="s">
        <v>8390</v>
      </c>
      <c r="D5432" t="s">
        <v>18027</v>
      </c>
      <c r="E5432" t="s">
        <v>22963</v>
      </c>
      <c r="F5432" t="s">
        <v>31574</v>
      </c>
      <c r="G5432" t="s">
        <v>31581</v>
      </c>
      <c r="H5432" t="s">
        <v>31590</v>
      </c>
      <c r="I5432" t="s">
        <v>31599</v>
      </c>
      <c r="J5432" t="s">
        <v>35258</v>
      </c>
      <c r="K5432" t="s">
        <v>41186</v>
      </c>
      <c r="M5432" t="s">
        <v>43407</v>
      </c>
      <c r="N5432" t="s">
        <v>45095</v>
      </c>
      <c r="O5432" t="s">
        <v>45096</v>
      </c>
      <c r="P5432">
        <v>0</v>
      </c>
      <c r="Q5432">
        <v>3</v>
      </c>
      <c r="R5432" t="s">
        <v>45102</v>
      </c>
      <c r="S5432" t="s">
        <v>45242</v>
      </c>
      <c r="T5432" t="s">
        <v>47158</v>
      </c>
      <c r="U5432" t="s">
        <v>52046</v>
      </c>
      <c r="V5432" t="s">
        <v>60426</v>
      </c>
      <c r="W5432" t="s">
        <v>43407</v>
      </c>
      <c r="X5432" t="s">
        <v>45103</v>
      </c>
    </row>
    <row r="5433" spans="1:24">
      <c r="A5433">
        <f>HYPERLINK("https://www.philgeps.gov.ph/GEPSNONPILOT/Tender/SplashBidNoticeAbstractUI.aspx?menuIndex=3&amp;refID=7038843&amp;Result=3","7038843")</f>
        <v>0</v>
      </c>
      <c r="B5433" t="s">
        <v>1765</v>
      </c>
      <c r="C5433" t="s">
        <v>8391</v>
      </c>
      <c r="D5433" t="s">
        <v>18036</v>
      </c>
      <c r="E5433" t="s">
        <v>22964</v>
      </c>
      <c r="F5433" t="s">
        <v>31574</v>
      </c>
      <c r="G5433" t="s">
        <v>31581</v>
      </c>
      <c r="H5433" t="s">
        <v>31590</v>
      </c>
      <c r="I5433" t="s">
        <v>14034</v>
      </c>
      <c r="J5433" t="s">
        <v>32010</v>
      </c>
      <c r="K5433" t="s">
        <v>41196</v>
      </c>
      <c r="M5433" t="s">
        <v>43395</v>
      </c>
      <c r="N5433" t="s">
        <v>45095</v>
      </c>
      <c r="O5433" t="s">
        <v>45096</v>
      </c>
      <c r="P5433">
        <v>0</v>
      </c>
      <c r="Q5433">
        <v>0</v>
      </c>
      <c r="R5433" t="s">
        <v>45102</v>
      </c>
      <c r="S5433" t="s">
        <v>45242</v>
      </c>
      <c r="T5433" t="s">
        <v>46936</v>
      </c>
      <c r="U5433" t="s">
        <v>51980</v>
      </c>
      <c r="W5433" t="s">
        <v>43395</v>
      </c>
      <c r="X5433" t="s">
        <v>45103</v>
      </c>
    </row>
    <row r="5434" spans="1:24">
      <c r="A5434">
        <f>HYPERLINK("https://www.philgeps.gov.ph/GEPSNONPILOT/Tender/SplashBidNoticeAbstractUI.aspx?menuIndex=3&amp;refID=7038852&amp;Result=3","7038852")</f>
        <v>0</v>
      </c>
      <c r="B5434" t="s">
        <v>1778</v>
      </c>
      <c r="C5434" t="s">
        <v>8392</v>
      </c>
      <c r="D5434" t="s">
        <v>18063</v>
      </c>
      <c r="E5434" t="s">
        <v>22965</v>
      </c>
      <c r="F5434" t="s">
        <v>31574</v>
      </c>
      <c r="G5434" t="s">
        <v>31581</v>
      </c>
      <c r="H5434" t="s">
        <v>31590</v>
      </c>
      <c r="I5434" t="s">
        <v>31682</v>
      </c>
      <c r="J5434" t="s">
        <v>35259</v>
      </c>
      <c r="K5434" t="s">
        <v>41186</v>
      </c>
      <c r="M5434" t="s">
        <v>43408</v>
      </c>
      <c r="N5434" t="s">
        <v>45095</v>
      </c>
      <c r="O5434" t="s">
        <v>45096</v>
      </c>
      <c r="P5434">
        <v>0</v>
      </c>
      <c r="Q5434">
        <v>2</v>
      </c>
      <c r="R5434" t="s">
        <v>45102</v>
      </c>
      <c r="S5434" t="s">
        <v>45242</v>
      </c>
      <c r="T5434" t="s">
        <v>47124</v>
      </c>
      <c r="U5434" t="s">
        <v>52047</v>
      </c>
      <c r="W5434" t="s">
        <v>43408</v>
      </c>
      <c r="X5434" t="s">
        <v>45103</v>
      </c>
    </row>
    <row r="5435" spans="1:24">
      <c r="A5435">
        <f>HYPERLINK("https://www.philgeps.gov.ph/GEPSNONPILOT/Tender/SplashBidNoticeAbstractUI.aspx?menuIndex=3&amp;refID=7038836&amp;Result=3","7038836")</f>
        <v>0</v>
      </c>
      <c r="B5435" t="s">
        <v>1779</v>
      </c>
      <c r="C5435" t="s">
        <v>4999</v>
      </c>
      <c r="D5435" t="s">
        <v>18027</v>
      </c>
      <c r="E5435" t="s">
        <v>19831</v>
      </c>
      <c r="F5435" t="s">
        <v>31574</v>
      </c>
      <c r="G5435" t="s">
        <v>31582</v>
      </c>
      <c r="H5435" t="s">
        <v>31590</v>
      </c>
      <c r="I5435" t="s">
        <v>3487</v>
      </c>
      <c r="J5435" t="s">
        <v>35260</v>
      </c>
      <c r="K5435" t="s">
        <v>41184</v>
      </c>
      <c r="M5435" t="s">
        <v>43409</v>
      </c>
      <c r="N5435" t="s">
        <v>45095</v>
      </c>
      <c r="O5435" t="s">
        <v>45096</v>
      </c>
      <c r="P5435">
        <v>0</v>
      </c>
      <c r="Q5435">
        <v>0</v>
      </c>
      <c r="R5435" t="s">
        <v>45102</v>
      </c>
      <c r="S5435" t="s">
        <v>45242</v>
      </c>
      <c r="T5435" t="s">
        <v>46961</v>
      </c>
      <c r="U5435" t="s">
        <v>52048</v>
      </c>
      <c r="W5435" t="s">
        <v>43409</v>
      </c>
      <c r="X5435" t="s">
        <v>45103</v>
      </c>
    </row>
    <row r="5436" spans="1:24">
      <c r="A5436">
        <f>HYPERLINK("https://www.philgeps.gov.ph/GEPSNONPILOT/Tender/SplashBidNoticeAbstractUI.aspx?menuIndex=3&amp;refID=7038856&amp;Result=3","7038856")</f>
        <v>0</v>
      </c>
      <c r="B5436" t="s">
        <v>1409</v>
      </c>
      <c r="C5436" t="s">
        <v>8393</v>
      </c>
      <c r="D5436" t="s">
        <v>18050</v>
      </c>
      <c r="E5436" t="s">
        <v>22966</v>
      </c>
      <c r="F5436" t="s">
        <v>31574</v>
      </c>
      <c r="G5436" t="s">
        <v>31583</v>
      </c>
      <c r="H5436" t="s">
        <v>31590</v>
      </c>
      <c r="I5436" t="s">
        <v>31602</v>
      </c>
      <c r="J5436" t="s">
        <v>35261</v>
      </c>
      <c r="K5436" t="s">
        <v>41196</v>
      </c>
      <c r="M5436" t="s">
        <v>42985</v>
      </c>
      <c r="N5436" t="s">
        <v>45095</v>
      </c>
      <c r="O5436" t="s">
        <v>45096</v>
      </c>
      <c r="P5436">
        <v>0</v>
      </c>
      <c r="Q5436">
        <v>0</v>
      </c>
      <c r="R5436" t="s">
        <v>45102</v>
      </c>
      <c r="S5436" t="s">
        <v>45242</v>
      </c>
      <c r="T5436" t="s">
        <v>46949</v>
      </c>
      <c r="U5436" t="s">
        <v>51073</v>
      </c>
      <c r="W5436" t="s">
        <v>42985</v>
      </c>
      <c r="X5436" t="s">
        <v>45103</v>
      </c>
    </row>
    <row r="5437" spans="1:24">
      <c r="A5437">
        <f>HYPERLINK("https://www.philgeps.gov.ph/GEPSNONPILOT/Tender/SplashBidNoticeAbstractUI.aspx?menuIndex=3&amp;refID=7038855&amp;Result=3","7038855")</f>
        <v>0</v>
      </c>
      <c r="B5437" t="s">
        <v>1780</v>
      </c>
      <c r="C5437" t="s">
        <v>8394</v>
      </c>
      <c r="D5437" t="s">
        <v>18055</v>
      </c>
      <c r="E5437" t="s">
        <v>22967</v>
      </c>
      <c r="F5437" t="s">
        <v>31574</v>
      </c>
      <c r="G5437" t="s">
        <v>31582</v>
      </c>
      <c r="H5437" t="s">
        <v>31591</v>
      </c>
      <c r="I5437" t="s">
        <v>8822</v>
      </c>
      <c r="J5437" t="s">
        <v>31962</v>
      </c>
      <c r="K5437" t="s">
        <v>41192</v>
      </c>
      <c r="M5437" t="s">
        <v>43410</v>
      </c>
      <c r="N5437" t="s">
        <v>45095</v>
      </c>
      <c r="O5437" t="s">
        <v>45096</v>
      </c>
      <c r="P5437">
        <v>0</v>
      </c>
      <c r="Q5437">
        <v>4</v>
      </c>
      <c r="R5437" t="s">
        <v>45102</v>
      </c>
      <c r="S5437" t="s">
        <v>45242</v>
      </c>
      <c r="T5437" t="s">
        <v>47048</v>
      </c>
      <c r="U5437" t="s">
        <v>52049</v>
      </c>
      <c r="W5437" t="s">
        <v>43410</v>
      </c>
      <c r="X5437" t="s">
        <v>45103</v>
      </c>
    </row>
    <row r="5438" spans="1:24">
      <c r="A5438">
        <f>HYPERLINK("https://www.philgeps.gov.ph/GEPSNONPILOT/Tender/SplashBidNoticeAbstractUI.aspx?menuIndex=3&amp;refID=7038830&amp;Result=3","7038830")</f>
        <v>0</v>
      </c>
      <c r="B5438" t="s">
        <v>334</v>
      </c>
      <c r="C5438" t="s">
        <v>8395</v>
      </c>
      <c r="D5438" t="s">
        <v>18050</v>
      </c>
      <c r="E5438" t="s">
        <v>22968</v>
      </c>
      <c r="F5438" t="s">
        <v>31574</v>
      </c>
      <c r="G5438" t="s">
        <v>31581</v>
      </c>
      <c r="H5438" t="s">
        <v>31590</v>
      </c>
      <c r="I5438" t="s">
        <v>14034</v>
      </c>
      <c r="J5438" t="s">
        <v>35262</v>
      </c>
      <c r="K5438" t="s">
        <v>41189</v>
      </c>
      <c r="M5438" t="s">
        <v>41822</v>
      </c>
      <c r="N5438" t="s">
        <v>45095</v>
      </c>
      <c r="O5438" t="s">
        <v>45096</v>
      </c>
      <c r="P5438">
        <v>0</v>
      </c>
      <c r="Q5438">
        <v>3</v>
      </c>
      <c r="R5438" t="s">
        <v>45102</v>
      </c>
      <c r="S5438" t="s">
        <v>45242</v>
      </c>
      <c r="T5438" t="s">
        <v>46936</v>
      </c>
      <c r="U5438" t="s">
        <v>52050</v>
      </c>
      <c r="W5438" t="s">
        <v>61663</v>
      </c>
      <c r="X5438" t="s">
        <v>45103</v>
      </c>
    </row>
    <row r="5439" spans="1:24">
      <c r="A5439">
        <f>HYPERLINK("https://www.philgeps.gov.ph/GEPSNONPILOT/Tender/SplashBidNoticeAbstractUI.aspx?menuIndex=3&amp;refID=7038831&amp;Result=3","7038831")</f>
        <v>0</v>
      </c>
      <c r="B5439" t="s">
        <v>1760</v>
      </c>
      <c r="C5439" t="s">
        <v>8396</v>
      </c>
      <c r="D5439" t="s">
        <v>18028</v>
      </c>
      <c r="E5439" t="s">
        <v>22969</v>
      </c>
      <c r="F5439" t="s">
        <v>31574</v>
      </c>
      <c r="G5439" t="s">
        <v>31582</v>
      </c>
      <c r="H5439" t="s">
        <v>31590</v>
      </c>
      <c r="I5439" t="s">
        <v>31633</v>
      </c>
      <c r="J5439" t="s">
        <v>33514</v>
      </c>
      <c r="K5439" t="s">
        <v>41196</v>
      </c>
      <c r="M5439" t="s">
        <v>43388</v>
      </c>
      <c r="N5439" t="s">
        <v>45095</v>
      </c>
      <c r="O5439" t="s">
        <v>45096</v>
      </c>
      <c r="P5439">
        <v>0</v>
      </c>
      <c r="Q5439">
        <v>0</v>
      </c>
      <c r="R5439" t="s">
        <v>45102</v>
      </c>
      <c r="S5439" t="s">
        <v>45242</v>
      </c>
      <c r="T5439" t="s">
        <v>47254</v>
      </c>
      <c r="U5439" t="s">
        <v>52051</v>
      </c>
      <c r="W5439" t="s">
        <v>43388</v>
      </c>
      <c r="X5439" t="s">
        <v>45103</v>
      </c>
    </row>
    <row r="5440" spans="1:24">
      <c r="A5440">
        <f>HYPERLINK("https://www.philgeps.gov.ph/GEPSNONPILOT/Tender/SplashBidNoticeAbstractUI.aspx?menuIndex=3&amp;refID=7038835&amp;Result=3","7038835")</f>
        <v>0</v>
      </c>
      <c r="B5440" t="s">
        <v>1781</v>
      </c>
      <c r="C5440" t="s">
        <v>8397</v>
      </c>
      <c r="E5440" t="s">
        <v>22970</v>
      </c>
      <c r="F5440" t="s">
        <v>31574</v>
      </c>
      <c r="G5440" t="s">
        <v>31582</v>
      </c>
      <c r="H5440" t="s">
        <v>31590</v>
      </c>
      <c r="I5440" t="s">
        <v>4046</v>
      </c>
      <c r="J5440" t="s">
        <v>35263</v>
      </c>
      <c r="K5440" t="s">
        <v>41184</v>
      </c>
      <c r="M5440" t="s">
        <v>43411</v>
      </c>
      <c r="N5440" t="s">
        <v>45095</v>
      </c>
      <c r="O5440" t="s">
        <v>45096</v>
      </c>
      <c r="P5440">
        <v>0</v>
      </c>
      <c r="Q5440">
        <v>0</v>
      </c>
      <c r="R5440" t="s">
        <v>45102</v>
      </c>
      <c r="S5440" t="s">
        <v>45242</v>
      </c>
      <c r="T5440" t="s">
        <v>46911</v>
      </c>
      <c r="U5440" t="s">
        <v>52052</v>
      </c>
      <c r="W5440" t="s">
        <v>61716</v>
      </c>
      <c r="X5440" t="s">
        <v>45103</v>
      </c>
    </row>
    <row r="5441" spans="1:24">
      <c r="A5441">
        <f>HYPERLINK("https://www.philgeps.gov.ph/GEPSNONPILOT/Tender/SplashBidNoticeAbstractUI.aspx?menuIndex=3&amp;refID=7038834&amp;Result=3","7038834")</f>
        <v>0</v>
      </c>
      <c r="B5441" t="s">
        <v>264</v>
      </c>
      <c r="C5441" t="s">
        <v>8398</v>
      </c>
      <c r="D5441" t="s">
        <v>18066</v>
      </c>
      <c r="E5441" t="s">
        <v>22971</v>
      </c>
      <c r="F5441" t="s">
        <v>31574</v>
      </c>
      <c r="G5441" t="s">
        <v>31582</v>
      </c>
      <c r="H5441" t="s">
        <v>31590</v>
      </c>
      <c r="I5441" t="s">
        <v>31619</v>
      </c>
      <c r="J5441" t="s">
        <v>35264</v>
      </c>
      <c r="K5441" t="s">
        <v>41184</v>
      </c>
      <c r="M5441" t="s">
        <v>41750</v>
      </c>
      <c r="N5441" t="s">
        <v>45095</v>
      </c>
      <c r="O5441" t="s">
        <v>45096</v>
      </c>
      <c r="P5441">
        <v>0</v>
      </c>
      <c r="Q5441">
        <v>1</v>
      </c>
      <c r="R5441" t="s">
        <v>45102</v>
      </c>
      <c r="S5441" t="s">
        <v>45242</v>
      </c>
      <c r="T5441" t="s">
        <v>46963</v>
      </c>
      <c r="U5441" t="s">
        <v>52053</v>
      </c>
      <c r="W5441" t="s">
        <v>61674</v>
      </c>
      <c r="X5441" t="s">
        <v>45103</v>
      </c>
    </row>
    <row r="5442" spans="1:24">
      <c r="A5442">
        <f>HYPERLINK("https://www.philgeps.gov.ph/GEPSNONPILOT/Tender/SplashBidNoticeAbstractUI.aspx?menuIndex=3&amp;refID=7038858&amp;Result=3","7038858")</f>
        <v>0</v>
      </c>
      <c r="B5442" t="s">
        <v>264</v>
      </c>
      <c r="C5442" t="s">
        <v>8399</v>
      </c>
      <c r="D5442" t="s">
        <v>18066</v>
      </c>
      <c r="E5442" t="s">
        <v>22972</v>
      </c>
      <c r="F5442" t="s">
        <v>31574</v>
      </c>
      <c r="G5442" t="s">
        <v>31582</v>
      </c>
      <c r="H5442" t="s">
        <v>31590</v>
      </c>
      <c r="I5442" t="s">
        <v>31615</v>
      </c>
      <c r="J5442" t="s">
        <v>34428</v>
      </c>
      <c r="K5442" t="s">
        <v>41184</v>
      </c>
      <c r="M5442" t="s">
        <v>41750</v>
      </c>
      <c r="N5442" t="s">
        <v>45095</v>
      </c>
      <c r="O5442" t="s">
        <v>45096</v>
      </c>
      <c r="P5442">
        <v>0</v>
      </c>
      <c r="Q5442">
        <v>1</v>
      </c>
      <c r="R5442" t="s">
        <v>45102</v>
      </c>
      <c r="S5442" t="s">
        <v>45242</v>
      </c>
      <c r="T5442" t="s">
        <v>46963</v>
      </c>
      <c r="U5442" t="s">
        <v>52023</v>
      </c>
      <c r="W5442" t="s">
        <v>61674</v>
      </c>
      <c r="X5442" t="s">
        <v>45103</v>
      </c>
    </row>
    <row r="5443" spans="1:24">
      <c r="A5443">
        <f>HYPERLINK("https://www.philgeps.gov.ph/GEPSNONPILOT/Tender/SplashBidNoticeAbstractUI.aspx?menuIndex=3&amp;refID=7038868&amp;Result=3","7038868")</f>
        <v>0</v>
      </c>
      <c r="B5443" t="s">
        <v>1782</v>
      </c>
      <c r="C5443" t="s">
        <v>8400</v>
      </c>
      <c r="D5443" t="s">
        <v>18027</v>
      </c>
      <c r="E5443" t="s">
        <v>19831</v>
      </c>
      <c r="F5443" t="s">
        <v>31574</v>
      </c>
      <c r="G5443" t="s">
        <v>31582</v>
      </c>
      <c r="H5443" t="s">
        <v>31590</v>
      </c>
      <c r="I5443" t="s">
        <v>3487</v>
      </c>
      <c r="J5443" t="s">
        <v>35265</v>
      </c>
      <c r="K5443" t="s">
        <v>41184</v>
      </c>
      <c r="M5443" t="s">
        <v>43412</v>
      </c>
      <c r="N5443" t="s">
        <v>45095</v>
      </c>
      <c r="O5443" t="s">
        <v>45096</v>
      </c>
      <c r="P5443">
        <v>0</v>
      </c>
      <c r="Q5443">
        <v>1</v>
      </c>
      <c r="R5443" t="s">
        <v>45102</v>
      </c>
      <c r="S5443" t="s">
        <v>45242</v>
      </c>
      <c r="T5443" t="s">
        <v>46949</v>
      </c>
      <c r="U5443" t="s">
        <v>52054</v>
      </c>
      <c r="W5443" t="s">
        <v>43412</v>
      </c>
      <c r="X5443" t="s">
        <v>45103</v>
      </c>
    </row>
    <row r="5444" spans="1:24">
      <c r="A5444">
        <f>HYPERLINK("https://www.philgeps.gov.ph/GEPSNONPILOT/Tender/SplashBidNoticeAbstractUI.aspx?menuIndex=3&amp;refID=7038881&amp;Result=3","7038881")</f>
        <v>0</v>
      </c>
      <c r="B5444" t="s">
        <v>1783</v>
      </c>
      <c r="C5444" t="s">
        <v>8401</v>
      </c>
      <c r="D5444" t="s">
        <v>18056</v>
      </c>
      <c r="E5444" t="s">
        <v>22973</v>
      </c>
      <c r="F5444" t="s">
        <v>31574</v>
      </c>
      <c r="G5444" t="s">
        <v>31586</v>
      </c>
      <c r="H5444" t="s">
        <v>31590</v>
      </c>
      <c r="I5444" t="s">
        <v>14034</v>
      </c>
      <c r="J5444" t="s">
        <v>35266</v>
      </c>
      <c r="K5444" t="s">
        <v>41190</v>
      </c>
      <c r="M5444" t="s">
        <v>43413</v>
      </c>
      <c r="N5444" t="s">
        <v>45095</v>
      </c>
      <c r="O5444" t="s">
        <v>45096</v>
      </c>
      <c r="P5444">
        <v>0</v>
      </c>
      <c r="Q5444">
        <v>0</v>
      </c>
      <c r="R5444" t="s">
        <v>45102</v>
      </c>
      <c r="S5444" t="s">
        <v>45242</v>
      </c>
      <c r="T5444" t="s">
        <v>47164</v>
      </c>
      <c r="U5444" t="s">
        <v>52055</v>
      </c>
      <c r="W5444" t="s">
        <v>43413</v>
      </c>
      <c r="X5444" t="s">
        <v>45103</v>
      </c>
    </row>
    <row r="5445" spans="1:24">
      <c r="A5445">
        <f>HYPERLINK("https://www.philgeps.gov.ph/GEPSNONPILOT/Tender/SplashBidNoticeAbstractUI.aspx?menuIndex=3&amp;refID=7038877&amp;Result=3","7038877")</f>
        <v>0</v>
      </c>
      <c r="B5445" t="s">
        <v>1727</v>
      </c>
      <c r="C5445" t="s">
        <v>8402</v>
      </c>
      <c r="D5445" t="s">
        <v>18028</v>
      </c>
      <c r="E5445" t="s">
        <v>22974</v>
      </c>
      <c r="F5445" t="s">
        <v>31574</v>
      </c>
      <c r="G5445" t="s">
        <v>31581</v>
      </c>
      <c r="H5445" t="s">
        <v>31590</v>
      </c>
      <c r="I5445" t="s">
        <v>4046</v>
      </c>
      <c r="J5445" t="s">
        <v>35267</v>
      </c>
      <c r="K5445" t="s">
        <v>41192</v>
      </c>
      <c r="M5445" t="s">
        <v>43345</v>
      </c>
      <c r="N5445" t="s">
        <v>45095</v>
      </c>
      <c r="O5445" t="s">
        <v>45096</v>
      </c>
      <c r="P5445">
        <v>0</v>
      </c>
      <c r="Q5445">
        <v>0</v>
      </c>
      <c r="R5445" t="s">
        <v>45102</v>
      </c>
      <c r="S5445" t="s">
        <v>45242</v>
      </c>
      <c r="T5445" t="s">
        <v>47125</v>
      </c>
      <c r="U5445" t="s">
        <v>47721</v>
      </c>
      <c r="W5445" t="s">
        <v>43345</v>
      </c>
      <c r="X5445" t="s">
        <v>45103</v>
      </c>
    </row>
    <row r="5446" spans="1:24">
      <c r="A5446">
        <f>HYPERLINK("https://www.philgeps.gov.ph/GEPSNONPILOT/Tender/SplashBidNoticeAbstractUI.aspx?menuIndex=3&amp;refID=7038876&amp;Result=3","7038876")</f>
        <v>0</v>
      </c>
      <c r="B5446" t="s">
        <v>1770</v>
      </c>
      <c r="C5446" t="s">
        <v>8403</v>
      </c>
      <c r="D5446" t="s">
        <v>18065</v>
      </c>
      <c r="E5446" t="s">
        <v>22975</v>
      </c>
      <c r="F5446" t="s">
        <v>31574</v>
      </c>
      <c r="G5446" t="s">
        <v>31582</v>
      </c>
      <c r="H5446" t="s">
        <v>31590</v>
      </c>
      <c r="I5446" t="s">
        <v>31602</v>
      </c>
      <c r="J5446" t="s">
        <v>32459</v>
      </c>
      <c r="K5446" t="s">
        <v>41186</v>
      </c>
      <c r="L5446" t="s">
        <v>1770</v>
      </c>
      <c r="M5446" t="s">
        <v>43400</v>
      </c>
      <c r="N5446" t="s">
        <v>45095</v>
      </c>
      <c r="O5446" t="s">
        <v>45096</v>
      </c>
      <c r="P5446">
        <v>0</v>
      </c>
      <c r="Q5446">
        <v>0</v>
      </c>
      <c r="R5446" t="s">
        <v>45102</v>
      </c>
      <c r="S5446" t="s">
        <v>45242</v>
      </c>
      <c r="T5446" t="s">
        <v>47252</v>
      </c>
      <c r="U5446" t="s">
        <v>52056</v>
      </c>
      <c r="W5446" t="s">
        <v>43400</v>
      </c>
      <c r="X5446" t="s">
        <v>45103</v>
      </c>
    </row>
    <row r="5447" spans="1:24">
      <c r="A5447">
        <f>HYPERLINK("https://www.philgeps.gov.ph/GEPSNONPILOT/Tender/SplashBidNoticeAbstractUI.aspx?menuIndex=3&amp;refID=7038896&amp;Result=3","7038896")</f>
        <v>0</v>
      </c>
      <c r="B5447" t="s">
        <v>1455</v>
      </c>
      <c r="C5447" t="s">
        <v>8404</v>
      </c>
      <c r="E5447" t="s">
        <v>22976</v>
      </c>
      <c r="F5447" t="s">
        <v>31574</v>
      </c>
      <c r="G5447" t="s">
        <v>31581</v>
      </c>
      <c r="H5447" t="s">
        <v>31590</v>
      </c>
      <c r="I5447" t="s">
        <v>3487</v>
      </c>
      <c r="J5447" t="s">
        <v>35268</v>
      </c>
      <c r="K5447" t="s">
        <v>41184</v>
      </c>
      <c r="M5447" t="s">
        <v>43035</v>
      </c>
      <c r="N5447" t="s">
        <v>45095</v>
      </c>
      <c r="O5447" t="s">
        <v>45096</v>
      </c>
      <c r="P5447">
        <v>0</v>
      </c>
      <c r="Q5447">
        <v>0</v>
      </c>
      <c r="R5447" t="s">
        <v>45102</v>
      </c>
      <c r="S5447" t="s">
        <v>45242</v>
      </c>
      <c r="T5447" t="s">
        <v>47154</v>
      </c>
      <c r="U5447" t="s">
        <v>52057</v>
      </c>
      <c r="W5447" t="s">
        <v>43035</v>
      </c>
      <c r="X5447" t="s">
        <v>45103</v>
      </c>
    </row>
    <row r="5448" spans="1:24">
      <c r="A5448">
        <f>HYPERLINK("https://www.philgeps.gov.ph/GEPSNONPILOT/Tender/SplashBidNoticeAbstractUI.aspx?menuIndex=3&amp;refID=7038897&amp;Result=3","7038897")</f>
        <v>0</v>
      </c>
      <c r="B5448" t="s">
        <v>1784</v>
      </c>
      <c r="C5448" t="s">
        <v>8405</v>
      </c>
      <c r="D5448" t="s">
        <v>18090</v>
      </c>
      <c r="E5448" t="s">
        <v>22977</v>
      </c>
      <c r="F5448" t="s">
        <v>31574</v>
      </c>
      <c r="G5448" t="s">
        <v>31582</v>
      </c>
      <c r="H5448" t="s">
        <v>31590</v>
      </c>
      <c r="I5448" t="s">
        <v>31615</v>
      </c>
      <c r="J5448" t="s">
        <v>35269</v>
      </c>
      <c r="K5448" t="s">
        <v>41189</v>
      </c>
      <c r="M5448" t="s">
        <v>43414</v>
      </c>
      <c r="N5448" t="s">
        <v>45095</v>
      </c>
      <c r="O5448" t="s">
        <v>45096</v>
      </c>
      <c r="P5448">
        <v>0</v>
      </c>
      <c r="Q5448">
        <v>3</v>
      </c>
      <c r="R5448" t="s">
        <v>45102</v>
      </c>
      <c r="S5448" t="s">
        <v>45242</v>
      </c>
      <c r="T5448" t="s">
        <v>46908</v>
      </c>
      <c r="U5448" t="s">
        <v>52058</v>
      </c>
      <c r="W5448" t="s">
        <v>43414</v>
      </c>
      <c r="X5448" t="s">
        <v>45103</v>
      </c>
    </row>
    <row r="5449" spans="1:24">
      <c r="A5449">
        <f>HYPERLINK("https://www.philgeps.gov.ph/GEPSNONPILOT/Tender/SplashBidNoticeAbstractUI.aspx?menuIndex=3&amp;refID=7038875&amp;Result=3","7038875")</f>
        <v>0</v>
      </c>
      <c r="B5449" t="s">
        <v>288</v>
      </c>
      <c r="C5449" t="s">
        <v>8406</v>
      </c>
      <c r="D5449" t="s">
        <v>18075</v>
      </c>
      <c r="E5449" t="s">
        <v>22978</v>
      </c>
      <c r="F5449" t="s">
        <v>31574</v>
      </c>
      <c r="G5449" t="s">
        <v>31581</v>
      </c>
      <c r="H5449" t="s">
        <v>31590</v>
      </c>
      <c r="I5449" t="s">
        <v>3539</v>
      </c>
      <c r="J5449" t="s">
        <v>35270</v>
      </c>
      <c r="K5449" t="s">
        <v>41216</v>
      </c>
      <c r="M5449" t="s">
        <v>41774</v>
      </c>
      <c r="N5449" t="s">
        <v>45095</v>
      </c>
      <c r="O5449" t="s">
        <v>45096</v>
      </c>
      <c r="P5449">
        <v>0</v>
      </c>
      <c r="Q5449">
        <v>3</v>
      </c>
      <c r="R5449" t="s">
        <v>45102</v>
      </c>
      <c r="S5449" t="s">
        <v>45242</v>
      </c>
      <c r="T5449" t="s">
        <v>47187</v>
      </c>
      <c r="U5449" t="s">
        <v>51846</v>
      </c>
      <c r="W5449" t="s">
        <v>41774</v>
      </c>
      <c r="X5449" t="s">
        <v>45103</v>
      </c>
    </row>
    <row r="5450" spans="1:24">
      <c r="A5450">
        <f>HYPERLINK("https://www.philgeps.gov.ph/GEPSNONPILOT/Tender/SplashBidNoticeAbstractUI.aspx?menuIndex=3&amp;refID=7038859&amp;Result=3","7038859")</f>
        <v>0</v>
      </c>
      <c r="B5450" t="s">
        <v>132</v>
      </c>
      <c r="C5450" t="s">
        <v>8407</v>
      </c>
      <c r="D5450" t="s">
        <v>18059</v>
      </c>
      <c r="E5450" t="s">
        <v>22979</v>
      </c>
      <c r="F5450" t="s">
        <v>31574</v>
      </c>
      <c r="G5450" t="s">
        <v>31582</v>
      </c>
      <c r="H5450" t="s">
        <v>31590</v>
      </c>
      <c r="I5450" t="s">
        <v>4046</v>
      </c>
      <c r="J5450" t="s">
        <v>35271</v>
      </c>
      <c r="K5450" t="s">
        <v>41190</v>
      </c>
      <c r="M5450" t="s">
        <v>41616</v>
      </c>
      <c r="N5450" t="s">
        <v>45095</v>
      </c>
      <c r="O5450" t="s">
        <v>45096</v>
      </c>
      <c r="P5450">
        <v>0</v>
      </c>
      <c r="Q5450">
        <v>0</v>
      </c>
      <c r="R5450" t="s">
        <v>45102</v>
      </c>
      <c r="S5450" t="s">
        <v>45242</v>
      </c>
      <c r="T5450" t="s">
        <v>46973</v>
      </c>
      <c r="U5450" t="s">
        <v>52059</v>
      </c>
      <c r="W5450" t="s">
        <v>41616</v>
      </c>
      <c r="X5450" t="s">
        <v>45103</v>
      </c>
    </row>
    <row r="5451" spans="1:24">
      <c r="A5451">
        <f>HYPERLINK("https://www.philgeps.gov.ph/GEPSNONPILOT/Tender/SplashBidNoticeAbstractUI.aspx?menuIndex=3&amp;refID=7038864&amp;Result=3","7038864")</f>
        <v>0</v>
      </c>
      <c r="B5451" t="s">
        <v>1760</v>
      </c>
      <c r="C5451" t="s">
        <v>8408</v>
      </c>
      <c r="D5451" t="s">
        <v>18028</v>
      </c>
      <c r="E5451" t="s">
        <v>22980</v>
      </c>
      <c r="F5451" t="s">
        <v>31574</v>
      </c>
      <c r="G5451" t="s">
        <v>31582</v>
      </c>
      <c r="H5451" t="s">
        <v>31591</v>
      </c>
      <c r="I5451" t="s">
        <v>8822</v>
      </c>
      <c r="J5451" t="s">
        <v>32510</v>
      </c>
      <c r="K5451" t="s">
        <v>41272</v>
      </c>
      <c r="M5451" t="s">
        <v>43388</v>
      </c>
      <c r="N5451" t="s">
        <v>45095</v>
      </c>
      <c r="O5451" t="s">
        <v>45096</v>
      </c>
      <c r="P5451">
        <v>0</v>
      </c>
      <c r="Q5451">
        <v>0</v>
      </c>
      <c r="R5451" t="s">
        <v>45102</v>
      </c>
      <c r="S5451" t="s">
        <v>45242</v>
      </c>
      <c r="T5451" t="s">
        <v>46972</v>
      </c>
      <c r="U5451" t="s">
        <v>52060</v>
      </c>
      <c r="W5451" t="s">
        <v>43388</v>
      </c>
      <c r="X5451" t="s">
        <v>45103</v>
      </c>
    </row>
    <row r="5452" spans="1:24">
      <c r="A5452">
        <f>HYPERLINK("https://www.philgeps.gov.ph/GEPSNONPILOT/Tender/SplashBidNoticeAbstractUI.aspx?menuIndex=3&amp;refID=7038892&amp;Result=3","7038892")</f>
        <v>0</v>
      </c>
      <c r="B5452" t="s">
        <v>312</v>
      </c>
      <c r="C5452" t="s">
        <v>8409</v>
      </c>
      <c r="D5452" t="s">
        <v>18024</v>
      </c>
      <c r="E5452" t="s">
        <v>22981</v>
      </c>
      <c r="F5452" t="s">
        <v>31574</v>
      </c>
      <c r="G5452" t="s">
        <v>31581</v>
      </c>
      <c r="H5452" t="s">
        <v>31591</v>
      </c>
      <c r="I5452" t="s">
        <v>4046</v>
      </c>
      <c r="J5452" t="s">
        <v>35248</v>
      </c>
      <c r="K5452" t="s">
        <v>41196</v>
      </c>
      <c r="M5452" t="s">
        <v>41799</v>
      </c>
      <c r="N5452" t="s">
        <v>45095</v>
      </c>
      <c r="O5452" t="s">
        <v>45096</v>
      </c>
      <c r="P5452">
        <v>0</v>
      </c>
      <c r="Q5452">
        <v>0</v>
      </c>
      <c r="R5452" t="s">
        <v>45102</v>
      </c>
      <c r="S5452" t="s">
        <v>45242</v>
      </c>
      <c r="T5452" t="s">
        <v>47183</v>
      </c>
      <c r="U5452" t="s">
        <v>52029</v>
      </c>
      <c r="W5452" t="s">
        <v>41799</v>
      </c>
      <c r="X5452" t="s">
        <v>45103</v>
      </c>
    </row>
    <row r="5453" spans="1:24">
      <c r="A5453">
        <f>HYPERLINK("https://www.philgeps.gov.ph/GEPSNONPILOT/Tender/SplashBidNoticeAbstractUI.aspx?menuIndex=3&amp;refID=7038886&amp;Result=3","7038886")</f>
        <v>0</v>
      </c>
      <c r="B5453" t="s">
        <v>1116</v>
      </c>
      <c r="C5453" t="s">
        <v>8410</v>
      </c>
      <c r="D5453" t="s">
        <v>18095</v>
      </c>
      <c r="E5453" t="s">
        <v>22982</v>
      </c>
      <c r="F5453" t="s">
        <v>31574</v>
      </c>
      <c r="G5453" t="s">
        <v>31582</v>
      </c>
      <c r="H5453" t="s">
        <v>31591</v>
      </c>
      <c r="I5453" t="s">
        <v>8822</v>
      </c>
      <c r="J5453" t="s">
        <v>35272</v>
      </c>
      <c r="K5453" t="s">
        <v>41200</v>
      </c>
      <c r="M5453" t="s">
        <v>43361</v>
      </c>
      <c r="N5453" t="s">
        <v>45095</v>
      </c>
      <c r="O5453" t="s">
        <v>45096</v>
      </c>
      <c r="P5453">
        <v>0</v>
      </c>
      <c r="Q5453">
        <v>0</v>
      </c>
      <c r="R5453" t="s">
        <v>45102</v>
      </c>
      <c r="S5453" t="s">
        <v>45242</v>
      </c>
      <c r="T5453" t="s">
        <v>47211</v>
      </c>
      <c r="U5453" t="s">
        <v>52061</v>
      </c>
      <c r="W5453" t="s">
        <v>43361</v>
      </c>
      <c r="X5453" t="s">
        <v>45103</v>
      </c>
    </row>
    <row r="5454" spans="1:24">
      <c r="A5454">
        <f>HYPERLINK("https://www.philgeps.gov.ph/GEPSNONPILOT/Tender/SplashBidNoticeAbstractUI.aspx?menuIndex=3&amp;refID=7038885&amp;Result=3","7038885")</f>
        <v>0</v>
      </c>
      <c r="B5454" t="s">
        <v>459</v>
      </c>
      <c r="C5454" t="s">
        <v>8411</v>
      </c>
      <c r="D5454" t="s">
        <v>18079</v>
      </c>
      <c r="E5454" t="s">
        <v>22983</v>
      </c>
      <c r="F5454" t="s">
        <v>31574</v>
      </c>
      <c r="G5454" t="s">
        <v>31581</v>
      </c>
      <c r="H5454" t="s">
        <v>31593</v>
      </c>
      <c r="I5454" t="s">
        <v>31593</v>
      </c>
      <c r="J5454" t="s">
        <v>35273</v>
      </c>
      <c r="K5454" t="s">
        <v>41195</v>
      </c>
      <c r="M5454" t="s">
        <v>41953</v>
      </c>
      <c r="N5454" t="s">
        <v>45095</v>
      </c>
      <c r="O5454" t="s">
        <v>45096</v>
      </c>
      <c r="P5454">
        <v>0</v>
      </c>
      <c r="Q5454">
        <v>0</v>
      </c>
      <c r="R5454" t="s">
        <v>45102</v>
      </c>
      <c r="S5454" t="s">
        <v>45242</v>
      </c>
      <c r="T5454" t="s">
        <v>47255</v>
      </c>
      <c r="U5454" t="s">
        <v>52062</v>
      </c>
      <c r="V5454" t="s">
        <v>60427</v>
      </c>
      <c r="W5454" t="s">
        <v>41953</v>
      </c>
      <c r="X5454" t="s">
        <v>45103</v>
      </c>
    </row>
    <row r="5455" spans="1:24">
      <c r="A5455">
        <f>HYPERLINK("https://www.philgeps.gov.ph/GEPSNONPILOT/Tender/SplashBidNoticeAbstractUI.aspx?menuIndex=3&amp;refID=7038871&amp;Result=3","7038871")</f>
        <v>0</v>
      </c>
      <c r="B5455" t="s">
        <v>1764</v>
      </c>
      <c r="C5455" t="s">
        <v>8412</v>
      </c>
      <c r="D5455" t="s">
        <v>18041</v>
      </c>
      <c r="E5455" t="s">
        <v>18376</v>
      </c>
      <c r="F5455" t="s">
        <v>31574</v>
      </c>
      <c r="G5455" t="s">
        <v>31582</v>
      </c>
      <c r="H5455" t="s">
        <v>31590</v>
      </c>
      <c r="I5455" t="s">
        <v>4046</v>
      </c>
      <c r="J5455" t="s">
        <v>35274</v>
      </c>
      <c r="K5455" t="s">
        <v>41196</v>
      </c>
      <c r="M5455" t="s">
        <v>43394</v>
      </c>
      <c r="N5455" t="s">
        <v>45095</v>
      </c>
      <c r="O5455" t="s">
        <v>45096</v>
      </c>
      <c r="P5455">
        <v>0</v>
      </c>
      <c r="Q5455">
        <v>1</v>
      </c>
      <c r="R5455" t="s">
        <v>45102</v>
      </c>
      <c r="S5455" t="s">
        <v>45242</v>
      </c>
      <c r="T5455" t="s">
        <v>46965</v>
      </c>
      <c r="U5455" t="s">
        <v>52063</v>
      </c>
      <c r="W5455" t="s">
        <v>43394</v>
      </c>
      <c r="X5455" t="s">
        <v>45103</v>
      </c>
    </row>
    <row r="5456" spans="1:24">
      <c r="A5456">
        <f>HYPERLINK("https://www.philgeps.gov.ph/GEPSNONPILOT/Tender/SplashBidNoticeAbstractUI.aspx?menuIndex=3&amp;refID=7038893&amp;Result=3","7038893")</f>
        <v>0</v>
      </c>
      <c r="B5456" t="s">
        <v>1785</v>
      </c>
      <c r="C5456" t="s">
        <v>8413</v>
      </c>
      <c r="D5456" t="s">
        <v>18026</v>
      </c>
      <c r="E5456" t="s">
        <v>8413</v>
      </c>
      <c r="F5456" t="s">
        <v>31574</v>
      </c>
      <c r="G5456" t="s">
        <v>31581</v>
      </c>
      <c r="H5456" t="s">
        <v>31592</v>
      </c>
      <c r="I5456" t="s">
        <v>4327</v>
      </c>
      <c r="J5456" t="s">
        <v>33508</v>
      </c>
      <c r="K5456" t="s">
        <v>41192</v>
      </c>
      <c r="M5456" t="s">
        <v>43415</v>
      </c>
      <c r="N5456" t="s">
        <v>45095</v>
      </c>
      <c r="O5456" t="s">
        <v>45096</v>
      </c>
      <c r="P5456">
        <v>0</v>
      </c>
      <c r="Q5456">
        <v>0</v>
      </c>
      <c r="R5456" t="s">
        <v>45102</v>
      </c>
      <c r="S5456" t="s">
        <v>45242</v>
      </c>
      <c r="T5456" t="s">
        <v>46913</v>
      </c>
      <c r="U5456" t="s">
        <v>52064</v>
      </c>
      <c r="W5456" t="s">
        <v>43415</v>
      </c>
      <c r="X5456" t="s">
        <v>45103</v>
      </c>
    </row>
    <row r="5457" spans="1:24">
      <c r="A5457">
        <f>HYPERLINK("https://www.philgeps.gov.ph/GEPSNONPILOT/Tender/SplashBidNoticeAbstractUI.aspx?menuIndex=3&amp;refID=7038883&amp;Result=3","7038883")</f>
        <v>0</v>
      </c>
      <c r="B5457" t="s">
        <v>1409</v>
      </c>
      <c r="C5457" t="s">
        <v>8414</v>
      </c>
      <c r="D5457" t="s">
        <v>18050</v>
      </c>
      <c r="E5457" t="s">
        <v>22984</v>
      </c>
      <c r="F5457" t="s">
        <v>31574</v>
      </c>
      <c r="G5457" t="s">
        <v>31583</v>
      </c>
      <c r="H5457" t="s">
        <v>31590</v>
      </c>
      <c r="I5457" t="s">
        <v>5717</v>
      </c>
      <c r="J5457" t="s">
        <v>32017</v>
      </c>
      <c r="K5457" t="s">
        <v>41186</v>
      </c>
      <c r="M5457" t="s">
        <v>42985</v>
      </c>
      <c r="N5457" t="s">
        <v>45095</v>
      </c>
      <c r="O5457" t="s">
        <v>45096</v>
      </c>
      <c r="P5457">
        <v>0</v>
      </c>
      <c r="Q5457">
        <v>0</v>
      </c>
      <c r="R5457" t="s">
        <v>45102</v>
      </c>
      <c r="S5457" t="s">
        <v>45242</v>
      </c>
      <c r="T5457" t="s">
        <v>46949</v>
      </c>
      <c r="U5457" t="s">
        <v>51073</v>
      </c>
      <c r="W5457" t="s">
        <v>42985</v>
      </c>
      <c r="X5457" t="s">
        <v>45103</v>
      </c>
    </row>
    <row r="5458" spans="1:24">
      <c r="A5458">
        <f>HYPERLINK("https://www.philgeps.gov.ph/GEPSNONPILOT/Tender/SplashBidNoticeAbstractUI.aspx?menuIndex=3&amp;refID=7038882&amp;Result=3","7038882")</f>
        <v>0</v>
      </c>
      <c r="B5458" t="s">
        <v>1386</v>
      </c>
      <c r="C5458" t="s">
        <v>8415</v>
      </c>
      <c r="D5458" t="s">
        <v>18039</v>
      </c>
      <c r="E5458" t="s">
        <v>22985</v>
      </c>
      <c r="F5458" t="s">
        <v>31574</v>
      </c>
      <c r="G5458" t="s">
        <v>31582</v>
      </c>
      <c r="H5458" t="s">
        <v>31591</v>
      </c>
      <c r="I5458" t="s">
        <v>8822</v>
      </c>
      <c r="J5458" t="s">
        <v>35275</v>
      </c>
      <c r="K5458" t="s">
        <v>41184</v>
      </c>
      <c r="M5458" t="s">
        <v>42960</v>
      </c>
      <c r="N5458" t="s">
        <v>45095</v>
      </c>
      <c r="O5458" t="s">
        <v>45096</v>
      </c>
      <c r="P5458">
        <v>0</v>
      </c>
      <c r="Q5458">
        <v>0</v>
      </c>
      <c r="R5458" t="s">
        <v>45102</v>
      </c>
      <c r="S5458" t="s">
        <v>45242</v>
      </c>
      <c r="T5458" t="s">
        <v>47166</v>
      </c>
      <c r="U5458" t="s">
        <v>52065</v>
      </c>
      <c r="W5458" t="s">
        <v>42960</v>
      </c>
      <c r="X5458" t="s">
        <v>45103</v>
      </c>
    </row>
    <row r="5459" spans="1:24">
      <c r="A5459">
        <f>HYPERLINK("https://www.philgeps.gov.ph/GEPSNONPILOT/Tender/SplashBidNoticeAbstractUI.aspx?menuIndex=3&amp;refID=7038872&amp;Result=3","7038872")</f>
        <v>0</v>
      </c>
      <c r="B5459" t="s">
        <v>1116</v>
      </c>
      <c r="C5459" t="s">
        <v>8416</v>
      </c>
      <c r="D5459" t="s">
        <v>18095</v>
      </c>
      <c r="E5459" t="s">
        <v>22986</v>
      </c>
      <c r="F5459" t="s">
        <v>31574</v>
      </c>
      <c r="G5459" t="s">
        <v>31582</v>
      </c>
      <c r="H5459" t="s">
        <v>31591</v>
      </c>
      <c r="I5459" t="s">
        <v>8822</v>
      </c>
      <c r="J5459" t="s">
        <v>35276</v>
      </c>
      <c r="K5459" t="s">
        <v>41200</v>
      </c>
      <c r="M5459" t="s">
        <v>43361</v>
      </c>
      <c r="N5459" t="s">
        <v>45095</v>
      </c>
      <c r="O5459" t="s">
        <v>45096</v>
      </c>
      <c r="P5459">
        <v>0</v>
      </c>
      <c r="Q5459">
        <v>0</v>
      </c>
      <c r="R5459" t="s">
        <v>45102</v>
      </c>
      <c r="S5459" t="s">
        <v>45242</v>
      </c>
      <c r="T5459" t="s">
        <v>47211</v>
      </c>
      <c r="U5459" t="s">
        <v>52066</v>
      </c>
      <c r="W5459" t="s">
        <v>43361</v>
      </c>
      <c r="X5459" t="s">
        <v>45103</v>
      </c>
    </row>
    <row r="5460" spans="1:24">
      <c r="A5460">
        <f>HYPERLINK("https://www.philgeps.gov.ph/GEPSNONPILOT/Tender/SplashBidNoticeAbstractUI.aspx?menuIndex=3&amp;refID=7038898&amp;Result=3","7038898")</f>
        <v>0</v>
      </c>
      <c r="B5460" t="s">
        <v>1777</v>
      </c>
      <c r="C5460" t="s">
        <v>8417</v>
      </c>
      <c r="E5460" t="s">
        <v>22987</v>
      </c>
      <c r="F5460" t="s">
        <v>31574</v>
      </c>
      <c r="G5460" t="s">
        <v>31581</v>
      </c>
      <c r="H5460" t="s">
        <v>31590</v>
      </c>
      <c r="I5460" t="s">
        <v>3489</v>
      </c>
      <c r="J5460" t="s">
        <v>35277</v>
      </c>
      <c r="K5460" t="s">
        <v>41196</v>
      </c>
      <c r="M5460" t="s">
        <v>43407</v>
      </c>
      <c r="N5460" t="s">
        <v>45095</v>
      </c>
      <c r="O5460" t="s">
        <v>45096</v>
      </c>
      <c r="P5460">
        <v>0</v>
      </c>
      <c r="Q5460">
        <v>2</v>
      </c>
      <c r="R5460" t="s">
        <v>45102</v>
      </c>
      <c r="S5460" t="s">
        <v>45242</v>
      </c>
      <c r="T5460" t="s">
        <v>47158</v>
      </c>
      <c r="U5460" t="s">
        <v>52067</v>
      </c>
      <c r="V5460" t="s">
        <v>60426</v>
      </c>
      <c r="W5460" t="s">
        <v>43407</v>
      </c>
      <c r="X5460" t="s">
        <v>45103</v>
      </c>
    </row>
    <row r="5461" spans="1:24">
      <c r="A5461">
        <f>HYPERLINK("https://www.philgeps.gov.ph/GEPSNONPILOT/Tender/SplashBidNoticeAbstractUI.aspx?menuIndex=3&amp;refID=7038874&amp;Result=3","7038874")</f>
        <v>0</v>
      </c>
      <c r="B5461" t="s">
        <v>1786</v>
      </c>
      <c r="C5461" t="s">
        <v>8418</v>
      </c>
      <c r="D5461" t="s">
        <v>18079</v>
      </c>
      <c r="E5461" t="s">
        <v>22988</v>
      </c>
      <c r="F5461" t="s">
        <v>31574</v>
      </c>
      <c r="G5461" t="s">
        <v>31582</v>
      </c>
      <c r="H5461" t="s">
        <v>31591</v>
      </c>
      <c r="I5461" t="s">
        <v>8822</v>
      </c>
      <c r="J5461" t="s">
        <v>32232</v>
      </c>
      <c r="K5461" t="s">
        <v>41206</v>
      </c>
      <c r="M5461" t="s">
        <v>43416</v>
      </c>
      <c r="N5461" t="s">
        <v>45095</v>
      </c>
      <c r="O5461" t="s">
        <v>45096</v>
      </c>
      <c r="P5461">
        <v>0</v>
      </c>
      <c r="Q5461">
        <v>0</v>
      </c>
      <c r="R5461" t="s">
        <v>45102</v>
      </c>
      <c r="S5461" t="s">
        <v>45242</v>
      </c>
      <c r="T5461" t="s">
        <v>46988</v>
      </c>
      <c r="U5461" t="s">
        <v>52068</v>
      </c>
      <c r="W5461" t="s">
        <v>43416</v>
      </c>
      <c r="X5461" t="s">
        <v>45103</v>
      </c>
    </row>
    <row r="5462" spans="1:24">
      <c r="A5462">
        <f>HYPERLINK("https://www.philgeps.gov.ph/GEPSNONPILOT/Tender/SplashBidNoticeAbstractUI.aspx?menuIndex=3&amp;refID=7038900&amp;Result=3","7038900")</f>
        <v>0</v>
      </c>
      <c r="B5462" t="s">
        <v>1772</v>
      </c>
      <c r="C5462" t="s">
        <v>8419</v>
      </c>
      <c r="D5462" t="s">
        <v>18041</v>
      </c>
      <c r="E5462" t="s">
        <v>21451</v>
      </c>
      <c r="F5462" t="s">
        <v>31574</v>
      </c>
      <c r="G5462" t="s">
        <v>31581</v>
      </c>
      <c r="H5462" t="s">
        <v>31590</v>
      </c>
      <c r="I5462" t="s">
        <v>8258</v>
      </c>
      <c r="J5462" t="s">
        <v>35278</v>
      </c>
      <c r="K5462" t="s">
        <v>41196</v>
      </c>
      <c r="M5462" t="s">
        <v>43402</v>
      </c>
      <c r="N5462" t="s">
        <v>45095</v>
      </c>
      <c r="O5462" t="s">
        <v>45096</v>
      </c>
      <c r="P5462">
        <v>0</v>
      </c>
      <c r="Q5462">
        <v>3</v>
      </c>
      <c r="R5462" t="s">
        <v>45102</v>
      </c>
      <c r="S5462" t="s">
        <v>45242</v>
      </c>
      <c r="T5462" t="s">
        <v>47067</v>
      </c>
      <c r="U5462" t="s">
        <v>52069</v>
      </c>
      <c r="V5462" t="s">
        <v>60423</v>
      </c>
      <c r="W5462" t="s">
        <v>43402</v>
      </c>
      <c r="X5462" t="s">
        <v>45103</v>
      </c>
    </row>
    <row r="5463" spans="1:24">
      <c r="A5463">
        <f>HYPERLINK("https://www.philgeps.gov.ph/GEPSNONPILOT/Tender/SplashBidNoticeAbstractUI.aspx?menuIndex=3&amp;refID=7038908&amp;Result=3","7038908")</f>
        <v>0</v>
      </c>
      <c r="B5463" t="s">
        <v>1763</v>
      </c>
      <c r="C5463" t="s">
        <v>8420</v>
      </c>
      <c r="D5463" t="s">
        <v>18039</v>
      </c>
      <c r="E5463" t="s">
        <v>22989</v>
      </c>
      <c r="F5463" t="s">
        <v>31574</v>
      </c>
      <c r="G5463" t="s">
        <v>31581</v>
      </c>
      <c r="H5463" t="s">
        <v>31590</v>
      </c>
      <c r="I5463" t="s">
        <v>31608</v>
      </c>
      <c r="J5463" t="s">
        <v>33219</v>
      </c>
      <c r="K5463" t="s">
        <v>41213</v>
      </c>
      <c r="M5463" t="s">
        <v>43392</v>
      </c>
      <c r="N5463" t="s">
        <v>45095</v>
      </c>
      <c r="O5463" t="s">
        <v>45096</v>
      </c>
      <c r="P5463">
        <v>0</v>
      </c>
      <c r="Q5463">
        <v>2</v>
      </c>
      <c r="R5463" t="s">
        <v>45102</v>
      </c>
      <c r="S5463" t="s">
        <v>45242</v>
      </c>
      <c r="T5463" t="s">
        <v>46957</v>
      </c>
      <c r="U5463" t="s">
        <v>51976</v>
      </c>
      <c r="W5463" t="s">
        <v>43392</v>
      </c>
      <c r="X5463" t="s">
        <v>45103</v>
      </c>
    </row>
    <row r="5464" spans="1:24">
      <c r="A5464">
        <f>HYPERLINK("https://www.philgeps.gov.ph/GEPSNONPILOT/Tender/SplashBidNoticeAbstractUI.aspx?menuIndex=3&amp;refID=7038905&amp;Result=3","7038905")</f>
        <v>0</v>
      </c>
      <c r="B5464" t="s">
        <v>1747</v>
      </c>
      <c r="C5464" t="s">
        <v>4523</v>
      </c>
      <c r="D5464" t="s">
        <v>18090</v>
      </c>
      <c r="E5464" t="s">
        <v>22990</v>
      </c>
      <c r="F5464" t="s">
        <v>31574</v>
      </c>
      <c r="G5464" t="s">
        <v>31585</v>
      </c>
      <c r="H5464" t="s">
        <v>31590</v>
      </c>
      <c r="I5464" t="s">
        <v>4046</v>
      </c>
      <c r="J5464" t="s">
        <v>35279</v>
      </c>
      <c r="K5464" t="s">
        <v>41196</v>
      </c>
      <c r="M5464" t="s">
        <v>43370</v>
      </c>
      <c r="N5464" t="s">
        <v>45095</v>
      </c>
      <c r="O5464" t="s">
        <v>45096</v>
      </c>
      <c r="P5464">
        <v>0</v>
      </c>
      <c r="Q5464">
        <v>0</v>
      </c>
      <c r="R5464" t="s">
        <v>45102</v>
      </c>
      <c r="S5464" t="s">
        <v>45242</v>
      </c>
      <c r="T5464" t="s">
        <v>47256</v>
      </c>
      <c r="U5464" t="s">
        <v>52070</v>
      </c>
      <c r="W5464" t="s">
        <v>43370</v>
      </c>
      <c r="X5464" t="s">
        <v>45103</v>
      </c>
    </row>
    <row r="5465" spans="1:24">
      <c r="A5465">
        <f>HYPERLINK("https://www.philgeps.gov.ph/GEPSNONPILOT/Tender/SplashBidNoticeAbstractUI.aspx?menuIndex=3&amp;refID=7038907&amp;Result=3","7038907")</f>
        <v>0</v>
      </c>
      <c r="B5465" t="s">
        <v>1786</v>
      </c>
      <c r="C5465" t="s">
        <v>8421</v>
      </c>
      <c r="D5465" t="s">
        <v>18079</v>
      </c>
      <c r="E5465" t="s">
        <v>22991</v>
      </c>
      <c r="F5465" t="s">
        <v>31574</v>
      </c>
      <c r="G5465" t="s">
        <v>31582</v>
      </c>
      <c r="H5465" t="s">
        <v>31591</v>
      </c>
      <c r="I5465" t="s">
        <v>8822</v>
      </c>
      <c r="J5465" t="s">
        <v>35280</v>
      </c>
      <c r="K5465" t="s">
        <v>41203</v>
      </c>
      <c r="M5465" t="s">
        <v>43416</v>
      </c>
      <c r="N5465" t="s">
        <v>45095</v>
      </c>
      <c r="O5465" t="s">
        <v>45096</v>
      </c>
      <c r="P5465">
        <v>0</v>
      </c>
      <c r="Q5465">
        <v>0</v>
      </c>
      <c r="R5465" t="s">
        <v>45102</v>
      </c>
      <c r="S5465" t="s">
        <v>45242</v>
      </c>
      <c r="T5465" t="s">
        <v>46988</v>
      </c>
      <c r="U5465" t="s">
        <v>52071</v>
      </c>
      <c r="W5465" t="s">
        <v>43416</v>
      </c>
      <c r="X5465" t="s">
        <v>45103</v>
      </c>
    </row>
    <row r="5466" spans="1:24">
      <c r="A5466">
        <f>HYPERLINK("https://www.philgeps.gov.ph/GEPSNONPILOT/Tender/SplashBidNoticeAbstractUI.aspx?menuIndex=3&amp;refID=7038901&amp;Result=3","7038901")</f>
        <v>0</v>
      </c>
      <c r="B5466" t="s">
        <v>1787</v>
      </c>
      <c r="C5466" t="s">
        <v>8422</v>
      </c>
      <c r="D5466" t="s">
        <v>18050</v>
      </c>
      <c r="E5466" t="s">
        <v>20074</v>
      </c>
      <c r="F5466" t="s">
        <v>31574</v>
      </c>
      <c r="G5466" t="s">
        <v>31581</v>
      </c>
      <c r="H5466" t="s">
        <v>31590</v>
      </c>
      <c r="I5466" t="s">
        <v>31623</v>
      </c>
      <c r="J5466" t="s">
        <v>35281</v>
      </c>
      <c r="K5466" t="s">
        <v>41184</v>
      </c>
      <c r="M5466" t="s">
        <v>43417</v>
      </c>
      <c r="N5466" t="s">
        <v>45095</v>
      </c>
      <c r="O5466" t="s">
        <v>45096</v>
      </c>
      <c r="P5466">
        <v>0</v>
      </c>
      <c r="Q5466">
        <v>0</v>
      </c>
      <c r="R5466" t="s">
        <v>45102</v>
      </c>
      <c r="S5466" t="s">
        <v>45242</v>
      </c>
      <c r="T5466" t="s">
        <v>46957</v>
      </c>
      <c r="U5466" t="s">
        <v>52072</v>
      </c>
      <c r="W5466" t="s">
        <v>43417</v>
      </c>
      <c r="X5466" t="s">
        <v>45103</v>
      </c>
    </row>
    <row r="5467" spans="1:24">
      <c r="A5467">
        <f>HYPERLINK("https://www.philgeps.gov.ph/GEPSNONPILOT/Tender/SplashBidNoticeAbstractUI.aspx?menuIndex=3&amp;refID=7038914&amp;Result=3","7038914")</f>
        <v>0</v>
      </c>
      <c r="B5467" t="s">
        <v>1760</v>
      </c>
      <c r="C5467" t="s">
        <v>8423</v>
      </c>
      <c r="D5467" t="s">
        <v>18028</v>
      </c>
      <c r="E5467" t="s">
        <v>22992</v>
      </c>
      <c r="F5467" t="s">
        <v>31574</v>
      </c>
      <c r="G5467" t="s">
        <v>31582</v>
      </c>
      <c r="H5467" t="s">
        <v>31591</v>
      </c>
      <c r="I5467" t="s">
        <v>8822</v>
      </c>
      <c r="J5467" t="s">
        <v>32101</v>
      </c>
      <c r="K5467" t="s">
        <v>41260</v>
      </c>
      <c r="M5467" t="s">
        <v>43388</v>
      </c>
      <c r="N5467" t="s">
        <v>45095</v>
      </c>
      <c r="O5467" t="s">
        <v>45096</v>
      </c>
      <c r="P5467">
        <v>0</v>
      </c>
      <c r="Q5467">
        <v>0</v>
      </c>
      <c r="R5467" t="s">
        <v>45102</v>
      </c>
      <c r="S5467" t="s">
        <v>45242</v>
      </c>
      <c r="T5467" t="s">
        <v>47257</v>
      </c>
      <c r="U5467" t="s">
        <v>52073</v>
      </c>
      <c r="W5467" t="s">
        <v>43388</v>
      </c>
      <c r="X5467" t="s">
        <v>45103</v>
      </c>
    </row>
    <row r="5468" spans="1:24">
      <c r="A5468">
        <f>HYPERLINK("https://www.philgeps.gov.ph/GEPSNONPILOT/Tender/SplashBidNoticeAbstractUI.aspx?menuIndex=3&amp;refID=7038919&amp;Result=3","7038919")</f>
        <v>0</v>
      </c>
      <c r="B5468" t="s">
        <v>1774</v>
      </c>
      <c r="C5468" t="s">
        <v>8424</v>
      </c>
      <c r="D5468" t="s">
        <v>18087</v>
      </c>
      <c r="E5468" t="s">
        <v>22993</v>
      </c>
      <c r="F5468" t="s">
        <v>31574</v>
      </c>
      <c r="G5468" t="s">
        <v>31583</v>
      </c>
      <c r="H5468" t="s">
        <v>31590</v>
      </c>
      <c r="I5468" t="s">
        <v>3489</v>
      </c>
      <c r="J5468" t="s">
        <v>35282</v>
      </c>
      <c r="K5468" t="s">
        <v>41186</v>
      </c>
      <c r="M5468" t="s">
        <v>43404</v>
      </c>
      <c r="N5468" t="s">
        <v>45095</v>
      </c>
      <c r="O5468" t="s">
        <v>45096</v>
      </c>
      <c r="P5468">
        <v>0</v>
      </c>
      <c r="Q5468">
        <v>0</v>
      </c>
      <c r="R5468" t="s">
        <v>45102</v>
      </c>
      <c r="S5468" t="s">
        <v>45242</v>
      </c>
      <c r="T5468" t="s">
        <v>46963</v>
      </c>
      <c r="U5468" t="s">
        <v>52024</v>
      </c>
      <c r="W5468" t="s">
        <v>43404</v>
      </c>
      <c r="X5468" t="s">
        <v>45103</v>
      </c>
    </row>
    <row r="5469" spans="1:24">
      <c r="A5469">
        <f>HYPERLINK("https://www.philgeps.gov.ph/GEPSNONPILOT/Tender/SplashBidNoticeAbstractUI.aspx?menuIndex=3&amp;refID=7038911&amp;Result=3","7038911")</f>
        <v>0</v>
      </c>
      <c r="B5469" t="s">
        <v>1770</v>
      </c>
      <c r="C5469" t="s">
        <v>8425</v>
      </c>
      <c r="D5469" t="s">
        <v>18065</v>
      </c>
      <c r="E5469" t="s">
        <v>22994</v>
      </c>
      <c r="F5469" t="s">
        <v>31574</v>
      </c>
      <c r="G5469" t="s">
        <v>31582</v>
      </c>
      <c r="H5469" t="s">
        <v>31590</v>
      </c>
      <c r="I5469" t="s">
        <v>14544</v>
      </c>
      <c r="J5469" t="s">
        <v>35283</v>
      </c>
      <c r="K5469" t="s">
        <v>41196</v>
      </c>
      <c r="L5469" t="s">
        <v>1770</v>
      </c>
      <c r="M5469" t="s">
        <v>43400</v>
      </c>
      <c r="N5469" t="s">
        <v>45095</v>
      </c>
      <c r="O5469" t="s">
        <v>45096</v>
      </c>
      <c r="P5469">
        <v>0</v>
      </c>
      <c r="Q5469">
        <v>1</v>
      </c>
      <c r="R5469" t="s">
        <v>45102</v>
      </c>
      <c r="S5469" t="s">
        <v>45242</v>
      </c>
      <c r="T5469" t="s">
        <v>47252</v>
      </c>
      <c r="U5469" t="s">
        <v>52074</v>
      </c>
      <c r="W5469" t="s">
        <v>43400</v>
      </c>
      <c r="X5469" t="s">
        <v>45103</v>
      </c>
    </row>
    <row r="5470" spans="1:24">
      <c r="A5470">
        <f>HYPERLINK("https://www.philgeps.gov.ph/GEPSNONPILOT/Tender/SplashBidNoticeAbstractUI.aspx?menuIndex=3&amp;refID=7038938&amp;Result=3","7038938")</f>
        <v>0</v>
      </c>
      <c r="B5470" t="s">
        <v>264</v>
      </c>
      <c r="C5470" t="s">
        <v>8426</v>
      </c>
      <c r="D5470" t="s">
        <v>18066</v>
      </c>
      <c r="E5470" t="s">
        <v>22995</v>
      </c>
      <c r="F5470" t="s">
        <v>31574</v>
      </c>
      <c r="G5470" t="s">
        <v>31585</v>
      </c>
      <c r="H5470" t="s">
        <v>31590</v>
      </c>
      <c r="I5470" t="s">
        <v>4046</v>
      </c>
      <c r="J5470" t="s">
        <v>35284</v>
      </c>
      <c r="K5470" t="s">
        <v>41184</v>
      </c>
      <c r="M5470" t="s">
        <v>41750</v>
      </c>
      <c r="N5470" t="s">
        <v>45095</v>
      </c>
      <c r="O5470" t="s">
        <v>45096</v>
      </c>
      <c r="P5470">
        <v>0</v>
      </c>
      <c r="Q5470">
        <v>0</v>
      </c>
      <c r="R5470" t="s">
        <v>45102</v>
      </c>
      <c r="S5470" t="s">
        <v>45242</v>
      </c>
      <c r="T5470" t="s">
        <v>46963</v>
      </c>
      <c r="U5470" t="s">
        <v>52075</v>
      </c>
      <c r="W5470" t="s">
        <v>61674</v>
      </c>
      <c r="X5470" t="s">
        <v>45103</v>
      </c>
    </row>
    <row r="5471" spans="1:24">
      <c r="A5471">
        <f>HYPERLINK("https://www.philgeps.gov.ph/GEPSNONPILOT/Tender/SplashBidNoticeAbstractUI.aspx?menuIndex=3&amp;refID=7038941&amp;Result=3","7038941")</f>
        <v>0</v>
      </c>
      <c r="B5471" t="s">
        <v>1396</v>
      </c>
      <c r="C5471" t="s">
        <v>8427</v>
      </c>
      <c r="D5471" t="s">
        <v>18044</v>
      </c>
      <c r="E5471" t="s">
        <v>22996</v>
      </c>
      <c r="F5471" t="s">
        <v>31574</v>
      </c>
      <c r="G5471" t="s">
        <v>31584</v>
      </c>
      <c r="H5471" t="s">
        <v>31590</v>
      </c>
      <c r="I5471" t="s">
        <v>31626</v>
      </c>
      <c r="J5471" t="s">
        <v>35285</v>
      </c>
      <c r="K5471" t="s">
        <v>41184</v>
      </c>
      <c r="M5471" t="s">
        <v>42971</v>
      </c>
      <c r="N5471" t="s">
        <v>45095</v>
      </c>
      <c r="O5471" t="s">
        <v>45096</v>
      </c>
      <c r="P5471">
        <v>0</v>
      </c>
      <c r="Q5471">
        <v>7</v>
      </c>
      <c r="R5471" t="s">
        <v>45102</v>
      </c>
      <c r="S5471" t="s">
        <v>45242</v>
      </c>
      <c r="T5471" t="s">
        <v>46973</v>
      </c>
      <c r="U5471" t="s">
        <v>50848</v>
      </c>
      <c r="W5471" t="s">
        <v>42971</v>
      </c>
      <c r="X5471" t="s">
        <v>45103</v>
      </c>
    </row>
    <row r="5472" spans="1:24">
      <c r="A5472">
        <f>HYPERLINK("https://www.philgeps.gov.ph/GEPSNONPILOT/Tender/SplashBidNoticeAbstractUI.aspx?menuIndex=3&amp;refID=7038927&amp;Result=3","7038927")</f>
        <v>0</v>
      </c>
      <c r="B5472" t="s">
        <v>1406</v>
      </c>
      <c r="C5472" t="s">
        <v>8428</v>
      </c>
      <c r="D5472" t="s">
        <v>18071</v>
      </c>
      <c r="E5472" t="s">
        <v>22997</v>
      </c>
      <c r="F5472" t="s">
        <v>31574</v>
      </c>
      <c r="G5472" t="s">
        <v>31581</v>
      </c>
      <c r="H5472" t="s">
        <v>31590</v>
      </c>
      <c r="I5472" t="s">
        <v>3873</v>
      </c>
      <c r="J5472" t="s">
        <v>35286</v>
      </c>
      <c r="K5472" t="s">
        <v>41197</v>
      </c>
      <c r="M5472" t="s">
        <v>42982</v>
      </c>
      <c r="N5472" t="s">
        <v>45095</v>
      </c>
      <c r="O5472" t="s">
        <v>45096</v>
      </c>
      <c r="P5472">
        <v>0</v>
      </c>
      <c r="Q5472">
        <v>0</v>
      </c>
      <c r="R5472" t="s">
        <v>45102</v>
      </c>
      <c r="S5472" t="s">
        <v>45242</v>
      </c>
      <c r="T5472" t="s">
        <v>47050</v>
      </c>
      <c r="U5472" t="s">
        <v>52076</v>
      </c>
      <c r="V5472" t="s">
        <v>60252</v>
      </c>
      <c r="W5472" t="s">
        <v>42982</v>
      </c>
      <c r="X5472" t="s">
        <v>45103</v>
      </c>
    </row>
    <row r="5473" spans="1:24">
      <c r="A5473">
        <f>HYPERLINK("https://www.philgeps.gov.ph/GEPSNONPILOT/Tender/SplashBidNoticeAbstractUI.aspx?menuIndex=3&amp;refID=7038924&amp;Result=3","7038924")</f>
        <v>0</v>
      </c>
      <c r="B5473" t="s">
        <v>533</v>
      </c>
      <c r="C5473" t="s">
        <v>8429</v>
      </c>
      <c r="E5473" t="s">
        <v>22998</v>
      </c>
      <c r="F5473" t="s">
        <v>31574</v>
      </c>
      <c r="G5473" t="s">
        <v>31581</v>
      </c>
      <c r="H5473" t="s">
        <v>31590</v>
      </c>
      <c r="I5473" t="s">
        <v>31601</v>
      </c>
      <c r="J5473" t="s">
        <v>31789</v>
      </c>
      <c r="K5473" t="s">
        <v>41186</v>
      </c>
      <c r="M5473" t="s">
        <v>42030</v>
      </c>
      <c r="N5473" t="s">
        <v>45095</v>
      </c>
      <c r="O5473" t="s">
        <v>45096</v>
      </c>
      <c r="P5473">
        <v>0</v>
      </c>
      <c r="Q5473">
        <v>1</v>
      </c>
      <c r="R5473" t="s">
        <v>45102</v>
      </c>
      <c r="S5473" t="s">
        <v>45242</v>
      </c>
      <c r="T5473" t="s">
        <v>47046</v>
      </c>
      <c r="U5473" t="s">
        <v>52077</v>
      </c>
      <c r="V5473" t="s">
        <v>59968</v>
      </c>
      <c r="W5473" t="s">
        <v>42945</v>
      </c>
      <c r="X5473" t="s">
        <v>45103</v>
      </c>
    </row>
    <row r="5474" spans="1:24">
      <c r="A5474">
        <f>HYPERLINK("https://www.philgeps.gov.ph/GEPSNONPILOT/Tender/SplashBidNoticeAbstractUI.aspx?menuIndex=3&amp;refID=7038912&amp;Result=3","7038912")</f>
        <v>0</v>
      </c>
      <c r="B5474" t="s">
        <v>190</v>
      </c>
      <c r="C5474" t="s">
        <v>4712</v>
      </c>
      <c r="D5474" t="s">
        <v>18036</v>
      </c>
      <c r="E5474" t="s">
        <v>22999</v>
      </c>
      <c r="F5474" t="s">
        <v>31574</v>
      </c>
      <c r="G5474" t="s">
        <v>31581</v>
      </c>
      <c r="H5474" t="s">
        <v>31590</v>
      </c>
      <c r="I5474" t="s">
        <v>6800</v>
      </c>
      <c r="J5474" t="s">
        <v>32017</v>
      </c>
      <c r="K5474" t="s">
        <v>41190</v>
      </c>
      <c r="M5474" t="s">
        <v>41675</v>
      </c>
      <c r="N5474" t="s">
        <v>45095</v>
      </c>
      <c r="O5474" t="s">
        <v>45096</v>
      </c>
      <c r="P5474">
        <v>0</v>
      </c>
      <c r="Q5474">
        <v>2</v>
      </c>
      <c r="R5474" t="s">
        <v>45102</v>
      </c>
      <c r="S5474" t="s">
        <v>45242</v>
      </c>
      <c r="T5474" t="s">
        <v>47050</v>
      </c>
      <c r="U5474" t="s">
        <v>52078</v>
      </c>
      <c r="W5474" t="s">
        <v>41675</v>
      </c>
      <c r="X5474" t="s">
        <v>45103</v>
      </c>
    </row>
    <row r="5475" spans="1:24">
      <c r="A5475">
        <f>HYPERLINK("https://www.philgeps.gov.ph/GEPSNONPILOT/Tender/SplashBidNoticeAbstractUI.aspx?menuIndex=3&amp;refID=7038923&amp;Result=3","7038923")</f>
        <v>0</v>
      </c>
      <c r="B5475" t="s">
        <v>334</v>
      </c>
      <c r="C5475" t="s">
        <v>8430</v>
      </c>
      <c r="D5475" t="s">
        <v>18050</v>
      </c>
      <c r="E5475" t="s">
        <v>23000</v>
      </c>
      <c r="F5475" t="s">
        <v>31574</v>
      </c>
      <c r="G5475" t="s">
        <v>31581</v>
      </c>
      <c r="H5475" t="s">
        <v>31590</v>
      </c>
      <c r="I5475" t="s">
        <v>31619</v>
      </c>
      <c r="J5475" t="s">
        <v>35287</v>
      </c>
      <c r="K5475" t="s">
        <v>41189</v>
      </c>
      <c r="M5475" t="s">
        <v>41822</v>
      </c>
      <c r="N5475" t="s">
        <v>45095</v>
      </c>
      <c r="O5475" t="s">
        <v>45096</v>
      </c>
      <c r="P5475">
        <v>0</v>
      </c>
      <c r="Q5475">
        <v>2</v>
      </c>
      <c r="R5475" t="s">
        <v>45102</v>
      </c>
      <c r="S5475" t="s">
        <v>45242</v>
      </c>
      <c r="T5475" t="s">
        <v>46936</v>
      </c>
      <c r="U5475" t="s">
        <v>52079</v>
      </c>
      <c r="W5475" t="s">
        <v>61663</v>
      </c>
      <c r="X5475" t="s">
        <v>45103</v>
      </c>
    </row>
    <row r="5476" spans="1:24">
      <c r="A5476">
        <f>HYPERLINK("https://www.philgeps.gov.ph/GEPSNONPILOT/Tender/SplashBidNoticeAbstractUI.aspx?menuIndex=3&amp;refID=7038945&amp;Result=3","7038945")</f>
        <v>0</v>
      </c>
      <c r="B5476" t="s">
        <v>459</v>
      </c>
      <c r="C5476" t="s">
        <v>8431</v>
      </c>
      <c r="D5476" t="s">
        <v>18079</v>
      </c>
      <c r="E5476" t="s">
        <v>23001</v>
      </c>
      <c r="F5476" t="s">
        <v>31574</v>
      </c>
      <c r="G5476" t="s">
        <v>31582</v>
      </c>
      <c r="H5476" t="s">
        <v>31593</v>
      </c>
      <c r="I5476" t="s">
        <v>31593</v>
      </c>
      <c r="J5476" t="s">
        <v>35288</v>
      </c>
      <c r="K5476" t="s">
        <v>41228</v>
      </c>
      <c r="M5476" t="s">
        <v>41953</v>
      </c>
      <c r="N5476" t="s">
        <v>45095</v>
      </c>
      <c r="O5476" t="s">
        <v>45096</v>
      </c>
      <c r="P5476">
        <v>0</v>
      </c>
      <c r="Q5476">
        <v>1</v>
      </c>
      <c r="R5476" t="s">
        <v>45102</v>
      </c>
      <c r="S5476" t="s">
        <v>45242</v>
      </c>
      <c r="T5476" t="s">
        <v>46967</v>
      </c>
      <c r="U5476" t="s">
        <v>52080</v>
      </c>
      <c r="V5476" t="s">
        <v>60428</v>
      </c>
      <c r="W5476" t="s">
        <v>41953</v>
      </c>
      <c r="X5476" t="s">
        <v>45103</v>
      </c>
    </row>
    <row r="5477" spans="1:24">
      <c r="A5477">
        <f>HYPERLINK("https://www.philgeps.gov.ph/GEPSNONPILOT/Tender/SplashBidNoticeAbstractUI.aspx?menuIndex=3&amp;refID=7038932&amp;Result=3","7038932")</f>
        <v>0</v>
      </c>
      <c r="B5477" t="s">
        <v>1788</v>
      </c>
      <c r="C5477" t="s">
        <v>8432</v>
      </c>
      <c r="D5477" t="s">
        <v>18027</v>
      </c>
      <c r="E5477" t="s">
        <v>23002</v>
      </c>
      <c r="F5477" t="s">
        <v>31574</v>
      </c>
      <c r="G5477" t="s">
        <v>31582</v>
      </c>
      <c r="H5477" t="s">
        <v>31591</v>
      </c>
      <c r="I5477" t="s">
        <v>8822</v>
      </c>
      <c r="J5477" t="s">
        <v>32799</v>
      </c>
      <c r="K5477" t="s">
        <v>41185</v>
      </c>
      <c r="M5477" t="s">
        <v>43418</v>
      </c>
      <c r="N5477" t="s">
        <v>45095</v>
      </c>
      <c r="O5477" t="s">
        <v>45096</v>
      </c>
      <c r="P5477">
        <v>0</v>
      </c>
      <c r="Q5477">
        <v>0</v>
      </c>
      <c r="R5477" t="s">
        <v>45102</v>
      </c>
      <c r="S5477" t="s">
        <v>45242</v>
      </c>
      <c r="T5477" t="s">
        <v>47000</v>
      </c>
      <c r="U5477" t="s">
        <v>52081</v>
      </c>
      <c r="V5477" t="s">
        <v>60429</v>
      </c>
      <c r="W5477" t="s">
        <v>43418</v>
      </c>
      <c r="X5477" t="s">
        <v>45103</v>
      </c>
    </row>
    <row r="5478" spans="1:24">
      <c r="A5478">
        <f>HYPERLINK("https://www.philgeps.gov.ph/GEPSNONPILOT/Tender/SplashBidNoticeAbstractUI.aspx?menuIndex=3&amp;refID=7038916&amp;Result=3","7038916")</f>
        <v>0</v>
      </c>
      <c r="B5478" t="s">
        <v>1014</v>
      </c>
      <c r="C5478" t="s">
        <v>8433</v>
      </c>
      <c r="D5478" t="s">
        <v>18059</v>
      </c>
      <c r="E5478" t="s">
        <v>23003</v>
      </c>
      <c r="F5478" t="s">
        <v>31574</v>
      </c>
      <c r="G5478" t="s">
        <v>31581</v>
      </c>
      <c r="H5478" t="s">
        <v>31590</v>
      </c>
      <c r="I5478" t="s">
        <v>31623</v>
      </c>
      <c r="J5478" t="s">
        <v>35289</v>
      </c>
      <c r="K5478" t="s">
        <v>41196</v>
      </c>
      <c r="M5478" t="s">
        <v>43419</v>
      </c>
      <c r="N5478" t="s">
        <v>45095</v>
      </c>
      <c r="O5478" t="s">
        <v>45096</v>
      </c>
      <c r="P5478">
        <v>0</v>
      </c>
      <c r="Q5478">
        <v>0</v>
      </c>
      <c r="R5478" t="s">
        <v>45102</v>
      </c>
      <c r="S5478" t="s">
        <v>45242</v>
      </c>
      <c r="T5478" t="s">
        <v>46957</v>
      </c>
      <c r="U5478" t="s">
        <v>52082</v>
      </c>
      <c r="W5478" t="s">
        <v>43419</v>
      </c>
      <c r="X5478" t="s">
        <v>45103</v>
      </c>
    </row>
    <row r="5479" spans="1:24">
      <c r="A5479">
        <f>HYPERLINK("https://www.philgeps.gov.ph/GEPSNONPILOT/Tender/SplashBidNoticeAbstractUI.aspx?menuIndex=3&amp;refID=7038940&amp;Result=3","7038940")</f>
        <v>0</v>
      </c>
      <c r="B5479" t="s">
        <v>1789</v>
      </c>
      <c r="C5479" t="s">
        <v>8434</v>
      </c>
      <c r="D5479" t="s">
        <v>18033</v>
      </c>
      <c r="E5479" t="s">
        <v>23004</v>
      </c>
      <c r="F5479" t="s">
        <v>31574</v>
      </c>
      <c r="G5479" t="s">
        <v>31582</v>
      </c>
      <c r="H5479" t="s">
        <v>31590</v>
      </c>
      <c r="I5479" t="s">
        <v>31615</v>
      </c>
      <c r="J5479" t="s">
        <v>32085</v>
      </c>
      <c r="K5479" t="s">
        <v>41190</v>
      </c>
      <c r="M5479" t="s">
        <v>43420</v>
      </c>
      <c r="N5479" t="s">
        <v>45095</v>
      </c>
      <c r="O5479" t="s">
        <v>45096</v>
      </c>
      <c r="P5479">
        <v>0</v>
      </c>
      <c r="Q5479">
        <v>4</v>
      </c>
      <c r="R5479" t="s">
        <v>45102</v>
      </c>
      <c r="S5479" t="s">
        <v>45242</v>
      </c>
      <c r="T5479" t="s">
        <v>47258</v>
      </c>
      <c r="U5479" t="s">
        <v>52083</v>
      </c>
      <c r="W5479" t="s">
        <v>61717</v>
      </c>
      <c r="X5479" t="s">
        <v>45103</v>
      </c>
    </row>
    <row r="5480" spans="1:24">
      <c r="A5480">
        <f>HYPERLINK("https://www.philgeps.gov.ph/GEPSNONPILOT/Tender/SplashBidNoticeAbstractUI.aspx?menuIndex=3&amp;refID=7038969&amp;Result=3","7038969")</f>
        <v>0</v>
      </c>
      <c r="B5480" t="s">
        <v>312</v>
      </c>
      <c r="C5480" t="s">
        <v>8435</v>
      </c>
      <c r="D5480" t="s">
        <v>18024</v>
      </c>
      <c r="E5480" t="s">
        <v>23005</v>
      </c>
      <c r="F5480" t="s">
        <v>31574</v>
      </c>
      <c r="G5480" t="s">
        <v>31581</v>
      </c>
      <c r="H5480" t="s">
        <v>31590</v>
      </c>
      <c r="I5480" t="s">
        <v>4046</v>
      </c>
      <c r="J5480" t="s">
        <v>35248</v>
      </c>
      <c r="K5480" t="s">
        <v>41196</v>
      </c>
      <c r="M5480" t="s">
        <v>41799</v>
      </c>
      <c r="N5480" t="s">
        <v>45095</v>
      </c>
      <c r="O5480" t="s">
        <v>45096</v>
      </c>
      <c r="P5480">
        <v>0</v>
      </c>
      <c r="Q5480">
        <v>0</v>
      </c>
      <c r="R5480" t="s">
        <v>45102</v>
      </c>
      <c r="S5480" t="s">
        <v>45242</v>
      </c>
      <c r="T5480" t="s">
        <v>47183</v>
      </c>
      <c r="U5480" t="s">
        <v>52029</v>
      </c>
      <c r="W5480" t="s">
        <v>41799</v>
      </c>
      <c r="X5480" t="s">
        <v>45103</v>
      </c>
    </row>
    <row r="5481" spans="1:24">
      <c r="A5481">
        <f>HYPERLINK("https://www.philgeps.gov.ph/GEPSNONPILOT/Tender/SplashBidNoticeAbstractUI.aspx?menuIndex=3&amp;refID=7038942&amp;Result=3","7038942")</f>
        <v>0</v>
      </c>
      <c r="B5481" t="s">
        <v>119</v>
      </c>
      <c r="C5481" t="s">
        <v>8436</v>
      </c>
      <c r="D5481" t="s">
        <v>18052</v>
      </c>
      <c r="E5481" t="s">
        <v>23006</v>
      </c>
      <c r="F5481" t="s">
        <v>31574</v>
      </c>
      <c r="G5481" t="s">
        <v>31584</v>
      </c>
      <c r="H5481" t="s">
        <v>31590</v>
      </c>
      <c r="I5481" t="s">
        <v>31677</v>
      </c>
      <c r="J5481" t="s">
        <v>35290</v>
      </c>
      <c r="K5481" t="s">
        <v>41197</v>
      </c>
      <c r="L5481" t="s">
        <v>119</v>
      </c>
      <c r="M5481" t="s">
        <v>41603</v>
      </c>
      <c r="N5481" t="s">
        <v>45095</v>
      </c>
      <c r="O5481" t="s">
        <v>45096</v>
      </c>
      <c r="P5481">
        <v>0</v>
      </c>
      <c r="Q5481">
        <v>0</v>
      </c>
      <c r="R5481" t="s">
        <v>45102</v>
      </c>
      <c r="S5481" t="s">
        <v>45242</v>
      </c>
      <c r="T5481" t="s">
        <v>46913</v>
      </c>
      <c r="U5481" t="s">
        <v>52084</v>
      </c>
      <c r="W5481" t="s">
        <v>41603</v>
      </c>
      <c r="X5481" t="s">
        <v>45103</v>
      </c>
    </row>
    <row r="5482" spans="1:24">
      <c r="A5482">
        <f>HYPERLINK("https://www.philgeps.gov.ph/GEPSNONPILOT/Tender/SplashBidNoticeAbstractUI.aspx?menuIndex=3&amp;refID=7038963&amp;Result=3","7038963")</f>
        <v>0</v>
      </c>
      <c r="B5482" t="s">
        <v>1790</v>
      </c>
      <c r="C5482" t="s">
        <v>4434</v>
      </c>
      <c r="D5482" t="s">
        <v>18036</v>
      </c>
      <c r="E5482" t="s">
        <v>23007</v>
      </c>
      <c r="F5482" t="s">
        <v>31574</v>
      </c>
      <c r="G5482" t="s">
        <v>31581</v>
      </c>
      <c r="H5482" t="s">
        <v>31590</v>
      </c>
      <c r="I5482" t="s">
        <v>4046</v>
      </c>
      <c r="J5482" t="s">
        <v>33293</v>
      </c>
      <c r="K5482" t="s">
        <v>41196</v>
      </c>
      <c r="M5482" t="s">
        <v>43421</v>
      </c>
      <c r="N5482" t="s">
        <v>45095</v>
      </c>
      <c r="O5482" t="s">
        <v>45096</v>
      </c>
      <c r="P5482">
        <v>0</v>
      </c>
      <c r="Q5482">
        <v>3</v>
      </c>
      <c r="R5482" t="s">
        <v>45102</v>
      </c>
      <c r="S5482" t="s">
        <v>45242</v>
      </c>
      <c r="T5482" t="s">
        <v>47154</v>
      </c>
      <c r="U5482" t="s">
        <v>52085</v>
      </c>
      <c r="V5482" t="s">
        <v>60430</v>
      </c>
      <c r="W5482" t="s">
        <v>43421</v>
      </c>
      <c r="X5482" t="s">
        <v>45103</v>
      </c>
    </row>
    <row r="5483" spans="1:24">
      <c r="A5483">
        <f>HYPERLINK("https://www.philgeps.gov.ph/GEPSNONPILOT/Tender/SplashBidNoticeAbstractUI.aspx?menuIndex=3&amp;refID=7038913&amp;Result=3","7038913")</f>
        <v>0</v>
      </c>
      <c r="B5483" t="s">
        <v>1791</v>
      </c>
      <c r="C5483" t="s">
        <v>8437</v>
      </c>
      <c r="D5483" t="s">
        <v>18058</v>
      </c>
      <c r="E5483" t="s">
        <v>23008</v>
      </c>
      <c r="F5483" t="s">
        <v>31574</v>
      </c>
      <c r="G5483" t="s">
        <v>31582</v>
      </c>
      <c r="H5483" t="s">
        <v>31591</v>
      </c>
      <c r="I5483" t="s">
        <v>8822</v>
      </c>
      <c r="J5483" t="s">
        <v>35291</v>
      </c>
      <c r="K5483" t="s">
        <v>41189</v>
      </c>
      <c r="M5483" t="s">
        <v>43422</v>
      </c>
      <c r="N5483" t="s">
        <v>45095</v>
      </c>
      <c r="O5483" t="s">
        <v>45096</v>
      </c>
      <c r="P5483">
        <v>0</v>
      </c>
      <c r="Q5483">
        <v>3</v>
      </c>
      <c r="R5483" t="s">
        <v>45102</v>
      </c>
      <c r="S5483" t="s">
        <v>45242</v>
      </c>
      <c r="T5483" t="s">
        <v>46916</v>
      </c>
      <c r="U5483" t="s">
        <v>52086</v>
      </c>
      <c r="W5483" t="s">
        <v>43422</v>
      </c>
      <c r="X5483" t="s">
        <v>45103</v>
      </c>
    </row>
    <row r="5484" spans="1:24">
      <c r="A5484">
        <f>HYPERLINK("https://www.philgeps.gov.ph/GEPSNONPILOT/Tender/SplashBidNoticeAbstractUI.aspx?menuIndex=3&amp;refID=7038965&amp;Result=3","7038965")</f>
        <v>0</v>
      </c>
      <c r="B5484" t="s">
        <v>264</v>
      </c>
      <c r="C5484" t="s">
        <v>8438</v>
      </c>
      <c r="D5484" t="s">
        <v>18066</v>
      </c>
      <c r="E5484" t="s">
        <v>23009</v>
      </c>
      <c r="F5484" t="s">
        <v>31574</v>
      </c>
      <c r="G5484" t="s">
        <v>31585</v>
      </c>
      <c r="H5484" t="s">
        <v>31590</v>
      </c>
      <c r="I5484" t="s">
        <v>31605</v>
      </c>
      <c r="J5484" t="s">
        <v>35292</v>
      </c>
      <c r="K5484" t="s">
        <v>41184</v>
      </c>
      <c r="M5484" t="s">
        <v>41750</v>
      </c>
      <c r="N5484" t="s">
        <v>45095</v>
      </c>
      <c r="O5484" t="s">
        <v>45096</v>
      </c>
      <c r="P5484">
        <v>0</v>
      </c>
      <c r="Q5484">
        <v>1</v>
      </c>
      <c r="R5484" t="s">
        <v>45102</v>
      </c>
      <c r="S5484" t="s">
        <v>45242</v>
      </c>
      <c r="T5484" t="s">
        <v>46963</v>
      </c>
      <c r="U5484" t="s">
        <v>52087</v>
      </c>
      <c r="W5484" t="s">
        <v>61674</v>
      </c>
      <c r="X5484" t="s">
        <v>45103</v>
      </c>
    </row>
    <row r="5485" spans="1:24">
      <c r="A5485">
        <f>HYPERLINK("https://www.philgeps.gov.ph/GEPSNONPILOT/Tender/SplashBidNoticeAbstractUI.aspx?menuIndex=3&amp;refID=7038943&amp;Result=3","7038943")</f>
        <v>0</v>
      </c>
      <c r="B5485" t="s">
        <v>771</v>
      </c>
      <c r="C5485" t="s">
        <v>8439</v>
      </c>
      <c r="D5485" t="s">
        <v>18050</v>
      </c>
      <c r="E5485" t="s">
        <v>23010</v>
      </c>
      <c r="F5485" t="s">
        <v>31574</v>
      </c>
      <c r="G5485" t="s">
        <v>31582</v>
      </c>
      <c r="H5485" t="s">
        <v>31590</v>
      </c>
      <c r="I5485" t="s">
        <v>31608</v>
      </c>
      <c r="J5485" t="s">
        <v>33327</v>
      </c>
      <c r="K5485" t="s">
        <v>41196</v>
      </c>
      <c r="M5485" t="s">
        <v>42285</v>
      </c>
      <c r="N5485" t="s">
        <v>45095</v>
      </c>
      <c r="O5485" t="s">
        <v>45096</v>
      </c>
      <c r="P5485">
        <v>0</v>
      </c>
      <c r="Q5485">
        <v>2</v>
      </c>
      <c r="R5485" t="s">
        <v>45102</v>
      </c>
      <c r="S5485" t="s">
        <v>45242</v>
      </c>
      <c r="T5485" t="s">
        <v>47166</v>
      </c>
      <c r="U5485" t="s">
        <v>52088</v>
      </c>
      <c r="W5485" t="s">
        <v>42285</v>
      </c>
      <c r="X5485" t="s">
        <v>45103</v>
      </c>
    </row>
    <row r="5486" spans="1:24">
      <c r="A5486">
        <f>HYPERLINK("https://www.philgeps.gov.ph/GEPSNONPILOT/Tender/SplashBidNoticeAbstractUI.aspx?menuIndex=3&amp;refID=7038909&amp;Result=3","7038909")</f>
        <v>0</v>
      </c>
      <c r="B5486" t="s">
        <v>349</v>
      </c>
      <c r="C5486" t="s">
        <v>8440</v>
      </c>
      <c r="D5486" t="s">
        <v>18071</v>
      </c>
      <c r="E5486" t="s">
        <v>23011</v>
      </c>
      <c r="F5486" t="s">
        <v>31574</v>
      </c>
      <c r="G5486" t="s">
        <v>31582</v>
      </c>
      <c r="H5486" t="s">
        <v>31591</v>
      </c>
      <c r="I5486" t="s">
        <v>8822</v>
      </c>
      <c r="J5486" t="s">
        <v>35293</v>
      </c>
      <c r="K5486" t="s">
        <v>41332</v>
      </c>
      <c r="M5486" t="s">
        <v>43363</v>
      </c>
      <c r="N5486" t="s">
        <v>45095</v>
      </c>
      <c r="O5486" t="s">
        <v>45096</v>
      </c>
      <c r="P5486">
        <v>0</v>
      </c>
      <c r="Q5486">
        <v>0</v>
      </c>
      <c r="R5486" t="s">
        <v>45102</v>
      </c>
      <c r="S5486" t="s">
        <v>45242</v>
      </c>
      <c r="T5486" t="s">
        <v>47230</v>
      </c>
      <c r="U5486" t="s">
        <v>52089</v>
      </c>
      <c r="W5486" t="s">
        <v>43363</v>
      </c>
      <c r="X5486" t="s">
        <v>45103</v>
      </c>
    </row>
    <row r="5487" spans="1:24">
      <c r="A5487">
        <f>HYPERLINK("https://www.philgeps.gov.ph/GEPSNONPILOT/Tender/SplashBidNoticeAbstractUI.aspx?menuIndex=3&amp;refID=7038972&amp;Result=3","7038972")</f>
        <v>0</v>
      </c>
      <c r="B5487" t="s">
        <v>1792</v>
      </c>
      <c r="C5487" t="s">
        <v>5756</v>
      </c>
      <c r="D5487" t="s">
        <v>18027</v>
      </c>
      <c r="E5487" t="s">
        <v>20547</v>
      </c>
      <c r="F5487" t="s">
        <v>31574</v>
      </c>
      <c r="G5487" t="s">
        <v>31582</v>
      </c>
      <c r="H5487" t="s">
        <v>31590</v>
      </c>
      <c r="I5487" t="s">
        <v>3487</v>
      </c>
      <c r="J5487" t="s">
        <v>34032</v>
      </c>
      <c r="K5487" t="s">
        <v>41184</v>
      </c>
      <c r="M5487" t="s">
        <v>43423</v>
      </c>
      <c r="N5487" t="s">
        <v>45095</v>
      </c>
      <c r="O5487" t="s">
        <v>45096</v>
      </c>
      <c r="P5487">
        <v>0</v>
      </c>
      <c r="Q5487">
        <v>0</v>
      </c>
      <c r="R5487" t="s">
        <v>45102</v>
      </c>
      <c r="S5487" t="s">
        <v>45242</v>
      </c>
      <c r="T5487" t="s">
        <v>46932</v>
      </c>
      <c r="U5487" t="s">
        <v>52090</v>
      </c>
      <c r="W5487" t="s">
        <v>43423</v>
      </c>
      <c r="X5487" t="s">
        <v>45103</v>
      </c>
    </row>
    <row r="5488" spans="1:24">
      <c r="A5488">
        <f>HYPERLINK("https://www.philgeps.gov.ph/GEPSNONPILOT/Tender/SplashBidNoticeAbstractUI.aspx?menuIndex=3&amp;refID=7038935&amp;Result=3","7038935")</f>
        <v>0</v>
      </c>
      <c r="B5488" t="s">
        <v>1793</v>
      </c>
      <c r="C5488" t="s">
        <v>8441</v>
      </c>
      <c r="D5488" t="s">
        <v>18060</v>
      </c>
      <c r="E5488" t="s">
        <v>23012</v>
      </c>
      <c r="F5488" t="s">
        <v>31574</v>
      </c>
      <c r="G5488" t="s">
        <v>31582</v>
      </c>
      <c r="H5488" t="s">
        <v>31591</v>
      </c>
      <c r="I5488" t="s">
        <v>7162</v>
      </c>
      <c r="J5488" t="s">
        <v>32000</v>
      </c>
      <c r="K5488" t="s">
        <v>41192</v>
      </c>
      <c r="M5488" t="s">
        <v>43424</v>
      </c>
      <c r="N5488" t="s">
        <v>45095</v>
      </c>
      <c r="O5488" t="s">
        <v>45096</v>
      </c>
      <c r="P5488">
        <v>0</v>
      </c>
      <c r="Q5488">
        <v>1</v>
      </c>
      <c r="R5488" t="s">
        <v>45102</v>
      </c>
      <c r="S5488" t="s">
        <v>45242</v>
      </c>
      <c r="T5488" t="s">
        <v>46957</v>
      </c>
      <c r="U5488" t="s">
        <v>52091</v>
      </c>
      <c r="W5488" t="s">
        <v>43424</v>
      </c>
      <c r="X5488" t="s">
        <v>45103</v>
      </c>
    </row>
    <row r="5489" spans="1:24">
      <c r="A5489">
        <f>HYPERLINK("https://www.philgeps.gov.ph/GEPSNONPILOT/Tender/SplashBidNoticeAbstractUI.aspx?menuIndex=3&amp;refID=7038959&amp;Result=3","7038959")</f>
        <v>0</v>
      </c>
      <c r="B5489" t="s">
        <v>1312</v>
      </c>
      <c r="C5489" t="s">
        <v>8442</v>
      </c>
      <c r="D5489" t="s">
        <v>18033</v>
      </c>
      <c r="E5489" t="s">
        <v>23013</v>
      </c>
      <c r="F5489" t="s">
        <v>31574</v>
      </c>
      <c r="G5489" t="s">
        <v>31583</v>
      </c>
      <c r="H5489" t="s">
        <v>31590</v>
      </c>
      <c r="I5489" t="s">
        <v>31653</v>
      </c>
      <c r="J5489" t="s">
        <v>35294</v>
      </c>
      <c r="K5489" t="s">
        <v>41211</v>
      </c>
      <c r="M5489" t="s">
        <v>42882</v>
      </c>
      <c r="N5489" t="s">
        <v>45095</v>
      </c>
      <c r="O5489" t="s">
        <v>45096</v>
      </c>
      <c r="P5489">
        <v>0</v>
      </c>
      <c r="Q5489">
        <v>1</v>
      </c>
      <c r="R5489" t="s">
        <v>45102</v>
      </c>
      <c r="S5489" t="s">
        <v>45242</v>
      </c>
      <c r="T5489" t="s">
        <v>47067</v>
      </c>
      <c r="U5489" t="s">
        <v>52092</v>
      </c>
      <c r="W5489" t="s">
        <v>42882</v>
      </c>
      <c r="X5489" t="s">
        <v>45103</v>
      </c>
    </row>
    <row r="5490" spans="1:24">
      <c r="A5490">
        <f>HYPERLINK("https://www.philgeps.gov.ph/GEPSNONPILOT/Tender/SplashBidNoticeAbstractUI.aspx?menuIndex=3&amp;refID=7038975&amp;Result=3","7038975")</f>
        <v>0</v>
      </c>
      <c r="B5490" t="s">
        <v>1758</v>
      </c>
      <c r="C5490" t="s">
        <v>8443</v>
      </c>
      <c r="D5490" t="s">
        <v>18102</v>
      </c>
      <c r="E5490" t="s">
        <v>23014</v>
      </c>
      <c r="F5490" t="s">
        <v>31574</v>
      </c>
      <c r="G5490" t="s">
        <v>31582</v>
      </c>
      <c r="H5490" t="s">
        <v>31590</v>
      </c>
      <c r="I5490" t="s">
        <v>8822</v>
      </c>
      <c r="J5490" t="s">
        <v>35295</v>
      </c>
      <c r="K5490" t="s">
        <v>41185</v>
      </c>
      <c r="M5490" t="s">
        <v>43384</v>
      </c>
      <c r="N5490" t="s">
        <v>45095</v>
      </c>
      <c r="O5490" t="s">
        <v>45096</v>
      </c>
      <c r="P5490">
        <v>0</v>
      </c>
      <c r="Q5490">
        <v>0</v>
      </c>
      <c r="R5490" t="s">
        <v>45102</v>
      </c>
      <c r="S5490" t="s">
        <v>45242</v>
      </c>
      <c r="T5490" t="s">
        <v>46965</v>
      </c>
      <c r="U5490" t="s">
        <v>52093</v>
      </c>
      <c r="V5490" t="s">
        <v>60431</v>
      </c>
      <c r="W5490" t="s">
        <v>43384</v>
      </c>
      <c r="X5490" t="s">
        <v>45103</v>
      </c>
    </row>
    <row r="5491" spans="1:24">
      <c r="A5491">
        <f>HYPERLINK("https://www.philgeps.gov.ph/GEPSNONPILOT/Tender/SplashBidNoticeAbstractUI.aspx?menuIndex=3&amp;refID=7038974&amp;Result=3","7038974")</f>
        <v>0</v>
      </c>
      <c r="B5491" t="s">
        <v>1789</v>
      </c>
      <c r="C5491" t="s">
        <v>8444</v>
      </c>
      <c r="D5491" t="s">
        <v>18033</v>
      </c>
      <c r="E5491" t="s">
        <v>23015</v>
      </c>
      <c r="F5491" t="s">
        <v>31574</v>
      </c>
      <c r="G5491" t="s">
        <v>31582</v>
      </c>
      <c r="H5491" t="s">
        <v>31590</v>
      </c>
      <c r="I5491" t="s">
        <v>31615</v>
      </c>
      <c r="J5491" t="s">
        <v>31771</v>
      </c>
      <c r="K5491" t="s">
        <v>41190</v>
      </c>
      <c r="M5491" t="s">
        <v>43420</v>
      </c>
      <c r="N5491" t="s">
        <v>45095</v>
      </c>
      <c r="O5491" t="s">
        <v>45096</v>
      </c>
      <c r="P5491">
        <v>0</v>
      </c>
      <c r="Q5491">
        <v>3</v>
      </c>
      <c r="R5491" t="s">
        <v>45102</v>
      </c>
      <c r="S5491" t="s">
        <v>45242</v>
      </c>
      <c r="T5491" t="s">
        <v>47258</v>
      </c>
      <c r="U5491" t="s">
        <v>52083</v>
      </c>
      <c r="W5491" t="s">
        <v>61717</v>
      </c>
      <c r="X5491" t="s">
        <v>45103</v>
      </c>
    </row>
    <row r="5492" spans="1:24">
      <c r="A5492">
        <f>HYPERLINK("https://www.philgeps.gov.ph/GEPSNONPILOT/Tender/SplashBidNoticeAbstractUI.aspx?menuIndex=3&amp;refID=7038979&amp;Result=3","7038979")</f>
        <v>0</v>
      </c>
      <c r="B5492" t="s">
        <v>1794</v>
      </c>
      <c r="C5492" t="s">
        <v>8445</v>
      </c>
      <c r="D5492" t="s">
        <v>18067</v>
      </c>
      <c r="E5492" t="s">
        <v>18577</v>
      </c>
      <c r="F5492" t="s">
        <v>31574</v>
      </c>
      <c r="G5492" t="s">
        <v>31582</v>
      </c>
      <c r="H5492" t="s">
        <v>31591</v>
      </c>
      <c r="I5492" t="s">
        <v>8822</v>
      </c>
      <c r="J5492" t="s">
        <v>31741</v>
      </c>
      <c r="K5492" t="s">
        <v>41186</v>
      </c>
      <c r="M5492" t="s">
        <v>43425</v>
      </c>
      <c r="N5492" t="s">
        <v>45095</v>
      </c>
      <c r="O5492" t="s">
        <v>45096</v>
      </c>
      <c r="P5492">
        <v>0</v>
      </c>
      <c r="Q5492">
        <v>0</v>
      </c>
      <c r="R5492" t="s">
        <v>45102</v>
      </c>
      <c r="S5492" t="s">
        <v>45242</v>
      </c>
      <c r="T5492" t="s">
        <v>47190</v>
      </c>
      <c r="U5492" t="s">
        <v>52094</v>
      </c>
      <c r="W5492" t="s">
        <v>43425</v>
      </c>
      <c r="X5492" t="s">
        <v>45103</v>
      </c>
    </row>
    <row r="5493" spans="1:24">
      <c r="A5493">
        <f>HYPERLINK("https://www.philgeps.gov.ph/GEPSNONPILOT/Tender/SplashBidNoticeAbstractUI.aspx?menuIndex=3&amp;refID=7038957&amp;Result=3","7038957")</f>
        <v>0</v>
      </c>
      <c r="B5493" t="s">
        <v>349</v>
      </c>
      <c r="C5493" t="s">
        <v>8446</v>
      </c>
      <c r="D5493" t="s">
        <v>18071</v>
      </c>
      <c r="E5493" t="s">
        <v>23016</v>
      </c>
      <c r="F5493" t="s">
        <v>31574</v>
      </c>
      <c r="G5493" t="s">
        <v>31582</v>
      </c>
      <c r="H5493" t="s">
        <v>31591</v>
      </c>
      <c r="I5493" t="s">
        <v>8822</v>
      </c>
      <c r="J5493" t="s">
        <v>35296</v>
      </c>
      <c r="K5493" t="s">
        <v>41263</v>
      </c>
      <c r="M5493" t="s">
        <v>43363</v>
      </c>
      <c r="N5493" t="s">
        <v>45095</v>
      </c>
      <c r="O5493" t="s">
        <v>45096</v>
      </c>
      <c r="P5493">
        <v>0</v>
      </c>
      <c r="Q5493">
        <v>0</v>
      </c>
      <c r="R5493" t="s">
        <v>45102</v>
      </c>
      <c r="S5493" t="s">
        <v>45242</v>
      </c>
      <c r="T5493" t="s">
        <v>47230</v>
      </c>
      <c r="U5493" t="s">
        <v>52095</v>
      </c>
      <c r="W5493" t="s">
        <v>43363</v>
      </c>
      <c r="X5493" t="s">
        <v>45103</v>
      </c>
    </row>
    <row r="5494" spans="1:24">
      <c r="A5494">
        <f>HYPERLINK("https://www.philgeps.gov.ph/GEPSNONPILOT/Tender/SplashBidNoticeAbstractUI.aspx?menuIndex=3&amp;refID=7038953&amp;Result=3","7038953")</f>
        <v>0</v>
      </c>
      <c r="B5494" t="s">
        <v>1792</v>
      </c>
      <c r="C5494" t="s">
        <v>5788</v>
      </c>
      <c r="D5494" t="s">
        <v>18027</v>
      </c>
      <c r="E5494" t="s">
        <v>19831</v>
      </c>
      <c r="F5494" t="s">
        <v>31574</v>
      </c>
      <c r="G5494" t="s">
        <v>31582</v>
      </c>
      <c r="H5494" t="s">
        <v>31590</v>
      </c>
      <c r="I5494" t="s">
        <v>3487</v>
      </c>
      <c r="J5494" t="s">
        <v>35297</v>
      </c>
      <c r="K5494" t="s">
        <v>41184</v>
      </c>
      <c r="M5494" t="s">
        <v>43423</v>
      </c>
      <c r="N5494" t="s">
        <v>45095</v>
      </c>
      <c r="O5494" t="s">
        <v>45096</v>
      </c>
      <c r="P5494">
        <v>0</v>
      </c>
      <c r="Q5494">
        <v>0</v>
      </c>
      <c r="R5494" t="s">
        <v>45102</v>
      </c>
      <c r="S5494" t="s">
        <v>45242</v>
      </c>
      <c r="T5494" t="s">
        <v>46932</v>
      </c>
      <c r="U5494" t="s">
        <v>52096</v>
      </c>
      <c r="W5494" t="s">
        <v>43423</v>
      </c>
      <c r="X5494" t="s">
        <v>45103</v>
      </c>
    </row>
    <row r="5495" spans="1:24">
      <c r="A5495">
        <f>HYPERLINK("https://www.philgeps.gov.ph/GEPSNONPILOT/Tender/SplashBidNoticeAbstractUI.aspx?menuIndex=3&amp;refID=7038962&amp;Result=3","7038962")</f>
        <v>0</v>
      </c>
      <c r="B5495" t="s">
        <v>1795</v>
      </c>
      <c r="C5495" t="s">
        <v>8447</v>
      </c>
      <c r="D5495" t="s">
        <v>18026</v>
      </c>
      <c r="E5495" t="s">
        <v>23017</v>
      </c>
      <c r="F5495" t="s">
        <v>31574</v>
      </c>
      <c r="G5495" t="s">
        <v>31581</v>
      </c>
      <c r="H5495" t="s">
        <v>31590</v>
      </c>
      <c r="I5495" t="s">
        <v>31662</v>
      </c>
      <c r="J5495" t="s">
        <v>35298</v>
      </c>
      <c r="K5495" t="s">
        <v>41186</v>
      </c>
      <c r="M5495" t="s">
        <v>43426</v>
      </c>
      <c r="N5495" t="s">
        <v>45095</v>
      </c>
      <c r="O5495" t="s">
        <v>45096</v>
      </c>
      <c r="P5495">
        <v>0</v>
      </c>
      <c r="Q5495">
        <v>3</v>
      </c>
      <c r="R5495" t="s">
        <v>45102</v>
      </c>
      <c r="S5495" t="s">
        <v>45242</v>
      </c>
      <c r="T5495" t="s">
        <v>47125</v>
      </c>
      <c r="U5495" t="s">
        <v>52097</v>
      </c>
      <c r="W5495" t="s">
        <v>43426</v>
      </c>
      <c r="X5495" t="s">
        <v>45103</v>
      </c>
    </row>
    <row r="5496" spans="1:24">
      <c r="A5496">
        <f>HYPERLINK("https://www.philgeps.gov.ph/GEPSNONPILOT/Tender/SplashBidNoticeAbstractUI.aspx?menuIndex=3&amp;refID=7038952&amp;Result=3","7038952")</f>
        <v>0</v>
      </c>
      <c r="B5496" t="s">
        <v>1787</v>
      </c>
      <c r="C5496" t="s">
        <v>8448</v>
      </c>
      <c r="D5496" t="s">
        <v>18050</v>
      </c>
      <c r="E5496" t="s">
        <v>23018</v>
      </c>
      <c r="F5496" t="s">
        <v>31574</v>
      </c>
      <c r="G5496" t="s">
        <v>31581</v>
      </c>
      <c r="H5496" t="s">
        <v>31590</v>
      </c>
      <c r="I5496" t="s">
        <v>31602</v>
      </c>
      <c r="J5496" t="s">
        <v>32375</v>
      </c>
      <c r="K5496" t="s">
        <v>41184</v>
      </c>
      <c r="M5496" t="s">
        <v>43417</v>
      </c>
      <c r="N5496" t="s">
        <v>45095</v>
      </c>
      <c r="O5496" t="s">
        <v>45096</v>
      </c>
      <c r="P5496">
        <v>0</v>
      </c>
      <c r="Q5496">
        <v>0</v>
      </c>
      <c r="R5496" t="s">
        <v>45102</v>
      </c>
      <c r="S5496" t="s">
        <v>45242</v>
      </c>
      <c r="T5496" t="s">
        <v>46957</v>
      </c>
      <c r="U5496" t="s">
        <v>52098</v>
      </c>
      <c r="W5496" t="s">
        <v>43417</v>
      </c>
      <c r="X5496" t="s">
        <v>45103</v>
      </c>
    </row>
    <row r="5497" spans="1:24">
      <c r="A5497">
        <f>HYPERLINK("https://www.philgeps.gov.ph/GEPSNONPILOT/Tender/SplashBidNoticeAbstractUI.aspx?menuIndex=3&amp;refID=7038958&amp;Result=3","7038958")</f>
        <v>0</v>
      </c>
      <c r="B5497" t="s">
        <v>1732</v>
      </c>
      <c r="C5497" t="s">
        <v>8449</v>
      </c>
      <c r="D5497" t="s">
        <v>18041</v>
      </c>
      <c r="E5497" t="s">
        <v>23019</v>
      </c>
      <c r="F5497" t="s">
        <v>31574</v>
      </c>
      <c r="G5497" t="s">
        <v>31581</v>
      </c>
      <c r="H5497" t="s">
        <v>31590</v>
      </c>
      <c r="I5497" t="s">
        <v>31607</v>
      </c>
      <c r="J5497" t="s">
        <v>35299</v>
      </c>
      <c r="K5497" t="s">
        <v>41190</v>
      </c>
      <c r="M5497" t="s">
        <v>43351</v>
      </c>
      <c r="N5497" t="s">
        <v>45095</v>
      </c>
      <c r="O5497" t="s">
        <v>45096</v>
      </c>
      <c r="P5497">
        <v>0</v>
      </c>
      <c r="Q5497">
        <v>1</v>
      </c>
      <c r="R5497" t="s">
        <v>45102</v>
      </c>
      <c r="S5497" t="s">
        <v>45242</v>
      </c>
      <c r="T5497" t="s">
        <v>46985</v>
      </c>
      <c r="U5497" t="s">
        <v>52099</v>
      </c>
      <c r="W5497" t="s">
        <v>61715</v>
      </c>
      <c r="X5497" t="s">
        <v>45103</v>
      </c>
    </row>
    <row r="5498" spans="1:24">
      <c r="A5498">
        <f>HYPERLINK("https://www.philgeps.gov.ph/GEPSNONPILOT/Tender/SplashBidNoticeAbstractUI.aspx?menuIndex=3&amp;refID=7038946&amp;Result=3","7038946")</f>
        <v>0</v>
      </c>
      <c r="B5498" t="s">
        <v>1751</v>
      </c>
      <c r="C5498" t="s">
        <v>8450</v>
      </c>
      <c r="D5498" t="s">
        <v>18107</v>
      </c>
      <c r="E5498" t="s">
        <v>23020</v>
      </c>
      <c r="F5498" t="s">
        <v>31574</v>
      </c>
      <c r="G5498" t="s">
        <v>31582</v>
      </c>
      <c r="H5498" t="s">
        <v>31590</v>
      </c>
      <c r="I5498" t="s">
        <v>6800</v>
      </c>
      <c r="J5498" t="s">
        <v>35300</v>
      </c>
      <c r="K5498" t="s">
        <v>41190</v>
      </c>
      <c r="M5498" t="s">
        <v>43375</v>
      </c>
      <c r="N5498" t="s">
        <v>45095</v>
      </c>
      <c r="O5498" t="s">
        <v>45096</v>
      </c>
      <c r="P5498">
        <v>0</v>
      </c>
      <c r="Q5498">
        <v>1</v>
      </c>
      <c r="R5498" t="s">
        <v>45102</v>
      </c>
      <c r="S5498" t="s">
        <v>45242</v>
      </c>
      <c r="T5498" t="s">
        <v>47198</v>
      </c>
      <c r="U5498" t="s">
        <v>51924</v>
      </c>
      <c r="W5498" t="s">
        <v>43375</v>
      </c>
      <c r="X5498" t="s">
        <v>45103</v>
      </c>
    </row>
    <row r="5499" spans="1:24">
      <c r="A5499">
        <f>HYPERLINK("https://www.philgeps.gov.ph/GEPSNONPILOT/Tender/SplashBidNoticeAbstractUI.aspx?menuIndex=3&amp;refID=7038990&amp;Result=3","7038990")</f>
        <v>0</v>
      </c>
      <c r="B5499" t="s">
        <v>349</v>
      </c>
      <c r="C5499" t="s">
        <v>8451</v>
      </c>
      <c r="D5499" t="s">
        <v>18071</v>
      </c>
      <c r="E5499" t="s">
        <v>23021</v>
      </c>
      <c r="F5499" t="s">
        <v>31574</v>
      </c>
      <c r="G5499" t="s">
        <v>31581</v>
      </c>
      <c r="H5499" t="s">
        <v>31591</v>
      </c>
      <c r="I5499" t="s">
        <v>8822</v>
      </c>
      <c r="J5499" t="s">
        <v>35301</v>
      </c>
      <c r="K5499" t="s">
        <v>41186</v>
      </c>
      <c r="M5499" t="s">
        <v>43363</v>
      </c>
      <c r="N5499" t="s">
        <v>45095</v>
      </c>
      <c r="O5499" t="s">
        <v>45096</v>
      </c>
      <c r="P5499">
        <v>0</v>
      </c>
      <c r="Q5499">
        <v>0</v>
      </c>
      <c r="R5499" t="s">
        <v>45102</v>
      </c>
      <c r="S5499" t="s">
        <v>45242</v>
      </c>
      <c r="T5499" t="s">
        <v>47021</v>
      </c>
      <c r="U5499" t="s">
        <v>52100</v>
      </c>
      <c r="W5499" t="s">
        <v>43363</v>
      </c>
      <c r="X5499" t="s">
        <v>45103</v>
      </c>
    </row>
    <row r="5500" spans="1:24">
      <c r="A5500">
        <f>HYPERLINK("https://www.philgeps.gov.ph/GEPSNONPILOT/Tender/SplashBidNoticeAbstractUI.aspx?menuIndex=3&amp;refID=7038949&amp;Result=3","7038949")</f>
        <v>0</v>
      </c>
      <c r="B5500" t="s">
        <v>1796</v>
      </c>
      <c r="C5500" t="s">
        <v>8452</v>
      </c>
      <c r="D5500" t="s">
        <v>18027</v>
      </c>
      <c r="E5500" t="s">
        <v>23022</v>
      </c>
      <c r="F5500" t="s">
        <v>31574</v>
      </c>
      <c r="G5500" t="s">
        <v>31583</v>
      </c>
      <c r="H5500" t="s">
        <v>31590</v>
      </c>
      <c r="I5500" t="s">
        <v>31594</v>
      </c>
      <c r="J5500" t="s">
        <v>35302</v>
      </c>
      <c r="K5500" t="s">
        <v>41193</v>
      </c>
      <c r="M5500" t="s">
        <v>43427</v>
      </c>
      <c r="N5500" t="s">
        <v>45095</v>
      </c>
      <c r="O5500" t="s">
        <v>45096</v>
      </c>
      <c r="P5500">
        <v>0</v>
      </c>
      <c r="Q5500">
        <v>4</v>
      </c>
      <c r="R5500" t="s">
        <v>45102</v>
      </c>
      <c r="S5500" t="s">
        <v>45242</v>
      </c>
      <c r="T5500" t="s">
        <v>47067</v>
      </c>
      <c r="U5500" t="s">
        <v>52101</v>
      </c>
      <c r="W5500" t="s">
        <v>43427</v>
      </c>
      <c r="X5500" t="s">
        <v>45103</v>
      </c>
    </row>
    <row r="5501" spans="1:24">
      <c r="A5501">
        <f>HYPERLINK("https://www.philgeps.gov.ph/GEPSNONPILOT/Tender/SplashBidNoticeAbstractUI.aspx?menuIndex=3&amp;refID=7038987&amp;Result=3","7038987")</f>
        <v>0</v>
      </c>
      <c r="B5501" t="s">
        <v>1310</v>
      </c>
      <c r="C5501" t="s">
        <v>8453</v>
      </c>
      <c r="D5501" t="s">
        <v>18074</v>
      </c>
      <c r="E5501" t="s">
        <v>23023</v>
      </c>
      <c r="F5501" t="s">
        <v>31574</v>
      </c>
      <c r="G5501" t="s">
        <v>31582</v>
      </c>
      <c r="H5501" t="s">
        <v>31590</v>
      </c>
      <c r="I5501" t="s">
        <v>3651</v>
      </c>
      <c r="J5501" t="s">
        <v>35159</v>
      </c>
      <c r="K5501" t="s">
        <v>41190</v>
      </c>
      <c r="M5501" t="s">
        <v>42880</v>
      </c>
      <c r="N5501" t="s">
        <v>45095</v>
      </c>
      <c r="O5501" t="s">
        <v>45096</v>
      </c>
      <c r="P5501">
        <v>0</v>
      </c>
      <c r="Q5501">
        <v>0</v>
      </c>
      <c r="R5501" t="s">
        <v>45102</v>
      </c>
      <c r="S5501" t="s">
        <v>45242</v>
      </c>
      <c r="T5501" t="s">
        <v>47043</v>
      </c>
      <c r="U5501" t="s">
        <v>51920</v>
      </c>
      <c r="W5501" t="s">
        <v>42880</v>
      </c>
      <c r="X5501" t="s">
        <v>45103</v>
      </c>
    </row>
    <row r="5502" spans="1:24">
      <c r="A5502">
        <f>HYPERLINK("https://www.philgeps.gov.ph/GEPSNONPILOT/Tender/SplashBidNoticeAbstractUI.aspx?menuIndex=3&amp;refID=7038982&amp;Result=3","7038982")</f>
        <v>0</v>
      </c>
      <c r="B5502" t="s">
        <v>1308</v>
      </c>
      <c r="C5502" t="s">
        <v>8454</v>
      </c>
      <c r="D5502" t="s">
        <v>18040</v>
      </c>
      <c r="E5502" t="s">
        <v>23024</v>
      </c>
      <c r="F5502" t="s">
        <v>31574</v>
      </c>
      <c r="G5502" t="s">
        <v>31581</v>
      </c>
      <c r="H5502" t="s">
        <v>31590</v>
      </c>
      <c r="I5502" t="s">
        <v>31597</v>
      </c>
      <c r="J5502" t="s">
        <v>35303</v>
      </c>
      <c r="K5502" t="s">
        <v>41184</v>
      </c>
      <c r="M5502" t="s">
        <v>42878</v>
      </c>
      <c r="N5502" t="s">
        <v>45095</v>
      </c>
      <c r="O5502" t="s">
        <v>45096</v>
      </c>
      <c r="P5502">
        <v>0</v>
      </c>
      <c r="Q5502">
        <v>1</v>
      </c>
      <c r="R5502" t="s">
        <v>45102</v>
      </c>
      <c r="S5502" t="s">
        <v>45242</v>
      </c>
      <c r="T5502" t="s">
        <v>47158</v>
      </c>
      <c r="U5502" t="s">
        <v>52102</v>
      </c>
      <c r="W5502" t="s">
        <v>42878</v>
      </c>
      <c r="X5502" t="s">
        <v>45103</v>
      </c>
    </row>
    <row r="5503" spans="1:24">
      <c r="A5503">
        <f>HYPERLINK("https://www.philgeps.gov.ph/GEPSNONPILOT/Tender/SplashBidNoticeAbstractUI.aspx?menuIndex=3&amp;refID=7039012&amp;Result=3","7039012")</f>
        <v>0</v>
      </c>
      <c r="B5503" t="s">
        <v>1656</v>
      </c>
      <c r="C5503" t="s">
        <v>8455</v>
      </c>
      <c r="D5503" t="s">
        <v>18022</v>
      </c>
      <c r="E5503" t="s">
        <v>23025</v>
      </c>
      <c r="F5503" t="s">
        <v>31574</v>
      </c>
      <c r="G5503" t="s">
        <v>31585</v>
      </c>
      <c r="H5503" t="s">
        <v>31590</v>
      </c>
      <c r="I5503" t="s">
        <v>8258</v>
      </c>
      <c r="J5503" t="s">
        <v>32126</v>
      </c>
      <c r="K5503" t="s">
        <v>41213</v>
      </c>
      <c r="M5503" t="s">
        <v>43268</v>
      </c>
      <c r="N5503" t="s">
        <v>45095</v>
      </c>
      <c r="O5503" t="s">
        <v>45096</v>
      </c>
      <c r="P5503">
        <v>0</v>
      </c>
      <c r="Q5503">
        <v>11</v>
      </c>
      <c r="R5503" t="s">
        <v>45102</v>
      </c>
      <c r="S5503" t="s">
        <v>45242</v>
      </c>
      <c r="T5503" t="s">
        <v>46936</v>
      </c>
      <c r="U5503" t="s">
        <v>52103</v>
      </c>
      <c r="W5503" t="s">
        <v>43268</v>
      </c>
      <c r="X5503" t="s">
        <v>45103</v>
      </c>
    </row>
    <row r="5504" spans="1:24">
      <c r="A5504">
        <f>HYPERLINK("https://www.philgeps.gov.ph/GEPSNONPILOT/Tender/SplashBidNoticeAbstractUI.aspx?menuIndex=3&amp;refID=7038947&amp;Result=3","7038947")</f>
        <v>0</v>
      </c>
      <c r="B5504" t="s">
        <v>1797</v>
      </c>
      <c r="C5504" t="s">
        <v>8456</v>
      </c>
      <c r="D5504" t="s">
        <v>18022</v>
      </c>
      <c r="E5504" t="s">
        <v>23026</v>
      </c>
      <c r="F5504" t="s">
        <v>31574</v>
      </c>
      <c r="G5504" t="s">
        <v>31581</v>
      </c>
      <c r="H5504" t="s">
        <v>31590</v>
      </c>
      <c r="I5504" t="s">
        <v>31608</v>
      </c>
      <c r="J5504" t="s">
        <v>32490</v>
      </c>
      <c r="K5504" t="s">
        <v>41190</v>
      </c>
      <c r="M5504" t="s">
        <v>43428</v>
      </c>
      <c r="N5504" t="s">
        <v>45095</v>
      </c>
      <c r="O5504" t="s">
        <v>45096</v>
      </c>
      <c r="P5504">
        <v>0</v>
      </c>
      <c r="Q5504">
        <v>3</v>
      </c>
      <c r="R5504" t="s">
        <v>45102</v>
      </c>
      <c r="S5504" t="s">
        <v>45242</v>
      </c>
      <c r="T5504" t="s">
        <v>46973</v>
      </c>
      <c r="U5504" t="s">
        <v>52104</v>
      </c>
      <c r="W5504" t="s">
        <v>43428</v>
      </c>
      <c r="X5504" t="s">
        <v>45103</v>
      </c>
    </row>
    <row r="5505" spans="1:24">
      <c r="A5505">
        <f>HYPERLINK("https://www.philgeps.gov.ph/GEPSNONPILOT/Tender/SplashBidNoticeAbstractUI.aspx?menuIndex=3&amp;refID=7038985&amp;Result=3","7038985")</f>
        <v>0</v>
      </c>
      <c r="B5505" t="s">
        <v>1760</v>
      </c>
      <c r="C5505" t="s">
        <v>8457</v>
      </c>
      <c r="D5505" t="s">
        <v>18028</v>
      </c>
      <c r="E5505" t="s">
        <v>23027</v>
      </c>
      <c r="F5505" t="s">
        <v>31574</v>
      </c>
      <c r="G5505" t="s">
        <v>31582</v>
      </c>
      <c r="H5505" t="s">
        <v>31591</v>
      </c>
      <c r="I5505" t="s">
        <v>8822</v>
      </c>
      <c r="J5505" t="s">
        <v>31771</v>
      </c>
      <c r="K5505" t="s">
        <v>41192</v>
      </c>
      <c r="M5505" t="s">
        <v>43388</v>
      </c>
      <c r="N5505" t="s">
        <v>45095</v>
      </c>
      <c r="O5505" t="s">
        <v>45096</v>
      </c>
      <c r="P5505">
        <v>0</v>
      </c>
      <c r="Q5505">
        <v>0</v>
      </c>
      <c r="R5505" t="s">
        <v>45102</v>
      </c>
      <c r="S5505" t="s">
        <v>45242</v>
      </c>
      <c r="T5505" t="s">
        <v>47259</v>
      </c>
      <c r="U5505" t="s">
        <v>52105</v>
      </c>
      <c r="W5505" t="s">
        <v>43388</v>
      </c>
      <c r="X5505" t="s">
        <v>45103</v>
      </c>
    </row>
    <row r="5506" spans="1:24">
      <c r="A5506">
        <f>HYPERLINK("https://www.philgeps.gov.ph/GEPSNONPILOT/Tender/SplashBidNoticeAbstractUI.aspx?menuIndex=3&amp;refID=7039003&amp;Result=3","7039003")</f>
        <v>0</v>
      </c>
      <c r="B5506" t="s">
        <v>335</v>
      </c>
      <c r="C5506" t="s">
        <v>8458</v>
      </c>
      <c r="D5506" t="s">
        <v>18079</v>
      </c>
      <c r="E5506" t="s">
        <v>23028</v>
      </c>
      <c r="F5506" t="s">
        <v>31574</v>
      </c>
      <c r="G5506" t="s">
        <v>31582</v>
      </c>
      <c r="H5506" t="s">
        <v>31590</v>
      </c>
      <c r="I5506" t="s">
        <v>31654</v>
      </c>
      <c r="J5506" t="s">
        <v>32049</v>
      </c>
      <c r="K5506" t="s">
        <v>41186</v>
      </c>
      <c r="M5506" t="s">
        <v>43429</v>
      </c>
      <c r="N5506" t="s">
        <v>45095</v>
      </c>
      <c r="O5506" t="s">
        <v>45096</v>
      </c>
      <c r="P5506">
        <v>0</v>
      </c>
      <c r="Q5506">
        <v>0</v>
      </c>
      <c r="R5506" t="s">
        <v>45102</v>
      </c>
      <c r="S5506" t="s">
        <v>45242</v>
      </c>
      <c r="T5506" t="s">
        <v>47106</v>
      </c>
      <c r="U5506" t="s">
        <v>52106</v>
      </c>
      <c r="W5506" t="s">
        <v>43429</v>
      </c>
      <c r="X5506" t="s">
        <v>45103</v>
      </c>
    </row>
    <row r="5507" spans="1:24">
      <c r="A5507">
        <f>HYPERLINK("https://www.philgeps.gov.ph/GEPSNONPILOT/Tender/SplashBidNoticeAbstractUI.aspx?menuIndex=3&amp;refID=7039008&amp;Result=3","7039008")</f>
        <v>0</v>
      </c>
      <c r="B5507" t="s">
        <v>1502</v>
      </c>
      <c r="C5507" t="s">
        <v>8459</v>
      </c>
      <c r="D5507" t="s">
        <v>18086</v>
      </c>
      <c r="E5507" t="s">
        <v>23029</v>
      </c>
      <c r="F5507" t="s">
        <v>31574</v>
      </c>
      <c r="G5507" t="s">
        <v>31581</v>
      </c>
      <c r="H5507" t="s">
        <v>31590</v>
      </c>
      <c r="I5507" t="s">
        <v>31612</v>
      </c>
      <c r="J5507" t="s">
        <v>32049</v>
      </c>
      <c r="K5507" t="s">
        <v>41186</v>
      </c>
      <c r="M5507" t="s">
        <v>43087</v>
      </c>
      <c r="N5507" t="s">
        <v>45095</v>
      </c>
      <c r="O5507" t="s">
        <v>45096</v>
      </c>
      <c r="P5507">
        <v>0</v>
      </c>
      <c r="Q5507">
        <v>3</v>
      </c>
      <c r="R5507" t="s">
        <v>45102</v>
      </c>
      <c r="S5507" t="s">
        <v>45242</v>
      </c>
      <c r="T5507" t="s">
        <v>47094</v>
      </c>
      <c r="U5507" t="s">
        <v>51150</v>
      </c>
      <c r="W5507" t="s">
        <v>43087</v>
      </c>
      <c r="X5507" t="s">
        <v>45103</v>
      </c>
    </row>
    <row r="5508" spans="1:24">
      <c r="A5508">
        <f>HYPERLINK("https://www.philgeps.gov.ph/GEPSNONPILOT/Tender/SplashBidNoticeAbstractUI.aspx?menuIndex=3&amp;refID=7039001&amp;Result=3","7039001")</f>
        <v>0</v>
      </c>
      <c r="B5508" t="s">
        <v>312</v>
      </c>
      <c r="C5508" t="s">
        <v>8460</v>
      </c>
      <c r="D5508" t="s">
        <v>18024</v>
      </c>
      <c r="E5508" t="s">
        <v>23030</v>
      </c>
      <c r="F5508" t="s">
        <v>31574</v>
      </c>
      <c r="G5508" t="s">
        <v>31581</v>
      </c>
      <c r="H5508" t="s">
        <v>31590</v>
      </c>
      <c r="I5508" t="s">
        <v>4046</v>
      </c>
      <c r="J5508" t="s">
        <v>35248</v>
      </c>
      <c r="K5508" t="s">
        <v>41196</v>
      </c>
      <c r="M5508" t="s">
        <v>41799</v>
      </c>
      <c r="N5508" t="s">
        <v>45095</v>
      </c>
      <c r="O5508" t="s">
        <v>45096</v>
      </c>
      <c r="P5508">
        <v>0</v>
      </c>
      <c r="Q5508">
        <v>0</v>
      </c>
      <c r="R5508" t="s">
        <v>45102</v>
      </c>
      <c r="S5508" t="s">
        <v>45242</v>
      </c>
      <c r="T5508" t="s">
        <v>47260</v>
      </c>
      <c r="U5508" t="s">
        <v>52029</v>
      </c>
      <c r="W5508" t="s">
        <v>41799</v>
      </c>
      <c r="X5508" t="s">
        <v>45103</v>
      </c>
    </row>
    <row r="5509" spans="1:24">
      <c r="A5509">
        <f>HYPERLINK("https://www.philgeps.gov.ph/GEPSNONPILOT/Tender/SplashBidNoticeAbstractUI.aspx?menuIndex=3&amp;refID=7039005&amp;Result=3","7039005")</f>
        <v>0</v>
      </c>
      <c r="B5509" t="s">
        <v>1798</v>
      </c>
      <c r="C5509" t="s">
        <v>8461</v>
      </c>
      <c r="D5509" t="s">
        <v>18056</v>
      </c>
      <c r="E5509" t="s">
        <v>23031</v>
      </c>
      <c r="F5509" t="s">
        <v>31574</v>
      </c>
      <c r="G5509" t="s">
        <v>31582</v>
      </c>
      <c r="H5509" t="s">
        <v>31590</v>
      </c>
      <c r="I5509" t="s">
        <v>31689</v>
      </c>
      <c r="J5509" t="s">
        <v>31962</v>
      </c>
      <c r="K5509" t="s">
        <v>41184</v>
      </c>
      <c r="M5509" t="s">
        <v>43430</v>
      </c>
      <c r="N5509" t="s">
        <v>45095</v>
      </c>
      <c r="O5509" t="s">
        <v>45096</v>
      </c>
      <c r="P5509">
        <v>0</v>
      </c>
      <c r="Q5509">
        <v>1</v>
      </c>
      <c r="R5509" t="s">
        <v>45102</v>
      </c>
      <c r="S5509" t="s">
        <v>45242</v>
      </c>
      <c r="T5509" t="s">
        <v>46992</v>
      </c>
      <c r="U5509" t="s">
        <v>52107</v>
      </c>
      <c r="W5509" t="s">
        <v>43430</v>
      </c>
      <c r="X5509" t="s">
        <v>45103</v>
      </c>
    </row>
    <row r="5510" spans="1:24">
      <c r="A5510">
        <f>HYPERLINK("https://www.philgeps.gov.ph/GEPSNONPILOT/Tender/SplashBidNoticeAbstractUI.aspx?menuIndex=3&amp;refID=7038950&amp;Result=3","7038950")</f>
        <v>0</v>
      </c>
      <c r="B5510" t="s">
        <v>1703</v>
      </c>
      <c r="C5510" t="s">
        <v>8462</v>
      </c>
      <c r="D5510" t="s">
        <v>18035</v>
      </c>
      <c r="E5510" t="s">
        <v>23032</v>
      </c>
      <c r="F5510" t="s">
        <v>31574</v>
      </c>
      <c r="G5510" t="s">
        <v>31582</v>
      </c>
      <c r="H5510" t="s">
        <v>31591</v>
      </c>
      <c r="I5510" t="s">
        <v>8822</v>
      </c>
      <c r="J5510" t="s">
        <v>35304</v>
      </c>
      <c r="K5510" t="s">
        <v>41263</v>
      </c>
      <c r="M5510" t="s">
        <v>43319</v>
      </c>
      <c r="N5510" t="s">
        <v>45095</v>
      </c>
      <c r="O5510" t="s">
        <v>45096</v>
      </c>
      <c r="Q5510">
        <v>10</v>
      </c>
      <c r="R5510" t="s">
        <v>45102</v>
      </c>
      <c r="S5510" t="s">
        <v>45253</v>
      </c>
      <c r="T5510" t="s">
        <v>46941</v>
      </c>
      <c r="U5510" t="s">
        <v>52108</v>
      </c>
      <c r="V5510" t="s">
        <v>60396</v>
      </c>
      <c r="W5510" t="s">
        <v>43319</v>
      </c>
      <c r="X5510" t="s">
        <v>45103</v>
      </c>
    </row>
    <row r="5511" spans="1:24">
      <c r="A5511">
        <f>HYPERLINK("https://www.philgeps.gov.ph/GEPSNONPILOT/Tender/SplashBidNoticeAbstractUI.aspx?menuIndex=3&amp;refID=7038993&amp;Result=3","7038993")</f>
        <v>0</v>
      </c>
      <c r="B5511" t="s">
        <v>219</v>
      </c>
      <c r="C5511" t="s">
        <v>8463</v>
      </c>
      <c r="D5511" t="s">
        <v>18028</v>
      </c>
      <c r="E5511" t="s">
        <v>18553</v>
      </c>
      <c r="F5511" t="s">
        <v>31574</v>
      </c>
      <c r="G5511" t="s">
        <v>31582</v>
      </c>
      <c r="H5511" t="s">
        <v>31591</v>
      </c>
      <c r="I5511" t="s">
        <v>8822</v>
      </c>
      <c r="J5511" t="s">
        <v>31741</v>
      </c>
      <c r="K5511" t="s">
        <v>41186</v>
      </c>
      <c r="M5511" t="s">
        <v>41704</v>
      </c>
      <c r="N5511" t="s">
        <v>45095</v>
      </c>
      <c r="O5511" t="s">
        <v>45096</v>
      </c>
      <c r="P5511">
        <v>0</v>
      </c>
      <c r="Q5511">
        <v>0</v>
      </c>
      <c r="R5511" t="s">
        <v>45102</v>
      </c>
      <c r="S5511" t="s">
        <v>45242</v>
      </c>
      <c r="T5511" t="s">
        <v>46962</v>
      </c>
      <c r="U5511" t="s">
        <v>52109</v>
      </c>
      <c r="V5511" t="s">
        <v>59888</v>
      </c>
      <c r="W5511" t="s">
        <v>41704</v>
      </c>
      <c r="X5511" t="s">
        <v>45103</v>
      </c>
    </row>
    <row r="5512" spans="1:24">
      <c r="A5512">
        <f>HYPERLINK("https://www.philgeps.gov.ph/GEPSNONPILOT/Tender/SplashBidNoticeAbstractUI.aspx?menuIndex=3&amp;refID=7039025&amp;Result=3","7039025")</f>
        <v>0</v>
      </c>
      <c r="B5512" t="s">
        <v>671</v>
      </c>
      <c r="C5512" t="s">
        <v>8464</v>
      </c>
      <c r="D5512" t="s">
        <v>18022</v>
      </c>
      <c r="E5512" t="s">
        <v>23033</v>
      </c>
      <c r="F5512" t="s">
        <v>31574</v>
      </c>
      <c r="G5512" t="s">
        <v>31581</v>
      </c>
      <c r="H5512" t="s">
        <v>31590</v>
      </c>
      <c r="I5512" t="s">
        <v>31683</v>
      </c>
      <c r="J5512" t="s">
        <v>35305</v>
      </c>
      <c r="K5512" t="s">
        <v>41186</v>
      </c>
      <c r="M5512" t="s">
        <v>42177</v>
      </c>
      <c r="N5512" t="s">
        <v>45095</v>
      </c>
      <c r="O5512" t="s">
        <v>45096</v>
      </c>
      <c r="P5512">
        <v>0</v>
      </c>
      <c r="Q5512">
        <v>5</v>
      </c>
      <c r="R5512" t="s">
        <v>45102</v>
      </c>
      <c r="S5512" t="s">
        <v>45242</v>
      </c>
      <c r="T5512" t="s">
        <v>47124</v>
      </c>
      <c r="U5512" t="s">
        <v>52110</v>
      </c>
      <c r="W5512" t="s">
        <v>42177</v>
      </c>
      <c r="X5512" t="s">
        <v>45103</v>
      </c>
    </row>
    <row r="5513" spans="1:24">
      <c r="A5513">
        <f>HYPERLINK("https://www.philgeps.gov.ph/GEPSNONPILOT/Tender/SplashBidNoticeAbstractUI.aspx?menuIndex=3&amp;refID=7039023&amp;Result=3","7039023")</f>
        <v>0</v>
      </c>
      <c r="B5513" t="s">
        <v>1727</v>
      </c>
      <c r="C5513" t="s">
        <v>8465</v>
      </c>
      <c r="E5513" t="s">
        <v>23034</v>
      </c>
      <c r="F5513" t="s">
        <v>31574</v>
      </c>
      <c r="G5513" t="s">
        <v>31581</v>
      </c>
      <c r="H5513" t="s">
        <v>31590</v>
      </c>
      <c r="I5513" t="s">
        <v>31691</v>
      </c>
      <c r="J5513" t="s">
        <v>35306</v>
      </c>
      <c r="K5513" t="s">
        <v>41186</v>
      </c>
      <c r="M5513" t="s">
        <v>43345</v>
      </c>
      <c r="N5513" t="s">
        <v>45095</v>
      </c>
      <c r="O5513" t="s">
        <v>45096</v>
      </c>
      <c r="P5513">
        <v>0</v>
      </c>
      <c r="Q5513">
        <v>1</v>
      </c>
      <c r="R5513" t="s">
        <v>45102</v>
      </c>
      <c r="S5513" t="s">
        <v>45242</v>
      </c>
      <c r="T5513" t="s">
        <v>47125</v>
      </c>
      <c r="U5513" t="s">
        <v>47721</v>
      </c>
      <c r="W5513" t="s">
        <v>43345</v>
      </c>
      <c r="X5513" t="s">
        <v>45103</v>
      </c>
    </row>
    <row r="5514" spans="1:24">
      <c r="A5514">
        <f>HYPERLINK("https://www.philgeps.gov.ph/GEPSNONPILOT/Tender/SplashBidNoticeAbstractUI.aspx?menuIndex=3&amp;refID=7038996&amp;Result=3","7038996")</f>
        <v>0</v>
      </c>
      <c r="B5514" t="s">
        <v>334</v>
      </c>
      <c r="C5514" t="s">
        <v>8466</v>
      </c>
      <c r="D5514" t="s">
        <v>18050</v>
      </c>
      <c r="E5514" t="s">
        <v>23035</v>
      </c>
      <c r="F5514" t="s">
        <v>31574</v>
      </c>
      <c r="G5514" t="s">
        <v>31581</v>
      </c>
      <c r="H5514" t="s">
        <v>31590</v>
      </c>
      <c r="I5514" t="s">
        <v>3901</v>
      </c>
      <c r="J5514" t="s">
        <v>35307</v>
      </c>
      <c r="K5514" t="s">
        <v>41200</v>
      </c>
      <c r="M5514" t="s">
        <v>41822</v>
      </c>
      <c r="N5514" t="s">
        <v>45095</v>
      </c>
      <c r="O5514" t="s">
        <v>45096</v>
      </c>
      <c r="P5514">
        <v>0</v>
      </c>
      <c r="Q5514">
        <v>1</v>
      </c>
      <c r="R5514" t="s">
        <v>45102</v>
      </c>
      <c r="S5514" t="s">
        <v>45242</v>
      </c>
      <c r="T5514" t="s">
        <v>46936</v>
      </c>
      <c r="U5514" t="s">
        <v>52111</v>
      </c>
      <c r="W5514" t="s">
        <v>61663</v>
      </c>
      <c r="X5514" t="s">
        <v>45103</v>
      </c>
    </row>
    <row r="5515" spans="1:24">
      <c r="A5515">
        <f>HYPERLINK("https://www.philgeps.gov.ph/GEPSNONPILOT/Tender/SplashBidNoticeAbstractUI.aspx?menuIndex=3&amp;refID=7039016&amp;Result=3","7039016")</f>
        <v>0</v>
      </c>
      <c r="B5515" t="s">
        <v>1760</v>
      </c>
      <c r="C5515" t="s">
        <v>8467</v>
      </c>
      <c r="D5515" t="s">
        <v>18028</v>
      </c>
      <c r="E5515" t="s">
        <v>23036</v>
      </c>
      <c r="F5515" t="s">
        <v>31574</v>
      </c>
      <c r="G5515" t="s">
        <v>31582</v>
      </c>
      <c r="H5515" t="s">
        <v>31591</v>
      </c>
      <c r="I5515" t="s">
        <v>8822</v>
      </c>
      <c r="J5515" t="s">
        <v>31771</v>
      </c>
      <c r="K5515" t="s">
        <v>41333</v>
      </c>
      <c r="M5515" t="s">
        <v>43388</v>
      </c>
      <c r="N5515" t="s">
        <v>45095</v>
      </c>
      <c r="O5515" t="s">
        <v>45096</v>
      </c>
      <c r="P5515">
        <v>0</v>
      </c>
      <c r="Q5515">
        <v>0</v>
      </c>
      <c r="R5515" t="s">
        <v>45102</v>
      </c>
      <c r="S5515" t="s">
        <v>45242</v>
      </c>
      <c r="T5515" t="s">
        <v>47261</v>
      </c>
      <c r="U5515" t="s">
        <v>52112</v>
      </c>
      <c r="W5515" t="s">
        <v>43388</v>
      </c>
      <c r="X5515" t="s">
        <v>45103</v>
      </c>
    </row>
    <row r="5516" spans="1:24">
      <c r="A5516">
        <f>HYPERLINK("https://www.philgeps.gov.ph/GEPSNONPILOT/Tender/SplashBidNoticeAbstractUI.aspx?menuIndex=3&amp;refID=7039018&amp;Result=3","7039018")</f>
        <v>0</v>
      </c>
      <c r="B5516" t="s">
        <v>162</v>
      </c>
      <c r="C5516" t="s">
        <v>8468</v>
      </c>
      <c r="D5516" t="s">
        <v>18067</v>
      </c>
      <c r="E5516" t="s">
        <v>23037</v>
      </c>
      <c r="F5516" t="s">
        <v>31574</v>
      </c>
      <c r="G5516" t="s">
        <v>31583</v>
      </c>
      <c r="H5516" t="s">
        <v>31590</v>
      </c>
      <c r="I5516" t="s">
        <v>31612</v>
      </c>
      <c r="J5516" t="s">
        <v>32216</v>
      </c>
      <c r="K5516" t="s">
        <v>41196</v>
      </c>
      <c r="M5516" t="s">
        <v>41646</v>
      </c>
      <c r="N5516" t="s">
        <v>45095</v>
      </c>
      <c r="O5516" t="s">
        <v>45096</v>
      </c>
      <c r="P5516">
        <v>0</v>
      </c>
      <c r="Q5516">
        <v>2</v>
      </c>
      <c r="R5516" t="s">
        <v>45102</v>
      </c>
      <c r="S5516" t="s">
        <v>45242</v>
      </c>
      <c r="T5516" t="s">
        <v>47159</v>
      </c>
      <c r="U5516" t="s">
        <v>52113</v>
      </c>
      <c r="W5516" t="s">
        <v>41646</v>
      </c>
      <c r="X5516" t="s">
        <v>45103</v>
      </c>
    </row>
    <row r="5517" spans="1:24">
      <c r="A5517">
        <f>HYPERLINK("https://www.philgeps.gov.ph/GEPSNONPILOT/Tender/SplashBidNoticeAbstractUI.aspx?menuIndex=3&amp;refID=7038999&amp;Result=3","7038999")</f>
        <v>0</v>
      </c>
      <c r="B5517" t="s">
        <v>1799</v>
      </c>
      <c r="C5517" t="s">
        <v>8441</v>
      </c>
      <c r="D5517" t="s">
        <v>18060</v>
      </c>
      <c r="E5517" t="s">
        <v>23012</v>
      </c>
      <c r="F5517" t="s">
        <v>31574</v>
      </c>
      <c r="G5517" t="s">
        <v>31582</v>
      </c>
      <c r="H5517" t="s">
        <v>31591</v>
      </c>
      <c r="I5517" t="s">
        <v>7162</v>
      </c>
      <c r="J5517" t="s">
        <v>31962</v>
      </c>
      <c r="K5517" t="s">
        <v>41192</v>
      </c>
      <c r="M5517" t="s">
        <v>43431</v>
      </c>
      <c r="N5517" t="s">
        <v>45095</v>
      </c>
      <c r="O5517" t="s">
        <v>45096</v>
      </c>
      <c r="P5517">
        <v>0</v>
      </c>
      <c r="Q5517">
        <v>2</v>
      </c>
      <c r="R5517" t="s">
        <v>45102</v>
      </c>
      <c r="S5517" t="s">
        <v>45242</v>
      </c>
      <c r="T5517" t="s">
        <v>46936</v>
      </c>
      <c r="U5517" t="s">
        <v>52091</v>
      </c>
      <c r="W5517" t="s">
        <v>43431</v>
      </c>
      <c r="X5517" t="s">
        <v>45103</v>
      </c>
    </row>
    <row r="5518" spans="1:24">
      <c r="A5518">
        <f>HYPERLINK("https://www.philgeps.gov.ph/GEPSNONPILOT/Tender/SplashBidNoticeAbstractUI.aspx?menuIndex=3&amp;refID=7039026&amp;Result=3","7039026")</f>
        <v>0</v>
      </c>
      <c r="B5518" t="s">
        <v>264</v>
      </c>
      <c r="C5518" t="s">
        <v>8469</v>
      </c>
      <c r="D5518" t="s">
        <v>18066</v>
      </c>
      <c r="E5518" t="s">
        <v>21164</v>
      </c>
      <c r="F5518" t="s">
        <v>31574</v>
      </c>
      <c r="G5518" t="s">
        <v>31585</v>
      </c>
      <c r="H5518" t="s">
        <v>31590</v>
      </c>
      <c r="I5518" t="s">
        <v>31619</v>
      </c>
      <c r="J5518" t="s">
        <v>35308</v>
      </c>
      <c r="K5518" t="s">
        <v>41184</v>
      </c>
      <c r="M5518" t="s">
        <v>41750</v>
      </c>
      <c r="N5518" t="s">
        <v>45095</v>
      </c>
      <c r="O5518" t="s">
        <v>45096</v>
      </c>
      <c r="P5518">
        <v>0</v>
      </c>
      <c r="Q5518">
        <v>6</v>
      </c>
      <c r="R5518" t="s">
        <v>45102</v>
      </c>
      <c r="S5518" t="s">
        <v>45242</v>
      </c>
      <c r="T5518" t="s">
        <v>46963</v>
      </c>
      <c r="U5518" t="s">
        <v>52114</v>
      </c>
      <c r="W5518" t="s">
        <v>61674</v>
      </c>
      <c r="X5518" t="s">
        <v>45103</v>
      </c>
    </row>
    <row r="5519" spans="1:24">
      <c r="A5519">
        <f>HYPERLINK("https://www.philgeps.gov.ph/GEPSNONPILOT/Tender/SplashBidNoticeAbstractUI.aspx?menuIndex=3&amp;refID=7039021&amp;Result=3","7039021")</f>
        <v>0</v>
      </c>
      <c r="B5519" t="s">
        <v>1800</v>
      </c>
      <c r="C5519" t="s">
        <v>8470</v>
      </c>
      <c r="D5519" t="s">
        <v>18028</v>
      </c>
      <c r="E5519" t="s">
        <v>23038</v>
      </c>
      <c r="F5519" t="s">
        <v>31574</v>
      </c>
      <c r="G5519" t="s">
        <v>31582</v>
      </c>
      <c r="H5519" t="s">
        <v>31591</v>
      </c>
      <c r="I5519" t="s">
        <v>8822</v>
      </c>
      <c r="J5519" t="s">
        <v>32258</v>
      </c>
      <c r="K5519" t="s">
        <v>41184</v>
      </c>
      <c r="M5519" t="s">
        <v>43432</v>
      </c>
      <c r="N5519" t="s">
        <v>45095</v>
      </c>
      <c r="O5519" t="s">
        <v>45096</v>
      </c>
      <c r="P5519">
        <v>0</v>
      </c>
      <c r="Q5519">
        <v>0</v>
      </c>
      <c r="R5519" t="s">
        <v>45102</v>
      </c>
      <c r="S5519" t="s">
        <v>45242</v>
      </c>
      <c r="T5519" t="s">
        <v>47166</v>
      </c>
      <c r="U5519" t="s">
        <v>52115</v>
      </c>
      <c r="W5519" t="s">
        <v>43432</v>
      </c>
      <c r="X5519" t="s">
        <v>45103</v>
      </c>
    </row>
    <row r="5520" spans="1:24">
      <c r="A5520">
        <f>HYPERLINK("https://www.philgeps.gov.ph/GEPSNONPILOT/Tender/SplashBidNoticeAbstractUI.aspx?menuIndex=3&amp;refID=7039017&amp;Result=3","7039017")</f>
        <v>0</v>
      </c>
      <c r="B5520" t="s">
        <v>1308</v>
      </c>
      <c r="C5520" t="s">
        <v>8471</v>
      </c>
      <c r="D5520" t="s">
        <v>18040</v>
      </c>
      <c r="E5520" t="s">
        <v>23039</v>
      </c>
      <c r="F5520" t="s">
        <v>31574</v>
      </c>
      <c r="G5520" t="s">
        <v>31581</v>
      </c>
      <c r="H5520" t="s">
        <v>31590</v>
      </c>
      <c r="I5520" t="s">
        <v>7185</v>
      </c>
      <c r="J5520" t="s">
        <v>35309</v>
      </c>
      <c r="K5520" t="s">
        <v>41184</v>
      </c>
      <c r="M5520" t="s">
        <v>42878</v>
      </c>
      <c r="N5520" t="s">
        <v>45095</v>
      </c>
      <c r="O5520" t="s">
        <v>45096</v>
      </c>
      <c r="P5520">
        <v>0</v>
      </c>
      <c r="Q5520">
        <v>1</v>
      </c>
      <c r="R5520" t="s">
        <v>45102</v>
      </c>
      <c r="S5520" t="s">
        <v>45242</v>
      </c>
      <c r="T5520" t="s">
        <v>47158</v>
      </c>
      <c r="U5520" t="s">
        <v>52116</v>
      </c>
      <c r="W5520" t="s">
        <v>42878</v>
      </c>
      <c r="X5520" t="s">
        <v>45103</v>
      </c>
    </row>
    <row r="5521" spans="1:24">
      <c r="A5521">
        <f>HYPERLINK("https://www.philgeps.gov.ph/GEPSNONPILOT/Tender/SplashBidNoticeAbstractUI.aspx?menuIndex=3&amp;refID=7039043&amp;Result=3","7039043")</f>
        <v>0</v>
      </c>
      <c r="B5521" t="s">
        <v>1732</v>
      </c>
      <c r="C5521" t="s">
        <v>8472</v>
      </c>
      <c r="D5521" t="s">
        <v>18041</v>
      </c>
      <c r="E5521" t="s">
        <v>18426</v>
      </c>
      <c r="F5521" t="s">
        <v>31574</v>
      </c>
      <c r="G5521" t="s">
        <v>31581</v>
      </c>
      <c r="H5521" t="s">
        <v>31590</v>
      </c>
      <c r="I5521" t="s">
        <v>31605</v>
      </c>
      <c r="J5521" t="s">
        <v>35310</v>
      </c>
      <c r="K5521" t="s">
        <v>41190</v>
      </c>
      <c r="M5521" t="s">
        <v>43351</v>
      </c>
      <c r="N5521" t="s">
        <v>45095</v>
      </c>
      <c r="O5521" t="s">
        <v>45096</v>
      </c>
      <c r="P5521">
        <v>0</v>
      </c>
      <c r="Q5521">
        <v>1</v>
      </c>
      <c r="R5521" t="s">
        <v>45102</v>
      </c>
      <c r="S5521" t="s">
        <v>45242</v>
      </c>
      <c r="T5521" t="s">
        <v>46985</v>
      </c>
      <c r="U5521" t="s">
        <v>52117</v>
      </c>
      <c r="W5521" t="s">
        <v>61715</v>
      </c>
      <c r="X5521" t="s">
        <v>45103</v>
      </c>
    </row>
    <row r="5522" spans="1:24">
      <c r="A5522">
        <f>HYPERLINK("https://www.philgeps.gov.ph/GEPSNONPILOT/Tender/SplashBidNoticeAbstractUI.aspx?menuIndex=3&amp;refID=7039050&amp;Result=3","7039050")</f>
        <v>0</v>
      </c>
      <c r="B5522" t="s">
        <v>1801</v>
      </c>
      <c r="C5522" t="s">
        <v>8473</v>
      </c>
      <c r="D5522" t="s">
        <v>18035</v>
      </c>
      <c r="E5522" t="s">
        <v>23040</v>
      </c>
      <c r="F5522" t="s">
        <v>31574</v>
      </c>
      <c r="G5522" t="s">
        <v>31582</v>
      </c>
      <c r="H5522" t="s">
        <v>31591</v>
      </c>
      <c r="I5522" t="s">
        <v>8822</v>
      </c>
      <c r="J5522" t="s">
        <v>35311</v>
      </c>
      <c r="K5522" t="s">
        <v>41184</v>
      </c>
      <c r="M5522" t="s">
        <v>43433</v>
      </c>
      <c r="N5522" t="s">
        <v>45095</v>
      </c>
      <c r="O5522" t="s">
        <v>45096</v>
      </c>
      <c r="P5522">
        <v>0</v>
      </c>
      <c r="Q5522">
        <v>0</v>
      </c>
      <c r="R5522" t="s">
        <v>45102</v>
      </c>
      <c r="S5522" t="s">
        <v>45242</v>
      </c>
      <c r="T5522" t="s">
        <v>46957</v>
      </c>
      <c r="U5522" t="s">
        <v>52118</v>
      </c>
      <c r="V5522" t="s">
        <v>60432</v>
      </c>
      <c r="W5522" t="s">
        <v>43433</v>
      </c>
      <c r="X5522" t="s">
        <v>45103</v>
      </c>
    </row>
    <row r="5523" spans="1:24">
      <c r="A5523">
        <f>HYPERLINK("https://www.philgeps.gov.ph/GEPSNONPILOT/Tender/SplashBidNoticeAbstractUI.aspx?menuIndex=3&amp;refID=7039045&amp;Result=3","7039045")</f>
        <v>0</v>
      </c>
      <c r="B5523" t="s">
        <v>1590</v>
      </c>
      <c r="C5523" t="s">
        <v>6692</v>
      </c>
      <c r="D5523" t="s">
        <v>18075</v>
      </c>
      <c r="E5523" t="s">
        <v>23041</v>
      </c>
      <c r="F5523" t="s">
        <v>31574</v>
      </c>
      <c r="G5523" t="s">
        <v>31581</v>
      </c>
      <c r="H5523" t="s">
        <v>31590</v>
      </c>
      <c r="I5523" t="s">
        <v>8258</v>
      </c>
      <c r="J5523" t="s">
        <v>31927</v>
      </c>
      <c r="K5523" t="s">
        <v>41186</v>
      </c>
      <c r="M5523" t="s">
        <v>43194</v>
      </c>
      <c r="N5523" t="s">
        <v>45095</v>
      </c>
      <c r="O5523" t="s">
        <v>45096</v>
      </c>
      <c r="P5523">
        <v>0</v>
      </c>
      <c r="Q5523">
        <v>2</v>
      </c>
      <c r="R5523" t="s">
        <v>45102</v>
      </c>
      <c r="S5523" t="s">
        <v>45242</v>
      </c>
      <c r="T5523" t="s">
        <v>47158</v>
      </c>
      <c r="U5523" t="s">
        <v>52119</v>
      </c>
      <c r="W5523" t="s">
        <v>43194</v>
      </c>
      <c r="X5523" t="s">
        <v>45103</v>
      </c>
    </row>
    <row r="5524" spans="1:24">
      <c r="A5524">
        <f>HYPERLINK("https://www.philgeps.gov.ph/GEPSNONPILOT/Tender/SplashBidNoticeAbstractUI.aspx?menuIndex=3&amp;refID=7038991&amp;Result=3","7038991")</f>
        <v>0</v>
      </c>
      <c r="B5524" t="s">
        <v>249</v>
      </c>
      <c r="C5524" t="s">
        <v>8474</v>
      </c>
      <c r="D5524" t="s">
        <v>18039</v>
      </c>
      <c r="E5524" t="s">
        <v>19292</v>
      </c>
      <c r="F5524" t="s">
        <v>31576</v>
      </c>
      <c r="G5524" t="s">
        <v>31581</v>
      </c>
      <c r="H5524" t="s">
        <v>31592</v>
      </c>
      <c r="I5524" t="s">
        <v>3539</v>
      </c>
      <c r="J5524" t="s">
        <v>32809</v>
      </c>
      <c r="K5524" t="s">
        <v>41196</v>
      </c>
      <c r="M5524" t="s">
        <v>41735</v>
      </c>
      <c r="N5524" t="s">
        <v>45095</v>
      </c>
      <c r="O5524" t="s">
        <v>45096</v>
      </c>
      <c r="P5524">
        <v>0</v>
      </c>
      <c r="Q5524">
        <v>1</v>
      </c>
      <c r="R5524" t="s">
        <v>45102</v>
      </c>
      <c r="S5524" t="s">
        <v>45242</v>
      </c>
      <c r="T5524" t="s">
        <v>47228</v>
      </c>
      <c r="U5524" t="s">
        <v>52120</v>
      </c>
      <c r="V5524" t="s">
        <v>60433</v>
      </c>
      <c r="W5524" t="s">
        <v>41735</v>
      </c>
      <c r="X5524" t="s">
        <v>45103</v>
      </c>
    </row>
    <row r="5525" spans="1:24">
      <c r="A5525">
        <f>HYPERLINK("https://www.philgeps.gov.ph/GEPSNONPILOT/Tender/SplashBidNoticeAbstractUI.aspx?menuIndex=3&amp;refID=7039048&amp;Result=3","7039048")</f>
        <v>0</v>
      </c>
      <c r="B5525" t="s">
        <v>1747</v>
      </c>
      <c r="C5525" t="s">
        <v>8475</v>
      </c>
      <c r="D5525" t="s">
        <v>18090</v>
      </c>
      <c r="E5525" t="s">
        <v>23042</v>
      </c>
      <c r="F5525" t="s">
        <v>31574</v>
      </c>
      <c r="G5525" t="s">
        <v>31582</v>
      </c>
      <c r="H5525" t="s">
        <v>31591</v>
      </c>
      <c r="I5525" t="s">
        <v>8822</v>
      </c>
      <c r="J5525" t="s">
        <v>35312</v>
      </c>
      <c r="K5525" t="s">
        <v>41215</v>
      </c>
      <c r="M5525" t="s">
        <v>43370</v>
      </c>
      <c r="N5525" t="s">
        <v>45095</v>
      </c>
      <c r="O5525" t="s">
        <v>45096</v>
      </c>
      <c r="P5525">
        <v>0</v>
      </c>
      <c r="Q5525">
        <v>0</v>
      </c>
      <c r="R5525" t="s">
        <v>45102</v>
      </c>
      <c r="S5525" t="s">
        <v>45242</v>
      </c>
      <c r="T5525" t="s">
        <v>47004</v>
      </c>
      <c r="U5525" t="s">
        <v>52121</v>
      </c>
      <c r="W5525" t="s">
        <v>43370</v>
      </c>
      <c r="X5525" t="s">
        <v>45103</v>
      </c>
    </row>
    <row r="5526" spans="1:24">
      <c r="A5526">
        <f>HYPERLINK("https://www.philgeps.gov.ph/GEPSNONPILOT/Tender/SplashBidNoticeAbstractUI.aspx?menuIndex=3&amp;refID=7038992&amp;Result=3","7038992")</f>
        <v>0</v>
      </c>
      <c r="B5526" t="s">
        <v>1772</v>
      </c>
      <c r="C5526" t="s">
        <v>6556</v>
      </c>
      <c r="D5526" t="s">
        <v>18041</v>
      </c>
      <c r="E5526" t="s">
        <v>21451</v>
      </c>
      <c r="F5526" t="s">
        <v>31574</v>
      </c>
      <c r="G5526" t="s">
        <v>31581</v>
      </c>
      <c r="H5526" t="s">
        <v>31590</v>
      </c>
      <c r="I5526" t="s">
        <v>5717</v>
      </c>
      <c r="J5526" t="s">
        <v>35313</v>
      </c>
      <c r="K5526" t="s">
        <v>41196</v>
      </c>
      <c r="M5526" t="s">
        <v>43402</v>
      </c>
      <c r="N5526" t="s">
        <v>45095</v>
      </c>
      <c r="O5526" t="s">
        <v>45096</v>
      </c>
      <c r="P5526">
        <v>0</v>
      </c>
      <c r="Q5526">
        <v>0</v>
      </c>
      <c r="R5526" t="s">
        <v>45102</v>
      </c>
      <c r="S5526" t="s">
        <v>45242</v>
      </c>
      <c r="T5526" t="s">
        <v>47067</v>
      </c>
      <c r="U5526" t="s">
        <v>52122</v>
      </c>
      <c r="V5526" t="s">
        <v>60423</v>
      </c>
      <c r="W5526" t="s">
        <v>43402</v>
      </c>
      <c r="X5526" t="s">
        <v>45103</v>
      </c>
    </row>
    <row r="5527" spans="1:24">
      <c r="A5527">
        <f>HYPERLINK("https://www.philgeps.gov.ph/GEPSNONPILOT/Tender/SplashBidNoticeAbstractUI.aspx?menuIndex=3&amp;refID=7039042&amp;Result=3","7039042")</f>
        <v>0</v>
      </c>
      <c r="B5527" t="s">
        <v>658</v>
      </c>
      <c r="C5527" t="s">
        <v>8476</v>
      </c>
      <c r="D5527" t="s">
        <v>18039</v>
      </c>
      <c r="E5527" t="s">
        <v>23043</v>
      </c>
      <c r="F5527" t="s">
        <v>31574</v>
      </c>
      <c r="G5527" t="s">
        <v>31583</v>
      </c>
      <c r="H5527" t="s">
        <v>31590</v>
      </c>
      <c r="I5527" t="s">
        <v>7185</v>
      </c>
      <c r="J5527" t="s">
        <v>35314</v>
      </c>
      <c r="K5527" t="s">
        <v>41190</v>
      </c>
      <c r="M5527" t="s">
        <v>42162</v>
      </c>
      <c r="N5527" t="s">
        <v>45095</v>
      </c>
      <c r="O5527" t="s">
        <v>45096</v>
      </c>
      <c r="P5527">
        <v>0</v>
      </c>
      <c r="Q5527">
        <v>2</v>
      </c>
      <c r="R5527" t="s">
        <v>45102</v>
      </c>
      <c r="S5527" t="s">
        <v>45242</v>
      </c>
      <c r="T5527" t="s">
        <v>47164</v>
      </c>
      <c r="U5527" t="s">
        <v>52123</v>
      </c>
      <c r="V5527" t="s">
        <v>60434</v>
      </c>
      <c r="W5527" t="s">
        <v>42162</v>
      </c>
      <c r="X5527" t="s">
        <v>45103</v>
      </c>
    </row>
    <row r="5528" spans="1:24">
      <c r="A5528">
        <f>HYPERLINK("https://www.philgeps.gov.ph/GEPSNONPILOT/Tender/SplashBidNoticeAbstractUI.aspx?menuIndex=3&amp;refID=7039046&amp;Result=3","7039046")</f>
        <v>0</v>
      </c>
      <c r="B5528" t="s">
        <v>1566</v>
      </c>
      <c r="C5528" t="s">
        <v>8477</v>
      </c>
      <c r="E5528" t="s">
        <v>23044</v>
      </c>
      <c r="F5528" t="s">
        <v>31574</v>
      </c>
      <c r="G5528" t="s">
        <v>31582</v>
      </c>
      <c r="H5528" t="s">
        <v>31591</v>
      </c>
      <c r="I5528" t="s">
        <v>8822</v>
      </c>
      <c r="J5528" t="s">
        <v>35315</v>
      </c>
      <c r="K5528" t="s">
        <v>41184</v>
      </c>
      <c r="M5528" t="s">
        <v>43165</v>
      </c>
      <c r="N5528" t="s">
        <v>45095</v>
      </c>
      <c r="O5528" t="s">
        <v>45096</v>
      </c>
      <c r="Q5528">
        <v>2</v>
      </c>
      <c r="R5528" t="s">
        <v>45102</v>
      </c>
      <c r="S5528" t="s">
        <v>45254</v>
      </c>
      <c r="T5528" t="s">
        <v>47010</v>
      </c>
      <c r="U5528" t="s">
        <v>52124</v>
      </c>
      <c r="V5528" t="s">
        <v>59888</v>
      </c>
      <c r="W5528" t="s">
        <v>43165</v>
      </c>
      <c r="X5528" t="s">
        <v>45103</v>
      </c>
    </row>
    <row r="5529" spans="1:24">
      <c r="A5529">
        <f>HYPERLINK("https://www.philgeps.gov.ph/GEPSNONPILOT/Tender/SplashBidNoticeAbstractUI.aspx?menuIndex=3&amp;refID=7039032&amp;Result=3","7039032")</f>
        <v>0</v>
      </c>
      <c r="B5529" t="s">
        <v>1802</v>
      </c>
      <c r="C5529" t="s">
        <v>8478</v>
      </c>
      <c r="D5529" t="s">
        <v>18044</v>
      </c>
      <c r="E5529" t="s">
        <v>23045</v>
      </c>
      <c r="F5529" t="s">
        <v>31574</v>
      </c>
      <c r="G5529" t="s">
        <v>31581</v>
      </c>
      <c r="H5529" t="s">
        <v>31590</v>
      </c>
      <c r="I5529" t="s">
        <v>31594</v>
      </c>
      <c r="J5529" t="s">
        <v>31955</v>
      </c>
      <c r="K5529" t="s">
        <v>41196</v>
      </c>
      <c r="M5529" t="s">
        <v>43434</v>
      </c>
      <c r="N5529" t="s">
        <v>45095</v>
      </c>
      <c r="O5529" t="s">
        <v>45096</v>
      </c>
      <c r="P5529">
        <v>0</v>
      </c>
      <c r="Q5529">
        <v>3</v>
      </c>
      <c r="R5529" t="s">
        <v>45102</v>
      </c>
      <c r="S5529" t="s">
        <v>45242</v>
      </c>
      <c r="T5529" t="s">
        <v>47067</v>
      </c>
      <c r="U5529" t="s">
        <v>52125</v>
      </c>
      <c r="W5529" t="s">
        <v>43434</v>
      </c>
      <c r="X5529" t="s">
        <v>45103</v>
      </c>
    </row>
    <row r="5530" spans="1:24">
      <c r="A5530">
        <f>HYPERLINK("https://www.philgeps.gov.ph/GEPSNONPILOT/Tender/SplashBidNoticeAbstractUI.aspx?menuIndex=3&amp;refID=7039052&amp;Result=3","7039052")</f>
        <v>0</v>
      </c>
      <c r="B5530" t="s">
        <v>1803</v>
      </c>
      <c r="C5530" t="s">
        <v>8479</v>
      </c>
      <c r="D5530" t="s">
        <v>18027</v>
      </c>
      <c r="E5530" t="s">
        <v>23046</v>
      </c>
      <c r="F5530" t="s">
        <v>31574</v>
      </c>
      <c r="G5530" t="s">
        <v>31583</v>
      </c>
      <c r="H5530" t="s">
        <v>31590</v>
      </c>
      <c r="I5530" t="s">
        <v>4046</v>
      </c>
      <c r="J5530" t="s">
        <v>35316</v>
      </c>
      <c r="K5530" t="s">
        <v>41193</v>
      </c>
      <c r="M5530" t="s">
        <v>43435</v>
      </c>
      <c r="N5530" t="s">
        <v>45095</v>
      </c>
      <c r="O5530" t="s">
        <v>45096</v>
      </c>
      <c r="P5530">
        <v>0</v>
      </c>
      <c r="Q5530">
        <v>0</v>
      </c>
      <c r="R5530" t="s">
        <v>45102</v>
      </c>
      <c r="S5530" t="s">
        <v>45242</v>
      </c>
      <c r="T5530" t="s">
        <v>47067</v>
      </c>
      <c r="U5530" t="s">
        <v>52126</v>
      </c>
      <c r="W5530" t="s">
        <v>43435</v>
      </c>
      <c r="X5530" t="s">
        <v>45103</v>
      </c>
    </row>
    <row r="5531" spans="1:24">
      <c r="A5531">
        <f>HYPERLINK("https://www.philgeps.gov.ph/GEPSNONPILOT/Tender/SplashBidNoticeAbstractUI.aspx?menuIndex=3&amp;refID=7039040&amp;Result=3","7039040")</f>
        <v>0</v>
      </c>
      <c r="B5531" t="s">
        <v>1783</v>
      </c>
      <c r="C5531" t="s">
        <v>8480</v>
      </c>
      <c r="D5531" t="s">
        <v>18056</v>
      </c>
      <c r="E5531" t="s">
        <v>23047</v>
      </c>
      <c r="F5531" t="s">
        <v>31574</v>
      </c>
      <c r="G5531" t="s">
        <v>31586</v>
      </c>
      <c r="H5531" t="s">
        <v>31590</v>
      </c>
      <c r="I5531" t="s">
        <v>31619</v>
      </c>
      <c r="J5531" t="s">
        <v>32178</v>
      </c>
      <c r="K5531" t="s">
        <v>41190</v>
      </c>
      <c r="M5531" t="s">
        <v>43413</v>
      </c>
      <c r="N5531" t="s">
        <v>45095</v>
      </c>
      <c r="O5531" t="s">
        <v>45096</v>
      </c>
      <c r="P5531">
        <v>0</v>
      </c>
      <c r="Q5531">
        <v>1</v>
      </c>
      <c r="R5531" t="s">
        <v>45102</v>
      </c>
      <c r="S5531" t="s">
        <v>45242</v>
      </c>
      <c r="T5531" t="s">
        <v>47164</v>
      </c>
      <c r="U5531" t="s">
        <v>52055</v>
      </c>
      <c r="W5531" t="s">
        <v>43413</v>
      </c>
      <c r="X5531" t="s">
        <v>45103</v>
      </c>
    </row>
    <row r="5532" spans="1:24">
      <c r="A5532">
        <f>HYPERLINK("https://www.philgeps.gov.ph/GEPSNONPILOT/Tender/SplashBidNoticeAbstractUI.aspx?menuIndex=3&amp;refID=7039058&amp;Result=3","7039058")</f>
        <v>0</v>
      </c>
      <c r="B5532" t="s">
        <v>249</v>
      </c>
      <c r="C5532" t="s">
        <v>8481</v>
      </c>
      <c r="D5532" t="s">
        <v>18039</v>
      </c>
      <c r="E5532" t="s">
        <v>23048</v>
      </c>
      <c r="F5532" t="s">
        <v>31574</v>
      </c>
      <c r="G5532" t="s">
        <v>31581</v>
      </c>
      <c r="H5532" t="s">
        <v>31590</v>
      </c>
      <c r="I5532" t="s">
        <v>31625</v>
      </c>
      <c r="J5532" t="s">
        <v>31947</v>
      </c>
      <c r="K5532" t="s">
        <v>41186</v>
      </c>
      <c r="M5532" t="s">
        <v>41735</v>
      </c>
      <c r="N5532" t="s">
        <v>45095</v>
      </c>
      <c r="O5532" t="s">
        <v>45096</v>
      </c>
      <c r="P5532">
        <v>0</v>
      </c>
      <c r="Q5532">
        <v>1</v>
      </c>
      <c r="R5532" t="s">
        <v>45102</v>
      </c>
      <c r="S5532" t="s">
        <v>45242</v>
      </c>
      <c r="T5532" t="s">
        <v>47228</v>
      </c>
      <c r="U5532" t="s">
        <v>52127</v>
      </c>
      <c r="V5532" t="s">
        <v>60433</v>
      </c>
      <c r="W5532" t="s">
        <v>41735</v>
      </c>
      <c r="X5532" t="s">
        <v>45103</v>
      </c>
    </row>
    <row r="5533" spans="1:24">
      <c r="A5533">
        <f>HYPERLINK("https://www.philgeps.gov.ph/GEPSNONPILOT/Tender/SplashBidNoticeAbstractUI.aspx?menuIndex=3&amp;refID=7039051&amp;Result=3","7039051")</f>
        <v>0</v>
      </c>
      <c r="B5533" t="s">
        <v>264</v>
      </c>
      <c r="C5533" t="s">
        <v>8482</v>
      </c>
      <c r="D5533" t="s">
        <v>18066</v>
      </c>
      <c r="E5533" t="s">
        <v>23049</v>
      </c>
      <c r="F5533" t="s">
        <v>31574</v>
      </c>
      <c r="G5533" t="s">
        <v>31585</v>
      </c>
      <c r="H5533" t="s">
        <v>31590</v>
      </c>
      <c r="I5533" t="s">
        <v>5717</v>
      </c>
      <c r="J5533" t="s">
        <v>35317</v>
      </c>
      <c r="K5533" t="s">
        <v>41184</v>
      </c>
      <c r="M5533" t="s">
        <v>41750</v>
      </c>
      <c r="N5533" t="s">
        <v>45095</v>
      </c>
      <c r="O5533" t="s">
        <v>45096</v>
      </c>
      <c r="P5533">
        <v>0</v>
      </c>
      <c r="Q5533">
        <v>0</v>
      </c>
      <c r="R5533" t="s">
        <v>45102</v>
      </c>
      <c r="S5533" t="s">
        <v>45242</v>
      </c>
      <c r="T5533" t="s">
        <v>46963</v>
      </c>
      <c r="U5533" t="s">
        <v>52128</v>
      </c>
      <c r="W5533" t="s">
        <v>61674</v>
      </c>
      <c r="X5533" t="s">
        <v>45103</v>
      </c>
    </row>
    <row r="5534" spans="1:24">
      <c r="A5534">
        <f>HYPERLINK("https://www.philgeps.gov.ph/GEPSNONPILOT/Tender/SplashBidNoticeAbstractUI.aspx?menuIndex=3&amp;refID=7039038&amp;Result=3","7039038")</f>
        <v>0</v>
      </c>
      <c r="B5534" t="s">
        <v>1760</v>
      </c>
      <c r="C5534" t="s">
        <v>8483</v>
      </c>
      <c r="D5534" t="s">
        <v>18028</v>
      </c>
      <c r="E5534" t="s">
        <v>23050</v>
      </c>
      <c r="F5534" t="s">
        <v>31574</v>
      </c>
      <c r="G5534" t="s">
        <v>31582</v>
      </c>
      <c r="H5534" t="s">
        <v>31591</v>
      </c>
      <c r="I5534" t="s">
        <v>8822</v>
      </c>
      <c r="J5534" t="s">
        <v>31935</v>
      </c>
      <c r="K5534" t="s">
        <v>41266</v>
      </c>
      <c r="M5534" t="s">
        <v>43388</v>
      </c>
      <c r="N5534" t="s">
        <v>45095</v>
      </c>
      <c r="O5534" t="s">
        <v>45096</v>
      </c>
      <c r="P5534">
        <v>0</v>
      </c>
      <c r="Q5534">
        <v>0</v>
      </c>
      <c r="R5534" t="s">
        <v>45102</v>
      </c>
      <c r="S5534" t="s">
        <v>45242</v>
      </c>
      <c r="T5534" t="s">
        <v>46940</v>
      </c>
      <c r="U5534" t="s">
        <v>52129</v>
      </c>
      <c r="W5534" t="s">
        <v>43388</v>
      </c>
      <c r="X5534" t="s">
        <v>45103</v>
      </c>
    </row>
    <row r="5535" spans="1:24">
      <c r="A5535">
        <f>HYPERLINK("https://www.philgeps.gov.ph/GEPSNONPILOT/Tender/SplashBidNoticeAbstractUI.aspx?menuIndex=3&amp;refID=7039059&amp;Result=3","7039059")</f>
        <v>0</v>
      </c>
      <c r="B5535" t="s">
        <v>1794</v>
      </c>
      <c r="C5535" t="s">
        <v>8445</v>
      </c>
      <c r="D5535" t="s">
        <v>18067</v>
      </c>
      <c r="E5535" t="s">
        <v>18596</v>
      </c>
      <c r="F5535" t="s">
        <v>31574</v>
      </c>
      <c r="G5535" t="s">
        <v>31582</v>
      </c>
      <c r="H5535" t="s">
        <v>31591</v>
      </c>
      <c r="I5535" t="s">
        <v>8822</v>
      </c>
      <c r="J5535" t="s">
        <v>31741</v>
      </c>
      <c r="K5535" t="s">
        <v>41186</v>
      </c>
      <c r="M5535" t="s">
        <v>43425</v>
      </c>
      <c r="N5535" t="s">
        <v>45095</v>
      </c>
      <c r="O5535" t="s">
        <v>45096</v>
      </c>
      <c r="P5535">
        <v>0</v>
      </c>
      <c r="Q5535">
        <v>0</v>
      </c>
      <c r="R5535" t="s">
        <v>45102</v>
      </c>
      <c r="S5535" t="s">
        <v>45242</v>
      </c>
      <c r="T5535" t="s">
        <v>47100</v>
      </c>
      <c r="U5535" t="s">
        <v>52130</v>
      </c>
      <c r="W5535" t="s">
        <v>43425</v>
      </c>
      <c r="X5535" t="s">
        <v>45103</v>
      </c>
    </row>
    <row r="5536" spans="1:24">
      <c r="A5536">
        <f>HYPERLINK("https://www.philgeps.gov.ph/GEPSNONPILOT/Tender/SplashBidNoticeAbstractUI.aspx?menuIndex=3&amp;refID=7039031&amp;Result=3","7039031")</f>
        <v>0</v>
      </c>
      <c r="B5536" t="s">
        <v>1590</v>
      </c>
      <c r="C5536" t="s">
        <v>8484</v>
      </c>
      <c r="D5536" t="s">
        <v>18075</v>
      </c>
      <c r="E5536" t="s">
        <v>23051</v>
      </c>
      <c r="F5536" t="s">
        <v>31574</v>
      </c>
      <c r="G5536" t="s">
        <v>31581</v>
      </c>
      <c r="H5536" t="s">
        <v>31590</v>
      </c>
      <c r="I5536" t="s">
        <v>7185</v>
      </c>
      <c r="J5536" t="s">
        <v>32939</v>
      </c>
      <c r="K5536" t="s">
        <v>41213</v>
      </c>
      <c r="M5536" t="s">
        <v>43194</v>
      </c>
      <c r="N5536" t="s">
        <v>45095</v>
      </c>
      <c r="O5536" t="s">
        <v>45096</v>
      </c>
      <c r="P5536">
        <v>0</v>
      </c>
      <c r="Q5536">
        <v>7</v>
      </c>
      <c r="R5536" t="s">
        <v>45102</v>
      </c>
      <c r="S5536" t="s">
        <v>45242</v>
      </c>
      <c r="T5536" t="s">
        <v>47158</v>
      </c>
      <c r="U5536" t="s">
        <v>52131</v>
      </c>
      <c r="W5536" t="s">
        <v>43194</v>
      </c>
      <c r="X5536" t="s">
        <v>45103</v>
      </c>
    </row>
    <row r="5537" spans="1:24">
      <c r="A5537">
        <f>HYPERLINK("https://www.philgeps.gov.ph/GEPSNONPILOT/Tender/SplashBidNoticeAbstractUI.aspx?menuIndex=3&amp;refID=7039063&amp;Result=3","7039063")</f>
        <v>0</v>
      </c>
      <c r="B5537" t="s">
        <v>118</v>
      </c>
      <c r="C5537" t="s">
        <v>8485</v>
      </c>
      <c r="D5537" t="s">
        <v>18055</v>
      </c>
      <c r="E5537" t="s">
        <v>23052</v>
      </c>
      <c r="F5537" t="s">
        <v>31574</v>
      </c>
      <c r="G5537" t="s">
        <v>31582</v>
      </c>
      <c r="H5537" t="s">
        <v>31591</v>
      </c>
      <c r="I5537" t="s">
        <v>8822</v>
      </c>
      <c r="J5537" t="s">
        <v>35318</v>
      </c>
      <c r="K5537" t="s">
        <v>41295</v>
      </c>
      <c r="M5537" t="s">
        <v>41602</v>
      </c>
      <c r="N5537" t="s">
        <v>45095</v>
      </c>
      <c r="O5537" t="s">
        <v>45096</v>
      </c>
      <c r="P5537">
        <v>0</v>
      </c>
      <c r="Q5537">
        <v>8</v>
      </c>
      <c r="R5537" t="s">
        <v>45102</v>
      </c>
      <c r="S5537" t="s">
        <v>45242</v>
      </c>
      <c r="T5537" t="s">
        <v>46962</v>
      </c>
      <c r="U5537" t="s">
        <v>52132</v>
      </c>
      <c r="W5537" t="s">
        <v>41602</v>
      </c>
      <c r="X5537" t="s">
        <v>45103</v>
      </c>
    </row>
    <row r="5538" spans="1:24">
      <c r="A5538">
        <f>HYPERLINK("https://www.philgeps.gov.ph/GEPSNONPILOT/Tender/SplashBidNoticeAbstractUI.aspx?menuIndex=3&amp;refID=7039056&amp;Result=3","7039056")</f>
        <v>0</v>
      </c>
      <c r="B5538" t="s">
        <v>1804</v>
      </c>
      <c r="C5538" t="s">
        <v>8470</v>
      </c>
      <c r="D5538" t="s">
        <v>18028</v>
      </c>
      <c r="E5538" t="s">
        <v>23038</v>
      </c>
      <c r="F5538" t="s">
        <v>31574</v>
      </c>
      <c r="G5538" t="s">
        <v>31582</v>
      </c>
      <c r="H5538" t="s">
        <v>31591</v>
      </c>
      <c r="I5538" t="s">
        <v>8822</v>
      </c>
      <c r="J5538" t="s">
        <v>32258</v>
      </c>
      <c r="K5538" t="s">
        <v>41184</v>
      </c>
      <c r="M5538" t="s">
        <v>43436</v>
      </c>
      <c r="N5538" t="s">
        <v>45095</v>
      </c>
      <c r="O5538" t="s">
        <v>45096</v>
      </c>
      <c r="P5538">
        <v>0</v>
      </c>
      <c r="Q5538">
        <v>0</v>
      </c>
      <c r="R5538" t="s">
        <v>45102</v>
      </c>
      <c r="S5538" t="s">
        <v>45242</v>
      </c>
      <c r="T5538" t="s">
        <v>47100</v>
      </c>
      <c r="U5538" t="s">
        <v>52133</v>
      </c>
      <c r="W5538" t="s">
        <v>43436</v>
      </c>
      <c r="X5538" t="s">
        <v>45103</v>
      </c>
    </row>
    <row r="5539" spans="1:24">
      <c r="A5539">
        <f>HYPERLINK("https://www.philgeps.gov.ph/GEPSNONPILOT/Tender/SplashBidNoticeAbstractUI.aspx?menuIndex=3&amp;refID=7039064&amp;Result=3","7039064")</f>
        <v>0</v>
      </c>
      <c r="B5539" t="s">
        <v>312</v>
      </c>
      <c r="C5539" t="s">
        <v>8486</v>
      </c>
      <c r="D5539" t="s">
        <v>18024</v>
      </c>
      <c r="E5539" t="s">
        <v>23053</v>
      </c>
      <c r="F5539" t="s">
        <v>31574</v>
      </c>
      <c r="G5539" t="s">
        <v>31581</v>
      </c>
      <c r="H5539" t="s">
        <v>31590</v>
      </c>
      <c r="I5539" t="s">
        <v>4046</v>
      </c>
      <c r="J5539" t="s">
        <v>35248</v>
      </c>
      <c r="K5539" t="s">
        <v>41196</v>
      </c>
      <c r="M5539" t="s">
        <v>41799</v>
      </c>
      <c r="N5539" t="s">
        <v>45095</v>
      </c>
      <c r="O5539" t="s">
        <v>45096</v>
      </c>
      <c r="P5539">
        <v>0</v>
      </c>
      <c r="Q5539">
        <v>0</v>
      </c>
      <c r="R5539" t="s">
        <v>45102</v>
      </c>
      <c r="S5539" t="s">
        <v>45242</v>
      </c>
      <c r="T5539" t="s">
        <v>47183</v>
      </c>
      <c r="U5539" t="s">
        <v>52029</v>
      </c>
      <c r="W5539" t="s">
        <v>41799</v>
      </c>
      <c r="X5539" t="s">
        <v>45103</v>
      </c>
    </row>
    <row r="5540" spans="1:24">
      <c r="A5540">
        <f>HYPERLINK("https://www.philgeps.gov.ph/GEPSNONPILOT/Tender/SplashBidNoticeAbstractUI.aspx?menuIndex=3&amp;refID=7039060&amp;Result=3","7039060")</f>
        <v>0</v>
      </c>
      <c r="B5540" t="s">
        <v>1590</v>
      </c>
      <c r="C5540" t="s">
        <v>8487</v>
      </c>
      <c r="D5540" t="s">
        <v>18075</v>
      </c>
      <c r="E5540" t="s">
        <v>23054</v>
      </c>
      <c r="F5540" t="s">
        <v>31574</v>
      </c>
      <c r="G5540" t="s">
        <v>31581</v>
      </c>
      <c r="H5540" t="s">
        <v>31590</v>
      </c>
      <c r="I5540" t="s">
        <v>31594</v>
      </c>
      <c r="J5540" t="s">
        <v>31947</v>
      </c>
      <c r="K5540" t="s">
        <v>41186</v>
      </c>
      <c r="M5540" t="s">
        <v>43194</v>
      </c>
      <c r="N5540" t="s">
        <v>45095</v>
      </c>
      <c r="O5540" t="s">
        <v>45096</v>
      </c>
      <c r="P5540">
        <v>0</v>
      </c>
      <c r="Q5540">
        <v>10</v>
      </c>
      <c r="R5540" t="s">
        <v>45102</v>
      </c>
      <c r="S5540" t="s">
        <v>45242</v>
      </c>
      <c r="T5540" t="s">
        <v>47158</v>
      </c>
      <c r="U5540" t="s">
        <v>52134</v>
      </c>
      <c r="W5540" t="s">
        <v>43194</v>
      </c>
      <c r="X5540" t="s">
        <v>45103</v>
      </c>
    </row>
    <row r="5541" spans="1:24">
      <c r="A5541">
        <f>HYPERLINK("https://www.philgeps.gov.ph/GEPSNONPILOT/Tender/SplashBidNoticeAbstractUI.aspx?menuIndex=3&amp;refID=7039055&amp;Result=3","7039055")</f>
        <v>0</v>
      </c>
      <c r="B5541" t="s">
        <v>1760</v>
      </c>
      <c r="C5541" t="s">
        <v>8488</v>
      </c>
      <c r="D5541" t="s">
        <v>18028</v>
      </c>
      <c r="E5541" t="s">
        <v>23055</v>
      </c>
      <c r="F5541" t="s">
        <v>31574</v>
      </c>
      <c r="G5541" t="s">
        <v>31582</v>
      </c>
      <c r="H5541" t="s">
        <v>31591</v>
      </c>
      <c r="I5541" t="s">
        <v>8822</v>
      </c>
      <c r="J5541" t="s">
        <v>31771</v>
      </c>
      <c r="K5541" t="s">
        <v>41317</v>
      </c>
      <c r="M5541" t="s">
        <v>43388</v>
      </c>
      <c r="N5541" t="s">
        <v>45095</v>
      </c>
      <c r="O5541" t="s">
        <v>45096</v>
      </c>
      <c r="P5541">
        <v>0</v>
      </c>
      <c r="Q5541">
        <v>0</v>
      </c>
      <c r="R5541" t="s">
        <v>45102</v>
      </c>
      <c r="S5541" t="s">
        <v>45242</v>
      </c>
      <c r="T5541" t="s">
        <v>47262</v>
      </c>
      <c r="U5541" t="s">
        <v>52135</v>
      </c>
      <c r="W5541" t="s">
        <v>43388</v>
      </c>
      <c r="X5541" t="s">
        <v>45103</v>
      </c>
    </row>
    <row r="5542" spans="1:24">
      <c r="A5542">
        <f>HYPERLINK("https://www.philgeps.gov.ph/GEPSNONPILOT/Tender/SplashBidNoticeAbstractUI.aspx?menuIndex=3&amp;refID=7039029&amp;Result=3","7039029")</f>
        <v>0</v>
      </c>
      <c r="B5542" t="s">
        <v>941</v>
      </c>
      <c r="C5542" t="s">
        <v>8489</v>
      </c>
      <c r="D5542" t="s">
        <v>18034</v>
      </c>
      <c r="E5542" t="s">
        <v>23056</v>
      </c>
      <c r="F5542" t="s">
        <v>31574</v>
      </c>
      <c r="G5542" t="s">
        <v>31581</v>
      </c>
      <c r="H5542" t="s">
        <v>31590</v>
      </c>
      <c r="I5542" t="s">
        <v>31599</v>
      </c>
      <c r="J5542" t="s">
        <v>35319</v>
      </c>
      <c r="K5542" t="s">
        <v>41186</v>
      </c>
      <c r="M5542" t="s">
        <v>42468</v>
      </c>
      <c r="N5542" t="s">
        <v>45095</v>
      </c>
      <c r="O5542" t="s">
        <v>45096</v>
      </c>
      <c r="P5542">
        <v>0</v>
      </c>
      <c r="Q5542">
        <v>1</v>
      </c>
      <c r="R5542" t="s">
        <v>45102</v>
      </c>
      <c r="S5542" t="s">
        <v>45242</v>
      </c>
      <c r="T5542" t="s">
        <v>47154</v>
      </c>
      <c r="U5542" t="s">
        <v>52136</v>
      </c>
      <c r="W5542" t="s">
        <v>42468</v>
      </c>
      <c r="X5542" t="s">
        <v>45103</v>
      </c>
    </row>
    <row r="5543" spans="1:24">
      <c r="A5543">
        <f>HYPERLINK("https://www.philgeps.gov.ph/GEPSNONPILOT/Tender/SplashBidNoticeAbstractUI.aspx?menuIndex=3&amp;refID=7039041&amp;Result=3","7039041")</f>
        <v>0</v>
      </c>
      <c r="B5543" t="s">
        <v>1761</v>
      </c>
      <c r="C5543" t="s">
        <v>8490</v>
      </c>
      <c r="D5543" t="s">
        <v>18022</v>
      </c>
      <c r="E5543" t="s">
        <v>23057</v>
      </c>
      <c r="F5543" t="s">
        <v>31574</v>
      </c>
      <c r="G5543" t="s">
        <v>31581</v>
      </c>
      <c r="H5543" t="s">
        <v>31590</v>
      </c>
      <c r="I5543" t="s">
        <v>31616</v>
      </c>
      <c r="J5543" t="s">
        <v>35320</v>
      </c>
      <c r="K5543" t="s">
        <v>41190</v>
      </c>
      <c r="M5543" t="s">
        <v>43389</v>
      </c>
      <c r="N5543" t="s">
        <v>45095</v>
      </c>
      <c r="O5543" t="s">
        <v>45096</v>
      </c>
      <c r="P5543">
        <v>0</v>
      </c>
      <c r="Q5543">
        <v>3</v>
      </c>
      <c r="R5543" t="s">
        <v>45102</v>
      </c>
      <c r="S5543" t="s">
        <v>45242</v>
      </c>
      <c r="T5543" t="s">
        <v>47125</v>
      </c>
      <c r="U5543" t="s">
        <v>52137</v>
      </c>
      <c r="W5543" t="s">
        <v>43389</v>
      </c>
      <c r="X5543" t="s">
        <v>45103</v>
      </c>
    </row>
    <row r="5544" spans="1:24">
      <c r="A5544">
        <f>HYPERLINK("https://www.philgeps.gov.ph/GEPSNONPILOT/Tender/SplashBidNoticeAbstractUI.aspx?menuIndex=3&amp;refID=7039082&amp;Result=3","7039082")</f>
        <v>0</v>
      </c>
      <c r="B5544" t="s">
        <v>470</v>
      </c>
      <c r="C5544" t="s">
        <v>8491</v>
      </c>
      <c r="D5544" t="s">
        <v>18022</v>
      </c>
      <c r="E5544" t="s">
        <v>23058</v>
      </c>
      <c r="F5544" t="s">
        <v>31574</v>
      </c>
      <c r="G5544" t="s">
        <v>31584</v>
      </c>
      <c r="H5544" t="s">
        <v>31590</v>
      </c>
      <c r="I5544" t="s">
        <v>6800</v>
      </c>
      <c r="J5544" t="s">
        <v>35321</v>
      </c>
      <c r="K5544" t="s">
        <v>41193</v>
      </c>
      <c r="M5544" t="s">
        <v>41964</v>
      </c>
      <c r="N5544" t="s">
        <v>45095</v>
      </c>
      <c r="O5544" t="s">
        <v>45096</v>
      </c>
      <c r="P5544">
        <v>0</v>
      </c>
      <c r="Q5544">
        <v>3</v>
      </c>
      <c r="R5544" t="s">
        <v>45102</v>
      </c>
      <c r="S5544" t="s">
        <v>45242</v>
      </c>
      <c r="T5544" t="s">
        <v>47076</v>
      </c>
      <c r="U5544" t="s">
        <v>52138</v>
      </c>
      <c r="W5544" t="s">
        <v>61668</v>
      </c>
      <c r="X5544" t="s">
        <v>45103</v>
      </c>
    </row>
    <row r="5545" spans="1:24">
      <c r="A5545">
        <f>HYPERLINK("https://www.philgeps.gov.ph/GEPSNONPILOT/Tender/SplashBidNoticeAbstractUI.aspx?menuIndex=3&amp;refID=7039085&amp;Result=3","7039085")</f>
        <v>0</v>
      </c>
      <c r="B5545" t="s">
        <v>1805</v>
      </c>
      <c r="C5545" t="s">
        <v>8492</v>
      </c>
      <c r="D5545" t="s">
        <v>18089</v>
      </c>
      <c r="E5545" t="s">
        <v>23059</v>
      </c>
      <c r="F5545" t="s">
        <v>31574</v>
      </c>
      <c r="G5545" t="s">
        <v>31582</v>
      </c>
      <c r="H5545" t="s">
        <v>31590</v>
      </c>
      <c r="I5545" t="s">
        <v>7162</v>
      </c>
      <c r="J5545" t="s">
        <v>35322</v>
      </c>
      <c r="K5545" t="s">
        <v>41200</v>
      </c>
      <c r="M5545" t="s">
        <v>43437</v>
      </c>
      <c r="N5545" t="s">
        <v>45095</v>
      </c>
      <c r="O5545" t="s">
        <v>45096</v>
      </c>
      <c r="P5545">
        <v>0</v>
      </c>
      <c r="Q5545">
        <v>0</v>
      </c>
      <c r="R5545" t="s">
        <v>45102</v>
      </c>
      <c r="S5545" t="s">
        <v>45242</v>
      </c>
      <c r="T5545" t="s">
        <v>46941</v>
      </c>
      <c r="U5545" t="s">
        <v>52139</v>
      </c>
      <c r="V5545" t="s">
        <v>60435</v>
      </c>
      <c r="W5545" t="s">
        <v>43437</v>
      </c>
      <c r="X5545" t="s">
        <v>45103</v>
      </c>
    </row>
    <row r="5546" spans="1:24">
      <c r="A5546">
        <f>HYPERLINK("https://www.philgeps.gov.ph/GEPSNONPILOT/Tender/SplashBidNoticeAbstractUI.aspx?menuIndex=3&amp;refID=7039065&amp;Result=3","7039065")</f>
        <v>0</v>
      </c>
      <c r="B5546" t="s">
        <v>180</v>
      </c>
      <c r="C5546" t="s">
        <v>8493</v>
      </c>
      <c r="D5546" t="s">
        <v>18066</v>
      </c>
      <c r="E5546" t="s">
        <v>23060</v>
      </c>
      <c r="F5546" t="s">
        <v>31574</v>
      </c>
      <c r="G5546" t="s">
        <v>31582</v>
      </c>
      <c r="H5546" t="s">
        <v>31590</v>
      </c>
      <c r="I5546" t="s">
        <v>4046</v>
      </c>
      <c r="J5546" t="s">
        <v>35323</v>
      </c>
      <c r="K5546" t="s">
        <v>41196</v>
      </c>
      <c r="M5546" t="s">
        <v>41665</v>
      </c>
      <c r="N5546" t="s">
        <v>45095</v>
      </c>
      <c r="O5546" t="s">
        <v>45096</v>
      </c>
      <c r="P5546">
        <v>0</v>
      </c>
      <c r="Q5546">
        <v>0</v>
      </c>
      <c r="R5546" t="s">
        <v>45102</v>
      </c>
      <c r="S5546" t="s">
        <v>45242</v>
      </c>
      <c r="T5546" t="s">
        <v>46932</v>
      </c>
      <c r="U5546" t="s">
        <v>52140</v>
      </c>
      <c r="W5546" t="s">
        <v>41665</v>
      </c>
      <c r="X5546" t="s">
        <v>45103</v>
      </c>
    </row>
    <row r="5547" spans="1:24">
      <c r="A5547">
        <f>HYPERLINK("https://www.philgeps.gov.ph/GEPSNONPILOT/Tender/SplashBidNoticeAbstractUI.aspx?menuIndex=3&amp;refID=7039074&amp;Result=3","7039074")</f>
        <v>0</v>
      </c>
      <c r="B5547" t="s">
        <v>1758</v>
      </c>
      <c r="C5547" t="s">
        <v>8494</v>
      </c>
      <c r="D5547" t="s">
        <v>18102</v>
      </c>
      <c r="E5547" t="s">
        <v>23061</v>
      </c>
      <c r="F5547" t="s">
        <v>31574</v>
      </c>
      <c r="G5547" t="s">
        <v>31582</v>
      </c>
      <c r="H5547" t="s">
        <v>31591</v>
      </c>
      <c r="I5547" t="s">
        <v>8822</v>
      </c>
      <c r="J5547" t="s">
        <v>35324</v>
      </c>
      <c r="K5547" t="s">
        <v>41185</v>
      </c>
      <c r="M5547" t="s">
        <v>43384</v>
      </c>
      <c r="N5547" t="s">
        <v>45095</v>
      </c>
      <c r="O5547" t="s">
        <v>45096</v>
      </c>
      <c r="P5547">
        <v>0</v>
      </c>
      <c r="Q5547">
        <v>0</v>
      </c>
      <c r="R5547" t="s">
        <v>45102</v>
      </c>
      <c r="S5547" t="s">
        <v>45242</v>
      </c>
      <c r="T5547" t="s">
        <v>46965</v>
      </c>
      <c r="U5547" t="s">
        <v>52141</v>
      </c>
      <c r="V5547" t="s">
        <v>60436</v>
      </c>
      <c r="W5547" t="s">
        <v>43384</v>
      </c>
      <c r="X5547" t="s">
        <v>45103</v>
      </c>
    </row>
    <row r="5548" spans="1:24">
      <c r="A5548">
        <f>HYPERLINK("https://www.philgeps.gov.ph/GEPSNONPILOT/Tender/SplashBidNoticeAbstractUI.aspx?menuIndex=3&amp;refID=7039084&amp;Result=3","7039084")</f>
        <v>0</v>
      </c>
      <c r="B5548" t="s">
        <v>1590</v>
      </c>
      <c r="C5548" t="s">
        <v>8495</v>
      </c>
      <c r="D5548" t="s">
        <v>18075</v>
      </c>
      <c r="E5548" t="s">
        <v>23062</v>
      </c>
      <c r="F5548" t="s">
        <v>31574</v>
      </c>
      <c r="G5548" t="s">
        <v>31581</v>
      </c>
      <c r="H5548" t="s">
        <v>31590</v>
      </c>
      <c r="I5548" t="s">
        <v>31595</v>
      </c>
      <c r="J5548" t="s">
        <v>35325</v>
      </c>
      <c r="K5548" t="s">
        <v>41186</v>
      </c>
      <c r="M5548" t="s">
        <v>43194</v>
      </c>
      <c r="N5548" t="s">
        <v>45095</v>
      </c>
      <c r="O5548" t="s">
        <v>45096</v>
      </c>
      <c r="P5548">
        <v>0</v>
      </c>
      <c r="Q5548">
        <v>2</v>
      </c>
      <c r="R5548" t="s">
        <v>45102</v>
      </c>
      <c r="S5548" t="s">
        <v>45242</v>
      </c>
      <c r="T5548" t="s">
        <v>47158</v>
      </c>
      <c r="U5548" t="s">
        <v>52142</v>
      </c>
      <c r="W5548" t="s">
        <v>43194</v>
      </c>
      <c r="X5548" t="s">
        <v>45103</v>
      </c>
    </row>
    <row r="5549" spans="1:24">
      <c r="A5549">
        <f>HYPERLINK("https://www.philgeps.gov.ph/GEPSNONPILOT/Tender/SplashBidNoticeAbstractUI.aspx?menuIndex=3&amp;refID=7039076&amp;Result=3","7039076")</f>
        <v>0</v>
      </c>
      <c r="B5549" t="s">
        <v>264</v>
      </c>
      <c r="C5549" t="s">
        <v>8496</v>
      </c>
      <c r="D5549" t="s">
        <v>18066</v>
      </c>
      <c r="E5549" t="s">
        <v>23063</v>
      </c>
      <c r="F5549" t="s">
        <v>31574</v>
      </c>
      <c r="G5549" t="s">
        <v>31585</v>
      </c>
      <c r="H5549" t="s">
        <v>31590</v>
      </c>
      <c r="I5549" t="s">
        <v>4354</v>
      </c>
      <c r="J5549" t="s">
        <v>35326</v>
      </c>
      <c r="K5549" t="s">
        <v>41184</v>
      </c>
      <c r="M5549" t="s">
        <v>41750</v>
      </c>
      <c r="N5549" t="s">
        <v>45095</v>
      </c>
      <c r="O5549" t="s">
        <v>45096</v>
      </c>
      <c r="P5549">
        <v>0</v>
      </c>
      <c r="Q5549">
        <v>0</v>
      </c>
      <c r="R5549" t="s">
        <v>45102</v>
      </c>
      <c r="S5549" t="s">
        <v>45242</v>
      </c>
      <c r="T5549" t="s">
        <v>46963</v>
      </c>
      <c r="U5549" t="s">
        <v>52143</v>
      </c>
      <c r="W5549" t="s">
        <v>61674</v>
      </c>
      <c r="X5549" t="s">
        <v>45103</v>
      </c>
    </row>
    <row r="5550" spans="1:24">
      <c r="A5550">
        <f>HYPERLINK("https://www.philgeps.gov.ph/GEPSNONPILOT/Tender/SplashBidNoticeAbstractUI.aspx?menuIndex=3&amp;refID=7039066&amp;Result=3","7039066")</f>
        <v>0</v>
      </c>
      <c r="B5550" t="s">
        <v>349</v>
      </c>
      <c r="C5550" t="s">
        <v>8497</v>
      </c>
      <c r="D5550" t="s">
        <v>18071</v>
      </c>
      <c r="E5550" t="s">
        <v>23064</v>
      </c>
      <c r="F5550" t="s">
        <v>31574</v>
      </c>
      <c r="G5550" t="s">
        <v>31581</v>
      </c>
      <c r="H5550" t="s">
        <v>31591</v>
      </c>
      <c r="I5550" t="s">
        <v>8822</v>
      </c>
      <c r="J5550" t="s">
        <v>35301</v>
      </c>
      <c r="K5550" t="s">
        <v>41186</v>
      </c>
      <c r="M5550" t="s">
        <v>43363</v>
      </c>
      <c r="N5550" t="s">
        <v>45095</v>
      </c>
      <c r="O5550" t="s">
        <v>45096</v>
      </c>
      <c r="P5550">
        <v>0</v>
      </c>
      <c r="Q5550">
        <v>0</v>
      </c>
      <c r="R5550" t="s">
        <v>45102</v>
      </c>
      <c r="S5550" t="s">
        <v>45242</v>
      </c>
      <c r="T5550" t="s">
        <v>47021</v>
      </c>
      <c r="U5550" t="s">
        <v>52100</v>
      </c>
      <c r="W5550" t="s">
        <v>43363</v>
      </c>
      <c r="X5550" t="s">
        <v>45103</v>
      </c>
    </row>
    <row r="5551" spans="1:24">
      <c r="A5551">
        <f>HYPERLINK("https://www.philgeps.gov.ph/GEPSNONPILOT/Tender/SplashBidNoticeAbstractUI.aspx?menuIndex=3&amp;refID=7039069&amp;Result=3","7039069")</f>
        <v>0</v>
      </c>
      <c r="B5551" t="s">
        <v>162</v>
      </c>
      <c r="C5551" t="s">
        <v>8498</v>
      </c>
      <c r="D5551" t="s">
        <v>18067</v>
      </c>
      <c r="E5551" t="s">
        <v>23065</v>
      </c>
      <c r="F5551" t="s">
        <v>31574</v>
      </c>
      <c r="G5551" t="s">
        <v>31581</v>
      </c>
      <c r="H5551" t="s">
        <v>31590</v>
      </c>
      <c r="I5551" t="s">
        <v>31602</v>
      </c>
      <c r="J5551" t="s">
        <v>35327</v>
      </c>
      <c r="K5551" t="s">
        <v>41186</v>
      </c>
      <c r="M5551" t="s">
        <v>41646</v>
      </c>
      <c r="N5551" t="s">
        <v>45095</v>
      </c>
      <c r="O5551" t="s">
        <v>45096</v>
      </c>
      <c r="P5551">
        <v>0</v>
      </c>
      <c r="Q5551">
        <v>0</v>
      </c>
      <c r="R5551" t="s">
        <v>45102</v>
      </c>
      <c r="S5551" t="s">
        <v>45242</v>
      </c>
      <c r="T5551" t="s">
        <v>47159</v>
      </c>
      <c r="U5551" t="s">
        <v>52144</v>
      </c>
      <c r="W5551" t="s">
        <v>41646</v>
      </c>
      <c r="X5551" t="s">
        <v>45103</v>
      </c>
    </row>
    <row r="5552" spans="1:24">
      <c r="A5552">
        <f>HYPERLINK("https://www.philgeps.gov.ph/GEPSNONPILOT/Tender/SplashBidNoticeAbstractUI.aspx?menuIndex=3&amp;refID=7039070&amp;Result=3","7039070")</f>
        <v>0</v>
      </c>
      <c r="B5552" t="s">
        <v>1590</v>
      </c>
      <c r="C5552" t="s">
        <v>8499</v>
      </c>
      <c r="D5552" t="s">
        <v>18075</v>
      </c>
      <c r="E5552" t="s">
        <v>23066</v>
      </c>
      <c r="F5552" t="s">
        <v>31574</v>
      </c>
      <c r="G5552" t="s">
        <v>31581</v>
      </c>
      <c r="H5552" t="s">
        <v>31590</v>
      </c>
      <c r="I5552" t="s">
        <v>31693</v>
      </c>
      <c r="J5552" t="s">
        <v>31907</v>
      </c>
      <c r="K5552" t="s">
        <v>41186</v>
      </c>
      <c r="M5552" t="s">
        <v>43194</v>
      </c>
      <c r="N5552" t="s">
        <v>45095</v>
      </c>
      <c r="O5552" t="s">
        <v>45096</v>
      </c>
      <c r="P5552">
        <v>0</v>
      </c>
      <c r="Q5552">
        <v>2</v>
      </c>
      <c r="R5552" t="s">
        <v>45102</v>
      </c>
      <c r="S5552" t="s">
        <v>45242</v>
      </c>
      <c r="T5552" t="s">
        <v>47158</v>
      </c>
      <c r="U5552" t="s">
        <v>52145</v>
      </c>
      <c r="W5552" t="s">
        <v>43194</v>
      </c>
      <c r="X5552" t="s">
        <v>45103</v>
      </c>
    </row>
    <row r="5553" spans="1:24">
      <c r="A5553">
        <f>HYPERLINK("https://www.philgeps.gov.ph/GEPSNONPILOT/Tender/SplashBidNoticeAbstractUI.aspx?menuIndex=3&amp;refID=7039078&amp;Result=3","7039078")</f>
        <v>0</v>
      </c>
      <c r="B5553" t="s">
        <v>523</v>
      </c>
      <c r="C5553" t="s">
        <v>8500</v>
      </c>
      <c r="D5553" t="s">
        <v>18055</v>
      </c>
      <c r="E5553" t="s">
        <v>23067</v>
      </c>
      <c r="F5553" t="s">
        <v>31574</v>
      </c>
      <c r="G5553" t="s">
        <v>31581</v>
      </c>
      <c r="H5553" t="s">
        <v>31590</v>
      </c>
      <c r="I5553" t="s">
        <v>8258</v>
      </c>
      <c r="J5553" t="s">
        <v>35328</v>
      </c>
      <c r="K5553" t="s">
        <v>41193</v>
      </c>
      <c r="M5553" t="s">
        <v>42019</v>
      </c>
      <c r="N5553" t="s">
        <v>45095</v>
      </c>
      <c r="O5553" t="s">
        <v>45096</v>
      </c>
      <c r="P5553">
        <v>0</v>
      </c>
      <c r="Q5553">
        <v>3</v>
      </c>
      <c r="R5553" t="s">
        <v>45102</v>
      </c>
      <c r="S5553" t="s">
        <v>45242</v>
      </c>
      <c r="T5553" t="s">
        <v>46973</v>
      </c>
      <c r="U5553" t="s">
        <v>52146</v>
      </c>
      <c r="V5553" t="s">
        <v>60437</v>
      </c>
      <c r="W5553" t="s">
        <v>42019</v>
      </c>
      <c r="X5553" t="s">
        <v>45103</v>
      </c>
    </row>
    <row r="5554" spans="1:24">
      <c r="A5554">
        <f>HYPERLINK("https://www.philgeps.gov.ph/GEPSNONPILOT/Tender/SplashBidNoticeAbstractUI.aspx?menuIndex=3&amp;refID=7039103&amp;Result=3","7039103")</f>
        <v>0</v>
      </c>
      <c r="B5554" t="s">
        <v>1204</v>
      </c>
      <c r="C5554" t="s">
        <v>8501</v>
      </c>
      <c r="D5554" t="s">
        <v>18022</v>
      </c>
      <c r="E5554" t="s">
        <v>23068</v>
      </c>
      <c r="F5554" t="s">
        <v>31574</v>
      </c>
      <c r="G5554" t="s">
        <v>31583</v>
      </c>
      <c r="H5554" t="s">
        <v>31590</v>
      </c>
      <c r="I5554" t="s">
        <v>3487</v>
      </c>
      <c r="J5554" t="s">
        <v>35329</v>
      </c>
      <c r="K5554" t="s">
        <v>41184</v>
      </c>
      <c r="M5554" t="s">
        <v>43438</v>
      </c>
      <c r="N5554" t="s">
        <v>45095</v>
      </c>
      <c r="O5554" t="s">
        <v>45096</v>
      </c>
      <c r="P5554">
        <v>0</v>
      </c>
      <c r="Q5554">
        <v>2</v>
      </c>
      <c r="R5554" t="s">
        <v>45102</v>
      </c>
      <c r="S5554" t="s">
        <v>45242</v>
      </c>
      <c r="T5554" t="s">
        <v>47050</v>
      </c>
      <c r="U5554" t="s">
        <v>52147</v>
      </c>
      <c r="W5554" t="s">
        <v>61693</v>
      </c>
      <c r="X5554" t="s">
        <v>45103</v>
      </c>
    </row>
    <row r="5555" spans="1:24">
      <c r="A5555">
        <f>HYPERLINK("https://www.philgeps.gov.ph/GEPSNONPILOT/Tender/SplashBidNoticeAbstractUI.aspx?menuIndex=3&amp;refID=7039106&amp;Result=3","7039106")</f>
        <v>0</v>
      </c>
      <c r="B5555" t="s">
        <v>1806</v>
      </c>
      <c r="C5555" t="s">
        <v>8502</v>
      </c>
      <c r="D5555" t="s">
        <v>18040</v>
      </c>
      <c r="E5555" t="s">
        <v>23069</v>
      </c>
      <c r="F5555" t="s">
        <v>31574</v>
      </c>
      <c r="G5555" t="s">
        <v>31581</v>
      </c>
      <c r="H5555" t="s">
        <v>31590</v>
      </c>
      <c r="I5555" t="s">
        <v>4046</v>
      </c>
      <c r="J5555" t="s">
        <v>35330</v>
      </c>
      <c r="K5555" t="s">
        <v>41190</v>
      </c>
      <c r="L5555" t="s">
        <v>1806</v>
      </c>
      <c r="M5555" t="s">
        <v>43439</v>
      </c>
      <c r="N5555" t="s">
        <v>45095</v>
      </c>
      <c r="O5555" t="s">
        <v>45096</v>
      </c>
      <c r="P5555">
        <v>0</v>
      </c>
      <c r="Q5555">
        <v>1</v>
      </c>
      <c r="R5555" t="s">
        <v>45102</v>
      </c>
      <c r="S5555" t="s">
        <v>45242</v>
      </c>
      <c r="T5555" t="s">
        <v>46955</v>
      </c>
      <c r="U5555" t="s">
        <v>52148</v>
      </c>
      <c r="W5555" t="s">
        <v>43439</v>
      </c>
      <c r="X5555" t="s">
        <v>45103</v>
      </c>
    </row>
    <row r="5556" spans="1:24">
      <c r="A5556">
        <f>HYPERLINK("https://www.philgeps.gov.ph/GEPSNONPILOT/Tender/SplashBidNoticeAbstractUI.aspx?menuIndex=3&amp;refID=7039093&amp;Result=3","7039093")</f>
        <v>0</v>
      </c>
      <c r="B5556" t="s">
        <v>1807</v>
      </c>
      <c r="C5556" t="s">
        <v>8503</v>
      </c>
      <c r="D5556" t="s">
        <v>18022</v>
      </c>
      <c r="E5556" t="s">
        <v>23070</v>
      </c>
      <c r="F5556" t="s">
        <v>31574</v>
      </c>
      <c r="G5556" t="s">
        <v>31583</v>
      </c>
      <c r="H5556" t="s">
        <v>31590</v>
      </c>
      <c r="I5556" t="s">
        <v>31630</v>
      </c>
      <c r="J5556" t="s">
        <v>35331</v>
      </c>
      <c r="K5556" t="s">
        <v>41193</v>
      </c>
      <c r="M5556" t="s">
        <v>43440</v>
      </c>
      <c r="N5556" t="s">
        <v>45095</v>
      </c>
      <c r="O5556" t="s">
        <v>45096</v>
      </c>
      <c r="P5556">
        <v>0</v>
      </c>
      <c r="Q5556">
        <v>3</v>
      </c>
      <c r="R5556" t="s">
        <v>45102</v>
      </c>
      <c r="S5556" t="s">
        <v>45242</v>
      </c>
      <c r="T5556" t="s">
        <v>47124</v>
      </c>
      <c r="U5556" t="s">
        <v>52149</v>
      </c>
      <c r="W5556" t="s">
        <v>43440</v>
      </c>
      <c r="X5556" t="s">
        <v>45103</v>
      </c>
    </row>
    <row r="5557" spans="1:24">
      <c r="A5557">
        <f>HYPERLINK("https://www.philgeps.gov.ph/GEPSNONPILOT/Tender/SplashBidNoticeAbstractUI.aspx?menuIndex=3&amp;refID=7039088&amp;Result=3","7039088")</f>
        <v>0</v>
      </c>
      <c r="B5557" t="s">
        <v>162</v>
      </c>
      <c r="C5557" t="s">
        <v>8504</v>
      </c>
      <c r="D5557" t="s">
        <v>18067</v>
      </c>
      <c r="E5557" t="s">
        <v>23071</v>
      </c>
      <c r="F5557" t="s">
        <v>31574</v>
      </c>
      <c r="G5557" t="s">
        <v>31581</v>
      </c>
      <c r="H5557" t="s">
        <v>31590</v>
      </c>
      <c r="I5557" t="s">
        <v>31602</v>
      </c>
      <c r="J5557" t="s">
        <v>34120</v>
      </c>
      <c r="K5557" t="s">
        <v>41186</v>
      </c>
      <c r="M5557" t="s">
        <v>41646</v>
      </c>
      <c r="N5557" t="s">
        <v>45095</v>
      </c>
      <c r="O5557" t="s">
        <v>45096</v>
      </c>
      <c r="P5557">
        <v>0</v>
      </c>
      <c r="Q5557">
        <v>0</v>
      </c>
      <c r="R5557" t="s">
        <v>45102</v>
      </c>
      <c r="S5557" t="s">
        <v>45242</v>
      </c>
      <c r="T5557" t="s">
        <v>47159</v>
      </c>
      <c r="U5557" t="s">
        <v>52150</v>
      </c>
      <c r="W5557" t="s">
        <v>41646</v>
      </c>
      <c r="X5557" t="s">
        <v>45103</v>
      </c>
    </row>
    <row r="5558" spans="1:24">
      <c r="A5558">
        <f>HYPERLINK("https://www.philgeps.gov.ph/GEPSNONPILOT/Tender/SplashBidNoticeAbstractUI.aspx?menuIndex=3&amp;refID=7039102&amp;Result=3","7039102")</f>
        <v>0</v>
      </c>
      <c r="B5558" t="s">
        <v>1312</v>
      </c>
      <c r="C5558" t="s">
        <v>8505</v>
      </c>
      <c r="D5558" t="s">
        <v>18033</v>
      </c>
      <c r="E5558" t="s">
        <v>23072</v>
      </c>
      <c r="F5558" t="s">
        <v>31574</v>
      </c>
      <c r="G5558" t="s">
        <v>31583</v>
      </c>
      <c r="H5558" t="s">
        <v>31590</v>
      </c>
      <c r="I5558" t="s">
        <v>14544</v>
      </c>
      <c r="J5558" t="s">
        <v>35332</v>
      </c>
      <c r="K5558" t="s">
        <v>41211</v>
      </c>
      <c r="M5558" t="s">
        <v>42882</v>
      </c>
      <c r="N5558" t="s">
        <v>45095</v>
      </c>
      <c r="O5558" t="s">
        <v>45096</v>
      </c>
      <c r="P5558">
        <v>0</v>
      </c>
      <c r="Q5558">
        <v>0</v>
      </c>
      <c r="R5558" t="s">
        <v>45102</v>
      </c>
      <c r="S5558" t="s">
        <v>45242</v>
      </c>
      <c r="T5558" t="s">
        <v>47067</v>
      </c>
      <c r="U5558" t="s">
        <v>52151</v>
      </c>
      <c r="W5558" t="s">
        <v>42882</v>
      </c>
      <c r="X5558" t="s">
        <v>45103</v>
      </c>
    </row>
    <row r="5559" spans="1:24">
      <c r="A5559">
        <f>HYPERLINK("https://www.philgeps.gov.ph/GEPSNONPILOT/Tender/SplashBidNoticeAbstractUI.aspx?menuIndex=3&amp;refID=7039089&amp;Result=3","7039089")</f>
        <v>0</v>
      </c>
      <c r="B5559" t="s">
        <v>334</v>
      </c>
      <c r="C5559" t="s">
        <v>8506</v>
      </c>
      <c r="D5559" t="s">
        <v>18050</v>
      </c>
      <c r="E5559" t="s">
        <v>23073</v>
      </c>
      <c r="F5559" t="s">
        <v>31574</v>
      </c>
      <c r="G5559" t="s">
        <v>31581</v>
      </c>
      <c r="H5559" t="s">
        <v>31590</v>
      </c>
      <c r="I5559" t="s">
        <v>31619</v>
      </c>
      <c r="J5559" t="s">
        <v>35333</v>
      </c>
      <c r="K5559" t="s">
        <v>41189</v>
      </c>
      <c r="M5559" t="s">
        <v>41822</v>
      </c>
      <c r="N5559" t="s">
        <v>45095</v>
      </c>
      <c r="O5559" t="s">
        <v>45096</v>
      </c>
      <c r="P5559">
        <v>0</v>
      </c>
      <c r="Q5559">
        <v>1</v>
      </c>
      <c r="R5559" t="s">
        <v>45102</v>
      </c>
      <c r="S5559" t="s">
        <v>45242</v>
      </c>
      <c r="T5559" t="s">
        <v>46936</v>
      </c>
      <c r="U5559" t="s">
        <v>52152</v>
      </c>
      <c r="W5559" t="s">
        <v>61663</v>
      </c>
      <c r="X5559" t="s">
        <v>45103</v>
      </c>
    </row>
    <row r="5560" spans="1:24">
      <c r="A5560">
        <f>HYPERLINK("https://www.philgeps.gov.ph/GEPSNONPILOT/Tender/SplashBidNoticeAbstractUI.aspx?menuIndex=3&amp;refID=7039108&amp;Result=3","7039108")</f>
        <v>0</v>
      </c>
      <c r="B5560" t="s">
        <v>1808</v>
      </c>
      <c r="C5560" t="s">
        <v>8507</v>
      </c>
      <c r="D5560" t="s">
        <v>18070</v>
      </c>
      <c r="E5560" t="s">
        <v>21828</v>
      </c>
      <c r="F5560" t="s">
        <v>31574</v>
      </c>
      <c r="G5560" t="s">
        <v>31582</v>
      </c>
      <c r="H5560" t="s">
        <v>31590</v>
      </c>
      <c r="I5560" t="s">
        <v>4046</v>
      </c>
      <c r="J5560" t="s">
        <v>35334</v>
      </c>
      <c r="K5560" t="s">
        <v>41184</v>
      </c>
      <c r="M5560" t="s">
        <v>43441</v>
      </c>
      <c r="N5560" t="s">
        <v>45095</v>
      </c>
      <c r="O5560" t="s">
        <v>45096</v>
      </c>
      <c r="P5560">
        <v>0</v>
      </c>
      <c r="Q5560">
        <v>0</v>
      </c>
      <c r="R5560" t="s">
        <v>45102</v>
      </c>
      <c r="S5560" t="s">
        <v>45242</v>
      </c>
      <c r="T5560" t="s">
        <v>47094</v>
      </c>
      <c r="U5560" t="s">
        <v>52153</v>
      </c>
      <c r="W5560" t="s">
        <v>43441</v>
      </c>
      <c r="X5560" t="s">
        <v>45103</v>
      </c>
    </row>
    <row r="5561" spans="1:24">
      <c r="A5561">
        <f>HYPERLINK("https://www.philgeps.gov.ph/GEPSNONPILOT/Tender/SplashBidNoticeAbstractUI.aspx?menuIndex=3&amp;refID=7039128&amp;Result=3","7039128")</f>
        <v>0</v>
      </c>
      <c r="B5561" t="s">
        <v>470</v>
      </c>
      <c r="C5561" t="s">
        <v>8508</v>
      </c>
      <c r="D5561" t="s">
        <v>18022</v>
      </c>
      <c r="E5561" t="s">
        <v>23074</v>
      </c>
      <c r="F5561" t="s">
        <v>31574</v>
      </c>
      <c r="G5561" t="s">
        <v>31584</v>
      </c>
      <c r="H5561" t="s">
        <v>31590</v>
      </c>
      <c r="I5561" t="s">
        <v>31612</v>
      </c>
      <c r="J5561" t="s">
        <v>34181</v>
      </c>
      <c r="K5561" t="s">
        <v>41193</v>
      </c>
      <c r="M5561" t="s">
        <v>41964</v>
      </c>
      <c r="N5561" t="s">
        <v>45095</v>
      </c>
      <c r="O5561" t="s">
        <v>45096</v>
      </c>
      <c r="P5561">
        <v>0</v>
      </c>
      <c r="Q5561">
        <v>2</v>
      </c>
      <c r="R5561" t="s">
        <v>45102</v>
      </c>
      <c r="S5561" t="s">
        <v>45242</v>
      </c>
      <c r="T5561" t="s">
        <v>47183</v>
      </c>
      <c r="U5561" t="s">
        <v>52154</v>
      </c>
      <c r="W5561" t="s">
        <v>61668</v>
      </c>
      <c r="X5561" t="s">
        <v>45103</v>
      </c>
    </row>
    <row r="5562" spans="1:24">
      <c r="A5562">
        <f>HYPERLINK("https://www.philgeps.gov.ph/GEPSNONPILOT/Tender/SplashBidNoticeAbstractUI.aspx?menuIndex=3&amp;refID=7039131&amp;Result=3","7039131")</f>
        <v>0</v>
      </c>
      <c r="B5562" t="s">
        <v>201</v>
      </c>
      <c r="C5562" t="s">
        <v>8509</v>
      </c>
      <c r="D5562" t="s">
        <v>18045</v>
      </c>
      <c r="E5562" t="s">
        <v>23075</v>
      </c>
      <c r="F5562" t="s">
        <v>31574</v>
      </c>
      <c r="G5562" t="s">
        <v>31582</v>
      </c>
      <c r="H5562" t="s">
        <v>31591</v>
      </c>
      <c r="I5562" t="s">
        <v>8822</v>
      </c>
      <c r="J5562" t="s">
        <v>35335</v>
      </c>
      <c r="K5562" t="s">
        <v>41334</v>
      </c>
      <c r="M5562" t="s">
        <v>43442</v>
      </c>
      <c r="N5562" t="s">
        <v>45095</v>
      </c>
      <c r="O5562" t="s">
        <v>45096</v>
      </c>
      <c r="P5562">
        <v>0</v>
      </c>
      <c r="Q5562">
        <v>0</v>
      </c>
      <c r="R5562" t="s">
        <v>45102</v>
      </c>
      <c r="S5562" t="s">
        <v>45242</v>
      </c>
      <c r="T5562" t="s">
        <v>46988</v>
      </c>
      <c r="U5562" t="s">
        <v>52155</v>
      </c>
      <c r="W5562" t="s">
        <v>43442</v>
      </c>
      <c r="X5562" t="s">
        <v>45103</v>
      </c>
    </row>
    <row r="5563" spans="1:24">
      <c r="A5563">
        <f>HYPERLINK("https://www.philgeps.gov.ph/GEPSNONPILOT/Tender/SplashBidNoticeAbstractUI.aspx?menuIndex=3&amp;refID=7039109&amp;Result=3","7039109")</f>
        <v>0</v>
      </c>
      <c r="B5563" t="s">
        <v>312</v>
      </c>
      <c r="C5563" t="s">
        <v>8510</v>
      </c>
      <c r="D5563" t="s">
        <v>18024</v>
      </c>
      <c r="E5563" t="s">
        <v>23076</v>
      </c>
      <c r="F5563" t="s">
        <v>31574</v>
      </c>
      <c r="G5563" t="s">
        <v>31581</v>
      </c>
      <c r="H5563" t="s">
        <v>31590</v>
      </c>
      <c r="I5563" t="s">
        <v>4046</v>
      </c>
      <c r="J5563" t="s">
        <v>35248</v>
      </c>
      <c r="K5563" t="s">
        <v>41196</v>
      </c>
      <c r="M5563" t="s">
        <v>41799</v>
      </c>
      <c r="N5563" t="s">
        <v>45095</v>
      </c>
      <c r="O5563" t="s">
        <v>45096</v>
      </c>
      <c r="P5563">
        <v>0</v>
      </c>
      <c r="Q5563">
        <v>0</v>
      </c>
      <c r="R5563" t="s">
        <v>45102</v>
      </c>
      <c r="S5563" t="s">
        <v>45242</v>
      </c>
      <c r="T5563" t="s">
        <v>47183</v>
      </c>
      <c r="U5563" t="s">
        <v>52029</v>
      </c>
      <c r="W5563" t="s">
        <v>41799</v>
      </c>
      <c r="X5563" t="s">
        <v>45103</v>
      </c>
    </row>
    <row r="5564" spans="1:24">
      <c r="A5564">
        <f>HYPERLINK("https://www.philgeps.gov.ph/GEPSNONPILOT/Tender/SplashBidNoticeAbstractUI.aspx?menuIndex=3&amp;refID=7039126&amp;Result=3","7039126")</f>
        <v>0</v>
      </c>
      <c r="B5564" t="s">
        <v>1808</v>
      </c>
      <c r="C5564" t="s">
        <v>8511</v>
      </c>
      <c r="D5564" t="s">
        <v>18070</v>
      </c>
      <c r="E5564" t="s">
        <v>21828</v>
      </c>
      <c r="F5564" t="s">
        <v>31574</v>
      </c>
      <c r="G5564" t="s">
        <v>31582</v>
      </c>
      <c r="H5564" t="s">
        <v>31590</v>
      </c>
      <c r="I5564" t="s">
        <v>4046</v>
      </c>
      <c r="J5564" t="s">
        <v>35336</v>
      </c>
      <c r="K5564" t="s">
        <v>41206</v>
      </c>
      <c r="M5564" t="s">
        <v>43441</v>
      </c>
      <c r="N5564" t="s">
        <v>45095</v>
      </c>
      <c r="O5564" t="s">
        <v>45096</v>
      </c>
      <c r="P5564">
        <v>0</v>
      </c>
      <c r="Q5564">
        <v>0</v>
      </c>
      <c r="R5564" t="s">
        <v>45102</v>
      </c>
      <c r="S5564" t="s">
        <v>45242</v>
      </c>
      <c r="T5564" t="s">
        <v>47094</v>
      </c>
      <c r="U5564" t="s">
        <v>52156</v>
      </c>
      <c r="W5564" t="s">
        <v>43441</v>
      </c>
      <c r="X5564" t="s">
        <v>45103</v>
      </c>
    </row>
    <row r="5565" spans="1:24">
      <c r="A5565">
        <f>HYPERLINK("https://www.philgeps.gov.ph/GEPSNONPILOT/Tender/SplashBidNoticeAbstractUI.aspx?menuIndex=3&amp;refID=7039119&amp;Result=3","7039119")</f>
        <v>0</v>
      </c>
      <c r="B5565" t="s">
        <v>1809</v>
      </c>
      <c r="C5565" t="s">
        <v>8512</v>
      </c>
      <c r="D5565" t="s">
        <v>18053</v>
      </c>
      <c r="E5565" t="s">
        <v>23077</v>
      </c>
      <c r="F5565" t="s">
        <v>31574</v>
      </c>
      <c r="G5565" t="s">
        <v>31583</v>
      </c>
      <c r="H5565" t="s">
        <v>31590</v>
      </c>
      <c r="I5565" t="s">
        <v>31631</v>
      </c>
      <c r="J5565" t="s">
        <v>35337</v>
      </c>
      <c r="K5565" t="s">
        <v>41190</v>
      </c>
      <c r="M5565" t="s">
        <v>43443</v>
      </c>
      <c r="N5565" t="s">
        <v>45095</v>
      </c>
      <c r="O5565" t="s">
        <v>45096</v>
      </c>
      <c r="P5565">
        <v>0</v>
      </c>
      <c r="Q5565">
        <v>0</v>
      </c>
      <c r="R5565" t="s">
        <v>45102</v>
      </c>
      <c r="S5565" t="s">
        <v>45242</v>
      </c>
      <c r="T5565" t="s">
        <v>47159</v>
      </c>
      <c r="U5565" t="s">
        <v>52157</v>
      </c>
      <c r="V5565" t="s">
        <v>60438</v>
      </c>
      <c r="W5565" t="s">
        <v>43443</v>
      </c>
      <c r="X5565" t="s">
        <v>45103</v>
      </c>
    </row>
    <row r="5566" spans="1:24">
      <c r="A5566">
        <f>HYPERLINK("https://www.philgeps.gov.ph/GEPSNONPILOT/Tender/SplashBidNoticeAbstractUI.aspx?menuIndex=3&amp;refID=7039129&amp;Result=3","7039129")</f>
        <v>0</v>
      </c>
      <c r="B5566" t="s">
        <v>421</v>
      </c>
      <c r="C5566" t="s">
        <v>8513</v>
      </c>
      <c r="D5566" t="s">
        <v>18053</v>
      </c>
      <c r="E5566" t="s">
        <v>23078</v>
      </c>
      <c r="F5566" t="s">
        <v>31574</v>
      </c>
      <c r="G5566" t="s">
        <v>31582</v>
      </c>
      <c r="H5566" t="s">
        <v>31590</v>
      </c>
      <c r="I5566" t="s">
        <v>31614</v>
      </c>
      <c r="J5566" t="s">
        <v>35338</v>
      </c>
      <c r="K5566" t="s">
        <v>41192</v>
      </c>
      <c r="L5566" t="s">
        <v>421</v>
      </c>
      <c r="M5566" t="s">
        <v>41913</v>
      </c>
      <c r="N5566" t="s">
        <v>45095</v>
      </c>
      <c r="O5566" t="s">
        <v>45096</v>
      </c>
      <c r="P5566">
        <v>0</v>
      </c>
      <c r="Q5566">
        <v>4</v>
      </c>
      <c r="R5566" t="s">
        <v>45102</v>
      </c>
      <c r="S5566" t="s">
        <v>45242</v>
      </c>
      <c r="T5566" t="s">
        <v>46992</v>
      </c>
      <c r="U5566" t="s">
        <v>52158</v>
      </c>
      <c r="V5566" t="s">
        <v>60439</v>
      </c>
      <c r="W5566" t="s">
        <v>41913</v>
      </c>
      <c r="X5566" t="s">
        <v>45103</v>
      </c>
    </row>
    <row r="5567" spans="1:24">
      <c r="A5567">
        <f>HYPERLINK("https://www.philgeps.gov.ph/GEPSNONPILOT/Tender/SplashBidNoticeAbstractUI.aspx?menuIndex=3&amp;refID=7039118&amp;Result=3","7039118")</f>
        <v>0</v>
      </c>
      <c r="B5567" t="s">
        <v>1810</v>
      </c>
      <c r="C5567" t="s">
        <v>8514</v>
      </c>
      <c r="D5567" t="s">
        <v>18064</v>
      </c>
      <c r="E5567" t="s">
        <v>19061</v>
      </c>
      <c r="F5567" t="s">
        <v>31574</v>
      </c>
      <c r="G5567" t="s">
        <v>31582</v>
      </c>
      <c r="H5567" t="s">
        <v>31591</v>
      </c>
      <c r="I5567" t="s">
        <v>8822</v>
      </c>
      <c r="J5567" t="s">
        <v>35339</v>
      </c>
      <c r="K5567" t="s">
        <v>41253</v>
      </c>
      <c r="M5567" t="s">
        <v>43444</v>
      </c>
      <c r="N5567" t="s">
        <v>45095</v>
      </c>
      <c r="O5567" t="s">
        <v>45096</v>
      </c>
      <c r="P5567">
        <v>0</v>
      </c>
      <c r="Q5567">
        <v>0</v>
      </c>
      <c r="R5567" t="s">
        <v>45102</v>
      </c>
      <c r="S5567" t="s">
        <v>45242</v>
      </c>
      <c r="T5567" t="s">
        <v>47004</v>
      </c>
      <c r="U5567" t="s">
        <v>52159</v>
      </c>
      <c r="W5567" t="s">
        <v>43444</v>
      </c>
      <c r="X5567" t="s">
        <v>45103</v>
      </c>
    </row>
    <row r="5568" spans="1:24">
      <c r="A5568">
        <f>HYPERLINK("https://www.philgeps.gov.ph/GEPSNONPILOT/Tender/SplashBidNoticeAbstractUI.aspx?menuIndex=3&amp;refID=7039099&amp;Result=3","7039099")</f>
        <v>0</v>
      </c>
      <c r="B5568" t="s">
        <v>1811</v>
      </c>
      <c r="C5568" t="s">
        <v>8515</v>
      </c>
      <c r="D5568" t="s">
        <v>18037</v>
      </c>
      <c r="E5568" t="s">
        <v>18936</v>
      </c>
      <c r="F5568" t="s">
        <v>31574</v>
      </c>
      <c r="G5568" t="s">
        <v>31582</v>
      </c>
      <c r="H5568" t="s">
        <v>31590</v>
      </c>
      <c r="I5568" t="s">
        <v>3487</v>
      </c>
      <c r="J5568" t="s">
        <v>35340</v>
      </c>
      <c r="K5568" t="s">
        <v>41186</v>
      </c>
      <c r="M5568" t="s">
        <v>43445</v>
      </c>
      <c r="N5568" t="s">
        <v>45095</v>
      </c>
      <c r="O5568" t="s">
        <v>45096</v>
      </c>
      <c r="P5568">
        <v>0</v>
      </c>
      <c r="Q5568">
        <v>2</v>
      </c>
      <c r="R5568" t="s">
        <v>45102</v>
      </c>
      <c r="S5568" t="s">
        <v>45242</v>
      </c>
      <c r="T5568" t="s">
        <v>46957</v>
      </c>
      <c r="U5568" t="s">
        <v>52160</v>
      </c>
      <c r="W5568" t="s">
        <v>43445</v>
      </c>
      <c r="X5568" t="s">
        <v>45103</v>
      </c>
    </row>
    <row r="5569" spans="1:24">
      <c r="A5569">
        <f>HYPERLINK("https://www.philgeps.gov.ph/GEPSNONPILOT/Tender/SplashBidNoticeAbstractUI.aspx?menuIndex=3&amp;refID=7039115&amp;Result=3","7039115")</f>
        <v>0</v>
      </c>
      <c r="B5569" t="s">
        <v>1812</v>
      </c>
      <c r="C5569" t="s">
        <v>8516</v>
      </c>
      <c r="D5569" t="s">
        <v>18069</v>
      </c>
      <c r="E5569" t="s">
        <v>23079</v>
      </c>
      <c r="F5569" t="s">
        <v>31574</v>
      </c>
      <c r="G5569" t="s">
        <v>31582</v>
      </c>
      <c r="H5569" t="s">
        <v>31591</v>
      </c>
      <c r="I5569" t="s">
        <v>8822</v>
      </c>
      <c r="J5569" t="s">
        <v>32621</v>
      </c>
      <c r="K5569" t="s">
        <v>41191</v>
      </c>
      <c r="M5569" t="s">
        <v>43446</v>
      </c>
      <c r="N5569" t="s">
        <v>45095</v>
      </c>
      <c r="O5569" t="s">
        <v>45096</v>
      </c>
      <c r="P5569">
        <v>0</v>
      </c>
      <c r="Q5569">
        <v>0</v>
      </c>
      <c r="R5569" t="s">
        <v>45102</v>
      </c>
      <c r="S5569" t="s">
        <v>45242</v>
      </c>
      <c r="T5569" t="s">
        <v>46936</v>
      </c>
      <c r="U5569" t="s">
        <v>52161</v>
      </c>
      <c r="W5569" t="s">
        <v>43446</v>
      </c>
      <c r="X5569" t="s">
        <v>45103</v>
      </c>
    </row>
    <row r="5570" spans="1:24">
      <c r="A5570">
        <f>HYPERLINK("https://www.philgeps.gov.ph/GEPSNONPILOT/Tender/SplashBidNoticeAbstractUI.aspx?menuIndex=3&amp;refID=7039114&amp;Result=3","7039114")</f>
        <v>0</v>
      </c>
      <c r="B5570" t="s">
        <v>118</v>
      </c>
      <c r="C5570" t="s">
        <v>8517</v>
      </c>
      <c r="D5570" t="s">
        <v>18055</v>
      </c>
      <c r="E5570" t="s">
        <v>23080</v>
      </c>
      <c r="F5570" t="s">
        <v>31574</v>
      </c>
      <c r="G5570" t="s">
        <v>31582</v>
      </c>
      <c r="H5570" t="s">
        <v>31591</v>
      </c>
      <c r="I5570" t="s">
        <v>8822</v>
      </c>
      <c r="J5570" t="s">
        <v>35341</v>
      </c>
      <c r="K5570" t="s">
        <v>41217</v>
      </c>
      <c r="M5570" t="s">
        <v>41602</v>
      </c>
      <c r="N5570" t="s">
        <v>45095</v>
      </c>
      <c r="O5570" t="s">
        <v>45096</v>
      </c>
      <c r="P5570">
        <v>0</v>
      </c>
      <c r="Q5570">
        <v>6</v>
      </c>
      <c r="R5570" t="s">
        <v>45102</v>
      </c>
      <c r="S5570" t="s">
        <v>45242</v>
      </c>
      <c r="T5570" t="s">
        <v>46962</v>
      </c>
      <c r="U5570" t="s">
        <v>52162</v>
      </c>
      <c r="W5570" t="s">
        <v>41602</v>
      </c>
      <c r="X5570" t="s">
        <v>45103</v>
      </c>
    </row>
    <row r="5571" spans="1:24">
      <c r="A5571">
        <f>HYPERLINK("https://www.philgeps.gov.ph/GEPSNONPILOT/Tender/SplashBidNoticeAbstractUI.aspx?menuIndex=3&amp;refID=7039116&amp;Result=3","7039116")</f>
        <v>0</v>
      </c>
      <c r="B5571" t="s">
        <v>1806</v>
      </c>
      <c r="C5571" t="s">
        <v>8518</v>
      </c>
      <c r="D5571" t="s">
        <v>18040</v>
      </c>
      <c r="E5571" t="s">
        <v>23081</v>
      </c>
      <c r="F5571" t="s">
        <v>31574</v>
      </c>
      <c r="G5571" t="s">
        <v>31581</v>
      </c>
      <c r="H5571" t="s">
        <v>31590</v>
      </c>
      <c r="I5571" t="s">
        <v>4046</v>
      </c>
      <c r="J5571" t="s">
        <v>35342</v>
      </c>
      <c r="K5571" t="s">
        <v>41190</v>
      </c>
      <c r="L5571" t="s">
        <v>1806</v>
      </c>
      <c r="M5571" t="s">
        <v>43439</v>
      </c>
      <c r="N5571" t="s">
        <v>45095</v>
      </c>
      <c r="O5571" t="s">
        <v>45096</v>
      </c>
      <c r="P5571">
        <v>0</v>
      </c>
      <c r="Q5571">
        <v>0</v>
      </c>
      <c r="R5571" t="s">
        <v>45102</v>
      </c>
      <c r="S5571" t="s">
        <v>45242</v>
      </c>
      <c r="T5571" t="s">
        <v>46955</v>
      </c>
      <c r="U5571" t="s">
        <v>52148</v>
      </c>
      <c r="W5571" t="s">
        <v>43439</v>
      </c>
      <c r="X5571" t="s">
        <v>45103</v>
      </c>
    </row>
    <row r="5572" spans="1:24">
      <c r="A5572">
        <f>HYPERLINK("https://www.philgeps.gov.ph/GEPSNONPILOT/Tender/SplashBidNoticeAbstractUI.aspx?menuIndex=3&amp;refID=7039098&amp;Result=3","7039098")</f>
        <v>0</v>
      </c>
      <c r="B5572" t="s">
        <v>1813</v>
      </c>
      <c r="C5572" t="s">
        <v>8519</v>
      </c>
      <c r="D5572" t="s">
        <v>18034</v>
      </c>
      <c r="E5572" t="s">
        <v>23082</v>
      </c>
      <c r="F5572" t="s">
        <v>31574</v>
      </c>
      <c r="G5572" t="s">
        <v>31582</v>
      </c>
      <c r="H5572" t="s">
        <v>31591</v>
      </c>
      <c r="I5572" t="s">
        <v>8822</v>
      </c>
      <c r="J5572" t="s">
        <v>32049</v>
      </c>
      <c r="K5572" t="s">
        <v>41192</v>
      </c>
      <c r="M5572" t="s">
        <v>43447</v>
      </c>
      <c r="N5572" t="s">
        <v>45095</v>
      </c>
      <c r="O5572" t="s">
        <v>45096</v>
      </c>
      <c r="Q5572">
        <v>0</v>
      </c>
      <c r="R5572" t="s">
        <v>45102</v>
      </c>
      <c r="S5572" t="s">
        <v>45255</v>
      </c>
      <c r="T5572" t="s">
        <v>47134</v>
      </c>
      <c r="U5572" t="s">
        <v>52163</v>
      </c>
      <c r="W5572" t="s">
        <v>43447</v>
      </c>
      <c r="X5572" t="s">
        <v>45103</v>
      </c>
    </row>
    <row r="5573" spans="1:24">
      <c r="A5573">
        <f>HYPERLINK("https://www.philgeps.gov.ph/GEPSNONPILOT/Tender/SplashBidNoticeAbstractUI.aspx?menuIndex=3&amp;refID=7039121&amp;Result=3","7039121")</f>
        <v>0</v>
      </c>
      <c r="B5573" t="s">
        <v>1806</v>
      </c>
      <c r="C5573" t="s">
        <v>8520</v>
      </c>
      <c r="D5573" t="s">
        <v>18040</v>
      </c>
      <c r="E5573" t="s">
        <v>23083</v>
      </c>
      <c r="F5573" t="s">
        <v>31574</v>
      </c>
      <c r="G5573" t="s">
        <v>31581</v>
      </c>
      <c r="H5573" t="s">
        <v>31590</v>
      </c>
      <c r="I5573" t="s">
        <v>4046</v>
      </c>
      <c r="J5573" t="s">
        <v>35343</v>
      </c>
      <c r="K5573" t="s">
        <v>41190</v>
      </c>
      <c r="L5573" t="s">
        <v>1806</v>
      </c>
      <c r="M5573" t="s">
        <v>43439</v>
      </c>
      <c r="N5573" t="s">
        <v>45095</v>
      </c>
      <c r="O5573" t="s">
        <v>45096</v>
      </c>
      <c r="P5573">
        <v>0</v>
      </c>
      <c r="Q5573">
        <v>0</v>
      </c>
      <c r="R5573" t="s">
        <v>45102</v>
      </c>
      <c r="S5573" t="s">
        <v>45242</v>
      </c>
      <c r="T5573" t="s">
        <v>46955</v>
      </c>
      <c r="U5573" t="s">
        <v>52148</v>
      </c>
      <c r="W5573" t="s">
        <v>43439</v>
      </c>
      <c r="X5573" t="s">
        <v>45103</v>
      </c>
    </row>
    <row r="5574" spans="1:24">
      <c r="A5574">
        <f>HYPERLINK("https://www.philgeps.gov.ph/GEPSNONPILOT/Tender/SplashBidNoticeAbstractUI.aspx?menuIndex=3&amp;refID=7039141&amp;Result=3","7039141")</f>
        <v>0</v>
      </c>
      <c r="B5574" t="s">
        <v>564</v>
      </c>
      <c r="C5574" t="s">
        <v>8521</v>
      </c>
      <c r="D5574" t="s">
        <v>18057</v>
      </c>
      <c r="E5574" t="s">
        <v>23084</v>
      </c>
      <c r="F5574" t="s">
        <v>31574</v>
      </c>
      <c r="G5574" t="s">
        <v>31582</v>
      </c>
      <c r="H5574" t="s">
        <v>31591</v>
      </c>
      <c r="I5574" t="s">
        <v>8822</v>
      </c>
      <c r="J5574" t="s">
        <v>35344</v>
      </c>
      <c r="K5574" t="s">
        <v>41189</v>
      </c>
      <c r="M5574" t="s">
        <v>43448</v>
      </c>
      <c r="N5574" t="s">
        <v>45095</v>
      </c>
      <c r="O5574" t="s">
        <v>45096</v>
      </c>
      <c r="P5574">
        <v>0</v>
      </c>
      <c r="Q5574">
        <v>1</v>
      </c>
      <c r="R5574" t="s">
        <v>45102</v>
      </c>
      <c r="S5574" t="s">
        <v>45242</v>
      </c>
      <c r="T5574" t="s">
        <v>47263</v>
      </c>
      <c r="U5574" t="s">
        <v>52164</v>
      </c>
      <c r="W5574" t="s">
        <v>43448</v>
      </c>
      <c r="X5574" t="s">
        <v>45103</v>
      </c>
    </row>
    <row r="5575" spans="1:24">
      <c r="A5575">
        <f>HYPERLINK("https://www.philgeps.gov.ph/GEPSNONPILOT/Tender/SplashBidNoticeAbstractUI.aspx?menuIndex=3&amp;refID=7039127&amp;Result=3","7039127")</f>
        <v>0</v>
      </c>
      <c r="B5575" t="s">
        <v>1814</v>
      </c>
      <c r="C5575" t="s">
        <v>8522</v>
      </c>
      <c r="D5575" t="s">
        <v>18022</v>
      </c>
      <c r="E5575" t="s">
        <v>23085</v>
      </c>
      <c r="F5575" t="s">
        <v>31574</v>
      </c>
      <c r="G5575" t="s">
        <v>31581</v>
      </c>
      <c r="H5575" t="s">
        <v>31590</v>
      </c>
      <c r="I5575" t="s">
        <v>31681</v>
      </c>
      <c r="J5575" t="s">
        <v>32993</v>
      </c>
      <c r="K5575" t="s">
        <v>41193</v>
      </c>
      <c r="M5575" t="s">
        <v>43449</v>
      </c>
      <c r="N5575" t="s">
        <v>45095</v>
      </c>
      <c r="O5575" t="s">
        <v>45096</v>
      </c>
      <c r="P5575">
        <v>0</v>
      </c>
      <c r="Q5575">
        <v>4</v>
      </c>
      <c r="R5575" t="s">
        <v>45102</v>
      </c>
      <c r="S5575" t="s">
        <v>45242</v>
      </c>
      <c r="T5575" t="s">
        <v>47077</v>
      </c>
      <c r="U5575" t="s">
        <v>52165</v>
      </c>
      <c r="V5575" t="s">
        <v>60440</v>
      </c>
      <c r="W5575" t="s">
        <v>43449</v>
      </c>
      <c r="X5575" t="s">
        <v>45103</v>
      </c>
    </row>
    <row r="5576" spans="1:24">
      <c r="A5576">
        <f>HYPERLINK("https://www.philgeps.gov.ph/GEPSNONPILOT/Tender/SplashBidNoticeAbstractUI.aspx?menuIndex=3&amp;refID=7039135&amp;Result=3","7039135")</f>
        <v>0</v>
      </c>
      <c r="B5576" t="s">
        <v>1465</v>
      </c>
      <c r="C5576" t="s">
        <v>8523</v>
      </c>
      <c r="D5576" t="s">
        <v>18022</v>
      </c>
      <c r="E5576" t="s">
        <v>23086</v>
      </c>
      <c r="F5576" t="s">
        <v>31574</v>
      </c>
      <c r="G5576" t="s">
        <v>31582</v>
      </c>
      <c r="H5576" t="s">
        <v>31590</v>
      </c>
      <c r="I5576" t="s">
        <v>3520</v>
      </c>
      <c r="J5576" t="s">
        <v>32318</v>
      </c>
      <c r="K5576" t="s">
        <v>41193</v>
      </c>
      <c r="M5576" t="s">
        <v>43046</v>
      </c>
      <c r="N5576" t="s">
        <v>45095</v>
      </c>
      <c r="O5576" t="s">
        <v>45096</v>
      </c>
      <c r="P5576">
        <v>0</v>
      </c>
      <c r="Q5576">
        <v>1</v>
      </c>
      <c r="R5576" t="s">
        <v>45102</v>
      </c>
      <c r="S5576" t="s">
        <v>45242</v>
      </c>
      <c r="T5576" t="s">
        <v>47106</v>
      </c>
      <c r="U5576" t="s">
        <v>52166</v>
      </c>
      <c r="W5576" t="s">
        <v>43046</v>
      </c>
      <c r="X5576" t="s">
        <v>45103</v>
      </c>
    </row>
    <row r="5577" spans="1:24">
      <c r="A5577">
        <f>HYPERLINK("https://www.philgeps.gov.ph/GEPSNONPILOT/Tender/SplashBidNoticeAbstractUI.aspx?menuIndex=3&amp;refID=7039140&amp;Result=3","7039140")</f>
        <v>0</v>
      </c>
      <c r="B5577" t="s">
        <v>1783</v>
      </c>
      <c r="C5577" t="s">
        <v>8524</v>
      </c>
      <c r="D5577" t="s">
        <v>18056</v>
      </c>
      <c r="E5577" t="s">
        <v>23087</v>
      </c>
      <c r="F5577" t="s">
        <v>31574</v>
      </c>
      <c r="G5577" t="s">
        <v>31586</v>
      </c>
      <c r="H5577" t="s">
        <v>31590</v>
      </c>
      <c r="I5577" t="s">
        <v>4327</v>
      </c>
      <c r="J5577" t="s">
        <v>32147</v>
      </c>
      <c r="K5577" t="s">
        <v>41190</v>
      </c>
      <c r="M5577" t="s">
        <v>43413</v>
      </c>
      <c r="N5577" t="s">
        <v>45095</v>
      </c>
      <c r="O5577" t="s">
        <v>45096</v>
      </c>
      <c r="P5577">
        <v>0</v>
      </c>
      <c r="Q5577">
        <v>2</v>
      </c>
      <c r="R5577" t="s">
        <v>45102</v>
      </c>
      <c r="S5577" t="s">
        <v>45242</v>
      </c>
      <c r="T5577" t="s">
        <v>47164</v>
      </c>
      <c r="U5577" t="s">
        <v>52055</v>
      </c>
      <c r="W5577" t="s">
        <v>43413</v>
      </c>
      <c r="X5577" t="s">
        <v>45103</v>
      </c>
    </row>
    <row r="5578" spans="1:24">
      <c r="A5578">
        <f>HYPERLINK("https://www.philgeps.gov.ph/GEPSNONPILOT/Tender/SplashBidNoticeAbstractUI.aspx?menuIndex=3&amp;refID=7039143&amp;Result=3","7039143")</f>
        <v>0</v>
      </c>
      <c r="B5578" t="s">
        <v>118</v>
      </c>
      <c r="C5578" t="s">
        <v>8525</v>
      </c>
      <c r="D5578" t="s">
        <v>18055</v>
      </c>
      <c r="E5578" t="s">
        <v>23088</v>
      </c>
      <c r="F5578" t="s">
        <v>31574</v>
      </c>
      <c r="G5578" t="s">
        <v>31582</v>
      </c>
      <c r="H5578" t="s">
        <v>31591</v>
      </c>
      <c r="I5578" t="s">
        <v>8822</v>
      </c>
      <c r="J5578" t="s">
        <v>35345</v>
      </c>
      <c r="K5578" t="s">
        <v>41202</v>
      </c>
      <c r="M5578" t="s">
        <v>41602</v>
      </c>
      <c r="N5578" t="s">
        <v>45095</v>
      </c>
      <c r="O5578" t="s">
        <v>45096</v>
      </c>
      <c r="P5578">
        <v>0</v>
      </c>
      <c r="Q5578">
        <v>11</v>
      </c>
      <c r="R5578" t="s">
        <v>45102</v>
      </c>
      <c r="S5578" t="s">
        <v>45242</v>
      </c>
      <c r="T5578" t="s">
        <v>46962</v>
      </c>
      <c r="U5578" t="s">
        <v>52167</v>
      </c>
      <c r="W5578" t="s">
        <v>41602</v>
      </c>
      <c r="X5578" t="s">
        <v>45103</v>
      </c>
    </row>
    <row r="5579" spans="1:24">
      <c r="A5579">
        <f>HYPERLINK("https://www.philgeps.gov.ph/GEPSNONPILOT/Tender/SplashBidNoticeAbstractUI.aspx?menuIndex=3&amp;refID=7039137&amp;Result=3","7039137")</f>
        <v>0</v>
      </c>
      <c r="B5579" t="s">
        <v>1815</v>
      </c>
      <c r="C5579" t="s">
        <v>8526</v>
      </c>
      <c r="D5579" t="s">
        <v>18100</v>
      </c>
      <c r="E5579" t="s">
        <v>23089</v>
      </c>
      <c r="F5579" t="s">
        <v>31574</v>
      </c>
      <c r="G5579" t="s">
        <v>31582</v>
      </c>
      <c r="H5579" t="s">
        <v>31591</v>
      </c>
      <c r="I5579" t="s">
        <v>8822</v>
      </c>
      <c r="J5579" t="s">
        <v>35346</v>
      </c>
      <c r="K5579" t="s">
        <v>41186</v>
      </c>
      <c r="M5579" t="s">
        <v>43450</v>
      </c>
      <c r="N5579" t="s">
        <v>45095</v>
      </c>
      <c r="O5579" t="s">
        <v>45096</v>
      </c>
      <c r="P5579">
        <v>0</v>
      </c>
      <c r="Q5579">
        <v>0</v>
      </c>
      <c r="R5579" t="s">
        <v>45102</v>
      </c>
      <c r="S5579" t="s">
        <v>45242</v>
      </c>
      <c r="T5579" t="s">
        <v>46973</v>
      </c>
      <c r="U5579" t="s">
        <v>52168</v>
      </c>
      <c r="V5579" t="s">
        <v>60441</v>
      </c>
      <c r="W5579" t="s">
        <v>43450</v>
      </c>
      <c r="X5579" t="s">
        <v>45103</v>
      </c>
    </row>
    <row r="5580" spans="1:24">
      <c r="A5580">
        <f>HYPERLINK("https://www.philgeps.gov.ph/GEPSNONPILOT/Tender/SplashBidNoticeAbstractUI.aspx?menuIndex=3&amp;refID=7039147&amp;Result=3","7039147")</f>
        <v>0</v>
      </c>
      <c r="B5580" t="s">
        <v>1806</v>
      </c>
      <c r="C5580" t="s">
        <v>8527</v>
      </c>
      <c r="D5580" t="s">
        <v>18040</v>
      </c>
      <c r="E5580" t="s">
        <v>23090</v>
      </c>
      <c r="F5580" t="s">
        <v>31574</v>
      </c>
      <c r="G5580" t="s">
        <v>31581</v>
      </c>
      <c r="H5580" t="s">
        <v>31590</v>
      </c>
      <c r="I5580" t="s">
        <v>4046</v>
      </c>
      <c r="J5580" t="s">
        <v>35347</v>
      </c>
      <c r="K5580" t="s">
        <v>41190</v>
      </c>
      <c r="L5580" t="s">
        <v>1806</v>
      </c>
      <c r="M5580" t="s">
        <v>43439</v>
      </c>
      <c r="N5580" t="s">
        <v>45095</v>
      </c>
      <c r="O5580" t="s">
        <v>45096</v>
      </c>
      <c r="P5580">
        <v>0</v>
      </c>
      <c r="Q5580">
        <v>1</v>
      </c>
      <c r="R5580" t="s">
        <v>45102</v>
      </c>
      <c r="S5580" t="s">
        <v>45242</v>
      </c>
      <c r="T5580" t="s">
        <v>46955</v>
      </c>
      <c r="U5580" t="s">
        <v>52148</v>
      </c>
      <c r="W5580" t="s">
        <v>43439</v>
      </c>
      <c r="X5580" t="s">
        <v>45103</v>
      </c>
    </row>
    <row r="5581" spans="1:24">
      <c r="A5581">
        <f>HYPERLINK("https://www.philgeps.gov.ph/GEPSNONPILOT/Tender/SplashBidNoticeAbstractUI.aspx?menuIndex=3&amp;refID=7039110&amp;Result=3","7039110")</f>
        <v>0</v>
      </c>
      <c r="B5581" t="s">
        <v>1806</v>
      </c>
      <c r="C5581" t="s">
        <v>8528</v>
      </c>
      <c r="D5581" t="s">
        <v>18040</v>
      </c>
      <c r="E5581" t="s">
        <v>23091</v>
      </c>
      <c r="F5581" t="s">
        <v>31574</v>
      </c>
      <c r="G5581" t="s">
        <v>31581</v>
      </c>
      <c r="H5581" t="s">
        <v>31590</v>
      </c>
      <c r="I5581" t="s">
        <v>4046</v>
      </c>
      <c r="J5581" t="s">
        <v>35348</v>
      </c>
      <c r="K5581" t="s">
        <v>41190</v>
      </c>
      <c r="L5581" t="s">
        <v>1806</v>
      </c>
      <c r="M5581" t="s">
        <v>43439</v>
      </c>
      <c r="N5581" t="s">
        <v>45095</v>
      </c>
      <c r="O5581" t="s">
        <v>45096</v>
      </c>
      <c r="P5581">
        <v>0</v>
      </c>
      <c r="Q5581">
        <v>1</v>
      </c>
      <c r="R5581" t="s">
        <v>45102</v>
      </c>
      <c r="S5581" t="s">
        <v>45242</v>
      </c>
      <c r="T5581" t="s">
        <v>46955</v>
      </c>
      <c r="U5581" t="s">
        <v>52148</v>
      </c>
      <c r="W5581" t="s">
        <v>43439</v>
      </c>
      <c r="X5581" t="s">
        <v>45103</v>
      </c>
    </row>
    <row r="5582" spans="1:24">
      <c r="A5582">
        <f>HYPERLINK("https://www.philgeps.gov.ph/GEPSNONPILOT/Tender/SplashBidNoticeAbstractUI.aspx?menuIndex=3&amp;refID=7039166&amp;Result=3","7039166")</f>
        <v>0</v>
      </c>
      <c r="B5582" t="s">
        <v>1373</v>
      </c>
      <c r="C5582" t="s">
        <v>8529</v>
      </c>
      <c r="D5582" t="s">
        <v>18036</v>
      </c>
      <c r="E5582" t="s">
        <v>23092</v>
      </c>
      <c r="F5582" t="s">
        <v>31574</v>
      </c>
      <c r="G5582" t="s">
        <v>31582</v>
      </c>
      <c r="H5582" t="s">
        <v>31591</v>
      </c>
      <c r="I5582" t="s">
        <v>8822</v>
      </c>
      <c r="J5582" t="s">
        <v>35349</v>
      </c>
      <c r="K5582" t="s">
        <v>41200</v>
      </c>
      <c r="M5582" t="s">
        <v>42947</v>
      </c>
      <c r="N5582" t="s">
        <v>45095</v>
      </c>
      <c r="O5582" t="s">
        <v>45096</v>
      </c>
      <c r="P5582">
        <v>0</v>
      </c>
      <c r="Q5582">
        <v>0</v>
      </c>
      <c r="R5582" t="s">
        <v>45102</v>
      </c>
      <c r="S5582" t="s">
        <v>45242</v>
      </c>
      <c r="T5582" t="s">
        <v>47151</v>
      </c>
      <c r="U5582" t="s">
        <v>52169</v>
      </c>
      <c r="W5582" t="s">
        <v>42947</v>
      </c>
      <c r="X5582" t="s">
        <v>45103</v>
      </c>
    </row>
    <row r="5583" spans="1:24">
      <c r="A5583">
        <f>HYPERLINK("https://www.philgeps.gov.ph/GEPSNONPILOT/Tender/SplashBidNoticeAbstractUI.aspx?menuIndex=3&amp;refID=7039149&amp;Result=3","7039149")</f>
        <v>0</v>
      </c>
      <c r="B5583" t="s">
        <v>312</v>
      </c>
      <c r="C5583" t="s">
        <v>8530</v>
      </c>
      <c r="D5583" t="s">
        <v>18024</v>
      </c>
      <c r="E5583" t="s">
        <v>23093</v>
      </c>
      <c r="F5583" t="s">
        <v>31574</v>
      </c>
      <c r="G5583" t="s">
        <v>31581</v>
      </c>
      <c r="H5583" t="s">
        <v>31591</v>
      </c>
      <c r="I5583" t="s">
        <v>4046</v>
      </c>
      <c r="J5583" t="s">
        <v>35248</v>
      </c>
      <c r="K5583" t="s">
        <v>41196</v>
      </c>
      <c r="M5583" t="s">
        <v>41799</v>
      </c>
      <c r="N5583" t="s">
        <v>45095</v>
      </c>
      <c r="O5583" t="s">
        <v>45096</v>
      </c>
      <c r="P5583">
        <v>0</v>
      </c>
      <c r="Q5583">
        <v>0</v>
      </c>
      <c r="R5583" t="s">
        <v>45102</v>
      </c>
      <c r="S5583" t="s">
        <v>45242</v>
      </c>
      <c r="T5583" t="s">
        <v>47183</v>
      </c>
      <c r="U5583" t="s">
        <v>52029</v>
      </c>
      <c r="W5583" t="s">
        <v>41799</v>
      </c>
      <c r="X5583" t="s">
        <v>45103</v>
      </c>
    </row>
    <row r="5584" spans="1:24">
      <c r="A5584">
        <f>HYPERLINK("https://www.philgeps.gov.ph/GEPSNONPILOT/Tender/SplashBidNoticeAbstractUI.aspx?menuIndex=3&amp;refID=7039159&amp;Result=3","7039159")</f>
        <v>0</v>
      </c>
      <c r="B5584" t="s">
        <v>1806</v>
      </c>
      <c r="C5584" t="s">
        <v>8531</v>
      </c>
      <c r="D5584" t="s">
        <v>18040</v>
      </c>
      <c r="E5584" t="s">
        <v>23094</v>
      </c>
      <c r="F5584" t="s">
        <v>31574</v>
      </c>
      <c r="G5584" t="s">
        <v>31581</v>
      </c>
      <c r="H5584" t="s">
        <v>31590</v>
      </c>
      <c r="I5584" t="s">
        <v>4046</v>
      </c>
      <c r="J5584" t="s">
        <v>35350</v>
      </c>
      <c r="K5584" t="s">
        <v>41190</v>
      </c>
      <c r="L5584" t="s">
        <v>1806</v>
      </c>
      <c r="M5584" t="s">
        <v>43439</v>
      </c>
      <c r="N5584" t="s">
        <v>45095</v>
      </c>
      <c r="O5584" t="s">
        <v>45096</v>
      </c>
      <c r="P5584">
        <v>0</v>
      </c>
      <c r="Q5584">
        <v>0</v>
      </c>
      <c r="R5584" t="s">
        <v>45102</v>
      </c>
      <c r="S5584" t="s">
        <v>45242</v>
      </c>
      <c r="T5584" t="s">
        <v>46955</v>
      </c>
      <c r="U5584" t="s">
        <v>52148</v>
      </c>
      <c r="W5584" t="s">
        <v>43439</v>
      </c>
      <c r="X5584" t="s">
        <v>45103</v>
      </c>
    </row>
    <row r="5585" spans="1:24">
      <c r="A5585">
        <f>HYPERLINK("https://www.philgeps.gov.ph/GEPSNONPILOT/Tender/SplashBidNoticeAbstractUI.aspx?menuIndex=3&amp;refID=7039144&amp;Result=3","7039144")</f>
        <v>0</v>
      </c>
      <c r="B5585" t="s">
        <v>201</v>
      </c>
      <c r="C5585" t="s">
        <v>8532</v>
      </c>
      <c r="D5585" t="s">
        <v>18045</v>
      </c>
      <c r="E5585" t="s">
        <v>23095</v>
      </c>
      <c r="F5585" t="s">
        <v>31574</v>
      </c>
      <c r="G5585" t="s">
        <v>31582</v>
      </c>
      <c r="H5585" t="s">
        <v>31591</v>
      </c>
      <c r="I5585" t="s">
        <v>8822</v>
      </c>
      <c r="J5585" t="s">
        <v>35351</v>
      </c>
      <c r="K5585" t="s">
        <v>41335</v>
      </c>
      <c r="M5585" t="s">
        <v>43442</v>
      </c>
      <c r="N5585" t="s">
        <v>45095</v>
      </c>
      <c r="O5585" t="s">
        <v>45096</v>
      </c>
      <c r="P5585">
        <v>0</v>
      </c>
      <c r="Q5585">
        <v>0</v>
      </c>
      <c r="R5585" t="s">
        <v>45102</v>
      </c>
      <c r="S5585" t="s">
        <v>45242</v>
      </c>
      <c r="T5585" t="s">
        <v>46988</v>
      </c>
      <c r="U5585" t="s">
        <v>52170</v>
      </c>
      <c r="W5585" t="s">
        <v>43442</v>
      </c>
      <c r="X5585" t="s">
        <v>45103</v>
      </c>
    </row>
    <row r="5586" spans="1:24">
      <c r="A5586">
        <f>HYPERLINK("https://www.philgeps.gov.ph/GEPSNONPILOT/Tender/SplashBidNoticeAbstractUI.aspx?menuIndex=3&amp;refID=7039163&amp;Result=3","7039163")</f>
        <v>0</v>
      </c>
      <c r="B5586" t="s">
        <v>201</v>
      </c>
      <c r="C5586" t="s">
        <v>8533</v>
      </c>
      <c r="D5586" t="s">
        <v>18045</v>
      </c>
      <c r="E5586" t="s">
        <v>23096</v>
      </c>
      <c r="F5586" t="s">
        <v>31574</v>
      </c>
      <c r="G5586" t="s">
        <v>31582</v>
      </c>
      <c r="H5586" t="s">
        <v>31591</v>
      </c>
      <c r="I5586" t="s">
        <v>8822</v>
      </c>
      <c r="J5586" t="s">
        <v>31730</v>
      </c>
      <c r="K5586" t="s">
        <v>41243</v>
      </c>
      <c r="M5586" t="s">
        <v>43442</v>
      </c>
      <c r="N5586" t="s">
        <v>45095</v>
      </c>
      <c r="O5586" t="s">
        <v>45096</v>
      </c>
      <c r="P5586">
        <v>0</v>
      </c>
      <c r="Q5586">
        <v>0</v>
      </c>
      <c r="R5586" t="s">
        <v>45102</v>
      </c>
      <c r="S5586" t="s">
        <v>45242</v>
      </c>
      <c r="T5586" t="s">
        <v>46988</v>
      </c>
      <c r="U5586" t="s">
        <v>52171</v>
      </c>
      <c r="W5586" t="s">
        <v>43442</v>
      </c>
      <c r="X5586" t="s">
        <v>45103</v>
      </c>
    </row>
    <row r="5587" spans="1:24">
      <c r="A5587">
        <f>HYPERLINK("https://www.philgeps.gov.ph/GEPSNONPILOT/Tender/SplashBidNoticeAbstractUI.aspx?menuIndex=3&amp;refID=7039148&amp;Result=3","7039148")</f>
        <v>0</v>
      </c>
      <c r="B5587" t="s">
        <v>1816</v>
      </c>
      <c r="C5587" t="s">
        <v>8534</v>
      </c>
      <c r="D5587" t="s">
        <v>18031</v>
      </c>
      <c r="E5587" t="s">
        <v>23097</v>
      </c>
      <c r="F5587" t="s">
        <v>31574</v>
      </c>
      <c r="G5587" t="s">
        <v>31583</v>
      </c>
      <c r="H5587" t="s">
        <v>31590</v>
      </c>
      <c r="I5587" t="s">
        <v>3487</v>
      </c>
      <c r="J5587" t="s">
        <v>35352</v>
      </c>
      <c r="K5587" t="s">
        <v>41193</v>
      </c>
      <c r="M5587" t="s">
        <v>43451</v>
      </c>
      <c r="N5587" t="s">
        <v>45095</v>
      </c>
      <c r="O5587" t="s">
        <v>45096</v>
      </c>
      <c r="P5587">
        <v>0</v>
      </c>
      <c r="Q5587">
        <v>3</v>
      </c>
      <c r="R5587" t="s">
        <v>45102</v>
      </c>
      <c r="S5587" t="s">
        <v>45242</v>
      </c>
      <c r="T5587" t="s">
        <v>47021</v>
      </c>
      <c r="U5587" t="s">
        <v>52172</v>
      </c>
      <c r="W5587" t="s">
        <v>43451</v>
      </c>
      <c r="X5587" t="s">
        <v>45103</v>
      </c>
    </row>
    <row r="5588" spans="1:24">
      <c r="A5588">
        <f>HYPERLINK("https://www.philgeps.gov.ph/GEPSNONPILOT/Tender/SplashBidNoticeAbstractUI.aspx?menuIndex=3&amp;refID=7039165&amp;Result=3","7039165")</f>
        <v>0</v>
      </c>
      <c r="B5588" t="s">
        <v>1813</v>
      </c>
      <c r="C5588" t="s">
        <v>8535</v>
      </c>
      <c r="D5588" t="s">
        <v>18034</v>
      </c>
      <c r="E5588" t="s">
        <v>23098</v>
      </c>
      <c r="F5588" t="s">
        <v>31574</v>
      </c>
      <c r="G5588" t="s">
        <v>31582</v>
      </c>
      <c r="H5588" t="s">
        <v>31591</v>
      </c>
      <c r="I5588" t="s">
        <v>8822</v>
      </c>
      <c r="J5588" t="s">
        <v>31789</v>
      </c>
      <c r="K5588" t="s">
        <v>41189</v>
      </c>
      <c r="M5588" t="s">
        <v>43447</v>
      </c>
      <c r="N5588" t="s">
        <v>45095</v>
      </c>
      <c r="O5588" t="s">
        <v>45096</v>
      </c>
      <c r="Q5588">
        <v>0</v>
      </c>
      <c r="R5588" t="s">
        <v>45102</v>
      </c>
      <c r="S5588" t="s">
        <v>45256</v>
      </c>
      <c r="T5588" t="s">
        <v>47134</v>
      </c>
      <c r="U5588" t="s">
        <v>52163</v>
      </c>
      <c r="W5588" t="s">
        <v>43447</v>
      </c>
      <c r="X5588" t="s">
        <v>45103</v>
      </c>
    </row>
    <row r="5589" spans="1:24">
      <c r="A5589">
        <f>HYPERLINK("https://www.philgeps.gov.ph/GEPSNONPILOT/Tender/SplashBidNoticeAbstractUI.aspx?menuIndex=3&amp;refID=7039162&amp;Result=3","7039162")</f>
        <v>0</v>
      </c>
      <c r="B5589" t="s">
        <v>1396</v>
      </c>
      <c r="C5589" t="s">
        <v>8536</v>
      </c>
      <c r="D5589" t="s">
        <v>18044</v>
      </c>
      <c r="E5589" t="s">
        <v>23099</v>
      </c>
      <c r="F5589" t="s">
        <v>31574</v>
      </c>
      <c r="G5589" t="s">
        <v>31584</v>
      </c>
      <c r="H5589" t="s">
        <v>31590</v>
      </c>
      <c r="I5589" t="s">
        <v>31608</v>
      </c>
      <c r="J5589" t="s">
        <v>35353</v>
      </c>
      <c r="K5589" t="s">
        <v>41184</v>
      </c>
      <c r="M5589" t="s">
        <v>42971</v>
      </c>
      <c r="N5589" t="s">
        <v>45095</v>
      </c>
      <c r="O5589" t="s">
        <v>45096</v>
      </c>
      <c r="P5589">
        <v>0</v>
      </c>
      <c r="Q5589">
        <v>4</v>
      </c>
      <c r="R5589" t="s">
        <v>45102</v>
      </c>
      <c r="S5589" t="s">
        <v>45242</v>
      </c>
      <c r="T5589" t="s">
        <v>46973</v>
      </c>
      <c r="U5589" t="s">
        <v>50848</v>
      </c>
      <c r="W5589" t="s">
        <v>42971</v>
      </c>
      <c r="X5589" t="s">
        <v>45103</v>
      </c>
    </row>
    <row r="5590" spans="1:24">
      <c r="A5590">
        <f>HYPERLINK("https://www.philgeps.gov.ph/GEPSNONPILOT/Tender/SplashBidNoticeAbstractUI.aspx?menuIndex=3&amp;refID=7039158&amp;Result=3","7039158")</f>
        <v>0</v>
      </c>
      <c r="B5590" t="s">
        <v>201</v>
      </c>
      <c r="C5590" t="s">
        <v>8537</v>
      </c>
      <c r="D5590" t="s">
        <v>18045</v>
      </c>
      <c r="E5590" t="s">
        <v>23100</v>
      </c>
      <c r="F5590" t="s">
        <v>31574</v>
      </c>
      <c r="G5590" t="s">
        <v>31582</v>
      </c>
      <c r="H5590" t="s">
        <v>31591</v>
      </c>
      <c r="I5590" t="s">
        <v>8822</v>
      </c>
      <c r="J5590" t="s">
        <v>35354</v>
      </c>
      <c r="K5590" t="s">
        <v>41335</v>
      </c>
      <c r="M5590" t="s">
        <v>43442</v>
      </c>
      <c r="N5590" t="s">
        <v>45095</v>
      </c>
      <c r="O5590" t="s">
        <v>45096</v>
      </c>
      <c r="P5590">
        <v>0</v>
      </c>
      <c r="Q5590">
        <v>0</v>
      </c>
      <c r="R5590" t="s">
        <v>45102</v>
      </c>
      <c r="S5590" t="s">
        <v>45242</v>
      </c>
      <c r="T5590" t="s">
        <v>46988</v>
      </c>
      <c r="U5590" t="s">
        <v>52173</v>
      </c>
      <c r="W5590" t="s">
        <v>43442</v>
      </c>
      <c r="X5590" t="s">
        <v>45103</v>
      </c>
    </row>
    <row r="5591" spans="1:24">
      <c r="A5591">
        <f>HYPERLINK("https://www.philgeps.gov.ph/GEPSNONPILOT/Tender/SplashBidNoticeAbstractUI.aspx?menuIndex=3&amp;refID=7039150&amp;Result=3","7039150")</f>
        <v>0</v>
      </c>
      <c r="B5591" t="s">
        <v>1812</v>
      </c>
      <c r="C5591" t="s">
        <v>8538</v>
      </c>
      <c r="D5591" t="s">
        <v>18069</v>
      </c>
      <c r="E5591" t="s">
        <v>23101</v>
      </c>
      <c r="F5591" t="s">
        <v>31574</v>
      </c>
      <c r="G5591" t="s">
        <v>31582</v>
      </c>
      <c r="H5591" t="s">
        <v>31591</v>
      </c>
      <c r="I5591" t="s">
        <v>8822</v>
      </c>
      <c r="J5591" t="s">
        <v>32287</v>
      </c>
      <c r="K5591" t="s">
        <v>41217</v>
      </c>
      <c r="M5591" t="s">
        <v>43446</v>
      </c>
      <c r="N5591" t="s">
        <v>45095</v>
      </c>
      <c r="O5591" t="s">
        <v>45096</v>
      </c>
      <c r="P5591">
        <v>0</v>
      </c>
      <c r="Q5591">
        <v>0</v>
      </c>
      <c r="R5591" t="s">
        <v>45102</v>
      </c>
      <c r="S5591" t="s">
        <v>45242</v>
      </c>
      <c r="T5591" t="s">
        <v>46936</v>
      </c>
      <c r="U5591" t="s">
        <v>52174</v>
      </c>
      <c r="W5591" t="s">
        <v>43446</v>
      </c>
      <c r="X5591" t="s">
        <v>45103</v>
      </c>
    </row>
    <row r="5592" spans="1:24">
      <c r="A5592">
        <f>HYPERLINK("https://www.philgeps.gov.ph/GEPSNONPILOT/Tender/SplashBidNoticeAbstractUI.aspx?menuIndex=3&amp;refID=7039133&amp;Result=3","7039133")</f>
        <v>0</v>
      </c>
      <c r="B5592" t="s">
        <v>1806</v>
      </c>
      <c r="C5592" t="s">
        <v>8539</v>
      </c>
      <c r="D5592" t="s">
        <v>18040</v>
      </c>
      <c r="E5592" t="s">
        <v>23102</v>
      </c>
      <c r="F5592" t="s">
        <v>31574</v>
      </c>
      <c r="G5592" t="s">
        <v>31581</v>
      </c>
      <c r="H5592" t="s">
        <v>31590</v>
      </c>
      <c r="I5592" t="s">
        <v>4046</v>
      </c>
      <c r="J5592" t="s">
        <v>35355</v>
      </c>
      <c r="K5592" t="s">
        <v>41190</v>
      </c>
      <c r="L5592" t="s">
        <v>1806</v>
      </c>
      <c r="M5592" t="s">
        <v>43439</v>
      </c>
      <c r="N5592" t="s">
        <v>45095</v>
      </c>
      <c r="O5592" t="s">
        <v>45096</v>
      </c>
      <c r="P5592">
        <v>0</v>
      </c>
      <c r="Q5592">
        <v>0</v>
      </c>
      <c r="R5592" t="s">
        <v>45102</v>
      </c>
      <c r="S5592" t="s">
        <v>45242</v>
      </c>
      <c r="T5592" t="s">
        <v>46955</v>
      </c>
      <c r="U5592" t="s">
        <v>52148</v>
      </c>
      <c r="W5592" t="s">
        <v>43439</v>
      </c>
      <c r="X5592" t="s">
        <v>45103</v>
      </c>
    </row>
    <row r="5593" spans="1:24">
      <c r="A5593">
        <f>HYPERLINK("https://www.philgeps.gov.ph/GEPSNONPILOT/Tender/SplashBidNoticeAbstractUI.aspx?menuIndex=3&amp;refID=7039111&amp;Result=3","7039111")</f>
        <v>0</v>
      </c>
      <c r="B5593" t="s">
        <v>1817</v>
      </c>
      <c r="C5593" t="s">
        <v>8540</v>
      </c>
      <c r="D5593" t="s">
        <v>18043</v>
      </c>
      <c r="E5593" t="s">
        <v>19923</v>
      </c>
      <c r="F5593" t="s">
        <v>31574</v>
      </c>
      <c r="G5593" t="s">
        <v>31582</v>
      </c>
      <c r="H5593" t="s">
        <v>31591</v>
      </c>
      <c r="I5593" t="s">
        <v>4046</v>
      </c>
      <c r="J5593" t="s">
        <v>35356</v>
      </c>
      <c r="K5593" t="s">
        <v>41194</v>
      </c>
      <c r="M5593" t="s">
        <v>43452</v>
      </c>
      <c r="N5593" t="s">
        <v>45095</v>
      </c>
      <c r="O5593" t="s">
        <v>45096</v>
      </c>
      <c r="P5593">
        <v>0</v>
      </c>
      <c r="Q5593">
        <v>0</v>
      </c>
      <c r="R5593" t="s">
        <v>45102</v>
      </c>
      <c r="S5593" t="s">
        <v>45242</v>
      </c>
      <c r="T5593" t="s">
        <v>47198</v>
      </c>
      <c r="U5593" t="s">
        <v>52175</v>
      </c>
      <c r="W5593" t="s">
        <v>43452</v>
      </c>
      <c r="X5593" t="s">
        <v>45103</v>
      </c>
    </row>
    <row r="5594" spans="1:24">
      <c r="A5594">
        <f>HYPERLINK("https://www.philgeps.gov.ph/GEPSNONPILOT/Tender/SplashBidNoticeAbstractUI.aspx?menuIndex=3&amp;refID=7039181&amp;Result=3","7039181")</f>
        <v>0</v>
      </c>
      <c r="B5594" t="s">
        <v>201</v>
      </c>
      <c r="C5594" t="s">
        <v>8541</v>
      </c>
      <c r="D5594" t="s">
        <v>18045</v>
      </c>
      <c r="E5594" t="s">
        <v>23103</v>
      </c>
      <c r="F5594" t="s">
        <v>31574</v>
      </c>
      <c r="G5594" t="s">
        <v>31582</v>
      </c>
      <c r="H5594" t="s">
        <v>31591</v>
      </c>
      <c r="I5594" t="s">
        <v>8822</v>
      </c>
      <c r="J5594" t="s">
        <v>32101</v>
      </c>
      <c r="K5594" t="s">
        <v>41310</v>
      </c>
      <c r="M5594" t="s">
        <v>43442</v>
      </c>
      <c r="N5594" t="s">
        <v>45095</v>
      </c>
      <c r="O5594" t="s">
        <v>45096</v>
      </c>
      <c r="P5594">
        <v>0</v>
      </c>
      <c r="Q5594">
        <v>0</v>
      </c>
      <c r="R5594" t="s">
        <v>45102</v>
      </c>
      <c r="S5594" t="s">
        <v>45242</v>
      </c>
      <c r="T5594" t="s">
        <v>46988</v>
      </c>
      <c r="U5594" t="s">
        <v>52176</v>
      </c>
      <c r="W5594" t="s">
        <v>43442</v>
      </c>
      <c r="X5594" t="s">
        <v>45103</v>
      </c>
    </row>
    <row r="5595" spans="1:24">
      <c r="A5595">
        <f>HYPERLINK("https://www.philgeps.gov.ph/GEPSNONPILOT/Tender/SplashBidNoticeAbstractUI.aspx?menuIndex=3&amp;refID=7039184&amp;Result=3","7039184")</f>
        <v>0</v>
      </c>
      <c r="B5595" t="s">
        <v>1305</v>
      </c>
      <c r="C5595" t="s">
        <v>8542</v>
      </c>
      <c r="D5595" t="s">
        <v>18101</v>
      </c>
      <c r="E5595" t="s">
        <v>23104</v>
      </c>
      <c r="F5595" t="s">
        <v>31574</v>
      </c>
      <c r="G5595" t="s">
        <v>31581</v>
      </c>
      <c r="H5595" t="s">
        <v>31590</v>
      </c>
      <c r="I5595" t="s">
        <v>4327</v>
      </c>
      <c r="J5595" t="s">
        <v>31782</v>
      </c>
      <c r="K5595" t="s">
        <v>41196</v>
      </c>
      <c r="M5595" t="s">
        <v>42875</v>
      </c>
      <c r="N5595" t="s">
        <v>45095</v>
      </c>
      <c r="O5595" t="s">
        <v>45096</v>
      </c>
      <c r="P5595">
        <v>0</v>
      </c>
      <c r="Q5595">
        <v>5</v>
      </c>
      <c r="R5595" t="s">
        <v>45102</v>
      </c>
      <c r="S5595" t="s">
        <v>45242</v>
      </c>
      <c r="T5595" t="s">
        <v>47154</v>
      </c>
      <c r="U5595" t="s">
        <v>52177</v>
      </c>
      <c r="W5595" t="s">
        <v>42875</v>
      </c>
      <c r="X5595" t="s">
        <v>45103</v>
      </c>
    </row>
    <row r="5596" spans="1:24">
      <c r="A5596">
        <f>HYPERLINK("https://www.philgeps.gov.ph/GEPSNONPILOT/Tender/SplashBidNoticeAbstractUI.aspx?menuIndex=3&amp;refID=7039182&amp;Result=3","7039182")</f>
        <v>0</v>
      </c>
      <c r="B5596" t="s">
        <v>687</v>
      </c>
      <c r="C5596" t="s">
        <v>8543</v>
      </c>
      <c r="D5596" t="s">
        <v>18070</v>
      </c>
      <c r="E5596" t="s">
        <v>23105</v>
      </c>
      <c r="F5596" t="s">
        <v>31574</v>
      </c>
      <c r="G5596" t="s">
        <v>31581</v>
      </c>
      <c r="H5596" t="s">
        <v>31590</v>
      </c>
      <c r="I5596" t="s">
        <v>6800</v>
      </c>
      <c r="J5596" t="s">
        <v>34660</v>
      </c>
      <c r="K5596" t="s">
        <v>41193</v>
      </c>
      <c r="M5596" t="s">
        <v>42194</v>
      </c>
      <c r="N5596" t="s">
        <v>45095</v>
      </c>
      <c r="O5596" t="s">
        <v>45096</v>
      </c>
      <c r="P5596">
        <v>0</v>
      </c>
      <c r="Q5596">
        <v>2</v>
      </c>
      <c r="R5596" t="s">
        <v>45102</v>
      </c>
      <c r="S5596" t="s">
        <v>45242</v>
      </c>
      <c r="T5596" t="s">
        <v>47162</v>
      </c>
      <c r="U5596" t="s">
        <v>52178</v>
      </c>
      <c r="V5596" t="s">
        <v>60442</v>
      </c>
      <c r="W5596" t="s">
        <v>42194</v>
      </c>
      <c r="X5596" t="s">
        <v>45103</v>
      </c>
    </row>
    <row r="5597" spans="1:24">
      <c r="A5597">
        <f>HYPERLINK("https://www.philgeps.gov.ph/GEPSNONPILOT/Tender/SplashBidNoticeAbstractUI.aspx?menuIndex=3&amp;refID=7039178&amp;Result=3","7039178")</f>
        <v>0</v>
      </c>
      <c r="B5597" t="s">
        <v>1818</v>
      </c>
      <c r="C5597" t="s">
        <v>8544</v>
      </c>
      <c r="D5597" t="s">
        <v>18048</v>
      </c>
      <c r="E5597" t="s">
        <v>23106</v>
      </c>
      <c r="F5597" t="s">
        <v>31574</v>
      </c>
      <c r="G5597" t="s">
        <v>31582</v>
      </c>
      <c r="H5597" t="s">
        <v>31591</v>
      </c>
      <c r="I5597" t="s">
        <v>8822</v>
      </c>
      <c r="J5597" t="s">
        <v>33193</v>
      </c>
      <c r="K5597" t="s">
        <v>41200</v>
      </c>
      <c r="M5597" t="s">
        <v>43453</v>
      </c>
      <c r="N5597" t="s">
        <v>45095</v>
      </c>
      <c r="O5597" t="s">
        <v>45096</v>
      </c>
      <c r="P5597">
        <v>0</v>
      </c>
      <c r="Q5597">
        <v>2</v>
      </c>
      <c r="R5597" t="s">
        <v>45102</v>
      </c>
      <c r="S5597" t="s">
        <v>45242</v>
      </c>
      <c r="T5597" t="s">
        <v>47134</v>
      </c>
      <c r="U5597" t="s">
        <v>52179</v>
      </c>
      <c r="W5597" t="s">
        <v>43453</v>
      </c>
      <c r="X5597" t="s">
        <v>45103</v>
      </c>
    </row>
    <row r="5598" spans="1:24">
      <c r="A5598">
        <f>HYPERLINK("https://www.philgeps.gov.ph/GEPSNONPILOT/Tender/SplashBidNoticeAbstractUI.aspx?menuIndex=3&amp;refID=7039167&amp;Result=3","7039167")</f>
        <v>0</v>
      </c>
      <c r="B5598" t="s">
        <v>1819</v>
      </c>
      <c r="C5598" t="s">
        <v>8545</v>
      </c>
      <c r="D5598" t="s">
        <v>18027</v>
      </c>
      <c r="E5598" t="s">
        <v>23107</v>
      </c>
      <c r="F5598" t="s">
        <v>31574</v>
      </c>
      <c r="G5598" t="s">
        <v>31582</v>
      </c>
      <c r="H5598" t="s">
        <v>31591</v>
      </c>
      <c r="I5598" t="s">
        <v>8822</v>
      </c>
      <c r="J5598" t="s">
        <v>35357</v>
      </c>
      <c r="K5598" t="s">
        <v>41235</v>
      </c>
      <c r="L5598" t="s">
        <v>1819</v>
      </c>
      <c r="M5598" t="s">
        <v>43454</v>
      </c>
      <c r="N5598" t="s">
        <v>45095</v>
      </c>
      <c r="O5598" t="s">
        <v>45096</v>
      </c>
      <c r="P5598">
        <v>0</v>
      </c>
      <c r="Q5598">
        <v>7</v>
      </c>
      <c r="R5598" t="s">
        <v>45102</v>
      </c>
      <c r="S5598" t="s">
        <v>45242</v>
      </c>
      <c r="T5598" t="s">
        <v>47190</v>
      </c>
      <c r="U5598" t="s">
        <v>52180</v>
      </c>
      <c r="W5598" t="s">
        <v>43454</v>
      </c>
      <c r="X5598" t="s">
        <v>45103</v>
      </c>
    </row>
    <row r="5599" spans="1:24">
      <c r="A5599">
        <f>HYPERLINK("https://www.philgeps.gov.ph/GEPSNONPILOT/Tender/SplashBidNoticeAbstractUI.aspx?menuIndex=3&amp;refID=7039170&amp;Result=3","7039170")</f>
        <v>0</v>
      </c>
      <c r="B5599" t="s">
        <v>1809</v>
      </c>
      <c r="C5599" t="s">
        <v>8546</v>
      </c>
      <c r="D5599" t="s">
        <v>18053</v>
      </c>
      <c r="E5599" t="s">
        <v>23108</v>
      </c>
      <c r="F5599" t="s">
        <v>31574</v>
      </c>
      <c r="G5599" t="s">
        <v>31583</v>
      </c>
      <c r="H5599" t="s">
        <v>31590</v>
      </c>
      <c r="I5599" t="s">
        <v>31642</v>
      </c>
      <c r="J5599" t="s">
        <v>35358</v>
      </c>
      <c r="K5599" t="s">
        <v>41190</v>
      </c>
      <c r="M5599" t="s">
        <v>43443</v>
      </c>
      <c r="N5599" t="s">
        <v>45095</v>
      </c>
      <c r="O5599" t="s">
        <v>45096</v>
      </c>
      <c r="P5599">
        <v>0</v>
      </c>
      <c r="Q5599">
        <v>2</v>
      </c>
      <c r="R5599" t="s">
        <v>45102</v>
      </c>
      <c r="S5599" t="s">
        <v>45242</v>
      </c>
      <c r="T5599" t="s">
        <v>47159</v>
      </c>
      <c r="U5599" t="s">
        <v>52181</v>
      </c>
      <c r="W5599" t="s">
        <v>43443</v>
      </c>
      <c r="X5599" t="s">
        <v>45103</v>
      </c>
    </row>
    <row r="5600" spans="1:24">
      <c r="A5600">
        <f>HYPERLINK("https://www.philgeps.gov.ph/GEPSNONPILOT/Tender/SplashBidNoticeAbstractUI.aspx?menuIndex=3&amp;refID=7039195&amp;Result=3","7039195")</f>
        <v>0</v>
      </c>
      <c r="B5600" t="s">
        <v>201</v>
      </c>
      <c r="C5600" t="s">
        <v>8547</v>
      </c>
      <c r="D5600" t="s">
        <v>18045</v>
      </c>
      <c r="E5600" t="s">
        <v>23109</v>
      </c>
      <c r="F5600" t="s">
        <v>31574</v>
      </c>
      <c r="G5600" t="s">
        <v>31582</v>
      </c>
      <c r="H5600" t="s">
        <v>31591</v>
      </c>
      <c r="I5600" t="s">
        <v>8822</v>
      </c>
      <c r="J5600" t="s">
        <v>32639</v>
      </c>
      <c r="K5600" t="s">
        <v>41203</v>
      </c>
      <c r="M5600" t="s">
        <v>43442</v>
      </c>
      <c r="N5600" t="s">
        <v>45095</v>
      </c>
      <c r="O5600" t="s">
        <v>45096</v>
      </c>
      <c r="P5600">
        <v>0</v>
      </c>
      <c r="Q5600">
        <v>0</v>
      </c>
      <c r="R5600" t="s">
        <v>45102</v>
      </c>
      <c r="S5600" t="s">
        <v>45242</v>
      </c>
      <c r="T5600" t="s">
        <v>46988</v>
      </c>
      <c r="U5600" t="s">
        <v>52182</v>
      </c>
      <c r="W5600" t="s">
        <v>43442</v>
      </c>
      <c r="X5600" t="s">
        <v>45103</v>
      </c>
    </row>
    <row r="5601" spans="1:24">
      <c r="A5601">
        <f>HYPERLINK("https://www.philgeps.gov.ph/GEPSNONPILOT/Tender/SplashBidNoticeAbstractUI.aspx?menuIndex=3&amp;refID=7039186&amp;Result=3","7039186")</f>
        <v>0</v>
      </c>
      <c r="B5601" t="s">
        <v>1819</v>
      </c>
      <c r="C5601" t="s">
        <v>8548</v>
      </c>
      <c r="D5601" t="s">
        <v>18027</v>
      </c>
      <c r="E5601" t="s">
        <v>23110</v>
      </c>
      <c r="F5601" t="s">
        <v>31574</v>
      </c>
      <c r="G5601" t="s">
        <v>31582</v>
      </c>
      <c r="H5601" t="s">
        <v>31591</v>
      </c>
      <c r="I5601" t="s">
        <v>8822</v>
      </c>
      <c r="J5601" t="s">
        <v>34360</v>
      </c>
      <c r="K5601" t="s">
        <v>41336</v>
      </c>
      <c r="L5601" t="s">
        <v>1819</v>
      </c>
      <c r="M5601" t="s">
        <v>43454</v>
      </c>
      <c r="N5601" t="s">
        <v>45095</v>
      </c>
      <c r="O5601" t="s">
        <v>45096</v>
      </c>
      <c r="P5601">
        <v>0</v>
      </c>
      <c r="Q5601">
        <v>4</v>
      </c>
      <c r="R5601" t="s">
        <v>45102</v>
      </c>
      <c r="S5601" t="s">
        <v>45242</v>
      </c>
      <c r="T5601" t="s">
        <v>47190</v>
      </c>
      <c r="U5601" t="s">
        <v>52180</v>
      </c>
      <c r="W5601" t="s">
        <v>43454</v>
      </c>
      <c r="X5601" t="s">
        <v>45103</v>
      </c>
    </row>
    <row r="5602" spans="1:24">
      <c r="A5602">
        <f>HYPERLINK("https://www.philgeps.gov.ph/GEPSNONPILOT/Tender/SplashBidNoticeAbstractUI.aspx?menuIndex=3&amp;refID=7039174&amp;Result=3","7039174")</f>
        <v>0</v>
      </c>
      <c r="B5602" t="s">
        <v>1305</v>
      </c>
      <c r="C5602" t="s">
        <v>8549</v>
      </c>
      <c r="D5602" t="s">
        <v>18101</v>
      </c>
      <c r="E5602" t="s">
        <v>23111</v>
      </c>
      <c r="F5602" t="s">
        <v>31574</v>
      </c>
      <c r="G5602" t="s">
        <v>31581</v>
      </c>
      <c r="H5602" t="s">
        <v>31590</v>
      </c>
      <c r="I5602" t="s">
        <v>3539</v>
      </c>
      <c r="J5602" t="s">
        <v>31741</v>
      </c>
      <c r="K5602" t="s">
        <v>41196</v>
      </c>
      <c r="M5602" t="s">
        <v>42875</v>
      </c>
      <c r="N5602" t="s">
        <v>45095</v>
      </c>
      <c r="O5602" t="s">
        <v>45096</v>
      </c>
      <c r="P5602">
        <v>0</v>
      </c>
      <c r="Q5602">
        <v>0</v>
      </c>
      <c r="R5602" t="s">
        <v>45102</v>
      </c>
      <c r="S5602" t="s">
        <v>45242</v>
      </c>
      <c r="T5602" t="s">
        <v>47154</v>
      </c>
      <c r="U5602" t="s">
        <v>52183</v>
      </c>
      <c r="W5602" t="s">
        <v>42875</v>
      </c>
      <c r="X5602" t="s">
        <v>45103</v>
      </c>
    </row>
    <row r="5603" spans="1:24">
      <c r="A5603">
        <f>HYPERLINK("https://www.philgeps.gov.ph/GEPSNONPILOT/Tender/SplashBidNoticeAbstractUI.aspx?menuIndex=3&amp;refID=7039193&amp;Result=3","7039193")</f>
        <v>0</v>
      </c>
      <c r="B5603" t="s">
        <v>264</v>
      </c>
      <c r="C5603" t="s">
        <v>8550</v>
      </c>
      <c r="D5603" t="s">
        <v>18066</v>
      </c>
      <c r="E5603" t="s">
        <v>23112</v>
      </c>
      <c r="F5603" t="s">
        <v>31574</v>
      </c>
      <c r="G5603" t="s">
        <v>31582</v>
      </c>
      <c r="H5603" t="s">
        <v>31590</v>
      </c>
      <c r="I5603" t="s">
        <v>31615</v>
      </c>
      <c r="J5603" t="s">
        <v>35359</v>
      </c>
      <c r="K5603" t="s">
        <v>41184</v>
      </c>
      <c r="M5603" t="s">
        <v>41750</v>
      </c>
      <c r="N5603" t="s">
        <v>45095</v>
      </c>
      <c r="O5603" t="s">
        <v>45096</v>
      </c>
      <c r="P5603">
        <v>0</v>
      </c>
      <c r="Q5603">
        <v>4</v>
      </c>
      <c r="R5603" t="s">
        <v>45102</v>
      </c>
      <c r="S5603" t="s">
        <v>45242</v>
      </c>
      <c r="T5603" t="s">
        <v>46963</v>
      </c>
      <c r="U5603" t="s">
        <v>52184</v>
      </c>
      <c r="W5603" t="s">
        <v>61674</v>
      </c>
      <c r="X5603" t="s">
        <v>45103</v>
      </c>
    </row>
    <row r="5604" spans="1:24">
      <c r="A5604">
        <f>HYPERLINK("https://www.philgeps.gov.ph/GEPSNONPILOT/Tender/SplashBidNoticeAbstractUI.aspx?menuIndex=3&amp;refID=7039171&amp;Result=3","7039171")</f>
        <v>0</v>
      </c>
      <c r="B5604" t="s">
        <v>1820</v>
      </c>
      <c r="C5604" t="s">
        <v>8551</v>
      </c>
      <c r="D5604" t="s">
        <v>18074</v>
      </c>
      <c r="E5604" t="s">
        <v>18422</v>
      </c>
      <c r="F5604" t="s">
        <v>31574</v>
      </c>
      <c r="G5604" t="s">
        <v>31582</v>
      </c>
      <c r="H5604" t="s">
        <v>31590</v>
      </c>
      <c r="I5604" t="s">
        <v>31600</v>
      </c>
      <c r="J5604" t="s">
        <v>35360</v>
      </c>
      <c r="K5604" t="s">
        <v>41184</v>
      </c>
      <c r="M5604" t="s">
        <v>43455</v>
      </c>
      <c r="N5604" t="s">
        <v>45095</v>
      </c>
      <c r="O5604" t="s">
        <v>45096</v>
      </c>
      <c r="P5604">
        <v>0</v>
      </c>
      <c r="Q5604">
        <v>1</v>
      </c>
      <c r="R5604" t="s">
        <v>45102</v>
      </c>
      <c r="S5604" t="s">
        <v>45242</v>
      </c>
      <c r="T5604" t="s">
        <v>46955</v>
      </c>
      <c r="U5604" t="s">
        <v>52185</v>
      </c>
      <c r="W5604" t="s">
        <v>43455</v>
      </c>
      <c r="X5604" t="s">
        <v>45103</v>
      </c>
    </row>
    <row r="5605" spans="1:24">
      <c r="A5605">
        <f>HYPERLINK("https://www.philgeps.gov.ph/GEPSNONPILOT/Tender/SplashBidNoticeAbstractUI.aspx?menuIndex=3&amp;refID=7039201&amp;Result=3","7039201")</f>
        <v>0</v>
      </c>
      <c r="B5605" t="s">
        <v>1566</v>
      </c>
      <c r="C5605" t="s">
        <v>8552</v>
      </c>
      <c r="E5605" t="s">
        <v>23113</v>
      </c>
      <c r="F5605" t="s">
        <v>31574</v>
      </c>
      <c r="G5605" t="s">
        <v>31582</v>
      </c>
      <c r="H5605" t="s">
        <v>31591</v>
      </c>
      <c r="I5605" t="s">
        <v>8822</v>
      </c>
      <c r="J5605" t="s">
        <v>31821</v>
      </c>
      <c r="K5605" t="s">
        <v>41184</v>
      </c>
      <c r="M5605" t="s">
        <v>43165</v>
      </c>
      <c r="N5605" t="s">
        <v>45095</v>
      </c>
      <c r="O5605" t="s">
        <v>45096</v>
      </c>
      <c r="P5605">
        <v>0</v>
      </c>
      <c r="Q5605">
        <v>2</v>
      </c>
      <c r="R5605" t="s">
        <v>45102</v>
      </c>
      <c r="S5605" t="s">
        <v>45242</v>
      </c>
      <c r="T5605" t="s">
        <v>46914</v>
      </c>
      <c r="U5605" t="s">
        <v>52186</v>
      </c>
      <c r="V5605" t="s">
        <v>59888</v>
      </c>
      <c r="W5605" t="s">
        <v>43165</v>
      </c>
      <c r="X5605" t="s">
        <v>45103</v>
      </c>
    </row>
    <row r="5606" spans="1:24">
      <c r="A5606">
        <f>HYPERLINK("https://www.philgeps.gov.ph/GEPSNONPILOT/Tender/SplashBidNoticeAbstractUI.aspx?menuIndex=3&amp;refID=7039189&amp;Result=3","7039189")</f>
        <v>0</v>
      </c>
      <c r="B5606" t="s">
        <v>264</v>
      </c>
      <c r="C5606" t="s">
        <v>8553</v>
      </c>
      <c r="D5606" t="s">
        <v>18066</v>
      </c>
      <c r="E5606" t="s">
        <v>23114</v>
      </c>
      <c r="F5606" t="s">
        <v>31574</v>
      </c>
      <c r="G5606" t="s">
        <v>31582</v>
      </c>
      <c r="H5606" t="s">
        <v>31590</v>
      </c>
      <c r="I5606" t="s">
        <v>31614</v>
      </c>
      <c r="J5606" t="s">
        <v>35361</v>
      </c>
      <c r="K5606" t="s">
        <v>41184</v>
      </c>
      <c r="M5606" t="s">
        <v>41750</v>
      </c>
      <c r="N5606" t="s">
        <v>45095</v>
      </c>
      <c r="O5606" t="s">
        <v>45096</v>
      </c>
      <c r="P5606">
        <v>0</v>
      </c>
      <c r="Q5606">
        <v>0</v>
      </c>
      <c r="R5606" t="s">
        <v>45102</v>
      </c>
      <c r="S5606" t="s">
        <v>45242</v>
      </c>
      <c r="T5606" t="s">
        <v>46963</v>
      </c>
      <c r="U5606" t="s">
        <v>52187</v>
      </c>
      <c r="W5606" t="s">
        <v>61674</v>
      </c>
      <c r="X5606" t="s">
        <v>45103</v>
      </c>
    </row>
    <row r="5607" spans="1:24">
      <c r="A5607">
        <f>HYPERLINK("https://www.philgeps.gov.ph/GEPSNONPILOT/Tender/SplashBidNoticeAbstractUI.aspx?menuIndex=3&amp;refID=7039217&amp;Result=3","7039217")</f>
        <v>0</v>
      </c>
      <c r="B5607" t="s">
        <v>1821</v>
      </c>
      <c r="C5607" t="s">
        <v>5553</v>
      </c>
      <c r="D5607" t="s">
        <v>18062</v>
      </c>
      <c r="E5607" t="s">
        <v>23115</v>
      </c>
      <c r="F5607" t="s">
        <v>31574</v>
      </c>
      <c r="G5607" t="s">
        <v>31582</v>
      </c>
      <c r="H5607" t="s">
        <v>31591</v>
      </c>
      <c r="I5607" t="s">
        <v>8822</v>
      </c>
      <c r="J5607" t="s">
        <v>32000</v>
      </c>
      <c r="K5607" t="s">
        <v>41186</v>
      </c>
      <c r="M5607" t="s">
        <v>43456</v>
      </c>
      <c r="N5607" t="s">
        <v>45095</v>
      </c>
      <c r="O5607" t="s">
        <v>45096</v>
      </c>
      <c r="P5607">
        <v>0</v>
      </c>
      <c r="Q5607">
        <v>0</v>
      </c>
      <c r="R5607" t="s">
        <v>45102</v>
      </c>
      <c r="S5607" t="s">
        <v>45242</v>
      </c>
      <c r="T5607" t="s">
        <v>47100</v>
      </c>
      <c r="U5607" t="s">
        <v>52188</v>
      </c>
      <c r="W5607" t="s">
        <v>43456</v>
      </c>
      <c r="X5607" t="s">
        <v>45103</v>
      </c>
    </row>
    <row r="5608" spans="1:24">
      <c r="A5608">
        <f>HYPERLINK("https://www.philgeps.gov.ph/GEPSNONPILOT/Tender/SplashBidNoticeAbstractUI.aspx?menuIndex=3&amp;refID=7039196&amp;Result=3","7039196")</f>
        <v>0</v>
      </c>
      <c r="B5608" t="s">
        <v>1819</v>
      </c>
      <c r="C5608" t="s">
        <v>8554</v>
      </c>
      <c r="D5608" t="s">
        <v>18027</v>
      </c>
      <c r="E5608" t="s">
        <v>23116</v>
      </c>
      <c r="F5608" t="s">
        <v>31574</v>
      </c>
      <c r="G5608" t="s">
        <v>31582</v>
      </c>
      <c r="H5608" t="s">
        <v>31591</v>
      </c>
      <c r="I5608" t="s">
        <v>8822</v>
      </c>
      <c r="J5608" t="s">
        <v>35362</v>
      </c>
      <c r="K5608" t="s">
        <v>41198</v>
      </c>
      <c r="L5608" t="s">
        <v>1819</v>
      </c>
      <c r="M5608" t="s">
        <v>43454</v>
      </c>
      <c r="N5608" t="s">
        <v>45095</v>
      </c>
      <c r="O5608" t="s">
        <v>45096</v>
      </c>
      <c r="P5608">
        <v>0</v>
      </c>
      <c r="Q5608">
        <v>4</v>
      </c>
      <c r="R5608" t="s">
        <v>45102</v>
      </c>
      <c r="S5608" t="s">
        <v>45242</v>
      </c>
      <c r="T5608" t="s">
        <v>47190</v>
      </c>
      <c r="U5608" t="s">
        <v>52180</v>
      </c>
      <c r="W5608" t="s">
        <v>43454</v>
      </c>
      <c r="X5608" t="s">
        <v>45103</v>
      </c>
    </row>
    <row r="5609" spans="1:24">
      <c r="A5609">
        <f>HYPERLINK("https://www.philgeps.gov.ph/GEPSNONPILOT/Tender/SplashBidNoticeAbstractUI.aspx?menuIndex=3&amp;refID=7039197&amp;Result=3","7039197")</f>
        <v>0</v>
      </c>
      <c r="B5609" t="s">
        <v>264</v>
      </c>
      <c r="C5609" t="s">
        <v>8555</v>
      </c>
      <c r="D5609" t="s">
        <v>18066</v>
      </c>
      <c r="E5609" t="s">
        <v>23117</v>
      </c>
      <c r="F5609" t="s">
        <v>31574</v>
      </c>
      <c r="G5609" t="s">
        <v>31582</v>
      </c>
      <c r="H5609" t="s">
        <v>31590</v>
      </c>
      <c r="I5609" t="s">
        <v>31608</v>
      </c>
      <c r="J5609" t="s">
        <v>35363</v>
      </c>
      <c r="K5609" t="s">
        <v>41184</v>
      </c>
      <c r="M5609" t="s">
        <v>41750</v>
      </c>
      <c r="N5609" t="s">
        <v>45095</v>
      </c>
      <c r="O5609" t="s">
        <v>45096</v>
      </c>
      <c r="P5609">
        <v>0</v>
      </c>
      <c r="Q5609">
        <v>3</v>
      </c>
      <c r="R5609" t="s">
        <v>45102</v>
      </c>
      <c r="S5609" t="s">
        <v>45242</v>
      </c>
      <c r="T5609" t="s">
        <v>46963</v>
      </c>
      <c r="U5609" t="s">
        <v>52189</v>
      </c>
      <c r="W5609" t="s">
        <v>61674</v>
      </c>
      <c r="X5609" t="s">
        <v>45103</v>
      </c>
    </row>
    <row r="5610" spans="1:24">
      <c r="A5610">
        <f>HYPERLINK("https://www.philgeps.gov.ph/GEPSNONPILOT/Tender/SplashBidNoticeAbstractUI.aspx?menuIndex=3&amp;refID=7039218&amp;Result=3","7039218")</f>
        <v>0</v>
      </c>
      <c r="B5610" t="s">
        <v>1822</v>
      </c>
      <c r="C5610" t="s">
        <v>8556</v>
      </c>
      <c r="D5610" t="s">
        <v>18099</v>
      </c>
      <c r="E5610" t="s">
        <v>23118</v>
      </c>
      <c r="F5610" t="s">
        <v>31574</v>
      </c>
      <c r="G5610" t="s">
        <v>31582</v>
      </c>
      <c r="H5610" t="s">
        <v>31591</v>
      </c>
      <c r="I5610" t="s">
        <v>31627</v>
      </c>
      <c r="J5610" t="s">
        <v>31727</v>
      </c>
      <c r="K5610" t="s">
        <v>41192</v>
      </c>
      <c r="M5610" t="s">
        <v>43457</v>
      </c>
      <c r="N5610" t="s">
        <v>45095</v>
      </c>
      <c r="O5610" t="s">
        <v>45096</v>
      </c>
      <c r="P5610">
        <v>0</v>
      </c>
      <c r="Q5610">
        <v>0</v>
      </c>
      <c r="R5610" t="s">
        <v>45102</v>
      </c>
      <c r="S5610" t="s">
        <v>45242</v>
      </c>
      <c r="T5610" t="s">
        <v>46937</v>
      </c>
      <c r="U5610" t="s">
        <v>52190</v>
      </c>
      <c r="W5610" t="s">
        <v>43457</v>
      </c>
      <c r="X5610" t="s">
        <v>45103</v>
      </c>
    </row>
    <row r="5611" spans="1:24">
      <c r="A5611">
        <f>HYPERLINK("https://www.philgeps.gov.ph/GEPSNONPILOT/Tender/SplashBidNoticeAbstractUI.aspx?menuIndex=3&amp;refID=7039215&amp;Result=3","7039215")</f>
        <v>0</v>
      </c>
      <c r="B5611" t="s">
        <v>1823</v>
      </c>
      <c r="C5611" t="s">
        <v>8557</v>
      </c>
      <c r="D5611" t="s">
        <v>18060</v>
      </c>
      <c r="E5611" t="s">
        <v>23119</v>
      </c>
      <c r="F5611" t="s">
        <v>31574</v>
      </c>
      <c r="G5611" t="s">
        <v>31581</v>
      </c>
      <c r="H5611" t="s">
        <v>31590</v>
      </c>
      <c r="I5611" t="s">
        <v>4046</v>
      </c>
      <c r="J5611" t="s">
        <v>35364</v>
      </c>
      <c r="K5611" t="s">
        <v>41196</v>
      </c>
      <c r="M5611" t="s">
        <v>43458</v>
      </c>
      <c r="N5611" t="s">
        <v>45095</v>
      </c>
      <c r="O5611" t="s">
        <v>45096</v>
      </c>
      <c r="P5611">
        <v>0</v>
      </c>
      <c r="Q5611">
        <v>0</v>
      </c>
      <c r="R5611" t="s">
        <v>45102</v>
      </c>
      <c r="S5611" t="s">
        <v>45242</v>
      </c>
      <c r="T5611" t="s">
        <v>47159</v>
      </c>
      <c r="U5611" t="s">
        <v>52191</v>
      </c>
      <c r="V5611" t="s">
        <v>60443</v>
      </c>
      <c r="W5611" t="s">
        <v>43458</v>
      </c>
      <c r="X5611" t="s">
        <v>45103</v>
      </c>
    </row>
    <row r="5612" spans="1:24">
      <c r="A5612">
        <f>HYPERLINK("https://www.philgeps.gov.ph/GEPSNONPILOT/Tender/SplashBidNoticeAbstractUI.aspx?menuIndex=3&amp;refID=7039192&amp;Result=3","7039192")</f>
        <v>0</v>
      </c>
      <c r="B5612" t="s">
        <v>1819</v>
      </c>
      <c r="C5612" t="s">
        <v>8558</v>
      </c>
      <c r="D5612" t="s">
        <v>18027</v>
      </c>
      <c r="E5612" t="s">
        <v>23120</v>
      </c>
      <c r="F5612" t="s">
        <v>31574</v>
      </c>
      <c r="G5612" t="s">
        <v>31582</v>
      </c>
      <c r="H5612" t="s">
        <v>31591</v>
      </c>
      <c r="I5612" t="s">
        <v>8822</v>
      </c>
      <c r="J5612" t="s">
        <v>33268</v>
      </c>
      <c r="K5612" t="s">
        <v>41189</v>
      </c>
      <c r="L5612" t="s">
        <v>1819</v>
      </c>
      <c r="M5612" t="s">
        <v>43454</v>
      </c>
      <c r="N5612" t="s">
        <v>45095</v>
      </c>
      <c r="O5612" t="s">
        <v>45096</v>
      </c>
      <c r="P5612">
        <v>0</v>
      </c>
      <c r="Q5612">
        <v>4</v>
      </c>
      <c r="R5612" t="s">
        <v>45102</v>
      </c>
      <c r="S5612" t="s">
        <v>45242</v>
      </c>
      <c r="T5612" t="s">
        <v>47190</v>
      </c>
      <c r="U5612" t="s">
        <v>52180</v>
      </c>
      <c r="W5612" t="s">
        <v>43454</v>
      </c>
      <c r="X5612" t="s">
        <v>45103</v>
      </c>
    </row>
    <row r="5613" spans="1:24">
      <c r="A5613">
        <f>HYPERLINK("https://www.philgeps.gov.ph/GEPSNONPILOT/Tender/SplashBidNoticeAbstractUI.aspx?menuIndex=3&amp;refID=7039216&amp;Result=3","7039216")</f>
        <v>0</v>
      </c>
      <c r="B5613" t="s">
        <v>1819</v>
      </c>
      <c r="C5613" t="s">
        <v>8559</v>
      </c>
      <c r="D5613" t="s">
        <v>18027</v>
      </c>
      <c r="E5613" t="s">
        <v>23121</v>
      </c>
      <c r="F5613" t="s">
        <v>31574</v>
      </c>
      <c r="G5613" t="s">
        <v>31582</v>
      </c>
      <c r="H5613" t="s">
        <v>31591</v>
      </c>
      <c r="I5613" t="s">
        <v>8822</v>
      </c>
      <c r="J5613" t="s">
        <v>35365</v>
      </c>
      <c r="K5613" t="s">
        <v>41200</v>
      </c>
      <c r="L5613" t="s">
        <v>1819</v>
      </c>
      <c r="M5613" t="s">
        <v>43454</v>
      </c>
      <c r="N5613" t="s">
        <v>45095</v>
      </c>
      <c r="O5613" t="s">
        <v>45096</v>
      </c>
      <c r="P5613">
        <v>0</v>
      </c>
      <c r="Q5613">
        <v>1</v>
      </c>
      <c r="R5613" t="s">
        <v>45102</v>
      </c>
      <c r="S5613" t="s">
        <v>45242</v>
      </c>
      <c r="T5613" t="s">
        <v>47190</v>
      </c>
      <c r="U5613" t="s">
        <v>52180</v>
      </c>
      <c r="W5613" t="s">
        <v>43454</v>
      </c>
      <c r="X5613" t="s">
        <v>45103</v>
      </c>
    </row>
    <row r="5614" spans="1:24">
      <c r="A5614">
        <f>HYPERLINK("https://www.philgeps.gov.ph/GEPSNONPILOT/Tender/SplashBidNoticeAbstractUI.aspx?menuIndex=3&amp;refID=7039191&amp;Result=3","7039191")</f>
        <v>0</v>
      </c>
      <c r="B5614" t="s">
        <v>1823</v>
      </c>
      <c r="C5614" t="s">
        <v>8560</v>
      </c>
      <c r="D5614" t="s">
        <v>18060</v>
      </c>
      <c r="E5614" t="s">
        <v>23122</v>
      </c>
      <c r="F5614" t="s">
        <v>31574</v>
      </c>
      <c r="G5614" t="s">
        <v>31581</v>
      </c>
      <c r="H5614" t="s">
        <v>31590</v>
      </c>
      <c r="I5614" t="s">
        <v>31612</v>
      </c>
      <c r="J5614" t="s">
        <v>31845</v>
      </c>
      <c r="K5614" t="s">
        <v>41196</v>
      </c>
      <c r="M5614" t="s">
        <v>43458</v>
      </c>
      <c r="N5614" t="s">
        <v>45095</v>
      </c>
      <c r="O5614" t="s">
        <v>45096</v>
      </c>
      <c r="P5614">
        <v>0</v>
      </c>
      <c r="Q5614">
        <v>0</v>
      </c>
      <c r="R5614" t="s">
        <v>45102</v>
      </c>
      <c r="S5614" t="s">
        <v>45242</v>
      </c>
      <c r="T5614" t="s">
        <v>47159</v>
      </c>
      <c r="U5614" t="s">
        <v>52192</v>
      </c>
      <c r="V5614" t="s">
        <v>60443</v>
      </c>
      <c r="W5614" t="s">
        <v>43458</v>
      </c>
      <c r="X5614" t="s">
        <v>45103</v>
      </c>
    </row>
    <row r="5615" spans="1:24">
      <c r="A5615">
        <f>HYPERLINK("https://www.philgeps.gov.ph/GEPSNONPILOT/Tender/SplashBidNoticeAbstractUI.aspx?menuIndex=3&amp;refID=7039213&amp;Result=3","7039213")</f>
        <v>0</v>
      </c>
      <c r="B5615" t="s">
        <v>1824</v>
      </c>
      <c r="C5615" t="s">
        <v>8561</v>
      </c>
      <c r="D5615" t="s">
        <v>18084</v>
      </c>
      <c r="E5615" t="s">
        <v>23123</v>
      </c>
      <c r="F5615" t="s">
        <v>31574</v>
      </c>
      <c r="G5615" t="s">
        <v>31582</v>
      </c>
      <c r="H5615" t="s">
        <v>31591</v>
      </c>
      <c r="I5615" t="s">
        <v>4046</v>
      </c>
      <c r="J5615" t="s">
        <v>32049</v>
      </c>
      <c r="K5615" t="s">
        <v>41186</v>
      </c>
      <c r="M5615" t="s">
        <v>43459</v>
      </c>
      <c r="N5615" t="s">
        <v>45095</v>
      </c>
      <c r="O5615" t="s">
        <v>45096</v>
      </c>
      <c r="P5615">
        <v>0</v>
      </c>
      <c r="Q5615">
        <v>0</v>
      </c>
      <c r="R5615" t="s">
        <v>45102</v>
      </c>
      <c r="S5615" t="s">
        <v>45242</v>
      </c>
      <c r="T5615" t="s">
        <v>47264</v>
      </c>
      <c r="U5615" t="s">
        <v>52193</v>
      </c>
      <c r="V5615" t="s">
        <v>60444</v>
      </c>
      <c r="W5615" t="s">
        <v>43459</v>
      </c>
      <c r="X5615" t="s">
        <v>45103</v>
      </c>
    </row>
    <row r="5616" spans="1:24">
      <c r="A5616">
        <f>HYPERLINK("https://www.philgeps.gov.ph/GEPSNONPILOT/Tender/SplashBidNoticeAbstractUI.aspx?menuIndex=3&amp;refID=7039188&amp;Result=3","7039188")</f>
        <v>0</v>
      </c>
      <c r="B5616" t="s">
        <v>1825</v>
      </c>
      <c r="C5616" t="s">
        <v>8562</v>
      </c>
      <c r="D5616" t="s">
        <v>18026</v>
      </c>
      <c r="E5616" t="s">
        <v>23124</v>
      </c>
      <c r="F5616" t="s">
        <v>31574</v>
      </c>
      <c r="G5616" t="s">
        <v>31582</v>
      </c>
      <c r="H5616" t="s">
        <v>31590</v>
      </c>
      <c r="I5616" t="s">
        <v>31654</v>
      </c>
      <c r="J5616" t="s">
        <v>32425</v>
      </c>
      <c r="K5616" t="s">
        <v>41193</v>
      </c>
      <c r="M5616" t="s">
        <v>43460</v>
      </c>
      <c r="N5616" t="s">
        <v>45095</v>
      </c>
      <c r="O5616" t="s">
        <v>45096</v>
      </c>
      <c r="P5616">
        <v>0</v>
      </c>
      <c r="Q5616">
        <v>0</v>
      </c>
      <c r="R5616" t="s">
        <v>45102</v>
      </c>
      <c r="S5616" t="s">
        <v>45242</v>
      </c>
      <c r="T5616" t="s">
        <v>46904</v>
      </c>
      <c r="U5616" t="s">
        <v>52194</v>
      </c>
      <c r="W5616" t="s">
        <v>43460</v>
      </c>
      <c r="X5616" t="s">
        <v>45103</v>
      </c>
    </row>
    <row r="5617" spans="1:24">
      <c r="A5617">
        <f>HYPERLINK("https://www.philgeps.gov.ph/GEPSNONPILOT/Tender/SplashBidNoticeAbstractUI.aspx?menuIndex=3&amp;refID=7039210&amp;Result=3","7039210")</f>
        <v>0</v>
      </c>
      <c r="B5617" t="s">
        <v>977</v>
      </c>
      <c r="C5617" t="s">
        <v>8563</v>
      </c>
      <c r="D5617" t="s">
        <v>18026</v>
      </c>
      <c r="E5617" t="s">
        <v>23125</v>
      </c>
      <c r="F5617" t="s">
        <v>31574</v>
      </c>
      <c r="G5617" t="s">
        <v>31582</v>
      </c>
      <c r="H5617" t="s">
        <v>31590</v>
      </c>
      <c r="I5617" t="s">
        <v>31704</v>
      </c>
      <c r="J5617" t="s">
        <v>35366</v>
      </c>
      <c r="K5617" t="s">
        <v>41196</v>
      </c>
      <c r="M5617" t="s">
        <v>42509</v>
      </c>
      <c r="N5617" t="s">
        <v>45095</v>
      </c>
      <c r="O5617" t="s">
        <v>45096</v>
      </c>
      <c r="P5617">
        <v>0</v>
      </c>
      <c r="Q5617">
        <v>1</v>
      </c>
      <c r="R5617" t="s">
        <v>45102</v>
      </c>
      <c r="S5617" t="s">
        <v>45242</v>
      </c>
      <c r="T5617" t="s">
        <v>46972</v>
      </c>
      <c r="U5617" t="s">
        <v>52195</v>
      </c>
      <c r="W5617" t="s">
        <v>42509</v>
      </c>
      <c r="X5617" t="s">
        <v>45103</v>
      </c>
    </row>
    <row r="5618" spans="1:24">
      <c r="A5618">
        <f>HYPERLINK("https://www.philgeps.gov.ph/GEPSNONPILOT/Tender/SplashBidNoticeAbstractUI.aspx?menuIndex=3&amp;refID=7039212&amp;Result=3","7039212")</f>
        <v>0</v>
      </c>
      <c r="B5618" t="s">
        <v>1511</v>
      </c>
      <c r="C5618" t="s">
        <v>8564</v>
      </c>
      <c r="E5618" t="s">
        <v>23126</v>
      </c>
      <c r="F5618" t="s">
        <v>31574</v>
      </c>
      <c r="G5618" t="s">
        <v>31581</v>
      </c>
      <c r="H5618" t="s">
        <v>31590</v>
      </c>
      <c r="I5618" t="s">
        <v>31682</v>
      </c>
      <c r="J5618" t="s">
        <v>31727</v>
      </c>
      <c r="K5618" t="s">
        <v>41184</v>
      </c>
      <c r="M5618" t="s">
        <v>43102</v>
      </c>
      <c r="N5618" t="s">
        <v>45095</v>
      </c>
      <c r="O5618" t="s">
        <v>45096</v>
      </c>
      <c r="P5618">
        <v>0</v>
      </c>
      <c r="Q5618">
        <v>15</v>
      </c>
      <c r="R5618" t="s">
        <v>45102</v>
      </c>
      <c r="S5618" t="s">
        <v>45242</v>
      </c>
      <c r="T5618" t="s">
        <v>47077</v>
      </c>
      <c r="U5618" t="s">
        <v>52196</v>
      </c>
      <c r="W5618" t="s">
        <v>43102</v>
      </c>
      <c r="X5618" t="s">
        <v>45103</v>
      </c>
    </row>
    <row r="5619" spans="1:24">
      <c r="A5619">
        <f>HYPERLINK("https://www.philgeps.gov.ph/GEPSNONPILOT/Tender/SplashBidNoticeAbstractUI.aspx?menuIndex=3&amp;refID=7039209&amp;Result=3","7039209")</f>
        <v>0</v>
      </c>
      <c r="B5619" t="s">
        <v>264</v>
      </c>
      <c r="C5619" t="s">
        <v>8565</v>
      </c>
      <c r="D5619" t="s">
        <v>18066</v>
      </c>
      <c r="E5619" t="s">
        <v>23127</v>
      </c>
      <c r="F5619" t="s">
        <v>31574</v>
      </c>
      <c r="G5619" t="s">
        <v>31582</v>
      </c>
      <c r="H5619" t="s">
        <v>31590</v>
      </c>
      <c r="I5619" t="s">
        <v>31633</v>
      </c>
      <c r="J5619" t="s">
        <v>35367</v>
      </c>
      <c r="K5619" t="s">
        <v>41184</v>
      </c>
      <c r="M5619" t="s">
        <v>41750</v>
      </c>
      <c r="N5619" t="s">
        <v>45095</v>
      </c>
      <c r="O5619" t="s">
        <v>45096</v>
      </c>
      <c r="P5619">
        <v>0</v>
      </c>
      <c r="Q5619">
        <v>4</v>
      </c>
      <c r="R5619" t="s">
        <v>45102</v>
      </c>
      <c r="S5619" t="s">
        <v>45242</v>
      </c>
      <c r="T5619" t="s">
        <v>46963</v>
      </c>
      <c r="U5619" t="s">
        <v>52197</v>
      </c>
      <c r="W5619" t="s">
        <v>61674</v>
      </c>
      <c r="X5619" t="s">
        <v>45103</v>
      </c>
    </row>
    <row r="5620" spans="1:24">
      <c r="A5620">
        <f>HYPERLINK("https://www.philgeps.gov.ph/GEPSNONPILOT/Tender/SplashBidNoticeAbstractUI.aspx?menuIndex=3&amp;refID=7039203&amp;Result=3","7039203")</f>
        <v>0</v>
      </c>
      <c r="B5620" t="s">
        <v>264</v>
      </c>
      <c r="C5620" t="s">
        <v>8566</v>
      </c>
      <c r="D5620" t="s">
        <v>18066</v>
      </c>
      <c r="E5620" t="s">
        <v>23128</v>
      </c>
      <c r="F5620" t="s">
        <v>31574</v>
      </c>
      <c r="G5620" t="s">
        <v>31582</v>
      </c>
      <c r="H5620" t="s">
        <v>31590</v>
      </c>
      <c r="I5620" t="s">
        <v>31615</v>
      </c>
      <c r="J5620" t="s">
        <v>34431</v>
      </c>
      <c r="K5620" t="s">
        <v>41184</v>
      </c>
      <c r="M5620" t="s">
        <v>41750</v>
      </c>
      <c r="N5620" t="s">
        <v>45095</v>
      </c>
      <c r="O5620" t="s">
        <v>45096</v>
      </c>
      <c r="P5620">
        <v>0</v>
      </c>
      <c r="Q5620">
        <v>2</v>
      </c>
      <c r="R5620" t="s">
        <v>45102</v>
      </c>
      <c r="S5620" t="s">
        <v>45242</v>
      </c>
      <c r="T5620" t="s">
        <v>46963</v>
      </c>
      <c r="U5620" t="s">
        <v>52198</v>
      </c>
      <c r="W5620" t="s">
        <v>61674</v>
      </c>
      <c r="X5620" t="s">
        <v>45103</v>
      </c>
    </row>
    <row r="5621" spans="1:24">
      <c r="A5621">
        <f>HYPERLINK("https://www.philgeps.gov.ph/GEPSNONPILOT/Tender/SplashBidNoticeAbstractUI.aspx?menuIndex=3&amp;refID=7039202&amp;Result=3","7039202")</f>
        <v>0</v>
      </c>
      <c r="B5621" t="s">
        <v>1688</v>
      </c>
      <c r="C5621" t="s">
        <v>8567</v>
      </c>
      <c r="D5621" t="s">
        <v>18033</v>
      </c>
      <c r="E5621" t="s">
        <v>18230</v>
      </c>
      <c r="F5621" t="s">
        <v>31574</v>
      </c>
      <c r="G5621" t="s">
        <v>31582</v>
      </c>
      <c r="H5621" t="s">
        <v>31590</v>
      </c>
      <c r="I5621" t="s">
        <v>4046</v>
      </c>
      <c r="J5621" t="s">
        <v>35368</v>
      </c>
      <c r="K5621" t="s">
        <v>41196</v>
      </c>
      <c r="M5621" t="s">
        <v>43302</v>
      </c>
      <c r="N5621" t="s">
        <v>45095</v>
      </c>
      <c r="O5621" t="s">
        <v>45096</v>
      </c>
      <c r="P5621">
        <v>0</v>
      </c>
      <c r="Q5621">
        <v>0</v>
      </c>
      <c r="R5621" t="s">
        <v>45102</v>
      </c>
      <c r="S5621" t="s">
        <v>45242</v>
      </c>
      <c r="T5621" t="s">
        <v>47236</v>
      </c>
      <c r="U5621" t="s">
        <v>52199</v>
      </c>
      <c r="W5621" t="s">
        <v>43302</v>
      </c>
      <c r="X5621" t="s">
        <v>45103</v>
      </c>
    </row>
    <row r="5622" spans="1:24">
      <c r="A5622">
        <f>HYPERLINK("https://www.philgeps.gov.ph/GEPSNONPILOT/Tender/SplashBidNoticeAbstractUI.aspx?menuIndex=3&amp;refID=7039220&amp;Result=3","7039220")</f>
        <v>0</v>
      </c>
      <c r="B5622" t="s">
        <v>312</v>
      </c>
      <c r="C5622" t="s">
        <v>8568</v>
      </c>
      <c r="D5622" t="s">
        <v>18024</v>
      </c>
      <c r="E5622" t="s">
        <v>23129</v>
      </c>
      <c r="F5622" t="s">
        <v>31574</v>
      </c>
      <c r="G5622" t="s">
        <v>31581</v>
      </c>
      <c r="H5622" t="s">
        <v>31590</v>
      </c>
      <c r="I5622" t="s">
        <v>4046</v>
      </c>
      <c r="J5622" t="s">
        <v>35248</v>
      </c>
      <c r="K5622" t="s">
        <v>41196</v>
      </c>
      <c r="M5622" t="s">
        <v>41799</v>
      </c>
      <c r="N5622" t="s">
        <v>45095</v>
      </c>
      <c r="O5622" t="s">
        <v>45096</v>
      </c>
      <c r="P5622">
        <v>0</v>
      </c>
      <c r="Q5622">
        <v>0</v>
      </c>
      <c r="R5622" t="s">
        <v>45102</v>
      </c>
      <c r="S5622" t="s">
        <v>45242</v>
      </c>
      <c r="T5622" t="s">
        <v>47183</v>
      </c>
      <c r="U5622" t="s">
        <v>52029</v>
      </c>
      <c r="W5622" t="s">
        <v>41799</v>
      </c>
      <c r="X5622" t="s">
        <v>45103</v>
      </c>
    </row>
    <row r="5623" spans="1:24">
      <c r="A5623">
        <f>HYPERLINK("https://www.philgeps.gov.ph/GEPSNONPILOT/Tender/SplashBidNoticeAbstractUI.aspx?menuIndex=3&amp;refID=7039240&amp;Result=3","7039240")</f>
        <v>0</v>
      </c>
      <c r="B5623" t="s">
        <v>513</v>
      </c>
      <c r="C5623" t="s">
        <v>8569</v>
      </c>
      <c r="D5623" t="s">
        <v>18039</v>
      </c>
      <c r="E5623" t="s">
        <v>23130</v>
      </c>
      <c r="F5623" t="s">
        <v>31574</v>
      </c>
      <c r="G5623" t="s">
        <v>31581</v>
      </c>
      <c r="H5623" t="s">
        <v>31590</v>
      </c>
      <c r="I5623" t="s">
        <v>8569</v>
      </c>
      <c r="J5623" t="s">
        <v>35369</v>
      </c>
      <c r="K5623" t="s">
        <v>41193</v>
      </c>
      <c r="M5623" t="s">
        <v>42009</v>
      </c>
      <c r="N5623" t="s">
        <v>45095</v>
      </c>
      <c r="O5623" t="s">
        <v>45096</v>
      </c>
      <c r="P5623">
        <v>0</v>
      </c>
      <c r="Q5623">
        <v>0</v>
      </c>
      <c r="R5623" t="s">
        <v>45102</v>
      </c>
      <c r="S5623" t="s">
        <v>45242</v>
      </c>
      <c r="T5623" t="s">
        <v>47154</v>
      </c>
      <c r="U5623" t="s">
        <v>48504</v>
      </c>
      <c r="W5623" t="s">
        <v>42009</v>
      </c>
      <c r="X5623" t="s">
        <v>45103</v>
      </c>
    </row>
    <row r="5624" spans="1:24">
      <c r="A5624">
        <f>HYPERLINK("https://www.philgeps.gov.ph/GEPSNONPILOT/Tender/SplashBidNoticeAbstractUI.aspx?menuIndex=3&amp;refID=7039229&amp;Result=3","7039229")</f>
        <v>0</v>
      </c>
      <c r="B5624" t="s">
        <v>149</v>
      </c>
      <c r="C5624" t="s">
        <v>8570</v>
      </c>
      <c r="D5624" t="s">
        <v>18035</v>
      </c>
      <c r="E5624" t="s">
        <v>22924</v>
      </c>
      <c r="F5624" t="s">
        <v>31574</v>
      </c>
      <c r="G5624" t="s">
        <v>31581</v>
      </c>
      <c r="H5624" t="s">
        <v>31590</v>
      </c>
      <c r="I5624" t="s">
        <v>6800</v>
      </c>
      <c r="J5624" t="s">
        <v>35370</v>
      </c>
      <c r="K5624" t="s">
        <v>41193</v>
      </c>
      <c r="M5624" t="s">
        <v>41633</v>
      </c>
      <c r="N5624" t="s">
        <v>45095</v>
      </c>
      <c r="O5624" t="s">
        <v>45096</v>
      </c>
      <c r="P5624">
        <v>0</v>
      </c>
      <c r="Q5624">
        <v>1</v>
      </c>
      <c r="R5624" t="s">
        <v>45102</v>
      </c>
      <c r="S5624" t="s">
        <v>45242</v>
      </c>
      <c r="T5624" t="s">
        <v>47067</v>
      </c>
      <c r="U5624" t="s">
        <v>52200</v>
      </c>
      <c r="W5624" t="s">
        <v>41633</v>
      </c>
      <c r="X5624" t="s">
        <v>45103</v>
      </c>
    </row>
    <row r="5625" spans="1:24">
      <c r="A5625">
        <f>HYPERLINK("https://www.philgeps.gov.ph/GEPSNONPILOT/Tender/SplashBidNoticeAbstractUI.aspx?menuIndex=3&amp;refID=7039227&amp;Result=3","7039227")</f>
        <v>0</v>
      </c>
      <c r="B5625" t="s">
        <v>771</v>
      </c>
      <c r="C5625" t="s">
        <v>8571</v>
      </c>
      <c r="D5625" t="s">
        <v>18050</v>
      </c>
      <c r="E5625" t="s">
        <v>19430</v>
      </c>
      <c r="F5625" t="s">
        <v>31574</v>
      </c>
      <c r="G5625" t="s">
        <v>31581</v>
      </c>
      <c r="H5625" t="s">
        <v>31590</v>
      </c>
      <c r="I5625" t="s">
        <v>31623</v>
      </c>
      <c r="J5625" t="s">
        <v>31727</v>
      </c>
      <c r="K5625" t="s">
        <v>41185</v>
      </c>
      <c r="M5625" t="s">
        <v>42285</v>
      </c>
      <c r="N5625" t="s">
        <v>45095</v>
      </c>
      <c r="O5625" t="s">
        <v>45096</v>
      </c>
      <c r="P5625">
        <v>0</v>
      </c>
      <c r="Q5625">
        <v>0</v>
      </c>
      <c r="R5625" t="s">
        <v>45102</v>
      </c>
      <c r="S5625" t="s">
        <v>45242</v>
      </c>
      <c r="T5625" t="s">
        <v>47064</v>
      </c>
      <c r="U5625" t="s">
        <v>52201</v>
      </c>
      <c r="W5625" t="s">
        <v>42285</v>
      </c>
      <c r="X5625" t="s">
        <v>45103</v>
      </c>
    </row>
    <row r="5626" spans="1:24">
      <c r="A5626">
        <f>HYPERLINK("https://www.philgeps.gov.ph/GEPSNONPILOT/Tender/SplashBidNoticeAbstractUI.aspx?menuIndex=3&amp;refID=7039232&amp;Result=3","7039232")</f>
        <v>0</v>
      </c>
      <c r="B5626" t="s">
        <v>1822</v>
      </c>
      <c r="C5626" t="s">
        <v>8572</v>
      </c>
      <c r="D5626" t="s">
        <v>18099</v>
      </c>
      <c r="E5626" t="s">
        <v>23131</v>
      </c>
      <c r="F5626" t="s">
        <v>31574</v>
      </c>
      <c r="G5626" t="s">
        <v>31582</v>
      </c>
      <c r="H5626" t="s">
        <v>31591</v>
      </c>
      <c r="I5626" t="s">
        <v>31627</v>
      </c>
      <c r="J5626" t="s">
        <v>31947</v>
      </c>
      <c r="K5626" t="s">
        <v>41287</v>
      </c>
      <c r="M5626" t="s">
        <v>43457</v>
      </c>
      <c r="N5626" t="s">
        <v>45095</v>
      </c>
      <c r="O5626" t="s">
        <v>45096</v>
      </c>
      <c r="P5626">
        <v>0</v>
      </c>
      <c r="Q5626">
        <v>0</v>
      </c>
      <c r="R5626" t="s">
        <v>45102</v>
      </c>
      <c r="S5626" t="s">
        <v>45242</v>
      </c>
      <c r="T5626" t="s">
        <v>46937</v>
      </c>
      <c r="U5626" t="s">
        <v>52190</v>
      </c>
      <c r="W5626" t="s">
        <v>43457</v>
      </c>
      <c r="X5626" t="s">
        <v>45103</v>
      </c>
    </row>
    <row r="5627" spans="1:24">
      <c r="A5627">
        <f>HYPERLINK("https://www.philgeps.gov.ph/GEPSNONPILOT/Tender/SplashBidNoticeAbstractUI.aspx?menuIndex=3&amp;refID=7039245&amp;Result=3","7039245")</f>
        <v>0</v>
      </c>
      <c r="B5627" t="s">
        <v>75</v>
      </c>
      <c r="C5627" t="s">
        <v>8573</v>
      </c>
      <c r="D5627" t="s">
        <v>18054</v>
      </c>
      <c r="E5627" t="s">
        <v>23132</v>
      </c>
      <c r="F5627" t="s">
        <v>31574</v>
      </c>
      <c r="G5627" t="s">
        <v>31582</v>
      </c>
      <c r="H5627" t="s">
        <v>31590</v>
      </c>
      <c r="I5627" t="s">
        <v>8258</v>
      </c>
      <c r="J5627" t="s">
        <v>35371</v>
      </c>
      <c r="K5627" t="s">
        <v>41186</v>
      </c>
      <c r="M5627" t="s">
        <v>41559</v>
      </c>
      <c r="N5627" t="s">
        <v>45095</v>
      </c>
      <c r="O5627" t="s">
        <v>45096</v>
      </c>
      <c r="P5627">
        <v>0</v>
      </c>
      <c r="Q5627">
        <v>3</v>
      </c>
      <c r="R5627" t="s">
        <v>45102</v>
      </c>
      <c r="S5627" t="s">
        <v>45242</v>
      </c>
      <c r="T5627" t="s">
        <v>46988</v>
      </c>
      <c r="U5627" t="s">
        <v>52202</v>
      </c>
      <c r="W5627" t="s">
        <v>41559</v>
      </c>
      <c r="X5627" t="s">
        <v>45103</v>
      </c>
    </row>
    <row r="5628" spans="1:24">
      <c r="A5628">
        <f>HYPERLINK("https://www.philgeps.gov.ph/GEPSNONPILOT/Tender/SplashBidNoticeAbstractUI.aspx?menuIndex=3&amp;refID=7039223&amp;Result=3","7039223")</f>
        <v>0</v>
      </c>
      <c r="B5628" t="s">
        <v>1826</v>
      </c>
      <c r="C5628" t="s">
        <v>8574</v>
      </c>
      <c r="D5628" t="s">
        <v>18027</v>
      </c>
      <c r="E5628" t="s">
        <v>23133</v>
      </c>
      <c r="F5628" t="s">
        <v>31574</v>
      </c>
      <c r="G5628" t="s">
        <v>31582</v>
      </c>
      <c r="H5628" t="s">
        <v>31591</v>
      </c>
      <c r="I5628" t="s">
        <v>8822</v>
      </c>
      <c r="J5628" t="s">
        <v>31964</v>
      </c>
      <c r="K5628" t="s">
        <v>41196</v>
      </c>
      <c r="M5628" t="s">
        <v>43461</v>
      </c>
      <c r="N5628" t="s">
        <v>45095</v>
      </c>
      <c r="O5628" t="s">
        <v>45096</v>
      </c>
      <c r="P5628">
        <v>0</v>
      </c>
      <c r="Q5628">
        <v>0</v>
      </c>
      <c r="R5628" t="s">
        <v>45102</v>
      </c>
      <c r="S5628" t="s">
        <v>45242</v>
      </c>
      <c r="T5628" t="s">
        <v>46973</v>
      </c>
      <c r="U5628" t="s">
        <v>52203</v>
      </c>
      <c r="V5628" t="s">
        <v>60445</v>
      </c>
      <c r="W5628" t="s">
        <v>43461</v>
      </c>
      <c r="X5628" t="s">
        <v>45103</v>
      </c>
    </row>
    <row r="5629" spans="1:24">
      <c r="A5629">
        <f>HYPERLINK("https://www.philgeps.gov.ph/GEPSNONPILOT/Tender/SplashBidNoticeAbstractUI.aspx?menuIndex=3&amp;refID=7039259&amp;Result=3","7039259")</f>
        <v>0</v>
      </c>
      <c r="B5629" t="s">
        <v>1824</v>
      </c>
      <c r="C5629" t="s">
        <v>8575</v>
      </c>
      <c r="D5629" t="s">
        <v>18084</v>
      </c>
      <c r="E5629" t="s">
        <v>4987</v>
      </c>
      <c r="F5629" t="s">
        <v>31574</v>
      </c>
      <c r="G5629" t="s">
        <v>31582</v>
      </c>
      <c r="H5629" t="s">
        <v>31591</v>
      </c>
      <c r="I5629" t="s">
        <v>4046</v>
      </c>
      <c r="J5629" t="s">
        <v>31724</v>
      </c>
      <c r="K5629" t="s">
        <v>41186</v>
      </c>
      <c r="M5629" t="s">
        <v>43459</v>
      </c>
      <c r="N5629" t="s">
        <v>45095</v>
      </c>
      <c r="O5629" t="s">
        <v>45096</v>
      </c>
      <c r="P5629">
        <v>0</v>
      </c>
      <c r="Q5629">
        <v>0</v>
      </c>
      <c r="R5629" t="s">
        <v>45102</v>
      </c>
      <c r="S5629" t="s">
        <v>45242</v>
      </c>
      <c r="T5629" t="s">
        <v>47070</v>
      </c>
      <c r="U5629" t="s">
        <v>52204</v>
      </c>
      <c r="V5629" t="s">
        <v>60444</v>
      </c>
      <c r="W5629" t="s">
        <v>43459</v>
      </c>
      <c r="X5629" t="s">
        <v>45103</v>
      </c>
    </row>
    <row r="5630" spans="1:24">
      <c r="A5630">
        <f>HYPERLINK("https://www.philgeps.gov.ph/GEPSNONPILOT/Tender/SplashBidNoticeAbstractUI.aspx?menuIndex=3&amp;refID=7039225&amp;Result=3","7039225")</f>
        <v>0</v>
      </c>
      <c r="B5630" t="s">
        <v>264</v>
      </c>
      <c r="C5630" t="s">
        <v>8576</v>
      </c>
      <c r="D5630" t="s">
        <v>18066</v>
      </c>
      <c r="E5630" t="s">
        <v>23134</v>
      </c>
      <c r="F5630" t="s">
        <v>31574</v>
      </c>
      <c r="G5630" t="s">
        <v>31582</v>
      </c>
      <c r="H5630" t="s">
        <v>31590</v>
      </c>
      <c r="I5630" t="s">
        <v>31629</v>
      </c>
      <c r="J5630" t="s">
        <v>35372</v>
      </c>
      <c r="K5630" t="s">
        <v>41184</v>
      </c>
      <c r="M5630" t="s">
        <v>41750</v>
      </c>
      <c r="N5630" t="s">
        <v>45095</v>
      </c>
      <c r="O5630" t="s">
        <v>45096</v>
      </c>
      <c r="P5630">
        <v>0</v>
      </c>
      <c r="Q5630">
        <v>0</v>
      </c>
      <c r="R5630" t="s">
        <v>45102</v>
      </c>
      <c r="S5630" t="s">
        <v>45242</v>
      </c>
      <c r="T5630" t="s">
        <v>46963</v>
      </c>
      <c r="U5630" t="s">
        <v>52205</v>
      </c>
      <c r="W5630" t="s">
        <v>61674</v>
      </c>
      <c r="X5630" t="s">
        <v>45103</v>
      </c>
    </row>
    <row r="5631" spans="1:24">
      <c r="A5631">
        <f>HYPERLINK("https://www.philgeps.gov.ph/GEPSNONPILOT/Tender/SplashBidNoticeAbstractUI.aspx?menuIndex=3&amp;refID=7039257&amp;Result=3","7039257")</f>
        <v>0</v>
      </c>
      <c r="B5631" t="s">
        <v>264</v>
      </c>
      <c r="C5631" t="s">
        <v>8577</v>
      </c>
      <c r="D5631" t="s">
        <v>18066</v>
      </c>
      <c r="E5631" t="s">
        <v>23135</v>
      </c>
      <c r="F5631" t="s">
        <v>31574</v>
      </c>
      <c r="G5631" t="s">
        <v>31582</v>
      </c>
      <c r="H5631" t="s">
        <v>31590</v>
      </c>
      <c r="I5631" t="s">
        <v>31633</v>
      </c>
      <c r="J5631" t="s">
        <v>35373</v>
      </c>
      <c r="K5631" t="s">
        <v>41184</v>
      </c>
      <c r="M5631" t="s">
        <v>41750</v>
      </c>
      <c r="N5631" t="s">
        <v>45095</v>
      </c>
      <c r="O5631" t="s">
        <v>45096</v>
      </c>
      <c r="P5631">
        <v>0</v>
      </c>
      <c r="Q5631">
        <v>4</v>
      </c>
      <c r="R5631" t="s">
        <v>45102</v>
      </c>
      <c r="S5631" t="s">
        <v>45242</v>
      </c>
      <c r="T5631" t="s">
        <v>46963</v>
      </c>
      <c r="U5631" t="s">
        <v>52206</v>
      </c>
      <c r="W5631" t="s">
        <v>61674</v>
      </c>
      <c r="X5631" t="s">
        <v>45103</v>
      </c>
    </row>
    <row r="5632" spans="1:24">
      <c r="A5632">
        <f>HYPERLINK("https://www.philgeps.gov.ph/GEPSNONPILOT/Tender/SplashBidNoticeAbstractUI.aspx?menuIndex=3&amp;refID=7039250&amp;Result=3","7039250")</f>
        <v>0</v>
      </c>
      <c r="B5632" t="s">
        <v>264</v>
      </c>
      <c r="C5632" t="s">
        <v>8578</v>
      </c>
      <c r="D5632" t="s">
        <v>18066</v>
      </c>
      <c r="E5632" t="s">
        <v>18393</v>
      </c>
      <c r="F5632" t="s">
        <v>31574</v>
      </c>
      <c r="G5632" t="s">
        <v>31582</v>
      </c>
      <c r="H5632" t="s">
        <v>31590</v>
      </c>
      <c r="I5632" t="s">
        <v>31629</v>
      </c>
      <c r="J5632" t="s">
        <v>35374</v>
      </c>
      <c r="K5632" t="s">
        <v>41184</v>
      </c>
      <c r="M5632" t="s">
        <v>41750</v>
      </c>
      <c r="N5632" t="s">
        <v>45095</v>
      </c>
      <c r="O5632" t="s">
        <v>45096</v>
      </c>
      <c r="P5632">
        <v>0</v>
      </c>
      <c r="Q5632">
        <v>0</v>
      </c>
      <c r="R5632" t="s">
        <v>45102</v>
      </c>
      <c r="S5632" t="s">
        <v>45242</v>
      </c>
      <c r="T5632" t="s">
        <v>46963</v>
      </c>
      <c r="U5632" t="s">
        <v>52207</v>
      </c>
      <c r="W5632" t="s">
        <v>61674</v>
      </c>
      <c r="X5632" t="s">
        <v>45103</v>
      </c>
    </row>
    <row r="5633" spans="1:24">
      <c r="A5633">
        <f>HYPERLINK("https://www.philgeps.gov.ph/GEPSNONPILOT/Tender/SplashBidNoticeAbstractUI.aspx?menuIndex=3&amp;refID=7039252&amp;Result=3","7039252")</f>
        <v>0</v>
      </c>
      <c r="B5633" t="s">
        <v>227</v>
      </c>
      <c r="C5633" t="s">
        <v>8579</v>
      </c>
      <c r="E5633" t="s">
        <v>23136</v>
      </c>
      <c r="F5633" t="s">
        <v>31574</v>
      </c>
      <c r="G5633" t="s">
        <v>31582</v>
      </c>
      <c r="H5633" t="s">
        <v>31591</v>
      </c>
      <c r="I5633" t="s">
        <v>8822</v>
      </c>
      <c r="J5633" t="s">
        <v>35375</v>
      </c>
      <c r="K5633" t="s">
        <v>41304</v>
      </c>
      <c r="M5633" t="s">
        <v>43462</v>
      </c>
      <c r="N5633" t="s">
        <v>45095</v>
      </c>
      <c r="O5633" t="s">
        <v>45096</v>
      </c>
      <c r="P5633">
        <v>0</v>
      </c>
      <c r="Q5633">
        <v>1</v>
      </c>
      <c r="R5633" t="s">
        <v>45102</v>
      </c>
      <c r="S5633" t="s">
        <v>45242</v>
      </c>
      <c r="T5633" t="s">
        <v>47196</v>
      </c>
      <c r="U5633" t="s">
        <v>52208</v>
      </c>
      <c r="W5633" t="s">
        <v>43462</v>
      </c>
      <c r="X5633" t="s">
        <v>45103</v>
      </c>
    </row>
    <row r="5634" spans="1:24">
      <c r="A5634">
        <f>HYPERLINK("https://www.philgeps.gov.ph/GEPSNONPILOT/Tender/SplashBidNoticeAbstractUI.aspx?menuIndex=3&amp;refID=7039249&amp;Result=3","7039249")</f>
        <v>0</v>
      </c>
      <c r="B5634" t="s">
        <v>1819</v>
      </c>
      <c r="C5634" t="s">
        <v>8580</v>
      </c>
      <c r="D5634" t="s">
        <v>18027</v>
      </c>
      <c r="E5634" t="s">
        <v>23137</v>
      </c>
      <c r="F5634" t="s">
        <v>31574</v>
      </c>
      <c r="G5634" t="s">
        <v>31582</v>
      </c>
      <c r="H5634" t="s">
        <v>31591</v>
      </c>
      <c r="I5634" t="s">
        <v>8822</v>
      </c>
      <c r="J5634" t="s">
        <v>34725</v>
      </c>
      <c r="K5634" t="s">
        <v>41200</v>
      </c>
      <c r="L5634" t="s">
        <v>1819</v>
      </c>
      <c r="M5634" t="s">
        <v>43454</v>
      </c>
      <c r="N5634" t="s">
        <v>45095</v>
      </c>
      <c r="O5634" t="s">
        <v>45096</v>
      </c>
      <c r="P5634">
        <v>0</v>
      </c>
      <c r="Q5634">
        <v>0</v>
      </c>
      <c r="R5634" t="s">
        <v>45102</v>
      </c>
      <c r="S5634" t="s">
        <v>45242</v>
      </c>
      <c r="T5634" t="s">
        <v>47190</v>
      </c>
      <c r="U5634" t="s">
        <v>52180</v>
      </c>
      <c r="W5634" t="s">
        <v>43454</v>
      </c>
      <c r="X5634" t="s">
        <v>45103</v>
      </c>
    </row>
    <row r="5635" spans="1:24">
      <c r="A5635">
        <f>HYPERLINK("https://www.philgeps.gov.ph/GEPSNONPILOT/Tender/SplashBidNoticeAbstractUI.aspx?menuIndex=3&amp;refID=7039258&amp;Result=3","7039258")</f>
        <v>0</v>
      </c>
      <c r="B5635" t="s">
        <v>1819</v>
      </c>
      <c r="C5635" t="s">
        <v>8581</v>
      </c>
      <c r="D5635" t="s">
        <v>18027</v>
      </c>
      <c r="E5635" t="s">
        <v>23138</v>
      </c>
      <c r="F5635" t="s">
        <v>31574</v>
      </c>
      <c r="G5635" t="s">
        <v>31582</v>
      </c>
      <c r="H5635" t="s">
        <v>31591</v>
      </c>
      <c r="I5635" t="s">
        <v>8822</v>
      </c>
      <c r="J5635" t="s">
        <v>35376</v>
      </c>
      <c r="K5635" t="s">
        <v>41217</v>
      </c>
      <c r="L5635" t="s">
        <v>1819</v>
      </c>
      <c r="M5635" t="s">
        <v>43454</v>
      </c>
      <c r="N5635" t="s">
        <v>45095</v>
      </c>
      <c r="O5635" t="s">
        <v>45096</v>
      </c>
      <c r="P5635">
        <v>0</v>
      </c>
      <c r="Q5635">
        <v>0</v>
      </c>
      <c r="R5635" t="s">
        <v>45102</v>
      </c>
      <c r="S5635" t="s">
        <v>45242</v>
      </c>
      <c r="T5635" t="s">
        <v>47190</v>
      </c>
      <c r="U5635" t="s">
        <v>52180</v>
      </c>
      <c r="W5635" t="s">
        <v>43454</v>
      </c>
      <c r="X5635" t="s">
        <v>45103</v>
      </c>
    </row>
    <row r="5636" spans="1:24">
      <c r="A5636">
        <f>HYPERLINK("https://www.philgeps.gov.ph/GEPSNONPILOT/Tender/SplashBidNoticeAbstractUI.aspx?menuIndex=3&amp;refID=7039274&amp;Result=3","7039274")</f>
        <v>0</v>
      </c>
      <c r="B5636" t="s">
        <v>264</v>
      </c>
      <c r="C5636" t="s">
        <v>8582</v>
      </c>
      <c r="D5636" t="s">
        <v>18066</v>
      </c>
      <c r="E5636" t="s">
        <v>23139</v>
      </c>
      <c r="F5636" t="s">
        <v>31574</v>
      </c>
      <c r="G5636" t="s">
        <v>31582</v>
      </c>
      <c r="H5636" t="s">
        <v>31590</v>
      </c>
      <c r="I5636" t="s">
        <v>3487</v>
      </c>
      <c r="J5636" t="s">
        <v>35377</v>
      </c>
      <c r="K5636" t="s">
        <v>41184</v>
      </c>
      <c r="M5636" t="s">
        <v>41750</v>
      </c>
      <c r="N5636" t="s">
        <v>45095</v>
      </c>
      <c r="O5636" t="s">
        <v>45096</v>
      </c>
      <c r="Q5636">
        <v>1</v>
      </c>
      <c r="R5636" t="s">
        <v>45102</v>
      </c>
      <c r="S5636" t="s">
        <v>45257</v>
      </c>
      <c r="T5636" t="s">
        <v>46963</v>
      </c>
      <c r="U5636" t="s">
        <v>52209</v>
      </c>
      <c r="W5636" t="s">
        <v>61674</v>
      </c>
      <c r="X5636" t="s">
        <v>45103</v>
      </c>
    </row>
    <row r="5637" spans="1:24">
      <c r="A5637">
        <f>HYPERLINK("https://www.philgeps.gov.ph/GEPSNONPILOT/Tender/SplashBidNoticeAbstractUI.aspx?menuIndex=3&amp;refID=7039241&amp;Result=3","7039241")</f>
        <v>0</v>
      </c>
      <c r="B5637" t="s">
        <v>1783</v>
      </c>
      <c r="C5637" t="s">
        <v>8583</v>
      </c>
      <c r="D5637" t="s">
        <v>18056</v>
      </c>
      <c r="E5637" t="s">
        <v>23140</v>
      </c>
      <c r="F5637" t="s">
        <v>31574</v>
      </c>
      <c r="G5637" t="s">
        <v>31586</v>
      </c>
      <c r="H5637" t="s">
        <v>31590</v>
      </c>
      <c r="I5637" t="s">
        <v>4327</v>
      </c>
      <c r="J5637" t="s">
        <v>32334</v>
      </c>
      <c r="K5637" t="s">
        <v>41190</v>
      </c>
      <c r="M5637" t="s">
        <v>43413</v>
      </c>
      <c r="N5637" t="s">
        <v>45095</v>
      </c>
      <c r="O5637" t="s">
        <v>45096</v>
      </c>
      <c r="P5637">
        <v>0</v>
      </c>
      <c r="Q5637">
        <v>0</v>
      </c>
      <c r="R5637" t="s">
        <v>45102</v>
      </c>
      <c r="S5637" t="s">
        <v>45242</v>
      </c>
      <c r="T5637" t="s">
        <v>47164</v>
      </c>
      <c r="U5637" t="s">
        <v>52055</v>
      </c>
      <c r="W5637" t="s">
        <v>43413</v>
      </c>
      <c r="X5637" t="s">
        <v>45103</v>
      </c>
    </row>
    <row r="5638" spans="1:24">
      <c r="A5638">
        <f>HYPERLINK("https://www.philgeps.gov.ph/GEPSNONPILOT/Tender/SplashBidNoticeAbstractUI.aspx?menuIndex=3&amp;refID=7039261&amp;Result=3","7039261")</f>
        <v>0</v>
      </c>
      <c r="B5638" t="s">
        <v>312</v>
      </c>
      <c r="C5638" t="s">
        <v>8584</v>
      </c>
      <c r="D5638" t="s">
        <v>18024</v>
      </c>
      <c r="E5638" t="s">
        <v>23141</v>
      </c>
      <c r="F5638" t="s">
        <v>31574</v>
      </c>
      <c r="G5638" t="s">
        <v>31581</v>
      </c>
      <c r="H5638" t="s">
        <v>31590</v>
      </c>
      <c r="I5638" t="s">
        <v>4046</v>
      </c>
      <c r="J5638" t="s">
        <v>35248</v>
      </c>
      <c r="K5638" t="s">
        <v>41196</v>
      </c>
      <c r="M5638" t="s">
        <v>41799</v>
      </c>
      <c r="N5638" t="s">
        <v>45095</v>
      </c>
      <c r="O5638" t="s">
        <v>45096</v>
      </c>
      <c r="P5638">
        <v>0</v>
      </c>
      <c r="Q5638">
        <v>0</v>
      </c>
      <c r="R5638" t="s">
        <v>45102</v>
      </c>
      <c r="S5638" t="s">
        <v>45242</v>
      </c>
      <c r="T5638" t="s">
        <v>47183</v>
      </c>
      <c r="U5638" t="s">
        <v>52029</v>
      </c>
      <c r="W5638" t="s">
        <v>41799</v>
      </c>
      <c r="X5638" t="s">
        <v>45103</v>
      </c>
    </row>
    <row r="5639" spans="1:24">
      <c r="A5639">
        <f>HYPERLINK("https://www.philgeps.gov.ph/GEPSNONPILOT/Tender/SplashBidNoticeAbstractUI.aspx?menuIndex=3&amp;refID=7039272&amp;Result=3","7039272")</f>
        <v>0</v>
      </c>
      <c r="B5639" t="s">
        <v>296</v>
      </c>
      <c r="C5639" t="s">
        <v>8585</v>
      </c>
      <c r="D5639" t="s">
        <v>18040</v>
      </c>
      <c r="E5639" t="s">
        <v>23142</v>
      </c>
      <c r="F5639" t="s">
        <v>31574</v>
      </c>
      <c r="G5639" t="s">
        <v>31582</v>
      </c>
      <c r="H5639" t="s">
        <v>31590</v>
      </c>
      <c r="I5639" t="s">
        <v>31612</v>
      </c>
      <c r="J5639" t="s">
        <v>31947</v>
      </c>
      <c r="K5639" t="s">
        <v>41213</v>
      </c>
      <c r="M5639" t="s">
        <v>41782</v>
      </c>
      <c r="N5639" t="s">
        <v>45095</v>
      </c>
      <c r="O5639" t="s">
        <v>45096</v>
      </c>
      <c r="P5639">
        <v>0</v>
      </c>
      <c r="Q5639">
        <v>1</v>
      </c>
      <c r="R5639" t="s">
        <v>45102</v>
      </c>
      <c r="S5639" t="s">
        <v>45242</v>
      </c>
      <c r="T5639" t="s">
        <v>46918</v>
      </c>
      <c r="U5639" t="s">
        <v>52210</v>
      </c>
      <c r="V5639" t="s">
        <v>60446</v>
      </c>
      <c r="W5639" t="s">
        <v>41782</v>
      </c>
      <c r="X5639" t="s">
        <v>45103</v>
      </c>
    </row>
    <row r="5640" spans="1:24">
      <c r="A5640">
        <f>HYPERLINK("https://www.philgeps.gov.ph/GEPSNONPILOT/Tender/SplashBidNoticeAbstractUI.aspx?menuIndex=3&amp;refID=7039271&amp;Result=3","7039271")</f>
        <v>0</v>
      </c>
      <c r="B5640" t="s">
        <v>1827</v>
      </c>
      <c r="C5640" t="s">
        <v>8586</v>
      </c>
      <c r="D5640" t="s">
        <v>18028</v>
      </c>
      <c r="E5640" t="s">
        <v>22763</v>
      </c>
      <c r="F5640" t="s">
        <v>31574</v>
      </c>
      <c r="G5640" t="s">
        <v>31582</v>
      </c>
      <c r="H5640" t="s">
        <v>31590</v>
      </c>
      <c r="I5640" t="s">
        <v>3487</v>
      </c>
      <c r="J5640" t="s">
        <v>32076</v>
      </c>
      <c r="K5640" t="s">
        <v>41184</v>
      </c>
      <c r="M5640" t="s">
        <v>43463</v>
      </c>
      <c r="N5640" t="s">
        <v>45095</v>
      </c>
      <c r="O5640" t="s">
        <v>45096</v>
      </c>
      <c r="P5640">
        <v>0</v>
      </c>
      <c r="Q5640">
        <v>0</v>
      </c>
      <c r="R5640" t="s">
        <v>45102</v>
      </c>
      <c r="S5640" t="s">
        <v>45242</v>
      </c>
      <c r="T5640" t="s">
        <v>46982</v>
      </c>
      <c r="U5640" t="s">
        <v>52211</v>
      </c>
      <c r="V5640" t="s">
        <v>60447</v>
      </c>
      <c r="W5640" t="s">
        <v>43463</v>
      </c>
      <c r="X5640" t="s">
        <v>45103</v>
      </c>
    </row>
    <row r="5641" spans="1:24">
      <c r="A5641">
        <f>HYPERLINK("https://www.philgeps.gov.ph/GEPSNONPILOT/Tender/SplashBidNoticeAbstractUI.aspx?menuIndex=3&amp;refID=7039248&amp;Result=3","7039248")</f>
        <v>0</v>
      </c>
      <c r="B5641" t="s">
        <v>1828</v>
      </c>
      <c r="C5641" t="s">
        <v>8587</v>
      </c>
      <c r="D5641" t="s">
        <v>18084</v>
      </c>
      <c r="E5641" t="s">
        <v>23143</v>
      </c>
      <c r="F5641" t="s">
        <v>31574</v>
      </c>
      <c r="G5641" t="s">
        <v>31588</v>
      </c>
      <c r="H5641" t="s">
        <v>31590</v>
      </c>
      <c r="I5641" t="s">
        <v>3487</v>
      </c>
      <c r="J5641" t="s">
        <v>32192</v>
      </c>
      <c r="K5641" t="s">
        <v>41213</v>
      </c>
      <c r="M5641" t="s">
        <v>43464</v>
      </c>
      <c r="N5641" t="s">
        <v>45095</v>
      </c>
      <c r="O5641" t="s">
        <v>45096</v>
      </c>
      <c r="P5641">
        <v>0</v>
      </c>
      <c r="Q5641">
        <v>3</v>
      </c>
      <c r="R5641" t="s">
        <v>45102</v>
      </c>
      <c r="S5641" t="s">
        <v>45242</v>
      </c>
      <c r="T5641" t="s">
        <v>47106</v>
      </c>
      <c r="U5641" t="s">
        <v>52212</v>
      </c>
      <c r="W5641" t="s">
        <v>43464</v>
      </c>
      <c r="X5641" t="s">
        <v>45103</v>
      </c>
    </row>
    <row r="5642" spans="1:24">
      <c r="A5642">
        <f>HYPERLINK("https://www.philgeps.gov.ph/GEPSNONPILOT/Tender/SplashBidNoticeAbstractUI.aspx?menuIndex=3&amp;refID=7039268&amp;Result=3","7039268")</f>
        <v>0</v>
      </c>
      <c r="B5642" t="s">
        <v>1828</v>
      </c>
      <c r="C5642" t="s">
        <v>8588</v>
      </c>
      <c r="D5642" t="s">
        <v>18084</v>
      </c>
      <c r="E5642" t="s">
        <v>23144</v>
      </c>
      <c r="F5642" t="s">
        <v>31574</v>
      </c>
      <c r="G5642" t="s">
        <v>31581</v>
      </c>
      <c r="H5642" t="s">
        <v>31590</v>
      </c>
      <c r="I5642" t="s">
        <v>3487</v>
      </c>
      <c r="J5642" t="s">
        <v>31741</v>
      </c>
      <c r="K5642" t="s">
        <v>41213</v>
      </c>
      <c r="M5642" t="s">
        <v>43464</v>
      </c>
      <c r="N5642" t="s">
        <v>45095</v>
      </c>
      <c r="O5642" t="s">
        <v>45096</v>
      </c>
      <c r="P5642">
        <v>0</v>
      </c>
      <c r="Q5642">
        <v>3</v>
      </c>
      <c r="R5642" t="s">
        <v>45102</v>
      </c>
      <c r="S5642" t="s">
        <v>45242</v>
      </c>
      <c r="T5642" t="s">
        <v>47106</v>
      </c>
      <c r="U5642" t="s">
        <v>52213</v>
      </c>
      <c r="W5642" t="s">
        <v>43464</v>
      </c>
      <c r="X5642" t="s">
        <v>45103</v>
      </c>
    </row>
    <row r="5643" spans="1:24">
      <c r="A5643">
        <f>HYPERLINK("https://www.philgeps.gov.ph/GEPSNONPILOT/Tender/SplashBidNoticeAbstractUI.aspx?menuIndex=3&amp;refID=7039286&amp;Result=3","7039286")</f>
        <v>0</v>
      </c>
      <c r="B5643" t="s">
        <v>554</v>
      </c>
      <c r="C5643" t="s">
        <v>8589</v>
      </c>
      <c r="D5643" t="s">
        <v>18072</v>
      </c>
      <c r="E5643" t="s">
        <v>23145</v>
      </c>
      <c r="F5643" t="s">
        <v>31574</v>
      </c>
      <c r="G5643" t="s">
        <v>31582</v>
      </c>
      <c r="H5643" t="s">
        <v>31590</v>
      </c>
      <c r="I5643" t="s">
        <v>31607</v>
      </c>
      <c r="J5643" t="s">
        <v>35378</v>
      </c>
      <c r="K5643" t="s">
        <v>41190</v>
      </c>
      <c r="L5643" t="s">
        <v>554</v>
      </c>
      <c r="M5643" t="s">
        <v>42051</v>
      </c>
      <c r="N5643" t="s">
        <v>45095</v>
      </c>
      <c r="O5643" t="s">
        <v>45096</v>
      </c>
      <c r="P5643">
        <v>0</v>
      </c>
      <c r="Q5643">
        <v>0</v>
      </c>
      <c r="R5643" t="s">
        <v>45102</v>
      </c>
      <c r="S5643" t="s">
        <v>45242</v>
      </c>
      <c r="T5643" t="s">
        <v>46991</v>
      </c>
      <c r="U5643" t="s">
        <v>48589</v>
      </c>
      <c r="V5643" t="s">
        <v>60448</v>
      </c>
      <c r="W5643" t="s">
        <v>42051</v>
      </c>
      <c r="X5643" t="s">
        <v>45103</v>
      </c>
    </row>
    <row r="5644" spans="1:24">
      <c r="A5644">
        <f>HYPERLINK("https://www.philgeps.gov.ph/GEPSNONPILOT/Tender/SplashBidNoticeAbstractUI.aspx?menuIndex=3&amp;refID=7039285&amp;Result=3","7039285")</f>
        <v>0</v>
      </c>
      <c r="B5644" t="s">
        <v>264</v>
      </c>
      <c r="C5644" t="s">
        <v>8590</v>
      </c>
      <c r="D5644" t="s">
        <v>18066</v>
      </c>
      <c r="E5644" t="s">
        <v>23146</v>
      </c>
      <c r="F5644" t="s">
        <v>31574</v>
      </c>
      <c r="G5644" t="s">
        <v>31582</v>
      </c>
      <c r="H5644" t="s">
        <v>31590</v>
      </c>
      <c r="I5644" t="s">
        <v>3539</v>
      </c>
      <c r="J5644" t="s">
        <v>32013</v>
      </c>
      <c r="K5644" t="s">
        <v>41184</v>
      </c>
      <c r="M5644" t="s">
        <v>41750</v>
      </c>
      <c r="N5644" t="s">
        <v>45095</v>
      </c>
      <c r="O5644" t="s">
        <v>45096</v>
      </c>
      <c r="P5644">
        <v>0</v>
      </c>
      <c r="Q5644">
        <v>0</v>
      </c>
      <c r="R5644" t="s">
        <v>45102</v>
      </c>
      <c r="S5644" t="s">
        <v>45242</v>
      </c>
      <c r="T5644" t="s">
        <v>46963</v>
      </c>
      <c r="U5644" t="s">
        <v>52214</v>
      </c>
      <c r="W5644" t="s">
        <v>61674</v>
      </c>
      <c r="X5644" t="s">
        <v>45103</v>
      </c>
    </row>
    <row r="5645" spans="1:24">
      <c r="A5645">
        <f>HYPERLINK("https://www.philgeps.gov.ph/GEPSNONPILOT/Tender/SplashBidNoticeAbstractUI.aspx?menuIndex=3&amp;refID=7039238&amp;Result=3","7039238")</f>
        <v>0</v>
      </c>
      <c r="B5645" t="s">
        <v>1819</v>
      </c>
      <c r="C5645" t="s">
        <v>8591</v>
      </c>
      <c r="D5645" t="s">
        <v>18027</v>
      </c>
      <c r="E5645" t="s">
        <v>23147</v>
      </c>
      <c r="F5645" t="s">
        <v>31574</v>
      </c>
      <c r="G5645" t="s">
        <v>31582</v>
      </c>
      <c r="H5645" t="s">
        <v>31591</v>
      </c>
      <c r="I5645" t="s">
        <v>8822</v>
      </c>
      <c r="J5645" t="s">
        <v>34113</v>
      </c>
      <c r="K5645" t="s">
        <v>41185</v>
      </c>
      <c r="L5645" t="s">
        <v>1819</v>
      </c>
      <c r="M5645" t="s">
        <v>43454</v>
      </c>
      <c r="N5645" t="s">
        <v>45095</v>
      </c>
      <c r="O5645" t="s">
        <v>45096</v>
      </c>
      <c r="P5645">
        <v>0</v>
      </c>
      <c r="Q5645">
        <v>0</v>
      </c>
      <c r="R5645" t="s">
        <v>45102</v>
      </c>
      <c r="S5645" t="s">
        <v>45242</v>
      </c>
      <c r="T5645" t="s">
        <v>47190</v>
      </c>
      <c r="U5645" t="s">
        <v>52180</v>
      </c>
      <c r="W5645" t="s">
        <v>43454</v>
      </c>
      <c r="X5645" t="s">
        <v>45103</v>
      </c>
    </row>
    <row r="5646" spans="1:24">
      <c r="A5646">
        <f>HYPERLINK("https://www.philgeps.gov.ph/GEPSNONPILOT/Tender/SplashBidNoticeAbstractUI.aspx?menuIndex=3&amp;refID=7039282&amp;Result=3","7039282")</f>
        <v>0</v>
      </c>
      <c r="B5646" t="s">
        <v>149</v>
      </c>
      <c r="C5646" t="s">
        <v>8570</v>
      </c>
      <c r="D5646" t="s">
        <v>18035</v>
      </c>
      <c r="E5646" t="s">
        <v>23019</v>
      </c>
      <c r="F5646" t="s">
        <v>31574</v>
      </c>
      <c r="G5646" t="s">
        <v>31581</v>
      </c>
      <c r="H5646" t="s">
        <v>31590</v>
      </c>
      <c r="I5646" t="s">
        <v>6800</v>
      </c>
      <c r="J5646" t="s">
        <v>35379</v>
      </c>
      <c r="K5646" t="s">
        <v>41193</v>
      </c>
      <c r="M5646" t="s">
        <v>41633</v>
      </c>
      <c r="N5646" t="s">
        <v>45095</v>
      </c>
      <c r="O5646" t="s">
        <v>45096</v>
      </c>
      <c r="P5646">
        <v>0</v>
      </c>
      <c r="Q5646">
        <v>1</v>
      </c>
      <c r="R5646" t="s">
        <v>45102</v>
      </c>
      <c r="S5646" t="s">
        <v>45242</v>
      </c>
      <c r="T5646" t="s">
        <v>47058</v>
      </c>
      <c r="U5646" t="s">
        <v>52215</v>
      </c>
      <c r="W5646" t="s">
        <v>41633</v>
      </c>
      <c r="X5646" t="s">
        <v>45103</v>
      </c>
    </row>
    <row r="5647" spans="1:24">
      <c r="A5647">
        <f>HYPERLINK("https://www.philgeps.gov.ph/GEPSNONPILOT/Tender/SplashBidNoticeAbstractUI.aspx?menuIndex=3&amp;refID=7039269&amp;Result=3","7039269")</f>
        <v>0</v>
      </c>
      <c r="B5647" t="s">
        <v>1819</v>
      </c>
      <c r="C5647" t="s">
        <v>8592</v>
      </c>
      <c r="D5647" t="s">
        <v>18027</v>
      </c>
      <c r="E5647" t="s">
        <v>23148</v>
      </c>
      <c r="F5647" t="s">
        <v>31574</v>
      </c>
      <c r="G5647" t="s">
        <v>31582</v>
      </c>
      <c r="H5647" t="s">
        <v>31591</v>
      </c>
      <c r="I5647" t="s">
        <v>8822</v>
      </c>
      <c r="J5647" t="s">
        <v>34070</v>
      </c>
      <c r="K5647" t="s">
        <v>41189</v>
      </c>
      <c r="L5647" t="s">
        <v>1819</v>
      </c>
      <c r="M5647" t="s">
        <v>43454</v>
      </c>
      <c r="N5647" t="s">
        <v>45095</v>
      </c>
      <c r="O5647" t="s">
        <v>45096</v>
      </c>
      <c r="P5647">
        <v>0</v>
      </c>
      <c r="Q5647">
        <v>0</v>
      </c>
      <c r="R5647" t="s">
        <v>45102</v>
      </c>
      <c r="S5647" t="s">
        <v>45242</v>
      </c>
      <c r="T5647" t="s">
        <v>47190</v>
      </c>
      <c r="U5647" t="s">
        <v>52180</v>
      </c>
      <c r="W5647" t="s">
        <v>43454</v>
      </c>
      <c r="X5647" t="s">
        <v>45103</v>
      </c>
    </row>
    <row r="5648" spans="1:24">
      <c r="A5648">
        <f>HYPERLINK("https://www.philgeps.gov.ph/GEPSNONPILOT/Tender/SplashBidNoticeAbstractUI.aspx?menuIndex=3&amp;refID=7039273&amp;Result=3","7039273")</f>
        <v>0</v>
      </c>
      <c r="B5648" t="s">
        <v>1789</v>
      </c>
      <c r="C5648" t="s">
        <v>8593</v>
      </c>
      <c r="D5648" t="s">
        <v>18033</v>
      </c>
      <c r="E5648" t="s">
        <v>23149</v>
      </c>
      <c r="F5648" t="s">
        <v>31574</v>
      </c>
      <c r="G5648" t="s">
        <v>31581</v>
      </c>
      <c r="H5648" t="s">
        <v>31590</v>
      </c>
      <c r="I5648" t="s">
        <v>8258</v>
      </c>
      <c r="J5648" t="s">
        <v>35380</v>
      </c>
      <c r="K5648" t="s">
        <v>41190</v>
      </c>
      <c r="M5648" t="s">
        <v>43420</v>
      </c>
      <c r="N5648" t="s">
        <v>45095</v>
      </c>
      <c r="O5648" t="s">
        <v>45096</v>
      </c>
      <c r="P5648">
        <v>0</v>
      </c>
      <c r="Q5648">
        <v>1</v>
      </c>
      <c r="R5648" t="s">
        <v>45102</v>
      </c>
      <c r="S5648" t="s">
        <v>45242</v>
      </c>
      <c r="T5648" t="s">
        <v>47155</v>
      </c>
      <c r="U5648" t="s">
        <v>52216</v>
      </c>
      <c r="W5648" t="s">
        <v>61717</v>
      </c>
      <c r="X5648" t="s">
        <v>45103</v>
      </c>
    </row>
    <row r="5649" spans="1:24">
      <c r="A5649">
        <f>HYPERLINK("https://www.philgeps.gov.ph/GEPSNONPILOT/Tender/SplashBidNoticeAbstractUI.aspx?menuIndex=3&amp;refID=7039280&amp;Result=3","7039280")</f>
        <v>0</v>
      </c>
      <c r="B5649" t="s">
        <v>340</v>
      </c>
      <c r="C5649" t="s">
        <v>8594</v>
      </c>
      <c r="D5649" t="s">
        <v>18077</v>
      </c>
      <c r="E5649" t="s">
        <v>23150</v>
      </c>
      <c r="F5649" t="s">
        <v>31574</v>
      </c>
      <c r="G5649" t="s">
        <v>31582</v>
      </c>
      <c r="H5649" t="s">
        <v>31590</v>
      </c>
      <c r="I5649" t="s">
        <v>31620</v>
      </c>
      <c r="J5649" t="s">
        <v>35381</v>
      </c>
      <c r="K5649" t="s">
        <v>41184</v>
      </c>
      <c r="M5649" t="s">
        <v>41828</v>
      </c>
      <c r="N5649" t="s">
        <v>45095</v>
      </c>
      <c r="O5649" t="s">
        <v>45096</v>
      </c>
      <c r="P5649">
        <v>0</v>
      </c>
      <c r="Q5649">
        <v>7</v>
      </c>
      <c r="R5649" t="s">
        <v>45102</v>
      </c>
      <c r="S5649" t="s">
        <v>45242</v>
      </c>
      <c r="T5649" t="s">
        <v>47265</v>
      </c>
      <c r="U5649" t="s">
        <v>52217</v>
      </c>
      <c r="W5649" t="s">
        <v>41828</v>
      </c>
      <c r="X5649" t="s">
        <v>45103</v>
      </c>
    </row>
    <row r="5650" spans="1:24">
      <c r="A5650">
        <f>HYPERLINK("https://www.philgeps.gov.ph/GEPSNONPILOT/Tender/SplashBidNoticeAbstractUI.aspx?menuIndex=3&amp;refID=7039279&amp;Result=3","7039279")</f>
        <v>0</v>
      </c>
      <c r="B5650" t="s">
        <v>1305</v>
      </c>
      <c r="C5650" t="s">
        <v>8595</v>
      </c>
      <c r="D5650" t="s">
        <v>18101</v>
      </c>
      <c r="E5650" t="s">
        <v>23151</v>
      </c>
      <c r="F5650" t="s">
        <v>31574</v>
      </c>
      <c r="G5650" t="s">
        <v>31581</v>
      </c>
      <c r="H5650" t="s">
        <v>31590</v>
      </c>
      <c r="I5650" t="s">
        <v>31682</v>
      </c>
      <c r="J5650" t="s">
        <v>35382</v>
      </c>
      <c r="K5650" t="s">
        <v>41196</v>
      </c>
      <c r="M5650" t="s">
        <v>42875</v>
      </c>
      <c r="N5650" t="s">
        <v>45095</v>
      </c>
      <c r="O5650" t="s">
        <v>45096</v>
      </c>
      <c r="P5650">
        <v>0</v>
      </c>
      <c r="Q5650">
        <v>0</v>
      </c>
      <c r="R5650" t="s">
        <v>45102</v>
      </c>
      <c r="S5650" t="s">
        <v>45242</v>
      </c>
      <c r="T5650" t="s">
        <v>47154</v>
      </c>
      <c r="U5650" t="s">
        <v>52218</v>
      </c>
      <c r="W5650" t="s">
        <v>42875</v>
      </c>
      <c r="X5650" t="s">
        <v>45103</v>
      </c>
    </row>
    <row r="5651" spans="1:24">
      <c r="A5651">
        <f>HYPERLINK("https://www.philgeps.gov.ph/GEPSNONPILOT/Tender/SplashBidNoticeAbstractUI.aspx?menuIndex=3&amp;refID=7039237&amp;Result=3","7039237")</f>
        <v>0</v>
      </c>
      <c r="B5651" t="s">
        <v>264</v>
      </c>
      <c r="C5651" t="s">
        <v>8596</v>
      </c>
      <c r="D5651" t="s">
        <v>18066</v>
      </c>
      <c r="E5651" t="s">
        <v>23152</v>
      </c>
      <c r="F5651" t="s">
        <v>31574</v>
      </c>
      <c r="G5651" t="s">
        <v>31582</v>
      </c>
      <c r="H5651" t="s">
        <v>31590</v>
      </c>
      <c r="I5651" t="s">
        <v>4046</v>
      </c>
      <c r="J5651" t="s">
        <v>35383</v>
      </c>
      <c r="K5651" t="s">
        <v>41184</v>
      </c>
      <c r="M5651" t="s">
        <v>41750</v>
      </c>
      <c r="N5651" t="s">
        <v>45095</v>
      </c>
      <c r="O5651" t="s">
        <v>45096</v>
      </c>
      <c r="P5651">
        <v>0</v>
      </c>
      <c r="Q5651">
        <v>0</v>
      </c>
      <c r="R5651" t="s">
        <v>45102</v>
      </c>
      <c r="S5651" t="s">
        <v>45242</v>
      </c>
      <c r="T5651" t="s">
        <v>46963</v>
      </c>
      <c r="U5651" t="s">
        <v>52219</v>
      </c>
      <c r="W5651" t="s">
        <v>61674</v>
      </c>
      <c r="X5651" t="s">
        <v>45103</v>
      </c>
    </row>
    <row r="5652" spans="1:24">
      <c r="A5652">
        <f>HYPERLINK("https://www.philgeps.gov.ph/GEPSNONPILOT/Tender/SplashBidNoticeAbstractUI.aspx?menuIndex=3&amp;refID=7039233&amp;Result=3","7039233")</f>
        <v>0</v>
      </c>
      <c r="B5652" t="s">
        <v>264</v>
      </c>
      <c r="C5652" t="s">
        <v>8597</v>
      </c>
      <c r="D5652" t="s">
        <v>18066</v>
      </c>
      <c r="E5652" t="s">
        <v>18635</v>
      </c>
      <c r="F5652" t="s">
        <v>31574</v>
      </c>
      <c r="G5652" t="s">
        <v>31582</v>
      </c>
      <c r="H5652" t="s">
        <v>31590</v>
      </c>
      <c r="I5652" t="s">
        <v>31629</v>
      </c>
      <c r="J5652" t="s">
        <v>35384</v>
      </c>
      <c r="K5652" t="s">
        <v>41184</v>
      </c>
      <c r="M5652" t="s">
        <v>41750</v>
      </c>
      <c r="N5652" t="s">
        <v>45095</v>
      </c>
      <c r="O5652" t="s">
        <v>45096</v>
      </c>
      <c r="P5652">
        <v>0</v>
      </c>
      <c r="Q5652">
        <v>0</v>
      </c>
      <c r="R5652" t="s">
        <v>45102</v>
      </c>
      <c r="S5652" t="s">
        <v>45242</v>
      </c>
      <c r="T5652" t="s">
        <v>46963</v>
      </c>
      <c r="U5652" t="s">
        <v>52220</v>
      </c>
      <c r="W5652" t="s">
        <v>61674</v>
      </c>
      <c r="X5652" t="s">
        <v>45103</v>
      </c>
    </row>
    <row r="5653" spans="1:24">
      <c r="A5653">
        <f>HYPERLINK("https://www.philgeps.gov.ph/GEPSNONPILOT/Tender/SplashBidNoticeAbstractUI.aspx?menuIndex=3&amp;refID=7039266&amp;Result=3","7039266")</f>
        <v>0</v>
      </c>
      <c r="B5653" t="s">
        <v>264</v>
      </c>
      <c r="C5653" t="s">
        <v>8598</v>
      </c>
      <c r="D5653" t="s">
        <v>18066</v>
      </c>
      <c r="E5653" t="s">
        <v>23153</v>
      </c>
      <c r="F5653" t="s">
        <v>31574</v>
      </c>
      <c r="G5653" t="s">
        <v>31582</v>
      </c>
      <c r="H5653" t="s">
        <v>31590</v>
      </c>
      <c r="I5653" t="s">
        <v>14544</v>
      </c>
      <c r="J5653" t="s">
        <v>31741</v>
      </c>
      <c r="K5653" t="s">
        <v>41184</v>
      </c>
      <c r="M5653" t="s">
        <v>41750</v>
      </c>
      <c r="N5653" t="s">
        <v>45095</v>
      </c>
      <c r="O5653" t="s">
        <v>45096</v>
      </c>
      <c r="P5653">
        <v>0</v>
      </c>
      <c r="Q5653">
        <v>0</v>
      </c>
      <c r="R5653" t="s">
        <v>45102</v>
      </c>
      <c r="S5653" t="s">
        <v>45242</v>
      </c>
      <c r="T5653" t="s">
        <v>46963</v>
      </c>
      <c r="U5653" t="s">
        <v>52221</v>
      </c>
      <c r="W5653" t="s">
        <v>61674</v>
      </c>
      <c r="X5653" t="s">
        <v>45103</v>
      </c>
    </row>
    <row r="5654" spans="1:24">
      <c r="A5654">
        <f>HYPERLINK("https://www.philgeps.gov.ph/GEPSNONPILOT/Tender/SplashBidNoticeAbstractUI.aspx?menuIndex=3&amp;refID=7039276&amp;Result=3","7039276")</f>
        <v>0</v>
      </c>
      <c r="B5654" t="s">
        <v>1829</v>
      </c>
      <c r="C5654" t="s">
        <v>8599</v>
      </c>
      <c r="E5654" t="s">
        <v>23154</v>
      </c>
      <c r="F5654" t="s">
        <v>31574</v>
      </c>
      <c r="G5654" t="s">
        <v>31582</v>
      </c>
      <c r="H5654" t="s">
        <v>31590</v>
      </c>
      <c r="I5654" t="s">
        <v>31615</v>
      </c>
      <c r="J5654" t="s">
        <v>32742</v>
      </c>
      <c r="K5654" t="s">
        <v>41184</v>
      </c>
      <c r="M5654" t="s">
        <v>43465</v>
      </c>
      <c r="N5654" t="s">
        <v>45095</v>
      </c>
      <c r="O5654" t="s">
        <v>45096</v>
      </c>
      <c r="P5654">
        <v>0</v>
      </c>
      <c r="Q5654">
        <v>0</v>
      </c>
      <c r="R5654" t="s">
        <v>45102</v>
      </c>
      <c r="S5654" t="s">
        <v>45242</v>
      </c>
      <c r="T5654" t="s">
        <v>46973</v>
      </c>
      <c r="U5654" t="s">
        <v>52222</v>
      </c>
      <c r="W5654" t="s">
        <v>43465</v>
      </c>
      <c r="X5654" t="s">
        <v>45103</v>
      </c>
    </row>
    <row r="5655" spans="1:24">
      <c r="A5655">
        <f>HYPERLINK("https://www.philgeps.gov.ph/GEPSNONPILOT/Tender/SplashBidNoticeAbstractUI.aspx?menuIndex=3&amp;refID=7039287&amp;Result=3","7039287")</f>
        <v>0</v>
      </c>
      <c r="B5655" t="s">
        <v>1830</v>
      </c>
      <c r="C5655" t="s">
        <v>8600</v>
      </c>
      <c r="D5655" t="s">
        <v>18023</v>
      </c>
      <c r="E5655" t="s">
        <v>23155</v>
      </c>
      <c r="F5655" t="s">
        <v>31574</v>
      </c>
      <c r="G5655" t="s">
        <v>31581</v>
      </c>
      <c r="H5655" t="s">
        <v>31590</v>
      </c>
      <c r="I5655" t="s">
        <v>4354</v>
      </c>
      <c r="J5655" t="s">
        <v>35385</v>
      </c>
      <c r="K5655" t="s">
        <v>41196</v>
      </c>
      <c r="M5655" t="s">
        <v>43466</v>
      </c>
      <c r="N5655" t="s">
        <v>45095</v>
      </c>
      <c r="O5655" t="s">
        <v>45096</v>
      </c>
      <c r="P5655">
        <v>0</v>
      </c>
      <c r="Q5655">
        <v>1</v>
      </c>
      <c r="R5655" t="s">
        <v>45102</v>
      </c>
      <c r="S5655" t="s">
        <v>45242</v>
      </c>
      <c r="T5655" t="s">
        <v>47050</v>
      </c>
      <c r="U5655" t="s">
        <v>52223</v>
      </c>
      <c r="W5655" t="s">
        <v>43466</v>
      </c>
      <c r="X5655" t="s">
        <v>45103</v>
      </c>
    </row>
    <row r="5656" spans="1:24">
      <c r="A5656">
        <f>HYPERLINK("https://www.philgeps.gov.ph/GEPSNONPILOT/Tender/SplashBidNoticeAbstractUI.aspx?menuIndex=3&amp;refID=7039275&amp;Result=3","7039275")</f>
        <v>0</v>
      </c>
      <c r="B5656" t="s">
        <v>1831</v>
      </c>
      <c r="C5656" t="s">
        <v>8601</v>
      </c>
      <c r="D5656" t="s">
        <v>18026</v>
      </c>
      <c r="E5656" t="s">
        <v>23156</v>
      </c>
      <c r="F5656" t="s">
        <v>31574</v>
      </c>
      <c r="G5656" t="s">
        <v>31583</v>
      </c>
      <c r="H5656" t="s">
        <v>31590</v>
      </c>
      <c r="I5656" t="s">
        <v>5717</v>
      </c>
      <c r="J5656" t="s">
        <v>31726</v>
      </c>
      <c r="K5656" t="s">
        <v>41196</v>
      </c>
      <c r="M5656" t="s">
        <v>43467</v>
      </c>
      <c r="N5656" t="s">
        <v>45095</v>
      </c>
      <c r="O5656" t="s">
        <v>45096</v>
      </c>
      <c r="P5656">
        <v>0</v>
      </c>
      <c r="Q5656">
        <v>1</v>
      </c>
      <c r="R5656" t="s">
        <v>45102</v>
      </c>
      <c r="S5656" t="s">
        <v>45242</v>
      </c>
      <c r="T5656" t="s">
        <v>47158</v>
      </c>
      <c r="U5656" t="s">
        <v>52224</v>
      </c>
      <c r="W5656" t="s">
        <v>43467</v>
      </c>
      <c r="X5656" t="s">
        <v>45103</v>
      </c>
    </row>
    <row r="5657" spans="1:24">
      <c r="A5657">
        <f>HYPERLINK("https://www.philgeps.gov.ph/GEPSNONPILOT/Tender/SplashBidNoticeAbstractUI.aspx?menuIndex=3&amp;refID=7039265&amp;Result=3","7039265")</f>
        <v>0</v>
      </c>
      <c r="B5657" t="s">
        <v>1747</v>
      </c>
      <c r="C5657" t="s">
        <v>8602</v>
      </c>
      <c r="D5657" t="s">
        <v>18090</v>
      </c>
      <c r="E5657" t="s">
        <v>23157</v>
      </c>
      <c r="F5657" t="s">
        <v>31574</v>
      </c>
      <c r="G5657" t="s">
        <v>31582</v>
      </c>
      <c r="H5657" t="s">
        <v>31591</v>
      </c>
      <c r="I5657" t="s">
        <v>8822</v>
      </c>
      <c r="J5657" t="s">
        <v>35386</v>
      </c>
      <c r="K5657" t="s">
        <v>41287</v>
      </c>
      <c r="M5657" t="s">
        <v>43370</v>
      </c>
      <c r="N5657" t="s">
        <v>45095</v>
      </c>
      <c r="O5657" t="s">
        <v>45096</v>
      </c>
      <c r="P5657">
        <v>0</v>
      </c>
      <c r="Q5657">
        <v>0</v>
      </c>
      <c r="R5657" t="s">
        <v>45102</v>
      </c>
      <c r="S5657" t="s">
        <v>45242</v>
      </c>
      <c r="T5657" t="s">
        <v>47004</v>
      </c>
      <c r="U5657" t="s">
        <v>52225</v>
      </c>
      <c r="W5657" t="s">
        <v>43370</v>
      </c>
      <c r="X5657" t="s">
        <v>45103</v>
      </c>
    </row>
    <row r="5658" spans="1:24">
      <c r="A5658">
        <f>HYPERLINK("https://www.philgeps.gov.ph/GEPSNONPILOT/Tender/SplashBidNoticeAbstractUI.aspx?menuIndex=3&amp;refID=7039277&amp;Result=3","7039277")</f>
        <v>0</v>
      </c>
      <c r="B5658" t="s">
        <v>1819</v>
      </c>
      <c r="C5658" t="s">
        <v>8603</v>
      </c>
      <c r="D5658" t="s">
        <v>18027</v>
      </c>
      <c r="E5658" t="s">
        <v>23158</v>
      </c>
      <c r="F5658" t="s">
        <v>31574</v>
      </c>
      <c r="G5658" t="s">
        <v>31582</v>
      </c>
      <c r="H5658" t="s">
        <v>31591</v>
      </c>
      <c r="I5658" t="s">
        <v>8822</v>
      </c>
      <c r="J5658" t="s">
        <v>34069</v>
      </c>
      <c r="K5658" t="s">
        <v>41189</v>
      </c>
      <c r="L5658" t="s">
        <v>1819</v>
      </c>
      <c r="M5658" t="s">
        <v>43454</v>
      </c>
      <c r="N5658" t="s">
        <v>45095</v>
      </c>
      <c r="O5658" t="s">
        <v>45096</v>
      </c>
      <c r="P5658">
        <v>0</v>
      </c>
      <c r="Q5658">
        <v>0</v>
      </c>
      <c r="R5658" t="s">
        <v>45102</v>
      </c>
      <c r="S5658" t="s">
        <v>45242</v>
      </c>
      <c r="T5658" t="s">
        <v>47190</v>
      </c>
      <c r="U5658" t="s">
        <v>52180</v>
      </c>
      <c r="W5658" t="s">
        <v>43454</v>
      </c>
      <c r="X5658" t="s">
        <v>45103</v>
      </c>
    </row>
    <row r="5659" spans="1:24">
      <c r="A5659">
        <f>HYPERLINK("https://www.philgeps.gov.ph/GEPSNONPILOT/Tender/SplashBidNoticeAbstractUI.aspx?menuIndex=3&amp;refID=7039263&amp;Result=3","7039263")</f>
        <v>0</v>
      </c>
      <c r="B5659" t="s">
        <v>1832</v>
      </c>
      <c r="C5659" t="s">
        <v>8604</v>
      </c>
      <c r="D5659" t="s">
        <v>18034</v>
      </c>
      <c r="E5659" t="s">
        <v>23159</v>
      </c>
      <c r="F5659" t="s">
        <v>31574</v>
      </c>
      <c r="G5659" t="s">
        <v>31582</v>
      </c>
      <c r="H5659" t="s">
        <v>31590</v>
      </c>
      <c r="I5659" t="s">
        <v>31619</v>
      </c>
      <c r="J5659" t="s">
        <v>32372</v>
      </c>
      <c r="K5659" t="s">
        <v>41191</v>
      </c>
      <c r="M5659" t="s">
        <v>43468</v>
      </c>
      <c r="N5659" t="s">
        <v>45095</v>
      </c>
      <c r="O5659" t="s">
        <v>45096</v>
      </c>
      <c r="P5659">
        <v>0</v>
      </c>
      <c r="Q5659">
        <v>1</v>
      </c>
      <c r="R5659" t="s">
        <v>45102</v>
      </c>
      <c r="S5659" t="s">
        <v>45242</v>
      </c>
      <c r="T5659" t="s">
        <v>46973</v>
      </c>
      <c r="U5659" t="s">
        <v>52226</v>
      </c>
      <c r="W5659" t="s">
        <v>43468</v>
      </c>
      <c r="X5659" t="s">
        <v>45103</v>
      </c>
    </row>
    <row r="5660" spans="1:24">
      <c r="A5660">
        <f>HYPERLINK("https://www.philgeps.gov.ph/GEPSNONPILOT/Tender/SplashBidNoticeAbstractUI.aspx?menuIndex=3&amp;refID=7039284&amp;Result=3","7039284")</f>
        <v>0</v>
      </c>
      <c r="B5660" t="s">
        <v>73</v>
      </c>
      <c r="C5660" t="s">
        <v>8605</v>
      </c>
      <c r="D5660" t="s">
        <v>18041</v>
      </c>
      <c r="E5660" t="s">
        <v>23160</v>
      </c>
      <c r="F5660" t="s">
        <v>31574</v>
      </c>
      <c r="G5660" t="s">
        <v>31582</v>
      </c>
      <c r="H5660" t="s">
        <v>31590</v>
      </c>
      <c r="I5660" t="s">
        <v>7185</v>
      </c>
      <c r="J5660" t="s">
        <v>32421</v>
      </c>
      <c r="K5660" t="s">
        <v>41184</v>
      </c>
      <c r="M5660" t="s">
        <v>41557</v>
      </c>
      <c r="N5660" t="s">
        <v>45095</v>
      </c>
      <c r="O5660" t="s">
        <v>45096</v>
      </c>
      <c r="P5660">
        <v>0</v>
      </c>
      <c r="Q5660">
        <v>3</v>
      </c>
      <c r="R5660" t="s">
        <v>45102</v>
      </c>
      <c r="S5660" t="s">
        <v>45242</v>
      </c>
      <c r="T5660" t="s">
        <v>47266</v>
      </c>
      <c r="U5660" t="s">
        <v>52227</v>
      </c>
      <c r="V5660" t="s">
        <v>59867</v>
      </c>
      <c r="W5660" t="s">
        <v>41557</v>
      </c>
      <c r="X5660" t="s">
        <v>45103</v>
      </c>
    </row>
    <row r="5661" spans="1:24">
      <c r="A5661">
        <f>HYPERLINK("https://www.philgeps.gov.ph/GEPSNONPILOT/Tender/SplashBidNoticeAbstractUI.aspx?menuIndex=3&amp;refID=7039262&amp;Result=3","7039262")</f>
        <v>0</v>
      </c>
      <c r="B5661" t="s">
        <v>598</v>
      </c>
      <c r="C5661" t="s">
        <v>8606</v>
      </c>
      <c r="D5661" t="s">
        <v>18022</v>
      </c>
      <c r="E5661" t="s">
        <v>23161</v>
      </c>
      <c r="F5661" t="s">
        <v>31574</v>
      </c>
      <c r="G5661" t="s">
        <v>31581</v>
      </c>
      <c r="H5661" t="s">
        <v>31590</v>
      </c>
      <c r="I5661" t="s">
        <v>8258</v>
      </c>
      <c r="J5661" t="s">
        <v>35387</v>
      </c>
      <c r="K5661" t="s">
        <v>41193</v>
      </c>
      <c r="M5661" t="s">
        <v>42101</v>
      </c>
      <c r="N5661" t="s">
        <v>45095</v>
      </c>
      <c r="O5661" t="s">
        <v>45096</v>
      </c>
      <c r="P5661">
        <v>0</v>
      </c>
      <c r="Q5661">
        <v>4</v>
      </c>
      <c r="R5661" t="s">
        <v>45102</v>
      </c>
      <c r="S5661" t="s">
        <v>45242</v>
      </c>
      <c r="T5661" t="s">
        <v>47067</v>
      </c>
      <c r="U5661" t="s">
        <v>52228</v>
      </c>
      <c r="V5661" t="s">
        <v>59987</v>
      </c>
      <c r="W5661" t="s">
        <v>42101</v>
      </c>
      <c r="X5661" t="s">
        <v>45103</v>
      </c>
    </row>
    <row r="5662" spans="1:24">
      <c r="A5662">
        <f>HYPERLINK("https://www.philgeps.gov.ph/GEPSNONPILOT/Tender/SplashBidNoticeAbstractUI.aspx?menuIndex=3&amp;refID=7039293&amp;Result=3","7039293")</f>
        <v>0</v>
      </c>
      <c r="B5662" t="s">
        <v>1832</v>
      </c>
      <c r="C5662" t="s">
        <v>8607</v>
      </c>
      <c r="D5662" t="s">
        <v>18034</v>
      </c>
      <c r="E5662" t="s">
        <v>23162</v>
      </c>
      <c r="F5662" t="s">
        <v>31574</v>
      </c>
      <c r="G5662" t="s">
        <v>31582</v>
      </c>
      <c r="H5662" t="s">
        <v>31590</v>
      </c>
      <c r="I5662" t="s">
        <v>6800</v>
      </c>
      <c r="J5662" t="s">
        <v>35388</v>
      </c>
      <c r="K5662" t="s">
        <v>41191</v>
      </c>
      <c r="M5662" t="s">
        <v>43468</v>
      </c>
      <c r="N5662" t="s">
        <v>45095</v>
      </c>
      <c r="O5662" t="s">
        <v>45096</v>
      </c>
      <c r="P5662">
        <v>0</v>
      </c>
      <c r="Q5662">
        <v>3</v>
      </c>
      <c r="R5662" t="s">
        <v>45102</v>
      </c>
      <c r="S5662" t="s">
        <v>45242</v>
      </c>
      <c r="T5662" t="s">
        <v>46973</v>
      </c>
      <c r="U5662" t="s">
        <v>52229</v>
      </c>
      <c r="W5662" t="s">
        <v>43468</v>
      </c>
      <c r="X5662" t="s">
        <v>45103</v>
      </c>
    </row>
    <row r="5663" spans="1:24">
      <c r="A5663">
        <f>HYPERLINK("https://www.philgeps.gov.ph/GEPSNONPILOT/Tender/SplashBidNoticeAbstractUI.aspx?menuIndex=3&amp;refID=7039290&amp;Result=3","7039290")</f>
        <v>0</v>
      </c>
      <c r="B5663" t="s">
        <v>1833</v>
      </c>
      <c r="C5663" t="s">
        <v>8608</v>
      </c>
      <c r="D5663" t="s">
        <v>18036</v>
      </c>
      <c r="E5663" t="s">
        <v>22755</v>
      </c>
      <c r="F5663" t="s">
        <v>31574</v>
      </c>
      <c r="G5663" t="s">
        <v>31583</v>
      </c>
      <c r="H5663" t="s">
        <v>31590</v>
      </c>
      <c r="I5663" t="s">
        <v>31602</v>
      </c>
      <c r="J5663" t="s">
        <v>32046</v>
      </c>
      <c r="K5663" t="s">
        <v>41191</v>
      </c>
      <c r="M5663" t="s">
        <v>43469</v>
      </c>
      <c r="N5663" t="s">
        <v>45095</v>
      </c>
      <c r="O5663" t="s">
        <v>45096</v>
      </c>
      <c r="P5663">
        <v>0</v>
      </c>
      <c r="Q5663">
        <v>0</v>
      </c>
      <c r="R5663" t="s">
        <v>45102</v>
      </c>
      <c r="S5663" t="s">
        <v>45242</v>
      </c>
      <c r="T5663" t="s">
        <v>47162</v>
      </c>
      <c r="U5663" t="s">
        <v>52230</v>
      </c>
      <c r="V5663" t="s">
        <v>60449</v>
      </c>
      <c r="W5663" t="s">
        <v>43469</v>
      </c>
      <c r="X5663" t="s">
        <v>45103</v>
      </c>
    </row>
    <row r="5664" spans="1:24">
      <c r="A5664">
        <f>HYPERLINK("https://www.philgeps.gov.ph/GEPSNONPILOT/Tender/SplashBidNoticeAbstractUI.aspx?menuIndex=3&amp;refID=7039304&amp;Result=3","7039304")</f>
        <v>0</v>
      </c>
      <c r="B5664" t="s">
        <v>1834</v>
      </c>
      <c r="C5664" t="s">
        <v>8609</v>
      </c>
      <c r="D5664" t="s">
        <v>18047</v>
      </c>
      <c r="E5664" t="s">
        <v>23163</v>
      </c>
      <c r="F5664" t="s">
        <v>31574</v>
      </c>
      <c r="G5664" t="s">
        <v>31582</v>
      </c>
      <c r="H5664" t="s">
        <v>31590</v>
      </c>
      <c r="I5664" t="s">
        <v>4046</v>
      </c>
      <c r="J5664" t="s">
        <v>35389</v>
      </c>
      <c r="K5664" t="s">
        <v>41196</v>
      </c>
      <c r="M5664" t="s">
        <v>43470</v>
      </c>
      <c r="N5664" t="s">
        <v>45095</v>
      </c>
      <c r="O5664" t="s">
        <v>45096</v>
      </c>
      <c r="P5664">
        <v>0</v>
      </c>
      <c r="Q5664">
        <v>0</v>
      </c>
      <c r="R5664" t="s">
        <v>45102</v>
      </c>
      <c r="S5664" t="s">
        <v>45242</v>
      </c>
      <c r="T5664" t="s">
        <v>46969</v>
      </c>
      <c r="U5664" t="s">
        <v>52231</v>
      </c>
      <c r="W5664" t="s">
        <v>43470</v>
      </c>
      <c r="X5664" t="s">
        <v>45103</v>
      </c>
    </row>
    <row r="5665" spans="1:24">
      <c r="A5665">
        <f>HYPERLINK("https://www.philgeps.gov.ph/GEPSNONPILOT/Tender/SplashBidNoticeAbstractUI.aspx?menuIndex=3&amp;refID=7039303&amp;Result=3","7039303")</f>
        <v>0</v>
      </c>
      <c r="B5665" t="s">
        <v>486</v>
      </c>
      <c r="C5665" t="s">
        <v>8610</v>
      </c>
      <c r="D5665" t="s">
        <v>18023</v>
      </c>
      <c r="E5665" t="s">
        <v>23164</v>
      </c>
      <c r="F5665" t="s">
        <v>31574</v>
      </c>
      <c r="G5665" t="s">
        <v>31582</v>
      </c>
      <c r="H5665" t="s">
        <v>31590</v>
      </c>
      <c r="I5665" t="s">
        <v>14544</v>
      </c>
      <c r="J5665" t="s">
        <v>35390</v>
      </c>
      <c r="K5665" t="s">
        <v>41190</v>
      </c>
      <c r="M5665" t="s">
        <v>41982</v>
      </c>
      <c r="N5665" t="s">
        <v>45095</v>
      </c>
      <c r="O5665" t="s">
        <v>45096</v>
      </c>
      <c r="P5665">
        <v>0</v>
      </c>
      <c r="Q5665">
        <v>0</v>
      </c>
      <c r="R5665" t="s">
        <v>45102</v>
      </c>
      <c r="S5665" t="s">
        <v>45242</v>
      </c>
      <c r="T5665" t="s">
        <v>47188</v>
      </c>
      <c r="U5665" t="s">
        <v>48451</v>
      </c>
      <c r="W5665" t="s">
        <v>41982</v>
      </c>
      <c r="X5665" t="s">
        <v>45103</v>
      </c>
    </row>
    <row r="5666" spans="1:24">
      <c r="A5666">
        <f>HYPERLINK("https://www.philgeps.gov.ph/GEPSNONPILOT/Tender/SplashBidNoticeAbstractUI.aspx?menuIndex=3&amp;refID=7039230&amp;Result=3","7039230")</f>
        <v>0</v>
      </c>
      <c r="B5666" t="s">
        <v>1819</v>
      </c>
      <c r="C5666" t="s">
        <v>8611</v>
      </c>
      <c r="D5666" t="s">
        <v>18027</v>
      </c>
      <c r="E5666" t="s">
        <v>23165</v>
      </c>
      <c r="F5666" t="s">
        <v>31574</v>
      </c>
      <c r="G5666" t="s">
        <v>31582</v>
      </c>
      <c r="H5666" t="s">
        <v>31591</v>
      </c>
      <c r="I5666" t="s">
        <v>8822</v>
      </c>
      <c r="J5666" t="s">
        <v>34743</v>
      </c>
      <c r="K5666" t="s">
        <v>41240</v>
      </c>
      <c r="L5666" t="s">
        <v>1819</v>
      </c>
      <c r="M5666" t="s">
        <v>43454</v>
      </c>
      <c r="N5666" t="s">
        <v>45095</v>
      </c>
      <c r="O5666" t="s">
        <v>45096</v>
      </c>
      <c r="P5666">
        <v>0</v>
      </c>
      <c r="Q5666">
        <v>2</v>
      </c>
      <c r="R5666" t="s">
        <v>45102</v>
      </c>
      <c r="S5666" t="s">
        <v>45242</v>
      </c>
      <c r="T5666" t="s">
        <v>47190</v>
      </c>
      <c r="U5666" t="s">
        <v>52180</v>
      </c>
      <c r="W5666" t="s">
        <v>43454</v>
      </c>
      <c r="X5666" t="s">
        <v>45103</v>
      </c>
    </row>
    <row r="5667" spans="1:24">
      <c r="A5667">
        <f>HYPERLINK("https://www.philgeps.gov.ph/GEPSNONPILOT/Tender/SplashBidNoticeAbstractUI.aspx?menuIndex=3&amp;refID=7039295&amp;Result=3","7039295")</f>
        <v>0</v>
      </c>
      <c r="B5667" t="s">
        <v>1196</v>
      </c>
      <c r="C5667" t="s">
        <v>8612</v>
      </c>
      <c r="D5667" t="s">
        <v>18026</v>
      </c>
      <c r="E5667" t="s">
        <v>23166</v>
      </c>
      <c r="F5667" t="s">
        <v>31574</v>
      </c>
      <c r="G5667" t="s">
        <v>31585</v>
      </c>
      <c r="H5667" t="s">
        <v>31590</v>
      </c>
      <c r="I5667" t="s">
        <v>8258</v>
      </c>
      <c r="J5667" t="s">
        <v>35391</v>
      </c>
      <c r="K5667" t="s">
        <v>41190</v>
      </c>
      <c r="M5667" t="s">
        <v>43471</v>
      </c>
      <c r="N5667" t="s">
        <v>45095</v>
      </c>
      <c r="O5667" t="s">
        <v>45096</v>
      </c>
      <c r="P5667">
        <v>0</v>
      </c>
      <c r="Q5667">
        <v>1</v>
      </c>
      <c r="R5667" t="s">
        <v>45102</v>
      </c>
      <c r="S5667" t="s">
        <v>45242</v>
      </c>
      <c r="T5667" t="s">
        <v>46963</v>
      </c>
      <c r="U5667" t="s">
        <v>52232</v>
      </c>
      <c r="W5667" t="s">
        <v>61718</v>
      </c>
      <c r="X5667" t="s">
        <v>45103</v>
      </c>
    </row>
    <row r="5668" spans="1:24">
      <c r="A5668">
        <f>HYPERLINK("https://www.philgeps.gov.ph/GEPSNONPILOT/Tender/SplashBidNoticeAbstractUI.aspx?menuIndex=3&amp;refID=7039301&amp;Result=3","7039301")</f>
        <v>0</v>
      </c>
      <c r="B5668" t="s">
        <v>687</v>
      </c>
      <c r="C5668" t="s">
        <v>8543</v>
      </c>
      <c r="D5668" t="s">
        <v>18070</v>
      </c>
      <c r="E5668" t="s">
        <v>23167</v>
      </c>
      <c r="F5668" t="s">
        <v>31574</v>
      </c>
      <c r="G5668" t="s">
        <v>31581</v>
      </c>
      <c r="H5668" t="s">
        <v>31590</v>
      </c>
      <c r="I5668" t="s">
        <v>6800</v>
      </c>
      <c r="J5668" t="s">
        <v>35392</v>
      </c>
      <c r="K5668" t="s">
        <v>41193</v>
      </c>
      <c r="M5668" t="s">
        <v>42194</v>
      </c>
      <c r="N5668" t="s">
        <v>45095</v>
      </c>
      <c r="O5668" t="s">
        <v>45096</v>
      </c>
      <c r="P5668">
        <v>0</v>
      </c>
      <c r="Q5668">
        <v>0</v>
      </c>
      <c r="R5668" t="s">
        <v>45102</v>
      </c>
      <c r="S5668" t="s">
        <v>45242</v>
      </c>
      <c r="T5668" t="s">
        <v>47162</v>
      </c>
      <c r="U5668" t="s">
        <v>52233</v>
      </c>
      <c r="V5668" t="s">
        <v>60450</v>
      </c>
      <c r="W5668" t="s">
        <v>42194</v>
      </c>
      <c r="X5668" t="s">
        <v>45103</v>
      </c>
    </row>
    <row r="5669" spans="1:24">
      <c r="A5669">
        <f>HYPERLINK("https://www.philgeps.gov.ph/GEPSNONPILOT/Tender/SplashBidNoticeAbstractUI.aspx?menuIndex=3&amp;refID=7039297&amp;Result=3","7039297")</f>
        <v>0</v>
      </c>
      <c r="B5669" t="s">
        <v>1824</v>
      </c>
      <c r="C5669" t="s">
        <v>8613</v>
      </c>
      <c r="D5669" t="s">
        <v>18084</v>
      </c>
      <c r="E5669" t="s">
        <v>23168</v>
      </c>
      <c r="F5669" t="s">
        <v>31574</v>
      </c>
      <c r="G5669" t="s">
        <v>31582</v>
      </c>
      <c r="H5669" t="s">
        <v>31591</v>
      </c>
      <c r="I5669" t="s">
        <v>4046</v>
      </c>
      <c r="J5669" t="s">
        <v>32049</v>
      </c>
      <c r="K5669" t="s">
        <v>41186</v>
      </c>
      <c r="M5669" t="s">
        <v>43459</v>
      </c>
      <c r="N5669" t="s">
        <v>45095</v>
      </c>
      <c r="O5669" t="s">
        <v>45096</v>
      </c>
      <c r="P5669">
        <v>0</v>
      </c>
      <c r="Q5669">
        <v>0</v>
      </c>
      <c r="R5669" t="s">
        <v>45102</v>
      </c>
      <c r="S5669" t="s">
        <v>45242</v>
      </c>
      <c r="T5669" t="s">
        <v>47070</v>
      </c>
      <c r="U5669" t="s">
        <v>52234</v>
      </c>
      <c r="V5669" t="s">
        <v>60444</v>
      </c>
      <c r="W5669" t="s">
        <v>43459</v>
      </c>
      <c r="X5669" t="s">
        <v>45103</v>
      </c>
    </row>
    <row r="5670" spans="1:24">
      <c r="A5670">
        <f>HYPERLINK("https://www.philgeps.gov.ph/GEPSNONPILOT/Tender/SplashBidNoticeAbstractUI.aspx?menuIndex=3&amp;refID=7039305&amp;Result=3","7039305")</f>
        <v>0</v>
      </c>
      <c r="B5670" t="s">
        <v>1835</v>
      </c>
      <c r="C5670" t="s">
        <v>8614</v>
      </c>
      <c r="D5670" t="s">
        <v>18033</v>
      </c>
      <c r="E5670" t="s">
        <v>18574</v>
      </c>
      <c r="F5670" t="s">
        <v>31574</v>
      </c>
      <c r="G5670" t="s">
        <v>31582</v>
      </c>
      <c r="H5670" t="s">
        <v>31591</v>
      </c>
      <c r="I5670" t="s">
        <v>8822</v>
      </c>
      <c r="J5670" t="s">
        <v>35393</v>
      </c>
      <c r="K5670" t="s">
        <v>41190</v>
      </c>
      <c r="M5670" t="s">
        <v>43472</v>
      </c>
      <c r="N5670" t="s">
        <v>45095</v>
      </c>
      <c r="O5670" t="s">
        <v>45096</v>
      </c>
      <c r="P5670">
        <v>0</v>
      </c>
      <c r="Q5670">
        <v>0</v>
      </c>
      <c r="R5670" t="s">
        <v>45102</v>
      </c>
      <c r="S5670" t="s">
        <v>45242</v>
      </c>
      <c r="T5670" t="s">
        <v>46946</v>
      </c>
      <c r="U5670" t="s">
        <v>52235</v>
      </c>
      <c r="V5670" t="s">
        <v>60451</v>
      </c>
      <c r="W5670" t="s">
        <v>43472</v>
      </c>
      <c r="X5670" t="s">
        <v>45103</v>
      </c>
    </row>
    <row r="5671" spans="1:24">
      <c r="A5671">
        <f>HYPERLINK("https://www.philgeps.gov.ph/GEPSNONPILOT/Tender/SplashBidNoticeAbstractUI.aspx?menuIndex=3&amp;refID=7039299&amp;Result=3","7039299")</f>
        <v>0</v>
      </c>
      <c r="B5671" t="s">
        <v>1305</v>
      </c>
      <c r="C5671" t="s">
        <v>8615</v>
      </c>
      <c r="D5671" t="s">
        <v>18101</v>
      </c>
      <c r="E5671" t="s">
        <v>23169</v>
      </c>
      <c r="F5671" t="s">
        <v>31574</v>
      </c>
      <c r="G5671" t="s">
        <v>31581</v>
      </c>
      <c r="H5671" t="s">
        <v>31590</v>
      </c>
      <c r="I5671" t="s">
        <v>14544</v>
      </c>
      <c r="J5671" t="s">
        <v>32108</v>
      </c>
      <c r="K5671" t="s">
        <v>41196</v>
      </c>
      <c r="M5671" t="s">
        <v>42875</v>
      </c>
      <c r="N5671" t="s">
        <v>45095</v>
      </c>
      <c r="O5671" t="s">
        <v>45096</v>
      </c>
      <c r="P5671">
        <v>0</v>
      </c>
      <c r="Q5671">
        <v>0</v>
      </c>
      <c r="R5671" t="s">
        <v>45102</v>
      </c>
      <c r="S5671" t="s">
        <v>45242</v>
      </c>
      <c r="T5671" t="s">
        <v>47154</v>
      </c>
      <c r="U5671" t="s">
        <v>52236</v>
      </c>
      <c r="W5671" t="s">
        <v>42875</v>
      </c>
      <c r="X5671" t="s">
        <v>45103</v>
      </c>
    </row>
    <row r="5672" spans="1:24">
      <c r="A5672">
        <f>HYPERLINK("https://www.philgeps.gov.ph/GEPSNONPILOT/Tender/SplashBidNoticeAbstractUI.aspx?menuIndex=3&amp;refID=7039309&amp;Result=3","7039309")</f>
        <v>0</v>
      </c>
      <c r="B5672" t="s">
        <v>1542</v>
      </c>
      <c r="C5672" t="s">
        <v>8616</v>
      </c>
      <c r="D5672" t="s">
        <v>18079</v>
      </c>
      <c r="E5672" t="s">
        <v>23170</v>
      </c>
      <c r="F5672" t="s">
        <v>31574</v>
      </c>
      <c r="G5672" t="s">
        <v>31583</v>
      </c>
      <c r="H5672" t="s">
        <v>31590</v>
      </c>
      <c r="I5672" t="s">
        <v>31605</v>
      </c>
      <c r="J5672" t="s">
        <v>35394</v>
      </c>
      <c r="K5672" t="s">
        <v>41184</v>
      </c>
      <c r="M5672" t="s">
        <v>43137</v>
      </c>
      <c r="N5672" t="s">
        <v>45095</v>
      </c>
      <c r="O5672" t="s">
        <v>45096</v>
      </c>
      <c r="P5672">
        <v>0</v>
      </c>
      <c r="Q5672">
        <v>5</v>
      </c>
      <c r="R5672" t="s">
        <v>45102</v>
      </c>
      <c r="S5672" t="s">
        <v>45242</v>
      </c>
      <c r="T5672" t="s">
        <v>47162</v>
      </c>
      <c r="U5672" t="s">
        <v>52237</v>
      </c>
      <c r="W5672" t="s">
        <v>43137</v>
      </c>
      <c r="X5672" t="s">
        <v>45103</v>
      </c>
    </row>
    <row r="5673" spans="1:24">
      <c r="A5673">
        <f>HYPERLINK("https://www.philgeps.gov.ph/GEPSNONPILOT/Tender/SplashBidNoticeAbstractUI.aspx?menuIndex=3&amp;refID=7039306&amp;Result=3","7039306")</f>
        <v>0</v>
      </c>
      <c r="B5673" t="s">
        <v>1836</v>
      </c>
      <c r="C5673" t="s">
        <v>8617</v>
      </c>
      <c r="D5673" t="s">
        <v>18046</v>
      </c>
      <c r="E5673" t="s">
        <v>23171</v>
      </c>
      <c r="F5673" t="s">
        <v>31574</v>
      </c>
      <c r="G5673" t="s">
        <v>31582</v>
      </c>
      <c r="H5673" t="s">
        <v>31590</v>
      </c>
      <c r="I5673" t="s">
        <v>31602</v>
      </c>
      <c r="J5673" t="s">
        <v>34144</v>
      </c>
      <c r="K5673" t="s">
        <v>41186</v>
      </c>
      <c r="L5673" t="s">
        <v>1836</v>
      </c>
      <c r="M5673" t="s">
        <v>43473</v>
      </c>
      <c r="N5673" t="s">
        <v>45095</v>
      </c>
      <c r="O5673" t="s">
        <v>45096</v>
      </c>
      <c r="P5673">
        <v>0</v>
      </c>
      <c r="Q5673">
        <v>0</v>
      </c>
      <c r="R5673" t="s">
        <v>45102</v>
      </c>
      <c r="S5673" t="s">
        <v>45242</v>
      </c>
      <c r="T5673" t="s">
        <v>46914</v>
      </c>
      <c r="U5673" t="s">
        <v>52238</v>
      </c>
      <c r="V5673" t="s">
        <v>60452</v>
      </c>
      <c r="W5673" t="s">
        <v>43473</v>
      </c>
      <c r="X5673" t="s">
        <v>45103</v>
      </c>
    </row>
    <row r="5674" spans="1:24">
      <c r="A5674">
        <f>HYPERLINK("https://www.philgeps.gov.ph/GEPSNONPILOT/Tender/SplashBidNoticeAbstractUI.aspx?menuIndex=3&amp;refID=7039316&amp;Result=3","7039316")</f>
        <v>0</v>
      </c>
      <c r="B5674" t="s">
        <v>401</v>
      </c>
      <c r="C5674" t="s">
        <v>8618</v>
      </c>
      <c r="D5674" t="s">
        <v>18052</v>
      </c>
      <c r="E5674" t="s">
        <v>23172</v>
      </c>
      <c r="F5674" t="s">
        <v>31574</v>
      </c>
      <c r="G5674" t="s">
        <v>31582</v>
      </c>
      <c r="H5674" t="s">
        <v>31591</v>
      </c>
      <c r="I5674" t="s">
        <v>8822</v>
      </c>
      <c r="J5674" t="s">
        <v>35395</v>
      </c>
      <c r="K5674" t="s">
        <v>41335</v>
      </c>
      <c r="M5674" t="s">
        <v>41892</v>
      </c>
      <c r="N5674" t="s">
        <v>45095</v>
      </c>
      <c r="O5674" t="s">
        <v>45096</v>
      </c>
      <c r="P5674">
        <v>0</v>
      </c>
      <c r="Q5674">
        <v>2</v>
      </c>
      <c r="R5674" t="s">
        <v>45102</v>
      </c>
      <c r="S5674" t="s">
        <v>45242</v>
      </c>
      <c r="T5674" t="s">
        <v>47199</v>
      </c>
      <c r="U5674" t="s">
        <v>52239</v>
      </c>
      <c r="W5674" t="s">
        <v>41892</v>
      </c>
      <c r="X5674" t="s">
        <v>45103</v>
      </c>
    </row>
    <row r="5675" spans="1:24">
      <c r="A5675">
        <f>HYPERLINK("https://www.philgeps.gov.ph/GEPSNONPILOT/Tender/SplashBidNoticeAbstractUI.aspx?menuIndex=3&amp;refID=7039307&amp;Result=3","7039307")</f>
        <v>0</v>
      </c>
      <c r="B5675" t="s">
        <v>1833</v>
      </c>
      <c r="C5675" t="s">
        <v>8619</v>
      </c>
      <c r="D5675" t="s">
        <v>18036</v>
      </c>
      <c r="E5675" t="s">
        <v>23173</v>
      </c>
      <c r="F5675" t="s">
        <v>31574</v>
      </c>
      <c r="G5675" t="s">
        <v>31583</v>
      </c>
      <c r="H5675" t="s">
        <v>31590</v>
      </c>
      <c r="I5675" t="s">
        <v>6800</v>
      </c>
      <c r="J5675" t="s">
        <v>35396</v>
      </c>
      <c r="K5675" t="s">
        <v>41191</v>
      </c>
      <c r="M5675" t="s">
        <v>43469</v>
      </c>
      <c r="N5675" t="s">
        <v>45095</v>
      </c>
      <c r="O5675" t="s">
        <v>45096</v>
      </c>
      <c r="P5675">
        <v>0</v>
      </c>
      <c r="Q5675">
        <v>0</v>
      </c>
      <c r="R5675" t="s">
        <v>45102</v>
      </c>
      <c r="S5675" t="s">
        <v>45242</v>
      </c>
      <c r="T5675" t="s">
        <v>47162</v>
      </c>
      <c r="U5675" t="s">
        <v>52240</v>
      </c>
      <c r="V5675" t="s">
        <v>60453</v>
      </c>
      <c r="W5675" t="s">
        <v>43469</v>
      </c>
      <c r="X5675" t="s">
        <v>45103</v>
      </c>
    </row>
    <row r="5676" spans="1:24">
      <c r="A5676">
        <f>HYPERLINK("https://www.philgeps.gov.ph/GEPSNONPILOT/Tender/SplashBidNoticeAbstractUI.aspx?menuIndex=3&amp;refID=7039317&amp;Result=3","7039317")</f>
        <v>0</v>
      </c>
      <c r="B5676" t="s">
        <v>841</v>
      </c>
      <c r="C5676" t="s">
        <v>8620</v>
      </c>
      <c r="D5676" t="s">
        <v>18101</v>
      </c>
      <c r="E5676" t="s">
        <v>23174</v>
      </c>
      <c r="F5676" t="s">
        <v>31574</v>
      </c>
      <c r="G5676" t="s">
        <v>31582</v>
      </c>
      <c r="H5676" t="s">
        <v>31591</v>
      </c>
      <c r="I5676" t="s">
        <v>8822</v>
      </c>
      <c r="J5676" t="s">
        <v>35397</v>
      </c>
      <c r="K5676" t="s">
        <v>41189</v>
      </c>
      <c r="M5676" t="s">
        <v>42360</v>
      </c>
      <c r="N5676" t="s">
        <v>45095</v>
      </c>
      <c r="O5676" t="s">
        <v>45096</v>
      </c>
      <c r="P5676">
        <v>0</v>
      </c>
      <c r="Q5676">
        <v>0</v>
      </c>
      <c r="R5676" t="s">
        <v>45102</v>
      </c>
      <c r="S5676" t="s">
        <v>45242</v>
      </c>
      <c r="T5676" t="s">
        <v>46938</v>
      </c>
      <c r="U5676" t="s">
        <v>52241</v>
      </c>
      <c r="W5676" t="s">
        <v>42360</v>
      </c>
      <c r="X5676" t="s">
        <v>45103</v>
      </c>
    </row>
    <row r="5677" spans="1:24">
      <c r="A5677">
        <f>HYPERLINK("https://www.philgeps.gov.ph/GEPSNONPILOT/Tender/SplashBidNoticeAbstractUI.aspx?menuIndex=3&amp;refID=7039315&amp;Result=3","7039315")</f>
        <v>0</v>
      </c>
      <c r="B5677" t="s">
        <v>1832</v>
      </c>
      <c r="C5677" t="s">
        <v>8621</v>
      </c>
      <c r="D5677" t="s">
        <v>18034</v>
      </c>
      <c r="E5677" t="s">
        <v>23175</v>
      </c>
      <c r="F5677" t="s">
        <v>31574</v>
      </c>
      <c r="G5677" t="s">
        <v>31582</v>
      </c>
      <c r="H5677" t="s">
        <v>31590</v>
      </c>
      <c r="I5677" t="s">
        <v>3651</v>
      </c>
      <c r="J5677" t="s">
        <v>32359</v>
      </c>
      <c r="K5677" t="s">
        <v>41184</v>
      </c>
      <c r="M5677" t="s">
        <v>43468</v>
      </c>
      <c r="N5677" t="s">
        <v>45095</v>
      </c>
      <c r="O5677" t="s">
        <v>45096</v>
      </c>
      <c r="P5677">
        <v>0</v>
      </c>
      <c r="Q5677">
        <v>1</v>
      </c>
      <c r="R5677" t="s">
        <v>45102</v>
      </c>
      <c r="S5677" t="s">
        <v>45242</v>
      </c>
      <c r="T5677" t="s">
        <v>46973</v>
      </c>
      <c r="U5677" t="s">
        <v>52242</v>
      </c>
      <c r="W5677" t="s">
        <v>43468</v>
      </c>
      <c r="X5677" t="s">
        <v>45103</v>
      </c>
    </row>
    <row r="5678" spans="1:24">
      <c r="A5678">
        <f>HYPERLINK("https://www.philgeps.gov.ph/GEPSNONPILOT/Tender/SplashBidNoticeAbstractUI.aspx?menuIndex=3&amp;refID=7039310&amp;Result=3","7039310")</f>
        <v>0</v>
      </c>
      <c r="B5678" t="s">
        <v>312</v>
      </c>
      <c r="C5678" t="s">
        <v>8622</v>
      </c>
      <c r="D5678" t="s">
        <v>18024</v>
      </c>
      <c r="E5678" t="s">
        <v>23176</v>
      </c>
      <c r="F5678" t="s">
        <v>31574</v>
      </c>
      <c r="G5678" t="s">
        <v>31581</v>
      </c>
      <c r="H5678" t="s">
        <v>31590</v>
      </c>
      <c r="I5678" t="s">
        <v>4046</v>
      </c>
      <c r="J5678" t="s">
        <v>35248</v>
      </c>
      <c r="K5678" t="s">
        <v>41196</v>
      </c>
      <c r="M5678" t="s">
        <v>41799</v>
      </c>
      <c r="N5678" t="s">
        <v>45095</v>
      </c>
      <c r="O5678" t="s">
        <v>45096</v>
      </c>
      <c r="P5678">
        <v>0</v>
      </c>
      <c r="Q5678">
        <v>0</v>
      </c>
      <c r="R5678" t="s">
        <v>45102</v>
      </c>
      <c r="S5678" t="s">
        <v>45242</v>
      </c>
      <c r="T5678" t="s">
        <v>47183</v>
      </c>
      <c r="U5678" t="s">
        <v>52029</v>
      </c>
      <c r="W5678" t="s">
        <v>41799</v>
      </c>
      <c r="X5678" t="s">
        <v>45103</v>
      </c>
    </row>
    <row r="5679" spans="1:24">
      <c r="A5679">
        <f>HYPERLINK("https://www.philgeps.gov.ph/GEPSNONPILOT/Tender/SplashBidNoticeAbstractUI.aspx?menuIndex=3&amp;refID=7039318&amp;Result=3","7039318")</f>
        <v>0</v>
      </c>
      <c r="B5679" t="s">
        <v>564</v>
      </c>
      <c r="C5679" t="s">
        <v>8623</v>
      </c>
      <c r="D5679" t="s">
        <v>18057</v>
      </c>
      <c r="E5679" t="s">
        <v>23177</v>
      </c>
      <c r="F5679" t="s">
        <v>31574</v>
      </c>
      <c r="G5679" t="s">
        <v>31582</v>
      </c>
      <c r="H5679" t="s">
        <v>31591</v>
      </c>
      <c r="I5679" t="s">
        <v>8822</v>
      </c>
      <c r="J5679" t="s">
        <v>35398</v>
      </c>
      <c r="K5679" t="s">
        <v>41203</v>
      </c>
      <c r="M5679" t="s">
        <v>43448</v>
      </c>
      <c r="N5679" t="s">
        <v>45095</v>
      </c>
      <c r="O5679" t="s">
        <v>45096</v>
      </c>
      <c r="P5679">
        <v>0</v>
      </c>
      <c r="Q5679">
        <v>0</v>
      </c>
      <c r="R5679" t="s">
        <v>45102</v>
      </c>
      <c r="S5679" t="s">
        <v>45242</v>
      </c>
      <c r="T5679" t="s">
        <v>47263</v>
      </c>
      <c r="U5679" t="s">
        <v>52243</v>
      </c>
      <c r="W5679" t="s">
        <v>43448</v>
      </c>
      <c r="X5679" t="s">
        <v>45103</v>
      </c>
    </row>
    <row r="5680" spans="1:24">
      <c r="A5680">
        <f>HYPERLINK("https://www.philgeps.gov.ph/GEPSNONPILOT/Tender/SplashBidNoticeAbstractUI.aspx?menuIndex=3&amp;refID=7039325&amp;Result=3","7039325")</f>
        <v>0</v>
      </c>
      <c r="B5680" t="s">
        <v>1305</v>
      </c>
      <c r="C5680" t="s">
        <v>8615</v>
      </c>
      <c r="D5680" t="s">
        <v>18101</v>
      </c>
      <c r="E5680" t="s">
        <v>23178</v>
      </c>
      <c r="F5680" t="s">
        <v>31574</v>
      </c>
      <c r="G5680" t="s">
        <v>31581</v>
      </c>
      <c r="H5680" t="s">
        <v>31590</v>
      </c>
      <c r="I5680" t="s">
        <v>14544</v>
      </c>
      <c r="J5680" t="s">
        <v>35399</v>
      </c>
      <c r="K5680" t="s">
        <v>41196</v>
      </c>
      <c r="M5680" t="s">
        <v>42875</v>
      </c>
      <c r="N5680" t="s">
        <v>45095</v>
      </c>
      <c r="O5680" t="s">
        <v>45096</v>
      </c>
      <c r="P5680">
        <v>0</v>
      </c>
      <c r="Q5680">
        <v>0</v>
      </c>
      <c r="R5680" t="s">
        <v>45102</v>
      </c>
      <c r="S5680" t="s">
        <v>45242</v>
      </c>
      <c r="T5680" t="s">
        <v>47154</v>
      </c>
      <c r="U5680" t="s">
        <v>52244</v>
      </c>
      <c r="W5680" t="s">
        <v>42875</v>
      </c>
      <c r="X5680" t="s">
        <v>45103</v>
      </c>
    </row>
    <row r="5681" spans="1:24">
      <c r="A5681">
        <f>HYPERLINK("https://www.philgeps.gov.ph/GEPSNONPILOT/Tender/SplashBidNoticeAbstractUI.aspx?menuIndex=3&amp;refID=7039289&amp;Result=3","7039289")</f>
        <v>0</v>
      </c>
      <c r="B5681" t="s">
        <v>1819</v>
      </c>
      <c r="C5681" t="s">
        <v>8624</v>
      </c>
      <c r="D5681" t="s">
        <v>18027</v>
      </c>
      <c r="E5681" t="s">
        <v>23179</v>
      </c>
      <c r="F5681" t="s">
        <v>31574</v>
      </c>
      <c r="G5681" t="s">
        <v>31582</v>
      </c>
      <c r="H5681" t="s">
        <v>31591</v>
      </c>
      <c r="I5681" t="s">
        <v>8822</v>
      </c>
      <c r="J5681" t="s">
        <v>34685</v>
      </c>
      <c r="K5681" t="s">
        <v>41203</v>
      </c>
      <c r="L5681" t="s">
        <v>1819</v>
      </c>
      <c r="M5681" t="s">
        <v>43454</v>
      </c>
      <c r="N5681" t="s">
        <v>45095</v>
      </c>
      <c r="O5681" t="s">
        <v>45096</v>
      </c>
      <c r="P5681">
        <v>0</v>
      </c>
      <c r="Q5681">
        <v>0</v>
      </c>
      <c r="R5681" t="s">
        <v>45102</v>
      </c>
      <c r="S5681" t="s">
        <v>45242</v>
      </c>
      <c r="T5681" t="s">
        <v>47190</v>
      </c>
      <c r="U5681" t="s">
        <v>52180</v>
      </c>
      <c r="W5681" t="s">
        <v>43454</v>
      </c>
      <c r="X5681" t="s">
        <v>45103</v>
      </c>
    </row>
    <row r="5682" spans="1:24">
      <c r="A5682">
        <f>HYPERLINK("https://www.philgeps.gov.ph/GEPSNONPILOT/Tender/SplashBidNoticeAbstractUI.aspx?menuIndex=3&amp;refID=7039298&amp;Result=3","7039298")</f>
        <v>0</v>
      </c>
      <c r="B5682" t="s">
        <v>1819</v>
      </c>
      <c r="C5682" t="s">
        <v>8625</v>
      </c>
      <c r="D5682" t="s">
        <v>18027</v>
      </c>
      <c r="E5682" t="s">
        <v>23180</v>
      </c>
      <c r="F5682" t="s">
        <v>31574</v>
      </c>
      <c r="G5682" t="s">
        <v>31582</v>
      </c>
      <c r="H5682" t="s">
        <v>31591</v>
      </c>
      <c r="I5682" t="s">
        <v>8822</v>
      </c>
      <c r="J5682" t="s">
        <v>34923</v>
      </c>
      <c r="K5682" t="s">
        <v>41192</v>
      </c>
      <c r="L5682" t="s">
        <v>1819</v>
      </c>
      <c r="M5682" t="s">
        <v>43454</v>
      </c>
      <c r="N5682" t="s">
        <v>45095</v>
      </c>
      <c r="O5682" t="s">
        <v>45096</v>
      </c>
      <c r="P5682">
        <v>0</v>
      </c>
      <c r="Q5682">
        <v>0</v>
      </c>
      <c r="R5682" t="s">
        <v>45102</v>
      </c>
      <c r="S5682" t="s">
        <v>45242</v>
      </c>
      <c r="T5682" t="s">
        <v>47190</v>
      </c>
      <c r="U5682" t="s">
        <v>52180</v>
      </c>
      <c r="W5682" t="s">
        <v>43454</v>
      </c>
      <c r="X5682" t="s">
        <v>45103</v>
      </c>
    </row>
    <row r="5683" spans="1:24">
      <c r="A5683">
        <f>HYPERLINK("https://www.philgeps.gov.ph/GEPSNONPILOT/Tender/SplashBidNoticeAbstractUI.aspx?menuIndex=3&amp;refID=7039348&amp;Result=3","7039348")</f>
        <v>0</v>
      </c>
      <c r="B5683" t="s">
        <v>1837</v>
      </c>
      <c r="C5683" t="s">
        <v>8626</v>
      </c>
      <c r="D5683" t="s">
        <v>18040</v>
      </c>
      <c r="E5683" t="s">
        <v>23181</v>
      </c>
      <c r="F5683" t="s">
        <v>31574</v>
      </c>
      <c r="G5683" t="s">
        <v>31581</v>
      </c>
      <c r="H5683" t="s">
        <v>31591</v>
      </c>
      <c r="I5683" t="s">
        <v>8822</v>
      </c>
      <c r="J5683" t="s">
        <v>31744</v>
      </c>
      <c r="K5683" t="s">
        <v>41190</v>
      </c>
      <c r="M5683" t="s">
        <v>43474</v>
      </c>
      <c r="N5683" t="s">
        <v>45095</v>
      </c>
      <c r="O5683" t="s">
        <v>45096</v>
      </c>
      <c r="P5683">
        <v>0</v>
      </c>
      <c r="Q5683">
        <v>0</v>
      </c>
      <c r="R5683" t="s">
        <v>45102</v>
      </c>
      <c r="S5683" t="s">
        <v>45242</v>
      </c>
      <c r="T5683" t="s">
        <v>46982</v>
      </c>
      <c r="U5683" t="s">
        <v>52245</v>
      </c>
      <c r="W5683" t="s">
        <v>43474</v>
      </c>
      <c r="X5683" t="s">
        <v>45103</v>
      </c>
    </row>
    <row r="5684" spans="1:24">
      <c r="A5684">
        <f>HYPERLINK("https://www.philgeps.gov.ph/GEPSNONPILOT/Tender/SplashBidNoticeAbstractUI.aspx?menuIndex=3&amp;refID=7039336&amp;Result=3","7039336")</f>
        <v>0</v>
      </c>
      <c r="B5684" t="s">
        <v>1838</v>
      </c>
      <c r="C5684" t="s">
        <v>8627</v>
      </c>
      <c r="D5684" t="s">
        <v>18026</v>
      </c>
      <c r="E5684" t="s">
        <v>23182</v>
      </c>
      <c r="F5684" t="s">
        <v>31574</v>
      </c>
      <c r="G5684" t="s">
        <v>31581</v>
      </c>
      <c r="H5684" t="s">
        <v>31590</v>
      </c>
      <c r="I5684" t="s">
        <v>4046</v>
      </c>
      <c r="J5684" t="s">
        <v>35400</v>
      </c>
      <c r="K5684" t="s">
        <v>41186</v>
      </c>
      <c r="M5684" t="s">
        <v>43475</v>
      </c>
      <c r="N5684" t="s">
        <v>45095</v>
      </c>
      <c r="O5684" t="s">
        <v>45096</v>
      </c>
      <c r="P5684">
        <v>0</v>
      </c>
      <c r="Q5684">
        <v>0</v>
      </c>
      <c r="R5684" t="s">
        <v>45102</v>
      </c>
      <c r="S5684" t="s">
        <v>45242</v>
      </c>
      <c r="T5684" t="s">
        <v>46918</v>
      </c>
      <c r="U5684" t="s">
        <v>52246</v>
      </c>
      <c r="W5684" t="s">
        <v>61719</v>
      </c>
      <c r="X5684" t="s">
        <v>45103</v>
      </c>
    </row>
    <row r="5685" spans="1:24">
      <c r="A5685">
        <f>HYPERLINK("https://www.philgeps.gov.ph/GEPSNONPILOT/Tender/SplashBidNoticeAbstractUI.aspx?menuIndex=3&amp;refID=7039347&amp;Result=3","7039347")</f>
        <v>0</v>
      </c>
      <c r="B5685" t="s">
        <v>1310</v>
      </c>
      <c r="C5685" t="s">
        <v>8628</v>
      </c>
      <c r="D5685" t="s">
        <v>18074</v>
      </c>
      <c r="E5685" t="s">
        <v>23183</v>
      </c>
      <c r="F5685" t="s">
        <v>31574</v>
      </c>
      <c r="G5685" t="s">
        <v>31582</v>
      </c>
      <c r="H5685" t="s">
        <v>31590</v>
      </c>
      <c r="I5685" t="s">
        <v>6800</v>
      </c>
      <c r="J5685" t="s">
        <v>35401</v>
      </c>
      <c r="K5685" t="s">
        <v>41190</v>
      </c>
      <c r="M5685" t="s">
        <v>42880</v>
      </c>
      <c r="N5685" t="s">
        <v>45095</v>
      </c>
      <c r="O5685" t="s">
        <v>45096</v>
      </c>
      <c r="P5685">
        <v>0</v>
      </c>
      <c r="Q5685">
        <v>0</v>
      </c>
      <c r="R5685" t="s">
        <v>45102</v>
      </c>
      <c r="S5685" t="s">
        <v>45242</v>
      </c>
      <c r="T5685" t="s">
        <v>47043</v>
      </c>
      <c r="U5685" t="s">
        <v>52247</v>
      </c>
      <c r="W5685" t="s">
        <v>42880</v>
      </c>
      <c r="X5685" t="s">
        <v>45103</v>
      </c>
    </row>
    <row r="5686" spans="1:24">
      <c r="A5686">
        <f>HYPERLINK("https://www.philgeps.gov.ph/GEPSNONPILOT/Tender/SplashBidNoticeAbstractUI.aspx?menuIndex=3&amp;refID=7039333&amp;Result=3","7039333")</f>
        <v>0</v>
      </c>
      <c r="B5686" t="s">
        <v>73</v>
      </c>
      <c r="C5686" t="s">
        <v>8629</v>
      </c>
      <c r="D5686" t="s">
        <v>18041</v>
      </c>
      <c r="E5686" t="s">
        <v>23184</v>
      </c>
      <c r="F5686" t="s">
        <v>31574</v>
      </c>
      <c r="G5686" t="s">
        <v>31582</v>
      </c>
      <c r="H5686" t="s">
        <v>31590</v>
      </c>
      <c r="I5686" t="s">
        <v>7185</v>
      </c>
      <c r="J5686" t="s">
        <v>35402</v>
      </c>
      <c r="K5686" t="s">
        <v>41184</v>
      </c>
      <c r="M5686" t="s">
        <v>41557</v>
      </c>
      <c r="N5686" t="s">
        <v>45095</v>
      </c>
      <c r="O5686" t="s">
        <v>45096</v>
      </c>
      <c r="P5686">
        <v>0</v>
      </c>
      <c r="Q5686">
        <v>1</v>
      </c>
      <c r="R5686" t="s">
        <v>45102</v>
      </c>
      <c r="S5686" t="s">
        <v>45242</v>
      </c>
      <c r="T5686" t="s">
        <v>47266</v>
      </c>
      <c r="U5686" t="s">
        <v>52248</v>
      </c>
      <c r="V5686" t="s">
        <v>59867</v>
      </c>
      <c r="W5686" t="s">
        <v>41557</v>
      </c>
      <c r="X5686" t="s">
        <v>45103</v>
      </c>
    </row>
    <row r="5687" spans="1:24">
      <c r="A5687">
        <f>HYPERLINK("https://www.philgeps.gov.ph/GEPSNONPILOT/Tender/SplashBidNoticeAbstractUI.aspx?menuIndex=3&amp;refID=7039332&amp;Result=3","7039332")</f>
        <v>0</v>
      </c>
      <c r="B5687" t="s">
        <v>54</v>
      </c>
      <c r="C5687" t="s">
        <v>8630</v>
      </c>
      <c r="D5687" t="s">
        <v>18045</v>
      </c>
      <c r="E5687" t="s">
        <v>23185</v>
      </c>
      <c r="F5687" t="s">
        <v>31574</v>
      </c>
      <c r="G5687" t="s">
        <v>31582</v>
      </c>
      <c r="H5687" t="s">
        <v>31590</v>
      </c>
      <c r="I5687" t="s">
        <v>31629</v>
      </c>
      <c r="J5687" t="s">
        <v>35045</v>
      </c>
      <c r="K5687" t="s">
        <v>41186</v>
      </c>
      <c r="M5687" t="s">
        <v>41538</v>
      </c>
      <c r="N5687" t="s">
        <v>45095</v>
      </c>
      <c r="O5687" t="s">
        <v>45096</v>
      </c>
      <c r="P5687">
        <v>0</v>
      </c>
      <c r="Q5687">
        <v>0</v>
      </c>
      <c r="R5687" t="s">
        <v>45102</v>
      </c>
      <c r="S5687" t="s">
        <v>45242</v>
      </c>
      <c r="T5687" t="s">
        <v>46919</v>
      </c>
      <c r="U5687" t="s">
        <v>52249</v>
      </c>
      <c r="W5687" t="s">
        <v>41538</v>
      </c>
      <c r="X5687" t="s">
        <v>45103</v>
      </c>
    </row>
    <row r="5688" spans="1:24">
      <c r="A5688">
        <f>HYPERLINK("https://www.philgeps.gov.ph/GEPSNONPILOT/Tender/SplashBidNoticeAbstractUI.aspx?menuIndex=3&amp;refID=7039335&amp;Result=3","7039335")</f>
        <v>0</v>
      </c>
      <c r="B5688" t="s">
        <v>1196</v>
      </c>
      <c r="C5688" t="s">
        <v>8631</v>
      </c>
      <c r="D5688" t="s">
        <v>18026</v>
      </c>
      <c r="E5688" t="s">
        <v>23186</v>
      </c>
      <c r="F5688" t="s">
        <v>31574</v>
      </c>
      <c r="G5688" t="s">
        <v>31585</v>
      </c>
      <c r="H5688" t="s">
        <v>31590</v>
      </c>
      <c r="I5688" t="s">
        <v>31608</v>
      </c>
      <c r="J5688" t="s">
        <v>34014</v>
      </c>
      <c r="K5688" t="s">
        <v>41190</v>
      </c>
      <c r="M5688" t="s">
        <v>43471</v>
      </c>
      <c r="N5688" t="s">
        <v>45095</v>
      </c>
      <c r="O5688" t="s">
        <v>45096</v>
      </c>
      <c r="P5688">
        <v>0</v>
      </c>
      <c r="Q5688">
        <v>2</v>
      </c>
      <c r="R5688" t="s">
        <v>45102</v>
      </c>
      <c r="S5688" t="s">
        <v>45242</v>
      </c>
      <c r="T5688" t="s">
        <v>46963</v>
      </c>
      <c r="U5688" t="s">
        <v>52250</v>
      </c>
      <c r="W5688" t="s">
        <v>61718</v>
      </c>
      <c r="X5688" t="s">
        <v>45103</v>
      </c>
    </row>
    <row r="5689" spans="1:24">
      <c r="A5689">
        <f>HYPERLINK("https://www.philgeps.gov.ph/GEPSNONPILOT/Tender/SplashBidNoticeAbstractUI.aspx?menuIndex=3&amp;refID=7039326&amp;Result=3","7039326")</f>
        <v>0</v>
      </c>
      <c r="B5689" t="s">
        <v>228</v>
      </c>
      <c r="C5689" t="s">
        <v>8632</v>
      </c>
      <c r="D5689" t="s">
        <v>18059</v>
      </c>
      <c r="E5689" t="s">
        <v>23187</v>
      </c>
      <c r="F5689" t="s">
        <v>31575</v>
      </c>
      <c r="G5689" t="s">
        <v>31582</v>
      </c>
      <c r="H5689" t="s">
        <v>31590</v>
      </c>
      <c r="I5689" t="s">
        <v>31601</v>
      </c>
      <c r="J5689" t="s">
        <v>35403</v>
      </c>
      <c r="K5689" t="s">
        <v>41191</v>
      </c>
      <c r="M5689" t="s">
        <v>41713</v>
      </c>
      <c r="N5689" t="s">
        <v>45095</v>
      </c>
      <c r="O5689" t="s">
        <v>45096</v>
      </c>
      <c r="P5689">
        <v>0</v>
      </c>
      <c r="Q5689">
        <v>0</v>
      </c>
      <c r="R5689" t="s">
        <v>45102</v>
      </c>
      <c r="S5689" t="s">
        <v>45242</v>
      </c>
      <c r="T5689" t="s">
        <v>46966</v>
      </c>
      <c r="U5689" t="s">
        <v>52251</v>
      </c>
      <c r="W5689" t="s">
        <v>41713</v>
      </c>
      <c r="X5689" t="s">
        <v>45103</v>
      </c>
    </row>
    <row r="5690" spans="1:24">
      <c r="A5690">
        <f>HYPERLINK("https://www.philgeps.gov.ph/GEPSNONPILOT/Tender/SplashBidNoticeAbstractUI.aspx?menuIndex=3&amp;refID=7039341&amp;Result=3","7039341")</f>
        <v>0</v>
      </c>
      <c r="B5690" t="s">
        <v>1832</v>
      </c>
      <c r="C5690" t="s">
        <v>8633</v>
      </c>
      <c r="D5690" t="s">
        <v>18034</v>
      </c>
      <c r="E5690" t="s">
        <v>23188</v>
      </c>
      <c r="F5690" t="s">
        <v>31574</v>
      </c>
      <c r="G5690" t="s">
        <v>31582</v>
      </c>
      <c r="H5690" t="s">
        <v>31590</v>
      </c>
      <c r="I5690" t="s">
        <v>31629</v>
      </c>
      <c r="J5690" t="s">
        <v>35404</v>
      </c>
      <c r="K5690" t="s">
        <v>41191</v>
      </c>
      <c r="M5690" t="s">
        <v>43468</v>
      </c>
      <c r="N5690" t="s">
        <v>45095</v>
      </c>
      <c r="O5690" t="s">
        <v>45096</v>
      </c>
      <c r="P5690">
        <v>0</v>
      </c>
      <c r="Q5690">
        <v>0</v>
      </c>
      <c r="R5690" t="s">
        <v>45102</v>
      </c>
      <c r="S5690" t="s">
        <v>45242</v>
      </c>
      <c r="T5690" t="s">
        <v>46973</v>
      </c>
      <c r="U5690" t="s">
        <v>52252</v>
      </c>
      <c r="W5690" t="s">
        <v>43468</v>
      </c>
      <c r="X5690" t="s">
        <v>45103</v>
      </c>
    </row>
    <row r="5691" spans="1:24">
      <c r="A5691">
        <f>HYPERLINK("https://www.philgeps.gov.ph/GEPSNONPILOT/Tender/SplashBidNoticeAbstractUI.aspx?menuIndex=3&amp;refID=7039359&amp;Result=3","7039359")</f>
        <v>0</v>
      </c>
      <c r="B5691" t="s">
        <v>977</v>
      </c>
      <c r="C5691" t="s">
        <v>8634</v>
      </c>
      <c r="D5691" t="s">
        <v>18074</v>
      </c>
      <c r="E5691" t="s">
        <v>23189</v>
      </c>
      <c r="F5691" t="s">
        <v>31574</v>
      </c>
      <c r="G5691" t="s">
        <v>31582</v>
      </c>
      <c r="H5691" t="s">
        <v>31590</v>
      </c>
      <c r="I5691" t="s">
        <v>31704</v>
      </c>
      <c r="J5691" t="s">
        <v>35405</v>
      </c>
      <c r="K5691" t="s">
        <v>41196</v>
      </c>
      <c r="M5691" t="s">
        <v>42509</v>
      </c>
      <c r="N5691" t="s">
        <v>45095</v>
      </c>
      <c r="O5691" t="s">
        <v>45096</v>
      </c>
      <c r="P5691">
        <v>0</v>
      </c>
      <c r="Q5691">
        <v>1</v>
      </c>
      <c r="R5691" t="s">
        <v>45102</v>
      </c>
      <c r="S5691" t="s">
        <v>45242</v>
      </c>
      <c r="T5691" t="s">
        <v>46972</v>
      </c>
      <c r="U5691" t="s">
        <v>52195</v>
      </c>
      <c r="W5691" t="s">
        <v>42509</v>
      </c>
      <c r="X5691" t="s">
        <v>45103</v>
      </c>
    </row>
    <row r="5692" spans="1:24">
      <c r="A5692">
        <f>HYPERLINK("https://www.philgeps.gov.ph/GEPSNONPILOT/Tender/SplashBidNoticeAbstractUI.aspx?menuIndex=3&amp;refID=7039357&amp;Result=3","7039357")</f>
        <v>0</v>
      </c>
      <c r="B5692" t="s">
        <v>264</v>
      </c>
      <c r="C5692" t="s">
        <v>8635</v>
      </c>
      <c r="D5692" t="s">
        <v>18066</v>
      </c>
      <c r="E5692" t="s">
        <v>18406</v>
      </c>
      <c r="F5692" t="s">
        <v>31574</v>
      </c>
      <c r="G5692" t="s">
        <v>31582</v>
      </c>
      <c r="H5692" t="s">
        <v>31590</v>
      </c>
      <c r="I5692" t="s">
        <v>3487</v>
      </c>
      <c r="J5692" t="s">
        <v>35406</v>
      </c>
      <c r="K5692" t="s">
        <v>41184</v>
      </c>
      <c r="M5692" t="s">
        <v>41750</v>
      </c>
      <c r="N5692" t="s">
        <v>45095</v>
      </c>
      <c r="O5692" t="s">
        <v>45096</v>
      </c>
      <c r="P5692">
        <v>0</v>
      </c>
      <c r="Q5692">
        <v>2</v>
      </c>
      <c r="R5692" t="s">
        <v>45102</v>
      </c>
      <c r="S5692" t="s">
        <v>45242</v>
      </c>
      <c r="T5692" t="s">
        <v>47134</v>
      </c>
      <c r="U5692" t="s">
        <v>52253</v>
      </c>
      <c r="W5692" t="s">
        <v>61674</v>
      </c>
      <c r="X5692" t="s">
        <v>45103</v>
      </c>
    </row>
    <row r="5693" spans="1:24">
      <c r="A5693">
        <f>HYPERLINK("https://www.philgeps.gov.ph/GEPSNONPILOT/Tender/SplashBidNoticeAbstractUI.aspx?menuIndex=3&amp;refID=7039337&amp;Result=3","7039337")</f>
        <v>0</v>
      </c>
      <c r="B5693" t="s">
        <v>1594</v>
      </c>
      <c r="C5693" t="s">
        <v>7722</v>
      </c>
      <c r="D5693" t="s">
        <v>18022</v>
      </c>
      <c r="E5693" t="s">
        <v>23190</v>
      </c>
      <c r="F5693" t="s">
        <v>31574</v>
      </c>
      <c r="G5693" t="s">
        <v>31584</v>
      </c>
      <c r="H5693" t="s">
        <v>31590</v>
      </c>
      <c r="I5693" t="s">
        <v>31595</v>
      </c>
      <c r="J5693" t="s">
        <v>32355</v>
      </c>
      <c r="K5693" t="s">
        <v>41191</v>
      </c>
      <c r="M5693" t="s">
        <v>43198</v>
      </c>
      <c r="N5693" t="s">
        <v>45095</v>
      </c>
      <c r="O5693" t="s">
        <v>45096</v>
      </c>
      <c r="P5693">
        <v>0</v>
      </c>
      <c r="Q5693">
        <v>10</v>
      </c>
      <c r="R5693" t="s">
        <v>45102</v>
      </c>
      <c r="S5693" t="s">
        <v>45242</v>
      </c>
      <c r="T5693" t="s">
        <v>47067</v>
      </c>
      <c r="U5693" t="s">
        <v>52254</v>
      </c>
      <c r="W5693" t="s">
        <v>43198</v>
      </c>
      <c r="X5693" t="s">
        <v>45103</v>
      </c>
    </row>
    <row r="5694" spans="1:24">
      <c r="A5694">
        <f>HYPERLINK("https://www.philgeps.gov.ph/GEPSNONPILOT/Tender/SplashBidNoticeAbstractUI.aspx?menuIndex=3&amp;refID=7039350&amp;Result=3","7039350")</f>
        <v>0</v>
      </c>
      <c r="B5694" t="s">
        <v>1839</v>
      </c>
      <c r="C5694" t="s">
        <v>8636</v>
      </c>
      <c r="D5694" t="s">
        <v>18063</v>
      </c>
      <c r="E5694" t="s">
        <v>23191</v>
      </c>
      <c r="F5694" t="s">
        <v>31574</v>
      </c>
      <c r="G5694" t="s">
        <v>31583</v>
      </c>
      <c r="H5694" t="s">
        <v>31590</v>
      </c>
      <c r="I5694" t="s">
        <v>31619</v>
      </c>
      <c r="J5694" t="s">
        <v>32969</v>
      </c>
      <c r="K5694" t="s">
        <v>41190</v>
      </c>
      <c r="M5694" t="s">
        <v>43476</v>
      </c>
      <c r="N5694" t="s">
        <v>45095</v>
      </c>
      <c r="O5694" t="s">
        <v>45096</v>
      </c>
      <c r="P5694">
        <v>0</v>
      </c>
      <c r="Q5694">
        <v>2</v>
      </c>
      <c r="R5694" t="s">
        <v>45102</v>
      </c>
      <c r="S5694" t="s">
        <v>45242</v>
      </c>
      <c r="T5694" t="s">
        <v>47058</v>
      </c>
      <c r="U5694" t="s">
        <v>52255</v>
      </c>
      <c r="W5694" t="s">
        <v>43476</v>
      </c>
      <c r="X5694" t="s">
        <v>45103</v>
      </c>
    </row>
    <row r="5695" spans="1:24">
      <c r="A5695">
        <f>HYPERLINK("https://www.philgeps.gov.ph/GEPSNONPILOT/Tender/SplashBidNoticeAbstractUI.aspx?menuIndex=3&amp;refID=7039358&amp;Result=3","7039358")</f>
        <v>0</v>
      </c>
      <c r="B5695" t="s">
        <v>162</v>
      </c>
      <c r="C5695" t="s">
        <v>8637</v>
      </c>
      <c r="D5695" t="s">
        <v>18067</v>
      </c>
      <c r="E5695" t="s">
        <v>23192</v>
      </c>
      <c r="F5695" t="s">
        <v>31574</v>
      </c>
      <c r="G5695" t="s">
        <v>31584</v>
      </c>
      <c r="H5695" t="s">
        <v>31590</v>
      </c>
      <c r="I5695" t="s">
        <v>7185</v>
      </c>
      <c r="J5695" t="s">
        <v>34518</v>
      </c>
      <c r="K5695" t="s">
        <v>41186</v>
      </c>
      <c r="M5695" t="s">
        <v>41646</v>
      </c>
      <c r="N5695" t="s">
        <v>45095</v>
      </c>
      <c r="O5695" t="s">
        <v>45096</v>
      </c>
      <c r="P5695">
        <v>0</v>
      </c>
      <c r="Q5695">
        <v>1</v>
      </c>
      <c r="R5695" t="s">
        <v>45102</v>
      </c>
      <c r="S5695" t="s">
        <v>45242</v>
      </c>
      <c r="T5695" t="s">
        <v>47159</v>
      </c>
      <c r="U5695" t="s">
        <v>52256</v>
      </c>
      <c r="W5695" t="s">
        <v>41646</v>
      </c>
      <c r="X5695" t="s">
        <v>45103</v>
      </c>
    </row>
    <row r="5696" spans="1:24">
      <c r="A5696">
        <f>HYPERLINK("https://www.philgeps.gov.ph/GEPSNONPILOT/Tender/SplashBidNoticeAbstractUI.aspx?menuIndex=3&amp;refID=7039355&amp;Result=3","7039355")</f>
        <v>0</v>
      </c>
      <c r="B5696" t="s">
        <v>1819</v>
      </c>
      <c r="C5696" t="s">
        <v>8638</v>
      </c>
      <c r="D5696" t="s">
        <v>18027</v>
      </c>
      <c r="E5696" t="s">
        <v>23193</v>
      </c>
      <c r="F5696" t="s">
        <v>31574</v>
      </c>
      <c r="G5696" t="s">
        <v>31582</v>
      </c>
      <c r="H5696" t="s">
        <v>31591</v>
      </c>
      <c r="I5696" t="s">
        <v>8822</v>
      </c>
      <c r="J5696" t="s">
        <v>31935</v>
      </c>
      <c r="K5696" t="s">
        <v>41186</v>
      </c>
      <c r="L5696" t="s">
        <v>1819</v>
      </c>
      <c r="M5696" t="s">
        <v>43454</v>
      </c>
      <c r="N5696" t="s">
        <v>45095</v>
      </c>
      <c r="O5696" t="s">
        <v>45096</v>
      </c>
      <c r="P5696">
        <v>0</v>
      </c>
      <c r="Q5696">
        <v>0</v>
      </c>
      <c r="R5696" t="s">
        <v>45102</v>
      </c>
      <c r="S5696" t="s">
        <v>45242</v>
      </c>
      <c r="T5696" t="s">
        <v>47190</v>
      </c>
      <c r="U5696" t="s">
        <v>52180</v>
      </c>
      <c r="W5696" t="s">
        <v>43454</v>
      </c>
      <c r="X5696" t="s">
        <v>45103</v>
      </c>
    </row>
    <row r="5697" spans="1:24">
      <c r="A5697">
        <f>HYPERLINK("https://www.philgeps.gov.ph/GEPSNONPILOT/Tender/SplashBidNoticeAbstractUI.aspx?menuIndex=3&amp;refID=7039344&amp;Result=3","7039344")</f>
        <v>0</v>
      </c>
      <c r="B5697" t="s">
        <v>726</v>
      </c>
      <c r="C5697" t="s">
        <v>8639</v>
      </c>
      <c r="D5697" t="s">
        <v>18058</v>
      </c>
      <c r="E5697" t="s">
        <v>23194</v>
      </c>
      <c r="F5697" t="s">
        <v>31574</v>
      </c>
      <c r="G5697" t="s">
        <v>31583</v>
      </c>
      <c r="H5697" t="s">
        <v>31590</v>
      </c>
      <c r="I5697" t="s">
        <v>31605</v>
      </c>
      <c r="J5697" t="s">
        <v>32528</v>
      </c>
      <c r="K5697" t="s">
        <v>41186</v>
      </c>
      <c r="M5697" t="s">
        <v>42236</v>
      </c>
      <c r="N5697" t="s">
        <v>45095</v>
      </c>
      <c r="O5697" t="s">
        <v>45096</v>
      </c>
      <c r="P5697">
        <v>0</v>
      </c>
      <c r="Q5697">
        <v>5</v>
      </c>
      <c r="R5697" t="s">
        <v>45102</v>
      </c>
      <c r="S5697" t="s">
        <v>45242</v>
      </c>
      <c r="T5697" t="s">
        <v>47158</v>
      </c>
      <c r="U5697" t="s">
        <v>52257</v>
      </c>
      <c r="W5697" t="s">
        <v>42236</v>
      </c>
      <c r="X5697" t="s">
        <v>45103</v>
      </c>
    </row>
    <row r="5698" spans="1:24">
      <c r="A5698">
        <f>HYPERLINK("https://www.philgeps.gov.ph/GEPSNONPILOT/Tender/SplashBidNoticeAbstractUI.aspx?menuIndex=3&amp;refID=7039376&amp;Result=3","7039376")</f>
        <v>0</v>
      </c>
      <c r="B5698" t="s">
        <v>312</v>
      </c>
      <c r="C5698" t="s">
        <v>8640</v>
      </c>
      <c r="D5698" t="s">
        <v>18024</v>
      </c>
      <c r="E5698" t="s">
        <v>23195</v>
      </c>
      <c r="F5698" t="s">
        <v>31574</v>
      </c>
      <c r="G5698" t="s">
        <v>31581</v>
      </c>
      <c r="H5698" t="s">
        <v>31590</v>
      </c>
      <c r="I5698" t="s">
        <v>4046</v>
      </c>
      <c r="J5698" t="s">
        <v>35248</v>
      </c>
      <c r="K5698" t="s">
        <v>41196</v>
      </c>
      <c r="M5698" t="s">
        <v>41799</v>
      </c>
      <c r="N5698" t="s">
        <v>45095</v>
      </c>
      <c r="O5698" t="s">
        <v>45096</v>
      </c>
      <c r="P5698">
        <v>0</v>
      </c>
      <c r="Q5698">
        <v>0</v>
      </c>
      <c r="R5698" t="s">
        <v>45102</v>
      </c>
      <c r="S5698" t="s">
        <v>45242</v>
      </c>
      <c r="T5698" t="s">
        <v>47183</v>
      </c>
      <c r="U5698" t="s">
        <v>52029</v>
      </c>
      <c r="W5698" t="s">
        <v>41799</v>
      </c>
      <c r="X5698" t="s">
        <v>45103</v>
      </c>
    </row>
    <row r="5699" spans="1:24">
      <c r="A5699">
        <f>HYPERLINK("https://www.philgeps.gov.ph/GEPSNONPILOT/Tender/SplashBidNoticeAbstractUI.aspx?menuIndex=3&amp;refID=7039360&amp;Result=3","7039360")</f>
        <v>0</v>
      </c>
      <c r="B5699" t="s">
        <v>955</v>
      </c>
      <c r="C5699" t="s">
        <v>8641</v>
      </c>
      <c r="D5699" t="s">
        <v>18043</v>
      </c>
      <c r="E5699" t="s">
        <v>23196</v>
      </c>
      <c r="F5699" t="s">
        <v>31574</v>
      </c>
      <c r="G5699" t="s">
        <v>31582</v>
      </c>
      <c r="H5699" t="s">
        <v>31590</v>
      </c>
      <c r="I5699" t="s">
        <v>4046</v>
      </c>
      <c r="J5699" t="s">
        <v>35407</v>
      </c>
      <c r="K5699" t="s">
        <v>41184</v>
      </c>
      <c r="M5699" t="s">
        <v>42482</v>
      </c>
      <c r="N5699" t="s">
        <v>45095</v>
      </c>
      <c r="O5699" t="s">
        <v>45096</v>
      </c>
      <c r="P5699">
        <v>0</v>
      </c>
      <c r="Q5699">
        <v>0</v>
      </c>
      <c r="R5699" t="s">
        <v>45102</v>
      </c>
      <c r="S5699" t="s">
        <v>45242</v>
      </c>
      <c r="T5699" t="s">
        <v>47267</v>
      </c>
      <c r="U5699" t="s">
        <v>52258</v>
      </c>
      <c r="W5699" t="s">
        <v>42482</v>
      </c>
      <c r="X5699" t="s">
        <v>45103</v>
      </c>
    </row>
    <row r="5700" spans="1:24">
      <c r="A5700">
        <f>HYPERLINK("https://www.philgeps.gov.ph/GEPSNONPILOT/Tender/SplashBidNoticeAbstractUI.aspx?menuIndex=3&amp;refID=7039352&amp;Result=3","7039352")</f>
        <v>0</v>
      </c>
      <c r="B5700" t="s">
        <v>1211</v>
      </c>
      <c r="C5700" t="s">
        <v>8642</v>
      </c>
      <c r="D5700" t="s">
        <v>18041</v>
      </c>
      <c r="E5700" t="s">
        <v>23197</v>
      </c>
      <c r="F5700" t="s">
        <v>31574</v>
      </c>
      <c r="G5700" t="s">
        <v>31582</v>
      </c>
      <c r="H5700" t="s">
        <v>31590</v>
      </c>
      <c r="I5700" t="s">
        <v>6800</v>
      </c>
      <c r="J5700" t="s">
        <v>35408</v>
      </c>
      <c r="K5700" t="s">
        <v>41191</v>
      </c>
      <c r="M5700" t="s">
        <v>42771</v>
      </c>
      <c r="N5700" t="s">
        <v>45095</v>
      </c>
      <c r="O5700" t="s">
        <v>45096</v>
      </c>
      <c r="Q5700">
        <v>3</v>
      </c>
      <c r="R5700" t="s">
        <v>45102</v>
      </c>
      <c r="S5700" t="s">
        <v>45258</v>
      </c>
      <c r="T5700" t="s">
        <v>47232</v>
      </c>
      <c r="U5700" t="s">
        <v>51681</v>
      </c>
      <c r="W5700" t="s">
        <v>61694</v>
      </c>
      <c r="X5700" t="s">
        <v>45103</v>
      </c>
    </row>
    <row r="5701" spans="1:24">
      <c r="A5701">
        <f>HYPERLINK("https://www.philgeps.gov.ph/GEPSNONPILOT/Tender/SplashBidNoticeAbstractUI.aspx?menuIndex=3&amp;refID=7039345&amp;Result=3","7039345")</f>
        <v>0</v>
      </c>
      <c r="B5701" t="s">
        <v>1511</v>
      </c>
      <c r="C5701" t="s">
        <v>8643</v>
      </c>
      <c r="D5701" t="s">
        <v>18022</v>
      </c>
      <c r="E5701" t="s">
        <v>23198</v>
      </c>
      <c r="F5701" t="s">
        <v>31574</v>
      </c>
      <c r="G5701" t="s">
        <v>31581</v>
      </c>
      <c r="H5701" t="s">
        <v>31590</v>
      </c>
      <c r="I5701" t="s">
        <v>31608</v>
      </c>
      <c r="J5701" t="s">
        <v>35409</v>
      </c>
      <c r="K5701" t="s">
        <v>41184</v>
      </c>
      <c r="M5701" t="s">
        <v>43102</v>
      </c>
      <c r="N5701" t="s">
        <v>45095</v>
      </c>
      <c r="O5701" t="s">
        <v>45096</v>
      </c>
      <c r="P5701">
        <v>0</v>
      </c>
      <c r="Q5701">
        <v>5</v>
      </c>
      <c r="R5701" t="s">
        <v>45102</v>
      </c>
      <c r="S5701" t="s">
        <v>45242</v>
      </c>
      <c r="T5701" t="s">
        <v>47077</v>
      </c>
      <c r="U5701" t="s">
        <v>52259</v>
      </c>
      <c r="W5701" t="s">
        <v>43102</v>
      </c>
      <c r="X5701" t="s">
        <v>45103</v>
      </c>
    </row>
    <row r="5702" spans="1:24">
      <c r="A5702">
        <f>HYPERLINK("https://www.philgeps.gov.ph/GEPSNONPILOT/Tender/SplashBidNoticeAbstractUI.aspx?menuIndex=3&amp;refID=7039375&amp;Result=3","7039375")</f>
        <v>0</v>
      </c>
      <c r="B5702" t="s">
        <v>537</v>
      </c>
      <c r="C5702" t="s">
        <v>8644</v>
      </c>
      <c r="D5702" t="s">
        <v>18022</v>
      </c>
      <c r="E5702" t="s">
        <v>23199</v>
      </c>
      <c r="F5702" t="s">
        <v>31574</v>
      </c>
      <c r="G5702" t="s">
        <v>31581</v>
      </c>
      <c r="H5702" t="s">
        <v>31590</v>
      </c>
      <c r="I5702" t="s">
        <v>31610</v>
      </c>
      <c r="J5702" t="s">
        <v>35410</v>
      </c>
      <c r="K5702" t="s">
        <v>41193</v>
      </c>
      <c r="M5702" t="s">
        <v>42034</v>
      </c>
      <c r="N5702" t="s">
        <v>45095</v>
      </c>
      <c r="O5702" t="s">
        <v>45096</v>
      </c>
      <c r="P5702">
        <v>0</v>
      </c>
      <c r="Q5702">
        <v>7</v>
      </c>
      <c r="R5702" t="s">
        <v>45102</v>
      </c>
      <c r="S5702" t="s">
        <v>45242</v>
      </c>
      <c r="T5702" t="s">
        <v>47154</v>
      </c>
      <c r="U5702" t="s">
        <v>52260</v>
      </c>
      <c r="W5702" t="s">
        <v>42034</v>
      </c>
      <c r="X5702" t="s">
        <v>45103</v>
      </c>
    </row>
    <row r="5703" spans="1:24">
      <c r="A5703">
        <f>HYPERLINK("https://www.philgeps.gov.ph/GEPSNONPILOT/Tender/SplashBidNoticeAbstractUI.aspx?menuIndex=3&amp;refID=7039354&amp;Result=3","7039354")</f>
        <v>0</v>
      </c>
      <c r="B5703" t="s">
        <v>1827</v>
      </c>
      <c r="C5703" t="s">
        <v>8645</v>
      </c>
      <c r="D5703" t="s">
        <v>18028</v>
      </c>
      <c r="E5703" t="s">
        <v>22790</v>
      </c>
      <c r="F5703" t="s">
        <v>31574</v>
      </c>
      <c r="G5703" t="s">
        <v>31582</v>
      </c>
      <c r="H5703" t="s">
        <v>31590</v>
      </c>
      <c r="I5703" t="s">
        <v>31667</v>
      </c>
      <c r="J5703" t="s">
        <v>35411</v>
      </c>
      <c r="K5703" t="s">
        <v>41184</v>
      </c>
      <c r="M5703" t="s">
        <v>43463</v>
      </c>
      <c r="N5703" t="s">
        <v>45095</v>
      </c>
      <c r="O5703" t="s">
        <v>45096</v>
      </c>
      <c r="P5703">
        <v>0</v>
      </c>
      <c r="Q5703">
        <v>1</v>
      </c>
      <c r="R5703" t="s">
        <v>45102</v>
      </c>
      <c r="S5703" t="s">
        <v>45242</v>
      </c>
      <c r="T5703" t="s">
        <v>47242</v>
      </c>
      <c r="U5703" t="s">
        <v>52261</v>
      </c>
      <c r="V5703" t="s">
        <v>60447</v>
      </c>
      <c r="W5703" t="s">
        <v>43463</v>
      </c>
      <c r="X5703" t="s">
        <v>45103</v>
      </c>
    </row>
    <row r="5704" spans="1:24">
      <c r="A5704">
        <f>HYPERLINK("https://www.philgeps.gov.ph/GEPSNONPILOT/Tender/SplashBidNoticeAbstractUI.aspx?menuIndex=3&amp;refID=7039372&amp;Result=3","7039372")</f>
        <v>0</v>
      </c>
      <c r="B5704" t="s">
        <v>1840</v>
      </c>
      <c r="C5704" t="s">
        <v>8646</v>
      </c>
      <c r="D5704" t="s">
        <v>18040</v>
      </c>
      <c r="E5704" t="s">
        <v>21767</v>
      </c>
      <c r="F5704" t="s">
        <v>31574</v>
      </c>
      <c r="G5704" t="s">
        <v>31581</v>
      </c>
      <c r="H5704" t="s">
        <v>31590</v>
      </c>
      <c r="I5704" t="s">
        <v>31699</v>
      </c>
      <c r="J5704" t="s">
        <v>31845</v>
      </c>
      <c r="K5704" t="s">
        <v>41197</v>
      </c>
      <c r="M5704" t="s">
        <v>43477</v>
      </c>
      <c r="N5704" t="s">
        <v>45095</v>
      </c>
      <c r="O5704" t="s">
        <v>45096</v>
      </c>
      <c r="P5704">
        <v>0</v>
      </c>
      <c r="Q5704">
        <v>0</v>
      </c>
      <c r="R5704" t="s">
        <v>45102</v>
      </c>
      <c r="S5704" t="s">
        <v>45242</v>
      </c>
      <c r="T5704" t="s">
        <v>47067</v>
      </c>
      <c r="U5704" t="s">
        <v>52262</v>
      </c>
      <c r="W5704" t="s">
        <v>43477</v>
      </c>
      <c r="X5704" t="s">
        <v>45103</v>
      </c>
    </row>
    <row r="5705" spans="1:24">
      <c r="A5705">
        <f>HYPERLINK("https://www.philgeps.gov.ph/GEPSNONPILOT/Tender/SplashBidNoticeAbstractUI.aspx?menuIndex=3&amp;refID=7039378&amp;Result=3","7039378")</f>
        <v>0</v>
      </c>
      <c r="B5705" t="s">
        <v>1211</v>
      </c>
      <c r="C5705" t="s">
        <v>8647</v>
      </c>
      <c r="D5705" t="s">
        <v>18041</v>
      </c>
      <c r="E5705" t="s">
        <v>23200</v>
      </c>
      <c r="F5705" t="s">
        <v>31574</v>
      </c>
      <c r="G5705" t="s">
        <v>31582</v>
      </c>
      <c r="H5705" t="s">
        <v>31590</v>
      </c>
      <c r="I5705" t="s">
        <v>7185</v>
      </c>
      <c r="J5705" t="s">
        <v>35412</v>
      </c>
      <c r="K5705" t="s">
        <v>41191</v>
      </c>
      <c r="M5705" t="s">
        <v>42771</v>
      </c>
      <c r="N5705" t="s">
        <v>45095</v>
      </c>
      <c r="O5705" t="s">
        <v>45096</v>
      </c>
      <c r="Q5705">
        <v>7</v>
      </c>
      <c r="R5705" t="s">
        <v>45102</v>
      </c>
      <c r="S5705" t="s">
        <v>45259</v>
      </c>
      <c r="T5705" t="s">
        <v>47232</v>
      </c>
      <c r="U5705" t="s">
        <v>51681</v>
      </c>
      <c r="W5705" t="s">
        <v>61694</v>
      </c>
      <c r="X5705" t="s">
        <v>45103</v>
      </c>
    </row>
    <row r="5706" spans="1:24">
      <c r="A5706">
        <f>HYPERLINK("https://www.philgeps.gov.ph/GEPSNONPILOT/Tender/SplashBidNoticeAbstractUI.aspx?menuIndex=3&amp;refID=7039351&amp;Result=3","7039351")</f>
        <v>0</v>
      </c>
      <c r="B5706" t="s">
        <v>461</v>
      </c>
      <c r="C5706" t="s">
        <v>8648</v>
      </c>
      <c r="D5706" t="s">
        <v>18057</v>
      </c>
      <c r="E5706" t="s">
        <v>23201</v>
      </c>
      <c r="F5706" t="s">
        <v>31574</v>
      </c>
      <c r="G5706" t="s">
        <v>31582</v>
      </c>
      <c r="H5706" t="s">
        <v>31591</v>
      </c>
      <c r="I5706" t="s">
        <v>8822</v>
      </c>
      <c r="J5706" t="s">
        <v>35413</v>
      </c>
      <c r="K5706" t="s">
        <v>41192</v>
      </c>
      <c r="M5706" t="s">
        <v>41955</v>
      </c>
      <c r="N5706" t="s">
        <v>45095</v>
      </c>
      <c r="O5706" t="s">
        <v>45096</v>
      </c>
      <c r="P5706">
        <v>0</v>
      </c>
      <c r="Q5706">
        <v>0</v>
      </c>
      <c r="R5706" t="s">
        <v>45102</v>
      </c>
      <c r="S5706" t="s">
        <v>45242</v>
      </c>
      <c r="T5706" t="s">
        <v>46936</v>
      </c>
      <c r="U5706" t="s">
        <v>52263</v>
      </c>
      <c r="W5706" t="s">
        <v>41955</v>
      </c>
      <c r="X5706" t="s">
        <v>45103</v>
      </c>
    </row>
    <row r="5707" spans="1:24">
      <c r="A5707">
        <f>HYPERLINK("https://www.philgeps.gov.ph/GEPSNONPILOT/Tender/SplashBidNoticeAbstractUI.aspx?menuIndex=3&amp;refID=7039367&amp;Result=3","7039367")</f>
        <v>0</v>
      </c>
      <c r="B5707" t="s">
        <v>1196</v>
      </c>
      <c r="C5707" t="s">
        <v>8649</v>
      </c>
      <c r="D5707" t="s">
        <v>18026</v>
      </c>
      <c r="E5707" t="s">
        <v>23202</v>
      </c>
      <c r="F5707" t="s">
        <v>31574</v>
      </c>
      <c r="G5707" t="s">
        <v>31585</v>
      </c>
      <c r="H5707" t="s">
        <v>31590</v>
      </c>
      <c r="I5707" t="s">
        <v>31600</v>
      </c>
      <c r="J5707" t="s">
        <v>35414</v>
      </c>
      <c r="K5707" t="s">
        <v>41190</v>
      </c>
      <c r="M5707" t="s">
        <v>43471</v>
      </c>
      <c r="N5707" t="s">
        <v>45095</v>
      </c>
      <c r="O5707" t="s">
        <v>45096</v>
      </c>
      <c r="P5707">
        <v>0</v>
      </c>
      <c r="Q5707">
        <v>1</v>
      </c>
      <c r="R5707" t="s">
        <v>45102</v>
      </c>
      <c r="S5707" t="s">
        <v>45242</v>
      </c>
      <c r="T5707" t="s">
        <v>46963</v>
      </c>
      <c r="U5707" t="s">
        <v>52264</v>
      </c>
      <c r="W5707" t="s">
        <v>61718</v>
      </c>
      <c r="X5707" t="s">
        <v>45103</v>
      </c>
    </row>
    <row r="5708" spans="1:24">
      <c r="A5708">
        <f>HYPERLINK("https://www.philgeps.gov.ph/GEPSNONPILOT/Tender/SplashBidNoticeAbstractUI.aspx?menuIndex=3&amp;refID=7039369&amp;Result=3","7039369")</f>
        <v>0</v>
      </c>
      <c r="B5708" t="s">
        <v>1841</v>
      </c>
      <c r="C5708" t="s">
        <v>8650</v>
      </c>
      <c r="D5708" t="s">
        <v>18075</v>
      </c>
      <c r="E5708" t="s">
        <v>23203</v>
      </c>
      <c r="F5708" t="s">
        <v>31574</v>
      </c>
      <c r="G5708" t="s">
        <v>31582</v>
      </c>
      <c r="H5708" t="s">
        <v>31591</v>
      </c>
      <c r="I5708" t="s">
        <v>8822</v>
      </c>
      <c r="J5708" t="s">
        <v>32019</v>
      </c>
      <c r="K5708" t="s">
        <v>41184</v>
      </c>
      <c r="M5708" t="s">
        <v>43478</v>
      </c>
      <c r="N5708" t="s">
        <v>45095</v>
      </c>
      <c r="O5708" t="s">
        <v>45096</v>
      </c>
      <c r="P5708">
        <v>0</v>
      </c>
      <c r="Q5708">
        <v>0</v>
      </c>
      <c r="R5708" t="s">
        <v>45102</v>
      </c>
      <c r="S5708" t="s">
        <v>45242</v>
      </c>
      <c r="T5708" t="s">
        <v>46949</v>
      </c>
      <c r="U5708" t="s">
        <v>52265</v>
      </c>
      <c r="W5708" t="s">
        <v>43478</v>
      </c>
      <c r="X5708" t="s">
        <v>45103</v>
      </c>
    </row>
    <row r="5709" spans="1:24">
      <c r="A5709">
        <f>HYPERLINK("https://www.philgeps.gov.ph/GEPSNONPILOT/Tender/SplashBidNoticeAbstractUI.aspx?menuIndex=3&amp;refID=7039365&amp;Result=3","7039365")</f>
        <v>0</v>
      </c>
      <c r="B5709" t="s">
        <v>1838</v>
      </c>
      <c r="C5709" t="s">
        <v>8651</v>
      </c>
      <c r="D5709" t="s">
        <v>18026</v>
      </c>
      <c r="E5709" t="s">
        <v>19807</v>
      </c>
      <c r="F5709" t="s">
        <v>31574</v>
      </c>
      <c r="G5709" t="s">
        <v>31581</v>
      </c>
      <c r="H5709" t="s">
        <v>31590</v>
      </c>
      <c r="I5709" t="s">
        <v>31614</v>
      </c>
      <c r="J5709" t="s">
        <v>32017</v>
      </c>
      <c r="K5709" t="s">
        <v>41186</v>
      </c>
      <c r="M5709" t="s">
        <v>43475</v>
      </c>
      <c r="N5709" t="s">
        <v>45095</v>
      </c>
      <c r="O5709" t="s">
        <v>45096</v>
      </c>
      <c r="P5709">
        <v>0</v>
      </c>
      <c r="Q5709">
        <v>1</v>
      </c>
      <c r="R5709" t="s">
        <v>45102</v>
      </c>
      <c r="S5709" t="s">
        <v>45242</v>
      </c>
      <c r="T5709" t="s">
        <v>46918</v>
      </c>
      <c r="U5709" t="s">
        <v>52266</v>
      </c>
      <c r="W5709" t="s">
        <v>61719</v>
      </c>
      <c r="X5709" t="s">
        <v>45103</v>
      </c>
    </row>
    <row r="5710" spans="1:24">
      <c r="A5710">
        <f>HYPERLINK("https://www.philgeps.gov.ph/GEPSNONPILOT/Tender/SplashBidNoticeAbstractUI.aspx?menuIndex=3&amp;refID=7039368&amp;Result=3","7039368")</f>
        <v>0</v>
      </c>
      <c r="B5710" t="s">
        <v>264</v>
      </c>
      <c r="C5710" t="s">
        <v>8652</v>
      </c>
      <c r="D5710" t="s">
        <v>18066</v>
      </c>
      <c r="E5710" t="s">
        <v>18410</v>
      </c>
      <c r="F5710" t="s">
        <v>31574</v>
      </c>
      <c r="G5710" t="s">
        <v>31582</v>
      </c>
      <c r="H5710" t="s">
        <v>31590</v>
      </c>
      <c r="I5710" t="s">
        <v>3487</v>
      </c>
      <c r="J5710" t="s">
        <v>35415</v>
      </c>
      <c r="K5710" t="s">
        <v>41184</v>
      </c>
      <c r="M5710" t="s">
        <v>41750</v>
      </c>
      <c r="N5710" t="s">
        <v>45095</v>
      </c>
      <c r="O5710" t="s">
        <v>45096</v>
      </c>
      <c r="P5710">
        <v>0</v>
      </c>
      <c r="Q5710">
        <v>0</v>
      </c>
      <c r="R5710" t="s">
        <v>45102</v>
      </c>
      <c r="S5710" t="s">
        <v>45242</v>
      </c>
      <c r="T5710" t="s">
        <v>47134</v>
      </c>
      <c r="U5710" t="s">
        <v>52267</v>
      </c>
      <c r="W5710" t="s">
        <v>61674</v>
      </c>
      <c r="X5710" t="s">
        <v>45103</v>
      </c>
    </row>
    <row r="5711" spans="1:24">
      <c r="A5711">
        <f>HYPERLINK("https://www.philgeps.gov.ph/GEPSNONPILOT/Tender/SplashBidNoticeAbstractUI.aspx?menuIndex=3&amp;refID=7039366&amp;Result=3","7039366")</f>
        <v>0</v>
      </c>
      <c r="B5711" t="s">
        <v>726</v>
      </c>
      <c r="C5711" t="s">
        <v>8653</v>
      </c>
      <c r="D5711" t="s">
        <v>18058</v>
      </c>
      <c r="E5711" t="s">
        <v>23204</v>
      </c>
      <c r="F5711" t="s">
        <v>31574</v>
      </c>
      <c r="G5711" t="s">
        <v>31583</v>
      </c>
      <c r="H5711" t="s">
        <v>31590</v>
      </c>
      <c r="I5711" t="s">
        <v>14544</v>
      </c>
      <c r="J5711" t="s">
        <v>35416</v>
      </c>
      <c r="K5711" t="s">
        <v>41186</v>
      </c>
      <c r="M5711" t="s">
        <v>42236</v>
      </c>
      <c r="N5711" t="s">
        <v>45095</v>
      </c>
      <c r="O5711" t="s">
        <v>45096</v>
      </c>
      <c r="P5711">
        <v>0</v>
      </c>
      <c r="Q5711">
        <v>0</v>
      </c>
      <c r="R5711" t="s">
        <v>45102</v>
      </c>
      <c r="S5711" t="s">
        <v>45242</v>
      </c>
      <c r="T5711" t="s">
        <v>47158</v>
      </c>
      <c r="U5711" t="s">
        <v>52268</v>
      </c>
      <c r="W5711" t="s">
        <v>42236</v>
      </c>
      <c r="X5711" t="s">
        <v>45103</v>
      </c>
    </row>
    <row r="5712" spans="1:24">
      <c r="A5712">
        <f>HYPERLINK("https://www.philgeps.gov.ph/GEPSNONPILOT/Tender/SplashBidNoticeAbstractUI.aspx?menuIndex=3&amp;refID=7039385&amp;Result=3","7039385")</f>
        <v>0</v>
      </c>
      <c r="B5712" t="s">
        <v>757</v>
      </c>
      <c r="C5712" t="s">
        <v>8654</v>
      </c>
      <c r="D5712" t="s">
        <v>18095</v>
      </c>
      <c r="E5712" t="s">
        <v>23205</v>
      </c>
      <c r="F5712" t="s">
        <v>31574</v>
      </c>
      <c r="G5712" t="s">
        <v>31583</v>
      </c>
      <c r="H5712" t="s">
        <v>31592</v>
      </c>
      <c r="I5712" t="s">
        <v>4046</v>
      </c>
      <c r="J5712" t="s">
        <v>35417</v>
      </c>
      <c r="K5712" t="s">
        <v>41193</v>
      </c>
      <c r="M5712" t="s">
        <v>42271</v>
      </c>
      <c r="N5712" t="s">
        <v>45095</v>
      </c>
      <c r="O5712" t="s">
        <v>45096</v>
      </c>
      <c r="P5712">
        <v>0</v>
      </c>
      <c r="Q5712">
        <v>0</v>
      </c>
      <c r="R5712" t="s">
        <v>45102</v>
      </c>
      <c r="S5712" t="s">
        <v>45242</v>
      </c>
      <c r="T5712" t="s">
        <v>47050</v>
      </c>
      <c r="U5712" t="s">
        <v>49091</v>
      </c>
      <c r="W5712" t="s">
        <v>42271</v>
      </c>
      <c r="X5712" t="s">
        <v>45103</v>
      </c>
    </row>
    <row r="5713" spans="1:24">
      <c r="A5713">
        <f>HYPERLINK("https://www.philgeps.gov.ph/GEPSNONPILOT/Tender/SplashBidNoticeAbstractUI.aspx?menuIndex=3&amp;refID=7039388&amp;Result=3","7039388")</f>
        <v>0</v>
      </c>
      <c r="B5713" t="s">
        <v>1832</v>
      </c>
      <c r="C5713" t="s">
        <v>8655</v>
      </c>
      <c r="D5713" t="s">
        <v>18034</v>
      </c>
      <c r="E5713" t="s">
        <v>23206</v>
      </c>
      <c r="F5713" t="s">
        <v>31574</v>
      </c>
      <c r="G5713" t="s">
        <v>31582</v>
      </c>
      <c r="H5713" t="s">
        <v>31590</v>
      </c>
      <c r="I5713" t="s">
        <v>3487</v>
      </c>
      <c r="J5713" t="s">
        <v>31927</v>
      </c>
      <c r="K5713" t="s">
        <v>41191</v>
      </c>
      <c r="M5713" t="s">
        <v>43468</v>
      </c>
      <c r="N5713" t="s">
        <v>45095</v>
      </c>
      <c r="O5713" t="s">
        <v>45096</v>
      </c>
      <c r="P5713">
        <v>0</v>
      </c>
      <c r="Q5713">
        <v>3</v>
      </c>
      <c r="R5713" t="s">
        <v>45102</v>
      </c>
      <c r="S5713" t="s">
        <v>45242</v>
      </c>
      <c r="T5713" t="s">
        <v>46973</v>
      </c>
      <c r="U5713" t="s">
        <v>52269</v>
      </c>
      <c r="W5713" t="s">
        <v>43468</v>
      </c>
      <c r="X5713" t="s">
        <v>45103</v>
      </c>
    </row>
    <row r="5714" spans="1:24">
      <c r="A5714">
        <f>HYPERLINK("https://www.philgeps.gov.ph/GEPSNONPILOT/Tender/SplashBidNoticeAbstractUI.aspx?menuIndex=3&amp;refID=7039370&amp;Result=3","7039370")</f>
        <v>0</v>
      </c>
      <c r="B5714" t="s">
        <v>290</v>
      </c>
      <c r="C5714" t="s">
        <v>8656</v>
      </c>
      <c r="D5714" t="s">
        <v>18043</v>
      </c>
      <c r="E5714" t="s">
        <v>23207</v>
      </c>
      <c r="F5714" t="s">
        <v>31574</v>
      </c>
      <c r="G5714" t="s">
        <v>31582</v>
      </c>
      <c r="H5714" t="s">
        <v>31590</v>
      </c>
      <c r="I5714" t="s">
        <v>31676</v>
      </c>
      <c r="J5714" t="s">
        <v>35418</v>
      </c>
      <c r="K5714" t="s">
        <v>41186</v>
      </c>
      <c r="M5714" t="s">
        <v>42052</v>
      </c>
      <c r="N5714" t="s">
        <v>45095</v>
      </c>
      <c r="O5714" t="s">
        <v>45096</v>
      </c>
      <c r="P5714">
        <v>0</v>
      </c>
      <c r="Q5714">
        <v>3</v>
      </c>
      <c r="R5714" t="s">
        <v>45102</v>
      </c>
      <c r="S5714" t="s">
        <v>45242</v>
      </c>
      <c r="T5714" t="s">
        <v>46988</v>
      </c>
      <c r="U5714" t="s">
        <v>52270</v>
      </c>
      <c r="W5714" t="s">
        <v>42052</v>
      </c>
      <c r="X5714" t="s">
        <v>45103</v>
      </c>
    </row>
    <row r="5715" spans="1:24">
      <c r="A5715">
        <f>HYPERLINK("https://www.philgeps.gov.ph/GEPSNONPILOT/Tender/SplashBidNoticeAbstractUI.aspx?menuIndex=3&amp;refID=7039384&amp;Result=3","7039384")</f>
        <v>0</v>
      </c>
      <c r="B5715" t="s">
        <v>75</v>
      </c>
      <c r="C5715" t="s">
        <v>8657</v>
      </c>
      <c r="D5715" t="s">
        <v>18054</v>
      </c>
      <c r="E5715" t="s">
        <v>23208</v>
      </c>
      <c r="F5715" t="s">
        <v>31574</v>
      </c>
      <c r="G5715" t="s">
        <v>31582</v>
      </c>
      <c r="H5715" t="s">
        <v>31590</v>
      </c>
      <c r="I5715" t="s">
        <v>4046</v>
      </c>
      <c r="J5715" t="s">
        <v>32391</v>
      </c>
      <c r="K5715" t="s">
        <v>41186</v>
      </c>
      <c r="M5715" t="s">
        <v>41559</v>
      </c>
      <c r="N5715" t="s">
        <v>45095</v>
      </c>
      <c r="O5715" t="s">
        <v>45096</v>
      </c>
      <c r="P5715">
        <v>0</v>
      </c>
      <c r="Q5715">
        <v>0</v>
      </c>
      <c r="R5715" t="s">
        <v>45102</v>
      </c>
      <c r="S5715" t="s">
        <v>45242</v>
      </c>
      <c r="T5715" t="s">
        <v>46988</v>
      </c>
      <c r="U5715" t="s">
        <v>52271</v>
      </c>
      <c r="W5715" t="s">
        <v>41559</v>
      </c>
      <c r="X5715" t="s">
        <v>45103</v>
      </c>
    </row>
    <row r="5716" spans="1:24">
      <c r="A5716">
        <f>HYPERLINK("https://www.philgeps.gov.ph/GEPSNONPILOT/Tender/SplashBidNoticeAbstractUI.aspx?menuIndex=3&amp;refID=7039383&amp;Result=3","7039383")</f>
        <v>0</v>
      </c>
      <c r="B5716" t="s">
        <v>363</v>
      </c>
      <c r="C5716" t="s">
        <v>8658</v>
      </c>
      <c r="D5716" t="s">
        <v>18044</v>
      </c>
      <c r="E5716" t="s">
        <v>23209</v>
      </c>
      <c r="F5716" t="s">
        <v>31574</v>
      </c>
      <c r="G5716" t="s">
        <v>31583</v>
      </c>
      <c r="H5716" t="s">
        <v>31590</v>
      </c>
      <c r="I5716" t="s">
        <v>6800</v>
      </c>
      <c r="J5716" t="s">
        <v>35419</v>
      </c>
      <c r="K5716" t="s">
        <v>41184</v>
      </c>
      <c r="M5716" t="s">
        <v>41853</v>
      </c>
      <c r="N5716" t="s">
        <v>45095</v>
      </c>
      <c r="O5716" t="s">
        <v>45096</v>
      </c>
      <c r="P5716">
        <v>0</v>
      </c>
      <c r="Q5716">
        <v>0</v>
      </c>
      <c r="R5716" t="s">
        <v>45102</v>
      </c>
      <c r="S5716" t="s">
        <v>45242</v>
      </c>
      <c r="T5716" t="s">
        <v>47157</v>
      </c>
      <c r="U5716" t="s">
        <v>52272</v>
      </c>
      <c r="W5716" t="s">
        <v>41853</v>
      </c>
      <c r="X5716" t="s">
        <v>45103</v>
      </c>
    </row>
    <row r="5717" spans="1:24">
      <c r="A5717">
        <f>HYPERLINK("https://www.philgeps.gov.ph/GEPSNONPILOT/Tender/SplashBidNoticeAbstractUI.aspx?menuIndex=3&amp;refID=7039389&amp;Result=3","7039389")</f>
        <v>0</v>
      </c>
      <c r="B5717" t="s">
        <v>1732</v>
      </c>
      <c r="C5717" t="s">
        <v>8659</v>
      </c>
      <c r="D5717" t="s">
        <v>18041</v>
      </c>
      <c r="E5717" t="s">
        <v>23210</v>
      </c>
      <c r="F5717" t="s">
        <v>31574</v>
      </c>
      <c r="G5717" t="s">
        <v>31581</v>
      </c>
      <c r="H5717" t="s">
        <v>31590</v>
      </c>
      <c r="I5717" t="s">
        <v>7185</v>
      </c>
      <c r="J5717" t="s">
        <v>32611</v>
      </c>
      <c r="K5717" t="s">
        <v>41190</v>
      </c>
      <c r="M5717" t="s">
        <v>43351</v>
      </c>
      <c r="N5717" t="s">
        <v>45095</v>
      </c>
      <c r="O5717" t="s">
        <v>45096</v>
      </c>
      <c r="P5717">
        <v>0</v>
      </c>
      <c r="Q5717">
        <v>2</v>
      </c>
      <c r="R5717" t="s">
        <v>45102</v>
      </c>
      <c r="S5717" t="s">
        <v>45242</v>
      </c>
      <c r="T5717" t="s">
        <v>46985</v>
      </c>
      <c r="U5717" t="s">
        <v>52273</v>
      </c>
      <c r="W5717" t="s">
        <v>61715</v>
      </c>
      <c r="X5717" t="s">
        <v>45103</v>
      </c>
    </row>
    <row r="5718" spans="1:24">
      <c r="A5718">
        <f>HYPERLINK("https://www.philgeps.gov.ph/GEPSNONPILOT/Tender/SplashBidNoticeAbstractUI.aspx?menuIndex=3&amp;refID=7039379&amp;Result=3","7039379")</f>
        <v>0</v>
      </c>
      <c r="B5718" t="s">
        <v>893</v>
      </c>
      <c r="C5718" t="s">
        <v>8660</v>
      </c>
      <c r="D5718" t="s">
        <v>18111</v>
      </c>
      <c r="E5718" t="s">
        <v>23211</v>
      </c>
      <c r="F5718" t="s">
        <v>31574</v>
      </c>
      <c r="G5718" t="s">
        <v>31582</v>
      </c>
      <c r="H5718" t="s">
        <v>31590</v>
      </c>
      <c r="I5718" t="s">
        <v>3651</v>
      </c>
      <c r="J5718" t="s">
        <v>35420</v>
      </c>
      <c r="K5718" t="s">
        <v>41193</v>
      </c>
      <c r="M5718" t="s">
        <v>42417</v>
      </c>
      <c r="N5718" t="s">
        <v>45095</v>
      </c>
      <c r="O5718" t="s">
        <v>45096</v>
      </c>
      <c r="P5718">
        <v>0</v>
      </c>
      <c r="Q5718">
        <v>5</v>
      </c>
      <c r="R5718" t="s">
        <v>45102</v>
      </c>
      <c r="S5718" t="s">
        <v>45242</v>
      </c>
      <c r="T5718" t="s">
        <v>47268</v>
      </c>
      <c r="U5718" t="s">
        <v>52274</v>
      </c>
      <c r="V5718" t="s">
        <v>60454</v>
      </c>
      <c r="W5718" t="s">
        <v>42417</v>
      </c>
      <c r="X5718" t="s">
        <v>45103</v>
      </c>
    </row>
    <row r="5719" spans="1:24">
      <c r="A5719">
        <f>HYPERLINK("https://www.philgeps.gov.ph/GEPSNONPILOT/Tender/SplashBidNoticeAbstractUI.aspx?menuIndex=3&amp;refID=7039381&amp;Result=3","7039381")</f>
        <v>0</v>
      </c>
      <c r="B5719" t="s">
        <v>564</v>
      </c>
      <c r="C5719" t="s">
        <v>8661</v>
      </c>
      <c r="D5719" t="s">
        <v>18057</v>
      </c>
      <c r="E5719" t="s">
        <v>23212</v>
      </c>
      <c r="F5719" t="s">
        <v>31574</v>
      </c>
      <c r="G5719" t="s">
        <v>31582</v>
      </c>
      <c r="H5719" t="s">
        <v>31591</v>
      </c>
      <c r="I5719" t="s">
        <v>8822</v>
      </c>
      <c r="J5719" t="s">
        <v>35421</v>
      </c>
      <c r="K5719" t="s">
        <v>41189</v>
      </c>
      <c r="M5719" t="s">
        <v>43448</v>
      </c>
      <c r="N5719" t="s">
        <v>45095</v>
      </c>
      <c r="O5719" t="s">
        <v>45096</v>
      </c>
      <c r="P5719">
        <v>0</v>
      </c>
      <c r="Q5719">
        <v>0</v>
      </c>
      <c r="R5719" t="s">
        <v>45102</v>
      </c>
      <c r="S5719" t="s">
        <v>45242</v>
      </c>
      <c r="T5719" t="s">
        <v>47263</v>
      </c>
      <c r="U5719" t="s">
        <v>52275</v>
      </c>
      <c r="W5719" t="s">
        <v>43448</v>
      </c>
      <c r="X5719" t="s">
        <v>45103</v>
      </c>
    </row>
    <row r="5720" spans="1:24">
      <c r="A5720">
        <f>HYPERLINK("https://www.philgeps.gov.ph/GEPSNONPILOT/Tender/SplashBidNoticeAbstractUI.aspx?menuIndex=3&amp;refID=7039361&amp;Result=3","7039361")</f>
        <v>0</v>
      </c>
      <c r="B5720" t="s">
        <v>564</v>
      </c>
      <c r="C5720" t="s">
        <v>8662</v>
      </c>
      <c r="D5720" t="s">
        <v>18057</v>
      </c>
      <c r="E5720" t="s">
        <v>23213</v>
      </c>
      <c r="F5720" t="s">
        <v>31574</v>
      </c>
      <c r="G5720" t="s">
        <v>31582</v>
      </c>
      <c r="H5720" t="s">
        <v>31591</v>
      </c>
      <c r="I5720" t="s">
        <v>8822</v>
      </c>
      <c r="J5720" t="s">
        <v>35344</v>
      </c>
      <c r="K5720" t="s">
        <v>41189</v>
      </c>
      <c r="M5720" t="s">
        <v>43448</v>
      </c>
      <c r="N5720" t="s">
        <v>45095</v>
      </c>
      <c r="O5720" t="s">
        <v>45096</v>
      </c>
      <c r="P5720">
        <v>0</v>
      </c>
      <c r="Q5720">
        <v>0</v>
      </c>
      <c r="R5720" t="s">
        <v>45102</v>
      </c>
      <c r="S5720" t="s">
        <v>45242</v>
      </c>
      <c r="T5720" t="s">
        <v>47263</v>
      </c>
      <c r="U5720" t="s">
        <v>52276</v>
      </c>
      <c r="W5720" t="s">
        <v>43448</v>
      </c>
      <c r="X5720" t="s">
        <v>45103</v>
      </c>
    </row>
    <row r="5721" spans="1:24">
      <c r="A5721">
        <f>HYPERLINK("https://www.philgeps.gov.ph/GEPSNONPILOT/Tender/SplashBidNoticeAbstractUI.aspx?menuIndex=3&amp;refID=7039390&amp;Result=3","7039390")</f>
        <v>0</v>
      </c>
      <c r="B5721" t="s">
        <v>264</v>
      </c>
      <c r="C5721" t="s">
        <v>8663</v>
      </c>
      <c r="D5721" t="s">
        <v>18066</v>
      </c>
      <c r="E5721" t="s">
        <v>23214</v>
      </c>
      <c r="F5721" t="s">
        <v>31574</v>
      </c>
      <c r="G5721" t="s">
        <v>31582</v>
      </c>
      <c r="H5721" t="s">
        <v>31590</v>
      </c>
      <c r="I5721" t="s">
        <v>3487</v>
      </c>
      <c r="J5721" t="s">
        <v>35422</v>
      </c>
      <c r="K5721" t="s">
        <v>41184</v>
      </c>
      <c r="M5721" t="s">
        <v>41750</v>
      </c>
      <c r="N5721" t="s">
        <v>45095</v>
      </c>
      <c r="O5721" t="s">
        <v>45096</v>
      </c>
      <c r="P5721">
        <v>0</v>
      </c>
      <c r="Q5721">
        <v>1</v>
      </c>
      <c r="R5721" t="s">
        <v>45102</v>
      </c>
      <c r="S5721" t="s">
        <v>45242</v>
      </c>
      <c r="T5721" t="s">
        <v>47134</v>
      </c>
      <c r="U5721" t="s">
        <v>52277</v>
      </c>
      <c r="W5721" t="s">
        <v>61674</v>
      </c>
      <c r="X5721" t="s">
        <v>45103</v>
      </c>
    </row>
    <row r="5722" spans="1:24">
      <c r="A5722">
        <f>HYPERLINK("https://www.philgeps.gov.ph/GEPSNONPILOT/Tender/SplashBidNoticeAbstractUI.aspx?menuIndex=3&amp;refID=7039380&amp;Result=3","7039380")</f>
        <v>0</v>
      </c>
      <c r="B5722" t="s">
        <v>264</v>
      </c>
      <c r="C5722" t="s">
        <v>8664</v>
      </c>
      <c r="D5722" t="s">
        <v>18066</v>
      </c>
      <c r="E5722" t="s">
        <v>18417</v>
      </c>
      <c r="F5722" t="s">
        <v>31574</v>
      </c>
      <c r="G5722" t="s">
        <v>31582</v>
      </c>
      <c r="H5722" t="s">
        <v>31590</v>
      </c>
      <c r="I5722" t="s">
        <v>3487</v>
      </c>
      <c r="J5722" t="s">
        <v>35423</v>
      </c>
      <c r="K5722" t="s">
        <v>41184</v>
      </c>
      <c r="M5722" t="s">
        <v>41750</v>
      </c>
      <c r="N5722" t="s">
        <v>45095</v>
      </c>
      <c r="O5722" t="s">
        <v>45096</v>
      </c>
      <c r="P5722">
        <v>0</v>
      </c>
      <c r="Q5722">
        <v>0</v>
      </c>
      <c r="R5722" t="s">
        <v>45102</v>
      </c>
      <c r="S5722" t="s">
        <v>45242</v>
      </c>
      <c r="T5722" t="s">
        <v>47134</v>
      </c>
      <c r="U5722" t="s">
        <v>52278</v>
      </c>
      <c r="W5722" t="s">
        <v>61674</v>
      </c>
      <c r="X5722" t="s">
        <v>45103</v>
      </c>
    </row>
    <row r="5723" spans="1:24">
      <c r="A5723">
        <f>HYPERLINK("https://www.philgeps.gov.ph/GEPSNONPILOT/Tender/SplashBidNoticeAbstractUI.aspx?menuIndex=3&amp;refID=7039406&amp;Result=3","7039406")</f>
        <v>0</v>
      </c>
      <c r="B5723" t="s">
        <v>348</v>
      </c>
      <c r="C5723" t="s">
        <v>8665</v>
      </c>
      <c r="D5723" t="s">
        <v>18065</v>
      </c>
      <c r="E5723" t="s">
        <v>23215</v>
      </c>
      <c r="F5723" t="s">
        <v>31574</v>
      </c>
      <c r="G5723" t="s">
        <v>31583</v>
      </c>
      <c r="H5723" t="s">
        <v>31590</v>
      </c>
      <c r="I5723" t="s">
        <v>31607</v>
      </c>
      <c r="J5723" t="s">
        <v>35424</v>
      </c>
      <c r="K5723" t="s">
        <v>41185</v>
      </c>
      <c r="M5723" t="s">
        <v>41836</v>
      </c>
      <c r="N5723" t="s">
        <v>45095</v>
      </c>
      <c r="O5723" t="s">
        <v>45096</v>
      </c>
      <c r="P5723">
        <v>0</v>
      </c>
      <c r="Q5723">
        <v>5</v>
      </c>
      <c r="R5723" t="s">
        <v>45102</v>
      </c>
      <c r="S5723" t="s">
        <v>45242</v>
      </c>
      <c r="T5723" t="s">
        <v>47158</v>
      </c>
      <c r="U5723" t="s">
        <v>48153</v>
      </c>
      <c r="W5723" t="s">
        <v>41836</v>
      </c>
      <c r="X5723" t="s">
        <v>45103</v>
      </c>
    </row>
    <row r="5724" spans="1:24">
      <c r="A5724">
        <f>HYPERLINK("https://www.philgeps.gov.ph/GEPSNONPILOT/Tender/SplashBidNoticeAbstractUI.aspx?menuIndex=3&amp;refID=7039395&amp;Result=3","7039395")</f>
        <v>0</v>
      </c>
      <c r="B5724" t="s">
        <v>1842</v>
      </c>
      <c r="C5724" t="s">
        <v>8666</v>
      </c>
      <c r="D5724" t="s">
        <v>18056</v>
      </c>
      <c r="E5724" t="s">
        <v>23216</v>
      </c>
      <c r="F5724" t="s">
        <v>31574</v>
      </c>
      <c r="G5724" t="s">
        <v>31582</v>
      </c>
      <c r="H5724" t="s">
        <v>31591</v>
      </c>
      <c r="I5724" t="s">
        <v>8822</v>
      </c>
      <c r="J5724" t="s">
        <v>31727</v>
      </c>
      <c r="K5724" t="s">
        <v>41196</v>
      </c>
      <c r="M5724" t="s">
        <v>43479</v>
      </c>
      <c r="N5724" t="s">
        <v>45095</v>
      </c>
      <c r="O5724" t="s">
        <v>45096</v>
      </c>
      <c r="P5724">
        <v>0</v>
      </c>
      <c r="Q5724">
        <v>0</v>
      </c>
      <c r="R5724" t="s">
        <v>45102</v>
      </c>
      <c r="S5724" t="s">
        <v>45242</v>
      </c>
      <c r="T5724" t="s">
        <v>47196</v>
      </c>
      <c r="U5724" t="s">
        <v>52279</v>
      </c>
      <c r="V5724" t="s">
        <v>59904</v>
      </c>
      <c r="W5724" t="s">
        <v>43479</v>
      </c>
      <c r="X5724" t="s">
        <v>45103</v>
      </c>
    </row>
    <row r="5725" spans="1:24">
      <c r="A5725">
        <f>HYPERLINK("https://www.philgeps.gov.ph/GEPSNONPILOT/Tender/SplashBidNoticeAbstractUI.aspx?menuIndex=3&amp;refID=7039401&amp;Result=3","7039401")</f>
        <v>0</v>
      </c>
      <c r="B5725" t="s">
        <v>249</v>
      </c>
      <c r="C5725" t="s">
        <v>8667</v>
      </c>
      <c r="D5725" t="s">
        <v>18039</v>
      </c>
      <c r="E5725" t="s">
        <v>19270</v>
      </c>
      <c r="F5725" t="s">
        <v>31576</v>
      </c>
      <c r="G5725" t="s">
        <v>31587</v>
      </c>
      <c r="H5725" t="s">
        <v>31593</v>
      </c>
      <c r="I5725" t="s">
        <v>31593</v>
      </c>
      <c r="J5725" t="s">
        <v>32030</v>
      </c>
      <c r="K5725" t="s">
        <v>41225</v>
      </c>
      <c r="M5725" t="s">
        <v>41735</v>
      </c>
      <c r="N5725" t="s">
        <v>45095</v>
      </c>
      <c r="O5725" t="s">
        <v>45096</v>
      </c>
      <c r="P5725">
        <v>0</v>
      </c>
      <c r="Q5725">
        <v>0</v>
      </c>
      <c r="R5725" t="s">
        <v>45102</v>
      </c>
      <c r="S5725" t="s">
        <v>45242</v>
      </c>
      <c r="T5725" t="s">
        <v>47106</v>
      </c>
      <c r="U5725" t="s">
        <v>52280</v>
      </c>
      <c r="V5725" t="s">
        <v>60433</v>
      </c>
      <c r="W5725" t="s">
        <v>41735</v>
      </c>
      <c r="X5725" t="s">
        <v>45103</v>
      </c>
    </row>
    <row r="5726" spans="1:24">
      <c r="A5726">
        <f>HYPERLINK("https://www.philgeps.gov.ph/GEPSNONPILOT/Tender/SplashBidNoticeAbstractUI.aspx?menuIndex=3&amp;refID=7039393&amp;Result=3","7039393")</f>
        <v>0</v>
      </c>
      <c r="B5726" t="s">
        <v>1014</v>
      </c>
      <c r="C5726" t="s">
        <v>8668</v>
      </c>
      <c r="D5726" t="s">
        <v>18059</v>
      </c>
      <c r="E5726" t="s">
        <v>23217</v>
      </c>
      <c r="F5726" t="s">
        <v>31574</v>
      </c>
      <c r="G5726" t="s">
        <v>31581</v>
      </c>
      <c r="H5726" t="s">
        <v>31590</v>
      </c>
      <c r="I5726" t="s">
        <v>3487</v>
      </c>
      <c r="J5726" t="s">
        <v>35425</v>
      </c>
      <c r="K5726" t="s">
        <v>41196</v>
      </c>
      <c r="M5726" t="s">
        <v>43480</v>
      </c>
      <c r="N5726" t="s">
        <v>45095</v>
      </c>
      <c r="O5726" t="s">
        <v>45096</v>
      </c>
      <c r="P5726">
        <v>0</v>
      </c>
      <c r="Q5726">
        <v>0</v>
      </c>
      <c r="R5726" t="s">
        <v>45102</v>
      </c>
      <c r="S5726" t="s">
        <v>45242</v>
      </c>
      <c r="T5726" t="s">
        <v>46957</v>
      </c>
      <c r="U5726" t="s">
        <v>52281</v>
      </c>
      <c r="W5726" t="s">
        <v>43480</v>
      </c>
      <c r="X5726" t="s">
        <v>45103</v>
      </c>
    </row>
    <row r="5727" spans="1:24">
      <c r="A5727">
        <f>HYPERLINK("https://www.philgeps.gov.ph/GEPSNONPILOT/Tender/SplashBidNoticeAbstractUI.aspx?menuIndex=3&amp;refID=7039394&amp;Result=3","7039394")</f>
        <v>0</v>
      </c>
      <c r="B5727" t="s">
        <v>1843</v>
      </c>
      <c r="C5727" t="s">
        <v>8669</v>
      </c>
      <c r="D5727" t="s">
        <v>18037</v>
      </c>
      <c r="E5727" t="s">
        <v>23218</v>
      </c>
      <c r="F5727" t="s">
        <v>31574</v>
      </c>
      <c r="G5727" t="s">
        <v>31581</v>
      </c>
      <c r="H5727" t="s">
        <v>31590</v>
      </c>
      <c r="I5727" t="s">
        <v>4046</v>
      </c>
      <c r="J5727" t="s">
        <v>35426</v>
      </c>
      <c r="K5727" t="s">
        <v>41190</v>
      </c>
      <c r="M5727" t="s">
        <v>43481</v>
      </c>
      <c r="N5727" t="s">
        <v>45095</v>
      </c>
      <c r="O5727" t="s">
        <v>45096</v>
      </c>
      <c r="P5727">
        <v>0</v>
      </c>
      <c r="Q5727">
        <v>2</v>
      </c>
      <c r="R5727" t="s">
        <v>45102</v>
      </c>
      <c r="S5727" t="s">
        <v>45242</v>
      </c>
      <c r="T5727" t="s">
        <v>47110</v>
      </c>
      <c r="U5727" t="s">
        <v>52282</v>
      </c>
      <c r="W5727" t="s">
        <v>43481</v>
      </c>
      <c r="X5727" t="s">
        <v>45103</v>
      </c>
    </row>
    <row r="5728" spans="1:24">
      <c r="A5728">
        <f>HYPERLINK("https://www.philgeps.gov.ph/GEPSNONPILOT/Tender/SplashBidNoticeAbstractUI.aspx?menuIndex=3&amp;refID=7039391&amp;Result=3","7039391")</f>
        <v>0</v>
      </c>
      <c r="B5728" t="s">
        <v>1844</v>
      </c>
      <c r="C5728" t="s">
        <v>8670</v>
      </c>
      <c r="D5728" t="s">
        <v>18096</v>
      </c>
      <c r="E5728" t="s">
        <v>23219</v>
      </c>
      <c r="F5728" t="s">
        <v>31574</v>
      </c>
      <c r="G5728" t="s">
        <v>31582</v>
      </c>
      <c r="H5728" t="s">
        <v>31590</v>
      </c>
      <c r="I5728" t="s">
        <v>4046</v>
      </c>
      <c r="J5728" t="s">
        <v>35427</v>
      </c>
      <c r="K5728" t="s">
        <v>41194</v>
      </c>
      <c r="M5728" t="s">
        <v>43482</v>
      </c>
      <c r="N5728" t="s">
        <v>45095</v>
      </c>
      <c r="O5728" t="s">
        <v>45096</v>
      </c>
      <c r="P5728">
        <v>0</v>
      </c>
      <c r="Q5728">
        <v>0</v>
      </c>
      <c r="R5728" t="s">
        <v>45102</v>
      </c>
      <c r="S5728" t="s">
        <v>45242</v>
      </c>
      <c r="T5728" t="s">
        <v>46910</v>
      </c>
      <c r="U5728" t="s">
        <v>52283</v>
      </c>
      <c r="W5728" t="s">
        <v>43482</v>
      </c>
      <c r="X5728" t="s">
        <v>45103</v>
      </c>
    </row>
    <row r="5729" spans="1:24">
      <c r="A5729">
        <f>HYPERLINK("https://www.philgeps.gov.ph/GEPSNONPILOT/Tender/SplashBidNoticeAbstractUI.aspx?menuIndex=3&amp;refID=7039403&amp;Result=3","7039403")</f>
        <v>0</v>
      </c>
      <c r="B5729" t="s">
        <v>564</v>
      </c>
      <c r="C5729" t="s">
        <v>8671</v>
      </c>
      <c r="D5729" t="s">
        <v>18057</v>
      </c>
      <c r="E5729" t="s">
        <v>23220</v>
      </c>
      <c r="F5729" t="s">
        <v>31574</v>
      </c>
      <c r="G5729" t="s">
        <v>31582</v>
      </c>
      <c r="H5729" t="s">
        <v>31591</v>
      </c>
      <c r="I5729" t="s">
        <v>8822</v>
      </c>
      <c r="J5729" t="s">
        <v>35344</v>
      </c>
      <c r="K5729" t="s">
        <v>41192</v>
      </c>
      <c r="M5729" t="s">
        <v>43448</v>
      </c>
      <c r="N5729" t="s">
        <v>45095</v>
      </c>
      <c r="O5729" t="s">
        <v>45096</v>
      </c>
      <c r="P5729">
        <v>0</v>
      </c>
      <c r="Q5729">
        <v>0</v>
      </c>
      <c r="R5729" t="s">
        <v>45102</v>
      </c>
      <c r="S5729" t="s">
        <v>45242</v>
      </c>
      <c r="T5729" t="s">
        <v>47263</v>
      </c>
      <c r="U5729" t="s">
        <v>52284</v>
      </c>
      <c r="W5729" t="s">
        <v>43448</v>
      </c>
      <c r="X5729" t="s">
        <v>45103</v>
      </c>
    </row>
    <row r="5730" spans="1:24">
      <c r="A5730">
        <f>HYPERLINK("https://www.philgeps.gov.ph/GEPSNONPILOT/Tender/SplashBidNoticeAbstractUI.aspx?menuIndex=3&amp;refID=7039392&amp;Result=3","7039392")</f>
        <v>0</v>
      </c>
      <c r="B5730" t="s">
        <v>1834</v>
      </c>
      <c r="C5730" t="s">
        <v>8672</v>
      </c>
      <c r="D5730" t="s">
        <v>18047</v>
      </c>
      <c r="E5730" t="s">
        <v>18377</v>
      </c>
      <c r="F5730" t="s">
        <v>31574</v>
      </c>
      <c r="G5730" t="s">
        <v>31582</v>
      </c>
      <c r="H5730" t="s">
        <v>31590</v>
      </c>
      <c r="I5730" t="s">
        <v>4046</v>
      </c>
      <c r="J5730" t="s">
        <v>35428</v>
      </c>
      <c r="K5730" t="s">
        <v>41196</v>
      </c>
      <c r="M5730" t="s">
        <v>43470</v>
      </c>
      <c r="N5730" t="s">
        <v>45095</v>
      </c>
      <c r="O5730" t="s">
        <v>45096</v>
      </c>
      <c r="P5730">
        <v>0</v>
      </c>
      <c r="Q5730">
        <v>0</v>
      </c>
      <c r="R5730" t="s">
        <v>45102</v>
      </c>
      <c r="S5730" t="s">
        <v>45242</v>
      </c>
      <c r="T5730" t="s">
        <v>46949</v>
      </c>
      <c r="U5730" t="s">
        <v>52285</v>
      </c>
      <c r="W5730" t="s">
        <v>43470</v>
      </c>
      <c r="X5730" t="s">
        <v>45103</v>
      </c>
    </row>
    <row r="5731" spans="1:24">
      <c r="A5731">
        <f>HYPERLINK("https://www.philgeps.gov.ph/GEPSNONPILOT/Tender/SplashBidNoticeAbstractUI.aspx?menuIndex=3&amp;refID=7039418&amp;Result=3","7039418")</f>
        <v>0</v>
      </c>
      <c r="B5731" t="s">
        <v>264</v>
      </c>
      <c r="C5731" t="s">
        <v>8673</v>
      </c>
      <c r="D5731" t="s">
        <v>18066</v>
      </c>
      <c r="E5731" t="s">
        <v>23221</v>
      </c>
      <c r="F5731" t="s">
        <v>31574</v>
      </c>
      <c r="G5731" t="s">
        <v>31582</v>
      </c>
      <c r="H5731" t="s">
        <v>31590</v>
      </c>
      <c r="I5731" t="s">
        <v>3487</v>
      </c>
      <c r="J5731" t="s">
        <v>35429</v>
      </c>
      <c r="K5731" t="s">
        <v>41184</v>
      </c>
      <c r="M5731" t="s">
        <v>41750</v>
      </c>
      <c r="N5731" t="s">
        <v>45095</v>
      </c>
      <c r="O5731" t="s">
        <v>45096</v>
      </c>
      <c r="P5731">
        <v>0</v>
      </c>
      <c r="Q5731">
        <v>0</v>
      </c>
      <c r="R5731" t="s">
        <v>45102</v>
      </c>
      <c r="S5731" t="s">
        <v>45242</v>
      </c>
      <c r="T5731" t="s">
        <v>47134</v>
      </c>
      <c r="U5731" t="s">
        <v>52286</v>
      </c>
      <c r="W5731" t="s">
        <v>61674</v>
      </c>
      <c r="X5731" t="s">
        <v>45103</v>
      </c>
    </row>
    <row r="5732" spans="1:24">
      <c r="A5732">
        <f>HYPERLINK("https://www.philgeps.gov.ph/GEPSNONPILOT/Tender/SplashBidNoticeAbstractUI.aspx?menuIndex=3&amp;refID=7039411&amp;Result=3","7039411")</f>
        <v>0</v>
      </c>
      <c r="B5732" t="s">
        <v>1845</v>
      </c>
      <c r="C5732" t="s">
        <v>8674</v>
      </c>
      <c r="D5732" t="s">
        <v>18079</v>
      </c>
      <c r="E5732" t="s">
        <v>23222</v>
      </c>
      <c r="F5732" t="s">
        <v>31574</v>
      </c>
      <c r="G5732" t="s">
        <v>31582</v>
      </c>
      <c r="H5732" t="s">
        <v>31591</v>
      </c>
      <c r="I5732" t="s">
        <v>4046</v>
      </c>
      <c r="J5732" t="s">
        <v>35430</v>
      </c>
      <c r="K5732" t="s">
        <v>41197</v>
      </c>
      <c r="M5732" t="s">
        <v>43483</v>
      </c>
      <c r="N5732" t="s">
        <v>45095</v>
      </c>
      <c r="O5732" t="s">
        <v>45096</v>
      </c>
      <c r="P5732">
        <v>0</v>
      </c>
      <c r="Q5732">
        <v>1</v>
      </c>
      <c r="R5732" t="s">
        <v>45102</v>
      </c>
      <c r="S5732" t="s">
        <v>45242</v>
      </c>
      <c r="T5732" t="s">
        <v>46922</v>
      </c>
      <c r="U5732" t="s">
        <v>52287</v>
      </c>
      <c r="W5732" t="s">
        <v>43483</v>
      </c>
      <c r="X5732" t="s">
        <v>45103</v>
      </c>
    </row>
    <row r="5733" spans="1:24">
      <c r="A5733">
        <f>HYPERLINK("https://www.philgeps.gov.ph/GEPSNONPILOT/Tender/SplashBidNoticeAbstractUI.aspx?menuIndex=3&amp;refID=7039404&amp;Result=3","7039404")</f>
        <v>0</v>
      </c>
      <c r="B5733" t="s">
        <v>1846</v>
      </c>
      <c r="C5733" t="s">
        <v>8675</v>
      </c>
      <c r="D5733" t="s">
        <v>18066</v>
      </c>
      <c r="E5733" t="s">
        <v>19368</v>
      </c>
      <c r="F5733" t="s">
        <v>31574</v>
      </c>
      <c r="G5733" t="s">
        <v>31584</v>
      </c>
      <c r="H5733" t="s">
        <v>31591</v>
      </c>
      <c r="I5733" t="s">
        <v>8822</v>
      </c>
      <c r="J5733" t="s">
        <v>31789</v>
      </c>
      <c r="K5733" t="s">
        <v>41186</v>
      </c>
      <c r="M5733" t="s">
        <v>43484</v>
      </c>
      <c r="N5733" t="s">
        <v>45095</v>
      </c>
      <c r="O5733" t="s">
        <v>45096</v>
      </c>
      <c r="P5733">
        <v>0</v>
      </c>
      <c r="Q5733">
        <v>0</v>
      </c>
      <c r="R5733" t="s">
        <v>45102</v>
      </c>
      <c r="S5733" t="s">
        <v>45242</v>
      </c>
      <c r="T5733" t="s">
        <v>47050</v>
      </c>
      <c r="U5733" t="s">
        <v>52288</v>
      </c>
      <c r="W5733" t="s">
        <v>43484</v>
      </c>
      <c r="X5733" t="s">
        <v>45103</v>
      </c>
    </row>
    <row r="5734" spans="1:24">
      <c r="A5734">
        <f>HYPERLINK("https://www.philgeps.gov.ph/GEPSNONPILOT/Tender/SplashBidNoticeAbstractUI.aspx?menuIndex=3&amp;refID=7039409&amp;Result=3","7039409")</f>
        <v>0</v>
      </c>
      <c r="B5734" t="s">
        <v>435</v>
      </c>
      <c r="C5734" t="s">
        <v>8676</v>
      </c>
      <c r="D5734" t="s">
        <v>18057</v>
      </c>
      <c r="E5734" t="s">
        <v>23223</v>
      </c>
      <c r="F5734" t="s">
        <v>31575</v>
      </c>
      <c r="G5734" t="s">
        <v>31582</v>
      </c>
      <c r="H5734" t="s">
        <v>31590</v>
      </c>
      <c r="I5734" t="s">
        <v>31614</v>
      </c>
      <c r="J5734" t="s">
        <v>32510</v>
      </c>
      <c r="K5734" t="s">
        <v>41189</v>
      </c>
      <c r="M5734" t="s">
        <v>41928</v>
      </c>
      <c r="N5734" t="s">
        <v>45095</v>
      </c>
      <c r="O5734" t="s">
        <v>45096</v>
      </c>
      <c r="Q5734">
        <v>2</v>
      </c>
      <c r="R5734" t="s">
        <v>45102</v>
      </c>
      <c r="S5734" t="s">
        <v>45260</v>
      </c>
      <c r="T5734" t="s">
        <v>47216</v>
      </c>
      <c r="U5734" t="s">
        <v>52289</v>
      </c>
      <c r="W5734" t="s">
        <v>41928</v>
      </c>
      <c r="X5734" t="s">
        <v>45103</v>
      </c>
    </row>
    <row r="5735" spans="1:24">
      <c r="A5735">
        <f>HYPERLINK("https://www.philgeps.gov.ph/GEPSNONPILOT/Tender/SplashBidNoticeAbstractUI.aspx?menuIndex=3&amp;refID=7039417&amp;Result=3","7039417")</f>
        <v>0</v>
      </c>
      <c r="B5735" t="s">
        <v>977</v>
      </c>
      <c r="C5735" t="s">
        <v>8677</v>
      </c>
      <c r="D5735" t="s">
        <v>18065</v>
      </c>
      <c r="E5735" t="s">
        <v>23224</v>
      </c>
      <c r="F5735" t="s">
        <v>31574</v>
      </c>
      <c r="G5735" t="s">
        <v>31582</v>
      </c>
      <c r="H5735" t="s">
        <v>31590</v>
      </c>
      <c r="I5735" t="s">
        <v>31704</v>
      </c>
      <c r="J5735" t="s">
        <v>35431</v>
      </c>
      <c r="K5735" t="s">
        <v>41196</v>
      </c>
      <c r="M5735" t="s">
        <v>42509</v>
      </c>
      <c r="N5735" t="s">
        <v>45095</v>
      </c>
      <c r="O5735" t="s">
        <v>45096</v>
      </c>
      <c r="P5735">
        <v>0</v>
      </c>
      <c r="Q5735">
        <v>0</v>
      </c>
      <c r="R5735" t="s">
        <v>45102</v>
      </c>
      <c r="S5735" t="s">
        <v>45242</v>
      </c>
      <c r="T5735" t="s">
        <v>46972</v>
      </c>
      <c r="U5735" t="s">
        <v>52290</v>
      </c>
      <c r="W5735" t="s">
        <v>42509</v>
      </c>
      <c r="X5735" t="s">
        <v>45103</v>
      </c>
    </row>
    <row r="5736" spans="1:24">
      <c r="A5736">
        <f>HYPERLINK("https://www.philgeps.gov.ph/GEPSNONPILOT/Tender/SplashBidNoticeAbstractUI.aspx?menuIndex=3&amp;refID=7039407&amp;Result=3","7039407")</f>
        <v>0</v>
      </c>
      <c r="B5736" t="s">
        <v>264</v>
      </c>
      <c r="C5736" t="s">
        <v>8678</v>
      </c>
      <c r="D5736" t="s">
        <v>18066</v>
      </c>
      <c r="E5736" t="s">
        <v>23225</v>
      </c>
      <c r="F5736" t="s">
        <v>31574</v>
      </c>
      <c r="G5736" t="s">
        <v>31582</v>
      </c>
      <c r="H5736" t="s">
        <v>31590</v>
      </c>
      <c r="I5736" t="s">
        <v>3487</v>
      </c>
      <c r="J5736" t="s">
        <v>35432</v>
      </c>
      <c r="K5736" t="s">
        <v>41184</v>
      </c>
      <c r="M5736" t="s">
        <v>41750</v>
      </c>
      <c r="N5736" t="s">
        <v>45095</v>
      </c>
      <c r="O5736" t="s">
        <v>45096</v>
      </c>
      <c r="P5736">
        <v>0</v>
      </c>
      <c r="Q5736">
        <v>1</v>
      </c>
      <c r="R5736" t="s">
        <v>45102</v>
      </c>
      <c r="S5736" t="s">
        <v>45242</v>
      </c>
      <c r="T5736" t="s">
        <v>47134</v>
      </c>
      <c r="U5736" t="s">
        <v>52291</v>
      </c>
      <c r="W5736" t="s">
        <v>61674</v>
      </c>
      <c r="X5736" t="s">
        <v>45103</v>
      </c>
    </row>
    <row r="5737" spans="1:24">
      <c r="A5737">
        <f>HYPERLINK("https://www.philgeps.gov.ph/GEPSNONPILOT/Tender/SplashBidNoticeAbstractUI.aspx?menuIndex=3&amp;refID=7039408&amp;Result=3","7039408")</f>
        <v>0</v>
      </c>
      <c r="B5737" t="s">
        <v>1763</v>
      </c>
      <c r="C5737" t="s">
        <v>8679</v>
      </c>
      <c r="D5737" t="s">
        <v>18039</v>
      </c>
      <c r="E5737" t="s">
        <v>23226</v>
      </c>
      <c r="F5737" t="s">
        <v>31574</v>
      </c>
      <c r="G5737" t="s">
        <v>31581</v>
      </c>
      <c r="H5737" t="s">
        <v>31590</v>
      </c>
      <c r="I5737" t="s">
        <v>31608</v>
      </c>
      <c r="J5737" t="s">
        <v>32355</v>
      </c>
      <c r="K5737" t="s">
        <v>41213</v>
      </c>
      <c r="M5737" t="s">
        <v>43392</v>
      </c>
      <c r="N5737" t="s">
        <v>45095</v>
      </c>
      <c r="O5737" t="s">
        <v>45096</v>
      </c>
      <c r="P5737">
        <v>0</v>
      </c>
      <c r="Q5737">
        <v>4</v>
      </c>
      <c r="R5737" t="s">
        <v>45102</v>
      </c>
      <c r="S5737" t="s">
        <v>45242</v>
      </c>
      <c r="T5737" t="s">
        <v>46957</v>
      </c>
      <c r="U5737" t="s">
        <v>51976</v>
      </c>
      <c r="W5737" t="s">
        <v>43392</v>
      </c>
      <c r="X5737" t="s">
        <v>45103</v>
      </c>
    </row>
    <row r="5738" spans="1:24">
      <c r="A5738">
        <f>HYPERLINK("https://www.philgeps.gov.ph/GEPSNONPILOT/Tender/SplashBidNoticeAbstractUI.aspx?menuIndex=3&amp;refID=7039413&amp;Result=3","7039413")</f>
        <v>0</v>
      </c>
      <c r="B5738" t="s">
        <v>1229</v>
      </c>
      <c r="C5738" t="s">
        <v>8680</v>
      </c>
      <c r="D5738" t="s">
        <v>18022</v>
      </c>
      <c r="E5738" t="s">
        <v>23227</v>
      </c>
      <c r="F5738" t="s">
        <v>31574</v>
      </c>
      <c r="G5738" t="s">
        <v>31582</v>
      </c>
      <c r="H5738" t="s">
        <v>31590</v>
      </c>
      <c r="I5738" t="s">
        <v>6800</v>
      </c>
      <c r="J5738" t="s">
        <v>35433</v>
      </c>
      <c r="K5738" t="s">
        <v>41193</v>
      </c>
      <c r="M5738" t="s">
        <v>42791</v>
      </c>
      <c r="N5738" t="s">
        <v>45095</v>
      </c>
      <c r="O5738" t="s">
        <v>45096</v>
      </c>
      <c r="P5738">
        <v>0</v>
      </c>
      <c r="Q5738">
        <v>0</v>
      </c>
      <c r="R5738" t="s">
        <v>45102</v>
      </c>
      <c r="S5738" t="s">
        <v>45242</v>
      </c>
      <c r="T5738" t="s">
        <v>47010</v>
      </c>
      <c r="U5738" t="s">
        <v>52292</v>
      </c>
      <c r="W5738" t="s">
        <v>42791</v>
      </c>
      <c r="X5738" t="s">
        <v>45103</v>
      </c>
    </row>
    <row r="5739" spans="1:24">
      <c r="A5739">
        <f>HYPERLINK("https://www.philgeps.gov.ph/GEPSNONPILOT/Tender/SplashBidNoticeAbstractUI.aspx?menuIndex=3&amp;refID=7039421&amp;Result=3","7039421")</f>
        <v>0</v>
      </c>
      <c r="B5739" t="s">
        <v>1847</v>
      </c>
      <c r="C5739" t="s">
        <v>8681</v>
      </c>
      <c r="D5739" t="s">
        <v>18022</v>
      </c>
      <c r="E5739" t="s">
        <v>23228</v>
      </c>
      <c r="F5739" t="s">
        <v>31574</v>
      </c>
      <c r="G5739" t="s">
        <v>31581</v>
      </c>
      <c r="H5739" t="s">
        <v>31590</v>
      </c>
      <c r="I5739" t="s">
        <v>31606</v>
      </c>
      <c r="J5739" t="s">
        <v>35434</v>
      </c>
      <c r="K5739" t="s">
        <v>41193</v>
      </c>
      <c r="M5739" t="s">
        <v>43485</v>
      </c>
      <c r="N5739" t="s">
        <v>45095</v>
      </c>
      <c r="O5739" t="s">
        <v>45096</v>
      </c>
      <c r="P5739">
        <v>0</v>
      </c>
      <c r="Q5739">
        <v>4</v>
      </c>
      <c r="R5739" t="s">
        <v>45102</v>
      </c>
      <c r="S5739" t="s">
        <v>45242</v>
      </c>
      <c r="T5739" t="s">
        <v>47125</v>
      </c>
      <c r="U5739" t="s">
        <v>52293</v>
      </c>
      <c r="W5739" t="s">
        <v>43485</v>
      </c>
      <c r="X5739" t="s">
        <v>45103</v>
      </c>
    </row>
    <row r="5740" spans="1:24">
      <c r="A5740">
        <f>HYPERLINK("https://www.philgeps.gov.ph/GEPSNONPILOT/Tender/SplashBidNoticeAbstractUI.aspx?menuIndex=3&amp;refID=7039428&amp;Result=3","7039428")</f>
        <v>0</v>
      </c>
      <c r="B5740" t="s">
        <v>726</v>
      </c>
      <c r="C5740" t="s">
        <v>8682</v>
      </c>
      <c r="D5740" t="s">
        <v>18058</v>
      </c>
      <c r="E5740" t="s">
        <v>23229</v>
      </c>
      <c r="F5740" t="s">
        <v>31574</v>
      </c>
      <c r="G5740" t="s">
        <v>31583</v>
      </c>
      <c r="H5740" t="s">
        <v>31590</v>
      </c>
      <c r="I5740" t="s">
        <v>4046</v>
      </c>
      <c r="J5740" t="s">
        <v>35435</v>
      </c>
      <c r="K5740" t="s">
        <v>41184</v>
      </c>
      <c r="M5740" t="s">
        <v>42236</v>
      </c>
      <c r="N5740" t="s">
        <v>45095</v>
      </c>
      <c r="O5740" t="s">
        <v>45096</v>
      </c>
      <c r="P5740">
        <v>0</v>
      </c>
      <c r="Q5740">
        <v>3</v>
      </c>
      <c r="R5740" t="s">
        <v>45102</v>
      </c>
      <c r="S5740" t="s">
        <v>45242</v>
      </c>
      <c r="T5740" t="s">
        <v>47158</v>
      </c>
      <c r="U5740" t="s">
        <v>52294</v>
      </c>
      <c r="W5740" t="s">
        <v>42236</v>
      </c>
      <c r="X5740" t="s">
        <v>45103</v>
      </c>
    </row>
    <row r="5741" spans="1:24">
      <c r="A5741">
        <f>HYPERLINK("https://www.philgeps.gov.ph/GEPSNONPILOT/Tender/SplashBidNoticeAbstractUI.aspx?menuIndex=3&amp;refID=7039410&amp;Result=3","7039410")</f>
        <v>0</v>
      </c>
      <c r="B5741" t="s">
        <v>162</v>
      </c>
      <c r="C5741" t="s">
        <v>8683</v>
      </c>
      <c r="D5741" t="s">
        <v>18067</v>
      </c>
      <c r="E5741" t="s">
        <v>23230</v>
      </c>
      <c r="F5741" t="s">
        <v>31574</v>
      </c>
      <c r="G5741" t="s">
        <v>31584</v>
      </c>
      <c r="H5741" t="s">
        <v>31590</v>
      </c>
      <c r="I5741" t="s">
        <v>31594</v>
      </c>
      <c r="J5741" t="s">
        <v>35436</v>
      </c>
      <c r="K5741" t="s">
        <v>41186</v>
      </c>
      <c r="M5741" t="s">
        <v>41646</v>
      </c>
      <c r="N5741" t="s">
        <v>45095</v>
      </c>
      <c r="O5741" t="s">
        <v>45096</v>
      </c>
      <c r="P5741">
        <v>0</v>
      </c>
      <c r="Q5741">
        <v>5</v>
      </c>
      <c r="R5741" t="s">
        <v>45102</v>
      </c>
      <c r="S5741" t="s">
        <v>45242</v>
      </c>
      <c r="T5741" t="s">
        <v>47159</v>
      </c>
      <c r="U5741" t="s">
        <v>52295</v>
      </c>
      <c r="W5741" t="s">
        <v>41646</v>
      </c>
      <c r="X5741" t="s">
        <v>45103</v>
      </c>
    </row>
    <row r="5742" spans="1:24">
      <c r="A5742">
        <f>HYPERLINK("https://www.philgeps.gov.ph/GEPSNONPILOT/Tender/SplashBidNoticeAbstractUI.aspx?menuIndex=3&amp;refID=7039426&amp;Result=3","7039426")</f>
        <v>0</v>
      </c>
      <c r="B5742" t="s">
        <v>312</v>
      </c>
      <c r="C5742" t="s">
        <v>8684</v>
      </c>
      <c r="D5742" t="s">
        <v>18024</v>
      </c>
      <c r="E5742" t="s">
        <v>23231</v>
      </c>
      <c r="F5742" t="s">
        <v>31574</v>
      </c>
      <c r="G5742" t="s">
        <v>31581</v>
      </c>
      <c r="H5742" t="s">
        <v>31590</v>
      </c>
      <c r="I5742" t="s">
        <v>4046</v>
      </c>
      <c r="J5742" t="s">
        <v>35248</v>
      </c>
      <c r="K5742" t="s">
        <v>41196</v>
      </c>
      <c r="M5742" t="s">
        <v>41799</v>
      </c>
      <c r="N5742" t="s">
        <v>45095</v>
      </c>
      <c r="O5742" t="s">
        <v>45096</v>
      </c>
      <c r="P5742">
        <v>0</v>
      </c>
      <c r="Q5742">
        <v>0</v>
      </c>
      <c r="R5742" t="s">
        <v>45102</v>
      </c>
      <c r="S5742" t="s">
        <v>45242</v>
      </c>
      <c r="T5742" t="s">
        <v>47183</v>
      </c>
      <c r="U5742" t="s">
        <v>52029</v>
      </c>
      <c r="W5742" t="s">
        <v>41799</v>
      </c>
      <c r="X5742" t="s">
        <v>45103</v>
      </c>
    </row>
    <row r="5743" spans="1:24">
      <c r="A5743">
        <f>HYPERLINK("https://www.philgeps.gov.ph/GEPSNONPILOT/Tender/SplashBidNoticeAbstractUI.aspx?menuIndex=3&amp;refID=7039425&amp;Result=3","7039425")</f>
        <v>0</v>
      </c>
      <c r="B5743" t="s">
        <v>1449</v>
      </c>
      <c r="C5743" t="s">
        <v>8685</v>
      </c>
      <c r="D5743" t="s">
        <v>18088</v>
      </c>
      <c r="E5743" t="s">
        <v>23232</v>
      </c>
      <c r="F5743" t="s">
        <v>31574</v>
      </c>
      <c r="G5743" t="s">
        <v>31582</v>
      </c>
      <c r="H5743" t="s">
        <v>31593</v>
      </c>
      <c r="I5743" t="s">
        <v>31593</v>
      </c>
      <c r="J5743" t="s">
        <v>35437</v>
      </c>
      <c r="K5743" t="s">
        <v>41285</v>
      </c>
      <c r="M5743" t="s">
        <v>43028</v>
      </c>
      <c r="N5743" t="s">
        <v>45095</v>
      </c>
      <c r="O5743" t="s">
        <v>45096</v>
      </c>
      <c r="P5743">
        <v>0</v>
      </c>
      <c r="Q5743">
        <v>3</v>
      </c>
      <c r="R5743" t="s">
        <v>45102</v>
      </c>
      <c r="S5743" t="s">
        <v>45242</v>
      </c>
      <c r="T5743" t="s">
        <v>46918</v>
      </c>
      <c r="U5743" t="s">
        <v>52296</v>
      </c>
      <c r="V5743" t="s">
        <v>60455</v>
      </c>
      <c r="W5743" t="s">
        <v>43028</v>
      </c>
      <c r="X5743" t="s">
        <v>45103</v>
      </c>
    </row>
    <row r="5744" spans="1:24">
      <c r="A5744">
        <f>HYPERLINK("https://www.philgeps.gov.ph/GEPSNONPILOT/Tender/SplashBidNoticeAbstractUI.aspx?menuIndex=3&amp;refID=7039397&amp;Result=3","7039397")</f>
        <v>0</v>
      </c>
      <c r="B5744" t="s">
        <v>264</v>
      </c>
      <c r="C5744" t="s">
        <v>8686</v>
      </c>
      <c r="D5744" t="s">
        <v>18066</v>
      </c>
      <c r="E5744" t="s">
        <v>23233</v>
      </c>
      <c r="F5744" t="s">
        <v>31574</v>
      </c>
      <c r="G5744" t="s">
        <v>31582</v>
      </c>
      <c r="H5744" t="s">
        <v>31590</v>
      </c>
      <c r="I5744" t="s">
        <v>3487</v>
      </c>
      <c r="J5744" t="s">
        <v>35438</v>
      </c>
      <c r="K5744" t="s">
        <v>41184</v>
      </c>
      <c r="M5744" t="s">
        <v>41750</v>
      </c>
      <c r="N5744" t="s">
        <v>45095</v>
      </c>
      <c r="O5744" t="s">
        <v>45096</v>
      </c>
      <c r="P5744">
        <v>0</v>
      </c>
      <c r="Q5744">
        <v>0</v>
      </c>
      <c r="R5744" t="s">
        <v>45102</v>
      </c>
      <c r="S5744" t="s">
        <v>45242</v>
      </c>
      <c r="T5744" t="s">
        <v>47134</v>
      </c>
      <c r="U5744" t="s">
        <v>52297</v>
      </c>
      <c r="W5744" t="s">
        <v>61674</v>
      </c>
      <c r="X5744" t="s">
        <v>45103</v>
      </c>
    </row>
    <row r="5745" spans="1:24">
      <c r="A5745">
        <f>HYPERLINK("https://www.philgeps.gov.ph/GEPSNONPILOT/Tender/SplashBidNoticeAbstractUI.aspx?menuIndex=3&amp;refID=7039441&amp;Result=3","7039441")</f>
        <v>0</v>
      </c>
      <c r="B5745" t="s">
        <v>264</v>
      </c>
      <c r="C5745" t="s">
        <v>8687</v>
      </c>
      <c r="D5745" t="s">
        <v>18066</v>
      </c>
      <c r="E5745" t="s">
        <v>23234</v>
      </c>
      <c r="F5745" t="s">
        <v>31574</v>
      </c>
      <c r="G5745" t="s">
        <v>31582</v>
      </c>
      <c r="H5745" t="s">
        <v>31590</v>
      </c>
      <c r="I5745" t="s">
        <v>3487</v>
      </c>
      <c r="J5745" t="s">
        <v>35439</v>
      </c>
      <c r="K5745" t="s">
        <v>41184</v>
      </c>
      <c r="M5745" t="s">
        <v>41750</v>
      </c>
      <c r="N5745" t="s">
        <v>45095</v>
      </c>
      <c r="O5745" t="s">
        <v>45096</v>
      </c>
      <c r="P5745">
        <v>0</v>
      </c>
      <c r="Q5745">
        <v>2</v>
      </c>
      <c r="R5745" t="s">
        <v>45102</v>
      </c>
      <c r="S5745" t="s">
        <v>45242</v>
      </c>
      <c r="T5745" t="s">
        <v>47134</v>
      </c>
      <c r="U5745" t="s">
        <v>52298</v>
      </c>
      <c r="W5745" t="s">
        <v>61674</v>
      </c>
      <c r="X5745" t="s">
        <v>45103</v>
      </c>
    </row>
    <row r="5746" spans="1:24">
      <c r="A5746">
        <f>HYPERLINK("https://www.philgeps.gov.ph/GEPSNONPILOT/Tender/SplashBidNoticeAbstractUI.aspx?menuIndex=3&amp;refID=7039400&amp;Result=3","7039400")</f>
        <v>0</v>
      </c>
      <c r="B5746" t="s">
        <v>1817</v>
      </c>
      <c r="C5746" t="s">
        <v>8688</v>
      </c>
      <c r="D5746" t="s">
        <v>18043</v>
      </c>
      <c r="E5746" t="s">
        <v>19936</v>
      </c>
      <c r="F5746" t="s">
        <v>31574</v>
      </c>
      <c r="G5746" t="s">
        <v>31582</v>
      </c>
      <c r="H5746" t="s">
        <v>31590</v>
      </c>
      <c r="I5746" t="s">
        <v>14034</v>
      </c>
      <c r="J5746" t="s">
        <v>31742</v>
      </c>
      <c r="K5746" t="s">
        <v>41194</v>
      </c>
      <c r="M5746" t="s">
        <v>43452</v>
      </c>
      <c r="N5746" t="s">
        <v>45095</v>
      </c>
      <c r="O5746" t="s">
        <v>45096</v>
      </c>
      <c r="P5746">
        <v>0</v>
      </c>
      <c r="Q5746">
        <v>0</v>
      </c>
      <c r="R5746" t="s">
        <v>45102</v>
      </c>
      <c r="S5746" t="s">
        <v>45242</v>
      </c>
      <c r="T5746" t="s">
        <v>47198</v>
      </c>
      <c r="U5746" t="s">
        <v>52299</v>
      </c>
      <c r="W5746" t="s">
        <v>43452</v>
      </c>
      <c r="X5746" t="s">
        <v>45103</v>
      </c>
    </row>
    <row r="5747" spans="1:24">
      <c r="A5747">
        <f>HYPERLINK("https://www.philgeps.gov.ph/GEPSNONPILOT/Tender/SplashBidNoticeAbstractUI.aspx?menuIndex=3&amp;refID=7039427&amp;Result=3","7039427")</f>
        <v>0</v>
      </c>
      <c r="B5747" t="s">
        <v>159</v>
      </c>
      <c r="C5747" t="s">
        <v>8689</v>
      </c>
      <c r="D5747" t="s">
        <v>18046</v>
      </c>
      <c r="E5747" t="s">
        <v>23235</v>
      </c>
      <c r="F5747" t="s">
        <v>31574</v>
      </c>
      <c r="G5747" t="s">
        <v>31582</v>
      </c>
      <c r="H5747" t="s">
        <v>31590</v>
      </c>
      <c r="I5747" t="s">
        <v>6800</v>
      </c>
      <c r="J5747" t="s">
        <v>35440</v>
      </c>
      <c r="K5747" t="s">
        <v>41186</v>
      </c>
      <c r="M5747" t="s">
        <v>43387</v>
      </c>
      <c r="N5747" t="s">
        <v>45095</v>
      </c>
      <c r="O5747" t="s">
        <v>45096</v>
      </c>
      <c r="P5747">
        <v>0</v>
      </c>
      <c r="Q5747">
        <v>0</v>
      </c>
      <c r="R5747" t="s">
        <v>45102</v>
      </c>
      <c r="S5747" t="s">
        <v>45242</v>
      </c>
      <c r="T5747" t="s">
        <v>46963</v>
      </c>
      <c r="U5747" t="s">
        <v>47772</v>
      </c>
      <c r="V5747" t="s">
        <v>59890</v>
      </c>
      <c r="W5747" t="s">
        <v>43387</v>
      </c>
      <c r="X5747" t="s">
        <v>45103</v>
      </c>
    </row>
    <row r="5748" spans="1:24">
      <c r="A5748">
        <f>HYPERLINK("https://www.philgeps.gov.ph/GEPSNONPILOT/Tender/SplashBidNoticeAbstractUI.aspx?menuIndex=3&amp;refID=7039439&amp;Result=3","7039439")</f>
        <v>0</v>
      </c>
      <c r="B5748" t="s">
        <v>1848</v>
      </c>
      <c r="C5748" t="s">
        <v>8690</v>
      </c>
      <c r="D5748" t="s">
        <v>18030</v>
      </c>
      <c r="E5748" t="s">
        <v>23236</v>
      </c>
      <c r="F5748" t="s">
        <v>31574</v>
      </c>
      <c r="G5748" t="s">
        <v>31581</v>
      </c>
      <c r="H5748" t="s">
        <v>31593</v>
      </c>
      <c r="I5748" t="s">
        <v>31593</v>
      </c>
      <c r="J5748" t="s">
        <v>31843</v>
      </c>
      <c r="K5748" t="s">
        <v>41191</v>
      </c>
      <c r="M5748" t="s">
        <v>43486</v>
      </c>
      <c r="N5748" t="s">
        <v>45095</v>
      </c>
      <c r="O5748" t="s">
        <v>45096</v>
      </c>
      <c r="P5748">
        <v>0</v>
      </c>
      <c r="Q5748">
        <v>0</v>
      </c>
      <c r="R5748" t="s">
        <v>45102</v>
      </c>
      <c r="S5748" t="s">
        <v>45242</v>
      </c>
      <c r="T5748" t="s">
        <v>47125</v>
      </c>
      <c r="U5748" t="s">
        <v>52300</v>
      </c>
      <c r="W5748" t="s">
        <v>43486</v>
      </c>
      <c r="X5748" t="s">
        <v>45103</v>
      </c>
    </row>
    <row r="5749" spans="1:24">
      <c r="A5749">
        <f>HYPERLINK("https://www.philgeps.gov.ph/GEPSNONPILOT/Tender/SplashBidNoticeAbstractUI.aspx?menuIndex=3&amp;refID=7039424&amp;Result=3","7039424")</f>
        <v>0</v>
      </c>
      <c r="B5749" t="s">
        <v>1838</v>
      </c>
      <c r="C5749" t="s">
        <v>8691</v>
      </c>
      <c r="D5749" t="s">
        <v>18026</v>
      </c>
      <c r="E5749" t="s">
        <v>23237</v>
      </c>
      <c r="F5749" t="s">
        <v>31574</v>
      </c>
      <c r="G5749" t="s">
        <v>31581</v>
      </c>
      <c r="H5749" t="s">
        <v>31590</v>
      </c>
      <c r="I5749" t="s">
        <v>31642</v>
      </c>
      <c r="J5749" t="s">
        <v>35441</v>
      </c>
      <c r="K5749" t="s">
        <v>41186</v>
      </c>
      <c r="M5749" t="s">
        <v>43475</v>
      </c>
      <c r="N5749" t="s">
        <v>45095</v>
      </c>
      <c r="O5749" t="s">
        <v>45096</v>
      </c>
      <c r="P5749">
        <v>0</v>
      </c>
      <c r="Q5749">
        <v>1</v>
      </c>
      <c r="R5749" t="s">
        <v>45102</v>
      </c>
      <c r="S5749" t="s">
        <v>45242</v>
      </c>
      <c r="T5749" t="s">
        <v>46918</v>
      </c>
      <c r="U5749" t="s">
        <v>52301</v>
      </c>
      <c r="W5749" t="s">
        <v>61719</v>
      </c>
      <c r="X5749" t="s">
        <v>45103</v>
      </c>
    </row>
    <row r="5750" spans="1:24">
      <c r="A5750">
        <f>HYPERLINK("https://www.philgeps.gov.ph/GEPSNONPILOT/Tender/SplashBidNoticeAbstractUI.aspx?menuIndex=3&amp;refID=7039445&amp;Result=3","7039445")</f>
        <v>0</v>
      </c>
      <c r="B5750" t="s">
        <v>1229</v>
      </c>
      <c r="C5750" t="s">
        <v>8692</v>
      </c>
      <c r="D5750" t="s">
        <v>18022</v>
      </c>
      <c r="E5750" t="s">
        <v>23238</v>
      </c>
      <c r="F5750" t="s">
        <v>31574</v>
      </c>
      <c r="G5750" t="s">
        <v>31582</v>
      </c>
      <c r="H5750" t="s">
        <v>31590</v>
      </c>
      <c r="I5750" t="s">
        <v>3487</v>
      </c>
      <c r="J5750" t="s">
        <v>35442</v>
      </c>
      <c r="K5750" t="s">
        <v>41193</v>
      </c>
      <c r="M5750" t="s">
        <v>42791</v>
      </c>
      <c r="N5750" t="s">
        <v>45095</v>
      </c>
      <c r="O5750" t="s">
        <v>45096</v>
      </c>
      <c r="P5750">
        <v>0</v>
      </c>
      <c r="Q5750">
        <v>1</v>
      </c>
      <c r="R5750" t="s">
        <v>45102</v>
      </c>
      <c r="S5750" t="s">
        <v>45242</v>
      </c>
      <c r="T5750" t="s">
        <v>47010</v>
      </c>
      <c r="U5750" t="s">
        <v>50409</v>
      </c>
      <c r="W5750" t="s">
        <v>42791</v>
      </c>
      <c r="X5750" t="s">
        <v>45103</v>
      </c>
    </row>
    <row r="5751" spans="1:24">
      <c r="A5751">
        <f>HYPERLINK("https://www.philgeps.gov.ph/GEPSNONPILOT/Tender/SplashBidNoticeAbstractUI.aspx?menuIndex=3&amp;refID=7039444&amp;Result=3","7039444")</f>
        <v>0</v>
      </c>
      <c r="B5751" t="s">
        <v>159</v>
      </c>
      <c r="C5751" t="s">
        <v>8693</v>
      </c>
      <c r="D5751" t="s">
        <v>18046</v>
      </c>
      <c r="E5751" t="s">
        <v>23239</v>
      </c>
      <c r="F5751" t="s">
        <v>31574</v>
      </c>
      <c r="G5751" t="s">
        <v>31582</v>
      </c>
      <c r="H5751" t="s">
        <v>31590</v>
      </c>
      <c r="I5751" t="s">
        <v>31608</v>
      </c>
      <c r="J5751" t="s">
        <v>35443</v>
      </c>
      <c r="K5751" t="s">
        <v>41186</v>
      </c>
      <c r="M5751" t="s">
        <v>43387</v>
      </c>
      <c r="N5751" t="s">
        <v>45095</v>
      </c>
      <c r="O5751" t="s">
        <v>45096</v>
      </c>
      <c r="P5751">
        <v>0</v>
      </c>
      <c r="Q5751">
        <v>0</v>
      </c>
      <c r="R5751" t="s">
        <v>45102</v>
      </c>
      <c r="S5751" t="s">
        <v>45242</v>
      </c>
      <c r="T5751" t="s">
        <v>46963</v>
      </c>
      <c r="U5751" t="s">
        <v>47772</v>
      </c>
      <c r="V5751" t="s">
        <v>59890</v>
      </c>
      <c r="W5751" t="s">
        <v>43387</v>
      </c>
      <c r="X5751" t="s">
        <v>45103</v>
      </c>
    </row>
    <row r="5752" spans="1:24">
      <c r="A5752">
        <f>HYPERLINK("https://www.philgeps.gov.ph/GEPSNONPILOT/Tender/SplashBidNoticeAbstractUI.aspx?menuIndex=3&amp;refID=7039449&amp;Result=3","7039449")</f>
        <v>0</v>
      </c>
      <c r="B5752" t="s">
        <v>955</v>
      </c>
      <c r="C5752" t="s">
        <v>8694</v>
      </c>
      <c r="D5752" t="s">
        <v>18043</v>
      </c>
      <c r="E5752" t="s">
        <v>23240</v>
      </c>
      <c r="F5752" t="s">
        <v>31574</v>
      </c>
      <c r="G5752" t="s">
        <v>31582</v>
      </c>
      <c r="H5752" t="s">
        <v>31590</v>
      </c>
      <c r="I5752" t="s">
        <v>31629</v>
      </c>
      <c r="J5752" t="s">
        <v>35444</v>
      </c>
      <c r="K5752" t="s">
        <v>41184</v>
      </c>
      <c r="M5752" t="s">
        <v>42482</v>
      </c>
      <c r="N5752" t="s">
        <v>45095</v>
      </c>
      <c r="O5752" t="s">
        <v>45096</v>
      </c>
      <c r="P5752">
        <v>0</v>
      </c>
      <c r="Q5752">
        <v>1</v>
      </c>
      <c r="R5752" t="s">
        <v>45102</v>
      </c>
      <c r="S5752" t="s">
        <v>45242</v>
      </c>
      <c r="T5752" t="s">
        <v>47004</v>
      </c>
      <c r="U5752" t="s">
        <v>52302</v>
      </c>
      <c r="W5752" t="s">
        <v>42482</v>
      </c>
      <c r="X5752" t="s">
        <v>45103</v>
      </c>
    </row>
    <row r="5753" spans="1:24">
      <c r="A5753">
        <f>HYPERLINK("https://www.philgeps.gov.ph/GEPSNONPILOT/Tender/SplashBidNoticeAbstractUI.aspx?menuIndex=3&amp;refID=7039434&amp;Result=3","7039434")</f>
        <v>0</v>
      </c>
      <c r="B5753" t="s">
        <v>1832</v>
      </c>
      <c r="C5753" t="s">
        <v>8695</v>
      </c>
      <c r="D5753" t="s">
        <v>18034</v>
      </c>
      <c r="E5753" t="s">
        <v>23241</v>
      </c>
      <c r="F5753" t="s">
        <v>31574</v>
      </c>
      <c r="G5753" t="s">
        <v>31582</v>
      </c>
      <c r="H5753" t="s">
        <v>31590</v>
      </c>
      <c r="I5753" t="s">
        <v>3651</v>
      </c>
      <c r="J5753" t="s">
        <v>35445</v>
      </c>
      <c r="K5753" t="s">
        <v>41184</v>
      </c>
      <c r="M5753" t="s">
        <v>43468</v>
      </c>
      <c r="N5753" t="s">
        <v>45095</v>
      </c>
      <c r="O5753" t="s">
        <v>45096</v>
      </c>
      <c r="P5753">
        <v>0</v>
      </c>
      <c r="Q5753">
        <v>0</v>
      </c>
      <c r="R5753" t="s">
        <v>45102</v>
      </c>
      <c r="S5753" t="s">
        <v>45242</v>
      </c>
      <c r="T5753" t="s">
        <v>46973</v>
      </c>
      <c r="U5753" t="s">
        <v>52303</v>
      </c>
      <c r="W5753" t="s">
        <v>43468</v>
      </c>
      <c r="X5753" t="s">
        <v>45103</v>
      </c>
    </row>
    <row r="5754" spans="1:24">
      <c r="A5754">
        <f>HYPERLINK("https://www.philgeps.gov.ph/GEPSNONPILOT/Tender/SplashBidNoticeAbstractUI.aspx?menuIndex=3&amp;refID=7039446&amp;Result=3","7039446")</f>
        <v>0</v>
      </c>
      <c r="B5754" t="s">
        <v>671</v>
      </c>
      <c r="C5754" t="s">
        <v>8696</v>
      </c>
      <c r="D5754" t="s">
        <v>18022</v>
      </c>
      <c r="E5754" t="s">
        <v>23242</v>
      </c>
      <c r="F5754" t="s">
        <v>31574</v>
      </c>
      <c r="G5754" t="s">
        <v>31581</v>
      </c>
      <c r="H5754" t="s">
        <v>31590</v>
      </c>
      <c r="I5754" t="s">
        <v>4046</v>
      </c>
      <c r="J5754" t="s">
        <v>35446</v>
      </c>
      <c r="K5754" t="s">
        <v>41196</v>
      </c>
      <c r="M5754" t="s">
        <v>42177</v>
      </c>
      <c r="N5754" t="s">
        <v>45095</v>
      </c>
      <c r="O5754" t="s">
        <v>45096</v>
      </c>
      <c r="P5754">
        <v>0</v>
      </c>
      <c r="Q5754">
        <v>6</v>
      </c>
      <c r="R5754" t="s">
        <v>45102</v>
      </c>
      <c r="S5754" t="s">
        <v>45242</v>
      </c>
      <c r="T5754" t="s">
        <v>47077</v>
      </c>
      <c r="U5754" t="s">
        <v>49487</v>
      </c>
      <c r="W5754" t="s">
        <v>42177</v>
      </c>
      <c r="X5754" t="s">
        <v>45103</v>
      </c>
    </row>
    <row r="5755" spans="1:24">
      <c r="A5755">
        <f>HYPERLINK("https://www.philgeps.gov.ph/GEPSNONPILOT/Tender/SplashBidNoticeAbstractUI.aspx?menuIndex=3&amp;refID=7039442&amp;Result=3","7039442")</f>
        <v>0</v>
      </c>
      <c r="B5755" t="s">
        <v>62</v>
      </c>
      <c r="C5755" t="s">
        <v>8697</v>
      </c>
      <c r="D5755" t="s">
        <v>18037</v>
      </c>
      <c r="E5755" t="s">
        <v>23243</v>
      </c>
      <c r="F5755" t="s">
        <v>31574</v>
      </c>
      <c r="G5755" t="s">
        <v>31581</v>
      </c>
      <c r="H5755" t="s">
        <v>31590</v>
      </c>
      <c r="I5755" t="s">
        <v>8822</v>
      </c>
      <c r="J5755" t="s">
        <v>35447</v>
      </c>
      <c r="K5755" t="s">
        <v>41184</v>
      </c>
      <c r="L5755" t="s">
        <v>62</v>
      </c>
      <c r="M5755" t="s">
        <v>41546</v>
      </c>
      <c r="N5755" t="s">
        <v>45095</v>
      </c>
      <c r="O5755" t="s">
        <v>45096</v>
      </c>
      <c r="P5755">
        <v>0</v>
      </c>
      <c r="Q5755">
        <v>0</v>
      </c>
      <c r="R5755" t="s">
        <v>45102</v>
      </c>
      <c r="S5755" t="s">
        <v>45242</v>
      </c>
      <c r="T5755" t="s">
        <v>47050</v>
      </c>
      <c r="U5755" t="s">
        <v>52304</v>
      </c>
      <c r="W5755" t="s">
        <v>41546</v>
      </c>
      <c r="X5755" t="s">
        <v>45103</v>
      </c>
    </row>
    <row r="5756" spans="1:24">
      <c r="A5756">
        <f>HYPERLINK("https://www.philgeps.gov.ph/GEPSNONPILOT/Tender/SplashBidNoticeAbstractUI.aspx?menuIndex=3&amp;refID=7039432&amp;Result=3","7039432")</f>
        <v>0</v>
      </c>
      <c r="B5756" t="s">
        <v>264</v>
      </c>
      <c r="C5756" t="s">
        <v>8698</v>
      </c>
      <c r="D5756" t="s">
        <v>18066</v>
      </c>
      <c r="E5756" t="s">
        <v>23244</v>
      </c>
      <c r="F5756" t="s">
        <v>31574</v>
      </c>
      <c r="G5756" t="s">
        <v>31582</v>
      </c>
      <c r="H5756" t="s">
        <v>31590</v>
      </c>
      <c r="I5756" t="s">
        <v>3487</v>
      </c>
      <c r="J5756" t="s">
        <v>35448</v>
      </c>
      <c r="K5756" t="s">
        <v>41184</v>
      </c>
      <c r="M5756" t="s">
        <v>41750</v>
      </c>
      <c r="N5756" t="s">
        <v>45095</v>
      </c>
      <c r="O5756" t="s">
        <v>45096</v>
      </c>
      <c r="P5756">
        <v>0</v>
      </c>
      <c r="Q5756">
        <v>1</v>
      </c>
      <c r="R5756" t="s">
        <v>45102</v>
      </c>
      <c r="S5756" t="s">
        <v>45242</v>
      </c>
      <c r="T5756" t="s">
        <v>47134</v>
      </c>
      <c r="U5756" t="s">
        <v>52305</v>
      </c>
      <c r="W5756" t="s">
        <v>61674</v>
      </c>
      <c r="X5756" t="s">
        <v>45103</v>
      </c>
    </row>
    <row r="5757" spans="1:24">
      <c r="A5757">
        <f>HYPERLINK("https://www.philgeps.gov.ph/GEPSNONPILOT/Tender/SplashBidNoticeAbstractUI.aspx?menuIndex=3&amp;refID=7039448&amp;Result=3","7039448")</f>
        <v>0</v>
      </c>
      <c r="B5757" t="s">
        <v>522</v>
      </c>
      <c r="C5757" t="s">
        <v>8699</v>
      </c>
      <c r="D5757" t="s">
        <v>18101</v>
      </c>
      <c r="E5757" t="s">
        <v>23245</v>
      </c>
      <c r="F5757" t="s">
        <v>31575</v>
      </c>
      <c r="G5757" t="s">
        <v>31581</v>
      </c>
      <c r="H5757" t="s">
        <v>31592</v>
      </c>
      <c r="I5757" t="s">
        <v>4327</v>
      </c>
      <c r="J5757" t="s">
        <v>32008</v>
      </c>
      <c r="K5757" t="s">
        <v>41193</v>
      </c>
      <c r="M5757" t="s">
        <v>42018</v>
      </c>
      <c r="N5757" t="s">
        <v>45095</v>
      </c>
      <c r="O5757" t="s">
        <v>45096</v>
      </c>
      <c r="P5757">
        <v>0</v>
      </c>
      <c r="Q5757">
        <v>0</v>
      </c>
      <c r="R5757" t="s">
        <v>45102</v>
      </c>
      <c r="S5757" t="s">
        <v>45242</v>
      </c>
      <c r="T5757" t="s">
        <v>46936</v>
      </c>
      <c r="U5757" t="s">
        <v>52306</v>
      </c>
      <c r="W5757" t="s">
        <v>42018</v>
      </c>
      <c r="X5757" t="s">
        <v>45103</v>
      </c>
    </row>
    <row r="5758" spans="1:24">
      <c r="A5758">
        <f>HYPERLINK("https://www.philgeps.gov.ph/GEPSNONPILOT/Tender/SplashBidNoticeAbstractUI.aspx?menuIndex=3&amp;refID=7039429&amp;Result=3","7039429")</f>
        <v>0</v>
      </c>
      <c r="B5758" t="s">
        <v>363</v>
      </c>
      <c r="C5758" t="s">
        <v>8700</v>
      </c>
      <c r="D5758" t="s">
        <v>18044</v>
      </c>
      <c r="E5758" t="s">
        <v>23246</v>
      </c>
      <c r="F5758" t="s">
        <v>31574</v>
      </c>
      <c r="G5758" t="s">
        <v>31583</v>
      </c>
      <c r="H5758" t="s">
        <v>31590</v>
      </c>
      <c r="I5758" t="s">
        <v>7185</v>
      </c>
      <c r="J5758" t="s">
        <v>35449</v>
      </c>
      <c r="K5758" t="s">
        <v>41184</v>
      </c>
      <c r="M5758" t="s">
        <v>41853</v>
      </c>
      <c r="N5758" t="s">
        <v>45095</v>
      </c>
      <c r="O5758" t="s">
        <v>45096</v>
      </c>
      <c r="P5758">
        <v>0</v>
      </c>
      <c r="Q5758">
        <v>0</v>
      </c>
      <c r="R5758" t="s">
        <v>45102</v>
      </c>
      <c r="S5758" t="s">
        <v>45242</v>
      </c>
      <c r="T5758" t="s">
        <v>47157</v>
      </c>
      <c r="U5758" t="s">
        <v>52307</v>
      </c>
      <c r="W5758" t="s">
        <v>41853</v>
      </c>
      <c r="X5758" t="s">
        <v>45103</v>
      </c>
    </row>
    <row r="5759" spans="1:24">
      <c r="A5759">
        <f>HYPERLINK("https://www.philgeps.gov.ph/GEPSNONPILOT/Tender/SplashBidNoticeAbstractUI.aspx?menuIndex=3&amp;refID=7039431&amp;Result=3","7039431")</f>
        <v>0</v>
      </c>
      <c r="B5759" t="s">
        <v>1849</v>
      </c>
      <c r="C5759" t="s">
        <v>8701</v>
      </c>
      <c r="D5759" t="s">
        <v>18083</v>
      </c>
      <c r="E5759" t="s">
        <v>21517</v>
      </c>
      <c r="F5759" t="s">
        <v>31574</v>
      </c>
      <c r="G5759" t="s">
        <v>31582</v>
      </c>
      <c r="H5759" t="s">
        <v>31591</v>
      </c>
      <c r="I5759" t="s">
        <v>8822</v>
      </c>
      <c r="J5759" t="s">
        <v>32026</v>
      </c>
      <c r="K5759" t="s">
        <v>41184</v>
      </c>
      <c r="M5759" t="s">
        <v>43487</v>
      </c>
      <c r="N5759" t="s">
        <v>45095</v>
      </c>
      <c r="O5759" t="s">
        <v>45096</v>
      </c>
      <c r="P5759">
        <v>0</v>
      </c>
      <c r="Q5759">
        <v>0</v>
      </c>
      <c r="R5759" t="s">
        <v>45102</v>
      </c>
      <c r="S5759" t="s">
        <v>45242</v>
      </c>
      <c r="T5759" t="s">
        <v>47198</v>
      </c>
      <c r="U5759" t="s">
        <v>52308</v>
      </c>
      <c r="W5759" t="s">
        <v>61720</v>
      </c>
      <c r="X5759" t="s">
        <v>45103</v>
      </c>
    </row>
    <row r="5760" spans="1:24">
      <c r="A5760">
        <f>HYPERLINK("https://www.philgeps.gov.ph/GEPSNONPILOT/Tender/SplashBidNoticeAbstractUI.aspx?menuIndex=3&amp;refID=7039436&amp;Result=3","7039436")</f>
        <v>0</v>
      </c>
      <c r="B5760" t="s">
        <v>1850</v>
      </c>
      <c r="C5760" t="s">
        <v>8702</v>
      </c>
      <c r="D5760" t="s">
        <v>18063</v>
      </c>
      <c r="E5760" t="s">
        <v>23247</v>
      </c>
      <c r="F5760" t="s">
        <v>31574</v>
      </c>
      <c r="G5760" t="s">
        <v>31582</v>
      </c>
      <c r="H5760" t="s">
        <v>31591</v>
      </c>
      <c r="I5760" t="s">
        <v>8822</v>
      </c>
      <c r="J5760" t="s">
        <v>35450</v>
      </c>
      <c r="K5760" t="s">
        <v>41243</v>
      </c>
      <c r="M5760" t="s">
        <v>43488</v>
      </c>
      <c r="N5760" t="s">
        <v>45095</v>
      </c>
      <c r="O5760" t="s">
        <v>45096</v>
      </c>
      <c r="P5760">
        <v>0</v>
      </c>
      <c r="Q5760">
        <v>4</v>
      </c>
      <c r="R5760" t="s">
        <v>45102</v>
      </c>
      <c r="S5760" t="s">
        <v>45242</v>
      </c>
      <c r="T5760" t="s">
        <v>47100</v>
      </c>
      <c r="U5760" t="s">
        <v>52309</v>
      </c>
      <c r="W5760" t="s">
        <v>43488</v>
      </c>
      <c r="X5760" t="s">
        <v>45103</v>
      </c>
    </row>
    <row r="5761" spans="1:24">
      <c r="A5761">
        <f>HYPERLINK("https://www.philgeps.gov.ph/GEPSNONPILOT/Tender/SplashBidNoticeAbstractUI.aspx?menuIndex=3&amp;refID=7039433&amp;Result=3","7039433")</f>
        <v>0</v>
      </c>
      <c r="B5761" t="s">
        <v>75</v>
      </c>
      <c r="C5761" t="s">
        <v>8703</v>
      </c>
      <c r="D5761" t="s">
        <v>18054</v>
      </c>
      <c r="E5761" t="s">
        <v>23248</v>
      </c>
      <c r="F5761" t="s">
        <v>31574</v>
      </c>
      <c r="G5761" t="s">
        <v>31582</v>
      </c>
      <c r="H5761" t="s">
        <v>31590</v>
      </c>
      <c r="I5761" t="s">
        <v>31602</v>
      </c>
      <c r="J5761" t="s">
        <v>35451</v>
      </c>
      <c r="K5761" t="s">
        <v>41263</v>
      </c>
      <c r="M5761" t="s">
        <v>41559</v>
      </c>
      <c r="N5761" t="s">
        <v>45095</v>
      </c>
      <c r="O5761" t="s">
        <v>45096</v>
      </c>
      <c r="P5761">
        <v>0</v>
      </c>
      <c r="Q5761">
        <v>0</v>
      </c>
      <c r="R5761" t="s">
        <v>45102</v>
      </c>
      <c r="S5761" t="s">
        <v>45242</v>
      </c>
      <c r="T5761" t="s">
        <v>46988</v>
      </c>
      <c r="U5761" t="s">
        <v>52310</v>
      </c>
      <c r="W5761" t="s">
        <v>41559</v>
      </c>
      <c r="X5761" t="s">
        <v>45103</v>
      </c>
    </row>
    <row r="5762" spans="1:24">
      <c r="A5762">
        <f>HYPERLINK("https://www.philgeps.gov.ph/GEPSNONPILOT/Tender/SplashBidNoticeAbstractUI.aspx?menuIndex=3&amp;refID=7039469&amp;Result=3","7039469")</f>
        <v>0</v>
      </c>
      <c r="B5762" t="s">
        <v>159</v>
      </c>
      <c r="C5762" t="s">
        <v>8704</v>
      </c>
      <c r="D5762" t="s">
        <v>18046</v>
      </c>
      <c r="E5762" t="s">
        <v>23249</v>
      </c>
      <c r="F5762" t="s">
        <v>31574</v>
      </c>
      <c r="G5762" t="s">
        <v>31582</v>
      </c>
      <c r="H5762" t="s">
        <v>31590</v>
      </c>
      <c r="I5762" t="s">
        <v>31607</v>
      </c>
      <c r="J5762" t="s">
        <v>32029</v>
      </c>
      <c r="K5762" t="s">
        <v>41186</v>
      </c>
      <c r="M5762" t="s">
        <v>43387</v>
      </c>
      <c r="N5762" t="s">
        <v>45095</v>
      </c>
      <c r="O5762" t="s">
        <v>45096</v>
      </c>
      <c r="P5762">
        <v>0</v>
      </c>
      <c r="Q5762">
        <v>1</v>
      </c>
      <c r="R5762" t="s">
        <v>45102</v>
      </c>
      <c r="S5762" t="s">
        <v>45242</v>
      </c>
      <c r="T5762" t="s">
        <v>46963</v>
      </c>
      <c r="U5762" t="s">
        <v>47772</v>
      </c>
      <c r="V5762" t="s">
        <v>59890</v>
      </c>
      <c r="W5762" t="s">
        <v>43387</v>
      </c>
      <c r="X5762" t="s">
        <v>45103</v>
      </c>
    </row>
    <row r="5763" spans="1:24">
      <c r="A5763">
        <f>HYPERLINK("https://www.philgeps.gov.ph/GEPSNONPILOT/Tender/SplashBidNoticeAbstractUI.aspx?menuIndex=3&amp;refID=7039460&amp;Result=3","7039460")</f>
        <v>0</v>
      </c>
      <c r="B5763" t="s">
        <v>1229</v>
      </c>
      <c r="C5763" t="s">
        <v>8705</v>
      </c>
      <c r="D5763" t="s">
        <v>18022</v>
      </c>
      <c r="E5763" t="s">
        <v>23250</v>
      </c>
      <c r="F5763" t="s">
        <v>31574</v>
      </c>
      <c r="G5763" t="s">
        <v>31582</v>
      </c>
      <c r="H5763" t="s">
        <v>31590</v>
      </c>
      <c r="I5763" t="s">
        <v>3651</v>
      </c>
      <c r="J5763" t="s">
        <v>31890</v>
      </c>
      <c r="K5763" t="s">
        <v>41193</v>
      </c>
      <c r="M5763" t="s">
        <v>42791</v>
      </c>
      <c r="N5763" t="s">
        <v>45095</v>
      </c>
      <c r="O5763" t="s">
        <v>45096</v>
      </c>
      <c r="P5763">
        <v>0</v>
      </c>
      <c r="Q5763">
        <v>2</v>
      </c>
      <c r="R5763" t="s">
        <v>45102</v>
      </c>
      <c r="S5763" t="s">
        <v>45242</v>
      </c>
      <c r="T5763" t="s">
        <v>47000</v>
      </c>
      <c r="U5763" t="s">
        <v>52311</v>
      </c>
      <c r="W5763" t="s">
        <v>42791</v>
      </c>
      <c r="X5763" t="s">
        <v>45103</v>
      </c>
    </row>
    <row r="5764" spans="1:24">
      <c r="A5764">
        <f>HYPERLINK("https://www.philgeps.gov.ph/GEPSNONPILOT/Tender/SplashBidNoticeAbstractUI.aspx?menuIndex=3&amp;refID=7039467&amp;Result=3","7039467")</f>
        <v>0</v>
      </c>
      <c r="B5764" t="s">
        <v>1008</v>
      </c>
      <c r="C5764" t="s">
        <v>8706</v>
      </c>
      <c r="D5764" t="s">
        <v>18028</v>
      </c>
      <c r="E5764" t="s">
        <v>23251</v>
      </c>
      <c r="F5764" t="s">
        <v>31574</v>
      </c>
      <c r="G5764" t="s">
        <v>31581</v>
      </c>
      <c r="H5764" t="s">
        <v>31590</v>
      </c>
      <c r="I5764" t="s">
        <v>31623</v>
      </c>
      <c r="J5764" t="s">
        <v>31727</v>
      </c>
      <c r="K5764" t="s">
        <v>41186</v>
      </c>
      <c r="M5764" t="s">
        <v>42548</v>
      </c>
      <c r="N5764" t="s">
        <v>45095</v>
      </c>
      <c r="O5764" t="s">
        <v>45096</v>
      </c>
      <c r="P5764">
        <v>0</v>
      </c>
      <c r="Q5764">
        <v>1</v>
      </c>
      <c r="R5764" t="s">
        <v>45102</v>
      </c>
      <c r="S5764" t="s">
        <v>45242</v>
      </c>
      <c r="T5764" t="s">
        <v>46904</v>
      </c>
      <c r="U5764" t="s">
        <v>52312</v>
      </c>
      <c r="V5764" t="s">
        <v>60456</v>
      </c>
      <c r="W5764" t="s">
        <v>42548</v>
      </c>
      <c r="X5764" t="s">
        <v>45103</v>
      </c>
    </row>
    <row r="5765" spans="1:24">
      <c r="A5765">
        <f>HYPERLINK("https://www.philgeps.gov.ph/GEPSNONPILOT/Tender/SplashBidNoticeAbstractUI.aspx?menuIndex=3&amp;refID=7039459&amp;Result=3","7039459")</f>
        <v>0</v>
      </c>
      <c r="B5765" t="s">
        <v>1851</v>
      </c>
      <c r="C5765" t="s">
        <v>8707</v>
      </c>
      <c r="D5765" t="s">
        <v>18050</v>
      </c>
      <c r="E5765" t="s">
        <v>23252</v>
      </c>
      <c r="F5765" t="s">
        <v>31574</v>
      </c>
      <c r="G5765" t="s">
        <v>31581</v>
      </c>
      <c r="H5765" t="s">
        <v>31590</v>
      </c>
      <c r="I5765" t="s">
        <v>8258</v>
      </c>
      <c r="J5765" t="s">
        <v>35452</v>
      </c>
      <c r="K5765" t="s">
        <v>41211</v>
      </c>
      <c r="M5765" t="s">
        <v>43489</v>
      </c>
      <c r="N5765" t="s">
        <v>45095</v>
      </c>
      <c r="O5765" t="s">
        <v>45096</v>
      </c>
      <c r="P5765">
        <v>0</v>
      </c>
      <c r="Q5765">
        <v>8</v>
      </c>
      <c r="R5765" t="s">
        <v>45102</v>
      </c>
      <c r="S5765" t="s">
        <v>45242</v>
      </c>
      <c r="T5765" t="s">
        <v>47159</v>
      </c>
      <c r="U5765" t="s">
        <v>52313</v>
      </c>
      <c r="V5765" t="s">
        <v>60457</v>
      </c>
      <c r="W5765" t="s">
        <v>43489</v>
      </c>
      <c r="X5765" t="s">
        <v>45103</v>
      </c>
    </row>
    <row r="5766" spans="1:24">
      <c r="A5766">
        <f>HYPERLINK("https://www.philgeps.gov.ph/GEPSNONPILOT/Tender/SplashBidNoticeAbstractUI.aspx?menuIndex=3&amp;refID=7039465&amp;Result=3","7039465")</f>
        <v>0</v>
      </c>
      <c r="B5766" t="s">
        <v>643</v>
      </c>
      <c r="C5766" t="s">
        <v>8708</v>
      </c>
      <c r="D5766" t="s">
        <v>18063</v>
      </c>
      <c r="E5766" t="s">
        <v>23253</v>
      </c>
      <c r="F5766" t="s">
        <v>31574</v>
      </c>
      <c r="G5766" t="s">
        <v>31581</v>
      </c>
      <c r="H5766" t="s">
        <v>31590</v>
      </c>
      <c r="I5766" t="s">
        <v>8056</v>
      </c>
      <c r="J5766" t="s">
        <v>34709</v>
      </c>
      <c r="K5766" t="s">
        <v>41196</v>
      </c>
      <c r="M5766" t="s">
        <v>43024</v>
      </c>
      <c r="N5766" t="s">
        <v>45095</v>
      </c>
      <c r="O5766" t="s">
        <v>45096</v>
      </c>
      <c r="P5766">
        <v>0</v>
      </c>
      <c r="Q5766">
        <v>10</v>
      </c>
      <c r="R5766" t="s">
        <v>45102</v>
      </c>
      <c r="S5766" t="s">
        <v>45242</v>
      </c>
      <c r="T5766" t="s">
        <v>47067</v>
      </c>
      <c r="U5766" t="s">
        <v>52314</v>
      </c>
      <c r="W5766" t="s">
        <v>43024</v>
      </c>
      <c r="X5766" t="s">
        <v>45103</v>
      </c>
    </row>
    <row r="5767" spans="1:24">
      <c r="A5767">
        <f>HYPERLINK("https://www.philgeps.gov.ph/GEPSNONPILOT/Tender/SplashBidNoticeAbstractUI.aspx?menuIndex=3&amp;refID=7039454&amp;Result=3","7039454")</f>
        <v>0</v>
      </c>
      <c r="B5767" t="s">
        <v>1852</v>
      </c>
      <c r="C5767" t="s">
        <v>8709</v>
      </c>
      <c r="D5767" t="s">
        <v>18022</v>
      </c>
      <c r="E5767" t="s">
        <v>23254</v>
      </c>
      <c r="F5767" t="s">
        <v>31574</v>
      </c>
      <c r="G5767" t="s">
        <v>31582</v>
      </c>
      <c r="H5767" t="s">
        <v>31590</v>
      </c>
      <c r="I5767" t="s">
        <v>4046</v>
      </c>
      <c r="J5767" t="s">
        <v>35453</v>
      </c>
      <c r="K5767" t="s">
        <v>41186</v>
      </c>
      <c r="M5767" t="s">
        <v>43490</v>
      </c>
      <c r="N5767" t="s">
        <v>45095</v>
      </c>
      <c r="O5767" t="s">
        <v>45096</v>
      </c>
      <c r="P5767">
        <v>0</v>
      </c>
      <c r="Q5767">
        <v>0</v>
      </c>
      <c r="R5767" t="s">
        <v>45102</v>
      </c>
      <c r="S5767" t="s">
        <v>45242</v>
      </c>
      <c r="T5767" t="s">
        <v>46957</v>
      </c>
      <c r="U5767" t="s">
        <v>52315</v>
      </c>
      <c r="W5767" t="s">
        <v>43490</v>
      </c>
      <c r="X5767" t="s">
        <v>45103</v>
      </c>
    </row>
    <row r="5768" spans="1:24">
      <c r="A5768">
        <f>HYPERLINK("https://www.philgeps.gov.ph/GEPSNONPILOT/Tender/SplashBidNoticeAbstractUI.aspx?menuIndex=3&amp;refID=7039466&amp;Result=3","7039466")</f>
        <v>0</v>
      </c>
      <c r="B5768" t="s">
        <v>656</v>
      </c>
      <c r="C5768" t="s">
        <v>8710</v>
      </c>
      <c r="D5768" t="s">
        <v>18098</v>
      </c>
      <c r="E5768" t="s">
        <v>23255</v>
      </c>
      <c r="F5768" t="s">
        <v>31574</v>
      </c>
      <c r="G5768" t="s">
        <v>31582</v>
      </c>
      <c r="H5768" t="s">
        <v>31590</v>
      </c>
      <c r="I5768" t="s">
        <v>7162</v>
      </c>
      <c r="J5768" t="s">
        <v>35045</v>
      </c>
      <c r="K5768" t="s">
        <v>41194</v>
      </c>
      <c r="M5768" t="s">
        <v>42160</v>
      </c>
      <c r="N5768" t="s">
        <v>45095</v>
      </c>
      <c r="O5768" t="s">
        <v>45096</v>
      </c>
      <c r="P5768">
        <v>0</v>
      </c>
      <c r="Q5768">
        <v>0</v>
      </c>
      <c r="R5768" t="s">
        <v>45102</v>
      </c>
      <c r="S5768" t="s">
        <v>45242</v>
      </c>
      <c r="T5768" t="s">
        <v>46922</v>
      </c>
      <c r="U5768" t="s">
        <v>52316</v>
      </c>
      <c r="W5768" t="s">
        <v>42160</v>
      </c>
      <c r="X5768" t="s">
        <v>45103</v>
      </c>
    </row>
    <row r="5769" spans="1:24">
      <c r="A5769">
        <f>HYPERLINK("https://www.philgeps.gov.ph/GEPSNONPILOT/Tender/SplashBidNoticeAbstractUI.aspx?menuIndex=3&amp;refID=7039475&amp;Result=3","7039475")</f>
        <v>0</v>
      </c>
      <c r="B5769" t="s">
        <v>1310</v>
      </c>
      <c r="C5769" t="s">
        <v>8711</v>
      </c>
      <c r="D5769" t="s">
        <v>18074</v>
      </c>
      <c r="E5769" t="s">
        <v>23256</v>
      </c>
      <c r="F5769" t="s">
        <v>31574</v>
      </c>
      <c r="G5769" t="s">
        <v>31582</v>
      </c>
      <c r="H5769" t="s">
        <v>31590</v>
      </c>
      <c r="I5769" t="s">
        <v>6800</v>
      </c>
      <c r="J5769" t="s">
        <v>35454</v>
      </c>
      <c r="K5769" t="s">
        <v>41190</v>
      </c>
      <c r="M5769" t="s">
        <v>42880</v>
      </c>
      <c r="N5769" t="s">
        <v>45095</v>
      </c>
      <c r="O5769" t="s">
        <v>45096</v>
      </c>
      <c r="P5769">
        <v>0</v>
      </c>
      <c r="Q5769">
        <v>0</v>
      </c>
      <c r="R5769" t="s">
        <v>45102</v>
      </c>
      <c r="S5769" t="s">
        <v>45242</v>
      </c>
      <c r="T5769" t="s">
        <v>47043</v>
      </c>
      <c r="U5769" t="s">
        <v>52317</v>
      </c>
      <c r="W5769" t="s">
        <v>42880</v>
      </c>
      <c r="X5769" t="s">
        <v>45103</v>
      </c>
    </row>
    <row r="5770" spans="1:24">
      <c r="A5770">
        <f>HYPERLINK("https://www.philgeps.gov.ph/GEPSNONPILOT/Tender/SplashBidNoticeAbstractUI.aspx?menuIndex=3&amp;refID=7039458&amp;Result=3","7039458")</f>
        <v>0</v>
      </c>
      <c r="B5770" t="s">
        <v>312</v>
      </c>
      <c r="C5770" t="s">
        <v>8712</v>
      </c>
      <c r="D5770" t="s">
        <v>18024</v>
      </c>
      <c r="E5770" t="s">
        <v>23257</v>
      </c>
      <c r="F5770" t="s">
        <v>31574</v>
      </c>
      <c r="G5770" t="s">
        <v>31581</v>
      </c>
      <c r="H5770" t="s">
        <v>31590</v>
      </c>
      <c r="I5770" t="s">
        <v>4046</v>
      </c>
      <c r="J5770" t="s">
        <v>35248</v>
      </c>
      <c r="K5770" t="s">
        <v>41196</v>
      </c>
      <c r="M5770" t="s">
        <v>41799</v>
      </c>
      <c r="N5770" t="s">
        <v>45095</v>
      </c>
      <c r="O5770" t="s">
        <v>45096</v>
      </c>
      <c r="P5770">
        <v>0</v>
      </c>
      <c r="Q5770">
        <v>0</v>
      </c>
      <c r="R5770" t="s">
        <v>45102</v>
      </c>
      <c r="S5770" t="s">
        <v>45242</v>
      </c>
      <c r="T5770" t="s">
        <v>47183</v>
      </c>
      <c r="U5770" t="s">
        <v>52029</v>
      </c>
      <c r="W5770" t="s">
        <v>41799</v>
      </c>
      <c r="X5770" t="s">
        <v>45103</v>
      </c>
    </row>
    <row r="5771" spans="1:24">
      <c r="A5771">
        <f>HYPERLINK("https://www.philgeps.gov.ph/GEPSNONPILOT/Tender/SplashBidNoticeAbstractUI.aspx?menuIndex=3&amp;refID=7039471&amp;Result=3","7039471")</f>
        <v>0</v>
      </c>
      <c r="B5771" t="s">
        <v>75</v>
      </c>
      <c r="C5771" t="s">
        <v>8713</v>
      </c>
      <c r="D5771" t="s">
        <v>18054</v>
      </c>
      <c r="E5771" t="s">
        <v>23258</v>
      </c>
      <c r="F5771" t="s">
        <v>31574</v>
      </c>
      <c r="G5771" t="s">
        <v>31582</v>
      </c>
      <c r="H5771" t="s">
        <v>31590</v>
      </c>
      <c r="I5771" t="s">
        <v>6800</v>
      </c>
      <c r="J5771" t="s">
        <v>35455</v>
      </c>
      <c r="K5771" t="s">
        <v>41186</v>
      </c>
      <c r="M5771" t="s">
        <v>41559</v>
      </c>
      <c r="N5771" t="s">
        <v>45095</v>
      </c>
      <c r="O5771" t="s">
        <v>45096</v>
      </c>
      <c r="P5771">
        <v>0</v>
      </c>
      <c r="Q5771">
        <v>1</v>
      </c>
      <c r="R5771" t="s">
        <v>45102</v>
      </c>
      <c r="S5771" t="s">
        <v>45242</v>
      </c>
      <c r="T5771" t="s">
        <v>46973</v>
      </c>
      <c r="U5771" t="s">
        <v>52318</v>
      </c>
      <c r="W5771" t="s">
        <v>41559</v>
      </c>
      <c r="X5771" t="s">
        <v>45103</v>
      </c>
    </row>
    <row r="5772" spans="1:24">
      <c r="A5772">
        <f>HYPERLINK("https://www.philgeps.gov.ph/GEPSNONPILOT/Tender/SplashBidNoticeAbstractUI.aspx?menuIndex=3&amp;refID=7039450&amp;Result=3","7039450")</f>
        <v>0</v>
      </c>
      <c r="B5772" t="s">
        <v>348</v>
      </c>
      <c r="C5772" t="s">
        <v>8714</v>
      </c>
      <c r="D5772" t="s">
        <v>18065</v>
      </c>
      <c r="E5772" t="s">
        <v>23259</v>
      </c>
      <c r="F5772" t="s">
        <v>31574</v>
      </c>
      <c r="G5772" t="s">
        <v>31583</v>
      </c>
      <c r="H5772" t="s">
        <v>31590</v>
      </c>
      <c r="I5772" t="s">
        <v>31600</v>
      </c>
      <c r="J5772" t="s">
        <v>31848</v>
      </c>
      <c r="K5772" t="s">
        <v>41184</v>
      </c>
      <c r="M5772" t="s">
        <v>41836</v>
      </c>
      <c r="N5772" t="s">
        <v>45095</v>
      </c>
      <c r="O5772" t="s">
        <v>45096</v>
      </c>
      <c r="P5772">
        <v>0</v>
      </c>
      <c r="Q5772">
        <v>3</v>
      </c>
      <c r="R5772" t="s">
        <v>45102</v>
      </c>
      <c r="S5772" t="s">
        <v>45242</v>
      </c>
      <c r="T5772" t="s">
        <v>47158</v>
      </c>
      <c r="U5772" t="s">
        <v>48153</v>
      </c>
      <c r="W5772" t="s">
        <v>41836</v>
      </c>
      <c r="X5772" t="s">
        <v>45103</v>
      </c>
    </row>
    <row r="5773" spans="1:24">
      <c r="A5773">
        <f>HYPERLINK("https://www.philgeps.gov.ph/GEPSNONPILOT/Tender/SplashBidNoticeAbstractUI.aspx?menuIndex=3&amp;refID=7039456&amp;Result=3","7039456")</f>
        <v>0</v>
      </c>
      <c r="B5773" t="s">
        <v>1853</v>
      </c>
      <c r="C5773" t="s">
        <v>8715</v>
      </c>
      <c r="D5773" t="s">
        <v>18056</v>
      </c>
      <c r="E5773" t="s">
        <v>23260</v>
      </c>
      <c r="F5773" t="s">
        <v>31574</v>
      </c>
      <c r="G5773" t="s">
        <v>31582</v>
      </c>
      <c r="H5773" t="s">
        <v>31591</v>
      </c>
      <c r="I5773" t="s">
        <v>8822</v>
      </c>
      <c r="J5773" t="s">
        <v>35456</v>
      </c>
      <c r="K5773" t="s">
        <v>41189</v>
      </c>
      <c r="M5773" t="s">
        <v>43491</v>
      </c>
      <c r="N5773" t="s">
        <v>45095</v>
      </c>
      <c r="O5773" t="s">
        <v>45096</v>
      </c>
      <c r="P5773">
        <v>0</v>
      </c>
      <c r="Q5773">
        <v>3</v>
      </c>
      <c r="R5773" t="s">
        <v>45102</v>
      </c>
      <c r="S5773" t="s">
        <v>45242</v>
      </c>
      <c r="T5773" t="s">
        <v>46992</v>
      </c>
      <c r="U5773" t="s">
        <v>52319</v>
      </c>
      <c r="V5773" t="s">
        <v>60458</v>
      </c>
      <c r="W5773" t="s">
        <v>43491</v>
      </c>
      <c r="X5773" t="s">
        <v>45103</v>
      </c>
    </row>
    <row r="5774" spans="1:24">
      <c r="A5774">
        <f>HYPERLINK("https://www.philgeps.gov.ph/GEPSNONPILOT/Tender/SplashBidNoticeAbstractUI.aspx?menuIndex=3&amp;refID=7039482&amp;Result=3","7039482")</f>
        <v>0</v>
      </c>
      <c r="B5774" t="s">
        <v>1796</v>
      </c>
      <c r="C5774" t="s">
        <v>8716</v>
      </c>
      <c r="D5774" t="s">
        <v>18027</v>
      </c>
      <c r="E5774" t="s">
        <v>23261</v>
      </c>
      <c r="F5774" t="s">
        <v>31574</v>
      </c>
      <c r="G5774" t="s">
        <v>31583</v>
      </c>
      <c r="H5774" t="s">
        <v>31590</v>
      </c>
      <c r="I5774" t="s">
        <v>31615</v>
      </c>
      <c r="J5774" t="s">
        <v>32258</v>
      </c>
      <c r="K5774" t="s">
        <v>41193</v>
      </c>
      <c r="M5774" t="s">
        <v>43427</v>
      </c>
      <c r="N5774" t="s">
        <v>45095</v>
      </c>
      <c r="O5774" t="s">
        <v>45096</v>
      </c>
      <c r="P5774">
        <v>0</v>
      </c>
      <c r="Q5774">
        <v>0</v>
      </c>
      <c r="R5774" t="s">
        <v>45102</v>
      </c>
      <c r="S5774" t="s">
        <v>45242</v>
      </c>
      <c r="T5774" t="s">
        <v>47067</v>
      </c>
      <c r="U5774" t="s">
        <v>52320</v>
      </c>
      <c r="W5774" t="s">
        <v>43427</v>
      </c>
      <c r="X5774" t="s">
        <v>45103</v>
      </c>
    </row>
    <row r="5775" spans="1:24">
      <c r="A5775">
        <f>HYPERLINK("https://www.philgeps.gov.ph/GEPSNONPILOT/Tender/SplashBidNoticeAbstractUI.aspx?menuIndex=3&amp;refID=7039472&amp;Result=3","7039472")</f>
        <v>0</v>
      </c>
      <c r="B5775" t="s">
        <v>726</v>
      </c>
      <c r="C5775" t="s">
        <v>8717</v>
      </c>
      <c r="D5775" t="s">
        <v>18058</v>
      </c>
      <c r="E5775" t="s">
        <v>23262</v>
      </c>
      <c r="F5775" t="s">
        <v>31574</v>
      </c>
      <c r="G5775" t="s">
        <v>31583</v>
      </c>
      <c r="H5775" t="s">
        <v>31590</v>
      </c>
      <c r="I5775" t="s">
        <v>4046</v>
      </c>
      <c r="J5775" t="s">
        <v>35457</v>
      </c>
      <c r="K5775" t="s">
        <v>41184</v>
      </c>
      <c r="M5775" t="s">
        <v>42236</v>
      </c>
      <c r="N5775" t="s">
        <v>45095</v>
      </c>
      <c r="O5775" t="s">
        <v>45096</v>
      </c>
      <c r="P5775">
        <v>0</v>
      </c>
      <c r="Q5775">
        <v>2</v>
      </c>
      <c r="R5775" t="s">
        <v>45102</v>
      </c>
      <c r="S5775" t="s">
        <v>45242</v>
      </c>
      <c r="T5775" t="s">
        <v>47158</v>
      </c>
      <c r="U5775" t="s">
        <v>52321</v>
      </c>
      <c r="W5775" t="s">
        <v>42236</v>
      </c>
      <c r="X5775" t="s">
        <v>45103</v>
      </c>
    </row>
    <row r="5776" spans="1:24">
      <c r="A5776">
        <f>HYPERLINK("https://www.philgeps.gov.ph/GEPSNONPILOT/Tender/SplashBidNoticeAbstractUI.aspx?menuIndex=3&amp;refID=7039451&amp;Result=3","7039451")</f>
        <v>0</v>
      </c>
      <c r="B5776" t="s">
        <v>1732</v>
      </c>
      <c r="C5776" t="s">
        <v>8718</v>
      </c>
      <c r="D5776" t="s">
        <v>18041</v>
      </c>
      <c r="E5776" t="s">
        <v>23263</v>
      </c>
      <c r="F5776" t="s">
        <v>31574</v>
      </c>
      <c r="G5776" t="s">
        <v>31581</v>
      </c>
      <c r="H5776" t="s">
        <v>31590</v>
      </c>
      <c r="I5776" t="s">
        <v>3651</v>
      </c>
      <c r="J5776" t="s">
        <v>35458</v>
      </c>
      <c r="K5776" t="s">
        <v>41216</v>
      </c>
      <c r="M5776" t="s">
        <v>43351</v>
      </c>
      <c r="N5776" t="s">
        <v>45095</v>
      </c>
      <c r="O5776" t="s">
        <v>45096</v>
      </c>
      <c r="P5776">
        <v>0</v>
      </c>
      <c r="Q5776">
        <v>0</v>
      </c>
      <c r="R5776" t="s">
        <v>45102</v>
      </c>
      <c r="S5776" t="s">
        <v>45242</v>
      </c>
      <c r="T5776" t="s">
        <v>46985</v>
      </c>
      <c r="U5776" t="s">
        <v>52322</v>
      </c>
      <c r="W5776" t="s">
        <v>61715</v>
      </c>
      <c r="X5776" t="s">
        <v>45103</v>
      </c>
    </row>
    <row r="5777" spans="1:24">
      <c r="A5777">
        <f>HYPERLINK("https://www.philgeps.gov.ph/GEPSNONPILOT/Tender/SplashBidNoticeAbstractUI.aspx?menuIndex=3&amp;refID=7039470&amp;Result=3","7039470")</f>
        <v>0</v>
      </c>
      <c r="B5777" t="s">
        <v>1827</v>
      </c>
      <c r="C5777" t="s">
        <v>8719</v>
      </c>
      <c r="D5777" t="s">
        <v>18028</v>
      </c>
      <c r="E5777" t="s">
        <v>18917</v>
      </c>
      <c r="F5777" t="s">
        <v>31574</v>
      </c>
      <c r="G5777" t="s">
        <v>31582</v>
      </c>
      <c r="H5777" t="s">
        <v>31590</v>
      </c>
      <c r="I5777" t="s">
        <v>14034</v>
      </c>
      <c r="J5777" t="s">
        <v>31845</v>
      </c>
      <c r="K5777" t="s">
        <v>41184</v>
      </c>
      <c r="M5777" t="s">
        <v>43463</v>
      </c>
      <c r="N5777" t="s">
        <v>45095</v>
      </c>
      <c r="O5777" t="s">
        <v>45096</v>
      </c>
      <c r="P5777">
        <v>0</v>
      </c>
      <c r="Q5777">
        <v>0</v>
      </c>
      <c r="R5777" t="s">
        <v>45102</v>
      </c>
      <c r="S5777" t="s">
        <v>45242</v>
      </c>
      <c r="T5777" t="s">
        <v>46963</v>
      </c>
      <c r="U5777" t="s">
        <v>52323</v>
      </c>
      <c r="V5777" t="s">
        <v>60447</v>
      </c>
      <c r="W5777" t="s">
        <v>43463</v>
      </c>
      <c r="X5777" t="s">
        <v>45103</v>
      </c>
    </row>
    <row r="5778" spans="1:24">
      <c r="A5778">
        <f>HYPERLINK("https://www.philgeps.gov.ph/GEPSNONPILOT/Tender/SplashBidNoticeAbstractUI.aspx?menuIndex=3&amp;refID=7039480&amp;Result=3","7039480")</f>
        <v>0</v>
      </c>
      <c r="B5778" t="s">
        <v>977</v>
      </c>
      <c r="C5778" t="s">
        <v>8720</v>
      </c>
      <c r="D5778" t="s">
        <v>18065</v>
      </c>
      <c r="E5778" t="s">
        <v>23264</v>
      </c>
      <c r="F5778" t="s">
        <v>31574</v>
      </c>
      <c r="G5778" t="s">
        <v>31582</v>
      </c>
      <c r="H5778" t="s">
        <v>31590</v>
      </c>
      <c r="I5778" t="s">
        <v>31619</v>
      </c>
      <c r="J5778" t="s">
        <v>35459</v>
      </c>
      <c r="K5778" t="s">
        <v>41186</v>
      </c>
      <c r="M5778" t="s">
        <v>42509</v>
      </c>
      <c r="N5778" t="s">
        <v>45095</v>
      </c>
      <c r="O5778" t="s">
        <v>45096</v>
      </c>
      <c r="P5778">
        <v>0</v>
      </c>
      <c r="Q5778">
        <v>7</v>
      </c>
      <c r="R5778" t="s">
        <v>45102</v>
      </c>
      <c r="S5778" t="s">
        <v>45242</v>
      </c>
      <c r="T5778" t="s">
        <v>46972</v>
      </c>
      <c r="U5778" t="s">
        <v>52324</v>
      </c>
      <c r="W5778" t="s">
        <v>42509</v>
      </c>
      <c r="X5778" t="s">
        <v>45103</v>
      </c>
    </row>
    <row r="5779" spans="1:24">
      <c r="A5779">
        <f>HYPERLINK("https://www.philgeps.gov.ph/GEPSNONPILOT/Tender/SplashBidNoticeAbstractUI.aspx?menuIndex=3&amp;refID=7039483&amp;Result=3","7039483")</f>
        <v>0</v>
      </c>
      <c r="B5779" t="s">
        <v>159</v>
      </c>
      <c r="C5779" t="s">
        <v>8721</v>
      </c>
      <c r="D5779" t="s">
        <v>18046</v>
      </c>
      <c r="E5779" t="s">
        <v>23265</v>
      </c>
      <c r="F5779" t="s">
        <v>31574</v>
      </c>
      <c r="G5779" t="s">
        <v>31582</v>
      </c>
      <c r="H5779" t="s">
        <v>31590</v>
      </c>
      <c r="I5779" t="s">
        <v>31600</v>
      </c>
      <c r="J5779" t="s">
        <v>32306</v>
      </c>
      <c r="K5779" t="s">
        <v>41186</v>
      </c>
      <c r="M5779" t="s">
        <v>43387</v>
      </c>
      <c r="N5779" t="s">
        <v>45095</v>
      </c>
      <c r="O5779" t="s">
        <v>45096</v>
      </c>
      <c r="P5779">
        <v>0</v>
      </c>
      <c r="Q5779">
        <v>0</v>
      </c>
      <c r="R5779" t="s">
        <v>45102</v>
      </c>
      <c r="S5779" t="s">
        <v>45242</v>
      </c>
      <c r="T5779" t="s">
        <v>46963</v>
      </c>
      <c r="U5779" t="s">
        <v>47772</v>
      </c>
      <c r="V5779" t="s">
        <v>59890</v>
      </c>
      <c r="W5779" t="s">
        <v>43387</v>
      </c>
      <c r="X5779" t="s">
        <v>45103</v>
      </c>
    </row>
    <row r="5780" spans="1:24">
      <c r="A5780">
        <f>HYPERLINK("https://www.philgeps.gov.ph/GEPSNONPILOT/Tender/SplashBidNoticeAbstractUI.aspx?menuIndex=3&amp;refID=7039478&amp;Result=3","7039478")</f>
        <v>0</v>
      </c>
      <c r="B5780" t="s">
        <v>1229</v>
      </c>
      <c r="C5780" t="s">
        <v>8722</v>
      </c>
      <c r="D5780" t="s">
        <v>18022</v>
      </c>
      <c r="E5780" t="s">
        <v>23266</v>
      </c>
      <c r="F5780" t="s">
        <v>31574</v>
      </c>
      <c r="G5780" t="s">
        <v>31582</v>
      </c>
      <c r="H5780" t="s">
        <v>31590</v>
      </c>
      <c r="I5780" t="s">
        <v>6800</v>
      </c>
      <c r="J5780" t="s">
        <v>32235</v>
      </c>
      <c r="K5780" t="s">
        <v>41193</v>
      </c>
      <c r="M5780" t="s">
        <v>42791</v>
      </c>
      <c r="N5780" t="s">
        <v>45095</v>
      </c>
      <c r="O5780" t="s">
        <v>45096</v>
      </c>
      <c r="P5780">
        <v>0</v>
      </c>
      <c r="Q5780">
        <v>0</v>
      </c>
      <c r="R5780" t="s">
        <v>45102</v>
      </c>
      <c r="S5780" t="s">
        <v>45242</v>
      </c>
      <c r="T5780" t="s">
        <v>47010</v>
      </c>
      <c r="U5780" t="s">
        <v>52292</v>
      </c>
      <c r="W5780" t="s">
        <v>42791</v>
      </c>
      <c r="X5780" t="s">
        <v>45103</v>
      </c>
    </row>
    <row r="5781" spans="1:24">
      <c r="A5781">
        <f>HYPERLINK("https://www.philgeps.gov.ph/GEPSNONPILOT/Tender/SplashBidNoticeAbstractUI.aspx?menuIndex=3&amp;refID=7039485&amp;Result=3","7039485")</f>
        <v>0</v>
      </c>
      <c r="B5781" t="s">
        <v>1854</v>
      </c>
      <c r="C5781" t="s">
        <v>8723</v>
      </c>
      <c r="D5781" t="s">
        <v>18083</v>
      </c>
      <c r="E5781" t="s">
        <v>23267</v>
      </c>
      <c r="F5781" t="s">
        <v>31574</v>
      </c>
      <c r="G5781" t="s">
        <v>31582</v>
      </c>
      <c r="H5781" t="s">
        <v>31590</v>
      </c>
      <c r="I5781" t="s">
        <v>6800</v>
      </c>
      <c r="J5781" t="s">
        <v>31890</v>
      </c>
      <c r="K5781" t="s">
        <v>41196</v>
      </c>
      <c r="M5781" t="s">
        <v>43492</v>
      </c>
      <c r="N5781" t="s">
        <v>45095</v>
      </c>
      <c r="O5781" t="s">
        <v>45096</v>
      </c>
      <c r="P5781">
        <v>0</v>
      </c>
      <c r="Q5781">
        <v>0</v>
      </c>
      <c r="R5781" t="s">
        <v>45102</v>
      </c>
      <c r="S5781" t="s">
        <v>45242</v>
      </c>
      <c r="T5781" t="s">
        <v>46965</v>
      </c>
      <c r="U5781" t="s">
        <v>52325</v>
      </c>
      <c r="W5781" t="s">
        <v>43492</v>
      </c>
      <c r="X5781" t="s">
        <v>45103</v>
      </c>
    </row>
    <row r="5782" spans="1:24">
      <c r="A5782">
        <f>HYPERLINK("https://www.philgeps.gov.ph/GEPSNONPILOT/Tender/SplashBidNoticeAbstractUI.aspx?menuIndex=3&amp;refID=7039491&amp;Result=3","7039491")</f>
        <v>0</v>
      </c>
      <c r="B5782" t="s">
        <v>789</v>
      </c>
      <c r="C5782" t="s">
        <v>8724</v>
      </c>
      <c r="D5782" t="s">
        <v>18027</v>
      </c>
      <c r="E5782" t="s">
        <v>8724</v>
      </c>
      <c r="F5782" t="s">
        <v>31574</v>
      </c>
      <c r="G5782" t="s">
        <v>31582</v>
      </c>
      <c r="H5782" t="s">
        <v>31591</v>
      </c>
      <c r="I5782" t="s">
        <v>8822</v>
      </c>
      <c r="J5782" t="s">
        <v>32120</v>
      </c>
      <c r="K5782" t="s">
        <v>41184</v>
      </c>
      <c r="M5782" t="s">
        <v>42303</v>
      </c>
      <c r="N5782" t="s">
        <v>45095</v>
      </c>
      <c r="O5782" t="s">
        <v>45096</v>
      </c>
      <c r="P5782">
        <v>0</v>
      </c>
      <c r="Q5782">
        <v>0</v>
      </c>
      <c r="R5782" t="s">
        <v>45102</v>
      </c>
      <c r="S5782" t="s">
        <v>45242</v>
      </c>
      <c r="T5782" t="s">
        <v>46936</v>
      </c>
      <c r="U5782" t="s">
        <v>52326</v>
      </c>
      <c r="W5782" t="s">
        <v>42303</v>
      </c>
      <c r="X5782" t="s">
        <v>45103</v>
      </c>
    </row>
    <row r="5783" spans="1:24">
      <c r="A5783">
        <f>HYPERLINK("https://www.philgeps.gov.ph/GEPSNONPILOT/Tender/SplashBidNoticeAbstractUI.aspx?menuIndex=3&amp;refID=7039479&amp;Result=3","7039479")</f>
        <v>0</v>
      </c>
      <c r="B5783" t="s">
        <v>190</v>
      </c>
      <c r="C5783" t="s">
        <v>8725</v>
      </c>
      <c r="D5783" t="s">
        <v>18036</v>
      </c>
      <c r="E5783" t="s">
        <v>23268</v>
      </c>
      <c r="F5783" t="s">
        <v>31574</v>
      </c>
      <c r="G5783" t="s">
        <v>31581</v>
      </c>
      <c r="H5783" t="s">
        <v>31590</v>
      </c>
      <c r="I5783" t="s">
        <v>31608</v>
      </c>
      <c r="J5783" t="s">
        <v>32258</v>
      </c>
      <c r="K5783" t="s">
        <v>41186</v>
      </c>
      <c r="M5783" t="s">
        <v>41675</v>
      </c>
      <c r="N5783" t="s">
        <v>45095</v>
      </c>
      <c r="O5783" t="s">
        <v>45096</v>
      </c>
      <c r="P5783">
        <v>0</v>
      </c>
      <c r="Q5783">
        <v>1</v>
      </c>
      <c r="R5783" t="s">
        <v>45102</v>
      </c>
      <c r="S5783" t="s">
        <v>45242</v>
      </c>
      <c r="T5783" t="s">
        <v>47050</v>
      </c>
      <c r="U5783" t="s">
        <v>52327</v>
      </c>
      <c r="W5783" t="s">
        <v>41675</v>
      </c>
      <c r="X5783" t="s">
        <v>45103</v>
      </c>
    </row>
    <row r="5784" spans="1:24">
      <c r="A5784">
        <f>HYPERLINK("https://www.philgeps.gov.ph/GEPSNONPILOT/Tender/SplashBidNoticeAbstractUI.aspx?menuIndex=3&amp;refID=7039509&amp;Result=3","7039509")</f>
        <v>0</v>
      </c>
      <c r="B5784" t="s">
        <v>1229</v>
      </c>
      <c r="C5784" t="s">
        <v>8726</v>
      </c>
      <c r="D5784" t="s">
        <v>18022</v>
      </c>
      <c r="E5784" t="s">
        <v>23269</v>
      </c>
      <c r="F5784" t="s">
        <v>31574</v>
      </c>
      <c r="G5784" t="s">
        <v>31582</v>
      </c>
      <c r="H5784" t="s">
        <v>31590</v>
      </c>
      <c r="I5784" t="s">
        <v>3487</v>
      </c>
      <c r="J5784" t="s">
        <v>35460</v>
      </c>
      <c r="K5784" t="s">
        <v>41193</v>
      </c>
      <c r="M5784" t="s">
        <v>42791</v>
      </c>
      <c r="N5784" t="s">
        <v>45095</v>
      </c>
      <c r="O5784" t="s">
        <v>45096</v>
      </c>
      <c r="P5784">
        <v>0</v>
      </c>
      <c r="Q5784">
        <v>1</v>
      </c>
      <c r="R5784" t="s">
        <v>45102</v>
      </c>
      <c r="S5784" t="s">
        <v>45242</v>
      </c>
      <c r="T5784" t="s">
        <v>47161</v>
      </c>
      <c r="U5784" t="s">
        <v>50409</v>
      </c>
      <c r="W5784" t="s">
        <v>42791</v>
      </c>
      <c r="X5784" t="s">
        <v>45103</v>
      </c>
    </row>
    <row r="5785" spans="1:24">
      <c r="A5785">
        <f>HYPERLINK("https://www.philgeps.gov.ph/GEPSNONPILOT/Tender/SplashBidNoticeAbstractUI.aspx?menuIndex=3&amp;refID=7039507&amp;Result=3","7039507")</f>
        <v>0</v>
      </c>
      <c r="B5785" t="s">
        <v>1855</v>
      </c>
      <c r="C5785" t="s">
        <v>8727</v>
      </c>
      <c r="D5785" t="s">
        <v>18033</v>
      </c>
      <c r="E5785" t="s">
        <v>18574</v>
      </c>
      <c r="F5785" t="s">
        <v>31574</v>
      </c>
      <c r="G5785" t="s">
        <v>31582</v>
      </c>
      <c r="H5785" t="s">
        <v>31591</v>
      </c>
      <c r="I5785" t="s">
        <v>8822</v>
      </c>
      <c r="J5785" t="s">
        <v>35461</v>
      </c>
      <c r="K5785" t="s">
        <v>41190</v>
      </c>
      <c r="M5785" t="s">
        <v>43493</v>
      </c>
      <c r="N5785" t="s">
        <v>45095</v>
      </c>
      <c r="O5785" t="s">
        <v>45096</v>
      </c>
      <c r="P5785">
        <v>0</v>
      </c>
      <c r="Q5785">
        <v>1</v>
      </c>
      <c r="R5785" t="s">
        <v>45102</v>
      </c>
      <c r="S5785" t="s">
        <v>45242</v>
      </c>
      <c r="T5785" t="s">
        <v>47267</v>
      </c>
      <c r="U5785" t="s">
        <v>52328</v>
      </c>
      <c r="V5785" t="s">
        <v>60459</v>
      </c>
      <c r="W5785" t="s">
        <v>43493</v>
      </c>
      <c r="X5785" t="s">
        <v>45103</v>
      </c>
    </row>
    <row r="5786" spans="1:24">
      <c r="A5786">
        <f>HYPERLINK("https://www.philgeps.gov.ph/GEPSNONPILOT/Tender/SplashBidNoticeAbstractUI.aspx?menuIndex=3&amp;refID=7039505&amp;Result=3","7039505")</f>
        <v>0</v>
      </c>
      <c r="B5786" t="s">
        <v>401</v>
      </c>
      <c r="C5786" t="s">
        <v>8728</v>
      </c>
      <c r="D5786" t="s">
        <v>18052</v>
      </c>
      <c r="E5786" t="s">
        <v>23270</v>
      </c>
      <c r="F5786" t="s">
        <v>31574</v>
      </c>
      <c r="G5786" t="s">
        <v>31582</v>
      </c>
      <c r="H5786" t="s">
        <v>31591</v>
      </c>
      <c r="I5786" t="s">
        <v>8822</v>
      </c>
      <c r="J5786" t="s">
        <v>35462</v>
      </c>
      <c r="K5786" t="s">
        <v>41243</v>
      </c>
      <c r="M5786" t="s">
        <v>41892</v>
      </c>
      <c r="N5786" t="s">
        <v>45095</v>
      </c>
      <c r="O5786" t="s">
        <v>45096</v>
      </c>
      <c r="P5786">
        <v>0</v>
      </c>
      <c r="Q5786">
        <v>4</v>
      </c>
      <c r="R5786" t="s">
        <v>45102</v>
      </c>
      <c r="S5786" t="s">
        <v>45242</v>
      </c>
      <c r="T5786" t="s">
        <v>47199</v>
      </c>
      <c r="U5786" t="s">
        <v>52329</v>
      </c>
      <c r="W5786" t="s">
        <v>41892</v>
      </c>
      <c r="X5786" t="s">
        <v>45103</v>
      </c>
    </row>
    <row r="5787" spans="1:24">
      <c r="A5787">
        <f>HYPERLINK("https://www.philgeps.gov.ph/GEPSNONPILOT/Tender/SplashBidNoticeAbstractUI.aspx?menuIndex=3&amp;refID=7039494&amp;Result=3","7039494")</f>
        <v>0</v>
      </c>
      <c r="B5787" t="s">
        <v>1849</v>
      </c>
      <c r="C5787" t="s">
        <v>8729</v>
      </c>
      <c r="D5787" t="s">
        <v>18083</v>
      </c>
      <c r="E5787" t="s">
        <v>23271</v>
      </c>
      <c r="F5787" t="s">
        <v>31574</v>
      </c>
      <c r="G5787" t="s">
        <v>31582</v>
      </c>
      <c r="H5787" t="s">
        <v>31591</v>
      </c>
      <c r="I5787" t="s">
        <v>8822</v>
      </c>
      <c r="J5787" t="s">
        <v>32076</v>
      </c>
      <c r="K5787" t="s">
        <v>41184</v>
      </c>
      <c r="M5787" t="s">
        <v>43487</v>
      </c>
      <c r="N5787" t="s">
        <v>45095</v>
      </c>
      <c r="O5787" t="s">
        <v>45096</v>
      </c>
      <c r="P5787">
        <v>0</v>
      </c>
      <c r="Q5787">
        <v>0</v>
      </c>
      <c r="R5787" t="s">
        <v>45102</v>
      </c>
      <c r="S5787" t="s">
        <v>45242</v>
      </c>
      <c r="T5787" t="s">
        <v>47202</v>
      </c>
      <c r="U5787" t="s">
        <v>52330</v>
      </c>
      <c r="W5787" t="s">
        <v>61720</v>
      </c>
      <c r="X5787" t="s">
        <v>45103</v>
      </c>
    </row>
    <row r="5788" spans="1:24">
      <c r="A5788">
        <f>HYPERLINK("https://www.philgeps.gov.ph/GEPSNONPILOT/Tender/SplashBidNoticeAbstractUI.aspx?menuIndex=3&amp;refID=7039504&amp;Result=3","7039504")</f>
        <v>0</v>
      </c>
      <c r="B5788" t="s">
        <v>656</v>
      </c>
      <c r="C5788" t="s">
        <v>8730</v>
      </c>
      <c r="D5788" t="s">
        <v>18098</v>
      </c>
      <c r="E5788" t="s">
        <v>23272</v>
      </c>
      <c r="F5788" t="s">
        <v>31574</v>
      </c>
      <c r="G5788" t="s">
        <v>31582</v>
      </c>
      <c r="H5788" t="s">
        <v>31590</v>
      </c>
      <c r="I5788" t="s">
        <v>4046</v>
      </c>
      <c r="J5788" t="s">
        <v>32101</v>
      </c>
      <c r="K5788" t="s">
        <v>41194</v>
      </c>
      <c r="M5788" t="s">
        <v>42160</v>
      </c>
      <c r="N5788" t="s">
        <v>45095</v>
      </c>
      <c r="O5788" t="s">
        <v>45096</v>
      </c>
      <c r="P5788">
        <v>0</v>
      </c>
      <c r="Q5788">
        <v>0</v>
      </c>
      <c r="R5788" t="s">
        <v>45102</v>
      </c>
      <c r="S5788" t="s">
        <v>45242</v>
      </c>
      <c r="T5788" t="s">
        <v>46922</v>
      </c>
      <c r="U5788" t="s">
        <v>52331</v>
      </c>
      <c r="W5788" t="s">
        <v>42160</v>
      </c>
      <c r="X5788" t="s">
        <v>45103</v>
      </c>
    </row>
    <row r="5789" spans="1:24">
      <c r="A5789">
        <f>HYPERLINK("https://www.philgeps.gov.ph/GEPSNONPILOT/Tender/SplashBidNoticeAbstractUI.aspx?menuIndex=3&amp;refID=7039522&amp;Result=3","7039522")</f>
        <v>0</v>
      </c>
      <c r="B5789" t="s">
        <v>1845</v>
      </c>
      <c r="C5789" t="s">
        <v>8731</v>
      </c>
      <c r="D5789" t="s">
        <v>18079</v>
      </c>
      <c r="E5789" t="s">
        <v>23273</v>
      </c>
      <c r="F5789" t="s">
        <v>31574</v>
      </c>
      <c r="G5789" t="s">
        <v>31582</v>
      </c>
      <c r="H5789" t="s">
        <v>31591</v>
      </c>
      <c r="I5789" t="s">
        <v>4046</v>
      </c>
      <c r="J5789" t="s">
        <v>35463</v>
      </c>
      <c r="K5789" t="s">
        <v>41197</v>
      </c>
      <c r="M5789" t="s">
        <v>43483</v>
      </c>
      <c r="N5789" t="s">
        <v>45095</v>
      </c>
      <c r="O5789" t="s">
        <v>45096</v>
      </c>
      <c r="P5789">
        <v>0</v>
      </c>
      <c r="Q5789">
        <v>0</v>
      </c>
      <c r="R5789" t="s">
        <v>45102</v>
      </c>
      <c r="S5789" t="s">
        <v>45242</v>
      </c>
      <c r="T5789" t="s">
        <v>46922</v>
      </c>
      <c r="U5789" t="s">
        <v>52287</v>
      </c>
      <c r="W5789" t="s">
        <v>43483</v>
      </c>
      <c r="X5789" t="s">
        <v>45103</v>
      </c>
    </row>
    <row r="5790" spans="1:24">
      <c r="A5790">
        <f>HYPERLINK("https://www.philgeps.gov.ph/GEPSNONPILOT/Tender/SplashBidNoticeAbstractUI.aspx?menuIndex=3&amp;refID=7039496&amp;Result=3","7039496")</f>
        <v>0</v>
      </c>
      <c r="B5790" t="s">
        <v>1594</v>
      </c>
      <c r="C5790" t="s">
        <v>8732</v>
      </c>
      <c r="D5790" t="s">
        <v>18022</v>
      </c>
      <c r="E5790" t="s">
        <v>23274</v>
      </c>
      <c r="F5790" t="s">
        <v>31574</v>
      </c>
      <c r="G5790" t="s">
        <v>31584</v>
      </c>
      <c r="H5790" t="s">
        <v>31590</v>
      </c>
      <c r="I5790" t="s">
        <v>5717</v>
      </c>
      <c r="J5790" t="s">
        <v>35464</v>
      </c>
      <c r="K5790" t="s">
        <v>41191</v>
      </c>
      <c r="M5790" t="s">
        <v>43198</v>
      </c>
      <c r="N5790" t="s">
        <v>45095</v>
      </c>
      <c r="O5790" t="s">
        <v>45096</v>
      </c>
      <c r="P5790">
        <v>0</v>
      </c>
      <c r="Q5790">
        <v>5</v>
      </c>
      <c r="R5790" t="s">
        <v>45102</v>
      </c>
      <c r="S5790" t="s">
        <v>45242</v>
      </c>
      <c r="T5790" t="s">
        <v>47076</v>
      </c>
      <c r="U5790" t="s">
        <v>52332</v>
      </c>
      <c r="W5790" t="s">
        <v>43198</v>
      </c>
      <c r="X5790" t="s">
        <v>45103</v>
      </c>
    </row>
    <row r="5791" spans="1:24">
      <c r="A5791">
        <f>HYPERLINK("https://www.philgeps.gov.ph/GEPSNONPILOT/Tender/SplashBidNoticeAbstractUI.aspx?menuIndex=3&amp;refID=7039518&amp;Result=3","7039518")</f>
        <v>0</v>
      </c>
      <c r="B5791" t="s">
        <v>312</v>
      </c>
      <c r="C5791" t="s">
        <v>8733</v>
      </c>
      <c r="D5791" t="s">
        <v>18024</v>
      </c>
      <c r="E5791" t="s">
        <v>23275</v>
      </c>
      <c r="F5791" t="s">
        <v>31574</v>
      </c>
      <c r="G5791" t="s">
        <v>31581</v>
      </c>
      <c r="H5791" t="s">
        <v>31590</v>
      </c>
      <c r="I5791" t="s">
        <v>4046</v>
      </c>
      <c r="J5791" t="s">
        <v>35248</v>
      </c>
      <c r="K5791" t="s">
        <v>41196</v>
      </c>
      <c r="M5791" t="s">
        <v>41799</v>
      </c>
      <c r="N5791" t="s">
        <v>45095</v>
      </c>
      <c r="O5791" t="s">
        <v>45096</v>
      </c>
      <c r="P5791">
        <v>0</v>
      </c>
      <c r="Q5791">
        <v>0</v>
      </c>
      <c r="R5791" t="s">
        <v>45102</v>
      </c>
      <c r="S5791" t="s">
        <v>45242</v>
      </c>
      <c r="T5791" t="s">
        <v>47183</v>
      </c>
      <c r="U5791" t="s">
        <v>52029</v>
      </c>
      <c r="W5791" t="s">
        <v>41799</v>
      </c>
      <c r="X5791" t="s">
        <v>45103</v>
      </c>
    </row>
    <row r="5792" spans="1:24">
      <c r="A5792">
        <f>HYPERLINK("https://www.philgeps.gov.ph/GEPSNONPILOT/Tender/SplashBidNoticeAbstractUI.aspx?menuIndex=3&amp;refID=7039490&amp;Result=3","7039490")</f>
        <v>0</v>
      </c>
      <c r="B5792" t="s">
        <v>1856</v>
      </c>
      <c r="C5792" t="s">
        <v>8734</v>
      </c>
      <c r="D5792" t="s">
        <v>18112</v>
      </c>
      <c r="E5792" t="s">
        <v>23276</v>
      </c>
      <c r="F5792" t="s">
        <v>31574</v>
      </c>
      <c r="G5792" t="s">
        <v>31581</v>
      </c>
      <c r="H5792" t="s">
        <v>31590</v>
      </c>
      <c r="I5792" t="s">
        <v>31619</v>
      </c>
      <c r="J5792" t="s">
        <v>31727</v>
      </c>
      <c r="K5792" t="s">
        <v>41186</v>
      </c>
      <c r="M5792" t="s">
        <v>43494</v>
      </c>
      <c r="N5792" t="s">
        <v>45095</v>
      </c>
      <c r="O5792" t="s">
        <v>45096</v>
      </c>
      <c r="P5792">
        <v>0</v>
      </c>
      <c r="Q5792">
        <v>1</v>
      </c>
      <c r="R5792" t="s">
        <v>45102</v>
      </c>
      <c r="S5792" t="s">
        <v>45242</v>
      </c>
      <c r="T5792" t="s">
        <v>47164</v>
      </c>
      <c r="U5792" t="s">
        <v>52333</v>
      </c>
      <c r="W5792" t="s">
        <v>43494</v>
      </c>
      <c r="X5792" t="s">
        <v>45103</v>
      </c>
    </row>
    <row r="5793" spans="1:24">
      <c r="A5793">
        <f>HYPERLINK("https://www.philgeps.gov.ph/GEPSNONPILOT/Tender/SplashBidNoticeAbstractUI.aspx?menuIndex=3&amp;refID=7039521&amp;Result=3","7039521")</f>
        <v>0</v>
      </c>
      <c r="B5793" t="s">
        <v>461</v>
      </c>
      <c r="C5793" t="s">
        <v>8735</v>
      </c>
      <c r="D5793" t="s">
        <v>18057</v>
      </c>
      <c r="E5793" t="s">
        <v>23277</v>
      </c>
      <c r="F5793" t="s">
        <v>31574</v>
      </c>
      <c r="G5793" t="s">
        <v>31582</v>
      </c>
      <c r="H5793" t="s">
        <v>31591</v>
      </c>
      <c r="I5793" t="s">
        <v>8822</v>
      </c>
      <c r="J5793" t="s">
        <v>35465</v>
      </c>
      <c r="K5793" t="s">
        <v>41200</v>
      </c>
      <c r="M5793" t="s">
        <v>41955</v>
      </c>
      <c r="N5793" t="s">
        <v>45095</v>
      </c>
      <c r="O5793" t="s">
        <v>45096</v>
      </c>
      <c r="P5793">
        <v>0</v>
      </c>
      <c r="Q5793">
        <v>0</v>
      </c>
      <c r="R5793" t="s">
        <v>45102</v>
      </c>
      <c r="S5793" t="s">
        <v>45242</v>
      </c>
      <c r="T5793" t="s">
        <v>46920</v>
      </c>
      <c r="U5793" t="s">
        <v>52334</v>
      </c>
      <c r="W5793" t="s">
        <v>41955</v>
      </c>
      <c r="X5793" t="s">
        <v>45103</v>
      </c>
    </row>
    <row r="5794" spans="1:24">
      <c r="A5794">
        <f>HYPERLINK("https://www.philgeps.gov.ph/GEPSNONPILOT/Tender/SplashBidNoticeAbstractUI.aspx?menuIndex=3&amp;refID=7039514&amp;Result=3","7039514")</f>
        <v>0</v>
      </c>
      <c r="B5794" t="s">
        <v>1857</v>
      </c>
      <c r="C5794" t="s">
        <v>8736</v>
      </c>
      <c r="D5794" t="s">
        <v>18037</v>
      </c>
      <c r="E5794" t="s">
        <v>23278</v>
      </c>
      <c r="F5794" t="s">
        <v>31574</v>
      </c>
      <c r="G5794" t="s">
        <v>31581</v>
      </c>
      <c r="H5794" t="s">
        <v>31590</v>
      </c>
      <c r="I5794" t="s">
        <v>4046</v>
      </c>
      <c r="J5794" t="s">
        <v>31724</v>
      </c>
      <c r="K5794" t="s">
        <v>41186</v>
      </c>
      <c r="M5794" t="s">
        <v>43495</v>
      </c>
      <c r="N5794" t="s">
        <v>45095</v>
      </c>
      <c r="O5794" t="s">
        <v>45096</v>
      </c>
      <c r="P5794">
        <v>0</v>
      </c>
      <c r="Q5794">
        <v>0</v>
      </c>
      <c r="R5794" t="s">
        <v>45102</v>
      </c>
      <c r="S5794" t="s">
        <v>45242</v>
      </c>
      <c r="T5794" t="s">
        <v>46985</v>
      </c>
      <c r="U5794" t="s">
        <v>52335</v>
      </c>
      <c r="W5794" t="s">
        <v>43495</v>
      </c>
      <c r="X5794" t="s">
        <v>45103</v>
      </c>
    </row>
    <row r="5795" spans="1:24">
      <c r="A5795">
        <f>HYPERLINK("https://www.philgeps.gov.ph/GEPSNONPILOT/Tender/SplashBidNoticeAbstractUI.aspx?menuIndex=3&amp;refID=7039513&amp;Result=3","7039513")</f>
        <v>0</v>
      </c>
      <c r="B5795" t="s">
        <v>687</v>
      </c>
      <c r="C5795" t="s">
        <v>8543</v>
      </c>
      <c r="D5795" t="s">
        <v>18070</v>
      </c>
      <c r="E5795" t="s">
        <v>23279</v>
      </c>
      <c r="F5795" t="s">
        <v>31574</v>
      </c>
      <c r="G5795" t="s">
        <v>31581</v>
      </c>
      <c r="H5795" t="s">
        <v>31590</v>
      </c>
      <c r="I5795" t="s">
        <v>6800</v>
      </c>
      <c r="J5795" t="s">
        <v>35466</v>
      </c>
      <c r="K5795" t="s">
        <v>41193</v>
      </c>
      <c r="M5795" t="s">
        <v>42194</v>
      </c>
      <c r="N5795" t="s">
        <v>45095</v>
      </c>
      <c r="O5795" t="s">
        <v>45096</v>
      </c>
      <c r="P5795">
        <v>0</v>
      </c>
      <c r="Q5795">
        <v>1</v>
      </c>
      <c r="R5795" t="s">
        <v>45102</v>
      </c>
      <c r="S5795" t="s">
        <v>45242</v>
      </c>
      <c r="T5795" t="s">
        <v>47162</v>
      </c>
      <c r="U5795" t="s">
        <v>52336</v>
      </c>
      <c r="V5795" t="s">
        <v>60450</v>
      </c>
      <c r="W5795" t="s">
        <v>42194</v>
      </c>
      <c r="X5795" t="s">
        <v>45103</v>
      </c>
    </row>
    <row r="5796" spans="1:24">
      <c r="A5796">
        <f>HYPERLINK("https://www.philgeps.gov.ph/GEPSNONPILOT/Tender/SplashBidNoticeAbstractUI.aspx?menuIndex=3&amp;refID=7039512&amp;Result=3","7039512")</f>
        <v>0</v>
      </c>
      <c r="B5796" t="s">
        <v>544</v>
      </c>
      <c r="C5796" t="s">
        <v>8737</v>
      </c>
      <c r="D5796" t="s">
        <v>18056</v>
      </c>
      <c r="E5796" t="s">
        <v>23280</v>
      </c>
      <c r="F5796" t="s">
        <v>31574</v>
      </c>
      <c r="G5796" t="s">
        <v>31582</v>
      </c>
      <c r="H5796" t="s">
        <v>31591</v>
      </c>
      <c r="I5796" t="s">
        <v>8822</v>
      </c>
      <c r="J5796" t="s">
        <v>35467</v>
      </c>
      <c r="K5796" t="s">
        <v>41333</v>
      </c>
      <c r="M5796" t="s">
        <v>42041</v>
      </c>
      <c r="N5796" t="s">
        <v>45095</v>
      </c>
      <c r="O5796" t="s">
        <v>45096</v>
      </c>
      <c r="P5796">
        <v>0</v>
      </c>
      <c r="Q5796">
        <v>0</v>
      </c>
      <c r="R5796" t="s">
        <v>45102</v>
      </c>
      <c r="S5796" t="s">
        <v>45242</v>
      </c>
      <c r="T5796" t="s">
        <v>46949</v>
      </c>
      <c r="U5796" t="s">
        <v>52337</v>
      </c>
      <c r="W5796" t="s">
        <v>42041</v>
      </c>
      <c r="X5796" t="s">
        <v>45103</v>
      </c>
    </row>
    <row r="5797" spans="1:24">
      <c r="A5797">
        <f>HYPERLINK("https://www.philgeps.gov.ph/GEPSNONPILOT/Tender/SplashBidNoticeAbstractUI.aspx?menuIndex=3&amp;refID=7039517&amp;Result=3","7039517")</f>
        <v>0</v>
      </c>
      <c r="B5797" t="s">
        <v>348</v>
      </c>
      <c r="C5797" t="s">
        <v>8738</v>
      </c>
      <c r="D5797" t="s">
        <v>18065</v>
      </c>
      <c r="E5797" t="s">
        <v>23281</v>
      </c>
      <c r="F5797" t="s">
        <v>31574</v>
      </c>
      <c r="G5797" t="s">
        <v>31583</v>
      </c>
      <c r="H5797" t="s">
        <v>31590</v>
      </c>
      <c r="I5797" t="s">
        <v>31636</v>
      </c>
      <c r="J5797" t="s">
        <v>31726</v>
      </c>
      <c r="K5797" t="s">
        <v>41186</v>
      </c>
      <c r="M5797" t="s">
        <v>41836</v>
      </c>
      <c r="N5797" t="s">
        <v>45095</v>
      </c>
      <c r="O5797" t="s">
        <v>45096</v>
      </c>
      <c r="P5797">
        <v>0</v>
      </c>
      <c r="Q5797">
        <v>2</v>
      </c>
      <c r="R5797" t="s">
        <v>45102</v>
      </c>
      <c r="S5797" t="s">
        <v>45242</v>
      </c>
      <c r="T5797" t="s">
        <v>47158</v>
      </c>
      <c r="U5797" t="s">
        <v>48153</v>
      </c>
      <c r="W5797" t="s">
        <v>41836</v>
      </c>
      <c r="X5797" t="s">
        <v>45103</v>
      </c>
    </row>
    <row r="5798" spans="1:24">
      <c r="A5798">
        <f>HYPERLINK("https://www.philgeps.gov.ph/GEPSNONPILOT/Tender/SplashBidNoticeAbstractUI.aspx?menuIndex=3&amp;refID=7039510&amp;Result=3","7039510")</f>
        <v>0</v>
      </c>
      <c r="B5798" t="s">
        <v>159</v>
      </c>
      <c r="C5798" t="s">
        <v>8739</v>
      </c>
      <c r="D5798" t="s">
        <v>18046</v>
      </c>
      <c r="E5798" t="s">
        <v>23282</v>
      </c>
      <c r="F5798" t="s">
        <v>31574</v>
      </c>
      <c r="G5798" t="s">
        <v>31582</v>
      </c>
      <c r="H5798" t="s">
        <v>31590</v>
      </c>
      <c r="I5798" t="s">
        <v>31600</v>
      </c>
      <c r="J5798" t="s">
        <v>32382</v>
      </c>
      <c r="K5798" t="s">
        <v>41186</v>
      </c>
      <c r="M5798" t="s">
        <v>43387</v>
      </c>
      <c r="N5798" t="s">
        <v>45095</v>
      </c>
      <c r="O5798" t="s">
        <v>45096</v>
      </c>
      <c r="P5798">
        <v>0</v>
      </c>
      <c r="Q5798">
        <v>0</v>
      </c>
      <c r="R5798" t="s">
        <v>45102</v>
      </c>
      <c r="S5798" t="s">
        <v>45242</v>
      </c>
      <c r="T5798" t="s">
        <v>46963</v>
      </c>
      <c r="U5798" t="s">
        <v>47772</v>
      </c>
      <c r="V5798" t="s">
        <v>59890</v>
      </c>
      <c r="W5798" t="s">
        <v>43387</v>
      </c>
      <c r="X5798" t="s">
        <v>45103</v>
      </c>
    </row>
    <row r="5799" spans="1:24">
      <c r="A5799">
        <f>HYPERLINK("https://www.philgeps.gov.ph/GEPSNONPILOT/Tender/SplashBidNoticeAbstractUI.aspx?menuIndex=3&amp;refID=7039486&amp;Result=3","7039486")</f>
        <v>0</v>
      </c>
      <c r="B5799" t="s">
        <v>1832</v>
      </c>
      <c r="C5799" t="s">
        <v>8740</v>
      </c>
      <c r="D5799" t="s">
        <v>18034</v>
      </c>
      <c r="E5799" t="s">
        <v>23283</v>
      </c>
      <c r="F5799" t="s">
        <v>31574</v>
      </c>
      <c r="G5799" t="s">
        <v>31582</v>
      </c>
      <c r="H5799" t="s">
        <v>31590</v>
      </c>
      <c r="I5799" t="s">
        <v>3651</v>
      </c>
      <c r="J5799" t="s">
        <v>32068</v>
      </c>
      <c r="K5799" t="s">
        <v>41184</v>
      </c>
      <c r="M5799" t="s">
        <v>43468</v>
      </c>
      <c r="N5799" t="s">
        <v>45095</v>
      </c>
      <c r="O5799" t="s">
        <v>45096</v>
      </c>
      <c r="P5799">
        <v>0</v>
      </c>
      <c r="Q5799">
        <v>0</v>
      </c>
      <c r="R5799" t="s">
        <v>45102</v>
      </c>
      <c r="S5799" t="s">
        <v>45242</v>
      </c>
      <c r="T5799" t="s">
        <v>46973</v>
      </c>
      <c r="U5799" t="s">
        <v>52338</v>
      </c>
      <c r="W5799" t="s">
        <v>43468</v>
      </c>
      <c r="X5799" t="s">
        <v>45103</v>
      </c>
    </row>
    <row r="5800" spans="1:24">
      <c r="A5800">
        <f>HYPERLINK("https://www.philgeps.gov.ph/GEPSNONPILOT/Tender/SplashBidNoticeAbstractUI.aspx?menuIndex=3&amp;refID=7039523&amp;Result=3","7039523")</f>
        <v>0</v>
      </c>
      <c r="B5800" t="s">
        <v>1785</v>
      </c>
      <c r="C5800" t="s">
        <v>8741</v>
      </c>
      <c r="D5800" t="s">
        <v>18026</v>
      </c>
      <c r="E5800" t="s">
        <v>8741</v>
      </c>
      <c r="F5800" t="s">
        <v>31574</v>
      </c>
      <c r="G5800" t="s">
        <v>31581</v>
      </c>
      <c r="H5800" t="s">
        <v>31590</v>
      </c>
      <c r="I5800" t="s">
        <v>4046</v>
      </c>
      <c r="J5800" t="s">
        <v>35468</v>
      </c>
      <c r="K5800" t="s">
        <v>41186</v>
      </c>
      <c r="M5800" t="s">
        <v>43415</v>
      </c>
      <c r="N5800" t="s">
        <v>45095</v>
      </c>
      <c r="O5800" t="s">
        <v>45096</v>
      </c>
      <c r="P5800">
        <v>0</v>
      </c>
      <c r="Q5800">
        <v>2</v>
      </c>
      <c r="R5800" t="s">
        <v>45102</v>
      </c>
      <c r="S5800" t="s">
        <v>45242</v>
      </c>
      <c r="T5800" t="s">
        <v>46985</v>
      </c>
      <c r="U5800" t="s">
        <v>52339</v>
      </c>
      <c r="W5800" t="s">
        <v>43415</v>
      </c>
      <c r="X5800" t="s">
        <v>45103</v>
      </c>
    </row>
    <row r="5801" spans="1:24">
      <c r="A5801">
        <f>HYPERLINK("https://www.philgeps.gov.ph/GEPSNONPILOT/Tender/SplashBidNoticeAbstractUI.aspx?menuIndex=3&amp;refID=7039511&amp;Result=3","7039511")</f>
        <v>0</v>
      </c>
      <c r="B5801" t="s">
        <v>259</v>
      </c>
      <c r="C5801" t="s">
        <v>8742</v>
      </c>
      <c r="D5801" t="s">
        <v>18027</v>
      </c>
      <c r="E5801" t="s">
        <v>23284</v>
      </c>
      <c r="F5801" t="s">
        <v>31574</v>
      </c>
      <c r="G5801" t="s">
        <v>31581</v>
      </c>
      <c r="H5801" t="s">
        <v>31590</v>
      </c>
      <c r="I5801" t="s">
        <v>31606</v>
      </c>
      <c r="J5801" t="s">
        <v>35469</v>
      </c>
      <c r="K5801" t="s">
        <v>41186</v>
      </c>
      <c r="M5801" t="s">
        <v>41745</v>
      </c>
      <c r="N5801" t="s">
        <v>45095</v>
      </c>
      <c r="O5801" t="s">
        <v>45096</v>
      </c>
      <c r="P5801">
        <v>0</v>
      </c>
      <c r="Q5801">
        <v>2</v>
      </c>
      <c r="R5801" t="s">
        <v>45102</v>
      </c>
      <c r="S5801" t="s">
        <v>45242</v>
      </c>
      <c r="T5801" t="s">
        <v>47125</v>
      </c>
      <c r="U5801" t="s">
        <v>52340</v>
      </c>
      <c r="W5801" t="s">
        <v>41745</v>
      </c>
      <c r="X5801" t="s">
        <v>45103</v>
      </c>
    </row>
    <row r="5802" spans="1:24">
      <c r="A5802">
        <f>HYPERLINK("https://www.philgeps.gov.ph/GEPSNONPILOT/Tender/SplashBidNoticeAbstractUI.aspx?menuIndex=3&amp;refID=7039493&amp;Result=3","7039493")</f>
        <v>0</v>
      </c>
      <c r="B5802" t="s">
        <v>1845</v>
      </c>
      <c r="C5802" t="s">
        <v>8743</v>
      </c>
      <c r="D5802" t="s">
        <v>18079</v>
      </c>
      <c r="E5802" t="s">
        <v>23285</v>
      </c>
      <c r="F5802" t="s">
        <v>31574</v>
      </c>
      <c r="G5802" t="s">
        <v>31582</v>
      </c>
      <c r="H5802" t="s">
        <v>31590</v>
      </c>
      <c r="I5802" t="s">
        <v>4046</v>
      </c>
      <c r="J5802" t="s">
        <v>35470</v>
      </c>
      <c r="K5802" t="s">
        <v>41197</v>
      </c>
      <c r="M5802" t="s">
        <v>43483</v>
      </c>
      <c r="N5802" t="s">
        <v>45095</v>
      </c>
      <c r="O5802" t="s">
        <v>45096</v>
      </c>
      <c r="P5802">
        <v>0</v>
      </c>
      <c r="Q5802">
        <v>2</v>
      </c>
      <c r="R5802" t="s">
        <v>45102</v>
      </c>
      <c r="S5802" t="s">
        <v>45242</v>
      </c>
      <c r="T5802" t="s">
        <v>46922</v>
      </c>
      <c r="U5802" t="s">
        <v>52287</v>
      </c>
      <c r="W5802" t="s">
        <v>43483</v>
      </c>
      <c r="X5802" t="s">
        <v>45103</v>
      </c>
    </row>
    <row r="5803" spans="1:24">
      <c r="A5803">
        <f>HYPERLINK("https://www.philgeps.gov.ph/GEPSNONPILOT/Tender/SplashBidNoticeAbstractUI.aspx?menuIndex=3&amp;refID=7039537&amp;Result=3","7039537")</f>
        <v>0</v>
      </c>
      <c r="B5803" t="s">
        <v>190</v>
      </c>
      <c r="C5803" t="s">
        <v>8744</v>
      </c>
      <c r="D5803" t="s">
        <v>18036</v>
      </c>
      <c r="E5803" t="s">
        <v>23286</v>
      </c>
      <c r="F5803" t="s">
        <v>31574</v>
      </c>
      <c r="G5803" t="s">
        <v>31581</v>
      </c>
      <c r="H5803" t="s">
        <v>31590</v>
      </c>
      <c r="I5803" t="s">
        <v>6800</v>
      </c>
      <c r="J5803" t="s">
        <v>31741</v>
      </c>
      <c r="K5803" t="s">
        <v>41186</v>
      </c>
      <c r="M5803" t="s">
        <v>41675</v>
      </c>
      <c r="N5803" t="s">
        <v>45095</v>
      </c>
      <c r="O5803" t="s">
        <v>45096</v>
      </c>
      <c r="P5803">
        <v>0</v>
      </c>
      <c r="Q5803">
        <v>0</v>
      </c>
      <c r="R5803" t="s">
        <v>45102</v>
      </c>
      <c r="S5803" t="s">
        <v>45242</v>
      </c>
      <c r="T5803" t="s">
        <v>47050</v>
      </c>
      <c r="U5803" t="s">
        <v>52341</v>
      </c>
      <c r="W5803" t="s">
        <v>41675</v>
      </c>
      <c r="X5803" t="s">
        <v>45103</v>
      </c>
    </row>
    <row r="5804" spans="1:24">
      <c r="A5804">
        <f>HYPERLINK("https://www.philgeps.gov.ph/GEPSNONPILOT/Tender/SplashBidNoticeAbstractUI.aspx?menuIndex=3&amp;refID=7039527&amp;Result=3","7039527")</f>
        <v>0</v>
      </c>
      <c r="B5804" t="s">
        <v>800</v>
      </c>
      <c r="C5804" t="s">
        <v>8745</v>
      </c>
      <c r="D5804" t="s">
        <v>18022</v>
      </c>
      <c r="E5804" t="s">
        <v>23287</v>
      </c>
      <c r="F5804" t="s">
        <v>31574</v>
      </c>
      <c r="G5804" t="s">
        <v>31584</v>
      </c>
      <c r="H5804" t="s">
        <v>31590</v>
      </c>
      <c r="I5804" t="s">
        <v>8056</v>
      </c>
      <c r="J5804" t="s">
        <v>32549</v>
      </c>
      <c r="K5804" t="s">
        <v>41191</v>
      </c>
      <c r="M5804" t="s">
        <v>42810</v>
      </c>
      <c r="N5804" t="s">
        <v>45095</v>
      </c>
      <c r="O5804" t="s">
        <v>45096</v>
      </c>
      <c r="P5804">
        <v>0</v>
      </c>
      <c r="Q5804">
        <v>8</v>
      </c>
      <c r="R5804" t="s">
        <v>45102</v>
      </c>
      <c r="S5804" t="s">
        <v>45242</v>
      </c>
      <c r="T5804" t="s">
        <v>47076</v>
      </c>
      <c r="U5804" t="s">
        <v>50461</v>
      </c>
      <c r="V5804" t="s">
        <v>60460</v>
      </c>
      <c r="W5804" t="s">
        <v>42810</v>
      </c>
      <c r="X5804" t="s">
        <v>45103</v>
      </c>
    </row>
    <row r="5805" spans="1:24">
      <c r="A5805">
        <f>HYPERLINK("https://www.philgeps.gov.ph/GEPSNONPILOT/Tender/SplashBidNoticeAbstractUI.aspx?menuIndex=3&amp;refID=7039549&amp;Result=3","7039549")</f>
        <v>0</v>
      </c>
      <c r="B5805" t="s">
        <v>1858</v>
      </c>
      <c r="C5805" t="s">
        <v>8746</v>
      </c>
      <c r="D5805" t="s">
        <v>18022</v>
      </c>
      <c r="E5805" t="s">
        <v>22636</v>
      </c>
      <c r="F5805" t="s">
        <v>31574</v>
      </c>
      <c r="G5805" t="s">
        <v>31581</v>
      </c>
      <c r="H5805" t="s">
        <v>31590</v>
      </c>
      <c r="I5805" t="s">
        <v>4046</v>
      </c>
      <c r="J5805" t="s">
        <v>31780</v>
      </c>
      <c r="K5805" t="s">
        <v>41213</v>
      </c>
      <c r="M5805" t="s">
        <v>43496</v>
      </c>
      <c r="N5805" t="s">
        <v>45095</v>
      </c>
      <c r="O5805" t="s">
        <v>45096</v>
      </c>
      <c r="P5805">
        <v>0</v>
      </c>
      <c r="Q5805">
        <v>6</v>
      </c>
      <c r="R5805" t="s">
        <v>45102</v>
      </c>
      <c r="S5805" t="s">
        <v>45242</v>
      </c>
      <c r="T5805" t="s">
        <v>47067</v>
      </c>
      <c r="U5805" t="s">
        <v>52342</v>
      </c>
      <c r="W5805" t="s">
        <v>43496</v>
      </c>
      <c r="X5805" t="s">
        <v>45103</v>
      </c>
    </row>
    <row r="5806" spans="1:24">
      <c r="A5806">
        <f>HYPERLINK("https://www.philgeps.gov.ph/GEPSNONPILOT/Tender/SplashBidNoticeAbstractUI.aspx?menuIndex=3&amp;refID=7039538&amp;Result=3","7039538")</f>
        <v>0</v>
      </c>
      <c r="B5806" t="s">
        <v>1859</v>
      </c>
      <c r="C5806" t="s">
        <v>8747</v>
      </c>
      <c r="D5806" t="s">
        <v>18027</v>
      </c>
      <c r="E5806" t="s">
        <v>23288</v>
      </c>
      <c r="F5806" t="s">
        <v>31574</v>
      </c>
      <c r="G5806" t="s">
        <v>31582</v>
      </c>
      <c r="H5806" t="s">
        <v>31591</v>
      </c>
      <c r="I5806" t="s">
        <v>8822</v>
      </c>
      <c r="J5806" t="s">
        <v>31819</v>
      </c>
      <c r="K5806" t="s">
        <v>41192</v>
      </c>
      <c r="L5806" t="s">
        <v>1859</v>
      </c>
      <c r="M5806" t="s">
        <v>43497</v>
      </c>
      <c r="N5806" t="s">
        <v>45095</v>
      </c>
      <c r="O5806" t="s">
        <v>45096</v>
      </c>
      <c r="P5806">
        <v>0</v>
      </c>
      <c r="Q5806">
        <v>0</v>
      </c>
      <c r="R5806" t="s">
        <v>45102</v>
      </c>
      <c r="S5806" t="s">
        <v>45242</v>
      </c>
      <c r="T5806" t="s">
        <v>46988</v>
      </c>
      <c r="U5806" t="s">
        <v>52343</v>
      </c>
      <c r="V5806" t="s">
        <v>60461</v>
      </c>
      <c r="W5806" t="s">
        <v>43497</v>
      </c>
      <c r="X5806" t="s">
        <v>45103</v>
      </c>
    </row>
    <row r="5807" spans="1:24">
      <c r="A5807">
        <f>HYPERLINK("https://www.philgeps.gov.ph/GEPSNONPILOT/Tender/SplashBidNoticeAbstractUI.aspx?menuIndex=3&amp;refID=7039539&amp;Result=3","7039539")</f>
        <v>0</v>
      </c>
      <c r="B5807" t="s">
        <v>495</v>
      </c>
      <c r="C5807" t="s">
        <v>8748</v>
      </c>
      <c r="D5807" t="s">
        <v>18099</v>
      </c>
      <c r="E5807" t="s">
        <v>23289</v>
      </c>
      <c r="F5807" t="s">
        <v>31574</v>
      </c>
      <c r="G5807" t="s">
        <v>31581</v>
      </c>
      <c r="H5807" t="s">
        <v>31590</v>
      </c>
      <c r="I5807" t="s">
        <v>31598</v>
      </c>
      <c r="J5807" t="s">
        <v>33455</v>
      </c>
      <c r="K5807" t="s">
        <v>41190</v>
      </c>
      <c r="M5807" t="s">
        <v>41991</v>
      </c>
      <c r="N5807" t="s">
        <v>45095</v>
      </c>
      <c r="O5807" t="s">
        <v>45096</v>
      </c>
      <c r="P5807">
        <v>0</v>
      </c>
      <c r="Q5807">
        <v>7</v>
      </c>
      <c r="R5807" t="s">
        <v>45102</v>
      </c>
      <c r="S5807" t="s">
        <v>45242</v>
      </c>
      <c r="T5807" t="s">
        <v>47183</v>
      </c>
      <c r="U5807" t="s">
        <v>48472</v>
      </c>
      <c r="W5807" t="s">
        <v>41991</v>
      </c>
      <c r="X5807" t="s">
        <v>45103</v>
      </c>
    </row>
    <row r="5808" spans="1:24">
      <c r="A5808">
        <f>HYPERLINK("https://www.philgeps.gov.ph/GEPSNONPILOT/Tender/SplashBidNoticeAbstractUI.aspx?menuIndex=3&amp;refID=7039548&amp;Result=3","7039548")</f>
        <v>0</v>
      </c>
      <c r="B5808" t="s">
        <v>1860</v>
      </c>
      <c r="C5808" t="s">
        <v>8749</v>
      </c>
      <c r="D5808" t="s">
        <v>18058</v>
      </c>
      <c r="E5808" t="s">
        <v>21628</v>
      </c>
      <c r="F5808" t="s">
        <v>31574</v>
      </c>
      <c r="G5808" t="s">
        <v>31582</v>
      </c>
      <c r="H5808" t="s">
        <v>31590</v>
      </c>
      <c r="I5808" t="s">
        <v>31672</v>
      </c>
      <c r="J5808" t="s">
        <v>31888</v>
      </c>
      <c r="K5808" t="s">
        <v>41186</v>
      </c>
      <c r="M5808" t="s">
        <v>43498</v>
      </c>
      <c r="N5808" t="s">
        <v>45095</v>
      </c>
      <c r="O5808" t="s">
        <v>45096</v>
      </c>
      <c r="P5808">
        <v>0</v>
      </c>
      <c r="Q5808">
        <v>0</v>
      </c>
      <c r="R5808" t="s">
        <v>45102</v>
      </c>
      <c r="S5808" t="s">
        <v>45242</v>
      </c>
      <c r="T5808" t="s">
        <v>46969</v>
      </c>
      <c r="U5808" t="s">
        <v>52344</v>
      </c>
      <c r="W5808" t="s">
        <v>43498</v>
      </c>
      <c r="X5808" t="s">
        <v>45103</v>
      </c>
    </row>
    <row r="5809" spans="1:24">
      <c r="A5809">
        <f>HYPERLINK("https://www.philgeps.gov.ph/GEPSNONPILOT/Tender/SplashBidNoticeAbstractUI.aspx?menuIndex=3&amp;refID=7039532&amp;Result=3","7039532")</f>
        <v>0</v>
      </c>
      <c r="B5809" t="s">
        <v>75</v>
      </c>
      <c r="C5809" t="s">
        <v>8750</v>
      </c>
      <c r="D5809" t="s">
        <v>18054</v>
      </c>
      <c r="E5809" t="s">
        <v>23290</v>
      </c>
      <c r="F5809" t="s">
        <v>31574</v>
      </c>
      <c r="G5809" t="s">
        <v>31582</v>
      </c>
      <c r="H5809" t="s">
        <v>31590</v>
      </c>
      <c r="I5809" t="s">
        <v>4327</v>
      </c>
      <c r="J5809" t="s">
        <v>31782</v>
      </c>
      <c r="K5809" t="s">
        <v>41186</v>
      </c>
      <c r="M5809" t="s">
        <v>41559</v>
      </c>
      <c r="N5809" t="s">
        <v>45095</v>
      </c>
      <c r="O5809" t="s">
        <v>45096</v>
      </c>
      <c r="P5809">
        <v>0</v>
      </c>
      <c r="Q5809">
        <v>0</v>
      </c>
      <c r="R5809" t="s">
        <v>45102</v>
      </c>
      <c r="S5809" t="s">
        <v>45242</v>
      </c>
      <c r="T5809" t="s">
        <v>46988</v>
      </c>
      <c r="U5809" t="s">
        <v>52345</v>
      </c>
      <c r="W5809" t="s">
        <v>41559</v>
      </c>
      <c r="X5809" t="s">
        <v>45103</v>
      </c>
    </row>
    <row r="5810" spans="1:24">
      <c r="A5810">
        <f>HYPERLINK("https://www.philgeps.gov.ph/GEPSNONPILOT/Tender/SplashBidNoticeAbstractUI.aspx?menuIndex=3&amp;refID=7039540&amp;Result=3","7039540")</f>
        <v>0</v>
      </c>
      <c r="B5810" t="s">
        <v>1827</v>
      </c>
      <c r="C5810" t="s">
        <v>8751</v>
      </c>
      <c r="D5810" t="s">
        <v>18028</v>
      </c>
      <c r="E5810" t="s">
        <v>23291</v>
      </c>
      <c r="F5810" t="s">
        <v>31574</v>
      </c>
      <c r="G5810" t="s">
        <v>31582</v>
      </c>
      <c r="H5810" t="s">
        <v>31590</v>
      </c>
      <c r="I5810" t="s">
        <v>31625</v>
      </c>
      <c r="J5810" t="s">
        <v>32019</v>
      </c>
      <c r="K5810" t="s">
        <v>41184</v>
      </c>
      <c r="M5810" t="s">
        <v>43463</v>
      </c>
      <c r="N5810" t="s">
        <v>45095</v>
      </c>
      <c r="O5810" t="s">
        <v>45096</v>
      </c>
      <c r="P5810">
        <v>0</v>
      </c>
      <c r="Q5810">
        <v>0</v>
      </c>
      <c r="R5810" t="s">
        <v>45102</v>
      </c>
      <c r="S5810" t="s">
        <v>45242</v>
      </c>
      <c r="T5810" t="s">
        <v>47188</v>
      </c>
      <c r="U5810" t="s">
        <v>52346</v>
      </c>
      <c r="V5810" t="s">
        <v>60447</v>
      </c>
      <c r="W5810" t="s">
        <v>43463</v>
      </c>
      <c r="X5810" t="s">
        <v>45103</v>
      </c>
    </row>
    <row r="5811" spans="1:24">
      <c r="A5811">
        <f>HYPERLINK("https://www.philgeps.gov.ph/GEPSNONPILOT/Tender/SplashBidNoticeAbstractUI.aspx?menuIndex=3&amp;refID=7039533&amp;Result=3","7039533")</f>
        <v>0</v>
      </c>
      <c r="B5811" t="s">
        <v>1861</v>
      </c>
      <c r="C5811" t="s">
        <v>5398</v>
      </c>
      <c r="D5811" t="s">
        <v>18072</v>
      </c>
      <c r="E5811" t="s">
        <v>23292</v>
      </c>
      <c r="F5811" t="s">
        <v>31574</v>
      </c>
      <c r="G5811" t="s">
        <v>31582</v>
      </c>
      <c r="H5811" t="s">
        <v>31590</v>
      </c>
      <c r="I5811" t="s">
        <v>4327</v>
      </c>
      <c r="J5811" t="s">
        <v>31741</v>
      </c>
      <c r="K5811" t="s">
        <v>41196</v>
      </c>
      <c r="M5811" t="s">
        <v>43499</v>
      </c>
      <c r="N5811" t="s">
        <v>45095</v>
      </c>
      <c r="O5811" t="s">
        <v>45096</v>
      </c>
      <c r="P5811">
        <v>0</v>
      </c>
      <c r="Q5811">
        <v>0</v>
      </c>
      <c r="R5811" t="s">
        <v>45102</v>
      </c>
      <c r="S5811" t="s">
        <v>45242</v>
      </c>
      <c r="T5811" t="s">
        <v>46911</v>
      </c>
      <c r="U5811" t="s">
        <v>52347</v>
      </c>
      <c r="V5811" t="s">
        <v>60462</v>
      </c>
      <c r="W5811" t="s">
        <v>43499</v>
      </c>
      <c r="X5811" t="s">
        <v>45103</v>
      </c>
    </row>
    <row r="5812" spans="1:24">
      <c r="A5812">
        <f>HYPERLINK("https://www.philgeps.gov.ph/GEPSNONPILOT/Tender/SplashBidNoticeAbstractUI.aspx?menuIndex=3&amp;refID=7039544&amp;Result=3","7039544")</f>
        <v>0</v>
      </c>
      <c r="B5812" t="s">
        <v>1732</v>
      </c>
      <c r="C5812" t="s">
        <v>8752</v>
      </c>
      <c r="D5812" t="s">
        <v>18041</v>
      </c>
      <c r="E5812" t="s">
        <v>23293</v>
      </c>
      <c r="F5812" t="s">
        <v>31574</v>
      </c>
      <c r="G5812" t="s">
        <v>31581</v>
      </c>
      <c r="H5812" t="s">
        <v>31590</v>
      </c>
      <c r="I5812" t="s">
        <v>3651</v>
      </c>
      <c r="J5812" t="s">
        <v>35471</v>
      </c>
      <c r="K5812" t="s">
        <v>41190</v>
      </c>
      <c r="M5812" t="s">
        <v>43351</v>
      </c>
      <c r="N5812" t="s">
        <v>45095</v>
      </c>
      <c r="O5812" t="s">
        <v>45096</v>
      </c>
      <c r="P5812">
        <v>0</v>
      </c>
      <c r="Q5812">
        <v>0</v>
      </c>
      <c r="R5812" t="s">
        <v>45102</v>
      </c>
      <c r="S5812" t="s">
        <v>45242</v>
      </c>
      <c r="T5812" t="s">
        <v>46985</v>
      </c>
      <c r="U5812" t="s">
        <v>52348</v>
      </c>
      <c r="W5812" t="s">
        <v>61715</v>
      </c>
      <c r="X5812" t="s">
        <v>45103</v>
      </c>
    </row>
    <row r="5813" spans="1:24">
      <c r="A5813">
        <f>HYPERLINK("https://www.philgeps.gov.ph/GEPSNONPILOT/Tender/SplashBidNoticeAbstractUI.aspx?menuIndex=3&amp;refID=7039536&amp;Result=3","7039536")</f>
        <v>0</v>
      </c>
      <c r="B5813" t="s">
        <v>1862</v>
      </c>
      <c r="C5813" t="s">
        <v>8753</v>
      </c>
      <c r="D5813" t="s">
        <v>18041</v>
      </c>
      <c r="E5813" t="s">
        <v>23294</v>
      </c>
      <c r="F5813" t="s">
        <v>31574</v>
      </c>
      <c r="G5813" t="s">
        <v>31584</v>
      </c>
      <c r="H5813" t="s">
        <v>31590</v>
      </c>
      <c r="I5813" t="s">
        <v>6800</v>
      </c>
      <c r="J5813" t="s">
        <v>35472</v>
      </c>
      <c r="K5813" t="s">
        <v>41190</v>
      </c>
      <c r="M5813" t="s">
        <v>43500</v>
      </c>
      <c r="N5813" t="s">
        <v>45095</v>
      </c>
      <c r="O5813" t="s">
        <v>45096</v>
      </c>
      <c r="P5813">
        <v>0</v>
      </c>
      <c r="Q5813">
        <v>1</v>
      </c>
      <c r="R5813" t="s">
        <v>45102</v>
      </c>
      <c r="S5813" t="s">
        <v>45242</v>
      </c>
      <c r="T5813" t="s">
        <v>47076</v>
      </c>
      <c r="U5813" t="s">
        <v>52349</v>
      </c>
      <c r="W5813" t="s">
        <v>43500</v>
      </c>
      <c r="X5813" t="s">
        <v>45103</v>
      </c>
    </row>
    <row r="5814" spans="1:24">
      <c r="A5814">
        <f>HYPERLINK("https://www.philgeps.gov.ph/GEPSNONPILOT/Tender/SplashBidNoticeAbstractUI.aspx?menuIndex=3&amp;refID=7039546&amp;Result=3","7039546")</f>
        <v>0</v>
      </c>
      <c r="B5814" t="s">
        <v>955</v>
      </c>
      <c r="C5814" t="s">
        <v>8754</v>
      </c>
      <c r="D5814" t="s">
        <v>18043</v>
      </c>
      <c r="E5814" t="s">
        <v>23295</v>
      </c>
      <c r="F5814" t="s">
        <v>31574</v>
      </c>
      <c r="G5814" t="s">
        <v>31582</v>
      </c>
      <c r="H5814" t="s">
        <v>31590</v>
      </c>
      <c r="I5814" t="s">
        <v>31594</v>
      </c>
      <c r="J5814" t="s">
        <v>35473</v>
      </c>
      <c r="K5814" t="s">
        <v>41184</v>
      </c>
      <c r="M5814" t="s">
        <v>42482</v>
      </c>
      <c r="N5814" t="s">
        <v>45095</v>
      </c>
      <c r="O5814" t="s">
        <v>45096</v>
      </c>
      <c r="P5814">
        <v>0</v>
      </c>
      <c r="Q5814">
        <v>18</v>
      </c>
      <c r="R5814" t="s">
        <v>45102</v>
      </c>
      <c r="S5814" t="s">
        <v>45242</v>
      </c>
      <c r="T5814" t="s">
        <v>46962</v>
      </c>
      <c r="U5814" t="s">
        <v>52350</v>
      </c>
      <c r="W5814" t="s">
        <v>42482</v>
      </c>
      <c r="X5814" t="s">
        <v>45103</v>
      </c>
    </row>
    <row r="5815" spans="1:24">
      <c r="A5815">
        <f>HYPERLINK("https://www.philgeps.gov.ph/GEPSNONPILOT/Tender/SplashBidNoticeAbstractUI.aspx?menuIndex=3&amp;refID=7039552&amp;Result=3","7039552")</f>
        <v>0</v>
      </c>
      <c r="B5815" t="s">
        <v>800</v>
      </c>
      <c r="C5815" t="s">
        <v>8755</v>
      </c>
      <c r="D5815" t="s">
        <v>18022</v>
      </c>
      <c r="E5815" t="s">
        <v>23296</v>
      </c>
      <c r="F5815" t="s">
        <v>31574</v>
      </c>
      <c r="G5815" t="s">
        <v>31584</v>
      </c>
      <c r="H5815" t="s">
        <v>31590</v>
      </c>
      <c r="I5815" t="s">
        <v>8056</v>
      </c>
      <c r="J5815" t="s">
        <v>35474</v>
      </c>
      <c r="K5815" t="s">
        <v>41190</v>
      </c>
      <c r="M5815" t="s">
        <v>42810</v>
      </c>
      <c r="N5815" t="s">
        <v>45095</v>
      </c>
      <c r="O5815" t="s">
        <v>45096</v>
      </c>
      <c r="P5815">
        <v>0</v>
      </c>
      <c r="Q5815">
        <v>5</v>
      </c>
      <c r="R5815" t="s">
        <v>45102</v>
      </c>
      <c r="S5815" t="s">
        <v>45242</v>
      </c>
      <c r="T5815" t="s">
        <v>47076</v>
      </c>
      <c r="U5815" t="s">
        <v>50461</v>
      </c>
      <c r="V5815" t="s">
        <v>60463</v>
      </c>
      <c r="W5815" t="s">
        <v>42810</v>
      </c>
      <c r="X5815" t="s">
        <v>45103</v>
      </c>
    </row>
    <row r="5816" spans="1:24">
      <c r="A5816">
        <f>HYPERLINK("https://www.philgeps.gov.ph/GEPSNONPILOT/Tender/SplashBidNoticeAbstractUI.aspx?menuIndex=3&amp;refID=7039547&amp;Result=3","7039547")</f>
        <v>0</v>
      </c>
      <c r="B5816" t="s">
        <v>726</v>
      </c>
      <c r="C5816" t="s">
        <v>8756</v>
      </c>
      <c r="D5816" t="s">
        <v>18058</v>
      </c>
      <c r="E5816" t="s">
        <v>23297</v>
      </c>
      <c r="F5816" t="s">
        <v>31574</v>
      </c>
      <c r="G5816" t="s">
        <v>31581</v>
      </c>
      <c r="H5816" t="s">
        <v>31590</v>
      </c>
      <c r="I5816" t="s">
        <v>31675</v>
      </c>
      <c r="J5816" t="s">
        <v>35475</v>
      </c>
      <c r="K5816" t="s">
        <v>41184</v>
      </c>
      <c r="M5816" t="s">
        <v>42236</v>
      </c>
      <c r="N5816" t="s">
        <v>45095</v>
      </c>
      <c r="O5816" t="s">
        <v>45096</v>
      </c>
      <c r="P5816">
        <v>0</v>
      </c>
      <c r="Q5816">
        <v>0</v>
      </c>
      <c r="R5816" t="s">
        <v>45102</v>
      </c>
      <c r="S5816" t="s">
        <v>45242</v>
      </c>
      <c r="T5816" t="s">
        <v>47158</v>
      </c>
      <c r="U5816" t="s">
        <v>52351</v>
      </c>
      <c r="W5816" t="s">
        <v>42236</v>
      </c>
      <c r="X5816" t="s">
        <v>45103</v>
      </c>
    </row>
    <row r="5817" spans="1:24">
      <c r="A5817">
        <f>HYPERLINK("https://www.philgeps.gov.ph/GEPSNONPILOT/Tender/SplashBidNoticeAbstractUI.aspx?menuIndex=3&amp;refID=7039551&amp;Result=3","7039551")</f>
        <v>0</v>
      </c>
      <c r="B5817" t="s">
        <v>1785</v>
      </c>
      <c r="C5817" t="s">
        <v>8757</v>
      </c>
      <c r="D5817" t="s">
        <v>18026</v>
      </c>
      <c r="E5817" t="s">
        <v>8757</v>
      </c>
      <c r="F5817" t="s">
        <v>31574</v>
      </c>
      <c r="G5817" t="s">
        <v>31581</v>
      </c>
      <c r="H5817" t="s">
        <v>31590</v>
      </c>
      <c r="I5817" t="s">
        <v>4046</v>
      </c>
      <c r="J5817" t="s">
        <v>35476</v>
      </c>
      <c r="K5817" t="s">
        <v>41186</v>
      </c>
      <c r="M5817" t="s">
        <v>43415</v>
      </c>
      <c r="N5817" t="s">
        <v>45095</v>
      </c>
      <c r="O5817" t="s">
        <v>45096</v>
      </c>
      <c r="P5817">
        <v>0</v>
      </c>
      <c r="Q5817">
        <v>2</v>
      </c>
      <c r="R5817" t="s">
        <v>45102</v>
      </c>
      <c r="S5817" t="s">
        <v>45242</v>
      </c>
      <c r="T5817" t="s">
        <v>46985</v>
      </c>
      <c r="U5817" t="s">
        <v>52339</v>
      </c>
      <c r="W5817" t="s">
        <v>43415</v>
      </c>
      <c r="X5817" t="s">
        <v>45103</v>
      </c>
    </row>
    <row r="5818" spans="1:24">
      <c r="A5818">
        <f>HYPERLINK("https://www.philgeps.gov.ph/GEPSNONPILOT/Tender/SplashBidNoticeAbstractUI.aspx?menuIndex=3&amp;refID=7039554&amp;Result=3","7039554")</f>
        <v>0</v>
      </c>
      <c r="B5818" t="s">
        <v>577</v>
      </c>
      <c r="C5818" t="s">
        <v>8758</v>
      </c>
      <c r="D5818" t="s">
        <v>18027</v>
      </c>
      <c r="E5818" t="s">
        <v>23298</v>
      </c>
      <c r="F5818" t="s">
        <v>31574</v>
      </c>
      <c r="G5818" t="s">
        <v>31581</v>
      </c>
      <c r="H5818" t="s">
        <v>31590</v>
      </c>
      <c r="I5818" t="s">
        <v>3651</v>
      </c>
      <c r="J5818" t="s">
        <v>35477</v>
      </c>
      <c r="K5818" t="s">
        <v>41184</v>
      </c>
      <c r="M5818" t="s">
        <v>42078</v>
      </c>
      <c r="N5818" t="s">
        <v>45095</v>
      </c>
      <c r="O5818" t="s">
        <v>45096</v>
      </c>
      <c r="P5818">
        <v>0</v>
      </c>
      <c r="Q5818">
        <v>1</v>
      </c>
      <c r="R5818" t="s">
        <v>45102</v>
      </c>
      <c r="S5818" t="s">
        <v>45242</v>
      </c>
      <c r="T5818" t="s">
        <v>47077</v>
      </c>
      <c r="U5818" t="s">
        <v>52352</v>
      </c>
      <c r="W5818" t="s">
        <v>42078</v>
      </c>
      <c r="X5818" t="s">
        <v>45103</v>
      </c>
    </row>
    <row r="5819" spans="1:24">
      <c r="A5819">
        <f>HYPERLINK("https://www.philgeps.gov.ph/GEPSNONPILOT/Tender/SplashBidNoticeAbstractUI.aspx?menuIndex=3&amp;refID=7039559&amp;Result=3","7039559")</f>
        <v>0</v>
      </c>
      <c r="B5819" t="s">
        <v>479</v>
      </c>
      <c r="C5819" t="s">
        <v>8759</v>
      </c>
      <c r="D5819" t="s">
        <v>18079</v>
      </c>
      <c r="E5819" t="s">
        <v>23299</v>
      </c>
      <c r="F5819" t="s">
        <v>31574</v>
      </c>
      <c r="G5819" t="s">
        <v>31581</v>
      </c>
      <c r="H5819" t="s">
        <v>31590</v>
      </c>
      <c r="I5819" t="s">
        <v>31603</v>
      </c>
      <c r="J5819" t="s">
        <v>31883</v>
      </c>
      <c r="K5819" t="s">
        <v>41184</v>
      </c>
      <c r="M5819" t="s">
        <v>42513</v>
      </c>
      <c r="N5819" t="s">
        <v>45095</v>
      </c>
      <c r="O5819" t="s">
        <v>45096</v>
      </c>
      <c r="P5819">
        <v>0</v>
      </c>
      <c r="Q5819">
        <v>8</v>
      </c>
      <c r="R5819" t="s">
        <v>45102</v>
      </c>
      <c r="S5819" t="s">
        <v>45242</v>
      </c>
      <c r="T5819" t="s">
        <v>46957</v>
      </c>
      <c r="U5819" t="s">
        <v>52353</v>
      </c>
      <c r="W5819" t="s">
        <v>42513</v>
      </c>
      <c r="X5819" t="s">
        <v>45103</v>
      </c>
    </row>
    <row r="5820" spans="1:24">
      <c r="A5820">
        <f>HYPERLINK("https://www.philgeps.gov.ph/GEPSNONPILOT/Tender/SplashBidNoticeAbstractUI.aspx?menuIndex=3&amp;refID=7039561&amp;Result=3","7039561")</f>
        <v>0</v>
      </c>
      <c r="B5820" t="s">
        <v>759</v>
      </c>
      <c r="C5820" t="s">
        <v>8760</v>
      </c>
      <c r="D5820" t="s">
        <v>18039</v>
      </c>
      <c r="E5820" t="s">
        <v>23300</v>
      </c>
      <c r="F5820" t="s">
        <v>31574</v>
      </c>
      <c r="G5820" t="s">
        <v>31585</v>
      </c>
      <c r="H5820" t="s">
        <v>31590</v>
      </c>
      <c r="I5820" t="s">
        <v>7185</v>
      </c>
      <c r="J5820" t="s">
        <v>35478</v>
      </c>
      <c r="K5820" t="s">
        <v>41184</v>
      </c>
      <c r="M5820" t="s">
        <v>43501</v>
      </c>
      <c r="N5820" t="s">
        <v>45095</v>
      </c>
      <c r="O5820" t="s">
        <v>45096</v>
      </c>
      <c r="P5820">
        <v>0</v>
      </c>
      <c r="Q5820">
        <v>6</v>
      </c>
      <c r="R5820" t="s">
        <v>45102</v>
      </c>
      <c r="S5820" t="s">
        <v>45242</v>
      </c>
      <c r="T5820" t="s">
        <v>47197</v>
      </c>
      <c r="U5820" t="s">
        <v>52354</v>
      </c>
      <c r="V5820" t="s">
        <v>60464</v>
      </c>
      <c r="W5820" t="s">
        <v>43501</v>
      </c>
      <c r="X5820" t="s">
        <v>45103</v>
      </c>
    </row>
    <row r="5821" spans="1:24">
      <c r="A5821">
        <f>HYPERLINK("https://www.philgeps.gov.ph/GEPSNONPILOT/Tender/SplashBidNoticeAbstractUI.aspx?menuIndex=3&amp;refID=7039584&amp;Result=3","7039584")</f>
        <v>0</v>
      </c>
      <c r="B5821" t="s">
        <v>1229</v>
      </c>
      <c r="C5821" t="s">
        <v>8761</v>
      </c>
      <c r="D5821" t="s">
        <v>18022</v>
      </c>
      <c r="E5821" t="s">
        <v>23301</v>
      </c>
      <c r="F5821" t="s">
        <v>31574</v>
      </c>
      <c r="G5821" t="s">
        <v>31582</v>
      </c>
      <c r="H5821" t="s">
        <v>31590</v>
      </c>
      <c r="I5821" t="s">
        <v>3487</v>
      </c>
      <c r="J5821" t="s">
        <v>35479</v>
      </c>
      <c r="K5821" t="s">
        <v>41193</v>
      </c>
      <c r="M5821" t="s">
        <v>42791</v>
      </c>
      <c r="N5821" t="s">
        <v>45095</v>
      </c>
      <c r="O5821" t="s">
        <v>45096</v>
      </c>
      <c r="P5821">
        <v>0</v>
      </c>
      <c r="Q5821">
        <v>2</v>
      </c>
      <c r="R5821" t="s">
        <v>45102</v>
      </c>
      <c r="S5821" t="s">
        <v>45242</v>
      </c>
      <c r="T5821" t="s">
        <v>47093</v>
      </c>
      <c r="U5821" t="s">
        <v>50409</v>
      </c>
      <c r="W5821" t="s">
        <v>42791</v>
      </c>
      <c r="X5821" t="s">
        <v>45103</v>
      </c>
    </row>
    <row r="5822" spans="1:24">
      <c r="A5822">
        <f>HYPERLINK("https://www.philgeps.gov.ph/GEPSNONPILOT/Tender/SplashBidNoticeAbstractUI.aspx?menuIndex=3&amp;refID=7039578&amp;Result=3","7039578")</f>
        <v>0</v>
      </c>
      <c r="B5822" t="s">
        <v>1785</v>
      </c>
      <c r="C5822" t="s">
        <v>8762</v>
      </c>
      <c r="D5822" t="s">
        <v>18026</v>
      </c>
      <c r="E5822" t="s">
        <v>8762</v>
      </c>
      <c r="F5822" t="s">
        <v>31574</v>
      </c>
      <c r="G5822" t="s">
        <v>31581</v>
      </c>
      <c r="H5822" t="s">
        <v>31590</v>
      </c>
      <c r="I5822" t="s">
        <v>4046</v>
      </c>
      <c r="J5822" t="s">
        <v>35480</v>
      </c>
      <c r="K5822" t="s">
        <v>41186</v>
      </c>
      <c r="M5822" t="s">
        <v>43415</v>
      </c>
      <c r="N5822" t="s">
        <v>45095</v>
      </c>
      <c r="O5822" t="s">
        <v>45096</v>
      </c>
      <c r="P5822">
        <v>0</v>
      </c>
      <c r="Q5822">
        <v>2</v>
      </c>
      <c r="R5822" t="s">
        <v>45102</v>
      </c>
      <c r="S5822" t="s">
        <v>45242</v>
      </c>
      <c r="T5822" t="s">
        <v>46985</v>
      </c>
      <c r="U5822" t="s">
        <v>52339</v>
      </c>
      <c r="W5822" t="s">
        <v>43415</v>
      </c>
      <c r="X5822" t="s">
        <v>45103</v>
      </c>
    </row>
    <row r="5823" spans="1:24">
      <c r="A5823">
        <f>HYPERLINK("https://www.philgeps.gov.ph/GEPSNONPILOT/Tender/SplashBidNoticeAbstractUI.aspx?menuIndex=3&amp;refID=7039556&amp;Result=3","7039556")</f>
        <v>0</v>
      </c>
      <c r="B5823" t="s">
        <v>162</v>
      </c>
      <c r="C5823" t="s">
        <v>8763</v>
      </c>
      <c r="D5823" t="s">
        <v>18067</v>
      </c>
      <c r="E5823" t="s">
        <v>23302</v>
      </c>
      <c r="F5823" t="s">
        <v>31574</v>
      </c>
      <c r="G5823" t="s">
        <v>31583</v>
      </c>
      <c r="H5823" t="s">
        <v>31590</v>
      </c>
      <c r="I5823" t="s">
        <v>31612</v>
      </c>
      <c r="J5823" t="s">
        <v>31843</v>
      </c>
      <c r="K5823" t="s">
        <v>41196</v>
      </c>
      <c r="M5823" t="s">
        <v>41646</v>
      </c>
      <c r="N5823" t="s">
        <v>45095</v>
      </c>
      <c r="O5823" t="s">
        <v>45096</v>
      </c>
      <c r="P5823">
        <v>0</v>
      </c>
      <c r="Q5823">
        <v>2</v>
      </c>
      <c r="R5823" t="s">
        <v>45102</v>
      </c>
      <c r="S5823" t="s">
        <v>45242</v>
      </c>
      <c r="T5823" t="s">
        <v>47159</v>
      </c>
      <c r="U5823" t="s">
        <v>52355</v>
      </c>
      <c r="W5823" t="s">
        <v>41646</v>
      </c>
      <c r="X5823" t="s">
        <v>45103</v>
      </c>
    </row>
    <row r="5824" spans="1:24">
      <c r="A5824">
        <f>HYPERLINK("https://www.philgeps.gov.ph/GEPSNONPILOT/Tender/SplashBidNoticeAbstractUI.aspx?menuIndex=3&amp;refID=7039589&amp;Result=3","7039589")</f>
        <v>0</v>
      </c>
      <c r="B5824" t="s">
        <v>1338</v>
      </c>
      <c r="C5824" t="s">
        <v>8764</v>
      </c>
      <c r="D5824" t="s">
        <v>18043</v>
      </c>
      <c r="E5824" t="s">
        <v>23303</v>
      </c>
      <c r="F5824" t="s">
        <v>31574</v>
      </c>
      <c r="G5824" t="s">
        <v>31581</v>
      </c>
      <c r="H5824" t="s">
        <v>31590</v>
      </c>
      <c r="I5824" t="s">
        <v>31638</v>
      </c>
      <c r="J5824" t="s">
        <v>32019</v>
      </c>
      <c r="K5824" t="s">
        <v>41186</v>
      </c>
      <c r="M5824" t="s">
        <v>42910</v>
      </c>
      <c r="N5824" t="s">
        <v>45095</v>
      </c>
      <c r="O5824" t="s">
        <v>45096</v>
      </c>
      <c r="P5824">
        <v>0</v>
      </c>
      <c r="Q5824">
        <v>0</v>
      </c>
      <c r="R5824" t="s">
        <v>45102</v>
      </c>
      <c r="S5824" t="s">
        <v>45242</v>
      </c>
      <c r="T5824" t="s">
        <v>47106</v>
      </c>
      <c r="U5824" t="s">
        <v>52356</v>
      </c>
      <c r="V5824" t="s">
        <v>60224</v>
      </c>
      <c r="W5824" t="s">
        <v>42910</v>
      </c>
      <c r="X5824" t="s">
        <v>45103</v>
      </c>
    </row>
    <row r="5825" spans="1:24">
      <c r="A5825">
        <f>HYPERLINK("https://www.philgeps.gov.ph/GEPSNONPILOT/Tender/SplashBidNoticeAbstractUI.aspx?menuIndex=3&amp;refID=7039576&amp;Result=3","7039576")</f>
        <v>0</v>
      </c>
      <c r="B5825" t="s">
        <v>495</v>
      </c>
      <c r="C5825" t="s">
        <v>8765</v>
      </c>
      <c r="D5825" t="s">
        <v>18099</v>
      </c>
      <c r="E5825" t="s">
        <v>23304</v>
      </c>
      <c r="F5825" t="s">
        <v>31574</v>
      </c>
      <c r="G5825" t="s">
        <v>31581</v>
      </c>
      <c r="H5825" t="s">
        <v>31590</v>
      </c>
      <c r="I5825" t="s">
        <v>31605</v>
      </c>
      <c r="J5825" t="s">
        <v>35481</v>
      </c>
      <c r="K5825" t="s">
        <v>41190</v>
      </c>
      <c r="M5825" t="s">
        <v>41991</v>
      </c>
      <c r="N5825" t="s">
        <v>45095</v>
      </c>
      <c r="O5825" t="s">
        <v>45096</v>
      </c>
      <c r="P5825">
        <v>0</v>
      </c>
      <c r="Q5825">
        <v>0</v>
      </c>
      <c r="R5825" t="s">
        <v>45102</v>
      </c>
      <c r="S5825" t="s">
        <v>45242</v>
      </c>
      <c r="T5825" t="s">
        <v>47183</v>
      </c>
      <c r="U5825" t="s">
        <v>48472</v>
      </c>
      <c r="W5825" t="s">
        <v>41991</v>
      </c>
      <c r="X5825" t="s">
        <v>45103</v>
      </c>
    </row>
    <row r="5826" spans="1:24">
      <c r="A5826">
        <f>HYPERLINK("https://www.philgeps.gov.ph/GEPSNONPILOT/Tender/SplashBidNoticeAbstractUI.aspx?menuIndex=3&amp;refID=7039577&amp;Result=3","7039577")</f>
        <v>0</v>
      </c>
      <c r="B5826" t="s">
        <v>1863</v>
      </c>
      <c r="C5826" t="s">
        <v>8766</v>
      </c>
      <c r="D5826" t="s">
        <v>18052</v>
      </c>
      <c r="E5826" t="s">
        <v>23305</v>
      </c>
      <c r="F5826" t="s">
        <v>31574</v>
      </c>
      <c r="G5826" t="s">
        <v>31582</v>
      </c>
      <c r="H5826" t="s">
        <v>31590</v>
      </c>
      <c r="I5826" t="s">
        <v>14544</v>
      </c>
      <c r="J5826" t="s">
        <v>35482</v>
      </c>
      <c r="K5826" t="s">
        <v>41196</v>
      </c>
      <c r="M5826" t="s">
        <v>43502</v>
      </c>
      <c r="N5826" t="s">
        <v>45095</v>
      </c>
      <c r="O5826" t="s">
        <v>45096</v>
      </c>
      <c r="P5826">
        <v>0</v>
      </c>
      <c r="Q5826">
        <v>0</v>
      </c>
      <c r="R5826" t="s">
        <v>45102</v>
      </c>
      <c r="S5826" t="s">
        <v>45242</v>
      </c>
      <c r="T5826" t="s">
        <v>46963</v>
      </c>
      <c r="U5826" t="s">
        <v>52357</v>
      </c>
      <c r="W5826" t="s">
        <v>43502</v>
      </c>
      <c r="X5826" t="s">
        <v>45103</v>
      </c>
    </row>
    <row r="5827" spans="1:24">
      <c r="A5827">
        <f>HYPERLINK("https://www.philgeps.gov.ph/GEPSNONPILOT/Tender/SplashBidNoticeAbstractUI.aspx?menuIndex=3&amp;refID=7039579&amp;Result=3","7039579")</f>
        <v>0</v>
      </c>
      <c r="B5827" t="s">
        <v>1594</v>
      </c>
      <c r="C5827" t="s">
        <v>8767</v>
      </c>
      <c r="D5827" t="s">
        <v>18022</v>
      </c>
      <c r="E5827" t="s">
        <v>23306</v>
      </c>
      <c r="F5827" t="s">
        <v>31574</v>
      </c>
      <c r="G5827" t="s">
        <v>31584</v>
      </c>
      <c r="H5827" t="s">
        <v>31590</v>
      </c>
      <c r="I5827" t="s">
        <v>5717</v>
      </c>
      <c r="J5827" t="s">
        <v>35483</v>
      </c>
      <c r="K5827" t="s">
        <v>41190</v>
      </c>
      <c r="M5827" t="s">
        <v>43198</v>
      </c>
      <c r="N5827" t="s">
        <v>45095</v>
      </c>
      <c r="O5827" t="s">
        <v>45096</v>
      </c>
      <c r="P5827">
        <v>0</v>
      </c>
      <c r="Q5827">
        <v>6</v>
      </c>
      <c r="R5827" t="s">
        <v>45102</v>
      </c>
      <c r="S5827" t="s">
        <v>45242</v>
      </c>
      <c r="T5827" t="s">
        <v>47076</v>
      </c>
      <c r="U5827" t="s">
        <v>52358</v>
      </c>
      <c r="W5827" t="s">
        <v>43198</v>
      </c>
      <c r="X5827" t="s">
        <v>45103</v>
      </c>
    </row>
    <row r="5828" spans="1:24">
      <c r="A5828">
        <f>HYPERLINK("https://www.philgeps.gov.ph/GEPSNONPILOT/Tender/SplashBidNoticeAbstractUI.aspx?menuIndex=3&amp;refID=7039558&amp;Result=3","7039558")</f>
        <v>0</v>
      </c>
      <c r="B5828" t="s">
        <v>1847</v>
      </c>
      <c r="C5828" t="s">
        <v>8768</v>
      </c>
      <c r="D5828" t="s">
        <v>18022</v>
      </c>
      <c r="E5828" t="s">
        <v>19933</v>
      </c>
      <c r="F5828" t="s">
        <v>31574</v>
      </c>
      <c r="G5828" t="s">
        <v>31581</v>
      </c>
      <c r="H5828" t="s">
        <v>31592</v>
      </c>
      <c r="I5828" t="s">
        <v>31710</v>
      </c>
      <c r="J5828" t="s">
        <v>32008</v>
      </c>
      <c r="K5828" t="s">
        <v>41193</v>
      </c>
      <c r="M5828" t="s">
        <v>43485</v>
      </c>
      <c r="N5828" t="s">
        <v>45095</v>
      </c>
      <c r="O5828" t="s">
        <v>45096</v>
      </c>
      <c r="P5828">
        <v>0</v>
      </c>
      <c r="Q5828">
        <v>1</v>
      </c>
      <c r="R5828" t="s">
        <v>45102</v>
      </c>
      <c r="S5828" t="s">
        <v>45242</v>
      </c>
      <c r="T5828" t="s">
        <v>47125</v>
      </c>
      <c r="U5828" t="s">
        <v>52359</v>
      </c>
      <c r="W5828" t="s">
        <v>43485</v>
      </c>
      <c r="X5828" t="s">
        <v>45103</v>
      </c>
    </row>
    <row r="5829" spans="1:24">
      <c r="A5829">
        <f>HYPERLINK("https://www.philgeps.gov.ph/GEPSNONPILOT/Tender/SplashBidNoticeAbstractUI.aspx?menuIndex=3&amp;refID=7039587&amp;Result=3","7039587")</f>
        <v>0</v>
      </c>
      <c r="B5829" t="s">
        <v>1864</v>
      </c>
      <c r="C5829" t="s">
        <v>8769</v>
      </c>
      <c r="D5829" t="s">
        <v>18043</v>
      </c>
      <c r="E5829" t="s">
        <v>19079</v>
      </c>
      <c r="F5829" t="s">
        <v>31574</v>
      </c>
      <c r="G5829" t="s">
        <v>31581</v>
      </c>
      <c r="H5829" t="s">
        <v>31590</v>
      </c>
      <c r="I5829" t="s">
        <v>31626</v>
      </c>
      <c r="J5829" t="s">
        <v>31960</v>
      </c>
      <c r="K5829" t="s">
        <v>41191</v>
      </c>
      <c r="M5829" t="s">
        <v>43503</v>
      </c>
      <c r="N5829" t="s">
        <v>45095</v>
      </c>
      <c r="O5829" t="s">
        <v>45096</v>
      </c>
      <c r="P5829">
        <v>0</v>
      </c>
      <c r="Q5829">
        <v>7</v>
      </c>
      <c r="R5829" t="s">
        <v>45102</v>
      </c>
      <c r="S5829" t="s">
        <v>45242</v>
      </c>
      <c r="T5829" t="s">
        <v>46911</v>
      </c>
      <c r="U5829" t="s">
        <v>52360</v>
      </c>
      <c r="W5829" t="s">
        <v>43503</v>
      </c>
      <c r="X5829" t="s">
        <v>45103</v>
      </c>
    </row>
    <row r="5830" spans="1:24">
      <c r="A5830">
        <f>HYPERLINK("https://www.philgeps.gov.ph/GEPSNONPILOT/Tender/SplashBidNoticeAbstractUI.aspx?menuIndex=3&amp;refID=7039565&amp;Result=3","7039565")</f>
        <v>0</v>
      </c>
      <c r="B5830" t="s">
        <v>1406</v>
      </c>
      <c r="C5830" t="s">
        <v>8770</v>
      </c>
      <c r="D5830" t="s">
        <v>18071</v>
      </c>
      <c r="E5830" t="s">
        <v>23307</v>
      </c>
      <c r="F5830" t="s">
        <v>31574</v>
      </c>
      <c r="G5830" t="s">
        <v>31581</v>
      </c>
      <c r="H5830" t="s">
        <v>31590</v>
      </c>
      <c r="I5830" t="s">
        <v>31625</v>
      </c>
      <c r="J5830" t="s">
        <v>35484</v>
      </c>
      <c r="K5830" t="s">
        <v>41197</v>
      </c>
      <c r="M5830" t="s">
        <v>42982</v>
      </c>
      <c r="N5830" t="s">
        <v>45095</v>
      </c>
      <c r="O5830" t="s">
        <v>45096</v>
      </c>
      <c r="P5830">
        <v>0</v>
      </c>
      <c r="Q5830">
        <v>0</v>
      </c>
      <c r="R5830" t="s">
        <v>45102</v>
      </c>
      <c r="S5830" t="s">
        <v>45242</v>
      </c>
      <c r="T5830" t="s">
        <v>47050</v>
      </c>
      <c r="U5830" t="s">
        <v>52361</v>
      </c>
      <c r="V5830" t="s">
        <v>60465</v>
      </c>
      <c r="W5830" t="s">
        <v>42982</v>
      </c>
      <c r="X5830" t="s">
        <v>45103</v>
      </c>
    </row>
    <row r="5831" spans="1:24">
      <c r="A5831">
        <f>HYPERLINK("https://www.philgeps.gov.ph/GEPSNONPILOT/Tender/SplashBidNoticeAbstractUI.aspx?menuIndex=3&amp;refID=7039570&amp;Result=3","7039570")</f>
        <v>0</v>
      </c>
      <c r="B5831" t="s">
        <v>1860</v>
      </c>
      <c r="C5831" t="s">
        <v>8771</v>
      </c>
      <c r="D5831" t="s">
        <v>18058</v>
      </c>
      <c r="E5831" t="s">
        <v>21641</v>
      </c>
      <c r="F5831" t="s">
        <v>31574</v>
      </c>
      <c r="G5831" t="s">
        <v>31582</v>
      </c>
      <c r="H5831" t="s">
        <v>31590</v>
      </c>
      <c r="I5831" t="s">
        <v>31629</v>
      </c>
      <c r="J5831" t="s">
        <v>35485</v>
      </c>
      <c r="K5831" t="s">
        <v>41194</v>
      </c>
      <c r="M5831" t="s">
        <v>43498</v>
      </c>
      <c r="N5831" t="s">
        <v>45095</v>
      </c>
      <c r="O5831" t="s">
        <v>45096</v>
      </c>
      <c r="P5831">
        <v>0</v>
      </c>
      <c r="Q5831">
        <v>0</v>
      </c>
      <c r="R5831" t="s">
        <v>45102</v>
      </c>
      <c r="S5831" t="s">
        <v>45242</v>
      </c>
      <c r="T5831" t="s">
        <v>46969</v>
      </c>
      <c r="U5831" t="s">
        <v>52362</v>
      </c>
      <c r="W5831" t="s">
        <v>43498</v>
      </c>
      <c r="X5831" t="s">
        <v>45103</v>
      </c>
    </row>
    <row r="5832" spans="1:24">
      <c r="A5832">
        <f>HYPERLINK("https://www.philgeps.gov.ph/GEPSNONPILOT/Tender/SplashBidNoticeAbstractUI.aspx?menuIndex=3&amp;refID=7039585&amp;Result=3","7039585")</f>
        <v>0</v>
      </c>
      <c r="B5832" t="s">
        <v>1865</v>
      </c>
      <c r="C5832" t="s">
        <v>8772</v>
      </c>
      <c r="D5832" t="s">
        <v>18027</v>
      </c>
      <c r="E5832" t="s">
        <v>23308</v>
      </c>
      <c r="F5832" t="s">
        <v>31574</v>
      </c>
      <c r="G5832" t="s">
        <v>31581</v>
      </c>
      <c r="H5832" t="s">
        <v>31590</v>
      </c>
      <c r="I5832" t="s">
        <v>31619</v>
      </c>
      <c r="J5832" t="s">
        <v>32697</v>
      </c>
      <c r="K5832" t="s">
        <v>41186</v>
      </c>
      <c r="M5832" t="s">
        <v>43504</v>
      </c>
      <c r="N5832" t="s">
        <v>45095</v>
      </c>
      <c r="O5832" t="s">
        <v>45096</v>
      </c>
      <c r="P5832">
        <v>0</v>
      </c>
      <c r="Q5832">
        <v>2</v>
      </c>
      <c r="R5832" t="s">
        <v>45102</v>
      </c>
      <c r="S5832" t="s">
        <v>45242</v>
      </c>
      <c r="T5832" t="s">
        <v>46904</v>
      </c>
      <c r="U5832" t="s">
        <v>52363</v>
      </c>
      <c r="W5832" t="s">
        <v>43504</v>
      </c>
      <c r="X5832" t="s">
        <v>45103</v>
      </c>
    </row>
    <row r="5833" spans="1:24">
      <c r="A5833">
        <f>HYPERLINK("https://www.philgeps.gov.ph/GEPSNONPILOT/Tender/SplashBidNoticeAbstractUI.aspx?menuIndex=3&amp;refID=7039566&amp;Result=3","7039566")</f>
        <v>0</v>
      </c>
      <c r="B5833" t="s">
        <v>105</v>
      </c>
      <c r="C5833" t="s">
        <v>8773</v>
      </c>
      <c r="D5833" t="s">
        <v>18062</v>
      </c>
      <c r="E5833" t="s">
        <v>23309</v>
      </c>
      <c r="F5833" t="s">
        <v>31574</v>
      </c>
      <c r="G5833" t="s">
        <v>31581</v>
      </c>
      <c r="H5833" t="s">
        <v>31590</v>
      </c>
      <c r="I5833" t="s">
        <v>4327</v>
      </c>
      <c r="J5833" t="s">
        <v>32041</v>
      </c>
      <c r="K5833" t="s">
        <v>41196</v>
      </c>
      <c r="M5833" t="s">
        <v>41589</v>
      </c>
      <c r="N5833" t="s">
        <v>45095</v>
      </c>
      <c r="O5833" t="s">
        <v>45096</v>
      </c>
      <c r="P5833">
        <v>0</v>
      </c>
      <c r="Q5833">
        <v>5</v>
      </c>
      <c r="R5833" t="s">
        <v>45102</v>
      </c>
      <c r="S5833" t="s">
        <v>45242</v>
      </c>
      <c r="T5833" t="s">
        <v>46932</v>
      </c>
      <c r="U5833" t="s">
        <v>52364</v>
      </c>
      <c r="W5833" t="s">
        <v>41589</v>
      </c>
      <c r="X5833" t="s">
        <v>45103</v>
      </c>
    </row>
    <row r="5834" spans="1:24">
      <c r="A5834">
        <f>HYPERLINK("https://www.philgeps.gov.ph/GEPSNONPILOT/Tender/SplashBidNoticeAbstractUI.aspx?menuIndex=3&amp;refID=7039599&amp;Result=3","7039599")</f>
        <v>0</v>
      </c>
      <c r="B5834" t="s">
        <v>1785</v>
      </c>
      <c r="C5834" t="s">
        <v>8774</v>
      </c>
      <c r="D5834" t="s">
        <v>18026</v>
      </c>
      <c r="E5834" t="s">
        <v>8774</v>
      </c>
      <c r="F5834" t="s">
        <v>31574</v>
      </c>
      <c r="G5834" t="s">
        <v>31581</v>
      </c>
      <c r="H5834" t="s">
        <v>31590</v>
      </c>
      <c r="I5834" t="s">
        <v>4046</v>
      </c>
      <c r="J5834" t="s">
        <v>35486</v>
      </c>
      <c r="K5834" t="s">
        <v>41186</v>
      </c>
      <c r="M5834" t="s">
        <v>43415</v>
      </c>
      <c r="N5834" t="s">
        <v>45095</v>
      </c>
      <c r="O5834" t="s">
        <v>45096</v>
      </c>
      <c r="P5834">
        <v>0</v>
      </c>
      <c r="Q5834">
        <v>2</v>
      </c>
      <c r="R5834" t="s">
        <v>45102</v>
      </c>
      <c r="S5834" t="s">
        <v>45242</v>
      </c>
      <c r="T5834" t="s">
        <v>46985</v>
      </c>
      <c r="U5834" t="s">
        <v>52339</v>
      </c>
      <c r="W5834" t="s">
        <v>43415</v>
      </c>
      <c r="X5834" t="s">
        <v>45103</v>
      </c>
    </row>
    <row r="5835" spans="1:24">
      <c r="A5835">
        <f>HYPERLINK("https://www.philgeps.gov.ph/GEPSNONPILOT/Tender/SplashBidNoticeAbstractUI.aspx?menuIndex=3&amp;refID=7039600&amp;Result=3","7039600")</f>
        <v>0</v>
      </c>
      <c r="B5835" t="s">
        <v>1794</v>
      </c>
      <c r="C5835" t="s">
        <v>8775</v>
      </c>
      <c r="D5835" t="s">
        <v>18067</v>
      </c>
      <c r="E5835" t="s">
        <v>19859</v>
      </c>
      <c r="F5835" t="s">
        <v>31574</v>
      </c>
      <c r="G5835" t="s">
        <v>31582</v>
      </c>
      <c r="H5835" t="s">
        <v>31591</v>
      </c>
      <c r="I5835" t="s">
        <v>8822</v>
      </c>
      <c r="J5835" t="s">
        <v>31771</v>
      </c>
      <c r="K5835" t="s">
        <v>41243</v>
      </c>
      <c r="M5835" t="s">
        <v>43425</v>
      </c>
      <c r="N5835" t="s">
        <v>45095</v>
      </c>
      <c r="O5835" t="s">
        <v>45096</v>
      </c>
      <c r="P5835">
        <v>0</v>
      </c>
      <c r="Q5835">
        <v>0</v>
      </c>
      <c r="R5835" t="s">
        <v>45102</v>
      </c>
      <c r="S5835" t="s">
        <v>45242</v>
      </c>
      <c r="T5835" t="s">
        <v>47269</v>
      </c>
      <c r="U5835" t="s">
        <v>52365</v>
      </c>
      <c r="W5835" t="s">
        <v>43425</v>
      </c>
      <c r="X5835" t="s">
        <v>45103</v>
      </c>
    </row>
    <row r="5836" spans="1:24">
      <c r="A5836">
        <f>HYPERLINK("https://www.philgeps.gov.ph/GEPSNONPILOT/Tender/SplashBidNoticeAbstractUI.aspx?menuIndex=3&amp;refID=7039594&amp;Result=3","7039594")</f>
        <v>0</v>
      </c>
      <c r="B5836" t="s">
        <v>1866</v>
      </c>
      <c r="C5836" t="s">
        <v>8776</v>
      </c>
      <c r="D5836" t="s">
        <v>18047</v>
      </c>
      <c r="E5836" t="s">
        <v>23310</v>
      </c>
      <c r="F5836" t="s">
        <v>31574</v>
      </c>
      <c r="G5836" t="s">
        <v>31582</v>
      </c>
      <c r="H5836" t="s">
        <v>31592</v>
      </c>
      <c r="I5836" t="s">
        <v>14544</v>
      </c>
      <c r="J5836" t="s">
        <v>35487</v>
      </c>
      <c r="K5836" t="s">
        <v>41193</v>
      </c>
      <c r="M5836" t="s">
        <v>43505</v>
      </c>
      <c r="N5836" t="s">
        <v>45095</v>
      </c>
      <c r="O5836" t="s">
        <v>45096</v>
      </c>
      <c r="P5836">
        <v>0</v>
      </c>
      <c r="Q5836">
        <v>0</v>
      </c>
      <c r="R5836" t="s">
        <v>45102</v>
      </c>
      <c r="S5836" t="s">
        <v>45242</v>
      </c>
      <c r="T5836" t="s">
        <v>46911</v>
      </c>
      <c r="U5836" t="s">
        <v>52366</v>
      </c>
      <c r="W5836" t="s">
        <v>43505</v>
      </c>
      <c r="X5836" t="s">
        <v>45103</v>
      </c>
    </row>
    <row r="5837" spans="1:24">
      <c r="A5837">
        <f>HYPERLINK("https://www.philgeps.gov.ph/GEPSNONPILOT/Tender/SplashBidNoticeAbstractUI.aspx?menuIndex=3&amp;refID=7039564&amp;Result=3","7039564")</f>
        <v>0</v>
      </c>
      <c r="B5837" t="s">
        <v>1229</v>
      </c>
      <c r="C5837" t="s">
        <v>8777</v>
      </c>
      <c r="D5837" t="s">
        <v>18022</v>
      </c>
      <c r="E5837" t="s">
        <v>23311</v>
      </c>
      <c r="F5837" t="s">
        <v>31574</v>
      </c>
      <c r="G5837" t="s">
        <v>31582</v>
      </c>
      <c r="H5837" t="s">
        <v>31590</v>
      </c>
      <c r="I5837" t="s">
        <v>6800</v>
      </c>
      <c r="J5837" t="s">
        <v>35488</v>
      </c>
      <c r="K5837" t="s">
        <v>41193</v>
      </c>
      <c r="M5837" t="s">
        <v>42791</v>
      </c>
      <c r="N5837" t="s">
        <v>45095</v>
      </c>
      <c r="O5837" t="s">
        <v>45096</v>
      </c>
      <c r="P5837">
        <v>0</v>
      </c>
      <c r="Q5837">
        <v>0</v>
      </c>
      <c r="R5837" t="s">
        <v>45102</v>
      </c>
      <c r="S5837" t="s">
        <v>45242</v>
      </c>
      <c r="T5837" t="s">
        <v>47010</v>
      </c>
      <c r="U5837" t="s">
        <v>52292</v>
      </c>
      <c r="W5837" t="s">
        <v>42791</v>
      </c>
      <c r="X5837" t="s">
        <v>45103</v>
      </c>
    </row>
    <row r="5838" spans="1:24">
      <c r="A5838">
        <f>HYPERLINK("https://www.philgeps.gov.ph/GEPSNONPILOT/Tender/SplashBidNoticeAbstractUI.aspx?menuIndex=3&amp;refID=7039590&amp;Result=3","7039590")</f>
        <v>0</v>
      </c>
      <c r="B5838" t="s">
        <v>1854</v>
      </c>
      <c r="C5838" t="s">
        <v>8778</v>
      </c>
      <c r="D5838" t="s">
        <v>18083</v>
      </c>
      <c r="E5838" t="s">
        <v>23312</v>
      </c>
      <c r="F5838" t="s">
        <v>31574</v>
      </c>
      <c r="G5838" t="s">
        <v>31582</v>
      </c>
      <c r="H5838" t="s">
        <v>31590</v>
      </c>
      <c r="I5838" t="s">
        <v>4327</v>
      </c>
      <c r="J5838" t="s">
        <v>31728</v>
      </c>
      <c r="K5838" t="s">
        <v>41196</v>
      </c>
      <c r="M5838" t="s">
        <v>43492</v>
      </c>
      <c r="N5838" t="s">
        <v>45095</v>
      </c>
      <c r="O5838" t="s">
        <v>45096</v>
      </c>
      <c r="P5838">
        <v>0</v>
      </c>
      <c r="Q5838">
        <v>0</v>
      </c>
      <c r="R5838" t="s">
        <v>45102</v>
      </c>
      <c r="S5838" t="s">
        <v>45242</v>
      </c>
      <c r="T5838" t="s">
        <v>46965</v>
      </c>
      <c r="U5838" t="s">
        <v>52367</v>
      </c>
      <c r="W5838" t="s">
        <v>43492</v>
      </c>
      <c r="X5838" t="s">
        <v>45103</v>
      </c>
    </row>
    <row r="5839" spans="1:24">
      <c r="A5839">
        <f>HYPERLINK("https://www.philgeps.gov.ph/GEPSNONPILOT/Tender/SplashBidNoticeAbstractUI.aspx?menuIndex=3&amp;refID=7039591&amp;Result=3","7039591")</f>
        <v>0</v>
      </c>
      <c r="B5839" t="s">
        <v>1867</v>
      </c>
      <c r="C5839" t="s">
        <v>8779</v>
      </c>
      <c r="E5839" t="s">
        <v>18626</v>
      </c>
      <c r="F5839" t="s">
        <v>31574</v>
      </c>
      <c r="G5839" t="s">
        <v>31588</v>
      </c>
      <c r="H5839" t="s">
        <v>31590</v>
      </c>
      <c r="I5839" t="s">
        <v>31596</v>
      </c>
      <c r="J5839" t="s">
        <v>35489</v>
      </c>
      <c r="K5839" t="s">
        <v>41184</v>
      </c>
      <c r="M5839" t="s">
        <v>43506</v>
      </c>
      <c r="N5839" t="s">
        <v>45095</v>
      </c>
      <c r="O5839" t="s">
        <v>45096</v>
      </c>
      <c r="P5839">
        <v>0</v>
      </c>
      <c r="Q5839">
        <v>4</v>
      </c>
      <c r="R5839" t="s">
        <v>45102</v>
      </c>
      <c r="S5839" t="s">
        <v>45242</v>
      </c>
      <c r="T5839" t="s">
        <v>47093</v>
      </c>
      <c r="U5839" t="s">
        <v>52368</v>
      </c>
      <c r="W5839" t="s">
        <v>43506</v>
      </c>
      <c r="X5839" t="s">
        <v>45103</v>
      </c>
    </row>
    <row r="5840" spans="1:24">
      <c r="A5840">
        <f>HYPERLINK("https://www.philgeps.gov.ph/GEPSNONPILOT/Tender/SplashBidNoticeAbstractUI.aspx?menuIndex=3&amp;refID=7039601&amp;Result=3","7039601")</f>
        <v>0</v>
      </c>
      <c r="B5840" t="s">
        <v>1229</v>
      </c>
      <c r="C5840" t="s">
        <v>8780</v>
      </c>
      <c r="D5840" t="s">
        <v>18022</v>
      </c>
      <c r="E5840" t="s">
        <v>23313</v>
      </c>
      <c r="F5840" t="s">
        <v>31574</v>
      </c>
      <c r="G5840" t="s">
        <v>31582</v>
      </c>
      <c r="H5840" t="s">
        <v>31590</v>
      </c>
      <c r="I5840" t="s">
        <v>3651</v>
      </c>
      <c r="J5840" t="s">
        <v>32049</v>
      </c>
      <c r="K5840" t="s">
        <v>41193</v>
      </c>
      <c r="M5840" t="s">
        <v>42791</v>
      </c>
      <c r="N5840" t="s">
        <v>45095</v>
      </c>
      <c r="O5840" t="s">
        <v>45096</v>
      </c>
      <c r="P5840">
        <v>0</v>
      </c>
      <c r="Q5840">
        <v>0</v>
      </c>
      <c r="R5840" t="s">
        <v>45102</v>
      </c>
      <c r="S5840" t="s">
        <v>45242</v>
      </c>
      <c r="T5840" t="s">
        <v>47010</v>
      </c>
      <c r="U5840" t="s">
        <v>52311</v>
      </c>
      <c r="W5840" t="s">
        <v>42791</v>
      </c>
      <c r="X5840" t="s">
        <v>45103</v>
      </c>
    </row>
    <row r="5841" spans="1:24">
      <c r="A5841">
        <f>HYPERLINK("https://www.philgeps.gov.ph/GEPSNONPILOT/Tender/SplashBidNoticeAbstractUI.aspx?menuIndex=3&amp;refID=7039621&amp;Result=3","7039621")</f>
        <v>0</v>
      </c>
      <c r="B5841" t="s">
        <v>105</v>
      </c>
      <c r="C5841" t="s">
        <v>8781</v>
      </c>
      <c r="D5841" t="s">
        <v>18062</v>
      </c>
      <c r="E5841" t="s">
        <v>23314</v>
      </c>
      <c r="F5841" t="s">
        <v>31574</v>
      </c>
      <c r="G5841" t="s">
        <v>31582</v>
      </c>
      <c r="H5841" t="s">
        <v>31590</v>
      </c>
      <c r="I5841" t="s">
        <v>31612</v>
      </c>
      <c r="J5841" t="s">
        <v>35490</v>
      </c>
      <c r="K5841" t="s">
        <v>41191</v>
      </c>
      <c r="M5841" t="s">
        <v>41589</v>
      </c>
      <c r="N5841" t="s">
        <v>45095</v>
      </c>
      <c r="O5841" t="s">
        <v>45096</v>
      </c>
      <c r="P5841">
        <v>0</v>
      </c>
      <c r="Q5841">
        <v>1</v>
      </c>
      <c r="R5841" t="s">
        <v>45102</v>
      </c>
      <c r="S5841" t="s">
        <v>45242</v>
      </c>
      <c r="T5841" t="s">
        <v>46954</v>
      </c>
      <c r="U5841" t="s">
        <v>52369</v>
      </c>
      <c r="W5841" t="s">
        <v>41589</v>
      </c>
      <c r="X5841" t="s">
        <v>45103</v>
      </c>
    </row>
    <row r="5842" spans="1:24">
      <c r="A5842">
        <f>HYPERLINK("https://www.philgeps.gov.ph/GEPSNONPILOT/Tender/SplashBidNoticeAbstractUI.aspx?menuIndex=3&amp;refID=7039593&amp;Result=3","7039593")</f>
        <v>0</v>
      </c>
      <c r="B5842" t="s">
        <v>1868</v>
      </c>
      <c r="C5842" t="s">
        <v>8782</v>
      </c>
      <c r="D5842" t="s">
        <v>18079</v>
      </c>
      <c r="E5842" t="s">
        <v>23315</v>
      </c>
      <c r="F5842" t="s">
        <v>31574</v>
      </c>
      <c r="G5842" t="s">
        <v>31582</v>
      </c>
      <c r="H5842" t="s">
        <v>31590</v>
      </c>
      <c r="I5842" t="s">
        <v>31599</v>
      </c>
      <c r="J5842" t="s">
        <v>31947</v>
      </c>
      <c r="K5842" t="s">
        <v>41186</v>
      </c>
      <c r="M5842" t="s">
        <v>43507</v>
      </c>
      <c r="N5842" t="s">
        <v>45095</v>
      </c>
      <c r="O5842" t="s">
        <v>45096</v>
      </c>
      <c r="P5842">
        <v>0</v>
      </c>
      <c r="Q5842">
        <v>0</v>
      </c>
      <c r="R5842" t="s">
        <v>45102</v>
      </c>
      <c r="S5842" t="s">
        <v>45242</v>
      </c>
      <c r="T5842" t="s">
        <v>46977</v>
      </c>
      <c r="U5842" t="s">
        <v>52370</v>
      </c>
      <c r="W5842" t="s">
        <v>43507</v>
      </c>
      <c r="X5842" t="s">
        <v>45103</v>
      </c>
    </row>
    <row r="5843" spans="1:24">
      <c r="A5843">
        <f>HYPERLINK("https://www.philgeps.gov.ph/GEPSNONPILOT/Tender/SplashBidNoticeAbstractUI.aspx?menuIndex=3&amp;refID=7039603&amp;Result=3","7039603")</f>
        <v>0</v>
      </c>
      <c r="B5843" t="s">
        <v>1869</v>
      </c>
      <c r="C5843" t="s">
        <v>8783</v>
      </c>
      <c r="D5843" t="s">
        <v>18044</v>
      </c>
      <c r="E5843" t="s">
        <v>23316</v>
      </c>
      <c r="F5843" t="s">
        <v>31574</v>
      </c>
      <c r="G5843" t="s">
        <v>31581</v>
      </c>
      <c r="H5843" t="s">
        <v>31590</v>
      </c>
      <c r="I5843" t="s">
        <v>31603</v>
      </c>
      <c r="J5843" t="s">
        <v>31780</v>
      </c>
      <c r="K5843" t="s">
        <v>41186</v>
      </c>
      <c r="M5843" t="s">
        <v>43508</v>
      </c>
      <c r="N5843" t="s">
        <v>45095</v>
      </c>
      <c r="O5843" t="s">
        <v>45096</v>
      </c>
      <c r="P5843">
        <v>0</v>
      </c>
      <c r="Q5843">
        <v>4</v>
      </c>
      <c r="R5843" t="s">
        <v>45102</v>
      </c>
      <c r="S5843" t="s">
        <v>45242</v>
      </c>
      <c r="T5843" t="s">
        <v>47159</v>
      </c>
      <c r="U5843" t="s">
        <v>52371</v>
      </c>
      <c r="V5843" t="s">
        <v>60466</v>
      </c>
      <c r="W5843" t="s">
        <v>43508</v>
      </c>
      <c r="X5843" t="s">
        <v>45103</v>
      </c>
    </row>
    <row r="5844" spans="1:24">
      <c r="A5844">
        <f>HYPERLINK("https://www.philgeps.gov.ph/GEPSNONPILOT/Tender/SplashBidNoticeAbstractUI.aspx?menuIndex=3&amp;refID=7039615&amp;Result=3","7039615")</f>
        <v>0</v>
      </c>
      <c r="B5844" t="s">
        <v>1832</v>
      </c>
      <c r="C5844" t="s">
        <v>8784</v>
      </c>
      <c r="D5844" t="s">
        <v>18034</v>
      </c>
      <c r="E5844" t="s">
        <v>23317</v>
      </c>
      <c r="F5844" t="s">
        <v>31574</v>
      </c>
      <c r="G5844" t="s">
        <v>31582</v>
      </c>
      <c r="H5844" t="s">
        <v>31590</v>
      </c>
      <c r="I5844" t="s">
        <v>3651</v>
      </c>
      <c r="J5844" t="s">
        <v>32258</v>
      </c>
      <c r="K5844" t="s">
        <v>41184</v>
      </c>
      <c r="M5844" t="s">
        <v>43468</v>
      </c>
      <c r="N5844" t="s">
        <v>45095</v>
      </c>
      <c r="O5844" t="s">
        <v>45096</v>
      </c>
      <c r="P5844">
        <v>0</v>
      </c>
      <c r="Q5844">
        <v>1</v>
      </c>
      <c r="R5844" t="s">
        <v>45102</v>
      </c>
      <c r="S5844" t="s">
        <v>45242</v>
      </c>
      <c r="T5844" t="s">
        <v>46973</v>
      </c>
      <c r="U5844" t="s">
        <v>52372</v>
      </c>
      <c r="W5844" t="s">
        <v>43468</v>
      </c>
      <c r="X5844" t="s">
        <v>45103</v>
      </c>
    </row>
    <row r="5845" spans="1:24">
      <c r="A5845">
        <f>HYPERLINK("https://www.philgeps.gov.ph/GEPSNONPILOT/Tender/SplashBidNoticeAbstractUI.aspx?menuIndex=3&amp;refID=7039598&amp;Result=3","7039598")</f>
        <v>0</v>
      </c>
      <c r="B5845" t="s">
        <v>1860</v>
      </c>
      <c r="C5845" t="s">
        <v>8785</v>
      </c>
      <c r="D5845" t="s">
        <v>18058</v>
      </c>
      <c r="E5845" t="s">
        <v>21659</v>
      </c>
      <c r="F5845" t="s">
        <v>31574</v>
      </c>
      <c r="G5845" t="s">
        <v>31582</v>
      </c>
      <c r="H5845" t="s">
        <v>31590</v>
      </c>
      <c r="I5845" t="s">
        <v>31600</v>
      </c>
      <c r="J5845" t="s">
        <v>35491</v>
      </c>
      <c r="K5845" t="s">
        <v>41186</v>
      </c>
      <c r="M5845" t="s">
        <v>43498</v>
      </c>
      <c r="N5845" t="s">
        <v>45095</v>
      </c>
      <c r="O5845" t="s">
        <v>45096</v>
      </c>
      <c r="P5845">
        <v>0</v>
      </c>
      <c r="Q5845">
        <v>1</v>
      </c>
      <c r="R5845" t="s">
        <v>45102</v>
      </c>
      <c r="S5845" t="s">
        <v>45242</v>
      </c>
      <c r="T5845" t="s">
        <v>46969</v>
      </c>
      <c r="U5845" t="s">
        <v>52373</v>
      </c>
      <c r="W5845" t="s">
        <v>43498</v>
      </c>
      <c r="X5845" t="s">
        <v>45103</v>
      </c>
    </row>
    <row r="5846" spans="1:24">
      <c r="A5846">
        <f>HYPERLINK("https://www.philgeps.gov.ph/GEPSNONPILOT/Tender/SplashBidNoticeAbstractUI.aspx?menuIndex=3&amp;refID=7039618&amp;Result=3","7039618")</f>
        <v>0</v>
      </c>
      <c r="B5846" t="s">
        <v>1785</v>
      </c>
      <c r="C5846" t="s">
        <v>8786</v>
      </c>
      <c r="D5846" t="s">
        <v>18026</v>
      </c>
      <c r="E5846" t="s">
        <v>8786</v>
      </c>
      <c r="F5846" t="s">
        <v>31574</v>
      </c>
      <c r="G5846" t="s">
        <v>31581</v>
      </c>
      <c r="H5846" t="s">
        <v>31590</v>
      </c>
      <c r="I5846" t="s">
        <v>4046</v>
      </c>
      <c r="J5846" t="s">
        <v>35492</v>
      </c>
      <c r="K5846" t="s">
        <v>41186</v>
      </c>
      <c r="M5846" t="s">
        <v>43415</v>
      </c>
      <c r="N5846" t="s">
        <v>45095</v>
      </c>
      <c r="O5846" t="s">
        <v>45096</v>
      </c>
      <c r="P5846">
        <v>0</v>
      </c>
      <c r="Q5846">
        <v>2</v>
      </c>
      <c r="R5846" t="s">
        <v>45102</v>
      </c>
      <c r="S5846" t="s">
        <v>45242</v>
      </c>
      <c r="T5846" t="s">
        <v>46985</v>
      </c>
      <c r="U5846" t="s">
        <v>52339</v>
      </c>
      <c r="W5846" t="s">
        <v>43415</v>
      </c>
      <c r="X5846" t="s">
        <v>45103</v>
      </c>
    </row>
    <row r="5847" spans="1:24">
      <c r="A5847">
        <f>HYPERLINK("https://www.philgeps.gov.ph/GEPSNONPILOT/Tender/SplashBidNoticeAbstractUI.aspx?menuIndex=3&amp;refID=7039612&amp;Result=3","7039612")</f>
        <v>0</v>
      </c>
      <c r="B5847" t="s">
        <v>1338</v>
      </c>
      <c r="C5847" t="s">
        <v>8787</v>
      </c>
      <c r="D5847" t="s">
        <v>18043</v>
      </c>
      <c r="E5847" t="s">
        <v>23318</v>
      </c>
      <c r="F5847" t="s">
        <v>31574</v>
      </c>
      <c r="G5847" t="s">
        <v>31581</v>
      </c>
      <c r="H5847" t="s">
        <v>31590</v>
      </c>
      <c r="I5847" t="s">
        <v>31638</v>
      </c>
      <c r="J5847" t="s">
        <v>35493</v>
      </c>
      <c r="K5847" t="s">
        <v>41186</v>
      </c>
      <c r="M5847" t="s">
        <v>42910</v>
      </c>
      <c r="N5847" t="s">
        <v>45095</v>
      </c>
      <c r="O5847" t="s">
        <v>45096</v>
      </c>
      <c r="P5847">
        <v>0</v>
      </c>
      <c r="Q5847">
        <v>0</v>
      </c>
      <c r="R5847" t="s">
        <v>45102</v>
      </c>
      <c r="S5847" t="s">
        <v>45242</v>
      </c>
      <c r="T5847" t="s">
        <v>47106</v>
      </c>
      <c r="U5847" t="s">
        <v>52374</v>
      </c>
      <c r="V5847" t="s">
        <v>60224</v>
      </c>
      <c r="W5847" t="s">
        <v>42910</v>
      </c>
      <c r="X5847" t="s">
        <v>45103</v>
      </c>
    </row>
    <row r="5848" spans="1:24">
      <c r="A5848">
        <f>HYPERLINK("https://www.philgeps.gov.ph/GEPSNONPILOT/Tender/SplashBidNoticeAbstractUI.aspx?menuIndex=3&amp;refID=7039617&amp;Result=3","7039617")</f>
        <v>0</v>
      </c>
      <c r="B5848" t="s">
        <v>1229</v>
      </c>
      <c r="C5848" t="s">
        <v>8788</v>
      </c>
      <c r="D5848" t="s">
        <v>18022</v>
      </c>
      <c r="E5848" t="s">
        <v>23319</v>
      </c>
      <c r="F5848" t="s">
        <v>31574</v>
      </c>
      <c r="G5848" t="s">
        <v>31582</v>
      </c>
      <c r="H5848" t="s">
        <v>31590</v>
      </c>
      <c r="I5848" t="s">
        <v>3487</v>
      </c>
      <c r="J5848" t="s">
        <v>35494</v>
      </c>
      <c r="K5848" t="s">
        <v>41193</v>
      </c>
      <c r="M5848" t="s">
        <v>42791</v>
      </c>
      <c r="N5848" t="s">
        <v>45095</v>
      </c>
      <c r="O5848" t="s">
        <v>45096</v>
      </c>
      <c r="P5848">
        <v>0</v>
      </c>
      <c r="Q5848">
        <v>0</v>
      </c>
      <c r="R5848" t="s">
        <v>45102</v>
      </c>
      <c r="S5848" t="s">
        <v>45242</v>
      </c>
      <c r="T5848" t="s">
        <v>47010</v>
      </c>
      <c r="U5848" t="s">
        <v>50409</v>
      </c>
      <c r="W5848" t="s">
        <v>42791</v>
      </c>
      <c r="X5848" t="s">
        <v>45103</v>
      </c>
    </row>
    <row r="5849" spans="1:24">
      <c r="A5849">
        <f>HYPERLINK("https://www.philgeps.gov.ph/GEPSNONPILOT/Tender/SplashBidNoticeAbstractUI.aspx?menuIndex=3&amp;refID=7039619&amp;Result=3","7039619")</f>
        <v>0</v>
      </c>
      <c r="B5849" t="s">
        <v>847</v>
      </c>
      <c r="C5849" t="s">
        <v>8789</v>
      </c>
      <c r="D5849" t="s">
        <v>18053</v>
      </c>
      <c r="E5849" t="s">
        <v>23320</v>
      </c>
      <c r="F5849" t="s">
        <v>31574</v>
      </c>
      <c r="G5849" t="s">
        <v>31581</v>
      </c>
      <c r="H5849" t="s">
        <v>31593</v>
      </c>
      <c r="I5849" t="s">
        <v>31664</v>
      </c>
      <c r="J5849" t="s">
        <v>35495</v>
      </c>
      <c r="K5849" t="s">
        <v>41196</v>
      </c>
      <c r="M5849" t="s">
        <v>43509</v>
      </c>
      <c r="N5849" t="s">
        <v>45095</v>
      </c>
      <c r="O5849" t="s">
        <v>45096</v>
      </c>
      <c r="Q5849">
        <v>1</v>
      </c>
      <c r="R5849" t="s">
        <v>45102</v>
      </c>
      <c r="S5849" t="s">
        <v>45261</v>
      </c>
      <c r="T5849" t="s">
        <v>47159</v>
      </c>
      <c r="U5849" t="s">
        <v>52375</v>
      </c>
      <c r="V5849" t="s">
        <v>60467</v>
      </c>
      <c r="W5849" t="s">
        <v>43509</v>
      </c>
      <c r="X5849" t="s">
        <v>45103</v>
      </c>
    </row>
    <row r="5850" spans="1:24">
      <c r="A5850">
        <f>HYPERLINK("https://www.philgeps.gov.ph/GEPSNONPILOT/Tender/SplashBidNoticeAbstractUI.aspx?menuIndex=3&amp;refID=7039605&amp;Result=3","7039605")</f>
        <v>0</v>
      </c>
      <c r="B5850" t="s">
        <v>1870</v>
      </c>
      <c r="C5850" t="s">
        <v>7178</v>
      </c>
      <c r="D5850" t="s">
        <v>18035</v>
      </c>
      <c r="E5850" t="s">
        <v>23321</v>
      </c>
      <c r="F5850" t="s">
        <v>31574</v>
      </c>
      <c r="G5850" t="s">
        <v>31582</v>
      </c>
      <c r="H5850" t="s">
        <v>31590</v>
      </c>
      <c r="I5850" t="s">
        <v>7185</v>
      </c>
      <c r="J5850" t="s">
        <v>31727</v>
      </c>
      <c r="K5850" t="s">
        <v>41184</v>
      </c>
      <c r="M5850" t="s">
        <v>43510</v>
      </c>
      <c r="N5850" t="s">
        <v>45095</v>
      </c>
      <c r="O5850" t="s">
        <v>45096</v>
      </c>
      <c r="P5850">
        <v>0</v>
      </c>
      <c r="Q5850">
        <v>3</v>
      </c>
      <c r="R5850" t="s">
        <v>45102</v>
      </c>
      <c r="S5850" t="s">
        <v>45242</v>
      </c>
      <c r="T5850" t="s">
        <v>46957</v>
      </c>
      <c r="U5850" t="s">
        <v>52376</v>
      </c>
      <c r="V5850" t="s">
        <v>60468</v>
      </c>
      <c r="W5850" t="s">
        <v>43510</v>
      </c>
      <c r="X5850" t="s">
        <v>45103</v>
      </c>
    </row>
    <row r="5851" spans="1:24">
      <c r="A5851">
        <f>HYPERLINK("https://www.philgeps.gov.ph/GEPSNONPILOT/Tender/SplashBidNoticeAbstractUI.aspx?menuIndex=3&amp;refID=7039611&amp;Result=3","7039611")</f>
        <v>0</v>
      </c>
      <c r="B5851" t="s">
        <v>1860</v>
      </c>
      <c r="C5851" t="s">
        <v>8790</v>
      </c>
      <c r="D5851" t="s">
        <v>18058</v>
      </c>
      <c r="E5851" t="s">
        <v>21654</v>
      </c>
      <c r="F5851" t="s">
        <v>31574</v>
      </c>
      <c r="G5851" t="s">
        <v>31582</v>
      </c>
      <c r="H5851" t="s">
        <v>31590</v>
      </c>
      <c r="I5851" t="s">
        <v>31602</v>
      </c>
      <c r="J5851" t="s">
        <v>35496</v>
      </c>
      <c r="K5851" t="s">
        <v>41194</v>
      </c>
      <c r="M5851" t="s">
        <v>43498</v>
      </c>
      <c r="N5851" t="s">
        <v>45095</v>
      </c>
      <c r="O5851" t="s">
        <v>45096</v>
      </c>
      <c r="P5851">
        <v>0</v>
      </c>
      <c r="Q5851">
        <v>0</v>
      </c>
      <c r="R5851" t="s">
        <v>45102</v>
      </c>
      <c r="S5851" t="s">
        <v>45242</v>
      </c>
      <c r="T5851" t="s">
        <v>46969</v>
      </c>
      <c r="U5851" t="s">
        <v>52377</v>
      </c>
      <c r="W5851" t="s">
        <v>43498</v>
      </c>
      <c r="X5851" t="s">
        <v>45103</v>
      </c>
    </row>
    <row r="5852" spans="1:24">
      <c r="A5852">
        <f>HYPERLINK("https://www.philgeps.gov.ph/GEPSNONPILOT/Tender/SplashBidNoticeAbstractUI.aspx?menuIndex=3&amp;refID=7039609&amp;Result=3","7039609")</f>
        <v>0</v>
      </c>
      <c r="B5852" t="s">
        <v>1827</v>
      </c>
      <c r="C5852" t="s">
        <v>8791</v>
      </c>
      <c r="D5852" t="s">
        <v>18028</v>
      </c>
      <c r="E5852" t="s">
        <v>23322</v>
      </c>
      <c r="F5852" t="s">
        <v>31574</v>
      </c>
      <c r="G5852" t="s">
        <v>31582</v>
      </c>
      <c r="H5852" t="s">
        <v>31590</v>
      </c>
      <c r="I5852" t="s">
        <v>14544</v>
      </c>
      <c r="J5852" t="s">
        <v>31780</v>
      </c>
      <c r="K5852" t="s">
        <v>41184</v>
      </c>
      <c r="M5852" t="s">
        <v>43463</v>
      </c>
      <c r="N5852" t="s">
        <v>45095</v>
      </c>
      <c r="O5852" t="s">
        <v>45096</v>
      </c>
      <c r="P5852">
        <v>0</v>
      </c>
      <c r="Q5852">
        <v>0</v>
      </c>
      <c r="R5852" t="s">
        <v>45102</v>
      </c>
      <c r="S5852" t="s">
        <v>45242</v>
      </c>
      <c r="T5852" t="s">
        <v>46973</v>
      </c>
      <c r="U5852" t="s">
        <v>52378</v>
      </c>
      <c r="V5852" t="s">
        <v>60447</v>
      </c>
      <c r="W5852" t="s">
        <v>43463</v>
      </c>
      <c r="X5852" t="s">
        <v>45103</v>
      </c>
    </row>
    <row r="5853" spans="1:24">
      <c r="A5853">
        <f>HYPERLINK("https://www.philgeps.gov.ph/GEPSNONPILOT/Tender/SplashBidNoticeAbstractUI.aspx?menuIndex=3&amp;refID=7039607&amp;Result=3","7039607")</f>
        <v>0</v>
      </c>
      <c r="B5853" t="s">
        <v>1863</v>
      </c>
      <c r="C5853" t="s">
        <v>8792</v>
      </c>
      <c r="D5853" t="s">
        <v>18052</v>
      </c>
      <c r="E5853" t="s">
        <v>23323</v>
      </c>
      <c r="F5853" t="s">
        <v>31574</v>
      </c>
      <c r="G5853" t="s">
        <v>31581</v>
      </c>
      <c r="H5853" t="s">
        <v>31590</v>
      </c>
      <c r="I5853" t="s">
        <v>6800</v>
      </c>
      <c r="J5853" t="s">
        <v>34787</v>
      </c>
      <c r="K5853" t="s">
        <v>41196</v>
      </c>
      <c r="M5853" t="s">
        <v>43502</v>
      </c>
      <c r="N5853" t="s">
        <v>45095</v>
      </c>
      <c r="O5853" t="s">
        <v>45096</v>
      </c>
      <c r="P5853">
        <v>0</v>
      </c>
      <c r="Q5853">
        <v>0</v>
      </c>
      <c r="R5853" t="s">
        <v>45102</v>
      </c>
      <c r="S5853" t="s">
        <v>45242</v>
      </c>
      <c r="T5853" t="s">
        <v>46963</v>
      </c>
      <c r="U5853" t="s">
        <v>52379</v>
      </c>
      <c r="W5853" t="s">
        <v>43502</v>
      </c>
      <c r="X5853" t="s">
        <v>45103</v>
      </c>
    </row>
    <row r="5854" spans="1:24">
      <c r="A5854">
        <f>HYPERLINK("https://www.philgeps.gov.ph/GEPSNONPILOT/Tender/SplashBidNoticeAbstractUI.aspx?menuIndex=3&amp;refID=7039623&amp;Result=3","7039623")</f>
        <v>0</v>
      </c>
      <c r="B5854" t="s">
        <v>1871</v>
      </c>
      <c r="C5854" t="s">
        <v>8793</v>
      </c>
      <c r="D5854" t="s">
        <v>18037</v>
      </c>
      <c r="E5854" t="s">
        <v>23324</v>
      </c>
      <c r="F5854" t="s">
        <v>31574</v>
      </c>
      <c r="G5854" t="s">
        <v>31581</v>
      </c>
      <c r="H5854" t="s">
        <v>31590</v>
      </c>
      <c r="I5854" t="s">
        <v>4354</v>
      </c>
      <c r="J5854" t="s">
        <v>35497</v>
      </c>
      <c r="K5854" t="s">
        <v>41196</v>
      </c>
      <c r="M5854" t="s">
        <v>43511</v>
      </c>
      <c r="N5854" t="s">
        <v>45095</v>
      </c>
      <c r="O5854" t="s">
        <v>45096</v>
      </c>
      <c r="P5854">
        <v>0</v>
      </c>
      <c r="Q5854">
        <v>0</v>
      </c>
      <c r="R5854" t="s">
        <v>45102</v>
      </c>
      <c r="S5854" t="s">
        <v>45242</v>
      </c>
      <c r="T5854" t="s">
        <v>47064</v>
      </c>
      <c r="U5854" t="s">
        <v>52380</v>
      </c>
      <c r="W5854" t="s">
        <v>43511</v>
      </c>
      <c r="X5854" t="s">
        <v>45103</v>
      </c>
    </row>
    <row r="5855" spans="1:24">
      <c r="A5855">
        <f>HYPERLINK("https://www.philgeps.gov.ph/GEPSNONPILOT/Tender/SplashBidNoticeAbstractUI.aspx?menuIndex=3&amp;refID=7039628&amp;Result=3","7039628")</f>
        <v>0</v>
      </c>
      <c r="B5855" t="s">
        <v>537</v>
      </c>
      <c r="C5855" t="s">
        <v>8794</v>
      </c>
      <c r="D5855" t="s">
        <v>18022</v>
      </c>
      <c r="E5855" t="s">
        <v>23325</v>
      </c>
      <c r="F5855" t="s">
        <v>31574</v>
      </c>
      <c r="G5855" t="s">
        <v>31581</v>
      </c>
      <c r="H5855" t="s">
        <v>31590</v>
      </c>
      <c r="I5855" t="s">
        <v>31610</v>
      </c>
      <c r="J5855" t="s">
        <v>35498</v>
      </c>
      <c r="K5855" t="s">
        <v>41193</v>
      </c>
      <c r="M5855" t="s">
        <v>42034</v>
      </c>
      <c r="N5855" t="s">
        <v>45095</v>
      </c>
      <c r="O5855" t="s">
        <v>45096</v>
      </c>
      <c r="P5855">
        <v>0</v>
      </c>
      <c r="Q5855">
        <v>3</v>
      </c>
      <c r="R5855" t="s">
        <v>45102</v>
      </c>
      <c r="S5855" t="s">
        <v>45242</v>
      </c>
      <c r="T5855" t="s">
        <v>47154</v>
      </c>
      <c r="U5855" t="s">
        <v>52381</v>
      </c>
      <c r="W5855" t="s">
        <v>42034</v>
      </c>
      <c r="X5855" t="s">
        <v>45103</v>
      </c>
    </row>
    <row r="5856" spans="1:24">
      <c r="A5856">
        <f>HYPERLINK("https://www.philgeps.gov.ph/GEPSNONPILOT/Tender/SplashBidNoticeAbstractUI.aspx?menuIndex=3&amp;refID=7039638&amp;Result=3","7039638")</f>
        <v>0</v>
      </c>
      <c r="B5856" t="s">
        <v>218</v>
      </c>
      <c r="C5856" t="s">
        <v>8795</v>
      </c>
      <c r="D5856" t="s">
        <v>18070</v>
      </c>
      <c r="E5856" t="s">
        <v>23326</v>
      </c>
      <c r="F5856" t="s">
        <v>31574</v>
      </c>
      <c r="G5856" t="s">
        <v>31583</v>
      </c>
      <c r="H5856" t="s">
        <v>31590</v>
      </c>
      <c r="I5856" t="s">
        <v>31605</v>
      </c>
      <c r="J5856" t="s">
        <v>33957</v>
      </c>
      <c r="K5856" t="s">
        <v>41193</v>
      </c>
      <c r="M5856" t="s">
        <v>41703</v>
      </c>
      <c r="N5856" t="s">
        <v>45095</v>
      </c>
      <c r="O5856" t="s">
        <v>45096</v>
      </c>
      <c r="P5856">
        <v>0</v>
      </c>
      <c r="Q5856">
        <v>2</v>
      </c>
      <c r="R5856" t="s">
        <v>45102</v>
      </c>
      <c r="S5856" t="s">
        <v>45242</v>
      </c>
      <c r="T5856" t="s">
        <v>47158</v>
      </c>
      <c r="U5856" t="s">
        <v>47880</v>
      </c>
      <c r="W5856" t="s">
        <v>41703</v>
      </c>
      <c r="X5856" t="s">
        <v>45103</v>
      </c>
    </row>
    <row r="5857" spans="1:24">
      <c r="A5857">
        <f>HYPERLINK("https://www.philgeps.gov.ph/GEPSNONPILOT/Tender/SplashBidNoticeAbstractUI.aspx?menuIndex=3&amp;refID=7039637&amp;Result=3","7039637")</f>
        <v>0</v>
      </c>
      <c r="B5857" t="s">
        <v>348</v>
      </c>
      <c r="C5857" t="s">
        <v>8796</v>
      </c>
      <c r="D5857" t="s">
        <v>18065</v>
      </c>
      <c r="E5857" t="s">
        <v>23327</v>
      </c>
      <c r="F5857" t="s">
        <v>31574</v>
      </c>
      <c r="G5857" t="s">
        <v>31583</v>
      </c>
      <c r="H5857" t="s">
        <v>31590</v>
      </c>
      <c r="I5857" t="s">
        <v>31607</v>
      </c>
      <c r="J5857" t="s">
        <v>35499</v>
      </c>
      <c r="K5857" t="s">
        <v>41185</v>
      </c>
      <c r="M5857" t="s">
        <v>41836</v>
      </c>
      <c r="N5857" t="s">
        <v>45095</v>
      </c>
      <c r="O5857" t="s">
        <v>45096</v>
      </c>
      <c r="P5857">
        <v>0</v>
      </c>
      <c r="Q5857">
        <v>12</v>
      </c>
      <c r="R5857" t="s">
        <v>45102</v>
      </c>
      <c r="S5857" t="s">
        <v>45242</v>
      </c>
      <c r="T5857" t="s">
        <v>47158</v>
      </c>
      <c r="U5857" t="s">
        <v>48153</v>
      </c>
      <c r="W5857" t="s">
        <v>41836</v>
      </c>
      <c r="X5857" t="s">
        <v>45103</v>
      </c>
    </row>
    <row r="5858" spans="1:24">
      <c r="A5858">
        <f>HYPERLINK("https://www.philgeps.gov.ph/GEPSNONPILOT/Tender/SplashBidNoticeAbstractUI.aspx?menuIndex=3&amp;refID=7039630&amp;Result=3","7039630")</f>
        <v>0</v>
      </c>
      <c r="B5858" t="s">
        <v>759</v>
      </c>
      <c r="C5858" t="s">
        <v>8797</v>
      </c>
      <c r="D5858" t="s">
        <v>18039</v>
      </c>
      <c r="E5858" t="s">
        <v>23328</v>
      </c>
      <c r="F5858" t="s">
        <v>31574</v>
      </c>
      <c r="G5858" t="s">
        <v>31585</v>
      </c>
      <c r="H5858" t="s">
        <v>31590</v>
      </c>
      <c r="I5858" t="s">
        <v>8258</v>
      </c>
      <c r="J5858" t="s">
        <v>35500</v>
      </c>
      <c r="K5858" t="s">
        <v>41184</v>
      </c>
      <c r="M5858" t="s">
        <v>43501</v>
      </c>
      <c r="N5858" t="s">
        <v>45095</v>
      </c>
      <c r="O5858" t="s">
        <v>45096</v>
      </c>
      <c r="P5858">
        <v>0</v>
      </c>
      <c r="Q5858">
        <v>5</v>
      </c>
      <c r="R5858" t="s">
        <v>45102</v>
      </c>
      <c r="S5858" t="s">
        <v>45242</v>
      </c>
      <c r="T5858" t="s">
        <v>47197</v>
      </c>
      <c r="U5858" t="s">
        <v>52354</v>
      </c>
      <c r="V5858" t="s">
        <v>60464</v>
      </c>
      <c r="W5858" t="s">
        <v>43501</v>
      </c>
      <c r="X5858" t="s">
        <v>45103</v>
      </c>
    </row>
    <row r="5859" spans="1:24">
      <c r="A5859">
        <f>HYPERLINK("https://www.philgeps.gov.ph/GEPSNONPILOT/Tender/SplashBidNoticeAbstractUI.aspx?menuIndex=3&amp;refID=7039629&amp;Result=3","7039629")</f>
        <v>0</v>
      </c>
      <c r="B5859" t="s">
        <v>1338</v>
      </c>
      <c r="C5859" t="s">
        <v>8798</v>
      </c>
      <c r="D5859" t="s">
        <v>18043</v>
      </c>
      <c r="E5859" t="s">
        <v>23329</v>
      </c>
      <c r="F5859" t="s">
        <v>31574</v>
      </c>
      <c r="G5859" t="s">
        <v>31581</v>
      </c>
      <c r="H5859" t="s">
        <v>31590</v>
      </c>
      <c r="I5859" t="s">
        <v>31638</v>
      </c>
      <c r="J5859" t="s">
        <v>35501</v>
      </c>
      <c r="K5859" t="s">
        <v>41186</v>
      </c>
      <c r="M5859" t="s">
        <v>42910</v>
      </c>
      <c r="N5859" t="s">
        <v>45095</v>
      </c>
      <c r="O5859" t="s">
        <v>45096</v>
      </c>
      <c r="P5859">
        <v>0</v>
      </c>
      <c r="Q5859">
        <v>0</v>
      </c>
      <c r="R5859" t="s">
        <v>45102</v>
      </c>
      <c r="S5859" t="s">
        <v>45242</v>
      </c>
      <c r="T5859" t="s">
        <v>47106</v>
      </c>
      <c r="U5859" t="s">
        <v>52382</v>
      </c>
      <c r="V5859" t="s">
        <v>60224</v>
      </c>
      <c r="W5859" t="s">
        <v>42910</v>
      </c>
      <c r="X5859" t="s">
        <v>45103</v>
      </c>
    </row>
    <row r="5860" spans="1:24">
      <c r="A5860">
        <f>HYPERLINK("https://www.philgeps.gov.ph/GEPSNONPILOT/Tender/SplashBidNoticeAbstractUI.aspx?menuIndex=3&amp;refID=7039639&amp;Result=3","7039639")</f>
        <v>0</v>
      </c>
      <c r="B5860" t="s">
        <v>1872</v>
      </c>
      <c r="C5860" t="s">
        <v>8799</v>
      </c>
      <c r="D5860" t="s">
        <v>18095</v>
      </c>
      <c r="E5860" t="s">
        <v>23330</v>
      </c>
      <c r="F5860" t="s">
        <v>31574</v>
      </c>
      <c r="G5860" t="s">
        <v>31583</v>
      </c>
      <c r="H5860" t="s">
        <v>31590</v>
      </c>
      <c r="I5860" t="s">
        <v>31630</v>
      </c>
      <c r="J5860" t="s">
        <v>35502</v>
      </c>
      <c r="K5860" t="s">
        <v>41193</v>
      </c>
      <c r="M5860" t="s">
        <v>43512</v>
      </c>
      <c r="N5860" t="s">
        <v>45095</v>
      </c>
      <c r="O5860" t="s">
        <v>45096</v>
      </c>
      <c r="P5860">
        <v>0</v>
      </c>
      <c r="Q5860">
        <v>0</v>
      </c>
      <c r="R5860" t="s">
        <v>45102</v>
      </c>
      <c r="S5860" t="s">
        <v>45242</v>
      </c>
      <c r="T5860" t="s">
        <v>46934</v>
      </c>
      <c r="U5860" t="s">
        <v>52383</v>
      </c>
      <c r="W5860" t="s">
        <v>43512</v>
      </c>
      <c r="X5860" t="s">
        <v>45103</v>
      </c>
    </row>
    <row r="5861" spans="1:24">
      <c r="A5861">
        <f>HYPERLINK("https://www.philgeps.gov.ph/GEPSNONPILOT/Tender/SplashBidNoticeAbstractUI.aspx?menuIndex=3&amp;refID=7039636&amp;Result=3","7039636")</f>
        <v>0</v>
      </c>
      <c r="B5861" t="s">
        <v>1785</v>
      </c>
      <c r="C5861" t="s">
        <v>8800</v>
      </c>
      <c r="D5861" t="s">
        <v>18026</v>
      </c>
      <c r="E5861" t="s">
        <v>8800</v>
      </c>
      <c r="F5861" t="s">
        <v>31574</v>
      </c>
      <c r="G5861" t="s">
        <v>31581</v>
      </c>
      <c r="H5861" t="s">
        <v>31590</v>
      </c>
      <c r="I5861" t="s">
        <v>4046</v>
      </c>
      <c r="J5861" t="s">
        <v>35503</v>
      </c>
      <c r="K5861" t="s">
        <v>41186</v>
      </c>
      <c r="M5861" t="s">
        <v>43415</v>
      </c>
      <c r="N5861" t="s">
        <v>45095</v>
      </c>
      <c r="O5861" t="s">
        <v>45096</v>
      </c>
      <c r="P5861">
        <v>0</v>
      </c>
      <c r="Q5861">
        <v>2</v>
      </c>
      <c r="R5861" t="s">
        <v>45102</v>
      </c>
      <c r="S5861" t="s">
        <v>45242</v>
      </c>
      <c r="T5861" t="s">
        <v>46985</v>
      </c>
      <c r="U5861" t="s">
        <v>52339</v>
      </c>
      <c r="W5861" t="s">
        <v>43415</v>
      </c>
      <c r="X5861" t="s">
        <v>45103</v>
      </c>
    </row>
    <row r="5862" spans="1:24">
      <c r="A5862">
        <f>HYPERLINK("https://www.philgeps.gov.ph/GEPSNONPILOT/Tender/SplashBidNoticeAbstractUI.aspx?menuIndex=3&amp;refID=7039634&amp;Result=3","7039634")</f>
        <v>0</v>
      </c>
      <c r="B5862" t="s">
        <v>800</v>
      </c>
      <c r="C5862" t="s">
        <v>8801</v>
      </c>
      <c r="D5862" t="s">
        <v>18086</v>
      </c>
      <c r="E5862" t="s">
        <v>23331</v>
      </c>
      <c r="F5862" t="s">
        <v>31574</v>
      </c>
      <c r="G5862" t="s">
        <v>31582</v>
      </c>
      <c r="H5862" t="s">
        <v>31590</v>
      </c>
      <c r="I5862" t="s">
        <v>31676</v>
      </c>
      <c r="J5862" t="s">
        <v>35504</v>
      </c>
      <c r="K5862" t="s">
        <v>41184</v>
      </c>
      <c r="M5862" t="s">
        <v>42314</v>
      </c>
      <c r="N5862" t="s">
        <v>45095</v>
      </c>
      <c r="O5862" t="s">
        <v>45096</v>
      </c>
      <c r="P5862">
        <v>0</v>
      </c>
      <c r="Q5862">
        <v>4</v>
      </c>
      <c r="R5862" t="s">
        <v>45102</v>
      </c>
      <c r="S5862" t="s">
        <v>45242</v>
      </c>
      <c r="T5862" t="s">
        <v>47170</v>
      </c>
      <c r="U5862" t="s">
        <v>52384</v>
      </c>
      <c r="V5862" t="s">
        <v>60469</v>
      </c>
      <c r="W5862" t="s">
        <v>42314</v>
      </c>
      <c r="X5862" t="s">
        <v>45103</v>
      </c>
    </row>
    <row r="5863" spans="1:24">
      <c r="A5863">
        <f>HYPERLINK("https://www.philgeps.gov.ph/GEPSNONPILOT/Tender/SplashBidNoticeAbstractUI.aspx?menuIndex=3&amp;refID=7039653&amp;Result=3","7039653")</f>
        <v>0</v>
      </c>
      <c r="B5863" t="s">
        <v>495</v>
      </c>
      <c r="C5863" t="s">
        <v>8802</v>
      </c>
      <c r="D5863" t="s">
        <v>18099</v>
      </c>
      <c r="E5863" t="s">
        <v>23332</v>
      </c>
      <c r="F5863" t="s">
        <v>31574</v>
      </c>
      <c r="G5863" t="s">
        <v>31581</v>
      </c>
      <c r="H5863" t="s">
        <v>31590</v>
      </c>
      <c r="I5863" t="s">
        <v>4046</v>
      </c>
      <c r="J5863" t="s">
        <v>35505</v>
      </c>
      <c r="K5863" t="s">
        <v>41190</v>
      </c>
      <c r="M5863" t="s">
        <v>41991</v>
      </c>
      <c r="N5863" t="s">
        <v>45095</v>
      </c>
      <c r="O5863" t="s">
        <v>45096</v>
      </c>
      <c r="P5863">
        <v>0</v>
      </c>
      <c r="Q5863">
        <v>0</v>
      </c>
      <c r="R5863" t="s">
        <v>45102</v>
      </c>
      <c r="S5863" t="s">
        <v>45242</v>
      </c>
      <c r="T5863" t="s">
        <v>47183</v>
      </c>
      <c r="U5863" t="s">
        <v>48472</v>
      </c>
      <c r="W5863" t="s">
        <v>41991</v>
      </c>
      <c r="X5863" t="s">
        <v>45103</v>
      </c>
    </row>
    <row r="5864" spans="1:24">
      <c r="A5864">
        <f>HYPERLINK("https://www.philgeps.gov.ph/GEPSNONPILOT/Tender/SplashBidNoticeAbstractUI.aspx?menuIndex=3&amp;refID=7039655&amp;Result=3","7039655")</f>
        <v>0</v>
      </c>
      <c r="B5864" t="s">
        <v>1827</v>
      </c>
      <c r="C5864" t="s">
        <v>8803</v>
      </c>
      <c r="D5864" t="s">
        <v>18028</v>
      </c>
      <c r="E5864" t="s">
        <v>23333</v>
      </c>
      <c r="F5864" t="s">
        <v>31574</v>
      </c>
      <c r="G5864" t="s">
        <v>31582</v>
      </c>
      <c r="H5864" t="s">
        <v>31590</v>
      </c>
      <c r="I5864" t="s">
        <v>31631</v>
      </c>
      <c r="J5864" t="s">
        <v>35506</v>
      </c>
      <c r="K5864" t="s">
        <v>41184</v>
      </c>
      <c r="M5864" t="s">
        <v>43463</v>
      </c>
      <c r="N5864" t="s">
        <v>45095</v>
      </c>
      <c r="O5864" t="s">
        <v>45096</v>
      </c>
      <c r="P5864">
        <v>0</v>
      </c>
      <c r="Q5864">
        <v>1</v>
      </c>
      <c r="R5864" t="s">
        <v>45102</v>
      </c>
      <c r="S5864" t="s">
        <v>45242</v>
      </c>
      <c r="T5864" t="s">
        <v>47249</v>
      </c>
      <c r="U5864" t="s">
        <v>52385</v>
      </c>
      <c r="V5864" t="s">
        <v>60447</v>
      </c>
      <c r="W5864" t="s">
        <v>43463</v>
      </c>
      <c r="X5864" t="s">
        <v>45103</v>
      </c>
    </row>
    <row r="5865" spans="1:24">
      <c r="A5865">
        <f>HYPERLINK("https://www.philgeps.gov.ph/GEPSNONPILOT/Tender/SplashBidNoticeAbstractUI.aspx?menuIndex=3&amp;refID=7039643&amp;Result=3","7039643")</f>
        <v>0</v>
      </c>
      <c r="B5865" t="s">
        <v>1866</v>
      </c>
      <c r="C5865" t="s">
        <v>8804</v>
      </c>
      <c r="D5865" t="s">
        <v>18047</v>
      </c>
      <c r="E5865" t="s">
        <v>23334</v>
      </c>
      <c r="F5865" t="s">
        <v>31574</v>
      </c>
      <c r="G5865" t="s">
        <v>31582</v>
      </c>
      <c r="H5865" t="s">
        <v>31590</v>
      </c>
      <c r="I5865" t="s">
        <v>31619</v>
      </c>
      <c r="J5865" t="s">
        <v>31727</v>
      </c>
      <c r="K5865" t="s">
        <v>41193</v>
      </c>
      <c r="M5865" t="s">
        <v>43505</v>
      </c>
      <c r="N5865" t="s">
        <v>45095</v>
      </c>
      <c r="O5865" t="s">
        <v>45096</v>
      </c>
      <c r="P5865">
        <v>0</v>
      </c>
      <c r="Q5865">
        <v>4</v>
      </c>
      <c r="R5865" t="s">
        <v>45102</v>
      </c>
      <c r="S5865" t="s">
        <v>45242</v>
      </c>
      <c r="T5865" t="s">
        <v>46911</v>
      </c>
      <c r="U5865" t="s">
        <v>52386</v>
      </c>
      <c r="W5865" t="s">
        <v>43505</v>
      </c>
      <c r="X5865" t="s">
        <v>45103</v>
      </c>
    </row>
    <row r="5866" spans="1:24">
      <c r="A5866">
        <f>HYPERLINK("https://www.philgeps.gov.ph/GEPSNONPILOT/Tender/SplashBidNoticeAbstractUI.aspx?menuIndex=3&amp;refID=7039673&amp;Result=3","7039673")</f>
        <v>0</v>
      </c>
      <c r="B5866" t="s">
        <v>1873</v>
      </c>
      <c r="C5866" t="s">
        <v>3539</v>
      </c>
      <c r="D5866" t="s">
        <v>18064</v>
      </c>
      <c r="E5866" t="s">
        <v>23335</v>
      </c>
      <c r="F5866" t="s">
        <v>31574</v>
      </c>
      <c r="G5866" t="s">
        <v>31582</v>
      </c>
      <c r="H5866" t="s">
        <v>31590</v>
      </c>
      <c r="I5866" t="s">
        <v>3539</v>
      </c>
      <c r="J5866" t="s">
        <v>35507</v>
      </c>
      <c r="K5866" t="s">
        <v>41196</v>
      </c>
      <c r="M5866" t="s">
        <v>43513</v>
      </c>
      <c r="N5866" t="s">
        <v>45095</v>
      </c>
      <c r="O5866" t="s">
        <v>45096</v>
      </c>
      <c r="P5866">
        <v>0</v>
      </c>
      <c r="Q5866">
        <v>0</v>
      </c>
      <c r="R5866" t="s">
        <v>45102</v>
      </c>
      <c r="S5866" t="s">
        <v>45242</v>
      </c>
      <c r="T5866" t="s">
        <v>46988</v>
      </c>
      <c r="U5866" t="s">
        <v>52387</v>
      </c>
      <c r="V5866" t="s">
        <v>60470</v>
      </c>
      <c r="W5866" t="s">
        <v>43513</v>
      </c>
      <c r="X5866" t="s">
        <v>45103</v>
      </c>
    </row>
    <row r="5867" spans="1:24">
      <c r="A5867">
        <f>HYPERLINK("https://www.philgeps.gov.ph/GEPSNONPILOT/Tender/SplashBidNoticeAbstractUI.aspx?menuIndex=3&amp;refID=7039672&amp;Result=3","7039672")</f>
        <v>0</v>
      </c>
      <c r="B5867" t="s">
        <v>1832</v>
      </c>
      <c r="C5867" t="s">
        <v>8805</v>
      </c>
      <c r="D5867" t="s">
        <v>18034</v>
      </c>
      <c r="E5867" t="s">
        <v>23336</v>
      </c>
      <c r="F5867" t="s">
        <v>31574</v>
      </c>
      <c r="G5867" t="s">
        <v>31582</v>
      </c>
      <c r="H5867" t="s">
        <v>31590</v>
      </c>
      <c r="I5867" t="s">
        <v>31641</v>
      </c>
      <c r="J5867" t="s">
        <v>35508</v>
      </c>
      <c r="K5867" t="s">
        <v>41191</v>
      </c>
      <c r="M5867" t="s">
        <v>43468</v>
      </c>
      <c r="N5867" t="s">
        <v>45095</v>
      </c>
      <c r="O5867" t="s">
        <v>45096</v>
      </c>
      <c r="P5867">
        <v>0</v>
      </c>
      <c r="Q5867">
        <v>1</v>
      </c>
      <c r="R5867" t="s">
        <v>45102</v>
      </c>
      <c r="S5867" t="s">
        <v>45242</v>
      </c>
      <c r="T5867" t="s">
        <v>46973</v>
      </c>
      <c r="U5867" t="s">
        <v>52388</v>
      </c>
      <c r="W5867" t="s">
        <v>43468</v>
      </c>
      <c r="X5867" t="s">
        <v>45103</v>
      </c>
    </row>
    <row r="5868" spans="1:24">
      <c r="A5868">
        <f>HYPERLINK("https://www.philgeps.gov.ph/GEPSNONPILOT/Tender/SplashBidNoticeAbstractUI.aspx?menuIndex=3&amp;refID=7039642&amp;Result=3","7039642")</f>
        <v>0</v>
      </c>
      <c r="B5868" t="s">
        <v>530</v>
      </c>
      <c r="C5868" t="s">
        <v>8806</v>
      </c>
      <c r="D5868" t="s">
        <v>18071</v>
      </c>
      <c r="E5868" t="s">
        <v>8806</v>
      </c>
      <c r="F5868" t="s">
        <v>31574</v>
      </c>
      <c r="G5868" t="s">
        <v>31582</v>
      </c>
      <c r="H5868" t="s">
        <v>31590</v>
      </c>
      <c r="I5868" t="s">
        <v>31682</v>
      </c>
      <c r="J5868" t="s">
        <v>35509</v>
      </c>
      <c r="K5868" t="s">
        <v>41186</v>
      </c>
      <c r="M5868" t="s">
        <v>42027</v>
      </c>
      <c r="N5868" t="s">
        <v>45095</v>
      </c>
      <c r="O5868" t="s">
        <v>45096</v>
      </c>
      <c r="P5868">
        <v>0</v>
      </c>
      <c r="Q5868">
        <v>2</v>
      </c>
      <c r="R5868" t="s">
        <v>45102</v>
      </c>
      <c r="S5868" t="s">
        <v>45242</v>
      </c>
      <c r="T5868" t="s">
        <v>47003</v>
      </c>
      <c r="U5868" t="s">
        <v>52389</v>
      </c>
      <c r="W5868" t="s">
        <v>42027</v>
      </c>
      <c r="X5868" t="s">
        <v>45103</v>
      </c>
    </row>
    <row r="5869" spans="1:24">
      <c r="A5869">
        <f>HYPERLINK("https://www.philgeps.gov.ph/GEPSNONPILOT/Tender/SplashBidNoticeAbstractUI.aspx?menuIndex=3&amp;refID=7039654&amp;Result=3","7039654")</f>
        <v>0</v>
      </c>
      <c r="B5869" t="s">
        <v>1874</v>
      </c>
      <c r="C5869" t="s">
        <v>8807</v>
      </c>
      <c r="D5869" t="s">
        <v>18087</v>
      </c>
      <c r="E5869" t="s">
        <v>23337</v>
      </c>
      <c r="F5869" t="s">
        <v>31574</v>
      </c>
      <c r="G5869" t="s">
        <v>31582</v>
      </c>
      <c r="H5869" t="s">
        <v>31590</v>
      </c>
      <c r="I5869" t="s">
        <v>4046</v>
      </c>
      <c r="J5869" t="s">
        <v>35510</v>
      </c>
      <c r="K5869" t="s">
        <v>41190</v>
      </c>
      <c r="M5869" t="s">
        <v>43514</v>
      </c>
      <c r="N5869" t="s">
        <v>45095</v>
      </c>
      <c r="O5869" t="s">
        <v>45096</v>
      </c>
      <c r="P5869">
        <v>0</v>
      </c>
      <c r="Q5869">
        <v>0</v>
      </c>
      <c r="R5869" t="s">
        <v>45102</v>
      </c>
      <c r="S5869" t="s">
        <v>45242</v>
      </c>
      <c r="T5869" t="s">
        <v>46918</v>
      </c>
      <c r="U5869" t="s">
        <v>49043</v>
      </c>
      <c r="V5869" t="s">
        <v>60471</v>
      </c>
      <c r="W5869" t="s">
        <v>43514</v>
      </c>
      <c r="X5869" t="s">
        <v>45103</v>
      </c>
    </row>
    <row r="5870" spans="1:24">
      <c r="A5870">
        <f>HYPERLINK("https://www.philgeps.gov.ph/GEPSNONPILOT/Tender/SplashBidNoticeAbstractUI.aspx?menuIndex=3&amp;refID=7039645&amp;Result=3","7039645")</f>
        <v>0</v>
      </c>
      <c r="B5870" t="s">
        <v>190</v>
      </c>
      <c r="C5870" t="s">
        <v>5059</v>
      </c>
      <c r="D5870" t="s">
        <v>18036</v>
      </c>
      <c r="E5870" t="s">
        <v>23338</v>
      </c>
      <c r="F5870" t="s">
        <v>31574</v>
      </c>
      <c r="G5870" t="s">
        <v>31581</v>
      </c>
      <c r="H5870" t="s">
        <v>31590</v>
      </c>
      <c r="I5870" t="s">
        <v>8258</v>
      </c>
      <c r="J5870" t="s">
        <v>31949</v>
      </c>
      <c r="K5870" t="s">
        <v>41190</v>
      </c>
      <c r="M5870" t="s">
        <v>43336</v>
      </c>
      <c r="N5870" t="s">
        <v>45095</v>
      </c>
      <c r="O5870" t="s">
        <v>45096</v>
      </c>
      <c r="P5870">
        <v>0</v>
      </c>
      <c r="Q5870">
        <v>7</v>
      </c>
      <c r="R5870" t="s">
        <v>45102</v>
      </c>
      <c r="S5870" t="s">
        <v>45242</v>
      </c>
      <c r="T5870" t="s">
        <v>47050</v>
      </c>
      <c r="U5870" t="s">
        <v>52390</v>
      </c>
      <c r="W5870" t="s">
        <v>43336</v>
      </c>
      <c r="X5870" t="s">
        <v>45103</v>
      </c>
    </row>
    <row r="5871" spans="1:24">
      <c r="A5871">
        <f>HYPERLINK("https://www.philgeps.gov.ph/GEPSNONPILOT/Tender/SplashBidNoticeAbstractUI.aspx?menuIndex=3&amp;refID=7039651&amp;Result=3","7039651")</f>
        <v>0</v>
      </c>
      <c r="B5871" t="s">
        <v>162</v>
      </c>
      <c r="C5871" t="s">
        <v>8808</v>
      </c>
      <c r="D5871" t="s">
        <v>18067</v>
      </c>
      <c r="E5871" t="s">
        <v>23339</v>
      </c>
      <c r="F5871" t="s">
        <v>31574</v>
      </c>
      <c r="G5871" t="s">
        <v>31583</v>
      </c>
      <c r="H5871" t="s">
        <v>31590</v>
      </c>
      <c r="I5871" t="s">
        <v>4327</v>
      </c>
      <c r="J5871" t="s">
        <v>31845</v>
      </c>
      <c r="K5871" t="s">
        <v>41196</v>
      </c>
      <c r="M5871" t="s">
        <v>41646</v>
      </c>
      <c r="N5871" t="s">
        <v>45095</v>
      </c>
      <c r="O5871" t="s">
        <v>45096</v>
      </c>
      <c r="P5871">
        <v>0</v>
      </c>
      <c r="Q5871">
        <v>2</v>
      </c>
      <c r="R5871" t="s">
        <v>45102</v>
      </c>
      <c r="S5871" t="s">
        <v>45242</v>
      </c>
      <c r="T5871" t="s">
        <v>47159</v>
      </c>
      <c r="U5871" t="s">
        <v>52391</v>
      </c>
      <c r="W5871" t="s">
        <v>41646</v>
      </c>
      <c r="X5871" t="s">
        <v>45103</v>
      </c>
    </row>
    <row r="5872" spans="1:24">
      <c r="A5872">
        <f>HYPERLINK("https://www.philgeps.gov.ph/GEPSNONPILOT/Tender/SplashBidNoticeAbstractUI.aspx?menuIndex=3&amp;refID=7039641&amp;Result=3","7039641")</f>
        <v>0</v>
      </c>
      <c r="B5872" t="s">
        <v>1863</v>
      </c>
      <c r="C5872" t="s">
        <v>8809</v>
      </c>
      <c r="D5872" t="s">
        <v>18052</v>
      </c>
      <c r="E5872" t="s">
        <v>23340</v>
      </c>
      <c r="F5872" t="s">
        <v>31574</v>
      </c>
      <c r="G5872" t="s">
        <v>31581</v>
      </c>
      <c r="H5872" t="s">
        <v>31590</v>
      </c>
      <c r="I5872" t="s">
        <v>31630</v>
      </c>
      <c r="J5872" t="s">
        <v>35094</v>
      </c>
      <c r="K5872" t="s">
        <v>41196</v>
      </c>
      <c r="M5872" t="s">
        <v>43502</v>
      </c>
      <c r="N5872" t="s">
        <v>45095</v>
      </c>
      <c r="O5872" t="s">
        <v>45096</v>
      </c>
      <c r="P5872">
        <v>0</v>
      </c>
      <c r="Q5872">
        <v>1</v>
      </c>
      <c r="R5872" t="s">
        <v>45102</v>
      </c>
      <c r="S5872" t="s">
        <v>45242</v>
      </c>
      <c r="T5872" t="s">
        <v>46963</v>
      </c>
      <c r="U5872" t="s">
        <v>52392</v>
      </c>
      <c r="W5872" t="s">
        <v>43502</v>
      </c>
      <c r="X5872" t="s">
        <v>45103</v>
      </c>
    </row>
    <row r="5873" spans="1:24">
      <c r="A5873">
        <f>HYPERLINK("https://www.philgeps.gov.ph/GEPSNONPILOT/Tender/SplashBidNoticeAbstractUI.aspx?menuIndex=3&amp;refID=7039663&amp;Result=3","7039663")</f>
        <v>0</v>
      </c>
      <c r="B5873" t="s">
        <v>1648</v>
      </c>
      <c r="C5873" t="s">
        <v>8810</v>
      </c>
      <c r="E5873" t="s">
        <v>23341</v>
      </c>
      <c r="F5873" t="s">
        <v>31574</v>
      </c>
      <c r="G5873" t="s">
        <v>31581</v>
      </c>
      <c r="H5873" t="s">
        <v>31590</v>
      </c>
      <c r="I5873" t="s">
        <v>6800</v>
      </c>
      <c r="J5873" t="s">
        <v>35511</v>
      </c>
      <c r="K5873" t="s">
        <v>41186</v>
      </c>
      <c r="M5873" t="s">
        <v>43259</v>
      </c>
      <c r="N5873" t="s">
        <v>45095</v>
      </c>
      <c r="O5873" t="s">
        <v>45096</v>
      </c>
      <c r="P5873">
        <v>0</v>
      </c>
      <c r="Q5873">
        <v>3</v>
      </c>
      <c r="R5873" t="s">
        <v>45102</v>
      </c>
      <c r="S5873" t="s">
        <v>45242</v>
      </c>
      <c r="T5873" t="s">
        <v>47008</v>
      </c>
      <c r="U5873" t="s">
        <v>52393</v>
      </c>
      <c r="W5873" t="s">
        <v>61714</v>
      </c>
      <c r="X5873" t="s">
        <v>45103</v>
      </c>
    </row>
    <row r="5874" spans="1:24">
      <c r="A5874">
        <f>HYPERLINK("https://www.philgeps.gov.ph/GEPSNONPILOT/Tender/SplashBidNoticeAbstractUI.aspx?menuIndex=3&amp;refID=7039657&amp;Result=3","7039657")</f>
        <v>0</v>
      </c>
      <c r="B5874" t="s">
        <v>1875</v>
      </c>
      <c r="C5874" t="s">
        <v>8811</v>
      </c>
      <c r="D5874" t="s">
        <v>18040</v>
      </c>
      <c r="E5874" t="s">
        <v>20737</v>
      </c>
      <c r="F5874" t="s">
        <v>31575</v>
      </c>
      <c r="G5874" t="s">
        <v>31583</v>
      </c>
      <c r="H5874" t="s">
        <v>31590</v>
      </c>
      <c r="I5874" t="s">
        <v>31676</v>
      </c>
      <c r="J5874" t="s">
        <v>35512</v>
      </c>
      <c r="K5874" t="s">
        <v>41190</v>
      </c>
      <c r="M5874" t="s">
        <v>43515</v>
      </c>
      <c r="N5874" t="s">
        <v>45095</v>
      </c>
      <c r="O5874" t="s">
        <v>45096</v>
      </c>
      <c r="P5874">
        <v>0</v>
      </c>
      <c r="Q5874">
        <v>11</v>
      </c>
      <c r="R5874" t="s">
        <v>45102</v>
      </c>
      <c r="S5874" t="s">
        <v>45242</v>
      </c>
      <c r="T5874" t="s">
        <v>46936</v>
      </c>
      <c r="U5874" t="s">
        <v>52394</v>
      </c>
      <c r="W5874" t="s">
        <v>43515</v>
      </c>
      <c r="X5874" t="s">
        <v>45103</v>
      </c>
    </row>
    <row r="5875" spans="1:24">
      <c r="A5875">
        <f>HYPERLINK("https://www.philgeps.gov.ph/GEPSNONPILOT/Tender/SplashBidNoticeAbstractUI.aspx?menuIndex=3&amp;refID=7039649&amp;Result=3","7039649")</f>
        <v>0</v>
      </c>
      <c r="B5875" t="s">
        <v>172</v>
      </c>
      <c r="C5875" t="s">
        <v>8812</v>
      </c>
      <c r="D5875" t="s">
        <v>18022</v>
      </c>
      <c r="E5875" t="s">
        <v>23342</v>
      </c>
      <c r="F5875" t="s">
        <v>31574</v>
      </c>
      <c r="G5875" t="s">
        <v>31581</v>
      </c>
      <c r="H5875" t="s">
        <v>31590</v>
      </c>
      <c r="I5875" t="s">
        <v>4327</v>
      </c>
      <c r="J5875" t="s">
        <v>32167</v>
      </c>
      <c r="K5875" t="s">
        <v>41184</v>
      </c>
      <c r="M5875" t="s">
        <v>43516</v>
      </c>
      <c r="N5875" t="s">
        <v>45095</v>
      </c>
      <c r="O5875" t="s">
        <v>45096</v>
      </c>
      <c r="P5875">
        <v>0</v>
      </c>
      <c r="Q5875">
        <v>10</v>
      </c>
      <c r="R5875" t="s">
        <v>45102</v>
      </c>
      <c r="S5875" t="s">
        <v>45242</v>
      </c>
      <c r="T5875" t="s">
        <v>47270</v>
      </c>
      <c r="U5875" t="s">
        <v>52395</v>
      </c>
      <c r="W5875" t="s">
        <v>43516</v>
      </c>
      <c r="X5875" t="s">
        <v>45103</v>
      </c>
    </row>
    <row r="5876" spans="1:24">
      <c r="A5876">
        <f>HYPERLINK("https://www.philgeps.gov.ph/GEPSNONPILOT/Tender/SplashBidNoticeAbstractUI.aspx?menuIndex=3&amp;refID=7039671&amp;Result=3","7039671")</f>
        <v>0</v>
      </c>
      <c r="B5876" t="s">
        <v>1863</v>
      </c>
      <c r="C5876" t="s">
        <v>8813</v>
      </c>
      <c r="D5876" t="s">
        <v>18052</v>
      </c>
      <c r="E5876" t="s">
        <v>23343</v>
      </c>
      <c r="F5876" t="s">
        <v>31574</v>
      </c>
      <c r="G5876" t="s">
        <v>31581</v>
      </c>
      <c r="H5876" t="s">
        <v>31590</v>
      </c>
      <c r="I5876" t="s">
        <v>3539</v>
      </c>
      <c r="J5876" t="s">
        <v>35513</v>
      </c>
      <c r="K5876" t="s">
        <v>41196</v>
      </c>
      <c r="M5876" t="s">
        <v>43502</v>
      </c>
      <c r="N5876" t="s">
        <v>45095</v>
      </c>
      <c r="O5876" t="s">
        <v>45096</v>
      </c>
      <c r="P5876">
        <v>0</v>
      </c>
      <c r="Q5876">
        <v>0</v>
      </c>
      <c r="R5876" t="s">
        <v>45102</v>
      </c>
      <c r="S5876" t="s">
        <v>45242</v>
      </c>
      <c r="T5876" t="s">
        <v>46963</v>
      </c>
      <c r="U5876" t="s">
        <v>52396</v>
      </c>
      <c r="W5876" t="s">
        <v>43502</v>
      </c>
      <c r="X5876" t="s">
        <v>45103</v>
      </c>
    </row>
    <row r="5877" spans="1:24">
      <c r="A5877">
        <f>HYPERLINK("https://www.philgeps.gov.ph/GEPSNONPILOT/Tender/SplashBidNoticeAbstractUI.aspx?menuIndex=3&amp;refID=7039661&amp;Result=3","7039661")</f>
        <v>0</v>
      </c>
      <c r="B5877" t="s">
        <v>1876</v>
      </c>
      <c r="C5877" t="s">
        <v>8814</v>
      </c>
      <c r="D5877" t="s">
        <v>18100</v>
      </c>
      <c r="E5877" t="s">
        <v>23344</v>
      </c>
      <c r="F5877" t="s">
        <v>31574</v>
      </c>
      <c r="G5877" t="s">
        <v>31582</v>
      </c>
      <c r="H5877" t="s">
        <v>31590</v>
      </c>
      <c r="I5877" t="s">
        <v>31615</v>
      </c>
      <c r="J5877" t="s">
        <v>34483</v>
      </c>
      <c r="K5877" t="s">
        <v>41186</v>
      </c>
      <c r="M5877" t="s">
        <v>43517</v>
      </c>
      <c r="N5877" t="s">
        <v>45095</v>
      </c>
      <c r="O5877" t="s">
        <v>45096</v>
      </c>
      <c r="P5877">
        <v>0</v>
      </c>
      <c r="Q5877">
        <v>8</v>
      </c>
      <c r="R5877" t="s">
        <v>45102</v>
      </c>
      <c r="S5877" t="s">
        <v>45242</v>
      </c>
      <c r="T5877" t="s">
        <v>46956</v>
      </c>
      <c r="U5877" t="s">
        <v>52397</v>
      </c>
      <c r="W5877" t="s">
        <v>43517</v>
      </c>
      <c r="X5877" t="s">
        <v>45103</v>
      </c>
    </row>
    <row r="5878" spans="1:24">
      <c r="A5878">
        <f>HYPERLINK("https://www.philgeps.gov.ph/GEPSNONPILOT/Tender/SplashBidNoticeAbstractUI.aspx?menuIndex=3&amp;refID=7039666&amp;Result=3","7039666")</f>
        <v>0</v>
      </c>
      <c r="B5878" t="s">
        <v>1796</v>
      </c>
      <c r="C5878" t="s">
        <v>8815</v>
      </c>
      <c r="D5878" t="s">
        <v>18027</v>
      </c>
      <c r="E5878" t="s">
        <v>23345</v>
      </c>
      <c r="F5878" t="s">
        <v>31574</v>
      </c>
      <c r="G5878" t="s">
        <v>31583</v>
      </c>
      <c r="H5878" t="s">
        <v>31590</v>
      </c>
      <c r="I5878" t="s">
        <v>3487</v>
      </c>
      <c r="J5878" t="s">
        <v>32157</v>
      </c>
      <c r="K5878" t="s">
        <v>41193</v>
      </c>
      <c r="M5878" t="s">
        <v>43427</v>
      </c>
      <c r="N5878" t="s">
        <v>45095</v>
      </c>
      <c r="O5878" t="s">
        <v>45096</v>
      </c>
      <c r="P5878">
        <v>0</v>
      </c>
      <c r="Q5878">
        <v>0</v>
      </c>
      <c r="R5878" t="s">
        <v>45102</v>
      </c>
      <c r="S5878" t="s">
        <v>45242</v>
      </c>
      <c r="T5878" t="s">
        <v>47067</v>
      </c>
      <c r="U5878" t="s">
        <v>52398</v>
      </c>
      <c r="W5878" t="s">
        <v>43427</v>
      </c>
      <c r="X5878" t="s">
        <v>45103</v>
      </c>
    </row>
    <row r="5879" spans="1:24">
      <c r="A5879">
        <f>HYPERLINK("https://www.philgeps.gov.ph/GEPSNONPILOT/Tender/SplashBidNoticeAbstractUI.aspx?menuIndex=3&amp;refID=7039677&amp;Result=3","7039677")</f>
        <v>0</v>
      </c>
      <c r="B5879" t="s">
        <v>1874</v>
      </c>
      <c r="C5879" t="s">
        <v>8816</v>
      </c>
      <c r="D5879" t="s">
        <v>18087</v>
      </c>
      <c r="E5879" t="s">
        <v>23346</v>
      </c>
      <c r="F5879" t="s">
        <v>31574</v>
      </c>
      <c r="G5879" t="s">
        <v>31582</v>
      </c>
      <c r="H5879" t="s">
        <v>31590</v>
      </c>
      <c r="I5879" t="s">
        <v>4046</v>
      </c>
      <c r="J5879" t="s">
        <v>35514</v>
      </c>
      <c r="K5879" t="s">
        <v>41190</v>
      </c>
      <c r="M5879" t="s">
        <v>43514</v>
      </c>
      <c r="N5879" t="s">
        <v>45095</v>
      </c>
      <c r="O5879" t="s">
        <v>45096</v>
      </c>
      <c r="P5879">
        <v>0</v>
      </c>
      <c r="Q5879">
        <v>0</v>
      </c>
      <c r="R5879" t="s">
        <v>45102</v>
      </c>
      <c r="S5879" t="s">
        <v>45242</v>
      </c>
      <c r="T5879" t="s">
        <v>46918</v>
      </c>
      <c r="U5879" t="s">
        <v>49043</v>
      </c>
      <c r="V5879" t="s">
        <v>60471</v>
      </c>
      <c r="W5879" t="s">
        <v>43514</v>
      </c>
      <c r="X5879" t="s">
        <v>45103</v>
      </c>
    </row>
    <row r="5880" spans="1:24">
      <c r="A5880">
        <f>HYPERLINK("https://www.philgeps.gov.ph/GEPSNONPILOT/Tender/SplashBidNoticeAbstractUI.aspx?menuIndex=3&amp;refID=7039676&amp;Result=3","7039676")</f>
        <v>0</v>
      </c>
      <c r="B5880" t="s">
        <v>190</v>
      </c>
      <c r="C5880" t="s">
        <v>5059</v>
      </c>
      <c r="D5880" t="s">
        <v>18036</v>
      </c>
      <c r="E5880" t="s">
        <v>23347</v>
      </c>
      <c r="F5880" t="s">
        <v>31574</v>
      </c>
      <c r="G5880" t="s">
        <v>31581</v>
      </c>
      <c r="H5880" t="s">
        <v>31590</v>
      </c>
      <c r="I5880" t="s">
        <v>8258</v>
      </c>
      <c r="J5880" t="s">
        <v>35515</v>
      </c>
      <c r="K5880" t="s">
        <v>41190</v>
      </c>
      <c r="M5880" t="s">
        <v>43336</v>
      </c>
      <c r="N5880" t="s">
        <v>45095</v>
      </c>
      <c r="O5880" t="s">
        <v>45096</v>
      </c>
      <c r="P5880">
        <v>0</v>
      </c>
      <c r="Q5880">
        <v>3</v>
      </c>
      <c r="R5880" t="s">
        <v>45102</v>
      </c>
      <c r="S5880" t="s">
        <v>45242</v>
      </c>
      <c r="T5880" t="s">
        <v>47050</v>
      </c>
      <c r="U5880" t="s">
        <v>52399</v>
      </c>
      <c r="W5880" t="s">
        <v>43336</v>
      </c>
      <c r="X5880" t="s">
        <v>45103</v>
      </c>
    </row>
    <row r="5881" spans="1:24">
      <c r="A5881">
        <f>HYPERLINK("https://www.philgeps.gov.ph/GEPSNONPILOT/Tender/SplashBidNoticeAbstractUI.aspx?menuIndex=3&amp;refID=7039660&amp;Result=3","7039660")</f>
        <v>0</v>
      </c>
      <c r="B5881" t="s">
        <v>1863</v>
      </c>
      <c r="C5881" t="s">
        <v>8817</v>
      </c>
      <c r="D5881" t="s">
        <v>18052</v>
      </c>
      <c r="E5881" t="s">
        <v>23348</v>
      </c>
      <c r="F5881" t="s">
        <v>31574</v>
      </c>
      <c r="G5881" t="s">
        <v>31581</v>
      </c>
      <c r="H5881" t="s">
        <v>31590</v>
      </c>
      <c r="I5881" t="s">
        <v>4327</v>
      </c>
      <c r="J5881" t="s">
        <v>32147</v>
      </c>
      <c r="K5881" t="s">
        <v>41196</v>
      </c>
      <c r="M5881" t="s">
        <v>43502</v>
      </c>
      <c r="N5881" t="s">
        <v>45095</v>
      </c>
      <c r="O5881" t="s">
        <v>45096</v>
      </c>
      <c r="P5881">
        <v>0</v>
      </c>
      <c r="Q5881">
        <v>0</v>
      </c>
      <c r="R5881" t="s">
        <v>45102</v>
      </c>
      <c r="S5881" t="s">
        <v>45242</v>
      </c>
      <c r="T5881" t="s">
        <v>46963</v>
      </c>
      <c r="U5881" t="s">
        <v>52400</v>
      </c>
      <c r="W5881" t="s">
        <v>43502</v>
      </c>
      <c r="X5881" t="s">
        <v>45103</v>
      </c>
    </row>
    <row r="5882" spans="1:24">
      <c r="A5882">
        <f>HYPERLINK("https://www.philgeps.gov.ph/GEPSNONPILOT/Tender/SplashBidNoticeAbstractUI.aspx?menuIndex=3&amp;refID=7039680&amp;Result=3","7039680")</f>
        <v>0</v>
      </c>
      <c r="B5882" t="s">
        <v>495</v>
      </c>
      <c r="C5882" t="s">
        <v>8818</v>
      </c>
      <c r="D5882" t="s">
        <v>18099</v>
      </c>
      <c r="E5882" t="s">
        <v>23349</v>
      </c>
      <c r="F5882" t="s">
        <v>31574</v>
      </c>
      <c r="G5882" t="s">
        <v>31581</v>
      </c>
      <c r="H5882" t="s">
        <v>31590</v>
      </c>
      <c r="I5882" t="s">
        <v>31598</v>
      </c>
      <c r="J5882" t="s">
        <v>35516</v>
      </c>
      <c r="K5882" t="s">
        <v>41190</v>
      </c>
      <c r="M5882" t="s">
        <v>41991</v>
      </c>
      <c r="N5882" t="s">
        <v>45095</v>
      </c>
      <c r="O5882" t="s">
        <v>45096</v>
      </c>
      <c r="P5882">
        <v>0</v>
      </c>
      <c r="Q5882">
        <v>7</v>
      </c>
      <c r="R5882" t="s">
        <v>45102</v>
      </c>
      <c r="S5882" t="s">
        <v>45242</v>
      </c>
      <c r="T5882" t="s">
        <v>47183</v>
      </c>
      <c r="U5882" t="s">
        <v>48472</v>
      </c>
      <c r="W5882" t="s">
        <v>41991</v>
      </c>
      <c r="X5882" t="s">
        <v>45103</v>
      </c>
    </row>
    <row r="5883" spans="1:24">
      <c r="A5883">
        <f>HYPERLINK("https://www.philgeps.gov.ph/GEPSNONPILOT/Tender/SplashBidNoticeAbstractUI.aspx?menuIndex=3&amp;refID=7039662&amp;Result=3","7039662")</f>
        <v>0</v>
      </c>
      <c r="B5883" t="s">
        <v>1196</v>
      </c>
      <c r="C5883" t="s">
        <v>8819</v>
      </c>
      <c r="D5883" t="s">
        <v>18026</v>
      </c>
      <c r="E5883" t="s">
        <v>23350</v>
      </c>
      <c r="F5883" t="s">
        <v>31574</v>
      </c>
      <c r="G5883" t="s">
        <v>31585</v>
      </c>
      <c r="H5883" t="s">
        <v>31590</v>
      </c>
      <c r="I5883" t="s">
        <v>31631</v>
      </c>
      <c r="J5883" t="s">
        <v>33827</v>
      </c>
      <c r="K5883" t="s">
        <v>41190</v>
      </c>
      <c r="M5883" t="s">
        <v>43471</v>
      </c>
      <c r="N5883" t="s">
        <v>45095</v>
      </c>
      <c r="O5883" t="s">
        <v>45096</v>
      </c>
      <c r="P5883">
        <v>0</v>
      </c>
      <c r="Q5883">
        <v>0</v>
      </c>
      <c r="R5883" t="s">
        <v>45102</v>
      </c>
      <c r="S5883" t="s">
        <v>45242</v>
      </c>
      <c r="T5883" t="s">
        <v>46963</v>
      </c>
      <c r="U5883" t="s">
        <v>52401</v>
      </c>
      <c r="W5883" t="s">
        <v>61718</v>
      </c>
      <c r="X5883" t="s">
        <v>45103</v>
      </c>
    </row>
    <row r="5884" spans="1:24">
      <c r="A5884">
        <f>HYPERLINK("https://www.philgeps.gov.ph/GEPSNONPILOT/Tender/SplashBidNoticeAbstractUI.aspx?menuIndex=3&amp;refID=7039678&amp;Result=3","7039678")</f>
        <v>0</v>
      </c>
      <c r="B5884" t="s">
        <v>530</v>
      </c>
      <c r="C5884" t="s">
        <v>8820</v>
      </c>
      <c r="D5884" t="s">
        <v>18071</v>
      </c>
      <c r="E5884" t="s">
        <v>23351</v>
      </c>
      <c r="F5884" t="s">
        <v>31574</v>
      </c>
      <c r="G5884" t="s">
        <v>31582</v>
      </c>
      <c r="H5884" t="s">
        <v>31590</v>
      </c>
      <c r="I5884" t="s">
        <v>14544</v>
      </c>
      <c r="J5884" t="s">
        <v>35517</v>
      </c>
      <c r="K5884" t="s">
        <v>41186</v>
      </c>
      <c r="M5884" t="s">
        <v>42027</v>
      </c>
      <c r="N5884" t="s">
        <v>45095</v>
      </c>
      <c r="O5884" t="s">
        <v>45096</v>
      </c>
      <c r="P5884">
        <v>0</v>
      </c>
      <c r="Q5884">
        <v>0</v>
      </c>
      <c r="R5884" t="s">
        <v>45102</v>
      </c>
      <c r="S5884" t="s">
        <v>45242</v>
      </c>
      <c r="T5884" t="s">
        <v>47003</v>
      </c>
      <c r="U5884" t="s">
        <v>52402</v>
      </c>
      <c r="W5884" t="s">
        <v>42027</v>
      </c>
      <c r="X5884" t="s">
        <v>45103</v>
      </c>
    </row>
    <row r="5885" spans="1:24">
      <c r="A5885">
        <f>HYPERLINK("https://www.philgeps.gov.ph/GEPSNONPILOT/Tender/SplashBidNoticeAbstractUI.aspx?menuIndex=3&amp;refID=7039656&amp;Result=3","7039656")</f>
        <v>0</v>
      </c>
      <c r="B5885" t="s">
        <v>1832</v>
      </c>
      <c r="C5885" t="s">
        <v>8821</v>
      </c>
      <c r="D5885" t="s">
        <v>18034</v>
      </c>
      <c r="E5885" t="s">
        <v>23352</v>
      </c>
      <c r="F5885" t="s">
        <v>31574</v>
      </c>
      <c r="G5885" t="s">
        <v>31582</v>
      </c>
      <c r="H5885" t="s">
        <v>31590</v>
      </c>
      <c r="I5885" t="s">
        <v>3487</v>
      </c>
      <c r="J5885" t="s">
        <v>32017</v>
      </c>
      <c r="K5885" t="s">
        <v>41191</v>
      </c>
      <c r="M5885" t="s">
        <v>43468</v>
      </c>
      <c r="N5885" t="s">
        <v>45095</v>
      </c>
      <c r="O5885" t="s">
        <v>45096</v>
      </c>
      <c r="P5885">
        <v>0</v>
      </c>
      <c r="Q5885">
        <v>1</v>
      </c>
      <c r="R5885" t="s">
        <v>45102</v>
      </c>
      <c r="S5885" t="s">
        <v>45242</v>
      </c>
      <c r="T5885" t="s">
        <v>46973</v>
      </c>
      <c r="U5885" t="s">
        <v>52403</v>
      </c>
      <c r="W5885" t="s">
        <v>43468</v>
      </c>
      <c r="X5885" t="s">
        <v>45103</v>
      </c>
    </row>
    <row r="5886" spans="1:24">
      <c r="A5886">
        <f>HYPERLINK("https://www.philgeps.gov.ph/GEPSNONPILOT/Tender/SplashBidNoticeAbstractUI.aspx?menuIndex=3&amp;refID=7039683&amp;Result=3","7039683")</f>
        <v>0</v>
      </c>
      <c r="B5886" t="s">
        <v>1877</v>
      </c>
      <c r="C5886" t="s">
        <v>8822</v>
      </c>
      <c r="D5886" t="s">
        <v>18038</v>
      </c>
      <c r="E5886" t="s">
        <v>23353</v>
      </c>
      <c r="F5886" t="s">
        <v>31574</v>
      </c>
      <c r="G5886" t="s">
        <v>31582</v>
      </c>
      <c r="H5886" t="s">
        <v>31591</v>
      </c>
      <c r="I5886" t="s">
        <v>8822</v>
      </c>
      <c r="J5886" t="s">
        <v>35518</v>
      </c>
      <c r="K5886" t="s">
        <v>41184</v>
      </c>
      <c r="M5886" t="s">
        <v>43518</v>
      </c>
      <c r="N5886" t="s">
        <v>45095</v>
      </c>
      <c r="O5886" t="s">
        <v>45096</v>
      </c>
      <c r="P5886">
        <v>0</v>
      </c>
      <c r="Q5886">
        <v>0</v>
      </c>
      <c r="R5886" t="s">
        <v>45102</v>
      </c>
      <c r="S5886" t="s">
        <v>45242</v>
      </c>
      <c r="T5886" t="s">
        <v>46904</v>
      </c>
      <c r="U5886" t="s">
        <v>52404</v>
      </c>
      <c r="W5886" t="s">
        <v>43518</v>
      </c>
      <c r="X5886" t="s">
        <v>45103</v>
      </c>
    </row>
    <row r="5887" spans="1:24">
      <c r="A5887">
        <f>HYPERLINK("https://www.philgeps.gov.ph/GEPSNONPILOT/Tender/SplashBidNoticeAbstractUI.aspx?menuIndex=3&amp;refID=7039674&amp;Result=3","7039674")</f>
        <v>0</v>
      </c>
      <c r="B5887" t="s">
        <v>134</v>
      </c>
      <c r="C5887" t="s">
        <v>8823</v>
      </c>
      <c r="D5887" t="s">
        <v>18066</v>
      </c>
      <c r="E5887" t="s">
        <v>23354</v>
      </c>
      <c r="F5887" t="s">
        <v>31574</v>
      </c>
      <c r="G5887" t="s">
        <v>31581</v>
      </c>
      <c r="H5887" t="s">
        <v>31590</v>
      </c>
      <c r="I5887" t="s">
        <v>31620</v>
      </c>
      <c r="J5887" t="s">
        <v>31789</v>
      </c>
      <c r="K5887" t="s">
        <v>41184</v>
      </c>
      <c r="M5887" t="s">
        <v>41618</v>
      </c>
      <c r="N5887" t="s">
        <v>45095</v>
      </c>
      <c r="O5887" t="s">
        <v>45096</v>
      </c>
      <c r="P5887">
        <v>0</v>
      </c>
      <c r="Q5887">
        <v>3</v>
      </c>
      <c r="R5887" t="s">
        <v>45102</v>
      </c>
      <c r="S5887" t="s">
        <v>45242</v>
      </c>
      <c r="T5887" t="s">
        <v>46985</v>
      </c>
      <c r="U5887" t="s">
        <v>52405</v>
      </c>
      <c r="W5887" t="s">
        <v>41618</v>
      </c>
      <c r="X5887" t="s">
        <v>45103</v>
      </c>
    </row>
    <row r="5888" spans="1:24">
      <c r="A5888">
        <f>HYPERLINK("https://www.philgeps.gov.ph/GEPSNONPILOT/Tender/SplashBidNoticeAbstractUI.aspx?menuIndex=3&amp;refID=7039697&amp;Result=3","7039697")</f>
        <v>0</v>
      </c>
      <c r="B5888" t="s">
        <v>1868</v>
      </c>
      <c r="C5888" t="s">
        <v>8824</v>
      </c>
      <c r="D5888" t="s">
        <v>18079</v>
      </c>
      <c r="E5888" t="s">
        <v>23355</v>
      </c>
      <c r="F5888" t="s">
        <v>31574</v>
      </c>
      <c r="G5888" t="s">
        <v>31582</v>
      </c>
      <c r="H5888" t="s">
        <v>31590</v>
      </c>
      <c r="I5888" t="s">
        <v>7185</v>
      </c>
      <c r="J5888" t="s">
        <v>35519</v>
      </c>
      <c r="K5888" t="s">
        <v>41186</v>
      </c>
      <c r="M5888" t="s">
        <v>43507</v>
      </c>
      <c r="N5888" t="s">
        <v>45095</v>
      </c>
      <c r="O5888" t="s">
        <v>45096</v>
      </c>
      <c r="P5888">
        <v>0</v>
      </c>
      <c r="Q5888">
        <v>2</v>
      </c>
      <c r="R5888" t="s">
        <v>45102</v>
      </c>
      <c r="S5888" t="s">
        <v>45242</v>
      </c>
      <c r="T5888" t="s">
        <v>46977</v>
      </c>
      <c r="U5888" t="s">
        <v>52406</v>
      </c>
      <c r="W5888" t="s">
        <v>43507</v>
      </c>
      <c r="X5888" t="s">
        <v>45103</v>
      </c>
    </row>
    <row r="5889" spans="1:24">
      <c r="A5889">
        <f>HYPERLINK("https://www.philgeps.gov.ph/GEPSNONPILOT/Tender/SplashBidNoticeAbstractUI.aspx?menuIndex=3&amp;refID=7039696&amp;Result=3","7039696")</f>
        <v>0</v>
      </c>
      <c r="B5889" t="s">
        <v>1196</v>
      </c>
      <c r="C5889" t="s">
        <v>8825</v>
      </c>
      <c r="D5889" t="s">
        <v>18026</v>
      </c>
      <c r="E5889" t="s">
        <v>23356</v>
      </c>
      <c r="F5889" t="s">
        <v>31574</v>
      </c>
      <c r="G5889" t="s">
        <v>31585</v>
      </c>
      <c r="H5889" t="s">
        <v>31590</v>
      </c>
      <c r="I5889" t="s">
        <v>31600</v>
      </c>
      <c r="J5889" t="s">
        <v>32019</v>
      </c>
      <c r="K5889" t="s">
        <v>41190</v>
      </c>
      <c r="M5889" t="s">
        <v>43471</v>
      </c>
      <c r="N5889" t="s">
        <v>45095</v>
      </c>
      <c r="O5889" t="s">
        <v>45096</v>
      </c>
      <c r="P5889">
        <v>0</v>
      </c>
      <c r="Q5889">
        <v>2</v>
      </c>
      <c r="R5889" t="s">
        <v>45102</v>
      </c>
      <c r="S5889" t="s">
        <v>45242</v>
      </c>
      <c r="T5889" t="s">
        <v>46963</v>
      </c>
      <c r="U5889" t="s">
        <v>52407</v>
      </c>
      <c r="W5889" t="s">
        <v>61718</v>
      </c>
      <c r="X5889" t="s">
        <v>45103</v>
      </c>
    </row>
    <row r="5890" spans="1:24">
      <c r="A5890">
        <f>HYPERLINK("https://www.philgeps.gov.ph/GEPSNONPILOT/Tender/SplashBidNoticeAbstractUI.aspx?menuIndex=3&amp;refID=7039698&amp;Result=3","7039698")</f>
        <v>0</v>
      </c>
      <c r="B5890" t="s">
        <v>530</v>
      </c>
      <c r="C5890" t="s">
        <v>8826</v>
      </c>
      <c r="D5890" t="s">
        <v>18071</v>
      </c>
      <c r="E5890" t="s">
        <v>23357</v>
      </c>
      <c r="F5890" t="s">
        <v>31574</v>
      </c>
      <c r="G5890" t="s">
        <v>31582</v>
      </c>
      <c r="H5890" t="s">
        <v>31590</v>
      </c>
      <c r="I5890" t="s">
        <v>14544</v>
      </c>
      <c r="J5890" t="s">
        <v>35520</v>
      </c>
      <c r="K5890" t="s">
        <v>41186</v>
      </c>
      <c r="M5890" t="s">
        <v>42027</v>
      </c>
      <c r="N5890" t="s">
        <v>45095</v>
      </c>
      <c r="O5890" t="s">
        <v>45096</v>
      </c>
      <c r="P5890">
        <v>0</v>
      </c>
      <c r="Q5890">
        <v>0</v>
      </c>
      <c r="R5890" t="s">
        <v>45102</v>
      </c>
      <c r="S5890" t="s">
        <v>45242</v>
      </c>
      <c r="T5890" t="s">
        <v>47003</v>
      </c>
      <c r="U5890" t="s">
        <v>52408</v>
      </c>
      <c r="W5890" t="s">
        <v>42027</v>
      </c>
      <c r="X5890" t="s">
        <v>45103</v>
      </c>
    </row>
    <row r="5891" spans="1:24">
      <c r="A5891">
        <f>HYPERLINK("https://www.philgeps.gov.ph/GEPSNONPILOT/Tender/SplashBidNoticeAbstractUI.aspx?menuIndex=3&amp;refID=7039693&amp;Result=3","7039693")</f>
        <v>0</v>
      </c>
      <c r="B5891" t="s">
        <v>1878</v>
      </c>
      <c r="C5891" t="s">
        <v>3852</v>
      </c>
      <c r="D5891" t="s">
        <v>18058</v>
      </c>
      <c r="E5891" t="s">
        <v>19843</v>
      </c>
      <c r="F5891" t="s">
        <v>31574</v>
      </c>
      <c r="G5891" t="s">
        <v>31581</v>
      </c>
      <c r="H5891" t="s">
        <v>31590</v>
      </c>
      <c r="I5891" t="s">
        <v>3651</v>
      </c>
      <c r="J5891" t="s">
        <v>32610</v>
      </c>
      <c r="K5891" t="s">
        <v>41184</v>
      </c>
      <c r="M5891" t="s">
        <v>43519</v>
      </c>
      <c r="N5891" t="s">
        <v>45095</v>
      </c>
      <c r="O5891" t="s">
        <v>45096</v>
      </c>
      <c r="P5891">
        <v>0</v>
      </c>
      <c r="Q5891">
        <v>2</v>
      </c>
      <c r="R5891" t="s">
        <v>45102</v>
      </c>
      <c r="S5891" t="s">
        <v>45242</v>
      </c>
      <c r="T5891" t="s">
        <v>47125</v>
      </c>
      <c r="U5891" t="s">
        <v>52409</v>
      </c>
      <c r="W5891" t="s">
        <v>43519</v>
      </c>
      <c r="X5891" t="s">
        <v>45103</v>
      </c>
    </row>
    <row r="5892" spans="1:24">
      <c r="A5892">
        <f>HYPERLINK("https://www.philgeps.gov.ph/GEPSNONPILOT/Tender/SplashBidNoticeAbstractUI.aspx?menuIndex=3&amp;refID=7039689&amp;Result=3","7039689")</f>
        <v>0</v>
      </c>
      <c r="B5892" t="s">
        <v>1863</v>
      </c>
      <c r="C5892" t="s">
        <v>8827</v>
      </c>
      <c r="D5892" t="s">
        <v>18052</v>
      </c>
      <c r="E5892" t="s">
        <v>23358</v>
      </c>
      <c r="F5892" t="s">
        <v>31574</v>
      </c>
      <c r="G5892" t="s">
        <v>31581</v>
      </c>
      <c r="H5892" t="s">
        <v>31590</v>
      </c>
      <c r="I5892" t="s">
        <v>14544</v>
      </c>
      <c r="J5892" t="s">
        <v>35521</v>
      </c>
      <c r="K5892" t="s">
        <v>41196</v>
      </c>
      <c r="M5892" t="s">
        <v>43502</v>
      </c>
      <c r="N5892" t="s">
        <v>45095</v>
      </c>
      <c r="O5892" t="s">
        <v>45096</v>
      </c>
      <c r="P5892">
        <v>0</v>
      </c>
      <c r="Q5892">
        <v>0</v>
      </c>
      <c r="R5892" t="s">
        <v>45102</v>
      </c>
      <c r="S5892" t="s">
        <v>45242</v>
      </c>
      <c r="T5892" t="s">
        <v>46963</v>
      </c>
      <c r="U5892" t="s">
        <v>52410</v>
      </c>
      <c r="W5892" t="s">
        <v>43502</v>
      </c>
      <c r="X5892" t="s">
        <v>45103</v>
      </c>
    </row>
    <row r="5893" spans="1:24">
      <c r="A5893">
        <f>HYPERLINK("https://www.philgeps.gov.ph/GEPSNONPILOT/Tender/SplashBidNoticeAbstractUI.aspx?menuIndex=3&amp;refID=7039692&amp;Result=3","7039692")</f>
        <v>0</v>
      </c>
      <c r="B5893" t="s">
        <v>1524</v>
      </c>
      <c r="C5893" t="s">
        <v>8828</v>
      </c>
      <c r="D5893" t="s">
        <v>18083</v>
      </c>
      <c r="E5893" t="s">
        <v>23359</v>
      </c>
      <c r="F5893" t="s">
        <v>31574</v>
      </c>
      <c r="G5893" t="s">
        <v>31582</v>
      </c>
      <c r="H5893" t="s">
        <v>31591</v>
      </c>
      <c r="I5893" t="s">
        <v>8822</v>
      </c>
      <c r="J5893" t="s">
        <v>35522</v>
      </c>
      <c r="K5893" t="s">
        <v>41196</v>
      </c>
      <c r="M5893" t="s">
        <v>43115</v>
      </c>
      <c r="N5893" t="s">
        <v>45095</v>
      </c>
      <c r="O5893" t="s">
        <v>45096</v>
      </c>
      <c r="P5893">
        <v>0</v>
      </c>
      <c r="Q5893">
        <v>0</v>
      </c>
      <c r="R5893" t="s">
        <v>45102</v>
      </c>
      <c r="S5893" t="s">
        <v>45242</v>
      </c>
      <c r="T5893" t="s">
        <v>46988</v>
      </c>
      <c r="U5893" t="s">
        <v>52411</v>
      </c>
      <c r="V5893" t="s">
        <v>60472</v>
      </c>
      <c r="W5893" t="s">
        <v>43115</v>
      </c>
      <c r="X5893" t="s">
        <v>45103</v>
      </c>
    </row>
    <row r="5894" spans="1:24">
      <c r="A5894">
        <f>HYPERLINK("https://www.philgeps.gov.ph/GEPSNONPILOT/Tender/SplashBidNoticeAbstractUI.aspx?menuIndex=3&amp;refID=7039691&amp;Result=3","7039691")</f>
        <v>0</v>
      </c>
      <c r="B5894" t="s">
        <v>1858</v>
      </c>
      <c r="C5894" t="s">
        <v>8829</v>
      </c>
      <c r="D5894" t="s">
        <v>18022</v>
      </c>
      <c r="E5894" t="s">
        <v>23360</v>
      </c>
      <c r="F5894" t="s">
        <v>31574</v>
      </c>
      <c r="G5894" t="s">
        <v>31581</v>
      </c>
      <c r="H5894" t="s">
        <v>31590</v>
      </c>
      <c r="I5894" t="s">
        <v>8822</v>
      </c>
      <c r="J5894" t="s">
        <v>34033</v>
      </c>
      <c r="K5894" t="s">
        <v>41213</v>
      </c>
      <c r="M5894" t="s">
        <v>43496</v>
      </c>
      <c r="N5894" t="s">
        <v>45095</v>
      </c>
      <c r="O5894" t="s">
        <v>45096</v>
      </c>
      <c r="P5894">
        <v>0</v>
      </c>
      <c r="Q5894">
        <v>5</v>
      </c>
      <c r="R5894" t="s">
        <v>45102</v>
      </c>
      <c r="S5894" t="s">
        <v>45242</v>
      </c>
      <c r="T5894" t="s">
        <v>47067</v>
      </c>
      <c r="U5894" t="s">
        <v>52412</v>
      </c>
      <c r="W5894" t="s">
        <v>43496</v>
      </c>
      <c r="X5894" t="s">
        <v>45103</v>
      </c>
    </row>
    <row r="5895" spans="1:24">
      <c r="A5895">
        <f>HYPERLINK("https://www.philgeps.gov.ph/GEPSNONPILOT/Tender/SplashBidNoticeAbstractUI.aspx?menuIndex=3&amp;refID=7039687&amp;Result=3","7039687")</f>
        <v>0</v>
      </c>
      <c r="B5895" t="s">
        <v>1406</v>
      </c>
      <c r="C5895" t="s">
        <v>8830</v>
      </c>
      <c r="D5895" t="s">
        <v>18071</v>
      </c>
      <c r="E5895" t="s">
        <v>23361</v>
      </c>
      <c r="F5895" t="s">
        <v>31574</v>
      </c>
      <c r="G5895" t="s">
        <v>31581</v>
      </c>
      <c r="H5895" t="s">
        <v>31590</v>
      </c>
      <c r="I5895" t="s">
        <v>3873</v>
      </c>
      <c r="J5895" t="s">
        <v>33588</v>
      </c>
      <c r="K5895" t="s">
        <v>41197</v>
      </c>
      <c r="M5895" t="s">
        <v>42982</v>
      </c>
      <c r="N5895" t="s">
        <v>45095</v>
      </c>
      <c r="O5895" t="s">
        <v>45096</v>
      </c>
      <c r="P5895">
        <v>0</v>
      </c>
      <c r="Q5895">
        <v>0</v>
      </c>
      <c r="R5895" t="s">
        <v>45102</v>
      </c>
      <c r="S5895" t="s">
        <v>45242</v>
      </c>
      <c r="T5895" t="s">
        <v>47050</v>
      </c>
      <c r="U5895" t="s">
        <v>52413</v>
      </c>
      <c r="V5895" t="s">
        <v>60473</v>
      </c>
      <c r="W5895" t="s">
        <v>42982</v>
      </c>
      <c r="X5895" t="s">
        <v>45103</v>
      </c>
    </row>
    <row r="5896" spans="1:24">
      <c r="A5896">
        <f>HYPERLINK("https://www.philgeps.gov.ph/GEPSNONPILOT/Tender/SplashBidNoticeAbstractUI.aspx?menuIndex=3&amp;refID=7039700&amp;Result=3","7039700")</f>
        <v>0</v>
      </c>
      <c r="B5896" t="s">
        <v>178</v>
      </c>
      <c r="C5896" t="s">
        <v>8831</v>
      </c>
      <c r="D5896" t="s">
        <v>18078</v>
      </c>
      <c r="E5896" t="s">
        <v>23362</v>
      </c>
      <c r="F5896" t="s">
        <v>31574</v>
      </c>
      <c r="G5896" t="s">
        <v>31581</v>
      </c>
      <c r="H5896" t="s">
        <v>31591</v>
      </c>
      <c r="I5896" t="s">
        <v>8822</v>
      </c>
      <c r="J5896" t="s">
        <v>35523</v>
      </c>
      <c r="K5896" t="s">
        <v>41186</v>
      </c>
      <c r="M5896" t="s">
        <v>41662</v>
      </c>
      <c r="N5896" t="s">
        <v>45095</v>
      </c>
      <c r="O5896" t="s">
        <v>45096</v>
      </c>
      <c r="P5896">
        <v>0</v>
      </c>
      <c r="Q5896">
        <v>0</v>
      </c>
      <c r="R5896" t="s">
        <v>45102</v>
      </c>
      <c r="S5896" t="s">
        <v>45242</v>
      </c>
      <c r="T5896" t="s">
        <v>46963</v>
      </c>
      <c r="U5896" t="s">
        <v>52414</v>
      </c>
      <c r="V5896" t="s">
        <v>60474</v>
      </c>
      <c r="W5896" t="s">
        <v>41662</v>
      </c>
      <c r="X5896" t="s">
        <v>45103</v>
      </c>
    </row>
    <row r="5897" spans="1:24">
      <c r="A5897">
        <f>HYPERLINK("https://www.philgeps.gov.ph/GEPSNONPILOT/Tender/SplashBidNoticeAbstractUI.aspx?menuIndex=3&amp;refID=7039675&amp;Result=3","7039675")</f>
        <v>0</v>
      </c>
      <c r="B5897" t="s">
        <v>1872</v>
      </c>
      <c r="C5897" t="s">
        <v>8832</v>
      </c>
      <c r="D5897" t="s">
        <v>18095</v>
      </c>
      <c r="E5897" t="s">
        <v>23363</v>
      </c>
      <c r="F5897" t="s">
        <v>31574</v>
      </c>
      <c r="G5897" t="s">
        <v>31583</v>
      </c>
      <c r="H5897" t="s">
        <v>31590</v>
      </c>
      <c r="I5897" t="s">
        <v>31711</v>
      </c>
      <c r="J5897" t="s">
        <v>33039</v>
      </c>
      <c r="K5897" t="s">
        <v>41193</v>
      </c>
      <c r="M5897" t="s">
        <v>43512</v>
      </c>
      <c r="N5897" t="s">
        <v>45095</v>
      </c>
      <c r="O5897" t="s">
        <v>45096</v>
      </c>
      <c r="P5897">
        <v>0</v>
      </c>
      <c r="Q5897">
        <v>2</v>
      </c>
      <c r="R5897" t="s">
        <v>45102</v>
      </c>
      <c r="S5897" t="s">
        <v>45242</v>
      </c>
      <c r="T5897" t="s">
        <v>46934</v>
      </c>
      <c r="U5897" t="s">
        <v>52415</v>
      </c>
      <c r="W5897" t="s">
        <v>43512</v>
      </c>
      <c r="X5897" t="s">
        <v>45103</v>
      </c>
    </row>
    <row r="5898" spans="1:24">
      <c r="A5898">
        <f>HYPERLINK("https://www.philgeps.gov.ph/GEPSNONPILOT/Tender/SplashBidNoticeAbstractUI.aspx?menuIndex=3&amp;refID=7039681&amp;Result=3","7039681")</f>
        <v>0</v>
      </c>
      <c r="B5898" t="s">
        <v>132</v>
      </c>
      <c r="C5898" t="s">
        <v>8833</v>
      </c>
      <c r="D5898" t="s">
        <v>18059</v>
      </c>
      <c r="E5898" t="s">
        <v>23364</v>
      </c>
      <c r="F5898" t="s">
        <v>31574</v>
      </c>
      <c r="G5898" t="s">
        <v>31582</v>
      </c>
      <c r="H5898" t="s">
        <v>31590</v>
      </c>
      <c r="I5898" t="s">
        <v>4046</v>
      </c>
      <c r="J5898" t="s">
        <v>35524</v>
      </c>
      <c r="K5898" t="s">
        <v>41190</v>
      </c>
      <c r="M5898" t="s">
        <v>41616</v>
      </c>
      <c r="N5898" t="s">
        <v>45095</v>
      </c>
      <c r="O5898" t="s">
        <v>45096</v>
      </c>
      <c r="P5898">
        <v>0</v>
      </c>
      <c r="Q5898">
        <v>0</v>
      </c>
      <c r="R5898" t="s">
        <v>45102</v>
      </c>
      <c r="S5898" t="s">
        <v>45242</v>
      </c>
      <c r="T5898" t="s">
        <v>46973</v>
      </c>
      <c r="U5898" t="s">
        <v>52416</v>
      </c>
      <c r="W5898" t="s">
        <v>41616</v>
      </c>
      <c r="X5898" t="s">
        <v>45103</v>
      </c>
    </row>
    <row r="5899" spans="1:24">
      <c r="A5899">
        <f>HYPERLINK("https://www.philgeps.gov.ph/GEPSNONPILOT/Tender/SplashBidNoticeAbstractUI.aspx?menuIndex=3&amp;refID=7039699&amp;Result=3","7039699")</f>
        <v>0</v>
      </c>
      <c r="B5899" t="s">
        <v>1879</v>
      </c>
      <c r="C5899" t="s">
        <v>8834</v>
      </c>
      <c r="D5899" t="s">
        <v>18040</v>
      </c>
      <c r="E5899" t="s">
        <v>18227</v>
      </c>
      <c r="F5899" t="s">
        <v>31574</v>
      </c>
      <c r="G5899" t="s">
        <v>31581</v>
      </c>
      <c r="H5899" t="s">
        <v>31590</v>
      </c>
      <c r="I5899" t="s">
        <v>31616</v>
      </c>
      <c r="J5899" t="s">
        <v>32931</v>
      </c>
      <c r="K5899" t="s">
        <v>41211</v>
      </c>
      <c r="M5899" t="s">
        <v>43520</v>
      </c>
      <c r="N5899" t="s">
        <v>45095</v>
      </c>
      <c r="O5899" t="s">
        <v>45096</v>
      </c>
      <c r="P5899">
        <v>0</v>
      </c>
      <c r="Q5899">
        <v>1</v>
      </c>
      <c r="R5899" t="s">
        <v>45102</v>
      </c>
      <c r="S5899" t="s">
        <v>45242</v>
      </c>
      <c r="T5899" t="s">
        <v>46918</v>
      </c>
      <c r="U5899" t="s">
        <v>52417</v>
      </c>
      <c r="W5899" t="s">
        <v>43520</v>
      </c>
      <c r="X5899" t="s">
        <v>45103</v>
      </c>
    </row>
    <row r="5900" spans="1:24">
      <c r="A5900">
        <f>HYPERLINK("https://www.philgeps.gov.ph/GEPSNONPILOT/Tender/SplashBidNoticeAbstractUI.aspx?menuIndex=3&amp;refID=7039702&amp;Result=3","7039702")</f>
        <v>0</v>
      </c>
      <c r="B5900" t="s">
        <v>1880</v>
      </c>
      <c r="C5900" t="s">
        <v>8835</v>
      </c>
      <c r="D5900" t="s">
        <v>18056</v>
      </c>
      <c r="E5900" t="s">
        <v>23365</v>
      </c>
      <c r="F5900" t="s">
        <v>31574</v>
      </c>
      <c r="G5900" t="s">
        <v>31581</v>
      </c>
      <c r="H5900" t="s">
        <v>31590</v>
      </c>
      <c r="I5900" t="s">
        <v>7162</v>
      </c>
      <c r="J5900" t="s">
        <v>35525</v>
      </c>
      <c r="K5900" t="s">
        <v>41186</v>
      </c>
      <c r="M5900" t="s">
        <v>43521</v>
      </c>
      <c r="N5900" t="s">
        <v>45095</v>
      </c>
      <c r="O5900" t="s">
        <v>45096</v>
      </c>
      <c r="P5900">
        <v>0</v>
      </c>
      <c r="Q5900">
        <v>3</v>
      </c>
      <c r="R5900" t="s">
        <v>45102</v>
      </c>
      <c r="S5900" t="s">
        <v>45242</v>
      </c>
      <c r="T5900" t="s">
        <v>47125</v>
      </c>
      <c r="U5900" t="s">
        <v>52418</v>
      </c>
      <c r="W5900" t="s">
        <v>43521</v>
      </c>
      <c r="X5900" t="s">
        <v>45103</v>
      </c>
    </row>
    <row r="5901" spans="1:24">
      <c r="A5901">
        <f>HYPERLINK("https://www.philgeps.gov.ph/GEPSNONPILOT/Tender/SplashBidNoticeAbstractUI.aspx?menuIndex=3&amp;refID=7039685&amp;Result=3","7039685")</f>
        <v>0</v>
      </c>
      <c r="B5901" t="s">
        <v>1741</v>
      </c>
      <c r="C5901" t="s">
        <v>8836</v>
      </c>
      <c r="D5901" t="s">
        <v>18096</v>
      </c>
      <c r="E5901" t="s">
        <v>23366</v>
      </c>
      <c r="F5901" t="s">
        <v>31574</v>
      </c>
      <c r="G5901" t="s">
        <v>31585</v>
      </c>
      <c r="H5901" t="s">
        <v>31590</v>
      </c>
      <c r="I5901" t="s">
        <v>31712</v>
      </c>
      <c r="J5901" t="s">
        <v>35526</v>
      </c>
      <c r="K5901" t="s">
        <v>41192</v>
      </c>
      <c r="M5901" t="s">
        <v>43362</v>
      </c>
      <c r="N5901" t="s">
        <v>45095</v>
      </c>
      <c r="O5901" t="s">
        <v>45096</v>
      </c>
      <c r="P5901">
        <v>0</v>
      </c>
      <c r="Q5901">
        <v>1</v>
      </c>
      <c r="R5901" t="s">
        <v>45102</v>
      </c>
      <c r="S5901" t="s">
        <v>45242</v>
      </c>
      <c r="T5901" t="s">
        <v>47183</v>
      </c>
      <c r="U5901" t="s">
        <v>52419</v>
      </c>
      <c r="W5901" t="s">
        <v>43362</v>
      </c>
      <c r="X5901" t="s">
        <v>45103</v>
      </c>
    </row>
    <row r="5902" spans="1:24">
      <c r="A5902">
        <f>HYPERLINK("https://www.philgeps.gov.ph/GEPSNONPILOT/Tender/SplashBidNoticeAbstractUI.aspx?menuIndex=3&amp;refID=7039714&amp;Result=3","7039714")</f>
        <v>0</v>
      </c>
      <c r="B5902" t="s">
        <v>1024</v>
      </c>
      <c r="C5902" t="s">
        <v>8837</v>
      </c>
      <c r="D5902" t="s">
        <v>18048</v>
      </c>
      <c r="E5902" t="s">
        <v>23367</v>
      </c>
      <c r="F5902" t="s">
        <v>31574</v>
      </c>
      <c r="G5902" t="s">
        <v>31582</v>
      </c>
      <c r="H5902" t="s">
        <v>31590</v>
      </c>
      <c r="I5902" t="s">
        <v>4046</v>
      </c>
      <c r="J5902" t="s">
        <v>35527</v>
      </c>
      <c r="K5902" t="s">
        <v>41184</v>
      </c>
      <c r="M5902" t="s">
        <v>42565</v>
      </c>
      <c r="N5902" t="s">
        <v>45095</v>
      </c>
      <c r="O5902" t="s">
        <v>45096</v>
      </c>
      <c r="P5902">
        <v>0</v>
      </c>
      <c r="Q5902">
        <v>2</v>
      </c>
      <c r="R5902" t="s">
        <v>45102</v>
      </c>
      <c r="S5902" t="s">
        <v>45242</v>
      </c>
      <c r="T5902" t="s">
        <v>47271</v>
      </c>
      <c r="U5902" t="s">
        <v>52420</v>
      </c>
      <c r="V5902" t="s">
        <v>60475</v>
      </c>
      <c r="W5902" t="s">
        <v>42565</v>
      </c>
      <c r="X5902" t="s">
        <v>45103</v>
      </c>
    </row>
    <row r="5903" spans="1:24">
      <c r="A5903">
        <f>HYPERLINK("https://www.philgeps.gov.ph/GEPSNONPILOT/Tender/SplashBidNoticeAbstractUI.aspx?menuIndex=3&amp;refID=7039720&amp;Result=3","7039720")</f>
        <v>0</v>
      </c>
      <c r="B5903" t="s">
        <v>1196</v>
      </c>
      <c r="C5903" t="s">
        <v>8838</v>
      </c>
      <c r="D5903" t="s">
        <v>18026</v>
      </c>
      <c r="E5903" t="s">
        <v>23368</v>
      </c>
      <c r="F5903" t="s">
        <v>31574</v>
      </c>
      <c r="G5903" t="s">
        <v>31585</v>
      </c>
      <c r="H5903" t="s">
        <v>31590</v>
      </c>
      <c r="I5903" t="s">
        <v>31600</v>
      </c>
      <c r="J5903" t="s">
        <v>35528</v>
      </c>
      <c r="K5903" t="s">
        <v>41190</v>
      </c>
      <c r="M5903" t="s">
        <v>43471</v>
      </c>
      <c r="N5903" t="s">
        <v>45095</v>
      </c>
      <c r="O5903" t="s">
        <v>45096</v>
      </c>
      <c r="P5903">
        <v>0</v>
      </c>
      <c r="Q5903">
        <v>1</v>
      </c>
      <c r="R5903" t="s">
        <v>45102</v>
      </c>
      <c r="S5903" t="s">
        <v>45242</v>
      </c>
      <c r="T5903" t="s">
        <v>46963</v>
      </c>
      <c r="U5903" t="s">
        <v>52421</v>
      </c>
      <c r="W5903" t="s">
        <v>61718</v>
      </c>
      <c r="X5903" t="s">
        <v>45103</v>
      </c>
    </row>
    <row r="5904" spans="1:24">
      <c r="A5904">
        <f>HYPERLINK("https://www.philgeps.gov.ph/GEPSNONPILOT/Tender/SplashBidNoticeAbstractUI.aspx?menuIndex=3&amp;refID=7039713&amp;Result=3","7039713")</f>
        <v>0</v>
      </c>
      <c r="B5904" t="s">
        <v>1870</v>
      </c>
      <c r="C5904" t="s">
        <v>8839</v>
      </c>
      <c r="D5904" t="s">
        <v>18035</v>
      </c>
      <c r="E5904" t="s">
        <v>23369</v>
      </c>
      <c r="F5904" t="s">
        <v>31574</v>
      </c>
      <c r="G5904" t="s">
        <v>31582</v>
      </c>
      <c r="H5904" t="s">
        <v>31591</v>
      </c>
      <c r="I5904" t="s">
        <v>8822</v>
      </c>
      <c r="J5904" t="s">
        <v>35529</v>
      </c>
      <c r="K5904" t="s">
        <v>41184</v>
      </c>
      <c r="M5904" t="s">
        <v>43510</v>
      </c>
      <c r="N5904" t="s">
        <v>45095</v>
      </c>
      <c r="O5904" t="s">
        <v>45096</v>
      </c>
      <c r="P5904">
        <v>0</v>
      </c>
      <c r="Q5904">
        <v>0</v>
      </c>
      <c r="R5904" t="s">
        <v>45102</v>
      </c>
      <c r="S5904" t="s">
        <v>45242</v>
      </c>
      <c r="T5904" t="s">
        <v>46957</v>
      </c>
      <c r="U5904" t="s">
        <v>52422</v>
      </c>
      <c r="V5904" t="s">
        <v>60476</v>
      </c>
      <c r="W5904" t="s">
        <v>43510</v>
      </c>
      <c r="X5904" t="s">
        <v>45103</v>
      </c>
    </row>
    <row r="5905" spans="1:24">
      <c r="A5905">
        <f>HYPERLINK("https://www.philgeps.gov.ph/GEPSNONPILOT/Tender/SplashBidNoticeAbstractUI.aspx?menuIndex=3&amp;refID=7039690&amp;Result=3","7039690")</f>
        <v>0</v>
      </c>
      <c r="B5905" t="s">
        <v>131</v>
      </c>
      <c r="C5905" t="s">
        <v>8840</v>
      </c>
      <c r="D5905" t="s">
        <v>18022</v>
      </c>
      <c r="E5905" t="s">
        <v>23370</v>
      </c>
      <c r="F5905" t="s">
        <v>31574</v>
      </c>
      <c r="G5905" t="s">
        <v>31581</v>
      </c>
      <c r="H5905" t="s">
        <v>31590</v>
      </c>
      <c r="I5905" t="s">
        <v>31661</v>
      </c>
      <c r="J5905" t="s">
        <v>35530</v>
      </c>
      <c r="K5905" t="s">
        <v>41186</v>
      </c>
      <c r="M5905" t="s">
        <v>43522</v>
      </c>
      <c r="N5905" t="s">
        <v>45095</v>
      </c>
      <c r="O5905" t="s">
        <v>45096</v>
      </c>
      <c r="P5905">
        <v>0</v>
      </c>
      <c r="Q5905">
        <v>0</v>
      </c>
      <c r="R5905" t="s">
        <v>45102</v>
      </c>
      <c r="S5905" t="s">
        <v>45242</v>
      </c>
      <c r="T5905" t="s">
        <v>47183</v>
      </c>
      <c r="U5905" t="s">
        <v>52423</v>
      </c>
      <c r="W5905" t="s">
        <v>43522</v>
      </c>
      <c r="X5905" t="s">
        <v>45103</v>
      </c>
    </row>
    <row r="5906" spans="1:24">
      <c r="A5906">
        <f>HYPERLINK("https://www.philgeps.gov.ph/GEPSNONPILOT/Tender/SplashBidNoticeAbstractUI.aspx?menuIndex=3&amp;refID=7039718&amp;Result=3","7039718")</f>
        <v>0</v>
      </c>
      <c r="B5906" t="s">
        <v>1443</v>
      </c>
      <c r="C5906" t="s">
        <v>8841</v>
      </c>
      <c r="D5906" t="s">
        <v>18074</v>
      </c>
      <c r="E5906" t="s">
        <v>23371</v>
      </c>
      <c r="F5906" t="s">
        <v>31574</v>
      </c>
      <c r="G5906" t="s">
        <v>31582</v>
      </c>
      <c r="H5906" t="s">
        <v>31591</v>
      </c>
      <c r="I5906" t="s">
        <v>8822</v>
      </c>
      <c r="J5906" t="s">
        <v>35531</v>
      </c>
      <c r="K5906" t="s">
        <v>41240</v>
      </c>
      <c r="M5906" t="s">
        <v>43523</v>
      </c>
      <c r="N5906" t="s">
        <v>45095</v>
      </c>
      <c r="O5906" t="s">
        <v>45096</v>
      </c>
      <c r="P5906">
        <v>0</v>
      </c>
      <c r="Q5906">
        <v>0</v>
      </c>
      <c r="R5906" t="s">
        <v>45102</v>
      </c>
      <c r="S5906" t="s">
        <v>45242</v>
      </c>
      <c r="T5906" t="s">
        <v>47272</v>
      </c>
      <c r="U5906" t="s">
        <v>52424</v>
      </c>
      <c r="V5906" t="s">
        <v>60477</v>
      </c>
      <c r="W5906" t="s">
        <v>43523</v>
      </c>
      <c r="X5906" t="s">
        <v>45103</v>
      </c>
    </row>
    <row r="5907" spans="1:24">
      <c r="A5907">
        <f>HYPERLINK("https://www.philgeps.gov.ph/GEPSNONPILOT/Tender/SplashBidNoticeAbstractUI.aspx?menuIndex=3&amp;refID=7039709&amp;Result=3","7039709")</f>
        <v>0</v>
      </c>
      <c r="B5907" t="s">
        <v>1874</v>
      </c>
      <c r="C5907" t="s">
        <v>8842</v>
      </c>
      <c r="D5907" t="s">
        <v>18087</v>
      </c>
      <c r="E5907" t="s">
        <v>23372</v>
      </c>
      <c r="F5907" t="s">
        <v>31574</v>
      </c>
      <c r="G5907" t="s">
        <v>31582</v>
      </c>
      <c r="H5907" t="s">
        <v>31590</v>
      </c>
      <c r="I5907" t="s">
        <v>4046</v>
      </c>
      <c r="J5907" t="s">
        <v>35532</v>
      </c>
      <c r="K5907" t="s">
        <v>41190</v>
      </c>
      <c r="M5907" t="s">
        <v>43514</v>
      </c>
      <c r="N5907" t="s">
        <v>45095</v>
      </c>
      <c r="O5907" t="s">
        <v>45096</v>
      </c>
      <c r="P5907">
        <v>0</v>
      </c>
      <c r="Q5907">
        <v>0</v>
      </c>
      <c r="R5907" t="s">
        <v>45102</v>
      </c>
      <c r="S5907" t="s">
        <v>45242</v>
      </c>
      <c r="T5907" t="s">
        <v>46918</v>
      </c>
      <c r="U5907" t="s">
        <v>49043</v>
      </c>
      <c r="V5907" t="s">
        <v>60471</v>
      </c>
      <c r="W5907" t="s">
        <v>43514</v>
      </c>
      <c r="X5907" t="s">
        <v>45103</v>
      </c>
    </row>
    <row r="5908" spans="1:24">
      <c r="A5908">
        <f>HYPERLINK("https://www.philgeps.gov.ph/GEPSNONPILOT/Tender/SplashBidNoticeAbstractUI.aspx?menuIndex=3&amp;refID=7039715&amp;Result=3","7039715")</f>
        <v>0</v>
      </c>
      <c r="B5908" t="s">
        <v>1847</v>
      </c>
      <c r="C5908" t="s">
        <v>8843</v>
      </c>
      <c r="D5908" t="s">
        <v>18022</v>
      </c>
      <c r="E5908" t="s">
        <v>23373</v>
      </c>
      <c r="F5908" t="s">
        <v>31574</v>
      </c>
      <c r="G5908" t="s">
        <v>31581</v>
      </c>
      <c r="H5908" t="s">
        <v>31590</v>
      </c>
      <c r="I5908" t="s">
        <v>4046</v>
      </c>
      <c r="J5908" t="s">
        <v>35533</v>
      </c>
      <c r="K5908" t="s">
        <v>41193</v>
      </c>
      <c r="M5908" t="s">
        <v>43485</v>
      </c>
      <c r="N5908" t="s">
        <v>45095</v>
      </c>
      <c r="O5908" t="s">
        <v>45096</v>
      </c>
      <c r="P5908">
        <v>0</v>
      </c>
      <c r="Q5908">
        <v>2</v>
      </c>
      <c r="R5908" t="s">
        <v>45102</v>
      </c>
      <c r="S5908" t="s">
        <v>45242</v>
      </c>
      <c r="T5908" t="s">
        <v>47125</v>
      </c>
      <c r="U5908" t="s">
        <v>52425</v>
      </c>
      <c r="W5908" t="s">
        <v>43485</v>
      </c>
      <c r="X5908" t="s">
        <v>45103</v>
      </c>
    </row>
    <row r="5909" spans="1:24">
      <c r="A5909">
        <f>HYPERLINK("https://www.philgeps.gov.ph/GEPSNONPILOT/Tender/SplashBidNoticeAbstractUI.aspx?menuIndex=3&amp;refID=7039724&amp;Result=3","7039724")</f>
        <v>0</v>
      </c>
      <c r="B5909" t="s">
        <v>530</v>
      </c>
      <c r="C5909" t="s">
        <v>8844</v>
      </c>
      <c r="D5909" t="s">
        <v>18071</v>
      </c>
      <c r="E5909" t="s">
        <v>8844</v>
      </c>
      <c r="F5909" t="s">
        <v>31574</v>
      </c>
      <c r="G5909" t="s">
        <v>31582</v>
      </c>
      <c r="H5909" t="s">
        <v>31590</v>
      </c>
      <c r="I5909" t="s">
        <v>31613</v>
      </c>
      <c r="J5909" t="s">
        <v>35534</v>
      </c>
      <c r="K5909" t="s">
        <v>41186</v>
      </c>
      <c r="M5909" t="s">
        <v>42027</v>
      </c>
      <c r="N5909" t="s">
        <v>45095</v>
      </c>
      <c r="O5909" t="s">
        <v>45096</v>
      </c>
      <c r="P5909">
        <v>0</v>
      </c>
      <c r="Q5909">
        <v>0</v>
      </c>
      <c r="R5909" t="s">
        <v>45102</v>
      </c>
      <c r="S5909" t="s">
        <v>45242</v>
      </c>
      <c r="T5909" t="s">
        <v>47003</v>
      </c>
      <c r="U5909" t="s">
        <v>52426</v>
      </c>
      <c r="W5909" t="s">
        <v>42027</v>
      </c>
      <c r="X5909" t="s">
        <v>45103</v>
      </c>
    </row>
    <row r="5910" spans="1:24">
      <c r="A5910">
        <f>HYPERLINK("https://www.philgeps.gov.ph/GEPSNONPILOT/Tender/SplashBidNoticeAbstractUI.aspx?menuIndex=3&amp;refID=7039711&amp;Result=3","7039711")</f>
        <v>0</v>
      </c>
      <c r="B5910" t="s">
        <v>1866</v>
      </c>
      <c r="C5910" t="s">
        <v>8845</v>
      </c>
      <c r="D5910" t="s">
        <v>18047</v>
      </c>
      <c r="E5910" t="s">
        <v>23374</v>
      </c>
      <c r="F5910" t="s">
        <v>31574</v>
      </c>
      <c r="G5910" t="s">
        <v>31582</v>
      </c>
      <c r="H5910" t="s">
        <v>31590</v>
      </c>
      <c r="I5910" t="s">
        <v>31608</v>
      </c>
      <c r="J5910" t="s">
        <v>35535</v>
      </c>
      <c r="K5910" t="s">
        <v>41193</v>
      </c>
      <c r="M5910" t="s">
        <v>43505</v>
      </c>
      <c r="N5910" t="s">
        <v>45095</v>
      </c>
      <c r="O5910" t="s">
        <v>45096</v>
      </c>
      <c r="P5910">
        <v>0</v>
      </c>
      <c r="Q5910">
        <v>4</v>
      </c>
      <c r="R5910" t="s">
        <v>45102</v>
      </c>
      <c r="S5910" t="s">
        <v>45242</v>
      </c>
      <c r="T5910" t="s">
        <v>46911</v>
      </c>
      <c r="U5910" t="s">
        <v>52427</v>
      </c>
      <c r="W5910" t="s">
        <v>43505</v>
      </c>
      <c r="X5910" t="s">
        <v>45103</v>
      </c>
    </row>
    <row r="5911" spans="1:24">
      <c r="A5911">
        <f>HYPERLINK("https://www.philgeps.gov.ph/GEPSNONPILOT/Tender/SplashBidNoticeAbstractUI.aspx?menuIndex=3&amp;refID=7039719&amp;Result=3","7039719")</f>
        <v>0</v>
      </c>
      <c r="B5911" t="s">
        <v>105</v>
      </c>
      <c r="C5911" t="s">
        <v>8846</v>
      </c>
      <c r="D5911" t="s">
        <v>18062</v>
      </c>
      <c r="E5911" t="s">
        <v>23375</v>
      </c>
      <c r="F5911" t="s">
        <v>31574</v>
      </c>
      <c r="G5911" t="s">
        <v>31582</v>
      </c>
      <c r="H5911" t="s">
        <v>31590</v>
      </c>
      <c r="I5911" t="s">
        <v>31608</v>
      </c>
      <c r="J5911" t="s">
        <v>35536</v>
      </c>
      <c r="K5911" t="s">
        <v>41191</v>
      </c>
      <c r="M5911" t="s">
        <v>41589</v>
      </c>
      <c r="N5911" t="s">
        <v>45095</v>
      </c>
      <c r="O5911" t="s">
        <v>45096</v>
      </c>
      <c r="P5911">
        <v>0</v>
      </c>
      <c r="Q5911">
        <v>2</v>
      </c>
      <c r="R5911" t="s">
        <v>45102</v>
      </c>
      <c r="S5911" t="s">
        <v>45242</v>
      </c>
      <c r="T5911" t="s">
        <v>46954</v>
      </c>
      <c r="U5911" t="s">
        <v>52428</v>
      </c>
      <c r="W5911" t="s">
        <v>41589</v>
      </c>
      <c r="X5911" t="s">
        <v>45103</v>
      </c>
    </row>
    <row r="5912" spans="1:24">
      <c r="A5912">
        <f>HYPERLINK("https://www.philgeps.gov.ph/GEPSNONPILOT/Tender/SplashBidNoticeAbstractUI.aspx?menuIndex=3&amp;refID=7039704&amp;Result=3","7039704")</f>
        <v>0</v>
      </c>
      <c r="B5912" t="s">
        <v>334</v>
      </c>
      <c r="C5912" t="s">
        <v>8847</v>
      </c>
      <c r="D5912" t="s">
        <v>18050</v>
      </c>
      <c r="E5912" t="s">
        <v>23376</v>
      </c>
      <c r="F5912" t="s">
        <v>31574</v>
      </c>
      <c r="G5912" t="s">
        <v>31581</v>
      </c>
      <c r="H5912" t="s">
        <v>31590</v>
      </c>
      <c r="I5912" t="s">
        <v>3901</v>
      </c>
      <c r="J5912" t="s">
        <v>35537</v>
      </c>
      <c r="K5912" t="s">
        <v>41186</v>
      </c>
      <c r="M5912" t="s">
        <v>41822</v>
      </c>
      <c r="N5912" t="s">
        <v>45095</v>
      </c>
      <c r="O5912" t="s">
        <v>45096</v>
      </c>
      <c r="P5912">
        <v>0</v>
      </c>
      <c r="Q5912">
        <v>1</v>
      </c>
      <c r="R5912" t="s">
        <v>45102</v>
      </c>
      <c r="S5912" t="s">
        <v>45242</v>
      </c>
      <c r="T5912" t="s">
        <v>46936</v>
      </c>
      <c r="U5912" t="s">
        <v>52429</v>
      </c>
      <c r="W5912" t="s">
        <v>61663</v>
      </c>
      <c r="X5912" t="s">
        <v>45103</v>
      </c>
    </row>
    <row r="5913" spans="1:24">
      <c r="A5913">
        <f>HYPERLINK("https://www.philgeps.gov.ph/GEPSNONPILOT/Tender/SplashBidNoticeAbstractUI.aspx?menuIndex=3&amp;refID=7039722&amp;Result=3","7039722")</f>
        <v>0</v>
      </c>
      <c r="B5913" t="s">
        <v>62</v>
      </c>
      <c r="C5913" t="s">
        <v>8848</v>
      </c>
      <c r="D5913" t="s">
        <v>18037</v>
      </c>
      <c r="E5913" t="s">
        <v>23377</v>
      </c>
      <c r="F5913" t="s">
        <v>31574</v>
      </c>
      <c r="G5913" t="s">
        <v>31581</v>
      </c>
      <c r="H5913" t="s">
        <v>31590</v>
      </c>
      <c r="I5913" t="s">
        <v>31630</v>
      </c>
      <c r="J5913" t="s">
        <v>35538</v>
      </c>
      <c r="K5913" t="s">
        <v>41184</v>
      </c>
      <c r="L5913" t="s">
        <v>62</v>
      </c>
      <c r="M5913" t="s">
        <v>41546</v>
      </c>
      <c r="N5913" t="s">
        <v>45095</v>
      </c>
      <c r="O5913" t="s">
        <v>45096</v>
      </c>
      <c r="P5913">
        <v>0</v>
      </c>
      <c r="Q5913">
        <v>2</v>
      </c>
      <c r="R5913" t="s">
        <v>45102</v>
      </c>
      <c r="S5913" t="s">
        <v>45242</v>
      </c>
      <c r="T5913" t="s">
        <v>47050</v>
      </c>
      <c r="U5913" t="s">
        <v>52430</v>
      </c>
      <c r="W5913" t="s">
        <v>41546</v>
      </c>
      <c r="X5913" t="s">
        <v>45103</v>
      </c>
    </row>
    <row r="5914" spans="1:24">
      <c r="A5914">
        <f>HYPERLINK("https://www.philgeps.gov.ph/GEPSNONPILOT/Tender/SplashBidNoticeAbstractUI.aspx?menuIndex=3&amp;refID=7039712&amp;Result=3","7039712")</f>
        <v>0</v>
      </c>
      <c r="B5914" t="s">
        <v>1386</v>
      </c>
      <c r="C5914" t="s">
        <v>8849</v>
      </c>
      <c r="D5914" t="s">
        <v>18039</v>
      </c>
      <c r="E5914" t="s">
        <v>23378</v>
      </c>
      <c r="F5914" t="s">
        <v>31574</v>
      </c>
      <c r="G5914" t="s">
        <v>31582</v>
      </c>
      <c r="H5914" t="s">
        <v>31591</v>
      </c>
      <c r="I5914" t="s">
        <v>8822</v>
      </c>
      <c r="J5914" t="s">
        <v>35539</v>
      </c>
      <c r="K5914" t="s">
        <v>41184</v>
      </c>
      <c r="M5914" t="s">
        <v>42960</v>
      </c>
      <c r="N5914" t="s">
        <v>45095</v>
      </c>
      <c r="O5914" t="s">
        <v>45096</v>
      </c>
      <c r="P5914">
        <v>0</v>
      </c>
      <c r="Q5914">
        <v>0</v>
      </c>
      <c r="R5914" t="s">
        <v>45102</v>
      </c>
      <c r="S5914" t="s">
        <v>45242</v>
      </c>
      <c r="T5914" t="s">
        <v>47166</v>
      </c>
      <c r="U5914" t="s">
        <v>52431</v>
      </c>
      <c r="W5914" t="s">
        <v>42960</v>
      </c>
      <c r="X5914" t="s">
        <v>45103</v>
      </c>
    </row>
    <row r="5915" spans="1:24">
      <c r="A5915">
        <f>HYPERLINK("https://www.philgeps.gov.ph/GEPSNONPILOT/Tender/SplashBidNoticeAbstractUI.aspx?menuIndex=3&amp;refID=7039730&amp;Result=3","7039730")</f>
        <v>0</v>
      </c>
      <c r="B5915" t="s">
        <v>1880</v>
      </c>
      <c r="C5915" t="s">
        <v>8850</v>
      </c>
      <c r="D5915" t="s">
        <v>18056</v>
      </c>
      <c r="E5915" t="s">
        <v>23379</v>
      </c>
      <c r="F5915" t="s">
        <v>31574</v>
      </c>
      <c r="G5915" t="s">
        <v>31581</v>
      </c>
      <c r="H5915" t="s">
        <v>31590</v>
      </c>
      <c r="I5915" t="s">
        <v>31595</v>
      </c>
      <c r="J5915" t="s">
        <v>34508</v>
      </c>
      <c r="K5915" t="s">
        <v>41186</v>
      </c>
      <c r="M5915" t="s">
        <v>43521</v>
      </c>
      <c r="N5915" t="s">
        <v>45095</v>
      </c>
      <c r="O5915" t="s">
        <v>45096</v>
      </c>
      <c r="P5915">
        <v>0</v>
      </c>
      <c r="Q5915">
        <v>0</v>
      </c>
      <c r="R5915" t="s">
        <v>45102</v>
      </c>
      <c r="S5915" t="s">
        <v>45242</v>
      </c>
      <c r="T5915" t="s">
        <v>47125</v>
      </c>
      <c r="U5915" t="s">
        <v>52432</v>
      </c>
      <c r="W5915" t="s">
        <v>43521</v>
      </c>
      <c r="X5915" t="s">
        <v>45103</v>
      </c>
    </row>
    <row r="5916" spans="1:24">
      <c r="A5916">
        <f>HYPERLINK("https://www.philgeps.gov.ph/GEPSNONPILOT/Tender/SplashBidNoticeAbstractUI.aspx?menuIndex=3&amp;refID=7039729&amp;Result=3","7039729")</f>
        <v>0</v>
      </c>
      <c r="B5916" t="s">
        <v>522</v>
      </c>
      <c r="C5916" t="s">
        <v>8851</v>
      </c>
      <c r="D5916" t="s">
        <v>18101</v>
      </c>
      <c r="E5916" t="s">
        <v>23380</v>
      </c>
      <c r="F5916" t="s">
        <v>31575</v>
      </c>
      <c r="G5916" t="s">
        <v>31581</v>
      </c>
      <c r="H5916" t="s">
        <v>31592</v>
      </c>
      <c r="I5916" t="s">
        <v>14034</v>
      </c>
      <c r="J5916" t="s">
        <v>32014</v>
      </c>
      <c r="K5916" t="s">
        <v>41193</v>
      </c>
      <c r="M5916" t="s">
        <v>42018</v>
      </c>
      <c r="N5916" t="s">
        <v>45095</v>
      </c>
      <c r="O5916" t="s">
        <v>45096</v>
      </c>
      <c r="P5916">
        <v>0</v>
      </c>
      <c r="Q5916">
        <v>0</v>
      </c>
      <c r="R5916" t="s">
        <v>45102</v>
      </c>
      <c r="S5916" t="s">
        <v>45242</v>
      </c>
      <c r="T5916" t="s">
        <v>46936</v>
      </c>
      <c r="U5916" t="s">
        <v>52433</v>
      </c>
      <c r="W5916" t="s">
        <v>42018</v>
      </c>
      <c r="X5916" t="s">
        <v>45103</v>
      </c>
    </row>
    <row r="5917" spans="1:24">
      <c r="A5917">
        <f>HYPERLINK("https://www.philgeps.gov.ph/GEPSNONPILOT/Tender/SplashBidNoticeAbstractUI.aspx?menuIndex=3&amp;refID=7039706&amp;Result=3","7039706")</f>
        <v>0</v>
      </c>
      <c r="B5917" t="s">
        <v>1872</v>
      </c>
      <c r="C5917" t="s">
        <v>8852</v>
      </c>
      <c r="D5917" t="s">
        <v>18095</v>
      </c>
      <c r="E5917" t="s">
        <v>23381</v>
      </c>
      <c r="F5917" t="s">
        <v>31574</v>
      </c>
      <c r="G5917" t="s">
        <v>31583</v>
      </c>
      <c r="H5917" t="s">
        <v>31590</v>
      </c>
      <c r="I5917" t="s">
        <v>8258</v>
      </c>
      <c r="J5917" t="s">
        <v>34970</v>
      </c>
      <c r="K5917" t="s">
        <v>41193</v>
      </c>
      <c r="M5917" t="s">
        <v>43512</v>
      </c>
      <c r="N5917" t="s">
        <v>45095</v>
      </c>
      <c r="O5917" t="s">
        <v>45096</v>
      </c>
      <c r="P5917">
        <v>0</v>
      </c>
      <c r="Q5917">
        <v>2</v>
      </c>
      <c r="R5917" t="s">
        <v>45102</v>
      </c>
      <c r="S5917" t="s">
        <v>45242</v>
      </c>
      <c r="T5917" t="s">
        <v>46934</v>
      </c>
      <c r="U5917" t="s">
        <v>52434</v>
      </c>
      <c r="W5917" t="s">
        <v>43512</v>
      </c>
      <c r="X5917" t="s">
        <v>45103</v>
      </c>
    </row>
    <row r="5918" spans="1:24">
      <c r="A5918">
        <f>HYPERLINK("https://www.philgeps.gov.ph/GEPSNONPILOT/Tender/SplashBidNoticeAbstractUI.aspx?menuIndex=3&amp;refID=7039731&amp;Result=3","7039731")</f>
        <v>0</v>
      </c>
      <c r="B5918" t="s">
        <v>178</v>
      </c>
      <c r="C5918" t="s">
        <v>8853</v>
      </c>
      <c r="D5918" t="s">
        <v>18078</v>
      </c>
      <c r="E5918" t="s">
        <v>23382</v>
      </c>
      <c r="F5918" t="s">
        <v>31574</v>
      </c>
      <c r="G5918" t="s">
        <v>31581</v>
      </c>
      <c r="H5918" t="s">
        <v>31591</v>
      </c>
      <c r="I5918" t="s">
        <v>8822</v>
      </c>
      <c r="J5918" t="s">
        <v>35540</v>
      </c>
      <c r="K5918" t="s">
        <v>41186</v>
      </c>
      <c r="M5918" t="s">
        <v>41662</v>
      </c>
      <c r="N5918" t="s">
        <v>45095</v>
      </c>
      <c r="O5918" t="s">
        <v>45096</v>
      </c>
      <c r="P5918">
        <v>0</v>
      </c>
      <c r="Q5918">
        <v>0</v>
      </c>
      <c r="R5918" t="s">
        <v>45102</v>
      </c>
      <c r="S5918" t="s">
        <v>45242</v>
      </c>
      <c r="T5918" t="s">
        <v>46963</v>
      </c>
      <c r="U5918" t="s">
        <v>52435</v>
      </c>
      <c r="V5918" t="s">
        <v>60478</v>
      </c>
      <c r="W5918" t="s">
        <v>41662</v>
      </c>
      <c r="X5918" t="s">
        <v>45103</v>
      </c>
    </row>
    <row r="5919" spans="1:24">
      <c r="A5919">
        <f>HYPERLINK("https://www.philgeps.gov.ph/GEPSNONPILOT/Tender/SplashBidNoticeAbstractUI.aspx?menuIndex=3&amp;refID=7039727&amp;Result=3","7039727")</f>
        <v>0</v>
      </c>
      <c r="B5919" t="s">
        <v>1881</v>
      </c>
      <c r="C5919" t="s">
        <v>8854</v>
      </c>
      <c r="D5919" t="s">
        <v>18022</v>
      </c>
      <c r="E5919" t="s">
        <v>23383</v>
      </c>
      <c r="F5919" t="s">
        <v>31574</v>
      </c>
      <c r="G5919" t="s">
        <v>31581</v>
      </c>
      <c r="H5919" t="s">
        <v>31590</v>
      </c>
      <c r="I5919" t="s">
        <v>31695</v>
      </c>
      <c r="J5919" t="s">
        <v>35541</v>
      </c>
      <c r="K5919" t="s">
        <v>41186</v>
      </c>
      <c r="M5919" t="s">
        <v>43524</v>
      </c>
      <c r="N5919" t="s">
        <v>45095</v>
      </c>
      <c r="O5919" t="s">
        <v>45096</v>
      </c>
      <c r="P5919">
        <v>0</v>
      </c>
      <c r="Q5919">
        <v>1</v>
      </c>
      <c r="R5919" t="s">
        <v>45102</v>
      </c>
      <c r="S5919" t="s">
        <v>45242</v>
      </c>
      <c r="T5919" t="s">
        <v>47159</v>
      </c>
      <c r="U5919" t="s">
        <v>52436</v>
      </c>
      <c r="V5919" t="s">
        <v>60479</v>
      </c>
      <c r="W5919" t="s">
        <v>43524</v>
      </c>
      <c r="X5919" t="s">
        <v>45103</v>
      </c>
    </row>
    <row r="5920" spans="1:24">
      <c r="A5920">
        <f>HYPERLINK("https://www.philgeps.gov.ph/GEPSNONPILOT/Tender/SplashBidNoticeAbstractUI.aspx?menuIndex=3&amp;refID=7039721&amp;Result=3","7039721")</f>
        <v>0</v>
      </c>
      <c r="B5920" t="s">
        <v>1789</v>
      </c>
      <c r="C5920" t="s">
        <v>8855</v>
      </c>
      <c r="D5920" t="s">
        <v>18033</v>
      </c>
      <c r="E5920" t="s">
        <v>23384</v>
      </c>
      <c r="F5920" t="s">
        <v>31574</v>
      </c>
      <c r="G5920" t="s">
        <v>31582</v>
      </c>
      <c r="H5920" t="s">
        <v>31590</v>
      </c>
      <c r="I5920" t="s">
        <v>31630</v>
      </c>
      <c r="J5920" t="s">
        <v>32019</v>
      </c>
      <c r="K5920" t="s">
        <v>41190</v>
      </c>
      <c r="M5920" t="s">
        <v>43420</v>
      </c>
      <c r="N5920" t="s">
        <v>45095</v>
      </c>
      <c r="O5920" t="s">
        <v>45096</v>
      </c>
      <c r="P5920">
        <v>0</v>
      </c>
      <c r="Q5920">
        <v>2</v>
      </c>
      <c r="R5920" t="s">
        <v>45102</v>
      </c>
      <c r="S5920" t="s">
        <v>45242</v>
      </c>
      <c r="T5920" t="s">
        <v>47258</v>
      </c>
      <c r="U5920" t="s">
        <v>52083</v>
      </c>
      <c r="W5920" t="s">
        <v>61717</v>
      </c>
      <c r="X5920" t="s">
        <v>45103</v>
      </c>
    </row>
    <row r="5921" spans="1:24">
      <c r="A5921">
        <f>HYPERLINK("https://www.philgeps.gov.ph/GEPSNONPILOT/Tender/SplashBidNoticeAbstractUI.aspx?menuIndex=3&amp;refID=7039726&amp;Result=3","7039726")</f>
        <v>0</v>
      </c>
      <c r="B5921" t="s">
        <v>1014</v>
      </c>
      <c r="C5921" t="s">
        <v>8856</v>
      </c>
      <c r="D5921" t="s">
        <v>18059</v>
      </c>
      <c r="E5921" t="s">
        <v>23385</v>
      </c>
      <c r="F5921" t="s">
        <v>31574</v>
      </c>
      <c r="G5921" t="s">
        <v>31582</v>
      </c>
      <c r="H5921" t="s">
        <v>31590</v>
      </c>
      <c r="I5921" t="s">
        <v>31607</v>
      </c>
      <c r="J5921" t="s">
        <v>35542</v>
      </c>
      <c r="K5921" t="s">
        <v>41186</v>
      </c>
      <c r="M5921" t="s">
        <v>42555</v>
      </c>
      <c r="N5921" t="s">
        <v>45095</v>
      </c>
      <c r="O5921" t="s">
        <v>45096</v>
      </c>
      <c r="P5921">
        <v>0</v>
      </c>
      <c r="Q5921">
        <v>2</v>
      </c>
      <c r="R5921" t="s">
        <v>45102</v>
      </c>
      <c r="S5921" t="s">
        <v>45242</v>
      </c>
      <c r="T5921" t="s">
        <v>46988</v>
      </c>
      <c r="U5921" t="s">
        <v>52437</v>
      </c>
      <c r="W5921" t="s">
        <v>42555</v>
      </c>
      <c r="X5921" t="s">
        <v>45103</v>
      </c>
    </row>
    <row r="5922" spans="1:24">
      <c r="A5922">
        <f>HYPERLINK("https://www.philgeps.gov.ph/GEPSNONPILOT/Tender/SplashBidNoticeAbstractUI.aspx?menuIndex=3&amp;refID=7039732&amp;Result=3","7039732")</f>
        <v>0</v>
      </c>
      <c r="B5922" t="s">
        <v>1882</v>
      </c>
      <c r="C5922" t="s">
        <v>8857</v>
      </c>
      <c r="E5922" t="s">
        <v>23386</v>
      </c>
      <c r="F5922" t="s">
        <v>31574</v>
      </c>
      <c r="G5922" t="s">
        <v>31581</v>
      </c>
      <c r="H5922" t="s">
        <v>31592</v>
      </c>
      <c r="I5922" t="s">
        <v>31623</v>
      </c>
      <c r="J5922" t="s">
        <v>31804</v>
      </c>
      <c r="K5922" t="s">
        <v>41186</v>
      </c>
      <c r="M5922" t="s">
        <v>43525</v>
      </c>
      <c r="N5922" t="s">
        <v>45095</v>
      </c>
      <c r="O5922" t="s">
        <v>45096</v>
      </c>
      <c r="P5922">
        <v>0</v>
      </c>
      <c r="Q5922">
        <v>0</v>
      </c>
      <c r="R5922" t="s">
        <v>45102</v>
      </c>
      <c r="S5922" t="s">
        <v>45242</v>
      </c>
      <c r="T5922" t="s">
        <v>47159</v>
      </c>
      <c r="U5922" t="s">
        <v>52438</v>
      </c>
      <c r="W5922" t="s">
        <v>43525</v>
      </c>
      <c r="X5922" t="s">
        <v>45103</v>
      </c>
    </row>
    <row r="5923" spans="1:24">
      <c r="A5923">
        <f>HYPERLINK("https://www.philgeps.gov.ph/GEPSNONPILOT/Tender/SplashBidNoticeAbstractUI.aspx?menuIndex=3&amp;refID=7039734&amp;Result=3","7039734")</f>
        <v>0</v>
      </c>
      <c r="B5923" t="s">
        <v>1832</v>
      </c>
      <c r="C5923" t="s">
        <v>8858</v>
      </c>
      <c r="D5923" t="s">
        <v>18034</v>
      </c>
      <c r="E5923" t="s">
        <v>23387</v>
      </c>
      <c r="F5923" t="s">
        <v>31574</v>
      </c>
      <c r="G5923" t="s">
        <v>31582</v>
      </c>
      <c r="H5923" t="s">
        <v>31590</v>
      </c>
      <c r="I5923" t="s">
        <v>31660</v>
      </c>
      <c r="J5923" t="s">
        <v>34144</v>
      </c>
      <c r="K5923" t="s">
        <v>41186</v>
      </c>
      <c r="M5923" t="s">
        <v>43468</v>
      </c>
      <c r="N5923" t="s">
        <v>45095</v>
      </c>
      <c r="O5923" t="s">
        <v>45096</v>
      </c>
      <c r="P5923">
        <v>0</v>
      </c>
      <c r="Q5923">
        <v>0</v>
      </c>
      <c r="R5923" t="s">
        <v>45102</v>
      </c>
      <c r="S5923" t="s">
        <v>45242</v>
      </c>
      <c r="T5923" t="s">
        <v>46973</v>
      </c>
      <c r="U5923" t="s">
        <v>52439</v>
      </c>
      <c r="W5923" t="s">
        <v>43468</v>
      </c>
      <c r="X5923" t="s">
        <v>45103</v>
      </c>
    </row>
    <row r="5924" spans="1:24">
      <c r="A5924">
        <f>HYPERLINK("https://www.philgeps.gov.ph/GEPSNONPILOT/Tender/SplashBidNoticeAbstractUI.aspx?menuIndex=3&amp;refID=7039733&amp;Result=3","7039733")</f>
        <v>0</v>
      </c>
      <c r="B5924" t="s">
        <v>1883</v>
      </c>
      <c r="C5924" t="s">
        <v>8859</v>
      </c>
      <c r="D5924" t="s">
        <v>18022</v>
      </c>
      <c r="E5924" t="s">
        <v>23388</v>
      </c>
      <c r="F5924" t="s">
        <v>31574</v>
      </c>
      <c r="G5924" t="s">
        <v>31583</v>
      </c>
      <c r="H5924" t="s">
        <v>31590</v>
      </c>
      <c r="I5924" t="s">
        <v>31606</v>
      </c>
      <c r="J5924" t="s">
        <v>33007</v>
      </c>
      <c r="K5924" t="s">
        <v>41193</v>
      </c>
      <c r="M5924" t="s">
        <v>43526</v>
      </c>
      <c r="N5924" t="s">
        <v>45095</v>
      </c>
      <c r="O5924" t="s">
        <v>45096</v>
      </c>
      <c r="P5924">
        <v>0</v>
      </c>
      <c r="Q5924">
        <v>2</v>
      </c>
      <c r="R5924" t="s">
        <v>45102</v>
      </c>
      <c r="S5924" t="s">
        <v>45242</v>
      </c>
      <c r="T5924" t="s">
        <v>47159</v>
      </c>
      <c r="U5924" t="s">
        <v>52440</v>
      </c>
      <c r="W5924" t="s">
        <v>43526</v>
      </c>
      <c r="X5924" t="s">
        <v>45103</v>
      </c>
    </row>
    <row r="5925" spans="1:24">
      <c r="A5925">
        <f>HYPERLINK("https://www.philgeps.gov.ph/GEPSNONPILOT/Tender/SplashBidNoticeAbstractUI.aspx?menuIndex=3&amp;refID=7039738&amp;Result=3","7039738")</f>
        <v>0</v>
      </c>
      <c r="B5925" t="s">
        <v>955</v>
      </c>
      <c r="C5925" t="s">
        <v>8860</v>
      </c>
      <c r="D5925" t="s">
        <v>18043</v>
      </c>
      <c r="E5925" t="s">
        <v>23389</v>
      </c>
      <c r="F5925" t="s">
        <v>31574</v>
      </c>
      <c r="G5925" t="s">
        <v>31582</v>
      </c>
      <c r="H5925" t="s">
        <v>31590</v>
      </c>
      <c r="I5925" t="s">
        <v>31615</v>
      </c>
      <c r="J5925" t="s">
        <v>35543</v>
      </c>
      <c r="K5925" t="s">
        <v>41184</v>
      </c>
      <c r="M5925" t="s">
        <v>42482</v>
      </c>
      <c r="N5925" t="s">
        <v>45095</v>
      </c>
      <c r="O5925" t="s">
        <v>45096</v>
      </c>
      <c r="P5925">
        <v>0</v>
      </c>
      <c r="Q5925">
        <v>2</v>
      </c>
      <c r="R5925" t="s">
        <v>45102</v>
      </c>
      <c r="S5925" t="s">
        <v>45242</v>
      </c>
      <c r="T5925" t="s">
        <v>47198</v>
      </c>
      <c r="U5925" t="s">
        <v>52441</v>
      </c>
      <c r="W5925" t="s">
        <v>42482</v>
      </c>
      <c r="X5925" t="s">
        <v>45103</v>
      </c>
    </row>
    <row r="5926" spans="1:24">
      <c r="A5926">
        <f>HYPERLINK("https://www.philgeps.gov.ph/GEPSNONPILOT/Tender/SplashBidNoticeAbstractUI.aspx?menuIndex=3&amp;refID=7039760&amp;Result=3","7039760")</f>
        <v>0</v>
      </c>
      <c r="B5926" t="s">
        <v>1832</v>
      </c>
      <c r="C5926" t="s">
        <v>8861</v>
      </c>
      <c r="D5926" t="s">
        <v>18034</v>
      </c>
      <c r="E5926" t="s">
        <v>23390</v>
      </c>
      <c r="F5926" t="s">
        <v>31574</v>
      </c>
      <c r="G5926" t="s">
        <v>31582</v>
      </c>
      <c r="H5926" t="s">
        <v>31590</v>
      </c>
      <c r="I5926" t="s">
        <v>3651</v>
      </c>
      <c r="J5926" t="s">
        <v>32017</v>
      </c>
      <c r="K5926" t="s">
        <v>41184</v>
      </c>
      <c r="M5926" t="s">
        <v>43468</v>
      </c>
      <c r="N5926" t="s">
        <v>45095</v>
      </c>
      <c r="O5926" t="s">
        <v>45096</v>
      </c>
      <c r="P5926">
        <v>0</v>
      </c>
      <c r="Q5926">
        <v>0</v>
      </c>
      <c r="R5926" t="s">
        <v>45102</v>
      </c>
      <c r="S5926" t="s">
        <v>45242</v>
      </c>
      <c r="T5926" t="s">
        <v>46973</v>
      </c>
      <c r="U5926" t="s">
        <v>52442</v>
      </c>
      <c r="W5926" t="s">
        <v>43468</v>
      </c>
      <c r="X5926" t="s">
        <v>45103</v>
      </c>
    </row>
    <row r="5927" spans="1:24">
      <c r="A5927">
        <f>HYPERLINK("https://www.philgeps.gov.ph/GEPSNONPILOT/Tender/SplashBidNoticeAbstractUI.aspx?menuIndex=3&amp;refID=7039741&amp;Result=3","7039741")</f>
        <v>0</v>
      </c>
      <c r="B5927" t="s">
        <v>627</v>
      </c>
      <c r="C5927" t="s">
        <v>8862</v>
      </c>
      <c r="E5927" t="s">
        <v>23391</v>
      </c>
      <c r="F5927" t="s">
        <v>31574</v>
      </c>
      <c r="G5927" t="s">
        <v>31581</v>
      </c>
      <c r="H5927" t="s">
        <v>31590</v>
      </c>
      <c r="I5927" t="s">
        <v>31602</v>
      </c>
      <c r="J5927" t="s">
        <v>31821</v>
      </c>
      <c r="K5927" t="s">
        <v>41184</v>
      </c>
      <c r="M5927" t="s">
        <v>42131</v>
      </c>
      <c r="N5927" t="s">
        <v>45095</v>
      </c>
      <c r="O5927" t="s">
        <v>45096</v>
      </c>
      <c r="P5927">
        <v>0</v>
      </c>
      <c r="Q5927">
        <v>0</v>
      </c>
      <c r="R5927" t="s">
        <v>45102</v>
      </c>
      <c r="S5927" t="s">
        <v>45242</v>
      </c>
      <c r="T5927" t="s">
        <v>47183</v>
      </c>
      <c r="U5927" t="s">
        <v>52443</v>
      </c>
      <c r="W5927" t="s">
        <v>42131</v>
      </c>
      <c r="X5927" t="s">
        <v>45103</v>
      </c>
    </row>
    <row r="5928" spans="1:24">
      <c r="A5928">
        <f>HYPERLINK("https://www.philgeps.gov.ph/GEPSNONPILOT/Tender/SplashBidNoticeAbstractUI.aspx?menuIndex=3&amp;refID=7039753&amp;Result=3","7039753")</f>
        <v>0</v>
      </c>
      <c r="B5928" t="s">
        <v>1310</v>
      </c>
      <c r="C5928" t="s">
        <v>8863</v>
      </c>
      <c r="D5928" t="s">
        <v>18074</v>
      </c>
      <c r="E5928" t="s">
        <v>23392</v>
      </c>
      <c r="F5928" t="s">
        <v>31574</v>
      </c>
      <c r="G5928" t="s">
        <v>31582</v>
      </c>
      <c r="H5928" t="s">
        <v>31590</v>
      </c>
      <c r="I5928" t="s">
        <v>6800</v>
      </c>
      <c r="J5928" t="s">
        <v>35544</v>
      </c>
      <c r="K5928" t="s">
        <v>41190</v>
      </c>
      <c r="M5928" t="s">
        <v>42880</v>
      </c>
      <c r="N5928" t="s">
        <v>45095</v>
      </c>
      <c r="O5928" t="s">
        <v>45096</v>
      </c>
      <c r="P5928">
        <v>0</v>
      </c>
      <c r="Q5928">
        <v>0</v>
      </c>
      <c r="R5928" t="s">
        <v>45102</v>
      </c>
      <c r="S5928" t="s">
        <v>45242</v>
      </c>
      <c r="T5928" t="s">
        <v>47043</v>
      </c>
      <c r="U5928" t="s">
        <v>52444</v>
      </c>
      <c r="W5928" t="s">
        <v>42880</v>
      </c>
      <c r="X5928" t="s">
        <v>45103</v>
      </c>
    </row>
    <row r="5929" spans="1:24">
      <c r="A5929">
        <f>HYPERLINK("https://www.philgeps.gov.ph/GEPSNONPILOT/Tender/SplashBidNoticeAbstractUI.aspx?menuIndex=3&amp;refID=7039739&amp;Result=3","7039739")</f>
        <v>0</v>
      </c>
      <c r="B5929" t="s">
        <v>1443</v>
      </c>
      <c r="C5929" t="s">
        <v>8864</v>
      </c>
      <c r="D5929" t="s">
        <v>18074</v>
      </c>
      <c r="E5929" t="s">
        <v>23393</v>
      </c>
      <c r="F5929" t="s">
        <v>31574</v>
      </c>
      <c r="G5929" t="s">
        <v>31582</v>
      </c>
      <c r="H5929" t="s">
        <v>31591</v>
      </c>
      <c r="I5929" t="s">
        <v>8822</v>
      </c>
      <c r="J5929" t="s">
        <v>35545</v>
      </c>
      <c r="K5929" t="s">
        <v>41200</v>
      </c>
      <c r="M5929" t="s">
        <v>43523</v>
      </c>
      <c r="N5929" t="s">
        <v>45095</v>
      </c>
      <c r="O5929" t="s">
        <v>45096</v>
      </c>
      <c r="P5929">
        <v>0</v>
      </c>
      <c r="Q5929">
        <v>0</v>
      </c>
      <c r="R5929" t="s">
        <v>45102</v>
      </c>
      <c r="S5929" t="s">
        <v>45242</v>
      </c>
      <c r="T5929" t="s">
        <v>47272</v>
      </c>
      <c r="U5929" t="s">
        <v>52445</v>
      </c>
      <c r="V5929" t="s">
        <v>60477</v>
      </c>
      <c r="W5929" t="s">
        <v>43523</v>
      </c>
      <c r="X5929" t="s">
        <v>45103</v>
      </c>
    </row>
    <row r="5930" spans="1:24">
      <c r="A5930">
        <f>HYPERLINK("https://www.philgeps.gov.ph/GEPSNONPILOT/Tender/SplashBidNoticeAbstractUI.aspx?menuIndex=3&amp;refID=7039748&amp;Result=3","7039748")</f>
        <v>0</v>
      </c>
      <c r="B5930" t="s">
        <v>1862</v>
      </c>
      <c r="C5930" t="s">
        <v>8753</v>
      </c>
      <c r="D5930" t="s">
        <v>18041</v>
      </c>
      <c r="E5930" t="s">
        <v>23294</v>
      </c>
      <c r="F5930" t="s">
        <v>31574</v>
      </c>
      <c r="G5930" t="s">
        <v>31583</v>
      </c>
      <c r="H5930" t="s">
        <v>31590</v>
      </c>
      <c r="I5930" t="s">
        <v>31600</v>
      </c>
      <c r="J5930" t="s">
        <v>35546</v>
      </c>
      <c r="K5930" t="s">
        <v>41190</v>
      </c>
      <c r="M5930" t="s">
        <v>43500</v>
      </c>
      <c r="N5930" t="s">
        <v>45095</v>
      </c>
      <c r="O5930" t="s">
        <v>45096</v>
      </c>
      <c r="P5930">
        <v>0</v>
      </c>
      <c r="Q5930">
        <v>0</v>
      </c>
      <c r="R5930" t="s">
        <v>45102</v>
      </c>
      <c r="S5930" t="s">
        <v>45242</v>
      </c>
      <c r="T5930" t="s">
        <v>47273</v>
      </c>
      <c r="U5930" t="s">
        <v>52446</v>
      </c>
      <c r="W5930" t="s">
        <v>43500</v>
      </c>
      <c r="X5930" t="s">
        <v>45103</v>
      </c>
    </row>
    <row r="5931" spans="1:24">
      <c r="A5931">
        <f>HYPERLINK("https://www.philgeps.gov.ph/GEPSNONPILOT/Tender/SplashBidNoticeAbstractUI.aspx?menuIndex=3&amp;refID=7039747&amp;Result=3","7039747")</f>
        <v>0</v>
      </c>
      <c r="B5931" t="s">
        <v>348</v>
      </c>
      <c r="C5931" t="s">
        <v>8865</v>
      </c>
      <c r="D5931" t="s">
        <v>18026</v>
      </c>
      <c r="E5931" t="s">
        <v>23394</v>
      </c>
      <c r="F5931" t="s">
        <v>31574</v>
      </c>
      <c r="G5931" t="s">
        <v>31583</v>
      </c>
      <c r="H5931" t="s">
        <v>31590</v>
      </c>
      <c r="I5931" t="s">
        <v>31661</v>
      </c>
      <c r="J5931" t="s">
        <v>31962</v>
      </c>
      <c r="K5931" t="s">
        <v>41185</v>
      </c>
      <c r="M5931" t="s">
        <v>41836</v>
      </c>
      <c r="N5931" t="s">
        <v>45095</v>
      </c>
      <c r="O5931" t="s">
        <v>45096</v>
      </c>
      <c r="P5931">
        <v>0</v>
      </c>
      <c r="Q5931">
        <v>3</v>
      </c>
      <c r="R5931" t="s">
        <v>45102</v>
      </c>
      <c r="S5931" t="s">
        <v>45242</v>
      </c>
      <c r="T5931" t="s">
        <v>47158</v>
      </c>
      <c r="U5931" t="s">
        <v>48153</v>
      </c>
      <c r="W5931" t="s">
        <v>41836</v>
      </c>
      <c r="X5931" t="s">
        <v>45103</v>
      </c>
    </row>
    <row r="5932" spans="1:24">
      <c r="A5932">
        <f>HYPERLINK("https://www.philgeps.gov.ph/GEPSNONPILOT/Tender/SplashBidNoticeAbstractUI.aspx?menuIndex=3&amp;refID=7039759&amp;Result=3","7039759")</f>
        <v>0</v>
      </c>
      <c r="B5932" t="s">
        <v>1884</v>
      </c>
      <c r="C5932" t="s">
        <v>8866</v>
      </c>
      <c r="D5932" t="s">
        <v>18071</v>
      </c>
      <c r="E5932" t="s">
        <v>23395</v>
      </c>
      <c r="F5932" t="s">
        <v>31574</v>
      </c>
      <c r="G5932" t="s">
        <v>31581</v>
      </c>
      <c r="H5932" t="s">
        <v>31590</v>
      </c>
      <c r="I5932" t="s">
        <v>31610</v>
      </c>
      <c r="J5932" t="s">
        <v>35547</v>
      </c>
      <c r="K5932" t="s">
        <v>41190</v>
      </c>
      <c r="M5932" t="s">
        <v>43527</v>
      </c>
      <c r="N5932" t="s">
        <v>45095</v>
      </c>
      <c r="O5932" t="s">
        <v>45096</v>
      </c>
      <c r="P5932">
        <v>0</v>
      </c>
      <c r="Q5932">
        <v>0</v>
      </c>
      <c r="R5932" t="s">
        <v>45102</v>
      </c>
      <c r="S5932" t="s">
        <v>45242</v>
      </c>
      <c r="T5932" t="s">
        <v>47159</v>
      </c>
      <c r="U5932" t="s">
        <v>52447</v>
      </c>
      <c r="W5932" t="s">
        <v>43527</v>
      </c>
      <c r="X5932" t="s">
        <v>45103</v>
      </c>
    </row>
    <row r="5933" spans="1:24">
      <c r="A5933">
        <f>HYPERLINK("https://www.philgeps.gov.ph/GEPSNONPILOT/Tender/SplashBidNoticeAbstractUI.aspx?menuIndex=3&amp;refID=7039737&amp;Result=3","7039737")</f>
        <v>0</v>
      </c>
      <c r="B5933" t="s">
        <v>1872</v>
      </c>
      <c r="C5933" t="s">
        <v>8867</v>
      </c>
      <c r="D5933" t="s">
        <v>18095</v>
      </c>
      <c r="E5933" t="s">
        <v>23396</v>
      </c>
      <c r="F5933" t="s">
        <v>31574</v>
      </c>
      <c r="G5933" t="s">
        <v>31583</v>
      </c>
      <c r="H5933" t="s">
        <v>31590</v>
      </c>
      <c r="I5933" t="s">
        <v>8056</v>
      </c>
      <c r="J5933" t="s">
        <v>31764</v>
      </c>
      <c r="K5933" t="s">
        <v>41193</v>
      </c>
      <c r="M5933" t="s">
        <v>43512</v>
      </c>
      <c r="N5933" t="s">
        <v>45095</v>
      </c>
      <c r="O5933" t="s">
        <v>45096</v>
      </c>
      <c r="P5933">
        <v>0</v>
      </c>
      <c r="Q5933">
        <v>5</v>
      </c>
      <c r="R5933" t="s">
        <v>45102</v>
      </c>
      <c r="S5933" t="s">
        <v>45242</v>
      </c>
      <c r="T5933" t="s">
        <v>46934</v>
      </c>
      <c r="U5933" t="s">
        <v>52448</v>
      </c>
      <c r="W5933" t="s">
        <v>43512</v>
      </c>
      <c r="X5933" t="s">
        <v>45103</v>
      </c>
    </row>
    <row r="5934" spans="1:24">
      <c r="A5934">
        <f>HYPERLINK("https://www.philgeps.gov.ph/GEPSNONPILOT/Tender/SplashBidNoticeAbstractUI.aspx?menuIndex=3&amp;refID=7039762&amp;Result=3","7039762")</f>
        <v>0</v>
      </c>
      <c r="B5934" t="s">
        <v>1566</v>
      </c>
      <c r="C5934" t="s">
        <v>8868</v>
      </c>
      <c r="E5934" t="s">
        <v>23397</v>
      </c>
      <c r="F5934" t="s">
        <v>31574</v>
      </c>
      <c r="G5934" t="s">
        <v>31582</v>
      </c>
      <c r="H5934" t="s">
        <v>31590</v>
      </c>
      <c r="I5934" t="s">
        <v>8822</v>
      </c>
      <c r="J5934" t="s">
        <v>35548</v>
      </c>
      <c r="K5934" t="s">
        <v>41184</v>
      </c>
      <c r="M5934" t="s">
        <v>43165</v>
      </c>
      <c r="N5934" t="s">
        <v>45095</v>
      </c>
      <c r="O5934" t="s">
        <v>45096</v>
      </c>
      <c r="P5934">
        <v>0</v>
      </c>
      <c r="Q5934">
        <v>3</v>
      </c>
      <c r="R5934" t="s">
        <v>45102</v>
      </c>
      <c r="S5934" t="s">
        <v>45242</v>
      </c>
      <c r="T5934" t="s">
        <v>46914</v>
      </c>
      <c r="U5934" t="s">
        <v>52449</v>
      </c>
      <c r="V5934" t="s">
        <v>59888</v>
      </c>
      <c r="W5934" t="s">
        <v>43165</v>
      </c>
      <c r="X5934" t="s">
        <v>45103</v>
      </c>
    </row>
    <row r="5935" spans="1:24">
      <c r="A5935">
        <f>HYPERLINK("https://www.philgeps.gov.ph/GEPSNONPILOT/Tender/SplashBidNoticeAbstractUI.aspx?menuIndex=3&amp;refID=7039750&amp;Result=3","7039750")</f>
        <v>0</v>
      </c>
      <c r="B5935" t="s">
        <v>1880</v>
      </c>
      <c r="C5935" t="s">
        <v>8869</v>
      </c>
      <c r="D5935" t="s">
        <v>18056</v>
      </c>
      <c r="E5935" t="s">
        <v>23398</v>
      </c>
      <c r="F5935" t="s">
        <v>31574</v>
      </c>
      <c r="G5935" t="s">
        <v>31581</v>
      </c>
      <c r="H5935" t="s">
        <v>31590</v>
      </c>
      <c r="I5935" t="s">
        <v>31595</v>
      </c>
      <c r="J5935" t="s">
        <v>32216</v>
      </c>
      <c r="K5935" t="s">
        <v>41186</v>
      </c>
      <c r="M5935" t="s">
        <v>43521</v>
      </c>
      <c r="N5935" t="s">
        <v>45095</v>
      </c>
      <c r="O5935" t="s">
        <v>45096</v>
      </c>
      <c r="P5935">
        <v>0</v>
      </c>
      <c r="Q5935">
        <v>0</v>
      </c>
      <c r="R5935" t="s">
        <v>45102</v>
      </c>
      <c r="S5935" t="s">
        <v>45242</v>
      </c>
      <c r="T5935" t="s">
        <v>47125</v>
      </c>
      <c r="U5935" t="s">
        <v>52450</v>
      </c>
      <c r="W5935" t="s">
        <v>43521</v>
      </c>
      <c r="X5935" t="s">
        <v>45103</v>
      </c>
    </row>
    <row r="5936" spans="1:24">
      <c r="A5936">
        <f>HYPERLINK("https://www.philgeps.gov.ph/GEPSNONPILOT/Tender/SplashBidNoticeAbstractUI.aspx?menuIndex=3&amp;refID=7039757&amp;Result=3","7039757")</f>
        <v>0</v>
      </c>
      <c r="B5936" t="s">
        <v>1885</v>
      </c>
      <c r="C5936" t="s">
        <v>8870</v>
      </c>
      <c r="D5936" t="s">
        <v>18050</v>
      </c>
      <c r="E5936" t="s">
        <v>23399</v>
      </c>
      <c r="F5936" t="s">
        <v>31574</v>
      </c>
      <c r="G5936" t="s">
        <v>31581</v>
      </c>
      <c r="H5936" t="s">
        <v>31590</v>
      </c>
      <c r="I5936" t="s">
        <v>4046</v>
      </c>
      <c r="J5936" t="s">
        <v>35549</v>
      </c>
      <c r="K5936" t="s">
        <v>41213</v>
      </c>
      <c r="M5936" t="s">
        <v>43528</v>
      </c>
      <c r="N5936" t="s">
        <v>45095</v>
      </c>
      <c r="O5936" t="s">
        <v>45096</v>
      </c>
      <c r="P5936">
        <v>0</v>
      </c>
      <c r="Q5936">
        <v>1</v>
      </c>
      <c r="R5936" t="s">
        <v>45102</v>
      </c>
      <c r="S5936" t="s">
        <v>45242</v>
      </c>
      <c r="T5936" t="s">
        <v>47124</v>
      </c>
      <c r="U5936" t="s">
        <v>52451</v>
      </c>
      <c r="V5936" t="s">
        <v>59889</v>
      </c>
      <c r="W5936" t="s">
        <v>43528</v>
      </c>
      <c r="X5936" t="s">
        <v>45103</v>
      </c>
    </row>
    <row r="5937" spans="1:24">
      <c r="A5937">
        <f>HYPERLINK("https://www.philgeps.gov.ph/GEPSNONPILOT/Tender/SplashBidNoticeAbstractUI.aspx?menuIndex=3&amp;refID=7039744&amp;Result=3","7039744")</f>
        <v>0</v>
      </c>
      <c r="B5937" t="s">
        <v>987</v>
      </c>
      <c r="C5937" t="s">
        <v>8871</v>
      </c>
      <c r="D5937" t="s">
        <v>18066</v>
      </c>
      <c r="E5937" t="s">
        <v>23400</v>
      </c>
      <c r="F5937" t="s">
        <v>31574</v>
      </c>
      <c r="G5937" t="s">
        <v>31582</v>
      </c>
      <c r="H5937" t="s">
        <v>31591</v>
      </c>
      <c r="I5937" t="s">
        <v>8822</v>
      </c>
      <c r="J5937" t="s">
        <v>35550</v>
      </c>
      <c r="K5937" t="s">
        <v>41186</v>
      </c>
      <c r="M5937" t="s">
        <v>42521</v>
      </c>
      <c r="N5937" t="s">
        <v>45095</v>
      </c>
      <c r="O5937" t="s">
        <v>45096</v>
      </c>
      <c r="P5937">
        <v>0</v>
      </c>
      <c r="Q5937">
        <v>0</v>
      </c>
      <c r="R5937" t="s">
        <v>45102</v>
      </c>
      <c r="S5937" t="s">
        <v>45242</v>
      </c>
      <c r="T5937" t="s">
        <v>46918</v>
      </c>
      <c r="U5937" t="s">
        <v>52452</v>
      </c>
      <c r="V5937" t="s">
        <v>60104</v>
      </c>
      <c r="W5937" t="s">
        <v>42521</v>
      </c>
      <c r="X5937" t="s">
        <v>45103</v>
      </c>
    </row>
    <row r="5938" spans="1:24">
      <c r="A5938">
        <f>HYPERLINK("https://www.philgeps.gov.ph/GEPSNONPILOT/Tender/SplashBidNoticeAbstractUI.aspx?menuIndex=3&amp;refID=7039745&amp;Result=3","7039745")</f>
        <v>0</v>
      </c>
      <c r="B5938" t="s">
        <v>1877</v>
      </c>
      <c r="C5938" t="s">
        <v>8822</v>
      </c>
      <c r="D5938" t="s">
        <v>18038</v>
      </c>
      <c r="E5938" t="s">
        <v>23401</v>
      </c>
      <c r="F5938" t="s">
        <v>31574</v>
      </c>
      <c r="G5938" t="s">
        <v>31582</v>
      </c>
      <c r="H5938" t="s">
        <v>31590</v>
      </c>
      <c r="I5938" t="s">
        <v>8822</v>
      </c>
      <c r="J5938" t="s">
        <v>32019</v>
      </c>
      <c r="K5938" t="s">
        <v>41184</v>
      </c>
      <c r="M5938" t="s">
        <v>43518</v>
      </c>
      <c r="N5938" t="s">
        <v>45095</v>
      </c>
      <c r="O5938" t="s">
        <v>45096</v>
      </c>
      <c r="P5938">
        <v>0</v>
      </c>
      <c r="Q5938">
        <v>0</v>
      </c>
      <c r="R5938" t="s">
        <v>45102</v>
      </c>
      <c r="S5938" t="s">
        <v>45242</v>
      </c>
      <c r="T5938" t="s">
        <v>46904</v>
      </c>
      <c r="U5938" t="s">
        <v>52453</v>
      </c>
      <c r="W5938" t="s">
        <v>43518</v>
      </c>
      <c r="X5938" t="s">
        <v>45103</v>
      </c>
    </row>
    <row r="5939" spans="1:24">
      <c r="A5939">
        <f>HYPERLINK("https://www.philgeps.gov.ph/GEPSNONPILOT/Tender/SplashBidNoticeAbstractUI.aspx?menuIndex=3&amp;refID=7039735&amp;Result=3","7039735")</f>
        <v>0</v>
      </c>
      <c r="B5939" t="s">
        <v>134</v>
      </c>
      <c r="C5939" t="s">
        <v>8872</v>
      </c>
      <c r="D5939" t="s">
        <v>18066</v>
      </c>
      <c r="E5939" t="s">
        <v>23402</v>
      </c>
      <c r="F5939" t="s">
        <v>31574</v>
      </c>
      <c r="G5939" t="s">
        <v>31584</v>
      </c>
      <c r="H5939" t="s">
        <v>31590</v>
      </c>
      <c r="I5939" t="s">
        <v>4327</v>
      </c>
      <c r="J5939" t="s">
        <v>31727</v>
      </c>
      <c r="K5939" t="s">
        <v>41184</v>
      </c>
      <c r="M5939" t="s">
        <v>41618</v>
      </c>
      <c r="N5939" t="s">
        <v>45095</v>
      </c>
      <c r="O5939" t="s">
        <v>45096</v>
      </c>
      <c r="P5939">
        <v>0</v>
      </c>
      <c r="Q5939">
        <v>0</v>
      </c>
      <c r="R5939" t="s">
        <v>45102</v>
      </c>
      <c r="S5939" t="s">
        <v>45242</v>
      </c>
      <c r="T5939" t="s">
        <v>47154</v>
      </c>
      <c r="U5939" t="s">
        <v>52454</v>
      </c>
      <c r="W5939" t="s">
        <v>41618</v>
      </c>
      <c r="X5939" t="s">
        <v>45103</v>
      </c>
    </row>
    <row r="5940" spans="1:24">
      <c r="A5940">
        <f>HYPERLINK("https://www.philgeps.gov.ph/GEPSNONPILOT/Tender/SplashBidNoticeAbstractUI.aspx?menuIndex=3&amp;refID=7039743&amp;Result=3","7039743")</f>
        <v>0</v>
      </c>
      <c r="B5940" t="s">
        <v>1886</v>
      </c>
      <c r="C5940" t="s">
        <v>6628</v>
      </c>
      <c r="D5940" t="s">
        <v>18072</v>
      </c>
      <c r="E5940" t="s">
        <v>23403</v>
      </c>
      <c r="F5940" t="s">
        <v>31574</v>
      </c>
      <c r="G5940" t="s">
        <v>31582</v>
      </c>
      <c r="H5940" t="s">
        <v>31590</v>
      </c>
      <c r="I5940" t="s">
        <v>4046</v>
      </c>
      <c r="J5940" t="s">
        <v>35551</v>
      </c>
      <c r="K5940" t="s">
        <v>41193</v>
      </c>
      <c r="M5940" t="s">
        <v>43529</v>
      </c>
      <c r="N5940" t="s">
        <v>45095</v>
      </c>
      <c r="O5940" t="s">
        <v>45096</v>
      </c>
      <c r="P5940">
        <v>0</v>
      </c>
      <c r="Q5940">
        <v>0</v>
      </c>
      <c r="R5940" t="s">
        <v>45102</v>
      </c>
      <c r="S5940" t="s">
        <v>45242</v>
      </c>
      <c r="T5940" t="s">
        <v>47064</v>
      </c>
      <c r="U5940" t="s">
        <v>47578</v>
      </c>
      <c r="W5940" t="s">
        <v>43529</v>
      </c>
      <c r="X5940" t="s">
        <v>45103</v>
      </c>
    </row>
    <row r="5941" spans="1:24">
      <c r="A5941">
        <f>HYPERLINK("https://www.philgeps.gov.ph/GEPSNONPILOT/Tender/SplashBidNoticeAbstractUI.aspx?menuIndex=3&amp;refID=7039742&amp;Result=3","7039742")</f>
        <v>0</v>
      </c>
      <c r="B5941" t="s">
        <v>1794</v>
      </c>
      <c r="C5941" t="s">
        <v>8873</v>
      </c>
      <c r="D5941" t="s">
        <v>18067</v>
      </c>
      <c r="E5941" t="s">
        <v>19875</v>
      </c>
      <c r="F5941" t="s">
        <v>31574</v>
      </c>
      <c r="G5941" t="s">
        <v>31582</v>
      </c>
      <c r="H5941" t="s">
        <v>31591</v>
      </c>
      <c r="I5941" t="s">
        <v>8822</v>
      </c>
      <c r="J5941" t="s">
        <v>31888</v>
      </c>
      <c r="K5941" t="s">
        <v>41185</v>
      </c>
      <c r="M5941" t="s">
        <v>43425</v>
      </c>
      <c r="N5941" t="s">
        <v>45095</v>
      </c>
      <c r="O5941" t="s">
        <v>45096</v>
      </c>
      <c r="P5941">
        <v>0</v>
      </c>
      <c r="Q5941">
        <v>0</v>
      </c>
      <c r="R5941" t="s">
        <v>45102</v>
      </c>
      <c r="S5941" t="s">
        <v>45242</v>
      </c>
      <c r="T5941" t="s">
        <v>47274</v>
      </c>
      <c r="U5941" t="s">
        <v>52455</v>
      </c>
      <c r="W5941" t="s">
        <v>43425</v>
      </c>
      <c r="X5941" t="s">
        <v>45103</v>
      </c>
    </row>
    <row r="5942" spans="1:24">
      <c r="A5942">
        <f>HYPERLINK("https://www.philgeps.gov.ph/GEPSNONPILOT/Tender/SplashBidNoticeAbstractUI.aspx?menuIndex=3&amp;refID=7039784&amp;Result=3","7039784")</f>
        <v>0</v>
      </c>
      <c r="B5942" t="s">
        <v>1509</v>
      </c>
      <c r="C5942" t="s">
        <v>8874</v>
      </c>
      <c r="D5942" t="s">
        <v>18022</v>
      </c>
      <c r="E5942" t="s">
        <v>23404</v>
      </c>
      <c r="F5942" t="s">
        <v>31574</v>
      </c>
      <c r="G5942" t="s">
        <v>31582</v>
      </c>
      <c r="H5942" t="s">
        <v>31590</v>
      </c>
      <c r="I5942" t="s">
        <v>31623</v>
      </c>
      <c r="J5942" t="s">
        <v>32662</v>
      </c>
      <c r="K5942" t="s">
        <v>41184</v>
      </c>
      <c r="M5942" t="s">
        <v>43098</v>
      </c>
      <c r="N5942" t="s">
        <v>45095</v>
      </c>
      <c r="O5942" t="s">
        <v>45096</v>
      </c>
      <c r="P5942">
        <v>0</v>
      </c>
      <c r="Q5942">
        <v>8</v>
      </c>
      <c r="R5942" t="s">
        <v>45102</v>
      </c>
      <c r="S5942" t="s">
        <v>45242</v>
      </c>
      <c r="T5942" t="s">
        <v>47055</v>
      </c>
      <c r="U5942" t="s">
        <v>52456</v>
      </c>
      <c r="W5942" t="s">
        <v>43098</v>
      </c>
      <c r="X5942" t="s">
        <v>45103</v>
      </c>
    </row>
    <row r="5943" spans="1:24">
      <c r="A5943">
        <f>HYPERLINK("https://www.philgeps.gov.ph/GEPSNONPILOT/Tender/SplashBidNoticeAbstractUI.aspx?menuIndex=3&amp;refID=7039765&amp;Result=3","7039765")</f>
        <v>0</v>
      </c>
      <c r="B5943" t="s">
        <v>1312</v>
      </c>
      <c r="C5943" t="s">
        <v>8875</v>
      </c>
      <c r="D5943" t="s">
        <v>18033</v>
      </c>
      <c r="E5943" t="s">
        <v>23405</v>
      </c>
      <c r="F5943" t="s">
        <v>31574</v>
      </c>
      <c r="G5943" t="s">
        <v>31583</v>
      </c>
      <c r="H5943" t="s">
        <v>31590</v>
      </c>
      <c r="I5943" t="s">
        <v>31653</v>
      </c>
      <c r="J5943" t="s">
        <v>35552</v>
      </c>
      <c r="K5943" t="s">
        <v>41211</v>
      </c>
      <c r="M5943" t="s">
        <v>42882</v>
      </c>
      <c r="N5943" t="s">
        <v>45095</v>
      </c>
      <c r="O5943" t="s">
        <v>45096</v>
      </c>
      <c r="P5943">
        <v>0</v>
      </c>
      <c r="Q5943">
        <v>1</v>
      </c>
      <c r="R5943" t="s">
        <v>45102</v>
      </c>
      <c r="S5943" t="s">
        <v>45242</v>
      </c>
      <c r="T5943" t="s">
        <v>47067</v>
      </c>
      <c r="U5943" t="s">
        <v>52457</v>
      </c>
      <c r="W5943" t="s">
        <v>42882</v>
      </c>
      <c r="X5943" t="s">
        <v>45103</v>
      </c>
    </row>
    <row r="5944" spans="1:24">
      <c r="A5944">
        <f>HYPERLINK("https://www.philgeps.gov.ph/GEPSNONPILOT/Tender/SplashBidNoticeAbstractUI.aspx?menuIndex=3&amp;refID=7039777&amp;Result=3","7039777")</f>
        <v>0</v>
      </c>
      <c r="B5944" t="s">
        <v>1880</v>
      </c>
      <c r="C5944" t="s">
        <v>8876</v>
      </c>
      <c r="D5944" t="s">
        <v>18056</v>
      </c>
      <c r="E5944" t="s">
        <v>23406</v>
      </c>
      <c r="F5944" t="s">
        <v>31574</v>
      </c>
      <c r="G5944" t="s">
        <v>31581</v>
      </c>
      <c r="H5944" t="s">
        <v>31590</v>
      </c>
      <c r="I5944" t="s">
        <v>31595</v>
      </c>
      <c r="J5944" t="s">
        <v>35553</v>
      </c>
      <c r="K5944" t="s">
        <v>41186</v>
      </c>
      <c r="M5944" t="s">
        <v>43521</v>
      </c>
      <c r="N5944" t="s">
        <v>45095</v>
      </c>
      <c r="O5944" t="s">
        <v>45096</v>
      </c>
      <c r="P5944">
        <v>0</v>
      </c>
      <c r="Q5944">
        <v>0</v>
      </c>
      <c r="R5944" t="s">
        <v>45102</v>
      </c>
      <c r="S5944" t="s">
        <v>45242</v>
      </c>
      <c r="T5944" t="s">
        <v>47125</v>
      </c>
      <c r="U5944" t="s">
        <v>52458</v>
      </c>
      <c r="W5944" t="s">
        <v>43521</v>
      </c>
      <c r="X5944" t="s">
        <v>45103</v>
      </c>
    </row>
    <row r="5945" spans="1:24">
      <c r="A5945">
        <f>HYPERLINK("https://www.philgeps.gov.ph/GEPSNONPILOT/Tender/SplashBidNoticeAbstractUI.aspx?menuIndex=3&amp;refID=7039778&amp;Result=3","7039778")</f>
        <v>0</v>
      </c>
      <c r="B5945" t="s">
        <v>131</v>
      </c>
      <c r="C5945" t="s">
        <v>8877</v>
      </c>
      <c r="D5945" t="s">
        <v>18022</v>
      </c>
      <c r="E5945" t="s">
        <v>23407</v>
      </c>
      <c r="F5945" t="s">
        <v>31574</v>
      </c>
      <c r="G5945" t="s">
        <v>31581</v>
      </c>
      <c r="H5945" t="s">
        <v>31590</v>
      </c>
      <c r="I5945" t="s">
        <v>31632</v>
      </c>
      <c r="J5945" t="s">
        <v>35554</v>
      </c>
      <c r="K5945" t="s">
        <v>41192</v>
      </c>
      <c r="M5945" t="s">
        <v>43522</v>
      </c>
      <c r="N5945" t="s">
        <v>45095</v>
      </c>
      <c r="O5945" t="s">
        <v>45096</v>
      </c>
      <c r="P5945">
        <v>0</v>
      </c>
      <c r="Q5945">
        <v>0</v>
      </c>
      <c r="R5945" t="s">
        <v>45102</v>
      </c>
      <c r="S5945" t="s">
        <v>45242</v>
      </c>
      <c r="T5945" t="s">
        <v>47183</v>
      </c>
      <c r="U5945" t="s">
        <v>52459</v>
      </c>
      <c r="W5945" t="s">
        <v>43522</v>
      </c>
      <c r="X5945" t="s">
        <v>45103</v>
      </c>
    </row>
    <row r="5946" spans="1:24">
      <c r="A5946">
        <f>HYPERLINK("https://www.philgeps.gov.ph/GEPSNONPILOT/Tender/SplashBidNoticeAbstractUI.aspx?menuIndex=3&amp;refID=7039764&amp;Result=3","7039764")</f>
        <v>0</v>
      </c>
      <c r="B5946" t="s">
        <v>800</v>
      </c>
      <c r="C5946" t="s">
        <v>8878</v>
      </c>
      <c r="D5946" t="s">
        <v>18058</v>
      </c>
      <c r="E5946" t="s">
        <v>23408</v>
      </c>
      <c r="F5946" t="s">
        <v>31574</v>
      </c>
      <c r="G5946" t="s">
        <v>31582</v>
      </c>
      <c r="H5946" t="s">
        <v>31590</v>
      </c>
      <c r="I5946" t="s">
        <v>31676</v>
      </c>
      <c r="J5946" t="s">
        <v>35555</v>
      </c>
      <c r="K5946" t="s">
        <v>41184</v>
      </c>
      <c r="M5946" t="s">
        <v>42314</v>
      </c>
      <c r="N5946" t="s">
        <v>45095</v>
      </c>
      <c r="O5946" t="s">
        <v>45096</v>
      </c>
      <c r="P5946">
        <v>0</v>
      </c>
      <c r="Q5946">
        <v>4</v>
      </c>
      <c r="R5946" t="s">
        <v>45102</v>
      </c>
      <c r="S5946" t="s">
        <v>45242</v>
      </c>
      <c r="T5946" t="s">
        <v>47170</v>
      </c>
      <c r="U5946" t="s">
        <v>52460</v>
      </c>
      <c r="V5946" t="s">
        <v>60480</v>
      </c>
      <c r="W5946" t="s">
        <v>42314</v>
      </c>
      <c r="X5946" t="s">
        <v>45103</v>
      </c>
    </row>
    <row r="5947" spans="1:24">
      <c r="A5947">
        <f>HYPERLINK("https://www.philgeps.gov.ph/GEPSNONPILOT/Tender/SplashBidNoticeAbstractUI.aspx?menuIndex=3&amp;refID=7039773&amp;Result=3","7039773")</f>
        <v>0</v>
      </c>
      <c r="B5947" t="s">
        <v>1887</v>
      </c>
      <c r="C5947" t="s">
        <v>8879</v>
      </c>
      <c r="D5947" t="s">
        <v>18022</v>
      </c>
      <c r="E5947" t="s">
        <v>23409</v>
      </c>
      <c r="F5947" t="s">
        <v>31574</v>
      </c>
      <c r="G5947" t="s">
        <v>31581</v>
      </c>
      <c r="H5947" t="s">
        <v>31590</v>
      </c>
      <c r="I5947" t="s">
        <v>31702</v>
      </c>
      <c r="J5947" t="s">
        <v>35556</v>
      </c>
      <c r="K5947" t="s">
        <v>41184</v>
      </c>
      <c r="M5947" t="s">
        <v>43530</v>
      </c>
      <c r="N5947" t="s">
        <v>45095</v>
      </c>
      <c r="O5947" t="s">
        <v>45096</v>
      </c>
      <c r="P5947">
        <v>0</v>
      </c>
      <c r="Q5947">
        <v>4</v>
      </c>
      <c r="R5947" t="s">
        <v>45102</v>
      </c>
      <c r="S5947" t="s">
        <v>45242</v>
      </c>
      <c r="T5947" t="s">
        <v>46957</v>
      </c>
      <c r="U5947" t="s">
        <v>52461</v>
      </c>
      <c r="W5947" t="s">
        <v>43530</v>
      </c>
      <c r="X5947" t="s">
        <v>45103</v>
      </c>
    </row>
    <row r="5948" spans="1:24">
      <c r="A5948">
        <f>HYPERLINK("https://www.philgeps.gov.ph/GEPSNONPILOT/Tender/SplashBidNoticeAbstractUI.aspx?menuIndex=3&amp;refID=7039775&amp;Result=3","7039775")</f>
        <v>0</v>
      </c>
      <c r="B5948" t="s">
        <v>1888</v>
      </c>
      <c r="C5948" t="s">
        <v>8880</v>
      </c>
      <c r="D5948" t="s">
        <v>18040</v>
      </c>
      <c r="E5948" t="s">
        <v>23410</v>
      </c>
      <c r="F5948" t="s">
        <v>31574</v>
      </c>
      <c r="G5948" t="s">
        <v>31582</v>
      </c>
      <c r="H5948" t="s">
        <v>31593</v>
      </c>
      <c r="I5948" t="s">
        <v>31593</v>
      </c>
      <c r="J5948" t="s">
        <v>35557</v>
      </c>
      <c r="K5948" t="s">
        <v>41186</v>
      </c>
      <c r="M5948" t="s">
        <v>43531</v>
      </c>
      <c r="N5948" t="s">
        <v>45095</v>
      </c>
      <c r="O5948" t="s">
        <v>45096</v>
      </c>
      <c r="P5948">
        <v>0</v>
      </c>
      <c r="Q5948">
        <v>3</v>
      </c>
      <c r="R5948" t="s">
        <v>45102</v>
      </c>
      <c r="S5948" t="s">
        <v>45242</v>
      </c>
      <c r="T5948" t="s">
        <v>46973</v>
      </c>
      <c r="U5948" t="s">
        <v>52462</v>
      </c>
      <c r="W5948" t="s">
        <v>43531</v>
      </c>
      <c r="X5948" t="s">
        <v>45103</v>
      </c>
    </row>
    <row r="5949" spans="1:24">
      <c r="A5949">
        <f>HYPERLINK("https://www.philgeps.gov.ph/GEPSNONPILOT/Tender/SplashBidNoticeAbstractUI.aspx?menuIndex=3&amp;refID=7039770&amp;Result=3","7039770")</f>
        <v>0</v>
      </c>
      <c r="B5949" t="s">
        <v>627</v>
      </c>
      <c r="C5949" t="s">
        <v>8881</v>
      </c>
      <c r="E5949" t="s">
        <v>23411</v>
      </c>
      <c r="F5949" t="s">
        <v>31574</v>
      </c>
      <c r="G5949" t="s">
        <v>31581</v>
      </c>
      <c r="H5949" t="s">
        <v>31590</v>
      </c>
      <c r="I5949" t="s">
        <v>6800</v>
      </c>
      <c r="J5949" t="s">
        <v>34709</v>
      </c>
      <c r="K5949" t="s">
        <v>41184</v>
      </c>
      <c r="M5949" t="s">
        <v>42131</v>
      </c>
      <c r="N5949" t="s">
        <v>45095</v>
      </c>
      <c r="O5949" t="s">
        <v>45096</v>
      </c>
      <c r="P5949">
        <v>0</v>
      </c>
      <c r="Q5949">
        <v>0</v>
      </c>
      <c r="R5949" t="s">
        <v>45102</v>
      </c>
      <c r="S5949" t="s">
        <v>45242</v>
      </c>
      <c r="T5949" t="s">
        <v>47183</v>
      </c>
      <c r="U5949" t="s">
        <v>52463</v>
      </c>
      <c r="W5949" t="s">
        <v>42131</v>
      </c>
      <c r="X5949" t="s">
        <v>45103</v>
      </c>
    </row>
    <row r="5950" spans="1:24">
      <c r="A5950">
        <f>HYPERLINK("https://www.philgeps.gov.ph/GEPSNONPILOT/Tender/SplashBidNoticeAbstractUI.aspx?menuIndex=3&amp;refID=7039781&amp;Result=3","7039781")</f>
        <v>0</v>
      </c>
      <c r="B5950" t="s">
        <v>1889</v>
      </c>
      <c r="C5950" t="s">
        <v>8882</v>
      </c>
      <c r="D5950" t="s">
        <v>18071</v>
      </c>
      <c r="E5950" t="s">
        <v>23412</v>
      </c>
      <c r="F5950" t="s">
        <v>31574</v>
      </c>
      <c r="G5950" t="s">
        <v>31581</v>
      </c>
      <c r="H5950" t="s">
        <v>31590</v>
      </c>
      <c r="I5950" t="s">
        <v>31644</v>
      </c>
      <c r="J5950" t="s">
        <v>35558</v>
      </c>
      <c r="K5950" t="s">
        <v>41186</v>
      </c>
      <c r="M5950" t="s">
        <v>43532</v>
      </c>
      <c r="N5950" t="s">
        <v>45095</v>
      </c>
      <c r="O5950" t="s">
        <v>45096</v>
      </c>
      <c r="P5950">
        <v>0</v>
      </c>
      <c r="Q5950">
        <v>1</v>
      </c>
      <c r="R5950" t="s">
        <v>45102</v>
      </c>
      <c r="S5950" t="s">
        <v>45242</v>
      </c>
      <c r="T5950" t="s">
        <v>47154</v>
      </c>
      <c r="U5950" t="s">
        <v>52464</v>
      </c>
      <c r="W5950" t="s">
        <v>43532</v>
      </c>
      <c r="X5950" t="s">
        <v>45103</v>
      </c>
    </row>
    <row r="5951" spans="1:24">
      <c r="A5951">
        <f>HYPERLINK("https://www.philgeps.gov.ph/GEPSNONPILOT/Tender/SplashBidNoticeAbstractUI.aspx?menuIndex=3&amp;refID=7039763&amp;Result=3","7039763")</f>
        <v>0</v>
      </c>
      <c r="B5951" t="s">
        <v>1003</v>
      </c>
      <c r="C5951" t="s">
        <v>8883</v>
      </c>
      <c r="D5951" t="s">
        <v>18057</v>
      </c>
      <c r="E5951" t="s">
        <v>23413</v>
      </c>
      <c r="F5951" t="s">
        <v>31574</v>
      </c>
      <c r="G5951" t="s">
        <v>31581</v>
      </c>
      <c r="H5951" t="s">
        <v>31590</v>
      </c>
      <c r="I5951" t="s">
        <v>3487</v>
      </c>
      <c r="J5951" t="s">
        <v>32258</v>
      </c>
      <c r="K5951" t="s">
        <v>41190</v>
      </c>
      <c r="M5951" t="s">
        <v>42540</v>
      </c>
      <c r="N5951" t="s">
        <v>45095</v>
      </c>
      <c r="O5951" t="s">
        <v>45096</v>
      </c>
      <c r="P5951">
        <v>0</v>
      </c>
      <c r="Q5951">
        <v>4</v>
      </c>
      <c r="R5951" t="s">
        <v>45102</v>
      </c>
      <c r="S5951" t="s">
        <v>45242</v>
      </c>
      <c r="T5951" t="s">
        <v>47158</v>
      </c>
      <c r="U5951" t="s">
        <v>52465</v>
      </c>
      <c r="W5951" t="s">
        <v>42540</v>
      </c>
      <c r="X5951" t="s">
        <v>45103</v>
      </c>
    </row>
    <row r="5952" spans="1:24">
      <c r="A5952">
        <f>HYPERLINK("https://www.philgeps.gov.ph/GEPSNONPILOT/Tender/SplashBidNoticeAbstractUI.aspx?menuIndex=3&amp;refID=7039780&amp;Result=3","7039780")</f>
        <v>0</v>
      </c>
      <c r="B5952" t="s">
        <v>759</v>
      </c>
      <c r="C5952" t="s">
        <v>8884</v>
      </c>
      <c r="D5952" t="s">
        <v>18039</v>
      </c>
      <c r="E5952" t="s">
        <v>23414</v>
      </c>
      <c r="F5952" t="s">
        <v>31574</v>
      </c>
      <c r="G5952" t="s">
        <v>31585</v>
      </c>
      <c r="H5952" t="s">
        <v>31590</v>
      </c>
      <c r="I5952" t="s">
        <v>31603</v>
      </c>
      <c r="J5952" t="s">
        <v>34414</v>
      </c>
      <c r="K5952" t="s">
        <v>41184</v>
      </c>
      <c r="M5952" t="s">
        <v>43501</v>
      </c>
      <c r="N5952" t="s">
        <v>45095</v>
      </c>
      <c r="O5952" t="s">
        <v>45096</v>
      </c>
      <c r="P5952">
        <v>0</v>
      </c>
      <c r="Q5952">
        <v>4</v>
      </c>
      <c r="R5952" t="s">
        <v>45102</v>
      </c>
      <c r="S5952" t="s">
        <v>45242</v>
      </c>
      <c r="T5952" t="s">
        <v>47197</v>
      </c>
      <c r="U5952" t="s">
        <v>52354</v>
      </c>
      <c r="V5952" t="s">
        <v>60464</v>
      </c>
      <c r="W5952" t="s">
        <v>43501</v>
      </c>
      <c r="X5952" t="s">
        <v>45103</v>
      </c>
    </row>
    <row r="5953" spans="1:24">
      <c r="A5953">
        <f>HYPERLINK("https://www.philgeps.gov.ph/GEPSNONPILOT/Tender/SplashBidNoticeAbstractUI.aspx?menuIndex=3&amp;refID=7039774&amp;Result=3","7039774")</f>
        <v>0</v>
      </c>
      <c r="B5953" t="s">
        <v>1443</v>
      </c>
      <c r="C5953" t="s">
        <v>8885</v>
      </c>
      <c r="D5953" t="s">
        <v>18074</v>
      </c>
      <c r="E5953" t="s">
        <v>23415</v>
      </c>
      <c r="F5953" t="s">
        <v>31574</v>
      </c>
      <c r="G5953" t="s">
        <v>31582</v>
      </c>
      <c r="H5953" t="s">
        <v>31591</v>
      </c>
      <c r="I5953" t="s">
        <v>8822</v>
      </c>
      <c r="J5953" t="s">
        <v>35559</v>
      </c>
      <c r="K5953" t="s">
        <v>41189</v>
      </c>
      <c r="M5953" t="s">
        <v>43523</v>
      </c>
      <c r="N5953" t="s">
        <v>45095</v>
      </c>
      <c r="O5953" t="s">
        <v>45096</v>
      </c>
      <c r="P5953">
        <v>0</v>
      </c>
      <c r="Q5953">
        <v>0</v>
      </c>
      <c r="R5953" t="s">
        <v>45102</v>
      </c>
      <c r="S5953" t="s">
        <v>45242</v>
      </c>
      <c r="T5953" t="s">
        <v>47272</v>
      </c>
      <c r="U5953" t="s">
        <v>52466</v>
      </c>
      <c r="V5953" t="s">
        <v>60477</v>
      </c>
      <c r="W5953" t="s">
        <v>43523</v>
      </c>
      <c r="X5953" t="s">
        <v>45103</v>
      </c>
    </row>
    <row r="5954" spans="1:24">
      <c r="A5954">
        <f>HYPERLINK("https://www.philgeps.gov.ph/GEPSNONPILOT/Tender/SplashBidNoticeAbstractUI.aspx?menuIndex=3&amp;refID=7039786&amp;Result=3","7039786")</f>
        <v>0</v>
      </c>
      <c r="B5954" t="s">
        <v>1875</v>
      </c>
      <c r="C5954" t="s">
        <v>8886</v>
      </c>
      <c r="D5954" t="s">
        <v>18040</v>
      </c>
      <c r="E5954" t="s">
        <v>20206</v>
      </c>
      <c r="F5954" t="s">
        <v>31575</v>
      </c>
      <c r="G5954" t="s">
        <v>31583</v>
      </c>
      <c r="H5954" t="s">
        <v>31590</v>
      </c>
      <c r="I5954" t="s">
        <v>6800</v>
      </c>
      <c r="J5954" t="s">
        <v>35560</v>
      </c>
      <c r="K5954" t="s">
        <v>41191</v>
      </c>
      <c r="M5954" t="s">
        <v>43515</v>
      </c>
      <c r="N5954" t="s">
        <v>45095</v>
      </c>
      <c r="O5954" t="s">
        <v>45096</v>
      </c>
      <c r="P5954">
        <v>0</v>
      </c>
      <c r="Q5954">
        <v>2</v>
      </c>
      <c r="R5954" t="s">
        <v>45102</v>
      </c>
      <c r="S5954" t="s">
        <v>45242</v>
      </c>
      <c r="T5954" t="s">
        <v>46936</v>
      </c>
      <c r="U5954" t="s">
        <v>52467</v>
      </c>
      <c r="W5954" t="s">
        <v>43515</v>
      </c>
      <c r="X5954" t="s">
        <v>45103</v>
      </c>
    </row>
    <row r="5955" spans="1:24">
      <c r="A5955">
        <f>HYPERLINK("https://www.philgeps.gov.ph/GEPSNONPILOT/Tender/SplashBidNoticeAbstractUI.aspx?menuIndex=3&amp;refID=7039795&amp;Result=3","7039795")</f>
        <v>0</v>
      </c>
      <c r="B5955" t="s">
        <v>1851</v>
      </c>
      <c r="C5955" t="s">
        <v>8887</v>
      </c>
      <c r="D5955" t="s">
        <v>18050</v>
      </c>
      <c r="E5955" t="s">
        <v>23416</v>
      </c>
      <c r="F5955" t="s">
        <v>31574</v>
      </c>
      <c r="G5955" t="s">
        <v>31582</v>
      </c>
      <c r="H5955" t="s">
        <v>31591</v>
      </c>
      <c r="I5955" t="s">
        <v>8822</v>
      </c>
      <c r="J5955" t="s">
        <v>35561</v>
      </c>
      <c r="K5955" t="s">
        <v>41202</v>
      </c>
      <c r="M5955" t="s">
        <v>43489</v>
      </c>
      <c r="N5955" t="s">
        <v>45095</v>
      </c>
      <c r="O5955" t="s">
        <v>45096</v>
      </c>
      <c r="Q5955">
        <v>3</v>
      </c>
      <c r="R5955" t="s">
        <v>45102</v>
      </c>
      <c r="S5955" t="s">
        <v>45262</v>
      </c>
      <c r="T5955" t="s">
        <v>46949</v>
      </c>
      <c r="U5955" t="s">
        <v>52468</v>
      </c>
      <c r="V5955" t="s">
        <v>60481</v>
      </c>
      <c r="W5955" t="s">
        <v>43489</v>
      </c>
      <c r="X5955" t="s">
        <v>45103</v>
      </c>
    </row>
    <row r="5956" spans="1:24">
      <c r="A5956">
        <f>HYPERLINK("https://www.philgeps.gov.ph/GEPSNONPILOT/Tender/SplashBidNoticeAbstractUI.aspx?menuIndex=3&amp;refID=7039769&amp;Result=3","7039769")</f>
        <v>0</v>
      </c>
      <c r="B5956" t="s">
        <v>1872</v>
      </c>
      <c r="C5956" t="s">
        <v>8888</v>
      </c>
      <c r="D5956" t="s">
        <v>18095</v>
      </c>
      <c r="E5956" t="s">
        <v>23417</v>
      </c>
      <c r="F5956" t="s">
        <v>31574</v>
      </c>
      <c r="G5956" t="s">
        <v>31583</v>
      </c>
      <c r="H5956" t="s">
        <v>31590</v>
      </c>
      <c r="I5956" t="s">
        <v>6800</v>
      </c>
      <c r="J5956" t="s">
        <v>35562</v>
      </c>
      <c r="K5956" t="s">
        <v>41193</v>
      </c>
      <c r="M5956" t="s">
        <v>43512</v>
      </c>
      <c r="N5956" t="s">
        <v>45095</v>
      </c>
      <c r="O5956" t="s">
        <v>45096</v>
      </c>
      <c r="P5956">
        <v>0</v>
      </c>
      <c r="Q5956">
        <v>1</v>
      </c>
      <c r="R5956" t="s">
        <v>45102</v>
      </c>
      <c r="S5956" t="s">
        <v>45242</v>
      </c>
      <c r="T5956" t="s">
        <v>46934</v>
      </c>
      <c r="U5956" t="s">
        <v>51365</v>
      </c>
      <c r="W5956" t="s">
        <v>43512</v>
      </c>
      <c r="X5956" t="s">
        <v>45103</v>
      </c>
    </row>
    <row r="5957" spans="1:24">
      <c r="A5957">
        <f>HYPERLINK("https://www.philgeps.gov.ph/GEPSNONPILOT/Tender/SplashBidNoticeAbstractUI.aspx?menuIndex=3&amp;refID=7039768&amp;Result=3","7039768")</f>
        <v>0</v>
      </c>
      <c r="B5957" t="s">
        <v>981</v>
      </c>
      <c r="C5957" t="s">
        <v>8889</v>
      </c>
      <c r="D5957" t="s">
        <v>18039</v>
      </c>
      <c r="E5957" t="s">
        <v>23418</v>
      </c>
      <c r="F5957" t="s">
        <v>31574</v>
      </c>
      <c r="G5957" t="s">
        <v>31584</v>
      </c>
      <c r="H5957" t="s">
        <v>31590</v>
      </c>
      <c r="I5957" t="s">
        <v>6800</v>
      </c>
      <c r="J5957" t="s">
        <v>35563</v>
      </c>
      <c r="K5957" t="s">
        <v>41186</v>
      </c>
      <c r="M5957" t="s">
        <v>42515</v>
      </c>
      <c r="N5957" t="s">
        <v>45095</v>
      </c>
      <c r="O5957" t="s">
        <v>45096</v>
      </c>
      <c r="P5957">
        <v>0</v>
      </c>
      <c r="Q5957">
        <v>2</v>
      </c>
      <c r="R5957" t="s">
        <v>45102</v>
      </c>
      <c r="S5957" t="s">
        <v>45242</v>
      </c>
      <c r="T5957" t="s">
        <v>47050</v>
      </c>
      <c r="U5957" t="s">
        <v>52469</v>
      </c>
      <c r="W5957" t="s">
        <v>42515</v>
      </c>
      <c r="X5957" t="s">
        <v>45103</v>
      </c>
    </row>
    <row r="5958" spans="1:24">
      <c r="A5958">
        <f>HYPERLINK("https://www.philgeps.gov.ph/GEPSNONPILOT/Tender/SplashBidNoticeAbstractUI.aspx?menuIndex=3&amp;refID=7039788&amp;Result=3","7039788")</f>
        <v>0</v>
      </c>
      <c r="B5958" t="s">
        <v>1872</v>
      </c>
      <c r="C5958" t="s">
        <v>8890</v>
      </c>
      <c r="D5958" t="s">
        <v>18095</v>
      </c>
      <c r="E5958" t="s">
        <v>23419</v>
      </c>
      <c r="F5958" t="s">
        <v>31574</v>
      </c>
      <c r="G5958" t="s">
        <v>31583</v>
      </c>
      <c r="H5958" t="s">
        <v>31590</v>
      </c>
      <c r="I5958" t="s">
        <v>6800</v>
      </c>
      <c r="J5958" t="s">
        <v>35564</v>
      </c>
      <c r="K5958" t="s">
        <v>41193</v>
      </c>
      <c r="M5958" t="s">
        <v>43512</v>
      </c>
      <c r="N5958" t="s">
        <v>45095</v>
      </c>
      <c r="O5958" t="s">
        <v>45096</v>
      </c>
      <c r="P5958">
        <v>0</v>
      </c>
      <c r="Q5958">
        <v>1</v>
      </c>
      <c r="R5958" t="s">
        <v>45102</v>
      </c>
      <c r="S5958" t="s">
        <v>45242</v>
      </c>
      <c r="T5958" t="s">
        <v>46934</v>
      </c>
      <c r="U5958" t="s">
        <v>51365</v>
      </c>
      <c r="W5958" t="s">
        <v>43512</v>
      </c>
      <c r="X5958" t="s">
        <v>45103</v>
      </c>
    </row>
    <row r="5959" spans="1:24">
      <c r="A5959">
        <f>HYPERLINK("https://www.philgeps.gov.ph/GEPSNONPILOT/Tender/SplashBidNoticeAbstractUI.aspx?menuIndex=3&amp;refID=7039796&amp;Result=3","7039796")</f>
        <v>0</v>
      </c>
      <c r="B5959" t="s">
        <v>1443</v>
      </c>
      <c r="C5959" t="s">
        <v>8891</v>
      </c>
      <c r="D5959" t="s">
        <v>18074</v>
      </c>
      <c r="E5959" t="s">
        <v>23420</v>
      </c>
      <c r="F5959" t="s">
        <v>31574</v>
      </c>
      <c r="G5959" t="s">
        <v>31582</v>
      </c>
      <c r="H5959" t="s">
        <v>31591</v>
      </c>
      <c r="I5959" t="s">
        <v>8822</v>
      </c>
      <c r="J5959" t="s">
        <v>35565</v>
      </c>
      <c r="K5959" t="s">
        <v>41189</v>
      </c>
      <c r="M5959" t="s">
        <v>43523</v>
      </c>
      <c r="N5959" t="s">
        <v>45095</v>
      </c>
      <c r="O5959" t="s">
        <v>45096</v>
      </c>
      <c r="P5959">
        <v>0</v>
      </c>
      <c r="Q5959">
        <v>0</v>
      </c>
      <c r="R5959" t="s">
        <v>45102</v>
      </c>
      <c r="S5959" t="s">
        <v>45242</v>
      </c>
      <c r="T5959" t="s">
        <v>47272</v>
      </c>
      <c r="U5959" t="s">
        <v>52470</v>
      </c>
      <c r="V5959" t="s">
        <v>60477</v>
      </c>
      <c r="W5959" t="s">
        <v>43523</v>
      </c>
      <c r="X5959" t="s">
        <v>45103</v>
      </c>
    </row>
    <row r="5960" spans="1:24">
      <c r="A5960">
        <f>HYPERLINK("https://www.philgeps.gov.ph/GEPSNONPILOT/Tender/SplashBidNoticeAbstractUI.aspx?menuIndex=3&amp;refID=7039767&amp;Result=3","7039767")</f>
        <v>0</v>
      </c>
      <c r="B5960" t="s">
        <v>334</v>
      </c>
      <c r="C5960" t="s">
        <v>8892</v>
      </c>
      <c r="D5960" t="s">
        <v>18050</v>
      </c>
      <c r="E5960" t="s">
        <v>23421</v>
      </c>
      <c r="F5960" t="s">
        <v>31574</v>
      </c>
      <c r="G5960" t="s">
        <v>31581</v>
      </c>
      <c r="H5960" t="s">
        <v>31590</v>
      </c>
      <c r="I5960" t="s">
        <v>3901</v>
      </c>
      <c r="J5960" t="s">
        <v>35566</v>
      </c>
      <c r="K5960" t="s">
        <v>41200</v>
      </c>
      <c r="M5960" t="s">
        <v>41822</v>
      </c>
      <c r="N5960" t="s">
        <v>45095</v>
      </c>
      <c r="O5960" t="s">
        <v>45096</v>
      </c>
      <c r="P5960">
        <v>0</v>
      </c>
      <c r="Q5960">
        <v>1</v>
      </c>
      <c r="R5960" t="s">
        <v>45102</v>
      </c>
      <c r="S5960" t="s">
        <v>45242</v>
      </c>
      <c r="T5960" t="s">
        <v>46936</v>
      </c>
      <c r="U5960" t="s">
        <v>52471</v>
      </c>
      <c r="W5960" t="s">
        <v>61663</v>
      </c>
      <c r="X5960" t="s">
        <v>45103</v>
      </c>
    </row>
    <row r="5961" spans="1:24">
      <c r="A5961">
        <f>HYPERLINK("https://www.philgeps.gov.ph/GEPSNONPILOT/Tender/SplashBidNoticeAbstractUI.aspx?menuIndex=3&amp;refID=7039801&amp;Result=3","7039801")</f>
        <v>0</v>
      </c>
      <c r="B5961" t="s">
        <v>195</v>
      </c>
      <c r="C5961" t="s">
        <v>8893</v>
      </c>
      <c r="D5961" t="s">
        <v>18030</v>
      </c>
      <c r="E5961" t="s">
        <v>23422</v>
      </c>
      <c r="F5961" t="s">
        <v>31574</v>
      </c>
      <c r="G5961" t="s">
        <v>31581</v>
      </c>
      <c r="H5961" t="s">
        <v>31590</v>
      </c>
      <c r="I5961" t="s">
        <v>31614</v>
      </c>
      <c r="J5961" t="s">
        <v>31744</v>
      </c>
      <c r="K5961" t="s">
        <v>41196</v>
      </c>
      <c r="M5961" t="s">
        <v>41680</v>
      </c>
      <c r="N5961" t="s">
        <v>45095</v>
      </c>
      <c r="O5961" t="s">
        <v>45096</v>
      </c>
      <c r="P5961">
        <v>0</v>
      </c>
      <c r="Q5961">
        <v>5</v>
      </c>
      <c r="R5961" t="s">
        <v>45102</v>
      </c>
      <c r="S5961" t="s">
        <v>45242</v>
      </c>
      <c r="T5961" t="s">
        <v>47125</v>
      </c>
      <c r="U5961" t="s">
        <v>52472</v>
      </c>
      <c r="V5961" t="s">
        <v>59900</v>
      </c>
      <c r="W5961" t="s">
        <v>41680</v>
      </c>
      <c r="X5961" t="s">
        <v>45103</v>
      </c>
    </row>
    <row r="5962" spans="1:24">
      <c r="A5962">
        <f>HYPERLINK("https://www.philgeps.gov.ph/GEPSNONPILOT/Tender/SplashBidNoticeAbstractUI.aspx?menuIndex=3&amp;refID=7039794&amp;Result=3","7039794")</f>
        <v>0</v>
      </c>
      <c r="B5962" t="s">
        <v>800</v>
      </c>
      <c r="C5962" t="s">
        <v>8894</v>
      </c>
      <c r="D5962" t="s">
        <v>18094</v>
      </c>
      <c r="E5962" t="s">
        <v>23423</v>
      </c>
      <c r="F5962" t="s">
        <v>31574</v>
      </c>
      <c r="G5962" t="s">
        <v>31582</v>
      </c>
      <c r="H5962" t="s">
        <v>31590</v>
      </c>
      <c r="I5962" t="s">
        <v>31676</v>
      </c>
      <c r="J5962" t="s">
        <v>35567</v>
      </c>
      <c r="K5962" t="s">
        <v>41184</v>
      </c>
      <c r="M5962" t="s">
        <v>42314</v>
      </c>
      <c r="N5962" t="s">
        <v>45095</v>
      </c>
      <c r="O5962" t="s">
        <v>45096</v>
      </c>
      <c r="P5962">
        <v>0</v>
      </c>
      <c r="Q5962">
        <v>2</v>
      </c>
      <c r="R5962" t="s">
        <v>45102</v>
      </c>
      <c r="S5962" t="s">
        <v>45242</v>
      </c>
      <c r="T5962" t="s">
        <v>47170</v>
      </c>
      <c r="U5962" t="s">
        <v>52460</v>
      </c>
      <c r="V5962" t="s">
        <v>60480</v>
      </c>
      <c r="W5962" t="s">
        <v>42314</v>
      </c>
      <c r="X5962" t="s">
        <v>45103</v>
      </c>
    </row>
    <row r="5963" spans="1:24">
      <c r="A5963">
        <f>HYPERLINK("https://www.philgeps.gov.ph/GEPSNONPILOT/Tender/SplashBidNoticeAbstractUI.aspx?menuIndex=3&amp;refID=7039814&amp;Result=3","7039814")</f>
        <v>0</v>
      </c>
      <c r="B5963" t="s">
        <v>514</v>
      </c>
      <c r="C5963" t="s">
        <v>8895</v>
      </c>
      <c r="D5963" t="s">
        <v>18089</v>
      </c>
      <c r="E5963" t="s">
        <v>23424</v>
      </c>
      <c r="F5963" t="s">
        <v>31574</v>
      </c>
      <c r="G5963" t="s">
        <v>31581</v>
      </c>
      <c r="H5963" t="s">
        <v>31590</v>
      </c>
      <c r="I5963" t="s">
        <v>31633</v>
      </c>
      <c r="J5963" t="s">
        <v>32799</v>
      </c>
      <c r="K5963" t="s">
        <v>41186</v>
      </c>
      <c r="M5963" t="s">
        <v>42010</v>
      </c>
      <c r="N5963" t="s">
        <v>45095</v>
      </c>
      <c r="O5963" t="s">
        <v>45096</v>
      </c>
      <c r="P5963">
        <v>0</v>
      </c>
      <c r="Q5963">
        <v>1</v>
      </c>
      <c r="R5963" t="s">
        <v>45102</v>
      </c>
      <c r="S5963" t="s">
        <v>45242</v>
      </c>
      <c r="T5963" t="s">
        <v>46957</v>
      </c>
      <c r="U5963" t="s">
        <v>52473</v>
      </c>
      <c r="V5963" t="s">
        <v>59961</v>
      </c>
      <c r="W5963" t="s">
        <v>42010</v>
      </c>
      <c r="X5963" t="s">
        <v>45103</v>
      </c>
    </row>
    <row r="5964" spans="1:24">
      <c r="A5964">
        <f>HYPERLINK("https://www.philgeps.gov.ph/GEPSNONPILOT/Tender/SplashBidNoticeAbstractUI.aspx?menuIndex=3&amp;refID=7039802&amp;Result=3","7039802")</f>
        <v>0</v>
      </c>
      <c r="B5964" t="s">
        <v>1880</v>
      </c>
      <c r="C5964" t="s">
        <v>8896</v>
      </c>
      <c r="D5964" t="s">
        <v>18056</v>
      </c>
      <c r="E5964" t="s">
        <v>23425</v>
      </c>
      <c r="F5964" t="s">
        <v>31574</v>
      </c>
      <c r="G5964" t="s">
        <v>31581</v>
      </c>
      <c r="H5964" t="s">
        <v>31590</v>
      </c>
      <c r="I5964" t="s">
        <v>31595</v>
      </c>
      <c r="J5964" t="s">
        <v>35568</v>
      </c>
      <c r="K5964" t="s">
        <v>41185</v>
      </c>
      <c r="M5964" t="s">
        <v>43521</v>
      </c>
      <c r="N5964" t="s">
        <v>45095</v>
      </c>
      <c r="O5964" t="s">
        <v>45096</v>
      </c>
      <c r="P5964">
        <v>0</v>
      </c>
      <c r="Q5964">
        <v>0</v>
      </c>
      <c r="R5964" t="s">
        <v>45102</v>
      </c>
      <c r="S5964" t="s">
        <v>45242</v>
      </c>
      <c r="T5964" t="s">
        <v>47125</v>
      </c>
      <c r="U5964" t="s">
        <v>52474</v>
      </c>
      <c r="W5964" t="s">
        <v>43521</v>
      </c>
      <c r="X5964" t="s">
        <v>45103</v>
      </c>
    </row>
    <row r="5965" spans="1:24">
      <c r="A5965">
        <f>HYPERLINK("https://www.philgeps.gov.ph/GEPSNONPILOT/Tender/SplashBidNoticeAbstractUI.aspx?menuIndex=3&amp;refID=7039812&amp;Result=3","7039812")</f>
        <v>0</v>
      </c>
      <c r="B5965" t="s">
        <v>1890</v>
      </c>
      <c r="C5965" t="s">
        <v>5945</v>
      </c>
      <c r="D5965" t="s">
        <v>18022</v>
      </c>
      <c r="E5965" t="s">
        <v>23426</v>
      </c>
      <c r="F5965" t="s">
        <v>31574</v>
      </c>
      <c r="G5965" t="s">
        <v>31583</v>
      </c>
      <c r="H5965" t="s">
        <v>31590</v>
      </c>
      <c r="I5965" t="s">
        <v>4354</v>
      </c>
      <c r="J5965" t="s">
        <v>35569</v>
      </c>
      <c r="K5965" t="s">
        <v>41193</v>
      </c>
      <c r="M5965" t="s">
        <v>43533</v>
      </c>
      <c r="N5965" t="s">
        <v>45095</v>
      </c>
      <c r="O5965" t="s">
        <v>45096</v>
      </c>
      <c r="P5965">
        <v>0</v>
      </c>
      <c r="Q5965">
        <v>11</v>
      </c>
      <c r="R5965" t="s">
        <v>45102</v>
      </c>
      <c r="S5965" t="s">
        <v>45242</v>
      </c>
      <c r="T5965" t="s">
        <v>47125</v>
      </c>
      <c r="U5965" t="s">
        <v>52475</v>
      </c>
      <c r="W5965" t="s">
        <v>43533</v>
      </c>
      <c r="X5965" t="s">
        <v>45103</v>
      </c>
    </row>
    <row r="5966" spans="1:24">
      <c r="A5966">
        <f>HYPERLINK("https://www.philgeps.gov.ph/GEPSNONPILOT/Tender/SplashBidNoticeAbstractUI.aspx?menuIndex=3&amp;refID=7039791&amp;Result=3","7039791")</f>
        <v>0</v>
      </c>
      <c r="B5966" t="s">
        <v>1866</v>
      </c>
      <c r="C5966" t="s">
        <v>8897</v>
      </c>
      <c r="D5966" t="s">
        <v>18047</v>
      </c>
      <c r="E5966" t="s">
        <v>23427</v>
      </c>
      <c r="F5966" t="s">
        <v>31574</v>
      </c>
      <c r="G5966" t="s">
        <v>31582</v>
      </c>
      <c r="H5966" t="s">
        <v>31591</v>
      </c>
      <c r="I5966" t="s">
        <v>8822</v>
      </c>
      <c r="J5966" t="s">
        <v>32026</v>
      </c>
      <c r="K5966" t="s">
        <v>41200</v>
      </c>
      <c r="M5966" t="s">
        <v>43505</v>
      </c>
      <c r="N5966" t="s">
        <v>45095</v>
      </c>
      <c r="O5966" t="s">
        <v>45096</v>
      </c>
      <c r="P5966">
        <v>0</v>
      </c>
      <c r="Q5966">
        <v>0</v>
      </c>
      <c r="R5966" t="s">
        <v>45102</v>
      </c>
      <c r="S5966" t="s">
        <v>45242</v>
      </c>
      <c r="T5966" t="s">
        <v>46952</v>
      </c>
      <c r="U5966" t="s">
        <v>52476</v>
      </c>
      <c r="V5966" t="s">
        <v>60482</v>
      </c>
      <c r="W5966" t="s">
        <v>43505</v>
      </c>
      <c r="X5966" t="s">
        <v>45103</v>
      </c>
    </row>
    <row r="5967" spans="1:24">
      <c r="A5967">
        <f>HYPERLINK("https://www.philgeps.gov.ph/GEPSNONPILOT/Tender/SplashBidNoticeAbstractUI.aspx?menuIndex=3&amp;refID=7039797&amp;Result=3","7039797")</f>
        <v>0</v>
      </c>
      <c r="B5967" t="s">
        <v>1794</v>
      </c>
      <c r="C5967" t="s">
        <v>8898</v>
      </c>
      <c r="D5967" t="s">
        <v>18067</v>
      </c>
      <c r="E5967" t="s">
        <v>23428</v>
      </c>
      <c r="F5967" t="s">
        <v>31574</v>
      </c>
      <c r="G5967" t="s">
        <v>31582</v>
      </c>
      <c r="H5967" t="s">
        <v>31590</v>
      </c>
      <c r="I5967" t="s">
        <v>8258</v>
      </c>
      <c r="J5967" t="s">
        <v>35570</v>
      </c>
      <c r="K5967" t="s">
        <v>41186</v>
      </c>
      <c r="M5967" t="s">
        <v>43425</v>
      </c>
      <c r="N5967" t="s">
        <v>45095</v>
      </c>
      <c r="O5967" t="s">
        <v>45096</v>
      </c>
      <c r="P5967">
        <v>0</v>
      </c>
      <c r="Q5967">
        <v>1</v>
      </c>
      <c r="R5967" t="s">
        <v>45102</v>
      </c>
      <c r="S5967" t="s">
        <v>45242</v>
      </c>
      <c r="T5967" t="s">
        <v>47196</v>
      </c>
      <c r="U5967" t="s">
        <v>52477</v>
      </c>
      <c r="W5967" t="s">
        <v>43425</v>
      </c>
      <c r="X5967" t="s">
        <v>45103</v>
      </c>
    </row>
    <row r="5968" spans="1:24">
      <c r="A5968">
        <f>HYPERLINK("https://www.philgeps.gov.ph/GEPSNONPILOT/Tender/SplashBidNoticeAbstractUI.aspx?menuIndex=3&amp;refID=7039810&amp;Result=3","7039810")</f>
        <v>0</v>
      </c>
      <c r="B5968" t="s">
        <v>606</v>
      </c>
      <c r="C5968" t="s">
        <v>8899</v>
      </c>
      <c r="D5968" t="s">
        <v>18073</v>
      </c>
      <c r="E5968" t="s">
        <v>23429</v>
      </c>
      <c r="F5968" t="s">
        <v>31574</v>
      </c>
      <c r="G5968" t="s">
        <v>31582</v>
      </c>
      <c r="H5968" t="s">
        <v>31590</v>
      </c>
      <c r="I5968" t="s">
        <v>31612</v>
      </c>
      <c r="J5968" t="s">
        <v>35571</v>
      </c>
      <c r="K5968" t="s">
        <v>41186</v>
      </c>
      <c r="M5968" t="s">
        <v>42109</v>
      </c>
      <c r="N5968" t="s">
        <v>45095</v>
      </c>
      <c r="O5968" t="s">
        <v>45096</v>
      </c>
      <c r="P5968">
        <v>0</v>
      </c>
      <c r="Q5968">
        <v>2</v>
      </c>
      <c r="R5968" t="s">
        <v>45102</v>
      </c>
      <c r="S5968" t="s">
        <v>45242</v>
      </c>
      <c r="T5968" t="s">
        <v>46973</v>
      </c>
      <c r="U5968" t="s">
        <v>52478</v>
      </c>
      <c r="W5968" t="s">
        <v>43561</v>
      </c>
      <c r="X5968" t="s">
        <v>45103</v>
      </c>
    </row>
    <row r="5969" spans="1:24">
      <c r="A5969">
        <f>HYPERLINK("https://www.philgeps.gov.ph/GEPSNONPILOT/Tender/SplashBidNoticeAbstractUI.aspx?menuIndex=3&amp;refID=7039800&amp;Result=3","7039800")</f>
        <v>0</v>
      </c>
      <c r="B5969" t="s">
        <v>218</v>
      </c>
      <c r="C5969" t="s">
        <v>8900</v>
      </c>
      <c r="D5969" t="s">
        <v>18070</v>
      </c>
      <c r="E5969" t="s">
        <v>23430</v>
      </c>
      <c r="F5969" t="s">
        <v>31574</v>
      </c>
      <c r="G5969" t="s">
        <v>31583</v>
      </c>
      <c r="H5969" t="s">
        <v>31590</v>
      </c>
      <c r="I5969" t="s">
        <v>31605</v>
      </c>
      <c r="J5969" t="s">
        <v>35572</v>
      </c>
      <c r="K5969" t="s">
        <v>41193</v>
      </c>
      <c r="M5969" t="s">
        <v>41703</v>
      </c>
      <c r="N5969" t="s">
        <v>45095</v>
      </c>
      <c r="O5969" t="s">
        <v>45096</v>
      </c>
      <c r="P5969">
        <v>0</v>
      </c>
      <c r="Q5969">
        <v>0</v>
      </c>
      <c r="R5969" t="s">
        <v>45102</v>
      </c>
      <c r="S5969" t="s">
        <v>45242</v>
      </c>
      <c r="T5969" t="s">
        <v>47158</v>
      </c>
      <c r="U5969" t="s">
        <v>52479</v>
      </c>
      <c r="W5969" t="s">
        <v>41703</v>
      </c>
      <c r="X5969" t="s">
        <v>45103</v>
      </c>
    </row>
    <row r="5970" spans="1:24">
      <c r="A5970">
        <f>HYPERLINK("https://www.philgeps.gov.ph/GEPSNONPILOT/Tender/SplashBidNoticeAbstractUI.aspx?menuIndex=3&amp;refID=7039811&amp;Result=3","7039811")</f>
        <v>0</v>
      </c>
      <c r="B5970" t="s">
        <v>1891</v>
      </c>
      <c r="C5970" t="s">
        <v>8901</v>
      </c>
      <c r="D5970" t="s">
        <v>18056</v>
      </c>
      <c r="E5970" t="s">
        <v>23431</v>
      </c>
      <c r="F5970" t="s">
        <v>31574</v>
      </c>
      <c r="G5970" t="s">
        <v>31582</v>
      </c>
      <c r="H5970" t="s">
        <v>31590</v>
      </c>
      <c r="I5970" t="s">
        <v>8822</v>
      </c>
      <c r="J5970" t="s">
        <v>35573</v>
      </c>
      <c r="K5970" t="s">
        <v>41186</v>
      </c>
      <c r="L5970" t="s">
        <v>1891</v>
      </c>
      <c r="M5970" t="s">
        <v>43534</v>
      </c>
      <c r="N5970" t="s">
        <v>45095</v>
      </c>
      <c r="O5970" t="s">
        <v>45096</v>
      </c>
      <c r="P5970">
        <v>0</v>
      </c>
      <c r="Q5970">
        <v>2</v>
      </c>
      <c r="R5970" t="s">
        <v>45102</v>
      </c>
      <c r="S5970" t="s">
        <v>45242</v>
      </c>
      <c r="T5970" t="s">
        <v>47166</v>
      </c>
      <c r="U5970" t="s">
        <v>52480</v>
      </c>
      <c r="W5970" t="s">
        <v>43534</v>
      </c>
      <c r="X5970" t="s">
        <v>45103</v>
      </c>
    </row>
    <row r="5971" spans="1:24">
      <c r="A5971">
        <f>HYPERLINK("https://www.philgeps.gov.ph/GEPSNONPILOT/Tender/SplashBidNoticeAbstractUI.aspx?menuIndex=3&amp;refID=7039816&amp;Result=3","7039816")</f>
        <v>0</v>
      </c>
      <c r="B5971" t="s">
        <v>759</v>
      </c>
      <c r="C5971" t="s">
        <v>8902</v>
      </c>
      <c r="D5971" t="s">
        <v>18039</v>
      </c>
      <c r="E5971" t="s">
        <v>23432</v>
      </c>
      <c r="F5971" t="s">
        <v>31574</v>
      </c>
      <c r="G5971" t="s">
        <v>31585</v>
      </c>
      <c r="H5971" t="s">
        <v>31590</v>
      </c>
      <c r="I5971" t="s">
        <v>3487</v>
      </c>
      <c r="J5971" t="s">
        <v>35574</v>
      </c>
      <c r="K5971" t="s">
        <v>41184</v>
      </c>
      <c r="M5971" t="s">
        <v>43501</v>
      </c>
      <c r="N5971" t="s">
        <v>45095</v>
      </c>
      <c r="O5971" t="s">
        <v>45096</v>
      </c>
      <c r="P5971">
        <v>0</v>
      </c>
      <c r="Q5971">
        <v>1</v>
      </c>
      <c r="R5971" t="s">
        <v>45102</v>
      </c>
      <c r="S5971" t="s">
        <v>45242</v>
      </c>
      <c r="T5971" t="s">
        <v>47197</v>
      </c>
      <c r="U5971" t="s">
        <v>52354</v>
      </c>
      <c r="V5971" t="s">
        <v>60464</v>
      </c>
      <c r="W5971" t="s">
        <v>43501</v>
      </c>
      <c r="X5971" t="s">
        <v>45103</v>
      </c>
    </row>
    <row r="5972" spans="1:24">
      <c r="A5972">
        <f>HYPERLINK("https://www.philgeps.gov.ph/GEPSNONPILOT/Tender/SplashBidNoticeAbstractUI.aspx?menuIndex=3&amp;refID=7039799&amp;Result=3","7039799")</f>
        <v>0</v>
      </c>
      <c r="B5972" t="s">
        <v>62</v>
      </c>
      <c r="C5972" t="s">
        <v>8903</v>
      </c>
      <c r="D5972" t="s">
        <v>18037</v>
      </c>
      <c r="E5972" t="s">
        <v>23433</v>
      </c>
      <c r="F5972" t="s">
        <v>31574</v>
      </c>
      <c r="G5972" t="s">
        <v>31581</v>
      </c>
      <c r="H5972" t="s">
        <v>31590</v>
      </c>
      <c r="I5972" t="s">
        <v>31637</v>
      </c>
      <c r="J5972" t="s">
        <v>35575</v>
      </c>
      <c r="K5972" t="s">
        <v>41184</v>
      </c>
      <c r="L5972" t="s">
        <v>62</v>
      </c>
      <c r="M5972" t="s">
        <v>41546</v>
      </c>
      <c r="N5972" t="s">
        <v>45095</v>
      </c>
      <c r="O5972" t="s">
        <v>45096</v>
      </c>
      <c r="P5972">
        <v>0</v>
      </c>
      <c r="Q5972">
        <v>2</v>
      </c>
      <c r="R5972" t="s">
        <v>45102</v>
      </c>
      <c r="S5972" t="s">
        <v>45242</v>
      </c>
      <c r="T5972" t="s">
        <v>47050</v>
      </c>
      <c r="U5972" t="s">
        <v>52481</v>
      </c>
      <c r="W5972" t="s">
        <v>41546</v>
      </c>
      <c r="X5972" t="s">
        <v>45103</v>
      </c>
    </row>
    <row r="5973" spans="1:24">
      <c r="A5973">
        <f>HYPERLINK("https://www.philgeps.gov.ph/GEPSNONPILOT/Tender/SplashBidNoticeAbstractUI.aspx?menuIndex=3&amp;refID=7039822&amp;Result=3","7039822")</f>
        <v>0</v>
      </c>
      <c r="B5973" t="s">
        <v>1892</v>
      </c>
      <c r="C5973" t="s">
        <v>8904</v>
      </c>
      <c r="D5973" t="s">
        <v>18071</v>
      </c>
      <c r="E5973" t="s">
        <v>22250</v>
      </c>
      <c r="F5973" t="s">
        <v>31574</v>
      </c>
      <c r="G5973" t="s">
        <v>31581</v>
      </c>
      <c r="H5973" t="s">
        <v>31590</v>
      </c>
      <c r="I5973" t="s">
        <v>31689</v>
      </c>
      <c r="J5973" t="s">
        <v>35576</v>
      </c>
      <c r="K5973" t="s">
        <v>41186</v>
      </c>
      <c r="M5973" t="s">
        <v>43535</v>
      </c>
      <c r="N5973" t="s">
        <v>45095</v>
      </c>
      <c r="O5973" t="s">
        <v>45096</v>
      </c>
      <c r="P5973">
        <v>0</v>
      </c>
      <c r="Q5973">
        <v>1</v>
      </c>
      <c r="R5973" t="s">
        <v>45102</v>
      </c>
      <c r="S5973" t="s">
        <v>45242</v>
      </c>
      <c r="T5973" t="s">
        <v>46955</v>
      </c>
      <c r="U5973" t="s">
        <v>52482</v>
      </c>
      <c r="W5973" t="s">
        <v>43535</v>
      </c>
      <c r="X5973" t="s">
        <v>45103</v>
      </c>
    </row>
    <row r="5974" spans="1:24">
      <c r="A5974">
        <f>HYPERLINK("https://www.philgeps.gov.ph/GEPSNONPILOT/Tender/SplashBidNoticeAbstractUI.aspx?menuIndex=3&amp;refID=7039804&amp;Result=3","7039804")</f>
        <v>0</v>
      </c>
      <c r="B5974" t="s">
        <v>178</v>
      </c>
      <c r="C5974" t="s">
        <v>8905</v>
      </c>
      <c r="D5974" t="s">
        <v>18078</v>
      </c>
      <c r="E5974" t="s">
        <v>23434</v>
      </c>
      <c r="F5974" t="s">
        <v>31574</v>
      </c>
      <c r="G5974" t="s">
        <v>31581</v>
      </c>
      <c r="H5974" t="s">
        <v>31591</v>
      </c>
      <c r="I5974" t="s">
        <v>8822</v>
      </c>
      <c r="J5974" t="s">
        <v>35577</v>
      </c>
      <c r="K5974" t="s">
        <v>41195</v>
      </c>
      <c r="M5974" t="s">
        <v>41662</v>
      </c>
      <c r="N5974" t="s">
        <v>45095</v>
      </c>
      <c r="O5974" t="s">
        <v>45096</v>
      </c>
      <c r="P5974">
        <v>0</v>
      </c>
      <c r="Q5974">
        <v>1</v>
      </c>
      <c r="R5974" t="s">
        <v>45102</v>
      </c>
      <c r="S5974" t="s">
        <v>45242</v>
      </c>
      <c r="T5974" t="s">
        <v>46963</v>
      </c>
      <c r="U5974" t="s">
        <v>52483</v>
      </c>
      <c r="V5974" t="s">
        <v>60483</v>
      </c>
      <c r="W5974" t="s">
        <v>41662</v>
      </c>
      <c r="X5974" t="s">
        <v>45103</v>
      </c>
    </row>
    <row r="5975" spans="1:24">
      <c r="A5975">
        <f>HYPERLINK("https://www.philgeps.gov.ph/GEPSNONPILOT/Tender/SplashBidNoticeAbstractUI.aspx?menuIndex=3&amp;refID=7039807&amp;Result=3","7039807")</f>
        <v>0</v>
      </c>
      <c r="B5975" t="s">
        <v>1796</v>
      </c>
      <c r="C5975" t="s">
        <v>8906</v>
      </c>
      <c r="D5975" t="s">
        <v>18027</v>
      </c>
      <c r="E5975" t="s">
        <v>23435</v>
      </c>
      <c r="F5975" t="s">
        <v>31574</v>
      </c>
      <c r="G5975" t="s">
        <v>31582</v>
      </c>
      <c r="H5975" t="s">
        <v>31590</v>
      </c>
      <c r="I5975" t="s">
        <v>31615</v>
      </c>
      <c r="J5975" t="s">
        <v>32076</v>
      </c>
      <c r="K5975" t="s">
        <v>41196</v>
      </c>
      <c r="M5975" t="s">
        <v>43427</v>
      </c>
      <c r="N5975" t="s">
        <v>45095</v>
      </c>
      <c r="O5975" t="s">
        <v>45096</v>
      </c>
      <c r="P5975">
        <v>0</v>
      </c>
      <c r="Q5975">
        <v>2</v>
      </c>
      <c r="R5975" t="s">
        <v>45102</v>
      </c>
      <c r="S5975" t="s">
        <v>45242</v>
      </c>
      <c r="T5975" t="s">
        <v>47013</v>
      </c>
      <c r="U5975" t="s">
        <v>52484</v>
      </c>
      <c r="W5975" t="s">
        <v>43427</v>
      </c>
      <c r="X5975" t="s">
        <v>45103</v>
      </c>
    </row>
    <row r="5976" spans="1:24">
      <c r="A5976">
        <f>HYPERLINK("https://www.philgeps.gov.ph/GEPSNONPILOT/Tender/SplashBidNoticeAbstractUI.aspx?menuIndex=3&amp;refID=7039808&amp;Result=3","7039808")</f>
        <v>0</v>
      </c>
      <c r="B5976" t="s">
        <v>1893</v>
      </c>
      <c r="C5976" t="s">
        <v>8907</v>
      </c>
      <c r="D5976" t="s">
        <v>18051</v>
      </c>
      <c r="E5976" t="s">
        <v>23436</v>
      </c>
      <c r="F5976" t="s">
        <v>31574</v>
      </c>
      <c r="G5976" t="s">
        <v>31582</v>
      </c>
      <c r="H5976" t="s">
        <v>31590</v>
      </c>
      <c r="I5976" t="s">
        <v>8258</v>
      </c>
      <c r="J5976" t="s">
        <v>35578</v>
      </c>
      <c r="K5976" t="s">
        <v>41196</v>
      </c>
      <c r="M5976" t="s">
        <v>43536</v>
      </c>
      <c r="N5976" t="s">
        <v>45095</v>
      </c>
      <c r="O5976" t="s">
        <v>45096</v>
      </c>
      <c r="P5976">
        <v>0</v>
      </c>
      <c r="Q5976">
        <v>3</v>
      </c>
      <c r="R5976" t="s">
        <v>45102</v>
      </c>
      <c r="S5976" t="s">
        <v>45242</v>
      </c>
      <c r="T5976" t="s">
        <v>46965</v>
      </c>
      <c r="U5976" t="s">
        <v>52485</v>
      </c>
      <c r="W5976" t="s">
        <v>43536</v>
      </c>
      <c r="X5976" t="s">
        <v>45103</v>
      </c>
    </row>
    <row r="5977" spans="1:24">
      <c r="A5977">
        <f>HYPERLINK("https://www.philgeps.gov.ph/GEPSNONPILOT/Tender/SplashBidNoticeAbstractUI.aspx?menuIndex=3&amp;refID=7039825&amp;Result=3","7039825")</f>
        <v>0</v>
      </c>
      <c r="B5977" t="s">
        <v>1868</v>
      </c>
      <c r="C5977" t="s">
        <v>8908</v>
      </c>
      <c r="D5977" t="s">
        <v>18079</v>
      </c>
      <c r="E5977" t="s">
        <v>23437</v>
      </c>
      <c r="F5977" t="s">
        <v>31574</v>
      </c>
      <c r="G5977" t="s">
        <v>31582</v>
      </c>
      <c r="H5977" t="s">
        <v>31590</v>
      </c>
      <c r="I5977" t="s">
        <v>7185</v>
      </c>
      <c r="J5977" t="s">
        <v>35579</v>
      </c>
      <c r="K5977" t="s">
        <v>41186</v>
      </c>
      <c r="M5977" t="s">
        <v>43507</v>
      </c>
      <c r="N5977" t="s">
        <v>45095</v>
      </c>
      <c r="O5977" t="s">
        <v>45096</v>
      </c>
      <c r="P5977">
        <v>0</v>
      </c>
      <c r="Q5977">
        <v>2</v>
      </c>
      <c r="R5977" t="s">
        <v>45102</v>
      </c>
      <c r="S5977" t="s">
        <v>45242</v>
      </c>
      <c r="T5977" t="s">
        <v>46977</v>
      </c>
      <c r="U5977" t="s">
        <v>52486</v>
      </c>
      <c r="W5977" t="s">
        <v>43507</v>
      </c>
      <c r="X5977" t="s">
        <v>45103</v>
      </c>
    </row>
    <row r="5978" spans="1:24">
      <c r="A5978">
        <f>HYPERLINK("https://www.philgeps.gov.ph/GEPSNONPILOT/Tender/SplashBidNoticeAbstractUI.aspx?menuIndex=3&amp;refID=7039819&amp;Result=3","7039819")</f>
        <v>0</v>
      </c>
      <c r="B5978" t="s">
        <v>800</v>
      </c>
      <c r="C5978" t="s">
        <v>8909</v>
      </c>
      <c r="D5978" t="s">
        <v>18094</v>
      </c>
      <c r="E5978" t="s">
        <v>23438</v>
      </c>
      <c r="F5978" t="s">
        <v>31574</v>
      </c>
      <c r="G5978" t="s">
        <v>31582</v>
      </c>
      <c r="H5978" t="s">
        <v>31590</v>
      </c>
      <c r="I5978" t="s">
        <v>31676</v>
      </c>
      <c r="J5978" t="s">
        <v>35580</v>
      </c>
      <c r="K5978" t="s">
        <v>41184</v>
      </c>
      <c r="M5978" t="s">
        <v>42314</v>
      </c>
      <c r="N5978" t="s">
        <v>45095</v>
      </c>
      <c r="O5978" t="s">
        <v>45096</v>
      </c>
      <c r="P5978">
        <v>0</v>
      </c>
      <c r="Q5978">
        <v>2</v>
      </c>
      <c r="R5978" t="s">
        <v>45102</v>
      </c>
      <c r="S5978" t="s">
        <v>45242</v>
      </c>
      <c r="T5978" t="s">
        <v>47170</v>
      </c>
      <c r="U5978" t="s">
        <v>52460</v>
      </c>
      <c r="V5978" t="s">
        <v>60480</v>
      </c>
      <c r="W5978" t="s">
        <v>42314</v>
      </c>
      <c r="X5978" t="s">
        <v>45103</v>
      </c>
    </row>
    <row r="5979" spans="1:24">
      <c r="A5979">
        <f>HYPERLINK("https://www.philgeps.gov.ph/GEPSNONPILOT/Tender/SplashBidNoticeAbstractUI.aspx?menuIndex=3&amp;refID=7039826&amp;Result=3","7039826")</f>
        <v>0</v>
      </c>
      <c r="B5979" t="s">
        <v>1677</v>
      </c>
      <c r="C5979" t="s">
        <v>8910</v>
      </c>
      <c r="D5979" t="s">
        <v>18022</v>
      </c>
      <c r="E5979" t="s">
        <v>23439</v>
      </c>
      <c r="F5979" t="s">
        <v>31574</v>
      </c>
      <c r="G5979" t="s">
        <v>31581</v>
      </c>
      <c r="H5979" t="s">
        <v>31590</v>
      </c>
      <c r="I5979" t="s">
        <v>4327</v>
      </c>
      <c r="J5979" t="s">
        <v>35581</v>
      </c>
      <c r="K5979" t="s">
        <v>41193</v>
      </c>
      <c r="M5979" t="s">
        <v>43537</v>
      </c>
      <c r="N5979" t="s">
        <v>45095</v>
      </c>
      <c r="O5979" t="s">
        <v>45096</v>
      </c>
      <c r="P5979">
        <v>0</v>
      </c>
      <c r="Q5979">
        <v>0</v>
      </c>
      <c r="R5979" t="s">
        <v>45102</v>
      </c>
      <c r="S5979" t="s">
        <v>45242</v>
      </c>
      <c r="T5979" t="s">
        <v>47067</v>
      </c>
      <c r="U5979" t="s">
        <v>52487</v>
      </c>
      <c r="W5979" t="s">
        <v>43537</v>
      </c>
      <c r="X5979" t="s">
        <v>45103</v>
      </c>
    </row>
    <row r="5980" spans="1:24">
      <c r="A5980">
        <f>HYPERLINK("https://www.philgeps.gov.ph/GEPSNONPILOT/Tender/SplashBidNoticeAbstractUI.aspx?menuIndex=3&amp;refID=7039817&amp;Result=3","7039817")</f>
        <v>0</v>
      </c>
      <c r="B5980" t="s">
        <v>771</v>
      </c>
      <c r="C5980" t="s">
        <v>8911</v>
      </c>
      <c r="D5980" t="s">
        <v>18050</v>
      </c>
      <c r="E5980" t="s">
        <v>23440</v>
      </c>
      <c r="F5980" t="s">
        <v>31574</v>
      </c>
      <c r="G5980" t="s">
        <v>31581</v>
      </c>
      <c r="H5980" t="s">
        <v>31590</v>
      </c>
      <c r="I5980" t="s">
        <v>31603</v>
      </c>
      <c r="J5980" t="s">
        <v>35582</v>
      </c>
      <c r="K5980" t="s">
        <v>41196</v>
      </c>
      <c r="M5980" t="s">
        <v>42285</v>
      </c>
      <c r="N5980" t="s">
        <v>45095</v>
      </c>
      <c r="O5980" t="s">
        <v>45096</v>
      </c>
      <c r="P5980">
        <v>0</v>
      </c>
      <c r="Q5980">
        <v>5</v>
      </c>
      <c r="R5980" t="s">
        <v>45102</v>
      </c>
      <c r="S5980" t="s">
        <v>45242</v>
      </c>
      <c r="T5980" t="s">
        <v>47064</v>
      </c>
      <c r="U5980" t="s">
        <v>52488</v>
      </c>
      <c r="W5980" t="s">
        <v>42285</v>
      </c>
      <c r="X5980" t="s">
        <v>45103</v>
      </c>
    </row>
    <row r="5981" spans="1:24">
      <c r="A5981">
        <f>HYPERLINK("https://www.philgeps.gov.ph/GEPSNONPILOT/Tender/SplashBidNoticeAbstractUI.aspx?menuIndex=3&amp;refID=7039828&amp;Result=3","7039828")</f>
        <v>0</v>
      </c>
      <c r="B5981" t="s">
        <v>1443</v>
      </c>
      <c r="C5981" t="s">
        <v>8912</v>
      </c>
      <c r="D5981" t="s">
        <v>18074</v>
      </c>
      <c r="E5981" t="s">
        <v>23441</v>
      </c>
      <c r="F5981" t="s">
        <v>31574</v>
      </c>
      <c r="G5981" t="s">
        <v>31582</v>
      </c>
      <c r="H5981" t="s">
        <v>31591</v>
      </c>
      <c r="I5981" t="s">
        <v>8822</v>
      </c>
      <c r="J5981" t="s">
        <v>35583</v>
      </c>
      <c r="K5981" t="s">
        <v>41287</v>
      </c>
      <c r="M5981" t="s">
        <v>43523</v>
      </c>
      <c r="N5981" t="s">
        <v>45095</v>
      </c>
      <c r="O5981" t="s">
        <v>45096</v>
      </c>
      <c r="P5981">
        <v>0</v>
      </c>
      <c r="Q5981">
        <v>1</v>
      </c>
      <c r="R5981" t="s">
        <v>45102</v>
      </c>
      <c r="S5981" t="s">
        <v>45242</v>
      </c>
      <c r="T5981" t="s">
        <v>47272</v>
      </c>
      <c r="U5981" t="s">
        <v>52489</v>
      </c>
      <c r="V5981" t="s">
        <v>60477</v>
      </c>
      <c r="W5981" t="s">
        <v>43523</v>
      </c>
      <c r="X5981" t="s">
        <v>45103</v>
      </c>
    </row>
    <row r="5982" spans="1:24">
      <c r="A5982">
        <f>HYPERLINK("https://www.philgeps.gov.ph/GEPSNONPILOT/Tender/SplashBidNoticeAbstractUI.aspx?menuIndex=3&amp;refID=7039820&amp;Result=3","7039820")</f>
        <v>0</v>
      </c>
      <c r="B5982" t="s">
        <v>1894</v>
      </c>
      <c r="C5982" t="s">
        <v>8913</v>
      </c>
      <c r="D5982" t="s">
        <v>18079</v>
      </c>
      <c r="E5982" t="s">
        <v>18975</v>
      </c>
      <c r="F5982" t="s">
        <v>31574</v>
      </c>
      <c r="G5982" t="s">
        <v>31581</v>
      </c>
      <c r="H5982" t="s">
        <v>31590</v>
      </c>
      <c r="I5982" t="s">
        <v>31603</v>
      </c>
      <c r="J5982" t="s">
        <v>34488</v>
      </c>
      <c r="K5982" t="s">
        <v>41190</v>
      </c>
      <c r="M5982" t="s">
        <v>43538</v>
      </c>
      <c r="N5982" t="s">
        <v>45095</v>
      </c>
      <c r="O5982" t="s">
        <v>45096</v>
      </c>
      <c r="P5982">
        <v>0</v>
      </c>
      <c r="Q5982">
        <v>7</v>
      </c>
      <c r="R5982" t="s">
        <v>45102</v>
      </c>
      <c r="S5982" t="s">
        <v>45242</v>
      </c>
      <c r="T5982" t="s">
        <v>47146</v>
      </c>
      <c r="U5982" t="s">
        <v>52490</v>
      </c>
      <c r="W5982" t="s">
        <v>43538</v>
      </c>
      <c r="X5982" t="s">
        <v>45103</v>
      </c>
    </row>
    <row r="5983" spans="1:24">
      <c r="A5983">
        <f>HYPERLINK("https://www.philgeps.gov.ph/GEPSNONPILOT/Tender/SplashBidNoticeAbstractUI.aspx?menuIndex=3&amp;refID=7039829&amp;Result=3","7039829")</f>
        <v>0</v>
      </c>
      <c r="B5983" t="s">
        <v>427</v>
      </c>
      <c r="C5983" t="s">
        <v>8914</v>
      </c>
      <c r="D5983" t="s">
        <v>18044</v>
      </c>
      <c r="E5983" t="s">
        <v>23442</v>
      </c>
      <c r="F5983" t="s">
        <v>31574</v>
      </c>
      <c r="G5983" t="s">
        <v>31583</v>
      </c>
      <c r="H5983" t="s">
        <v>31590</v>
      </c>
      <c r="I5983" t="s">
        <v>31612</v>
      </c>
      <c r="J5983" t="s">
        <v>32572</v>
      </c>
      <c r="K5983" t="s">
        <v>41211</v>
      </c>
      <c r="M5983" t="s">
        <v>41919</v>
      </c>
      <c r="N5983" t="s">
        <v>45095</v>
      </c>
      <c r="O5983" t="s">
        <v>45096</v>
      </c>
      <c r="P5983">
        <v>0</v>
      </c>
      <c r="Q5983">
        <v>2</v>
      </c>
      <c r="R5983" t="s">
        <v>45102</v>
      </c>
      <c r="S5983" t="s">
        <v>45242</v>
      </c>
      <c r="T5983" t="s">
        <v>47159</v>
      </c>
      <c r="U5983" t="s">
        <v>52491</v>
      </c>
      <c r="W5983" t="s">
        <v>41919</v>
      </c>
      <c r="X5983" t="s">
        <v>45103</v>
      </c>
    </row>
    <row r="5984" spans="1:24">
      <c r="A5984">
        <f>HYPERLINK("https://www.philgeps.gov.ph/GEPSNONPILOT/Tender/SplashBidNoticeAbstractUI.aspx?menuIndex=3&amp;refID=7039835&amp;Result=3","7039835")</f>
        <v>0</v>
      </c>
      <c r="B5984" t="s">
        <v>297</v>
      </c>
      <c r="C5984" t="s">
        <v>8915</v>
      </c>
      <c r="D5984" t="s">
        <v>18075</v>
      </c>
      <c r="E5984" t="s">
        <v>23443</v>
      </c>
      <c r="F5984" t="s">
        <v>31574</v>
      </c>
      <c r="G5984" t="s">
        <v>31582</v>
      </c>
      <c r="H5984" t="s">
        <v>31590</v>
      </c>
      <c r="I5984" t="s">
        <v>31615</v>
      </c>
      <c r="J5984" t="s">
        <v>32361</v>
      </c>
      <c r="K5984" t="s">
        <v>41186</v>
      </c>
      <c r="M5984" t="s">
        <v>43539</v>
      </c>
      <c r="N5984" t="s">
        <v>45095</v>
      </c>
      <c r="O5984" t="s">
        <v>45096</v>
      </c>
      <c r="P5984">
        <v>0</v>
      </c>
      <c r="Q5984">
        <v>3</v>
      </c>
      <c r="R5984" t="s">
        <v>45102</v>
      </c>
      <c r="S5984" t="s">
        <v>45242</v>
      </c>
      <c r="T5984" t="s">
        <v>46962</v>
      </c>
      <c r="U5984" t="s">
        <v>52492</v>
      </c>
      <c r="V5984" t="s">
        <v>60484</v>
      </c>
      <c r="W5984" t="s">
        <v>43539</v>
      </c>
      <c r="X5984" t="s">
        <v>45103</v>
      </c>
    </row>
    <row r="5985" spans="1:24">
      <c r="A5985">
        <f>HYPERLINK("https://www.philgeps.gov.ph/GEPSNONPILOT/Tender/SplashBidNoticeAbstractUI.aspx?menuIndex=3&amp;refID=7039831&amp;Result=3","7039831")</f>
        <v>0</v>
      </c>
      <c r="B5985" t="s">
        <v>1895</v>
      </c>
      <c r="C5985" t="s">
        <v>8916</v>
      </c>
      <c r="D5985" t="s">
        <v>18101</v>
      </c>
      <c r="E5985" t="s">
        <v>23444</v>
      </c>
      <c r="F5985" t="s">
        <v>31574</v>
      </c>
      <c r="G5985" t="s">
        <v>31581</v>
      </c>
      <c r="H5985" t="s">
        <v>31590</v>
      </c>
      <c r="I5985" t="s">
        <v>5717</v>
      </c>
      <c r="J5985" t="s">
        <v>35584</v>
      </c>
      <c r="K5985" t="s">
        <v>41190</v>
      </c>
      <c r="M5985" t="s">
        <v>43540</v>
      </c>
      <c r="N5985" t="s">
        <v>45095</v>
      </c>
      <c r="O5985" t="s">
        <v>45096</v>
      </c>
      <c r="P5985">
        <v>0</v>
      </c>
      <c r="Q5985">
        <v>0</v>
      </c>
      <c r="R5985" t="s">
        <v>45102</v>
      </c>
      <c r="S5985" t="s">
        <v>45242</v>
      </c>
      <c r="T5985" t="s">
        <v>46973</v>
      </c>
      <c r="U5985" t="s">
        <v>52493</v>
      </c>
      <c r="V5985" t="s">
        <v>60485</v>
      </c>
      <c r="W5985" t="s">
        <v>43540</v>
      </c>
      <c r="X5985" t="s">
        <v>45103</v>
      </c>
    </row>
    <row r="5986" spans="1:24">
      <c r="A5986">
        <f>HYPERLINK("https://www.philgeps.gov.ph/GEPSNONPILOT/Tender/SplashBidNoticeAbstractUI.aspx?menuIndex=3&amp;refID=7039841&amp;Result=3","7039841")</f>
        <v>0</v>
      </c>
      <c r="B5986" t="s">
        <v>62</v>
      </c>
      <c r="C5986" t="s">
        <v>8917</v>
      </c>
      <c r="D5986" t="s">
        <v>18037</v>
      </c>
      <c r="E5986" t="s">
        <v>23445</v>
      </c>
      <c r="F5986" t="s">
        <v>31574</v>
      </c>
      <c r="G5986" t="s">
        <v>31581</v>
      </c>
      <c r="H5986" t="s">
        <v>31590</v>
      </c>
      <c r="I5986" t="s">
        <v>31637</v>
      </c>
      <c r="J5986" t="s">
        <v>35585</v>
      </c>
      <c r="K5986" t="s">
        <v>41184</v>
      </c>
      <c r="L5986" t="s">
        <v>62</v>
      </c>
      <c r="M5986" t="s">
        <v>41546</v>
      </c>
      <c r="N5986" t="s">
        <v>45095</v>
      </c>
      <c r="O5986" t="s">
        <v>45096</v>
      </c>
      <c r="P5986">
        <v>0</v>
      </c>
      <c r="Q5986">
        <v>2</v>
      </c>
      <c r="R5986" t="s">
        <v>45102</v>
      </c>
      <c r="S5986" t="s">
        <v>45242</v>
      </c>
      <c r="T5986" t="s">
        <v>47050</v>
      </c>
      <c r="U5986" t="s">
        <v>52494</v>
      </c>
      <c r="W5986" t="s">
        <v>41546</v>
      </c>
      <c r="X5986" t="s">
        <v>45103</v>
      </c>
    </row>
    <row r="5987" spans="1:24">
      <c r="A5987">
        <f>HYPERLINK("https://www.philgeps.gov.ph/GEPSNONPILOT/Tender/SplashBidNoticeAbstractUI.aspx?menuIndex=3&amp;refID=7039859&amp;Result=3","7039859")</f>
        <v>0</v>
      </c>
      <c r="B5987" t="s">
        <v>132</v>
      </c>
      <c r="C5987" t="s">
        <v>8918</v>
      </c>
      <c r="D5987" t="s">
        <v>18059</v>
      </c>
      <c r="E5987" t="s">
        <v>23446</v>
      </c>
      <c r="F5987" t="s">
        <v>31574</v>
      </c>
      <c r="G5987" t="s">
        <v>31582</v>
      </c>
      <c r="H5987" t="s">
        <v>31590</v>
      </c>
      <c r="I5987" t="s">
        <v>4046</v>
      </c>
      <c r="J5987" t="s">
        <v>35586</v>
      </c>
      <c r="K5987" t="s">
        <v>41190</v>
      </c>
      <c r="M5987" t="s">
        <v>41616</v>
      </c>
      <c r="N5987" t="s">
        <v>45095</v>
      </c>
      <c r="O5987" t="s">
        <v>45096</v>
      </c>
      <c r="P5987">
        <v>0</v>
      </c>
      <c r="Q5987">
        <v>0</v>
      </c>
      <c r="R5987" t="s">
        <v>45102</v>
      </c>
      <c r="S5987" t="s">
        <v>45242</v>
      </c>
      <c r="T5987" t="s">
        <v>46973</v>
      </c>
      <c r="U5987" t="s">
        <v>52495</v>
      </c>
      <c r="W5987" t="s">
        <v>41616</v>
      </c>
      <c r="X5987" t="s">
        <v>45103</v>
      </c>
    </row>
    <row r="5988" spans="1:24">
      <c r="A5988">
        <f>HYPERLINK("https://www.philgeps.gov.ph/GEPSNONPILOT/Tender/SplashBidNoticeAbstractUI.aspx?menuIndex=3&amp;refID=7039833&amp;Result=3","7039833")</f>
        <v>0</v>
      </c>
      <c r="B5988" t="s">
        <v>1880</v>
      </c>
      <c r="C5988" t="s">
        <v>8919</v>
      </c>
      <c r="D5988" t="s">
        <v>18056</v>
      </c>
      <c r="E5988" t="s">
        <v>23447</v>
      </c>
      <c r="F5988" t="s">
        <v>31574</v>
      </c>
      <c r="G5988" t="s">
        <v>31581</v>
      </c>
      <c r="H5988" t="s">
        <v>31590</v>
      </c>
      <c r="I5988" t="s">
        <v>31595</v>
      </c>
      <c r="J5988" t="s">
        <v>32017</v>
      </c>
      <c r="K5988" t="s">
        <v>41185</v>
      </c>
      <c r="M5988" t="s">
        <v>43521</v>
      </c>
      <c r="N5988" t="s">
        <v>45095</v>
      </c>
      <c r="O5988" t="s">
        <v>45096</v>
      </c>
      <c r="P5988">
        <v>0</v>
      </c>
      <c r="Q5988">
        <v>0</v>
      </c>
      <c r="R5988" t="s">
        <v>45102</v>
      </c>
      <c r="S5988" t="s">
        <v>45242</v>
      </c>
      <c r="T5988" t="s">
        <v>47125</v>
      </c>
      <c r="U5988" t="s">
        <v>52496</v>
      </c>
      <c r="W5988" t="s">
        <v>43521</v>
      </c>
      <c r="X5988" t="s">
        <v>45103</v>
      </c>
    </row>
    <row r="5989" spans="1:24">
      <c r="A5989">
        <f>HYPERLINK("https://www.philgeps.gov.ph/GEPSNONPILOT/Tender/SplashBidNoticeAbstractUI.aspx?menuIndex=3&amp;refID=7039838&amp;Result=3","7039838")</f>
        <v>0</v>
      </c>
      <c r="B5989" t="s">
        <v>1896</v>
      </c>
      <c r="C5989" t="s">
        <v>8920</v>
      </c>
      <c r="D5989" t="s">
        <v>18031</v>
      </c>
      <c r="E5989" t="s">
        <v>18316</v>
      </c>
      <c r="F5989" t="s">
        <v>31574</v>
      </c>
      <c r="G5989" t="s">
        <v>31581</v>
      </c>
      <c r="H5989" t="s">
        <v>31591</v>
      </c>
      <c r="I5989" t="s">
        <v>31663</v>
      </c>
      <c r="J5989" t="s">
        <v>35587</v>
      </c>
      <c r="K5989" t="s">
        <v>41189</v>
      </c>
      <c r="M5989" t="s">
        <v>43541</v>
      </c>
      <c r="N5989" t="s">
        <v>45095</v>
      </c>
      <c r="O5989" t="s">
        <v>45096</v>
      </c>
      <c r="P5989">
        <v>0</v>
      </c>
      <c r="Q5989">
        <v>0</v>
      </c>
      <c r="R5989" t="s">
        <v>45102</v>
      </c>
      <c r="S5989" t="s">
        <v>45242</v>
      </c>
      <c r="T5989" t="s">
        <v>47021</v>
      </c>
      <c r="U5989" t="s">
        <v>52497</v>
      </c>
      <c r="W5989" t="s">
        <v>43541</v>
      </c>
      <c r="X5989" t="s">
        <v>45103</v>
      </c>
    </row>
    <row r="5990" spans="1:24">
      <c r="A5990">
        <f>HYPERLINK("https://www.philgeps.gov.ph/GEPSNONPILOT/Tender/SplashBidNoticeAbstractUI.aspx?menuIndex=3&amp;refID=7039854&amp;Result=3","7039854")</f>
        <v>0</v>
      </c>
      <c r="B5990" t="s">
        <v>1310</v>
      </c>
      <c r="C5990" t="s">
        <v>8921</v>
      </c>
      <c r="D5990" t="s">
        <v>18074</v>
      </c>
      <c r="E5990" t="s">
        <v>23448</v>
      </c>
      <c r="F5990" t="s">
        <v>31574</v>
      </c>
      <c r="G5990" t="s">
        <v>31582</v>
      </c>
      <c r="H5990" t="s">
        <v>31590</v>
      </c>
      <c r="I5990" t="s">
        <v>4046</v>
      </c>
      <c r="J5990" t="s">
        <v>35588</v>
      </c>
      <c r="K5990" t="s">
        <v>41190</v>
      </c>
      <c r="M5990" t="s">
        <v>42880</v>
      </c>
      <c r="N5990" t="s">
        <v>45095</v>
      </c>
      <c r="O5990" t="s">
        <v>45096</v>
      </c>
      <c r="P5990">
        <v>0</v>
      </c>
      <c r="Q5990">
        <v>1</v>
      </c>
      <c r="R5990" t="s">
        <v>45102</v>
      </c>
      <c r="S5990" t="s">
        <v>45242</v>
      </c>
      <c r="T5990" t="s">
        <v>47043</v>
      </c>
      <c r="U5990" t="s">
        <v>52498</v>
      </c>
      <c r="W5990" t="s">
        <v>42880</v>
      </c>
      <c r="X5990" t="s">
        <v>45103</v>
      </c>
    </row>
    <row r="5991" spans="1:24">
      <c r="A5991">
        <f>HYPERLINK("https://www.philgeps.gov.ph/GEPSNONPILOT/Tender/SplashBidNoticeAbstractUI.aspx?menuIndex=3&amp;refID=7039864&amp;Result=3","7039864")</f>
        <v>0</v>
      </c>
      <c r="B5991" t="s">
        <v>1897</v>
      </c>
      <c r="C5991" t="s">
        <v>8922</v>
      </c>
      <c r="D5991" t="s">
        <v>18040</v>
      </c>
      <c r="F5991" t="s">
        <v>31574</v>
      </c>
      <c r="G5991" t="s">
        <v>31583</v>
      </c>
      <c r="H5991" t="s">
        <v>31590</v>
      </c>
      <c r="I5991" t="s">
        <v>31615</v>
      </c>
      <c r="J5991" t="s">
        <v>32066</v>
      </c>
      <c r="K5991" t="s">
        <v>41193</v>
      </c>
      <c r="M5991" t="s">
        <v>43542</v>
      </c>
      <c r="N5991" t="s">
        <v>45095</v>
      </c>
      <c r="O5991" t="s">
        <v>45096</v>
      </c>
      <c r="P5991">
        <v>0</v>
      </c>
      <c r="Q5991">
        <v>1</v>
      </c>
      <c r="R5991" t="s">
        <v>45102</v>
      </c>
      <c r="S5991" t="s">
        <v>45242</v>
      </c>
      <c r="T5991" t="s">
        <v>47162</v>
      </c>
      <c r="U5991" t="s">
        <v>52499</v>
      </c>
      <c r="W5991" t="s">
        <v>43542</v>
      </c>
      <c r="X5991" t="s">
        <v>45103</v>
      </c>
    </row>
    <row r="5992" spans="1:24">
      <c r="A5992">
        <f>HYPERLINK("https://www.philgeps.gov.ph/GEPSNONPILOT/Tender/SplashBidNoticeAbstractUI.aspx?menuIndex=3&amp;refID=7039862&amp;Result=3","7039862")</f>
        <v>0</v>
      </c>
      <c r="B5992" t="s">
        <v>800</v>
      </c>
      <c r="C5992" t="s">
        <v>8923</v>
      </c>
      <c r="D5992" t="s">
        <v>18058</v>
      </c>
      <c r="E5992" t="s">
        <v>23449</v>
      </c>
      <c r="F5992" t="s">
        <v>31574</v>
      </c>
      <c r="G5992" t="s">
        <v>31582</v>
      </c>
      <c r="H5992" t="s">
        <v>31590</v>
      </c>
      <c r="I5992" t="s">
        <v>31676</v>
      </c>
      <c r="J5992" t="s">
        <v>35589</v>
      </c>
      <c r="K5992" t="s">
        <v>41184</v>
      </c>
      <c r="M5992" t="s">
        <v>42314</v>
      </c>
      <c r="N5992" t="s">
        <v>45095</v>
      </c>
      <c r="O5992" t="s">
        <v>45096</v>
      </c>
      <c r="P5992">
        <v>0</v>
      </c>
      <c r="Q5992">
        <v>1</v>
      </c>
      <c r="R5992" t="s">
        <v>45102</v>
      </c>
      <c r="S5992" t="s">
        <v>45242</v>
      </c>
      <c r="T5992" t="s">
        <v>47170</v>
      </c>
      <c r="U5992" t="s">
        <v>52460</v>
      </c>
      <c r="V5992" t="s">
        <v>60480</v>
      </c>
      <c r="W5992" t="s">
        <v>42314</v>
      </c>
      <c r="X5992" t="s">
        <v>45103</v>
      </c>
    </row>
    <row r="5993" spans="1:24">
      <c r="A5993">
        <f>HYPERLINK("https://www.philgeps.gov.ph/GEPSNONPILOT/Tender/SplashBidNoticeAbstractUI.aspx?menuIndex=3&amp;refID=7039853&amp;Result=3","7039853")</f>
        <v>0</v>
      </c>
      <c r="B5993" t="s">
        <v>658</v>
      </c>
      <c r="C5993" t="s">
        <v>8924</v>
      </c>
      <c r="D5993" t="s">
        <v>18039</v>
      </c>
      <c r="E5993" t="s">
        <v>23450</v>
      </c>
      <c r="F5993" t="s">
        <v>31574</v>
      </c>
      <c r="G5993" t="s">
        <v>31583</v>
      </c>
      <c r="H5993" t="s">
        <v>31590</v>
      </c>
      <c r="I5993" t="s">
        <v>31629</v>
      </c>
      <c r="J5993" t="s">
        <v>35590</v>
      </c>
      <c r="K5993" t="s">
        <v>41193</v>
      </c>
      <c r="M5993" t="s">
        <v>42162</v>
      </c>
      <c r="N5993" t="s">
        <v>45095</v>
      </c>
      <c r="O5993" t="s">
        <v>45096</v>
      </c>
      <c r="P5993">
        <v>0</v>
      </c>
      <c r="Q5993">
        <v>0</v>
      </c>
      <c r="R5993" t="s">
        <v>45102</v>
      </c>
      <c r="S5993" t="s">
        <v>45242</v>
      </c>
      <c r="T5993" t="s">
        <v>47164</v>
      </c>
      <c r="U5993" t="s">
        <v>52500</v>
      </c>
      <c r="V5993" t="s">
        <v>60486</v>
      </c>
      <c r="W5993" t="s">
        <v>42162</v>
      </c>
      <c r="X5993" t="s">
        <v>45103</v>
      </c>
    </row>
    <row r="5994" spans="1:24">
      <c r="A5994">
        <f>HYPERLINK("https://www.philgeps.gov.ph/GEPSNONPILOT/Tender/SplashBidNoticeAbstractUI.aspx?menuIndex=3&amp;refID=7039837&amp;Result=3","7039837")</f>
        <v>0</v>
      </c>
      <c r="B5994" t="s">
        <v>178</v>
      </c>
      <c r="C5994" t="s">
        <v>8925</v>
      </c>
      <c r="D5994" t="s">
        <v>18078</v>
      </c>
      <c r="E5994" t="s">
        <v>23451</v>
      </c>
      <c r="F5994" t="s">
        <v>31574</v>
      </c>
      <c r="G5994" t="s">
        <v>31581</v>
      </c>
      <c r="H5994" t="s">
        <v>31591</v>
      </c>
      <c r="I5994" t="s">
        <v>8822</v>
      </c>
      <c r="J5994" t="s">
        <v>35591</v>
      </c>
      <c r="K5994" t="s">
        <v>41186</v>
      </c>
      <c r="M5994" t="s">
        <v>41662</v>
      </c>
      <c r="N5994" t="s">
        <v>45095</v>
      </c>
      <c r="O5994" t="s">
        <v>45096</v>
      </c>
      <c r="P5994">
        <v>0</v>
      </c>
      <c r="Q5994">
        <v>0</v>
      </c>
      <c r="R5994" t="s">
        <v>45102</v>
      </c>
      <c r="S5994" t="s">
        <v>45242</v>
      </c>
      <c r="T5994" t="s">
        <v>46963</v>
      </c>
      <c r="U5994" t="s">
        <v>52501</v>
      </c>
      <c r="V5994" t="s">
        <v>60483</v>
      </c>
      <c r="W5994" t="s">
        <v>41662</v>
      </c>
      <c r="X5994" t="s">
        <v>45103</v>
      </c>
    </row>
    <row r="5995" spans="1:24">
      <c r="A5995">
        <f>HYPERLINK("https://www.philgeps.gov.ph/GEPSNONPILOT/Tender/SplashBidNoticeAbstractUI.aspx?menuIndex=3&amp;refID=7039852&amp;Result=3","7039852")</f>
        <v>0</v>
      </c>
      <c r="B5995" t="s">
        <v>1566</v>
      </c>
      <c r="C5995" t="s">
        <v>8926</v>
      </c>
      <c r="E5995" t="s">
        <v>22268</v>
      </c>
      <c r="F5995" t="s">
        <v>31574</v>
      </c>
      <c r="G5995" t="s">
        <v>31582</v>
      </c>
      <c r="H5995" t="s">
        <v>31590</v>
      </c>
      <c r="I5995" t="s">
        <v>8822</v>
      </c>
      <c r="J5995" t="s">
        <v>32019</v>
      </c>
      <c r="K5995" t="s">
        <v>41184</v>
      </c>
      <c r="M5995" t="s">
        <v>43165</v>
      </c>
      <c r="N5995" t="s">
        <v>45095</v>
      </c>
      <c r="O5995" t="s">
        <v>45096</v>
      </c>
      <c r="P5995">
        <v>0</v>
      </c>
      <c r="Q5995">
        <v>3</v>
      </c>
      <c r="R5995" t="s">
        <v>45102</v>
      </c>
      <c r="S5995" t="s">
        <v>45242</v>
      </c>
      <c r="T5995" t="s">
        <v>46914</v>
      </c>
      <c r="U5995" t="s">
        <v>52502</v>
      </c>
      <c r="V5995" t="s">
        <v>59888</v>
      </c>
      <c r="W5995" t="s">
        <v>43165</v>
      </c>
      <c r="X5995" t="s">
        <v>45103</v>
      </c>
    </row>
    <row r="5996" spans="1:24">
      <c r="A5996">
        <f>HYPERLINK("https://www.philgeps.gov.ph/GEPSNONPILOT/Tender/SplashBidNoticeAbstractUI.aspx?menuIndex=3&amp;refID=7039867&amp;Result=3","7039867")</f>
        <v>0</v>
      </c>
      <c r="B5996" t="s">
        <v>1648</v>
      </c>
      <c r="C5996" t="s">
        <v>8927</v>
      </c>
      <c r="E5996" t="s">
        <v>23452</v>
      </c>
      <c r="F5996" t="s">
        <v>31574</v>
      </c>
      <c r="G5996" t="s">
        <v>31581</v>
      </c>
      <c r="H5996" t="s">
        <v>31590</v>
      </c>
      <c r="I5996" t="s">
        <v>31626</v>
      </c>
      <c r="J5996" t="s">
        <v>35592</v>
      </c>
      <c r="K5996" t="s">
        <v>41186</v>
      </c>
      <c r="M5996" t="s">
        <v>43259</v>
      </c>
      <c r="N5996" t="s">
        <v>45095</v>
      </c>
      <c r="O5996" t="s">
        <v>45096</v>
      </c>
      <c r="P5996">
        <v>0</v>
      </c>
      <c r="Q5996">
        <v>2</v>
      </c>
      <c r="R5996" t="s">
        <v>45102</v>
      </c>
      <c r="S5996" t="s">
        <v>45242</v>
      </c>
      <c r="T5996" t="s">
        <v>47162</v>
      </c>
      <c r="U5996" t="s">
        <v>52503</v>
      </c>
      <c r="W5996" t="s">
        <v>61714</v>
      </c>
      <c r="X5996" t="s">
        <v>45103</v>
      </c>
    </row>
    <row r="5997" spans="1:24">
      <c r="A5997">
        <f>HYPERLINK("https://www.philgeps.gov.ph/GEPSNONPILOT/Tender/SplashBidNoticeAbstractUI.aspx?menuIndex=3&amp;refID=7039858&amp;Result=3","7039858")</f>
        <v>0</v>
      </c>
      <c r="B5997" t="s">
        <v>1880</v>
      </c>
      <c r="C5997" t="s">
        <v>8928</v>
      </c>
      <c r="D5997" t="s">
        <v>18056</v>
      </c>
      <c r="E5997" t="s">
        <v>23453</v>
      </c>
      <c r="F5997" t="s">
        <v>31574</v>
      </c>
      <c r="G5997" t="s">
        <v>31581</v>
      </c>
      <c r="H5997" t="s">
        <v>31590</v>
      </c>
      <c r="I5997" t="s">
        <v>31594</v>
      </c>
      <c r="J5997" t="s">
        <v>35593</v>
      </c>
      <c r="K5997" t="s">
        <v>41195</v>
      </c>
      <c r="M5997" t="s">
        <v>43521</v>
      </c>
      <c r="N5997" t="s">
        <v>45095</v>
      </c>
      <c r="O5997" t="s">
        <v>45096</v>
      </c>
      <c r="P5997">
        <v>0</v>
      </c>
      <c r="Q5997">
        <v>5</v>
      </c>
      <c r="R5997" t="s">
        <v>45102</v>
      </c>
      <c r="S5997" t="s">
        <v>45242</v>
      </c>
      <c r="T5997" t="s">
        <v>47125</v>
      </c>
      <c r="U5997" t="s">
        <v>52504</v>
      </c>
      <c r="W5997" t="s">
        <v>43521</v>
      </c>
      <c r="X5997" t="s">
        <v>45103</v>
      </c>
    </row>
    <row r="5998" spans="1:24">
      <c r="A5998">
        <f>HYPERLINK("https://www.philgeps.gov.ph/GEPSNONPILOT/Tender/SplashBidNoticeAbstractUI.aspx?menuIndex=3&amp;refID=7039848&amp;Result=3","7039848")</f>
        <v>0</v>
      </c>
      <c r="B5998" t="s">
        <v>606</v>
      </c>
      <c r="C5998" t="s">
        <v>8929</v>
      </c>
      <c r="D5998" t="s">
        <v>18073</v>
      </c>
      <c r="E5998" t="s">
        <v>23454</v>
      </c>
      <c r="F5998" t="s">
        <v>31574</v>
      </c>
      <c r="G5998" t="s">
        <v>31582</v>
      </c>
      <c r="H5998" t="s">
        <v>31590</v>
      </c>
      <c r="I5998" t="s">
        <v>31630</v>
      </c>
      <c r="J5998" t="s">
        <v>35594</v>
      </c>
      <c r="K5998" t="s">
        <v>41186</v>
      </c>
      <c r="M5998" t="s">
        <v>42109</v>
      </c>
      <c r="N5998" t="s">
        <v>45095</v>
      </c>
      <c r="O5998" t="s">
        <v>45096</v>
      </c>
      <c r="P5998">
        <v>0</v>
      </c>
      <c r="Q5998">
        <v>6</v>
      </c>
      <c r="R5998" t="s">
        <v>45102</v>
      </c>
      <c r="S5998" t="s">
        <v>45242</v>
      </c>
      <c r="T5998" t="s">
        <v>46973</v>
      </c>
      <c r="U5998" t="s">
        <v>52505</v>
      </c>
      <c r="W5998" t="s">
        <v>43561</v>
      </c>
      <c r="X5998" t="s">
        <v>45103</v>
      </c>
    </row>
    <row r="5999" spans="1:24">
      <c r="A5999">
        <f>HYPERLINK("https://www.philgeps.gov.ph/GEPSNONPILOT/Tender/SplashBidNoticeAbstractUI.aspx?menuIndex=3&amp;refID=7039869&amp;Result=3","7039869")</f>
        <v>0</v>
      </c>
      <c r="B5999" t="s">
        <v>1898</v>
      </c>
      <c r="C5999" t="s">
        <v>8930</v>
      </c>
      <c r="D5999" t="s">
        <v>18047</v>
      </c>
      <c r="E5999" t="s">
        <v>23455</v>
      </c>
      <c r="F5999" t="s">
        <v>31574</v>
      </c>
      <c r="G5999" t="s">
        <v>31584</v>
      </c>
      <c r="H5999" t="s">
        <v>31590</v>
      </c>
      <c r="I5999" t="s">
        <v>4327</v>
      </c>
      <c r="J5999" t="s">
        <v>31782</v>
      </c>
      <c r="K5999" t="s">
        <v>41184</v>
      </c>
      <c r="M5999" t="s">
        <v>43543</v>
      </c>
      <c r="N5999" t="s">
        <v>45095</v>
      </c>
      <c r="O5999" t="s">
        <v>45096</v>
      </c>
      <c r="P5999">
        <v>0</v>
      </c>
      <c r="Q5999">
        <v>5</v>
      </c>
      <c r="R5999" t="s">
        <v>45102</v>
      </c>
      <c r="S5999" t="s">
        <v>45242</v>
      </c>
      <c r="T5999" t="s">
        <v>47158</v>
      </c>
      <c r="U5999" t="s">
        <v>52506</v>
      </c>
      <c r="W5999" t="s">
        <v>43543</v>
      </c>
      <c r="X5999" t="s">
        <v>45103</v>
      </c>
    </row>
    <row r="6000" spans="1:24">
      <c r="A6000">
        <f>HYPERLINK("https://www.philgeps.gov.ph/GEPSNONPILOT/Tender/SplashBidNoticeAbstractUI.aspx?menuIndex=3&amp;refID=7039870&amp;Result=3","7039870")</f>
        <v>0</v>
      </c>
      <c r="B6000" t="s">
        <v>530</v>
      </c>
      <c r="C6000" t="s">
        <v>8931</v>
      </c>
      <c r="D6000" t="s">
        <v>18071</v>
      </c>
      <c r="E6000" t="s">
        <v>8931</v>
      </c>
      <c r="F6000" t="s">
        <v>31574</v>
      </c>
      <c r="G6000" t="s">
        <v>31582</v>
      </c>
      <c r="H6000" t="s">
        <v>31590</v>
      </c>
      <c r="I6000" t="s">
        <v>31602</v>
      </c>
      <c r="J6000" t="s">
        <v>35595</v>
      </c>
      <c r="K6000" t="s">
        <v>41184</v>
      </c>
      <c r="M6000" t="s">
        <v>42027</v>
      </c>
      <c r="N6000" t="s">
        <v>45095</v>
      </c>
      <c r="O6000" t="s">
        <v>45096</v>
      </c>
      <c r="P6000">
        <v>0</v>
      </c>
      <c r="Q6000">
        <v>0</v>
      </c>
      <c r="R6000" t="s">
        <v>45102</v>
      </c>
      <c r="S6000" t="s">
        <v>45242</v>
      </c>
      <c r="T6000" t="s">
        <v>47003</v>
      </c>
      <c r="U6000" t="s">
        <v>52507</v>
      </c>
      <c r="W6000" t="s">
        <v>42027</v>
      </c>
      <c r="X6000" t="s">
        <v>45103</v>
      </c>
    </row>
    <row r="6001" spans="1:24">
      <c r="A6001">
        <f>HYPERLINK("https://www.philgeps.gov.ph/GEPSNONPILOT/Tender/SplashBidNoticeAbstractUI.aspx?menuIndex=3&amp;refID=7039842&amp;Result=3","7039842")</f>
        <v>0</v>
      </c>
      <c r="B6001" t="s">
        <v>75</v>
      </c>
      <c r="C6001" t="s">
        <v>8932</v>
      </c>
      <c r="D6001" t="s">
        <v>18054</v>
      </c>
      <c r="E6001" t="s">
        <v>23456</v>
      </c>
      <c r="F6001" t="s">
        <v>31574</v>
      </c>
      <c r="G6001" t="s">
        <v>31582</v>
      </c>
      <c r="H6001" t="s">
        <v>31590</v>
      </c>
      <c r="I6001" t="s">
        <v>31615</v>
      </c>
      <c r="J6001" t="s">
        <v>35596</v>
      </c>
      <c r="K6001" t="s">
        <v>41186</v>
      </c>
      <c r="M6001" t="s">
        <v>41559</v>
      </c>
      <c r="N6001" t="s">
        <v>45095</v>
      </c>
      <c r="O6001" t="s">
        <v>45096</v>
      </c>
      <c r="P6001">
        <v>0</v>
      </c>
      <c r="Q6001">
        <v>2</v>
      </c>
      <c r="R6001" t="s">
        <v>45102</v>
      </c>
      <c r="S6001" t="s">
        <v>45242</v>
      </c>
      <c r="T6001" t="s">
        <v>47011</v>
      </c>
      <c r="U6001" t="s">
        <v>52508</v>
      </c>
      <c r="W6001" t="s">
        <v>41559</v>
      </c>
      <c r="X6001" t="s">
        <v>45103</v>
      </c>
    </row>
    <row r="6002" spans="1:24">
      <c r="A6002">
        <f>HYPERLINK("https://www.philgeps.gov.ph/GEPSNONPILOT/Tender/SplashBidNoticeAbstractUI.aspx?menuIndex=3&amp;refID=7039882&amp;Result=3","7039882")</f>
        <v>0</v>
      </c>
      <c r="B6002" t="s">
        <v>577</v>
      </c>
      <c r="C6002" t="s">
        <v>8758</v>
      </c>
      <c r="D6002" t="s">
        <v>18027</v>
      </c>
      <c r="E6002" t="s">
        <v>23457</v>
      </c>
      <c r="F6002" t="s">
        <v>31574</v>
      </c>
      <c r="G6002" t="s">
        <v>31581</v>
      </c>
      <c r="H6002" t="s">
        <v>31590</v>
      </c>
      <c r="I6002" t="s">
        <v>31629</v>
      </c>
      <c r="J6002" t="s">
        <v>35597</v>
      </c>
      <c r="K6002" t="s">
        <v>41184</v>
      </c>
      <c r="M6002" t="s">
        <v>42078</v>
      </c>
      <c r="N6002" t="s">
        <v>45095</v>
      </c>
      <c r="O6002" t="s">
        <v>45096</v>
      </c>
      <c r="P6002">
        <v>0</v>
      </c>
      <c r="Q6002">
        <v>1</v>
      </c>
      <c r="R6002" t="s">
        <v>45102</v>
      </c>
      <c r="S6002" t="s">
        <v>45242</v>
      </c>
      <c r="T6002" t="s">
        <v>47077</v>
      </c>
      <c r="U6002" t="s">
        <v>52352</v>
      </c>
      <c r="W6002" t="s">
        <v>42078</v>
      </c>
      <c r="X6002" t="s">
        <v>45103</v>
      </c>
    </row>
    <row r="6003" spans="1:24">
      <c r="A6003">
        <f>HYPERLINK("https://www.philgeps.gov.ph/GEPSNONPILOT/Tender/SplashBidNoticeAbstractUI.aspx?menuIndex=3&amp;refID=7039881&amp;Result=3","7039881")</f>
        <v>0</v>
      </c>
      <c r="B6003" t="s">
        <v>1899</v>
      </c>
      <c r="C6003" t="s">
        <v>8933</v>
      </c>
      <c r="D6003" t="s">
        <v>18059</v>
      </c>
      <c r="E6003" t="s">
        <v>19091</v>
      </c>
      <c r="F6003" t="s">
        <v>31574</v>
      </c>
      <c r="G6003" t="s">
        <v>31584</v>
      </c>
      <c r="H6003" t="s">
        <v>31590</v>
      </c>
      <c r="I6003" t="s">
        <v>31607</v>
      </c>
      <c r="J6003" t="s">
        <v>35598</v>
      </c>
      <c r="K6003" t="s">
        <v>41193</v>
      </c>
      <c r="M6003" t="s">
        <v>43544</v>
      </c>
      <c r="N6003" t="s">
        <v>45095</v>
      </c>
      <c r="O6003" t="s">
        <v>45096</v>
      </c>
      <c r="P6003">
        <v>0</v>
      </c>
      <c r="Q6003">
        <v>12</v>
      </c>
      <c r="R6003" t="s">
        <v>45102</v>
      </c>
      <c r="S6003" t="s">
        <v>45242</v>
      </c>
      <c r="T6003" t="s">
        <v>46957</v>
      </c>
      <c r="U6003" t="s">
        <v>52509</v>
      </c>
      <c r="W6003" t="s">
        <v>43544</v>
      </c>
      <c r="X6003" t="s">
        <v>45103</v>
      </c>
    </row>
    <row r="6004" spans="1:24">
      <c r="A6004">
        <f>HYPERLINK("https://www.philgeps.gov.ph/GEPSNONPILOT/Tender/SplashBidNoticeAbstractUI.aspx?menuIndex=3&amp;refID=7039843&amp;Result=3","7039843")</f>
        <v>0</v>
      </c>
      <c r="B6004" t="s">
        <v>642</v>
      </c>
      <c r="C6004" t="s">
        <v>8934</v>
      </c>
      <c r="D6004" t="s">
        <v>18052</v>
      </c>
      <c r="E6004" t="s">
        <v>20023</v>
      </c>
      <c r="F6004" t="s">
        <v>31575</v>
      </c>
      <c r="G6004" t="s">
        <v>31584</v>
      </c>
      <c r="H6004" t="s">
        <v>31590</v>
      </c>
      <c r="I6004" t="s">
        <v>31610</v>
      </c>
      <c r="J6004" t="s">
        <v>35599</v>
      </c>
      <c r="K6004" t="s">
        <v>41211</v>
      </c>
      <c r="M6004" t="s">
        <v>42146</v>
      </c>
      <c r="N6004" t="s">
        <v>45095</v>
      </c>
      <c r="O6004" t="s">
        <v>45096</v>
      </c>
      <c r="P6004">
        <v>0</v>
      </c>
      <c r="Q6004">
        <v>1</v>
      </c>
      <c r="R6004" t="s">
        <v>45102</v>
      </c>
      <c r="S6004" t="s">
        <v>45242</v>
      </c>
      <c r="T6004" t="s">
        <v>46973</v>
      </c>
      <c r="U6004" t="s">
        <v>52510</v>
      </c>
      <c r="V6004" t="s">
        <v>60487</v>
      </c>
      <c r="W6004" t="s">
        <v>42146</v>
      </c>
      <c r="X6004" t="s">
        <v>45103</v>
      </c>
    </row>
    <row r="6005" spans="1:24">
      <c r="A6005">
        <f>HYPERLINK("https://www.philgeps.gov.ph/GEPSNONPILOT/Tender/SplashBidNoticeAbstractUI.aspx?menuIndex=3&amp;refID=7039878&amp;Result=3","7039878")</f>
        <v>0</v>
      </c>
      <c r="B6005" t="s">
        <v>1873</v>
      </c>
      <c r="C6005" t="s">
        <v>5398</v>
      </c>
      <c r="D6005" t="s">
        <v>18064</v>
      </c>
      <c r="E6005" t="s">
        <v>23458</v>
      </c>
      <c r="F6005" t="s">
        <v>31574</v>
      </c>
      <c r="G6005" t="s">
        <v>31581</v>
      </c>
      <c r="H6005" t="s">
        <v>31590</v>
      </c>
      <c r="I6005" t="s">
        <v>31608</v>
      </c>
      <c r="J6005" t="s">
        <v>34142</v>
      </c>
      <c r="K6005" t="s">
        <v>41193</v>
      </c>
      <c r="M6005" t="s">
        <v>43513</v>
      </c>
      <c r="N6005" t="s">
        <v>45095</v>
      </c>
      <c r="O6005" t="s">
        <v>45096</v>
      </c>
      <c r="P6005">
        <v>0</v>
      </c>
      <c r="Q6005">
        <v>0</v>
      </c>
      <c r="R6005" t="s">
        <v>45102</v>
      </c>
      <c r="S6005" t="s">
        <v>45242</v>
      </c>
      <c r="T6005" t="s">
        <v>47067</v>
      </c>
      <c r="U6005" t="s">
        <v>52511</v>
      </c>
      <c r="W6005" t="s">
        <v>43513</v>
      </c>
      <c r="X6005" t="s">
        <v>45103</v>
      </c>
    </row>
    <row r="6006" spans="1:24">
      <c r="A6006">
        <f>HYPERLINK("https://www.philgeps.gov.ph/GEPSNONPILOT/Tender/SplashBidNoticeAbstractUI.aspx?menuIndex=3&amp;refID=7039879&amp;Result=3","7039879")</f>
        <v>0</v>
      </c>
      <c r="B6006" t="s">
        <v>800</v>
      </c>
      <c r="C6006" t="s">
        <v>8935</v>
      </c>
      <c r="D6006" t="s">
        <v>18027</v>
      </c>
      <c r="E6006" t="s">
        <v>23459</v>
      </c>
      <c r="F6006" t="s">
        <v>31574</v>
      </c>
      <c r="G6006" t="s">
        <v>31582</v>
      </c>
      <c r="H6006" t="s">
        <v>31590</v>
      </c>
      <c r="I6006" t="s">
        <v>31676</v>
      </c>
      <c r="J6006" t="s">
        <v>35600</v>
      </c>
      <c r="K6006" t="s">
        <v>41184</v>
      </c>
      <c r="M6006" t="s">
        <v>42314</v>
      </c>
      <c r="N6006" t="s">
        <v>45095</v>
      </c>
      <c r="O6006" t="s">
        <v>45096</v>
      </c>
      <c r="P6006">
        <v>0</v>
      </c>
      <c r="Q6006">
        <v>3</v>
      </c>
      <c r="R6006" t="s">
        <v>45102</v>
      </c>
      <c r="S6006" t="s">
        <v>45242</v>
      </c>
      <c r="T6006" t="s">
        <v>47170</v>
      </c>
      <c r="U6006" t="s">
        <v>52460</v>
      </c>
      <c r="V6006" t="s">
        <v>60480</v>
      </c>
      <c r="W6006" t="s">
        <v>42314</v>
      </c>
      <c r="X6006" t="s">
        <v>45103</v>
      </c>
    </row>
    <row r="6007" spans="1:24">
      <c r="A6007">
        <f>HYPERLINK("https://www.philgeps.gov.ph/GEPSNONPILOT/Tender/SplashBidNoticeAbstractUI.aspx?menuIndex=3&amp;refID=7039886&amp;Result=3","7039886")</f>
        <v>0</v>
      </c>
      <c r="B6007" t="s">
        <v>1900</v>
      </c>
      <c r="C6007" t="s">
        <v>8936</v>
      </c>
      <c r="D6007" t="s">
        <v>18073</v>
      </c>
      <c r="E6007" t="s">
        <v>23460</v>
      </c>
      <c r="F6007" t="s">
        <v>31574</v>
      </c>
      <c r="G6007" t="s">
        <v>31582</v>
      </c>
      <c r="H6007" t="s">
        <v>31590</v>
      </c>
      <c r="I6007" t="s">
        <v>31615</v>
      </c>
      <c r="J6007" t="s">
        <v>32774</v>
      </c>
      <c r="K6007" t="s">
        <v>41184</v>
      </c>
      <c r="M6007" t="s">
        <v>43545</v>
      </c>
      <c r="N6007" t="s">
        <v>45095</v>
      </c>
      <c r="O6007" t="s">
        <v>45096</v>
      </c>
      <c r="P6007">
        <v>0</v>
      </c>
      <c r="Q6007">
        <v>3</v>
      </c>
      <c r="R6007" t="s">
        <v>45102</v>
      </c>
      <c r="S6007" t="s">
        <v>45242</v>
      </c>
      <c r="T6007" t="s">
        <v>47074</v>
      </c>
      <c r="U6007" t="s">
        <v>52512</v>
      </c>
      <c r="W6007" t="s">
        <v>43545</v>
      </c>
      <c r="X6007" t="s">
        <v>45103</v>
      </c>
    </row>
    <row r="6008" spans="1:24">
      <c r="A6008">
        <f>HYPERLINK("https://www.philgeps.gov.ph/GEPSNONPILOT/Tender/SplashBidNoticeAbstractUI.aspx?menuIndex=3&amp;refID=7039876&amp;Result=3","7039876")</f>
        <v>0</v>
      </c>
      <c r="B6008" t="s">
        <v>1794</v>
      </c>
      <c r="C6008" t="s">
        <v>8937</v>
      </c>
      <c r="D6008" t="s">
        <v>18067</v>
      </c>
      <c r="E6008" t="s">
        <v>23461</v>
      </c>
      <c r="F6008" t="s">
        <v>31574</v>
      </c>
      <c r="G6008" t="s">
        <v>31582</v>
      </c>
      <c r="H6008" t="s">
        <v>31590</v>
      </c>
      <c r="I6008" t="s">
        <v>8258</v>
      </c>
      <c r="J6008" t="s">
        <v>35601</v>
      </c>
      <c r="K6008" t="s">
        <v>41186</v>
      </c>
      <c r="M6008" t="s">
        <v>43425</v>
      </c>
      <c r="N6008" t="s">
        <v>45095</v>
      </c>
      <c r="O6008" t="s">
        <v>45096</v>
      </c>
      <c r="P6008">
        <v>0</v>
      </c>
      <c r="Q6008">
        <v>5</v>
      </c>
      <c r="R6008" t="s">
        <v>45102</v>
      </c>
      <c r="S6008" t="s">
        <v>45242</v>
      </c>
      <c r="T6008" t="s">
        <v>47275</v>
      </c>
      <c r="U6008" t="s">
        <v>52513</v>
      </c>
      <c r="W6008" t="s">
        <v>43425</v>
      </c>
      <c r="X6008" t="s">
        <v>45103</v>
      </c>
    </row>
    <row r="6009" spans="1:24">
      <c r="A6009">
        <f>HYPERLINK("https://www.philgeps.gov.ph/GEPSNONPILOT/Tender/SplashBidNoticeAbstractUI.aspx?menuIndex=3&amp;refID=7039871&amp;Result=3","7039871")</f>
        <v>0</v>
      </c>
      <c r="B6009" t="s">
        <v>178</v>
      </c>
      <c r="C6009" t="s">
        <v>8938</v>
      </c>
      <c r="D6009" t="s">
        <v>18078</v>
      </c>
      <c r="E6009" t="s">
        <v>23462</v>
      </c>
      <c r="F6009" t="s">
        <v>31574</v>
      </c>
      <c r="G6009" t="s">
        <v>31581</v>
      </c>
      <c r="H6009" t="s">
        <v>31591</v>
      </c>
      <c r="I6009" t="s">
        <v>8822</v>
      </c>
      <c r="J6009" t="s">
        <v>35602</v>
      </c>
      <c r="K6009" t="s">
        <v>41186</v>
      </c>
      <c r="M6009" t="s">
        <v>41662</v>
      </c>
      <c r="N6009" t="s">
        <v>45095</v>
      </c>
      <c r="O6009" t="s">
        <v>45096</v>
      </c>
      <c r="P6009">
        <v>0</v>
      </c>
      <c r="Q6009">
        <v>0</v>
      </c>
      <c r="R6009" t="s">
        <v>45102</v>
      </c>
      <c r="S6009" t="s">
        <v>45242</v>
      </c>
      <c r="T6009" t="s">
        <v>46963</v>
      </c>
      <c r="U6009" t="s">
        <v>52514</v>
      </c>
      <c r="V6009" t="s">
        <v>60483</v>
      </c>
      <c r="W6009" t="s">
        <v>41662</v>
      </c>
      <c r="X6009" t="s">
        <v>45103</v>
      </c>
    </row>
    <row r="6010" spans="1:24">
      <c r="A6010">
        <f>HYPERLINK("https://www.philgeps.gov.ph/GEPSNONPILOT/Tender/SplashBidNoticeAbstractUI.aspx?menuIndex=3&amp;refID=7039885&amp;Result=3","7039885")</f>
        <v>0</v>
      </c>
      <c r="B6010" t="s">
        <v>683</v>
      </c>
      <c r="C6010" t="s">
        <v>8939</v>
      </c>
      <c r="D6010" t="s">
        <v>18059</v>
      </c>
      <c r="E6010" t="s">
        <v>23463</v>
      </c>
      <c r="F6010" t="s">
        <v>31574</v>
      </c>
      <c r="G6010" t="s">
        <v>31582</v>
      </c>
      <c r="H6010" t="s">
        <v>31590</v>
      </c>
      <c r="I6010" t="s">
        <v>4046</v>
      </c>
      <c r="J6010" t="s">
        <v>35603</v>
      </c>
      <c r="K6010" t="s">
        <v>41184</v>
      </c>
      <c r="M6010" t="s">
        <v>42190</v>
      </c>
      <c r="N6010" t="s">
        <v>45095</v>
      </c>
      <c r="O6010" t="s">
        <v>45096</v>
      </c>
      <c r="P6010">
        <v>0</v>
      </c>
      <c r="Q6010">
        <v>0</v>
      </c>
      <c r="R6010" t="s">
        <v>45102</v>
      </c>
      <c r="S6010" t="s">
        <v>45242</v>
      </c>
      <c r="T6010" t="s">
        <v>46916</v>
      </c>
      <c r="U6010" t="s">
        <v>52515</v>
      </c>
      <c r="W6010" t="s">
        <v>42190</v>
      </c>
      <c r="X6010" t="s">
        <v>45103</v>
      </c>
    </row>
    <row r="6011" spans="1:24">
      <c r="A6011">
        <f>HYPERLINK("https://www.philgeps.gov.ph/GEPSNONPILOT/Tender/SplashBidNoticeAbstractUI.aspx?menuIndex=3&amp;refID=7039894&amp;Result=3","7039894")</f>
        <v>0</v>
      </c>
      <c r="B6011" t="s">
        <v>1028</v>
      </c>
      <c r="C6011" t="s">
        <v>8940</v>
      </c>
      <c r="D6011" t="s">
        <v>18055</v>
      </c>
      <c r="E6011" t="s">
        <v>23464</v>
      </c>
      <c r="F6011" t="s">
        <v>31574</v>
      </c>
      <c r="G6011" t="s">
        <v>31582</v>
      </c>
      <c r="H6011" t="s">
        <v>31590</v>
      </c>
      <c r="I6011" t="s">
        <v>31631</v>
      </c>
      <c r="J6011" t="s">
        <v>35604</v>
      </c>
      <c r="K6011" t="s">
        <v>41186</v>
      </c>
      <c r="M6011" t="s">
        <v>42569</v>
      </c>
      <c r="N6011" t="s">
        <v>45095</v>
      </c>
      <c r="O6011" t="s">
        <v>45096</v>
      </c>
      <c r="P6011">
        <v>0</v>
      </c>
      <c r="Q6011">
        <v>3</v>
      </c>
      <c r="R6011" t="s">
        <v>45102</v>
      </c>
      <c r="S6011" t="s">
        <v>45242</v>
      </c>
      <c r="T6011" t="s">
        <v>46965</v>
      </c>
      <c r="U6011" t="s">
        <v>52516</v>
      </c>
      <c r="W6011" t="s">
        <v>61687</v>
      </c>
      <c r="X6011" t="s">
        <v>45103</v>
      </c>
    </row>
    <row r="6012" spans="1:24">
      <c r="A6012">
        <f>HYPERLINK("https://www.philgeps.gov.ph/GEPSNONPILOT/Tender/SplashBidNoticeAbstractUI.aspx?menuIndex=3&amp;refID=7039874&amp;Result=3","7039874")</f>
        <v>0</v>
      </c>
      <c r="B6012" t="s">
        <v>207</v>
      </c>
      <c r="C6012" t="s">
        <v>8941</v>
      </c>
      <c r="D6012" t="s">
        <v>18023</v>
      </c>
      <c r="E6012" t="s">
        <v>23465</v>
      </c>
      <c r="F6012" t="s">
        <v>31574</v>
      </c>
      <c r="G6012" t="s">
        <v>31582</v>
      </c>
      <c r="H6012" t="s">
        <v>31590</v>
      </c>
      <c r="I6012" t="s">
        <v>31647</v>
      </c>
      <c r="J6012" t="s">
        <v>35605</v>
      </c>
      <c r="K6012" t="s">
        <v>41190</v>
      </c>
      <c r="M6012" t="s">
        <v>41692</v>
      </c>
      <c r="N6012" t="s">
        <v>45095</v>
      </c>
      <c r="O6012" t="s">
        <v>45096</v>
      </c>
      <c r="P6012">
        <v>0</v>
      </c>
      <c r="Q6012">
        <v>2</v>
      </c>
      <c r="R6012" t="s">
        <v>45102</v>
      </c>
      <c r="S6012" t="s">
        <v>45242</v>
      </c>
      <c r="T6012" t="s">
        <v>46973</v>
      </c>
      <c r="U6012" t="s">
        <v>52517</v>
      </c>
      <c r="W6012" t="s">
        <v>41692</v>
      </c>
      <c r="X6012" t="s">
        <v>45103</v>
      </c>
    </row>
    <row r="6013" spans="1:24">
      <c r="A6013">
        <f>HYPERLINK("https://www.philgeps.gov.ph/GEPSNONPILOT/Tender/SplashBidNoticeAbstractUI.aspx?menuIndex=3&amp;refID=7039893&amp;Result=3","7039893")</f>
        <v>0</v>
      </c>
      <c r="B6013" t="s">
        <v>495</v>
      </c>
      <c r="C6013" t="s">
        <v>8942</v>
      </c>
      <c r="D6013" t="s">
        <v>18099</v>
      </c>
      <c r="E6013" t="s">
        <v>8942</v>
      </c>
      <c r="F6013" t="s">
        <v>31574</v>
      </c>
      <c r="G6013" t="s">
        <v>31581</v>
      </c>
      <c r="H6013" t="s">
        <v>31590</v>
      </c>
      <c r="I6013" t="s">
        <v>31608</v>
      </c>
      <c r="J6013" t="s">
        <v>35606</v>
      </c>
      <c r="K6013" t="s">
        <v>41190</v>
      </c>
      <c r="M6013" t="s">
        <v>41991</v>
      </c>
      <c r="N6013" t="s">
        <v>45095</v>
      </c>
      <c r="O6013" t="s">
        <v>45096</v>
      </c>
      <c r="P6013">
        <v>0</v>
      </c>
      <c r="Q6013">
        <v>0</v>
      </c>
      <c r="R6013" t="s">
        <v>45102</v>
      </c>
      <c r="S6013" t="s">
        <v>45242</v>
      </c>
      <c r="T6013" t="s">
        <v>47183</v>
      </c>
      <c r="U6013" t="s">
        <v>48472</v>
      </c>
      <c r="W6013" t="s">
        <v>41991</v>
      </c>
      <c r="X6013" t="s">
        <v>45103</v>
      </c>
    </row>
    <row r="6014" spans="1:24">
      <c r="A6014">
        <f>HYPERLINK("https://www.philgeps.gov.ph/GEPSNONPILOT/Tender/SplashBidNoticeAbstractUI.aspx?menuIndex=3&amp;refID=7039875&amp;Result=3","7039875")</f>
        <v>0</v>
      </c>
      <c r="B6014" t="s">
        <v>669</v>
      </c>
      <c r="C6014" t="s">
        <v>8943</v>
      </c>
      <c r="D6014" t="s">
        <v>18050</v>
      </c>
      <c r="E6014" t="s">
        <v>23466</v>
      </c>
      <c r="F6014" t="s">
        <v>31574</v>
      </c>
      <c r="G6014" t="s">
        <v>31582</v>
      </c>
      <c r="H6014" t="s">
        <v>31591</v>
      </c>
      <c r="I6014" t="s">
        <v>8822</v>
      </c>
      <c r="J6014" t="s">
        <v>33574</v>
      </c>
      <c r="K6014" t="s">
        <v>41186</v>
      </c>
      <c r="M6014" t="s">
        <v>42174</v>
      </c>
      <c r="N6014" t="s">
        <v>45095</v>
      </c>
      <c r="O6014" t="s">
        <v>45096</v>
      </c>
      <c r="P6014">
        <v>0</v>
      </c>
      <c r="Q6014">
        <v>0</v>
      </c>
      <c r="R6014" t="s">
        <v>45102</v>
      </c>
      <c r="S6014" t="s">
        <v>45242</v>
      </c>
      <c r="T6014" t="s">
        <v>47000</v>
      </c>
      <c r="U6014" t="s">
        <v>52518</v>
      </c>
      <c r="W6014" t="s">
        <v>42174</v>
      </c>
      <c r="X6014" t="s">
        <v>45103</v>
      </c>
    </row>
    <row r="6015" spans="1:24">
      <c r="A6015">
        <f>HYPERLINK("https://www.philgeps.gov.ph/GEPSNONPILOT/Tender/SplashBidNoticeAbstractUI.aspx?menuIndex=3&amp;refID=7039895&amp;Result=3","7039895")</f>
        <v>0</v>
      </c>
      <c r="B6015" t="s">
        <v>1866</v>
      </c>
      <c r="C6015" t="s">
        <v>8944</v>
      </c>
      <c r="D6015" t="s">
        <v>18047</v>
      </c>
      <c r="E6015" t="s">
        <v>23467</v>
      </c>
      <c r="F6015" t="s">
        <v>31574</v>
      </c>
      <c r="G6015" t="s">
        <v>31582</v>
      </c>
      <c r="H6015" t="s">
        <v>31592</v>
      </c>
      <c r="I6015" t="s">
        <v>31612</v>
      </c>
      <c r="J6015" t="s">
        <v>31726</v>
      </c>
      <c r="K6015" t="s">
        <v>41193</v>
      </c>
      <c r="M6015" t="s">
        <v>43505</v>
      </c>
      <c r="N6015" t="s">
        <v>45095</v>
      </c>
      <c r="O6015" t="s">
        <v>45096</v>
      </c>
      <c r="P6015">
        <v>0</v>
      </c>
      <c r="Q6015">
        <v>3</v>
      </c>
      <c r="R6015" t="s">
        <v>45102</v>
      </c>
      <c r="S6015" t="s">
        <v>45242</v>
      </c>
      <c r="T6015" t="s">
        <v>46911</v>
      </c>
      <c r="U6015" t="s">
        <v>52519</v>
      </c>
      <c r="V6015" t="s">
        <v>60488</v>
      </c>
      <c r="W6015" t="s">
        <v>43505</v>
      </c>
      <c r="X6015" t="s">
        <v>45103</v>
      </c>
    </row>
    <row r="6016" spans="1:24">
      <c r="A6016">
        <f>HYPERLINK("https://www.philgeps.gov.ph/GEPSNONPILOT/Tender/SplashBidNoticeAbstractUI.aspx?menuIndex=3&amp;refID=7039896&amp;Result=3","7039896")</f>
        <v>0</v>
      </c>
      <c r="B6016" t="s">
        <v>72</v>
      </c>
      <c r="C6016" t="s">
        <v>8945</v>
      </c>
      <c r="D6016" t="s">
        <v>18030</v>
      </c>
      <c r="E6016" t="s">
        <v>21517</v>
      </c>
      <c r="F6016" t="s">
        <v>31574</v>
      </c>
      <c r="G6016" t="s">
        <v>31582</v>
      </c>
      <c r="H6016" t="s">
        <v>31590</v>
      </c>
      <c r="I6016" t="s">
        <v>3539</v>
      </c>
      <c r="J6016" t="s">
        <v>35607</v>
      </c>
      <c r="K6016" t="s">
        <v>41250</v>
      </c>
      <c r="M6016" t="s">
        <v>41556</v>
      </c>
      <c r="N6016" t="s">
        <v>45095</v>
      </c>
      <c r="O6016" t="s">
        <v>45096</v>
      </c>
      <c r="P6016">
        <v>0</v>
      </c>
      <c r="Q6016">
        <v>0</v>
      </c>
      <c r="R6016" t="s">
        <v>45102</v>
      </c>
      <c r="S6016" t="s">
        <v>45242</v>
      </c>
      <c r="T6016" t="s">
        <v>46992</v>
      </c>
      <c r="U6016" t="s">
        <v>52520</v>
      </c>
      <c r="W6016" t="s">
        <v>41556</v>
      </c>
      <c r="X6016" t="s">
        <v>45103</v>
      </c>
    </row>
    <row r="6017" spans="1:24">
      <c r="A6017">
        <f>HYPERLINK("https://www.philgeps.gov.ph/GEPSNONPILOT/Tender/SplashBidNoticeAbstractUI.aspx?menuIndex=3&amp;refID=7039892&amp;Result=3","7039892")</f>
        <v>0</v>
      </c>
      <c r="B6017" t="s">
        <v>1566</v>
      </c>
      <c r="C6017" t="s">
        <v>8946</v>
      </c>
      <c r="E6017" t="s">
        <v>23468</v>
      </c>
      <c r="F6017" t="s">
        <v>31574</v>
      </c>
      <c r="G6017" t="s">
        <v>31582</v>
      </c>
      <c r="H6017" t="s">
        <v>31591</v>
      </c>
      <c r="I6017" t="s">
        <v>8822</v>
      </c>
      <c r="J6017" t="s">
        <v>31890</v>
      </c>
      <c r="K6017" t="s">
        <v>41184</v>
      </c>
      <c r="M6017" t="s">
        <v>43165</v>
      </c>
      <c r="N6017" t="s">
        <v>45095</v>
      </c>
      <c r="O6017" t="s">
        <v>45096</v>
      </c>
      <c r="P6017">
        <v>0</v>
      </c>
      <c r="Q6017">
        <v>1</v>
      </c>
      <c r="R6017" t="s">
        <v>45102</v>
      </c>
      <c r="S6017" t="s">
        <v>45242</v>
      </c>
      <c r="T6017" t="s">
        <v>46914</v>
      </c>
      <c r="U6017" t="s">
        <v>52521</v>
      </c>
      <c r="V6017" t="s">
        <v>59888</v>
      </c>
      <c r="W6017" t="s">
        <v>43165</v>
      </c>
      <c r="X6017" t="s">
        <v>45103</v>
      </c>
    </row>
    <row r="6018" spans="1:24">
      <c r="A6018">
        <f>HYPERLINK("https://www.philgeps.gov.ph/GEPSNONPILOT/Tender/SplashBidNoticeAbstractUI.aspx?menuIndex=3&amp;refID=7039889&amp;Result=3","7039889")</f>
        <v>0</v>
      </c>
      <c r="B6018" t="s">
        <v>800</v>
      </c>
      <c r="C6018" t="s">
        <v>8947</v>
      </c>
      <c r="D6018" t="s">
        <v>18113</v>
      </c>
      <c r="E6018" t="s">
        <v>23469</v>
      </c>
      <c r="F6018" t="s">
        <v>31574</v>
      </c>
      <c r="G6018" t="s">
        <v>31582</v>
      </c>
      <c r="H6018" t="s">
        <v>31590</v>
      </c>
      <c r="I6018" t="s">
        <v>31676</v>
      </c>
      <c r="J6018" t="s">
        <v>35608</v>
      </c>
      <c r="K6018" t="s">
        <v>41184</v>
      </c>
      <c r="M6018" t="s">
        <v>42314</v>
      </c>
      <c r="N6018" t="s">
        <v>45095</v>
      </c>
      <c r="O6018" t="s">
        <v>45096</v>
      </c>
      <c r="P6018">
        <v>0</v>
      </c>
      <c r="Q6018">
        <v>0</v>
      </c>
      <c r="R6018" t="s">
        <v>45102</v>
      </c>
      <c r="S6018" t="s">
        <v>45242</v>
      </c>
      <c r="T6018" t="s">
        <v>47170</v>
      </c>
      <c r="U6018" t="s">
        <v>52460</v>
      </c>
      <c r="V6018" t="s">
        <v>60480</v>
      </c>
      <c r="W6018" t="s">
        <v>42314</v>
      </c>
      <c r="X6018" t="s">
        <v>45103</v>
      </c>
    </row>
    <row r="6019" spans="1:24">
      <c r="A6019">
        <f>HYPERLINK("https://www.philgeps.gov.ph/GEPSNONPILOT/Tender/SplashBidNoticeAbstractUI.aspx?menuIndex=3&amp;refID=7039883&amp;Result=3","7039883")</f>
        <v>0</v>
      </c>
      <c r="B6019" t="s">
        <v>1901</v>
      </c>
      <c r="C6019" t="s">
        <v>8948</v>
      </c>
      <c r="E6019" t="s">
        <v>23470</v>
      </c>
      <c r="F6019" t="s">
        <v>31574</v>
      </c>
      <c r="G6019" t="s">
        <v>31582</v>
      </c>
      <c r="H6019" t="s">
        <v>31590</v>
      </c>
      <c r="I6019" t="s">
        <v>31619</v>
      </c>
      <c r="J6019" t="s">
        <v>35609</v>
      </c>
      <c r="K6019" t="s">
        <v>41191</v>
      </c>
      <c r="M6019" t="s">
        <v>43546</v>
      </c>
      <c r="N6019" t="s">
        <v>45095</v>
      </c>
      <c r="O6019" t="s">
        <v>45096</v>
      </c>
      <c r="P6019">
        <v>0</v>
      </c>
      <c r="Q6019">
        <v>6</v>
      </c>
      <c r="R6019" t="s">
        <v>45102</v>
      </c>
      <c r="S6019" t="s">
        <v>45242</v>
      </c>
      <c r="T6019" t="s">
        <v>47230</v>
      </c>
      <c r="U6019" t="s">
        <v>52522</v>
      </c>
      <c r="W6019" t="s">
        <v>43546</v>
      </c>
      <c r="X6019" t="s">
        <v>45103</v>
      </c>
    </row>
    <row r="6020" spans="1:24">
      <c r="A6020">
        <f>HYPERLINK("https://www.philgeps.gov.ph/GEPSNONPILOT/Tender/SplashBidNoticeAbstractUI.aspx?menuIndex=3&amp;refID=7039884&amp;Result=3","7039884")</f>
        <v>0</v>
      </c>
      <c r="B6020" t="s">
        <v>1880</v>
      </c>
      <c r="C6020" t="s">
        <v>8949</v>
      </c>
      <c r="D6020" t="s">
        <v>18056</v>
      </c>
      <c r="E6020" t="s">
        <v>23471</v>
      </c>
      <c r="F6020" t="s">
        <v>31574</v>
      </c>
      <c r="G6020" t="s">
        <v>31581</v>
      </c>
      <c r="H6020" t="s">
        <v>31590</v>
      </c>
      <c r="I6020" t="s">
        <v>7185</v>
      </c>
      <c r="J6020" t="s">
        <v>35610</v>
      </c>
      <c r="K6020" t="s">
        <v>41195</v>
      </c>
      <c r="M6020" t="s">
        <v>43521</v>
      </c>
      <c r="N6020" t="s">
        <v>45095</v>
      </c>
      <c r="O6020" t="s">
        <v>45096</v>
      </c>
      <c r="P6020">
        <v>0</v>
      </c>
      <c r="Q6020">
        <v>1</v>
      </c>
      <c r="R6020" t="s">
        <v>45102</v>
      </c>
      <c r="S6020" t="s">
        <v>45242</v>
      </c>
      <c r="T6020" t="s">
        <v>47125</v>
      </c>
      <c r="U6020" t="s">
        <v>52523</v>
      </c>
      <c r="W6020" t="s">
        <v>43521</v>
      </c>
      <c r="X6020" t="s">
        <v>45103</v>
      </c>
    </row>
    <row r="6021" spans="1:24">
      <c r="A6021">
        <f>HYPERLINK("https://www.philgeps.gov.ph/GEPSNONPILOT/Tender/SplashBidNoticeAbstractUI.aspx?menuIndex=3&amp;refID=7039891&amp;Result=3","7039891")</f>
        <v>0</v>
      </c>
      <c r="B6021" t="s">
        <v>1902</v>
      </c>
      <c r="C6021" t="s">
        <v>8950</v>
      </c>
      <c r="D6021" t="s">
        <v>18041</v>
      </c>
      <c r="E6021" t="s">
        <v>23472</v>
      </c>
      <c r="F6021" t="s">
        <v>31574</v>
      </c>
      <c r="G6021" t="s">
        <v>31583</v>
      </c>
      <c r="H6021" t="s">
        <v>31590</v>
      </c>
      <c r="I6021" t="s">
        <v>31607</v>
      </c>
      <c r="J6021" t="s">
        <v>35611</v>
      </c>
      <c r="K6021" t="s">
        <v>41191</v>
      </c>
      <c r="M6021" t="s">
        <v>43547</v>
      </c>
      <c r="N6021" t="s">
        <v>45095</v>
      </c>
      <c r="O6021" t="s">
        <v>45096</v>
      </c>
      <c r="P6021">
        <v>0</v>
      </c>
      <c r="Q6021">
        <v>12</v>
      </c>
      <c r="R6021" t="s">
        <v>45102</v>
      </c>
      <c r="S6021" t="s">
        <v>45242</v>
      </c>
      <c r="T6021" t="s">
        <v>46982</v>
      </c>
      <c r="U6021" t="s">
        <v>48884</v>
      </c>
      <c r="V6021" t="s">
        <v>60489</v>
      </c>
      <c r="W6021" t="s">
        <v>43547</v>
      </c>
      <c r="X6021" t="s">
        <v>45103</v>
      </c>
    </row>
    <row r="6022" spans="1:24">
      <c r="A6022">
        <f>HYPERLINK("https://www.philgeps.gov.ph/GEPSNONPILOT/Tender/SplashBidNoticeAbstractUI.aspx?menuIndex=3&amp;refID=7039899&amp;Result=3","7039899")</f>
        <v>0</v>
      </c>
      <c r="B6022" t="s">
        <v>1903</v>
      </c>
      <c r="C6022" t="s">
        <v>8951</v>
      </c>
      <c r="D6022" t="s">
        <v>18023</v>
      </c>
      <c r="E6022" t="s">
        <v>23473</v>
      </c>
      <c r="F6022" t="s">
        <v>31574</v>
      </c>
      <c r="G6022" t="s">
        <v>31581</v>
      </c>
      <c r="H6022" t="s">
        <v>31591</v>
      </c>
      <c r="I6022" t="s">
        <v>31632</v>
      </c>
      <c r="J6022" t="s">
        <v>35612</v>
      </c>
      <c r="K6022" t="s">
        <v>41184</v>
      </c>
      <c r="M6022" t="s">
        <v>43548</v>
      </c>
      <c r="N6022" t="s">
        <v>45095</v>
      </c>
      <c r="O6022" t="s">
        <v>45096</v>
      </c>
      <c r="P6022">
        <v>0</v>
      </c>
      <c r="Q6022">
        <v>0</v>
      </c>
      <c r="R6022" t="s">
        <v>45102</v>
      </c>
      <c r="S6022" t="s">
        <v>45242</v>
      </c>
      <c r="T6022" t="s">
        <v>47058</v>
      </c>
      <c r="U6022" t="s">
        <v>52524</v>
      </c>
      <c r="V6022" t="s">
        <v>60490</v>
      </c>
      <c r="W6022" t="s">
        <v>43548</v>
      </c>
      <c r="X6022" t="s">
        <v>45103</v>
      </c>
    </row>
    <row r="6023" spans="1:24">
      <c r="A6023">
        <f>HYPERLINK("https://www.philgeps.gov.ph/GEPSNONPILOT/Tender/SplashBidNoticeAbstractUI.aspx?menuIndex=3&amp;refID=7039922&amp;Result=3","7039922")</f>
        <v>0</v>
      </c>
      <c r="B6023" t="s">
        <v>1566</v>
      </c>
      <c r="C6023" t="s">
        <v>8952</v>
      </c>
      <c r="E6023" t="s">
        <v>23474</v>
      </c>
      <c r="F6023" t="s">
        <v>31574</v>
      </c>
      <c r="G6023" t="s">
        <v>31582</v>
      </c>
      <c r="H6023" t="s">
        <v>31590</v>
      </c>
      <c r="I6023" t="s">
        <v>8822</v>
      </c>
      <c r="J6023" t="s">
        <v>35613</v>
      </c>
      <c r="K6023" t="s">
        <v>41184</v>
      </c>
      <c r="M6023" t="s">
        <v>43165</v>
      </c>
      <c r="N6023" t="s">
        <v>45095</v>
      </c>
      <c r="O6023" t="s">
        <v>45096</v>
      </c>
      <c r="P6023">
        <v>0</v>
      </c>
      <c r="Q6023">
        <v>0</v>
      </c>
      <c r="R6023" t="s">
        <v>45102</v>
      </c>
      <c r="S6023" t="s">
        <v>45242</v>
      </c>
      <c r="T6023" t="s">
        <v>46914</v>
      </c>
      <c r="U6023" t="s">
        <v>52525</v>
      </c>
      <c r="V6023" t="s">
        <v>59888</v>
      </c>
      <c r="W6023" t="s">
        <v>43165</v>
      </c>
      <c r="X6023" t="s">
        <v>45103</v>
      </c>
    </row>
    <row r="6024" spans="1:24">
      <c r="A6024">
        <f>HYPERLINK("https://www.philgeps.gov.ph/GEPSNONPILOT/Tender/SplashBidNoticeAbstractUI.aspx?menuIndex=3&amp;refID=7039910&amp;Result=3","7039910")</f>
        <v>0</v>
      </c>
      <c r="B6024" t="s">
        <v>530</v>
      </c>
      <c r="C6024" t="s">
        <v>8953</v>
      </c>
      <c r="D6024" t="s">
        <v>18071</v>
      </c>
      <c r="E6024" t="s">
        <v>8953</v>
      </c>
      <c r="F6024" t="s">
        <v>31574</v>
      </c>
      <c r="G6024" t="s">
        <v>31582</v>
      </c>
      <c r="H6024" t="s">
        <v>31590</v>
      </c>
      <c r="I6024" t="s">
        <v>3539</v>
      </c>
      <c r="J6024" t="s">
        <v>35614</v>
      </c>
      <c r="K6024" t="s">
        <v>41186</v>
      </c>
      <c r="M6024" t="s">
        <v>42027</v>
      </c>
      <c r="N6024" t="s">
        <v>45095</v>
      </c>
      <c r="O6024" t="s">
        <v>45096</v>
      </c>
      <c r="P6024">
        <v>0</v>
      </c>
      <c r="Q6024">
        <v>0</v>
      </c>
      <c r="R6024" t="s">
        <v>45102</v>
      </c>
      <c r="S6024" t="s">
        <v>45242</v>
      </c>
      <c r="T6024" t="s">
        <v>47003</v>
      </c>
      <c r="U6024" t="s">
        <v>52526</v>
      </c>
      <c r="W6024" t="s">
        <v>42027</v>
      </c>
      <c r="X6024" t="s">
        <v>45103</v>
      </c>
    </row>
    <row r="6025" spans="1:24">
      <c r="A6025">
        <f>HYPERLINK("https://www.philgeps.gov.ph/GEPSNONPILOT/Tender/SplashBidNoticeAbstractUI.aspx?menuIndex=3&amp;refID=7039906&amp;Result=3","7039906")</f>
        <v>0</v>
      </c>
      <c r="B6025" t="s">
        <v>1904</v>
      </c>
      <c r="C6025" t="s">
        <v>8954</v>
      </c>
      <c r="D6025" t="s">
        <v>18075</v>
      </c>
      <c r="E6025" t="s">
        <v>23475</v>
      </c>
      <c r="F6025" t="s">
        <v>31574</v>
      </c>
      <c r="G6025" t="s">
        <v>31583</v>
      </c>
      <c r="H6025" t="s">
        <v>31590</v>
      </c>
      <c r="I6025" t="s">
        <v>3487</v>
      </c>
      <c r="J6025" t="s">
        <v>35615</v>
      </c>
      <c r="K6025" t="s">
        <v>41186</v>
      </c>
      <c r="M6025" t="s">
        <v>43549</v>
      </c>
      <c r="N6025" t="s">
        <v>45095</v>
      </c>
      <c r="O6025" t="s">
        <v>45096</v>
      </c>
      <c r="P6025">
        <v>0</v>
      </c>
      <c r="Q6025">
        <v>1</v>
      </c>
      <c r="R6025" t="s">
        <v>45102</v>
      </c>
      <c r="S6025" t="s">
        <v>45242</v>
      </c>
      <c r="T6025" t="s">
        <v>47106</v>
      </c>
      <c r="U6025" t="s">
        <v>52527</v>
      </c>
      <c r="W6025" t="s">
        <v>43549</v>
      </c>
      <c r="X6025" t="s">
        <v>45103</v>
      </c>
    </row>
    <row r="6026" spans="1:24">
      <c r="A6026">
        <f>HYPERLINK("https://www.philgeps.gov.ph/GEPSNONPILOT/Tender/SplashBidNoticeAbstractUI.aspx?menuIndex=3&amp;refID=7039916&amp;Result=3","7039916")</f>
        <v>0</v>
      </c>
      <c r="B6026" t="s">
        <v>1900</v>
      </c>
      <c r="C6026" t="s">
        <v>8955</v>
      </c>
      <c r="D6026" t="s">
        <v>18073</v>
      </c>
      <c r="E6026" t="s">
        <v>23476</v>
      </c>
      <c r="F6026" t="s">
        <v>31574</v>
      </c>
      <c r="G6026" t="s">
        <v>31582</v>
      </c>
      <c r="H6026" t="s">
        <v>31590</v>
      </c>
      <c r="I6026" t="s">
        <v>6800</v>
      </c>
      <c r="J6026" t="s">
        <v>35616</v>
      </c>
      <c r="K6026" t="s">
        <v>41184</v>
      </c>
      <c r="M6026" t="s">
        <v>43545</v>
      </c>
      <c r="N6026" t="s">
        <v>45095</v>
      </c>
      <c r="O6026" t="s">
        <v>45096</v>
      </c>
      <c r="P6026">
        <v>0</v>
      </c>
      <c r="Q6026">
        <v>2</v>
      </c>
      <c r="R6026" t="s">
        <v>45102</v>
      </c>
      <c r="S6026" t="s">
        <v>45242</v>
      </c>
      <c r="T6026" t="s">
        <v>47074</v>
      </c>
      <c r="U6026" t="s">
        <v>52528</v>
      </c>
      <c r="W6026" t="s">
        <v>43545</v>
      </c>
      <c r="X6026" t="s">
        <v>45103</v>
      </c>
    </row>
    <row r="6027" spans="1:24">
      <c r="A6027">
        <f>HYPERLINK("https://www.philgeps.gov.ph/GEPSNONPILOT/Tender/SplashBidNoticeAbstractUI.aspx?menuIndex=3&amp;refID=7039903&amp;Result=3","7039903")</f>
        <v>0</v>
      </c>
      <c r="B6027" t="s">
        <v>533</v>
      </c>
      <c r="C6027" t="s">
        <v>8956</v>
      </c>
      <c r="D6027" t="s">
        <v>18075</v>
      </c>
      <c r="E6027" t="s">
        <v>23477</v>
      </c>
      <c r="F6027" t="s">
        <v>31574</v>
      </c>
      <c r="G6027" t="s">
        <v>31581</v>
      </c>
      <c r="H6027" t="s">
        <v>31591</v>
      </c>
      <c r="I6027" t="s">
        <v>8822</v>
      </c>
      <c r="J6027" t="s">
        <v>31935</v>
      </c>
      <c r="K6027" t="s">
        <v>41246</v>
      </c>
      <c r="M6027" t="s">
        <v>43099</v>
      </c>
      <c r="N6027" t="s">
        <v>45095</v>
      </c>
      <c r="O6027" t="s">
        <v>45096</v>
      </c>
      <c r="P6027">
        <v>0</v>
      </c>
      <c r="Q6027">
        <v>0</v>
      </c>
      <c r="R6027" t="s">
        <v>45102</v>
      </c>
      <c r="S6027" t="s">
        <v>45242</v>
      </c>
      <c r="T6027" t="s">
        <v>47276</v>
      </c>
      <c r="U6027" t="s">
        <v>50835</v>
      </c>
      <c r="W6027" t="s">
        <v>42964</v>
      </c>
      <c r="X6027" t="s">
        <v>45103</v>
      </c>
    </row>
    <row r="6028" spans="1:24">
      <c r="A6028">
        <f>HYPERLINK("https://www.philgeps.gov.ph/GEPSNONPILOT/Tender/SplashBidNoticeAbstractUI.aspx?menuIndex=3&amp;refID=7039918&amp;Result=3","7039918")</f>
        <v>0</v>
      </c>
      <c r="B6028" t="s">
        <v>1905</v>
      </c>
      <c r="C6028" t="s">
        <v>8957</v>
      </c>
      <c r="E6028" t="s">
        <v>23478</v>
      </c>
      <c r="F6028" t="s">
        <v>31574</v>
      </c>
      <c r="G6028" t="s">
        <v>31582</v>
      </c>
      <c r="H6028" t="s">
        <v>31590</v>
      </c>
      <c r="I6028" t="s">
        <v>4046</v>
      </c>
      <c r="J6028" t="s">
        <v>35617</v>
      </c>
      <c r="K6028" t="s">
        <v>41184</v>
      </c>
      <c r="M6028" t="s">
        <v>43550</v>
      </c>
      <c r="N6028" t="s">
        <v>45095</v>
      </c>
      <c r="O6028" t="s">
        <v>45096</v>
      </c>
      <c r="P6028">
        <v>0</v>
      </c>
      <c r="Q6028">
        <v>0</v>
      </c>
      <c r="R6028" t="s">
        <v>45102</v>
      </c>
      <c r="S6028" t="s">
        <v>45242</v>
      </c>
      <c r="T6028" t="s">
        <v>46949</v>
      </c>
      <c r="U6028" t="s">
        <v>52529</v>
      </c>
      <c r="W6028" t="s">
        <v>61721</v>
      </c>
      <c r="X6028" t="s">
        <v>45103</v>
      </c>
    </row>
    <row r="6029" spans="1:24">
      <c r="A6029">
        <f>HYPERLINK("https://www.philgeps.gov.ph/GEPSNONPILOT/Tender/SplashBidNoticeAbstractUI.aspx?menuIndex=3&amp;refID=7039900&amp;Result=3","7039900")</f>
        <v>0</v>
      </c>
      <c r="B6029" t="s">
        <v>132</v>
      </c>
      <c r="C6029" t="s">
        <v>8958</v>
      </c>
      <c r="D6029" t="s">
        <v>18059</v>
      </c>
      <c r="E6029" t="s">
        <v>23479</v>
      </c>
      <c r="F6029" t="s">
        <v>31574</v>
      </c>
      <c r="G6029" t="s">
        <v>31582</v>
      </c>
      <c r="H6029" t="s">
        <v>31590</v>
      </c>
      <c r="I6029" t="s">
        <v>4046</v>
      </c>
      <c r="J6029" t="s">
        <v>35618</v>
      </c>
      <c r="K6029" t="s">
        <v>41190</v>
      </c>
      <c r="M6029" t="s">
        <v>41616</v>
      </c>
      <c r="N6029" t="s">
        <v>45095</v>
      </c>
      <c r="O6029" t="s">
        <v>45096</v>
      </c>
      <c r="P6029">
        <v>0</v>
      </c>
      <c r="Q6029">
        <v>0</v>
      </c>
      <c r="R6029" t="s">
        <v>45102</v>
      </c>
      <c r="S6029" t="s">
        <v>45242</v>
      </c>
      <c r="T6029" t="s">
        <v>46973</v>
      </c>
      <c r="U6029" t="s">
        <v>52530</v>
      </c>
      <c r="W6029" t="s">
        <v>41616</v>
      </c>
      <c r="X6029" t="s">
        <v>45103</v>
      </c>
    </row>
    <row r="6030" spans="1:24">
      <c r="A6030">
        <f>HYPERLINK("https://www.philgeps.gov.ph/GEPSNONPILOT/Tender/SplashBidNoticeAbstractUI.aspx?menuIndex=3&amp;refID=7039901&amp;Result=3","7039901")</f>
        <v>0</v>
      </c>
      <c r="B6030" t="s">
        <v>62</v>
      </c>
      <c r="C6030" t="s">
        <v>8959</v>
      </c>
      <c r="D6030" t="s">
        <v>18037</v>
      </c>
      <c r="E6030" t="s">
        <v>23480</v>
      </c>
      <c r="F6030" t="s">
        <v>31574</v>
      </c>
      <c r="G6030" t="s">
        <v>31581</v>
      </c>
      <c r="H6030" t="s">
        <v>31590</v>
      </c>
      <c r="I6030" t="s">
        <v>8056</v>
      </c>
      <c r="J6030" t="s">
        <v>35619</v>
      </c>
      <c r="K6030" t="s">
        <v>41184</v>
      </c>
      <c r="L6030" t="s">
        <v>62</v>
      </c>
      <c r="M6030" t="s">
        <v>41546</v>
      </c>
      <c r="N6030" t="s">
        <v>45095</v>
      </c>
      <c r="O6030" t="s">
        <v>45096</v>
      </c>
      <c r="P6030">
        <v>0</v>
      </c>
      <c r="Q6030">
        <v>1</v>
      </c>
      <c r="R6030" t="s">
        <v>45102</v>
      </c>
      <c r="S6030" t="s">
        <v>45242</v>
      </c>
      <c r="T6030" t="s">
        <v>47050</v>
      </c>
      <c r="U6030" t="s">
        <v>52531</v>
      </c>
      <c r="W6030" t="s">
        <v>41546</v>
      </c>
      <c r="X6030" t="s">
        <v>45103</v>
      </c>
    </row>
    <row r="6031" spans="1:24">
      <c r="A6031">
        <f>HYPERLINK("https://www.philgeps.gov.ph/GEPSNONPILOT/Tender/SplashBidNoticeAbstractUI.aspx?menuIndex=3&amp;refID=7039930&amp;Result=3","7039930")</f>
        <v>0</v>
      </c>
      <c r="B6031" t="s">
        <v>363</v>
      </c>
      <c r="C6031" t="s">
        <v>8960</v>
      </c>
      <c r="D6031" t="s">
        <v>18044</v>
      </c>
      <c r="E6031" t="s">
        <v>23481</v>
      </c>
      <c r="F6031" t="s">
        <v>31574</v>
      </c>
      <c r="G6031" t="s">
        <v>31583</v>
      </c>
      <c r="H6031" t="s">
        <v>31590</v>
      </c>
      <c r="I6031" t="s">
        <v>8258</v>
      </c>
      <c r="J6031" t="s">
        <v>35620</v>
      </c>
      <c r="K6031" t="s">
        <v>41184</v>
      </c>
      <c r="M6031" t="s">
        <v>41853</v>
      </c>
      <c r="N6031" t="s">
        <v>45095</v>
      </c>
      <c r="O6031" t="s">
        <v>45096</v>
      </c>
      <c r="P6031">
        <v>0</v>
      </c>
      <c r="Q6031">
        <v>1</v>
      </c>
      <c r="R6031" t="s">
        <v>45102</v>
      </c>
      <c r="S6031" t="s">
        <v>45242</v>
      </c>
      <c r="T6031" t="s">
        <v>47157</v>
      </c>
      <c r="U6031" t="s">
        <v>52532</v>
      </c>
      <c r="W6031" t="s">
        <v>41853</v>
      </c>
      <c r="X6031" t="s">
        <v>45103</v>
      </c>
    </row>
    <row r="6032" spans="1:24">
      <c r="A6032">
        <f>HYPERLINK("https://www.philgeps.gov.ph/GEPSNONPILOT/Tender/SplashBidNoticeAbstractUI.aspx?menuIndex=3&amp;refID=7039912&amp;Result=3","7039912")</f>
        <v>0</v>
      </c>
      <c r="B6032" t="s">
        <v>1880</v>
      </c>
      <c r="C6032" t="s">
        <v>8961</v>
      </c>
      <c r="D6032" t="s">
        <v>18056</v>
      </c>
      <c r="E6032" t="s">
        <v>23482</v>
      </c>
      <c r="F6032" t="s">
        <v>31574</v>
      </c>
      <c r="G6032" t="s">
        <v>31581</v>
      </c>
      <c r="H6032" t="s">
        <v>31590</v>
      </c>
      <c r="I6032" t="s">
        <v>31602</v>
      </c>
      <c r="J6032" t="s">
        <v>35621</v>
      </c>
      <c r="K6032" t="s">
        <v>41191</v>
      </c>
      <c r="M6032" t="s">
        <v>43521</v>
      </c>
      <c r="N6032" t="s">
        <v>45095</v>
      </c>
      <c r="O6032" t="s">
        <v>45096</v>
      </c>
      <c r="P6032">
        <v>0</v>
      </c>
      <c r="Q6032">
        <v>0</v>
      </c>
      <c r="R6032" t="s">
        <v>45102</v>
      </c>
      <c r="S6032" t="s">
        <v>45242</v>
      </c>
      <c r="T6032" t="s">
        <v>47125</v>
      </c>
      <c r="U6032" t="s">
        <v>52533</v>
      </c>
      <c r="W6032" t="s">
        <v>43521</v>
      </c>
      <c r="X6032" t="s">
        <v>45103</v>
      </c>
    </row>
    <row r="6033" spans="1:24">
      <c r="A6033">
        <f>HYPERLINK("https://www.philgeps.gov.ph/GEPSNONPILOT/Tender/SplashBidNoticeAbstractUI.aspx?menuIndex=3&amp;refID=7039926&amp;Result=3","7039926")</f>
        <v>0</v>
      </c>
      <c r="B6033" t="s">
        <v>1904</v>
      </c>
      <c r="C6033" t="s">
        <v>8962</v>
      </c>
      <c r="D6033" t="s">
        <v>18075</v>
      </c>
      <c r="E6033" t="s">
        <v>23483</v>
      </c>
      <c r="F6033" t="s">
        <v>31574</v>
      </c>
      <c r="G6033" t="s">
        <v>31583</v>
      </c>
      <c r="H6033" t="s">
        <v>31590</v>
      </c>
      <c r="I6033" t="s">
        <v>4046</v>
      </c>
      <c r="J6033" t="s">
        <v>35622</v>
      </c>
      <c r="K6033" t="s">
        <v>41186</v>
      </c>
      <c r="M6033" t="s">
        <v>43549</v>
      </c>
      <c r="N6033" t="s">
        <v>45095</v>
      </c>
      <c r="O6033" t="s">
        <v>45096</v>
      </c>
      <c r="P6033">
        <v>0</v>
      </c>
      <c r="Q6033">
        <v>0</v>
      </c>
      <c r="R6033" t="s">
        <v>45102</v>
      </c>
      <c r="S6033" t="s">
        <v>45242</v>
      </c>
      <c r="T6033" t="s">
        <v>47106</v>
      </c>
      <c r="U6033" t="s">
        <v>52534</v>
      </c>
      <c r="W6033" t="s">
        <v>43549</v>
      </c>
      <c r="X6033" t="s">
        <v>45103</v>
      </c>
    </row>
    <row r="6034" spans="1:24">
      <c r="A6034">
        <f>HYPERLINK("https://www.philgeps.gov.ph/GEPSNONPILOT/Tender/SplashBidNoticeAbstractUI.aspx?menuIndex=3&amp;refID=7039915&amp;Result=3","7039915")</f>
        <v>0</v>
      </c>
      <c r="B6034" t="s">
        <v>800</v>
      </c>
      <c r="C6034" t="s">
        <v>8963</v>
      </c>
      <c r="D6034" t="s">
        <v>18096</v>
      </c>
      <c r="E6034" t="s">
        <v>23484</v>
      </c>
      <c r="F6034" t="s">
        <v>31574</v>
      </c>
      <c r="G6034" t="s">
        <v>31582</v>
      </c>
      <c r="H6034" t="s">
        <v>31590</v>
      </c>
      <c r="I6034" t="s">
        <v>31676</v>
      </c>
      <c r="J6034" t="s">
        <v>35623</v>
      </c>
      <c r="K6034" t="s">
        <v>41184</v>
      </c>
      <c r="M6034" t="s">
        <v>42314</v>
      </c>
      <c r="N6034" t="s">
        <v>45095</v>
      </c>
      <c r="O6034" t="s">
        <v>45096</v>
      </c>
      <c r="P6034">
        <v>0</v>
      </c>
      <c r="Q6034">
        <v>0</v>
      </c>
      <c r="R6034" t="s">
        <v>45102</v>
      </c>
      <c r="S6034" t="s">
        <v>45242</v>
      </c>
      <c r="T6034" t="s">
        <v>47170</v>
      </c>
      <c r="U6034" t="s">
        <v>52460</v>
      </c>
      <c r="V6034" t="s">
        <v>60480</v>
      </c>
      <c r="W6034" t="s">
        <v>42314</v>
      </c>
      <c r="X6034" t="s">
        <v>45103</v>
      </c>
    </row>
    <row r="6035" spans="1:24">
      <c r="A6035">
        <f>HYPERLINK("https://www.philgeps.gov.ph/GEPSNONPILOT/Tender/SplashBidNoticeAbstractUI.aspx?menuIndex=3&amp;refID=7039925&amp;Result=3","7039925")</f>
        <v>0</v>
      </c>
      <c r="B6035" t="s">
        <v>749</v>
      </c>
      <c r="C6035" t="s">
        <v>8964</v>
      </c>
      <c r="D6035" t="s">
        <v>18036</v>
      </c>
      <c r="E6035" t="s">
        <v>23485</v>
      </c>
      <c r="F6035" t="s">
        <v>31574</v>
      </c>
      <c r="G6035" t="s">
        <v>31582</v>
      </c>
      <c r="H6035" t="s">
        <v>31591</v>
      </c>
      <c r="I6035" t="s">
        <v>8822</v>
      </c>
      <c r="J6035" t="s">
        <v>35624</v>
      </c>
      <c r="K6035" t="s">
        <v>41189</v>
      </c>
      <c r="M6035" t="s">
        <v>42263</v>
      </c>
      <c r="N6035" t="s">
        <v>45095</v>
      </c>
      <c r="O6035" t="s">
        <v>45096</v>
      </c>
      <c r="P6035">
        <v>0</v>
      </c>
      <c r="Q6035">
        <v>0</v>
      </c>
      <c r="R6035" t="s">
        <v>45102</v>
      </c>
      <c r="S6035" t="s">
        <v>45242</v>
      </c>
      <c r="T6035" t="s">
        <v>46992</v>
      </c>
      <c r="U6035" t="s">
        <v>52535</v>
      </c>
      <c r="W6035" t="s">
        <v>42263</v>
      </c>
      <c r="X6035" t="s">
        <v>45103</v>
      </c>
    </row>
    <row r="6036" spans="1:24">
      <c r="A6036">
        <f>HYPERLINK("https://www.philgeps.gov.ph/GEPSNONPILOT/Tender/SplashBidNoticeAbstractUI.aspx?menuIndex=3&amp;refID=7039929&amp;Result=3","7039929")</f>
        <v>0</v>
      </c>
      <c r="B6036" t="s">
        <v>59</v>
      </c>
      <c r="C6036" t="s">
        <v>8965</v>
      </c>
      <c r="D6036" t="s">
        <v>18048</v>
      </c>
      <c r="E6036" t="s">
        <v>23486</v>
      </c>
      <c r="F6036" t="s">
        <v>31574</v>
      </c>
      <c r="G6036" t="s">
        <v>31583</v>
      </c>
      <c r="H6036" t="s">
        <v>31590</v>
      </c>
      <c r="I6036" t="s">
        <v>31626</v>
      </c>
      <c r="J6036" t="s">
        <v>32336</v>
      </c>
      <c r="K6036" t="s">
        <v>41185</v>
      </c>
      <c r="M6036" t="s">
        <v>41543</v>
      </c>
      <c r="N6036" t="s">
        <v>45095</v>
      </c>
      <c r="O6036" t="s">
        <v>45096</v>
      </c>
      <c r="P6036">
        <v>0</v>
      </c>
      <c r="Q6036">
        <v>2</v>
      </c>
      <c r="R6036" t="s">
        <v>45102</v>
      </c>
      <c r="S6036" t="s">
        <v>45242</v>
      </c>
      <c r="T6036" t="s">
        <v>46973</v>
      </c>
      <c r="U6036" t="s">
        <v>52536</v>
      </c>
      <c r="V6036" t="s">
        <v>59856</v>
      </c>
      <c r="W6036" t="s">
        <v>41543</v>
      </c>
      <c r="X6036" t="s">
        <v>45103</v>
      </c>
    </row>
    <row r="6037" spans="1:24">
      <c r="A6037">
        <f>HYPERLINK("https://www.philgeps.gov.ph/GEPSNONPILOT/Tender/SplashBidNoticeAbstractUI.aspx?menuIndex=3&amp;refID=7039923&amp;Result=3","7039923")</f>
        <v>0</v>
      </c>
      <c r="B6037" t="s">
        <v>606</v>
      </c>
      <c r="C6037" t="s">
        <v>8966</v>
      </c>
      <c r="D6037" t="s">
        <v>18073</v>
      </c>
      <c r="E6037" t="s">
        <v>23487</v>
      </c>
      <c r="F6037" t="s">
        <v>31574</v>
      </c>
      <c r="G6037" t="s">
        <v>31582</v>
      </c>
      <c r="H6037" t="s">
        <v>31590</v>
      </c>
      <c r="I6037" t="s">
        <v>31605</v>
      </c>
      <c r="J6037" t="s">
        <v>35625</v>
      </c>
      <c r="K6037" t="s">
        <v>41186</v>
      </c>
      <c r="M6037" t="s">
        <v>42109</v>
      </c>
      <c r="N6037" t="s">
        <v>45095</v>
      </c>
      <c r="O6037" t="s">
        <v>45096</v>
      </c>
      <c r="P6037">
        <v>0</v>
      </c>
      <c r="Q6037">
        <v>3</v>
      </c>
      <c r="R6037" t="s">
        <v>45102</v>
      </c>
      <c r="S6037" t="s">
        <v>45242</v>
      </c>
      <c r="T6037" t="s">
        <v>46973</v>
      </c>
      <c r="U6037" t="s">
        <v>52537</v>
      </c>
      <c r="W6037" t="s">
        <v>43561</v>
      </c>
      <c r="X6037" t="s">
        <v>45103</v>
      </c>
    </row>
    <row r="6038" spans="1:24">
      <c r="A6038">
        <f>HYPERLINK("https://www.philgeps.gov.ph/GEPSNONPILOT/Tender/SplashBidNoticeAbstractUI.aspx?menuIndex=3&amp;refID=7039914&amp;Result=3","7039914")</f>
        <v>0</v>
      </c>
      <c r="B6038" t="s">
        <v>1188</v>
      </c>
      <c r="C6038" t="s">
        <v>8967</v>
      </c>
      <c r="D6038" t="s">
        <v>18058</v>
      </c>
      <c r="E6038" t="s">
        <v>23488</v>
      </c>
      <c r="F6038" t="s">
        <v>31574</v>
      </c>
      <c r="G6038" t="s">
        <v>31583</v>
      </c>
      <c r="H6038" t="s">
        <v>31590</v>
      </c>
      <c r="I6038" t="s">
        <v>31602</v>
      </c>
      <c r="J6038" t="s">
        <v>31780</v>
      </c>
      <c r="K6038" t="s">
        <v>41196</v>
      </c>
      <c r="M6038" t="s">
        <v>42747</v>
      </c>
      <c r="N6038" t="s">
        <v>45095</v>
      </c>
      <c r="O6038" t="s">
        <v>45096</v>
      </c>
      <c r="P6038">
        <v>0</v>
      </c>
      <c r="Q6038">
        <v>1</v>
      </c>
      <c r="R6038" t="s">
        <v>45102</v>
      </c>
      <c r="S6038" t="s">
        <v>45242</v>
      </c>
      <c r="T6038" t="s">
        <v>47154</v>
      </c>
      <c r="U6038" t="s">
        <v>52538</v>
      </c>
      <c r="W6038" t="s">
        <v>42747</v>
      </c>
      <c r="X6038" t="s">
        <v>45103</v>
      </c>
    </row>
    <row r="6039" spans="1:24">
      <c r="A6039">
        <f>HYPERLINK("https://www.philgeps.gov.ph/GEPSNONPILOT/Tender/SplashBidNoticeAbstractUI.aspx?menuIndex=3&amp;refID=7039924&amp;Result=3","7039924")</f>
        <v>0</v>
      </c>
      <c r="B6039" t="s">
        <v>1205</v>
      </c>
      <c r="C6039" t="s">
        <v>8968</v>
      </c>
      <c r="D6039" t="s">
        <v>18025</v>
      </c>
      <c r="E6039" t="s">
        <v>23489</v>
      </c>
      <c r="F6039" t="s">
        <v>31574</v>
      </c>
      <c r="G6039" t="s">
        <v>31582</v>
      </c>
      <c r="H6039" t="s">
        <v>31591</v>
      </c>
      <c r="I6039" t="s">
        <v>8822</v>
      </c>
      <c r="J6039" t="s">
        <v>31771</v>
      </c>
      <c r="K6039" t="s">
        <v>41184</v>
      </c>
      <c r="M6039" t="s">
        <v>42765</v>
      </c>
      <c r="N6039" t="s">
        <v>45095</v>
      </c>
      <c r="O6039" t="s">
        <v>45096</v>
      </c>
      <c r="P6039">
        <v>0</v>
      </c>
      <c r="Q6039">
        <v>1</v>
      </c>
      <c r="R6039" t="s">
        <v>45102</v>
      </c>
      <c r="S6039" t="s">
        <v>45242</v>
      </c>
      <c r="T6039" t="s">
        <v>47064</v>
      </c>
      <c r="U6039" t="s">
        <v>52539</v>
      </c>
      <c r="W6039" t="s">
        <v>42765</v>
      </c>
      <c r="X6039" t="s">
        <v>45103</v>
      </c>
    </row>
    <row r="6040" spans="1:24">
      <c r="A6040">
        <f>HYPERLINK("https://www.philgeps.gov.ph/GEPSNONPILOT/Tender/SplashBidNoticeAbstractUI.aspx?menuIndex=3&amp;refID=7039950&amp;Result=3","7039950")</f>
        <v>0</v>
      </c>
      <c r="B6040" t="s">
        <v>1900</v>
      </c>
      <c r="C6040" t="s">
        <v>8969</v>
      </c>
      <c r="D6040" t="s">
        <v>18073</v>
      </c>
      <c r="E6040" t="s">
        <v>23490</v>
      </c>
      <c r="F6040" t="s">
        <v>31574</v>
      </c>
      <c r="G6040" t="s">
        <v>31582</v>
      </c>
      <c r="H6040" t="s">
        <v>31591</v>
      </c>
      <c r="I6040" t="s">
        <v>8822</v>
      </c>
      <c r="J6040" t="s">
        <v>35626</v>
      </c>
      <c r="K6040" t="s">
        <v>41184</v>
      </c>
      <c r="M6040" t="s">
        <v>43545</v>
      </c>
      <c r="N6040" t="s">
        <v>45095</v>
      </c>
      <c r="O6040" t="s">
        <v>45096</v>
      </c>
      <c r="P6040">
        <v>0</v>
      </c>
      <c r="Q6040">
        <v>0</v>
      </c>
      <c r="R6040" t="s">
        <v>45102</v>
      </c>
      <c r="S6040" t="s">
        <v>45242</v>
      </c>
      <c r="T6040" t="s">
        <v>47277</v>
      </c>
      <c r="U6040" t="s">
        <v>52540</v>
      </c>
      <c r="W6040" t="s">
        <v>43545</v>
      </c>
      <c r="X6040" t="s">
        <v>45103</v>
      </c>
    </row>
    <row r="6041" spans="1:24">
      <c r="A6041">
        <f>HYPERLINK("https://www.philgeps.gov.ph/GEPSNONPILOT/Tender/SplashBidNoticeAbstractUI.aspx?menuIndex=3&amp;refID=7039949&amp;Result=3","7039949")</f>
        <v>0</v>
      </c>
      <c r="B6041" t="s">
        <v>1902</v>
      </c>
      <c r="C6041" t="s">
        <v>8970</v>
      </c>
      <c r="D6041" t="s">
        <v>18041</v>
      </c>
      <c r="E6041" t="s">
        <v>23491</v>
      </c>
      <c r="F6041" t="s">
        <v>31574</v>
      </c>
      <c r="G6041" t="s">
        <v>31583</v>
      </c>
      <c r="H6041" t="s">
        <v>31590</v>
      </c>
      <c r="I6041" t="s">
        <v>31607</v>
      </c>
      <c r="J6041" t="s">
        <v>35627</v>
      </c>
      <c r="K6041" t="s">
        <v>41191</v>
      </c>
      <c r="M6041" t="s">
        <v>43547</v>
      </c>
      <c r="N6041" t="s">
        <v>45095</v>
      </c>
      <c r="O6041" t="s">
        <v>45096</v>
      </c>
      <c r="P6041">
        <v>0</v>
      </c>
      <c r="Q6041">
        <v>10</v>
      </c>
      <c r="R6041" t="s">
        <v>45102</v>
      </c>
      <c r="S6041" t="s">
        <v>45242</v>
      </c>
      <c r="T6041" t="s">
        <v>46982</v>
      </c>
      <c r="U6041" t="s">
        <v>52541</v>
      </c>
      <c r="V6041" t="s">
        <v>60491</v>
      </c>
      <c r="W6041" t="s">
        <v>43547</v>
      </c>
      <c r="X6041" t="s">
        <v>45103</v>
      </c>
    </row>
    <row r="6042" spans="1:24">
      <c r="A6042">
        <f>HYPERLINK("https://www.philgeps.gov.ph/GEPSNONPILOT/Tender/SplashBidNoticeAbstractUI.aspx?menuIndex=3&amp;refID=7039928&amp;Result=3","7039928")</f>
        <v>0</v>
      </c>
      <c r="B6042" t="s">
        <v>1906</v>
      </c>
      <c r="C6042" t="s">
        <v>8971</v>
      </c>
      <c r="D6042" t="s">
        <v>18070</v>
      </c>
      <c r="E6042" t="s">
        <v>22814</v>
      </c>
      <c r="F6042" t="s">
        <v>31574</v>
      </c>
      <c r="G6042" t="s">
        <v>31582</v>
      </c>
      <c r="H6042" t="s">
        <v>31591</v>
      </c>
      <c r="I6042" t="s">
        <v>8822</v>
      </c>
      <c r="J6042" t="s">
        <v>35628</v>
      </c>
      <c r="K6042" t="s">
        <v>41202</v>
      </c>
      <c r="M6042" t="s">
        <v>43551</v>
      </c>
      <c r="N6042" t="s">
        <v>45095</v>
      </c>
      <c r="O6042" t="s">
        <v>45096</v>
      </c>
      <c r="P6042">
        <v>0</v>
      </c>
      <c r="Q6042">
        <v>2</v>
      </c>
      <c r="R6042" t="s">
        <v>45102</v>
      </c>
      <c r="S6042" t="s">
        <v>45242</v>
      </c>
      <c r="T6042" t="s">
        <v>46915</v>
      </c>
      <c r="U6042" t="s">
        <v>52542</v>
      </c>
      <c r="W6042" t="s">
        <v>43551</v>
      </c>
      <c r="X6042" t="s">
        <v>45103</v>
      </c>
    </row>
    <row r="6043" spans="1:24">
      <c r="A6043">
        <f>HYPERLINK("https://www.philgeps.gov.ph/GEPSNONPILOT/Tender/SplashBidNoticeAbstractUI.aspx?menuIndex=3&amp;refID=7039945&amp;Result=3","7039945")</f>
        <v>0</v>
      </c>
      <c r="B6043" t="s">
        <v>1205</v>
      </c>
      <c r="C6043" t="s">
        <v>8972</v>
      </c>
      <c r="D6043" t="s">
        <v>18025</v>
      </c>
      <c r="E6043" t="s">
        <v>23492</v>
      </c>
      <c r="F6043" t="s">
        <v>31574</v>
      </c>
      <c r="G6043" t="s">
        <v>31582</v>
      </c>
      <c r="H6043" t="s">
        <v>31591</v>
      </c>
      <c r="I6043" t="s">
        <v>8822</v>
      </c>
      <c r="J6043" t="s">
        <v>35629</v>
      </c>
      <c r="K6043" t="s">
        <v>41184</v>
      </c>
      <c r="M6043" t="s">
        <v>42765</v>
      </c>
      <c r="N6043" t="s">
        <v>45095</v>
      </c>
      <c r="O6043" t="s">
        <v>45096</v>
      </c>
      <c r="P6043">
        <v>0</v>
      </c>
      <c r="Q6043">
        <v>0</v>
      </c>
      <c r="R6043" t="s">
        <v>45102</v>
      </c>
      <c r="S6043" t="s">
        <v>45242</v>
      </c>
      <c r="T6043" t="s">
        <v>47064</v>
      </c>
      <c r="U6043" t="s">
        <v>52543</v>
      </c>
      <c r="W6043" t="s">
        <v>42765</v>
      </c>
      <c r="X6043" t="s">
        <v>45103</v>
      </c>
    </row>
    <row r="6044" spans="1:24">
      <c r="A6044">
        <f>HYPERLINK("https://www.philgeps.gov.ph/GEPSNONPILOT/Tender/SplashBidNoticeAbstractUI.aspx?menuIndex=3&amp;refID=7039931&amp;Result=3","7039931")</f>
        <v>0</v>
      </c>
      <c r="B6044" t="s">
        <v>1907</v>
      </c>
      <c r="C6044" t="s">
        <v>8973</v>
      </c>
      <c r="D6044" t="s">
        <v>18036</v>
      </c>
      <c r="E6044" t="s">
        <v>23493</v>
      </c>
      <c r="F6044" t="s">
        <v>31574</v>
      </c>
      <c r="G6044" t="s">
        <v>31581</v>
      </c>
      <c r="H6044" t="s">
        <v>31590</v>
      </c>
      <c r="I6044" t="s">
        <v>31602</v>
      </c>
      <c r="J6044" t="s">
        <v>35630</v>
      </c>
      <c r="K6044" t="s">
        <v>41196</v>
      </c>
      <c r="M6044" t="s">
        <v>43552</v>
      </c>
      <c r="N6044" t="s">
        <v>45095</v>
      </c>
      <c r="O6044" t="s">
        <v>45096</v>
      </c>
      <c r="P6044">
        <v>0</v>
      </c>
      <c r="Q6044">
        <v>0</v>
      </c>
      <c r="R6044" t="s">
        <v>45102</v>
      </c>
      <c r="S6044" t="s">
        <v>45242</v>
      </c>
      <c r="T6044" t="s">
        <v>47067</v>
      </c>
      <c r="U6044" t="s">
        <v>52544</v>
      </c>
      <c r="V6044" t="s">
        <v>60492</v>
      </c>
      <c r="W6044" t="s">
        <v>43552</v>
      </c>
      <c r="X6044" t="s">
        <v>45103</v>
      </c>
    </row>
    <row r="6045" spans="1:24">
      <c r="A6045">
        <f>HYPERLINK("https://www.philgeps.gov.ph/GEPSNONPILOT/Tender/SplashBidNoticeAbstractUI.aspx?menuIndex=3&amp;refID=7039917&amp;Result=3","7039917")</f>
        <v>0</v>
      </c>
      <c r="B6045" t="s">
        <v>594</v>
      </c>
      <c r="C6045" t="s">
        <v>8974</v>
      </c>
      <c r="D6045" t="s">
        <v>18022</v>
      </c>
      <c r="E6045" t="s">
        <v>23494</v>
      </c>
      <c r="F6045" t="s">
        <v>31574</v>
      </c>
      <c r="G6045" t="s">
        <v>31581</v>
      </c>
      <c r="H6045" t="s">
        <v>31590</v>
      </c>
      <c r="I6045" t="s">
        <v>31595</v>
      </c>
      <c r="J6045" t="s">
        <v>32049</v>
      </c>
      <c r="K6045" t="s">
        <v>41185</v>
      </c>
      <c r="M6045" t="s">
        <v>42097</v>
      </c>
      <c r="N6045" t="s">
        <v>45095</v>
      </c>
      <c r="O6045" t="s">
        <v>45096</v>
      </c>
      <c r="P6045">
        <v>0</v>
      </c>
      <c r="Q6045">
        <v>4</v>
      </c>
      <c r="R6045" t="s">
        <v>45102</v>
      </c>
      <c r="S6045" t="s">
        <v>45242</v>
      </c>
      <c r="T6045" t="s">
        <v>46957</v>
      </c>
      <c r="U6045" t="s">
        <v>52545</v>
      </c>
      <c r="W6045" t="s">
        <v>42097</v>
      </c>
      <c r="X6045" t="s">
        <v>45103</v>
      </c>
    </row>
    <row r="6046" spans="1:24">
      <c r="A6046">
        <f>HYPERLINK("https://www.philgeps.gov.ph/GEPSNONPILOT/Tender/SplashBidNoticeAbstractUI.aspx?menuIndex=3&amp;refID=7039942&amp;Result=3","7039942")</f>
        <v>0</v>
      </c>
      <c r="B6046" t="s">
        <v>135</v>
      </c>
      <c r="C6046" t="s">
        <v>8975</v>
      </c>
      <c r="D6046" t="s">
        <v>18022</v>
      </c>
      <c r="E6046" t="s">
        <v>23495</v>
      </c>
      <c r="F6046" t="s">
        <v>31574</v>
      </c>
      <c r="G6046" t="s">
        <v>31581</v>
      </c>
      <c r="H6046" t="s">
        <v>31590</v>
      </c>
      <c r="I6046" t="s">
        <v>3487</v>
      </c>
      <c r="J6046" t="s">
        <v>35631</v>
      </c>
      <c r="K6046" t="s">
        <v>41184</v>
      </c>
      <c r="M6046" t="s">
        <v>43553</v>
      </c>
      <c r="N6046" t="s">
        <v>45095</v>
      </c>
      <c r="O6046" t="s">
        <v>45096</v>
      </c>
      <c r="P6046">
        <v>0</v>
      </c>
      <c r="Q6046">
        <v>2</v>
      </c>
      <c r="R6046" t="s">
        <v>45102</v>
      </c>
      <c r="S6046" t="s">
        <v>45242</v>
      </c>
      <c r="T6046" t="s">
        <v>47191</v>
      </c>
      <c r="U6046" t="s">
        <v>52546</v>
      </c>
      <c r="W6046" t="s">
        <v>43553</v>
      </c>
      <c r="X6046" t="s">
        <v>45103</v>
      </c>
    </row>
    <row r="6047" spans="1:24">
      <c r="A6047">
        <f>HYPERLINK("https://www.philgeps.gov.ph/GEPSNONPILOT/Tender/SplashBidNoticeAbstractUI.aspx?menuIndex=3&amp;refID=7039935&amp;Result=3","7039935")</f>
        <v>0</v>
      </c>
      <c r="B6047" t="s">
        <v>1509</v>
      </c>
      <c r="C6047" t="s">
        <v>8976</v>
      </c>
      <c r="D6047" t="s">
        <v>18022</v>
      </c>
      <c r="E6047" t="s">
        <v>23496</v>
      </c>
      <c r="F6047" t="s">
        <v>31574</v>
      </c>
      <c r="G6047" t="s">
        <v>31582</v>
      </c>
      <c r="H6047" t="s">
        <v>31590</v>
      </c>
      <c r="I6047" t="s">
        <v>31623</v>
      </c>
      <c r="J6047" t="s">
        <v>32056</v>
      </c>
      <c r="K6047" t="s">
        <v>41184</v>
      </c>
      <c r="M6047" t="s">
        <v>43098</v>
      </c>
      <c r="N6047" t="s">
        <v>45095</v>
      </c>
      <c r="O6047" t="s">
        <v>45096</v>
      </c>
      <c r="P6047">
        <v>0</v>
      </c>
      <c r="Q6047">
        <v>1</v>
      </c>
      <c r="R6047" t="s">
        <v>45102</v>
      </c>
      <c r="S6047" t="s">
        <v>45242</v>
      </c>
      <c r="T6047" t="s">
        <v>47055</v>
      </c>
      <c r="U6047" t="s">
        <v>52547</v>
      </c>
      <c r="W6047" t="s">
        <v>43098</v>
      </c>
      <c r="X6047" t="s">
        <v>45103</v>
      </c>
    </row>
    <row r="6048" spans="1:24">
      <c r="A6048">
        <f>HYPERLINK("https://www.philgeps.gov.ph/GEPSNONPILOT/Tender/SplashBidNoticeAbstractUI.aspx?menuIndex=3&amp;refID=7039944&amp;Result=3","7039944")</f>
        <v>0</v>
      </c>
      <c r="B6048" t="s">
        <v>1722</v>
      </c>
      <c r="C6048" t="s">
        <v>8977</v>
      </c>
      <c r="D6048" t="s">
        <v>18022</v>
      </c>
      <c r="E6048" t="s">
        <v>23497</v>
      </c>
      <c r="F6048" t="s">
        <v>31574</v>
      </c>
      <c r="G6048" t="s">
        <v>31581</v>
      </c>
      <c r="H6048" t="s">
        <v>31590</v>
      </c>
      <c r="I6048" t="s">
        <v>31619</v>
      </c>
      <c r="J6048" t="s">
        <v>35632</v>
      </c>
      <c r="K6048" t="s">
        <v>41193</v>
      </c>
      <c r="M6048" t="s">
        <v>43339</v>
      </c>
      <c r="N6048" t="s">
        <v>45095</v>
      </c>
      <c r="O6048" t="s">
        <v>45096</v>
      </c>
      <c r="P6048">
        <v>0</v>
      </c>
      <c r="Q6048">
        <v>22</v>
      </c>
      <c r="R6048" t="s">
        <v>45102</v>
      </c>
      <c r="S6048" t="s">
        <v>45242</v>
      </c>
      <c r="T6048" t="s">
        <v>47146</v>
      </c>
      <c r="U6048" t="s">
        <v>52548</v>
      </c>
      <c r="W6048" t="s">
        <v>43339</v>
      </c>
      <c r="X6048" t="s">
        <v>45103</v>
      </c>
    </row>
    <row r="6049" spans="1:24">
      <c r="A6049">
        <f>HYPERLINK("https://www.philgeps.gov.ph/GEPSNONPILOT/Tender/SplashBidNoticeAbstractUI.aspx?menuIndex=3&amp;refID=7039953&amp;Result=3","7039953")</f>
        <v>0</v>
      </c>
      <c r="B6049" t="s">
        <v>533</v>
      </c>
      <c r="C6049" t="s">
        <v>8978</v>
      </c>
      <c r="D6049" t="s">
        <v>18075</v>
      </c>
      <c r="E6049" t="s">
        <v>23498</v>
      </c>
      <c r="F6049" t="s">
        <v>31574</v>
      </c>
      <c r="G6049" t="s">
        <v>31581</v>
      </c>
      <c r="H6049" t="s">
        <v>31591</v>
      </c>
      <c r="I6049" t="s">
        <v>8822</v>
      </c>
      <c r="J6049" t="s">
        <v>31935</v>
      </c>
      <c r="K6049" t="s">
        <v>41333</v>
      </c>
      <c r="M6049" t="s">
        <v>43099</v>
      </c>
      <c r="N6049" t="s">
        <v>45095</v>
      </c>
      <c r="O6049" t="s">
        <v>45096</v>
      </c>
      <c r="P6049">
        <v>0</v>
      </c>
      <c r="Q6049">
        <v>0</v>
      </c>
      <c r="R6049" t="s">
        <v>45102</v>
      </c>
      <c r="S6049" t="s">
        <v>45242</v>
      </c>
      <c r="T6049" t="s">
        <v>47276</v>
      </c>
      <c r="U6049" t="s">
        <v>50835</v>
      </c>
      <c r="W6049" t="s">
        <v>42964</v>
      </c>
      <c r="X6049" t="s">
        <v>45103</v>
      </c>
    </row>
    <row r="6050" spans="1:24">
      <c r="A6050">
        <f>HYPERLINK("https://www.philgeps.gov.ph/GEPSNONPILOT/Tender/SplashBidNoticeAbstractUI.aspx?menuIndex=3&amp;refID=7039934&amp;Result=3","7039934")</f>
        <v>0</v>
      </c>
      <c r="B6050" t="s">
        <v>1188</v>
      </c>
      <c r="C6050" t="s">
        <v>8979</v>
      </c>
      <c r="D6050" t="s">
        <v>18058</v>
      </c>
      <c r="E6050" t="s">
        <v>23499</v>
      </c>
      <c r="F6050" t="s">
        <v>31574</v>
      </c>
      <c r="G6050" t="s">
        <v>31583</v>
      </c>
      <c r="H6050" t="s">
        <v>31590</v>
      </c>
      <c r="I6050" t="s">
        <v>31602</v>
      </c>
      <c r="J6050" t="s">
        <v>31780</v>
      </c>
      <c r="K6050" t="s">
        <v>41196</v>
      </c>
      <c r="M6050" t="s">
        <v>42747</v>
      </c>
      <c r="N6050" t="s">
        <v>45095</v>
      </c>
      <c r="O6050" t="s">
        <v>45096</v>
      </c>
      <c r="P6050">
        <v>0</v>
      </c>
      <c r="Q6050">
        <v>0</v>
      </c>
      <c r="R6050" t="s">
        <v>45102</v>
      </c>
      <c r="S6050" t="s">
        <v>45242</v>
      </c>
      <c r="T6050" t="s">
        <v>47171</v>
      </c>
      <c r="U6050" t="s">
        <v>52549</v>
      </c>
      <c r="W6050" t="s">
        <v>42747</v>
      </c>
      <c r="X6050" t="s">
        <v>45103</v>
      </c>
    </row>
    <row r="6051" spans="1:24">
      <c r="A6051">
        <f>HYPERLINK("https://www.philgeps.gov.ph/GEPSNONPILOT/Tender/SplashBidNoticeAbstractUI.aspx?menuIndex=3&amp;refID=7039972&amp;Result=3","7039972")</f>
        <v>0</v>
      </c>
      <c r="B6051" t="s">
        <v>533</v>
      </c>
      <c r="C6051" t="s">
        <v>8980</v>
      </c>
      <c r="D6051" t="s">
        <v>18075</v>
      </c>
      <c r="E6051" t="s">
        <v>23500</v>
      </c>
      <c r="F6051" t="s">
        <v>31574</v>
      </c>
      <c r="G6051" t="s">
        <v>31581</v>
      </c>
      <c r="H6051" t="s">
        <v>31591</v>
      </c>
      <c r="I6051" t="s">
        <v>8822</v>
      </c>
      <c r="J6051" t="s">
        <v>32019</v>
      </c>
      <c r="K6051" t="s">
        <v>41244</v>
      </c>
      <c r="M6051" t="s">
        <v>43099</v>
      </c>
      <c r="N6051" t="s">
        <v>45095</v>
      </c>
      <c r="O6051" t="s">
        <v>45096</v>
      </c>
      <c r="P6051">
        <v>0</v>
      </c>
      <c r="Q6051">
        <v>0</v>
      </c>
      <c r="R6051" t="s">
        <v>45102</v>
      </c>
      <c r="S6051" t="s">
        <v>45242</v>
      </c>
      <c r="T6051" t="s">
        <v>47276</v>
      </c>
      <c r="U6051" t="s">
        <v>50835</v>
      </c>
      <c r="W6051" t="s">
        <v>42964</v>
      </c>
      <c r="X6051" t="s">
        <v>45103</v>
      </c>
    </row>
    <row r="6052" spans="1:24">
      <c r="A6052">
        <f>HYPERLINK("https://www.philgeps.gov.ph/GEPSNONPILOT/Tender/SplashBidNoticeAbstractUI.aspx?menuIndex=3&amp;refID=7039958&amp;Result=3","7039958")</f>
        <v>0</v>
      </c>
      <c r="B6052" t="s">
        <v>1024</v>
      </c>
      <c r="C6052" t="s">
        <v>8981</v>
      </c>
      <c r="D6052" t="s">
        <v>18048</v>
      </c>
      <c r="E6052" t="s">
        <v>23501</v>
      </c>
      <c r="F6052" t="s">
        <v>31574</v>
      </c>
      <c r="G6052" t="s">
        <v>31582</v>
      </c>
      <c r="H6052" t="s">
        <v>31590</v>
      </c>
      <c r="I6052" t="s">
        <v>4046</v>
      </c>
      <c r="J6052" t="s">
        <v>35633</v>
      </c>
      <c r="K6052" t="s">
        <v>41184</v>
      </c>
      <c r="M6052" t="s">
        <v>42565</v>
      </c>
      <c r="N6052" t="s">
        <v>45095</v>
      </c>
      <c r="O6052" t="s">
        <v>45096</v>
      </c>
      <c r="P6052">
        <v>0</v>
      </c>
      <c r="Q6052">
        <v>0</v>
      </c>
      <c r="R6052" t="s">
        <v>45102</v>
      </c>
      <c r="S6052" t="s">
        <v>45242</v>
      </c>
      <c r="T6052" t="s">
        <v>47271</v>
      </c>
      <c r="U6052" t="s">
        <v>52420</v>
      </c>
      <c r="V6052" t="s">
        <v>60493</v>
      </c>
      <c r="W6052" t="s">
        <v>42565</v>
      </c>
      <c r="X6052" t="s">
        <v>45103</v>
      </c>
    </row>
    <row r="6053" spans="1:24">
      <c r="A6053">
        <f>HYPERLINK("https://www.philgeps.gov.ph/GEPSNONPILOT/Tender/SplashBidNoticeAbstractUI.aspx?menuIndex=3&amp;refID=7039941&amp;Result=3","7039941")</f>
        <v>0</v>
      </c>
      <c r="B6053" t="s">
        <v>495</v>
      </c>
      <c r="C6053" t="s">
        <v>8982</v>
      </c>
      <c r="D6053" t="s">
        <v>18099</v>
      </c>
      <c r="E6053" t="s">
        <v>23502</v>
      </c>
      <c r="F6053" t="s">
        <v>31574</v>
      </c>
      <c r="G6053" t="s">
        <v>31581</v>
      </c>
      <c r="H6053" t="s">
        <v>31590</v>
      </c>
      <c r="I6053" t="s">
        <v>14544</v>
      </c>
      <c r="J6053" t="s">
        <v>35634</v>
      </c>
      <c r="K6053" t="s">
        <v>41190</v>
      </c>
      <c r="M6053" t="s">
        <v>41991</v>
      </c>
      <c r="N6053" t="s">
        <v>45095</v>
      </c>
      <c r="O6053" t="s">
        <v>45096</v>
      </c>
      <c r="P6053">
        <v>0</v>
      </c>
      <c r="Q6053">
        <v>0</v>
      </c>
      <c r="R6053" t="s">
        <v>45102</v>
      </c>
      <c r="S6053" t="s">
        <v>45242</v>
      </c>
      <c r="T6053" t="s">
        <v>47183</v>
      </c>
      <c r="U6053" t="s">
        <v>48472</v>
      </c>
      <c r="W6053" t="s">
        <v>41991</v>
      </c>
      <c r="X6053" t="s">
        <v>45103</v>
      </c>
    </row>
    <row r="6054" spans="1:24">
      <c r="A6054">
        <f>HYPERLINK("https://www.philgeps.gov.ph/GEPSNONPILOT/Tender/SplashBidNoticeAbstractUI.aspx?menuIndex=3&amp;refID=7039967&amp;Result=3","7039967")</f>
        <v>0</v>
      </c>
      <c r="B6054" t="s">
        <v>1900</v>
      </c>
      <c r="C6054" t="s">
        <v>8983</v>
      </c>
      <c r="D6054" t="s">
        <v>18073</v>
      </c>
      <c r="E6054" t="s">
        <v>23503</v>
      </c>
      <c r="F6054" t="s">
        <v>31574</v>
      </c>
      <c r="G6054" t="s">
        <v>31582</v>
      </c>
      <c r="H6054" t="s">
        <v>31591</v>
      </c>
      <c r="I6054" t="s">
        <v>8822</v>
      </c>
      <c r="J6054" t="s">
        <v>35635</v>
      </c>
      <c r="K6054" t="s">
        <v>41184</v>
      </c>
      <c r="M6054" t="s">
        <v>43545</v>
      </c>
      <c r="N6054" t="s">
        <v>45095</v>
      </c>
      <c r="O6054" t="s">
        <v>45096</v>
      </c>
      <c r="P6054">
        <v>0</v>
      </c>
      <c r="Q6054">
        <v>0</v>
      </c>
      <c r="R6054" t="s">
        <v>45102</v>
      </c>
      <c r="S6054" t="s">
        <v>45242</v>
      </c>
      <c r="T6054" t="s">
        <v>47074</v>
      </c>
      <c r="U6054" t="s">
        <v>52550</v>
      </c>
      <c r="W6054" t="s">
        <v>43545</v>
      </c>
      <c r="X6054" t="s">
        <v>45103</v>
      </c>
    </row>
    <row r="6055" spans="1:24">
      <c r="A6055">
        <f>HYPERLINK("https://www.philgeps.gov.ph/GEPSNONPILOT/Tender/SplashBidNoticeAbstractUI.aspx?menuIndex=3&amp;refID=7039973&amp;Result=3","7039973")</f>
        <v>0</v>
      </c>
      <c r="B6055" t="s">
        <v>1908</v>
      </c>
      <c r="C6055" t="s">
        <v>8984</v>
      </c>
      <c r="D6055" t="s">
        <v>18050</v>
      </c>
      <c r="E6055" t="s">
        <v>23504</v>
      </c>
      <c r="F6055" t="s">
        <v>31574</v>
      </c>
      <c r="G6055" t="s">
        <v>31581</v>
      </c>
      <c r="H6055" t="s">
        <v>31590</v>
      </c>
      <c r="I6055" t="s">
        <v>31608</v>
      </c>
      <c r="J6055" t="s">
        <v>31845</v>
      </c>
      <c r="K6055" t="s">
        <v>41186</v>
      </c>
      <c r="M6055" t="s">
        <v>43554</v>
      </c>
      <c r="N6055" t="s">
        <v>45095</v>
      </c>
      <c r="O6055" t="s">
        <v>45096</v>
      </c>
      <c r="P6055">
        <v>0</v>
      </c>
      <c r="Q6055">
        <v>2</v>
      </c>
      <c r="R6055" t="s">
        <v>45102</v>
      </c>
      <c r="S6055" t="s">
        <v>45242</v>
      </c>
      <c r="T6055" t="s">
        <v>47058</v>
      </c>
      <c r="U6055" t="s">
        <v>52551</v>
      </c>
      <c r="W6055" t="s">
        <v>43554</v>
      </c>
      <c r="X6055" t="s">
        <v>45103</v>
      </c>
    </row>
    <row r="6056" spans="1:24">
      <c r="A6056">
        <f>HYPERLINK("https://www.philgeps.gov.ph/GEPSNONPILOT/Tender/SplashBidNoticeAbstractUI.aspx?menuIndex=3&amp;refID=7039959&amp;Result=3","7039959")</f>
        <v>0</v>
      </c>
      <c r="B6056" t="s">
        <v>1028</v>
      </c>
      <c r="C6056" t="s">
        <v>8985</v>
      </c>
      <c r="D6056" t="s">
        <v>18055</v>
      </c>
      <c r="E6056" t="s">
        <v>23505</v>
      </c>
      <c r="F6056" t="s">
        <v>31574</v>
      </c>
      <c r="G6056" t="s">
        <v>31582</v>
      </c>
      <c r="H6056" t="s">
        <v>31590</v>
      </c>
      <c r="I6056" t="s">
        <v>31599</v>
      </c>
      <c r="J6056" t="s">
        <v>35636</v>
      </c>
      <c r="K6056" t="s">
        <v>41186</v>
      </c>
      <c r="M6056" t="s">
        <v>42569</v>
      </c>
      <c r="N6056" t="s">
        <v>45095</v>
      </c>
      <c r="O6056" t="s">
        <v>45096</v>
      </c>
      <c r="P6056">
        <v>0</v>
      </c>
      <c r="Q6056">
        <v>4</v>
      </c>
      <c r="R6056" t="s">
        <v>45102</v>
      </c>
      <c r="S6056" t="s">
        <v>45242</v>
      </c>
      <c r="T6056" t="s">
        <v>46965</v>
      </c>
      <c r="U6056" t="s">
        <v>52552</v>
      </c>
      <c r="W6056" t="s">
        <v>61687</v>
      </c>
      <c r="X6056" t="s">
        <v>45103</v>
      </c>
    </row>
    <row r="6057" spans="1:24">
      <c r="A6057">
        <f>HYPERLINK("https://www.philgeps.gov.ph/GEPSNONPILOT/Tender/SplashBidNoticeAbstractUI.aspx?menuIndex=3&amp;refID=7039971&amp;Result=3","7039971")</f>
        <v>0</v>
      </c>
      <c r="B6057" t="s">
        <v>495</v>
      </c>
      <c r="C6057" t="s">
        <v>8986</v>
      </c>
      <c r="D6057" t="s">
        <v>18099</v>
      </c>
      <c r="E6057" t="s">
        <v>23506</v>
      </c>
      <c r="F6057" t="s">
        <v>31574</v>
      </c>
      <c r="G6057" t="s">
        <v>31581</v>
      </c>
      <c r="H6057" t="s">
        <v>31590</v>
      </c>
      <c r="I6057" t="s">
        <v>31608</v>
      </c>
      <c r="J6057" t="s">
        <v>31744</v>
      </c>
      <c r="K6057" t="s">
        <v>41190</v>
      </c>
      <c r="M6057" t="s">
        <v>41991</v>
      </c>
      <c r="N6057" t="s">
        <v>45095</v>
      </c>
      <c r="O6057" t="s">
        <v>45096</v>
      </c>
      <c r="P6057">
        <v>0</v>
      </c>
      <c r="Q6057">
        <v>0</v>
      </c>
      <c r="R6057" t="s">
        <v>45102</v>
      </c>
      <c r="S6057" t="s">
        <v>45242</v>
      </c>
      <c r="T6057" t="s">
        <v>47183</v>
      </c>
      <c r="U6057" t="s">
        <v>48472</v>
      </c>
      <c r="W6057" t="s">
        <v>41991</v>
      </c>
      <c r="X6057" t="s">
        <v>45103</v>
      </c>
    </row>
    <row r="6058" spans="1:24">
      <c r="A6058">
        <f>HYPERLINK("https://www.philgeps.gov.ph/GEPSNONPILOT/Tender/SplashBidNoticeAbstractUI.aspx?menuIndex=3&amp;refID=7039940&amp;Result=3","7039940")</f>
        <v>0</v>
      </c>
      <c r="B6058" t="s">
        <v>1794</v>
      </c>
      <c r="C6058" t="s">
        <v>8987</v>
      </c>
      <c r="D6058" t="s">
        <v>18067</v>
      </c>
      <c r="E6058" t="s">
        <v>23507</v>
      </c>
      <c r="F6058" t="s">
        <v>31574</v>
      </c>
      <c r="G6058" t="s">
        <v>31582</v>
      </c>
      <c r="H6058" t="s">
        <v>31590</v>
      </c>
      <c r="I6058" t="s">
        <v>31629</v>
      </c>
      <c r="J6058" t="s">
        <v>35637</v>
      </c>
      <c r="K6058" t="s">
        <v>41185</v>
      </c>
      <c r="M6058" t="s">
        <v>43425</v>
      </c>
      <c r="N6058" t="s">
        <v>45095</v>
      </c>
      <c r="O6058" t="s">
        <v>45096</v>
      </c>
      <c r="P6058">
        <v>0</v>
      </c>
      <c r="Q6058">
        <v>0</v>
      </c>
      <c r="R6058" t="s">
        <v>45102</v>
      </c>
      <c r="S6058" t="s">
        <v>45242</v>
      </c>
      <c r="T6058" t="s">
        <v>47172</v>
      </c>
      <c r="U6058" t="s">
        <v>52553</v>
      </c>
      <c r="W6058" t="s">
        <v>43425</v>
      </c>
      <c r="X6058" t="s">
        <v>45103</v>
      </c>
    </row>
    <row r="6059" spans="1:24">
      <c r="A6059">
        <f>HYPERLINK("https://www.philgeps.gov.ph/GEPSNONPILOT/Tender/SplashBidNoticeAbstractUI.aspx?menuIndex=3&amp;refID=7039964&amp;Result=3","7039964")</f>
        <v>0</v>
      </c>
      <c r="B6059" t="s">
        <v>1909</v>
      </c>
      <c r="C6059" t="s">
        <v>8988</v>
      </c>
      <c r="D6059" t="s">
        <v>18078</v>
      </c>
      <c r="E6059" t="s">
        <v>19061</v>
      </c>
      <c r="F6059" t="s">
        <v>31574</v>
      </c>
      <c r="G6059" t="s">
        <v>31582</v>
      </c>
      <c r="H6059" t="s">
        <v>31590</v>
      </c>
      <c r="I6059" t="s">
        <v>4046</v>
      </c>
      <c r="J6059" t="s">
        <v>35638</v>
      </c>
      <c r="K6059" t="s">
        <v>41278</v>
      </c>
      <c r="M6059" t="s">
        <v>43555</v>
      </c>
      <c r="N6059" t="s">
        <v>45095</v>
      </c>
      <c r="O6059" t="s">
        <v>45096</v>
      </c>
      <c r="P6059">
        <v>0</v>
      </c>
      <c r="Q6059">
        <v>0</v>
      </c>
      <c r="R6059" t="s">
        <v>45102</v>
      </c>
      <c r="S6059" t="s">
        <v>45242</v>
      </c>
      <c r="T6059" t="s">
        <v>46982</v>
      </c>
      <c r="U6059" t="s">
        <v>52554</v>
      </c>
      <c r="V6059" t="s">
        <v>60494</v>
      </c>
      <c r="W6059" t="s">
        <v>43555</v>
      </c>
      <c r="X6059" t="s">
        <v>45103</v>
      </c>
    </row>
    <row r="6060" spans="1:24">
      <c r="A6060">
        <f>HYPERLINK("https://www.philgeps.gov.ph/GEPSNONPILOT/Tender/SplashBidNoticeAbstractUI.aspx?menuIndex=3&amp;refID=7039932&amp;Result=3","7039932")</f>
        <v>0</v>
      </c>
      <c r="B6060" t="s">
        <v>1899</v>
      </c>
      <c r="C6060" t="s">
        <v>8989</v>
      </c>
      <c r="D6060" t="s">
        <v>18059</v>
      </c>
      <c r="E6060" t="s">
        <v>20193</v>
      </c>
      <c r="F6060" t="s">
        <v>31574</v>
      </c>
      <c r="G6060" t="s">
        <v>31584</v>
      </c>
      <c r="H6060" t="s">
        <v>31590</v>
      </c>
      <c r="I6060" t="s">
        <v>6800</v>
      </c>
      <c r="J6060" t="s">
        <v>35639</v>
      </c>
      <c r="K6060" t="s">
        <v>41193</v>
      </c>
      <c r="M6060" t="s">
        <v>43544</v>
      </c>
      <c r="N6060" t="s">
        <v>45095</v>
      </c>
      <c r="O6060" t="s">
        <v>45096</v>
      </c>
      <c r="P6060">
        <v>0</v>
      </c>
      <c r="Q6060">
        <v>1</v>
      </c>
      <c r="R6060" t="s">
        <v>45102</v>
      </c>
      <c r="S6060" t="s">
        <v>45242</v>
      </c>
      <c r="T6060" t="s">
        <v>46957</v>
      </c>
      <c r="U6060" t="s">
        <v>47916</v>
      </c>
      <c r="W6060" t="s">
        <v>43544</v>
      </c>
      <c r="X6060" t="s">
        <v>45103</v>
      </c>
    </row>
    <row r="6061" spans="1:24">
      <c r="A6061">
        <f>HYPERLINK("https://www.philgeps.gov.ph/GEPSNONPILOT/Tender/SplashBidNoticeAbstractUI.aspx?menuIndex=3&amp;refID=7039974&amp;Result=3","7039974")</f>
        <v>0</v>
      </c>
      <c r="B6061" t="s">
        <v>606</v>
      </c>
      <c r="C6061" t="s">
        <v>8990</v>
      </c>
      <c r="D6061" t="s">
        <v>18073</v>
      </c>
      <c r="E6061" t="s">
        <v>23508</v>
      </c>
      <c r="F6061" t="s">
        <v>31574</v>
      </c>
      <c r="G6061" t="s">
        <v>31582</v>
      </c>
      <c r="H6061" t="s">
        <v>31590</v>
      </c>
      <c r="I6061" t="s">
        <v>31599</v>
      </c>
      <c r="J6061" t="s">
        <v>35640</v>
      </c>
      <c r="K6061" t="s">
        <v>41186</v>
      </c>
      <c r="M6061" t="s">
        <v>42109</v>
      </c>
      <c r="N6061" t="s">
        <v>45095</v>
      </c>
      <c r="O6061" t="s">
        <v>45096</v>
      </c>
      <c r="P6061">
        <v>0</v>
      </c>
      <c r="Q6061">
        <v>4</v>
      </c>
      <c r="R6061" t="s">
        <v>45102</v>
      </c>
      <c r="S6061" t="s">
        <v>45242</v>
      </c>
      <c r="T6061" t="s">
        <v>46973</v>
      </c>
      <c r="U6061" t="s">
        <v>52555</v>
      </c>
      <c r="W6061" t="s">
        <v>43561</v>
      </c>
      <c r="X6061" t="s">
        <v>45103</v>
      </c>
    </row>
    <row r="6062" spans="1:24">
      <c r="A6062">
        <f>HYPERLINK("https://www.philgeps.gov.ph/GEPSNONPILOT/Tender/SplashBidNoticeAbstractUI.aspx?menuIndex=3&amp;refID=7039936&amp;Result=3","7039936")</f>
        <v>0</v>
      </c>
      <c r="B6062" t="s">
        <v>62</v>
      </c>
      <c r="C6062" t="s">
        <v>8991</v>
      </c>
      <c r="D6062" t="s">
        <v>18037</v>
      </c>
      <c r="E6062" t="s">
        <v>23509</v>
      </c>
      <c r="F6062" t="s">
        <v>31574</v>
      </c>
      <c r="G6062" t="s">
        <v>31581</v>
      </c>
      <c r="H6062" t="s">
        <v>31590</v>
      </c>
      <c r="I6062" t="s">
        <v>14544</v>
      </c>
      <c r="J6062" t="s">
        <v>35641</v>
      </c>
      <c r="K6062" t="s">
        <v>41184</v>
      </c>
      <c r="L6062" t="s">
        <v>62</v>
      </c>
      <c r="M6062" t="s">
        <v>41546</v>
      </c>
      <c r="N6062" t="s">
        <v>45095</v>
      </c>
      <c r="O6062" t="s">
        <v>45096</v>
      </c>
      <c r="P6062">
        <v>0</v>
      </c>
      <c r="Q6062">
        <v>0</v>
      </c>
      <c r="R6062" t="s">
        <v>45102</v>
      </c>
      <c r="S6062" t="s">
        <v>45242</v>
      </c>
      <c r="T6062" t="s">
        <v>47050</v>
      </c>
      <c r="U6062" t="s">
        <v>52556</v>
      </c>
      <c r="W6062" t="s">
        <v>41546</v>
      </c>
      <c r="X6062" t="s">
        <v>45103</v>
      </c>
    </row>
    <row r="6063" spans="1:24">
      <c r="A6063">
        <f>HYPERLINK("https://www.philgeps.gov.ph/GEPSNONPILOT/Tender/SplashBidNoticeAbstractUI.aspx?menuIndex=3&amp;refID=7039982&amp;Result=3","7039982")</f>
        <v>0</v>
      </c>
      <c r="B6063" t="s">
        <v>1910</v>
      </c>
      <c r="C6063" t="s">
        <v>8992</v>
      </c>
      <c r="D6063" t="s">
        <v>18022</v>
      </c>
      <c r="E6063" t="s">
        <v>23510</v>
      </c>
      <c r="F6063" t="s">
        <v>31574</v>
      </c>
      <c r="G6063" t="s">
        <v>31583</v>
      </c>
      <c r="H6063" t="s">
        <v>31590</v>
      </c>
      <c r="I6063" t="s">
        <v>31621</v>
      </c>
      <c r="J6063" t="s">
        <v>32030</v>
      </c>
      <c r="K6063" t="s">
        <v>41194</v>
      </c>
      <c r="L6063" t="s">
        <v>1910</v>
      </c>
      <c r="M6063" t="s">
        <v>43556</v>
      </c>
      <c r="N6063" t="s">
        <v>45095</v>
      </c>
      <c r="O6063" t="s">
        <v>45096</v>
      </c>
      <c r="P6063">
        <v>0</v>
      </c>
      <c r="Q6063">
        <v>14</v>
      </c>
      <c r="R6063" t="s">
        <v>45102</v>
      </c>
      <c r="S6063" t="s">
        <v>45242</v>
      </c>
      <c r="T6063" t="s">
        <v>47228</v>
      </c>
      <c r="U6063" t="s">
        <v>52557</v>
      </c>
      <c r="W6063" t="s">
        <v>43556</v>
      </c>
      <c r="X6063" t="s">
        <v>45103</v>
      </c>
    </row>
    <row r="6064" spans="1:24">
      <c r="A6064">
        <f>HYPERLINK("https://www.philgeps.gov.ph/GEPSNONPILOT/Tender/SplashBidNoticeAbstractUI.aspx?menuIndex=3&amp;refID=7039978&amp;Result=3","7039978")</f>
        <v>0</v>
      </c>
      <c r="B6064" t="s">
        <v>1122</v>
      </c>
      <c r="C6064" t="s">
        <v>8993</v>
      </c>
      <c r="D6064" t="s">
        <v>18075</v>
      </c>
      <c r="E6064" t="s">
        <v>23511</v>
      </c>
      <c r="F6064" t="s">
        <v>31574</v>
      </c>
      <c r="G6064" t="s">
        <v>31581</v>
      </c>
      <c r="H6064" t="s">
        <v>31591</v>
      </c>
      <c r="I6064" t="s">
        <v>31662</v>
      </c>
      <c r="J6064" t="s">
        <v>35642</v>
      </c>
      <c r="K6064" t="s">
        <v>41186</v>
      </c>
      <c r="M6064" t="s">
        <v>42673</v>
      </c>
      <c r="N6064" t="s">
        <v>45095</v>
      </c>
      <c r="O6064" t="s">
        <v>45096</v>
      </c>
      <c r="P6064">
        <v>0</v>
      </c>
      <c r="Q6064">
        <v>2</v>
      </c>
      <c r="R6064" t="s">
        <v>45102</v>
      </c>
      <c r="S6064" t="s">
        <v>45242</v>
      </c>
      <c r="T6064" t="s">
        <v>46936</v>
      </c>
      <c r="U6064" t="s">
        <v>52558</v>
      </c>
      <c r="W6064" t="s">
        <v>42673</v>
      </c>
      <c r="X6064" t="s">
        <v>45103</v>
      </c>
    </row>
    <row r="6065" spans="1:24">
      <c r="A6065">
        <f>HYPERLINK("https://www.philgeps.gov.ph/GEPSNONPILOT/Tender/SplashBidNoticeAbstractUI.aspx?menuIndex=3&amp;refID=7039998&amp;Result=3","7039998")</f>
        <v>0</v>
      </c>
      <c r="B6065" t="s">
        <v>1205</v>
      </c>
      <c r="C6065" t="s">
        <v>8994</v>
      </c>
      <c r="D6065" t="s">
        <v>18025</v>
      </c>
      <c r="E6065" t="s">
        <v>23512</v>
      </c>
      <c r="F6065" t="s">
        <v>31574</v>
      </c>
      <c r="G6065" t="s">
        <v>31582</v>
      </c>
      <c r="H6065" t="s">
        <v>31591</v>
      </c>
      <c r="I6065" t="s">
        <v>8822</v>
      </c>
      <c r="J6065" t="s">
        <v>31771</v>
      </c>
      <c r="K6065" t="s">
        <v>41184</v>
      </c>
      <c r="M6065" t="s">
        <v>42765</v>
      </c>
      <c r="N6065" t="s">
        <v>45095</v>
      </c>
      <c r="O6065" t="s">
        <v>45096</v>
      </c>
      <c r="P6065">
        <v>0</v>
      </c>
      <c r="Q6065">
        <v>0</v>
      </c>
      <c r="R6065" t="s">
        <v>45102</v>
      </c>
      <c r="S6065" t="s">
        <v>45242</v>
      </c>
      <c r="T6065" t="s">
        <v>47064</v>
      </c>
      <c r="U6065" t="s">
        <v>52559</v>
      </c>
      <c r="W6065" t="s">
        <v>42765</v>
      </c>
      <c r="X6065" t="s">
        <v>45103</v>
      </c>
    </row>
    <row r="6066" spans="1:24">
      <c r="A6066">
        <f>HYPERLINK("https://www.philgeps.gov.ph/GEPSNONPILOT/Tender/SplashBidNoticeAbstractUI.aspx?menuIndex=3&amp;refID=7039977&amp;Result=3","7039977")</f>
        <v>0</v>
      </c>
      <c r="B6066" t="s">
        <v>1205</v>
      </c>
      <c r="C6066" t="s">
        <v>8995</v>
      </c>
      <c r="D6066" t="s">
        <v>18025</v>
      </c>
      <c r="E6066" t="s">
        <v>23513</v>
      </c>
      <c r="F6066" t="s">
        <v>31574</v>
      </c>
      <c r="G6066" t="s">
        <v>31582</v>
      </c>
      <c r="H6066" t="s">
        <v>31591</v>
      </c>
      <c r="I6066" t="s">
        <v>8822</v>
      </c>
      <c r="J6066" t="s">
        <v>31935</v>
      </c>
      <c r="K6066" t="s">
        <v>41184</v>
      </c>
      <c r="M6066" t="s">
        <v>42765</v>
      </c>
      <c r="N6066" t="s">
        <v>45095</v>
      </c>
      <c r="O6066" t="s">
        <v>45096</v>
      </c>
      <c r="P6066">
        <v>0</v>
      </c>
      <c r="Q6066">
        <v>1</v>
      </c>
      <c r="R6066" t="s">
        <v>45102</v>
      </c>
      <c r="S6066" t="s">
        <v>45242</v>
      </c>
      <c r="T6066" t="s">
        <v>47064</v>
      </c>
      <c r="U6066" t="s">
        <v>52560</v>
      </c>
      <c r="W6066" t="s">
        <v>42765</v>
      </c>
      <c r="X6066" t="s">
        <v>45103</v>
      </c>
    </row>
    <row r="6067" spans="1:24">
      <c r="A6067">
        <f>HYPERLINK("https://www.philgeps.gov.ph/GEPSNONPILOT/Tender/SplashBidNoticeAbstractUI.aspx?menuIndex=3&amp;refID=7039994&amp;Result=3","7039994")</f>
        <v>0</v>
      </c>
      <c r="B6067" t="s">
        <v>533</v>
      </c>
      <c r="C6067" t="s">
        <v>8996</v>
      </c>
      <c r="D6067" t="s">
        <v>18075</v>
      </c>
      <c r="E6067" t="s">
        <v>23514</v>
      </c>
      <c r="F6067" t="s">
        <v>31574</v>
      </c>
      <c r="G6067" t="s">
        <v>31581</v>
      </c>
      <c r="H6067" t="s">
        <v>31591</v>
      </c>
      <c r="I6067" t="s">
        <v>8822</v>
      </c>
      <c r="J6067" t="s">
        <v>32019</v>
      </c>
      <c r="K6067" t="s">
        <v>41301</v>
      </c>
      <c r="M6067" t="s">
        <v>43099</v>
      </c>
      <c r="N6067" t="s">
        <v>45095</v>
      </c>
      <c r="O6067" t="s">
        <v>45096</v>
      </c>
      <c r="P6067">
        <v>0</v>
      </c>
      <c r="Q6067">
        <v>0</v>
      </c>
      <c r="R6067" t="s">
        <v>45102</v>
      </c>
      <c r="S6067" t="s">
        <v>45242</v>
      </c>
      <c r="T6067" t="s">
        <v>47276</v>
      </c>
      <c r="U6067" t="s">
        <v>50835</v>
      </c>
      <c r="W6067" t="s">
        <v>42964</v>
      </c>
      <c r="X6067" t="s">
        <v>45103</v>
      </c>
    </row>
    <row r="6068" spans="1:24">
      <c r="A6068">
        <f>HYPERLINK("https://www.philgeps.gov.ph/GEPSNONPILOT/Tender/SplashBidNoticeAbstractUI.aspx?menuIndex=3&amp;refID=7040004&amp;Result=3","7040004")</f>
        <v>0</v>
      </c>
      <c r="B6068" t="s">
        <v>533</v>
      </c>
      <c r="C6068" t="s">
        <v>8997</v>
      </c>
      <c r="D6068" t="s">
        <v>18075</v>
      </c>
      <c r="E6068" t="s">
        <v>23515</v>
      </c>
      <c r="F6068" t="s">
        <v>31574</v>
      </c>
      <c r="G6068" t="s">
        <v>31581</v>
      </c>
      <c r="H6068" t="s">
        <v>31591</v>
      </c>
      <c r="I6068" t="s">
        <v>8822</v>
      </c>
      <c r="J6068" t="s">
        <v>31935</v>
      </c>
      <c r="K6068" t="s">
        <v>41337</v>
      </c>
      <c r="M6068" t="s">
        <v>43099</v>
      </c>
      <c r="N6068" t="s">
        <v>45095</v>
      </c>
      <c r="O6068" t="s">
        <v>45096</v>
      </c>
      <c r="P6068">
        <v>0</v>
      </c>
      <c r="Q6068">
        <v>0</v>
      </c>
      <c r="R6068" t="s">
        <v>45102</v>
      </c>
      <c r="S6068" t="s">
        <v>45242</v>
      </c>
      <c r="T6068" t="s">
        <v>47276</v>
      </c>
      <c r="U6068" t="s">
        <v>50835</v>
      </c>
      <c r="W6068" t="s">
        <v>42964</v>
      </c>
      <c r="X6068" t="s">
        <v>45103</v>
      </c>
    </row>
    <row r="6069" spans="1:24">
      <c r="A6069">
        <f>HYPERLINK("https://www.philgeps.gov.ph/GEPSNONPILOT/Tender/SplashBidNoticeAbstractUI.aspx?menuIndex=3&amp;refID=7040003&amp;Result=3","7040003")</f>
        <v>0</v>
      </c>
      <c r="B6069" t="s">
        <v>955</v>
      </c>
      <c r="C6069" t="s">
        <v>8998</v>
      </c>
      <c r="D6069" t="s">
        <v>18043</v>
      </c>
      <c r="E6069" t="s">
        <v>23516</v>
      </c>
      <c r="F6069" t="s">
        <v>31574</v>
      </c>
      <c r="G6069" t="s">
        <v>31582</v>
      </c>
      <c r="H6069" t="s">
        <v>31590</v>
      </c>
      <c r="I6069" t="s">
        <v>14034</v>
      </c>
      <c r="J6069" t="s">
        <v>35643</v>
      </c>
      <c r="K6069" t="s">
        <v>41184</v>
      </c>
      <c r="M6069" t="s">
        <v>42482</v>
      </c>
      <c r="N6069" t="s">
        <v>45095</v>
      </c>
      <c r="O6069" t="s">
        <v>45096</v>
      </c>
      <c r="P6069">
        <v>0</v>
      </c>
      <c r="Q6069">
        <v>2</v>
      </c>
      <c r="R6069" t="s">
        <v>45102</v>
      </c>
      <c r="S6069" t="s">
        <v>45242</v>
      </c>
      <c r="T6069" t="s">
        <v>47202</v>
      </c>
      <c r="U6069" t="s">
        <v>52561</v>
      </c>
      <c r="W6069" t="s">
        <v>42482</v>
      </c>
      <c r="X6069" t="s">
        <v>45103</v>
      </c>
    </row>
    <row r="6070" spans="1:24">
      <c r="A6070">
        <f>HYPERLINK("https://www.philgeps.gov.ph/GEPSNONPILOT/Tender/SplashBidNoticeAbstractUI.aspx?menuIndex=3&amp;refID=7039986&amp;Result=3","7039986")</f>
        <v>0</v>
      </c>
      <c r="B6070" t="s">
        <v>530</v>
      </c>
      <c r="C6070" t="s">
        <v>8999</v>
      </c>
      <c r="D6070" t="s">
        <v>18071</v>
      </c>
      <c r="E6070" t="s">
        <v>8999</v>
      </c>
      <c r="F6070" t="s">
        <v>31574</v>
      </c>
      <c r="G6070" t="s">
        <v>31582</v>
      </c>
      <c r="H6070" t="s">
        <v>31590</v>
      </c>
      <c r="I6070" t="s">
        <v>4354</v>
      </c>
      <c r="J6070" t="s">
        <v>35644</v>
      </c>
      <c r="K6070" t="s">
        <v>41186</v>
      </c>
      <c r="M6070" t="s">
        <v>42027</v>
      </c>
      <c r="N6070" t="s">
        <v>45095</v>
      </c>
      <c r="O6070" t="s">
        <v>45096</v>
      </c>
      <c r="P6070">
        <v>0</v>
      </c>
      <c r="Q6070">
        <v>0</v>
      </c>
      <c r="R6070" t="s">
        <v>45102</v>
      </c>
      <c r="S6070" t="s">
        <v>45242</v>
      </c>
      <c r="T6070" t="s">
        <v>47003</v>
      </c>
      <c r="U6070" t="s">
        <v>52562</v>
      </c>
      <c r="W6070" t="s">
        <v>42027</v>
      </c>
      <c r="X6070" t="s">
        <v>45103</v>
      </c>
    </row>
    <row r="6071" spans="1:24">
      <c r="A6071">
        <f>HYPERLINK("https://www.philgeps.gov.ph/GEPSNONPILOT/Tender/SplashBidNoticeAbstractUI.aspx?menuIndex=3&amp;refID=7040006&amp;Result=3","7040006")</f>
        <v>0</v>
      </c>
      <c r="B6071" t="s">
        <v>1669</v>
      </c>
      <c r="C6071" t="s">
        <v>9000</v>
      </c>
      <c r="D6071" t="s">
        <v>18031</v>
      </c>
      <c r="E6071" t="s">
        <v>23517</v>
      </c>
      <c r="F6071" t="s">
        <v>31574</v>
      </c>
      <c r="G6071" t="s">
        <v>31581</v>
      </c>
      <c r="H6071" t="s">
        <v>31590</v>
      </c>
      <c r="I6071" t="s">
        <v>4046</v>
      </c>
      <c r="J6071" t="s">
        <v>35645</v>
      </c>
      <c r="K6071" t="s">
        <v>41191</v>
      </c>
      <c r="M6071" t="s">
        <v>43282</v>
      </c>
      <c r="N6071" t="s">
        <v>45095</v>
      </c>
      <c r="O6071" t="s">
        <v>45096</v>
      </c>
      <c r="P6071">
        <v>0</v>
      </c>
      <c r="Q6071">
        <v>0</v>
      </c>
      <c r="R6071" t="s">
        <v>45102</v>
      </c>
      <c r="S6071" t="s">
        <v>45242</v>
      </c>
      <c r="T6071" t="s">
        <v>47067</v>
      </c>
      <c r="U6071" t="s">
        <v>52563</v>
      </c>
      <c r="W6071" t="s">
        <v>43282</v>
      </c>
      <c r="X6071" t="s">
        <v>45103</v>
      </c>
    </row>
    <row r="6072" spans="1:24">
      <c r="A6072">
        <f>HYPERLINK("https://www.philgeps.gov.ph/GEPSNONPILOT/Tender/SplashBidNoticeAbstractUI.aspx?menuIndex=3&amp;refID=7040005&amp;Result=3","7040005")</f>
        <v>0</v>
      </c>
      <c r="B6072" t="s">
        <v>135</v>
      </c>
      <c r="C6072" t="s">
        <v>9001</v>
      </c>
      <c r="D6072" t="s">
        <v>18022</v>
      </c>
      <c r="E6072" t="s">
        <v>23518</v>
      </c>
      <c r="F6072" t="s">
        <v>31574</v>
      </c>
      <c r="G6072" t="s">
        <v>31581</v>
      </c>
      <c r="H6072" t="s">
        <v>31590</v>
      </c>
      <c r="I6072" t="s">
        <v>6800</v>
      </c>
      <c r="J6072" t="s">
        <v>35646</v>
      </c>
      <c r="K6072" t="s">
        <v>41184</v>
      </c>
      <c r="M6072" t="s">
        <v>43557</v>
      </c>
      <c r="N6072" t="s">
        <v>45095</v>
      </c>
      <c r="O6072" t="s">
        <v>45096</v>
      </c>
      <c r="P6072">
        <v>0</v>
      </c>
      <c r="Q6072">
        <v>1</v>
      </c>
      <c r="R6072" t="s">
        <v>45102</v>
      </c>
      <c r="S6072" t="s">
        <v>45242</v>
      </c>
      <c r="T6072" t="s">
        <v>47110</v>
      </c>
      <c r="U6072" t="s">
        <v>52564</v>
      </c>
      <c r="W6072" t="s">
        <v>43557</v>
      </c>
      <c r="X6072" t="s">
        <v>45103</v>
      </c>
    </row>
    <row r="6073" spans="1:24">
      <c r="A6073">
        <f>HYPERLINK("https://www.philgeps.gov.ph/GEPSNONPILOT/Tender/SplashBidNoticeAbstractUI.aspx?menuIndex=3&amp;refID=7040002&amp;Result=3","7040002")</f>
        <v>0</v>
      </c>
      <c r="B6073" t="s">
        <v>683</v>
      </c>
      <c r="C6073" t="s">
        <v>9002</v>
      </c>
      <c r="D6073" t="s">
        <v>18059</v>
      </c>
      <c r="E6073" t="s">
        <v>23519</v>
      </c>
      <c r="F6073" t="s">
        <v>31574</v>
      </c>
      <c r="G6073" t="s">
        <v>31581</v>
      </c>
      <c r="H6073" t="s">
        <v>31590</v>
      </c>
      <c r="I6073" t="s">
        <v>14544</v>
      </c>
      <c r="J6073" t="s">
        <v>35647</v>
      </c>
      <c r="K6073" t="s">
        <v>41184</v>
      </c>
      <c r="M6073" t="s">
        <v>43558</v>
      </c>
      <c r="N6073" t="s">
        <v>45095</v>
      </c>
      <c r="O6073" t="s">
        <v>45096</v>
      </c>
      <c r="P6073">
        <v>0</v>
      </c>
      <c r="Q6073">
        <v>0</v>
      </c>
      <c r="R6073" t="s">
        <v>45102</v>
      </c>
      <c r="S6073" t="s">
        <v>45242</v>
      </c>
      <c r="T6073" t="s">
        <v>47159</v>
      </c>
      <c r="U6073" t="s">
        <v>52565</v>
      </c>
      <c r="W6073" t="s">
        <v>43558</v>
      </c>
      <c r="X6073" t="s">
        <v>45103</v>
      </c>
    </row>
    <row r="6074" spans="1:24">
      <c r="A6074">
        <f>HYPERLINK("https://www.philgeps.gov.ph/GEPSNONPILOT/Tender/SplashBidNoticeAbstractUI.aspx?menuIndex=3&amp;refID=7039997&amp;Result=3","7039997")</f>
        <v>0</v>
      </c>
      <c r="B6074" t="s">
        <v>1911</v>
      </c>
      <c r="C6074" t="s">
        <v>9003</v>
      </c>
      <c r="D6074" t="s">
        <v>18061</v>
      </c>
      <c r="E6074" t="s">
        <v>23520</v>
      </c>
      <c r="F6074" t="s">
        <v>31574</v>
      </c>
      <c r="G6074" t="s">
        <v>31582</v>
      </c>
      <c r="H6074" t="s">
        <v>31591</v>
      </c>
      <c r="I6074" t="s">
        <v>8822</v>
      </c>
      <c r="J6074" t="s">
        <v>33252</v>
      </c>
      <c r="K6074" t="s">
        <v>41263</v>
      </c>
      <c r="M6074" t="s">
        <v>43559</v>
      </c>
      <c r="N6074" t="s">
        <v>45095</v>
      </c>
      <c r="O6074" t="s">
        <v>45096</v>
      </c>
      <c r="P6074">
        <v>0</v>
      </c>
      <c r="Q6074">
        <v>0</v>
      </c>
      <c r="R6074" t="s">
        <v>45102</v>
      </c>
      <c r="S6074" t="s">
        <v>45242</v>
      </c>
      <c r="T6074" t="s">
        <v>46936</v>
      </c>
      <c r="U6074" t="s">
        <v>52566</v>
      </c>
      <c r="V6074" t="s">
        <v>60495</v>
      </c>
      <c r="W6074" t="s">
        <v>43559</v>
      </c>
      <c r="X6074" t="s">
        <v>45103</v>
      </c>
    </row>
    <row r="6075" spans="1:24">
      <c r="A6075">
        <f>HYPERLINK("https://www.philgeps.gov.ph/GEPSNONPILOT/Tender/SplashBidNoticeAbstractUI.aspx?menuIndex=3&amp;refID=7040008&amp;Result=3","7040008")</f>
        <v>0</v>
      </c>
      <c r="B6075" t="s">
        <v>1429</v>
      </c>
      <c r="C6075" t="s">
        <v>9004</v>
      </c>
      <c r="D6075" t="s">
        <v>18072</v>
      </c>
      <c r="E6075" t="s">
        <v>23521</v>
      </c>
      <c r="F6075" t="s">
        <v>31574</v>
      </c>
      <c r="G6075" t="s">
        <v>31582</v>
      </c>
      <c r="H6075" t="s">
        <v>31590</v>
      </c>
      <c r="I6075" t="s">
        <v>6800</v>
      </c>
      <c r="J6075" t="s">
        <v>34967</v>
      </c>
      <c r="K6075" t="s">
        <v>41186</v>
      </c>
      <c r="M6075" t="s">
        <v>43005</v>
      </c>
      <c r="N6075" t="s">
        <v>45095</v>
      </c>
      <c r="O6075" t="s">
        <v>45096</v>
      </c>
      <c r="P6075">
        <v>0</v>
      </c>
      <c r="Q6075">
        <v>0</v>
      </c>
      <c r="R6075" t="s">
        <v>45102</v>
      </c>
      <c r="S6075" t="s">
        <v>45242</v>
      </c>
      <c r="T6075" t="s">
        <v>47190</v>
      </c>
      <c r="U6075" t="s">
        <v>52567</v>
      </c>
      <c r="V6075" t="s">
        <v>60496</v>
      </c>
      <c r="W6075" t="s">
        <v>43005</v>
      </c>
      <c r="X6075" t="s">
        <v>45103</v>
      </c>
    </row>
    <row r="6076" spans="1:24">
      <c r="A6076">
        <f>HYPERLINK("https://www.philgeps.gov.ph/GEPSNONPILOT/Tender/SplashBidNoticeAbstractUI.aspx?menuIndex=3&amp;refID=7040007&amp;Result=3","7040007")</f>
        <v>0</v>
      </c>
      <c r="B6076" t="s">
        <v>1912</v>
      </c>
      <c r="C6076" t="s">
        <v>9005</v>
      </c>
      <c r="D6076" t="s">
        <v>18035</v>
      </c>
      <c r="E6076" t="s">
        <v>23522</v>
      </c>
      <c r="F6076" t="s">
        <v>31574</v>
      </c>
      <c r="G6076" t="s">
        <v>31582</v>
      </c>
      <c r="H6076" t="s">
        <v>31591</v>
      </c>
      <c r="I6076" t="s">
        <v>8822</v>
      </c>
      <c r="J6076" t="s">
        <v>32153</v>
      </c>
      <c r="K6076" t="s">
        <v>41184</v>
      </c>
      <c r="M6076" t="s">
        <v>43560</v>
      </c>
      <c r="N6076" t="s">
        <v>45095</v>
      </c>
      <c r="O6076" t="s">
        <v>45096</v>
      </c>
      <c r="P6076">
        <v>0</v>
      </c>
      <c r="Q6076">
        <v>0</v>
      </c>
      <c r="R6076" t="s">
        <v>45102</v>
      </c>
      <c r="S6076" t="s">
        <v>45242</v>
      </c>
      <c r="T6076" t="s">
        <v>46957</v>
      </c>
      <c r="U6076" t="s">
        <v>52568</v>
      </c>
      <c r="V6076" t="s">
        <v>60497</v>
      </c>
      <c r="W6076" t="s">
        <v>43560</v>
      </c>
      <c r="X6076" t="s">
        <v>45103</v>
      </c>
    </row>
    <row r="6077" spans="1:24">
      <c r="A6077">
        <f>HYPERLINK("https://www.philgeps.gov.ph/GEPSNONPILOT/Tender/SplashBidNoticeAbstractUI.aspx?menuIndex=3&amp;refID=7039980&amp;Result=3","7039980")</f>
        <v>0</v>
      </c>
      <c r="B6077" t="s">
        <v>1902</v>
      </c>
      <c r="C6077" t="s">
        <v>9006</v>
      </c>
      <c r="D6077" t="s">
        <v>18041</v>
      </c>
      <c r="E6077" t="s">
        <v>23523</v>
      </c>
      <c r="F6077" t="s">
        <v>31574</v>
      </c>
      <c r="G6077" t="s">
        <v>31583</v>
      </c>
      <c r="H6077" t="s">
        <v>31590</v>
      </c>
      <c r="I6077" t="s">
        <v>31607</v>
      </c>
      <c r="J6077" t="s">
        <v>35648</v>
      </c>
      <c r="K6077" t="s">
        <v>41191</v>
      </c>
      <c r="M6077" t="s">
        <v>43547</v>
      </c>
      <c r="N6077" t="s">
        <v>45095</v>
      </c>
      <c r="O6077" t="s">
        <v>45096</v>
      </c>
      <c r="P6077">
        <v>0</v>
      </c>
      <c r="Q6077">
        <v>12</v>
      </c>
      <c r="R6077" t="s">
        <v>45102</v>
      </c>
      <c r="S6077" t="s">
        <v>45242</v>
      </c>
      <c r="T6077" t="s">
        <v>46982</v>
      </c>
      <c r="U6077" t="s">
        <v>49025</v>
      </c>
      <c r="V6077" t="s">
        <v>60491</v>
      </c>
      <c r="W6077" t="s">
        <v>43547</v>
      </c>
      <c r="X6077" t="s">
        <v>45103</v>
      </c>
    </row>
    <row r="6078" spans="1:24">
      <c r="A6078">
        <f>HYPERLINK("https://www.philgeps.gov.ph/GEPSNONPILOT/Tender/SplashBidNoticeAbstractUI.aspx?menuIndex=3&amp;refID=7040013&amp;Result=3","7040013")</f>
        <v>0</v>
      </c>
      <c r="B6078" t="s">
        <v>606</v>
      </c>
      <c r="C6078" t="s">
        <v>9007</v>
      </c>
      <c r="D6078" t="s">
        <v>18073</v>
      </c>
      <c r="E6078" t="s">
        <v>23524</v>
      </c>
      <c r="F6078" t="s">
        <v>31574</v>
      </c>
      <c r="G6078" t="s">
        <v>31582</v>
      </c>
      <c r="H6078" t="s">
        <v>31591</v>
      </c>
      <c r="I6078" t="s">
        <v>8822</v>
      </c>
      <c r="J6078" t="s">
        <v>35649</v>
      </c>
      <c r="K6078" t="s">
        <v>41209</v>
      </c>
      <c r="M6078" t="s">
        <v>43561</v>
      </c>
      <c r="N6078" t="s">
        <v>45095</v>
      </c>
      <c r="O6078" t="s">
        <v>45096</v>
      </c>
      <c r="P6078">
        <v>0</v>
      </c>
      <c r="Q6078">
        <v>0</v>
      </c>
      <c r="R6078" t="s">
        <v>45102</v>
      </c>
      <c r="S6078" t="s">
        <v>45242</v>
      </c>
      <c r="T6078" t="s">
        <v>46918</v>
      </c>
      <c r="U6078" t="s">
        <v>52569</v>
      </c>
      <c r="W6078" t="s">
        <v>43561</v>
      </c>
      <c r="X6078" t="s">
        <v>45103</v>
      </c>
    </row>
    <row r="6079" spans="1:24">
      <c r="A6079">
        <f>HYPERLINK("https://www.philgeps.gov.ph/GEPSNONPILOT/Tender/SplashBidNoticeAbstractUI.aspx?menuIndex=3&amp;refID=7040011&amp;Result=3","7040011")</f>
        <v>0</v>
      </c>
      <c r="B6079" t="s">
        <v>670</v>
      </c>
      <c r="C6079" t="s">
        <v>9008</v>
      </c>
      <c r="D6079" t="s">
        <v>18022</v>
      </c>
      <c r="E6079" t="s">
        <v>23525</v>
      </c>
      <c r="F6079" t="s">
        <v>31574</v>
      </c>
      <c r="G6079" t="s">
        <v>31581</v>
      </c>
      <c r="H6079" t="s">
        <v>31590</v>
      </c>
      <c r="I6079" t="s">
        <v>3487</v>
      </c>
      <c r="J6079" t="s">
        <v>35650</v>
      </c>
      <c r="K6079" t="s">
        <v>41196</v>
      </c>
      <c r="M6079" t="s">
        <v>43562</v>
      </c>
      <c r="N6079" t="s">
        <v>45095</v>
      </c>
      <c r="O6079" t="s">
        <v>45096</v>
      </c>
      <c r="P6079">
        <v>0</v>
      </c>
      <c r="Q6079">
        <v>6</v>
      </c>
      <c r="R6079" t="s">
        <v>45102</v>
      </c>
      <c r="S6079" t="s">
        <v>45242</v>
      </c>
      <c r="T6079" t="s">
        <v>47154</v>
      </c>
      <c r="U6079" t="s">
        <v>52570</v>
      </c>
      <c r="W6079" t="s">
        <v>43562</v>
      </c>
      <c r="X6079" t="s">
        <v>45103</v>
      </c>
    </row>
    <row r="6080" spans="1:24">
      <c r="A6080">
        <f>HYPERLINK("https://www.philgeps.gov.ph/GEPSNONPILOT/Tender/SplashBidNoticeAbstractUI.aspx?menuIndex=3&amp;refID=7039981&amp;Result=3","7039981")</f>
        <v>0</v>
      </c>
      <c r="B6080" t="s">
        <v>533</v>
      </c>
      <c r="C6080" t="s">
        <v>9009</v>
      </c>
      <c r="D6080" t="s">
        <v>18075</v>
      </c>
      <c r="E6080" t="s">
        <v>23526</v>
      </c>
      <c r="F6080" t="s">
        <v>31574</v>
      </c>
      <c r="G6080" t="s">
        <v>31581</v>
      </c>
      <c r="H6080" t="s">
        <v>31591</v>
      </c>
      <c r="I6080" t="s">
        <v>8822</v>
      </c>
      <c r="J6080" t="s">
        <v>32019</v>
      </c>
      <c r="K6080" t="s">
        <v>41199</v>
      </c>
      <c r="M6080" t="s">
        <v>43099</v>
      </c>
      <c r="N6080" t="s">
        <v>45095</v>
      </c>
      <c r="O6080" t="s">
        <v>45096</v>
      </c>
      <c r="P6080">
        <v>0</v>
      </c>
      <c r="Q6080">
        <v>0</v>
      </c>
      <c r="R6080" t="s">
        <v>45102</v>
      </c>
      <c r="S6080" t="s">
        <v>45242</v>
      </c>
      <c r="T6080" t="s">
        <v>47276</v>
      </c>
      <c r="U6080" t="s">
        <v>50835</v>
      </c>
      <c r="W6080" t="s">
        <v>42964</v>
      </c>
      <c r="X6080" t="s">
        <v>45103</v>
      </c>
    </row>
    <row r="6081" spans="1:24">
      <c r="A6081">
        <f>HYPERLINK("https://www.philgeps.gov.ph/GEPSNONPILOT/Tender/SplashBidNoticeAbstractUI.aspx?menuIndex=3&amp;refID=7040038&amp;Result=3","7040038")</f>
        <v>0</v>
      </c>
      <c r="B6081" t="s">
        <v>1669</v>
      </c>
      <c r="C6081" t="s">
        <v>9010</v>
      </c>
      <c r="D6081" t="s">
        <v>18031</v>
      </c>
      <c r="E6081" t="s">
        <v>23527</v>
      </c>
      <c r="F6081" t="s">
        <v>31574</v>
      </c>
      <c r="G6081" t="s">
        <v>31581</v>
      </c>
      <c r="H6081" t="s">
        <v>31590</v>
      </c>
      <c r="I6081" t="s">
        <v>4046</v>
      </c>
      <c r="J6081" t="s">
        <v>35651</v>
      </c>
      <c r="K6081" t="s">
        <v>41191</v>
      </c>
      <c r="M6081" t="s">
        <v>43282</v>
      </c>
      <c r="N6081" t="s">
        <v>45095</v>
      </c>
      <c r="O6081" t="s">
        <v>45096</v>
      </c>
      <c r="P6081">
        <v>0</v>
      </c>
      <c r="Q6081">
        <v>0</v>
      </c>
      <c r="R6081" t="s">
        <v>45102</v>
      </c>
      <c r="S6081" t="s">
        <v>45242</v>
      </c>
      <c r="T6081" t="s">
        <v>47067</v>
      </c>
      <c r="U6081" t="s">
        <v>52571</v>
      </c>
      <c r="W6081" t="s">
        <v>43282</v>
      </c>
      <c r="X6081" t="s">
        <v>45103</v>
      </c>
    </row>
    <row r="6082" spans="1:24">
      <c r="A6082">
        <f>HYPERLINK("https://www.philgeps.gov.ph/GEPSNONPILOT/Tender/SplashBidNoticeAbstractUI.aspx?menuIndex=3&amp;refID=7040014&amp;Result=3","7040014")</f>
        <v>0</v>
      </c>
      <c r="B6082" t="s">
        <v>533</v>
      </c>
      <c r="C6082" t="s">
        <v>9011</v>
      </c>
      <c r="D6082" t="s">
        <v>18075</v>
      </c>
      <c r="E6082" t="s">
        <v>23528</v>
      </c>
      <c r="F6082" t="s">
        <v>31574</v>
      </c>
      <c r="G6082" t="s">
        <v>31581</v>
      </c>
      <c r="H6082" t="s">
        <v>31591</v>
      </c>
      <c r="I6082" t="s">
        <v>8822</v>
      </c>
      <c r="J6082" t="s">
        <v>32019</v>
      </c>
      <c r="K6082" t="s">
        <v>41317</v>
      </c>
      <c r="M6082" t="s">
        <v>43099</v>
      </c>
      <c r="N6082" t="s">
        <v>45095</v>
      </c>
      <c r="O6082" t="s">
        <v>45096</v>
      </c>
      <c r="P6082">
        <v>0</v>
      </c>
      <c r="Q6082">
        <v>0</v>
      </c>
      <c r="R6082" t="s">
        <v>45102</v>
      </c>
      <c r="S6082" t="s">
        <v>45242</v>
      </c>
      <c r="T6082" t="s">
        <v>47276</v>
      </c>
      <c r="U6082" t="s">
        <v>50835</v>
      </c>
      <c r="W6082" t="s">
        <v>42964</v>
      </c>
      <c r="X6082" t="s">
        <v>45103</v>
      </c>
    </row>
    <row r="6083" spans="1:24">
      <c r="A6083">
        <f>HYPERLINK("https://www.philgeps.gov.ph/GEPSNONPILOT/Tender/SplashBidNoticeAbstractUI.aspx?menuIndex=3&amp;refID=7040032&amp;Result=3","7040032")</f>
        <v>0</v>
      </c>
      <c r="B6083" t="s">
        <v>1913</v>
      </c>
      <c r="C6083" t="s">
        <v>9012</v>
      </c>
      <c r="D6083" t="s">
        <v>18034</v>
      </c>
      <c r="E6083" t="s">
        <v>23529</v>
      </c>
      <c r="F6083" t="s">
        <v>31574</v>
      </c>
      <c r="G6083" t="s">
        <v>31581</v>
      </c>
      <c r="H6083" t="s">
        <v>31590</v>
      </c>
      <c r="I6083" t="s">
        <v>31655</v>
      </c>
      <c r="J6083" t="s">
        <v>35652</v>
      </c>
      <c r="K6083" t="s">
        <v>41193</v>
      </c>
      <c r="L6083" t="s">
        <v>1913</v>
      </c>
      <c r="M6083" t="s">
        <v>43563</v>
      </c>
      <c r="N6083" t="s">
        <v>45095</v>
      </c>
      <c r="O6083" t="s">
        <v>45096</v>
      </c>
      <c r="P6083">
        <v>0</v>
      </c>
      <c r="Q6083">
        <v>3</v>
      </c>
      <c r="R6083" t="s">
        <v>45102</v>
      </c>
      <c r="S6083" t="s">
        <v>45242</v>
      </c>
      <c r="T6083" t="s">
        <v>47215</v>
      </c>
      <c r="U6083" t="s">
        <v>52572</v>
      </c>
      <c r="W6083" t="s">
        <v>43563</v>
      </c>
      <c r="X6083" t="s">
        <v>45103</v>
      </c>
    </row>
    <row r="6084" spans="1:24">
      <c r="A6084">
        <f>HYPERLINK("https://www.philgeps.gov.ph/GEPSNONPILOT/Tender/SplashBidNoticeAbstractUI.aspx?menuIndex=3&amp;refID=7040028&amp;Result=3","7040028")</f>
        <v>0</v>
      </c>
      <c r="B6084" t="s">
        <v>749</v>
      </c>
      <c r="C6084" t="s">
        <v>9013</v>
      </c>
      <c r="D6084" t="s">
        <v>18036</v>
      </c>
      <c r="E6084" t="s">
        <v>23530</v>
      </c>
      <c r="F6084" t="s">
        <v>31574</v>
      </c>
      <c r="G6084" t="s">
        <v>31582</v>
      </c>
      <c r="H6084" t="s">
        <v>31591</v>
      </c>
      <c r="I6084" t="s">
        <v>8822</v>
      </c>
      <c r="J6084" t="s">
        <v>35653</v>
      </c>
      <c r="K6084" t="s">
        <v>41192</v>
      </c>
      <c r="M6084" t="s">
        <v>42263</v>
      </c>
      <c r="N6084" t="s">
        <v>45095</v>
      </c>
      <c r="O6084" t="s">
        <v>45096</v>
      </c>
      <c r="P6084">
        <v>0</v>
      </c>
      <c r="Q6084">
        <v>0</v>
      </c>
      <c r="R6084" t="s">
        <v>45102</v>
      </c>
      <c r="S6084" t="s">
        <v>45242</v>
      </c>
      <c r="T6084" t="s">
        <v>46992</v>
      </c>
      <c r="U6084" t="s">
        <v>52573</v>
      </c>
      <c r="W6084" t="s">
        <v>42263</v>
      </c>
      <c r="X6084" t="s">
        <v>45103</v>
      </c>
    </row>
    <row r="6085" spans="1:24">
      <c r="A6085">
        <f>HYPERLINK("https://www.philgeps.gov.ph/GEPSNONPILOT/Tender/SplashBidNoticeAbstractUI.aspx?menuIndex=3&amp;refID=7040036&amp;Result=3","7040036")</f>
        <v>0</v>
      </c>
      <c r="B6085" t="s">
        <v>1914</v>
      </c>
      <c r="C6085" t="s">
        <v>9014</v>
      </c>
      <c r="D6085" t="s">
        <v>18044</v>
      </c>
      <c r="E6085" t="s">
        <v>19124</v>
      </c>
      <c r="F6085" t="s">
        <v>31574</v>
      </c>
      <c r="G6085" t="s">
        <v>31581</v>
      </c>
      <c r="H6085" t="s">
        <v>31590</v>
      </c>
      <c r="I6085" t="s">
        <v>31594</v>
      </c>
      <c r="J6085" t="s">
        <v>35260</v>
      </c>
      <c r="K6085" t="s">
        <v>41185</v>
      </c>
      <c r="M6085" t="s">
        <v>43564</v>
      </c>
      <c r="N6085" t="s">
        <v>45095</v>
      </c>
      <c r="O6085" t="s">
        <v>45096</v>
      </c>
      <c r="P6085">
        <v>0</v>
      </c>
      <c r="Q6085">
        <v>6</v>
      </c>
      <c r="R6085" t="s">
        <v>45102</v>
      </c>
      <c r="S6085" t="s">
        <v>45242</v>
      </c>
      <c r="T6085" t="s">
        <v>46966</v>
      </c>
      <c r="U6085" t="s">
        <v>52574</v>
      </c>
      <c r="W6085" t="s">
        <v>43564</v>
      </c>
      <c r="X6085" t="s">
        <v>45103</v>
      </c>
    </row>
    <row r="6086" spans="1:24">
      <c r="A6086">
        <f>HYPERLINK("https://www.philgeps.gov.ph/GEPSNONPILOT/Tender/SplashBidNoticeAbstractUI.aspx?menuIndex=3&amp;refID=7040015&amp;Result=3","7040015")</f>
        <v>0</v>
      </c>
      <c r="B6086" t="s">
        <v>533</v>
      </c>
      <c r="C6086" t="s">
        <v>9015</v>
      </c>
      <c r="E6086" t="s">
        <v>23531</v>
      </c>
      <c r="F6086" t="s">
        <v>31574</v>
      </c>
      <c r="G6086" t="s">
        <v>31581</v>
      </c>
      <c r="H6086" t="s">
        <v>31590</v>
      </c>
      <c r="I6086" t="s">
        <v>31608</v>
      </c>
      <c r="J6086" t="s">
        <v>33176</v>
      </c>
      <c r="K6086" t="s">
        <v>41186</v>
      </c>
      <c r="M6086" t="s">
        <v>42030</v>
      </c>
      <c r="N6086" t="s">
        <v>45095</v>
      </c>
      <c r="O6086" t="s">
        <v>45096</v>
      </c>
      <c r="P6086">
        <v>0</v>
      </c>
      <c r="Q6086">
        <v>5</v>
      </c>
      <c r="R6086" t="s">
        <v>45102</v>
      </c>
      <c r="S6086" t="s">
        <v>45242</v>
      </c>
      <c r="T6086" t="s">
        <v>47046</v>
      </c>
      <c r="U6086" t="s">
        <v>52575</v>
      </c>
      <c r="V6086" t="s">
        <v>60498</v>
      </c>
      <c r="W6086" t="s">
        <v>42945</v>
      </c>
      <c r="X6086" t="s">
        <v>45103</v>
      </c>
    </row>
    <row r="6087" spans="1:24">
      <c r="A6087">
        <f>HYPERLINK("https://www.philgeps.gov.ph/GEPSNONPILOT/Tender/SplashBidNoticeAbstractUI.aspx?menuIndex=3&amp;refID=7040027&amp;Result=3","7040027")</f>
        <v>0</v>
      </c>
      <c r="B6087" t="s">
        <v>533</v>
      </c>
      <c r="C6087" t="s">
        <v>9016</v>
      </c>
      <c r="D6087" t="s">
        <v>18075</v>
      </c>
      <c r="E6087" t="s">
        <v>23532</v>
      </c>
      <c r="F6087" t="s">
        <v>31574</v>
      </c>
      <c r="G6087" t="s">
        <v>31581</v>
      </c>
      <c r="H6087" t="s">
        <v>31591</v>
      </c>
      <c r="I6087" t="s">
        <v>8822</v>
      </c>
      <c r="J6087" t="s">
        <v>32019</v>
      </c>
      <c r="K6087" t="s">
        <v>41268</v>
      </c>
      <c r="M6087" t="s">
        <v>43099</v>
      </c>
      <c r="N6087" t="s">
        <v>45095</v>
      </c>
      <c r="O6087" t="s">
        <v>45096</v>
      </c>
      <c r="P6087">
        <v>0</v>
      </c>
      <c r="Q6087">
        <v>1</v>
      </c>
      <c r="R6087" t="s">
        <v>45102</v>
      </c>
      <c r="S6087" t="s">
        <v>45242</v>
      </c>
      <c r="T6087" t="s">
        <v>47276</v>
      </c>
      <c r="U6087" t="s">
        <v>50835</v>
      </c>
      <c r="W6087" t="s">
        <v>42964</v>
      </c>
      <c r="X6087" t="s">
        <v>45103</v>
      </c>
    </row>
    <row r="6088" spans="1:24">
      <c r="A6088">
        <f>HYPERLINK("https://www.philgeps.gov.ph/GEPSNONPILOT/Tender/SplashBidNoticeAbstractUI.aspx?menuIndex=3&amp;refID=7040039&amp;Result=3","7040039")</f>
        <v>0</v>
      </c>
      <c r="B6088" t="s">
        <v>533</v>
      </c>
      <c r="C6088" t="s">
        <v>9017</v>
      </c>
      <c r="D6088" t="s">
        <v>18075</v>
      </c>
      <c r="E6088" t="s">
        <v>23533</v>
      </c>
      <c r="F6088" t="s">
        <v>31574</v>
      </c>
      <c r="G6088" t="s">
        <v>31581</v>
      </c>
      <c r="H6088" t="s">
        <v>31591</v>
      </c>
      <c r="I6088" t="s">
        <v>8822</v>
      </c>
      <c r="J6088" t="s">
        <v>32019</v>
      </c>
      <c r="K6088" t="s">
        <v>41254</v>
      </c>
      <c r="M6088" t="s">
        <v>43099</v>
      </c>
      <c r="N6088" t="s">
        <v>45095</v>
      </c>
      <c r="O6088" t="s">
        <v>45096</v>
      </c>
      <c r="P6088">
        <v>0</v>
      </c>
      <c r="Q6088">
        <v>0</v>
      </c>
      <c r="R6088" t="s">
        <v>45102</v>
      </c>
      <c r="S6088" t="s">
        <v>45242</v>
      </c>
      <c r="T6088" t="s">
        <v>47276</v>
      </c>
      <c r="U6088" t="s">
        <v>50835</v>
      </c>
      <c r="W6088" t="s">
        <v>42964</v>
      </c>
      <c r="X6088" t="s">
        <v>45103</v>
      </c>
    </row>
    <row r="6089" spans="1:24">
      <c r="A6089">
        <f>HYPERLINK("https://www.philgeps.gov.ph/GEPSNONPILOT/Tender/SplashBidNoticeAbstractUI.aspx?menuIndex=3&amp;refID=7040034&amp;Result=3","7040034")</f>
        <v>0</v>
      </c>
      <c r="B6089" t="s">
        <v>401</v>
      </c>
      <c r="C6089" t="s">
        <v>9018</v>
      </c>
      <c r="D6089" t="s">
        <v>18052</v>
      </c>
      <c r="E6089" t="s">
        <v>23534</v>
      </c>
      <c r="F6089" t="s">
        <v>31574</v>
      </c>
      <c r="G6089" t="s">
        <v>31582</v>
      </c>
      <c r="H6089" t="s">
        <v>31591</v>
      </c>
      <c r="I6089" t="s">
        <v>8822</v>
      </c>
      <c r="J6089" t="s">
        <v>35654</v>
      </c>
      <c r="K6089" t="s">
        <v>41202</v>
      </c>
      <c r="M6089" t="s">
        <v>41892</v>
      </c>
      <c r="N6089" t="s">
        <v>45095</v>
      </c>
      <c r="O6089" t="s">
        <v>45096</v>
      </c>
      <c r="P6089">
        <v>0</v>
      </c>
      <c r="Q6089">
        <v>3</v>
      </c>
      <c r="R6089" t="s">
        <v>45102</v>
      </c>
      <c r="S6089" t="s">
        <v>45242</v>
      </c>
      <c r="T6089" t="s">
        <v>47199</v>
      </c>
      <c r="U6089" t="s">
        <v>52576</v>
      </c>
      <c r="W6089" t="s">
        <v>41892</v>
      </c>
      <c r="X6089" t="s">
        <v>45103</v>
      </c>
    </row>
    <row r="6090" spans="1:24">
      <c r="A6090">
        <f>HYPERLINK("https://www.philgeps.gov.ph/GEPSNONPILOT/Tender/SplashBidNoticeAbstractUI.aspx?menuIndex=3&amp;refID=7040018&amp;Result=3","7040018")</f>
        <v>0</v>
      </c>
      <c r="B6090" t="s">
        <v>1032</v>
      </c>
      <c r="C6090" t="s">
        <v>3663</v>
      </c>
      <c r="D6090" t="s">
        <v>18022</v>
      </c>
      <c r="E6090" t="s">
        <v>23535</v>
      </c>
      <c r="F6090" t="s">
        <v>31574</v>
      </c>
      <c r="G6090" t="s">
        <v>31584</v>
      </c>
      <c r="H6090" t="s">
        <v>31590</v>
      </c>
      <c r="I6090" t="s">
        <v>6800</v>
      </c>
      <c r="J6090" t="s">
        <v>32354</v>
      </c>
      <c r="K6090" t="s">
        <v>41184</v>
      </c>
      <c r="M6090" t="s">
        <v>43300</v>
      </c>
      <c r="N6090" t="s">
        <v>45095</v>
      </c>
      <c r="O6090" t="s">
        <v>45096</v>
      </c>
      <c r="P6090">
        <v>0</v>
      </c>
      <c r="Q6090">
        <v>9</v>
      </c>
      <c r="R6090" t="s">
        <v>45102</v>
      </c>
      <c r="S6090" t="s">
        <v>45242</v>
      </c>
      <c r="T6090" t="s">
        <v>47235</v>
      </c>
      <c r="U6090" t="s">
        <v>52577</v>
      </c>
      <c r="W6090" t="s">
        <v>43300</v>
      </c>
      <c r="X6090" t="s">
        <v>45103</v>
      </c>
    </row>
    <row r="6091" spans="1:24">
      <c r="A6091">
        <f>HYPERLINK("https://www.philgeps.gov.ph/GEPSNONPILOT/Tender/SplashBidNoticeAbstractUI.aspx?menuIndex=3&amp;refID=7040031&amp;Result=3","7040031")</f>
        <v>0</v>
      </c>
      <c r="B6091" t="s">
        <v>1648</v>
      </c>
      <c r="C6091" t="s">
        <v>9019</v>
      </c>
      <c r="E6091" t="s">
        <v>23536</v>
      </c>
      <c r="F6091" t="s">
        <v>31574</v>
      </c>
      <c r="G6091" t="s">
        <v>31581</v>
      </c>
      <c r="H6091" t="s">
        <v>31590</v>
      </c>
      <c r="I6091" t="s">
        <v>31626</v>
      </c>
      <c r="J6091" t="s">
        <v>31743</v>
      </c>
      <c r="K6091" t="s">
        <v>41186</v>
      </c>
      <c r="M6091" t="s">
        <v>43259</v>
      </c>
      <c r="N6091" t="s">
        <v>45095</v>
      </c>
      <c r="O6091" t="s">
        <v>45096</v>
      </c>
      <c r="P6091">
        <v>0</v>
      </c>
      <c r="Q6091">
        <v>1</v>
      </c>
      <c r="R6091" t="s">
        <v>45102</v>
      </c>
      <c r="S6091" t="s">
        <v>45242</v>
      </c>
      <c r="T6091" t="s">
        <v>47162</v>
      </c>
      <c r="U6091" t="s">
        <v>52503</v>
      </c>
      <c r="W6091" t="s">
        <v>61714</v>
      </c>
      <c r="X6091" t="s">
        <v>45103</v>
      </c>
    </row>
    <row r="6092" spans="1:24">
      <c r="A6092">
        <f>HYPERLINK("https://www.philgeps.gov.ph/GEPSNONPILOT/Tender/SplashBidNoticeAbstractUI.aspx?menuIndex=3&amp;refID=7040026&amp;Result=3","7040026")</f>
        <v>0</v>
      </c>
      <c r="B6092" t="s">
        <v>683</v>
      </c>
      <c r="C6092" t="s">
        <v>9020</v>
      </c>
      <c r="D6092" t="s">
        <v>18059</v>
      </c>
      <c r="E6092" t="s">
        <v>23537</v>
      </c>
      <c r="F6092" t="s">
        <v>31574</v>
      </c>
      <c r="G6092" t="s">
        <v>31581</v>
      </c>
      <c r="H6092" t="s">
        <v>31590</v>
      </c>
      <c r="I6092" t="s">
        <v>14544</v>
      </c>
      <c r="J6092" t="s">
        <v>35655</v>
      </c>
      <c r="K6092" t="s">
        <v>41184</v>
      </c>
      <c r="M6092" t="s">
        <v>43558</v>
      </c>
      <c r="N6092" t="s">
        <v>45095</v>
      </c>
      <c r="O6092" t="s">
        <v>45096</v>
      </c>
      <c r="P6092">
        <v>0</v>
      </c>
      <c r="Q6092">
        <v>0</v>
      </c>
      <c r="R6092" t="s">
        <v>45102</v>
      </c>
      <c r="S6092" t="s">
        <v>45242</v>
      </c>
      <c r="T6092" t="s">
        <v>47159</v>
      </c>
      <c r="U6092" t="s">
        <v>52578</v>
      </c>
      <c r="W6092" t="s">
        <v>43558</v>
      </c>
      <c r="X6092" t="s">
        <v>45103</v>
      </c>
    </row>
    <row r="6093" spans="1:24">
      <c r="A6093">
        <f>HYPERLINK("https://www.philgeps.gov.ph/GEPSNONPILOT/Tender/SplashBidNoticeAbstractUI.aspx?menuIndex=3&amp;refID=7040024&amp;Result=3","7040024")</f>
        <v>0</v>
      </c>
      <c r="B6093" t="s">
        <v>1312</v>
      </c>
      <c r="C6093" t="s">
        <v>9021</v>
      </c>
      <c r="D6093" t="s">
        <v>18033</v>
      </c>
      <c r="E6093" t="s">
        <v>23538</v>
      </c>
      <c r="F6093" t="s">
        <v>31574</v>
      </c>
      <c r="G6093" t="s">
        <v>31583</v>
      </c>
      <c r="H6093" t="s">
        <v>31590</v>
      </c>
      <c r="I6093" t="s">
        <v>14544</v>
      </c>
      <c r="J6093" t="s">
        <v>35656</v>
      </c>
      <c r="K6093" t="s">
        <v>41211</v>
      </c>
      <c r="M6093" t="s">
        <v>42882</v>
      </c>
      <c r="N6093" t="s">
        <v>45095</v>
      </c>
      <c r="O6093" t="s">
        <v>45096</v>
      </c>
      <c r="P6093">
        <v>0</v>
      </c>
      <c r="Q6093">
        <v>0</v>
      </c>
      <c r="R6093" t="s">
        <v>45102</v>
      </c>
      <c r="S6093" t="s">
        <v>45242</v>
      </c>
      <c r="T6093" t="s">
        <v>47067</v>
      </c>
      <c r="U6093" t="s">
        <v>52579</v>
      </c>
      <c r="W6093" t="s">
        <v>42882</v>
      </c>
      <c r="X6093" t="s">
        <v>45103</v>
      </c>
    </row>
    <row r="6094" spans="1:24">
      <c r="A6094">
        <f>HYPERLINK("https://www.philgeps.gov.ph/GEPSNONPILOT/Tender/SplashBidNoticeAbstractUI.aspx?menuIndex=3&amp;refID=7040044&amp;Result=3","7040044")</f>
        <v>0</v>
      </c>
      <c r="B6094" t="s">
        <v>606</v>
      </c>
      <c r="C6094" t="s">
        <v>9022</v>
      </c>
      <c r="D6094" t="s">
        <v>18073</v>
      </c>
      <c r="E6094" t="s">
        <v>23524</v>
      </c>
      <c r="F6094" t="s">
        <v>31574</v>
      </c>
      <c r="G6094" t="s">
        <v>31582</v>
      </c>
      <c r="H6094" t="s">
        <v>31591</v>
      </c>
      <c r="I6094" t="s">
        <v>8822</v>
      </c>
      <c r="J6094" t="s">
        <v>35657</v>
      </c>
      <c r="K6094" t="s">
        <v>41329</v>
      </c>
      <c r="M6094" t="s">
        <v>42109</v>
      </c>
      <c r="N6094" t="s">
        <v>45095</v>
      </c>
      <c r="O6094" t="s">
        <v>45096</v>
      </c>
      <c r="P6094">
        <v>0</v>
      </c>
      <c r="Q6094">
        <v>0</v>
      </c>
      <c r="R6094" t="s">
        <v>45102</v>
      </c>
      <c r="S6094" t="s">
        <v>45242</v>
      </c>
      <c r="T6094" t="s">
        <v>46918</v>
      </c>
      <c r="U6094" t="s">
        <v>52580</v>
      </c>
      <c r="W6094" t="s">
        <v>43561</v>
      </c>
      <c r="X6094" t="s">
        <v>45103</v>
      </c>
    </row>
    <row r="6095" spans="1:24">
      <c r="A6095">
        <f>HYPERLINK("https://www.philgeps.gov.ph/GEPSNONPILOT/Tender/SplashBidNoticeAbstractUI.aspx?menuIndex=3&amp;refID=7040020&amp;Result=3","7040020")</f>
        <v>0</v>
      </c>
      <c r="B6095" t="s">
        <v>1669</v>
      </c>
      <c r="C6095" t="s">
        <v>9023</v>
      </c>
      <c r="D6095" t="s">
        <v>18031</v>
      </c>
      <c r="E6095" t="s">
        <v>23539</v>
      </c>
      <c r="F6095" t="s">
        <v>31574</v>
      </c>
      <c r="G6095" t="s">
        <v>31581</v>
      </c>
      <c r="H6095" t="s">
        <v>31590</v>
      </c>
      <c r="I6095" t="s">
        <v>4046</v>
      </c>
      <c r="J6095" t="s">
        <v>35658</v>
      </c>
      <c r="K6095" t="s">
        <v>41191</v>
      </c>
      <c r="M6095" t="s">
        <v>43282</v>
      </c>
      <c r="N6095" t="s">
        <v>45095</v>
      </c>
      <c r="O6095" t="s">
        <v>45096</v>
      </c>
      <c r="P6095">
        <v>0</v>
      </c>
      <c r="Q6095">
        <v>0</v>
      </c>
      <c r="R6095" t="s">
        <v>45102</v>
      </c>
      <c r="S6095" t="s">
        <v>45242</v>
      </c>
      <c r="T6095" t="s">
        <v>47067</v>
      </c>
      <c r="U6095" t="s">
        <v>52581</v>
      </c>
      <c r="W6095" t="s">
        <v>43282</v>
      </c>
      <c r="X6095" t="s">
        <v>45103</v>
      </c>
    </row>
    <row r="6096" spans="1:24">
      <c r="A6096">
        <f>HYPERLINK("https://www.philgeps.gov.ph/GEPSNONPILOT/Tender/SplashBidNoticeAbstractUI.aspx?menuIndex=3&amp;refID=7040048&amp;Result=3","7040048")</f>
        <v>0</v>
      </c>
      <c r="B6096" t="s">
        <v>1915</v>
      </c>
      <c r="C6096" t="s">
        <v>9024</v>
      </c>
      <c r="D6096" t="s">
        <v>18099</v>
      </c>
      <c r="E6096" t="s">
        <v>23540</v>
      </c>
      <c r="F6096" t="s">
        <v>31574</v>
      </c>
      <c r="G6096" t="s">
        <v>31582</v>
      </c>
      <c r="H6096" t="s">
        <v>31591</v>
      </c>
      <c r="I6096" t="s">
        <v>8822</v>
      </c>
      <c r="J6096" t="s">
        <v>31781</v>
      </c>
      <c r="K6096" t="s">
        <v>41268</v>
      </c>
      <c r="M6096" t="s">
        <v>43565</v>
      </c>
      <c r="N6096" t="s">
        <v>45095</v>
      </c>
      <c r="O6096" t="s">
        <v>45096</v>
      </c>
      <c r="P6096">
        <v>0</v>
      </c>
      <c r="Q6096">
        <v>0</v>
      </c>
      <c r="R6096" t="s">
        <v>45102</v>
      </c>
      <c r="S6096" t="s">
        <v>45242</v>
      </c>
      <c r="T6096" t="s">
        <v>46933</v>
      </c>
      <c r="U6096" t="s">
        <v>52582</v>
      </c>
      <c r="W6096" t="s">
        <v>43565</v>
      </c>
      <c r="X6096" t="s">
        <v>45103</v>
      </c>
    </row>
    <row r="6097" spans="1:24">
      <c r="A6097">
        <f>HYPERLINK("https://www.philgeps.gov.ph/GEPSNONPILOT/Tender/SplashBidNoticeAbstractUI.aspx?menuIndex=3&amp;refID=7040019&amp;Result=3","7040019")</f>
        <v>0</v>
      </c>
      <c r="B6097" t="s">
        <v>1916</v>
      </c>
      <c r="C6097" t="s">
        <v>9025</v>
      </c>
      <c r="D6097" t="s">
        <v>18023</v>
      </c>
      <c r="E6097" t="s">
        <v>23541</v>
      </c>
      <c r="F6097" t="s">
        <v>31574</v>
      </c>
      <c r="G6097" t="s">
        <v>31581</v>
      </c>
      <c r="H6097" t="s">
        <v>31590</v>
      </c>
      <c r="I6097" t="s">
        <v>5717</v>
      </c>
      <c r="J6097" t="s">
        <v>35659</v>
      </c>
      <c r="K6097" t="s">
        <v>41186</v>
      </c>
      <c r="M6097" t="s">
        <v>43566</v>
      </c>
      <c r="N6097" t="s">
        <v>45095</v>
      </c>
      <c r="O6097" t="s">
        <v>45096</v>
      </c>
      <c r="P6097">
        <v>0</v>
      </c>
      <c r="Q6097">
        <v>5</v>
      </c>
      <c r="R6097" t="s">
        <v>45102</v>
      </c>
      <c r="S6097" t="s">
        <v>45242</v>
      </c>
      <c r="T6097" t="s">
        <v>46931</v>
      </c>
      <c r="U6097" t="s">
        <v>52583</v>
      </c>
      <c r="W6097" t="s">
        <v>43566</v>
      </c>
      <c r="X6097" t="s">
        <v>45103</v>
      </c>
    </row>
    <row r="6098" spans="1:24">
      <c r="A6098">
        <f>HYPERLINK("https://www.philgeps.gov.ph/GEPSNONPILOT/Tender/SplashBidNoticeAbstractUI.aspx?menuIndex=3&amp;refID=7040046&amp;Result=3","7040046")</f>
        <v>0</v>
      </c>
      <c r="B6098" t="s">
        <v>62</v>
      </c>
      <c r="C6098" t="s">
        <v>9026</v>
      </c>
      <c r="D6098" t="s">
        <v>18037</v>
      </c>
      <c r="E6098" t="s">
        <v>23542</v>
      </c>
      <c r="F6098" t="s">
        <v>31574</v>
      </c>
      <c r="G6098" t="s">
        <v>31581</v>
      </c>
      <c r="H6098" t="s">
        <v>31590</v>
      </c>
      <c r="I6098" t="s">
        <v>14544</v>
      </c>
      <c r="J6098" t="s">
        <v>35660</v>
      </c>
      <c r="K6098" t="s">
        <v>41184</v>
      </c>
      <c r="L6098" t="s">
        <v>62</v>
      </c>
      <c r="M6098" t="s">
        <v>41546</v>
      </c>
      <c r="N6098" t="s">
        <v>45095</v>
      </c>
      <c r="O6098" t="s">
        <v>45096</v>
      </c>
      <c r="P6098">
        <v>0</v>
      </c>
      <c r="Q6098">
        <v>0</v>
      </c>
      <c r="R6098" t="s">
        <v>45102</v>
      </c>
      <c r="S6098" t="s">
        <v>45242</v>
      </c>
      <c r="T6098" t="s">
        <v>47050</v>
      </c>
      <c r="U6098" t="s">
        <v>52584</v>
      </c>
      <c r="W6098" t="s">
        <v>41546</v>
      </c>
      <c r="X6098" t="s">
        <v>45103</v>
      </c>
    </row>
    <row r="6099" spans="1:24">
      <c r="A6099">
        <f>HYPERLINK("https://www.philgeps.gov.ph/GEPSNONPILOT/Tender/SplashBidNoticeAbstractUI.aspx?menuIndex=3&amp;refID=7040041&amp;Result=3","7040041")</f>
        <v>0</v>
      </c>
      <c r="B6099" t="s">
        <v>1429</v>
      </c>
      <c r="C6099" t="s">
        <v>9027</v>
      </c>
      <c r="D6099" t="s">
        <v>18072</v>
      </c>
      <c r="E6099" t="s">
        <v>23543</v>
      </c>
      <c r="F6099" t="s">
        <v>31574</v>
      </c>
      <c r="G6099" t="s">
        <v>31582</v>
      </c>
      <c r="H6099" t="s">
        <v>31590</v>
      </c>
      <c r="I6099" t="s">
        <v>31594</v>
      </c>
      <c r="J6099" t="s">
        <v>35661</v>
      </c>
      <c r="K6099" t="s">
        <v>41192</v>
      </c>
      <c r="M6099" t="s">
        <v>43005</v>
      </c>
      <c r="N6099" t="s">
        <v>45095</v>
      </c>
      <c r="O6099" t="s">
        <v>45096</v>
      </c>
      <c r="P6099">
        <v>0</v>
      </c>
      <c r="Q6099">
        <v>10</v>
      </c>
      <c r="R6099" t="s">
        <v>45102</v>
      </c>
      <c r="S6099" t="s">
        <v>45242</v>
      </c>
      <c r="T6099" t="s">
        <v>47269</v>
      </c>
      <c r="U6099" t="s">
        <v>52585</v>
      </c>
      <c r="V6099" t="s">
        <v>60499</v>
      </c>
      <c r="W6099" t="s">
        <v>43005</v>
      </c>
      <c r="X6099" t="s">
        <v>45103</v>
      </c>
    </row>
    <row r="6100" spans="1:24">
      <c r="A6100">
        <f>HYPERLINK("https://www.philgeps.gov.ph/GEPSNONPILOT/Tender/SplashBidNoticeAbstractUI.aspx?menuIndex=3&amp;refID=7040049&amp;Result=3","7040049")</f>
        <v>0</v>
      </c>
      <c r="B6100" t="s">
        <v>533</v>
      </c>
      <c r="C6100" t="s">
        <v>9028</v>
      </c>
      <c r="D6100" t="s">
        <v>18075</v>
      </c>
      <c r="E6100" t="s">
        <v>23544</v>
      </c>
      <c r="F6100" t="s">
        <v>31574</v>
      </c>
      <c r="G6100" t="s">
        <v>31581</v>
      </c>
      <c r="H6100" t="s">
        <v>31591</v>
      </c>
      <c r="I6100" t="s">
        <v>8822</v>
      </c>
      <c r="J6100" t="s">
        <v>31947</v>
      </c>
      <c r="K6100" t="s">
        <v>41206</v>
      </c>
      <c r="M6100" t="s">
        <v>43099</v>
      </c>
      <c r="N6100" t="s">
        <v>45095</v>
      </c>
      <c r="O6100" t="s">
        <v>45096</v>
      </c>
      <c r="P6100">
        <v>0</v>
      </c>
      <c r="Q6100">
        <v>1</v>
      </c>
      <c r="R6100" t="s">
        <v>45102</v>
      </c>
      <c r="S6100" t="s">
        <v>45242</v>
      </c>
      <c r="T6100" t="s">
        <v>47276</v>
      </c>
      <c r="U6100" t="s">
        <v>50835</v>
      </c>
      <c r="W6100" t="s">
        <v>42964</v>
      </c>
      <c r="X6100" t="s">
        <v>45103</v>
      </c>
    </row>
    <row r="6101" spans="1:24">
      <c r="A6101">
        <f>HYPERLINK("https://www.philgeps.gov.ph/GEPSNONPILOT/Tender/SplashBidNoticeAbstractUI.aspx?menuIndex=3&amp;refID=7040062&amp;Result=3","7040062")</f>
        <v>0</v>
      </c>
      <c r="B6101" t="s">
        <v>1917</v>
      </c>
      <c r="C6101" t="s">
        <v>9029</v>
      </c>
      <c r="D6101" t="s">
        <v>18074</v>
      </c>
      <c r="E6101" t="s">
        <v>23545</v>
      </c>
      <c r="F6101" t="s">
        <v>31575</v>
      </c>
      <c r="G6101" t="s">
        <v>31583</v>
      </c>
      <c r="H6101" t="s">
        <v>31590</v>
      </c>
      <c r="I6101" t="s">
        <v>4046</v>
      </c>
      <c r="J6101" t="s">
        <v>35662</v>
      </c>
      <c r="K6101" t="s">
        <v>41196</v>
      </c>
      <c r="M6101" t="s">
        <v>43567</v>
      </c>
      <c r="N6101" t="s">
        <v>45095</v>
      </c>
      <c r="O6101" t="s">
        <v>45096</v>
      </c>
      <c r="P6101">
        <v>0</v>
      </c>
      <c r="Q6101">
        <v>0</v>
      </c>
      <c r="R6101" t="s">
        <v>45102</v>
      </c>
      <c r="S6101" t="s">
        <v>45242</v>
      </c>
      <c r="T6101" t="s">
        <v>47050</v>
      </c>
      <c r="U6101" t="s">
        <v>52586</v>
      </c>
      <c r="W6101" t="s">
        <v>43567</v>
      </c>
      <c r="X6101" t="s">
        <v>45103</v>
      </c>
    </row>
    <row r="6102" spans="1:24">
      <c r="A6102">
        <f>HYPERLINK("https://www.philgeps.gov.ph/GEPSNONPILOT/Tender/SplashBidNoticeAbstractUI.aspx?menuIndex=3&amp;refID=7040042&amp;Result=3","7040042")</f>
        <v>0</v>
      </c>
      <c r="B6102" t="s">
        <v>1918</v>
      </c>
      <c r="C6102" t="s">
        <v>9030</v>
      </c>
      <c r="D6102" t="s">
        <v>18024</v>
      </c>
      <c r="E6102" t="s">
        <v>23546</v>
      </c>
      <c r="F6102" t="s">
        <v>31574</v>
      </c>
      <c r="G6102" t="s">
        <v>31582</v>
      </c>
      <c r="H6102" t="s">
        <v>31590</v>
      </c>
      <c r="I6102" t="s">
        <v>4046</v>
      </c>
      <c r="J6102" t="s">
        <v>35663</v>
      </c>
      <c r="K6102" t="s">
        <v>41193</v>
      </c>
      <c r="M6102" t="s">
        <v>43568</v>
      </c>
      <c r="N6102" t="s">
        <v>45095</v>
      </c>
      <c r="O6102" t="s">
        <v>45096</v>
      </c>
      <c r="P6102">
        <v>0</v>
      </c>
      <c r="Q6102">
        <v>0</v>
      </c>
      <c r="R6102" t="s">
        <v>45102</v>
      </c>
      <c r="S6102" t="s">
        <v>45242</v>
      </c>
      <c r="T6102" t="s">
        <v>47249</v>
      </c>
      <c r="U6102" t="s">
        <v>52587</v>
      </c>
      <c r="W6102" t="s">
        <v>43568</v>
      </c>
      <c r="X6102" t="s">
        <v>45103</v>
      </c>
    </row>
    <row r="6103" spans="1:24">
      <c r="A6103">
        <f>HYPERLINK("https://www.philgeps.gov.ph/GEPSNONPILOT/Tender/SplashBidNoticeAbstractUI.aspx?menuIndex=3&amp;refID=7040057&amp;Result=3","7040057")</f>
        <v>0</v>
      </c>
      <c r="B6103" t="s">
        <v>1916</v>
      </c>
      <c r="C6103" t="s">
        <v>9031</v>
      </c>
      <c r="D6103" t="s">
        <v>18023</v>
      </c>
      <c r="E6103" t="s">
        <v>23547</v>
      </c>
      <c r="F6103" t="s">
        <v>31574</v>
      </c>
      <c r="G6103" t="s">
        <v>31581</v>
      </c>
      <c r="H6103" t="s">
        <v>31590</v>
      </c>
      <c r="I6103" t="s">
        <v>14544</v>
      </c>
      <c r="J6103" t="s">
        <v>35664</v>
      </c>
      <c r="K6103" t="s">
        <v>41186</v>
      </c>
      <c r="M6103" t="s">
        <v>43566</v>
      </c>
      <c r="N6103" t="s">
        <v>45095</v>
      </c>
      <c r="O6103" t="s">
        <v>45096</v>
      </c>
      <c r="P6103">
        <v>0</v>
      </c>
      <c r="Q6103">
        <v>0</v>
      </c>
      <c r="R6103" t="s">
        <v>45102</v>
      </c>
      <c r="S6103" t="s">
        <v>45242</v>
      </c>
      <c r="T6103" t="s">
        <v>47278</v>
      </c>
      <c r="U6103" t="s">
        <v>52588</v>
      </c>
      <c r="W6103" t="s">
        <v>43566</v>
      </c>
      <c r="X6103" t="s">
        <v>45103</v>
      </c>
    </row>
    <row r="6104" spans="1:24">
      <c r="A6104">
        <f>HYPERLINK("https://www.philgeps.gov.ph/GEPSNONPILOT/Tender/SplashBidNoticeAbstractUI.aspx?menuIndex=3&amp;refID=7040061&amp;Result=3","7040061")</f>
        <v>0</v>
      </c>
      <c r="B6104" t="s">
        <v>640</v>
      </c>
      <c r="C6104" t="s">
        <v>9032</v>
      </c>
      <c r="D6104" t="s">
        <v>18078</v>
      </c>
      <c r="E6104" t="s">
        <v>23548</v>
      </c>
      <c r="F6104" t="s">
        <v>31574</v>
      </c>
      <c r="G6104" t="s">
        <v>31582</v>
      </c>
      <c r="H6104" t="s">
        <v>31590</v>
      </c>
      <c r="I6104" t="s">
        <v>4327</v>
      </c>
      <c r="J6104" t="s">
        <v>33610</v>
      </c>
      <c r="K6104" t="s">
        <v>41184</v>
      </c>
      <c r="M6104" t="s">
        <v>42144</v>
      </c>
      <c r="N6104" t="s">
        <v>45095</v>
      </c>
      <c r="O6104" t="s">
        <v>45096</v>
      </c>
      <c r="P6104">
        <v>0</v>
      </c>
      <c r="Q6104">
        <v>1</v>
      </c>
      <c r="R6104" t="s">
        <v>45102</v>
      </c>
      <c r="S6104" t="s">
        <v>45242</v>
      </c>
      <c r="T6104" t="s">
        <v>47064</v>
      </c>
      <c r="U6104" t="s">
        <v>52589</v>
      </c>
      <c r="W6104" t="s">
        <v>42144</v>
      </c>
      <c r="X6104" t="s">
        <v>45103</v>
      </c>
    </row>
    <row r="6105" spans="1:24">
      <c r="A6105">
        <f>HYPERLINK("https://www.philgeps.gov.ph/GEPSNONPILOT/Tender/SplashBidNoticeAbstractUI.aspx?menuIndex=3&amp;refID=7040060&amp;Result=3","7040060")</f>
        <v>0</v>
      </c>
      <c r="B6105" t="s">
        <v>218</v>
      </c>
      <c r="C6105" t="s">
        <v>9033</v>
      </c>
      <c r="D6105" t="s">
        <v>18070</v>
      </c>
      <c r="E6105" t="s">
        <v>23549</v>
      </c>
      <c r="F6105" t="s">
        <v>31574</v>
      </c>
      <c r="G6105" t="s">
        <v>31583</v>
      </c>
      <c r="H6105" t="s">
        <v>31590</v>
      </c>
      <c r="I6105" t="s">
        <v>4046</v>
      </c>
      <c r="J6105" t="s">
        <v>35665</v>
      </c>
      <c r="K6105" t="s">
        <v>41193</v>
      </c>
      <c r="M6105" t="s">
        <v>41703</v>
      </c>
      <c r="N6105" t="s">
        <v>45095</v>
      </c>
      <c r="O6105" t="s">
        <v>45096</v>
      </c>
      <c r="P6105">
        <v>0</v>
      </c>
      <c r="Q6105">
        <v>0</v>
      </c>
      <c r="R6105" t="s">
        <v>45102</v>
      </c>
      <c r="S6105" t="s">
        <v>45242</v>
      </c>
      <c r="T6105" t="s">
        <v>47158</v>
      </c>
      <c r="U6105" t="s">
        <v>47880</v>
      </c>
      <c r="W6105" t="s">
        <v>41703</v>
      </c>
      <c r="X6105" t="s">
        <v>45103</v>
      </c>
    </row>
    <row r="6106" spans="1:24">
      <c r="A6106">
        <f>HYPERLINK("https://www.philgeps.gov.ph/GEPSNONPILOT/Tender/SplashBidNoticeAbstractUI.aspx?menuIndex=3&amp;refID=7040059&amp;Result=3","7040059")</f>
        <v>0</v>
      </c>
      <c r="B6106" t="s">
        <v>606</v>
      </c>
      <c r="C6106" t="s">
        <v>9034</v>
      </c>
      <c r="D6106" t="s">
        <v>18073</v>
      </c>
      <c r="E6106" t="s">
        <v>23550</v>
      </c>
      <c r="F6106" t="s">
        <v>31574</v>
      </c>
      <c r="G6106" t="s">
        <v>31582</v>
      </c>
      <c r="H6106" t="s">
        <v>31591</v>
      </c>
      <c r="I6106" t="s">
        <v>8822</v>
      </c>
      <c r="J6106" t="s">
        <v>35666</v>
      </c>
      <c r="K6106" t="s">
        <v>41246</v>
      </c>
      <c r="M6106" t="s">
        <v>42109</v>
      </c>
      <c r="N6106" t="s">
        <v>45095</v>
      </c>
      <c r="O6106" t="s">
        <v>45096</v>
      </c>
      <c r="P6106">
        <v>0</v>
      </c>
      <c r="Q6106">
        <v>0</v>
      </c>
      <c r="R6106" t="s">
        <v>45102</v>
      </c>
      <c r="S6106" t="s">
        <v>45242</v>
      </c>
      <c r="T6106" t="s">
        <v>46918</v>
      </c>
      <c r="U6106" t="s">
        <v>52590</v>
      </c>
      <c r="W6106" t="s">
        <v>43561</v>
      </c>
      <c r="X6106" t="s">
        <v>45103</v>
      </c>
    </row>
    <row r="6107" spans="1:24">
      <c r="A6107">
        <f>HYPERLINK("https://www.philgeps.gov.ph/GEPSNONPILOT/Tender/SplashBidNoticeAbstractUI.aspx?menuIndex=3&amp;refID=7040053&amp;Result=3","7040053")</f>
        <v>0</v>
      </c>
      <c r="B6107" t="s">
        <v>1827</v>
      </c>
      <c r="C6107" t="s">
        <v>9035</v>
      </c>
      <c r="D6107" t="s">
        <v>18028</v>
      </c>
      <c r="E6107" t="s">
        <v>23551</v>
      </c>
      <c r="F6107" t="s">
        <v>31574</v>
      </c>
      <c r="G6107" t="s">
        <v>31582</v>
      </c>
      <c r="H6107" t="s">
        <v>31591</v>
      </c>
      <c r="I6107" t="s">
        <v>8822</v>
      </c>
      <c r="J6107" t="s">
        <v>32019</v>
      </c>
      <c r="K6107" t="s">
        <v>41184</v>
      </c>
      <c r="M6107" t="s">
        <v>43463</v>
      </c>
      <c r="N6107" t="s">
        <v>45095</v>
      </c>
      <c r="O6107" t="s">
        <v>45096</v>
      </c>
      <c r="P6107">
        <v>0</v>
      </c>
      <c r="Q6107">
        <v>0</v>
      </c>
      <c r="R6107" t="s">
        <v>45102</v>
      </c>
      <c r="S6107" t="s">
        <v>45242</v>
      </c>
      <c r="T6107" t="s">
        <v>47228</v>
      </c>
      <c r="U6107" t="s">
        <v>52591</v>
      </c>
      <c r="V6107" t="s">
        <v>60447</v>
      </c>
      <c r="W6107" t="s">
        <v>43463</v>
      </c>
      <c r="X6107" t="s">
        <v>45103</v>
      </c>
    </row>
    <row r="6108" spans="1:24">
      <c r="A6108">
        <f>HYPERLINK("https://www.philgeps.gov.ph/GEPSNONPILOT/Tender/SplashBidNoticeAbstractUI.aspx?menuIndex=3&amp;refID=7040054&amp;Result=3","7040054")</f>
        <v>0</v>
      </c>
      <c r="B6108" t="s">
        <v>533</v>
      </c>
      <c r="C6108" t="s">
        <v>9036</v>
      </c>
      <c r="D6108" t="s">
        <v>18075</v>
      </c>
      <c r="E6108" t="s">
        <v>23552</v>
      </c>
      <c r="F6108" t="s">
        <v>31574</v>
      </c>
      <c r="G6108" t="s">
        <v>31581</v>
      </c>
      <c r="H6108" t="s">
        <v>31591</v>
      </c>
      <c r="I6108" t="s">
        <v>8822</v>
      </c>
      <c r="J6108" t="s">
        <v>31935</v>
      </c>
      <c r="K6108" t="s">
        <v>41201</v>
      </c>
      <c r="M6108" t="s">
        <v>43099</v>
      </c>
      <c r="N6108" t="s">
        <v>45095</v>
      </c>
      <c r="O6108" t="s">
        <v>45096</v>
      </c>
      <c r="P6108">
        <v>0</v>
      </c>
      <c r="Q6108">
        <v>0</v>
      </c>
      <c r="R6108" t="s">
        <v>45102</v>
      </c>
      <c r="S6108" t="s">
        <v>45242</v>
      </c>
      <c r="T6108" t="s">
        <v>47276</v>
      </c>
      <c r="U6108" t="s">
        <v>50835</v>
      </c>
      <c r="W6108" t="s">
        <v>42964</v>
      </c>
      <c r="X6108" t="s">
        <v>45103</v>
      </c>
    </row>
    <row r="6109" spans="1:24">
      <c r="A6109">
        <f>HYPERLINK("https://www.philgeps.gov.ph/GEPSNONPILOT/Tender/SplashBidNoticeAbstractUI.aspx?menuIndex=3&amp;refID=7040045&amp;Result=3","7040045")</f>
        <v>0</v>
      </c>
      <c r="B6109" t="s">
        <v>1919</v>
      </c>
      <c r="C6109" t="s">
        <v>9037</v>
      </c>
      <c r="D6109" t="s">
        <v>18022</v>
      </c>
      <c r="E6109" t="s">
        <v>23553</v>
      </c>
      <c r="F6109" t="s">
        <v>31574</v>
      </c>
      <c r="G6109" t="s">
        <v>31581</v>
      </c>
      <c r="H6109" t="s">
        <v>31590</v>
      </c>
      <c r="I6109" t="s">
        <v>31608</v>
      </c>
      <c r="J6109" t="s">
        <v>32232</v>
      </c>
      <c r="K6109" t="s">
        <v>41210</v>
      </c>
      <c r="M6109" t="s">
        <v>43569</v>
      </c>
      <c r="N6109" t="s">
        <v>45095</v>
      </c>
      <c r="O6109" t="s">
        <v>45096</v>
      </c>
      <c r="P6109">
        <v>0</v>
      </c>
      <c r="Q6109">
        <v>12</v>
      </c>
      <c r="R6109" t="s">
        <v>45102</v>
      </c>
      <c r="S6109" t="s">
        <v>45242</v>
      </c>
      <c r="T6109" t="s">
        <v>46985</v>
      </c>
      <c r="U6109" t="s">
        <v>52592</v>
      </c>
      <c r="W6109" t="s">
        <v>43569</v>
      </c>
      <c r="X6109" t="s">
        <v>45103</v>
      </c>
    </row>
    <row r="6110" spans="1:24">
      <c r="A6110">
        <f>HYPERLINK("https://www.philgeps.gov.ph/GEPSNONPILOT/Tender/SplashBidNoticeAbstractUI.aspx?menuIndex=3&amp;refID=7040056&amp;Result=3","7040056")</f>
        <v>0</v>
      </c>
      <c r="B6110" t="s">
        <v>670</v>
      </c>
      <c r="C6110" t="s">
        <v>9038</v>
      </c>
      <c r="D6110" t="s">
        <v>18022</v>
      </c>
      <c r="E6110" t="s">
        <v>23554</v>
      </c>
      <c r="F6110" t="s">
        <v>31574</v>
      </c>
      <c r="G6110" t="s">
        <v>31581</v>
      </c>
      <c r="H6110" t="s">
        <v>31590</v>
      </c>
      <c r="I6110" t="s">
        <v>14544</v>
      </c>
      <c r="J6110" t="s">
        <v>35667</v>
      </c>
      <c r="K6110" t="s">
        <v>41186</v>
      </c>
      <c r="M6110" t="s">
        <v>43562</v>
      </c>
      <c r="N6110" t="s">
        <v>45095</v>
      </c>
      <c r="O6110" t="s">
        <v>45096</v>
      </c>
      <c r="P6110">
        <v>0</v>
      </c>
      <c r="Q6110">
        <v>5</v>
      </c>
      <c r="R6110" t="s">
        <v>45102</v>
      </c>
      <c r="S6110" t="s">
        <v>45242</v>
      </c>
      <c r="T6110" t="s">
        <v>47154</v>
      </c>
      <c r="U6110" t="s">
        <v>52593</v>
      </c>
      <c r="W6110" t="s">
        <v>43562</v>
      </c>
      <c r="X6110" t="s">
        <v>45103</v>
      </c>
    </row>
    <row r="6111" spans="1:24">
      <c r="A6111">
        <f>HYPERLINK("https://www.philgeps.gov.ph/GEPSNONPILOT/Tender/SplashBidNoticeAbstractUI.aspx?menuIndex=3&amp;refID=7040071&amp;Result=3","7040071")</f>
        <v>0</v>
      </c>
      <c r="B6111" t="s">
        <v>1650</v>
      </c>
      <c r="C6111" t="s">
        <v>9039</v>
      </c>
      <c r="D6111" t="s">
        <v>18046</v>
      </c>
      <c r="E6111" t="s">
        <v>23555</v>
      </c>
      <c r="F6111" t="s">
        <v>31574</v>
      </c>
      <c r="G6111" t="s">
        <v>31582</v>
      </c>
      <c r="H6111" t="s">
        <v>31590</v>
      </c>
      <c r="I6111" t="s">
        <v>31623</v>
      </c>
      <c r="J6111" t="s">
        <v>35668</v>
      </c>
      <c r="K6111" t="s">
        <v>41247</v>
      </c>
      <c r="M6111" t="s">
        <v>43261</v>
      </c>
      <c r="N6111" t="s">
        <v>45095</v>
      </c>
      <c r="O6111" t="s">
        <v>45096</v>
      </c>
      <c r="P6111">
        <v>0</v>
      </c>
      <c r="Q6111">
        <v>0</v>
      </c>
      <c r="R6111" t="s">
        <v>45102</v>
      </c>
      <c r="S6111" t="s">
        <v>45242</v>
      </c>
      <c r="T6111" t="s">
        <v>47064</v>
      </c>
      <c r="U6111" t="s">
        <v>52594</v>
      </c>
      <c r="W6111" t="s">
        <v>43261</v>
      </c>
      <c r="X6111" t="s">
        <v>45103</v>
      </c>
    </row>
    <row r="6112" spans="1:24">
      <c r="A6112">
        <f>HYPERLINK("https://www.philgeps.gov.ph/GEPSNONPILOT/Tender/SplashBidNoticeAbstractUI.aspx?menuIndex=3&amp;refID=7040055&amp;Result=3","7040055")</f>
        <v>0</v>
      </c>
      <c r="B6112" t="s">
        <v>1028</v>
      </c>
      <c r="C6112" t="s">
        <v>9040</v>
      </c>
      <c r="D6112" t="s">
        <v>18055</v>
      </c>
      <c r="E6112" t="s">
        <v>23556</v>
      </c>
      <c r="F6112" t="s">
        <v>31574</v>
      </c>
      <c r="G6112" t="s">
        <v>31582</v>
      </c>
      <c r="H6112" t="s">
        <v>31590</v>
      </c>
      <c r="I6112" t="s">
        <v>3487</v>
      </c>
      <c r="J6112" t="s">
        <v>32101</v>
      </c>
      <c r="K6112" t="s">
        <v>41186</v>
      </c>
      <c r="M6112" t="s">
        <v>42569</v>
      </c>
      <c r="N6112" t="s">
        <v>45095</v>
      </c>
      <c r="O6112" t="s">
        <v>45096</v>
      </c>
      <c r="P6112">
        <v>0</v>
      </c>
      <c r="Q6112">
        <v>14</v>
      </c>
      <c r="R6112" t="s">
        <v>45102</v>
      </c>
      <c r="S6112" t="s">
        <v>45242</v>
      </c>
      <c r="T6112" t="s">
        <v>46965</v>
      </c>
      <c r="U6112" t="s">
        <v>52595</v>
      </c>
      <c r="W6112" t="s">
        <v>61687</v>
      </c>
      <c r="X6112" t="s">
        <v>45103</v>
      </c>
    </row>
    <row r="6113" spans="1:24">
      <c r="A6113">
        <f>HYPERLINK("https://www.philgeps.gov.ph/GEPSNONPILOT/Tender/SplashBidNoticeAbstractUI.aspx?menuIndex=3&amp;refID=7040074&amp;Result=3","7040074")</f>
        <v>0</v>
      </c>
      <c r="B6113" t="s">
        <v>533</v>
      </c>
      <c r="C6113" t="s">
        <v>9041</v>
      </c>
      <c r="E6113" t="s">
        <v>23557</v>
      </c>
      <c r="F6113" t="s">
        <v>31574</v>
      </c>
      <c r="G6113" t="s">
        <v>31581</v>
      </c>
      <c r="H6113" t="s">
        <v>31590</v>
      </c>
      <c r="I6113" t="s">
        <v>14544</v>
      </c>
      <c r="J6113" t="s">
        <v>31960</v>
      </c>
      <c r="K6113" t="s">
        <v>41194</v>
      </c>
      <c r="M6113" t="s">
        <v>42030</v>
      </c>
      <c r="N6113" t="s">
        <v>45095</v>
      </c>
      <c r="O6113" t="s">
        <v>45096</v>
      </c>
      <c r="P6113">
        <v>0</v>
      </c>
      <c r="Q6113">
        <v>1</v>
      </c>
      <c r="R6113" t="s">
        <v>45102</v>
      </c>
      <c r="S6113" t="s">
        <v>45242</v>
      </c>
      <c r="T6113" t="s">
        <v>47046</v>
      </c>
      <c r="U6113" t="s">
        <v>52596</v>
      </c>
      <c r="V6113" t="s">
        <v>59968</v>
      </c>
      <c r="W6113" t="s">
        <v>42945</v>
      </c>
      <c r="X6113" t="s">
        <v>45103</v>
      </c>
    </row>
    <row r="6114" spans="1:24">
      <c r="A6114">
        <f>HYPERLINK("https://www.philgeps.gov.ph/GEPSNONPILOT/Tender/SplashBidNoticeAbstractUI.aspx?menuIndex=3&amp;refID=7040051&amp;Result=3","7040051")</f>
        <v>0</v>
      </c>
      <c r="B6114" t="s">
        <v>955</v>
      </c>
      <c r="C6114" t="s">
        <v>9042</v>
      </c>
      <c r="D6114" t="s">
        <v>18043</v>
      </c>
      <c r="E6114" t="s">
        <v>23558</v>
      </c>
      <c r="F6114" t="s">
        <v>31574</v>
      </c>
      <c r="G6114" t="s">
        <v>31582</v>
      </c>
      <c r="H6114" t="s">
        <v>31590</v>
      </c>
      <c r="I6114" t="s">
        <v>31676</v>
      </c>
      <c r="J6114" t="s">
        <v>32001</v>
      </c>
      <c r="K6114" t="s">
        <v>41184</v>
      </c>
      <c r="M6114" t="s">
        <v>42482</v>
      </c>
      <c r="N6114" t="s">
        <v>45095</v>
      </c>
      <c r="O6114" t="s">
        <v>45096</v>
      </c>
      <c r="P6114">
        <v>0</v>
      </c>
      <c r="Q6114">
        <v>2</v>
      </c>
      <c r="R6114" t="s">
        <v>45102</v>
      </c>
      <c r="S6114" t="s">
        <v>45242</v>
      </c>
      <c r="T6114" t="s">
        <v>47218</v>
      </c>
      <c r="U6114" t="s">
        <v>52597</v>
      </c>
      <c r="W6114" t="s">
        <v>42482</v>
      </c>
      <c r="X6114" t="s">
        <v>45103</v>
      </c>
    </row>
    <row r="6115" spans="1:24">
      <c r="A6115">
        <f>HYPERLINK("https://www.philgeps.gov.ph/GEPSNONPILOT/Tender/SplashBidNoticeAbstractUI.aspx?menuIndex=3&amp;refID=7040078&amp;Result=3","7040078")</f>
        <v>0</v>
      </c>
      <c r="B6115" t="s">
        <v>1920</v>
      </c>
      <c r="C6115" t="s">
        <v>9043</v>
      </c>
      <c r="D6115" t="s">
        <v>18044</v>
      </c>
      <c r="E6115" t="s">
        <v>23559</v>
      </c>
      <c r="F6115" t="s">
        <v>31574</v>
      </c>
      <c r="G6115" t="s">
        <v>31581</v>
      </c>
      <c r="H6115" t="s">
        <v>31590</v>
      </c>
      <c r="I6115" t="s">
        <v>31600</v>
      </c>
      <c r="J6115" t="s">
        <v>35024</v>
      </c>
      <c r="K6115" t="s">
        <v>41211</v>
      </c>
      <c r="M6115" t="s">
        <v>43570</v>
      </c>
      <c r="N6115" t="s">
        <v>45095</v>
      </c>
      <c r="O6115" t="s">
        <v>45096</v>
      </c>
      <c r="P6115">
        <v>0</v>
      </c>
      <c r="Q6115">
        <v>0</v>
      </c>
      <c r="R6115" t="s">
        <v>45102</v>
      </c>
      <c r="S6115" t="s">
        <v>45242</v>
      </c>
      <c r="T6115" t="s">
        <v>47164</v>
      </c>
      <c r="U6115" t="s">
        <v>52598</v>
      </c>
      <c r="W6115" t="s">
        <v>43570</v>
      </c>
      <c r="X6115" t="s">
        <v>45103</v>
      </c>
    </row>
    <row r="6116" spans="1:24">
      <c r="A6116">
        <f>HYPERLINK("https://www.philgeps.gov.ph/GEPSNONPILOT/Tender/SplashBidNoticeAbstractUI.aspx?menuIndex=3&amp;refID=7040075&amp;Result=3","7040075")</f>
        <v>0</v>
      </c>
      <c r="B6116" t="s">
        <v>1916</v>
      </c>
      <c r="C6116" t="s">
        <v>9044</v>
      </c>
      <c r="D6116" t="s">
        <v>18023</v>
      </c>
      <c r="E6116" t="s">
        <v>23560</v>
      </c>
      <c r="F6116" t="s">
        <v>31574</v>
      </c>
      <c r="G6116" t="s">
        <v>31581</v>
      </c>
      <c r="H6116" t="s">
        <v>31590</v>
      </c>
      <c r="I6116" t="s">
        <v>4046</v>
      </c>
      <c r="J6116" t="s">
        <v>35669</v>
      </c>
      <c r="K6116" t="s">
        <v>41186</v>
      </c>
      <c r="M6116" t="s">
        <v>43566</v>
      </c>
      <c r="N6116" t="s">
        <v>45095</v>
      </c>
      <c r="O6116" t="s">
        <v>45096</v>
      </c>
      <c r="P6116">
        <v>0</v>
      </c>
      <c r="Q6116">
        <v>0</v>
      </c>
      <c r="R6116" t="s">
        <v>45102</v>
      </c>
      <c r="S6116" t="s">
        <v>45242</v>
      </c>
      <c r="T6116" t="s">
        <v>46918</v>
      </c>
      <c r="U6116" t="s">
        <v>52599</v>
      </c>
      <c r="W6116" t="s">
        <v>43566</v>
      </c>
      <c r="X6116" t="s">
        <v>45103</v>
      </c>
    </row>
    <row r="6117" spans="1:24">
      <c r="A6117">
        <f>HYPERLINK("https://www.philgeps.gov.ph/GEPSNONPILOT/Tender/SplashBidNoticeAbstractUI.aspx?menuIndex=3&amp;refID=7040079&amp;Result=3","7040079")</f>
        <v>0</v>
      </c>
      <c r="B6117" t="s">
        <v>1447</v>
      </c>
      <c r="C6117" t="s">
        <v>9045</v>
      </c>
      <c r="D6117" t="s">
        <v>18022</v>
      </c>
      <c r="E6117" t="s">
        <v>23561</v>
      </c>
      <c r="F6117" t="s">
        <v>31574</v>
      </c>
      <c r="G6117" t="s">
        <v>31583</v>
      </c>
      <c r="H6117" t="s">
        <v>31590</v>
      </c>
      <c r="I6117" t="s">
        <v>31713</v>
      </c>
      <c r="J6117" t="s">
        <v>35670</v>
      </c>
      <c r="K6117" t="s">
        <v>41185</v>
      </c>
      <c r="M6117" t="s">
        <v>43026</v>
      </c>
      <c r="N6117" t="s">
        <v>45095</v>
      </c>
      <c r="O6117" t="s">
        <v>45096</v>
      </c>
      <c r="P6117">
        <v>0</v>
      </c>
      <c r="Q6117">
        <v>4</v>
      </c>
      <c r="R6117" t="s">
        <v>45102</v>
      </c>
      <c r="S6117" t="s">
        <v>45242</v>
      </c>
      <c r="T6117" t="s">
        <v>47110</v>
      </c>
      <c r="U6117" t="s">
        <v>52600</v>
      </c>
      <c r="W6117" t="s">
        <v>43026</v>
      </c>
      <c r="X6117" t="s">
        <v>45103</v>
      </c>
    </row>
    <row r="6118" spans="1:24">
      <c r="A6118">
        <f>HYPERLINK("https://www.philgeps.gov.ph/GEPSNONPILOT/Tender/SplashBidNoticeAbstractUI.aspx?menuIndex=3&amp;refID=7040068&amp;Result=3","7040068")</f>
        <v>0</v>
      </c>
      <c r="B6118" t="s">
        <v>533</v>
      </c>
      <c r="C6118" t="s">
        <v>9046</v>
      </c>
      <c r="D6118" t="s">
        <v>18075</v>
      </c>
      <c r="E6118" t="s">
        <v>23562</v>
      </c>
      <c r="F6118" t="s">
        <v>31574</v>
      </c>
      <c r="G6118" t="s">
        <v>31581</v>
      </c>
      <c r="H6118" t="s">
        <v>31591</v>
      </c>
      <c r="I6118" t="s">
        <v>8822</v>
      </c>
      <c r="J6118" t="s">
        <v>31935</v>
      </c>
      <c r="K6118" t="s">
        <v>41333</v>
      </c>
      <c r="M6118" t="s">
        <v>43099</v>
      </c>
      <c r="N6118" t="s">
        <v>45095</v>
      </c>
      <c r="O6118" t="s">
        <v>45096</v>
      </c>
      <c r="P6118">
        <v>0</v>
      </c>
      <c r="Q6118">
        <v>0</v>
      </c>
      <c r="R6118" t="s">
        <v>45102</v>
      </c>
      <c r="S6118" t="s">
        <v>45242</v>
      </c>
      <c r="T6118" t="s">
        <v>47276</v>
      </c>
      <c r="U6118" t="s">
        <v>50835</v>
      </c>
      <c r="W6118" t="s">
        <v>42964</v>
      </c>
      <c r="X6118" t="s">
        <v>45103</v>
      </c>
    </row>
    <row r="6119" spans="1:24">
      <c r="A6119">
        <f>HYPERLINK("https://www.philgeps.gov.ph/GEPSNONPILOT/Tender/SplashBidNoticeAbstractUI.aspx?menuIndex=3&amp;refID=7040064&amp;Result=3","7040064")</f>
        <v>0</v>
      </c>
      <c r="B6119" t="s">
        <v>670</v>
      </c>
      <c r="C6119" t="s">
        <v>9047</v>
      </c>
      <c r="D6119" t="s">
        <v>18022</v>
      </c>
      <c r="E6119" t="s">
        <v>23563</v>
      </c>
      <c r="F6119" t="s">
        <v>31574</v>
      </c>
      <c r="G6119" t="s">
        <v>31582</v>
      </c>
      <c r="H6119" t="s">
        <v>31592</v>
      </c>
      <c r="I6119" t="s">
        <v>31608</v>
      </c>
      <c r="J6119" t="s">
        <v>31890</v>
      </c>
      <c r="K6119" t="s">
        <v>41225</v>
      </c>
      <c r="M6119" t="s">
        <v>43571</v>
      </c>
      <c r="N6119" t="s">
        <v>45095</v>
      </c>
      <c r="O6119" t="s">
        <v>45096</v>
      </c>
      <c r="P6119">
        <v>0</v>
      </c>
      <c r="Q6119">
        <v>1</v>
      </c>
      <c r="R6119" t="s">
        <v>45102</v>
      </c>
      <c r="S6119" t="s">
        <v>45242</v>
      </c>
      <c r="T6119" t="s">
        <v>47004</v>
      </c>
      <c r="U6119" t="s">
        <v>52601</v>
      </c>
      <c r="W6119" t="s">
        <v>43571</v>
      </c>
      <c r="X6119" t="s">
        <v>45103</v>
      </c>
    </row>
    <row r="6120" spans="1:24">
      <c r="A6120">
        <f>HYPERLINK("https://www.philgeps.gov.ph/GEPSNONPILOT/Tender/SplashBidNoticeAbstractUI.aspx?menuIndex=3&amp;refID=7040069&amp;Result=3","7040069")</f>
        <v>0</v>
      </c>
      <c r="B6120" t="s">
        <v>1912</v>
      </c>
      <c r="C6120" t="s">
        <v>9048</v>
      </c>
      <c r="D6120" t="s">
        <v>18035</v>
      </c>
      <c r="E6120" t="s">
        <v>23564</v>
      </c>
      <c r="F6120" t="s">
        <v>31574</v>
      </c>
      <c r="G6120" t="s">
        <v>31582</v>
      </c>
      <c r="H6120" t="s">
        <v>31591</v>
      </c>
      <c r="I6120" t="s">
        <v>8822</v>
      </c>
      <c r="J6120" t="s">
        <v>35671</v>
      </c>
      <c r="K6120" t="s">
        <v>41184</v>
      </c>
      <c r="M6120" t="s">
        <v>43560</v>
      </c>
      <c r="N6120" t="s">
        <v>45095</v>
      </c>
      <c r="O6120" t="s">
        <v>45096</v>
      </c>
      <c r="P6120">
        <v>0</v>
      </c>
      <c r="Q6120">
        <v>0</v>
      </c>
      <c r="R6120" t="s">
        <v>45102</v>
      </c>
      <c r="S6120" t="s">
        <v>45242</v>
      </c>
      <c r="T6120" t="s">
        <v>46957</v>
      </c>
      <c r="U6120" t="s">
        <v>52602</v>
      </c>
      <c r="V6120" t="s">
        <v>60432</v>
      </c>
      <c r="W6120" t="s">
        <v>43560</v>
      </c>
      <c r="X6120" t="s">
        <v>45103</v>
      </c>
    </row>
    <row r="6121" spans="1:24">
      <c r="A6121">
        <f>HYPERLINK("https://www.philgeps.gov.ph/GEPSNONPILOT/Tender/SplashBidNoticeAbstractUI.aspx?menuIndex=3&amp;refID=7040080&amp;Result=3","7040080")</f>
        <v>0</v>
      </c>
      <c r="B6121" t="s">
        <v>670</v>
      </c>
      <c r="C6121" t="s">
        <v>9049</v>
      </c>
      <c r="D6121" t="s">
        <v>18022</v>
      </c>
      <c r="E6121" t="s">
        <v>23565</v>
      </c>
      <c r="F6121" t="s">
        <v>31574</v>
      </c>
      <c r="G6121" t="s">
        <v>31581</v>
      </c>
      <c r="H6121" t="s">
        <v>31590</v>
      </c>
      <c r="I6121" t="s">
        <v>14544</v>
      </c>
      <c r="J6121" t="s">
        <v>35672</v>
      </c>
      <c r="K6121" t="s">
        <v>41186</v>
      </c>
      <c r="M6121" t="s">
        <v>43562</v>
      </c>
      <c r="N6121" t="s">
        <v>45095</v>
      </c>
      <c r="O6121" t="s">
        <v>45096</v>
      </c>
      <c r="Q6121">
        <v>3</v>
      </c>
      <c r="R6121" t="s">
        <v>45102</v>
      </c>
      <c r="S6121" t="s">
        <v>45263</v>
      </c>
      <c r="T6121" t="s">
        <v>47154</v>
      </c>
      <c r="U6121" t="s">
        <v>52603</v>
      </c>
      <c r="W6121" t="s">
        <v>43562</v>
      </c>
      <c r="X6121" t="s">
        <v>45103</v>
      </c>
    </row>
    <row r="6122" spans="1:24">
      <c r="A6122">
        <f>HYPERLINK("https://www.philgeps.gov.ph/GEPSNONPILOT/Tender/SplashBidNoticeAbstractUI.aspx?menuIndex=3&amp;refID=7040065&amp;Result=3","7040065")</f>
        <v>0</v>
      </c>
      <c r="B6122" t="s">
        <v>1893</v>
      </c>
      <c r="C6122" t="s">
        <v>9050</v>
      </c>
      <c r="E6122" t="s">
        <v>23566</v>
      </c>
      <c r="F6122" t="s">
        <v>31574</v>
      </c>
      <c r="G6122" t="s">
        <v>31582</v>
      </c>
      <c r="H6122" t="s">
        <v>31590</v>
      </c>
      <c r="I6122" t="s">
        <v>4046</v>
      </c>
      <c r="J6122" t="s">
        <v>35673</v>
      </c>
      <c r="K6122" t="s">
        <v>41190</v>
      </c>
      <c r="M6122" t="s">
        <v>43536</v>
      </c>
      <c r="N6122" t="s">
        <v>45095</v>
      </c>
      <c r="O6122" t="s">
        <v>45096</v>
      </c>
      <c r="P6122">
        <v>0</v>
      </c>
      <c r="Q6122">
        <v>0</v>
      </c>
      <c r="R6122" t="s">
        <v>45102</v>
      </c>
      <c r="S6122" t="s">
        <v>45242</v>
      </c>
      <c r="T6122" t="s">
        <v>46965</v>
      </c>
      <c r="U6122" t="s">
        <v>52604</v>
      </c>
      <c r="W6122" t="s">
        <v>43536</v>
      </c>
      <c r="X6122" t="s">
        <v>45103</v>
      </c>
    </row>
    <row r="6123" spans="1:24">
      <c r="A6123">
        <f>HYPERLINK("https://www.philgeps.gov.ph/GEPSNONPILOT/Tender/SplashBidNoticeAbstractUI.aspx?menuIndex=3&amp;refID=7040088&amp;Result=3","7040088")</f>
        <v>0</v>
      </c>
      <c r="B6123" t="s">
        <v>1672</v>
      </c>
      <c r="C6123" t="s">
        <v>9051</v>
      </c>
      <c r="D6123" t="s">
        <v>18022</v>
      </c>
      <c r="E6123" t="s">
        <v>23567</v>
      </c>
      <c r="F6123" t="s">
        <v>31574</v>
      </c>
      <c r="G6123" t="s">
        <v>31582</v>
      </c>
      <c r="H6123" t="s">
        <v>31590</v>
      </c>
      <c r="I6123" t="s">
        <v>31608</v>
      </c>
      <c r="J6123" t="s">
        <v>35674</v>
      </c>
      <c r="K6123" t="s">
        <v>41185</v>
      </c>
      <c r="M6123" t="s">
        <v>43285</v>
      </c>
      <c r="N6123" t="s">
        <v>45095</v>
      </c>
      <c r="O6123" t="s">
        <v>45096</v>
      </c>
      <c r="P6123">
        <v>0</v>
      </c>
      <c r="Q6123">
        <v>6</v>
      </c>
      <c r="R6123" t="s">
        <v>45102</v>
      </c>
      <c r="S6123" t="s">
        <v>45242</v>
      </c>
      <c r="T6123" t="s">
        <v>47232</v>
      </c>
      <c r="U6123" t="s">
        <v>50610</v>
      </c>
      <c r="W6123" t="s">
        <v>43285</v>
      </c>
      <c r="X6123" t="s">
        <v>45103</v>
      </c>
    </row>
    <row r="6124" spans="1:24">
      <c r="A6124">
        <f>HYPERLINK("https://www.philgeps.gov.ph/GEPSNONPILOT/Tender/SplashBidNoticeAbstractUI.aspx?menuIndex=3&amp;refID=7040089&amp;Result=3","7040089")</f>
        <v>0</v>
      </c>
      <c r="B6124" t="s">
        <v>530</v>
      </c>
      <c r="C6124" t="s">
        <v>9052</v>
      </c>
      <c r="D6124" t="s">
        <v>18071</v>
      </c>
      <c r="E6124" t="s">
        <v>9052</v>
      </c>
      <c r="F6124" t="s">
        <v>31574</v>
      </c>
      <c r="G6124" t="s">
        <v>31582</v>
      </c>
      <c r="H6124" t="s">
        <v>31590</v>
      </c>
      <c r="I6124" t="s">
        <v>31621</v>
      </c>
      <c r="J6124" t="s">
        <v>35675</v>
      </c>
      <c r="K6124" t="s">
        <v>41186</v>
      </c>
      <c r="M6124" t="s">
        <v>42027</v>
      </c>
      <c r="N6124" t="s">
        <v>45095</v>
      </c>
      <c r="O6124" t="s">
        <v>45096</v>
      </c>
      <c r="P6124">
        <v>0</v>
      </c>
      <c r="Q6124">
        <v>1</v>
      </c>
      <c r="R6124" t="s">
        <v>45102</v>
      </c>
      <c r="S6124" t="s">
        <v>45242</v>
      </c>
      <c r="T6124" t="s">
        <v>47003</v>
      </c>
      <c r="U6124" t="s">
        <v>52605</v>
      </c>
      <c r="W6124" t="s">
        <v>42027</v>
      </c>
      <c r="X6124" t="s">
        <v>45103</v>
      </c>
    </row>
    <row r="6125" spans="1:24">
      <c r="A6125">
        <f>HYPERLINK("https://www.philgeps.gov.ph/GEPSNONPILOT/Tender/SplashBidNoticeAbstractUI.aspx?menuIndex=3&amp;refID=7040096&amp;Result=3","7040096")</f>
        <v>0</v>
      </c>
      <c r="B6125" t="s">
        <v>533</v>
      </c>
      <c r="C6125" t="s">
        <v>9053</v>
      </c>
      <c r="D6125" t="s">
        <v>18075</v>
      </c>
      <c r="E6125" t="s">
        <v>23568</v>
      </c>
      <c r="F6125" t="s">
        <v>31574</v>
      </c>
      <c r="G6125" t="s">
        <v>31581</v>
      </c>
      <c r="H6125" t="s">
        <v>31591</v>
      </c>
      <c r="I6125" t="s">
        <v>8822</v>
      </c>
      <c r="J6125" t="s">
        <v>32019</v>
      </c>
      <c r="K6125" t="s">
        <v>41264</v>
      </c>
      <c r="M6125" t="s">
        <v>43099</v>
      </c>
      <c r="N6125" t="s">
        <v>45095</v>
      </c>
      <c r="O6125" t="s">
        <v>45096</v>
      </c>
      <c r="P6125">
        <v>0</v>
      </c>
      <c r="Q6125">
        <v>1</v>
      </c>
      <c r="R6125" t="s">
        <v>45102</v>
      </c>
      <c r="S6125" t="s">
        <v>45242</v>
      </c>
      <c r="T6125" t="s">
        <v>47276</v>
      </c>
      <c r="U6125" t="s">
        <v>50835</v>
      </c>
      <c r="W6125" t="s">
        <v>42964</v>
      </c>
      <c r="X6125" t="s">
        <v>45103</v>
      </c>
    </row>
    <row r="6126" spans="1:24">
      <c r="A6126">
        <f>HYPERLINK("https://www.philgeps.gov.ph/GEPSNONPILOT/Tender/SplashBidNoticeAbstractUI.aspx?menuIndex=3&amp;refID=7040087&amp;Result=3","7040087")</f>
        <v>0</v>
      </c>
      <c r="B6126" t="s">
        <v>1406</v>
      </c>
      <c r="C6126" t="s">
        <v>9054</v>
      </c>
      <c r="D6126" t="s">
        <v>18071</v>
      </c>
      <c r="E6126" t="s">
        <v>23569</v>
      </c>
      <c r="F6126" t="s">
        <v>31574</v>
      </c>
      <c r="G6126" t="s">
        <v>31581</v>
      </c>
      <c r="H6126" t="s">
        <v>31590</v>
      </c>
      <c r="I6126" t="s">
        <v>31625</v>
      </c>
      <c r="J6126" t="s">
        <v>35676</v>
      </c>
      <c r="K6126" t="s">
        <v>41197</v>
      </c>
      <c r="M6126" t="s">
        <v>42982</v>
      </c>
      <c r="N6126" t="s">
        <v>45095</v>
      </c>
      <c r="O6126" t="s">
        <v>45096</v>
      </c>
      <c r="P6126">
        <v>0</v>
      </c>
      <c r="Q6126">
        <v>0</v>
      </c>
      <c r="R6126" t="s">
        <v>45102</v>
      </c>
      <c r="S6126" t="s">
        <v>45242</v>
      </c>
      <c r="T6126" t="s">
        <v>47050</v>
      </c>
      <c r="U6126" t="s">
        <v>52606</v>
      </c>
      <c r="V6126" t="s">
        <v>60500</v>
      </c>
      <c r="W6126" t="s">
        <v>42982</v>
      </c>
      <c r="X6126" t="s">
        <v>45103</v>
      </c>
    </row>
    <row r="6127" spans="1:24">
      <c r="A6127">
        <f>HYPERLINK("https://www.philgeps.gov.ph/GEPSNONPILOT/Tender/SplashBidNoticeAbstractUI.aspx?menuIndex=3&amp;refID=7040086&amp;Result=3","7040086")</f>
        <v>0</v>
      </c>
      <c r="B6127" t="s">
        <v>683</v>
      </c>
      <c r="C6127" t="s">
        <v>9055</v>
      </c>
      <c r="D6127" t="s">
        <v>18059</v>
      </c>
      <c r="E6127" t="s">
        <v>23570</v>
      </c>
      <c r="F6127" t="s">
        <v>31574</v>
      </c>
      <c r="G6127" t="s">
        <v>31581</v>
      </c>
      <c r="H6127" t="s">
        <v>31590</v>
      </c>
      <c r="I6127" t="s">
        <v>14544</v>
      </c>
      <c r="J6127" t="s">
        <v>35677</v>
      </c>
      <c r="K6127" t="s">
        <v>41184</v>
      </c>
      <c r="M6127" t="s">
        <v>43558</v>
      </c>
      <c r="N6127" t="s">
        <v>45095</v>
      </c>
      <c r="O6127" t="s">
        <v>45096</v>
      </c>
      <c r="P6127">
        <v>0</v>
      </c>
      <c r="Q6127">
        <v>0</v>
      </c>
      <c r="R6127" t="s">
        <v>45102</v>
      </c>
      <c r="S6127" t="s">
        <v>45242</v>
      </c>
      <c r="T6127" t="s">
        <v>47159</v>
      </c>
      <c r="U6127" t="s">
        <v>52607</v>
      </c>
      <c r="W6127" t="s">
        <v>43558</v>
      </c>
      <c r="X6127" t="s">
        <v>45103</v>
      </c>
    </row>
    <row r="6128" spans="1:24">
      <c r="A6128">
        <f>HYPERLINK("https://www.philgeps.gov.ph/GEPSNONPILOT/Tender/SplashBidNoticeAbstractUI.aspx?menuIndex=3&amp;refID=7040083&amp;Result=3","7040083")</f>
        <v>0</v>
      </c>
      <c r="B6128" t="s">
        <v>248</v>
      </c>
      <c r="C6128" t="s">
        <v>9056</v>
      </c>
      <c r="D6128" t="s">
        <v>18075</v>
      </c>
      <c r="E6128" t="s">
        <v>18587</v>
      </c>
      <c r="F6128" t="s">
        <v>31574</v>
      </c>
      <c r="G6128" t="s">
        <v>31581</v>
      </c>
      <c r="H6128" t="s">
        <v>31590</v>
      </c>
      <c r="I6128" t="s">
        <v>31608</v>
      </c>
      <c r="J6128" t="s">
        <v>35678</v>
      </c>
      <c r="K6128" t="s">
        <v>41196</v>
      </c>
      <c r="M6128" t="s">
        <v>43572</v>
      </c>
      <c r="N6128" t="s">
        <v>45095</v>
      </c>
      <c r="O6128" t="s">
        <v>45096</v>
      </c>
      <c r="P6128">
        <v>0</v>
      </c>
      <c r="Q6128">
        <v>4</v>
      </c>
      <c r="R6128" t="s">
        <v>45102</v>
      </c>
      <c r="S6128" t="s">
        <v>45242</v>
      </c>
      <c r="T6128" t="s">
        <v>47162</v>
      </c>
      <c r="U6128" t="s">
        <v>52608</v>
      </c>
      <c r="W6128" t="s">
        <v>43572</v>
      </c>
      <c r="X6128" t="s">
        <v>45103</v>
      </c>
    </row>
    <row r="6129" spans="1:24">
      <c r="A6129">
        <f>HYPERLINK("https://www.philgeps.gov.ph/GEPSNONPILOT/Tender/SplashBidNoticeAbstractUI.aspx?menuIndex=3&amp;refID=7040100&amp;Result=3","7040100")</f>
        <v>0</v>
      </c>
      <c r="B6129" t="s">
        <v>1893</v>
      </c>
      <c r="C6129" t="s">
        <v>9057</v>
      </c>
      <c r="E6129" t="s">
        <v>9057</v>
      </c>
      <c r="F6129" t="s">
        <v>31574</v>
      </c>
      <c r="G6129" t="s">
        <v>31582</v>
      </c>
      <c r="H6129" t="s">
        <v>31590</v>
      </c>
      <c r="I6129" t="s">
        <v>8822</v>
      </c>
      <c r="J6129" t="s">
        <v>35679</v>
      </c>
      <c r="K6129" t="s">
        <v>41190</v>
      </c>
      <c r="M6129" t="s">
        <v>43536</v>
      </c>
      <c r="N6129" t="s">
        <v>45095</v>
      </c>
      <c r="O6129" t="s">
        <v>45096</v>
      </c>
      <c r="P6129">
        <v>0</v>
      </c>
      <c r="Q6129">
        <v>0</v>
      </c>
      <c r="R6129" t="s">
        <v>45102</v>
      </c>
      <c r="S6129" t="s">
        <v>45242</v>
      </c>
      <c r="T6129" t="s">
        <v>46965</v>
      </c>
      <c r="U6129" t="s">
        <v>52609</v>
      </c>
      <c r="W6129" t="s">
        <v>43536</v>
      </c>
      <c r="X6129" t="s">
        <v>45103</v>
      </c>
    </row>
    <row r="6130" spans="1:24">
      <c r="A6130">
        <f>HYPERLINK("https://www.philgeps.gov.ph/GEPSNONPILOT/Tender/SplashBidNoticeAbstractUI.aspx?menuIndex=3&amp;refID=7040107&amp;Result=3","7040107")</f>
        <v>0</v>
      </c>
      <c r="B6130" t="s">
        <v>1915</v>
      </c>
      <c r="C6130" t="s">
        <v>9058</v>
      </c>
      <c r="D6130" t="s">
        <v>18099</v>
      </c>
      <c r="E6130" t="s">
        <v>23571</v>
      </c>
      <c r="F6130" t="s">
        <v>31574</v>
      </c>
      <c r="G6130" t="s">
        <v>31582</v>
      </c>
      <c r="H6130" t="s">
        <v>31591</v>
      </c>
      <c r="I6130" t="s">
        <v>8822</v>
      </c>
      <c r="J6130" t="s">
        <v>35680</v>
      </c>
      <c r="K6130" t="s">
        <v>41224</v>
      </c>
      <c r="M6130" t="s">
        <v>43565</v>
      </c>
      <c r="N6130" t="s">
        <v>45095</v>
      </c>
      <c r="O6130" t="s">
        <v>45096</v>
      </c>
      <c r="P6130">
        <v>0</v>
      </c>
      <c r="Q6130">
        <v>0</v>
      </c>
      <c r="R6130" t="s">
        <v>45102</v>
      </c>
      <c r="S6130" t="s">
        <v>45242</v>
      </c>
      <c r="T6130" t="s">
        <v>46933</v>
      </c>
      <c r="U6130" t="s">
        <v>52610</v>
      </c>
      <c r="W6130" t="s">
        <v>43565</v>
      </c>
      <c r="X6130" t="s">
        <v>45103</v>
      </c>
    </row>
    <row r="6131" spans="1:24">
      <c r="A6131">
        <f>HYPERLINK("https://www.philgeps.gov.ph/GEPSNONPILOT/Tender/SplashBidNoticeAbstractUI.aspx?menuIndex=3&amp;refID=7040084&amp;Result=3","7040084")</f>
        <v>0</v>
      </c>
      <c r="B6131" t="s">
        <v>533</v>
      </c>
      <c r="C6131" t="s">
        <v>9059</v>
      </c>
      <c r="D6131" t="s">
        <v>18075</v>
      </c>
      <c r="E6131" t="s">
        <v>23572</v>
      </c>
      <c r="F6131" t="s">
        <v>31574</v>
      </c>
      <c r="G6131" t="s">
        <v>31581</v>
      </c>
      <c r="H6131" t="s">
        <v>31591</v>
      </c>
      <c r="I6131" t="s">
        <v>8822</v>
      </c>
      <c r="J6131" t="s">
        <v>32049</v>
      </c>
      <c r="K6131" t="s">
        <v>41246</v>
      </c>
      <c r="M6131" t="s">
        <v>43099</v>
      </c>
      <c r="N6131" t="s">
        <v>45095</v>
      </c>
      <c r="O6131" t="s">
        <v>45096</v>
      </c>
      <c r="P6131">
        <v>0</v>
      </c>
      <c r="Q6131">
        <v>0</v>
      </c>
      <c r="R6131" t="s">
        <v>45102</v>
      </c>
      <c r="S6131" t="s">
        <v>45242</v>
      </c>
      <c r="T6131" t="s">
        <v>47276</v>
      </c>
      <c r="U6131" t="s">
        <v>50835</v>
      </c>
      <c r="W6131" t="s">
        <v>42964</v>
      </c>
      <c r="X6131" t="s">
        <v>45103</v>
      </c>
    </row>
    <row r="6132" spans="1:24">
      <c r="A6132">
        <f>HYPERLINK("https://www.philgeps.gov.ph/GEPSNONPILOT/Tender/SplashBidNoticeAbstractUI.aspx?menuIndex=3&amp;refID=7040081&amp;Result=3","7040081")</f>
        <v>0</v>
      </c>
      <c r="B6132" t="s">
        <v>62</v>
      </c>
      <c r="C6132" t="s">
        <v>9060</v>
      </c>
      <c r="D6132" t="s">
        <v>18037</v>
      </c>
      <c r="E6132" t="s">
        <v>23573</v>
      </c>
      <c r="F6132" t="s">
        <v>31574</v>
      </c>
      <c r="G6132" t="s">
        <v>31581</v>
      </c>
      <c r="H6132" t="s">
        <v>31590</v>
      </c>
      <c r="I6132" t="s">
        <v>31655</v>
      </c>
      <c r="J6132" t="s">
        <v>35681</v>
      </c>
      <c r="K6132" t="s">
        <v>41184</v>
      </c>
      <c r="L6132" t="s">
        <v>62</v>
      </c>
      <c r="M6132" t="s">
        <v>41546</v>
      </c>
      <c r="N6132" t="s">
        <v>45095</v>
      </c>
      <c r="O6132" t="s">
        <v>45096</v>
      </c>
      <c r="P6132">
        <v>0</v>
      </c>
      <c r="Q6132">
        <v>4</v>
      </c>
      <c r="R6132" t="s">
        <v>45102</v>
      </c>
      <c r="S6132" t="s">
        <v>45242</v>
      </c>
      <c r="T6132" t="s">
        <v>47050</v>
      </c>
      <c r="U6132" t="s">
        <v>52611</v>
      </c>
      <c r="W6132" t="s">
        <v>41546</v>
      </c>
      <c r="X6132" t="s">
        <v>45103</v>
      </c>
    </row>
    <row r="6133" spans="1:24">
      <c r="A6133">
        <f>HYPERLINK("https://www.philgeps.gov.ph/GEPSNONPILOT/Tender/SplashBidNoticeAbstractUI.aspx?menuIndex=3&amp;refID=7040102&amp;Result=3","7040102")</f>
        <v>0</v>
      </c>
      <c r="B6133" t="s">
        <v>1648</v>
      </c>
      <c r="C6133" t="s">
        <v>9061</v>
      </c>
      <c r="E6133" t="s">
        <v>23574</v>
      </c>
      <c r="F6133" t="s">
        <v>31574</v>
      </c>
      <c r="G6133" t="s">
        <v>31581</v>
      </c>
      <c r="H6133" t="s">
        <v>31590</v>
      </c>
      <c r="I6133" t="s">
        <v>31594</v>
      </c>
      <c r="J6133" t="s">
        <v>35682</v>
      </c>
      <c r="K6133" t="s">
        <v>41186</v>
      </c>
      <c r="M6133" t="s">
        <v>43259</v>
      </c>
      <c r="N6133" t="s">
        <v>45095</v>
      </c>
      <c r="O6133" t="s">
        <v>45096</v>
      </c>
      <c r="P6133">
        <v>0</v>
      </c>
      <c r="Q6133">
        <v>4</v>
      </c>
      <c r="R6133" t="s">
        <v>45102</v>
      </c>
      <c r="S6133" t="s">
        <v>45242</v>
      </c>
      <c r="T6133" t="s">
        <v>47162</v>
      </c>
      <c r="U6133" t="s">
        <v>52503</v>
      </c>
      <c r="W6133" t="s">
        <v>61714</v>
      </c>
      <c r="X6133" t="s">
        <v>45103</v>
      </c>
    </row>
    <row r="6134" spans="1:24">
      <c r="A6134">
        <f>HYPERLINK("https://www.philgeps.gov.ph/GEPSNONPILOT/Tender/SplashBidNoticeAbstractUI.aspx?menuIndex=3&amp;refID=7040111&amp;Result=3","7040111")</f>
        <v>0</v>
      </c>
      <c r="B6134" t="s">
        <v>533</v>
      </c>
      <c r="C6134" t="s">
        <v>9062</v>
      </c>
      <c r="D6134" t="s">
        <v>18075</v>
      </c>
      <c r="E6134" t="s">
        <v>23575</v>
      </c>
      <c r="F6134" t="s">
        <v>31574</v>
      </c>
      <c r="G6134" t="s">
        <v>31581</v>
      </c>
      <c r="H6134" t="s">
        <v>31591</v>
      </c>
      <c r="I6134" t="s">
        <v>8822</v>
      </c>
      <c r="J6134" t="s">
        <v>31821</v>
      </c>
      <c r="K6134" t="s">
        <v>41286</v>
      </c>
      <c r="M6134" t="s">
        <v>43099</v>
      </c>
      <c r="N6134" t="s">
        <v>45095</v>
      </c>
      <c r="O6134" t="s">
        <v>45096</v>
      </c>
      <c r="P6134">
        <v>0</v>
      </c>
      <c r="Q6134">
        <v>1</v>
      </c>
      <c r="R6134" t="s">
        <v>45102</v>
      </c>
      <c r="S6134" t="s">
        <v>45242</v>
      </c>
      <c r="T6134" t="s">
        <v>47276</v>
      </c>
      <c r="U6134" t="s">
        <v>50835</v>
      </c>
      <c r="W6134" t="s">
        <v>42964</v>
      </c>
      <c r="X6134" t="s">
        <v>45103</v>
      </c>
    </row>
    <row r="6135" spans="1:24">
      <c r="A6135">
        <f>HYPERLINK("https://www.philgeps.gov.ph/GEPSNONPILOT/Tender/SplashBidNoticeAbstractUI.aspx?menuIndex=3&amp;refID=7040095&amp;Result=3","7040095")</f>
        <v>0</v>
      </c>
      <c r="B6135" t="s">
        <v>1429</v>
      </c>
      <c r="C6135" t="s">
        <v>9063</v>
      </c>
      <c r="D6135" t="s">
        <v>18072</v>
      </c>
      <c r="E6135" t="s">
        <v>23576</v>
      </c>
      <c r="F6135" t="s">
        <v>31574</v>
      </c>
      <c r="G6135" t="s">
        <v>31582</v>
      </c>
      <c r="H6135" t="s">
        <v>31590</v>
      </c>
      <c r="I6135" t="s">
        <v>31616</v>
      </c>
      <c r="J6135" t="s">
        <v>35082</v>
      </c>
      <c r="K6135" t="s">
        <v>41186</v>
      </c>
      <c r="M6135" t="s">
        <v>43005</v>
      </c>
      <c r="N6135" t="s">
        <v>45095</v>
      </c>
      <c r="O6135" t="s">
        <v>45096</v>
      </c>
      <c r="P6135">
        <v>0</v>
      </c>
      <c r="Q6135">
        <v>4</v>
      </c>
      <c r="R6135" t="s">
        <v>45102</v>
      </c>
      <c r="S6135" t="s">
        <v>45242</v>
      </c>
      <c r="T6135" t="s">
        <v>47279</v>
      </c>
      <c r="U6135" t="s">
        <v>52612</v>
      </c>
      <c r="V6135" t="s">
        <v>60501</v>
      </c>
      <c r="W6135" t="s">
        <v>43005</v>
      </c>
      <c r="X6135" t="s">
        <v>45103</v>
      </c>
    </row>
    <row r="6136" spans="1:24">
      <c r="A6136">
        <f>HYPERLINK("https://www.philgeps.gov.ph/GEPSNONPILOT/Tender/SplashBidNoticeAbstractUI.aspx?menuIndex=3&amp;refID=7040104&amp;Result=3","7040104")</f>
        <v>0</v>
      </c>
      <c r="B6136" t="s">
        <v>1827</v>
      </c>
      <c r="C6136" t="s">
        <v>9064</v>
      </c>
      <c r="D6136" t="s">
        <v>18028</v>
      </c>
      <c r="E6136" t="s">
        <v>23577</v>
      </c>
      <c r="F6136" t="s">
        <v>31574</v>
      </c>
      <c r="G6136" t="s">
        <v>31582</v>
      </c>
      <c r="H6136" t="s">
        <v>31591</v>
      </c>
      <c r="I6136" t="s">
        <v>8822</v>
      </c>
      <c r="J6136" t="s">
        <v>32019</v>
      </c>
      <c r="K6136" t="s">
        <v>41184</v>
      </c>
      <c r="M6136" t="s">
        <v>43463</v>
      </c>
      <c r="N6136" t="s">
        <v>45095</v>
      </c>
      <c r="O6136" t="s">
        <v>45096</v>
      </c>
      <c r="P6136">
        <v>0</v>
      </c>
      <c r="Q6136">
        <v>0</v>
      </c>
      <c r="R6136" t="s">
        <v>45102</v>
      </c>
      <c r="S6136" t="s">
        <v>45242</v>
      </c>
      <c r="T6136" t="s">
        <v>47255</v>
      </c>
      <c r="U6136" t="s">
        <v>52613</v>
      </c>
      <c r="V6136" t="s">
        <v>60447</v>
      </c>
      <c r="W6136" t="s">
        <v>43463</v>
      </c>
      <c r="X6136" t="s">
        <v>45103</v>
      </c>
    </row>
    <row r="6137" spans="1:24">
      <c r="A6137">
        <f>HYPERLINK("https://www.philgeps.gov.ph/GEPSNONPILOT/Tender/SplashBidNoticeAbstractUI.aspx?menuIndex=3&amp;refID=7040094&amp;Result=3","7040094")</f>
        <v>0</v>
      </c>
      <c r="B6137" t="s">
        <v>1921</v>
      </c>
      <c r="C6137" t="s">
        <v>9065</v>
      </c>
      <c r="D6137" t="s">
        <v>18042</v>
      </c>
      <c r="E6137" t="s">
        <v>18377</v>
      </c>
      <c r="F6137" t="s">
        <v>31574</v>
      </c>
      <c r="G6137" t="s">
        <v>31582</v>
      </c>
      <c r="H6137" t="s">
        <v>31590</v>
      </c>
      <c r="I6137" t="s">
        <v>4046</v>
      </c>
      <c r="J6137" t="s">
        <v>35683</v>
      </c>
      <c r="K6137" t="s">
        <v>41190</v>
      </c>
      <c r="M6137" t="s">
        <v>43573</v>
      </c>
      <c r="N6137" t="s">
        <v>45095</v>
      </c>
      <c r="O6137" t="s">
        <v>45096</v>
      </c>
      <c r="P6137">
        <v>0</v>
      </c>
      <c r="Q6137">
        <v>0</v>
      </c>
      <c r="R6137" t="s">
        <v>45102</v>
      </c>
      <c r="S6137" t="s">
        <v>45242</v>
      </c>
      <c r="T6137" t="s">
        <v>46962</v>
      </c>
      <c r="U6137" t="s">
        <v>52614</v>
      </c>
      <c r="W6137" t="s">
        <v>43573</v>
      </c>
      <c r="X6137" t="s">
        <v>45103</v>
      </c>
    </row>
    <row r="6138" spans="1:24">
      <c r="A6138">
        <f>HYPERLINK("https://www.philgeps.gov.ph/GEPSNONPILOT/Tender/SplashBidNoticeAbstractUI.aspx?menuIndex=3&amp;refID=7040112&amp;Result=3","7040112")</f>
        <v>0</v>
      </c>
      <c r="B6138" t="s">
        <v>1848</v>
      </c>
      <c r="C6138" t="s">
        <v>9066</v>
      </c>
      <c r="D6138" t="s">
        <v>18030</v>
      </c>
      <c r="E6138" t="s">
        <v>23578</v>
      </c>
      <c r="F6138" t="s">
        <v>31574</v>
      </c>
      <c r="G6138" t="s">
        <v>31581</v>
      </c>
      <c r="H6138" t="s">
        <v>31590</v>
      </c>
      <c r="I6138" t="s">
        <v>31626</v>
      </c>
      <c r="J6138" t="s">
        <v>35684</v>
      </c>
      <c r="K6138" t="s">
        <v>41210</v>
      </c>
      <c r="M6138" t="s">
        <v>43486</v>
      </c>
      <c r="N6138" t="s">
        <v>45095</v>
      </c>
      <c r="O6138" t="s">
        <v>45096</v>
      </c>
      <c r="P6138">
        <v>0</v>
      </c>
      <c r="Q6138">
        <v>8</v>
      </c>
      <c r="R6138" t="s">
        <v>45102</v>
      </c>
      <c r="S6138" t="s">
        <v>45242</v>
      </c>
      <c r="T6138" t="s">
        <v>47191</v>
      </c>
      <c r="U6138" t="s">
        <v>52615</v>
      </c>
      <c r="W6138" t="s">
        <v>43486</v>
      </c>
      <c r="X6138" t="s">
        <v>45103</v>
      </c>
    </row>
    <row r="6139" spans="1:24">
      <c r="A6139">
        <f>HYPERLINK("https://www.philgeps.gov.ph/GEPSNONPILOT/Tender/SplashBidNoticeAbstractUI.aspx?menuIndex=3&amp;refID=7040092&amp;Result=3","7040092")</f>
        <v>0</v>
      </c>
      <c r="B6139" t="s">
        <v>1833</v>
      </c>
      <c r="C6139" t="s">
        <v>9067</v>
      </c>
      <c r="D6139" t="s">
        <v>18036</v>
      </c>
      <c r="E6139" t="s">
        <v>22844</v>
      </c>
      <c r="F6139" t="s">
        <v>31574</v>
      </c>
      <c r="G6139" t="s">
        <v>31583</v>
      </c>
      <c r="H6139" t="s">
        <v>31590</v>
      </c>
      <c r="I6139" t="s">
        <v>31599</v>
      </c>
      <c r="J6139" t="s">
        <v>35685</v>
      </c>
      <c r="K6139" t="s">
        <v>41191</v>
      </c>
      <c r="M6139" t="s">
        <v>43469</v>
      </c>
      <c r="N6139" t="s">
        <v>45095</v>
      </c>
      <c r="O6139" t="s">
        <v>45096</v>
      </c>
      <c r="P6139">
        <v>0</v>
      </c>
      <c r="Q6139">
        <v>0</v>
      </c>
      <c r="R6139" t="s">
        <v>45102</v>
      </c>
      <c r="S6139" t="s">
        <v>45242</v>
      </c>
      <c r="T6139" t="s">
        <v>47162</v>
      </c>
      <c r="U6139" t="s">
        <v>52616</v>
      </c>
      <c r="V6139" t="s">
        <v>60502</v>
      </c>
      <c r="W6139" t="s">
        <v>43469</v>
      </c>
      <c r="X6139" t="s">
        <v>45103</v>
      </c>
    </row>
    <row r="6140" spans="1:24">
      <c r="A6140">
        <f>HYPERLINK("https://www.philgeps.gov.ph/GEPSNONPILOT/Tender/SplashBidNoticeAbstractUI.aspx?menuIndex=3&amp;refID=7040120&amp;Result=3","7040120")</f>
        <v>0</v>
      </c>
      <c r="B6140" t="s">
        <v>46</v>
      </c>
      <c r="C6140" t="s">
        <v>4327</v>
      </c>
      <c r="D6140" t="s">
        <v>18050</v>
      </c>
      <c r="E6140" t="s">
        <v>23579</v>
      </c>
      <c r="F6140" t="s">
        <v>31574</v>
      </c>
      <c r="G6140" t="s">
        <v>31583</v>
      </c>
      <c r="H6140" t="s">
        <v>31590</v>
      </c>
      <c r="I6140" t="s">
        <v>4327</v>
      </c>
      <c r="J6140" t="s">
        <v>35209</v>
      </c>
      <c r="K6140" t="s">
        <v>41186</v>
      </c>
      <c r="M6140" t="s">
        <v>42527</v>
      </c>
      <c r="N6140" t="s">
        <v>45095</v>
      </c>
      <c r="O6140" t="s">
        <v>45096</v>
      </c>
      <c r="P6140">
        <v>0</v>
      </c>
      <c r="Q6140">
        <v>2</v>
      </c>
      <c r="R6140" t="s">
        <v>45102</v>
      </c>
      <c r="S6140" t="s">
        <v>45242</v>
      </c>
      <c r="T6140" t="s">
        <v>47165</v>
      </c>
      <c r="U6140" t="s">
        <v>52617</v>
      </c>
      <c r="W6140" t="s">
        <v>42527</v>
      </c>
      <c r="X6140" t="s">
        <v>45103</v>
      </c>
    </row>
    <row r="6141" spans="1:24">
      <c r="A6141">
        <f>HYPERLINK("https://www.philgeps.gov.ph/GEPSNONPILOT/Tender/SplashBidNoticeAbstractUI.aspx?menuIndex=3&amp;refID=7040123&amp;Result=3","7040123")</f>
        <v>0</v>
      </c>
      <c r="B6141" t="s">
        <v>1893</v>
      </c>
      <c r="C6141" t="s">
        <v>9068</v>
      </c>
      <c r="E6141" t="s">
        <v>23580</v>
      </c>
      <c r="F6141" t="s">
        <v>31574</v>
      </c>
      <c r="G6141" t="s">
        <v>31582</v>
      </c>
      <c r="H6141" t="s">
        <v>31590</v>
      </c>
      <c r="I6141" t="s">
        <v>6800</v>
      </c>
      <c r="J6141" t="s">
        <v>35686</v>
      </c>
      <c r="K6141" t="s">
        <v>41196</v>
      </c>
      <c r="M6141" t="s">
        <v>43536</v>
      </c>
      <c r="N6141" t="s">
        <v>45095</v>
      </c>
      <c r="O6141" t="s">
        <v>45096</v>
      </c>
      <c r="P6141">
        <v>0</v>
      </c>
      <c r="Q6141">
        <v>0</v>
      </c>
      <c r="R6141" t="s">
        <v>45102</v>
      </c>
      <c r="S6141" t="s">
        <v>45242</v>
      </c>
      <c r="T6141" t="s">
        <v>46965</v>
      </c>
      <c r="U6141" t="s">
        <v>52618</v>
      </c>
      <c r="W6141" t="s">
        <v>43536</v>
      </c>
      <c r="X6141" t="s">
        <v>45103</v>
      </c>
    </row>
    <row r="6142" spans="1:24">
      <c r="A6142">
        <f>HYPERLINK("https://www.philgeps.gov.ph/GEPSNONPILOT/Tender/SplashBidNoticeAbstractUI.aspx?menuIndex=3&amp;refID=7040118&amp;Result=3","7040118")</f>
        <v>0</v>
      </c>
      <c r="B6142" t="s">
        <v>533</v>
      </c>
      <c r="C6142" t="s">
        <v>9069</v>
      </c>
      <c r="D6142" t="s">
        <v>18075</v>
      </c>
      <c r="E6142" t="s">
        <v>23581</v>
      </c>
      <c r="F6142" t="s">
        <v>31574</v>
      </c>
      <c r="G6142" t="s">
        <v>31581</v>
      </c>
      <c r="H6142" t="s">
        <v>31591</v>
      </c>
      <c r="I6142" t="s">
        <v>8822</v>
      </c>
      <c r="J6142" t="s">
        <v>31947</v>
      </c>
      <c r="K6142" t="s">
        <v>41206</v>
      </c>
      <c r="M6142" t="s">
        <v>43099</v>
      </c>
      <c r="N6142" t="s">
        <v>45095</v>
      </c>
      <c r="O6142" t="s">
        <v>45096</v>
      </c>
      <c r="P6142">
        <v>0</v>
      </c>
      <c r="Q6142">
        <v>0</v>
      </c>
      <c r="R6142" t="s">
        <v>45102</v>
      </c>
      <c r="S6142" t="s">
        <v>45242</v>
      </c>
      <c r="T6142" t="s">
        <v>47276</v>
      </c>
      <c r="U6142" t="s">
        <v>50835</v>
      </c>
      <c r="W6142" t="s">
        <v>42964</v>
      </c>
      <c r="X6142" t="s">
        <v>45103</v>
      </c>
    </row>
    <row r="6143" spans="1:24">
      <c r="A6143">
        <f>HYPERLINK("https://www.philgeps.gov.ph/GEPSNONPILOT/Tender/SplashBidNoticeAbstractUI.aspx?menuIndex=3&amp;refID=7040129&amp;Result=3","7040129")</f>
        <v>0</v>
      </c>
      <c r="B6143" t="s">
        <v>401</v>
      </c>
      <c r="C6143" t="s">
        <v>9070</v>
      </c>
      <c r="D6143" t="s">
        <v>18052</v>
      </c>
      <c r="E6143" t="s">
        <v>23582</v>
      </c>
      <c r="F6143" t="s">
        <v>31574</v>
      </c>
      <c r="G6143" t="s">
        <v>31582</v>
      </c>
      <c r="H6143" t="s">
        <v>31591</v>
      </c>
      <c r="I6143" t="s">
        <v>8822</v>
      </c>
      <c r="J6143" t="s">
        <v>35687</v>
      </c>
      <c r="K6143" t="s">
        <v>41202</v>
      </c>
      <c r="M6143" t="s">
        <v>41892</v>
      </c>
      <c r="N6143" t="s">
        <v>45095</v>
      </c>
      <c r="O6143" t="s">
        <v>45096</v>
      </c>
      <c r="P6143">
        <v>0</v>
      </c>
      <c r="Q6143">
        <v>3</v>
      </c>
      <c r="R6143" t="s">
        <v>45102</v>
      </c>
      <c r="S6143" t="s">
        <v>45242</v>
      </c>
      <c r="T6143" t="s">
        <v>47199</v>
      </c>
      <c r="U6143" t="s">
        <v>52619</v>
      </c>
      <c r="W6143" t="s">
        <v>41892</v>
      </c>
      <c r="X6143" t="s">
        <v>45103</v>
      </c>
    </row>
    <row r="6144" spans="1:24">
      <c r="A6144">
        <f>HYPERLINK("https://www.philgeps.gov.ph/GEPSNONPILOT/Tender/SplashBidNoticeAbstractUI.aspx?menuIndex=3&amp;refID=7040122&amp;Result=3","7040122")</f>
        <v>0</v>
      </c>
      <c r="B6144" t="s">
        <v>530</v>
      </c>
      <c r="C6144" t="s">
        <v>9071</v>
      </c>
      <c r="D6144" t="s">
        <v>18071</v>
      </c>
      <c r="E6144" t="s">
        <v>9071</v>
      </c>
      <c r="F6144" t="s">
        <v>31574</v>
      </c>
      <c r="G6144" t="s">
        <v>31582</v>
      </c>
      <c r="H6144" t="s">
        <v>31590</v>
      </c>
      <c r="I6144" t="s">
        <v>31600</v>
      </c>
      <c r="J6144" t="s">
        <v>35688</v>
      </c>
      <c r="K6144" t="s">
        <v>41186</v>
      </c>
      <c r="M6144" t="s">
        <v>42027</v>
      </c>
      <c r="N6144" t="s">
        <v>45095</v>
      </c>
      <c r="O6144" t="s">
        <v>45096</v>
      </c>
      <c r="P6144">
        <v>0</v>
      </c>
      <c r="Q6144">
        <v>0</v>
      </c>
      <c r="R6144" t="s">
        <v>45102</v>
      </c>
      <c r="S6144" t="s">
        <v>45242</v>
      </c>
      <c r="T6144" t="s">
        <v>47003</v>
      </c>
      <c r="U6144" t="s">
        <v>52620</v>
      </c>
      <c r="W6144" t="s">
        <v>42027</v>
      </c>
      <c r="X6144" t="s">
        <v>45103</v>
      </c>
    </row>
    <row r="6145" spans="1:24">
      <c r="A6145">
        <f>HYPERLINK("https://www.philgeps.gov.ph/GEPSNONPILOT/Tender/SplashBidNoticeAbstractUI.aspx?menuIndex=3&amp;refID=7040128&amp;Result=3","7040128")</f>
        <v>0</v>
      </c>
      <c r="B6145" t="s">
        <v>1922</v>
      </c>
      <c r="C6145" t="s">
        <v>9072</v>
      </c>
      <c r="D6145" t="s">
        <v>18045</v>
      </c>
      <c r="E6145" t="s">
        <v>23583</v>
      </c>
      <c r="F6145" t="s">
        <v>31574</v>
      </c>
      <c r="G6145" t="s">
        <v>31581</v>
      </c>
      <c r="H6145" t="s">
        <v>31590</v>
      </c>
      <c r="I6145" t="s">
        <v>3487</v>
      </c>
      <c r="J6145" t="s">
        <v>35689</v>
      </c>
      <c r="K6145" t="s">
        <v>41190</v>
      </c>
      <c r="M6145" t="s">
        <v>43574</v>
      </c>
      <c r="N6145" t="s">
        <v>45095</v>
      </c>
      <c r="O6145" t="s">
        <v>45096</v>
      </c>
      <c r="P6145">
        <v>0</v>
      </c>
      <c r="Q6145">
        <v>0</v>
      </c>
      <c r="R6145" t="s">
        <v>45102</v>
      </c>
      <c r="S6145" t="s">
        <v>45242</v>
      </c>
      <c r="T6145" t="s">
        <v>46982</v>
      </c>
      <c r="U6145" t="s">
        <v>52621</v>
      </c>
      <c r="W6145" t="s">
        <v>43574</v>
      </c>
      <c r="X6145" t="s">
        <v>45103</v>
      </c>
    </row>
    <row r="6146" spans="1:24">
      <c r="A6146">
        <f>HYPERLINK("https://www.philgeps.gov.ph/GEPSNONPILOT/Tender/SplashBidNoticeAbstractUI.aspx?menuIndex=3&amp;refID=7040113&amp;Result=3","7040113")</f>
        <v>0</v>
      </c>
      <c r="B6146" t="s">
        <v>226</v>
      </c>
      <c r="C6146" t="s">
        <v>9073</v>
      </c>
      <c r="D6146" t="s">
        <v>18041</v>
      </c>
      <c r="E6146" t="s">
        <v>23584</v>
      </c>
      <c r="F6146" t="s">
        <v>31574</v>
      </c>
      <c r="G6146" t="s">
        <v>31582</v>
      </c>
      <c r="H6146" t="s">
        <v>31591</v>
      </c>
      <c r="I6146" t="s">
        <v>4046</v>
      </c>
      <c r="J6146" t="s">
        <v>31819</v>
      </c>
      <c r="K6146" t="s">
        <v>41184</v>
      </c>
      <c r="M6146" t="s">
        <v>41711</v>
      </c>
      <c r="N6146" t="s">
        <v>45095</v>
      </c>
      <c r="O6146" t="s">
        <v>45096</v>
      </c>
      <c r="P6146">
        <v>0</v>
      </c>
      <c r="Q6146">
        <v>0</v>
      </c>
      <c r="R6146" t="s">
        <v>45102</v>
      </c>
      <c r="S6146" t="s">
        <v>45242</v>
      </c>
      <c r="T6146" t="s">
        <v>47000</v>
      </c>
      <c r="U6146" t="s">
        <v>52622</v>
      </c>
      <c r="W6146" t="s">
        <v>41711</v>
      </c>
      <c r="X6146" t="s">
        <v>45103</v>
      </c>
    </row>
    <row r="6147" spans="1:24">
      <c r="A6147">
        <f>HYPERLINK("https://www.philgeps.gov.ph/GEPSNONPILOT/Tender/SplashBidNoticeAbstractUI.aspx?menuIndex=3&amp;refID=7040127&amp;Result=3","7040127")</f>
        <v>0</v>
      </c>
      <c r="B6147" t="s">
        <v>533</v>
      </c>
      <c r="C6147" t="s">
        <v>9074</v>
      </c>
      <c r="D6147" t="s">
        <v>18075</v>
      </c>
      <c r="E6147" t="s">
        <v>23585</v>
      </c>
      <c r="F6147" t="s">
        <v>31574</v>
      </c>
      <c r="G6147" t="s">
        <v>31581</v>
      </c>
      <c r="H6147" t="s">
        <v>31591</v>
      </c>
      <c r="I6147" t="s">
        <v>8822</v>
      </c>
      <c r="J6147" t="s">
        <v>31935</v>
      </c>
      <c r="K6147" t="s">
        <v>41337</v>
      </c>
      <c r="M6147" t="s">
        <v>43099</v>
      </c>
      <c r="N6147" t="s">
        <v>45095</v>
      </c>
      <c r="O6147" t="s">
        <v>45096</v>
      </c>
      <c r="P6147">
        <v>0</v>
      </c>
      <c r="Q6147">
        <v>2</v>
      </c>
      <c r="R6147" t="s">
        <v>45102</v>
      </c>
      <c r="S6147" t="s">
        <v>45242</v>
      </c>
      <c r="T6147" t="s">
        <v>47276</v>
      </c>
      <c r="U6147" t="s">
        <v>50835</v>
      </c>
      <c r="W6147" t="s">
        <v>42964</v>
      </c>
      <c r="X6147" t="s">
        <v>45103</v>
      </c>
    </row>
    <row r="6148" spans="1:24">
      <c r="A6148">
        <f>HYPERLINK("https://www.philgeps.gov.ph/GEPSNONPILOT/Tender/SplashBidNoticeAbstractUI.aspx?menuIndex=3&amp;refID=7040133&amp;Result=3","7040133")</f>
        <v>0</v>
      </c>
      <c r="B6148" t="s">
        <v>1008</v>
      </c>
      <c r="C6148" t="s">
        <v>9075</v>
      </c>
      <c r="D6148" t="s">
        <v>18035</v>
      </c>
      <c r="E6148" t="s">
        <v>23586</v>
      </c>
      <c r="F6148" t="s">
        <v>31574</v>
      </c>
      <c r="G6148" t="s">
        <v>31581</v>
      </c>
      <c r="H6148" t="s">
        <v>31590</v>
      </c>
      <c r="I6148" t="s">
        <v>31623</v>
      </c>
      <c r="J6148" t="s">
        <v>32105</v>
      </c>
      <c r="K6148" t="s">
        <v>41186</v>
      </c>
      <c r="M6148" t="s">
        <v>42548</v>
      </c>
      <c r="N6148" t="s">
        <v>45095</v>
      </c>
      <c r="O6148" t="s">
        <v>45096</v>
      </c>
      <c r="P6148">
        <v>0</v>
      </c>
      <c r="Q6148">
        <v>1</v>
      </c>
      <c r="R6148" t="s">
        <v>45102</v>
      </c>
      <c r="S6148" t="s">
        <v>45242</v>
      </c>
      <c r="T6148" t="s">
        <v>46904</v>
      </c>
      <c r="U6148" t="s">
        <v>52623</v>
      </c>
      <c r="V6148" t="s">
        <v>60503</v>
      </c>
      <c r="W6148" t="s">
        <v>42548</v>
      </c>
      <c r="X6148" t="s">
        <v>45103</v>
      </c>
    </row>
    <row r="6149" spans="1:24">
      <c r="A6149">
        <f>HYPERLINK("https://www.philgeps.gov.ph/GEPSNONPILOT/Tender/SplashBidNoticeAbstractUI.aspx?menuIndex=3&amp;refID=7040124&amp;Result=3","7040124")</f>
        <v>0</v>
      </c>
      <c r="B6149" t="s">
        <v>1923</v>
      </c>
      <c r="C6149" t="s">
        <v>8118</v>
      </c>
      <c r="D6149" t="s">
        <v>18073</v>
      </c>
      <c r="E6149" t="s">
        <v>18946</v>
      </c>
      <c r="F6149" t="s">
        <v>31574</v>
      </c>
      <c r="G6149" t="s">
        <v>31581</v>
      </c>
      <c r="H6149" t="s">
        <v>31591</v>
      </c>
      <c r="I6149" t="s">
        <v>31632</v>
      </c>
      <c r="J6149" t="s">
        <v>32090</v>
      </c>
      <c r="K6149" t="s">
        <v>41213</v>
      </c>
      <c r="M6149" t="s">
        <v>43575</v>
      </c>
      <c r="N6149" t="s">
        <v>45095</v>
      </c>
      <c r="O6149" t="s">
        <v>45096</v>
      </c>
      <c r="P6149">
        <v>0</v>
      </c>
      <c r="Q6149">
        <v>0</v>
      </c>
      <c r="R6149" t="s">
        <v>45102</v>
      </c>
      <c r="S6149" t="s">
        <v>45242</v>
      </c>
      <c r="T6149" t="s">
        <v>47120</v>
      </c>
      <c r="U6149" t="s">
        <v>52624</v>
      </c>
      <c r="W6149" t="s">
        <v>43575</v>
      </c>
      <c r="X6149" t="s">
        <v>45103</v>
      </c>
    </row>
    <row r="6150" spans="1:24">
      <c r="A6150">
        <f>HYPERLINK("https://www.philgeps.gov.ph/GEPSNONPILOT/Tender/SplashBidNoticeAbstractUI.aspx?menuIndex=3&amp;refID=7040140&amp;Result=3","7040140")</f>
        <v>0</v>
      </c>
      <c r="B6150" t="s">
        <v>683</v>
      </c>
      <c r="C6150" t="s">
        <v>9076</v>
      </c>
      <c r="D6150" t="s">
        <v>18059</v>
      </c>
      <c r="E6150" t="s">
        <v>23587</v>
      </c>
      <c r="F6150" t="s">
        <v>31574</v>
      </c>
      <c r="G6150" t="s">
        <v>31581</v>
      </c>
      <c r="H6150" t="s">
        <v>31590</v>
      </c>
      <c r="I6150" t="s">
        <v>6800</v>
      </c>
      <c r="J6150" t="s">
        <v>35690</v>
      </c>
      <c r="K6150" t="s">
        <v>41184</v>
      </c>
      <c r="M6150" t="s">
        <v>43558</v>
      </c>
      <c r="N6150" t="s">
        <v>45095</v>
      </c>
      <c r="O6150" t="s">
        <v>45096</v>
      </c>
      <c r="P6150">
        <v>0</v>
      </c>
      <c r="Q6150">
        <v>0</v>
      </c>
      <c r="R6150" t="s">
        <v>45102</v>
      </c>
      <c r="S6150" t="s">
        <v>45242</v>
      </c>
      <c r="T6150" t="s">
        <v>47159</v>
      </c>
      <c r="U6150" t="s">
        <v>52625</v>
      </c>
      <c r="W6150" t="s">
        <v>43558</v>
      </c>
      <c r="X6150" t="s">
        <v>45103</v>
      </c>
    </row>
    <row r="6151" spans="1:24">
      <c r="A6151">
        <f>HYPERLINK("https://www.philgeps.gov.ph/GEPSNONPILOT/Tender/SplashBidNoticeAbstractUI.aspx?menuIndex=3&amp;refID=7040141&amp;Result=3","7040141")</f>
        <v>0</v>
      </c>
      <c r="B6151" t="s">
        <v>1916</v>
      </c>
      <c r="C6151" t="s">
        <v>9077</v>
      </c>
      <c r="D6151" t="s">
        <v>18023</v>
      </c>
      <c r="E6151" t="s">
        <v>23588</v>
      </c>
      <c r="F6151" t="s">
        <v>31574</v>
      </c>
      <c r="G6151" t="s">
        <v>31581</v>
      </c>
      <c r="H6151" t="s">
        <v>31590</v>
      </c>
      <c r="I6151" t="s">
        <v>31681</v>
      </c>
      <c r="J6151" t="s">
        <v>35691</v>
      </c>
      <c r="K6151" t="s">
        <v>41186</v>
      </c>
      <c r="M6151" t="s">
        <v>43566</v>
      </c>
      <c r="N6151" t="s">
        <v>45095</v>
      </c>
      <c r="O6151" t="s">
        <v>45096</v>
      </c>
      <c r="P6151">
        <v>0</v>
      </c>
      <c r="Q6151">
        <v>1</v>
      </c>
      <c r="R6151" t="s">
        <v>45102</v>
      </c>
      <c r="S6151" t="s">
        <v>45242</v>
      </c>
      <c r="T6151" t="s">
        <v>46913</v>
      </c>
      <c r="U6151" t="s">
        <v>52626</v>
      </c>
      <c r="W6151" t="s">
        <v>43566</v>
      </c>
      <c r="X6151" t="s">
        <v>45103</v>
      </c>
    </row>
    <row r="6152" spans="1:24">
      <c r="A6152">
        <f>HYPERLINK("https://www.philgeps.gov.ph/GEPSNONPILOT/Tender/SplashBidNoticeAbstractUI.aspx?menuIndex=3&amp;refID=7040125&amp;Result=3","7040125")</f>
        <v>0</v>
      </c>
      <c r="B6152" t="s">
        <v>797</v>
      </c>
      <c r="C6152" t="s">
        <v>9078</v>
      </c>
      <c r="D6152" t="s">
        <v>18056</v>
      </c>
      <c r="E6152" t="s">
        <v>23589</v>
      </c>
      <c r="F6152" t="s">
        <v>31574</v>
      </c>
      <c r="G6152" t="s">
        <v>31582</v>
      </c>
      <c r="H6152" t="s">
        <v>31590</v>
      </c>
      <c r="I6152" t="s">
        <v>14544</v>
      </c>
      <c r="J6152" t="s">
        <v>35692</v>
      </c>
      <c r="K6152" t="s">
        <v>41192</v>
      </c>
      <c r="M6152" t="s">
        <v>42325</v>
      </c>
      <c r="N6152" t="s">
        <v>45095</v>
      </c>
      <c r="O6152" t="s">
        <v>45096</v>
      </c>
      <c r="P6152">
        <v>0</v>
      </c>
      <c r="Q6152">
        <v>0</v>
      </c>
      <c r="R6152" t="s">
        <v>45102</v>
      </c>
      <c r="S6152" t="s">
        <v>45242</v>
      </c>
      <c r="T6152" t="s">
        <v>47280</v>
      </c>
      <c r="U6152" t="s">
        <v>49206</v>
      </c>
      <c r="V6152" t="s">
        <v>60050</v>
      </c>
      <c r="W6152" t="s">
        <v>42325</v>
      </c>
      <c r="X6152" t="s">
        <v>45103</v>
      </c>
    </row>
    <row r="6153" spans="1:24">
      <c r="A6153">
        <f>HYPERLINK("https://www.philgeps.gov.ph/GEPSNONPILOT/Tender/SplashBidNoticeAbstractUI.aspx?menuIndex=3&amp;refID=7040115&amp;Result=3","7040115")</f>
        <v>0</v>
      </c>
      <c r="B6153" t="s">
        <v>683</v>
      </c>
      <c r="C6153" t="s">
        <v>9079</v>
      </c>
      <c r="D6153" t="s">
        <v>18059</v>
      </c>
      <c r="E6153" t="s">
        <v>23590</v>
      </c>
      <c r="F6153" t="s">
        <v>31574</v>
      </c>
      <c r="G6153" t="s">
        <v>31581</v>
      </c>
      <c r="H6153" t="s">
        <v>31590</v>
      </c>
      <c r="I6153" t="s">
        <v>4046</v>
      </c>
      <c r="J6153" t="s">
        <v>35693</v>
      </c>
      <c r="K6153" t="s">
        <v>41184</v>
      </c>
      <c r="M6153" t="s">
        <v>43558</v>
      </c>
      <c r="N6153" t="s">
        <v>45095</v>
      </c>
      <c r="O6153" t="s">
        <v>45096</v>
      </c>
      <c r="P6153">
        <v>0</v>
      </c>
      <c r="Q6153">
        <v>0</v>
      </c>
      <c r="R6153" t="s">
        <v>45102</v>
      </c>
      <c r="S6153" t="s">
        <v>45242</v>
      </c>
      <c r="T6153" t="s">
        <v>47159</v>
      </c>
      <c r="U6153" t="s">
        <v>52627</v>
      </c>
      <c r="W6153" t="s">
        <v>43558</v>
      </c>
      <c r="X6153" t="s">
        <v>45103</v>
      </c>
    </row>
    <row r="6154" spans="1:24">
      <c r="A6154">
        <f>HYPERLINK("https://www.philgeps.gov.ph/GEPSNONPILOT/Tender/SplashBidNoticeAbstractUI.aspx?menuIndex=3&amp;refID=7040110&amp;Result=3","7040110")</f>
        <v>0</v>
      </c>
      <c r="B6154" t="s">
        <v>523</v>
      </c>
      <c r="C6154" t="s">
        <v>9080</v>
      </c>
      <c r="D6154" t="s">
        <v>18055</v>
      </c>
      <c r="E6154" t="s">
        <v>23067</v>
      </c>
      <c r="F6154" t="s">
        <v>31574</v>
      </c>
      <c r="G6154" t="s">
        <v>31581</v>
      </c>
      <c r="H6154" t="s">
        <v>31593</v>
      </c>
      <c r="I6154" t="s">
        <v>31611</v>
      </c>
      <c r="J6154" t="s">
        <v>32523</v>
      </c>
      <c r="K6154" t="s">
        <v>41213</v>
      </c>
      <c r="M6154" t="s">
        <v>42019</v>
      </c>
      <c r="N6154" t="s">
        <v>45095</v>
      </c>
      <c r="O6154" t="s">
        <v>45096</v>
      </c>
      <c r="P6154">
        <v>0</v>
      </c>
      <c r="Q6154">
        <v>1</v>
      </c>
      <c r="R6154" t="s">
        <v>45102</v>
      </c>
      <c r="S6154" t="s">
        <v>45242</v>
      </c>
      <c r="T6154" t="s">
        <v>46918</v>
      </c>
      <c r="U6154" t="s">
        <v>52628</v>
      </c>
      <c r="V6154" t="s">
        <v>60437</v>
      </c>
      <c r="W6154" t="s">
        <v>42019</v>
      </c>
      <c r="X6154" t="s">
        <v>45103</v>
      </c>
    </row>
    <row r="6155" spans="1:24">
      <c r="A6155">
        <f>HYPERLINK("https://www.philgeps.gov.ph/GEPSNONPILOT/Tender/SplashBidNoticeAbstractUI.aspx?menuIndex=3&amp;refID=7040145&amp;Result=3","7040145")</f>
        <v>0</v>
      </c>
      <c r="B6155" t="s">
        <v>669</v>
      </c>
      <c r="C6155" t="s">
        <v>9081</v>
      </c>
      <c r="D6155" t="s">
        <v>18050</v>
      </c>
      <c r="E6155" t="s">
        <v>23591</v>
      </c>
      <c r="F6155" t="s">
        <v>31574</v>
      </c>
      <c r="G6155" t="s">
        <v>31582</v>
      </c>
      <c r="H6155" t="s">
        <v>31591</v>
      </c>
      <c r="I6155" t="s">
        <v>8822</v>
      </c>
      <c r="J6155" t="s">
        <v>33252</v>
      </c>
      <c r="K6155" t="s">
        <v>41189</v>
      </c>
      <c r="M6155" t="s">
        <v>42174</v>
      </c>
      <c r="N6155" t="s">
        <v>45095</v>
      </c>
      <c r="O6155" t="s">
        <v>45096</v>
      </c>
      <c r="P6155">
        <v>0</v>
      </c>
      <c r="Q6155">
        <v>0</v>
      </c>
      <c r="R6155" t="s">
        <v>45102</v>
      </c>
      <c r="S6155" t="s">
        <v>45242</v>
      </c>
      <c r="T6155" t="s">
        <v>47000</v>
      </c>
      <c r="U6155" t="s">
        <v>52518</v>
      </c>
      <c r="W6155" t="s">
        <v>42174</v>
      </c>
      <c r="X6155" t="s">
        <v>45103</v>
      </c>
    </row>
    <row r="6156" spans="1:24">
      <c r="A6156">
        <f>HYPERLINK("https://www.philgeps.gov.ph/GEPSNONPILOT/Tender/SplashBidNoticeAbstractUI.aspx?menuIndex=3&amp;refID=7040138&amp;Result=3","7040138")</f>
        <v>0</v>
      </c>
      <c r="B6156" t="s">
        <v>533</v>
      </c>
      <c r="C6156" t="s">
        <v>9082</v>
      </c>
      <c r="D6156" t="s">
        <v>18075</v>
      </c>
      <c r="E6156" t="s">
        <v>23592</v>
      </c>
      <c r="F6156" t="s">
        <v>31574</v>
      </c>
      <c r="G6156" t="s">
        <v>31581</v>
      </c>
      <c r="H6156" t="s">
        <v>31591</v>
      </c>
      <c r="I6156" t="s">
        <v>8822</v>
      </c>
      <c r="J6156" t="s">
        <v>31789</v>
      </c>
      <c r="K6156" t="s">
        <v>41241</v>
      </c>
      <c r="M6156" t="s">
        <v>43099</v>
      </c>
      <c r="N6156" t="s">
        <v>45095</v>
      </c>
      <c r="O6156" t="s">
        <v>45096</v>
      </c>
      <c r="P6156">
        <v>0</v>
      </c>
      <c r="Q6156">
        <v>1</v>
      </c>
      <c r="R6156" t="s">
        <v>45102</v>
      </c>
      <c r="S6156" t="s">
        <v>45242</v>
      </c>
      <c r="T6156" t="s">
        <v>47276</v>
      </c>
      <c r="U6156" t="s">
        <v>50835</v>
      </c>
      <c r="W6156" t="s">
        <v>42964</v>
      </c>
      <c r="X6156" t="s">
        <v>45103</v>
      </c>
    </row>
    <row r="6157" spans="1:24">
      <c r="A6157">
        <f>HYPERLINK("https://www.philgeps.gov.ph/GEPSNONPILOT/Tender/SplashBidNoticeAbstractUI.aspx?menuIndex=3&amp;refID=7040098&amp;Result=3","7040098")</f>
        <v>0</v>
      </c>
      <c r="B6157" t="s">
        <v>1916</v>
      </c>
      <c r="C6157" t="s">
        <v>9083</v>
      </c>
      <c r="D6157" t="s">
        <v>18023</v>
      </c>
      <c r="E6157" t="s">
        <v>23593</v>
      </c>
      <c r="F6157" t="s">
        <v>31574</v>
      </c>
      <c r="G6157" t="s">
        <v>31581</v>
      </c>
      <c r="H6157" t="s">
        <v>31590</v>
      </c>
      <c r="I6157" t="s">
        <v>4046</v>
      </c>
      <c r="J6157" t="s">
        <v>35694</v>
      </c>
      <c r="K6157" t="s">
        <v>41186</v>
      </c>
      <c r="M6157" t="s">
        <v>43566</v>
      </c>
      <c r="N6157" t="s">
        <v>45095</v>
      </c>
      <c r="O6157" t="s">
        <v>45096</v>
      </c>
      <c r="P6157">
        <v>0</v>
      </c>
      <c r="Q6157">
        <v>0</v>
      </c>
      <c r="R6157" t="s">
        <v>45102</v>
      </c>
      <c r="S6157" t="s">
        <v>45242</v>
      </c>
      <c r="T6157" t="s">
        <v>47094</v>
      </c>
      <c r="U6157" t="s">
        <v>52629</v>
      </c>
      <c r="W6157" t="s">
        <v>43566</v>
      </c>
      <c r="X6157" t="s">
        <v>45103</v>
      </c>
    </row>
    <row r="6158" spans="1:24">
      <c r="A6158">
        <f>HYPERLINK("https://www.philgeps.gov.ph/GEPSNONPILOT/Tender/SplashBidNoticeAbstractUI.aspx?menuIndex=3&amp;refID=7040137&amp;Result=3","7040137")</f>
        <v>0</v>
      </c>
      <c r="B6158" t="s">
        <v>1429</v>
      </c>
      <c r="C6158" t="s">
        <v>9084</v>
      </c>
      <c r="D6158" t="s">
        <v>18072</v>
      </c>
      <c r="E6158" t="s">
        <v>23594</v>
      </c>
      <c r="F6158" t="s">
        <v>31574</v>
      </c>
      <c r="G6158" t="s">
        <v>31582</v>
      </c>
      <c r="H6158" t="s">
        <v>31590</v>
      </c>
      <c r="I6158" t="s">
        <v>31594</v>
      </c>
      <c r="J6158" t="s">
        <v>35695</v>
      </c>
      <c r="K6158" t="s">
        <v>41192</v>
      </c>
      <c r="M6158" t="s">
        <v>43005</v>
      </c>
      <c r="N6158" t="s">
        <v>45095</v>
      </c>
      <c r="O6158" t="s">
        <v>45096</v>
      </c>
      <c r="P6158">
        <v>0</v>
      </c>
      <c r="Q6158">
        <v>5</v>
      </c>
      <c r="R6158" t="s">
        <v>45102</v>
      </c>
      <c r="S6158" t="s">
        <v>45242</v>
      </c>
      <c r="T6158" t="s">
        <v>47275</v>
      </c>
      <c r="U6158" t="s">
        <v>52630</v>
      </c>
      <c r="V6158" t="s">
        <v>60504</v>
      </c>
      <c r="W6158" t="s">
        <v>43005</v>
      </c>
      <c r="X6158" t="s">
        <v>45103</v>
      </c>
    </row>
    <row r="6159" spans="1:24">
      <c r="A6159">
        <f>HYPERLINK("https://www.philgeps.gov.ph/GEPSNONPILOT/Tender/SplashBidNoticeAbstractUI.aspx?menuIndex=3&amp;refID=7040148&amp;Result=3","7040148")</f>
        <v>0</v>
      </c>
      <c r="B6159" t="s">
        <v>671</v>
      </c>
      <c r="C6159" t="s">
        <v>9085</v>
      </c>
      <c r="D6159" t="s">
        <v>18022</v>
      </c>
      <c r="E6159" t="s">
        <v>23595</v>
      </c>
      <c r="F6159" t="s">
        <v>31574</v>
      </c>
      <c r="G6159" t="s">
        <v>31582</v>
      </c>
      <c r="H6159" t="s">
        <v>31590</v>
      </c>
      <c r="I6159" t="s">
        <v>31683</v>
      </c>
      <c r="J6159" t="s">
        <v>35696</v>
      </c>
      <c r="K6159" t="s">
        <v>41192</v>
      </c>
      <c r="M6159" t="s">
        <v>43245</v>
      </c>
      <c r="N6159" t="s">
        <v>45095</v>
      </c>
      <c r="O6159" t="s">
        <v>45096</v>
      </c>
      <c r="P6159">
        <v>0</v>
      </c>
      <c r="Q6159">
        <v>3</v>
      </c>
      <c r="R6159" t="s">
        <v>45102</v>
      </c>
      <c r="S6159" t="s">
        <v>45242</v>
      </c>
      <c r="T6159" t="s">
        <v>46962</v>
      </c>
      <c r="U6159" t="s">
        <v>52631</v>
      </c>
      <c r="W6159" t="s">
        <v>43245</v>
      </c>
      <c r="X6159" t="s">
        <v>45103</v>
      </c>
    </row>
    <row r="6160" spans="1:24">
      <c r="A6160">
        <f>HYPERLINK("https://www.philgeps.gov.ph/GEPSNONPILOT/Tender/SplashBidNoticeAbstractUI.aspx?menuIndex=3&amp;refID=7040147&amp;Result=3","7040147")</f>
        <v>0</v>
      </c>
      <c r="B6160" t="s">
        <v>62</v>
      </c>
      <c r="C6160" t="s">
        <v>9086</v>
      </c>
      <c r="D6160" t="s">
        <v>18037</v>
      </c>
      <c r="E6160" t="s">
        <v>23596</v>
      </c>
      <c r="F6160" t="s">
        <v>31574</v>
      </c>
      <c r="G6160" t="s">
        <v>31581</v>
      </c>
      <c r="H6160" t="s">
        <v>31590</v>
      </c>
      <c r="I6160" t="s">
        <v>3489</v>
      </c>
      <c r="J6160" t="s">
        <v>31798</v>
      </c>
      <c r="K6160" t="s">
        <v>41184</v>
      </c>
      <c r="L6160" t="s">
        <v>62</v>
      </c>
      <c r="M6160" t="s">
        <v>41546</v>
      </c>
      <c r="N6160" t="s">
        <v>45095</v>
      </c>
      <c r="O6160" t="s">
        <v>45096</v>
      </c>
      <c r="P6160">
        <v>0</v>
      </c>
      <c r="Q6160">
        <v>0</v>
      </c>
      <c r="R6160" t="s">
        <v>45102</v>
      </c>
      <c r="S6160" t="s">
        <v>45242</v>
      </c>
      <c r="T6160" t="s">
        <v>47050</v>
      </c>
      <c r="U6160" t="s">
        <v>52632</v>
      </c>
      <c r="W6160" t="s">
        <v>41546</v>
      </c>
      <c r="X6160" t="s">
        <v>45103</v>
      </c>
    </row>
    <row r="6161" spans="1:24">
      <c r="A6161">
        <f>HYPERLINK("https://www.philgeps.gov.ph/GEPSNONPILOT/Tender/SplashBidNoticeAbstractUI.aspx?menuIndex=3&amp;refID=7040134&amp;Result=3","7040134")</f>
        <v>0</v>
      </c>
      <c r="B6161" t="s">
        <v>1915</v>
      </c>
      <c r="C6161" t="s">
        <v>9087</v>
      </c>
      <c r="D6161" t="s">
        <v>18099</v>
      </c>
      <c r="E6161" t="s">
        <v>23597</v>
      </c>
      <c r="F6161" t="s">
        <v>31574</v>
      </c>
      <c r="G6161" t="s">
        <v>31582</v>
      </c>
      <c r="H6161" t="s">
        <v>31591</v>
      </c>
      <c r="I6161" t="s">
        <v>8822</v>
      </c>
      <c r="J6161" t="s">
        <v>32076</v>
      </c>
      <c r="K6161" t="s">
        <v>41279</v>
      </c>
      <c r="M6161" t="s">
        <v>43565</v>
      </c>
      <c r="N6161" t="s">
        <v>45095</v>
      </c>
      <c r="O6161" t="s">
        <v>45096</v>
      </c>
      <c r="P6161">
        <v>0</v>
      </c>
      <c r="Q6161">
        <v>0</v>
      </c>
      <c r="R6161" t="s">
        <v>45102</v>
      </c>
      <c r="S6161" t="s">
        <v>45242</v>
      </c>
      <c r="T6161" t="s">
        <v>46933</v>
      </c>
      <c r="U6161" t="s">
        <v>52633</v>
      </c>
      <c r="W6161" t="s">
        <v>43565</v>
      </c>
      <c r="X6161" t="s">
        <v>45103</v>
      </c>
    </row>
    <row r="6162" spans="1:24">
      <c r="A6162">
        <f>HYPERLINK("https://www.philgeps.gov.ph/GEPSNONPILOT/Tender/SplashBidNoticeAbstractUI.aspx?menuIndex=3&amp;refID=7040169&amp;Result=3","7040169")</f>
        <v>0</v>
      </c>
      <c r="B6162" t="s">
        <v>1915</v>
      </c>
      <c r="C6162" t="s">
        <v>9088</v>
      </c>
      <c r="D6162" t="s">
        <v>18099</v>
      </c>
      <c r="E6162" t="s">
        <v>23598</v>
      </c>
      <c r="F6162" t="s">
        <v>31574</v>
      </c>
      <c r="G6162" t="s">
        <v>31582</v>
      </c>
      <c r="H6162" t="s">
        <v>31591</v>
      </c>
      <c r="I6162" t="s">
        <v>8822</v>
      </c>
      <c r="J6162" t="s">
        <v>32361</v>
      </c>
      <c r="K6162" t="s">
        <v>41338</v>
      </c>
      <c r="M6162" t="s">
        <v>43565</v>
      </c>
      <c r="N6162" t="s">
        <v>45095</v>
      </c>
      <c r="O6162" t="s">
        <v>45096</v>
      </c>
      <c r="P6162">
        <v>0</v>
      </c>
      <c r="Q6162">
        <v>0</v>
      </c>
      <c r="R6162" t="s">
        <v>45102</v>
      </c>
      <c r="S6162" t="s">
        <v>45242</v>
      </c>
      <c r="T6162" t="s">
        <v>46933</v>
      </c>
      <c r="U6162" t="s">
        <v>52634</v>
      </c>
      <c r="W6162" t="s">
        <v>43565</v>
      </c>
      <c r="X6162" t="s">
        <v>45103</v>
      </c>
    </row>
    <row r="6163" spans="1:24">
      <c r="A6163">
        <f>HYPERLINK("https://www.philgeps.gov.ph/GEPSNONPILOT/Tender/SplashBidNoticeAbstractUI.aspx?menuIndex=3&amp;refID=7040149&amp;Result=3","7040149")</f>
        <v>0</v>
      </c>
      <c r="B6163" t="s">
        <v>1924</v>
      </c>
      <c r="C6163" t="s">
        <v>9089</v>
      </c>
      <c r="D6163" t="s">
        <v>18058</v>
      </c>
      <c r="E6163" t="s">
        <v>23599</v>
      </c>
      <c r="F6163" t="s">
        <v>31574</v>
      </c>
      <c r="G6163" t="s">
        <v>31581</v>
      </c>
      <c r="H6163" t="s">
        <v>31590</v>
      </c>
      <c r="I6163" t="s">
        <v>31630</v>
      </c>
      <c r="J6163" t="s">
        <v>31727</v>
      </c>
      <c r="K6163" t="s">
        <v>41193</v>
      </c>
      <c r="M6163" t="s">
        <v>43576</v>
      </c>
      <c r="N6163" t="s">
        <v>45095</v>
      </c>
      <c r="O6163" t="s">
        <v>45096</v>
      </c>
      <c r="P6163">
        <v>0</v>
      </c>
      <c r="Q6163">
        <v>0</v>
      </c>
      <c r="R6163" t="s">
        <v>45102</v>
      </c>
      <c r="S6163" t="s">
        <v>45242</v>
      </c>
      <c r="T6163" t="s">
        <v>47106</v>
      </c>
      <c r="U6163" t="s">
        <v>52635</v>
      </c>
      <c r="V6163" t="s">
        <v>60505</v>
      </c>
      <c r="W6163" t="s">
        <v>43576</v>
      </c>
      <c r="X6163" t="s">
        <v>45103</v>
      </c>
    </row>
    <row r="6164" spans="1:24">
      <c r="A6164">
        <f>HYPERLINK("https://www.philgeps.gov.ph/GEPSNONPILOT/Tender/SplashBidNoticeAbstractUI.aspx?menuIndex=3&amp;refID=7040150&amp;Result=3","7040150")</f>
        <v>0</v>
      </c>
      <c r="B6164" t="s">
        <v>533</v>
      </c>
      <c r="C6164" t="s">
        <v>9090</v>
      </c>
      <c r="D6164" t="s">
        <v>18075</v>
      </c>
      <c r="E6164" t="s">
        <v>23600</v>
      </c>
      <c r="F6164" t="s">
        <v>31574</v>
      </c>
      <c r="G6164" t="s">
        <v>31581</v>
      </c>
      <c r="H6164" t="s">
        <v>31591</v>
      </c>
      <c r="I6164" t="s">
        <v>8822</v>
      </c>
      <c r="J6164" t="s">
        <v>32019</v>
      </c>
      <c r="K6164" t="s">
        <v>41244</v>
      </c>
      <c r="M6164" t="s">
        <v>43099</v>
      </c>
      <c r="N6164" t="s">
        <v>45095</v>
      </c>
      <c r="O6164" t="s">
        <v>45096</v>
      </c>
      <c r="P6164">
        <v>0</v>
      </c>
      <c r="Q6164">
        <v>0</v>
      </c>
      <c r="R6164" t="s">
        <v>45102</v>
      </c>
      <c r="S6164" t="s">
        <v>45242</v>
      </c>
      <c r="T6164" t="s">
        <v>47276</v>
      </c>
      <c r="U6164" t="s">
        <v>50835</v>
      </c>
      <c r="W6164" t="s">
        <v>42964</v>
      </c>
      <c r="X6164" t="s">
        <v>45103</v>
      </c>
    </row>
    <row r="6165" spans="1:24">
      <c r="A6165">
        <f>HYPERLINK("https://www.philgeps.gov.ph/GEPSNONPILOT/Tender/SplashBidNoticeAbstractUI.aspx?menuIndex=3&amp;refID=7040172&amp;Result=3","7040172")</f>
        <v>0</v>
      </c>
      <c r="B6165" t="s">
        <v>1440</v>
      </c>
      <c r="C6165" t="s">
        <v>9091</v>
      </c>
      <c r="D6165" t="s">
        <v>18084</v>
      </c>
      <c r="E6165" t="s">
        <v>23601</v>
      </c>
      <c r="F6165" t="s">
        <v>31574</v>
      </c>
      <c r="G6165" t="s">
        <v>31583</v>
      </c>
      <c r="H6165" t="s">
        <v>31590</v>
      </c>
      <c r="I6165" t="s">
        <v>4354</v>
      </c>
      <c r="J6165" t="s">
        <v>35697</v>
      </c>
      <c r="K6165" t="s">
        <v>41191</v>
      </c>
      <c r="M6165" t="s">
        <v>43135</v>
      </c>
      <c r="N6165" t="s">
        <v>45095</v>
      </c>
      <c r="O6165" t="s">
        <v>45096</v>
      </c>
      <c r="P6165">
        <v>0</v>
      </c>
      <c r="Q6165">
        <v>7</v>
      </c>
      <c r="R6165" t="s">
        <v>45102</v>
      </c>
      <c r="S6165" t="s">
        <v>45242</v>
      </c>
      <c r="T6165" t="s">
        <v>47159</v>
      </c>
      <c r="U6165" t="s">
        <v>51287</v>
      </c>
      <c r="V6165" t="s">
        <v>60330</v>
      </c>
      <c r="W6165" t="s">
        <v>61706</v>
      </c>
      <c r="X6165" t="s">
        <v>45103</v>
      </c>
    </row>
    <row r="6166" spans="1:24">
      <c r="A6166">
        <f>HYPERLINK("https://www.philgeps.gov.ph/GEPSNONPILOT/Tender/SplashBidNoticeAbstractUI.aspx?menuIndex=3&amp;refID=7040151&amp;Result=3","7040151")</f>
        <v>0</v>
      </c>
      <c r="B6166" t="s">
        <v>1014</v>
      </c>
      <c r="C6166" t="s">
        <v>9092</v>
      </c>
      <c r="D6166" t="s">
        <v>18059</v>
      </c>
      <c r="E6166" t="s">
        <v>23602</v>
      </c>
      <c r="F6166" t="s">
        <v>31574</v>
      </c>
      <c r="G6166" t="s">
        <v>31582</v>
      </c>
      <c r="H6166" t="s">
        <v>31590</v>
      </c>
      <c r="I6166" t="s">
        <v>4046</v>
      </c>
      <c r="J6166" t="s">
        <v>35698</v>
      </c>
      <c r="K6166" t="s">
        <v>41186</v>
      </c>
      <c r="M6166" t="s">
        <v>42555</v>
      </c>
      <c r="N6166" t="s">
        <v>45095</v>
      </c>
      <c r="O6166" t="s">
        <v>45096</v>
      </c>
      <c r="P6166">
        <v>0</v>
      </c>
      <c r="Q6166">
        <v>0</v>
      </c>
      <c r="R6166" t="s">
        <v>45102</v>
      </c>
      <c r="S6166" t="s">
        <v>45242</v>
      </c>
      <c r="T6166" t="s">
        <v>46988</v>
      </c>
      <c r="U6166" t="s">
        <v>52636</v>
      </c>
      <c r="W6166" t="s">
        <v>42555</v>
      </c>
      <c r="X6166" t="s">
        <v>45103</v>
      </c>
    </row>
    <row r="6167" spans="1:24">
      <c r="A6167">
        <f>HYPERLINK("https://www.philgeps.gov.ph/GEPSNONPILOT/Tender/SplashBidNoticeAbstractUI.aspx?menuIndex=3&amp;refID=7040160&amp;Result=3","7040160")</f>
        <v>0</v>
      </c>
      <c r="B6167" t="s">
        <v>340</v>
      </c>
      <c r="C6167" t="s">
        <v>9093</v>
      </c>
      <c r="D6167" t="s">
        <v>18077</v>
      </c>
      <c r="E6167" t="s">
        <v>23603</v>
      </c>
      <c r="F6167" t="s">
        <v>31574</v>
      </c>
      <c r="G6167" t="s">
        <v>31581</v>
      </c>
      <c r="H6167" t="s">
        <v>31590</v>
      </c>
      <c r="I6167" t="s">
        <v>5717</v>
      </c>
      <c r="J6167" t="s">
        <v>31845</v>
      </c>
      <c r="K6167" t="s">
        <v>41184</v>
      </c>
      <c r="M6167" t="s">
        <v>41828</v>
      </c>
      <c r="N6167" t="s">
        <v>45095</v>
      </c>
      <c r="O6167" t="s">
        <v>45096</v>
      </c>
      <c r="P6167">
        <v>0</v>
      </c>
      <c r="Q6167">
        <v>3</v>
      </c>
      <c r="R6167" t="s">
        <v>45102</v>
      </c>
      <c r="S6167" t="s">
        <v>45242</v>
      </c>
      <c r="T6167" t="s">
        <v>46985</v>
      </c>
      <c r="U6167" t="s">
        <v>52637</v>
      </c>
      <c r="W6167" t="s">
        <v>41828</v>
      </c>
      <c r="X6167" t="s">
        <v>45103</v>
      </c>
    </row>
    <row r="6168" spans="1:24">
      <c r="A6168">
        <f>HYPERLINK("https://www.philgeps.gov.ph/GEPSNONPILOT/Tender/SplashBidNoticeAbstractUI.aspx?menuIndex=3&amp;refID=7040165&amp;Result=3","7040165")</f>
        <v>0</v>
      </c>
      <c r="B6168" t="s">
        <v>1827</v>
      </c>
      <c r="C6168" t="s">
        <v>9094</v>
      </c>
      <c r="D6168" t="s">
        <v>18028</v>
      </c>
      <c r="E6168" t="s">
        <v>23604</v>
      </c>
      <c r="F6168" t="s">
        <v>31574</v>
      </c>
      <c r="G6168" t="s">
        <v>31582</v>
      </c>
      <c r="H6168" t="s">
        <v>31591</v>
      </c>
      <c r="I6168" t="s">
        <v>8822</v>
      </c>
      <c r="J6168" t="s">
        <v>31947</v>
      </c>
      <c r="K6168" t="s">
        <v>41184</v>
      </c>
      <c r="M6168" t="s">
        <v>43463</v>
      </c>
      <c r="N6168" t="s">
        <v>45095</v>
      </c>
      <c r="O6168" t="s">
        <v>45096</v>
      </c>
      <c r="P6168">
        <v>0</v>
      </c>
      <c r="Q6168">
        <v>0</v>
      </c>
      <c r="R6168" t="s">
        <v>45102</v>
      </c>
      <c r="S6168" t="s">
        <v>45242</v>
      </c>
      <c r="T6168" t="s">
        <v>47106</v>
      </c>
      <c r="U6168" t="s">
        <v>52638</v>
      </c>
      <c r="V6168" t="s">
        <v>60447</v>
      </c>
      <c r="W6168" t="s">
        <v>43463</v>
      </c>
      <c r="X6168" t="s">
        <v>45103</v>
      </c>
    </row>
    <row r="6169" spans="1:24">
      <c r="A6169">
        <f>HYPERLINK("https://www.philgeps.gov.ph/GEPSNONPILOT/Tender/SplashBidNoticeAbstractUI.aspx?menuIndex=3&amp;refID=7040159&amp;Result=3","7040159")</f>
        <v>0</v>
      </c>
      <c r="B6169" t="s">
        <v>1893</v>
      </c>
      <c r="C6169" t="s">
        <v>9095</v>
      </c>
      <c r="E6169" t="s">
        <v>23605</v>
      </c>
      <c r="F6169" t="s">
        <v>31574</v>
      </c>
      <c r="G6169" t="s">
        <v>31582</v>
      </c>
      <c r="H6169" t="s">
        <v>31590</v>
      </c>
      <c r="I6169" t="s">
        <v>8822</v>
      </c>
      <c r="J6169" t="s">
        <v>31771</v>
      </c>
      <c r="K6169" t="s">
        <v>41252</v>
      </c>
      <c r="M6169" t="s">
        <v>43536</v>
      </c>
      <c r="N6169" t="s">
        <v>45095</v>
      </c>
      <c r="O6169" t="s">
        <v>45096</v>
      </c>
      <c r="P6169">
        <v>0</v>
      </c>
      <c r="Q6169">
        <v>0</v>
      </c>
      <c r="R6169" t="s">
        <v>45102</v>
      </c>
      <c r="S6169" t="s">
        <v>45242</v>
      </c>
      <c r="T6169" t="s">
        <v>46965</v>
      </c>
      <c r="U6169" t="s">
        <v>52639</v>
      </c>
      <c r="W6169" t="s">
        <v>43536</v>
      </c>
      <c r="X6169" t="s">
        <v>45103</v>
      </c>
    </row>
    <row r="6170" spans="1:24">
      <c r="A6170">
        <f>HYPERLINK("https://www.philgeps.gov.ph/GEPSNONPILOT/Tender/SplashBidNoticeAbstractUI.aspx?menuIndex=3&amp;refID=7040166&amp;Result=3","7040166")</f>
        <v>0</v>
      </c>
      <c r="B6170" t="s">
        <v>533</v>
      </c>
      <c r="C6170" t="s">
        <v>9096</v>
      </c>
      <c r="D6170" t="s">
        <v>18075</v>
      </c>
      <c r="E6170" t="s">
        <v>23606</v>
      </c>
      <c r="F6170" t="s">
        <v>31574</v>
      </c>
      <c r="G6170" t="s">
        <v>31581</v>
      </c>
      <c r="H6170" t="s">
        <v>31591</v>
      </c>
      <c r="I6170" t="s">
        <v>8822</v>
      </c>
      <c r="J6170" t="s">
        <v>32019</v>
      </c>
      <c r="K6170" t="s">
        <v>41192</v>
      </c>
      <c r="M6170" t="s">
        <v>43099</v>
      </c>
      <c r="N6170" t="s">
        <v>45095</v>
      </c>
      <c r="O6170" t="s">
        <v>45096</v>
      </c>
      <c r="P6170">
        <v>0</v>
      </c>
      <c r="Q6170">
        <v>0</v>
      </c>
      <c r="R6170" t="s">
        <v>45102</v>
      </c>
      <c r="S6170" t="s">
        <v>45242</v>
      </c>
      <c r="T6170" t="s">
        <v>47276</v>
      </c>
      <c r="U6170" t="s">
        <v>50835</v>
      </c>
      <c r="W6170" t="s">
        <v>42964</v>
      </c>
      <c r="X6170" t="s">
        <v>45103</v>
      </c>
    </row>
    <row r="6171" spans="1:24">
      <c r="A6171">
        <f>HYPERLINK("https://www.philgeps.gov.ph/GEPSNONPILOT/Tender/SplashBidNoticeAbstractUI.aspx?menuIndex=3&amp;refID=7040155&amp;Result=3","7040155")</f>
        <v>0</v>
      </c>
      <c r="B6171" t="s">
        <v>1925</v>
      </c>
      <c r="C6171" t="s">
        <v>9097</v>
      </c>
      <c r="D6171" t="s">
        <v>18047</v>
      </c>
      <c r="E6171" t="s">
        <v>23607</v>
      </c>
      <c r="F6171" t="s">
        <v>31575</v>
      </c>
      <c r="G6171" t="s">
        <v>31581</v>
      </c>
      <c r="H6171" t="s">
        <v>31590</v>
      </c>
      <c r="I6171" t="s">
        <v>31714</v>
      </c>
      <c r="J6171" t="s">
        <v>34132</v>
      </c>
      <c r="K6171" t="s">
        <v>41193</v>
      </c>
      <c r="M6171" t="s">
        <v>43577</v>
      </c>
      <c r="N6171" t="s">
        <v>45095</v>
      </c>
      <c r="O6171" t="s">
        <v>45096</v>
      </c>
      <c r="P6171">
        <v>0</v>
      </c>
      <c r="Q6171">
        <v>0</v>
      </c>
      <c r="R6171" t="s">
        <v>45102</v>
      </c>
      <c r="S6171" t="s">
        <v>45242</v>
      </c>
      <c r="T6171" t="s">
        <v>46946</v>
      </c>
      <c r="U6171" t="s">
        <v>52640</v>
      </c>
      <c r="V6171" t="s">
        <v>60506</v>
      </c>
      <c r="W6171" t="s">
        <v>43577</v>
      </c>
      <c r="X6171" t="s">
        <v>45103</v>
      </c>
    </row>
    <row r="6172" spans="1:24">
      <c r="A6172">
        <f>HYPERLINK("https://www.philgeps.gov.ph/GEPSNONPILOT/Tender/SplashBidNoticeAbstractUI.aspx?menuIndex=3&amp;refID=7040180&amp;Result=3","7040180")</f>
        <v>0</v>
      </c>
      <c r="B6172" t="s">
        <v>1312</v>
      </c>
      <c r="C6172" t="s">
        <v>9098</v>
      </c>
      <c r="D6172" t="s">
        <v>18033</v>
      </c>
      <c r="E6172" t="s">
        <v>23608</v>
      </c>
      <c r="F6172" t="s">
        <v>31574</v>
      </c>
      <c r="G6172" t="s">
        <v>31583</v>
      </c>
      <c r="H6172" t="s">
        <v>31590</v>
      </c>
      <c r="I6172" t="s">
        <v>4327</v>
      </c>
      <c r="J6172" t="s">
        <v>35699</v>
      </c>
      <c r="K6172" t="s">
        <v>41211</v>
      </c>
      <c r="M6172" t="s">
        <v>42882</v>
      </c>
      <c r="N6172" t="s">
        <v>45095</v>
      </c>
      <c r="O6172" t="s">
        <v>45096</v>
      </c>
      <c r="P6172">
        <v>0</v>
      </c>
      <c r="Q6172">
        <v>0</v>
      </c>
      <c r="R6172" t="s">
        <v>45102</v>
      </c>
      <c r="S6172" t="s">
        <v>45242</v>
      </c>
      <c r="T6172" t="s">
        <v>47067</v>
      </c>
      <c r="U6172" t="s">
        <v>52641</v>
      </c>
      <c r="W6172" t="s">
        <v>42882</v>
      </c>
      <c r="X6172" t="s">
        <v>45103</v>
      </c>
    </row>
    <row r="6173" spans="1:24">
      <c r="A6173">
        <f>HYPERLINK("https://www.philgeps.gov.ph/GEPSNONPILOT/Tender/SplashBidNoticeAbstractUI.aspx?menuIndex=3&amp;refID=7040157&amp;Result=3","7040157")</f>
        <v>0</v>
      </c>
      <c r="B6173" t="s">
        <v>1926</v>
      </c>
      <c r="C6173" t="s">
        <v>9099</v>
      </c>
      <c r="D6173" t="s">
        <v>18099</v>
      </c>
      <c r="E6173" t="s">
        <v>23609</v>
      </c>
      <c r="F6173" t="s">
        <v>31574</v>
      </c>
      <c r="G6173" t="s">
        <v>31582</v>
      </c>
      <c r="H6173" t="s">
        <v>31591</v>
      </c>
      <c r="I6173" t="s">
        <v>8822</v>
      </c>
      <c r="J6173" t="s">
        <v>35700</v>
      </c>
      <c r="K6173" t="s">
        <v>41220</v>
      </c>
      <c r="M6173" t="s">
        <v>43578</v>
      </c>
      <c r="N6173" t="s">
        <v>45095</v>
      </c>
      <c r="O6173" t="s">
        <v>45096</v>
      </c>
      <c r="P6173">
        <v>0</v>
      </c>
      <c r="Q6173">
        <v>0</v>
      </c>
      <c r="R6173" t="s">
        <v>45102</v>
      </c>
      <c r="S6173" t="s">
        <v>45242</v>
      </c>
      <c r="T6173" t="s">
        <v>46988</v>
      </c>
      <c r="U6173" t="s">
        <v>52642</v>
      </c>
      <c r="V6173" t="s">
        <v>60507</v>
      </c>
      <c r="W6173" t="s">
        <v>43578</v>
      </c>
      <c r="X6173" t="s">
        <v>45103</v>
      </c>
    </row>
    <row r="6174" spans="1:24">
      <c r="A6174">
        <f>HYPERLINK("https://www.philgeps.gov.ph/GEPSNONPILOT/Tender/SplashBidNoticeAbstractUI.aspx?menuIndex=3&amp;refID=7040176&amp;Result=3","7040176")</f>
        <v>0</v>
      </c>
      <c r="B6174" t="s">
        <v>533</v>
      </c>
      <c r="C6174" t="s">
        <v>9100</v>
      </c>
      <c r="D6174" t="s">
        <v>18075</v>
      </c>
      <c r="E6174" t="s">
        <v>23610</v>
      </c>
      <c r="F6174" t="s">
        <v>31574</v>
      </c>
      <c r="G6174" t="s">
        <v>31581</v>
      </c>
      <c r="H6174" t="s">
        <v>31591</v>
      </c>
      <c r="I6174" t="s">
        <v>8822</v>
      </c>
      <c r="J6174" t="s">
        <v>31935</v>
      </c>
      <c r="K6174" t="s">
        <v>41201</v>
      </c>
      <c r="M6174" t="s">
        <v>43099</v>
      </c>
      <c r="N6174" t="s">
        <v>45095</v>
      </c>
      <c r="O6174" t="s">
        <v>45096</v>
      </c>
      <c r="P6174">
        <v>0</v>
      </c>
      <c r="Q6174">
        <v>1</v>
      </c>
      <c r="R6174" t="s">
        <v>45102</v>
      </c>
      <c r="S6174" t="s">
        <v>45242</v>
      </c>
      <c r="T6174" t="s">
        <v>47276</v>
      </c>
      <c r="U6174" t="s">
        <v>50835</v>
      </c>
      <c r="W6174" t="s">
        <v>42964</v>
      </c>
      <c r="X6174" t="s">
        <v>45103</v>
      </c>
    </row>
    <row r="6175" spans="1:24">
      <c r="A6175">
        <f>HYPERLINK("https://www.philgeps.gov.ph/GEPSNONPILOT/Tender/SplashBidNoticeAbstractUI.aspx?menuIndex=3&amp;refID=7040177&amp;Result=3","7040177")</f>
        <v>0</v>
      </c>
      <c r="B6175" t="s">
        <v>1467</v>
      </c>
      <c r="C6175" t="s">
        <v>9101</v>
      </c>
      <c r="D6175" t="s">
        <v>18022</v>
      </c>
      <c r="E6175" t="s">
        <v>23611</v>
      </c>
      <c r="F6175" t="s">
        <v>31574</v>
      </c>
      <c r="G6175" t="s">
        <v>31583</v>
      </c>
      <c r="H6175" t="s">
        <v>31590</v>
      </c>
      <c r="I6175" t="s">
        <v>7185</v>
      </c>
      <c r="J6175" t="s">
        <v>35701</v>
      </c>
      <c r="K6175" t="s">
        <v>41193</v>
      </c>
      <c r="M6175" t="s">
        <v>43579</v>
      </c>
      <c r="N6175" t="s">
        <v>45095</v>
      </c>
      <c r="O6175" t="s">
        <v>45096</v>
      </c>
      <c r="P6175">
        <v>0</v>
      </c>
      <c r="Q6175">
        <v>7</v>
      </c>
      <c r="R6175" t="s">
        <v>45102</v>
      </c>
      <c r="S6175" t="s">
        <v>45242</v>
      </c>
      <c r="T6175" t="s">
        <v>47193</v>
      </c>
      <c r="U6175" t="s">
        <v>52643</v>
      </c>
      <c r="W6175" t="s">
        <v>43579</v>
      </c>
      <c r="X6175" t="s">
        <v>45103</v>
      </c>
    </row>
    <row r="6176" spans="1:24">
      <c r="A6176">
        <f>HYPERLINK("https://www.philgeps.gov.ph/GEPSNONPILOT/Tender/SplashBidNoticeAbstractUI.aspx?menuIndex=3&amp;refID=7040171&amp;Result=3","7040171")</f>
        <v>0</v>
      </c>
      <c r="B6176" t="s">
        <v>533</v>
      </c>
      <c r="C6176" t="s">
        <v>9102</v>
      </c>
      <c r="E6176" t="s">
        <v>23612</v>
      </c>
      <c r="F6176" t="s">
        <v>31574</v>
      </c>
      <c r="G6176" t="s">
        <v>31581</v>
      </c>
      <c r="H6176" t="s">
        <v>31590</v>
      </c>
      <c r="I6176" t="s">
        <v>4046</v>
      </c>
      <c r="J6176" t="s">
        <v>32528</v>
      </c>
      <c r="K6176" t="s">
        <v>41186</v>
      </c>
      <c r="M6176" t="s">
        <v>42030</v>
      </c>
      <c r="N6176" t="s">
        <v>45095</v>
      </c>
      <c r="O6176" t="s">
        <v>45096</v>
      </c>
      <c r="P6176">
        <v>0</v>
      </c>
      <c r="Q6176">
        <v>1</v>
      </c>
      <c r="R6176" t="s">
        <v>45102</v>
      </c>
      <c r="S6176" t="s">
        <v>45242</v>
      </c>
      <c r="T6176" t="s">
        <v>47046</v>
      </c>
      <c r="U6176" t="s">
        <v>52644</v>
      </c>
      <c r="V6176" t="s">
        <v>59968</v>
      </c>
      <c r="W6176" t="s">
        <v>42945</v>
      </c>
      <c r="X6176" t="s">
        <v>45103</v>
      </c>
    </row>
    <row r="6177" spans="1:24">
      <c r="A6177">
        <f>HYPERLINK("https://www.philgeps.gov.ph/GEPSNONPILOT/Tender/SplashBidNoticeAbstractUI.aspx?menuIndex=3&amp;refID=7040174&amp;Result=3","7040174")</f>
        <v>0</v>
      </c>
      <c r="B6177" t="s">
        <v>512</v>
      </c>
      <c r="C6177" t="s">
        <v>9103</v>
      </c>
      <c r="D6177" t="s">
        <v>18065</v>
      </c>
      <c r="E6177" t="s">
        <v>23613</v>
      </c>
      <c r="F6177" t="s">
        <v>31574</v>
      </c>
      <c r="G6177" t="s">
        <v>31583</v>
      </c>
      <c r="H6177" t="s">
        <v>31590</v>
      </c>
      <c r="I6177" t="s">
        <v>14544</v>
      </c>
      <c r="J6177" t="s">
        <v>32007</v>
      </c>
      <c r="K6177" t="s">
        <v>41184</v>
      </c>
      <c r="M6177" t="s">
        <v>42008</v>
      </c>
      <c r="N6177" t="s">
        <v>45095</v>
      </c>
      <c r="O6177" t="s">
        <v>45096</v>
      </c>
      <c r="P6177">
        <v>0</v>
      </c>
      <c r="Q6177">
        <v>0</v>
      </c>
      <c r="R6177" t="s">
        <v>45102</v>
      </c>
      <c r="S6177" t="s">
        <v>45242</v>
      </c>
      <c r="T6177" t="s">
        <v>47080</v>
      </c>
      <c r="U6177" t="s">
        <v>52645</v>
      </c>
      <c r="W6177" t="s">
        <v>42008</v>
      </c>
      <c r="X6177" t="s">
        <v>45103</v>
      </c>
    </row>
    <row r="6178" spans="1:24">
      <c r="A6178">
        <f>HYPERLINK("https://www.philgeps.gov.ph/GEPSNONPILOT/Tender/SplashBidNoticeAbstractUI.aspx?menuIndex=3&amp;refID=7040185&amp;Result=3","7040185")</f>
        <v>0</v>
      </c>
      <c r="B6178" t="s">
        <v>1927</v>
      </c>
      <c r="C6178" t="s">
        <v>9104</v>
      </c>
      <c r="D6178" t="s">
        <v>18039</v>
      </c>
      <c r="E6178" t="s">
        <v>23614</v>
      </c>
      <c r="F6178" t="s">
        <v>31574</v>
      </c>
      <c r="G6178" t="s">
        <v>31581</v>
      </c>
      <c r="H6178" t="s">
        <v>31590</v>
      </c>
      <c r="I6178" t="s">
        <v>31604</v>
      </c>
      <c r="J6178" t="s">
        <v>35702</v>
      </c>
      <c r="K6178" t="s">
        <v>41184</v>
      </c>
      <c r="M6178" t="s">
        <v>43580</v>
      </c>
      <c r="N6178" t="s">
        <v>45095</v>
      </c>
      <c r="O6178" t="s">
        <v>45096</v>
      </c>
      <c r="P6178">
        <v>0</v>
      </c>
      <c r="Q6178">
        <v>0</v>
      </c>
      <c r="R6178" t="s">
        <v>45102</v>
      </c>
      <c r="S6178" t="s">
        <v>45242</v>
      </c>
      <c r="T6178" t="s">
        <v>47154</v>
      </c>
      <c r="U6178" t="s">
        <v>52646</v>
      </c>
      <c r="W6178" t="s">
        <v>43580</v>
      </c>
      <c r="X6178" t="s">
        <v>45103</v>
      </c>
    </row>
    <row r="6179" spans="1:24">
      <c r="A6179">
        <f>HYPERLINK("https://www.philgeps.gov.ph/GEPSNONPILOT/Tender/SplashBidNoticeAbstractUI.aspx?menuIndex=3&amp;refID=7040152&amp;Result=3","7040152")</f>
        <v>0</v>
      </c>
      <c r="B6179" t="s">
        <v>326</v>
      </c>
      <c r="C6179" t="s">
        <v>9105</v>
      </c>
      <c r="D6179" t="s">
        <v>18050</v>
      </c>
      <c r="E6179" t="s">
        <v>23615</v>
      </c>
      <c r="F6179" t="s">
        <v>31574</v>
      </c>
      <c r="G6179" t="s">
        <v>31582</v>
      </c>
      <c r="H6179" t="s">
        <v>31591</v>
      </c>
      <c r="I6179" t="s">
        <v>31663</v>
      </c>
      <c r="J6179" t="s">
        <v>31789</v>
      </c>
      <c r="K6179" t="s">
        <v>41191</v>
      </c>
      <c r="M6179" t="s">
        <v>41814</v>
      </c>
      <c r="N6179" t="s">
        <v>45095</v>
      </c>
      <c r="O6179" t="s">
        <v>45096</v>
      </c>
      <c r="P6179">
        <v>0</v>
      </c>
      <c r="Q6179">
        <v>0</v>
      </c>
      <c r="R6179" t="s">
        <v>45102</v>
      </c>
      <c r="S6179" t="s">
        <v>45242</v>
      </c>
      <c r="T6179" t="s">
        <v>46949</v>
      </c>
      <c r="U6179" t="s">
        <v>52647</v>
      </c>
      <c r="W6179" t="s">
        <v>41814</v>
      </c>
      <c r="X6179" t="s">
        <v>45103</v>
      </c>
    </row>
    <row r="6180" spans="1:24">
      <c r="A6180">
        <f>HYPERLINK("https://www.philgeps.gov.ph/GEPSNONPILOT/Tender/SplashBidNoticeAbstractUI.aspx?menuIndex=3&amp;refID=7040164&amp;Result=3","7040164")</f>
        <v>0</v>
      </c>
      <c r="B6180" t="s">
        <v>1833</v>
      </c>
      <c r="C6180" t="s">
        <v>9106</v>
      </c>
      <c r="D6180" t="s">
        <v>18036</v>
      </c>
      <c r="E6180" t="s">
        <v>23616</v>
      </c>
      <c r="F6180" t="s">
        <v>31574</v>
      </c>
      <c r="G6180" t="s">
        <v>31583</v>
      </c>
      <c r="H6180" t="s">
        <v>31590</v>
      </c>
      <c r="I6180" t="s">
        <v>31648</v>
      </c>
      <c r="J6180" t="s">
        <v>32163</v>
      </c>
      <c r="K6180" t="s">
        <v>41191</v>
      </c>
      <c r="M6180" t="s">
        <v>43469</v>
      </c>
      <c r="N6180" t="s">
        <v>45095</v>
      </c>
      <c r="O6180" t="s">
        <v>45096</v>
      </c>
      <c r="P6180">
        <v>0</v>
      </c>
      <c r="Q6180">
        <v>0</v>
      </c>
      <c r="R6180" t="s">
        <v>45102</v>
      </c>
      <c r="S6180" t="s">
        <v>45242</v>
      </c>
      <c r="T6180" t="s">
        <v>47162</v>
      </c>
      <c r="U6180" t="s">
        <v>52648</v>
      </c>
      <c r="V6180" t="s">
        <v>60508</v>
      </c>
      <c r="W6180" t="s">
        <v>43469</v>
      </c>
      <c r="X6180" t="s">
        <v>45103</v>
      </c>
    </row>
    <row r="6181" spans="1:24">
      <c r="A6181">
        <f>HYPERLINK("https://www.philgeps.gov.ph/GEPSNONPILOT/Tender/SplashBidNoticeAbstractUI.aspx?menuIndex=3&amp;refID=7040197&amp;Result=3","7040197")</f>
        <v>0</v>
      </c>
      <c r="B6181" t="s">
        <v>1928</v>
      </c>
      <c r="C6181" t="s">
        <v>9107</v>
      </c>
      <c r="E6181" t="s">
        <v>18227</v>
      </c>
      <c r="F6181" t="s">
        <v>31579</v>
      </c>
      <c r="G6181" t="s">
        <v>31581</v>
      </c>
      <c r="H6181" t="s">
        <v>31590</v>
      </c>
      <c r="I6181" t="s">
        <v>6800</v>
      </c>
      <c r="J6181" t="s">
        <v>35703</v>
      </c>
      <c r="K6181" t="s">
        <v>41211</v>
      </c>
      <c r="M6181" t="s">
        <v>43581</v>
      </c>
      <c r="N6181" t="s">
        <v>45095</v>
      </c>
      <c r="O6181" t="s">
        <v>45096</v>
      </c>
      <c r="P6181">
        <v>0</v>
      </c>
      <c r="Q6181">
        <v>1</v>
      </c>
      <c r="R6181" t="s">
        <v>45102</v>
      </c>
      <c r="S6181" t="s">
        <v>45242</v>
      </c>
      <c r="T6181" t="s">
        <v>47281</v>
      </c>
      <c r="U6181" t="s">
        <v>52649</v>
      </c>
      <c r="W6181" t="s">
        <v>43581</v>
      </c>
      <c r="X6181" t="s">
        <v>45103</v>
      </c>
    </row>
    <row r="6182" spans="1:24">
      <c r="A6182">
        <f>HYPERLINK("https://www.philgeps.gov.ph/GEPSNONPILOT/Tender/SplashBidNoticeAbstractUI.aspx?menuIndex=3&amp;refID=7040183&amp;Result=3","7040183")</f>
        <v>0</v>
      </c>
      <c r="B6182" t="s">
        <v>328</v>
      </c>
      <c r="C6182" t="s">
        <v>9108</v>
      </c>
      <c r="D6182" t="s">
        <v>18056</v>
      </c>
      <c r="E6182" t="s">
        <v>23617</v>
      </c>
      <c r="F6182" t="s">
        <v>31574</v>
      </c>
      <c r="G6182" t="s">
        <v>31582</v>
      </c>
      <c r="H6182" t="s">
        <v>31590</v>
      </c>
      <c r="I6182" t="s">
        <v>31600</v>
      </c>
      <c r="J6182" t="s">
        <v>35704</v>
      </c>
      <c r="K6182" t="s">
        <v>41186</v>
      </c>
      <c r="M6182" t="s">
        <v>43349</v>
      </c>
      <c r="N6182" t="s">
        <v>45095</v>
      </c>
      <c r="O6182" t="s">
        <v>45096</v>
      </c>
      <c r="P6182">
        <v>0</v>
      </c>
      <c r="Q6182">
        <v>0</v>
      </c>
      <c r="R6182" t="s">
        <v>45102</v>
      </c>
      <c r="S6182" t="s">
        <v>45242</v>
      </c>
      <c r="T6182" t="s">
        <v>47064</v>
      </c>
      <c r="U6182" t="s">
        <v>52650</v>
      </c>
      <c r="W6182" t="s">
        <v>43349</v>
      </c>
      <c r="X6182" t="s">
        <v>45103</v>
      </c>
    </row>
    <row r="6183" spans="1:24">
      <c r="A6183">
        <f>HYPERLINK("https://www.philgeps.gov.ph/GEPSNONPILOT/Tender/SplashBidNoticeAbstractUI.aspx?menuIndex=3&amp;refID=7040168&amp;Result=3","7040168")</f>
        <v>0</v>
      </c>
      <c r="B6183" t="s">
        <v>674</v>
      </c>
      <c r="C6183" t="s">
        <v>9109</v>
      </c>
      <c r="D6183" t="s">
        <v>18071</v>
      </c>
      <c r="E6183" t="s">
        <v>23618</v>
      </c>
      <c r="F6183" t="s">
        <v>31574</v>
      </c>
      <c r="G6183" t="s">
        <v>31581</v>
      </c>
      <c r="H6183" t="s">
        <v>31590</v>
      </c>
      <c r="I6183" t="s">
        <v>31608</v>
      </c>
      <c r="J6183" t="s">
        <v>32203</v>
      </c>
      <c r="K6183" t="s">
        <v>41191</v>
      </c>
      <c r="M6183" t="s">
        <v>42180</v>
      </c>
      <c r="N6183" t="s">
        <v>45095</v>
      </c>
      <c r="O6183" t="s">
        <v>45096</v>
      </c>
      <c r="P6183">
        <v>0</v>
      </c>
      <c r="Q6183">
        <v>2</v>
      </c>
      <c r="R6183" t="s">
        <v>45102</v>
      </c>
      <c r="S6183" t="s">
        <v>45242</v>
      </c>
      <c r="T6183" t="s">
        <v>46973</v>
      </c>
      <c r="U6183" t="s">
        <v>52651</v>
      </c>
      <c r="W6183" t="s">
        <v>42180</v>
      </c>
      <c r="X6183" t="s">
        <v>45103</v>
      </c>
    </row>
    <row r="6184" spans="1:24">
      <c r="A6184">
        <f>HYPERLINK("https://www.philgeps.gov.ph/GEPSNONPILOT/Tender/SplashBidNoticeAbstractUI.aspx?menuIndex=3&amp;refID=7040196&amp;Result=3","7040196")</f>
        <v>0</v>
      </c>
      <c r="B6184" t="s">
        <v>1929</v>
      </c>
      <c r="C6184" t="s">
        <v>9110</v>
      </c>
      <c r="D6184" t="s">
        <v>18052</v>
      </c>
      <c r="E6184" t="s">
        <v>23619</v>
      </c>
      <c r="F6184" t="s">
        <v>31574</v>
      </c>
      <c r="G6184" t="s">
        <v>31581</v>
      </c>
      <c r="H6184" t="s">
        <v>31590</v>
      </c>
      <c r="I6184" t="s">
        <v>31695</v>
      </c>
      <c r="J6184" t="s">
        <v>32742</v>
      </c>
      <c r="K6184" t="s">
        <v>41193</v>
      </c>
      <c r="M6184" t="s">
        <v>43582</v>
      </c>
      <c r="N6184" t="s">
        <v>45095</v>
      </c>
      <c r="O6184" t="s">
        <v>45096</v>
      </c>
      <c r="P6184">
        <v>0</v>
      </c>
      <c r="Q6184">
        <v>0</v>
      </c>
      <c r="R6184" t="s">
        <v>45102</v>
      </c>
      <c r="S6184" t="s">
        <v>45242</v>
      </c>
      <c r="T6184" t="s">
        <v>47124</v>
      </c>
      <c r="U6184" t="s">
        <v>52652</v>
      </c>
      <c r="W6184" t="s">
        <v>43582</v>
      </c>
      <c r="X6184" t="s">
        <v>45103</v>
      </c>
    </row>
    <row r="6185" spans="1:24">
      <c r="A6185">
        <f>HYPERLINK("https://www.philgeps.gov.ph/GEPSNONPILOT/Tender/SplashBidNoticeAbstractUI.aspx?menuIndex=3&amp;refID=7040198&amp;Result=3","7040198")</f>
        <v>0</v>
      </c>
      <c r="B6185" t="s">
        <v>533</v>
      </c>
      <c r="C6185" t="s">
        <v>9111</v>
      </c>
      <c r="D6185" t="s">
        <v>18075</v>
      </c>
      <c r="E6185" t="s">
        <v>23620</v>
      </c>
      <c r="F6185" t="s">
        <v>31574</v>
      </c>
      <c r="G6185" t="s">
        <v>31581</v>
      </c>
      <c r="H6185" t="s">
        <v>31591</v>
      </c>
      <c r="I6185" t="s">
        <v>8822</v>
      </c>
      <c r="J6185" t="s">
        <v>32019</v>
      </c>
      <c r="K6185" t="s">
        <v>41339</v>
      </c>
      <c r="M6185" t="s">
        <v>43099</v>
      </c>
      <c r="N6185" t="s">
        <v>45095</v>
      </c>
      <c r="O6185" t="s">
        <v>45096</v>
      </c>
      <c r="P6185">
        <v>0</v>
      </c>
      <c r="Q6185">
        <v>0</v>
      </c>
      <c r="R6185" t="s">
        <v>45102</v>
      </c>
      <c r="S6185" t="s">
        <v>45242</v>
      </c>
      <c r="T6185" t="s">
        <v>47276</v>
      </c>
      <c r="U6185" t="s">
        <v>50835</v>
      </c>
      <c r="W6185" t="s">
        <v>42964</v>
      </c>
      <c r="X6185" t="s">
        <v>45103</v>
      </c>
    </row>
    <row r="6186" spans="1:24">
      <c r="A6186">
        <f>HYPERLINK("https://www.philgeps.gov.ph/GEPSNONPILOT/Tender/SplashBidNoticeAbstractUI.aspx?menuIndex=3&amp;refID=7040188&amp;Result=3","7040188")</f>
        <v>0</v>
      </c>
      <c r="B6186" t="s">
        <v>1310</v>
      </c>
      <c r="C6186" t="s">
        <v>9112</v>
      </c>
      <c r="D6186" t="s">
        <v>18074</v>
      </c>
      <c r="E6186" t="s">
        <v>23621</v>
      </c>
      <c r="F6186" t="s">
        <v>31574</v>
      </c>
      <c r="G6186" t="s">
        <v>31582</v>
      </c>
      <c r="H6186" t="s">
        <v>31590</v>
      </c>
      <c r="I6186" t="s">
        <v>31695</v>
      </c>
      <c r="J6186" t="s">
        <v>35705</v>
      </c>
      <c r="K6186" t="s">
        <v>41190</v>
      </c>
      <c r="M6186" t="s">
        <v>42880</v>
      </c>
      <c r="N6186" t="s">
        <v>45095</v>
      </c>
      <c r="O6186" t="s">
        <v>45096</v>
      </c>
      <c r="P6186">
        <v>0</v>
      </c>
      <c r="Q6186">
        <v>0</v>
      </c>
      <c r="R6186" t="s">
        <v>45102</v>
      </c>
      <c r="S6186" t="s">
        <v>45242</v>
      </c>
      <c r="T6186" t="s">
        <v>47043</v>
      </c>
      <c r="U6186" t="s">
        <v>52653</v>
      </c>
      <c r="W6186" t="s">
        <v>42880</v>
      </c>
      <c r="X6186" t="s">
        <v>45103</v>
      </c>
    </row>
    <row r="6187" spans="1:24">
      <c r="A6187">
        <f>HYPERLINK("https://www.philgeps.gov.ph/GEPSNONPILOT/Tender/SplashBidNoticeAbstractUI.aspx?menuIndex=3&amp;refID=7040193&amp;Result=3","7040193")</f>
        <v>0</v>
      </c>
      <c r="B6187" t="s">
        <v>530</v>
      </c>
      <c r="C6187" t="s">
        <v>9113</v>
      </c>
      <c r="D6187" t="s">
        <v>18071</v>
      </c>
      <c r="E6187" t="s">
        <v>23622</v>
      </c>
      <c r="F6187" t="s">
        <v>31574</v>
      </c>
      <c r="G6187" t="s">
        <v>31582</v>
      </c>
      <c r="H6187" t="s">
        <v>31590</v>
      </c>
      <c r="I6187" t="s">
        <v>31608</v>
      </c>
      <c r="J6187" t="s">
        <v>35706</v>
      </c>
      <c r="K6187" t="s">
        <v>41186</v>
      </c>
      <c r="M6187" t="s">
        <v>42027</v>
      </c>
      <c r="N6187" t="s">
        <v>45095</v>
      </c>
      <c r="O6187" t="s">
        <v>45096</v>
      </c>
      <c r="P6187">
        <v>0</v>
      </c>
      <c r="Q6187">
        <v>1</v>
      </c>
      <c r="R6187" t="s">
        <v>45102</v>
      </c>
      <c r="S6187" t="s">
        <v>45242</v>
      </c>
      <c r="T6187" t="s">
        <v>47003</v>
      </c>
      <c r="U6187" t="s">
        <v>52654</v>
      </c>
      <c r="W6187" t="s">
        <v>42027</v>
      </c>
      <c r="X6187" t="s">
        <v>45103</v>
      </c>
    </row>
    <row r="6188" spans="1:24">
      <c r="A6188">
        <f>HYPERLINK("https://www.philgeps.gov.ph/GEPSNONPILOT/Tender/SplashBidNoticeAbstractUI.aspx?menuIndex=3&amp;refID=7040187&amp;Result=3","7040187")</f>
        <v>0</v>
      </c>
      <c r="B6188" t="s">
        <v>1409</v>
      </c>
      <c r="C6188" t="s">
        <v>9114</v>
      </c>
      <c r="D6188" t="s">
        <v>18050</v>
      </c>
      <c r="E6188" t="s">
        <v>23623</v>
      </c>
      <c r="F6188" t="s">
        <v>31574</v>
      </c>
      <c r="G6188" t="s">
        <v>31583</v>
      </c>
      <c r="H6188" t="s">
        <v>31590</v>
      </c>
      <c r="I6188" t="s">
        <v>4046</v>
      </c>
      <c r="J6188" t="s">
        <v>32570</v>
      </c>
      <c r="K6188" t="s">
        <v>41191</v>
      </c>
      <c r="M6188" t="s">
        <v>42985</v>
      </c>
      <c r="N6188" t="s">
        <v>45095</v>
      </c>
      <c r="O6188" t="s">
        <v>45096</v>
      </c>
      <c r="P6188">
        <v>0</v>
      </c>
      <c r="Q6188">
        <v>1</v>
      </c>
      <c r="R6188" t="s">
        <v>45102</v>
      </c>
      <c r="S6188" t="s">
        <v>45242</v>
      </c>
      <c r="T6188" t="s">
        <v>46949</v>
      </c>
      <c r="U6188" t="s">
        <v>51073</v>
      </c>
      <c r="W6188" t="s">
        <v>42985</v>
      </c>
      <c r="X6188" t="s">
        <v>45103</v>
      </c>
    </row>
    <row r="6189" spans="1:24">
      <c r="A6189">
        <f>HYPERLINK("https://www.philgeps.gov.ph/GEPSNONPILOT/Tender/SplashBidNoticeAbstractUI.aspx?menuIndex=3&amp;refID=7040190&amp;Result=3","7040190")</f>
        <v>0</v>
      </c>
      <c r="B6189" t="s">
        <v>683</v>
      </c>
      <c r="C6189" t="s">
        <v>9115</v>
      </c>
      <c r="D6189" t="s">
        <v>18059</v>
      </c>
      <c r="E6189" t="s">
        <v>23624</v>
      </c>
      <c r="F6189" t="s">
        <v>31574</v>
      </c>
      <c r="G6189" t="s">
        <v>31581</v>
      </c>
      <c r="H6189" t="s">
        <v>31590</v>
      </c>
      <c r="I6189" t="s">
        <v>31602</v>
      </c>
      <c r="J6189" t="s">
        <v>35707</v>
      </c>
      <c r="K6189" t="s">
        <v>41184</v>
      </c>
      <c r="M6189" t="s">
        <v>43558</v>
      </c>
      <c r="N6189" t="s">
        <v>45095</v>
      </c>
      <c r="O6189" t="s">
        <v>45096</v>
      </c>
      <c r="P6189">
        <v>0</v>
      </c>
      <c r="Q6189">
        <v>0</v>
      </c>
      <c r="R6189" t="s">
        <v>45102</v>
      </c>
      <c r="S6189" t="s">
        <v>45242</v>
      </c>
      <c r="T6189" t="s">
        <v>47159</v>
      </c>
      <c r="U6189" t="s">
        <v>52655</v>
      </c>
      <c r="W6189" t="s">
        <v>43558</v>
      </c>
      <c r="X6189" t="s">
        <v>45103</v>
      </c>
    </row>
    <row r="6190" spans="1:24">
      <c r="A6190">
        <f>HYPERLINK("https://www.philgeps.gov.ph/GEPSNONPILOT/Tender/SplashBidNoticeAbstractUI.aspx?menuIndex=3&amp;refID=7040194&amp;Result=3","7040194")</f>
        <v>0</v>
      </c>
      <c r="B6190" t="s">
        <v>1528</v>
      </c>
      <c r="C6190" t="s">
        <v>9116</v>
      </c>
      <c r="D6190" t="s">
        <v>18022</v>
      </c>
      <c r="E6190" t="s">
        <v>23625</v>
      </c>
      <c r="F6190" t="s">
        <v>31574</v>
      </c>
      <c r="G6190" t="s">
        <v>31582</v>
      </c>
      <c r="H6190" t="s">
        <v>31591</v>
      </c>
      <c r="I6190" t="s">
        <v>8822</v>
      </c>
      <c r="J6190" t="s">
        <v>35708</v>
      </c>
      <c r="K6190" t="s">
        <v>41198</v>
      </c>
      <c r="M6190" t="s">
        <v>43583</v>
      </c>
      <c r="N6190" t="s">
        <v>45095</v>
      </c>
      <c r="O6190" t="s">
        <v>45096</v>
      </c>
      <c r="P6190">
        <v>0</v>
      </c>
      <c r="Q6190">
        <v>3</v>
      </c>
      <c r="R6190" t="s">
        <v>45102</v>
      </c>
      <c r="S6190" t="s">
        <v>45242</v>
      </c>
      <c r="T6190" t="s">
        <v>47089</v>
      </c>
      <c r="U6190" t="s">
        <v>52656</v>
      </c>
      <c r="V6190" t="s">
        <v>60509</v>
      </c>
      <c r="W6190" t="s">
        <v>43583</v>
      </c>
      <c r="X6190" t="s">
        <v>45103</v>
      </c>
    </row>
    <row r="6191" spans="1:24">
      <c r="A6191">
        <f>HYPERLINK("https://www.philgeps.gov.ph/GEPSNONPILOT/Tender/SplashBidNoticeAbstractUI.aspx?menuIndex=3&amp;refID=7040211&amp;Result=3","7040211")</f>
        <v>0</v>
      </c>
      <c r="B6191" t="s">
        <v>1930</v>
      </c>
      <c r="C6191" t="s">
        <v>9117</v>
      </c>
      <c r="D6191" t="s">
        <v>18090</v>
      </c>
      <c r="E6191" t="s">
        <v>23626</v>
      </c>
      <c r="F6191" t="s">
        <v>31574</v>
      </c>
      <c r="G6191" t="s">
        <v>31582</v>
      </c>
      <c r="H6191" t="s">
        <v>31591</v>
      </c>
      <c r="I6191" t="s">
        <v>8822</v>
      </c>
      <c r="J6191" t="s">
        <v>35709</v>
      </c>
      <c r="K6191" t="s">
        <v>41340</v>
      </c>
      <c r="L6191" t="s">
        <v>1930</v>
      </c>
      <c r="M6191" t="s">
        <v>43584</v>
      </c>
      <c r="N6191" t="s">
        <v>45095</v>
      </c>
      <c r="O6191" t="s">
        <v>45096</v>
      </c>
      <c r="P6191">
        <v>0</v>
      </c>
      <c r="Q6191">
        <v>0</v>
      </c>
      <c r="R6191" t="s">
        <v>45102</v>
      </c>
      <c r="S6191" t="s">
        <v>45242</v>
      </c>
      <c r="T6191" t="s">
        <v>46992</v>
      </c>
      <c r="U6191" t="s">
        <v>52657</v>
      </c>
      <c r="W6191" t="s">
        <v>43584</v>
      </c>
      <c r="X6191" t="s">
        <v>45103</v>
      </c>
    </row>
    <row r="6192" spans="1:24">
      <c r="A6192">
        <f>HYPERLINK("https://www.philgeps.gov.ph/GEPSNONPILOT/Tender/SplashBidNoticeAbstractUI.aspx?menuIndex=3&amp;refID=7040213&amp;Result=3","7040213")</f>
        <v>0</v>
      </c>
      <c r="B6192" t="s">
        <v>1931</v>
      </c>
      <c r="C6192" t="s">
        <v>9118</v>
      </c>
      <c r="D6192" t="s">
        <v>18029</v>
      </c>
      <c r="E6192" t="s">
        <v>23627</v>
      </c>
      <c r="F6192" t="s">
        <v>31574</v>
      </c>
      <c r="G6192" t="s">
        <v>31582</v>
      </c>
      <c r="H6192" t="s">
        <v>31590</v>
      </c>
      <c r="I6192" t="s">
        <v>31615</v>
      </c>
      <c r="J6192" t="s">
        <v>31758</v>
      </c>
      <c r="K6192" t="s">
        <v>41190</v>
      </c>
      <c r="M6192" t="s">
        <v>43585</v>
      </c>
      <c r="N6192" t="s">
        <v>45095</v>
      </c>
      <c r="O6192" t="s">
        <v>45096</v>
      </c>
      <c r="P6192">
        <v>0</v>
      </c>
      <c r="Q6192">
        <v>3</v>
      </c>
      <c r="R6192" t="s">
        <v>45102</v>
      </c>
      <c r="S6192" t="s">
        <v>45242</v>
      </c>
      <c r="T6192" t="s">
        <v>46918</v>
      </c>
      <c r="U6192" t="s">
        <v>52658</v>
      </c>
      <c r="W6192" t="s">
        <v>43585</v>
      </c>
      <c r="X6192" t="s">
        <v>45103</v>
      </c>
    </row>
    <row r="6193" spans="1:24">
      <c r="A6193">
        <f>HYPERLINK("https://www.philgeps.gov.ph/GEPSNONPILOT/Tender/SplashBidNoticeAbstractUI.aspx?menuIndex=3&amp;refID=7040208&amp;Result=3","7040208")</f>
        <v>0</v>
      </c>
      <c r="B6193" t="s">
        <v>1575</v>
      </c>
      <c r="C6193" t="s">
        <v>9119</v>
      </c>
      <c r="D6193" t="s">
        <v>18065</v>
      </c>
      <c r="E6193" t="s">
        <v>23628</v>
      </c>
      <c r="F6193" t="s">
        <v>31574</v>
      </c>
      <c r="G6193" t="s">
        <v>31582</v>
      </c>
      <c r="H6193" t="s">
        <v>31590</v>
      </c>
      <c r="I6193" t="s">
        <v>31704</v>
      </c>
      <c r="J6193" t="s">
        <v>35710</v>
      </c>
      <c r="K6193" t="s">
        <v>41225</v>
      </c>
      <c r="M6193" t="s">
        <v>43178</v>
      </c>
      <c r="N6193" t="s">
        <v>45095</v>
      </c>
      <c r="O6193" t="s">
        <v>45096</v>
      </c>
      <c r="P6193">
        <v>0</v>
      </c>
      <c r="Q6193">
        <v>1</v>
      </c>
      <c r="R6193" t="s">
        <v>45102</v>
      </c>
      <c r="S6193" t="s">
        <v>45242</v>
      </c>
      <c r="T6193" t="s">
        <v>46957</v>
      </c>
      <c r="U6193" t="s">
        <v>52659</v>
      </c>
      <c r="V6193" t="s">
        <v>60343</v>
      </c>
      <c r="W6193" t="s">
        <v>43178</v>
      </c>
      <c r="X6193" t="s">
        <v>45103</v>
      </c>
    </row>
    <row r="6194" spans="1:24">
      <c r="A6194">
        <f>HYPERLINK("https://www.philgeps.gov.ph/GEPSNONPILOT/Tender/SplashBidNoticeAbstractUI.aspx?menuIndex=3&amp;refID=7040189&amp;Result=3","7040189")</f>
        <v>0</v>
      </c>
      <c r="B6194" t="s">
        <v>1932</v>
      </c>
      <c r="C6194" t="s">
        <v>9120</v>
      </c>
      <c r="D6194" t="s">
        <v>18103</v>
      </c>
      <c r="E6194" t="s">
        <v>23629</v>
      </c>
      <c r="F6194" t="s">
        <v>31574</v>
      </c>
      <c r="G6194" t="s">
        <v>31582</v>
      </c>
      <c r="H6194" t="s">
        <v>31590</v>
      </c>
      <c r="I6194" t="s">
        <v>14544</v>
      </c>
      <c r="J6194" t="s">
        <v>35711</v>
      </c>
      <c r="K6194" t="s">
        <v>41186</v>
      </c>
      <c r="M6194" t="s">
        <v>43586</v>
      </c>
      <c r="N6194" t="s">
        <v>45095</v>
      </c>
      <c r="O6194" t="s">
        <v>45096</v>
      </c>
      <c r="P6194">
        <v>0</v>
      </c>
      <c r="Q6194">
        <v>0</v>
      </c>
      <c r="R6194" t="s">
        <v>45102</v>
      </c>
      <c r="S6194" t="s">
        <v>45242</v>
      </c>
      <c r="T6194" t="s">
        <v>47064</v>
      </c>
      <c r="U6194" t="s">
        <v>52660</v>
      </c>
      <c r="V6194" t="s">
        <v>60510</v>
      </c>
      <c r="W6194" t="s">
        <v>43586</v>
      </c>
      <c r="X6194" t="s">
        <v>45103</v>
      </c>
    </row>
    <row r="6195" spans="1:24">
      <c r="A6195">
        <f>HYPERLINK("https://www.philgeps.gov.ph/GEPSNONPILOT/Tender/SplashBidNoticeAbstractUI.aspx?menuIndex=3&amp;refID=7040209&amp;Result=3","7040209")</f>
        <v>0</v>
      </c>
      <c r="B6195" t="s">
        <v>669</v>
      </c>
      <c r="C6195" t="s">
        <v>9121</v>
      </c>
      <c r="D6195" t="s">
        <v>18050</v>
      </c>
      <c r="E6195" t="s">
        <v>23630</v>
      </c>
      <c r="F6195" t="s">
        <v>31574</v>
      </c>
      <c r="G6195" t="s">
        <v>31582</v>
      </c>
      <c r="H6195" t="s">
        <v>31591</v>
      </c>
      <c r="I6195" t="s">
        <v>8822</v>
      </c>
      <c r="J6195" t="s">
        <v>35712</v>
      </c>
      <c r="K6195" t="s">
        <v>41189</v>
      </c>
      <c r="M6195" t="s">
        <v>42174</v>
      </c>
      <c r="N6195" t="s">
        <v>45095</v>
      </c>
      <c r="O6195" t="s">
        <v>45096</v>
      </c>
      <c r="P6195">
        <v>0</v>
      </c>
      <c r="Q6195">
        <v>1</v>
      </c>
      <c r="R6195" t="s">
        <v>45102</v>
      </c>
      <c r="S6195" t="s">
        <v>45242</v>
      </c>
      <c r="T6195" t="s">
        <v>47000</v>
      </c>
      <c r="U6195" t="s">
        <v>52518</v>
      </c>
      <c r="W6195" t="s">
        <v>42174</v>
      </c>
      <c r="X6195" t="s">
        <v>45103</v>
      </c>
    </row>
    <row r="6196" spans="1:24">
      <c r="A6196">
        <f>HYPERLINK("https://www.philgeps.gov.ph/GEPSNONPILOT/Tender/SplashBidNoticeAbstractUI.aspx?menuIndex=3&amp;refID=7040167&amp;Result=3","7040167")</f>
        <v>0</v>
      </c>
      <c r="B6196" t="s">
        <v>530</v>
      </c>
      <c r="C6196" t="s">
        <v>9122</v>
      </c>
      <c r="D6196" t="s">
        <v>18071</v>
      </c>
      <c r="E6196" t="s">
        <v>9122</v>
      </c>
      <c r="F6196" t="s">
        <v>31574</v>
      </c>
      <c r="G6196" t="s">
        <v>31582</v>
      </c>
      <c r="H6196" t="s">
        <v>31590</v>
      </c>
      <c r="I6196" t="s">
        <v>31609</v>
      </c>
      <c r="J6196" t="s">
        <v>35713</v>
      </c>
      <c r="K6196" t="s">
        <v>41186</v>
      </c>
      <c r="M6196" t="s">
        <v>42027</v>
      </c>
      <c r="N6196" t="s">
        <v>45095</v>
      </c>
      <c r="O6196" t="s">
        <v>45096</v>
      </c>
      <c r="P6196">
        <v>0</v>
      </c>
      <c r="Q6196">
        <v>0</v>
      </c>
      <c r="R6196" t="s">
        <v>45102</v>
      </c>
      <c r="S6196" t="s">
        <v>45242</v>
      </c>
      <c r="T6196" t="s">
        <v>47003</v>
      </c>
      <c r="U6196" t="s">
        <v>52661</v>
      </c>
      <c r="W6196" t="s">
        <v>42027</v>
      </c>
      <c r="X6196" t="s">
        <v>45103</v>
      </c>
    </row>
    <row r="6197" spans="1:24">
      <c r="A6197">
        <f>HYPERLINK("https://www.philgeps.gov.ph/GEPSNONPILOT/Tender/SplashBidNoticeAbstractUI.aspx?menuIndex=3&amp;refID=7040215&amp;Result=3","7040215")</f>
        <v>0</v>
      </c>
      <c r="B6197" t="s">
        <v>1827</v>
      </c>
      <c r="C6197" t="s">
        <v>9123</v>
      </c>
      <c r="D6197" t="s">
        <v>18028</v>
      </c>
      <c r="E6197" t="s">
        <v>23631</v>
      </c>
      <c r="F6197" t="s">
        <v>31574</v>
      </c>
      <c r="G6197" t="s">
        <v>31582</v>
      </c>
      <c r="H6197" t="s">
        <v>31591</v>
      </c>
      <c r="I6197" t="s">
        <v>8822</v>
      </c>
      <c r="J6197" t="s">
        <v>32203</v>
      </c>
      <c r="K6197" t="s">
        <v>41184</v>
      </c>
      <c r="M6197" t="s">
        <v>43463</v>
      </c>
      <c r="N6197" t="s">
        <v>45095</v>
      </c>
      <c r="O6197" t="s">
        <v>45096</v>
      </c>
      <c r="P6197">
        <v>0</v>
      </c>
      <c r="Q6197">
        <v>0</v>
      </c>
      <c r="R6197" t="s">
        <v>45102</v>
      </c>
      <c r="S6197" t="s">
        <v>45242</v>
      </c>
      <c r="T6197" t="s">
        <v>47092</v>
      </c>
      <c r="U6197" t="s">
        <v>52662</v>
      </c>
      <c r="V6197" t="s">
        <v>60447</v>
      </c>
      <c r="W6197" t="s">
        <v>43463</v>
      </c>
      <c r="X6197" t="s">
        <v>45103</v>
      </c>
    </row>
    <row r="6198" spans="1:24">
      <c r="A6198">
        <f>HYPERLINK("https://www.philgeps.gov.ph/GEPSNONPILOT/Tender/SplashBidNoticeAbstractUI.aspx?menuIndex=3&amp;refID=7040206&amp;Result=3","7040206")</f>
        <v>0</v>
      </c>
      <c r="B6198" t="s">
        <v>470</v>
      </c>
      <c r="C6198" t="s">
        <v>9124</v>
      </c>
      <c r="D6198" t="s">
        <v>18022</v>
      </c>
      <c r="E6198" t="s">
        <v>23632</v>
      </c>
      <c r="F6198" t="s">
        <v>31574</v>
      </c>
      <c r="G6198" t="s">
        <v>31584</v>
      </c>
      <c r="H6198" t="s">
        <v>31590</v>
      </c>
      <c r="I6198" t="s">
        <v>6800</v>
      </c>
      <c r="J6198" t="s">
        <v>31842</v>
      </c>
      <c r="K6198" t="s">
        <v>41193</v>
      </c>
      <c r="M6198" t="s">
        <v>41964</v>
      </c>
      <c r="N6198" t="s">
        <v>45095</v>
      </c>
      <c r="O6198" t="s">
        <v>45096</v>
      </c>
      <c r="P6198">
        <v>0</v>
      </c>
      <c r="Q6198">
        <v>4</v>
      </c>
      <c r="R6198" t="s">
        <v>45102</v>
      </c>
      <c r="S6198" t="s">
        <v>45242</v>
      </c>
      <c r="T6198" t="s">
        <v>47076</v>
      </c>
      <c r="U6198" t="s">
        <v>52663</v>
      </c>
      <c r="W6198" t="s">
        <v>61668</v>
      </c>
      <c r="X6198" t="s">
        <v>45103</v>
      </c>
    </row>
    <row r="6199" spans="1:24">
      <c r="A6199">
        <f>HYPERLINK("https://www.philgeps.gov.ph/GEPSNONPILOT/Tender/SplashBidNoticeAbstractUI.aspx?menuIndex=3&amp;refID=7040199&amp;Result=3","7040199")</f>
        <v>0</v>
      </c>
      <c r="B6199" t="s">
        <v>1893</v>
      </c>
      <c r="C6199" t="s">
        <v>9125</v>
      </c>
      <c r="E6199" t="s">
        <v>23633</v>
      </c>
      <c r="F6199" t="s">
        <v>31574</v>
      </c>
      <c r="G6199" t="s">
        <v>31582</v>
      </c>
      <c r="H6199" t="s">
        <v>31590</v>
      </c>
      <c r="I6199" t="s">
        <v>8822</v>
      </c>
      <c r="J6199" t="s">
        <v>31771</v>
      </c>
      <c r="K6199" t="s">
        <v>41252</v>
      </c>
      <c r="M6199" t="s">
        <v>43536</v>
      </c>
      <c r="N6199" t="s">
        <v>45095</v>
      </c>
      <c r="O6199" t="s">
        <v>45096</v>
      </c>
      <c r="P6199">
        <v>0</v>
      </c>
      <c r="Q6199">
        <v>0</v>
      </c>
      <c r="R6199" t="s">
        <v>45102</v>
      </c>
      <c r="S6199" t="s">
        <v>45242</v>
      </c>
      <c r="T6199" t="s">
        <v>46965</v>
      </c>
      <c r="U6199" t="s">
        <v>52664</v>
      </c>
      <c r="W6199" t="s">
        <v>43536</v>
      </c>
      <c r="X6199" t="s">
        <v>45103</v>
      </c>
    </row>
    <row r="6200" spans="1:24">
      <c r="A6200">
        <f>HYPERLINK("https://www.philgeps.gov.ph/GEPSNONPILOT/Tender/SplashBidNoticeAbstractUI.aspx?menuIndex=3&amp;refID=7040207&amp;Result=3","7040207")</f>
        <v>0</v>
      </c>
      <c r="B6200" t="s">
        <v>218</v>
      </c>
      <c r="C6200" t="s">
        <v>9126</v>
      </c>
      <c r="D6200" t="s">
        <v>18070</v>
      </c>
      <c r="E6200" t="s">
        <v>23634</v>
      </c>
      <c r="F6200" t="s">
        <v>31574</v>
      </c>
      <c r="G6200" t="s">
        <v>31583</v>
      </c>
      <c r="H6200" t="s">
        <v>31590</v>
      </c>
      <c r="I6200" t="s">
        <v>4046</v>
      </c>
      <c r="J6200" t="s">
        <v>32958</v>
      </c>
      <c r="K6200" t="s">
        <v>41193</v>
      </c>
      <c r="M6200" t="s">
        <v>41703</v>
      </c>
      <c r="N6200" t="s">
        <v>45095</v>
      </c>
      <c r="O6200" t="s">
        <v>45096</v>
      </c>
      <c r="P6200">
        <v>0</v>
      </c>
      <c r="Q6200">
        <v>0</v>
      </c>
      <c r="R6200" t="s">
        <v>45102</v>
      </c>
      <c r="S6200" t="s">
        <v>45242</v>
      </c>
      <c r="T6200" t="s">
        <v>47158</v>
      </c>
      <c r="U6200" t="s">
        <v>47880</v>
      </c>
      <c r="W6200" t="s">
        <v>41703</v>
      </c>
      <c r="X6200" t="s">
        <v>45103</v>
      </c>
    </row>
    <row r="6201" spans="1:24">
      <c r="A6201">
        <f>HYPERLINK("https://www.philgeps.gov.ph/GEPSNONPILOT/Tender/SplashBidNoticeAbstractUI.aspx?menuIndex=3&amp;refID=7040202&amp;Result=3","7040202")</f>
        <v>0</v>
      </c>
      <c r="B6201" t="s">
        <v>1933</v>
      </c>
      <c r="C6201" t="s">
        <v>9127</v>
      </c>
      <c r="E6201" t="s">
        <v>21381</v>
      </c>
      <c r="F6201" t="s">
        <v>31574</v>
      </c>
      <c r="G6201" t="s">
        <v>31581</v>
      </c>
      <c r="H6201" t="s">
        <v>31590</v>
      </c>
      <c r="I6201" t="s">
        <v>4327</v>
      </c>
      <c r="J6201" t="s">
        <v>31782</v>
      </c>
      <c r="K6201" t="s">
        <v>41184</v>
      </c>
      <c r="M6201" t="s">
        <v>43587</v>
      </c>
      <c r="N6201" t="s">
        <v>45095</v>
      </c>
      <c r="O6201" t="s">
        <v>45096</v>
      </c>
      <c r="P6201">
        <v>0</v>
      </c>
      <c r="Q6201">
        <v>3</v>
      </c>
      <c r="R6201" t="s">
        <v>45102</v>
      </c>
      <c r="S6201" t="s">
        <v>45242</v>
      </c>
      <c r="T6201" t="s">
        <v>47058</v>
      </c>
      <c r="U6201" t="s">
        <v>52665</v>
      </c>
      <c r="W6201" t="s">
        <v>43587</v>
      </c>
      <c r="X6201" t="s">
        <v>45103</v>
      </c>
    </row>
    <row r="6202" spans="1:24">
      <c r="A6202">
        <f>HYPERLINK("https://www.philgeps.gov.ph/GEPSNONPILOT/Tender/SplashBidNoticeAbstractUI.aspx?menuIndex=3&amp;refID=7040217&amp;Result=3","7040217")</f>
        <v>0</v>
      </c>
      <c r="B6202" t="s">
        <v>1672</v>
      </c>
      <c r="C6202" t="s">
        <v>9128</v>
      </c>
      <c r="D6202" t="s">
        <v>18022</v>
      </c>
      <c r="E6202" t="s">
        <v>23635</v>
      </c>
      <c r="F6202" t="s">
        <v>31574</v>
      </c>
      <c r="G6202" t="s">
        <v>31582</v>
      </c>
      <c r="H6202" t="s">
        <v>31590</v>
      </c>
      <c r="I6202" t="s">
        <v>31608</v>
      </c>
      <c r="J6202" t="s">
        <v>35714</v>
      </c>
      <c r="K6202" t="s">
        <v>41185</v>
      </c>
      <c r="M6202" t="s">
        <v>43285</v>
      </c>
      <c r="N6202" t="s">
        <v>45095</v>
      </c>
      <c r="O6202" t="s">
        <v>45096</v>
      </c>
      <c r="P6202">
        <v>0</v>
      </c>
      <c r="Q6202">
        <v>6</v>
      </c>
      <c r="R6202" t="s">
        <v>45102</v>
      </c>
      <c r="S6202" t="s">
        <v>45242</v>
      </c>
      <c r="T6202" t="s">
        <v>47232</v>
      </c>
      <c r="U6202" t="s">
        <v>50610</v>
      </c>
      <c r="W6202" t="s">
        <v>43285</v>
      </c>
      <c r="X6202" t="s">
        <v>45103</v>
      </c>
    </row>
    <row r="6203" spans="1:24">
      <c r="A6203">
        <f>HYPERLINK("https://www.philgeps.gov.ph/GEPSNONPILOT/Tender/SplashBidNoticeAbstractUI.aspx?menuIndex=3&amp;refID=7040226&amp;Result=3","7040226")</f>
        <v>0</v>
      </c>
      <c r="B6203" t="s">
        <v>80</v>
      </c>
      <c r="C6203" t="s">
        <v>9129</v>
      </c>
      <c r="D6203" t="s">
        <v>18041</v>
      </c>
      <c r="E6203" t="s">
        <v>23636</v>
      </c>
      <c r="F6203" t="s">
        <v>31574</v>
      </c>
      <c r="G6203" t="s">
        <v>31583</v>
      </c>
      <c r="H6203" t="s">
        <v>31590</v>
      </c>
      <c r="I6203" t="s">
        <v>4046</v>
      </c>
      <c r="J6203" t="s">
        <v>35715</v>
      </c>
      <c r="K6203" t="s">
        <v>41196</v>
      </c>
      <c r="M6203" t="s">
        <v>41564</v>
      </c>
      <c r="N6203" t="s">
        <v>45095</v>
      </c>
      <c r="O6203" t="s">
        <v>45096</v>
      </c>
      <c r="P6203">
        <v>0</v>
      </c>
      <c r="Q6203">
        <v>0</v>
      </c>
      <c r="R6203" t="s">
        <v>45102</v>
      </c>
      <c r="S6203" t="s">
        <v>45242</v>
      </c>
      <c r="T6203" t="s">
        <v>46957</v>
      </c>
      <c r="U6203" t="s">
        <v>52666</v>
      </c>
      <c r="W6203" t="s">
        <v>41564</v>
      </c>
      <c r="X6203" t="s">
        <v>45103</v>
      </c>
    </row>
    <row r="6204" spans="1:24">
      <c r="A6204">
        <f>HYPERLINK("https://www.philgeps.gov.ph/GEPSNONPILOT/Tender/SplashBidNoticeAbstractUI.aspx?menuIndex=3&amp;refID=7040221&amp;Result=3","7040221")</f>
        <v>0</v>
      </c>
      <c r="B6204" t="s">
        <v>326</v>
      </c>
      <c r="C6204" t="s">
        <v>9130</v>
      </c>
      <c r="D6204" t="s">
        <v>18050</v>
      </c>
      <c r="E6204" t="s">
        <v>23637</v>
      </c>
      <c r="F6204" t="s">
        <v>31574</v>
      </c>
      <c r="G6204" t="s">
        <v>31582</v>
      </c>
      <c r="H6204" t="s">
        <v>31591</v>
      </c>
      <c r="I6204" t="s">
        <v>7162</v>
      </c>
      <c r="J6204" t="s">
        <v>35716</v>
      </c>
      <c r="K6204" t="s">
        <v>41185</v>
      </c>
      <c r="M6204" t="s">
        <v>41814</v>
      </c>
      <c r="N6204" t="s">
        <v>45095</v>
      </c>
      <c r="O6204" t="s">
        <v>45096</v>
      </c>
      <c r="P6204">
        <v>0</v>
      </c>
      <c r="Q6204">
        <v>2</v>
      </c>
      <c r="R6204" t="s">
        <v>45102</v>
      </c>
      <c r="S6204" t="s">
        <v>45242</v>
      </c>
      <c r="T6204" t="s">
        <v>46949</v>
      </c>
      <c r="U6204" t="s">
        <v>52667</v>
      </c>
      <c r="W6204" t="s">
        <v>41814</v>
      </c>
      <c r="X6204" t="s">
        <v>45103</v>
      </c>
    </row>
    <row r="6205" spans="1:24">
      <c r="A6205">
        <f>HYPERLINK("https://www.philgeps.gov.ph/GEPSNONPILOT/Tender/SplashBidNoticeAbstractUI.aspx?menuIndex=3&amp;refID=7040224&amp;Result=3","7040224")</f>
        <v>0</v>
      </c>
      <c r="B6205" t="s">
        <v>683</v>
      </c>
      <c r="C6205" t="s">
        <v>9131</v>
      </c>
      <c r="D6205" t="s">
        <v>18059</v>
      </c>
      <c r="E6205" t="s">
        <v>23638</v>
      </c>
      <c r="F6205" t="s">
        <v>31574</v>
      </c>
      <c r="G6205" t="s">
        <v>31581</v>
      </c>
      <c r="H6205" t="s">
        <v>31590</v>
      </c>
      <c r="I6205" t="s">
        <v>14544</v>
      </c>
      <c r="J6205" t="s">
        <v>35717</v>
      </c>
      <c r="K6205" t="s">
        <v>41184</v>
      </c>
      <c r="M6205" t="s">
        <v>43558</v>
      </c>
      <c r="N6205" t="s">
        <v>45095</v>
      </c>
      <c r="O6205" t="s">
        <v>45096</v>
      </c>
      <c r="P6205">
        <v>0</v>
      </c>
      <c r="Q6205">
        <v>0</v>
      </c>
      <c r="R6205" t="s">
        <v>45102</v>
      </c>
      <c r="S6205" t="s">
        <v>45242</v>
      </c>
      <c r="T6205" t="s">
        <v>47159</v>
      </c>
      <c r="U6205" t="s">
        <v>52668</v>
      </c>
      <c r="W6205" t="s">
        <v>43558</v>
      </c>
      <c r="X6205" t="s">
        <v>45103</v>
      </c>
    </row>
    <row r="6206" spans="1:24">
      <c r="A6206">
        <f>HYPERLINK("https://www.philgeps.gov.ph/GEPSNONPILOT/Tender/SplashBidNoticeAbstractUI.aspx?menuIndex=3&amp;refID=7040220&amp;Result=3","7040220")</f>
        <v>0</v>
      </c>
      <c r="B6206" t="s">
        <v>1409</v>
      </c>
      <c r="C6206" t="s">
        <v>8322</v>
      </c>
      <c r="D6206" t="s">
        <v>18050</v>
      </c>
      <c r="E6206" t="s">
        <v>23639</v>
      </c>
      <c r="F6206" t="s">
        <v>31574</v>
      </c>
      <c r="G6206" t="s">
        <v>31583</v>
      </c>
      <c r="H6206" t="s">
        <v>31590</v>
      </c>
      <c r="I6206" t="s">
        <v>4046</v>
      </c>
      <c r="J6206" t="s">
        <v>35718</v>
      </c>
      <c r="K6206" t="s">
        <v>41191</v>
      </c>
      <c r="M6206" t="s">
        <v>42985</v>
      </c>
      <c r="N6206" t="s">
        <v>45095</v>
      </c>
      <c r="O6206" t="s">
        <v>45096</v>
      </c>
      <c r="P6206">
        <v>0</v>
      </c>
      <c r="Q6206">
        <v>0</v>
      </c>
      <c r="R6206" t="s">
        <v>45102</v>
      </c>
      <c r="S6206" t="s">
        <v>45242</v>
      </c>
      <c r="T6206" t="s">
        <v>46949</v>
      </c>
      <c r="U6206" t="s">
        <v>51073</v>
      </c>
      <c r="W6206" t="s">
        <v>42985</v>
      </c>
      <c r="X6206" t="s">
        <v>45103</v>
      </c>
    </row>
    <row r="6207" spans="1:24">
      <c r="A6207">
        <f>HYPERLINK("https://www.philgeps.gov.ph/GEPSNONPILOT/Tender/SplashBidNoticeAbstractUI.aspx?menuIndex=3&amp;refID=7040249&amp;Result=3","7040249")</f>
        <v>0</v>
      </c>
      <c r="B6207" t="s">
        <v>296</v>
      </c>
      <c r="C6207" t="s">
        <v>9132</v>
      </c>
      <c r="D6207" t="s">
        <v>18040</v>
      </c>
      <c r="E6207" t="s">
        <v>23640</v>
      </c>
      <c r="F6207" t="s">
        <v>31574</v>
      </c>
      <c r="G6207" t="s">
        <v>31582</v>
      </c>
      <c r="H6207" t="s">
        <v>31591</v>
      </c>
      <c r="I6207" t="s">
        <v>8822</v>
      </c>
      <c r="J6207" t="s">
        <v>32114</v>
      </c>
      <c r="K6207" t="s">
        <v>41186</v>
      </c>
      <c r="M6207" t="s">
        <v>41782</v>
      </c>
      <c r="N6207" t="s">
        <v>45095</v>
      </c>
      <c r="O6207" t="s">
        <v>45096</v>
      </c>
      <c r="P6207">
        <v>0</v>
      </c>
      <c r="Q6207">
        <v>0</v>
      </c>
      <c r="R6207" t="s">
        <v>45102</v>
      </c>
      <c r="S6207" t="s">
        <v>45242</v>
      </c>
      <c r="T6207" t="s">
        <v>47065</v>
      </c>
      <c r="U6207" t="s">
        <v>52669</v>
      </c>
      <c r="V6207" t="s">
        <v>59950</v>
      </c>
      <c r="W6207" t="s">
        <v>41782</v>
      </c>
      <c r="X6207" t="s">
        <v>45103</v>
      </c>
    </row>
    <row r="6208" spans="1:24">
      <c r="A6208">
        <f>HYPERLINK("https://www.philgeps.gov.ph/GEPSNONPILOT/Tender/SplashBidNoticeAbstractUI.aspx?menuIndex=3&amp;refID=7040230&amp;Result=3","7040230")</f>
        <v>0</v>
      </c>
      <c r="B6208" t="s">
        <v>1929</v>
      </c>
      <c r="C6208" t="s">
        <v>9133</v>
      </c>
      <c r="D6208" t="s">
        <v>18052</v>
      </c>
      <c r="E6208" t="s">
        <v>23641</v>
      </c>
      <c r="F6208" t="s">
        <v>31574</v>
      </c>
      <c r="G6208" t="s">
        <v>31581</v>
      </c>
      <c r="H6208" t="s">
        <v>31590</v>
      </c>
      <c r="I6208" t="s">
        <v>3539</v>
      </c>
      <c r="J6208" t="s">
        <v>35719</v>
      </c>
      <c r="K6208" t="s">
        <v>41193</v>
      </c>
      <c r="M6208" t="s">
        <v>43582</v>
      </c>
      <c r="N6208" t="s">
        <v>45095</v>
      </c>
      <c r="O6208" t="s">
        <v>45096</v>
      </c>
      <c r="P6208">
        <v>0</v>
      </c>
      <c r="Q6208">
        <v>1</v>
      </c>
      <c r="R6208" t="s">
        <v>45102</v>
      </c>
      <c r="S6208" t="s">
        <v>45242</v>
      </c>
      <c r="T6208" t="s">
        <v>47282</v>
      </c>
      <c r="U6208" t="s">
        <v>52670</v>
      </c>
      <c r="W6208" t="s">
        <v>43582</v>
      </c>
      <c r="X6208" t="s">
        <v>45103</v>
      </c>
    </row>
    <row r="6209" spans="1:24">
      <c r="A6209">
        <f>HYPERLINK("https://www.philgeps.gov.ph/GEPSNONPILOT/Tender/SplashBidNoticeAbstractUI.aspx?menuIndex=3&amp;refID=7040246&amp;Result=3","7040246")</f>
        <v>0</v>
      </c>
      <c r="B6209" t="s">
        <v>1126</v>
      </c>
      <c r="C6209" t="s">
        <v>9134</v>
      </c>
      <c r="D6209" t="s">
        <v>18058</v>
      </c>
      <c r="E6209" t="s">
        <v>23642</v>
      </c>
      <c r="F6209" t="s">
        <v>31574</v>
      </c>
      <c r="G6209" t="s">
        <v>31582</v>
      </c>
      <c r="H6209" t="s">
        <v>31590</v>
      </c>
      <c r="I6209" t="s">
        <v>31608</v>
      </c>
      <c r="J6209" t="s">
        <v>35720</v>
      </c>
      <c r="K6209" t="s">
        <v>41192</v>
      </c>
      <c r="M6209" t="s">
        <v>43588</v>
      </c>
      <c r="N6209" t="s">
        <v>45095</v>
      </c>
      <c r="O6209" t="s">
        <v>45096</v>
      </c>
      <c r="P6209">
        <v>0</v>
      </c>
      <c r="Q6209">
        <v>6</v>
      </c>
      <c r="R6209" t="s">
        <v>45102</v>
      </c>
      <c r="S6209" t="s">
        <v>45242</v>
      </c>
      <c r="T6209" t="s">
        <v>47093</v>
      </c>
      <c r="U6209" t="s">
        <v>52671</v>
      </c>
      <c r="W6209" t="s">
        <v>43588</v>
      </c>
      <c r="X6209" t="s">
        <v>45103</v>
      </c>
    </row>
    <row r="6210" spans="1:24">
      <c r="A6210">
        <f>HYPERLINK("https://www.philgeps.gov.ph/GEPSNONPILOT/Tender/SplashBidNoticeAbstractUI.aspx?menuIndex=3&amp;refID=7040245&amp;Result=3","7040245")</f>
        <v>0</v>
      </c>
      <c r="B6210" t="s">
        <v>1893</v>
      </c>
      <c r="C6210" t="s">
        <v>9135</v>
      </c>
      <c r="E6210" t="s">
        <v>23643</v>
      </c>
      <c r="F6210" t="s">
        <v>31574</v>
      </c>
      <c r="G6210" t="s">
        <v>31582</v>
      </c>
      <c r="H6210" t="s">
        <v>31590</v>
      </c>
      <c r="I6210" t="s">
        <v>8822</v>
      </c>
      <c r="J6210" t="s">
        <v>31771</v>
      </c>
      <c r="K6210" t="s">
        <v>41252</v>
      </c>
      <c r="M6210" t="s">
        <v>43536</v>
      </c>
      <c r="N6210" t="s">
        <v>45095</v>
      </c>
      <c r="O6210" t="s">
        <v>45096</v>
      </c>
      <c r="P6210">
        <v>0</v>
      </c>
      <c r="Q6210">
        <v>0</v>
      </c>
      <c r="R6210" t="s">
        <v>45102</v>
      </c>
      <c r="S6210" t="s">
        <v>45242</v>
      </c>
      <c r="T6210" t="s">
        <v>46965</v>
      </c>
      <c r="U6210" t="s">
        <v>52672</v>
      </c>
      <c r="W6210" t="s">
        <v>43536</v>
      </c>
      <c r="X6210" t="s">
        <v>45103</v>
      </c>
    </row>
    <row r="6211" spans="1:24">
      <c r="A6211">
        <f>HYPERLINK("https://www.philgeps.gov.ph/GEPSNONPILOT/Tender/SplashBidNoticeAbstractUI.aspx?menuIndex=3&amp;refID=7040229&amp;Result=3","7040229")</f>
        <v>0</v>
      </c>
      <c r="B6211" t="s">
        <v>1934</v>
      </c>
      <c r="C6211" t="s">
        <v>9136</v>
      </c>
      <c r="D6211" t="s">
        <v>18063</v>
      </c>
      <c r="E6211" t="s">
        <v>23644</v>
      </c>
      <c r="F6211" t="s">
        <v>31574</v>
      </c>
      <c r="G6211" t="s">
        <v>31582</v>
      </c>
      <c r="H6211" t="s">
        <v>31590</v>
      </c>
      <c r="I6211" t="s">
        <v>4046</v>
      </c>
      <c r="J6211" t="s">
        <v>35721</v>
      </c>
      <c r="K6211" t="s">
        <v>41184</v>
      </c>
      <c r="M6211" t="s">
        <v>43589</v>
      </c>
      <c r="N6211" t="s">
        <v>45095</v>
      </c>
      <c r="O6211" t="s">
        <v>45096</v>
      </c>
      <c r="Q6211">
        <v>1</v>
      </c>
      <c r="R6211" t="s">
        <v>45102</v>
      </c>
      <c r="S6211" t="s">
        <v>45264</v>
      </c>
      <c r="T6211" t="s">
        <v>46962</v>
      </c>
      <c r="U6211" t="s">
        <v>52673</v>
      </c>
      <c r="W6211" t="s">
        <v>43589</v>
      </c>
      <c r="X6211" t="s">
        <v>45103</v>
      </c>
    </row>
    <row r="6212" spans="1:24">
      <c r="A6212">
        <f>HYPERLINK("https://www.philgeps.gov.ph/GEPSNONPILOT/Tender/SplashBidNoticeAbstractUI.aspx?menuIndex=3&amp;refID=7040244&amp;Result=3","7040244")</f>
        <v>0</v>
      </c>
      <c r="B6212" t="s">
        <v>1926</v>
      </c>
      <c r="C6212" t="s">
        <v>9137</v>
      </c>
      <c r="D6212" t="s">
        <v>18099</v>
      </c>
      <c r="E6212" t="s">
        <v>23645</v>
      </c>
      <c r="F6212" t="s">
        <v>31574</v>
      </c>
      <c r="G6212" t="s">
        <v>31582</v>
      </c>
      <c r="H6212" t="s">
        <v>31591</v>
      </c>
      <c r="I6212" t="s">
        <v>8822</v>
      </c>
      <c r="J6212" t="s">
        <v>35722</v>
      </c>
      <c r="K6212" t="s">
        <v>41341</v>
      </c>
      <c r="M6212" t="s">
        <v>43578</v>
      </c>
      <c r="N6212" t="s">
        <v>45095</v>
      </c>
      <c r="O6212" t="s">
        <v>45096</v>
      </c>
      <c r="P6212">
        <v>0</v>
      </c>
      <c r="Q6212">
        <v>0</v>
      </c>
      <c r="R6212" t="s">
        <v>45102</v>
      </c>
      <c r="S6212" t="s">
        <v>45242</v>
      </c>
      <c r="T6212" t="s">
        <v>46988</v>
      </c>
      <c r="U6212" t="s">
        <v>52674</v>
      </c>
      <c r="V6212" t="s">
        <v>60511</v>
      </c>
      <c r="W6212" t="s">
        <v>43578</v>
      </c>
      <c r="X6212" t="s">
        <v>45103</v>
      </c>
    </row>
    <row r="6213" spans="1:24">
      <c r="A6213">
        <f>HYPERLINK("https://www.philgeps.gov.ph/GEPSNONPILOT/Tender/SplashBidNoticeAbstractUI.aspx?menuIndex=3&amp;refID=7040247&amp;Result=3","7040247")</f>
        <v>0</v>
      </c>
      <c r="B6213" t="s">
        <v>201</v>
      </c>
      <c r="C6213" t="s">
        <v>4235</v>
      </c>
      <c r="D6213" t="s">
        <v>18045</v>
      </c>
      <c r="E6213" t="s">
        <v>23646</v>
      </c>
      <c r="F6213" t="s">
        <v>31574</v>
      </c>
      <c r="G6213" t="s">
        <v>31581</v>
      </c>
      <c r="H6213" t="s">
        <v>31590</v>
      </c>
      <c r="I6213" t="s">
        <v>7185</v>
      </c>
      <c r="J6213" t="s">
        <v>35723</v>
      </c>
      <c r="K6213" t="s">
        <v>41184</v>
      </c>
      <c r="M6213" t="s">
        <v>41970</v>
      </c>
      <c r="N6213" t="s">
        <v>45095</v>
      </c>
      <c r="O6213" t="s">
        <v>45096</v>
      </c>
      <c r="P6213">
        <v>0</v>
      </c>
      <c r="Q6213">
        <v>3</v>
      </c>
      <c r="R6213" t="s">
        <v>45102</v>
      </c>
      <c r="S6213" t="s">
        <v>45242</v>
      </c>
      <c r="T6213" t="s">
        <v>47124</v>
      </c>
      <c r="U6213" t="s">
        <v>48429</v>
      </c>
      <c r="W6213" t="s">
        <v>41970</v>
      </c>
      <c r="X6213" t="s">
        <v>45103</v>
      </c>
    </row>
    <row r="6214" spans="1:24">
      <c r="A6214">
        <f>HYPERLINK("https://www.philgeps.gov.ph/GEPSNONPILOT/Tender/SplashBidNoticeAbstractUI.aspx?menuIndex=3&amp;refID=7040236&amp;Result=3","7040236")</f>
        <v>0</v>
      </c>
      <c r="B6214" t="s">
        <v>401</v>
      </c>
      <c r="C6214" t="s">
        <v>9138</v>
      </c>
      <c r="D6214" t="s">
        <v>18052</v>
      </c>
      <c r="E6214" t="s">
        <v>23647</v>
      </c>
      <c r="F6214" t="s">
        <v>31574</v>
      </c>
      <c r="G6214" t="s">
        <v>31582</v>
      </c>
      <c r="H6214" t="s">
        <v>31591</v>
      </c>
      <c r="I6214" t="s">
        <v>8822</v>
      </c>
      <c r="J6214" t="s">
        <v>35724</v>
      </c>
      <c r="K6214" t="s">
        <v>41202</v>
      </c>
      <c r="M6214" t="s">
        <v>41892</v>
      </c>
      <c r="N6214" t="s">
        <v>45095</v>
      </c>
      <c r="O6214" t="s">
        <v>45096</v>
      </c>
      <c r="P6214">
        <v>0</v>
      </c>
      <c r="Q6214">
        <v>4</v>
      </c>
      <c r="R6214" t="s">
        <v>45102</v>
      </c>
      <c r="S6214" t="s">
        <v>45242</v>
      </c>
      <c r="T6214" t="s">
        <v>47199</v>
      </c>
      <c r="U6214" t="s">
        <v>52675</v>
      </c>
      <c r="W6214" t="s">
        <v>41892</v>
      </c>
      <c r="X6214" t="s">
        <v>45103</v>
      </c>
    </row>
    <row r="6215" spans="1:24">
      <c r="A6215">
        <f>HYPERLINK("https://www.philgeps.gov.ph/GEPSNONPILOT/Tender/SplashBidNoticeAbstractUI.aspx?menuIndex=3&amp;refID=7040223&amp;Result=3","7040223")</f>
        <v>0</v>
      </c>
      <c r="B6215" t="s">
        <v>1935</v>
      </c>
      <c r="C6215" t="s">
        <v>9139</v>
      </c>
      <c r="D6215" t="s">
        <v>18025</v>
      </c>
      <c r="E6215" t="s">
        <v>23648</v>
      </c>
      <c r="F6215" t="s">
        <v>31574</v>
      </c>
      <c r="G6215" t="s">
        <v>31581</v>
      </c>
      <c r="H6215" t="s">
        <v>31592</v>
      </c>
      <c r="I6215" t="s">
        <v>31597</v>
      </c>
      <c r="J6215" t="s">
        <v>32020</v>
      </c>
      <c r="K6215" t="s">
        <v>41197</v>
      </c>
      <c r="M6215" t="s">
        <v>43590</v>
      </c>
      <c r="N6215" t="s">
        <v>45095</v>
      </c>
      <c r="O6215" t="s">
        <v>45096</v>
      </c>
      <c r="P6215">
        <v>0</v>
      </c>
      <c r="Q6215">
        <v>0</v>
      </c>
      <c r="R6215" t="s">
        <v>45102</v>
      </c>
      <c r="S6215" t="s">
        <v>45242</v>
      </c>
      <c r="T6215" t="s">
        <v>47050</v>
      </c>
      <c r="U6215" t="s">
        <v>52676</v>
      </c>
      <c r="W6215" t="s">
        <v>43590</v>
      </c>
      <c r="X6215" t="s">
        <v>45103</v>
      </c>
    </row>
    <row r="6216" spans="1:24">
      <c r="A6216">
        <f>HYPERLINK("https://www.philgeps.gov.ph/GEPSNONPILOT/Tender/SplashBidNoticeAbstractUI.aspx?menuIndex=3&amp;refID=7040232&amp;Result=3","7040232")</f>
        <v>0</v>
      </c>
      <c r="B6216" t="s">
        <v>1936</v>
      </c>
      <c r="C6216" t="s">
        <v>9140</v>
      </c>
      <c r="D6216" t="s">
        <v>18039</v>
      </c>
      <c r="E6216" t="s">
        <v>23649</v>
      </c>
      <c r="F6216" t="s">
        <v>31575</v>
      </c>
      <c r="G6216" t="s">
        <v>31581</v>
      </c>
      <c r="H6216" t="s">
        <v>31590</v>
      </c>
      <c r="I6216" t="s">
        <v>4046</v>
      </c>
      <c r="J6216" t="s">
        <v>35725</v>
      </c>
      <c r="K6216" t="s">
        <v>41213</v>
      </c>
      <c r="M6216" t="s">
        <v>43591</v>
      </c>
      <c r="N6216" t="s">
        <v>45095</v>
      </c>
      <c r="O6216" t="s">
        <v>45096</v>
      </c>
      <c r="P6216">
        <v>0</v>
      </c>
      <c r="Q6216">
        <v>0</v>
      </c>
      <c r="R6216" t="s">
        <v>45102</v>
      </c>
      <c r="S6216" t="s">
        <v>45242</v>
      </c>
      <c r="T6216" t="s">
        <v>46936</v>
      </c>
      <c r="U6216" t="s">
        <v>52677</v>
      </c>
      <c r="W6216" t="s">
        <v>43591</v>
      </c>
      <c r="X6216" t="s">
        <v>45103</v>
      </c>
    </row>
    <row r="6217" spans="1:24">
      <c r="A6217">
        <f>HYPERLINK("https://www.philgeps.gov.ph/GEPSNONPILOT/Tender/SplashBidNoticeAbstractUI.aspx?menuIndex=3&amp;refID=7040242&amp;Result=3","7040242")</f>
        <v>0</v>
      </c>
      <c r="B6217" t="s">
        <v>1833</v>
      </c>
      <c r="C6217" t="s">
        <v>9141</v>
      </c>
      <c r="D6217" t="s">
        <v>18036</v>
      </c>
      <c r="E6217" t="s">
        <v>23616</v>
      </c>
      <c r="F6217" t="s">
        <v>31574</v>
      </c>
      <c r="G6217" t="s">
        <v>31581</v>
      </c>
      <c r="H6217" t="s">
        <v>31590</v>
      </c>
      <c r="I6217" t="s">
        <v>31614</v>
      </c>
      <c r="J6217" t="s">
        <v>31845</v>
      </c>
      <c r="K6217" t="s">
        <v>41191</v>
      </c>
      <c r="M6217" t="s">
        <v>43469</v>
      </c>
      <c r="N6217" t="s">
        <v>45095</v>
      </c>
      <c r="O6217" t="s">
        <v>45096</v>
      </c>
      <c r="P6217">
        <v>0</v>
      </c>
      <c r="Q6217">
        <v>1</v>
      </c>
      <c r="R6217" t="s">
        <v>45102</v>
      </c>
      <c r="S6217" t="s">
        <v>45242</v>
      </c>
      <c r="T6217" t="s">
        <v>47162</v>
      </c>
      <c r="U6217" t="s">
        <v>52678</v>
      </c>
      <c r="V6217" t="s">
        <v>60512</v>
      </c>
      <c r="W6217" t="s">
        <v>43469</v>
      </c>
      <c r="X6217" t="s">
        <v>45103</v>
      </c>
    </row>
    <row r="6218" spans="1:24">
      <c r="A6218">
        <f>HYPERLINK("https://www.philgeps.gov.ph/GEPSNONPILOT/Tender/SplashBidNoticeAbstractUI.aspx?menuIndex=3&amp;refID=7040250&amp;Result=3","7040250")</f>
        <v>0</v>
      </c>
      <c r="B6218" t="s">
        <v>1648</v>
      </c>
      <c r="C6218" t="s">
        <v>9142</v>
      </c>
      <c r="E6218" t="s">
        <v>23650</v>
      </c>
      <c r="F6218" t="s">
        <v>31574</v>
      </c>
      <c r="G6218" t="s">
        <v>31581</v>
      </c>
      <c r="H6218" t="s">
        <v>31590</v>
      </c>
      <c r="I6218" t="s">
        <v>31614</v>
      </c>
      <c r="J6218" t="s">
        <v>31782</v>
      </c>
      <c r="K6218" t="s">
        <v>41186</v>
      </c>
      <c r="M6218" t="s">
        <v>43259</v>
      </c>
      <c r="N6218" t="s">
        <v>45095</v>
      </c>
      <c r="O6218" t="s">
        <v>45096</v>
      </c>
      <c r="P6218">
        <v>0</v>
      </c>
      <c r="Q6218">
        <v>2</v>
      </c>
      <c r="R6218" t="s">
        <v>45102</v>
      </c>
      <c r="S6218" t="s">
        <v>45242</v>
      </c>
      <c r="T6218" t="s">
        <v>47162</v>
      </c>
      <c r="U6218" t="s">
        <v>52679</v>
      </c>
      <c r="W6218" t="s">
        <v>61714</v>
      </c>
      <c r="X6218" t="s">
        <v>45103</v>
      </c>
    </row>
    <row r="6219" spans="1:24">
      <c r="A6219">
        <f>HYPERLINK("https://www.philgeps.gov.ph/GEPSNONPILOT/Tender/SplashBidNoticeAbstractUI.aspx?menuIndex=3&amp;refID=7040235&amp;Result=3","7040235")</f>
        <v>0</v>
      </c>
      <c r="B6219" t="s">
        <v>533</v>
      </c>
      <c r="C6219" t="s">
        <v>9143</v>
      </c>
      <c r="E6219" t="s">
        <v>23651</v>
      </c>
      <c r="F6219" t="s">
        <v>31574</v>
      </c>
      <c r="G6219" t="s">
        <v>31581</v>
      </c>
      <c r="H6219" t="s">
        <v>31590</v>
      </c>
      <c r="I6219" t="s">
        <v>31640</v>
      </c>
      <c r="J6219" t="s">
        <v>31727</v>
      </c>
      <c r="K6219" t="s">
        <v>41186</v>
      </c>
      <c r="M6219" t="s">
        <v>42030</v>
      </c>
      <c r="N6219" t="s">
        <v>45095</v>
      </c>
      <c r="O6219" t="s">
        <v>45096</v>
      </c>
      <c r="P6219">
        <v>0</v>
      </c>
      <c r="Q6219">
        <v>5</v>
      </c>
      <c r="R6219" t="s">
        <v>45102</v>
      </c>
      <c r="S6219" t="s">
        <v>45242</v>
      </c>
      <c r="T6219" t="s">
        <v>47046</v>
      </c>
      <c r="U6219" t="s">
        <v>52680</v>
      </c>
      <c r="V6219" t="s">
        <v>59968</v>
      </c>
      <c r="W6219" t="s">
        <v>42945</v>
      </c>
      <c r="X6219" t="s">
        <v>45103</v>
      </c>
    </row>
    <row r="6220" spans="1:24">
      <c r="A6220">
        <f>HYPERLINK("https://www.philgeps.gov.ph/GEPSNONPILOT/Tender/SplashBidNoticeAbstractUI.aspx?menuIndex=3&amp;refID=7040233&amp;Result=3","7040233")</f>
        <v>0</v>
      </c>
      <c r="B6220" t="s">
        <v>1937</v>
      </c>
      <c r="C6220" t="s">
        <v>9144</v>
      </c>
      <c r="D6220" t="s">
        <v>18041</v>
      </c>
      <c r="E6220" t="s">
        <v>23652</v>
      </c>
      <c r="F6220" t="s">
        <v>31574</v>
      </c>
      <c r="G6220" t="s">
        <v>31583</v>
      </c>
      <c r="H6220" t="s">
        <v>31590</v>
      </c>
      <c r="I6220" t="s">
        <v>8258</v>
      </c>
      <c r="J6220" t="s">
        <v>35726</v>
      </c>
      <c r="K6220" t="s">
        <v>41186</v>
      </c>
      <c r="M6220" t="s">
        <v>43592</v>
      </c>
      <c r="N6220" t="s">
        <v>45095</v>
      </c>
      <c r="O6220" t="s">
        <v>45096</v>
      </c>
      <c r="P6220">
        <v>0</v>
      </c>
      <c r="Q6220">
        <v>1</v>
      </c>
      <c r="R6220" t="s">
        <v>45102</v>
      </c>
      <c r="S6220" t="s">
        <v>45242</v>
      </c>
      <c r="T6220" t="s">
        <v>46985</v>
      </c>
      <c r="U6220" t="s">
        <v>52681</v>
      </c>
      <c r="W6220" t="s">
        <v>43592</v>
      </c>
      <c r="X6220" t="s">
        <v>45103</v>
      </c>
    </row>
    <row r="6221" spans="1:24">
      <c r="A6221">
        <f>HYPERLINK("https://www.philgeps.gov.ph/GEPSNONPILOT/Tender/SplashBidNoticeAbstractUI.aspx?menuIndex=3&amp;refID=7040256&amp;Result=3","7040256")</f>
        <v>0</v>
      </c>
      <c r="B6221" t="s">
        <v>1938</v>
      </c>
      <c r="C6221" t="s">
        <v>9145</v>
      </c>
      <c r="D6221" t="s">
        <v>18103</v>
      </c>
      <c r="E6221" t="s">
        <v>23653</v>
      </c>
      <c r="F6221" t="s">
        <v>31574</v>
      </c>
      <c r="G6221" t="s">
        <v>31582</v>
      </c>
      <c r="H6221" t="s">
        <v>31590</v>
      </c>
      <c r="I6221" t="s">
        <v>4046</v>
      </c>
      <c r="J6221" t="s">
        <v>35727</v>
      </c>
      <c r="K6221" t="s">
        <v>41190</v>
      </c>
      <c r="M6221" t="s">
        <v>43593</v>
      </c>
      <c r="N6221" t="s">
        <v>45095</v>
      </c>
      <c r="O6221" t="s">
        <v>45096</v>
      </c>
      <c r="P6221">
        <v>0</v>
      </c>
      <c r="Q6221">
        <v>1</v>
      </c>
      <c r="R6221" t="s">
        <v>45102</v>
      </c>
      <c r="S6221" t="s">
        <v>45242</v>
      </c>
      <c r="T6221" t="s">
        <v>46923</v>
      </c>
      <c r="U6221" t="s">
        <v>52682</v>
      </c>
      <c r="W6221" t="s">
        <v>43593</v>
      </c>
      <c r="X6221" t="s">
        <v>45103</v>
      </c>
    </row>
    <row r="6222" spans="1:24">
      <c r="A6222">
        <f>HYPERLINK("https://www.philgeps.gov.ph/GEPSNONPILOT/Tender/SplashBidNoticeAbstractUI.aspx?menuIndex=3&amp;refID=7040228&amp;Result=3","7040228")</f>
        <v>0</v>
      </c>
      <c r="B6222" t="s">
        <v>1939</v>
      </c>
      <c r="C6222" t="s">
        <v>9146</v>
      </c>
      <c r="D6222" t="s">
        <v>18098</v>
      </c>
      <c r="E6222" t="s">
        <v>23654</v>
      </c>
      <c r="F6222" t="s">
        <v>31574</v>
      </c>
      <c r="G6222" t="s">
        <v>31584</v>
      </c>
      <c r="H6222" t="s">
        <v>31590</v>
      </c>
      <c r="I6222" t="s">
        <v>31607</v>
      </c>
      <c r="J6222" t="s">
        <v>35728</v>
      </c>
      <c r="K6222" t="s">
        <v>41186</v>
      </c>
      <c r="M6222" t="s">
        <v>43594</v>
      </c>
      <c r="N6222" t="s">
        <v>45095</v>
      </c>
      <c r="O6222" t="s">
        <v>45096</v>
      </c>
      <c r="P6222">
        <v>0</v>
      </c>
      <c r="Q6222">
        <v>4</v>
      </c>
      <c r="R6222" t="s">
        <v>45102</v>
      </c>
      <c r="S6222" t="s">
        <v>45242</v>
      </c>
      <c r="T6222" t="s">
        <v>47064</v>
      </c>
      <c r="U6222" t="s">
        <v>52683</v>
      </c>
      <c r="W6222" t="s">
        <v>43594</v>
      </c>
      <c r="X6222" t="s">
        <v>45103</v>
      </c>
    </row>
    <row r="6223" spans="1:24">
      <c r="A6223">
        <f>HYPERLINK("https://www.philgeps.gov.ph/GEPSNONPILOT/Tender/SplashBidNoticeAbstractUI.aspx?menuIndex=3&amp;refID=7040253&amp;Result=3","7040253")</f>
        <v>0</v>
      </c>
      <c r="B6223" t="s">
        <v>1915</v>
      </c>
      <c r="C6223" t="s">
        <v>9147</v>
      </c>
      <c r="D6223" t="s">
        <v>18099</v>
      </c>
      <c r="E6223" t="s">
        <v>23655</v>
      </c>
      <c r="F6223" t="s">
        <v>31574</v>
      </c>
      <c r="G6223" t="s">
        <v>31582</v>
      </c>
      <c r="H6223" t="s">
        <v>31590</v>
      </c>
      <c r="I6223" t="s">
        <v>6800</v>
      </c>
      <c r="J6223" t="s">
        <v>35729</v>
      </c>
      <c r="K6223" t="s">
        <v>41184</v>
      </c>
      <c r="M6223" t="s">
        <v>43565</v>
      </c>
      <c r="N6223" t="s">
        <v>45095</v>
      </c>
      <c r="O6223" t="s">
        <v>45096</v>
      </c>
      <c r="P6223">
        <v>0</v>
      </c>
      <c r="Q6223">
        <v>0</v>
      </c>
      <c r="R6223" t="s">
        <v>45102</v>
      </c>
      <c r="S6223" t="s">
        <v>45242</v>
      </c>
      <c r="T6223" t="s">
        <v>46933</v>
      </c>
      <c r="U6223" t="s">
        <v>52684</v>
      </c>
      <c r="W6223" t="s">
        <v>43565</v>
      </c>
      <c r="X6223" t="s">
        <v>45103</v>
      </c>
    </row>
    <row r="6224" spans="1:24">
      <c r="A6224">
        <f>HYPERLINK("https://www.philgeps.gov.ph/GEPSNONPILOT/Tender/SplashBidNoticeAbstractUI.aspx?menuIndex=3&amp;refID=7040263&amp;Result=3","7040263")</f>
        <v>0</v>
      </c>
      <c r="B6224" t="s">
        <v>326</v>
      </c>
      <c r="C6224" t="s">
        <v>9148</v>
      </c>
      <c r="D6224" t="s">
        <v>18050</v>
      </c>
      <c r="E6224" t="s">
        <v>18787</v>
      </c>
      <c r="F6224" t="s">
        <v>31574</v>
      </c>
      <c r="G6224" t="s">
        <v>31585</v>
      </c>
      <c r="H6224" t="s">
        <v>31590</v>
      </c>
      <c r="I6224" t="s">
        <v>31595</v>
      </c>
      <c r="J6224" t="s">
        <v>31727</v>
      </c>
      <c r="K6224" t="s">
        <v>41196</v>
      </c>
      <c r="M6224" t="s">
        <v>41814</v>
      </c>
      <c r="N6224" t="s">
        <v>45095</v>
      </c>
      <c r="O6224" t="s">
        <v>45096</v>
      </c>
      <c r="P6224">
        <v>0</v>
      </c>
      <c r="Q6224">
        <v>2</v>
      </c>
      <c r="R6224" t="s">
        <v>45102</v>
      </c>
      <c r="S6224" t="s">
        <v>45242</v>
      </c>
      <c r="T6224" t="s">
        <v>46949</v>
      </c>
      <c r="U6224" t="s">
        <v>52685</v>
      </c>
      <c r="W6224" t="s">
        <v>41814</v>
      </c>
      <c r="X6224" t="s">
        <v>45103</v>
      </c>
    </row>
    <row r="6225" spans="1:24">
      <c r="A6225">
        <f>HYPERLINK("https://www.philgeps.gov.ph/GEPSNONPILOT/Tender/SplashBidNoticeAbstractUI.aspx?menuIndex=3&amp;refID=7040255&amp;Result=3","7040255")</f>
        <v>0</v>
      </c>
      <c r="B6225" t="s">
        <v>249</v>
      </c>
      <c r="C6225" t="s">
        <v>6624</v>
      </c>
      <c r="D6225" t="s">
        <v>18070</v>
      </c>
      <c r="E6225" t="s">
        <v>23656</v>
      </c>
      <c r="F6225" t="s">
        <v>31574</v>
      </c>
      <c r="G6225" t="s">
        <v>31583</v>
      </c>
      <c r="H6225" t="s">
        <v>31590</v>
      </c>
      <c r="I6225" t="s">
        <v>3487</v>
      </c>
      <c r="J6225" t="s">
        <v>31947</v>
      </c>
      <c r="K6225" t="s">
        <v>41191</v>
      </c>
      <c r="M6225" t="s">
        <v>43343</v>
      </c>
      <c r="N6225" t="s">
        <v>45095</v>
      </c>
      <c r="O6225" t="s">
        <v>45096</v>
      </c>
      <c r="P6225">
        <v>0</v>
      </c>
      <c r="Q6225">
        <v>2</v>
      </c>
      <c r="R6225" t="s">
        <v>45102</v>
      </c>
      <c r="S6225" t="s">
        <v>45242</v>
      </c>
      <c r="T6225" t="s">
        <v>46936</v>
      </c>
      <c r="U6225" t="s">
        <v>52686</v>
      </c>
      <c r="W6225" t="s">
        <v>43343</v>
      </c>
      <c r="X6225" t="s">
        <v>45103</v>
      </c>
    </row>
    <row r="6226" spans="1:24">
      <c r="A6226">
        <f>HYPERLINK("https://www.philgeps.gov.ph/GEPSNONPILOT/Tender/SplashBidNoticeAbstractUI.aspx?menuIndex=3&amp;refID=7040234&amp;Result=3","7040234")</f>
        <v>0</v>
      </c>
      <c r="B6226" t="s">
        <v>1528</v>
      </c>
      <c r="C6226" t="s">
        <v>9149</v>
      </c>
      <c r="D6226" t="s">
        <v>18022</v>
      </c>
      <c r="E6226" t="s">
        <v>23657</v>
      </c>
      <c r="F6226" t="s">
        <v>31574</v>
      </c>
      <c r="G6226" t="s">
        <v>31582</v>
      </c>
      <c r="H6226" t="s">
        <v>31591</v>
      </c>
      <c r="I6226" t="s">
        <v>8822</v>
      </c>
      <c r="J6226" t="s">
        <v>35730</v>
      </c>
      <c r="K6226" t="s">
        <v>41342</v>
      </c>
      <c r="M6226" t="s">
        <v>43583</v>
      </c>
      <c r="N6226" t="s">
        <v>45095</v>
      </c>
      <c r="O6226" t="s">
        <v>45096</v>
      </c>
      <c r="P6226">
        <v>0</v>
      </c>
      <c r="Q6226">
        <v>7</v>
      </c>
      <c r="R6226" t="s">
        <v>45102</v>
      </c>
      <c r="S6226" t="s">
        <v>45242</v>
      </c>
      <c r="T6226" t="s">
        <v>47089</v>
      </c>
      <c r="U6226" t="s">
        <v>52687</v>
      </c>
      <c r="V6226" t="s">
        <v>60509</v>
      </c>
      <c r="W6226" t="s">
        <v>43583</v>
      </c>
      <c r="X6226" t="s">
        <v>45103</v>
      </c>
    </row>
    <row r="6227" spans="1:24">
      <c r="A6227">
        <f>HYPERLINK("https://www.philgeps.gov.ph/GEPSNONPILOT/Tender/SplashBidNoticeAbstractUI.aspx?menuIndex=3&amp;refID=7040262&amp;Result=3","7040262")</f>
        <v>0</v>
      </c>
      <c r="B6227" t="s">
        <v>227</v>
      </c>
      <c r="C6227" t="s">
        <v>9150</v>
      </c>
      <c r="E6227" t="s">
        <v>23658</v>
      </c>
      <c r="F6227" t="s">
        <v>31574</v>
      </c>
      <c r="G6227" t="s">
        <v>31582</v>
      </c>
      <c r="H6227" t="s">
        <v>31590</v>
      </c>
      <c r="I6227" t="s">
        <v>31624</v>
      </c>
      <c r="J6227" t="s">
        <v>35731</v>
      </c>
      <c r="K6227" t="s">
        <v>41186</v>
      </c>
      <c r="M6227" t="s">
        <v>43462</v>
      </c>
      <c r="N6227" t="s">
        <v>45095</v>
      </c>
      <c r="O6227" t="s">
        <v>45096</v>
      </c>
      <c r="P6227">
        <v>0</v>
      </c>
      <c r="Q6227">
        <v>7</v>
      </c>
      <c r="R6227" t="s">
        <v>45102</v>
      </c>
      <c r="S6227" t="s">
        <v>45242</v>
      </c>
      <c r="T6227" t="s">
        <v>47196</v>
      </c>
      <c r="U6227" t="s">
        <v>52688</v>
      </c>
      <c r="W6227" t="s">
        <v>43462</v>
      </c>
      <c r="X6227" t="s">
        <v>45103</v>
      </c>
    </row>
    <row r="6228" spans="1:24">
      <c r="A6228">
        <f>HYPERLINK("https://www.philgeps.gov.ph/GEPSNONPILOT/Tender/SplashBidNoticeAbstractUI.aspx?menuIndex=3&amp;refID=7040261&amp;Result=3","7040261")</f>
        <v>0</v>
      </c>
      <c r="B6228" t="s">
        <v>1304</v>
      </c>
      <c r="C6228" t="s">
        <v>9151</v>
      </c>
      <c r="D6228" t="s">
        <v>18090</v>
      </c>
      <c r="E6228" t="s">
        <v>23659</v>
      </c>
      <c r="F6228" t="s">
        <v>31574</v>
      </c>
      <c r="G6228" t="s">
        <v>31583</v>
      </c>
      <c r="H6228" t="s">
        <v>31590</v>
      </c>
      <c r="I6228" t="s">
        <v>4327</v>
      </c>
      <c r="J6228" t="s">
        <v>31726</v>
      </c>
      <c r="K6228" t="s">
        <v>41193</v>
      </c>
      <c r="M6228" t="s">
        <v>42874</v>
      </c>
      <c r="N6228" t="s">
        <v>45095</v>
      </c>
      <c r="O6228" t="s">
        <v>45096</v>
      </c>
      <c r="P6228">
        <v>0</v>
      </c>
      <c r="Q6228">
        <v>0</v>
      </c>
      <c r="R6228" t="s">
        <v>45102</v>
      </c>
      <c r="S6228" t="s">
        <v>45242</v>
      </c>
      <c r="T6228" t="s">
        <v>46973</v>
      </c>
      <c r="U6228" t="s">
        <v>51850</v>
      </c>
      <c r="W6228" t="s">
        <v>42874</v>
      </c>
      <c r="X6228" t="s">
        <v>45103</v>
      </c>
    </row>
    <row r="6229" spans="1:24">
      <c r="A6229">
        <f>HYPERLINK("https://www.philgeps.gov.ph/GEPSNONPILOT/Tender/SplashBidNoticeAbstractUI.aspx?menuIndex=3&amp;refID=7040268&amp;Result=3","7040268")</f>
        <v>0</v>
      </c>
      <c r="B6229" t="s">
        <v>1929</v>
      </c>
      <c r="C6229" t="s">
        <v>9133</v>
      </c>
      <c r="D6229" t="s">
        <v>18052</v>
      </c>
      <c r="E6229" t="s">
        <v>23660</v>
      </c>
      <c r="F6229" t="s">
        <v>31574</v>
      </c>
      <c r="G6229" t="s">
        <v>31581</v>
      </c>
      <c r="H6229" t="s">
        <v>31590</v>
      </c>
      <c r="I6229" t="s">
        <v>3539</v>
      </c>
      <c r="J6229" t="s">
        <v>35732</v>
      </c>
      <c r="K6229" t="s">
        <v>41193</v>
      </c>
      <c r="M6229" t="s">
        <v>43582</v>
      </c>
      <c r="N6229" t="s">
        <v>45095</v>
      </c>
      <c r="O6229" t="s">
        <v>45096</v>
      </c>
      <c r="P6229">
        <v>0</v>
      </c>
      <c r="Q6229">
        <v>0</v>
      </c>
      <c r="R6229" t="s">
        <v>45102</v>
      </c>
      <c r="S6229" t="s">
        <v>45242</v>
      </c>
      <c r="T6229" t="s">
        <v>47168</v>
      </c>
      <c r="U6229" t="s">
        <v>52670</v>
      </c>
      <c r="W6229" t="s">
        <v>43582</v>
      </c>
      <c r="X6229" t="s">
        <v>45103</v>
      </c>
    </row>
    <row r="6230" spans="1:24">
      <c r="A6230">
        <f>HYPERLINK("https://www.philgeps.gov.ph/GEPSNONPILOT/Tender/SplashBidNoticeAbstractUI.aspx?menuIndex=3&amp;refID=7040267&amp;Result=3","7040267")</f>
        <v>0</v>
      </c>
      <c r="B6230" t="s">
        <v>1935</v>
      </c>
      <c r="C6230" t="s">
        <v>9152</v>
      </c>
      <c r="D6230" t="s">
        <v>18025</v>
      </c>
      <c r="E6230" t="s">
        <v>23661</v>
      </c>
      <c r="F6230" t="s">
        <v>31574</v>
      </c>
      <c r="G6230" t="s">
        <v>31581</v>
      </c>
      <c r="H6230" t="s">
        <v>31592</v>
      </c>
      <c r="I6230" t="s">
        <v>31597</v>
      </c>
      <c r="J6230" t="s">
        <v>31764</v>
      </c>
      <c r="K6230" t="s">
        <v>41197</v>
      </c>
      <c r="M6230" t="s">
        <v>43590</v>
      </c>
      <c r="N6230" t="s">
        <v>45095</v>
      </c>
      <c r="O6230" t="s">
        <v>45096</v>
      </c>
      <c r="Q6230">
        <v>0</v>
      </c>
      <c r="R6230" t="s">
        <v>45102</v>
      </c>
      <c r="S6230" t="s">
        <v>45265</v>
      </c>
      <c r="T6230" t="s">
        <v>47050</v>
      </c>
      <c r="U6230" t="s">
        <v>52689</v>
      </c>
      <c r="W6230" t="s">
        <v>43590</v>
      </c>
      <c r="X6230" t="s">
        <v>45103</v>
      </c>
    </row>
    <row r="6231" spans="1:24">
      <c r="A6231">
        <f>HYPERLINK("https://www.philgeps.gov.ph/GEPSNONPILOT/Tender/SplashBidNoticeAbstractUI.aspx?menuIndex=3&amp;refID=7040259&amp;Result=3","7040259")</f>
        <v>0</v>
      </c>
      <c r="B6231" t="s">
        <v>1392</v>
      </c>
      <c r="C6231" t="s">
        <v>9153</v>
      </c>
      <c r="D6231" t="s">
        <v>18022</v>
      </c>
      <c r="E6231" t="s">
        <v>23662</v>
      </c>
      <c r="F6231" t="s">
        <v>31574</v>
      </c>
      <c r="G6231" t="s">
        <v>31581</v>
      </c>
      <c r="H6231" t="s">
        <v>31590</v>
      </c>
      <c r="I6231" t="s">
        <v>31608</v>
      </c>
      <c r="J6231" t="s">
        <v>31888</v>
      </c>
      <c r="K6231" t="s">
        <v>41186</v>
      </c>
      <c r="M6231" t="s">
        <v>42967</v>
      </c>
      <c r="N6231" t="s">
        <v>45095</v>
      </c>
      <c r="O6231" t="s">
        <v>45096</v>
      </c>
      <c r="P6231">
        <v>0</v>
      </c>
      <c r="Q6231">
        <v>10</v>
      </c>
      <c r="R6231" t="s">
        <v>45102</v>
      </c>
      <c r="S6231" t="s">
        <v>45242</v>
      </c>
      <c r="T6231" t="s">
        <v>47158</v>
      </c>
      <c r="U6231" t="s">
        <v>50842</v>
      </c>
      <c r="W6231" t="s">
        <v>42967</v>
      </c>
      <c r="X6231" t="s">
        <v>45103</v>
      </c>
    </row>
    <row r="6232" spans="1:24">
      <c r="A6232">
        <f>HYPERLINK("https://www.philgeps.gov.ph/GEPSNONPILOT/Tender/SplashBidNoticeAbstractUI.aspx?menuIndex=3&amp;refID=7040258&amp;Result=3","7040258")</f>
        <v>0</v>
      </c>
      <c r="B6232" t="s">
        <v>349</v>
      </c>
      <c r="C6232" t="s">
        <v>9154</v>
      </c>
      <c r="D6232" t="s">
        <v>18071</v>
      </c>
      <c r="E6232" t="s">
        <v>23663</v>
      </c>
      <c r="F6232" t="s">
        <v>31574</v>
      </c>
      <c r="G6232" t="s">
        <v>31581</v>
      </c>
      <c r="H6232" t="s">
        <v>31590</v>
      </c>
      <c r="I6232" t="s">
        <v>3901</v>
      </c>
      <c r="J6232" t="s">
        <v>35733</v>
      </c>
      <c r="K6232" t="s">
        <v>41186</v>
      </c>
      <c r="L6232" t="s">
        <v>349</v>
      </c>
      <c r="M6232" t="s">
        <v>41837</v>
      </c>
      <c r="N6232" t="s">
        <v>45095</v>
      </c>
      <c r="O6232" t="s">
        <v>45096</v>
      </c>
      <c r="P6232">
        <v>0</v>
      </c>
      <c r="Q6232">
        <v>0</v>
      </c>
      <c r="R6232" t="s">
        <v>45102</v>
      </c>
      <c r="S6232" t="s">
        <v>45242</v>
      </c>
      <c r="T6232" t="s">
        <v>47176</v>
      </c>
      <c r="U6232" t="s">
        <v>52690</v>
      </c>
      <c r="W6232" t="s">
        <v>41837</v>
      </c>
      <c r="X6232" t="s">
        <v>45103</v>
      </c>
    </row>
    <row r="6233" spans="1:24">
      <c r="A6233">
        <f>HYPERLINK("https://www.philgeps.gov.ph/GEPSNONPILOT/Tender/SplashBidNoticeAbstractUI.aspx?menuIndex=3&amp;refID=7040260&amp;Result=3","7040260")</f>
        <v>0</v>
      </c>
      <c r="B6233" t="s">
        <v>683</v>
      </c>
      <c r="C6233" t="s">
        <v>9155</v>
      </c>
      <c r="D6233" t="s">
        <v>18059</v>
      </c>
      <c r="E6233" t="s">
        <v>23664</v>
      </c>
      <c r="F6233" t="s">
        <v>31574</v>
      </c>
      <c r="G6233" t="s">
        <v>31581</v>
      </c>
      <c r="H6233" t="s">
        <v>31590</v>
      </c>
      <c r="I6233" t="s">
        <v>4046</v>
      </c>
      <c r="J6233" t="s">
        <v>35734</v>
      </c>
      <c r="K6233" t="s">
        <v>41184</v>
      </c>
      <c r="M6233" t="s">
        <v>43558</v>
      </c>
      <c r="N6233" t="s">
        <v>45095</v>
      </c>
      <c r="O6233" t="s">
        <v>45096</v>
      </c>
      <c r="P6233">
        <v>0</v>
      </c>
      <c r="Q6233">
        <v>0</v>
      </c>
      <c r="R6233" t="s">
        <v>45102</v>
      </c>
      <c r="S6233" t="s">
        <v>45242</v>
      </c>
      <c r="T6233" t="s">
        <v>47159</v>
      </c>
      <c r="U6233" t="s">
        <v>52691</v>
      </c>
      <c r="W6233" t="s">
        <v>43558</v>
      </c>
      <c r="X6233" t="s">
        <v>45103</v>
      </c>
    </row>
    <row r="6234" spans="1:24">
      <c r="A6234">
        <f>HYPERLINK("https://www.philgeps.gov.ph/GEPSNONPILOT/Tender/SplashBidNoticeAbstractUI.aspx?menuIndex=3&amp;refID=7040274&amp;Result=3","7040274")</f>
        <v>0</v>
      </c>
      <c r="B6234" t="s">
        <v>798</v>
      </c>
      <c r="C6234" t="s">
        <v>9156</v>
      </c>
      <c r="D6234" t="s">
        <v>18052</v>
      </c>
      <c r="E6234" t="s">
        <v>23665</v>
      </c>
      <c r="F6234" t="s">
        <v>31574</v>
      </c>
      <c r="G6234" t="s">
        <v>31583</v>
      </c>
      <c r="H6234" t="s">
        <v>31590</v>
      </c>
      <c r="I6234" t="s">
        <v>7185</v>
      </c>
      <c r="J6234" t="s">
        <v>35735</v>
      </c>
      <c r="K6234" t="s">
        <v>41184</v>
      </c>
      <c r="M6234" t="s">
        <v>42312</v>
      </c>
      <c r="N6234" t="s">
        <v>45095</v>
      </c>
      <c r="O6234" t="s">
        <v>45096</v>
      </c>
      <c r="P6234">
        <v>0</v>
      </c>
      <c r="Q6234">
        <v>2</v>
      </c>
      <c r="R6234" t="s">
        <v>45102</v>
      </c>
      <c r="S6234" t="s">
        <v>45242</v>
      </c>
      <c r="T6234" t="s">
        <v>47050</v>
      </c>
      <c r="U6234" t="s">
        <v>49176</v>
      </c>
      <c r="W6234" t="s">
        <v>42312</v>
      </c>
      <c r="X6234" t="s">
        <v>45103</v>
      </c>
    </row>
    <row r="6235" spans="1:24">
      <c r="A6235">
        <f>HYPERLINK("https://www.philgeps.gov.ph/GEPSNONPILOT/Tender/SplashBidNoticeAbstractUI.aspx?menuIndex=3&amp;refID=7040271&amp;Result=3","7040271")</f>
        <v>0</v>
      </c>
      <c r="B6235" t="s">
        <v>1079</v>
      </c>
      <c r="C6235" t="s">
        <v>9157</v>
      </c>
      <c r="E6235" t="s">
        <v>23666</v>
      </c>
      <c r="F6235" t="s">
        <v>31574</v>
      </c>
      <c r="G6235" t="s">
        <v>31581</v>
      </c>
      <c r="H6235" t="s">
        <v>31590</v>
      </c>
      <c r="I6235" t="s">
        <v>31630</v>
      </c>
      <c r="J6235" t="s">
        <v>33767</v>
      </c>
      <c r="K6235" t="s">
        <v>41184</v>
      </c>
      <c r="M6235" t="s">
        <v>43366</v>
      </c>
      <c r="N6235" t="s">
        <v>45095</v>
      </c>
      <c r="O6235" t="s">
        <v>45096</v>
      </c>
      <c r="P6235">
        <v>0</v>
      </c>
      <c r="Q6235">
        <v>1</v>
      </c>
      <c r="R6235" t="s">
        <v>45102</v>
      </c>
      <c r="S6235" t="s">
        <v>45242</v>
      </c>
      <c r="T6235" t="s">
        <v>47125</v>
      </c>
      <c r="U6235" t="s">
        <v>52692</v>
      </c>
      <c r="V6235" t="s">
        <v>60414</v>
      </c>
      <c r="W6235" t="s">
        <v>43366</v>
      </c>
      <c r="X6235" t="s">
        <v>45103</v>
      </c>
    </row>
    <row r="6236" spans="1:24">
      <c r="A6236">
        <f>HYPERLINK("https://www.philgeps.gov.ph/GEPSNONPILOT/Tender/SplashBidNoticeAbstractUI.aspx?menuIndex=3&amp;refID=7040275&amp;Result=3","7040275")</f>
        <v>0</v>
      </c>
      <c r="B6236" t="s">
        <v>349</v>
      </c>
      <c r="C6236" t="s">
        <v>9158</v>
      </c>
      <c r="D6236" t="s">
        <v>18071</v>
      </c>
      <c r="E6236" t="s">
        <v>23667</v>
      </c>
      <c r="F6236" t="s">
        <v>31574</v>
      </c>
      <c r="G6236" t="s">
        <v>31581</v>
      </c>
      <c r="H6236" t="s">
        <v>31590</v>
      </c>
      <c r="I6236" t="s">
        <v>14544</v>
      </c>
      <c r="J6236" t="s">
        <v>35736</v>
      </c>
      <c r="K6236" t="s">
        <v>41186</v>
      </c>
      <c r="L6236" t="s">
        <v>349</v>
      </c>
      <c r="M6236" t="s">
        <v>41837</v>
      </c>
      <c r="N6236" t="s">
        <v>45095</v>
      </c>
      <c r="O6236" t="s">
        <v>45096</v>
      </c>
      <c r="P6236">
        <v>0</v>
      </c>
      <c r="Q6236">
        <v>0</v>
      </c>
      <c r="R6236" t="s">
        <v>45102</v>
      </c>
      <c r="S6236" t="s">
        <v>45242</v>
      </c>
      <c r="T6236" t="s">
        <v>47176</v>
      </c>
      <c r="U6236" t="s">
        <v>52690</v>
      </c>
      <c r="W6236" t="s">
        <v>41837</v>
      </c>
      <c r="X6236" t="s">
        <v>45103</v>
      </c>
    </row>
    <row r="6237" spans="1:24">
      <c r="A6237">
        <f>HYPERLINK("https://www.philgeps.gov.ph/GEPSNONPILOT/Tender/SplashBidNoticeAbstractUI.aspx?menuIndex=3&amp;refID=7040276&amp;Result=3","7040276")</f>
        <v>0</v>
      </c>
      <c r="B6237" t="s">
        <v>1940</v>
      </c>
      <c r="C6237" t="s">
        <v>9159</v>
      </c>
      <c r="D6237" t="s">
        <v>18030</v>
      </c>
      <c r="E6237" t="s">
        <v>23668</v>
      </c>
      <c r="F6237" t="s">
        <v>31575</v>
      </c>
      <c r="G6237" t="s">
        <v>31583</v>
      </c>
      <c r="H6237" t="s">
        <v>31590</v>
      </c>
      <c r="I6237" t="s">
        <v>31595</v>
      </c>
      <c r="J6237" t="s">
        <v>32553</v>
      </c>
      <c r="K6237" t="s">
        <v>41196</v>
      </c>
      <c r="M6237" t="s">
        <v>43595</v>
      </c>
      <c r="N6237" t="s">
        <v>45095</v>
      </c>
      <c r="O6237" t="s">
        <v>45096</v>
      </c>
      <c r="P6237">
        <v>0</v>
      </c>
      <c r="Q6237">
        <v>10</v>
      </c>
      <c r="R6237" t="s">
        <v>45102</v>
      </c>
      <c r="S6237" t="s">
        <v>45242</v>
      </c>
      <c r="T6237" t="s">
        <v>47067</v>
      </c>
      <c r="U6237" t="s">
        <v>52693</v>
      </c>
      <c r="W6237" t="s">
        <v>43595</v>
      </c>
      <c r="X6237" t="s">
        <v>45103</v>
      </c>
    </row>
    <row r="6238" spans="1:24">
      <c r="A6238">
        <f>HYPERLINK("https://www.philgeps.gov.ph/GEPSNONPILOT/Tender/SplashBidNoticeAbstractUI.aspx?menuIndex=3&amp;refID=7040279&amp;Result=3","7040279")</f>
        <v>0</v>
      </c>
      <c r="B6238" t="s">
        <v>1941</v>
      </c>
      <c r="C6238" t="s">
        <v>8822</v>
      </c>
      <c r="E6238" t="s">
        <v>23669</v>
      </c>
      <c r="F6238" t="s">
        <v>31574</v>
      </c>
      <c r="G6238" t="s">
        <v>31589</v>
      </c>
      <c r="H6238" t="s">
        <v>31591</v>
      </c>
      <c r="I6238" t="s">
        <v>8822</v>
      </c>
      <c r="J6238" t="s">
        <v>32076</v>
      </c>
      <c r="K6238" t="s">
        <v>41193</v>
      </c>
      <c r="M6238" t="s">
        <v>43596</v>
      </c>
      <c r="N6238" t="s">
        <v>45095</v>
      </c>
      <c r="O6238" t="s">
        <v>45096</v>
      </c>
      <c r="P6238">
        <v>0</v>
      </c>
      <c r="Q6238">
        <v>0</v>
      </c>
      <c r="R6238" t="s">
        <v>45102</v>
      </c>
      <c r="S6238" t="s">
        <v>45242</v>
      </c>
      <c r="T6238" t="s">
        <v>46921</v>
      </c>
      <c r="U6238" t="s">
        <v>52694</v>
      </c>
      <c r="W6238" t="s">
        <v>43596</v>
      </c>
      <c r="X6238" t="s">
        <v>45103</v>
      </c>
    </row>
    <row r="6239" spans="1:24">
      <c r="A6239">
        <f>HYPERLINK("https://www.philgeps.gov.ph/GEPSNONPILOT/Tender/SplashBidNoticeAbstractUI.aspx?menuIndex=3&amp;refID=7040283&amp;Result=3","7040283")</f>
        <v>0</v>
      </c>
      <c r="B6239" t="s">
        <v>683</v>
      </c>
      <c r="C6239" t="s">
        <v>9160</v>
      </c>
      <c r="D6239" t="s">
        <v>18059</v>
      </c>
      <c r="E6239" t="s">
        <v>23670</v>
      </c>
      <c r="F6239" t="s">
        <v>31574</v>
      </c>
      <c r="G6239" t="s">
        <v>31581</v>
      </c>
      <c r="H6239" t="s">
        <v>31590</v>
      </c>
      <c r="I6239" t="s">
        <v>31602</v>
      </c>
      <c r="J6239" t="s">
        <v>35737</v>
      </c>
      <c r="K6239" t="s">
        <v>41184</v>
      </c>
      <c r="M6239" t="s">
        <v>43558</v>
      </c>
      <c r="N6239" t="s">
        <v>45095</v>
      </c>
      <c r="O6239" t="s">
        <v>45096</v>
      </c>
      <c r="P6239">
        <v>0</v>
      </c>
      <c r="Q6239">
        <v>0</v>
      </c>
      <c r="R6239" t="s">
        <v>45102</v>
      </c>
      <c r="S6239" t="s">
        <v>45242</v>
      </c>
      <c r="T6239" t="s">
        <v>47159</v>
      </c>
      <c r="U6239" t="s">
        <v>52695</v>
      </c>
      <c r="W6239" t="s">
        <v>43558</v>
      </c>
      <c r="X6239" t="s">
        <v>45103</v>
      </c>
    </row>
    <row r="6240" spans="1:24">
      <c r="A6240">
        <f>HYPERLINK("https://www.philgeps.gov.ph/GEPSNONPILOT/Tender/SplashBidNoticeAbstractUI.aspx?menuIndex=3&amp;refID=7040277&amp;Result=3","7040277")</f>
        <v>0</v>
      </c>
      <c r="B6240" t="s">
        <v>512</v>
      </c>
      <c r="C6240" t="s">
        <v>9161</v>
      </c>
      <c r="D6240" t="s">
        <v>18065</v>
      </c>
      <c r="E6240" t="s">
        <v>23671</v>
      </c>
      <c r="F6240" t="s">
        <v>31574</v>
      </c>
      <c r="G6240" t="s">
        <v>31583</v>
      </c>
      <c r="H6240" t="s">
        <v>31590</v>
      </c>
      <c r="I6240" t="s">
        <v>3489</v>
      </c>
      <c r="J6240" t="s">
        <v>35738</v>
      </c>
      <c r="K6240" t="s">
        <v>41184</v>
      </c>
      <c r="M6240" t="s">
        <v>42008</v>
      </c>
      <c r="N6240" t="s">
        <v>45095</v>
      </c>
      <c r="O6240" t="s">
        <v>45096</v>
      </c>
      <c r="P6240">
        <v>0</v>
      </c>
      <c r="Q6240">
        <v>0</v>
      </c>
      <c r="R6240" t="s">
        <v>45102</v>
      </c>
      <c r="S6240" t="s">
        <v>45242</v>
      </c>
      <c r="T6240" t="s">
        <v>47080</v>
      </c>
      <c r="U6240" t="s">
        <v>52696</v>
      </c>
      <c r="W6240" t="s">
        <v>42008</v>
      </c>
      <c r="X6240" t="s">
        <v>45103</v>
      </c>
    </row>
    <row r="6241" spans="1:24">
      <c r="A6241">
        <f>HYPERLINK("https://www.philgeps.gov.ph/GEPSNONPILOT/Tender/SplashBidNoticeAbstractUI.aspx?menuIndex=3&amp;refID=7040266&amp;Result=3","7040266")</f>
        <v>0</v>
      </c>
      <c r="B6241" t="s">
        <v>530</v>
      </c>
      <c r="C6241" t="s">
        <v>9162</v>
      </c>
      <c r="D6241" t="s">
        <v>18071</v>
      </c>
      <c r="E6241" t="s">
        <v>9162</v>
      </c>
      <c r="F6241" t="s">
        <v>31574</v>
      </c>
      <c r="G6241" t="s">
        <v>31582</v>
      </c>
      <c r="H6241" t="s">
        <v>31590</v>
      </c>
      <c r="I6241" t="s">
        <v>4327</v>
      </c>
      <c r="J6241" t="s">
        <v>35739</v>
      </c>
      <c r="K6241" t="s">
        <v>41186</v>
      </c>
      <c r="M6241" t="s">
        <v>42027</v>
      </c>
      <c r="N6241" t="s">
        <v>45095</v>
      </c>
      <c r="O6241" t="s">
        <v>45096</v>
      </c>
      <c r="P6241">
        <v>0</v>
      </c>
      <c r="Q6241">
        <v>0</v>
      </c>
      <c r="R6241" t="s">
        <v>45102</v>
      </c>
      <c r="S6241" t="s">
        <v>45242</v>
      </c>
      <c r="T6241" t="s">
        <v>47003</v>
      </c>
      <c r="U6241" t="s">
        <v>52697</v>
      </c>
      <c r="W6241" t="s">
        <v>42027</v>
      </c>
      <c r="X6241" t="s">
        <v>45103</v>
      </c>
    </row>
    <row r="6242" spans="1:24">
      <c r="A6242">
        <f>HYPERLINK("https://www.philgeps.gov.ph/GEPSNONPILOT/Tender/SplashBidNoticeAbstractUI.aspx?menuIndex=3&amp;refID=7040303&amp;Result=3","7040303")</f>
        <v>0</v>
      </c>
      <c r="B6242" t="s">
        <v>683</v>
      </c>
      <c r="C6242" t="s">
        <v>9163</v>
      </c>
      <c r="D6242" t="s">
        <v>18059</v>
      </c>
      <c r="E6242" t="s">
        <v>23672</v>
      </c>
      <c r="F6242" t="s">
        <v>31574</v>
      </c>
      <c r="G6242" t="s">
        <v>31581</v>
      </c>
      <c r="H6242" t="s">
        <v>31590</v>
      </c>
      <c r="I6242" t="s">
        <v>4046</v>
      </c>
      <c r="J6242" t="s">
        <v>35740</v>
      </c>
      <c r="K6242" t="s">
        <v>41184</v>
      </c>
      <c r="M6242" t="s">
        <v>43558</v>
      </c>
      <c r="N6242" t="s">
        <v>45095</v>
      </c>
      <c r="O6242" t="s">
        <v>45096</v>
      </c>
      <c r="P6242">
        <v>0</v>
      </c>
      <c r="Q6242">
        <v>0</v>
      </c>
      <c r="R6242" t="s">
        <v>45102</v>
      </c>
      <c r="S6242" t="s">
        <v>45242</v>
      </c>
      <c r="T6242" t="s">
        <v>47159</v>
      </c>
      <c r="U6242" t="s">
        <v>52698</v>
      </c>
      <c r="W6242" t="s">
        <v>43558</v>
      </c>
      <c r="X6242" t="s">
        <v>45103</v>
      </c>
    </row>
    <row r="6243" spans="1:24">
      <c r="A6243">
        <f>HYPERLINK("https://www.philgeps.gov.ph/GEPSNONPILOT/Tender/SplashBidNoticeAbstractUI.aspx?menuIndex=3&amp;refID=7040269&amp;Result=3","7040269")</f>
        <v>0</v>
      </c>
      <c r="B6243" t="s">
        <v>1942</v>
      </c>
      <c r="C6243" t="s">
        <v>9164</v>
      </c>
      <c r="D6243" t="s">
        <v>18041</v>
      </c>
      <c r="E6243" t="s">
        <v>23673</v>
      </c>
      <c r="F6243" t="s">
        <v>31574</v>
      </c>
      <c r="G6243" t="s">
        <v>31582</v>
      </c>
      <c r="H6243" t="s">
        <v>31590</v>
      </c>
      <c r="I6243" t="s">
        <v>31619</v>
      </c>
      <c r="J6243" t="s">
        <v>35741</v>
      </c>
      <c r="K6243" t="s">
        <v>41186</v>
      </c>
      <c r="M6243" t="s">
        <v>43597</v>
      </c>
      <c r="N6243" t="s">
        <v>45095</v>
      </c>
      <c r="O6243" t="s">
        <v>45096</v>
      </c>
      <c r="P6243">
        <v>0</v>
      </c>
      <c r="Q6243">
        <v>3</v>
      </c>
      <c r="R6243" t="s">
        <v>45102</v>
      </c>
      <c r="S6243" t="s">
        <v>45242</v>
      </c>
      <c r="T6243" t="s">
        <v>46973</v>
      </c>
      <c r="U6243" t="s">
        <v>52699</v>
      </c>
      <c r="W6243" t="s">
        <v>43597</v>
      </c>
      <c r="X6243" t="s">
        <v>45103</v>
      </c>
    </row>
    <row r="6244" spans="1:24">
      <c r="A6244">
        <f>HYPERLINK("https://www.philgeps.gov.ph/GEPSNONPILOT/Tender/SplashBidNoticeAbstractUI.aspx?menuIndex=3&amp;refID=7040294&amp;Result=3","7040294")</f>
        <v>0</v>
      </c>
      <c r="B6244" t="s">
        <v>1943</v>
      </c>
      <c r="C6244" t="s">
        <v>9165</v>
      </c>
      <c r="D6244" t="s">
        <v>18022</v>
      </c>
      <c r="E6244" t="s">
        <v>22399</v>
      </c>
      <c r="F6244" t="s">
        <v>31574</v>
      </c>
      <c r="G6244" t="s">
        <v>31581</v>
      </c>
      <c r="H6244" t="s">
        <v>31590</v>
      </c>
      <c r="I6244" t="s">
        <v>3487</v>
      </c>
      <c r="J6244" t="s">
        <v>35742</v>
      </c>
      <c r="K6244" t="s">
        <v>41193</v>
      </c>
      <c r="M6244" t="s">
        <v>43598</v>
      </c>
      <c r="N6244" t="s">
        <v>45095</v>
      </c>
      <c r="O6244" t="s">
        <v>45096</v>
      </c>
      <c r="P6244">
        <v>0</v>
      </c>
      <c r="Q6244">
        <v>7</v>
      </c>
      <c r="R6244" t="s">
        <v>45102</v>
      </c>
      <c r="S6244" t="s">
        <v>45242</v>
      </c>
      <c r="T6244" t="s">
        <v>47176</v>
      </c>
      <c r="U6244" t="s">
        <v>52700</v>
      </c>
      <c r="W6244" t="s">
        <v>61722</v>
      </c>
      <c r="X6244" t="s">
        <v>45103</v>
      </c>
    </row>
    <row r="6245" spans="1:24">
      <c r="A6245">
        <f>HYPERLINK("https://www.philgeps.gov.ph/GEPSNONPILOT/Tender/SplashBidNoticeAbstractUI.aspx?menuIndex=3&amp;refID=7040293&amp;Result=3","7040293")</f>
        <v>0</v>
      </c>
      <c r="B6245" t="s">
        <v>674</v>
      </c>
      <c r="C6245" t="s">
        <v>9166</v>
      </c>
      <c r="D6245" t="s">
        <v>18071</v>
      </c>
      <c r="E6245" t="s">
        <v>23674</v>
      </c>
      <c r="F6245" t="s">
        <v>31574</v>
      </c>
      <c r="G6245" t="s">
        <v>31586</v>
      </c>
      <c r="H6245" t="s">
        <v>31590</v>
      </c>
      <c r="I6245" t="s">
        <v>31608</v>
      </c>
      <c r="J6245" t="s">
        <v>35104</v>
      </c>
      <c r="K6245" t="s">
        <v>41191</v>
      </c>
      <c r="M6245" t="s">
        <v>42180</v>
      </c>
      <c r="N6245" t="s">
        <v>45095</v>
      </c>
      <c r="O6245" t="s">
        <v>45096</v>
      </c>
      <c r="P6245">
        <v>0</v>
      </c>
      <c r="Q6245">
        <v>1</v>
      </c>
      <c r="R6245" t="s">
        <v>45102</v>
      </c>
      <c r="S6245" t="s">
        <v>45242</v>
      </c>
      <c r="T6245" t="s">
        <v>46973</v>
      </c>
      <c r="U6245" t="s">
        <v>52701</v>
      </c>
      <c r="W6245" t="s">
        <v>42180</v>
      </c>
      <c r="X6245" t="s">
        <v>45103</v>
      </c>
    </row>
    <row r="6246" spans="1:24">
      <c r="A6246">
        <f>HYPERLINK("https://www.philgeps.gov.ph/GEPSNONPILOT/Tender/SplashBidNoticeAbstractUI.aspx?menuIndex=3&amp;refID=7040305&amp;Result=3","7040305")</f>
        <v>0</v>
      </c>
      <c r="B6246" t="s">
        <v>1880</v>
      </c>
      <c r="C6246" t="s">
        <v>9167</v>
      </c>
      <c r="D6246" t="s">
        <v>18056</v>
      </c>
      <c r="E6246" t="s">
        <v>23675</v>
      </c>
      <c r="F6246" t="s">
        <v>31574</v>
      </c>
      <c r="G6246" t="s">
        <v>31581</v>
      </c>
      <c r="H6246" t="s">
        <v>31590</v>
      </c>
      <c r="I6246" t="s">
        <v>31612</v>
      </c>
      <c r="J6246" t="s">
        <v>35743</v>
      </c>
      <c r="K6246" t="s">
        <v>41196</v>
      </c>
      <c r="M6246" t="s">
        <v>43521</v>
      </c>
      <c r="N6246" t="s">
        <v>45095</v>
      </c>
      <c r="O6246" t="s">
        <v>45096</v>
      </c>
      <c r="P6246">
        <v>0</v>
      </c>
      <c r="Q6246">
        <v>1</v>
      </c>
      <c r="R6246" t="s">
        <v>45102</v>
      </c>
      <c r="S6246" t="s">
        <v>45242</v>
      </c>
      <c r="T6246" t="s">
        <v>47125</v>
      </c>
      <c r="U6246" t="s">
        <v>52702</v>
      </c>
      <c r="W6246" t="s">
        <v>43521</v>
      </c>
      <c r="X6246" t="s">
        <v>45103</v>
      </c>
    </row>
    <row r="6247" spans="1:24">
      <c r="A6247">
        <f>HYPERLINK("https://www.philgeps.gov.ph/GEPSNONPILOT/Tender/SplashBidNoticeAbstractUI.aspx?menuIndex=3&amp;refID=7040296&amp;Result=3","7040296")</f>
        <v>0</v>
      </c>
      <c r="B6247" t="s">
        <v>1944</v>
      </c>
      <c r="C6247" t="s">
        <v>9168</v>
      </c>
      <c r="D6247" t="s">
        <v>18043</v>
      </c>
      <c r="E6247" t="s">
        <v>18367</v>
      </c>
      <c r="F6247" t="s">
        <v>31575</v>
      </c>
      <c r="G6247" t="s">
        <v>31582</v>
      </c>
      <c r="H6247" t="s">
        <v>31590</v>
      </c>
      <c r="I6247" t="s">
        <v>4046</v>
      </c>
      <c r="J6247" t="s">
        <v>35744</v>
      </c>
      <c r="K6247" t="s">
        <v>41196</v>
      </c>
      <c r="M6247" t="s">
        <v>43599</v>
      </c>
      <c r="N6247" t="s">
        <v>45095</v>
      </c>
      <c r="O6247" t="s">
        <v>45096</v>
      </c>
      <c r="P6247">
        <v>0</v>
      </c>
      <c r="Q6247">
        <v>0</v>
      </c>
      <c r="R6247" t="s">
        <v>45102</v>
      </c>
      <c r="S6247" t="s">
        <v>45242</v>
      </c>
      <c r="T6247" t="s">
        <v>46986</v>
      </c>
      <c r="U6247" t="s">
        <v>52703</v>
      </c>
      <c r="W6247" t="s">
        <v>43599</v>
      </c>
      <c r="X6247" t="s">
        <v>45103</v>
      </c>
    </row>
    <row r="6248" spans="1:24">
      <c r="A6248">
        <f>HYPERLINK("https://www.philgeps.gov.ph/GEPSNONPILOT/Tender/SplashBidNoticeAbstractUI.aspx?menuIndex=3&amp;refID=7040291&amp;Result=3","7040291")</f>
        <v>0</v>
      </c>
      <c r="B6248" t="s">
        <v>1818</v>
      </c>
      <c r="C6248" t="s">
        <v>9169</v>
      </c>
      <c r="D6248" t="s">
        <v>18048</v>
      </c>
      <c r="E6248" t="s">
        <v>23676</v>
      </c>
      <c r="F6248" t="s">
        <v>31574</v>
      </c>
      <c r="G6248" t="s">
        <v>31582</v>
      </c>
      <c r="H6248" t="s">
        <v>31591</v>
      </c>
      <c r="I6248" t="s">
        <v>8822</v>
      </c>
      <c r="J6248" t="s">
        <v>35745</v>
      </c>
      <c r="K6248" t="s">
        <v>41274</v>
      </c>
      <c r="M6248" t="s">
        <v>43453</v>
      </c>
      <c r="N6248" t="s">
        <v>45095</v>
      </c>
      <c r="O6248" t="s">
        <v>45096</v>
      </c>
      <c r="P6248">
        <v>0</v>
      </c>
      <c r="Q6248">
        <v>1</v>
      </c>
      <c r="R6248" t="s">
        <v>45102</v>
      </c>
      <c r="S6248" t="s">
        <v>45242</v>
      </c>
      <c r="T6248" t="s">
        <v>47134</v>
      </c>
      <c r="U6248" t="s">
        <v>52704</v>
      </c>
      <c r="W6248" t="s">
        <v>43453</v>
      </c>
      <c r="X6248" t="s">
        <v>45103</v>
      </c>
    </row>
    <row r="6249" spans="1:24">
      <c r="A6249">
        <f>HYPERLINK("https://www.philgeps.gov.ph/GEPSNONPILOT/Tender/SplashBidNoticeAbstractUI.aspx?menuIndex=3&amp;refID=7040289&amp;Result=3","7040289")</f>
        <v>0</v>
      </c>
      <c r="B6249" t="s">
        <v>349</v>
      </c>
      <c r="C6249" t="s">
        <v>9170</v>
      </c>
      <c r="D6249" t="s">
        <v>18071</v>
      </c>
      <c r="E6249" t="s">
        <v>23677</v>
      </c>
      <c r="F6249" t="s">
        <v>31574</v>
      </c>
      <c r="G6249" t="s">
        <v>31581</v>
      </c>
      <c r="H6249" t="s">
        <v>31590</v>
      </c>
      <c r="I6249" t="s">
        <v>3489</v>
      </c>
      <c r="J6249" t="s">
        <v>35746</v>
      </c>
      <c r="K6249" t="s">
        <v>41186</v>
      </c>
      <c r="L6249" t="s">
        <v>349</v>
      </c>
      <c r="M6249" t="s">
        <v>41837</v>
      </c>
      <c r="N6249" t="s">
        <v>45095</v>
      </c>
      <c r="O6249" t="s">
        <v>45096</v>
      </c>
      <c r="P6249">
        <v>0</v>
      </c>
      <c r="Q6249">
        <v>0</v>
      </c>
      <c r="R6249" t="s">
        <v>45102</v>
      </c>
      <c r="S6249" t="s">
        <v>45242</v>
      </c>
      <c r="T6249" t="s">
        <v>47176</v>
      </c>
      <c r="U6249" t="s">
        <v>52690</v>
      </c>
      <c r="W6249" t="s">
        <v>41837</v>
      </c>
      <c r="X6249" t="s">
        <v>45103</v>
      </c>
    </row>
    <row r="6250" spans="1:24">
      <c r="A6250">
        <f>HYPERLINK("https://www.philgeps.gov.ph/GEPSNONPILOT/Tender/SplashBidNoticeAbstractUI.aspx?menuIndex=3&amp;refID=7040302&amp;Result=3","7040302")</f>
        <v>0</v>
      </c>
      <c r="B6250" t="s">
        <v>349</v>
      </c>
      <c r="C6250" t="s">
        <v>9171</v>
      </c>
      <c r="D6250" t="s">
        <v>18071</v>
      </c>
      <c r="E6250" t="s">
        <v>23678</v>
      </c>
      <c r="F6250" t="s">
        <v>31574</v>
      </c>
      <c r="G6250" t="s">
        <v>31584</v>
      </c>
      <c r="H6250" t="s">
        <v>31590</v>
      </c>
      <c r="I6250" t="s">
        <v>6800</v>
      </c>
      <c r="J6250" t="s">
        <v>35747</v>
      </c>
      <c r="K6250" t="s">
        <v>41190</v>
      </c>
      <c r="L6250" t="s">
        <v>349</v>
      </c>
      <c r="M6250" t="s">
        <v>41837</v>
      </c>
      <c r="N6250" t="s">
        <v>45095</v>
      </c>
      <c r="O6250" t="s">
        <v>45096</v>
      </c>
      <c r="P6250">
        <v>0</v>
      </c>
      <c r="Q6250">
        <v>1</v>
      </c>
      <c r="R6250" t="s">
        <v>45102</v>
      </c>
      <c r="S6250" t="s">
        <v>45242</v>
      </c>
      <c r="T6250" t="s">
        <v>47176</v>
      </c>
      <c r="U6250" t="s">
        <v>52690</v>
      </c>
      <c r="W6250" t="s">
        <v>41837</v>
      </c>
      <c r="X6250" t="s">
        <v>45103</v>
      </c>
    </row>
    <row r="6251" spans="1:24">
      <c r="A6251">
        <f>HYPERLINK("https://www.philgeps.gov.ph/GEPSNONPILOT/Tender/SplashBidNoticeAbstractUI.aspx?menuIndex=3&amp;refID=7040321&amp;Result=3","7040321")</f>
        <v>0</v>
      </c>
      <c r="B6251" t="s">
        <v>1648</v>
      </c>
      <c r="C6251" t="s">
        <v>9172</v>
      </c>
      <c r="E6251" t="s">
        <v>23679</v>
      </c>
      <c r="F6251" t="s">
        <v>31574</v>
      </c>
      <c r="G6251" t="s">
        <v>31581</v>
      </c>
      <c r="H6251" t="s">
        <v>31590</v>
      </c>
      <c r="I6251" t="s">
        <v>31599</v>
      </c>
      <c r="J6251" t="s">
        <v>32574</v>
      </c>
      <c r="K6251" t="s">
        <v>41186</v>
      </c>
      <c r="M6251" t="s">
        <v>43259</v>
      </c>
      <c r="N6251" t="s">
        <v>45095</v>
      </c>
      <c r="O6251" t="s">
        <v>45096</v>
      </c>
      <c r="P6251">
        <v>0</v>
      </c>
      <c r="Q6251">
        <v>1</v>
      </c>
      <c r="R6251" t="s">
        <v>45102</v>
      </c>
      <c r="S6251" t="s">
        <v>45242</v>
      </c>
      <c r="T6251" t="s">
        <v>47162</v>
      </c>
      <c r="U6251" t="s">
        <v>52705</v>
      </c>
      <c r="W6251" t="s">
        <v>61714</v>
      </c>
      <c r="X6251" t="s">
        <v>45103</v>
      </c>
    </row>
    <row r="6252" spans="1:24">
      <c r="A6252">
        <f>HYPERLINK("https://www.philgeps.gov.ph/GEPSNONPILOT/Tender/SplashBidNoticeAbstractUI.aspx?menuIndex=3&amp;refID=7040288&amp;Result=3","7040288")</f>
        <v>0</v>
      </c>
      <c r="B6252" t="s">
        <v>326</v>
      </c>
      <c r="C6252" t="s">
        <v>9173</v>
      </c>
      <c r="D6252" t="s">
        <v>18050</v>
      </c>
      <c r="E6252" t="s">
        <v>19078</v>
      </c>
      <c r="F6252" t="s">
        <v>31574</v>
      </c>
      <c r="G6252" t="s">
        <v>31585</v>
      </c>
      <c r="H6252" t="s">
        <v>31590</v>
      </c>
      <c r="I6252" t="s">
        <v>31602</v>
      </c>
      <c r="J6252" t="s">
        <v>35748</v>
      </c>
      <c r="K6252" t="s">
        <v>41196</v>
      </c>
      <c r="M6252" t="s">
        <v>41814</v>
      </c>
      <c r="N6252" t="s">
        <v>45095</v>
      </c>
      <c r="O6252" t="s">
        <v>45096</v>
      </c>
      <c r="P6252">
        <v>0</v>
      </c>
      <c r="Q6252">
        <v>1</v>
      </c>
      <c r="R6252" t="s">
        <v>45102</v>
      </c>
      <c r="S6252" t="s">
        <v>45242</v>
      </c>
      <c r="T6252" t="s">
        <v>46949</v>
      </c>
      <c r="U6252" t="s">
        <v>52685</v>
      </c>
      <c r="W6252" t="s">
        <v>41814</v>
      </c>
      <c r="X6252" t="s">
        <v>45103</v>
      </c>
    </row>
    <row r="6253" spans="1:24">
      <c r="A6253">
        <f>HYPERLINK("https://www.philgeps.gov.ph/GEPSNONPILOT/Tender/SplashBidNoticeAbstractUI.aspx?menuIndex=3&amp;refID=7040295&amp;Result=3","7040295")</f>
        <v>0</v>
      </c>
      <c r="B6253" t="s">
        <v>1911</v>
      </c>
      <c r="C6253" t="s">
        <v>9174</v>
      </c>
      <c r="D6253" t="s">
        <v>18061</v>
      </c>
      <c r="E6253" t="s">
        <v>23680</v>
      </c>
      <c r="F6253" t="s">
        <v>31574</v>
      </c>
      <c r="G6253" t="s">
        <v>31582</v>
      </c>
      <c r="H6253" t="s">
        <v>31591</v>
      </c>
      <c r="I6253" t="s">
        <v>8822</v>
      </c>
      <c r="J6253" t="s">
        <v>35749</v>
      </c>
      <c r="K6253" t="s">
        <v>41343</v>
      </c>
      <c r="M6253" t="s">
        <v>43559</v>
      </c>
      <c r="N6253" t="s">
        <v>45095</v>
      </c>
      <c r="O6253" t="s">
        <v>45096</v>
      </c>
      <c r="P6253">
        <v>0</v>
      </c>
      <c r="Q6253">
        <v>0</v>
      </c>
      <c r="R6253" t="s">
        <v>45102</v>
      </c>
      <c r="S6253" t="s">
        <v>45242</v>
      </c>
      <c r="T6253" t="s">
        <v>46936</v>
      </c>
      <c r="U6253" t="s">
        <v>52706</v>
      </c>
      <c r="V6253" t="s">
        <v>60513</v>
      </c>
      <c r="W6253" t="s">
        <v>43559</v>
      </c>
      <c r="X6253" t="s">
        <v>45103</v>
      </c>
    </row>
    <row r="6254" spans="1:24">
      <c r="A6254">
        <f>HYPERLINK("https://www.philgeps.gov.ph/GEPSNONPILOT/Tender/SplashBidNoticeAbstractUI.aspx?menuIndex=3&amp;refID=7040309&amp;Result=3","7040309")</f>
        <v>0</v>
      </c>
      <c r="B6254" t="s">
        <v>1945</v>
      </c>
      <c r="C6254" t="s">
        <v>9175</v>
      </c>
      <c r="D6254" t="s">
        <v>18052</v>
      </c>
      <c r="E6254" t="s">
        <v>23681</v>
      </c>
      <c r="F6254" t="s">
        <v>31574</v>
      </c>
      <c r="G6254" t="s">
        <v>31582</v>
      </c>
      <c r="H6254" t="s">
        <v>31590</v>
      </c>
      <c r="I6254" t="s">
        <v>8258</v>
      </c>
      <c r="J6254" t="s">
        <v>35750</v>
      </c>
      <c r="K6254" t="s">
        <v>41186</v>
      </c>
      <c r="M6254" t="s">
        <v>43600</v>
      </c>
      <c r="N6254" t="s">
        <v>45095</v>
      </c>
      <c r="O6254" t="s">
        <v>45096</v>
      </c>
      <c r="P6254">
        <v>0</v>
      </c>
      <c r="Q6254">
        <v>4</v>
      </c>
      <c r="R6254" t="s">
        <v>45102</v>
      </c>
      <c r="S6254" t="s">
        <v>45242</v>
      </c>
      <c r="T6254" t="s">
        <v>47063</v>
      </c>
      <c r="U6254" t="s">
        <v>52707</v>
      </c>
      <c r="W6254" t="s">
        <v>43600</v>
      </c>
      <c r="X6254" t="s">
        <v>45103</v>
      </c>
    </row>
    <row r="6255" spans="1:24">
      <c r="A6255">
        <f>HYPERLINK("https://www.philgeps.gov.ph/GEPSNONPILOT/Tender/SplashBidNoticeAbstractUI.aspx?menuIndex=3&amp;refID=7040285&amp;Result=3","7040285")</f>
        <v>0</v>
      </c>
      <c r="B6255" t="s">
        <v>1945</v>
      </c>
      <c r="C6255" t="s">
        <v>9176</v>
      </c>
      <c r="D6255" t="s">
        <v>18052</v>
      </c>
      <c r="E6255" t="s">
        <v>23682</v>
      </c>
      <c r="F6255" t="s">
        <v>31574</v>
      </c>
      <c r="G6255" t="s">
        <v>31582</v>
      </c>
      <c r="H6255" t="s">
        <v>31590</v>
      </c>
      <c r="I6255" t="s">
        <v>7185</v>
      </c>
      <c r="J6255" t="s">
        <v>35751</v>
      </c>
      <c r="K6255" t="s">
        <v>41186</v>
      </c>
      <c r="M6255" t="s">
        <v>43600</v>
      </c>
      <c r="N6255" t="s">
        <v>45095</v>
      </c>
      <c r="O6255" t="s">
        <v>45096</v>
      </c>
      <c r="P6255">
        <v>0</v>
      </c>
      <c r="Q6255">
        <v>2</v>
      </c>
      <c r="R6255" t="s">
        <v>45102</v>
      </c>
      <c r="S6255" t="s">
        <v>45242</v>
      </c>
      <c r="T6255" t="s">
        <v>47063</v>
      </c>
      <c r="U6255" t="s">
        <v>52707</v>
      </c>
      <c r="W6255" t="s">
        <v>43600</v>
      </c>
      <c r="X6255" t="s">
        <v>45103</v>
      </c>
    </row>
    <row r="6256" spans="1:24">
      <c r="A6256">
        <f>HYPERLINK("https://www.philgeps.gov.ph/GEPSNONPILOT/Tender/SplashBidNoticeAbstractUI.aspx?menuIndex=3&amp;refID=7040317&amp;Result=3","7040317")</f>
        <v>0</v>
      </c>
      <c r="B6256" t="s">
        <v>349</v>
      </c>
      <c r="C6256" t="s">
        <v>9177</v>
      </c>
      <c r="D6256" t="s">
        <v>18071</v>
      </c>
      <c r="E6256" t="s">
        <v>23683</v>
      </c>
      <c r="F6256" t="s">
        <v>31574</v>
      </c>
      <c r="G6256" t="s">
        <v>31581</v>
      </c>
      <c r="H6256" t="s">
        <v>31590</v>
      </c>
      <c r="I6256" t="s">
        <v>14544</v>
      </c>
      <c r="J6256" t="s">
        <v>35752</v>
      </c>
      <c r="K6256" t="s">
        <v>41186</v>
      </c>
      <c r="L6256" t="s">
        <v>349</v>
      </c>
      <c r="M6256" t="s">
        <v>41837</v>
      </c>
      <c r="N6256" t="s">
        <v>45095</v>
      </c>
      <c r="O6256" t="s">
        <v>45096</v>
      </c>
      <c r="P6256">
        <v>0</v>
      </c>
      <c r="Q6256">
        <v>0</v>
      </c>
      <c r="R6256" t="s">
        <v>45102</v>
      </c>
      <c r="S6256" t="s">
        <v>45242</v>
      </c>
      <c r="T6256" t="s">
        <v>47176</v>
      </c>
      <c r="U6256" t="s">
        <v>52690</v>
      </c>
      <c r="W6256" t="s">
        <v>41837</v>
      </c>
      <c r="X6256" t="s">
        <v>45103</v>
      </c>
    </row>
    <row r="6257" spans="1:24">
      <c r="A6257">
        <f>HYPERLINK("https://www.philgeps.gov.ph/GEPSNONPILOT/Tender/SplashBidNoticeAbstractUI.aspx?menuIndex=3&amp;refID=7040306&amp;Result=3","7040306")</f>
        <v>0</v>
      </c>
      <c r="B6257" t="s">
        <v>748</v>
      </c>
      <c r="C6257" t="s">
        <v>9178</v>
      </c>
      <c r="D6257" t="s">
        <v>18081</v>
      </c>
      <c r="E6257" t="s">
        <v>23684</v>
      </c>
      <c r="F6257" t="s">
        <v>31574</v>
      </c>
      <c r="G6257" t="s">
        <v>31582</v>
      </c>
      <c r="H6257" t="s">
        <v>31590</v>
      </c>
      <c r="I6257" t="s">
        <v>31602</v>
      </c>
      <c r="J6257" t="s">
        <v>35753</v>
      </c>
      <c r="K6257" t="s">
        <v>41184</v>
      </c>
      <c r="L6257" t="s">
        <v>748</v>
      </c>
      <c r="M6257" t="s">
        <v>42262</v>
      </c>
      <c r="N6257" t="s">
        <v>45095</v>
      </c>
      <c r="O6257" t="s">
        <v>45096</v>
      </c>
      <c r="P6257">
        <v>0</v>
      </c>
      <c r="Q6257">
        <v>0</v>
      </c>
      <c r="R6257" t="s">
        <v>45102</v>
      </c>
      <c r="S6257" t="s">
        <v>45242</v>
      </c>
      <c r="T6257" t="s">
        <v>46957</v>
      </c>
      <c r="U6257" t="s">
        <v>52708</v>
      </c>
      <c r="W6257" t="s">
        <v>42262</v>
      </c>
      <c r="X6257" t="s">
        <v>45103</v>
      </c>
    </row>
    <row r="6258" spans="1:24">
      <c r="A6258">
        <f>HYPERLINK("https://www.philgeps.gov.ph/GEPSNONPILOT/Tender/SplashBidNoticeAbstractUI.aspx?menuIndex=3&amp;refID=7040308&amp;Result=3","7040308")</f>
        <v>0</v>
      </c>
      <c r="B6258" t="s">
        <v>218</v>
      </c>
      <c r="C6258" t="s">
        <v>9179</v>
      </c>
      <c r="D6258" t="s">
        <v>18070</v>
      </c>
      <c r="E6258" t="s">
        <v>23685</v>
      </c>
      <c r="F6258" t="s">
        <v>31574</v>
      </c>
      <c r="G6258" t="s">
        <v>31583</v>
      </c>
      <c r="H6258" t="s">
        <v>31590</v>
      </c>
      <c r="I6258" t="s">
        <v>3489</v>
      </c>
      <c r="J6258" t="s">
        <v>32872</v>
      </c>
      <c r="K6258" t="s">
        <v>41193</v>
      </c>
      <c r="M6258" t="s">
        <v>41703</v>
      </c>
      <c r="N6258" t="s">
        <v>45095</v>
      </c>
      <c r="O6258" t="s">
        <v>45096</v>
      </c>
      <c r="P6258">
        <v>0</v>
      </c>
      <c r="Q6258">
        <v>0</v>
      </c>
      <c r="R6258" t="s">
        <v>45102</v>
      </c>
      <c r="S6258" t="s">
        <v>45242</v>
      </c>
      <c r="T6258" t="s">
        <v>47158</v>
      </c>
      <c r="U6258" t="s">
        <v>47880</v>
      </c>
      <c r="W6258" t="s">
        <v>41703</v>
      </c>
      <c r="X6258" t="s">
        <v>45103</v>
      </c>
    </row>
    <row r="6259" spans="1:24">
      <c r="A6259">
        <f>HYPERLINK("https://www.philgeps.gov.ph/GEPSNONPILOT/Tender/SplashBidNoticeAbstractUI.aspx?menuIndex=3&amp;refID=7040297&amp;Result=3","7040297")</f>
        <v>0</v>
      </c>
      <c r="B6259" t="s">
        <v>530</v>
      </c>
      <c r="C6259" t="s">
        <v>9180</v>
      </c>
      <c r="D6259" t="s">
        <v>18071</v>
      </c>
      <c r="E6259" t="s">
        <v>23686</v>
      </c>
      <c r="F6259" t="s">
        <v>31574</v>
      </c>
      <c r="G6259" t="s">
        <v>31582</v>
      </c>
      <c r="H6259" t="s">
        <v>31590</v>
      </c>
      <c r="I6259" t="s">
        <v>14544</v>
      </c>
      <c r="J6259" t="s">
        <v>35754</v>
      </c>
      <c r="K6259" t="s">
        <v>41186</v>
      </c>
      <c r="M6259" t="s">
        <v>42027</v>
      </c>
      <c r="N6259" t="s">
        <v>45095</v>
      </c>
      <c r="O6259" t="s">
        <v>45096</v>
      </c>
      <c r="P6259">
        <v>0</v>
      </c>
      <c r="Q6259">
        <v>0</v>
      </c>
      <c r="R6259" t="s">
        <v>45102</v>
      </c>
      <c r="S6259" t="s">
        <v>45242</v>
      </c>
      <c r="T6259" t="s">
        <v>47003</v>
      </c>
      <c r="U6259" t="s">
        <v>52709</v>
      </c>
      <c r="W6259" t="s">
        <v>42027</v>
      </c>
      <c r="X6259" t="s">
        <v>45103</v>
      </c>
    </row>
    <row r="6260" spans="1:24">
      <c r="A6260">
        <f>HYPERLINK("https://www.philgeps.gov.ph/GEPSNONPILOT/Tender/SplashBidNoticeAbstractUI.aspx?menuIndex=3&amp;refID=7040307&amp;Result=3","7040307")</f>
        <v>0</v>
      </c>
      <c r="B6260" t="s">
        <v>1930</v>
      </c>
      <c r="C6260" t="s">
        <v>9181</v>
      </c>
      <c r="D6260" t="s">
        <v>18090</v>
      </c>
      <c r="E6260" t="s">
        <v>23687</v>
      </c>
      <c r="F6260" t="s">
        <v>31574</v>
      </c>
      <c r="G6260" t="s">
        <v>31582</v>
      </c>
      <c r="H6260" t="s">
        <v>31591</v>
      </c>
      <c r="I6260" t="s">
        <v>8822</v>
      </c>
      <c r="J6260" t="s">
        <v>35755</v>
      </c>
      <c r="K6260" t="s">
        <v>41344</v>
      </c>
      <c r="L6260" t="s">
        <v>1930</v>
      </c>
      <c r="M6260" t="s">
        <v>43584</v>
      </c>
      <c r="N6260" t="s">
        <v>45095</v>
      </c>
      <c r="O6260" t="s">
        <v>45096</v>
      </c>
      <c r="P6260">
        <v>0</v>
      </c>
      <c r="Q6260">
        <v>0</v>
      </c>
      <c r="R6260" t="s">
        <v>45102</v>
      </c>
      <c r="S6260" t="s">
        <v>45242</v>
      </c>
      <c r="T6260" t="s">
        <v>46992</v>
      </c>
      <c r="U6260" t="s">
        <v>52710</v>
      </c>
      <c r="W6260" t="s">
        <v>43584</v>
      </c>
      <c r="X6260" t="s">
        <v>45103</v>
      </c>
    </row>
    <row r="6261" spans="1:24">
      <c r="A6261">
        <f>HYPERLINK("https://www.philgeps.gov.ph/GEPSNONPILOT/Tender/SplashBidNoticeAbstractUI.aspx?menuIndex=3&amp;refID=7040329&amp;Result=3","7040329")</f>
        <v>0</v>
      </c>
      <c r="B6261" t="s">
        <v>1893</v>
      </c>
      <c r="C6261" t="s">
        <v>9182</v>
      </c>
      <c r="E6261" t="s">
        <v>23688</v>
      </c>
      <c r="F6261" t="s">
        <v>31574</v>
      </c>
      <c r="G6261" t="s">
        <v>31582</v>
      </c>
      <c r="H6261" t="s">
        <v>31590</v>
      </c>
      <c r="I6261" t="s">
        <v>8822</v>
      </c>
      <c r="J6261" t="s">
        <v>33252</v>
      </c>
      <c r="K6261" t="s">
        <v>41243</v>
      </c>
      <c r="M6261" t="s">
        <v>43536</v>
      </c>
      <c r="N6261" t="s">
        <v>45095</v>
      </c>
      <c r="O6261" t="s">
        <v>45096</v>
      </c>
      <c r="P6261">
        <v>0</v>
      </c>
      <c r="Q6261">
        <v>0</v>
      </c>
      <c r="R6261" t="s">
        <v>45102</v>
      </c>
      <c r="S6261" t="s">
        <v>45242</v>
      </c>
      <c r="T6261" t="s">
        <v>46965</v>
      </c>
      <c r="U6261" t="s">
        <v>52711</v>
      </c>
      <c r="W6261" t="s">
        <v>43536</v>
      </c>
      <c r="X6261" t="s">
        <v>45103</v>
      </c>
    </row>
    <row r="6262" spans="1:24">
      <c r="A6262">
        <f>HYPERLINK("https://www.philgeps.gov.ph/GEPSNONPILOT/Tender/SplashBidNoticeAbstractUI.aspx?menuIndex=3&amp;refID=7040346&amp;Result=3","7040346")</f>
        <v>0</v>
      </c>
      <c r="B6262" t="s">
        <v>1306</v>
      </c>
      <c r="C6262" t="s">
        <v>9183</v>
      </c>
      <c r="D6262" t="s">
        <v>18065</v>
      </c>
      <c r="E6262" t="s">
        <v>23689</v>
      </c>
      <c r="F6262" t="s">
        <v>31576</v>
      </c>
      <c r="G6262" t="s">
        <v>31583</v>
      </c>
      <c r="H6262" t="s">
        <v>31590</v>
      </c>
      <c r="I6262" t="s">
        <v>5717</v>
      </c>
      <c r="J6262" t="s">
        <v>35756</v>
      </c>
      <c r="K6262" t="s">
        <v>41186</v>
      </c>
      <c r="M6262" t="s">
        <v>42876</v>
      </c>
      <c r="N6262" t="s">
        <v>45095</v>
      </c>
      <c r="O6262" t="s">
        <v>45096</v>
      </c>
      <c r="Q6262">
        <v>13</v>
      </c>
      <c r="R6262" t="s">
        <v>45102</v>
      </c>
      <c r="S6262" t="s">
        <v>45266</v>
      </c>
      <c r="T6262" t="s">
        <v>46963</v>
      </c>
      <c r="U6262" t="s">
        <v>52712</v>
      </c>
      <c r="W6262" t="s">
        <v>42876</v>
      </c>
      <c r="X6262" t="s">
        <v>45103</v>
      </c>
    </row>
    <row r="6263" spans="1:24">
      <c r="A6263">
        <f>HYPERLINK("https://www.philgeps.gov.ph/GEPSNONPILOT/Tender/SplashBidNoticeAbstractUI.aspx?menuIndex=3&amp;refID=7040322&amp;Result=3","7040322")</f>
        <v>0</v>
      </c>
      <c r="B6263" t="s">
        <v>827</v>
      </c>
      <c r="C6263" t="s">
        <v>9184</v>
      </c>
      <c r="D6263" t="s">
        <v>18037</v>
      </c>
      <c r="E6263" t="s">
        <v>23690</v>
      </c>
      <c r="F6263" t="s">
        <v>31574</v>
      </c>
      <c r="G6263" t="s">
        <v>31582</v>
      </c>
      <c r="H6263" t="s">
        <v>31590</v>
      </c>
      <c r="I6263" t="s">
        <v>31615</v>
      </c>
      <c r="J6263" t="s">
        <v>32101</v>
      </c>
      <c r="K6263" t="s">
        <v>41206</v>
      </c>
      <c r="M6263" t="s">
        <v>42346</v>
      </c>
      <c r="N6263" t="s">
        <v>45095</v>
      </c>
      <c r="O6263" t="s">
        <v>45096</v>
      </c>
      <c r="P6263">
        <v>0</v>
      </c>
      <c r="Q6263">
        <v>5</v>
      </c>
      <c r="R6263" t="s">
        <v>45102</v>
      </c>
      <c r="S6263" t="s">
        <v>45242</v>
      </c>
      <c r="T6263" t="s">
        <v>47198</v>
      </c>
      <c r="U6263" t="s">
        <v>52713</v>
      </c>
      <c r="W6263" t="s">
        <v>42346</v>
      </c>
      <c r="X6263" t="s">
        <v>45103</v>
      </c>
    </row>
    <row r="6264" spans="1:24">
      <c r="A6264">
        <f>HYPERLINK("https://www.philgeps.gov.ph/GEPSNONPILOT/Tender/SplashBidNoticeAbstractUI.aspx?menuIndex=3&amp;refID=7040359&amp;Result=3","7040359")</f>
        <v>0</v>
      </c>
      <c r="B6264" t="s">
        <v>1946</v>
      </c>
      <c r="C6264" t="s">
        <v>9185</v>
      </c>
      <c r="D6264" t="s">
        <v>18081</v>
      </c>
      <c r="E6264" t="s">
        <v>20400</v>
      </c>
      <c r="F6264" t="s">
        <v>31574</v>
      </c>
      <c r="G6264" t="s">
        <v>31582</v>
      </c>
      <c r="H6264" t="s">
        <v>31590</v>
      </c>
      <c r="I6264" t="s">
        <v>31636</v>
      </c>
      <c r="J6264" t="s">
        <v>31741</v>
      </c>
      <c r="K6264" t="s">
        <v>41196</v>
      </c>
      <c r="M6264" t="s">
        <v>43601</v>
      </c>
      <c r="N6264" t="s">
        <v>45095</v>
      </c>
      <c r="O6264" t="s">
        <v>45096</v>
      </c>
      <c r="P6264">
        <v>0</v>
      </c>
      <c r="Q6264">
        <v>2</v>
      </c>
      <c r="R6264" t="s">
        <v>45102</v>
      </c>
      <c r="S6264" t="s">
        <v>45242</v>
      </c>
      <c r="T6264" t="s">
        <v>47064</v>
      </c>
      <c r="U6264" t="s">
        <v>52714</v>
      </c>
      <c r="W6264" t="s">
        <v>43601</v>
      </c>
      <c r="X6264" t="s">
        <v>45103</v>
      </c>
    </row>
    <row r="6265" spans="1:24">
      <c r="A6265">
        <f>HYPERLINK("https://www.philgeps.gov.ph/GEPSNONPILOT/Tender/SplashBidNoticeAbstractUI.aspx?menuIndex=3&amp;refID=7040337&amp;Result=3","7040337")</f>
        <v>0</v>
      </c>
      <c r="B6265" t="s">
        <v>1947</v>
      </c>
      <c r="C6265" t="s">
        <v>9186</v>
      </c>
      <c r="D6265" t="s">
        <v>18026</v>
      </c>
      <c r="E6265" t="s">
        <v>23691</v>
      </c>
      <c r="F6265" t="s">
        <v>31574</v>
      </c>
      <c r="G6265" t="s">
        <v>31581</v>
      </c>
      <c r="H6265" t="s">
        <v>31590</v>
      </c>
      <c r="I6265" t="s">
        <v>3901</v>
      </c>
      <c r="J6265" t="s">
        <v>32574</v>
      </c>
      <c r="K6265" t="s">
        <v>41186</v>
      </c>
      <c r="M6265" t="s">
        <v>43602</v>
      </c>
      <c r="N6265" t="s">
        <v>45095</v>
      </c>
      <c r="O6265" t="s">
        <v>45096</v>
      </c>
      <c r="P6265">
        <v>0</v>
      </c>
      <c r="Q6265">
        <v>0</v>
      </c>
      <c r="R6265" t="s">
        <v>45102</v>
      </c>
      <c r="S6265" t="s">
        <v>45242</v>
      </c>
      <c r="T6265" t="s">
        <v>47276</v>
      </c>
      <c r="U6265" t="s">
        <v>52715</v>
      </c>
      <c r="W6265" t="s">
        <v>43602</v>
      </c>
      <c r="X6265" t="s">
        <v>45103</v>
      </c>
    </row>
    <row r="6266" spans="1:24">
      <c r="A6266">
        <f>HYPERLINK("https://www.philgeps.gov.ph/GEPSNONPILOT/Tender/SplashBidNoticeAbstractUI.aspx?menuIndex=3&amp;refID=7040336&amp;Result=3","7040336")</f>
        <v>0</v>
      </c>
      <c r="B6266" t="s">
        <v>674</v>
      </c>
      <c r="C6266" t="s">
        <v>9187</v>
      </c>
      <c r="D6266" t="s">
        <v>18071</v>
      </c>
      <c r="E6266" t="s">
        <v>23692</v>
      </c>
      <c r="F6266" t="s">
        <v>31574</v>
      </c>
      <c r="G6266" t="s">
        <v>31581</v>
      </c>
      <c r="H6266" t="s">
        <v>31590</v>
      </c>
      <c r="I6266" t="s">
        <v>31608</v>
      </c>
      <c r="J6266" t="s">
        <v>35757</v>
      </c>
      <c r="K6266" t="s">
        <v>41191</v>
      </c>
      <c r="M6266" t="s">
        <v>42180</v>
      </c>
      <c r="N6266" t="s">
        <v>45095</v>
      </c>
      <c r="O6266" t="s">
        <v>45096</v>
      </c>
      <c r="P6266">
        <v>0</v>
      </c>
      <c r="Q6266">
        <v>3</v>
      </c>
      <c r="R6266" t="s">
        <v>45102</v>
      </c>
      <c r="S6266" t="s">
        <v>45242</v>
      </c>
      <c r="T6266" t="s">
        <v>46973</v>
      </c>
      <c r="U6266" t="s">
        <v>52716</v>
      </c>
      <c r="W6266" t="s">
        <v>42180</v>
      </c>
      <c r="X6266" t="s">
        <v>45103</v>
      </c>
    </row>
    <row r="6267" spans="1:24">
      <c r="A6267">
        <f>HYPERLINK("https://www.philgeps.gov.ph/GEPSNONPILOT/Tender/SplashBidNoticeAbstractUI.aspx?menuIndex=3&amp;refID=7040344&amp;Result=3","7040344")</f>
        <v>0</v>
      </c>
      <c r="B6267" t="s">
        <v>1948</v>
      </c>
      <c r="C6267" t="s">
        <v>9188</v>
      </c>
      <c r="D6267" t="s">
        <v>18030</v>
      </c>
      <c r="E6267" t="s">
        <v>23693</v>
      </c>
      <c r="F6267" t="s">
        <v>31574</v>
      </c>
      <c r="G6267" t="s">
        <v>31582</v>
      </c>
      <c r="H6267" t="s">
        <v>31590</v>
      </c>
      <c r="I6267" t="s">
        <v>3487</v>
      </c>
      <c r="J6267" t="s">
        <v>35758</v>
      </c>
      <c r="K6267" t="s">
        <v>41193</v>
      </c>
      <c r="M6267" t="s">
        <v>43603</v>
      </c>
      <c r="N6267" t="s">
        <v>45095</v>
      </c>
      <c r="O6267" t="s">
        <v>45096</v>
      </c>
      <c r="P6267">
        <v>0</v>
      </c>
      <c r="Q6267">
        <v>1</v>
      </c>
      <c r="R6267" t="s">
        <v>45102</v>
      </c>
      <c r="S6267" t="s">
        <v>45242</v>
      </c>
      <c r="T6267" t="s">
        <v>46963</v>
      </c>
      <c r="U6267" t="s">
        <v>52717</v>
      </c>
      <c r="W6267" t="s">
        <v>43603</v>
      </c>
      <c r="X6267" t="s">
        <v>45103</v>
      </c>
    </row>
    <row r="6268" spans="1:24">
      <c r="A6268">
        <f>HYPERLINK("https://www.philgeps.gov.ph/GEPSNONPILOT/Tender/SplashBidNoticeAbstractUI.aspx?menuIndex=3&amp;refID=7040333&amp;Result=3","7040333")</f>
        <v>0</v>
      </c>
      <c r="B6268" t="s">
        <v>349</v>
      </c>
      <c r="C6268" t="s">
        <v>9189</v>
      </c>
      <c r="D6268" t="s">
        <v>18071</v>
      </c>
      <c r="E6268" t="s">
        <v>23694</v>
      </c>
      <c r="F6268" t="s">
        <v>31574</v>
      </c>
      <c r="G6268" t="s">
        <v>31581</v>
      </c>
      <c r="H6268" t="s">
        <v>31590</v>
      </c>
      <c r="I6268" t="s">
        <v>3489</v>
      </c>
      <c r="J6268" t="s">
        <v>31993</v>
      </c>
      <c r="K6268" t="s">
        <v>41186</v>
      </c>
      <c r="L6268" t="s">
        <v>349</v>
      </c>
      <c r="M6268" t="s">
        <v>41837</v>
      </c>
      <c r="N6268" t="s">
        <v>45095</v>
      </c>
      <c r="O6268" t="s">
        <v>45096</v>
      </c>
      <c r="P6268">
        <v>0</v>
      </c>
      <c r="Q6268">
        <v>0</v>
      </c>
      <c r="R6268" t="s">
        <v>45102</v>
      </c>
      <c r="S6268" t="s">
        <v>45242</v>
      </c>
      <c r="T6268" t="s">
        <v>47176</v>
      </c>
      <c r="U6268" t="s">
        <v>52690</v>
      </c>
      <c r="W6268" t="s">
        <v>41837</v>
      </c>
      <c r="X6268" t="s">
        <v>45103</v>
      </c>
    </row>
    <row r="6269" spans="1:24">
      <c r="A6269">
        <f>HYPERLINK("https://www.philgeps.gov.ph/GEPSNONPILOT/Tender/SplashBidNoticeAbstractUI.aspx?menuIndex=3&amp;refID=7040353&amp;Result=3","7040353")</f>
        <v>0</v>
      </c>
      <c r="B6269" t="s">
        <v>1949</v>
      </c>
      <c r="C6269" t="s">
        <v>9190</v>
      </c>
      <c r="D6269" t="s">
        <v>18055</v>
      </c>
      <c r="E6269" t="s">
        <v>23695</v>
      </c>
      <c r="F6269" t="s">
        <v>31574</v>
      </c>
      <c r="G6269" t="s">
        <v>31583</v>
      </c>
      <c r="H6269" t="s">
        <v>31590</v>
      </c>
      <c r="I6269" t="s">
        <v>31615</v>
      </c>
      <c r="J6269" t="s">
        <v>31964</v>
      </c>
      <c r="K6269" t="s">
        <v>41196</v>
      </c>
      <c r="M6269" t="s">
        <v>43604</v>
      </c>
      <c r="N6269" t="s">
        <v>45095</v>
      </c>
      <c r="O6269" t="s">
        <v>45096</v>
      </c>
      <c r="P6269">
        <v>0</v>
      </c>
      <c r="Q6269">
        <v>1</v>
      </c>
      <c r="R6269" t="s">
        <v>45102</v>
      </c>
      <c r="S6269" t="s">
        <v>45242</v>
      </c>
      <c r="T6269" t="s">
        <v>47276</v>
      </c>
      <c r="U6269" t="s">
        <v>52718</v>
      </c>
      <c r="V6269" t="s">
        <v>60514</v>
      </c>
      <c r="W6269" t="s">
        <v>43604</v>
      </c>
      <c r="X6269" t="s">
        <v>45103</v>
      </c>
    </row>
    <row r="6270" spans="1:24">
      <c r="A6270">
        <f>HYPERLINK("https://www.philgeps.gov.ph/GEPSNONPILOT/Tender/SplashBidNoticeAbstractUI.aspx?menuIndex=3&amp;refID=7040339&amp;Result=3","7040339")</f>
        <v>0</v>
      </c>
      <c r="B6270" t="s">
        <v>115</v>
      </c>
      <c r="C6270" t="s">
        <v>9191</v>
      </c>
      <c r="D6270" t="s">
        <v>18040</v>
      </c>
      <c r="E6270" t="s">
        <v>23696</v>
      </c>
      <c r="F6270" t="s">
        <v>31574</v>
      </c>
      <c r="G6270" t="s">
        <v>31585</v>
      </c>
      <c r="H6270" t="s">
        <v>31590</v>
      </c>
      <c r="I6270" t="s">
        <v>31615</v>
      </c>
      <c r="J6270" t="s">
        <v>32417</v>
      </c>
      <c r="K6270" t="s">
        <v>41186</v>
      </c>
      <c r="M6270" t="s">
        <v>41599</v>
      </c>
      <c r="N6270" t="s">
        <v>45095</v>
      </c>
      <c r="O6270" t="s">
        <v>45096</v>
      </c>
      <c r="P6270">
        <v>0</v>
      </c>
      <c r="Q6270">
        <v>3</v>
      </c>
      <c r="R6270" t="s">
        <v>45102</v>
      </c>
      <c r="S6270" t="s">
        <v>45242</v>
      </c>
      <c r="T6270" t="s">
        <v>47158</v>
      </c>
      <c r="U6270" t="s">
        <v>52719</v>
      </c>
      <c r="W6270" t="s">
        <v>41599</v>
      </c>
      <c r="X6270" t="s">
        <v>45103</v>
      </c>
    </row>
    <row r="6271" spans="1:24">
      <c r="A6271">
        <f>HYPERLINK("https://www.philgeps.gov.ph/GEPSNONPILOT/Tender/SplashBidNoticeAbstractUI.aspx?menuIndex=3&amp;refID=7040374&amp;Result=3","7040374")</f>
        <v>0</v>
      </c>
      <c r="B6271" t="s">
        <v>1950</v>
      </c>
      <c r="C6271" t="s">
        <v>9192</v>
      </c>
      <c r="D6271" t="s">
        <v>18035</v>
      </c>
      <c r="E6271" t="s">
        <v>23697</v>
      </c>
      <c r="F6271" t="s">
        <v>31574</v>
      </c>
      <c r="G6271" t="s">
        <v>31584</v>
      </c>
      <c r="H6271" t="s">
        <v>31590</v>
      </c>
      <c r="I6271" t="s">
        <v>6800</v>
      </c>
      <c r="J6271" t="s">
        <v>35759</v>
      </c>
      <c r="K6271" t="s">
        <v>41193</v>
      </c>
      <c r="M6271" t="s">
        <v>43605</v>
      </c>
      <c r="N6271" t="s">
        <v>45095</v>
      </c>
      <c r="O6271" t="s">
        <v>45096</v>
      </c>
      <c r="P6271">
        <v>0</v>
      </c>
      <c r="Q6271">
        <v>3</v>
      </c>
      <c r="R6271" t="s">
        <v>45102</v>
      </c>
      <c r="S6271" t="s">
        <v>45242</v>
      </c>
      <c r="T6271" t="s">
        <v>47106</v>
      </c>
      <c r="U6271" t="s">
        <v>52720</v>
      </c>
      <c r="W6271" t="s">
        <v>43605</v>
      </c>
      <c r="X6271" t="s">
        <v>45103</v>
      </c>
    </row>
    <row r="6272" spans="1:24">
      <c r="A6272">
        <f>HYPERLINK("https://www.philgeps.gov.ph/GEPSNONPILOT/Tender/SplashBidNoticeAbstractUI.aspx?menuIndex=3&amp;refID=7040348&amp;Result=3","7040348")</f>
        <v>0</v>
      </c>
      <c r="B6272" t="s">
        <v>1887</v>
      </c>
      <c r="C6272" t="s">
        <v>9193</v>
      </c>
      <c r="D6272" t="s">
        <v>18022</v>
      </c>
      <c r="E6272" t="s">
        <v>23698</v>
      </c>
      <c r="F6272" t="s">
        <v>31574</v>
      </c>
      <c r="G6272" t="s">
        <v>31582</v>
      </c>
      <c r="H6272" t="s">
        <v>31591</v>
      </c>
      <c r="I6272" t="s">
        <v>8822</v>
      </c>
      <c r="J6272" t="s">
        <v>35760</v>
      </c>
      <c r="K6272" t="s">
        <v>41184</v>
      </c>
      <c r="M6272" t="s">
        <v>43606</v>
      </c>
      <c r="N6272" t="s">
        <v>45095</v>
      </c>
      <c r="O6272" t="s">
        <v>45096</v>
      </c>
      <c r="P6272">
        <v>0</v>
      </c>
      <c r="Q6272">
        <v>6</v>
      </c>
      <c r="R6272" t="s">
        <v>45102</v>
      </c>
      <c r="S6272" t="s">
        <v>45242</v>
      </c>
      <c r="T6272" t="s">
        <v>47100</v>
      </c>
      <c r="U6272" t="s">
        <v>52721</v>
      </c>
      <c r="V6272" t="s">
        <v>60515</v>
      </c>
      <c r="W6272" t="s">
        <v>43606</v>
      </c>
      <c r="X6272" t="s">
        <v>45103</v>
      </c>
    </row>
    <row r="6273" spans="1:24">
      <c r="A6273">
        <f>HYPERLINK("https://www.philgeps.gov.ph/GEPSNONPILOT/Tender/SplashBidNoticeAbstractUI.aspx?menuIndex=3&amp;refID=7040347&amp;Result=3","7040347")</f>
        <v>0</v>
      </c>
      <c r="B6273" t="s">
        <v>838</v>
      </c>
      <c r="C6273" t="s">
        <v>9194</v>
      </c>
      <c r="D6273" t="s">
        <v>18059</v>
      </c>
      <c r="E6273" t="s">
        <v>23699</v>
      </c>
      <c r="F6273" t="s">
        <v>31574</v>
      </c>
      <c r="G6273" t="s">
        <v>31582</v>
      </c>
      <c r="H6273" t="s">
        <v>31591</v>
      </c>
      <c r="I6273" t="s">
        <v>8822</v>
      </c>
      <c r="J6273" t="s">
        <v>31730</v>
      </c>
      <c r="K6273" t="s">
        <v>41189</v>
      </c>
      <c r="M6273" t="s">
        <v>42357</v>
      </c>
      <c r="N6273" t="s">
        <v>45095</v>
      </c>
      <c r="O6273" t="s">
        <v>45096</v>
      </c>
      <c r="P6273">
        <v>0</v>
      </c>
      <c r="Q6273">
        <v>1</v>
      </c>
      <c r="R6273" t="s">
        <v>45102</v>
      </c>
      <c r="S6273" t="s">
        <v>45242</v>
      </c>
      <c r="T6273" t="s">
        <v>47004</v>
      </c>
      <c r="U6273" t="s">
        <v>52722</v>
      </c>
      <c r="W6273" t="s">
        <v>42357</v>
      </c>
      <c r="X6273" t="s">
        <v>45103</v>
      </c>
    </row>
    <row r="6274" spans="1:24">
      <c r="A6274">
        <f>HYPERLINK("https://www.philgeps.gov.ph/GEPSNONPILOT/Tender/SplashBidNoticeAbstractUI.aspx?menuIndex=3&amp;refID=7040365&amp;Result=3","7040365")</f>
        <v>0</v>
      </c>
      <c r="B6274" t="s">
        <v>1951</v>
      </c>
      <c r="C6274" t="s">
        <v>9195</v>
      </c>
      <c r="D6274" t="s">
        <v>18060</v>
      </c>
      <c r="E6274" t="s">
        <v>23700</v>
      </c>
      <c r="F6274" t="s">
        <v>31574</v>
      </c>
      <c r="G6274" t="s">
        <v>31583</v>
      </c>
      <c r="H6274" t="s">
        <v>31590</v>
      </c>
      <c r="I6274" t="s">
        <v>4046</v>
      </c>
      <c r="J6274" t="s">
        <v>35761</v>
      </c>
      <c r="K6274" t="s">
        <v>41193</v>
      </c>
      <c r="M6274" t="s">
        <v>43607</v>
      </c>
      <c r="N6274" t="s">
        <v>45095</v>
      </c>
      <c r="O6274" t="s">
        <v>45096</v>
      </c>
      <c r="P6274">
        <v>0</v>
      </c>
      <c r="Q6274">
        <v>0</v>
      </c>
      <c r="R6274" t="s">
        <v>45102</v>
      </c>
      <c r="S6274" t="s">
        <v>45242</v>
      </c>
      <c r="T6274" t="s">
        <v>47176</v>
      </c>
      <c r="U6274" t="s">
        <v>52723</v>
      </c>
      <c r="W6274" t="s">
        <v>43607</v>
      </c>
      <c r="X6274" t="s">
        <v>45103</v>
      </c>
    </row>
    <row r="6275" spans="1:24">
      <c r="A6275">
        <f>HYPERLINK("https://www.philgeps.gov.ph/GEPSNONPILOT/Tender/SplashBidNoticeAbstractUI.aspx?menuIndex=3&amp;refID=7040349&amp;Result=3","7040349")</f>
        <v>0</v>
      </c>
      <c r="B6275" t="s">
        <v>1952</v>
      </c>
      <c r="C6275" t="s">
        <v>9196</v>
      </c>
      <c r="D6275" t="s">
        <v>18101</v>
      </c>
      <c r="E6275" t="s">
        <v>23701</v>
      </c>
      <c r="F6275" t="s">
        <v>31574</v>
      </c>
      <c r="G6275" t="s">
        <v>31582</v>
      </c>
      <c r="H6275" t="s">
        <v>31590</v>
      </c>
      <c r="I6275" t="s">
        <v>3489</v>
      </c>
      <c r="J6275" t="s">
        <v>35762</v>
      </c>
      <c r="K6275" t="s">
        <v>41196</v>
      </c>
      <c r="M6275" t="s">
        <v>43608</v>
      </c>
      <c r="N6275" t="s">
        <v>45095</v>
      </c>
      <c r="O6275" t="s">
        <v>45096</v>
      </c>
      <c r="P6275">
        <v>0</v>
      </c>
      <c r="Q6275">
        <v>0</v>
      </c>
      <c r="R6275" t="s">
        <v>45102</v>
      </c>
      <c r="S6275" t="s">
        <v>45242</v>
      </c>
      <c r="T6275" t="s">
        <v>46963</v>
      </c>
      <c r="U6275" t="s">
        <v>52724</v>
      </c>
      <c r="W6275" t="s">
        <v>43608</v>
      </c>
      <c r="X6275" t="s">
        <v>45103</v>
      </c>
    </row>
    <row r="6276" spans="1:24">
      <c r="A6276">
        <f>HYPERLINK("https://www.philgeps.gov.ph/GEPSNONPILOT/Tender/SplashBidNoticeAbstractUI.aspx?menuIndex=3&amp;refID=7040372&amp;Result=3","7040372")</f>
        <v>0</v>
      </c>
      <c r="B6276" t="s">
        <v>1953</v>
      </c>
      <c r="C6276" t="s">
        <v>9197</v>
      </c>
      <c r="D6276" t="s">
        <v>18039</v>
      </c>
      <c r="E6276" t="s">
        <v>23702</v>
      </c>
      <c r="F6276" t="s">
        <v>31574</v>
      </c>
      <c r="G6276" t="s">
        <v>31582</v>
      </c>
      <c r="H6276" t="s">
        <v>31590</v>
      </c>
      <c r="I6276" t="s">
        <v>4046</v>
      </c>
      <c r="J6276" t="s">
        <v>35763</v>
      </c>
      <c r="K6276" t="s">
        <v>41196</v>
      </c>
      <c r="M6276" t="s">
        <v>43609</v>
      </c>
      <c r="N6276" t="s">
        <v>45095</v>
      </c>
      <c r="O6276" t="s">
        <v>45096</v>
      </c>
      <c r="P6276">
        <v>0</v>
      </c>
      <c r="Q6276">
        <v>0</v>
      </c>
      <c r="R6276" t="s">
        <v>45102</v>
      </c>
      <c r="S6276" t="s">
        <v>45242</v>
      </c>
      <c r="T6276" t="s">
        <v>46963</v>
      </c>
      <c r="U6276" t="s">
        <v>52725</v>
      </c>
      <c r="W6276" t="s">
        <v>43609</v>
      </c>
      <c r="X6276" t="s">
        <v>45103</v>
      </c>
    </row>
    <row r="6277" spans="1:24">
      <c r="A6277">
        <f>HYPERLINK("https://www.philgeps.gov.ph/GEPSNONPILOT/Tender/SplashBidNoticeAbstractUI.aspx?menuIndex=3&amp;refID=7040378&amp;Result=3","7040378")</f>
        <v>0</v>
      </c>
      <c r="B6277" t="s">
        <v>1954</v>
      </c>
      <c r="C6277" t="s">
        <v>9198</v>
      </c>
      <c r="D6277" t="s">
        <v>18065</v>
      </c>
      <c r="E6277" t="s">
        <v>22489</v>
      </c>
      <c r="F6277" t="s">
        <v>31574</v>
      </c>
      <c r="G6277" t="s">
        <v>31581</v>
      </c>
      <c r="H6277" t="s">
        <v>31590</v>
      </c>
      <c r="I6277" t="s">
        <v>4046</v>
      </c>
      <c r="J6277" t="s">
        <v>32020</v>
      </c>
      <c r="K6277" t="s">
        <v>41190</v>
      </c>
      <c r="M6277" t="s">
        <v>43610</v>
      </c>
      <c r="N6277" t="s">
        <v>45095</v>
      </c>
      <c r="O6277" t="s">
        <v>45096</v>
      </c>
      <c r="P6277">
        <v>0</v>
      </c>
      <c r="Q6277">
        <v>0</v>
      </c>
      <c r="R6277" t="s">
        <v>45102</v>
      </c>
      <c r="S6277" t="s">
        <v>45242</v>
      </c>
      <c r="T6277" t="s">
        <v>47154</v>
      </c>
      <c r="U6277" t="s">
        <v>49176</v>
      </c>
      <c r="W6277" t="s">
        <v>43610</v>
      </c>
      <c r="X6277" t="s">
        <v>45103</v>
      </c>
    </row>
    <row r="6278" spans="1:24">
      <c r="A6278">
        <f>HYPERLINK("https://www.philgeps.gov.ph/GEPSNONPILOT/Tender/SplashBidNoticeAbstractUI.aspx?menuIndex=3&amp;refID=7040352&amp;Result=3","7040352")</f>
        <v>0</v>
      </c>
      <c r="B6278" t="s">
        <v>1945</v>
      </c>
      <c r="C6278" t="s">
        <v>9199</v>
      </c>
      <c r="D6278" t="s">
        <v>18052</v>
      </c>
      <c r="E6278" t="s">
        <v>23703</v>
      </c>
      <c r="F6278" t="s">
        <v>31574</v>
      </c>
      <c r="G6278" t="s">
        <v>31582</v>
      </c>
      <c r="H6278" t="s">
        <v>31590</v>
      </c>
      <c r="I6278" t="s">
        <v>3489</v>
      </c>
      <c r="J6278" t="s">
        <v>35764</v>
      </c>
      <c r="K6278" t="s">
        <v>41186</v>
      </c>
      <c r="M6278" t="s">
        <v>43600</v>
      </c>
      <c r="N6278" t="s">
        <v>45095</v>
      </c>
      <c r="O6278" t="s">
        <v>45096</v>
      </c>
      <c r="P6278">
        <v>0</v>
      </c>
      <c r="Q6278">
        <v>0</v>
      </c>
      <c r="R6278" t="s">
        <v>45102</v>
      </c>
      <c r="S6278" t="s">
        <v>45242</v>
      </c>
      <c r="T6278" t="s">
        <v>47063</v>
      </c>
      <c r="U6278" t="s">
        <v>52707</v>
      </c>
      <c r="W6278" t="s">
        <v>43600</v>
      </c>
      <c r="X6278" t="s">
        <v>45103</v>
      </c>
    </row>
    <row r="6279" spans="1:24">
      <c r="A6279">
        <f>HYPERLINK("https://www.philgeps.gov.ph/GEPSNONPILOT/Tender/SplashBidNoticeAbstractUI.aspx?menuIndex=3&amp;refID=7040369&amp;Result=3","7040369")</f>
        <v>0</v>
      </c>
      <c r="B6279" t="s">
        <v>683</v>
      </c>
      <c r="C6279" t="s">
        <v>9200</v>
      </c>
      <c r="D6279" t="s">
        <v>18059</v>
      </c>
      <c r="E6279" t="s">
        <v>23704</v>
      </c>
      <c r="F6279" t="s">
        <v>31574</v>
      </c>
      <c r="G6279" t="s">
        <v>31581</v>
      </c>
      <c r="H6279" t="s">
        <v>31590</v>
      </c>
      <c r="I6279" t="s">
        <v>14544</v>
      </c>
      <c r="J6279" t="s">
        <v>32058</v>
      </c>
      <c r="K6279" t="s">
        <v>41184</v>
      </c>
      <c r="M6279" t="s">
        <v>43558</v>
      </c>
      <c r="N6279" t="s">
        <v>45095</v>
      </c>
      <c r="O6279" t="s">
        <v>45096</v>
      </c>
      <c r="P6279">
        <v>0</v>
      </c>
      <c r="Q6279">
        <v>0</v>
      </c>
      <c r="R6279" t="s">
        <v>45102</v>
      </c>
      <c r="S6279" t="s">
        <v>45242</v>
      </c>
      <c r="T6279" t="s">
        <v>47159</v>
      </c>
      <c r="U6279" t="s">
        <v>52726</v>
      </c>
      <c r="W6279" t="s">
        <v>43558</v>
      </c>
      <c r="X6279" t="s">
        <v>45103</v>
      </c>
    </row>
    <row r="6280" spans="1:24">
      <c r="A6280">
        <f>HYPERLINK("https://www.philgeps.gov.ph/GEPSNONPILOT/Tender/SplashBidNoticeAbstractUI.aspx?menuIndex=3&amp;refID=7040368&amp;Result=3","7040368")</f>
        <v>0</v>
      </c>
      <c r="B6280" t="s">
        <v>1955</v>
      </c>
      <c r="C6280" t="s">
        <v>9201</v>
      </c>
      <c r="D6280" t="s">
        <v>18026</v>
      </c>
      <c r="E6280" t="s">
        <v>23705</v>
      </c>
      <c r="F6280" t="s">
        <v>31574</v>
      </c>
      <c r="G6280" t="s">
        <v>31582</v>
      </c>
      <c r="H6280" t="s">
        <v>31592</v>
      </c>
      <c r="I6280" t="s">
        <v>31667</v>
      </c>
      <c r="J6280" t="s">
        <v>35765</v>
      </c>
      <c r="K6280" t="s">
        <v>41186</v>
      </c>
      <c r="M6280" t="s">
        <v>43611</v>
      </c>
      <c r="N6280" t="s">
        <v>45095</v>
      </c>
      <c r="O6280" t="s">
        <v>45096</v>
      </c>
      <c r="P6280">
        <v>0</v>
      </c>
      <c r="Q6280">
        <v>1</v>
      </c>
      <c r="R6280" t="s">
        <v>45102</v>
      </c>
      <c r="S6280" t="s">
        <v>45242</v>
      </c>
      <c r="T6280" t="s">
        <v>47004</v>
      </c>
      <c r="U6280" t="s">
        <v>52727</v>
      </c>
      <c r="W6280" t="s">
        <v>43611</v>
      </c>
      <c r="X6280" t="s">
        <v>45103</v>
      </c>
    </row>
    <row r="6281" spans="1:24">
      <c r="A6281">
        <f>HYPERLINK("https://www.philgeps.gov.ph/GEPSNONPILOT/Tender/SplashBidNoticeAbstractUI.aspx?menuIndex=3&amp;refID=7040375&amp;Result=3","7040375")</f>
        <v>0</v>
      </c>
      <c r="B6281" t="s">
        <v>1648</v>
      </c>
      <c r="C6281" t="s">
        <v>9202</v>
      </c>
      <c r="E6281" t="s">
        <v>23706</v>
      </c>
      <c r="F6281" t="s">
        <v>31574</v>
      </c>
      <c r="G6281" t="s">
        <v>31581</v>
      </c>
      <c r="H6281" t="s">
        <v>31590</v>
      </c>
      <c r="I6281" t="s">
        <v>31599</v>
      </c>
      <c r="J6281" t="s">
        <v>32315</v>
      </c>
      <c r="K6281" t="s">
        <v>41186</v>
      </c>
      <c r="M6281" t="s">
        <v>43259</v>
      </c>
      <c r="N6281" t="s">
        <v>45095</v>
      </c>
      <c r="O6281" t="s">
        <v>45096</v>
      </c>
      <c r="P6281">
        <v>0</v>
      </c>
      <c r="Q6281">
        <v>1</v>
      </c>
      <c r="R6281" t="s">
        <v>45102</v>
      </c>
      <c r="S6281" t="s">
        <v>45242</v>
      </c>
      <c r="T6281" t="s">
        <v>47162</v>
      </c>
      <c r="U6281" t="s">
        <v>52728</v>
      </c>
      <c r="W6281" t="s">
        <v>61714</v>
      </c>
      <c r="X6281" t="s">
        <v>45103</v>
      </c>
    </row>
    <row r="6282" spans="1:24">
      <c r="A6282">
        <f>HYPERLINK("https://www.philgeps.gov.ph/GEPSNONPILOT/Tender/SplashBidNoticeAbstractUI.aspx?menuIndex=3&amp;refID=7040342&amp;Result=3","7040342")</f>
        <v>0</v>
      </c>
      <c r="B6282" t="s">
        <v>683</v>
      </c>
      <c r="C6282" t="s">
        <v>9203</v>
      </c>
      <c r="D6282" t="s">
        <v>18059</v>
      </c>
      <c r="E6282" t="s">
        <v>23707</v>
      </c>
      <c r="F6282" t="s">
        <v>31574</v>
      </c>
      <c r="G6282" t="s">
        <v>31581</v>
      </c>
      <c r="H6282" t="s">
        <v>31590</v>
      </c>
      <c r="I6282" t="s">
        <v>4046</v>
      </c>
      <c r="J6282" t="s">
        <v>35766</v>
      </c>
      <c r="K6282" t="s">
        <v>41184</v>
      </c>
      <c r="M6282" t="s">
        <v>43558</v>
      </c>
      <c r="N6282" t="s">
        <v>45095</v>
      </c>
      <c r="O6282" t="s">
        <v>45096</v>
      </c>
      <c r="P6282">
        <v>0</v>
      </c>
      <c r="Q6282">
        <v>0</v>
      </c>
      <c r="R6282" t="s">
        <v>45102</v>
      </c>
      <c r="S6282" t="s">
        <v>45242</v>
      </c>
      <c r="T6282" t="s">
        <v>47159</v>
      </c>
      <c r="U6282" t="s">
        <v>52729</v>
      </c>
      <c r="W6282" t="s">
        <v>43558</v>
      </c>
      <c r="X6282" t="s">
        <v>45103</v>
      </c>
    </row>
    <row r="6283" spans="1:24">
      <c r="A6283">
        <f>HYPERLINK("https://www.philgeps.gov.ph/GEPSNONPILOT/Tender/SplashBidNoticeAbstractUI.aspx?menuIndex=3&amp;refID=7040405&amp;Result=3","7040405")</f>
        <v>0</v>
      </c>
      <c r="B6283" t="s">
        <v>1956</v>
      </c>
      <c r="C6283" t="s">
        <v>7851</v>
      </c>
      <c r="D6283" t="s">
        <v>18102</v>
      </c>
      <c r="E6283" t="s">
        <v>22444</v>
      </c>
      <c r="F6283" t="s">
        <v>31574</v>
      </c>
      <c r="G6283" t="s">
        <v>31582</v>
      </c>
      <c r="H6283" t="s">
        <v>31590</v>
      </c>
      <c r="I6283" t="s">
        <v>31640</v>
      </c>
      <c r="J6283" t="s">
        <v>31780</v>
      </c>
      <c r="K6283" t="s">
        <v>41186</v>
      </c>
      <c r="M6283" t="s">
        <v>43612</v>
      </c>
      <c r="N6283" t="s">
        <v>45095</v>
      </c>
      <c r="O6283" t="s">
        <v>45096</v>
      </c>
      <c r="P6283">
        <v>0</v>
      </c>
      <c r="Q6283">
        <v>0</v>
      </c>
      <c r="R6283" t="s">
        <v>45102</v>
      </c>
      <c r="S6283" t="s">
        <v>45242</v>
      </c>
      <c r="T6283" t="s">
        <v>47228</v>
      </c>
      <c r="U6283" t="s">
        <v>52730</v>
      </c>
      <c r="W6283" t="s">
        <v>43612</v>
      </c>
      <c r="X6283" t="s">
        <v>45103</v>
      </c>
    </row>
    <row r="6284" spans="1:24">
      <c r="A6284">
        <f>HYPERLINK("https://www.philgeps.gov.ph/GEPSNONPILOT/Tender/SplashBidNoticeAbstractUI.aspx?menuIndex=3&amp;refID=7040399&amp;Result=3","7040399")</f>
        <v>0</v>
      </c>
      <c r="B6284" t="s">
        <v>818</v>
      </c>
      <c r="C6284" t="s">
        <v>9204</v>
      </c>
      <c r="D6284" t="s">
        <v>18079</v>
      </c>
      <c r="E6284" t="s">
        <v>23708</v>
      </c>
      <c r="F6284" t="s">
        <v>31574</v>
      </c>
      <c r="G6284" t="s">
        <v>31585</v>
      </c>
      <c r="H6284" t="s">
        <v>31590</v>
      </c>
      <c r="I6284" t="s">
        <v>8258</v>
      </c>
      <c r="J6284" t="s">
        <v>35767</v>
      </c>
      <c r="K6284" t="s">
        <v>41196</v>
      </c>
      <c r="M6284" t="s">
        <v>43613</v>
      </c>
      <c r="N6284" t="s">
        <v>45095</v>
      </c>
      <c r="O6284" t="s">
        <v>45096</v>
      </c>
      <c r="P6284">
        <v>0</v>
      </c>
      <c r="Q6284">
        <v>5</v>
      </c>
      <c r="R6284" t="s">
        <v>45102</v>
      </c>
      <c r="S6284" t="s">
        <v>45242</v>
      </c>
      <c r="T6284" t="s">
        <v>46957</v>
      </c>
      <c r="U6284" t="s">
        <v>52731</v>
      </c>
      <c r="V6284" t="s">
        <v>60516</v>
      </c>
      <c r="W6284" t="s">
        <v>43613</v>
      </c>
      <c r="X6284" t="s">
        <v>45103</v>
      </c>
    </row>
    <row r="6285" spans="1:24">
      <c r="A6285">
        <f>HYPERLINK("https://www.philgeps.gov.ph/GEPSNONPILOT/Tender/SplashBidNoticeAbstractUI.aspx?menuIndex=3&amp;refID=7040409&amp;Result=3","7040409")</f>
        <v>0</v>
      </c>
      <c r="B6285" t="s">
        <v>115</v>
      </c>
      <c r="C6285" t="s">
        <v>9205</v>
      </c>
      <c r="D6285" t="s">
        <v>18040</v>
      </c>
      <c r="E6285" t="s">
        <v>23709</v>
      </c>
      <c r="F6285" t="s">
        <v>31574</v>
      </c>
      <c r="G6285" t="s">
        <v>31585</v>
      </c>
      <c r="H6285" t="s">
        <v>31590</v>
      </c>
      <c r="I6285" t="s">
        <v>31615</v>
      </c>
      <c r="J6285" t="s">
        <v>32101</v>
      </c>
      <c r="K6285" t="s">
        <v>41186</v>
      </c>
      <c r="M6285" t="s">
        <v>41599</v>
      </c>
      <c r="N6285" t="s">
        <v>45095</v>
      </c>
      <c r="O6285" t="s">
        <v>45096</v>
      </c>
      <c r="P6285">
        <v>0</v>
      </c>
      <c r="Q6285">
        <v>3</v>
      </c>
      <c r="R6285" t="s">
        <v>45102</v>
      </c>
      <c r="S6285" t="s">
        <v>45242</v>
      </c>
      <c r="T6285" t="s">
        <v>47158</v>
      </c>
      <c r="U6285" t="s">
        <v>52732</v>
      </c>
      <c r="W6285" t="s">
        <v>41599</v>
      </c>
      <c r="X6285" t="s">
        <v>45103</v>
      </c>
    </row>
    <row r="6286" spans="1:24">
      <c r="A6286">
        <f>HYPERLINK("https://www.philgeps.gov.ph/GEPSNONPILOT/Tender/SplashBidNoticeAbstractUI.aspx?menuIndex=3&amp;refID=7040364&amp;Result=3","7040364")</f>
        <v>0</v>
      </c>
      <c r="B6286" t="s">
        <v>1957</v>
      </c>
      <c r="C6286" t="s">
        <v>9206</v>
      </c>
      <c r="E6286" t="s">
        <v>23710</v>
      </c>
      <c r="F6286" t="s">
        <v>31574</v>
      </c>
      <c r="G6286" t="s">
        <v>31582</v>
      </c>
      <c r="H6286" t="s">
        <v>31590</v>
      </c>
      <c r="I6286" t="s">
        <v>31614</v>
      </c>
      <c r="J6286" t="s">
        <v>31771</v>
      </c>
      <c r="K6286" t="s">
        <v>41184</v>
      </c>
      <c r="M6286" t="s">
        <v>43614</v>
      </c>
      <c r="N6286" t="s">
        <v>45095</v>
      </c>
      <c r="O6286" t="s">
        <v>45096</v>
      </c>
      <c r="P6286">
        <v>0</v>
      </c>
      <c r="Q6286">
        <v>2</v>
      </c>
      <c r="R6286" t="s">
        <v>45102</v>
      </c>
      <c r="S6286" t="s">
        <v>45242</v>
      </c>
      <c r="T6286" t="s">
        <v>47166</v>
      </c>
      <c r="U6286" t="s">
        <v>52733</v>
      </c>
      <c r="W6286" t="s">
        <v>43614</v>
      </c>
      <c r="X6286" t="s">
        <v>45103</v>
      </c>
    </row>
    <row r="6287" spans="1:24">
      <c r="A6287">
        <f>HYPERLINK("https://www.philgeps.gov.ph/GEPSNONPILOT/Tender/SplashBidNoticeAbstractUI.aspx?menuIndex=3&amp;refID=7040423&amp;Result=3","7040423")</f>
        <v>0</v>
      </c>
      <c r="B6287" t="s">
        <v>1944</v>
      </c>
      <c r="C6287" t="s">
        <v>9207</v>
      </c>
      <c r="D6287" t="s">
        <v>18043</v>
      </c>
      <c r="E6287" t="s">
        <v>19368</v>
      </c>
      <c r="F6287" t="s">
        <v>31574</v>
      </c>
      <c r="G6287" t="s">
        <v>31582</v>
      </c>
      <c r="H6287" t="s">
        <v>31590</v>
      </c>
      <c r="I6287" t="s">
        <v>4046</v>
      </c>
      <c r="J6287" t="s">
        <v>35768</v>
      </c>
      <c r="K6287" t="s">
        <v>41196</v>
      </c>
      <c r="M6287" t="s">
        <v>43599</v>
      </c>
      <c r="N6287" t="s">
        <v>45095</v>
      </c>
      <c r="O6287" t="s">
        <v>45096</v>
      </c>
      <c r="P6287">
        <v>0</v>
      </c>
      <c r="Q6287">
        <v>0</v>
      </c>
      <c r="R6287" t="s">
        <v>45102</v>
      </c>
      <c r="S6287" t="s">
        <v>45242</v>
      </c>
      <c r="T6287" t="s">
        <v>46986</v>
      </c>
      <c r="U6287" t="s">
        <v>52734</v>
      </c>
      <c r="W6287" t="s">
        <v>43599</v>
      </c>
      <c r="X6287" t="s">
        <v>45103</v>
      </c>
    </row>
    <row r="6288" spans="1:24">
      <c r="A6288">
        <f>HYPERLINK("https://www.philgeps.gov.ph/GEPSNONPILOT/Tender/SplashBidNoticeAbstractUI.aspx?menuIndex=3&amp;refID=7040419&amp;Result=3","7040419")</f>
        <v>0</v>
      </c>
      <c r="B6288" t="s">
        <v>1958</v>
      </c>
      <c r="C6288" t="s">
        <v>9208</v>
      </c>
      <c r="D6288" t="s">
        <v>18039</v>
      </c>
      <c r="E6288" t="s">
        <v>23711</v>
      </c>
      <c r="F6288" t="s">
        <v>31574</v>
      </c>
      <c r="G6288" t="s">
        <v>31581</v>
      </c>
      <c r="H6288" t="s">
        <v>31590</v>
      </c>
      <c r="I6288" t="s">
        <v>8822</v>
      </c>
      <c r="J6288" t="s">
        <v>35769</v>
      </c>
      <c r="K6288" t="s">
        <v>41196</v>
      </c>
      <c r="M6288" t="s">
        <v>43615</v>
      </c>
      <c r="N6288" t="s">
        <v>45095</v>
      </c>
      <c r="O6288" t="s">
        <v>45096</v>
      </c>
      <c r="P6288">
        <v>0</v>
      </c>
      <c r="Q6288">
        <v>1</v>
      </c>
      <c r="R6288" t="s">
        <v>45102</v>
      </c>
      <c r="S6288" t="s">
        <v>45242</v>
      </c>
      <c r="T6288" t="s">
        <v>46918</v>
      </c>
      <c r="U6288" t="s">
        <v>52735</v>
      </c>
      <c r="W6288" t="s">
        <v>61723</v>
      </c>
      <c r="X6288" t="s">
        <v>45103</v>
      </c>
    </row>
    <row r="6289" spans="1:24">
      <c r="A6289">
        <f>HYPERLINK("https://www.philgeps.gov.ph/GEPSNONPILOT/Tender/SplashBidNoticeAbstractUI.aspx?menuIndex=3&amp;refID=7040414&amp;Result=3","7040414")</f>
        <v>0</v>
      </c>
      <c r="B6289" t="s">
        <v>1954</v>
      </c>
      <c r="C6289" t="s">
        <v>9209</v>
      </c>
      <c r="D6289" t="s">
        <v>18065</v>
      </c>
      <c r="E6289" t="s">
        <v>22496</v>
      </c>
      <c r="F6289" t="s">
        <v>31574</v>
      </c>
      <c r="G6289" t="s">
        <v>31581</v>
      </c>
      <c r="H6289" t="s">
        <v>31590</v>
      </c>
      <c r="I6289" t="s">
        <v>31602</v>
      </c>
      <c r="J6289" t="s">
        <v>31789</v>
      </c>
      <c r="K6289" t="s">
        <v>41190</v>
      </c>
      <c r="M6289" t="s">
        <v>43610</v>
      </c>
      <c r="N6289" t="s">
        <v>45095</v>
      </c>
      <c r="O6289" t="s">
        <v>45096</v>
      </c>
      <c r="P6289">
        <v>0</v>
      </c>
      <c r="Q6289">
        <v>0</v>
      </c>
      <c r="R6289" t="s">
        <v>45102</v>
      </c>
      <c r="S6289" t="s">
        <v>45242</v>
      </c>
      <c r="T6289" t="s">
        <v>47154</v>
      </c>
      <c r="U6289" t="s">
        <v>52736</v>
      </c>
      <c r="W6289" t="s">
        <v>43610</v>
      </c>
      <c r="X6289" t="s">
        <v>45103</v>
      </c>
    </row>
    <row r="6290" spans="1:24">
      <c r="A6290">
        <f>HYPERLINK("https://www.philgeps.gov.ph/GEPSNONPILOT/Tender/SplashBidNoticeAbstractUI.aspx?menuIndex=3&amp;refID=7040402&amp;Result=3","7040402")</f>
        <v>0</v>
      </c>
      <c r="B6290" t="s">
        <v>600</v>
      </c>
      <c r="C6290" t="s">
        <v>9210</v>
      </c>
      <c r="D6290" t="s">
        <v>18064</v>
      </c>
      <c r="E6290" t="s">
        <v>23712</v>
      </c>
      <c r="F6290" t="s">
        <v>31574</v>
      </c>
      <c r="G6290" t="s">
        <v>31582</v>
      </c>
      <c r="H6290" t="s">
        <v>31591</v>
      </c>
      <c r="I6290" t="s">
        <v>8822</v>
      </c>
      <c r="J6290" t="s">
        <v>31935</v>
      </c>
      <c r="K6290" t="s">
        <v>41189</v>
      </c>
      <c r="M6290" t="s">
        <v>42103</v>
      </c>
      <c r="N6290" t="s">
        <v>45095</v>
      </c>
      <c r="O6290" t="s">
        <v>45096</v>
      </c>
      <c r="P6290">
        <v>0</v>
      </c>
      <c r="Q6290">
        <v>1</v>
      </c>
      <c r="R6290" t="s">
        <v>45102</v>
      </c>
      <c r="S6290" t="s">
        <v>45242</v>
      </c>
      <c r="T6290" t="s">
        <v>47198</v>
      </c>
      <c r="U6290" t="s">
        <v>52737</v>
      </c>
      <c r="W6290" t="s">
        <v>42103</v>
      </c>
      <c r="X6290" t="s">
        <v>45103</v>
      </c>
    </row>
    <row r="6291" spans="1:24">
      <c r="A6291">
        <f>HYPERLINK("https://www.philgeps.gov.ph/GEPSNONPILOT/Tender/SplashBidNoticeAbstractUI.aspx?menuIndex=3&amp;refID=7040395&amp;Result=3","7040395")</f>
        <v>0</v>
      </c>
      <c r="B6291" t="s">
        <v>1893</v>
      </c>
      <c r="C6291" t="s">
        <v>9211</v>
      </c>
      <c r="E6291" t="s">
        <v>23713</v>
      </c>
      <c r="F6291" t="s">
        <v>31574</v>
      </c>
      <c r="G6291" t="s">
        <v>31582</v>
      </c>
      <c r="H6291" t="s">
        <v>31590</v>
      </c>
      <c r="I6291" t="s">
        <v>4046</v>
      </c>
      <c r="J6291" t="s">
        <v>35770</v>
      </c>
      <c r="K6291" t="s">
        <v>41190</v>
      </c>
      <c r="M6291" t="s">
        <v>43536</v>
      </c>
      <c r="N6291" t="s">
        <v>45095</v>
      </c>
      <c r="O6291" t="s">
        <v>45096</v>
      </c>
      <c r="P6291">
        <v>0</v>
      </c>
      <c r="Q6291">
        <v>1</v>
      </c>
      <c r="R6291" t="s">
        <v>45102</v>
      </c>
      <c r="S6291" t="s">
        <v>45242</v>
      </c>
      <c r="T6291" t="s">
        <v>46965</v>
      </c>
      <c r="U6291" t="s">
        <v>52738</v>
      </c>
      <c r="W6291" t="s">
        <v>43536</v>
      </c>
      <c r="X6291" t="s">
        <v>45103</v>
      </c>
    </row>
    <row r="6292" spans="1:24">
      <c r="A6292">
        <f>HYPERLINK("https://www.philgeps.gov.ph/GEPSNONPILOT/Tender/SplashBidNoticeAbstractUI.aspx?menuIndex=3&amp;refID=7040391&amp;Result=3","7040391")</f>
        <v>0</v>
      </c>
      <c r="B6292" t="s">
        <v>827</v>
      </c>
      <c r="C6292" t="s">
        <v>9212</v>
      </c>
      <c r="D6292" t="s">
        <v>18037</v>
      </c>
      <c r="E6292" t="s">
        <v>23714</v>
      </c>
      <c r="F6292" t="s">
        <v>31574</v>
      </c>
      <c r="G6292" t="s">
        <v>31582</v>
      </c>
      <c r="H6292" t="s">
        <v>31590</v>
      </c>
      <c r="I6292" t="s">
        <v>31645</v>
      </c>
      <c r="J6292" t="s">
        <v>35771</v>
      </c>
      <c r="K6292" t="s">
        <v>41206</v>
      </c>
      <c r="M6292" t="s">
        <v>42346</v>
      </c>
      <c r="N6292" t="s">
        <v>45095</v>
      </c>
      <c r="O6292" t="s">
        <v>45096</v>
      </c>
      <c r="P6292">
        <v>0</v>
      </c>
      <c r="Q6292">
        <v>6</v>
      </c>
      <c r="R6292" t="s">
        <v>45102</v>
      </c>
      <c r="S6292" t="s">
        <v>45242</v>
      </c>
      <c r="T6292" t="s">
        <v>47198</v>
      </c>
      <c r="U6292" t="s">
        <v>52739</v>
      </c>
      <c r="W6292" t="s">
        <v>42346</v>
      </c>
      <c r="X6292" t="s">
        <v>45103</v>
      </c>
    </row>
    <row r="6293" spans="1:24">
      <c r="A6293">
        <f>HYPERLINK("https://www.philgeps.gov.ph/GEPSNONPILOT/Tender/SplashBidNoticeAbstractUI.aspx?menuIndex=3&amp;refID=7040421&amp;Result=3","7040421")</f>
        <v>0</v>
      </c>
      <c r="B6293" t="s">
        <v>818</v>
      </c>
      <c r="C6293" t="s">
        <v>9213</v>
      </c>
      <c r="D6293" t="s">
        <v>18079</v>
      </c>
      <c r="E6293" t="s">
        <v>23715</v>
      </c>
      <c r="F6293" t="s">
        <v>31574</v>
      </c>
      <c r="G6293" t="s">
        <v>31585</v>
      </c>
      <c r="H6293" t="s">
        <v>31590</v>
      </c>
      <c r="I6293" t="s">
        <v>7185</v>
      </c>
      <c r="J6293" t="s">
        <v>35772</v>
      </c>
      <c r="K6293" t="s">
        <v>41196</v>
      </c>
      <c r="M6293" t="s">
        <v>43613</v>
      </c>
      <c r="N6293" t="s">
        <v>45095</v>
      </c>
      <c r="O6293" t="s">
        <v>45096</v>
      </c>
      <c r="P6293">
        <v>0</v>
      </c>
      <c r="Q6293">
        <v>3</v>
      </c>
      <c r="R6293" t="s">
        <v>45102</v>
      </c>
      <c r="S6293" t="s">
        <v>45242</v>
      </c>
      <c r="T6293" t="s">
        <v>46957</v>
      </c>
      <c r="U6293" t="s">
        <v>52740</v>
      </c>
      <c r="V6293" t="s">
        <v>60517</v>
      </c>
      <c r="W6293" t="s">
        <v>43613</v>
      </c>
      <c r="X6293" t="s">
        <v>45103</v>
      </c>
    </row>
    <row r="6294" spans="1:24">
      <c r="A6294">
        <f>HYPERLINK("https://www.philgeps.gov.ph/GEPSNONPILOT/Tender/SplashBidNoticeAbstractUI.aspx?menuIndex=3&amp;refID=7040383&amp;Result=3","7040383")</f>
        <v>0</v>
      </c>
      <c r="B6294" t="s">
        <v>1957</v>
      </c>
      <c r="C6294" t="s">
        <v>9214</v>
      </c>
      <c r="E6294" t="s">
        <v>23716</v>
      </c>
      <c r="F6294" t="s">
        <v>31574</v>
      </c>
      <c r="G6294" t="s">
        <v>31582</v>
      </c>
      <c r="H6294" t="s">
        <v>31591</v>
      </c>
      <c r="I6294" t="s">
        <v>8822</v>
      </c>
      <c r="J6294" t="s">
        <v>32019</v>
      </c>
      <c r="K6294" t="s">
        <v>41184</v>
      </c>
      <c r="M6294" t="s">
        <v>43614</v>
      </c>
      <c r="N6294" t="s">
        <v>45095</v>
      </c>
      <c r="O6294" t="s">
        <v>45096</v>
      </c>
      <c r="P6294">
        <v>0</v>
      </c>
      <c r="Q6294">
        <v>0</v>
      </c>
      <c r="R6294" t="s">
        <v>45102</v>
      </c>
      <c r="S6294" t="s">
        <v>45242</v>
      </c>
      <c r="T6294" t="s">
        <v>47188</v>
      </c>
      <c r="U6294" t="s">
        <v>52741</v>
      </c>
      <c r="W6294" t="s">
        <v>43614</v>
      </c>
      <c r="X6294" t="s">
        <v>45103</v>
      </c>
    </row>
    <row r="6295" spans="1:24">
      <c r="A6295">
        <f>HYPERLINK("https://www.philgeps.gov.ph/GEPSNONPILOT/Tender/SplashBidNoticeAbstractUI.aspx?menuIndex=3&amp;refID=7040382&amp;Result=3","7040382")</f>
        <v>0</v>
      </c>
      <c r="B6295" t="s">
        <v>1887</v>
      </c>
      <c r="C6295" t="s">
        <v>9215</v>
      </c>
      <c r="D6295" t="s">
        <v>18022</v>
      </c>
      <c r="E6295" t="s">
        <v>23717</v>
      </c>
      <c r="F6295" t="s">
        <v>31574</v>
      </c>
      <c r="G6295" t="s">
        <v>31582</v>
      </c>
      <c r="H6295" t="s">
        <v>31590</v>
      </c>
      <c r="I6295" t="s">
        <v>4327</v>
      </c>
      <c r="J6295" t="s">
        <v>35773</v>
      </c>
      <c r="K6295" t="s">
        <v>41184</v>
      </c>
      <c r="M6295" t="s">
        <v>43606</v>
      </c>
      <c r="N6295" t="s">
        <v>45095</v>
      </c>
      <c r="O6295" t="s">
        <v>45096</v>
      </c>
      <c r="P6295">
        <v>0</v>
      </c>
      <c r="Q6295">
        <v>14</v>
      </c>
      <c r="R6295" t="s">
        <v>45102</v>
      </c>
      <c r="S6295" t="s">
        <v>45242</v>
      </c>
      <c r="T6295" t="s">
        <v>47100</v>
      </c>
      <c r="U6295" t="s">
        <v>52742</v>
      </c>
      <c r="V6295" t="s">
        <v>60515</v>
      </c>
      <c r="W6295" t="s">
        <v>43606</v>
      </c>
      <c r="X6295" t="s">
        <v>45103</v>
      </c>
    </row>
    <row r="6296" spans="1:24">
      <c r="A6296">
        <f>HYPERLINK("https://www.philgeps.gov.ph/GEPSNONPILOT/Tender/SplashBidNoticeAbstractUI.aspx?menuIndex=3&amp;refID=7040416&amp;Result=3","7040416")</f>
        <v>0</v>
      </c>
      <c r="B6296" t="s">
        <v>1959</v>
      </c>
      <c r="C6296" t="s">
        <v>9216</v>
      </c>
      <c r="D6296" t="s">
        <v>18022</v>
      </c>
      <c r="E6296" t="s">
        <v>20329</v>
      </c>
      <c r="F6296" t="s">
        <v>31574</v>
      </c>
      <c r="G6296" t="s">
        <v>31581</v>
      </c>
      <c r="H6296" t="s">
        <v>31590</v>
      </c>
      <c r="I6296" t="s">
        <v>8569</v>
      </c>
      <c r="J6296" t="s">
        <v>31726</v>
      </c>
      <c r="K6296" t="s">
        <v>41193</v>
      </c>
      <c r="M6296" t="s">
        <v>43616</v>
      </c>
      <c r="N6296" t="s">
        <v>45095</v>
      </c>
      <c r="O6296" t="s">
        <v>45096</v>
      </c>
      <c r="P6296">
        <v>0</v>
      </c>
      <c r="Q6296">
        <v>2</v>
      </c>
      <c r="R6296" t="s">
        <v>45102</v>
      </c>
      <c r="S6296" t="s">
        <v>45242</v>
      </c>
      <c r="T6296" t="s">
        <v>47083</v>
      </c>
      <c r="U6296" t="s">
        <v>52743</v>
      </c>
      <c r="W6296" t="s">
        <v>43616</v>
      </c>
      <c r="X6296" t="s">
        <v>45103</v>
      </c>
    </row>
    <row r="6297" spans="1:24">
      <c r="A6297">
        <f>HYPERLINK("https://www.philgeps.gov.ph/GEPSNONPILOT/Tender/SplashBidNoticeAbstractUI.aspx?menuIndex=3&amp;refID=7040425&amp;Result=3","7040425")</f>
        <v>0</v>
      </c>
      <c r="B6297" t="s">
        <v>1960</v>
      </c>
      <c r="C6297" t="s">
        <v>9217</v>
      </c>
      <c r="D6297" t="s">
        <v>18037</v>
      </c>
      <c r="E6297" t="s">
        <v>23718</v>
      </c>
      <c r="F6297" t="s">
        <v>31575</v>
      </c>
      <c r="G6297" t="s">
        <v>31581</v>
      </c>
      <c r="H6297" t="s">
        <v>31590</v>
      </c>
      <c r="I6297" t="s">
        <v>31690</v>
      </c>
      <c r="J6297" t="s">
        <v>32214</v>
      </c>
      <c r="K6297" t="s">
        <v>41186</v>
      </c>
      <c r="M6297" t="s">
        <v>43617</v>
      </c>
      <c r="N6297" t="s">
        <v>45095</v>
      </c>
      <c r="O6297" t="s">
        <v>45096</v>
      </c>
      <c r="P6297">
        <v>0</v>
      </c>
      <c r="Q6297">
        <v>3</v>
      </c>
      <c r="R6297" t="s">
        <v>45102</v>
      </c>
      <c r="S6297" t="s">
        <v>45242</v>
      </c>
      <c r="T6297" t="s">
        <v>46969</v>
      </c>
      <c r="U6297" t="s">
        <v>52744</v>
      </c>
      <c r="W6297" t="s">
        <v>43617</v>
      </c>
      <c r="X6297" t="s">
        <v>45103</v>
      </c>
    </row>
    <row r="6298" spans="1:24">
      <c r="A6298">
        <f>HYPERLINK("https://www.philgeps.gov.ph/GEPSNONPILOT/Tender/SplashBidNoticeAbstractUI.aspx?menuIndex=3&amp;refID=7040385&amp;Result=3","7040385")</f>
        <v>0</v>
      </c>
      <c r="B6298" t="s">
        <v>1930</v>
      </c>
      <c r="C6298" t="s">
        <v>9218</v>
      </c>
      <c r="D6298" t="s">
        <v>18090</v>
      </c>
      <c r="E6298" t="s">
        <v>23719</v>
      </c>
      <c r="F6298" t="s">
        <v>31574</v>
      </c>
      <c r="G6298" t="s">
        <v>31582</v>
      </c>
      <c r="H6298" t="s">
        <v>31591</v>
      </c>
      <c r="I6298" t="s">
        <v>8822</v>
      </c>
      <c r="J6298" t="s">
        <v>35774</v>
      </c>
      <c r="K6298" t="s">
        <v>41239</v>
      </c>
      <c r="L6298" t="s">
        <v>1930</v>
      </c>
      <c r="M6298" t="s">
        <v>43584</v>
      </c>
      <c r="N6298" t="s">
        <v>45095</v>
      </c>
      <c r="O6298" t="s">
        <v>45096</v>
      </c>
      <c r="P6298">
        <v>0</v>
      </c>
      <c r="Q6298">
        <v>0</v>
      </c>
      <c r="R6298" t="s">
        <v>45102</v>
      </c>
      <c r="S6298" t="s">
        <v>45242</v>
      </c>
      <c r="T6298" t="s">
        <v>46992</v>
      </c>
      <c r="U6298" t="s">
        <v>52745</v>
      </c>
      <c r="W6298" t="s">
        <v>43584</v>
      </c>
      <c r="X6298" t="s">
        <v>45103</v>
      </c>
    </row>
    <row r="6299" spans="1:24">
      <c r="A6299">
        <f>HYPERLINK("https://www.philgeps.gov.ph/GEPSNONPILOT/Tender/SplashBidNoticeAbstractUI.aspx?menuIndex=3&amp;refID=7040413&amp;Result=3","7040413")</f>
        <v>0</v>
      </c>
      <c r="B6299" t="s">
        <v>1961</v>
      </c>
      <c r="C6299" t="s">
        <v>9219</v>
      </c>
      <c r="D6299" t="s">
        <v>18033</v>
      </c>
      <c r="E6299" t="s">
        <v>23720</v>
      </c>
      <c r="F6299" t="s">
        <v>31574</v>
      </c>
      <c r="G6299" t="s">
        <v>31582</v>
      </c>
      <c r="H6299" t="s">
        <v>31591</v>
      </c>
      <c r="I6299" t="s">
        <v>31638</v>
      </c>
      <c r="J6299" t="s">
        <v>35775</v>
      </c>
      <c r="K6299" t="s">
        <v>41200</v>
      </c>
      <c r="M6299" t="s">
        <v>43618</v>
      </c>
      <c r="N6299" t="s">
        <v>45095</v>
      </c>
      <c r="O6299" t="s">
        <v>45096</v>
      </c>
      <c r="P6299">
        <v>0</v>
      </c>
      <c r="Q6299">
        <v>9</v>
      </c>
      <c r="R6299" t="s">
        <v>45102</v>
      </c>
      <c r="S6299" t="s">
        <v>45242</v>
      </c>
      <c r="T6299" t="s">
        <v>47004</v>
      </c>
      <c r="U6299" t="s">
        <v>52746</v>
      </c>
      <c r="V6299" t="s">
        <v>60518</v>
      </c>
      <c r="W6299" t="s">
        <v>43618</v>
      </c>
      <c r="X6299" t="s">
        <v>45103</v>
      </c>
    </row>
    <row r="6300" spans="1:24">
      <c r="A6300">
        <f>HYPERLINK("https://www.philgeps.gov.ph/GEPSNONPILOT/Tender/SplashBidNoticeAbstractUI.aspx?menuIndex=3&amp;refID=7040448&amp;Result=3","7040448")</f>
        <v>0</v>
      </c>
      <c r="B6300" t="s">
        <v>725</v>
      </c>
      <c r="C6300" t="s">
        <v>9220</v>
      </c>
      <c r="D6300" t="s">
        <v>18092</v>
      </c>
      <c r="E6300" t="s">
        <v>23721</v>
      </c>
      <c r="F6300" t="s">
        <v>31574</v>
      </c>
      <c r="G6300" t="s">
        <v>31582</v>
      </c>
      <c r="H6300" t="s">
        <v>31590</v>
      </c>
      <c r="I6300" t="s">
        <v>31612</v>
      </c>
      <c r="J6300" t="s">
        <v>32809</v>
      </c>
      <c r="K6300" t="s">
        <v>41193</v>
      </c>
      <c r="M6300" t="s">
        <v>42235</v>
      </c>
      <c r="N6300" t="s">
        <v>45095</v>
      </c>
      <c r="O6300" t="s">
        <v>45096</v>
      </c>
      <c r="P6300">
        <v>0</v>
      </c>
      <c r="Q6300">
        <v>0</v>
      </c>
      <c r="R6300" t="s">
        <v>45102</v>
      </c>
      <c r="S6300" t="s">
        <v>45242</v>
      </c>
      <c r="T6300" t="s">
        <v>46932</v>
      </c>
      <c r="U6300" t="s">
        <v>52747</v>
      </c>
      <c r="V6300" t="s">
        <v>60519</v>
      </c>
      <c r="W6300" t="s">
        <v>42235</v>
      </c>
      <c r="X6300" t="s">
        <v>45103</v>
      </c>
    </row>
    <row r="6301" spans="1:24">
      <c r="A6301">
        <f>HYPERLINK("https://www.philgeps.gov.ph/GEPSNONPILOT/Tender/SplashBidNoticeAbstractUI.aspx?menuIndex=3&amp;refID=7040447&amp;Result=3","7040447")</f>
        <v>0</v>
      </c>
      <c r="B6301" t="s">
        <v>1962</v>
      </c>
      <c r="C6301" t="s">
        <v>9221</v>
      </c>
      <c r="D6301" t="s">
        <v>18058</v>
      </c>
      <c r="E6301" t="s">
        <v>23722</v>
      </c>
      <c r="F6301" t="s">
        <v>31574</v>
      </c>
      <c r="G6301" t="s">
        <v>31582</v>
      </c>
      <c r="H6301" t="s">
        <v>31591</v>
      </c>
      <c r="I6301" t="s">
        <v>7162</v>
      </c>
      <c r="J6301" t="s">
        <v>35776</v>
      </c>
      <c r="K6301" t="s">
        <v>41200</v>
      </c>
      <c r="M6301" t="s">
        <v>43619</v>
      </c>
      <c r="N6301" t="s">
        <v>45095</v>
      </c>
      <c r="O6301" t="s">
        <v>45096</v>
      </c>
      <c r="P6301">
        <v>0</v>
      </c>
      <c r="Q6301">
        <v>1</v>
      </c>
      <c r="R6301" t="s">
        <v>45102</v>
      </c>
      <c r="S6301" t="s">
        <v>45242</v>
      </c>
      <c r="T6301" t="s">
        <v>47263</v>
      </c>
      <c r="U6301" t="s">
        <v>52748</v>
      </c>
      <c r="W6301" t="s">
        <v>43619</v>
      </c>
      <c r="X6301" t="s">
        <v>45103</v>
      </c>
    </row>
    <row r="6302" spans="1:24">
      <c r="A6302">
        <f>HYPERLINK("https://www.philgeps.gov.ph/GEPSNONPILOT/Tender/SplashBidNoticeAbstractUI.aspx?menuIndex=3&amp;refID=7040460&amp;Result=3","7040460")</f>
        <v>0</v>
      </c>
      <c r="B6302" t="s">
        <v>1963</v>
      </c>
      <c r="C6302" t="s">
        <v>9222</v>
      </c>
      <c r="D6302" t="s">
        <v>18070</v>
      </c>
      <c r="E6302" t="s">
        <v>23723</v>
      </c>
      <c r="F6302" t="s">
        <v>31574</v>
      </c>
      <c r="G6302" t="s">
        <v>31583</v>
      </c>
      <c r="H6302" t="s">
        <v>31590</v>
      </c>
      <c r="I6302" t="s">
        <v>31607</v>
      </c>
      <c r="J6302" t="s">
        <v>35777</v>
      </c>
      <c r="K6302" t="s">
        <v>41193</v>
      </c>
      <c r="M6302" t="s">
        <v>43620</v>
      </c>
      <c r="N6302" t="s">
        <v>45095</v>
      </c>
      <c r="O6302" t="s">
        <v>45096</v>
      </c>
      <c r="P6302">
        <v>0</v>
      </c>
      <c r="Q6302">
        <v>6</v>
      </c>
      <c r="R6302" t="s">
        <v>45102</v>
      </c>
      <c r="S6302" t="s">
        <v>45242</v>
      </c>
      <c r="T6302" t="s">
        <v>47076</v>
      </c>
      <c r="U6302" t="s">
        <v>52749</v>
      </c>
      <c r="W6302" t="s">
        <v>43620</v>
      </c>
      <c r="X6302" t="s">
        <v>45103</v>
      </c>
    </row>
    <row r="6303" spans="1:24">
      <c r="A6303">
        <f>HYPERLINK("https://www.philgeps.gov.ph/GEPSNONPILOT/Tender/SplashBidNoticeAbstractUI.aspx?menuIndex=3&amp;refID=7040412&amp;Result=3","7040412")</f>
        <v>0</v>
      </c>
      <c r="B6303" t="s">
        <v>1946</v>
      </c>
      <c r="C6303" t="s">
        <v>9223</v>
      </c>
      <c r="D6303" t="s">
        <v>18081</v>
      </c>
      <c r="E6303" t="s">
        <v>23724</v>
      </c>
      <c r="F6303" t="s">
        <v>31574</v>
      </c>
      <c r="G6303" t="s">
        <v>31581</v>
      </c>
      <c r="H6303" t="s">
        <v>31590</v>
      </c>
      <c r="I6303" t="s">
        <v>31607</v>
      </c>
      <c r="J6303" t="s">
        <v>31782</v>
      </c>
      <c r="K6303" t="s">
        <v>41196</v>
      </c>
      <c r="M6303" t="s">
        <v>43601</v>
      </c>
      <c r="N6303" t="s">
        <v>45095</v>
      </c>
      <c r="O6303" t="s">
        <v>45096</v>
      </c>
      <c r="P6303">
        <v>0</v>
      </c>
      <c r="Q6303">
        <v>3</v>
      </c>
      <c r="R6303" t="s">
        <v>45102</v>
      </c>
      <c r="S6303" t="s">
        <v>45242</v>
      </c>
      <c r="T6303" t="s">
        <v>47064</v>
      </c>
      <c r="U6303" t="s">
        <v>52750</v>
      </c>
      <c r="W6303" t="s">
        <v>43601</v>
      </c>
      <c r="X6303" t="s">
        <v>45103</v>
      </c>
    </row>
    <row r="6304" spans="1:24">
      <c r="A6304">
        <f>HYPERLINK("https://www.philgeps.gov.ph/GEPSNONPILOT/Tender/SplashBidNoticeAbstractUI.aspx?menuIndex=3&amp;refID=7040411&amp;Result=3","7040411")</f>
        <v>0</v>
      </c>
      <c r="B6304" t="s">
        <v>838</v>
      </c>
      <c r="C6304" t="s">
        <v>9224</v>
      </c>
      <c r="D6304" t="s">
        <v>18059</v>
      </c>
      <c r="E6304" t="s">
        <v>23725</v>
      </c>
      <c r="F6304" t="s">
        <v>31574</v>
      </c>
      <c r="G6304" t="s">
        <v>31582</v>
      </c>
      <c r="H6304" t="s">
        <v>31591</v>
      </c>
      <c r="I6304" t="s">
        <v>8822</v>
      </c>
      <c r="J6304" t="s">
        <v>31730</v>
      </c>
      <c r="K6304" t="s">
        <v>41189</v>
      </c>
      <c r="M6304" t="s">
        <v>42357</v>
      </c>
      <c r="N6304" t="s">
        <v>45095</v>
      </c>
      <c r="O6304" t="s">
        <v>45096</v>
      </c>
      <c r="P6304">
        <v>0</v>
      </c>
      <c r="Q6304">
        <v>0</v>
      </c>
      <c r="R6304" t="s">
        <v>45102</v>
      </c>
      <c r="S6304" t="s">
        <v>45242</v>
      </c>
      <c r="T6304" t="s">
        <v>47004</v>
      </c>
      <c r="U6304" t="s">
        <v>52751</v>
      </c>
      <c r="W6304" t="s">
        <v>42357</v>
      </c>
      <c r="X6304" t="s">
        <v>45103</v>
      </c>
    </row>
    <row r="6305" spans="1:24">
      <c r="A6305">
        <f>HYPERLINK("https://www.philgeps.gov.ph/GEPSNONPILOT/Tender/SplashBidNoticeAbstractUI.aspx?menuIndex=3&amp;refID=7040458&amp;Result=3","7040458")</f>
        <v>0</v>
      </c>
      <c r="B6305" t="s">
        <v>1961</v>
      </c>
      <c r="C6305" t="s">
        <v>9225</v>
      </c>
      <c r="D6305" t="s">
        <v>18033</v>
      </c>
      <c r="E6305" t="s">
        <v>23726</v>
      </c>
      <c r="F6305" t="s">
        <v>31574</v>
      </c>
      <c r="G6305" t="s">
        <v>31582</v>
      </c>
      <c r="H6305" t="s">
        <v>31591</v>
      </c>
      <c r="I6305" t="s">
        <v>31638</v>
      </c>
      <c r="J6305" t="s">
        <v>35778</v>
      </c>
      <c r="K6305" t="s">
        <v>41200</v>
      </c>
      <c r="M6305" t="s">
        <v>43618</v>
      </c>
      <c r="N6305" t="s">
        <v>45095</v>
      </c>
      <c r="O6305" t="s">
        <v>45096</v>
      </c>
      <c r="P6305">
        <v>0</v>
      </c>
      <c r="Q6305">
        <v>7</v>
      </c>
      <c r="R6305" t="s">
        <v>45102</v>
      </c>
      <c r="S6305" t="s">
        <v>45242</v>
      </c>
      <c r="T6305" t="s">
        <v>47004</v>
      </c>
      <c r="U6305" t="s">
        <v>52752</v>
      </c>
      <c r="V6305" t="s">
        <v>60518</v>
      </c>
      <c r="W6305" t="s">
        <v>43618</v>
      </c>
      <c r="X6305" t="s">
        <v>45103</v>
      </c>
    </row>
    <row r="6306" spans="1:24">
      <c r="A6306">
        <f>HYPERLINK("https://www.philgeps.gov.ph/GEPSNONPILOT/Tender/SplashBidNoticeAbstractUI.aspx?menuIndex=3&amp;refID=7040450&amp;Result=3","7040450")</f>
        <v>0</v>
      </c>
      <c r="B6306" t="s">
        <v>1964</v>
      </c>
      <c r="C6306" t="s">
        <v>9226</v>
      </c>
      <c r="D6306" t="s">
        <v>18035</v>
      </c>
      <c r="E6306" t="s">
        <v>23727</v>
      </c>
      <c r="F6306" t="s">
        <v>31574</v>
      </c>
      <c r="G6306" t="s">
        <v>31582</v>
      </c>
      <c r="H6306" t="s">
        <v>31591</v>
      </c>
      <c r="I6306" t="s">
        <v>8822</v>
      </c>
      <c r="J6306" t="s">
        <v>35779</v>
      </c>
      <c r="K6306" t="s">
        <v>41184</v>
      </c>
      <c r="M6306" t="s">
        <v>43621</v>
      </c>
      <c r="N6306" t="s">
        <v>45095</v>
      </c>
      <c r="O6306" t="s">
        <v>45096</v>
      </c>
      <c r="P6306">
        <v>0</v>
      </c>
      <c r="Q6306">
        <v>5</v>
      </c>
      <c r="R6306" t="s">
        <v>45102</v>
      </c>
      <c r="S6306" t="s">
        <v>45242</v>
      </c>
      <c r="T6306" t="s">
        <v>46957</v>
      </c>
      <c r="U6306" t="s">
        <v>52753</v>
      </c>
      <c r="V6306" t="s">
        <v>60520</v>
      </c>
      <c r="W6306" t="s">
        <v>43621</v>
      </c>
      <c r="X6306" t="s">
        <v>45103</v>
      </c>
    </row>
    <row r="6307" spans="1:24">
      <c r="A6307">
        <f>HYPERLINK("https://www.philgeps.gov.ph/GEPSNONPILOT/Tender/SplashBidNoticeAbstractUI.aspx?menuIndex=3&amp;refID=7040443&amp;Result=3","7040443")</f>
        <v>0</v>
      </c>
      <c r="B6307" t="s">
        <v>1965</v>
      </c>
      <c r="C6307" t="s">
        <v>9227</v>
      </c>
      <c r="D6307" t="s">
        <v>18022</v>
      </c>
      <c r="E6307" t="s">
        <v>23728</v>
      </c>
      <c r="F6307" t="s">
        <v>31574</v>
      </c>
      <c r="G6307" t="s">
        <v>31581</v>
      </c>
      <c r="H6307" t="s">
        <v>31590</v>
      </c>
      <c r="I6307" t="s">
        <v>4327</v>
      </c>
      <c r="J6307" t="s">
        <v>35780</v>
      </c>
      <c r="K6307" t="s">
        <v>41184</v>
      </c>
      <c r="M6307" t="s">
        <v>43622</v>
      </c>
      <c r="N6307" t="s">
        <v>45095</v>
      </c>
      <c r="O6307" t="s">
        <v>45096</v>
      </c>
      <c r="P6307">
        <v>0</v>
      </c>
      <c r="Q6307">
        <v>2</v>
      </c>
      <c r="R6307" t="s">
        <v>45102</v>
      </c>
      <c r="S6307" t="s">
        <v>45242</v>
      </c>
      <c r="T6307" t="s">
        <v>47177</v>
      </c>
      <c r="U6307" t="s">
        <v>52754</v>
      </c>
      <c r="W6307" t="s">
        <v>43622</v>
      </c>
      <c r="X6307" t="s">
        <v>45103</v>
      </c>
    </row>
    <row r="6308" spans="1:24">
      <c r="A6308">
        <f>HYPERLINK("https://www.philgeps.gov.ph/GEPSNONPILOT/Tender/SplashBidNoticeAbstractUI.aspx?menuIndex=3&amp;refID=7040455&amp;Result=3","7040455")</f>
        <v>0</v>
      </c>
      <c r="B6308" t="s">
        <v>1524</v>
      </c>
      <c r="C6308" t="s">
        <v>9228</v>
      </c>
      <c r="D6308" t="s">
        <v>18083</v>
      </c>
      <c r="E6308" t="s">
        <v>23729</v>
      </c>
      <c r="F6308" t="s">
        <v>31574</v>
      </c>
      <c r="G6308" t="s">
        <v>31582</v>
      </c>
      <c r="H6308" t="s">
        <v>31591</v>
      </c>
      <c r="I6308" t="s">
        <v>8822</v>
      </c>
      <c r="J6308" t="s">
        <v>35781</v>
      </c>
      <c r="K6308" t="s">
        <v>41345</v>
      </c>
      <c r="M6308" t="s">
        <v>43115</v>
      </c>
      <c r="N6308" t="s">
        <v>45095</v>
      </c>
      <c r="O6308" t="s">
        <v>45096</v>
      </c>
      <c r="P6308">
        <v>0</v>
      </c>
      <c r="Q6308">
        <v>0</v>
      </c>
      <c r="R6308" t="s">
        <v>45102</v>
      </c>
      <c r="S6308" t="s">
        <v>45242</v>
      </c>
      <c r="T6308" t="s">
        <v>46988</v>
      </c>
      <c r="U6308" t="s">
        <v>52755</v>
      </c>
      <c r="V6308" t="s">
        <v>60521</v>
      </c>
      <c r="W6308" t="s">
        <v>43115</v>
      </c>
      <c r="X6308" t="s">
        <v>45103</v>
      </c>
    </row>
    <row r="6309" spans="1:24">
      <c r="A6309">
        <f>HYPERLINK("https://www.philgeps.gov.ph/GEPSNONPILOT/Tender/SplashBidNoticeAbstractUI.aspx?menuIndex=3&amp;refID=7040444&amp;Result=3","7040444")</f>
        <v>0</v>
      </c>
      <c r="B6309" t="s">
        <v>1392</v>
      </c>
      <c r="C6309" t="s">
        <v>9229</v>
      </c>
      <c r="D6309" t="s">
        <v>18082</v>
      </c>
      <c r="E6309" t="s">
        <v>23730</v>
      </c>
      <c r="F6309" t="s">
        <v>31574</v>
      </c>
      <c r="G6309" t="s">
        <v>31581</v>
      </c>
      <c r="H6309" t="s">
        <v>31590</v>
      </c>
      <c r="I6309" t="s">
        <v>31713</v>
      </c>
      <c r="J6309" t="s">
        <v>35782</v>
      </c>
      <c r="K6309" t="s">
        <v>41244</v>
      </c>
      <c r="M6309" t="s">
        <v>42967</v>
      </c>
      <c r="N6309" t="s">
        <v>45095</v>
      </c>
      <c r="O6309" t="s">
        <v>45096</v>
      </c>
      <c r="P6309">
        <v>0</v>
      </c>
      <c r="Q6309">
        <v>1</v>
      </c>
      <c r="R6309" t="s">
        <v>45102</v>
      </c>
      <c r="S6309" t="s">
        <v>45242</v>
      </c>
      <c r="T6309" t="s">
        <v>47158</v>
      </c>
      <c r="U6309" t="s">
        <v>52756</v>
      </c>
      <c r="W6309" t="s">
        <v>42967</v>
      </c>
      <c r="X6309" t="s">
        <v>45103</v>
      </c>
    </row>
    <row r="6310" spans="1:24">
      <c r="A6310">
        <f>HYPERLINK("https://www.philgeps.gov.ph/GEPSNONPILOT/Tender/SplashBidNoticeAbstractUI.aspx?menuIndex=3&amp;refID=7040453&amp;Result=3","7040453")</f>
        <v>0</v>
      </c>
      <c r="B6310" t="s">
        <v>1966</v>
      </c>
      <c r="C6310" t="s">
        <v>9230</v>
      </c>
      <c r="D6310" t="s">
        <v>18066</v>
      </c>
      <c r="E6310" t="s">
        <v>23731</v>
      </c>
      <c r="F6310" t="s">
        <v>31574</v>
      </c>
      <c r="G6310" t="s">
        <v>31583</v>
      </c>
      <c r="H6310" t="s">
        <v>31590</v>
      </c>
      <c r="I6310" t="s">
        <v>31595</v>
      </c>
      <c r="J6310" t="s">
        <v>34518</v>
      </c>
      <c r="K6310" t="s">
        <v>41194</v>
      </c>
      <c r="M6310" t="s">
        <v>43623</v>
      </c>
      <c r="N6310" t="s">
        <v>45095</v>
      </c>
      <c r="O6310" t="s">
        <v>45096</v>
      </c>
      <c r="P6310">
        <v>0</v>
      </c>
      <c r="Q6310">
        <v>5</v>
      </c>
      <c r="R6310" t="s">
        <v>45102</v>
      </c>
      <c r="S6310" t="s">
        <v>45242</v>
      </c>
      <c r="T6310" t="s">
        <v>47067</v>
      </c>
      <c r="U6310" t="s">
        <v>52757</v>
      </c>
      <c r="W6310" t="s">
        <v>43623</v>
      </c>
      <c r="X6310" t="s">
        <v>45103</v>
      </c>
    </row>
    <row r="6311" spans="1:24">
      <c r="A6311">
        <f>HYPERLINK("https://www.philgeps.gov.ph/GEPSNONPILOT/Tender/SplashBidNoticeAbstractUI.aspx?menuIndex=3&amp;refID=7040442&amp;Result=3","7040442")</f>
        <v>0</v>
      </c>
      <c r="B6311" t="s">
        <v>1967</v>
      </c>
      <c r="C6311" t="s">
        <v>9231</v>
      </c>
      <c r="D6311" t="s">
        <v>18081</v>
      </c>
      <c r="E6311" t="s">
        <v>23732</v>
      </c>
      <c r="F6311" t="s">
        <v>31575</v>
      </c>
      <c r="G6311" t="s">
        <v>31582</v>
      </c>
      <c r="H6311" t="s">
        <v>31590</v>
      </c>
      <c r="I6311" t="s">
        <v>4046</v>
      </c>
      <c r="J6311" t="s">
        <v>35783</v>
      </c>
      <c r="K6311" t="s">
        <v>41196</v>
      </c>
      <c r="M6311" t="s">
        <v>43624</v>
      </c>
      <c r="N6311" t="s">
        <v>45095</v>
      </c>
      <c r="O6311" t="s">
        <v>45096</v>
      </c>
      <c r="P6311">
        <v>0</v>
      </c>
      <c r="Q6311">
        <v>0</v>
      </c>
      <c r="R6311" t="s">
        <v>45102</v>
      </c>
      <c r="S6311" t="s">
        <v>45242</v>
      </c>
      <c r="T6311" t="s">
        <v>46991</v>
      </c>
      <c r="U6311" t="s">
        <v>52758</v>
      </c>
      <c r="W6311" t="s">
        <v>43624</v>
      </c>
      <c r="X6311" t="s">
        <v>45103</v>
      </c>
    </row>
    <row r="6312" spans="1:24">
      <c r="A6312">
        <f>HYPERLINK("https://www.philgeps.gov.ph/GEPSNONPILOT/Tender/SplashBidNoticeAbstractUI.aspx?menuIndex=3&amp;refID=7040457&amp;Result=3","7040457")</f>
        <v>0</v>
      </c>
      <c r="B6312" t="s">
        <v>1968</v>
      </c>
      <c r="C6312" t="s">
        <v>9232</v>
      </c>
      <c r="D6312" t="s">
        <v>18041</v>
      </c>
      <c r="E6312" t="s">
        <v>23733</v>
      </c>
      <c r="F6312" t="s">
        <v>31574</v>
      </c>
      <c r="G6312" t="s">
        <v>31581</v>
      </c>
      <c r="H6312" t="s">
        <v>31590</v>
      </c>
      <c r="I6312" t="s">
        <v>31619</v>
      </c>
      <c r="J6312" t="s">
        <v>31931</v>
      </c>
      <c r="K6312" t="s">
        <v>41193</v>
      </c>
      <c r="M6312" t="s">
        <v>43625</v>
      </c>
      <c r="N6312" t="s">
        <v>45095</v>
      </c>
      <c r="O6312" t="s">
        <v>45096</v>
      </c>
      <c r="P6312">
        <v>0</v>
      </c>
      <c r="Q6312">
        <v>2</v>
      </c>
      <c r="R6312" t="s">
        <v>45102</v>
      </c>
      <c r="S6312" t="s">
        <v>45242</v>
      </c>
      <c r="T6312" t="s">
        <v>46957</v>
      </c>
      <c r="U6312" t="s">
        <v>52759</v>
      </c>
      <c r="V6312" t="s">
        <v>60522</v>
      </c>
      <c r="W6312" t="s">
        <v>43625</v>
      </c>
      <c r="X6312" t="s">
        <v>45103</v>
      </c>
    </row>
    <row r="6313" spans="1:24">
      <c r="A6313">
        <f>HYPERLINK("https://www.philgeps.gov.ph/GEPSNONPILOT/Tender/SplashBidNoticeAbstractUI.aspx?menuIndex=3&amp;refID=7040451&amp;Result=3","7040451")</f>
        <v>0</v>
      </c>
      <c r="B6313" t="s">
        <v>1969</v>
      </c>
      <c r="C6313" t="s">
        <v>9233</v>
      </c>
      <c r="D6313" t="s">
        <v>18071</v>
      </c>
      <c r="E6313" t="s">
        <v>23734</v>
      </c>
      <c r="F6313" t="s">
        <v>31574</v>
      </c>
      <c r="G6313" t="s">
        <v>31582</v>
      </c>
      <c r="H6313" t="s">
        <v>31590</v>
      </c>
      <c r="I6313" t="s">
        <v>3520</v>
      </c>
      <c r="J6313" t="s">
        <v>35784</v>
      </c>
      <c r="K6313" t="s">
        <v>41194</v>
      </c>
      <c r="M6313" t="s">
        <v>43626</v>
      </c>
      <c r="N6313" t="s">
        <v>45095</v>
      </c>
      <c r="O6313" t="s">
        <v>45096</v>
      </c>
      <c r="P6313">
        <v>0</v>
      </c>
      <c r="Q6313">
        <v>3</v>
      </c>
      <c r="R6313" t="s">
        <v>45102</v>
      </c>
      <c r="S6313" t="s">
        <v>45242</v>
      </c>
      <c r="T6313" t="s">
        <v>47021</v>
      </c>
      <c r="U6313" t="s">
        <v>52760</v>
      </c>
      <c r="V6313" t="s">
        <v>60523</v>
      </c>
      <c r="W6313" t="s">
        <v>43626</v>
      </c>
      <c r="X6313" t="s">
        <v>45103</v>
      </c>
    </row>
    <row r="6314" spans="1:24">
      <c r="A6314">
        <f>HYPERLINK("https://www.philgeps.gov.ph/GEPSNONPILOT/Tender/SplashBidNoticeAbstractUI.aspx?menuIndex=3&amp;refID=7040438&amp;Result=3","7040438")</f>
        <v>0</v>
      </c>
      <c r="B6314" t="s">
        <v>1954</v>
      </c>
      <c r="C6314" t="s">
        <v>9234</v>
      </c>
      <c r="D6314" t="s">
        <v>18065</v>
      </c>
      <c r="E6314" t="s">
        <v>22501</v>
      </c>
      <c r="F6314" t="s">
        <v>31574</v>
      </c>
      <c r="G6314" t="s">
        <v>31581</v>
      </c>
      <c r="H6314" t="s">
        <v>31590</v>
      </c>
      <c r="I6314" t="s">
        <v>8258</v>
      </c>
      <c r="J6314" t="s">
        <v>31964</v>
      </c>
      <c r="K6314" t="s">
        <v>41190</v>
      </c>
      <c r="M6314" t="s">
        <v>43610</v>
      </c>
      <c r="N6314" t="s">
        <v>45095</v>
      </c>
      <c r="O6314" t="s">
        <v>45096</v>
      </c>
      <c r="P6314">
        <v>0</v>
      </c>
      <c r="Q6314">
        <v>2</v>
      </c>
      <c r="R6314" t="s">
        <v>45102</v>
      </c>
      <c r="S6314" t="s">
        <v>45242</v>
      </c>
      <c r="T6314" t="s">
        <v>47154</v>
      </c>
      <c r="U6314" t="s">
        <v>52761</v>
      </c>
      <c r="W6314" t="s">
        <v>43610</v>
      </c>
      <c r="X6314" t="s">
        <v>45103</v>
      </c>
    </row>
    <row r="6315" spans="1:24">
      <c r="A6315">
        <f>HYPERLINK("https://www.philgeps.gov.ph/GEPSNONPILOT/Tender/SplashBidNoticeAbstractUI.aspx?menuIndex=3&amp;refID=7040379&amp;Result=3","7040379")</f>
        <v>0</v>
      </c>
      <c r="B6315" t="s">
        <v>757</v>
      </c>
      <c r="C6315" t="s">
        <v>9235</v>
      </c>
      <c r="D6315" t="s">
        <v>18095</v>
      </c>
      <c r="E6315" t="s">
        <v>23735</v>
      </c>
      <c r="F6315" t="s">
        <v>31574</v>
      </c>
      <c r="G6315" t="s">
        <v>31581</v>
      </c>
      <c r="H6315" t="s">
        <v>31592</v>
      </c>
      <c r="I6315" t="s">
        <v>4046</v>
      </c>
      <c r="J6315" t="s">
        <v>35785</v>
      </c>
      <c r="K6315" t="s">
        <v>41193</v>
      </c>
      <c r="M6315" t="s">
        <v>42271</v>
      </c>
      <c r="N6315" t="s">
        <v>45095</v>
      </c>
      <c r="O6315" t="s">
        <v>45096</v>
      </c>
      <c r="P6315">
        <v>0</v>
      </c>
      <c r="Q6315">
        <v>0</v>
      </c>
      <c r="R6315" t="s">
        <v>45102</v>
      </c>
      <c r="S6315" t="s">
        <v>45242</v>
      </c>
      <c r="T6315" t="s">
        <v>47050</v>
      </c>
      <c r="U6315" t="s">
        <v>49091</v>
      </c>
      <c r="W6315" t="s">
        <v>42271</v>
      </c>
      <c r="X6315" t="s">
        <v>45103</v>
      </c>
    </row>
    <row r="6316" spans="1:24">
      <c r="A6316">
        <f>HYPERLINK("https://www.philgeps.gov.ph/GEPSNONPILOT/Tender/SplashBidNoticeAbstractUI.aspx?menuIndex=3&amp;refID=7040432&amp;Result=3","7040432")</f>
        <v>0</v>
      </c>
      <c r="B6316" t="s">
        <v>1955</v>
      </c>
      <c r="C6316" t="s">
        <v>9236</v>
      </c>
      <c r="D6316" t="s">
        <v>18026</v>
      </c>
      <c r="E6316" t="s">
        <v>23736</v>
      </c>
      <c r="F6316" t="s">
        <v>31574</v>
      </c>
      <c r="G6316" t="s">
        <v>31582</v>
      </c>
      <c r="H6316" t="s">
        <v>31590</v>
      </c>
      <c r="I6316" t="s">
        <v>31608</v>
      </c>
      <c r="J6316" t="s">
        <v>33866</v>
      </c>
      <c r="K6316" t="s">
        <v>41186</v>
      </c>
      <c r="M6316" t="s">
        <v>43611</v>
      </c>
      <c r="N6316" t="s">
        <v>45095</v>
      </c>
      <c r="O6316" t="s">
        <v>45096</v>
      </c>
      <c r="P6316">
        <v>0</v>
      </c>
      <c r="Q6316">
        <v>1</v>
      </c>
      <c r="R6316" t="s">
        <v>45102</v>
      </c>
      <c r="S6316" t="s">
        <v>45242</v>
      </c>
      <c r="T6316" t="s">
        <v>47004</v>
      </c>
      <c r="U6316" t="s">
        <v>52762</v>
      </c>
      <c r="W6316" t="s">
        <v>43611</v>
      </c>
      <c r="X6316" t="s">
        <v>45103</v>
      </c>
    </row>
    <row r="6317" spans="1:24">
      <c r="A6317">
        <f>HYPERLINK("https://www.philgeps.gov.ph/GEPSNONPILOT/Tender/SplashBidNoticeAbstractUI.aspx?menuIndex=3&amp;refID=7040430&amp;Result=3","7040430")</f>
        <v>0</v>
      </c>
      <c r="B6317" t="s">
        <v>1948</v>
      </c>
      <c r="C6317" t="s">
        <v>9237</v>
      </c>
      <c r="D6317" t="s">
        <v>18030</v>
      </c>
      <c r="E6317" t="s">
        <v>23737</v>
      </c>
      <c r="F6317" t="s">
        <v>31574</v>
      </c>
      <c r="G6317" t="s">
        <v>31582</v>
      </c>
      <c r="H6317" t="s">
        <v>31590</v>
      </c>
      <c r="I6317" t="s">
        <v>31615</v>
      </c>
      <c r="J6317" t="s">
        <v>31947</v>
      </c>
      <c r="K6317" t="s">
        <v>41193</v>
      </c>
      <c r="M6317" t="s">
        <v>43603</v>
      </c>
      <c r="N6317" t="s">
        <v>45095</v>
      </c>
      <c r="O6317" t="s">
        <v>45096</v>
      </c>
      <c r="P6317">
        <v>0</v>
      </c>
      <c r="Q6317">
        <v>2</v>
      </c>
      <c r="R6317" t="s">
        <v>45102</v>
      </c>
      <c r="S6317" t="s">
        <v>45242</v>
      </c>
      <c r="T6317" t="s">
        <v>47106</v>
      </c>
      <c r="U6317" t="s">
        <v>52763</v>
      </c>
      <c r="W6317" t="s">
        <v>43603</v>
      </c>
      <c r="X6317" t="s">
        <v>45103</v>
      </c>
    </row>
    <row r="6318" spans="1:24">
      <c r="A6318">
        <f>HYPERLINK("https://www.philgeps.gov.ph/GEPSNONPILOT/Tender/SplashBidNoticeAbstractUI.aspx?menuIndex=3&amp;refID=7040439&amp;Result=3","7040439")</f>
        <v>0</v>
      </c>
      <c r="B6318" t="s">
        <v>818</v>
      </c>
      <c r="C6318" t="s">
        <v>9238</v>
      </c>
      <c r="D6318" t="s">
        <v>18079</v>
      </c>
      <c r="E6318" t="s">
        <v>23738</v>
      </c>
      <c r="F6318" t="s">
        <v>31574</v>
      </c>
      <c r="G6318" t="s">
        <v>31585</v>
      </c>
      <c r="H6318" t="s">
        <v>31590</v>
      </c>
      <c r="I6318" t="s">
        <v>7185</v>
      </c>
      <c r="J6318" t="s">
        <v>35786</v>
      </c>
      <c r="K6318" t="s">
        <v>41196</v>
      </c>
      <c r="M6318" t="s">
        <v>43613</v>
      </c>
      <c r="N6318" t="s">
        <v>45095</v>
      </c>
      <c r="O6318" t="s">
        <v>45096</v>
      </c>
      <c r="P6318">
        <v>0</v>
      </c>
      <c r="Q6318">
        <v>3</v>
      </c>
      <c r="R6318" t="s">
        <v>45102</v>
      </c>
      <c r="S6318" t="s">
        <v>45242</v>
      </c>
      <c r="T6318" t="s">
        <v>46957</v>
      </c>
      <c r="U6318" t="s">
        <v>52764</v>
      </c>
      <c r="V6318" t="s">
        <v>60517</v>
      </c>
      <c r="W6318" t="s">
        <v>43613</v>
      </c>
      <c r="X6318" t="s">
        <v>45103</v>
      </c>
    </row>
    <row r="6319" spans="1:24">
      <c r="A6319">
        <f>HYPERLINK("https://www.philgeps.gov.ph/GEPSNONPILOT/Tender/SplashBidNoticeAbstractUI.aspx?menuIndex=3&amp;refID=7040467&amp;Result=3","7040467")</f>
        <v>0</v>
      </c>
      <c r="B6319" t="s">
        <v>1965</v>
      </c>
      <c r="C6319" t="s">
        <v>9239</v>
      </c>
      <c r="D6319" t="s">
        <v>18022</v>
      </c>
      <c r="E6319" t="s">
        <v>23739</v>
      </c>
      <c r="F6319" t="s">
        <v>31574</v>
      </c>
      <c r="G6319" t="s">
        <v>31581</v>
      </c>
      <c r="H6319" t="s">
        <v>31590</v>
      </c>
      <c r="I6319" t="s">
        <v>31595</v>
      </c>
      <c r="J6319" t="s">
        <v>33035</v>
      </c>
      <c r="K6319" t="s">
        <v>41184</v>
      </c>
      <c r="M6319" t="s">
        <v>43622</v>
      </c>
      <c r="N6319" t="s">
        <v>45095</v>
      </c>
      <c r="O6319" t="s">
        <v>45096</v>
      </c>
      <c r="P6319">
        <v>0</v>
      </c>
      <c r="Q6319">
        <v>3</v>
      </c>
      <c r="R6319" t="s">
        <v>45102</v>
      </c>
      <c r="S6319" t="s">
        <v>45242</v>
      </c>
      <c r="T6319" t="s">
        <v>47177</v>
      </c>
      <c r="U6319" t="s">
        <v>52754</v>
      </c>
      <c r="W6319" t="s">
        <v>43622</v>
      </c>
      <c r="X6319" t="s">
        <v>45103</v>
      </c>
    </row>
    <row r="6320" spans="1:24">
      <c r="A6320">
        <f>HYPERLINK("https://www.philgeps.gov.ph/GEPSNONPILOT/Tender/SplashBidNoticeAbstractUI.aspx?menuIndex=3&amp;refID=7040464&amp;Result=3","7040464")</f>
        <v>0</v>
      </c>
      <c r="B6320" t="s">
        <v>1970</v>
      </c>
      <c r="C6320" t="s">
        <v>9240</v>
      </c>
      <c r="D6320" t="s">
        <v>18061</v>
      </c>
      <c r="E6320" t="s">
        <v>23740</v>
      </c>
      <c r="F6320" t="s">
        <v>31574</v>
      </c>
      <c r="G6320" t="s">
        <v>31582</v>
      </c>
      <c r="H6320" t="s">
        <v>31590</v>
      </c>
      <c r="I6320" t="s">
        <v>7185</v>
      </c>
      <c r="J6320" t="s">
        <v>35787</v>
      </c>
      <c r="K6320" t="s">
        <v>41189</v>
      </c>
      <c r="M6320" t="s">
        <v>43627</v>
      </c>
      <c r="N6320" t="s">
        <v>45095</v>
      </c>
      <c r="O6320" t="s">
        <v>45096</v>
      </c>
      <c r="P6320">
        <v>0</v>
      </c>
      <c r="Q6320">
        <v>4</v>
      </c>
      <c r="R6320" t="s">
        <v>45102</v>
      </c>
      <c r="S6320" t="s">
        <v>45242</v>
      </c>
      <c r="T6320" t="s">
        <v>47166</v>
      </c>
      <c r="U6320" t="s">
        <v>52765</v>
      </c>
      <c r="W6320" t="s">
        <v>43627</v>
      </c>
      <c r="X6320" t="s">
        <v>45103</v>
      </c>
    </row>
    <row r="6321" spans="1:24">
      <c r="A6321">
        <f>HYPERLINK("https://www.philgeps.gov.ph/GEPSNONPILOT/Tender/SplashBidNoticeAbstractUI.aspx?menuIndex=3&amp;refID=7040466&amp;Result=3","7040466")</f>
        <v>0</v>
      </c>
      <c r="B6321" t="s">
        <v>1971</v>
      </c>
      <c r="C6321" t="s">
        <v>9241</v>
      </c>
      <c r="D6321" t="s">
        <v>18027</v>
      </c>
      <c r="E6321" t="s">
        <v>23741</v>
      </c>
      <c r="F6321" t="s">
        <v>31574</v>
      </c>
      <c r="G6321" t="s">
        <v>31582</v>
      </c>
      <c r="H6321" t="s">
        <v>31590</v>
      </c>
      <c r="I6321" t="s">
        <v>31599</v>
      </c>
      <c r="J6321" t="s">
        <v>35788</v>
      </c>
      <c r="K6321" t="s">
        <v>41194</v>
      </c>
      <c r="M6321" t="s">
        <v>43628</v>
      </c>
      <c r="N6321" t="s">
        <v>45095</v>
      </c>
      <c r="O6321" t="s">
        <v>45096</v>
      </c>
      <c r="P6321">
        <v>0</v>
      </c>
      <c r="Q6321">
        <v>3</v>
      </c>
      <c r="R6321" t="s">
        <v>45102</v>
      </c>
      <c r="S6321" t="s">
        <v>45242</v>
      </c>
      <c r="T6321" t="s">
        <v>47100</v>
      </c>
      <c r="U6321" t="s">
        <v>52766</v>
      </c>
      <c r="W6321" t="s">
        <v>43628</v>
      </c>
      <c r="X6321" t="s">
        <v>45103</v>
      </c>
    </row>
    <row r="6322" spans="1:24">
      <c r="A6322">
        <f>HYPERLINK("https://www.philgeps.gov.ph/GEPSNONPILOT/Tender/SplashBidNoticeAbstractUI.aspx?menuIndex=3&amp;refID=7040463&amp;Result=3","7040463")</f>
        <v>0</v>
      </c>
      <c r="B6322" t="s">
        <v>1021</v>
      </c>
      <c r="C6322" t="s">
        <v>9242</v>
      </c>
      <c r="D6322" t="s">
        <v>18023</v>
      </c>
      <c r="E6322" t="s">
        <v>23742</v>
      </c>
      <c r="F6322" t="s">
        <v>31574</v>
      </c>
      <c r="G6322" t="s">
        <v>31581</v>
      </c>
      <c r="H6322" t="s">
        <v>31590</v>
      </c>
      <c r="I6322" t="s">
        <v>31600</v>
      </c>
      <c r="J6322" t="s">
        <v>31726</v>
      </c>
      <c r="K6322" t="s">
        <v>41184</v>
      </c>
      <c r="M6322" t="s">
        <v>42562</v>
      </c>
      <c r="N6322" t="s">
        <v>45095</v>
      </c>
      <c r="O6322" t="s">
        <v>45096</v>
      </c>
      <c r="P6322">
        <v>0</v>
      </c>
      <c r="Q6322">
        <v>4</v>
      </c>
      <c r="R6322" t="s">
        <v>45102</v>
      </c>
      <c r="S6322" t="s">
        <v>45242</v>
      </c>
      <c r="T6322" t="s">
        <v>47158</v>
      </c>
      <c r="U6322" t="s">
        <v>52767</v>
      </c>
      <c r="W6322" t="s">
        <v>42562</v>
      </c>
      <c r="X6322" t="s">
        <v>45103</v>
      </c>
    </row>
    <row r="6323" spans="1:24">
      <c r="A6323">
        <f>HYPERLINK("https://www.philgeps.gov.ph/GEPSNONPILOT/Tender/SplashBidNoticeAbstractUI.aspx?menuIndex=3&amp;refID=7040436&amp;Result=3","7040436")</f>
        <v>0</v>
      </c>
      <c r="B6323" t="s">
        <v>1008</v>
      </c>
      <c r="C6323" t="s">
        <v>9243</v>
      </c>
      <c r="D6323" t="s">
        <v>18035</v>
      </c>
      <c r="E6323" t="s">
        <v>23743</v>
      </c>
      <c r="F6323" t="s">
        <v>31574</v>
      </c>
      <c r="G6323" t="s">
        <v>31584</v>
      </c>
      <c r="H6323" t="s">
        <v>31590</v>
      </c>
      <c r="I6323" t="s">
        <v>4327</v>
      </c>
      <c r="J6323" t="s">
        <v>35789</v>
      </c>
      <c r="K6323" t="s">
        <v>41186</v>
      </c>
      <c r="M6323" t="s">
        <v>42548</v>
      </c>
      <c r="N6323" t="s">
        <v>45095</v>
      </c>
      <c r="O6323" t="s">
        <v>45096</v>
      </c>
      <c r="P6323">
        <v>0</v>
      </c>
      <c r="Q6323">
        <v>1</v>
      </c>
      <c r="R6323" t="s">
        <v>45102</v>
      </c>
      <c r="S6323" t="s">
        <v>45242</v>
      </c>
      <c r="T6323" t="s">
        <v>46904</v>
      </c>
      <c r="U6323" t="s">
        <v>52768</v>
      </c>
      <c r="V6323" t="s">
        <v>60524</v>
      </c>
      <c r="W6323" t="s">
        <v>42548</v>
      </c>
      <c r="X6323" t="s">
        <v>45103</v>
      </c>
    </row>
    <row r="6324" spans="1:24">
      <c r="A6324">
        <f>HYPERLINK("https://www.philgeps.gov.ph/GEPSNONPILOT/Tender/SplashBidNoticeAbstractUI.aspx?menuIndex=3&amp;refID=7040470&amp;Result=3","7040470")</f>
        <v>0</v>
      </c>
      <c r="B6324" t="s">
        <v>725</v>
      </c>
      <c r="C6324" t="s">
        <v>9244</v>
      </c>
      <c r="D6324" t="s">
        <v>18092</v>
      </c>
      <c r="E6324" t="s">
        <v>23744</v>
      </c>
      <c r="F6324" t="s">
        <v>31574</v>
      </c>
      <c r="G6324" t="s">
        <v>31582</v>
      </c>
      <c r="H6324" t="s">
        <v>31590</v>
      </c>
      <c r="I6324" t="s">
        <v>31600</v>
      </c>
      <c r="J6324" t="s">
        <v>35790</v>
      </c>
      <c r="K6324" t="s">
        <v>41193</v>
      </c>
      <c r="M6324" t="s">
        <v>42235</v>
      </c>
      <c r="N6324" t="s">
        <v>45095</v>
      </c>
      <c r="O6324" t="s">
        <v>45096</v>
      </c>
      <c r="P6324">
        <v>0</v>
      </c>
      <c r="Q6324">
        <v>0</v>
      </c>
      <c r="R6324" t="s">
        <v>45102</v>
      </c>
      <c r="S6324" t="s">
        <v>45242</v>
      </c>
      <c r="T6324" t="s">
        <v>46932</v>
      </c>
      <c r="U6324" t="s">
        <v>52769</v>
      </c>
      <c r="V6324" t="s">
        <v>60525</v>
      </c>
      <c r="W6324" t="s">
        <v>42235</v>
      </c>
      <c r="X6324" t="s">
        <v>45103</v>
      </c>
    </row>
    <row r="6325" spans="1:24">
      <c r="A6325">
        <f>HYPERLINK("https://www.philgeps.gov.ph/GEPSNONPILOT/Tender/SplashBidNoticeAbstractUI.aspx?menuIndex=3&amp;refID=7040476&amp;Result=3","7040476")</f>
        <v>0</v>
      </c>
      <c r="B6325" t="s">
        <v>1972</v>
      </c>
      <c r="C6325" t="s">
        <v>9245</v>
      </c>
      <c r="D6325" t="s">
        <v>18065</v>
      </c>
      <c r="E6325" t="s">
        <v>23745</v>
      </c>
      <c r="F6325" t="s">
        <v>31574</v>
      </c>
      <c r="G6325" t="s">
        <v>31582</v>
      </c>
      <c r="H6325" t="s">
        <v>31591</v>
      </c>
      <c r="I6325" t="s">
        <v>8822</v>
      </c>
      <c r="J6325" t="s">
        <v>31935</v>
      </c>
      <c r="K6325" t="s">
        <v>41192</v>
      </c>
      <c r="M6325" t="s">
        <v>43629</v>
      </c>
      <c r="N6325" t="s">
        <v>45095</v>
      </c>
      <c r="O6325" t="s">
        <v>45096</v>
      </c>
      <c r="P6325">
        <v>0</v>
      </c>
      <c r="Q6325">
        <v>0</v>
      </c>
      <c r="R6325" t="s">
        <v>45102</v>
      </c>
      <c r="S6325" t="s">
        <v>45242</v>
      </c>
      <c r="T6325" t="s">
        <v>46937</v>
      </c>
      <c r="U6325" t="s">
        <v>52770</v>
      </c>
      <c r="W6325" t="s">
        <v>43629</v>
      </c>
      <c r="X6325" t="s">
        <v>45103</v>
      </c>
    </row>
    <row r="6326" spans="1:24">
      <c r="A6326">
        <f>HYPERLINK("https://www.philgeps.gov.ph/GEPSNONPILOT/Tender/SplashBidNoticeAbstractUI.aspx?menuIndex=3&amp;refID=7040478&amp;Result=3","7040478")</f>
        <v>0</v>
      </c>
      <c r="B6326" t="s">
        <v>1961</v>
      </c>
      <c r="C6326" t="s">
        <v>9246</v>
      </c>
      <c r="D6326" t="s">
        <v>18033</v>
      </c>
      <c r="E6326" t="s">
        <v>23746</v>
      </c>
      <c r="F6326" t="s">
        <v>31574</v>
      </c>
      <c r="G6326" t="s">
        <v>31582</v>
      </c>
      <c r="H6326" t="s">
        <v>31591</v>
      </c>
      <c r="I6326" t="s">
        <v>31638</v>
      </c>
      <c r="J6326" t="s">
        <v>35791</v>
      </c>
      <c r="K6326" t="s">
        <v>41200</v>
      </c>
      <c r="M6326" t="s">
        <v>43618</v>
      </c>
      <c r="N6326" t="s">
        <v>45095</v>
      </c>
      <c r="O6326" t="s">
        <v>45096</v>
      </c>
      <c r="P6326">
        <v>0</v>
      </c>
      <c r="Q6326">
        <v>7</v>
      </c>
      <c r="R6326" t="s">
        <v>45102</v>
      </c>
      <c r="S6326" t="s">
        <v>45242</v>
      </c>
      <c r="T6326" t="s">
        <v>47004</v>
      </c>
      <c r="U6326" t="s">
        <v>52771</v>
      </c>
      <c r="V6326" t="s">
        <v>60518</v>
      </c>
      <c r="W6326" t="s">
        <v>43618</v>
      </c>
      <c r="X6326" t="s">
        <v>45103</v>
      </c>
    </row>
    <row r="6327" spans="1:24">
      <c r="A6327">
        <f>HYPERLINK("https://www.philgeps.gov.ph/GEPSNONPILOT/Tender/SplashBidNoticeAbstractUI.aspx?menuIndex=3&amp;refID=7040428&amp;Result=3","7040428")</f>
        <v>0</v>
      </c>
      <c r="B6327" t="s">
        <v>1447</v>
      </c>
      <c r="C6327" t="s">
        <v>9247</v>
      </c>
      <c r="D6327" t="s">
        <v>18022</v>
      </c>
      <c r="E6327" t="s">
        <v>23747</v>
      </c>
      <c r="F6327" t="s">
        <v>31574</v>
      </c>
      <c r="G6327" t="s">
        <v>31583</v>
      </c>
      <c r="H6327" t="s">
        <v>31590</v>
      </c>
      <c r="I6327" t="s">
        <v>31656</v>
      </c>
      <c r="J6327" t="s">
        <v>35792</v>
      </c>
      <c r="K6327" t="s">
        <v>41196</v>
      </c>
      <c r="M6327" t="s">
        <v>43026</v>
      </c>
      <c r="N6327" t="s">
        <v>45095</v>
      </c>
      <c r="O6327" t="s">
        <v>45096</v>
      </c>
      <c r="P6327">
        <v>0</v>
      </c>
      <c r="Q6327">
        <v>0</v>
      </c>
      <c r="R6327" t="s">
        <v>45102</v>
      </c>
      <c r="S6327" t="s">
        <v>45242</v>
      </c>
      <c r="T6327" t="s">
        <v>47178</v>
      </c>
      <c r="U6327" t="s">
        <v>52772</v>
      </c>
      <c r="W6327" t="s">
        <v>43026</v>
      </c>
      <c r="X6327" t="s">
        <v>45103</v>
      </c>
    </row>
    <row r="6328" spans="1:24">
      <c r="A6328">
        <f>HYPERLINK("https://www.philgeps.gov.ph/GEPSNONPILOT/Tender/SplashBidNoticeAbstractUI.aspx?menuIndex=3&amp;refID=7040495&amp;Result=3","7040495")</f>
        <v>0</v>
      </c>
      <c r="B6328" t="s">
        <v>1944</v>
      </c>
      <c r="C6328" t="s">
        <v>9248</v>
      </c>
      <c r="D6328" t="s">
        <v>18043</v>
      </c>
      <c r="E6328" t="s">
        <v>18137</v>
      </c>
      <c r="F6328" t="s">
        <v>31574</v>
      </c>
      <c r="G6328" t="s">
        <v>31582</v>
      </c>
      <c r="H6328" t="s">
        <v>31590</v>
      </c>
      <c r="I6328" t="s">
        <v>4046</v>
      </c>
      <c r="J6328" t="s">
        <v>35793</v>
      </c>
      <c r="K6328" t="s">
        <v>41196</v>
      </c>
      <c r="M6328" t="s">
        <v>43599</v>
      </c>
      <c r="N6328" t="s">
        <v>45095</v>
      </c>
      <c r="O6328" t="s">
        <v>45096</v>
      </c>
      <c r="P6328">
        <v>0</v>
      </c>
      <c r="Q6328">
        <v>0</v>
      </c>
      <c r="R6328" t="s">
        <v>45102</v>
      </c>
      <c r="S6328" t="s">
        <v>45242</v>
      </c>
      <c r="T6328" t="s">
        <v>46986</v>
      </c>
      <c r="U6328" t="s">
        <v>52773</v>
      </c>
      <c r="W6328" t="s">
        <v>43599</v>
      </c>
      <c r="X6328" t="s">
        <v>45103</v>
      </c>
    </row>
    <row r="6329" spans="1:24">
      <c r="A6329">
        <f>HYPERLINK("https://www.philgeps.gov.ph/GEPSNONPILOT/Tender/SplashBidNoticeAbstractUI.aspx?menuIndex=3&amp;refID=7040441&amp;Result=3","7040441")</f>
        <v>0</v>
      </c>
      <c r="B6329" t="s">
        <v>1940</v>
      </c>
      <c r="C6329" t="s">
        <v>9249</v>
      </c>
      <c r="D6329" t="s">
        <v>18030</v>
      </c>
      <c r="E6329" t="s">
        <v>23748</v>
      </c>
      <c r="F6329" t="s">
        <v>31575</v>
      </c>
      <c r="G6329" t="s">
        <v>31583</v>
      </c>
      <c r="H6329" t="s">
        <v>31590</v>
      </c>
      <c r="I6329" t="s">
        <v>31595</v>
      </c>
      <c r="J6329" t="s">
        <v>35294</v>
      </c>
      <c r="K6329" t="s">
        <v>41196</v>
      </c>
      <c r="M6329" t="s">
        <v>43595</v>
      </c>
      <c r="N6329" t="s">
        <v>45095</v>
      </c>
      <c r="O6329" t="s">
        <v>45096</v>
      </c>
      <c r="P6329">
        <v>0</v>
      </c>
      <c r="Q6329">
        <v>4</v>
      </c>
      <c r="R6329" t="s">
        <v>45102</v>
      </c>
      <c r="S6329" t="s">
        <v>45242</v>
      </c>
      <c r="T6329" t="s">
        <v>46936</v>
      </c>
      <c r="U6329" t="s">
        <v>52774</v>
      </c>
      <c r="W6329" t="s">
        <v>43595</v>
      </c>
      <c r="X6329" t="s">
        <v>45103</v>
      </c>
    </row>
    <row r="6330" spans="1:24">
      <c r="A6330">
        <f>HYPERLINK("https://www.philgeps.gov.ph/GEPSNONPILOT/Tender/SplashBidNoticeAbstractUI.aspx?menuIndex=3&amp;refID=7040491&amp;Result=3","7040491")</f>
        <v>0</v>
      </c>
      <c r="B6330" t="s">
        <v>1973</v>
      </c>
      <c r="C6330" t="s">
        <v>9250</v>
      </c>
      <c r="D6330" t="s">
        <v>18060</v>
      </c>
      <c r="E6330" t="s">
        <v>23749</v>
      </c>
      <c r="F6330" t="s">
        <v>31574</v>
      </c>
      <c r="G6330" t="s">
        <v>31582</v>
      </c>
      <c r="H6330" t="s">
        <v>31591</v>
      </c>
      <c r="I6330" t="s">
        <v>8822</v>
      </c>
      <c r="J6330" t="s">
        <v>34428</v>
      </c>
      <c r="K6330" t="s">
        <v>41186</v>
      </c>
      <c r="M6330" t="s">
        <v>43630</v>
      </c>
      <c r="N6330" t="s">
        <v>45095</v>
      </c>
      <c r="O6330" t="s">
        <v>45096</v>
      </c>
      <c r="P6330">
        <v>0</v>
      </c>
      <c r="Q6330">
        <v>0</v>
      </c>
      <c r="R6330" t="s">
        <v>45102</v>
      </c>
      <c r="S6330" t="s">
        <v>45242</v>
      </c>
      <c r="T6330" t="s">
        <v>47064</v>
      </c>
      <c r="U6330" t="s">
        <v>52775</v>
      </c>
      <c r="W6330" t="s">
        <v>43630</v>
      </c>
      <c r="X6330" t="s">
        <v>45103</v>
      </c>
    </row>
    <row r="6331" spans="1:24">
      <c r="A6331">
        <f>HYPERLINK("https://www.philgeps.gov.ph/GEPSNONPILOT/Tender/SplashBidNoticeAbstractUI.aspx?menuIndex=3&amp;refID=7040487&amp;Result=3","7040487")</f>
        <v>0</v>
      </c>
      <c r="B6331" t="s">
        <v>115</v>
      </c>
      <c r="C6331" t="s">
        <v>9251</v>
      </c>
      <c r="D6331" t="s">
        <v>18040</v>
      </c>
      <c r="E6331" t="s">
        <v>9251</v>
      </c>
      <c r="F6331" t="s">
        <v>31574</v>
      </c>
      <c r="G6331" t="s">
        <v>31585</v>
      </c>
      <c r="H6331" t="s">
        <v>31590</v>
      </c>
      <c r="I6331" t="s">
        <v>31615</v>
      </c>
      <c r="J6331" t="s">
        <v>35794</v>
      </c>
      <c r="K6331" t="s">
        <v>41186</v>
      </c>
      <c r="M6331" t="s">
        <v>41599</v>
      </c>
      <c r="N6331" t="s">
        <v>45095</v>
      </c>
      <c r="O6331" t="s">
        <v>45096</v>
      </c>
      <c r="P6331">
        <v>0</v>
      </c>
      <c r="Q6331">
        <v>1</v>
      </c>
      <c r="R6331" t="s">
        <v>45102</v>
      </c>
      <c r="S6331" t="s">
        <v>45242</v>
      </c>
      <c r="T6331" t="s">
        <v>47158</v>
      </c>
      <c r="U6331" t="s">
        <v>52776</v>
      </c>
      <c r="W6331" t="s">
        <v>41599</v>
      </c>
      <c r="X6331" t="s">
        <v>45103</v>
      </c>
    </row>
    <row r="6332" spans="1:24">
      <c r="A6332">
        <f>HYPERLINK("https://www.philgeps.gov.ph/GEPSNONPILOT/Tender/SplashBidNoticeAbstractUI.aspx?menuIndex=3&amp;refID=7040486&amp;Result=3","7040486")</f>
        <v>0</v>
      </c>
      <c r="B6332" t="s">
        <v>1955</v>
      </c>
      <c r="C6332" t="s">
        <v>9252</v>
      </c>
      <c r="D6332" t="s">
        <v>18026</v>
      </c>
      <c r="E6332" t="s">
        <v>23750</v>
      </c>
      <c r="F6332" t="s">
        <v>31574</v>
      </c>
      <c r="G6332" t="s">
        <v>31581</v>
      </c>
      <c r="H6332" t="s">
        <v>31590</v>
      </c>
      <c r="I6332" t="s">
        <v>3539</v>
      </c>
      <c r="J6332" t="s">
        <v>31780</v>
      </c>
      <c r="K6332" t="s">
        <v>41184</v>
      </c>
      <c r="M6332" t="s">
        <v>43611</v>
      </c>
      <c r="N6332" t="s">
        <v>45095</v>
      </c>
      <c r="O6332" t="s">
        <v>45096</v>
      </c>
      <c r="P6332">
        <v>0</v>
      </c>
      <c r="Q6332">
        <v>0</v>
      </c>
      <c r="R6332" t="s">
        <v>45102</v>
      </c>
      <c r="S6332" t="s">
        <v>45242</v>
      </c>
      <c r="T6332" t="s">
        <v>46985</v>
      </c>
      <c r="U6332" t="s">
        <v>52777</v>
      </c>
      <c r="W6332" t="s">
        <v>43611</v>
      </c>
      <c r="X6332" t="s">
        <v>45103</v>
      </c>
    </row>
    <row r="6333" spans="1:24">
      <c r="A6333">
        <f>HYPERLINK("https://www.philgeps.gov.ph/GEPSNONPILOT/Tender/SplashBidNoticeAbstractUI.aspx?menuIndex=3&amp;refID=7040483&amp;Result=3","7040483")</f>
        <v>0</v>
      </c>
      <c r="B6333" t="s">
        <v>1965</v>
      </c>
      <c r="C6333" t="s">
        <v>9253</v>
      </c>
      <c r="D6333" t="s">
        <v>18022</v>
      </c>
      <c r="E6333" t="s">
        <v>23751</v>
      </c>
      <c r="F6333" t="s">
        <v>31574</v>
      </c>
      <c r="G6333" t="s">
        <v>31581</v>
      </c>
      <c r="H6333" t="s">
        <v>31590</v>
      </c>
      <c r="I6333" t="s">
        <v>31608</v>
      </c>
      <c r="J6333" t="s">
        <v>35795</v>
      </c>
      <c r="K6333" t="s">
        <v>41184</v>
      </c>
      <c r="M6333" t="s">
        <v>43622</v>
      </c>
      <c r="N6333" t="s">
        <v>45095</v>
      </c>
      <c r="O6333" t="s">
        <v>45096</v>
      </c>
      <c r="P6333">
        <v>0</v>
      </c>
      <c r="Q6333">
        <v>0</v>
      </c>
      <c r="R6333" t="s">
        <v>45102</v>
      </c>
      <c r="S6333" t="s">
        <v>45242</v>
      </c>
      <c r="T6333" t="s">
        <v>47177</v>
      </c>
      <c r="U6333" t="s">
        <v>52754</v>
      </c>
      <c r="W6333" t="s">
        <v>43622</v>
      </c>
      <c r="X6333" t="s">
        <v>45103</v>
      </c>
    </row>
    <row r="6334" spans="1:24">
      <c r="A6334">
        <f>HYPERLINK("https://www.philgeps.gov.ph/GEPSNONPILOT/Tender/SplashBidNoticeAbstractUI.aspx?menuIndex=3&amp;refID=7040482&amp;Result=3","7040482")</f>
        <v>0</v>
      </c>
      <c r="B6334" t="s">
        <v>1973</v>
      </c>
      <c r="C6334" t="s">
        <v>9254</v>
      </c>
      <c r="D6334" t="s">
        <v>18060</v>
      </c>
      <c r="E6334" t="s">
        <v>23752</v>
      </c>
      <c r="F6334" t="s">
        <v>31574</v>
      </c>
      <c r="G6334" t="s">
        <v>31582</v>
      </c>
      <c r="H6334" t="s">
        <v>31591</v>
      </c>
      <c r="I6334" t="s">
        <v>8822</v>
      </c>
      <c r="J6334" t="s">
        <v>32842</v>
      </c>
      <c r="K6334" t="s">
        <v>41186</v>
      </c>
      <c r="M6334" t="s">
        <v>43630</v>
      </c>
      <c r="N6334" t="s">
        <v>45095</v>
      </c>
      <c r="O6334" t="s">
        <v>45096</v>
      </c>
      <c r="P6334">
        <v>0</v>
      </c>
      <c r="Q6334">
        <v>1</v>
      </c>
      <c r="R6334" t="s">
        <v>45102</v>
      </c>
      <c r="S6334" t="s">
        <v>45242</v>
      </c>
      <c r="T6334" t="s">
        <v>47064</v>
      </c>
      <c r="U6334" t="s">
        <v>52778</v>
      </c>
      <c r="W6334" t="s">
        <v>43630</v>
      </c>
      <c r="X6334" t="s">
        <v>45103</v>
      </c>
    </row>
    <row r="6335" spans="1:24">
      <c r="A6335">
        <f>HYPERLINK("https://www.philgeps.gov.ph/GEPSNONPILOT/Tender/SplashBidNoticeAbstractUI.aspx?menuIndex=3&amp;refID=7040492&amp;Result=3","7040492")</f>
        <v>0</v>
      </c>
      <c r="B6335" t="s">
        <v>1969</v>
      </c>
      <c r="C6335" t="s">
        <v>9255</v>
      </c>
      <c r="D6335" t="s">
        <v>18071</v>
      </c>
      <c r="E6335" t="s">
        <v>23753</v>
      </c>
      <c r="F6335" t="s">
        <v>31574</v>
      </c>
      <c r="G6335" t="s">
        <v>31582</v>
      </c>
      <c r="H6335" t="s">
        <v>31590</v>
      </c>
      <c r="I6335" t="s">
        <v>3520</v>
      </c>
      <c r="J6335" t="s">
        <v>35796</v>
      </c>
      <c r="K6335" t="s">
        <v>41194</v>
      </c>
      <c r="M6335" t="s">
        <v>43626</v>
      </c>
      <c r="N6335" t="s">
        <v>45095</v>
      </c>
      <c r="O6335" t="s">
        <v>45096</v>
      </c>
      <c r="P6335">
        <v>0</v>
      </c>
      <c r="Q6335">
        <v>4</v>
      </c>
      <c r="R6335" t="s">
        <v>45102</v>
      </c>
      <c r="S6335" t="s">
        <v>45242</v>
      </c>
      <c r="T6335" t="s">
        <v>47021</v>
      </c>
      <c r="U6335" t="s">
        <v>52779</v>
      </c>
      <c r="V6335" t="s">
        <v>60523</v>
      </c>
      <c r="W6335" t="s">
        <v>43626</v>
      </c>
      <c r="X6335" t="s">
        <v>45103</v>
      </c>
    </row>
    <row r="6336" spans="1:24">
      <c r="A6336">
        <f>HYPERLINK("https://www.philgeps.gov.ph/GEPSNONPILOT/Tender/SplashBidNoticeAbstractUI.aspx?menuIndex=3&amp;refID=7040490&amp;Result=3","7040490")</f>
        <v>0</v>
      </c>
      <c r="B6336" t="s">
        <v>1447</v>
      </c>
      <c r="C6336" t="s">
        <v>7130</v>
      </c>
      <c r="D6336" t="s">
        <v>18022</v>
      </c>
      <c r="E6336" t="s">
        <v>23754</v>
      </c>
      <c r="F6336" t="s">
        <v>31574</v>
      </c>
      <c r="G6336" t="s">
        <v>31583</v>
      </c>
      <c r="H6336" t="s">
        <v>31592</v>
      </c>
      <c r="I6336" t="s">
        <v>31656</v>
      </c>
      <c r="J6336" t="s">
        <v>34468</v>
      </c>
      <c r="K6336" t="s">
        <v>41196</v>
      </c>
      <c r="M6336" t="s">
        <v>43026</v>
      </c>
      <c r="N6336" t="s">
        <v>45095</v>
      </c>
      <c r="O6336" t="s">
        <v>45096</v>
      </c>
      <c r="P6336">
        <v>0</v>
      </c>
      <c r="Q6336">
        <v>1</v>
      </c>
      <c r="R6336" t="s">
        <v>45102</v>
      </c>
      <c r="S6336" t="s">
        <v>45242</v>
      </c>
      <c r="T6336" t="s">
        <v>47178</v>
      </c>
      <c r="U6336" t="s">
        <v>52780</v>
      </c>
      <c r="W6336" t="s">
        <v>43026</v>
      </c>
      <c r="X6336" t="s">
        <v>45103</v>
      </c>
    </row>
    <row r="6337" spans="1:24">
      <c r="A6337">
        <f>HYPERLINK("https://www.philgeps.gov.ph/GEPSNONPILOT/Tender/SplashBidNoticeAbstractUI.aspx?menuIndex=3&amp;refID=7040498&amp;Result=3","7040498")</f>
        <v>0</v>
      </c>
      <c r="B6337" t="s">
        <v>1524</v>
      </c>
      <c r="C6337" t="s">
        <v>9256</v>
      </c>
      <c r="D6337" t="s">
        <v>18083</v>
      </c>
      <c r="E6337" t="s">
        <v>23755</v>
      </c>
      <c r="F6337" t="s">
        <v>31574</v>
      </c>
      <c r="G6337" t="s">
        <v>31582</v>
      </c>
      <c r="H6337" t="s">
        <v>31591</v>
      </c>
      <c r="I6337" t="s">
        <v>8822</v>
      </c>
      <c r="J6337" t="s">
        <v>35797</v>
      </c>
      <c r="K6337" t="s">
        <v>41268</v>
      </c>
      <c r="M6337" t="s">
        <v>43115</v>
      </c>
      <c r="N6337" t="s">
        <v>45095</v>
      </c>
      <c r="O6337" t="s">
        <v>45096</v>
      </c>
      <c r="P6337">
        <v>0</v>
      </c>
      <c r="Q6337">
        <v>0</v>
      </c>
      <c r="R6337" t="s">
        <v>45102</v>
      </c>
      <c r="S6337" t="s">
        <v>45242</v>
      </c>
      <c r="T6337" t="s">
        <v>46988</v>
      </c>
      <c r="U6337" t="s">
        <v>52781</v>
      </c>
      <c r="V6337" t="s">
        <v>60526</v>
      </c>
      <c r="W6337" t="s">
        <v>43115</v>
      </c>
      <c r="X6337" t="s">
        <v>45103</v>
      </c>
    </row>
    <row r="6338" spans="1:24">
      <c r="A6338">
        <f>HYPERLINK("https://www.philgeps.gov.ph/GEPSNONPILOT/Tender/SplashBidNoticeAbstractUI.aspx?menuIndex=3&amp;refID=7040479&amp;Result=3","7040479")</f>
        <v>0</v>
      </c>
      <c r="B6338" t="s">
        <v>1032</v>
      </c>
      <c r="C6338" t="s">
        <v>9257</v>
      </c>
      <c r="E6338" t="s">
        <v>23756</v>
      </c>
      <c r="F6338" t="s">
        <v>31574</v>
      </c>
      <c r="G6338" t="s">
        <v>31582</v>
      </c>
      <c r="H6338" t="s">
        <v>31590</v>
      </c>
      <c r="I6338" t="s">
        <v>31594</v>
      </c>
      <c r="J6338" t="s">
        <v>32936</v>
      </c>
      <c r="K6338" t="s">
        <v>41192</v>
      </c>
      <c r="M6338" t="s">
        <v>42573</v>
      </c>
      <c r="N6338" t="s">
        <v>45095</v>
      </c>
      <c r="O6338" t="s">
        <v>45096</v>
      </c>
      <c r="P6338">
        <v>0</v>
      </c>
      <c r="Q6338">
        <v>36</v>
      </c>
      <c r="R6338" t="s">
        <v>45102</v>
      </c>
      <c r="S6338" t="s">
        <v>45242</v>
      </c>
      <c r="T6338" t="s">
        <v>47283</v>
      </c>
      <c r="U6338" t="s">
        <v>49811</v>
      </c>
      <c r="W6338" t="s">
        <v>42573</v>
      </c>
      <c r="X6338" t="s">
        <v>45103</v>
      </c>
    </row>
    <row r="6339" spans="1:24">
      <c r="A6339">
        <f>HYPERLINK("https://www.philgeps.gov.ph/GEPSNONPILOT/Tender/SplashBidNoticeAbstractUI.aspx?menuIndex=3&amp;refID=7040474&amp;Result=3","7040474")</f>
        <v>0</v>
      </c>
      <c r="B6339" t="s">
        <v>1939</v>
      </c>
      <c r="C6339" t="s">
        <v>9258</v>
      </c>
      <c r="D6339" t="s">
        <v>18098</v>
      </c>
      <c r="E6339" t="s">
        <v>23757</v>
      </c>
      <c r="F6339" t="s">
        <v>31574</v>
      </c>
      <c r="G6339" t="s">
        <v>31581</v>
      </c>
      <c r="H6339" t="s">
        <v>31590</v>
      </c>
      <c r="I6339" t="s">
        <v>31661</v>
      </c>
      <c r="J6339" t="s">
        <v>35798</v>
      </c>
      <c r="K6339" t="s">
        <v>41186</v>
      </c>
      <c r="M6339" t="s">
        <v>43594</v>
      </c>
      <c r="N6339" t="s">
        <v>45095</v>
      </c>
      <c r="O6339" t="s">
        <v>45096</v>
      </c>
      <c r="P6339">
        <v>0</v>
      </c>
      <c r="Q6339">
        <v>3</v>
      </c>
      <c r="R6339" t="s">
        <v>45102</v>
      </c>
      <c r="S6339" t="s">
        <v>45242</v>
      </c>
      <c r="T6339" t="s">
        <v>47064</v>
      </c>
      <c r="U6339" t="s">
        <v>52782</v>
      </c>
      <c r="W6339" t="s">
        <v>43594</v>
      </c>
      <c r="X6339" t="s">
        <v>45103</v>
      </c>
    </row>
    <row r="6340" spans="1:24">
      <c r="A6340">
        <f>HYPERLINK("https://www.philgeps.gov.ph/GEPSNONPILOT/Tender/SplashBidNoticeAbstractUI.aspx?menuIndex=3&amp;refID=7040473&amp;Result=3","7040473")</f>
        <v>0</v>
      </c>
      <c r="B6340" t="s">
        <v>1974</v>
      </c>
      <c r="C6340" t="s">
        <v>9259</v>
      </c>
      <c r="D6340" t="s">
        <v>18026</v>
      </c>
      <c r="E6340" t="s">
        <v>23758</v>
      </c>
      <c r="F6340" t="s">
        <v>31574</v>
      </c>
      <c r="G6340" t="s">
        <v>31581</v>
      </c>
      <c r="H6340" t="s">
        <v>31590</v>
      </c>
      <c r="I6340" t="s">
        <v>31595</v>
      </c>
      <c r="J6340" t="s">
        <v>31782</v>
      </c>
      <c r="K6340" t="s">
        <v>41196</v>
      </c>
      <c r="M6340" t="s">
        <v>43631</v>
      </c>
      <c r="N6340" t="s">
        <v>45095</v>
      </c>
      <c r="O6340" t="s">
        <v>45096</v>
      </c>
      <c r="P6340">
        <v>0</v>
      </c>
      <c r="Q6340">
        <v>2</v>
      </c>
      <c r="R6340" t="s">
        <v>45102</v>
      </c>
      <c r="S6340" t="s">
        <v>45242</v>
      </c>
      <c r="T6340" t="s">
        <v>47176</v>
      </c>
      <c r="U6340" t="s">
        <v>52783</v>
      </c>
      <c r="W6340" t="s">
        <v>43631</v>
      </c>
      <c r="X6340" t="s">
        <v>45103</v>
      </c>
    </row>
    <row r="6341" spans="1:24">
      <c r="A6341">
        <f>HYPERLINK("https://www.philgeps.gov.ph/GEPSNONPILOT/Tender/SplashBidNoticeAbstractUI.aspx?menuIndex=3&amp;refID=7040518&amp;Result=3","7040518")</f>
        <v>0</v>
      </c>
      <c r="B6341" t="s">
        <v>1961</v>
      </c>
      <c r="C6341" t="s">
        <v>9260</v>
      </c>
      <c r="D6341" t="s">
        <v>18033</v>
      </c>
      <c r="E6341" t="s">
        <v>23759</v>
      </c>
      <c r="F6341" t="s">
        <v>31574</v>
      </c>
      <c r="G6341" t="s">
        <v>31582</v>
      </c>
      <c r="H6341" t="s">
        <v>31591</v>
      </c>
      <c r="I6341" t="s">
        <v>31638</v>
      </c>
      <c r="J6341" t="s">
        <v>35799</v>
      </c>
      <c r="K6341" t="s">
        <v>41200</v>
      </c>
      <c r="M6341" t="s">
        <v>43618</v>
      </c>
      <c r="N6341" t="s">
        <v>45095</v>
      </c>
      <c r="O6341" t="s">
        <v>45096</v>
      </c>
      <c r="P6341">
        <v>0</v>
      </c>
      <c r="Q6341">
        <v>6</v>
      </c>
      <c r="R6341" t="s">
        <v>45102</v>
      </c>
      <c r="S6341" t="s">
        <v>45242</v>
      </c>
      <c r="T6341" t="s">
        <v>47004</v>
      </c>
      <c r="U6341" t="s">
        <v>52784</v>
      </c>
      <c r="V6341" t="s">
        <v>60518</v>
      </c>
      <c r="W6341" t="s">
        <v>43618</v>
      </c>
      <c r="X6341" t="s">
        <v>45103</v>
      </c>
    </row>
    <row r="6342" spans="1:24">
      <c r="A6342">
        <f>HYPERLINK("https://www.philgeps.gov.ph/GEPSNONPILOT/Tender/SplashBidNoticeAbstractUI.aspx?menuIndex=3&amp;refID=7040517&amp;Result=3","7040517")</f>
        <v>0</v>
      </c>
      <c r="B6342" t="s">
        <v>725</v>
      </c>
      <c r="C6342" t="s">
        <v>9261</v>
      </c>
      <c r="D6342" t="s">
        <v>18092</v>
      </c>
      <c r="E6342" t="s">
        <v>23760</v>
      </c>
      <c r="F6342" t="s">
        <v>31574</v>
      </c>
      <c r="G6342" t="s">
        <v>31582</v>
      </c>
      <c r="H6342" t="s">
        <v>31590</v>
      </c>
      <c r="I6342" t="s">
        <v>31600</v>
      </c>
      <c r="J6342" t="s">
        <v>35800</v>
      </c>
      <c r="K6342" t="s">
        <v>41193</v>
      </c>
      <c r="M6342" t="s">
        <v>42235</v>
      </c>
      <c r="N6342" t="s">
        <v>45095</v>
      </c>
      <c r="O6342" t="s">
        <v>45096</v>
      </c>
      <c r="P6342">
        <v>0</v>
      </c>
      <c r="Q6342">
        <v>0</v>
      </c>
      <c r="R6342" t="s">
        <v>45102</v>
      </c>
      <c r="S6342" t="s">
        <v>45242</v>
      </c>
      <c r="T6342" t="s">
        <v>46932</v>
      </c>
      <c r="U6342" t="s">
        <v>52785</v>
      </c>
      <c r="V6342" t="s">
        <v>60527</v>
      </c>
      <c r="W6342" t="s">
        <v>42235</v>
      </c>
      <c r="X6342" t="s">
        <v>45103</v>
      </c>
    </row>
    <row r="6343" spans="1:24">
      <c r="A6343">
        <f>HYPERLINK("https://www.philgeps.gov.ph/GEPSNONPILOT/Tender/SplashBidNoticeAbstractUI.aspx?menuIndex=3&amp;refID=7040488&amp;Result=3","7040488")</f>
        <v>0</v>
      </c>
      <c r="B6343" t="s">
        <v>725</v>
      </c>
      <c r="C6343" t="s">
        <v>9262</v>
      </c>
      <c r="D6343" t="s">
        <v>18092</v>
      </c>
      <c r="E6343" t="s">
        <v>23761</v>
      </c>
      <c r="F6343" t="s">
        <v>31574</v>
      </c>
      <c r="G6343" t="s">
        <v>31582</v>
      </c>
      <c r="H6343" t="s">
        <v>31590</v>
      </c>
      <c r="I6343" t="s">
        <v>31600</v>
      </c>
      <c r="J6343" t="s">
        <v>35801</v>
      </c>
      <c r="K6343" t="s">
        <v>41193</v>
      </c>
      <c r="M6343" t="s">
        <v>42235</v>
      </c>
      <c r="N6343" t="s">
        <v>45095</v>
      </c>
      <c r="O6343" t="s">
        <v>45096</v>
      </c>
      <c r="P6343">
        <v>0</v>
      </c>
      <c r="Q6343">
        <v>0</v>
      </c>
      <c r="R6343" t="s">
        <v>45102</v>
      </c>
      <c r="S6343" t="s">
        <v>45242</v>
      </c>
      <c r="T6343" t="s">
        <v>46932</v>
      </c>
      <c r="U6343" t="s">
        <v>52786</v>
      </c>
      <c r="V6343" t="s">
        <v>60528</v>
      </c>
      <c r="W6343" t="s">
        <v>42235</v>
      </c>
      <c r="X6343" t="s">
        <v>45103</v>
      </c>
    </row>
    <row r="6344" spans="1:24">
      <c r="A6344">
        <f>HYPERLINK("https://www.philgeps.gov.ph/GEPSNONPILOT/Tender/SplashBidNoticeAbstractUI.aspx?menuIndex=3&amp;refID=7040494&amp;Result=3","7040494")</f>
        <v>0</v>
      </c>
      <c r="B6344" t="s">
        <v>690</v>
      </c>
      <c r="C6344" t="s">
        <v>9263</v>
      </c>
      <c r="D6344" t="s">
        <v>18079</v>
      </c>
      <c r="E6344" t="s">
        <v>23762</v>
      </c>
      <c r="F6344" t="s">
        <v>31574</v>
      </c>
      <c r="G6344" t="s">
        <v>31582</v>
      </c>
      <c r="H6344" t="s">
        <v>31590</v>
      </c>
      <c r="I6344" t="s">
        <v>31608</v>
      </c>
      <c r="J6344" t="s">
        <v>34182</v>
      </c>
      <c r="K6344" t="s">
        <v>41186</v>
      </c>
      <c r="M6344" t="s">
        <v>42197</v>
      </c>
      <c r="N6344" t="s">
        <v>45095</v>
      </c>
      <c r="O6344" t="s">
        <v>45096</v>
      </c>
      <c r="P6344">
        <v>0</v>
      </c>
      <c r="Q6344">
        <v>5</v>
      </c>
      <c r="R6344" t="s">
        <v>45102</v>
      </c>
      <c r="S6344" t="s">
        <v>45242</v>
      </c>
      <c r="T6344" t="s">
        <v>46987</v>
      </c>
      <c r="U6344" t="s">
        <v>52787</v>
      </c>
      <c r="V6344" t="s">
        <v>60010</v>
      </c>
      <c r="W6344" t="s">
        <v>42197</v>
      </c>
      <c r="X6344" t="s">
        <v>45103</v>
      </c>
    </row>
    <row r="6345" spans="1:24">
      <c r="A6345">
        <f>HYPERLINK("https://www.philgeps.gov.ph/GEPSNONPILOT/Tender/SplashBidNoticeAbstractUI.aspx?menuIndex=3&amp;refID=7040512&amp;Result=3","7040512")</f>
        <v>0</v>
      </c>
      <c r="B6345" t="s">
        <v>1975</v>
      </c>
      <c r="C6345" t="s">
        <v>9264</v>
      </c>
      <c r="D6345" t="s">
        <v>18033</v>
      </c>
      <c r="E6345" t="s">
        <v>23763</v>
      </c>
      <c r="F6345" t="s">
        <v>31574</v>
      </c>
      <c r="G6345" t="s">
        <v>31581</v>
      </c>
      <c r="H6345" t="s">
        <v>31590</v>
      </c>
      <c r="I6345" t="s">
        <v>6800</v>
      </c>
      <c r="J6345" t="s">
        <v>31845</v>
      </c>
      <c r="K6345" t="s">
        <v>41196</v>
      </c>
      <c r="M6345" t="s">
        <v>43632</v>
      </c>
      <c r="N6345" t="s">
        <v>45095</v>
      </c>
      <c r="O6345" t="s">
        <v>45096</v>
      </c>
      <c r="P6345">
        <v>0</v>
      </c>
      <c r="Q6345">
        <v>1</v>
      </c>
      <c r="R6345" t="s">
        <v>45102</v>
      </c>
      <c r="S6345" t="s">
        <v>45242</v>
      </c>
      <c r="T6345" t="s">
        <v>47064</v>
      </c>
      <c r="U6345" t="s">
        <v>52788</v>
      </c>
      <c r="W6345" t="s">
        <v>43632</v>
      </c>
      <c r="X6345" t="s">
        <v>45103</v>
      </c>
    </row>
    <row r="6346" spans="1:24">
      <c r="A6346">
        <f>HYPERLINK("https://www.philgeps.gov.ph/GEPSNONPILOT/Tender/SplashBidNoticeAbstractUI.aspx?menuIndex=3&amp;refID=7040515&amp;Result=3","7040515")</f>
        <v>0</v>
      </c>
      <c r="B6346" t="s">
        <v>1971</v>
      </c>
      <c r="C6346" t="s">
        <v>9265</v>
      </c>
      <c r="D6346" t="s">
        <v>18027</v>
      </c>
      <c r="E6346" t="s">
        <v>23764</v>
      </c>
      <c r="F6346" t="s">
        <v>31574</v>
      </c>
      <c r="G6346" t="s">
        <v>31582</v>
      </c>
      <c r="H6346" t="s">
        <v>31590</v>
      </c>
      <c r="I6346" t="s">
        <v>3520</v>
      </c>
      <c r="J6346" t="s">
        <v>35802</v>
      </c>
      <c r="K6346" t="s">
        <v>41189</v>
      </c>
      <c r="M6346" t="s">
        <v>43628</v>
      </c>
      <c r="N6346" t="s">
        <v>45095</v>
      </c>
      <c r="O6346" t="s">
        <v>45096</v>
      </c>
      <c r="P6346">
        <v>0</v>
      </c>
      <c r="Q6346">
        <v>2</v>
      </c>
      <c r="R6346" t="s">
        <v>45102</v>
      </c>
      <c r="S6346" t="s">
        <v>45242</v>
      </c>
      <c r="T6346" t="s">
        <v>47100</v>
      </c>
      <c r="U6346" t="s">
        <v>52789</v>
      </c>
      <c r="W6346" t="s">
        <v>43628</v>
      </c>
      <c r="X6346" t="s">
        <v>45103</v>
      </c>
    </row>
    <row r="6347" spans="1:24">
      <c r="A6347">
        <f>HYPERLINK("https://www.philgeps.gov.ph/GEPSNONPILOT/Tender/SplashBidNoticeAbstractUI.aspx?menuIndex=3&amp;refID=7040511&amp;Result=3","7040511")</f>
        <v>0</v>
      </c>
      <c r="B6347" t="s">
        <v>1976</v>
      </c>
      <c r="C6347" t="s">
        <v>9266</v>
      </c>
      <c r="D6347" t="s">
        <v>18056</v>
      </c>
      <c r="E6347" t="s">
        <v>23765</v>
      </c>
      <c r="F6347" t="s">
        <v>31574</v>
      </c>
      <c r="G6347" t="s">
        <v>31582</v>
      </c>
      <c r="H6347" t="s">
        <v>31591</v>
      </c>
      <c r="I6347" t="s">
        <v>8822</v>
      </c>
      <c r="J6347" t="s">
        <v>35803</v>
      </c>
      <c r="K6347" t="s">
        <v>41189</v>
      </c>
      <c r="M6347" t="s">
        <v>43633</v>
      </c>
      <c r="N6347" t="s">
        <v>45095</v>
      </c>
      <c r="O6347" t="s">
        <v>45096</v>
      </c>
      <c r="P6347">
        <v>0</v>
      </c>
      <c r="Q6347">
        <v>1</v>
      </c>
      <c r="R6347" t="s">
        <v>45102</v>
      </c>
      <c r="S6347" t="s">
        <v>45242</v>
      </c>
      <c r="T6347" t="s">
        <v>47134</v>
      </c>
      <c r="U6347" t="s">
        <v>52790</v>
      </c>
      <c r="W6347" t="s">
        <v>43633</v>
      </c>
      <c r="X6347" t="s">
        <v>45103</v>
      </c>
    </row>
    <row r="6348" spans="1:24">
      <c r="A6348">
        <f>HYPERLINK("https://www.philgeps.gov.ph/GEPSNONPILOT/Tender/SplashBidNoticeAbstractUI.aspx?menuIndex=3&amp;refID=7040526&amp;Result=3","7040526")</f>
        <v>0</v>
      </c>
      <c r="B6348" t="s">
        <v>1406</v>
      </c>
      <c r="C6348" t="s">
        <v>9267</v>
      </c>
      <c r="D6348" t="s">
        <v>18071</v>
      </c>
      <c r="E6348" t="s">
        <v>23766</v>
      </c>
      <c r="F6348" t="s">
        <v>31574</v>
      </c>
      <c r="G6348" t="s">
        <v>31581</v>
      </c>
      <c r="H6348" t="s">
        <v>31590</v>
      </c>
      <c r="I6348" t="s">
        <v>3873</v>
      </c>
      <c r="J6348" t="s">
        <v>35804</v>
      </c>
      <c r="K6348" t="s">
        <v>41197</v>
      </c>
      <c r="M6348" t="s">
        <v>42982</v>
      </c>
      <c r="N6348" t="s">
        <v>45095</v>
      </c>
      <c r="O6348" t="s">
        <v>45096</v>
      </c>
      <c r="P6348">
        <v>0</v>
      </c>
      <c r="Q6348">
        <v>0</v>
      </c>
      <c r="R6348" t="s">
        <v>45102</v>
      </c>
      <c r="S6348" t="s">
        <v>45242</v>
      </c>
      <c r="T6348" t="s">
        <v>47050</v>
      </c>
      <c r="U6348" t="s">
        <v>52791</v>
      </c>
      <c r="V6348" t="s">
        <v>60529</v>
      </c>
      <c r="W6348" t="s">
        <v>42982</v>
      </c>
      <c r="X6348" t="s">
        <v>45103</v>
      </c>
    </row>
    <row r="6349" spans="1:24">
      <c r="A6349">
        <f>HYPERLINK("https://www.philgeps.gov.ph/GEPSNONPILOT/Tender/SplashBidNoticeAbstractUI.aspx?menuIndex=3&amp;refID=7040525&amp;Result=3","7040525")</f>
        <v>0</v>
      </c>
      <c r="B6349" t="s">
        <v>690</v>
      </c>
      <c r="C6349" t="s">
        <v>9268</v>
      </c>
      <c r="D6349" t="s">
        <v>18079</v>
      </c>
      <c r="E6349" t="s">
        <v>23767</v>
      </c>
      <c r="F6349" t="s">
        <v>31574</v>
      </c>
      <c r="G6349" t="s">
        <v>31582</v>
      </c>
      <c r="H6349" t="s">
        <v>31590</v>
      </c>
      <c r="I6349" t="s">
        <v>31620</v>
      </c>
      <c r="J6349" t="s">
        <v>35805</v>
      </c>
      <c r="K6349" t="s">
        <v>41186</v>
      </c>
      <c r="M6349" t="s">
        <v>42197</v>
      </c>
      <c r="N6349" t="s">
        <v>45095</v>
      </c>
      <c r="O6349" t="s">
        <v>45096</v>
      </c>
      <c r="P6349">
        <v>0</v>
      </c>
      <c r="Q6349">
        <v>3</v>
      </c>
      <c r="R6349" t="s">
        <v>45102</v>
      </c>
      <c r="S6349" t="s">
        <v>45242</v>
      </c>
      <c r="T6349" t="s">
        <v>46987</v>
      </c>
      <c r="U6349" t="s">
        <v>52792</v>
      </c>
      <c r="V6349" t="s">
        <v>60010</v>
      </c>
      <c r="W6349" t="s">
        <v>42197</v>
      </c>
      <c r="X6349" t="s">
        <v>45103</v>
      </c>
    </row>
    <row r="6350" spans="1:24">
      <c r="A6350">
        <f>HYPERLINK("https://www.philgeps.gov.ph/GEPSNONPILOT/Tender/SplashBidNoticeAbstractUI.aspx?menuIndex=3&amp;refID=7040520&amp;Result=3","7040520")</f>
        <v>0</v>
      </c>
      <c r="B6350" t="s">
        <v>1965</v>
      </c>
      <c r="C6350" t="s">
        <v>9269</v>
      </c>
      <c r="D6350" t="s">
        <v>18022</v>
      </c>
      <c r="E6350" t="s">
        <v>23768</v>
      </c>
      <c r="F6350" t="s">
        <v>31574</v>
      </c>
      <c r="G6350" t="s">
        <v>31581</v>
      </c>
      <c r="H6350" t="s">
        <v>31590</v>
      </c>
      <c r="I6350" t="s">
        <v>31608</v>
      </c>
      <c r="J6350" t="s">
        <v>32767</v>
      </c>
      <c r="K6350" t="s">
        <v>41184</v>
      </c>
      <c r="M6350" t="s">
        <v>43622</v>
      </c>
      <c r="N6350" t="s">
        <v>45095</v>
      </c>
      <c r="O6350" t="s">
        <v>45096</v>
      </c>
      <c r="P6350">
        <v>0</v>
      </c>
      <c r="Q6350">
        <v>2</v>
      </c>
      <c r="R6350" t="s">
        <v>45102</v>
      </c>
      <c r="S6350" t="s">
        <v>45242</v>
      </c>
      <c r="T6350" t="s">
        <v>47177</v>
      </c>
      <c r="U6350" t="s">
        <v>52754</v>
      </c>
      <c r="W6350" t="s">
        <v>43622</v>
      </c>
      <c r="X6350" t="s">
        <v>45103</v>
      </c>
    </row>
    <row r="6351" spans="1:24">
      <c r="A6351">
        <f>HYPERLINK("https://www.philgeps.gov.ph/GEPSNONPILOT/Tender/SplashBidNoticeAbstractUI.aspx?menuIndex=3&amp;refID=7040513&amp;Result=3","7040513")</f>
        <v>0</v>
      </c>
      <c r="B6351" t="s">
        <v>1977</v>
      </c>
      <c r="C6351" t="s">
        <v>9270</v>
      </c>
      <c r="D6351" t="s">
        <v>18057</v>
      </c>
      <c r="E6351" t="s">
        <v>23769</v>
      </c>
      <c r="F6351" t="s">
        <v>31574</v>
      </c>
      <c r="G6351" t="s">
        <v>31582</v>
      </c>
      <c r="H6351" t="s">
        <v>31590</v>
      </c>
      <c r="I6351" t="s">
        <v>31602</v>
      </c>
      <c r="J6351" t="s">
        <v>35806</v>
      </c>
      <c r="K6351" t="s">
        <v>41216</v>
      </c>
      <c r="M6351" t="s">
        <v>43634</v>
      </c>
      <c r="N6351" t="s">
        <v>45095</v>
      </c>
      <c r="O6351" t="s">
        <v>45096</v>
      </c>
      <c r="P6351">
        <v>0</v>
      </c>
      <c r="Q6351">
        <v>0</v>
      </c>
      <c r="R6351" t="s">
        <v>45102</v>
      </c>
      <c r="S6351" t="s">
        <v>45242</v>
      </c>
      <c r="T6351" t="s">
        <v>46957</v>
      </c>
      <c r="U6351" t="s">
        <v>52793</v>
      </c>
      <c r="W6351" t="s">
        <v>43634</v>
      </c>
      <c r="X6351" t="s">
        <v>45103</v>
      </c>
    </row>
    <row r="6352" spans="1:24">
      <c r="A6352">
        <f>HYPERLINK("https://www.philgeps.gov.ph/GEPSNONPILOT/Tender/SplashBidNoticeAbstractUI.aspx?menuIndex=3&amp;refID=7040509&amp;Result=3","7040509")</f>
        <v>0</v>
      </c>
      <c r="B6352" t="s">
        <v>511</v>
      </c>
      <c r="C6352" t="s">
        <v>9271</v>
      </c>
      <c r="D6352" t="s">
        <v>18043</v>
      </c>
      <c r="E6352" t="s">
        <v>23770</v>
      </c>
      <c r="F6352" t="s">
        <v>31574</v>
      </c>
      <c r="G6352" t="s">
        <v>31581</v>
      </c>
      <c r="H6352" t="s">
        <v>31590</v>
      </c>
      <c r="I6352" t="s">
        <v>31626</v>
      </c>
      <c r="J6352" t="s">
        <v>32389</v>
      </c>
      <c r="K6352" t="s">
        <v>41193</v>
      </c>
      <c r="M6352" t="s">
        <v>42007</v>
      </c>
      <c r="N6352" t="s">
        <v>45095</v>
      </c>
      <c r="O6352" t="s">
        <v>45096</v>
      </c>
      <c r="P6352">
        <v>0</v>
      </c>
      <c r="Q6352">
        <v>4</v>
      </c>
      <c r="R6352" t="s">
        <v>45102</v>
      </c>
      <c r="S6352" t="s">
        <v>45242</v>
      </c>
      <c r="T6352" t="s">
        <v>46957</v>
      </c>
      <c r="U6352" t="s">
        <v>48600</v>
      </c>
      <c r="V6352" t="s">
        <v>59960</v>
      </c>
      <c r="W6352" t="s">
        <v>42007</v>
      </c>
      <c r="X6352" t="s">
        <v>45103</v>
      </c>
    </row>
    <row r="6353" spans="1:24">
      <c r="A6353">
        <f>HYPERLINK("https://www.philgeps.gov.ph/GEPSNONPILOT/Tender/SplashBidNoticeAbstractUI.aspx?menuIndex=3&amp;refID=7040510&amp;Result=3","7040510")</f>
        <v>0</v>
      </c>
      <c r="B6353" t="s">
        <v>1032</v>
      </c>
      <c r="C6353" t="s">
        <v>9257</v>
      </c>
      <c r="E6353" t="s">
        <v>23771</v>
      </c>
      <c r="F6353" t="s">
        <v>31574</v>
      </c>
      <c r="G6353" t="s">
        <v>31582</v>
      </c>
      <c r="H6353" t="s">
        <v>31590</v>
      </c>
      <c r="I6353" t="s">
        <v>31594</v>
      </c>
      <c r="J6353" t="s">
        <v>35807</v>
      </c>
      <c r="K6353" t="s">
        <v>41192</v>
      </c>
      <c r="M6353" t="s">
        <v>42573</v>
      </c>
      <c r="N6353" t="s">
        <v>45095</v>
      </c>
      <c r="O6353" t="s">
        <v>45096</v>
      </c>
      <c r="P6353">
        <v>0</v>
      </c>
      <c r="Q6353">
        <v>36</v>
      </c>
      <c r="R6353" t="s">
        <v>45102</v>
      </c>
      <c r="S6353" t="s">
        <v>45242</v>
      </c>
      <c r="T6353" t="s">
        <v>47284</v>
      </c>
      <c r="U6353" t="s">
        <v>49811</v>
      </c>
      <c r="W6353" t="s">
        <v>42573</v>
      </c>
      <c r="X6353" t="s">
        <v>45103</v>
      </c>
    </row>
    <row r="6354" spans="1:24">
      <c r="A6354">
        <f>HYPERLINK("https://www.philgeps.gov.ph/GEPSNONPILOT/Tender/SplashBidNoticeAbstractUI.aspx?menuIndex=3&amp;refID=7040521&amp;Result=3","7040521")</f>
        <v>0</v>
      </c>
      <c r="B6354" t="s">
        <v>600</v>
      </c>
      <c r="C6354" t="s">
        <v>9272</v>
      </c>
      <c r="D6354" t="s">
        <v>18064</v>
      </c>
      <c r="E6354" t="s">
        <v>23772</v>
      </c>
      <c r="F6354" t="s">
        <v>31574</v>
      </c>
      <c r="G6354" t="s">
        <v>31582</v>
      </c>
      <c r="H6354" t="s">
        <v>31591</v>
      </c>
      <c r="I6354" t="s">
        <v>4046</v>
      </c>
      <c r="J6354" t="s">
        <v>31741</v>
      </c>
      <c r="K6354" t="s">
        <v>41189</v>
      </c>
      <c r="M6354" t="s">
        <v>42103</v>
      </c>
      <c r="N6354" t="s">
        <v>45095</v>
      </c>
      <c r="O6354" t="s">
        <v>45096</v>
      </c>
      <c r="P6354">
        <v>0</v>
      </c>
      <c r="Q6354">
        <v>0</v>
      </c>
      <c r="R6354" t="s">
        <v>45102</v>
      </c>
      <c r="S6354" t="s">
        <v>45242</v>
      </c>
      <c r="T6354" t="s">
        <v>47198</v>
      </c>
      <c r="U6354" t="s">
        <v>52794</v>
      </c>
      <c r="W6354" t="s">
        <v>42103</v>
      </c>
      <c r="X6354" t="s">
        <v>45103</v>
      </c>
    </row>
    <row r="6355" spans="1:24">
      <c r="A6355">
        <f>HYPERLINK("https://www.philgeps.gov.ph/GEPSNONPILOT/Tender/SplashBidNoticeAbstractUI.aspx?menuIndex=3&amp;refID=7040531&amp;Result=3","7040531")</f>
        <v>0</v>
      </c>
      <c r="B6355" t="s">
        <v>1965</v>
      </c>
      <c r="C6355" t="s">
        <v>9273</v>
      </c>
      <c r="D6355" t="s">
        <v>18022</v>
      </c>
      <c r="E6355" t="s">
        <v>23773</v>
      </c>
      <c r="F6355" t="s">
        <v>31574</v>
      </c>
      <c r="G6355" t="s">
        <v>31581</v>
      </c>
      <c r="H6355" t="s">
        <v>31590</v>
      </c>
      <c r="I6355" t="s">
        <v>31608</v>
      </c>
      <c r="J6355" t="s">
        <v>31741</v>
      </c>
      <c r="K6355" t="s">
        <v>41184</v>
      </c>
      <c r="M6355" t="s">
        <v>43622</v>
      </c>
      <c r="N6355" t="s">
        <v>45095</v>
      </c>
      <c r="O6355" t="s">
        <v>45096</v>
      </c>
      <c r="P6355">
        <v>0</v>
      </c>
      <c r="Q6355">
        <v>1</v>
      </c>
      <c r="R6355" t="s">
        <v>45102</v>
      </c>
      <c r="S6355" t="s">
        <v>45242</v>
      </c>
      <c r="T6355" t="s">
        <v>47177</v>
      </c>
      <c r="U6355" t="s">
        <v>52754</v>
      </c>
      <c r="W6355" t="s">
        <v>43622</v>
      </c>
      <c r="X6355" t="s">
        <v>45103</v>
      </c>
    </row>
    <row r="6356" spans="1:24">
      <c r="A6356">
        <f>HYPERLINK("https://www.philgeps.gov.ph/GEPSNONPILOT/Tender/SplashBidNoticeAbstractUI.aspx?menuIndex=3&amp;refID=7040514&amp;Result=3","7040514")</f>
        <v>0</v>
      </c>
      <c r="B6356" t="s">
        <v>994</v>
      </c>
      <c r="C6356" t="s">
        <v>9274</v>
      </c>
      <c r="D6356" t="s">
        <v>18048</v>
      </c>
      <c r="E6356" t="s">
        <v>22332</v>
      </c>
      <c r="F6356" t="s">
        <v>31574</v>
      </c>
      <c r="G6356" t="s">
        <v>31581</v>
      </c>
      <c r="H6356" t="s">
        <v>31590</v>
      </c>
      <c r="I6356" t="s">
        <v>8258</v>
      </c>
      <c r="J6356" t="s">
        <v>32046</v>
      </c>
      <c r="K6356" t="s">
        <v>41193</v>
      </c>
      <c r="L6356" t="s">
        <v>994</v>
      </c>
      <c r="M6356" t="s">
        <v>42530</v>
      </c>
      <c r="N6356" t="s">
        <v>45095</v>
      </c>
      <c r="O6356" t="s">
        <v>45096</v>
      </c>
      <c r="P6356">
        <v>0</v>
      </c>
      <c r="Q6356">
        <v>0</v>
      </c>
      <c r="R6356" t="s">
        <v>45102</v>
      </c>
      <c r="S6356" t="s">
        <v>45242</v>
      </c>
      <c r="T6356" t="s">
        <v>46932</v>
      </c>
      <c r="U6356" t="s">
        <v>52795</v>
      </c>
      <c r="V6356" t="s">
        <v>60107</v>
      </c>
      <c r="W6356" t="s">
        <v>42530</v>
      </c>
      <c r="X6356" t="s">
        <v>45103</v>
      </c>
    </row>
    <row r="6357" spans="1:24">
      <c r="A6357">
        <f>HYPERLINK("https://www.philgeps.gov.ph/GEPSNONPILOT/Tender/SplashBidNoticeAbstractUI.aspx?menuIndex=3&amp;refID=7040558&amp;Result=3","7040558")</f>
        <v>0</v>
      </c>
      <c r="B6357" t="s">
        <v>1971</v>
      </c>
      <c r="C6357" t="s">
        <v>9275</v>
      </c>
      <c r="D6357" t="s">
        <v>18027</v>
      </c>
      <c r="E6357" t="s">
        <v>23774</v>
      </c>
      <c r="F6357" t="s">
        <v>31574</v>
      </c>
      <c r="G6357" t="s">
        <v>31582</v>
      </c>
      <c r="H6357" t="s">
        <v>31590</v>
      </c>
      <c r="I6357" t="s">
        <v>3520</v>
      </c>
      <c r="J6357" t="s">
        <v>35808</v>
      </c>
      <c r="K6357" t="s">
        <v>41189</v>
      </c>
      <c r="M6357" t="s">
        <v>43628</v>
      </c>
      <c r="N6357" t="s">
        <v>45095</v>
      </c>
      <c r="O6357" t="s">
        <v>45096</v>
      </c>
      <c r="P6357">
        <v>0</v>
      </c>
      <c r="Q6357">
        <v>0</v>
      </c>
      <c r="R6357" t="s">
        <v>45102</v>
      </c>
      <c r="S6357" t="s">
        <v>45242</v>
      </c>
      <c r="T6357" t="s">
        <v>47100</v>
      </c>
      <c r="U6357" t="s">
        <v>52796</v>
      </c>
      <c r="W6357" t="s">
        <v>43628</v>
      </c>
      <c r="X6357" t="s">
        <v>45103</v>
      </c>
    </row>
    <row r="6358" spans="1:24">
      <c r="A6358">
        <f>HYPERLINK("https://www.philgeps.gov.ph/GEPSNONPILOT/Tender/SplashBidNoticeAbstractUI.aspx?menuIndex=3&amp;refID=7040557&amp;Result=3","7040557")</f>
        <v>0</v>
      </c>
      <c r="B6358" t="s">
        <v>1978</v>
      </c>
      <c r="C6358" t="s">
        <v>9276</v>
      </c>
      <c r="D6358" t="s">
        <v>18079</v>
      </c>
      <c r="E6358" t="s">
        <v>23775</v>
      </c>
      <c r="F6358" t="s">
        <v>31574</v>
      </c>
      <c r="G6358" t="s">
        <v>31582</v>
      </c>
      <c r="H6358" t="s">
        <v>31590</v>
      </c>
      <c r="I6358" t="s">
        <v>4046</v>
      </c>
      <c r="J6358" t="s">
        <v>35809</v>
      </c>
      <c r="K6358" t="s">
        <v>41186</v>
      </c>
      <c r="M6358" t="s">
        <v>43635</v>
      </c>
      <c r="N6358" t="s">
        <v>45095</v>
      </c>
      <c r="O6358" t="s">
        <v>45096</v>
      </c>
      <c r="P6358">
        <v>0</v>
      </c>
      <c r="Q6358">
        <v>1</v>
      </c>
      <c r="R6358" t="s">
        <v>45102</v>
      </c>
      <c r="S6358" t="s">
        <v>45242</v>
      </c>
      <c r="T6358" t="s">
        <v>46988</v>
      </c>
      <c r="U6358" t="s">
        <v>52797</v>
      </c>
      <c r="W6358" t="s">
        <v>43635</v>
      </c>
      <c r="X6358" t="s">
        <v>45103</v>
      </c>
    </row>
    <row r="6359" spans="1:24">
      <c r="A6359">
        <f>HYPERLINK("https://www.philgeps.gov.ph/GEPSNONPILOT/Tender/SplashBidNoticeAbstractUI.aspx?menuIndex=3&amp;refID=7040529&amp;Result=3","7040529")</f>
        <v>0</v>
      </c>
      <c r="B6359" t="s">
        <v>1032</v>
      </c>
      <c r="C6359" t="s">
        <v>9257</v>
      </c>
      <c r="E6359" t="s">
        <v>23776</v>
      </c>
      <c r="F6359" t="s">
        <v>31574</v>
      </c>
      <c r="G6359" t="s">
        <v>31582</v>
      </c>
      <c r="H6359" t="s">
        <v>31590</v>
      </c>
      <c r="I6359" t="s">
        <v>31594</v>
      </c>
      <c r="J6359" t="s">
        <v>32411</v>
      </c>
      <c r="K6359" t="s">
        <v>41192</v>
      </c>
      <c r="M6359" t="s">
        <v>42573</v>
      </c>
      <c r="N6359" t="s">
        <v>45095</v>
      </c>
      <c r="O6359" t="s">
        <v>45096</v>
      </c>
      <c r="P6359">
        <v>0</v>
      </c>
      <c r="Q6359">
        <v>35</v>
      </c>
      <c r="R6359" t="s">
        <v>45102</v>
      </c>
      <c r="S6359" t="s">
        <v>45242</v>
      </c>
      <c r="T6359" t="s">
        <v>47285</v>
      </c>
      <c r="U6359" t="s">
        <v>49811</v>
      </c>
      <c r="W6359" t="s">
        <v>42573</v>
      </c>
      <c r="X6359" t="s">
        <v>45103</v>
      </c>
    </row>
    <row r="6360" spans="1:24">
      <c r="A6360">
        <f>HYPERLINK("https://www.philgeps.gov.ph/GEPSNONPILOT/Tender/SplashBidNoticeAbstractUI.aspx?menuIndex=3&amp;refID=7040556&amp;Result=3","7040556")</f>
        <v>0</v>
      </c>
      <c r="B6360" t="s">
        <v>1969</v>
      </c>
      <c r="C6360" t="s">
        <v>9277</v>
      </c>
      <c r="D6360" t="s">
        <v>18071</v>
      </c>
      <c r="E6360" t="s">
        <v>23777</v>
      </c>
      <c r="F6360" t="s">
        <v>31574</v>
      </c>
      <c r="G6360" t="s">
        <v>31582</v>
      </c>
      <c r="H6360" t="s">
        <v>31590</v>
      </c>
      <c r="I6360" t="s">
        <v>31615</v>
      </c>
      <c r="J6360" t="s">
        <v>32120</v>
      </c>
      <c r="K6360" t="s">
        <v>41185</v>
      </c>
      <c r="M6360" t="s">
        <v>43626</v>
      </c>
      <c r="N6360" t="s">
        <v>45095</v>
      </c>
      <c r="O6360" t="s">
        <v>45096</v>
      </c>
      <c r="P6360">
        <v>0</v>
      </c>
      <c r="Q6360">
        <v>3</v>
      </c>
      <c r="R6360" t="s">
        <v>45102</v>
      </c>
      <c r="S6360" t="s">
        <v>45242</v>
      </c>
      <c r="T6360" t="s">
        <v>47263</v>
      </c>
      <c r="U6360" t="s">
        <v>52798</v>
      </c>
      <c r="V6360" t="s">
        <v>60523</v>
      </c>
      <c r="W6360" t="s">
        <v>43626</v>
      </c>
      <c r="X6360" t="s">
        <v>45103</v>
      </c>
    </row>
    <row r="6361" spans="1:24">
      <c r="A6361">
        <f>HYPERLINK("https://www.philgeps.gov.ph/GEPSNONPILOT/Tender/SplashBidNoticeAbstractUI.aspx?menuIndex=3&amp;refID=7040504&amp;Result=3","7040504")</f>
        <v>0</v>
      </c>
      <c r="B6361" t="s">
        <v>1965</v>
      </c>
      <c r="C6361" t="s">
        <v>9278</v>
      </c>
      <c r="D6361" t="s">
        <v>18022</v>
      </c>
      <c r="E6361" t="s">
        <v>23778</v>
      </c>
      <c r="F6361" t="s">
        <v>31574</v>
      </c>
      <c r="G6361" t="s">
        <v>31581</v>
      </c>
      <c r="H6361" t="s">
        <v>31590</v>
      </c>
      <c r="I6361" t="s">
        <v>31595</v>
      </c>
      <c r="J6361" t="s">
        <v>31830</v>
      </c>
      <c r="K6361" t="s">
        <v>41184</v>
      </c>
      <c r="M6361" t="s">
        <v>43622</v>
      </c>
      <c r="N6361" t="s">
        <v>45095</v>
      </c>
      <c r="O6361" t="s">
        <v>45096</v>
      </c>
      <c r="P6361">
        <v>0</v>
      </c>
      <c r="Q6361">
        <v>4</v>
      </c>
      <c r="R6361" t="s">
        <v>45102</v>
      </c>
      <c r="S6361" t="s">
        <v>45242</v>
      </c>
      <c r="T6361" t="s">
        <v>47177</v>
      </c>
      <c r="U6361" t="s">
        <v>52754</v>
      </c>
      <c r="W6361" t="s">
        <v>43622</v>
      </c>
      <c r="X6361" t="s">
        <v>45103</v>
      </c>
    </row>
    <row r="6362" spans="1:24">
      <c r="A6362">
        <f>HYPERLINK("https://www.philgeps.gov.ph/GEPSNONPILOT/Tender/SplashBidNoticeAbstractUI.aspx?menuIndex=3&amp;refID=7040500&amp;Result=3","7040500")</f>
        <v>0</v>
      </c>
      <c r="B6362" t="s">
        <v>1974</v>
      </c>
      <c r="C6362" t="s">
        <v>9279</v>
      </c>
      <c r="D6362" t="s">
        <v>18026</v>
      </c>
      <c r="E6362" t="s">
        <v>23779</v>
      </c>
      <c r="F6362" t="s">
        <v>31574</v>
      </c>
      <c r="G6362" t="s">
        <v>31581</v>
      </c>
      <c r="H6362" t="s">
        <v>31590</v>
      </c>
      <c r="I6362" t="s">
        <v>31645</v>
      </c>
      <c r="J6362" t="s">
        <v>35810</v>
      </c>
      <c r="K6362" t="s">
        <v>41196</v>
      </c>
      <c r="M6362" t="s">
        <v>43631</v>
      </c>
      <c r="N6362" t="s">
        <v>45095</v>
      </c>
      <c r="O6362" t="s">
        <v>45096</v>
      </c>
      <c r="P6362">
        <v>0</v>
      </c>
      <c r="Q6362">
        <v>1</v>
      </c>
      <c r="R6362" t="s">
        <v>45102</v>
      </c>
      <c r="S6362" t="s">
        <v>45242</v>
      </c>
      <c r="T6362" t="s">
        <v>47176</v>
      </c>
      <c r="U6362" t="s">
        <v>52783</v>
      </c>
      <c r="W6362" t="s">
        <v>43631</v>
      </c>
      <c r="X6362" t="s">
        <v>45103</v>
      </c>
    </row>
    <row r="6363" spans="1:24">
      <c r="A6363">
        <f>HYPERLINK("https://www.philgeps.gov.ph/GEPSNONPILOT/Tender/SplashBidNoticeAbstractUI.aspx?menuIndex=3&amp;refID=7040530&amp;Result=3","7040530")</f>
        <v>0</v>
      </c>
      <c r="B6363" t="s">
        <v>495</v>
      </c>
      <c r="C6363" t="s">
        <v>9280</v>
      </c>
      <c r="D6363" t="s">
        <v>18099</v>
      </c>
      <c r="E6363" t="s">
        <v>23780</v>
      </c>
      <c r="F6363" t="s">
        <v>31574</v>
      </c>
      <c r="G6363" t="s">
        <v>31582</v>
      </c>
      <c r="H6363" t="s">
        <v>31590</v>
      </c>
      <c r="I6363" t="s">
        <v>4327</v>
      </c>
      <c r="J6363" t="s">
        <v>35811</v>
      </c>
      <c r="K6363" t="s">
        <v>41190</v>
      </c>
      <c r="M6363" t="s">
        <v>41991</v>
      </c>
      <c r="N6363" t="s">
        <v>45095</v>
      </c>
      <c r="O6363" t="s">
        <v>45096</v>
      </c>
      <c r="P6363">
        <v>0</v>
      </c>
      <c r="Q6363">
        <v>1</v>
      </c>
      <c r="R6363" t="s">
        <v>45102</v>
      </c>
      <c r="S6363" t="s">
        <v>45242</v>
      </c>
      <c r="T6363" t="s">
        <v>47275</v>
      </c>
      <c r="U6363" t="s">
        <v>52799</v>
      </c>
      <c r="W6363" t="s">
        <v>41991</v>
      </c>
      <c r="X6363" t="s">
        <v>45103</v>
      </c>
    </row>
    <row r="6364" spans="1:24">
      <c r="A6364">
        <f>HYPERLINK("https://www.philgeps.gov.ph/GEPSNONPILOT/Tender/SplashBidNoticeAbstractUI.aspx?menuIndex=3&amp;refID=7040562&amp;Result=3","7040562")</f>
        <v>0</v>
      </c>
      <c r="B6364" t="s">
        <v>495</v>
      </c>
      <c r="C6364" t="s">
        <v>9281</v>
      </c>
      <c r="D6364" t="s">
        <v>18099</v>
      </c>
      <c r="E6364" t="s">
        <v>23781</v>
      </c>
      <c r="F6364" t="s">
        <v>31574</v>
      </c>
      <c r="G6364" t="s">
        <v>31582</v>
      </c>
      <c r="H6364" t="s">
        <v>31590</v>
      </c>
      <c r="I6364" t="s">
        <v>31601</v>
      </c>
      <c r="J6364" t="s">
        <v>35812</v>
      </c>
      <c r="K6364" t="s">
        <v>41186</v>
      </c>
      <c r="M6364" t="s">
        <v>41991</v>
      </c>
      <c r="N6364" t="s">
        <v>45095</v>
      </c>
      <c r="O6364" t="s">
        <v>45096</v>
      </c>
      <c r="P6364">
        <v>0</v>
      </c>
      <c r="Q6364">
        <v>4</v>
      </c>
      <c r="R6364" t="s">
        <v>45102</v>
      </c>
      <c r="S6364" t="s">
        <v>45242</v>
      </c>
      <c r="T6364" t="s">
        <v>47275</v>
      </c>
      <c r="U6364" t="s">
        <v>52800</v>
      </c>
      <c r="W6364" t="s">
        <v>41991</v>
      </c>
      <c r="X6364" t="s">
        <v>45103</v>
      </c>
    </row>
    <row r="6365" spans="1:24">
      <c r="A6365">
        <f>HYPERLINK("https://www.philgeps.gov.ph/GEPSNONPILOT/Tender/SplashBidNoticeAbstractUI.aspx?menuIndex=3&amp;refID=7040561&amp;Result=3","7040561")</f>
        <v>0</v>
      </c>
      <c r="B6365" t="s">
        <v>1961</v>
      </c>
      <c r="C6365" t="s">
        <v>9282</v>
      </c>
      <c r="D6365" t="s">
        <v>18033</v>
      </c>
      <c r="E6365" t="s">
        <v>23782</v>
      </c>
      <c r="F6365" t="s">
        <v>31574</v>
      </c>
      <c r="G6365" t="s">
        <v>31582</v>
      </c>
      <c r="H6365" t="s">
        <v>31591</v>
      </c>
      <c r="I6365" t="s">
        <v>31638</v>
      </c>
      <c r="J6365" t="s">
        <v>35813</v>
      </c>
      <c r="K6365" t="s">
        <v>41200</v>
      </c>
      <c r="M6365" t="s">
        <v>43618</v>
      </c>
      <c r="N6365" t="s">
        <v>45095</v>
      </c>
      <c r="O6365" t="s">
        <v>45096</v>
      </c>
      <c r="P6365">
        <v>0</v>
      </c>
      <c r="Q6365">
        <v>7</v>
      </c>
      <c r="R6365" t="s">
        <v>45102</v>
      </c>
      <c r="S6365" t="s">
        <v>45242</v>
      </c>
      <c r="T6365" t="s">
        <v>47004</v>
      </c>
      <c r="U6365" t="s">
        <v>52801</v>
      </c>
      <c r="V6365" t="s">
        <v>60518</v>
      </c>
      <c r="W6365" t="s">
        <v>43618</v>
      </c>
      <c r="X6365" t="s">
        <v>45103</v>
      </c>
    </row>
    <row r="6366" spans="1:24">
      <c r="A6366">
        <f>HYPERLINK("https://www.philgeps.gov.ph/GEPSNONPILOT/Tender/SplashBidNoticeAbstractUI.aspx?menuIndex=3&amp;refID=7040528&amp;Result=3","7040528")</f>
        <v>0</v>
      </c>
      <c r="B6366" t="s">
        <v>1963</v>
      </c>
      <c r="C6366" t="s">
        <v>9283</v>
      </c>
      <c r="D6366" t="s">
        <v>18070</v>
      </c>
      <c r="E6366" t="s">
        <v>23783</v>
      </c>
      <c r="F6366" t="s">
        <v>31574</v>
      </c>
      <c r="G6366" t="s">
        <v>31583</v>
      </c>
      <c r="H6366" t="s">
        <v>31590</v>
      </c>
      <c r="I6366" t="s">
        <v>31607</v>
      </c>
      <c r="J6366" t="s">
        <v>35814</v>
      </c>
      <c r="K6366" t="s">
        <v>41193</v>
      </c>
      <c r="M6366" t="s">
        <v>43620</v>
      </c>
      <c r="N6366" t="s">
        <v>45095</v>
      </c>
      <c r="O6366" t="s">
        <v>45096</v>
      </c>
      <c r="P6366">
        <v>0</v>
      </c>
      <c r="Q6366">
        <v>5</v>
      </c>
      <c r="R6366" t="s">
        <v>45102</v>
      </c>
      <c r="S6366" t="s">
        <v>45242</v>
      </c>
      <c r="T6366" t="s">
        <v>47076</v>
      </c>
      <c r="U6366" t="s">
        <v>52802</v>
      </c>
      <c r="W6366" t="s">
        <v>43620</v>
      </c>
      <c r="X6366" t="s">
        <v>45103</v>
      </c>
    </row>
    <row r="6367" spans="1:24">
      <c r="A6367">
        <f>HYPERLINK("https://www.philgeps.gov.ph/GEPSNONPILOT/Tender/SplashBidNoticeAbstractUI.aspx?menuIndex=3&amp;refID=7040559&amp;Result=3","7040559")</f>
        <v>0</v>
      </c>
      <c r="B6367" t="s">
        <v>377</v>
      </c>
      <c r="C6367" t="s">
        <v>9284</v>
      </c>
      <c r="E6367" t="s">
        <v>23784</v>
      </c>
      <c r="F6367" t="s">
        <v>31574</v>
      </c>
      <c r="G6367" t="s">
        <v>31582</v>
      </c>
      <c r="H6367" t="s">
        <v>31590</v>
      </c>
      <c r="I6367" t="s">
        <v>31631</v>
      </c>
      <c r="J6367" t="s">
        <v>35815</v>
      </c>
      <c r="K6367" t="s">
        <v>41184</v>
      </c>
      <c r="M6367" t="s">
        <v>41867</v>
      </c>
      <c r="N6367" t="s">
        <v>45095</v>
      </c>
      <c r="O6367" t="s">
        <v>45096</v>
      </c>
      <c r="P6367">
        <v>0</v>
      </c>
      <c r="Q6367">
        <v>3</v>
      </c>
      <c r="R6367" t="s">
        <v>45102</v>
      </c>
      <c r="S6367" t="s">
        <v>45242</v>
      </c>
      <c r="T6367" t="s">
        <v>46939</v>
      </c>
      <c r="U6367" t="s">
        <v>52803</v>
      </c>
      <c r="V6367" t="s">
        <v>60530</v>
      </c>
      <c r="W6367" t="s">
        <v>41867</v>
      </c>
      <c r="X6367" t="s">
        <v>45103</v>
      </c>
    </row>
    <row r="6368" spans="1:24">
      <c r="A6368">
        <f>HYPERLINK("https://www.philgeps.gov.ph/GEPSNONPILOT/Tender/SplashBidNoticeAbstractUI.aspx?menuIndex=3&amp;refID=7040551&amp;Result=3","7040551")</f>
        <v>0</v>
      </c>
      <c r="B6368" t="s">
        <v>1979</v>
      </c>
      <c r="C6368" t="s">
        <v>9285</v>
      </c>
      <c r="D6368" t="s">
        <v>18061</v>
      </c>
      <c r="E6368" t="s">
        <v>23785</v>
      </c>
      <c r="F6368" t="s">
        <v>31574</v>
      </c>
      <c r="G6368" t="s">
        <v>31587</v>
      </c>
      <c r="H6368" t="s">
        <v>31593</v>
      </c>
      <c r="I6368" t="s">
        <v>31623</v>
      </c>
      <c r="J6368" t="s">
        <v>32019</v>
      </c>
      <c r="K6368" t="s">
        <v>41229</v>
      </c>
      <c r="M6368" t="s">
        <v>43636</v>
      </c>
      <c r="N6368" t="s">
        <v>45095</v>
      </c>
      <c r="O6368" t="s">
        <v>45096</v>
      </c>
      <c r="P6368">
        <v>0</v>
      </c>
      <c r="Q6368">
        <v>1</v>
      </c>
      <c r="R6368" t="s">
        <v>45102</v>
      </c>
      <c r="S6368" t="s">
        <v>45242</v>
      </c>
      <c r="T6368" t="s">
        <v>46973</v>
      </c>
      <c r="U6368" t="s">
        <v>52804</v>
      </c>
      <c r="W6368" t="s">
        <v>43636</v>
      </c>
      <c r="X6368" t="s">
        <v>45103</v>
      </c>
    </row>
    <row r="6369" spans="1:24">
      <c r="A6369">
        <f>HYPERLINK("https://www.philgeps.gov.ph/GEPSNONPILOT/Tender/SplashBidNoticeAbstractUI.aspx?menuIndex=3&amp;refID=7040550&amp;Result=3","7040550")</f>
        <v>0</v>
      </c>
      <c r="B6369" t="s">
        <v>377</v>
      </c>
      <c r="C6369" t="s">
        <v>4748</v>
      </c>
      <c r="E6369" t="s">
        <v>23786</v>
      </c>
      <c r="F6369" t="s">
        <v>31574</v>
      </c>
      <c r="G6369" t="s">
        <v>31582</v>
      </c>
      <c r="H6369" t="s">
        <v>31590</v>
      </c>
      <c r="I6369" t="s">
        <v>31599</v>
      </c>
      <c r="J6369" t="s">
        <v>35816</v>
      </c>
      <c r="K6369" t="s">
        <v>41184</v>
      </c>
      <c r="M6369" t="s">
        <v>41867</v>
      </c>
      <c r="N6369" t="s">
        <v>45095</v>
      </c>
      <c r="O6369" t="s">
        <v>45096</v>
      </c>
      <c r="P6369">
        <v>0</v>
      </c>
      <c r="Q6369">
        <v>3</v>
      </c>
      <c r="R6369" t="s">
        <v>45102</v>
      </c>
      <c r="S6369" t="s">
        <v>45242</v>
      </c>
      <c r="T6369" t="s">
        <v>46939</v>
      </c>
      <c r="U6369" t="s">
        <v>52805</v>
      </c>
      <c r="V6369" t="s">
        <v>60530</v>
      </c>
      <c r="W6369" t="s">
        <v>41867</v>
      </c>
      <c r="X6369" t="s">
        <v>45103</v>
      </c>
    </row>
    <row r="6370" spans="1:24">
      <c r="A6370">
        <f>HYPERLINK("https://www.philgeps.gov.ph/GEPSNONPILOT/Tender/SplashBidNoticeAbstractUI.aspx?menuIndex=3&amp;refID=7040502&amp;Result=3","7040502")</f>
        <v>0</v>
      </c>
      <c r="B6370" t="s">
        <v>1961</v>
      </c>
      <c r="C6370" t="s">
        <v>9286</v>
      </c>
      <c r="D6370" t="s">
        <v>18033</v>
      </c>
      <c r="E6370" t="s">
        <v>23787</v>
      </c>
      <c r="F6370" t="s">
        <v>31574</v>
      </c>
      <c r="G6370" t="s">
        <v>31582</v>
      </c>
      <c r="H6370" t="s">
        <v>31591</v>
      </c>
      <c r="I6370" t="s">
        <v>31638</v>
      </c>
      <c r="J6370" t="s">
        <v>35817</v>
      </c>
      <c r="K6370" t="s">
        <v>41200</v>
      </c>
      <c r="M6370" t="s">
        <v>43618</v>
      </c>
      <c r="N6370" t="s">
        <v>45095</v>
      </c>
      <c r="O6370" t="s">
        <v>45096</v>
      </c>
      <c r="P6370">
        <v>0</v>
      </c>
      <c r="Q6370">
        <v>7</v>
      </c>
      <c r="R6370" t="s">
        <v>45102</v>
      </c>
      <c r="S6370" t="s">
        <v>45242</v>
      </c>
      <c r="T6370" t="s">
        <v>47004</v>
      </c>
      <c r="U6370" t="s">
        <v>52806</v>
      </c>
      <c r="V6370" t="s">
        <v>60518</v>
      </c>
      <c r="W6370" t="s">
        <v>43618</v>
      </c>
      <c r="X6370" t="s">
        <v>45103</v>
      </c>
    </row>
    <row r="6371" spans="1:24">
      <c r="A6371">
        <f>HYPERLINK("https://www.philgeps.gov.ph/GEPSNONPILOT/Tender/SplashBidNoticeAbstractUI.aspx?menuIndex=3&amp;refID=7040563&amp;Result=3","7040563")</f>
        <v>0</v>
      </c>
      <c r="B6371" t="s">
        <v>725</v>
      </c>
      <c r="C6371" t="s">
        <v>9287</v>
      </c>
      <c r="D6371" t="s">
        <v>18092</v>
      </c>
      <c r="E6371" t="s">
        <v>23788</v>
      </c>
      <c r="F6371" t="s">
        <v>31574</v>
      </c>
      <c r="G6371" t="s">
        <v>31582</v>
      </c>
      <c r="H6371" t="s">
        <v>31590</v>
      </c>
      <c r="I6371" t="s">
        <v>31599</v>
      </c>
      <c r="J6371" t="s">
        <v>32019</v>
      </c>
      <c r="K6371" t="s">
        <v>41193</v>
      </c>
      <c r="M6371" t="s">
        <v>42235</v>
      </c>
      <c r="N6371" t="s">
        <v>45095</v>
      </c>
      <c r="O6371" t="s">
        <v>45096</v>
      </c>
      <c r="P6371">
        <v>0</v>
      </c>
      <c r="Q6371">
        <v>0</v>
      </c>
      <c r="R6371" t="s">
        <v>45102</v>
      </c>
      <c r="S6371" t="s">
        <v>45242</v>
      </c>
      <c r="T6371" t="s">
        <v>46932</v>
      </c>
      <c r="U6371" t="s">
        <v>52807</v>
      </c>
      <c r="V6371" t="s">
        <v>60531</v>
      </c>
      <c r="W6371" t="s">
        <v>42235</v>
      </c>
      <c r="X6371" t="s">
        <v>45103</v>
      </c>
    </row>
    <row r="6372" spans="1:24">
      <c r="A6372">
        <f>HYPERLINK("https://www.philgeps.gov.ph/GEPSNONPILOT/Tender/SplashBidNoticeAbstractUI.aspx?menuIndex=3&amp;refID=7040564&amp;Result=3","7040564")</f>
        <v>0</v>
      </c>
      <c r="B6372" t="s">
        <v>265</v>
      </c>
      <c r="C6372" t="s">
        <v>9288</v>
      </c>
      <c r="D6372" t="s">
        <v>18052</v>
      </c>
      <c r="E6372" t="s">
        <v>23789</v>
      </c>
      <c r="F6372" t="s">
        <v>31574</v>
      </c>
      <c r="G6372" t="s">
        <v>31583</v>
      </c>
      <c r="H6372" t="s">
        <v>31590</v>
      </c>
      <c r="I6372" t="s">
        <v>3487</v>
      </c>
      <c r="J6372" t="s">
        <v>35818</v>
      </c>
      <c r="K6372" t="s">
        <v>41184</v>
      </c>
      <c r="M6372" t="s">
        <v>43637</v>
      </c>
      <c r="N6372" t="s">
        <v>45095</v>
      </c>
      <c r="O6372" t="s">
        <v>45096</v>
      </c>
      <c r="P6372">
        <v>0</v>
      </c>
      <c r="Q6372">
        <v>2</v>
      </c>
      <c r="R6372" t="s">
        <v>45102</v>
      </c>
      <c r="S6372" t="s">
        <v>45242</v>
      </c>
      <c r="T6372" t="s">
        <v>47106</v>
      </c>
      <c r="U6372" t="s">
        <v>52808</v>
      </c>
      <c r="W6372" t="s">
        <v>43637</v>
      </c>
      <c r="X6372" t="s">
        <v>45103</v>
      </c>
    </row>
    <row r="6373" spans="1:24">
      <c r="A6373">
        <f>HYPERLINK("https://www.philgeps.gov.ph/GEPSNONPILOT/Tender/SplashBidNoticeAbstractUI.aspx?menuIndex=3&amp;refID=7040548&amp;Result=3","7040548")</f>
        <v>0</v>
      </c>
      <c r="B6373" t="s">
        <v>1961</v>
      </c>
      <c r="C6373" t="s">
        <v>9289</v>
      </c>
      <c r="D6373" t="s">
        <v>18033</v>
      </c>
      <c r="E6373" t="s">
        <v>23790</v>
      </c>
      <c r="F6373" t="s">
        <v>31574</v>
      </c>
      <c r="G6373" t="s">
        <v>31582</v>
      </c>
      <c r="H6373" t="s">
        <v>31591</v>
      </c>
      <c r="I6373" t="s">
        <v>31638</v>
      </c>
      <c r="J6373" t="s">
        <v>35819</v>
      </c>
      <c r="K6373" t="s">
        <v>41200</v>
      </c>
      <c r="M6373" t="s">
        <v>43618</v>
      </c>
      <c r="N6373" t="s">
        <v>45095</v>
      </c>
      <c r="O6373" t="s">
        <v>45096</v>
      </c>
      <c r="P6373">
        <v>0</v>
      </c>
      <c r="Q6373">
        <v>6</v>
      </c>
      <c r="R6373" t="s">
        <v>45102</v>
      </c>
      <c r="S6373" t="s">
        <v>45242</v>
      </c>
      <c r="T6373" t="s">
        <v>47004</v>
      </c>
      <c r="U6373" t="s">
        <v>52809</v>
      </c>
      <c r="V6373" t="s">
        <v>60518</v>
      </c>
      <c r="W6373" t="s">
        <v>43618</v>
      </c>
      <c r="X6373" t="s">
        <v>45103</v>
      </c>
    </row>
    <row r="6374" spans="1:24">
      <c r="A6374">
        <f>HYPERLINK("https://www.philgeps.gov.ph/GEPSNONPILOT/Tender/SplashBidNoticeAbstractUI.aspx?menuIndex=3&amp;refID=7040524&amp;Result=3","7040524")</f>
        <v>0</v>
      </c>
      <c r="B6374" t="s">
        <v>1980</v>
      </c>
      <c r="C6374" t="s">
        <v>9290</v>
      </c>
      <c r="D6374" t="s">
        <v>18048</v>
      </c>
      <c r="E6374" t="s">
        <v>23791</v>
      </c>
      <c r="F6374" t="s">
        <v>31574</v>
      </c>
      <c r="G6374" t="s">
        <v>31582</v>
      </c>
      <c r="H6374" t="s">
        <v>31591</v>
      </c>
      <c r="I6374" t="s">
        <v>8822</v>
      </c>
      <c r="J6374" t="s">
        <v>35820</v>
      </c>
      <c r="K6374" t="s">
        <v>41200</v>
      </c>
      <c r="M6374" t="s">
        <v>43638</v>
      </c>
      <c r="N6374" t="s">
        <v>45095</v>
      </c>
      <c r="O6374" t="s">
        <v>45096</v>
      </c>
      <c r="P6374">
        <v>0</v>
      </c>
      <c r="Q6374">
        <v>1</v>
      </c>
      <c r="R6374" t="s">
        <v>45102</v>
      </c>
      <c r="S6374" t="s">
        <v>45242</v>
      </c>
      <c r="T6374" t="s">
        <v>47172</v>
      </c>
      <c r="U6374" t="s">
        <v>52810</v>
      </c>
      <c r="W6374" t="s">
        <v>43638</v>
      </c>
      <c r="X6374" t="s">
        <v>45103</v>
      </c>
    </row>
    <row r="6375" spans="1:24">
      <c r="A6375">
        <f>HYPERLINK("https://www.philgeps.gov.ph/GEPSNONPILOT/Tender/SplashBidNoticeAbstractUI.aspx?menuIndex=3&amp;refID=7040545&amp;Result=3","7040545")</f>
        <v>0</v>
      </c>
      <c r="B6375" t="s">
        <v>62</v>
      </c>
      <c r="C6375" t="s">
        <v>9291</v>
      </c>
      <c r="D6375" t="s">
        <v>18037</v>
      </c>
      <c r="E6375" t="s">
        <v>23792</v>
      </c>
      <c r="F6375" t="s">
        <v>31574</v>
      </c>
      <c r="G6375" t="s">
        <v>31581</v>
      </c>
      <c r="H6375" t="s">
        <v>31590</v>
      </c>
      <c r="I6375" t="s">
        <v>4327</v>
      </c>
      <c r="J6375" t="s">
        <v>32232</v>
      </c>
      <c r="K6375" t="s">
        <v>41184</v>
      </c>
      <c r="L6375" t="s">
        <v>62</v>
      </c>
      <c r="M6375" t="s">
        <v>41546</v>
      </c>
      <c r="N6375" t="s">
        <v>45095</v>
      </c>
      <c r="O6375" t="s">
        <v>45096</v>
      </c>
      <c r="P6375">
        <v>0</v>
      </c>
      <c r="Q6375">
        <v>1</v>
      </c>
      <c r="R6375" t="s">
        <v>45102</v>
      </c>
      <c r="S6375" t="s">
        <v>45242</v>
      </c>
      <c r="T6375" t="s">
        <v>47050</v>
      </c>
      <c r="U6375" t="s">
        <v>52811</v>
      </c>
      <c r="W6375" t="s">
        <v>41546</v>
      </c>
      <c r="X6375" t="s">
        <v>45103</v>
      </c>
    </row>
    <row r="6376" spans="1:24">
      <c r="A6376">
        <f>HYPERLINK("https://www.philgeps.gov.ph/GEPSNONPILOT/Tender/SplashBidNoticeAbstractUI.aspx?menuIndex=3&amp;refID=7040566&amp;Result=3","7040566")</f>
        <v>0</v>
      </c>
      <c r="B6376" t="s">
        <v>1032</v>
      </c>
      <c r="C6376" t="s">
        <v>9257</v>
      </c>
      <c r="E6376" t="s">
        <v>23793</v>
      </c>
      <c r="F6376" t="s">
        <v>31574</v>
      </c>
      <c r="G6376" t="s">
        <v>31582</v>
      </c>
      <c r="H6376" t="s">
        <v>31590</v>
      </c>
      <c r="I6376" t="s">
        <v>31594</v>
      </c>
      <c r="J6376" t="s">
        <v>35821</v>
      </c>
      <c r="K6376" t="s">
        <v>41192</v>
      </c>
      <c r="M6376" t="s">
        <v>42573</v>
      </c>
      <c r="N6376" t="s">
        <v>45095</v>
      </c>
      <c r="O6376" t="s">
        <v>45096</v>
      </c>
      <c r="P6376">
        <v>0</v>
      </c>
      <c r="Q6376">
        <v>41</v>
      </c>
      <c r="R6376" t="s">
        <v>45102</v>
      </c>
      <c r="S6376" t="s">
        <v>45242</v>
      </c>
      <c r="T6376" t="s">
        <v>47286</v>
      </c>
      <c r="U6376" t="s">
        <v>49811</v>
      </c>
      <c r="W6376" t="s">
        <v>42573</v>
      </c>
      <c r="X6376" t="s">
        <v>45103</v>
      </c>
    </row>
    <row r="6377" spans="1:24">
      <c r="A6377">
        <f>HYPERLINK("https://www.philgeps.gov.ph/GEPSNONPILOT/Tender/SplashBidNoticeAbstractUI.aspx?menuIndex=3&amp;refID=7040547&amp;Result=3","7040547")</f>
        <v>0</v>
      </c>
      <c r="B6377" t="s">
        <v>495</v>
      </c>
      <c r="C6377" t="s">
        <v>9292</v>
      </c>
      <c r="D6377" t="s">
        <v>18099</v>
      </c>
      <c r="E6377" t="s">
        <v>23794</v>
      </c>
      <c r="F6377" t="s">
        <v>31574</v>
      </c>
      <c r="G6377" t="s">
        <v>31582</v>
      </c>
      <c r="H6377" t="s">
        <v>31590</v>
      </c>
      <c r="I6377" t="s">
        <v>31608</v>
      </c>
      <c r="J6377" t="s">
        <v>35822</v>
      </c>
      <c r="K6377" t="s">
        <v>41190</v>
      </c>
      <c r="M6377" t="s">
        <v>41991</v>
      </c>
      <c r="N6377" t="s">
        <v>45095</v>
      </c>
      <c r="O6377" t="s">
        <v>45096</v>
      </c>
      <c r="P6377">
        <v>0</v>
      </c>
      <c r="Q6377">
        <v>1</v>
      </c>
      <c r="R6377" t="s">
        <v>45102</v>
      </c>
      <c r="S6377" t="s">
        <v>45242</v>
      </c>
      <c r="T6377" t="s">
        <v>47275</v>
      </c>
      <c r="U6377" t="s">
        <v>52812</v>
      </c>
      <c r="W6377" t="s">
        <v>41991</v>
      </c>
      <c r="X6377" t="s">
        <v>45103</v>
      </c>
    </row>
    <row r="6378" spans="1:24">
      <c r="A6378">
        <f>HYPERLINK("https://www.philgeps.gov.ph/GEPSNONPILOT/Tender/SplashBidNoticeAbstractUI.aspx?menuIndex=3&amp;refID=7040540&amp;Result=3","7040540")</f>
        <v>0</v>
      </c>
      <c r="B6378" t="s">
        <v>725</v>
      </c>
      <c r="C6378" t="s">
        <v>9293</v>
      </c>
      <c r="D6378" t="s">
        <v>18092</v>
      </c>
      <c r="E6378" t="s">
        <v>23795</v>
      </c>
      <c r="F6378" t="s">
        <v>31574</v>
      </c>
      <c r="G6378" t="s">
        <v>31582</v>
      </c>
      <c r="H6378" t="s">
        <v>31590</v>
      </c>
      <c r="I6378" t="s">
        <v>31600</v>
      </c>
      <c r="J6378" t="s">
        <v>35823</v>
      </c>
      <c r="K6378" t="s">
        <v>41193</v>
      </c>
      <c r="M6378" t="s">
        <v>42235</v>
      </c>
      <c r="N6378" t="s">
        <v>45095</v>
      </c>
      <c r="O6378" t="s">
        <v>45096</v>
      </c>
      <c r="P6378">
        <v>0</v>
      </c>
      <c r="Q6378">
        <v>0</v>
      </c>
      <c r="R6378" t="s">
        <v>45102</v>
      </c>
      <c r="S6378" t="s">
        <v>45242</v>
      </c>
      <c r="T6378" t="s">
        <v>46932</v>
      </c>
      <c r="U6378" t="s">
        <v>52813</v>
      </c>
      <c r="V6378" t="s">
        <v>60532</v>
      </c>
      <c r="W6378" t="s">
        <v>42235</v>
      </c>
      <c r="X6378" t="s">
        <v>45103</v>
      </c>
    </row>
    <row r="6379" spans="1:24">
      <c r="A6379">
        <f>HYPERLINK("https://www.philgeps.gov.ph/GEPSNONPILOT/Tender/SplashBidNoticeAbstractUI.aspx?menuIndex=3&amp;refID=7040544&amp;Result=3","7040544")</f>
        <v>0</v>
      </c>
      <c r="B6379" t="s">
        <v>1032</v>
      </c>
      <c r="C6379" t="s">
        <v>9257</v>
      </c>
      <c r="E6379" t="s">
        <v>23796</v>
      </c>
      <c r="F6379" t="s">
        <v>31574</v>
      </c>
      <c r="G6379" t="s">
        <v>31582</v>
      </c>
      <c r="H6379" t="s">
        <v>31590</v>
      </c>
      <c r="I6379" t="s">
        <v>31594</v>
      </c>
      <c r="J6379" t="s">
        <v>35824</v>
      </c>
      <c r="K6379" t="s">
        <v>41192</v>
      </c>
      <c r="M6379" t="s">
        <v>42573</v>
      </c>
      <c r="N6379" t="s">
        <v>45095</v>
      </c>
      <c r="O6379" t="s">
        <v>45096</v>
      </c>
      <c r="P6379">
        <v>0</v>
      </c>
      <c r="Q6379">
        <v>38</v>
      </c>
      <c r="R6379" t="s">
        <v>45102</v>
      </c>
      <c r="S6379" t="s">
        <v>45242</v>
      </c>
      <c r="T6379" t="s">
        <v>47287</v>
      </c>
      <c r="U6379" t="s">
        <v>49811</v>
      </c>
      <c r="W6379" t="s">
        <v>42573</v>
      </c>
      <c r="X6379" t="s">
        <v>45103</v>
      </c>
    </row>
    <row r="6380" spans="1:24">
      <c r="A6380">
        <f>HYPERLINK("https://www.philgeps.gov.ph/GEPSNONPILOT/Tender/SplashBidNoticeAbstractUI.aspx?menuIndex=3&amp;refID=7040574&amp;Result=3","7040574")</f>
        <v>0</v>
      </c>
      <c r="B6380" t="s">
        <v>893</v>
      </c>
      <c r="C6380" t="s">
        <v>9294</v>
      </c>
      <c r="E6380" t="s">
        <v>23797</v>
      </c>
      <c r="F6380" t="s">
        <v>31574</v>
      </c>
      <c r="G6380" t="s">
        <v>31581</v>
      </c>
      <c r="H6380" t="s">
        <v>31592</v>
      </c>
      <c r="I6380" t="s">
        <v>31617</v>
      </c>
      <c r="J6380" t="s">
        <v>35825</v>
      </c>
      <c r="K6380" t="s">
        <v>41211</v>
      </c>
      <c r="M6380" t="s">
        <v>42417</v>
      </c>
      <c r="N6380" t="s">
        <v>45095</v>
      </c>
      <c r="O6380" t="s">
        <v>45096</v>
      </c>
      <c r="P6380">
        <v>0</v>
      </c>
      <c r="Q6380">
        <v>0</v>
      </c>
      <c r="R6380" t="s">
        <v>45102</v>
      </c>
      <c r="S6380" t="s">
        <v>45242</v>
      </c>
      <c r="T6380" t="s">
        <v>47158</v>
      </c>
      <c r="U6380" t="s">
        <v>49395</v>
      </c>
      <c r="V6380" t="s">
        <v>60071</v>
      </c>
      <c r="W6380" t="s">
        <v>42417</v>
      </c>
      <c r="X6380" t="s">
        <v>45103</v>
      </c>
    </row>
    <row r="6381" spans="1:24">
      <c r="A6381">
        <f>HYPERLINK("https://www.philgeps.gov.ph/GEPSNONPILOT/Tender/SplashBidNoticeAbstractUI.aspx?menuIndex=3&amp;refID=7040569&amp;Result=3","7040569")</f>
        <v>0</v>
      </c>
      <c r="B6381" t="s">
        <v>1981</v>
      </c>
      <c r="C6381" t="s">
        <v>9295</v>
      </c>
      <c r="D6381" t="s">
        <v>18043</v>
      </c>
      <c r="E6381" t="s">
        <v>20108</v>
      </c>
      <c r="F6381" t="s">
        <v>31574</v>
      </c>
      <c r="G6381" t="s">
        <v>31581</v>
      </c>
      <c r="H6381" t="s">
        <v>31592</v>
      </c>
      <c r="I6381" t="s">
        <v>5717</v>
      </c>
      <c r="J6381" t="s">
        <v>31843</v>
      </c>
      <c r="K6381" t="s">
        <v>41193</v>
      </c>
      <c r="M6381" t="s">
        <v>43639</v>
      </c>
      <c r="N6381" t="s">
        <v>45095</v>
      </c>
      <c r="O6381" t="s">
        <v>45096</v>
      </c>
      <c r="P6381">
        <v>0</v>
      </c>
      <c r="Q6381">
        <v>4</v>
      </c>
      <c r="R6381" t="s">
        <v>45102</v>
      </c>
      <c r="S6381" t="s">
        <v>45242</v>
      </c>
      <c r="T6381" t="s">
        <v>47288</v>
      </c>
      <c r="U6381" t="s">
        <v>52814</v>
      </c>
      <c r="W6381" t="s">
        <v>43639</v>
      </c>
      <c r="X6381" t="s">
        <v>45103</v>
      </c>
    </row>
    <row r="6382" spans="1:24">
      <c r="A6382">
        <f>HYPERLINK("https://www.philgeps.gov.ph/GEPSNONPILOT/Tender/SplashBidNoticeAbstractUI.aspx?menuIndex=3&amp;refID=7040532&amp;Result=3","7040532")</f>
        <v>0</v>
      </c>
      <c r="B6382" t="s">
        <v>1969</v>
      </c>
      <c r="C6382" t="s">
        <v>9296</v>
      </c>
      <c r="D6382" t="s">
        <v>18071</v>
      </c>
      <c r="E6382" t="s">
        <v>23798</v>
      </c>
      <c r="F6382" t="s">
        <v>31574</v>
      </c>
      <c r="G6382" t="s">
        <v>31582</v>
      </c>
      <c r="H6382" t="s">
        <v>31590</v>
      </c>
      <c r="I6382" t="s">
        <v>3520</v>
      </c>
      <c r="J6382" t="s">
        <v>32910</v>
      </c>
      <c r="K6382" t="s">
        <v>41194</v>
      </c>
      <c r="M6382" t="s">
        <v>43626</v>
      </c>
      <c r="N6382" t="s">
        <v>45095</v>
      </c>
      <c r="O6382" t="s">
        <v>45096</v>
      </c>
      <c r="P6382">
        <v>0</v>
      </c>
      <c r="Q6382">
        <v>2</v>
      </c>
      <c r="R6382" t="s">
        <v>45102</v>
      </c>
      <c r="S6382" t="s">
        <v>45242</v>
      </c>
      <c r="T6382" t="s">
        <v>47263</v>
      </c>
      <c r="U6382" t="s">
        <v>52815</v>
      </c>
      <c r="V6382" t="s">
        <v>60523</v>
      </c>
      <c r="W6382" t="s">
        <v>43626</v>
      </c>
      <c r="X6382" t="s">
        <v>45103</v>
      </c>
    </row>
    <row r="6383" spans="1:24">
      <c r="A6383">
        <f>HYPERLINK("https://www.philgeps.gov.ph/GEPSNONPILOT/Tender/SplashBidNoticeAbstractUI.aspx?menuIndex=3&amp;refID=7040543&amp;Result=3","7040543")</f>
        <v>0</v>
      </c>
      <c r="B6383" t="s">
        <v>289</v>
      </c>
      <c r="C6383" t="s">
        <v>9297</v>
      </c>
      <c r="D6383" t="s">
        <v>18044</v>
      </c>
      <c r="E6383" t="s">
        <v>23799</v>
      </c>
      <c r="F6383" t="s">
        <v>31574</v>
      </c>
      <c r="G6383" t="s">
        <v>31582</v>
      </c>
      <c r="H6383" t="s">
        <v>31592</v>
      </c>
      <c r="I6383" t="s">
        <v>31596</v>
      </c>
      <c r="J6383" t="s">
        <v>35826</v>
      </c>
      <c r="K6383" t="s">
        <v>41346</v>
      </c>
      <c r="M6383" t="s">
        <v>41775</v>
      </c>
      <c r="N6383" t="s">
        <v>45095</v>
      </c>
      <c r="O6383" t="s">
        <v>45096</v>
      </c>
      <c r="P6383">
        <v>0</v>
      </c>
      <c r="Q6383">
        <v>0</v>
      </c>
      <c r="R6383" t="s">
        <v>45102</v>
      </c>
      <c r="S6383" t="s">
        <v>45242</v>
      </c>
      <c r="T6383" t="s">
        <v>46962</v>
      </c>
      <c r="U6383" t="s">
        <v>52816</v>
      </c>
      <c r="W6383" t="s">
        <v>61661</v>
      </c>
      <c r="X6383" t="s">
        <v>45103</v>
      </c>
    </row>
    <row r="6384" spans="1:24">
      <c r="A6384">
        <f>HYPERLINK("https://www.philgeps.gov.ph/GEPSNONPILOT/Tender/SplashBidNoticeAbstractUI.aspx?menuIndex=3&amp;refID=7040572&amp;Result=3","7040572")</f>
        <v>0</v>
      </c>
      <c r="B6384" t="s">
        <v>495</v>
      </c>
      <c r="C6384" t="s">
        <v>9298</v>
      </c>
      <c r="D6384" t="s">
        <v>18099</v>
      </c>
      <c r="E6384" t="s">
        <v>23800</v>
      </c>
      <c r="F6384" t="s">
        <v>31574</v>
      </c>
      <c r="G6384" t="s">
        <v>31582</v>
      </c>
      <c r="H6384" t="s">
        <v>31590</v>
      </c>
      <c r="I6384" t="s">
        <v>31615</v>
      </c>
      <c r="J6384" t="s">
        <v>35827</v>
      </c>
      <c r="K6384" t="s">
        <v>41186</v>
      </c>
      <c r="M6384" t="s">
        <v>41991</v>
      </c>
      <c r="N6384" t="s">
        <v>45095</v>
      </c>
      <c r="O6384" t="s">
        <v>45096</v>
      </c>
      <c r="P6384">
        <v>0</v>
      </c>
      <c r="Q6384">
        <v>10</v>
      </c>
      <c r="R6384" t="s">
        <v>45102</v>
      </c>
      <c r="S6384" t="s">
        <v>45242</v>
      </c>
      <c r="T6384" t="s">
        <v>47275</v>
      </c>
      <c r="U6384" t="s">
        <v>52817</v>
      </c>
      <c r="W6384" t="s">
        <v>41991</v>
      </c>
      <c r="X6384" t="s">
        <v>45103</v>
      </c>
    </row>
    <row r="6385" spans="1:24">
      <c r="A6385">
        <f>HYPERLINK("https://www.philgeps.gov.ph/GEPSNONPILOT/Tender/SplashBidNoticeAbstractUI.aspx?menuIndex=3&amp;refID=7040542&amp;Result=3","7040542")</f>
        <v>0</v>
      </c>
      <c r="B6385" t="s">
        <v>1965</v>
      </c>
      <c r="C6385" t="s">
        <v>9299</v>
      </c>
      <c r="D6385" t="s">
        <v>18022</v>
      </c>
      <c r="E6385" t="s">
        <v>23801</v>
      </c>
      <c r="F6385" t="s">
        <v>31574</v>
      </c>
      <c r="G6385" t="s">
        <v>31581</v>
      </c>
      <c r="H6385" t="s">
        <v>31590</v>
      </c>
      <c r="I6385" t="s">
        <v>31603</v>
      </c>
      <c r="J6385" t="s">
        <v>35828</v>
      </c>
      <c r="K6385" t="s">
        <v>41184</v>
      </c>
      <c r="M6385" t="s">
        <v>43622</v>
      </c>
      <c r="N6385" t="s">
        <v>45095</v>
      </c>
      <c r="O6385" t="s">
        <v>45096</v>
      </c>
      <c r="P6385">
        <v>0</v>
      </c>
      <c r="Q6385">
        <v>16</v>
      </c>
      <c r="R6385" t="s">
        <v>45102</v>
      </c>
      <c r="S6385" t="s">
        <v>45242</v>
      </c>
      <c r="T6385" t="s">
        <v>47177</v>
      </c>
      <c r="U6385" t="s">
        <v>52754</v>
      </c>
      <c r="W6385" t="s">
        <v>43622</v>
      </c>
      <c r="X6385" t="s">
        <v>45103</v>
      </c>
    </row>
    <row r="6386" spans="1:24">
      <c r="A6386">
        <f>HYPERLINK("https://www.philgeps.gov.ph/GEPSNONPILOT/Tender/SplashBidNoticeAbstractUI.aspx?menuIndex=3&amp;refID=7040576&amp;Result=3","7040576")</f>
        <v>0</v>
      </c>
      <c r="B6386" t="s">
        <v>1969</v>
      </c>
      <c r="C6386" t="s">
        <v>9300</v>
      </c>
      <c r="D6386" t="s">
        <v>18071</v>
      </c>
      <c r="E6386" t="s">
        <v>23802</v>
      </c>
      <c r="F6386" t="s">
        <v>31574</v>
      </c>
      <c r="G6386" t="s">
        <v>31582</v>
      </c>
      <c r="H6386" t="s">
        <v>31590</v>
      </c>
      <c r="I6386" t="s">
        <v>31615</v>
      </c>
      <c r="J6386" t="s">
        <v>31935</v>
      </c>
      <c r="K6386" t="s">
        <v>41185</v>
      </c>
      <c r="M6386" t="s">
        <v>43626</v>
      </c>
      <c r="N6386" t="s">
        <v>45095</v>
      </c>
      <c r="O6386" t="s">
        <v>45096</v>
      </c>
      <c r="P6386">
        <v>0</v>
      </c>
      <c r="Q6386">
        <v>2</v>
      </c>
      <c r="R6386" t="s">
        <v>45102</v>
      </c>
      <c r="S6386" t="s">
        <v>45242</v>
      </c>
      <c r="T6386" t="s">
        <v>47263</v>
      </c>
      <c r="U6386" t="s">
        <v>52818</v>
      </c>
      <c r="V6386" t="s">
        <v>60523</v>
      </c>
      <c r="W6386" t="s">
        <v>43626</v>
      </c>
      <c r="X6386" t="s">
        <v>45103</v>
      </c>
    </row>
    <row r="6387" spans="1:24">
      <c r="A6387">
        <f>HYPERLINK("https://www.philgeps.gov.ph/GEPSNONPILOT/Tender/SplashBidNoticeAbstractUI.aspx?menuIndex=3&amp;refID=7040591&amp;Result=3","7040591")</f>
        <v>0</v>
      </c>
      <c r="B6387" t="s">
        <v>377</v>
      </c>
      <c r="C6387" t="s">
        <v>9301</v>
      </c>
      <c r="E6387" t="s">
        <v>19697</v>
      </c>
      <c r="F6387" t="s">
        <v>31574</v>
      </c>
      <c r="G6387" t="s">
        <v>31582</v>
      </c>
      <c r="H6387" t="s">
        <v>31590</v>
      </c>
      <c r="I6387" t="s">
        <v>31614</v>
      </c>
      <c r="J6387" t="s">
        <v>35829</v>
      </c>
      <c r="K6387" t="s">
        <v>41184</v>
      </c>
      <c r="M6387" t="s">
        <v>41867</v>
      </c>
      <c r="N6387" t="s">
        <v>45095</v>
      </c>
      <c r="O6387" t="s">
        <v>45096</v>
      </c>
      <c r="P6387">
        <v>0</v>
      </c>
      <c r="Q6387">
        <v>5</v>
      </c>
      <c r="R6387" t="s">
        <v>45102</v>
      </c>
      <c r="S6387" t="s">
        <v>45242</v>
      </c>
      <c r="T6387" t="s">
        <v>46939</v>
      </c>
      <c r="U6387" t="s">
        <v>52819</v>
      </c>
      <c r="V6387" t="s">
        <v>60533</v>
      </c>
      <c r="W6387" t="s">
        <v>41867</v>
      </c>
      <c r="X6387" t="s">
        <v>45103</v>
      </c>
    </row>
    <row r="6388" spans="1:24">
      <c r="A6388">
        <f>HYPERLINK("https://www.philgeps.gov.ph/GEPSNONPILOT/Tender/SplashBidNoticeAbstractUI.aspx?menuIndex=3&amp;refID=7040573&amp;Result=3","7040573")</f>
        <v>0</v>
      </c>
      <c r="B6388" t="s">
        <v>725</v>
      </c>
      <c r="C6388" t="s">
        <v>9302</v>
      </c>
      <c r="D6388" t="s">
        <v>18092</v>
      </c>
      <c r="E6388" t="s">
        <v>23803</v>
      </c>
      <c r="F6388" t="s">
        <v>31574</v>
      </c>
      <c r="G6388" t="s">
        <v>31582</v>
      </c>
      <c r="H6388" t="s">
        <v>31590</v>
      </c>
      <c r="I6388" t="s">
        <v>31633</v>
      </c>
      <c r="J6388" t="s">
        <v>31927</v>
      </c>
      <c r="K6388" t="s">
        <v>41193</v>
      </c>
      <c r="M6388" t="s">
        <v>42235</v>
      </c>
      <c r="N6388" t="s">
        <v>45095</v>
      </c>
      <c r="O6388" t="s">
        <v>45096</v>
      </c>
      <c r="P6388">
        <v>0</v>
      </c>
      <c r="Q6388">
        <v>0</v>
      </c>
      <c r="R6388" t="s">
        <v>45102</v>
      </c>
      <c r="S6388" t="s">
        <v>45242</v>
      </c>
      <c r="T6388" t="s">
        <v>46932</v>
      </c>
      <c r="U6388" t="s">
        <v>52820</v>
      </c>
      <c r="V6388" t="s">
        <v>60534</v>
      </c>
      <c r="W6388" t="s">
        <v>42235</v>
      </c>
      <c r="X6388" t="s">
        <v>45103</v>
      </c>
    </row>
    <row r="6389" spans="1:24">
      <c r="A6389">
        <f>HYPERLINK("https://www.philgeps.gov.ph/GEPSNONPILOT/Tender/SplashBidNoticeAbstractUI.aspx?menuIndex=3&amp;refID=7040586&amp;Result=3","7040586")</f>
        <v>0</v>
      </c>
      <c r="B6389" t="s">
        <v>1969</v>
      </c>
      <c r="C6389" t="s">
        <v>9303</v>
      </c>
      <c r="D6389" t="s">
        <v>18071</v>
      </c>
      <c r="E6389" t="s">
        <v>23804</v>
      </c>
      <c r="F6389" t="s">
        <v>31574</v>
      </c>
      <c r="G6389" t="s">
        <v>31582</v>
      </c>
      <c r="H6389" t="s">
        <v>31590</v>
      </c>
      <c r="I6389" t="s">
        <v>31615</v>
      </c>
      <c r="J6389" t="s">
        <v>31935</v>
      </c>
      <c r="K6389" t="s">
        <v>41185</v>
      </c>
      <c r="M6389" t="s">
        <v>43626</v>
      </c>
      <c r="N6389" t="s">
        <v>45095</v>
      </c>
      <c r="O6389" t="s">
        <v>45096</v>
      </c>
      <c r="P6389">
        <v>0</v>
      </c>
      <c r="Q6389">
        <v>1</v>
      </c>
      <c r="R6389" t="s">
        <v>45102</v>
      </c>
      <c r="S6389" t="s">
        <v>45242</v>
      </c>
      <c r="T6389" t="s">
        <v>47263</v>
      </c>
      <c r="U6389" t="s">
        <v>52821</v>
      </c>
      <c r="V6389" t="s">
        <v>60523</v>
      </c>
      <c r="W6389" t="s">
        <v>43626</v>
      </c>
      <c r="X6389" t="s">
        <v>45103</v>
      </c>
    </row>
    <row r="6390" spans="1:24">
      <c r="A6390">
        <f>HYPERLINK("https://www.philgeps.gov.ph/GEPSNONPILOT/Tender/SplashBidNoticeAbstractUI.aspx?menuIndex=3&amp;refID=7040571&amp;Result=3","7040571")</f>
        <v>0</v>
      </c>
      <c r="B6390" t="s">
        <v>1361</v>
      </c>
      <c r="C6390" t="s">
        <v>9304</v>
      </c>
      <c r="D6390" t="s">
        <v>18030</v>
      </c>
      <c r="E6390" t="s">
        <v>23805</v>
      </c>
      <c r="F6390" t="s">
        <v>31574</v>
      </c>
      <c r="G6390" t="s">
        <v>31582</v>
      </c>
      <c r="H6390" t="s">
        <v>31590</v>
      </c>
      <c r="I6390" t="s">
        <v>31615</v>
      </c>
      <c r="J6390" t="s">
        <v>32510</v>
      </c>
      <c r="K6390" t="s">
        <v>41184</v>
      </c>
      <c r="M6390" t="s">
        <v>42933</v>
      </c>
      <c r="N6390" t="s">
        <v>45095</v>
      </c>
      <c r="O6390" t="s">
        <v>45096</v>
      </c>
      <c r="P6390">
        <v>0</v>
      </c>
      <c r="Q6390">
        <v>3</v>
      </c>
      <c r="R6390" t="s">
        <v>45102</v>
      </c>
      <c r="S6390" t="s">
        <v>45242</v>
      </c>
      <c r="T6390" t="s">
        <v>46982</v>
      </c>
      <c r="U6390" t="s">
        <v>52822</v>
      </c>
      <c r="W6390" t="s">
        <v>42933</v>
      </c>
      <c r="X6390" t="s">
        <v>45103</v>
      </c>
    </row>
    <row r="6391" spans="1:24">
      <c r="A6391">
        <f>HYPERLINK("https://www.philgeps.gov.ph/GEPSNONPILOT/Tender/SplashBidNoticeAbstractUI.aspx?menuIndex=3&amp;refID=7040592&amp;Result=3","7040592")</f>
        <v>0</v>
      </c>
      <c r="B6391" t="s">
        <v>1361</v>
      </c>
      <c r="C6391" t="s">
        <v>9305</v>
      </c>
      <c r="D6391" t="s">
        <v>18030</v>
      </c>
      <c r="E6391" t="s">
        <v>23806</v>
      </c>
      <c r="F6391" t="s">
        <v>31574</v>
      </c>
      <c r="G6391" t="s">
        <v>31582</v>
      </c>
      <c r="H6391" t="s">
        <v>31590</v>
      </c>
      <c r="I6391" t="s">
        <v>31608</v>
      </c>
      <c r="J6391" t="s">
        <v>35830</v>
      </c>
      <c r="K6391" t="s">
        <v>41184</v>
      </c>
      <c r="M6391" t="s">
        <v>42933</v>
      </c>
      <c r="N6391" t="s">
        <v>45095</v>
      </c>
      <c r="O6391" t="s">
        <v>45096</v>
      </c>
      <c r="P6391">
        <v>0</v>
      </c>
      <c r="Q6391">
        <v>1</v>
      </c>
      <c r="R6391" t="s">
        <v>45102</v>
      </c>
      <c r="S6391" t="s">
        <v>45242</v>
      </c>
      <c r="T6391" t="s">
        <v>46982</v>
      </c>
      <c r="U6391" t="s">
        <v>52822</v>
      </c>
      <c r="W6391" t="s">
        <v>42933</v>
      </c>
      <c r="X6391" t="s">
        <v>45103</v>
      </c>
    </row>
    <row r="6392" spans="1:24">
      <c r="A6392">
        <f>HYPERLINK("https://www.philgeps.gov.ph/GEPSNONPILOT/Tender/SplashBidNoticeAbstractUI.aspx?menuIndex=3&amp;refID=7040588&amp;Result=3","7040588")</f>
        <v>0</v>
      </c>
      <c r="B6392" t="s">
        <v>829</v>
      </c>
      <c r="C6392" t="s">
        <v>9306</v>
      </c>
      <c r="D6392" t="s">
        <v>18022</v>
      </c>
      <c r="E6392" t="s">
        <v>23807</v>
      </c>
      <c r="F6392" t="s">
        <v>31574</v>
      </c>
      <c r="G6392" t="s">
        <v>31582</v>
      </c>
      <c r="H6392" t="s">
        <v>31590</v>
      </c>
      <c r="I6392" t="s">
        <v>31620</v>
      </c>
      <c r="J6392" t="s">
        <v>35831</v>
      </c>
      <c r="K6392" t="s">
        <v>41189</v>
      </c>
      <c r="M6392" t="s">
        <v>42348</v>
      </c>
      <c r="N6392" t="s">
        <v>45095</v>
      </c>
      <c r="O6392" t="s">
        <v>45096</v>
      </c>
      <c r="P6392">
        <v>0</v>
      </c>
      <c r="Q6392">
        <v>17</v>
      </c>
      <c r="R6392" t="s">
        <v>45102</v>
      </c>
      <c r="S6392" t="s">
        <v>45242</v>
      </c>
      <c r="T6392" t="s">
        <v>47211</v>
      </c>
      <c r="U6392" t="s">
        <v>52823</v>
      </c>
      <c r="W6392" t="s">
        <v>42348</v>
      </c>
      <c r="X6392" t="s">
        <v>45103</v>
      </c>
    </row>
    <row r="6393" spans="1:24">
      <c r="A6393">
        <f>HYPERLINK("https://www.philgeps.gov.ph/GEPSNONPILOT/Tender/SplashBidNoticeAbstractUI.aspx?menuIndex=3&amp;refID=7040582&amp;Result=3","7040582")</f>
        <v>0</v>
      </c>
      <c r="B6393" t="s">
        <v>1961</v>
      </c>
      <c r="C6393" t="s">
        <v>9307</v>
      </c>
      <c r="D6393" t="s">
        <v>18033</v>
      </c>
      <c r="E6393" t="s">
        <v>23808</v>
      </c>
      <c r="F6393" t="s">
        <v>31574</v>
      </c>
      <c r="G6393" t="s">
        <v>31582</v>
      </c>
      <c r="H6393" t="s">
        <v>31591</v>
      </c>
      <c r="I6393" t="s">
        <v>31638</v>
      </c>
      <c r="J6393" t="s">
        <v>35832</v>
      </c>
      <c r="K6393" t="s">
        <v>41200</v>
      </c>
      <c r="M6393" t="s">
        <v>43618</v>
      </c>
      <c r="N6393" t="s">
        <v>45095</v>
      </c>
      <c r="O6393" t="s">
        <v>45096</v>
      </c>
      <c r="P6393">
        <v>0</v>
      </c>
      <c r="Q6393">
        <v>6</v>
      </c>
      <c r="R6393" t="s">
        <v>45102</v>
      </c>
      <c r="S6393" t="s">
        <v>45242</v>
      </c>
      <c r="T6393" t="s">
        <v>47004</v>
      </c>
      <c r="U6393" t="s">
        <v>52824</v>
      </c>
      <c r="V6393" t="s">
        <v>60518</v>
      </c>
      <c r="W6393" t="s">
        <v>43618</v>
      </c>
      <c r="X6393" t="s">
        <v>45103</v>
      </c>
    </row>
    <row r="6394" spans="1:24">
      <c r="A6394">
        <f>HYPERLINK("https://www.philgeps.gov.ph/GEPSNONPILOT/Tender/SplashBidNoticeAbstractUI.aspx?menuIndex=3&amp;refID=7040584&amp;Result=3","7040584")</f>
        <v>0</v>
      </c>
      <c r="B6394" t="s">
        <v>377</v>
      </c>
      <c r="C6394" t="s">
        <v>9308</v>
      </c>
      <c r="E6394" t="s">
        <v>19686</v>
      </c>
      <c r="F6394" t="s">
        <v>31574</v>
      </c>
      <c r="G6394" t="s">
        <v>31582</v>
      </c>
      <c r="H6394" t="s">
        <v>31590</v>
      </c>
      <c r="I6394" t="s">
        <v>31599</v>
      </c>
      <c r="J6394" t="s">
        <v>35833</v>
      </c>
      <c r="K6394" t="s">
        <v>41184</v>
      </c>
      <c r="M6394" t="s">
        <v>41867</v>
      </c>
      <c r="N6394" t="s">
        <v>45095</v>
      </c>
      <c r="O6394" t="s">
        <v>45096</v>
      </c>
      <c r="P6394">
        <v>0</v>
      </c>
      <c r="Q6394">
        <v>1</v>
      </c>
      <c r="R6394" t="s">
        <v>45102</v>
      </c>
      <c r="S6394" t="s">
        <v>45242</v>
      </c>
      <c r="T6394" t="s">
        <v>46939</v>
      </c>
      <c r="U6394" t="s">
        <v>52825</v>
      </c>
      <c r="V6394" t="s">
        <v>60530</v>
      </c>
      <c r="W6394" t="s">
        <v>41867</v>
      </c>
      <c r="X6394" t="s">
        <v>45103</v>
      </c>
    </row>
    <row r="6395" spans="1:24">
      <c r="A6395">
        <f>HYPERLINK("https://www.philgeps.gov.ph/GEPSNONPILOT/Tender/SplashBidNoticeAbstractUI.aspx?menuIndex=3&amp;refID=7040590&amp;Result=3","7040590")</f>
        <v>0</v>
      </c>
      <c r="B6395" t="s">
        <v>1961</v>
      </c>
      <c r="C6395" t="s">
        <v>9309</v>
      </c>
      <c r="D6395" t="s">
        <v>18033</v>
      </c>
      <c r="E6395" t="s">
        <v>23809</v>
      </c>
      <c r="F6395" t="s">
        <v>31574</v>
      </c>
      <c r="G6395" t="s">
        <v>31582</v>
      </c>
      <c r="H6395" t="s">
        <v>31591</v>
      </c>
      <c r="I6395" t="s">
        <v>31638</v>
      </c>
      <c r="J6395" t="s">
        <v>35834</v>
      </c>
      <c r="K6395" t="s">
        <v>41200</v>
      </c>
      <c r="M6395" t="s">
        <v>43618</v>
      </c>
      <c r="N6395" t="s">
        <v>45095</v>
      </c>
      <c r="O6395" t="s">
        <v>45096</v>
      </c>
      <c r="P6395">
        <v>0</v>
      </c>
      <c r="Q6395">
        <v>6</v>
      </c>
      <c r="R6395" t="s">
        <v>45102</v>
      </c>
      <c r="S6395" t="s">
        <v>45242</v>
      </c>
      <c r="T6395" t="s">
        <v>47004</v>
      </c>
      <c r="U6395" t="s">
        <v>52826</v>
      </c>
      <c r="V6395" t="s">
        <v>60518</v>
      </c>
      <c r="W6395" t="s">
        <v>43618</v>
      </c>
      <c r="X6395" t="s">
        <v>45103</v>
      </c>
    </row>
    <row r="6396" spans="1:24">
      <c r="A6396">
        <f>HYPERLINK("https://www.philgeps.gov.ph/GEPSNONPILOT/Tender/SplashBidNoticeAbstractUI.aspx?menuIndex=3&amp;refID=7040585&amp;Result=3","7040585")</f>
        <v>0</v>
      </c>
      <c r="B6396" t="s">
        <v>1982</v>
      </c>
      <c r="C6396" t="s">
        <v>9310</v>
      </c>
      <c r="E6396" t="s">
        <v>18227</v>
      </c>
      <c r="F6396" t="s">
        <v>31574</v>
      </c>
      <c r="G6396" t="s">
        <v>31584</v>
      </c>
      <c r="H6396" t="s">
        <v>31590</v>
      </c>
      <c r="I6396" t="s">
        <v>5717</v>
      </c>
      <c r="J6396" t="s">
        <v>31741</v>
      </c>
      <c r="K6396" t="s">
        <v>41184</v>
      </c>
      <c r="M6396" t="s">
        <v>43640</v>
      </c>
      <c r="N6396" t="s">
        <v>45095</v>
      </c>
      <c r="O6396" t="s">
        <v>45096</v>
      </c>
      <c r="P6396">
        <v>0</v>
      </c>
      <c r="Q6396">
        <v>16</v>
      </c>
      <c r="R6396" t="s">
        <v>45102</v>
      </c>
      <c r="S6396" t="s">
        <v>45242</v>
      </c>
      <c r="T6396" t="s">
        <v>46936</v>
      </c>
      <c r="U6396" t="s">
        <v>52827</v>
      </c>
      <c r="W6396" t="s">
        <v>43640</v>
      </c>
      <c r="X6396" t="s">
        <v>45103</v>
      </c>
    </row>
    <row r="6397" spans="1:24">
      <c r="A6397">
        <f>HYPERLINK("https://www.philgeps.gov.ph/GEPSNONPILOT/Tender/SplashBidNoticeAbstractUI.aspx?menuIndex=3&amp;refID=7040580&amp;Result=3","7040580")</f>
        <v>0</v>
      </c>
      <c r="B6397" t="s">
        <v>1971</v>
      </c>
      <c r="C6397" t="s">
        <v>9311</v>
      </c>
      <c r="D6397" t="s">
        <v>18027</v>
      </c>
      <c r="E6397" t="s">
        <v>23810</v>
      </c>
      <c r="F6397" t="s">
        <v>31574</v>
      </c>
      <c r="G6397" t="s">
        <v>31582</v>
      </c>
      <c r="H6397" t="s">
        <v>31590</v>
      </c>
      <c r="I6397" t="s">
        <v>3520</v>
      </c>
      <c r="J6397" t="s">
        <v>35835</v>
      </c>
      <c r="K6397" t="s">
        <v>41189</v>
      </c>
      <c r="M6397" t="s">
        <v>43628</v>
      </c>
      <c r="N6397" t="s">
        <v>45095</v>
      </c>
      <c r="O6397" t="s">
        <v>45096</v>
      </c>
      <c r="P6397">
        <v>0</v>
      </c>
      <c r="Q6397">
        <v>2</v>
      </c>
      <c r="R6397" t="s">
        <v>45102</v>
      </c>
      <c r="S6397" t="s">
        <v>45242</v>
      </c>
      <c r="T6397" t="s">
        <v>47100</v>
      </c>
      <c r="U6397" t="s">
        <v>52828</v>
      </c>
      <c r="W6397" t="s">
        <v>43628</v>
      </c>
      <c r="X6397" t="s">
        <v>45103</v>
      </c>
    </row>
    <row r="6398" spans="1:24">
      <c r="A6398">
        <f>HYPERLINK("https://www.philgeps.gov.ph/GEPSNONPILOT/Tender/SplashBidNoticeAbstractUI.aspx?menuIndex=3&amp;refID=7040593&amp;Result=3","7040593")</f>
        <v>0</v>
      </c>
      <c r="B6398" t="s">
        <v>1871</v>
      </c>
      <c r="C6398" t="s">
        <v>9312</v>
      </c>
      <c r="D6398" t="s">
        <v>18037</v>
      </c>
      <c r="E6398" t="s">
        <v>19260</v>
      </c>
      <c r="F6398" t="s">
        <v>31574</v>
      </c>
      <c r="G6398" t="s">
        <v>31581</v>
      </c>
      <c r="H6398" t="s">
        <v>31590</v>
      </c>
      <c r="I6398" t="s">
        <v>8822</v>
      </c>
      <c r="J6398" t="s">
        <v>35836</v>
      </c>
      <c r="K6398" t="s">
        <v>41186</v>
      </c>
      <c r="M6398" t="s">
        <v>43641</v>
      </c>
      <c r="N6398" t="s">
        <v>45095</v>
      </c>
      <c r="O6398" t="s">
        <v>45096</v>
      </c>
      <c r="P6398">
        <v>0</v>
      </c>
      <c r="Q6398">
        <v>0</v>
      </c>
      <c r="R6398" t="s">
        <v>45102</v>
      </c>
      <c r="S6398" t="s">
        <v>45242</v>
      </c>
      <c r="T6398" t="s">
        <v>47183</v>
      </c>
      <c r="U6398" t="s">
        <v>52829</v>
      </c>
      <c r="W6398" t="s">
        <v>43641</v>
      </c>
      <c r="X6398" t="s">
        <v>45103</v>
      </c>
    </row>
    <row r="6399" spans="1:24">
      <c r="A6399">
        <f>HYPERLINK("https://www.philgeps.gov.ph/GEPSNONPILOT/Tender/SplashBidNoticeAbstractUI.aspx?menuIndex=3&amp;refID=7040603&amp;Result=3","7040603")</f>
        <v>0</v>
      </c>
      <c r="B6399" t="s">
        <v>1961</v>
      </c>
      <c r="C6399" t="s">
        <v>9313</v>
      </c>
      <c r="D6399" t="s">
        <v>18033</v>
      </c>
      <c r="E6399" t="s">
        <v>23811</v>
      </c>
      <c r="F6399" t="s">
        <v>31574</v>
      </c>
      <c r="G6399" t="s">
        <v>31582</v>
      </c>
      <c r="H6399" t="s">
        <v>31591</v>
      </c>
      <c r="I6399" t="s">
        <v>31638</v>
      </c>
      <c r="J6399" t="s">
        <v>35837</v>
      </c>
      <c r="K6399" t="s">
        <v>41200</v>
      </c>
      <c r="M6399" t="s">
        <v>43618</v>
      </c>
      <c r="N6399" t="s">
        <v>45095</v>
      </c>
      <c r="O6399" t="s">
        <v>45096</v>
      </c>
      <c r="P6399">
        <v>0</v>
      </c>
      <c r="Q6399">
        <v>6</v>
      </c>
      <c r="R6399" t="s">
        <v>45102</v>
      </c>
      <c r="S6399" t="s">
        <v>45242</v>
      </c>
      <c r="T6399" t="s">
        <v>47004</v>
      </c>
      <c r="U6399" t="s">
        <v>52830</v>
      </c>
      <c r="V6399" t="s">
        <v>60518</v>
      </c>
      <c r="W6399" t="s">
        <v>43618</v>
      </c>
      <c r="X6399" t="s">
        <v>45103</v>
      </c>
    </row>
    <row r="6400" spans="1:24">
      <c r="A6400">
        <f>HYPERLINK("https://www.philgeps.gov.ph/GEPSNONPILOT/Tender/SplashBidNoticeAbstractUI.aspx?menuIndex=3&amp;refID=7040577&amp;Result=3","7040577")</f>
        <v>0</v>
      </c>
      <c r="B6400" t="s">
        <v>429</v>
      </c>
      <c r="C6400" t="s">
        <v>9314</v>
      </c>
      <c r="D6400" t="s">
        <v>18041</v>
      </c>
      <c r="E6400" t="s">
        <v>23812</v>
      </c>
      <c r="F6400" t="s">
        <v>31574</v>
      </c>
      <c r="G6400" t="s">
        <v>31581</v>
      </c>
      <c r="H6400" t="s">
        <v>31590</v>
      </c>
      <c r="I6400" t="s">
        <v>4046</v>
      </c>
      <c r="J6400" t="s">
        <v>35838</v>
      </c>
      <c r="K6400" t="s">
        <v>41212</v>
      </c>
      <c r="M6400" t="s">
        <v>41922</v>
      </c>
      <c r="N6400" t="s">
        <v>45095</v>
      </c>
      <c r="O6400" t="s">
        <v>45096</v>
      </c>
      <c r="P6400">
        <v>0</v>
      </c>
      <c r="Q6400">
        <v>0</v>
      </c>
      <c r="R6400" t="s">
        <v>45102</v>
      </c>
      <c r="S6400" t="s">
        <v>45242</v>
      </c>
      <c r="T6400" t="s">
        <v>47158</v>
      </c>
      <c r="U6400" t="s">
        <v>52831</v>
      </c>
      <c r="W6400" t="s">
        <v>41922</v>
      </c>
      <c r="X6400" t="s">
        <v>45103</v>
      </c>
    </row>
    <row r="6401" spans="1:24">
      <c r="A6401">
        <f>HYPERLINK("https://www.philgeps.gov.ph/GEPSNONPILOT/Tender/SplashBidNoticeAbstractUI.aspx?menuIndex=3&amp;refID=7040600&amp;Result=3","7040600")</f>
        <v>0</v>
      </c>
      <c r="B6401" t="s">
        <v>1983</v>
      </c>
      <c r="C6401" t="s">
        <v>9315</v>
      </c>
      <c r="D6401" t="s">
        <v>18046</v>
      </c>
      <c r="E6401" t="s">
        <v>23813</v>
      </c>
      <c r="F6401" t="s">
        <v>31574</v>
      </c>
      <c r="G6401" t="s">
        <v>31581</v>
      </c>
      <c r="H6401" t="s">
        <v>31590</v>
      </c>
      <c r="I6401" t="s">
        <v>31605</v>
      </c>
      <c r="J6401" t="s">
        <v>35839</v>
      </c>
      <c r="K6401" t="s">
        <v>41186</v>
      </c>
      <c r="M6401" t="s">
        <v>43642</v>
      </c>
      <c r="N6401" t="s">
        <v>45095</v>
      </c>
      <c r="O6401" t="s">
        <v>45096</v>
      </c>
      <c r="P6401">
        <v>0</v>
      </c>
      <c r="Q6401">
        <v>5</v>
      </c>
      <c r="R6401" t="s">
        <v>45102</v>
      </c>
      <c r="S6401" t="s">
        <v>45242</v>
      </c>
      <c r="T6401" t="s">
        <v>47064</v>
      </c>
      <c r="U6401" t="s">
        <v>52832</v>
      </c>
      <c r="V6401" t="s">
        <v>60535</v>
      </c>
      <c r="W6401" t="s">
        <v>43642</v>
      </c>
      <c r="X6401" t="s">
        <v>45103</v>
      </c>
    </row>
    <row r="6402" spans="1:24">
      <c r="A6402">
        <f>HYPERLINK("https://www.philgeps.gov.ph/GEPSNONPILOT/Tender/SplashBidNoticeAbstractUI.aspx?menuIndex=3&amp;refID=7040570&amp;Result=3","7040570")</f>
        <v>0</v>
      </c>
      <c r="B6402" t="s">
        <v>377</v>
      </c>
      <c r="C6402" t="s">
        <v>9316</v>
      </c>
      <c r="E6402" t="s">
        <v>23814</v>
      </c>
      <c r="F6402" t="s">
        <v>31574</v>
      </c>
      <c r="G6402" t="s">
        <v>31582</v>
      </c>
      <c r="H6402" t="s">
        <v>31590</v>
      </c>
      <c r="I6402" t="s">
        <v>31642</v>
      </c>
      <c r="J6402" t="s">
        <v>35840</v>
      </c>
      <c r="K6402" t="s">
        <v>41184</v>
      </c>
      <c r="M6402" t="s">
        <v>41867</v>
      </c>
      <c r="N6402" t="s">
        <v>45095</v>
      </c>
      <c r="O6402" t="s">
        <v>45096</v>
      </c>
      <c r="P6402">
        <v>0</v>
      </c>
      <c r="Q6402">
        <v>3</v>
      </c>
      <c r="R6402" t="s">
        <v>45102</v>
      </c>
      <c r="S6402" t="s">
        <v>45242</v>
      </c>
      <c r="T6402" t="s">
        <v>46939</v>
      </c>
      <c r="U6402" t="s">
        <v>52833</v>
      </c>
      <c r="V6402" t="s">
        <v>60530</v>
      </c>
      <c r="W6402" t="s">
        <v>41867</v>
      </c>
      <c r="X6402" t="s">
        <v>45103</v>
      </c>
    </row>
    <row r="6403" spans="1:24">
      <c r="A6403">
        <f>HYPERLINK("https://www.philgeps.gov.ph/GEPSNONPILOT/Tender/SplashBidNoticeAbstractUI.aspx?menuIndex=3&amp;refID=7040601&amp;Result=3","7040601")</f>
        <v>0</v>
      </c>
      <c r="B6403" t="s">
        <v>1603</v>
      </c>
      <c r="C6403" t="s">
        <v>9317</v>
      </c>
      <c r="D6403" t="s">
        <v>18022</v>
      </c>
      <c r="E6403" t="s">
        <v>23815</v>
      </c>
      <c r="F6403" t="s">
        <v>31574</v>
      </c>
      <c r="G6403" t="s">
        <v>31581</v>
      </c>
      <c r="H6403" t="s">
        <v>31593</v>
      </c>
      <c r="I6403" t="s">
        <v>31593</v>
      </c>
      <c r="J6403" t="s">
        <v>35841</v>
      </c>
      <c r="K6403" t="s">
        <v>41185</v>
      </c>
      <c r="M6403" t="s">
        <v>43208</v>
      </c>
      <c r="N6403" t="s">
        <v>45095</v>
      </c>
      <c r="O6403" t="s">
        <v>45096</v>
      </c>
      <c r="P6403">
        <v>0</v>
      </c>
      <c r="Q6403">
        <v>4</v>
      </c>
      <c r="R6403" t="s">
        <v>45102</v>
      </c>
      <c r="S6403" t="s">
        <v>45242</v>
      </c>
      <c r="T6403" t="s">
        <v>46936</v>
      </c>
      <c r="U6403" t="s">
        <v>52834</v>
      </c>
      <c r="V6403" t="s">
        <v>60536</v>
      </c>
      <c r="W6403" t="s">
        <v>43208</v>
      </c>
      <c r="X6403" t="s">
        <v>45103</v>
      </c>
    </row>
    <row r="6404" spans="1:24">
      <c r="A6404">
        <f>HYPERLINK("https://www.philgeps.gov.ph/GEPSNONPILOT/Tender/SplashBidNoticeAbstractUI.aspx?menuIndex=3&amp;refID=7040578&amp;Result=3","7040578")</f>
        <v>0</v>
      </c>
      <c r="B6404" t="s">
        <v>829</v>
      </c>
      <c r="C6404" t="s">
        <v>9318</v>
      </c>
      <c r="D6404" t="s">
        <v>18022</v>
      </c>
      <c r="E6404" t="s">
        <v>23816</v>
      </c>
      <c r="F6404" t="s">
        <v>31574</v>
      </c>
      <c r="G6404" t="s">
        <v>31582</v>
      </c>
      <c r="H6404" t="s">
        <v>31590</v>
      </c>
      <c r="I6404" t="s">
        <v>31620</v>
      </c>
      <c r="J6404" t="s">
        <v>35842</v>
      </c>
      <c r="K6404" t="s">
        <v>41189</v>
      </c>
      <c r="M6404" t="s">
        <v>42348</v>
      </c>
      <c r="N6404" t="s">
        <v>45095</v>
      </c>
      <c r="O6404" t="s">
        <v>45096</v>
      </c>
      <c r="Q6404">
        <v>49</v>
      </c>
      <c r="R6404" t="s">
        <v>45102</v>
      </c>
      <c r="S6404" t="s">
        <v>45266</v>
      </c>
      <c r="T6404" t="s">
        <v>46962</v>
      </c>
      <c r="U6404" t="s">
        <v>52835</v>
      </c>
      <c r="W6404" t="s">
        <v>42348</v>
      </c>
      <c r="X6404" t="s">
        <v>45103</v>
      </c>
    </row>
    <row r="6405" spans="1:24">
      <c r="A6405">
        <f>HYPERLINK("https://www.philgeps.gov.ph/GEPSNONPILOT/Tender/SplashBidNoticeAbstractUI.aspx?menuIndex=3&amp;refID=7040598&amp;Result=3","7040598")</f>
        <v>0</v>
      </c>
      <c r="B6405" t="s">
        <v>1961</v>
      </c>
      <c r="C6405" t="s">
        <v>9319</v>
      </c>
      <c r="D6405" t="s">
        <v>18033</v>
      </c>
      <c r="E6405" t="s">
        <v>23817</v>
      </c>
      <c r="F6405" t="s">
        <v>31574</v>
      </c>
      <c r="G6405" t="s">
        <v>31582</v>
      </c>
      <c r="H6405" t="s">
        <v>31591</v>
      </c>
      <c r="I6405" t="s">
        <v>31638</v>
      </c>
      <c r="J6405" t="s">
        <v>35843</v>
      </c>
      <c r="K6405" t="s">
        <v>41200</v>
      </c>
      <c r="M6405" t="s">
        <v>43618</v>
      </c>
      <c r="N6405" t="s">
        <v>45095</v>
      </c>
      <c r="O6405" t="s">
        <v>45096</v>
      </c>
      <c r="P6405">
        <v>0</v>
      </c>
      <c r="Q6405">
        <v>5</v>
      </c>
      <c r="R6405" t="s">
        <v>45102</v>
      </c>
      <c r="S6405" t="s">
        <v>45242</v>
      </c>
      <c r="T6405" t="s">
        <v>47004</v>
      </c>
      <c r="U6405" t="s">
        <v>52836</v>
      </c>
      <c r="V6405" t="s">
        <v>60518</v>
      </c>
      <c r="W6405" t="s">
        <v>43618</v>
      </c>
      <c r="X6405" t="s">
        <v>45103</v>
      </c>
    </row>
    <row r="6406" spans="1:24">
      <c r="A6406">
        <f>HYPERLINK("https://www.philgeps.gov.ph/GEPSNONPILOT/Tender/SplashBidNoticeAbstractUI.aspx?menuIndex=3&amp;refID=7040581&amp;Result=3","7040581")</f>
        <v>0</v>
      </c>
      <c r="B6406" t="s">
        <v>495</v>
      </c>
      <c r="C6406" t="s">
        <v>9320</v>
      </c>
      <c r="D6406" t="s">
        <v>18099</v>
      </c>
      <c r="E6406" t="s">
        <v>23818</v>
      </c>
      <c r="F6406" t="s">
        <v>31574</v>
      </c>
      <c r="G6406" t="s">
        <v>31582</v>
      </c>
      <c r="H6406" t="s">
        <v>31590</v>
      </c>
      <c r="I6406" t="s">
        <v>31608</v>
      </c>
      <c r="J6406" t="s">
        <v>35844</v>
      </c>
      <c r="K6406" t="s">
        <v>41190</v>
      </c>
      <c r="M6406" t="s">
        <v>41991</v>
      </c>
      <c r="N6406" t="s">
        <v>45095</v>
      </c>
      <c r="O6406" t="s">
        <v>45096</v>
      </c>
      <c r="P6406">
        <v>0</v>
      </c>
      <c r="Q6406">
        <v>1</v>
      </c>
      <c r="R6406" t="s">
        <v>45102</v>
      </c>
      <c r="S6406" t="s">
        <v>45242</v>
      </c>
      <c r="T6406" t="s">
        <v>47275</v>
      </c>
      <c r="U6406" t="s">
        <v>52837</v>
      </c>
      <c r="W6406" t="s">
        <v>41991</v>
      </c>
      <c r="X6406" t="s">
        <v>45103</v>
      </c>
    </row>
    <row r="6407" spans="1:24">
      <c r="A6407">
        <f>HYPERLINK("https://www.philgeps.gov.ph/GEPSNONPILOT/Tender/SplashBidNoticeAbstractUI.aspx?menuIndex=3&amp;refID=7040612&amp;Result=3","7040612")</f>
        <v>0</v>
      </c>
      <c r="B6407" t="s">
        <v>1971</v>
      </c>
      <c r="C6407" t="s">
        <v>9321</v>
      </c>
      <c r="D6407" t="s">
        <v>18027</v>
      </c>
      <c r="E6407" t="s">
        <v>23819</v>
      </c>
      <c r="F6407" t="s">
        <v>31574</v>
      </c>
      <c r="G6407" t="s">
        <v>31582</v>
      </c>
      <c r="H6407" t="s">
        <v>31590</v>
      </c>
      <c r="I6407" t="s">
        <v>3520</v>
      </c>
      <c r="J6407" t="s">
        <v>35845</v>
      </c>
      <c r="K6407" t="s">
        <v>41189</v>
      </c>
      <c r="M6407" t="s">
        <v>43628</v>
      </c>
      <c r="N6407" t="s">
        <v>45095</v>
      </c>
      <c r="O6407" t="s">
        <v>45096</v>
      </c>
      <c r="P6407">
        <v>0</v>
      </c>
      <c r="Q6407">
        <v>4</v>
      </c>
      <c r="R6407" t="s">
        <v>45102</v>
      </c>
      <c r="S6407" t="s">
        <v>45242</v>
      </c>
      <c r="T6407" t="s">
        <v>47100</v>
      </c>
      <c r="U6407" t="s">
        <v>52838</v>
      </c>
      <c r="W6407" t="s">
        <v>43628</v>
      </c>
      <c r="X6407" t="s">
        <v>45103</v>
      </c>
    </row>
    <row r="6408" spans="1:24">
      <c r="A6408">
        <f>HYPERLINK("https://www.philgeps.gov.ph/GEPSNONPILOT/Tender/SplashBidNoticeAbstractUI.aspx?menuIndex=3&amp;refID=7040610&amp;Result=3","7040610")</f>
        <v>0</v>
      </c>
      <c r="B6408" t="s">
        <v>377</v>
      </c>
      <c r="C6408" t="s">
        <v>7305</v>
      </c>
      <c r="E6408" t="s">
        <v>23820</v>
      </c>
      <c r="F6408" t="s">
        <v>31574</v>
      </c>
      <c r="G6408" t="s">
        <v>31582</v>
      </c>
      <c r="H6408" t="s">
        <v>31590</v>
      </c>
      <c r="I6408" t="s">
        <v>3873</v>
      </c>
      <c r="J6408" t="s">
        <v>35846</v>
      </c>
      <c r="K6408" t="s">
        <v>41184</v>
      </c>
      <c r="M6408" t="s">
        <v>41867</v>
      </c>
      <c r="N6408" t="s">
        <v>45095</v>
      </c>
      <c r="O6408" t="s">
        <v>45096</v>
      </c>
      <c r="P6408">
        <v>0</v>
      </c>
      <c r="Q6408">
        <v>0</v>
      </c>
      <c r="R6408" t="s">
        <v>45102</v>
      </c>
      <c r="S6408" t="s">
        <v>45242</v>
      </c>
      <c r="T6408" t="s">
        <v>46939</v>
      </c>
      <c r="U6408" t="s">
        <v>52839</v>
      </c>
      <c r="V6408" t="s">
        <v>60530</v>
      </c>
      <c r="W6408" t="s">
        <v>41867</v>
      </c>
      <c r="X6408" t="s">
        <v>45103</v>
      </c>
    </row>
    <row r="6409" spans="1:24">
      <c r="A6409">
        <f>HYPERLINK("https://www.philgeps.gov.ph/GEPSNONPILOT/Tender/SplashBidNoticeAbstractUI.aspx?menuIndex=3&amp;refID=7040597&amp;Result=3","7040597")</f>
        <v>0</v>
      </c>
      <c r="B6409" t="s">
        <v>1869</v>
      </c>
      <c r="C6409" t="s">
        <v>9322</v>
      </c>
      <c r="D6409" t="s">
        <v>18044</v>
      </c>
      <c r="E6409" t="s">
        <v>23821</v>
      </c>
      <c r="F6409" t="s">
        <v>31574</v>
      </c>
      <c r="G6409" t="s">
        <v>31582</v>
      </c>
      <c r="H6409" t="s">
        <v>31591</v>
      </c>
      <c r="I6409" t="s">
        <v>8822</v>
      </c>
      <c r="J6409" t="s">
        <v>35847</v>
      </c>
      <c r="K6409" t="s">
        <v>41209</v>
      </c>
      <c r="M6409" t="s">
        <v>43643</v>
      </c>
      <c r="N6409" t="s">
        <v>45095</v>
      </c>
      <c r="O6409" t="s">
        <v>45096</v>
      </c>
      <c r="P6409">
        <v>0</v>
      </c>
      <c r="Q6409">
        <v>5</v>
      </c>
      <c r="R6409" t="s">
        <v>45102</v>
      </c>
      <c r="S6409" t="s">
        <v>45242</v>
      </c>
      <c r="T6409" t="s">
        <v>46988</v>
      </c>
      <c r="U6409" t="s">
        <v>52840</v>
      </c>
      <c r="V6409" t="s">
        <v>60537</v>
      </c>
      <c r="W6409" t="s">
        <v>43643</v>
      </c>
      <c r="X6409" t="s">
        <v>45103</v>
      </c>
    </row>
    <row r="6410" spans="1:24">
      <c r="A6410">
        <f>HYPERLINK("https://www.philgeps.gov.ph/GEPSNONPILOT/Tender/SplashBidNoticeAbstractUI.aspx?menuIndex=3&amp;refID=7040608&amp;Result=3","7040608")</f>
        <v>0</v>
      </c>
      <c r="B6410" t="s">
        <v>1961</v>
      </c>
      <c r="C6410" t="s">
        <v>9323</v>
      </c>
      <c r="D6410" t="s">
        <v>18033</v>
      </c>
      <c r="E6410" t="s">
        <v>23822</v>
      </c>
      <c r="F6410" t="s">
        <v>31574</v>
      </c>
      <c r="G6410" t="s">
        <v>31582</v>
      </c>
      <c r="H6410" t="s">
        <v>31591</v>
      </c>
      <c r="I6410" t="s">
        <v>31638</v>
      </c>
      <c r="J6410" t="s">
        <v>35848</v>
      </c>
      <c r="K6410" t="s">
        <v>41200</v>
      </c>
      <c r="M6410" t="s">
        <v>43618</v>
      </c>
      <c r="N6410" t="s">
        <v>45095</v>
      </c>
      <c r="O6410" t="s">
        <v>45096</v>
      </c>
      <c r="P6410">
        <v>0</v>
      </c>
      <c r="Q6410">
        <v>6</v>
      </c>
      <c r="R6410" t="s">
        <v>45102</v>
      </c>
      <c r="S6410" t="s">
        <v>45242</v>
      </c>
      <c r="T6410" t="s">
        <v>47004</v>
      </c>
      <c r="U6410" t="s">
        <v>52841</v>
      </c>
      <c r="V6410" t="s">
        <v>60518</v>
      </c>
      <c r="W6410" t="s">
        <v>43618</v>
      </c>
      <c r="X6410" t="s">
        <v>45103</v>
      </c>
    </row>
    <row r="6411" spans="1:24">
      <c r="A6411">
        <f>HYPERLINK("https://www.philgeps.gov.ph/GEPSNONPILOT/Tender/SplashBidNoticeAbstractUI.aspx?menuIndex=3&amp;refID=7040616&amp;Result=3","7040616")</f>
        <v>0</v>
      </c>
      <c r="B6411" t="s">
        <v>377</v>
      </c>
      <c r="C6411" t="s">
        <v>9324</v>
      </c>
      <c r="E6411" t="s">
        <v>23823</v>
      </c>
      <c r="F6411" t="s">
        <v>31574</v>
      </c>
      <c r="G6411" t="s">
        <v>31582</v>
      </c>
      <c r="H6411" t="s">
        <v>31590</v>
      </c>
      <c r="I6411" t="s">
        <v>31625</v>
      </c>
      <c r="J6411" t="s">
        <v>35849</v>
      </c>
      <c r="K6411" t="s">
        <v>41184</v>
      </c>
      <c r="M6411" t="s">
        <v>41867</v>
      </c>
      <c r="N6411" t="s">
        <v>45095</v>
      </c>
      <c r="O6411" t="s">
        <v>45096</v>
      </c>
      <c r="P6411">
        <v>0</v>
      </c>
      <c r="Q6411">
        <v>3</v>
      </c>
      <c r="R6411" t="s">
        <v>45102</v>
      </c>
      <c r="S6411" t="s">
        <v>45242</v>
      </c>
      <c r="T6411" t="s">
        <v>46939</v>
      </c>
      <c r="U6411" t="s">
        <v>52842</v>
      </c>
      <c r="V6411" t="s">
        <v>60530</v>
      </c>
      <c r="W6411" t="s">
        <v>41867</v>
      </c>
      <c r="X6411" t="s">
        <v>45103</v>
      </c>
    </row>
    <row r="6412" spans="1:24">
      <c r="A6412">
        <f>HYPERLINK("https://www.philgeps.gov.ph/GEPSNONPILOT/Tender/SplashBidNoticeAbstractUI.aspx?menuIndex=3&amp;refID=7040595&amp;Result=3","7040595")</f>
        <v>0</v>
      </c>
      <c r="B6412" t="s">
        <v>1961</v>
      </c>
      <c r="C6412" t="s">
        <v>9325</v>
      </c>
      <c r="D6412" t="s">
        <v>18033</v>
      </c>
      <c r="E6412" t="s">
        <v>23824</v>
      </c>
      <c r="F6412" t="s">
        <v>31574</v>
      </c>
      <c r="G6412" t="s">
        <v>31582</v>
      </c>
      <c r="H6412" t="s">
        <v>31591</v>
      </c>
      <c r="I6412" t="s">
        <v>31638</v>
      </c>
      <c r="J6412" t="s">
        <v>35850</v>
      </c>
      <c r="K6412" t="s">
        <v>41200</v>
      </c>
      <c r="M6412" t="s">
        <v>43618</v>
      </c>
      <c r="N6412" t="s">
        <v>45095</v>
      </c>
      <c r="O6412" t="s">
        <v>45096</v>
      </c>
      <c r="P6412">
        <v>0</v>
      </c>
      <c r="Q6412">
        <v>6</v>
      </c>
      <c r="R6412" t="s">
        <v>45102</v>
      </c>
      <c r="S6412" t="s">
        <v>45242</v>
      </c>
      <c r="T6412" t="s">
        <v>47004</v>
      </c>
      <c r="U6412" t="s">
        <v>52843</v>
      </c>
      <c r="V6412" t="s">
        <v>60518</v>
      </c>
      <c r="W6412" t="s">
        <v>43618</v>
      </c>
      <c r="X6412" t="s">
        <v>45103</v>
      </c>
    </row>
    <row r="6413" spans="1:24">
      <c r="A6413">
        <f>HYPERLINK("https://www.philgeps.gov.ph/GEPSNONPILOT/Tender/SplashBidNoticeAbstractUI.aspx?menuIndex=3&amp;refID=7040619&amp;Result=3","7040619")</f>
        <v>0</v>
      </c>
      <c r="B6413" t="s">
        <v>1961</v>
      </c>
      <c r="C6413" t="s">
        <v>9326</v>
      </c>
      <c r="D6413" t="s">
        <v>18033</v>
      </c>
      <c r="E6413" t="s">
        <v>23825</v>
      </c>
      <c r="F6413" t="s">
        <v>31574</v>
      </c>
      <c r="G6413" t="s">
        <v>31582</v>
      </c>
      <c r="H6413" t="s">
        <v>31591</v>
      </c>
      <c r="I6413" t="s">
        <v>31638</v>
      </c>
      <c r="J6413" t="s">
        <v>35851</v>
      </c>
      <c r="K6413" t="s">
        <v>41200</v>
      </c>
      <c r="M6413" t="s">
        <v>43618</v>
      </c>
      <c r="N6413" t="s">
        <v>45095</v>
      </c>
      <c r="O6413" t="s">
        <v>45096</v>
      </c>
      <c r="P6413">
        <v>0</v>
      </c>
      <c r="Q6413">
        <v>6</v>
      </c>
      <c r="R6413" t="s">
        <v>45102</v>
      </c>
      <c r="S6413" t="s">
        <v>45242</v>
      </c>
      <c r="T6413" t="s">
        <v>47004</v>
      </c>
      <c r="U6413" t="s">
        <v>52844</v>
      </c>
      <c r="V6413" t="s">
        <v>60518</v>
      </c>
      <c r="W6413" t="s">
        <v>43618</v>
      </c>
      <c r="X6413" t="s">
        <v>45103</v>
      </c>
    </row>
    <row r="6414" spans="1:24">
      <c r="A6414">
        <f>HYPERLINK("https://www.philgeps.gov.ph/GEPSNONPILOT/Tender/SplashBidNoticeAbstractUI.aspx?menuIndex=3&amp;refID=7040611&amp;Result=3","7040611")</f>
        <v>0</v>
      </c>
      <c r="B6414" t="s">
        <v>1920</v>
      </c>
      <c r="C6414" t="s">
        <v>9327</v>
      </c>
      <c r="D6414" t="s">
        <v>18044</v>
      </c>
      <c r="E6414" t="s">
        <v>19612</v>
      </c>
      <c r="F6414" t="s">
        <v>31574</v>
      </c>
      <c r="G6414" t="s">
        <v>31581</v>
      </c>
      <c r="H6414" t="s">
        <v>31590</v>
      </c>
      <c r="I6414" t="s">
        <v>31600</v>
      </c>
      <c r="J6414" t="s">
        <v>35682</v>
      </c>
      <c r="K6414" t="s">
        <v>41211</v>
      </c>
      <c r="M6414" t="s">
        <v>43570</v>
      </c>
      <c r="N6414" t="s">
        <v>45095</v>
      </c>
      <c r="O6414" t="s">
        <v>45096</v>
      </c>
      <c r="P6414">
        <v>0</v>
      </c>
      <c r="Q6414">
        <v>0</v>
      </c>
      <c r="R6414" t="s">
        <v>45102</v>
      </c>
      <c r="S6414" t="s">
        <v>45242</v>
      </c>
      <c r="T6414" t="s">
        <v>47164</v>
      </c>
      <c r="U6414" t="s">
        <v>52845</v>
      </c>
      <c r="W6414" t="s">
        <v>43570</v>
      </c>
      <c r="X6414" t="s">
        <v>45103</v>
      </c>
    </row>
    <row r="6415" spans="1:24">
      <c r="A6415">
        <f>HYPERLINK("https://www.philgeps.gov.ph/GEPSNONPILOT/Tender/SplashBidNoticeAbstractUI.aspx?menuIndex=3&amp;refID=7040615&amp;Result=3","7040615")</f>
        <v>0</v>
      </c>
      <c r="B6415" t="s">
        <v>1961</v>
      </c>
      <c r="C6415" t="s">
        <v>9328</v>
      </c>
      <c r="D6415" t="s">
        <v>18033</v>
      </c>
      <c r="E6415" t="s">
        <v>23826</v>
      </c>
      <c r="F6415" t="s">
        <v>31574</v>
      </c>
      <c r="G6415" t="s">
        <v>31582</v>
      </c>
      <c r="H6415" t="s">
        <v>31591</v>
      </c>
      <c r="I6415" t="s">
        <v>31638</v>
      </c>
      <c r="J6415" t="s">
        <v>35852</v>
      </c>
      <c r="K6415" t="s">
        <v>41200</v>
      </c>
      <c r="M6415" t="s">
        <v>43618</v>
      </c>
      <c r="N6415" t="s">
        <v>45095</v>
      </c>
      <c r="O6415" t="s">
        <v>45096</v>
      </c>
      <c r="P6415">
        <v>0</v>
      </c>
      <c r="Q6415">
        <v>6</v>
      </c>
      <c r="R6415" t="s">
        <v>45102</v>
      </c>
      <c r="S6415" t="s">
        <v>45242</v>
      </c>
      <c r="T6415" t="s">
        <v>47004</v>
      </c>
      <c r="U6415" t="s">
        <v>52846</v>
      </c>
      <c r="V6415" t="s">
        <v>60518</v>
      </c>
      <c r="W6415" t="s">
        <v>43618</v>
      </c>
      <c r="X6415" t="s">
        <v>45103</v>
      </c>
    </row>
    <row r="6416" spans="1:24">
      <c r="A6416">
        <f>HYPERLINK("https://www.philgeps.gov.ph/GEPSNONPILOT/Tender/SplashBidNoticeAbstractUI.aspx?menuIndex=3&amp;refID=7040617&amp;Result=3","7040617")</f>
        <v>0</v>
      </c>
      <c r="B6416" t="s">
        <v>1984</v>
      </c>
      <c r="C6416" t="s">
        <v>9329</v>
      </c>
      <c r="D6416" t="s">
        <v>18045</v>
      </c>
      <c r="E6416" t="s">
        <v>23827</v>
      </c>
      <c r="F6416" t="s">
        <v>31574</v>
      </c>
      <c r="G6416" t="s">
        <v>31581</v>
      </c>
      <c r="H6416" t="s">
        <v>31590</v>
      </c>
      <c r="I6416" t="s">
        <v>31648</v>
      </c>
      <c r="J6416" t="s">
        <v>31742</v>
      </c>
      <c r="K6416" t="s">
        <v>41193</v>
      </c>
      <c r="M6416" t="s">
        <v>43644</v>
      </c>
      <c r="N6416" t="s">
        <v>45095</v>
      </c>
      <c r="O6416" t="s">
        <v>45096</v>
      </c>
      <c r="P6416">
        <v>0</v>
      </c>
      <c r="Q6416">
        <v>0</v>
      </c>
      <c r="R6416" t="s">
        <v>45102</v>
      </c>
      <c r="S6416" t="s">
        <v>45242</v>
      </c>
      <c r="T6416" t="s">
        <v>47124</v>
      </c>
      <c r="U6416" t="s">
        <v>52847</v>
      </c>
      <c r="W6416" t="s">
        <v>43644</v>
      </c>
      <c r="X6416" t="s">
        <v>45103</v>
      </c>
    </row>
    <row r="6417" spans="1:24">
      <c r="A6417">
        <f>HYPERLINK("https://www.philgeps.gov.ph/GEPSNONPILOT/Tender/SplashBidNoticeAbstractUI.aspx?menuIndex=3&amp;refID=7040599&amp;Result=3","7040599")</f>
        <v>0</v>
      </c>
      <c r="B6417" t="s">
        <v>1447</v>
      </c>
      <c r="C6417" t="s">
        <v>7130</v>
      </c>
      <c r="D6417" t="s">
        <v>18022</v>
      </c>
      <c r="E6417" t="s">
        <v>23828</v>
      </c>
      <c r="F6417" t="s">
        <v>31574</v>
      </c>
      <c r="G6417" t="s">
        <v>31583</v>
      </c>
      <c r="H6417" t="s">
        <v>31592</v>
      </c>
      <c r="I6417" t="s">
        <v>31656</v>
      </c>
      <c r="J6417" t="s">
        <v>34503</v>
      </c>
      <c r="K6417" t="s">
        <v>41196</v>
      </c>
      <c r="M6417" t="s">
        <v>43026</v>
      </c>
      <c r="N6417" t="s">
        <v>45095</v>
      </c>
      <c r="O6417" t="s">
        <v>45096</v>
      </c>
      <c r="P6417">
        <v>0</v>
      </c>
      <c r="Q6417">
        <v>0</v>
      </c>
      <c r="R6417" t="s">
        <v>45102</v>
      </c>
      <c r="S6417" t="s">
        <v>45242</v>
      </c>
      <c r="T6417" t="s">
        <v>47178</v>
      </c>
      <c r="U6417" t="s">
        <v>52848</v>
      </c>
      <c r="W6417" t="s">
        <v>43026</v>
      </c>
      <c r="X6417" t="s">
        <v>45103</v>
      </c>
    </row>
    <row r="6418" spans="1:24">
      <c r="A6418">
        <f>HYPERLINK("https://www.philgeps.gov.ph/GEPSNONPILOT/Tender/SplashBidNoticeAbstractUI.aspx?menuIndex=3&amp;refID=7040621&amp;Result=3","7040621")</f>
        <v>0</v>
      </c>
      <c r="B6418" t="s">
        <v>377</v>
      </c>
      <c r="C6418" t="s">
        <v>9330</v>
      </c>
      <c r="E6418" t="s">
        <v>23829</v>
      </c>
      <c r="F6418" t="s">
        <v>31574</v>
      </c>
      <c r="G6418" t="s">
        <v>31582</v>
      </c>
      <c r="H6418" t="s">
        <v>31590</v>
      </c>
      <c r="I6418" t="s">
        <v>31599</v>
      </c>
      <c r="J6418" t="s">
        <v>35853</v>
      </c>
      <c r="K6418" t="s">
        <v>41184</v>
      </c>
      <c r="M6418" t="s">
        <v>41867</v>
      </c>
      <c r="N6418" t="s">
        <v>45095</v>
      </c>
      <c r="O6418" t="s">
        <v>45096</v>
      </c>
      <c r="P6418">
        <v>0</v>
      </c>
      <c r="Q6418">
        <v>2</v>
      </c>
      <c r="R6418" t="s">
        <v>45102</v>
      </c>
      <c r="S6418" t="s">
        <v>45242</v>
      </c>
      <c r="T6418" t="s">
        <v>46939</v>
      </c>
      <c r="U6418" t="s">
        <v>52849</v>
      </c>
      <c r="V6418" t="s">
        <v>60530</v>
      </c>
      <c r="W6418" t="s">
        <v>41867</v>
      </c>
      <c r="X6418" t="s">
        <v>45103</v>
      </c>
    </row>
    <row r="6419" spans="1:24">
      <c r="A6419">
        <f>HYPERLINK("https://www.philgeps.gov.ph/GEPSNONPILOT/Tender/SplashBidNoticeAbstractUI.aspx?menuIndex=3&amp;refID=7040618&amp;Result=3","7040618")</f>
        <v>0</v>
      </c>
      <c r="B6419" t="s">
        <v>1869</v>
      </c>
      <c r="C6419" t="s">
        <v>9331</v>
      </c>
      <c r="D6419" t="s">
        <v>18044</v>
      </c>
      <c r="E6419" t="s">
        <v>23830</v>
      </c>
      <c r="F6419" t="s">
        <v>31574</v>
      </c>
      <c r="G6419" t="s">
        <v>31582</v>
      </c>
      <c r="H6419" t="s">
        <v>31590</v>
      </c>
      <c r="I6419" t="s">
        <v>31608</v>
      </c>
      <c r="J6419" t="s">
        <v>35854</v>
      </c>
      <c r="K6419" t="s">
        <v>41189</v>
      </c>
      <c r="M6419" t="s">
        <v>43643</v>
      </c>
      <c r="N6419" t="s">
        <v>45095</v>
      </c>
      <c r="O6419" t="s">
        <v>45096</v>
      </c>
      <c r="P6419">
        <v>0</v>
      </c>
      <c r="Q6419">
        <v>11</v>
      </c>
      <c r="R6419" t="s">
        <v>45102</v>
      </c>
      <c r="S6419" t="s">
        <v>45242</v>
      </c>
      <c r="T6419" t="s">
        <v>46988</v>
      </c>
      <c r="U6419" t="s">
        <v>52840</v>
      </c>
      <c r="V6419" t="s">
        <v>60538</v>
      </c>
      <c r="W6419" t="s">
        <v>43643</v>
      </c>
      <c r="X6419" t="s">
        <v>45103</v>
      </c>
    </row>
    <row r="6420" spans="1:24">
      <c r="A6420">
        <f>HYPERLINK("https://www.philgeps.gov.ph/GEPSNONPILOT/Tender/SplashBidNoticeAbstractUI.aspx?menuIndex=3&amp;refID=7040606&amp;Result=3","7040606")</f>
        <v>0</v>
      </c>
      <c r="B6420" t="s">
        <v>1869</v>
      </c>
      <c r="C6420" t="s">
        <v>9332</v>
      </c>
      <c r="D6420" t="s">
        <v>18044</v>
      </c>
      <c r="E6420" t="s">
        <v>23831</v>
      </c>
      <c r="F6420" t="s">
        <v>31574</v>
      </c>
      <c r="G6420" t="s">
        <v>31582</v>
      </c>
      <c r="H6420" t="s">
        <v>31591</v>
      </c>
      <c r="I6420" t="s">
        <v>8822</v>
      </c>
      <c r="J6420" t="s">
        <v>35855</v>
      </c>
      <c r="K6420" t="s">
        <v>41200</v>
      </c>
      <c r="M6420" t="s">
        <v>43643</v>
      </c>
      <c r="N6420" t="s">
        <v>45095</v>
      </c>
      <c r="O6420" t="s">
        <v>45096</v>
      </c>
      <c r="P6420">
        <v>0</v>
      </c>
      <c r="Q6420">
        <v>5</v>
      </c>
      <c r="R6420" t="s">
        <v>45102</v>
      </c>
      <c r="S6420" t="s">
        <v>45242</v>
      </c>
      <c r="T6420" t="s">
        <v>46988</v>
      </c>
      <c r="U6420" t="s">
        <v>52840</v>
      </c>
      <c r="V6420" t="s">
        <v>60539</v>
      </c>
      <c r="W6420" t="s">
        <v>43643</v>
      </c>
      <c r="X6420" t="s">
        <v>45103</v>
      </c>
    </row>
    <row r="6421" spans="1:24">
      <c r="A6421">
        <f>HYPERLINK("https://www.philgeps.gov.ph/GEPSNONPILOT/Tender/SplashBidNoticeAbstractUI.aspx?menuIndex=3&amp;refID=7040638&amp;Result=3","7040638")</f>
        <v>0</v>
      </c>
      <c r="B6421" t="s">
        <v>1985</v>
      </c>
      <c r="C6421" t="s">
        <v>5299</v>
      </c>
      <c r="D6421" t="s">
        <v>18022</v>
      </c>
      <c r="E6421" t="s">
        <v>23832</v>
      </c>
      <c r="F6421" t="s">
        <v>31574</v>
      </c>
      <c r="G6421" t="s">
        <v>31582</v>
      </c>
      <c r="H6421" t="s">
        <v>31590</v>
      </c>
      <c r="I6421" t="s">
        <v>4354</v>
      </c>
      <c r="J6421" t="s">
        <v>35856</v>
      </c>
      <c r="K6421" t="s">
        <v>41196</v>
      </c>
      <c r="M6421" t="s">
        <v>43645</v>
      </c>
      <c r="N6421" t="s">
        <v>45095</v>
      </c>
      <c r="O6421" t="s">
        <v>45096</v>
      </c>
      <c r="P6421">
        <v>0</v>
      </c>
      <c r="Q6421">
        <v>2</v>
      </c>
      <c r="R6421" t="s">
        <v>45102</v>
      </c>
      <c r="S6421" t="s">
        <v>45242</v>
      </c>
      <c r="T6421" t="s">
        <v>47198</v>
      </c>
      <c r="U6421" t="s">
        <v>52850</v>
      </c>
      <c r="W6421" t="s">
        <v>43645</v>
      </c>
      <c r="X6421" t="s">
        <v>45103</v>
      </c>
    </row>
    <row r="6422" spans="1:24">
      <c r="A6422">
        <f>HYPERLINK("https://www.philgeps.gov.ph/GEPSNONPILOT/Tender/SplashBidNoticeAbstractUI.aspx?menuIndex=3&amp;refID=7040630&amp;Result=3","7040630")</f>
        <v>0</v>
      </c>
      <c r="B6422" t="s">
        <v>1986</v>
      </c>
      <c r="C6422" t="s">
        <v>9333</v>
      </c>
      <c r="D6422" t="s">
        <v>18035</v>
      </c>
      <c r="E6422" t="s">
        <v>18754</v>
      </c>
      <c r="F6422" t="s">
        <v>31574</v>
      </c>
      <c r="G6422" t="s">
        <v>31583</v>
      </c>
      <c r="H6422" t="s">
        <v>31590</v>
      </c>
      <c r="I6422" t="s">
        <v>31608</v>
      </c>
      <c r="J6422" t="s">
        <v>32767</v>
      </c>
      <c r="K6422" t="s">
        <v>41193</v>
      </c>
      <c r="M6422" t="s">
        <v>43646</v>
      </c>
      <c r="N6422" t="s">
        <v>45095</v>
      </c>
      <c r="O6422" t="s">
        <v>45096</v>
      </c>
      <c r="P6422">
        <v>0</v>
      </c>
      <c r="Q6422">
        <v>0</v>
      </c>
      <c r="R6422" t="s">
        <v>45102</v>
      </c>
      <c r="S6422" t="s">
        <v>45242</v>
      </c>
      <c r="T6422" t="s">
        <v>47083</v>
      </c>
      <c r="U6422" t="s">
        <v>52851</v>
      </c>
      <c r="W6422" t="s">
        <v>43646</v>
      </c>
      <c r="X6422" t="s">
        <v>45103</v>
      </c>
    </row>
    <row r="6423" spans="1:24">
      <c r="A6423">
        <f>HYPERLINK("https://www.philgeps.gov.ph/GEPSNONPILOT/Tender/SplashBidNoticeAbstractUI.aspx?menuIndex=3&amp;refID=7040636&amp;Result=3","7040636")</f>
        <v>0</v>
      </c>
      <c r="B6423" t="s">
        <v>1603</v>
      </c>
      <c r="C6423" t="s">
        <v>9334</v>
      </c>
      <c r="D6423" t="s">
        <v>18022</v>
      </c>
      <c r="E6423" t="s">
        <v>23833</v>
      </c>
      <c r="F6423" t="s">
        <v>31574</v>
      </c>
      <c r="G6423" t="s">
        <v>31581</v>
      </c>
      <c r="H6423" t="s">
        <v>31593</v>
      </c>
      <c r="I6423" t="s">
        <v>31593</v>
      </c>
      <c r="J6423" t="s">
        <v>35857</v>
      </c>
      <c r="K6423" t="s">
        <v>41185</v>
      </c>
      <c r="M6423" t="s">
        <v>43208</v>
      </c>
      <c r="N6423" t="s">
        <v>45095</v>
      </c>
      <c r="O6423" t="s">
        <v>45096</v>
      </c>
      <c r="P6423">
        <v>0</v>
      </c>
      <c r="Q6423">
        <v>4</v>
      </c>
      <c r="R6423" t="s">
        <v>45102</v>
      </c>
      <c r="S6423" t="s">
        <v>45242</v>
      </c>
      <c r="T6423" t="s">
        <v>46936</v>
      </c>
      <c r="U6423" t="s">
        <v>52852</v>
      </c>
      <c r="V6423" t="s">
        <v>60540</v>
      </c>
      <c r="W6423" t="s">
        <v>43208</v>
      </c>
      <c r="X6423" t="s">
        <v>45103</v>
      </c>
    </row>
    <row r="6424" spans="1:24">
      <c r="A6424">
        <f>HYPERLINK("https://www.philgeps.gov.ph/GEPSNONPILOT/Tender/SplashBidNoticeAbstractUI.aspx?menuIndex=3&amp;refID=7040607&amp;Result=3","7040607")</f>
        <v>0</v>
      </c>
      <c r="B6424" t="s">
        <v>1361</v>
      </c>
      <c r="C6424" t="s">
        <v>9335</v>
      </c>
      <c r="D6424" t="s">
        <v>18030</v>
      </c>
      <c r="E6424" t="s">
        <v>23834</v>
      </c>
      <c r="F6424" t="s">
        <v>31574</v>
      </c>
      <c r="G6424" t="s">
        <v>31582</v>
      </c>
      <c r="H6424" t="s">
        <v>31590</v>
      </c>
      <c r="I6424" t="s">
        <v>31641</v>
      </c>
      <c r="J6424" t="s">
        <v>35858</v>
      </c>
      <c r="K6424" t="s">
        <v>41184</v>
      </c>
      <c r="M6424" t="s">
        <v>42933</v>
      </c>
      <c r="N6424" t="s">
        <v>45095</v>
      </c>
      <c r="O6424" t="s">
        <v>45096</v>
      </c>
      <c r="P6424">
        <v>0</v>
      </c>
      <c r="Q6424">
        <v>5</v>
      </c>
      <c r="R6424" t="s">
        <v>45102</v>
      </c>
      <c r="S6424" t="s">
        <v>45242</v>
      </c>
      <c r="T6424" t="s">
        <v>46982</v>
      </c>
      <c r="U6424" t="s">
        <v>52822</v>
      </c>
      <c r="W6424" t="s">
        <v>42933</v>
      </c>
      <c r="X6424" t="s">
        <v>45103</v>
      </c>
    </row>
    <row r="6425" spans="1:24">
      <c r="A6425">
        <f>HYPERLINK("https://www.philgeps.gov.ph/GEPSNONPILOT/Tender/SplashBidNoticeAbstractUI.aspx?menuIndex=3&amp;refID=7040633&amp;Result=3","7040633")</f>
        <v>0</v>
      </c>
      <c r="B6425" t="s">
        <v>1961</v>
      </c>
      <c r="C6425" t="s">
        <v>9336</v>
      </c>
      <c r="D6425" t="s">
        <v>18033</v>
      </c>
      <c r="E6425" t="s">
        <v>23835</v>
      </c>
      <c r="F6425" t="s">
        <v>31574</v>
      </c>
      <c r="G6425" t="s">
        <v>31582</v>
      </c>
      <c r="H6425" t="s">
        <v>31591</v>
      </c>
      <c r="I6425" t="s">
        <v>31638</v>
      </c>
      <c r="J6425" t="s">
        <v>35859</v>
      </c>
      <c r="K6425" t="s">
        <v>41200</v>
      </c>
      <c r="M6425" t="s">
        <v>43618</v>
      </c>
      <c r="N6425" t="s">
        <v>45095</v>
      </c>
      <c r="O6425" t="s">
        <v>45096</v>
      </c>
      <c r="P6425">
        <v>0</v>
      </c>
      <c r="Q6425">
        <v>6</v>
      </c>
      <c r="R6425" t="s">
        <v>45102</v>
      </c>
      <c r="S6425" t="s">
        <v>45242</v>
      </c>
      <c r="T6425" t="s">
        <v>47004</v>
      </c>
      <c r="U6425" t="s">
        <v>52853</v>
      </c>
      <c r="V6425" t="s">
        <v>60518</v>
      </c>
      <c r="W6425" t="s">
        <v>43618</v>
      </c>
      <c r="X6425" t="s">
        <v>45103</v>
      </c>
    </row>
    <row r="6426" spans="1:24">
      <c r="A6426">
        <f>HYPERLINK("https://www.philgeps.gov.ph/GEPSNONPILOT/Tender/SplashBidNoticeAbstractUI.aspx?menuIndex=3&amp;refID=7040626&amp;Result=3","7040626")</f>
        <v>0</v>
      </c>
      <c r="B6426" t="s">
        <v>377</v>
      </c>
      <c r="C6426" t="s">
        <v>5149</v>
      </c>
      <c r="E6426" t="s">
        <v>23836</v>
      </c>
      <c r="F6426" t="s">
        <v>31574</v>
      </c>
      <c r="G6426" t="s">
        <v>31582</v>
      </c>
      <c r="H6426" t="s">
        <v>31590</v>
      </c>
      <c r="I6426" t="s">
        <v>4046</v>
      </c>
      <c r="J6426" t="s">
        <v>35860</v>
      </c>
      <c r="K6426" t="s">
        <v>41184</v>
      </c>
      <c r="M6426" t="s">
        <v>41867</v>
      </c>
      <c r="N6426" t="s">
        <v>45095</v>
      </c>
      <c r="O6426" t="s">
        <v>45096</v>
      </c>
      <c r="P6426">
        <v>0</v>
      </c>
      <c r="Q6426">
        <v>3</v>
      </c>
      <c r="R6426" t="s">
        <v>45102</v>
      </c>
      <c r="S6426" t="s">
        <v>45242</v>
      </c>
      <c r="T6426" t="s">
        <v>46939</v>
      </c>
      <c r="U6426" t="s">
        <v>52854</v>
      </c>
      <c r="V6426" t="s">
        <v>60530</v>
      </c>
      <c r="W6426" t="s">
        <v>41867</v>
      </c>
      <c r="X6426" t="s">
        <v>45103</v>
      </c>
    </row>
    <row r="6427" spans="1:24">
      <c r="A6427">
        <f>HYPERLINK("https://www.philgeps.gov.ph/GEPSNONPILOT/Tender/SplashBidNoticeAbstractUI.aspx?menuIndex=3&amp;refID=7040637&amp;Result=3","7040637")</f>
        <v>0</v>
      </c>
      <c r="B6427" t="s">
        <v>1987</v>
      </c>
      <c r="C6427" t="s">
        <v>9337</v>
      </c>
      <c r="D6427" t="s">
        <v>18044</v>
      </c>
      <c r="E6427" t="s">
        <v>23837</v>
      </c>
      <c r="F6427" t="s">
        <v>31574</v>
      </c>
      <c r="G6427" t="s">
        <v>31582</v>
      </c>
      <c r="H6427" t="s">
        <v>31591</v>
      </c>
      <c r="I6427" t="s">
        <v>8822</v>
      </c>
      <c r="J6427" t="s">
        <v>32019</v>
      </c>
      <c r="K6427" t="s">
        <v>41191</v>
      </c>
      <c r="M6427" t="s">
        <v>43647</v>
      </c>
      <c r="N6427" t="s">
        <v>45095</v>
      </c>
      <c r="O6427" t="s">
        <v>45096</v>
      </c>
      <c r="P6427">
        <v>0</v>
      </c>
      <c r="Q6427">
        <v>0</v>
      </c>
      <c r="R6427" t="s">
        <v>45102</v>
      </c>
      <c r="S6427" t="s">
        <v>45242</v>
      </c>
      <c r="T6427" t="s">
        <v>46955</v>
      </c>
      <c r="U6427" t="s">
        <v>52855</v>
      </c>
      <c r="W6427" t="s">
        <v>43647</v>
      </c>
      <c r="X6427" t="s">
        <v>45103</v>
      </c>
    </row>
    <row r="6428" spans="1:24">
      <c r="A6428">
        <f>HYPERLINK("https://www.philgeps.gov.ph/GEPSNONPILOT/Tender/SplashBidNoticeAbstractUI.aspx?menuIndex=3&amp;refID=7040613&amp;Result=3","7040613")</f>
        <v>0</v>
      </c>
      <c r="B6428" t="s">
        <v>1869</v>
      </c>
      <c r="C6428" t="s">
        <v>9338</v>
      </c>
      <c r="D6428" t="s">
        <v>18044</v>
      </c>
      <c r="E6428" t="s">
        <v>23838</v>
      </c>
      <c r="F6428" t="s">
        <v>31574</v>
      </c>
      <c r="G6428" t="s">
        <v>31582</v>
      </c>
      <c r="H6428" t="s">
        <v>31591</v>
      </c>
      <c r="I6428" t="s">
        <v>8822</v>
      </c>
      <c r="J6428" t="s">
        <v>35861</v>
      </c>
      <c r="K6428" t="s">
        <v>41257</v>
      </c>
      <c r="M6428" t="s">
        <v>43643</v>
      </c>
      <c r="N6428" t="s">
        <v>45095</v>
      </c>
      <c r="O6428" t="s">
        <v>45096</v>
      </c>
      <c r="P6428">
        <v>0</v>
      </c>
      <c r="Q6428">
        <v>6</v>
      </c>
      <c r="R6428" t="s">
        <v>45102</v>
      </c>
      <c r="S6428" t="s">
        <v>45242</v>
      </c>
      <c r="T6428" t="s">
        <v>46988</v>
      </c>
      <c r="U6428" t="s">
        <v>52840</v>
      </c>
      <c r="V6428" t="s">
        <v>60541</v>
      </c>
      <c r="W6428" t="s">
        <v>43643</v>
      </c>
      <c r="X6428" t="s">
        <v>45103</v>
      </c>
    </row>
    <row r="6429" spans="1:24">
      <c r="A6429">
        <f>HYPERLINK("https://www.philgeps.gov.ph/GEPSNONPILOT/Tender/SplashBidNoticeAbstractUI.aspx?menuIndex=3&amp;refID=7040623&amp;Result=3","7040623")</f>
        <v>0</v>
      </c>
      <c r="B6429" t="s">
        <v>344</v>
      </c>
      <c r="C6429" t="s">
        <v>9339</v>
      </c>
      <c r="D6429" t="s">
        <v>18027</v>
      </c>
      <c r="E6429" t="s">
        <v>23839</v>
      </c>
      <c r="F6429" t="s">
        <v>31574</v>
      </c>
      <c r="G6429" t="s">
        <v>31581</v>
      </c>
      <c r="H6429" t="s">
        <v>31590</v>
      </c>
      <c r="I6429" t="s">
        <v>3651</v>
      </c>
      <c r="J6429" t="s">
        <v>35862</v>
      </c>
      <c r="K6429" t="s">
        <v>41184</v>
      </c>
      <c r="M6429" t="s">
        <v>43143</v>
      </c>
      <c r="N6429" t="s">
        <v>45095</v>
      </c>
      <c r="O6429" t="s">
        <v>45096</v>
      </c>
      <c r="P6429">
        <v>0</v>
      </c>
      <c r="Q6429">
        <v>1</v>
      </c>
      <c r="R6429" t="s">
        <v>45102</v>
      </c>
      <c r="S6429" t="s">
        <v>45242</v>
      </c>
      <c r="T6429" t="s">
        <v>47067</v>
      </c>
      <c r="U6429" t="s">
        <v>51299</v>
      </c>
      <c r="W6429" t="s">
        <v>43143</v>
      </c>
      <c r="X6429" t="s">
        <v>45103</v>
      </c>
    </row>
    <row r="6430" spans="1:24">
      <c r="A6430">
        <f>HYPERLINK("https://www.philgeps.gov.ph/GEPSNONPILOT/Tender/SplashBidNoticeAbstractUI.aspx?menuIndex=3&amp;refID=7040628&amp;Result=3","7040628")</f>
        <v>0</v>
      </c>
      <c r="B6430" t="s">
        <v>1961</v>
      </c>
      <c r="C6430" t="s">
        <v>9340</v>
      </c>
      <c r="D6430" t="s">
        <v>18033</v>
      </c>
      <c r="E6430" t="s">
        <v>23840</v>
      </c>
      <c r="F6430" t="s">
        <v>31574</v>
      </c>
      <c r="G6430" t="s">
        <v>31582</v>
      </c>
      <c r="H6430" t="s">
        <v>31591</v>
      </c>
      <c r="I6430" t="s">
        <v>31638</v>
      </c>
      <c r="J6430" t="s">
        <v>35863</v>
      </c>
      <c r="K6430" t="s">
        <v>41200</v>
      </c>
      <c r="M6430" t="s">
        <v>43618</v>
      </c>
      <c r="N6430" t="s">
        <v>45095</v>
      </c>
      <c r="O6430" t="s">
        <v>45096</v>
      </c>
      <c r="P6430">
        <v>0</v>
      </c>
      <c r="Q6430">
        <v>6</v>
      </c>
      <c r="R6430" t="s">
        <v>45102</v>
      </c>
      <c r="S6430" t="s">
        <v>45242</v>
      </c>
      <c r="T6430" t="s">
        <v>47004</v>
      </c>
      <c r="U6430" t="s">
        <v>52856</v>
      </c>
      <c r="V6430" t="s">
        <v>60518</v>
      </c>
      <c r="W6430" t="s">
        <v>43618</v>
      </c>
      <c r="X6430" t="s">
        <v>45103</v>
      </c>
    </row>
    <row r="6431" spans="1:24">
      <c r="A6431">
        <f>HYPERLINK("https://www.philgeps.gov.ph/GEPSNONPILOT/Tender/SplashBidNoticeAbstractUI.aspx?menuIndex=3&amp;refID=7040640&amp;Result=3","7040640")</f>
        <v>0</v>
      </c>
      <c r="B6431" t="s">
        <v>1961</v>
      </c>
      <c r="C6431" t="s">
        <v>9341</v>
      </c>
      <c r="D6431" t="s">
        <v>18033</v>
      </c>
      <c r="E6431" t="s">
        <v>23841</v>
      </c>
      <c r="F6431" t="s">
        <v>31574</v>
      </c>
      <c r="G6431" t="s">
        <v>31582</v>
      </c>
      <c r="H6431" t="s">
        <v>31591</v>
      </c>
      <c r="I6431" t="s">
        <v>31638</v>
      </c>
      <c r="J6431" t="s">
        <v>35864</v>
      </c>
      <c r="K6431" t="s">
        <v>41200</v>
      </c>
      <c r="M6431" t="s">
        <v>43618</v>
      </c>
      <c r="N6431" t="s">
        <v>45095</v>
      </c>
      <c r="O6431" t="s">
        <v>45096</v>
      </c>
      <c r="P6431">
        <v>0</v>
      </c>
      <c r="Q6431">
        <v>6</v>
      </c>
      <c r="R6431" t="s">
        <v>45102</v>
      </c>
      <c r="S6431" t="s">
        <v>45242</v>
      </c>
      <c r="T6431" t="s">
        <v>47004</v>
      </c>
      <c r="U6431" t="s">
        <v>52857</v>
      </c>
      <c r="V6431" t="s">
        <v>60518</v>
      </c>
      <c r="W6431" t="s">
        <v>43618</v>
      </c>
      <c r="X6431" t="s">
        <v>45103</v>
      </c>
    </row>
    <row r="6432" spans="1:24">
      <c r="A6432">
        <f>HYPERLINK("https://www.philgeps.gov.ph/GEPSNONPILOT/Tender/SplashBidNoticeAbstractUI.aspx?menuIndex=3&amp;refID=7040622&amp;Result=3","7040622")</f>
        <v>0</v>
      </c>
      <c r="B6432" t="s">
        <v>1961</v>
      </c>
      <c r="C6432" t="s">
        <v>9342</v>
      </c>
      <c r="D6432" t="s">
        <v>18033</v>
      </c>
      <c r="E6432" t="s">
        <v>23842</v>
      </c>
      <c r="F6432" t="s">
        <v>31574</v>
      </c>
      <c r="G6432" t="s">
        <v>31582</v>
      </c>
      <c r="H6432" t="s">
        <v>31591</v>
      </c>
      <c r="I6432" t="s">
        <v>31638</v>
      </c>
      <c r="J6432" t="s">
        <v>35865</v>
      </c>
      <c r="K6432" t="s">
        <v>41200</v>
      </c>
      <c r="M6432" t="s">
        <v>43618</v>
      </c>
      <c r="N6432" t="s">
        <v>45095</v>
      </c>
      <c r="O6432" t="s">
        <v>45096</v>
      </c>
      <c r="P6432">
        <v>0</v>
      </c>
      <c r="Q6432">
        <v>5</v>
      </c>
      <c r="R6432" t="s">
        <v>45102</v>
      </c>
      <c r="S6432" t="s">
        <v>45242</v>
      </c>
      <c r="T6432" t="s">
        <v>47004</v>
      </c>
      <c r="U6432" t="s">
        <v>52858</v>
      </c>
      <c r="V6432" t="s">
        <v>60518</v>
      </c>
      <c r="W6432" t="s">
        <v>43618</v>
      </c>
      <c r="X6432" t="s">
        <v>45103</v>
      </c>
    </row>
    <row r="6433" spans="1:24">
      <c r="A6433">
        <f>HYPERLINK("https://www.philgeps.gov.ph/GEPSNONPILOT/Tender/SplashBidNoticeAbstractUI.aspx?menuIndex=3&amp;refID=7040635&amp;Result=3","7040635")</f>
        <v>0</v>
      </c>
      <c r="B6433" t="s">
        <v>1961</v>
      </c>
      <c r="C6433" t="s">
        <v>9343</v>
      </c>
      <c r="D6433" t="s">
        <v>18033</v>
      </c>
      <c r="E6433" t="s">
        <v>23843</v>
      </c>
      <c r="F6433" t="s">
        <v>31574</v>
      </c>
      <c r="G6433" t="s">
        <v>31582</v>
      </c>
      <c r="H6433" t="s">
        <v>31591</v>
      </c>
      <c r="I6433" t="s">
        <v>31638</v>
      </c>
      <c r="J6433" t="s">
        <v>35866</v>
      </c>
      <c r="K6433" t="s">
        <v>41200</v>
      </c>
      <c r="M6433" t="s">
        <v>43618</v>
      </c>
      <c r="N6433" t="s">
        <v>45095</v>
      </c>
      <c r="O6433" t="s">
        <v>45096</v>
      </c>
      <c r="P6433">
        <v>0</v>
      </c>
      <c r="Q6433">
        <v>5</v>
      </c>
      <c r="R6433" t="s">
        <v>45102</v>
      </c>
      <c r="S6433" t="s">
        <v>45242</v>
      </c>
      <c r="T6433" t="s">
        <v>47004</v>
      </c>
      <c r="U6433" t="s">
        <v>52859</v>
      </c>
      <c r="V6433" t="s">
        <v>60518</v>
      </c>
      <c r="W6433" t="s">
        <v>43618</v>
      </c>
      <c r="X6433" t="s">
        <v>45103</v>
      </c>
    </row>
    <row r="6434" spans="1:24">
      <c r="A6434">
        <f>HYPERLINK("https://www.philgeps.gov.ph/GEPSNONPILOT/Tender/SplashBidNoticeAbstractUI.aspx?menuIndex=3&amp;refID=7040649&amp;Result=3","7040649")</f>
        <v>0</v>
      </c>
      <c r="B6434" t="s">
        <v>670</v>
      </c>
      <c r="C6434" t="s">
        <v>9344</v>
      </c>
      <c r="E6434" t="s">
        <v>23844</v>
      </c>
      <c r="F6434" t="s">
        <v>31574</v>
      </c>
      <c r="G6434" t="s">
        <v>31582</v>
      </c>
      <c r="H6434" t="s">
        <v>31590</v>
      </c>
      <c r="I6434" t="s">
        <v>31595</v>
      </c>
      <c r="J6434" t="s">
        <v>35867</v>
      </c>
      <c r="K6434" t="s">
        <v>41184</v>
      </c>
      <c r="M6434" t="s">
        <v>43648</v>
      </c>
      <c r="N6434" t="s">
        <v>45095</v>
      </c>
      <c r="O6434" t="s">
        <v>45096</v>
      </c>
      <c r="P6434">
        <v>0</v>
      </c>
      <c r="Q6434">
        <v>9</v>
      </c>
      <c r="R6434" t="s">
        <v>45102</v>
      </c>
      <c r="S6434" t="s">
        <v>45242</v>
      </c>
      <c r="T6434" t="s">
        <v>47004</v>
      </c>
      <c r="U6434" t="s">
        <v>52860</v>
      </c>
      <c r="W6434" t="s">
        <v>43648</v>
      </c>
      <c r="X6434" t="s">
        <v>45103</v>
      </c>
    </row>
    <row r="6435" spans="1:24">
      <c r="A6435">
        <f>HYPERLINK("https://www.philgeps.gov.ph/GEPSNONPILOT/Tender/SplashBidNoticeAbstractUI.aspx?menuIndex=3&amp;refID=7040646&amp;Result=3","7040646")</f>
        <v>0</v>
      </c>
      <c r="B6435" t="s">
        <v>1961</v>
      </c>
      <c r="C6435" t="s">
        <v>9345</v>
      </c>
      <c r="D6435" t="s">
        <v>18033</v>
      </c>
      <c r="E6435" t="s">
        <v>23845</v>
      </c>
      <c r="F6435" t="s">
        <v>31574</v>
      </c>
      <c r="G6435" t="s">
        <v>31582</v>
      </c>
      <c r="H6435" t="s">
        <v>31591</v>
      </c>
      <c r="I6435" t="s">
        <v>31638</v>
      </c>
      <c r="J6435" t="s">
        <v>35868</v>
      </c>
      <c r="K6435" t="s">
        <v>41200</v>
      </c>
      <c r="M6435" t="s">
        <v>43618</v>
      </c>
      <c r="N6435" t="s">
        <v>45095</v>
      </c>
      <c r="O6435" t="s">
        <v>45096</v>
      </c>
      <c r="P6435">
        <v>0</v>
      </c>
      <c r="Q6435">
        <v>7</v>
      </c>
      <c r="R6435" t="s">
        <v>45102</v>
      </c>
      <c r="S6435" t="s">
        <v>45242</v>
      </c>
      <c r="T6435" t="s">
        <v>47004</v>
      </c>
      <c r="U6435" t="s">
        <v>52861</v>
      </c>
      <c r="V6435" t="s">
        <v>60518</v>
      </c>
      <c r="W6435" t="s">
        <v>43618</v>
      </c>
      <c r="X6435" t="s">
        <v>45103</v>
      </c>
    </row>
    <row r="6436" spans="1:24">
      <c r="A6436">
        <f>HYPERLINK("https://www.philgeps.gov.ph/GEPSNONPILOT/Tender/SplashBidNoticeAbstractUI.aspx?menuIndex=3&amp;refID=7040625&amp;Result=3","7040625")</f>
        <v>0</v>
      </c>
      <c r="B6436" t="s">
        <v>1603</v>
      </c>
      <c r="C6436" t="s">
        <v>9346</v>
      </c>
      <c r="D6436" t="s">
        <v>18022</v>
      </c>
      <c r="E6436" t="s">
        <v>23846</v>
      </c>
      <c r="F6436" t="s">
        <v>31574</v>
      </c>
      <c r="G6436" t="s">
        <v>31581</v>
      </c>
      <c r="H6436" t="s">
        <v>31593</v>
      </c>
      <c r="I6436" t="s">
        <v>31593</v>
      </c>
      <c r="J6436" t="s">
        <v>35869</v>
      </c>
      <c r="K6436" t="s">
        <v>41185</v>
      </c>
      <c r="M6436" t="s">
        <v>43208</v>
      </c>
      <c r="N6436" t="s">
        <v>45095</v>
      </c>
      <c r="O6436" t="s">
        <v>45096</v>
      </c>
      <c r="P6436">
        <v>0</v>
      </c>
      <c r="Q6436">
        <v>4</v>
      </c>
      <c r="R6436" t="s">
        <v>45102</v>
      </c>
      <c r="S6436" t="s">
        <v>45242</v>
      </c>
      <c r="T6436" t="s">
        <v>46936</v>
      </c>
      <c r="U6436" t="s">
        <v>52862</v>
      </c>
      <c r="V6436" t="s">
        <v>60542</v>
      </c>
      <c r="W6436" t="s">
        <v>43208</v>
      </c>
      <c r="X6436" t="s">
        <v>45103</v>
      </c>
    </row>
    <row r="6437" spans="1:24">
      <c r="A6437">
        <f>HYPERLINK("https://www.philgeps.gov.ph/GEPSNONPILOT/Tender/SplashBidNoticeAbstractUI.aspx?menuIndex=3&amp;refID=7040650&amp;Result=3","7040650")</f>
        <v>0</v>
      </c>
      <c r="B6437" t="s">
        <v>1961</v>
      </c>
      <c r="C6437" t="s">
        <v>9347</v>
      </c>
      <c r="D6437" t="s">
        <v>18033</v>
      </c>
      <c r="E6437" t="s">
        <v>23847</v>
      </c>
      <c r="F6437" t="s">
        <v>31574</v>
      </c>
      <c r="G6437" t="s">
        <v>31582</v>
      </c>
      <c r="H6437" t="s">
        <v>31591</v>
      </c>
      <c r="I6437" t="s">
        <v>31638</v>
      </c>
      <c r="J6437" t="s">
        <v>35870</v>
      </c>
      <c r="K6437" t="s">
        <v>41200</v>
      </c>
      <c r="M6437" t="s">
        <v>43618</v>
      </c>
      <c r="N6437" t="s">
        <v>45095</v>
      </c>
      <c r="O6437" t="s">
        <v>45096</v>
      </c>
      <c r="P6437">
        <v>0</v>
      </c>
      <c r="Q6437">
        <v>6</v>
      </c>
      <c r="R6437" t="s">
        <v>45102</v>
      </c>
      <c r="S6437" t="s">
        <v>45242</v>
      </c>
      <c r="T6437" t="s">
        <v>47004</v>
      </c>
      <c r="U6437" t="s">
        <v>52863</v>
      </c>
      <c r="V6437" t="s">
        <v>60518</v>
      </c>
      <c r="W6437" t="s">
        <v>43618</v>
      </c>
      <c r="X6437" t="s">
        <v>45103</v>
      </c>
    </row>
    <row r="6438" spans="1:24">
      <c r="A6438">
        <f>HYPERLINK("https://www.philgeps.gov.ph/GEPSNONPILOT/Tender/SplashBidNoticeAbstractUI.aspx?menuIndex=3&amp;refID=7040644&amp;Result=3","7040644")</f>
        <v>0</v>
      </c>
      <c r="B6438" t="s">
        <v>1603</v>
      </c>
      <c r="C6438" t="s">
        <v>9348</v>
      </c>
      <c r="D6438" t="s">
        <v>18022</v>
      </c>
      <c r="E6438" t="s">
        <v>23848</v>
      </c>
      <c r="F6438" t="s">
        <v>31574</v>
      </c>
      <c r="G6438" t="s">
        <v>31581</v>
      </c>
      <c r="H6438" t="s">
        <v>31593</v>
      </c>
      <c r="I6438" t="s">
        <v>31593</v>
      </c>
      <c r="J6438" t="s">
        <v>35871</v>
      </c>
      <c r="K6438" t="s">
        <v>41185</v>
      </c>
      <c r="M6438" t="s">
        <v>43208</v>
      </c>
      <c r="N6438" t="s">
        <v>45095</v>
      </c>
      <c r="O6438" t="s">
        <v>45096</v>
      </c>
      <c r="P6438">
        <v>0</v>
      </c>
      <c r="Q6438">
        <v>4</v>
      </c>
      <c r="R6438" t="s">
        <v>45102</v>
      </c>
      <c r="S6438" t="s">
        <v>45242</v>
      </c>
      <c r="T6438" t="s">
        <v>46936</v>
      </c>
      <c r="U6438" t="s">
        <v>52864</v>
      </c>
      <c r="V6438" t="s">
        <v>60543</v>
      </c>
      <c r="W6438" t="s">
        <v>43208</v>
      </c>
      <c r="X6438" t="s">
        <v>45103</v>
      </c>
    </row>
    <row r="6439" spans="1:24">
      <c r="A6439">
        <f>HYPERLINK("https://www.philgeps.gov.ph/GEPSNONPILOT/Tender/SplashBidNoticeAbstractUI.aspx?menuIndex=3&amp;refID=7040643&amp;Result=3","7040643")</f>
        <v>0</v>
      </c>
      <c r="B6439" t="s">
        <v>1961</v>
      </c>
      <c r="C6439" t="s">
        <v>9349</v>
      </c>
      <c r="D6439" t="s">
        <v>18033</v>
      </c>
      <c r="E6439" t="s">
        <v>23849</v>
      </c>
      <c r="F6439" t="s">
        <v>31574</v>
      </c>
      <c r="G6439" t="s">
        <v>31582</v>
      </c>
      <c r="H6439" t="s">
        <v>31591</v>
      </c>
      <c r="I6439" t="s">
        <v>31638</v>
      </c>
      <c r="J6439" t="s">
        <v>35872</v>
      </c>
      <c r="K6439" t="s">
        <v>41200</v>
      </c>
      <c r="M6439" t="s">
        <v>43618</v>
      </c>
      <c r="N6439" t="s">
        <v>45095</v>
      </c>
      <c r="O6439" t="s">
        <v>45096</v>
      </c>
      <c r="P6439">
        <v>0</v>
      </c>
      <c r="Q6439">
        <v>6</v>
      </c>
      <c r="R6439" t="s">
        <v>45102</v>
      </c>
      <c r="S6439" t="s">
        <v>45242</v>
      </c>
      <c r="T6439" t="s">
        <v>47004</v>
      </c>
      <c r="U6439" t="s">
        <v>52865</v>
      </c>
      <c r="V6439" t="s">
        <v>60518</v>
      </c>
      <c r="W6439" t="s">
        <v>43618</v>
      </c>
      <c r="X6439" t="s">
        <v>45103</v>
      </c>
    </row>
    <row r="6440" spans="1:24">
      <c r="A6440">
        <f>HYPERLINK("https://www.philgeps.gov.ph/GEPSNONPILOT/Tender/SplashBidNoticeAbstractUI.aspx?menuIndex=3&amp;refID=7040642&amp;Result=3","7040642")</f>
        <v>0</v>
      </c>
      <c r="B6440" t="s">
        <v>1986</v>
      </c>
      <c r="C6440" t="s">
        <v>9350</v>
      </c>
      <c r="D6440" t="s">
        <v>18035</v>
      </c>
      <c r="E6440" t="s">
        <v>23850</v>
      </c>
      <c r="F6440" t="s">
        <v>31574</v>
      </c>
      <c r="G6440" t="s">
        <v>31583</v>
      </c>
      <c r="H6440" t="s">
        <v>31590</v>
      </c>
      <c r="I6440" t="s">
        <v>31608</v>
      </c>
      <c r="J6440" t="s">
        <v>32258</v>
      </c>
      <c r="K6440" t="s">
        <v>41193</v>
      </c>
      <c r="M6440" t="s">
        <v>43646</v>
      </c>
      <c r="N6440" t="s">
        <v>45095</v>
      </c>
      <c r="O6440" t="s">
        <v>45096</v>
      </c>
      <c r="P6440">
        <v>0</v>
      </c>
      <c r="Q6440">
        <v>2</v>
      </c>
      <c r="R6440" t="s">
        <v>45102</v>
      </c>
      <c r="S6440" t="s">
        <v>45242</v>
      </c>
      <c r="T6440" t="s">
        <v>47083</v>
      </c>
      <c r="U6440" t="s">
        <v>52866</v>
      </c>
      <c r="W6440" t="s">
        <v>43646</v>
      </c>
      <c r="X6440" t="s">
        <v>45103</v>
      </c>
    </row>
    <row r="6441" spans="1:24">
      <c r="A6441">
        <f>HYPERLINK("https://www.philgeps.gov.ph/GEPSNONPILOT/Tender/SplashBidNoticeAbstractUI.aspx?menuIndex=3&amp;refID=7040645&amp;Result=3","7040645")</f>
        <v>0</v>
      </c>
      <c r="B6441" t="s">
        <v>1985</v>
      </c>
      <c r="C6441" t="s">
        <v>9351</v>
      </c>
      <c r="D6441" t="s">
        <v>18022</v>
      </c>
      <c r="E6441" t="s">
        <v>23851</v>
      </c>
      <c r="F6441" t="s">
        <v>31574</v>
      </c>
      <c r="G6441" t="s">
        <v>31582</v>
      </c>
      <c r="H6441" t="s">
        <v>31590</v>
      </c>
      <c r="I6441" t="s">
        <v>8258</v>
      </c>
      <c r="J6441" t="s">
        <v>35873</v>
      </c>
      <c r="K6441" t="s">
        <v>41196</v>
      </c>
      <c r="M6441" t="s">
        <v>43645</v>
      </c>
      <c r="N6441" t="s">
        <v>45095</v>
      </c>
      <c r="O6441" t="s">
        <v>45096</v>
      </c>
      <c r="P6441">
        <v>0</v>
      </c>
      <c r="Q6441">
        <v>11</v>
      </c>
      <c r="R6441" t="s">
        <v>45102</v>
      </c>
      <c r="S6441" t="s">
        <v>45242</v>
      </c>
      <c r="T6441" t="s">
        <v>47198</v>
      </c>
      <c r="U6441" t="s">
        <v>52867</v>
      </c>
      <c r="W6441" t="s">
        <v>43645</v>
      </c>
      <c r="X6441" t="s">
        <v>45103</v>
      </c>
    </row>
    <row r="6442" spans="1:24">
      <c r="A6442">
        <f>HYPERLINK("https://www.philgeps.gov.ph/GEPSNONPILOT/Tender/SplashBidNoticeAbstractUI.aspx?menuIndex=3&amp;refID=7040651&amp;Result=3","7040651")</f>
        <v>0</v>
      </c>
      <c r="B6442" t="s">
        <v>1603</v>
      </c>
      <c r="C6442" t="s">
        <v>9352</v>
      </c>
      <c r="D6442" t="s">
        <v>18022</v>
      </c>
      <c r="E6442" t="s">
        <v>23852</v>
      </c>
      <c r="F6442" t="s">
        <v>31574</v>
      </c>
      <c r="G6442" t="s">
        <v>31581</v>
      </c>
      <c r="H6442" t="s">
        <v>31593</v>
      </c>
      <c r="I6442" t="s">
        <v>31593</v>
      </c>
      <c r="J6442" t="s">
        <v>35874</v>
      </c>
      <c r="K6442" t="s">
        <v>41185</v>
      </c>
      <c r="M6442" t="s">
        <v>43208</v>
      </c>
      <c r="N6442" t="s">
        <v>45095</v>
      </c>
      <c r="O6442" t="s">
        <v>45096</v>
      </c>
      <c r="P6442">
        <v>0</v>
      </c>
      <c r="Q6442">
        <v>4</v>
      </c>
      <c r="R6442" t="s">
        <v>45102</v>
      </c>
      <c r="S6442" t="s">
        <v>45242</v>
      </c>
      <c r="T6442" t="s">
        <v>46936</v>
      </c>
      <c r="U6442" t="s">
        <v>52868</v>
      </c>
      <c r="V6442" t="s">
        <v>60544</v>
      </c>
      <c r="W6442" t="s">
        <v>43208</v>
      </c>
      <c r="X6442" t="s">
        <v>45103</v>
      </c>
    </row>
    <row r="6443" spans="1:24">
      <c r="A6443">
        <f>HYPERLINK("https://www.philgeps.gov.ph/GEPSNONPILOT/Tender/SplashBidNoticeAbstractUI.aspx?menuIndex=3&amp;refID=7040658&amp;Result=3","7040658")</f>
        <v>0</v>
      </c>
      <c r="B6443" t="s">
        <v>1988</v>
      </c>
      <c r="C6443" t="s">
        <v>9353</v>
      </c>
      <c r="D6443" t="s">
        <v>18039</v>
      </c>
      <c r="E6443" t="s">
        <v>23853</v>
      </c>
      <c r="F6443" t="s">
        <v>31574</v>
      </c>
      <c r="G6443" t="s">
        <v>31582</v>
      </c>
      <c r="H6443" t="s">
        <v>31591</v>
      </c>
      <c r="I6443" t="s">
        <v>8822</v>
      </c>
      <c r="J6443" t="s">
        <v>32261</v>
      </c>
      <c r="K6443" t="s">
        <v>41186</v>
      </c>
      <c r="M6443" t="s">
        <v>43649</v>
      </c>
      <c r="N6443" t="s">
        <v>45095</v>
      </c>
      <c r="O6443" t="s">
        <v>45096</v>
      </c>
      <c r="P6443">
        <v>0</v>
      </c>
      <c r="Q6443">
        <v>0</v>
      </c>
      <c r="R6443" t="s">
        <v>45102</v>
      </c>
      <c r="S6443" t="s">
        <v>45242</v>
      </c>
      <c r="T6443" t="s">
        <v>46936</v>
      </c>
      <c r="U6443" t="s">
        <v>52869</v>
      </c>
      <c r="W6443" t="s">
        <v>43649</v>
      </c>
      <c r="X6443" t="s">
        <v>45103</v>
      </c>
    </row>
    <row r="6444" spans="1:24">
      <c r="A6444">
        <f>HYPERLINK("https://www.philgeps.gov.ph/GEPSNONPILOT/Tender/SplashBidNoticeAbstractUI.aspx?menuIndex=3&amp;refID=7040657&amp;Result=3","7040657")</f>
        <v>0</v>
      </c>
      <c r="B6444" t="s">
        <v>78</v>
      </c>
      <c r="C6444" t="s">
        <v>9354</v>
      </c>
      <c r="D6444" t="s">
        <v>18055</v>
      </c>
      <c r="E6444" t="s">
        <v>23854</v>
      </c>
      <c r="F6444" t="s">
        <v>31574</v>
      </c>
      <c r="G6444" t="s">
        <v>31581</v>
      </c>
      <c r="H6444" t="s">
        <v>31590</v>
      </c>
      <c r="I6444" t="s">
        <v>4327</v>
      </c>
      <c r="J6444" t="s">
        <v>35875</v>
      </c>
      <c r="K6444" t="s">
        <v>41196</v>
      </c>
      <c r="M6444" t="s">
        <v>41562</v>
      </c>
      <c r="N6444" t="s">
        <v>45095</v>
      </c>
      <c r="O6444" t="s">
        <v>45096</v>
      </c>
      <c r="P6444">
        <v>0</v>
      </c>
      <c r="Q6444">
        <v>3</v>
      </c>
      <c r="R6444" t="s">
        <v>45102</v>
      </c>
      <c r="S6444" t="s">
        <v>45242</v>
      </c>
      <c r="T6444" t="s">
        <v>47162</v>
      </c>
      <c r="U6444" t="s">
        <v>52870</v>
      </c>
      <c r="W6444" t="s">
        <v>41562</v>
      </c>
      <c r="X6444" t="s">
        <v>45103</v>
      </c>
    </row>
    <row r="6445" spans="1:24">
      <c r="A6445">
        <f>HYPERLINK("https://www.philgeps.gov.ph/GEPSNONPILOT/Tender/SplashBidNoticeAbstractUI.aspx?menuIndex=3&amp;refID=7040662&amp;Result=3","7040662")</f>
        <v>0</v>
      </c>
      <c r="B6445" t="s">
        <v>1985</v>
      </c>
      <c r="C6445" t="s">
        <v>9355</v>
      </c>
      <c r="D6445" t="s">
        <v>18022</v>
      </c>
      <c r="E6445" t="s">
        <v>23855</v>
      </c>
      <c r="F6445" t="s">
        <v>31574</v>
      </c>
      <c r="G6445" t="s">
        <v>31582</v>
      </c>
      <c r="H6445" t="s">
        <v>31592</v>
      </c>
      <c r="I6445" t="s">
        <v>31675</v>
      </c>
      <c r="J6445" t="s">
        <v>35876</v>
      </c>
      <c r="K6445" t="s">
        <v>41186</v>
      </c>
      <c r="M6445" t="s">
        <v>43645</v>
      </c>
      <c r="N6445" t="s">
        <v>45095</v>
      </c>
      <c r="O6445" t="s">
        <v>45096</v>
      </c>
      <c r="P6445">
        <v>0</v>
      </c>
      <c r="Q6445">
        <v>0</v>
      </c>
      <c r="R6445" t="s">
        <v>45102</v>
      </c>
      <c r="S6445" t="s">
        <v>45242</v>
      </c>
      <c r="T6445" t="s">
        <v>47198</v>
      </c>
      <c r="U6445" t="s">
        <v>52871</v>
      </c>
      <c r="W6445" t="s">
        <v>43645</v>
      </c>
      <c r="X6445" t="s">
        <v>45103</v>
      </c>
    </row>
    <row r="6446" spans="1:24">
      <c r="A6446">
        <f>HYPERLINK("https://www.philgeps.gov.ph/GEPSNONPILOT/Tender/SplashBidNoticeAbstractUI.aspx?menuIndex=3&amp;refID=7040655&amp;Result=3","7040655")</f>
        <v>0</v>
      </c>
      <c r="B6446" t="s">
        <v>1989</v>
      </c>
      <c r="C6446" t="s">
        <v>9356</v>
      </c>
      <c r="D6446" t="s">
        <v>18075</v>
      </c>
      <c r="E6446" t="s">
        <v>23856</v>
      </c>
      <c r="F6446" t="s">
        <v>31574</v>
      </c>
      <c r="G6446" t="s">
        <v>31581</v>
      </c>
      <c r="H6446" t="s">
        <v>31590</v>
      </c>
      <c r="I6446" t="s">
        <v>8822</v>
      </c>
      <c r="J6446" t="s">
        <v>32611</v>
      </c>
      <c r="K6446" t="s">
        <v>41197</v>
      </c>
      <c r="M6446" t="s">
        <v>43650</v>
      </c>
      <c r="N6446" t="s">
        <v>45095</v>
      </c>
      <c r="O6446" t="s">
        <v>45096</v>
      </c>
      <c r="P6446">
        <v>0</v>
      </c>
      <c r="Q6446">
        <v>0</v>
      </c>
      <c r="R6446" t="s">
        <v>45102</v>
      </c>
      <c r="S6446" t="s">
        <v>45242</v>
      </c>
      <c r="T6446" t="s">
        <v>46918</v>
      </c>
      <c r="U6446" t="s">
        <v>52872</v>
      </c>
      <c r="W6446" t="s">
        <v>43650</v>
      </c>
      <c r="X6446" t="s">
        <v>45103</v>
      </c>
    </row>
    <row r="6447" spans="1:24">
      <c r="A6447">
        <f>HYPERLINK("https://www.philgeps.gov.ph/GEPSNONPILOT/Tender/SplashBidNoticeAbstractUI.aspx?menuIndex=3&amp;refID=7040653&amp;Result=3","7040653")</f>
        <v>0</v>
      </c>
      <c r="B6447" t="s">
        <v>1986</v>
      </c>
      <c r="C6447" t="s">
        <v>9357</v>
      </c>
      <c r="D6447" t="s">
        <v>18035</v>
      </c>
      <c r="E6447" t="s">
        <v>23857</v>
      </c>
      <c r="F6447" t="s">
        <v>31574</v>
      </c>
      <c r="G6447" t="s">
        <v>31583</v>
      </c>
      <c r="H6447" t="s">
        <v>31590</v>
      </c>
      <c r="I6447" t="s">
        <v>31608</v>
      </c>
      <c r="J6447" t="s">
        <v>33164</v>
      </c>
      <c r="K6447" t="s">
        <v>41193</v>
      </c>
      <c r="M6447" t="s">
        <v>43646</v>
      </c>
      <c r="N6447" t="s">
        <v>45095</v>
      </c>
      <c r="O6447" t="s">
        <v>45096</v>
      </c>
      <c r="P6447">
        <v>0</v>
      </c>
      <c r="Q6447">
        <v>2</v>
      </c>
      <c r="R6447" t="s">
        <v>45102</v>
      </c>
      <c r="S6447" t="s">
        <v>45242</v>
      </c>
      <c r="T6447" t="s">
        <v>47083</v>
      </c>
      <c r="U6447" t="s">
        <v>52873</v>
      </c>
      <c r="W6447" t="s">
        <v>43646</v>
      </c>
      <c r="X6447" t="s">
        <v>45103</v>
      </c>
    </row>
    <row r="6448" spans="1:24">
      <c r="A6448">
        <f>HYPERLINK("https://www.philgeps.gov.ph/GEPSNONPILOT/Tender/SplashBidNoticeAbstractUI.aspx?menuIndex=3&amp;refID=7040652&amp;Result=3","7040652")</f>
        <v>0</v>
      </c>
      <c r="B6448" t="s">
        <v>1208</v>
      </c>
      <c r="C6448" t="s">
        <v>4354</v>
      </c>
      <c r="D6448" t="s">
        <v>18022</v>
      </c>
      <c r="E6448" t="s">
        <v>19260</v>
      </c>
      <c r="F6448" t="s">
        <v>31574</v>
      </c>
      <c r="G6448" t="s">
        <v>31583</v>
      </c>
      <c r="H6448" t="s">
        <v>31590</v>
      </c>
      <c r="I6448" t="s">
        <v>4354</v>
      </c>
      <c r="J6448" t="s">
        <v>31727</v>
      </c>
      <c r="K6448" t="s">
        <v>41211</v>
      </c>
      <c r="M6448" t="s">
        <v>42768</v>
      </c>
      <c r="N6448" t="s">
        <v>45095</v>
      </c>
      <c r="O6448" t="s">
        <v>45096</v>
      </c>
      <c r="P6448">
        <v>0</v>
      </c>
      <c r="Q6448">
        <v>8</v>
      </c>
      <c r="R6448" t="s">
        <v>45102</v>
      </c>
      <c r="S6448" t="s">
        <v>45242</v>
      </c>
      <c r="T6448" t="s">
        <v>47162</v>
      </c>
      <c r="U6448" t="s">
        <v>52874</v>
      </c>
      <c r="W6448" t="s">
        <v>42768</v>
      </c>
      <c r="X6448" t="s">
        <v>45103</v>
      </c>
    </row>
    <row r="6449" spans="1:24">
      <c r="A6449">
        <f>HYPERLINK("https://www.philgeps.gov.ph/GEPSNONPILOT/Tender/SplashBidNoticeAbstractUI.aspx?menuIndex=3&amp;refID=7040656&amp;Result=3","7040656")</f>
        <v>0</v>
      </c>
      <c r="B6449" t="s">
        <v>1603</v>
      </c>
      <c r="C6449" t="s">
        <v>9358</v>
      </c>
      <c r="D6449" t="s">
        <v>18022</v>
      </c>
      <c r="E6449" t="s">
        <v>23858</v>
      </c>
      <c r="F6449" t="s">
        <v>31574</v>
      </c>
      <c r="G6449" t="s">
        <v>31581</v>
      </c>
      <c r="H6449" t="s">
        <v>31593</v>
      </c>
      <c r="I6449" t="s">
        <v>31593</v>
      </c>
      <c r="J6449" t="s">
        <v>35869</v>
      </c>
      <c r="K6449" t="s">
        <v>41185</v>
      </c>
      <c r="M6449" t="s">
        <v>43208</v>
      </c>
      <c r="N6449" t="s">
        <v>45095</v>
      </c>
      <c r="O6449" t="s">
        <v>45096</v>
      </c>
      <c r="P6449">
        <v>0</v>
      </c>
      <c r="Q6449">
        <v>4</v>
      </c>
      <c r="R6449" t="s">
        <v>45102</v>
      </c>
      <c r="S6449" t="s">
        <v>45242</v>
      </c>
      <c r="T6449" t="s">
        <v>46936</v>
      </c>
      <c r="U6449" t="s">
        <v>52875</v>
      </c>
      <c r="V6449" t="s">
        <v>60545</v>
      </c>
      <c r="W6449" t="s">
        <v>43208</v>
      </c>
      <c r="X6449" t="s">
        <v>45103</v>
      </c>
    </row>
    <row r="6450" spans="1:24">
      <c r="A6450">
        <f>HYPERLINK("https://www.philgeps.gov.ph/GEPSNONPILOT/Tender/SplashBidNoticeAbstractUI.aspx?menuIndex=3&amp;refID=7040681&amp;Result=3","7040681")</f>
        <v>0</v>
      </c>
      <c r="B6450" t="s">
        <v>835</v>
      </c>
      <c r="C6450" t="s">
        <v>9359</v>
      </c>
      <c r="D6450" t="s">
        <v>18030</v>
      </c>
      <c r="E6450" t="s">
        <v>23859</v>
      </c>
      <c r="F6450" t="s">
        <v>31575</v>
      </c>
      <c r="G6450" t="s">
        <v>31581</v>
      </c>
      <c r="H6450" t="s">
        <v>31590</v>
      </c>
      <c r="I6450" t="s">
        <v>4046</v>
      </c>
      <c r="J6450" t="s">
        <v>35877</v>
      </c>
      <c r="K6450" t="s">
        <v>41197</v>
      </c>
      <c r="M6450" t="s">
        <v>43651</v>
      </c>
      <c r="N6450" t="s">
        <v>45095</v>
      </c>
      <c r="O6450" t="s">
        <v>45096</v>
      </c>
      <c r="P6450">
        <v>0</v>
      </c>
      <c r="Q6450">
        <v>3</v>
      </c>
      <c r="R6450" t="s">
        <v>45102</v>
      </c>
      <c r="S6450" t="s">
        <v>45242</v>
      </c>
      <c r="T6450" t="s">
        <v>47064</v>
      </c>
      <c r="U6450" t="s">
        <v>52876</v>
      </c>
      <c r="V6450" t="s">
        <v>48153</v>
      </c>
      <c r="W6450" t="s">
        <v>43651</v>
      </c>
      <c r="X6450" t="s">
        <v>45103</v>
      </c>
    </row>
    <row r="6451" spans="1:24">
      <c r="A6451">
        <f>HYPERLINK("https://www.philgeps.gov.ph/GEPSNONPILOT/Tender/SplashBidNoticeAbstractUI.aspx?menuIndex=3&amp;refID=7040654&amp;Result=3","7040654")</f>
        <v>0</v>
      </c>
      <c r="B6451" t="s">
        <v>1985</v>
      </c>
      <c r="C6451" t="s">
        <v>9355</v>
      </c>
      <c r="D6451" t="s">
        <v>18022</v>
      </c>
      <c r="E6451" t="s">
        <v>23860</v>
      </c>
      <c r="F6451" t="s">
        <v>31574</v>
      </c>
      <c r="G6451" t="s">
        <v>31582</v>
      </c>
      <c r="H6451" t="s">
        <v>31592</v>
      </c>
      <c r="I6451" t="s">
        <v>31675</v>
      </c>
      <c r="J6451" t="s">
        <v>35878</v>
      </c>
      <c r="K6451" t="s">
        <v>41186</v>
      </c>
      <c r="M6451" t="s">
        <v>43645</v>
      </c>
      <c r="N6451" t="s">
        <v>45095</v>
      </c>
      <c r="O6451" t="s">
        <v>45096</v>
      </c>
      <c r="P6451">
        <v>0</v>
      </c>
      <c r="Q6451">
        <v>0</v>
      </c>
      <c r="R6451" t="s">
        <v>45102</v>
      </c>
      <c r="S6451" t="s">
        <v>45242</v>
      </c>
      <c r="T6451" t="s">
        <v>47198</v>
      </c>
      <c r="U6451" t="s">
        <v>52877</v>
      </c>
      <c r="W6451" t="s">
        <v>43645</v>
      </c>
      <c r="X6451" t="s">
        <v>45103</v>
      </c>
    </row>
    <row r="6452" spans="1:24">
      <c r="A6452">
        <f>HYPERLINK("https://www.philgeps.gov.ph/GEPSNONPILOT/Tender/SplashBidNoticeAbstractUI.aspx?menuIndex=3&amp;refID=7040673&amp;Result=3","7040673")</f>
        <v>0</v>
      </c>
      <c r="B6452" t="s">
        <v>1990</v>
      </c>
      <c r="C6452" t="s">
        <v>9360</v>
      </c>
      <c r="D6452" t="s">
        <v>18033</v>
      </c>
      <c r="E6452" t="s">
        <v>23861</v>
      </c>
      <c r="F6452" t="s">
        <v>31574</v>
      </c>
      <c r="G6452" t="s">
        <v>31582</v>
      </c>
      <c r="H6452" t="s">
        <v>31590</v>
      </c>
      <c r="I6452" t="s">
        <v>3487</v>
      </c>
      <c r="J6452" t="s">
        <v>31843</v>
      </c>
      <c r="K6452" t="s">
        <v>41184</v>
      </c>
      <c r="M6452" t="s">
        <v>43652</v>
      </c>
      <c r="N6452" t="s">
        <v>45095</v>
      </c>
      <c r="O6452" t="s">
        <v>45096</v>
      </c>
      <c r="P6452">
        <v>0</v>
      </c>
      <c r="Q6452">
        <v>0</v>
      </c>
      <c r="R6452" t="s">
        <v>45102</v>
      </c>
      <c r="S6452" t="s">
        <v>45242</v>
      </c>
      <c r="T6452" t="s">
        <v>47064</v>
      </c>
      <c r="U6452" t="s">
        <v>52878</v>
      </c>
      <c r="W6452" t="s">
        <v>43652</v>
      </c>
      <c r="X6452" t="s">
        <v>45103</v>
      </c>
    </row>
    <row r="6453" spans="1:24">
      <c r="A6453">
        <f>HYPERLINK("https://www.philgeps.gov.ph/GEPSNONPILOT/Tender/SplashBidNoticeAbstractUI.aspx?menuIndex=3&amp;refID=7040666&amp;Result=3","7040666")</f>
        <v>0</v>
      </c>
      <c r="B6453" t="s">
        <v>892</v>
      </c>
      <c r="C6453" t="s">
        <v>5355</v>
      </c>
      <c r="D6453" t="s">
        <v>18076</v>
      </c>
      <c r="E6453" t="s">
        <v>23862</v>
      </c>
      <c r="F6453" t="s">
        <v>31574</v>
      </c>
      <c r="G6453" t="s">
        <v>31581</v>
      </c>
      <c r="H6453" t="s">
        <v>31590</v>
      </c>
      <c r="I6453" t="s">
        <v>31629</v>
      </c>
      <c r="J6453" t="s">
        <v>35879</v>
      </c>
      <c r="K6453" t="s">
        <v>41211</v>
      </c>
      <c r="M6453" t="s">
        <v>42415</v>
      </c>
      <c r="N6453" t="s">
        <v>45095</v>
      </c>
      <c r="O6453" t="s">
        <v>45096</v>
      </c>
      <c r="P6453">
        <v>0</v>
      </c>
      <c r="Q6453">
        <v>1</v>
      </c>
      <c r="R6453" t="s">
        <v>45102</v>
      </c>
      <c r="S6453" t="s">
        <v>45242</v>
      </c>
      <c r="T6453" t="s">
        <v>47064</v>
      </c>
      <c r="U6453" t="s">
        <v>52879</v>
      </c>
      <c r="W6453" t="s">
        <v>42415</v>
      </c>
      <c r="X6453" t="s">
        <v>45103</v>
      </c>
    </row>
    <row r="6454" spans="1:24">
      <c r="A6454">
        <f>HYPERLINK("https://www.philgeps.gov.ph/GEPSNONPILOT/Tender/SplashBidNoticeAbstractUI.aspx?menuIndex=3&amp;refID=7040671&amp;Result=3","7040671")</f>
        <v>0</v>
      </c>
      <c r="B6454" t="s">
        <v>1986</v>
      </c>
      <c r="C6454" t="s">
        <v>9361</v>
      </c>
      <c r="D6454" t="s">
        <v>18035</v>
      </c>
      <c r="E6454" t="s">
        <v>23863</v>
      </c>
      <c r="F6454" t="s">
        <v>31574</v>
      </c>
      <c r="G6454" t="s">
        <v>31583</v>
      </c>
      <c r="H6454" t="s">
        <v>31590</v>
      </c>
      <c r="I6454" t="s">
        <v>31608</v>
      </c>
      <c r="J6454" t="s">
        <v>32505</v>
      </c>
      <c r="K6454" t="s">
        <v>41193</v>
      </c>
      <c r="M6454" t="s">
        <v>43646</v>
      </c>
      <c r="N6454" t="s">
        <v>45095</v>
      </c>
      <c r="O6454" t="s">
        <v>45096</v>
      </c>
      <c r="P6454">
        <v>0</v>
      </c>
      <c r="Q6454">
        <v>2</v>
      </c>
      <c r="R6454" t="s">
        <v>45102</v>
      </c>
      <c r="S6454" t="s">
        <v>45242</v>
      </c>
      <c r="T6454" t="s">
        <v>47083</v>
      </c>
      <c r="U6454" t="s">
        <v>52880</v>
      </c>
      <c r="W6454" t="s">
        <v>43646</v>
      </c>
      <c r="X6454" t="s">
        <v>45103</v>
      </c>
    </row>
    <row r="6455" spans="1:24">
      <c r="A6455">
        <f>HYPERLINK("https://www.philgeps.gov.ph/GEPSNONPILOT/Tender/SplashBidNoticeAbstractUI.aspx?menuIndex=3&amp;refID=7040683&amp;Result=3","7040683")</f>
        <v>0</v>
      </c>
      <c r="B6455" t="s">
        <v>1991</v>
      </c>
      <c r="C6455" t="s">
        <v>9362</v>
      </c>
      <c r="D6455" t="s">
        <v>18033</v>
      </c>
      <c r="E6455" t="s">
        <v>23864</v>
      </c>
      <c r="F6455" t="s">
        <v>31574</v>
      </c>
      <c r="G6455" t="s">
        <v>31582</v>
      </c>
      <c r="H6455" t="s">
        <v>31590</v>
      </c>
      <c r="I6455" t="s">
        <v>3487</v>
      </c>
      <c r="J6455" t="s">
        <v>35880</v>
      </c>
      <c r="K6455" t="s">
        <v>41184</v>
      </c>
      <c r="M6455" t="s">
        <v>43653</v>
      </c>
      <c r="N6455" t="s">
        <v>45095</v>
      </c>
      <c r="O6455" t="s">
        <v>45096</v>
      </c>
      <c r="P6455">
        <v>0</v>
      </c>
      <c r="Q6455">
        <v>0</v>
      </c>
      <c r="R6455" t="s">
        <v>45102</v>
      </c>
      <c r="S6455" t="s">
        <v>45242</v>
      </c>
      <c r="T6455" t="s">
        <v>46918</v>
      </c>
      <c r="U6455" t="s">
        <v>52881</v>
      </c>
      <c r="W6455" t="s">
        <v>43653</v>
      </c>
      <c r="X6455" t="s">
        <v>45103</v>
      </c>
    </row>
    <row r="6456" spans="1:24">
      <c r="A6456">
        <f>HYPERLINK("https://www.philgeps.gov.ph/GEPSNONPILOT/Tender/SplashBidNoticeAbstractUI.aspx?menuIndex=3&amp;refID=7040680&amp;Result=3","7040680")</f>
        <v>0</v>
      </c>
      <c r="B6456" t="s">
        <v>1576</v>
      </c>
      <c r="C6456" t="s">
        <v>9363</v>
      </c>
      <c r="D6456" t="s">
        <v>18022</v>
      </c>
      <c r="E6456" t="s">
        <v>23865</v>
      </c>
      <c r="F6456" t="s">
        <v>31574</v>
      </c>
      <c r="G6456" t="s">
        <v>31581</v>
      </c>
      <c r="H6456" t="s">
        <v>31590</v>
      </c>
      <c r="I6456" t="s">
        <v>31630</v>
      </c>
      <c r="J6456" t="s">
        <v>32153</v>
      </c>
      <c r="K6456" t="s">
        <v>41186</v>
      </c>
      <c r="M6456" t="s">
        <v>43179</v>
      </c>
      <c r="N6456" t="s">
        <v>45095</v>
      </c>
      <c r="O6456" t="s">
        <v>45096</v>
      </c>
      <c r="P6456">
        <v>0</v>
      </c>
      <c r="Q6456">
        <v>1</v>
      </c>
      <c r="R6456" t="s">
        <v>45102</v>
      </c>
      <c r="S6456" t="s">
        <v>45242</v>
      </c>
      <c r="T6456" t="s">
        <v>47159</v>
      </c>
      <c r="U6456" t="s">
        <v>52882</v>
      </c>
      <c r="V6456" t="s">
        <v>60546</v>
      </c>
      <c r="W6456" t="s">
        <v>43179</v>
      </c>
      <c r="X6456" t="s">
        <v>45103</v>
      </c>
    </row>
    <row r="6457" spans="1:24">
      <c r="A6457">
        <f>HYPERLINK("https://www.philgeps.gov.ph/GEPSNONPILOT/Tender/SplashBidNoticeAbstractUI.aspx?menuIndex=3&amp;refID=7040665&amp;Result=3","7040665")</f>
        <v>0</v>
      </c>
      <c r="B6457" t="s">
        <v>1986</v>
      </c>
      <c r="C6457" t="s">
        <v>9364</v>
      </c>
      <c r="D6457" t="s">
        <v>18035</v>
      </c>
      <c r="E6457" t="s">
        <v>23866</v>
      </c>
      <c r="F6457" t="s">
        <v>31574</v>
      </c>
      <c r="G6457" t="s">
        <v>31583</v>
      </c>
      <c r="H6457" t="s">
        <v>31590</v>
      </c>
      <c r="I6457" t="s">
        <v>31608</v>
      </c>
      <c r="J6457" t="s">
        <v>32375</v>
      </c>
      <c r="K6457" t="s">
        <v>41193</v>
      </c>
      <c r="M6457" t="s">
        <v>43646</v>
      </c>
      <c r="N6457" t="s">
        <v>45095</v>
      </c>
      <c r="O6457" t="s">
        <v>45096</v>
      </c>
      <c r="P6457">
        <v>0</v>
      </c>
      <c r="Q6457">
        <v>2</v>
      </c>
      <c r="R6457" t="s">
        <v>45102</v>
      </c>
      <c r="S6457" t="s">
        <v>45242</v>
      </c>
      <c r="T6457" t="s">
        <v>47083</v>
      </c>
      <c r="U6457" t="s">
        <v>52883</v>
      </c>
      <c r="W6457" t="s">
        <v>43646</v>
      </c>
      <c r="X6457" t="s">
        <v>45103</v>
      </c>
    </row>
    <row r="6458" spans="1:24">
      <c r="A6458">
        <f>HYPERLINK("https://www.philgeps.gov.ph/GEPSNONPILOT/Tender/SplashBidNoticeAbstractUI.aspx?menuIndex=3&amp;refID=7040670&amp;Result=3","7040670")</f>
        <v>0</v>
      </c>
      <c r="B6458" t="s">
        <v>1603</v>
      </c>
      <c r="C6458" t="s">
        <v>9365</v>
      </c>
      <c r="D6458" t="s">
        <v>18022</v>
      </c>
      <c r="E6458" t="s">
        <v>23867</v>
      </c>
      <c r="F6458" t="s">
        <v>31574</v>
      </c>
      <c r="G6458" t="s">
        <v>31581</v>
      </c>
      <c r="H6458" t="s">
        <v>31593</v>
      </c>
      <c r="I6458" t="s">
        <v>31593</v>
      </c>
      <c r="J6458" t="s">
        <v>35881</v>
      </c>
      <c r="K6458" t="s">
        <v>41185</v>
      </c>
      <c r="M6458" t="s">
        <v>43208</v>
      </c>
      <c r="N6458" t="s">
        <v>45095</v>
      </c>
      <c r="O6458" t="s">
        <v>45096</v>
      </c>
      <c r="P6458">
        <v>0</v>
      </c>
      <c r="Q6458">
        <v>4</v>
      </c>
      <c r="R6458" t="s">
        <v>45102</v>
      </c>
      <c r="S6458" t="s">
        <v>45242</v>
      </c>
      <c r="T6458" t="s">
        <v>46936</v>
      </c>
      <c r="U6458" t="s">
        <v>52884</v>
      </c>
      <c r="V6458" t="s">
        <v>60547</v>
      </c>
      <c r="W6458" t="s">
        <v>43208</v>
      </c>
      <c r="X6458" t="s">
        <v>45103</v>
      </c>
    </row>
    <row r="6459" spans="1:24">
      <c r="A6459">
        <f>HYPERLINK("https://www.philgeps.gov.ph/GEPSNONPILOT/Tender/SplashBidNoticeAbstractUI.aspx?menuIndex=3&amp;refID=7040663&amp;Result=3","7040663")</f>
        <v>0</v>
      </c>
      <c r="B6459" t="s">
        <v>1990</v>
      </c>
      <c r="C6459" t="s">
        <v>9366</v>
      </c>
      <c r="D6459" t="s">
        <v>18033</v>
      </c>
      <c r="E6459" t="s">
        <v>23868</v>
      </c>
      <c r="F6459" t="s">
        <v>31574</v>
      </c>
      <c r="G6459" t="s">
        <v>31582</v>
      </c>
      <c r="H6459" t="s">
        <v>31590</v>
      </c>
      <c r="I6459" t="s">
        <v>14034</v>
      </c>
      <c r="J6459" t="s">
        <v>35882</v>
      </c>
      <c r="K6459" t="s">
        <v>41184</v>
      </c>
      <c r="M6459" t="s">
        <v>43652</v>
      </c>
      <c r="N6459" t="s">
        <v>45095</v>
      </c>
      <c r="O6459" t="s">
        <v>45096</v>
      </c>
      <c r="P6459">
        <v>0</v>
      </c>
      <c r="Q6459">
        <v>0</v>
      </c>
      <c r="R6459" t="s">
        <v>45102</v>
      </c>
      <c r="S6459" t="s">
        <v>45242</v>
      </c>
      <c r="T6459" t="s">
        <v>46973</v>
      </c>
      <c r="U6459" t="s">
        <v>52885</v>
      </c>
      <c r="W6459" t="s">
        <v>43652</v>
      </c>
      <c r="X6459" t="s">
        <v>45103</v>
      </c>
    </row>
    <row r="6460" spans="1:24">
      <c r="A6460">
        <f>HYPERLINK("https://www.philgeps.gov.ph/GEPSNONPILOT/Tender/SplashBidNoticeAbstractUI.aspx?menuIndex=3&amp;refID=7040695&amp;Result=3","7040695")</f>
        <v>0</v>
      </c>
      <c r="B6460" t="s">
        <v>129</v>
      </c>
      <c r="C6460" t="s">
        <v>9367</v>
      </c>
      <c r="D6460" t="s">
        <v>18022</v>
      </c>
      <c r="E6460" t="s">
        <v>23869</v>
      </c>
      <c r="F6460" t="s">
        <v>31574</v>
      </c>
      <c r="G6460" t="s">
        <v>31582</v>
      </c>
      <c r="H6460" t="s">
        <v>31593</v>
      </c>
      <c r="I6460" t="s">
        <v>31593</v>
      </c>
      <c r="J6460" t="s">
        <v>31819</v>
      </c>
      <c r="K6460" t="s">
        <v>41280</v>
      </c>
      <c r="M6460" t="s">
        <v>41613</v>
      </c>
      <c r="N6460" t="s">
        <v>45095</v>
      </c>
      <c r="O6460" t="s">
        <v>45096</v>
      </c>
      <c r="P6460">
        <v>0</v>
      </c>
      <c r="Q6460">
        <v>2</v>
      </c>
      <c r="R6460" t="s">
        <v>45102</v>
      </c>
      <c r="S6460" t="s">
        <v>45242</v>
      </c>
      <c r="T6460" t="s">
        <v>47289</v>
      </c>
      <c r="U6460" t="s">
        <v>52886</v>
      </c>
      <c r="W6460" t="s">
        <v>41613</v>
      </c>
      <c r="X6460" t="s">
        <v>45103</v>
      </c>
    </row>
    <row r="6461" spans="1:24">
      <c r="A6461">
        <f>HYPERLINK("https://www.philgeps.gov.ph/GEPSNONPILOT/Tender/SplashBidNoticeAbstractUI.aspx?menuIndex=3&amp;refID=7040667&amp;Result=3","7040667")</f>
        <v>0</v>
      </c>
      <c r="B6461" t="s">
        <v>1393</v>
      </c>
      <c r="C6461" t="s">
        <v>9368</v>
      </c>
      <c r="D6461" t="s">
        <v>18045</v>
      </c>
      <c r="E6461" t="s">
        <v>23870</v>
      </c>
      <c r="F6461" t="s">
        <v>31574</v>
      </c>
      <c r="G6461" t="s">
        <v>31581</v>
      </c>
      <c r="H6461" t="s">
        <v>31590</v>
      </c>
      <c r="I6461" t="s">
        <v>3651</v>
      </c>
      <c r="J6461" t="s">
        <v>35883</v>
      </c>
      <c r="K6461" t="s">
        <v>41193</v>
      </c>
      <c r="M6461" t="s">
        <v>42968</v>
      </c>
      <c r="N6461" t="s">
        <v>45095</v>
      </c>
      <c r="O6461" t="s">
        <v>45096</v>
      </c>
      <c r="P6461">
        <v>0</v>
      </c>
      <c r="Q6461">
        <v>0</v>
      </c>
      <c r="R6461" t="s">
        <v>45102</v>
      </c>
      <c r="S6461" t="s">
        <v>45242</v>
      </c>
      <c r="T6461" t="s">
        <v>47159</v>
      </c>
      <c r="U6461" t="s">
        <v>52887</v>
      </c>
      <c r="W6461" t="s">
        <v>42968</v>
      </c>
      <c r="X6461" t="s">
        <v>45103</v>
      </c>
    </row>
    <row r="6462" spans="1:24">
      <c r="A6462">
        <f>HYPERLINK("https://www.philgeps.gov.ph/GEPSNONPILOT/Tender/SplashBidNoticeAbstractUI.aspx?menuIndex=3&amp;refID=7040664&amp;Result=3","7040664")</f>
        <v>0</v>
      </c>
      <c r="B6462" t="s">
        <v>1603</v>
      </c>
      <c r="C6462" t="s">
        <v>9369</v>
      </c>
      <c r="D6462" t="s">
        <v>18022</v>
      </c>
      <c r="E6462" t="s">
        <v>23871</v>
      </c>
      <c r="F6462" t="s">
        <v>31574</v>
      </c>
      <c r="G6462" t="s">
        <v>31581</v>
      </c>
      <c r="H6462" t="s">
        <v>31593</v>
      </c>
      <c r="I6462" t="s">
        <v>31593</v>
      </c>
      <c r="J6462" t="s">
        <v>35884</v>
      </c>
      <c r="K6462" t="s">
        <v>41185</v>
      </c>
      <c r="M6462" t="s">
        <v>43208</v>
      </c>
      <c r="N6462" t="s">
        <v>45095</v>
      </c>
      <c r="O6462" t="s">
        <v>45096</v>
      </c>
      <c r="P6462">
        <v>0</v>
      </c>
      <c r="Q6462">
        <v>4</v>
      </c>
      <c r="R6462" t="s">
        <v>45102</v>
      </c>
      <c r="S6462" t="s">
        <v>45242</v>
      </c>
      <c r="T6462" t="s">
        <v>46936</v>
      </c>
      <c r="U6462" t="s">
        <v>52888</v>
      </c>
      <c r="V6462" t="s">
        <v>60548</v>
      </c>
      <c r="W6462" t="s">
        <v>43208</v>
      </c>
      <c r="X6462" t="s">
        <v>45103</v>
      </c>
    </row>
    <row r="6463" spans="1:24">
      <c r="A6463">
        <f>HYPERLINK("https://www.philgeps.gov.ph/GEPSNONPILOT/Tender/SplashBidNoticeAbstractUI.aspx?menuIndex=3&amp;refID=7040682&amp;Result=3","7040682")</f>
        <v>0</v>
      </c>
      <c r="B6463" t="s">
        <v>1992</v>
      </c>
      <c r="C6463" t="s">
        <v>9370</v>
      </c>
      <c r="D6463" t="s">
        <v>18022</v>
      </c>
      <c r="E6463" t="s">
        <v>19792</v>
      </c>
      <c r="F6463" t="s">
        <v>31574</v>
      </c>
      <c r="G6463" t="s">
        <v>31581</v>
      </c>
      <c r="H6463" t="s">
        <v>31590</v>
      </c>
      <c r="I6463" t="s">
        <v>31650</v>
      </c>
      <c r="J6463" t="s">
        <v>35885</v>
      </c>
      <c r="K6463" t="s">
        <v>41194</v>
      </c>
      <c r="M6463" t="s">
        <v>43654</v>
      </c>
      <c r="N6463" t="s">
        <v>45095</v>
      </c>
      <c r="O6463" t="s">
        <v>45096</v>
      </c>
      <c r="P6463">
        <v>0</v>
      </c>
      <c r="Q6463">
        <v>6</v>
      </c>
      <c r="R6463" t="s">
        <v>45102</v>
      </c>
      <c r="S6463" t="s">
        <v>45242</v>
      </c>
      <c r="T6463" t="s">
        <v>47067</v>
      </c>
      <c r="U6463" t="s">
        <v>52889</v>
      </c>
      <c r="V6463" t="s">
        <v>60549</v>
      </c>
      <c r="W6463" t="s">
        <v>43654</v>
      </c>
      <c r="X6463" t="s">
        <v>45103</v>
      </c>
    </row>
    <row r="6464" spans="1:24">
      <c r="A6464">
        <f>HYPERLINK("https://www.philgeps.gov.ph/GEPSNONPILOT/Tender/SplashBidNoticeAbstractUI.aspx?menuIndex=3&amp;refID=7040694&amp;Result=3","7040694")</f>
        <v>0</v>
      </c>
      <c r="B6464" t="s">
        <v>1993</v>
      </c>
      <c r="C6464" t="s">
        <v>9371</v>
      </c>
      <c r="D6464" t="s">
        <v>18062</v>
      </c>
      <c r="E6464" t="s">
        <v>23872</v>
      </c>
      <c r="F6464" t="s">
        <v>31574</v>
      </c>
      <c r="G6464" t="s">
        <v>31581</v>
      </c>
      <c r="H6464" t="s">
        <v>31590</v>
      </c>
      <c r="I6464" t="s">
        <v>5717</v>
      </c>
      <c r="J6464" t="s">
        <v>35886</v>
      </c>
      <c r="K6464" t="s">
        <v>41196</v>
      </c>
      <c r="M6464" t="s">
        <v>43655</v>
      </c>
      <c r="N6464" t="s">
        <v>45095</v>
      </c>
      <c r="O6464" t="s">
        <v>45096</v>
      </c>
      <c r="P6464">
        <v>0</v>
      </c>
      <c r="Q6464">
        <v>2</v>
      </c>
      <c r="R6464" t="s">
        <v>45102</v>
      </c>
      <c r="S6464" t="s">
        <v>45242</v>
      </c>
      <c r="T6464" t="s">
        <v>46918</v>
      </c>
      <c r="U6464" t="s">
        <v>52890</v>
      </c>
      <c r="V6464" t="s">
        <v>60550</v>
      </c>
      <c r="W6464" t="s">
        <v>43655</v>
      </c>
      <c r="X6464" t="s">
        <v>45103</v>
      </c>
    </row>
    <row r="6465" spans="1:24">
      <c r="A6465">
        <f>HYPERLINK("https://www.philgeps.gov.ph/GEPSNONPILOT/Tender/SplashBidNoticeAbstractUI.aspx?menuIndex=3&amp;refID=7040660&amp;Result=3","7040660")</f>
        <v>0</v>
      </c>
      <c r="B6465" t="s">
        <v>1985</v>
      </c>
      <c r="C6465" t="s">
        <v>9355</v>
      </c>
      <c r="D6465" t="s">
        <v>18022</v>
      </c>
      <c r="E6465" t="s">
        <v>23873</v>
      </c>
      <c r="F6465" t="s">
        <v>31574</v>
      </c>
      <c r="G6465" t="s">
        <v>31582</v>
      </c>
      <c r="H6465" t="s">
        <v>31592</v>
      </c>
      <c r="I6465" t="s">
        <v>31675</v>
      </c>
      <c r="J6465" t="s">
        <v>35887</v>
      </c>
      <c r="K6465" t="s">
        <v>41186</v>
      </c>
      <c r="M6465" t="s">
        <v>43645</v>
      </c>
      <c r="N6465" t="s">
        <v>45095</v>
      </c>
      <c r="O6465" t="s">
        <v>45096</v>
      </c>
      <c r="P6465">
        <v>0</v>
      </c>
      <c r="Q6465">
        <v>0</v>
      </c>
      <c r="R6465" t="s">
        <v>45102</v>
      </c>
      <c r="S6465" t="s">
        <v>45242</v>
      </c>
      <c r="T6465" t="s">
        <v>47198</v>
      </c>
      <c r="U6465" t="s">
        <v>52891</v>
      </c>
      <c r="W6465" t="s">
        <v>43645</v>
      </c>
      <c r="X6465" t="s">
        <v>45103</v>
      </c>
    </row>
    <row r="6466" spans="1:24">
      <c r="A6466">
        <f>HYPERLINK("https://www.philgeps.gov.ph/GEPSNONPILOT/Tender/SplashBidNoticeAbstractUI.aspx?menuIndex=3&amp;refID=7040699&amp;Result=3","7040699")</f>
        <v>0</v>
      </c>
      <c r="B6466" t="s">
        <v>835</v>
      </c>
      <c r="C6466" t="s">
        <v>9372</v>
      </c>
      <c r="D6466" t="s">
        <v>18030</v>
      </c>
      <c r="E6466" t="s">
        <v>23874</v>
      </c>
      <c r="F6466" t="s">
        <v>31575</v>
      </c>
      <c r="G6466" t="s">
        <v>31581</v>
      </c>
      <c r="H6466" t="s">
        <v>31590</v>
      </c>
      <c r="I6466" t="s">
        <v>4046</v>
      </c>
      <c r="J6466" t="s">
        <v>35888</v>
      </c>
      <c r="K6466" t="s">
        <v>41197</v>
      </c>
      <c r="M6466" t="s">
        <v>43651</v>
      </c>
      <c r="N6466" t="s">
        <v>45095</v>
      </c>
      <c r="O6466" t="s">
        <v>45096</v>
      </c>
      <c r="P6466">
        <v>0</v>
      </c>
      <c r="Q6466">
        <v>2</v>
      </c>
      <c r="R6466" t="s">
        <v>45102</v>
      </c>
      <c r="S6466" t="s">
        <v>45242</v>
      </c>
      <c r="T6466" t="s">
        <v>47136</v>
      </c>
      <c r="U6466" t="s">
        <v>52876</v>
      </c>
      <c r="V6466" t="s">
        <v>48153</v>
      </c>
      <c r="W6466" t="s">
        <v>43651</v>
      </c>
      <c r="X6466" t="s">
        <v>45103</v>
      </c>
    </row>
    <row r="6467" spans="1:24">
      <c r="A6467">
        <f>HYPERLINK("https://www.philgeps.gov.ph/GEPSNONPILOT/Tender/SplashBidNoticeAbstractUI.aspx?menuIndex=3&amp;refID=7040688&amp;Result=3","7040688")</f>
        <v>0</v>
      </c>
      <c r="B6467" t="s">
        <v>835</v>
      </c>
      <c r="C6467" t="s">
        <v>9373</v>
      </c>
      <c r="D6467" t="s">
        <v>18030</v>
      </c>
      <c r="E6467" t="s">
        <v>23874</v>
      </c>
      <c r="F6467" t="s">
        <v>31575</v>
      </c>
      <c r="G6467" t="s">
        <v>31581</v>
      </c>
      <c r="H6467" t="s">
        <v>31590</v>
      </c>
      <c r="I6467" t="s">
        <v>4046</v>
      </c>
      <c r="J6467" t="s">
        <v>35889</v>
      </c>
      <c r="K6467" t="s">
        <v>41197</v>
      </c>
      <c r="M6467" t="s">
        <v>43651</v>
      </c>
      <c r="N6467" t="s">
        <v>45095</v>
      </c>
      <c r="O6467" t="s">
        <v>45096</v>
      </c>
      <c r="P6467">
        <v>0</v>
      </c>
      <c r="Q6467">
        <v>2</v>
      </c>
      <c r="R6467" t="s">
        <v>45102</v>
      </c>
      <c r="S6467" t="s">
        <v>45242</v>
      </c>
      <c r="T6467" t="s">
        <v>47106</v>
      </c>
      <c r="U6467" t="s">
        <v>52892</v>
      </c>
      <c r="V6467" t="s">
        <v>48153</v>
      </c>
      <c r="W6467" t="s">
        <v>43651</v>
      </c>
      <c r="X6467" t="s">
        <v>45103</v>
      </c>
    </row>
    <row r="6468" spans="1:24">
      <c r="A6468">
        <f>HYPERLINK("https://www.philgeps.gov.ph/GEPSNONPILOT/Tender/SplashBidNoticeAbstractUI.aspx?menuIndex=3&amp;refID=7040718&amp;Result=3","7040718")</f>
        <v>0</v>
      </c>
      <c r="B6468" t="s">
        <v>1327</v>
      </c>
      <c r="C6468" t="s">
        <v>9374</v>
      </c>
      <c r="E6468" t="s">
        <v>9374</v>
      </c>
      <c r="F6468" t="s">
        <v>31574</v>
      </c>
      <c r="G6468" t="s">
        <v>31581</v>
      </c>
      <c r="H6468" t="s">
        <v>31590</v>
      </c>
      <c r="I6468" t="s">
        <v>7185</v>
      </c>
      <c r="J6468" t="s">
        <v>35890</v>
      </c>
      <c r="K6468" t="s">
        <v>41193</v>
      </c>
      <c r="M6468" t="s">
        <v>42897</v>
      </c>
      <c r="N6468" t="s">
        <v>45095</v>
      </c>
      <c r="O6468" t="s">
        <v>45096</v>
      </c>
      <c r="P6468">
        <v>0</v>
      </c>
      <c r="Q6468">
        <v>0</v>
      </c>
      <c r="R6468" t="s">
        <v>45102</v>
      </c>
      <c r="S6468" t="s">
        <v>45242</v>
      </c>
      <c r="T6468" t="s">
        <v>47154</v>
      </c>
      <c r="U6468" t="s">
        <v>52893</v>
      </c>
      <c r="W6468" t="s">
        <v>42897</v>
      </c>
      <c r="X6468" t="s">
        <v>45103</v>
      </c>
    </row>
    <row r="6469" spans="1:24">
      <c r="A6469">
        <f>HYPERLINK("https://www.philgeps.gov.ph/GEPSNONPILOT/Tender/SplashBidNoticeAbstractUI.aspx?menuIndex=3&amp;refID=7040700&amp;Result=3","7040700")</f>
        <v>0</v>
      </c>
      <c r="B6469" t="s">
        <v>1994</v>
      </c>
      <c r="C6469" t="s">
        <v>9375</v>
      </c>
      <c r="D6469" t="s">
        <v>18056</v>
      </c>
      <c r="E6469" t="s">
        <v>23875</v>
      </c>
      <c r="F6469" t="s">
        <v>31574</v>
      </c>
      <c r="G6469" t="s">
        <v>31582</v>
      </c>
      <c r="H6469" t="s">
        <v>31591</v>
      </c>
      <c r="I6469" t="s">
        <v>4046</v>
      </c>
      <c r="J6469" t="s">
        <v>35891</v>
      </c>
      <c r="K6469" t="s">
        <v>41347</v>
      </c>
      <c r="M6469" t="s">
        <v>43656</v>
      </c>
      <c r="N6469" t="s">
        <v>45095</v>
      </c>
      <c r="O6469" t="s">
        <v>45096</v>
      </c>
      <c r="P6469">
        <v>0</v>
      </c>
      <c r="Q6469">
        <v>3</v>
      </c>
      <c r="R6469" t="s">
        <v>45102</v>
      </c>
      <c r="S6469" t="s">
        <v>45242</v>
      </c>
      <c r="T6469" t="s">
        <v>47011</v>
      </c>
      <c r="U6469" t="s">
        <v>52894</v>
      </c>
      <c r="V6469" t="s">
        <v>60551</v>
      </c>
      <c r="W6469" t="s">
        <v>43656</v>
      </c>
      <c r="X6469" t="s">
        <v>45103</v>
      </c>
    </row>
    <row r="6470" spans="1:24">
      <c r="A6470">
        <f>HYPERLINK("https://www.philgeps.gov.ph/GEPSNONPILOT/Tender/SplashBidNoticeAbstractUI.aspx?menuIndex=3&amp;refID=7040693&amp;Result=3","7040693")</f>
        <v>0</v>
      </c>
      <c r="B6470" t="s">
        <v>1994</v>
      </c>
      <c r="C6470" t="s">
        <v>9376</v>
      </c>
      <c r="D6470" t="s">
        <v>18056</v>
      </c>
      <c r="E6470" t="s">
        <v>23876</v>
      </c>
      <c r="F6470" t="s">
        <v>31574</v>
      </c>
      <c r="G6470" t="s">
        <v>31582</v>
      </c>
      <c r="H6470" t="s">
        <v>31590</v>
      </c>
      <c r="I6470" t="s">
        <v>31615</v>
      </c>
      <c r="J6470" t="s">
        <v>31962</v>
      </c>
      <c r="K6470" t="s">
        <v>41186</v>
      </c>
      <c r="M6470" t="s">
        <v>43656</v>
      </c>
      <c r="N6470" t="s">
        <v>45095</v>
      </c>
      <c r="O6470" t="s">
        <v>45096</v>
      </c>
      <c r="P6470">
        <v>0</v>
      </c>
      <c r="Q6470">
        <v>1</v>
      </c>
      <c r="R6470" t="s">
        <v>45102</v>
      </c>
      <c r="S6470" t="s">
        <v>45242</v>
      </c>
      <c r="T6470" t="s">
        <v>47011</v>
      </c>
      <c r="U6470" t="s">
        <v>52895</v>
      </c>
      <c r="V6470" t="s">
        <v>60551</v>
      </c>
      <c r="W6470" t="s">
        <v>43656</v>
      </c>
      <c r="X6470" t="s">
        <v>45103</v>
      </c>
    </row>
    <row r="6471" spans="1:24">
      <c r="A6471">
        <f>HYPERLINK("https://www.philgeps.gov.ph/GEPSNONPILOT/Tender/SplashBidNoticeAbstractUI.aspx?menuIndex=3&amp;refID=7040712&amp;Result=3","7040712")</f>
        <v>0</v>
      </c>
      <c r="B6471" t="s">
        <v>1995</v>
      </c>
      <c r="C6471" t="s">
        <v>9377</v>
      </c>
      <c r="D6471" t="s">
        <v>18066</v>
      </c>
      <c r="E6471" t="s">
        <v>23877</v>
      </c>
      <c r="F6471" t="s">
        <v>31574</v>
      </c>
      <c r="G6471" t="s">
        <v>31582</v>
      </c>
      <c r="H6471" t="s">
        <v>31591</v>
      </c>
      <c r="I6471" t="s">
        <v>8822</v>
      </c>
      <c r="J6471" t="s">
        <v>35892</v>
      </c>
      <c r="K6471" t="s">
        <v>41184</v>
      </c>
      <c r="M6471" t="s">
        <v>43657</v>
      </c>
      <c r="N6471" t="s">
        <v>45095</v>
      </c>
      <c r="O6471" t="s">
        <v>45096</v>
      </c>
      <c r="P6471">
        <v>0</v>
      </c>
      <c r="Q6471">
        <v>1</v>
      </c>
      <c r="R6471" t="s">
        <v>45102</v>
      </c>
      <c r="S6471" t="s">
        <v>45242</v>
      </c>
      <c r="T6471" t="s">
        <v>46936</v>
      </c>
      <c r="U6471" t="s">
        <v>52896</v>
      </c>
      <c r="W6471" t="s">
        <v>43657</v>
      </c>
      <c r="X6471" t="s">
        <v>45103</v>
      </c>
    </row>
    <row r="6472" spans="1:24">
      <c r="A6472">
        <f>HYPERLINK("https://www.philgeps.gov.ph/GEPSNONPILOT/Tender/SplashBidNoticeAbstractUI.aspx?menuIndex=3&amp;refID=7040719&amp;Result=3","7040719")</f>
        <v>0</v>
      </c>
      <c r="B6472" t="s">
        <v>1996</v>
      </c>
      <c r="C6472" t="s">
        <v>9378</v>
      </c>
      <c r="D6472" t="s">
        <v>18075</v>
      </c>
      <c r="E6472" t="s">
        <v>23878</v>
      </c>
      <c r="F6472" t="s">
        <v>31574</v>
      </c>
      <c r="G6472" t="s">
        <v>31582</v>
      </c>
      <c r="H6472" t="s">
        <v>31591</v>
      </c>
      <c r="I6472" t="s">
        <v>8822</v>
      </c>
      <c r="J6472" t="s">
        <v>35893</v>
      </c>
      <c r="K6472" t="s">
        <v>41218</v>
      </c>
      <c r="M6472" t="s">
        <v>43658</v>
      </c>
      <c r="N6472" t="s">
        <v>45095</v>
      </c>
      <c r="O6472" t="s">
        <v>45096</v>
      </c>
      <c r="P6472">
        <v>0</v>
      </c>
      <c r="Q6472">
        <v>1</v>
      </c>
      <c r="R6472" t="s">
        <v>45102</v>
      </c>
      <c r="S6472" t="s">
        <v>45242</v>
      </c>
      <c r="T6472" t="s">
        <v>47188</v>
      </c>
      <c r="U6472" t="s">
        <v>52897</v>
      </c>
      <c r="W6472" t="s">
        <v>43658</v>
      </c>
      <c r="X6472" t="s">
        <v>45103</v>
      </c>
    </row>
    <row r="6473" spans="1:24">
      <c r="A6473">
        <f>HYPERLINK("https://www.philgeps.gov.ph/GEPSNONPILOT/Tender/SplashBidNoticeAbstractUI.aspx?menuIndex=3&amp;refID=7040689&amp;Result=3","7040689")</f>
        <v>0</v>
      </c>
      <c r="B6473" t="s">
        <v>1994</v>
      </c>
      <c r="C6473" t="s">
        <v>9379</v>
      </c>
      <c r="D6473" t="s">
        <v>18056</v>
      </c>
      <c r="E6473" t="s">
        <v>23879</v>
      </c>
      <c r="F6473" t="s">
        <v>31574</v>
      </c>
      <c r="G6473" t="s">
        <v>31582</v>
      </c>
      <c r="H6473" t="s">
        <v>31590</v>
      </c>
      <c r="I6473" t="s">
        <v>8258</v>
      </c>
      <c r="J6473" t="s">
        <v>35894</v>
      </c>
      <c r="K6473" t="s">
        <v>41191</v>
      </c>
      <c r="M6473" t="s">
        <v>43656</v>
      </c>
      <c r="N6473" t="s">
        <v>45095</v>
      </c>
      <c r="O6473" t="s">
        <v>45096</v>
      </c>
      <c r="P6473">
        <v>0</v>
      </c>
      <c r="Q6473">
        <v>2</v>
      </c>
      <c r="R6473" t="s">
        <v>45102</v>
      </c>
      <c r="S6473" t="s">
        <v>45242</v>
      </c>
      <c r="T6473" t="s">
        <v>47011</v>
      </c>
      <c r="U6473" t="s">
        <v>52898</v>
      </c>
      <c r="V6473" t="s">
        <v>60551</v>
      </c>
      <c r="W6473" t="s">
        <v>43656</v>
      </c>
      <c r="X6473" t="s">
        <v>45103</v>
      </c>
    </row>
    <row r="6474" spans="1:24">
      <c r="A6474">
        <f>HYPERLINK("https://www.philgeps.gov.ph/GEPSNONPILOT/Tender/SplashBidNoticeAbstractUI.aspx?menuIndex=3&amp;refID=7040708&amp;Result=3","7040708")</f>
        <v>0</v>
      </c>
      <c r="B6474" t="s">
        <v>1645</v>
      </c>
      <c r="C6474" t="s">
        <v>9380</v>
      </c>
      <c r="D6474" t="s">
        <v>18023</v>
      </c>
      <c r="E6474" t="s">
        <v>23880</v>
      </c>
      <c r="F6474" t="s">
        <v>31574</v>
      </c>
      <c r="G6474" t="s">
        <v>31583</v>
      </c>
      <c r="H6474" t="s">
        <v>31590</v>
      </c>
      <c r="I6474" t="s">
        <v>31658</v>
      </c>
      <c r="J6474" t="s">
        <v>32097</v>
      </c>
      <c r="K6474" t="s">
        <v>41213</v>
      </c>
      <c r="M6474" t="s">
        <v>43255</v>
      </c>
      <c r="N6474" t="s">
        <v>45095</v>
      </c>
      <c r="O6474" t="s">
        <v>45096</v>
      </c>
      <c r="P6474">
        <v>0</v>
      </c>
      <c r="Q6474">
        <v>1</v>
      </c>
      <c r="R6474" t="s">
        <v>45102</v>
      </c>
      <c r="S6474" t="s">
        <v>45242</v>
      </c>
      <c r="T6474" t="s">
        <v>47125</v>
      </c>
      <c r="U6474" t="s">
        <v>52899</v>
      </c>
      <c r="W6474" t="s">
        <v>43255</v>
      </c>
      <c r="X6474" t="s">
        <v>45103</v>
      </c>
    </row>
    <row r="6475" spans="1:24">
      <c r="A6475">
        <f>HYPERLINK("https://www.philgeps.gov.ph/GEPSNONPILOT/Tender/SplashBidNoticeAbstractUI.aspx?menuIndex=3&amp;refID=7040710&amp;Result=3","7040710")</f>
        <v>0</v>
      </c>
      <c r="B6475" t="s">
        <v>835</v>
      </c>
      <c r="C6475" t="s">
        <v>9381</v>
      </c>
      <c r="D6475" t="s">
        <v>18030</v>
      </c>
      <c r="E6475" t="s">
        <v>23881</v>
      </c>
      <c r="F6475" t="s">
        <v>31575</v>
      </c>
      <c r="G6475" t="s">
        <v>31581</v>
      </c>
      <c r="H6475" t="s">
        <v>31590</v>
      </c>
      <c r="I6475" t="s">
        <v>5717</v>
      </c>
      <c r="J6475" t="s">
        <v>35895</v>
      </c>
      <c r="K6475" t="s">
        <v>41197</v>
      </c>
      <c r="M6475" t="s">
        <v>43651</v>
      </c>
      <c r="N6475" t="s">
        <v>45095</v>
      </c>
      <c r="O6475" t="s">
        <v>45096</v>
      </c>
      <c r="P6475">
        <v>0</v>
      </c>
      <c r="Q6475">
        <v>4</v>
      </c>
      <c r="R6475" t="s">
        <v>45102</v>
      </c>
      <c r="S6475" t="s">
        <v>45242</v>
      </c>
      <c r="T6475" t="s">
        <v>47136</v>
      </c>
      <c r="U6475" t="s">
        <v>52876</v>
      </c>
      <c r="V6475" t="s">
        <v>48153</v>
      </c>
      <c r="W6475" t="s">
        <v>43651</v>
      </c>
      <c r="X6475" t="s">
        <v>45103</v>
      </c>
    </row>
    <row r="6476" spans="1:24">
      <c r="A6476">
        <f>HYPERLINK("https://www.philgeps.gov.ph/GEPSNONPILOT/Tender/SplashBidNoticeAbstractUI.aspx?menuIndex=3&amp;refID=7040716&amp;Result=3","7040716")</f>
        <v>0</v>
      </c>
      <c r="B6476" t="s">
        <v>1997</v>
      </c>
      <c r="C6476" t="s">
        <v>9382</v>
      </c>
      <c r="D6476" t="s">
        <v>18023</v>
      </c>
      <c r="E6476" t="s">
        <v>23882</v>
      </c>
      <c r="F6476" t="s">
        <v>31574</v>
      </c>
      <c r="G6476" t="s">
        <v>31588</v>
      </c>
      <c r="H6476" t="s">
        <v>31590</v>
      </c>
      <c r="I6476" t="s">
        <v>4046</v>
      </c>
      <c r="J6476" t="s">
        <v>35896</v>
      </c>
      <c r="K6476" t="s">
        <v>41196</v>
      </c>
      <c r="M6476" t="s">
        <v>43659</v>
      </c>
      <c r="N6476" t="s">
        <v>45095</v>
      </c>
      <c r="O6476" t="s">
        <v>45096</v>
      </c>
      <c r="P6476">
        <v>0</v>
      </c>
      <c r="Q6476">
        <v>3</v>
      </c>
      <c r="R6476" t="s">
        <v>45102</v>
      </c>
      <c r="S6476" t="s">
        <v>45242</v>
      </c>
      <c r="T6476" t="s">
        <v>47290</v>
      </c>
      <c r="U6476" t="s">
        <v>52900</v>
      </c>
      <c r="V6476" t="s">
        <v>60552</v>
      </c>
      <c r="W6476" t="s">
        <v>43659</v>
      </c>
      <c r="X6476" t="s">
        <v>45103</v>
      </c>
    </row>
    <row r="6477" spans="1:24">
      <c r="A6477">
        <f>HYPERLINK("https://www.philgeps.gov.ph/GEPSNONPILOT/Tender/SplashBidNoticeAbstractUI.aspx?menuIndex=3&amp;refID=7040705&amp;Result=3","7040705")</f>
        <v>0</v>
      </c>
      <c r="B6477" t="s">
        <v>1998</v>
      </c>
      <c r="C6477" t="s">
        <v>9383</v>
      </c>
      <c r="D6477" t="s">
        <v>18022</v>
      </c>
      <c r="E6477" t="s">
        <v>23883</v>
      </c>
      <c r="F6477" t="s">
        <v>31574</v>
      </c>
      <c r="G6477" t="s">
        <v>31582</v>
      </c>
      <c r="H6477" t="s">
        <v>31590</v>
      </c>
      <c r="I6477" t="s">
        <v>31610</v>
      </c>
      <c r="J6477" t="s">
        <v>31780</v>
      </c>
      <c r="K6477" t="s">
        <v>41193</v>
      </c>
      <c r="M6477" t="s">
        <v>43660</v>
      </c>
      <c r="N6477" t="s">
        <v>45095</v>
      </c>
      <c r="O6477" t="s">
        <v>45096</v>
      </c>
      <c r="P6477">
        <v>0</v>
      </c>
      <c r="Q6477">
        <v>0</v>
      </c>
      <c r="R6477" t="s">
        <v>45102</v>
      </c>
      <c r="S6477" t="s">
        <v>45242</v>
      </c>
      <c r="T6477" t="s">
        <v>47106</v>
      </c>
      <c r="U6477" t="s">
        <v>52901</v>
      </c>
      <c r="W6477" t="s">
        <v>43660</v>
      </c>
      <c r="X6477" t="s">
        <v>45103</v>
      </c>
    </row>
    <row r="6478" spans="1:24">
      <c r="A6478">
        <f>HYPERLINK("https://www.philgeps.gov.ph/GEPSNONPILOT/Tender/SplashBidNoticeAbstractUI.aspx?menuIndex=3&amp;refID=7040711&amp;Result=3","7040711")</f>
        <v>0</v>
      </c>
      <c r="B6478" t="s">
        <v>800</v>
      </c>
      <c r="C6478" t="s">
        <v>9384</v>
      </c>
      <c r="D6478" t="s">
        <v>18106</v>
      </c>
      <c r="E6478" t="s">
        <v>23884</v>
      </c>
      <c r="F6478" t="s">
        <v>31574</v>
      </c>
      <c r="G6478" t="s">
        <v>31582</v>
      </c>
      <c r="H6478" t="s">
        <v>31590</v>
      </c>
      <c r="I6478" t="s">
        <v>31685</v>
      </c>
      <c r="J6478" t="s">
        <v>35897</v>
      </c>
      <c r="K6478" t="s">
        <v>41192</v>
      </c>
      <c r="M6478" t="s">
        <v>42314</v>
      </c>
      <c r="N6478" t="s">
        <v>45095</v>
      </c>
      <c r="O6478" t="s">
        <v>45096</v>
      </c>
      <c r="P6478">
        <v>0</v>
      </c>
      <c r="Q6478">
        <v>4</v>
      </c>
      <c r="R6478" t="s">
        <v>45102</v>
      </c>
      <c r="S6478" t="s">
        <v>45242</v>
      </c>
      <c r="T6478" t="s">
        <v>47236</v>
      </c>
      <c r="U6478" t="s">
        <v>52902</v>
      </c>
      <c r="V6478" t="s">
        <v>60553</v>
      </c>
      <c r="W6478" t="s">
        <v>42314</v>
      </c>
      <c r="X6478" t="s">
        <v>45103</v>
      </c>
    </row>
    <row r="6479" spans="1:24">
      <c r="A6479">
        <f>HYPERLINK("https://www.philgeps.gov.ph/GEPSNONPILOT/Tender/SplashBidNoticeAbstractUI.aspx?menuIndex=3&amp;refID=7040685&amp;Result=3","7040685")</f>
        <v>0</v>
      </c>
      <c r="B6479" t="s">
        <v>835</v>
      </c>
      <c r="C6479" t="s">
        <v>9385</v>
      </c>
      <c r="D6479" t="s">
        <v>18030</v>
      </c>
      <c r="E6479" t="s">
        <v>23885</v>
      </c>
      <c r="F6479" t="s">
        <v>31575</v>
      </c>
      <c r="G6479" t="s">
        <v>31581</v>
      </c>
      <c r="H6479" t="s">
        <v>31590</v>
      </c>
      <c r="I6479" t="s">
        <v>31595</v>
      </c>
      <c r="J6479" t="s">
        <v>35898</v>
      </c>
      <c r="K6479" t="s">
        <v>41197</v>
      </c>
      <c r="M6479" t="s">
        <v>43651</v>
      </c>
      <c r="N6479" t="s">
        <v>45095</v>
      </c>
      <c r="O6479" t="s">
        <v>45096</v>
      </c>
      <c r="P6479">
        <v>0</v>
      </c>
      <c r="Q6479">
        <v>3</v>
      </c>
      <c r="R6479" t="s">
        <v>45102</v>
      </c>
      <c r="S6479" t="s">
        <v>45242</v>
      </c>
      <c r="T6479" t="s">
        <v>47080</v>
      </c>
      <c r="U6479" t="s">
        <v>52903</v>
      </c>
      <c r="V6479" t="s">
        <v>48153</v>
      </c>
      <c r="W6479" t="s">
        <v>43651</v>
      </c>
      <c r="X6479" t="s">
        <v>45103</v>
      </c>
    </row>
    <row r="6480" spans="1:24">
      <c r="A6480">
        <f>HYPERLINK("https://www.philgeps.gov.ph/GEPSNONPILOT/Tender/SplashBidNoticeAbstractUI.aspx?menuIndex=3&amp;refID=7040687&amp;Result=3","7040687")</f>
        <v>0</v>
      </c>
      <c r="B6480" t="s">
        <v>1393</v>
      </c>
      <c r="C6480" t="s">
        <v>9386</v>
      </c>
      <c r="D6480" t="s">
        <v>18045</v>
      </c>
      <c r="E6480" t="s">
        <v>23886</v>
      </c>
      <c r="F6480" t="s">
        <v>31574</v>
      </c>
      <c r="G6480" t="s">
        <v>31582</v>
      </c>
      <c r="H6480" t="s">
        <v>31590</v>
      </c>
      <c r="I6480" t="s">
        <v>3901</v>
      </c>
      <c r="J6480" t="s">
        <v>35899</v>
      </c>
      <c r="K6480" t="s">
        <v>41196</v>
      </c>
      <c r="M6480" t="s">
        <v>42968</v>
      </c>
      <c r="N6480" t="s">
        <v>45095</v>
      </c>
      <c r="O6480" t="s">
        <v>45096</v>
      </c>
      <c r="P6480">
        <v>0</v>
      </c>
      <c r="Q6480">
        <v>1</v>
      </c>
      <c r="R6480" t="s">
        <v>45102</v>
      </c>
      <c r="S6480" t="s">
        <v>45242</v>
      </c>
      <c r="T6480" t="s">
        <v>47211</v>
      </c>
      <c r="U6480" t="s">
        <v>52904</v>
      </c>
      <c r="W6480" t="s">
        <v>42968</v>
      </c>
      <c r="X6480" t="s">
        <v>45103</v>
      </c>
    </row>
    <row r="6481" spans="1:24">
      <c r="A6481">
        <f>HYPERLINK("https://www.philgeps.gov.ph/GEPSNONPILOT/Tender/SplashBidNoticeAbstractUI.aspx?menuIndex=3&amp;refID=7040686&amp;Result=3","7040686")</f>
        <v>0</v>
      </c>
      <c r="B6481" t="s">
        <v>1059</v>
      </c>
      <c r="C6481" t="s">
        <v>9387</v>
      </c>
      <c r="D6481" t="s">
        <v>18093</v>
      </c>
      <c r="E6481" t="s">
        <v>23887</v>
      </c>
      <c r="F6481" t="s">
        <v>31574</v>
      </c>
      <c r="G6481" t="s">
        <v>31582</v>
      </c>
      <c r="H6481" t="s">
        <v>31590</v>
      </c>
      <c r="I6481" t="s">
        <v>4327</v>
      </c>
      <c r="J6481" t="s">
        <v>35900</v>
      </c>
      <c r="K6481" t="s">
        <v>41193</v>
      </c>
      <c r="M6481" t="s">
        <v>42604</v>
      </c>
      <c r="N6481" t="s">
        <v>45095</v>
      </c>
      <c r="O6481" t="s">
        <v>45096</v>
      </c>
      <c r="P6481">
        <v>0</v>
      </c>
      <c r="Q6481">
        <v>9</v>
      </c>
      <c r="R6481" t="s">
        <v>45102</v>
      </c>
      <c r="S6481" t="s">
        <v>45242</v>
      </c>
      <c r="T6481" t="s">
        <v>46980</v>
      </c>
      <c r="U6481" t="s">
        <v>52905</v>
      </c>
      <c r="W6481" t="s">
        <v>42604</v>
      </c>
      <c r="X6481" t="s">
        <v>45103</v>
      </c>
    </row>
    <row r="6482" spans="1:24">
      <c r="A6482">
        <f>HYPERLINK("https://www.philgeps.gov.ph/GEPSNONPILOT/Tender/SplashBidNoticeAbstractUI.aspx?menuIndex=3&amp;refID=7040720&amp;Result=3","7040720")</f>
        <v>0</v>
      </c>
      <c r="B6482" t="s">
        <v>1995</v>
      </c>
      <c r="C6482" t="s">
        <v>9388</v>
      </c>
      <c r="D6482" t="s">
        <v>18066</v>
      </c>
      <c r="E6482" t="s">
        <v>23888</v>
      </c>
      <c r="F6482" t="s">
        <v>31574</v>
      </c>
      <c r="G6482" t="s">
        <v>31582</v>
      </c>
      <c r="H6482" t="s">
        <v>31591</v>
      </c>
      <c r="I6482" t="s">
        <v>8822</v>
      </c>
      <c r="J6482" t="s">
        <v>35901</v>
      </c>
      <c r="K6482" t="s">
        <v>41184</v>
      </c>
      <c r="M6482" t="s">
        <v>43657</v>
      </c>
      <c r="N6482" t="s">
        <v>45095</v>
      </c>
      <c r="O6482" t="s">
        <v>45096</v>
      </c>
      <c r="P6482">
        <v>0</v>
      </c>
      <c r="Q6482">
        <v>1</v>
      </c>
      <c r="R6482" t="s">
        <v>45102</v>
      </c>
      <c r="S6482" t="s">
        <v>45242</v>
      </c>
      <c r="T6482" t="s">
        <v>46911</v>
      </c>
      <c r="U6482" t="s">
        <v>52906</v>
      </c>
      <c r="W6482" t="s">
        <v>43657</v>
      </c>
      <c r="X6482" t="s">
        <v>45103</v>
      </c>
    </row>
    <row r="6483" spans="1:24">
      <c r="A6483">
        <f>HYPERLINK("https://www.philgeps.gov.ph/GEPSNONPILOT/Tender/SplashBidNoticeAbstractUI.aspx?menuIndex=3&amp;refID=7040727&amp;Result=3","7040727")</f>
        <v>0</v>
      </c>
      <c r="B6483" t="s">
        <v>377</v>
      </c>
      <c r="C6483" t="s">
        <v>3689</v>
      </c>
      <c r="E6483" t="s">
        <v>23889</v>
      </c>
      <c r="F6483" t="s">
        <v>31574</v>
      </c>
      <c r="G6483" t="s">
        <v>31582</v>
      </c>
      <c r="H6483" t="s">
        <v>31590</v>
      </c>
      <c r="I6483" t="s">
        <v>31594</v>
      </c>
      <c r="J6483" t="s">
        <v>35902</v>
      </c>
      <c r="K6483" t="s">
        <v>41184</v>
      </c>
      <c r="M6483" t="s">
        <v>41867</v>
      </c>
      <c r="N6483" t="s">
        <v>45095</v>
      </c>
      <c r="O6483" t="s">
        <v>45096</v>
      </c>
      <c r="P6483">
        <v>0</v>
      </c>
      <c r="Q6483">
        <v>9</v>
      </c>
      <c r="R6483" t="s">
        <v>45102</v>
      </c>
      <c r="S6483" t="s">
        <v>45242</v>
      </c>
      <c r="T6483" t="s">
        <v>46939</v>
      </c>
      <c r="U6483" t="s">
        <v>52907</v>
      </c>
      <c r="V6483" t="s">
        <v>60530</v>
      </c>
      <c r="W6483" t="s">
        <v>41867</v>
      </c>
      <c r="X6483" t="s">
        <v>45103</v>
      </c>
    </row>
    <row r="6484" spans="1:24">
      <c r="A6484">
        <f>HYPERLINK("https://www.philgeps.gov.ph/GEPSNONPILOT/Tender/SplashBidNoticeAbstractUI.aspx?menuIndex=3&amp;refID=7040725&amp;Result=3","7040725")</f>
        <v>0</v>
      </c>
      <c r="B6484" t="s">
        <v>1999</v>
      </c>
      <c r="C6484" t="s">
        <v>9389</v>
      </c>
      <c r="D6484" t="s">
        <v>18081</v>
      </c>
      <c r="E6484" t="s">
        <v>23890</v>
      </c>
      <c r="F6484" t="s">
        <v>31574</v>
      </c>
      <c r="G6484" t="s">
        <v>31582</v>
      </c>
      <c r="H6484" t="s">
        <v>31590</v>
      </c>
      <c r="I6484" t="s">
        <v>7162</v>
      </c>
      <c r="J6484" t="s">
        <v>31935</v>
      </c>
      <c r="K6484" t="s">
        <v>41244</v>
      </c>
      <c r="M6484" t="s">
        <v>43661</v>
      </c>
      <c r="N6484" t="s">
        <v>45095</v>
      </c>
      <c r="O6484" t="s">
        <v>45096</v>
      </c>
      <c r="P6484">
        <v>0</v>
      </c>
      <c r="Q6484">
        <v>2</v>
      </c>
      <c r="R6484" t="s">
        <v>45102</v>
      </c>
      <c r="S6484" t="s">
        <v>45242</v>
      </c>
      <c r="T6484" t="s">
        <v>46918</v>
      </c>
      <c r="U6484" t="s">
        <v>52908</v>
      </c>
      <c r="W6484" t="s">
        <v>43661</v>
      </c>
      <c r="X6484" t="s">
        <v>45103</v>
      </c>
    </row>
    <row r="6485" spans="1:24">
      <c r="A6485">
        <f>HYPERLINK("https://www.philgeps.gov.ph/GEPSNONPILOT/Tender/SplashBidNoticeAbstractUI.aspx?menuIndex=3&amp;refID=7040734&amp;Result=3","7040734")</f>
        <v>0</v>
      </c>
      <c r="B6485" t="s">
        <v>35</v>
      </c>
      <c r="C6485" t="s">
        <v>3487</v>
      </c>
      <c r="D6485" t="s">
        <v>18030</v>
      </c>
      <c r="E6485" t="s">
        <v>23891</v>
      </c>
      <c r="F6485" t="s">
        <v>31574</v>
      </c>
      <c r="G6485" t="s">
        <v>31581</v>
      </c>
      <c r="H6485" t="s">
        <v>31590</v>
      </c>
      <c r="I6485" t="s">
        <v>3487</v>
      </c>
      <c r="J6485" t="s">
        <v>35903</v>
      </c>
      <c r="K6485" t="s">
        <v>41186</v>
      </c>
      <c r="M6485" t="s">
        <v>41517</v>
      </c>
      <c r="N6485" t="s">
        <v>45095</v>
      </c>
      <c r="O6485" t="s">
        <v>45096</v>
      </c>
      <c r="P6485">
        <v>0</v>
      </c>
      <c r="Q6485">
        <v>0</v>
      </c>
      <c r="R6485" t="s">
        <v>45102</v>
      </c>
      <c r="S6485" t="s">
        <v>45242</v>
      </c>
      <c r="T6485" t="s">
        <v>47164</v>
      </c>
      <c r="U6485" t="s">
        <v>52909</v>
      </c>
      <c r="W6485" t="s">
        <v>41517</v>
      </c>
      <c r="X6485" t="s">
        <v>45103</v>
      </c>
    </row>
    <row r="6486" spans="1:24">
      <c r="A6486">
        <f>HYPERLINK("https://www.philgeps.gov.ph/GEPSNONPILOT/Tender/SplashBidNoticeAbstractUI.aspx?menuIndex=3&amp;refID=7040723&amp;Result=3","7040723")</f>
        <v>0</v>
      </c>
      <c r="B6486" t="s">
        <v>1998</v>
      </c>
      <c r="C6486" t="s">
        <v>9390</v>
      </c>
      <c r="D6486" t="s">
        <v>18022</v>
      </c>
      <c r="E6486" t="s">
        <v>23892</v>
      </c>
      <c r="F6486" t="s">
        <v>31574</v>
      </c>
      <c r="G6486" t="s">
        <v>31582</v>
      </c>
      <c r="H6486" t="s">
        <v>31590</v>
      </c>
      <c r="I6486" t="s">
        <v>14544</v>
      </c>
      <c r="J6486" t="s">
        <v>31947</v>
      </c>
      <c r="K6486" t="s">
        <v>41193</v>
      </c>
      <c r="M6486" t="s">
        <v>43660</v>
      </c>
      <c r="N6486" t="s">
        <v>45095</v>
      </c>
      <c r="O6486" t="s">
        <v>45096</v>
      </c>
      <c r="P6486">
        <v>0</v>
      </c>
      <c r="Q6486">
        <v>0</v>
      </c>
      <c r="R6486" t="s">
        <v>45102</v>
      </c>
      <c r="S6486" t="s">
        <v>45242</v>
      </c>
      <c r="T6486" t="s">
        <v>47106</v>
      </c>
      <c r="U6486" t="s">
        <v>52910</v>
      </c>
      <c r="W6486" t="s">
        <v>43660</v>
      </c>
      <c r="X6486" t="s">
        <v>45103</v>
      </c>
    </row>
    <row r="6487" spans="1:24">
      <c r="A6487">
        <f>HYPERLINK("https://www.philgeps.gov.ph/GEPSNONPILOT/Tender/SplashBidNoticeAbstractUI.aspx?menuIndex=3&amp;refID=7040746&amp;Result=3","7040746")</f>
        <v>0</v>
      </c>
      <c r="B6487" t="s">
        <v>1327</v>
      </c>
      <c r="C6487" t="s">
        <v>9391</v>
      </c>
      <c r="E6487" t="s">
        <v>9391</v>
      </c>
      <c r="F6487" t="s">
        <v>31574</v>
      </c>
      <c r="G6487" t="s">
        <v>31584</v>
      </c>
      <c r="H6487" t="s">
        <v>31590</v>
      </c>
      <c r="I6487" t="s">
        <v>6800</v>
      </c>
      <c r="J6487" t="s">
        <v>35904</v>
      </c>
      <c r="K6487" t="s">
        <v>41193</v>
      </c>
      <c r="M6487" t="s">
        <v>42897</v>
      </c>
      <c r="N6487" t="s">
        <v>45095</v>
      </c>
      <c r="O6487" t="s">
        <v>45096</v>
      </c>
      <c r="P6487">
        <v>0</v>
      </c>
      <c r="Q6487">
        <v>1</v>
      </c>
      <c r="R6487" t="s">
        <v>45102</v>
      </c>
      <c r="S6487" t="s">
        <v>45242</v>
      </c>
      <c r="T6487" t="s">
        <v>47154</v>
      </c>
      <c r="U6487" t="s">
        <v>52911</v>
      </c>
      <c r="W6487" t="s">
        <v>42897</v>
      </c>
      <c r="X6487" t="s">
        <v>45103</v>
      </c>
    </row>
    <row r="6488" spans="1:24">
      <c r="A6488">
        <f>HYPERLINK("https://www.philgeps.gov.ph/GEPSNONPILOT/Tender/SplashBidNoticeAbstractUI.aspx?menuIndex=3&amp;refID=7040726&amp;Result=3","7040726")</f>
        <v>0</v>
      </c>
      <c r="B6488" t="s">
        <v>2000</v>
      </c>
      <c r="C6488" t="s">
        <v>9392</v>
      </c>
      <c r="D6488" t="s">
        <v>18041</v>
      </c>
      <c r="E6488" t="s">
        <v>23893</v>
      </c>
      <c r="F6488" t="s">
        <v>31579</v>
      </c>
      <c r="G6488" t="s">
        <v>31581</v>
      </c>
      <c r="H6488" t="s">
        <v>31590</v>
      </c>
      <c r="I6488" t="s">
        <v>3487</v>
      </c>
      <c r="J6488" t="s">
        <v>32147</v>
      </c>
      <c r="K6488" t="s">
        <v>41211</v>
      </c>
      <c r="M6488" t="s">
        <v>43662</v>
      </c>
      <c r="N6488" t="s">
        <v>45095</v>
      </c>
      <c r="O6488" t="s">
        <v>45096</v>
      </c>
      <c r="P6488">
        <v>0</v>
      </c>
      <c r="Q6488">
        <v>0</v>
      </c>
      <c r="R6488" t="s">
        <v>45102</v>
      </c>
      <c r="S6488" t="s">
        <v>45242</v>
      </c>
      <c r="T6488" t="s">
        <v>46936</v>
      </c>
      <c r="U6488" t="s">
        <v>52912</v>
      </c>
      <c r="W6488" t="s">
        <v>43662</v>
      </c>
      <c r="X6488" t="s">
        <v>45103</v>
      </c>
    </row>
    <row r="6489" spans="1:24">
      <c r="A6489">
        <f>HYPERLINK("https://www.philgeps.gov.ph/GEPSNONPILOT/Tender/SplashBidNoticeAbstractUI.aspx?menuIndex=3&amp;refID=7040745&amp;Result=3","7040745")</f>
        <v>0</v>
      </c>
      <c r="B6489" t="s">
        <v>59</v>
      </c>
      <c r="C6489" t="s">
        <v>9393</v>
      </c>
      <c r="D6489" t="s">
        <v>18048</v>
      </c>
      <c r="E6489" t="s">
        <v>23894</v>
      </c>
      <c r="F6489" t="s">
        <v>31574</v>
      </c>
      <c r="G6489" t="s">
        <v>31583</v>
      </c>
      <c r="H6489" t="s">
        <v>31590</v>
      </c>
      <c r="I6489" t="s">
        <v>4046</v>
      </c>
      <c r="J6489" t="s">
        <v>32611</v>
      </c>
      <c r="K6489" t="s">
        <v>41185</v>
      </c>
      <c r="M6489" t="s">
        <v>41543</v>
      </c>
      <c r="N6489" t="s">
        <v>45095</v>
      </c>
      <c r="O6489" t="s">
        <v>45096</v>
      </c>
      <c r="P6489">
        <v>0</v>
      </c>
      <c r="Q6489">
        <v>0</v>
      </c>
      <c r="R6489" t="s">
        <v>45102</v>
      </c>
      <c r="S6489" t="s">
        <v>45242</v>
      </c>
      <c r="T6489" t="s">
        <v>46973</v>
      </c>
      <c r="U6489" t="s">
        <v>52913</v>
      </c>
      <c r="V6489" t="s">
        <v>59856</v>
      </c>
      <c r="W6489" t="s">
        <v>41543</v>
      </c>
      <c r="X6489" t="s">
        <v>45103</v>
      </c>
    </row>
    <row r="6490" spans="1:24">
      <c r="A6490">
        <f>HYPERLINK("https://www.philgeps.gov.ph/GEPSNONPILOT/Tender/SplashBidNoticeAbstractUI.aspx?menuIndex=3&amp;refID=7040743&amp;Result=3","7040743")</f>
        <v>0</v>
      </c>
      <c r="B6490" t="s">
        <v>2001</v>
      </c>
      <c r="C6490" t="s">
        <v>9394</v>
      </c>
      <c r="D6490" t="s">
        <v>18058</v>
      </c>
      <c r="E6490" t="s">
        <v>23895</v>
      </c>
      <c r="F6490" t="s">
        <v>31574</v>
      </c>
      <c r="G6490" t="s">
        <v>31581</v>
      </c>
      <c r="H6490" t="s">
        <v>31590</v>
      </c>
      <c r="I6490" t="s">
        <v>31610</v>
      </c>
      <c r="J6490" t="s">
        <v>35905</v>
      </c>
      <c r="K6490" t="s">
        <v>41186</v>
      </c>
      <c r="M6490" t="s">
        <v>43663</v>
      </c>
      <c r="N6490" t="s">
        <v>45095</v>
      </c>
      <c r="O6490" t="s">
        <v>45096</v>
      </c>
      <c r="P6490">
        <v>0</v>
      </c>
      <c r="Q6490">
        <v>3</v>
      </c>
      <c r="R6490" t="s">
        <v>45102</v>
      </c>
      <c r="S6490" t="s">
        <v>45242</v>
      </c>
      <c r="T6490" t="s">
        <v>47050</v>
      </c>
      <c r="U6490" t="s">
        <v>52914</v>
      </c>
      <c r="V6490" t="s">
        <v>59888</v>
      </c>
      <c r="W6490" t="s">
        <v>43663</v>
      </c>
      <c r="X6490" t="s">
        <v>45103</v>
      </c>
    </row>
    <row r="6491" spans="1:24">
      <c r="A6491">
        <f>HYPERLINK("https://www.philgeps.gov.ph/GEPSNONPILOT/Tender/SplashBidNoticeAbstractUI.aspx?menuIndex=3&amp;refID=7040735&amp;Result=3","7040735")</f>
        <v>0</v>
      </c>
      <c r="B6491" t="s">
        <v>800</v>
      </c>
      <c r="C6491" t="s">
        <v>9395</v>
      </c>
      <c r="D6491" t="s">
        <v>18106</v>
      </c>
      <c r="E6491" t="s">
        <v>23896</v>
      </c>
      <c r="F6491" t="s">
        <v>31574</v>
      </c>
      <c r="G6491" t="s">
        <v>31582</v>
      </c>
      <c r="H6491" t="s">
        <v>31590</v>
      </c>
      <c r="I6491" t="s">
        <v>31694</v>
      </c>
      <c r="J6491" t="s">
        <v>35906</v>
      </c>
      <c r="K6491" t="s">
        <v>41185</v>
      </c>
      <c r="M6491" t="s">
        <v>42314</v>
      </c>
      <c r="N6491" t="s">
        <v>45095</v>
      </c>
      <c r="O6491" t="s">
        <v>45096</v>
      </c>
      <c r="Q6491">
        <v>3</v>
      </c>
      <c r="R6491" t="s">
        <v>45102</v>
      </c>
      <c r="S6491" t="s">
        <v>45267</v>
      </c>
      <c r="T6491" t="s">
        <v>47236</v>
      </c>
      <c r="U6491" t="s">
        <v>52902</v>
      </c>
      <c r="V6491" t="s">
        <v>60554</v>
      </c>
      <c r="W6491" t="s">
        <v>42314</v>
      </c>
      <c r="X6491" t="s">
        <v>45103</v>
      </c>
    </row>
    <row r="6492" spans="1:24">
      <c r="A6492">
        <f>HYPERLINK("https://www.philgeps.gov.ph/GEPSNONPILOT/Tender/SplashBidNoticeAbstractUI.aspx?menuIndex=3&amp;refID=7040721&amp;Result=3","7040721")</f>
        <v>0</v>
      </c>
      <c r="B6492" t="s">
        <v>35</v>
      </c>
      <c r="C6492" t="s">
        <v>3487</v>
      </c>
      <c r="D6492" t="s">
        <v>18030</v>
      </c>
      <c r="E6492" t="s">
        <v>23897</v>
      </c>
      <c r="F6492" t="s">
        <v>31574</v>
      </c>
      <c r="G6492" t="s">
        <v>31581</v>
      </c>
      <c r="H6492" t="s">
        <v>31590</v>
      </c>
      <c r="I6492" t="s">
        <v>3487</v>
      </c>
      <c r="J6492" t="s">
        <v>35907</v>
      </c>
      <c r="K6492" t="s">
        <v>41186</v>
      </c>
      <c r="M6492" t="s">
        <v>41517</v>
      </c>
      <c r="N6492" t="s">
        <v>45095</v>
      </c>
      <c r="O6492" t="s">
        <v>45096</v>
      </c>
      <c r="P6492">
        <v>0</v>
      </c>
      <c r="Q6492">
        <v>0</v>
      </c>
      <c r="R6492" t="s">
        <v>45102</v>
      </c>
      <c r="S6492" t="s">
        <v>45242</v>
      </c>
      <c r="T6492" t="s">
        <v>47183</v>
      </c>
      <c r="U6492" t="s">
        <v>52915</v>
      </c>
      <c r="W6492" t="s">
        <v>41517</v>
      </c>
      <c r="X6492" t="s">
        <v>45103</v>
      </c>
    </row>
    <row r="6493" spans="1:24">
      <c r="A6493">
        <f>HYPERLINK("https://www.philgeps.gov.ph/GEPSNONPILOT/Tender/SplashBidNoticeAbstractUI.aspx?menuIndex=3&amp;refID=7040754&amp;Result=3","7040754")</f>
        <v>0</v>
      </c>
      <c r="B6493" t="s">
        <v>59</v>
      </c>
      <c r="C6493" t="s">
        <v>9396</v>
      </c>
      <c r="D6493" t="s">
        <v>18048</v>
      </c>
      <c r="E6493" t="s">
        <v>23898</v>
      </c>
      <c r="F6493" t="s">
        <v>31574</v>
      </c>
      <c r="G6493" t="s">
        <v>31583</v>
      </c>
      <c r="H6493" t="s">
        <v>31590</v>
      </c>
      <c r="I6493" t="s">
        <v>31602</v>
      </c>
      <c r="J6493" t="s">
        <v>31728</v>
      </c>
      <c r="K6493" t="s">
        <v>41186</v>
      </c>
      <c r="M6493" t="s">
        <v>41543</v>
      </c>
      <c r="N6493" t="s">
        <v>45095</v>
      </c>
      <c r="O6493" t="s">
        <v>45096</v>
      </c>
      <c r="P6493">
        <v>0</v>
      </c>
      <c r="Q6493">
        <v>0</v>
      </c>
      <c r="R6493" t="s">
        <v>45102</v>
      </c>
      <c r="S6493" t="s">
        <v>45242</v>
      </c>
      <c r="T6493" t="s">
        <v>46973</v>
      </c>
      <c r="U6493" t="s">
        <v>52916</v>
      </c>
      <c r="V6493" t="s">
        <v>59856</v>
      </c>
      <c r="W6493" t="s">
        <v>41543</v>
      </c>
      <c r="X6493" t="s">
        <v>45103</v>
      </c>
    </row>
    <row r="6494" spans="1:24">
      <c r="A6494">
        <f>HYPERLINK("https://www.philgeps.gov.ph/GEPSNONPILOT/Tender/SplashBidNoticeAbstractUI.aspx?menuIndex=3&amp;refID=7040744&amp;Result=3","7040744")</f>
        <v>0</v>
      </c>
      <c r="B6494" t="s">
        <v>1998</v>
      </c>
      <c r="C6494" t="s">
        <v>9397</v>
      </c>
      <c r="D6494" t="s">
        <v>18022</v>
      </c>
      <c r="E6494" t="s">
        <v>23899</v>
      </c>
      <c r="F6494" t="s">
        <v>31574</v>
      </c>
      <c r="G6494" t="s">
        <v>31582</v>
      </c>
      <c r="H6494" t="s">
        <v>31590</v>
      </c>
      <c r="I6494" t="s">
        <v>31605</v>
      </c>
      <c r="J6494" t="s">
        <v>32232</v>
      </c>
      <c r="K6494" t="s">
        <v>41193</v>
      </c>
      <c r="M6494" t="s">
        <v>43660</v>
      </c>
      <c r="N6494" t="s">
        <v>45095</v>
      </c>
      <c r="O6494" t="s">
        <v>45096</v>
      </c>
      <c r="P6494">
        <v>0</v>
      </c>
      <c r="Q6494">
        <v>1</v>
      </c>
      <c r="R6494" t="s">
        <v>45102</v>
      </c>
      <c r="S6494" t="s">
        <v>45242</v>
      </c>
      <c r="T6494" t="s">
        <v>47106</v>
      </c>
      <c r="U6494" t="s">
        <v>52917</v>
      </c>
      <c r="W6494" t="s">
        <v>43660</v>
      </c>
      <c r="X6494" t="s">
        <v>45103</v>
      </c>
    </row>
    <row r="6495" spans="1:24">
      <c r="A6495">
        <f>HYPERLINK("https://www.philgeps.gov.ph/GEPSNONPILOT/Tender/SplashBidNoticeAbstractUI.aspx?menuIndex=3&amp;refID=7040737&amp;Result=3","7040737")</f>
        <v>0</v>
      </c>
      <c r="B6495" t="s">
        <v>1998</v>
      </c>
      <c r="C6495" t="s">
        <v>9398</v>
      </c>
      <c r="D6495" t="s">
        <v>18022</v>
      </c>
      <c r="E6495" t="s">
        <v>23900</v>
      </c>
      <c r="F6495" t="s">
        <v>31574</v>
      </c>
      <c r="G6495" t="s">
        <v>31582</v>
      </c>
      <c r="H6495" t="s">
        <v>31590</v>
      </c>
      <c r="I6495" t="s">
        <v>3487</v>
      </c>
      <c r="J6495" t="s">
        <v>31789</v>
      </c>
      <c r="K6495" t="s">
        <v>41193</v>
      </c>
      <c r="M6495" t="s">
        <v>43660</v>
      </c>
      <c r="N6495" t="s">
        <v>45095</v>
      </c>
      <c r="O6495" t="s">
        <v>45096</v>
      </c>
      <c r="P6495">
        <v>0</v>
      </c>
      <c r="Q6495">
        <v>0</v>
      </c>
      <c r="R6495" t="s">
        <v>45102</v>
      </c>
      <c r="S6495" t="s">
        <v>45242</v>
      </c>
      <c r="T6495" t="s">
        <v>47106</v>
      </c>
      <c r="U6495" t="s">
        <v>52918</v>
      </c>
      <c r="W6495" t="s">
        <v>43660</v>
      </c>
      <c r="X6495" t="s">
        <v>45103</v>
      </c>
    </row>
    <row r="6496" spans="1:24">
      <c r="A6496">
        <f>HYPERLINK("https://www.philgeps.gov.ph/GEPSNONPILOT/Tender/SplashBidNoticeAbstractUI.aspx?menuIndex=3&amp;refID=7040753&amp;Result=3","7040753")</f>
        <v>0</v>
      </c>
      <c r="B6496" t="s">
        <v>1996</v>
      </c>
      <c r="C6496" t="s">
        <v>9399</v>
      </c>
      <c r="D6496" t="s">
        <v>18075</v>
      </c>
      <c r="E6496" t="s">
        <v>23901</v>
      </c>
      <c r="F6496" t="s">
        <v>31574</v>
      </c>
      <c r="G6496" t="s">
        <v>31582</v>
      </c>
      <c r="H6496" t="s">
        <v>31591</v>
      </c>
      <c r="I6496" t="s">
        <v>8822</v>
      </c>
      <c r="J6496" t="s">
        <v>35908</v>
      </c>
      <c r="K6496" t="s">
        <v>41308</v>
      </c>
      <c r="M6496" t="s">
        <v>43658</v>
      </c>
      <c r="N6496" t="s">
        <v>45095</v>
      </c>
      <c r="O6496" t="s">
        <v>45096</v>
      </c>
      <c r="P6496">
        <v>0</v>
      </c>
      <c r="Q6496">
        <v>1</v>
      </c>
      <c r="R6496" t="s">
        <v>45102</v>
      </c>
      <c r="S6496" t="s">
        <v>45242</v>
      </c>
      <c r="T6496" t="s">
        <v>47188</v>
      </c>
      <c r="U6496" t="s">
        <v>52897</v>
      </c>
      <c r="W6496" t="s">
        <v>43658</v>
      </c>
      <c r="X6496" t="s">
        <v>45103</v>
      </c>
    </row>
    <row r="6497" spans="1:24">
      <c r="A6497">
        <f>HYPERLINK("https://www.philgeps.gov.ph/GEPSNONPILOT/Tender/SplashBidNoticeAbstractUI.aspx?menuIndex=3&amp;refID=7040739&amp;Result=3","7040739")</f>
        <v>0</v>
      </c>
      <c r="B6497" t="s">
        <v>1601</v>
      </c>
      <c r="C6497" t="s">
        <v>9400</v>
      </c>
      <c r="D6497" t="s">
        <v>18036</v>
      </c>
      <c r="E6497" t="s">
        <v>23902</v>
      </c>
      <c r="F6497" t="s">
        <v>31574</v>
      </c>
      <c r="G6497" t="s">
        <v>31582</v>
      </c>
      <c r="H6497" t="s">
        <v>31591</v>
      </c>
      <c r="I6497" t="s">
        <v>8822</v>
      </c>
      <c r="J6497" t="s">
        <v>31730</v>
      </c>
      <c r="K6497" t="s">
        <v>41252</v>
      </c>
      <c r="L6497" t="s">
        <v>1601</v>
      </c>
      <c r="M6497" t="s">
        <v>43205</v>
      </c>
      <c r="N6497" t="s">
        <v>45095</v>
      </c>
      <c r="O6497" t="s">
        <v>45096</v>
      </c>
      <c r="P6497">
        <v>0</v>
      </c>
      <c r="Q6497">
        <v>1</v>
      </c>
      <c r="R6497" t="s">
        <v>45102</v>
      </c>
      <c r="S6497" t="s">
        <v>45242</v>
      </c>
      <c r="T6497" t="s">
        <v>46962</v>
      </c>
      <c r="U6497" t="s">
        <v>52919</v>
      </c>
      <c r="W6497" t="s">
        <v>43205</v>
      </c>
      <c r="X6497" t="s">
        <v>45103</v>
      </c>
    </row>
    <row r="6498" spans="1:24">
      <c r="A6498">
        <f>HYPERLINK("https://www.philgeps.gov.ph/GEPSNONPILOT/Tender/SplashBidNoticeAbstractUI.aspx?menuIndex=3&amp;refID=7040747&amp;Result=3","7040747")</f>
        <v>0</v>
      </c>
      <c r="B6498" t="s">
        <v>2002</v>
      </c>
      <c r="C6498" t="s">
        <v>9401</v>
      </c>
      <c r="D6498" t="s">
        <v>18066</v>
      </c>
      <c r="E6498" t="s">
        <v>22723</v>
      </c>
      <c r="F6498" t="s">
        <v>31574</v>
      </c>
      <c r="G6498" t="s">
        <v>31582</v>
      </c>
      <c r="H6498" t="s">
        <v>31591</v>
      </c>
      <c r="I6498" t="s">
        <v>8822</v>
      </c>
      <c r="J6498" t="s">
        <v>35909</v>
      </c>
      <c r="K6498" t="s">
        <v>41200</v>
      </c>
      <c r="M6498" t="s">
        <v>43664</v>
      </c>
      <c r="N6498" t="s">
        <v>45095</v>
      </c>
      <c r="O6498" t="s">
        <v>45096</v>
      </c>
      <c r="P6498">
        <v>0</v>
      </c>
      <c r="Q6498">
        <v>2</v>
      </c>
      <c r="R6498" t="s">
        <v>45102</v>
      </c>
      <c r="S6498" t="s">
        <v>45242</v>
      </c>
      <c r="T6498" t="s">
        <v>47147</v>
      </c>
      <c r="U6498" t="s">
        <v>52920</v>
      </c>
      <c r="W6498" t="s">
        <v>43664</v>
      </c>
      <c r="X6498" t="s">
        <v>45103</v>
      </c>
    </row>
    <row r="6499" spans="1:24">
      <c r="A6499">
        <f>HYPERLINK("https://www.philgeps.gov.ph/GEPSNONPILOT/Tender/SplashBidNoticeAbstractUI.aspx?menuIndex=3&amp;refID=7040729&amp;Result=3","7040729")</f>
        <v>0</v>
      </c>
      <c r="B6499" t="s">
        <v>35</v>
      </c>
      <c r="C6499" t="s">
        <v>3487</v>
      </c>
      <c r="D6499" t="s">
        <v>18030</v>
      </c>
      <c r="E6499" t="s">
        <v>23903</v>
      </c>
      <c r="F6499" t="s">
        <v>31574</v>
      </c>
      <c r="G6499" t="s">
        <v>31583</v>
      </c>
      <c r="H6499" t="s">
        <v>31590</v>
      </c>
      <c r="I6499" t="s">
        <v>3487</v>
      </c>
      <c r="J6499" t="s">
        <v>35910</v>
      </c>
      <c r="K6499" t="s">
        <v>41196</v>
      </c>
      <c r="M6499" t="s">
        <v>41517</v>
      </c>
      <c r="N6499" t="s">
        <v>45095</v>
      </c>
      <c r="O6499" t="s">
        <v>45096</v>
      </c>
      <c r="P6499">
        <v>0</v>
      </c>
      <c r="Q6499">
        <v>0</v>
      </c>
      <c r="R6499" t="s">
        <v>45102</v>
      </c>
      <c r="S6499" t="s">
        <v>45242</v>
      </c>
      <c r="T6499" t="s">
        <v>47183</v>
      </c>
      <c r="U6499" t="s">
        <v>52921</v>
      </c>
      <c r="W6499" t="s">
        <v>41517</v>
      </c>
      <c r="X6499" t="s">
        <v>45103</v>
      </c>
    </row>
    <row r="6500" spans="1:24">
      <c r="A6500">
        <f>HYPERLINK("https://www.philgeps.gov.ph/GEPSNONPILOT/Tender/SplashBidNoticeAbstractUI.aspx?menuIndex=3&amp;refID=7040765&amp;Result=3","7040765")</f>
        <v>0</v>
      </c>
      <c r="B6500" t="s">
        <v>1327</v>
      </c>
      <c r="C6500" t="s">
        <v>9402</v>
      </c>
      <c r="E6500" t="s">
        <v>9402</v>
      </c>
      <c r="F6500" t="s">
        <v>31574</v>
      </c>
      <c r="G6500" t="s">
        <v>31581</v>
      </c>
      <c r="H6500" t="s">
        <v>31590</v>
      </c>
      <c r="I6500" t="s">
        <v>3487</v>
      </c>
      <c r="J6500" t="s">
        <v>33056</v>
      </c>
      <c r="K6500" t="s">
        <v>41193</v>
      </c>
      <c r="M6500" t="s">
        <v>42897</v>
      </c>
      <c r="N6500" t="s">
        <v>45095</v>
      </c>
      <c r="O6500" t="s">
        <v>45096</v>
      </c>
      <c r="P6500">
        <v>0</v>
      </c>
      <c r="Q6500">
        <v>0</v>
      </c>
      <c r="R6500" t="s">
        <v>45102</v>
      </c>
      <c r="S6500" t="s">
        <v>45242</v>
      </c>
      <c r="T6500" t="s">
        <v>47154</v>
      </c>
      <c r="U6500" t="s">
        <v>52922</v>
      </c>
      <c r="W6500" t="s">
        <v>42897</v>
      </c>
      <c r="X6500" t="s">
        <v>45103</v>
      </c>
    </row>
    <row r="6501" spans="1:24">
      <c r="A6501">
        <f>HYPERLINK("https://www.philgeps.gov.ph/GEPSNONPILOT/Tender/SplashBidNoticeAbstractUI.aspx?menuIndex=3&amp;refID=7040763&amp;Result=3","7040763")</f>
        <v>0</v>
      </c>
      <c r="B6501" t="s">
        <v>2001</v>
      </c>
      <c r="C6501" t="s">
        <v>9403</v>
      </c>
      <c r="D6501" t="s">
        <v>18058</v>
      </c>
      <c r="E6501" t="s">
        <v>23904</v>
      </c>
      <c r="F6501" t="s">
        <v>31574</v>
      </c>
      <c r="G6501" t="s">
        <v>31581</v>
      </c>
      <c r="H6501" t="s">
        <v>31590</v>
      </c>
      <c r="I6501" t="s">
        <v>6800</v>
      </c>
      <c r="J6501" t="s">
        <v>35911</v>
      </c>
      <c r="K6501" t="s">
        <v>41186</v>
      </c>
      <c r="M6501" t="s">
        <v>43663</v>
      </c>
      <c r="N6501" t="s">
        <v>45095</v>
      </c>
      <c r="O6501" t="s">
        <v>45096</v>
      </c>
      <c r="P6501">
        <v>0</v>
      </c>
      <c r="Q6501">
        <v>2</v>
      </c>
      <c r="R6501" t="s">
        <v>45102</v>
      </c>
      <c r="S6501" t="s">
        <v>45242</v>
      </c>
      <c r="T6501" t="s">
        <v>47050</v>
      </c>
      <c r="U6501" t="s">
        <v>52923</v>
      </c>
      <c r="V6501" t="s">
        <v>59888</v>
      </c>
      <c r="W6501" t="s">
        <v>43663</v>
      </c>
      <c r="X6501" t="s">
        <v>45103</v>
      </c>
    </row>
    <row r="6502" spans="1:24">
      <c r="A6502">
        <f>HYPERLINK("https://www.philgeps.gov.ph/GEPSNONPILOT/Tender/SplashBidNoticeAbstractUI.aspx?menuIndex=3&amp;refID=7040755&amp;Result=3","7040755")</f>
        <v>0</v>
      </c>
      <c r="B6502" t="s">
        <v>1327</v>
      </c>
      <c r="C6502" t="s">
        <v>9404</v>
      </c>
      <c r="E6502" t="s">
        <v>9404</v>
      </c>
      <c r="F6502" t="s">
        <v>31574</v>
      </c>
      <c r="G6502" t="s">
        <v>31581</v>
      </c>
      <c r="H6502" t="s">
        <v>31590</v>
      </c>
      <c r="I6502" t="s">
        <v>3487</v>
      </c>
      <c r="J6502" t="s">
        <v>35912</v>
      </c>
      <c r="K6502" t="s">
        <v>41193</v>
      </c>
      <c r="M6502" t="s">
        <v>42897</v>
      </c>
      <c r="N6502" t="s">
        <v>45095</v>
      </c>
      <c r="O6502" t="s">
        <v>45096</v>
      </c>
      <c r="P6502">
        <v>0</v>
      </c>
      <c r="Q6502">
        <v>0</v>
      </c>
      <c r="R6502" t="s">
        <v>45102</v>
      </c>
      <c r="S6502" t="s">
        <v>45242</v>
      </c>
      <c r="T6502" t="s">
        <v>47154</v>
      </c>
      <c r="U6502" t="s">
        <v>52924</v>
      </c>
      <c r="W6502" t="s">
        <v>42897</v>
      </c>
      <c r="X6502" t="s">
        <v>45103</v>
      </c>
    </row>
    <row r="6503" spans="1:24">
      <c r="A6503">
        <f>HYPERLINK("https://www.philgeps.gov.ph/GEPSNONPILOT/Tender/SplashBidNoticeAbstractUI.aspx?menuIndex=3&amp;refID=7040761&amp;Result=3","7040761")</f>
        <v>0</v>
      </c>
      <c r="B6503" t="s">
        <v>1998</v>
      </c>
      <c r="C6503" t="s">
        <v>9405</v>
      </c>
      <c r="D6503" t="s">
        <v>18022</v>
      </c>
      <c r="E6503" t="s">
        <v>23905</v>
      </c>
      <c r="F6503" t="s">
        <v>31574</v>
      </c>
      <c r="G6503" t="s">
        <v>31582</v>
      </c>
      <c r="H6503" t="s">
        <v>31590</v>
      </c>
      <c r="I6503" t="s">
        <v>3487</v>
      </c>
      <c r="J6503" t="s">
        <v>32232</v>
      </c>
      <c r="K6503" t="s">
        <v>41193</v>
      </c>
      <c r="M6503" t="s">
        <v>43660</v>
      </c>
      <c r="N6503" t="s">
        <v>45095</v>
      </c>
      <c r="O6503" t="s">
        <v>45096</v>
      </c>
      <c r="P6503">
        <v>0</v>
      </c>
      <c r="Q6503">
        <v>0</v>
      </c>
      <c r="R6503" t="s">
        <v>45102</v>
      </c>
      <c r="S6503" t="s">
        <v>45242</v>
      </c>
      <c r="T6503" t="s">
        <v>47106</v>
      </c>
      <c r="U6503" t="s">
        <v>52925</v>
      </c>
      <c r="W6503" t="s">
        <v>43660</v>
      </c>
      <c r="X6503" t="s">
        <v>45103</v>
      </c>
    </row>
    <row r="6504" spans="1:24">
      <c r="A6504">
        <f>HYPERLINK("https://www.philgeps.gov.ph/GEPSNONPILOT/Tender/SplashBidNoticeAbstractUI.aspx?menuIndex=3&amp;refID=7040731&amp;Result=3","7040731")</f>
        <v>0</v>
      </c>
      <c r="B6504" t="s">
        <v>1992</v>
      </c>
      <c r="C6504" t="s">
        <v>9406</v>
      </c>
      <c r="D6504" t="s">
        <v>18022</v>
      </c>
      <c r="E6504" t="s">
        <v>18975</v>
      </c>
      <c r="F6504" t="s">
        <v>31574</v>
      </c>
      <c r="G6504" t="s">
        <v>31581</v>
      </c>
      <c r="H6504" t="s">
        <v>31591</v>
      </c>
      <c r="I6504" t="s">
        <v>4046</v>
      </c>
      <c r="J6504" t="s">
        <v>35913</v>
      </c>
      <c r="K6504" t="s">
        <v>41186</v>
      </c>
      <c r="M6504" t="s">
        <v>43654</v>
      </c>
      <c r="N6504" t="s">
        <v>45095</v>
      </c>
      <c r="O6504" t="s">
        <v>45096</v>
      </c>
      <c r="P6504">
        <v>0</v>
      </c>
      <c r="Q6504">
        <v>0</v>
      </c>
      <c r="R6504" t="s">
        <v>45102</v>
      </c>
      <c r="S6504" t="s">
        <v>45242</v>
      </c>
      <c r="T6504" t="s">
        <v>47058</v>
      </c>
      <c r="U6504" t="s">
        <v>52926</v>
      </c>
      <c r="V6504" t="s">
        <v>60555</v>
      </c>
      <c r="W6504" t="s">
        <v>43654</v>
      </c>
      <c r="X6504" t="s">
        <v>45103</v>
      </c>
    </row>
    <row r="6505" spans="1:24">
      <c r="A6505">
        <f>HYPERLINK("https://www.philgeps.gov.ph/GEPSNONPILOT/Tender/SplashBidNoticeAbstractUI.aspx?menuIndex=3&amp;refID=7040767&amp;Result=3","7040767")</f>
        <v>0</v>
      </c>
      <c r="B6505" t="s">
        <v>2003</v>
      </c>
      <c r="C6505" t="s">
        <v>9407</v>
      </c>
      <c r="D6505" t="s">
        <v>18022</v>
      </c>
      <c r="E6505" t="s">
        <v>23906</v>
      </c>
      <c r="F6505" t="s">
        <v>31574</v>
      </c>
      <c r="G6505" t="s">
        <v>31581</v>
      </c>
      <c r="H6505" t="s">
        <v>31593</v>
      </c>
      <c r="I6505" t="s">
        <v>31593</v>
      </c>
      <c r="J6505" t="s">
        <v>35914</v>
      </c>
      <c r="K6505" t="s">
        <v>41186</v>
      </c>
      <c r="M6505" t="s">
        <v>43665</v>
      </c>
      <c r="N6505" t="s">
        <v>45095</v>
      </c>
      <c r="O6505" t="s">
        <v>45096</v>
      </c>
      <c r="P6505">
        <v>0</v>
      </c>
      <c r="Q6505">
        <v>3</v>
      </c>
      <c r="R6505" t="s">
        <v>45102</v>
      </c>
      <c r="S6505" t="s">
        <v>45242</v>
      </c>
      <c r="T6505" t="s">
        <v>46973</v>
      </c>
      <c r="U6505" t="s">
        <v>52927</v>
      </c>
      <c r="W6505" t="s">
        <v>43665</v>
      </c>
      <c r="X6505" t="s">
        <v>45103</v>
      </c>
    </row>
    <row r="6506" spans="1:24">
      <c r="A6506">
        <f>HYPERLINK("https://www.philgeps.gov.ph/GEPSNONPILOT/Tender/SplashBidNoticeAbstractUI.aspx?menuIndex=3&amp;refID=7040764&amp;Result=3","7040764")</f>
        <v>0</v>
      </c>
      <c r="B6506" t="s">
        <v>1393</v>
      </c>
      <c r="C6506" t="s">
        <v>9408</v>
      </c>
      <c r="D6506" t="s">
        <v>18045</v>
      </c>
      <c r="E6506" t="s">
        <v>23907</v>
      </c>
      <c r="F6506" t="s">
        <v>31574</v>
      </c>
      <c r="G6506" t="s">
        <v>31582</v>
      </c>
      <c r="H6506" t="s">
        <v>31591</v>
      </c>
      <c r="I6506" t="s">
        <v>8822</v>
      </c>
      <c r="J6506" t="s">
        <v>31771</v>
      </c>
      <c r="K6506" t="s">
        <v>41200</v>
      </c>
      <c r="M6506" t="s">
        <v>42968</v>
      </c>
      <c r="N6506" t="s">
        <v>45095</v>
      </c>
      <c r="O6506" t="s">
        <v>45096</v>
      </c>
      <c r="P6506">
        <v>0</v>
      </c>
      <c r="Q6506">
        <v>0</v>
      </c>
      <c r="R6506" t="s">
        <v>45102</v>
      </c>
      <c r="S6506" t="s">
        <v>45242</v>
      </c>
      <c r="T6506" t="s">
        <v>47198</v>
      </c>
      <c r="U6506" t="s">
        <v>52928</v>
      </c>
      <c r="W6506" t="s">
        <v>42968</v>
      </c>
      <c r="X6506" t="s">
        <v>45103</v>
      </c>
    </row>
    <row r="6507" spans="1:24">
      <c r="A6507">
        <f>HYPERLINK("https://www.philgeps.gov.ph/GEPSNONPILOT/Tender/SplashBidNoticeAbstractUI.aspx?menuIndex=3&amp;refID=7040760&amp;Result=3","7040760")</f>
        <v>0</v>
      </c>
      <c r="B6507" t="s">
        <v>59</v>
      </c>
      <c r="C6507" t="s">
        <v>9409</v>
      </c>
      <c r="D6507" t="s">
        <v>18048</v>
      </c>
      <c r="E6507" t="s">
        <v>23908</v>
      </c>
      <c r="F6507" t="s">
        <v>31574</v>
      </c>
      <c r="G6507" t="s">
        <v>31583</v>
      </c>
      <c r="H6507" t="s">
        <v>31590</v>
      </c>
      <c r="I6507" t="s">
        <v>5717</v>
      </c>
      <c r="J6507" t="s">
        <v>33219</v>
      </c>
      <c r="K6507" t="s">
        <v>41192</v>
      </c>
      <c r="M6507" t="s">
        <v>41543</v>
      </c>
      <c r="N6507" t="s">
        <v>45095</v>
      </c>
      <c r="O6507" t="s">
        <v>45096</v>
      </c>
      <c r="P6507">
        <v>0</v>
      </c>
      <c r="Q6507">
        <v>5</v>
      </c>
      <c r="R6507" t="s">
        <v>45102</v>
      </c>
      <c r="S6507" t="s">
        <v>45242</v>
      </c>
      <c r="T6507" t="s">
        <v>46973</v>
      </c>
      <c r="U6507" t="s">
        <v>52929</v>
      </c>
      <c r="V6507" t="s">
        <v>59856</v>
      </c>
      <c r="W6507" t="s">
        <v>41543</v>
      </c>
      <c r="X6507" t="s">
        <v>45103</v>
      </c>
    </row>
    <row r="6508" spans="1:24">
      <c r="A6508">
        <f>HYPERLINK("https://www.philgeps.gov.ph/GEPSNONPILOT/Tender/SplashBidNoticeAbstractUI.aspx?menuIndex=3&amp;refID=7040762&amp;Result=3","7040762")</f>
        <v>0</v>
      </c>
      <c r="B6508" t="s">
        <v>2004</v>
      </c>
      <c r="C6508" t="s">
        <v>9410</v>
      </c>
      <c r="D6508" t="s">
        <v>18062</v>
      </c>
      <c r="E6508" t="s">
        <v>23909</v>
      </c>
      <c r="F6508" t="s">
        <v>31574</v>
      </c>
      <c r="G6508" t="s">
        <v>31581</v>
      </c>
      <c r="H6508" t="s">
        <v>31590</v>
      </c>
      <c r="I6508" t="s">
        <v>31607</v>
      </c>
      <c r="J6508" t="s">
        <v>32628</v>
      </c>
      <c r="K6508" t="s">
        <v>41186</v>
      </c>
      <c r="M6508" t="s">
        <v>43666</v>
      </c>
      <c r="N6508" t="s">
        <v>45095</v>
      </c>
      <c r="O6508" t="s">
        <v>45096</v>
      </c>
      <c r="P6508">
        <v>0</v>
      </c>
      <c r="Q6508">
        <v>5</v>
      </c>
      <c r="R6508" t="s">
        <v>45102</v>
      </c>
      <c r="S6508" t="s">
        <v>45242</v>
      </c>
      <c r="T6508" t="s">
        <v>46965</v>
      </c>
      <c r="U6508" t="s">
        <v>52930</v>
      </c>
      <c r="W6508" t="s">
        <v>43666</v>
      </c>
      <c r="X6508" t="s">
        <v>45103</v>
      </c>
    </row>
    <row r="6509" spans="1:24">
      <c r="A6509">
        <f>HYPERLINK("https://www.philgeps.gov.ph/GEPSNONPILOT/Tender/SplashBidNoticeAbstractUI.aspx?menuIndex=3&amp;refID=7040759&amp;Result=3","7040759")</f>
        <v>0</v>
      </c>
      <c r="B6509" t="s">
        <v>1996</v>
      </c>
      <c r="C6509" t="s">
        <v>9411</v>
      </c>
      <c r="D6509" t="s">
        <v>18075</v>
      </c>
      <c r="E6509" t="s">
        <v>23910</v>
      </c>
      <c r="F6509" t="s">
        <v>31574</v>
      </c>
      <c r="G6509" t="s">
        <v>31582</v>
      </c>
      <c r="H6509" t="s">
        <v>31591</v>
      </c>
      <c r="I6509" t="s">
        <v>8822</v>
      </c>
      <c r="J6509" t="s">
        <v>35915</v>
      </c>
      <c r="K6509" t="s">
        <v>41291</v>
      </c>
      <c r="M6509" t="s">
        <v>43658</v>
      </c>
      <c r="N6509" t="s">
        <v>45095</v>
      </c>
      <c r="O6509" t="s">
        <v>45096</v>
      </c>
      <c r="P6509">
        <v>0</v>
      </c>
      <c r="Q6509">
        <v>2</v>
      </c>
      <c r="R6509" t="s">
        <v>45102</v>
      </c>
      <c r="S6509" t="s">
        <v>45242</v>
      </c>
      <c r="T6509" t="s">
        <v>47188</v>
      </c>
      <c r="U6509" t="s">
        <v>52897</v>
      </c>
      <c r="W6509" t="s">
        <v>43658</v>
      </c>
      <c r="X6509" t="s">
        <v>45103</v>
      </c>
    </row>
    <row r="6510" spans="1:24">
      <c r="A6510">
        <f>HYPERLINK("https://www.philgeps.gov.ph/GEPSNONPILOT/Tender/SplashBidNoticeAbstractUI.aspx?menuIndex=3&amp;refID=7040756&amp;Result=3","7040756")</f>
        <v>0</v>
      </c>
      <c r="B6510" t="s">
        <v>1996</v>
      </c>
      <c r="C6510" t="s">
        <v>9412</v>
      </c>
      <c r="D6510" t="s">
        <v>18075</v>
      </c>
      <c r="E6510" t="s">
        <v>23911</v>
      </c>
      <c r="F6510" t="s">
        <v>31574</v>
      </c>
      <c r="G6510" t="s">
        <v>31582</v>
      </c>
      <c r="H6510" t="s">
        <v>31591</v>
      </c>
      <c r="I6510" t="s">
        <v>8822</v>
      </c>
      <c r="J6510" t="s">
        <v>35916</v>
      </c>
      <c r="K6510" t="s">
        <v>41203</v>
      </c>
      <c r="M6510" t="s">
        <v>43658</v>
      </c>
      <c r="N6510" t="s">
        <v>45095</v>
      </c>
      <c r="O6510" t="s">
        <v>45096</v>
      </c>
      <c r="P6510">
        <v>0</v>
      </c>
      <c r="Q6510">
        <v>1</v>
      </c>
      <c r="R6510" t="s">
        <v>45102</v>
      </c>
      <c r="S6510" t="s">
        <v>45242</v>
      </c>
      <c r="T6510" t="s">
        <v>47188</v>
      </c>
      <c r="U6510" t="s">
        <v>52897</v>
      </c>
      <c r="W6510" t="s">
        <v>43658</v>
      </c>
      <c r="X6510" t="s">
        <v>45103</v>
      </c>
    </row>
    <row r="6511" spans="1:24">
      <c r="A6511">
        <f>HYPERLINK("https://www.philgeps.gov.ph/GEPSNONPILOT/Tender/SplashBidNoticeAbstractUI.aspx?menuIndex=3&amp;refID=7040752&amp;Result=3","7040752")</f>
        <v>0</v>
      </c>
      <c r="B6511" t="s">
        <v>1998</v>
      </c>
      <c r="C6511" t="s">
        <v>9413</v>
      </c>
      <c r="D6511" t="s">
        <v>18022</v>
      </c>
      <c r="E6511" t="s">
        <v>23912</v>
      </c>
      <c r="F6511" t="s">
        <v>31574</v>
      </c>
      <c r="G6511" t="s">
        <v>31582</v>
      </c>
      <c r="H6511" t="s">
        <v>31590</v>
      </c>
      <c r="I6511" t="s">
        <v>4046</v>
      </c>
      <c r="J6511" t="s">
        <v>32019</v>
      </c>
      <c r="K6511" t="s">
        <v>41193</v>
      </c>
      <c r="M6511" t="s">
        <v>43660</v>
      </c>
      <c r="N6511" t="s">
        <v>45095</v>
      </c>
      <c r="O6511" t="s">
        <v>45096</v>
      </c>
      <c r="P6511">
        <v>0</v>
      </c>
      <c r="Q6511">
        <v>0</v>
      </c>
      <c r="R6511" t="s">
        <v>45102</v>
      </c>
      <c r="S6511" t="s">
        <v>45242</v>
      </c>
      <c r="T6511" t="s">
        <v>47106</v>
      </c>
      <c r="U6511" t="s">
        <v>52931</v>
      </c>
      <c r="W6511" t="s">
        <v>43660</v>
      </c>
      <c r="X6511" t="s">
        <v>45103</v>
      </c>
    </row>
    <row r="6512" spans="1:24">
      <c r="A6512">
        <f>HYPERLINK("https://www.philgeps.gov.ph/GEPSNONPILOT/Tender/SplashBidNoticeAbstractUI.aspx?menuIndex=3&amp;refID=7040768&amp;Result=3","7040768")</f>
        <v>0</v>
      </c>
      <c r="B6512" t="s">
        <v>811</v>
      </c>
      <c r="C6512" t="s">
        <v>9414</v>
      </c>
      <c r="D6512" t="s">
        <v>18036</v>
      </c>
      <c r="E6512" t="s">
        <v>23913</v>
      </c>
      <c r="F6512" t="s">
        <v>31574</v>
      </c>
      <c r="G6512" t="s">
        <v>31582</v>
      </c>
      <c r="H6512" t="s">
        <v>31590</v>
      </c>
      <c r="I6512" t="s">
        <v>7185</v>
      </c>
      <c r="J6512" t="s">
        <v>35917</v>
      </c>
      <c r="K6512" t="s">
        <v>41196</v>
      </c>
      <c r="M6512" t="s">
        <v>42327</v>
      </c>
      <c r="N6512" t="s">
        <v>45095</v>
      </c>
      <c r="O6512" t="s">
        <v>45096</v>
      </c>
      <c r="P6512">
        <v>0</v>
      </c>
      <c r="Q6512">
        <v>4</v>
      </c>
      <c r="R6512" t="s">
        <v>45102</v>
      </c>
      <c r="S6512" t="s">
        <v>45242</v>
      </c>
      <c r="T6512" t="s">
        <v>46943</v>
      </c>
      <c r="U6512" t="s">
        <v>52932</v>
      </c>
      <c r="W6512" t="s">
        <v>42327</v>
      </c>
      <c r="X6512" t="s">
        <v>45103</v>
      </c>
    </row>
    <row r="6513" spans="1:24">
      <c r="A6513">
        <f>HYPERLINK("https://www.philgeps.gov.ph/GEPSNONPILOT/Tender/SplashBidNoticeAbstractUI.aspx?menuIndex=3&amp;refID=7040778&amp;Result=3","7040778")</f>
        <v>0</v>
      </c>
      <c r="B6513" t="s">
        <v>2005</v>
      </c>
      <c r="C6513" t="s">
        <v>9415</v>
      </c>
      <c r="D6513" t="s">
        <v>18022</v>
      </c>
      <c r="E6513" t="s">
        <v>23914</v>
      </c>
      <c r="F6513" t="s">
        <v>31574</v>
      </c>
      <c r="G6513" t="s">
        <v>31582</v>
      </c>
      <c r="H6513" t="s">
        <v>31590</v>
      </c>
      <c r="I6513" t="s">
        <v>31619</v>
      </c>
      <c r="J6513" t="s">
        <v>35918</v>
      </c>
      <c r="K6513" t="s">
        <v>41186</v>
      </c>
      <c r="M6513" t="s">
        <v>43667</v>
      </c>
      <c r="N6513" t="s">
        <v>45095</v>
      </c>
      <c r="O6513" t="s">
        <v>45096</v>
      </c>
      <c r="P6513">
        <v>0</v>
      </c>
      <c r="Q6513">
        <v>10</v>
      </c>
      <c r="R6513" t="s">
        <v>45102</v>
      </c>
      <c r="S6513" t="s">
        <v>45242</v>
      </c>
      <c r="T6513" t="s">
        <v>46914</v>
      </c>
      <c r="U6513" t="s">
        <v>52933</v>
      </c>
      <c r="W6513" t="s">
        <v>43667</v>
      </c>
      <c r="X6513" t="s">
        <v>45103</v>
      </c>
    </row>
    <row r="6514" spans="1:24">
      <c r="A6514">
        <f>HYPERLINK("https://www.philgeps.gov.ph/GEPSNONPILOT/Tender/SplashBidNoticeAbstractUI.aspx?menuIndex=3&amp;refID=7040758&amp;Result=3","7040758")</f>
        <v>0</v>
      </c>
      <c r="B6514" t="s">
        <v>2006</v>
      </c>
      <c r="C6514" t="s">
        <v>9416</v>
      </c>
      <c r="D6514" t="s">
        <v>18079</v>
      </c>
      <c r="E6514" t="s">
        <v>18871</v>
      </c>
      <c r="F6514" t="s">
        <v>31574</v>
      </c>
      <c r="G6514" t="s">
        <v>31583</v>
      </c>
      <c r="H6514" t="s">
        <v>31590</v>
      </c>
      <c r="I6514" t="s">
        <v>31693</v>
      </c>
      <c r="J6514" t="s">
        <v>31927</v>
      </c>
      <c r="K6514" t="s">
        <v>41184</v>
      </c>
      <c r="L6514" t="s">
        <v>2006</v>
      </c>
      <c r="M6514" t="s">
        <v>43668</v>
      </c>
      <c r="N6514" t="s">
        <v>45095</v>
      </c>
      <c r="O6514" t="s">
        <v>45096</v>
      </c>
      <c r="P6514">
        <v>0</v>
      </c>
      <c r="Q6514">
        <v>2</v>
      </c>
      <c r="R6514" t="s">
        <v>45102</v>
      </c>
      <c r="S6514" t="s">
        <v>45242</v>
      </c>
      <c r="T6514" t="s">
        <v>47176</v>
      </c>
      <c r="U6514" t="s">
        <v>52934</v>
      </c>
      <c r="W6514" t="s">
        <v>43668</v>
      </c>
      <c r="X6514" t="s">
        <v>45103</v>
      </c>
    </row>
    <row r="6515" spans="1:24">
      <c r="A6515">
        <f>HYPERLINK("https://www.philgeps.gov.ph/GEPSNONPILOT/Tender/SplashBidNoticeAbstractUI.aspx?menuIndex=3&amp;refID=7040776&amp;Result=3","7040776")</f>
        <v>0</v>
      </c>
      <c r="B6515" t="s">
        <v>2000</v>
      </c>
      <c r="C6515" t="s">
        <v>9417</v>
      </c>
      <c r="D6515" t="s">
        <v>18041</v>
      </c>
      <c r="E6515" t="s">
        <v>23893</v>
      </c>
      <c r="F6515" t="s">
        <v>31579</v>
      </c>
      <c r="G6515" t="s">
        <v>31581</v>
      </c>
      <c r="H6515" t="s">
        <v>31592</v>
      </c>
      <c r="I6515" t="s">
        <v>3487</v>
      </c>
      <c r="J6515" t="s">
        <v>35919</v>
      </c>
      <c r="K6515" t="s">
        <v>41211</v>
      </c>
      <c r="M6515" t="s">
        <v>43662</v>
      </c>
      <c r="N6515" t="s">
        <v>45095</v>
      </c>
      <c r="O6515" t="s">
        <v>45096</v>
      </c>
      <c r="P6515">
        <v>0</v>
      </c>
      <c r="Q6515">
        <v>0</v>
      </c>
      <c r="R6515" t="s">
        <v>45102</v>
      </c>
      <c r="S6515" t="s">
        <v>45242</v>
      </c>
      <c r="T6515" t="s">
        <v>46936</v>
      </c>
      <c r="U6515" t="s">
        <v>52935</v>
      </c>
      <c r="W6515" t="s">
        <v>43662</v>
      </c>
      <c r="X6515" t="s">
        <v>45103</v>
      </c>
    </row>
    <row r="6516" spans="1:24">
      <c r="A6516">
        <f>HYPERLINK("https://www.philgeps.gov.ph/GEPSNONPILOT/Tender/SplashBidNoticeAbstractUI.aspx?menuIndex=3&amp;refID=7040779&amp;Result=3","7040779")</f>
        <v>0</v>
      </c>
      <c r="B6516" t="s">
        <v>2007</v>
      </c>
      <c r="C6516" t="s">
        <v>9418</v>
      </c>
      <c r="D6516" t="s">
        <v>18036</v>
      </c>
      <c r="E6516" t="s">
        <v>23915</v>
      </c>
      <c r="F6516" t="s">
        <v>31574</v>
      </c>
      <c r="G6516" t="s">
        <v>31582</v>
      </c>
      <c r="H6516" t="s">
        <v>31591</v>
      </c>
      <c r="I6516" t="s">
        <v>8822</v>
      </c>
      <c r="J6516" t="s">
        <v>35920</v>
      </c>
      <c r="K6516" t="s">
        <v>41192</v>
      </c>
      <c r="M6516" t="s">
        <v>43669</v>
      </c>
      <c r="N6516" t="s">
        <v>45095</v>
      </c>
      <c r="O6516" t="s">
        <v>45096</v>
      </c>
      <c r="P6516">
        <v>0</v>
      </c>
      <c r="Q6516">
        <v>0</v>
      </c>
      <c r="R6516" t="s">
        <v>45102</v>
      </c>
      <c r="S6516" t="s">
        <v>45242</v>
      </c>
      <c r="T6516" t="s">
        <v>47291</v>
      </c>
      <c r="U6516" t="s">
        <v>52936</v>
      </c>
      <c r="V6516" t="s">
        <v>60556</v>
      </c>
      <c r="W6516" t="s">
        <v>43669</v>
      </c>
      <c r="X6516" t="s">
        <v>45103</v>
      </c>
    </row>
    <row r="6517" spans="1:24">
      <c r="A6517">
        <f>HYPERLINK("https://www.philgeps.gov.ph/GEPSNONPILOT/Tender/SplashBidNoticeAbstractUI.aspx?menuIndex=3&amp;refID=7040770&amp;Result=3","7040770")</f>
        <v>0</v>
      </c>
      <c r="B6517" t="s">
        <v>1994</v>
      </c>
      <c r="C6517" t="s">
        <v>9419</v>
      </c>
      <c r="D6517" t="s">
        <v>18056</v>
      </c>
      <c r="E6517" t="s">
        <v>23916</v>
      </c>
      <c r="F6517" t="s">
        <v>31574</v>
      </c>
      <c r="G6517" t="s">
        <v>31582</v>
      </c>
      <c r="H6517" t="s">
        <v>31590</v>
      </c>
      <c r="I6517" t="s">
        <v>31595</v>
      </c>
      <c r="J6517" t="s">
        <v>35921</v>
      </c>
      <c r="K6517" t="s">
        <v>41191</v>
      </c>
      <c r="M6517" t="s">
        <v>43656</v>
      </c>
      <c r="N6517" t="s">
        <v>45095</v>
      </c>
      <c r="O6517" t="s">
        <v>45096</v>
      </c>
      <c r="P6517">
        <v>0</v>
      </c>
      <c r="Q6517">
        <v>3</v>
      </c>
      <c r="R6517" t="s">
        <v>45102</v>
      </c>
      <c r="S6517" t="s">
        <v>45242</v>
      </c>
      <c r="T6517" t="s">
        <v>47011</v>
      </c>
      <c r="U6517" t="s">
        <v>52937</v>
      </c>
      <c r="V6517" t="s">
        <v>60551</v>
      </c>
      <c r="W6517" t="s">
        <v>43656</v>
      </c>
      <c r="X6517" t="s">
        <v>45103</v>
      </c>
    </row>
    <row r="6518" spans="1:24">
      <c r="A6518">
        <f>HYPERLINK("https://www.philgeps.gov.ph/GEPSNONPILOT/Tender/SplashBidNoticeAbstractUI.aspx?menuIndex=3&amp;refID=7040777&amp;Result=3","7040777")</f>
        <v>0</v>
      </c>
      <c r="B6518" t="s">
        <v>1327</v>
      </c>
      <c r="C6518" t="s">
        <v>9420</v>
      </c>
      <c r="E6518" t="s">
        <v>9420</v>
      </c>
      <c r="F6518" t="s">
        <v>31574</v>
      </c>
      <c r="G6518" t="s">
        <v>31581</v>
      </c>
      <c r="H6518" t="s">
        <v>31590</v>
      </c>
      <c r="I6518" t="s">
        <v>3487</v>
      </c>
      <c r="J6518" t="s">
        <v>35922</v>
      </c>
      <c r="K6518" t="s">
        <v>41193</v>
      </c>
      <c r="M6518" t="s">
        <v>42897</v>
      </c>
      <c r="N6518" t="s">
        <v>45095</v>
      </c>
      <c r="O6518" t="s">
        <v>45096</v>
      </c>
      <c r="P6518">
        <v>0</v>
      </c>
      <c r="Q6518">
        <v>0</v>
      </c>
      <c r="R6518" t="s">
        <v>45102</v>
      </c>
      <c r="S6518" t="s">
        <v>45242</v>
      </c>
      <c r="T6518" t="s">
        <v>47154</v>
      </c>
      <c r="U6518" t="s">
        <v>52938</v>
      </c>
      <c r="W6518" t="s">
        <v>42897</v>
      </c>
      <c r="X6518" t="s">
        <v>45103</v>
      </c>
    </row>
    <row r="6519" spans="1:24">
      <c r="A6519">
        <f>HYPERLINK("https://www.philgeps.gov.ph/GEPSNONPILOT/Tender/SplashBidNoticeAbstractUI.aspx?menuIndex=3&amp;refID=7040771&amp;Result=3","7040771")</f>
        <v>0</v>
      </c>
      <c r="B6519" t="s">
        <v>1393</v>
      </c>
      <c r="C6519" t="s">
        <v>9421</v>
      </c>
      <c r="D6519" t="s">
        <v>18045</v>
      </c>
      <c r="E6519" t="s">
        <v>23917</v>
      </c>
      <c r="F6519" t="s">
        <v>31574</v>
      </c>
      <c r="G6519" t="s">
        <v>31582</v>
      </c>
      <c r="H6519" t="s">
        <v>31591</v>
      </c>
      <c r="I6519" t="s">
        <v>8822</v>
      </c>
      <c r="J6519" t="s">
        <v>31935</v>
      </c>
      <c r="K6519" t="s">
        <v>41185</v>
      </c>
      <c r="M6519" t="s">
        <v>42968</v>
      </c>
      <c r="N6519" t="s">
        <v>45095</v>
      </c>
      <c r="O6519" t="s">
        <v>45096</v>
      </c>
      <c r="P6519">
        <v>0</v>
      </c>
      <c r="Q6519">
        <v>0</v>
      </c>
      <c r="R6519" t="s">
        <v>45102</v>
      </c>
      <c r="S6519" t="s">
        <v>45242</v>
      </c>
      <c r="T6519" t="s">
        <v>47151</v>
      </c>
      <c r="U6519" t="s">
        <v>52939</v>
      </c>
      <c r="W6519" t="s">
        <v>42968</v>
      </c>
      <c r="X6519" t="s">
        <v>45103</v>
      </c>
    </row>
    <row r="6520" spans="1:24">
      <c r="A6520">
        <f>HYPERLINK("https://www.philgeps.gov.ph/GEPSNONPILOT/Tender/SplashBidNoticeAbstractUI.aspx?menuIndex=3&amp;refID=7040780&amp;Result=3","7040780")</f>
        <v>0</v>
      </c>
      <c r="B6520" t="s">
        <v>2008</v>
      </c>
      <c r="C6520" t="s">
        <v>9422</v>
      </c>
      <c r="D6520" t="s">
        <v>18022</v>
      </c>
      <c r="E6520" t="s">
        <v>23918</v>
      </c>
      <c r="F6520" t="s">
        <v>31574</v>
      </c>
      <c r="G6520" t="s">
        <v>31581</v>
      </c>
      <c r="H6520" t="s">
        <v>31590</v>
      </c>
      <c r="I6520" t="s">
        <v>8569</v>
      </c>
      <c r="J6520" t="s">
        <v>35923</v>
      </c>
      <c r="K6520" t="s">
        <v>41193</v>
      </c>
      <c r="M6520" t="s">
        <v>43670</v>
      </c>
      <c r="N6520" t="s">
        <v>45095</v>
      </c>
      <c r="O6520" t="s">
        <v>45096</v>
      </c>
      <c r="P6520">
        <v>0</v>
      </c>
      <c r="Q6520">
        <v>3</v>
      </c>
      <c r="R6520" t="s">
        <v>45102</v>
      </c>
      <c r="S6520" t="s">
        <v>45242</v>
      </c>
      <c r="T6520" t="s">
        <v>47154</v>
      </c>
      <c r="U6520" t="s">
        <v>52940</v>
      </c>
      <c r="W6520" t="s">
        <v>43670</v>
      </c>
      <c r="X6520" t="s">
        <v>45103</v>
      </c>
    </row>
    <row r="6521" spans="1:24">
      <c r="A6521">
        <f>HYPERLINK("https://www.philgeps.gov.ph/GEPSNONPILOT/Tender/SplashBidNoticeAbstractUI.aspx?menuIndex=3&amp;refID=7040774&amp;Result=3","7040774")</f>
        <v>0</v>
      </c>
      <c r="B6521" t="s">
        <v>135</v>
      </c>
      <c r="C6521" t="s">
        <v>9423</v>
      </c>
      <c r="D6521" t="s">
        <v>18022</v>
      </c>
      <c r="E6521" t="s">
        <v>20111</v>
      </c>
      <c r="F6521" t="s">
        <v>31574</v>
      </c>
      <c r="G6521" t="s">
        <v>31582</v>
      </c>
      <c r="H6521" t="s">
        <v>31591</v>
      </c>
      <c r="I6521" t="s">
        <v>8822</v>
      </c>
      <c r="J6521" t="s">
        <v>35924</v>
      </c>
      <c r="K6521" t="s">
        <v>41198</v>
      </c>
      <c r="M6521" t="s">
        <v>42252</v>
      </c>
      <c r="N6521" t="s">
        <v>45095</v>
      </c>
      <c r="O6521" t="s">
        <v>45096</v>
      </c>
      <c r="P6521">
        <v>0</v>
      </c>
      <c r="Q6521">
        <v>5</v>
      </c>
      <c r="R6521" t="s">
        <v>45102</v>
      </c>
      <c r="S6521" t="s">
        <v>45242</v>
      </c>
      <c r="T6521" t="s">
        <v>46992</v>
      </c>
      <c r="U6521" t="s">
        <v>52941</v>
      </c>
      <c r="W6521" t="s">
        <v>42252</v>
      </c>
      <c r="X6521" t="s">
        <v>45103</v>
      </c>
    </row>
    <row r="6522" spans="1:24">
      <c r="A6522">
        <f>HYPERLINK("https://www.philgeps.gov.ph/GEPSNONPILOT/Tender/SplashBidNoticeAbstractUI.aspx?menuIndex=3&amp;refID=7040783&amp;Result=3","7040783")</f>
        <v>0</v>
      </c>
      <c r="B6522" t="s">
        <v>2009</v>
      </c>
      <c r="C6522" t="s">
        <v>9424</v>
      </c>
      <c r="D6522" t="s">
        <v>18094</v>
      </c>
      <c r="E6522" t="s">
        <v>23919</v>
      </c>
      <c r="F6522" t="s">
        <v>31574</v>
      </c>
      <c r="G6522" t="s">
        <v>31582</v>
      </c>
      <c r="H6522" t="s">
        <v>31591</v>
      </c>
      <c r="I6522" t="s">
        <v>8822</v>
      </c>
      <c r="J6522" t="s">
        <v>32490</v>
      </c>
      <c r="K6522" t="s">
        <v>41291</v>
      </c>
      <c r="M6522" t="s">
        <v>43671</v>
      </c>
      <c r="N6522" t="s">
        <v>45095</v>
      </c>
      <c r="O6522" t="s">
        <v>45096</v>
      </c>
      <c r="P6522">
        <v>0</v>
      </c>
      <c r="Q6522">
        <v>1</v>
      </c>
      <c r="R6522" t="s">
        <v>45102</v>
      </c>
      <c r="S6522" t="s">
        <v>45242</v>
      </c>
      <c r="T6522" t="s">
        <v>46973</v>
      </c>
      <c r="U6522" t="s">
        <v>52942</v>
      </c>
      <c r="V6522" t="s">
        <v>60557</v>
      </c>
      <c r="W6522" t="s">
        <v>43671</v>
      </c>
      <c r="X6522" t="s">
        <v>45103</v>
      </c>
    </row>
    <row r="6523" spans="1:24">
      <c r="A6523">
        <f>HYPERLINK("https://www.philgeps.gov.ph/GEPSNONPILOT/Tender/SplashBidNoticeAbstractUI.aspx?menuIndex=3&amp;refID=7040784&amp;Result=3","7040784")</f>
        <v>0</v>
      </c>
      <c r="B6523" t="s">
        <v>125</v>
      </c>
      <c r="C6523" t="s">
        <v>9425</v>
      </c>
      <c r="D6523" t="s">
        <v>18039</v>
      </c>
      <c r="E6523" t="s">
        <v>23920</v>
      </c>
      <c r="F6523" t="s">
        <v>31574</v>
      </c>
      <c r="G6523" t="s">
        <v>31585</v>
      </c>
      <c r="H6523" t="s">
        <v>31590</v>
      </c>
      <c r="I6523" t="s">
        <v>31699</v>
      </c>
      <c r="J6523" t="s">
        <v>32530</v>
      </c>
      <c r="K6523" t="s">
        <v>41186</v>
      </c>
      <c r="M6523" t="s">
        <v>41609</v>
      </c>
      <c r="N6523" t="s">
        <v>45095</v>
      </c>
      <c r="O6523" t="s">
        <v>45096</v>
      </c>
      <c r="P6523">
        <v>0</v>
      </c>
      <c r="Q6523">
        <v>4</v>
      </c>
      <c r="R6523" t="s">
        <v>45102</v>
      </c>
      <c r="S6523" t="s">
        <v>45242</v>
      </c>
      <c r="T6523" t="s">
        <v>46914</v>
      </c>
      <c r="U6523" t="s">
        <v>52943</v>
      </c>
      <c r="W6523" t="s">
        <v>41609</v>
      </c>
      <c r="X6523" t="s">
        <v>45103</v>
      </c>
    </row>
    <row r="6524" spans="1:24">
      <c r="A6524">
        <f>HYPERLINK("https://www.philgeps.gov.ph/GEPSNONPILOT/Tender/SplashBidNoticeAbstractUI.aspx?menuIndex=3&amp;refID=7040775&amp;Result=3","7040775")</f>
        <v>0</v>
      </c>
      <c r="B6524" t="s">
        <v>2003</v>
      </c>
      <c r="C6524" t="s">
        <v>9426</v>
      </c>
      <c r="D6524" t="s">
        <v>18022</v>
      </c>
      <c r="E6524" t="s">
        <v>23921</v>
      </c>
      <c r="F6524" t="s">
        <v>31574</v>
      </c>
      <c r="G6524" t="s">
        <v>31581</v>
      </c>
      <c r="H6524" t="s">
        <v>31593</v>
      </c>
      <c r="I6524" t="s">
        <v>31593</v>
      </c>
      <c r="J6524" t="s">
        <v>35925</v>
      </c>
      <c r="K6524" t="s">
        <v>41186</v>
      </c>
      <c r="M6524" t="s">
        <v>43665</v>
      </c>
      <c r="N6524" t="s">
        <v>45095</v>
      </c>
      <c r="O6524" t="s">
        <v>45096</v>
      </c>
      <c r="P6524">
        <v>0</v>
      </c>
      <c r="Q6524">
        <v>2</v>
      </c>
      <c r="R6524" t="s">
        <v>45102</v>
      </c>
      <c r="S6524" t="s">
        <v>45242</v>
      </c>
      <c r="T6524" t="s">
        <v>46973</v>
      </c>
      <c r="U6524" t="s">
        <v>52927</v>
      </c>
      <c r="W6524" t="s">
        <v>43665</v>
      </c>
      <c r="X6524" t="s">
        <v>45103</v>
      </c>
    </row>
    <row r="6525" spans="1:24">
      <c r="A6525">
        <f>HYPERLINK("https://www.philgeps.gov.ph/GEPSNONPILOT/Tender/SplashBidNoticeAbstractUI.aspx?menuIndex=3&amp;refID=7040792&amp;Result=3","7040792")</f>
        <v>0</v>
      </c>
      <c r="B6525" t="s">
        <v>2003</v>
      </c>
      <c r="C6525" t="s">
        <v>9427</v>
      </c>
      <c r="D6525" t="s">
        <v>18022</v>
      </c>
      <c r="E6525" t="s">
        <v>23922</v>
      </c>
      <c r="F6525" t="s">
        <v>31574</v>
      </c>
      <c r="G6525" t="s">
        <v>31581</v>
      </c>
      <c r="H6525" t="s">
        <v>31593</v>
      </c>
      <c r="I6525" t="s">
        <v>31593</v>
      </c>
      <c r="J6525" t="s">
        <v>35926</v>
      </c>
      <c r="K6525" t="s">
        <v>41186</v>
      </c>
      <c r="M6525" t="s">
        <v>43665</v>
      </c>
      <c r="N6525" t="s">
        <v>45095</v>
      </c>
      <c r="O6525" t="s">
        <v>45096</v>
      </c>
      <c r="P6525">
        <v>0</v>
      </c>
      <c r="Q6525">
        <v>2</v>
      </c>
      <c r="R6525" t="s">
        <v>45102</v>
      </c>
      <c r="S6525" t="s">
        <v>45242</v>
      </c>
      <c r="T6525" t="s">
        <v>46973</v>
      </c>
      <c r="U6525" t="s">
        <v>52927</v>
      </c>
      <c r="W6525" t="s">
        <v>43665</v>
      </c>
      <c r="X6525" t="s">
        <v>45103</v>
      </c>
    </row>
    <row r="6526" spans="1:24">
      <c r="A6526">
        <f>HYPERLINK("https://www.philgeps.gov.ph/GEPSNONPILOT/Tender/SplashBidNoticeAbstractUI.aspx?menuIndex=3&amp;refID=7040781&amp;Result=3","7040781")</f>
        <v>0</v>
      </c>
      <c r="B6526" t="s">
        <v>1994</v>
      </c>
      <c r="C6526" t="s">
        <v>9428</v>
      </c>
      <c r="D6526" t="s">
        <v>18056</v>
      </c>
      <c r="E6526" t="s">
        <v>23923</v>
      </c>
      <c r="F6526" t="s">
        <v>31574</v>
      </c>
      <c r="G6526" t="s">
        <v>31585</v>
      </c>
      <c r="H6526" t="s">
        <v>31590</v>
      </c>
      <c r="I6526" t="s">
        <v>31631</v>
      </c>
      <c r="J6526" t="s">
        <v>35927</v>
      </c>
      <c r="K6526" t="s">
        <v>41196</v>
      </c>
      <c r="M6526" t="s">
        <v>43656</v>
      </c>
      <c r="N6526" t="s">
        <v>45095</v>
      </c>
      <c r="O6526" t="s">
        <v>45096</v>
      </c>
      <c r="P6526">
        <v>0</v>
      </c>
      <c r="Q6526">
        <v>1</v>
      </c>
      <c r="R6526" t="s">
        <v>45102</v>
      </c>
      <c r="S6526" t="s">
        <v>45242</v>
      </c>
      <c r="T6526" t="s">
        <v>47011</v>
      </c>
      <c r="U6526" t="s">
        <v>52944</v>
      </c>
      <c r="V6526" t="s">
        <v>60551</v>
      </c>
      <c r="W6526" t="s">
        <v>43656</v>
      </c>
      <c r="X6526" t="s">
        <v>45103</v>
      </c>
    </row>
    <row r="6527" spans="1:24">
      <c r="A6527">
        <f>HYPERLINK("https://www.philgeps.gov.ph/GEPSNONPILOT/Tender/SplashBidNoticeAbstractUI.aspx?menuIndex=3&amp;refID=7040813&amp;Result=3","7040813")</f>
        <v>0</v>
      </c>
      <c r="B6527" t="s">
        <v>1639</v>
      </c>
      <c r="C6527" t="s">
        <v>9429</v>
      </c>
      <c r="E6527" t="s">
        <v>23924</v>
      </c>
      <c r="F6527" t="s">
        <v>31574</v>
      </c>
      <c r="G6527" t="s">
        <v>31582</v>
      </c>
      <c r="H6527" t="s">
        <v>31590</v>
      </c>
      <c r="I6527" t="s">
        <v>31599</v>
      </c>
      <c r="J6527" t="s">
        <v>35928</v>
      </c>
      <c r="K6527" t="s">
        <v>41184</v>
      </c>
      <c r="M6527" t="s">
        <v>43248</v>
      </c>
      <c r="N6527" t="s">
        <v>45095</v>
      </c>
      <c r="O6527" t="s">
        <v>45096</v>
      </c>
      <c r="P6527">
        <v>0</v>
      </c>
      <c r="Q6527">
        <v>1</v>
      </c>
      <c r="R6527" t="s">
        <v>45102</v>
      </c>
      <c r="S6527" t="s">
        <v>45242</v>
      </c>
      <c r="T6527" t="s">
        <v>46992</v>
      </c>
      <c r="U6527" t="s">
        <v>52945</v>
      </c>
      <c r="W6527" t="s">
        <v>43248</v>
      </c>
      <c r="X6527" t="s">
        <v>45103</v>
      </c>
    </row>
    <row r="6528" spans="1:24">
      <c r="A6528">
        <f>HYPERLINK("https://www.philgeps.gov.ph/GEPSNONPILOT/Tender/SplashBidNoticeAbstractUI.aspx?menuIndex=3&amp;refID=7040786&amp;Result=3","7040786")</f>
        <v>0</v>
      </c>
      <c r="B6528" t="s">
        <v>2003</v>
      </c>
      <c r="C6528" t="s">
        <v>9430</v>
      </c>
      <c r="D6528" t="s">
        <v>18022</v>
      </c>
      <c r="E6528" t="s">
        <v>23925</v>
      </c>
      <c r="F6528" t="s">
        <v>31574</v>
      </c>
      <c r="G6528" t="s">
        <v>31581</v>
      </c>
      <c r="H6528" t="s">
        <v>31593</v>
      </c>
      <c r="I6528" t="s">
        <v>31593</v>
      </c>
      <c r="J6528" t="s">
        <v>34733</v>
      </c>
      <c r="K6528" t="s">
        <v>41186</v>
      </c>
      <c r="M6528" t="s">
        <v>43665</v>
      </c>
      <c r="N6528" t="s">
        <v>45095</v>
      </c>
      <c r="O6528" t="s">
        <v>45096</v>
      </c>
      <c r="P6528">
        <v>0</v>
      </c>
      <c r="Q6528">
        <v>2</v>
      </c>
      <c r="R6528" t="s">
        <v>45102</v>
      </c>
      <c r="S6528" t="s">
        <v>45242</v>
      </c>
      <c r="T6528" t="s">
        <v>46973</v>
      </c>
      <c r="U6528" t="s">
        <v>52927</v>
      </c>
      <c r="W6528" t="s">
        <v>43665</v>
      </c>
      <c r="X6528" t="s">
        <v>45103</v>
      </c>
    </row>
    <row r="6529" spans="1:24">
      <c r="A6529">
        <f>HYPERLINK("https://www.philgeps.gov.ph/GEPSNONPILOT/Tender/SplashBidNoticeAbstractUI.aspx?menuIndex=3&amp;refID=7040788&amp;Result=3","7040788")</f>
        <v>0</v>
      </c>
      <c r="B6529" t="s">
        <v>2000</v>
      </c>
      <c r="C6529" t="s">
        <v>9431</v>
      </c>
      <c r="D6529" t="s">
        <v>18041</v>
      </c>
      <c r="E6529" t="s">
        <v>23893</v>
      </c>
      <c r="F6529" t="s">
        <v>31579</v>
      </c>
      <c r="G6529" t="s">
        <v>31581</v>
      </c>
      <c r="H6529" t="s">
        <v>31590</v>
      </c>
      <c r="I6529" t="s">
        <v>4046</v>
      </c>
      <c r="J6529" t="s">
        <v>32381</v>
      </c>
      <c r="K6529" t="s">
        <v>41211</v>
      </c>
      <c r="M6529" t="s">
        <v>43662</v>
      </c>
      <c r="N6529" t="s">
        <v>45095</v>
      </c>
      <c r="O6529" t="s">
        <v>45096</v>
      </c>
      <c r="P6529">
        <v>0</v>
      </c>
      <c r="Q6529">
        <v>0</v>
      </c>
      <c r="R6529" t="s">
        <v>45102</v>
      </c>
      <c r="S6529" t="s">
        <v>45242</v>
      </c>
      <c r="T6529" t="s">
        <v>46936</v>
      </c>
      <c r="U6529" t="s">
        <v>52946</v>
      </c>
      <c r="V6529" t="s">
        <v>60558</v>
      </c>
      <c r="W6529" t="s">
        <v>43662</v>
      </c>
      <c r="X6529" t="s">
        <v>45103</v>
      </c>
    </row>
    <row r="6530" spans="1:24">
      <c r="A6530">
        <f>HYPERLINK("https://www.philgeps.gov.ph/GEPSNONPILOT/Tender/SplashBidNoticeAbstractUI.aspx?menuIndex=3&amp;refID=7040811&amp;Result=3","7040811")</f>
        <v>0</v>
      </c>
      <c r="B6530" t="s">
        <v>2003</v>
      </c>
      <c r="C6530" t="s">
        <v>9432</v>
      </c>
      <c r="D6530" t="s">
        <v>18022</v>
      </c>
      <c r="E6530" t="s">
        <v>23926</v>
      </c>
      <c r="F6530" t="s">
        <v>31574</v>
      </c>
      <c r="G6530" t="s">
        <v>31581</v>
      </c>
      <c r="H6530" t="s">
        <v>31593</v>
      </c>
      <c r="I6530" t="s">
        <v>31593</v>
      </c>
      <c r="J6530" t="s">
        <v>35925</v>
      </c>
      <c r="K6530" t="s">
        <v>41186</v>
      </c>
      <c r="M6530" t="s">
        <v>43665</v>
      </c>
      <c r="N6530" t="s">
        <v>45095</v>
      </c>
      <c r="O6530" t="s">
        <v>45096</v>
      </c>
      <c r="P6530">
        <v>0</v>
      </c>
      <c r="Q6530">
        <v>2</v>
      </c>
      <c r="R6530" t="s">
        <v>45102</v>
      </c>
      <c r="S6530" t="s">
        <v>45242</v>
      </c>
      <c r="T6530" t="s">
        <v>46973</v>
      </c>
      <c r="U6530" t="s">
        <v>52927</v>
      </c>
      <c r="W6530" t="s">
        <v>43665</v>
      </c>
      <c r="X6530" t="s">
        <v>45103</v>
      </c>
    </row>
    <row r="6531" spans="1:24">
      <c r="A6531">
        <f>HYPERLINK("https://www.philgeps.gov.ph/GEPSNONPILOT/Tender/SplashBidNoticeAbstractUI.aspx?menuIndex=3&amp;refID=7040805&amp;Result=3","7040805")</f>
        <v>0</v>
      </c>
      <c r="B6531" t="s">
        <v>1327</v>
      </c>
      <c r="C6531" t="s">
        <v>9433</v>
      </c>
      <c r="E6531" t="s">
        <v>9433</v>
      </c>
      <c r="F6531" t="s">
        <v>31574</v>
      </c>
      <c r="G6531" t="s">
        <v>31584</v>
      </c>
      <c r="H6531" t="s">
        <v>31590</v>
      </c>
      <c r="I6531" t="s">
        <v>6800</v>
      </c>
      <c r="J6531" t="s">
        <v>35929</v>
      </c>
      <c r="K6531" t="s">
        <v>41193</v>
      </c>
      <c r="M6531" t="s">
        <v>42897</v>
      </c>
      <c r="N6531" t="s">
        <v>45095</v>
      </c>
      <c r="O6531" t="s">
        <v>45096</v>
      </c>
      <c r="P6531">
        <v>0</v>
      </c>
      <c r="Q6531">
        <v>3</v>
      </c>
      <c r="R6531" t="s">
        <v>45102</v>
      </c>
      <c r="S6531" t="s">
        <v>45242</v>
      </c>
      <c r="T6531" t="s">
        <v>47154</v>
      </c>
      <c r="U6531" t="s">
        <v>52947</v>
      </c>
      <c r="W6531" t="s">
        <v>42897</v>
      </c>
      <c r="X6531" t="s">
        <v>45103</v>
      </c>
    </row>
    <row r="6532" spans="1:24">
      <c r="A6532">
        <f>HYPERLINK("https://www.philgeps.gov.ph/GEPSNONPILOT/Tender/SplashBidNoticeAbstractUI.aspx?menuIndex=3&amp;refID=7040803&amp;Result=3","7040803")</f>
        <v>0</v>
      </c>
      <c r="B6532" t="s">
        <v>2003</v>
      </c>
      <c r="C6532" t="s">
        <v>9434</v>
      </c>
      <c r="D6532" t="s">
        <v>18022</v>
      </c>
      <c r="E6532" t="s">
        <v>23927</v>
      </c>
      <c r="F6532" t="s">
        <v>31574</v>
      </c>
      <c r="G6532" t="s">
        <v>31581</v>
      </c>
      <c r="H6532" t="s">
        <v>31593</v>
      </c>
      <c r="I6532" t="s">
        <v>31593</v>
      </c>
      <c r="J6532" t="s">
        <v>35926</v>
      </c>
      <c r="K6532" t="s">
        <v>41186</v>
      </c>
      <c r="M6532" t="s">
        <v>43665</v>
      </c>
      <c r="N6532" t="s">
        <v>45095</v>
      </c>
      <c r="O6532" t="s">
        <v>45096</v>
      </c>
      <c r="P6532">
        <v>0</v>
      </c>
      <c r="Q6532">
        <v>2</v>
      </c>
      <c r="R6532" t="s">
        <v>45102</v>
      </c>
      <c r="S6532" t="s">
        <v>45242</v>
      </c>
      <c r="T6532" t="s">
        <v>46973</v>
      </c>
      <c r="U6532" t="s">
        <v>52927</v>
      </c>
      <c r="W6532" t="s">
        <v>43665</v>
      </c>
      <c r="X6532" t="s">
        <v>45103</v>
      </c>
    </row>
    <row r="6533" spans="1:24">
      <c r="A6533">
        <f>HYPERLINK("https://www.philgeps.gov.ph/GEPSNONPILOT/Tender/SplashBidNoticeAbstractUI.aspx?menuIndex=3&amp;refID=7040807&amp;Result=3","7040807")</f>
        <v>0</v>
      </c>
      <c r="B6533" t="s">
        <v>2007</v>
      </c>
      <c r="C6533" t="s">
        <v>9435</v>
      </c>
      <c r="D6533" t="s">
        <v>18036</v>
      </c>
      <c r="E6533" t="s">
        <v>23928</v>
      </c>
      <c r="F6533" t="s">
        <v>31574</v>
      </c>
      <c r="G6533" t="s">
        <v>31582</v>
      </c>
      <c r="H6533" t="s">
        <v>31591</v>
      </c>
      <c r="I6533" t="s">
        <v>8822</v>
      </c>
      <c r="J6533" t="s">
        <v>35930</v>
      </c>
      <c r="K6533" t="s">
        <v>41192</v>
      </c>
      <c r="M6533" t="s">
        <v>43669</v>
      </c>
      <c r="N6533" t="s">
        <v>45095</v>
      </c>
      <c r="O6533" t="s">
        <v>45096</v>
      </c>
      <c r="P6533">
        <v>0</v>
      </c>
      <c r="Q6533">
        <v>0</v>
      </c>
      <c r="R6533" t="s">
        <v>45102</v>
      </c>
      <c r="S6533" t="s">
        <v>45242</v>
      </c>
      <c r="T6533" t="s">
        <v>47292</v>
      </c>
      <c r="U6533" t="s">
        <v>52936</v>
      </c>
      <c r="V6533" t="s">
        <v>60556</v>
      </c>
      <c r="W6533" t="s">
        <v>43669</v>
      </c>
      <c r="X6533" t="s">
        <v>45103</v>
      </c>
    </row>
    <row r="6534" spans="1:24">
      <c r="A6534">
        <f>HYPERLINK("https://www.philgeps.gov.ph/GEPSNONPILOT/Tender/SplashBidNoticeAbstractUI.aspx?menuIndex=3&amp;refID=7040804&amp;Result=3","7040804")</f>
        <v>0</v>
      </c>
      <c r="B6534" t="s">
        <v>2000</v>
      </c>
      <c r="C6534" t="s">
        <v>9436</v>
      </c>
      <c r="D6534" t="s">
        <v>18041</v>
      </c>
      <c r="E6534" t="s">
        <v>23893</v>
      </c>
      <c r="F6534" t="s">
        <v>31579</v>
      </c>
      <c r="G6534" t="s">
        <v>31581</v>
      </c>
      <c r="H6534" t="s">
        <v>31590</v>
      </c>
      <c r="I6534" t="s">
        <v>5717</v>
      </c>
      <c r="J6534" t="s">
        <v>32007</v>
      </c>
      <c r="K6534" t="s">
        <v>41211</v>
      </c>
      <c r="M6534" t="s">
        <v>43662</v>
      </c>
      <c r="N6534" t="s">
        <v>45095</v>
      </c>
      <c r="O6534" t="s">
        <v>45096</v>
      </c>
      <c r="P6534">
        <v>0</v>
      </c>
      <c r="Q6534">
        <v>0</v>
      </c>
      <c r="R6534" t="s">
        <v>45102</v>
      </c>
      <c r="S6534" t="s">
        <v>45242</v>
      </c>
      <c r="T6534" t="s">
        <v>46936</v>
      </c>
      <c r="U6534" t="s">
        <v>52948</v>
      </c>
      <c r="W6534" t="s">
        <v>43662</v>
      </c>
      <c r="X6534" t="s">
        <v>45103</v>
      </c>
    </row>
    <row r="6535" spans="1:24">
      <c r="A6535">
        <f>HYPERLINK("https://www.philgeps.gov.ph/GEPSNONPILOT/Tender/SplashBidNoticeAbstractUI.aspx?menuIndex=3&amp;refID=7040798&amp;Result=3","7040798")</f>
        <v>0</v>
      </c>
      <c r="B6535" t="s">
        <v>2003</v>
      </c>
      <c r="C6535" t="s">
        <v>9437</v>
      </c>
      <c r="D6535" t="s">
        <v>18022</v>
      </c>
      <c r="E6535" t="s">
        <v>23929</v>
      </c>
      <c r="F6535" t="s">
        <v>31574</v>
      </c>
      <c r="G6535" t="s">
        <v>31581</v>
      </c>
      <c r="H6535" t="s">
        <v>31593</v>
      </c>
      <c r="I6535" t="s">
        <v>31593</v>
      </c>
      <c r="J6535" t="s">
        <v>35931</v>
      </c>
      <c r="K6535" t="s">
        <v>41186</v>
      </c>
      <c r="M6535" t="s">
        <v>43665</v>
      </c>
      <c r="N6535" t="s">
        <v>45095</v>
      </c>
      <c r="O6535" t="s">
        <v>45096</v>
      </c>
      <c r="P6535">
        <v>0</v>
      </c>
      <c r="Q6535">
        <v>2</v>
      </c>
      <c r="R6535" t="s">
        <v>45102</v>
      </c>
      <c r="S6535" t="s">
        <v>45242</v>
      </c>
      <c r="T6535" t="s">
        <v>46973</v>
      </c>
      <c r="U6535" t="s">
        <v>52927</v>
      </c>
      <c r="W6535" t="s">
        <v>43665</v>
      </c>
      <c r="X6535" t="s">
        <v>45103</v>
      </c>
    </row>
    <row r="6536" spans="1:24">
      <c r="A6536">
        <f>HYPERLINK("https://www.philgeps.gov.ph/GEPSNONPILOT/Tender/SplashBidNoticeAbstractUI.aspx?menuIndex=3&amp;refID=7040810&amp;Result=3","7040810")</f>
        <v>0</v>
      </c>
      <c r="B6536" t="s">
        <v>1315</v>
      </c>
      <c r="C6536" t="s">
        <v>9438</v>
      </c>
      <c r="D6536" t="s">
        <v>18022</v>
      </c>
      <c r="E6536" t="s">
        <v>20114</v>
      </c>
      <c r="F6536" t="s">
        <v>31574</v>
      </c>
      <c r="G6536" t="s">
        <v>31582</v>
      </c>
      <c r="H6536" t="s">
        <v>31590</v>
      </c>
      <c r="I6536" t="s">
        <v>31684</v>
      </c>
      <c r="J6536" t="s">
        <v>31771</v>
      </c>
      <c r="K6536" t="s">
        <v>41190</v>
      </c>
      <c r="M6536" t="s">
        <v>42885</v>
      </c>
      <c r="N6536" t="s">
        <v>45095</v>
      </c>
      <c r="O6536" t="s">
        <v>45096</v>
      </c>
      <c r="P6536">
        <v>0</v>
      </c>
      <c r="Q6536">
        <v>1</v>
      </c>
      <c r="R6536" t="s">
        <v>45102</v>
      </c>
      <c r="S6536" t="s">
        <v>45242</v>
      </c>
      <c r="T6536" t="s">
        <v>47037</v>
      </c>
      <c r="U6536" t="s">
        <v>52949</v>
      </c>
      <c r="W6536" t="s">
        <v>42885</v>
      </c>
      <c r="X6536" t="s">
        <v>45103</v>
      </c>
    </row>
    <row r="6537" spans="1:24">
      <c r="A6537">
        <f>HYPERLINK("https://www.philgeps.gov.ph/GEPSNONPILOT/Tender/SplashBidNoticeAbstractUI.aspx?menuIndex=3&amp;refID=7040800&amp;Result=3","7040800")</f>
        <v>0</v>
      </c>
      <c r="B6537" t="s">
        <v>1120</v>
      </c>
      <c r="C6537" t="s">
        <v>9439</v>
      </c>
      <c r="E6537" t="s">
        <v>23930</v>
      </c>
      <c r="F6537" t="s">
        <v>31574</v>
      </c>
      <c r="G6537" t="s">
        <v>31582</v>
      </c>
      <c r="H6537" t="s">
        <v>31590</v>
      </c>
      <c r="I6537" t="s">
        <v>31623</v>
      </c>
      <c r="J6537" t="s">
        <v>32510</v>
      </c>
      <c r="K6537" t="s">
        <v>41184</v>
      </c>
      <c r="M6537" t="s">
        <v>42671</v>
      </c>
      <c r="N6537" t="s">
        <v>45095</v>
      </c>
      <c r="O6537" t="s">
        <v>45096</v>
      </c>
      <c r="P6537">
        <v>0</v>
      </c>
      <c r="Q6537">
        <v>0</v>
      </c>
      <c r="R6537" t="s">
        <v>45102</v>
      </c>
      <c r="S6537" t="s">
        <v>45242</v>
      </c>
      <c r="T6537" t="s">
        <v>47230</v>
      </c>
      <c r="U6537" t="s">
        <v>50108</v>
      </c>
      <c r="W6537" t="s">
        <v>42671</v>
      </c>
      <c r="X6537" t="s">
        <v>45103</v>
      </c>
    </row>
    <row r="6538" spans="1:24">
      <c r="A6538">
        <f>HYPERLINK("https://www.philgeps.gov.ph/GEPSNONPILOT/Tender/SplashBidNoticeAbstractUI.aspx?menuIndex=3&amp;refID=7040818&amp;Result=3","7040818")</f>
        <v>0</v>
      </c>
      <c r="B6538" t="s">
        <v>2000</v>
      </c>
      <c r="C6538" t="s">
        <v>9440</v>
      </c>
      <c r="D6538" t="s">
        <v>18041</v>
      </c>
      <c r="E6538" t="s">
        <v>23893</v>
      </c>
      <c r="F6538" t="s">
        <v>31579</v>
      </c>
      <c r="G6538" t="s">
        <v>31581</v>
      </c>
      <c r="H6538" t="s">
        <v>31590</v>
      </c>
      <c r="I6538" t="s">
        <v>3487</v>
      </c>
      <c r="J6538" t="s">
        <v>32012</v>
      </c>
      <c r="K6538" t="s">
        <v>41211</v>
      </c>
      <c r="M6538" t="s">
        <v>43662</v>
      </c>
      <c r="N6538" t="s">
        <v>45095</v>
      </c>
      <c r="O6538" t="s">
        <v>45096</v>
      </c>
      <c r="P6538">
        <v>0</v>
      </c>
      <c r="Q6538">
        <v>0</v>
      </c>
      <c r="R6538" t="s">
        <v>45102</v>
      </c>
      <c r="S6538" t="s">
        <v>45242</v>
      </c>
      <c r="T6538" t="s">
        <v>46936</v>
      </c>
      <c r="U6538" t="s">
        <v>52950</v>
      </c>
      <c r="W6538" t="s">
        <v>43662</v>
      </c>
      <c r="X6538" t="s">
        <v>45103</v>
      </c>
    </row>
    <row r="6539" spans="1:24">
      <c r="A6539">
        <f>HYPERLINK("https://www.philgeps.gov.ph/GEPSNONPILOT/Tender/SplashBidNoticeAbstractUI.aspx?menuIndex=3&amp;refID=7040814&amp;Result=3","7040814")</f>
        <v>0</v>
      </c>
      <c r="B6539" t="s">
        <v>1327</v>
      </c>
      <c r="C6539" t="s">
        <v>9441</v>
      </c>
      <c r="E6539" t="s">
        <v>9441</v>
      </c>
      <c r="F6539" t="s">
        <v>31574</v>
      </c>
      <c r="G6539" t="s">
        <v>31581</v>
      </c>
      <c r="H6539" t="s">
        <v>31590</v>
      </c>
      <c r="I6539" t="s">
        <v>7185</v>
      </c>
      <c r="J6539" t="s">
        <v>35932</v>
      </c>
      <c r="K6539" t="s">
        <v>41193</v>
      </c>
      <c r="M6539" t="s">
        <v>42897</v>
      </c>
      <c r="N6539" t="s">
        <v>45095</v>
      </c>
      <c r="O6539" t="s">
        <v>45096</v>
      </c>
      <c r="P6539">
        <v>0</v>
      </c>
      <c r="Q6539">
        <v>0</v>
      </c>
      <c r="R6539" t="s">
        <v>45102</v>
      </c>
      <c r="S6539" t="s">
        <v>45242</v>
      </c>
      <c r="T6539" t="s">
        <v>47154</v>
      </c>
      <c r="U6539" t="s">
        <v>52951</v>
      </c>
      <c r="W6539" t="s">
        <v>42897</v>
      </c>
      <c r="X6539" t="s">
        <v>45103</v>
      </c>
    </row>
    <row r="6540" spans="1:24">
      <c r="A6540">
        <f>HYPERLINK("https://www.philgeps.gov.ph/GEPSNONPILOT/Tender/SplashBidNoticeAbstractUI.aspx?menuIndex=3&amp;refID=7040795&amp;Result=3","7040795")</f>
        <v>0</v>
      </c>
      <c r="B6540" t="s">
        <v>1327</v>
      </c>
      <c r="C6540" t="s">
        <v>9442</v>
      </c>
      <c r="E6540" t="s">
        <v>9442</v>
      </c>
      <c r="F6540" t="s">
        <v>31574</v>
      </c>
      <c r="G6540" t="s">
        <v>31581</v>
      </c>
      <c r="H6540" t="s">
        <v>31590</v>
      </c>
      <c r="I6540" t="s">
        <v>7185</v>
      </c>
      <c r="J6540" t="s">
        <v>35933</v>
      </c>
      <c r="K6540" t="s">
        <v>41193</v>
      </c>
      <c r="M6540" t="s">
        <v>42897</v>
      </c>
      <c r="N6540" t="s">
        <v>45095</v>
      </c>
      <c r="O6540" t="s">
        <v>45096</v>
      </c>
      <c r="P6540">
        <v>0</v>
      </c>
      <c r="Q6540">
        <v>0</v>
      </c>
      <c r="R6540" t="s">
        <v>45102</v>
      </c>
      <c r="S6540" t="s">
        <v>45242</v>
      </c>
      <c r="T6540" t="s">
        <v>47154</v>
      </c>
      <c r="U6540" t="s">
        <v>52952</v>
      </c>
      <c r="W6540" t="s">
        <v>42897</v>
      </c>
      <c r="X6540" t="s">
        <v>45103</v>
      </c>
    </row>
    <row r="6541" spans="1:24">
      <c r="A6541">
        <f>HYPERLINK("https://www.philgeps.gov.ph/GEPSNONPILOT/Tender/SplashBidNoticeAbstractUI.aspx?menuIndex=3&amp;refID=7040816&amp;Result=3","7040816")</f>
        <v>0</v>
      </c>
      <c r="B6541" t="s">
        <v>2003</v>
      </c>
      <c r="C6541" t="s">
        <v>9443</v>
      </c>
      <c r="D6541" t="s">
        <v>18022</v>
      </c>
      <c r="E6541" t="s">
        <v>23926</v>
      </c>
      <c r="F6541" t="s">
        <v>31574</v>
      </c>
      <c r="G6541" t="s">
        <v>31581</v>
      </c>
      <c r="H6541" t="s">
        <v>31593</v>
      </c>
      <c r="I6541" t="s">
        <v>31593</v>
      </c>
      <c r="J6541" t="s">
        <v>35926</v>
      </c>
      <c r="K6541" t="s">
        <v>41186</v>
      </c>
      <c r="M6541" t="s">
        <v>43665</v>
      </c>
      <c r="N6541" t="s">
        <v>45095</v>
      </c>
      <c r="O6541" t="s">
        <v>45096</v>
      </c>
      <c r="P6541">
        <v>0</v>
      </c>
      <c r="Q6541">
        <v>2</v>
      </c>
      <c r="R6541" t="s">
        <v>45102</v>
      </c>
      <c r="S6541" t="s">
        <v>45242</v>
      </c>
      <c r="T6541" t="s">
        <v>46973</v>
      </c>
      <c r="U6541" t="s">
        <v>52927</v>
      </c>
      <c r="W6541" t="s">
        <v>43665</v>
      </c>
      <c r="X6541" t="s">
        <v>45103</v>
      </c>
    </row>
    <row r="6542" spans="1:24">
      <c r="A6542">
        <f>HYPERLINK("https://www.philgeps.gov.ph/GEPSNONPILOT/Tender/SplashBidNoticeAbstractUI.aspx?menuIndex=3&amp;refID=7040820&amp;Result=3","7040820")</f>
        <v>0</v>
      </c>
      <c r="B6542" t="s">
        <v>2010</v>
      </c>
      <c r="C6542" t="s">
        <v>9444</v>
      </c>
      <c r="E6542" t="s">
        <v>18199</v>
      </c>
      <c r="F6542" t="s">
        <v>31575</v>
      </c>
      <c r="G6542" t="s">
        <v>31582</v>
      </c>
      <c r="H6542" t="s">
        <v>31590</v>
      </c>
      <c r="I6542" t="s">
        <v>31602</v>
      </c>
      <c r="J6542" t="s">
        <v>31947</v>
      </c>
      <c r="K6542" t="s">
        <v>41184</v>
      </c>
      <c r="M6542" t="s">
        <v>43672</v>
      </c>
      <c r="N6542" t="s">
        <v>45095</v>
      </c>
      <c r="O6542" t="s">
        <v>45096</v>
      </c>
      <c r="P6542">
        <v>0</v>
      </c>
      <c r="Q6542">
        <v>0</v>
      </c>
      <c r="R6542" t="s">
        <v>45102</v>
      </c>
      <c r="S6542" t="s">
        <v>45242</v>
      </c>
      <c r="T6542" t="s">
        <v>46966</v>
      </c>
      <c r="U6542" t="s">
        <v>52953</v>
      </c>
      <c r="W6542" t="s">
        <v>43672</v>
      </c>
      <c r="X6542" t="s">
        <v>45103</v>
      </c>
    </row>
    <row r="6543" spans="1:24">
      <c r="A6543">
        <f>HYPERLINK("https://www.philgeps.gov.ph/GEPSNONPILOT/Tender/SplashBidNoticeAbstractUI.aspx?menuIndex=3&amp;refID=7040829&amp;Result=3","7040829")</f>
        <v>0</v>
      </c>
      <c r="B6543" t="s">
        <v>2011</v>
      </c>
      <c r="C6543" t="s">
        <v>9445</v>
      </c>
      <c r="D6543" t="s">
        <v>18027</v>
      </c>
      <c r="E6543" t="s">
        <v>18175</v>
      </c>
      <c r="F6543" t="s">
        <v>31574</v>
      </c>
      <c r="G6543" t="s">
        <v>31582</v>
      </c>
      <c r="H6543" t="s">
        <v>31591</v>
      </c>
      <c r="I6543" t="s">
        <v>8822</v>
      </c>
      <c r="J6543" t="s">
        <v>32232</v>
      </c>
      <c r="K6543" t="s">
        <v>41206</v>
      </c>
      <c r="M6543" t="s">
        <v>43673</v>
      </c>
      <c r="N6543" t="s">
        <v>45095</v>
      </c>
      <c r="O6543" t="s">
        <v>45096</v>
      </c>
      <c r="P6543">
        <v>0</v>
      </c>
      <c r="Q6543">
        <v>0</v>
      </c>
      <c r="R6543" t="s">
        <v>45102</v>
      </c>
      <c r="S6543" t="s">
        <v>45242</v>
      </c>
      <c r="T6543" t="s">
        <v>46969</v>
      </c>
      <c r="U6543" t="s">
        <v>52954</v>
      </c>
      <c r="W6543" t="s">
        <v>43673</v>
      </c>
      <c r="X6543" t="s">
        <v>45103</v>
      </c>
    </row>
    <row r="6544" spans="1:24">
      <c r="A6544">
        <f>HYPERLINK("https://www.philgeps.gov.ph/GEPSNONPILOT/Tender/SplashBidNoticeAbstractUI.aspx?menuIndex=3&amp;refID=7040827&amp;Result=3","7040827")</f>
        <v>0</v>
      </c>
      <c r="B6544" t="s">
        <v>2003</v>
      </c>
      <c r="C6544" t="s">
        <v>9446</v>
      </c>
      <c r="D6544" t="s">
        <v>18022</v>
      </c>
      <c r="E6544" t="s">
        <v>23931</v>
      </c>
      <c r="F6544" t="s">
        <v>31574</v>
      </c>
      <c r="G6544" t="s">
        <v>31581</v>
      </c>
      <c r="H6544" t="s">
        <v>31593</v>
      </c>
      <c r="I6544" t="s">
        <v>31593</v>
      </c>
      <c r="J6544" t="s">
        <v>35934</v>
      </c>
      <c r="K6544" t="s">
        <v>41186</v>
      </c>
      <c r="M6544" t="s">
        <v>43665</v>
      </c>
      <c r="N6544" t="s">
        <v>45095</v>
      </c>
      <c r="O6544" t="s">
        <v>45096</v>
      </c>
      <c r="P6544">
        <v>0</v>
      </c>
      <c r="Q6544">
        <v>2</v>
      </c>
      <c r="R6544" t="s">
        <v>45102</v>
      </c>
      <c r="S6544" t="s">
        <v>45242</v>
      </c>
      <c r="T6544" t="s">
        <v>46973</v>
      </c>
      <c r="U6544" t="s">
        <v>52927</v>
      </c>
      <c r="W6544" t="s">
        <v>43665</v>
      </c>
      <c r="X6544" t="s">
        <v>45103</v>
      </c>
    </row>
    <row r="6545" spans="1:24">
      <c r="A6545">
        <f>HYPERLINK("https://www.philgeps.gov.ph/GEPSNONPILOT/Tender/SplashBidNoticeAbstractUI.aspx?menuIndex=3&amp;refID=7040824&amp;Result=3","7040824")</f>
        <v>0</v>
      </c>
      <c r="B6545" t="s">
        <v>2003</v>
      </c>
      <c r="C6545" t="s">
        <v>9447</v>
      </c>
      <c r="D6545" t="s">
        <v>18022</v>
      </c>
      <c r="E6545" t="s">
        <v>23932</v>
      </c>
      <c r="F6545" t="s">
        <v>31574</v>
      </c>
      <c r="G6545" t="s">
        <v>31581</v>
      </c>
      <c r="H6545" t="s">
        <v>31593</v>
      </c>
      <c r="I6545" t="s">
        <v>31593</v>
      </c>
      <c r="J6545" t="s">
        <v>35934</v>
      </c>
      <c r="K6545" t="s">
        <v>41186</v>
      </c>
      <c r="M6545" t="s">
        <v>43665</v>
      </c>
      <c r="N6545" t="s">
        <v>45095</v>
      </c>
      <c r="O6545" t="s">
        <v>45096</v>
      </c>
      <c r="P6545">
        <v>0</v>
      </c>
      <c r="Q6545">
        <v>2</v>
      </c>
      <c r="R6545" t="s">
        <v>45102</v>
      </c>
      <c r="S6545" t="s">
        <v>45242</v>
      </c>
      <c r="T6545" t="s">
        <v>46973</v>
      </c>
      <c r="U6545" t="s">
        <v>52927</v>
      </c>
      <c r="W6545" t="s">
        <v>43665</v>
      </c>
      <c r="X6545" t="s">
        <v>45103</v>
      </c>
    </row>
    <row r="6546" spans="1:24">
      <c r="A6546">
        <f>HYPERLINK("https://www.philgeps.gov.ph/GEPSNONPILOT/Tender/SplashBidNoticeAbstractUI.aspx?menuIndex=3&amp;refID=7040833&amp;Result=3","7040833")</f>
        <v>0</v>
      </c>
      <c r="B6546" t="s">
        <v>1327</v>
      </c>
      <c r="C6546" t="s">
        <v>9448</v>
      </c>
      <c r="E6546" t="s">
        <v>9448</v>
      </c>
      <c r="F6546" t="s">
        <v>31574</v>
      </c>
      <c r="G6546" t="s">
        <v>31581</v>
      </c>
      <c r="H6546" t="s">
        <v>31590</v>
      </c>
      <c r="I6546" t="s">
        <v>7185</v>
      </c>
      <c r="J6546" t="s">
        <v>35935</v>
      </c>
      <c r="K6546" t="s">
        <v>41193</v>
      </c>
      <c r="M6546" t="s">
        <v>42897</v>
      </c>
      <c r="N6546" t="s">
        <v>45095</v>
      </c>
      <c r="O6546" t="s">
        <v>45096</v>
      </c>
      <c r="P6546">
        <v>0</v>
      </c>
      <c r="Q6546">
        <v>1</v>
      </c>
      <c r="R6546" t="s">
        <v>45102</v>
      </c>
      <c r="S6546" t="s">
        <v>45242</v>
      </c>
      <c r="T6546" t="s">
        <v>47154</v>
      </c>
      <c r="U6546" t="s">
        <v>52955</v>
      </c>
      <c r="W6546" t="s">
        <v>42897</v>
      </c>
      <c r="X6546" t="s">
        <v>45103</v>
      </c>
    </row>
    <row r="6547" spans="1:24">
      <c r="A6547">
        <f>HYPERLINK("https://www.philgeps.gov.ph/GEPSNONPILOT/Tender/SplashBidNoticeAbstractUI.aspx?menuIndex=3&amp;refID=7040823&amp;Result=3","7040823")</f>
        <v>0</v>
      </c>
      <c r="B6547" t="s">
        <v>1327</v>
      </c>
      <c r="C6547" t="s">
        <v>9449</v>
      </c>
      <c r="E6547" t="s">
        <v>9449</v>
      </c>
      <c r="F6547" t="s">
        <v>31574</v>
      </c>
      <c r="G6547" t="s">
        <v>31581</v>
      </c>
      <c r="H6547" t="s">
        <v>31590</v>
      </c>
      <c r="I6547" t="s">
        <v>7185</v>
      </c>
      <c r="J6547" t="s">
        <v>35936</v>
      </c>
      <c r="K6547" t="s">
        <v>41193</v>
      </c>
      <c r="M6547" t="s">
        <v>42897</v>
      </c>
      <c r="N6547" t="s">
        <v>45095</v>
      </c>
      <c r="O6547" t="s">
        <v>45096</v>
      </c>
      <c r="P6547">
        <v>0</v>
      </c>
      <c r="Q6547">
        <v>0</v>
      </c>
      <c r="R6547" t="s">
        <v>45102</v>
      </c>
      <c r="S6547" t="s">
        <v>45242</v>
      </c>
      <c r="T6547" t="s">
        <v>47154</v>
      </c>
      <c r="U6547" t="s">
        <v>52956</v>
      </c>
      <c r="W6547" t="s">
        <v>42897</v>
      </c>
      <c r="X6547" t="s">
        <v>45103</v>
      </c>
    </row>
    <row r="6548" spans="1:24">
      <c r="A6548">
        <f>HYPERLINK("https://www.philgeps.gov.ph/GEPSNONPILOT/Tender/SplashBidNoticeAbstractUI.aspx?menuIndex=3&amp;refID=7040845&amp;Result=3","7040845")</f>
        <v>0</v>
      </c>
      <c r="B6548" t="s">
        <v>708</v>
      </c>
      <c r="C6548" t="s">
        <v>9450</v>
      </c>
      <c r="D6548" t="s">
        <v>18028</v>
      </c>
      <c r="E6548" t="s">
        <v>23933</v>
      </c>
      <c r="F6548" t="s">
        <v>31574</v>
      </c>
      <c r="G6548" t="s">
        <v>31582</v>
      </c>
      <c r="H6548" t="s">
        <v>31590</v>
      </c>
      <c r="I6548" t="s">
        <v>31614</v>
      </c>
      <c r="J6548" t="s">
        <v>33541</v>
      </c>
      <c r="K6548" t="s">
        <v>41190</v>
      </c>
      <c r="M6548" t="s">
        <v>42217</v>
      </c>
      <c r="N6548" t="s">
        <v>45095</v>
      </c>
      <c r="O6548" t="s">
        <v>45096</v>
      </c>
      <c r="P6548">
        <v>0</v>
      </c>
      <c r="Q6548">
        <v>0</v>
      </c>
      <c r="R6548" t="s">
        <v>45102</v>
      </c>
      <c r="S6548" t="s">
        <v>45242</v>
      </c>
      <c r="T6548" t="s">
        <v>46918</v>
      </c>
      <c r="U6548" t="s">
        <v>52957</v>
      </c>
      <c r="V6548" t="s">
        <v>59966</v>
      </c>
      <c r="W6548" t="s">
        <v>42217</v>
      </c>
      <c r="X6548" t="s">
        <v>45103</v>
      </c>
    </row>
    <row r="6549" spans="1:24">
      <c r="A6549">
        <f>HYPERLINK("https://www.philgeps.gov.ph/GEPSNONPILOT/Tender/SplashBidNoticeAbstractUI.aspx?menuIndex=3&amp;refID=7040843&amp;Result=3","7040843")</f>
        <v>0</v>
      </c>
      <c r="B6549" t="s">
        <v>2012</v>
      </c>
      <c r="C6549" t="s">
        <v>9451</v>
      </c>
      <c r="D6549" t="s">
        <v>18043</v>
      </c>
      <c r="E6549" t="s">
        <v>18175</v>
      </c>
      <c r="F6549" t="s">
        <v>31574</v>
      </c>
      <c r="G6549" t="s">
        <v>31583</v>
      </c>
      <c r="H6549" t="s">
        <v>31590</v>
      </c>
      <c r="I6549" t="s">
        <v>3520</v>
      </c>
      <c r="J6549" t="s">
        <v>35937</v>
      </c>
      <c r="K6549" t="s">
        <v>41184</v>
      </c>
      <c r="M6549" t="s">
        <v>43674</v>
      </c>
      <c r="N6549" t="s">
        <v>45095</v>
      </c>
      <c r="O6549" t="s">
        <v>45096</v>
      </c>
      <c r="P6549">
        <v>0</v>
      </c>
      <c r="Q6549">
        <v>0</v>
      </c>
      <c r="R6549" t="s">
        <v>45102</v>
      </c>
      <c r="S6549" t="s">
        <v>45242</v>
      </c>
      <c r="T6549" t="s">
        <v>46936</v>
      </c>
      <c r="U6549" t="s">
        <v>52958</v>
      </c>
      <c r="W6549" t="s">
        <v>43674</v>
      </c>
      <c r="X6549" t="s">
        <v>45103</v>
      </c>
    </row>
    <row r="6550" spans="1:24">
      <c r="A6550">
        <f>HYPERLINK("https://www.philgeps.gov.ph/GEPSNONPILOT/Tender/SplashBidNoticeAbstractUI.aspx?menuIndex=3&amp;refID=7040846&amp;Result=3","7040846")</f>
        <v>0</v>
      </c>
      <c r="B6550" t="s">
        <v>2013</v>
      </c>
      <c r="C6550" t="s">
        <v>9452</v>
      </c>
      <c r="D6550" t="s">
        <v>18095</v>
      </c>
      <c r="E6550" t="s">
        <v>23934</v>
      </c>
      <c r="F6550" t="s">
        <v>31574</v>
      </c>
      <c r="G6550" t="s">
        <v>31582</v>
      </c>
      <c r="H6550" t="s">
        <v>31591</v>
      </c>
      <c r="I6550" t="s">
        <v>8822</v>
      </c>
      <c r="J6550" t="s">
        <v>33124</v>
      </c>
      <c r="K6550" t="s">
        <v>41268</v>
      </c>
      <c r="M6550" t="s">
        <v>43675</v>
      </c>
      <c r="N6550" t="s">
        <v>45095</v>
      </c>
      <c r="O6550" t="s">
        <v>45096</v>
      </c>
      <c r="P6550">
        <v>0</v>
      </c>
      <c r="Q6550">
        <v>3</v>
      </c>
      <c r="R6550" t="s">
        <v>45102</v>
      </c>
      <c r="S6550" t="s">
        <v>45242</v>
      </c>
      <c r="T6550" t="s">
        <v>46992</v>
      </c>
      <c r="U6550" t="s">
        <v>52959</v>
      </c>
      <c r="V6550" t="s">
        <v>60559</v>
      </c>
      <c r="W6550" t="s">
        <v>43675</v>
      </c>
      <c r="X6550" t="s">
        <v>45103</v>
      </c>
    </row>
    <row r="6551" spans="1:24">
      <c r="A6551">
        <f>HYPERLINK("https://www.philgeps.gov.ph/GEPSNONPILOT/Tender/SplashBidNoticeAbstractUI.aspx?menuIndex=3&amp;refID=7040842&amp;Result=3","7040842")</f>
        <v>0</v>
      </c>
      <c r="B6551" t="s">
        <v>2014</v>
      </c>
      <c r="C6551" t="s">
        <v>9453</v>
      </c>
      <c r="D6551" t="s">
        <v>18079</v>
      </c>
      <c r="E6551" t="s">
        <v>23935</v>
      </c>
      <c r="F6551" t="s">
        <v>31574</v>
      </c>
      <c r="G6551" t="s">
        <v>31582</v>
      </c>
      <c r="H6551" t="s">
        <v>31591</v>
      </c>
      <c r="I6551" t="s">
        <v>8822</v>
      </c>
      <c r="J6551" t="s">
        <v>34070</v>
      </c>
      <c r="K6551" t="s">
        <v>41200</v>
      </c>
      <c r="M6551" t="s">
        <v>43676</v>
      </c>
      <c r="N6551" t="s">
        <v>45095</v>
      </c>
      <c r="O6551" t="s">
        <v>45096</v>
      </c>
      <c r="P6551">
        <v>0</v>
      </c>
      <c r="Q6551">
        <v>1</v>
      </c>
      <c r="R6551" t="s">
        <v>45102</v>
      </c>
      <c r="S6551" t="s">
        <v>45242</v>
      </c>
      <c r="T6551" t="s">
        <v>46988</v>
      </c>
      <c r="U6551" t="s">
        <v>52960</v>
      </c>
      <c r="V6551" t="s">
        <v>60560</v>
      </c>
      <c r="W6551" t="s">
        <v>43676</v>
      </c>
      <c r="X6551" t="s">
        <v>45103</v>
      </c>
    </row>
    <row r="6552" spans="1:24">
      <c r="A6552">
        <f>HYPERLINK("https://www.philgeps.gov.ph/GEPSNONPILOT/Tender/SplashBidNoticeAbstractUI.aspx?menuIndex=3&amp;refID=7040844&amp;Result=3","7040844")</f>
        <v>0</v>
      </c>
      <c r="B6552" t="s">
        <v>2014</v>
      </c>
      <c r="C6552" t="s">
        <v>9454</v>
      </c>
      <c r="D6552" t="s">
        <v>18079</v>
      </c>
      <c r="E6552" t="s">
        <v>23936</v>
      </c>
      <c r="F6552" t="s">
        <v>31574</v>
      </c>
      <c r="G6552" t="s">
        <v>31582</v>
      </c>
      <c r="H6552" t="s">
        <v>31591</v>
      </c>
      <c r="I6552" t="s">
        <v>8822</v>
      </c>
      <c r="J6552" t="s">
        <v>34697</v>
      </c>
      <c r="K6552" t="s">
        <v>41198</v>
      </c>
      <c r="M6552" t="s">
        <v>43676</v>
      </c>
      <c r="N6552" t="s">
        <v>45095</v>
      </c>
      <c r="O6552" t="s">
        <v>45096</v>
      </c>
      <c r="P6552">
        <v>0</v>
      </c>
      <c r="Q6552">
        <v>0</v>
      </c>
      <c r="R6552" t="s">
        <v>45102</v>
      </c>
      <c r="S6552" t="s">
        <v>45242</v>
      </c>
      <c r="T6552" t="s">
        <v>46988</v>
      </c>
      <c r="U6552" t="s">
        <v>52961</v>
      </c>
      <c r="V6552" t="s">
        <v>60560</v>
      </c>
      <c r="W6552" t="s">
        <v>43676</v>
      </c>
      <c r="X6552" t="s">
        <v>45103</v>
      </c>
    </row>
    <row r="6553" spans="1:24">
      <c r="A6553">
        <f>HYPERLINK("https://www.philgeps.gov.ph/GEPSNONPILOT/Tender/SplashBidNoticeAbstractUI.aspx?menuIndex=3&amp;refID=7040841&amp;Result=3","7040841")</f>
        <v>0</v>
      </c>
      <c r="B6553" t="s">
        <v>1939</v>
      </c>
      <c r="C6553" t="s">
        <v>9455</v>
      </c>
      <c r="D6553" t="s">
        <v>18098</v>
      </c>
      <c r="E6553" t="s">
        <v>23937</v>
      </c>
      <c r="F6553" t="s">
        <v>31574</v>
      </c>
      <c r="G6553" t="s">
        <v>31581</v>
      </c>
      <c r="H6553" t="s">
        <v>31590</v>
      </c>
      <c r="I6553" t="s">
        <v>31661</v>
      </c>
      <c r="J6553" t="s">
        <v>31930</v>
      </c>
      <c r="K6553" t="s">
        <v>41186</v>
      </c>
      <c r="M6553" t="s">
        <v>43594</v>
      </c>
      <c r="N6553" t="s">
        <v>45095</v>
      </c>
      <c r="O6553" t="s">
        <v>45096</v>
      </c>
      <c r="P6553">
        <v>0</v>
      </c>
      <c r="Q6553">
        <v>0</v>
      </c>
      <c r="R6553" t="s">
        <v>45102</v>
      </c>
      <c r="S6553" t="s">
        <v>45242</v>
      </c>
      <c r="T6553" t="s">
        <v>47064</v>
      </c>
      <c r="U6553" t="s">
        <v>52962</v>
      </c>
      <c r="W6553" t="s">
        <v>43594</v>
      </c>
      <c r="X6553" t="s">
        <v>45103</v>
      </c>
    </row>
    <row r="6554" spans="1:24">
      <c r="A6554">
        <f>HYPERLINK("https://www.philgeps.gov.ph/GEPSNONPILOT/Tender/SplashBidNoticeAbstractUI.aspx?menuIndex=3&amp;refID=7040840&amp;Result=3","7040840")</f>
        <v>0</v>
      </c>
      <c r="B6554" t="s">
        <v>835</v>
      </c>
      <c r="C6554" t="s">
        <v>9456</v>
      </c>
      <c r="D6554" t="s">
        <v>18030</v>
      </c>
      <c r="E6554" t="s">
        <v>23885</v>
      </c>
      <c r="F6554" t="s">
        <v>31575</v>
      </c>
      <c r="G6554" t="s">
        <v>31581</v>
      </c>
      <c r="H6554" t="s">
        <v>31590</v>
      </c>
      <c r="I6554" t="s">
        <v>31636</v>
      </c>
      <c r="J6554" t="s">
        <v>32012</v>
      </c>
      <c r="K6554" t="s">
        <v>41197</v>
      </c>
      <c r="M6554" t="s">
        <v>43651</v>
      </c>
      <c r="N6554" t="s">
        <v>45095</v>
      </c>
      <c r="O6554" t="s">
        <v>45096</v>
      </c>
      <c r="P6554">
        <v>0</v>
      </c>
      <c r="Q6554">
        <v>3</v>
      </c>
      <c r="R6554" t="s">
        <v>45102</v>
      </c>
      <c r="S6554" t="s">
        <v>45242</v>
      </c>
      <c r="T6554" t="s">
        <v>47080</v>
      </c>
      <c r="U6554" t="s">
        <v>52963</v>
      </c>
      <c r="V6554" t="s">
        <v>48153</v>
      </c>
      <c r="W6554" t="s">
        <v>43651</v>
      </c>
      <c r="X6554" t="s">
        <v>45103</v>
      </c>
    </row>
    <row r="6555" spans="1:24">
      <c r="A6555">
        <f>HYPERLINK("https://www.philgeps.gov.ph/GEPSNONPILOT/Tender/SplashBidNoticeAbstractUI.aspx?menuIndex=3&amp;refID=7040837&amp;Result=3","7040837")</f>
        <v>0</v>
      </c>
      <c r="B6555" t="s">
        <v>2014</v>
      </c>
      <c r="C6555" t="s">
        <v>9457</v>
      </c>
      <c r="D6555" t="s">
        <v>18079</v>
      </c>
      <c r="E6555" t="s">
        <v>23938</v>
      </c>
      <c r="F6555" t="s">
        <v>31574</v>
      </c>
      <c r="G6555" t="s">
        <v>31582</v>
      </c>
      <c r="H6555" t="s">
        <v>31591</v>
      </c>
      <c r="I6555" t="s">
        <v>8822</v>
      </c>
      <c r="J6555" t="s">
        <v>34697</v>
      </c>
      <c r="K6555" t="s">
        <v>41198</v>
      </c>
      <c r="M6555" t="s">
        <v>43676</v>
      </c>
      <c r="N6555" t="s">
        <v>45095</v>
      </c>
      <c r="O6555" t="s">
        <v>45096</v>
      </c>
      <c r="P6555">
        <v>0</v>
      </c>
      <c r="Q6555">
        <v>1</v>
      </c>
      <c r="R6555" t="s">
        <v>45102</v>
      </c>
      <c r="S6555" t="s">
        <v>45242</v>
      </c>
      <c r="T6555" t="s">
        <v>46988</v>
      </c>
      <c r="U6555" t="s">
        <v>52964</v>
      </c>
      <c r="V6555" t="s">
        <v>60560</v>
      </c>
      <c r="W6555" t="s">
        <v>43676</v>
      </c>
      <c r="X6555" t="s">
        <v>45103</v>
      </c>
    </row>
    <row r="6556" spans="1:24">
      <c r="A6556">
        <f>HYPERLINK("https://www.philgeps.gov.ph/GEPSNONPILOT/Tender/SplashBidNoticeAbstractUI.aspx?menuIndex=3&amp;refID=7040838&amp;Result=3","7040838")</f>
        <v>0</v>
      </c>
      <c r="B6556" t="s">
        <v>2000</v>
      </c>
      <c r="C6556" t="s">
        <v>9458</v>
      </c>
      <c r="D6556" t="s">
        <v>18041</v>
      </c>
      <c r="E6556" t="s">
        <v>23893</v>
      </c>
      <c r="F6556" t="s">
        <v>31579</v>
      </c>
      <c r="G6556" t="s">
        <v>31581</v>
      </c>
      <c r="H6556" t="s">
        <v>31590</v>
      </c>
      <c r="I6556" t="s">
        <v>3487</v>
      </c>
      <c r="J6556" t="s">
        <v>31842</v>
      </c>
      <c r="K6556" t="s">
        <v>41211</v>
      </c>
      <c r="M6556" t="s">
        <v>43662</v>
      </c>
      <c r="N6556" t="s">
        <v>45095</v>
      </c>
      <c r="O6556" t="s">
        <v>45096</v>
      </c>
      <c r="P6556">
        <v>0</v>
      </c>
      <c r="Q6556">
        <v>0</v>
      </c>
      <c r="R6556" t="s">
        <v>45102</v>
      </c>
      <c r="S6556" t="s">
        <v>45242</v>
      </c>
      <c r="T6556" t="s">
        <v>46936</v>
      </c>
      <c r="U6556" t="s">
        <v>52965</v>
      </c>
      <c r="W6556" t="s">
        <v>43662</v>
      </c>
      <c r="X6556" t="s">
        <v>45103</v>
      </c>
    </row>
    <row r="6557" spans="1:24">
      <c r="A6557">
        <f>HYPERLINK("https://www.philgeps.gov.ph/GEPSNONPILOT/Tender/SplashBidNoticeAbstractUI.aspx?menuIndex=3&amp;refID=7040839&amp;Result=3","7040839")</f>
        <v>0</v>
      </c>
      <c r="B6557" t="s">
        <v>1327</v>
      </c>
      <c r="C6557" t="s">
        <v>9459</v>
      </c>
      <c r="E6557" t="s">
        <v>9459</v>
      </c>
      <c r="F6557" t="s">
        <v>31574</v>
      </c>
      <c r="G6557" t="s">
        <v>31581</v>
      </c>
      <c r="H6557" t="s">
        <v>31590</v>
      </c>
      <c r="I6557" t="s">
        <v>8258</v>
      </c>
      <c r="J6557" t="s">
        <v>35938</v>
      </c>
      <c r="K6557" t="s">
        <v>41193</v>
      </c>
      <c r="M6557" t="s">
        <v>42897</v>
      </c>
      <c r="N6557" t="s">
        <v>45095</v>
      </c>
      <c r="O6557" t="s">
        <v>45096</v>
      </c>
      <c r="P6557">
        <v>0</v>
      </c>
      <c r="Q6557">
        <v>0</v>
      </c>
      <c r="R6557" t="s">
        <v>45102</v>
      </c>
      <c r="S6557" t="s">
        <v>45242</v>
      </c>
      <c r="T6557" t="s">
        <v>47154</v>
      </c>
      <c r="U6557" t="s">
        <v>52966</v>
      </c>
      <c r="W6557" t="s">
        <v>42897</v>
      </c>
      <c r="X6557" t="s">
        <v>45103</v>
      </c>
    </row>
    <row r="6558" spans="1:24">
      <c r="A6558">
        <f>HYPERLINK("https://www.philgeps.gov.ph/GEPSNONPILOT/Tender/SplashBidNoticeAbstractUI.aspx?menuIndex=3&amp;refID=7040828&amp;Result=3","7040828")</f>
        <v>0</v>
      </c>
      <c r="B6558" t="s">
        <v>2007</v>
      </c>
      <c r="C6558" t="s">
        <v>9460</v>
      </c>
      <c r="D6558" t="s">
        <v>18036</v>
      </c>
      <c r="E6558" t="s">
        <v>23939</v>
      </c>
      <c r="F6558" t="s">
        <v>31574</v>
      </c>
      <c r="G6558" t="s">
        <v>31582</v>
      </c>
      <c r="H6558" t="s">
        <v>31591</v>
      </c>
      <c r="I6558" t="s">
        <v>8822</v>
      </c>
      <c r="J6558" t="s">
        <v>35939</v>
      </c>
      <c r="K6558" t="s">
        <v>41192</v>
      </c>
      <c r="M6558" t="s">
        <v>43669</v>
      </c>
      <c r="N6558" t="s">
        <v>45095</v>
      </c>
      <c r="O6558" t="s">
        <v>45096</v>
      </c>
      <c r="P6558">
        <v>0</v>
      </c>
      <c r="Q6558">
        <v>0</v>
      </c>
      <c r="R6558" t="s">
        <v>45102</v>
      </c>
      <c r="S6558" t="s">
        <v>45242</v>
      </c>
      <c r="T6558" t="s">
        <v>47293</v>
      </c>
      <c r="U6558" t="s">
        <v>52936</v>
      </c>
      <c r="V6558" t="s">
        <v>60556</v>
      </c>
      <c r="W6558" t="s">
        <v>43669</v>
      </c>
      <c r="X6558" t="s">
        <v>45103</v>
      </c>
    </row>
    <row r="6559" spans="1:24">
      <c r="A6559">
        <f>HYPERLINK("https://www.philgeps.gov.ph/GEPSNONPILOT/Tender/SplashBidNoticeAbstractUI.aspx?menuIndex=3&amp;refID=7040848&amp;Result=3","7040848")</f>
        <v>0</v>
      </c>
      <c r="B6559" t="s">
        <v>1327</v>
      </c>
      <c r="C6559" t="s">
        <v>9461</v>
      </c>
      <c r="E6559" t="s">
        <v>9461</v>
      </c>
      <c r="F6559" t="s">
        <v>31574</v>
      </c>
      <c r="G6559" t="s">
        <v>31581</v>
      </c>
      <c r="H6559" t="s">
        <v>31590</v>
      </c>
      <c r="I6559" t="s">
        <v>8258</v>
      </c>
      <c r="J6559" t="s">
        <v>35940</v>
      </c>
      <c r="K6559" t="s">
        <v>41193</v>
      </c>
      <c r="M6559" t="s">
        <v>42897</v>
      </c>
      <c r="N6559" t="s">
        <v>45095</v>
      </c>
      <c r="O6559" t="s">
        <v>45096</v>
      </c>
      <c r="P6559">
        <v>0</v>
      </c>
      <c r="Q6559">
        <v>2</v>
      </c>
      <c r="R6559" t="s">
        <v>45102</v>
      </c>
      <c r="S6559" t="s">
        <v>45242</v>
      </c>
      <c r="T6559" t="s">
        <v>47154</v>
      </c>
      <c r="U6559" t="s">
        <v>52967</v>
      </c>
      <c r="W6559" t="s">
        <v>42897</v>
      </c>
      <c r="X6559" t="s">
        <v>45103</v>
      </c>
    </row>
    <row r="6560" spans="1:24">
      <c r="A6560">
        <f>HYPERLINK("https://www.philgeps.gov.ph/GEPSNONPILOT/Tender/SplashBidNoticeAbstractUI.aspx?menuIndex=3&amp;refID=7040835&amp;Result=3","7040835")</f>
        <v>0</v>
      </c>
      <c r="B6560" t="s">
        <v>1116</v>
      </c>
      <c r="C6560" t="s">
        <v>9462</v>
      </c>
      <c r="D6560" t="s">
        <v>18095</v>
      </c>
      <c r="E6560" t="s">
        <v>23940</v>
      </c>
      <c r="F6560" t="s">
        <v>31574</v>
      </c>
      <c r="G6560" t="s">
        <v>31583</v>
      </c>
      <c r="H6560" t="s">
        <v>31590</v>
      </c>
      <c r="I6560" t="s">
        <v>14034</v>
      </c>
      <c r="J6560" t="s">
        <v>32203</v>
      </c>
      <c r="K6560" t="s">
        <v>41184</v>
      </c>
      <c r="M6560" t="s">
        <v>42665</v>
      </c>
      <c r="N6560" t="s">
        <v>45095</v>
      </c>
      <c r="O6560" t="s">
        <v>45096</v>
      </c>
      <c r="P6560">
        <v>0</v>
      </c>
      <c r="Q6560">
        <v>5</v>
      </c>
      <c r="R6560" t="s">
        <v>45102</v>
      </c>
      <c r="S6560" t="s">
        <v>45242</v>
      </c>
      <c r="T6560" t="s">
        <v>47158</v>
      </c>
      <c r="U6560" t="s">
        <v>52968</v>
      </c>
      <c r="V6560" t="s">
        <v>60147</v>
      </c>
      <c r="W6560" t="s">
        <v>42665</v>
      </c>
      <c r="X6560" t="s">
        <v>45103</v>
      </c>
    </row>
    <row r="6561" spans="1:24">
      <c r="A6561">
        <f>HYPERLINK("https://www.philgeps.gov.ph/GEPSNONPILOT/Tender/SplashBidNoticeAbstractUI.aspx?menuIndex=3&amp;refID=7040866&amp;Result=3","7040866")</f>
        <v>0</v>
      </c>
      <c r="B6561" t="s">
        <v>2015</v>
      </c>
      <c r="C6561" t="s">
        <v>9463</v>
      </c>
      <c r="D6561" t="s">
        <v>18056</v>
      </c>
      <c r="E6561" t="s">
        <v>23941</v>
      </c>
      <c r="F6561" t="s">
        <v>31574</v>
      </c>
      <c r="G6561" t="s">
        <v>31585</v>
      </c>
      <c r="H6561" t="s">
        <v>31590</v>
      </c>
      <c r="I6561" t="s">
        <v>31607</v>
      </c>
      <c r="J6561" t="s">
        <v>35941</v>
      </c>
      <c r="K6561" t="s">
        <v>41196</v>
      </c>
      <c r="M6561" t="s">
        <v>43677</v>
      </c>
      <c r="N6561" t="s">
        <v>45095</v>
      </c>
      <c r="O6561" t="s">
        <v>45096</v>
      </c>
      <c r="P6561">
        <v>0</v>
      </c>
      <c r="Q6561">
        <v>2</v>
      </c>
      <c r="R6561" t="s">
        <v>45102</v>
      </c>
      <c r="S6561" t="s">
        <v>45242</v>
      </c>
      <c r="T6561" t="s">
        <v>46918</v>
      </c>
      <c r="U6561" t="s">
        <v>52969</v>
      </c>
      <c r="W6561" t="s">
        <v>43677</v>
      </c>
      <c r="X6561" t="s">
        <v>45103</v>
      </c>
    </row>
    <row r="6562" spans="1:24">
      <c r="A6562">
        <f>HYPERLINK("https://www.philgeps.gov.ph/GEPSNONPILOT/Tender/SplashBidNoticeAbstractUI.aspx?menuIndex=3&amp;refID=7040862&amp;Result=3","7040862")</f>
        <v>0</v>
      </c>
      <c r="B6562" t="s">
        <v>2016</v>
      </c>
      <c r="C6562" t="s">
        <v>9464</v>
      </c>
      <c r="D6562" t="s">
        <v>18022</v>
      </c>
      <c r="E6562" t="s">
        <v>23942</v>
      </c>
      <c r="F6562" t="s">
        <v>31574</v>
      </c>
      <c r="G6562" t="s">
        <v>31582</v>
      </c>
      <c r="H6562" t="s">
        <v>31593</v>
      </c>
      <c r="I6562" t="s">
        <v>31593</v>
      </c>
      <c r="J6562" t="s">
        <v>32986</v>
      </c>
      <c r="K6562" t="s">
        <v>41200</v>
      </c>
      <c r="M6562" t="s">
        <v>43678</v>
      </c>
      <c r="N6562" t="s">
        <v>45095</v>
      </c>
      <c r="O6562" t="s">
        <v>45096</v>
      </c>
      <c r="P6562">
        <v>0</v>
      </c>
      <c r="Q6562">
        <v>6</v>
      </c>
      <c r="R6562" t="s">
        <v>45102</v>
      </c>
      <c r="S6562" t="s">
        <v>45242</v>
      </c>
      <c r="T6562" t="s">
        <v>47294</v>
      </c>
      <c r="U6562" t="s">
        <v>52970</v>
      </c>
      <c r="W6562" t="s">
        <v>43678</v>
      </c>
      <c r="X6562" t="s">
        <v>45103</v>
      </c>
    </row>
    <row r="6563" spans="1:24">
      <c r="A6563">
        <f>HYPERLINK("https://www.philgeps.gov.ph/GEPSNONPILOT/Tender/SplashBidNoticeAbstractUI.aspx?menuIndex=3&amp;refID=7040847&amp;Result=3","7040847")</f>
        <v>0</v>
      </c>
      <c r="B6563" t="s">
        <v>2014</v>
      </c>
      <c r="C6563" t="s">
        <v>9465</v>
      </c>
      <c r="D6563" t="s">
        <v>18079</v>
      </c>
      <c r="E6563" t="s">
        <v>23943</v>
      </c>
      <c r="F6563" t="s">
        <v>31574</v>
      </c>
      <c r="G6563" t="s">
        <v>31582</v>
      </c>
      <c r="H6563" t="s">
        <v>31591</v>
      </c>
      <c r="I6563" t="s">
        <v>8822</v>
      </c>
      <c r="J6563" t="s">
        <v>34070</v>
      </c>
      <c r="K6563" t="s">
        <v>41200</v>
      </c>
      <c r="M6563" t="s">
        <v>43676</v>
      </c>
      <c r="N6563" t="s">
        <v>45095</v>
      </c>
      <c r="O6563" t="s">
        <v>45096</v>
      </c>
      <c r="P6563">
        <v>0</v>
      </c>
      <c r="Q6563">
        <v>0</v>
      </c>
      <c r="R6563" t="s">
        <v>45102</v>
      </c>
      <c r="S6563" t="s">
        <v>45242</v>
      </c>
      <c r="T6563" t="s">
        <v>46988</v>
      </c>
      <c r="U6563" t="s">
        <v>52960</v>
      </c>
      <c r="V6563" t="s">
        <v>60560</v>
      </c>
      <c r="W6563" t="s">
        <v>43676</v>
      </c>
      <c r="X6563" t="s">
        <v>45103</v>
      </c>
    </row>
    <row r="6564" spans="1:24">
      <c r="A6564">
        <f>HYPERLINK("https://www.philgeps.gov.ph/GEPSNONPILOT/Tender/SplashBidNoticeAbstractUI.aspx?menuIndex=3&amp;refID=7040869&amp;Result=3","7040869")</f>
        <v>0</v>
      </c>
      <c r="B6564" t="s">
        <v>2003</v>
      </c>
      <c r="C6564" t="s">
        <v>9466</v>
      </c>
      <c r="D6564" t="s">
        <v>18022</v>
      </c>
      <c r="E6564" t="s">
        <v>23944</v>
      </c>
      <c r="F6564" t="s">
        <v>31574</v>
      </c>
      <c r="G6564" t="s">
        <v>31582</v>
      </c>
      <c r="H6564" t="s">
        <v>31591</v>
      </c>
      <c r="I6564" t="s">
        <v>8822</v>
      </c>
      <c r="J6564" t="s">
        <v>35942</v>
      </c>
      <c r="K6564" t="s">
        <v>41256</v>
      </c>
      <c r="M6564" t="s">
        <v>43665</v>
      </c>
      <c r="N6564" t="s">
        <v>45095</v>
      </c>
      <c r="O6564" t="s">
        <v>45096</v>
      </c>
      <c r="P6564">
        <v>0</v>
      </c>
      <c r="Q6564">
        <v>25</v>
      </c>
      <c r="R6564" t="s">
        <v>45102</v>
      </c>
      <c r="S6564" t="s">
        <v>45242</v>
      </c>
      <c r="T6564" t="s">
        <v>46988</v>
      </c>
      <c r="U6564" t="s">
        <v>52971</v>
      </c>
      <c r="W6564" t="s">
        <v>43665</v>
      </c>
      <c r="X6564" t="s">
        <v>45103</v>
      </c>
    </row>
    <row r="6565" spans="1:24">
      <c r="A6565">
        <f>HYPERLINK("https://www.philgeps.gov.ph/GEPSNONPILOT/Tender/SplashBidNoticeAbstractUI.aspx?menuIndex=3&amp;refID=7040864&amp;Result=3","7040864")</f>
        <v>0</v>
      </c>
      <c r="B6565" t="s">
        <v>2000</v>
      </c>
      <c r="C6565" t="s">
        <v>9467</v>
      </c>
      <c r="D6565" t="s">
        <v>18041</v>
      </c>
      <c r="E6565" t="s">
        <v>23893</v>
      </c>
      <c r="F6565" t="s">
        <v>31579</v>
      </c>
      <c r="G6565" t="s">
        <v>31581</v>
      </c>
      <c r="H6565" t="s">
        <v>31590</v>
      </c>
      <c r="I6565" t="s">
        <v>3901</v>
      </c>
      <c r="J6565" t="s">
        <v>31927</v>
      </c>
      <c r="K6565" t="s">
        <v>41211</v>
      </c>
      <c r="M6565" t="s">
        <v>43662</v>
      </c>
      <c r="N6565" t="s">
        <v>45095</v>
      </c>
      <c r="O6565" t="s">
        <v>45096</v>
      </c>
      <c r="P6565">
        <v>0</v>
      </c>
      <c r="Q6565">
        <v>0</v>
      </c>
      <c r="R6565" t="s">
        <v>45102</v>
      </c>
      <c r="S6565" t="s">
        <v>45242</v>
      </c>
      <c r="T6565" t="s">
        <v>46936</v>
      </c>
      <c r="U6565" t="s">
        <v>52972</v>
      </c>
      <c r="W6565" t="s">
        <v>43662</v>
      </c>
      <c r="X6565" t="s">
        <v>45103</v>
      </c>
    </row>
    <row r="6566" spans="1:24">
      <c r="A6566">
        <f>HYPERLINK("https://www.philgeps.gov.ph/GEPSNONPILOT/Tender/SplashBidNoticeAbstractUI.aspx?menuIndex=3&amp;refID=7040861&amp;Result=3","7040861")</f>
        <v>0</v>
      </c>
      <c r="B6566" t="s">
        <v>2003</v>
      </c>
      <c r="C6566" t="s">
        <v>9468</v>
      </c>
      <c r="D6566" t="s">
        <v>18022</v>
      </c>
      <c r="E6566" t="s">
        <v>23945</v>
      </c>
      <c r="F6566" t="s">
        <v>31574</v>
      </c>
      <c r="G6566" t="s">
        <v>31582</v>
      </c>
      <c r="H6566" t="s">
        <v>31591</v>
      </c>
      <c r="I6566" t="s">
        <v>8822</v>
      </c>
      <c r="J6566" t="s">
        <v>35943</v>
      </c>
      <c r="K6566" t="s">
        <v>41198</v>
      </c>
      <c r="M6566" t="s">
        <v>43665</v>
      </c>
      <c r="N6566" t="s">
        <v>45095</v>
      </c>
      <c r="O6566" t="s">
        <v>45096</v>
      </c>
      <c r="P6566">
        <v>0</v>
      </c>
      <c r="Q6566">
        <v>19</v>
      </c>
      <c r="R6566" t="s">
        <v>45102</v>
      </c>
      <c r="S6566" t="s">
        <v>45242</v>
      </c>
      <c r="T6566" t="s">
        <v>46988</v>
      </c>
      <c r="U6566" t="s">
        <v>52971</v>
      </c>
      <c r="W6566" t="s">
        <v>43665</v>
      </c>
      <c r="X6566" t="s">
        <v>45103</v>
      </c>
    </row>
    <row r="6567" spans="1:24">
      <c r="A6567">
        <f>HYPERLINK("https://www.philgeps.gov.ph/GEPSNONPILOT/Tender/SplashBidNoticeAbstractUI.aspx?menuIndex=3&amp;refID=7040874&amp;Result=3","7040874")</f>
        <v>0</v>
      </c>
      <c r="B6567" t="s">
        <v>2017</v>
      </c>
      <c r="C6567" t="s">
        <v>9469</v>
      </c>
      <c r="D6567" t="s">
        <v>18052</v>
      </c>
      <c r="E6567" t="s">
        <v>18543</v>
      </c>
      <c r="F6567" t="s">
        <v>31574</v>
      </c>
      <c r="G6567" t="s">
        <v>31582</v>
      </c>
      <c r="H6567" t="s">
        <v>31590</v>
      </c>
      <c r="I6567" t="s">
        <v>31600</v>
      </c>
      <c r="J6567" t="s">
        <v>35944</v>
      </c>
      <c r="K6567" t="s">
        <v>41193</v>
      </c>
      <c r="M6567" t="s">
        <v>43679</v>
      </c>
      <c r="N6567" t="s">
        <v>45095</v>
      </c>
      <c r="O6567" t="s">
        <v>45096</v>
      </c>
      <c r="P6567">
        <v>0</v>
      </c>
      <c r="Q6567">
        <v>0</v>
      </c>
      <c r="R6567" t="s">
        <v>45102</v>
      </c>
      <c r="S6567" t="s">
        <v>45242</v>
      </c>
      <c r="T6567" t="s">
        <v>47106</v>
      </c>
      <c r="U6567" t="s">
        <v>52973</v>
      </c>
      <c r="V6567" t="s">
        <v>60561</v>
      </c>
      <c r="W6567" t="s">
        <v>43679</v>
      </c>
      <c r="X6567" t="s">
        <v>45103</v>
      </c>
    </row>
    <row r="6568" spans="1:24">
      <c r="A6568">
        <f>HYPERLINK("https://www.philgeps.gov.ph/GEPSNONPILOT/Tender/SplashBidNoticeAbstractUI.aspx?menuIndex=3&amp;refID=7040856&amp;Result=3","7040856")</f>
        <v>0</v>
      </c>
      <c r="B6568" t="s">
        <v>381</v>
      </c>
      <c r="C6568" t="s">
        <v>9470</v>
      </c>
      <c r="D6568" t="s">
        <v>18033</v>
      </c>
      <c r="E6568" t="s">
        <v>23946</v>
      </c>
      <c r="F6568" t="s">
        <v>31574</v>
      </c>
      <c r="G6568" t="s">
        <v>31581</v>
      </c>
      <c r="H6568" t="s">
        <v>31590</v>
      </c>
      <c r="I6568" t="s">
        <v>6800</v>
      </c>
      <c r="J6568" t="s">
        <v>35945</v>
      </c>
      <c r="K6568" t="s">
        <v>41196</v>
      </c>
      <c r="M6568" t="s">
        <v>41871</v>
      </c>
      <c r="N6568" t="s">
        <v>45095</v>
      </c>
      <c r="O6568" t="s">
        <v>45096</v>
      </c>
      <c r="P6568">
        <v>0</v>
      </c>
      <c r="Q6568">
        <v>3</v>
      </c>
      <c r="R6568" t="s">
        <v>45102</v>
      </c>
      <c r="S6568" t="s">
        <v>45242</v>
      </c>
      <c r="T6568" t="s">
        <v>47173</v>
      </c>
      <c r="U6568" t="s">
        <v>49376</v>
      </c>
      <c r="W6568" t="s">
        <v>41871</v>
      </c>
      <c r="X6568" t="s">
        <v>45103</v>
      </c>
    </row>
    <row r="6569" spans="1:24">
      <c r="A6569">
        <f>HYPERLINK("https://www.philgeps.gov.ph/GEPSNONPILOT/Tender/SplashBidNoticeAbstractUI.aspx?menuIndex=3&amp;refID=7040873&amp;Result=3","7040873")</f>
        <v>0</v>
      </c>
      <c r="B6569" t="s">
        <v>1023</v>
      </c>
      <c r="C6569" t="s">
        <v>9471</v>
      </c>
      <c r="E6569" t="s">
        <v>23947</v>
      </c>
      <c r="F6569" t="s">
        <v>31574</v>
      </c>
      <c r="G6569" t="s">
        <v>31581</v>
      </c>
      <c r="H6569" t="s">
        <v>31590</v>
      </c>
      <c r="I6569" t="s">
        <v>3487</v>
      </c>
      <c r="J6569" t="s">
        <v>35946</v>
      </c>
      <c r="K6569" t="s">
        <v>41184</v>
      </c>
      <c r="M6569" t="s">
        <v>42754</v>
      </c>
      <c r="N6569" t="s">
        <v>45095</v>
      </c>
      <c r="O6569" t="s">
        <v>45096</v>
      </c>
      <c r="Q6569">
        <v>2</v>
      </c>
      <c r="R6569" t="s">
        <v>45102</v>
      </c>
      <c r="S6569" t="s">
        <v>45268</v>
      </c>
      <c r="T6569" t="s">
        <v>47083</v>
      </c>
      <c r="U6569" t="s">
        <v>52974</v>
      </c>
      <c r="W6569" t="s">
        <v>61690</v>
      </c>
      <c r="X6569" t="s">
        <v>45103</v>
      </c>
    </row>
    <row r="6570" spans="1:24">
      <c r="A6570">
        <f>HYPERLINK("https://www.philgeps.gov.ph/GEPSNONPILOT/Tender/SplashBidNoticeAbstractUI.aspx?menuIndex=3&amp;refID=7040860&amp;Result=3","7040860")</f>
        <v>0</v>
      </c>
      <c r="B6570" t="s">
        <v>1327</v>
      </c>
      <c r="C6570" t="s">
        <v>9472</v>
      </c>
      <c r="E6570" t="s">
        <v>9472</v>
      </c>
      <c r="F6570" t="s">
        <v>31574</v>
      </c>
      <c r="G6570" t="s">
        <v>31581</v>
      </c>
      <c r="H6570" t="s">
        <v>31590</v>
      </c>
      <c r="I6570" t="s">
        <v>7185</v>
      </c>
      <c r="J6570" t="s">
        <v>33056</v>
      </c>
      <c r="K6570" t="s">
        <v>41193</v>
      </c>
      <c r="M6570" t="s">
        <v>42897</v>
      </c>
      <c r="N6570" t="s">
        <v>45095</v>
      </c>
      <c r="O6570" t="s">
        <v>45096</v>
      </c>
      <c r="P6570">
        <v>0</v>
      </c>
      <c r="Q6570">
        <v>0</v>
      </c>
      <c r="R6570" t="s">
        <v>45102</v>
      </c>
      <c r="S6570" t="s">
        <v>45242</v>
      </c>
      <c r="T6570" t="s">
        <v>47154</v>
      </c>
      <c r="U6570" t="s">
        <v>52975</v>
      </c>
      <c r="W6570" t="s">
        <v>42897</v>
      </c>
      <c r="X6570" t="s">
        <v>45103</v>
      </c>
    </row>
    <row r="6571" spans="1:24">
      <c r="A6571">
        <f>HYPERLINK("https://www.philgeps.gov.ph/GEPSNONPILOT/Tender/SplashBidNoticeAbstractUI.aspx?menuIndex=3&amp;refID=7040870&amp;Result=3","7040870")</f>
        <v>0</v>
      </c>
      <c r="B6571" t="s">
        <v>2007</v>
      </c>
      <c r="C6571" t="s">
        <v>9473</v>
      </c>
      <c r="D6571" t="s">
        <v>18114</v>
      </c>
      <c r="E6571" t="s">
        <v>23948</v>
      </c>
      <c r="F6571" t="s">
        <v>31574</v>
      </c>
      <c r="G6571" t="s">
        <v>31582</v>
      </c>
      <c r="H6571" t="s">
        <v>31590</v>
      </c>
      <c r="I6571" t="s">
        <v>4046</v>
      </c>
      <c r="J6571" t="s">
        <v>32473</v>
      </c>
      <c r="K6571" t="s">
        <v>41186</v>
      </c>
      <c r="M6571" t="s">
        <v>43669</v>
      </c>
      <c r="N6571" t="s">
        <v>45095</v>
      </c>
      <c r="O6571" t="s">
        <v>45096</v>
      </c>
      <c r="P6571">
        <v>0</v>
      </c>
      <c r="Q6571">
        <v>0</v>
      </c>
      <c r="R6571" t="s">
        <v>45102</v>
      </c>
      <c r="S6571" t="s">
        <v>45242</v>
      </c>
      <c r="T6571" t="s">
        <v>47295</v>
      </c>
      <c r="U6571" t="s">
        <v>52936</v>
      </c>
      <c r="V6571" t="s">
        <v>60556</v>
      </c>
      <c r="W6571" t="s">
        <v>43669</v>
      </c>
      <c r="X6571" t="s">
        <v>45103</v>
      </c>
    </row>
    <row r="6572" spans="1:24">
      <c r="A6572">
        <f>HYPERLINK("https://www.philgeps.gov.ph/GEPSNONPILOT/Tender/SplashBidNoticeAbstractUI.aspx?menuIndex=3&amp;refID=7040853&amp;Result=3","7040853")</f>
        <v>0</v>
      </c>
      <c r="B6572" t="s">
        <v>2015</v>
      </c>
      <c r="C6572" t="s">
        <v>9474</v>
      </c>
      <c r="D6572" t="s">
        <v>18056</v>
      </c>
      <c r="E6572" t="s">
        <v>23949</v>
      </c>
      <c r="F6572" t="s">
        <v>31574</v>
      </c>
      <c r="G6572" t="s">
        <v>31585</v>
      </c>
      <c r="H6572" t="s">
        <v>31590</v>
      </c>
      <c r="I6572" t="s">
        <v>31607</v>
      </c>
      <c r="J6572" t="s">
        <v>35947</v>
      </c>
      <c r="K6572" t="s">
        <v>41196</v>
      </c>
      <c r="M6572" t="s">
        <v>43677</v>
      </c>
      <c r="N6572" t="s">
        <v>45095</v>
      </c>
      <c r="O6572" t="s">
        <v>45096</v>
      </c>
      <c r="P6572">
        <v>0</v>
      </c>
      <c r="Q6572">
        <v>2</v>
      </c>
      <c r="R6572" t="s">
        <v>45102</v>
      </c>
      <c r="S6572" t="s">
        <v>45242</v>
      </c>
      <c r="T6572" t="s">
        <v>46918</v>
      </c>
      <c r="U6572" t="s">
        <v>52976</v>
      </c>
      <c r="W6572" t="s">
        <v>43677</v>
      </c>
      <c r="X6572" t="s">
        <v>45103</v>
      </c>
    </row>
    <row r="6573" spans="1:24">
      <c r="A6573">
        <f>HYPERLINK("https://www.philgeps.gov.ph/GEPSNONPILOT/Tender/SplashBidNoticeAbstractUI.aspx?menuIndex=3&amp;refID=7040872&amp;Result=3","7040872")</f>
        <v>0</v>
      </c>
      <c r="B6573" t="s">
        <v>1939</v>
      </c>
      <c r="C6573" t="s">
        <v>9475</v>
      </c>
      <c r="D6573" t="s">
        <v>18098</v>
      </c>
      <c r="E6573" t="s">
        <v>23950</v>
      </c>
      <c r="F6573" t="s">
        <v>31574</v>
      </c>
      <c r="G6573" t="s">
        <v>31584</v>
      </c>
      <c r="H6573" t="s">
        <v>31590</v>
      </c>
      <c r="I6573" t="s">
        <v>31607</v>
      </c>
      <c r="J6573" t="s">
        <v>35948</v>
      </c>
      <c r="K6573" t="s">
        <v>41186</v>
      </c>
      <c r="M6573" t="s">
        <v>43594</v>
      </c>
      <c r="N6573" t="s">
        <v>45095</v>
      </c>
      <c r="O6573" t="s">
        <v>45096</v>
      </c>
      <c r="P6573">
        <v>0</v>
      </c>
      <c r="Q6573">
        <v>7</v>
      </c>
      <c r="R6573" t="s">
        <v>45102</v>
      </c>
      <c r="S6573" t="s">
        <v>45242</v>
      </c>
      <c r="T6573" t="s">
        <v>47064</v>
      </c>
      <c r="U6573" t="s">
        <v>52977</v>
      </c>
      <c r="W6573" t="s">
        <v>43594</v>
      </c>
      <c r="X6573" t="s">
        <v>45103</v>
      </c>
    </row>
    <row r="6574" spans="1:24">
      <c r="A6574">
        <f>HYPERLINK("https://www.philgeps.gov.ph/GEPSNONPILOT/Tender/SplashBidNoticeAbstractUI.aspx?menuIndex=3&amp;refID=7040854&amp;Result=3","7040854")</f>
        <v>0</v>
      </c>
      <c r="B6574" t="s">
        <v>2007</v>
      </c>
      <c r="C6574" t="s">
        <v>9476</v>
      </c>
      <c r="D6574" t="s">
        <v>18036</v>
      </c>
      <c r="E6574" t="s">
        <v>23951</v>
      </c>
      <c r="F6574" t="s">
        <v>31574</v>
      </c>
      <c r="G6574" t="s">
        <v>31582</v>
      </c>
      <c r="H6574" t="s">
        <v>31590</v>
      </c>
      <c r="I6574" t="s">
        <v>31625</v>
      </c>
      <c r="J6574" t="s">
        <v>31962</v>
      </c>
      <c r="K6574" t="s">
        <v>41186</v>
      </c>
      <c r="M6574" t="s">
        <v>43669</v>
      </c>
      <c r="N6574" t="s">
        <v>45095</v>
      </c>
      <c r="O6574" t="s">
        <v>45096</v>
      </c>
      <c r="P6574">
        <v>0</v>
      </c>
      <c r="Q6574">
        <v>0</v>
      </c>
      <c r="R6574" t="s">
        <v>45102</v>
      </c>
      <c r="S6574" t="s">
        <v>45242</v>
      </c>
      <c r="T6574" t="s">
        <v>47296</v>
      </c>
      <c r="U6574" t="s">
        <v>52936</v>
      </c>
      <c r="V6574" t="s">
        <v>60556</v>
      </c>
      <c r="W6574" t="s">
        <v>43669</v>
      </c>
      <c r="X6574" t="s">
        <v>45103</v>
      </c>
    </row>
    <row r="6575" spans="1:24">
      <c r="A6575">
        <f>HYPERLINK("https://www.philgeps.gov.ph/GEPSNONPILOT/Tender/SplashBidNoticeAbstractUI.aspx?menuIndex=3&amp;refID=7040851&amp;Result=3","7040851")</f>
        <v>0</v>
      </c>
      <c r="B6575" t="s">
        <v>1639</v>
      </c>
      <c r="C6575" t="s">
        <v>9477</v>
      </c>
      <c r="E6575" t="s">
        <v>23952</v>
      </c>
      <c r="F6575" t="s">
        <v>31574</v>
      </c>
      <c r="G6575" t="s">
        <v>31582</v>
      </c>
      <c r="H6575" t="s">
        <v>31590</v>
      </c>
      <c r="I6575" t="s">
        <v>31599</v>
      </c>
      <c r="J6575" t="s">
        <v>35949</v>
      </c>
      <c r="K6575" t="s">
        <v>41184</v>
      </c>
      <c r="M6575" t="s">
        <v>43248</v>
      </c>
      <c r="N6575" t="s">
        <v>45095</v>
      </c>
      <c r="O6575" t="s">
        <v>45096</v>
      </c>
      <c r="P6575">
        <v>0</v>
      </c>
      <c r="Q6575">
        <v>1</v>
      </c>
      <c r="R6575" t="s">
        <v>45102</v>
      </c>
      <c r="S6575" t="s">
        <v>45242</v>
      </c>
      <c r="T6575" t="s">
        <v>46992</v>
      </c>
      <c r="U6575" t="s">
        <v>52978</v>
      </c>
      <c r="W6575" t="s">
        <v>43248</v>
      </c>
      <c r="X6575" t="s">
        <v>45103</v>
      </c>
    </row>
    <row r="6576" spans="1:24">
      <c r="A6576">
        <f>HYPERLINK("https://www.philgeps.gov.ph/GEPSNONPILOT/Tender/SplashBidNoticeAbstractUI.aspx?menuIndex=3&amp;refID=7040849&amp;Result=3","7040849")</f>
        <v>0</v>
      </c>
      <c r="B6576" t="s">
        <v>2003</v>
      </c>
      <c r="C6576" t="s">
        <v>9478</v>
      </c>
      <c r="D6576" t="s">
        <v>18022</v>
      </c>
      <c r="E6576" t="s">
        <v>23953</v>
      </c>
      <c r="F6576" t="s">
        <v>31574</v>
      </c>
      <c r="G6576" t="s">
        <v>31582</v>
      </c>
      <c r="H6576" t="s">
        <v>31591</v>
      </c>
      <c r="I6576" t="s">
        <v>8822</v>
      </c>
      <c r="J6576" t="s">
        <v>35950</v>
      </c>
      <c r="K6576" t="s">
        <v>41198</v>
      </c>
      <c r="M6576" t="s">
        <v>43665</v>
      </c>
      <c r="N6576" t="s">
        <v>45095</v>
      </c>
      <c r="O6576" t="s">
        <v>45096</v>
      </c>
      <c r="P6576">
        <v>0</v>
      </c>
      <c r="Q6576">
        <v>28</v>
      </c>
      <c r="R6576" t="s">
        <v>45102</v>
      </c>
      <c r="S6576" t="s">
        <v>45242</v>
      </c>
      <c r="T6576" t="s">
        <v>46988</v>
      </c>
      <c r="U6576" t="s">
        <v>52971</v>
      </c>
      <c r="W6576" t="s">
        <v>43665</v>
      </c>
      <c r="X6576" t="s">
        <v>45103</v>
      </c>
    </row>
    <row r="6577" spans="1:24">
      <c r="A6577">
        <f>HYPERLINK("https://www.philgeps.gov.ph/GEPSNONPILOT/Tender/SplashBidNoticeAbstractUI.aspx?menuIndex=3&amp;refID=7040871&amp;Result=3","7040871")</f>
        <v>0</v>
      </c>
      <c r="B6577" t="s">
        <v>1327</v>
      </c>
      <c r="C6577" t="s">
        <v>9479</v>
      </c>
      <c r="E6577" t="s">
        <v>9479</v>
      </c>
      <c r="F6577" t="s">
        <v>31574</v>
      </c>
      <c r="G6577" t="s">
        <v>31581</v>
      </c>
      <c r="H6577" t="s">
        <v>31590</v>
      </c>
      <c r="I6577" t="s">
        <v>7185</v>
      </c>
      <c r="J6577" t="s">
        <v>35951</v>
      </c>
      <c r="K6577" t="s">
        <v>41193</v>
      </c>
      <c r="M6577" t="s">
        <v>42897</v>
      </c>
      <c r="N6577" t="s">
        <v>45095</v>
      </c>
      <c r="O6577" t="s">
        <v>45096</v>
      </c>
      <c r="P6577">
        <v>0</v>
      </c>
      <c r="Q6577">
        <v>0</v>
      </c>
      <c r="R6577" t="s">
        <v>45102</v>
      </c>
      <c r="S6577" t="s">
        <v>45242</v>
      </c>
      <c r="T6577" t="s">
        <v>47154</v>
      </c>
      <c r="U6577" t="s">
        <v>52979</v>
      </c>
      <c r="W6577" t="s">
        <v>42897</v>
      </c>
      <c r="X6577" t="s">
        <v>45103</v>
      </c>
    </row>
    <row r="6578" spans="1:24">
      <c r="A6578">
        <f>HYPERLINK("https://www.philgeps.gov.ph/GEPSNONPILOT/Tender/SplashBidNoticeAbstractUI.aspx?menuIndex=3&amp;refID=7040875&amp;Result=3","7040875")</f>
        <v>0</v>
      </c>
      <c r="B6578" t="s">
        <v>2003</v>
      </c>
      <c r="C6578" t="s">
        <v>9480</v>
      </c>
      <c r="D6578" t="s">
        <v>18022</v>
      </c>
      <c r="E6578" t="s">
        <v>23954</v>
      </c>
      <c r="F6578" t="s">
        <v>31574</v>
      </c>
      <c r="G6578" t="s">
        <v>31582</v>
      </c>
      <c r="H6578" t="s">
        <v>31591</v>
      </c>
      <c r="I6578" t="s">
        <v>8822</v>
      </c>
      <c r="J6578" t="s">
        <v>35952</v>
      </c>
      <c r="K6578" t="s">
        <v>41243</v>
      </c>
      <c r="M6578" t="s">
        <v>43665</v>
      </c>
      <c r="N6578" t="s">
        <v>45095</v>
      </c>
      <c r="O6578" t="s">
        <v>45096</v>
      </c>
      <c r="P6578">
        <v>0</v>
      </c>
      <c r="Q6578">
        <v>21</v>
      </c>
      <c r="R6578" t="s">
        <v>45102</v>
      </c>
      <c r="S6578" t="s">
        <v>45242</v>
      </c>
      <c r="T6578" t="s">
        <v>46988</v>
      </c>
      <c r="U6578" t="s">
        <v>52971</v>
      </c>
      <c r="W6578" t="s">
        <v>43665</v>
      </c>
      <c r="X6578" t="s">
        <v>45103</v>
      </c>
    </row>
    <row r="6579" spans="1:24">
      <c r="A6579">
        <f>HYPERLINK("https://www.philgeps.gov.ph/GEPSNONPILOT/Tender/SplashBidNoticeAbstractUI.aspx?menuIndex=3&amp;refID=7040887&amp;Result=3","7040887")</f>
        <v>0</v>
      </c>
      <c r="B6579" t="s">
        <v>2018</v>
      </c>
      <c r="C6579" t="s">
        <v>9481</v>
      </c>
      <c r="D6579" t="s">
        <v>18034</v>
      </c>
      <c r="E6579" t="s">
        <v>23955</v>
      </c>
      <c r="F6579" t="s">
        <v>31574</v>
      </c>
      <c r="G6579" t="s">
        <v>31582</v>
      </c>
      <c r="H6579" t="s">
        <v>31591</v>
      </c>
      <c r="I6579" t="s">
        <v>8822</v>
      </c>
      <c r="J6579" t="s">
        <v>35953</v>
      </c>
      <c r="K6579" t="s">
        <v>41348</v>
      </c>
      <c r="M6579" t="s">
        <v>43680</v>
      </c>
      <c r="N6579" t="s">
        <v>45095</v>
      </c>
      <c r="O6579" t="s">
        <v>45096</v>
      </c>
      <c r="P6579">
        <v>0</v>
      </c>
      <c r="Q6579">
        <v>1</v>
      </c>
      <c r="R6579" t="s">
        <v>45102</v>
      </c>
      <c r="S6579" t="s">
        <v>45242</v>
      </c>
      <c r="T6579" t="s">
        <v>46962</v>
      </c>
      <c r="U6579" t="s">
        <v>52980</v>
      </c>
      <c r="W6579" t="s">
        <v>43680</v>
      </c>
      <c r="X6579" t="s">
        <v>45103</v>
      </c>
    </row>
    <row r="6580" spans="1:24">
      <c r="A6580">
        <f>HYPERLINK("https://www.philgeps.gov.ph/GEPSNONPILOT/Tender/SplashBidNoticeAbstractUI.aspx?menuIndex=3&amp;refID=7040863&amp;Result=3","7040863")</f>
        <v>0</v>
      </c>
      <c r="B6580" t="s">
        <v>1939</v>
      </c>
      <c r="C6580" t="s">
        <v>9482</v>
      </c>
      <c r="D6580" t="s">
        <v>18098</v>
      </c>
      <c r="E6580" t="s">
        <v>23956</v>
      </c>
      <c r="F6580" t="s">
        <v>31574</v>
      </c>
      <c r="G6580" t="s">
        <v>31584</v>
      </c>
      <c r="H6580" t="s">
        <v>31590</v>
      </c>
      <c r="I6580" t="s">
        <v>31607</v>
      </c>
      <c r="J6580" t="s">
        <v>33412</v>
      </c>
      <c r="K6580" t="s">
        <v>41186</v>
      </c>
      <c r="M6580" t="s">
        <v>43594</v>
      </c>
      <c r="N6580" t="s">
        <v>45095</v>
      </c>
      <c r="O6580" t="s">
        <v>45096</v>
      </c>
      <c r="P6580">
        <v>0</v>
      </c>
      <c r="Q6580">
        <v>6</v>
      </c>
      <c r="R6580" t="s">
        <v>45102</v>
      </c>
      <c r="S6580" t="s">
        <v>45242</v>
      </c>
      <c r="T6580" t="s">
        <v>47064</v>
      </c>
      <c r="U6580" t="s">
        <v>52981</v>
      </c>
      <c r="W6580" t="s">
        <v>43594</v>
      </c>
      <c r="X6580" t="s">
        <v>45103</v>
      </c>
    </row>
    <row r="6581" spans="1:24">
      <c r="A6581">
        <f>HYPERLINK("https://www.philgeps.gov.ph/GEPSNONPILOT/Tender/SplashBidNoticeAbstractUI.aspx?menuIndex=3&amp;refID=7040888&amp;Result=3","7040888")</f>
        <v>0</v>
      </c>
      <c r="B6581" t="s">
        <v>2003</v>
      </c>
      <c r="C6581" t="s">
        <v>9483</v>
      </c>
      <c r="D6581" t="s">
        <v>18022</v>
      </c>
      <c r="E6581" t="s">
        <v>23957</v>
      </c>
      <c r="F6581" t="s">
        <v>31574</v>
      </c>
      <c r="G6581" t="s">
        <v>31582</v>
      </c>
      <c r="H6581" t="s">
        <v>31591</v>
      </c>
      <c r="I6581" t="s">
        <v>8822</v>
      </c>
      <c r="J6581" t="s">
        <v>35954</v>
      </c>
      <c r="K6581" t="s">
        <v>41200</v>
      </c>
      <c r="M6581" t="s">
        <v>43665</v>
      </c>
      <c r="N6581" t="s">
        <v>45095</v>
      </c>
      <c r="O6581" t="s">
        <v>45096</v>
      </c>
      <c r="P6581">
        <v>0</v>
      </c>
      <c r="Q6581">
        <v>18</v>
      </c>
      <c r="R6581" t="s">
        <v>45102</v>
      </c>
      <c r="S6581" t="s">
        <v>45242</v>
      </c>
      <c r="T6581" t="s">
        <v>46988</v>
      </c>
      <c r="U6581" t="s">
        <v>52971</v>
      </c>
      <c r="W6581" t="s">
        <v>43665</v>
      </c>
      <c r="X6581" t="s">
        <v>45103</v>
      </c>
    </row>
    <row r="6582" spans="1:24">
      <c r="A6582">
        <f>HYPERLINK("https://www.philgeps.gov.ph/GEPSNONPILOT/Tender/SplashBidNoticeAbstractUI.aspx?menuIndex=3&amp;refID=7040830&amp;Result=3","7040830")</f>
        <v>0</v>
      </c>
      <c r="B6582" t="s">
        <v>2000</v>
      </c>
      <c r="C6582" t="s">
        <v>9484</v>
      </c>
      <c r="D6582" t="s">
        <v>18041</v>
      </c>
      <c r="E6582" t="s">
        <v>23893</v>
      </c>
      <c r="F6582" t="s">
        <v>31579</v>
      </c>
      <c r="G6582" t="s">
        <v>31581</v>
      </c>
      <c r="H6582" t="s">
        <v>31590</v>
      </c>
      <c r="I6582" t="s">
        <v>6800</v>
      </c>
      <c r="J6582" t="s">
        <v>31871</v>
      </c>
      <c r="K6582" t="s">
        <v>41211</v>
      </c>
      <c r="M6582" t="s">
        <v>43662</v>
      </c>
      <c r="N6582" t="s">
        <v>45095</v>
      </c>
      <c r="O6582" t="s">
        <v>45096</v>
      </c>
      <c r="P6582">
        <v>0</v>
      </c>
      <c r="Q6582">
        <v>1</v>
      </c>
      <c r="R6582" t="s">
        <v>45102</v>
      </c>
      <c r="S6582" t="s">
        <v>45242</v>
      </c>
      <c r="T6582" t="s">
        <v>46936</v>
      </c>
      <c r="U6582" t="s">
        <v>52982</v>
      </c>
      <c r="W6582" t="s">
        <v>43662</v>
      </c>
      <c r="X6582" t="s">
        <v>45103</v>
      </c>
    </row>
    <row r="6583" spans="1:24">
      <c r="A6583">
        <f>HYPERLINK("https://www.philgeps.gov.ph/GEPSNONPILOT/Tender/SplashBidNoticeAbstractUI.aspx?menuIndex=3&amp;refID=7040850&amp;Result=3","7040850")</f>
        <v>0</v>
      </c>
      <c r="B6583" t="s">
        <v>1939</v>
      </c>
      <c r="C6583" t="s">
        <v>9485</v>
      </c>
      <c r="D6583" t="s">
        <v>18098</v>
      </c>
      <c r="E6583" t="s">
        <v>23958</v>
      </c>
      <c r="F6583" t="s">
        <v>31574</v>
      </c>
      <c r="G6583" t="s">
        <v>31584</v>
      </c>
      <c r="H6583" t="s">
        <v>31590</v>
      </c>
      <c r="I6583" t="s">
        <v>31607</v>
      </c>
      <c r="J6583" t="s">
        <v>35955</v>
      </c>
      <c r="K6583" t="s">
        <v>41186</v>
      </c>
      <c r="M6583" t="s">
        <v>43594</v>
      </c>
      <c r="N6583" t="s">
        <v>45095</v>
      </c>
      <c r="O6583" t="s">
        <v>45096</v>
      </c>
      <c r="P6583">
        <v>0</v>
      </c>
      <c r="Q6583">
        <v>5</v>
      </c>
      <c r="R6583" t="s">
        <v>45102</v>
      </c>
      <c r="S6583" t="s">
        <v>45242</v>
      </c>
      <c r="T6583" t="s">
        <v>47064</v>
      </c>
      <c r="U6583" t="s">
        <v>52983</v>
      </c>
      <c r="W6583" t="s">
        <v>43594</v>
      </c>
      <c r="X6583" t="s">
        <v>45103</v>
      </c>
    </row>
    <row r="6584" spans="1:24">
      <c r="A6584">
        <f>HYPERLINK("https://www.philgeps.gov.ph/GEPSNONPILOT/Tender/SplashBidNoticeAbstractUI.aspx?menuIndex=3&amp;refID=7040889&amp;Result=3","7040889")</f>
        <v>0</v>
      </c>
      <c r="B6584" t="s">
        <v>2019</v>
      </c>
      <c r="C6584" t="s">
        <v>9486</v>
      </c>
      <c r="D6584" t="s">
        <v>18070</v>
      </c>
      <c r="E6584" t="s">
        <v>21451</v>
      </c>
      <c r="F6584" t="s">
        <v>31574</v>
      </c>
      <c r="G6584" t="s">
        <v>31582</v>
      </c>
      <c r="H6584" t="s">
        <v>31590</v>
      </c>
      <c r="I6584" t="s">
        <v>7185</v>
      </c>
      <c r="J6584" t="s">
        <v>35956</v>
      </c>
      <c r="K6584" t="s">
        <v>41190</v>
      </c>
      <c r="M6584" t="s">
        <v>43681</v>
      </c>
      <c r="N6584" t="s">
        <v>45095</v>
      </c>
      <c r="O6584" t="s">
        <v>45096</v>
      </c>
      <c r="P6584">
        <v>0</v>
      </c>
      <c r="Q6584">
        <v>0</v>
      </c>
      <c r="R6584" t="s">
        <v>45102</v>
      </c>
      <c r="S6584" t="s">
        <v>45242</v>
      </c>
      <c r="T6584" t="s">
        <v>47010</v>
      </c>
      <c r="U6584" t="s">
        <v>52984</v>
      </c>
      <c r="W6584" t="s">
        <v>44402</v>
      </c>
      <c r="X6584" t="s">
        <v>45103</v>
      </c>
    </row>
    <row r="6585" spans="1:24">
      <c r="A6585">
        <f>HYPERLINK("https://www.philgeps.gov.ph/GEPSNONPILOT/Tender/SplashBidNoticeAbstractUI.aspx?menuIndex=3&amp;refID=7040832&amp;Result=3","7040832")</f>
        <v>0</v>
      </c>
      <c r="B6585" t="s">
        <v>2003</v>
      </c>
      <c r="C6585" t="s">
        <v>9487</v>
      </c>
      <c r="D6585" t="s">
        <v>18022</v>
      </c>
      <c r="E6585" t="s">
        <v>23959</v>
      </c>
      <c r="F6585" t="s">
        <v>31574</v>
      </c>
      <c r="G6585" t="s">
        <v>31581</v>
      </c>
      <c r="H6585" t="s">
        <v>31593</v>
      </c>
      <c r="I6585" t="s">
        <v>31593</v>
      </c>
      <c r="J6585" t="s">
        <v>35934</v>
      </c>
      <c r="K6585" t="s">
        <v>41186</v>
      </c>
      <c r="M6585" t="s">
        <v>43665</v>
      </c>
      <c r="N6585" t="s">
        <v>45095</v>
      </c>
      <c r="O6585" t="s">
        <v>45096</v>
      </c>
      <c r="P6585">
        <v>0</v>
      </c>
      <c r="Q6585">
        <v>3</v>
      </c>
      <c r="R6585" t="s">
        <v>45102</v>
      </c>
      <c r="S6585" t="s">
        <v>45242</v>
      </c>
      <c r="T6585" t="s">
        <v>46973</v>
      </c>
      <c r="U6585" t="s">
        <v>52927</v>
      </c>
      <c r="W6585" t="s">
        <v>43665</v>
      </c>
      <c r="X6585" t="s">
        <v>45103</v>
      </c>
    </row>
    <row r="6586" spans="1:24">
      <c r="A6586">
        <f>HYPERLINK("https://www.philgeps.gov.ph/GEPSNONPILOT/Tender/SplashBidNoticeAbstractUI.aspx?menuIndex=3&amp;refID=7040905&amp;Result=3","7040905")</f>
        <v>0</v>
      </c>
      <c r="B6586" t="s">
        <v>2020</v>
      </c>
      <c r="C6586" t="s">
        <v>9488</v>
      </c>
      <c r="D6586" t="s">
        <v>18060</v>
      </c>
      <c r="E6586" t="s">
        <v>23960</v>
      </c>
      <c r="F6586" t="s">
        <v>31574</v>
      </c>
      <c r="G6586" t="s">
        <v>31583</v>
      </c>
      <c r="H6586" t="s">
        <v>31590</v>
      </c>
      <c r="I6586" t="s">
        <v>4046</v>
      </c>
      <c r="J6586" t="s">
        <v>33385</v>
      </c>
      <c r="K6586" t="s">
        <v>41190</v>
      </c>
      <c r="M6586" t="s">
        <v>43682</v>
      </c>
      <c r="N6586" t="s">
        <v>45095</v>
      </c>
      <c r="O6586" t="s">
        <v>45096</v>
      </c>
      <c r="P6586">
        <v>0</v>
      </c>
      <c r="Q6586">
        <v>1</v>
      </c>
      <c r="R6586" t="s">
        <v>45102</v>
      </c>
      <c r="S6586" t="s">
        <v>45242</v>
      </c>
      <c r="T6586" t="s">
        <v>46985</v>
      </c>
      <c r="U6586" t="s">
        <v>52985</v>
      </c>
      <c r="W6586" t="s">
        <v>43682</v>
      </c>
      <c r="X6586" t="s">
        <v>45103</v>
      </c>
    </row>
    <row r="6587" spans="1:24">
      <c r="A6587">
        <f>HYPERLINK("https://www.philgeps.gov.ph/GEPSNONPILOT/Tender/SplashBidNoticeAbstractUI.aspx?menuIndex=3&amp;refID=7040886&amp;Result=3","7040886")</f>
        <v>0</v>
      </c>
      <c r="B6587" t="s">
        <v>2017</v>
      </c>
      <c r="C6587" t="s">
        <v>9489</v>
      </c>
      <c r="D6587" t="s">
        <v>18052</v>
      </c>
      <c r="E6587" t="s">
        <v>18604</v>
      </c>
      <c r="F6587" t="s">
        <v>31574</v>
      </c>
      <c r="G6587" t="s">
        <v>31582</v>
      </c>
      <c r="H6587" t="s">
        <v>31591</v>
      </c>
      <c r="I6587" t="s">
        <v>8822</v>
      </c>
      <c r="J6587" t="s">
        <v>31958</v>
      </c>
      <c r="K6587" t="s">
        <v>41186</v>
      </c>
      <c r="M6587" t="s">
        <v>43679</v>
      </c>
      <c r="N6587" t="s">
        <v>45095</v>
      </c>
      <c r="O6587" t="s">
        <v>45096</v>
      </c>
      <c r="P6587">
        <v>0</v>
      </c>
      <c r="Q6587">
        <v>1</v>
      </c>
      <c r="R6587" t="s">
        <v>45102</v>
      </c>
      <c r="S6587" t="s">
        <v>45242</v>
      </c>
      <c r="T6587" t="s">
        <v>46968</v>
      </c>
      <c r="U6587" t="s">
        <v>52986</v>
      </c>
      <c r="W6587" t="s">
        <v>43679</v>
      </c>
      <c r="X6587" t="s">
        <v>45103</v>
      </c>
    </row>
    <row r="6588" spans="1:24">
      <c r="A6588">
        <f>HYPERLINK("https://www.philgeps.gov.ph/GEPSNONPILOT/Tender/SplashBidNoticeAbstractUI.aspx?menuIndex=3&amp;refID=7040899&amp;Result=3","7040899")</f>
        <v>0</v>
      </c>
      <c r="B6588" t="s">
        <v>2021</v>
      </c>
      <c r="C6588" t="s">
        <v>9490</v>
      </c>
      <c r="D6588" t="s">
        <v>18044</v>
      </c>
      <c r="E6588" t="s">
        <v>23961</v>
      </c>
      <c r="F6588" t="s">
        <v>31574</v>
      </c>
      <c r="G6588" t="s">
        <v>31586</v>
      </c>
      <c r="H6588" t="s">
        <v>31590</v>
      </c>
      <c r="I6588" t="s">
        <v>3651</v>
      </c>
      <c r="J6588" t="s">
        <v>31727</v>
      </c>
      <c r="K6588" t="s">
        <v>41197</v>
      </c>
      <c r="M6588" t="s">
        <v>43683</v>
      </c>
      <c r="N6588" t="s">
        <v>45095</v>
      </c>
      <c r="O6588" t="s">
        <v>45096</v>
      </c>
      <c r="P6588">
        <v>0</v>
      </c>
      <c r="Q6588">
        <v>0</v>
      </c>
      <c r="R6588" t="s">
        <v>45102</v>
      </c>
      <c r="S6588" t="s">
        <v>45242</v>
      </c>
      <c r="T6588" t="s">
        <v>46963</v>
      </c>
      <c r="U6588" t="s">
        <v>52987</v>
      </c>
      <c r="W6588" t="s">
        <v>43683</v>
      </c>
      <c r="X6588" t="s">
        <v>45103</v>
      </c>
    </row>
    <row r="6589" spans="1:24">
      <c r="A6589">
        <f>HYPERLINK("https://www.philgeps.gov.ph/GEPSNONPILOT/Tender/SplashBidNoticeAbstractUI.aspx?menuIndex=3&amp;refID=7040890&amp;Result=3","7040890")</f>
        <v>0</v>
      </c>
      <c r="B6589" t="s">
        <v>2022</v>
      </c>
      <c r="C6589" t="s">
        <v>9491</v>
      </c>
      <c r="D6589" t="s">
        <v>18041</v>
      </c>
      <c r="E6589" t="s">
        <v>18367</v>
      </c>
      <c r="F6589" t="s">
        <v>31574</v>
      </c>
      <c r="G6589" t="s">
        <v>31581</v>
      </c>
      <c r="H6589" t="s">
        <v>31590</v>
      </c>
      <c r="I6589" t="s">
        <v>5717</v>
      </c>
      <c r="J6589" t="s">
        <v>35957</v>
      </c>
      <c r="K6589" t="s">
        <v>41184</v>
      </c>
      <c r="M6589" t="s">
        <v>43684</v>
      </c>
      <c r="N6589" t="s">
        <v>45095</v>
      </c>
      <c r="O6589" t="s">
        <v>45096</v>
      </c>
      <c r="P6589">
        <v>0</v>
      </c>
      <c r="Q6589">
        <v>7</v>
      </c>
      <c r="R6589" t="s">
        <v>45102</v>
      </c>
      <c r="S6589" t="s">
        <v>45242</v>
      </c>
      <c r="T6589" t="s">
        <v>46929</v>
      </c>
      <c r="U6589" t="s">
        <v>52988</v>
      </c>
      <c r="W6589" t="s">
        <v>43684</v>
      </c>
      <c r="X6589" t="s">
        <v>45103</v>
      </c>
    </row>
    <row r="6590" spans="1:24">
      <c r="A6590">
        <f>HYPERLINK("https://www.philgeps.gov.ph/GEPSNONPILOT/Tender/SplashBidNoticeAbstractUI.aspx?menuIndex=3&amp;refID=7040895&amp;Result=3","7040895")</f>
        <v>0</v>
      </c>
      <c r="B6590" t="s">
        <v>1491</v>
      </c>
      <c r="C6590" t="s">
        <v>9492</v>
      </c>
      <c r="D6590" t="s">
        <v>18086</v>
      </c>
      <c r="E6590" t="s">
        <v>23962</v>
      </c>
      <c r="F6590" t="s">
        <v>31574</v>
      </c>
      <c r="G6590" t="s">
        <v>31582</v>
      </c>
      <c r="H6590" t="s">
        <v>31590</v>
      </c>
      <c r="I6590" t="s">
        <v>5717</v>
      </c>
      <c r="J6590" t="s">
        <v>35958</v>
      </c>
      <c r="K6590" t="s">
        <v>41191</v>
      </c>
      <c r="M6590" t="s">
        <v>43076</v>
      </c>
      <c r="N6590" t="s">
        <v>45095</v>
      </c>
      <c r="O6590" t="s">
        <v>45096</v>
      </c>
      <c r="P6590">
        <v>0</v>
      </c>
      <c r="Q6590">
        <v>8</v>
      </c>
      <c r="R6590" t="s">
        <v>45102</v>
      </c>
      <c r="S6590" t="s">
        <v>45242</v>
      </c>
      <c r="T6590" t="s">
        <v>46933</v>
      </c>
      <c r="U6590" t="s">
        <v>52989</v>
      </c>
      <c r="W6590" t="s">
        <v>43076</v>
      </c>
      <c r="X6590" t="s">
        <v>45103</v>
      </c>
    </row>
    <row r="6591" spans="1:24">
      <c r="A6591">
        <f>HYPERLINK("https://www.philgeps.gov.ph/GEPSNONPILOT/Tender/SplashBidNoticeAbstractUI.aspx?menuIndex=3&amp;refID=7040885&amp;Result=3","7040885")</f>
        <v>0</v>
      </c>
      <c r="B6591" t="s">
        <v>2023</v>
      </c>
      <c r="C6591" t="s">
        <v>9493</v>
      </c>
      <c r="D6591" t="s">
        <v>18044</v>
      </c>
      <c r="E6591" t="s">
        <v>23963</v>
      </c>
      <c r="F6591" t="s">
        <v>31574</v>
      </c>
      <c r="G6591" t="s">
        <v>31582</v>
      </c>
      <c r="H6591" t="s">
        <v>31590</v>
      </c>
      <c r="I6591" t="s">
        <v>7162</v>
      </c>
      <c r="J6591" t="s">
        <v>35959</v>
      </c>
      <c r="K6591" t="s">
        <v>41191</v>
      </c>
      <c r="M6591" t="s">
        <v>43685</v>
      </c>
      <c r="N6591" t="s">
        <v>45095</v>
      </c>
      <c r="O6591" t="s">
        <v>45096</v>
      </c>
      <c r="P6591">
        <v>0</v>
      </c>
      <c r="Q6591">
        <v>1</v>
      </c>
      <c r="R6591" t="s">
        <v>45102</v>
      </c>
      <c r="S6591" t="s">
        <v>45242</v>
      </c>
      <c r="T6591" t="s">
        <v>46963</v>
      </c>
      <c r="U6591" t="s">
        <v>52990</v>
      </c>
      <c r="W6591" t="s">
        <v>43685</v>
      </c>
      <c r="X6591" t="s">
        <v>45103</v>
      </c>
    </row>
    <row r="6592" spans="1:24">
      <c r="A6592">
        <f>HYPERLINK("https://www.philgeps.gov.ph/GEPSNONPILOT/Tender/SplashBidNoticeAbstractUI.aspx?menuIndex=3&amp;refID=7040904&amp;Result=3","7040904")</f>
        <v>0</v>
      </c>
      <c r="B6592" t="s">
        <v>1327</v>
      </c>
      <c r="C6592" t="s">
        <v>9494</v>
      </c>
      <c r="E6592" t="s">
        <v>9494</v>
      </c>
      <c r="F6592" t="s">
        <v>31574</v>
      </c>
      <c r="G6592" t="s">
        <v>31581</v>
      </c>
      <c r="H6592" t="s">
        <v>31590</v>
      </c>
      <c r="I6592" t="s">
        <v>7185</v>
      </c>
      <c r="J6592" t="s">
        <v>35960</v>
      </c>
      <c r="K6592" t="s">
        <v>41193</v>
      </c>
      <c r="M6592" t="s">
        <v>42897</v>
      </c>
      <c r="N6592" t="s">
        <v>45095</v>
      </c>
      <c r="O6592" t="s">
        <v>45096</v>
      </c>
      <c r="P6592">
        <v>0</v>
      </c>
      <c r="Q6592">
        <v>0</v>
      </c>
      <c r="R6592" t="s">
        <v>45102</v>
      </c>
      <c r="S6592" t="s">
        <v>45242</v>
      </c>
      <c r="T6592" t="s">
        <v>47154</v>
      </c>
      <c r="U6592" t="s">
        <v>52991</v>
      </c>
      <c r="W6592" t="s">
        <v>42897</v>
      </c>
      <c r="X6592" t="s">
        <v>45103</v>
      </c>
    </row>
    <row r="6593" spans="1:24">
      <c r="A6593">
        <f>HYPERLINK("https://www.philgeps.gov.ph/GEPSNONPILOT/Tender/SplashBidNoticeAbstractUI.aspx?menuIndex=3&amp;refID=7040891&amp;Result=3","7040891")</f>
        <v>0</v>
      </c>
      <c r="B6593" t="s">
        <v>1327</v>
      </c>
      <c r="C6593" t="s">
        <v>9495</v>
      </c>
      <c r="E6593" t="s">
        <v>9495</v>
      </c>
      <c r="F6593" t="s">
        <v>31574</v>
      </c>
      <c r="G6593" t="s">
        <v>31581</v>
      </c>
      <c r="H6593" t="s">
        <v>31590</v>
      </c>
      <c r="I6593" t="s">
        <v>7185</v>
      </c>
      <c r="J6593" t="s">
        <v>34226</v>
      </c>
      <c r="K6593" t="s">
        <v>41193</v>
      </c>
      <c r="M6593" t="s">
        <v>42897</v>
      </c>
      <c r="N6593" t="s">
        <v>45095</v>
      </c>
      <c r="O6593" t="s">
        <v>45096</v>
      </c>
      <c r="P6593">
        <v>0</v>
      </c>
      <c r="Q6593">
        <v>0</v>
      </c>
      <c r="R6593" t="s">
        <v>45102</v>
      </c>
      <c r="S6593" t="s">
        <v>45242</v>
      </c>
      <c r="T6593" t="s">
        <v>47154</v>
      </c>
      <c r="U6593" t="s">
        <v>52992</v>
      </c>
      <c r="W6593" t="s">
        <v>42897</v>
      </c>
      <c r="X6593" t="s">
        <v>45103</v>
      </c>
    </row>
    <row r="6594" spans="1:24">
      <c r="A6594">
        <f>HYPERLINK("https://www.philgeps.gov.ph/GEPSNONPILOT/Tender/SplashBidNoticeAbstractUI.aspx?menuIndex=3&amp;refID=7040898&amp;Result=3","7040898")</f>
        <v>0</v>
      </c>
      <c r="B6594" t="s">
        <v>1327</v>
      </c>
      <c r="C6594" t="s">
        <v>9496</v>
      </c>
      <c r="E6594" t="s">
        <v>9496</v>
      </c>
      <c r="F6594" t="s">
        <v>31574</v>
      </c>
      <c r="G6594" t="s">
        <v>31581</v>
      </c>
      <c r="H6594" t="s">
        <v>31590</v>
      </c>
      <c r="I6594" t="s">
        <v>7185</v>
      </c>
      <c r="J6594" t="s">
        <v>32601</v>
      </c>
      <c r="K6594" t="s">
        <v>41193</v>
      </c>
      <c r="M6594" t="s">
        <v>42897</v>
      </c>
      <c r="N6594" t="s">
        <v>45095</v>
      </c>
      <c r="O6594" t="s">
        <v>45096</v>
      </c>
      <c r="P6594">
        <v>0</v>
      </c>
      <c r="Q6594">
        <v>0</v>
      </c>
      <c r="R6594" t="s">
        <v>45102</v>
      </c>
      <c r="S6594" t="s">
        <v>45242</v>
      </c>
      <c r="T6594" t="s">
        <v>47154</v>
      </c>
      <c r="U6594" t="s">
        <v>52993</v>
      </c>
      <c r="W6594" t="s">
        <v>42897</v>
      </c>
      <c r="X6594" t="s">
        <v>45103</v>
      </c>
    </row>
    <row r="6595" spans="1:24">
      <c r="A6595">
        <f>HYPERLINK("https://www.philgeps.gov.ph/GEPSNONPILOT/Tender/SplashBidNoticeAbstractUI.aspx?menuIndex=3&amp;refID=7040882&amp;Result=3","7040882")</f>
        <v>0</v>
      </c>
      <c r="B6595" t="s">
        <v>1079</v>
      </c>
      <c r="C6595" t="s">
        <v>9497</v>
      </c>
      <c r="E6595" t="s">
        <v>23964</v>
      </c>
      <c r="F6595" t="s">
        <v>31574</v>
      </c>
      <c r="G6595" t="s">
        <v>31582</v>
      </c>
      <c r="H6595" t="s">
        <v>31591</v>
      </c>
      <c r="I6595" t="s">
        <v>8822</v>
      </c>
      <c r="J6595" t="s">
        <v>31730</v>
      </c>
      <c r="K6595" t="s">
        <v>41243</v>
      </c>
      <c r="M6595" t="s">
        <v>43686</v>
      </c>
      <c r="N6595" t="s">
        <v>45095</v>
      </c>
      <c r="O6595" t="s">
        <v>45096</v>
      </c>
      <c r="P6595">
        <v>0</v>
      </c>
      <c r="Q6595">
        <v>0</v>
      </c>
      <c r="R6595" t="s">
        <v>45102</v>
      </c>
      <c r="S6595" t="s">
        <v>45242</v>
      </c>
      <c r="T6595" t="s">
        <v>47297</v>
      </c>
      <c r="U6595" t="s">
        <v>52994</v>
      </c>
      <c r="V6595" t="s">
        <v>60562</v>
      </c>
      <c r="W6595" t="s">
        <v>43686</v>
      </c>
      <c r="X6595" t="s">
        <v>45103</v>
      </c>
    </row>
    <row r="6596" spans="1:24">
      <c r="A6596">
        <f>HYPERLINK("https://www.philgeps.gov.ph/GEPSNONPILOT/Tender/SplashBidNoticeAbstractUI.aspx?menuIndex=3&amp;refID=7040876&amp;Result=3","7040876")</f>
        <v>0</v>
      </c>
      <c r="B6596" t="s">
        <v>1327</v>
      </c>
      <c r="C6596" t="s">
        <v>9498</v>
      </c>
      <c r="E6596" t="s">
        <v>9498</v>
      </c>
      <c r="F6596" t="s">
        <v>31574</v>
      </c>
      <c r="G6596" t="s">
        <v>31581</v>
      </c>
      <c r="H6596" t="s">
        <v>31590</v>
      </c>
      <c r="I6596" t="s">
        <v>7185</v>
      </c>
      <c r="J6596" t="s">
        <v>35961</v>
      </c>
      <c r="K6596" t="s">
        <v>41193</v>
      </c>
      <c r="M6596" t="s">
        <v>42897</v>
      </c>
      <c r="N6596" t="s">
        <v>45095</v>
      </c>
      <c r="O6596" t="s">
        <v>45096</v>
      </c>
      <c r="P6596">
        <v>0</v>
      </c>
      <c r="Q6596">
        <v>0</v>
      </c>
      <c r="R6596" t="s">
        <v>45102</v>
      </c>
      <c r="S6596" t="s">
        <v>45242</v>
      </c>
      <c r="T6596" t="s">
        <v>47154</v>
      </c>
      <c r="U6596" t="s">
        <v>52995</v>
      </c>
      <c r="W6596" t="s">
        <v>42897</v>
      </c>
      <c r="X6596" t="s">
        <v>45103</v>
      </c>
    </row>
    <row r="6597" spans="1:24">
      <c r="A6597">
        <f>HYPERLINK("https://www.philgeps.gov.ph/GEPSNONPILOT/Tender/SplashBidNoticeAbstractUI.aspx?menuIndex=3&amp;refID=7040881&amp;Result=3","7040881")</f>
        <v>0</v>
      </c>
      <c r="B6597" t="s">
        <v>2003</v>
      </c>
      <c r="C6597" t="s">
        <v>9499</v>
      </c>
      <c r="D6597" t="s">
        <v>18022</v>
      </c>
      <c r="E6597" t="s">
        <v>23965</v>
      </c>
      <c r="F6597" t="s">
        <v>31574</v>
      </c>
      <c r="G6597" t="s">
        <v>31582</v>
      </c>
      <c r="H6597" t="s">
        <v>31591</v>
      </c>
      <c r="I6597" t="s">
        <v>8822</v>
      </c>
      <c r="J6597" t="s">
        <v>35962</v>
      </c>
      <c r="K6597" t="s">
        <v>41189</v>
      </c>
      <c r="M6597" t="s">
        <v>43665</v>
      </c>
      <c r="N6597" t="s">
        <v>45095</v>
      </c>
      <c r="O6597" t="s">
        <v>45096</v>
      </c>
      <c r="P6597">
        <v>0</v>
      </c>
      <c r="Q6597">
        <v>18</v>
      </c>
      <c r="R6597" t="s">
        <v>45102</v>
      </c>
      <c r="S6597" t="s">
        <v>45242</v>
      </c>
      <c r="T6597" t="s">
        <v>46988</v>
      </c>
      <c r="U6597" t="s">
        <v>52971</v>
      </c>
      <c r="W6597" t="s">
        <v>43665</v>
      </c>
      <c r="X6597" t="s">
        <v>45103</v>
      </c>
    </row>
    <row r="6598" spans="1:24">
      <c r="A6598">
        <f>HYPERLINK("https://www.philgeps.gov.ph/GEPSNONPILOT/Tender/SplashBidNoticeAbstractUI.aspx?menuIndex=3&amp;refID=7040902&amp;Result=3","7040902")</f>
        <v>0</v>
      </c>
      <c r="B6598" t="s">
        <v>2020</v>
      </c>
      <c r="C6598" t="s">
        <v>9500</v>
      </c>
      <c r="D6598" t="s">
        <v>18060</v>
      </c>
      <c r="E6598" t="s">
        <v>23966</v>
      </c>
      <c r="F6598" t="s">
        <v>31574</v>
      </c>
      <c r="G6598" t="s">
        <v>31583</v>
      </c>
      <c r="H6598" t="s">
        <v>31590</v>
      </c>
      <c r="I6598" t="s">
        <v>4046</v>
      </c>
      <c r="J6598" t="s">
        <v>32683</v>
      </c>
      <c r="K6598" t="s">
        <v>41193</v>
      </c>
      <c r="M6598" t="s">
        <v>43682</v>
      </c>
      <c r="N6598" t="s">
        <v>45095</v>
      </c>
      <c r="O6598" t="s">
        <v>45096</v>
      </c>
      <c r="P6598">
        <v>0</v>
      </c>
      <c r="Q6598">
        <v>1</v>
      </c>
      <c r="R6598" t="s">
        <v>45102</v>
      </c>
      <c r="S6598" t="s">
        <v>45242</v>
      </c>
      <c r="T6598" t="s">
        <v>47067</v>
      </c>
      <c r="U6598" t="s">
        <v>52996</v>
      </c>
      <c r="W6598" t="s">
        <v>43682</v>
      </c>
      <c r="X6598" t="s">
        <v>45103</v>
      </c>
    </row>
    <row r="6599" spans="1:24">
      <c r="A6599">
        <f>HYPERLINK("https://www.philgeps.gov.ph/GEPSNONPILOT/Tender/SplashBidNoticeAbstractUI.aspx?menuIndex=3&amp;refID=7040913&amp;Result=3","7040913")</f>
        <v>0</v>
      </c>
      <c r="B6599" t="s">
        <v>1023</v>
      </c>
      <c r="C6599" t="s">
        <v>9501</v>
      </c>
      <c r="E6599" t="s">
        <v>23967</v>
      </c>
      <c r="F6599" t="s">
        <v>31574</v>
      </c>
      <c r="G6599" t="s">
        <v>31581</v>
      </c>
      <c r="H6599" t="s">
        <v>31590</v>
      </c>
      <c r="I6599" t="s">
        <v>7162</v>
      </c>
      <c r="J6599" t="s">
        <v>34970</v>
      </c>
      <c r="K6599" t="s">
        <v>41184</v>
      </c>
      <c r="M6599" t="s">
        <v>43687</v>
      </c>
      <c r="N6599" t="s">
        <v>45095</v>
      </c>
      <c r="O6599" t="s">
        <v>45096</v>
      </c>
      <c r="P6599">
        <v>0</v>
      </c>
      <c r="Q6599">
        <v>10</v>
      </c>
      <c r="R6599" t="s">
        <v>45102</v>
      </c>
      <c r="S6599" t="s">
        <v>45242</v>
      </c>
      <c r="T6599" t="s">
        <v>47083</v>
      </c>
      <c r="U6599" t="s">
        <v>52997</v>
      </c>
      <c r="W6599" t="s">
        <v>61690</v>
      </c>
      <c r="X6599" t="s">
        <v>45103</v>
      </c>
    </row>
    <row r="6600" spans="1:24">
      <c r="A6600">
        <f>HYPERLINK("https://www.philgeps.gov.ph/GEPSNONPILOT/Tender/SplashBidNoticeAbstractUI.aspx?menuIndex=3&amp;refID=7040880&amp;Result=3","7040880")</f>
        <v>0</v>
      </c>
      <c r="B6600" t="s">
        <v>2024</v>
      </c>
      <c r="C6600" t="s">
        <v>9502</v>
      </c>
      <c r="D6600" t="s">
        <v>18033</v>
      </c>
      <c r="E6600" t="s">
        <v>23968</v>
      </c>
      <c r="F6600" t="s">
        <v>31574</v>
      </c>
      <c r="G6600" t="s">
        <v>31584</v>
      </c>
      <c r="H6600" t="s">
        <v>31590</v>
      </c>
      <c r="I6600" t="s">
        <v>6800</v>
      </c>
      <c r="J6600" t="s">
        <v>35963</v>
      </c>
      <c r="K6600" t="s">
        <v>41184</v>
      </c>
      <c r="M6600" t="s">
        <v>43688</v>
      </c>
      <c r="N6600" t="s">
        <v>45095</v>
      </c>
      <c r="O6600" t="s">
        <v>45096</v>
      </c>
      <c r="P6600">
        <v>0</v>
      </c>
      <c r="Q6600">
        <v>2</v>
      </c>
      <c r="R6600" t="s">
        <v>45102</v>
      </c>
      <c r="S6600" t="s">
        <v>45242</v>
      </c>
      <c r="T6600" t="s">
        <v>46957</v>
      </c>
      <c r="U6600" t="s">
        <v>52998</v>
      </c>
      <c r="W6600" t="s">
        <v>43688</v>
      </c>
      <c r="X6600" t="s">
        <v>45103</v>
      </c>
    </row>
    <row r="6601" spans="1:24">
      <c r="A6601">
        <f>HYPERLINK("https://www.philgeps.gov.ph/GEPSNONPILOT/Tender/SplashBidNoticeAbstractUI.aspx?menuIndex=3&amp;refID=7040910&amp;Result=3","7040910")</f>
        <v>0</v>
      </c>
      <c r="B6601" t="s">
        <v>2003</v>
      </c>
      <c r="C6601" t="s">
        <v>9503</v>
      </c>
      <c r="D6601" t="s">
        <v>18022</v>
      </c>
      <c r="E6601" t="s">
        <v>22094</v>
      </c>
      <c r="F6601" t="s">
        <v>31574</v>
      </c>
      <c r="G6601" t="s">
        <v>31582</v>
      </c>
      <c r="H6601" t="s">
        <v>31591</v>
      </c>
      <c r="I6601" t="s">
        <v>8822</v>
      </c>
      <c r="J6601" t="s">
        <v>35964</v>
      </c>
      <c r="K6601" t="s">
        <v>41189</v>
      </c>
      <c r="M6601" t="s">
        <v>43665</v>
      </c>
      <c r="N6601" t="s">
        <v>45095</v>
      </c>
      <c r="O6601" t="s">
        <v>45096</v>
      </c>
      <c r="P6601">
        <v>0</v>
      </c>
      <c r="Q6601">
        <v>16</v>
      </c>
      <c r="R6601" t="s">
        <v>45102</v>
      </c>
      <c r="S6601" t="s">
        <v>45242</v>
      </c>
      <c r="T6601" t="s">
        <v>46988</v>
      </c>
      <c r="U6601" t="s">
        <v>52971</v>
      </c>
      <c r="W6601" t="s">
        <v>43665</v>
      </c>
      <c r="X6601" t="s">
        <v>45103</v>
      </c>
    </row>
    <row r="6602" spans="1:24">
      <c r="A6602">
        <f>HYPERLINK("https://www.philgeps.gov.ph/GEPSNONPILOT/Tender/SplashBidNoticeAbstractUI.aspx?menuIndex=3&amp;refID=7040906&amp;Result=3","7040906")</f>
        <v>0</v>
      </c>
      <c r="B6602" t="s">
        <v>2025</v>
      </c>
      <c r="C6602" t="s">
        <v>9504</v>
      </c>
      <c r="D6602" t="s">
        <v>18044</v>
      </c>
      <c r="E6602" t="s">
        <v>23969</v>
      </c>
      <c r="F6602" t="s">
        <v>31574</v>
      </c>
      <c r="G6602" t="s">
        <v>31582</v>
      </c>
      <c r="H6602" t="s">
        <v>31591</v>
      </c>
      <c r="I6602" t="s">
        <v>8822</v>
      </c>
      <c r="J6602" t="s">
        <v>33856</v>
      </c>
      <c r="K6602" t="s">
        <v>41200</v>
      </c>
      <c r="M6602" t="s">
        <v>43689</v>
      </c>
      <c r="N6602" t="s">
        <v>45095</v>
      </c>
      <c r="O6602" t="s">
        <v>45096</v>
      </c>
      <c r="P6602">
        <v>0</v>
      </c>
      <c r="Q6602">
        <v>2</v>
      </c>
      <c r="R6602" t="s">
        <v>45102</v>
      </c>
      <c r="S6602" t="s">
        <v>45242</v>
      </c>
      <c r="T6602" t="s">
        <v>47298</v>
      </c>
      <c r="U6602" t="s">
        <v>52999</v>
      </c>
      <c r="W6602" t="s">
        <v>43689</v>
      </c>
      <c r="X6602" t="s">
        <v>45103</v>
      </c>
    </row>
    <row r="6603" spans="1:24">
      <c r="A6603">
        <f>HYPERLINK("https://www.philgeps.gov.ph/GEPSNONPILOT/Tender/SplashBidNoticeAbstractUI.aspx?menuIndex=3&amp;refID=7040908&amp;Result=3","7040908")</f>
        <v>0</v>
      </c>
      <c r="B6603" t="s">
        <v>2026</v>
      </c>
      <c r="C6603" t="s">
        <v>9505</v>
      </c>
      <c r="D6603" t="s">
        <v>18026</v>
      </c>
      <c r="E6603" t="s">
        <v>23970</v>
      </c>
      <c r="F6603" t="s">
        <v>31574</v>
      </c>
      <c r="G6603" t="s">
        <v>31582</v>
      </c>
      <c r="H6603" t="s">
        <v>31590</v>
      </c>
      <c r="I6603" t="s">
        <v>31615</v>
      </c>
      <c r="J6603" t="s">
        <v>31730</v>
      </c>
      <c r="K6603" t="s">
        <v>41185</v>
      </c>
      <c r="M6603" t="s">
        <v>43690</v>
      </c>
      <c r="N6603" t="s">
        <v>45095</v>
      </c>
      <c r="O6603" t="s">
        <v>45096</v>
      </c>
      <c r="P6603">
        <v>0</v>
      </c>
      <c r="Q6603">
        <v>6</v>
      </c>
      <c r="R6603" t="s">
        <v>45102</v>
      </c>
      <c r="S6603" t="s">
        <v>45242</v>
      </c>
      <c r="T6603" t="s">
        <v>47196</v>
      </c>
      <c r="U6603" t="s">
        <v>53000</v>
      </c>
      <c r="W6603" t="s">
        <v>43690</v>
      </c>
      <c r="X6603" t="s">
        <v>45103</v>
      </c>
    </row>
    <row r="6604" spans="1:24">
      <c r="A6604">
        <f>HYPERLINK("https://www.philgeps.gov.ph/GEPSNONPILOT/Tender/SplashBidNoticeAbstractUI.aspx?menuIndex=3&amp;refID=7040911&amp;Result=3","7040911")</f>
        <v>0</v>
      </c>
      <c r="B6604" t="s">
        <v>1327</v>
      </c>
      <c r="C6604" t="s">
        <v>9506</v>
      </c>
      <c r="E6604" t="s">
        <v>9506</v>
      </c>
      <c r="F6604" t="s">
        <v>31574</v>
      </c>
      <c r="G6604" t="s">
        <v>31581</v>
      </c>
      <c r="H6604" t="s">
        <v>31590</v>
      </c>
      <c r="I6604" t="s">
        <v>7185</v>
      </c>
      <c r="J6604" t="s">
        <v>35965</v>
      </c>
      <c r="K6604" t="s">
        <v>41193</v>
      </c>
      <c r="M6604" t="s">
        <v>42897</v>
      </c>
      <c r="N6604" t="s">
        <v>45095</v>
      </c>
      <c r="O6604" t="s">
        <v>45096</v>
      </c>
      <c r="P6604">
        <v>0</v>
      </c>
      <c r="Q6604">
        <v>0</v>
      </c>
      <c r="R6604" t="s">
        <v>45102</v>
      </c>
      <c r="S6604" t="s">
        <v>45242</v>
      </c>
      <c r="T6604" t="s">
        <v>47154</v>
      </c>
      <c r="U6604" t="s">
        <v>53001</v>
      </c>
      <c r="W6604" t="s">
        <v>42897</v>
      </c>
      <c r="X6604" t="s">
        <v>45103</v>
      </c>
    </row>
    <row r="6605" spans="1:24">
      <c r="A6605">
        <f>HYPERLINK("https://www.philgeps.gov.ph/GEPSNONPILOT/Tender/SplashBidNoticeAbstractUI.aspx?menuIndex=3&amp;refID=7040909&amp;Result=3","7040909")</f>
        <v>0</v>
      </c>
      <c r="B6605" t="s">
        <v>2022</v>
      </c>
      <c r="C6605" t="s">
        <v>9507</v>
      </c>
      <c r="D6605" t="s">
        <v>18041</v>
      </c>
      <c r="E6605" t="s">
        <v>18936</v>
      </c>
      <c r="F6605" t="s">
        <v>31574</v>
      </c>
      <c r="G6605" t="s">
        <v>31581</v>
      </c>
      <c r="H6605" t="s">
        <v>31590</v>
      </c>
      <c r="I6605" t="s">
        <v>5717</v>
      </c>
      <c r="J6605" t="s">
        <v>35260</v>
      </c>
      <c r="K6605" t="s">
        <v>41184</v>
      </c>
      <c r="M6605" t="s">
        <v>43684</v>
      </c>
      <c r="N6605" t="s">
        <v>45095</v>
      </c>
      <c r="O6605" t="s">
        <v>45096</v>
      </c>
      <c r="P6605">
        <v>0</v>
      </c>
      <c r="Q6605">
        <v>3</v>
      </c>
      <c r="R6605" t="s">
        <v>45102</v>
      </c>
      <c r="S6605" t="s">
        <v>45242</v>
      </c>
      <c r="T6605" t="s">
        <v>46936</v>
      </c>
      <c r="U6605" t="s">
        <v>53002</v>
      </c>
      <c r="W6605" t="s">
        <v>43684</v>
      </c>
      <c r="X6605" t="s">
        <v>45103</v>
      </c>
    </row>
    <row r="6606" spans="1:24">
      <c r="A6606">
        <f>HYPERLINK("https://www.philgeps.gov.ph/GEPSNONPILOT/Tender/SplashBidNoticeAbstractUI.aspx?menuIndex=3&amp;refID=7040923&amp;Result=3","7040923")</f>
        <v>0</v>
      </c>
      <c r="B6606" t="s">
        <v>2027</v>
      </c>
      <c r="C6606" t="s">
        <v>9508</v>
      </c>
      <c r="E6606" t="s">
        <v>23971</v>
      </c>
      <c r="F6606" t="s">
        <v>31574</v>
      </c>
      <c r="G6606" t="s">
        <v>31581</v>
      </c>
      <c r="H6606" t="s">
        <v>31590</v>
      </c>
      <c r="I6606" t="s">
        <v>31620</v>
      </c>
      <c r="J6606" t="s">
        <v>35966</v>
      </c>
      <c r="K6606" t="s">
        <v>41193</v>
      </c>
      <c r="M6606" t="s">
        <v>43691</v>
      </c>
      <c r="N6606" t="s">
        <v>45095</v>
      </c>
      <c r="O6606" t="s">
        <v>45096</v>
      </c>
      <c r="P6606">
        <v>0</v>
      </c>
      <c r="Q6606">
        <v>9</v>
      </c>
      <c r="R6606" t="s">
        <v>45102</v>
      </c>
      <c r="S6606" t="s">
        <v>45242</v>
      </c>
      <c r="T6606" t="s">
        <v>47106</v>
      </c>
      <c r="U6606" t="s">
        <v>53003</v>
      </c>
      <c r="W6606" t="s">
        <v>43691</v>
      </c>
      <c r="X6606" t="s">
        <v>45103</v>
      </c>
    </row>
    <row r="6607" spans="1:24">
      <c r="A6607">
        <f>HYPERLINK("https://www.philgeps.gov.ph/GEPSNONPILOT/Tender/SplashBidNoticeAbstractUI.aspx?menuIndex=3&amp;refID=7040919&amp;Result=3","7040919")</f>
        <v>0</v>
      </c>
      <c r="B6607" t="s">
        <v>2022</v>
      </c>
      <c r="C6607" t="s">
        <v>9509</v>
      </c>
      <c r="D6607" t="s">
        <v>18041</v>
      </c>
      <c r="E6607" t="s">
        <v>18754</v>
      </c>
      <c r="F6607" t="s">
        <v>31574</v>
      </c>
      <c r="G6607" t="s">
        <v>31581</v>
      </c>
      <c r="H6607" t="s">
        <v>31590</v>
      </c>
      <c r="I6607" t="s">
        <v>6800</v>
      </c>
      <c r="J6607" t="s">
        <v>35967</v>
      </c>
      <c r="K6607" t="s">
        <v>41184</v>
      </c>
      <c r="M6607" t="s">
        <v>43684</v>
      </c>
      <c r="N6607" t="s">
        <v>45095</v>
      </c>
      <c r="O6607" t="s">
        <v>45096</v>
      </c>
      <c r="P6607">
        <v>0</v>
      </c>
      <c r="Q6607">
        <v>3</v>
      </c>
      <c r="R6607" t="s">
        <v>45102</v>
      </c>
      <c r="S6607" t="s">
        <v>45242</v>
      </c>
      <c r="T6607" t="s">
        <v>46936</v>
      </c>
      <c r="U6607" t="s">
        <v>53004</v>
      </c>
      <c r="W6607" t="s">
        <v>43684</v>
      </c>
      <c r="X6607" t="s">
        <v>45103</v>
      </c>
    </row>
    <row r="6608" spans="1:24">
      <c r="A6608">
        <f>HYPERLINK("https://www.philgeps.gov.ph/GEPSNONPILOT/Tender/SplashBidNoticeAbstractUI.aspx?menuIndex=3&amp;refID=7040921&amp;Result=3","7040921")</f>
        <v>0</v>
      </c>
      <c r="B6608" t="s">
        <v>540</v>
      </c>
      <c r="C6608" t="s">
        <v>9510</v>
      </c>
      <c r="D6608" t="s">
        <v>18022</v>
      </c>
      <c r="E6608" t="s">
        <v>23972</v>
      </c>
      <c r="F6608" t="s">
        <v>31574</v>
      </c>
      <c r="G6608" t="s">
        <v>31582</v>
      </c>
      <c r="H6608" t="s">
        <v>31590</v>
      </c>
      <c r="I6608" t="s">
        <v>31640</v>
      </c>
      <c r="J6608" t="s">
        <v>35968</v>
      </c>
      <c r="K6608" t="s">
        <v>41281</v>
      </c>
      <c r="M6608" t="s">
        <v>43692</v>
      </c>
      <c r="N6608" t="s">
        <v>45095</v>
      </c>
      <c r="O6608" t="s">
        <v>45096</v>
      </c>
      <c r="P6608">
        <v>0</v>
      </c>
      <c r="Q6608">
        <v>2</v>
      </c>
      <c r="R6608" t="s">
        <v>45102</v>
      </c>
      <c r="S6608" t="s">
        <v>45242</v>
      </c>
      <c r="T6608" t="s">
        <v>47198</v>
      </c>
      <c r="U6608" t="s">
        <v>53005</v>
      </c>
      <c r="W6608" t="s">
        <v>43692</v>
      </c>
      <c r="X6608" t="s">
        <v>45103</v>
      </c>
    </row>
    <row r="6609" spans="1:24">
      <c r="A6609">
        <f>HYPERLINK("https://www.philgeps.gov.ph/GEPSNONPILOT/Tender/SplashBidNoticeAbstractUI.aspx?menuIndex=3&amp;refID=7040914&amp;Result=3","7040914")</f>
        <v>0</v>
      </c>
      <c r="B6609" t="s">
        <v>2028</v>
      </c>
      <c r="C6609" t="s">
        <v>9511</v>
      </c>
      <c r="D6609" t="s">
        <v>18078</v>
      </c>
      <c r="E6609" t="s">
        <v>23973</v>
      </c>
      <c r="F6609" t="s">
        <v>31574</v>
      </c>
      <c r="G6609" t="s">
        <v>31581</v>
      </c>
      <c r="H6609" t="s">
        <v>31590</v>
      </c>
      <c r="I6609" t="s">
        <v>7185</v>
      </c>
      <c r="J6609" t="s">
        <v>35969</v>
      </c>
      <c r="K6609" t="s">
        <v>41213</v>
      </c>
      <c r="M6609" t="s">
        <v>43693</v>
      </c>
      <c r="N6609" t="s">
        <v>45095</v>
      </c>
      <c r="O6609" t="s">
        <v>45096</v>
      </c>
      <c r="P6609">
        <v>0</v>
      </c>
      <c r="Q6609">
        <v>0</v>
      </c>
      <c r="R6609" t="s">
        <v>45102</v>
      </c>
      <c r="S6609" t="s">
        <v>45242</v>
      </c>
      <c r="T6609" t="s">
        <v>47058</v>
      </c>
      <c r="U6609" t="s">
        <v>53006</v>
      </c>
      <c r="W6609" t="s">
        <v>43693</v>
      </c>
      <c r="X6609" t="s">
        <v>45103</v>
      </c>
    </row>
    <row r="6610" spans="1:24">
      <c r="A6610">
        <f>HYPERLINK("https://www.philgeps.gov.ph/GEPSNONPILOT/Tender/SplashBidNoticeAbstractUI.aspx?menuIndex=3&amp;refID=7040918&amp;Result=3","7040918")</f>
        <v>0</v>
      </c>
      <c r="B6610" t="s">
        <v>2003</v>
      </c>
      <c r="C6610" t="s">
        <v>9512</v>
      </c>
      <c r="D6610" t="s">
        <v>18022</v>
      </c>
      <c r="E6610" t="s">
        <v>23974</v>
      </c>
      <c r="F6610" t="s">
        <v>31574</v>
      </c>
      <c r="G6610" t="s">
        <v>31582</v>
      </c>
      <c r="H6610" t="s">
        <v>31591</v>
      </c>
      <c r="I6610" t="s">
        <v>8822</v>
      </c>
      <c r="J6610" t="s">
        <v>35970</v>
      </c>
      <c r="K6610" t="s">
        <v>41243</v>
      </c>
      <c r="M6610" t="s">
        <v>43665</v>
      </c>
      <c r="N6610" t="s">
        <v>45095</v>
      </c>
      <c r="O6610" t="s">
        <v>45096</v>
      </c>
      <c r="P6610">
        <v>0</v>
      </c>
      <c r="Q6610">
        <v>25</v>
      </c>
      <c r="R6610" t="s">
        <v>45102</v>
      </c>
      <c r="S6610" t="s">
        <v>45242</v>
      </c>
      <c r="T6610" t="s">
        <v>46988</v>
      </c>
      <c r="U6610" t="s">
        <v>52971</v>
      </c>
      <c r="W6610" t="s">
        <v>43665</v>
      </c>
      <c r="X6610" t="s">
        <v>45103</v>
      </c>
    </row>
    <row r="6611" spans="1:24">
      <c r="A6611">
        <f>HYPERLINK("https://www.philgeps.gov.ph/GEPSNONPILOT/Tender/SplashBidNoticeAbstractUI.aspx?menuIndex=3&amp;refID=7040935&amp;Result=3","7040935")</f>
        <v>0</v>
      </c>
      <c r="B6611" t="s">
        <v>2019</v>
      </c>
      <c r="C6611" t="s">
        <v>9513</v>
      </c>
      <c r="D6611" t="s">
        <v>18070</v>
      </c>
      <c r="E6611" t="s">
        <v>23975</v>
      </c>
      <c r="F6611" t="s">
        <v>31574</v>
      </c>
      <c r="G6611" t="s">
        <v>31582</v>
      </c>
      <c r="H6611" t="s">
        <v>31590</v>
      </c>
      <c r="I6611" t="s">
        <v>7185</v>
      </c>
      <c r="J6611" t="s">
        <v>35971</v>
      </c>
      <c r="K6611" t="s">
        <v>41190</v>
      </c>
      <c r="M6611" t="s">
        <v>43681</v>
      </c>
      <c r="N6611" t="s">
        <v>45095</v>
      </c>
      <c r="O6611" t="s">
        <v>45096</v>
      </c>
      <c r="P6611">
        <v>0</v>
      </c>
      <c r="Q6611">
        <v>0</v>
      </c>
      <c r="R6611" t="s">
        <v>45102</v>
      </c>
      <c r="S6611" t="s">
        <v>45242</v>
      </c>
      <c r="T6611" t="s">
        <v>47010</v>
      </c>
      <c r="U6611" t="s">
        <v>53007</v>
      </c>
      <c r="W6611" t="s">
        <v>44402</v>
      </c>
      <c r="X6611" t="s">
        <v>45103</v>
      </c>
    </row>
    <row r="6612" spans="1:24">
      <c r="A6612">
        <f>HYPERLINK("https://www.philgeps.gov.ph/GEPSNONPILOT/Tender/SplashBidNoticeAbstractUI.aspx?menuIndex=3&amp;refID=7040922&amp;Result=3","7040922")</f>
        <v>0</v>
      </c>
      <c r="B6612" t="s">
        <v>2003</v>
      </c>
      <c r="C6612" t="s">
        <v>9514</v>
      </c>
      <c r="D6612" t="s">
        <v>18022</v>
      </c>
      <c r="E6612" t="s">
        <v>23976</v>
      </c>
      <c r="F6612" t="s">
        <v>31574</v>
      </c>
      <c r="G6612" t="s">
        <v>31582</v>
      </c>
      <c r="H6612" t="s">
        <v>31591</v>
      </c>
      <c r="I6612" t="s">
        <v>8822</v>
      </c>
      <c r="J6612" t="s">
        <v>35972</v>
      </c>
      <c r="K6612" t="s">
        <v>41186</v>
      </c>
      <c r="M6612" t="s">
        <v>43665</v>
      </c>
      <c r="N6612" t="s">
        <v>45095</v>
      </c>
      <c r="O6612" t="s">
        <v>45096</v>
      </c>
      <c r="P6612">
        <v>0</v>
      </c>
      <c r="Q6612">
        <v>16</v>
      </c>
      <c r="R6612" t="s">
        <v>45102</v>
      </c>
      <c r="S6612" t="s">
        <v>45242</v>
      </c>
      <c r="T6612" t="s">
        <v>46988</v>
      </c>
      <c r="U6612" t="s">
        <v>52971</v>
      </c>
      <c r="W6612" t="s">
        <v>43665</v>
      </c>
      <c r="X6612" t="s">
        <v>45103</v>
      </c>
    </row>
    <row r="6613" spans="1:24">
      <c r="A6613">
        <f>HYPERLINK("https://www.philgeps.gov.ph/GEPSNONPILOT/Tender/SplashBidNoticeAbstractUI.aspx?menuIndex=3&amp;refID=7040912&amp;Result=3","7040912")</f>
        <v>0</v>
      </c>
      <c r="B6613" t="s">
        <v>2029</v>
      </c>
      <c r="C6613" t="s">
        <v>9515</v>
      </c>
      <c r="D6613" t="s">
        <v>18055</v>
      </c>
      <c r="E6613" t="s">
        <v>23977</v>
      </c>
      <c r="F6613" t="s">
        <v>31574</v>
      </c>
      <c r="G6613" t="s">
        <v>31582</v>
      </c>
      <c r="H6613" t="s">
        <v>31591</v>
      </c>
      <c r="I6613" t="s">
        <v>8822</v>
      </c>
      <c r="J6613" t="s">
        <v>31935</v>
      </c>
      <c r="K6613" t="s">
        <v>41200</v>
      </c>
      <c r="M6613" t="s">
        <v>43694</v>
      </c>
      <c r="N6613" t="s">
        <v>45095</v>
      </c>
      <c r="O6613" t="s">
        <v>45096</v>
      </c>
      <c r="P6613">
        <v>0</v>
      </c>
      <c r="Q6613">
        <v>28</v>
      </c>
      <c r="R6613" t="s">
        <v>45102</v>
      </c>
      <c r="S6613" t="s">
        <v>45242</v>
      </c>
      <c r="T6613" t="s">
        <v>47075</v>
      </c>
      <c r="U6613" t="s">
        <v>53008</v>
      </c>
      <c r="V6613" t="s">
        <v>59855</v>
      </c>
      <c r="W6613" t="s">
        <v>43694</v>
      </c>
      <c r="X6613" t="s">
        <v>45103</v>
      </c>
    </row>
    <row r="6614" spans="1:24">
      <c r="A6614">
        <f>HYPERLINK("https://www.philgeps.gov.ph/GEPSNONPILOT/Tender/SplashBidNoticeAbstractUI.aspx?menuIndex=3&amp;refID=7040927&amp;Result=3","7040927")</f>
        <v>0</v>
      </c>
      <c r="B6614" t="s">
        <v>1742</v>
      </c>
      <c r="C6614" t="s">
        <v>9516</v>
      </c>
      <c r="E6614" t="s">
        <v>23978</v>
      </c>
      <c r="F6614" t="s">
        <v>31574</v>
      </c>
      <c r="G6614" t="s">
        <v>31582</v>
      </c>
      <c r="H6614" t="s">
        <v>31593</v>
      </c>
      <c r="I6614" t="s">
        <v>31593</v>
      </c>
      <c r="J6614" t="s">
        <v>35973</v>
      </c>
      <c r="K6614" t="s">
        <v>41184</v>
      </c>
      <c r="M6614" t="s">
        <v>43695</v>
      </c>
      <c r="N6614" t="s">
        <v>45095</v>
      </c>
      <c r="O6614" t="s">
        <v>45096</v>
      </c>
      <c r="Q6614">
        <v>3</v>
      </c>
      <c r="R6614" t="s">
        <v>45102</v>
      </c>
      <c r="S6614" t="s">
        <v>45269</v>
      </c>
      <c r="T6614" t="s">
        <v>47003</v>
      </c>
      <c r="U6614" t="s">
        <v>53009</v>
      </c>
      <c r="W6614" t="s">
        <v>43695</v>
      </c>
      <c r="X6614" t="s">
        <v>45103</v>
      </c>
    </row>
    <row r="6615" spans="1:24">
      <c r="A6615">
        <f>HYPERLINK("https://www.philgeps.gov.ph/GEPSNONPILOT/Tender/SplashBidNoticeAbstractUI.aspx?menuIndex=3&amp;refID=7040940&amp;Result=3","7040940")</f>
        <v>0</v>
      </c>
      <c r="B6615" t="s">
        <v>2029</v>
      </c>
      <c r="C6615" t="s">
        <v>9517</v>
      </c>
      <c r="D6615" t="s">
        <v>18055</v>
      </c>
      <c r="E6615" t="s">
        <v>23979</v>
      </c>
      <c r="F6615" t="s">
        <v>31574</v>
      </c>
      <c r="G6615" t="s">
        <v>31582</v>
      </c>
      <c r="H6615" t="s">
        <v>31591</v>
      </c>
      <c r="I6615" t="s">
        <v>8822</v>
      </c>
      <c r="J6615" t="s">
        <v>31771</v>
      </c>
      <c r="K6615" t="s">
        <v>41192</v>
      </c>
      <c r="M6615" t="s">
        <v>43694</v>
      </c>
      <c r="N6615" t="s">
        <v>45095</v>
      </c>
      <c r="O6615" t="s">
        <v>45096</v>
      </c>
      <c r="P6615">
        <v>0</v>
      </c>
      <c r="Q6615">
        <v>28</v>
      </c>
      <c r="R6615" t="s">
        <v>45102</v>
      </c>
      <c r="S6615" t="s">
        <v>45242</v>
      </c>
      <c r="T6615" t="s">
        <v>47075</v>
      </c>
      <c r="U6615" t="s">
        <v>53010</v>
      </c>
      <c r="V6615" t="s">
        <v>59855</v>
      </c>
      <c r="W6615" t="s">
        <v>43694</v>
      </c>
      <c r="X6615" t="s">
        <v>45103</v>
      </c>
    </row>
    <row r="6616" spans="1:24">
      <c r="A6616">
        <f>HYPERLINK("https://www.philgeps.gov.ph/GEPSNONPILOT/Tender/SplashBidNoticeAbstractUI.aspx?menuIndex=3&amp;refID=7040925&amp;Result=3","7040925")</f>
        <v>0</v>
      </c>
      <c r="B6616" t="s">
        <v>2029</v>
      </c>
      <c r="C6616" t="s">
        <v>9518</v>
      </c>
      <c r="D6616" t="s">
        <v>18055</v>
      </c>
      <c r="E6616" t="s">
        <v>23980</v>
      </c>
      <c r="F6616" t="s">
        <v>31574</v>
      </c>
      <c r="G6616" t="s">
        <v>31582</v>
      </c>
      <c r="H6616" t="s">
        <v>31591</v>
      </c>
      <c r="I6616" t="s">
        <v>8822</v>
      </c>
      <c r="J6616" t="s">
        <v>31935</v>
      </c>
      <c r="K6616" t="s">
        <v>41298</v>
      </c>
      <c r="M6616" t="s">
        <v>43694</v>
      </c>
      <c r="N6616" t="s">
        <v>45095</v>
      </c>
      <c r="O6616" t="s">
        <v>45096</v>
      </c>
      <c r="P6616">
        <v>0</v>
      </c>
      <c r="Q6616">
        <v>28</v>
      </c>
      <c r="R6616" t="s">
        <v>45102</v>
      </c>
      <c r="S6616" t="s">
        <v>45242</v>
      </c>
      <c r="T6616" t="s">
        <v>47075</v>
      </c>
      <c r="U6616" t="s">
        <v>53011</v>
      </c>
      <c r="V6616" t="s">
        <v>59855</v>
      </c>
      <c r="W6616" t="s">
        <v>43694</v>
      </c>
      <c r="X6616" t="s">
        <v>45103</v>
      </c>
    </row>
    <row r="6617" spans="1:24">
      <c r="A6617">
        <f>HYPERLINK("https://www.philgeps.gov.ph/GEPSNONPILOT/Tender/SplashBidNoticeAbstractUI.aspx?menuIndex=3&amp;refID=7040926&amp;Result=3","7040926")</f>
        <v>0</v>
      </c>
      <c r="B6617" t="s">
        <v>2022</v>
      </c>
      <c r="C6617" t="s">
        <v>9519</v>
      </c>
      <c r="D6617" t="s">
        <v>18041</v>
      </c>
      <c r="E6617" t="s">
        <v>19676</v>
      </c>
      <c r="F6617" t="s">
        <v>31574</v>
      </c>
      <c r="G6617" t="s">
        <v>31581</v>
      </c>
      <c r="H6617" t="s">
        <v>31590</v>
      </c>
      <c r="I6617" t="s">
        <v>31600</v>
      </c>
      <c r="J6617" t="s">
        <v>31764</v>
      </c>
      <c r="K6617" t="s">
        <v>41184</v>
      </c>
      <c r="M6617" t="s">
        <v>43684</v>
      </c>
      <c r="N6617" t="s">
        <v>45095</v>
      </c>
      <c r="O6617" t="s">
        <v>45096</v>
      </c>
      <c r="P6617">
        <v>0</v>
      </c>
      <c r="Q6617">
        <v>1</v>
      </c>
      <c r="R6617" t="s">
        <v>45102</v>
      </c>
      <c r="S6617" t="s">
        <v>45242</v>
      </c>
      <c r="T6617" t="s">
        <v>46929</v>
      </c>
      <c r="U6617" t="s">
        <v>53012</v>
      </c>
      <c r="W6617" t="s">
        <v>43684</v>
      </c>
      <c r="X6617" t="s">
        <v>45103</v>
      </c>
    </row>
    <row r="6618" spans="1:24">
      <c r="A6618">
        <f>HYPERLINK("https://www.philgeps.gov.ph/GEPSNONPILOT/Tender/SplashBidNoticeAbstractUI.aspx?menuIndex=3&amp;refID=7040933&amp;Result=3","7040933")</f>
        <v>0</v>
      </c>
      <c r="B6618" t="s">
        <v>2029</v>
      </c>
      <c r="C6618" t="s">
        <v>9520</v>
      </c>
      <c r="D6618" t="s">
        <v>18055</v>
      </c>
      <c r="E6618" t="s">
        <v>23981</v>
      </c>
      <c r="F6618" t="s">
        <v>31574</v>
      </c>
      <c r="G6618" t="s">
        <v>31582</v>
      </c>
      <c r="H6618" t="s">
        <v>31591</v>
      </c>
      <c r="I6618" t="s">
        <v>8822</v>
      </c>
      <c r="J6618" t="s">
        <v>32026</v>
      </c>
      <c r="K6618" t="s">
        <v>41192</v>
      </c>
      <c r="M6618" t="s">
        <v>43694</v>
      </c>
      <c r="N6618" t="s">
        <v>45095</v>
      </c>
      <c r="O6618" t="s">
        <v>45096</v>
      </c>
      <c r="P6618">
        <v>0</v>
      </c>
      <c r="Q6618">
        <v>28</v>
      </c>
      <c r="R6618" t="s">
        <v>45102</v>
      </c>
      <c r="S6618" t="s">
        <v>45242</v>
      </c>
      <c r="T6618" t="s">
        <v>47075</v>
      </c>
      <c r="U6618" t="s">
        <v>53013</v>
      </c>
      <c r="V6618" t="s">
        <v>59855</v>
      </c>
      <c r="W6618" t="s">
        <v>43694</v>
      </c>
      <c r="X6618" t="s">
        <v>45103</v>
      </c>
    </row>
    <row r="6619" spans="1:24">
      <c r="A6619">
        <f>HYPERLINK("https://www.philgeps.gov.ph/GEPSNONPILOT/Tender/SplashBidNoticeAbstractUI.aspx?menuIndex=3&amp;refID=7040934&amp;Result=3","7040934")</f>
        <v>0</v>
      </c>
      <c r="B6619" t="s">
        <v>2030</v>
      </c>
      <c r="C6619" t="s">
        <v>9521</v>
      </c>
      <c r="D6619" t="s">
        <v>18072</v>
      </c>
      <c r="E6619" t="s">
        <v>19061</v>
      </c>
      <c r="F6619" t="s">
        <v>31574</v>
      </c>
      <c r="G6619" t="s">
        <v>31582</v>
      </c>
      <c r="H6619" t="s">
        <v>31592</v>
      </c>
      <c r="I6619" t="s">
        <v>31601</v>
      </c>
      <c r="J6619" t="s">
        <v>35974</v>
      </c>
      <c r="K6619" t="s">
        <v>41190</v>
      </c>
      <c r="M6619" t="s">
        <v>43696</v>
      </c>
      <c r="N6619" t="s">
        <v>45095</v>
      </c>
      <c r="O6619" t="s">
        <v>45096</v>
      </c>
      <c r="P6619">
        <v>0</v>
      </c>
      <c r="Q6619">
        <v>0</v>
      </c>
      <c r="R6619" t="s">
        <v>45102</v>
      </c>
      <c r="S6619" t="s">
        <v>45242</v>
      </c>
      <c r="T6619" t="s">
        <v>46973</v>
      </c>
      <c r="U6619" t="s">
        <v>53014</v>
      </c>
      <c r="W6619" t="s">
        <v>43696</v>
      </c>
      <c r="X6619" t="s">
        <v>45103</v>
      </c>
    </row>
    <row r="6620" spans="1:24">
      <c r="A6620">
        <f>HYPERLINK("https://www.philgeps.gov.ph/GEPSNONPILOT/Tender/SplashBidNoticeAbstractUI.aspx?menuIndex=3&amp;refID=7040945&amp;Result=3","7040945")</f>
        <v>0</v>
      </c>
      <c r="B6620" t="s">
        <v>2029</v>
      </c>
      <c r="C6620" t="s">
        <v>6507</v>
      </c>
      <c r="D6620" t="s">
        <v>18055</v>
      </c>
      <c r="E6620" t="s">
        <v>23982</v>
      </c>
      <c r="F6620" t="s">
        <v>31574</v>
      </c>
      <c r="G6620" t="s">
        <v>31582</v>
      </c>
      <c r="H6620" t="s">
        <v>31591</v>
      </c>
      <c r="I6620" t="s">
        <v>8822</v>
      </c>
      <c r="J6620" t="s">
        <v>33359</v>
      </c>
      <c r="K6620" t="s">
        <v>41268</v>
      </c>
      <c r="M6620" t="s">
        <v>43694</v>
      </c>
      <c r="N6620" t="s">
        <v>45095</v>
      </c>
      <c r="O6620" t="s">
        <v>45096</v>
      </c>
      <c r="P6620">
        <v>0</v>
      </c>
      <c r="Q6620">
        <v>28</v>
      </c>
      <c r="R6620" t="s">
        <v>45102</v>
      </c>
      <c r="S6620" t="s">
        <v>45242</v>
      </c>
      <c r="T6620" t="s">
        <v>47075</v>
      </c>
      <c r="U6620" t="s">
        <v>53015</v>
      </c>
      <c r="V6620" t="s">
        <v>59855</v>
      </c>
      <c r="W6620" t="s">
        <v>43694</v>
      </c>
      <c r="X6620" t="s">
        <v>45103</v>
      </c>
    </row>
    <row r="6621" spans="1:24">
      <c r="A6621">
        <f>HYPERLINK("https://www.philgeps.gov.ph/GEPSNONPILOT/Tender/SplashBidNoticeAbstractUI.aspx?menuIndex=3&amp;refID=7040965&amp;Result=3","7040965")</f>
        <v>0</v>
      </c>
      <c r="B6621" t="s">
        <v>1316</v>
      </c>
      <c r="C6621" t="s">
        <v>9522</v>
      </c>
      <c r="D6621" t="s">
        <v>18084</v>
      </c>
      <c r="E6621" t="s">
        <v>23983</v>
      </c>
      <c r="F6621" t="s">
        <v>31574</v>
      </c>
      <c r="G6621" t="s">
        <v>31582</v>
      </c>
      <c r="H6621" t="s">
        <v>31590</v>
      </c>
      <c r="I6621" t="s">
        <v>31664</v>
      </c>
      <c r="J6621" t="s">
        <v>35975</v>
      </c>
      <c r="K6621" t="s">
        <v>41193</v>
      </c>
      <c r="M6621" t="s">
        <v>42886</v>
      </c>
      <c r="N6621" t="s">
        <v>45095</v>
      </c>
      <c r="O6621" t="s">
        <v>45096</v>
      </c>
      <c r="P6621">
        <v>0</v>
      </c>
      <c r="Q6621">
        <v>0</v>
      </c>
      <c r="R6621" t="s">
        <v>45102</v>
      </c>
      <c r="S6621" t="s">
        <v>45242</v>
      </c>
      <c r="T6621" t="s">
        <v>46936</v>
      </c>
      <c r="U6621" t="s">
        <v>53016</v>
      </c>
      <c r="W6621" t="s">
        <v>42886</v>
      </c>
      <c r="X6621" t="s">
        <v>45103</v>
      </c>
    </row>
    <row r="6622" spans="1:24">
      <c r="A6622">
        <f>HYPERLINK("https://www.philgeps.gov.ph/GEPSNONPILOT/Tender/SplashBidNoticeAbstractUI.aspx?menuIndex=3&amp;refID=6972282-2&amp;Result=3","6972282-2")</f>
        <v>0</v>
      </c>
      <c r="B6622" t="s">
        <v>670</v>
      </c>
      <c r="C6622" t="s">
        <v>9523</v>
      </c>
      <c r="D6622" t="s">
        <v>18022</v>
      </c>
      <c r="E6622" t="s">
        <v>23984</v>
      </c>
      <c r="F6622" t="s">
        <v>31574</v>
      </c>
      <c r="G6622" t="s">
        <v>31582</v>
      </c>
      <c r="H6622" t="s">
        <v>31593</v>
      </c>
      <c r="I6622" t="s">
        <v>31593</v>
      </c>
      <c r="J6622" t="s">
        <v>31771</v>
      </c>
      <c r="K6622" t="s">
        <v>41184</v>
      </c>
      <c r="M6622" t="s">
        <v>43697</v>
      </c>
      <c r="N6622" t="s">
        <v>45095</v>
      </c>
      <c r="O6622" t="s">
        <v>45096</v>
      </c>
      <c r="P6622">
        <v>0</v>
      </c>
      <c r="Q6622">
        <v>1</v>
      </c>
      <c r="R6622" t="s">
        <v>45103</v>
      </c>
      <c r="S6622" t="s">
        <v>45270</v>
      </c>
      <c r="T6622" t="s">
        <v>47004</v>
      </c>
      <c r="U6622" t="s">
        <v>53017</v>
      </c>
      <c r="W6622" t="s">
        <v>43697</v>
      </c>
      <c r="X6622" t="s">
        <v>45104</v>
      </c>
    </row>
    <row r="6623" spans="1:24">
      <c r="A6623">
        <f>HYPERLINK("https://www.philgeps.gov.ph/GEPSNONPILOT/Tender/SplashBidNoticeAbstractUI.aspx?menuIndex=3&amp;refID=7040964&amp;Result=3","7040964")</f>
        <v>0</v>
      </c>
      <c r="B6623" t="s">
        <v>1316</v>
      </c>
      <c r="C6623" t="s">
        <v>9524</v>
      </c>
      <c r="D6623" t="s">
        <v>18084</v>
      </c>
      <c r="E6623" t="s">
        <v>23983</v>
      </c>
      <c r="F6623" t="s">
        <v>31574</v>
      </c>
      <c r="G6623" t="s">
        <v>31582</v>
      </c>
      <c r="H6623" t="s">
        <v>31590</v>
      </c>
      <c r="I6623" t="s">
        <v>31664</v>
      </c>
      <c r="J6623" t="s">
        <v>35976</v>
      </c>
      <c r="K6623" t="s">
        <v>41193</v>
      </c>
      <c r="M6623" t="s">
        <v>42886</v>
      </c>
      <c r="N6623" t="s">
        <v>45095</v>
      </c>
      <c r="O6623" t="s">
        <v>45096</v>
      </c>
      <c r="P6623">
        <v>0</v>
      </c>
      <c r="Q6623">
        <v>0</v>
      </c>
      <c r="R6623" t="s">
        <v>45102</v>
      </c>
      <c r="S6623" t="s">
        <v>45242</v>
      </c>
      <c r="T6623" t="s">
        <v>46936</v>
      </c>
      <c r="U6623" t="s">
        <v>53018</v>
      </c>
      <c r="W6623" t="s">
        <v>42886</v>
      </c>
      <c r="X6623" t="s">
        <v>45103</v>
      </c>
    </row>
    <row r="6624" spans="1:24">
      <c r="A6624">
        <f>HYPERLINK("https://www.philgeps.gov.ph/GEPSNONPILOT/Tender/SplashBidNoticeAbstractUI.aspx?menuIndex=3&amp;refID=6948008&amp;Result=3","6948008")</f>
        <v>0</v>
      </c>
      <c r="B6624" t="s">
        <v>1643</v>
      </c>
      <c r="C6624" t="s">
        <v>9525</v>
      </c>
      <c r="D6624" t="s">
        <v>18079</v>
      </c>
      <c r="E6624" t="s">
        <v>23985</v>
      </c>
      <c r="F6624" t="s">
        <v>31574</v>
      </c>
      <c r="G6624" t="s">
        <v>31582</v>
      </c>
      <c r="H6624" t="s">
        <v>31590</v>
      </c>
      <c r="I6624" t="s">
        <v>31607</v>
      </c>
      <c r="J6624" t="s">
        <v>35977</v>
      </c>
      <c r="K6624" t="s">
        <v>41186</v>
      </c>
      <c r="M6624" t="s">
        <v>43253</v>
      </c>
      <c r="N6624" t="s">
        <v>45095</v>
      </c>
      <c r="O6624" t="s">
        <v>45096</v>
      </c>
      <c r="P6624">
        <v>0</v>
      </c>
      <c r="Q6624">
        <v>4</v>
      </c>
      <c r="R6624" t="s">
        <v>45103</v>
      </c>
      <c r="S6624" t="s">
        <v>45270</v>
      </c>
      <c r="T6624" t="s">
        <v>47124</v>
      </c>
      <c r="U6624" t="s">
        <v>53019</v>
      </c>
      <c r="V6624" t="s">
        <v>60376</v>
      </c>
      <c r="W6624" t="s">
        <v>43253</v>
      </c>
      <c r="X6624" t="s">
        <v>45166</v>
      </c>
    </row>
    <row r="6625" spans="1:24">
      <c r="A6625">
        <f>HYPERLINK("https://www.philgeps.gov.ph/GEPSNONPILOT/Tender/SplashBidNoticeAbstractUI.aspx?menuIndex=3&amp;refID=7040961&amp;Result=3","7040961")</f>
        <v>0</v>
      </c>
      <c r="B6625" t="s">
        <v>1316</v>
      </c>
      <c r="C6625" t="s">
        <v>9526</v>
      </c>
      <c r="D6625" t="s">
        <v>18084</v>
      </c>
      <c r="E6625" t="s">
        <v>23983</v>
      </c>
      <c r="F6625" t="s">
        <v>31574</v>
      </c>
      <c r="G6625" t="s">
        <v>31582</v>
      </c>
      <c r="H6625" t="s">
        <v>31590</v>
      </c>
      <c r="I6625" t="s">
        <v>31664</v>
      </c>
      <c r="J6625" t="s">
        <v>35978</v>
      </c>
      <c r="K6625" t="s">
        <v>41193</v>
      </c>
      <c r="M6625" t="s">
        <v>42886</v>
      </c>
      <c r="N6625" t="s">
        <v>45095</v>
      </c>
      <c r="O6625" t="s">
        <v>45096</v>
      </c>
      <c r="P6625">
        <v>0</v>
      </c>
      <c r="Q6625">
        <v>1</v>
      </c>
      <c r="R6625" t="s">
        <v>45102</v>
      </c>
      <c r="S6625" t="s">
        <v>45242</v>
      </c>
      <c r="T6625" t="s">
        <v>46936</v>
      </c>
      <c r="U6625" t="s">
        <v>53020</v>
      </c>
      <c r="W6625" t="s">
        <v>42886</v>
      </c>
      <c r="X6625" t="s">
        <v>45103</v>
      </c>
    </row>
    <row r="6626" spans="1:24">
      <c r="A6626">
        <f>HYPERLINK("https://www.philgeps.gov.ph/GEPSNONPILOT/Tender/SplashBidNoticeAbstractUI.aspx?menuIndex=3&amp;refID=6870297&amp;Result=3","6870297")</f>
        <v>0</v>
      </c>
      <c r="B6626" t="s">
        <v>1063</v>
      </c>
      <c r="C6626" t="s">
        <v>9527</v>
      </c>
      <c r="D6626" t="s">
        <v>18042</v>
      </c>
      <c r="E6626" t="s">
        <v>18702</v>
      </c>
      <c r="F6626" t="s">
        <v>31574</v>
      </c>
      <c r="G6626" t="s">
        <v>31583</v>
      </c>
      <c r="H6626" t="s">
        <v>31590</v>
      </c>
      <c r="I6626" t="s">
        <v>31670</v>
      </c>
      <c r="J6626" t="s">
        <v>35979</v>
      </c>
      <c r="K6626" t="s">
        <v>41190</v>
      </c>
      <c r="L6626" t="s">
        <v>1063</v>
      </c>
      <c r="M6626" t="s">
        <v>42608</v>
      </c>
      <c r="N6626" t="s">
        <v>45095</v>
      </c>
      <c r="O6626" t="s">
        <v>45096</v>
      </c>
      <c r="P6626">
        <v>0</v>
      </c>
      <c r="Q6626">
        <v>1</v>
      </c>
      <c r="R6626" t="s">
        <v>45103</v>
      </c>
      <c r="S6626" t="s">
        <v>45270</v>
      </c>
      <c r="T6626" t="s">
        <v>47159</v>
      </c>
      <c r="U6626" t="s">
        <v>53021</v>
      </c>
      <c r="W6626" t="s">
        <v>42608</v>
      </c>
      <c r="X6626" t="s">
        <v>45193</v>
      </c>
    </row>
    <row r="6627" spans="1:24">
      <c r="A6627">
        <f>HYPERLINK("https://www.philgeps.gov.ph/GEPSNONPILOT/Tender/SplashBidNoticeAbstractUI.aspx?menuIndex=3&amp;refID=7040963&amp;Result=3","7040963")</f>
        <v>0</v>
      </c>
      <c r="B6627" t="s">
        <v>670</v>
      </c>
      <c r="C6627" t="s">
        <v>9528</v>
      </c>
      <c r="E6627" t="s">
        <v>23986</v>
      </c>
      <c r="F6627" t="s">
        <v>31574</v>
      </c>
      <c r="G6627" t="s">
        <v>31582</v>
      </c>
      <c r="H6627" t="s">
        <v>31592</v>
      </c>
      <c r="I6627" t="s">
        <v>31608</v>
      </c>
      <c r="J6627" t="s">
        <v>32550</v>
      </c>
      <c r="K6627" t="s">
        <v>41225</v>
      </c>
      <c r="M6627" t="s">
        <v>42719</v>
      </c>
      <c r="N6627" t="s">
        <v>45095</v>
      </c>
      <c r="O6627" t="s">
        <v>45096</v>
      </c>
      <c r="P6627">
        <v>0</v>
      </c>
      <c r="Q6627">
        <v>14</v>
      </c>
      <c r="R6627" t="s">
        <v>45102</v>
      </c>
      <c r="S6627" t="s">
        <v>45242</v>
      </c>
      <c r="T6627" t="s">
        <v>47004</v>
      </c>
      <c r="U6627" t="s">
        <v>53022</v>
      </c>
      <c r="W6627" t="s">
        <v>42719</v>
      </c>
      <c r="X6627" t="s">
        <v>45103</v>
      </c>
    </row>
    <row r="6628" spans="1:24">
      <c r="A6628">
        <f>HYPERLINK("https://www.philgeps.gov.ph/GEPSNONPILOT/Tender/SplashBidNoticeAbstractUI.aspx?menuIndex=3&amp;refID=7040959&amp;Result=3","7040959")</f>
        <v>0</v>
      </c>
      <c r="B6628" t="s">
        <v>1316</v>
      </c>
      <c r="C6628" t="s">
        <v>9529</v>
      </c>
      <c r="D6628" t="s">
        <v>18084</v>
      </c>
      <c r="E6628" t="s">
        <v>23983</v>
      </c>
      <c r="F6628" t="s">
        <v>31574</v>
      </c>
      <c r="G6628" t="s">
        <v>31582</v>
      </c>
      <c r="H6628" t="s">
        <v>31590</v>
      </c>
      <c r="I6628" t="s">
        <v>31664</v>
      </c>
      <c r="J6628" t="s">
        <v>32203</v>
      </c>
      <c r="K6628" t="s">
        <v>41193</v>
      </c>
      <c r="M6628" t="s">
        <v>42886</v>
      </c>
      <c r="N6628" t="s">
        <v>45095</v>
      </c>
      <c r="O6628" t="s">
        <v>45096</v>
      </c>
      <c r="P6628">
        <v>0</v>
      </c>
      <c r="Q6628">
        <v>0</v>
      </c>
      <c r="R6628" t="s">
        <v>45102</v>
      </c>
      <c r="S6628" t="s">
        <v>45242</v>
      </c>
      <c r="T6628" t="s">
        <v>47106</v>
      </c>
      <c r="U6628" t="s">
        <v>53023</v>
      </c>
      <c r="W6628" t="s">
        <v>42886</v>
      </c>
      <c r="X6628" t="s">
        <v>45103</v>
      </c>
    </row>
    <row r="6629" spans="1:24">
      <c r="A6629">
        <f>HYPERLINK("https://www.philgeps.gov.ph/GEPSNONPILOT/Tender/SplashBidNoticeAbstractUI.aspx?menuIndex=3&amp;refID=7016854&amp;Result=3","7016854")</f>
        <v>0</v>
      </c>
      <c r="B6629" t="s">
        <v>2031</v>
      </c>
      <c r="C6629" t="s">
        <v>9530</v>
      </c>
      <c r="D6629" t="s">
        <v>18044</v>
      </c>
      <c r="E6629" t="s">
        <v>23987</v>
      </c>
      <c r="F6629" t="s">
        <v>31574</v>
      </c>
      <c r="G6629" t="s">
        <v>31582</v>
      </c>
      <c r="H6629" t="s">
        <v>31592</v>
      </c>
      <c r="I6629" t="s">
        <v>4327</v>
      </c>
      <c r="J6629" t="s">
        <v>35980</v>
      </c>
      <c r="K6629" t="s">
        <v>41186</v>
      </c>
      <c r="M6629" t="s">
        <v>43698</v>
      </c>
      <c r="N6629" t="s">
        <v>45095</v>
      </c>
      <c r="O6629" t="s">
        <v>45096</v>
      </c>
      <c r="P6629">
        <v>0</v>
      </c>
      <c r="Q6629">
        <v>7</v>
      </c>
      <c r="R6629" t="s">
        <v>45103</v>
      </c>
      <c r="S6629" t="s">
        <v>45270</v>
      </c>
      <c r="T6629" t="s">
        <v>47232</v>
      </c>
      <c r="U6629" t="s">
        <v>53024</v>
      </c>
      <c r="V6629" t="s">
        <v>60563</v>
      </c>
      <c r="W6629" t="s">
        <v>43698</v>
      </c>
      <c r="X6629" t="s">
        <v>45115</v>
      </c>
    </row>
    <row r="6630" spans="1:24">
      <c r="A6630">
        <f>HYPERLINK("https://www.philgeps.gov.ph/GEPSNONPILOT/Tender/SplashBidNoticeAbstractUI.aspx?menuIndex=3&amp;refID=7040962&amp;Result=3","7040962")</f>
        <v>0</v>
      </c>
      <c r="B6630" t="s">
        <v>1316</v>
      </c>
      <c r="C6630" t="s">
        <v>9531</v>
      </c>
      <c r="D6630" t="s">
        <v>18084</v>
      </c>
      <c r="E6630" t="s">
        <v>23983</v>
      </c>
      <c r="F6630" t="s">
        <v>31574</v>
      </c>
      <c r="G6630" t="s">
        <v>31582</v>
      </c>
      <c r="H6630" t="s">
        <v>31590</v>
      </c>
      <c r="I6630" t="s">
        <v>31664</v>
      </c>
      <c r="J6630" t="s">
        <v>35981</v>
      </c>
      <c r="K6630" t="s">
        <v>41193</v>
      </c>
      <c r="M6630" t="s">
        <v>42886</v>
      </c>
      <c r="N6630" t="s">
        <v>45095</v>
      </c>
      <c r="O6630" t="s">
        <v>45096</v>
      </c>
      <c r="P6630">
        <v>0</v>
      </c>
      <c r="Q6630">
        <v>0</v>
      </c>
      <c r="R6630" t="s">
        <v>45102</v>
      </c>
      <c r="S6630" t="s">
        <v>45242</v>
      </c>
      <c r="T6630" t="s">
        <v>46936</v>
      </c>
      <c r="U6630" t="s">
        <v>53025</v>
      </c>
      <c r="W6630" t="s">
        <v>42886</v>
      </c>
      <c r="X6630" t="s">
        <v>45103</v>
      </c>
    </row>
    <row r="6631" spans="1:24">
      <c r="A6631">
        <f>HYPERLINK("https://www.philgeps.gov.ph/GEPSNONPILOT/Tender/SplashBidNoticeAbstractUI.aspx?menuIndex=3&amp;refID=7040944&amp;Result=3","7040944")</f>
        <v>0</v>
      </c>
      <c r="B6631" t="s">
        <v>2032</v>
      </c>
      <c r="C6631" t="s">
        <v>9532</v>
      </c>
      <c r="D6631" t="s">
        <v>18065</v>
      </c>
      <c r="E6631" t="s">
        <v>23988</v>
      </c>
      <c r="F6631" t="s">
        <v>31574</v>
      </c>
      <c r="G6631" t="s">
        <v>31581</v>
      </c>
      <c r="H6631" t="s">
        <v>31590</v>
      </c>
      <c r="I6631" t="s">
        <v>8258</v>
      </c>
      <c r="J6631" t="s">
        <v>32381</v>
      </c>
      <c r="K6631" t="s">
        <v>41186</v>
      </c>
      <c r="M6631" t="s">
        <v>43699</v>
      </c>
      <c r="N6631" t="s">
        <v>45095</v>
      </c>
      <c r="O6631" t="s">
        <v>45096</v>
      </c>
      <c r="P6631">
        <v>0</v>
      </c>
      <c r="Q6631">
        <v>5</v>
      </c>
      <c r="R6631" t="s">
        <v>45102</v>
      </c>
      <c r="S6631" t="s">
        <v>45242</v>
      </c>
      <c r="T6631" t="s">
        <v>47299</v>
      </c>
      <c r="U6631" t="s">
        <v>53026</v>
      </c>
      <c r="W6631" t="s">
        <v>43699</v>
      </c>
      <c r="X6631" t="s">
        <v>45103</v>
      </c>
    </row>
    <row r="6632" spans="1:24">
      <c r="A6632">
        <f>HYPERLINK("https://www.philgeps.gov.ph/GEPSNONPILOT/Tender/SplashBidNoticeAbstractUI.aspx?menuIndex=3&amp;refID=7013338&amp;Result=3","7013338")</f>
        <v>0</v>
      </c>
      <c r="B6632" t="s">
        <v>1220</v>
      </c>
      <c r="C6632" t="s">
        <v>9533</v>
      </c>
      <c r="D6632" t="s">
        <v>18065</v>
      </c>
      <c r="E6632" t="s">
        <v>18376</v>
      </c>
      <c r="F6632" t="s">
        <v>31574</v>
      </c>
      <c r="G6632" t="s">
        <v>31582</v>
      </c>
      <c r="H6632" t="s">
        <v>31591</v>
      </c>
      <c r="I6632" t="s">
        <v>8822</v>
      </c>
      <c r="J6632" t="s">
        <v>32101</v>
      </c>
      <c r="K6632" t="s">
        <v>41189</v>
      </c>
      <c r="M6632" t="s">
        <v>42782</v>
      </c>
      <c r="N6632" t="s">
        <v>45095</v>
      </c>
      <c r="O6632" t="s">
        <v>45096</v>
      </c>
      <c r="P6632">
        <v>0</v>
      </c>
      <c r="Q6632">
        <v>2</v>
      </c>
      <c r="R6632" t="s">
        <v>45103</v>
      </c>
      <c r="S6632" t="s">
        <v>45270</v>
      </c>
      <c r="T6632" t="s">
        <v>47263</v>
      </c>
      <c r="U6632" t="s">
        <v>53027</v>
      </c>
      <c r="W6632" t="s">
        <v>42782</v>
      </c>
      <c r="X6632" t="s">
        <v>45117</v>
      </c>
    </row>
    <row r="6633" spans="1:24">
      <c r="A6633">
        <f>HYPERLINK("https://www.philgeps.gov.ph/GEPSNONPILOT/Tender/SplashBidNoticeAbstractUI.aspx?menuIndex=3&amp;refID=7040958&amp;Result=3","7040958")</f>
        <v>0</v>
      </c>
      <c r="B6633" t="s">
        <v>1729</v>
      </c>
      <c r="C6633" t="s">
        <v>9534</v>
      </c>
      <c r="D6633" t="s">
        <v>18103</v>
      </c>
      <c r="E6633" t="s">
        <v>23989</v>
      </c>
      <c r="F6633" t="s">
        <v>31574</v>
      </c>
      <c r="G6633" t="s">
        <v>31584</v>
      </c>
      <c r="H6633" t="s">
        <v>31590</v>
      </c>
      <c r="I6633" t="s">
        <v>6800</v>
      </c>
      <c r="J6633" t="s">
        <v>35982</v>
      </c>
      <c r="K6633" t="s">
        <v>41190</v>
      </c>
      <c r="M6633" t="s">
        <v>43347</v>
      </c>
      <c r="N6633" t="s">
        <v>45095</v>
      </c>
      <c r="O6633" t="s">
        <v>45096</v>
      </c>
      <c r="P6633">
        <v>0</v>
      </c>
      <c r="Q6633">
        <v>4</v>
      </c>
      <c r="R6633" t="s">
        <v>45102</v>
      </c>
      <c r="S6633" t="s">
        <v>45242</v>
      </c>
      <c r="T6633" t="s">
        <v>47159</v>
      </c>
      <c r="U6633" t="s">
        <v>51854</v>
      </c>
      <c r="W6633" t="s">
        <v>43347</v>
      </c>
      <c r="X6633" t="s">
        <v>45103</v>
      </c>
    </row>
    <row r="6634" spans="1:24">
      <c r="A6634">
        <f>HYPERLINK("https://www.philgeps.gov.ph/GEPSNONPILOT/Tender/SplashBidNoticeAbstractUI.aspx?menuIndex=3&amp;refID=7040879&amp;Result=3","7040879")</f>
        <v>0</v>
      </c>
      <c r="B6634" t="s">
        <v>1491</v>
      </c>
      <c r="C6634" t="s">
        <v>9535</v>
      </c>
      <c r="D6634" t="s">
        <v>18086</v>
      </c>
      <c r="E6634" t="s">
        <v>23990</v>
      </c>
      <c r="F6634" t="s">
        <v>31574</v>
      </c>
      <c r="G6634" t="s">
        <v>31582</v>
      </c>
      <c r="H6634" t="s">
        <v>31590</v>
      </c>
      <c r="I6634" t="s">
        <v>6800</v>
      </c>
      <c r="J6634" t="s">
        <v>35983</v>
      </c>
      <c r="K6634" t="s">
        <v>41191</v>
      </c>
      <c r="M6634" t="s">
        <v>43076</v>
      </c>
      <c r="N6634" t="s">
        <v>45095</v>
      </c>
      <c r="O6634" t="s">
        <v>45096</v>
      </c>
      <c r="P6634">
        <v>0</v>
      </c>
      <c r="Q6634">
        <v>2</v>
      </c>
      <c r="R6634" t="s">
        <v>45102</v>
      </c>
      <c r="S6634" t="s">
        <v>45242</v>
      </c>
      <c r="T6634" t="s">
        <v>47300</v>
      </c>
      <c r="U6634" t="s">
        <v>53028</v>
      </c>
      <c r="W6634" t="s">
        <v>43076</v>
      </c>
      <c r="X6634" t="s">
        <v>45103</v>
      </c>
    </row>
    <row r="6635" spans="1:24">
      <c r="A6635">
        <f>HYPERLINK("https://www.philgeps.gov.ph/GEPSNONPILOT/Tender/SplashBidNoticeAbstractUI.aspx?menuIndex=3&amp;refID=7040949&amp;Result=3","7040949")</f>
        <v>0</v>
      </c>
      <c r="B6635" t="s">
        <v>2032</v>
      </c>
      <c r="C6635" t="s">
        <v>9536</v>
      </c>
      <c r="D6635" t="s">
        <v>18065</v>
      </c>
      <c r="E6635" t="s">
        <v>23991</v>
      </c>
      <c r="F6635" t="s">
        <v>31574</v>
      </c>
      <c r="G6635" t="s">
        <v>31581</v>
      </c>
      <c r="H6635" t="s">
        <v>31590</v>
      </c>
      <c r="I6635" t="s">
        <v>31608</v>
      </c>
      <c r="J6635" t="s">
        <v>35927</v>
      </c>
      <c r="K6635" t="s">
        <v>41186</v>
      </c>
      <c r="M6635" t="s">
        <v>43699</v>
      </c>
      <c r="N6635" t="s">
        <v>45095</v>
      </c>
      <c r="O6635" t="s">
        <v>45096</v>
      </c>
      <c r="P6635">
        <v>0</v>
      </c>
      <c r="Q6635">
        <v>4</v>
      </c>
      <c r="R6635" t="s">
        <v>45102</v>
      </c>
      <c r="S6635" t="s">
        <v>45242</v>
      </c>
      <c r="T6635" t="s">
        <v>47235</v>
      </c>
      <c r="U6635" t="s">
        <v>53026</v>
      </c>
      <c r="W6635" t="s">
        <v>43699</v>
      </c>
      <c r="X6635" t="s">
        <v>45103</v>
      </c>
    </row>
    <row r="6636" spans="1:24">
      <c r="A6636">
        <f>HYPERLINK("https://www.philgeps.gov.ph/GEPSNONPILOT/Tender/SplashBidNoticeAbstractUI.aspx?menuIndex=3&amp;refID=7040957&amp;Result=3","7040957")</f>
        <v>0</v>
      </c>
      <c r="B6636" t="s">
        <v>2033</v>
      </c>
      <c r="C6636" t="s">
        <v>9537</v>
      </c>
      <c r="D6636" t="s">
        <v>18022</v>
      </c>
      <c r="E6636" t="s">
        <v>23992</v>
      </c>
      <c r="F6636" t="s">
        <v>31574</v>
      </c>
      <c r="G6636" t="s">
        <v>31582</v>
      </c>
      <c r="H6636" t="s">
        <v>31590</v>
      </c>
      <c r="I6636" t="s">
        <v>6800</v>
      </c>
      <c r="J6636" t="s">
        <v>31789</v>
      </c>
      <c r="K6636" t="s">
        <v>41190</v>
      </c>
      <c r="M6636" t="s">
        <v>43700</v>
      </c>
      <c r="N6636" t="s">
        <v>45095</v>
      </c>
      <c r="O6636" t="s">
        <v>45096</v>
      </c>
      <c r="P6636">
        <v>0</v>
      </c>
      <c r="Q6636">
        <v>5</v>
      </c>
      <c r="R6636" t="s">
        <v>45102</v>
      </c>
      <c r="S6636" t="s">
        <v>45242</v>
      </c>
      <c r="T6636" t="s">
        <v>46973</v>
      </c>
      <c r="U6636" t="s">
        <v>53029</v>
      </c>
      <c r="W6636" t="s">
        <v>43700</v>
      </c>
      <c r="X6636" t="s">
        <v>45103</v>
      </c>
    </row>
    <row r="6637" spans="1:24">
      <c r="A6637">
        <f>HYPERLINK("https://www.philgeps.gov.ph/GEPSNONPILOT/Tender/SplashBidNoticeAbstractUI.aspx?menuIndex=3&amp;refID=7040952&amp;Result=3","7040952")</f>
        <v>0</v>
      </c>
      <c r="B6637" t="s">
        <v>2034</v>
      </c>
      <c r="C6637" t="s">
        <v>9538</v>
      </c>
      <c r="D6637" t="s">
        <v>18084</v>
      </c>
      <c r="E6637" t="s">
        <v>19701</v>
      </c>
      <c r="F6637" t="s">
        <v>31574</v>
      </c>
      <c r="G6637" t="s">
        <v>31581</v>
      </c>
      <c r="H6637" t="s">
        <v>31590</v>
      </c>
      <c r="I6637" t="s">
        <v>7185</v>
      </c>
      <c r="J6637" t="s">
        <v>32930</v>
      </c>
      <c r="K6637" t="s">
        <v>41211</v>
      </c>
      <c r="M6637" t="s">
        <v>43701</v>
      </c>
      <c r="N6637" t="s">
        <v>45095</v>
      </c>
      <c r="O6637" t="s">
        <v>45096</v>
      </c>
      <c r="P6637">
        <v>0</v>
      </c>
      <c r="Q6637">
        <v>1</v>
      </c>
      <c r="R6637" t="s">
        <v>45102</v>
      </c>
      <c r="S6637" t="s">
        <v>45242</v>
      </c>
      <c r="T6637" t="s">
        <v>47067</v>
      </c>
      <c r="U6637" t="s">
        <v>53030</v>
      </c>
      <c r="W6637" t="s">
        <v>43701</v>
      </c>
      <c r="X6637" t="s">
        <v>45103</v>
      </c>
    </row>
    <row r="6638" spans="1:24">
      <c r="A6638">
        <f>HYPERLINK("https://www.philgeps.gov.ph/GEPSNONPILOT/Tender/SplashBidNoticeAbstractUI.aspx?menuIndex=3&amp;refID=7012626-2&amp;Result=3","7012626-2")</f>
        <v>0</v>
      </c>
      <c r="B6638" t="s">
        <v>506</v>
      </c>
      <c r="C6638" t="s">
        <v>9539</v>
      </c>
      <c r="E6638" t="s">
        <v>23993</v>
      </c>
      <c r="F6638" t="s">
        <v>31574</v>
      </c>
      <c r="G6638" t="s">
        <v>31582</v>
      </c>
      <c r="H6638" t="s">
        <v>31593</v>
      </c>
      <c r="I6638" t="s">
        <v>31593</v>
      </c>
      <c r="J6638" t="s">
        <v>35984</v>
      </c>
      <c r="K6638" t="s">
        <v>41184</v>
      </c>
      <c r="M6638" t="s">
        <v>42002</v>
      </c>
      <c r="N6638" t="s">
        <v>45095</v>
      </c>
      <c r="O6638" t="s">
        <v>45096</v>
      </c>
      <c r="P6638">
        <v>0</v>
      </c>
      <c r="Q6638">
        <v>1</v>
      </c>
      <c r="R6638" t="s">
        <v>45103</v>
      </c>
      <c r="S6638" t="s">
        <v>45270</v>
      </c>
      <c r="T6638" t="s">
        <v>47000</v>
      </c>
      <c r="U6638" t="s">
        <v>53031</v>
      </c>
      <c r="V6638" t="s">
        <v>60564</v>
      </c>
      <c r="W6638" t="s">
        <v>42002</v>
      </c>
      <c r="X6638" t="s">
        <v>45104</v>
      </c>
    </row>
    <row r="6639" spans="1:24">
      <c r="A6639">
        <f>HYPERLINK("https://www.philgeps.gov.ph/GEPSNONPILOT/Tender/SplashBidNoticeAbstractUI.aspx?menuIndex=3&amp;refID=7040956&amp;Result=3","7040956")</f>
        <v>0</v>
      </c>
      <c r="B6639" t="s">
        <v>2033</v>
      </c>
      <c r="C6639" t="s">
        <v>9540</v>
      </c>
      <c r="D6639" t="s">
        <v>18022</v>
      </c>
      <c r="E6639" t="s">
        <v>23994</v>
      </c>
      <c r="F6639" t="s">
        <v>31574</v>
      </c>
      <c r="G6639" t="s">
        <v>31582</v>
      </c>
      <c r="H6639" t="s">
        <v>31590</v>
      </c>
      <c r="I6639" t="s">
        <v>5717</v>
      </c>
      <c r="J6639" t="s">
        <v>35985</v>
      </c>
      <c r="K6639" t="s">
        <v>41190</v>
      </c>
      <c r="M6639" t="s">
        <v>43700</v>
      </c>
      <c r="N6639" t="s">
        <v>45095</v>
      </c>
      <c r="O6639" t="s">
        <v>45096</v>
      </c>
      <c r="P6639">
        <v>0</v>
      </c>
      <c r="Q6639">
        <v>4</v>
      </c>
      <c r="R6639" t="s">
        <v>45102</v>
      </c>
      <c r="S6639" t="s">
        <v>45242</v>
      </c>
      <c r="T6639" t="s">
        <v>46973</v>
      </c>
      <c r="U6639" t="s">
        <v>53029</v>
      </c>
      <c r="W6639" t="s">
        <v>43700</v>
      </c>
      <c r="X6639" t="s">
        <v>45103</v>
      </c>
    </row>
    <row r="6640" spans="1:24">
      <c r="A6640">
        <f>HYPERLINK("https://www.philgeps.gov.ph/GEPSNONPILOT/Tender/SplashBidNoticeAbstractUI.aspx?menuIndex=3&amp;refID=7019234&amp;Result=3","7019234")</f>
        <v>0</v>
      </c>
      <c r="B6640" t="s">
        <v>2035</v>
      </c>
      <c r="C6640" t="s">
        <v>9541</v>
      </c>
      <c r="D6640" t="s">
        <v>18035</v>
      </c>
      <c r="E6640" t="s">
        <v>18175</v>
      </c>
      <c r="F6640" t="s">
        <v>31574</v>
      </c>
      <c r="G6640" t="s">
        <v>31582</v>
      </c>
      <c r="H6640" t="s">
        <v>31591</v>
      </c>
      <c r="I6640" t="s">
        <v>7162</v>
      </c>
      <c r="J6640" t="s">
        <v>35986</v>
      </c>
      <c r="K6640" t="s">
        <v>41191</v>
      </c>
      <c r="L6640" t="s">
        <v>2035</v>
      </c>
      <c r="M6640" t="s">
        <v>43702</v>
      </c>
      <c r="N6640" t="s">
        <v>45095</v>
      </c>
      <c r="O6640" t="s">
        <v>45096</v>
      </c>
      <c r="P6640">
        <v>0</v>
      </c>
      <c r="Q6640">
        <v>2</v>
      </c>
      <c r="R6640" t="s">
        <v>45103</v>
      </c>
      <c r="S6640" t="s">
        <v>45270</v>
      </c>
      <c r="T6640" t="s">
        <v>47106</v>
      </c>
      <c r="U6640" t="s">
        <v>53032</v>
      </c>
      <c r="W6640" t="s">
        <v>43702</v>
      </c>
      <c r="X6640" t="s">
        <v>45112</v>
      </c>
    </row>
    <row r="6641" spans="1:24">
      <c r="A6641">
        <f>HYPERLINK("https://www.philgeps.gov.ph/GEPSNONPILOT/Tender/SplashBidNoticeAbstractUI.aspx?menuIndex=3&amp;refID=7002813&amp;Result=3","7002813")</f>
        <v>0</v>
      </c>
      <c r="B6641" t="s">
        <v>2036</v>
      </c>
      <c r="C6641" t="s">
        <v>9542</v>
      </c>
      <c r="D6641" t="s">
        <v>18059</v>
      </c>
      <c r="E6641" t="s">
        <v>23995</v>
      </c>
      <c r="F6641" t="s">
        <v>31574</v>
      </c>
      <c r="G6641" t="s">
        <v>31582</v>
      </c>
      <c r="H6641" t="s">
        <v>31590</v>
      </c>
      <c r="I6641" t="s">
        <v>31605</v>
      </c>
      <c r="J6641" t="s">
        <v>35987</v>
      </c>
      <c r="K6641" t="s">
        <v>41190</v>
      </c>
      <c r="M6641" t="s">
        <v>43703</v>
      </c>
      <c r="N6641" t="s">
        <v>45095</v>
      </c>
      <c r="O6641" t="s">
        <v>45096</v>
      </c>
      <c r="P6641">
        <v>0</v>
      </c>
      <c r="Q6641">
        <v>0</v>
      </c>
      <c r="R6641" t="s">
        <v>45103</v>
      </c>
      <c r="S6641" t="s">
        <v>45270</v>
      </c>
      <c r="T6641" t="s">
        <v>47064</v>
      </c>
      <c r="U6641" t="s">
        <v>53033</v>
      </c>
      <c r="W6641" t="s">
        <v>43703</v>
      </c>
      <c r="X6641" t="s">
        <v>45124</v>
      </c>
    </row>
    <row r="6642" spans="1:24">
      <c r="A6642">
        <f>HYPERLINK("https://www.philgeps.gov.ph/GEPSNONPILOT/Tender/SplashBidNoticeAbstractUI.aspx?menuIndex=3&amp;refID=7040883&amp;Result=3","7040883")</f>
        <v>0</v>
      </c>
      <c r="B6642" t="s">
        <v>1327</v>
      </c>
      <c r="C6642" t="s">
        <v>9543</v>
      </c>
      <c r="E6642" t="s">
        <v>9543</v>
      </c>
      <c r="F6642" t="s">
        <v>31574</v>
      </c>
      <c r="G6642" t="s">
        <v>31581</v>
      </c>
      <c r="H6642" t="s">
        <v>31590</v>
      </c>
      <c r="I6642" t="s">
        <v>7185</v>
      </c>
      <c r="J6642" t="s">
        <v>35988</v>
      </c>
      <c r="K6642" t="s">
        <v>41193</v>
      </c>
      <c r="M6642" t="s">
        <v>42897</v>
      </c>
      <c r="N6642" t="s">
        <v>45095</v>
      </c>
      <c r="O6642" t="s">
        <v>45096</v>
      </c>
      <c r="P6642">
        <v>0</v>
      </c>
      <c r="Q6642">
        <v>0</v>
      </c>
      <c r="R6642" t="s">
        <v>45102</v>
      </c>
      <c r="S6642" t="s">
        <v>45242</v>
      </c>
      <c r="T6642" t="s">
        <v>47154</v>
      </c>
      <c r="U6642" t="s">
        <v>53034</v>
      </c>
      <c r="W6642" t="s">
        <v>42897</v>
      </c>
      <c r="X6642" t="s">
        <v>45103</v>
      </c>
    </row>
    <row r="6643" spans="1:24">
      <c r="A6643">
        <f>HYPERLINK("https://www.philgeps.gov.ph/GEPSNONPILOT/Tender/SplashBidNoticeAbstractUI.aspx?menuIndex=3&amp;refID=7025230&amp;Result=3","7025230")</f>
        <v>0</v>
      </c>
      <c r="B6643" t="s">
        <v>1933</v>
      </c>
      <c r="C6643" t="s">
        <v>9544</v>
      </c>
      <c r="D6643" t="s">
        <v>18067</v>
      </c>
      <c r="E6643" t="s">
        <v>23996</v>
      </c>
      <c r="F6643" t="s">
        <v>31574</v>
      </c>
      <c r="G6643" t="s">
        <v>31581</v>
      </c>
      <c r="H6643" t="s">
        <v>31590</v>
      </c>
      <c r="I6643" t="s">
        <v>4327</v>
      </c>
      <c r="J6643" t="s">
        <v>31930</v>
      </c>
      <c r="K6643" t="s">
        <v>41184</v>
      </c>
      <c r="M6643" t="s">
        <v>43587</v>
      </c>
      <c r="N6643" t="s">
        <v>45095</v>
      </c>
      <c r="O6643" t="s">
        <v>45096</v>
      </c>
      <c r="P6643">
        <v>0</v>
      </c>
      <c r="Q6643">
        <v>1</v>
      </c>
      <c r="R6643" t="s">
        <v>45103</v>
      </c>
      <c r="S6643" t="s">
        <v>45270</v>
      </c>
      <c r="T6643" t="s">
        <v>47162</v>
      </c>
      <c r="U6643" t="s">
        <v>53035</v>
      </c>
      <c r="W6643" t="s">
        <v>43587</v>
      </c>
      <c r="X6643" t="s">
        <v>45110</v>
      </c>
    </row>
    <row r="6644" spans="1:24">
      <c r="A6644">
        <f>HYPERLINK("https://www.philgeps.gov.ph/GEPSNONPILOT/Tender/SplashBidNoticeAbstractUI.aspx?menuIndex=3&amp;refID=7023404&amp;Result=3","7023404")</f>
        <v>0</v>
      </c>
      <c r="B6644" t="s">
        <v>38</v>
      </c>
      <c r="C6644" t="s">
        <v>9545</v>
      </c>
      <c r="D6644" t="s">
        <v>18033</v>
      </c>
      <c r="E6644" t="s">
        <v>23997</v>
      </c>
      <c r="F6644" t="s">
        <v>31574</v>
      </c>
      <c r="G6644" t="s">
        <v>31582</v>
      </c>
      <c r="H6644" t="s">
        <v>31590</v>
      </c>
      <c r="I6644" t="s">
        <v>31619</v>
      </c>
      <c r="J6644" t="s">
        <v>31741</v>
      </c>
      <c r="K6644" t="s">
        <v>41193</v>
      </c>
      <c r="M6644" t="s">
        <v>41521</v>
      </c>
      <c r="N6644" t="s">
        <v>45095</v>
      </c>
      <c r="O6644" t="s">
        <v>45096</v>
      </c>
      <c r="P6644">
        <v>0</v>
      </c>
      <c r="Q6644">
        <v>1</v>
      </c>
      <c r="R6644" t="s">
        <v>45103</v>
      </c>
      <c r="S6644" t="s">
        <v>45270</v>
      </c>
      <c r="T6644" t="s">
        <v>46985</v>
      </c>
      <c r="U6644" t="s">
        <v>53036</v>
      </c>
      <c r="V6644" t="s">
        <v>60085</v>
      </c>
      <c r="W6644" t="s">
        <v>41521</v>
      </c>
      <c r="X6644" t="s">
        <v>45111</v>
      </c>
    </row>
    <row r="6645" spans="1:24">
      <c r="A6645">
        <f>HYPERLINK("https://www.philgeps.gov.ph/GEPSNONPILOT/Tender/SplashBidNoticeAbstractUI.aspx?menuIndex=3&amp;refID=7024815&amp;Result=3","7024815")</f>
        <v>0</v>
      </c>
      <c r="B6645" t="s">
        <v>2037</v>
      </c>
      <c r="C6645" t="s">
        <v>9546</v>
      </c>
      <c r="D6645" t="s">
        <v>18075</v>
      </c>
      <c r="E6645" t="s">
        <v>23998</v>
      </c>
      <c r="F6645" t="s">
        <v>31574</v>
      </c>
      <c r="G6645" t="s">
        <v>31582</v>
      </c>
      <c r="H6645" t="s">
        <v>31591</v>
      </c>
      <c r="I6645" t="s">
        <v>8822</v>
      </c>
      <c r="J6645" t="s">
        <v>32774</v>
      </c>
      <c r="K6645" t="s">
        <v>41186</v>
      </c>
      <c r="M6645" t="s">
        <v>43704</v>
      </c>
      <c r="N6645" t="s">
        <v>45095</v>
      </c>
      <c r="O6645" t="s">
        <v>45096</v>
      </c>
      <c r="P6645">
        <v>0</v>
      </c>
      <c r="Q6645">
        <v>0</v>
      </c>
      <c r="R6645" t="s">
        <v>45103</v>
      </c>
      <c r="S6645" t="s">
        <v>45270</v>
      </c>
      <c r="T6645" t="s">
        <v>47094</v>
      </c>
      <c r="U6645" t="s">
        <v>53037</v>
      </c>
      <c r="W6645" t="s">
        <v>43704</v>
      </c>
      <c r="X6645" t="s">
        <v>45110</v>
      </c>
    </row>
    <row r="6646" spans="1:24">
      <c r="A6646">
        <f>HYPERLINK("https://www.philgeps.gov.ph/GEPSNONPILOT/Tender/SplashBidNoticeAbstractUI.aspx?menuIndex=3&amp;refID=7024711&amp;Result=3","7024711")</f>
        <v>0</v>
      </c>
      <c r="B6646" t="s">
        <v>1074</v>
      </c>
      <c r="C6646" t="s">
        <v>9547</v>
      </c>
      <c r="D6646" t="s">
        <v>18040</v>
      </c>
      <c r="E6646" t="s">
        <v>23999</v>
      </c>
      <c r="F6646" t="s">
        <v>31574</v>
      </c>
      <c r="G6646" t="s">
        <v>31582</v>
      </c>
      <c r="H6646" t="s">
        <v>31591</v>
      </c>
      <c r="I6646" t="s">
        <v>8822</v>
      </c>
      <c r="J6646" t="s">
        <v>31771</v>
      </c>
      <c r="K6646" t="s">
        <v>41192</v>
      </c>
      <c r="M6646" t="s">
        <v>42620</v>
      </c>
      <c r="N6646" t="s">
        <v>45095</v>
      </c>
      <c r="O6646" t="s">
        <v>45096</v>
      </c>
      <c r="P6646">
        <v>0</v>
      </c>
      <c r="Q6646">
        <v>0</v>
      </c>
      <c r="R6646" t="s">
        <v>45103</v>
      </c>
      <c r="S6646" t="s">
        <v>45270</v>
      </c>
      <c r="T6646" t="s">
        <v>47266</v>
      </c>
      <c r="U6646" t="s">
        <v>53038</v>
      </c>
      <c r="W6646" t="s">
        <v>42620</v>
      </c>
      <c r="X6646" t="s">
        <v>45110</v>
      </c>
    </row>
    <row r="6647" spans="1:24">
      <c r="A6647">
        <f>HYPERLINK("https://www.philgeps.gov.ph/GEPSNONPILOT/Tender/SplashBidNoticeAbstractUI.aspx?menuIndex=3&amp;refID=7023106&amp;Result=3","7023106")</f>
        <v>0</v>
      </c>
      <c r="B6647" t="s">
        <v>38</v>
      </c>
      <c r="C6647" t="s">
        <v>9548</v>
      </c>
      <c r="D6647" t="s">
        <v>18033</v>
      </c>
      <c r="E6647" t="s">
        <v>24000</v>
      </c>
      <c r="F6647" t="s">
        <v>31574</v>
      </c>
      <c r="G6647" t="s">
        <v>31582</v>
      </c>
      <c r="H6647" t="s">
        <v>31590</v>
      </c>
      <c r="I6647" t="s">
        <v>31599</v>
      </c>
      <c r="J6647" t="s">
        <v>35989</v>
      </c>
      <c r="K6647" t="s">
        <v>41193</v>
      </c>
      <c r="M6647" t="s">
        <v>41521</v>
      </c>
      <c r="N6647" t="s">
        <v>45095</v>
      </c>
      <c r="O6647" t="s">
        <v>45096</v>
      </c>
      <c r="P6647">
        <v>0</v>
      </c>
      <c r="Q6647">
        <v>0</v>
      </c>
      <c r="R6647" t="s">
        <v>45103</v>
      </c>
      <c r="S6647" t="s">
        <v>45270</v>
      </c>
      <c r="T6647" t="s">
        <v>46985</v>
      </c>
      <c r="U6647" t="s">
        <v>53039</v>
      </c>
      <c r="V6647" t="s">
        <v>60085</v>
      </c>
      <c r="W6647" t="s">
        <v>41521</v>
      </c>
      <c r="X6647" t="s">
        <v>45111</v>
      </c>
    </row>
    <row r="6648" spans="1:24">
      <c r="A6648">
        <f>HYPERLINK("https://www.philgeps.gov.ph/GEPSNONPILOT/Tender/SplashBidNoticeAbstractUI.aspx?menuIndex=3&amp;refID=7023041&amp;Result=3","7023041")</f>
        <v>0</v>
      </c>
      <c r="B6648" t="s">
        <v>38</v>
      </c>
      <c r="C6648" t="s">
        <v>9549</v>
      </c>
      <c r="D6648" t="s">
        <v>18033</v>
      </c>
      <c r="E6648" t="s">
        <v>9549</v>
      </c>
      <c r="F6648" t="s">
        <v>31574</v>
      </c>
      <c r="G6648" t="s">
        <v>31582</v>
      </c>
      <c r="H6648" t="s">
        <v>31590</v>
      </c>
      <c r="I6648" t="s">
        <v>4354</v>
      </c>
      <c r="J6648" t="s">
        <v>35990</v>
      </c>
      <c r="K6648" t="s">
        <v>41193</v>
      </c>
      <c r="M6648" t="s">
        <v>41521</v>
      </c>
      <c r="N6648" t="s">
        <v>45095</v>
      </c>
      <c r="O6648" t="s">
        <v>45096</v>
      </c>
      <c r="P6648">
        <v>0</v>
      </c>
      <c r="Q6648">
        <v>0</v>
      </c>
      <c r="R6648" t="s">
        <v>45103</v>
      </c>
      <c r="S6648" t="s">
        <v>45270</v>
      </c>
      <c r="T6648" t="s">
        <v>46985</v>
      </c>
      <c r="U6648" t="s">
        <v>53040</v>
      </c>
      <c r="V6648" t="s">
        <v>60085</v>
      </c>
      <c r="W6648" t="s">
        <v>41521</v>
      </c>
      <c r="X6648" t="s">
        <v>45111</v>
      </c>
    </row>
    <row r="6649" spans="1:24">
      <c r="A6649">
        <f>HYPERLINK("https://www.philgeps.gov.ph/GEPSNONPILOT/Tender/SplashBidNoticeAbstractUI.aspx?menuIndex=3&amp;refID=7023350&amp;Result=3","7023350")</f>
        <v>0</v>
      </c>
      <c r="B6649" t="s">
        <v>38</v>
      </c>
      <c r="C6649" t="s">
        <v>9550</v>
      </c>
      <c r="D6649" t="s">
        <v>18033</v>
      </c>
      <c r="E6649" t="s">
        <v>24001</v>
      </c>
      <c r="F6649" t="s">
        <v>31574</v>
      </c>
      <c r="G6649" t="s">
        <v>31582</v>
      </c>
      <c r="H6649" t="s">
        <v>31590</v>
      </c>
      <c r="I6649" t="s">
        <v>31599</v>
      </c>
      <c r="J6649" t="s">
        <v>35991</v>
      </c>
      <c r="K6649" t="s">
        <v>41193</v>
      </c>
      <c r="M6649" t="s">
        <v>41521</v>
      </c>
      <c r="N6649" t="s">
        <v>45095</v>
      </c>
      <c r="O6649" t="s">
        <v>45096</v>
      </c>
      <c r="P6649">
        <v>0</v>
      </c>
      <c r="Q6649">
        <v>0</v>
      </c>
      <c r="R6649" t="s">
        <v>45103</v>
      </c>
      <c r="S6649" t="s">
        <v>45270</v>
      </c>
      <c r="T6649" t="s">
        <v>46985</v>
      </c>
      <c r="U6649" t="s">
        <v>53041</v>
      </c>
      <c r="V6649" t="s">
        <v>60085</v>
      </c>
      <c r="W6649" t="s">
        <v>41521</v>
      </c>
      <c r="X6649" t="s">
        <v>45111</v>
      </c>
    </row>
    <row r="6650" spans="1:24">
      <c r="A6650">
        <f>HYPERLINK("https://www.philgeps.gov.ph/GEPSNONPILOT/Tender/SplashBidNoticeAbstractUI.aspx?menuIndex=3&amp;refID=7024449&amp;Result=3","7024449")</f>
        <v>0</v>
      </c>
      <c r="B6650" t="s">
        <v>38</v>
      </c>
      <c r="C6650" t="s">
        <v>9551</v>
      </c>
      <c r="D6650" t="s">
        <v>18033</v>
      </c>
      <c r="E6650" t="s">
        <v>24002</v>
      </c>
      <c r="F6650" t="s">
        <v>31574</v>
      </c>
      <c r="G6650" t="s">
        <v>31582</v>
      </c>
      <c r="H6650" t="s">
        <v>31590</v>
      </c>
      <c r="I6650" t="s">
        <v>6800</v>
      </c>
      <c r="J6650" t="s">
        <v>35992</v>
      </c>
      <c r="K6650" t="s">
        <v>41194</v>
      </c>
      <c r="M6650" t="s">
        <v>42487</v>
      </c>
      <c r="N6650" t="s">
        <v>45095</v>
      </c>
      <c r="O6650" t="s">
        <v>45096</v>
      </c>
      <c r="P6650">
        <v>0</v>
      </c>
      <c r="Q6650">
        <v>0</v>
      </c>
      <c r="R6650" t="s">
        <v>45103</v>
      </c>
      <c r="S6650" t="s">
        <v>45270</v>
      </c>
      <c r="T6650" t="s">
        <v>46985</v>
      </c>
      <c r="U6650" t="s">
        <v>53042</v>
      </c>
      <c r="V6650" t="s">
        <v>59888</v>
      </c>
      <c r="W6650" t="s">
        <v>42487</v>
      </c>
      <c r="X6650" t="s">
        <v>45110</v>
      </c>
    </row>
    <row r="6651" spans="1:24">
      <c r="A6651">
        <f>HYPERLINK("https://www.philgeps.gov.ph/GEPSNONPILOT/Tender/SplashBidNoticeAbstractUI.aspx?menuIndex=3&amp;refID=7023504&amp;Result=3","7023504")</f>
        <v>0</v>
      </c>
      <c r="B6651" t="s">
        <v>622</v>
      </c>
      <c r="C6651" t="s">
        <v>9552</v>
      </c>
      <c r="D6651" t="s">
        <v>18025</v>
      </c>
      <c r="E6651" t="s">
        <v>24003</v>
      </c>
      <c r="F6651" t="s">
        <v>31574</v>
      </c>
      <c r="G6651" t="s">
        <v>31582</v>
      </c>
      <c r="H6651" t="s">
        <v>31590</v>
      </c>
      <c r="I6651" t="s">
        <v>31615</v>
      </c>
      <c r="J6651" t="s">
        <v>31819</v>
      </c>
      <c r="K6651" t="s">
        <v>41192</v>
      </c>
      <c r="M6651" t="s">
        <v>42126</v>
      </c>
      <c r="N6651" t="s">
        <v>45095</v>
      </c>
      <c r="O6651" t="s">
        <v>45096</v>
      </c>
      <c r="P6651">
        <v>0</v>
      </c>
      <c r="Q6651">
        <v>10</v>
      </c>
      <c r="R6651" t="s">
        <v>45103</v>
      </c>
      <c r="S6651" t="s">
        <v>45270</v>
      </c>
      <c r="T6651" t="s">
        <v>47290</v>
      </c>
      <c r="U6651" t="s">
        <v>53043</v>
      </c>
      <c r="V6651" t="s">
        <v>60565</v>
      </c>
      <c r="W6651" t="s">
        <v>42126</v>
      </c>
      <c r="X6651" t="s">
        <v>45111</v>
      </c>
    </row>
    <row r="6652" spans="1:24">
      <c r="A6652">
        <f>HYPERLINK("https://www.philgeps.gov.ph/GEPSNONPILOT/Tender/SplashBidNoticeAbstractUI.aspx?menuIndex=3&amp;refID=7020717&amp;Result=3","7020717")</f>
        <v>0</v>
      </c>
      <c r="B6652" t="s">
        <v>2038</v>
      </c>
      <c r="C6652" t="s">
        <v>9553</v>
      </c>
      <c r="D6652" t="s">
        <v>18043</v>
      </c>
      <c r="E6652" t="s">
        <v>18379</v>
      </c>
      <c r="F6652" t="s">
        <v>31574</v>
      </c>
      <c r="G6652" t="s">
        <v>31582</v>
      </c>
      <c r="H6652" t="s">
        <v>31591</v>
      </c>
      <c r="I6652" t="s">
        <v>8822</v>
      </c>
      <c r="J6652" t="s">
        <v>35993</v>
      </c>
      <c r="K6652" t="s">
        <v>41303</v>
      </c>
      <c r="M6652" t="s">
        <v>43705</v>
      </c>
      <c r="N6652" t="s">
        <v>45095</v>
      </c>
      <c r="O6652" t="s">
        <v>45096</v>
      </c>
      <c r="P6652">
        <v>0</v>
      </c>
      <c r="Q6652">
        <v>0</v>
      </c>
      <c r="R6652" t="s">
        <v>45103</v>
      </c>
      <c r="S6652" t="s">
        <v>45270</v>
      </c>
      <c r="T6652" t="s">
        <v>47263</v>
      </c>
      <c r="U6652" t="s">
        <v>53044</v>
      </c>
      <c r="W6652" t="s">
        <v>43705</v>
      </c>
      <c r="X6652" t="s">
        <v>45112</v>
      </c>
    </row>
    <row r="6653" spans="1:24">
      <c r="A6653">
        <f>HYPERLINK("https://www.philgeps.gov.ph/GEPSNONPILOT/Tender/SplashBidNoticeAbstractUI.aspx?menuIndex=3&amp;refID=7023579&amp;Result=3","7023579")</f>
        <v>0</v>
      </c>
      <c r="B6653" t="s">
        <v>622</v>
      </c>
      <c r="C6653" t="s">
        <v>9554</v>
      </c>
      <c r="D6653" t="s">
        <v>18025</v>
      </c>
      <c r="E6653" t="s">
        <v>24004</v>
      </c>
      <c r="F6653" t="s">
        <v>31574</v>
      </c>
      <c r="G6653" t="s">
        <v>31582</v>
      </c>
      <c r="H6653" t="s">
        <v>31590</v>
      </c>
      <c r="I6653" t="s">
        <v>31620</v>
      </c>
      <c r="J6653" t="s">
        <v>35608</v>
      </c>
      <c r="K6653" t="s">
        <v>41185</v>
      </c>
      <c r="M6653" t="s">
        <v>42126</v>
      </c>
      <c r="N6653" t="s">
        <v>45095</v>
      </c>
      <c r="O6653" t="s">
        <v>45096</v>
      </c>
      <c r="P6653">
        <v>0</v>
      </c>
      <c r="Q6653">
        <v>16</v>
      </c>
      <c r="R6653" t="s">
        <v>45103</v>
      </c>
      <c r="S6653" t="s">
        <v>45270</v>
      </c>
      <c r="T6653" t="s">
        <v>47290</v>
      </c>
      <c r="U6653" t="s">
        <v>53045</v>
      </c>
      <c r="V6653" t="s">
        <v>60565</v>
      </c>
      <c r="W6653" t="s">
        <v>42126</v>
      </c>
      <c r="X6653" t="s">
        <v>45111</v>
      </c>
    </row>
    <row r="6654" spans="1:24">
      <c r="A6654">
        <f>HYPERLINK("https://www.philgeps.gov.ph/GEPSNONPILOT/Tender/SplashBidNoticeAbstractUI.aspx?menuIndex=3&amp;refID=7026214&amp;Result=3","7026214")</f>
        <v>0</v>
      </c>
      <c r="B6654" t="s">
        <v>31</v>
      </c>
      <c r="C6654" t="s">
        <v>9555</v>
      </c>
      <c r="E6654" t="s">
        <v>24005</v>
      </c>
      <c r="F6654" t="s">
        <v>31574</v>
      </c>
      <c r="G6654" t="s">
        <v>31581</v>
      </c>
      <c r="H6654" t="s">
        <v>31590</v>
      </c>
      <c r="I6654" t="s">
        <v>6800</v>
      </c>
      <c r="J6654" t="s">
        <v>35994</v>
      </c>
      <c r="K6654" t="s">
        <v>41193</v>
      </c>
      <c r="M6654" t="s">
        <v>41513</v>
      </c>
      <c r="N6654" t="s">
        <v>45095</v>
      </c>
      <c r="O6654" t="s">
        <v>45096</v>
      </c>
      <c r="P6654">
        <v>0</v>
      </c>
      <c r="Q6654">
        <v>3</v>
      </c>
      <c r="R6654" t="s">
        <v>45103</v>
      </c>
      <c r="S6654" t="s">
        <v>45270</v>
      </c>
      <c r="T6654" t="s">
        <v>47076</v>
      </c>
      <c r="U6654" t="s">
        <v>47477</v>
      </c>
      <c r="W6654" t="s">
        <v>41513</v>
      </c>
      <c r="X6654" t="s">
        <v>45110</v>
      </c>
    </row>
    <row r="6655" spans="1:24">
      <c r="A6655">
        <f>HYPERLINK("https://www.philgeps.gov.ph/GEPSNONPILOT/Tender/SplashBidNoticeAbstractUI.aspx?menuIndex=3&amp;refID=7026199&amp;Result=3","7026199")</f>
        <v>0</v>
      </c>
      <c r="B6655" t="s">
        <v>31</v>
      </c>
      <c r="C6655" t="s">
        <v>9556</v>
      </c>
      <c r="E6655" t="s">
        <v>24006</v>
      </c>
      <c r="F6655" t="s">
        <v>31574</v>
      </c>
      <c r="G6655" t="s">
        <v>31581</v>
      </c>
      <c r="H6655" t="s">
        <v>31590</v>
      </c>
      <c r="I6655" t="s">
        <v>31599</v>
      </c>
      <c r="J6655" t="s">
        <v>31962</v>
      </c>
      <c r="K6655" t="s">
        <v>41193</v>
      </c>
      <c r="M6655" t="s">
        <v>41513</v>
      </c>
      <c r="N6655" t="s">
        <v>45095</v>
      </c>
      <c r="O6655" t="s">
        <v>45096</v>
      </c>
      <c r="P6655">
        <v>0</v>
      </c>
      <c r="Q6655">
        <v>3</v>
      </c>
      <c r="R6655" t="s">
        <v>45103</v>
      </c>
      <c r="S6655" t="s">
        <v>45270</v>
      </c>
      <c r="T6655" t="s">
        <v>47076</v>
      </c>
      <c r="U6655" t="s">
        <v>47477</v>
      </c>
      <c r="W6655" t="s">
        <v>41513</v>
      </c>
      <c r="X6655" t="s">
        <v>45110</v>
      </c>
    </row>
    <row r="6656" spans="1:24">
      <c r="A6656">
        <f>HYPERLINK("https://www.philgeps.gov.ph/GEPSNONPILOT/Tender/SplashBidNoticeAbstractUI.aspx?menuIndex=3&amp;refID=7026255&amp;Result=3","7026255")</f>
        <v>0</v>
      </c>
      <c r="B6656" t="s">
        <v>31</v>
      </c>
      <c r="C6656" t="s">
        <v>9557</v>
      </c>
      <c r="E6656" t="s">
        <v>24007</v>
      </c>
      <c r="F6656" t="s">
        <v>31574</v>
      </c>
      <c r="G6656" t="s">
        <v>31581</v>
      </c>
      <c r="H6656" t="s">
        <v>31590</v>
      </c>
      <c r="I6656" t="s">
        <v>8258</v>
      </c>
      <c r="J6656" t="s">
        <v>35995</v>
      </c>
      <c r="K6656" t="s">
        <v>41193</v>
      </c>
      <c r="M6656" t="s">
        <v>41513</v>
      </c>
      <c r="N6656" t="s">
        <v>45095</v>
      </c>
      <c r="O6656" t="s">
        <v>45096</v>
      </c>
      <c r="P6656">
        <v>0</v>
      </c>
      <c r="Q6656">
        <v>4</v>
      </c>
      <c r="R6656" t="s">
        <v>45103</v>
      </c>
      <c r="S6656" t="s">
        <v>45270</v>
      </c>
      <c r="T6656" t="s">
        <v>47076</v>
      </c>
      <c r="U6656" t="s">
        <v>47477</v>
      </c>
      <c r="W6656" t="s">
        <v>41513</v>
      </c>
      <c r="X6656" t="s">
        <v>45110</v>
      </c>
    </row>
    <row r="6657" spans="1:24">
      <c r="A6657">
        <f>HYPERLINK("https://www.philgeps.gov.ph/GEPSNONPILOT/Tender/SplashBidNoticeAbstractUI.aspx?menuIndex=3&amp;refID=7025554&amp;Result=3","7025554")</f>
        <v>0</v>
      </c>
      <c r="B6657" t="s">
        <v>1782</v>
      </c>
      <c r="C6657" t="s">
        <v>9558</v>
      </c>
      <c r="D6657" t="s">
        <v>18027</v>
      </c>
      <c r="E6657" t="s">
        <v>18422</v>
      </c>
      <c r="F6657" t="s">
        <v>31574</v>
      </c>
      <c r="G6657" t="s">
        <v>31582</v>
      </c>
      <c r="H6657" t="s">
        <v>31590</v>
      </c>
      <c r="I6657" t="s">
        <v>31620</v>
      </c>
      <c r="J6657" t="s">
        <v>31930</v>
      </c>
      <c r="K6657" t="s">
        <v>41196</v>
      </c>
      <c r="M6657" t="s">
        <v>43412</v>
      </c>
      <c r="N6657" t="s">
        <v>45095</v>
      </c>
      <c r="O6657" t="s">
        <v>45096</v>
      </c>
      <c r="P6657">
        <v>0</v>
      </c>
      <c r="Q6657">
        <v>2</v>
      </c>
      <c r="R6657" t="s">
        <v>45103</v>
      </c>
      <c r="S6657" t="s">
        <v>45270</v>
      </c>
      <c r="T6657" t="s">
        <v>47076</v>
      </c>
      <c r="U6657" t="s">
        <v>53046</v>
      </c>
      <c r="W6657" t="s">
        <v>43412</v>
      </c>
      <c r="X6657" t="s">
        <v>45110</v>
      </c>
    </row>
    <row r="6658" spans="1:24">
      <c r="A6658">
        <f>HYPERLINK("https://www.philgeps.gov.ph/GEPSNONPILOT/Tender/SplashBidNoticeAbstractUI.aspx?menuIndex=3&amp;refID=7026238&amp;Result=3","7026238")</f>
        <v>0</v>
      </c>
      <c r="B6658" t="s">
        <v>31</v>
      </c>
      <c r="C6658" t="s">
        <v>9559</v>
      </c>
      <c r="E6658" t="s">
        <v>24008</v>
      </c>
      <c r="F6658" t="s">
        <v>31574</v>
      </c>
      <c r="G6658" t="s">
        <v>31581</v>
      </c>
      <c r="H6658" t="s">
        <v>31590</v>
      </c>
      <c r="I6658" t="s">
        <v>4046</v>
      </c>
      <c r="J6658" t="s">
        <v>35996</v>
      </c>
      <c r="K6658" t="s">
        <v>41193</v>
      </c>
      <c r="M6658" t="s">
        <v>41513</v>
      </c>
      <c r="N6658" t="s">
        <v>45095</v>
      </c>
      <c r="O6658" t="s">
        <v>45096</v>
      </c>
      <c r="P6658">
        <v>0</v>
      </c>
      <c r="Q6658">
        <v>0</v>
      </c>
      <c r="R6658" t="s">
        <v>45103</v>
      </c>
      <c r="S6658" t="s">
        <v>45270</v>
      </c>
      <c r="T6658" t="s">
        <v>47076</v>
      </c>
      <c r="U6658" t="s">
        <v>47477</v>
      </c>
      <c r="W6658" t="s">
        <v>41513</v>
      </c>
      <c r="X6658" t="s">
        <v>45110</v>
      </c>
    </row>
    <row r="6659" spans="1:24">
      <c r="A6659">
        <f>HYPERLINK("https://www.philgeps.gov.ph/GEPSNONPILOT/Tender/SplashBidNoticeAbstractUI.aspx?menuIndex=3&amp;refID=7025243&amp;Result=3","7025243")</f>
        <v>0</v>
      </c>
      <c r="B6659" t="s">
        <v>1933</v>
      </c>
      <c r="C6659" t="s">
        <v>9560</v>
      </c>
      <c r="D6659" t="s">
        <v>18067</v>
      </c>
      <c r="E6659" t="s">
        <v>24009</v>
      </c>
      <c r="F6659" t="s">
        <v>31574</v>
      </c>
      <c r="G6659" t="s">
        <v>31581</v>
      </c>
      <c r="H6659" t="s">
        <v>31590</v>
      </c>
      <c r="I6659" t="s">
        <v>6800</v>
      </c>
      <c r="J6659" t="s">
        <v>35997</v>
      </c>
      <c r="K6659" t="s">
        <v>41184</v>
      </c>
      <c r="M6659" t="s">
        <v>43587</v>
      </c>
      <c r="N6659" t="s">
        <v>45095</v>
      </c>
      <c r="O6659" t="s">
        <v>45096</v>
      </c>
      <c r="P6659">
        <v>0</v>
      </c>
      <c r="Q6659">
        <v>2</v>
      </c>
      <c r="R6659" t="s">
        <v>45103</v>
      </c>
      <c r="S6659" t="s">
        <v>45270</v>
      </c>
      <c r="T6659" t="s">
        <v>47162</v>
      </c>
      <c r="U6659" t="s">
        <v>53047</v>
      </c>
      <c r="W6659" t="s">
        <v>43587</v>
      </c>
      <c r="X6659" t="s">
        <v>45110</v>
      </c>
    </row>
    <row r="6660" spans="1:24">
      <c r="A6660">
        <f>HYPERLINK("https://www.philgeps.gov.ph/GEPSNONPILOT/Tender/SplashBidNoticeAbstractUI.aspx?menuIndex=3&amp;refID=7025607&amp;Result=3","7025607")</f>
        <v>0</v>
      </c>
      <c r="B6660" t="s">
        <v>38</v>
      </c>
      <c r="C6660" t="s">
        <v>9561</v>
      </c>
      <c r="D6660" t="s">
        <v>18033</v>
      </c>
      <c r="E6660" t="s">
        <v>24010</v>
      </c>
      <c r="F6660" t="s">
        <v>31574</v>
      </c>
      <c r="G6660" t="s">
        <v>31582</v>
      </c>
      <c r="H6660" t="s">
        <v>31590</v>
      </c>
      <c r="I6660" t="s">
        <v>6800</v>
      </c>
      <c r="J6660" t="s">
        <v>35998</v>
      </c>
      <c r="K6660" t="s">
        <v>41194</v>
      </c>
      <c r="M6660" t="s">
        <v>42487</v>
      </c>
      <c r="N6660" t="s">
        <v>45095</v>
      </c>
      <c r="O6660" t="s">
        <v>45096</v>
      </c>
      <c r="P6660">
        <v>0</v>
      </c>
      <c r="Q6660">
        <v>0</v>
      </c>
      <c r="R6660" t="s">
        <v>45103</v>
      </c>
      <c r="S6660" t="s">
        <v>45270</v>
      </c>
      <c r="T6660" t="s">
        <v>46985</v>
      </c>
      <c r="U6660" t="s">
        <v>53048</v>
      </c>
      <c r="V6660" t="s">
        <v>59888</v>
      </c>
      <c r="W6660" t="s">
        <v>42487</v>
      </c>
      <c r="X6660" t="s">
        <v>45110</v>
      </c>
    </row>
    <row r="6661" spans="1:24">
      <c r="A6661">
        <f>HYPERLINK("https://www.philgeps.gov.ph/GEPSNONPILOT/Tender/SplashBidNoticeAbstractUI.aspx?menuIndex=3&amp;refID=7027042&amp;Result=3","7027042")</f>
        <v>0</v>
      </c>
      <c r="B6661" t="s">
        <v>1812</v>
      </c>
      <c r="C6661" t="s">
        <v>9562</v>
      </c>
      <c r="D6661" t="s">
        <v>18069</v>
      </c>
      <c r="E6661" t="s">
        <v>24011</v>
      </c>
      <c r="F6661" t="s">
        <v>31574</v>
      </c>
      <c r="G6661" t="s">
        <v>31582</v>
      </c>
      <c r="H6661" t="s">
        <v>31591</v>
      </c>
      <c r="I6661" t="s">
        <v>8822</v>
      </c>
      <c r="J6661" t="s">
        <v>32216</v>
      </c>
      <c r="K6661" t="s">
        <v>41184</v>
      </c>
      <c r="M6661" t="s">
        <v>43446</v>
      </c>
      <c r="N6661" t="s">
        <v>45095</v>
      </c>
      <c r="O6661" t="s">
        <v>45096</v>
      </c>
      <c r="P6661">
        <v>0</v>
      </c>
      <c r="Q6661">
        <v>0</v>
      </c>
      <c r="R6661" t="s">
        <v>45103</v>
      </c>
      <c r="S6661" t="s">
        <v>45270</v>
      </c>
      <c r="T6661" t="s">
        <v>47067</v>
      </c>
      <c r="U6661" t="s">
        <v>53049</v>
      </c>
      <c r="W6661" t="s">
        <v>43446</v>
      </c>
      <c r="X6661" t="s">
        <v>45110</v>
      </c>
    </row>
    <row r="6662" spans="1:24">
      <c r="A6662">
        <f>HYPERLINK("https://www.philgeps.gov.ph/GEPSNONPILOT/Tender/SplashBidNoticeAbstractUI.aspx?menuIndex=3&amp;refID=7025751&amp;Result=3","7025751")</f>
        <v>0</v>
      </c>
      <c r="B6662" t="s">
        <v>38</v>
      </c>
      <c r="C6662" t="s">
        <v>9563</v>
      </c>
      <c r="D6662" t="s">
        <v>18033</v>
      </c>
      <c r="E6662" t="s">
        <v>24012</v>
      </c>
      <c r="F6662" t="s">
        <v>31574</v>
      </c>
      <c r="G6662" t="s">
        <v>31581</v>
      </c>
      <c r="H6662" t="s">
        <v>31590</v>
      </c>
      <c r="I6662" t="s">
        <v>31603</v>
      </c>
      <c r="J6662" t="s">
        <v>32258</v>
      </c>
      <c r="K6662" t="s">
        <v>41194</v>
      </c>
      <c r="M6662" t="s">
        <v>42487</v>
      </c>
      <c r="N6662" t="s">
        <v>45095</v>
      </c>
      <c r="O6662" t="s">
        <v>45096</v>
      </c>
      <c r="P6662">
        <v>0</v>
      </c>
      <c r="Q6662">
        <v>5</v>
      </c>
      <c r="R6662" t="s">
        <v>45103</v>
      </c>
      <c r="S6662" t="s">
        <v>45270</v>
      </c>
      <c r="T6662" t="s">
        <v>46985</v>
      </c>
      <c r="U6662" t="s">
        <v>53050</v>
      </c>
      <c r="V6662" t="s">
        <v>60383</v>
      </c>
      <c r="W6662" t="s">
        <v>42487</v>
      </c>
      <c r="X6662" t="s">
        <v>45110</v>
      </c>
    </row>
    <row r="6663" spans="1:24">
      <c r="A6663">
        <f>HYPERLINK("https://www.philgeps.gov.ph/GEPSNONPILOT/Tender/SplashBidNoticeAbstractUI.aspx?menuIndex=3&amp;refID=7027056&amp;Result=3","7027056")</f>
        <v>0</v>
      </c>
      <c r="B6663" t="s">
        <v>1812</v>
      </c>
      <c r="C6663" t="s">
        <v>3993</v>
      </c>
      <c r="D6663" t="s">
        <v>18069</v>
      </c>
      <c r="E6663" t="s">
        <v>24013</v>
      </c>
      <c r="F6663" t="s">
        <v>31574</v>
      </c>
      <c r="G6663" t="s">
        <v>31582</v>
      </c>
      <c r="H6663" t="s">
        <v>31590</v>
      </c>
      <c r="I6663" t="s">
        <v>6800</v>
      </c>
      <c r="J6663" t="s">
        <v>35999</v>
      </c>
      <c r="K6663" t="s">
        <v>41184</v>
      </c>
      <c r="M6663" t="s">
        <v>43446</v>
      </c>
      <c r="N6663" t="s">
        <v>45095</v>
      </c>
      <c r="O6663" t="s">
        <v>45096</v>
      </c>
      <c r="P6663">
        <v>0</v>
      </c>
      <c r="Q6663">
        <v>2</v>
      </c>
      <c r="R6663" t="s">
        <v>45103</v>
      </c>
      <c r="S6663" t="s">
        <v>45270</v>
      </c>
      <c r="T6663" t="s">
        <v>47067</v>
      </c>
      <c r="U6663" t="s">
        <v>53051</v>
      </c>
      <c r="W6663" t="s">
        <v>43446</v>
      </c>
      <c r="X6663" t="s">
        <v>45110</v>
      </c>
    </row>
    <row r="6664" spans="1:24">
      <c r="A6664">
        <f>HYPERLINK("https://www.philgeps.gov.ph/GEPSNONPILOT/Tender/SplashBidNoticeAbstractUI.aspx?menuIndex=3&amp;refID=7028032&amp;Result=3","7028032")</f>
        <v>0</v>
      </c>
      <c r="B6664" t="s">
        <v>2039</v>
      </c>
      <c r="C6664" t="s">
        <v>7245</v>
      </c>
      <c r="D6664" t="s">
        <v>18033</v>
      </c>
      <c r="E6664" t="s">
        <v>24014</v>
      </c>
      <c r="F6664" t="s">
        <v>31574</v>
      </c>
      <c r="G6664" t="s">
        <v>31582</v>
      </c>
      <c r="H6664" t="s">
        <v>31592</v>
      </c>
      <c r="I6664" t="s">
        <v>31596</v>
      </c>
      <c r="J6664" t="s">
        <v>36000</v>
      </c>
      <c r="K6664" t="s">
        <v>41227</v>
      </c>
      <c r="M6664" t="s">
        <v>43706</v>
      </c>
      <c r="N6664" t="s">
        <v>45095</v>
      </c>
      <c r="O6664" t="s">
        <v>45096</v>
      </c>
      <c r="Q6664">
        <v>5</v>
      </c>
      <c r="R6664" t="s">
        <v>45103</v>
      </c>
      <c r="S6664" t="s">
        <v>45271</v>
      </c>
      <c r="T6664" t="s">
        <v>47003</v>
      </c>
      <c r="U6664" t="s">
        <v>53052</v>
      </c>
      <c r="W6664" t="s">
        <v>43706</v>
      </c>
      <c r="X6664" t="s">
        <v>45109</v>
      </c>
    </row>
    <row r="6665" spans="1:24">
      <c r="A6665">
        <f>HYPERLINK("https://www.philgeps.gov.ph/GEPSNONPILOT/Tender/SplashBidNoticeAbstractUI.aspx?menuIndex=3&amp;refID=7027660&amp;Result=3","7027660")</f>
        <v>0</v>
      </c>
      <c r="B6665" t="s">
        <v>2040</v>
      </c>
      <c r="C6665" t="s">
        <v>9564</v>
      </c>
      <c r="D6665" t="s">
        <v>18030</v>
      </c>
      <c r="E6665" t="s">
        <v>24015</v>
      </c>
      <c r="F6665" t="s">
        <v>31574</v>
      </c>
      <c r="G6665" t="s">
        <v>31582</v>
      </c>
      <c r="H6665" t="s">
        <v>31590</v>
      </c>
      <c r="I6665" t="s">
        <v>4046</v>
      </c>
      <c r="J6665" t="s">
        <v>36001</v>
      </c>
      <c r="K6665" t="s">
        <v>41196</v>
      </c>
      <c r="M6665" t="s">
        <v>43707</v>
      </c>
      <c r="N6665" t="s">
        <v>45095</v>
      </c>
      <c r="O6665" t="s">
        <v>45096</v>
      </c>
      <c r="P6665">
        <v>0</v>
      </c>
      <c r="Q6665">
        <v>2</v>
      </c>
      <c r="R6665" t="s">
        <v>45103</v>
      </c>
      <c r="S6665" t="s">
        <v>45270</v>
      </c>
      <c r="T6665" t="s">
        <v>46926</v>
      </c>
      <c r="U6665" t="s">
        <v>53053</v>
      </c>
      <c r="W6665" t="s">
        <v>43707</v>
      </c>
      <c r="X6665" t="s">
        <v>45109</v>
      </c>
    </row>
    <row r="6666" spans="1:24">
      <c r="A6666">
        <f>HYPERLINK("https://www.philgeps.gov.ph/GEPSNONPILOT/Tender/SplashBidNoticeAbstractUI.aspx?menuIndex=3&amp;refID=7027276&amp;Result=3","7027276")</f>
        <v>0</v>
      </c>
      <c r="B6666" t="s">
        <v>2041</v>
      </c>
      <c r="C6666" t="s">
        <v>9565</v>
      </c>
      <c r="D6666" t="s">
        <v>18049</v>
      </c>
      <c r="E6666" t="s">
        <v>24016</v>
      </c>
      <c r="F6666" t="s">
        <v>31574</v>
      </c>
      <c r="G6666" t="s">
        <v>31582</v>
      </c>
      <c r="H6666" t="s">
        <v>31590</v>
      </c>
      <c r="I6666" t="s">
        <v>4327</v>
      </c>
      <c r="J6666" t="s">
        <v>36002</v>
      </c>
      <c r="K6666" t="s">
        <v>41186</v>
      </c>
      <c r="M6666" t="s">
        <v>43708</v>
      </c>
      <c r="N6666" t="s">
        <v>45095</v>
      </c>
      <c r="O6666" t="s">
        <v>45096</v>
      </c>
      <c r="P6666">
        <v>0</v>
      </c>
      <c r="Q6666">
        <v>4</v>
      </c>
      <c r="R6666" t="s">
        <v>45103</v>
      </c>
      <c r="S6666" t="s">
        <v>45270</v>
      </c>
      <c r="T6666" t="s">
        <v>46965</v>
      </c>
      <c r="U6666" t="s">
        <v>53054</v>
      </c>
      <c r="W6666" t="s">
        <v>43708</v>
      </c>
      <c r="X6666" t="s">
        <v>45109</v>
      </c>
    </row>
    <row r="6667" spans="1:24">
      <c r="A6667">
        <f>HYPERLINK("https://www.philgeps.gov.ph/GEPSNONPILOT/Tender/SplashBidNoticeAbstractUI.aspx?menuIndex=3&amp;refID=7028853&amp;Result=3","7028853")</f>
        <v>0</v>
      </c>
      <c r="B6667" t="s">
        <v>93</v>
      </c>
      <c r="C6667" t="s">
        <v>9566</v>
      </c>
      <c r="D6667" t="s">
        <v>18061</v>
      </c>
      <c r="E6667" t="s">
        <v>24017</v>
      </c>
      <c r="F6667" t="s">
        <v>31574</v>
      </c>
      <c r="G6667" t="s">
        <v>31582</v>
      </c>
      <c r="H6667" t="s">
        <v>31590</v>
      </c>
      <c r="I6667" t="s">
        <v>4046</v>
      </c>
      <c r="J6667" t="s">
        <v>36003</v>
      </c>
      <c r="K6667" t="s">
        <v>41192</v>
      </c>
      <c r="M6667" t="s">
        <v>41577</v>
      </c>
      <c r="N6667" t="s">
        <v>45095</v>
      </c>
      <c r="O6667" t="s">
        <v>45096</v>
      </c>
      <c r="P6667">
        <v>0</v>
      </c>
      <c r="Q6667">
        <v>0</v>
      </c>
      <c r="R6667" t="s">
        <v>45103</v>
      </c>
      <c r="S6667" t="s">
        <v>45270</v>
      </c>
      <c r="T6667" t="s">
        <v>47076</v>
      </c>
      <c r="U6667" t="s">
        <v>53055</v>
      </c>
      <c r="W6667" t="s">
        <v>41577</v>
      </c>
      <c r="X6667" t="s">
        <v>45109</v>
      </c>
    </row>
    <row r="6668" spans="1:24">
      <c r="A6668">
        <f>HYPERLINK("https://www.philgeps.gov.ph/GEPSNONPILOT/Tender/SplashBidNoticeAbstractUI.aspx?menuIndex=3&amp;refID=7027733&amp;Result=3","7027733")</f>
        <v>0</v>
      </c>
      <c r="B6668" t="s">
        <v>2040</v>
      </c>
      <c r="C6668" t="s">
        <v>9567</v>
      </c>
      <c r="D6668" t="s">
        <v>18030</v>
      </c>
      <c r="E6668" t="s">
        <v>24018</v>
      </c>
      <c r="F6668" t="s">
        <v>31574</v>
      </c>
      <c r="G6668" t="s">
        <v>31582</v>
      </c>
      <c r="H6668" t="s">
        <v>31590</v>
      </c>
      <c r="I6668" t="s">
        <v>4046</v>
      </c>
      <c r="J6668" t="s">
        <v>36004</v>
      </c>
      <c r="K6668" t="s">
        <v>41196</v>
      </c>
      <c r="M6668" t="s">
        <v>43707</v>
      </c>
      <c r="N6668" t="s">
        <v>45095</v>
      </c>
      <c r="O6668" t="s">
        <v>45096</v>
      </c>
      <c r="P6668">
        <v>0</v>
      </c>
      <c r="Q6668">
        <v>2</v>
      </c>
      <c r="R6668" t="s">
        <v>45103</v>
      </c>
      <c r="S6668" t="s">
        <v>45270</v>
      </c>
      <c r="T6668" t="s">
        <v>46966</v>
      </c>
      <c r="U6668" t="s">
        <v>53053</v>
      </c>
      <c r="W6668" t="s">
        <v>43707</v>
      </c>
      <c r="X6668" t="s">
        <v>45109</v>
      </c>
    </row>
    <row r="6669" spans="1:24">
      <c r="A6669">
        <f>HYPERLINK("https://www.philgeps.gov.ph/GEPSNONPILOT/Tender/SplashBidNoticeAbstractUI.aspx?menuIndex=3&amp;refID=7027898&amp;Result=3","7027898")</f>
        <v>0</v>
      </c>
      <c r="B6669" t="s">
        <v>2042</v>
      </c>
      <c r="C6669" t="s">
        <v>9568</v>
      </c>
      <c r="D6669" t="s">
        <v>18043</v>
      </c>
      <c r="E6669" t="s">
        <v>24019</v>
      </c>
      <c r="F6669" t="s">
        <v>31574</v>
      </c>
      <c r="G6669" t="s">
        <v>31581</v>
      </c>
      <c r="H6669" t="s">
        <v>31590</v>
      </c>
      <c r="I6669" t="s">
        <v>3489</v>
      </c>
      <c r="J6669" t="s">
        <v>36005</v>
      </c>
      <c r="K6669" t="s">
        <v>41190</v>
      </c>
      <c r="M6669" t="s">
        <v>43709</v>
      </c>
      <c r="N6669" t="s">
        <v>45095</v>
      </c>
      <c r="O6669" t="s">
        <v>45096</v>
      </c>
      <c r="P6669">
        <v>0</v>
      </c>
      <c r="Q6669">
        <v>0</v>
      </c>
      <c r="R6669" t="s">
        <v>45103</v>
      </c>
      <c r="S6669" t="s">
        <v>45270</v>
      </c>
      <c r="T6669" t="s">
        <v>47168</v>
      </c>
      <c r="U6669" t="s">
        <v>53056</v>
      </c>
      <c r="V6669" t="s">
        <v>60566</v>
      </c>
      <c r="W6669" t="s">
        <v>43709</v>
      </c>
      <c r="X6669" t="s">
        <v>45109</v>
      </c>
    </row>
    <row r="6670" spans="1:24">
      <c r="A6670">
        <f>HYPERLINK("https://www.philgeps.gov.ph/GEPSNONPILOT/Tender/SplashBidNoticeAbstractUI.aspx?menuIndex=3&amp;refID=7027703&amp;Result=3","7027703")</f>
        <v>0</v>
      </c>
      <c r="B6670" t="s">
        <v>2040</v>
      </c>
      <c r="C6670" t="s">
        <v>9569</v>
      </c>
      <c r="D6670" t="s">
        <v>18030</v>
      </c>
      <c r="E6670" t="s">
        <v>24020</v>
      </c>
      <c r="F6670" t="s">
        <v>31574</v>
      </c>
      <c r="G6670" t="s">
        <v>31582</v>
      </c>
      <c r="H6670" t="s">
        <v>31590</v>
      </c>
      <c r="I6670" t="s">
        <v>4046</v>
      </c>
      <c r="J6670" t="s">
        <v>36006</v>
      </c>
      <c r="K6670" t="s">
        <v>41191</v>
      </c>
      <c r="M6670" t="s">
        <v>43707</v>
      </c>
      <c r="N6670" t="s">
        <v>45095</v>
      </c>
      <c r="O6670" t="s">
        <v>45096</v>
      </c>
      <c r="P6670">
        <v>0</v>
      </c>
      <c r="Q6670">
        <v>0</v>
      </c>
      <c r="R6670" t="s">
        <v>45103</v>
      </c>
      <c r="S6670" t="s">
        <v>45270</v>
      </c>
      <c r="T6670" t="s">
        <v>46926</v>
      </c>
      <c r="U6670" t="s">
        <v>53053</v>
      </c>
      <c r="W6670" t="s">
        <v>43707</v>
      </c>
      <c r="X6670" t="s">
        <v>45109</v>
      </c>
    </row>
    <row r="6671" spans="1:24">
      <c r="A6671">
        <f>HYPERLINK("https://www.philgeps.gov.ph/GEPSNONPILOT/Tender/SplashBidNoticeAbstractUI.aspx?menuIndex=3&amp;refID=7027764&amp;Result=3","7027764")</f>
        <v>0</v>
      </c>
      <c r="B6671" t="s">
        <v>2040</v>
      </c>
      <c r="C6671" t="s">
        <v>9570</v>
      </c>
      <c r="D6671" t="s">
        <v>18030</v>
      </c>
      <c r="E6671" t="s">
        <v>24021</v>
      </c>
      <c r="F6671" t="s">
        <v>31574</v>
      </c>
      <c r="G6671" t="s">
        <v>31582</v>
      </c>
      <c r="H6671" t="s">
        <v>31590</v>
      </c>
      <c r="I6671" t="s">
        <v>4046</v>
      </c>
      <c r="J6671" t="s">
        <v>36006</v>
      </c>
      <c r="K6671" t="s">
        <v>41191</v>
      </c>
      <c r="M6671" t="s">
        <v>43707</v>
      </c>
      <c r="N6671" t="s">
        <v>45095</v>
      </c>
      <c r="O6671" t="s">
        <v>45096</v>
      </c>
      <c r="P6671">
        <v>0</v>
      </c>
      <c r="Q6671">
        <v>1</v>
      </c>
      <c r="R6671" t="s">
        <v>45103</v>
      </c>
      <c r="S6671" t="s">
        <v>45270</v>
      </c>
      <c r="T6671" t="s">
        <v>46941</v>
      </c>
      <c r="U6671" t="s">
        <v>53053</v>
      </c>
      <c r="W6671" t="s">
        <v>43707</v>
      </c>
      <c r="X6671" t="s">
        <v>45109</v>
      </c>
    </row>
    <row r="6672" spans="1:24">
      <c r="A6672">
        <f>HYPERLINK("https://www.philgeps.gov.ph/GEPSNONPILOT/Tender/SplashBidNoticeAbstractUI.aspx?menuIndex=3&amp;refID=7028373&amp;Result=3","7028373")</f>
        <v>0</v>
      </c>
      <c r="B6672" t="s">
        <v>2043</v>
      </c>
      <c r="C6672" t="s">
        <v>9571</v>
      </c>
      <c r="D6672" t="s">
        <v>18022</v>
      </c>
      <c r="E6672" t="s">
        <v>18722</v>
      </c>
      <c r="F6672" t="s">
        <v>31574</v>
      </c>
      <c r="G6672" t="s">
        <v>31582</v>
      </c>
      <c r="H6672" t="s">
        <v>31592</v>
      </c>
      <c r="I6672" t="s">
        <v>4327</v>
      </c>
      <c r="J6672" t="s">
        <v>31727</v>
      </c>
      <c r="K6672" t="s">
        <v>41193</v>
      </c>
      <c r="M6672" t="s">
        <v>43710</v>
      </c>
      <c r="N6672" t="s">
        <v>45095</v>
      </c>
      <c r="O6672" t="s">
        <v>45096</v>
      </c>
      <c r="P6672">
        <v>0</v>
      </c>
      <c r="Q6672">
        <v>2</v>
      </c>
      <c r="R6672" t="s">
        <v>45103</v>
      </c>
      <c r="S6672" t="s">
        <v>45270</v>
      </c>
      <c r="T6672" t="s">
        <v>47067</v>
      </c>
      <c r="U6672" t="s">
        <v>53057</v>
      </c>
      <c r="W6672" t="s">
        <v>43710</v>
      </c>
      <c r="X6672" t="s">
        <v>45109</v>
      </c>
    </row>
    <row r="6673" spans="1:24">
      <c r="A6673">
        <f>HYPERLINK("https://www.philgeps.gov.ph/GEPSNONPILOT/Tender/SplashBidNoticeAbstractUI.aspx?menuIndex=3&amp;refID=7027463&amp;Result=3","7027463")</f>
        <v>0</v>
      </c>
      <c r="B6673" t="s">
        <v>144</v>
      </c>
      <c r="C6673" t="s">
        <v>9572</v>
      </c>
      <c r="D6673" t="s">
        <v>18076</v>
      </c>
      <c r="E6673" t="s">
        <v>24022</v>
      </c>
      <c r="F6673" t="s">
        <v>31574</v>
      </c>
      <c r="G6673" t="s">
        <v>31582</v>
      </c>
      <c r="H6673" t="s">
        <v>31590</v>
      </c>
      <c r="I6673" t="s">
        <v>6800</v>
      </c>
      <c r="J6673" t="s">
        <v>36007</v>
      </c>
      <c r="K6673" t="s">
        <v>41193</v>
      </c>
      <c r="M6673" t="s">
        <v>41843</v>
      </c>
      <c r="N6673" t="s">
        <v>45095</v>
      </c>
      <c r="O6673" t="s">
        <v>45096</v>
      </c>
      <c r="P6673">
        <v>0</v>
      </c>
      <c r="Q6673">
        <v>3</v>
      </c>
      <c r="R6673" t="s">
        <v>45103</v>
      </c>
      <c r="S6673" t="s">
        <v>45270</v>
      </c>
      <c r="T6673" t="s">
        <v>47170</v>
      </c>
      <c r="U6673" t="s">
        <v>53058</v>
      </c>
      <c r="W6673" t="s">
        <v>41843</v>
      </c>
      <c r="X6673" t="s">
        <v>45109</v>
      </c>
    </row>
    <row r="6674" spans="1:24">
      <c r="A6674">
        <f>HYPERLINK("https://www.philgeps.gov.ph/GEPSNONPILOT/Tender/SplashBidNoticeAbstractUI.aspx?menuIndex=3&amp;refID=7028909&amp;Result=3","7028909")</f>
        <v>0</v>
      </c>
      <c r="B6674" t="s">
        <v>38</v>
      </c>
      <c r="C6674" t="s">
        <v>9573</v>
      </c>
      <c r="D6674" t="s">
        <v>18033</v>
      </c>
      <c r="E6674" t="s">
        <v>24023</v>
      </c>
      <c r="F6674" t="s">
        <v>31574</v>
      </c>
      <c r="G6674" t="s">
        <v>31582</v>
      </c>
      <c r="H6674" t="s">
        <v>31590</v>
      </c>
      <c r="I6674" t="s">
        <v>4046</v>
      </c>
      <c r="J6674" t="s">
        <v>36008</v>
      </c>
      <c r="K6674" t="s">
        <v>41193</v>
      </c>
      <c r="M6674" t="s">
        <v>41521</v>
      </c>
      <c r="N6674" t="s">
        <v>45095</v>
      </c>
      <c r="O6674" t="s">
        <v>45096</v>
      </c>
      <c r="P6674">
        <v>0</v>
      </c>
      <c r="Q6674">
        <v>0</v>
      </c>
      <c r="R6674" t="s">
        <v>45103</v>
      </c>
      <c r="S6674" t="s">
        <v>45270</v>
      </c>
      <c r="T6674" t="s">
        <v>46985</v>
      </c>
      <c r="U6674" t="s">
        <v>53059</v>
      </c>
      <c r="V6674" t="s">
        <v>60567</v>
      </c>
      <c r="W6674" t="s">
        <v>41521</v>
      </c>
      <c r="X6674" t="s">
        <v>45109</v>
      </c>
    </row>
    <row r="6675" spans="1:24">
      <c r="A6675">
        <f>HYPERLINK("https://www.philgeps.gov.ph/GEPSNONPILOT/Tender/SplashBidNoticeAbstractUI.aspx?menuIndex=3&amp;refID=7028181&amp;Result=3","7028181")</f>
        <v>0</v>
      </c>
      <c r="B6675" t="s">
        <v>38</v>
      </c>
      <c r="C6675" t="s">
        <v>9574</v>
      </c>
      <c r="D6675" t="s">
        <v>18033</v>
      </c>
      <c r="E6675" t="s">
        <v>9574</v>
      </c>
      <c r="F6675" t="s">
        <v>31574</v>
      </c>
      <c r="G6675" t="s">
        <v>31582</v>
      </c>
      <c r="H6675" t="s">
        <v>31590</v>
      </c>
      <c r="I6675" t="s">
        <v>4327</v>
      </c>
      <c r="J6675" t="s">
        <v>33219</v>
      </c>
      <c r="K6675" t="s">
        <v>41193</v>
      </c>
      <c r="M6675" t="s">
        <v>41521</v>
      </c>
      <c r="N6675" t="s">
        <v>45095</v>
      </c>
      <c r="O6675" t="s">
        <v>45096</v>
      </c>
      <c r="P6675">
        <v>0</v>
      </c>
      <c r="Q6675">
        <v>0</v>
      </c>
      <c r="R6675" t="s">
        <v>45103</v>
      </c>
      <c r="S6675" t="s">
        <v>45270</v>
      </c>
      <c r="T6675" t="s">
        <v>47004</v>
      </c>
      <c r="U6675" t="s">
        <v>53060</v>
      </c>
      <c r="V6675" t="s">
        <v>60085</v>
      </c>
      <c r="W6675" t="s">
        <v>41521</v>
      </c>
      <c r="X6675" t="s">
        <v>45109</v>
      </c>
    </row>
    <row r="6676" spans="1:24">
      <c r="A6676">
        <f>HYPERLINK("https://www.philgeps.gov.ph/GEPSNONPILOT/Tender/SplashBidNoticeAbstractUI.aspx?menuIndex=3&amp;refID=7028539&amp;Result=3","7028539")</f>
        <v>0</v>
      </c>
      <c r="B6676" t="s">
        <v>2042</v>
      </c>
      <c r="C6676" t="s">
        <v>9575</v>
      </c>
      <c r="D6676" t="s">
        <v>18043</v>
      </c>
      <c r="E6676" t="s">
        <v>24024</v>
      </c>
      <c r="F6676" t="s">
        <v>31574</v>
      </c>
      <c r="G6676" t="s">
        <v>31581</v>
      </c>
      <c r="H6676" t="s">
        <v>31590</v>
      </c>
      <c r="I6676" t="s">
        <v>3651</v>
      </c>
      <c r="J6676" t="s">
        <v>36009</v>
      </c>
      <c r="K6676" t="s">
        <v>41190</v>
      </c>
      <c r="M6676" t="s">
        <v>43709</v>
      </c>
      <c r="N6676" t="s">
        <v>45095</v>
      </c>
      <c r="O6676" t="s">
        <v>45096</v>
      </c>
      <c r="P6676">
        <v>0</v>
      </c>
      <c r="Q6676">
        <v>0</v>
      </c>
      <c r="R6676" t="s">
        <v>45103</v>
      </c>
      <c r="S6676" t="s">
        <v>45270</v>
      </c>
      <c r="T6676" t="s">
        <v>47168</v>
      </c>
      <c r="U6676" t="s">
        <v>53056</v>
      </c>
      <c r="V6676" t="s">
        <v>60568</v>
      </c>
      <c r="W6676" t="s">
        <v>43709</v>
      </c>
      <c r="X6676" t="s">
        <v>45109</v>
      </c>
    </row>
    <row r="6677" spans="1:24">
      <c r="A6677">
        <f>HYPERLINK("https://www.philgeps.gov.ph/GEPSNONPILOT/Tender/SplashBidNoticeAbstractUI.aspx?menuIndex=3&amp;refID=7028103&amp;Result=3","7028103")</f>
        <v>0</v>
      </c>
      <c r="B6677" t="s">
        <v>2031</v>
      </c>
      <c r="C6677" t="s">
        <v>9576</v>
      </c>
      <c r="D6677" t="s">
        <v>18066</v>
      </c>
      <c r="E6677" t="s">
        <v>18191</v>
      </c>
      <c r="F6677" t="s">
        <v>31574</v>
      </c>
      <c r="G6677" t="s">
        <v>31581</v>
      </c>
      <c r="H6677" t="s">
        <v>31592</v>
      </c>
      <c r="I6677" t="s">
        <v>31656</v>
      </c>
      <c r="J6677" t="s">
        <v>36010</v>
      </c>
      <c r="K6677" t="s">
        <v>41299</v>
      </c>
      <c r="M6677" t="s">
        <v>43698</v>
      </c>
      <c r="N6677" t="s">
        <v>45095</v>
      </c>
      <c r="O6677" t="s">
        <v>45096</v>
      </c>
      <c r="P6677">
        <v>0</v>
      </c>
      <c r="Q6677">
        <v>2</v>
      </c>
      <c r="R6677" t="s">
        <v>45103</v>
      </c>
      <c r="S6677" t="s">
        <v>45270</v>
      </c>
      <c r="T6677" t="s">
        <v>47125</v>
      </c>
      <c r="U6677" t="s">
        <v>53061</v>
      </c>
      <c r="V6677" t="s">
        <v>60563</v>
      </c>
      <c r="W6677" t="s">
        <v>43698</v>
      </c>
      <c r="X6677" t="s">
        <v>45109</v>
      </c>
    </row>
    <row r="6678" spans="1:24">
      <c r="A6678">
        <f>HYPERLINK("https://www.philgeps.gov.ph/GEPSNONPILOT/Tender/SplashBidNoticeAbstractUI.aspx?menuIndex=3&amp;refID=7027504&amp;Result=3","7027504")</f>
        <v>0</v>
      </c>
      <c r="B6678" t="s">
        <v>482</v>
      </c>
      <c r="C6678" t="s">
        <v>7465</v>
      </c>
      <c r="D6678" t="s">
        <v>18087</v>
      </c>
      <c r="E6678" t="s">
        <v>24025</v>
      </c>
      <c r="F6678" t="s">
        <v>31574</v>
      </c>
      <c r="G6678" t="s">
        <v>31582</v>
      </c>
      <c r="H6678" t="s">
        <v>31590</v>
      </c>
      <c r="I6678" t="s">
        <v>7185</v>
      </c>
      <c r="J6678" t="s">
        <v>36011</v>
      </c>
      <c r="K6678" t="s">
        <v>41190</v>
      </c>
      <c r="M6678" t="s">
        <v>41978</v>
      </c>
      <c r="N6678" t="s">
        <v>45095</v>
      </c>
      <c r="O6678" t="s">
        <v>45096</v>
      </c>
      <c r="P6678">
        <v>0</v>
      </c>
      <c r="Q6678">
        <v>4</v>
      </c>
      <c r="R6678" t="s">
        <v>45103</v>
      </c>
      <c r="S6678" t="s">
        <v>45270</v>
      </c>
      <c r="T6678" t="s">
        <v>46963</v>
      </c>
      <c r="U6678" t="s">
        <v>53062</v>
      </c>
      <c r="W6678" t="s">
        <v>41978</v>
      </c>
      <c r="X6678" t="s">
        <v>45109</v>
      </c>
    </row>
    <row r="6679" spans="1:24">
      <c r="A6679">
        <f>HYPERLINK("https://www.philgeps.gov.ph/GEPSNONPILOT/Tender/SplashBidNoticeAbstractUI.aspx?menuIndex=3&amp;refID=7028773&amp;Result=3","7028773")</f>
        <v>0</v>
      </c>
      <c r="B6679" t="s">
        <v>93</v>
      </c>
      <c r="C6679" t="s">
        <v>9577</v>
      </c>
      <c r="D6679" t="s">
        <v>18061</v>
      </c>
      <c r="E6679" t="s">
        <v>24026</v>
      </c>
      <c r="F6679" t="s">
        <v>31574</v>
      </c>
      <c r="G6679" t="s">
        <v>31582</v>
      </c>
      <c r="H6679" t="s">
        <v>31590</v>
      </c>
      <c r="I6679" t="s">
        <v>4046</v>
      </c>
      <c r="J6679" t="s">
        <v>36012</v>
      </c>
      <c r="K6679" t="s">
        <v>41185</v>
      </c>
      <c r="M6679" t="s">
        <v>41577</v>
      </c>
      <c r="N6679" t="s">
        <v>45095</v>
      </c>
      <c r="O6679" t="s">
        <v>45096</v>
      </c>
      <c r="P6679">
        <v>0</v>
      </c>
      <c r="Q6679">
        <v>0</v>
      </c>
      <c r="R6679" t="s">
        <v>45103</v>
      </c>
      <c r="S6679" t="s">
        <v>45270</v>
      </c>
      <c r="T6679" t="s">
        <v>47076</v>
      </c>
      <c r="U6679" t="s">
        <v>53063</v>
      </c>
      <c r="W6679" t="s">
        <v>41577</v>
      </c>
      <c r="X6679" t="s">
        <v>45109</v>
      </c>
    </row>
    <row r="6680" spans="1:24">
      <c r="A6680">
        <f>HYPERLINK("https://www.philgeps.gov.ph/GEPSNONPILOT/Tender/SplashBidNoticeAbstractUI.aspx?menuIndex=3&amp;refID=7028095&amp;Result=3","7028095")</f>
        <v>0</v>
      </c>
      <c r="B6680" t="s">
        <v>2031</v>
      </c>
      <c r="C6680" t="s">
        <v>9578</v>
      </c>
      <c r="D6680" t="s">
        <v>18044</v>
      </c>
      <c r="E6680" t="s">
        <v>20688</v>
      </c>
      <c r="F6680" t="s">
        <v>31574</v>
      </c>
      <c r="G6680" t="s">
        <v>31581</v>
      </c>
      <c r="H6680" t="s">
        <v>31592</v>
      </c>
      <c r="I6680" t="s">
        <v>31656</v>
      </c>
      <c r="J6680" t="s">
        <v>36013</v>
      </c>
      <c r="K6680" t="s">
        <v>41299</v>
      </c>
      <c r="M6680" t="s">
        <v>43698</v>
      </c>
      <c r="N6680" t="s">
        <v>45095</v>
      </c>
      <c r="O6680" t="s">
        <v>45096</v>
      </c>
      <c r="P6680">
        <v>0</v>
      </c>
      <c r="Q6680">
        <v>3</v>
      </c>
      <c r="R6680" t="s">
        <v>45103</v>
      </c>
      <c r="S6680" t="s">
        <v>45270</v>
      </c>
      <c r="T6680" t="s">
        <v>47125</v>
      </c>
      <c r="U6680" t="s">
        <v>53061</v>
      </c>
      <c r="V6680" t="s">
        <v>60563</v>
      </c>
      <c r="W6680" t="s">
        <v>43698</v>
      </c>
      <c r="X6680" t="s">
        <v>45109</v>
      </c>
    </row>
    <row r="6681" spans="1:24">
      <c r="A6681">
        <f>HYPERLINK("https://www.philgeps.gov.ph/GEPSNONPILOT/Tender/SplashBidNoticeAbstractUI.aspx?menuIndex=3&amp;refID=7028666&amp;Result=3","7028666")</f>
        <v>0</v>
      </c>
      <c r="B6681" t="s">
        <v>93</v>
      </c>
      <c r="C6681" t="s">
        <v>9579</v>
      </c>
      <c r="D6681" t="s">
        <v>18061</v>
      </c>
      <c r="E6681" t="s">
        <v>24027</v>
      </c>
      <c r="F6681" t="s">
        <v>31574</v>
      </c>
      <c r="G6681" t="s">
        <v>31582</v>
      </c>
      <c r="H6681" t="s">
        <v>31590</v>
      </c>
      <c r="I6681" t="s">
        <v>4046</v>
      </c>
      <c r="J6681" t="s">
        <v>36014</v>
      </c>
      <c r="K6681" t="s">
        <v>41192</v>
      </c>
      <c r="M6681" t="s">
        <v>41577</v>
      </c>
      <c r="N6681" t="s">
        <v>45095</v>
      </c>
      <c r="O6681" t="s">
        <v>45096</v>
      </c>
      <c r="P6681">
        <v>0</v>
      </c>
      <c r="Q6681">
        <v>1</v>
      </c>
      <c r="R6681" t="s">
        <v>45103</v>
      </c>
      <c r="S6681" t="s">
        <v>45270</v>
      </c>
      <c r="T6681" t="s">
        <v>47076</v>
      </c>
      <c r="U6681" t="s">
        <v>53064</v>
      </c>
      <c r="W6681" t="s">
        <v>41577</v>
      </c>
      <c r="X6681" t="s">
        <v>45109</v>
      </c>
    </row>
    <row r="6682" spans="1:24">
      <c r="A6682">
        <f>HYPERLINK("https://www.philgeps.gov.ph/GEPSNONPILOT/Tender/SplashBidNoticeAbstractUI.aspx?menuIndex=3&amp;refID=7028948&amp;Result=3","7028948")</f>
        <v>0</v>
      </c>
      <c r="B6682" t="s">
        <v>93</v>
      </c>
      <c r="C6682" t="s">
        <v>9580</v>
      </c>
      <c r="D6682" t="s">
        <v>18061</v>
      </c>
      <c r="E6682" t="s">
        <v>24028</v>
      </c>
      <c r="F6682" t="s">
        <v>31574</v>
      </c>
      <c r="G6682" t="s">
        <v>31582</v>
      </c>
      <c r="H6682" t="s">
        <v>31590</v>
      </c>
      <c r="I6682" t="s">
        <v>31599</v>
      </c>
      <c r="J6682" t="s">
        <v>36015</v>
      </c>
      <c r="K6682" t="s">
        <v>41192</v>
      </c>
      <c r="M6682" t="s">
        <v>41577</v>
      </c>
      <c r="N6682" t="s">
        <v>45095</v>
      </c>
      <c r="O6682" t="s">
        <v>45096</v>
      </c>
      <c r="P6682">
        <v>0</v>
      </c>
      <c r="Q6682">
        <v>2</v>
      </c>
      <c r="R6682" t="s">
        <v>45103</v>
      </c>
      <c r="S6682" t="s">
        <v>45270</v>
      </c>
      <c r="T6682" t="s">
        <v>47076</v>
      </c>
      <c r="U6682" t="s">
        <v>53065</v>
      </c>
      <c r="W6682" t="s">
        <v>41577</v>
      </c>
      <c r="X6682" t="s">
        <v>45109</v>
      </c>
    </row>
    <row r="6683" spans="1:24">
      <c r="A6683">
        <f>HYPERLINK("https://www.philgeps.gov.ph/GEPSNONPILOT/Tender/SplashBidNoticeAbstractUI.aspx?menuIndex=3&amp;refID=7029004&amp;Result=3","7029004")</f>
        <v>0</v>
      </c>
      <c r="B6683" t="s">
        <v>71</v>
      </c>
      <c r="C6683" t="s">
        <v>9581</v>
      </c>
      <c r="D6683" t="s">
        <v>18053</v>
      </c>
      <c r="E6683" t="s">
        <v>24029</v>
      </c>
      <c r="F6683" t="s">
        <v>31574</v>
      </c>
      <c r="G6683" t="s">
        <v>31582</v>
      </c>
      <c r="H6683" t="s">
        <v>31591</v>
      </c>
      <c r="I6683" t="s">
        <v>8822</v>
      </c>
      <c r="J6683" t="s">
        <v>36016</v>
      </c>
      <c r="K6683" t="s">
        <v>41186</v>
      </c>
      <c r="M6683" t="s">
        <v>41555</v>
      </c>
      <c r="N6683" t="s">
        <v>45095</v>
      </c>
      <c r="O6683" t="s">
        <v>45096</v>
      </c>
      <c r="P6683">
        <v>0</v>
      </c>
      <c r="Q6683">
        <v>1</v>
      </c>
      <c r="R6683" t="s">
        <v>45103</v>
      </c>
      <c r="S6683" t="s">
        <v>45270</v>
      </c>
      <c r="T6683" t="s">
        <v>46965</v>
      </c>
      <c r="U6683" t="s">
        <v>53066</v>
      </c>
      <c r="W6683" t="s">
        <v>41555</v>
      </c>
      <c r="X6683" t="s">
        <v>45109</v>
      </c>
    </row>
    <row r="6684" spans="1:24">
      <c r="A6684">
        <f>HYPERLINK("https://www.philgeps.gov.ph/GEPSNONPILOT/Tender/SplashBidNoticeAbstractUI.aspx?menuIndex=3&amp;refID=7029866&amp;Result=3","7029866")</f>
        <v>0</v>
      </c>
      <c r="B6684" t="s">
        <v>93</v>
      </c>
      <c r="C6684" t="s">
        <v>9582</v>
      </c>
      <c r="D6684" t="s">
        <v>18061</v>
      </c>
      <c r="E6684" t="s">
        <v>24030</v>
      </c>
      <c r="F6684" t="s">
        <v>31574</v>
      </c>
      <c r="G6684" t="s">
        <v>31582</v>
      </c>
      <c r="H6684" t="s">
        <v>31590</v>
      </c>
      <c r="I6684" t="s">
        <v>4046</v>
      </c>
      <c r="J6684" t="s">
        <v>36017</v>
      </c>
      <c r="K6684" t="s">
        <v>41192</v>
      </c>
      <c r="M6684" t="s">
        <v>41577</v>
      </c>
      <c r="N6684" t="s">
        <v>45095</v>
      </c>
      <c r="O6684" t="s">
        <v>45096</v>
      </c>
      <c r="P6684">
        <v>0</v>
      </c>
      <c r="Q6684">
        <v>0</v>
      </c>
      <c r="R6684" t="s">
        <v>45103</v>
      </c>
      <c r="S6684" t="s">
        <v>45270</v>
      </c>
      <c r="T6684" t="s">
        <v>47076</v>
      </c>
      <c r="U6684" t="s">
        <v>53067</v>
      </c>
      <c r="W6684" t="s">
        <v>41577</v>
      </c>
      <c r="X6684" t="s">
        <v>45108</v>
      </c>
    </row>
    <row r="6685" spans="1:24">
      <c r="A6685">
        <f>HYPERLINK("https://www.philgeps.gov.ph/GEPSNONPILOT/Tender/SplashBidNoticeAbstractUI.aspx?menuIndex=3&amp;refID=7029238&amp;Result=3","7029238")</f>
        <v>0</v>
      </c>
      <c r="B6685" t="s">
        <v>93</v>
      </c>
      <c r="C6685" t="s">
        <v>9583</v>
      </c>
      <c r="D6685" t="s">
        <v>18061</v>
      </c>
      <c r="E6685" t="s">
        <v>24031</v>
      </c>
      <c r="F6685" t="s">
        <v>31574</v>
      </c>
      <c r="G6685" t="s">
        <v>31582</v>
      </c>
      <c r="H6685" t="s">
        <v>31590</v>
      </c>
      <c r="I6685" t="s">
        <v>31615</v>
      </c>
      <c r="J6685" t="s">
        <v>32214</v>
      </c>
      <c r="K6685" t="s">
        <v>41192</v>
      </c>
      <c r="M6685" t="s">
        <v>41577</v>
      </c>
      <c r="N6685" t="s">
        <v>45095</v>
      </c>
      <c r="O6685" t="s">
        <v>45096</v>
      </c>
      <c r="P6685">
        <v>0</v>
      </c>
      <c r="Q6685">
        <v>0</v>
      </c>
      <c r="R6685" t="s">
        <v>45103</v>
      </c>
      <c r="S6685" t="s">
        <v>45270</v>
      </c>
      <c r="T6685" t="s">
        <v>47076</v>
      </c>
      <c r="U6685" t="s">
        <v>53068</v>
      </c>
      <c r="W6685" t="s">
        <v>41577</v>
      </c>
      <c r="X6685" t="s">
        <v>45109</v>
      </c>
    </row>
    <row r="6686" spans="1:24">
      <c r="A6686">
        <f>HYPERLINK("https://www.philgeps.gov.ph/GEPSNONPILOT/Tender/SplashBidNoticeAbstractUI.aspx?menuIndex=3&amp;refID=7031230&amp;Result=3","7031230")</f>
        <v>0</v>
      </c>
      <c r="B6686" t="s">
        <v>2044</v>
      </c>
      <c r="C6686" t="s">
        <v>9584</v>
      </c>
      <c r="D6686" t="s">
        <v>18044</v>
      </c>
      <c r="E6686" t="s">
        <v>18253</v>
      </c>
      <c r="F6686" t="s">
        <v>31574</v>
      </c>
      <c r="G6686" t="s">
        <v>31582</v>
      </c>
      <c r="H6686" t="s">
        <v>31591</v>
      </c>
      <c r="I6686" t="s">
        <v>8822</v>
      </c>
      <c r="J6686" t="s">
        <v>36018</v>
      </c>
      <c r="K6686" t="s">
        <v>41198</v>
      </c>
      <c r="M6686" t="s">
        <v>43711</v>
      </c>
      <c r="N6686" t="s">
        <v>45095</v>
      </c>
      <c r="O6686" t="s">
        <v>45096</v>
      </c>
      <c r="P6686">
        <v>0</v>
      </c>
      <c r="Q6686">
        <v>2</v>
      </c>
      <c r="R6686" t="s">
        <v>45103</v>
      </c>
      <c r="S6686" t="s">
        <v>45270</v>
      </c>
      <c r="T6686" t="s">
        <v>47010</v>
      </c>
      <c r="U6686" t="s">
        <v>53069</v>
      </c>
      <c r="V6686" t="s">
        <v>60569</v>
      </c>
      <c r="W6686" t="s">
        <v>43711</v>
      </c>
      <c r="X6686" t="s">
        <v>45108</v>
      </c>
    </row>
    <row r="6687" spans="1:24">
      <c r="A6687">
        <f>HYPERLINK("https://www.philgeps.gov.ph/GEPSNONPILOT/Tender/SplashBidNoticeAbstractUI.aspx?menuIndex=3&amp;refID=7029990&amp;Result=3","7029990")</f>
        <v>0</v>
      </c>
      <c r="B6687" t="s">
        <v>93</v>
      </c>
      <c r="C6687" t="s">
        <v>9585</v>
      </c>
      <c r="D6687" t="s">
        <v>18061</v>
      </c>
      <c r="E6687" t="s">
        <v>24032</v>
      </c>
      <c r="F6687" t="s">
        <v>31574</v>
      </c>
      <c r="G6687" t="s">
        <v>31582</v>
      </c>
      <c r="H6687" t="s">
        <v>31590</v>
      </c>
      <c r="I6687" t="s">
        <v>4046</v>
      </c>
      <c r="J6687" t="s">
        <v>36019</v>
      </c>
      <c r="K6687" t="s">
        <v>41192</v>
      </c>
      <c r="M6687" t="s">
        <v>41577</v>
      </c>
      <c r="N6687" t="s">
        <v>45095</v>
      </c>
      <c r="O6687" t="s">
        <v>45096</v>
      </c>
      <c r="P6687">
        <v>0</v>
      </c>
      <c r="Q6687">
        <v>0</v>
      </c>
      <c r="R6687" t="s">
        <v>45103</v>
      </c>
      <c r="S6687" t="s">
        <v>45270</v>
      </c>
      <c r="T6687" t="s">
        <v>47076</v>
      </c>
      <c r="U6687" t="s">
        <v>53070</v>
      </c>
      <c r="W6687" t="s">
        <v>41577</v>
      </c>
      <c r="X6687" t="s">
        <v>45108</v>
      </c>
    </row>
    <row r="6688" spans="1:24">
      <c r="A6688">
        <f>HYPERLINK("https://www.philgeps.gov.ph/GEPSNONPILOT/Tender/SplashBidNoticeAbstractUI.aspx?menuIndex=3&amp;refID=7031186&amp;Result=3","7031186")</f>
        <v>0</v>
      </c>
      <c r="B6688" t="s">
        <v>82</v>
      </c>
      <c r="C6688" t="s">
        <v>5991</v>
      </c>
      <c r="D6688" t="s">
        <v>18058</v>
      </c>
      <c r="E6688" t="s">
        <v>24033</v>
      </c>
      <c r="F6688" t="s">
        <v>31574</v>
      </c>
      <c r="G6688" t="s">
        <v>31582</v>
      </c>
      <c r="H6688" t="s">
        <v>31590</v>
      </c>
      <c r="I6688" t="s">
        <v>8258</v>
      </c>
      <c r="J6688" t="s">
        <v>36020</v>
      </c>
      <c r="K6688" t="s">
        <v>41193</v>
      </c>
      <c r="M6688" t="s">
        <v>41566</v>
      </c>
      <c r="N6688" t="s">
        <v>45095</v>
      </c>
      <c r="O6688" t="s">
        <v>45096</v>
      </c>
      <c r="P6688">
        <v>0</v>
      </c>
      <c r="Q6688">
        <v>1</v>
      </c>
      <c r="R6688" t="s">
        <v>45103</v>
      </c>
      <c r="S6688" t="s">
        <v>45270</v>
      </c>
      <c r="T6688" t="s">
        <v>47301</v>
      </c>
      <c r="U6688" t="s">
        <v>47584</v>
      </c>
      <c r="V6688" t="s">
        <v>60570</v>
      </c>
      <c r="W6688" t="s">
        <v>41566</v>
      </c>
      <c r="X6688" t="s">
        <v>45108</v>
      </c>
    </row>
    <row r="6689" spans="1:24">
      <c r="A6689">
        <f>HYPERLINK("https://www.philgeps.gov.ph/GEPSNONPILOT/Tender/SplashBidNoticeAbstractUI.aspx?menuIndex=3&amp;refID=7029134&amp;Result=3","7029134")</f>
        <v>0</v>
      </c>
      <c r="B6689" t="s">
        <v>1471</v>
      </c>
      <c r="C6689" t="s">
        <v>9586</v>
      </c>
      <c r="D6689" t="s">
        <v>18041</v>
      </c>
      <c r="E6689" t="s">
        <v>24034</v>
      </c>
      <c r="F6689" t="s">
        <v>31574</v>
      </c>
      <c r="G6689" t="s">
        <v>31581</v>
      </c>
      <c r="H6689" t="s">
        <v>31590</v>
      </c>
      <c r="I6689" t="s">
        <v>8056</v>
      </c>
      <c r="J6689" t="s">
        <v>36021</v>
      </c>
      <c r="K6689" t="s">
        <v>41196</v>
      </c>
      <c r="M6689" t="s">
        <v>43053</v>
      </c>
      <c r="N6689" t="s">
        <v>45095</v>
      </c>
      <c r="O6689" t="s">
        <v>45096</v>
      </c>
      <c r="P6689">
        <v>0</v>
      </c>
      <c r="Q6689">
        <v>5</v>
      </c>
      <c r="R6689" t="s">
        <v>45103</v>
      </c>
      <c r="S6689" t="s">
        <v>45270</v>
      </c>
      <c r="T6689" t="s">
        <v>47189</v>
      </c>
      <c r="U6689" t="s">
        <v>53071</v>
      </c>
      <c r="W6689" t="s">
        <v>43053</v>
      </c>
      <c r="X6689" t="s">
        <v>45109</v>
      </c>
    </row>
    <row r="6690" spans="1:24">
      <c r="A6690">
        <f>HYPERLINK("https://www.philgeps.gov.ph/GEPSNONPILOT/Tender/SplashBidNoticeAbstractUI.aspx?menuIndex=3&amp;refID=7029882&amp;Result=3","7029882")</f>
        <v>0</v>
      </c>
      <c r="B6690" t="s">
        <v>93</v>
      </c>
      <c r="C6690" t="s">
        <v>9587</v>
      </c>
      <c r="D6690" t="s">
        <v>18061</v>
      </c>
      <c r="E6690" t="s">
        <v>24035</v>
      </c>
      <c r="F6690" t="s">
        <v>31574</v>
      </c>
      <c r="G6690" t="s">
        <v>31582</v>
      </c>
      <c r="H6690" t="s">
        <v>31590</v>
      </c>
      <c r="I6690" t="s">
        <v>14544</v>
      </c>
      <c r="J6690" t="s">
        <v>33228</v>
      </c>
      <c r="K6690" t="s">
        <v>41185</v>
      </c>
      <c r="M6690" t="s">
        <v>41577</v>
      </c>
      <c r="N6690" t="s">
        <v>45095</v>
      </c>
      <c r="O6690" t="s">
        <v>45096</v>
      </c>
      <c r="P6690">
        <v>0</v>
      </c>
      <c r="Q6690">
        <v>0</v>
      </c>
      <c r="R6690" t="s">
        <v>45103</v>
      </c>
      <c r="S6690" t="s">
        <v>45270</v>
      </c>
      <c r="T6690" t="s">
        <v>47076</v>
      </c>
      <c r="U6690" t="s">
        <v>53072</v>
      </c>
      <c r="W6690" t="s">
        <v>41577</v>
      </c>
      <c r="X6690" t="s">
        <v>45108</v>
      </c>
    </row>
    <row r="6691" spans="1:24">
      <c r="A6691">
        <f>HYPERLINK("https://www.philgeps.gov.ph/GEPSNONPILOT/Tender/SplashBidNoticeAbstractUI.aspx?menuIndex=3&amp;refID=7030775&amp;Result=3","7030775")</f>
        <v>0</v>
      </c>
      <c r="B6691" t="s">
        <v>194</v>
      </c>
      <c r="C6691" t="s">
        <v>9588</v>
      </c>
      <c r="D6691" t="s">
        <v>18065</v>
      </c>
      <c r="E6691" t="s">
        <v>24036</v>
      </c>
      <c r="F6691" t="s">
        <v>31574</v>
      </c>
      <c r="G6691" t="s">
        <v>31581</v>
      </c>
      <c r="H6691" t="s">
        <v>31590</v>
      </c>
      <c r="I6691" t="s">
        <v>31600</v>
      </c>
      <c r="J6691" t="s">
        <v>36022</v>
      </c>
      <c r="K6691" t="s">
        <v>41184</v>
      </c>
      <c r="M6691" t="s">
        <v>41679</v>
      </c>
      <c r="N6691" t="s">
        <v>45095</v>
      </c>
      <c r="O6691" t="s">
        <v>45096</v>
      </c>
      <c r="P6691">
        <v>0</v>
      </c>
      <c r="Q6691">
        <v>1</v>
      </c>
      <c r="R6691" t="s">
        <v>45103</v>
      </c>
      <c r="S6691" t="s">
        <v>45270</v>
      </c>
      <c r="T6691" t="s">
        <v>47171</v>
      </c>
      <c r="U6691" t="s">
        <v>53073</v>
      </c>
      <c r="W6691" t="s">
        <v>41679</v>
      </c>
      <c r="X6691" t="s">
        <v>45108</v>
      </c>
    </row>
    <row r="6692" spans="1:24">
      <c r="A6692">
        <f>HYPERLINK("https://www.philgeps.gov.ph/GEPSNONPILOT/Tender/SplashBidNoticeAbstractUI.aspx?menuIndex=3&amp;refID=7030116&amp;Result=3","7030116")</f>
        <v>0</v>
      </c>
      <c r="B6692" t="s">
        <v>93</v>
      </c>
      <c r="C6692" t="s">
        <v>9589</v>
      </c>
      <c r="D6692" t="s">
        <v>18061</v>
      </c>
      <c r="E6692" t="s">
        <v>24037</v>
      </c>
      <c r="F6692" t="s">
        <v>31574</v>
      </c>
      <c r="G6692" t="s">
        <v>31582</v>
      </c>
      <c r="H6692" t="s">
        <v>31590</v>
      </c>
      <c r="I6692" t="s">
        <v>4046</v>
      </c>
      <c r="J6692" t="s">
        <v>36023</v>
      </c>
      <c r="K6692" t="s">
        <v>41185</v>
      </c>
      <c r="M6692" t="s">
        <v>41577</v>
      </c>
      <c r="N6692" t="s">
        <v>45095</v>
      </c>
      <c r="O6692" t="s">
        <v>45096</v>
      </c>
      <c r="P6692">
        <v>0</v>
      </c>
      <c r="Q6692">
        <v>0</v>
      </c>
      <c r="R6692" t="s">
        <v>45103</v>
      </c>
      <c r="S6692" t="s">
        <v>45270</v>
      </c>
      <c r="T6692" t="s">
        <v>47076</v>
      </c>
      <c r="U6692" t="s">
        <v>53074</v>
      </c>
      <c r="W6692" t="s">
        <v>41577</v>
      </c>
      <c r="X6692" t="s">
        <v>45108</v>
      </c>
    </row>
    <row r="6693" spans="1:24">
      <c r="A6693">
        <f>HYPERLINK("https://www.philgeps.gov.ph/GEPSNONPILOT/Tender/SplashBidNoticeAbstractUI.aspx?menuIndex=3&amp;refID=7031350&amp;Result=3","7031350")</f>
        <v>0</v>
      </c>
      <c r="B6693" t="s">
        <v>2044</v>
      </c>
      <c r="C6693" t="s">
        <v>9590</v>
      </c>
      <c r="D6693" t="s">
        <v>18044</v>
      </c>
      <c r="E6693" t="s">
        <v>24038</v>
      </c>
      <c r="F6693" t="s">
        <v>31574</v>
      </c>
      <c r="G6693" t="s">
        <v>31582</v>
      </c>
      <c r="H6693" t="s">
        <v>31591</v>
      </c>
      <c r="I6693" t="s">
        <v>8822</v>
      </c>
      <c r="J6693" t="s">
        <v>36024</v>
      </c>
      <c r="K6693" t="s">
        <v>41200</v>
      </c>
      <c r="M6693" t="s">
        <v>43711</v>
      </c>
      <c r="N6693" t="s">
        <v>45095</v>
      </c>
      <c r="O6693" t="s">
        <v>45096</v>
      </c>
      <c r="P6693">
        <v>0</v>
      </c>
      <c r="Q6693">
        <v>1</v>
      </c>
      <c r="R6693" t="s">
        <v>45103</v>
      </c>
      <c r="S6693" t="s">
        <v>45270</v>
      </c>
      <c r="T6693" t="s">
        <v>47010</v>
      </c>
      <c r="U6693" t="s">
        <v>53075</v>
      </c>
      <c r="V6693" t="s">
        <v>60571</v>
      </c>
      <c r="W6693" t="s">
        <v>43711</v>
      </c>
      <c r="X6693" t="s">
        <v>45108</v>
      </c>
    </row>
    <row r="6694" spans="1:24">
      <c r="A6694">
        <f>HYPERLINK("https://www.philgeps.gov.ph/GEPSNONPILOT/Tender/SplashBidNoticeAbstractUI.aspx?menuIndex=3&amp;refID=7030192&amp;Result=3","7030192")</f>
        <v>0</v>
      </c>
      <c r="B6694" t="s">
        <v>93</v>
      </c>
      <c r="C6694" t="s">
        <v>9591</v>
      </c>
      <c r="D6694" t="s">
        <v>18061</v>
      </c>
      <c r="E6694" t="s">
        <v>24039</v>
      </c>
      <c r="F6694" t="s">
        <v>31574</v>
      </c>
      <c r="G6694" t="s">
        <v>31582</v>
      </c>
      <c r="H6694" t="s">
        <v>31590</v>
      </c>
      <c r="I6694" t="s">
        <v>31689</v>
      </c>
      <c r="J6694" t="s">
        <v>32497</v>
      </c>
      <c r="K6694" t="s">
        <v>41192</v>
      </c>
      <c r="M6694" t="s">
        <v>41577</v>
      </c>
      <c r="N6694" t="s">
        <v>45095</v>
      </c>
      <c r="O6694" t="s">
        <v>45096</v>
      </c>
      <c r="P6694">
        <v>0</v>
      </c>
      <c r="Q6694">
        <v>5</v>
      </c>
      <c r="R6694" t="s">
        <v>45103</v>
      </c>
      <c r="S6694" t="s">
        <v>45270</v>
      </c>
      <c r="T6694" t="s">
        <v>47076</v>
      </c>
      <c r="U6694" t="s">
        <v>53076</v>
      </c>
      <c r="W6694" t="s">
        <v>41577</v>
      </c>
      <c r="X6694" t="s">
        <v>45108</v>
      </c>
    </row>
    <row r="6695" spans="1:24">
      <c r="A6695">
        <f>HYPERLINK("https://www.philgeps.gov.ph/GEPSNONPILOT/Tender/SplashBidNoticeAbstractUI.aspx?menuIndex=3&amp;refID=7031277&amp;Result=3","7031277")</f>
        <v>0</v>
      </c>
      <c r="B6695" t="s">
        <v>82</v>
      </c>
      <c r="C6695" t="s">
        <v>6692</v>
      </c>
      <c r="D6695" t="s">
        <v>18058</v>
      </c>
      <c r="E6695" t="s">
        <v>24040</v>
      </c>
      <c r="F6695" t="s">
        <v>31574</v>
      </c>
      <c r="G6695" t="s">
        <v>31582</v>
      </c>
      <c r="H6695" t="s">
        <v>31590</v>
      </c>
      <c r="I6695" t="s">
        <v>8258</v>
      </c>
      <c r="J6695" t="s">
        <v>36025</v>
      </c>
      <c r="K6695" t="s">
        <v>41193</v>
      </c>
      <c r="M6695" t="s">
        <v>41566</v>
      </c>
      <c r="N6695" t="s">
        <v>45095</v>
      </c>
      <c r="O6695" t="s">
        <v>45096</v>
      </c>
      <c r="P6695">
        <v>0</v>
      </c>
      <c r="Q6695">
        <v>2</v>
      </c>
      <c r="R6695" t="s">
        <v>45103</v>
      </c>
      <c r="S6695" t="s">
        <v>45270</v>
      </c>
      <c r="T6695" t="s">
        <v>47301</v>
      </c>
      <c r="U6695" t="s">
        <v>47584</v>
      </c>
      <c r="V6695" t="s">
        <v>60572</v>
      </c>
      <c r="W6695" t="s">
        <v>41566</v>
      </c>
      <c r="X6695" t="s">
        <v>45108</v>
      </c>
    </row>
    <row r="6696" spans="1:24">
      <c r="A6696">
        <f>HYPERLINK("https://www.philgeps.gov.ph/GEPSNONPILOT/Tender/SplashBidNoticeAbstractUI.aspx?menuIndex=3&amp;refID=7031383&amp;Result=3","7031383")</f>
        <v>0</v>
      </c>
      <c r="B6696" t="s">
        <v>1670</v>
      </c>
      <c r="C6696" t="s">
        <v>9592</v>
      </c>
      <c r="D6696" t="s">
        <v>18042</v>
      </c>
      <c r="E6696" t="s">
        <v>24041</v>
      </c>
      <c r="F6696" t="s">
        <v>31574</v>
      </c>
      <c r="G6696" t="s">
        <v>31582</v>
      </c>
      <c r="H6696" t="s">
        <v>31591</v>
      </c>
      <c r="I6696" t="s">
        <v>8822</v>
      </c>
      <c r="J6696" t="s">
        <v>31730</v>
      </c>
      <c r="K6696" t="s">
        <v>41184</v>
      </c>
      <c r="M6696" t="s">
        <v>43283</v>
      </c>
      <c r="N6696" t="s">
        <v>45095</v>
      </c>
      <c r="O6696" t="s">
        <v>45096</v>
      </c>
      <c r="P6696">
        <v>0</v>
      </c>
      <c r="Q6696">
        <v>1</v>
      </c>
      <c r="R6696" t="s">
        <v>45103</v>
      </c>
      <c r="S6696" t="s">
        <v>45270</v>
      </c>
      <c r="T6696" t="s">
        <v>46988</v>
      </c>
      <c r="U6696" t="s">
        <v>53077</v>
      </c>
      <c r="W6696" t="s">
        <v>43283</v>
      </c>
      <c r="X6696" t="s">
        <v>45108</v>
      </c>
    </row>
    <row r="6697" spans="1:24">
      <c r="A6697">
        <f>HYPERLINK("https://www.philgeps.gov.ph/GEPSNONPILOT/Tender/SplashBidNoticeAbstractUI.aspx?menuIndex=3&amp;refID=7032435&amp;Result=3","7032435")</f>
        <v>0</v>
      </c>
      <c r="B6697" t="s">
        <v>2045</v>
      </c>
      <c r="C6697" t="s">
        <v>9593</v>
      </c>
      <c r="D6697" t="s">
        <v>18095</v>
      </c>
      <c r="E6697" t="s">
        <v>24042</v>
      </c>
      <c r="F6697" t="s">
        <v>31574</v>
      </c>
      <c r="G6697" t="s">
        <v>31582</v>
      </c>
      <c r="H6697" t="s">
        <v>31591</v>
      </c>
      <c r="I6697" t="s">
        <v>8822</v>
      </c>
      <c r="J6697" t="s">
        <v>36026</v>
      </c>
      <c r="K6697" t="s">
        <v>41349</v>
      </c>
      <c r="M6697" t="s">
        <v>43712</v>
      </c>
      <c r="N6697" t="s">
        <v>45095</v>
      </c>
      <c r="O6697" t="s">
        <v>45096</v>
      </c>
      <c r="P6697">
        <v>0</v>
      </c>
      <c r="Q6697">
        <v>1</v>
      </c>
      <c r="R6697" t="s">
        <v>45103</v>
      </c>
      <c r="S6697" t="s">
        <v>45270</v>
      </c>
      <c r="T6697" t="s">
        <v>46988</v>
      </c>
      <c r="U6697" t="s">
        <v>53078</v>
      </c>
      <c r="W6697" t="s">
        <v>43712</v>
      </c>
      <c r="X6697" t="s">
        <v>45106</v>
      </c>
    </row>
    <row r="6698" spans="1:24">
      <c r="A6698">
        <f>HYPERLINK("https://www.philgeps.gov.ph/GEPSNONPILOT/Tender/SplashBidNoticeAbstractUI.aspx?menuIndex=3&amp;refID=7030242&amp;Result=3","7030242")</f>
        <v>0</v>
      </c>
      <c r="B6698" t="s">
        <v>482</v>
      </c>
      <c r="C6698" t="s">
        <v>9594</v>
      </c>
      <c r="D6698" t="s">
        <v>18087</v>
      </c>
      <c r="E6698" t="s">
        <v>20141</v>
      </c>
      <c r="F6698" t="s">
        <v>31574</v>
      </c>
      <c r="G6698" t="s">
        <v>31582</v>
      </c>
      <c r="H6698" t="s">
        <v>31590</v>
      </c>
      <c r="I6698" t="s">
        <v>31614</v>
      </c>
      <c r="J6698" t="s">
        <v>36027</v>
      </c>
      <c r="K6698" t="s">
        <v>41190</v>
      </c>
      <c r="M6698" t="s">
        <v>41978</v>
      </c>
      <c r="N6698" t="s">
        <v>45095</v>
      </c>
      <c r="O6698" t="s">
        <v>45096</v>
      </c>
      <c r="P6698">
        <v>0</v>
      </c>
      <c r="Q6698">
        <v>3</v>
      </c>
      <c r="R6698" t="s">
        <v>45103</v>
      </c>
      <c r="S6698" t="s">
        <v>45270</v>
      </c>
      <c r="T6698" t="s">
        <v>46963</v>
      </c>
      <c r="U6698" t="s">
        <v>53079</v>
      </c>
      <c r="W6698" t="s">
        <v>41978</v>
      </c>
      <c r="X6698" t="s">
        <v>45108</v>
      </c>
    </row>
    <row r="6699" spans="1:24">
      <c r="A6699">
        <f>HYPERLINK("https://www.philgeps.gov.ph/GEPSNONPILOT/Tender/SplashBidNoticeAbstractUI.aspx?menuIndex=3&amp;refID=7030380&amp;Result=3","7030380")</f>
        <v>0</v>
      </c>
      <c r="B6699" t="s">
        <v>482</v>
      </c>
      <c r="C6699" t="s">
        <v>9595</v>
      </c>
      <c r="D6699" t="s">
        <v>18087</v>
      </c>
      <c r="E6699" t="s">
        <v>24043</v>
      </c>
      <c r="F6699" t="s">
        <v>31574</v>
      </c>
      <c r="G6699" t="s">
        <v>31582</v>
      </c>
      <c r="H6699" t="s">
        <v>31591</v>
      </c>
      <c r="I6699" t="s">
        <v>8822</v>
      </c>
      <c r="J6699" t="s">
        <v>36028</v>
      </c>
      <c r="K6699" t="s">
        <v>41189</v>
      </c>
      <c r="M6699" t="s">
        <v>41978</v>
      </c>
      <c r="N6699" t="s">
        <v>45095</v>
      </c>
      <c r="O6699" t="s">
        <v>45096</v>
      </c>
      <c r="P6699">
        <v>0</v>
      </c>
      <c r="Q6699">
        <v>0</v>
      </c>
      <c r="R6699" t="s">
        <v>45103</v>
      </c>
      <c r="S6699" t="s">
        <v>45270</v>
      </c>
      <c r="T6699" t="s">
        <v>46963</v>
      </c>
      <c r="U6699" t="s">
        <v>53080</v>
      </c>
      <c r="W6699" t="s">
        <v>41978</v>
      </c>
      <c r="X6699" t="s">
        <v>45108</v>
      </c>
    </row>
    <row r="6700" spans="1:24">
      <c r="A6700">
        <f>HYPERLINK("https://www.philgeps.gov.ph/GEPSNONPILOT/Tender/SplashBidNoticeAbstractUI.aspx?menuIndex=3&amp;refID=7032432&amp;Result=3","7032432")</f>
        <v>0</v>
      </c>
      <c r="B6700" t="s">
        <v>2045</v>
      </c>
      <c r="C6700" t="s">
        <v>9596</v>
      </c>
      <c r="D6700" t="s">
        <v>18095</v>
      </c>
      <c r="E6700" t="s">
        <v>24044</v>
      </c>
      <c r="F6700" t="s">
        <v>31574</v>
      </c>
      <c r="G6700" t="s">
        <v>31582</v>
      </c>
      <c r="H6700" t="s">
        <v>31591</v>
      </c>
      <c r="I6700" t="s">
        <v>8822</v>
      </c>
      <c r="J6700" t="s">
        <v>36029</v>
      </c>
      <c r="K6700" t="s">
        <v>41260</v>
      </c>
      <c r="M6700" t="s">
        <v>43712</v>
      </c>
      <c r="N6700" t="s">
        <v>45095</v>
      </c>
      <c r="O6700" t="s">
        <v>45096</v>
      </c>
      <c r="P6700">
        <v>0</v>
      </c>
      <c r="Q6700">
        <v>1</v>
      </c>
      <c r="R6700" t="s">
        <v>45103</v>
      </c>
      <c r="S6700" t="s">
        <v>45270</v>
      </c>
      <c r="T6700" t="s">
        <v>46988</v>
      </c>
      <c r="U6700" t="s">
        <v>53081</v>
      </c>
      <c r="W6700" t="s">
        <v>43712</v>
      </c>
      <c r="X6700" t="s">
        <v>45106</v>
      </c>
    </row>
    <row r="6701" spans="1:24">
      <c r="A6701">
        <f>HYPERLINK("https://www.philgeps.gov.ph/GEPSNONPILOT/Tender/SplashBidNoticeAbstractUI.aspx?menuIndex=3&amp;refID=7032430&amp;Result=3","7032430")</f>
        <v>0</v>
      </c>
      <c r="B6701" t="s">
        <v>2045</v>
      </c>
      <c r="C6701" t="s">
        <v>9597</v>
      </c>
      <c r="D6701" t="s">
        <v>18095</v>
      </c>
      <c r="E6701" t="s">
        <v>24045</v>
      </c>
      <c r="F6701" t="s">
        <v>31574</v>
      </c>
      <c r="G6701" t="s">
        <v>31582</v>
      </c>
      <c r="H6701" t="s">
        <v>31591</v>
      </c>
      <c r="I6701" t="s">
        <v>8822</v>
      </c>
      <c r="J6701" t="s">
        <v>36030</v>
      </c>
      <c r="K6701" t="s">
        <v>41300</v>
      </c>
      <c r="M6701" t="s">
        <v>43712</v>
      </c>
      <c r="N6701" t="s">
        <v>45095</v>
      </c>
      <c r="O6701" t="s">
        <v>45096</v>
      </c>
      <c r="P6701">
        <v>0</v>
      </c>
      <c r="Q6701">
        <v>1</v>
      </c>
      <c r="R6701" t="s">
        <v>45103</v>
      </c>
      <c r="S6701" t="s">
        <v>45270</v>
      </c>
      <c r="T6701" t="s">
        <v>46988</v>
      </c>
      <c r="U6701" t="s">
        <v>53082</v>
      </c>
      <c r="W6701" t="s">
        <v>43712</v>
      </c>
      <c r="X6701" t="s">
        <v>45106</v>
      </c>
    </row>
    <row r="6702" spans="1:24">
      <c r="A6702">
        <f>HYPERLINK("https://www.philgeps.gov.ph/GEPSNONPILOT/Tender/SplashBidNoticeAbstractUI.aspx?menuIndex=3&amp;refID=7030462&amp;Result=3","7030462")</f>
        <v>0</v>
      </c>
      <c r="B6702" t="s">
        <v>482</v>
      </c>
      <c r="C6702" t="s">
        <v>9598</v>
      </c>
      <c r="D6702" t="s">
        <v>18087</v>
      </c>
      <c r="E6702" t="s">
        <v>20149</v>
      </c>
      <c r="F6702" t="s">
        <v>31574</v>
      </c>
      <c r="G6702" t="s">
        <v>31582</v>
      </c>
      <c r="H6702" t="s">
        <v>31590</v>
      </c>
      <c r="I6702" t="s">
        <v>31622</v>
      </c>
      <c r="J6702" t="s">
        <v>36031</v>
      </c>
      <c r="K6702" t="s">
        <v>41190</v>
      </c>
      <c r="M6702" t="s">
        <v>41978</v>
      </c>
      <c r="N6702" t="s">
        <v>45095</v>
      </c>
      <c r="O6702" t="s">
        <v>45096</v>
      </c>
      <c r="P6702">
        <v>0</v>
      </c>
      <c r="Q6702">
        <v>1</v>
      </c>
      <c r="R6702" t="s">
        <v>45103</v>
      </c>
      <c r="S6702" t="s">
        <v>45270</v>
      </c>
      <c r="T6702" t="s">
        <v>46963</v>
      </c>
      <c r="U6702" t="s">
        <v>53083</v>
      </c>
      <c r="W6702" t="s">
        <v>41978</v>
      </c>
      <c r="X6702" t="s">
        <v>45108</v>
      </c>
    </row>
    <row r="6703" spans="1:24">
      <c r="A6703">
        <f>HYPERLINK("https://www.philgeps.gov.ph/GEPSNONPILOT/Tender/SplashBidNoticeAbstractUI.aspx?menuIndex=3&amp;refID=7032426&amp;Result=3","7032426")</f>
        <v>0</v>
      </c>
      <c r="B6703" t="s">
        <v>2045</v>
      </c>
      <c r="C6703" t="s">
        <v>9599</v>
      </c>
      <c r="D6703" t="s">
        <v>18095</v>
      </c>
      <c r="E6703" t="s">
        <v>24046</v>
      </c>
      <c r="F6703" t="s">
        <v>31574</v>
      </c>
      <c r="G6703" t="s">
        <v>31582</v>
      </c>
      <c r="H6703" t="s">
        <v>31591</v>
      </c>
      <c r="I6703" t="s">
        <v>8822</v>
      </c>
      <c r="J6703" t="s">
        <v>36032</v>
      </c>
      <c r="K6703" t="s">
        <v>41192</v>
      </c>
      <c r="M6703" t="s">
        <v>43712</v>
      </c>
      <c r="N6703" t="s">
        <v>45095</v>
      </c>
      <c r="O6703" t="s">
        <v>45096</v>
      </c>
      <c r="P6703">
        <v>0</v>
      </c>
      <c r="Q6703">
        <v>0</v>
      </c>
      <c r="R6703" t="s">
        <v>45103</v>
      </c>
      <c r="S6703" t="s">
        <v>45270</v>
      </c>
      <c r="T6703" t="s">
        <v>46988</v>
      </c>
      <c r="U6703" t="s">
        <v>53084</v>
      </c>
      <c r="W6703" t="s">
        <v>43712</v>
      </c>
      <c r="X6703" t="s">
        <v>45106</v>
      </c>
    </row>
    <row r="6704" spans="1:24">
      <c r="A6704">
        <f>HYPERLINK("https://www.philgeps.gov.ph/GEPSNONPILOT/Tender/SplashBidNoticeAbstractUI.aspx?menuIndex=3&amp;refID=7032420&amp;Result=3","7032420")</f>
        <v>0</v>
      </c>
      <c r="B6704" t="s">
        <v>2045</v>
      </c>
      <c r="C6704" t="s">
        <v>9600</v>
      </c>
      <c r="D6704" t="s">
        <v>18095</v>
      </c>
      <c r="E6704" t="s">
        <v>24047</v>
      </c>
      <c r="F6704" t="s">
        <v>31574</v>
      </c>
      <c r="G6704" t="s">
        <v>31582</v>
      </c>
      <c r="H6704" t="s">
        <v>31591</v>
      </c>
      <c r="I6704" t="s">
        <v>8822</v>
      </c>
      <c r="J6704" t="s">
        <v>36033</v>
      </c>
      <c r="K6704" t="s">
        <v>41217</v>
      </c>
      <c r="M6704" t="s">
        <v>43712</v>
      </c>
      <c r="N6704" t="s">
        <v>45095</v>
      </c>
      <c r="O6704" t="s">
        <v>45096</v>
      </c>
      <c r="P6704">
        <v>0</v>
      </c>
      <c r="Q6704">
        <v>0</v>
      </c>
      <c r="R6704" t="s">
        <v>45103</v>
      </c>
      <c r="S6704" t="s">
        <v>45270</v>
      </c>
      <c r="T6704" t="s">
        <v>46988</v>
      </c>
      <c r="U6704" t="s">
        <v>53085</v>
      </c>
      <c r="W6704" t="s">
        <v>43712</v>
      </c>
      <c r="X6704" t="s">
        <v>45106</v>
      </c>
    </row>
    <row r="6705" spans="1:24">
      <c r="A6705">
        <f>HYPERLINK("https://www.philgeps.gov.ph/GEPSNONPILOT/Tender/SplashBidNoticeAbstractUI.aspx?menuIndex=3&amp;refID=7032422&amp;Result=3","7032422")</f>
        <v>0</v>
      </c>
      <c r="B6705" t="s">
        <v>2045</v>
      </c>
      <c r="C6705" t="s">
        <v>9601</v>
      </c>
      <c r="D6705" t="s">
        <v>18095</v>
      </c>
      <c r="E6705" t="s">
        <v>24048</v>
      </c>
      <c r="F6705" t="s">
        <v>31574</v>
      </c>
      <c r="G6705" t="s">
        <v>31582</v>
      </c>
      <c r="H6705" t="s">
        <v>31591</v>
      </c>
      <c r="I6705" t="s">
        <v>8822</v>
      </c>
      <c r="J6705" t="s">
        <v>36034</v>
      </c>
      <c r="K6705" t="s">
        <v>41350</v>
      </c>
      <c r="M6705" t="s">
        <v>43712</v>
      </c>
      <c r="N6705" t="s">
        <v>45095</v>
      </c>
      <c r="O6705" t="s">
        <v>45096</v>
      </c>
      <c r="P6705">
        <v>0</v>
      </c>
      <c r="Q6705">
        <v>2</v>
      </c>
      <c r="R6705" t="s">
        <v>45103</v>
      </c>
      <c r="S6705" t="s">
        <v>45270</v>
      </c>
      <c r="T6705" t="s">
        <v>46988</v>
      </c>
      <c r="U6705" t="s">
        <v>53086</v>
      </c>
      <c r="W6705" t="s">
        <v>43712</v>
      </c>
      <c r="X6705" t="s">
        <v>45106</v>
      </c>
    </row>
    <row r="6706" spans="1:24">
      <c r="A6706">
        <f>HYPERLINK("https://www.philgeps.gov.ph/GEPSNONPILOT/Tender/SplashBidNoticeAbstractUI.aspx?menuIndex=3&amp;refID=7032439&amp;Result=3","7032439")</f>
        <v>0</v>
      </c>
      <c r="B6706" t="s">
        <v>2045</v>
      </c>
      <c r="C6706" t="s">
        <v>9602</v>
      </c>
      <c r="D6706" t="s">
        <v>18095</v>
      </c>
      <c r="E6706" t="s">
        <v>24049</v>
      </c>
      <c r="F6706" t="s">
        <v>31574</v>
      </c>
      <c r="G6706" t="s">
        <v>31582</v>
      </c>
      <c r="H6706" t="s">
        <v>31591</v>
      </c>
      <c r="I6706" t="s">
        <v>8822</v>
      </c>
      <c r="J6706" t="s">
        <v>36035</v>
      </c>
      <c r="K6706" t="s">
        <v>41304</v>
      </c>
      <c r="M6706" t="s">
        <v>43712</v>
      </c>
      <c r="N6706" t="s">
        <v>45095</v>
      </c>
      <c r="O6706" t="s">
        <v>45096</v>
      </c>
      <c r="P6706">
        <v>0</v>
      </c>
      <c r="Q6706">
        <v>1</v>
      </c>
      <c r="R6706" t="s">
        <v>45103</v>
      </c>
      <c r="S6706" t="s">
        <v>45270</v>
      </c>
      <c r="T6706" t="s">
        <v>46988</v>
      </c>
      <c r="U6706" t="s">
        <v>53087</v>
      </c>
      <c r="W6706" t="s">
        <v>43712</v>
      </c>
      <c r="X6706" t="s">
        <v>45106</v>
      </c>
    </row>
    <row r="6707" spans="1:24">
      <c r="A6707">
        <f>HYPERLINK("https://www.philgeps.gov.ph/GEPSNONPILOT/Tender/SplashBidNoticeAbstractUI.aspx?menuIndex=3&amp;refID=7029948&amp;Result=3","7029948")</f>
        <v>0</v>
      </c>
      <c r="B6707" t="s">
        <v>93</v>
      </c>
      <c r="C6707" t="s">
        <v>9603</v>
      </c>
      <c r="D6707" t="s">
        <v>18061</v>
      </c>
      <c r="E6707" t="s">
        <v>24050</v>
      </c>
      <c r="F6707" t="s">
        <v>31574</v>
      </c>
      <c r="G6707" t="s">
        <v>31582</v>
      </c>
      <c r="H6707" t="s">
        <v>31590</v>
      </c>
      <c r="I6707" t="s">
        <v>4046</v>
      </c>
      <c r="J6707" t="s">
        <v>36036</v>
      </c>
      <c r="K6707" t="s">
        <v>41192</v>
      </c>
      <c r="M6707" t="s">
        <v>41577</v>
      </c>
      <c r="N6707" t="s">
        <v>45095</v>
      </c>
      <c r="O6707" t="s">
        <v>45096</v>
      </c>
      <c r="P6707">
        <v>0</v>
      </c>
      <c r="Q6707">
        <v>0</v>
      </c>
      <c r="R6707" t="s">
        <v>45103</v>
      </c>
      <c r="S6707" t="s">
        <v>45270</v>
      </c>
      <c r="T6707" t="s">
        <v>47076</v>
      </c>
      <c r="U6707" t="s">
        <v>53088</v>
      </c>
      <c r="W6707" t="s">
        <v>41577</v>
      </c>
      <c r="X6707" t="s">
        <v>45108</v>
      </c>
    </row>
    <row r="6708" spans="1:24">
      <c r="A6708">
        <f>HYPERLINK("https://www.philgeps.gov.ph/GEPSNONPILOT/Tender/SplashBidNoticeAbstractUI.aspx?menuIndex=3&amp;refID=7032425&amp;Result=3","7032425")</f>
        <v>0</v>
      </c>
      <c r="B6708" t="s">
        <v>2045</v>
      </c>
      <c r="C6708" t="s">
        <v>9604</v>
      </c>
      <c r="D6708" t="s">
        <v>18095</v>
      </c>
      <c r="E6708" t="s">
        <v>24051</v>
      </c>
      <c r="F6708" t="s">
        <v>31574</v>
      </c>
      <c r="G6708" t="s">
        <v>31582</v>
      </c>
      <c r="H6708" t="s">
        <v>31591</v>
      </c>
      <c r="I6708" t="s">
        <v>8822</v>
      </c>
      <c r="J6708" t="s">
        <v>36037</v>
      </c>
      <c r="K6708" t="s">
        <v>41287</v>
      </c>
      <c r="M6708" t="s">
        <v>43712</v>
      </c>
      <c r="N6708" t="s">
        <v>45095</v>
      </c>
      <c r="O6708" t="s">
        <v>45096</v>
      </c>
      <c r="P6708">
        <v>0</v>
      </c>
      <c r="Q6708">
        <v>1</v>
      </c>
      <c r="R6708" t="s">
        <v>45103</v>
      </c>
      <c r="S6708" t="s">
        <v>45270</v>
      </c>
      <c r="T6708" t="s">
        <v>46988</v>
      </c>
      <c r="U6708" t="s">
        <v>53089</v>
      </c>
      <c r="W6708" t="s">
        <v>43712</v>
      </c>
      <c r="X6708" t="s">
        <v>45106</v>
      </c>
    </row>
    <row r="6709" spans="1:24">
      <c r="A6709">
        <f>HYPERLINK("https://www.philgeps.gov.ph/GEPSNONPILOT/Tender/SplashBidNoticeAbstractUI.aspx?menuIndex=3&amp;refID=7032427&amp;Result=3","7032427")</f>
        <v>0</v>
      </c>
      <c r="B6709" t="s">
        <v>2045</v>
      </c>
      <c r="C6709" t="s">
        <v>9605</v>
      </c>
      <c r="D6709" t="s">
        <v>18095</v>
      </c>
      <c r="E6709" t="s">
        <v>24052</v>
      </c>
      <c r="F6709" t="s">
        <v>31574</v>
      </c>
      <c r="G6709" t="s">
        <v>31582</v>
      </c>
      <c r="H6709" t="s">
        <v>31591</v>
      </c>
      <c r="I6709" t="s">
        <v>8822</v>
      </c>
      <c r="J6709" t="s">
        <v>36038</v>
      </c>
      <c r="K6709" t="s">
        <v>41298</v>
      </c>
      <c r="M6709" t="s">
        <v>43712</v>
      </c>
      <c r="N6709" t="s">
        <v>45095</v>
      </c>
      <c r="O6709" t="s">
        <v>45096</v>
      </c>
      <c r="P6709">
        <v>0</v>
      </c>
      <c r="Q6709">
        <v>1</v>
      </c>
      <c r="R6709" t="s">
        <v>45103</v>
      </c>
      <c r="S6709" t="s">
        <v>45270</v>
      </c>
      <c r="T6709" t="s">
        <v>46988</v>
      </c>
      <c r="U6709" t="s">
        <v>53090</v>
      </c>
      <c r="W6709" t="s">
        <v>43712</v>
      </c>
      <c r="X6709" t="s">
        <v>45106</v>
      </c>
    </row>
    <row r="6710" spans="1:24">
      <c r="A6710">
        <f>HYPERLINK("https://www.philgeps.gov.ph/GEPSNONPILOT/Tender/SplashBidNoticeAbstractUI.aspx?menuIndex=3&amp;refID=7029358&amp;Result=3","7029358")</f>
        <v>0</v>
      </c>
      <c r="B6710" t="s">
        <v>93</v>
      </c>
      <c r="C6710" t="s">
        <v>9606</v>
      </c>
      <c r="D6710" t="s">
        <v>18061</v>
      </c>
      <c r="E6710" t="s">
        <v>24053</v>
      </c>
      <c r="F6710" t="s">
        <v>31574</v>
      </c>
      <c r="G6710" t="s">
        <v>31582</v>
      </c>
      <c r="H6710" t="s">
        <v>31590</v>
      </c>
      <c r="I6710" t="s">
        <v>4046</v>
      </c>
      <c r="J6710" t="s">
        <v>36039</v>
      </c>
      <c r="K6710" t="s">
        <v>41192</v>
      </c>
      <c r="M6710" t="s">
        <v>41577</v>
      </c>
      <c r="N6710" t="s">
        <v>45095</v>
      </c>
      <c r="O6710" t="s">
        <v>45096</v>
      </c>
      <c r="P6710">
        <v>0</v>
      </c>
      <c r="Q6710">
        <v>0</v>
      </c>
      <c r="R6710" t="s">
        <v>45103</v>
      </c>
      <c r="S6710" t="s">
        <v>45270</v>
      </c>
      <c r="T6710" t="s">
        <v>47076</v>
      </c>
      <c r="U6710" t="s">
        <v>53091</v>
      </c>
      <c r="W6710" t="s">
        <v>41577</v>
      </c>
      <c r="X6710" t="s">
        <v>45109</v>
      </c>
    </row>
    <row r="6711" spans="1:24">
      <c r="A6711">
        <f>HYPERLINK("https://www.philgeps.gov.ph/GEPSNONPILOT/Tender/SplashBidNoticeAbstractUI.aspx?menuIndex=3&amp;refID=7032443&amp;Result=3","7032443")</f>
        <v>0</v>
      </c>
      <c r="B6711" t="s">
        <v>2045</v>
      </c>
      <c r="C6711" t="s">
        <v>9607</v>
      </c>
      <c r="D6711" t="s">
        <v>18095</v>
      </c>
      <c r="E6711" t="s">
        <v>24054</v>
      </c>
      <c r="F6711" t="s">
        <v>31574</v>
      </c>
      <c r="G6711" t="s">
        <v>31582</v>
      </c>
      <c r="H6711" t="s">
        <v>31591</v>
      </c>
      <c r="I6711" t="s">
        <v>8822</v>
      </c>
      <c r="J6711" t="s">
        <v>36040</v>
      </c>
      <c r="K6711" t="s">
        <v>41240</v>
      </c>
      <c r="M6711" t="s">
        <v>43712</v>
      </c>
      <c r="N6711" t="s">
        <v>45095</v>
      </c>
      <c r="O6711" t="s">
        <v>45096</v>
      </c>
      <c r="P6711">
        <v>0</v>
      </c>
      <c r="Q6711">
        <v>1</v>
      </c>
      <c r="R6711" t="s">
        <v>45103</v>
      </c>
      <c r="S6711" t="s">
        <v>45270</v>
      </c>
      <c r="T6711" t="s">
        <v>46988</v>
      </c>
      <c r="U6711" t="s">
        <v>53092</v>
      </c>
      <c r="W6711" t="s">
        <v>43712</v>
      </c>
      <c r="X6711" t="s">
        <v>45106</v>
      </c>
    </row>
    <row r="6712" spans="1:24">
      <c r="A6712">
        <f>HYPERLINK("https://www.philgeps.gov.ph/GEPSNONPILOT/Tender/SplashBidNoticeAbstractUI.aspx?menuIndex=3&amp;refID=7032417&amp;Result=3","7032417")</f>
        <v>0</v>
      </c>
      <c r="B6712" t="s">
        <v>2045</v>
      </c>
      <c r="C6712" t="s">
        <v>9608</v>
      </c>
      <c r="D6712" t="s">
        <v>18095</v>
      </c>
      <c r="E6712" t="s">
        <v>24055</v>
      </c>
      <c r="F6712" t="s">
        <v>31574</v>
      </c>
      <c r="G6712" t="s">
        <v>31582</v>
      </c>
      <c r="H6712" t="s">
        <v>31591</v>
      </c>
      <c r="I6712" t="s">
        <v>8822</v>
      </c>
      <c r="J6712" t="s">
        <v>36041</v>
      </c>
      <c r="K6712" t="s">
        <v>41192</v>
      </c>
      <c r="M6712" t="s">
        <v>43712</v>
      </c>
      <c r="N6712" t="s">
        <v>45095</v>
      </c>
      <c r="O6712" t="s">
        <v>45096</v>
      </c>
      <c r="P6712">
        <v>0</v>
      </c>
      <c r="Q6712">
        <v>1</v>
      </c>
      <c r="R6712" t="s">
        <v>45103</v>
      </c>
      <c r="S6712" t="s">
        <v>45270</v>
      </c>
      <c r="T6712" t="s">
        <v>46988</v>
      </c>
      <c r="U6712" t="s">
        <v>53093</v>
      </c>
      <c r="W6712" t="s">
        <v>43712</v>
      </c>
      <c r="X6712" t="s">
        <v>45106</v>
      </c>
    </row>
    <row r="6713" spans="1:24">
      <c r="A6713">
        <f>HYPERLINK("https://www.philgeps.gov.ph/GEPSNONPILOT/Tender/SplashBidNoticeAbstractUI.aspx?menuIndex=3&amp;refID=7032451&amp;Result=3","7032451")</f>
        <v>0</v>
      </c>
      <c r="B6713" t="s">
        <v>2045</v>
      </c>
      <c r="C6713" t="s">
        <v>9609</v>
      </c>
      <c r="D6713" t="s">
        <v>18095</v>
      </c>
      <c r="E6713" t="s">
        <v>24056</v>
      </c>
      <c r="F6713" t="s">
        <v>31574</v>
      </c>
      <c r="G6713" t="s">
        <v>31582</v>
      </c>
      <c r="H6713" t="s">
        <v>31591</v>
      </c>
      <c r="I6713" t="s">
        <v>8822</v>
      </c>
      <c r="J6713" t="s">
        <v>36042</v>
      </c>
      <c r="K6713" t="s">
        <v>41256</v>
      </c>
      <c r="M6713" t="s">
        <v>43712</v>
      </c>
      <c r="N6713" t="s">
        <v>45095</v>
      </c>
      <c r="O6713" t="s">
        <v>45096</v>
      </c>
      <c r="P6713">
        <v>0</v>
      </c>
      <c r="Q6713">
        <v>0</v>
      </c>
      <c r="R6713" t="s">
        <v>45103</v>
      </c>
      <c r="S6713" t="s">
        <v>45270</v>
      </c>
      <c r="T6713" t="s">
        <v>46988</v>
      </c>
      <c r="U6713" t="s">
        <v>53094</v>
      </c>
      <c r="W6713" t="s">
        <v>43712</v>
      </c>
      <c r="X6713" t="s">
        <v>45106</v>
      </c>
    </row>
    <row r="6714" spans="1:24">
      <c r="A6714">
        <f>HYPERLINK("https://www.philgeps.gov.ph/GEPSNONPILOT/Tender/SplashBidNoticeAbstractUI.aspx?menuIndex=3&amp;refID=7030033&amp;Result=3","7030033")</f>
        <v>0</v>
      </c>
      <c r="B6714" t="s">
        <v>93</v>
      </c>
      <c r="C6714" t="s">
        <v>9610</v>
      </c>
      <c r="D6714" t="s">
        <v>18061</v>
      </c>
      <c r="E6714" t="s">
        <v>24057</v>
      </c>
      <c r="F6714" t="s">
        <v>31574</v>
      </c>
      <c r="G6714" t="s">
        <v>31582</v>
      </c>
      <c r="H6714" t="s">
        <v>31590</v>
      </c>
      <c r="I6714" t="s">
        <v>4046</v>
      </c>
      <c r="J6714" t="s">
        <v>36043</v>
      </c>
      <c r="K6714" t="s">
        <v>41192</v>
      </c>
      <c r="M6714" t="s">
        <v>41577</v>
      </c>
      <c r="N6714" t="s">
        <v>45095</v>
      </c>
      <c r="O6714" t="s">
        <v>45096</v>
      </c>
      <c r="P6714">
        <v>0</v>
      </c>
      <c r="Q6714">
        <v>0</v>
      </c>
      <c r="R6714" t="s">
        <v>45103</v>
      </c>
      <c r="S6714" t="s">
        <v>45270</v>
      </c>
      <c r="T6714" t="s">
        <v>47076</v>
      </c>
      <c r="U6714" t="s">
        <v>53095</v>
      </c>
      <c r="W6714" t="s">
        <v>41577</v>
      </c>
      <c r="X6714" t="s">
        <v>45108</v>
      </c>
    </row>
    <row r="6715" spans="1:24">
      <c r="A6715">
        <f>HYPERLINK("https://www.philgeps.gov.ph/GEPSNONPILOT/Tender/SplashBidNoticeAbstractUI.aspx?menuIndex=3&amp;refID=7031588&amp;Result=3","7031588")</f>
        <v>0</v>
      </c>
      <c r="B6715" t="s">
        <v>31</v>
      </c>
      <c r="C6715" t="s">
        <v>9611</v>
      </c>
      <c r="E6715" t="s">
        <v>24058</v>
      </c>
      <c r="F6715" t="s">
        <v>31574</v>
      </c>
      <c r="G6715" t="s">
        <v>31581</v>
      </c>
      <c r="H6715" t="s">
        <v>31590</v>
      </c>
      <c r="I6715" t="s">
        <v>31630</v>
      </c>
      <c r="J6715" t="s">
        <v>31947</v>
      </c>
      <c r="K6715" t="s">
        <v>41184</v>
      </c>
      <c r="M6715" t="s">
        <v>41518</v>
      </c>
      <c r="N6715" t="s">
        <v>45095</v>
      </c>
      <c r="O6715" t="s">
        <v>45096</v>
      </c>
      <c r="P6715">
        <v>0</v>
      </c>
      <c r="Q6715">
        <v>4</v>
      </c>
      <c r="R6715" t="s">
        <v>45103</v>
      </c>
      <c r="S6715" t="s">
        <v>45270</v>
      </c>
      <c r="T6715" t="s">
        <v>47076</v>
      </c>
      <c r="U6715" t="s">
        <v>47477</v>
      </c>
      <c r="W6715" t="s">
        <v>41518</v>
      </c>
      <c r="X6715" t="s">
        <v>45108</v>
      </c>
    </row>
    <row r="6716" spans="1:24">
      <c r="A6716">
        <f>HYPERLINK("https://www.philgeps.gov.ph/GEPSNONPILOT/Tender/SplashBidNoticeAbstractUI.aspx?menuIndex=3&amp;refID=7031569&amp;Result=3","7031569")</f>
        <v>0</v>
      </c>
      <c r="B6716" t="s">
        <v>31</v>
      </c>
      <c r="C6716" t="s">
        <v>9612</v>
      </c>
      <c r="E6716" t="s">
        <v>24059</v>
      </c>
      <c r="F6716" t="s">
        <v>31574</v>
      </c>
      <c r="G6716" t="s">
        <v>31581</v>
      </c>
      <c r="H6716" t="s">
        <v>31590</v>
      </c>
      <c r="I6716" t="s">
        <v>31669</v>
      </c>
      <c r="J6716" t="s">
        <v>36044</v>
      </c>
      <c r="K6716" t="s">
        <v>41184</v>
      </c>
      <c r="M6716" t="s">
        <v>41518</v>
      </c>
      <c r="N6716" t="s">
        <v>45095</v>
      </c>
      <c r="O6716" t="s">
        <v>45096</v>
      </c>
      <c r="P6716">
        <v>0</v>
      </c>
      <c r="Q6716">
        <v>0</v>
      </c>
      <c r="R6716" t="s">
        <v>45103</v>
      </c>
      <c r="S6716" t="s">
        <v>45270</v>
      </c>
      <c r="T6716" t="s">
        <v>47076</v>
      </c>
      <c r="U6716" t="s">
        <v>47477</v>
      </c>
      <c r="W6716" t="s">
        <v>41518</v>
      </c>
      <c r="X6716" t="s">
        <v>45108</v>
      </c>
    </row>
    <row r="6717" spans="1:24">
      <c r="A6717">
        <f>HYPERLINK("https://www.philgeps.gov.ph/GEPSNONPILOT/Tender/SplashBidNoticeAbstractUI.aspx?menuIndex=3&amp;refID=7032446&amp;Result=3","7032446")</f>
        <v>0</v>
      </c>
      <c r="B6717" t="s">
        <v>2045</v>
      </c>
      <c r="C6717" t="s">
        <v>9613</v>
      </c>
      <c r="D6717" t="s">
        <v>18095</v>
      </c>
      <c r="E6717" t="s">
        <v>24060</v>
      </c>
      <c r="F6717" t="s">
        <v>31574</v>
      </c>
      <c r="G6717" t="s">
        <v>31582</v>
      </c>
      <c r="H6717" t="s">
        <v>31591</v>
      </c>
      <c r="I6717" t="s">
        <v>8822</v>
      </c>
      <c r="J6717" t="s">
        <v>36045</v>
      </c>
      <c r="K6717" t="s">
        <v>41246</v>
      </c>
      <c r="M6717" t="s">
        <v>43712</v>
      </c>
      <c r="N6717" t="s">
        <v>45095</v>
      </c>
      <c r="O6717" t="s">
        <v>45096</v>
      </c>
      <c r="P6717">
        <v>0</v>
      </c>
      <c r="Q6717">
        <v>0</v>
      </c>
      <c r="R6717" t="s">
        <v>45103</v>
      </c>
      <c r="S6717" t="s">
        <v>45270</v>
      </c>
      <c r="T6717" t="s">
        <v>46988</v>
      </c>
      <c r="U6717" t="s">
        <v>53096</v>
      </c>
      <c r="W6717" t="s">
        <v>43712</v>
      </c>
      <c r="X6717" t="s">
        <v>45106</v>
      </c>
    </row>
    <row r="6718" spans="1:24">
      <c r="A6718">
        <f>HYPERLINK("https://www.philgeps.gov.ph/GEPSNONPILOT/Tender/SplashBidNoticeAbstractUI.aspx?menuIndex=3&amp;refID=7032523&amp;Result=3","7032523")</f>
        <v>0</v>
      </c>
      <c r="B6718" t="s">
        <v>723</v>
      </c>
      <c r="C6718" t="s">
        <v>9614</v>
      </c>
      <c r="D6718" t="s">
        <v>18022</v>
      </c>
      <c r="E6718" t="s">
        <v>24061</v>
      </c>
      <c r="F6718" t="s">
        <v>31574</v>
      </c>
      <c r="G6718" t="s">
        <v>31582</v>
      </c>
      <c r="H6718" t="s">
        <v>31590</v>
      </c>
      <c r="I6718" t="s">
        <v>31608</v>
      </c>
      <c r="J6718" t="s">
        <v>32101</v>
      </c>
      <c r="K6718" t="s">
        <v>41210</v>
      </c>
      <c r="M6718" t="s">
        <v>43713</v>
      </c>
      <c r="N6718" t="s">
        <v>45095</v>
      </c>
      <c r="O6718" t="s">
        <v>45096</v>
      </c>
      <c r="P6718">
        <v>0</v>
      </c>
      <c r="Q6718">
        <v>13</v>
      </c>
      <c r="R6718" t="s">
        <v>45103</v>
      </c>
      <c r="S6718" t="s">
        <v>45270</v>
      </c>
      <c r="T6718" t="s">
        <v>47055</v>
      </c>
      <c r="U6718" t="s">
        <v>53097</v>
      </c>
      <c r="V6718" t="s">
        <v>60573</v>
      </c>
      <c r="W6718" t="s">
        <v>43713</v>
      </c>
      <c r="X6718" t="s">
        <v>45106</v>
      </c>
    </row>
    <row r="6719" spans="1:24">
      <c r="A6719">
        <f>HYPERLINK("https://www.philgeps.gov.ph/GEPSNONPILOT/Tender/SplashBidNoticeAbstractUI.aspx?menuIndex=3&amp;refID=7032170&amp;Result=3","7032170")</f>
        <v>0</v>
      </c>
      <c r="B6719" t="s">
        <v>891</v>
      </c>
      <c r="C6719" t="s">
        <v>9615</v>
      </c>
      <c r="D6719" t="s">
        <v>18066</v>
      </c>
      <c r="E6719" t="s">
        <v>24062</v>
      </c>
      <c r="F6719" t="s">
        <v>31574</v>
      </c>
      <c r="G6719" t="s">
        <v>31582</v>
      </c>
      <c r="H6719" t="s">
        <v>31590</v>
      </c>
      <c r="I6719" t="s">
        <v>4046</v>
      </c>
      <c r="J6719" t="s">
        <v>36046</v>
      </c>
      <c r="K6719" t="s">
        <v>41194</v>
      </c>
      <c r="M6719" t="s">
        <v>42414</v>
      </c>
      <c r="N6719" t="s">
        <v>45095</v>
      </c>
      <c r="O6719" t="s">
        <v>45096</v>
      </c>
      <c r="P6719">
        <v>0</v>
      </c>
      <c r="Q6719">
        <v>0</v>
      </c>
      <c r="R6719" t="s">
        <v>45103</v>
      </c>
      <c r="S6719" t="s">
        <v>45270</v>
      </c>
      <c r="T6719" t="s">
        <v>46965</v>
      </c>
      <c r="U6719" t="s">
        <v>49388</v>
      </c>
      <c r="V6719" t="s">
        <v>60574</v>
      </c>
      <c r="W6719" t="s">
        <v>42414</v>
      </c>
      <c r="X6719" t="s">
        <v>45107</v>
      </c>
    </row>
    <row r="6720" spans="1:24">
      <c r="A6720">
        <f>HYPERLINK("https://www.philgeps.gov.ph/GEPSNONPILOT/Tender/SplashBidNoticeAbstractUI.aspx?menuIndex=3&amp;refID=7032498&amp;Result=3","7032498")</f>
        <v>0</v>
      </c>
      <c r="B6720" t="s">
        <v>2045</v>
      </c>
      <c r="C6720" t="s">
        <v>9616</v>
      </c>
      <c r="D6720" t="s">
        <v>18095</v>
      </c>
      <c r="E6720" t="s">
        <v>24063</v>
      </c>
      <c r="F6720" t="s">
        <v>31574</v>
      </c>
      <c r="G6720" t="s">
        <v>31582</v>
      </c>
      <c r="H6720" t="s">
        <v>31591</v>
      </c>
      <c r="I6720" t="s">
        <v>8822</v>
      </c>
      <c r="J6720" t="s">
        <v>36047</v>
      </c>
      <c r="K6720" t="s">
        <v>41202</v>
      </c>
      <c r="M6720" t="s">
        <v>43712</v>
      </c>
      <c r="N6720" t="s">
        <v>45095</v>
      </c>
      <c r="O6720" t="s">
        <v>45096</v>
      </c>
      <c r="P6720">
        <v>0</v>
      </c>
      <c r="Q6720">
        <v>0</v>
      </c>
      <c r="R6720" t="s">
        <v>45103</v>
      </c>
      <c r="S6720" t="s">
        <v>45270</v>
      </c>
      <c r="T6720" t="s">
        <v>46988</v>
      </c>
      <c r="U6720" t="s">
        <v>53098</v>
      </c>
      <c r="W6720" t="s">
        <v>43712</v>
      </c>
      <c r="X6720" t="s">
        <v>45106</v>
      </c>
    </row>
    <row r="6721" spans="1:24">
      <c r="A6721">
        <f>HYPERLINK("https://www.philgeps.gov.ph/GEPSNONPILOT/Tender/SplashBidNoticeAbstractUI.aspx?menuIndex=3&amp;refID=7032463&amp;Result=3","7032463")</f>
        <v>0</v>
      </c>
      <c r="B6721" t="s">
        <v>2045</v>
      </c>
      <c r="C6721" t="s">
        <v>9617</v>
      </c>
      <c r="D6721" t="s">
        <v>18095</v>
      </c>
      <c r="E6721" t="s">
        <v>24064</v>
      </c>
      <c r="F6721" t="s">
        <v>31574</v>
      </c>
      <c r="G6721" t="s">
        <v>31582</v>
      </c>
      <c r="H6721" t="s">
        <v>31591</v>
      </c>
      <c r="I6721" t="s">
        <v>8822</v>
      </c>
      <c r="J6721" t="s">
        <v>36048</v>
      </c>
      <c r="K6721" t="s">
        <v>41287</v>
      </c>
      <c r="M6721" t="s">
        <v>43712</v>
      </c>
      <c r="N6721" t="s">
        <v>45095</v>
      </c>
      <c r="O6721" t="s">
        <v>45096</v>
      </c>
      <c r="P6721">
        <v>0</v>
      </c>
      <c r="Q6721">
        <v>0</v>
      </c>
      <c r="R6721" t="s">
        <v>45103</v>
      </c>
      <c r="S6721" t="s">
        <v>45270</v>
      </c>
      <c r="T6721" t="s">
        <v>46988</v>
      </c>
      <c r="U6721" t="s">
        <v>53099</v>
      </c>
      <c r="W6721" t="s">
        <v>43712</v>
      </c>
      <c r="X6721" t="s">
        <v>45106</v>
      </c>
    </row>
    <row r="6722" spans="1:24">
      <c r="A6722">
        <f>HYPERLINK("https://www.philgeps.gov.ph/GEPSNONPILOT/Tender/SplashBidNoticeAbstractUI.aspx?menuIndex=3&amp;refID=7032456&amp;Result=3","7032456")</f>
        <v>0</v>
      </c>
      <c r="B6722" t="s">
        <v>2045</v>
      </c>
      <c r="C6722" t="s">
        <v>9618</v>
      </c>
      <c r="D6722" t="s">
        <v>18095</v>
      </c>
      <c r="E6722" t="s">
        <v>24065</v>
      </c>
      <c r="F6722" t="s">
        <v>31574</v>
      </c>
      <c r="G6722" t="s">
        <v>31582</v>
      </c>
      <c r="H6722" t="s">
        <v>31591</v>
      </c>
      <c r="I6722" t="s">
        <v>8822</v>
      </c>
      <c r="J6722" t="s">
        <v>36049</v>
      </c>
      <c r="K6722" t="s">
        <v>41219</v>
      </c>
      <c r="M6722" t="s">
        <v>43712</v>
      </c>
      <c r="N6722" t="s">
        <v>45095</v>
      </c>
      <c r="O6722" t="s">
        <v>45096</v>
      </c>
      <c r="P6722">
        <v>0</v>
      </c>
      <c r="Q6722">
        <v>0</v>
      </c>
      <c r="R6722" t="s">
        <v>45103</v>
      </c>
      <c r="S6722" t="s">
        <v>45270</v>
      </c>
      <c r="T6722" t="s">
        <v>46988</v>
      </c>
      <c r="U6722" t="s">
        <v>53100</v>
      </c>
      <c r="W6722" t="s">
        <v>43712</v>
      </c>
      <c r="X6722" t="s">
        <v>45106</v>
      </c>
    </row>
    <row r="6723" spans="1:24">
      <c r="A6723">
        <f>HYPERLINK("https://www.philgeps.gov.ph/GEPSNONPILOT/Tender/SplashBidNoticeAbstractUI.aspx?menuIndex=3&amp;refID=7032494&amp;Result=3","7032494")</f>
        <v>0</v>
      </c>
      <c r="B6723" t="s">
        <v>2045</v>
      </c>
      <c r="C6723" t="s">
        <v>9619</v>
      </c>
      <c r="D6723" t="s">
        <v>18095</v>
      </c>
      <c r="E6723" t="s">
        <v>24066</v>
      </c>
      <c r="F6723" t="s">
        <v>31574</v>
      </c>
      <c r="G6723" t="s">
        <v>31582</v>
      </c>
      <c r="H6723" t="s">
        <v>31591</v>
      </c>
      <c r="I6723" t="s">
        <v>8822</v>
      </c>
      <c r="J6723" t="s">
        <v>36050</v>
      </c>
      <c r="K6723" t="s">
        <v>41290</v>
      </c>
      <c r="M6723" t="s">
        <v>43712</v>
      </c>
      <c r="N6723" t="s">
        <v>45095</v>
      </c>
      <c r="O6723" t="s">
        <v>45096</v>
      </c>
      <c r="P6723">
        <v>0</v>
      </c>
      <c r="Q6723">
        <v>1</v>
      </c>
      <c r="R6723" t="s">
        <v>45103</v>
      </c>
      <c r="S6723" t="s">
        <v>45270</v>
      </c>
      <c r="T6723" t="s">
        <v>46988</v>
      </c>
      <c r="U6723" t="s">
        <v>53101</v>
      </c>
      <c r="W6723" t="s">
        <v>43712</v>
      </c>
      <c r="X6723" t="s">
        <v>45106</v>
      </c>
    </row>
    <row r="6724" spans="1:24">
      <c r="A6724">
        <f>HYPERLINK("https://www.philgeps.gov.ph/GEPSNONPILOT/Tender/SplashBidNoticeAbstractUI.aspx?menuIndex=3&amp;refID=7032478&amp;Result=3","7032478")</f>
        <v>0</v>
      </c>
      <c r="B6724" t="s">
        <v>2045</v>
      </c>
      <c r="C6724" t="s">
        <v>9620</v>
      </c>
      <c r="D6724" t="s">
        <v>18095</v>
      </c>
      <c r="E6724" t="s">
        <v>24067</v>
      </c>
      <c r="F6724" t="s">
        <v>31574</v>
      </c>
      <c r="G6724" t="s">
        <v>31582</v>
      </c>
      <c r="H6724" t="s">
        <v>31591</v>
      </c>
      <c r="I6724" t="s">
        <v>8822</v>
      </c>
      <c r="J6724" t="s">
        <v>36051</v>
      </c>
      <c r="K6724" t="s">
        <v>41350</v>
      </c>
      <c r="M6724" t="s">
        <v>43712</v>
      </c>
      <c r="N6724" t="s">
        <v>45095</v>
      </c>
      <c r="O6724" t="s">
        <v>45096</v>
      </c>
      <c r="P6724">
        <v>0</v>
      </c>
      <c r="Q6724">
        <v>0</v>
      </c>
      <c r="R6724" t="s">
        <v>45103</v>
      </c>
      <c r="S6724" t="s">
        <v>45270</v>
      </c>
      <c r="T6724" t="s">
        <v>46988</v>
      </c>
      <c r="U6724" t="s">
        <v>53102</v>
      </c>
      <c r="W6724" t="s">
        <v>43712</v>
      </c>
      <c r="X6724" t="s">
        <v>45106</v>
      </c>
    </row>
    <row r="6725" spans="1:24">
      <c r="A6725">
        <f>HYPERLINK("https://www.philgeps.gov.ph/GEPSNONPILOT/Tender/SplashBidNoticeAbstractUI.aspx?menuIndex=3&amp;refID=7032437&amp;Result=3","7032437")</f>
        <v>0</v>
      </c>
      <c r="B6725" t="s">
        <v>2045</v>
      </c>
      <c r="C6725" t="s">
        <v>9621</v>
      </c>
      <c r="D6725" t="s">
        <v>18095</v>
      </c>
      <c r="E6725" t="s">
        <v>24068</v>
      </c>
      <c r="F6725" t="s">
        <v>31574</v>
      </c>
      <c r="G6725" t="s">
        <v>31582</v>
      </c>
      <c r="H6725" t="s">
        <v>31591</v>
      </c>
      <c r="I6725" t="s">
        <v>8822</v>
      </c>
      <c r="J6725" t="s">
        <v>36052</v>
      </c>
      <c r="K6725" t="s">
        <v>41287</v>
      </c>
      <c r="M6725" t="s">
        <v>43712</v>
      </c>
      <c r="N6725" t="s">
        <v>45095</v>
      </c>
      <c r="O6725" t="s">
        <v>45096</v>
      </c>
      <c r="P6725">
        <v>0</v>
      </c>
      <c r="Q6725">
        <v>0</v>
      </c>
      <c r="R6725" t="s">
        <v>45103</v>
      </c>
      <c r="S6725" t="s">
        <v>45270</v>
      </c>
      <c r="T6725" t="s">
        <v>46988</v>
      </c>
      <c r="U6725" t="s">
        <v>53103</v>
      </c>
      <c r="W6725" t="s">
        <v>43712</v>
      </c>
      <c r="X6725" t="s">
        <v>45106</v>
      </c>
    </row>
    <row r="6726" spans="1:24">
      <c r="A6726">
        <f>HYPERLINK("https://www.philgeps.gov.ph/GEPSNONPILOT/Tender/SplashBidNoticeAbstractUI.aspx?menuIndex=3&amp;refID=7032493&amp;Result=3","7032493")</f>
        <v>0</v>
      </c>
      <c r="B6726" t="s">
        <v>2045</v>
      </c>
      <c r="C6726" t="s">
        <v>9622</v>
      </c>
      <c r="D6726" t="s">
        <v>18095</v>
      </c>
      <c r="E6726" t="s">
        <v>24069</v>
      </c>
      <c r="F6726" t="s">
        <v>31574</v>
      </c>
      <c r="G6726" t="s">
        <v>31582</v>
      </c>
      <c r="H6726" t="s">
        <v>31591</v>
      </c>
      <c r="I6726" t="s">
        <v>8822</v>
      </c>
      <c r="J6726" t="s">
        <v>36053</v>
      </c>
      <c r="K6726" t="s">
        <v>41287</v>
      </c>
      <c r="M6726" t="s">
        <v>43712</v>
      </c>
      <c r="N6726" t="s">
        <v>45095</v>
      </c>
      <c r="O6726" t="s">
        <v>45096</v>
      </c>
      <c r="P6726">
        <v>0</v>
      </c>
      <c r="Q6726">
        <v>0</v>
      </c>
      <c r="R6726" t="s">
        <v>45103</v>
      </c>
      <c r="S6726" t="s">
        <v>45270</v>
      </c>
      <c r="T6726" t="s">
        <v>46988</v>
      </c>
      <c r="U6726" t="s">
        <v>53104</v>
      </c>
      <c r="W6726" t="s">
        <v>43712</v>
      </c>
      <c r="X6726" t="s">
        <v>45106</v>
      </c>
    </row>
    <row r="6727" spans="1:24">
      <c r="A6727">
        <f>HYPERLINK("https://www.philgeps.gov.ph/GEPSNONPILOT/Tender/SplashBidNoticeAbstractUI.aspx?menuIndex=3&amp;refID=7032501&amp;Result=3","7032501")</f>
        <v>0</v>
      </c>
      <c r="B6727" t="s">
        <v>2045</v>
      </c>
      <c r="C6727" t="s">
        <v>9623</v>
      </c>
      <c r="D6727" t="s">
        <v>18095</v>
      </c>
      <c r="E6727" t="s">
        <v>24070</v>
      </c>
      <c r="F6727" t="s">
        <v>31574</v>
      </c>
      <c r="G6727" t="s">
        <v>31582</v>
      </c>
      <c r="H6727" t="s">
        <v>31591</v>
      </c>
      <c r="I6727" t="s">
        <v>8822</v>
      </c>
      <c r="J6727" t="s">
        <v>36054</v>
      </c>
      <c r="K6727" t="s">
        <v>41192</v>
      </c>
      <c r="M6727" t="s">
        <v>43712</v>
      </c>
      <c r="N6727" t="s">
        <v>45095</v>
      </c>
      <c r="O6727" t="s">
        <v>45096</v>
      </c>
      <c r="P6727">
        <v>0</v>
      </c>
      <c r="Q6727">
        <v>1</v>
      </c>
      <c r="R6727" t="s">
        <v>45103</v>
      </c>
      <c r="S6727" t="s">
        <v>45270</v>
      </c>
      <c r="T6727" t="s">
        <v>46988</v>
      </c>
      <c r="U6727" t="s">
        <v>53105</v>
      </c>
      <c r="W6727" t="s">
        <v>43712</v>
      </c>
      <c r="X6727" t="s">
        <v>45106</v>
      </c>
    </row>
    <row r="6728" spans="1:24">
      <c r="A6728">
        <f>HYPERLINK("https://www.philgeps.gov.ph/GEPSNONPILOT/Tender/SplashBidNoticeAbstractUI.aspx?menuIndex=3&amp;refID=7032491&amp;Result=3","7032491")</f>
        <v>0</v>
      </c>
      <c r="B6728" t="s">
        <v>2045</v>
      </c>
      <c r="C6728" t="s">
        <v>9624</v>
      </c>
      <c r="D6728" t="s">
        <v>18095</v>
      </c>
      <c r="E6728" t="s">
        <v>24071</v>
      </c>
      <c r="F6728" t="s">
        <v>31574</v>
      </c>
      <c r="G6728" t="s">
        <v>31582</v>
      </c>
      <c r="H6728" t="s">
        <v>31591</v>
      </c>
      <c r="I6728" t="s">
        <v>8822</v>
      </c>
      <c r="J6728" t="s">
        <v>36055</v>
      </c>
      <c r="K6728" t="s">
        <v>41320</v>
      </c>
      <c r="M6728" t="s">
        <v>43712</v>
      </c>
      <c r="N6728" t="s">
        <v>45095</v>
      </c>
      <c r="O6728" t="s">
        <v>45096</v>
      </c>
      <c r="P6728">
        <v>0</v>
      </c>
      <c r="Q6728">
        <v>0</v>
      </c>
      <c r="R6728" t="s">
        <v>45103</v>
      </c>
      <c r="S6728" t="s">
        <v>45270</v>
      </c>
      <c r="T6728" t="s">
        <v>46988</v>
      </c>
      <c r="U6728" t="s">
        <v>53106</v>
      </c>
      <c r="W6728" t="s">
        <v>43712</v>
      </c>
      <c r="X6728" t="s">
        <v>45106</v>
      </c>
    </row>
    <row r="6729" spans="1:24">
      <c r="A6729">
        <f>HYPERLINK("https://www.philgeps.gov.ph/GEPSNONPILOT/Tender/SplashBidNoticeAbstractUI.aspx?menuIndex=3&amp;refID=7032192&amp;Result=3","7032192")</f>
        <v>0</v>
      </c>
      <c r="B6729" t="s">
        <v>38</v>
      </c>
      <c r="C6729" t="s">
        <v>9625</v>
      </c>
      <c r="D6729" t="s">
        <v>18033</v>
      </c>
      <c r="E6729" t="s">
        <v>24072</v>
      </c>
      <c r="F6729" t="s">
        <v>31574</v>
      </c>
      <c r="G6729" t="s">
        <v>31582</v>
      </c>
      <c r="H6729" t="s">
        <v>31591</v>
      </c>
      <c r="I6729" t="s">
        <v>8822</v>
      </c>
      <c r="J6729" t="s">
        <v>32325</v>
      </c>
      <c r="K6729" t="s">
        <v>41192</v>
      </c>
      <c r="M6729" t="s">
        <v>43276</v>
      </c>
      <c r="N6729" t="s">
        <v>45095</v>
      </c>
      <c r="O6729" t="s">
        <v>45096</v>
      </c>
      <c r="P6729">
        <v>0</v>
      </c>
      <c r="Q6729">
        <v>0</v>
      </c>
      <c r="R6729" t="s">
        <v>45103</v>
      </c>
      <c r="S6729" t="s">
        <v>45270</v>
      </c>
      <c r="T6729" t="s">
        <v>46913</v>
      </c>
      <c r="U6729" t="s">
        <v>49667</v>
      </c>
      <c r="V6729" t="s">
        <v>59888</v>
      </c>
      <c r="W6729" t="s">
        <v>43276</v>
      </c>
      <c r="X6729" t="s">
        <v>45107</v>
      </c>
    </row>
    <row r="6730" spans="1:24">
      <c r="A6730">
        <f>HYPERLINK("https://www.philgeps.gov.ph/GEPSNONPILOT/Tender/SplashBidNoticeAbstractUI.aspx?menuIndex=3&amp;refID=7032474&amp;Result=3","7032474")</f>
        <v>0</v>
      </c>
      <c r="B6730" t="s">
        <v>2045</v>
      </c>
      <c r="C6730" t="s">
        <v>9626</v>
      </c>
      <c r="D6730" t="s">
        <v>18095</v>
      </c>
      <c r="E6730" t="s">
        <v>24073</v>
      </c>
      <c r="F6730" t="s">
        <v>31574</v>
      </c>
      <c r="G6730" t="s">
        <v>31582</v>
      </c>
      <c r="H6730" t="s">
        <v>31591</v>
      </c>
      <c r="I6730" t="s">
        <v>8822</v>
      </c>
      <c r="J6730" t="s">
        <v>36056</v>
      </c>
      <c r="K6730" t="s">
        <v>41192</v>
      </c>
      <c r="M6730" t="s">
        <v>43712</v>
      </c>
      <c r="N6730" t="s">
        <v>45095</v>
      </c>
      <c r="O6730" t="s">
        <v>45096</v>
      </c>
      <c r="P6730">
        <v>0</v>
      </c>
      <c r="Q6730">
        <v>0</v>
      </c>
      <c r="R6730" t="s">
        <v>45103</v>
      </c>
      <c r="S6730" t="s">
        <v>45270</v>
      </c>
      <c r="T6730" t="s">
        <v>46988</v>
      </c>
      <c r="U6730" t="s">
        <v>53107</v>
      </c>
      <c r="W6730" t="s">
        <v>43712</v>
      </c>
      <c r="X6730" t="s">
        <v>45106</v>
      </c>
    </row>
    <row r="6731" spans="1:24">
      <c r="A6731">
        <f>HYPERLINK("https://www.philgeps.gov.ph/GEPSNONPILOT/Tender/SplashBidNoticeAbstractUI.aspx?menuIndex=3&amp;refID=7032811&amp;Result=3","7032811")</f>
        <v>0</v>
      </c>
      <c r="B6731" t="s">
        <v>2046</v>
      </c>
      <c r="C6731" t="s">
        <v>9627</v>
      </c>
      <c r="E6731" t="s">
        <v>24074</v>
      </c>
      <c r="F6731" t="s">
        <v>31574</v>
      </c>
      <c r="G6731" t="s">
        <v>31582</v>
      </c>
      <c r="H6731" t="s">
        <v>31591</v>
      </c>
      <c r="I6731" t="s">
        <v>8822</v>
      </c>
      <c r="J6731" t="s">
        <v>36057</v>
      </c>
      <c r="K6731" t="s">
        <v>41184</v>
      </c>
      <c r="M6731" t="s">
        <v>43714</v>
      </c>
      <c r="N6731" t="s">
        <v>45095</v>
      </c>
      <c r="O6731" t="s">
        <v>45096</v>
      </c>
      <c r="P6731">
        <v>0</v>
      </c>
      <c r="Q6731">
        <v>0</v>
      </c>
      <c r="R6731" t="s">
        <v>45103</v>
      </c>
      <c r="S6731" t="s">
        <v>45270</v>
      </c>
      <c r="T6731" t="s">
        <v>46936</v>
      </c>
      <c r="U6731" t="s">
        <v>53108</v>
      </c>
      <c r="W6731" t="s">
        <v>43714</v>
      </c>
      <c r="X6731" t="s">
        <v>45105</v>
      </c>
    </row>
    <row r="6732" spans="1:24">
      <c r="A6732">
        <f>HYPERLINK("https://www.philgeps.gov.ph/GEPSNONPILOT/Tender/SplashBidNoticeAbstractUI.aspx?menuIndex=3&amp;refID=7032475&amp;Result=3","7032475")</f>
        <v>0</v>
      </c>
      <c r="B6732" t="s">
        <v>2045</v>
      </c>
      <c r="C6732" t="s">
        <v>9628</v>
      </c>
      <c r="D6732" t="s">
        <v>18095</v>
      </c>
      <c r="E6732" t="s">
        <v>24075</v>
      </c>
      <c r="F6732" t="s">
        <v>31574</v>
      </c>
      <c r="G6732" t="s">
        <v>31582</v>
      </c>
      <c r="H6732" t="s">
        <v>31591</v>
      </c>
      <c r="I6732" t="s">
        <v>8822</v>
      </c>
      <c r="J6732" t="s">
        <v>36058</v>
      </c>
      <c r="K6732" t="s">
        <v>41219</v>
      </c>
      <c r="M6732" t="s">
        <v>43712</v>
      </c>
      <c r="N6732" t="s">
        <v>45095</v>
      </c>
      <c r="O6732" t="s">
        <v>45096</v>
      </c>
      <c r="P6732">
        <v>0</v>
      </c>
      <c r="Q6732">
        <v>0</v>
      </c>
      <c r="R6732" t="s">
        <v>45103</v>
      </c>
      <c r="S6732" t="s">
        <v>45270</v>
      </c>
      <c r="T6732" t="s">
        <v>46988</v>
      </c>
      <c r="U6732" t="s">
        <v>53109</v>
      </c>
      <c r="W6732" t="s">
        <v>43712</v>
      </c>
      <c r="X6732" t="s">
        <v>45106</v>
      </c>
    </row>
    <row r="6733" spans="1:24">
      <c r="A6733">
        <f>HYPERLINK("https://www.philgeps.gov.ph/GEPSNONPILOT/Tender/SplashBidNoticeAbstractUI.aspx?menuIndex=3&amp;refID=7032933&amp;Result=3","7032933")</f>
        <v>0</v>
      </c>
      <c r="B6733" t="s">
        <v>2047</v>
      </c>
      <c r="C6733" t="s">
        <v>9629</v>
      </c>
      <c r="D6733" t="s">
        <v>18056</v>
      </c>
      <c r="E6733" t="s">
        <v>24076</v>
      </c>
      <c r="F6733" t="s">
        <v>31574</v>
      </c>
      <c r="G6733" t="s">
        <v>31584</v>
      </c>
      <c r="H6733" t="s">
        <v>31590</v>
      </c>
      <c r="I6733" t="s">
        <v>31636</v>
      </c>
      <c r="J6733" t="s">
        <v>36059</v>
      </c>
      <c r="K6733" t="s">
        <v>41196</v>
      </c>
      <c r="M6733" t="s">
        <v>43715</v>
      </c>
      <c r="N6733" t="s">
        <v>45095</v>
      </c>
      <c r="O6733" t="s">
        <v>45096</v>
      </c>
      <c r="P6733">
        <v>0</v>
      </c>
      <c r="Q6733">
        <v>1</v>
      </c>
      <c r="R6733" t="s">
        <v>45103</v>
      </c>
      <c r="S6733" t="s">
        <v>45270</v>
      </c>
      <c r="T6733" t="s">
        <v>47067</v>
      </c>
      <c r="U6733" t="s">
        <v>53110</v>
      </c>
      <c r="W6733" t="s">
        <v>43715</v>
      </c>
      <c r="X6733" t="s">
        <v>45105</v>
      </c>
    </row>
    <row r="6734" spans="1:24">
      <c r="A6734">
        <f>HYPERLINK("https://www.philgeps.gov.ph/GEPSNONPILOT/Tender/SplashBidNoticeAbstractUI.aspx?menuIndex=3&amp;refID=7032924&amp;Result=3","7032924")</f>
        <v>0</v>
      </c>
      <c r="B6734" t="s">
        <v>984</v>
      </c>
      <c r="C6734" t="s">
        <v>9630</v>
      </c>
      <c r="D6734" t="s">
        <v>18056</v>
      </c>
      <c r="E6734" t="s">
        <v>24077</v>
      </c>
      <c r="F6734" t="s">
        <v>31574</v>
      </c>
      <c r="G6734" t="s">
        <v>31582</v>
      </c>
      <c r="H6734" t="s">
        <v>31590</v>
      </c>
      <c r="I6734" t="s">
        <v>7162</v>
      </c>
      <c r="J6734" t="s">
        <v>32325</v>
      </c>
      <c r="K6734" t="s">
        <v>41191</v>
      </c>
      <c r="M6734" t="s">
        <v>42518</v>
      </c>
      <c r="N6734" t="s">
        <v>45095</v>
      </c>
      <c r="O6734" t="s">
        <v>45096</v>
      </c>
      <c r="P6734">
        <v>0</v>
      </c>
      <c r="Q6734">
        <v>1</v>
      </c>
      <c r="R6734" t="s">
        <v>45103</v>
      </c>
      <c r="S6734" t="s">
        <v>45270</v>
      </c>
      <c r="T6734" t="s">
        <v>46988</v>
      </c>
      <c r="U6734" t="s">
        <v>53111</v>
      </c>
      <c r="W6734" t="s">
        <v>42518</v>
      </c>
      <c r="X6734" t="s">
        <v>45105</v>
      </c>
    </row>
    <row r="6735" spans="1:24">
      <c r="A6735">
        <f>HYPERLINK("https://www.philgeps.gov.ph/GEPSNONPILOT/Tender/SplashBidNoticeAbstractUI.aspx?menuIndex=3&amp;refID=7032912&amp;Result=3","7032912")</f>
        <v>0</v>
      </c>
      <c r="B6735" t="s">
        <v>2001</v>
      </c>
      <c r="C6735" t="s">
        <v>9631</v>
      </c>
      <c r="D6735" t="s">
        <v>18058</v>
      </c>
      <c r="E6735" t="s">
        <v>24078</v>
      </c>
      <c r="F6735" t="s">
        <v>31574</v>
      </c>
      <c r="G6735" t="s">
        <v>31581</v>
      </c>
      <c r="H6735" t="s">
        <v>31590</v>
      </c>
      <c r="I6735" t="s">
        <v>31608</v>
      </c>
      <c r="J6735" t="s">
        <v>36060</v>
      </c>
      <c r="K6735" t="s">
        <v>41186</v>
      </c>
      <c r="M6735" t="s">
        <v>43663</v>
      </c>
      <c r="N6735" t="s">
        <v>45095</v>
      </c>
      <c r="O6735" t="s">
        <v>45096</v>
      </c>
      <c r="P6735">
        <v>0</v>
      </c>
      <c r="Q6735">
        <v>6</v>
      </c>
      <c r="R6735" t="s">
        <v>45103</v>
      </c>
      <c r="S6735" t="s">
        <v>45270</v>
      </c>
      <c r="T6735" t="s">
        <v>47159</v>
      </c>
      <c r="U6735" t="s">
        <v>53112</v>
      </c>
      <c r="V6735" t="s">
        <v>59888</v>
      </c>
      <c r="W6735" t="s">
        <v>43663</v>
      </c>
      <c r="X6735" t="s">
        <v>45105</v>
      </c>
    </row>
    <row r="6736" spans="1:24">
      <c r="A6736">
        <f>HYPERLINK("https://www.philgeps.gov.ph/GEPSNONPILOT/Tender/SplashBidNoticeAbstractUI.aspx?menuIndex=3&amp;refID=7032575&amp;Result=3","7032575")</f>
        <v>0</v>
      </c>
      <c r="B6736" t="s">
        <v>2048</v>
      </c>
      <c r="C6736" t="s">
        <v>9632</v>
      </c>
      <c r="D6736" t="s">
        <v>18033</v>
      </c>
      <c r="E6736" t="s">
        <v>24079</v>
      </c>
      <c r="F6736" t="s">
        <v>31574</v>
      </c>
      <c r="G6736" t="s">
        <v>31582</v>
      </c>
      <c r="H6736" t="s">
        <v>31590</v>
      </c>
      <c r="I6736" t="s">
        <v>31615</v>
      </c>
      <c r="J6736" t="s">
        <v>31819</v>
      </c>
      <c r="K6736" t="s">
        <v>41189</v>
      </c>
      <c r="M6736" t="s">
        <v>43716</v>
      </c>
      <c r="N6736" t="s">
        <v>45095</v>
      </c>
      <c r="O6736" t="s">
        <v>45096</v>
      </c>
      <c r="P6736">
        <v>0</v>
      </c>
      <c r="Q6736">
        <v>6</v>
      </c>
      <c r="R6736" t="s">
        <v>45103</v>
      </c>
      <c r="S6736" t="s">
        <v>45270</v>
      </c>
      <c r="T6736" t="s">
        <v>47302</v>
      </c>
      <c r="U6736" t="s">
        <v>53113</v>
      </c>
      <c r="W6736" t="s">
        <v>43716</v>
      </c>
      <c r="X6736" t="s">
        <v>45106</v>
      </c>
    </row>
    <row r="6737" spans="1:24">
      <c r="A6737">
        <f>HYPERLINK("https://www.philgeps.gov.ph/GEPSNONPILOT/Tender/SplashBidNoticeAbstractUI.aspx?menuIndex=3&amp;refID=7032467&amp;Result=3","7032467")</f>
        <v>0</v>
      </c>
      <c r="B6737" t="s">
        <v>2045</v>
      </c>
      <c r="C6737" t="s">
        <v>9633</v>
      </c>
      <c r="D6737" t="s">
        <v>18095</v>
      </c>
      <c r="E6737" t="s">
        <v>24080</v>
      </c>
      <c r="F6737" t="s">
        <v>31574</v>
      </c>
      <c r="G6737" t="s">
        <v>31582</v>
      </c>
      <c r="H6737" t="s">
        <v>31591</v>
      </c>
      <c r="I6737" t="s">
        <v>8822</v>
      </c>
      <c r="J6737" t="s">
        <v>36061</v>
      </c>
      <c r="K6737" t="s">
        <v>41257</v>
      </c>
      <c r="M6737" t="s">
        <v>43712</v>
      </c>
      <c r="N6737" t="s">
        <v>45095</v>
      </c>
      <c r="O6737" t="s">
        <v>45096</v>
      </c>
      <c r="P6737">
        <v>0</v>
      </c>
      <c r="Q6737">
        <v>0</v>
      </c>
      <c r="R6737" t="s">
        <v>45103</v>
      </c>
      <c r="S6737" t="s">
        <v>45270</v>
      </c>
      <c r="T6737" t="s">
        <v>46988</v>
      </c>
      <c r="U6737" t="s">
        <v>53114</v>
      </c>
      <c r="W6737" t="s">
        <v>43712</v>
      </c>
      <c r="X6737" t="s">
        <v>45106</v>
      </c>
    </row>
    <row r="6738" spans="1:24">
      <c r="A6738">
        <f>HYPERLINK("https://www.philgeps.gov.ph/GEPSNONPILOT/Tender/SplashBidNoticeAbstractUI.aspx?menuIndex=3&amp;refID=7032874&amp;Result=3","7032874")</f>
        <v>0</v>
      </c>
      <c r="B6738" t="s">
        <v>2049</v>
      </c>
      <c r="C6738" t="s">
        <v>9634</v>
      </c>
      <c r="D6738" t="s">
        <v>18072</v>
      </c>
      <c r="E6738" t="s">
        <v>24081</v>
      </c>
      <c r="F6738" t="s">
        <v>31574</v>
      </c>
      <c r="G6738" t="s">
        <v>31581</v>
      </c>
      <c r="H6738" t="s">
        <v>31590</v>
      </c>
      <c r="I6738" t="s">
        <v>8258</v>
      </c>
      <c r="J6738" t="s">
        <v>36062</v>
      </c>
      <c r="K6738" t="s">
        <v>41184</v>
      </c>
      <c r="M6738" t="s">
        <v>43717</v>
      </c>
      <c r="N6738" t="s">
        <v>45095</v>
      </c>
      <c r="O6738" t="s">
        <v>45096</v>
      </c>
      <c r="P6738">
        <v>0</v>
      </c>
      <c r="Q6738">
        <v>2</v>
      </c>
      <c r="R6738" t="s">
        <v>45103</v>
      </c>
      <c r="S6738" t="s">
        <v>45270</v>
      </c>
      <c r="T6738" t="s">
        <v>47154</v>
      </c>
      <c r="U6738" t="s">
        <v>53115</v>
      </c>
      <c r="W6738" t="s">
        <v>43717</v>
      </c>
      <c r="X6738" t="s">
        <v>45105</v>
      </c>
    </row>
    <row r="6739" spans="1:24">
      <c r="A6739">
        <f>HYPERLINK("https://www.philgeps.gov.ph/GEPSNONPILOT/Tender/SplashBidNoticeAbstractUI.aspx?menuIndex=3&amp;refID=7032536&amp;Result=3","7032536")</f>
        <v>0</v>
      </c>
      <c r="B6739" t="s">
        <v>723</v>
      </c>
      <c r="C6739" t="s">
        <v>9635</v>
      </c>
      <c r="D6739" t="s">
        <v>18022</v>
      </c>
      <c r="E6739" t="s">
        <v>24082</v>
      </c>
      <c r="F6739" t="s">
        <v>31574</v>
      </c>
      <c r="G6739" t="s">
        <v>31582</v>
      </c>
      <c r="H6739" t="s">
        <v>31590</v>
      </c>
      <c r="I6739" t="s">
        <v>31608</v>
      </c>
      <c r="J6739" t="s">
        <v>31771</v>
      </c>
      <c r="K6739" t="s">
        <v>41186</v>
      </c>
      <c r="M6739" t="s">
        <v>43713</v>
      </c>
      <c r="N6739" t="s">
        <v>45095</v>
      </c>
      <c r="O6739" t="s">
        <v>45096</v>
      </c>
      <c r="P6739">
        <v>0</v>
      </c>
      <c r="Q6739">
        <v>10</v>
      </c>
      <c r="R6739" t="s">
        <v>45103</v>
      </c>
      <c r="S6739" t="s">
        <v>45270</v>
      </c>
      <c r="T6739" t="s">
        <v>47055</v>
      </c>
      <c r="U6739" t="s">
        <v>53116</v>
      </c>
      <c r="V6739" t="s">
        <v>60575</v>
      </c>
      <c r="W6739" t="s">
        <v>43713</v>
      </c>
      <c r="X6739" t="s">
        <v>45106</v>
      </c>
    </row>
    <row r="6740" spans="1:24">
      <c r="A6740">
        <f>HYPERLINK("https://www.philgeps.gov.ph/GEPSNONPILOT/Tender/SplashBidNoticeAbstractUI.aspx?menuIndex=3&amp;refID=7032975&amp;Result=3","7032975")</f>
        <v>0</v>
      </c>
      <c r="B6740" t="s">
        <v>1211</v>
      </c>
      <c r="C6740" t="s">
        <v>9636</v>
      </c>
      <c r="D6740" t="s">
        <v>18041</v>
      </c>
      <c r="E6740" t="s">
        <v>24083</v>
      </c>
      <c r="F6740" t="s">
        <v>31574</v>
      </c>
      <c r="G6740" t="s">
        <v>31581</v>
      </c>
      <c r="H6740" t="s">
        <v>31590</v>
      </c>
      <c r="I6740" t="s">
        <v>31611</v>
      </c>
      <c r="J6740" t="s">
        <v>31845</v>
      </c>
      <c r="K6740" t="s">
        <v>41191</v>
      </c>
      <c r="M6740" t="s">
        <v>42771</v>
      </c>
      <c r="N6740" t="s">
        <v>45095</v>
      </c>
      <c r="O6740" t="s">
        <v>45096</v>
      </c>
      <c r="P6740">
        <v>0</v>
      </c>
      <c r="Q6740">
        <v>1</v>
      </c>
      <c r="R6740" t="s">
        <v>45103</v>
      </c>
      <c r="S6740" t="s">
        <v>45270</v>
      </c>
      <c r="T6740" t="s">
        <v>47188</v>
      </c>
      <c r="U6740" t="s">
        <v>50364</v>
      </c>
      <c r="W6740" t="s">
        <v>61694</v>
      </c>
      <c r="X6740" t="s">
        <v>45105</v>
      </c>
    </row>
    <row r="6741" spans="1:24">
      <c r="A6741">
        <f>HYPERLINK("https://www.philgeps.gov.ph/GEPSNONPILOT/Tender/SplashBidNoticeAbstractUI.aspx?menuIndex=3&amp;refID=7033212&amp;Result=3","7033212")</f>
        <v>0</v>
      </c>
      <c r="B6741" t="s">
        <v>2050</v>
      </c>
      <c r="C6741" t="s">
        <v>9637</v>
      </c>
      <c r="D6741" t="s">
        <v>18046</v>
      </c>
      <c r="E6741" t="s">
        <v>18422</v>
      </c>
      <c r="F6741" t="s">
        <v>31574</v>
      </c>
      <c r="G6741" t="s">
        <v>31582</v>
      </c>
      <c r="H6741" t="s">
        <v>31590</v>
      </c>
      <c r="I6741" t="s">
        <v>31602</v>
      </c>
      <c r="J6741" t="s">
        <v>31782</v>
      </c>
      <c r="K6741" t="s">
        <v>41184</v>
      </c>
      <c r="M6741" t="s">
        <v>43718</v>
      </c>
      <c r="N6741" t="s">
        <v>45095</v>
      </c>
      <c r="O6741" t="s">
        <v>45096</v>
      </c>
      <c r="P6741">
        <v>0</v>
      </c>
      <c r="Q6741">
        <v>0</v>
      </c>
      <c r="R6741" t="s">
        <v>45103</v>
      </c>
      <c r="S6741" t="s">
        <v>45270</v>
      </c>
      <c r="T6741" t="s">
        <v>47050</v>
      </c>
      <c r="U6741" t="s">
        <v>53117</v>
      </c>
      <c r="W6741" t="s">
        <v>43718</v>
      </c>
      <c r="X6741" t="s">
        <v>45105</v>
      </c>
    </row>
    <row r="6742" spans="1:24">
      <c r="A6742">
        <f>HYPERLINK("https://www.philgeps.gov.ph/GEPSNONPILOT/Tender/SplashBidNoticeAbstractUI.aspx?menuIndex=3&amp;refID=7032826&amp;Result=3","7032826")</f>
        <v>0</v>
      </c>
      <c r="B6742" t="s">
        <v>798</v>
      </c>
      <c r="C6742" t="s">
        <v>9638</v>
      </c>
      <c r="D6742" t="s">
        <v>18052</v>
      </c>
      <c r="E6742" t="s">
        <v>24084</v>
      </c>
      <c r="F6742" t="s">
        <v>31574</v>
      </c>
      <c r="G6742" t="s">
        <v>31583</v>
      </c>
      <c r="H6742" t="s">
        <v>31590</v>
      </c>
      <c r="I6742" t="s">
        <v>6800</v>
      </c>
      <c r="J6742" t="s">
        <v>36063</v>
      </c>
      <c r="K6742" t="s">
        <v>41184</v>
      </c>
      <c r="M6742" t="s">
        <v>42312</v>
      </c>
      <c r="N6742" t="s">
        <v>45095</v>
      </c>
      <c r="O6742" t="s">
        <v>45096</v>
      </c>
      <c r="Q6742">
        <v>0</v>
      </c>
      <c r="R6742" t="s">
        <v>45103</v>
      </c>
      <c r="S6742" t="s">
        <v>45272</v>
      </c>
      <c r="T6742" t="s">
        <v>46973</v>
      </c>
      <c r="U6742" t="s">
        <v>49176</v>
      </c>
      <c r="W6742" t="s">
        <v>42312</v>
      </c>
      <c r="X6742" t="s">
        <v>45105</v>
      </c>
    </row>
    <row r="6743" spans="1:24">
      <c r="A6743">
        <f>HYPERLINK("https://www.philgeps.gov.ph/GEPSNONPILOT/Tender/SplashBidNoticeAbstractUI.aspx?menuIndex=3&amp;refID=7032800&amp;Result=3","7032800")</f>
        <v>0</v>
      </c>
      <c r="B6743" t="s">
        <v>38</v>
      </c>
      <c r="C6743" t="s">
        <v>9639</v>
      </c>
      <c r="D6743" t="s">
        <v>18033</v>
      </c>
      <c r="E6743" t="s">
        <v>24085</v>
      </c>
      <c r="F6743" t="s">
        <v>31574</v>
      </c>
      <c r="G6743" t="s">
        <v>31582</v>
      </c>
      <c r="H6743" t="s">
        <v>31590</v>
      </c>
      <c r="I6743" t="s">
        <v>31603</v>
      </c>
      <c r="J6743" t="s">
        <v>33092</v>
      </c>
      <c r="K6743" t="s">
        <v>41194</v>
      </c>
      <c r="M6743" t="s">
        <v>42506</v>
      </c>
      <c r="N6743" t="s">
        <v>45095</v>
      </c>
      <c r="O6743" t="s">
        <v>45096</v>
      </c>
      <c r="P6743">
        <v>0</v>
      </c>
      <c r="Q6743">
        <v>1</v>
      </c>
      <c r="R6743" t="s">
        <v>45103</v>
      </c>
      <c r="S6743" t="s">
        <v>45270</v>
      </c>
      <c r="T6743" t="s">
        <v>46913</v>
      </c>
      <c r="U6743" t="s">
        <v>53118</v>
      </c>
      <c r="V6743" t="s">
        <v>60567</v>
      </c>
      <c r="W6743" t="s">
        <v>42506</v>
      </c>
      <c r="X6743" t="s">
        <v>45105</v>
      </c>
    </row>
    <row r="6744" spans="1:24">
      <c r="A6744">
        <f>HYPERLINK("https://www.philgeps.gov.ph/GEPSNONPILOT/Tender/SplashBidNoticeAbstractUI.aspx?menuIndex=3&amp;refID=7033151&amp;Result=3","7033151")</f>
        <v>0</v>
      </c>
      <c r="B6744" t="s">
        <v>479</v>
      </c>
      <c r="C6744" t="s">
        <v>9640</v>
      </c>
      <c r="D6744" t="s">
        <v>18079</v>
      </c>
      <c r="E6744" t="s">
        <v>24086</v>
      </c>
      <c r="F6744" t="s">
        <v>31574</v>
      </c>
      <c r="G6744" t="s">
        <v>31582</v>
      </c>
      <c r="H6744" t="s">
        <v>31590</v>
      </c>
      <c r="I6744" t="s">
        <v>31634</v>
      </c>
      <c r="J6744" t="s">
        <v>36064</v>
      </c>
      <c r="K6744" t="s">
        <v>41184</v>
      </c>
      <c r="M6744" t="s">
        <v>42243</v>
      </c>
      <c r="N6744" t="s">
        <v>45095</v>
      </c>
      <c r="O6744" t="s">
        <v>45096</v>
      </c>
      <c r="P6744">
        <v>0</v>
      </c>
      <c r="Q6744">
        <v>3</v>
      </c>
      <c r="R6744" t="s">
        <v>45103</v>
      </c>
      <c r="S6744" t="s">
        <v>45270</v>
      </c>
      <c r="T6744" t="s">
        <v>47064</v>
      </c>
      <c r="U6744" t="s">
        <v>53119</v>
      </c>
      <c r="V6744" t="s">
        <v>60576</v>
      </c>
      <c r="W6744" t="s">
        <v>42243</v>
      </c>
      <c r="X6744" t="s">
        <v>45105</v>
      </c>
    </row>
    <row r="6745" spans="1:24">
      <c r="A6745">
        <f>HYPERLINK("https://www.philgeps.gov.ph/GEPSNONPILOT/Tender/SplashBidNoticeAbstractUI.aspx?menuIndex=3&amp;refID=7033583&amp;Result=3","7033583")</f>
        <v>0</v>
      </c>
      <c r="B6745" t="s">
        <v>2051</v>
      </c>
      <c r="C6745" t="s">
        <v>9641</v>
      </c>
      <c r="D6745" t="s">
        <v>18066</v>
      </c>
      <c r="E6745" t="s">
        <v>24087</v>
      </c>
      <c r="F6745" t="s">
        <v>31574</v>
      </c>
      <c r="G6745" t="s">
        <v>31582</v>
      </c>
      <c r="H6745" t="s">
        <v>31590</v>
      </c>
      <c r="I6745" t="s">
        <v>31594</v>
      </c>
      <c r="J6745" t="s">
        <v>36065</v>
      </c>
      <c r="K6745" t="s">
        <v>41186</v>
      </c>
      <c r="M6745" t="s">
        <v>43719</v>
      </c>
      <c r="N6745" t="s">
        <v>45095</v>
      </c>
      <c r="O6745" t="s">
        <v>45096</v>
      </c>
      <c r="P6745">
        <v>0</v>
      </c>
      <c r="Q6745">
        <v>5</v>
      </c>
      <c r="R6745" t="s">
        <v>45103</v>
      </c>
      <c r="S6745" t="s">
        <v>45270</v>
      </c>
      <c r="T6745" t="s">
        <v>47000</v>
      </c>
      <c r="U6745" t="s">
        <v>53120</v>
      </c>
      <c r="V6745" t="s">
        <v>60577</v>
      </c>
      <c r="W6745" t="s">
        <v>43719</v>
      </c>
      <c r="X6745" t="s">
        <v>45105</v>
      </c>
    </row>
    <row r="6746" spans="1:24">
      <c r="A6746">
        <f>HYPERLINK("https://www.philgeps.gov.ph/GEPSNONPILOT/Tender/SplashBidNoticeAbstractUI.aspx?menuIndex=3&amp;refID=7033154&amp;Result=3","7033154")</f>
        <v>0</v>
      </c>
      <c r="B6746" t="s">
        <v>2042</v>
      </c>
      <c r="C6746" t="s">
        <v>9642</v>
      </c>
      <c r="D6746" t="s">
        <v>18043</v>
      </c>
      <c r="E6746" t="s">
        <v>24088</v>
      </c>
      <c r="F6746" t="s">
        <v>31574</v>
      </c>
      <c r="G6746" t="s">
        <v>31581</v>
      </c>
      <c r="H6746" t="s">
        <v>31590</v>
      </c>
      <c r="I6746" t="s">
        <v>31673</v>
      </c>
      <c r="J6746" t="s">
        <v>36066</v>
      </c>
      <c r="K6746" t="s">
        <v>41190</v>
      </c>
      <c r="M6746" t="s">
        <v>43709</v>
      </c>
      <c r="N6746" t="s">
        <v>45095</v>
      </c>
      <c r="O6746" t="s">
        <v>45096</v>
      </c>
      <c r="P6746">
        <v>0</v>
      </c>
      <c r="Q6746">
        <v>0</v>
      </c>
      <c r="R6746" t="s">
        <v>45103</v>
      </c>
      <c r="S6746" t="s">
        <v>45270</v>
      </c>
      <c r="T6746" t="s">
        <v>47168</v>
      </c>
      <c r="U6746" t="s">
        <v>53056</v>
      </c>
      <c r="V6746" t="s">
        <v>60566</v>
      </c>
      <c r="W6746" t="s">
        <v>43709</v>
      </c>
      <c r="X6746" t="s">
        <v>45105</v>
      </c>
    </row>
    <row r="6747" spans="1:24">
      <c r="A6747">
        <f>HYPERLINK("https://www.philgeps.gov.ph/GEPSNONPILOT/Tender/SplashBidNoticeAbstractUI.aspx?menuIndex=3&amp;refID=7033180&amp;Result=3","7033180")</f>
        <v>0</v>
      </c>
      <c r="B6747" t="s">
        <v>479</v>
      </c>
      <c r="C6747" t="s">
        <v>9643</v>
      </c>
      <c r="D6747" t="s">
        <v>18079</v>
      </c>
      <c r="E6747" t="s">
        <v>24089</v>
      </c>
      <c r="F6747" t="s">
        <v>31574</v>
      </c>
      <c r="G6747" t="s">
        <v>31582</v>
      </c>
      <c r="H6747" t="s">
        <v>31590</v>
      </c>
      <c r="I6747" t="s">
        <v>31612</v>
      </c>
      <c r="J6747" t="s">
        <v>36067</v>
      </c>
      <c r="K6747" t="s">
        <v>41184</v>
      </c>
      <c r="M6747" t="s">
        <v>42243</v>
      </c>
      <c r="N6747" t="s">
        <v>45095</v>
      </c>
      <c r="O6747" t="s">
        <v>45096</v>
      </c>
      <c r="P6747">
        <v>0</v>
      </c>
      <c r="Q6747">
        <v>8</v>
      </c>
      <c r="R6747" t="s">
        <v>45103</v>
      </c>
      <c r="S6747" t="s">
        <v>45270</v>
      </c>
      <c r="T6747" t="s">
        <v>46992</v>
      </c>
      <c r="U6747" t="s">
        <v>53121</v>
      </c>
      <c r="V6747" t="s">
        <v>60576</v>
      </c>
      <c r="W6747" t="s">
        <v>42243</v>
      </c>
      <c r="X6747" t="s">
        <v>45105</v>
      </c>
    </row>
    <row r="6748" spans="1:24">
      <c r="A6748">
        <f>HYPERLINK("https://www.philgeps.gov.ph/GEPSNONPILOT/Tender/SplashBidNoticeAbstractUI.aspx?menuIndex=3&amp;refID=7033257&amp;Result=3","7033257")</f>
        <v>0</v>
      </c>
      <c r="B6748" t="s">
        <v>479</v>
      </c>
      <c r="C6748" t="s">
        <v>9644</v>
      </c>
      <c r="D6748" t="s">
        <v>18079</v>
      </c>
      <c r="E6748" t="s">
        <v>24090</v>
      </c>
      <c r="F6748" t="s">
        <v>31574</v>
      </c>
      <c r="G6748" t="s">
        <v>31582</v>
      </c>
      <c r="H6748" t="s">
        <v>31590</v>
      </c>
      <c r="I6748" t="s">
        <v>14034</v>
      </c>
      <c r="J6748" t="s">
        <v>36068</v>
      </c>
      <c r="K6748" t="s">
        <v>41184</v>
      </c>
      <c r="M6748" t="s">
        <v>42243</v>
      </c>
      <c r="N6748" t="s">
        <v>45095</v>
      </c>
      <c r="O6748" t="s">
        <v>45096</v>
      </c>
      <c r="P6748">
        <v>0</v>
      </c>
      <c r="Q6748">
        <v>7</v>
      </c>
      <c r="R6748" t="s">
        <v>45103</v>
      </c>
      <c r="S6748" t="s">
        <v>45270</v>
      </c>
      <c r="T6748" t="s">
        <v>46992</v>
      </c>
      <c r="U6748" t="s">
        <v>53122</v>
      </c>
      <c r="V6748" t="s">
        <v>60576</v>
      </c>
      <c r="W6748" t="s">
        <v>42243</v>
      </c>
      <c r="X6748" t="s">
        <v>45105</v>
      </c>
    </row>
    <row r="6749" spans="1:24">
      <c r="A6749">
        <f>HYPERLINK("https://www.philgeps.gov.ph/GEPSNONPILOT/Tender/SplashBidNoticeAbstractUI.aspx?menuIndex=3&amp;refID=7033039&amp;Result=3","7033039")</f>
        <v>0</v>
      </c>
      <c r="B6749" t="s">
        <v>274</v>
      </c>
      <c r="C6749" t="s">
        <v>9645</v>
      </c>
      <c r="D6749" t="s">
        <v>18071</v>
      </c>
      <c r="E6749" t="s">
        <v>24091</v>
      </c>
      <c r="F6749" t="s">
        <v>31574</v>
      </c>
      <c r="G6749" t="s">
        <v>31582</v>
      </c>
      <c r="H6749" t="s">
        <v>31590</v>
      </c>
      <c r="I6749" t="s">
        <v>4046</v>
      </c>
      <c r="J6749" t="s">
        <v>36069</v>
      </c>
      <c r="K6749" t="s">
        <v>41184</v>
      </c>
      <c r="M6749" t="s">
        <v>41760</v>
      </c>
      <c r="N6749" t="s">
        <v>45095</v>
      </c>
      <c r="O6749" t="s">
        <v>45096</v>
      </c>
      <c r="P6749">
        <v>0</v>
      </c>
      <c r="Q6749">
        <v>0</v>
      </c>
      <c r="R6749" t="s">
        <v>45103</v>
      </c>
      <c r="S6749" t="s">
        <v>45270</v>
      </c>
      <c r="T6749" t="s">
        <v>46963</v>
      </c>
      <c r="U6749" t="s">
        <v>53123</v>
      </c>
      <c r="W6749" t="s">
        <v>61724</v>
      </c>
      <c r="X6749" t="s">
        <v>45105</v>
      </c>
    </row>
    <row r="6750" spans="1:24">
      <c r="A6750">
        <f>HYPERLINK("https://www.philgeps.gov.ph/GEPSNONPILOT/Tender/SplashBidNoticeAbstractUI.aspx?menuIndex=3&amp;refID=7033687&amp;Result=3","7033687")</f>
        <v>0</v>
      </c>
      <c r="B6750" t="s">
        <v>459</v>
      </c>
      <c r="C6750" t="s">
        <v>9646</v>
      </c>
      <c r="D6750" t="s">
        <v>18079</v>
      </c>
      <c r="E6750" t="s">
        <v>24092</v>
      </c>
      <c r="F6750" t="s">
        <v>31574</v>
      </c>
      <c r="G6750" t="s">
        <v>31581</v>
      </c>
      <c r="H6750" t="s">
        <v>31593</v>
      </c>
      <c r="I6750" t="s">
        <v>31593</v>
      </c>
      <c r="J6750" t="s">
        <v>36070</v>
      </c>
      <c r="K6750" t="s">
        <v>41203</v>
      </c>
      <c r="M6750" t="s">
        <v>41953</v>
      </c>
      <c r="N6750" t="s">
        <v>45095</v>
      </c>
      <c r="O6750" t="s">
        <v>45096</v>
      </c>
      <c r="P6750">
        <v>0</v>
      </c>
      <c r="Q6750">
        <v>3</v>
      </c>
      <c r="R6750" t="s">
        <v>45103</v>
      </c>
      <c r="S6750" t="s">
        <v>45270</v>
      </c>
      <c r="T6750" t="s">
        <v>47303</v>
      </c>
      <c r="U6750" t="s">
        <v>53124</v>
      </c>
      <c r="V6750" t="s">
        <v>60578</v>
      </c>
      <c r="W6750" t="s">
        <v>41953</v>
      </c>
      <c r="X6750" t="s">
        <v>45105</v>
      </c>
    </row>
    <row r="6751" spans="1:24">
      <c r="A6751">
        <f>HYPERLINK("https://www.philgeps.gov.ph/GEPSNONPILOT/Tender/SplashBidNoticeAbstractUI.aspx?menuIndex=3&amp;refID=7032980&amp;Result=3","7032980")</f>
        <v>0</v>
      </c>
      <c r="B6751" t="s">
        <v>490</v>
      </c>
      <c r="C6751" t="s">
        <v>9647</v>
      </c>
      <c r="E6751" t="s">
        <v>24093</v>
      </c>
      <c r="F6751" t="s">
        <v>31574</v>
      </c>
      <c r="G6751" t="s">
        <v>31581</v>
      </c>
      <c r="H6751" t="s">
        <v>31590</v>
      </c>
      <c r="I6751" t="s">
        <v>31616</v>
      </c>
      <c r="J6751" t="s">
        <v>36071</v>
      </c>
      <c r="K6751" t="s">
        <v>41184</v>
      </c>
      <c r="M6751" t="s">
        <v>41986</v>
      </c>
      <c r="N6751" t="s">
        <v>45095</v>
      </c>
      <c r="O6751" t="s">
        <v>45096</v>
      </c>
      <c r="P6751">
        <v>0</v>
      </c>
      <c r="Q6751">
        <v>5</v>
      </c>
      <c r="R6751" t="s">
        <v>45103</v>
      </c>
      <c r="S6751" t="s">
        <v>45270</v>
      </c>
      <c r="T6751" t="s">
        <v>47158</v>
      </c>
      <c r="U6751" t="s">
        <v>53125</v>
      </c>
      <c r="W6751" t="s">
        <v>41986</v>
      </c>
      <c r="X6751" t="s">
        <v>45105</v>
      </c>
    </row>
    <row r="6752" spans="1:24">
      <c r="A6752">
        <f>HYPERLINK("https://www.philgeps.gov.ph/GEPSNONPILOT/Tender/SplashBidNoticeAbstractUI.aspx?menuIndex=3&amp;refID=7033021&amp;Result=3","7033021")</f>
        <v>0</v>
      </c>
      <c r="B6752" t="s">
        <v>274</v>
      </c>
      <c r="C6752" t="s">
        <v>9648</v>
      </c>
      <c r="D6752" t="s">
        <v>18071</v>
      </c>
      <c r="E6752" t="s">
        <v>24094</v>
      </c>
      <c r="F6752" t="s">
        <v>31574</v>
      </c>
      <c r="G6752" t="s">
        <v>31582</v>
      </c>
      <c r="H6752" t="s">
        <v>31590</v>
      </c>
      <c r="I6752" t="s">
        <v>4046</v>
      </c>
      <c r="J6752" t="s">
        <v>36072</v>
      </c>
      <c r="K6752" t="s">
        <v>41184</v>
      </c>
      <c r="M6752" t="s">
        <v>41760</v>
      </c>
      <c r="N6752" t="s">
        <v>45095</v>
      </c>
      <c r="O6752" t="s">
        <v>45096</v>
      </c>
      <c r="P6752">
        <v>0</v>
      </c>
      <c r="Q6752">
        <v>0</v>
      </c>
      <c r="R6752" t="s">
        <v>45103</v>
      </c>
      <c r="S6752" t="s">
        <v>45270</v>
      </c>
      <c r="T6752" t="s">
        <v>46963</v>
      </c>
      <c r="U6752" t="s">
        <v>53126</v>
      </c>
      <c r="W6752" t="s">
        <v>61724</v>
      </c>
      <c r="X6752" t="s">
        <v>45105</v>
      </c>
    </row>
    <row r="6753" spans="1:24">
      <c r="A6753">
        <f>HYPERLINK("https://www.philgeps.gov.ph/GEPSNONPILOT/Tender/SplashBidNoticeAbstractUI.aspx?menuIndex=3&amp;refID=7033294&amp;Result=3","7033294")</f>
        <v>0</v>
      </c>
      <c r="B6753" t="s">
        <v>31</v>
      </c>
      <c r="C6753" t="s">
        <v>9649</v>
      </c>
      <c r="E6753" t="s">
        <v>24095</v>
      </c>
      <c r="F6753" t="s">
        <v>31574</v>
      </c>
      <c r="G6753" t="s">
        <v>31583</v>
      </c>
      <c r="H6753" t="s">
        <v>31590</v>
      </c>
      <c r="I6753" t="s">
        <v>6800</v>
      </c>
      <c r="J6753" t="s">
        <v>36073</v>
      </c>
      <c r="K6753" t="s">
        <v>41193</v>
      </c>
      <c r="M6753" t="s">
        <v>41513</v>
      </c>
      <c r="N6753" t="s">
        <v>45095</v>
      </c>
      <c r="O6753" t="s">
        <v>45096</v>
      </c>
      <c r="P6753">
        <v>0</v>
      </c>
      <c r="Q6753">
        <v>1</v>
      </c>
      <c r="R6753" t="s">
        <v>45103</v>
      </c>
      <c r="S6753" t="s">
        <v>45270</v>
      </c>
      <c r="T6753" t="s">
        <v>47076</v>
      </c>
      <c r="U6753" t="s">
        <v>48316</v>
      </c>
      <c r="W6753" t="s">
        <v>41513</v>
      </c>
      <c r="X6753" t="s">
        <v>45105</v>
      </c>
    </row>
    <row r="6754" spans="1:24">
      <c r="A6754">
        <f>HYPERLINK("https://www.philgeps.gov.ph/GEPSNONPILOT/Tender/SplashBidNoticeAbstractUI.aspx?menuIndex=3&amp;refID=7033668&amp;Result=3","7033668")</f>
        <v>0</v>
      </c>
      <c r="B6754" t="s">
        <v>459</v>
      </c>
      <c r="C6754" t="s">
        <v>9650</v>
      </c>
      <c r="D6754" t="s">
        <v>18079</v>
      </c>
      <c r="E6754" t="s">
        <v>24096</v>
      </c>
      <c r="F6754" t="s">
        <v>31574</v>
      </c>
      <c r="G6754" t="s">
        <v>31581</v>
      </c>
      <c r="H6754" t="s">
        <v>31593</v>
      </c>
      <c r="I6754" t="s">
        <v>31593</v>
      </c>
      <c r="J6754" t="s">
        <v>36070</v>
      </c>
      <c r="K6754" t="s">
        <v>41203</v>
      </c>
      <c r="M6754" t="s">
        <v>41953</v>
      </c>
      <c r="N6754" t="s">
        <v>45095</v>
      </c>
      <c r="O6754" t="s">
        <v>45096</v>
      </c>
      <c r="P6754">
        <v>0</v>
      </c>
      <c r="Q6754">
        <v>2</v>
      </c>
      <c r="R6754" t="s">
        <v>45103</v>
      </c>
      <c r="S6754" t="s">
        <v>45270</v>
      </c>
      <c r="T6754" t="s">
        <v>47303</v>
      </c>
      <c r="U6754" t="s">
        <v>53127</v>
      </c>
      <c r="V6754" t="s">
        <v>60578</v>
      </c>
      <c r="W6754" t="s">
        <v>41953</v>
      </c>
      <c r="X6754" t="s">
        <v>45105</v>
      </c>
    </row>
    <row r="6755" spans="1:24">
      <c r="A6755">
        <f>HYPERLINK("https://www.philgeps.gov.ph/GEPSNONPILOT/Tender/SplashBidNoticeAbstractUI.aspx?menuIndex=3&amp;refID=7033700&amp;Result=3","7033700")</f>
        <v>0</v>
      </c>
      <c r="B6755" t="s">
        <v>459</v>
      </c>
      <c r="C6755" t="s">
        <v>9651</v>
      </c>
      <c r="D6755" t="s">
        <v>18079</v>
      </c>
      <c r="E6755" t="s">
        <v>24097</v>
      </c>
      <c r="F6755" t="s">
        <v>31574</v>
      </c>
      <c r="G6755" t="s">
        <v>31581</v>
      </c>
      <c r="H6755" t="s">
        <v>31593</v>
      </c>
      <c r="I6755" t="s">
        <v>31593</v>
      </c>
      <c r="J6755" t="s">
        <v>36070</v>
      </c>
      <c r="K6755" t="s">
        <v>41203</v>
      </c>
      <c r="M6755" t="s">
        <v>41953</v>
      </c>
      <c r="N6755" t="s">
        <v>45095</v>
      </c>
      <c r="O6755" t="s">
        <v>45096</v>
      </c>
      <c r="P6755">
        <v>0</v>
      </c>
      <c r="Q6755">
        <v>3</v>
      </c>
      <c r="R6755" t="s">
        <v>45103</v>
      </c>
      <c r="S6755" t="s">
        <v>45270</v>
      </c>
      <c r="T6755" t="s">
        <v>47303</v>
      </c>
      <c r="U6755" t="s">
        <v>53128</v>
      </c>
      <c r="V6755" t="s">
        <v>60578</v>
      </c>
      <c r="W6755" t="s">
        <v>41953</v>
      </c>
      <c r="X6755" t="s">
        <v>45105</v>
      </c>
    </row>
    <row r="6756" spans="1:24">
      <c r="A6756">
        <f>HYPERLINK("https://www.philgeps.gov.ph/GEPSNONPILOT/Tender/SplashBidNoticeAbstractUI.aspx?menuIndex=3&amp;refID=7033924&amp;Result=3","7033924")</f>
        <v>0</v>
      </c>
      <c r="B6756" t="s">
        <v>454</v>
      </c>
      <c r="C6756" t="s">
        <v>9652</v>
      </c>
      <c r="D6756" t="s">
        <v>18070</v>
      </c>
      <c r="E6756" t="s">
        <v>24098</v>
      </c>
      <c r="F6756" t="s">
        <v>31574</v>
      </c>
      <c r="G6756" t="s">
        <v>31585</v>
      </c>
      <c r="H6756" t="s">
        <v>31590</v>
      </c>
      <c r="I6756" t="s">
        <v>31700</v>
      </c>
      <c r="J6756" t="s">
        <v>33327</v>
      </c>
      <c r="K6756" t="s">
        <v>41282</v>
      </c>
      <c r="M6756" t="s">
        <v>43720</v>
      </c>
      <c r="N6756" t="s">
        <v>45095</v>
      </c>
      <c r="O6756" t="s">
        <v>45096</v>
      </c>
      <c r="P6756">
        <v>0</v>
      </c>
      <c r="Q6756">
        <v>1</v>
      </c>
      <c r="R6756" t="s">
        <v>45103</v>
      </c>
      <c r="S6756" t="s">
        <v>45270</v>
      </c>
      <c r="T6756" t="s">
        <v>47178</v>
      </c>
      <c r="U6756" t="s">
        <v>53129</v>
      </c>
      <c r="V6756" t="s">
        <v>60579</v>
      </c>
      <c r="W6756" t="s">
        <v>43720</v>
      </c>
      <c r="X6756" t="s">
        <v>45105</v>
      </c>
    </row>
    <row r="6757" spans="1:24">
      <c r="A6757">
        <f>HYPERLINK("https://www.philgeps.gov.ph/GEPSNONPILOT/Tender/SplashBidNoticeAbstractUI.aspx?menuIndex=3&amp;refID=7033912&amp;Result=3","7033912")</f>
        <v>0</v>
      </c>
      <c r="B6757" t="s">
        <v>2051</v>
      </c>
      <c r="C6757" t="s">
        <v>9653</v>
      </c>
      <c r="D6757" t="s">
        <v>18066</v>
      </c>
      <c r="E6757" t="s">
        <v>24099</v>
      </c>
      <c r="F6757" t="s">
        <v>31574</v>
      </c>
      <c r="G6757" t="s">
        <v>31582</v>
      </c>
      <c r="H6757" t="s">
        <v>31591</v>
      </c>
      <c r="I6757" t="s">
        <v>8822</v>
      </c>
      <c r="J6757" t="s">
        <v>36074</v>
      </c>
      <c r="K6757" t="s">
        <v>41264</v>
      </c>
      <c r="M6757" t="s">
        <v>43719</v>
      </c>
      <c r="N6757" t="s">
        <v>45095</v>
      </c>
      <c r="O6757" t="s">
        <v>45096</v>
      </c>
      <c r="P6757">
        <v>0</v>
      </c>
      <c r="Q6757">
        <v>0</v>
      </c>
      <c r="R6757" t="s">
        <v>45103</v>
      </c>
      <c r="S6757" t="s">
        <v>45270</v>
      </c>
      <c r="T6757" t="s">
        <v>47000</v>
      </c>
      <c r="U6757" t="s">
        <v>53130</v>
      </c>
      <c r="V6757" t="s">
        <v>60580</v>
      </c>
      <c r="W6757" t="s">
        <v>43719</v>
      </c>
      <c r="X6757" t="s">
        <v>45105</v>
      </c>
    </row>
    <row r="6758" spans="1:24">
      <c r="A6758">
        <f>HYPERLINK("https://www.philgeps.gov.ph/GEPSNONPILOT/Tender/SplashBidNoticeAbstractUI.aspx?menuIndex=3&amp;refID=7033645&amp;Result=3","7033645")</f>
        <v>0</v>
      </c>
      <c r="B6758" t="s">
        <v>459</v>
      </c>
      <c r="C6758" t="s">
        <v>9654</v>
      </c>
      <c r="D6758" t="s">
        <v>18079</v>
      </c>
      <c r="E6758" t="s">
        <v>24100</v>
      </c>
      <c r="F6758" t="s">
        <v>31574</v>
      </c>
      <c r="G6758" t="s">
        <v>31581</v>
      </c>
      <c r="H6758" t="s">
        <v>31593</v>
      </c>
      <c r="I6758" t="s">
        <v>31593</v>
      </c>
      <c r="J6758" t="s">
        <v>36070</v>
      </c>
      <c r="K6758" t="s">
        <v>41203</v>
      </c>
      <c r="M6758" t="s">
        <v>41953</v>
      </c>
      <c r="N6758" t="s">
        <v>45095</v>
      </c>
      <c r="O6758" t="s">
        <v>45096</v>
      </c>
      <c r="P6758">
        <v>0</v>
      </c>
      <c r="Q6758">
        <v>3</v>
      </c>
      <c r="R6758" t="s">
        <v>45103</v>
      </c>
      <c r="S6758" t="s">
        <v>45270</v>
      </c>
      <c r="T6758" t="s">
        <v>47303</v>
      </c>
      <c r="U6758" t="s">
        <v>53127</v>
      </c>
      <c r="V6758" t="s">
        <v>60578</v>
      </c>
      <c r="W6758" t="s">
        <v>41953</v>
      </c>
      <c r="X6758" t="s">
        <v>45105</v>
      </c>
    </row>
    <row r="6759" spans="1:24">
      <c r="A6759">
        <f>HYPERLINK("https://www.philgeps.gov.ph/GEPSNONPILOT/Tender/SplashBidNoticeAbstractUI.aspx?menuIndex=3&amp;refID=7033765&amp;Result=3","7033765")</f>
        <v>0</v>
      </c>
      <c r="B6759" t="s">
        <v>2052</v>
      </c>
      <c r="C6759" t="s">
        <v>9655</v>
      </c>
      <c r="D6759" t="s">
        <v>18027</v>
      </c>
      <c r="E6759" t="s">
        <v>18422</v>
      </c>
      <c r="F6759" t="s">
        <v>31574</v>
      </c>
      <c r="G6759" t="s">
        <v>31582</v>
      </c>
      <c r="H6759" t="s">
        <v>31590</v>
      </c>
      <c r="I6759" t="s">
        <v>7185</v>
      </c>
      <c r="J6759" t="s">
        <v>32381</v>
      </c>
      <c r="K6759" t="s">
        <v>41196</v>
      </c>
      <c r="M6759" t="s">
        <v>43721</v>
      </c>
      <c r="N6759" t="s">
        <v>45095</v>
      </c>
      <c r="O6759" t="s">
        <v>45096</v>
      </c>
      <c r="P6759">
        <v>0</v>
      </c>
      <c r="Q6759">
        <v>1</v>
      </c>
      <c r="R6759" t="s">
        <v>45103</v>
      </c>
      <c r="S6759" t="s">
        <v>45270</v>
      </c>
      <c r="T6759" t="s">
        <v>47076</v>
      </c>
      <c r="U6759" t="s">
        <v>53131</v>
      </c>
      <c r="W6759" t="s">
        <v>43721</v>
      </c>
      <c r="X6759" t="s">
        <v>45105</v>
      </c>
    </row>
    <row r="6760" spans="1:24">
      <c r="A6760">
        <f>HYPERLINK("https://www.philgeps.gov.ph/GEPSNONPILOT/Tender/SplashBidNoticeAbstractUI.aspx?menuIndex=3&amp;refID=7034003&amp;Result=3","7034003")</f>
        <v>0</v>
      </c>
      <c r="B6760" t="s">
        <v>2051</v>
      </c>
      <c r="C6760" t="s">
        <v>9656</v>
      </c>
      <c r="D6760" t="s">
        <v>18066</v>
      </c>
      <c r="E6760" t="s">
        <v>24101</v>
      </c>
      <c r="F6760" t="s">
        <v>31574</v>
      </c>
      <c r="G6760" t="s">
        <v>31582</v>
      </c>
      <c r="H6760" t="s">
        <v>31591</v>
      </c>
      <c r="I6760" t="s">
        <v>8822</v>
      </c>
      <c r="J6760" t="s">
        <v>36075</v>
      </c>
      <c r="K6760" t="s">
        <v>41301</v>
      </c>
      <c r="M6760" t="s">
        <v>43719</v>
      </c>
      <c r="N6760" t="s">
        <v>45095</v>
      </c>
      <c r="O6760" t="s">
        <v>45096</v>
      </c>
      <c r="P6760">
        <v>0</v>
      </c>
      <c r="Q6760">
        <v>0</v>
      </c>
      <c r="R6760" t="s">
        <v>45103</v>
      </c>
      <c r="S6760" t="s">
        <v>45270</v>
      </c>
      <c r="T6760" t="s">
        <v>47000</v>
      </c>
      <c r="U6760" t="s">
        <v>53132</v>
      </c>
      <c r="V6760" t="s">
        <v>60581</v>
      </c>
      <c r="W6760" t="s">
        <v>43719</v>
      </c>
      <c r="X6760" t="s">
        <v>45105</v>
      </c>
    </row>
    <row r="6761" spans="1:24">
      <c r="A6761">
        <f>HYPERLINK("https://www.philgeps.gov.ph/GEPSNONPILOT/Tender/SplashBidNoticeAbstractUI.aspx?menuIndex=3&amp;refID=7033989&amp;Result=3","7033989")</f>
        <v>0</v>
      </c>
      <c r="B6761" t="s">
        <v>1942</v>
      </c>
      <c r="C6761" t="s">
        <v>9657</v>
      </c>
      <c r="D6761" t="s">
        <v>18041</v>
      </c>
      <c r="E6761" t="s">
        <v>24102</v>
      </c>
      <c r="F6761" t="s">
        <v>31574</v>
      </c>
      <c r="G6761" t="s">
        <v>31582</v>
      </c>
      <c r="H6761" t="s">
        <v>31590</v>
      </c>
      <c r="I6761" t="s">
        <v>4046</v>
      </c>
      <c r="J6761" t="s">
        <v>36076</v>
      </c>
      <c r="K6761" t="s">
        <v>41196</v>
      </c>
      <c r="M6761" t="s">
        <v>43597</v>
      </c>
      <c r="N6761" t="s">
        <v>45095</v>
      </c>
      <c r="O6761" t="s">
        <v>45096</v>
      </c>
      <c r="P6761">
        <v>0</v>
      </c>
      <c r="Q6761">
        <v>4</v>
      </c>
      <c r="R6761" t="s">
        <v>45103</v>
      </c>
      <c r="S6761" t="s">
        <v>45270</v>
      </c>
      <c r="T6761" t="s">
        <v>46988</v>
      </c>
      <c r="U6761" t="s">
        <v>53133</v>
      </c>
      <c r="W6761" t="s">
        <v>43597</v>
      </c>
      <c r="X6761" t="s">
        <v>45105</v>
      </c>
    </row>
    <row r="6762" spans="1:24">
      <c r="A6762">
        <f>HYPERLINK("https://www.philgeps.gov.ph/GEPSNONPILOT/Tender/SplashBidNoticeAbstractUI.aspx?menuIndex=3&amp;refID=7034006&amp;Result=3","7034006")</f>
        <v>0</v>
      </c>
      <c r="B6762" t="s">
        <v>459</v>
      </c>
      <c r="C6762" t="s">
        <v>9658</v>
      </c>
      <c r="E6762" t="s">
        <v>24103</v>
      </c>
      <c r="F6762" t="s">
        <v>31574</v>
      </c>
      <c r="G6762" t="s">
        <v>31581</v>
      </c>
      <c r="H6762" t="s">
        <v>31593</v>
      </c>
      <c r="I6762" t="s">
        <v>31593</v>
      </c>
      <c r="J6762" t="s">
        <v>36077</v>
      </c>
      <c r="K6762" t="s">
        <v>41185</v>
      </c>
      <c r="M6762" t="s">
        <v>41953</v>
      </c>
      <c r="N6762" t="s">
        <v>45095</v>
      </c>
      <c r="O6762" t="s">
        <v>45096</v>
      </c>
      <c r="P6762">
        <v>0</v>
      </c>
      <c r="Q6762">
        <v>3</v>
      </c>
      <c r="R6762" t="s">
        <v>45103</v>
      </c>
      <c r="S6762" t="s">
        <v>45270</v>
      </c>
      <c r="T6762" t="s">
        <v>47303</v>
      </c>
      <c r="U6762" t="s">
        <v>53134</v>
      </c>
      <c r="V6762" t="s">
        <v>60578</v>
      </c>
      <c r="W6762" t="s">
        <v>41953</v>
      </c>
      <c r="X6762" t="s">
        <v>45105</v>
      </c>
    </row>
    <row r="6763" spans="1:24">
      <c r="A6763">
        <f>HYPERLINK("https://www.philgeps.gov.ph/GEPSNONPILOT/Tender/SplashBidNoticeAbstractUI.aspx?menuIndex=3&amp;refID=7034103&amp;Result=3","7034103")</f>
        <v>0</v>
      </c>
      <c r="B6763" t="s">
        <v>2053</v>
      </c>
      <c r="C6763" t="s">
        <v>9659</v>
      </c>
      <c r="D6763" t="s">
        <v>18036</v>
      </c>
      <c r="E6763" t="s">
        <v>24104</v>
      </c>
      <c r="F6763" t="s">
        <v>31574</v>
      </c>
      <c r="G6763" t="s">
        <v>31581</v>
      </c>
      <c r="H6763" t="s">
        <v>31591</v>
      </c>
      <c r="I6763" t="s">
        <v>31695</v>
      </c>
      <c r="J6763" t="s">
        <v>36078</v>
      </c>
      <c r="K6763" t="s">
        <v>41186</v>
      </c>
      <c r="M6763" t="s">
        <v>43722</v>
      </c>
      <c r="N6763" t="s">
        <v>45095</v>
      </c>
      <c r="O6763" t="s">
        <v>45096</v>
      </c>
      <c r="P6763">
        <v>0</v>
      </c>
      <c r="Q6763">
        <v>0</v>
      </c>
      <c r="R6763" t="s">
        <v>45103</v>
      </c>
      <c r="S6763" t="s">
        <v>45270</v>
      </c>
      <c r="T6763" t="s">
        <v>46963</v>
      </c>
      <c r="U6763" t="s">
        <v>53135</v>
      </c>
      <c r="V6763" t="s">
        <v>60582</v>
      </c>
      <c r="W6763" t="s">
        <v>43722</v>
      </c>
      <c r="X6763" t="s">
        <v>45105</v>
      </c>
    </row>
    <row r="6764" spans="1:24">
      <c r="A6764">
        <f>HYPERLINK("https://www.philgeps.gov.ph/GEPSNONPILOT/Tender/SplashBidNoticeAbstractUI.aspx?menuIndex=3&amp;refID=7034160&amp;Result=3","7034160")</f>
        <v>0</v>
      </c>
      <c r="B6764" t="s">
        <v>2054</v>
      </c>
      <c r="C6764" t="s">
        <v>9660</v>
      </c>
      <c r="D6764" t="s">
        <v>18037</v>
      </c>
      <c r="E6764" t="s">
        <v>24105</v>
      </c>
      <c r="F6764" t="s">
        <v>31574</v>
      </c>
      <c r="G6764" t="s">
        <v>31583</v>
      </c>
      <c r="H6764" t="s">
        <v>31590</v>
      </c>
      <c r="I6764" t="s">
        <v>7185</v>
      </c>
      <c r="J6764" t="s">
        <v>36079</v>
      </c>
      <c r="K6764" t="s">
        <v>41186</v>
      </c>
      <c r="M6764" t="s">
        <v>43723</v>
      </c>
      <c r="N6764" t="s">
        <v>45095</v>
      </c>
      <c r="O6764" t="s">
        <v>45096</v>
      </c>
      <c r="P6764">
        <v>0</v>
      </c>
      <c r="Q6764">
        <v>2</v>
      </c>
      <c r="R6764" t="s">
        <v>45103</v>
      </c>
      <c r="S6764" t="s">
        <v>45270</v>
      </c>
      <c r="T6764" t="s">
        <v>47124</v>
      </c>
      <c r="U6764" t="s">
        <v>53136</v>
      </c>
      <c r="W6764" t="s">
        <v>43723</v>
      </c>
      <c r="X6764" t="s">
        <v>45105</v>
      </c>
    </row>
    <row r="6765" spans="1:24">
      <c r="A6765">
        <f>HYPERLINK("https://www.philgeps.gov.ph/GEPSNONPILOT/Tender/SplashBidNoticeAbstractUI.aspx?menuIndex=3&amp;refID=7034069&amp;Result=3","7034069")</f>
        <v>0</v>
      </c>
      <c r="B6765" t="s">
        <v>2053</v>
      </c>
      <c r="C6765" t="s">
        <v>9661</v>
      </c>
      <c r="D6765" t="s">
        <v>18036</v>
      </c>
      <c r="E6765" t="s">
        <v>24106</v>
      </c>
      <c r="F6765" t="s">
        <v>31574</v>
      </c>
      <c r="G6765" t="s">
        <v>31582</v>
      </c>
      <c r="H6765" t="s">
        <v>31590</v>
      </c>
      <c r="I6765" t="s">
        <v>31607</v>
      </c>
      <c r="J6765" t="s">
        <v>36080</v>
      </c>
      <c r="K6765" t="s">
        <v>41190</v>
      </c>
      <c r="M6765" t="s">
        <v>43722</v>
      </c>
      <c r="N6765" t="s">
        <v>45095</v>
      </c>
      <c r="O6765" t="s">
        <v>45096</v>
      </c>
      <c r="P6765">
        <v>0</v>
      </c>
      <c r="Q6765">
        <v>1</v>
      </c>
      <c r="R6765" t="s">
        <v>45103</v>
      </c>
      <c r="S6765" t="s">
        <v>45270</v>
      </c>
      <c r="T6765" t="s">
        <v>46963</v>
      </c>
      <c r="U6765" t="s">
        <v>53137</v>
      </c>
      <c r="V6765" t="s">
        <v>60583</v>
      </c>
      <c r="W6765" t="s">
        <v>43722</v>
      </c>
      <c r="X6765" t="s">
        <v>45105</v>
      </c>
    </row>
    <row r="6766" spans="1:24">
      <c r="A6766">
        <f>HYPERLINK("https://www.philgeps.gov.ph/GEPSNONPILOT/Tender/SplashBidNoticeAbstractUI.aspx?menuIndex=3&amp;refID=7034116&amp;Result=3","7034116")</f>
        <v>0</v>
      </c>
      <c r="B6766" t="s">
        <v>2055</v>
      </c>
      <c r="C6766" t="s">
        <v>9662</v>
      </c>
      <c r="D6766" t="s">
        <v>18099</v>
      </c>
      <c r="E6766" t="s">
        <v>24107</v>
      </c>
      <c r="F6766" t="s">
        <v>31574</v>
      </c>
      <c r="G6766" t="s">
        <v>31582</v>
      </c>
      <c r="H6766" t="s">
        <v>31590</v>
      </c>
      <c r="I6766" t="s">
        <v>7185</v>
      </c>
      <c r="J6766" t="s">
        <v>36081</v>
      </c>
      <c r="K6766" t="s">
        <v>41185</v>
      </c>
      <c r="M6766" t="s">
        <v>43724</v>
      </c>
      <c r="N6766" t="s">
        <v>45095</v>
      </c>
      <c r="O6766" t="s">
        <v>45096</v>
      </c>
      <c r="P6766">
        <v>0</v>
      </c>
      <c r="Q6766">
        <v>2</v>
      </c>
      <c r="R6766" t="s">
        <v>45103</v>
      </c>
      <c r="S6766" t="s">
        <v>45270</v>
      </c>
      <c r="T6766" t="s">
        <v>46930</v>
      </c>
      <c r="U6766" t="s">
        <v>53138</v>
      </c>
      <c r="V6766" t="s">
        <v>60584</v>
      </c>
      <c r="W6766" t="s">
        <v>43724</v>
      </c>
      <c r="X6766" t="s">
        <v>45105</v>
      </c>
    </row>
    <row r="6767" spans="1:24">
      <c r="A6767">
        <f>HYPERLINK("https://www.philgeps.gov.ph/GEPSNONPILOT/Tender/SplashBidNoticeAbstractUI.aspx?menuIndex=3&amp;refID=7034100&amp;Result=3","7034100")</f>
        <v>0</v>
      </c>
      <c r="B6767" t="s">
        <v>48</v>
      </c>
      <c r="C6767" t="s">
        <v>9663</v>
      </c>
      <c r="D6767" t="s">
        <v>18041</v>
      </c>
      <c r="E6767" t="s">
        <v>24108</v>
      </c>
      <c r="F6767" t="s">
        <v>31574</v>
      </c>
      <c r="G6767" t="s">
        <v>31582</v>
      </c>
      <c r="H6767" t="s">
        <v>31590</v>
      </c>
      <c r="I6767" t="s">
        <v>5717</v>
      </c>
      <c r="J6767" t="s">
        <v>36082</v>
      </c>
      <c r="K6767" t="s">
        <v>41186</v>
      </c>
      <c r="M6767" t="s">
        <v>43725</v>
      </c>
      <c r="N6767" t="s">
        <v>45095</v>
      </c>
      <c r="O6767" t="s">
        <v>45096</v>
      </c>
      <c r="P6767">
        <v>0</v>
      </c>
      <c r="Q6767">
        <v>4</v>
      </c>
      <c r="R6767" t="s">
        <v>45103</v>
      </c>
      <c r="S6767" t="s">
        <v>45270</v>
      </c>
      <c r="T6767" t="s">
        <v>47076</v>
      </c>
      <c r="U6767" t="s">
        <v>53139</v>
      </c>
      <c r="W6767" t="s">
        <v>43725</v>
      </c>
      <c r="X6767" t="s">
        <v>45105</v>
      </c>
    </row>
    <row r="6768" spans="1:24">
      <c r="A6768">
        <f>HYPERLINK("https://www.philgeps.gov.ph/GEPSNONPILOT/Tender/SplashBidNoticeAbstractUI.aspx?menuIndex=3&amp;refID=7034061&amp;Result=3","7034061")</f>
        <v>0</v>
      </c>
      <c r="B6768" t="s">
        <v>38</v>
      </c>
      <c r="C6768" t="s">
        <v>9664</v>
      </c>
      <c r="D6768" t="s">
        <v>18033</v>
      </c>
      <c r="E6768" t="s">
        <v>24109</v>
      </c>
      <c r="F6768" t="s">
        <v>31574</v>
      </c>
      <c r="G6768" t="s">
        <v>31582</v>
      </c>
      <c r="H6768" t="s">
        <v>31590</v>
      </c>
      <c r="I6768" t="s">
        <v>7185</v>
      </c>
      <c r="J6768" t="s">
        <v>36083</v>
      </c>
      <c r="K6768" t="s">
        <v>41194</v>
      </c>
      <c r="M6768" t="s">
        <v>42487</v>
      </c>
      <c r="N6768" t="s">
        <v>45095</v>
      </c>
      <c r="O6768" t="s">
        <v>45096</v>
      </c>
      <c r="P6768">
        <v>0</v>
      </c>
      <c r="Q6768">
        <v>1</v>
      </c>
      <c r="R6768" t="s">
        <v>45103</v>
      </c>
      <c r="S6768" t="s">
        <v>45270</v>
      </c>
      <c r="T6768" t="s">
        <v>46985</v>
      </c>
      <c r="U6768" t="s">
        <v>53140</v>
      </c>
      <c r="V6768" t="s">
        <v>59888</v>
      </c>
      <c r="W6768" t="s">
        <v>42487</v>
      </c>
      <c r="X6768" t="s">
        <v>45105</v>
      </c>
    </row>
    <row r="6769" spans="1:24">
      <c r="A6769">
        <f>HYPERLINK("https://www.philgeps.gov.ph/GEPSNONPILOT/Tender/SplashBidNoticeAbstractUI.aspx?menuIndex=3&amp;refID=7034341&amp;Result=3","7034341")</f>
        <v>0</v>
      </c>
      <c r="B6769" t="s">
        <v>48</v>
      </c>
      <c r="C6769" t="s">
        <v>9665</v>
      </c>
      <c r="D6769" t="s">
        <v>18041</v>
      </c>
      <c r="E6769" t="s">
        <v>24110</v>
      </c>
      <c r="F6769" t="s">
        <v>31574</v>
      </c>
      <c r="G6769" t="s">
        <v>31582</v>
      </c>
      <c r="H6769" t="s">
        <v>31590</v>
      </c>
      <c r="I6769" t="s">
        <v>31595</v>
      </c>
      <c r="J6769" t="s">
        <v>36084</v>
      </c>
      <c r="K6769" t="s">
        <v>41186</v>
      </c>
      <c r="M6769" t="s">
        <v>43725</v>
      </c>
      <c r="N6769" t="s">
        <v>45095</v>
      </c>
      <c r="O6769" t="s">
        <v>45096</v>
      </c>
      <c r="P6769">
        <v>0</v>
      </c>
      <c r="Q6769">
        <v>5</v>
      </c>
      <c r="R6769" t="s">
        <v>45103</v>
      </c>
      <c r="S6769" t="s">
        <v>45270</v>
      </c>
      <c r="T6769" t="s">
        <v>47076</v>
      </c>
      <c r="U6769" t="s">
        <v>53141</v>
      </c>
      <c r="W6769" t="s">
        <v>43725</v>
      </c>
      <c r="X6769" t="s">
        <v>45105</v>
      </c>
    </row>
    <row r="6770" spans="1:24">
      <c r="A6770">
        <f>HYPERLINK("https://www.philgeps.gov.ph/GEPSNONPILOT/Tender/SplashBidNoticeAbstractUI.aspx?menuIndex=3&amp;refID=7034007&amp;Result=3","7034007")</f>
        <v>0</v>
      </c>
      <c r="B6770" t="s">
        <v>48</v>
      </c>
      <c r="C6770" t="s">
        <v>9666</v>
      </c>
      <c r="D6770" t="s">
        <v>18041</v>
      </c>
      <c r="E6770" t="s">
        <v>24111</v>
      </c>
      <c r="F6770" t="s">
        <v>31574</v>
      </c>
      <c r="G6770" t="s">
        <v>31582</v>
      </c>
      <c r="H6770" t="s">
        <v>31590</v>
      </c>
      <c r="I6770" t="s">
        <v>7185</v>
      </c>
      <c r="J6770" t="s">
        <v>32842</v>
      </c>
      <c r="K6770" t="s">
        <v>41186</v>
      </c>
      <c r="M6770" t="s">
        <v>43725</v>
      </c>
      <c r="N6770" t="s">
        <v>45095</v>
      </c>
      <c r="O6770" t="s">
        <v>45096</v>
      </c>
      <c r="P6770">
        <v>0</v>
      </c>
      <c r="Q6770">
        <v>7</v>
      </c>
      <c r="R6770" t="s">
        <v>45103</v>
      </c>
      <c r="S6770" t="s">
        <v>45270</v>
      </c>
      <c r="T6770" t="s">
        <v>47076</v>
      </c>
      <c r="U6770" t="s">
        <v>53142</v>
      </c>
      <c r="W6770" t="s">
        <v>43725</v>
      </c>
      <c r="X6770" t="s">
        <v>45105</v>
      </c>
    </row>
    <row r="6771" spans="1:24">
      <c r="A6771">
        <f>HYPERLINK("https://www.philgeps.gov.ph/GEPSNONPILOT/Tender/SplashBidNoticeAbstractUI.aspx?menuIndex=3&amp;refID=7034211&amp;Result=3","7034211")</f>
        <v>0</v>
      </c>
      <c r="B6771" t="s">
        <v>48</v>
      </c>
      <c r="C6771" t="s">
        <v>9667</v>
      </c>
      <c r="D6771" t="s">
        <v>18041</v>
      </c>
      <c r="E6771" t="s">
        <v>24112</v>
      </c>
      <c r="F6771" t="s">
        <v>31574</v>
      </c>
      <c r="G6771" t="s">
        <v>31582</v>
      </c>
      <c r="H6771" t="s">
        <v>31590</v>
      </c>
      <c r="I6771" t="s">
        <v>31606</v>
      </c>
      <c r="J6771" t="s">
        <v>36085</v>
      </c>
      <c r="K6771" t="s">
        <v>41186</v>
      </c>
      <c r="M6771" t="s">
        <v>43725</v>
      </c>
      <c r="N6771" t="s">
        <v>45095</v>
      </c>
      <c r="O6771" t="s">
        <v>45096</v>
      </c>
      <c r="P6771">
        <v>0</v>
      </c>
      <c r="Q6771">
        <v>2</v>
      </c>
      <c r="R6771" t="s">
        <v>45103</v>
      </c>
      <c r="S6771" t="s">
        <v>45270</v>
      </c>
      <c r="T6771" t="s">
        <v>47076</v>
      </c>
      <c r="U6771" t="s">
        <v>53143</v>
      </c>
      <c r="W6771" t="s">
        <v>43725</v>
      </c>
      <c r="X6771" t="s">
        <v>45105</v>
      </c>
    </row>
    <row r="6772" spans="1:24">
      <c r="A6772">
        <f>HYPERLINK("https://www.philgeps.gov.ph/GEPSNONPILOT/Tender/SplashBidNoticeAbstractUI.aspx?menuIndex=3&amp;refID=7034258&amp;Result=3","7034258")</f>
        <v>0</v>
      </c>
      <c r="B6772" t="s">
        <v>38</v>
      </c>
      <c r="C6772" t="s">
        <v>9668</v>
      </c>
      <c r="D6772" t="s">
        <v>18033</v>
      </c>
      <c r="E6772" t="s">
        <v>24113</v>
      </c>
      <c r="F6772" t="s">
        <v>31574</v>
      </c>
      <c r="G6772" t="s">
        <v>31582</v>
      </c>
      <c r="H6772" t="s">
        <v>31590</v>
      </c>
      <c r="I6772" t="s">
        <v>4046</v>
      </c>
      <c r="J6772" t="s">
        <v>36086</v>
      </c>
      <c r="K6772" t="s">
        <v>41193</v>
      </c>
      <c r="M6772" t="s">
        <v>41521</v>
      </c>
      <c r="N6772" t="s">
        <v>45095</v>
      </c>
      <c r="O6772" t="s">
        <v>45096</v>
      </c>
      <c r="P6772">
        <v>0</v>
      </c>
      <c r="Q6772">
        <v>0</v>
      </c>
      <c r="R6772" t="s">
        <v>45103</v>
      </c>
      <c r="S6772" t="s">
        <v>45270</v>
      </c>
      <c r="T6772" t="s">
        <v>46985</v>
      </c>
      <c r="U6772" t="s">
        <v>53144</v>
      </c>
      <c r="V6772" t="s">
        <v>60085</v>
      </c>
      <c r="W6772" t="s">
        <v>41521</v>
      </c>
      <c r="X6772" t="s">
        <v>45105</v>
      </c>
    </row>
    <row r="6773" spans="1:24">
      <c r="A6773">
        <f>HYPERLINK("https://www.philgeps.gov.ph/GEPSNONPILOT/Tender/SplashBidNoticeAbstractUI.aspx?menuIndex=3&amp;refID=7034351&amp;Result=3","7034351")</f>
        <v>0</v>
      </c>
      <c r="B6773" t="s">
        <v>249</v>
      </c>
      <c r="C6773" t="s">
        <v>9669</v>
      </c>
      <c r="D6773" t="s">
        <v>18039</v>
      </c>
      <c r="E6773" t="s">
        <v>24114</v>
      </c>
      <c r="F6773" t="s">
        <v>31574</v>
      </c>
      <c r="G6773" t="s">
        <v>31584</v>
      </c>
      <c r="H6773" t="s">
        <v>31590</v>
      </c>
      <c r="I6773" t="s">
        <v>6800</v>
      </c>
      <c r="J6773" t="s">
        <v>36087</v>
      </c>
      <c r="K6773" t="s">
        <v>41186</v>
      </c>
      <c r="M6773" t="s">
        <v>43358</v>
      </c>
      <c r="N6773" t="s">
        <v>45095</v>
      </c>
      <c r="O6773" t="s">
        <v>45096</v>
      </c>
      <c r="P6773">
        <v>0</v>
      </c>
      <c r="Q6773">
        <v>7</v>
      </c>
      <c r="R6773" t="s">
        <v>45103</v>
      </c>
      <c r="S6773" t="s">
        <v>45270</v>
      </c>
      <c r="T6773" t="s">
        <v>47176</v>
      </c>
      <c r="U6773" t="s">
        <v>51883</v>
      </c>
      <c r="W6773" t="s">
        <v>43358</v>
      </c>
      <c r="X6773" t="s">
        <v>45105</v>
      </c>
    </row>
    <row r="6774" spans="1:24">
      <c r="A6774">
        <f>HYPERLINK("https://www.philgeps.gov.ph/GEPSNONPILOT/Tender/SplashBidNoticeAbstractUI.aspx?menuIndex=3&amp;refID=7034474&amp;Result=3","7034474")</f>
        <v>0</v>
      </c>
      <c r="B6774" t="s">
        <v>1005</v>
      </c>
      <c r="C6774" t="s">
        <v>9670</v>
      </c>
      <c r="D6774" t="s">
        <v>18092</v>
      </c>
      <c r="E6774" t="s">
        <v>24115</v>
      </c>
      <c r="F6774" t="s">
        <v>31574</v>
      </c>
      <c r="G6774" t="s">
        <v>31582</v>
      </c>
      <c r="H6774" t="s">
        <v>31590</v>
      </c>
      <c r="I6774" t="s">
        <v>14544</v>
      </c>
      <c r="J6774" t="s">
        <v>36088</v>
      </c>
      <c r="K6774" t="s">
        <v>41186</v>
      </c>
      <c r="M6774" t="s">
        <v>42544</v>
      </c>
      <c r="N6774" t="s">
        <v>45095</v>
      </c>
      <c r="O6774" t="s">
        <v>45096</v>
      </c>
      <c r="P6774">
        <v>0</v>
      </c>
      <c r="Q6774">
        <v>0</v>
      </c>
      <c r="R6774" t="s">
        <v>45103</v>
      </c>
      <c r="S6774" t="s">
        <v>45270</v>
      </c>
      <c r="T6774" t="s">
        <v>46922</v>
      </c>
      <c r="U6774" t="s">
        <v>53145</v>
      </c>
      <c r="W6774" t="s">
        <v>42544</v>
      </c>
      <c r="X6774" t="s">
        <v>45105</v>
      </c>
    </row>
    <row r="6775" spans="1:24">
      <c r="A6775">
        <f>HYPERLINK("https://www.philgeps.gov.ph/GEPSNONPILOT/Tender/SplashBidNoticeAbstractUI.aspx?menuIndex=3&amp;refID=7034396&amp;Result=3","7034396")</f>
        <v>0</v>
      </c>
      <c r="B6775" t="s">
        <v>2056</v>
      </c>
      <c r="C6775" t="s">
        <v>9671</v>
      </c>
      <c r="D6775" t="s">
        <v>18044</v>
      </c>
      <c r="E6775" t="s">
        <v>24116</v>
      </c>
      <c r="F6775" t="s">
        <v>31574</v>
      </c>
      <c r="G6775" t="s">
        <v>31582</v>
      </c>
      <c r="H6775" t="s">
        <v>31591</v>
      </c>
      <c r="I6775" t="s">
        <v>8822</v>
      </c>
      <c r="J6775" t="s">
        <v>36089</v>
      </c>
      <c r="K6775" t="s">
        <v>41189</v>
      </c>
      <c r="M6775" t="s">
        <v>43726</v>
      </c>
      <c r="N6775" t="s">
        <v>45095</v>
      </c>
      <c r="O6775" t="s">
        <v>45096</v>
      </c>
      <c r="P6775">
        <v>0</v>
      </c>
      <c r="Q6775">
        <v>1</v>
      </c>
      <c r="R6775" t="s">
        <v>45103</v>
      </c>
      <c r="S6775" t="s">
        <v>45270</v>
      </c>
      <c r="T6775" t="s">
        <v>47076</v>
      </c>
      <c r="U6775" t="s">
        <v>53146</v>
      </c>
      <c r="V6775" t="s">
        <v>60585</v>
      </c>
      <c r="W6775" t="s">
        <v>43726</v>
      </c>
      <c r="X6775" t="s">
        <v>45105</v>
      </c>
    </row>
    <row r="6776" spans="1:24">
      <c r="A6776">
        <f>HYPERLINK("https://www.philgeps.gov.ph/GEPSNONPILOT/Tender/SplashBidNoticeAbstractUI.aspx?menuIndex=3&amp;refID=7034206&amp;Result=3","7034206")</f>
        <v>0</v>
      </c>
      <c r="B6776" t="s">
        <v>38</v>
      </c>
      <c r="C6776" t="s">
        <v>9672</v>
      </c>
      <c r="D6776" t="s">
        <v>18033</v>
      </c>
      <c r="E6776" t="s">
        <v>9672</v>
      </c>
      <c r="F6776" t="s">
        <v>31574</v>
      </c>
      <c r="G6776" t="s">
        <v>31582</v>
      </c>
      <c r="H6776" t="s">
        <v>31590</v>
      </c>
      <c r="I6776" t="s">
        <v>3873</v>
      </c>
      <c r="J6776" t="s">
        <v>36090</v>
      </c>
      <c r="K6776" t="s">
        <v>41193</v>
      </c>
      <c r="M6776" t="s">
        <v>41521</v>
      </c>
      <c r="N6776" t="s">
        <v>45095</v>
      </c>
      <c r="O6776" t="s">
        <v>45096</v>
      </c>
      <c r="P6776">
        <v>0</v>
      </c>
      <c r="Q6776">
        <v>0</v>
      </c>
      <c r="R6776" t="s">
        <v>45103</v>
      </c>
      <c r="S6776" t="s">
        <v>45270</v>
      </c>
      <c r="T6776" t="s">
        <v>46985</v>
      </c>
      <c r="U6776" t="s">
        <v>53147</v>
      </c>
      <c r="V6776" t="s">
        <v>60085</v>
      </c>
      <c r="W6776" t="s">
        <v>41521</v>
      </c>
      <c r="X6776" t="s">
        <v>45105</v>
      </c>
    </row>
    <row r="6777" spans="1:24">
      <c r="A6777">
        <f>HYPERLINK("https://www.philgeps.gov.ph/GEPSNONPILOT/Tender/SplashBidNoticeAbstractUI.aspx?menuIndex=3&amp;refID=7034475&amp;Result=3","7034475")</f>
        <v>0</v>
      </c>
      <c r="B6777" t="s">
        <v>470</v>
      </c>
      <c r="C6777" t="s">
        <v>9673</v>
      </c>
      <c r="D6777" t="s">
        <v>18022</v>
      </c>
      <c r="E6777" t="s">
        <v>24117</v>
      </c>
      <c r="F6777" t="s">
        <v>31574</v>
      </c>
      <c r="G6777" t="s">
        <v>31584</v>
      </c>
      <c r="H6777" t="s">
        <v>31590</v>
      </c>
      <c r="I6777" t="s">
        <v>31605</v>
      </c>
      <c r="J6777" t="s">
        <v>31805</v>
      </c>
      <c r="K6777" t="s">
        <v>41193</v>
      </c>
      <c r="M6777" t="s">
        <v>41964</v>
      </c>
      <c r="N6777" t="s">
        <v>45095</v>
      </c>
      <c r="O6777" t="s">
        <v>45096</v>
      </c>
      <c r="P6777">
        <v>0</v>
      </c>
      <c r="Q6777">
        <v>6</v>
      </c>
      <c r="R6777" t="s">
        <v>45103</v>
      </c>
      <c r="S6777" t="s">
        <v>45270</v>
      </c>
      <c r="T6777" t="s">
        <v>47076</v>
      </c>
      <c r="U6777" t="s">
        <v>53148</v>
      </c>
      <c r="W6777" t="s">
        <v>61668</v>
      </c>
      <c r="X6777" t="s">
        <v>45105</v>
      </c>
    </row>
    <row r="6778" spans="1:24">
      <c r="A6778">
        <f>HYPERLINK("https://www.philgeps.gov.ph/GEPSNONPILOT/Tender/SplashBidNoticeAbstractUI.aspx?menuIndex=3&amp;refID=7034385&amp;Result=3","7034385")</f>
        <v>0</v>
      </c>
      <c r="B6778" t="s">
        <v>2057</v>
      </c>
      <c r="C6778" t="s">
        <v>9674</v>
      </c>
      <c r="D6778" t="s">
        <v>18057</v>
      </c>
      <c r="E6778" t="s">
        <v>24118</v>
      </c>
      <c r="F6778" t="s">
        <v>31574</v>
      </c>
      <c r="G6778" t="s">
        <v>31582</v>
      </c>
      <c r="H6778" t="s">
        <v>31590</v>
      </c>
      <c r="I6778" t="s">
        <v>31612</v>
      </c>
      <c r="J6778" t="s">
        <v>36091</v>
      </c>
      <c r="K6778" t="s">
        <v>41186</v>
      </c>
      <c r="M6778" t="s">
        <v>43727</v>
      </c>
      <c r="N6778" t="s">
        <v>45095</v>
      </c>
      <c r="O6778" t="s">
        <v>45096</v>
      </c>
      <c r="P6778">
        <v>0</v>
      </c>
      <c r="Q6778">
        <v>2</v>
      </c>
      <c r="R6778" t="s">
        <v>45103</v>
      </c>
      <c r="S6778" t="s">
        <v>45270</v>
      </c>
      <c r="T6778" t="s">
        <v>47290</v>
      </c>
      <c r="U6778" t="s">
        <v>53149</v>
      </c>
      <c r="V6778" t="s">
        <v>60586</v>
      </c>
      <c r="W6778" t="s">
        <v>43727</v>
      </c>
      <c r="X6778" t="s">
        <v>45105</v>
      </c>
    </row>
    <row r="6779" spans="1:24">
      <c r="A6779">
        <f>HYPERLINK("https://www.philgeps.gov.ph/GEPSNONPILOT/Tender/SplashBidNoticeAbstractUI.aspx?menuIndex=3&amp;refID=7034394&amp;Result=3","7034394")</f>
        <v>0</v>
      </c>
      <c r="B6779" t="s">
        <v>2058</v>
      </c>
      <c r="C6779" t="s">
        <v>9675</v>
      </c>
      <c r="E6779" t="s">
        <v>24119</v>
      </c>
      <c r="F6779" t="s">
        <v>31574</v>
      </c>
      <c r="G6779" t="s">
        <v>31582</v>
      </c>
      <c r="H6779" t="s">
        <v>31591</v>
      </c>
      <c r="I6779" t="s">
        <v>8822</v>
      </c>
      <c r="J6779" t="s">
        <v>31789</v>
      </c>
      <c r="K6779" t="s">
        <v>41282</v>
      </c>
      <c r="M6779" t="s">
        <v>43728</v>
      </c>
      <c r="N6779" t="s">
        <v>45095</v>
      </c>
      <c r="O6779" t="s">
        <v>45096</v>
      </c>
      <c r="P6779">
        <v>0</v>
      </c>
      <c r="Q6779">
        <v>1</v>
      </c>
      <c r="R6779" t="s">
        <v>45103</v>
      </c>
      <c r="S6779" t="s">
        <v>45270</v>
      </c>
      <c r="T6779" t="s">
        <v>47071</v>
      </c>
      <c r="U6779" t="s">
        <v>53150</v>
      </c>
      <c r="W6779" t="s">
        <v>43728</v>
      </c>
      <c r="X6779" t="s">
        <v>45105</v>
      </c>
    </row>
    <row r="6780" spans="1:24">
      <c r="A6780">
        <f>HYPERLINK("https://www.philgeps.gov.ph/GEPSNONPILOT/Tender/SplashBidNoticeAbstractUI.aspx?menuIndex=3&amp;refID=7034285&amp;Result=3","7034285")</f>
        <v>0</v>
      </c>
      <c r="B6780" t="s">
        <v>48</v>
      </c>
      <c r="C6780" t="s">
        <v>9676</v>
      </c>
      <c r="D6780" t="s">
        <v>18041</v>
      </c>
      <c r="E6780" t="s">
        <v>24120</v>
      </c>
      <c r="F6780" t="s">
        <v>31574</v>
      </c>
      <c r="G6780" t="s">
        <v>31582</v>
      </c>
      <c r="H6780" t="s">
        <v>31590</v>
      </c>
      <c r="I6780" t="s">
        <v>4046</v>
      </c>
      <c r="J6780" t="s">
        <v>36092</v>
      </c>
      <c r="K6780" t="s">
        <v>41186</v>
      </c>
      <c r="M6780" t="s">
        <v>43725</v>
      </c>
      <c r="N6780" t="s">
        <v>45095</v>
      </c>
      <c r="O6780" t="s">
        <v>45096</v>
      </c>
      <c r="P6780">
        <v>0</v>
      </c>
      <c r="Q6780">
        <v>0</v>
      </c>
      <c r="R6780" t="s">
        <v>45103</v>
      </c>
      <c r="S6780" t="s">
        <v>45270</v>
      </c>
      <c r="T6780" t="s">
        <v>47076</v>
      </c>
      <c r="U6780" t="s">
        <v>53151</v>
      </c>
      <c r="W6780" t="s">
        <v>43725</v>
      </c>
      <c r="X6780" t="s">
        <v>45105</v>
      </c>
    </row>
    <row r="6781" spans="1:24">
      <c r="A6781">
        <f>HYPERLINK("https://www.philgeps.gov.ph/GEPSNONPILOT/Tender/SplashBidNoticeAbstractUI.aspx?menuIndex=3&amp;refID=7034501&amp;Result=3","7034501")</f>
        <v>0</v>
      </c>
      <c r="B6781" t="s">
        <v>470</v>
      </c>
      <c r="C6781" t="s">
        <v>9677</v>
      </c>
      <c r="D6781" t="s">
        <v>18022</v>
      </c>
      <c r="E6781" t="s">
        <v>24121</v>
      </c>
      <c r="F6781" t="s">
        <v>31574</v>
      </c>
      <c r="G6781" t="s">
        <v>31584</v>
      </c>
      <c r="H6781" t="s">
        <v>31590</v>
      </c>
      <c r="I6781" t="s">
        <v>31626</v>
      </c>
      <c r="J6781" t="s">
        <v>34019</v>
      </c>
      <c r="K6781" t="s">
        <v>41193</v>
      </c>
      <c r="M6781" t="s">
        <v>41964</v>
      </c>
      <c r="N6781" t="s">
        <v>45095</v>
      </c>
      <c r="O6781" t="s">
        <v>45096</v>
      </c>
      <c r="P6781">
        <v>0</v>
      </c>
      <c r="Q6781">
        <v>5</v>
      </c>
      <c r="R6781" t="s">
        <v>45103</v>
      </c>
      <c r="S6781" t="s">
        <v>45270</v>
      </c>
      <c r="T6781" t="s">
        <v>47076</v>
      </c>
      <c r="U6781" t="s">
        <v>53152</v>
      </c>
      <c r="W6781" t="s">
        <v>61668</v>
      </c>
      <c r="X6781" t="s">
        <v>45105</v>
      </c>
    </row>
    <row r="6782" spans="1:24">
      <c r="A6782">
        <f>HYPERLINK("https://www.philgeps.gov.ph/GEPSNONPILOT/Tender/SplashBidNoticeAbstractUI.aspx?menuIndex=3&amp;refID=7034161&amp;Result=3","7034161")</f>
        <v>0</v>
      </c>
      <c r="B6782" t="s">
        <v>62</v>
      </c>
      <c r="C6782" t="s">
        <v>9678</v>
      </c>
      <c r="D6782" t="s">
        <v>18037</v>
      </c>
      <c r="E6782" t="s">
        <v>24122</v>
      </c>
      <c r="F6782" t="s">
        <v>31574</v>
      </c>
      <c r="G6782" t="s">
        <v>31581</v>
      </c>
      <c r="H6782" t="s">
        <v>31593</v>
      </c>
      <c r="I6782" t="s">
        <v>31593</v>
      </c>
      <c r="J6782" t="s">
        <v>36093</v>
      </c>
      <c r="K6782" t="s">
        <v>41184</v>
      </c>
      <c r="L6782" t="s">
        <v>62</v>
      </c>
      <c r="M6782" t="s">
        <v>43390</v>
      </c>
      <c r="N6782" t="s">
        <v>45095</v>
      </c>
      <c r="O6782" t="s">
        <v>45096</v>
      </c>
      <c r="P6782">
        <v>0</v>
      </c>
      <c r="Q6782">
        <v>2</v>
      </c>
      <c r="R6782" t="s">
        <v>45103</v>
      </c>
      <c r="S6782" t="s">
        <v>45270</v>
      </c>
      <c r="T6782" t="s">
        <v>47076</v>
      </c>
      <c r="U6782" t="s">
        <v>53153</v>
      </c>
      <c r="W6782" t="s">
        <v>43390</v>
      </c>
      <c r="X6782" t="s">
        <v>45105</v>
      </c>
    </row>
    <row r="6783" spans="1:24">
      <c r="A6783">
        <f>HYPERLINK("https://www.philgeps.gov.ph/GEPSNONPILOT/Tender/SplashBidNoticeAbstractUI.aspx?menuIndex=3&amp;refID=7034565&amp;Result=3","7034565")</f>
        <v>0</v>
      </c>
      <c r="B6783" t="s">
        <v>947</v>
      </c>
      <c r="C6783" t="s">
        <v>9679</v>
      </c>
      <c r="D6783" t="s">
        <v>18033</v>
      </c>
      <c r="E6783" t="s">
        <v>24123</v>
      </c>
      <c r="F6783" t="s">
        <v>31574</v>
      </c>
      <c r="G6783" t="s">
        <v>31582</v>
      </c>
      <c r="H6783" t="s">
        <v>31590</v>
      </c>
      <c r="I6783" t="s">
        <v>31594</v>
      </c>
      <c r="J6783" t="s">
        <v>31780</v>
      </c>
      <c r="K6783" t="s">
        <v>41186</v>
      </c>
      <c r="M6783" t="s">
        <v>43729</v>
      </c>
      <c r="N6783" t="s">
        <v>45095</v>
      </c>
      <c r="O6783" t="s">
        <v>45096</v>
      </c>
      <c r="P6783">
        <v>0</v>
      </c>
      <c r="Q6783">
        <v>4</v>
      </c>
      <c r="R6783" t="s">
        <v>45103</v>
      </c>
      <c r="S6783" t="s">
        <v>45270</v>
      </c>
      <c r="T6783" t="s">
        <v>46992</v>
      </c>
      <c r="U6783" t="s">
        <v>53154</v>
      </c>
      <c r="V6783" t="s">
        <v>60587</v>
      </c>
      <c r="W6783" t="s">
        <v>43729</v>
      </c>
      <c r="X6783" t="s">
        <v>45105</v>
      </c>
    </row>
    <row r="6784" spans="1:24">
      <c r="A6784">
        <f>HYPERLINK("https://www.philgeps.gov.ph/GEPSNONPILOT/Tender/SplashBidNoticeAbstractUI.aspx?menuIndex=3&amp;refID=7034587&amp;Result=3","7034587")</f>
        <v>0</v>
      </c>
      <c r="B6784" t="s">
        <v>530</v>
      </c>
      <c r="C6784" t="s">
        <v>9680</v>
      </c>
      <c r="D6784" t="s">
        <v>18071</v>
      </c>
      <c r="E6784" t="s">
        <v>24124</v>
      </c>
      <c r="F6784" t="s">
        <v>31574</v>
      </c>
      <c r="G6784" t="s">
        <v>31582</v>
      </c>
      <c r="H6784" t="s">
        <v>31590</v>
      </c>
      <c r="I6784" t="s">
        <v>31636</v>
      </c>
      <c r="J6784" t="s">
        <v>36094</v>
      </c>
      <c r="K6784" t="s">
        <v>41186</v>
      </c>
      <c r="M6784" t="s">
        <v>42027</v>
      </c>
      <c r="N6784" t="s">
        <v>45095</v>
      </c>
      <c r="O6784" t="s">
        <v>45096</v>
      </c>
      <c r="P6784">
        <v>0</v>
      </c>
      <c r="Q6784">
        <v>0</v>
      </c>
      <c r="R6784" t="s">
        <v>45103</v>
      </c>
      <c r="S6784" t="s">
        <v>45270</v>
      </c>
      <c r="T6784" t="s">
        <v>47021</v>
      </c>
      <c r="U6784" t="s">
        <v>53155</v>
      </c>
      <c r="W6784" t="s">
        <v>42027</v>
      </c>
      <c r="X6784" t="s">
        <v>45105</v>
      </c>
    </row>
    <row r="6785" spans="1:24">
      <c r="A6785">
        <f>HYPERLINK("https://www.philgeps.gov.ph/GEPSNONPILOT/Tender/SplashBidNoticeAbstractUI.aspx?menuIndex=3&amp;refID=7034676&amp;Result=3","7034676")</f>
        <v>0</v>
      </c>
      <c r="B6785" t="s">
        <v>951</v>
      </c>
      <c r="C6785" t="s">
        <v>9681</v>
      </c>
      <c r="D6785" t="s">
        <v>18074</v>
      </c>
      <c r="E6785" t="s">
        <v>24125</v>
      </c>
      <c r="F6785" t="s">
        <v>31574</v>
      </c>
      <c r="G6785" t="s">
        <v>31582</v>
      </c>
      <c r="H6785" t="s">
        <v>31590</v>
      </c>
      <c r="I6785" t="s">
        <v>31600</v>
      </c>
      <c r="J6785" t="s">
        <v>36095</v>
      </c>
      <c r="K6785" t="s">
        <v>41196</v>
      </c>
      <c r="M6785" t="s">
        <v>42478</v>
      </c>
      <c r="N6785" t="s">
        <v>45095</v>
      </c>
      <c r="O6785" t="s">
        <v>45096</v>
      </c>
      <c r="P6785">
        <v>0</v>
      </c>
      <c r="Q6785">
        <v>1</v>
      </c>
      <c r="R6785" t="s">
        <v>45103</v>
      </c>
      <c r="S6785" t="s">
        <v>45270</v>
      </c>
      <c r="T6785" t="s">
        <v>47114</v>
      </c>
      <c r="U6785" t="s">
        <v>53156</v>
      </c>
      <c r="V6785" t="s">
        <v>60083</v>
      </c>
      <c r="W6785" t="s">
        <v>42478</v>
      </c>
      <c r="X6785" t="s">
        <v>45105</v>
      </c>
    </row>
    <row r="6786" spans="1:24">
      <c r="A6786">
        <f>HYPERLINK("https://www.philgeps.gov.ph/GEPSNONPILOT/Tender/SplashBidNoticeAbstractUI.aspx?menuIndex=3&amp;refID=7034564&amp;Result=3","7034564")</f>
        <v>0</v>
      </c>
      <c r="B6786" t="s">
        <v>1036</v>
      </c>
      <c r="C6786" t="s">
        <v>9682</v>
      </c>
      <c r="D6786" t="s">
        <v>18072</v>
      </c>
      <c r="E6786" t="s">
        <v>19081</v>
      </c>
      <c r="F6786" t="s">
        <v>31574</v>
      </c>
      <c r="G6786" t="s">
        <v>31581</v>
      </c>
      <c r="H6786" t="s">
        <v>31590</v>
      </c>
      <c r="I6786" t="s">
        <v>3487</v>
      </c>
      <c r="J6786" t="s">
        <v>31764</v>
      </c>
      <c r="K6786" t="s">
        <v>41191</v>
      </c>
      <c r="M6786" t="s">
        <v>42579</v>
      </c>
      <c r="N6786" t="s">
        <v>45095</v>
      </c>
      <c r="O6786" t="s">
        <v>45096</v>
      </c>
      <c r="P6786">
        <v>0</v>
      </c>
      <c r="Q6786">
        <v>0</v>
      </c>
      <c r="R6786" t="s">
        <v>45103</v>
      </c>
      <c r="S6786" t="s">
        <v>45270</v>
      </c>
      <c r="T6786" t="s">
        <v>47125</v>
      </c>
      <c r="U6786" t="s">
        <v>53157</v>
      </c>
      <c r="W6786" t="s">
        <v>42579</v>
      </c>
      <c r="X6786" t="s">
        <v>45105</v>
      </c>
    </row>
    <row r="6787" spans="1:24">
      <c r="A6787">
        <f>HYPERLINK("https://www.philgeps.gov.ph/GEPSNONPILOT/Tender/SplashBidNoticeAbstractUI.aspx?menuIndex=3&amp;refID=7034570&amp;Result=3","7034570")</f>
        <v>0</v>
      </c>
      <c r="B6787" t="s">
        <v>1005</v>
      </c>
      <c r="C6787" t="s">
        <v>9683</v>
      </c>
      <c r="D6787" t="s">
        <v>18092</v>
      </c>
      <c r="E6787" t="s">
        <v>24126</v>
      </c>
      <c r="F6787" t="s">
        <v>31574</v>
      </c>
      <c r="G6787" t="s">
        <v>31582</v>
      </c>
      <c r="H6787" t="s">
        <v>31590</v>
      </c>
      <c r="I6787" t="s">
        <v>14544</v>
      </c>
      <c r="J6787" t="s">
        <v>36096</v>
      </c>
      <c r="K6787" t="s">
        <v>41186</v>
      </c>
      <c r="M6787" t="s">
        <v>42544</v>
      </c>
      <c r="N6787" t="s">
        <v>45095</v>
      </c>
      <c r="O6787" t="s">
        <v>45096</v>
      </c>
      <c r="P6787">
        <v>0</v>
      </c>
      <c r="Q6787">
        <v>0</v>
      </c>
      <c r="R6787" t="s">
        <v>45103</v>
      </c>
      <c r="S6787" t="s">
        <v>45270</v>
      </c>
      <c r="T6787" t="s">
        <v>46922</v>
      </c>
      <c r="U6787" t="s">
        <v>53158</v>
      </c>
      <c r="W6787" t="s">
        <v>42544</v>
      </c>
      <c r="X6787" t="s">
        <v>45105</v>
      </c>
    </row>
    <row r="6788" spans="1:24">
      <c r="A6788">
        <f>HYPERLINK("https://www.philgeps.gov.ph/GEPSNONPILOT/Tender/SplashBidNoticeAbstractUI.aspx?menuIndex=3&amp;refID=7034626&amp;Result=3","7034626")</f>
        <v>0</v>
      </c>
      <c r="B6788" t="s">
        <v>530</v>
      </c>
      <c r="C6788" t="s">
        <v>9684</v>
      </c>
      <c r="D6788" t="s">
        <v>18071</v>
      </c>
      <c r="E6788" t="s">
        <v>24127</v>
      </c>
      <c r="F6788" t="s">
        <v>31574</v>
      </c>
      <c r="G6788" t="s">
        <v>31582</v>
      </c>
      <c r="H6788" t="s">
        <v>31590</v>
      </c>
      <c r="I6788" t="s">
        <v>3489</v>
      </c>
      <c r="J6788" t="s">
        <v>31789</v>
      </c>
      <c r="K6788" t="s">
        <v>41186</v>
      </c>
      <c r="M6788" t="s">
        <v>42027</v>
      </c>
      <c r="N6788" t="s">
        <v>45095</v>
      </c>
      <c r="O6788" t="s">
        <v>45096</v>
      </c>
      <c r="P6788">
        <v>0</v>
      </c>
      <c r="Q6788">
        <v>0</v>
      </c>
      <c r="R6788" t="s">
        <v>45103</v>
      </c>
      <c r="S6788" t="s">
        <v>45270</v>
      </c>
      <c r="T6788" t="s">
        <v>47021</v>
      </c>
      <c r="U6788" t="s">
        <v>53159</v>
      </c>
      <c r="W6788" t="s">
        <v>42027</v>
      </c>
      <c r="X6788" t="s">
        <v>45105</v>
      </c>
    </row>
    <row r="6789" spans="1:24">
      <c r="A6789">
        <f>HYPERLINK("https://www.philgeps.gov.ph/GEPSNONPILOT/Tender/SplashBidNoticeAbstractUI.aspx?menuIndex=3&amp;refID=7034546&amp;Result=3","7034546")</f>
        <v>0</v>
      </c>
      <c r="B6789" t="s">
        <v>767</v>
      </c>
      <c r="C6789" t="s">
        <v>9685</v>
      </c>
      <c r="D6789" t="s">
        <v>18068</v>
      </c>
      <c r="E6789" t="s">
        <v>24128</v>
      </c>
      <c r="F6789" t="s">
        <v>31574</v>
      </c>
      <c r="G6789" t="s">
        <v>31581</v>
      </c>
      <c r="H6789" t="s">
        <v>31590</v>
      </c>
      <c r="I6789" t="s">
        <v>31629</v>
      </c>
      <c r="J6789" t="s">
        <v>36097</v>
      </c>
      <c r="K6789" t="s">
        <v>41193</v>
      </c>
      <c r="M6789" t="s">
        <v>42281</v>
      </c>
      <c r="N6789" t="s">
        <v>45095</v>
      </c>
      <c r="O6789" t="s">
        <v>45096</v>
      </c>
      <c r="P6789">
        <v>0</v>
      </c>
      <c r="Q6789">
        <v>0</v>
      </c>
      <c r="R6789" t="s">
        <v>45103</v>
      </c>
      <c r="S6789" t="s">
        <v>45270</v>
      </c>
      <c r="T6789" t="s">
        <v>47164</v>
      </c>
      <c r="U6789" t="s">
        <v>53160</v>
      </c>
      <c r="V6789" t="s">
        <v>60037</v>
      </c>
      <c r="W6789" t="s">
        <v>42281</v>
      </c>
      <c r="X6789" t="s">
        <v>45105</v>
      </c>
    </row>
    <row r="6790" spans="1:24">
      <c r="A6790">
        <f>HYPERLINK("https://www.philgeps.gov.ph/GEPSNONPILOT/Tender/SplashBidNoticeAbstractUI.aspx?menuIndex=3&amp;refID=7034748&amp;Result=3","7034748")</f>
        <v>0</v>
      </c>
      <c r="B6790" t="s">
        <v>947</v>
      </c>
      <c r="C6790" t="s">
        <v>9686</v>
      </c>
      <c r="D6790" t="s">
        <v>18033</v>
      </c>
      <c r="E6790" t="s">
        <v>24129</v>
      </c>
      <c r="F6790" t="s">
        <v>31574</v>
      </c>
      <c r="G6790" t="s">
        <v>31582</v>
      </c>
      <c r="H6790" t="s">
        <v>31590</v>
      </c>
      <c r="I6790" t="s">
        <v>31594</v>
      </c>
      <c r="J6790" t="s">
        <v>36098</v>
      </c>
      <c r="K6790" t="s">
        <v>41186</v>
      </c>
      <c r="M6790" t="s">
        <v>43729</v>
      </c>
      <c r="N6790" t="s">
        <v>45095</v>
      </c>
      <c r="O6790" t="s">
        <v>45096</v>
      </c>
      <c r="P6790">
        <v>0</v>
      </c>
      <c r="Q6790">
        <v>6</v>
      </c>
      <c r="R6790" t="s">
        <v>45103</v>
      </c>
      <c r="S6790" t="s">
        <v>45270</v>
      </c>
      <c r="T6790" t="s">
        <v>46992</v>
      </c>
      <c r="U6790" t="s">
        <v>53161</v>
      </c>
      <c r="V6790" t="s">
        <v>60588</v>
      </c>
      <c r="W6790" t="s">
        <v>43729</v>
      </c>
      <c r="X6790" t="s">
        <v>45105</v>
      </c>
    </row>
    <row r="6791" spans="1:24">
      <c r="A6791">
        <f>HYPERLINK("https://www.philgeps.gov.ph/GEPSNONPILOT/Tender/SplashBidNoticeAbstractUI.aspx?menuIndex=3&amp;refID=7034540&amp;Result=3","7034540")</f>
        <v>0</v>
      </c>
      <c r="B6791" t="s">
        <v>1036</v>
      </c>
      <c r="C6791" t="s">
        <v>9687</v>
      </c>
      <c r="D6791" t="s">
        <v>18072</v>
      </c>
      <c r="E6791" t="s">
        <v>19713</v>
      </c>
      <c r="F6791" t="s">
        <v>31574</v>
      </c>
      <c r="G6791" t="s">
        <v>31581</v>
      </c>
      <c r="H6791" t="s">
        <v>31590</v>
      </c>
      <c r="I6791" t="s">
        <v>31623</v>
      </c>
      <c r="J6791" t="s">
        <v>32017</v>
      </c>
      <c r="K6791" t="s">
        <v>41186</v>
      </c>
      <c r="M6791" t="s">
        <v>42579</v>
      </c>
      <c r="N6791" t="s">
        <v>45095</v>
      </c>
      <c r="O6791" t="s">
        <v>45096</v>
      </c>
      <c r="P6791">
        <v>0</v>
      </c>
      <c r="Q6791">
        <v>0</v>
      </c>
      <c r="R6791" t="s">
        <v>45103</v>
      </c>
      <c r="S6791" t="s">
        <v>45270</v>
      </c>
      <c r="T6791" t="s">
        <v>47125</v>
      </c>
      <c r="U6791" t="s">
        <v>53162</v>
      </c>
      <c r="W6791" t="s">
        <v>42579</v>
      </c>
      <c r="X6791" t="s">
        <v>45105</v>
      </c>
    </row>
    <row r="6792" spans="1:24">
      <c r="A6792">
        <f>HYPERLINK("https://www.philgeps.gov.ph/GEPSNONPILOT/Tender/SplashBidNoticeAbstractUI.aspx?menuIndex=3&amp;refID=7034742&amp;Result=3","7034742")</f>
        <v>0</v>
      </c>
      <c r="B6792" t="s">
        <v>1229</v>
      </c>
      <c r="C6792" t="s">
        <v>9688</v>
      </c>
      <c r="D6792" t="s">
        <v>18022</v>
      </c>
      <c r="E6792" t="s">
        <v>24130</v>
      </c>
      <c r="F6792" t="s">
        <v>31574</v>
      </c>
      <c r="G6792" t="s">
        <v>31582</v>
      </c>
      <c r="H6792" t="s">
        <v>31590</v>
      </c>
      <c r="I6792" t="s">
        <v>6800</v>
      </c>
      <c r="J6792" t="s">
        <v>36099</v>
      </c>
      <c r="K6792" t="s">
        <v>41193</v>
      </c>
      <c r="M6792" t="s">
        <v>43730</v>
      </c>
      <c r="N6792" t="s">
        <v>45095</v>
      </c>
      <c r="O6792" t="s">
        <v>45096</v>
      </c>
      <c r="P6792">
        <v>0</v>
      </c>
      <c r="Q6792">
        <v>2</v>
      </c>
      <c r="R6792" t="s">
        <v>45103</v>
      </c>
      <c r="S6792" t="s">
        <v>45270</v>
      </c>
      <c r="T6792" t="s">
        <v>47010</v>
      </c>
      <c r="U6792" t="s">
        <v>53163</v>
      </c>
      <c r="W6792" t="s">
        <v>43730</v>
      </c>
      <c r="X6792" t="s">
        <v>45105</v>
      </c>
    </row>
    <row r="6793" spans="1:24">
      <c r="A6793">
        <f>HYPERLINK("https://www.philgeps.gov.ph/GEPSNONPILOT/Tender/SplashBidNoticeAbstractUI.aspx?menuIndex=3&amp;refID=7034609&amp;Result=3","7034609")</f>
        <v>0</v>
      </c>
      <c r="B6793" t="s">
        <v>2059</v>
      </c>
      <c r="C6793" t="s">
        <v>9689</v>
      </c>
      <c r="D6793" t="s">
        <v>18095</v>
      </c>
      <c r="E6793" t="s">
        <v>24131</v>
      </c>
      <c r="F6793" t="s">
        <v>31574</v>
      </c>
      <c r="G6793" t="s">
        <v>31582</v>
      </c>
      <c r="H6793" t="s">
        <v>31590</v>
      </c>
      <c r="I6793" t="s">
        <v>7185</v>
      </c>
      <c r="J6793" t="s">
        <v>31935</v>
      </c>
      <c r="K6793" t="s">
        <v>41206</v>
      </c>
      <c r="M6793" t="s">
        <v>43731</v>
      </c>
      <c r="N6793" t="s">
        <v>45095</v>
      </c>
      <c r="O6793" t="s">
        <v>45096</v>
      </c>
      <c r="P6793">
        <v>0</v>
      </c>
      <c r="Q6793">
        <v>13</v>
      </c>
      <c r="R6793" t="s">
        <v>45103</v>
      </c>
      <c r="S6793" t="s">
        <v>45270</v>
      </c>
      <c r="T6793" t="s">
        <v>46988</v>
      </c>
      <c r="U6793" t="s">
        <v>53164</v>
      </c>
      <c r="W6793" t="s">
        <v>43731</v>
      </c>
      <c r="X6793" t="s">
        <v>45105</v>
      </c>
    </row>
    <row r="6794" spans="1:24">
      <c r="A6794">
        <f>HYPERLINK("https://www.philgeps.gov.ph/GEPSNONPILOT/Tender/SplashBidNoticeAbstractUI.aspx?menuIndex=3&amp;refID=7034721&amp;Result=3","7034721")</f>
        <v>0</v>
      </c>
      <c r="B6794" t="s">
        <v>1229</v>
      </c>
      <c r="C6794" t="s">
        <v>9690</v>
      </c>
      <c r="D6794" t="s">
        <v>18022</v>
      </c>
      <c r="E6794" t="s">
        <v>24132</v>
      </c>
      <c r="F6794" t="s">
        <v>31574</v>
      </c>
      <c r="G6794" t="s">
        <v>31582</v>
      </c>
      <c r="H6794" t="s">
        <v>31592</v>
      </c>
      <c r="I6794" t="s">
        <v>31630</v>
      </c>
      <c r="J6794" t="s">
        <v>36100</v>
      </c>
      <c r="K6794" t="s">
        <v>41193</v>
      </c>
      <c r="M6794" t="s">
        <v>43730</v>
      </c>
      <c r="N6794" t="s">
        <v>45095</v>
      </c>
      <c r="O6794" t="s">
        <v>45096</v>
      </c>
      <c r="P6794">
        <v>0</v>
      </c>
      <c r="Q6794">
        <v>1</v>
      </c>
      <c r="R6794" t="s">
        <v>45103</v>
      </c>
      <c r="S6794" t="s">
        <v>45270</v>
      </c>
      <c r="T6794" t="s">
        <v>47010</v>
      </c>
      <c r="U6794" t="s">
        <v>53165</v>
      </c>
      <c r="W6794" t="s">
        <v>43730</v>
      </c>
      <c r="X6794" t="s">
        <v>45105</v>
      </c>
    </row>
    <row r="6795" spans="1:24">
      <c r="A6795">
        <f>HYPERLINK("https://www.philgeps.gov.ph/GEPSNONPILOT/Tender/SplashBidNoticeAbstractUI.aspx?menuIndex=3&amp;refID=7034519&amp;Result=3","7034519")</f>
        <v>0</v>
      </c>
      <c r="B6795" t="s">
        <v>1036</v>
      </c>
      <c r="C6795" t="s">
        <v>9691</v>
      </c>
      <c r="D6795" t="s">
        <v>18072</v>
      </c>
      <c r="E6795" t="s">
        <v>19711</v>
      </c>
      <c r="F6795" t="s">
        <v>31574</v>
      </c>
      <c r="G6795" t="s">
        <v>31581</v>
      </c>
      <c r="H6795" t="s">
        <v>31590</v>
      </c>
      <c r="I6795" t="s">
        <v>31699</v>
      </c>
      <c r="J6795" t="s">
        <v>31962</v>
      </c>
      <c r="K6795" t="s">
        <v>41186</v>
      </c>
      <c r="M6795" t="s">
        <v>42579</v>
      </c>
      <c r="N6795" t="s">
        <v>45095</v>
      </c>
      <c r="O6795" t="s">
        <v>45096</v>
      </c>
      <c r="P6795">
        <v>0</v>
      </c>
      <c r="Q6795">
        <v>6</v>
      </c>
      <c r="R6795" t="s">
        <v>45103</v>
      </c>
      <c r="S6795" t="s">
        <v>45270</v>
      </c>
      <c r="T6795" t="s">
        <v>47125</v>
      </c>
      <c r="U6795" t="s">
        <v>53166</v>
      </c>
      <c r="W6795" t="s">
        <v>42579</v>
      </c>
      <c r="X6795" t="s">
        <v>45105</v>
      </c>
    </row>
    <row r="6796" spans="1:24">
      <c r="A6796">
        <f>HYPERLINK("https://www.philgeps.gov.ph/GEPSNONPILOT/Tender/SplashBidNoticeAbstractUI.aspx?menuIndex=3&amp;refID=7034589&amp;Result=3","7034589")</f>
        <v>0</v>
      </c>
      <c r="B6796" t="s">
        <v>1036</v>
      </c>
      <c r="C6796" t="s">
        <v>9692</v>
      </c>
      <c r="D6796" t="s">
        <v>18072</v>
      </c>
      <c r="E6796" t="s">
        <v>19078</v>
      </c>
      <c r="F6796" t="s">
        <v>31574</v>
      </c>
      <c r="G6796" t="s">
        <v>31581</v>
      </c>
      <c r="H6796" t="s">
        <v>31590</v>
      </c>
      <c r="I6796" t="s">
        <v>3487</v>
      </c>
      <c r="J6796" t="s">
        <v>36101</v>
      </c>
      <c r="K6796" t="s">
        <v>41186</v>
      </c>
      <c r="M6796" t="s">
        <v>42579</v>
      </c>
      <c r="N6796" t="s">
        <v>45095</v>
      </c>
      <c r="O6796" t="s">
        <v>45096</v>
      </c>
      <c r="P6796">
        <v>0</v>
      </c>
      <c r="Q6796">
        <v>0</v>
      </c>
      <c r="R6796" t="s">
        <v>45103</v>
      </c>
      <c r="S6796" t="s">
        <v>45270</v>
      </c>
      <c r="T6796" t="s">
        <v>47125</v>
      </c>
      <c r="U6796" t="s">
        <v>53167</v>
      </c>
      <c r="W6796" t="s">
        <v>42579</v>
      </c>
      <c r="X6796" t="s">
        <v>45105</v>
      </c>
    </row>
    <row r="6797" spans="1:24">
      <c r="A6797">
        <f>HYPERLINK("https://www.philgeps.gov.ph/GEPSNONPILOT/Tender/SplashBidNoticeAbstractUI.aspx?menuIndex=3&amp;refID=7034711&amp;Result=3","7034711")</f>
        <v>0</v>
      </c>
      <c r="B6797" t="s">
        <v>947</v>
      </c>
      <c r="C6797" t="s">
        <v>9693</v>
      </c>
      <c r="D6797" t="s">
        <v>18033</v>
      </c>
      <c r="E6797" t="s">
        <v>24133</v>
      </c>
      <c r="F6797" t="s">
        <v>31574</v>
      </c>
      <c r="G6797" t="s">
        <v>31582</v>
      </c>
      <c r="H6797" t="s">
        <v>31590</v>
      </c>
      <c r="I6797" t="s">
        <v>7185</v>
      </c>
      <c r="J6797" t="s">
        <v>36102</v>
      </c>
      <c r="K6797" t="s">
        <v>41186</v>
      </c>
      <c r="M6797" t="s">
        <v>43729</v>
      </c>
      <c r="N6797" t="s">
        <v>45095</v>
      </c>
      <c r="O6797" t="s">
        <v>45096</v>
      </c>
      <c r="P6797">
        <v>0</v>
      </c>
      <c r="Q6797">
        <v>4</v>
      </c>
      <c r="R6797" t="s">
        <v>45103</v>
      </c>
      <c r="S6797" t="s">
        <v>45270</v>
      </c>
      <c r="T6797" t="s">
        <v>46992</v>
      </c>
      <c r="U6797" t="s">
        <v>53168</v>
      </c>
      <c r="V6797" t="s">
        <v>60589</v>
      </c>
      <c r="W6797" t="s">
        <v>43729</v>
      </c>
      <c r="X6797" t="s">
        <v>45105</v>
      </c>
    </row>
    <row r="6798" spans="1:24">
      <c r="A6798">
        <f>HYPERLINK("https://www.philgeps.gov.ph/GEPSNONPILOT/Tender/SplashBidNoticeAbstractUI.aspx?menuIndex=3&amp;refID=7034755&amp;Result=3","7034755")</f>
        <v>0</v>
      </c>
      <c r="B6798" t="s">
        <v>1229</v>
      </c>
      <c r="C6798" t="s">
        <v>9694</v>
      </c>
      <c r="D6798" t="s">
        <v>18022</v>
      </c>
      <c r="E6798" t="s">
        <v>24134</v>
      </c>
      <c r="F6798" t="s">
        <v>31574</v>
      </c>
      <c r="G6798" t="s">
        <v>31582</v>
      </c>
      <c r="H6798" t="s">
        <v>31590</v>
      </c>
      <c r="I6798" t="s">
        <v>3651</v>
      </c>
      <c r="J6798" t="s">
        <v>31771</v>
      </c>
      <c r="K6798" t="s">
        <v>41193</v>
      </c>
      <c r="M6798" t="s">
        <v>43730</v>
      </c>
      <c r="N6798" t="s">
        <v>45095</v>
      </c>
      <c r="O6798" t="s">
        <v>45096</v>
      </c>
      <c r="P6798">
        <v>0</v>
      </c>
      <c r="Q6798">
        <v>2</v>
      </c>
      <c r="R6798" t="s">
        <v>45103</v>
      </c>
      <c r="S6798" t="s">
        <v>45270</v>
      </c>
      <c r="T6798" t="s">
        <v>47010</v>
      </c>
      <c r="U6798" t="s">
        <v>53169</v>
      </c>
      <c r="W6798" t="s">
        <v>43730</v>
      </c>
      <c r="X6798" t="s">
        <v>45105</v>
      </c>
    </row>
    <row r="6799" spans="1:24">
      <c r="A6799">
        <f>HYPERLINK("https://www.philgeps.gov.ph/GEPSNONPILOT/Tender/SplashBidNoticeAbstractUI.aspx?menuIndex=3&amp;refID=7034703&amp;Result=3","7034703")</f>
        <v>0</v>
      </c>
      <c r="B6799" t="s">
        <v>82</v>
      </c>
      <c r="C6799" t="s">
        <v>9695</v>
      </c>
      <c r="D6799" t="s">
        <v>18058</v>
      </c>
      <c r="E6799" t="s">
        <v>24135</v>
      </c>
      <c r="F6799" t="s">
        <v>31574</v>
      </c>
      <c r="G6799" t="s">
        <v>31585</v>
      </c>
      <c r="H6799" t="s">
        <v>31590</v>
      </c>
      <c r="I6799" t="s">
        <v>31599</v>
      </c>
      <c r="J6799" t="s">
        <v>36103</v>
      </c>
      <c r="K6799" t="s">
        <v>41193</v>
      </c>
      <c r="M6799" t="s">
        <v>41566</v>
      </c>
      <c r="N6799" t="s">
        <v>45095</v>
      </c>
      <c r="O6799" t="s">
        <v>45096</v>
      </c>
      <c r="P6799">
        <v>0</v>
      </c>
      <c r="Q6799">
        <v>0</v>
      </c>
      <c r="R6799" t="s">
        <v>45103</v>
      </c>
      <c r="S6799" t="s">
        <v>45270</v>
      </c>
      <c r="T6799" t="s">
        <v>47301</v>
      </c>
      <c r="U6799" t="s">
        <v>53170</v>
      </c>
      <c r="W6799" t="s">
        <v>41566</v>
      </c>
      <c r="X6799" t="s">
        <v>45105</v>
      </c>
    </row>
    <row r="6800" spans="1:24">
      <c r="A6800">
        <f>HYPERLINK("https://www.philgeps.gov.ph/GEPSNONPILOT/Tender/SplashBidNoticeAbstractUI.aspx?menuIndex=3&amp;refID=7034760&amp;Result=3","7034760")</f>
        <v>0</v>
      </c>
      <c r="B6800" t="s">
        <v>1880</v>
      </c>
      <c r="C6800" t="s">
        <v>9696</v>
      </c>
      <c r="D6800" t="s">
        <v>18056</v>
      </c>
      <c r="E6800" t="s">
        <v>24136</v>
      </c>
      <c r="F6800" t="s">
        <v>31574</v>
      </c>
      <c r="G6800" t="s">
        <v>31582</v>
      </c>
      <c r="H6800" t="s">
        <v>31591</v>
      </c>
      <c r="I6800" t="s">
        <v>8822</v>
      </c>
      <c r="J6800" t="s">
        <v>36104</v>
      </c>
      <c r="K6800" t="s">
        <v>41189</v>
      </c>
      <c r="M6800" t="s">
        <v>43732</v>
      </c>
      <c r="N6800" t="s">
        <v>45095</v>
      </c>
      <c r="O6800" t="s">
        <v>45096</v>
      </c>
      <c r="P6800">
        <v>0</v>
      </c>
      <c r="Q6800">
        <v>2</v>
      </c>
      <c r="R6800" t="s">
        <v>45103</v>
      </c>
      <c r="S6800" t="s">
        <v>45270</v>
      </c>
      <c r="T6800" t="s">
        <v>47232</v>
      </c>
      <c r="U6800" t="s">
        <v>53171</v>
      </c>
      <c r="W6800" t="s">
        <v>43732</v>
      </c>
      <c r="X6800" t="s">
        <v>45105</v>
      </c>
    </row>
    <row r="6801" spans="1:24">
      <c r="A6801">
        <f>HYPERLINK("https://www.philgeps.gov.ph/GEPSNONPILOT/Tender/SplashBidNoticeAbstractUI.aspx?menuIndex=3&amp;refID=7034697&amp;Result=3","7034697")</f>
        <v>0</v>
      </c>
      <c r="B6801" t="s">
        <v>1229</v>
      </c>
      <c r="C6801" t="s">
        <v>9697</v>
      </c>
      <c r="D6801" t="s">
        <v>18022</v>
      </c>
      <c r="E6801" t="s">
        <v>24137</v>
      </c>
      <c r="F6801" t="s">
        <v>31574</v>
      </c>
      <c r="G6801" t="s">
        <v>31582</v>
      </c>
      <c r="H6801" t="s">
        <v>31592</v>
      </c>
      <c r="I6801" t="s">
        <v>31645</v>
      </c>
      <c r="J6801" t="s">
        <v>36105</v>
      </c>
      <c r="K6801" t="s">
        <v>41193</v>
      </c>
      <c r="M6801" t="s">
        <v>43730</v>
      </c>
      <c r="N6801" t="s">
        <v>45095</v>
      </c>
      <c r="O6801" t="s">
        <v>45096</v>
      </c>
      <c r="P6801">
        <v>0</v>
      </c>
      <c r="Q6801">
        <v>6</v>
      </c>
      <c r="R6801" t="s">
        <v>45103</v>
      </c>
      <c r="S6801" t="s">
        <v>45270</v>
      </c>
      <c r="T6801" t="s">
        <v>47010</v>
      </c>
      <c r="U6801" t="s">
        <v>53172</v>
      </c>
      <c r="W6801" t="s">
        <v>43730</v>
      </c>
      <c r="X6801" t="s">
        <v>45105</v>
      </c>
    </row>
    <row r="6802" spans="1:24">
      <c r="A6802">
        <f>HYPERLINK("https://www.philgeps.gov.ph/GEPSNONPILOT/Tender/SplashBidNoticeAbstractUI.aspx?menuIndex=3&amp;refID=7034789&amp;Result=3","7034789")</f>
        <v>0</v>
      </c>
      <c r="B6802" t="s">
        <v>1880</v>
      </c>
      <c r="C6802" t="s">
        <v>9698</v>
      </c>
      <c r="D6802" t="s">
        <v>18056</v>
      </c>
      <c r="E6802" t="s">
        <v>24138</v>
      </c>
      <c r="F6802" t="s">
        <v>31574</v>
      </c>
      <c r="G6802" t="s">
        <v>31582</v>
      </c>
      <c r="H6802" t="s">
        <v>31591</v>
      </c>
      <c r="I6802" t="s">
        <v>8822</v>
      </c>
      <c r="J6802" t="s">
        <v>36106</v>
      </c>
      <c r="K6802" t="s">
        <v>41351</v>
      </c>
      <c r="M6802" t="s">
        <v>43732</v>
      </c>
      <c r="N6802" t="s">
        <v>45095</v>
      </c>
      <c r="O6802" t="s">
        <v>45096</v>
      </c>
      <c r="P6802">
        <v>0</v>
      </c>
      <c r="Q6802">
        <v>2</v>
      </c>
      <c r="R6802" t="s">
        <v>45103</v>
      </c>
      <c r="S6802" t="s">
        <v>45270</v>
      </c>
      <c r="T6802" t="s">
        <v>47232</v>
      </c>
      <c r="U6802" t="s">
        <v>53173</v>
      </c>
      <c r="W6802" t="s">
        <v>43732</v>
      </c>
      <c r="X6802" t="s">
        <v>45105</v>
      </c>
    </row>
    <row r="6803" spans="1:24">
      <c r="A6803">
        <f>HYPERLINK("https://www.philgeps.gov.ph/GEPSNONPILOT/Tender/SplashBidNoticeAbstractUI.aspx?menuIndex=3&amp;refID=7034831&amp;Result=3","7034831")</f>
        <v>0</v>
      </c>
      <c r="B6803" t="s">
        <v>2060</v>
      </c>
      <c r="C6803" t="s">
        <v>9699</v>
      </c>
      <c r="D6803" t="s">
        <v>18033</v>
      </c>
      <c r="E6803" t="s">
        <v>24139</v>
      </c>
      <c r="F6803" t="s">
        <v>31574</v>
      </c>
      <c r="G6803" t="s">
        <v>31582</v>
      </c>
      <c r="H6803" t="s">
        <v>31590</v>
      </c>
      <c r="I6803" t="s">
        <v>6800</v>
      </c>
      <c r="J6803" t="s">
        <v>36107</v>
      </c>
      <c r="K6803" t="s">
        <v>41203</v>
      </c>
      <c r="M6803" t="s">
        <v>43733</v>
      </c>
      <c r="N6803" t="s">
        <v>45095</v>
      </c>
      <c r="O6803" t="s">
        <v>45096</v>
      </c>
      <c r="P6803">
        <v>0</v>
      </c>
      <c r="Q6803">
        <v>5</v>
      </c>
      <c r="R6803" t="s">
        <v>45103</v>
      </c>
      <c r="S6803" t="s">
        <v>45270</v>
      </c>
      <c r="T6803" t="s">
        <v>47232</v>
      </c>
      <c r="U6803" t="s">
        <v>53174</v>
      </c>
      <c r="W6803" t="s">
        <v>43733</v>
      </c>
      <c r="X6803" t="s">
        <v>45105</v>
      </c>
    </row>
    <row r="6804" spans="1:24">
      <c r="A6804">
        <f>HYPERLINK("https://www.philgeps.gov.ph/GEPSNONPILOT/Tender/SplashBidNoticeAbstractUI.aspx?menuIndex=3&amp;refID=7034772&amp;Result=3","7034772")</f>
        <v>0</v>
      </c>
      <c r="B6804" t="s">
        <v>1229</v>
      </c>
      <c r="C6804" t="s">
        <v>9700</v>
      </c>
      <c r="D6804" t="s">
        <v>18022</v>
      </c>
      <c r="E6804" t="s">
        <v>24140</v>
      </c>
      <c r="F6804" t="s">
        <v>31574</v>
      </c>
      <c r="G6804" t="s">
        <v>31582</v>
      </c>
      <c r="H6804" t="s">
        <v>31590</v>
      </c>
      <c r="I6804" t="s">
        <v>3651</v>
      </c>
      <c r="J6804" t="s">
        <v>36108</v>
      </c>
      <c r="K6804" t="s">
        <v>41193</v>
      </c>
      <c r="M6804" t="s">
        <v>43730</v>
      </c>
      <c r="N6804" t="s">
        <v>45095</v>
      </c>
      <c r="O6804" t="s">
        <v>45096</v>
      </c>
      <c r="P6804">
        <v>0</v>
      </c>
      <c r="Q6804">
        <v>1</v>
      </c>
      <c r="R6804" t="s">
        <v>45103</v>
      </c>
      <c r="S6804" t="s">
        <v>45270</v>
      </c>
      <c r="T6804" t="s">
        <v>47010</v>
      </c>
      <c r="U6804" t="s">
        <v>53169</v>
      </c>
      <c r="W6804" t="s">
        <v>43730</v>
      </c>
      <c r="X6804" t="s">
        <v>45105</v>
      </c>
    </row>
    <row r="6805" spans="1:24">
      <c r="A6805">
        <f>HYPERLINK("https://www.philgeps.gov.ph/GEPSNONPILOT/Tender/SplashBidNoticeAbstractUI.aspx?menuIndex=3&amp;refID=7034818&amp;Result=3","7034818")</f>
        <v>0</v>
      </c>
      <c r="B6805" t="s">
        <v>1880</v>
      </c>
      <c r="C6805" t="s">
        <v>9701</v>
      </c>
      <c r="D6805" t="s">
        <v>18056</v>
      </c>
      <c r="E6805" t="s">
        <v>24141</v>
      </c>
      <c r="F6805" t="s">
        <v>31574</v>
      </c>
      <c r="G6805" t="s">
        <v>31582</v>
      </c>
      <c r="H6805" t="s">
        <v>31591</v>
      </c>
      <c r="I6805" t="s">
        <v>8822</v>
      </c>
      <c r="J6805" t="s">
        <v>36109</v>
      </c>
      <c r="K6805" t="s">
        <v>41206</v>
      </c>
      <c r="M6805" t="s">
        <v>43732</v>
      </c>
      <c r="N6805" t="s">
        <v>45095</v>
      </c>
      <c r="O6805" t="s">
        <v>45096</v>
      </c>
      <c r="P6805">
        <v>0</v>
      </c>
      <c r="Q6805">
        <v>2</v>
      </c>
      <c r="R6805" t="s">
        <v>45103</v>
      </c>
      <c r="S6805" t="s">
        <v>45270</v>
      </c>
      <c r="T6805" t="s">
        <v>47232</v>
      </c>
      <c r="U6805" t="s">
        <v>53175</v>
      </c>
      <c r="W6805" t="s">
        <v>43732</v>
      </c>
      <c r="X6805" t="s">
        <v>45105</v>
      </c>
    </row>
    <row r="6806" spans="1:24">
      <c r="A6806">
        <f>HYPERLINK("https://www.philgeps.gov.ph/GEPSNONPILOT/Tender/SplashBidNoticeAbstractUI.aspx?menuIndex=3&amp;refID=7034833&amp;Result=3","7034833")</f>
        <v>0</v>
      </c>
      <c r="B6806" t="s">
        <v>1229</v>
      </c>
      <c r="C6806" t="s">
        <v>9702</v>
      </c>
      <c r="D6806" t="s">
        <v>18022</v>
      </c>
      <c r="E6806" t="s">
        <v>24142</v>
      </c>
      <c r="F6806" t="s">
        <v>31574</v>
      </c>
      <c r="G6806" t="s">
        <v>31582</v>
      </c>
      <c r="H6806" t="s">
        <v>31591</v>
      </c>
      <c r="I6806" t="s">
        <v>8822</v>
      </c>
      <c r="J6806" t="s">
        <v>36110</v>
      </c>
      <c r="K6806" t="s">
        <v>41189</v>
      </c>
      <c r="M6806" t="s">
        <v>43730</v>
      </c>
      <c r="N6806" t="s">
        <v>45095</v>
      </c>
      <c r="O6806" t="s">
        <v>45096</v>
      </c>
      <c r="P6806">
        <v>0</v>
      </c>
      <c r="Q6806">
        <v>1</v>
      </c>
      <c r="R6806" t="s">
        <v>45103</v>
      </c>
      <c r="S6806" t="s">
        <v>45270</v>
      </c>
      <c r="T6806" t="s">
        <v>47010</v>
      </c>
      <c r="U6806" t="s">
        <v>53176</v>
      </c>
      <c r="W6806" t="s">
        <v>43730</v>
      </c>
      <c r="X6806" t="s">
        <v>45105</v>
      </c>
    </row>
    <row r="6807" spans="1:24">
      <c r="A6807">
        <f>HYPERLINK("https://www.philgeps.gov.ph/GEPSNONPILOT/Tender/SplashBidNoticeAbstractUI.aspx?menuIndex=3&amp;refID=7034807&amp;Result=3","7034807")</f>
        <v>0</v>
      </c>
      <c r="B6807" t="s">
        <v>659</v>
      </c>
      <c r="C6807" t="s">
        <v>9703</v>
      </c>
      <c r="D6807" t="s">
        <v>18063</v>
      </c>
      <c r="E6807" t="s">
        <v>18975</v>
      </c>
      <c r="F6807" t="s">
        <v>31574</v>
      </c>
      <c r="G6807" t="s">
        <v>31582</v>
      </c>
      <c r="H6807" t="s">
        <v>31590</v>
      </c>
      <c r="I6807" t="s">
        <v>8258</v>
      </c>
      <c r="J6807" t="s">
        <v>32049</v>
      </c>
      <c r="K6807" t="s">
        <v>41186</v>
      </c>
      <c r="M6807" t="s">
        <v>42163</v>
      </c>
      <c r="N6807" t="s">
        <v>45095</v>
      </c>
      <c r="O6807" t="s">
        <v>45096</v>
      </c>
      <c r="P6807">
        <v>0</v>
      </c>
      <c r="Q6807">
        <v>4</v>
      </c>
      <c r="R6807" t="s">
        <v>45103</v>
      </c>
      <c r="S6807" t="s">
        <v>45270</v>
      </c>
      <c r="T6807" t="s">
        <v>46904</v>
      </c>
      <c r="U6807" t="s">
        <v>53177</v>
      </c>
      <c r="W6807" t="s">
        <v>42163</v>
      </c>
      <c r="X6807" t="s">
        <v>45105</v>
      </c>
    </row>
    <row r="6808" spans="1:24">
      <c r="A6808">
        <f>HYPERLINK("https://www.philgeps.gov.ph/GEPSNONPILOT/Tender/SplashBidNoticeAbstractUI.aspx?menuIndex=3&amp;refID=7034765&amp;Result=3","7034765")</f>
        <v>0</v>
      </c>
      <c r="B6808" t="s">
        <v>1229</v>
      </c>
      <c r="C6808" t="s">
        <v>9704</v>
      </c>
      <c r="D6808" t="s">
        <v>18022</v>
      </c>
      <c r="E6808" t="s">
        <v>24143</v>
      </c>
      <c r="F6808" t="s">
        <v>31574</v>
      </c>
      <c r="G6808" t="s">
        <v>31582</v>
      </c>
      <c r="H6808" t="s">
        <v>31590</v>
      </c>
      <c r="I6808" t="s">
        <v>3487</v>
      </c>
      <c r="J6808" t="s">
        <v>36111</v>
      </c>
      <c r="K6808" t="s">
        <v>41193</v>
      </c>
      <c r="M6808" t="s">
        <v>43730</v>
      </c>
      <c r="N6808" t="s">
        <v>45095</v>
      </c>
      <c r="O6808" t="s">
        <v>45096</v>
      </c>
      <c r="P6808">
        <v>0</v>
      </c>
      <c r="Q6808">
        <v>0</v>
      </c>
      <c r="R6808" t="s">
        <v>45103</v>
      </c>
      <c r="S6808" t="s">
        <v>45270</v>
      </c>
      <c r="T6808" t="s">
        <v>47010</v>
      </c>
      <c r="U6808" t="s">
        <v>53178</v>
      </c>
      <c r="W6808" t="s">
        <v>43730</v>
      </c>
      <c r="X6808" t="s">
        <v>45105</v>
      </c>
    </row>
    <row r="6809" spans="1:24">
      <c r="A6809">
        <f>HYPERLINK("https://www.philgeps.gov.ph/GEPSNONPILOT/Tender/SplashBidNoticeAbstractUI.aspx?menuIndex=3&amp;refID=7034932&amp;Result=3","7034932")</f>
        <v>0</v>
      </c>
      <c r="B6809" t="s">
        <v>2056</v>
      </c>
      <c r="C6809" t="s">
        <v>9705</v>
      </c>
      <c r="D6809" t="s">
        <v>18044</v>
      </c>
      <c r="E6809" t="s">
        <v>24144</v>
      </c>
      <c r="F6809" t="s">
        <v>31574</v>
      </c>
      <c r="G6809" t="s">
        <v>31582</v>
      </c>
      <c r="H6809" t="s">
        <v>31590</v>
      </c>
      <c r="I6809" t="s">
        <v>7185</v>
      </c>
      <c r="J6809" t="s">
        <v>36112</v>
      </c>
      <c r="K6809" t="s">
        <v>41194</v>
      </c>
      <c r="M6809" t="s">
        <v>43726</v>
      </c>
      <c r="N6809" t="s">
        <v>45095</v>
      </c>
      <c r="O6809" t="s">
        <v>45096</v>
      </c>
      <c r="P6809">
        <v>0</v>
      </c>
      <c r="Q6809">
        <v>7</v>
      </c>
      <c r="R6809" t="s">
        <v>45103</v>
      </c>
      <c r="S6809" t="s">
        <v>45270</v>
      </c>
      <c r="T6809" t="s">
        <v>47076</v>
      </c>
      <c r="U6809" t="s">
        <v>53179</v>
      </c>
      <c r="V6809" t="s">
        <v>60585</v>
      </c>
      <c r="W6809" t="s">
        <v>43726</v>
      </c>
      <c r="X6809" t="s">
        <v>45105</v>
      </c>
    </row>
    <row r="6810" spans="1:24">
      <c r="A6810">
        <f>HYPERLINK("https://www.philgeps.gov.ph/GEPSNONPILOT/Tender/SplashBidNoticeAbstractUI.aspx?menuIndex=3&amp;refID=7034839&amp;Result=3","7034839")</f>
        <v>0</v>
      </c>
      <c r="B6810" t="s">
        <v>219</v>
      </c>
      <c r="C6810" t="s">
        <v>9706</v>
      </c>
      <c r="D6810" t="s">
        <v>18028</v>
      </c>
      <c r="E6810" t="s">
        <v>19127</v>
      </c>
      <c r="F6810" t="s">
        <v>31574</v>
      </c>
      <c r="G6810" t="s">
        <v>31582</v>
      </c>
      <c r="H6810" t="s">
        <v>31590</v>
      </c>
      <c r="I6810" t="s">
        <v>4046</v>
      </c>
      <c r="J6810" t="s">
        <v>31741</v>
      </c>
      <c r="K6810" t="s">
        <v>41186</v>
      </c>
      <c r="M6810" t="s">
        <v>41704</v>
      </c>
      <c r="N6810" t="s">
        <v>45095</v>
      </c>
      <c r="O6810" t="s">
        <v>45096</v>
      </c>
      <c r="P6810">
        <v>0</v>
      </c>
      <c r="Q6810">
        <v>0</v>
      </c>
      <c r="R6810" t="s">
        <v>45103</v>
      </c>
      <c r="S6810" t="s">
        <v>45270</v>
      </c>
      <c r="T6810" t="s">
        <v>46926</v>
      </c>
      <c r="U6810" t="s">
        <v>53180</v>
      </c>
      <c r="W6810" t="s">
        <v>41704</v>
      </c>
      <c r="X6810" t="s">
        <v>45105</v>
      </c>
    </row>
    <row r="6811" spans="1:24">
      <c r="A6811">
        <f>HYPERLINK("https://www.philgeps.gov.ph/GEPSNONPILOT/Tender/SplashBidNoticeAbstractUI.aspx?menuIndex=3&amp;refID=7034792&amp;Result=3","7034792")</f>
        <v>0</v>
      </c>
      <c r="B6811" t="s">
        <v>1021</v>
      </c>
      <c r="C6811" t="s">
        <v>9707</v>
      </c>
      <c r="D6811" t="s">
        <v>18023</v>
      </c>
      <c r="E6811" t="s">
        <v>24145</v>
      </c>
      <c r="F6811" t="s">
        <v>31574</v>
      </c>
      <c r="G6811" t="s">
        <v>31582</v>
      </c>
      <c r="H6811" t="s">
        <v>31591</v>
      </c>
      <c r="I6811" t="s">
        <v>31703</v>
      </c>
      <c r="J6811" t="s">
        <v>36113</v>
      </c>
      <c r="K6811" t="s">
        <v>41243</v>
      </c>
      <c r="M6811" t="s">
        <v>43734</v>
      </c>
      <c r="N6811" t="s">
        <v>45095</v>
      </c>
      <c r="O6811" t="s">
        <v>45096</v>
      </c>
      <c r="P6811">
        <v>0</v>
      </c>
      <c r="Q6811">
        <v>2</v>
      </c>
      <c r="R6811" t="s">
        <v>45103</v>
      </c>
      <c r="S6811" t="s">
        <v>45270</v>
      </c>
      <c r="T6811" t="s">
        <v>47265</v>
      </c>
      <c r="U6811" t="s">
        <v>53181</v>
      </c>
      <c r="W6811" t="s">
        <v>43734</v>
      </c>
      <c r="X6811" t="s">
        <v>45105</v>
      </c>
    </row>
    <row r="6812" spans="1:24">
      <c r="A6812">
        <f>HYPERLINK("https://www.philgeps.gov.ph/GEPSNONPILOT/Tender/SplashBidNoticeAbstractUI.aspx?menuIndex=3&amp;refID=7034939&amp;Result=3","7034939")</f>
        <v>0</v>
      </c>
      <c r="B6812" t="s">
        <v>2061</v>
      </c>
      <c r="C6812" t="s">
        <v>9708</v>
      </c>
      <c r="D6812" t="s">
        <v>18041</v>
      </c>
      <c r="E6812" t="s">
        <v>20111</v>
      </c>
      <c r="F6812" t="s">
        <v>31574</v>
      </c>
      <c r="G6812" t="s">
        <v>31582</v>
      </c>
      <c r="H6812" t="s">
        <v>31590</v>
      </c>
      <c r="I6812" t="s">
        <v>5717</v>
      </c>
      <c r="J6812" t="s">
        <v>36114</v>
      </c>
      <c r="K6812" t="s">
        <v>41196</v>
      </c>
      <c r="M6812" t="s">
        <v>43735</v>
      </c>
      <c r="N6812" t="s">
        <v>45095</v>
      </c>
      <c r="O6812" t="s">
        <v>45096</v>
      </c>
      <c r="P6812">
        <v>0</v>
      </c>
      <c r="Q6812">
        <v>5</v>
      </c>
      <c r="R6812" t="s">
        <v>45103</v>
      </c>
      <c r="S6812" t="s">
        <v>45270</v>
      </c>
      <c r="T6812" t="s">
        <v>47304</v>
      </c>
      <c r="U6812" t="s">
        <v>53182</v>
      </c>
      <c r="W6812" t="s">
        <v>43735</v>
      </c>
      <c r="X6812" t="s">
        <v>45105</v>
      </c>
    </row>
    <row r="6813" spans="1:24">
      <c r="A6813">
        <f>HYPERLINK("https://www.philgeps.gov.ph/GEPSNONPILOT/Tender/SplashBidNoticeAbstractUI.aspx?menuIndex=3&amp;refID=7034856&amp;Result=3","7034856")</f>
        <v>0</v>
      </c>
      <c r="B6813" t="s">
        <v>1229</v>
      </c>
      <c r="C6813" t="s">
        <v>9709</v>
      </c>
      <c r="D6813" t="s">
        <v>18022</v>
      </c>
      <c r="E6813" t="s">
        <v>24146</v>
      </c>
      <c r="F6813" t="s">
        <v>31574</v>
      </c>
      <c r="G6813" t="s">
        <v>31582</v>
      </c>
      <c r="H6813" t="s">
        <v>31592</v>
      </c>
      <c r="I6813" t="s">
        <v>31611</v>
      </c>
      <c r="J6813" t="s">
        <v>31727</v>
      </c>
      <c r="K6813" t="s">
        <v>41193</v>
      </c>
      <c r="M6813" t="s">
        <v>43730</v>
      </c>
      <c r="N6813" t="s">
        <v>45095</v>
      </c>
      <c r="O6813" t="s">
        <v>45096</v>
      </c>
      <c r="P6813">
        <v>0</v>
      </c>
      <c r="Q6813">
        <v>0</v>
      </c>
      <c r="R6813" t="s">
        <v>45103</v>
      </c>
      <c r="S6813" t="s">
        <v>45270</v>
      </c>
      <c r="T6813" t="s">
        <v>47010</v>
      </c>
      <c r="U6813" t="s">
        <v>53183</v>
      </c>
      <c r="W6813" t="s">
        <v>43730</v>
      </c>
      <c r="X6813" t="s">
        <v>45105</v>
      </c>
    </row>
    <row r="6814" spans="1:24">
      <c r="A6814">
        <f>HYPERLINK("https://www.philgeps.gov.ph/GEPSNONPILOT/Tender/SplashBidNoticeAbstractUI.aspx?menuIndex=3&amp;refID=7034898&amp;Result=3","7034898")</f>
        <v>0</v>
      </c>
      <c r="B6814" t="s">
        <v>2062</v>
      </c>
      <c r="C6814" t="s">
        <v>9710</v>
      </c>
      <c r="D6814" t="s">
        <v>18023</v>
      </c>
      <c r="E6814" t="s">
        <v>24147</v>
      </c>
      <c r="F6814" t="s">
        <v>31574</v>
      </c>
      <c r="G6814" t="s">
        <v>31581</v>
      </c>
      <c r="H6814" t="s">
        <v>31591</v>
      </c>
      <c r="I6814" t="s">
        <v>8822</v>
      </c>
      <c r="J6814" t="s">
        <v>36115</v>
      </c>
      <c r="K6814" t="s">
        <v>41186</v>
      </c>
      <c r="M6814" t="s">
        <v>43736</v>
      </c>
      <c r="N6814" t="s">
        <v>45095</v>
      </c>
      <c r="O6814" t="s">
        <v>45096</v>
      </c>
      <c r="P6814">
        <v>0</v>
      </c>
      <c r="Q6814">
        <v>0</v>
      </c>
      <c r="R6814" t="s">
        <v>45103</v>
      </c>
      <c r="S6814" t="s">
        <v>45270</v>
      </c>
      <c r="T6814" t="s">
        <v>47125</v>
      </c>
      <c r="U6814" t="s">
        <v>53184</v>
      </c>
      <c r="W6814" t="s">
        <v>43736</v>
      </c>
      <c r="X6814" t="s">
        <v>45105</v>
      </c>
    </row>
    <row r="6815" spans="1:24">
      <c r="A6815">
        <f>HYPERLINK("https://www.philgeps.gov.ph/GEPSNONPILOT/Tender/SplashBidNoticeAbstractUI.aspx?menuIndex=3&amp;refID=7034876&amp;Result=3","7034876")</f>
        <v>0</v>
      </c>
      <c r="B6815" t="s">
        <v>1229</v>
      </c>
      <c r="C6815" t="s">
        <v>9711</v>
      </c>
      <c r="D6815" t="s">
        <v>18022</v>
      </c>
      <c r="E6815" t="s">
        <v>24148</v>
      </c>
      <c r="F6815" t="s">
        <v>31574</v>
      </c>
      <c r="G6815" t="s">
        <v>31582</v>
      </c>
      <c r="H6815" t="s">
        <v>31590</v>
      </c>
      <c r="I6815" t="s">
        <v>3487</v>
      </c>
      <c r="J6815" t="s">
        <v>36116</v>
      </c>
      <c r="K6815" t="s">
        <v>41193</v>
      </c>
      <c r="M6815" t="s">
        <v>43730</v>
      </c>
      <c r="N6815" t="s">
        <v>45095</v>
      </c>
      <c r="O6815" t="s">
        <v>45096</v>
      </c>
      <c r="P6815">
        <v>0</v>
      </c>
      <c r="Q6815">
        <v>0</v>
      </c>
      <c r="R6815" t="s">
        <v>45103</v>
      </c>
      <c r="S6815" t="s">
        <v>45270</v>
      </c>
      <c r="T6815" t="s">
        <v>47010</v>
      </c>
      <c r="U6815" t="s">
        <v>53178</v>
      </c>
      <c r="W6815" t="s">
        <v>43730</v>
      </c>
      <c r="X6815" t="s">
        <v>45105</v>
      </c>
    </row>
    <row r="6816" spans="1:24">
      <c r="A6816">
        <f>HYPERLINK("https://www.philgeps.gov.ph/GEPSNONPILOT/Tender/SplashBidNoticeAbstractUI.aspx?menuIndex=3&amp;refID=7034888&amp;Result=3","7034888")</f>
        <v>0</v>
      </c>
      <c r="B6816" t="s">
        <v>1229</v>
      </c>
      <c r="C6816" t="s">
        <v>9712</v>
      </c>
      <c r="D6816" t="s">
        <v>18022</v>
      </c>
      <c r="E6816" t="s">
        <v>24149</v>
      </c>
      <c r="F6816" t="s">
        <v>31574</v>
      </c>
      <c r="G6816" t="s">
        <v>31582</v>
      </c>
      <c r="H6816" t="s">
        <v>31590</v>
      </c>
      <c r="I6816" t="s">
        <v>6800</v>
      </c>
      <c r="J6816" t="s">
        <v>36117</v>
      </c>
      <c r="K6816" t="s">
        <v>41193</v>
      </c>
      <c r="M6816" t="s">
        <v>43730</v>
      </c>
      <c r="N6816" t="s">
        <v>45095</v>
      </c>
      <c r="O6816" t="s">
        <v>45096</v>
      </c>
      <c r="P6816">
        <v>0</v>
      </c>
      <c r="Q6816">
        <v>3</v>
      </c>
      <c r="R6816" t="s">
        <v>45103</v>
      </c>
      <c r="S6816" t="s">
        <v>45270</v>
      </c>
      <c r="T6816" t="s">
        <v>47010</v>
      </c>
      <c r="U6816" t="s">
        <v>53163</v>
      </c>
      <c r="W6816" t="s">
        <v>43730</v>
      </c>
      <c r="X6816" t="s">
        <v>45105</v>
      </c>
    </row>
    <row r="6817" spans="1:24">
      <c r="A6817">
        <f>HYPERLINK("https://www.philgeps.gov.ph/GEPSNONPILOT/Tender/SplashBidNoticeAbstractUI.aspx?menuIndex=3&amp;refID=7034867&amp;Result=3","7034867")</f>
        <v>0</v>
      </c>
      <c r="B6817" t="s">
        <v>1229</v>
      </c>
      <c r="C6817" t="s">
        <v>9713</v>
      </c>
      <c r="D6817" t="s">
        <v>18022</v>
      </c>
      <c r="E6817" t="s">
        <v>24150</v>
      </c>
      <c r="F6817" t="s">
        <v>31574</v>
      </c>
      <c r="G6817" t="s">
        <v>31582</v>
      </c>
      <c r="H6817" t="s">
        <v>31590</v>
      </c>
      <c r="I6817" t="s">
        <v>3520</v>
      </c>
      <c r="J6817" t="s">
        <v>32076</v>
      </c>
      <c r="K6817" t="s">
        <v>41193</v>
      </c>
      <c r="M6817" t="s">
        <v>43730</v>
      </c>
      <c r="N6817" t="s">
        <v>45095</v>
      </c>
      <c r="O6817" t="s">
        <v>45096</v>
      </c>
      <c r="P6817">
        <v>0</v>
      </c>
      <c r="Q6817">
        <v>1</v>
      </c>
      <c r="R6817" t="s">
        <v>45103</v>
      </c>
      <c r="S6817" t="s">
        <v>45270</v>
      </c>
      <c r="T6817" t="s">
        <v>47010</v>
      </c>
      <c r="U6817" t="s">
        <v>53185</v>
      </c>
      <c r="W6817" t="s">
        <v>43730</v>
      </c>
      <c r="X6817" t="s">
        <v>45105</v>
      </c>
    </row>
    <row r="6818" spans="1:24">
      <c r="A6818">
        <f>HYPERLINK("https://www.philgeps.gov.ph/GEPSNONPILOT/Tender/SplashBidNoticeAbstractUI.aspx?menuIndex=3&amp;refID=7034989&amp;Result=3","7034989")</f>
        <v>0</v>
      </c>
      <c r="B6818" t="s">
        <v>2063</v>
      </c>
      <c r="C6818" t="s">
        <v>9714</v>
      </c>
      <c r="E6818" t="s">
        <v>24151</v>
      </c>
      <c r="F6818" t="s">
        <v>31574</v>
      </c>
      <c r="G6818" t="s">
        <v>31582</v>
      </c>
      <c r="H6818" t="s">
        <v>31590</v>
      </c>
      <c r="I6818" t="s">
        <v>31602</v>
      </c>
      <c r="J6818" t="s">
        <v>36118</v>
      </c>
      <c r="K6818" t="s">
        <v>41184</v>
      </c>
      <c r="M6818" t="s">
        <v>43737</v>
      </c>
      <c r="N6818" t="s">
        <v>45095</v>
      </c>
      <c r="O6818" t="s">
        <v>45096</v>
      </c>
      <c r="P6818">
        <v>0</v>
      </c>
      <c r="Q6818">
        <v>7</v>
      </c>
      <c r="R6818" t="s">
        <v>45103</v>
      </c>
      <c r="S6818" t="s">
        <v>45270</v>
      </c>
      <c r="T6818" t="s">
        <v>47305</v>
      </c>
      <c r="U6818" t="s">
        <v>53186</v>
      </c>
      <c r="W6818" t="s">
        <v>43737</v>
      </c>
      <c r="X6818" t="s">
        <v>45105</v>
      </c>
    </row>
    <row r="6819" spans="1:24">
      <c r="A6819">
        <f>HYPERLINK("https://www.philgeps.gov.ph/GEPSNONPILOT/Tender/SplashBidNoticeAbstractUI.aspx?menuIndex=3&amp;refID=7034845&amp;Result=3","7034845")</f>
        <v>0</v>
      </c>
      <c r="B6819" t="s">
        <v>1229</v>
      </c>
      <c r="C6819" t="s">
        <v>9715</v>
      </c>
      <c r="D6819" t="s">
        <v>18022</v>
      </c>
      <c r="E6819" t="s">
        <v>24152</v>
      </c>
      <c r="F6819" t="s">
        <v>31574</v>
      </c>
      <c r="G6819" t="s">
        <v>31582</v>
      </c>
      <c r="H6819" t="s">
        <v>31591</v>
      </c>
      <c r="I6819" t="s">
        <v>8822</v>
      </c>
      <c r="J6819" t="s">
        <v>36119</v>
      </c>
      <c r="K6819" t="s">
        <v>41189</v>
      </c>
      <c r="M6819" t="s">
        <v>43730</v>
      </c>
      <c r="N6819" t="s">
        <v>45095</v>
      </c>
      <c r="O6819" t="s">
        <v>45096</v>
      </c>
      <c r="P6819">
        <v>0</v>
      </c>
      <c r="Q6819">
        <v>1</v>
      </c>
      <c r="R6819" t="s">
        <v>45103</v>
      </c>
      <c r="S6819" t="s">
        <v>45270</v>
      </c>
      <c r="T6819" t="s">
        <v>47010</v>
      </c>
      <c r="U6819" t="s">
        <v>53187</v>
      </c>
      <c r="W6819" t="s">
        <v>43730</v>
      </c>
      <c r="X6819" t="s">
        <v>45105</v>
      </c>
    </row>
    <row r="6820" spans="1:24">
      <c r="A6820">
        <f>HYPERLINK("https://www.philgeps.gov.ph/GEPSNONPILOT/Tender/SplashBidNoticeAbstractUI.aspx?menuIndex=3&amp;refID=7034893&amp;Result=3","7034893")</f>
        <v>0</v>
      </c>
      <c r="B6820" t="s">
        <v>2064</v>
      </c>
      <c r="C6820" t="s">
        <v>9716</v>
      </c>
      <c r="D6820" t="s">
        <v>18072</v>
      </c>
      <c r="E6820" t="s">
        <v>24153</v>
      </c>
      <c r="F6820" t="s">
        <v>31574</v>
      </c>
      <c r="G6820" t="s">
        <v>31582</v>
      </c>
      <c r="H6820" t="s">
        <v>31590</v>
      </c>
      <c r="I6820" t="s">
        <v>4046</v>
      </c>
      <c r="J6820" t="s">
        <v>36120</v>
      </c>
      <c r="K6820" t="s">
        <v>41193</v>
      </c>
      <c r="M6820" t="s">
        <v>43738</v>
      </c>
      <c r="N6820" t="s">
        <v>45095</v>
      </c>
      <c r="O6820" t="s">
        <v>45096</v>
      </c>
      <c r="P6820">
        <v>0</v>
      </c>
      <c r="Q6820">
        <v>0</v>
      </c>
      <c r="R6820" t="s">
        <v>45103</v>
      </c>
      <c r="S6820" t="s">
        <v>45270</v>
      </c>
      <c r="T6820" t="s">
        <v>47076</v>
      </c>
      <c r="U6820" t="s">
        <v>47578</v>
      </c>
      <c r="W6820" t="s">
        <v>43738</v>
      </c>
      <c r="X6820" t="s">
        <v>45105</v>
      </c>
    </row>
    <row r="6821" spans="1:24">
      <c r="A6821">
        <f>HYPERLINK("https://www.philgeps.gov.ph/GEPSNONPILOT/Tender/SplashBidNoticeAbstractUI.aspx?menuIndex=3&amp;refID=7034820&amp;Result=3","7034820")</f>
        <v>0</v>
      </c>
      <c r="B6821" t="s">
        <v>1229</v>
      </c>
      <c r="C6821" t="s">
        <v>9717</v>
      </c>
      <c r="D6821" t="s">
        <v>18022</v>
      </c>
      <c r="E6821" t="s">
        <v>24154</v>
      </c>
      <c r="F6821" t="s">
        <v>31574</v>
      </c>
      <c r="G6821" t="s">
        <v>31582</v>
      </c>
      <c r="H6821" t="s">
        <v>31590</v>
      </c>
      <c r="I6821" t="s">
        <v>3487</v>
      </c>
      <c r="J6821" t="s">
        <v>33327</v>
      </c>
      <c r="K6821" t="s">
        <v>41193</v>
      </c>
      <c r="M6821" t="s">
        <v>43730</v>
      </c>
      <c r="N6821" t="s">
        <v>45095</v>
      </c>
      <c r="O6821" t="s">
        <v>45096</v>
      </c>
      <c r="P6821">
        <v>0</v>
      </c>
      <c r="Q6821">
        <v>0</v>
      </c>
      <c r="R6821" t="s">
        <v>45103</v>
      </c>
      <c r="S6821" t="s">
        <v>45270</v>
      </c>
      <c r="T6821" t="s">
        <v>47010</v>
      </c>
      <c r="U6821" t="s">
        <v>53178</v>
      </c>
      <c r="W6821" t="s">
        <v>43730</v>
      </c>
      <c r="X6821" t="s">
        <v>45105</v>
      </c>
    </row>
    <row r="6822" spans="1:24">
      <c r="A6822">
        <f>HYPERLINK("https://www.philgeps.gov.ph/GEPSNONPILOT/Tender/SplashBidNoticeAbstractUI.aspx?menuIndex=3&amp;refID=7034891&amp;Result=3","7034891")</f>
        <v>0</v>
      </c>
      <c r="B6822" t="s">
        <v>1229</v>
      </c>
      <c r="C6822" t="s">
        <v>9718</v>
      </c>
      <c r="D6822" t="s">
        <v>18022</v>
      </c>
      <c r="E6822" t="s">
        <v>24155</v>
      </c>
      <c r="F6822" t="s">
        <v>31574</v>
      </c>
      <c r="G6822" t="s">
        <v>31582</v>
      </c>
      <c r="H6822" t="s">
        <v>31590</v>
      </c>
      <c r="I6822" t="s">
        <v>6800</v>
      </c>
      <c r="J6822" t="s">
        <v>36121</v>
      </c>
      <c r="K6822" t="s">
        <v>41193</v>
      </c>
      <c r="M6822" t="s">
        <v>43730</v>
      </c>
      <c r="N6822" t="s">
        <v>45095</v>
      </c>
      <c r="O6822" t="s">
        <v>45096</v>
      </c>
      <c r="P6822">
        <v>0</v>
      </c>
      <c r="Q6822">
        <v>1</v>
      </c>
      <c r="R6822" t="s">
        <v>45103</v>
      </c>
      <c r="S6822" t="s">
        <v>45270</v>
      </c>
      <c r="T6822" t="s">
        <v>47010</v>
      </c>
      <c r="U6822" t="s">
        <v>53163</v>
      </c>
      <c r="W6822" t="s">
        <v>43730</v>
      </c>
      <c r="X6822" t="s">
        <v>45105</v>
      </c>
    </row>
    <row r="6823" spans="1:24">
      <c r="A6823">
        <f>HYPERLINK("https://www.philgeps.gov.ph/GEPSNONPILOT/Tender/SplashBidNoticeAbstractUI.aspx?menuIndex=3&amp;refID=7035182&amp;Result=3","7035182")</f>
        <v>0</v>
      </c>
      <c r="B6823" t="s">
        <v>1852</v>
      </c>
      <c r="C6823" t="s">
        <v>9719</v>
      </c>
      <c r="D6823" t="s">
        <v>18022</v>
      </c>
      <c r="E6823" t="s">
        <v>23254</v>
      </c>
      <c r="F6823" t="s">
        <v>31574</v>
      </c>
      <c r="G6823" t="s">
        <v>31582</v>
      </c>
      <c r="H6823" t="s">
        <v>31590</v>
      </c>
      <c r="I6823" t="s">
        <v>4046</v>
      </c>
      <c r="J6823" t="s">
        <v>36122</v>
      </c>
      <c r="K6823" t="s">
        <v>41186</v>
      </c>
      <c r="M6823" t="s">
        <v>43490</v>
      </c>
      <c r="N6823" t="s">
        <v>45095</v>
      </c>
      <c r="O6823" t="s">
        <v>45096</v>
      </c>
      <c r="Q6823">
        <v>1</v>
      </c>
      <c r="R6823" t="s">
        <v>45103</v>
      </c>
      <c r="S6823" t="s">
        <v>45273</v>
      </c>
      <c r="T6823" t="s">
        <v>46957</v>
      </c>
      <c r="U6823" t="s">
        <v>53188</v>
      </c>
      <c r="W6823" t="s">
        <v>43490</v>
      </c>
      <c r="X6823" t="s">
        <v>45105</v>
      </c>
    </row>
    <row r="6824" spans="1:24">
      <c r="A6824">
        <f>HYPERLINK("https://www.philgeps.gov.ph/GEPSNONPILOT/Tender/SplashBidNoticeAbstractUI.aspx?menuIndex=3&amp;refID=7035196&amp;Result=3","7035196")</f>
        <v>0</v>
      </c>
      <c r="B6824" t="s">
        <v>1682</v>
      </c>
      <c r="C6824" t="s">
        <v>9720</v>
      </c>
      <c r="D6824" t="s">
        <v>18064</v>
      </c>
      <c r="E6824" t="s">
        <v>24156</v>
      </c>
      <c r="F6824" t="s">
        <v>31574</v>
      </c>
      <c r="G6824" t="s">
        <v>31582</v>
      </c>
      <c r="H6824" t="s">
        <v>31591</v>
      </c>
      <c r="I6824" t="s">
        <v>8822</v>
      </c>
      <c r="J6824" t="s">
        <v>31727</v>
      </c>
      <c r="K6824" t="s">
        <v>41186</v>
      </c>
      <c r="M6824" t="s">
        <v>43295</v>
      </c>
      <c r="N6824" t="s">
        <v>45095</v>
      </c>
      <c r="O6824" t="s">
        <v>45096</v>
      </c>
      <c r="P6824">
        <v>0</v>
      </c>
      <c r="Q6824">
        <v>0</v>
      </c>
      <c r="R6824" t="s">
        <v>45103</v>
      </c>
      <c r="S6824" t="s">
        <v>45270</v>
      </c>
      <c r="T6824" t="s">
        <v>47114</v>
      </c>
      <c r="U6824" t="s">
        <v>53189</v>
      </c>
      <c r="W6824" t="s">
        <v>43295</v>
      </c>
      <c r="X6824" t="s">
        <v>45105</v>
      </c>
    </row>
    <row r="6825" spans="1:24">
      <c r="A6825">
        <f>HYPERLINK("https://www.philgeps.gov.ph/GEPSNONPILOT/Tender/SplashBidNoticeAbstractUI.aspx?menuIndex=3&amp;refID=7035086&amp;Result=3","7035086")</f>
        <v>0</v>
      </c>
      <c r="B6825" t="s">
        <v>1796</v>
      </c>
      <c r="C6825" t="s">
        <v>9721</v>
      </c>
      <c r="D6825" t="s">
        <v>18027</v>
      </c>
      <c r="E6825" t="s">
        <v>24157</v>
      </c>
      <c r="F6825" t="s">
        <v>31574</v>
      </c>
      <c r="G6825" t="s">
        <v>31582</v>
      </c>
      <c r="H6825" t="s">
        <v>31591</v>
      </c>
      <c r="I6825" t="s">
        <v>8822</v>
      </c>
      <c r="J6825" t="s">
        <v>32497</v>
      </c>
      <c r="K6825" t="s">
        <v>41192</v>
      </c>
      <c r="M6825" t="s">
        <v>43427</v>
      </c>
      <c r="N6825" t="s">
        <v>45095</v>
      </c>
      <c r="O6825" t="s">
        <v>45096</v>
      </c>
      <c r="P6825">
        <v>0</v>
      </c>
      <c r="Q6825">
        <v>0</v>
      </c>
      <c r="R6825" t="s">
        <v>45103</v>
      </c>
      <c r="S6825" t="s">
        <v>45270</v>
      </c>
      <c r="T6825" t="s">
        <v>47011</v>
      </c>
      <c r="U6825" t="s">
        <v>53190</v>
      </c>
      <c r="W6825" t="s">
        <v>43427</v>
      </c>
      <c r="X6825" t="s">
        <v>45105</v>
      </c>
    </row>
    <row r="6826" spans="1:24">
      <c r="A6826">
        <f>HYPERLINK("https://www.philgeps.gov.ph/GEPSNONPILOT/Tender/SplashBidNoticeAbstractUI.aspx?menuIndex=3&amp;refID=7035147&amp;Result=3","7035147")</f>
        <v>0</v>
      </c>
      <c r="B6826" t="s">
        <v>2065</v>
      </c>
      <c r="C6826" t="s">
        <v>9722</v>
      </c>
      <c r="D6826" t="s">
        <v>18094</v>
      </c>
      <c r="E6826" t="s">
        <v>24158</v>
      </c>
      <c r="F6826" t="s">
        <v>31574</v>
      </c>
      <c r="G6826" t="s">
        <v>31582</v>
      </c>
      <c r="H6826" t="s">
        <v>31592</v>
      </c>
      <c r="I6826" t="s">
        <v>31619</v>
      </c>
      <c r="J6826" t="s">
        <v>36123</v>
      </c>
      <c r="K6826" t="s">
        <v>41186</v>
      </c>
      <c r="M6826" t="s">
        <v>43739</v>
      </c>
      <c r="N6826" t="s">
        <v>45095</v>
      </c>
      <c r="O6826" t="s">
        <v>45096</v>
      </c>
      <c r="P6826">
        <v>0</v>
      </c>
      <c r="Q6826">
        <v>2</v>
      </c>
      <c r="R6826" t="s">
        <v>45103</v>
      </c>
      <c r="S6826" t="s">
        <v>45270</v>
      </c>
      <c r="T6826" t="s">
        <v>47151</v>
      </c>
      <c r="U6826" t="s">
        <v>53191</v>
      </c>
      <c r="V6826" t="s">
        <v>60590</v>
      </c>
      <c r="W6826" t="s">
        <v>43739</v>
      </c>
      <c r="X6826" t="s">
        <v>45105</v>
      </c>
    </row>
    <row r="6827" spans="1:24">
      <c r="A6827">
        <f>HYPERLINK("https://www.philgeps.gov.ph/GEPSNONPILOT/Tender/SplashBidNoticeAbstractUI.aspx?menuIndex=3&amp;refID=7035054&amp;Result=3","7035054")</f>
        <v>0</v>
      </c>
      <c r="B6827" t="s">
        <v>1796</v>
      </c>
      <c r="C6827" t="s">
        <v>9723</v>
      </c>
      <c r="D6827" t="s">
        <v>18027</v>
      </c>
      <c r="E6827" t="s">
        <v>24159</v>
      </c>
      <c r="F6827" t="s">
        <v>31574</v>
      </c>
      <c r="G6827" t="s">
        <v>31582</v>
      </c>
      <c r="H6827" t="s">
        <v>31591</v>
      </c>
      <c r="I6827" t="s">
        <v>8822</v>
      </c>
      <c r="J6827" t="s">
        <v>32026</v>
      </c>
      <c r="K6827" t="s">
        <v>41189</v>
      </c>
      <c r="M6827" t="s">
        <v>43427</v>
      </c>
      <c r="N6827" t="s">
        <v>45095</v>
      </c>
      <c r="O6827" t="s">
        <v>45096</v>
      </c>
      <c r="P6827">
        <v>0</v>
      </c>
      <c r="Q6827">
        <v>0</v>
      </c>
      <c r="R6827" t="s">
        <v>45103</v>
      </c>
      <c r="S6827" t="s">
        <v>45270</v>
      </c>
      <c r="T6827" t="s">
        <v>47011</v>
      </c>
      <c r="U6827" t="s">
        <v>53192</v>
      </c>
      <c r="W6827" t="s">
        <v>43427</v>
      </c>
      <c r="X6827" t="s">
        <v>45105</v>
      </c>
    </row>
    <row r="6828" spans="1:24">
      <c r="A6828">
        <f>HYPERLINK("https://www.philgeps.gov.ph/GEPSNONPILOT/Tender/SplashBidNoticeAbstractUI.aspx?menuIndex=3&amp;refID=7035057&amp;Result=3","7035057")</f>
        <v>0</v>
      </c>
      <c r="B6828" t="s">
        <v>1796</v>
      </c>
      <c r="C6828" t="s">
        <v>9724</v>
      </c>
      <c r="D6828" t="s">
        <v>18027</v>
      </c>
      <c r="E6828" t="s">
        <v>24160</v>
      </c>
      <c r="F6828" t="s">
        <v>31574</v>
      </c>
      <c r="G6828" t="s">
        <v>31582</v>
      </c>
      <c r="H6828" t="s">
        <v>31591</v>
      </c>
      <c r="I6828" t="s">
        <v>8822</v>
      </c>
      <c r="J6828" t="s">
        <v>32026</v>
      </c>
      <c r="K6828" t="s">
        <v>41189</v>
      </c>
      <c r="M6828" t="s">
        <v>43427</v>
      </c>
      <c r="N6828" t="s">
        <v>45095</v>
      </c>
      <c r="O6828" t="s">
        <v>45096</v>
      </c>
      <c r="P6828">
        <v>0</v>
      </c>
      <c r="Q6828">
        <v>0</v>
      </c>
      <c r="R6828" t="s">
        <v>45103</v>
      </c>
      <c r="S6828" t="s">
        <v>45270</v>
      </c>
      <c r="T6828" t="s">
        <v>47011</v>
      </c>
      <c r="U6828" t="s">
        <v>53193</v>
      </c>
      <c r="W6828" t="s">
        <v>43427</v>
      </c>
      <c r="X6828" t="s">
        <v>45105</v>
      </c>
    </row>
    <row r="6829" spans="1:24">
      <c r="A6829">
        <f>HYPERLINK("https://www.philgeps.gov.ph/GEPSNONPILOT/Tender/SplashBidNoticeAbstractUI.aspx?menuIndex=3&amp;refID=7035065&amp;Result=3","7035065")</f>
        <v>0</v>
      </c>
      <c r="B6829" t="s">
        <v>1796</v>
      </c>
      <c r="C6829" t="s">
        <v>9725</v>
      </c>
      <c r="D6829" t="s">
        <v>18027</v>
      </c>
      <c r="E6829" t="s">
        <v>24161</v>
      </c>
      <c r="F6829" t="s">
        <v>31574</v>
      </c>
      <c r="G6829" t="s">
        <v>31582</v>
      </c>
      <c r="H6829" t="s">
        <v>31591</v>
      </c>
      <c r="I6829" t="s">
        <v>8822</v>
      </c>
      <c r="J6829" t="s">
        <v>31935</v>
      </c>
      <c r="K6829" t="s">
        <v>41189</v>
      </c>
      <c r="M6829" t="s">
        <v>43427</v>
      </c>
      <c r="N6829" t="s">
        <v>45095</v>
      </c>
      <c r="O6829" t="s">
        <v>45096</v>
      </c>
      <c r="P6829">
        <v>0</v>
      </c>
      <c r="Q6829">
        <v>0</v>
      </c>
      <c r="R6829" t="s">
        <v>45103</v>
      </c>
      <c r="S6829" t="s">
        <v>45270</v>
      </c>
      <c r="T6829" t="s">
        <v>47011</v>
      </c>
      <c r="U6829" t="s">
        <v>53194</v>
      </c>
      <c r="W6829" t="s">
        <v>43427</v>
      </c>
      <c r="X6829" t="s">
        <v>45105</v>
      </c>
    </row>
    <row r="6830" spans="1:24">
      <c r="A6830">
        <f>HYPERLINK("https://www.philgeps.gov.ph/GEPSNONPILOT/Tender/SplashBidNoticeAbstractUI.aspx?menuIndex=3&amp;refID=7035223&amp;Result=3","7035223")</f>
        <v>0</v>
      </c>
      <c r="B6830" t="s">
        <v>1278</v>
      </c>
      <c r="C6830" t="s">
        <v>9726</v>
      </c>
      <c r="D6830" t="s">
        <v>18044</v>
      </c>
      <c r="E6830" t="s">
        <v>24162</v>
      </c>
      <c r="F6830" t="s">
        <v>31574</v>
      </c>
      <c r="G6830" t="s">
        <v>31582</v>
      </c>
      <c r="H6830" t="s">
        <v>31590</v>
      </c>
      <c r="I6830" t="s">
        <v>31640</v>
      </c>
      <c r="J6830" t="s">
        <v>36124</v>
      </c>
      <c r="K6830" t="s">
        <v>41186</v>
      </c>
      <c r="M6830" t="s">
        <v>42846</v>
      </c>
      <c r="N6830" t="s">
        <v>45095</v>
      </c>
      <c r="O6830" t="s">
        <v>45096</v>
      </c>
      <c r="P6830">
        <v>0</v>
      </c>
      <c r="Q6830">
        <v>7</v>
      </c>
      <c r="R6830" t="s">
        <v>45103</v>
      </c>
      <c r="S6830" t="s">
        <v>45270</v>
      </c>
      <c r="T6830" t="s">
        <v>46977</v>
      </c>
      <c r="U6830" t="s">
        <v>53195</v>
      </c>
      <c r="W6830" t="s">
        <v>42846</v>
      </c>
      <c r="X6830" t="s">
        <v>45105</v>
      </c>
    </row>
    <row r="6831" spans="1:24">
      <c r="A6831">
        <f>HYPERLINK("https://www.philgeps.gov.ph/GEPSNONPILOT/Tender/SplashBidNoticeAbstractUI.aspx?menuIndex=3&amp;refID=7035068&amp;Result=3","7035068")</f>
        <v>0</v>
      </c>
      <c r="B6831" t="s">
        <v>1796</v>
      </c>
      <c r="C6831" t="s">
        <v>9727</v>
      </c>
      <c r="D6831" t="s">
        <v>18027</v>
      </c>
      <c r="E6831" t="s">
        <v>24163</v>
      </c>
      <c r="F6831" t="s">
        <v>31574</v>
      </c>
      <c r="G6831" t="s">
        <v>31582</v>
      </c>
      <c r="H6831" t="s">
        <v>31591</v>
      </c>
      <c r="I6831" t="s">
        <v>8822</v>
      </c>
      <c r="J6831" t="s">
        <v>32026</v>
      </c>
      <c r="K6831" t="s">
        <v>41189</v>
      </c>
      <c r="M6831" t="s">
        <v>43427</v>
      </c>
      <c r="N6831" t="s">
        <v>45095</v>
      </c>
      <c r="O6831" t="s">
        <v>45096</v>
      </c>
      <c r="P6831">
        <v>0</v>
      </c>
      <c r="Q6831">
        <v>0</v>
      </c>
      <c r="R6831" t="s">
        <v>45103</v>
      </c>
      <c r="S6831" t="s">
        <v>45270</v>
      </c>
      <c r="T6831" t="s">
        <v>47011</v>
      </c>
      <c r="U6831" t="s">
        <v>53196</v>
      </c>
      <c r="W6831" t="s">
        <v>43427</v>
      </c>
      <c r="X6831" t="s">
        <v>45105</v>
      </c>
    </row>
    <row r="6832" spans="1:24">
      <c r="A6832">
        <f>HYPERLINK("https://www.philgeps.gov.ph/GEPSNONPILOT/Tender/SplashBidNoticeAbstractUI.aspx?menuIndex=3&amp;refID=7035225&amp;Result=3","7035225")</f>
        <v>0</v>
      </c>
      <c r="B6832" t="s">
        <v>1278</v>
      </c>
      <c r="C6832" t="s">
        <v>9728</v>
      </c>
      <c r="D6832" t="s">
        <v>18044</v>
      </c>
      <c r="E6832" t="s">
        <v>24164</v>
      </c>
      <c r="F6832" t="s">
        <v>31574</v>
      </c>
      <c r="G6832" t="s">
        <v>31582</v>
      </c>
      <c r="H6832" t="s">
        <v>31590</v>
      </c>
      <c r="I6832" t="s">
        <v>31620</v>
      </c>
      <c r="J6832" t="s">
        <v>32026</v>
      </c>
      <c r="K6832" t="s">
        <v>41193</v>
      </c>
      <c r="M6832" t="s">
        <v>42846</v>
      </c>
      <c r="N6832" t="s">
        <v>45095</v>
      </c>
      <c r="O6832" t="s">
        <v>45096</v>
      </c>
      <c r="P6832">
        <v>0</v>
      </c>
      <c r="Q6832">
        <v>8</v>
      </c>
      <c r="R6832" t="s">
        <v>45103</v>
      </c>
      <c r="S6832" t="s">
        <v>45270</v>
      </c>
      <c r="T6832" t="s">
        <v>46977</v>
      </c>
      <c r="U6832" t="s">
        <v>53197</v>
      </c>
      <c r="W6832" t="s">
        <v>42846</v>
      </c>
      <c r="X6832" t="s">
        <v>45105</v>
      </c>
    </row>
    <row r="6833" spans="1:24">
      <c r="A6833">
        <f>HYPERLINK("https://www.philgeps.gov.ph/GEPSNONPILOT/Tender/SplashBidNoticeAbstractUI.aspx?menuIndex=3&amp;refID=7035073&amp;Result=3","7035073")</f>
        <v>0</v>
      </c>
      <c r="B6833" t="s">
        <v>1796</v>
      </c>
      <c r="C6833" t="s">
        <v>9729</v>
      </c>
      <c r="D6833" t="s">
        <v>18027</v>
      </c>
      <c r="E6833" t="s">
        <v>24165</v>
      </c>
      <c r="F6833" t="s">
        <v>31574</v>
      </c>
      <c r="G6833" t="s">
        <v>31582</v>
      </c>
      <c r="H6833" t="s">
        <v>31591</v>
      </c>
      <c r="I6833" t="s">
        <v>8822</v>
      </c>
      <c r="J6833" t="s">
        <v>31935</v>
      </c>
      <c r="K6833" t="s">
        <v>41189</v>
      </c>
      <c r="M6833" t="s">
        <v>43427</v>
      </c>
      <c r="N6833" t="s">
        <v>45095</v>
      </c>
      <c r="O6833" t="s">
        <v>45096</v>
      </c>
      <c r="P6833">
        <v>0</v>
      </c>
      <c r="Q6833">
        <v>0</v>
      </c>
      <c r="R6833" t="s">
        <v>45103</v>
      </c>
      <c r="S6833" t="s">
        <v>45270</v>
      </c>
      <c r="T6833" t="s">
        <v>47011</v>
      </c>
      <c r="U6833" t="s">
        <v>53198</v>
      </c>
      <c r="W6833" t="s">
        <v>43427</v>
      </c>
      <c r="X6833" t="s">
        <v>45105</v>
      </c>
    </row>
    <row r="6834" spans="1:24">
      <c r="A6834">
        <f>HYPERLINK("https://www.philgeps.gov.ph/GEPSNONPILOT/Tender/SplashBidNoticeAbstractUI.aspx?menuIndex=3&amp;refID=7035216&amp;Result=3","7035216")</f>
        <v>0</v>
      </c>
      <c r="B6834" t="s">
        <v>1278</v>
      </c>
      <c r="C6834" t="s">
        <v>9730</v>
      </c>
      <c r="D6834" t="s">
        <v>18044</v>
      </c>
      <c r="E6834" t="s">
        <v>24166</v>
      </c>
      <c r="F6834" t="s">
        <v>31574</v>
      </c>
      <c r="G6834" t="s">
        <v>31582</v>
      </c>
      <c r="H6834" t="s">
        <v>31590</v>
      </c>
      <c r="I6834" t="s">
        <v>3487</v>
      </c>
      <c r="J6834" t="s">
        <v>36125</v>
      </c>
      <c r="K6834" t="s">
        <v>41206</v>
      </c>
      <c r="M6834" t="s">
        <v>42846</v>
      </c>
      <c r="N6834" t="s">
        <v>45095</v>
      </c>
      <c r="O6834" t="s">
        <v>45096</v>
      </c>
      <c r="P6834">
        <v>0</v>
      </c>
      <c r="Q6834">
        <v>3</v>
      </c>
      <c r="R6834" t="s">
        <v>45103</v>
      </c>
      <c r="S6834" t="s">
        <v>45270</v>
      </c>
      <c r="T6834" t="s">
        <v>46977</v>
      </c>
      <c r="U6834" t="s">
        <v>53199</v>
      </c>
      <c r="W6834" t="s">
        <v>42846</v>
      </c>
      <c r="X6834" t="s">
        <v>45105</v>
      </c>
    </row>
    <row r="6835" spans="1:24">
      <c r="A6835">
        <f>HYPERLINK("https://www.philgeps.gov.ph/GEPSNONPILOT/Tender/SplashBidNoticeAbstractUI.aspx?menuIndex=3&amp;refID=7035239&amp;Result=3","7035239")</f>
        <v>0</v>
      </c>
      <c r="B6835" t="s">
        <v>1278</v>
      </c>
      <c r="C6835" t="s">
        <v>9731</v>
      </c>
      <c r="D6835" t="s">
        <v>18044</v>
      </c>
      <c r="E6835" t="s">
        <v>24167</v>
      </c>
      <c r="F6835" t="s">
        <v>31574</v>
      </c>
      <c r="G6835" t="s">
        <v>31582</v>
      </c>
      <c r="H6835" t="s">
        <v>31590</v>
      </c>
      <c r="I6835" t="s">
        <v>31599</v>
      </c>
      <c r="J6835" t="s">
        <v>36126</v>
      </c>
      <c r="K6835" t="s">
        <v>41194</v>
      </c>
      <c r="M6835" t="s">
        <v>42846</v>
      </c>
      <c r="N6835" t="s">
        <v>45095</v>
      </c>
      <c r="O6835" t="s">
        <v>45096</v>
      </c>
      <c r="P6835">
        <v>0</v>
      </c>
      <c r="Q6835">
        <v>0</v>
      </c>
      <c r="R6835" t="s">
        <v>45103</v>
      </c>
      <c r="S6835" t="s">
        <v>45270</v>
      </c>
      <c r="T6835" t="s">
        <v>46977</v>
      </c>
      <c r="U6835" t="s">
        <v>53200</v>
      </c>
      <c r="W6835" t="s">
        <v>42846</v>
      </c>
      <c r="X6835" t="s">
        <v>45105</v>
      </c>
    </row>
    <row r="6836" spans="1:24">
      <c r="A6836">
        <f>HYPERLINK("https://www.philgeps.gov.ph/GEPSNONPILOT/Tender/SplashBidNoticeAbstractUI.aspx?menuIndex=3&amp;refID=7035249&amp;Result=3","7035249")</f>
        <v>0</v>
      </c>
      <c r="B6836" t="s">
        <v>1278</v>
      </c>
      <c r="C6836" t="s">
        <v>9732</v>
      </c>
      <c r="D6836" t="s">
        <v>18044</v>
      </c>
      <c r="E6836" t="s">
        <v>24168</v>
      </c>
      <c r="F6836" t="s">
        <v>31574</v>
      </c>
      <c r="G6836" t="s">
        <v>31582</v>
      </c>
      <c r="H6836" t="s">
        <v>31590</v>
      </c>
      <c r="I6836" t="s">
        <v>7185</v>
      </c>
      <c r="J6836" t="s">
        <v>36127</v>
      </c>
      <c r="K6836" t="s">
        <v>41193</v>
      </c>
      <c r="M6836" t="s">
        <v>42846</v>
      </c>
      <c r="N6836" t="s">
        <v>45095</v>
      </c>
      <c r="O6836" t="s">
        <v>45096</v>
      </c>
      <c r="P6836">
        <v>0</v>
      </c>
      <c r="Q6836">
        <v>6</v>
      </c>
      <c r="R6836" t="s">
        <v>45103</v>
      </c>
      <c r="S6836" t="s">
        <v>45270</v>
      </c>
      <c r="T6836" t="s">
        <v>46977</v>
      </c>
      <c r="U6836" t="s">
        <v>53201</v>
      </c>
      <c r="W6836" t="s">
        <v>42846</v>
      </c>
      <c r="X6836" t="s">
        <v>45105</v>
      </c>
    </row>
    <row r="6837" spans="1:24">
      <c r="A6837">
        <f>HYPERLINK("https://www.philgeps.gov.ph/GEPSNONPILOT/Tender/SplashBidNoticeAbstractUI.aspx?menuIndex=3&amp;refID=7035246&amp;Result=3","7035246")</f>
        <v>0</v>
      </c>
      <c r="B6837" t="s">
        <v>942</v>
      </c>
      <c r="C6837" t="s">
        <v>9733</v>
      </c>
      <c r="D6837" t="s">
        <v>18036</v>
      </c>
      <c r="E6837" t="s">
        <v>24169</v>
      </c>
      <c r="F6837" t="s">
        <v>31574</v>
      </c>
      <c r="G6837" t="s">
        <v>31581</v>
      </c>
      <c r="H6837" t="s">
        <v>31590</v>
      </c>
      <c r="I6837" t="s">
        <v>4046</v>
      </c>
      <c r="J6837" t="s">
        <v>36128</v>
      </c>
      <c r="K6837" t="s">
        <v>41186</v>
      </c>
      <c r="M6837" t="s">
        <v>42469</v>
      </c>
      <c r="N6837" t="s">
        <v>45095</v>
      </c>
      <c r="O6837" t="s">
        <v>45096</v>
      </c>
      <c r="P6837">
        <v>0</v>
      </c>
      <c r="Q6837">
        <v>0</v>
      </c>
      <c r="R6837" t="s">
        <v>45103</v>
      </c>
      <c r="S6837" t="s">
        <v>45270</v>
      </c>
      <c r="T6837" t="s">
        <v>47171</v>
      </c>
      <c r="U6837" t="s">
        <v>53202</v>
      </c>
      <c r="W6837" t="s">
        <v>42469</v>
      </c>
      <c r="X6837" t="s">
        <v>45105</v>
      </c>
    </row>
    <row r="6838" spans="1:24">
      <c r="A6838">
        <f>HYPERLINK("https://www.philgeps.gov.ph/GEPSNONPILOT/Tender/SplashBidNoticeAbstractUI.aspx?menuIndex=3&amp;refID=7035228&amp;Result=3","7035228")</f>
        <v>0</v>
      </c>
      <c r="B6838" t="s">
        <v>1278</v>
      </c>
      <c r="C6838" t="s">
        <v>9734</v>
      </c>
      <c r="D6838" t="s">
        <v>18044</v>
      </c>
      <c r="E6838" t="s">
        <v>24170</v>
      </c>
      <c r="F6838" t="s">
        <v>31574</v>
      </c>
      <c r="G6838" t="s">
        <v>31582</v>
      </c>
      <c r="H6838" t="s">
        <v>31590</v>
      </c>
      <c r="I6838" t="s">
        <v>31620</v>
      </c>
      <c r="J6838" t="s">
        <v>36129</v>
      </c>
      <c r="K6838" t="s">
        <v>41193</v>
      </c>
      <c r="M6838" t="s">
        <v>42846</v>
      </c>
      <c r="N6838" t="s">
        <v>45095</v>
      </c>
      <c r="O6838" t="s">
        <v>45096</v>
      </c>
      <c r="P6838">
        <v>0</v>
      </c>
      <c r="Q6838">
        <v>4</v>
      </c>
      <c r="R6838" t="s">
        <v>45103</v>
      </c>
      <c r="S6838" t="s">
        <v>45270</v>
      </c>
      <c r="T6838" t="s">
        <v>46977</v>
      </c>
      <c r="U6838" t="s">
        <v>53203</v>
      </c>
      <c r="W6838" t="s">
        <v>42846</v>
      </c>
      <c r="X6838" t="s">
        <v>45105</v>
      </c>
    </row>
    <row r="6839" spans="1:24">
      <c r="A6839">
        <f>HYPERLINK("https://www.philgeps.gov.ph/GEPSNONPILOT/Tender/SplashBidNoticeAbstractUI.aspx?menuIndex=3&amp;refID=7035233&amp;Result=3","7035233")</f>
        <v>0</v>
      </c>
      <c r="B6839" t="s">
        <v>1278</v>
      </c>
      <c r="C6839" t="s">
        <v>9735</v>
      </c>
      <c r="D6839" t="s">
        <v>18044</v>
      </c>
      <c r="E6839" t="s">
        <v>24171</v>
      </c>
      <c r="F6839" t="s">
        <v>31574</v>
      </c>
      <c r="G6839" t="s">
        <v>31582</v>
      </c>
      <c r="H6839" t="s">
        <v>31590</v>
      </c>
      <c r="I6839" t="s">
        <v>3487</v>
      </c>
      <c r="J6839" t="s">
        <v>36130</v>
      </c>
      <c r="K6839" t="s">
        <v>41194</v>
      </c>
      <c r="M6839" t="s">
        <v>42846</v>
      </c>
      <c r="N6839" t="s">
        <v>45095</v>
      </c>
      <c r="O6839" t="s">
        <v>45096</v>
      </c>
      <c r="P6839">
        <v>0</v>
      </c>
      <c r="Q6839">
        <v>6</v>
      </c>
      <c r="R6839" t="s">
        <v>45103</v>
      </c>
      <c r="S6839" t="s">
        <v>45270</v>
      </c>
      <c r="T6839" t="s">
        <v>46977</v>
      </c>
      <c r="U6839" t="s">
        <v>53204</v>
      </c>
      <c r="W6839" t="s">
        <v>42846</v>
      </c>
      <c r="X6839" t="s">
        <v>45105</v>
      </c>
    </row>
    <row r="6840" spans="1:24">
      <c r="A6840">
        <f>HYPERLINK("https://www.philgeps.gov.ph/GEPSNONPILOT/Tender/SplashBidNoticeAbstractUI.aspx?menuIndex=3&amp;refID=7035079&amp;Result=3","7035079")</f>
        <v>0</v>
      </c>
      <c r="B6840" t="s">
        <v>1796</v>
      </c>
      <c r="C6840" t="s">
        <v>9736</v>
      </c>
      <c r="D6840" t="s">
        <v>18027</v>
      </c>
      <c r="E6840" t="s">
        <v>24172</v>
      </c>
      <c r="F6840" t="s">
        <v>31574</v>
      </c>
      <c r="G6840" t="s">
        <v>31582</v>
      </c>
      <c r="H6840" t="s">
        <v>31591</v>
      </c>
      <c r="I6840" t="s">
        <v>8822</v>
      </c>
      <c r="J6840" t="s">
        <v>32019</v>
      </c>
      <c r="K6840" t="s">
        <v>41192</v>
      </c>
      <c r="M6840" t="s">
        <v>43427</v>
      </c>
      <c r="N6840" t="s">
        <v>45095</v>
      </c>
      <c r="O6840" t="s">
        <v>45096</v>
      </c>
      <c r="P6840">
        <v>0</v>
      </c>
      <c r="Q6840">
        <v>0</v>
      </c>
      <c r="R6840" t="s">
        <v>45103</v>
      </c>
      <c r="S6840" t="s">
        <v>45270</v>
      </c>
      <c r="T6840" t="s">
        <v>47011</v>
      </c>
      <c r="U6840" t="s">
        <v>53205</v>
      </c>
      <c r="W6840" t="s">
        <v>43427</v>
      </c>
      <c r="X6840" t="s">
        <v>45105</v>
      </c>
    </row>
    <row r="6841" spans="1:24">
      <c r="A6841">
        <f>HYPERLINK("https://www.philgeps.gov.ph/GEPSNONPILOT/Tender/SplashBidNoticeAbstractUI.aspx?menuIndex=3&amp;refID=7035253&amp;Result=3","7035253")</f>
        <v>0</v>
      </c>
      <c r="B6841" t="s">
        <v>1278</v>
      </c>
      <c r="C6841" t="s">
        <v>9737</v>
      </c>
      <c r="D6841" t="s">
        <v>18044</v>
      </c>
      <c r="E6841" t="s">
        <v>24173</v>
      </c>
      <c r="F6841" t="s">
        <v>31574</v>
      </c>
      <c r="G6841" t="s">
        <v>31582</v>
      </c>
      <c r="H6841" t="s">
        <v>31591</v>
      </c>
      <c r="I6841" t="s">
        <v>8822</v>
      </c>
      <c r="J6841" t="s">
        <v>36131</v>
      </c>
      <c r="K6841" t="s">
        <v>41186</v>
      </c>
      <c r="M6841" t="s">
        <v>42846</v>
      </c>
      <c r="N6841" t="s">
        <v>45095</v>
      </c>
      <c r="O6841" t="s">
        <v>45096</v>
      </c>
      <c r="P6841">
        <v>0</v>
      </c>
      <c r="Q6841">
        <v>1</v>
      </c>
      <c r="R6841" t="s">
        <v>45103</v>
      </c>
      <c r="S6841" t="s">
        <v>45270</v>
      </c>
      <c r="T6841" t="s">
        <v>46977</v>
      </c>
      <c r="U6841" t="s">
        <v>53206</v>
      </c>
      <c r="W6841" t="s">
        <v>42846</v>
      </c>
      <c r="X6841" t="s">
        <v>45105</v>
      </c>
    </row>
    <row r="6842" spans="1:24">
      <c r="A6842">
        <f>HYPERLINK("https://www.philgeps.gov.ph/GEPSNONPILOT/Tender/SplashBidNoticeAbstractUI.aspx?menuIndex=3&amp;refID=7035257&amp;Result=3","7035257")</f>
        <v>0</v>
      </c>
      <c r="B6842" t="s">
        <v>1278</v>
      </c>
      <c r="C6842" t="s">
        <v>9738</v>
      </c>
      <c r="D6842" t="s">
        <v>18044</v>
      </c>
      <c r="E6842" t="s">
        <v>24174</v>
      </c>
      <c r="F6842" t="s">
        <v>31574</v>
      </c>
      <c r="G6842" t="s">
        <v>31582</v>
      </c>
      <c r="H6842" t="s">
        <v>31591</v>
      </c>
      <c r="I6842" t="s">
        <v>8822</v>
      </c>
      <c r="J6842" t="s">
        <v>36132</v>
      </c>
      <c r="K6842" t="s">
        <v>41243</v>
      </c>
      <c r="M6842" t="s">
        <v>42846</v>
      </c>
      <c r="N6842" t="s">
        <v>45095</v>
      </c>
      <c r="O6842" t="s">
        <v>45096</v>
      </c>
      <c r="P6842">
        <v>0</v>
      </c>
      <c r="Q6842">
        <v>0</v>
      </c>
      <c r="R6842" t="s">
        <v>45103</v>
      </c>
      <c r="S6842" t="s">
        <v>45270</v>
      </c>
      <c r="T6842" t="s">
        <v>46977</v>
      </c>
      <c r="U6842" t="s">
        <v>53207</v>
      </c>
      <c r="W6842" t="s">
        <v>42846</v>
      </c>
      <c r="X6842" t="s">
        <v>45105</v>
      </c>
    </row>
    <row r="6843" spans="1:24">
      <c r="A6843">
        <f>HYPERLINK("https://www.philgeps.gov.ph/GEPSNONPILOT/Tender/SplashBidNoticeAbstractUI.aspx?menuIndex=3&amp;refID=7035094&amp;Result=3","7035094")</f>
        <v>0</v>
      </c>
      <c r="B6843" t="s">
        <v>1796</v>
      </c>
      <c r="C6843" t="s">
        <v>9739</v>
      </c>
      <c r="D6843" t="s">
        <v>18027</v>
      </c>
      <c r="E6843" t="s">
        <v>24175</v>
      </c>
      <c r="F6843" t="s">
        <v>31574</v>
      </c>
      <c r="G6843" t="s">
        <v>31582</v>
      </c>
      <c r="H6843" t="s">
        <v>31591</v>
      </c>
      <c r="I6843" t="s">
        <v>8822</v>
      </c>
      <c r="J6843" t="s">
        <v>32019</v>
      </c>
      <c r="K6843" t="s">
        <v>41192</v>
      </c>
      <c r="M6843" t="s">
        <v>43427</v>
      </c>
      <c r="N6843" t="s">
        <v>45095</v>
      </c>
      <c r="O6843" t="s">
        <v>45096</v>
      </c>
      <c r="P6843">
        <v>0</v>
      </c>
      <c r="Q6843">
        <v>0</v>
      </c>
      <c r="R6843" t="s">
        <v>45103</v>
      </c>
      <c r="S6843" t="s">
        <v>45270</v>
      </c>
      <c r="T6843" t="s">
        <v>47011</v>
      </c>
      <c r="U6843" t="s">
        <v>53208</v>
      </c>
      <c r="W6843" t="s">
        <v>43427</v>
      </c>
      <c r="X6843" t="s">
        <v>45105</v>
      </c>
    </row>
    <row r="6844" spans="1:24">
      <c r="A6844">
        <f>HYPERLINK("https://www.philgeps.gov.ph/GEPSNONPILOT/Tender/SplashBidNoticeAbstractUI.aspx?menuIndex=3&amp;refID=7035280&amp;Result=3","7035280")</f>
        <v>0</v>
      </c>
      <c r="B6844" t="s">
        <v>1316</v>
      </c>
      <c r="C6844" t="s">
        <v>9740</v>
      </c>
      <c r="D6844" t="s">
        <v>18084</v>
      </c>
      <c r="E6844" t="s">
        <v>24176</v>
      </c>
      <c r="F6844" t="s">
        <v>31574</v>
      </c>
      <c r="G6844" t="s">
        <v>31582</v>
      </c>
      <c r="H6844" t="s">
        <v>31590</v>
      </c>
      <c r="I6844" t="s">
        <v>3487</v>
      </c>
      <c r="J6844" t="s">
        <v>36133</v>
      </c>
      <c r="K6844" t="s">
        <v>41193</v>
      </c>
      <c r="M6844" t="s">
        <v>42886</v>
      </c>
      <c r="N6844" t="s">
        <v>45095</v>
      </c>
      <c r="O6844" t="s">
        <v>45096</v>
      </c>
      <c r="P6844">
        <v>0</v>
      </c>
      <c r="Q6844">
        <v>2</v>
      </c>
      <c r="R6844" t="s">
        <v>45103</v>
      </c>
      <c r="S6844" t="s">
        <v>45270</v>
      </c>
      <c r="T6844" t="s">
        <v>47067</v>
      </c>
      <c r="U6844" t="s">
        <v>53209</v>
      </c>
      <c r="W6844" t="s">
        <v>42886</v>
      </c>
      <c r="X6844" t="s">
        <v>45104</v>
      </c>
    </row>
    <row r="6845" spans="1:24">
      <c r="A6845">
        <f>HYPERLINK("https://www.philgeps.gov.ph/GEPSNONPILOT/Tender/SplashBidNoticeAbstractUI.aspx?menuIndex=3&amp;refID=7035270&amp;Result=3","7035270")</f>
        <v>0</v>
      </c>
      <c r="B6845" t="s">
        <v>1278</v>
      </c>
      <c r="C6845" t="s">
        <v>9741</v>
      </c>
      <c r="D6845" t="s">
        <v>18044</v>
      </c>
      <c r="E6845" t="s">
        <v>23838</v>
      </c>
      <c r="F6845" t="s">
        <v>31574</v>
      </c>
      <c r="G6845" t="s">
        <v>31582</v>
      </c>
      <c r="H6845" t="s">
        <v>31591</v>
      </c>
      <c r="I6845" t="s">
        <v>8822</v>
      </c>
      <c r="J6845" t="s">
        <v>36134</v>
      </c>
      <c r="K6845" t="s">
        <v>41189</v>
      </c>
      <c r="M6845" t="s">
        <v>42846</v>
      </c>
      <c r="N6845" t="s">
        <v>45095</v>
      </c>
      <c r="O6845" t="s">
        <v>45096</v>
      </c>
      <c r="P6845">
        <v>0</v>
      </c>
      <c r="Q6845">
        <v>0</v>
      </c>
      <c r="R6845" t="s">
        <v>45103</v>
      </c>
      <c r="S6845" t="s">
        <v>45270</v>
      </c>
      <c r="T6845" t="s">
        <v>46977</v>
      </c>
      <c r="U6845" t="s">
        <v>53210</v>
      </c>
      <c r="W6845" t="s">
        <v>42846</v>
      </c>
      <c r="X6845" t="s">
        <v>45105</v>
      </c>
    </row>
    <row r="6846" spans="1:24">
      <c r="A6846">
        <f>HYPERLINK("https://www.philgeps.gov.ph/GEPSNONPILOT/Tender/SplashBidNoticeAbstractUI.aspx?menuIndex=3&amp;refID=7035277&amp;Result=3","7035277")</f>
        <v>0</v>
      </c>
      <c r="B6846" t="s">
        <v>942</v>
      </c>
      <c r="C6846" t="s">
        <v>9742</v>
      </c>
      <c r="D6846" t="s">
        <v>18036</v>
      </c>
      <c r="E6846" t="s">
        <v>24177</v>
      </c>
      <c r="F6846" t="s">
        <v>31574</v>
      </c>
      <c r="G6846" t="s">
        <v>31581</v>
      </c>
      <c r="H6846" t="s">
        <v>31590</v>
      </c>
      <c r="I6846" t="s">
        <v>7162</v>
      </c>
      <c r="J6846" t="s">
        <v>31957</v>
      </c>
      <c r="K6846" t="s">
        <v>41186</v>
      </c>
      <c r="M6846" t="s">
        <v>42469</v>
      </c>
      <c r="N6846" t="s">
        <v>45095</v>
      </c>
      <c r="O6846" t="s">
        <v>45096</v>
      </c>
      <c r="P6846">
        <v>0</v>
      </c>
      <c r="Q6846">
        <v>0</v>
      </c>
      <c r="R6846" t="s">
        <v>45103</v>
      </c>
      <c r="S6846" t="s">
        <v>45270</v>
      </c>
      <c r="T6846" t="s">
        <v>47171</v>
      </c>
      <c r="U6846" t="s">
        <v>53211</v>
      </c>
      <c r="W6846" t="s">
        <v>42469</v>
      </c>
      <c r="X6846" t="s">
        <v>45105</v>
      </c>
    </row>
    <row r="6847" spans="1:24">
      <c r="A6847">
        <f>HYPERLINK("https://www.philgeps.gov.ph/GEPSNONPILOT/Tender/SplashBidNoticeAbstractUI.aspx?menuIndex=3&amp;refID=7035298&amp;Result=3","7035298")</f>
        <v>0</v>
      </c>
      <c r="B6847" t="s">
        <v>2014</v>
      </c>
      <c r="C6847" t="s">
        <v>9743</v>
      </c>
      <c r="D6847" t="s">
        <v>18079</v>
      </c>
      <c r="E6847" t="s">
        <v>24178</v>
      </c>
      <c r="F6847" t="s">
        <v>31574</v>
      </c>
      <c r="G6847" t="s">
        <v>31582</v>
      </c>
      <c r="H6847" t="s">
        <v>31591</v>
      </c>
      <c r="I6847" t="s">
        <v>8822</v>
      </c>
      <c r="J6847" t="s">
        <v>33574</v>
      </c>
      <c r="K6847" t="s">
        <v>41192</v>
      </c>
      <c r="M6847" t="s">
        <v>43676</v>
      </c>
      <c r="N6847" t="s">
        <v>45095</v>
      </c>
      <c r="O6847" t="s">
        <v>45096</v>
      </c>
      <c r="P6847">
        <v>0</v>
      </c>
      <c r="Q6847">
        <v>1</v>
      </c>
      <c r="R6847" t="s">
        <v>45103</v>
      </c>
      <c r="S6847" t="s">
        <v>45270</v>
      </c>
      <c r="T6847" t="s">
        <v>47000</v>
      </c>
      <c r="U6847" t="s">
        <v>53212</v>
      </c>
      <c r="V6847" t="s">
        <v>60560</v>
      </c>
      <c r="W6847" t="s">
        <v>43676</v>
      </c>
      <c r="X6847" t="s">
        <v>45104</v>
      </c>
    </row>
    <row r="6848" spans="1:24">
      <c r="A6848">
        <f>HYPERLINK("https://www.philgeps.gov.ph/GEPSNONPILOT/Tender/SplashBidNoticeAbstractUI.aspx?menuIndex=3&amp;refID=7035296&amp;Result=3","7035296")</f>
        <v>0</v>
      </c>
      <c r="B6848" t="s">
        <v>2014</v>
      </c>
      <c r="C6848" t="s">
        <v>9744</v>
      </c>
      <c r="D6848" t="s">
        <v>18079</v>
      </c>
      <c r="E6848" t="s">
        <v>24179</v>
      </c>
      <c r="F6848" t="s">
        <v>31574</v>
      </c>
      <c r="G6848" t="s">
        <v>31582</v>
      </c>
      <c r="H6848" t="s">
        <v>31591</v>
      </c>
      <c r="I6848" t="s">
        <v>8822</v>
      </c>
      <c r="J6848" t="s">
        <v>36135</v>
      </c>
      <c r="K6848" t="s">
        <v>41352</v>
      </c>
      <c r="M6848" t="s">
        <v>43676</v>
      </c>
      <c r="N6848" t="s">
        <v>45095</v>
      </c>
      <c r="O6848" t="s">
        <v>45096</v>
      </c>
      <c r="P6848">
        <v>0</v>
      </c>
      <c r="Q6848">
        <v>1</v>
      </c>
      <c r="R6848" t="s">
        <v>45103</v>
      </c>
      <c r="S6848" t="s">
        <v>45270</v>
      </c>
      <c r="T6848" t="s">
        <v>47000</v>
      </c>
      <c r="U6848" t="s">
        <v>53213</v>
      </c>
      <c r="V6848" t="s">
        <v>60560</v>
      </c>
      <c r="W6848" t="s">
        <v>43676</v>
      </c>
      <c r="X6848" t="s">
        <v>45104</v>
      </c>
    </row>
    <row r="6849" spans="1:24">
      <c r="A6849">
        <f>HYPERLINK("https://www.philgeps.gov.ph/GEPSNONPILOT/Tender/SplashBidNoticeAbstractUI.aspx?menuIndex=3&amp;refID=7035279&amp;Result=3","7035279")</f>
        <v>0</v>
      </c>
      <c r="B6849" t="s">
        <v>1316</v>
      </c>
      <c r="C6849" t="s">
        <v>9745</v>
      </c>
      <c r="D6849" t="s">
        <v>18084</v>
      </c>
      <c r="E6849" t="s">
        <v>24176</v>
      </c>
      <c r="F6849" t="s">
        <v>31574</v>
      </c>
      <c r="G6849" t="s">
        <v>31582</v>
      </c>
      <c r="H6849" t="s">
        <v>31590</v>
      </c>
      <c r="I6849" t="s">
        <v>3487</v>
      </c>
      <c r="J6849" t="s">
        <v>36136</v>
      </c>
      <c r="K6849" t="s">
        <v>41193</v>
      </c>
      <c r="M6849" t="s">
        <v>42886</v>
      </c>
      <c r="N6849" t="s">
        <v>45095</v>
      </c>
      <c r="O6849" t="s">
        <v>45096</v>
      </c>
      <c r="P6849">
        <v>0</v>
      </c>
      <c r="Q6849">
        <v>2</v>
      </c>
      <c r="R6849" t="s">
        <v>45103</v>
      </c>
      <c r="S6849" t="s">
        <v>45270</v>
      </c>
      <c r="T6849" t="s">
        <v>47067</v>
      </c>
      <c r="U6849" t="s">
        <v>53214</v>
      </c>
      <c r="W6849" t="s">
        <v>42886</v>
      </c>
      <c r="X6849" t="s">
        <v>45104</v>
      </c>
    </row>
    <row r="6850" spans="1:24">
      <c r="A6850">
        <f>HYPERLINK("https://www.philgeps.gov.ph/GEPSNONPILOT/Tender/SplashBidNoticeAbstractUI.aspx?menuIndex=3&amp;refID=7035294&amp;Result=3","7035294")</f>
        <v>0</v>
      </c>
      <c r="B6850" t="s">
        <v>2066</v>
      </c>
      <c r="C6850" t="s">
        <v>9746</v>
      </c>
      <c r="D6850" t="s">
        <v>18022</v>
      </c>
      <c r="E6850" t="s">
        <v>18175</v>
      </c>
      <c r="F6850" t="s">
        <v>31574</v>
      </c>
      <c r="G6850" t="s">
        <v>31582</v>
      </c>
      <c r="H6850" t="s">
        <v>31590</v>
      </c>
      <c r="I6850" t="s">
        <v>31605</v>
      </c>
      <c r="J6850" t="s">
        <v>31727</v>
      </c>
      <c r="K6850" t="s">
        <v>41213</v>
      </c>
      <c r="M6850" t="s">
        <v>43740</v>
      </c>
      <c r="N6850" t="s">
        <v>45095</v>
      </c>
      <c r="O6850" t="s">
        <v>45096</v>
      </c>
      <c r="P6850">
        <v>0</v>
      </c>
      <c r="Q6850">
        <v>3</v>
      </c>
      <c r="R6850" t="s">
        <v>45103</v>
      </c>
      <c r="S6850" t="s">
        <v>45270</v>
      </c>
      <c r="T6850" t="s">
        <v>47050</v>
      </c>
      <c r="U6850" t="s">
        <v>53215</v>
      </c>
      <c r="V6850" t="s">
        <v>60591</v>
      </c>
      <c r="W6850" t="s">
        <v>43740</v>
      </c>
      <c r="X6850" t="s">
        <v>45104</v>
      </c>
    </row>
    <row r="6851" spans="1:24">
      <c r="A6851">
        <f>HYPERLINK("https://www.philgeps.gov.ph/GEPSNONPILOT/Tender/SplashBidNoticeAbstractUI.aspx?menuIndex=3&amp;refID=7035278&amp;Result=3","7035278")</f>
        <v>0</v>
      </c>
      <c r="B6851" t="s">
        <v>2067</v>
      </c>
      <c r="C6851" t="s">
        <v>9747</v>
      </c>
      <c r="D6851" t="s">
        <v>18027</v>
      </c>
      <c r="E6851" t="s">
        <v>24180</v>
      </c>
      <c r="F6851" t="s">
        <v>31574</v>
      </c>
      <c r="G6851" t="s">
        <v>31583</v>
      </c>
      <c r="H6851" t="s">
        <v>31590</v>
      </c>
      <c r="I6851" t="s">
        <v>8258</v>
      </c>
      <c r="J6851" t="s">
        <v>32167</v>
      </c>
      <c r="K6851" t="s">
        <v>41211</v>
      </c>
      <c r="M6851" t="s">
        <v>43741</v>
      </c>
      <c r="N6851" t="s">
        <v>45095</v>
      </c>
      <c r="O6851" t="s">
        <v>45096</v>
      </c>
      <c r="P6851">
        <v>0</v>
      </c>
      <c r="Q6851">
        <v>3</v>
      </c>
      <c r="R6851" t="s">
        <v>45103</v>
      </c>
      <c r="S6851" t="s">
        <v>45270</v>
      </c>
      <c r="T6851" t="s">
        <v>47306</v>
      </c>
      <c r="U6851" t="s">
        <v>53216</v>
      </c>
      <c r="W6851" t="s">
        <v>43741</v>
      </c>
      <c r="X6851" t="s">
        <v>45104</v>
      </c>
    </row>
    <row r="6852" spans="1:24">
      <c r="A6852">
        <f>HYPERLINK("https://www.philgeps.gov.ph/GEPSNONPILOT/Tender/SplashBidNoticeAbstractUI.aspx?menuIndex=3&amp;refID=7035299&amp;Result=3","7035299")</f>
        <v>0</v>
      </c>
      <c r="B6852" t="s">
        <v>2014</v>
      </c>
      <c r="C6852" t="s">
        <v>9748</v>
      </c>
      <c r="D6852" t="s">
        <v>18079</v>
      </c>
      <c r="E6852" t="s">
        <v>24181</v>
      </c>
      <c r="F6852" t="s">
        <v>31574</v>
      </c>
      <c r="G6852" t="s">
        <v>31582</v>
      </c>
      <c r="H6852" t="s">
        <v>31591</v>
      </c>
      <c r="I6852" t="s">
        <v>8822</v>
      </c>
      <c r="J6852" t="s">
        <v>34070</v>
      </c>
      <c r="K6852" t="s">
        <v>41200</v>
      </c>
      <c r="M6852" t="s">
        <v>43676</v>
      </c>
      <c r="N6852" t="s">
        <v>45095</v>
      </c>
      <c r="O6852" t="s">
        <v>45096</v>
      </c>
      <c r="P6852">
        <v>0</v>
      </c>
      <c r="Q6852">
        <v>0</v>
      </c>
      <c r="R6852" t="s">
        <v>45103</v>
      </c>
      <c r="S6852" t="s">
        <v>45270</v>
      </c>
      <c r="T6852" t="s">
        <v>47000</v>
      </c>
      <c r="U6852" t="s">
        <v>52960</v>
      </c>
      <c r="V6852" t="s">
        <v>60560</v>
      </c>
      <c r="W6852" t="s">
        <v>43676</v>
      </c>
      <c r="X6852" t="s">
        <v>45104</v>
      </c>
    </row>
    <row r="6853" spans="1:24">
      <c r="A6853">
        <f>HYPERLINK("https://www.philgeps.gov.ph/GEPSNONPILOT/Tender/SplashBidNoticeAbstractUI.aspx?menuIndex=3&amp;refID=7035293&amp;Result=3","7035293")</f>
        <v>0</v>
      </c>
      <c r="B6853" t="s">
        <v>2068</v>
      </c>
      <c r="C6853" t="s">
        <v>9749</v>
      </c>
      <c r="D6853" t="s">
        <v>18059</v>
      </c>
      <c r="E6853" t="s">
        <v>19149</v>
      </c>
      <c r="F6853" t="s">
        <v>31574</v>
      </c>
      <c r="G6853" t="s">
        <v>31582</v>
      </c>
      <c r="H6853" t="s">
        <v>31590</v>
      </c>
      <c r="I6853" t="s">
        <v>31612</v>
      </c>
      <c r="J6853" t="s">
        <v>31845</v>
      </c>
      <c r="K6853" t="s">
        <v>41186</v>
      </c>
      <c r="M6853" t="s">
        <v>43742</v>
      </c>
      <c r="N6853" t="s">
        <v>45095</v>
      </c>
      <c r="O6853" t="s">
        <v>45096</v>
      </c>
      <c r="P6853">
        <v>0</v>
      </c>
      <c r="Q6853">
        <v>0</v>
      </c>
      <c r="R6853" t="s">
        <v>45103</v>
      </c>
      <c r="S6853" t="s">
        <v>45270</v>
      </c>
      <c r="T6853" t="s">
        <v>46977</v>
      </c>
      <c r="U6853" t="s">
        <v>53217</v>
      </c>
      <c r="W6853" t="s">
        <v>43742</v>
      </c>
      <c r="X6853" t="s">
        <v>45104</v>
      </c>
    </row>
    <row r="6854" spans="1:24">
      <c r="A6854">
        <f>HYPERLINK("https://www.philgeps.gov.ph/GEPSNONPILOT/Tender/SplashBidNoticeAbstractUI.aspx?menuIndex=3&amp;refID=7035288&amp;Result=3","7035288")</f>
        <v>0</v>
      </c>
      <c r="B6854" t="s">
        <v>2069</v>
      </c>
      <c r="C6854" t="s">
        <v>9750</v>
      </c>
      <c r="D6854" t="s">
        <v>18063</v>
      </c>
      <c r="E6854" t="s">
        <v>24182</v>
      </c>
      <c r="F6854" t="s">
        <v>31574</v>
      </c>
      <c r="G6854" t="s">
        <v>31582</v>
      </c>
      <c r="H6854" t="s">
        <v>31590</v>
      </c>
      <c r="I6854" t="s">
        <v>7162</v>
      </c>
      <c r="J6854" t="s">
        <v>36137</v>
      </c>
      <c r="K6854" t="s">
        <v>41184</v>
      </c>
      <c r="M6854" t="s">
        <v>43743</v>
      </c>
      <c r="N6854" t="s">
        <v>45095</v>
      </c>
      <c r="O6854" t="s">
        <v>45096</v>
      </c>
      <c r="P6854">
        <v>0</v>
      </c>
      <c r="Q6854">
        <v>1</v>
      </c>
      <c r="R6854" t="s">
        <v>45103</v>
      </c>
      <c r="S6854" t="s">
        <v>45270</v>
      </c>
      <c r="T6854" t="s">
        <v>47125</v>
      </c>
      <c r="U6854" t="s">
        <v>53218</v>
      </c>
      <c r="W6854" t="s">
        <v>43743</v>
      </c>
      <c r="X6854" t="s">
        <v>45104</v>
      </c>
    </row>
    <row r="6855" spans="1:24">
      <c r="A6855">
        <f>HYPERLINK("https://www.philgeps.gov.ph/GEPSNONPILOT/Tender/SplashBidNoticeAbstractUI.aspx?menuIndex=3&amp;refID=7035281&amp;Result=3","7035281")</f>
        <v>0</v>
      </c>
      <c r="B6855" t="s">
        <v>2070</v>
      </c>
      <c r="C6855" t="s">
        <v>9747</v>
      </c>
      <c r="D6855" t="s">
        <v>18027</v>
      </c>
      <c r="E6855" t="s">
        <v>24180</v>
      </c>
      <c r="F6855" t="s">
        <v>31574</v>
      </c>
      <c r="G6855" t="s">
        <v>31583</v>
      </c>
      <c r="H6855" t="s">
        <v>31590</v>
      </c>
      <c r="I6855" t="s">
        <v>8258</v>
      </c>
      <c r="J6855" t="s">
        <v>36138</v>
      </c>
      <c r="K6855" t="s">
        <v>41211</v>
      </c>
      <c r="M6855" t="s">
        <v>43744</v>
      </c>
      <c r="N6855" t="s">
        <v>45095</v>
      </c>
      <c r="O6855" t="s">
        <v>45096</v>
      </c>
      <c r="P6855">
        <v>0</v>
      </c>
      <c r="Q6855">
        <v>1</v>
      </c>
      <c r="R6855" t="s">
        <v>45103</v>
      </c>
      <c r="S6855" t="s">
        <v>45270</v>
      </c>
      <c r="T6855" t="s">
        <v>47106</v>
      </c>
      <c r="U6855" t="s">
        <v>53216</v>
      </c>
      <c r="W6855" t="s">
        <v>43744</v>
      </c>
      <c r="X6855" t="s">
        <v>45104</v>
      </c>
    </row>
    <row r="6856" spans="1:24">
      <c r="A6856">
        <f>HYPERLINK("https://www.philgeps.gov.ph/GEPSNONPILOT/Tender/SplashBidNoticeAbstractUI.aspx?menuIndex=3&amp;refID=7035303&amp;Result=3","7035303")</f>
        <v>0</v>
      </c>
      <c r="B6856" t="s">
        <v>2071</v>
      </c>
      <c r="C6856" t="s">
        <v>9751</v>
      </c>
      <c r="D6856" t="s">
        <v>18053</v>
      </c>
      <c r="E6856" t="s">
        <v>24183</v>
      </c>
      <c r="F6856" t="s">
        <v>31574</v>
      </c>
      <c r="G6856" t="s">
        <v>31582</v>
      </c>
      <c r="H6856" t="s">
        <v>31590</v>
      </c>
      <c r="I6856" t="s">
        <v>4046</v>
      </c>
      <c r="J6856" t="s">
        <v>36139</v>
      </c>
      <c r="K6856" t="s">
        <v>41184</v>
      </c>
      <c r="M6856" t="s">
        <v>43745</v>
      </c>
      <c r="N6856" t="s">
        <v>45095</v>
      </c>
      <c r="O6856" t="s">
        <v>45096</v>
      </c>
      <c r="P6856">
        <v>0</v>
      </c>
      <c r="Q6856">
        <v>0</v>
      </c>
      <c r="R6856" t="s">
        <v>45103</v>
      </c>
      <c r="S6856" t="s">
        <v>45270</v>
      </c>
      <c r="T6856" t="s">
        <v>46936</v>
      </c>
      <c r="U6856" t="s">
        <v>53219</v>
      </c>
      <c r="W6856" t="s">
        <v>43745</v>
      </c>
      <c r="X6856" t="s">
        <v>45104</v>
      </c>
    </row>
    <row r="6857" spans="1:24">
      <c r="A6857">
        <f>HYPERLINK("https://www.philgeps.gov.ph/GEPSNONPILOT/Tender/SplashBidNoticeAbstractUI.aspx?menuIndex=3&amp;refID=7035287&amp;Result=3","7035287")</f>
        <v>0</v>
      </c>
      <c r="B6857" t="s">
        <v>2072</v>
      </c>
      <c r="C6857" t="s">
        <v>9752</v>
      </c>
      <c r="D6857" t="s">
        <v>18063</v>
      </c>
      <c r="E6857" t="s">
        <v>18316</v>
      </c>
      <c r="F6857" t="s">
        <v>31574</v>
      </c>
      <c r="G6857" t="s">
        <v>31582</v>
      </c>
      <c r="H6857" t="s">
        <v>31590</v>
      </c>
      <c r="I6857" t="s">
        <v>7162</v>
      </c>
      <c r="J6857" t="s">
        <v>31728</v>
      </c>
      <c r="K6857" t="s">
        <v>41213</v>
      </c>
      <c r="M6857" t="s">
        <v>43746</v>
      </c>
      <c r="N6857" t="s">
        <v>45095</v>
      </c>
      <c r="O6857" t="s">
        <v>45096</v>
      </c>
      <c r="P6857">
        <v>0</v>
      </c>
      <c r="Q6857">
        <v>1</v>
      </c>
      <c r="R6857" t="s">
        <v>45103</v>
      </c>
      <c r="S6857" t="s">
        <v>45270</v>
      </c>
      <c r="T6857" t="s">
        <v>46952</v>
      </c>
      <c r="U6857" t="s">
        <v>53220</v>
      </c>
      <c r="W6857" t="s">
        <v>43746</v>
      </c>
      <c r="X6857" t="s">
        <v>45104</v>
      </c>
    </row>
    <row r="6858" spans="1:24">
      <c r="A6858">
        <f>HYPERLINK("https://www.philgeps.gov.ph/GEPSNONPILOT/Tender/SplashBidNoticeAbstractUI.aspx?menuIndex=3&amp;refID=7035283&amp;Result=3","7035283")</f>
        <v>0</v>
      </c>
      <c r="B6858" t="s">
        <v>2073</v>
      </c>
      <c r="C6858" t="s">
        <v>9747</v>
      </c>
      <c r="D6858" t="s">
        <v>18027</v>
      </c>
      <c r="E6858" t="s">
        <v>24180</v>
      </c>
      <c r="F6858" t="s">
        <v>31574</v>
      </c>
      <c r="G6858" t="s">
        <v>31583</v>
      </c>
      <c r="H6858" t="s">
        <v>31590</v>
      </c>
      <c r="I6858" t="s">
        <v>8258</v>
      </c>
      <c r="J6858" t="s">
        <v>36140</v>
      </c>
      <c r="K6858" t="s">
        <v>41211</v>
      </c>
      <c r="M6858" t="s">
        <v>43747</v>
      </c>
      <c r="N6858" t="s">
        <v>45095</v>
      </c>
      <c r="O6858" t="s">
        <v>45096</v>
      </c>
      <c r="P6858">
        <v>0</v>
      </c>
      <c r="Q6858">
        <v>2</v>
      </c>
      <c r="R6858" t="s">
        <v>45103</v>
      </c>
      <c r="S6858" t="s">
        <v>45270</v>
      </c>
      <c r="T6858" t="s">
        <v>46969</v>
      </c>
      <c r="U6858" t="s">
        <v>53216</v>
      </c>
      <c r="W6858" t="s">
        <v>43747</v>
      </c>
      <c r="X6858" t="s">
        <v>45104</v>
      </c>
    </row>
    <row r="6859" spans="1:24">
      <c r="A6859">
        <f>HYPERLINK("https://www.philgeps.gov.ph/GEPSNONPILOT/Tender/SplashBidNoticeAbstractUI.aspx?menuIndex=3&amp;refID=7035306&amp;Result=3","7035306")</f>
        <v>0</v>
      </c>
      <c r="B6859" t="s">
        <v>2031</v>
      </c>
      <c r="C6859" t="s">
        <v>9753</v>
      </c>
      <c r="D6859" t="s">
        <v>18044</v>
      </c>
      <c r="E6859" t="s">
        <v>19149</v>
      </c>
      <c r="F6859" t="s">
        <v>31574</v>
      </c>
      <c r="G6859" t="s">
        <v>31585</v>
      </c>
      <c r="H6859" t="s">
        <v>31592</v>
      </c>
      <c r="I6859" t="s">
        <v>3489</v>
      </c>
      <c r="J6859" t="s">
        <v>32090</v>
      </c>
      <c r="K6859" t="s">
        <v>41186</v>
      </c>
      <c r="M6859" t="s">
        <v>43698</v>
      </c>
      <c r="N6859" t="s">
        <v>45095</v>
      </c>
      <c r="O6859" t="s">
        <v>45096</v>
      </c>
      <c r="P6859">
        <v>0</v>
      </c>
      <c r="Q6859">
        <v>0</v>
      </c>
      <c r="R6859" t="s">
        <v>45103</v>
      </c>
      <c r="S6859" t="s">
        <v>45270</v>
      </c>
      <c r="T6859" t="s">
        <v>47125</v>
      </c>
      <c r="U6859" t="s">
        <v>53221</v>
      </c>
      <c r="W6859" t="s">
        <v>43698</v>
      </c>
      <c r="X6859" t="s">
        <v>45104</v>
      </c>
    </row>
    <row r="6860" spans="1:24">
      <c r="A6860">
        <f>HYPERLINK("https://www.philgeps.gov.ph/GEPSNONPILOT/Tender/SplashBidNoticeAbstractUI.aspx?menuIndex=3&amp;refID=7035315&amp;Result=3","7035315")</f>
        <v>0</v>
      </c>
      <c r="B6860" t="s">
        <v>963</v>
      </c>
      <c r="C6860" t="s">
        <v>9754</v>
      </c>
      <c r="D6860" t="s">
        <v>18081</v>
      </c>
      <c r="E6860" t="s">
        <v>24184</v>
      </c>
      <c r="F6860" t="s">
        <v>31574</v>
      </c>
      <c r="G6860" t="s">
        <v>31583</v>
      </c>
      <c r="H6860" t="s">
        <v>31590</v>
      </c>
      <c r="I6860" t="s">
        <v>14544</v>
      </c>
      <c r="J6860" t="s">
        <v>36141</v>
      </c>
      <c r="K6860" t="s">
        <v>41184</v>
      </c>
      <c r="M6860" t="s">
        <v>42492</v>
      </c>
      <c r="N6860" t="s">
        <v>45095</v>
      </c>
      <c r="O6860" t="s">
        <v>45096</v>
      </c>
      <c r="P6860">
        <v>0</v>
      </c>
      <c r="Q6860">
        <v>0</v>
      </c>
      <c r="R6860" t="s">
        <v>45103</v>
      </c>
      <c r="S6860" t="s">
        <v>45270</v>
      </c>
      <c r="T6860" t="s">
        <v>46973</v>
      </c>
      <c r="U6860" t="s">
        <v>53222</v>
      </c>
      <c r="W6860" t="s">
        <v>61685</v>
      </c>
      <c r="X6860" t="s">
        <v>45104</v>
      </c>
    </row>
    <row r="6861" spans="1:24">
      <c r="A6861">
        <f>HYPERLINK("https://www.philgeps.gov.ph/GEPSNONPILOT/Tender/SplashBidNoticeAbstractUI.aspx?menuIndex=3&amp;refID=7035308&amp;Result=3","7035308")</f>
        <v>0</v>
      </c>
      <c r="B6861" t="s">
        <v>2071</v>
      </c>
      <c r="C6861" t="s">
        <v>9755</v>
      </c>
      <c r="D6861" t="s">
        <v>18053</v>
      </c>
      <c r="E6861" t="s">
        <v>24185</v>
      </c>
      <c r="F6861" t="s">
        <v>31574</v>
      </c>
      <c r="G6861" t="s">
        <v>31582</v>
      </c>
      <c r="H6861" t="s">
        <v>31591</v>
      </c>
      <c r="I6861" t="s">
        <v>8822</v>
      </c>
      <c r="J6861" t="s">
        <v>36142</v>
      </c>
      <c r="K6861" t="s">
        <v>41184</v>
      </c>
      <c r="M6861" t="s">
        <v>43745</v>
      </c>
      <c r="N6861" t="s">
        <v>45095</v>
      </c>
      <c r="O6861" t="s">
        <v>45096</v>
      </c>
      <c r="P6861">
        <v>0</v>
      </c>
      <c r="Q6861">
        <v>0</v>
      </c>
      <c r="R6861" t="s">
        <v>45103</v>
      </c>
      <c r="S6861" t="s">
        <v>45270</v>
      </c>
      <c r="T6861" t="s">
        <v>46936</v>
      </c>
      <c r="U6861" t="s">
        <v>53223</v>
      </c>
      <c r="W6861" t="s">
        <v>43745</v>
      </c>
      <c r="X6861" t="s">
        <v>45104</v>
      </c>
    </row>
    <row r="6862" spans="1:24">
      <c r="A6862">
        <f>HYPERLINK("https://www.philgeps.gov.ph/GEPSNONPILOT/Tender/SplashBidNoticeAbstractUI.aspx?menuIndex=3&amp;refID=7035314&amp;Result=3","7035314")</f>
        <v>0</v>
      </c>
      <c r="B6862" t="s">
        <v>2074</v>
      </c>
      <c r="C6862" t="s">
        <v>9756</v>
      </c>
      <c r="D6862" t="s">
        <v>18047</v>
      </c>
      <c r="E6862" t="s">
        <v>20747</v>
      </c>
      <c r="F6862" t="s">
        <v>31574</v>
      </c>
      <c r="G6862" t="s">
        <v>31582</v>
      </c>
      <c r="H6862" t="s">
        <v>31590</v>
      </c>
      <c r="I6862" t="s">
        <v>4046</v>
      </c>
      <c r="J6862" t="s">
        <v>36143</v>
      </c>
      <c r="K6862" t="s">
        <v>41193</v>
      </c>
      <c r="M6862" t="s">
        <v>43748</v>
      </c>
      <c r="N6862" t="s">
        <v>45095</v>
      </c>
      <c r="O6862" t="s">
        <v>45096</v>
      </c>
      <c r="P6862">
        <v>0</v>
      </c>
      <c r="Q6862">
        <v>0</v>
      </c>
      <c r="R6862" t="s">
        <v>45103</v>
      </c>
      <c r="S6862" t="s">
        <v>45270</v>
      </c>
      <c r="T6862" t="s">
        <v>47228</v>
      </c>
      <c r="U6862" t="s">
        <v>53224</v>
      </c>
      <c r="W6862" t="s">
        <v>43748</v>
      </c>
      <c r="X6862" t="s">
        <v>45104</v>
      </c>
    </row>
    <row r="6863" spans="1:24">
      <c r="A6863">
        <f>HYPERLINK("https://www.philgeps.gov.ph/GEPSNONPILOT/Tender/SplashBidNoticeAbstractUI.aspx?menuIndex=3&amp;refID=7035291&amp;Result=3","7035291")</f>
        <v>0</v>
      </c>
      <c r="B6863" t="s">
        <v>114</v>
      </c>
      <c r="C6863" t="s">
        <v>9757</v>
      </c>
      <c r="D6863" t="s">
        <v>18067</v>
      </c>
      <c r="E6863" t="s">
        <v>24186</v>
      </c>
      <c r="F6863" t="s">
        <v>31574</v>
      </c>
      <c r="G6863" t="s">
        <v>31582</v>
      </c>
      <c r="H6863" t="s">
        <v>31591</v>
      </c>
      <c r="I6863" t="s">
        <v>8822</v>
      </c>
      <c r="J6863" t="s">
        <v>31727</v>
      </c>
      <c r="K6863" t="s">
        <v>41196</v>
      </c>
      <c r="M6863" t="s">
        <v>41598</v>
      </c>
      <c r="N6863" t="s">
        <v>45095</v>
      </c>
      <c r="O6863" t="s">
        <v>45096</v>
      </c>
      <c r="P6863">
        <v>0</v>
      </c>
      <c r="Q6863">
        <v>0</v>
      </c>
      <c r="R6863" t="s">
        <v>45103</v>
      </c>
      <c r="S6863" t="s">
        <v>45270</v>
      </c>
      <c r="T6863" t="s">
        <v>46918</v>
      </c>
      <c r="U6863" t="s">
        <v>53225</v>
      </c>
      <c r="V6863" t="s">
        <v>60592</v>
      </c>
      <c r="W6863" t="s">
        <v>41598</v>
      </c>
      <c r="X6863" t="s">
        <v>45104</v>
      </c>
    </row>
    <row r="6864" spans="1:24">
      <c r="A6864">
        <f>HYPERLINK("https://www.philgeps.gov.ph/GEPSNONPILOT/Tender/SplashBidNoticeAbstractUI.aspx?menuIndex=3&amp;refID=7035305&amp;Result=3","7035305")</f>
        <v>0</v>
      </c>
      <c r="B6864" t="s">
        <v>2056</v>
      </c>
      <c r="C6864" t="s">
        <v>9758</v>
      </c>
      <c r="D6864" t="s">
        <v>18044</v>
      </c>
      <c r="E6864" t="s">
        <v>24187</v>
      </c>
      <c r="F6864" t="s">
        <v>31574</v>
      </c>
      <c r="G6864" t="s">
        <v>31582</v>
      </c>
      <c r="H6864" t="s">
        <v>31590</v>
      </c>
      <c r="I6864" t="s">
        <v>4327</v>
      </c>
      <c r="J6864" t="s">
        <v>36144</v>
      </c>
      <c r="K6864" t="s">
        <v>41194</v>
      </c>
      <c r="M6864" t="s">
        <v>43726</v>
      </c>
      <c r="N6864" t="s">
        <v>45095</v>
      </c>
      <c r="O6864" t="s">
        <v>45096</v>
      </c>
      <c r="P6864">
        <v>0</v>
      </c>
      <c r="Q6864">
        <v>2</v>
      </c>
      <c r="R6864" t="s">
        <v>45103</v>
      </c>
      <c r="S6864" t="s">
        <v>45270</v>
      </c>
      <c r="T6864" t="s">
        <v>47076</v>
      </c>
      <c r="U6864" t="s">
        <v>53226</v>
      </c>
      <c r="V6864" t="s">
        <v>60585</v>
      </c>
      <c r="W6864" t="s">
        <v>43726</v>
      </c>
      <c r="X6864" t="s">
        <v>45104</v>
      </c>
    </row>
    <row r="6865" spans="1:24">
      <c r="A6865">
        <f>HYPERLINK("https://www.philgeps.gov.ph/GEPSNONPILOT/Tender/SplashBidNoticeAbstractUI.aspx?menuIndex=3&amp;refID=7035309&amp;Result=3","7035309")</f>
        <v>0</v>
      </c>
      <c r="B6865" t="s">
        <v>1984</v>
      </c>
      <c r="C6865" t="s">
        <v>9329</v>
      </c>
      <c r="D6865" t="s">
        <v>18045</v>
      </c>
      <c r="E6865" t="s">
        <v>19220</v>
      </c>
      <c r="F6865" t="s">
        <v>31574</v>
      </c>
      <c r="G6865" t="s">
        <v>31581</v>
      </c>
      <c r="H6865" t="s">
        <v>31591</v>
      </c>
      <c r="I6865" t="s">
        <v>31600</v>
      </c>
      <c r="J6865" t="s">
        <v>36145</v>
      </c>
      <c r="K6865" t="s">
        <v>41193</v>
      </c>
      <c r="M6865" t="s">
        <v>43644</v>
      </c>
      <c r="N6865" t="s">
        <v>45095</v>
      </c>
      <c r="O6865" t="s">
        <v>45096</v>
      </c>
      <c r="P6865">
        <v>0</v>
      </c>
      <c r="Q6865">
        <v>0</v>
      </c>
      <c r="R6865" t="s">
        <v>45103</v>
      </c>
      <c r="S6865" t="s">
        <v>45270</v>
      </c>
      <c r="T6865" t="s">
        <v>47164</v>
      </c>
      <c r="U6865" t="s">
        <v>53227</v>
      </c>
      <c r="W6865" t="s">
        <v>43644</v>
      </c>
      <c r="X6865" t="s">
        <v>45104</v>
      </c>
    </row>
    <row r="6866" spans="1:24">
      <c r="A6866">
        <f>HYPERLINK("https://www.philgeps.gov.ph/GEPSNONPILOT/Tender/SplashBidNoticeAbstractUI.aspx?menuIndex=3&amp;refID=7035292&amp;Result=3","7035292")</f>
        <v>0</v>
      </c>
      <c r="B6866" t="s">
        <v>2068</v>
      </c>
      <c r="C6866" t="s">
        <v>9759</v>
      </c>
      <c r="D6866" t="s">
        <v>18059</v>
      </c>
      <c r="E6866" t="s">
        <v>18191</v>
      </c>
      <c r="F6866" t="s">
        <v>31574</v>
      </c>
      <c r="G6866" t="s">
        <v>31582</v>
      </c>
      <c r="H6866" t="s">
        <v>31590</v>
      </c>
      <c r="I6866" t="s">
        <v>4046</v>
      </c>
      <c r="J6866" t="s">
        <v>36146</v>
      </c>
      <c r="K6866" t="s">
        <v>41186</v>
      </c>
      <c r="M6866" t="s">
        <v>43742</v>
      </c>
      <c r="N6866" t="s">
        <v>45095</v>
      </c>
      <c r="O6866" t="s">
        <v>45096</v>
      </c>
      <c r="P6866">
        <v>0</v>
      </c>
      <c r="Q6866">
        <v>0</v>
      </c>
      <c r="R6866" t="s">
        <v>45103</v>
      </c>
      <c r="S6866" t="s">
        <v>45270</v>
      </c>
      <c r="T6866" t="s">
        <v>46977</v>
      </c>
      <c r="U6866" t="s">
        <v>53228</v>
      </c>
      <c r="W6866" t="s">
        <v>43742</v>
      </c>
      <c r="X6866" t="s">
        <v>45104</v>
      </c>
    </row>
    <row r="6867" spans="1:24">
      <c r="A6867">
        <f>HYPERLINK("https://www.philgeps.gov.ph/GEPSNONPILOT/Tender/SplashBidNoticeAbstractUI.aspx?menuIndex=3&amp;refID=7035313&amp;Result=3","7035313")</f>
        <v>0</v>
      </c>
      <c r="B6867" t="s">
        <v>2071</v>
      </c>
      <c r="C6867" t="s">
        <v>9760</v>
      </c>
      <c r="D6867" t="s">
        <v>18053</v>
      </c>
      <c r="E6867" t="s">
        <v>24188</v>
      </c>
      <c r="F6867" t="s">
        <v>31574</v>
      </c>
      <c r="G6867" t="s">
        <v>31582</v>
      </c>
      <c r="H6867" t="s">
        <v>31591</v>
      </c>
      <c r="I6867" t="s">
        <v>8822</v>
      </c>
      <c r="J6867" t="s">
        <v>31930</v>
      </c>
      <c r="K6867" t="s">
        <v>41184</v>
      </c>
      <c r="M6867" t="s">
        <v>43745</v>
      </c>
      <c r="N6867" t="s">
        <v>45095</v>
      </c>
      <c r="O6867" t="s">
        <v>45096</v>
      </c>
      <c r="P6867">
        <v>0</v>
      </c>
      <c r="Q6867">
        <v>0</v>
      </c>
      <c r="R6867" t="s">
        <v>45103</v>
      </c>
      <c r="S6867" t="s">
        <v>45270</v>
      </c>
      <c r="T6867" t="s">
        <v>46936</v>
      </c>
      <c r="U6867" t="s">
        <v>53223</v>
      </c>
      <c r="W6867" t="s">
        <v>43745</v>
      </c>
      <c r="X6867" t="s">
        <v>45104</v>
      </c>
    </row>
    <row r="6868" spans="1:24">
      <c r="A6868">
        <f>HYPERLINK("https://www.philgeps.gov.ph/GEPSNONPILOT/Tender/SplashBidNoticeAbstractUI.aspx?menuIndex=3&amp;refID=7035311&amp;Result=3","7035311")</f>
        <v>0</v>
      </c>
      <c r="B6868" t="s">
        <v>2075</v>
      </c>
      <c r="C6868" t="s">
        <v>9761</v>
      </c>
      <c r="D6868" t="s">
        <v>18073</v>
      </c>
      <c r="E6868" t="s">
        <v>24189</v>
      </c>
      <c r="F6868" t="s">
        <v>31574</v>
      </c>
      <c r="G6868" t="s">
        <v>31582</v>
      </c>
      <c r="H6868" t="s">
        <v>31590</v>
      </c>
      <c r="I6868" t="s">
        <v>31619</v>
      </c>
      <c r="J6868" t="s">
        <v>34568</v>
      </c>
      <c r="K6868" t="s">
        <v>41186</v>
      </c>
      <c r="M6868" t="s">
        <v>43749</v>
      </c>
      <c r="N6868" t="s">
        <v>45095</v>
      </c>
      <c r="O6868" t="s">
        <v>45096</v>
      </c>
      <c r="P6868">
        <v>0</v>
      </c>
      <c r="Q6868">
        <v>9</v>
      </c>
      <c r="R6868" t="s">
        <v>45103</v>
      </c>
      <c r="S6868" t="s">
        <v>45270</v>
      </c>
      <c r="T6868" t="s">
        <v>47266</v>
      </c>
      <c r="U6868" t="s">
        <v>53229</v>
      </c>
      <c r="W6868" t="s">
        <v>61725</v>
      </c>
      <c r="X6868" t="s">
        <v>45104</v>
      </c>
    </row>
    <row r="6869" spans="1:24">
      <c r="A6869">
        <f>HYPERLINK("https://www.philgeps.gov.ph/GEPSNONPILOT/Tender/SplashBidNoticeAbstractUI.aspx?menuIndex=3&amp;refID=7035286&amp;Result=3","7035286")</f>
        <v>0</v>
      </c>
      <c r="B6869" t="s">
        <v>116</v>
      </c>
      <c r="C6869" t="s">
        <v>9762</v>
      </c>
      <c r="D6869" t="s">
        <v>18068</v>
      </c>
      <c r="E6869" t="s">
        <v>24190</v>
      </c>
      <c r="F6869" t="s">
        <v>31574</v>
      </c>
      <c r="G6869" t="s">
        <v>31585</v>
      </c>
      <c r="H6869" t="s">
        <v>31590</v>
      </c>
      <c r="I6869" t="s">
        <v>4327</v>
      </c>
      <c r="J6869" t="s">
        <v>31789</v>
      </c>
      <c r="K6869" t="s">
        <v>41196</v>
      </c>
      <c r="M6869" t="s">
        <v>41600</v>
      </c>
      <c r="N6869" t="s">
        <v>45095</v>
      </c>
      <c r="O6869" t="s">
        <v>45096</v>
      </c>
      <c r="P6869">
        <v>0</v>
      </c>
      <c r="Q6869">
        <v>1</v>
      </c>
      <c r="R6869" t="s">
        <v>45103</v>
      </c>
      <c r="S6869" t="s">
        <v>45270</v>
      </c>
      <c r="T6869" t="s">
        <v>47193</v>
      </c>
      <c r="U6869" t="s">
        <v>53230</v>
      </c>
      <c r="V6869" t="s">
        <v>59888</v>
      </c>
      <c r="W6869" t="s">
        <v>41600</v>
      </c>
      <c r="X6869" t="s">
        <v>45104</v>
      </c>
    </row>
    <row r="6870" spans="1:24">
      <c r="A6870">
        <f>HYPERLINK("https://www.philgeps.gov.ph/GEPSNONPILOT/Tender/SplashBidNoticeAbstractUI.aspx?menuIndex=3&amp;refID=7035326&amp;Result=3","7035326")</f>
        <v>0</v>
      </c>
      <c r="B6870" t="s">
        <v>38</v>
      </c>
      <c r="C6870" t="s">
        <v>9763</v>
      </c>
      <c r="D6870" t="s">
        <v>18033</v>
      </c>
      <c r="E6870" t="s">
        <v>24191</v>
      </c>
      <c r="F6870" t="s">
        <v>31574</v>
      </c>
      <c r="G6870" t="s">
        <v>31582</v>
      </c>
      <c r="H6870" t="s">
        <v>31590</v>
      </c>
      <c r="I6870" t="s">
        <v>6800</v>
      </c>
      <c r="J6870" t="s">
        <v>36147</v>
      </c>
      <c r="K6870" t="s">
        <v>41194</v>
      </c>
      <c r="M6870" t="s">
        <v>41521</v>
      </c>
      <c r="N6870" t="s">
        <v>45095</v>
      </c>
      <c r="O6870" t="s">
        <v>45096</v>
      </c>
      <c r="P6870">
        <v>0</v>
      </c>
      <c r="Q6870">
        <v>0</v>
      </c>
      <c r="R6870" t="s">
        <v>45103</v>
      </c>
      <c r="S6870" t="s">
        <v>45270</v>
      </c>
      <c r="T6870" t="s">
        <v>46985</v>
      </c>
      <c r="U6870" t="s">
        <v>53231</v>
      </c>
      <c r="V6870" t="s">
        <v>59888</v>
      </c>
      <c r="W6870" t="s">
        <v>41521</v>
      </c>
      <c r="X6870" t="s">
        <v>45104</v>
      </c>
    </row>
    <row r="6871" spans="1:24">
      <c r="A6871">
        <f>HYPERLINK("https://www.philgeps.gov.ph/GEPSNONPILOT/Tender/SplashBidNoticeAbstractUI.aspx?menuIndex=3&amp;refID=7035325&amp;Result=3","7035325")</f>
        <v>0</v>
      </c>
      <c r="B6871" t="s">
        <v>963</v>
      </c>
      <c r="C6871" t="s">
        <v>9764</v>
      </c>
      <c r="D6871" t="s">
        <v>18081</v>
      </c>
      <c r="E6871" t="s">
        <v>24192</v>
      </c>
      <c r="F6871" t="s">
        <v>31574</v>
      </c>
      <c r="G6871" t="s">
        <v>31583</v>
      </c>
      <c r="H6871" t="s">
        <v>31590</v>
      </c>
      <c r="I6871" t="s">
        <v>31602</v>
      </c>
      <c r="J6871" t="s">
        <v>36148</v>
      </c>
      <c r="K6871" t="s">
        <v>41184</v>
      </c>
      <c r="M6871" t="s">
        <v>42492</v>
      </c>
      <c r="N6871" t="s">
        <v>45095</v>
      </c>
      <c r="O6871" t="s">
        <v>45096</v>
      </c>
      <c r="P6871">
        <v>0</v>
      </c>
      <c r="Q6871">
        <v>0</v>
      </c>
      <c r="R6871" t="s">
        <v>45103</v>
      </c>
      <c r="S6871" t="s">
        <v>45270</v>
      </c>
      <c r="T6871" t="s">
        <v>46973</v>
      </c>
      <c r="U6871" t="s">
        <v>53232</v>
      </c>
      <c r="W6871" t="s">
        <v>61685</v>
      </c>
      <c r="X6871" t="s">
        <v>45104</v>
      </c>
    </row>
    <row r="6872" spans="1:24">
      <c r="A6872">
        <f>HYPERLINK("https://www.philgeps.gov.ph/GEPSNONPILOT/Tender/SplashBidNoticeAbstractUI.aspx?menuIndex=3&amp;refID=7035331&amp;Result=3","7035331")</f>
        <v>0</v>
      </c>
      <c r="B6872" t="s">
        <v>38</v>
      </c>
      <c r="C6872" t="s">
        <v>9765</v>
      </c>
      <c r="D6872" t="s">
        <v>18033</v>
      </c>
      <c r="E6872" t="s">
        <v>24193</v>
      </c>
      <c r="F6872" t="s">
        <v>31574</v>
      </c>
      <c r="G6872" t="s">
        <v>31581</v>
      </c>
      <c r="H6872" t="s">
        <v>31590</v>
      </c>
      <c r="I6872" t="s">
        <v>31600</v>
      </c>
      <c r="J6872" t="s">
        <v>36149</v>
      </c>
      <c r="K6872" t="s">
        <v>41194</v>
      </c>
      <c r="M6872" t="s">
        <v>41521</v>
      </c>
      <c r="N6872" t="s">
        <v>45095</v>
      </c>
      <c r="O6872" t="s">
        <v>45096</v>
      </c>
      <c r="P6872">
        <v>0</v>
      </c>
      <c r="Q6872">
        <v>0</v>
      </c>
      <c r="R6872" t="s">
        <v>45103</v>
      </c>
      <c r="S6872" t="s">
        <v>45270</v>
      </c>
      <c r="T6872" t="s">
        <v>46913</v>
      </c>
      <c r="U6872" t="s">
        <v>53233</v>
      </c>
      <c r="V6872" t="s">
        <v>60383</v>
      </c>
      <c r="W6872" t="s">
        <v>41521</v>
      </c>
      <c r="X6872" t="s">
        <v>45104</v>
      </c>
    </row>
    <row r="6873" spans="1:24">
      <c r="A6873">
        <f>HYPERLINK("https://www.philgeps.gov.ph/GEPSNONPILOT/Tender/SplashBidNoticeAbstractUI.aspx?menuIndex=3&amp;refID=7035319&amp;Result=3","7035319")</f>
        <v>0</v>
      </c>
      <c r="B6873" t="s">
        <v>963</v>
      </c>
      <c r="C6873" t="s">
        <v>9766</v>
      </c>
      <c r="D6873" t="s">
        <v>18081</v>
      </c>
      <c r="E6873" t="s">
        <v>24194</v>
      </c>
      <c r="F6873" t="s">
        <v>31574</v>
      </c>
      <c r="G6873" t="s">
        <v>31583</v>
      </c>
      <c r="H6873" t="s">
        <v>31590</v>
      </c>
      <c r="I6873" t="s">
        <v>4327</v>
      </c>
      <c r="J6873" t="s">
        <v>36150</v>
      </c>
      <c r="K6873" t="s">
        <v>41184</v>
      </c>
      <c r="M6873" t="s">
        <v>42492</v>
      </c>
      <c r="N6873" t="s">
        <v>45095</v>
      </c>
      <c r="O6873" t="s">
        <v>45096</v>
      </c>
      <c r="P6873">
        <v>0</v>
      </c>
      <c r="Q6873">
        <v>0</v>
      </c>
      <c r="R6873" t="s">
        <v>45103</v>
      </c>
      <c r="S6873" t="s">
        <v>45270</v>
      </c>
      <c r="T6873" t="s">
        <v>46973</v>
      </c>
      <c r="U6873" t="s">
        <v>53234</v>
      </c>
      <c r="W6873" t="s">
        <v>61685</v>
      </c>
      <c r="X6873" t="s">
        <v>45104</v>
      </c>
    </row>
    <row r="6874" spans="1:24">
      <c r="A6874">
        <f>HYPERLINK("https://www.philgeps.gov.ph/GEPSNONPILOT/Tender/SplashBidNoticeAbstractUI.aspx?menuIndex=3&amp;refID=7035322&amp;Result=3","7035322")</f>
        <v>0</v>
      </c>
      <c r="B6874" t="s">
        <v>2056</v>
      </c>
      <c r="C6874" t="s">
        <v>9767</v>
      </c>
      <c r="D6874" t="s">
        <v>18044</v>
      </c>
      <c r="E6874" t="s">
        <v>24195</v>
      </c>
      <c r="F6874" t="s">
        <v>31574</v>
      </c>
      <c r="G6874" t="s">
        <v>31582</v>
      </c>
      <c r="H6874" t="s">
        <v>31590</v>
      </c>
      <c r="I6874" t="s">
        <v>31594</v>
      </c>
      <c r="J6874" t="s">
        <v>36151</v>
      </c>
      <c r="K6874" t="s">
        <v>41194</v>
      </c>
      <c r="M6874" t="s">
        <v>43726</v>
      </c>
      <c r="N6874" t="s">
        <v>45095</v>
      </c>
      <c r="O6874" t="s">
        <v>45096</v>
      </c>
      <c r="P6874">
        <v>0</v>
      </c>
      <c r="Q6874">
        <v>6</v>
      </c>
      <c r="R6874" t="s">
        <v>45103</v>
      </c>
      <c r="S6874" t="s">
        <v>45270</v>
      </c>
      <c r="T6874" t="s">
        <v>47076</v>
      </c>
      <c r="U6874" t="s">
        <v>53235</v>
      </c>
      <c r="V6874" t="s">
        <v>60585</v>
      </c>
      <c r="W6874" t="s">
        <v>43726</v>
      </c>
      <c r="X6874" t="s">
        <v>45104</v>
      </c>
    </row>
    <row r="6875" spans="1:24">
      <c r="A6875">
        <f>HYPERLINK("https://www.philgeps.gov.ph/GEPSNONPILOT/Tender/SplashBidNoticeAbstractUI.aspx?menuIndex=3&amp;refID=7035324&amp;Result=3","7035324")</f>
        <v>0</v>
      </c>
      <c r="B6875" t="s">
        <v>2076</v>
      </c>
      <c r="C6875" t="s">
        <v>9768</v>
      </c>
      <c r="D6875" t="s">
        <v>18069</v>
      </c>
      <c r="E6875" t="s">
        <v>24196</v>
      </c>
      <c r="F6875" t="s">
        <v>31574</v>
      </c>
      <c r="G6875" t="s">
        <v>31582</v>
      </c>
      <c r="H6875" t="s">
        <v>31591</v>
      </c>
      <c r="I6875" t="s">
        <v>8822</v>
      </c>
      <c r="J6875" t="s">
        <v>36152</v>
      </c>
      <c r="K6875" t="s">
        <v>41186</v>
      </c>
      <c r="M6875" t="s">
        <v>43750</v>
      </c>
      <c r="N6875" t="s">
        <v>45095</v>
      </c>
      <c r="O6875" t="s">
        <v>45096</v>
      </c>
      <c r="P6875">
        <v>0</v>
      </c>
      <c r="Q6875">
        <v>0</v>
      </c>
      <c r="R6875" t="s">
        <v>45103</v>
      </c>
      <c r="S6875" t="s">
        <v>45270</v>
      </c>
      <c r="T6875" t="s">
        <v>47080</v>
      </c>
      <c r="U6875" t="s">
        <v>53236</v>
      </c>
      <c r="W6875" t="s">
        <v>43750</v>
      </c>
      <c r="X6875" t="s">
        <v>45104</v>
      </c>
    </row>
    <row r="6876" spans="1:24">
      <c r="A6876">
        <f>HYPERLINK("https://www.philgeps.gov.ph/GEPSNONPILOT/Tender/SplashBidNoticeAbstractUI.aspx?menuIndex=3&amp;refID=7035320&amp;Result=3","7035320")</f>
        <v>0</v>
      </c>
      <c r="B6876" t="s">
        <v>523</v>
      </c>
      <c r="C6876" t="s">
        <v>4348</v>
      </c>
      <c r="D6876" t="s">
        <v>18055</v>
      </c>
      <c r="E6876" t="s">
        <v>24197</v>
      </c>
      <c r="F6876" t="s">
        <v>31574</v>
      </c>
      <c r="G6876" t="s">
        <v>31582</v>
      </c>
      <c r="H6876" t="s">
        <v>31591</v>
      </c>
      <c r="I6876" t="s">
        <v>8822</v>
      </c>
      <c r="J6876" t="s">
        <v>36153</v>
      </c>
      <c r="K6876" t="s">
        <v>41193</v>
      </c>
      <c r="M6876" t="s">
        <v>42019</v>
      </c>
      <c r="N6876" t="s">
        <v>45095</v>
      </c>
      <c r="O6876" t="s">
        <v>45096</v>
      </c>
      <c r="P6876">
        <v>0</v>
      </c>
      <c r="Q6876">
        <v>1</v>
      </c>
      <c r="R6876" t="s">
        <v>45103</v>
      </c>
      <c r="S6876" t="s">
        <v>45270</v>
      </c>
      <c r="T6876" t="s">
        <v>46973</v>
      </c>
      <c r="U6876" t="s">
        <v>53237</v>
      </c>
      <c r="V6876" t="s">
        <v>60593</v>
      </c>
      <c r="W6876" t="s">
        <v>42019</v>
      </c>
      <c r="X6876" t="s">
        <v>45104</v>
      </c>
    </row>
    <row r="6877" spans="1:24">
      <c r="A6877">
        <f>HYPERLINK("https://www.philgeps.gov.ph/GEPSNONPILOT/Tender/SplashBidNoticeAbstractUI.aspx?menuIndex=3&amp;refID=7035318&amp;Result=3","7035318")</f>
        <v>0</v>
      </c>
      <c r="B6877" t="s">
        <v>38</v>
      </c>
      <c r="C6877" t="s">
        <v>9769</v>
      </c>
      <c r="D6877" t="s">
        <v>18033</v>
      </c>
      <c r="E6877" t="s">
        <v>24198</v>
      </c>
      <c r="F6877" t="s">
        <v>31574</v>
      </c>
      <c r="G6877" t="s">
        <v>31582</v>
      </c>
      <c r="H6877" t="s">
        <v>31590</v>
      </c>
      <c r="I6877" t="s">
        <v>31630</v>
      </c>
      <c r="J6877" t="s">
        <v>36154</v>
      </c>
      <c r="K6877" t="s">
        <v>41194</v>
      </c>
      <c r="M6877" t="s">
        <v>42506</v>
      </c>
      <c r="N6877" t="s">
        <v>45095</v>
      </c>
      <c r="O6877" t="s">
        <v>45096</v>
      </c>
      <c r="P6877">
        <v>0</v>
      </c>
      <c r="Q6877">
        <v>0</v>
      </c>
      <c r="R6877" t="s">
        <v>45103</v>
      </c>
      <c r="S6877" t="s">
        <v>45270</v>
      </c>
      <c r="T6877" t="s">
        <v>46985</v>
      </c>
      <c r="U6877" t="s">
        <v>53238</v>
      </c>
      <c r="V6877" t="s">
        <v>60085</v>
      </c>
      <c r="W6877" t="s">
        <v>42506</v>
      </c>
      <c r="X6877" t="s">
        <v>45104</v>
      </c>
    </row>
    <row r="6878" spans="1:24">
      <c r="A6878">
        <f>HYPERLINK("https://www.philgeps.gov.ph/GEPSNONPILOT/Tender/SplashBidNoticeAbstractUI.aspx?menuIndex=3&amp;refID=7035317&amp;Result=3","7035317")</f>
        <v>0</v>
      </c>
      <c r="B6878" t="s">
        <v>189</v>
      </c>
      <c r="C6878" t="s">
        <v>9770</v>
      </c>
      <c r="D6878" t="s">
        <v>18081</v>
      </c>
      <c r="E6878" t="s">
        <v>24199</v>
      </c>
      <c r="F6878" t="s">
        <v>31574</v>
      </c>
      <c r="G6878" t="s">
        <v>31581</v>
      </c>
      <c r="H6878" t="s">
        <v>31590</v>
      </c>
      <c r="I6878" t="s">
        <v>4354</v>
      </c>
      <c r="J6878" t="s">
        <v>32017</v>
      </c>
      <c r="K6878" t="s">
        <v>41196</v>
      </c>
      <c r="M6878" t="s">
        <v>41674</v>
      </c>
      <c r="N6878" t="s">
        <v>45095</v>
      </c>
      <c r="O6878" t="s">
        <v>45096</v>
      </c>
      <c r="P6878">
        <v>0</v>
      </c>
      <c r="Q6878">
        <v>1</v>
      </c>
      <c r="R6878" t="s">
        <v>45103</v>
      </c>
      <c r="S6878" t="s">
        <v>45270</v>
      </c>
      <c r="T6878" t="s">
        <v>47178</v>
      </c>
      <c r="U6878" t="s">
        <v>53239</v>
      </c>
      <c r="W6878" t="s">
        <v>41674</v>
      </c>
      <c r="X6878" t="s">
        <v>45104</v>
      </c>
    </row>
    <row r="6879" spans="1:24">
      <c r="A6879">
        <f>HYPERLINK("https://www.philgeps.gov.ph/GEPSNONPILOT/Tender/SplashBidNoticeAbstractUI.aspx?menuIndex=3&amp;refID=7035336&amp;Result=3","7035336")</f>
        <v>0</v>
      </c>
      <c r="B6879" t="s">
        <v>38</v>
      </c>
      <c r="C6879" t="s">
        <v>9771</v>
      </c>
      <c r="D6879" t="s">
        <v>18033</v>
      </c>
      <c r="E6879" t="s">
        <v>24200</v>
      </c>
      <c r="F6879" t="s">
        <v>31574</v>
      </c>
      <c r="G6879" t="s">
        <v>31582</v>
      </c>
      <c r="H6879" t="s">
        <v>31590</v>
      </c>
      <c r="I6879" t="s">
        <v>8258</v>
      </c>
      <c r="J6879" t="s">
        <v>36155</v>
      </c>
      <c r="K6879" t="s">
        <v>41194</v>
      </c>
      <c r="M6879" t="s">
        <v>42506</v>
      </c>
      <c r="N6879" t="s">
        <v>45095</v>
      </c>
      <c r="O6879" t="s">
        <v>45096</v>
      </c>
      <c r="P6879">
        <v>0</v>
      </c>
      <c r="Q6879">
        <v>3</v>
      </c>
      <c r="R6879" t="s">
        <v>45103</v>
      </c>
      <c r="S6879" t="s">
        <v>45270</v>
      </c>
      <c r="T6879" t="s">
        <v>46985</v>
      </c>
      <c r="U6879" t="s">
        <v>53240</v>
      </c>
      <c r="V6879" t="s">
        <v>60085</v>
      </c>
      <c r="W6879" t="s">
        <v>42506</v>
      </c>
      <c r="X6879" t="s">
        <v>45104</v>
      </c>
    </row>
    <row r="6880" spans="1:24">
      <c r="A6880">
        <f>HYPERLINK("https://www.philgeps.gov.ph/GEPSNONPILOT/Tender/SplashBidNoticeAbstractUI.aspx?menuIndex=3&amp;refID=7035328&amp;Result=3","7035328")</f>
        <v>0</v>
      </c>
      <c r="B6880" t="s">
        <v>2075</v>
      </c>
      <c r="C6880" t="s">
        <v>9772</v>
      </c>
      <c r="D6880" t="s">
        <v>18073</v>
      </c>
      <c r="E6880" t="s">
        <v>24201</v>
      </c>
      <c r="F6880" t="s">
        <v>31574</v>
      </c>
      <c r="G6880" t="s">
        <v>31582</v>
      </c>
      <c r="H6880" t="s">
        <v>31590</v>
      </c>
      <c r="I6880" t="s">
        <v>7185</v>
      </c>
      <c r="J6880" t="s">
        <v>36156</v>
      </c>
      <c r="K6880" t="s">
        <v>41186</v>
      </c>
      <c r="M6880" t="s">
        <v>43749</v>
      </c>
      <c r="N6880" t="s">
        <v>45095</v>
      </c>
      <c r="O6880" t="s">
        <v>45096</v>
      </c>
      <c r="P6880">
        <v>0</v>
      </c>
      <c r="Q6880">
        <v>5</v>
      </c>
      <c r="R6880" t="s">
        <v>45103</v>
      </c>
      <c r="S6880" t="s">
        <v>45270</v>
      </c>
      <c r="T6880" t="s">
        <v>47266</v>
      </c>
      <c r="U6880" t="s">
        <v>53241</v>
      </c>
      <c r="W6880" t="s">
        <v>61725</v>
      </c>
      <c r="X6880" t="s">
        <v>45104</v>
      </c>
    </row>
    <row r="6881" spans="1:24">
      <c r="A6881">
        <f>HYPERLINK("https://www.philgeps.gov.ph/GEPSNONPILOT/Tender/SplashBidNoticeAbstractUI.aspx?menuIndex=3&amp;refID=7035316&amp;Result=3","7035316")</f>
        <v>0</v>
      </c>
      <c r="B6881" t="s">
        <v>38</v>
      </c>
      <c r="C6881" t="s">
        <v>9773</v>
      </c>
      <c r="D6881" t="s">
        <v>18033</v>
      </c>
      <c r="E6881" t="s">
        <v>24202</v>
      </c>
      <c r="F6881" t="s">
        <v>31574</v>
      </c>
      <c r="G6881" t="s">
        <v>31581</v>
      </c>
      <c r="H6881" t="s">
        <v>31590</v>
      </c>
      <c r="I6881" t="s">
        <v>31605</v>
      </c>
      <c r="J6881" t="s">
        <v>36157</v>
      </c>
      <c r="K6881" t="s">
        <v>41194</v>
      </c>
      <c r="M6881" t="s">
        <v>41521</v>
      </c>
      <c r="N6881" t="s">
        <v>45095</v>
      </c>
      <c r="O6881" t="s">
        <v>45096</v>
      </c>
      <c r="P6881">
        <v>0</v>
      </c>
      <c r="Q6881">
        <v>2</v>
      </c>
      <c r="R6881" t="s">
        <v>45103</v>
      </c>
      <c r="S6881" t="s">
        <v>45270</v>
      </c>
      <c r="T6881" t="s">
        <v>46913</v>
      </c>
      <c r="U6881" t="s">
        <v>53242</v>
      </c>
      <c r="V6881" t="s">
        <v>60383</v>
      </c>
      <c r="W6881" t="s">
        <v>41521</v>
      </c>
      <c r="X6881" t="s">
        <v>45104</v>
      </c>
    </row>
    <row r="6882" spans="1:24">
      <c r="A6882">
        <f>HYPERLINK("https://www.philgeps.gov.ph/GEPSNONPILOT/Tender/SplashBidNoticeAbstractUI.aspx?menuIndex=3&amp;refID=7035338&amp;Result=3","7035338")</f>
        <v>0</v>
      </c>
      <c r="B6882" t="s">
        <v>927</v>
      </c>
      <c r="C6882" t="s">
        <v>9774</v>
      </c>
      <c r="D6882" t="s">
        <v>18040</v>
      </c>
      <c r="E6882" t="s">
        <v>24203</v>
      </c>
      <c r="F6882" t="s">
        <v>31574</v>
      </c>
      <c r="G6882" t="s">
        <v>31582</v>
      </c>
      <c r="H6882" t="s">
        <v>31591</v>
      </c>
      <c r="I6882" t="s">
        <v>4046</v>
      </c>
      <c r="J6882" t="s">
        <v>36158</v>
      </c>
      <c r="K6882" t="s">
        <v>41193</v>
      </c>
      <c r="M6882" t="s">
        <v>42454</v>
      </c>
      <c r="N6882" t="s">
        <v>45095</v>
      </c>
      <c r="O6882" t="s">
        <v>45096</v>
      </c>
      <c r="P6882">
        <v>0</v>
      </c>
      <c r="Q6882">
        <v>0</v>
      </c>
      <c r="R6882" t="s">
        <v>45103</v>
      </c>
      <c r="S6882" t="s">
        <v>45270</v>
      </c>
      <c r="T6882" t="s">
        <v>47058</v>
      </c>
      <c r="U6882" t="s">
        <v>53243</v>
      </c>
      <c r="W6882" t="s">
        <v>42454</v>
      </c>
      <c r="X6882" t="s">
        <v>45104</v>
      </c>
    </row>
    <row r="6883" spans="1:24">
      <c r="A6883">
        <f>HYPERLINK("https://www.philgeps.gov.ph/GEPSNONPILOT/Tender/SplashBidNoticeAbstractUI.aspx?menuIndex=3&amp;refID=7035341&amp;Result=3","7035341")</f>
        <v>0</v>
      </c>
      <c r="B6883" t="s">
        <v>59</v>
      </c>
      <c r="C6883" t="s">
        <v>9775</v>
      </c>
      <c r="D6883" t="s">
        <v>18048</v>
      </c>
      <c r="E6883" t="s">
        <v>24204</v>
      </c>
      <c r="F6883" t="s">
        <v>31574</v>
      </c>
      <c r="G6883" t="s">
        <v>31581</v>
      </c>
      <c r="H6883" t="s">
        <v>31590</v>
      </c>
      <c r="I6883" t="s">
        <v>31623</v>
      </c>
      <c r="J6883" t="s">
        <v>31727</v>
      </c>
      <c r="K6883" t="s">
        <v>41191</v>
      </c>
      <c r="M6883" t="s">
        <v>43751</v>
      </c>
      <c r="N6883" t="s">
        <v>45095</v>
      </c>
      <c r="O6883" t="s">
        <v>45096</v>
      </c>
      <c r="P6883">
        <v>0</v>
      </c>
      <c r="Q6883">
        <v>1</v>
      </c>
      <c r="R6883" t="s">
        <v>45103</v>
      </c>
      <c r="S6883" t="s">
        <v>45270</v>
      </c>
      <c r="T6883" t="s">
        <v>46918</v>
      </c>
      <c r="U6883" t="s">
        <v>53244</v>
      </c>
      <c r="W6883" t="s">
        <v>43751</v>
      </c>
      <c r="X6883" t="s">
        <v>45104</v>
      </c>
    </row>
    <row r="6884" spans="1:24">
      <c r="A6884">
        <f>HYPERLINK("https://www.philgeps.gov.ph/GEPSNONPILOT/Tender/SplashBidNoticeAbstractUI.aspx?menuIndex=3&amp;refID=7035349&amp;Result=3","7035349")</f>
        <v>0</v>
      </c>
      <c r="B6884" t="s">
        <v>2077</v>
      </c>
      <c r="C6884" t="s">
        <v>9776</v>
      </c>
      <c r="D6884" t="s">
        <v>18089</v>
      </c>
      <c r="E6884" t="s">
        <v>24205</v>
      </c>
      <c r="F6884" t="s">
        <v>31574</v>
      </c>
      <c r="G6884" t="s">
        <v>31582</v>
      </c>
      <c r="H6884" t="s">
        <v>31591</v>
      </c>
      <c r="I6884" t="s">
        <v>8822</v>
      </c>
      <c r="J6884" t="s">
        <v>36159</v>
      </c>
      <c r="K6884" t="s">
        <v>41222</v>
      </c>
      <c r="M6884" t="s">
        <v>43752</v>
      </c>
      <c r="N6884" t="s">
        <v>45095</v>
      </c>
      <c r="O6884" t="s">
        <v>45096</v>
      </c>
      <c r="P6884">
        <v>0</v>
      </c>
      <c r="Q6884">
        <v>1</v>
      </c>
      <c r="R6884" t="s">
        <v>45103</v>
      </c>
      <c r="S6884" t="s">
        <v>45270</v>
      </c>
      <c r="T6884" t="s">
        <v>47307</v>
      </c>
      <c r="U6884" t="s">
        <v>53245</v>
      </c>
      <c r="W6884" t="s">
        <v>43752</v>
      </c>
      <c r="X6884" t="s">
        <v>45104</v>
      </c>
    </row>
    <row r="6885" spans="1:24">
      <c r="A6885">
        <f>HYPERLINK("https://www.philgeps.gov.ph/GEPSNONPILOT/Tender/SplashBidNoticeAbstractUI.aspx?menuIndex=3&amp;refID=7035339&amp;Result=3","7035339")</f>
        <v>0</v>
      </c>
      <c r="B6885" t="s">
        <v>38</v>
      </c>
      <c r="C6885" t="s">
        <v>9777</v>
      </c>
      <c r="D6885" t="s">
        <v>18033</v>
      </c>
      <c r="E6885" t="s">
        <v>24206</v>
      </c>
      <c r="F6885" t="s">
        <v>31574</v>
      </c>
      <c r="G6885" t="s">
        <v>31582</v>
      </c>
      <c r="H6885" t="s">
        <v>31590</v>
      </c>
      <c r="I6885" t="s">
        <v>31598</v>
      </c>
      <c r="J6885" t="s">
        <v>32120</v>
      </c>
      <c r="K6885" t="s">
        <v>41194</v>
      </c>
      <c r="M6885" t="s">
        <v>42487</v>
      </c>
      <c r="N6885" t="s">
        <v>45095</v>
      </c>
      <c r="O6885" t="s">
        <v>45096</v>
      </c>
      <c r="P6885">
        <v>0</v>
      </c>
      <c r="Q6885">
        <v>13</v>
      </c>
      <c r="R6885" t="s">
        <v>45103</v>
      </c>
      <c r="S6885" t="s">
        <v>45270</v>
      </c>
      <c r="T6885" t="s">
        <v>47004</v>
      </c>
      <c r="U6885" t="s">
        <v>53246</v>
      </c>
      <c r="V6885" t="s">
        <v>60085</v>
      </c>
      <c r="W6885" t="s">
        <v>42487</v>
      </c>
      <c r="X6885" t="s">
        <v>45104</v>
      </c>
    </row>
    <row r="6886" spans="1:24">
      <c r="A6886">
        <f>HYPERLINK("https://www.philgeps.gov.ph/GEPSNONPILOT/Tender/SplashBidNoticeAbstractUI.aspx?menuIndex=3&amp;refID=7035343&amp;Result=3","7035343")</f>
        <v>0</v>
      </c>
      <c r="B6886" t="s">
        <v>2075</v>
      </c>
      <c r="C6886" t="s">
        <v>9778</v>
      </c>
      <c r="D6886" t="s">
        <v>18073</v>
      </c>
      <c r="E6886" t="s">
        <v>24207</v>
      </c>
      <c r="F6886" t="s">
        <v>31574</v>
      </c>
      <c r="G6886" t="s">
        <v>31582</v>
      </c>
      <c r="H6886" t="s">
        <v>31590</v>
      </c>
      <c r="I6886" t="s">
        <v>31636</v>
      </c>
      <c r="J6886" t="s">
        <v>36160</v>
      </c>
      <c r="K6886" t="s">
        <v>41186</v>
      </c>
      <c r="M6886" t="s">
        <v>43749</v>
      </c>
      <c r="N6886" t="s">
        <v>45095</v>
      </c>
      <c r="O6886" t="s">
        <v>45096</v>
      </c>
      <c r="P6886">
        <v>0</v>
      </c>
      <c r="Q6886">
        <v>4</v>
      </c>
      <c r="R6886" t="s">
        <v>45103</v>
      </c>
      <c r="S6886" t="s">
        <v>45270</v>
      </c>
      <c r="T6886" t="s">
        <v>47266</v>
      </c>
      <c r="U6886" t="s">
        <v>53247</v>
      </c>
      <c r="W6886" t="s">
        <v>61725</v>
      </c>
      <c r="X6886" t="s">
        <v>45104</v>
      </c>
    </row>
    <row r="6887" spans="1:24">
      <c r="A6887">
        <f>HYPERLINK("https://www.philgeps.gov.ph/GEPSNONPILOT/Tender/SplashBidNoticeAbstractUI.aspx?menuIndex=3&amp;refID=7035348&amp;Result=3","7035348")</f>
        <v>0</v>
      </c>
      <c r="B6887" t="s">
        <v>1574</v>
      </c>
      <c r="C6887" t="s">
        <v>9779</v>
      </c>
      <c r="D6887" t="s">
        <v>18031</v>
      </c>
      <c r="E6887" t="s">
        <v>21821</v>
      </c>
      <c r="F6887" t="s">
        <v>31574</v>
      </c>
      <c r="G6887" t="s">
        <v>31583</v>
      </c>
      <c r="H6887" t="s">
        <v>31590</v>
      </c>
      <c r="I6887" t="s">
        <v>31607</v>
      </c>
      <c r="J6887" t="s">
        <v>32126</v>
      </c>
      <c r="K6887" t="s">
        <v>41196</v>
      </c>
      <c r="M6887" t="s">
        <v>43177</v>
      </c>
      <c r="N6887" t="s">
        <v>45095</v>
      </c>
      <c r="O6887" t="s">
        <v>45096</v>
      </c>
      <c r="P6887">
        <v>0</v>
      </c>
      <c r="Q6887">
        <v>9</v>
      </c>
      <c r="R6887" t="s">
        <v>45103</v>
      </c>
      <c r="S6887" t="s">
        <v>45270</v>
      </c>
      <c r="T6887" t="s">
        <v>47158</v>
      </c>
      <c r="U6887" t="s">
        <v>53248</v>
      </c>
      <c r="V6887" t="s">
        <v>60342</v>
      </c>
      <c r="W6887" t="s">
        <v>43177</v>
      </c>
      <c r="X6887" t="s">
        <v>45104</v>
      </c>
    </row>
    <row r="6888" spans="1:24">
      <c r="A6888">
        <f>HYPERLINK("https://www.philgeps.gov.ph/GEPSNONPILOT/Tender/SplashBidNoticeAbstractUI.aspx?menuIndex=3&amp;refID=7035362&amp;Result=3","7035362")</f>
        <v>0</v>
      </c>
      <c r="B6888" t="s">
        <v>59</v>
      </c>
      <c r="C6888" t="s">
        <v>9780</v>
      </c>
      <c r="D6888" t="s">
        <v>18048</v>
      </c>
      <c r="E6888" t="s">
        <v>24208</v>
      </c>
      <c r="F6888" t="s">
        <v>31574</v>
      </c>
      <c r="G6888" t="s">
        <v>31581</v>
      </c>
      <c r="H6888" t="s">
        <v>31590</v>
      </c>
      <c r="I6888" t="s">
        <v>31623</v>
      </c>
      <c r="J6888" t="s">
        <v>31789</v>
      </c>
      <c r="K6888" t="s">
        <v>41186</v>
      </c>
      <c r="M6888" t="s">
        <v>43751</v>
      </c>
      <c r="N6888" t="s">
        <v>45095</v>
      </c>
      <c r="O6888" t="s">
        <v>45096</v>
      </c>
      <c r="P6888">
        <v>0</v>
      </c>
      <c r="Q6888">
        <v>0</v>
      </c>
      <c r="R6888" t="s">
        <v>45103</v>
      </c>
      <c r="S6888" t="s">
        <v>45270</v>
      </c>
      <c r="T6888" t="s">
        <v>46918</v>
      </c>
      <c r="U6888" t="s">
        <v>53249</v>
      </c>
      <c r="W6888" t="s">
        <v>43751</v>
      </c>
      <c r="X6888" t="s">
        <v>45104</v>
      </c>
    </row>
    <row r="6889" spans="1:24">
      <c r="A6889">
        <f>HYPERLINK("https://www.philgeps.gov.ph/GEPSNONPILOT/Tender/SplashBidNoticeAbstractUI.aspx?menuIndex=3&amp;refID=7035360&amp;Result=3","7035360")</f>
        <v>0</v>
      </c>
      <c r="B6889" t="s">
        <v>1509</v>
      </c>
      <c r="C6889" t="s">
        <v>9781</v>
      </c>
      <c r="E6889" t="s">
        <v>24209</v>
      </c>
      <c r="F6889" t="s">
        <v>31574</v>
      </c>
      <c r="G6889" t="s">
        <v>31581</v>
      </c>
      <c r="H6889" t="s">
        <v>31590</v>
      </c>
      <c r="I6889" t="s">
        <v>5717</v>
      </c>
      <c r="J6889" t="s">
        <v>36161</v>
      </c>
      <c r="K6889" t="s">
        <v>41184</v>
      </c>
      <c r="M6889" t="s">
        <v>43098</v>
      </c>
      <c r="N6889" t="s">
        <v>45095</v>
      </c>
      <c r="O6889" t="s">
        <v>45096</v>
      </c>
      <c r="P6889">
        <v>0</v>
      </c>
      <c r="Q6889">
        <v>3</v>
      </c>
      <c r="R6889" t="s">
        <v>45103</v>
      </c>
      <c r="S6889" t="s">
        <v>45270</v>
      </c>
      <c r="T6889" t="s">
        <v>46918</v>
      </c>
      <c r="U6889" t="s">
        <v>53250</v>
      </c>
      <c r="W6889" t="s">
        <v>43098</v>
      </c>
      <c r="X6889" t="s">
        <v>45104</v>
      </c>
    </row>
    <row r="6890" spans="1:24">
      <c r="A6890">
        <f>HYPERLINK("https://www.philgeps.gov.ph/GEPSNONPILOT/Tender/SplashBidNoticeAbstractUI.aspx?menuIndex=3&amp;refID=7035346&amp;Result=3","7035346")</f>
        <v>0</v>
      </c>
      <c r="B6890" t="s">
        <v>927</v>
      </c>
      <c r="C6890" t="s">
        <v>9782</v>
      </c>
      <c r="D6890" t="s">
        <v>18040</v>
      </c>
      <c r="E6890" t="s">
        <v>24210</v>
      </c>
      <c r="F6890" t="s">
        <v>31574</v>
      </c>
      <c r="G6890" t="s">
        <v>31582</v>
      </c>
      <c r="H6890" t="s">
        <v>31591</v>
      </c>
      <c r="I6890" t="s">
        <v>8822</v>
      </c>
      <c r="J6890" t="s">
        <v>36162</v>
      </c>
      <c r="K6890" t="s">
        <v>41193</v>
      </c>
      <c r="M6890" t="s">
        <v>42454</v>
      </c>
      <c r="N6890" t="s">
        <v>45095</v>
      </c>
      <c r="O6890" t="s">
        <v>45096</v>
      </c>
      <c r="P6890">
        <v>0</v>
      </c>
      <c r="Q6890">
        <v>0</v>
      </c>
      <c r="R6890" t="s">
        <v>45103</v>
      </c>
      <c r="S6890" t="s">
        <v>45270</v>
      </c>
      <c r="T6890" t="s">
        <v>47058</v>
      </c>
      <c r="U6890" t="s">
        <v>53251</v>
      </c>
      <c r="W6890" t="s">
        <v>42454</v>
      </c>
      <c r="X6890" t="s">
        <v>45104</v>
      </c>
    </row>
    <row r="6891" spans="1:24">
      <c r="A6891">
        <f>HYPERLINK("https://www.philgeps.gov.ph/GEPSNONPILOT/Tender/SplashBidNoticeAbstractUI.aspx?menuIndex=3&amp;refID=7035354&amp;Result=3","7035354")</f>
        <v>0</v>
      </c>
      <c r="B6891" t="s">
        <v>59</v>
      </c>
      <c r="C6891" t="s">
        <v>9783</v>
      </c>
      <c r="D6891" t="s">
        <v>18048</v>
      </c>
      <c r="E6891" t="s">
        <v>24211</v>
      </c>
      <c r="F6891" t="s">
        <v>31574</v>
      </c>
      <c r="G6891" t="s">
        <v>31581</v>
      </c>
      <c r="H6891" t="s">
        <v>31590</v>
      </c>
      <c r="I6891" t="s">
        <v>31623</v>
      </c>
      <c r="J6891" t="s">
        <v>36163</v>
      </c>
      <c r="K6891" t="s">
        <v>41190</v>
      </c>
      <c r="M6891" t="s">
        <v>43751</v>
      </c>
      <c r="N6891" t="s">
        <v>45095</v>
      </c>
      <c r="O6891" t="s">
        <v>45096</v>
      </c>
      <c r="P6891">
        <v>0</v>
      </c>
      <c r="Q6891">
        <v>0</v>
      </c>
      <c r="R6891" t="s">
        <v>45103</v>
      </c>
      <c r="S6891" t="s">
        <v>45270</v>
      </c>
      <c r="T6891" t="s">
        <v>46918</v>
      </c>
      <c r="U6891" t="s">
        <v>53252</v>
      </c>
      <c r="W6891" t="s">
        <v>43751</v>
      </c>
      <c r="X6891" t="s">
        <v>45104</v>
      </c>
    </row>
    <row r="6892" spans="1:24">
      <c r="A6892">
        <f>HYPERLINK("https://www.philgeps.gov.ph/GEPSNONPILOT/Tender/SplashBidNoticeAbstractUI.aspx?menuIndex=3&amp;refID=7035358&amp;Result=3","7035358")</f>
        <v>0</v>
      </c>
      <c r="B6892" t="s">
        <v>2078</v>
      </c>
      <c r="C6892" t="s">
        <v>9784</v>
      </c>
      <c r="D6892" t="s">
        <v>18072</v>
      </c>
      <c r="E6892" t="s">
        <v>24212</v>
      </c>
      <c r="F6892" t="s">
        <v>31574</v>
      </c>
      <c r="G6892" t="s">
        <v>31582</v>
      </c>
      <c r="H6892" t="s">
        <v>31590</v>
      </c>
      <c r="I6892" t="s">
        <v>4046</v>
      </c>
      <c r="J6892" t="s">
        <v>36164</v>
      </c>
      <c r="K6892" t="s">
        <v>41186</v>
      </c>
      <c r="M6892" t="s">
        <v>43753</v>
      </c>
      <c r="N6892" t="s">
        <v>45095</v>
      </c>
      <c r="O6892" t="s">
        <v>45096</v>
      </c>
      <c r="P6892">
        <v>0</v>
      </c>
      <c r="Q6892">
        <v>1</v>
      </c>
      <c r="R6892" t="s">
        <v>45103</v>
      </c>
      <c r="S6892" t="s">
        <v>45270</v>
      </c>
      <c r="T6892" t="s">
        <v>47064</v>
      </c>
      <c r="U6892" t="s">
        <v>53253</v>
      </c>
      <c r="W6892" t="s">
        <v>43753</v>
      </c>
      <c r="X6892" t="s">
        <v>45104</v>
      </c>
    </row>
    <row r="6893" spans="1:24">
      <c r="A6893">
        <f>HYPERLINK("https://www.philgeps.gov.ph/GEPSNONPILOT/Tender/SplashBidNoticeAbstractUI.aspx?menuIndex=3&amp;refID=7035375&amp;Result=3","7035375")</f>
        <v>0</v>
      </c>
      <c r="B6893" t="s">
        <v>2079</v>
      </c>
      <c r="C6893" t="s">
        <v>9785</v>
      </c>
      <c r="D6893" t="s">
        <v>18033</v>
      </c>
      <c r="E6893" t="s">
        <v>18422</v>
      </c>
      <c r="F6893" t="s">
        <v>31574</v>
      </c>
      <c r="G6893" t="s">
        <v>31582</v>
      </c>
      <c r="H6893" t="s">
        <v>31590</v>
      </c>
      <c r="I6893" t="s">
        <v>4046</v>
      </c>
      <c r="J6893" t="s">
        <v>36165</v>
      </c>
      <c r="K6893" t="s">
        <v>41196</v>
      </c>
      <c r="M6893" t="s">
        <v>43754</v>
      </c>
      <c r="N6893" t="s">
        <v>45095</v>
      </c>
      <c r="O6893" t="s">
        <v>45096</v>
      </c>
      <c r="P6893">
        <v>0</v>
      </c>
      <c r="Q6893">
        <v>0</v>
      </c>
      <c r="R6893" t="s">
        <v>45103</v>
      </c>
      <c r="S6893" t="s">
        <v>45270</v>
      </c>
      <c r="T6893" t="s">
        <v>46973</v>
      </c>
      <c r="U6893" t="s">
        <v>53254</v>
      </c>
      <c r="W6893" t="s">
        <v>43754</v>
      </c>
      <c r="X6893" t="s">
        <v>45104</v>
      </c>
    </row>
    <row r="6894" spans="1:24">
      <c r="A6894">
        <f>HYPERLINK("https://www.philgeps.gov.ph/GEPSNONPILOT/Tender/SplashBidNoticeAbstractUI.aspx?menuIndex=3&amp;refID=7035350&amp;Result=3","7035350")</f>
        <v>0</v>
      </c>
      <c r="B6894" t="s">
        <v>1715</v>
      </c>
      <c r="C6894" t="s">
        <v>9786</v>
      </c>
      <c r="D6894" t="s">
        <v>18035</v>
      </c>
      <c r="E6894" t="s">
        <v>24213</v>
      </c>
      <c r="F6894" t="s">
        <v>31574</v>
      </c>
      <c r="G6894" t="s">
        <v>31582</v>
      </c>
      <c r="H6894" t="s">
        <v>31591</v>
      </c>
      <c r="I6894" t="s">
        <v>8822</v>
      </c>
      <c r="J6894" t="s">
        <v>36166</v>
      </c>
      <c r="K6894" t="s">
        <v>41184</v>
      </c>
      <c r="M6894" t="s">
        <v>43331</v>
      </c>
      <c r="N6894" t="s">
        <v>45095</v>
      </c>
      <c r="O6894" t="s">
        <v>45096</v>
      </c>
      <c r="P6894">
        <v>0</v>
      </c>
      <c r="Q6894">
        <v>31</v>
      </c>
      <c r="R6894" t="s">
        <v>45103</v>
      </c>
      <c r="S6894" t="s">
        <v>45270</v>
      </c>
      <c r="T6894" t="s">
        <v>46936</v>
      </c>
      <c r="U6894" t="s">
        <v>53255</v>
      </c>
      <c r="W6894" t="s">
        <v>43331</v>
      </c>
      <c r="X6894" t="s">
        <v>45104</v>
      </c>
    </row>
    <row r="6895" spans="1:24">
      <c r="A6895">
        <f>HYPERLINK("https://www.philgeps.gov.ph/GEPSNONPILOT/Tender/SplashBidNoticeAbstractUI.aspx?menuIndex=3&amp;refID=7035365&amp;Result=3","7035365")</f>
        <v>0</v>
      </c>
      <c r="B6895" t="s">
        <v>59</v>
      </c>
      <c r="C6895" t="s">
        <v>9787</v>
      </c>
      <c r="D6895" t="s">
        <v>18048</v>
      </c>
      <c r="E6895" t="s">
        <v>24214</v>
      </c>
      <c r="F6895" t="s">
        <v>31574</v>
      </c>
      <c r="G6895" t="s">
        <v>31581</v>
      </c>
      <c r="H6895" t="s">
        <v>31590</v>
      </c>
      <c r="I6895" t="s">
        <v>31623</v>
      </c>
      <c r="J6895" t="s">
        <v>31789</v>
      </c>
      <c r="K6895" t="s">
        <v>41186</v>
      </c>
      <c r="M6895" t="s">
        <v>43751</v>
      </c>
      <c r="N6895" t="s">
        <v>45095</v>
      </c>
      <c r="O6895" t="s">
        <v>45096</v>
      </c>
      <c r="P6895">
        <v>0</v>
      </c>
      <c r="Q6895">
        <v>1</v>
      </c>
      <c r="R6895" t="s">
        <v>45103</v>
      </c>
      <c r="S6895" t="s">
        <v>45270</v>
      </c>
      <c r="T6895" t="s">
        <v>46918</v>
      </c>
      <c r="U6895" t="s">
        <v>53256</v>
      </c>
      <c r="W6895" t="s">
        <v>43751</v>
      </c>
      <c r="X6895" t="s">
        <v>45104</v>
      </c>
    </row>
    <row r="6896" spans="1:24">
      <c r="A6896">
        <f>HYPERLINK("https://www.philgeps.gov.ph/GEPSNONPILOT/Tender/SplashBidNoticeAbstractUI.aspx?menuIndex=3&amp;refID=7035373&amp;Result=3","7035373")</f>
        <v>0</v>
      </c>
      <c r="B6896" t="s">
        <v>38</v>
      </c>
      <c r="C6896" t="s">
        <v>9788</v>
      </c>
      <c r="D6896" t="s">
        <v>18033</v>
      </c>
      <c r="E6896" t="s">
        <v>24215</v>
      </c>
      <c r="F6896" t="s">
        <v>31574</v>
      </c>
      <c r="G6896" t="s">
        <v>31582</v>
      </c>
      <c r="H6896" t="s">
        <v>31590</v>
      </c>
      <c r="I6896" t="s">
        <v>31598</v>
      </c>
      <c r="J6896" t="s">
        <v>32375</v>
      </c>
      <c r="K6896" t="s">
        <v>41194</v>
      </c>
      <c r="M6896" t="s">
        <v>42487</v>
      </c>
      <c r="N6896" t="s">
        <v>45095</v>
      </c>
      <c r="O6896" t="s">
        <v>45096</v>
      </c>
      <c r="P6896">
        <v>0</v>
      </c>
      <c r="Q6896">
        <v>6</v>
      </c>
      <c r="R6896" t="s">
        <v>45103</v>
      </c>
      <c r="S6896" t="s">
        <v>45270</v>
      </c>
      <c r="T6896" t="s">
        <v>47004</v>
      </c>
      <c r="U6896" t="s">
        <v>53257</v>
      </c>
      <c r="V6896" t="s">
        <v>60085</v>
      </c>
      <c r="W6896" t="s">
        <v>42487</v>
      </c>
      <c r="X6896" t="s">
        <v>45104</v>
      </c>
    </row>
    <row r="6897" spans="1:24">
      <c r="A6897">
        <f>HYPERLINK("https://www.philgeps.gov.ph/GEPSNONPILOT/Tender/SplashBidNoticeAbstractUI.aspx?menuIndex=3&amp;refID=7035361&amp;Result=3","7035361")</f>
        <v>0</v>
      </c>
      <c r="B6897" t="s">
        <v>1743</v>
      </c>
      <c r="C6897" t="s">
        <v>9789</v>
      </c>
      <c r="D6897" t="s">
        <v>18075</v>
      </c>
      <c r="E6897" t="s">
        <v>24216</v>
      </c>
      <c r="F6897" t="s">
        <v>31574</v>
      </c>
      <c r="G6897" t="s">
        <v>31581</v>
      </c>
      <c r="H6897" t="s">
        <v>31590</v>
      </c>
      <c r="I6897" t="s">
        <v>3539</v>
      </c>
      <c r="J6897" t="s">
        <v>36167</v>
      </c>
      <c r="K6897" t="s">
        <v>41213</v>
      </c>
      <c r="M6897" t="s">
        <v>43365</v>
      </c>
      <c r="N6897" t="s">
        <v>45095</v>
      </c>
      <c r="O6897" t="s">
        <v>45096</v>
      </c>
      <c r="P6897">
        <v>0</v>
      </c>
      <c r="Q6897">
        <v>3</v>
      </c>
      <c r="R6897" t="s">
        <v>45103</v>
      </c>
      <c r="S6897" t="s">
        <v>45270</v>
      </c>
      <c r="T6897" t="s">
        <v>47067</v>
      </c>
      <c r="U6897" t="s">
        <v>53258</v>
      </c>
      <c r="V6897" t="s">
        <v>60594</v>
      </c>
      <c r="W6897" t="s">
        <v>43365</v>
      </c>
      <c r="X6897" t="s">
        <v>45104</v>
      </c>
    </row>
    <row r="6898" spans="1:24">
      <c r="A6898">
        <f>HYPERLINK("https://www.philgeps.gov.ph/GEPSNONPILOT/Tender/SplashBidNoticeAbstractUI.aspx?menuIndex=3&amp;refID=7035364&amp;Result=3","7035364")</f>
        <v>0</v>
      </c>
      <c r="B6898" t="s">
        <v>183</v>
      </c>
      <c r="C6898" t="s">
        <v>9790</v>
      </c>
      <c r="D6898" t="s">
        <v>18043</v>
      </c>
      <c r="E6898" t="s">
        <v>24217</v>
      </c>
      <c r="F6898" t="s">
        <v>31574</v>
      </c>
      <c r="G6898" t="s">
        <v>31581</v>
      </c>
      <c r="H6898" t="s">
        <v>31590</v>
      </c>
      <c r="I6898" t="s">
        <v>31599</v>
      </c>
      <c r="J6898" t="s">
        <v>35558</v>
      </c>
      <c r="K6898" t="s">
        <v>41196</v>
      </c>
      <c r="M6898" t="s">
        <v>41668</v>
      </c>
      <c r="N6898" t="s">
        <v>45095</v>
      </c>
      <c r="O6898" t="s">
        <v>45096</v>
      </c>
      <c r="P6898">
        <v>0</v>
      </c>
      <c r="Q6898">
        <v>1</v>
      </c>
      <c r="R6898" t="s">
        <v>45103</v>
      </c>
      <c r="S6898" t="s">
        <v>45270</v>
      </c>
      <c r="T6898" t="s">
        <v>47106</v>
      </c>
      <c r="U6898" t="s">
        <v>53259</v>
      </c>
      <c r="V6898" t="s">
        <v>60595</v>
      </c>
      <c r="W6898" t="s">
        <v>41668</v>
      </c>
      <c r="X6898" t="s">
        <v>45104</v>
      </c>
    </row>
    <row r="6899" spans="1:24">
      <c r="A6899">
        <f>HYPERLINK("https://www.philgeps.gov.ph/GEPSNONPILOT/Tender/SplashBidNoticeAbstractUI.aspx?menuIndex=3&amp;refID=7035370&amp;Result=3","7035370")</f>
        <v>0</v>
      </c>
      <c r="B6899" t="s">
        <v>2080</v>
      </c>
      <c r="C6899" t="s">
        <v>9791</v>
      </c>
      <c r="D6899" t="s">
        <v>18028</v>
      </c>
      <c r="E6899" t="s">
        <v>18227</v>
      </c>
      <c r="F6899" t="s">
        <v>31574</v>
      </c>
      <c r="G6899" t="s">
        <v>31582</v>
      </c>
      <c r="H6899" t="s">
        <v>31591</v>
      </c>
      <c r="I6899" t="s">
        <v>8822</v>
      </c>
      <c r="J6899" t="s">
        <v>31821</v>
      </c>
      <c r="K6899" t="s">
        <v>41217</v>
      </c>
      <c r="M6899" t="s">
        <v>43755</v>
      </c>
      <c r="N6899" t="s">
        <v>45095</v>
      </c>
      <c r="O6899" t="s">
        <v>45096</v>
      </c>
      <c r="P6899">
        <v>0</v>
      </c>
      <c r="Q6899">
        <v>0</v>
      </c>
      <c r="R6899" t="s">
        <v>45103</v>
      </c>
      <c r="S6899" t="s">
        <v>45270</v>
      </c>
      <c r="T6899" t="s">
        <v>46985</v>
      </c>
      <c r="U6899" t="s">
        <v>53260</v>
      </c>
      <c r="W6899" t="s">
        <v>43755</v>
      </c>
      <c r="X6899" t="s">
        <v>45104</v>
      </c>
    </row>
    <row r="6900" spans="1:24">
      <c r="A6900">
        <f>HYPERLINK("https://www.philgeps.gov.ph/GEPSNONPILOT/Tender/SplashBidNoticeAbstractUI.aspx?menuIndex=3&amp;refID=7035374&amp;Result=3","7035374")</f>
        <v>0</v>
      </c>
      <c r="B6900" t="s">
        <v>2081</v>
      </c>
      <c r="C6900" t="s">
        <v>9792</v>
      </c>
      <c r="D6900" t="s">
        <v>18064</v>
      </c>
      <c r="E6900" t="s">
        <v>24218</v>
      </c>
      <c r="F6900" t="s">
        <v>31574</v>
      </c>
      <c r="G6900" t="s">
        <v>31582</v>
      </c>
      <c r="H6900" t="s">
        <v>31591</v>
      </c>
      <c r="I6900" t="s">
        <v>8822</v>
      </c>
      <c r="J6900" t="s">
        <v>36168</v>
      </c>
      <c r="K6900" t="s">
        <v>41243</v>
      </c>
      <c r="M6900" t="s">
        <v>43756</v>
      </c>
      <c r="N6900" t="s">
        <v>45095</v>
      </c>
      <c r="O6900" t="s">
        <v>45096</v>
      </c>
      <c r="P6900">
        <v>0</v>
      </c>
      <c r="Q6900">
        <v>0</v>
      </c>
      <c r="R6900" t="s">
        <v>45103</v>
      </c>
      <c r="S6900" t="s">
        <v>45270</v>
      </c>
      <c r="T6900" t="s">
        <v>46965</v>
      </c>
      <c r="U6900" t="s">
        <v>53261</v>
      </c>
      <c r="W6900" t="s">
        <v>43756</v>
      </c>
      <c r="X6900" t="s">
        <v>45104</v>
      </c>
    </row>
    <row r="6901" spans="1:24">
      <c r="A6901">
        <f>HYPERLINK("https://www.philgeps.gov.ph/GEPSNONPILOT/Tender/SplashBidNoticeAbstractUI.aspx?menuIndex=3&amp;refID=7035363&amp;Result=3","7035363")</f>
        <v>0</v>
      </c>
      <c r="B6901" t="s">
        <v>1715</v>
      </c>
      <c r="C6901" t="s">
        <v>9793</v>
      </c>
      <c r="D6901" t="s">
        <v>18035</v>
      </c>
      <c r="E6901" t="s">
        <v>24219</v>
      </c>
      <c r="F6901" t="s">
        <v>31574</v>
      </c>
      <c r="G6901" t="s">
        <v>31581</v>
      </c>
      <c r="H6901" t="s">
        <v>31591</v>
      </c>
      <c r="I6901" t="s">
        <v>8822</v>
      </c>
      <c r="J6901" t="s">
        <v>36169</v>
      </c>
      <c r="K6901" t="s">
        <v>41184</v>
      </c>
      <c r="M6901" t="s">
        <v>43331</v>
      </c>
      <c r="N6901" t="s">
        <v>45095</v>
      </c>
      <c r="O6901" t="s">
        <v>45096</v>
      </c>
      <c r="P6901">
        <v>0</v>
      </c>
      <c r="Q6901">
        <v>11</v>
      </c>
      <c r="R6901" t="s">
        <v>45103</v>
      </c>
      <c r="S6901" t="s">
        <v>45270</v>
      </c>
      <c r="T6901" t="s">
        <v>47159</v>
      </c>
      <c r="U6901" t="s">
        <v>53262</v>
      </c>
      <c r="W6901" t="s">
        <v>43331</v>
      </c>
      <c r="X6901" t="s">
        <v>45104</v>
      </c>
    </row>
    <row r="6902" spans="1:24">
      <c r="A6902">
        <f>HYPERLINK("https://www.philgeps.gov.ph/GEPSNONPILOT/Tender/SplashBidNoticeAbstractUI.aspx?menuIndex=3&amp;refID=7035382&amp;Result=3","7035382")</f>
        <v>0</v>
      </c>
      <c r="B6902" t="s">
        <v>1102</v>
      </c>
      <c r="C6902" t="s">
        <v>9794</v>
      </c>
      <c r="D6902" t="s">
        <v>18091</v>
      </c>
      <c r="E6902" t="s">
        <v>24220</v>
      </c>
      <c r="F6902" t="s">
        <v>31574</v>
      </c>
      <c r="G6902" t="s">
        <v>31582</v>
      </c>
      <c r="H6902" t="s">
        <v>31590</v>
      </c>
      <c r="I6902" t="s">
        <v>31594</v>
      </c>
      <c r="J6902" t="s">
        <v>36170</v>
      </c>
      <c r="K6902" t="s">
        <v>41192</v>
      </c>
      <c r="M6902" t="s">
        <v>42651</v>
      </c>
      <c r="N6902" t="s">
        <v>45095</v>
      </c>
      <c r="O6902" t="s">
        <v>45096</v>
      </c>
      <c r="P6902">
        <v>0</v>
      </c>
      <c r="Q6902">
        <v>21</v>
      </c>
      <c r="R6902" t="s">
        <v>45103</v>
      </c>
      <c r="S6902" t="s">
        <v>45270</v>
      </c>
      <c r="T6902" t="s">
        <v>47010</v>
      </c>
      <c r="U6902" t="s">
        <v>53263</v>
      </c>
      <c r="V6902" t="s">
        <v>60596</v>
      </c>
      <c r="W6902" t="s">
        <v>42651</v>
      </c>
      <c r="X6902" t="s">
        <v>45104</v>
      </c>
    </row>
    <row r="6903" spans="1:24">
      <c r="A6903">
        <f>HYPERLINK("https://www.philgeps.gov.ph/GEPSNONPILOT/Tender/SplashBidNoticeAbstractUI.aspx?menuIndex=3&amp;refID=7035377&amp;Result=3","7035377")</f>
        <v>0</v>
      </c>
      <c r="B6903" t="s">
        <v>38</v>
      </c>
      <c r="C6903" t="s">
        <v>9795</v>
      </c>
      <c r="D6903" t="s">
        <v>18033</v>
      </c>
      <c r="E6903" t="s">
        <v>24221</v>
      </c>
      <c r="F6903" t="s">
        <v>31574</v>
      </c>
      <c r="G6903" t="s">
        <v>31582</v>
      </c>
      <c r="H6903" t="s">
        <v>31590</v>
      </c>
      <c r="I6903" t="s">
        <v>8258</v>
      </c>
      <c r="J6903" t="s">
        <v>36171</v>
      </c>
      <c r="K6903" t="s">
        <v>41194</v>
      </c>
      <c r="M6903" t="s">
        <v>42506</v>
      </c>
      <c r="N6903" t="s">
        <v>45095</v>
      </c>
      <c r="O6903" t="s">
        <v>45096</v>
      </c>
      <c r="P6903">
        <v>0</v>
      </c>
      <c r="Q6903">
        <v>1</v>
      </c>
      <c r="R6903" t="s">
        <v>45103</v>
      </c>
      <c r="S6903" t="s">
        <v>45270</v>
      </c>
      <c r="T6903" t="s">
        <v>46985</v>
      </c>
      <c r="U6903" t="s">
        <v>53264</v>
      </c>
      <c r="V6903" t="s">
        <v>60085</v>
      </c>
      <c r="W6903" t="s">
        <v>42506</v>
      </c>
      <c r="X6903" t="s">
        <v>45104</v>
      </c>
    </row>
    <row r="6904" spans="1:24">
      <c r="A6904">
        <f>HYPERLINK("https://www.philgeps.gov.ph/GEPSNONPILOT/Tender/SplashBidNoticeAbstractUI.aspx?menuIndex=3&amp;refID=7035406&amp;Result=3","7035406")</f>
        <v>0</v>
      </c>
      <c r="B6904" t="s">
        <v>1229</v>
      </c>
      <c r="C6904" t="s">
        <v>9796</v>
      </c>
      <c r="D6904" t="s">
        <v>18022</v>
      </c>
      <c r="E6904" t="s">
        <v>24222</v>
      </c>
      <c r="F6904" t="s">
        <v>31574</v>
      </c>
      <c r="G6904" t="s">
        <v>31582</v>
      </c>
      <c r="H6904" t="s">
        <v>31590</v>
      </c>
      <c r="I6904" t="s">
        <v>3520</v>
      </c>
      <c r="J6904" t="s">
        <v>32076</v>
      </c>
      <c r="K6904" t="s">
        <v>41193</v>
      </c>
      <c r="M6904" t="s">
        <v>43730</v>
      </c>
      <c r="N6904" t="s">
        <v>45095</v>
      </c>
      <c r="O6904" t="s">
        <v>45096</v>
      </c>
      <c r="P6904">
        <v>0</v>
      </c>
      <c r="Q6904">
        <v>0</v>
      </c>
      <c r="R6904" t="s">
        <v>45103</v>
      </c>
      <c r="S6904" t="s">
        <v>45270</v>
      </c>
      <c r="T6904" t="s">
        <v>47010</v>
      </c>
      <c r="U6904" t="s">
        <v>53265</v>
      </c>
      <c r="W6904" t="s">
        <v>43730</v>
      </c>
      <c r="X6904" t="s">
        <v>45104</v>
      </c>
    </row>
    <row r="6905" spans="1:24">
      <c r="A6905">
        <f>HYPERLINK("https://www.philgeps.gov.ph/GEPSNONPILOT/Tender/SplashBidNoticeAbstractUI.aspx?menuIndex=3&amp;refID=7035398&amp;Result=3","7035398")</f>
        <v>0</v>
      </c>
      <c r="B6905" t="s">
        <v>2082</v>
      </c>
      <c r="C6905" t="s">
        <v>9797</v>
      </c>
      <c r="D6905" t="s">
        <v>18079</v>
      </c>
      <c r="E6905" t="s">
        <v>24223</v>
      </c>
      <c r="F6905" t="s">
        <v>31574</v>
      </c>
      <c r="G6905" t="s">
        <v>31582</v>
      </c>
      <c r="H6905" t="s">
        <v>31591</v>
      </c>
      <c r="I6905" t="s">
        <v>8822</v>
      </c>
      <c r="J6905" t="s">
        <v>36172</v>
      </c>
      <c r="K6905" t="s">
        <v>41244</v>
      </c>
      <c r="M6905" t="s">
        <v>43757</v>
      </c>
      <c r="N6905" t="s">
        <v>45095</v>
      </c>
      <c r="O6905" t="s">
        <v>45096</v>
      </c>
      <c r="P6905">
        <v>0</v>
      </c>
      <c r="Q6905">
        <v>0</v>
      </c>
      <c r="R6905" t="s">
        <v>45103</v>
      </c>
      <c r="S6905" t="s">
        <v>45270</v>
      </c>
      <c r="T6905" t="s">
        <v>46981</v>
      </c>
      <c r="U6905" t="s">
        <v>53266</v>
      </c>
      <c r="W6905" t="s">
        <v>43757</v>
      </c>
      <c r="X6905" t="s">
        <v>45104</v>
      </c>
    </row>
    <row r="6906" spans="1:24">
      <c r="A6906">
        <f>HYPERLINK("https://www.philgeps.gov.ph/GEPSNONPILOT/Tender/SplashBidNoticeAbstractUI.aspx?menuIndex=3&amp;refID=7035387&amp;Result=3","7035387")</f>
        <v>0</v>
      </c>
      <c r="B6906" t="s">
        <v>38</v>
      </c>
      <c r="C6906" t="s">
        <v>9798</v>
      </c>
      <c r="D6906" t="s">
        <v>18033</v>
      </c>
      <c r="E6906" t="s">
        <v>24224</v>
      </c>
      <c r="F6906" t="s">
        <v>31574</v>
      </c>
      <c r="G6906" t="s">
        <v>31582</v>
      </c>
      <c r="H6906" t="s">
        <v>31590</v>
      </c>
      <c r="I6906" t="s">
        <v>4327</v>
      </c>
      <c r="J6906" t="s">
        <v>31741</v>
      </c>
      <c r="K6906" t="s">
        <v>41194</v>
      </c>
      <c r="M6906" t="s">
        <v>42506</v>
      </c>
      <c r="N6906" t="s">
        <v>45095</v>
      </c>
      <c r="O6906" t="s">
        <v>45096</v>
      </c>
      <c r="P6906">
        <v>0</v>
      </c>
      <c r="Q6906">
        <v>2</v>
      </c>
      <c r="R6906" t="s">
        <v>45103</v>
      </c>
      <c r="S6906" t="s">
        <v>45270</v>
      </c>
      <c r="T6906" t="s">
        <v>47004</v>
      </c>
      <c r="U6906" t="s">
        <v>53267</v>
      </c>
      <c r="V6906" t="s">
        <v>60085</v>
      </c>
      <c r="W6906" t="s">
        <v>42506</v>
      </c>
      <c r="X6906" t="s">
        <v>45104</v>
      </c>
    </row>
    <row r="6907" spans="1:24">
      <c r="A6907">
        <f>HYPERLINK("https://www.philgeps.gov.ph/GEPSNONPILOT/Tender/SplashBidNoticeAbstractUI.aspx?menuIndex=3&amp;refID=7035381&amp;Result=3","7035381")</f>
        <v>0</v>
      </c>
      <c r="B6907" t="s">
        <v>1229</v>
      </c>
      <c r="C6907" t="s">
        <v>9799</v>
      </c>
      <c r="D6907" t="s">
        <v>18022</v>
      </c>
      <c r="E6907" t="s">
        <v>24225</v>
      </c>
      <c r="F6907" t="s">
        <v>31574</v>
      </c>
      <c r="G6907" t="s">
        <v>31582</v>
      </c>
      <c r="H6907" t="s">
        <v>31592</v>
      </c>
      <c r="I6907" t="s">
        <v>31611</v>
      </c>
      <c r="J6907" t="s">
        <v>31727</v>
      </c>
      <c r="K6907" t="s">
        <v>41193</v>
      </c>
      <c r="M6907" t="s">
        <v>43730</v>
      </c>
      <c r="N6907" t="s">
        <v>45095</v>
      </c>
      <c r="O6907" t="s">
        <v>45096</v>
      </c>
      <c r="P6907">
        <v>0</v>
      </c>
      <c r="Q6907">
        <v>0</v>
      </c>
      <c r="R6907" t="s">
        <v>45103</v>
      </c>
      <c r="S6907" t="s">
        <v>45270</v>
      </c>
      <c r="T6907" t="s">
        <v>47010</v>
      </c>
      <c r="U6907" t="s">
        <v>53268</v>
      </c>
      <c r="W6907" t="s">
        <v>43730</v>
      </c>
      <c r="X6907" t="s">
        <v>45104</v>
      </c>
    </row>
    <row r="6908" spans="1:24">
      <c r="A6908">
        <f>HYPERLINK("https://www.philgeps.gov.ph/GEPSNONPILOT/Tender/SplashBidNoticeAbstractUI.aspx?menuIndex=3&amp;refID=7035404&amp;Result=3","7035404")</f>
        <v>0</v>
      </c>
      <c r="B6908" t="s">
        <v>2083</v>
      </c>
      <c r="C6908" t="s">
        <v>9800</v>
      </c>
      <c r="D6908" t="s">
        <v>18025</v>
      </c>
      <c r="E6908" t="s">
        <v>24226</v>
      </c>
      <c r="F6908" t="s">
        <v>31574</v>
      </c>
      <c r="G6908" t="s">
        <v>31581</v>
      </c>
      <c r="H6908" t="s">
        <v>31590</v>
      </c>
      <c r="I6908" t="s">
        <v>31661</v>
      </c>
      <c r="J6908" t="s">
        <v>36173</v>
      </c>
      <c r="K6908" t="s">
        <v>41213</v>
      </c>
      <c r="M6908" t="s">
        <v>43758</v>
      </c>
      <c r="N6908" t="s">
        <v>45095</v>
      </c>
      <c r="O6908" t="s">
        <v>45096</v>
      </c>
      <c r="P6908">
        <v>0</v>
      </c>
      <c r="Q6908">
        <v>5</v>
      </c>
      <c r="R6908" t="s">
        <v>45103</v>
      </c>
      <c r="S6908" t="s">
        <v>45270</v>
      </c>
      <c r="T6908" t="s">
        <v>47076</v>
      </c>
      <c r="U6908" t="s">
        <v>53269</v>
      </c>
      <c r="W6908" t="s">
        <v>43758</v>
      </c>
      <c r="X6908" t="s">
        <v>45104</v>
      </c>
    </row>
    <row r="6909" spans="1:24">
      <c r="A6909">
        <f>HYPERLINK("https://www.philgeps.gov.ph/GEPSNONPILOT/Tender/SplashBidNoticeAbstractUI.aspx?menuIndex=3&amp;refID=7035397&amp;Result=3","7035397")</f>
        <v>0</v>
      </c>
      <c r="B6909" t="s">
        <v>681</v>
      </c>
      <c r="C6909" t="s">
        <v>9801</v>
      </c>
      <c r="D6909" t="s">
        <v>18039</v>
      </c>
      <c r="E6909" t="s">
        <v>24227</v>
      </c>
      <c r="F6909" t="s">
        <v>31574</v>
      </c>
      <c r="G6909" t="s">
        <v>31581</v>
      </c>
      <c r="H6909" t="s">
        <v>31590</v>
      </c>
      <c r="I6909" t="s">
        <v>31620</v>
      </c>
      <c r="J6909" t="s">
        <v>36174</v>
      </c>
      <c r="K6909" t="s">
        <v>41184</v>
      </c>
      <c r="M6909" t="s">
        <v>42188</v>
      </c>
      <c r="N6909" t="s">
        <v>45095</v>
      </c>
      <c r="O6909" t="s">
        <v>45096</v>
      </c>
      <c r="P6909">
        <v>0</v>
      </c>
      <c r="Q6909">
        <v>6</v>
      </c>
      <c r="R6909" t="s">
        <v>45103</v>
      </c>
      <c r="S6909" t="s">
        <v>45270</v>
      </c>
      <c r="T6909" t="s">
        <v>47158</v>
      </c>
      <c r="U6909" t="s">
        <v>53270</v>
      </c>
      <c r="W6909" t="s">
        <v>42188</v>
      </c>
      <c r="X6909" t="s">
        <v>45104</v>
      </c>
    </row>
    <row r="6910" spans="1:24">
      <c r="A6910">
        <f>HYPERLINK("https://www.philgeps.gov.ph/GEPSNONPILOT/Tender/SplashBidNoticeAbstractUI.aspx?menuIndex=3&amp;refID=7035399&amp;Result=3","7035399")</f>
        <v>0</v>
      </c>
      <c r="B6910" t="s">
        <v>780</v>
      </c>
      <c r="C6910" t="s">
        <v>9802</v>
      </c>
      <c r="D6910" t="s">
        <v>18034</v>
      </c>
      <c r="E6910" t="s">
        <v>24228</v>
      </c>
      <c r="F6910" t="s">
        <v>31574</v>
      </c>
      <c r="G6910" t="s">
        <v>31582</v>
      </c>
      <c r="H6910" t="s">
        <v>31591</v>
      </c>
      <c r="I6910" t="s">
        <v>8822</v>
      </c>
      <c r="J6910" t="s">
        <v>34050</v>
      </c>
      <c r="K6910" t="s">
        <v>41200</v>
      </c>
      <c r="L6910" t="s">
        <v>780</v>
      </c>
      <c r="M6910" t="s">
        <v>42294</v>
      </c>
      <c r="N6910" t="s">
        <v>45095</v>
      </c>
      <c r="O6910" t="s">
        <v>45096</v>
      </c>
      <c r="P6910">
        <v>0</v>
      </c>
      <c r="Q6910">
        <v>0</v>
      </c>
      <c r="R6910" t="s">
        <v>45103</v>
      </c>
      <c r="S6910" t="s">
        <v>45270</v>
      </c>
      <c r="T6910" t="s">
        <v>47000</v>
      </c>
      <c r="U6910" t="s">
        <v>53271</v>
      </c>
      <c r="V6910" t="s">
        <v>60597</v>
      </c>
      <c r="W6910" t="s">
        <v>42294</v>
      </c>
      <c r="X6910" t="s">
        <v>45104</v>
      </c>
    </row>
    <row r="6911" spans="1:24">
      <c r="A6911">
        <f>HYPERLINK("https://www.philgeps.gov.ph/GEPSNONPILOT/Tender/SplashBidNoticeAbstractUI.aspx?menuIndex=3&amp;refID=7035396&amp;Result=3","7035396")</f>
        <v>0</v>
      </c>
      <c r="B6911" t="s">
        <v>1229</v>
      </c>
      <c r="C6911" t="s">
        <v>9803</v>
      </c>
      <c r="D6911" t="s">
        <v>18022</v>
      </c>
      <c r="E6911" t="s">
        <v>24229</v>
      </c>
      <c r="F6911" t="s">
        <v>31574</v>
      </c>
      <c r="G6911" t="s">
        <v>31582</v>
      </c>
      <c r="H6911" t="s">
        <v>31590</v>
      </c>
      <c r="I6911" t="s">
        <v>3487</v>
      </c>
      <c r="J6911" t="s">
        <v>36116</v>
      </c>
      <c r="K6911" t="s">
        <v>41193</v>
      </c>
      <c r="M6911" t="s">
        <v>43730</v>
      </c>
      <c r="N6911" t="s">
        <v>45095</v>
      </c>
      <c r="O6911" t="s">
        <v>45096</v>
      </c>
      <c r="P6911">
        <v>0</v>
      </c>
      <c r="Q6911">
        <v>0</v>
      </c>
      <c r="R6911" t="s">
        <v>45103</v>
      </c>
      <c r="S6911" t="s">
        <v>45270</v>
      </c>
      <c r="T6911" t="s">
        <v>47010</v>
      </c>
      <c r="U6911" t="s">
        <v>50409</v>
      </c>
      <c r="W6911" t="s">
        <v>43730</v>
      </c>
      <c r="X6911" t="s">
        <v>45104</v>
      </c>
    </row>
    <row r="6912" spans="1:24">
      <c r="A6912">
        <f>HYPERLINK("https://www.philgeps.gov.ph/GEPSNONPILOT/Tender/SplashBidNoticeAbstractUI.aspx?menuIndex=3&amp;refID=7035403&amp;Result=3","7035403")</f>
        <v>0</v>
      </c>
      <c r="B6912" t="s">
        <v>2084</v>
      </c>
      <c r="C6912" t="s">
        <v>9804</v>
      </c>
      <c r="D6912" t="s">
        <v>18058</v>
      </c>
      <c r="E6912" t="s">
        <v>24230</v>
      </c>
      <c r="F6912" t="s">
        <v>31574</v>
      </c>
      <c r="G6912" t="s">
        <v>31582</v>
      </c>
      <c r="H6912" t="s">
        <v>31590</v>
      </c>
      <c r="I6912" t="s">
        <v>4046</v>
      </c>
      <c r="J6912" t="s">
        <v>36175</v>
      </c>
      <c r="K6912" t="s">
        <v>41186</v>
      </c>
      <c r="L6912" t="s">
        <v>2084</v>
      </c>
      <c r="M6912" t="s">
        <v>43759</v>
      </c>
      <c r="N6912" t="s">
        <v>45095</v>
      </c>
      <c r="O6912" t="s">
        <v>45096</v>
      </c>
      <c r="P6912">
        <v>0</v>
      </c>
      <c r="Q6912">
        <v>0</v>
      </c>
      <c r="R6912" t="s">
        <v>45103</v>
      </c>
      <c r="S6912" t="s">
        <v>45270</v>
      </c>
      <c r="T6912" t="s">
        <v>47080</v>
      </c>
      <c r="U6912" t="s">
        <v>53272</v>
      </c>
      <c r="W6912" t="s">
        <v>43759</v>
      </c>
      <c r="X6912" t="s">
        <v>45104</v>
      </c>
    </row>
    <row r="6913" spans="1:24">
      <c r="A6913">
        <f>HYPERLINK("https://www.philgeps.gov.ph/GEPSNONPILOT/Tender/SplashBidNoticeAbstractUI.aspx?menuIndex=3&amp;refID=7035409&amp;Result=3","7035409")</f>
        <v>0</v>
      </c>
      <c r="B6913" t="s">
        <v>1102</v>
      </c>
      <c r="C6913" t="s">
        <v>9805</v>
      </c>
      <c r="D6913" t="s">
        <v>18091</v>
      </c>
      <c r="E6913" t="s">
        <v>24231</v>
      </c>
      <c r="F6913" t="s">
        <v>31574</v>
      </c>
      <c r="G6913" t="s">
        <v>31582</v>
      </c>
      <c r="H6913" t="s">
        <v>31591</v>
      </c>
      <c r="I6913" t="s">
        <v>8822</v>
      </c>
      <c r="J6913" t="s">
        <v>36176</v>
      </c>
      <c r="K6913" t="s">
        <v>41189</v>
      </c>
      <c r="M6913" t="s">
        <v>42651</v>
      </c>
      <c r="N6913" t="s">
        <v>45095</v>
      </c>
      <c r="O6913" t="s">
        <v>45096</v>
      </c>
      <c r="P6913">
        <v>0</v>
      </c>
      <c r="Q6913">
        <v>1</v>
      </c>
      <c r="R6913" t="s">
        <v>45103</v>
      </c>
      <c r="S6913" t="s">
        <v>45270</v>
      </c>
      <c r="T6913" t="s">
        <v>46943</v>
      </c>
      <c r="U6913" t="s">
        <v>53273</v>
      </c>
      <c r="V6913" t="s">
        <v>60598</v>
      </c>
      <c r="W6913" t="s">
        <v>42651</v>
      </c>
      <c r="X6913" t="s">
        <v>45104</v>
      </c>
    </row>
    <row r="6914" spans="1:24">
      <c r="A6914">
        <f>HYPERLINK("https://www.philgeps.gov.ph/GEPSNONPILOT/Tender/SplashBidNoticeAbstractUI.aspx?menuIndex=3&amp;refID=7035392&amp;Result=3","7035392")</f>
        <v>0</v>
      </c>
      <c r="B6914" t="s">
        <v>1345</v>
      </c>
      <c r="C6914" t="s">
        <v>9806</v>
      </c>
      <c r="D6914" t="s">
        <v>18079</v>
      </c>
      <c r="E6914" t="s">
        <v>20183</v>
      </c>
      <c r="F6914" t="s">
        <v>31580</v>
      </c>
      <c r="G6914" t="s">
        <v>31584</v>
      </c>
      <c r="H6914" t="s">
        <v>31590</v>
      </c>
      <c r="I6914" t="s">
        <v>31594</v>
      </c>
      <c r="J6914" t="s">
        <v>32246</v>
      </c>
      <c r="K6914" t="s">
        <v>41196</v>
      </c>
      <c r="M6914" t="s">
        <v>42917</v>
      </c>
      <c r="N6914" t="s">
        <v>45095</v>
      </c>
      <c r="O6914" t="s">
        <v>45096</v>
      </c>
      <c r="P6914">
        <v>0</v>
      </c>
      <c r="Q6914">
        <v>3</v>
      </c>
      <c r="R6914" t="s">
        <v>45103</v>
      </c>
      <c r="S6914" t="s">
        <v>45270</v>
      </c>
      <c r="T6914" t="s">
        <v>47125</v>
      </c>
      <c r="U6914" t="s">
        <v>53274</v>
      </c>
      <c r="V6914" t="s">
        <v>60599</v>
      </c>
      <c r="W6914" t="s">
        <v>42917</v>
      </c>
      <c r="X6914" t="s">
        <v>45104</v>
      </c>
    </row>
    <row r="6915" spans="1:24">
      <c r="A6915">
        <f>HYPERLINK("https://www.philgeps.gov.ph/GEPSNONPILOT/Tender/SplashBidNoticeAbstractUI.aspx?menuIndex=3&amp;refID=7035408&amp;Result=3","7035408")</f>
        <v>0</v>
      </c>
      <c r="B6915" t="s">
        <v>2079</v>
      </c>
      <c r="C6915" t="s">
        <v>9807</v>
      </c>
      <c r="D6915" t="s">
        <v>18033</v>
      </c>
      <c r="E6915" t="s">
        <v>18788</v>
      </c>
      <c r="F6915" t="s">
        <v>31574</v>
      </c>
      <c r="G6915" t="s">
        <v>31582</v>
      </c>
      <c r="H6915" t="s">
        <v>31590</v>
      </c>
      <c r="I6915" t="s">
        <v>4046</v>
      </c>
      <c r="J6915" t="s">
        <v>36177</v>
      </c>
      <c r="K6915" t="s">
        <v>41196</v>
      </c>
      <c r="M6915" t="s">
        <v>43754</v>
      </c>
      <c r="N6915" t="s">
        <v>45095</v>
      </c>
      <c r="O6915" t="s">
        <v>45096</v>
      </c>
      <c r="P6915">
        <v>0</v>
      </c>
      <c r="Q6915">
        <v>0</v>
      </c>
      <c r="R6915" t="s">
        <v>45103</v>
      </c>
      <c r="S6915" t="s">
        <v>45270</v>
      </c>
      <c r="T6915" t="s">
        <v>46973</v>
      </c>
      <c r="U6915" t="s">
        <v>53275</v>
      </c>
      <c r="W6915" t="s">
        <v>43754</v>
      </c>
      <c r="X6915" t="s">
        <v>45104</v>
      </c>
    </row>
    <row r="6916" spans="1:24">
      <c r="A6916">
        <f>HYPERLINK("https://www.philgeps.gov.ph/GEPSNONPILOT/Tender/SplashBidNoticeAbstractUI.aspx?menuIndex=3&amp;refID=7035391&amp;Result=3","7035391")</f>
        <v>0</v>
      </c>
      <c r="B6916" t="s">
        <v>2085</v>
      </c>
      <c r="C6916" t="s">
        <v>9808</v>
      </c>
      <c r="D6916" t="s">
        <v>18046</v>
      </c>
      <c r="E6916" t="s">
        <v>22090</v>
      </c>
      <c r="F6916" t="s">
        <v>31574</v>
      </c>
      <c r="G6916" t="s">
        <v>31582</v>
      </c>
      <c r="H6916" t="s">
        <v>31591</v>
      </c>
      <c r="I6916" t="s">
        <v>8822</v>
      </c>
      <c r="J6916" t="s">
        <v>31781</v>
      </c>
      <c r="K6916" t="s">
        <v>41243</v>
      </c>
      <c r="M6916" t="s">
        <v>43760</v>
      </c>
      <c r="N6916" t="s">
        <v>45095</v>
      </c>
      <c r="O6916" t="s">
        <v>45096</v>
      </c>
      <c r="P6916">
        <v>0</v>
      </c>
      <c r="Q6916">
        <v>2</v>
      </c>
      <c r="R6916" t="s">
        <v>45103</v>
      </c>
      <c r="S6916" t="s">
        <v>45270</v>
      </c>
      <c r="T6916" t="s">
        <v>46965</v>
      </c>
      <c r="U6916" t="s">
        <v>53276</v>
      </c>
      <c r="V6916" t="s">
        <v>60600</v>
      </c>
      <c r="W6916" t="s">
        <v>43760</v>
      </c>
      <c r="X6916" t="s">
        <v>45104</v>
      </c>
    </row>
    <row r="6917" spans="1:24">
      <c r="A6917">
        <f>HYPERLINK("https://www.philgeps.gov.ph/GEPSNONPILOT/Tender/SplashBidNoticeAbstractUI.aspx?menuIndex=3&amp;refID=7035410&amp;Result=3","7035410")</f>
        <v>0</v>
      </c>
      <c r="B6917" t="s">
        <v>485</v>
      </c>
      <c r="C6917" t="s">
        <v>6692</v>
      </c>
      <c r="D6917" t="s">
        <v>18048</v>
      </c>
      <c r="E6917" t="s">
        <v>24232</v>
      </c>
      <c r="F6917" t="s">
        <v>31574</v>
      </c>
      <c r="G6917" t="s">
        <v>31582</v>
      </c>
      <c r="H6917" t="s">
        <v>31590</v>
      </c>
      <c r="I6917" t="s">
        <v>8258</v>
      </c>
      <c r="J6917" t="s">
        <v>36178</v>
      </c>
      <c r="K6917" t="s">
        <v>41190</v>
      </c>
      <c r="M6917" t="s">
        <v>42622</v>
      </c>
      <c r="N6917" t="s">
        <v>45095</v>
      </c>
      <c r="O6917" t="s">
        <v>45096</v>
      </c>
      <c r="P6917">
        <v>0</v>
      </c>
      <c r="Q6917">
        <v>7</v>
      </c>
      <c r="R6917" t="s">
        <v>45103</v>
      </c>
      <c r="S6917" t="s">
        <v>45270</v>
      </c>
      <c r="T6917" t="s">
        <v>47004</v>
      </c>
      <c r="U6917" t="s">
        <v>53277</v>
      </c>
      <c r="W6917" t="s">
        <v>42622</v>
      </c>
      <c r="X6917" t="s">
        <v>45104</v>
      </c>
    </row>
    <row r="6918" spans="1:24">
      <c r="A6918">
        <f>HYPERLINK("https://www.philgeps.gov.ph/GEPSNONPILOT/Tender/SplashBidNoticeAbstractUI.aspx?menuIndex=3&amp;refID=7035413&amp;Result=3","7035413")</f>
        <v>0</v>
      </c>
      <c r="B6918" t="s">
        <v>2086</v>
      </c>
      <c r="C6918" t="s">
        <v>9809</v>
      </c>
      <c r="D6918" t="s">
        <v>18026</v>
      </c>
      <c r="E6918" t="s">
        <v>24233</v>
      </c>
      <c r="F6918" t="s">
        <v>31574</v>
      </c>
      <c r="G6918" t="s">
        <v>31582</v>
      </c>
      <c r="H6918" t="s">
        <v>31591</v>
      </c>
      <c r="I6918" t="s">
        <v>8822</v>
      </c>
      <c r="J6918" t="s">
        <v>36179</v>
      </c>
      <c r="K6918" t="s">
        <v>41184</v>
      </c>
      <c r="M6918" t="s">
        <v>43761</v>
      </c>
      <c r="N6918" t="s">
        <v>45095</v>
      </c>
      <c r="O6918" t="s">
        <v>45096</v>
      </c>
      <c r="Q6918">
        <v>0</v>
      </c>
      <c r="R6918" t="s">
        <v>45103</v>
      </c>
      <c r="S6918" t="s">
        <v>45274</v>
      </c>
      <c r="T6918" t="s">
        <v>47093</v>
      </c>
      <c r="U6918" t="s">
        <v>53278</v>
      </c>
      <c r="W6918" t="s">
        <v>43761</v>
      </c>
      <c r="X6918" t="s">
        <v>45104</v>
      </c>
    </row>
    <row r="6919" spans="1:24">
      <c r="A6919">
        <f>HYPERLINK("https://www.philgeps.gov.ph/GEPSNONPILOT/Tender/SplashBidNoticeAbstractUI.aspx?menuIndex=3&amp;refID=7035418&amp;Result=3","7035418")</f>
        <v>0</v>
      </c>
      <c r="B6919" t="s">
        <v>2087</v>
      </c>
      <c r="C6919" t="s">
        <v>9810</v>
      </c>
      <c r="D6919" t="s">
        <v>18038</v>
      </c>
      <c r="E6919" t="s">
        <v>24234</v>
      </c>
      <c r="F6919" t="s">
        <v>31574</v>
      </c>
      <c r="G6919" t="s">
        <v>31585</v>
      </c>
      <c r="H6919" t="s">
        <v>31590</v>
      </c>
      <c r="I6919" t="s">
        <v>31615</v>
      </c>
      <c r="J6919" t="s">
        <v>31741</v>
      </c>
      <c r="K6919" t="s">
        <v>41193</v>
      </c>
      <c r="M6919" t="s">
        <v>43762</v>
      </c>
      <c r="N6919" t="s">
        <v>45095</v>
      </c>
      <c r="O6919" t="s">
        <v>45096</v>
      </c>
      <c r="P6919">
        <v>0</v>
      </c>
      <c r="Q6919">
        <v>1</v>
      </c>
      <c r="R6919" t="s">
        <v>45103</v>
      </c>
      <c r="S6919" t="s">
        <v>45270</v>
      </c>
      <c r="T6919" t="s">
        <v>46985</v>
      </c>
      <c r="U6919" t="s">
        <v>53279</v>
      </c>
      <c r="W6919" t="s">
        <v>43762</v>
      </c>
      <c r="X6919" t="s">
        <v>45104</v>
      </c>
    </row>
    <row r="6920" spans="1:24">
      <c r="A6920">
        <f>HYPERLINK("https://www.philgeps.gov.ph/GEPSNONPILOT/Tender/SplashBidNoticeAbstractUI.aspx?menuIndex=3&amp;refID=7035389&amp;Result=3","7035389")</f>
        <v>0</v>
      </c>
      <c r="B6920" t="s">
        <v>2080</v>
      </c>
      <c r="C6920" t="s">
        <v>9811</v>
      </c>
      <c r="D6920" t="s">
        <v>18028</v>
      </c>
      <c r="E6920" t="s">
        <v>18377</v>
      </c>
      <c r="F6920" t="s">
        <v>31574</v>
      </c>
      <c r="G6920" t="s">
        <v>31582</v>
      </c>
      <c r="H6920" t="s">
        <v>31591</v>
      </c>
      <c r="I6920" t="s">
        <v>8822</v>
      </c>
      <c r="J6920" t="s">
        <v>31789</v>
      </c>
      <c r="K6920" t="s">
        <v>41186</v>
      </c>
      <c r="M6920" t="s">
        <v>43755</v>
      </c>
      <c r="N6920" t="s">
        <v>45095</v>
      </c>
      <c r="O6920" t="s">
        <v>45096</v>
      </c>
      <c r="P6920">
        <v>0</v>
      </c>
      <c r="Q6920">
        <v>0</v>
      </c>
      <c r="R6920" t="s">
        <v>45103</v>
      </c>
      <c r="S6920" t="s">
        <v>45270</v>
      </c>
      <c r="T6920" t="s">
        <v>47050</v>
      </c>
      <c r="U6920" t="s">
        <v>53280</v>
      </c>
      <c r="W6920" t="s">
        <v>43755</v>
      </c>
      <c r="X6920" t="s">
        <v>45104</v>
      </c>
    </row>
    <row r="6921" spans="1:24">
      <c r="A6921">
        <f>HYPERLINK("https://www.philgeps.gov.ph/GEPSNONPILOT/Tender/SplashBidNoticeAbstractUI.aspx?menuIndex=3&amp;refID=7035411&amp;Result=3","7035411")</f>
        <v>0</v>
      </c>
      <c r="B6921" t="s">
        <v>1029</v>
      </c>
      <c r="C6921" t="s">
        <v>9812</v>
      </c>
      <c r="E6921" t="s">
        <v>24235</v>
      </c>
      <c r="F6921" t="s">
        <v>31574</v>
      </c>
      <c r="G6921" t="s">
        <v>31581</v>
      </c>
      <c r="H6921" t="s">
        <v>31590</v>
      </c>
      <c r="I6921" t="s">
        <v>31610</v>
      </c>
      <c r="J6921" t="s">
        <v>36180</v>
      </c>
      <c r="K6921" t="s">
        <v>41184</v>
      </c>
      <c r="M6921" t="s">
        <v>43763</v>
      </c>
      <c r="N6921" t="s">
        <v>45095</v>
      </c>
      <c r="O6921" t="s">
        <v>45096</v>
      </c>
      <c r="P6921">
        <v>0</v>
      </c>
      <c r="Q6921">
        <v>8</v>
      </c>
      <c r="R6921" t="s">
        <v>45103</v>
      </c>
      <c r="S6921" t="s">
        <v>45270</v>
      </c>
      <c r="T6921" t="s">
        <v>47154</v>
      </c>
      <c r="U6921" t="s">
        <v>53281</v>
      </c>
      <c r="W6921" t="s">
        <v>43763</v>
      </c>
      <c r="X6921" t="s">
        <v>45104</v>
      </c>
    </row>
    <row r="6922" spans="1:24">
      <c r="A6922">
        <f>HYPERLINK("https://www.philgeps.gov.ph/GEPSNONPILOT/Tender/SplashBidNoticeAbstractUI.aspx?menuIndex=3&amp;refID=7035440&amp;Result=3","7035440")</f>
        <v>0</v>
      </c>
      <c r="B6922" t="s">
        <v>2081</v>
      </c>
      <c r="C6922" t="s">
        <v>9813</v>
      </c>
      <c r="D6922" t="s">
        <v>18064</v>
      </c>
      <c r="E6922" t="s">
        <v>24236</v>
      </c>
      <c r="F6922" t="s">
        <v>31574</v>
      </c>
      <c r="G6922" t="s">
        <v>31582</v>
      </c>
      <c r="H6922" t="s">
        <v>31591</v>
      </c>
      <c r="I6922" t="s">
        <v>8822</v>
      </c>
      <c r="J6922" t="s">
        <v>36181</v>
      </c>
      <c r="K6922" t="s">
        <v>41192</v>
      </c>
      <c r="M6922" t="s">
        <v>43756</v>
      </c>
      <c r="N6922" t="s">
        <v>45095</v>
      </c>
      <c r="O6922" t="s">
        <v>45096</v>
      </c>
      <c r="P6922">
        <v>0</v>
      </c>
      <c r="Q6922">
        <v>0</v>
      </c>
      <c r="R6922" t="s">
        <v>45103</v>
      </c>
      <c r="S6922" t="s">
        <v>45270</v>
      </c>
      <c r="T6922" t="s">
        <v>46965</v>
      </c>
      <c r="U6922" t="s">
        <v>53282</v>
      </c>
      <c r="W6922" t="s">
        <v>43756</v>
      </c>
      <c r="X6922" t="s">
        <v>45104</v>
      </c>
    </row>
    <row r="6923" spans="1:24">
      <c r="A6923">
        <f>HYPERLINK("https://www.philgeps.gov.ph/GEPSNONPILOT/Tender/SplashBidNoticeAbstractUI.aspx?menuIndex=3&amp;refID=7035434&amp;Result=3","7035434")</f>
        <v>0</v>
      </c>
      <c r="B6923" t="s">
        <v>681</v>
      </c>
      <c r="C6923" t="s">
        <v>9814</v>
      </c>
      <c r="D6923" t="s">
        <v>18039</v>
      </c>
      <c r="E6923" t="s">
        <v>24237</v>
      </c>
      <c r="F6923" t="s">
        <v>31574</v>
      </c>
      <c r="G6923" t="s">
        <v>31581</v>
      </c>
      <c r="H6923" t="s">
        <v>31590</v>
      </c>
      <c r="I6923" t="s">
        <v>31620</v>
      </c>
      <c r="J6923" t="s">
        <v>31927</v>
      </c>
      <c r="K6923" t="s">
        <v>41184</v>
      </c>
      <c r="M6923" t="s">
        <v>42188</v>
      </c>
      <c r="N6923" t="s">
        <v>45095</v>
      </c>
      <c r="O6923" t="s">
        <v>45096</v>
      </c>
      <c r="P6923">
        <v>0</v>
      </c>
      <c r="Q6923">
        <v>10</v>
      </c>
      <c r="R6923" t="s">
        <v>45103</v>
      </c>
      <c r="S6923" t="s">
        <v>45270</v>
      </c>
      <c r="T6923" t="s">
        <v>47158</v>
      </c>
      <c r="U6923" t="s">
        <v>53283</v>
      </c>
      <c r="W6923" t="s">
        <v>42188</v>
      </c>
      <c r="X6923" t="s">
        <v>45104</v>
      </c>
    </row>
    <row r="6924" spans="1:24">
      <c r="A6924">
        <f>HYPERLINK("https://www.philgeps.gov.ph/GEPSNONPILOT/Tender/SplashBidNoticeAbstractUI.aspx?menuIndex=3&amp;refID=7035402&amp;Result=3","7035402")</f>
        <v>0</v>
      </c>
      <c r="B6924" t="s">
        <v>516</v>
      </c>
      <c r="C6924" t="s">
        <v>9815</v>
      </c>
      <c r="D6924" t="s">
        <v>18031</v>
      </c>
      <c r="E6924" t="s">
        <v>24238</v>
      </c>
      <c r="F6924" t="s">
        <v>31574</v>
      </c>
      <c r="G6924" t="s">
        <v>31582</v>
      </c>
      <c r="H6924" t="s">
        <v>31590</v>
      </c>
      <c r="I6924" t="s">
        <v>31642</v>
      </c>
      <c r="J6924" t="s">
        <v>36182</v>
      </c>
      <c r="K6924" t="s">
        <v>41193</v>
      </c>
      <c r="M6924" t="s">
        <v>42012</v>
      </c>
      <c r="N6924" t="s">
        <v>45095</v>
      </c>
      <c r="O6924" t="s">
        <v>45096</v>
      </c>
      <c r="P6924">
        <v>0</v>
      </c>
      <c r="Q6924">
        <v>0</v>
      </c>
      <c r="R6924" t="s">
        <v>45103</v>
      </c>
      <c r="S6924" t="s">
        <v>45270</v>
      </c>
      <c r="T6924" t="s">
        <v>46926</v>
      </c>
      <c r="U6924" t="s">
        <v>48512</v>
      </c>
      <c r="W6924" t="s">
        <v>42012</v>
      </c>
      <c r="X6924" t="s">
        <v>45104</v>
      </c>
    </row>
    <row r="6925" spans="1:24">
      <c r="A6925">
        <f>HYPERLINK("https://www.philgeps.gov.ph/GEPSNONPILOT/Tender/SplashBidNoticeAbstractUI.aspx?menuIndex=3&amp;refID=7035424&amp;Result=3","7035424")</f>
        <v>0</v>
      </c>
      <c r="B6925" t="s">
        <v>780</v>
      </c>
      <c r="C6925" t="s">
        <v>9816</v>
      </c>
      <c r="D6925" t="s">
        <v>18034</v>
      </c>
      <c r="E6925" t="s">
        <v>24239</v>
      </c>
      <c r="F6925" t="s">
        <v>31574</v>
      </c>
      <c r="G6925" t="s">
        <v>31582</v>
      </c>
      <c r="H6925" t="s">
        <v>31591</v>
      </c>
      <c r="I6925" t="s">
        <v>8822</v>
      </c>
      <c r="J6925" t="s">
        <v>36183</v>
      </c>
      <c r="K6925" t="s">
        <v>41209</v>
      </c>
      <c r="L6925" t="s">
        <v>780</v>
      </c>
      <c r="M6925" t="s">
        <v>42294</v>
      </c>
      <c r="N6925" t="s">
        <v>45095</v>
      </c>
      <c r="O6925" t="s">
        <v>45096</v>
      </c>
      <c r="P6925">
        <v>0</v>
      </c>
      <c r="Q6925">
        <v>1</v>
      </c>
      <c r="R6925" t="s">
        <v>45103</v>
      </c>
      <c r="S6925" t="s">
        <v>45270</v>
      </c>
      <c r="T6925" t="s">
        <v>47000</v>
      </c>
      <c r="U6925" t="s">
        <v>53284</v>
      </c>
      <c r="V6925" t="s">
        <v>60601</v>
      </c>
      <c r="W6925" t="s">
        <v>42294</v>
      </c>
      <c r="X6925" t="s">
        <v>45104</v>
      </c>
    </row>
    <row r="6926" spans="1:24">
      <c r="A6926">
        <f>HYPERLINK("https://www.philgeps.gov.ph/GEPSNONPILOT/Tender/SplashBidNoticeAbstractUI.aspx?menuIndex=3&amp;refID=7035432&amp;Result=3","7035432")</f>
        <v>0</v>
      </c>
      <c r="B6926" t="s">
        <v>1229</v>
      </c>
      <c r="C6926" t="s">
        <v>9817</v>
      </c>
      <c r="D6926" t="s">
        <v>18022</v>
      </c>
      <c r="E6926" t="s">
        <v>24240</v>
      </c>
      <c r="F6926" t="s">
        <v>31574</v>
      </c>
      <c r="G6926" t="s">
        <v>31582</v>
      </c>
      <c r="H6926" t="s">
        <v>31590</v>
      </c>
      <c r="I6926" t="s">
        <v>3651</v>
      </c>
      <c r="J6926" t="s">
        <v>36184</v>
      </c>
      <c r="K6926" t="s">
        <v>41193</v>
      </c>
      <c r="M6926" t="s">
        <v>43730</v>
      </c>
      <c r="N6926" t="s">
        <v>45095</v>
      </c>
      <c r="O6926" t="s">
        <v>45096</v>
      </c>
      <c r="P6926">
        <v>0</v>
      </c>
      <c r="Q6926">
        <v>0</v>
      </c>
      <c r="R6926" t="s">
        <v>45103</v>
      </c>
      <c r="S6926" t="s">
        <v>45270</v>
      </c>
      <c r="T6926" t="s">
        <v>47010</v>
      </c>
      <c r="U6926" t="s">
        <v>52311</v>
      </c>
      <c r="W6926" t="s">
        <v>43730</v>
      </c>
      <c r="X6926" t="s">
        <v>45104</v>
      </c>
    </row>
    <row r="6927" spans="1:24">
      <c r="A6927">
        <f>HYPERLINK("https://www.philgeps.gov.ph/GEPSNONPILOT/Tender/SplashBidNoticeAbstractUI.aspx?menuIndex=3&amp;refID=7035421&amp;Result=3","7035421")</f>
        <v>0</v>
      </c>
      <c r="B6927" t="s">
        <v>516</v>
      </c>
      <c r="C6927" t="s">
        <v>9818</v>
      </c>
      <c r="D6927" t="s">
        <v>18031</v>
      </c>
      <c r="E6927" t="s">
        <v>24241</v>
      </c>
      <c r="F6927" t="s">
        <v>31574</v>
      </c>
      <c r="G6927" t="s">
        <v>31582</v>
      </c>
      <c r="H6927" t="s">
        <v>31590</v>
      </c>
      <c r="I6927" t="s">
        <v>31599</v>
      </c>
      <c r="J6927" t="s">
        <v>36185</v>
      </c>
      <c r="K6927" t="s">
        <v>41193</v>
      </c>
      <c r="M6927" t="s">
        <v>42012</v>
      </c>
      <c r="N6927" t="s">
        <v>45095</v>
      </c>
      <c r="O6927" t="s">
        <v>45096</v>
      </c>
      <c r="P6927">
        <v>0</v>
      </c>
      <c r="Q6927">
        <v>1</v>
      </c>
      <c r="R6927" t="s">
        <v>45103</v>
      </c>
      <c r="S6927" t="s">
        <v>45270</v>
      </c>
      <c r="T6927" t="s">
        <v>46926</v>
      </c>
      <c r="U6927" t="s">
        <v>48512</v>
      </c>
      <c r="W6927" t="s">
        <v>42012</v>
      </c>
      <c r="X6927" t="s">
        <v>45104</v>
      </c>
    </row>
    <row r="6928" spans="1:24">
      <c r="A6928">
        <f>HYPERLINK("https://www.philgeps.gov.ph/GEPSNONPILOT/Tender/SplashBidNoticeAbstractUI.aspx?menuIndex=3&amp;refID=7035436&amp;Result=3","7035436")</f>
        <v>0</v>
      </c>
      <c r="B6928" t="s">
        <v>134</v>
      </c>
      <c r="C6928" t="s">
        <v>9819</v>
      </c>
      <c r="D6928" t="s">
        <v>18066</v>
      </c>
      <c r="E6928" t="s">
        <v>24242</v>
      </c>
      <c r="F6928" t="s">
        <v>31574</v>
      </c>
      <c r="G6928" t="s">
        <v>31582</v>
      </c>
      <c r="H6928" t="s">
        <v>31591</v>
      </c>
      <c r="I6928" t="s">
        <v>8822</v>
      </c>
      <c r="J6928" t="s">
        <v>32049</v>
      </c>
      <c r="K6928" t="s">
        <v>41184</v>
      </c>
      <c r="M6928" t="s">
        <v>41618</v>
      </c>
      <c r="N6928" t="s">
        <v>45095</v>
      </c>
      <c r="O6928" t="s">
        <v>45096</v>
      </c>
      <c r="P6928">
        <v>0</v>
      </c>
      <c r="Q6928">
        <v>1</v>
      </c>
      <c r="R6928" t="s">
        <v>45103</v>
      </c>
      <c r="S6928" t="s">
        <v>45270</v>
      </c>
      <c r="T6928" t="s">
        <v>46963</v>
      </c>
      <c r="U6928" t="s">
        <v>53285</v>
      </c>
      <c r="V6928" t="s">
        <v>59888</v>
      </c>
      <c r="W6928" t="s">
        <v>41618</v>
      </c>
      <c r="X6928" t="s">
        <v>45104</v>
      </c>
    </row>
    <row r="6929" spans="1:24">
      <c r="A6929">
        <f>HYPERLINK("https://www.philgeps.gov.ph/GEPSNONPILOT/Tender/SplashBidNoticeAbstractUI.aspx?menuIndex=3&amp;refID=7035426&amp;Result=3","7035426")</f>
        <v>0</v>
      </c>
      <c r="B6929" t="s">
        <v>2086</v>
      </c>
      <c r="C6929" t="s">
        <v>9820</v>
      </c>
      <c r="D6929" t="s">
        <v>18026</v>
      </c>
      <c r="E6929" t="s">
        <v>24243</v>
      </c>
      <c r="F6929" t="s">
        <v>31574</v>
      </c>
      <c r="G6929" t="s">
        <v>31582</v>
      </c>
      <c r="H6929" t="s">
        <v>31591</v>
      </c>
      <c r="I6929" t="s">
        <v>8822</v>
      </c>
      <c r="J6929" t="s">
        <v>36179</v>
      </c>
      <c r="K6929" t="s">
        <v>41184</v>
      </c>
      <c r="M6929" t="s">
        <v>43761</v>
      </c>
      <c r="N6929" t="s">
        <v>45095</v>
      </c>
      <c r="O6929" t="s">
        <v>45096</v>
      </c>
      <c r="Q6929">
        <v>0</v>
      </c>
      <c r="R6929" t="s">
        <v>45103</v>
      </c>
      <c r="S6929" t="s">
        <v>45275</v>
      </c>
      <c r="T6929" t="s">
        <v>47093</v>
      </c>
      <c r="U6929" t="s">
        <v>53286</v>
      </c>
      <c r="W6929" t="s">
        <v>43761</v>
      </c>
      <c r="X6929" t="s">
        <v>45104</v>
      </c>
    </row>
    <row r="6930" spans="1:24">
      <c r="A6930">
        <f>HYPERLINK("https://www.philgeps.gov.ph/GEPSNONPILOT/Tender/SplashBidNoticeAbstractUI.aspx?menuIndex=3&amp;refID=7035463&amp;Result=3","7035463")</f>
        <v>0</v>
      </c>
      <c r="B6930" t="s">
        <v>2088</v>
      </c>
      <c r="C6930" t="s">
        <v>9821</v>
      </c>
      <c r="D6930" t="s">
        <v>18096</v>
      </c>
      <c r="E6930" t="s">
        <v>24244</v>
      </c>
      <c r="F6930" t="s">
        <v>31574</v>
      </c>
      <c r="G6930" t="s">
        <v>31581</v>
      </c>
      <c r="H6930" t="s">
        <v>31590</v>
      </c>
      <c r="I6930" t="s">
        <v>31607</v>
      </c>
      <c r="J6930" t="s">
        <v>36186</v>
      </c>
      <c r="K6930" t="s">
        <v>41196</v>
      </c>
      <c r="M6930" t="s">
        <v>43764</v>
      </c>
      <c r="N6930" t="s">
        <v>45095</v>
      </c>
      <c r="O6930" t="s">
        <v>45096</v>
      </c>
      <c r="P6930">
        <v>0</v>
      </c>
      <c r="Q6930">
        <v>13</v>
      </c>
      <c r="R6930" t="s">
        <v>45103</v>
      </c>
      <c r="S6930" t="s">
        <v>45270</v>
      </c>
      <c r="T6930" t="s">
        <v>47158</v>
      </c>
      <c r="U6930" t="s">
        <v>53287</v>
      </c>
      <c r="W6930" t="s">
        <v>43764</v>
      </c>
      <c r="X6930" t="s">
        <v>45104</v>
      </c>
    </row>
    <row r="6931" spans="1:24">
      <c r="A6931">
        <f>HYPERLINK("https://www.philgeps.gov.ph/GEPSNONPILOT/Tender/SplashBidNoticeAbstractUI.aspx?menuIndex=3&amp;refID=7035430&amp;Result=3","7035430")</f>
        <v>0</v>
      </c>
      <c r="B6931" t="s">
        <v>2089</v>
      </c>
      <c r="C6931" t="s">
        <v>9822</v>
      </c>
      <c r="D6931" t="s">
        <v>18072</v>
      </c>
      <c r="E6931" t="s">
        <v>18533</v>
      </c>
      <c r="F6931" t="s">
        <v>31574</v>
      </c>
      <c r="G6931" t="s">
        <v>31582</v>
      </c>
      <c r="H6931" t="s">
        <v>31590</v>
      </c>
      <c r="I6931" t="s">
        <v>31607</v>
      </c>
      <c r="J6931" t="s">
        <v>36187</v>
      </c>
      <c r="K6931" t="s">
        <v>41196</v>
      </c>
      <c r="M6931" t="s">
        <v>43765</v>
      </c>
      <c r="N6931" t="s">
        <v>45095</v>
      </c>
      <c r="O6931" t="s">
        <v>45096</v>
      </c>
      <c r="P6931">
        <v>0</v>
      </c>
      <c r="Q6931">
        <v>0</v>
      </c>
      <c r="R6931" t="s">
        <v>45103</v>
      </c>
      <c r="S6931" t="s">
        <v>45270</v>
      </c>
      <c r="T6931" t="s">
        <v>46936</v>
      </c>
      <c r="U6931" t="s">
        <v>53288</v>
      </c>
      <c r="W6931" t="s">
        <v>43765</v>
      </c>
      <c r="X6931" t="s">
        <v>45104</v>
      </c>
    </row>
    <row r="6932" spans="1:24">
      <c r="A6932">
        <f>HYPERLINK("https://www.philgeps.gov.ph/GEPSNONPILOT/Tender/SplashBidNoticeAbstractUI.aspx?menuIndex=3&amp;refID=7035422&amp;Result=3","7035422")</f>
        <v>0</v>
      </c>
      <c r="B6932" t="s">
        <v>1229</v>
      </c>
      <c r="C6932" t="s">
        <v>9823</v>
      </c>
      <c r="D6932" t="s">
        <v>18022</v>
      </c>
      <c r="E6932" t="s">
        <v>24245</v>
      </c>
      <c r="F6932" t="s">
        <v>31574</v>
      </c>
      <c r="G6932" t="s">
        <v>31582</v>
      </c>
      <c r="H6932" t="s">
        <v>31590</v>
      </c>
      <c r="I6932" t="s">
        <v>3487</v>
      </c>
      <c r="J6932" t="s">
        <v>36188</v>
      </c>
      <c r="K6932" t="s">
        <v>41193</v>
      </c>
      <c r="M6932" t="s">
        <v>43730</v>
      </c>
      <c r="N6932" t="s">
        <v>45095</v>
      </c>
      <c r="O6932" t="s">
        <v>45096</v>
      </c>
      <c r="P6932">
        <v>0</v>
      </c>
      <c r="Q6932">
        <v>1</v>
      </c>
      <c r="R6932" t="s">
        <v>45103</v>
      </c>
      <c r="S6932" t="s">
        <v>45270</v>
      </c>
      <c r="T6932" t="s">
        <v>47010</v>
      </c>
      <c r="U6932" t="s">
        <v>50409</v>
      </c>
      <c r="W6932" t="s">
        <v>43730</v>
      </c>
      <c r="X6932" t="s">
        <v>45104</v>
      </c>
    </row>
    <row r="6933" spans="1:24">
      <c r="A6933">
        <f>HYPERLINK("https://www.philgeps.gov.ph/GEPSNONPILOT/Tender/SplashBidNoticeAbstractUI.aspx?menuIndex=3&amp;refID=7035433&amp;Result=3","7035433")</f>
        <v>0</v>
      </c>
      <c r="B6933" t="s">
        <v>38</v>
      </c>
      <c r="C6933" t="s">
        <v>9824</v>
      </c>
      <c r="D6933" t="s">
        <v>18033</v>
      </c>
      <c r="E6933" t="s">
        <v>24246</v>
      </c>
      <c r="F6933" t="s">
        <v>31574</v>
      </c>
      <c r="G6933" t="s">
        <v>31582</v>
      </c>
      <c r="H6933" t="s">
        <v>31590</v>
      </c>
      <c r="I6933" t="s">
        <v>31594</v>
      </c>
      <c r="J6933" t="s">
        <v>36189</v>
      </c>
      <c r="K6933" t="s">
        <v>41194</v>
      </c>
      <c r="M6933" t="s">
        <v>42506</v>
      </c>
      <c r="N6933" t="s">
        <v>45095</v>
      </c>
      <c r="O6933" t="s">
        <v>45096</v>
      </c>
      <c r="P6933">
        <v>0</v>
      </c>
      <c r="Q6933">
        <v>4</v>
      </c>
      <c r="R6933" t="s">
        <v>45103</v>
      </c>
      <c r="S6933" t="s">
        <v>45270</v>
      </c>
      <c r="T6933" t="s">
        <v>46985</v>
      </c>
      <c r="U6933" t="s">
        <v>53289</v>
      </c>
      <c r="V6933" t="s">
        <v>60085</v>
      </c>
      <c r="W6933" t="s">
        <v>42506</v>
      </c>
      <c r="X6933" t="s">
        <v>45104</v>
      </c>
    </row>
    <row r="6934" spans="1:24">
      <c r="A6934">
        <f>HYPERLINK("https://www.philgeps.gov.ph/GEPSNONPILOT/Tender/SplashBidNoticeAbstractUI.aspx?menuIndex=3&amp;refID=7035435&amp;Result=3","7035435")</f>
        <v>0</v>
      </c>
      <c r="B6934" t="s">
        <v>2090</v>
      </c>
      <c r="C6934" t="s">
        <v>9825</v>
      </c>
      <c r="D6934" t="s">
        <v>18099</v>
      </c>
      <c r="E6934" t="s">
        <v>24247</v>
      </c>
      <c r="F6934" t="s">
        <v>31574</v>
      </c>
      <c r="G6934" t="s">
        <v>31582</v>
      </c>
      <c r="H6934" t="s">
        <v>31591</v>
      </c>
      <c r="I6934" t="s">
        <v>8822</v>
      </c>
      <c r="J6934" t="s">
        <v>36190</v>
      </c>
      <c r="K6934" t="s">
        <v>41209</v>
      </c>
      <c r="M6934" t="s">
        <v>43766</v>
      </c>
      <c r="N6934" t="s">
        <v>45095</v>
      </c>
      <c r="O6934" t="s">
        <v>45096</v>
      </c>
      <c r="P6934">
        <v>0</v>
      </c>
      <c r="Q6934">
        <v>0</v>
      </c>
      <c r="R6934" t="s">
        <v>45103</v>
      </c>
      <c r="S6934" t="s">
        <v>45270</v>
      </c>
      <c r="T6934" t="s">
        <v>47302</v>
      </c>
      <c r="U6934" t="s">
        <v>53290</v>
      </c>
      <c r="W6934" t="s">
        <v>43766</v>
      </c>
      <c r="X6934" t="s">
        <v>45104</v>
      </c>
    </row>
    <row r="6935" spans="1:24">
      <c r="A6935">
        <f>HYPERLINK("https://www.philgeps.gov.ph/GEPSNONPILOT/Tender/SplashBidNoticeAbstractUI.aspx?menuIndex=3&amp;refID=7035420&amp;Result=3","7035420")</f>
        <v>0</v>
      </c>
      <c r="B6935" t="s">
        <v>59</v>
      </c>
      <c r="C6935" t="s">
        <v>9826</v>
      </c>
      <c r="D6935" t="s">
        <v>18048</v>
      </c>
      <c r="E6935" t="s">
        <v>24248</v>
      </c>
      <c r="F6935" t="s">
        <v>31574</v>
      </c>
      <c r="G6935" t="s">
        <v>31581</v>
      </c>
      <c r="H6935" t="s">
        <v>31590</v>
      </c>
      <c r="I6935" t="s">
        <v>3489</v>
      </c>
      <c r="J6935" t="s">
        <v>32258</v>
      </c>
      <c r="K6935" t="s">
        <v>41186</v>
      </c>
      <c r="M6935" t="s">
        <v>41543</v>
      </c>
      <c r="N6935" t="s">
        <v>45095</v>
      </c>
      <c r="O6935" t="s">
        <v>45096</v>
      </c>
      <c r="P6935">
        <v>0</v>
      </c>
      <c r="Q6935">
        <v>0</v>
      </c>
      <c r="R6935" t="s">
        <v>45103</v>
      </c>
      <c r="S6935" t="s">
        <v>45270</v>
      </c>
      <c r="T6935" t="s">
        <v>47067</v>
      </c>
      <c r="U6935" t="s">
        <v>53291</v>
      </c>
      <c r="V6935" t="s">
        <v>59856</v>
      </c>
      <c r="W6935" t="s">
        <v>41543</v>
      </c>
      <c r="X6935" t="s">
        <v>45104</v>
      </c>
    </row>
    <row r="6936" spans="1:24">
      <c r="A6936">
        <f>HYPERLINK("https://www.philgeps.gov.ph/GEPSNONPILOT/Tender/SplashBidNoticeAbstractUI.aspx?menuIndex=3&amp;refID=7035454&amp;Result=3","7035454")</f>
        <v>0</v>
      </c>
      <c r="B6936" t="s">
        <v>38</v>
      </c>
      <c r="C6936" t="s">
        <v>9827</v>
      </c>
      <c r="D6936" t="s">
        <v>18033</v>
      </c>
      <c r="E6936" t="s">
        <v>24249</v>
      </c>
      <c r="F6936" t="s">
        <v>31574</v>
      </c>
      <c r="G6936" t="s">
        <v>31582</v>
      </c>
      <c r="H6936" t="s">
        <v>31590</v>
      </c>
      <c r="I6936" t="s">
        <v>31594</v>
      </c>
      <c r="J6936" t="s">
        <v>36191</v>
      </c>
      <c r="K6936" t="s">
        <v>41194</v>
      </c>
      <c r="M6936" t="s">
        <v>42506</v>
      </c>
      <c r="N6936" t="s">
        <v>45095</v>
      </c>
      <c r="O6936" t="s">
        <v>45096</v>
      </c>
      <c r="P6936">
        <v>0</v>
      </c>
      <c r="Q6936">
        <v>5</v>
      </c>
      <c r="R6936" t="s">
        <v>45103</v>
      </c>
      <c r="S6936" t="s">
        <v>45270</v>
      </c>
      <c r="T6936" t="s">
        <v>46985</v>
      </c>
      <c r="U6936" t="s">
        <v>53292</v>
      </c>
      <c r="V6936" t="s">
        <v>60085</v>
      </c>
      <c r="W6936" t="s">
        <v>42506</v>
      </c>
      <c r="X6936" t="s">
        <v>45104</v>
      </c>
    </row>
    <row r="6937" spans="1:24">
      <c r="A6937">
        <f>HYPERLINK("https://www.philgeps.gov.ph/GEPSNONPILOT/Tender/SplashBidNoticeAbstractUI.aspx?menuIndex=3&amp;refID=7035453&amp;Result=3","7035453")</f>
        <v>0</v>
      </c>
      <c r="B6937" t="s">
        <v>357</v>
      </c>
      <c r="C6937" t="s">
        <v>9828</v>
      </c>
      <c r="D6937" t="s">
        <v>18026</v>
      </c>
      <c r="E6937" t="s">
        <v>24250</v>
      </c>
      <c r="F6937" t="s">
        <v>31579</v>
      </c>
      <c r="G6937" t="s">
        <v>31581</v>
      </c>
      <c r="H6937" t="s">
        <v>31590</v>
      </c>
      <c r="I6937" t="s">
        <v>31615</v>
      </c>
      <c r="J6937" t="s">
        <v>32001</v>
      </c>
      <c r="K6937" t="s">
        <v>41289</v>
      </c>
      <c r="M6937" t="s">
        <v>43767</v>
      </c>
      <c r="N6937" t="s">
        <v>45095</v>
      </c>
      <c r="O6937" t="s">
        <v>45096</v>
      </c>
      <c r="P6937">
        <v>0</v>
      </c>
      <c r="Q6937">
        <v>1</v>
      </c>
      <c r="R6937" t="s">
        <v>45103</v>
      </c>
      <c r="S6937" t="s">
        <v>45270</v>
      </c>
      <c r="T6937" t="s">
        <v>47077</v>
      </c>
      <c r="U6937" t="s">
        <v>53293</v>
      </c>
      <c r="W6937" t="s">
        <v>43767</v>
      </c>
      <c r="X6937" t="s">
        <v>45104</v>
      </c>
    </row>
    <row r="6938" spans="1:24">
      <c r="A6938">
        <f>HYPERLINK("https://www.philgeps.gov.ph/GEPSNONPILOT/Tender/SplashBidNoticeAbstractUI.aspx?menuIndex=3&amp;refID=7035447&amp;Result=3","7035447")</f>
        <v>0</v>
      </c>
      <c r="B6938" t="s">
        <v>780</v>
      </c>
      <c r="C6938" t="s">
        <v>9829</v>
      </c>
      <c r="D6938" t="s">
        <v>18034</v>
      </c>
      <c r="E6938" t="s">
        <v>24251</v>
      </c>
      <c r="F6938" t="s">
        <v>31574</v>
      </c>
      <c r="G6938" t="s">
        <v>31582</v>
      </c>
      <c r="H6938" t="s">
        <v>31591</v>
      </c>
      <c r="I6938" t="s">
        <v>8822</v>
      </c>
      <c r="J6938" t="s">
        <v>36192</v>
      </c>
      <c r="K6938" t="s">
        <v>41287</v>
      </c>
      <c r="L6938" t="s">
        <v>780</v>
      </c>
      <c r="M6938" t="s">
        <v>42294</v>
      </c>
      <c r="N6938" t="s">
        <v>45095</v>
      </c>
      <c r="O6938" t="s">
        <v>45096</v>
      </c>
      <c r="P6938">
        <v>0</v>
      </c>
      <c r="Q6938">
        <v>0</v>
      </c>
      <c r="R6938" t="s">
        <v>45103</v>
      </c>
      <c r="S6938" t="s">
        <v>45270</v>
      </c>
      <c r="T6938" t="s">
        <v>47000</v>
      </c>
      <c r="U6938" t="s">
        <v>53294</v>
      </c>
      <c r="V6938" t="s">
        <v>60602</v>
      </c>
      <c r="W6938" t="s">
        <v>42294</v>
      </c>
      <c r="X6938" t="s">
        <v>45104</v>
      </c>
    </row>
    <row r="6939" spans="1:24">
      <c r="A6939">
        <f>HYPERLINK("https://www.philgeps.gov.ph/GEPSNONPILOT/Tender/SplashBidNoticeAbstractUI.aspx?menuIndex=3&amp;refID=7035448&amp;Result=3","7035448")</f>
        <v>0</v>
      </c>
      <c r="B6939" t="s">
        <v>1229</v>
      </c>
      <c r="C6939" t="s">
        <v>9830</v>
      </c>
      <c r="D6939" t="s">
        <v>18022</v>
      </c>
      <c r="E6939" t="s">
        <v>24252</v>
      </c>
      <c r="F6939" t="s">
        <v>31574</v>
      </c>
      <c r="G6939" t="s">
        <v>31582</v>
      </c>
      <c r="H6939" t="s">
        <v>31592</v>
      </c>
      <c r="I6939" t="s">
        <v>3489</v>
      </c>
      <c r="J6939" t="s">
        <v>31907</v>
      </c>
      <c r="K6939" t="s">
        <v>41193</v>
      </c>
      <c r="M6939" t="s">
        <v>43730</v>
      </c>
      <c r="N6939" t="s">
        <v>45095</v>
      </c>
      <c r="O6939" t="s">
        <v>45096</v>
      </c>
      <c r="P6939">
        <v>0</v>
      </c>
      <c r="Q6939">
        <v>0</v>
      </c>
      <c r="R6939" t="s">
        <v>45103</v>
      </c>
      <c r="S6939" t="s">
        <v>45270</v>
      </c>
      <c r="T6939" t="s">
        <v>47010</v>
      </c>
      <c r="U6939" t="s">
        <v>53295</v>
      </c>
      <c r="W6939" t="s">
        <v>43730</v>
      </c>
      <c r="X6939" t="s">
        <v>45104</v>
      </c>
    </row>
    <row r="6940" spans="1:24">
      <c r="A6940">
        <f>HYPERLINK("https://www.philgeps.gov.ph/GEPSNONPILOT/Tender/SplashBidNoticeAbstractUI.aspx?menuIndex=3&amp;refID=7035464&amp;Result=3","7035464")</f>
        <v>0</v>
      </c>
      <c r="B6940" t="s">
        <v>523</v>
      </c>
      <c r="C6940" t="s">
        <v>4348</v>
      </c>
      <c r="D6940" t="s">
        <v>18055</v>
      </c>
      <c r="E6940" t="s">
        <v>24253</v>
      </c>
      <c r="F6940" t="s">
        <v>31574</v>
      </c>
      <c r="G6940" t="s">
        <v>31582</v>
      </c>
      <c r="H6940" t="s">
        <v>31591</v>
      </c>
      <c r="I6940" t="s">
        <v>8822</v>
      </c>
      <c r="J6940" t="s">
        <v>36193</v>
      </c>
      <c r="K6940" t="s">
        <v>41193</v>
      </c>
      <c r="M6940" t="s">
        <v>42019</v>
      </c>
      <c r="N6940" t="s">
        <v>45095</v>
      </c>
      <c r="O6940" t="s">
        <v>45096</v>
      </c>
      <c r="P6940">
        <v>0</v>
      </c>
      <c r="Q6940">
        <v>1</v>
      </c>
      <c r="R6940" t="s">
        <v>45103</v>
      </c>
      <c r="S6940" t="s">
        <v>45270</v>
      </c>
      <c r="T6940" t="s">
        <v>46973</v>
      </c>
      <c r="U6940" t="s">
        <v>53296</v>
      </c>
      <c r="V6940" t="s">
        <v>60603</v>
      </c>
      <c r="W6940" t="s">
        <v>42019</v>
      </c>
      <c r="X6940" t="s">
        <v>45104</v>
      </c>
    </row>
    <row r="6941" spans="1:24">
      <c r="A6941">
        <f>HYPERLINK("https://www.philgeps.gov.ph/GEPSNONPILOT/Tender/SplashBidNoticeAbstractUI.aspx?menuIndex=3&amp;refID=7035451&amp;Result=3","7035451")</f>
        <v>0</v>
      </c>
      <c r="B6941" t="s">
        <v>516</v>
      </c>
      <c r="C6941" t="s">
        <v>9831</v>
      </c>
      <c r="D6941" t="s">
        <v>18031</v>
      </c>
      <c r="E6941" t="s">
        <v>24254</v>
      </c>
      <c r="F6941" t="s">
        <v>31574</v>
      </c>
      <c r="G6941" t="s">
        <v>31582</v>
      </c>
      <c r="H6941" t="s">
        <v>31590</v>
      </c>
      <c r="I6941" t="s">
        <v>31689</v>
      </c>
      <c r="J6941" t="s">
        <v>36194</v>
      </c>
      <c r="K6941" t="s">
        <v>41193</v>
      </c>
      <c r="M6941" t="s">
        <v>42012</v>
      </c>
      <c r="N6941" t="s">
        <v>45095</v>
      </c>
      <c r="O6941" t="s">
        <v>45096</v>
      </c>
      <c r="P6941">
        <v>0</v>
      </c>
      <c r="Q6941">
        <v>0</v>
      </c>
      <c r="R6941" t="s">
        <v>45103</v>
      </c>
      <c r="S6941" t="s">
        <v>45270</v>
      </c>
      <c r="T6941" t="s">
        <v>46926</v>
      </c>
      <c r="U6941" t="s">
        <v>48512</v>
      </c>
      <c r="W6941" t="s">
        <v>42012</v>
      </c>
      <c r="X6941" t="s">
        <v>45104</v>
      </c>
    </row>
    <row r="6942" spans="1:24">
      <c r="A6942">
        <f>HYPERLINK("https://www.philgeps.gov.ph/GEPSNONPILOT/Tender/SplashBidNoticeAbstractUI.aspx?menuIndex=3&amp;refID=7035460&amp;Result=3","7035460")</f>
        <v>0</v>
      </c>
      <c r="B6942" t="s">
        <v>2091</v>
      </c>
      <c r="C6942" t="s">
        <v>8699</v>
      </c>
      <c r="D6942" t="s">
        <v>18100</v>
      </c>
      <c r="E6942" t="s">
        <v>24255</v>
      </c>
      <c r="F6942" t="s">
        <v>31574</v>
      </c>
      <c r="G6942" t="s">
        <v>31581</v>
      </c>
      <c r="H6942" t="s">
        <v>31590</v>
      </c>
      <c r="I6942" t="s">
        <v>4327</v>
      </c>
      <c r="J6942" t="s">
        <v>31762</v>
      </c>
      <c r="K6942" t="s">
        <v>41193</v>
      </c>
      <c r="M6942" t="s">
        <v>43768</v>
      </c>
      <c r="N6942" t="s">
        <v>45095</v>
      </c>
      <c r="O6942" t="s">
        <v>45096</v>
      </c>
      <c r="P6942">
        <v>0</v>
      </c>
      <c r="Q6942">
        <v>1</v>
      </c>
      <c r="R6942" t="s">
        <v>45103</v>
      </c>
      <c r="S6942" t="s">
        <v>45270</v>
      </c>
      <c r="T6942" t="s">
        <v>47124</v>
      </c>
      <c r="U6942" t="s">
        <v>53297</v>
      </c>
      <c r="W6942" t="s">
        <v>43768</v>
      </c>
      <c r="X6942" t="s">
        <v>45104</v>
      </c>
    </row>
    <row r="6943" spans="1:24">
      <c r="A6943">
        <f>HYPERLINK("https://www.philgeps.gov.ph/GEPSNONPILOT/Tender/SplashBidNoticeAbstractUI.aspx?menuIndex=3&amp;refID=7035470&amp;Result=3","7035470")</f>
        <v>0</v>
      </c>
      <c r="B6943" t="s">
        <v>2092</v>
      </c>
      <c r="C6943" t="s">
        <v>9832</v>
      </c>
      <c r="D6943" t="s">
        <v>18030</v>
      </c>
      <c r="E6943" t="s">
        <v>24256</v>
      </c>
      <c r="F6943" t="s">
        <v>31574</v>
      </c>
      <c r="G6943" t="s">
        <v>31582</v>
      </c>
      <c r="H6943" t="s">
        <v>31592</v>
      </c>
      <c r="I6943" t="s">
        <v>3487</v>
      </c>
      <c r="J6943" t="s">
        <v>36195</v>
      </c>
      <c r="K6943" t="s">
        <v>41192</v>
      </c>
      <c r="M6943" t="s">
        <v>43769</v>
      </c>
      <c r="N6943" t="s">
        <v>45095</v>
      </c>
      <c r="O6943" t="s">
        <v>45096</v>
      </c>
      <c r="P6943">
        <v>0</v>
      </c>
      <c r="Q6943">
        <v>2</v>
      </c>
      <c r="R6943" t="s">
        <v>45103</v>
      </c>
      <c r="S6943" t="s">
        <v>45270</v>
      </c>
      <c r="T6943" t="s">
        <v>47004</v>
      </c>
      <c r="U6943" t="s">
        <v>53298</v>
      </c>
      <c r="V6943" t="s">
        <v>60604</v>
      </c>
      <c r="W6943" t="s">
        <v>43769</v>
      </c>
      <c r="X6943" t="s">
        <v>45104</v>
      </c>
    </row>
    <row r="6944" spans="1:24">
      <c r="A6944">
        <f>HYPERLINK("https://www.philgeps.gov.ph/GEPSNONPILOT/Tender/SplashBidNoticeAbstractUI.aspx?menuIndex=3&amp;refID=7035469&amp;Result=3","7035469")</f>
        <v>0</v>
      </c>
      <c r="B6944" t="s">
        <v>1117</v>
      </c>
      <c r="C6944" t="s">
        <v>9833</v>
      </c>
      <c r="D6944" t="s">
        <v>18079</v>
      </c>
      <c r="E6944" t="s">
        <v>24257</v>
      </c>
      <c r="F6944" t="s">
        <v>31574</v>
      </c>
      <c r="G6944" t="s">
        <v>31582</v>
      </c>
      <c r="H6944" t="s">
        <v>31591</v>
      </c>
      <c r="I6944" t="s">
        <v>8822</v>
      </c>
      <c r="J6944" t="s">
        <v>36196</v>
      </c>
      <c r="K6944" t="s">
        <v>41186</v>
      </c>
      <c r="M6944" t="s">
        <v>42666</v>
      </c>
      <c r="N6944" t="s">
        <v>45095</v>
      </c>
      <c r="O6944" t="s">
        <v>45096</v>
      </c>
      <c r="P6944">
        <v>0</v>
      </c>
      <c r="Q6944">
        <v>0</v>
      </c>
      <c r="R6944" t="s">
        <v>45103</v>
      </c>
      <c r="S6944" t="s">
        <v>45270</v>
      </c>
      <c r="T6944" t="s">
        <v>47064</v>
      </c>
      <c r="U6944" t="s">
        <v>53299</v>
      </c>
      <c r="W6944" t="s">
        <v>42666</v>
      </c>
      <c r="X6944" t="s">
        <v>45104</v>
      </c>
    </row>
    <row r="6945" spans="1:24">
      <c r="A6945">
        <f>HYPERLINK("https://www.philgeps.gov.ph/GEPSNONPILOT/Tender/SplashBidNoticeAbstractUI.aspx?menuIndex=3&amp;refID=7035473&amp;Result=3","7035473")</f>
        <v>0</v>
      </c>
      <c r="B6945" t="s">
        <v>2081</v>
      </c>
      <c r="C6945" t="s">
        <v>9834</v>
      </c>
      <c r="D6945" t="s">
        <v>18064</v>
      </c>
      <c r="E6945" t="s">
        <v>24258</v>
      </c>
      <c r="F6945" t="s">
        <v>31574</v>
      </c>
      <c r="G6945" t="s">
        <v>31582</v>
      </c>
      <c r="H6945" t="s">
        <v>31591</v>
      </c>
      <c r="I6945" t="s">
        <v>8822</v>
      </c>
      <c r="J6945" t="s">
        <v>36197</v>
      </c>
      <c r="K6945" t="s">
        <v>41190</v>
      </c>
      <c r="M6945" t="s">
        <v>43756</v>
      </c>
      <c r="N6945" t="s">
        <v>45095</v>
      </c>
      <c r="O6945" t="s">
        <v>45096</v>
      </c>
      <c r="P6945">
        <v>0</v>
      </c>
      <c r="Q6945">
        <v>0</v>
      </c>
      <c r="R6945" t="s">
        <v>45103</v>
      </c>
      <c r="S6945" t="s">
        <v>45270</v>
      </c>
      <c r="T6945" t="s">
        <v>46965</v>
      </c>
      <c r="U6945" t="s">
        <v>53300</v>
      </c>
      <c r="W6945" t="s">
        <v>43756</v>
      </c>
      <c r="X6945" t="s">
        <v>45104</v>
      </c>
    </row>
    <row r="6946" spans="1:24">
      <c r="A6946">
        <f>HYPERLINK("https://www.philgeps.gov.ph/GEPSNONPILOT/Tender/SplashBidNoticeAbstractUI.aspx?menuIndex=3&amp;refID=7035467&amp;Result=3","7035467")</f>
        <v>0</v>
      </c>
      <c r="B6946" t="s">
        <v>2087</v>
      </c>
      <c r="C6946" t="s">
        <v>9810</v>
      </c>
      <c r="D6946" t="s">
        <v>18038</v>
      </c>
      <c r="E6946" t="s">
        <v>24259</v>
      </c>
      <c r="F6946" t="s">
        <v>31574</v>
      </c>
      <c r="G6946" t="s">
        <v>31585</v>
      </c>
      <c r="H6946" t="s">
        <v>31590</v>
      </c>
      <c r="I6946" t="s">
        <v>31615</v>
      </c>
      <c r="J6946" t="s">
        <v>33723</v>
      </c>
      <c r="K6946" t="s">
        <v>41193</v>
      </c>
      <c r="M6946" t="s">
        <v>43762</v>
      </c>
      <c r="N6946" t="s">
        <v>45095</v>
      </c>
      <c r="O6946" t="s">
        <v>45096</v>
      </c>
      <c r="P6946">
        <v>0</v>
      </c>
      <c r="Q6946">
        <v>0</v>
      </c>
      <c r="R6946" t="s">
        <v>45103</v>
      </c>
      <c r="S6946" t="s">
        <v>45270</v>
      </c>
      <c r="T6946" t="s">
        <v>46985</v>
      </c>
      <c r="U6946" t="s">
        <v>53279</v>
      </c>
      <c r="W6946" t="s">
        <v>43762</v>
      </c>
      <c r="X6946" t="s">
        <v>45104</v>
      </c>
    </row>
    <row r="6947" spans="1:24">
      <c r="A6947">
        <f>HYPERLINK("https://www.philgeps.gov.ph/GEPSNONPILOT/Tender/SplashBidNoticeAbstractUI.aspx?menuIndex=3&amp;refID=7035471&amp;Result=3","7035471")</f>
        <v>0</v>
      </c>
      <c r="B6947" t="s">
        <v>2093</v>
      </c>
      <c r="C6947" t="s">
        <v>9835</v>
      </c>
      <c r="D6947" t="s">
        <v>18053</v>
      </c>
      <c r="E6947" t="s">
        <v>24260</v>
      </c>
      <c r="F6947" t="s">
        <v>31574</v>
      </c>
      <c r="G6947" t="s">
        <v>31582</v>
      </c>
      <c r="H6947" t="s">
        <v>31590</v>
      </c>
      <c r="I6947" t="s">
        <v>4327</v>
      </c>
      <c r="J6947" t="s">
        <v>36198</v>
      </c>
      <c r="K6947" t="s">
        <v>41186</v>
      </c>
      <c r="M6947" t="s">
        <v>43770</v>
      </c>
      <c r="N6947" t="s">
        <v>45095</v>
      </c>
      <c r="O6947" t="s">
        <v>45096</v>
      </c>
      <c r="Q6947">
        <v>4</v>
      </c>
      <c r="R6947" t="s">
        <v>45103</v>
      </c>
      <c r="S6947" t="s">
        <v>45276</v>
      </c>
      <c r="T6947" t="s">
        <v>47174</v>
      </c>
      <c r="U6947" t="s">
        <v>53301</v>
      </c>
      <c r="V6947" t="s">
        <v>60605</v>
      </c>
      <c r="W6947" t="s">
        <v>43770</v>
      </c>
      <c r="X6947" t="s">
        <v>45104</v>
      </c>
    </row>
    <row r="6948" spans="1:24">
      <c r="A6948">
        <f>HYPERLINK("https://www.philgeps.gov.ph/GEPSNONPILOT/Tender/SplashBidNoticeAbstractUI.aspx?menuIndex=3&amp;refID=7035472&amp;Result=3","7035472")</f>
        <v>0</v>
      </c>
      <c r="B6948" t="s">
        <v>516</v>
      </c>
      <c r="C6948" t="s">
        <v>9836</v>
      </c>
      <c r="D6948" t="s">
        <v>18031</v>
      </c>
      <c r="E6948" t="s">
        <v>24261</v>
      </c>
      <c r="F6948" t="s">
        <v>31574</v>
      </c>
      <c r="G6948" t="s">
        <v>31582</v>
      </c>
      <c r="H6948" t="s">
        <v>31592</v>
      </c>
      <c r="I6948" t="s">
        <v>31608</v>
      </c>
      <c r="J6948" t="s">
        <v>32473</v>
      </c>
      <c r="K6948" t="s">
        <v>41193</v>
      </c>
      <c r="M6948" t="s">
        <v>42012</v>
      </c>
      <c r="N6948" t="s">
        <v>45095</v>
      </c>
      <c r="O6948" t="s">
        <v>45096</v>
      </c>
      <c r="P6948">
        <v>0</v>
      </c>
      <c r="Q6948">
        <v>1</v>
      </c>
      <c r="R6948" t="s">
        <v>45103</v>
      </c>
      <c r="S6948" t="s">
        <v>45270</v>
      </c>
      <c r="T6948" t="s">
        <v>46926</v>
      </c>
      <c r="U6948" t="s">
        <v>48512</v>
      </c>
      <c r="W6948" t="s">
        <v>42012</v>
      </c>
      <c r="X6948" t="s">
        <v>45104</v>
      </c>
    </row>
    <row r="6949" spans="1:24">
      <c r="A6949">
        <f>HYPERLINK("https://www.philgeps.gov.ph/GEPSNONPILOT/Tender/SplashBidNoticeAbstractUI.aspx?menuIndex=3&amp;refID=7035502&amp;Result=3","7035502")</f>
        <v>0</v>
      </c>
      <c r="B6949" t="s">
        <v>1229</v>
      </c>
      <c r="C6949" t="s">
        <v>9837</v>
      </c>
      <c r="D6949" t="s">
        <v>18022</v>
      </c>
      <c r="E6949" t="s">
        <v>24262</v>
      </c>
      <c r="F6949" t="s">
        <v>31574</v>
      </c>
      <c r="G6949" t="s">
        <v>31582</v>
      </c>
      <c r="H6949" t="s">
        <v>31592</v>
      </c>
      <c r="I6949" t="s">
        <v>31630</v>
      </c>
      <c r="J6949" t="s">
        <v>31789</v>
      </c>
      <c r="K6949" t="s">
        <v>41193</v>
      </c>
      <c r="M6949" t="s">
        <v>43730</v>
      </c>
      <c r="N6949" t="s">
        <v>45095</v>
      </c>
      <c r="O6949" t="s">
        <v>45096</v>
      </c>
      <c r="P6949">
        <v>0</v>
      </c>
      <c r="Q6949">
        <v>0</v>
      </c>
      <c r="R6949" t="s">
        <v>45103</v>
      </c>
      <c r="S6949" t="s">
        <v>45270</v>
      </c>
      <c r="T6949" t="s">
        <v>47010</v>
      </c>
      <c r="U6949" t="s">
        <v>53302</v>
      </c>
      <c r="W6949" t="s">
        <v>43730</v>
      </c>
      <c r="X6949" t="s">
        <v>45104</v>
      </c>
    </row>
    <row r="6950" spans="1:24">
      <c r="A6950">
        <f>HYPERLINK("https://www.philgeps.gov.ph/GEPSNONPILOT/Tender/SplashBidNoticeAbstractUI.aspx?menuIndex=3&amp;refID=7035468&amp;Result=3","7035468")</f>
        <v>0</v>
      </c>
      <c r="B6950" t="s">
        <v>2091</v>
      </c>
      <c r="C6950" t="s">
        <v>9838</v>
      </c>
      <c r="D6950" t="s">
        <v>18100</v>
      </c>
      <c r="E6950" t="s">
        <v>24263</v>
      </c>
      <c r="F6950" t="s">
        <v>31574</v>
      </c>
      <c r="G6950" t="s">
        <v>31581</v>
      </c>
      <c r="H6950" t="s">
        <v>31590</v>
      </c>
      <c r="I6950" t="s">
        <v>31600</v>
      </c>
      <c r="J6950" t="s">
        <v>32246</v>
      </c>
      <c r="K6950" t="s">
        <v>41193</v>
      </c>
      <c r="M6950" t="s">
        <v>43768</v>
      </c>
      <c r="N6950" t="s">
        <v>45095</v>
      </c>
      <c r="O6950" t="s">
        <v>45096</v>
      </c>
      <c r="P6950">
        <v>0</v>
      </c>
      <c r="Q6950">
        <v>0</v>
      </c>
      <c r="R6950" t="s">
        <v>45103</v>
      </c>
      <c r="S6950" t="s">
        <v>45270</v>
      </c>
      <c r="T6950" t="s">
        <v>47124</v>
      </c>
      <c r="U6950" t="s">
        <v>53297</v>
      </c>
      <c r="W6950" t="s">
        <v>43768</v>
      </c>
      <c r="X6950" t="s">
        <v>45104</v>
      </c>
    </row>
    <row r="6951" spans="1:24">
      <c r="A6951">
        <f>HYPERLINK("https://www.philgeps.gov.ph/GEPSNONPILOT/Tender/SplashBidNoticeAbstractUI.aspx?menuIndex=3&amp;refID=7035501&amp;Result=3","7035501")</f>
        <v>0</v>
      </c>
      <c r="B6951" t="s">
        <v>2094</v>
      </c>
      <c r="C6951" t="s">
        <v>9839</v>
      </c>
      <c r="D6951" t="s">
        <v>18038</v>
      </c>
      <c r="E6951" t="s">
        <v>24264</v>
      </c>
      <c r="F6951" t="s">
        <v>31574</v>
      </c>
      <c r="G6951" t="s">
        <v>31581</v>
      </c>
      <c r="H6951" t="s">
        <v>31590</v>
      </c>
      <c r="I6951" t="s">
        <v>4327</v>
      </c>
      <c r="J6951" t="s">
        <v>36199</v>
      </c>
      <c r="K6951" t="s">
        <v>41190</v>
      </c>
      <c r="M6951" t="s">
        <v>43771</v>
      </c>
      <c r="N6951" t="s">
        <v>45095</v>
      </c>
      <c r="O6951" t="s">
        <v>45096</v>
      </c>
      <c r="P6951">
        <v>0</v>
      </c>
      <c r="Q6951">
        <v>0</v>
      </c>
      <c r="R6951" t="s">
        <v>45103</v>
      </c>
      <c r="S6951" t="s">
        <v>45270</v>
      </c>
      <c r="T6951" t="s">
        <v>47183</v>
      </c>
      <c r="U6951" t="s">
        <v>53303</v>
      </c>
      <c r="V6951" t="s">
        <v>60606</v>
      </c>
      <c r="W6951" t="s">
        <v>43771</v>
      </c>
      <c r="X6951" t="s">
        <v>45104</v>
      </c>
    </row>
    <row r="6952" spans="1:24">
      <c r="A6952">
        <f>HYPERLINK("https://www.philgeps.gov.ph/GEPSNONPILOT/Tender/SplashBidNoticeAbstractUI.aspx?menuIndex=3&amp;refID=7035475&amp;Result=3","7035475")</f>
        <v>0</v>
      </c>
      <c r="B6952" t="s">
        <v>59</v>
      </c>
      <c r="C6952" t="s">
        <v>9840</v>
      </c>
      <c r="D6952" t="s">
        <v>18048</v>
      </c>
      <c r="E6952" t="s">
        <v>24265</v>
      </c>
      <c r="F6952" t="s">
        <v>31574</v>
      </c>
      <c r="G6952" t="s">
        <v>31583</v>
      </c>
      <c r="H6952" t="s">
        <v>31590</v>
      </c>
      <c r="I6952" t="s">
        <v>31600</v>
      </c>
      <c r="J6952" t="s">
        <v>36200</v>
      </c>
      <c r="K6952" t="s">
        <v>41186</v>
      </c>
      <c r="M6952" t="s">
        <v>41543</v>
      </c>
      <c r="N6952" t="s">
        <v>45095</v>
      </c>
      <c r="O6952" t="s">
        <v>45096</v>
      </c>
      <c r="P6952">
        <v>0</v>
      </c>
      <c r="Q6952">
        <v>0</v>
      </c>
      <c r="R6952" t="s">
        <v>45103</v>
      </c>
      <c r="S6952" t="s">
        <v>45270</v>
      </c>
      <c r="T6952" t="s">
        <v>47050</v>
      </c>
      <c r="U6952" t="s">
        <v>53304</v>
      </c>
      <c r="V6952" t="s">
        <v>59856</v>
      </c>
      <c r="W6952" t="s">
        <v>41543</v>
      </c>
      <c r="X6952" t="s">
        <v>45104</v>
      </c>
    </row>
    <row r="6953" spans="1:24">
      <c r="A6953">
        <f>HYPERLINK("https://www.philgeps.gov.ph/GEPSNONPILOT/Tender/SplashBidNoticeAbstractUI.aspx?menuIndex=3&amp;refID=7035496&amp;Result=3","7035496")</f>
        <v>0</v>
      </c>
      <c r="B6953" t="s">
        <v>630</v>
      </c>
      <c r="C6953" t="s">
        <v>9841</v>
      </c>
      <c r="D6953" t="s">
        <v>18086</v>
      </c>
      <c r="E6953" t="s">
        <v>24266</v>
      </c>
      <c r="F6953" t="s">
        <v>31574</v>
      </c>
      <c r="G6953" t="s">
        <v>31583</v>
      </c>
      <c r="H6953" t="s">
        <v>31590</v>
      </c>
      <c r="I6953" t="s">
        <v>31602</v>
      </c>
      <c r="J6953" t="s">
        <v>36201</v>
      </c>
      <c r="K6953" t="s">
        <v>41196</v>
      </c>
      <c r="M6953" t="s">
        <v>42134</v>
      </c>
      <c r="N6953" t="s">
        <v>45095</v>
      </c>
      <c r="O6953" t="s">
        <v>45096</v>
      </c>
      <c r="P6953">
        <v>0</v>
      </c>
      <c r="Q6953">
        <v>0</v>
      </c>
      <c r="R6953" t="s">
        <v>45103</v>
      </c>
      <c r="S6953" t="s">
        <v>45270</v>
      </c>
      <c r="T6953" t="s">
        <v>47165</v>
      </c>
      <c r="U6953" t="s">
        <v>53305</v>
      </c>
      <c r="W6953" t="s">
        <v>42134</v>
      </c>
      <c r="X6953" t="s">
        <v>45104</v>
      </c>
    </row>
    <row r="6954" spans="1:24">
      <c r="A6954">
        <f>HYPERLINK("https://www.philgeps.gov.ph/GEPSNONPILOT/Tender/SplashBidNoticeAbstractUI.aspx?menuIndex=3&amp;refID=7035466&amp;Result=3","7035466")</f>
        <v>0</v>
      </c>
      <c r="B6954" t="s">
        <v>1229</v>
      </c>
      <c r="C6954" t="s">
        <v>9842</v>
      </c>
      <c r="D6954" t="s">
        <v>18022</v>
      </c>
      <c r="E6954" t="s">
        <v>24267</v>
      </c>
      <c r="F6954" t="s">
        <v>31574</v>
      </c>
      <c r="G6954" t="s">
        <v>31582</v>
      </c>
      <c r="H6954" t="s">
        <v>31592</v>
      </c>
      <c r="I6954" t="s">
        <v>3489</v>
      </c>
      <c r="J6954" t="s">
        <v>32382</v>
      </c>
      <c r="K6954" t="s">
        <v>41193</v>
      </c>
      <c r="M6954" t="s">
        <v>43730</v>
      </c>
      <c r="N6954" t="s">
        <v>45095</v>
      </c>
      <c r="O6954" t="s">
        <v>45096</v>
      </c>
      <c r="P6954">
        <v>0</v>
      </c>
      <c r="Q6954">
        <v>0</v>
      </c>
      <c r="R6954" t="s">
        <v>45103</v>
      </c>
      <c r="S6954" t="s">
        <v>45270</v>
      </c>
      <c r="T6954" t="s">
        <v>47010</v>
      </c>
      <c r="U6954" t="s">
        <v>53306</v>
      </c>
      <c r="W6954" t="s">
        <v>43730</v>
      </c>
      <c r="X6954" t="s">
        <v>45104</v>
      </c>
    </row>
    <row r="6955" spans="1:24">
      <c r="A6955">
        <f>HYPERLINK("https://www.philgeps.gov.ph/GEPSNONPILOT/Tender/SplashBidNoticeAbstractUI.aspx?menuIndex=3&amp;refID=7035478&amp;Result=3","7035478")</f>
        <v>0</v>
      </c>
      <c r="B6955" t="s">
        <v>2091</v>
      </c>
      <c r="C6955" t="s">
        <v>9843</v>
      </c>
      <c r="D6955" t="s">
        <v>18100</v>
      </c>
      <c r="E6955" t="s">
        <v>24268</v>
      </c>
      <c r="F6955" t="s">
        <v>31574</v>
      </c>
      <c r="G6955" t="s">
        <v>31581</v>
      </c>
      <c r="H6955" t="s">
        <v>31590</v>
      </c>
      <c r="I6955" t="s">
        <v>3487</v>
      </c>
      <c r="J6955" t="s">
        <v>36202</v>
      </c>
      <c r="K6955" t="s">
        <v>41193</v>
      </c>
      <c r="M6955" t="s">
        <v>43768</v>
      </c>
      <c r="N6955" t="s">
        <v>45095</v>
      </c>
      <c r="O6955" t="s">
        <v>45096</v>
      </c>
      <c r="P6955">
        <v>0</v>
      </c>
      <c r="Q6955">
        <v>2</v>
      </c>
      <c r="R6955" t="s">
        <v>45103</v>
      </c>
      <c r="S6955" t="s">
        <v>45270</v>
      </c>
      <c r="T6955" t="s">
        <v>47124</v>
      </c>
      <c r="U6955" t="s">
        <v>53297</v>
      </c>
      <c r="W6955" t="s">
        <v>43768</v>
      </c>
      <c r="X6955" t="s">
        <v>45104</v>
      </c>
    </row>
    <row r="6956" spans="1:24">
      <c r="A6956">
        <f>HYPERLINK("https://www.philgeps.gov.ph/GEPSNONPILOT/Tender/SplashBidNoticeAbstractUI.aspx?menuIndex=3&amp;refID=7035479&amp;Result=3","7035479")</f>
        <v>0</v>
      </c>
      <c r="B6956" t="s">
        <v>38</v>
      </c>
      <c r="C6956" t="s">
        <v>9844</v>
      </c>
      <c r="D6956" t="s">
        <v>18033</v>
      </c>
      <c r="E6956" t="s">
        <v>24269</v>
      </c>
      <c r="F6956" t="s">
        <v>31574</v>
      </c>
      <c r="G6956" t="s">
        <v>31582</v>
      </c>
      <c r="H6956" t="s">
        <v>31590</v>
      </c>
      <c r="I6956" t="s">
        <v>14544</v>
      </c>
      <c r="J6956" t="s">
        <v>32017</v>
      </c>
      <c r="K6956" t="s">
        <v>41194</v>
      </c>
      <c r="M6956" t="s">
        <v>41663</v>
      </c>
      <c r="N6956" t="s">
        <v>45095</v>
      </c>
      <c r="O6956" t="s">
        <v>45096</v>
      </c>
      <c r="P6956">
        <v>0</v>
      </c>
      <c r="Q6956">
        <v>0</v>
      </c>
      <c r="R6956" t="s">
        <v>45103</v>
      </c>
      <c r="S6956" t="s">
        <v>45270</v>
      </c>
      <c r="T6956" t="s">
        <v>46913</v>
      </c>
      <c r="U6956" t="s">
        <v>53307</v>
      </c>
      <c r="V6956" t="s">
        <v>59888</v>
      </c>
      <c r="W6956" t="s">
        <v>41663</v>
      </c>
      <c r="X6956" t="s">
        <v>45104</v>
      </c>
    </row>
    <row r="6957" spans="1:24">
      <c r="A6957">
        <f>HYPERLINK("https://www.philgeps.gov.ph/GEPSNONPILOT/Tender/SplashBidNoticeAbstractUI.aspx?menuIndex=3&amp;refID=7035494&amp;Result=3","7035494")</f>
        <v>0</v>
      </c>
      <c r="B6957" t="s">
        <v>1229</v>
      </c>
      <c r="C6957" t="s">
        <v>9845</v>
      </c>
      <c r="D6957" t="s">
        <v>18022</v>
      </c>
      <c r="E6957" t="s">
        <v>24270</v>
      </c>
      <c r="F6957" t="s">
        <v>31574</v>
      </c>
      <c r="G6957" t="s">
        <v>31582</v>
      </c>
      <c r="H6957" t="s">
        <v>31592</v>
      </c>
      <c r="I6957" t="s">
        <v>31630</v>
      </c>
      <c r="J6957" t="s">
        <v>31782</v>
      </c>
      <c r="K6957" t="s">
        <v>41193</v>
      </c>
      <c r="M6957" t="s">
        <v>43730</v>
      </c>
      <c r="N6957" t="s">
        <v>45095</v>
      </c>
      <c r="O6957" t="s">
        <v>45096</v>
      </c>
      <c r="P6957">
        <v>0</v>
      </c>
      <c r="Q6957">
        <v>0</v>
      </c>
      <c r="R6957" t="s">
        <v>45103</v>
      </c>
      <c r="S6957" t="s">
        <v>45270</v>
      </c>
      <c r="T6957" t="s">
        <v>47010</v>
      </c>
      <c r="U6957" t="s">
        <v>53302</v>
      </c>
      <c r="W6957" t="s">
        <v>43730</v>
      </c>
      <c r="X6957" t="s">
        <v>45104</v>
      </c>
    </row>
    <row r="6958" spans="1:24">
      <c r="A6958">
        <f>HYPERLINK("https://www.philgeps.gov.ph/GEPSNONPILOT/Tender/SplashBidNoticeAbstractUI.aspx?menuIndex=3&amp;refID=7035485&amp;Result=3","7035485")</f>
        <v>0</v>
      </c>
      <c r="B6958" t="s">
        <v>2095</v>
      </c>
      <c r="C6958" t="s">
        <v>9846</v>
      </c>
      <c r="D6958" t="s">
        <v>18033</v>
      </c>
      <c r="E6958" t="s">
        <v>24271</v>
      </c>
      <c r="F6958" t="s">
        <v>31574</v>
      </c>
      <c r="G6958" t="s">
        <v>31583</v>
      </c>
      <c r="H6958" t="s">
        <v>31590</v>
      </c>
      <c r="I6958" t="s">
        <v>6800</v>
      </c>
      <c r="J6958" t="s">
        <v>36203</v>
      </c>
      <c r="K6958" t="s">
        <v>41213</v>
      </c>
      <c r="M6958" t="s">
        <v>43772</v>
      </c>
      <c r="N6958" t="s">
        <v>45095</v>
      </c>
      <c r="O6958" t="s">
        <v>45096</v>
      </c>
      <c r="P6958">
        <v>0</v>
      </c>
      <c r="Q6958">
        <v>1</v>
      </c>
      <c r="R6958" t="s">
        <v>45103</v>
      </c>
      <c r="S6958" t="s">
        <v>45270</v>
      </c>
      <c r="T6958" t="s">
        <v>47159</v>
      </c>
      <c r="U6958" t="s">
        <v>53308</v>
      </c>
      <c r="W6958" t="s">
        <v>43772</v>
      </c>
      <c r="X6958" t="s">
        <v>45104</v>
      </c>
    </row>
    <row r="6959" spans="1:24">
      <c r="A6959">
        <f>HYPERLINK("https://www.philgeps.gov.ph/GEPSNONPILOT/Tender/SplashBidNoticeAbstractUI.aspx?menuIndex=3&amp;refID=7035476&amp;Result=3","7035476")</f>
        <v>0</v>
      </c>
      <c r="B6959" t="s">
        <v>712</v>
      </c>
      <c r="C6959" t="s">
        <v>9847</v>
      </c>
      <c r="D6959" t="s">
        <v>18041</v>
      </c>
      <c r="E6959" t="s">
        <v>24272</v>
      </c>
      <c r="F6959" t="s">
        <v>31574</v>
      </c>
      <c r="G6959" t="s">
        <v>31582</v>
      </c>
      <c r="H6959" t="s">
        <v>31590</v>
      </c>
      <c r="I6959" t="s">
        <v>31605</v>
      </c>
      <c r="J6959" t="s">
        <v>36204</v>
      </c>
      <c r="K6959" t="s">
        <v>41184</v>
      </c>
      <c r="M6959" t="s">
        <v>42222</v>
      </c>
      <c r="N6959" t="s">
        <v>45095</v>
      </c>
      <c r="O6959" t="s">
        <v>45096</v>
      </c>
      <c r="P6959">
        <v>0</v>
      </c>
      <c r="Q6959">
        <v>0</v>
      </c>
      <c r="R6959" t="s">
        <v>45103</v>
      </c>
      <c r="S6959" t="s">
        <v>45270</v>
      </c>
      <c r="T6959" t="s">
        <v>47273</v>
      </c>
      <c r="U6959" t="s">
        <v>53309</v>
      </c>
      <c r="W6959" t="s">
        <v>42222</v>
      </c>
      <c r="X6959" t="s">
        <v>45104</v>
      </c>
    </row>
    <row r="6960" spans="1:24">
      <c r="A6960">
        <f>HYPERLINK("https://www.philgeps.gov.ph/GEPSNONPILOT/Tender/SplashBidNoticeAbstractUI.aspx?menuIndex=3&amp;refID=7035484&amp;Result=3","7035484")</f>
        <v>0</v>
      </c>
      <c r="B6960" t="s">
        <v>1229</v>
      </c>
      <c r="C6960" t="s">
        <v>9848</v>
      </c>
      <c r="D6960" t="s">
        <v>18022</v>
      </c>
      <c r="E6960" t="s">
        <v>24273</v>
      </c>
      <c r="F6960" t="s">
        <v>31574</v>
      </c>
      <c r="G6960" t="s">
        <v>31582</v>
      </c>
      <c r="H6960" t="s">
        <v>31592</v>
      </c>
      <c r="I6960" t="s">
        <v>31630</v>
      </c>
      <c r="J6960" t="s">
        <v>31789</v>
      </c>
      <c r="K6960" t="s">
        <v>41193</v>
      </c>
      <c r="M6960" t="s">
        <v>43730</v>
      </c>
      <c r="N6960" t="s">
        <v>45095</v>
      </c>
      <c r="O6960" t="s">
        <v>45096</v>
      </c>
      <c r="P6960">
        <v>0</v>
      </c>
      <c r="Q6960">
        <v>1</v>
      </c>
      <c r="R6960" t="s">
        <v>45103</v>
      </c>
      <c r="S6960" t="s">
        <v>45270</v>
      </c>
      <c r="T6960" t="s">
        <v>47010</v>
      </c>
      <c r="U6960" t="s">
        <v>53302</v>
      </c>
      <c r="W6960" t="s">
        <v>43730</v>
      </c>
      <c r="X6960" t="s">
        <v>45104</v>
      </c>
    </row>
    <row r="6961" spans="1:24">
      <c r="A6961">
        <f>HYPERLINK("https://www.philgeps.gov.ph/GEPSNONPILOT/Tender/SplashBidNoticeAbstractUI.aspx?menuIndex=3&amp;refID=7035503&amp;Result=3","7035503")</f>
        <v>0</v>
      </c>
      <c r="B6961" t="s">
        <v>2096</v>
      </c>
      <c r="C6961" t="s">
        <v>9849</v>
      </c>
      <c r="D6961" t="s">
        <v>18052</v>
      </c>
      <c r="E6961" t="s">
        <v>24274</v>
      </c>
      <c r="F6961" t="s">
        <v>31574</v>
      </c>
      <c r="G6961" t="s">
        <v>31581</v>
      </c>
      <c r="H6961" t="s">
        <v>31590</v>
      </c>
      <c r="I6961" t="s">
        <v>31602</v>
      </c>
      <c r="J6961" t="s">
        <v>36205</v>
      </c>
      <c r="K6961" t="s">
        <v>41193</v>
      </c>
      <c r="M6961" t="s">
        <v>43773</v>
      </c>
      <c r="N6961" t="s">
        <v>45095</v>
      </c>
      <c r="O6961" t="s">
        <v>45096</v>
      </c>
      <c r="P6961">
        <v>0</v>
      </c>
      <c r="Q6961">
        <v>0</v>
      </c>
      <c r="R6961" t="s">
        <v>45103</v>
      </c>
      <c r="S6961" t="s">
        <v>45270</v>
      </c>
      <c r="T6961" t="s">
        <v>47154</v>
      </c>
      <c r="U6961" t="s">
        <v>53310</v>
      </c>
      <c r="W6961" t="s">
        <v>43773</v>
      </c>
      <c r="X6961" t="s">
        <v>45104</v>
      </c>
    </row>
    <row r="6962" spans="1:24">
      <c r="A6962">
        <f>HYPERLINK("https://www.philgeps.gov.ph/GEPSNONPILOT/Tender/SplashBidNoticeAbstractUI.aspx?menuIndex=3&amp;refID=7035508&amp;Result=3","7035508")</f>
        <v>0</v>
      </c>
      <c r="B6962" t="s">
        <v>2087</v>
      </c>
      <c r="C6962" t="s">
        <v>9850</v>
      </c>
      <c r="D6962" t="s">
        <v>18038</v>
      </c>
      <c r="E6962" t="s">
        <v>24275</v>
      </c>
      <c r="F6962" t="s">
        <v>31574</v>
      </c>
      <c r="G6962" t="s">
        <v>31585</v>
      </c>
      <c r="H6962" t="s">
        <v>31590</v>
      </c>
      <c r="I6962" t="s">
        <v>4327</v>
      </c>
      <c r="J6962" t="s">
        <v>36206</v>
      </c>
      <c r="K6962" t="s">
        <v>41193</v>
      </c>
      <c r="M6962" t="s">
        <v>43762</v>
      </c>
      <c r="N6962" t="s">
        <v>45095</v>
      </c>
      <c r="O6962" t="s">
        <v>45096</v>
      </c>
      <c r="P6962">
        <v>0</v>
      </c>
      <c r="Q6962">
        <v>3</v>
      </c>
      <c r="R6962" t="s">
        <v>45103</v>
      </c>
      <c r="S6962" t="s">
        <v>45270</v>
      </c>
      <c r="T6962" t="s">
        <v>46985</v>
      </c>
      <c r="U6962" t="s">
        <v>53279</v>
      </c>
      <c r="W6962" t="s">
        <v>43762</v>
      </c>
      <c r="X6962" t="s">
        <v>45104</v>
      </c>
    </row>
    <row r="6963" spans="1:24">
      <c r="A6963">
        <f>HYPERLINK("https://www.philgeps.gov.ph/GEPSNONPILOT/Tender/SplashBidNoticeAbstractUI.aspx?menuIndex=3&amp;refID=7035519&amp;Result=3","7035519")</f>
        <v>0</v>
      </c>
      <c r="B6963" t="s">
        <v>630</v>
      </c>
      <c r="C6963" t="s">
        <v>9851</v>
      </c>
      <c r="D6963" t="s">
        <v>18086</v>
      </c>
      <c r="E6963" t="s">
        <v>24276</v>
      </c>
      <c r="F6963" t="s">
        <v>31574</v>
      </c>
      <c r="G6963" t="s">
        <v>31583</v>
      </c>
      <c r="H6963" t="s">
        <v>31590</v>
      </c>
      <c r="I6963" t="s">
        <v>31602</v>
      </c>
      <c r="J6963" t="s">
        <v>36207</v>
      </c>
      <c r="K6963" t="s">
        <v>41196</v>
      </c>
      <c r="M6963" t="s">
        <v>42134</v>
      </c>
      <c r="N6963" t="s">
        <v>45095</v>
      </c>
      <c r="O6963" t="s">
        <v>45096</v>
      </c>
      <c r="P6963">
        <v>0</v>
      </c>
      <c r="Q6963">
        <v>0</v>
      </c>
      <c r="R6963" t="s">
        <v>45103</v>
      </c>
      <c r="S6963" t="s">
        <v>45270</v>
      </c>
      <c r="T6963" t="s">
        <v>47165</v>
      </c>
      <c r="U6963" t="s">
        <v>53311</v>
      </c>
      <c r="W6963" t="s">
        <v>42134</v>
      </c>
      <c r="X6963" t="s">
        <v>45104</v>
      </c>
    </row>
    <row r="6964" spans="1:24">
      <c r="A6964">
        <f>HYPERLINK("https://www.philgeps.gov.ph/GEPSNONPILOT/Tender/SplashBidNoticeAbstractUI.aspx?menuIndex=3&amp;refID=7035504&amp;Result=3","7035504")</f>
        <v>0</v>
      </c>
      <c r="B6964" t="s">
        <v>2081</v>
      </c>
      <c r="C6964" t="s">
        <v>9852</v>
      </c>
      <c r="D6964" t="s">
        <v>18064</v>
      </c>
      <c r="E6964" t="s">
        <v>24277</v>
      </c>
      <c r="F6964" t="s">
        <v>31574</v>
      </c>
      <c r="G6964" t="s">
        <v>31582</v>
      </c>
      <c r="H6964" t="s">
        <v>31590</v>
      </c>
      <c r="I6964" t="s">
        <v>4046</v>
      </c>
      <c r="J6964" t="s">
        <v>36208</v>
      </c>
      <c r="K6964" t="s">
        <v>41193</v>
      </c>
      <c r="M6964" t="s">
        <v>43756</v>
      </c>
      <c r="N6964" t="s">
        <v>45095</v>
      </c>
      <c r="O6964" t="s">
        <v>45096</v>
      </c>
      <c r="P6964">
        <v>0</v>
      </c>
      <c r="Q6964">
        <v>0</v>
      </c>
      <c r="R6964" t="s">
        <v>45103</v>
      </c>
      <c r="S6964" t="s">
        <v>45270</v>
      </c>
      <c r="T6964" t="s">
        <v>46965</v>
      </c>
      <c r="U6964" t="s">
        <v>53312</v>
      </c>
      <c r="W6964" t="s">
        <v>43756</v>
      </c>
      <c r="X6964" t="s">
        <v>45104</v>
      </c>
    </row>
    <row r="6965" spans="1:24">
      <c r="A6965">
        <f>HYPERLINK("https://www.philgeps.gov.ph/GEPSNONPILOT/Tender/SplashBidNoticeAbstractUI.aspx?menuIndex=3&amp;refID=7035511&amp;Result=3","7035511")</f>
        <v>0</v>
      </c>
      <c r="B6965" t="s">
        <v>2082</v>
      </c>
      <c r="C6965" t="s">
        <v>9853</v>
      </c>
      <c r="D6965" t="s">
        <v>18079</v>
      </c>
      <c r="E6965" t="s">
        <v>24223</v>
      </c>
      <c r="F6965" t="s">
        <v>31574</v>
      </c>
      <c r="G6965" t="s">
        <v>31582</v>
      </c>
      <c r="H6965" t="s">
        <v>31591</v>
      </c>
      <c r="I6965" t="s">
        <v>8822</v>
      </c>
      <c r="J6965" t="s">
        <v>36209</v>
      </c>
      <c r="K6965" t="s">
        <v>41192</v>
      </c>
      <c r="M6965" t="s">
        <v>43757</v>
      </c>
      <c r="N6965" t="s">
        <v>45095</v>
      </c>
      <c r="O6965" t="s">
        <v>45096</v>
      </c>
      <c r="P6965">
        <v>0</v>
      </c>
      <c r="Q6965">
        <v>0</v>
      </c>
      <c r="R6965" t="s">
        <v>45103</v>
      </c>
      <c r="S6965" t="s">
        <v>45270</v>
      </c>
      <c r="T6965" t="s">
        <v>46981</v>
      </c>
      <c r="U6965" t="s">
        <v>53313</v>
      </c>
      <c r="W6965" t="s">
        <v>43757</v>
      </c>
      <c r="X6965" t="s">
        <v>45104</v>
      </c>
    </row>
    <row r="6966" spans="1:24">
      <c r="A6966">
        <f>HYPERLINK("https://www.philgeps.gov.ph/GEPSNONPILOT/Tender/SplashBidNoticeAbstractUI.aspx?menuIndex=3&amp;refID=7035515&amp;Result=3","7035515")</f>
        <v>0</v>
      </c>
      <c r="B6966" t="s">
        <v>2097</v>
      </c>
      <c r="C6966" t="s">
        <v>9854</v>
      </c>
      <c r="D6966" t="s">
        <v>18088</v>
      </c>
      <c r="E6966" t="s">
        <v>24278</v>
      </c>
      <c r="F6966" t="s">
        <v>31574</v>
      </c>
      <c r="G6966" t="s">
        <v>31583</v>
      </c>
      <c r="H6966" t="s">
        <v>31590</v>
      </c>
      <c r="I6966" t="s">
        <v>31602</v>
      </c>
      <c r="J6966" t="s">
        <v>36210</v>
      </c>
      <c r="K6966" t="s">
        <v>41190</v>
      </c>
      <c r="M6966" t="s">
        <v>43774</v>
      </c>
      <c r="N6966" t="s">
        <v>45095</v>
      </c>
      <c r="O6966" t="s">
        <v>45096</v>
      </c>
      <c r="P6966">
        <v>0</v>
      </c>
      <c r="Q6966">
        <v>0</v>
      </c>
      <c r="R6966" t="s">
        <v>45103</v>
      </c>
      <c r="S6966" t="s">
        <v>45270</v>
      </c>
      <c r="T6966" t="s">
        <v>47159</v>
      </c>
      <c r="U6966" t="s">
        <v>53314</v>
      </c>
      <c r="W6966" t="s">
        <v>43774</v>
      </c>
      <c r="X6966" t="s">
        <v>45104</v>
      </c>
    </row>
    <row r="6967" spans="1:24">
      <c r="A6967">
        <f>HYPERLINK("https://www.philgeps.gov.ph/GEPSNONPILOT/Tender/SplashBidNoticeAbstractUI.aspx?menuIndex=3&amp;refID=7035488&amp;Result=3","7035488")</f>
        <v>0</v>
      </c>
      <c r="B6967" t="s">
        <v>2087</v>
      </c>
      <c r="C6967" t="s">
        <v>9850</v>
      </c>
      <c r="D6967" t="s">
        <v>18038</v>
      </c>
      <c r="E6967" t="s">
        <v>24279</v>
      </c>
      <c r="F6967" t="s">
        <v>31574</v>
      </c>
      <c r="G6967" t="s">
        <v>31585</v>
      </c>
      <c r="H6967" t="s">
        <v>31590</v>
      </c>
      <c r="I6967" t="s">
        <v>4327</v>
      </c>
      <c r="J6967" t="s">
        <v>36211</v>
      </c>
      <c r="K6967" t="s">
        <v>41193</v>
      </c>
      <c r="M6967" t="s">
        <v>43762</v>
      </c>
      <c r="N6967" t="s">
        <v>45095</v>
      </c>
      <c r="O6967" t="s">
        <v>45096</v>
      </c>
      <c r="P6967">
        <v>0</v>
      </c>
      <c r="Q6967">
        <v>2</v>
      </c>
      <c r="R6967" t="s">
        <v>45103</v>
      </c>
      <c r="S6967" t="s">
        <v>45270</v>
      </c>
      <c r="T6967" t="s">
        <v>46985</v>
      </c>
      <c r="U6967" t="s">
        <v>53279</v>
      </c>
      <c r="W6967" t="s">
        <v>43762</v>
      </c>
      <c r="X6967" t="s">
        <v>45104</v>
      </c>
    </row>
    <row r="6968" spans="1:24">
      <c r="A6968">
        <f>HYPERLINK("https://www.philgeps.gov.ph/GEPSNONPILOT/Tender/SplashBidNoticeAbstractUI.aspx?menuIndex=3&amp;refID=7035530&amp;Result=3","7035530")</f>
        <v>0</v>
      </c>
      <c r="B6968" t="s">
        <v>2098</v>
      </c>
      <c r="C6968" t="s">
        <v>9855</v>
      </c>
      <c r="D6968" t="s">
        <v>18030</v>
      </c>
      <c r="E6968" t="s">
        <v>24280</v>
      </c>
      <c r="F6968" t="s">
        <v>31574</v>
      </c>
      <c r="G6968" t="s">
        <v>31582</v>
      </c>
      <c r="H6968" t="s">
        <v>31590</v>
      </c>
      <c r="I6968" t="s">
        <v>5222</v>
      </c>
      <c r="J6968" t="s">
        <v>36212</v>
      </c>
      <c r="K6968" t="s">
        <v>41186</v>
      </c>
      <c r="M6968" t="s">
        <v>43775</v>
      </c>
      <c r="N6968" t="s">
        <v>45095</v>
      </c>
      <c r="O6968" t="s">
        <v>45096</v>
      </c>
      <c r="P6968">
        <v>0</v>
      </c>
      <c r="Q6968">
        <v>5</v>
      </c>
      <c r="R6968" t="s">
        <v>45103</v>
      </c>
      <c r="S6968" t="s">
        <v>45270</v>
      </c>
      <c r="T6968" t="s">
        <v>46988</v>
      </c>
      <c r="U6968" t="s">
        <v>53315</v>
      </c>
      <c r="V6968" t="s">
        <v>60607</v>
      </c>
      <c r="W6968" t="s">
        <v>43775</v>
      </c>
      <c r="X6968" t="s">
        <v>45104</v>
      </c>
    </row>
    <row r="6969" spans="1:24">
      <c r="A6969">
        <f>HYPERLINK("https://www.philgeps.gov.ph/GEPSNONPILOT/Tender/SplashBidNoticeAbstractUI.aspx?menuIndex=3&amp;refID=7035507&amp;Result=3","7035507")</f>
        <v>0</v>
      </c>
      <c r="B6969" t="s">
        <v>2099</v>
      </c>
      <c r="C6969" t="s">
        <v>9856</v>
      </c>
      <c r="D6969" t="s">
        <v>18070</v>
      </c>
      <c r="E6969" t="s">
        <v>18274</v>
      </c>
      <c r="F6969" t="s">
        <v>31574</v>
      </c>
      <c r="G6969" t="s">
        <v>31583</v>
      </c>
      <c r="H6969" t="s">
        <v>31590</v>
      </c>
      <c r="I6969" t="s">
        <v>6800</v>
      </c>
      <c r="J6969" t="s">
        <v>31845</v>
      </c>
      <c r="K6969" t="s">
        <v>41193</v>
      </c>
      <c r="M6969" t="s">
        <v>43776</v>
      </c>
      <c r="N6969" t="s">
        <v>45095</v>
      </c>
      <c r="O6969" t="s">
        <v>45096</v>
      </c>
      <c r="P6969">
        <v>0</v>
      </c>
      <c r="Q6969">
        <v>1</v>
      </c>
      <c r="R6969" t="s">
        <v>45103</v>
      </c>
      <c r="S6969" t="s">
        <v>45270</v>
      </c>
      <c r="T6969" t="s">
        <v>47124</v>
      </c>
      <c r="U6969" t="s">
        <v>53316</v>
      </c>
      <c r="W6969" t="s">
        <v>43776</v>
      </c>
      <c r="X6969" t="s">
        <v>45104</v>
      </c>
    </row>
    <row r="6970" spans="1:24">
      <c r="A6970">
        <f>HYPERLINK("https://www.philgeps.gov.ph/GEPSNONPILOT/Tender/SplashBidNoticeAbstractUI.aspx?menuIndex=3&amp;refID=7035526&amp;Result=3","7035526")</f>
        <v>0</v>
      </c>
      <c r="B6970" t="s">
        <v>2100</v>
      </c>
      <c r="C6970" t="s">
        <v>9857</v>
      </c>
      <c r="D6970" t="s">
        <v>18107</v>
      </c>
      <c r="E6970" t="s">
        <v>24281</v>
      </c>
      <c r="F6970" t="s">
        <v>31574</v>
      </c>
      <c r="G6970" t="s">
        <v>31582</v>
      </c>
      <c r="H6970" t="s">
        <v>31590</v>
      </c>
      <c r="I6970" t="s">
        <v>14034</v>
      </c>
      <c r="J6970" t="s">
        <v>36213</v>
      </c>
      <c r="K6970" t="s">
        <v>41190</v>
      </c>
      <c r="L6970" t="s">
        <v>2100</v>
      </c>
      <c r="M6970" t="s">
        <v>43777</v>
      </c>
      <c r="N6970" t="s">
        <v>45095</v>
      </c>
      <c r="O6970" t="s">
        <v>45096</v>
      </c>
      <c r="P6970">
        <v>0</v>
      </c>
      <c r="Q6970">
        <v>0</v>
      </c>
      <c r="R6970" t="s">
        <v>45103</v>
      </c>
      <c r="S6970" t="s">
        <v>45270</v>
      </c>
      <c r="T6970" t="s">
        <v>46914</v>
      </c>
      <c r="U6970" t="s">
        <v>53317</v>
      </c>
      <c r="W6970" t="s">
        <v>43777</v>
      </c>
      <c r="X6970" t="s">
        <v>45104</v>
      </c>
    </row>
    <row r="6971" spans="1:24">
      <c r="A6971">
        <f>HYPERLINK("https://www.philgeps.gov.ph/GEPSNONPILOT/Tender/SplashBidNoticeAbstractUI.aspx?menuIndex=3&amp;refID=7035518&amp;Result=3","7035518")</f>
        <v>0</v>
      </c>
      <c r="B6971" t="s">
        <v>389</v>
      </c>
      <c r="C6971" t="s">
        <v>9858</v>
      </c>
      <c r="D6971" t="s">
        <v>18037</v>
      </c>
      <c r="E6971" t="s">
        <v>18154</v>
      </c>
      <c r="F6971" t="s">
        <v>31574</v>
      </c>
      <c r="G6971" t="s">
        <v>31582</v>
      </c>
      <c r="H6971" t="s">
        <v>31590</v>
      </c>
      <c r="I6971" t="s">
        <v>4046</v>
      </c>
      <c r="J6971" t="s">
        <v>36214</v>
      </c>
      <c r="K6971" t="s">
        <v>41193</v>
      </c>
      <c r="M6971" t="s">
        <v>41880</v>
      </c>
      <c r="N6971" t="s">
        <v>45095</v>
      </c>
      <c r="O6971" t="s">
        <v>45096</v>
      </c>
      <c r="P6971">
        <v>0</v>
      </c>
      <c r="Q6971">
        <v>0</v>
      </c>
      <c r="R6971" t="s">
        <v>45103</v>
      </c>
      <c r="S6971" t="s">
        <v>45270</v>
      </c>
      <c r="T6971" t="s">
        <v>47037</v>
      </c>
      <c r="U6971" t="s">
        <v>53318</v>
      </c>
      <c r="W6971" t="s">
        <v>41880</v>
      </c>
      <c r="X6971" t="s">
        <v>45104</v>
      </c>
    </row>
    <row r="6972" spans="1:24">
      <c r="A6972">
        <f>HYPERLINK("https://www.philgeps.gov.ph/GEPSNONPILOT/Tender/SplashBidNoticeAbstractUI.aspx?menuIndex=3&amp;refID=7035524&amp;Result=3","7035524")</f>
        <v>0</v>
      </c>
      <c r="B6972" t="s">
        <v>2093</v>
      </c>
      <c r="C6972" t="s">
        <v>9859</v>
      </c>
      <c r="D6972" t="s">
        <v>18053</v>
      </c>
      <c r="E6972" t="s">
        <v>24282</v>
      </c>
      <c r="F6972" t="s">
        <v>31574</v>
      </c>
      <c r="G6972" t="s">
        <v>31582</v>
      </c>
      <c r="H6972" t="s">
        <v>31590</v>
      </c>
      <c r="I6972" t="s">
        <v>31608</v>
      </c>
      <c r="J6972" t="s">
        <v>35140</v>
      </c>
      <c r="K6972" t="s">
        <v>41186</v>
      </c>
      <c r="M6972" t="s">
        <v>43770</v>
      </c>
      <c r="N6972" t="s">
        <v>45095</v>
      </c>
      <c r="O6972" t="s">
        <v>45096</v>
      </c>
      <c r="P6972">
        <v>0</v>
      </c>
      <c r="Q6972">
        <v>3</v>
      </c>
      <c r="R6972" t="s">
        <v>45103</v>
      </c>
      <c r="S6972" t="s">
        <v>45270</v>
      </c>
      <c r="T6972" t="s">
        <v>47174</v>
      </c>
      <c r="U6972" t="s">
        <v>53319</v>
      </c>
      <c r="V6972" t="s">
        <v>60605</v>
      </c>
      <c r="W6972" t="s">
        <v>43770</v>
      </c>
      <c r="X6972" t="s">
        <v>45104</v>
      </c>
    </row>
    <row r="6973" spans="1:24">
      <c r="A6973">
        <f>HYPERLINK("https://www.philgeps.gov.ph/GEPSNONPILOT/Tender/SplashBidNoticeAbstractUI.aspx?menuIndex=3&amp;refID=7035525&amp;Result=3","7035525")</f>
        <v>0</v>
      </c>
      <c r="B6973" t="s">
        <v>2079</v>
      </c>
      <c r="C6973" t="s">
        <v>9860</v>
      </c>
      <c r="D6973" t="s">
        <v>18033</v>
      </c>
      <c r="E6973" t="s">
        <v>18316</v>
      </c>
      <c r="F6973" t="s">
        <v>31574</v>
      </c>
      <c r="G6973" t="s">
        <v>31582</v>
      </c>
      <c r="H6973" t="s">
        <v>31590</v>
      </c>
      <c r="I6973" t="s">
        <v>4046</v>
      </c>
      <c r="J6973" t="s">
        <v>36215</v>
      </c>
      <c r="K6973" t="s">
        <v>41196</v>
      </c>
      <c r="M6973" t="s">
        <v>43754</v>
      </c>
      <c r="N6973" t="s">
        <v>45095</v>
      </c>
      <c r="O6973" t="s">
        <v>45096</v>
      </c>
      <c r="P6973">
        <v>0</v>
      </c>
      <c r="Q6973">
        <v>0</v>
      </c>
      <c r="R6973" t="s">
        <v>45103</v>
      </c>
      <c r="S6973" t="s">
        <v>45270</v>
      </c>
      <c r="T6973" t="s">
        <v>46973</v>
      </c>
      <c r="U6973" t="s">
        <v>53320</v>
      </c>
      <c r="W6973" t="s">
        <v>43754</v>
      </c>
      <c r="X6973" t="s">
        <v>45104</v>
      </c>
    </row>
    <row r="6974" spans="1:24">
      <c r="A6974">
        <f>HYPERLINK("https://www.philgeps.gov.ph/GEPSNONPILOT/Tender/SplashBidNoticeAbstractUI.aspx?menuIndex=3&amp;refID=7035509&amp;Result=3","7035509")</f>
        <v>0</v>
      </c>
      <c r="B6974" t="s">
        <v>2101</v>
      </c>
      <c r="C6974" t="s">
        <v>9861</v>
      </c>
      <c r="D6974" t="s">
        <v>18078</v>
      </c>
      <c r="E6974" t="s">
        <v>24283</v>
      </c>
      <c r="F6974" t="s">
        <v>31574</v>
      </c>
      <c r="G6974" t="s">
        <v>31582</v>
      </c>
      <c r="H6974" t="s">
        <v>31591</v>
      </c>
      <c r="I6974" t="s">
        <v>8822</v>
      </c>
      <c r="J6974" t="s">
        <v>36216</v>
      </c>
      <c r="K6974" t="s">
        <v>41206</v>
      </c>
      <c r="M6974" t="s">
        <v>43778</v>
      </c>
      <c r="N6974" t="s">
        <v>45095</v>
      </c>
      <c r="O6974" t="s">
        <v>45096</v>
      </c>
      <c r="P6974">
        <v>0</v>
      </c>
      <c r="Q6974">
        <v>1</v>
      </c>
      <c r="R6974" t="s">
        <v>45103</v>
      </c>
      <c r="S6974" t="s">
        <v>45270</v>
      </c>
      <c r="T6974" t="s">
        <v>46965</v>
      </c>
      <c r="U6974" t="s">
        <v>53321</v>
      </c>
      <c r="W6974" t="s">
        <v>43778</v>
      </c>
      <c r="X6974" t="s">
        <v>45104</v>
      </c>
    </row>
    <row r="6975" spans="1:24">
      <c r="A6975">
        <f>HYPERLINK("https://www.philgeps.gov.ph/GEPSNONPILOT/Tender/SplashBidNoticeAbstractUI.aspx?menuIndex=3&amp;refID=7035521&amp;Result=3","7035521")</f>
        <v>0</v>
      </c>
      <c r="B6975" t="s">
        <v>2102</v>
      </c>
      <c r="C6975" t="s">
        <v>9862</v>
      </c>
      <c r="D6975" t="s">
        <v>18029</v>
      </c>
      <c r="E6975" t="s">
        <v>24284</v>
      </c>
      <c r="F6975" t="s">
        <v>31574</v>
      </c>
      <c r="G6975" t="s">
        <v>31581</v>
      </c>
      <c r="H6975" t="s">
        <v>31590</v>
      </c>
      <c r="I6975" t="s">
        <v>4046</v>
      </c>
      <c r="J6975" t="s">
        <v>32497</v>
      </c>
      <c r="K6975" t="s">
        <v>41185</v>
      </c>
      <c r="M6975" t="s">
        <v>43779</v>
      </c>
      <c r="N6975" t="s">
        <v>45095</v>
      </c>
      <c r="O6975" t="s">
        <v>45096</v>
      </c>
      <c r="P6975">
        <v>0</v>
      </c>
      <c r="Q6975">
        <v>0</v>
      </c>
      <c r="R6975" t="s">
        <v>45103</v>
      </c>
      <c r="S6975" t="s">
        <v>45270</v>
      </c>
      <c r="T6975" t="s">
        <v>47308</v>
      </c>
      <c r="U6975" t="s">
        <v>53322</v>
      </c>
      <c r="W6975" t="s">
        <v>61726</v>
      </c>
      <c r="X6975" t="s">
        <v>45104</v>
      </c>
    </row>
    <row r="6976" spans="1:24">
      <c r="A6976">
        <f>HYPERLINK("https://www.philgeps.gov.ph/GEPSNONPILOT/Tender/SplashBidNoticeAbstractUI.aspx?menuIndex=3&amp;refID=7035522&amp;Result=3","7035522")</f>
        <v>0</v>
      </c>
      <c r="B6976" t="s">
        <v>2091</v>
      </c>
      <c r="C6976" t="s">
        <v>9863</v>
      </c>
      <c r="D6976" t="s">
        <v>18100</v>
      </c>
      <c r="E6976" t="s">
        <v>24285</v>
      </c>
      <c r="F6976" t="s">
        <v>31574</v>
      </c>
      <c r="G6976" t="s">
        <v>31581</v>
      </c>
      <c r="H6976" t="s">
        <v>31590</v>
      </c>
      <c r="I6976" t="s">
        <v>6800</v>
      </c>
      <c r="J6976" t="s">
        <v>36217</v>
      </c>
      <c r="K6976" t="s">
        <v>41193</v>
      </c>
      <c r="M6976" t="s">
        <v>43768</v>
      </c>
      <c r="N6976" t="s">
        <v>45095</v>
      </c>
      <c r="O6976" t="s">
        <v>45096</v>
      </c>
      <c r="P6976">
        <v>0</v>
      </c>
      <c r="Q6976">
        <v>0</v>
      </c>
      <c r="R6976" t="s">
        <v>45103</v>
      </c>
      <c r="S6976" t="s">
        <v>45270</v>
      </c>
      <c r="T6976" t="s">
        <v>47124</v>
      </c>
      <c r="U6976" t="s">
        <v>53297</v>
      </c>
      <c r="W6976" t="s">
        <v>43768</v>
      </c>
      <c r="X6976" t="s">
        <v>45104</v>
      </c>
    </row>
    <row r="6977" spans="1:24">
      <c r="A6977">
        <f>HYPERLINK("https://www.philgeps.gov.ph/GEPSNONPILOT/Tender/SplashBidNoticeAbstractUI.aspx?menuIndex=3&amp;refID=7035535&amp;Result=3","7035535")</f>
        <v>0</v>
      </c>
      <c r="B6977" t="s">
        <v>1229</v>
      </c>
      <c r="C6977" t="s">
        <v>9864</v>
      </c>
      <c r="D6977" t="s">
        <v>18022</v>
      </c>
      <c r="E6977" t="s">
        <v>24286</v>
      </c>
      <c r="F6977" t="s">
        <v>31574</v>
      </c>
      <c r="G6977" t="s">
        <v>31582</v>
      </c>
      <c r="H6977" t="s">
        <v>31592</v>
      </c>
      <c r="I6977" t="s">
        <v>31630</v>
      </c>
      <c r="J6977" t="s">
        <v>36218</v>
      </c>
      <c r="K6977" t="s">
        <v>41193</v>
      </c>
      <c r="M6977" t="s">
        <v>43730</v>
      </c>
      <c r="N6977" t="s">
        <v>45095</v>
      </c>
      <c r="O6977" t="s">
        <v>45096</v>
      </c>
      <c r="P6977">
        <v>0</v>
      </c>
      <c r="Q6977">
        <v>0</v>
      </c>
      <c r="R6977" t="s">
        <v>45103</v>
      </c>
      <c r="S6977" t="s">
        <v>45270</v>
      </c>
      <c r="T6977" t="s">
        <v>47010</v>
      </c>
      <c r="U6977" t="s">
        <v>53302</v>
      </c>
      <c r="W6977" t="s">
        <v>43730</v>
      </c>
      <c r="X6977" t="s">
        <v>45104</v>
      </c>
    </row>
    <row r="6978" spans="1:24">
      <c r="A6978">
        <f>HYPERLINK("https://www.philgeps.gov.ph/GEPSNONPILOT/Tender/SplashBidNoticeAbstractUI.aspx?menuIndex=3&amp;refID=7035523&amp;Result=3","7035523")</f>
        <v>0</v>
      </c>
      <c r="B6978" t="s">
        <v>2096</v>
      </c>
      <c r="C6978" t="s">
        <v>9865</v>
      </c>
      <c r="D6978" t="s">
        <v>18052</v>
      </c>
      <c r="E6978" t="s">
        <v>24287</v>
      </c>
      <c r="F6978" t="s">
        <v>31574</v>
      </c>
      <c r="G6978" t="s">
        <v>31581</v>
      </c>
      <c r="H6978" t="s">
        <v>31590</v>
      </c>
      <c r="I6978" t="s">
        <v>31651</v>
      </c>
      <c r="J6978" t="s">
        <v>32017</v>
      </c>
      <c r="K6978" t="s">
        <v>41193</v>
      </c>
      <c r="M6978" t="s">
        <v>43773</v>
      </c>
      <c r="N6978" t="s">
        <v>45095</v>
      </c>
      <c r="O6978" t="s">
        <v>45096</v>
      </c>
      <c r="P6978">
        <v>0</v>
      </c>
      <c r="Q6978">
        <v>1</v>
      </c>
      <c r="R6978" t="s">
        <v>45103</v>
      </c>
      <c r="S6978" t="s">
        <v>45270</v>
      </c>
      <c r="T6978" t="s">
        <v>47154</v>
      </c>
      <c r="U6978" t="s">
        <v>53323</v>
      </c>
      <c r="W6978" t="s">
        <v>43773</v>
      </c>
      <c r="X6978" t="s">
        <v>45104</v>
      </c>
    </row>
    <row r="6979" spans="1:24">
      <c r="A6979">
        <f>HYPERLINK("https://www.philgeps.gov.ph/GEPSNONPILOT/Tender/SplashBidNoticeAbstractUI.aspx?menuIndex=3&amp;refID=7035510&amp;Result=3","7035510")</f>
        <v>0</v>
      </c>
      <c r="B6979" t="s">
        <v>2103</v>
      </c>
      <c r="C6979" t="s">
        <v>9866</v>
      </c>
      <c r="D6979" t="s">
        <v>18095</v>
      </c>
      <c r="E6979" t="s">
        <v>24288</v>
      </c>
      <c r="F6979" t="s">
        <v>31574</v>
      </c>
      <c r="G6979" t="s">
        <v>31581</v>
      </c>
      <c r="H6979" t="s">
        <v>31590</v>
      </c>
      <c r="I6979" t="s">
        <v>31629</v>
      </c>
      <c r="J6979" t="s">
        <v>31947</v>
      </c>
      <c r="K6979" t="s">
        <v>41193</v>
      </c>
      <c r="M6979" t="s">
        <v>43780</v>
      </c>
      <c r="N6979" t="s">
        <v>45095</v>
      </c>
      <c r="O6979" t="s">
        <v>45096</v>
      </c>
      <c r="P6979">
        <v>0</v>
      </c>
      <c r="Q6979">
        <v>1</v>
      </c>
      <c r="R6979" t="s">
        <v>45103</v>
      </c>
      <c r="S6979" t="s">
        <v>45270</v>
      </c>
      <c r="T6979" t="s">
        <v>47164</v>
      </c>
      <c r="U6979" t="s">
        <v>53324</v>
      </c>
      <c r="W6979" t="s">
        <v>43780</v>
      </c>
      <c r="X6979" t="s">
        <v>45104</v>
      </c>
    </row>
    <row r="6980" spans="1:24">
      <c r="A6980">
        <f>HYPERLINK("https://www.philgeps.gov.ph/GEPSNONPILOT/Tender/SplashBidNoticeAbstractUI.aspx?menuIndex=3&amp;refID=7035536&amp;Result=3","7035536")</f>
        <v>0</v>
      </c>
      <c r="B6980" t="s">
        <v>2087</v>
      </c>
      <c r="C6980" t="s">
        <v>9867</v>
      </c>
      <c r="D6980" t="s">
        <v>18038</v>
      </c>
      <c r="E6980" t="s">
        <v>24289</v>
      </c>
      <c r="F6980" t="s">
        <v>31574</v>
      </c>
      <c r="G6980" t="s">
        <v>31585</v>
      </c>
      <c r="H6980" t="s">
        <v>31590</v>
      </c>
      <c r="I6980" t="s">
        <v>31619</v>
      </c>
      <c r="J6980" t="s">
        <v>31935</v>
      </c>
      <c r="K6980" t="s">
        <v>41193</v>
      </c>
      <c r="M6980" t="s">
        <v>43762</v>
      </c>
      <c r="N6980" t="s">
        <v>45095</v>
      </c>
      <c r="O6980" t="s">
        <v>45096</v>
      </c>
      <c r="P6980">
        <v>0</v>
      </c>
      <c r="Q6980">
        <v>7</v>
      </c>
      <c r="R6980" t="s">
        <v>45103</v>
      </c>
      <c r="S6980" t="s">
        <v>45270</v>
      </c>
      <c r="T6980" t="s">
        <v>46985</v>
      </c>
      <c r="U6980" t="s">
        <v>53279</v>
      </c>
      <c r="W6980" t="s">
        <v>43762</v>
      </c>
      <c r="X6980" t="s">
        <v>45104</v>
      </c>
    </row>
    <row r="6981" spans="1:24">
      <c r="A6981">
        <f>HYPERLINK("https://www.philgeps.gov.ph/GEPSNONPILOT/Tender/SplashBidNoticeAbstractUI.aspx?menuIndex=3&amp;refID=7035538&amp;Result=3","7035538")</f>
        <v>0</v>
      </c>
      <c r="B6981" t="s">
        <v>2104</v>
      </c>
      <c r="C6981" t="s">
        <v>9868</v>
      </c>
      <c r="D6981" t="s">
        <v>18039</v>
      </c>
      <c r="E6981" t="s">
        <v>24290</v>
      </c>
      <c r="F6981" t="s">
        <v>31574</v>
      </c>
      <c r="G6981" t="s">
        <v>31582</v>
      </c>
      <c r="H6981" t="s">
        <v>31591</v>
      </c>
      <c r="I6981" t="s">
        <v>8822</v>
      </c>
      <c r="J6981" t="s">
        <v>36219</v>
      </c>
      <c r="K6981" t="s">
        <v>41353</v>
      </c>
      <c r="M6981" t="s">
        <v>43781</v>
      </c>
      <c r="N6981" t="s">
        <v>45095</v>
      </c>
      <c r="O6981" t="s">
        <v>45096</v>
      </c>
      <c r="Q6981">
        <v>0</v>
      </c>
      <c r="R6981" t="s">
        <v>45103</v>
      </c>
      <c r="S6981" t="s">
        <v>45277</v>
      </c>
      <c r="T6981" t="s">
        <v>47166</v>
      </c>
      <c r="U6981" t="s">
        <v>53325</v>
      </c>
      <c r="W6981" t="s">
        <v>43781</v>
      </c>
      <c r="X6981" t="s">
        <v>45104</v>
      </c>
    </row>
    <row r="6982" spans="1:24">
      <c r="A6982">
        <f>HYPERLINK("https://www.philgeps.gov.ph/GEPSNONPILOT/Tender/SplashBidNoticeAbstractUI.aspx?menuIndex=3&amp;refID=7035549&amp;Result=3","7035549")</f>
        <v>0</v>
      </c>
      <c r="B6982" t="s">
        <v>2091</v>
      </c>
      <c r="C6982" t="s">
        <v>9869</v>
      </c>
      <c r="D6982" t="s">
        <v>18100</v>
      </c>
      <c r="E6982" t="s">
        <v>24291</v>
      </c>
      <c r="F6982" t="s">
        <v>31574</v>
      </c>
      <c r="G6982" t="s">
        <v>31581</v>
      </c>
      <c r="H6982" t="s">
        <v>31590</v>
      </c>
      <c r="I6982" t="s">
        <v>4354</v>
      </c>
      <c r="J6982" t="s">
        <v>36220</v>
      </c>
      <c r="K6982" t="s">
        <v>41193</v>
      </c>
      <c r="M6982" t="s">
        <v>43768</v>
      </c>
      <c r="N6982" t="s">
        <v>45095</v>
      </c>
      <c r="O6982" t="s">
        <v>45096</v>
      </c>
      <c r="P6982">
        <v>0</v>
      </c>
      <c r="Q6982">
        <v>1</v>
      </c>
      <c r="R6982" t="s">
        <v>45103</v>
      </c>
      <c r="S6982" t="s">
        <v>45270</v>
      </c>
      <c r="T6982" t="s">
        <v>47124</v>
      </c>
      <c r="U6982" t="s">
        <v>53297</v>
      </c>
      <c r="W6982" t="s">
        <v>43768</v>
      </c>
      <c r="X6982" t="s">
        <v>45104</v>
      </c>
    </row>
    <row r="6983" spans="1:24">
      <c r="A6983">
        <f>HYPERLINK("https://www.philgeps.gov.ph/GEPSNONPILOT/Tender/SplashBidNoticeAbstractUI.aspx?menuIndex=3&amp;refID=7035520&amp;Result=3","7035520")</f>
        <v>0</v>
      </c>
      <c r="B6983" t="s">
        <v>1117</v>
      </c>
      <c r="C6983" t="s">
        <v>9870</v>
      </c>
      <c r="D6983" t="s">
        <v>18079</v>
      </c>
      <c r="E6983" t="s">
        <v>24292</v>
      </c>
      <c r="F6983" t="s">
        <v>31574</v>
      </c>
      <c r="G6983" t="s">
        <v>31582</v>
      </c>
      <c r="H6983" t="s">
        <v>31591</v>
      </c>
      <c r="I6983" t="s">
        <v>8822</v>
      </c>
      <c r="J6983" t="s">
        <v>36221</v>
      </c>
      <c r="K6983" t="s">
        <v>41186</v>
      </c>
      <c r="M6983" t="s">
        <v>42666</v>
      </c>
      <c r="N6983" t="s">
        <v>45095</v>
      </c>
      <c r="O6983" t="s">
        <v>45096</v>
      </c>
      <c r="P6983">
        <v>0</v>
      </c>
      <c r="Q6983">
        <v>1</v>
      </c>
      <c r="R6983" t="s">
        <v>45103</v>
      </c>
      <c r="S6983" t="s">
        <v>45270</v>
      </c>
      <c r="T6983" t="s">
        <v>47064</v>
      </c>
      <c r="U6983" t="s">
        <v>53299</v>
      </c>
      <c r="W6983" t="s">
        <v>42666</v>
      </c>
      <c r="X6983" t="s">
        <v>45104</v>
      </c>
    </row>
    <row r="6984" spans="1:24">
      <c r="A6984">
        <f>HYPERLINK("https://www.philgeps.gov.ph/GEPSNONPILOT/Tender/SplashBidNoticeAbstractUI.aspx?menuIndex=3&amp;refID=7035545&amp;Result=3","7035545")</f>
        <v>0</v>
      </c>
      <c r="B6984" t="s">
        <v>516</v>
      </c>
      <c r="C6984" t="s">
        <v>9871</v>
      </c>
      <c r="D6984" t="s">
        <v>18031</v>
      </c>
      <c r="E6984" t="s">
        <v>24293</v>
      </c>
      <c r="F6984" t="s">
        <v>31574</v>
      </c>
      <c r="G6984" t="s">
        <v>31582</v>
      </c>
      <c r="H6984" t="s">
        <v>31590</v>
      </c>
      <c r="I6984" t="s">
        <v>31615</v>
      </c>
      <c r="J6984" t="s">
        <v>35608</v>
      </c>
      <c r="K6984" t="s">
        <v>41193</v>
      </c>
      <c r="M6984" t="s">
        <v>42012</v>
      </c>
      <c r="N6984" t="s">
        <v>45095</v>
      </c>
      <c r="O6984" t="s">
        <v>45096</v>
      </c>
      <c r="P6984">
        <v>0</v>
      </c>
      <c r="Q6984">
        <v>14</v>
      </c>
      <c r="R6984" t="s">
        <v>45103</v>
      </c>
      <c r="S6984" t="s">
        <v>45270</v>
      </c>
      <c r="T6984" t="s">
        <v>46926</v>
      </c>
      <c r="U6984" t="s">
        <v>48512</v>
      </c>
      <c r="W6984" t="s">
        <v>42012</v>
      </c>
      <c r="X6984" t="s">
        <v>45104</v>
      </c>
    </row>
    <row r="6985" spans="1:24">
      <c r="A6985">
        <f>HYPERLINK("https://www.philgeps.gov.ph/GEPSNONPILOT/Tender/SplashBidNoticeAbstractUI.aspx?menuIndex=3&amp;refID=7035544&amp;Result=3","7035544")</f>
        <v>0</v>
      </c>
      <c r="B6985" t="s">
        <v>1229</v>
      </c>
      <c r="C6985" t="s">
        <v>9872</v>
      </c>
      <c r="D6985" t="s">
        <v>18022</v>
      </c>
      <c r="E6985" t="s">
        <v>24294</v>
      </c>
      <c r="F6985" t="s">
        <v>31574</v>
      </c>
      <c r="G6985" t="s">
        <v>31582</v>
      </c>
      <c r="H6985" t="s">
        <v>31592</v>
      </c>
      <c r="I6985" t="s">
        <v>31630</v>
      </c>
      <c r="J6985" t="s">
        <v>33219</v>
      </c>
      <c r="K6985" t="s">
        <v>41193</v>
      </c>
      <c r="M6985" t="s">
        <v>43730</v>
      </c>
      <c r="N6985" t="s">
        <v>45095</v>
      </c>
      <c r="O6985" t="s">
        <v>45096</v>
      </c>
      <c r="P6985">
        <v>0</v>
      </c>
      <c r="Q6985">
        <v>0</v>
      </c>
      <c r="R6985" t="s">
        <v>45103</v>
      </c>
      <c r="S6985" t="s">
        <v>45270</v>
      </c>
      <c r="T6985" t="s">
        <v>47010</v>
      </c>
      <c r="U6985" t="s">
        <v>53302</v>
      </c>
      <c r="W6985" t="s">
        <v>43730</v>
      </c>
      <c r="X6985" t="s">
        <v>45104</v>
      </c>
    </row>
    <row r="6986" spans="1:24">
      <c r="A6986">
        <f>HYPERLINK("https://www.philgeps.gov.ph/GEPSNONPILOT/Tender/SplashBidNoticeAbstractUI.aspx?menuIndex=3&amp;refID=7035542&amp;Result=3","7035542")</f>
        <v>0</v>
      </c>
      <c r="B6986" t="s">
        <v>1563</v>
      </c>
      <c r="C6986" t="s">
        <v>9873</v>
      </c>
      <c r="D6986" t="s">
        <v>18081</v>
      </c>
      <c r="E6986" t="s">
        <v>24295</v>
      </c>
      <c r="F6986" t="s">
        <v>31574</v>
      </c>
      <c r="G6986" t="s">
        <v>31581</v>
      </c>
      <c r="H6986" t="s">
        <v>31592</v>
      </c>
      <c r="I6986" t="s">
        <v>31656</v>
      </c>
      <c r="J6986" t="s">
        <v>32746</v>
      </c>
      <c r="K6986" t="s">
        <v>41225</v>
      </c>
      <c r="M6986" t="s">
        <v>43162</v>
      </c>
      <c r="N6986" t="s">
        <v>45095</v>
      </c>
      <c r="O6986" t="s">
        <v>45096</v>
      </c>
      <c r="P6986">
        <v>0</v>
      </c>
      <c r="Q6986">
        <v>0</v>
      </c>
      <c r="R6986" t="s">
        <v>45103</v>
      </c>
      <c r="S6986" t="s">
        <v>45270</v>
      </c>
      <c r="T6986" t="s">
        <v>47050</v>
      </c>
      <c r="U6986" t="s">
        <v>53326</v>
      </c>
      <c r="W6986" t="s">
        <v>61708</v>
      </c>
      <c r="X6986" t="s">
        <v>45104</v>
      </c>
    </row>
    <row r="6987" spans="1:24">
      <c r="A6987">
        <f>HYPERLINK("https://www.philgeps.gov.ph/GEPSNONPILOT/Tender/SplashBidNoticeAbstractUI.aspx?menuIndex=3&amp;refID=7035546&amp;Result=3","7035546")</f>
        <v>0</v>
      </c>
      <c r="B6987" t="s">
        <v>126</v>
      </c>
      <c r="C6987" t="s">
        <v>9874</v>
      </c>
      <c r="D6987" t="s">
        <v>18050</v>
      </c>
      <c r="E6987" t="s">
        <v>24296</v>
      </c>
      <c r="F6987" t="s">
        <v>31574</v>
      </c>
      <c r="G6987" t="s">
        <v>31581</v>
      </c>
      <c r="H6987" t="s">
        <v>31590</v>
      </c>
      <c r="I6987" t="s">
        <v>8258</v>
      </c>
      <c r="J6987" t="s">
        <v>36222</v>
      </c>
      <c r="K6987" t="s">
        <v>41190</v>
      </c>
      <c r="M6987" t="s">
        <v>43782</v>
      </c>
      <c r="N6987" t="s">
        <v>45095</v>
      </c>
      <c r="O6987" t="s">
        <v>45096</v>
      </c>
      <c r="P6987">
        <v>0</v>
      </c>
      <c r="Q6987">
        <v>3</v>
      </c>
      <c r="R6987" t="s">
        <v>45103</v>
      </c>
      <c r="S6987" t="s">
        <v>45270</v>
      </c>
      <c r="T6987" t="s">
        <v>47159</v>
      </c>
      <c r="U6987" t="s">
        <v>53327</v>
      </c>
      <c r="W6987" t="s">
        <v>41610</v>
      </c>
      <c r="X6987" t="s">
        <v>45104</v>
      </c>
    </row>
    <row r="6988" spans="1:24">
      <c r="A6988">
        <f>HYPERLINK("https://www.philgeps.gov.ph/GEPSNONPILOT/Tender/SplashBidNoticeAbstractUI.aspx?menuIndex=3&amp;refID=7035543&amp;Result=3","7035543")</f>
        <v>0</v>
      </c>
      <c r="B6988" t="s">
        <v>2082</v>
      </c>
      <c r="C6988" t="s">
        <v>9875</v>
      </c>
      <c r="D6988" t="s">
        <v>18079</v>
      </c>
      <c r="E6988" t="s">
        <v>24223</v>
      </c>
      <c r="F6988" t="s">
        <v>31574</v>
      </c>
      <c r="G6988" t="s">
        <v>31582</v>
      </c>
      <c r="H6988" t="s">
        <v>31591</v>
      </c>
      <c r="I6988" t="s">
        <v>8822</v>
      </c>
      <c r="J6988" t="s">
        <v>36172</v>
      </c>
      <c r="K6988" t="s">
        <v>41244</v>
      </c>
      <c r="M6988" t="s">
        <v>43757</v>
      </c>
      <c r="N6988" t="s">
        <v>45095</v>
      </c>
      <c r="O6988" t="s">
        <v>45096</v>
      </c>
      <c r="P6988">
        <v>0</v>
      </c>
      <c r="Q6988">
        <v>0</v>
      </c>
      <c r="R6988" t="s">
        <v>45103</v>
      </c>
      <c r="S6988" t="s">
        <v>45270</v>
      </c>
      <c r="T6988" t="s">
        <v>46981</v>
      </c>
      <c r="U6988" t="s">
        <v>53328</v>
      </c>
      <c r="W6988" t="s">
        <v>43757</v>
      </c>
      <c r="X6988" t="s">
        <v>45104</v>
      </c>
    </row>
    <row r="6989" spans="1:24">
      <c r="A6989">
        <f>HYPERLINK("https://www.philgeps.gov.ph/GEPSNONPILOT/Tender/SplashBidNoticeAbstractUI.aspx?menuIndex=3&amp;refID=7035540&amp;Result=3","7035540")</f>
        <v>0</v>
      </c>
      <c r="B6989" t="s">
        <v>630</v>
      </c>
      <c r="C6989" t="s">
        <v>9876</v>
      </c>
      <c r="D6989" t="s">
        <v>18086</v>
      </c>
      <c r="E6989" t="s">
        <v>24297</v>
      </c>
      <c r="F6989" t="s">
        <v>31574</v>
      </c>
      <c r="G6989" t="s">
        <v>31583</v>
      </c>
      <c r="H6989" t="s">
        <v>31590</v>
      </c>
      <c r="I6989" t="s">
        <v>31595</v>
      </c>
      <c r="J6989" t="s">
        <v>36223</v>
      </c>
      <c r="K6989" t="s">
        <v>41196</v>
      </c>
      <c r="M6989" t="s">
        <v>42134</v>
      </c>
      <c r="N6989" t="s">
        <v>45095</v>
      </c>
      <c r="O6989" t="s">
        <v>45096</v>
      </c>
      <c r="P6989">
        <v>0</v>
      </c>
      <c r="Q6989">
        <v>0</v>
      </c>
      <c r="R6989" t="s">
        <v>45103</v>
      </c>
      <c r="S6989" t="s">
        <v>45270</v>
      </c>
      <c r="T6989" t="s">
        <v>47165</v>
      </c>
      <c r="U6989" t="s">
        <v>53329</v>
      </c>
      <c r="W6989" t="s">
        <v>42134</v>
      </c>
      <c r="X6989" t="s">
        <v>45104</v>
      </c>
    </row>
    <row r="6990" spans="1:24">
      <c r="A6990">
        <f>HYPERLINK("https://www.philgeps.gov.ph/GEPSNONPILOT/Tender/SplashBidNoticeAbstractUI.aspx?menuIndex=3&amp;refID=7035574&amp;Result=3","7035574")</f>
        <v>0</v>
      </c>
      <c r="B6990" t="s">
        <v>2105</v>
      </c>
      <c r="C6990" t="s">
        <v>9877</v>
      </c>
      <c r="D6990" t="s">
        <v>18029</v>
      </c>
      <c r="E6990" t="s">
        <v>24298</v>
      </c>
      <c r="F6990" t="s">
        <v>31574</v>
      </c>
      <c r="G6990" t="s">
        <v>31581</v>
      </c>
      <c r="H6990" t="s">
        <v>31590</v>
      </c>
      <c r="I6990" t="s">
        <v>4354</v>
      </c>
      <c r="J6990" t="s">
        <v>36224</v>
      </c>
      <c r="K6990" t="s">
        <v>41196</v>
      </c>
      <c r="M6990" t="s">
        <v>43783</v>
      </c>
      <c r="N6990" t="s">
        <v>45095</v>
      </c>
      <c r="O6990" t="s">
        <v>45096</v>
      </c>
      <c r="P6990">
        <v>0</v>
      </c>
      <c r="Q6990">
        <v>0</v>
      </c>
      <c r="R6990" t="s">
        <v>45103</v>
      </c>
      <c r="S6990" t="s">
        <v>45270</v>
      </c>
      <c r="T6990" t="s">
        <v>46926</v>
      </c>
      <c r="U6990" t="s">
        <v>53330</v>
      </c>
      <c r="W6990" t="s">
        <v>43783</v>
      </c>
      <c r="X6990" t="s">
        <v>45104</v>
      </c>
    </row>
    <row r="6991" spans="1:24">
      <c r="A6991">
        <f>HYPERLINK("https://www.philgeps.gov.ph/GEPSNONPILOT/Tender/SplashBidNoticeAbstractUI.aspx?menuIndex=3&amp;refID=7035550&amp;Result=3","7035550")</f>
        <v>0</v>
      </c>
      <c r="B6991" t="s">
        <v>712</v>
      </c>
      <c r="C6991" t="s">
        <v>9878</v>
      </c>
      <c r="D6991" t="s">
        <v>18041</v>
      </c>
      <c r="E6991" t="s">
        <v>24299</v>
      </c>
      <c r="F6991" t="s">
        <v>31574</v>
      </c>
      <c r="G6991" t="s">
        <v>31582</v>
      </c>
      <c r="H6991" t="s">
        <v>31590</v>
      </c>
      <c r="I6991" t="s">
        <v>4046</v>
      </c>
      <c r="J6991" t="s">
        <v>36225</v>
      </c>
      <c r="K6991" t="s">
        <v>41184</v>
      </c>
      <c r="M6991" t="s">
        <v>42222</v>
      </c>
      <c r="N6991" t="s">
        <v>45095</v>
      </c>
      <c r="O6991" t="s">
        <v>45096</v>
      </c>
      <c r="P6991">
        <v>0</v>
      </c>
      <c r="Q6991">
        <v>0</v>
      </c>
      <c r="R6991" t="s">
        <v>45103</v>
      </c>
      <c r="S6991" t="s">
        <v>45270</v>
      </c>
      <c r="T6991" t="s">
        <v>47273</v>
      </c>
      <c r="U6991" t="s">
        <v>53331</v>
      </c>
      <c r="W6991" t="s">
        <v>42222</v>
      </c>
      <c r="X6991" t="s">
        <v>45104</v>
      </c>
    </row>
    <row r="6992" spans="1:24">
      <c r="A6992">
        <f>HYPERLINK("https://www.philgeps.gov.ph/GEPSNONPILOT/Tender/SplashBidNoticeAbstractUI.aspx?menuIndex=3&amp;refID=7035573&amp;Result=3","7035573")</f>
        <v>0</v>
      </c>
      <c r="B6992" t="s">
        <v>194</v>
      </c>
      <c r="C6992" t="s">
        <v>9879</v>
      </c>
      <c r="D6992" t="s">
        <v>18065</v>
      </c>
      <c r="E6992" t="s">
        <v>24300</v>
      </c>
      <c r="F6992" t="s">
        <v>31574</v>
      </c>
      <c r="G6992" t="s">
        <v>31581</v>
      </c>
      <c r="H6992" t="s">
        <v>31590</v>
      </c>
      <c r="I6992" t="s">
        <v>31600</v>
      </c>
      <c r="J6992" t="s">
        <v>36226</v>
      </c>
      <c r="K6992" t="s">
        <v>41184</v>
      </c>
      <c r="M6992" t="s">
        <v>41679</v>
      </c>
      <c r="N6992" t="s">
        <v>45095</v>
      </c>
      <c r="O6992" t="s">
        <v>45096</v>
      </c>
      <c r="P6992">
        <v>0</v>
      </c>
      <c r="Q6992">
        <v>1</v>
      </c>
      <c r="R6992" t="s">
        <v>45103</v>
      </c>
      <c r="S6992" t="s">
        <v>45270</v>
      </c>
      <c r="T6992" t="s">
        <v>47171</v>
      </c>
      <c r="U6992" t="s">
        <v>53073</v>
      </c>
      <c r="W6992" t="s">
        <v>41679</v>
      </c>
      <c r="X6992" t="s">
        <v>45104</v>
      </c>
    </row>
    <row r="6993" spans="1:24">
      <c r="A6993">
        <f>HYPERLINK("https://www.philgeps.gov.ph/GEPSNONPILOT/Tender/SplashBidNoticeAbstractUI.aspx?menuIndex=3&amp;refID=7035567&amp;Result=3","7035567")</f>
        <v>0</v>
      </c>
      <c r="B6993" t="s">
        <v>1229</v>
      </c>
      <c r="C6993" t="s">
        <v>9880</v>
      </c>
      <c r="D6993" t="s">
        <v>18022</v>
      </c>
      <c r="E6993" t="s">
        <v>24301</v>
      </c>
      <c r="F6993" t="s">
        <v>31574</v>
      </c>
      <c r="G6993" t="s">
        <v>31582</v>
      </c>
      <c r="H6993" t="s">
        <v>31592</v>
      </c>
      <c r="I6993" t="s">
        <v>31630</v>
      </c>
      <c r="J6993" t="s">
        <v>36227</v>
      </c>
      <c r="K6993" t="s">
        <v>41193</v>
      </c>
      <c r="M6993" t="s">
        <v>43730</v>
      </c>
      <c r="N6993" t="s">
        <v>45095</v>
      </c>
      <c r="O6993" t="s">
        <v>45096</v>
      </c>
      <c r="P6993">
        <v>0</v>
      </c>
      <c r="Q6993">
        <v>0</v>
      </c>
      <c r="R6993" t="s">
        <v>45103</v>
      </c>
      <c r="S6993" t="s">
        <v>45270</v>
      </c>
      <c r="T6993" t="s">
        <v>47010</v>
      </c>
      <c r="U6993" t="s">
        <v>53302</v>
      </c>
      <c r="W6993" t="s">
        <v>43730</v>
      </c>
      <c r="X6993" t="s">
        <v>45104</v>
      </c>
    </row>
    <row r="6994" spans="1:24">
      <c r="A6994">
        <f>HYPERLINK("https://www.philgeps.gov.ph/GEPSNONPILOT/Tender/SplashBidNoticeAbstractUI.aspx?menuIndex=3&amp;refID=7035559&amp;Result=3","7035559")</f>
        <v>0</v>
      </c>
      <c r="B6994" t="s">
        <v>1229</v>
      </c>
      <c r="C6994" t="s">
        <v>9881</v>
      </c>
      <c r="D6994" t="s">
        <v>18022</v>
      </c>
      <c r="E6994" t="s">
        <v>24302</v>
      </c>
      <c r="F6994" t="s">
        <v>31574</v>
      </c>
      <c r="G6994" t="s">
        <v>31582</v>
      </c>
      <c r="H6994" t="s">
        <v>31592</v>
      </c>
      <c r="I6994" t="s">
        <v>31630</v>
      </c>
      <c r="J6994" t="s">
        <v>36228</v>
      </c>
      <c r="K6994" t="s">
        <v>41193</v>
      </c>
      <c r="M6994" t="s">
        <v>43730</v>
      </c>
      <c r="N6994" t="s">
        <v>45095</v>
      </c>
      <c r="O6994" t="s">
        <v>45096</v>
      </c>
      <c r="P6994">
        <v>0</v>
      </c>
      <c r="Q6994">
        <v>0</v>
      </c>
      <c r="R6994" t="s">
        <v>45103</v>
      </c>
      <c r="S6994" t="s">
        <v>45270</v>
      </c>
      <c r="T6994" t="s">
        <v>47010</v>
      </c>
      <c r="U6994" t="s">
        <v>53302</v>
      </c>
      <c r="W6994" t="s">
        <v>43730</v>
      </c>
      <c r="X6994" t="s">
        <v>45104</v>
      </c>
    </row>
    <row r="6995" spans="1:24">
      <c r="A6995">
        <f>HYPERLINK("https://www.philgeps.gov.ph/GEPSNONPILOT/Tender/SplashBidNoticeAbstractUI.aspx?menuIndex=3&amp;refID=7035575&amp;Result=3","7035575")</f>
        <v>0</v>
      </c>
      <c r="B6995" t="s">
        <v>630</v>
      </c>
      <c r="C6995" t="s">
        <v>9882</v>
      </c>
      <c r="D6995" t="s">
        <v>18086</v>
      </c>
      <c r="E6995" t="s">
        <v>24303</v>
      </c>
      <c r="F6995" t="s">
        <v>31574</v>
      </c>
      <c r="G6995" t="s">
        <v>31581</v>
      </c>
      <c r="H6995" t="s">
        <v>31590</v>
      </c>
      <c r="I6995" t="s">
        <v>31600</v>
      </c>
      <c r="J6995" t="s">
        <v>36229</v>
      </c>
      <c r="K6995" t="s">
        <v>41196</v>
      </c>
      <c r="M6995" t="s">
        <v>42134</v>
      </c>
      <c r="N6995" t="s">
        <v>45095</v>
      </c>
      <c r="O6995" t="s">
        <v>45096</v>
      </c>
      <c r="P6995">
        <v>0</v>
      </c>
      <c r="Q6995">
        <v>0</v>
      </c>
      <c r="R6995" t="s">
        <v>45103</v>
      </c>
      <c r="S6995" t="s">
        <v>45270</v>
      </c>
      <c r="T6995" t="s">
        <v>47165</v>
      </c>
      <c r="U6995" t="s">
        <v>53332</v>
      </c>
      <c r="W6995" t="s">
        <v>42134</v>
      </c>
      <c r="X6995" t="s">
        <v>45104</v>
      </c>
    </row>
    <row r="6996" spans="1:24">
      <c r="A6996">
        <f>HYPERLINK("https://www.philgeps.gov.ph/GEPSNONPILOT/Tender/SplashBidNoticeAbstractUI.aspx?menuIndex=3&amp;refID=7035561&amp;Result=3","7035561")</f>
        <v>0</v>
      </c>
      <c r="B6996" t="s">
        <v>630</v>
      </c>
      <c r="C6996" t="s">
        <v>9883</v>
      </c>
      <c r="D6996" t="s">
        <v>18086</v>
      </c>
      <c r="E6996" t="s">
        <v>24304</v>
      </c>
      <c r="F6996" t="s">
        <v>31574</v>
      </c>
      <c r="G6996" t="s">
        <v>31581</v>
      </c>
      <c r="H6996" t="s">
        <v>31590</v>
      </c>
      <c r="I6996" t="s">
        <v>3651</v>
      </c>
      <c r="J6996" t="s">
        <v>36230</v>
      </c>
      <c r="K6996" t="s">
        <v>41196</v>
      </c>
      <c r="M6996" t="s">
        <v>42134</v>
      </c>
      <c r="N6996" t="s">
        <v>45095</v>
      </c>
      <c r="O6996" t="s">
        <v>45096</v>
      </c>
      <c r="P6996">
        <v>0</v>
      </c>
      <c r="Q6996">
        <v>0</v>
      </c>
      <c r="R6996" t="s">
        <v>45103</v>
      </c>
      <c r="S6996" t="s">
        <v>45270</v>
      </c>
      <c r="T6996" t="s">
        <v>47165</v>
      </c>
      <c r="U6996" t="s">
        <v>53333</v>
      </c>
      <c r="W6996" t="s">
        <v>42134</v>
      </c>
      <c r="X6996" t="s">
        <v>45104</v>
      </c>
    </row>
    <row r="6997" spans="1:24">
      <c r="A6997">
        <f>HYPERLINK("https://www.philgeps.gov.ph/GEPSNONPILOT/Tender/SplashBidNoticeAbstractUI.aspx?menuIndex=3&amp;refID=7035572&amp;Result=3","7035572")</f>
        <v>0</v>
      </c>
      <c r="B6997" t="s">
        <v>1229</v>
      </c>
      <c r="C6997" t="s">
        <v>9884</v>
      </c>
      <c r="D6997" t="s">
        <v>18022</v>
      </c>
      <c r="E6997" t="s">
        <v>24305</v>
      </c>
      <c r="F6997" t="s">
        <v>31574</v>
      </c>
      <c r="G6997" t="s">
        <v>31582</v>
      </c>
      <c r="H6997" t="s">
        <v>31592</v>
      </c>
      <c r="I6997" t="s">
        <v>31630</v>
      </c>
      <c r="J6997" t="s">
        <v>35795</v>
      </c>
      <c r="K6997" t="s">
        <v>41193</v>
      </c>
      <c r="M6997" t="s">
        <v>43730</v>
      </c>
      <c r="N6997" t="s">
        <v>45095</v>
      </c>
      <c r="O6997" t="s">
        <v>45096</v>
      </c>
      <c r="P6997">
        <v>0</v>
      </c>
      <c r="Q6997">
        <v>0</v>
      </c>
      <c r="R6997" t="s">
        <v>45103</v>
      </c>
      <c r="S6997" t="s">
        <v>45270</v>
      </c>
      <c r="T6997" t="s">
        <v>47010</v>
      </c>
      <c r="U6997" t="s">
        <v>53302</v>
      </c>
      <c r="W6997" t="s">
        <v>43730</v>
      </c>
      <c r="X6997" t="s">
        <v>45104</v>
      </c>
    </row>
    <row r="6998" spans="1:24">
      <c r="A6998">
        <f>HYPERLINK("https://www.philgeps.gov.ph/GEPSNONPILOT/Tender/SplashBidNoticeAbstractUI.aspx?menuIndex=3&amp;refID=7035552&amp;Result=3","7035552")</f>
        <v>0</v>
      </c>
      <c r="B6998" t="s">
        <v>194</v>
      </c>
      <c r="C6998" t="s">
        <v>9885</v>
      </c>
      <c r="D6998" t="s">
        <v>18065</v>
      </c>
      <c r="E6998" t="s">
        <v>24306</v>
      </c>
      <c r="F6998" t="s">
        <v>31574</v>
      </c>
      <c r="G6998" t="s">
        <v>31581</v>
      </c>
      <c r="H6998" t="s">
        <v>31590</v>
      </c>
      <c r="I6998" t="s">
        <v>31600</v>
      </c>
      <c r="J6998" t="s">
        <v>36231</v>
      </c>
      <c r="K6998" t="s">
        <v>41184</v>
      </c>
      <c r="M6998" t="s">
        <v>41679</v>
      </c>
      <c r="N6998" t="s">
        <v>45095</v>
      </c>
      <c r="O6998" t="s">
        <v>45096</v>
      </c>
      <c r="P6998">
        <v>0</v>
      </c>
      <c r="Q6998">
        <v>0</v>
      </c>
      <c r="R6998" t="s">
        <v>45103</v>
      </c>
      <c r="S6998" t="s">
        <v>45270</v>
      </c>
      <c r="T6998" t="s">
        <v>47171</v>
      </c>
      <c r="U6998" t="s">
        <v>53073</v>
      </c>
      <c r="W6998" t="s">
        <v>41679</v>
      </c>
      <c r="X6998" t="s">
        <v>45104</v>
      </c>
    </row>
    <row r="6999" spans="1:24">
      <c r="A6999">
        <f>HYPERLINK("https://www.philgeps.gov.ph/GEPSNONPILOT/Tender/SplashBidNoticeAbstractUI.aspx?menuIndex=3&amp;refID=7035577&amp;Result=3","7035577")</f>
        <v>0</v>
      </c>
      <c r="B6999" t="s">
        <v>2091</v>
      </c>
      <c r="C6999" t="s">
        <v>9886</v>
      </c>
      <c r="D6999" t="s">
        <v>18100</v>
      </c>
      <c r="E6999" t="s">
        <v>24307</v>
      </c>
      <c r="F6999" t="s">
        <v>31574</v>
      </c>
      <c r="G6999" t="s">
        <v>31581</v>
      </c>
      <c r="H6999" t="s">
        <v>31590</v>
      </c>
      <c r="I6999" t="s">
        <v>31656</v>
      </c>
      <c r="J6999" t="s">
        <v>32644</v>
      </c>
      <c r="K6999" t="s">
        <v>41193</v>
      </c>
      <c r="M6999" t="s">
        <v>43768</v>
      </c>
      <c r="N6999" t="s">
        <v>45095</v>
      </c>
      <c r="O6999" t="s">
        <v>45096</v>
      </c>
      <c r="P6999">
        <v>0</v>
      </c>
      <c r="Q6999">
        <v>0</v>
      </c>
      <c r="R6999" t="s">
        <v>45103</v>
      </c>
      <c r="S6999" t="s">
        <v>45270</v>
      </c>
      <c r="T6999" t="s">
        <v>47124</v>
      </c>
      <c r="U6999" t="s">
        <v>53297</v>
      </c>
      <c r="W6999" t="s">
        <v>43768</v>
      </c>
      <c r="X6999" t="s">
        <v>45104</v>
      </c>
    </row>
    <row r="7000" spans="1:24">
      <c r="A7000">
        <f>HYPERLINK("https://www.philgeps.gov.ph/GEPSNONPILOT/Tender/SplashBidNoticeAbstractUI.aspx?menuIndex=3&amp;refID=7035568&amp;Result=3","7035568")</f>
        <v>0</v>
      </c>
      <c r="B7000" t="s">
        <v>115</v>
      </c>
      <c r="C7000" t="s">
        <v>9887</v>
      </c>
      <c r="D7000" t="s">
        <v>18040</v>
      </c>
      <c r="E7000" t="s">
        <v>24308</v>
      </c>
      <c r="F7000" t="s">
        <v>31574</v>
      </c>
      <c r="G7000" t="s">
        <v>31582</v>
      </c>
      <c r="H7000" t="s">
        <v>31590</v>
      </c>
      <c r="I7000" t="s">
        <v>8258</v>
      </c>
      <c r="J7000" t="s">
        <v>36232</v>
      </c>
      <c r="K7000" t="s">
        <v>41186</v>
      </c>
      <c r="M7000" t="s">
        <v>41599</v>
      </c>
      <c r="N7000" t="s">
        <v>45095</v>
      </c>
      <c r="O7000" t="s">
        <v>45096</v>
      </c>
      <c r="P7000">
        <v>0</v>
      </c>
      <c r="Q7000">
        <v>2</v>
      </c>
      <c r="R7000" t="s">
        <v>45103</v>
      </c>
      <c r="S7000" t="s">
        <v>45270</v>
      </c>
      <c r="T7000" t="s">
        <v>47076</v>
      </c>
      <c r="U7000" t="s">
        <v>53334</v>
      </c>
      <c r="V7000" t="s">
        <v>60322</v>
      </c>
      <c r="W7000" t="s">
        <v>41599</v>
      </c>
      <c r="X7000" t="s">
        <v>45104</v>
      </c>
    </row>
    <row r="7001" spans="1:24">
      <c r="A7001">
        <f>HYPERLINK("https://www.philgeps.gov.ph/GEPSNONPILOT/Tender/SplashBidNoticeAbstractUI.aspx?menuIndex=3&amp;refID=7035604&amp;Result=3","7035604")</f>
        <v>0</v>
      </c>
      <c r="B7001" t="s">
        <v>643</v>
      </c>
      <c r="C7001" t="s">
        <v>9888</v>
      </c>
      <c r="D7001" t="s">
        <v>18025</v>
      </c>
      <c r="E7001" t="s">
        <v>24309</v>
      </c>
      <c r="F7001" t="s">
        <v>31574</v>
      </c>
      <c r="G7001" t="s">
        <v>31581</v>
      </c>
      <c r="H7001" t="s">
        <v>31590</v>
      </c>
      <c r="I7001" t="s">
        <v>31652</v>
      </c>
      <c r="J7001" t="s">
        <v>36233</v>
      </c>
      <c r="K7001" t="s">
        <v>41196</v>
      </c>
      <c r="M7001" t="s">
        <v>43784</v>
      </c>
      <c r="N7001" t="s">
        <v>45095</v>
      </c>
      <c r="O7001" t="s">
        <v>45096</v>
      </c>
      <c r="P7001">
        <v>0</v>
      </c>
      <c r="Q7001">
        <v>1</v>
      </c>
      <c r="R7001" t="s">
        <v>45103</v>
      </c>
      <c r="S7001" t="s">
        <v>45270</v>
      </c>
      <c r="T7001" t="s">
        <v>47158</v>
      </c>
      <c r="U7001" t="s">
        <v>53335</v>
      </c>
      <c r="W7001" t="s">
        <v>43784</v>
      </c>
      <c r="X7001" t="s">
        <v>45104</v>
      </c>
    </row>
    <row r="7002" spans="1:24">
      <c r="A7002">
        <f>HYPERLINK("https://www.philgeps.gov.ph/GEPSNONPILOT/Tender/SplashBidNoticeAbstractUI.aspx?menuIndex=3&amp;refID=7035600&amp;Result=3","7035600")</f>
        <v>0</v>
      </c>
      <c r="B7002" t="s">
        <v>2091</v>
      </c>
      <c r="C7002" t="s">
        <v>4356</v>
      </c>
      <c r="D7002" t="s">
        <v>18100</v>
      </c>
      <c r="E7002" t="s">
        <v>24310</v>
      </c>
      <c r="F7002" t="s">
        <v>31574</v>
      </c>
      <c r="G7002" t="s">
        <v>31581</v>
      </c>
      <c r="H7002" t="s">
        <v>31590</v>
      </c>
      <c r="I7002" t="s">
        <v>6800</v>
      </c>
      <c r="J7002" t="s">
        <v>36234</v>
      </c>
      <c r="K7002" t="s">
        <v>41193</v>
      </c>
      <c r="M7002" t="s">
        <v>43768</v>
      </c>
      <c r="N7002" t="s">
        <v>45095</v>
      </c>
      <c r="O7002" t="s">
        <v>45096</v>
      </c>
      <c r="P7002">
        <v>0</v>
      </c>
      <c r="Q7002">
        <v>0</v>
      </c>
      <c r="R7002" t="s">
        <v>45103</v>
      </c>
      <c r="S7002" t="s">
        <v>45270</v>
      </c>
      <c r="T7002" t="s">
        <v>47124</v>
      </c>
      <c r="U7002" t="s">
        <v>53297</v>
      </c>
      <c r="W7002" t="s">
        <v>43768</v>
      </c>
      <c r="X7002" t="s">
        <v>45104</v>
      </c>
    </row>
    <row r="7003" spans="1:24">
      <c r="A7003">
        <f>HYPERLINK("https://www.philgeps.gov.ph/GEPSNONPILOT/Tender/SplashBidNoticeAbstractUI.aspx?menuIndex=3&amp;refID=7035557&amp;Result=3","7035557")</f>
        <v>0</v>
      </c>
      <c r="B7003" t="s">
        <v>2096</v>
      </c>
      <c r="C7003" t="s">
        <v>9889</v>
      </c>
      <c r="D7003" t="s">
        <v>18052</v>
      </c>
      <c r="E7003" t="s">
        <v>24311</v>
      </c>
      <c r="F7003" t="s">
        <v>31574</v>
      </c>
      <c r="G7003" t="s">
        <v>31581</v>
      </c>
      <c r="H7003" t="s">
        <v>31590</v>
      </c>
      <c r="I7003" t="s">
        <v>31699</v>
      </c>
      <c r="J7003" t="s">
        <v>32746</v>
      </c>
      <c r="K7003" t="s">
        <v>41193</v>
      </c>
      <c r="M7003" t="s">
        <v>43773</v>
      </c>
      <c r="N7003" t="s">
        <v>45095</v>
      </c>
      <c r="O7003" t="s">
        <v>45096</v>
      </c>
      <c r="P7003">
        <v>0</v>
      </c>
      <c r="Q7003">
        <v>0</v>
      </c>
      <c r="R7003" t="s">
        <v>45103</v>
      </c>
      <c r="S7003" t="s">
        <v>45270</v>
      </c>
      <c r="T7003" t="s">
        <v>47154</v>
      </c>
      <c r="U7003" t="s">
        <v>53336</v>
      </c>
      <c r="W7003" t="s">
        <v>43773</v>
      </c>
      <c r="X7003" t="s">
        <v>45104</v>
      </c>
    </row>
    <row r="7004" spans="1:24">
      <c r="A7004">
        <f>HYPERLINK("https://www.philgeps.gov.ph/GEPSNONPILOT/Tender/SplashBidNoticeAbstractUI.aspx?menuIndex=3&amp;refID=7035566&amp;Result=3","7035566")</f>
        <v>0</v>
      </c>
      <c r="B7004" t="s">
        <v>2106</v>
      </c>
      <c r="C7004" t="s">
        <v>9890</v>
      </c>
      <c r="D7004" t="s">
        <v>18037</v>
      </c>
      <c r="E7004" t="s">
        <v>24312</v>
      </c>
      <c r="F7004" t="s">
        <v>31574</v>
      </c>
      <c r="G7004" t="s">
        <v>31582</v>
      </c>
      <c r="H7004" t="s">
        <v>31590</v>
      </c>
      <c r="I7004" t="s">
        <v>31597</v>
      </c>
      <c r="J7004" t="s">
        <v>36235</v>
      </c>
      <c r="K7004" t="s">
        <v>41184</v>
      </c>
      <c r="M7004" t="s">
        <v>43785</v>
      </c>
      <c r="N7004" t="s">
        <v>45095</v>
      </c>
      <c r="O7004" t="s">
        <v>45096</v>
      </c>
      <c r="P7004">
        <v>0</v>
      </c>
      <c r="Q7004">
        <v>0</v>
      </c>
      <c r="R7004" t="s">
        <v>45103</v>
      </c>
      <c r="S7004" t="s">
        <v>45270</v>
      </c>
      <c r="T7004" t="s">
        <v>47168</v>
      </c>
      <c r="U7004" t="s">
        <v>53337</v>
      </c>
      <c r="W7004" t="s">
        <v>43785</v>
      </c>
      <c r="X7004" t="s">
        <v>45104</v>
      </c>
    </row>
    <row r="7005" spans="1:24">
      <c r="A7005">
        <f>HYPERLINK("https://www.philgeps.gov.ph/GEPSNONPILOT/Tender/SplashBidNoticeAbstractUI.aspx?menuIndex=3&amp;refID=7035583&amp;Result=3","7035583")</f>
        <v>0</v>
      </c>
      <c r="B7005" t="s">
        <v>2087</v>
      </c>
      <c r="C7005" t="s">
        <v>9891</v>
      </c>
      <c r="D7005" t="s">
        <v>18038</v>
      </c>
      <c r="E7005" t="s">
        <v>24313</v>
      </c>
      <c r="F7005" t="s">
        <v>31574</v>
      </c>
      <c r="G7005" t="s">
        <v>31582</v>
      </c>
      <c r="H7005" t="s">
        <v>31590</v>
      </c>
      <c r="I7005" t="s">
        <v>7185</v>
      </c>
      <c r="J7005" t="s">
        <v>36236</v>
      </c>
      <c r="K7005" t="s">
        <v>41193</v>
      </c>
      <c r="M7005" t="s">
        <v>43762</v>
      </c>
      <c r="N7005" t="s">
        <v>45095</v>
      </c>
      <c r="O7005" t="s">
        <v>45096</v>
      </c>
      <c r="P7005">
        <v>0</v>
      </c>
      <c r="Q7005">
        <v>4</v>
      </c>
      <c r="R7005" t="s">
        <v>45103</v>
      </c>
      <c r="S7005" t="s">
        <v>45270</v>
      </c>
      <c r="T7005" t="s">
        <v>47004</v>
      </c>
      <c r="U7005" t="s">
        <v>53338</v>
      </c>
      <c r="W7005" t="s">
        <v>43762</v>
      </c>
      <c r="X7005" t="s">
        <v>45104</v>
      </c>
    </row>
    <row r="7006" spans="1:24">
      <c r="A7006">
        <f>HYPERLINK("https://www.philgeps.gov.ph/GEPSNONPILOT/Tender/SplashBidNoticeAbstractUI.aspx?menuIndex=3&amp;refID=7035599&amp;Result=3","7035599")</f>
        <v>0</v>
      </c>
      <c r="B7006" t="s">
        <v>471</v>
      </c>
      <c r="C7006" t="s">
        <v>9892</v>
      </c>
      <c r="D7006" t="s">
        <v>18052</v>
      </c>
      <c r="E7006" t="s">
        <v>19271</v>
      </c>
      <c r="F7006" t="s">
        <v>31574</v>
      </c>
      <c r="G7006" t="s">
        <v>31582</v>
      </c>
      <c r="H7006" t="s">
        <v>31591</v>
      </c>
      <c r="I7006" t="s">
        <v>4046</v>
      </c>
      <c r="J7006" t="s">
        <v>36237</v>
      </c>
      <c r="K7006" t="s">
        <v>41189</v>
      </c>
      <c r="M7006" t="s">
        <v>41966</v>
      </c>
      <c r="N7006" t="s">
        <v>45095</v>
      </c>
      <c r="O7006" t="s">
        <v>45096</v>
      </c>
      <c r="P7006">
        <v>0</v>
      </c>
      <c r="Q7006">
        <v>0</v>
      </c>
      <c r="R7006" t="s">
        <v>45103</v>
      </c>
      <c r="S7006" t="s">
        <v>45270</v>
      </c>
      <c r="T7006" t="s">
        <v>47309</v>
      </c>
      <c r="U7006" t="s">
        <v>53339</v>
      </c>
      <c r="W7006" t="s">
        <v>41966</v>
      </c>
      <c r="X7006" t="s">
        <v>45104</v>
      </c>
    </row>
    <row r="7007" spans="1:24">
      <c r="A7007">
        <f>HYPERLINK("https://www.philgeps.gov.ph/GEPSNONPILOT/Tender/SplashBidNoticeAbstractUI.aspx?menuIndex=3&amp;refID=7035598&amp;Result=3","7035598")</f>
        <v>0</v>
      </c>
      <c r="B7007" t="s">
        <v>2107</v>
      </c>
      <c r="C7007" t="s">
        <v>9893</v>
      </c>
      <c r="D7007" t="s">
        <v>18063</v>
      </c>
      <c r="E7007" t="s">
        <v>21575</v>
      </c>
      <c r="F7007" t="s">
        <v>31574</v>
      </c>
      <c r="G7007" t="s">
        <v>31581</v>
      </c>
      <c r="H7007" t="s">
        <v>31590</v>
      </c>
      <c r="I7007" t="s">
        <v>31615</v>
      </c>
      <c r="J7007" t="s">
        <v>31845</v>
      </c>
      <c r="K7007" t="s">
        <v>41186</v>
      </c>
      <c r="M7007" t="s">
        <v>43786</v>
      </c>
      <c r="N7007" t="s">
        <v>45095</v>
      </c>
      <c r="O7007" t="s">
        <v>45096</v>
      </c>
      <c r="P7007">
        <v>0</v>
      </c>
      <c r="Q7007">
        <v>1</v>
      </c>
      <c r="R7007" t="s">
        <v>45103</v>
      </c>
      <c r="S7007" t="s">
        <v>45270</v>
      </c>
      <c r="T7007" t="s">
        <v>47058</v>
      </c>
      <c r="U7007" t="s">
        <v>53340</v>
      </c>
      <c r="W7007" t="s">
        <v>43786</v>
      </c>
      <c r="X7007" t="s">
        <v>45104</v>
      </c>
    </row>
    <row r="7008" spans="1:24">
      <c r="A7008">
        <f>HYPERLINK("https://www.philgeps.gov.ph/GEPSNONPILOT/Tender/SplashBidNoticeAbstractUI.aspx?menuIndex=3&amp;refID=7035582&amp;Result=3","7035582")</f>
        <v>0</v>
      </c>
      <c r="B7008" t="s">
        <v>2094</v>
      </c>
      <c r="C7008" t="s">
        <v>9894</v>
      </c>
      <c r="D7008" t="s">
        <v>18038</v>
      </c>
      <c r="E7008" t="s">
        <v>24314</v>
      </c>
      <c r="F7008" t="s">
        <v>31574</v>
      </c>
      <c r="G7008" t="s">
        <v>31581</v>
      </c>
      <c r="H7008" t="s">
        <v>31590</v>
      </c>
      <c r="I7008" t="s">
        <v>14544</v>
      </c>
      <c r="J7008" t="s">
        <v>36238</v>
      </c>
      <c r="K7008" t="s">
        <v>41190</v>
      </c>
      <c r="M7008" t="s">
        <v>43771</v>
      </c>
      <c r="N7008" t="s">
        <v>45095</v>
      </c>
      <c r="O7008" t="s">
        <v>45096</v>
      </c>
      <c r="P7008">
        <v>0</v>
      </c>
      <c r="Q7008">
        <v>1</v>
      </c>
      <c r="R7008" t="s">
        <v>45103</v>
      </c>
      <c r="S7008" t="s">
        <v>45270</v>
      </c>
      <c r="T7008" t="s">
        <v>47183</v>
      </c>
      <c r="U7008" t="s">
        <v>53341</v>
      </c>
      <c r="V7008" t="s">
        <v>60606</v>
      </c>
      <c r="W7008" t="s">
        <v>43771</v>
      </c>
      <c r="X7008" t="s">
        <v>45104</v>
      </c>
    </row>
    <row r="7009" spans="1:24">
      <c r="A7009">
        <f>HYPERLINK("https://www.philgeps.gov.ph/GEPSNONPILOT/Tender/SplashBidNoticeAbstractUI.aspx?menuIndex=3&amp;refID=7035594&amp;Result=3","7035594")</f>
        <v>0</v>
      </c>
      <c r="B7009" t="s">
        <v>1229</v>
      </c>
      <c r="C7009" t="s">
        <v>9895</v>
      </c>
      <c r="D7009" t="s">
        <v>18022</v>
      </c>
      <c r="E7009" t="s">
        <v>24315</v>
      </c>
      <c r="F7009" t="s">
        <v>31574</v>
      </c>
      <c r="G7009" t="s">
        <v>31582</v>
      </c>
      <c r="H7009" t="s">
        <v>31592</v>
      </c>
      <c r="I7009" t="s">
        <v>31595</v>
      </c>
      <c r="J7009" t="s">
        <v>31780</v>
      </c>
      <c r="K7009" t="s">
        <v>41193</v>
      </c>
      <c r="M7009" t="s">
        <v>43730</v>
      </c>
      <c r="N7009" t="s">
        <v>45095</v>
      </c>
      <c r="O7009" t="s">
        <v>45096</v>
      </c>
      <c r="P7009">
        <v>0</v>
      </c>
      <c r="Q7009">
        <v>0</v>
      </c>
      <c r="R7009" t="s">
        <v>45103</v>
      </c>
      <c r="S7009" t="s">
        <v>45270</v>
      </c>
      <c r="T7009" t="s">
        <v>47010</v>
      </c>
      <c r="U7009" t="s">
        <v>53342</v>
      </c>
      <c r="W7009" t="s">
        <v>43730</v>
      </c>
      <c r="X7009" t="s">
        <v>45104</v>
      </c>
    </row>
    <row r="7010" spans="1:24">
      <c r="A7010">
        <f>HYPERLINK("https://www.philgeps.gov.ph/GEPSNONPILOT/Tender/SplashBidNoticeAbstractUI.aspx?menuIndex=3&amp;refID=7035630&amp;Result=3","7035630")</f>
        <v>0</v>
      </c>
      <c r="B7010" t="s">
        <v>2091</v>
      </c>
      <c r="C7010" t="s">
        <v>9896</v>
      </c>
      <c r="D7010" t="s">
        <v>18100</v>
      </c>
      <c r="E7010" t="s">
        <v>24316</v>
      </c>
      <c r="F7010" t="s">
        <v>31574</v>
      </c>
      <c r="G7010" t="s">
        <v>31581</v>
      </c>
      <c r="H7010" t="s">
        <v>31590</v>
      </c>
      <c r="I7010" t="s">
        <v>14544</v>
      </c>
      <c r="J7010" t="s">
        <v>36239</v>
      </c>
      <c r="K7010" t="s">
        <v>41193</v>
      </c>
      <c r="M7010" t="s">
        <v>43768</v>
      </c>
      <c r="N7010" t="s">
        <v>45095</v>
      </c>
      <c r="O7010" t="s">
        <v>45096</v>
      </c>
      <c r="P7010">
        <v>0</v>
      </c>
      <c r="Q7010">
        <v>0</v>
      </c>
      <c r="R7010" t="s">
        <v>45103</v>
      </c>
      <c r="S7010" t="s">
        <v>45270</v>
      </c>
      <c r="T7010" t="s">
        <v>47124</v>
      </c>
      <c r="U7010" t="s">
        <v>53297</v>
      </c>
      <c r="W7010" t="s">
        <v>43768</v>
      </c>
      <c r="X7010" t="s">
        <v>45104</v>
      </c>
    </row>
    <row r="7011" spans="1:24">
      <c r="A7011">
        <f>HYPERLINK("https://www.philgeps.gov.ph/GEPSNONPILOT/Tender/SplashBidNoticeAbstractUI.aspx?menuIndex=3&amp;refID=7035610&amp;Result=3","7035610")</f>
        <v>0</v>
      </c>
      <c r="B7011" t="s">
        <v>1229</v>
      </c>
      <c r="C7011" t="s">
        <v>9897</v>
      </c>
      <c r="D7011" t="s">
        <v>18022</v>
      </c>
      <c r="E7011" t="s">
        <v>24317</v>
      </c>
      <c r="F7011" t="s">
        <v>31574</v>
      </c>
      <c r="G7011" t="s">
        <v>31582</v>
      </c>
      <c r="H7011" t="s">
        <v>31592</v>
      </c>
      <c r="I7011" t="s">
        <v>31595</v>
      </c>
      <c r="J7011" t="s">
        <v>36240</v>
      </c>
      <c r="K7011" t="s">
        <v>41193</v>
      </c>
      <c r="M7011" t="s">
        <v>43730</v>
      </c>
      <c r="N7011" t="s">
        <v>45095</v>
      </c>
      <c r="O7011" t="s">
        <v>45096</v>
      </c>
      <c r="P7011">
        <v>0</v>
      </c>
      <c r="Q7011">
        <v>3</v>
      </c>
      <c r="R7011" t="s">
        <v>45103</v>
      </c>
      <c r="S7011" t="s">
        <v>45270</v>
      </c>
      <c r="T7011" t="s">
        <v>47010</v>
      </c>
      <c r="U7011" t="s">
        <v>53342</v>
      </c>
      <c r="W7011" t="s">
        <v>43730</v>
      </c>
      <c r="X7011" t="s">
        <v>45104</v>
      </c>
    </row>
    <row r="7012" spans="1:24">
      <c r="A7012">
        <f>HYPERLINK("https://www.philgeps.gov.ph/GEPSNONPILOT/Tender/SplashBidNoticeAbstractUI.aspx?menuIndex=3&amp;refID=7035622&amp;Result=3","7035622")</f>
        <v>0</v>
      </c>
      <c r="B7012" t="s">
        <v>1229</v>
      </c>
      <c r="C7012" t="s">
        <v>9898</v>
      </c>
      <c r="D7012" t="s">
        <v>18022</v>
      </c>
      <c r="E7012" t="s">
        <v>24318</v>
      </c>
      <c r="F7012" t="s">
        <v>31574</v>
      </c>
      <c r="G7012" t="s">
        <v>31582</v>
      </c>
      <c r="H7012" t="s">
        <v>31592</v>
      </c>
      <c r="I7012" t="s">
        <v>31595</v>
      </c>
      <c r="J7012" t="s">
        <v>36241</v>
      </c>
      <c r="K7012" t="s">
        <v>41193</v>
      </c>
      <c r="M7012" t="s">
        <v>43730</v>
      </c>
      <c r="N7012" t="s">
        <v>45095</v>
      </c>
      <c r="O7012" t="s">
        <v>45096</v>
      </c>
      <c r="P7012">
        <v>0</v>
      </c>
      <c r="Q7012">
        <v>0</v>
      </c>
      <c r="R7012" t="s">
        <v>45103</v>
      </c>
      <c r="S7012" t="s">
        <v>45270</v>
      </c>
      <c r="T7012" t="s">
        <v>47010</v>
      </c>
      <c r="U7012" t="s">
        <v>53342</v>
      </c>
      <c r="W7012" t="s">
        <v>43730</v>
      </c>
      <c r="X7012" t="s">
        <v>45104</v>
      </c>
    </row>
    <row r="7013" spans="1:24">
      <c r="A7013">
        <f>HYPERLINK("https://www.philgeps.gov.ph/GEPSNONPILOT/Tender/SplashBidNoticeAbstractUI.aspx?menuIndex=3&amp;refID=7035621&amp;Result=3","7035621")</f>
        <v>0</v>
      </c>
      <c r="B7013" t="s">
        <v>1492</v>
      </c>
      <c r="C7013" t="s">
        <v>9899</v>
      </c>
      <c r="D7013" t="s">
        <v>18072</v>
      </c>
      <c r="E7013" t="s">
        <v>24319</v>
      </c>
      <c r="F7013" t="s">
        <v>31574</v>
      </c>
      <c r="G7013" t="s">
        <v>31582</v>
      </c>
      <c r="H7013" t="s">
        <v>31590</v>
      </c>
      <c r="I7013" t="s">
        <v>3873</v>
      </c>
      <c r="J7013" t="s">
        <v>36242</v>
      </c>
      <c r="K7013" t="s">
        <v>41192</v>
      </c>
      <c r="M7013" t="s">
        <v>43100</v>
      </c>
      <c r="N7013" t="s">
        <v>45095</v>
      </c>
      <c r="O7013" t="s">
        <v>45096</v>
      </c>
      <c r="P7013">
        <v>0</v>
      </c>
      <c r="Q7013">
        <v>0</v>
      </c>
      <c r="R7013" t="s">
        <v>45103</v>
      </c>
      <c r="S7013" t="s">
        <v>45270</v>
      </c>
      <c r="T7013" t="s">
        <v>47301</v>
      </c>
      <c r="U7013" t="s">
        <v>53343</v>
      </c>
      <c r="W7013" t="s">
        <v>43100</v>
      </c>
      <c r="X7013" t="s">
        <v>45104</v>
      </c>
    </row>
    <row r="7014" spans="1:24">
      <c r="A7014">
        <f>HYPERLINK("https://www.philgeps.gov.ph/GEPSNONPILOT/Tender/SplashBidNoticeAbstractUI.aspx?menuIndex=3&amp;refID=7035620&amp;Result=3","7035620")</f>
        <v>0</v>
      </c>
      <c r="B7014" t="s">
        <v>2091</v>
      </c>
      <c r="C7014" t="s">
        <v>9900</v>
      </c>
      <c r="D7014" t="s">
        <v>18100</v>
      </c>
      <c r="E7014" t="s">
        <v>24320</v>
      </c>
      <c r="F7014" t="s">
        <v>31574</v>
      </c>
      <c r="G7014" t="s">
        <v>31581</v>
      </c>
      <c r="H7014" t="s">
        <v>31590</v>
      </c>
      <c r="I7014" t="s">
        <v>31603</v>
      </c>
      <c r="J7014" t="s">
        <v>36243</v>
      </c>
      <c r="K7014" t="s">
        <v>41193</v>
      </c>
      <c r="M7014" t="s">
        <v>43768</v>
      </c>
      <c r="N7014" t="s">
        <v>45095</v>
      </c>
      <c r="O7014" t="s">
        <v>45096</v>
      </c>
      <c r="P7014">
        <v>0</v>
      </c>
      <c r="Q7014">
        <v>1</v>
      </c>
      <c r="R7014" t="s">
        <v>45103</v>
      </c>
      <c r="S7014" t="s">
        <v>45270</v>
      </c>
      <c r="T7014" t="s">
        <v>47124</v>
      </c>
      <c r="U7014" t="s">
        <v>53297</v>
      </c>
      <c r="W7014" t="s">
        <v>43768</v>
      </c>
      <c r="X7014" t="s">
        <v>45104</v>
      </c>
    </row>
    <row r="7015" spans="1:24">
      <c r="A7015">
        <f>HYPERLINK("https://www.philgeps.gov.ph/GEPSNONPILOT/Tender/SplashBidNoticeAbstractUI.aspx?menuIndex=3&amp;refID=7035608&amp;Result=3","7035608")</f>
        <v>0</v>
      </c>
      <c r="B7015" t="s">
        <v>2108</v>
      </c>
      <c r="C7015" t="s">
        <v>9901</v>
      </c>
      <c r="D7015" t="s">
        <v>18028</v>
      </c>
      <c r="E7015" t="s">
        <v>24321</v>
      </c>
      <c r="F7015" t="s">
        <v>31574</v>
      </c>
      <c r="G7015" t="s">
        <v>31581</v>
      </c>
      <c r="H7015" t="s">
        <v>31590</v>
      </c>
      <c r="I7015" t="s">
        <v>6800</v>
      </c>
      <c r="J7015" t="s">
        <v>36244</v>
      </c>
      <c r="K7015" t="s">
        <v>41186</v>
      </c>
      <c r="M7015" t="s">
        <v>43787</v>
      </c>
      <c r="N7015" t="s">
        <v>45095</v>
      </c>
      <c r="O7015" t="s">
        <v>45096</v>
      </c>
      <c r="P7015">
        <v>0</v>
      </c>
      <c r="Q7015">
        <v>2</v>
      </c>
      <c r="R7015" t="s">
        <v>45103</v>
      </c>
      <c r="S7015" t="s">
        <v>45270</v>
      </c>
      <c r="T7015" t="s">
        <v>47162</v>
      </c>
      <c r="U7015" t="s">
        <v>53344</v>
      </c>
      <c r="W7015" t="s">
        <v>43787</v>
      </c>
      <c r="X7015" t="s">
        <v>45104</v>
      </c>
    </row>
    <row r="7016" spans="1:24">
      <c r="A7016">
        <f>HYPERLINK("https://www.philgeps.gov.ph/GEPSNONPILOT/Tender/SplashBidNoticeAbstractUI.aspx?menuIndex=3&amp;refID=7035613&amp;Result=3","7035613")</f>
        <v>0</v>
      </c>
      <c r="B7016" t="s">
        <v>2109</v>
      </c>
      <c r="C7016" t="s">
        <v>9902</v>
      </c>
      <c r="D7016" t="s">
        <v>18025</v>
      </c>
      <c r="E7016" t="s">
        <v>18422</v>
      </c>
      <c r="F7016" t="s">
        <v>31574</v>
      </c>
      <c r="G7016" t="s">
        <v>31582</v>
      </c>
      <c r="H7016" t="s">
        <v>31591</v>
      </c>
      <c r="I7016" t="s">
        <v>8822</v>
      </c>
      <c r="J7016" t="s">
        <v>36245</v>
      </c>
      <c r="K7016" t="s">
        <v>41184</v>
      </c>
      <c r="M7016" t="s">
        <v>43788</v>
      </c>
      <c r="N7016" t="s">
        <v>45095</v>
      </c>
      <c r="O7016" t="s">
        <v>45096</v>
      </c>
      <c r="P7016">
        <v>0</v>
      </c>
      <c r="Q7016">
        <v>0</v>
      </c>
      <c r="R7016" t="s">
        <v>45103</v>
      </c>
      <c r="S7016" t="s">
        <v>45270</v>
      </c>
      <c r="T7016" t="s">
        <v>47067</v>
      </c>
      <c r="U7016" t="s">
        <v>53345</v>
      </c>
      <c r="W7016" t="s">
        <v>43788</v>
      </c>
      <c r="X7016" t="s">
        <v>45104</v>
      </c>
    </row>
    <row r="7017" spans="1:24">
      <c r="A7017">
        <f>HYPERLINK("https://www.philgeps.gov.ph/GEPSNONPILOT/Tender/SplashBidNoticeAbstractUI.aspx?menuIndex=3&amp;refID=7035584&amp;Result=3","7035584")</f>
        <v>0</v>
      </c>
      <c r="B7017" t="s">
        <v>2110</v>
      </c>
      <c r="C7017" t="s">
        <v>9903</v>
      </c>
      <c r="D7017" t="s">
        <v>18046</v>
      </c>
      <c r="E7017" t="s">
        <v>23995</v>
      </c>
      <c r="F7017" t="s">
        <v>31574</v>
      </c>
      <c r="G7017" t="s">
        <v>31582</v>
      </c>
      <c r="H7017" t="s">
        <v>31590</v>
      </c>
      <c r="I7017" t="s">
        <v>4046</v>
      </c>
      <c r="J7017" t="s">
        <v>36246</v>
      </c>
      <c r="K7017" t="s">
        <v>41193</v>
      </c>
      <c r="M7017" t="s">
        <v>43789</v>
      </c>
      <c r="N7017" t="s">
        <v>45095</v>
      </c>
      <c r="O7017" t="s">
        <v>45096</v>
      </c>
      <c r="P7017">
        <v>0</v>
      </c>
      <c r="Q7017">
        <v>0</v>
      </c>
      <c r="R7017" t="s">
        <v>45103</v>
      </c>
      <c r="S7017" t="s">
        <v>45270</v>
      </c>
      <c r="T7017" t="s">
        <v>47050</v>
      </c>
      <c r="U7017" t="s">
        <v>53346</v>
      </c>
      <c r="V7017" t="s">
        <v>60608</v>
      </c>
      <c r="W7017" t="s">
        <v>43789</v>
      </c>
      <c r="X7017" t="s">
        <v>45104</v>
      </c>
    </row>
    <row r="7018" spans="1:24">
      <c r="A7018">
        <f>HYPERLINK("https://www.philgeps.gov.ph/GEPSNONPILOT/Tender/SplashBidNoticeAbstractUI.aspx?menuIndex=3&amp;refID=7035618&amp;Result=3","7035618")</f>
        <v>0</v>
      </c>
      <c r="B7018" t="s">
        <v>1819</v>
      </c>
      <c r="C7018" t="s">
        <v>9904</v>
      </c>
      <c r="D7018" t="s">
        <v>18027</v>
      </c>
      <c r="E7018" t="s">
        <v>24322</v>
      </c>
      <c r="F7018" t="s">
        <v>31574</v>
      </c>
      <c r="G7018" t="s">
        <v>31581</v>
      </c>
      <c r="H7018" t="s">
        <v>31590</v>
      </c>
      <c r="I7018" t="s">
        <v>4046</v>
      </c>
      <c r="J7018" t="s">
        <v>36247</v>
      </c>
      <c r="K7018" t="s">
        <v>41186</v>
      </c>
      <c r="L7018" t="s">
        <v>1819</v>
      </c>
      <c r="M7018" t="s">
        <v>43790</v>
      </c>
      <c r="N7018" t="s">
        <v>45095</v>
      </c>
      <c r="O7018" t="s">
        <v>45096</v>
      </c>
      <c r="P7018">
        <v>0</v>
      </c>
      <c r="Q7018">
        <v>2</v>
      </c>
      <c r="R7018" t="s">
        <v>45103</v>
      </c>
      <c r="S7018" t="s">
        <v>45270</v>
      </c>
      <c r="T7018" t="s">
        <v>47159</v>
      </c>
      <c r="U7018" t="s">
        <v>53347</v>
      </c>
      <c r="W7018" t="s">
        <v>43790</v>
      </c>
      <c r="X7018" t="s">
        <v>45104</v>
      </c>
    </row>
    <row r="7019" spans="1:24">
      <c r="A7019">
        <f>HYPERLINK("https://www.philgeps.gov.ph/GEPSNONPILOT/Tender/SplashBidNoticeAbstractUI.aspx?menuIndex=3&amp;refID=7035591&amp;Result=3","7035591")</f>
        <v>0</v>
      </c>
      <c r="B7019" t="s">
        <v>2092</v>
      </c>
      <c r="C7019" t="s">
        <v>9905</v>
      </c>
      <c r="D7019" t="s">
        <v>18022</v>
      </c>
      <c r="E7019" t="s">
        <v>24323</v>
      </c>
      <c r="F7019" t="s">
        <v>31574</v>
      </c>
      <c r="G7019" t="s">
        <v>31582</v>
      </c>
      <c r="H7019" t="s">
        <v>31592</v>
      </c>
      <c r="I7019" t="s">
        <v>31620</v>
      </c>
      <c r="J7019" t="s">
        <v>36248</v>
      </c>
      <c r="K7019" t="s">
        <v>41185</v>
      </c>
      <c r="M7019" t="s">
        <v>43769</v>
      </c>
      <c r="N7019" t="s">
        <v>45095</v>
      </c>
      <c r="O7019" t="s">
        <v>45096</v>
      </c>
      <c r="P7019">
        <v>0</v>
      </c>
      <c r="Q7019">
        <v>3</v>
      </c>
      <c r="R7019" t="s">
        <v>45103</v>
      </c>
      <c r="S7019" t="s">
        <v>45270</v>
      </c>
      <c r="T7019" t="s">
        <v>47004</v>
      </c>
      <c r="U7019" t="s">
        <v>53298</v>
      </c>
      <c r="V7019" t="s">
        <v>60609</v>
      </c>
      <c r="W7019" t="s">
        <v>43769</v>
      </c>
      <c r="X7019" t="s">
        <v>45104</v>
      </c>
    </row>
    <row r="7020" spans="1:24">
      <c r="A7020">
        <f>HYPERLINK("https://www.philgeps.gov.ph/GEPSNONPILOT/Tender/SplashBidNoticeAbstractUI.aspx?menuIndex=3&amp;refID=7035585&amp;Result=3","7035585")</f>
        <v>0</v>
      </c>
      <c r="B7020" t="s">
        <v>2091</v>
      </c>
      <c r="C7020" t="s">
        <v>9906</v>
      </c>
      <c r="D7020" t="s">
        <v>18100</v>
      </c>
      <c r="E7020" t="s">
        <v>24324</v>
      </c>
      <c r="F7020" t="s">
        <v>31574</v>
      </c>
      <c r="G7020" t="s">
        <v>31581</v>
      </c>
      <c r="H7020" t="s">
        <v>31590</v>
      </c>
      <c r="I7020" t="s">
        <v>3489</v>
      </c>
      <c r="J7020" t="s">
        <v>36249</v>
      </c>
      <c r="K7020" t="s">
        <v>41193</v>
      </c>
      <c r="M7020" t="s">
        <v>43768</v>
      </c>
      <c r="N7020" t="s">
        <v>45095</v>
      </c>
      <c r="O7020" t="s">
        <v>45096</v>
      </c>
      <c r="P7020">
        <v>0</v>
      </c>
      <c r="Q7020">
        <v>0</v>
      </c>
      <c r="R7020" t="s">
        <v>45103</v>
      </c>
      <c r="S7020" t="s">
        <v>45270</v>
      </c>
      <c r="T7020" t="s">
        <v>47124</v>
      </c>
      <c r="U7020" t="s">
        <v>53297</v>
      </c>
      <c r="W7020" t="s">
        <v>43768</v>
      </c>
      <c r="X7020" t="s">
        <v>45104</v>
      </c>
    </row>
    <row r="7021" spans="1:24">
      <c r="A7021">
        <f>HYPERLINK("https://www.philgeps.gov.ph/GEPSNONPILOT/Tender/SplashBidNoticeAbstractUI.aspx?menuIndex=3&amp;refID=7035592&amp;Result=3","7035592")</f>
        <v>0</v>
      </c>
      <c r="B7021" t="s">
        <v>2102</v>
      </c>
      <c r="C7021" t="s">
        <v>9907</v>
      </c>
      <c r="D7021" t="s">
        <v>18029</v>
      </c>
      <c r="E7021" t="s">
        <v>24325</v>
      </c>
      <c r="F7021" t="s">
        <v>31574</v>
      </c>
      <c r="G7021" t="s">
        <v>31581</v>
      </c>
      <c r="H7021" t="s">
        <v>31590</v>
      </c>
      <c r="I7021" t="s">
        <v>4046</v>
      </c>
      <c r="J7021" t="s">
        <v>31947</v>
      </c>
      <c r="K7021" t="s">
        <v>41186</v>
      </c>
      <c r="M7021" t="s">
        <v>43779</v>
      </c>
      <c r="N7021" t="s">
        <v>45095</v>
      </c>
      <c r="O7021" t="s">
        <v>45096</v>
      </c>
      <c r="P7021">
        <v>0</v>
      </c>
      <c r="Q7021">
        <v>0</v>
      </c>
      <c r="R7021" t="s">
        <v>45103</v>
      </c>
      <c r="S7021" t="s">
        <v>45270</v>
      </c>
      <c r="T7021" t="s">
        <v>47310</v>
      </c>
      <c r="U7021" t="s">
        <v>53348</v>
      </c>
      <c r="W7021" t="s">
        <v>61726</v>
      </c>
      <c r="X7021" t="s">
        <v>45104</v>
      </c>
    </row>
    <row r="7022" spans="1:24">
      <c r="A7022">
        <f>HYPERLINK("https://www.philgeps.gov.ph/GEPSNONPILOT/Tender/SplashBidNoticeAbstractUI.aspx?menuIndex=3&amp;refID=7035636&amp;Result=3","7035636")</f>
        <v>0</v>
      </c>
      <c r="B7022" t="s">
        <v>143</v>
      </c>
      <c r="C7022" t="s">
        <v>9908</v>
      </c>
      <c r="D7022" t="s">
        <v>18075</v>
      </c>
      <c r="E7022" t="s">
        <v>24326</v>
      </c>
      <c r="F7022" t="s">
        <v>31574</v>
      </c>
      <c r="G7022" t="s">
        <v>31581</v>
      </c>
      <c r="H7022" t="s">
        <v>31590</v>
      </c>
      <c r="I7022" t="s">
        <v>4327</v>
      </c>
      <c r="J7022" t="s">
        <v>32214</v>
      </c>
      <c r="K7022" t="s">
        <v>41186</v>
      </c>
      <c r="M7022" t="s">
        <v>41627</v>
      </c>
      <c r="N7022" t="s">
        <v>45095</v>
      </c>
      <c r="O7022" t="s">
        <v>45096</v>
      </c>
      <c r="P7022">
        <v>0</v>
      </c>
      <c r="Q7022">
        <v>6</v>
      </c>
      <c r="R7022" t="s">
        <v>45103</v>
      </c>
      <c r="S7022" t="s">
        <v>45270</v>
      </c>
      <c r="T7022" t="s">
        <v>47303</v>
      </c>
      <c r="U7022" t="s">
        <v>53349</v>
      </c>
      <c r="W7022" t="s">
        <v>41627</v>
      </c>
      <c r="X7022" t="s">
        <v>45104</v>
      </c>
    </row>
    <row r="7023" spans="1:24">
      <c r="A7023">
        <f>HYPERLINK("https://www.philgeps.gov.ph/GEPSNONPILOT/Tender/SplashBidNoticeAbstractUI.aspx?menuIndex=3&amp;refID=7035639&amp;Result=3","7035639")</f>
        <v>0</v>
      </c>
      <c r="B7023" t="s">
        <v>1229</v>
      </c>
      <c r="C7023" t="s">
        <v>9909</v>
      </c>
      <c r="D7023" t="s">
        <v>18022</v>
      </c>
      <c r="E7023" t="s">
        <v>24327</v>
      </c>
      <c r="F7023" t="s">
        <v>31574</v>
      </c>
      <c r="G7023" t="s">
        <v>31582</v>
      </c>
      <c r="H7023" t="s">
        <v>31592</v>
      </c>
      <c r="I7023" t="s">
        <v>31595</v>
      </c>
      <c r="J7023" t="s">
        <v>36250</v>
      </c>
      <c r="K7023" t="s">
        <v>41193</v>
      </c>
      <c r="M7023" t="s">
        <v>43730</v>
      </c>
      <c r="N7023" t="s">
        <v>45095</v>
      </c>
      <c r="O7023" t="s">
        <v>45096</v>
      </c>
      <c r="P7023">
        <v>0</v>
      </c>
      <c r="Q7023">
        <v>0</v>
      </c>
      <c r="R7023" t="s">
        <v>45103</v>
      </c>
      <c r="S7023" t="s">
        <v>45270</v>
      </c>
      <c r="T7023" t="s">
        <v>47010</v>
      </c>
      <c r="U7023" t="s">
        <v>53342</v>
      </c>
      <c r="W7023" t="s">
        <v>43730</v>
      </c>
      <c r="X7023" t="s">
        <v>45104</v>
      </c>
    </row>
    <row r="7024" spans="1:24">
      <c r="A7024">
        <f>HYPERLINK("https://www.philgeps.gov.ph/GEPSNONPILOT/Tender/SplashBidNoticeAbstractUI.aspx?menuIndex=3&amp;refID=7035658&amp;Result=3","7035658")</f>
        <v>0</v>
      </c>
      <c r="B7024" t="s">
        <v>2106</v>
      </c>
      <c r="C7024" t="s">
        <v>9910</v>
      </c>
      <c r="E7024" t="s">
        <v>24328</v>
      </c>
      <c r="F7024" t="s">
        <v>31574</v>
      </c>
      <c r="G7024" t="s">
        <v>31582</v>
      </c>
      <c r="H7024" t="s">
        <v>31590</v>
      </c>
      <c r="I7024" t="s">
        <v>7162</v>
      </c>
      <c r="J7024" t="s">
        <v>36251</v>
      </c>
      <c r="K7024" t="s">
        <v>41184</v>
      </c>
      <c r="M7024" t="s">
        <v>43785</v>
      </c>
      <c r="N7024" t="s">
        <v>45095</v>
      </c>
      <c r="O7024" t="s">
        <v>45096</v>
      </c>
      <c r="P7024">
        <v>0</v>
      </c>
      <c r="Q7024">
        <v>1</v>
      </c>
      <c r="R7024" t="s">
        <v>45103</v>
      </c>
      <c r="S7024" t="s">
        <v>45270</v>
      </c>
      <c r="T7024" t="s">
        <v>47168</v>
      </c>
      <c r="U7024" t="s">
        <v>53350</v>
      </c>
      <c r="W7024" t="s">
        <v>43785</v>
      </c>
      <c r="X7024" t="s">
        <v>45104</v>
      </c>
    </row>
    <row r="7025" spans="1:24">
      <c r="A7025">
        <f>HYPERLINK("https://www.philgeps.gov.ph/GEPSNONPILOT/Tender/SplashBidNoticeAbstractUI.aspx?menuIndex=3&amp;refID=7035653&amp;Result=3","7035653")</f>
        <v>0</v>
      </c>
      <c r="B7025" t="s">
        <v>2102</v>
      </c>
      <c r="C7025" t="s">
        <v>9911</v>
      </c>
      <c r="D7025" t="s">
        <v>18029</v>
      </c>
      <c r="E7025" t="s">
        <v>24329</v>
      </c>
      <c r="F7025" t="s">
        <v>31574</v>
      </c>
      <c r="G7025" t="s">
        <v>31584</v>
      </c>
      <c r="H7025" t="s">
        <v>31590</v>
      </c>
      <c r="I7025" t="s">
        <v>3520</v>
      </c>
      <c r="J7025" t="s">
        <v>36252</v>
      </c>
      <c r="K7025" t="s">
        <v>41196</v>
      </c>
      <c r="M7025" t="s">
        <v>43779</v>
      </c>
      <c r="N7025" t="s">
        <v>45095</v>
      </c>
      <c r="O7025" t="s">
        <v>45096</v>
      </c>
      <c r="P7025">
        <v>0</v>
      </c>
      <c r="Q7025">
        <v>0</v>
      </c>
      <c r="R7025" t="s">
        <v>45103</v>
      </c>
      <c r="S7025" t="s">
        <v>45270</v>
      </c>
      <c r="T7025" t="s">
        <v>47308</v>
      </c>
      <c r="U7025" t="s">
        <v>53351</v>
      </c>
      <c r="W7025" t="s">
        <v>61726</v>
      </c>
      <c r="X7025" t="s">
        <v>45104</v>
      </c>
    </row>
    <row r="7026" spans="1:24">
      <c r="A7026">
        <f>HYPERLINK("https://www.philgeps.gov.ph/GEPSNONPILOT/Tender/SplashBidNoticeAbstractUI.aspx?menuIndex=3&amp;refID=7035645&amp;Result=3","7035645")</f>
        <v>0</v>
      </c>
      <c r="B7026" t="s">
        <v>194</v>
      </c>
      <c r="C7026" t="s">
        <v>9912</v>
      </c>
      <c r="D7026" t="s">
        <v>18065</v>
      </c>
      <c r="E7026" t="s">
        <v>24330</v>
      </c>
      <c r="F7026" t="s">
        <v>31574</v>
      </c>
      <c r="G7026" t="s">
        <v>31581</v>
      </c>
      <c r="H7026" t="s">
        <v>31590</v>
      </c>
      <c r="I7026" t="s">
        <v>31600</v>
      </c>
      <c r="J7026" t="s">
        <v>36253</v>
      </c>
      <c r="K7026" t="s">
        <v>41184</v>
      </c>
      <c r="M7026" t="s">
        <v>41679</v>
      </c>
      <c r="N7026" t="s">
        <v>45095</v>
      </c>
      <c r="O7026" t="s">
        <v>45096</v>
      </c>
      <c r="P7026">
        <v>0</v>
      </c>
      <c r="Q7026">
        <v>1</v>
      </c>
      <c r="R7026" t="s">
        <v>45103</v>
      </c>
      <c r="S7026" t="s">
        <v>45270</v>
      </c>
      <c r="T7026" t="s">
        <v>47171</v>
      </c>
      <c r="U7026" t="s">
        <v>53073</v>
      </c>
      <c r="W7026" t="s">
        <v>41679</v>
      </c>
      <c r="X7026" t="s">
        <v>45104</v>
      </c>
    </row>
    <row r="7027" spans="1:24">
      <c r="A7027">
        <f>HYPERLINK("https://www.philgeps.gov.ph/GEPSNONPILOT/Tender/SplashBidNoticeAbstractUI.aspx?menuIndex=3&amp;refID=7035654&amp;Result=3","7035654")</f>
        <v>0</v>
      </c>
      <c r="B7027" t="s">
        <v>1229</v>
      </c>
      <c r="C7027" t="s">
        <v>9913</v>
      </c>
      <c r="D7027" t="s">
        <v>18022</v>
      </c>
      <c r="E7027" t="s">
        <v>24331</v>
      </c>
      <c r="F7027" t="s">
        <v>31574</v>
      </c>
      <c r="G7027" t="s">
        <v>31582</v>
      </c>
      <c r="H7027" t="s">
        <v>31592</v>
      </c>
      <c r="I7027" t="s">
        <v>31595</v>
      </c>
      <c r="J7027" t="s">
        <v>36254</v>
      </c>
      <c r="K7027" t="s">
        <v>41193</v>
      </c>
      <c r="M7027" t="s">
        <v>43730</v>
      </c>
      <c r="N7027" t="s">
        <v>45095</v>
      </c>
      <c r="O7027" t="s">
        <v>45096</v>
      </c>
      <c r="P7027">
        <v>0</v>
      </c>
      <c r="Q7027">
        <v>0</v>
      </c>
      <c r="R7027" t="s">
        <v>45103</v>
      </c>
      <c r="S7027" t="s">
        <v>45270</v>
      </c>
      <c r="T7027" t="s">
        <v>47010</v>
      </c>
      <c r="U7027" t="s">
        <v>53342</v>
      </c>
      <c r="W7027" t="s">
        <v>43730</v>
      </c>
      <c r="X7027" t="s">
        <v>45104</v>
      </c>
    </row>
    <row r="7028" spans="1:24">
      <c r="A7028">
        <f>HYPERLINK("https://www.philgeps.gov.ph/GEPSNONPILOT/Tender/SplashBidNoticeAbstractUI.aspx?menuIndex=3&amp;refID=7035632&amp;Result=3","7035632")</f>
        <v>0</v>
      </c>
      <c r="B7028" t="s">
        <v>1412</v>
      </c>
      <c r="C7028" t="s">
        <v>9914</v>
      </c>
      <c r="D7028" t="s">
        <v>18075</v>
      </c>
      <c r="E7028" t="s">
        <v>24332</v>
      </c>
      <c r="F7028" t="s">
        <v>31574</v>
      </c>
      <c r="G7028" t="s">
        <v>31582</v>
      </c>
      <c r="H7028" t="s">
        <v>31591</v>
      </c>
      <c r="I7028" t="s">
        <v>8822</v>
      </c>
      <c r="J7028" t="s">
        <v>36255</v>
      </c>
      <c r="K7028" t="s">
        <v>41184</v>
      </c>
      <c r="M7028" t="s">
        <v>42988</v>
      </c>
      <c r="N7028" t="s">
        <v>45095</v>
      </c>
      <c r="O7028" t="s">
        <v>45096</v>
      </c>
      <c r="Q7028">
        <v>0</v>
      </c>
      <c r="R7028" t="s">
        <v>45103</v>
      </c>
      <c r="S7028" t="s">
        <v>45278</v>
      </c>
      <c r="T7028" t="s">
        <v>46930</v>
      </c>
      <c r="U7028" t="s">
        <v>53352</v>
      </c>
      <c r="W7028" t="s">
        <v>42988</v>
      </c>
      <c r="X7028" t="s">
        <v>45104</v>
      </c>
    </row>
    <row r="7029" spans="1:24">
      <c r="A7029">
        <f>HYPERLINK("https://www.philgeps.gov.ph/GEPSNONPILOT/Tender/SplashBidNoticeAbstractUI.aspx?menuIndex=3&amp;refID=7035643&amp;Result=3","7035643")</f>
        <v>0</v>
      </c>
      <c r="B7029" t="s">
        <v>2091</v>
      </c>
      <c r="C7029" t="s">
        <v>9915</v>
      </c>
      <c r="D7029" t="s">
        <v>18100</v>
      </c>
      <c r="E7029" t="s">
        <v>24333</v>
      </c>
      <c r="F7029" t="s">
        <v>31574</v>
      </c>
      <c r="G7029" t="s">
        <v>31581</v>
      </c>
      <c r="H7029" t="s">
        <v>31590</v>
      </c>
      <c r="I7029" t="s">
        <v>3539</v>
      </c>
      <c r="J7029" t="s">
        <v>36256</v>
      </c>
      <c r="K7029" t="s">
        <v>41193</v>
      </c>
      <c r="M7029" t="s">
        <v>43768</v>
      </c>
      <c r="N7029" t="s">
        <v>45095</v>
      </c>
      <c r="O7029" t="s">
        <v>45096</v>
      </c>
      <c r="P7029">
        <v>0</v>
      </c>
      <c r="Q7029">
        <v>0</v>
      </c>
      <c r="R7029" t="s">
        <v>45103</v>
      </c>
      <c r="S7029" t="s">
        <v>45270</v>
      </c>
      <c r="T7029" t="s">
        <v>47124</v>
      </c>
      <c r="U7029" t="s">
        <v>53297</v>
      </c>
      <c r="W7029" t="s">
        <v>43768</v>
      </c>
      <c r="X7029" t="s">
        <v>45104</v>
      </c>
    </row>
    <row r="7030" spans="1:24">
      <c r="A7030">
        <f>HYPERLINK("https://www.philgeps.gov.ph/GEPSNONPILOT/Tender/SplashBidNoticeAbstractUI.aspx?menuIndex=3&amp;refID=7035660&amp;Result=3","7035660")</f>
        <v>0</v>
      </c>
      <c r="B7030" t="s">
        <v>2111</v>
      </c>
      <c r="C7030" t="s">
        <v>9916</v>
      </c>
      <c r="D7030" t="s">
        <v>18056</v>
      </c>
      <c r="E7030" t="s">
        <v>18422</v>
      </c>
      <c r="F7030" t="s">
        <v>31574</v>
      </c>
      <c r="G7030" t="s">
        <v>31583</v>
      </c>
      <c r="H7030" t="s">
        <v>31590</v>
      </c>
      <c r="I7030" t="s">
        <v>4046</v>
      </c>
      <c r="J7030" t="s">
        <v>36257</v>
      </c>
      <c r="K7030" t="s">
        <v>41213</v>
      </c>
      <c r="M7030" t="s">
        <v>43791</v>
      </c>
      <c r="N7030" t="s">
        <v>45095</v>
      </c>
      <c r="O7030" t="s">
        <v>45096</v>
      </c>
      <c r="P7030">
        <v>0</v>
      </c>
      <c r="Q7030">
        <v>0</v>
      </c>
      <c r="R7030" t="s">
        <v>45103</v>
      </c>
      <c r="S7030" t="s">
        <v>45270</v>
      </c>
      <c r="T7030" t="s">
        <v>46986</v>
      </c>
      <c r="U7030" t="s">
        <v>53353</v>
      </c>
      <c r="W7030" t="s">
        <v>43791</v>
      </c>
      <c r="X7030" t="s">
        <v>45104</v>
      </c>
    </row>
    <row r="7031" spans="1:24">
      <c r="A7031">
        <f>HYPERLINK("https://www.philgeps.gov.ph/GEPSNONPILOT/Tender/SplashBidNoticeAbstractUI.aspx?menuIndex=3&amp;refID=7035642&amp;Result=3","7035642")</f>
        <v>0</v>
      </c>
      <c r="B7031" t="s">
        <v>25</v>
      </c>
      <c r="C7031" t="s">
        <v>9917</v>
      </c>
      <c r="D7031" t="s">
        <v>18022</v>
      </c>
      <c r="E7031" t="s">
        <v>24334</v>
      </c>
      <c r="F7031" t="s">
        <v>31574</v>
      </c>
      <c r="G7031" t="s">
        <v>31581</v>
      </c>
      <c r="H7031" t="s">
        <v>31590</v>
      </c>
      <c r="I7031" t="s">
        <v>31608</v>
      </c>
      <c r="J7031" t="s">
        <v>32497</v>
      </c>
      <c r="K7031" t="s">
        <v>41186</v>
      </c>
      <c r="M7031" t="s">
        <v>41507</v>
      </c>
      <c r="N7031" t="s">
        <v>45095</v>
      </c>
      <c r="O7031" t="s">
        <v>45096</v>
      </c>
      <c r="P7031">
        <v>0</v>
      </c>
      <c r="Q7031">
        <v>11</v>
      </c>
      <c r="R7031" t="s">
        <v>45103</v>
      </c>
      <c r="S7031" t="s">
        <v>45270</v>
      </c>
      <c r="T7031" t="s">
        <v>47125</v>
      </c>
      <c r="U7031" t="s">
        <v>53354</v>
      </c>
      <c r="W7031" t="s">
        <v>41507</v>
      </c>
      <c r="X7031" t="s">
        <v>45104</v>
      </c>
    </row>
    <row r="7032" spans="1:24">
      <c r="A7032">
        <f>HYPERLINK("https://www.philgeps.gov.ph/GEPSNONPILOT/Tender/SplashBidNoticeAbstractUI.aspx?menuIndex=3&amp;refID=7035673&amp;Result=3","7035673")</f>
        <v>0</v>
      </c>
      <c r="B7032" t="s">
        <v>1229</v>
      </c>
      <c r="C7032" t="s">
        <v>9918</v>
      </c>
      <c r="D7032" t="s">
        <v>18022</v>
      </c>
      <c r="E7032" t="s">
        <v>24335</v>
      </c>
      <c r="F7032" t="s">
        <v>31574</v>
      </c>
      <c r="G7032" t="s">
        <v>31582</v>
      </c>
      <c r="H7032" t="s">
        <v>31592</v>
      </c>
      <c r="I7032" t="s">
        <v>31595</v>
      </c>
      <c r="J7032" t="s">
        <v>36258</v>
      </c>
      <c r="K7032" t="s">
        <v>41193</v>
      </c>
      <c r="M7032" t="s">
        <v>43730</v>
      </c>
      <c r="N7032" t="s">
        <v>45095</v>
      </c>
      <c r="O7032" t="s">
        <v>45096</v>
      </c>
      <c r="P7032">
        <v>0</v>
      </c>
      <c r="Q7032">
        <v>0</v>
      </c>
      <c r="R7032" t="s">
        <v>45103</v>
      </c>
      <c r="S7032" t="s">
        <v>45270</v>
      </c>
      <c r="T7032" t="s">
        <v>47010</v>
      </c>
      <c r="U7032" t="s">
        <v>53342</v>
      </c>
      <c r="W7032" t="s">
        <v>43730</v>
      </c>
      <c r="X7032" t="s">
        <v>45104</v>
      </c>
    </row>
    <row r="7033" spans="1:24">
      <c r="A7033">
        <f>HYPERLINK("https://www.philgeps.gov.ph/GEPSNONPILOT/Tender/SplashBidNoticeAbstractUI.aspx?menuIndex=3&amp;refID=7035648&amp;Result=3","7035648")</f>
        <v>0</v>
      </c>
      <c r="B7033" t="s">
        <v>2094</v>
      </c>
      <c r="C7033" t="s">
        <v>9919</v>
      </c>
      <c r="D7033" t="s">
        <v>18038</v>
      </c>
      <c r="E7033" t="s">
        <v>24336</v>
      </c>
      <c r="F7033" t="s">
        <v>31574</v>
      </c>
      <c r="G7033" t="s">
        <v>31581</v>
      </c>
      <c r="H7033" t="s">
        <v>31590</v>
      </c>
      <c r="I7033" t="s">
        <v>14544</v>
      </c>
      <c r="J7033" t="s">
        <v>36238</v>
      </c>
      <c r="K7033" t="s">
        <v>41190</v>
      </c>
      <c r="M7033" t="s">
        <v>43771</v>
      </c>
      <c r="N7033" t="s">
        <v>45095</v>
      </c>
      <c r="O7033" t="s">
        <v>45096</v>
      </c>
      <c r="P7033">
        <v>0</v>
      </c>
      <c r="Q7033">
        <v>0</v>
      </c>
      <c r="R7033" t="s">
        <v>45103</v>
      </c>
      <c r="S7033" t="s">
        <v>45270</v>
      </c>
      <c r="T7033" t="s">
        <v>47183</v>
      </c>
      <c r="U7033" t="s">
        <v>53341</v>
      </c>
      <c r="V7033" t="s">
        <v>60606</v>
      </c>
      <c r="W7033" t="s">
        <v>43771</v>
      </c>
      <c r="X7033" t="s">
        <v>45104</v>
      </c>
    </row>
    <row r="7034" spans="1:24">
      <c r="A7034">
        <f>HYPERLINK("https://www.philgeps.gov.ph/GEPSNONPILOT/Tender/SplashBidNoticeAbstractUI.aspx?menuIndex=3&amp;refID=7035671&amp;Result=3","7035671")</f>
        <v>0</v>
      </c>
      <c r="B7034" t="s">
        <v>2112</v>
      </c>
      <c r="C7034" t="s">
        <v>9920</v>
      </c>
      <c r="D7034" t="s">
        <v>18041</v>
      </c>
      <c r="E7034" t="s">
        <v>24337</v>
      </c>
      <c r="F7034" t="s">
        <v>31574</v>
      </c>
      <c r="G7034" t="s">
        <v>31582</v>
      </c>
      <c r="H7034" t="s">
        <v>31590</v>
      </c>
      <c r="I7034" t="s">
        <v>3487</v>
      </c>
      <c r="J7034" t="s">
        <v>32459</v>
      </c>
      <c r="K7034" t="s">
        <v>41184</v>
      </c>
      <c r="M7034" t="s">
        <v>43792</v>
      </c>
      <c r="N7034" t="s">
        <v>45095</v>
      </c>
      <c r="O7034" t="s">
        <v>45096</v>
      </c>
      <c r="P7034">
        <v>0</v>
      </c>
      <c r="Q7034">
        <v>0</v>
      </c>
      <c r="R7034" t="s">
        <v>45103</v>
      </c>
      <c r="S7034" t="s">
        <v>45270</v>
      </c>
      <c r="T7034" t="s">
        <v>47188</v>
      </c>
      <c r="U7034" t="s">
        <v>53355</v>
      </c>
      <c r="V7034" t="s">
        <v>60610</v>
      </c>
      <c r="W7034" t="s">
        <v>43792</v>
      </c>
      <c r="X7034" t="s">
        <v>45104</v>
      </c>
    </row>
    <row r="7035" spans="1:24">
      <c r="A7035">
        <f>HYPERLINK("https://www.philgeps.gov.ph/GEPSNONPILOT/Tender/SplashBidNoticeAbstractUI.aspx?menuIndex=3&amp;refID=7035661&amp;Result=3","7035661")</f>
        <v>0</v>
      </c>
      <c r="B7035" t="s">
        <v>1663</v>
      </c>
      <c r="C7035" t="s">
        <v>9921</v>
      </c>
      <c r="D7035" t="s">
        <v>18033</v>
      </c>
      <c r="E7035" t="s">
        <v>24338</v>
      </c>
      <c r="F7035" t="s">
        <v>31574</v>
      </c>
      <c r="G7035" t="s">
        <v>31581</v>
      </c>
      <c r="H7035" t="s">
        <v>31590</v>
      </c>
      <c r="I7035" t="s">
        <v>7185</v>
      </c>
      <c r="J7035" t="s">
        <v>36259</v>
      </c>
      <c r="K7035" t="s">
        <v>41184</v>
      </c>
      <c r="M7035" t="s">
        <v>43793</v>
      </c>
      <c r="N7035" t="s">
        <v>45095</v>
      </c>
      <c r="O7035" t="s">
        <v>45096</v>
      </c>
      <c r="P7035">
        <v>0</v>
      </c>
      <c r="Q7035">
        <v>2</v>
      </c>
      <c r="R7035" t="s">
        <v>45103</v>
      </c>
      <c r="S7035" t="s">
        <v>45270</v>
      </c>
      <c r="T7035" t="s">
        <v>46973</v>
      </c>
      <c r="U7035" t="s">
        <v>53356</v>
      </c>
      <c r="W7035" t="s">
        <v>43793</v>
      </c>
      <c r="X7035" t="s">
        <v>45104</v>
      </c>
    </row>
    <row r="7036" spans="1:24">
      <c r="A7036">
        <f>HYPERLINK("https://www.philgeps.gov.ph/GEPSNONPILOT/Tender/SplashBidNoticeAbstractUI.aspx?menuIndex=3&amp;refID=7035665&amp;Result=3","7035665")</f>
        <v>0</v>
      </c>
      <c r="B7036" t="s">
        <v>2110</v>
      </c>
      <c r="C7036" t="s">
        <v>9922</v>
      </c>
      <c r="D7036" t="s">
        <v>18046</v>
      </c>
      <c r="E7036" t="s">
        <v>23616</v>
      </c>
      <c r="F7036" t="s">
        <v>31574</v>
      </c>
      <c r="G7036" t="s">
        <v>31582</v>
      </c>
      <c r="H7036" t="s">
        <v>31590</v>
      </c>
      <c r="I7036" t="s">
        <v>4046</v>
      </c>
      <c r="J7036" t="s">
        <v>36260</v>
      </c>
      <c r="K7036" t="s">
        <v>41193</v>
      </c>
      <c r="M7036" t="s">
        <v>43789</v>
      </c>
      <c r="N7036" t="s">
        <v>45095</v>
      </c>
      <c r="O7036" t="s">
        <v>45096</v>
      </c>
      <c r="P7036">
        <v>0</v>
      </c>
      <c r="Q7036">
        <v>1</v>
      </c>
      <c r="R7036" t="s">
        <v>45103</v>
      </c>
      <c r="S7036" t="s">
        <v>45270</v>
      </c>
      <c r="T7036" t="s">
        <v>47050</v>
      </c>
      <c r="U7036" t="s">
        <v>53357</v>
      </c>
      <c r="V7036" t="s">
        <v>60608</v>
      </c>
      <c r="W7036" t="s">
        <v>43789</v>
      </c>
      <c r="X7036" t="s">
        <v>45104</v>
      </c>
    </row>
    <row r="7037" spans="1:24">
      <c r="A7037">
        <f>HYPERLINK("https://www.philgeps.gov.ph/GEPSNONPILOT/Tender/SplashBidNoticeAbstractUI.aspx?menuIndex=3&amp;refID=7035649&amp;Result=3","7035649")</f>
        <v>0</v>
      </c>
      <c r="B7037" t="s">
        <v>2113</v>
      </c>
      <c r="C7037" t="s">
        <v>9923</v>
      </c>
      <c r="D7037" t="s">
        <v>18102</v>
      </c>
      <c r="E7037" t="s">
        <v>19116</v>
      </c>
      <c r="F7037" t="s">
        <v>31575</v>
      </c>
      <c r="G7037" t="s">
        <v>31582</v>
      </c>
      <c r="H7037" t="s">
        <v>31590</v>
      </c>
      <c r="I7037" t="s">
        <v>31605</v>
      </c>
      <c r="J7037" t="s">
        <v>36261</v>
      </c>
      <c r="K7037" t="s">
        <v>41186</v>
      </c>
      <c r="M7037" t="s">
        <v>43794</v>
      </c>
      <c r="N7037" t="s">
        <v>45095</v>
      </c>
      <c r="O7037" t="s">
        <v>45096</v>
      </c>
      <c r="P7037">
        <v>0</v>
      </c>
      <c r="Q7037">
        <v>3</v>
      </c>
      <c r="R7037" t="s">
        <v>45103</v>
      </c>
      <c r="S7037" t="s">
        <v>45270</v>
      </c>
      <c r="T7037" t="s">
        <v>47198</v>
      </c>
      <c r="U7037" t="s">
        <v>53358</v>
      </c>
      <c r="W7037" t="s">
        <v>43794</v>
      </c>
      <c r="X7037" t="s">
        <v>45104</v>
      </c>
    </row>
    <row r="7038" spans="1:24">
      <c r="A7038">
        <f>HYPERLINK("https://www.philgeps.gov.ph/GEPSNONPILOT/Tender/SplashBidNoticeAbstractUI.aspx?menuIndex=3&amp;refID=7035669&amp;Result=3","7035669")</f>
        <v>0</v>
      </c>
      <c r="B7038" t="s">
        <v>115</v>
      </c>
      <c r="C7038" t="s">
        <v>9924</v>
      </c>
      <c r="D7038" t="s">
        <v>18040</v>
      </c>
      <c r="E7038" t="s">
        <v>24339</v>
      </c>
      <c r="F7038" t="s">
        <v>31574</v>
      </c>
      <c r="G7038" t="s">
        <v>31582</v>
      </c>
      <c r="H7038" t="s">
        <v>31590</v>
      </c>
      <c r="I7038" t="s">
        <v>31615</v>
      </c>
      <c r="J7038" t="s">
        <v>32026</v>
      </c>
      <c r="K7038" t="s">
        <v>41186</v>
      </c>
      <c r="M7038" t="s">
        <v>41599</v>
      </c>
      <c r="N7038" t="s">
        <v>45095</v>
      </c>
      <c r="O7038" t="s">
        <v>45096</v>
      </c>
      <c r="P7038">
        <v>0</v>
      </c>
      <c r="Q7038">
        <v>3</v>
      </c>
      <c r="R7038" t="s">
        <v>45103</v>
      </c>
      <c r="S7038" t="s">
        <v>45270</v>
      </c>
      <c r="T7038" t="s">
        <v>46977</v>
      </c>
      <c r="U7038" t="s">
        <v>53359</v>
      </c>
      <c r="V7038" t="s">
        <v>60322</v>
      </c>
      <c r="W7038" t="s">
        <v>41599</v>
      </c>
      <c r="X7038" t="s">
        <v>45104</v>
      </c>
    </row>
    <row r="7039" spans="1:24">
      <c r="A7039">
        <f>HYPERLINK("https://www.philgeps.gov.ph/GEPSNONPILOT/Tender/SplashBidNoticeAbstractUI.aspx?menuIndex=3&amp;refID=7035640&amp;Result=3","7035640")</f>
        <v>0</v>
      </c>
      <c r="B7039" t="s">
        <v>2114</v>
      </c>
      <c r="C7039" t="s">
        <v>9925</v>
      </c>
      <c r="D7039" t="s">
        <v>18079</v>
      </c>
      <c r="E7039" t="s">
        <v>24340</v>
      </c>
      <c r="F7039" t="s">
        <v>31574</v>
      </c>
      <c r="G7039" t="s">
        <v>31582</v>
      </c>
      <c r="H7039" t="s">
        <v>31590</v>
      </c>
      <c r="I7039" t="s">
        <v>4046</v>
      </c>
      <c r="J7039" t="s">
        <v>36262</v>
      </c>
      <c r="K7039" t="s">
        <v>41196</v>
      </c>
      <c r="M7039" t="s">
        <v>43795</v>
      </c>
      <c r="N7039" t="s">
        <v>45095</v>
      </c>
      <c r="O7039" t="s">
        <v>45096</v>
      </c>
      <c r="P7039">
        <v>0</v>
      </c>
      <c r="Q7039">
        <v>0</v>
      </c>
      <c r="R7039" t="s">
        <v>45103</v>
      </c>
      <c r="S7039" t="s">
        <v>45270</v>
      </c>
      <c r="T7039" t="s">
        <v>46918</v>
      </c>
      <c r="U7039" t="s">
        <v>53360</v>
      </c>
      <c r="W7039" t="s">
        <v>43795</v>
      </c>
      <c r="X7039" t="s">
        <v>45104</v>
      </c>
    </row>
    <row r="7040" spans="1:24">
      <c r="A7040">
        <f>HYPERLINK("https://www.philgeps.gov.ph/GEPSNONPILOT/Tender/SplashBidNoticeAbstractUI.aspx?menuIndex=3&amp;refID=7035666&amp;Result=3","7035666")</f>
        <v>0</v>
      </c>
      <c r="B7040" t="s">
        <v>719</v>
      </c>
      <c r="C7040" t="s">
        <v>9926</v>
      </c>
      <c r="D7040" t="s">
        <v>18055</v>
      </c>
      <c r="E7040" t="s">
        <v>24341</v>
      </c>
      <c r="F7040" t="s">
        <v>31574</v>
      </c>
      <c r="G7040" t="s">
        <v>31582</v>
      </c>
      <c r="H7040" t="s">
        <v>31590</v>
      </c>
      <c r="I7040" t="s">
        <v>31631</v>
      </c>
      <c r="J7040" t="s">
        <v>33620</v>
      </c>
      <c r="K7040" t="s">
        <v>41186</v>
      </c>
      <c r="M7040" t="s">
        <v>42229</v>
      </c>
      <c r="N7040" t="s">
        <v>45095</v>
      </c>
      <c r="O7040" t="s">
        <v>45096</v>
      </c>
      <c r="P7040">
        <v>0</v>
      </c>
      <c r="Q7040">
        <v>3</v>
      </c>
      <c r="R7040" t="s">
        <v>45103</v>
      </c>
      <c r="S7040" t="s">
        <v>45270</v>
      </c>
      <c r="T7040" t="s">
        <v>47124</v>
      </c>
      <c r="U7040" t="s">
        <v>53361</v>
      </c>
      <c r="W7040" t="s">
        <v>42229</v>
      </c>
      <c r="X7040" t="s">
        <v>45104</v>
      </c>
    </row>
    <row r="7041" spans="1:24">
      <c r="A7041">
        <f>HYPERLINK("https://www.philgeps.gov.ph/GEPSNONPILOT/Tender/SplashBidNoticeAbstractUI.aspx?menuIndex=3&amp;refID=7035664&amp;Result=3","7035664")</f>
        <v>0</v>
      </c>
      <c r="B7041" t="s">
        <v>2115</v>
      </c>
      <c r="C7041" t="s">
        <v>9927</v>
      </c>
      <c r="D7041" t="s">
        <v>18047</v>
      </c>
      <c r="E7041" t="s">
        <v>18367</v>
      </c>
      <c r="F7041" t="s">
        <v>31574</v>
      </c>
      <c r="G7041" t="s">
        <v>31582</v>
      </c>
      <c r="H7041" t="s">
        <v>31590</v>
      </c>
      <c r="I7041" t="s">
        <v>4046</v>
      </c>
      <c r="J7041" t="s">
        <v>36263</v>
      </c>
      <c r="K7041" t="s">
        <v>41196</v>
      </c>
      <c r="M7041" t="s">
        <v>43796</v>
      </c>
      <c r="N7041" t="s">
        <v>45095</v>
      </c>
      <c r="O7041" t="s">
        <v>45096</v>
      </c>
      <c r="P7041">
        <v>0</v>
      </c>
      <c r="Q7041">
        <v>0</v>
      </c>
      <c r="R7041" t="s">
        <v>45103</v>
      </c>
      <c r="S7041" t="s">
        <v>45270</v>
      </c>
      <c r="T7041" t="s">
        <v>47050</v>
      </c>
      <c r="U7041" t="s">
        <v>53362</v>
      </c>
      <c r="W7041" t="s">
        <v>43796</v>
      </c>
      <c r="X7041" t="s">
        <v>45104</v>
      </c>
    </row>
    <row r="7042" spans="1:24">
      <c r="A7042">
        <f>HYPERLINK("https://www.philgeps.gov.ph/GEPSNONPILOT/Tender/SplashBidNoticeAbstractUI.aspx?menuIndex=3&amp;refID=7035677&amp;Result=3","7035677")</f>
        <v>0</v>
      </c>
      <c r="B7042" t="s">
        <v>886</v>
      </c>
      <c r="C7042" t="s">
        <v>9928</v>
      </c>
      <c r="E7042" t="s">
        <v>24342</v>
      </c>
      <c r="F7042" t="s">
        <v>31574</v>
      </c>
      <c r="G7042" t="s">
        <v>31584</v>
      </c>
      <c r="H7042" t="s">
        <v>31590</v>
      </c>
      <c r="I7042" t="s">
        <v>6800</v>
      </c>
      <c r="J7042" t="s">
        <v>36264</v>
      </c>
      <c r="K7042" t="s">
        <v>41184</v>
      </c>
      <c r="M7042" t="s">
        <v>42407</v>
      </c>
      <c r="N7042" t="s">
        <v>45095</v>
      </c>
      <c r="O7042" t="s">
        <v>45096</v>
      </c>
      <c r="P7042">
        <v>0</v>
      </c>
      <c r="Q7042">
        <v>4</v>
      </c>
      <c r="R7042" t="s">
        <v>45103</v>
      </c>
      <c r="S7042" t="s">
        <v>45270</v>
      </c>
      <c r="T7042" t="s">
        <v>47080</v>
      </c>
      <c r="U7042" t="s">
        <v>53363</v>
      </c>
      <c r="W7042" t="s">
        <v>42407</v>
      </c>
      <c r="X7042" t="s">
        <v>45104</v>
      </c>
    </row>
    <row r="7043" spans="1:24">
      <c r="A7043">
        <f>HYPERLINK("https://www.philgeps.gov.ph/GEPSNONPILOT/Tender/SplashBidNoticeAbstractUI.aspx?menuIndex=3&amp;refID=7035698&amp;Result=3","7035698")</f>
        <v>0</v>
      </c>
      <c r="B7043" t="s">
        <v>2116</v>
      </c>
      <c r="C7043" t="s">
        <v>9929</v>
      </c>
      <c r="D7043" t="s">
        <v>18073</v>
      </c>
      <c r="E7043" t="s">
        <v>18946</v>
      </c>
      <c r="F7043" t="s">
        <v>31574</v>
      </c>
      <c r="G7043" t="s">
        <v>31581</v>
      </c>
      <c r="H7043" t="s">
        <v>31590</v>
      </c>
      <c r="I7043" t="s">
        <v>31636</v>
      </c>
      <c r="J7043" t="s">
        <v>33379</v>
      </c>
      <c r="K7043" t="s">
        <v>41211</v>
      </c>
      <c r="M7043" t="s">
        <v>43797</v>
      </c>
      <c r="N7043" t="s">
        <v>45095</v>
      </c>
      <c r="O7043" t="s">
        <v>45096</v>
      </c>
      <c r="P7043">
        <v>0</v>
      </c>
      <c r="Q7043">
        <v>0</v>
      </c>
      <c r="R7043" t="s">
        <v>45103</v>
      </c>
      <c r="S7043" t="s">
        <v>45270</v>
      </c>
      <c r="T7043" t="s">
        <v>47311</v>
      </c>
      <c r="U7043" t="s">
        <v>53364</v>
      </c>
      <c r="W7043" t="s">
        <v>43797</v>
      </c>
      <c r="X7043" t="s">
        <v>45104</v>
      </c>
    </row>
    <row r="7044" spans="1:24">
      <c r="A7044">
        <f>HYPERLINK("https://www.philgeps.gov.ph/GEPSNONPILOT/Tender/SplashBidNoticeAbstractUI.aspx?menuIndex=3&amp;refID=7035696&amp;Result=3","7035696")</f>
        <v>0</v>
      </c>
      <c r="B7044" t="s">
        <v>1229</v>
      </c>
      <c r="C7044" t="s">
        <v>9930</v>
      </c>
      <c r="D7044" t="s">
        <v>18022</v>
      </c>
      <c r="E7044" t="s">
        <v>24343</v>
      </c>
      <c r="F7044" t="s">
        <v>31574</v>
      </c>
      <c r="G7044" t="s">
        <v>31582</v>
      </c>
      <c r="H7044" t="s">
        <v>31592</v>
      </c>
      <c r="I7044" t="s">
        <v>31595</v>
      </c>
      <c r="J7044" t="s">
        <v>36265</v>
      </c>
      <c r="K7044" t="s">
        <v>41193</v>
      </c>
      <c r="M7044" t="s">
        <v>43730</v>
      </c>
      <c r="N7044" t="s">
        <v>45095</v>
      </c>
      <c r="O7044" t="s">
        <v>45096</v>
      </c>
      <c r="P7044">
        <v>0</v>
      </c>
      <c r="Q7044">
        <v>0</v>
      </c>
      <c r="R7044" t="s">
        <v>45103</v>
      </c>
      <c r="S7044" t="s">
        <v>45270</v>
      </c>
      <c r="T7044" t="s">
        <v>47010</v>
      </c>
      <c r="U7044" t="s">
        <v>53342</v>
      </c>
      <c r="W7044" t="s">
        <v>43730</v>
      </c>
      <c r="X7044" t="s">
        <v>45104</v>
      </c>
    </row>
    <row r="7045" spans="1:24">
      <c r="A7045">
        <f>HYPERLINK("https://www.philgeps.gov.ph/GEPSNONPILOT/Tender/SplashBidNoticeAbstractUI.aspx?menuIndex=3&amp;refID=7035705&amp;Result=3","7035705")</f>
        <v>0</v>
      </c>
      <c r="B7045" t="s">
        <v>2075</v>
      </c>
      <c r="C7045" t="s">
        <v>9931</v>
      </c>
      <c r="D7045" t="s">
        <v>18073</v>
      </c>
      <c r="E7045" t="s">
        <v>24344</v>
      </c>
      <c r="F7045" t="s">
        <v>31574</v>
      </c>
      <c r="G7045" t="s">
        <v>31582</v>
      </c>
      <c r="H7045" t="s">
        <v>31590</v>
      </c>
      <c r="I7045" t="s">
        <v>31666</v>
      </c>
      <c r="J7045" t="s">
        <v>32101</v>
      </c>
      <c r="K7045" t="s">
        <v>41198</v>
      </c>
      <c r="M7045" t="s">
        <v>43749</v>
      </c>
      <c r="N7045" t="s">
        <v>45095</v>
      </c>
      <c r="O7045" t="s">
        <v>45096</v>
      </c>
      <c r="P7045">
        <v>0</v>
      </c>
      <c r="Q7045">
        <v>9</v>
      </c>
      <c r="R7045" t="s">
        <v>45103</v>
      </c>
      <c r="S7045" t="s">
        <v>45270</v>
      </c>
      <c r="T7045" t="s">
        <v>47266</v>
      </c>
      <c r="U7045" t="s">
        <v>53365</v>
      </c>
      <c r="W7045" t="s">
        <v>61725</v>
      </c>
      <c r="X7045" t="s">
        <v>45104</v>
      </c>
    </row>
    <row r="7046" spans="1:24">
      <c r="A7046">
        <f>HYPERLINK("https://www.philgeps.gov.ph/GEPSNONPILOT/Tender/SplashBidNoticeAbstractUI.aspx?menuIndex=3&amp;refID=7035681&amp;Result=3","7035681")</f>
        <v>0</v>
      </c>
      <c r="B7046" t="s">
        <v>2088</v>
      </c>
      <c r="C7046" t="s">
        <v>9932</v>
      </c>
      <c r="D7046" t="s">
        <v>18096</v>
      </c>
      <c r="E7046" t="s">
        <v>24345</v>
      </c>
      <c r="F7046" t="s">
        <v>31574</v>
      </c>
      <c r="G7046" t="s">
        <v>31581</v>
      </c>
      <c r="H7046" t="s">
        <v>31590</v>
      </c>
      <c r="I7046" t="s">
        <v>4046</v>
      </c>
      <c r="J7046" t="s">
        <v>31804</v>
      </c>
      <c r="K7046" t="s">
        <v>41196</v>
      </c>
      <c r="M7046" t="s">
        <v>43764</v>
      </c>
      <c r="N7046" t="s">
        <v>45095</v>
      </c>
      <c r="O7046" t="s">
        <v>45096</v>
      </c>
      <c r="P7046">
        <v>0</v>
      </c>
      <c r="Q7046">
        <v>0</v>
      </c>
      <c r="R7046" t="s">
        <v>45103</v>
      </c>
      <c r="S7046" t="s">
        <v>45270</v>
      </c>
      <c r="T7046" t="s">
        <v>47158</v>
      </c>
      <c r="U7046" t="s">
        <v>53366</v>
      </c>
      <c r="W7046" t="s">
        <v>43764</v>
      </c>
      <c r="X7046" t="s">
        <v>45104</v>
      </c>
    </row>
    <row r="7047" spans="1:24">
      <c r="A7047">
        <f>HYPERLINK("https://www.philgeps.gov.ph/GEPSNONPILOT/Tender/SplashBidNoticeAbstractUI.aspx?menuIndex=3&amp;refID=7035706&amp;Result=3","7035706")</f>
        <v>0</v>
      </c>
      <c r="B7047" t="s">
        <v>2117</v>
      </c>
      <c r="C7047" t="s">
        <v>9933</v>
      </c>
      <c r="D7047" t="s">
        <v>18070</v>
      </c>
      <c r="E7047" t="s">
        <v>24346</v>
      </c>
      <c r="F7047" t="s">
        <v>31574</v>
      </c>
      <c r="G7047" t="s">
        <v>31581</v>
      </c>
      <c r="H7047" t="s">
        <v>31592</v>
      </c>
      <c r="I7047" t="s">
        <v>31638</v>
      </c>
      <c r="J7047" t="s">
        <v>32553</v>
      </c>
      <c r="K7047" t="s">
        <v>41190</v>
      </c>
      <c r="M7047" t="s">
        <v>43798</v>
      </c>
      <c r="N7047" t="s">
        <v>45095</v>
      </c>
      <c r="O7047" t="s">
        <v>45096</v>
      </c>
      <c r="P7047">
        <v>0</v>
      </c>
      <c r="Q7047">
        <v>0</v>
      </c>
      <c r="R7047" t="s">
        <v>45103</v>
      </c>
      <c r="S7047" t="s">
        <v>45270</v>
      </c>
      <c r="T7047" t="s">
        <v>47158</v>
      </c>
      <c r="U7047" t="s">
        <v>53367</v>
      </c>
      <c r="W7047" t="s">
        <v>43798</v>
      </c>
      <c r="X7047" t="s">
        <v>45104</v>
      </c>
    </row>
    <row r="7048" spans="1:24">
      <c r="A7048">
        <f>HYPERLINK("https://www.philgeps.gov.ph/GEPSNONPILOT/Tender/SplashBidNoticeAbstractUI.aspx?menuIndex=3&amp;refID=7035684&amp;Result=3","7035684")</f>
        <v>0</v>
      </c>
      <c r="B7048" t="s">
        <v>2090</v>
      </c>
      <c r="C7048" t="s">
        <v>9934</v>
      </c>
      <c r="D7048" t="s">
        <v>18099</v>
      </c>
      <c r="E7048" t="s">
        <v>18975</v>
      </c>
      <c r="F7048" t="s">
        <v>31574</v>
      </c>
      <c r="G7048" t="s">
        <v>31582</v>
      </c>
      <c r="H7048" t="s">
        <v>31591</v>
      </c>
      <c r="I7048" t="s">
        <v>8822</v>
      </c>
      <c r="J7048" t="s">
        <v>36266</v>
      </c>
      <c r="K7048" t="s">
        <v>41236</v>
      </c>
      <c r="M7048" t="s">
        <v>43766</v>
      </c>
      <c r="N7048" t="s">
        <v>45095</v>
      </c>
      <c r="O7048" t="s">
        <v>45096</v>
      </c>
      <c r="P7048">
        <v>0</v>
      </c>
      <c r="Q7048">
        <v>0</v>
      </c>
      <c r="R7048" t="s">
        <v>45103</v>
      </c>
      <c r="S7048" t="s">
        <v>45270</v>
      </c>
      <c r="T7048" t="s">
        <v>47302</v>
      </c>
      <c r="U7048" t="s">
        <v>53368</v>
      </c>
      <c r="W7048" t="s">
        <v>43766</v>
      </c>
      <c r="X7048" t="s">
        <v>45104</v>
      </c>
    </row>
    <row r="7049" spans="1:24">
      <c r="A7049">
        <f>HYPERLINK("https://www.philgeps.gov.ph/GEPSNONPILOT/Tender/SplashBidNoticeAbstractUI.aspx?menuIndex=3&amp;refID=7035690&amp;Result=3","7035690")</f>
        <v>0</v>
      </c>
      <c r="B7049" t="s">
        <v>194</v>
      </c>
      <c r="C7049" t="s">
        <v>9935</v>
      </c>
      <c r="D7049" t="s">
        <v>18065</v>
      </c>
      <c r="E7049" t="s">
        <v>24347</v>
      </c>
      <c r="F7049" t="s">
        <v>31574</v>
      </c>
      <c r="G7049" t="s">
        <v>31581</v>
      </c>
      <c r="H7049" t="s">
        <v>31590</v>
      </c>
      <c r="I7049" t="s">
        <v>31600</v>
      </c>
      <c r="J7049" t="s">
        <v>31727</v>
      </c>
      <c r="K7049" t="s">
        <v>41184</v>
      </c>
      <c r="M7049" t="s">
        <v>41679</v>
      </c>
      <c r="N7049" t="s">
        <v>45095</v>
      </c>
      <c r="O7049" t="s">
        <v>45096</v>
      </c>
      <c r="P7049">
        <v>0</v>
      </c>
      <c r="Q7049">
        <v>1</v>
      </c>
      <c r="R7049" t="s">
        <v>45103</v>
      </c>
      <c r="S7049" t="s">
        <v>45270</v>
      </c>
      <c r="T7049" t="s">
        <v>47171</v>
      </c>
      <c r="U7049" t="s">
        <v>53073</v>
      </c>
      <c r="W7049" t="s">
        <v>41679</v>
      </c>
      <c r="X7049" t="s">
        <v>45104</v>
      </c>
    </row>
    <row r="7050" spans="1:24">
      <c r="A7050">
        <f>HYPERLINK("https://www.philgeps.gov.ph/GEPSNONPILOT/Tender/SplashBidNoticeAbstractUI.aspx?menuIndex=3&amp;refID=7035722&amp;Result=3","7035722")</f>
        <v>0</v>
      </c>
      <c r="B7050" t="s">
        <v>1819</v>
      </c>
      <c r="C7050" t="s">
        <v>9936</v>
      </c>
      <c r="D7050" t="s">
        <v>18027</v>
      </c>
      <c r="E7050" t="s">
        <v>24348</v>
      </c>
      <c r="F7050" t="s">
        <v>31574</v>
      </c>
      <c r="G7050" t="s">
        <v>31581</v>
      </c>
      <c r="H7050" t="s">
        <v>31590</v>
      </c>
      <c r="I7050" t="s">
        <v>4046</v>
      </c>
      <c r="J7050" t="s">
        <v>36267</v>
      </c>
      <c r="K7050" t="s">
        <v>41186</v>
      </c>
      <c r="L7050" t="s">
        <v>1819</v>
      </c>
      <c r="M7050" t="s">
        <v>43790</v>
      </c>
      <c r="N7050" t="s">
        <v>45095</v>
      </c>
      <c r="O7050" t="s">
        <v>45096</v>
      </c>
      <c r="P7050">
        <v>0</v>
      </c>
      <c r="Q7050">
        <v>1</v>
      </c>
      <c r="R7050" t="s">
        <v>45103</v>
      </c>
      <c r="S7050" t="s">
        <v>45270</v>
      </c>
      <c r="T7050" t="s">
        <v>47159</v>
      </c>
      <c r="U7050" t="s">
        <v>53369</v>
      </c>
      <c r="W7050" t="s">
        <v>43790</v>
      </c>
      <c r="X7050" t="s">
        <v>45104</v>
      </c>
    </row>
    <row r="7051" spans="1:24">
      <c r="A7051">
        <f>HYPERLINK("https://www.philgeps.gov.ph/GEPSNONPILOT/Tender/SplashBidNoticeAbstractUI.aspx?menuIndex=3&amp;refID=7035691&amp;Result=3","7035691")</f>
        <v>0</v>
      </c>
      <c r="B7051" t="s">
        <v>2112</v>
      </c>
      <c r="C7051" t="s">
        <v>9937</v>
      </c>
      <c r="D7051" t="s">
        <v>18041</v>
      </c>
      <c r="E7051" t="s">
        <v>24349</v>
      </c>
      <c r="F7051" t="s">
        <v>31574</v>
      </c>
      <c r="G7051" t="s">
        <v>31582</v>
      </c>
      <c r="H7051" t="s">
        <v>31590</v>
      </c>
      <c r="I7051" t="s">
        <v>4046</v>
      </c>
      <c r="J7051" t="s">
        <v>36268</v>
      </c>
      <c r="K7051" t="s">
        <v>41184</v>
      </c>
      <c r="M7051" t="s">
        <v>43792</v>
      </c>
      <c r="N7051" t="s">
        <v>45095</v>
      </c>
      <c r="O7051" t="s">
        <v>45096</v>
      </c>
      <c r="P7051">
        <v>0</v>
      </c>
      <c r="Q7051">
        <v>0</v>
      </c>
      <c r="R7051" t="s">
        <v>45103</v>
      </c>
      <c r="S7051" t="s">
        <v>45270</v>
      </c>
      <c r="T7051" t="s">
        <v>47188</v>
      </c>
      <c r="U7051" t="s">
        <v>53370</v>
      </c>
      <c r="V7051" t="s">
        <v>60610</v>
      </c>
      <c r="W7051" t="s">
        <v>43792</v>
      </c>
      <c r="X7051" t="s">
        <v>45104</v>
      </c>
    </row>
    <row r="7052" spans="1:24">
      <c r="A7052">
        <f>HYPERLINK("https://www.philgeps.gov.ph/GEPSNONPILOT/Tender/SplashBidNoticeAbstractUI.aspx?menuIndex=3&amp;refID=7035697&amp;Result=3","7035697")</f>
        <v>0</v>
      </c>
      <c r="B7052" t="s">
        <v>267</v>
      </c>
      <c r="C7052" t="s">
        <v>9938</v>
      </c>
      <c r="D7052" t="s">
        <v>18022</v>
      </c>
      <c r="E7052" t="s">
        <v>24350</v>
      </c>
      <c r="F7052" t="s">
        <v>31574</v>
      </c>
      <c r="G7052" t="s">
        <v>31582</v>
      </c>
      <c r="H7052" t="s">
        <v>31590</v>
      </c>
      <c r="I7052" t="s">
        <v>3651</v>
      </c>
      <c r="J7052" t="s">
        <v>36269</v>
      </c>
      <c r="K7052" t="s">
        <v>41184</v>
      </c>
      <c r="M7052" t="s">
        <v>41753</v>
      </c>
      <c r="N7052" t="s">
        <v>45095</v>
      </c>
      <c r="O7052" t="s">
        <v>45096</v>
      </c>
      <c r="P7052">
        <v>0</v>
      </c>
      <c r="Q7052">
        <v>7</v>
      </c>
      <c r="R7052" t="s">
        <v>45103</v>
      </c>
      <c r="S7052" t="s">
        <v>45270</v>
      </c>
      <c r="T7052" t="s">
        <v>46992</v>
      </c>
      <c r="U7052" t="s">
        <v>53371</v>
      </c>
      <c r="W7052" t="s">
        <v>42543</v>
      </c>
      <c r="X7052" t="s">
        <v>45104</v>
      </c>
    </row>
    <row r="7053" spans="1:24">
      <c r="A7053">
        <f>HYPERLINK("https://www.philgeps.gov.ph/GEPSNONPILOT/Tender/SplashBidNoticeAbstractUI.aspx?menuIndex=3&amp;refID=7035721&amp;Result=3","7035721")</f>
        <v>0</v>
      </c>
      <c r="B7053" t="s">
        <v>2092</v>
      </c>
      <c r="C7053" t="s">
        <v>9939</v>
      </c>
      <c r="D7053" t="s">
        <v>18093</v>
      </c>
      <c r="E7053" t="s">
        <v>24351</v>
      </c>
      <c r="F7053" t="s">
        <v>31574</v>
      </c>
      <c r="G7053" t="s">
        <v>31582</v>
      </c>
      <c r="H7053" t="s">
        <v>31592</v>
      </c>
      <c r="I7053" t="s">
        <v>3487</v>
      </c>
      <c r="J7053" t="s">
        <v>36270</v>
      </c>
      <c r="K7053" t="s">
        <v>41186</v>
      </c>
      <c r="M7053" t="s">
        <v>43769</v>
      </c>
      <c r="N7053" t="s">
        <v>45095</v>
      </c>
      <c r="O7053" t="s">
        <v>45096</v>
      </c>
      <c r="P7053">
        <v>0</v>
      </c>
      <c r="Q7053">
        <v>3</v>
      </c>
      <c r="R7053" t="s">
        <v>45103</v>
      </c>
      <c r="S7053" t="s">
        <v>45270</v>
      </c>
      <c r="T7053" t="s">
        <v>47004</v>
      </c>
      <c r="U7053" t="s">
        <v>53298</v>
      </c>
      <c r="V7053" t="s">
        <v>60609</v>
      </c>
      <c r="W7053" t="s">
        <v>43769</v>
      </c>
      <c r="X7053" t="s">
        <v>45104</v>
      </c>
    </row>
    <row r="7054" spans="1:24">
      <c r="A7054">
        <f>HYPERLINK("https://www.philgeps.gov.ph/GEPSNONPILOT/Tender/SplashBidNoticeAbstractUI.aspx?menuIndex=3&amp;refID=7035689&amp;Result=3","7035689")</f>
        <v>0</v>
      </c>
      <c r="B7054" t="s">
        <v>886</v>
      </c>
      <c r="C7054" t="s">
        <v>9940</v>
      </c>
      <c r="E7054" t="s">
        <v>24352</v>
      </c>
      <c r="F7054" t="s">
        <v>31574</v>
      </c>
      <c r="G7054" t="s">
        <v>31581</v>
      </c>
      <c r="H7054" t="s">
        <v>31590</v>
      </c>
      <c r="I7054" t="s">
        <v>31594</v>
      </c>
      <c r="J7054" t="s">
        <v>31741</v>
      </c>
      <c r="K7054" t="s">
        <v>41184</v>
      </c>
      <c r="M7054" t="s">
        <v>42407</v>
      </c>
      <c r="N7054" t="s">
        <v>45095</v>
      </c>
      <c r="O7054" t="s">
        <v>45096</v>
      </c>
      <c r="P7054">
        <v>0</v>
      </c>
      <c r="Q7054">
        <v>3</v>
      </c>
      <c r="R7054" t="s">
        <v>45103</v>
      </c>
      <c r="S7054" t="s">
        <v>45270</v>
      </c>
      <c r="T7054" t="s">
        <v>47080</v>
      </c>
      <c r="U7054" t="s">
        <v>53363</v>
      </c>
      <c r="W7054" t="s">
        <v>42407</v>
      </c>
      <c r="X7054" t="s">
        <v>45104</v>
      </c>
    </row>
    <row r="7055" spans="1:24">
      <c r="A7055">
        <f>HYPERLINK("https://www.philgeps.gov.ph/GEPSNONPILOT/Tender/SplashBidNoticeAbstractUI.aspx?menuIndex=3&amp;refID=7035687&amp;Result=3","7035687")</f>
        <v>0</v>
      </c>
      <c r="B7055" t="s">
        <v>132</v>
      </c>
      <c r="C7055" t="s">
        <v>9941</v>
      </c>
      <c r="D7055" t="s">
        <v>18059</v>
      </c>
      <c r="E7055" t="s">
        <v>24353</v>
      </c>
      <c r="F7055" t="s">
        <v>31574</v>
      </c>
      <c r="G7055" t="s">
        <v>31582</v>
      </c>
      <c r="H7055" t="s">
        <v>31590</v>
      </c>
      <c r="I7055" t="s">
        <v>31612</v>
      </c>
      <c r="J7055" t="s">
        <v>33295</v>
      </c>
      <c r="K7055" t="s">
        <v>41190</v>
      </c>
      <c r="M7055" t="s">
        <v>41616</v>
      </c>
      <c r="N7055" t="s">
        <v>45095</v>
      </c>
      <c r="O7055" t="s">
        <v>45096</v>
      </c>
      <c r="P7055">
        <v>0</v>
      </c>
      <c r="Q7055">
        <v>0</v>
      </c>
      <c r="R7055" t="s">
        <v>45103</v>
      </c>
      <c r="S7055" t="s">
        <v>45270</v>
      </c>
      <c r="T7055" t="s">
        <v>46973</v>
      </c>
      <c r="U7055" t="s">
        <v>53372</v>
      </c>
      <c r="W7055" t="s">
        <v>41616</v>
      </c>
      <c r="X7055" t="s">
        <v>45104</v>
      </c>
    </row>
    <row r="7056" spans="1:24">
      <c r="A7056">
        <f>HYPERLINK("https://www.philgeps.gov.ph/GEPSNONPILOT/Tender/SplashBidNoticeAbstractUI.aspx?menuIndex=3&amp;refID=7035703&amp;Result=3","7035703")</f>
        <v>0</v>
      </c>
      <c r="B7056" t="s">
        <v>886</v>
      </c>
      <c r="C7056" t="s">
        <v>9942</v>
      </c>
      <c r="E7056" t="s">
        <v>24354</v>
      </c>
      <c r="F7056" t="s">
        <v>31574</v>
      </c>
      <c r="G7056" t="s">
        <v>31581</v>
      </c>
      <c r="H7056" t="s">
        <v>31590</v>
      </c>
      <c r="I7056" t="s">
        <v>31664</v>
      </c>
      <c r="J7056" t="s">
        <v>36271</v>
      </c>
      <c r="K7056" t="s">
        <v>41184</v>
      </c>
      <c r="M7056" t="s">
        <v>42407</v>
      </c>
      <c r="N7056" t="s">
        <v>45095</v>
      </c>
      <c r="O7056" t="s">
        <v>45096</v>
      </c>
      <c r="P7056">
        <v>0</v>
      </c>
      <c r="Q7056">
        <v>0</v>
      </c>
      <c r="R7056" t="s">
        <v>45103</v>
      </c>
      <c r="S7056" t="s">
        <v>45270</v>
      </c>
      <c r="T7056" t="s">
        <v>47080</v>
      </c>
      <c r="U7056" t="s">
        <v>53363</v>
      </c>
      <c r="W7056" t="s">
        <v>42407</v>
      </c>
      <c r="X7056" t="s">
        <v>45104</v>
      </c>
    </row>
    <row r="7057" spans="1:24">
      <c r="A7057">
        <f>HYPERLINK("https://www.philgeps.gov.ph/GEPSNONPILOT/Tender/SplashBidNoticeAbstractUI.aspx?menuIndex=3&amp;refID=7035714&amp;Result=3","7035714")</f>
        <v>0</v>
      </c>
      <c r="B7057" t="s">
        <v>2102</v>
      </c>
      <c r="C7057" t="s">
        <v>9943</v>
      </c>
      <c r="D7057" t="s">
        <v>18029</v>
      </c>
      <c r="E7057" t="s">
        <v>24355</v>
      </c>
      <c r="F7057" t="s">
        <v>31574</v>
      </c>
      <c r="G7057" t="s">
        <v>31581</v>
      </c>
      <c r="H7057" t="s">
        <v>31590</v>
      </c>
      <c r="I7057" t="s">
        <v>31629</v>
      </c>
      <c r="J7057" t="s">
        <v>36272</v>
      </c>
      <c r="K7057" t="s">
        <v>41190</v>
      </c>
      <c r="M7057" t="s">
        <v>43779</v>
      </c>
      <c r="N7057" t="s">
        <v>45095</v>
      </c>
      <c r="O7057" t="s">
        <v>45096</v>
      </c>
      <c r="P7057">
        <v>0</v>
      </c>
      <c r="Q7057">
        <v>0</v>
      </c>
      <c r="R7057" t="s">
        <v>45103</v>
      </c>
      <c r="S7057" t="s">
        <v>45270</v>
      </c>
      <c r="T7057" t="s">
        <v>47308</v>
      </c>
      <c r="U7057" t="s">
        <v>53373</v>
      </c>
      <c r="W7057" t="s">
        <v>61726</v>
      </c>
      <c r="X7057" t="s">
        <v>45104</v>
      </c>
    </row>
    <row r="7058" spans="1:24">
      <c r="A7058">
        <f>HYPERLINK("https://www.philgeps.gov.ph/GEPSNONPILOT/Tender/SplashBidNoticeAbstractUI.aspx?menuIndex=3&amp;refID=7035720&amp;Result=3","7035720")</f>
        <v>0</v>
      </c>
      <c r="B7058" t="s">
        <v>2110</v>
      </c>
      <c r="C7058" t="s">
        <v>9944</v>
      </c>
      <c r="D7058" t="s">
        <v>18046</v>
      </c>
      <c r="E7058" t="s">
        <v>23837</v>
      </c>
      <c r="F7058" t="s">
        <v>31574</v>
      </c>
      <c r="G7058" t="s">
        <v>31582</v>
      </c>
      <c r="H7058" t="s">
        <v>31590</v>
      </c>
      <c r="I7058" t="s">
        <v>31619</v>
      </c>
      <c r="J7058" t="s">
        <v>36273</v>
      </c>
      <c r="K7058" t="s">
        <v>41193</v>
      </c>
      <c r="M7058" t="s">
        <v>43789</v>
      </c>
      <c r="N7058" t="s">
        <v>45095</v>
      </c>
      <c r="O7058" t="s">
        <v>45096</v>
      </c>
      <c r="P7058">
        <v>0</v>
      </c>
      <c r="Q7058">
        <v>2</v>
      </c>
      <c r="R7058" t="s">
        <v>45103</v>
      </c>
      <c r="S7058" t="s">
        <v>45270</v>
      </c>
      <c r="T7058" t="s">
        <v>47050</v>
      </c>
      <c r="U7058" t="s">
        <v>53374</v>
      </c>
      <c r="V7058" t="s">
        <v>60608</v>
      </c>
      <c r="W7058" t="s">
        <v>43789</v>
      </c>
      <c r="X7058" t="s">
        <v>45104</v>
      </c>
    </row>
    <row r="7059" spans="1:24">
      <c r="A7059">
        <f>HYPERLINK("https://www.philgeps.gov.ph/GEPSNONPILOT/Tender/SplashBidNoticeAbstractUI.aspx?menuIndex=3&amp;refID=7035716&amp;Result=3","7035716")</f>
        <v>0</v>
      </c>
      <c r="B7059" t="s">
        <v>886</v>
      </c>
      <c r="C7059" t="s">
        <v>9945</v>
      </c>
      <c r="E7059" t="s">
        <v>24356</v>
      </c>
      <c r="F7059" t="s">
        <v>31574</v>
      </c>
      <c r="G7059" t="s">
        <v>31581</v>
      </c>
      <c r="H7059" t="s">
        <v>31590</v>
      </c>
      <c r="I7059" t="s">
        <v>31594</v>
      </c>
      <c r="J7059" t="s">
        <v>32178</v>
      </c>
      <c r="K7059" t="s">
        <v>41184</v>
      </c>
      <c r="M7059" t="s">
        <v>42407</v>
      </c>
      <c r="N7059" t="s">
        <v>45095</v>
      </c>
      <c r="O7059" t="s">
        <v>45096</v>
      </c>
      <c r="P7059">
        <v>0</v>
      </c>
      <c r="Q7059">
        <v>4</v>
      </c>
      <c r="R7059" t="s">
        <v>45103</v>
      </c>
      <c r="S7059" t="s">
        <v>45270</v>
      </c>
      <c r="T7059" t="s">
        <v>47080</v>
      </c>
      <c r="U7059" t="s">
        <v>53363</v>
      </c>
      <c r="W7059" t="s">
        <v>42407</v>
      </c>
      <c r="X7059" t="s">
        <v>45104</v>
      </c>
    </row>
    <row r="7060" spans="1:24">
      <c r="A7060">
        <f>HYPERLINK("https://www.philgeps.gov.ph/GEPSNONPILOT/Tender/SplashBidNoticeAbstractUI.aspx?menuIndex=3&amp;refID=7035707&amp;Result=3","7035707")</f>
        <v>0</v>
      </c>
      <c r="B7060" t="s">
        <v>2118</v>
      </c>
      <c r="C7060" t="s">
        <v>9946</v>
      </c>
      <c r="E7060" t="s">
        <v>24357</v>
      </c>
      <c r="F7060" t="s">
        <v>31574</v>
      </c>
      <c r="G7060" t="s">
        <v>31582</v>
      </c>
      <c r="H7060" t="s">
        <v>31590</v>
      </c>
      <c r="I7060" t="s">
        <v>31640</v>
      </c>
      <c r="J7060" t="s">
        <v>36274</v>
      </c>
      <c r="K7060" t="s">
        <v>41184</v>
      </c>
      <c r="M7060" t="s">
        <v>43799</v>
      </c>
      <c r="N7060" t="s">
        <v>45095</v>
      </c>
      <c r="O7060" t="s">
        <v>45096</v>
      </c>
      <c r="P7060">
        <v>0</v>
      </c>
      <c r="Q7060">
        <v>1</v>
      </c>
      <c r="R7060" t="s">
        <v>45103</v>
      </c>
      <c r="S7060" t="s">
        <v>45270</v>
      </c>
      <c r="T7060" t="s">
        <v>47050</v>
      </c>
      <c r="U7060" t="s">
        <v>53375</v>
      </c>
      <c r="W7060" t="s">
        <v>43799</v>
      </c>
      <c r="X7060" t="s">
        <v>45104</v>
      </c>
    </row>
    <row r="7061" spans="1:24">
      <c r="A7061">
        <f>HYPERLINK("https://www.philgeps.gov.ph/GEPSNONPILOT/Tender/SplashBidNoticeAbstractUI.aspx?menuIndex=3&amp;refID=7035715&amp;Result=3","7035715")</f>
        <v>0</v>
      </c>
      <c r="B7061" t="s">
        <v>2119</v>
      </c>
      <c r="C7061" t="s">
        <v>9947</v>
      </c>
      <c r="D7061" t="s">
        <v>18107</v>
      </c>
      <c r="E7061" t="s">
        <v>19923</v>
      </c>
      <c r="F7061" t="s">
        <v>31574</v>
      </c>
      <c r="G7061" t="s">
        <v>31582</v>
      </c>
      <c r="H7061" t="s">
        <v>31591</v>
      </c>
      <c r="I7061" t="s">
        <v>4046</v>
      </c>
      <c r="J7061" t="s">
        <v>36275</v>
      </c>
      <c r="K7061" t="s">
        <v>41196</v>
      </c>
      <c r="M7061" t="s">
        <v>43800</v>
      </c>
      <c r="N7061" t="s">
        <v>45095</v>
      </c>
      <c r="O7061" t="s">
        <v>45096</v>
      </c>
      <c r="P7061">
        <v>0</v>
      </c>
      <c r="Q7061">
        <v>0</v>
      </c>
      <c r="R7061" t="s">
        <v>45103</v>
      </c>
      <c r="S7061" t="s">
        <v>45270</v>
      </c>
      <c r="T7061" t="s">
        <v>46914</v>
      </c>
      <c r="U7061" t="s">
        <v>53376</v>
      </c>
      <c r="V7061" t="s">
        <v>60611</v>
      </c>
      <c r="W7061" t="s">
        <v>43800</v>
      </c>
      <c r="X7061" t="s">
        <v>45104</v>
      </c>
    </row>
    <row r="7062" spans="1:24">
      <c r="A7062">
        <f>HYPERLINK("https://www.philgeps.gov.ph/GEPSNONPILOT/Tender/SplashBidNoticeAbstractUI.aspx?menuIndex=3&amp;refID=7035745&amp;Result=3","7035745")</f>
        <v>0</v>
      </c>
      <c r="B7062" t="s">
        <v>1585</v>
      </c>
      <c r="C7062" t="s">
        <v>9948</v>
      </c>
      <c r="D7062" t="s">
        <v>18043</v>
      </c>
      <c r="E7062" t="s">
        <v>24358</v>
      </c>
      <c r="F7062" t="s">
        <v>31574</v>
      </c>
      <c r="G7062" t="s">
        <v>31582</v>
      </c>
      <c r="H7062" t="s">
        <v>31590</v>
      </c>
      <c r="I7062" t="s">
        <v>31614</v>
      </c>
      <c r="J7062" t="s">
        <v>35927</v>
      </c>
      <c r="K7062" t="s">
        <v>41196</v>
      </c>
      <c r="M7062" t="s">
        <v>43189</v>
      </c>
      <c r="N7062" t="s">
        <v>45095</v>
      </c>
      <c r="O7062" t="s">
        <v>45096</v>
      </c>
      <c r="P7062">
        <v>0</v>
      </c>
      <c r="Q7062">
        <v>5</v>
      </c>
      <c r="R7062" t="s">
        <v>45103</v>
      </c>
      <c r="S7062" t="s">
        <v>45270</v>
      </c>
      <c r="T7062" t="s">
        <v>46918</v>
      </c>
      <c r="U7062" t="s">
        <v>53377</v>
      </c>
      <c r="V7062" t="s">
        <v>60612</v>
      </c>
      <c r="W7062" t="s">
        <v>43189</v>
      </c>
      <c r="X7062" t="s">
        <v>45104</v>
      </c>
    </row>
    <row r="7063" spans="1:24">
      <c r="A7063">
        <f>HYPERLINK("https://www.philgeps.gov.ph/GEPSNONPILOT/Tender/SplashBidNoticeAbstractUI.aspx?menuIndex=3&amp;refID=7035730&amp;Result=3","7035730")</f>
        <v>0</v>
      </c>
      <c r="B7063" t="s">
        <v>1811</v>
      </c>
      <c r="C7063" t="s">
        <v>9949</v>
      </c>
      <c r="D7063" t="s">
        <v>18037</v>
      </c>
      <c r="E7063" t="s">
        <v>18227</v>
      </c>
      <c r="F7063" t="s">
        <v>31574</v>
      </c>
      <c r="G7063" t="s">
        <v>31582</v>
      </c>
      <c r="H7063" t="s">
        <v>31590</v>
      </c>
      <c r="I7063" t="s">
        <v>4046</v>
      </c>
      <c r="J7063" t="s">
        <v>36276</v>
      </c>
      <c r="K7063" t="s">
        <v>41186</v>
      </c>
      <c r="M7063" t="s">
        <v>43445</v>
      </c>
      <c r="N7063" t="s">
        <v>45095</v>
      </c>
      <c r="O7063" t="s">
        <v>45096</v>
      </c>
      <c r="P7063">
        <v>0</v>
      </c>
      <c r="Q7063">
        <v>1</v>
      </c>
      <c r="R7063" t="s">
        <v>45103</v>
      </c>
      <c r="S7063" t="s">
        <v>45270</v>
      </c>
      <c r="T7063" t="s">
        <v>47125</v>
      </c>
      <c r="U7063" t="s">
        <v>53378</v>
      </c>
      <c r="W7063" t="s">
        <v>43445</v>
      </c>
      <c r="X7063" t="s">
        <v>45104</v>
      </c>
    </row>
    <row r="7064" spans="1:24">
      <c r="A7064">
        <f>HYPERLINK("https://www.philgeps.gov.ph/GEPSNONPILOT/Tender/SplashBidNoticeAbstractUI.aspx?menuIndex=3&amp;refID=7035727&amp;Result=3","7035727")</f>
        <v>0</v>
      </c>
      <c r="B7064" t="s">
        <v>1229</v>
      </c>
      <c r="C7064" t="s">
        <v>9950</v>
      </c>
      <c r="D7064" t="s">
        <v>18022</v>
      </c>
      <c r="E7064" t="s">
        <v>24359</v>
      </c>
      <c r="F7064" t="s">
        <v>31574</v>
      </c>
      <c r="G7064" t="s">
        <v>31582</v>
      </c>
      <c r="H7064" t="s">
        <v>31592</v>
      </c>
      <c r="I7064" t="s">
        <v>31595</v>
      </c>
      <c r="J7064" t="s">
        <v>36277</v>
      </c>
      <c r="K7064" t="s">
        <v>41193</v>
      </c>
      <c r="M7064" t="s">
        <v>43730</v>
      </c>
      <c r="N7064" t="s">
        <v>45095</v>
      </c>
      <c r="O7064" t="s">
        <v>45096</v>
      </c>
      <c r="P7064">
        <v>0</v>
      </c>
      <c r="Q7064">
        <v>0</v>
      </c>
      <c r="R7064" t="s">
        <v>45103</v>
      </c>
      <c r="S7064" t="s">
        <v>45270</v>
      </c>
      <c r="T7064" t="s">
        <v>47010</v>
      </c>
      <c r="U7064" t="s">
        <v>53342</v>
      </c>
      <c r="W7064" t="s">
        <v>43730</v>
      </c>
      <c r="X7064" t="s">
        <v>45104</v>
      </c>
    </row>
    <row r="7065" spans="1:24">
      <c r="A7065">
        <f>HYPERLINK("https://www.philgeps.gov.ph/GEPSNONPILOT/Tender/SplashBidNoticeAbstractUI.aspx?menuIndex=3&amp;refID=7035737&amp;Result=3","7035737")</f>
        <v>0</v>
      </c>
      <c r="B7065" t="s">
        <v>2118</v>
      </c>
      <c r="C7065" t="s">
        <v>9946</v>
      </c>
      <c r="E7065" t="s">
        <v>24360</v>
      </c>
      <c r="F7065" t="s">
        <v>31574</v>
      </c>
      <c r="G7065" t="s">
        <v>31582</v>
      </c>
      <c r="H7065" t="s">
        <v>31590</v>
      </c>
      <c r="I7065" t="s">
        <v>3487</v>
      </c>
      <c r="J7065" t="s">
        <v>31727</v>
      </c>
      <c r="K7065" t="s">
        <v>41184</v>
      </c>
      <c r="M7065" t="s">
        <v>43799</v>
      </c>
      <c r="N7065" t="s">
        <v>45095</v>
      </c>
      <c r="O7065" t="s">
        <v>45096</v>
      </c>
      <c r="P7065">
        <v>0</v>
      </c>
      <c r="Q7065">
        <v>0</v>
      </c>
      <c r="R7065" t="s">
        <v>45103</v>
      </c>
      <c r="S7065" t="s">
        <v>45270</v>
      </c>
      <c r="T7065" t="s">
        <v>47050</v>
      </c>
      <c r="U7065" t="s">
        <v>53379</v>
      </c>
      <c r="W7065" t="s">
        <v>43799</v>
      </c>
      <c r="X7065" t="s">
        <v>45104</v>
      </c>
    </row>
    <row r="7066" spans="1:24">
      <c r="A7066">
        <f>HYPERLINK("https://www.philgeps.gov.ph/GEPSNONPILOT/Tender/SplashBidNoticeAbstractUI.aspx?menuIndex=3&amp;refID=7035747&amp;Result=3","7035747")</f>
        <v>0</v>
      </c>
      <c r="B7066" t="s">
        <v>2094</v>
      </c>
      <c r="C7066" t="s">
        <v>9951</v>
      </c>
      <c r="D7066" t="s">
        <v>18038</v>
      </c>
      <c r="E7066" t="s">
        <v>24361</v>
      </c>
      <c r="F7066" t="s">
        <v>31574</v>
      </c>
      <c r="G7066" t="s">
        <v>31581</v>
      </c>
      <c r="H7066" t="s">
        <v>31590</v>
      </c>
      <c r="I7066" t="s">
        <v>3489</v>
      </c>
      <c r="J7066" t="s">
        <v>36278</v>
      </c>
      <c r="K7066" t="s">
        <v>41190</v>
      </c>
      <c r="M7066" t="s">
        <v>43771</v>
      </c>
      <c r="N7066" t="s">
        <v>45095</v>
      </c>
      <c r="O7066" t="s">
        <v>45096</v>
      </c>
      <c r="P7066">
        <v>0</v>
      </c>
      <c r="Q7066">
        <v>0</v>
      </c>
      <c r="R7066" t="s">
        <v>45103</v>
      </c>
      <c r="S7066" t="s">
        <v>45270</v>
      </c>
      <c r="T7066" t="s">
        <v>47183</v>
      </c>
      <c r="U7066" t="s">
        <v>53341</v>
      </c>
      <c r="V7066" t="s">
        <v>60606</v>
      </c>
      <c r="W7066" t="s">
        <v>43771</v>
      </c>
      <c r="X7066" t="s">
        <v>45104</v>
      </c>
    </row>
    <row r="7067" spans="1:24">
      <c r="A7067">
        <f>HYPERLINK("https://www.philgeps.gov.ph/GEPSNONPILOT/Tender/SplashBidNoticeAbstractUI.aspx?menuIndex=3&amp;refID=7035729&amp;Result=3","7035729")</f>
        <v>0</v>
      </c>
      <c r="B7067" t="s">
        <v>886</v>
      </c>
      <c r="C7067" t="s">
        <v>9952</v>
      </c>
      <c r="E7067" t="s">
        <v>24362</v>
      </c>
      <c r="F7067" t="s">
        <v>31574</v>
      </c>
      <c r="G7067" t="s">
        <v>31581</v>
      </c>
      <c r="H7067" t="s">
        <v>31590</v>
      </c>
      <c r="I7067" t="s">
        <v>31656</v>
      </c>
      <c r="J7067" t="s">
        <v>32178</v>
      </c>
      <c r="K7067" t="s">
        <v>41184</v>
      </c>
      <c r="M7067" t="s">
        <v>42407</v>
      </c>
      <c r="N7067" t="s">
        <v>45095</v>
      </c>
      <c r="O7067" t="s">
        <v>45096</v>
      </c>
      <c r="P7067">
        <v>0</v>
      </c>
      <c r="Q7067">
        <v>0</v>
      </c>
      <c r="R7067" t="s">
        <v>45103</v>
      </c>
      <c r="S7067" t="s">
        <v>45270</v>
      </c>
      <c r="T7067" t="s">
        <v>47080</v>
      </c>
      <c r="U7067" t="s">
        <v>53363</v>
      </c>
      <c r="W7067" t="s">
        <v>42407</v>
      </c>
      <c r="X7067" t="s">
        <v>45104</v>
      </c>
    </row>
    <row r="7068" spans="1:24">
      <c r="A7068">
        <f>HYPERLINK("https://www.philgeps.gov.ph/GEPSNONPILOT/Tender/SplashBidNoticeAbstractUI.aspx?menuIndex=3&amp;refID=7035738&amp;Result=3","7035738")</f>
        <v>0</v>
      </c>
      <c r="B7068" t="s">
        <v>2120</v>
      </c>
      <c r="C7068" t="s">
        <v>9953</v>
      </c>
      <c r="D7068" t="s">
        <v>18035</v>
      </c>
      <c r="E7068" t="s">
        <v>24363</v>
      </c>
      <c r="F7068" t="s">
        <v>31574</v>
      </c>
      <c r="G7068" t="s">
        <v>31584</v>
      </c>
      <c r="H7068" t="s">
        <v>31590</v>
      </c>
      <c r="I7068" t="s">
        <v>4327</v>
      </c>
      <c r="J7068" t="s">
        <v>36279</v>
      </c>
      <c r="K7068" t="s">
        <v>41211</v>
      </c>
      <c r="M7068" t="s">
        <v>43801</v>
      </c>
      <c r="N7068" t="s">
        <v>45095</v>
      </c>
      <c r="O7068" t="s">
        <v>45096</v>
      </c>
      <c r="P7068">
        <v>0</v>
      </c>
      <c r="Q7068">
        <v>0</v>
      </c>
      <c r="R7068" t="s">
        <v>45103</v>
      </c>
      <c r="S7068" t="s">
        <v>45270</v>
      </c>
      <c r="T7068" t="s">
        <v>47178</v>
      </c>
      <c r="U7068" t="s">
        <v>53380</v>
      </c>
      <c r="W7068" t="s">
        <v>43801</v>
      </c>
      <c r="X7068" t="s">
        <v>45104</v>
      </c>
    </row>
    <row r="7069" spans="1:24">
      <c r="A7069">
        <f>HYPERLINK("https://www.philgeps.gov.ph/GEPSNONPILOT/Tender/SplashBidNoticeAbstractUI.aspx?menuIndex=3&amp;refID=7035752&amp;Result=3","7035752")</f>
        <v>0</v>
      </c>
      <c r="B7069" t="s">
        <v>1819</v>
      </c>
      <c r="C7069" t="s">
        <v>9954</v>
      </c>
      <c r="D7069" t="s">
        <v>18027</v>
      </c>
      <c r="E7069" t="s">
        <v>24364</v>
      </c>
      <c r="F7069" t="s">
        <v>31574</v>
      </c>
      <c r="G7069" t="s">
        <v>31583</v>
      </c>
      <c r="H7069" t="s">
        <v>31590</v>
      </c>
      <c r="I7069" t="s">
        <v>31602</v>
      </c>
      <c r="J7069" t="s">
        <v>36280</v>
      </c>
      <c r="K7069" t="s">
        <v>41189</v>
      </c>
      <c r="L7069" t="s">
        <v>1819</v>
      </c>
      <c r="M7069" t="s">
        <v>43790</v>
      </c>
      <c r="N7069" t="s">
        <v>45095</v>
      </c>
      <c r="O7069" t="s">
        <v>45096</v>
      </c>
      <c r="P7069">
        <v>0</v>
      </c>
      <c r="Q7069">
        <v>2</v>
      </c>
      <c r="R7069" t="s">
        <v>45103</v>
      </c>
      <c r="S7069" t="s">
        <v>45270</v>
      </c>
      <c r="T7069" t="s">
        <v>47159</v>
      </c>
      <c r="U7069" t="s">
        <v>53381</v>
      </c>
      <c r="W7069" t="s">
        <v>43790</v>
      </c>
      <c r="X7069" t="s">
        <v>45104</v>
      </c>
    </row>
    <row r="7070" spans="1:24">
      <c r="A7070">
        <f>HYPERLINK("https://www.philgeps.gov.ph/GEPSNONPILOT/Tender/SplashBidNoticeAbstractUI.aspx?menuIndex=3&amp;refID=7035768&amp;Result=3","7035768")</f>
        <v>0</v>
      </c>
      <c r="B7070" t="s">
        <v>292</v>
      </c>
      <c r="C7070" t="s">
        <v>9955</v>
      </c>
      <c r="D7070" t="s">
        <v>18022</v>
      </c>
      <c r="E7070" t="s">
        <v>24365</v>
      </c>
      <c r="F7070" t="s">
        <v>31574</v>
      </c>
      <c r="G7070" t="s">
        <v>31582</v>
      </c>
      <c r="H7070" t="s">
        <v>31590</v>
      </c>
      <c r="I7070" t="s">
        <v>31629</v>
      </c>
      <c r="J7070" t="s">
        <v>36281</v>
      </c>
      <c r="K7070" t="s">
        <v>41190</v>
      </c>
      <c r="M7070" t="s">
        <v>41778</v>
      </c>
      <c r="N7070" t="s">
        <v>45095</v>
      </c>
      <c r="O7070" t="s">
        <v>45096</v>
      </c>
      <c r="P7070">
        <v>0</v>
      </c>
      <c r="Q7070">
        <v>1</v>
      </c>
      <c r="R7070" t="s">
        <v>45103</v>
      </c>
      <c r="S7070" t="s">
        <v>45270</v>
      </c>
      <c r="T7070" t="s">
        <v>47004</v>
      </c>
      <c r="U7070" t="s">
        <v>53382</v>
      </c>
      <c r="W7070" t="s">
        <v>41778</v>
      </c>
      <c r="X7070" t="s">
        <v>45104</v>
      </c>
    </row>
    <row r="7071" spans="1:24">
      <c r="A7071">
        <f>HYPERLINK("https://www.philgeps.gov.ph/GEPSNONPILOT/Tender/SplashBidNoticeAbstractUI.aspx?menuIndex=3&amp;refID=7035735&amp;Result=3","7035735")</f>
        <v>0</v>
      </c>
      <c r="B7071" t="s">
        <v>2112</v>
      </c>
      <c r="C7071" t="s">
        <v>9956</v>
      </c>
      <c r="D7071" t="s">
        <v>18041</v>
      </c>
      <c r="E7071" t="s">
        <v>24366</v>
      </c>
      <c r="F7071" t="s">
        <v>31574</v>
      </c>
      <c r="G7071" t="s">
        <v>31582</v>
      </c>
      <c r="H7071" t="s">
        <v>31590</v>
      </c>
      <c r="I7071" t="s">
        <v>31608</v>
      </c>
      <c r="J7071" t="s">
        <v>36282</v>
      </c>
      <c r="K7071" t="s">
        <v>41184</v>
      </c>
      <c r="M7071" t="s">
        <v>43792</v>
      </c>
      <c r="N7071" t="s">
        <v>45095</v>
      </c>
      <c r="O7071" t="s">
        <v>45096</v>
      </c>
      <c r="P7071">
        <v>0</v>
      </c>
      <c r="Q7071">
        <v>1</v>
      </c>
      <c r="R7071" t="s">
        <v>45103</v>
      </c>
      <c r="S7071" t="s">
        <v>45270</v>
      </c>
      <c r="T7071" t="s">
        <v>47188</v>
      </c>
      <c r="U7071" t="s">
        <v>53383</v>
      </c>
      <c r="V7071" t="s">
        <v>60610</v>
      </c>
      <c r="W7071" t="s">
        <v>43792</v>
      </c>
      <c r="X7071" t="s">
        <v>45104</v>
      </c>
    </row>
    <row r="7072" spans="1:24">
      <c r="A7072">
        <f>HYPERLINK("https://www.philgeps.gov.ph/GEPSNONPILOT/Tender/SplashBidNoticeAbstractUI.aspx?menuIndex=3&amp;refID=7035767&amp;Result=3","7035767")</f>
        <v>0</v>
      </c>
      <c r="B7072" t="s">
        <v>2093</v>
      </c>
      <c r="C7072" t="s">
        <v>9957</v>
      </c>
      <c r="D7072" t="s">
        <v>18053</v>
      </c>
      <c r="E7072" t="s">
        <v>24367</v>
      </c>
      <c r="F7072" t="s">
        <v>31574</v>
      </c>
      <c r="G7072" t="s">
        <v>31582</v>
      </c>
      <c r="H7072" t="s">
        <v>31590</v>
      </c>
      <c r="I7072" t="s">
        <v>31619</v>
      </c>
      <c r="J7072" t="s">
        <v>31804</v>
      </c>
      <c r="K7072" t="s">
        <v>41186</v>
      </c>
      <c r="M7072" t="s">
        <v>43770</v>
      </c>
      <c r="N7072" t="s">
        <v>45095</v>
      </c>
      <c r="O7072" t="s">
        <v>45096</v>
      </c>
      <c r="P7072">
        <v>0</v>
      </c>
      <c r="Q7072">
        <v>7</v>
      </c>
      <c r="R7072" t="s">
        <v>45103</v>
      </c>
      <c r="S7072" t="s">
        <v>45270</v>
      </c>
      <c r="T7072" t="s">
        <v>47174</v>
      </c>
      <c r="U7072" t="s">
        <v>53384</v>
      </c>
      <c r="V7072" t="s">
        <v>60605</v>
      </c>
      <c r="W7072" t="s">
        <v>43770</v>
      </c>
      <c r="X7072" t="s">
        <v>45104</v>
      </c>
    </row>
    <row r="7073" spans="1:24">
      <c r="A7073">
        <f>HYPERLINK("https://www.philgeps.gov.ph/GEPSNONPILOT/Tender/SplashBidNoticeAbstractUI.aspx?menuIndex=3&amp;refID=7035743&amp;Result=3","7035743")</f>
        <v>0</v>
      </c>
      <c r="B7073" t="s">
        <v>1229</v>
      </c>
      <c r="C7073" t="s">
        <v>9958</v>
      </c>
      <c r="D7073" t="s">
        <v>18022</v>
      </c>
      <c r="E7073" t="s">
        <v>24368</v>
      </c>
      <c r="F7073" t="s">
        <v>31574</v>
      </c>
      <c r="G7073" t="s">
        <v>31582</v>
      </c>
      <c r="H7073" t="s">
        <v>31592</v>
      </c>
      <c r="I7073" t="s">
        <v>31630</v>
      </c>
      <c r="J7073" t="s">
        <v>36283</v>
      </c>
      <c r="K7073" t="s">
        <v>41193</v>
      </c>
      <c r="M7073" t="s">
        <v>43730</v>
      </c>
      <c r="N7073" t="s">
        <v>45095</v>
      </c>
      <c r="O7073" t="s">
        <v>45096</v>
      </c>
      <c r="P7073">
        <v>0</v>
      </c>
      <c r="Q7073">
        <v>0</v>
      </c>
      <c r="R7073" t="s">
        <v>45103</v>
      </c>
      <c r="S7073" t="s">
        <v>45270</v>
      </c>
      <c r="T7073" t="s">
        <v>47010</v>
      </c>
      <c r="U7073" t="s">
        <v>53302</v>
      </c>
      <c r="W7073" t="s">
        <v>43730</v>
      </c>
      <c r="X7073" t="s">
        <v>45104</v>
      </c>
    </row>
    <row r="7074" spans="1:24">
      <c r="A7074">
        <f>HYPERLINK("https://www.philgeps.gov.ph/GEPSNONPILOT/Tender/SplashBidNoticeAbstractUI.aspx?menuIndex=3&amp;refID=7035766&amp;Result=3","7035766")</f>
        <v>0</v>
      </c>
      <c r="B7074" t="s">
        <v>2121</v>
      </c>
      <c r="C7074" t="s">
        <v>9959</v>
      </c>
      <c r="D7074" t="s">
        <v>18044</v>
      </c>
      <c r="E7074" t="s">
        <v>20000</v>
      </c>
      <c r="F7074" t="s">
        <v>31574</v>
      </c>
      <c r="G7074" t="s">
        <v>31582</v>
      </c>
      <c r="H7074" t="s">
        <v>31591</v>
      </c>
      <c r="I7074" t="s">
        <v>8822</v>
      </c>
      <c r="J7074" t="s">
        <v>32799</v>
      </c>
      <c r="K7074" t="s">
        <v>41259</v>
      </c>
      <c r="M7074" t="s">
        <v>43802</v>
      </c>
      <c r="N7074" t="s">
        <v>45095</v>
      </c>
      <c r="O7074" t="s">
        <v>45096</v>
      </c>
      <c r="P7074">
        <v>0</v>
      </c>
      <c r="Q7074">
        <v>0</v>
      </c>
      <c r="R7074" t="s">
        <v>45103</v>
      </c>
      <c r="S7074" t="s">
        <v>45270</v>
      </c>
      <c r="T7074" t="s">
        <v>47067</v>
      </c>
      <c r="U7074" t="s">
        <v>53385</v>
      </c>
      <c r="W7074" t="s">
        <v>43802</v>
      </c>
      <c r="X7074" t="s">
        <v>45104</v>
      </c>
    </row>
    <row r="7075" spans="1:24">
      <c r="A7075">
        <f>HYPERLINK("https://www.philgeps.gov.ph/GEPSNONPILOT/Tender/SplashBidNoticeAbstractUI.aspx?menuIndex=3&amp;refID=7035770&amp;Result=3","7035770")</f>
        <v>0</v>
      </c>
      <c r="B7075" t="s">
        <v>1987</v>
      </c>
      <c r="C7075" t="s">
        <v>9960</v>
      </c>
      <c r="D7075" t="s">
        <v>18044</v>
      </c>
      <c r="E7075" t="s">
        <v>24369</v>
      </c>
      <c r="F7075" t="s">
        <v>31574</v>
      </c>
      <c r="G7075" t="s">
        <v>31582</v>
      </c>
      <c r="H7075" t="s">
        <v>31591</v>
      </c>
      <c r="I7075" t="s">
        <v>8822</v>
      </c>
      <c r="J7075" t="s">
        <v>31964</v>
      </c>
      <c r="K7075" t="s">
        <v>41238</v>
      </c>
      <c r="M7075" t="s">
        <v>43647</v>
      </c>
      <c r="N7075" t="s">
        <v>45095</v>
      </c>
      <c r="O7075" t="s">
        <v>45096</v>
      </c>
      <c r="P7075">
        <v>0</v>
      </c>
      <c r="Q7075">
        <v>0</v>
      </c>
      <c r="R7075" t="s">
        <v>45103</v>
      </c>
      <c r="S7075" t="s">
        <v>45270</v>
      </c>
      <c r="T7075" t="s">
        <v>46955</v>
      </c>
      <c r="U7075" t="s">
        <v>53386</v>
      </c>
      <c r="W7075" t="s">
        <v>43647</v>
      </c>
      <c r="X7075" t="s">
        <v>45104</v>
      </c>
    </row>
    <row r="7076" spans="1:24">
      <c r="A7076">
        <f>HYPERLINK("https://www.philgeps.gov.ph/GEPSNONPILOT/Tender/SplashBidNoticeAbstractUI.aspx?menuIndex=3&amp;refID=7035731&amp;Result=3","7035731")</f>
        <v>0</v>
      </c>
      <c r="B7076" t="s">
        <v>1412</v>
      </c>
      <c r="C7076" t="s">
        <v>9961</v>
      </c>
      <c r="D7076" t="s">
        <v>18075</v>
      </c>
      <c r="E7076" t="s">
        <v>24370</v>
      </c>
      <c r="F7076" t="s">
        <v>31574</v>
      </c>
      <c r="G7076" t="s">
        <v>31582</v>
      </c>
      <c r="H7076" t="s">
        <v>31591</v>
      </c>
      <c r="I7076" t="s">
        <v>8822</v>
      </c>
      <c r="J7076" t="s">
        <v>32049</v>
      </c>
      <c r="K7076" t="s">
        <v>41184</v>
      </c>
      <c r="M7076" t="s">
        <v>42988</v>
      </c>
      <c r="N7076" t="s">
        <v>45095</v>
      </c>
      <c r="O7076" t="s">
        <v>45096</v>
      </c>
      <c r="Q7076">
        <v>0</v>
      </c>
      <c r="R7076" t="s">
        <v>45103</v>
      </c>
      <c r="S7076" t="s">
        <v>45279</v>
      </c>
      <c r="T7076" t="s">
        <v>46930</v>
      </c>
      <c r="U7076" t="s">
        <v>53387</v>
      </c>
      <c r="W7076" t="s">
        <v>42988</v>
      </c>
      <c r="X7076" t="s">
        <v>45104</v>
      </c>
    </row>
    <row r="7077" spans="1:24">
      <c r="A7077">
        <f>HYPERLINK("https://www.philgeps.gov.ph/GEPSNONPILOT/Tender/SplashBidNoticeAbstractUI.aspx?menuIndex=3&amp;refID=7035760&amp;Result=3","7035760")</f>
        <v>0</v>
      </c>
      <c r="B7077" t="s">
        <v>2118</v>
      </c>
      <c r="C7077" t="s">
        <v>9962</v>
      </c>
      <c r="E7077" t="s">
        <v>24371</v>
      </c>
      <c r="F7077" t="s">
        <v>31574</v>
      </c>
      <c r="G7077" t="s">
        <v>31583</v>
      </c>
      <c r="H7077" t="s">
        <v>31590</v>
      </c>
      <c r="I7077" t="s">
        <v>7185</v>
      </c>
      <c r="J7077" t="s">
        <v>31845</v>
      </c>
      <c r="K7077" t="s">
        <v>41184</v>
      </c>
      <c r="M7077" t="s">
        <v>43799</v>
      </c>
      <c r="N7077" t="s">
        <v>45095</v>
      </c>
      <c r="O7077" t="s">
        <v>45096</v>
      </c>
      <c r="P7077">
        <v>0</v>
      </c>
      <c r="Q7077">
        <v>2</v>
      </c>
      <c r="R7077" t="s">
        <v>45103</v>
      </c>
      <c r="S7077" t="s">
        <v>45270</v>
      </c>
      <c r="T7077" t="s">
        <v>47050</v>
      </c>
      <c r="U7077" t="s">
        <v>53388</v>
      </c>
      <c r="W7077" t="s">
        <v>43799</v>
      </c>
      <c r="X7077" t="s">
        <v>45104</v>
      </c>
    </row>
    <row r="7078" spans="1:24">
      <c r="A7078">
        <f>HYPERLINK("https://www.philgeps.gov.ph/GEPSNONPILOT/Tender/SplashBidNoticeAbstractUI.aspx?menuIndex=3&amp;refID=7035733&amp;Result=3","7035733")</f>
        <v>0</v>
      </c>
      <c r="B7078" t="s">
        <v>577</v>
      </c>
      <c r="C7078" t="s">
        <v>9963</v>
      </c>
      <c r="D7078" t="s">
        <v>18027</v>
      </c>
      <c r="E7078" t="s">
        <v>24372</v>
      </c>
      <c r="F7078" t="s">
        <v>31574</v>
      </c>
      <c r="G7078" t="s">
        <v>31581</v>
      </c>
      <c r="H7078" t="s">
        <v>31590</v>
      </c>
      <c r="I7078" t="s">
        <v>31623</v>
      </c>
      <c r="J7078" t="s">
        <v>36284</v>
      </c>
      <c r="K7078" t="s">
        <v>41184</v>
      </c>
      <c r="M7078" t="s">
        <v>42078</v>
      </c>
      <c r="N7078" t="s">
        <v>45095</v>
      </c>
      <c r="O7078" t="s">
        <v>45096</v>
      </c>
      <c r="P7078">
        <v>0</v>
      </c>
      <c r="Q7078">
        <v>3</v>
      </c>
      <c r="R7078" t="s">
        <v>45103</v>
      </c>
      <c r="S7078" t="s">
        <v>45270</v>
      </c>
      <c r="T7078" t="s">
        <v>47176</v>
      </c>
      <c r="U7078" t="s">
        <v>53389</v>
      </c>
      <c r="W7078" t="s">
        <v>42078</v>
      </c>
      <c r="X7078" t="s">
        <v>45104</v>
      </c>
    </row>
    <row r="7079" spans="1:24">
      <c r="A7079">
        <f>HYPERLINK("https://www.philgeps.gov.ph/GEPSNONPILOT/Tender/SplashBidNoticeAbstractUI.aspx?menuIndex=3&amp;refID=7035764&amp;Result=3","7035764")</f>
        <v>0</v>
      </c>
      <c r="B7079" t="s">
        <v>2122</v>
      </c>
      <c r="C7079" t="s">
        <v>9964</v>
      </c>
      <c r="D7079" t="s">
        <v>18050</v>
      </c>
      <c r="E7079" t="s">
        <v>24373</v>
      </c>
      <c r="F7079" t="s">
        <v>31574</v>
      </c>
      <c r="G7079" t="s">
        <v>31584</v>
      </c>
      <c r="H7079" t="s">
        <v>31590</v>
      </c>
      <c r="I7079" t="s">
        <v>6800</v>
      </c>
      <c r="J7079" t="s">
        <v>31726</v>
      </c>
      <c r="K7079" t="s">
        <v>41186</v>
      </c>
      <c r="M7079" t="s">
        <v>43803</v>
      </c>
      <c r="N7079" t="s">
        <v>45095</v>
      </c>
      <c r="O7079" t="s">
        <v>45096</v>
      </c>
      <c r="P7079">
        <v>0</v>
      </c>
      <c r="Q7079">
        <v>1</v>
      </c>
      <c r="R7079" t="s">
        <v>45103</v>
      </c>
      <c r="S7079" t="s">
        <v>45270</v>
      </c>
      <c r="T7079" t="s">
        <v>47176</v>
      </c>
      <c r="U7079" t="s">
        <v>53390</v>
      </c>
      <c r="W7079" t="s">
        <v>43803</v>
      </c>
      <c r="X7079" t="s">
        <v>45104</v>
      </c>
    </row>
    <row r="7080" spans="1:24">
      <c r="A7080">
        <f>HYPERLINK("https://www.philgeps.gov.ph/GEPSNONPILOT/Tender/SplashBidNoticeAbstractUI.aspx?menuIndex=3&amp;refID=7035771&amp;Result=3","7035771")</f>
        <v>0</v>
      </c>
      <c r="B7080" t="s">
        <v>2112</v>
      </c>
      <c r="C7080" t="s">
        <v>9965</v>
      </c>
      <c r="D7080" t="s">
        <v>18041</v>
      </c>
      <c r="E7080" t="s">
        <v>24374</v>
      </c>
      <c r="F7080" t="s">
        <v>31574</v>
      </c>
      <c r="G7080" t="s">
        <v>31582</v>
      </c>
      <c r="H7080" t="s">
        <v>31590</v>
      </c>
      <c r="I7080" t="s">
        <v>31602</v>
      </c>
      <c r="J7080" t="s">
        <v>31781</v>
      </c>
      <c r="K7080" t="s">
        <v>41184</v>
      </c>
      <c r="M7080" t="s">
        <v>43792</v>
      </c>
      <c r="N7080" t="s">
        <v>45095</v>
      </c>
      <c r="O7080" t="s">
        <v>45096</v>
      </c>
      <c r="P7080">
        <v>0</v>
      </c>
      <c r="Q7080">
        <v>1</v>
      </c>
      <c r="R7080" t="s">
        <v>45103</v>
      </c>
      <c r="S7080" t="s">
        <v>45270</v>
      </c>
      <c r="T7080" t="s">
        <v>47188</v>
      </c>
      <c r="U7080" t="s">
        <v>53391</v>
      </c>
      <c r="V7080" t="s">
        <v>60610</v>
      </c>
      <c r="W7080" t="s">
        <v>43792</v>
      </c>
      <c r="X7080" t="s">
        <v>45104</v>
      </c>
    </row>
    <row r="7081" spans="1:24">
      <c r="A7081">
        <f>HYPERLINK("https://www.philgeps.gov.ph/GEPSNONPILOT/Tender/SplashBidNoticeAbstractUI.aspx?menuIndex=3&amp;refID=7035761&amp;Result=3","7035761")</f>
        <v>0</v>
      </c>
      <c r="B7081" t="s">
        <v>194</v>
      </c>
      <c r="C7081" t="s">
        <v>9966</v>
      </c>
      <c r="D7081" t="s">
        <v>18065</v>
      </c>
      <c r="E7081" t="s">
        <v>24375</v>
      </c>
      <c r="F7081" t="s">
        <v>31574</v>
      </c>
      <c r="G7081" t="s">
        <v>31581</v>
      </c>
      <c r="H7081" t="s">
        <v>31590</v>
      </c>
      <c r="I7081" t="s">
        <v>3539</v>
      </c>
      <c r="J7081" t="s">
        <v>31843</v>
      </c>
      <c r="K7081" t="s">
        <v>41184</v>
      </c>
      <c r="M7081" t="s">
        <v>41679</v>
      </c>
      <c r="N7081" t="s">
        <v>45095</v>
      </c>
      <c r="O7081" t="s">
        <v>45096</v>
      </c>
      <c r="P7081">
        <v>0</v>
      </c>
      <c r="Q7081">
        <v>0</v>
      </c>
      <c r="R7081" t="s">
        <v>45103</v>
      </c>
      <c r="S7081" t="s">
        <v>45270</v>
      </c>
      <c r="T7081" t="s">
        <v>47171</v>
      </c>
      <c r="U7081" t="s">
        <v>53073</v>
      </c>
      <c r="W7081" t="s">
        <v>41679</v>
      </c>
      <c r="X7081" t="s">
        <v>45104</v>
      </c>
    </row>
    <row r="7082" spans="1:24">
      <c r="A7082">
        <f>HYPERLINK("https://www.philgeps.gov.ph/GEPSNONPILOT/Tender/SplashBidNoticeAbstractUI.aspx?menuIndex=3&amp;refID=7035791&amp;Result=3","7035791")</f>
        <v>0</v>
      </c>
      <c r="B7082" t="s">
        <v>194</v>
      </c>
      <c r="C7082" t="s">
        <v>9967</v>
      </c>
      <c r="D7082" t="s">
        <v>18065</v>
      </c>
      <c r="E7082" t="s">
        <v>24376</v>
      </c>
      <c r="F7082" t="s">
        <v>31574</v>
      </c>
      <c r="G7082" t="s">
        <v>31581</v>
      </c>
      <c r="H7082" t="s">
        <v>31590</v>
      </c>
      <c r="I7082" t="s">
        <v>31600</v>
      </c>
      <c r="J7082" t="s">
        <v>36285</v>
      </c>
      <c r="K7082" t="s">
        <v>41184</v>
      </c>
      <c r="M7082" t="s">
        <v>41679</v>
      </c>
      <c r="N7082" t="s">
        <v>45095</v>
      </c>
      <c r="O7082" t="s">
        <v>45096</v>
      </c>
      <c r="P7082">
        <v>0</v>
      </c>
      <c r="Q7082">
        <v>1</v>
      </c>
      <c r="R7082" t="s">
        <v>45103</v>
      </c>
      <c r="S7082" t="s">
        <v>45270</v>
      </c>
      <c r="T7082" t="s">
        <v>47171</v>
      </c>
      <c r="U7082" t="s">
        <v>53073</v>
      </c>
      <c r="W7082" t="s">
        <v>41679</v>
      </c>
      <c r="X7082" t="s">
        <v>45104</v>
      </c>
    </row>
    <row r="7083" spans="1:24">
      <c r="A7083">
        <f>HYPERLINK("https://www.philgeps.gov.ph/GEPSNONPILOT/Tender/SplashBidNoticeAbstractUI.aspx?menuIndex=3&amp;refID=7035749&amp;Result=3","7035749")</f>
        <v>0</v>
      </c>
      <c r="B7083" t="s">
        <v>2123</v>
      </c>
      <c r="C7083" t="s">
        <v>9968</v>
      </c>
      <c r="D7083" t="s">
        <v>18022</v>
      </c>
      <c r="E7083" t="s">
        <v>24377</v>
      </c>
      <c r="F7083" t="s">
        <v>31574</v>
      </c>
      <c r="G7083" t="s">
        <v>31584</v>
      </c>
      <c r="H7083" t="s">
        <v>31590</v>
      </c>
      <c r="I7083" t="s">
        <v>8258</v>
      </c>
      <c r="J7083" t="s">
        <v>36286</v>
      </c>
      <c r="K7083" t="s">
        <v>41213</v>
      </c>
      <c r="M7083" t="s">
        <v>43804</v>
      </c>
      <c r="N7083" t="s">
        <v>45095</v>
      </c>
      <c r="O7083" t="s">
        <v>45096</v>
      </c>
      <c r="Q7083">
        <v>6</v>
      </c>
      <c r="R7083" t="s">
        <v>45103</v>
      </c>
      <c r="S7083" t="s">
        <v>45280</v>
      </c>
      <c r="T7083" t="s">
        <v>46957</v>
      </c>
      <c r="U7083" t="s">
        <v>53392</v>
      </c>
      <c r="W7083" t="s">
        <v>43804</v>
      </c>
      <c r="X7083" t="s">
        <v>45104</v>
      </c>
    </row>
    <row r="7084" spans="1:24">
      <c r="A7084">
        <f>HYPERLINK("https://www.philgeps.gov.ph/GEPSNONPILOT/Tender/SplashBidNoticeAbstractUI.aspx?menuIndex=3&amp;refID=7035797&amp;Result=3","7035797")</f>
        <v>0</v>
      </c>
      <c r="B7084" t="s">
        <v>2116</v>
      </c>
      <c r="C7084" t="s">
        <v>9969</v>
      </c>
      <c r="D7084" t="s">
        <v>18073</v>
      </c>
      <c r="E7084" t="s">
        <v>18946</v>
      </c>
      <c r="F7084" t="s">
        <v>31574</v>
      </c>
      <c r="G7084" t="s">
        <v>31581</v>
      </c>
      <c r="H7084" t="s">
        <v>31590</v>
      </c>
      <c r="I7084" t="s">
        <v>4327</v>
      </c>
      <c r="J7084" t="s">
        <v>31830</v>
      </c>
      <c r="K7084" t="s">
        <v>41211</v>
      </c>
      <c r="M7084" t="s">
        <v>43797</v>
      </c>
      <c r="N7084" t="s">
        <v>45095</v>
      </c>
      <c r="O7084" t="s">
        <v>45096</v>
      </c>
      <c r="P7084">
        <v>0</v>
      </c>
      <c r="Q7084">
        <v>4</v>
      </c>
      <c r="R7084" t="s">
        <v>45103</v>
      </c>
      <c r="S7084" t="s">
        <v>45270</v>
      </c>
      <c r="T7084" t="s">
        <v>47311</v>
      </c>
      <c r="U7084" t="s">
        <v>53393</v>
      </c>
      <c r="W7084" t="s">
        <v>43797</v>
      </c>
      <c r="X7084" t="s">
        <v>45104</v>
      </c>
    </row>
    <row r="7085" spans="1:24">
      <c r="A7085">
        <f>HYPERLINK("https://www.philgeps.gov.ph/GEPSNONPILOT/Tender/SplashBidNoticeAbstractUI.aspx?menuIndex=3&amp;refID=7035779&amp;Result=3","7035779")</f>
        <v>0</v>
      </c>
      <c r="B7085" t="s">
        <v>886</v>
      </c>
      <c r="C7085" t="s">
        <v>9970</v>
      </c>
      <c r="E7085" t="s">
        <v>24378</v>
      </c>
      <c r="F7085" t="s">
        <v>31574</v>
      </c>
      <c r="G7085" t="s">
        <v>31581</v>
      </c>
      <c r="H7085" t="s">
        <v>31590</v>
      </c>
      <c r="I7085" t="s">
        <v>31664</v>
      </c>
      <c r="J7085" t="s">
        <v>36287</v>
      </c>
      <c r="K7085" t="s">
        <v>41184</v>
      </c>
      <c r="M7085" t="s">
        <v>42407</v>
      </c>
      <c r="N7085" t="s">
        <v>45095</v>
      </c>
      <c r="O7085" t="s">
        <v>45096</v>
      </c>
      <c r="P7085">
        <v>0</v>
      </c>
      <c r="Q7085">
        <v>0</v>
      </c>
      <c r="R7085" t="s">
        <v>45103</v>
      </c>
      <c r="S7085" t="s">
        <v>45270</v>
      </c>
      <c r="T7085" t="s">
        <v>47080</v>
      </c>
      <c r="U7085" t="s">
        <v>53363</v>
      </c>
      <c r="W7085" t="s">
        <v>42407</v>
      </c>
      <c r="X7085" t="s">
        <v>45104</v>
      </c>
    </row>
    <row r="7086" spans="1:24">
      <c r="A7086">
        <f>HYPERLINK("https://www.philgeps.gov.ph/GEPSNONPILOT/Tender/SplashBidNoticeAbstractUI.aspx?menuIndex=3&amp;refID=7035777&amp;Result=3","7035777")</f>
        <v>0</v>
      </c>
      <c r="B7086" t="s">
        <v>1692</v>
      </c>
      <c r="C7086" t="s">
        <v>9971</v>
      </c>
      <c r="D7086" t="s">
        <v>18037</v>
      </c>
      <c r="E7086" t="s">
        <v>24379</v>
      </c>
      <c r="F7086" t="s">
        <v>31574</v>
      </c>
      <c r="G7086" t="s">
        <v>31582</v>
      </c>
      <c r="H7086" t="s">
        <v>31591</v>
      </c>
      <c r="I7086" t="s">
        <v>31663</v>
      </c>
      <c r="J7086" t="s">
        <v>36288</v>
      </c>
      <c r="K7086" t="s">
        <v>41269</v>
      </c>
      <c r="M7086" t="s">
        <v>43306</v>
      </c>
      <c r="N7086" t="s">
        <v>45095</v>
      </c>
      <c r="O7086" t="s">
        <v>45096</v>
      </c>
      <c r="P7086">
        <v>0</v>
      </c>
      <c r="Q7086">
        <v>0</v>
      </c>
      <c r="R7086" t="s">
        <v>45103</v>
      </c>
      <c r="S7086" t="s">
        <v>45270</v>
      </c>
      <c r="T7086" t="s">
        <v>46992</v>
      </c>
      <c r="U7086" t="s">
        <v>53394</v>
      </c>
      <c r="W7086" t="s">
        <v>43306</v>
      </c>
      <c r="X7086" t="s">
        <v>45104</v>
      </c>
    </row>
    <row r="7087" spans="1:24">
      <c r="A7087">
        <f>HYPERLINK("https://www.philgeps.gov.ph/GEPSNONPILOT/Tender/SplashBidNoticeAbstractUI.aspx?menuIndex=3&amp;refID=7035773&amp;Result=3","7035773")</f>
        <v>0</v>
      </c>
      <c r="B7087" t="s">
        <v>1349</v>
      </c>
      <c r="C7087" t="s">
        <v>9972</v>
      </c>
      <c r="E7087" t="s">
        <v>24380</v>
      </c>
      <c r="F7087" t="s">
        <v>31574</v>
      </c>
      <c r="G7087" t="s">
        <v>31582</v>
      </c>
      <c r="H7087" t="s">
        <v>31590</v>
      </c>
      <c r="I7087" t="s">
        <v>5717</v>
      </c>
      <c r="J7087" t="s">
        <v>36289</v>
      </c>
      <c r="K7087" t="s">
        <v>41184</v>
      </c>
      <c r="M7087" t="s">
        <v>42921</v>
      </c>
      <c r="N7087" t="s">
        <v>45095</v>
      </c>
      <c r="O7087" t="s">
        <v>45096</v>
      </c>
      <c r="P7087">
        <v>0</v>
      </c>
      <c r="Q7087">
        <v>3</v>
      </c>
      <c r="R7087" t="s">
        <v>45103</v>
      </c>
      <c r="S7087" t="s">
        <v>45270</v>
      </c>
      <c r="T7087" t="s">
        <v>47301</v>
      </c>
      <c r="U7087" t="s">
        <v>53395</v>
      </c>
      <c r="W7087" t="s">
        <v>42921</v>
      </c>
      <c r="X7087" t="s">
        <v>45104</v>
      </c>
    </row>
    <row r="7088" spans="1:24">
      <c r="A7088">
        <f>HYPERLINK("https://www.philgeps.gov.ph/GEPSNONPILOT/Tender/SplashBidNoticeAbstractUI.aspx?menuIndex=3&amp;refID=7035776&amp;Result=3","7035776")</f>
        <v>0</v>
      </c>
      <c r="B7088" t="s">
        <v>1467</v>
      </c>
      <c r="C7088" t="s">
        <v>9973</v>
      </c>
      <c r="D7088" t="s">
        <v>18022</v>
      </c>
      <c r="E7088" t="s">
        <v>24381</v>
      </c>
      <c r="F7088" t="s">
        <v>31574</v>
      </c>
      <c r="G7088" t="s">
        <v>31581</v>
      </c>
      <c r="H7088" t="s">
        <v>31591</v>
      </c>
      <c r="I7088" t="s">
        <v>8822</v>
      </c>
      <c r="J7088" t="s">
        <v>31843</v>
      </c>
      <c r="K7088" t="s">
        <v>41186</v>
      </c>
      <c r="M7088" t="s">
        <v>43805</v>
      </c>
      <c r="N7088" t="s">
        <v>45095</v>
      </c>
      <c r="O7088" t="s">
        <v>45096</v>
      </c>
      <c r="P7088">
        <v>0</v>
      </c>
      <c r="Q7088">
        <v>1</v>
      </c>
      <c r="R7088" t="s">
        <v>45103</v>
      </c>
      <c r="S7088" t="s">
        <v>45270</v>
      </c>
      <c r="T7088" t="s">
        <v>46985</v>
      </c>
      <c r="U7088" t="s">
        <v>53396</v>
      </c>
      <c r="W7088" t="s">
        <v>43805</v>
      </c>
      <c r="X7088" t="s">
        <v>45104</v>
      </c>
    </row>
    <row r="7089" spans="1:24">
      <c r="A7089">
        <f>HYPERLINK("https://www.philgeps.gov.ph/GEPSNONPILOT/Tender/SplashBidNoticeAbstractUI.aspx?menuIndex=3&amp;refID=7035794&amp;Result=3","7035794")</f>
        <v>0</v>
      </c>
      <c r="B7089" t="s">
        <v>1236</v>
      </c>
      <c r="C7089" t="s">
        <v>9974</v>
      </c>
      <c r="D7089" t="s">
        <v>18078</v>
      </c>
      <c r="E7089" t="s">
        <v>24382</v>
      </c>
      <c r="F7089" t="s">
        <v>31574</v>
      </c>
      <c r="G7089" t="s">
        <v>31581</v>
      </c>
      <c r="H7089" t="s">
        <v>31590</v>
      </c>
      <c r="I7089" t="s">
        <v>31623</v>
      </c>
      <c r="J7089" t="s">
        <v>32381</v>
      </c>
      <c r="K7089" t="s">
        <v>41193</v>
      </c>
      <c r="M7089" t="s">
        <v>42798</v>
      </c>
      <c r="N7089" t="s">
        <v>45095</v>
      </c>
      <c r="O7089" t="s">
        <v>45096</v>
      </c>
      <c r="P7089">
        <v>0</v>
      </c>
      <c r="Q7089">
        <v>0</v>
      </c>
      <c r="R7089" t="s">
        <v>45103</v>
      </c>
      <c r="S7089" t="s">
        <v>45270</v>
      </c>
      <c r="T7089" t="s">
        <v>47154</v>
      </c>
      <c r="U7089" t="s">
        <v>53397</v>
      </c>
      <c r="W7089" t="s">
        <v>42798</v>
      </c>
      <c r="X7089" t="s">
        <v>45104</v>
      </c>
    </row>
    <row r="7090" spans="1:24">
      <c r="A7090">
        <f>HYPERLINK("https://www.philgeps.gov.ph/GEPSNONPILOT/Tender/SplashBidNoticeAbstractUI.aspx?menuIndex=3&amp;refID=7035813&amp;Result=3","7035813")</f>
        <v>0</v>
      </c>
      <c r="B7090" t="s">
        <v>2124</v>
      </c>
      <c r="C7090" t="s">
        <v>9975</v>
      </c>
      <c r="D7090" t="s">
        <v>18046</v>
      </c>
      <c r="E7090" t="s">
        <v>24383</v>
      </c>
      <c r="F7090" t="s">
        <v>31574</v>
      </c>
      <c r="G7090" t="s">
        <v>31582</v>
      </c>
      <c r="H7090" t="s">
        <v>31592</v>
      </c>
      <c r="I7090" t="s">
        <v>31602</v>
      </c>
      <c r="J7090" t="s">
        <v>36290</v>
      </c>
      <c r="K7090" t="s">
        <v>41186</v>
      </c>
      <c r="M7090" t="s">
        <v>43806</v>
      </c>
      <c r="N7090" t="s">
        <v>45095</v>
      </c>
      <c r="O7090" t="s">
        <v>45096</v>
      </c>
      <c r="P7090">
        <v>0</v>
      </c>
      <c r="Q7090">
        <v>0</v>
      </c>
      <c r="R7090" t="s">
        <v>45103</v>
      </c>
      <c r="S7090" t="s">
        <v>45270</v>
      </c>
      <c r="T7090" t="s">
        <v>47312</v>
      </c>
      <c r="U7090" t="s">
        <v>53398</v>
      </c>
      <c r="V7090" t="s">
        <v>60613</v>
      </c>
      <c r="W7090" t="s">
        <v>43806</v>
      </c>
      <c r="X7090" t="s">
        <v>45104</v>
      </c>
    </row>
    <row r="7091" spans="1:24">
      <c r="A7091">
        <f>HYPERLINK("https://www.philgeps.gov.ph/GEPSNONPILOT/Tender/SplashBidNoticeAbstractUI.aspx?menuIndex=3&amp;refID=7035809&amp;Result=3","7035809")</f>
        <v>0</v>
      </c>
      <c r="B7091" t="s">
        <v>886</v>
      </c>
      <c r="C7091" t="s">
        <v>9976</v>
      </c>
      <c r="E7091" t="s">
        <v>24384</v>
      </c>
      <c r="F7091" t="s">
        <v>31574</v>
      </c>
      <c r="G7091" t="s">
        <v>31581</v>
      </c>
      <c r="H7091" t="s">
        <v>31590</v>
      </c>
      <c r="I7091" t="s">
        <v>31594</v>
      </c>
      <c r="J7091" t="s">
        <v>32366</v>
      </c>
      <c r="K7091" t="s">
        <v>41184</v>
      </c>
      <c r="M7091" t="s">
        <v>42407</v>
      </c>
      <c r="N7091" t="s">
        <v>45095</v>
      </c>
      <c r="O7091" t="s">
        <v>45096</v>
      </c>
      <c r="P7091">
        <v>0</v>
      </c>
      <c r="Q7091">
        <v>2</v>
      </c>
      <c r="R7091" t="s">
        <v>45103</v>
      </c>
      <c r="S7091" t="s">
        <v>45270</v>
      </c>
      <c r="T7091" t="s">
        <v>47080</v>
      </c>
      <c r="U7091" t="s">
        <v>53363</v>
      </c>
      <c r="W7091" t="s">
        <v>42407</v>
      </c>
      <c r="X7091" t="s">
        <v>45104</v>
      </c>
    </row>
    <row r="7092" spans="1:24">
      <c r="A7092">
        <f>HYPERLINK("https://www.philgeps.gov.ph/GEPSNONPILOT/Tender/SplashBidNoticeAbstractUI.aspx?menuIndex=3&amp;refID=7035792&amp;Result=3","7035792")</f>
        <v>0</v>
      </c>
      <c r="B7092" t="s">
        <v>2112</v>
      </c>
      <c r="C7092" t="s">
        <v>9977</v>
      </c>
      <c r="D7092" t="s">
        <v>18041</v>
      </c>
      <c r="E7092" t="s">
        <v>24385</v>
      </c>
      <c r="F7092" t="s">
        <v>31574</v>
      </c>
      <c r="G7092" t="s">
        <v>31582</v>
      </c>
      <c r="H7092" t="s">
        <v>31590</v>
      </c>
      <c r="I7092" t="s">
        <v>6800</v>
      </c>
      <c r="J7092" t="s">
        <v>36291</v>
      </c>
      <c r="K7092" t="s">
        <v>41184</v>
      </c>
      <c r="M7092" t="s">
        <v>43792</v>
      </c>
      <c r="N7092" t="s">
        <v>45095</v>
      </c>
      <c r="O7092" t="s">
        <v>45096</v>
      </c>
      <c r="P7092">
        <v>0</v>
      </c>
      <c r="Q7092">
        <v>1</v>
      </c>
      <c r="R7092" t="s">
        <v>45103</v>
      </c>
      <c r="S7092" t="s">
        <v>45270</v>
      </c>
      <c r="T7092" t="s">
        <v>47188</v>
      </c>
      <c r="U7092" t="s">
        <v>53399</v>
      </c>
      <c r="V7092" t="s">
        <v>60610</v>
      </c>
      <c r="W7092" t="s">
        <v>43792</v>
      </c>
      <c r="X7092" t="s">
        <v>45104</v>
      </c>
    </row>
    <row r="7093" spans="1:24">
      <c r="A7093">
        <f>HYPERLINK("https://www.philgeps.gov.ph/GEPSNONPILOT/Tender/SplashBidNoticeAbstractUI.aspx?menuIndex=3&amp;refID=7035785&amp;Result=3","7035785")</f>
        <v>0</v>
      </c>
      <c r="B7093" t="s">
        <v>757</v>
      </c>
      <c r="C7093" t="s">
        <v>9978</v>
      </c>
      <c r="D7093" t="s">
        <v>18095</v>
      </c>
      <c r="E7093" t="s">
        <v>24386</v>
      </c>
      <c r="F7093" t="s">
        <v>31574</v>
      </c>
      <c r="G7093" t="s">
        <v>31581</v>
      </c>
      <c r="H7093" t="s">
        <v>31592</v>
      </c>
      <c r="I7093" t="s">
        <v>4046</v>
      </c>
      <c r="J7093" t="s">
        <v>36292</v>
      </c>
      <c r="K7093" t="s">
        <v>41193</v>
      </c>
      <c r="M7093" t="s">
        <v>42271</v>
      </c>
      <c r="N7093" t="s">
        <v>45095</v>
      </c>
      <c r="O7093" t="s">
        <v>45096</v>
      </c>
      <c r="P7093">
        <v>0</v>
      </c>
      <c r="Q7093">
        <v>0</v>
      </c>
      <c r="R7093" t="s">
        <v>45103</v>
      </c>
      <c r="S7093" t="s">
        <v>45270</v>
      </c>
      <c r="T7093" t="s">
        <v>47159</v>
      </c>
      <c r="U7093" t="s">
        <v>49091</v>
      </c>
      <c r="W7093" t="s">
        <v>42271</v>
      </c>
      <c r="X7093" t="s">
        <v>45104</v>
      </c>
    </row>
    <row r="7094" spans="1:24">
      <c r="A7094">
        <f>HYPERLINK("https://www.philgeps.gov.ph/GEPSNONPILOT/Tender/SplashBidNoticeAbstractUI.aspx?menuIndex=3&amp;refID=7035787&amp;Result=3","7035787")</f>
        <v>0</v>
      </c>
      <c r="B7094" t="s">
        <v>190</v>
      </c>
      <c r="C7094" t="s">
        <v>5059</v>
      </c>
      <c r="D7094" t="s">
        <v>18036</v>
      </c>
      <c r="E7094" t="s">
        <v>24387</v>
      </c>
      <c r="F7094" t="s">
        <v>31574</v>
      </c>
      <c r="G7094" t="s">
        <v>31581</v>
      </c>
      <c r="H7094" t="s">
        <v>31590</v>
      </c>
      <c r="I7094" t="s">
        <v>8258</v>
      </c>
      <c r="J7094" t="s">
        <v>31955</v>
      </c>
      <c r="K7094" t="s">
        <v>41190</v>
      </c>
      <c r="M7094" t="s">
        <v>43336</v>
      </c>
      <c r="N7094" t="s">
        <v>45095</v>
      </c>
      <c r="O7094" t="s">
        <v>45096</v>
      </c>
      <c r="P7094">
        <v>0</v>
      </c>
      <c r="Q7094">
        <v>9</v>
      </c>
      <c r="R7094" t="s">
        <v>45103</v>
      </c>
      <c r="S7094" t="s">
        <v>45270</v>
      </c>
      <c r="T7094" t="s">
        <v>47050</v>
      </c>
      <c r="U7094" t="s">
        <v>53400</v>
      </c>
      <c r="W7094" t="s">
        <v>43336</v>
      </c>
      <c r="X7094" t="s">
        <v>45104</v>
      </c>
    </row>
    <row r="7095" spans="1:24">
      <c r="A7095">
        <f>HYPERLINK("https://www.philgeps.gov.ph/GEPSNONPILOT/Tender/SplashBidNoticeAbstractUI.aspx?menuIndex=3&amp;refID=7035824&amp;Result=3","7035824")</f>
        <v>0</v>
      </c>
      <c r="B7095" t="s">
        <v>886</v>
      </c>
      <c r="C7095" t="s">
        <v>9979</v>
      </c>
      <c r="E7095" t="s">
        <v>24388</v>
      </c>
      <c r="F7095" t="s">
        <v>31574</v>
      </c>
      <c r="G7095" t="s">
        <v>31581</v>
      </c>
      <c r="H7095" t="s">
        <v>31590</v>
      </c>
      <c r="I7095" t="s">
        <v>31594</v>
      </c>
      <c r="J7095" t="s">
        <v>36293</v>
      </c>
      <c r="K7095" t="s">
        <v>41184</v>
      </c>
      <c r="M7095" t="s">
        <v>42407</v>
      </c>
      <c r="N7095" t="s">
        <v>45095</v>
      </c>
      <c r="O7095" t="s">
        <v>45096</v>
      </c>
      <c r="P7095">
        <v>0</v>
      </c>
      <c r="Q7095">
        <v>3</v>
      </c>
      <c r="R7095" t="s">
        <v>45103</v>
      </c>
      <c r="S7095" t="s">
        <v>45270</v>
      </c>
      <c r="T7095" t="s">
        <v>47080</v>
      </c>
      <c r="U7095" t="s">
        <v>53363</v>
      </c>
      <c r="W7095" t="s">
        <v>42407</v>
      </c>
      <c r="X7095" t="s">
        <v>45104</v>
      </c>
    </row>
    <row r="7096" spans="1:24">
      <c r="A7096">
        <f>HYPERLINK("https://www.philgeps.gov.ph/GEPSNONPILOT/Tender/SplashBidNoticeAbstractUI.aspx?menuIndex=3&amp;refID=7035820&amp;Result=3","7035820")</f>
        <v>0</v>
      </c>
      <c r="B7096" t="s">
        <v>2090</v>
      </c>
      <c r="C7096" t="s">
        <v>9980</v>
      </c>
      <c r="D7096" t="s">
        <v>18099</v>
      </c>
      <c r="E7096" t="s">
        <v>19127</v>
      </c>
      <c r="F7096" t="s">
        <v>31574</v>
      </c>
      <c r="G7096" t="s">
        <v>31582</v>
      </c>
      <c r="H7096" t="s">
        <v>31591</v>
      </c>
      <c r="I7096" t="s">
        <v>8822</v>
      </c>
      <c r="J7096" t="s">
        <v>36294</v>
      </c>
      <c r="K7096" t="s">
        <v>41233</v>
      </c>
      <c r="M7096" t="s">
        <v>43766</v>
      </c>
      <c r="N7096" t="s">
        <v>45095</v>
      </c>
      <c r="O7096" t="s">
        <v>45096</v>
      </c>
      <c r="P7096">
        <v>0</v>
      </c>
      <c r="Q7096">
        <v>0</v>
      </c>
      <c r="R7096" t="s">
        <v>45103</v>
      </c>
      <c r="S7096" t="s">
        <v>45270</v>
      </c>
      <c r="T7096" t="s">
        <v>47302</v>
      </c>
      <c r="U7096" t="s">
        <v>53401</v>
      </c>
      <c r="W7096" t="s">
        <v>43766</v>
      </c>
      <c r="X7096" t="s">
        <v>45104</v>
      </c>
    </row>
    <row r="7097" spans="1:24">
      <c r="A7097">
        <f>HYPERLINK("https://www.philgeps.gov.ph/GEPSNONPILOT/Tender/SplashBidNoticeAbstractUI.aspx?menuIndex=3&amp;refID=7035806&amp;Result=3","7035806")</f>
        <v>0</v>
      </c>
      <c r="B7097" t="s">
        <v>1349</v>
      </c>
      <c r="C7097" t="s">
        <v>9981</v>
      </c>
      <c r="E7097" t="s">
        <v>24389</v>
      </c>
      <c r="F7097" t="s">
        <v>31574</v>
      </c>
      <c r="G7097" t="s">
        <v>31582</v>
      </c>
      <c r="H7097" t="s">
        <v>31590</v>
      </c>
      <c r="I7097" t="s">
        <v>5717</v>
      </c>
      <c r="J7097" t="s">
        <v>36295</v>
      </c>
      <c r="K7097" t="s">
        <v>41184</v>
      </c>
      <c r="M7097" t="s">
        <v>42921</v>
      </c>
      <c r="N7097" t="s">
        <v>45095</v>
      </c>
      <c r="O7097" t="s">
        <v>45096</v>
      </c>
      <c r="P7097">
        <v>0</v>
      </c>
      <c r="Q7097">
        <v>2</v>
      </c>
      <c r="R7097" t="s">
        <v>45103</v>
      </c>
      <c r="S7097" t="s">
        <v>45270</v>
      </c>
      <c r="T7097" t="s">
        <v>47050</v>
      </c>
      <c r="U7097" t="s">
        <v>53402</v>
      </c>
      <c r="W7097" t="s">
        <v>42921</v>
      </c>
      <c r="X7097" t="s">
        <v>45104</v>
      </c>
    </row>
    <row r="7098" spans="1:24">
      <c r="A7098">
        <f>HYPERLINK("https://www.philgeps.gov.ph/GEPSNONPILOT/Tender/SplashBidNoticeAbstractUI.aspx?menuIndex=3&amp;refID=7035817&amp;Result=3","7035817")</f>
        <v>0</v>
      </c>
      <c r="B7098" t="s">
        <v>1412</v>
      </c>
      <c r="C7098" t="s">
        <v>9982</v>
      </c>
      <c r="D7098" t="s">
        <v>18075</v>
      </c>
      <c r="E7098" t="s">
        <v>24390</v>
      </c>
      <c r="F7098" t="s">
        <v>31574</v>
      </c>
      <c r="G7098" t="s">
        <v>31582</v>
      </c>
      <c r="H7098" t="s">
        <v>31591</v>
      </c>
      <c r="I7098" t="s">
        <v>8822</v>
      </c>
      <c r="J7098" t="s">
        <v>32232</v>
      </c>
      <c r="K7098" t="s">
        <v>41184</v>
      </c>
      <c r="M7098" t="s">
        <v>42988</v>
      </c>
      <c r="N7098" t="s">
        <v>45095</v>
      </c>
      <c r="O7098" t="s">
        <v>45096</v>
      </c>
      <c r="Q7098">
        <v>0</v>
      </c>
      <c r="R7098" t="s">
        <v>45103</v>
      </c>
      <c r="S7098" t="s">
        <v>45281</v>
      </c>
      <c r="T7098" t="s">
        <v>46930</v>
      </c>
      <c r="U7098" t="s">
        <v>53403</v>
      </c>
      <c r="W7098" t="s">
        <v>42988</v>
      </c>
      <c r="X7098" t="s">
        <v>45104</v>
      </c>
    </row>
    <row r="7099" spans="1:24">
      <c r="A7099">
        <f>HYPERLINK("https://www.philgeps.gov.ph/GEPSNONPILOT/Tender/SplashBidNoticeAbstractUI.aspx?menuIndex=3&amp;refID=7035821&amp;Result=3","7035821")</f>
        <v>0</v>
      </c>
      <c r="B7099" t="s">
        <v>2116</v>
      </c>
      <c r="C7099" t="s">
        <v>9983</v>
      </c>
      <c r="D7099" t="s">
        <v>18073</v>
      </c>
      <c r="E7099" t="s">
        <v>18946</v>
      </c>
      <c r="F7099" t="s">
        <v>31574</v>
      </c>
      <c r="G7099" t="s">
        <v>31581</v>
      </c>
      <c r="H7099" t="s">
        <v>31590</v>
      </c>
      <c r="I7099" t="s">
        <v>3487</v>
      </c>
      <c r="J7099" t="s">
        <v>32012</v>
      </c>
      <c r="K7099" t="s">
        <v>41211</v>
      </c>
      <c r="M7099" t="s">
        <v>43797</v>
      </c>
      <c r="N7099" t="s">
        <v>45095</v>
      </c>
      <c r="O7099" t="s">
        <v>45096</v>
      </c>
      <c r="P7099">
        <v>0</v>
      </c>
      <c r="Q7099">
        <v>1</v>
      </c>
      <c r="R7099" t="s">
        <v>45103</v>
      </c>
      <c r="S7099" t="s">
        <v>45270</v>
      </c>
      <c r="T7099" t="s">
        <v>47311</v>
      </c>
      <c r="U7099" t="s">
        <v>53404</v>
      </c>
      <c r="W7099" t="s">
        <v>43797</v>
      </c>
      <c r="X7099" t="s">
        <v>45104</v>
      </c>
    </row>
    <row r="7100" spans="1:24">
      <c r="A7100">
        <f>HYPERLINK("https://www.philgeps.gov.ph/GEPSNONPILOT/Tender/SplashBidNoticeAbstractUI.aspx?menuIndex=3&amp;refID=7035826&amp;Result=3","7035826")</f>
        <v>0</v>
      </c>
      <c r="B7100" t="s">
        <v>757</v>
      </c>
      <c r="C7100" t="s">
        <v>9984</v>
      </c>
      <c r="D7100" t="s">
        <v>18095</v>
      </c>
      <c r="E7100" t="s">
        <v>24391</v>
      </c>
      <c r="F7100" t="s">
        <v>31574</v>
      </c>
      <c r="G7100" t="s">
        <v>31581</v>
      </c>
      <c r="H7100" t="s">
        <v>31592</v>
      </c>
      <c r="I7100" t="s">
        <v>4046</v>
      </c>
      <c r="J7100" t="s">
        <v>36296</v>
      </c>
      <c r="K7100" t="s">
        <v>41193</v>
      </c>
      <c r="M7100" t="s">
        <v>42271</v>
      </c>
      <c r="N7100" t="s">
        <v>45095</v>
      </c>
      <c r="O7100" t="s">
        <v>45096</v>
      </c>
      <c r="P7100">
        <v>0</v>
      </c>
      <c r="Q7100">
        <v>0</v>
      </c>
      <c r="R7100" t="s">
        <v>45103</v>
      </c>
      <c r="S7100" t="s">
        <v>45270</v>
      </c>
      <c r="T7100" t="s">
        <v>47159</v>
      </c>
      <c r="U7100" t="s">
        <v>49091</v>
      </c>
      <c r="W7100" t="s">
        <v>42271</v>
      </c>
      <c r="X7100" t="s">
        <v>45104</v>
      </c>
    </row>
    <row r="7101" spans="1:24">
      <c r="A7101">
        <f>HYPERLINK("https://www.philgeps.gov.ph/GEPSNONPILOT/Tender/SplashBidNoticeAbstractUI.aspx?menuIndex=3&amp;refID=7035829&amp;Result=3","7035829")</f>
        <v>0</v>
      </c>
      <c r="B7101" t="s">
        <v>249</v>
      </c>
      <c r="C7101" t="s">
        <v>9985</v>
      </c>
      <c r="D7101" t="s">
        <v>18091</v>
      </c>
      <c r="E7101" t="s">
        <v>24392</v>
      </c>
      <c r="F7101" t="s">
        <v>31574</v>
      </c>
      <c r="G7101" t="s">
        <v>31581</v>
      </c>
      <c r="H7101" t="s">
        <v>31590</v>
      </c>
      <c r="I7101" t="s">
        <v>31623</v>
      </c>
      <c r="J7101" t="s">
        <v>36297</v>
      </c>
      <c r="K7101" t="s">
        <v>41193</v>
      </c>
      <c r="M7101" t="s">
        <v>41735</v>
      </c>
      <c r="N7101" t="s">
        <v>45095</v>
      </c>
      <c r="O7101" t="s">
        <v>45096</v>
      </c>
      <c r="P7101">
        <v>0</v>
      </c>
      <c r="Q7101">
        <v>0</v>
      </c>
      <c r="R7101" t="s">
        <v>45103</v>
      </c>
      <c r="S7101" t="s">
        <v>45270</v>
      </c>
      <c r="T7101" t="s">
        <v>47067</v>
      </c>
      <c r="U7101" t="s">
        <v>53405</v>
      </c>
      <c r="W7101" t="s">
        <v>41735</v>
      </c>
      <c r="X7101" t="s">
        <v>45104</v>
      </c>
    </row>
    <row r="7102" spans="1:24">
      <c r="A7102">
        <f>HYPERLINK("https://www.philgeps.gov.ph/GEPSNONPILOT/Tender/SplashBidNoticeAbstractUI.aspx?menuIndex=3&amp;refID=7035808&amp;Result=3","7035808")</f>
        <v>0</v>
      </c>
      <c r="B7102" t="s">
        <v>1492</v>
      </c>
      <c r="C7102" t="s">
        <v>9986</v>
      </c>
      <c r="D7102" t="s">
        <v>18072</v>
      </c>
      <c r="E7102" t="s">
        <v>24393</v>
      </c>
      <c r="F7102" t="s">
        <v>31574</v>
      </c>
      <c r="G7102" t="s">
        <v>31581</v>
      </c>
      <c r="H7102" t="s">
        <v>31590</v>
      </c>
      <c r="I7102" t="s">
        <v>6800</v>
      </c>
      <c r="J7102" t="s">
        <v>36298</v>
      </c>
      <c r="K7102" t="s">
        <v>41184</v>
      </c>
      <c r="M7102" t="s">
        <v>43100</v>
      </c>
      <c r="N7102" t="s">
        <v>45095</v>
      </c>
      <c r="O7102" t="s">
        <v>45096</v>
      </c>
      <c r="P7102">
        <v>0</v>
      </c>
      <c r="Q7102">
        <v>2</v>
      </c>
      <c r="R7102" t="s">
        <v>45103</v>
      </c>
      <c r="S7102" t="s">
        <v>45270</v>
      </c>
      <c r="T7102" t="s">
        <v>47301</v>
      </c>
      <c r="U7102" t="s">
        <v>53406</v>
      </c>
      <c r="W7102" t="s">
        <v>43100</v>
      </c>
      <c r="X7102" t="s">
        <v>45104</v>
      </c>
    </row>
    <row r="7103" spans="1:24">
      <c r="A7103">
        <f>HYPERLINK("https://www.philgeps.gov.ph/GEPSNONPILOT/Tender/SplashBidNoticeAbstractUI.aspx?menuIndex=3&amp;refID=7035847&amp;Result=3","7035847")</f>
        <v>0</v>
      </c>
      <c r="B7103" t="s">
        <v>553</v>
      </c>
      <c r="C7103" t="s">
        <v>9987</v>
      </c>
      <c r="D7103" t="s">
        <v>18022</v>
      </c>
      <c r="E7103" t="s">
        <v>24394</v>
      </c>
      <c r="F7103" t="s">
        <v>31574</v>
      </c>
      <c r="G7103" t="s">
        <v>31584</v>
      </c>
      <c r="H7103" t="s">
        <v>31590</v>
      </c>
      <c r="I7103" t="s">
        <v>6800</v>
      </c>
      <c r="J7103" t="s">
        <v>36299</v>
      </c>
      <c r="K7103" t="s">
        <v>41184</v>
      </c>
      <c r="M7103" t="s">
        <v>42050</v>
      </c>
      <c r="N7103" t="s">
        <v>45095</v>
      </c>
      <c r="O7103" t="s">
        <v>45096</v>
      </c>
      <c r="P7103">
        <v>0</v>
      </c>
      <c r="Q7103">
        <v>6</v>
      </c>
      <c r="R7103" t="s">
        <v>45103</v>
      </c>
      <c r="S7103" t="s">
        <v>45270</v>
      </c>
      <c r="T7103" t="s">
        <v>47164</v>
      </c>
      <c r="U7103" t="s">
        <v>53407</v>
      </c>
      <c r="V7103" t="s">
        <v>60614</v>
      </c>
      <c r="W7103" t="s">
        <v>42050</v>
      </c>
      <c r="X7103" t="s">
        <v>45104</v>
      </c>
    </row>
    <row r="7104" spans="1:24">
      <c r="A7104">
        <f>HYPERLINK("https://www.philgeps.gov.ph/GEPSNONPILOT/Tender/SplashBidNoticeAbstractUI.aspx?menuIndex=3&amp;refID=7035833&amp;Result=3","7035833")</f>
        <v>0</v>
      </c>
      <c r="B7104" t="s">
        <v>2125</v>
      </c>
      <c r="C7104" t="s">
        <v>9988</v>
      </c>
      <c r="D7104" t="s">
        <v>18040</v>
      </c>
      <c r="E7104" t="s">
        <v>18162</v>
      </c>
      <c r="F7104" t="s">
        <v>31574</v>
      </c>
      <c r="G7104" t="s">
        <v>31582</v>
      </c>
      <c r="H7104" t="s">
        <v>31590</v>
      </c>
      <c r="I7104" t="s">
        <v>31648</v>
      </c>
      <c r="J7104" t="s">
        <v>31727</v>
      </c>
      <c r="K7104" t="s">
        <v>41211</v>
      </c>
      <c r="M7104" t="s">
        <v>43807</v>
      </c>
      <c r="N7104" t="s">
        <v>45095</v>
      </c>
      <c r="O7104" t="s">
        <v>45096</v>
      </c>
      <c r="P7104">
        <v>0</v>
      </c>
      <c r="Q7104">
        <v>0</v>
      </c>
      <c r="R7104" t="s">
        <v>45103</v>
      </c>
      <c r="S7104" t="s">
        <v>45270</v>
      </c>
      <c r="T7104" t="s">
        <v>47067</v>
      </c>
      <c r="U7104" t="s">
        <v>53408</v>
      </c>
      <c r="W7104" t="s">
        <v>61727</v>
      </c>
      <c r="X7104" t="s">
        <v>45104</v>
      </c>
    </row>
    <row r="7105" spans="1:24">
      <c r="A7105">
        <f>HYPERLINK("https://www.philgeps.gov.ph/GEPSNONPILOT/Tender/SplashBidNoticeAbstractUI.aspx?menuIndex=3&amp;refID=7035800&amp;Result=3","7035800")</f>
        <v>0</v>
      </c>
      <c r="B7105" t="s">
        <v>202</v>
      </c>
      <c r="C7105" t="s">
        <v>9989</v>
      </c>
      <c r="D7105" t="s">
        <v>18036</v>
      </c>
      <c r="E7105" t="s">
        <v>24395</v>
      </c>
      <c r="F7105" t="s">
        <v>31574</v>
      </c>
      <c r="G7105" t="s">
        <v>31581</v>
      </c>
      <c r="H7105" t="s">
        <v>31590</v>
      </c>
      <c r="I7105" t="s">
        <v>31607</v>
      </c>
      <c r="J7105" t="s">
        <v>36300</v>
      </c>
      <c r="K7105" t="s">
        <v>41186</v>
      </c>
      <c r="M7105" t="s">
        <v>41687</v>
      </c>
      <c r="N7105" t="s">
        <v>45095</v>
      </c>
      <c r="O7105" t="s">
        <v>45096</v>
      </c>
      <c r="P7105">
        <v>0</v>
      </c>
      <c r="Q7105">
        <v>6</v>
      </c>
      <c r="R7105" t="s">
        <v>45103</v>
      </c>
      <c r="S7105" t="s">
        <v>45270</v>
      </c>
      <c r="T7105" t="s">
        <v>47124</v>
      </c>
      <c r="U7105" t="s">
        <v>53409</v>
      </c>
      <c r="W7105" t="s">
        <v>41687</v>
      </c>
      <c r="X7105" t="s">
        <v>45104</v>
      </c>
    </row>
    <row r="7106" spans="1:24">
      <c r="A7106">
        <f>HYPERLINK("https://www.philgeps.gov.ph/GEPSNONPILOT/Tender/SplashBidNoticeAbstractUI.aspx?menuIndex=3&amp;refID=7035843&amp;Result=3","7035843")</f>
        <v>0</v>
      </c>
      <c r="B7106" t="s">
        <v>2126</v>
      </c>
      <c r="C7106" t="s">
        <v>9990</v>
      </c>
      <c r="D7106" t="s">
        <v>18072</v>
      </c>
      <c r="E7106" t="s">
        <v>24396</v>
      </c>
      <c r="F7106" t="s">
        <v>31574</v>
      </c>
      <c r="G7106" t="s">
        <v>31582</v>
      </c>
      <c r="H7106" t="s">
        <v>31591</v>
      </c>
      <c r="I7106" t="s">
        <v>8822</v>
      </c>
      <c r="J7106" t="s">
        <v>31821</v>
      </c>
      <c r="K7106" t="s">
        <v>41184</v>
      </c>
      <c r="M7106" t="s">
        <v>43808</v>
      </c>
      <c r="N7106" t="s">
        <v>45095</v>
      </c>
      <c r="O7106" t="s">
        <v>45096</v>
      </c>
      <c r="P7106">
        <v>0</v>
      </c>
      <c r="Q7106">
        <v>0</v>
      </c>
      <c r="R7106" t="s">
        <v>45103</v>
      </c>
      <c r="S7106" t="s">
        <v>45270</v>
      </c>
      <c r="T7106" t="s">
        <v>47000</v>
      </c>
      <c r="U7106" t="s">
        <v>53410</v>
      </c>
      <c r="W7106" t="s">
        <v>43808</v>
      </c>
      <c r="X7106" t="s">
        <v>45104</v>
      </c>
    </row>
    <row r="7107" spans="1:24">
      <c r="A7107">
        <f>HYPERLINK("https://www.philgeps.gov.ph/GEPSNONPILOT/Tender/SplashBidNoticeAbstractUI.aspx?menuIndex=3&amp;refID=7035846&amp;Result=3","7035846")</f>
        <v>0</v>
      </c>
      <c r="B7107" t="s">
        <v>2127</v>
      </c>
      <c r="C7107" t="s">
        <v>9991</v>
      </c>
      <c r="D7107" t="s">
        <v>18027</v>
      </c>
      <c r="E7107" t="s">
        <v>24397</v>
      </c>
      <c r="F7107" t="s">
        <v>31574</v>
      </c>
      <c r="G7107" t="s">
        <v>31582</v>
      </c>
      <c r="H7107" t="s">
        <v>31591</v>
      </c>
      <c r="I7107" t="s">
        <v>8822</v>
      </c>
      <c r="J7107" t="s">
        <v>36301</v>
      </c>
      <c r="K7107" t="s">
        <v>41192</v>
      </c>
      <c r="M7107" t="s">
        <v>43809</v>
      </c>
      <c r="N7107" t="s">
        <v>45095</v>
      </c>
      <c r="O7107" t="s">
        <v>45096</v>
      </c>
      <c r="P7107">
        <v>0</v>
      </c>
      <c r="Q7107">
        <v>0</v>
      </c>
      <c r="R7107" t="s">
        <v>45103</v>
      </c>
      <c r="S7107" t="s">
        <v>45270</v>
      </c>
      <c r="T7107" t="s">
        <v>47083</v>
      </c>
      <c r="U7107" t="s">
        <v>53411</v>
      </c>
      <c r="W7107" t="s">
        <v>43809</v>
      </c>
      <c r="X7107" t="s">
        <v>45104</v>
      </c>
    </row>
    <row r="7108" spans="1:24">
      <c r="A7108">
        <f>HYPERLINK("https://www.philgeps.gov.ph/GEPSNONPILOT/Tender/SplashBidNoticeAbstractUI.aspx?menuIndex=3&amp;refID=7035848&amp;Result=3","7035848")</f>
        <v>0</v>
      </c>
      <c r="B7108" t="s">
        <v>2116</v>
      </c>
      <c r="C7108" t="s">
        <v>9992</v>
      </c>
      <c r="D7108" t="s">
        <v>18073</v>
      </c>
      <c r="E7108" t="s">
        <v>18946</v>
      </c>
      <c r="F7108" t="s">
        <v>31574</v>
      </c>
      <c r="G7108" t="s">
        <v>31581</v>
      </c>
      <c r="H7108" t="s">
        <v>31590</v>
      </c>
      <c r="I7108" t="s">
        <v>3487</v>
      </c>
      <c r="J7108" t="s">
        <v>32366</v>
      </c>
      <c r="K7108" t="s">
        <v>41211</v>
      </c>
      <c r="M7108" t="s">
        <v>43797</v>
      </c>
      <c r="N7108" t="s">
        <v>45095</v>
      </c>
      <c r="O7108" t="s">
        <v>45096</v>
      </c>
      <c r="P7108">
        <v>0</v>
      </c>
      <c r="Q7108">
        <v>0</v>
      </c>
      <c r="R7108" t="s">
        <v>45103</v>
      </c>
      <c r="S7108" t="s">
        <v>45270</v>
      </c>
      <c r="T7108" t="s">
        <v>47067</v>
      </c>
      <c r="U7108" t="s">
        <v>53412</v>
      </c>
      <c r="W7108" t="s">
        <v>43797</v>
      </c>
      <c r="X7108" t="s">
        <v>45104</v>
      </c>
    </row>
    <row r="7109" spans="1:24">
      <c r="A7109">
        <f>HYPERLINK("https://www.philgeps.gov.ph/GEPSNONPILOT/Tender/SplashBidNoticeAbstractUI.aspx?menuIndex=3&amp;refID=7035836&amp;Result=3","7035836")</f>
        <v>0</v>
      </c>
      <c r="B7109" t="s">
        <v>1585</v>
      </c>
      <c r="C7109" t="s">
        <v>9993</v>
      </c>
      <c r="D7109" t="s">
        <v>18043</v>
      </c>
      <c r="E7109" t="s">
        <v>24398</v>
      </c>
      <c r="F7109" t="s">
        <v>31574</v>
      </c>
      <c r="G7109" t="s">
        <v>31585</v>
      </c>
      <c r="H7109" t="s">
        <v>31591</v>
      </c>
      <c r="I7109" t="s">
        <v>8822</v>
      </c>
      <c r="J7109" t="s">
        <v>32026</v>
      </c>
      <c r="K7109" t="s">
        <v>41200</v>
      </c>
      <c r="M7109" t="s">
        <v>43189</v>
      </c>
      <c r="N7109" t="s">
        <v>45095</v>
      </c>
      <c r="O7109" t="s">
        <v>45096</v>
      </c>
      <c r="P7109">
        <v>0</v>
      </c>
      <c r="Q7109">
        <v>1</v>
      </c>
      <c r="R7109" t="s">
        <v>45103</v>
      </c>
      <c r="S7109" t="s">
        <v>45270</v>
      </c>
      <c r="T7109" t="s">
        <v>46918</v>
      </c>
      <c r="U7109" t="s">
        <v>53413</v>
      </c>
      <c r="V7109" t="s">
        <v>60351</v>
      </c>
      <c r="W7109" t="s">
        <v>43189</v>
      </c>
      <c r="X7109" t="s">
        <v>45104</v>
      </c>
    </row>
    <row r="7110" spans="1:24">
      <c r="A7110">
        <f>HYPERLINK("https://www.philgeps.gov.ph/GEPSNONPILOT/Tender/SplashBidNoticeAbstractUI.aspx?menuIndex=3&amp;refID=7035839&amp;Result=3","7035839")</f>
        <v>0</v>
      </c>
      <c r="B7110" t="s">
        <v>2116</v>
      </c>
      <c r="C7110" t="s">
        <v>9994</v>
      </c>
      <c r="D7110" t="s">
        <v>18073</v>
      </c>
      <c r="E7110" t="s">
        <v>18946</v>
      </c>
      <c r="F7110" t="s">
        <v>31574</v>
      </c>
      <c r="G7110" t="s">
        <v>31581</v>
      </c>
      <c r="H7110" t="s">
        <v>31590</v>
      </c>
      <c r="I7110" t="s">
        <v>3487</v>
      </c>
      <c r="J7110" t="s">
        <v>31842</v>
      </c>
      <c r="K7110" t="s">
        <v>41211</v>
      </c>
      <c r="M7110" t="s">
        <v>43797</v>
      </c>
      <c r="N7110" t="s">
        <v>45095</v>
      </c>
      <c r="O7110" t="s">
        <v>45096</v>
      </c>
      <c r="P7110">
        <v>0</v>
      </c>
      <c r="Q7110">
        <v>0</v>
      </c>
      <c r="R7110" t="s">
        <v>45103</v>
      </c>
      <c r="S7110" t="s">
        <v>45270</v>
      </c>
      <c r="T7110" t="s">
        <v>47311</v>
      </c>
      <c r="U7110" t="s">
        <v>53414</v>
      </c>
      <c r="W7110" t="s">
        <v>43797</v>
      </c>
      <c r="X7110" t="s">
        <v>45104</v>
      </c>
    </row>
    <row r="7111" spans="1:24">
      <c r="A7111">
        <f>HYPERLINK("https://www.philgeps.gov.ph/GEPSNONPILOT/Tender/SplashBidNoticeAbstractUI.aspx?menuIndex=3&amp;refID=7035842&amp;Result=3","7035842")</f>
        <v>0</v>
      </c>
      <c r="B7111" t="s">
        <v>1811</v>
      </c>
      <c r="C7111" t="s">
        <v>9995</v>
      </c>
      <c r="D7111" t="s">
        <v>18037</v>
      </c>
      <c r="E7111" t="s">
        <v>18377</v>
      </c>
      <c r="F7111" t="s">
        <v>31574</v>
      </c>
      <c r="G7111" t="s">
        <v>31582</v>
      </c>
      <c r="H7111" t="s">
        <v>31590</v>
      </c>
      <c r="I7111" t="s">
        <v>4046</v>
      </c>
      <c r="J7111" t="s">
        <v>36302</v>
      </c>
      <c r="K7111" t="s">
        <v>41186</v>
      </c>
      <c r="M7111" t="s">
        <v>43445</v>
      </c>
      <c r="N7111" t="s">
        <v>45095</v>
      </c>
      <c r="O7111" t="s">
        <v>45096</v>
      </c>
      <c r="P7111">
        <v>0</v>
      </c>
      <c r="Q7111">
        <v>1</v>
      </c>
      <c r="R7111" t="s">
        <v>45103</v>
      </c>
      <c r="S7111" t="s">
        <v>45270</v>
      </c>
      <c r="T7111" t="s">
        <v>47125</v>
      </c>
      <c r="U7111" t="s">
        <v>53415</v>
      </c>
      <c r="W7111" t="s">
        <v>43445</v>
      </c>
      <c r="X7111" t="s">
        <v>45104</v>
      </c>
    </row>
    <row r="7112" spans="1:24">
      <c r="A7112">
        <f>HYPERLINK("https://www.philgeps.gov.ph/GEPSNONPILOT/Tender/SplashBidNoticeAbstractUI.aspx?menuIndex=3&amp;refID=7035828&amp;Result=3","7035828")</f>
        <v>0</v>
      </c>
      <c r="B7112" t="s">
        <v>2116</v>
      </c>
      <c r="C7112" t="s">
        <v>9996</v>
      </c>
      <c r="D7112" t="s">
        <v>18073</v>
      </c>
      <c r="E7112" t="s">
        <v>18946</v>
      </c>
      <c r="F7112" t="s">
        <v>31574</v>
      </c>
      <c r="G7112" t="s">
        <v>31581</v>
      </c>
      <c r="H7112" t="s">
        <v>31590</v>
      </c>
      <c r="I7112" t="s">
        <v>3487</v>
      </c>
      <c r="J7112" t="s">
        <v>32178</v>
      </c>
      <c r="K7112" t="s">
        <v>41211</v>
      </c>
      <c r="M7112" t="s">
        <v>43797</v>
      </c>
      <c r="N7112" t="s">
        <v>45095</v>
      </c>
      <c r="O7112" t="s">
        <v>45096</v>
      </c>
      <c r="P7112">
        <v>0</v>
      </c>
      <c r="Q7112">
        <v>0</v>
      </c>
      <c r="R7112" t="s">
        <v>45103</v>
      </c>
      <c r="S7112" t="s">
        <v>45270</v>
      </c>
      <c r="T7112" t="s">
        <v>47311</v>
      </c>
      <c r="U7112" t="s">
        <v>53416</v>
      </c>
      <c r="W7112" t="s">
        <v>43797</v>
      </c>
      <c r="X7112" t="s">
        <v>45104</v>
      </c>
    </row>
    <row r="7113" spans="1:24">
      <c r="A7113">
        <f>HYPERLINK("https://www.philgeps.gov.ph/GEPSNONPILOT/Tender/SplashBidNoticeAbstractUI.aspx?menuIndex=3&amp;refID=7035869&amp;Result=3","7035869")</f>
        <v>0</v>
      </c>
      <c r="B7113" t="s">
        <v>886</v>
      </c>
      <c r="C7113" t="s">
        <v>9997</v>
      </c>
      <c r="E7113" t="s">
        <v>24399</v>
      </c>
      <c r="F7113" t="s">
        <v>31574</v>
      </c>
      <c r="G7113" t="s">
        <v>31581</v>
      </c>
      <c r="H7113" t="s">
        <v>31590</v>
      </c>
      <c r="I7113" t="s">
        <v>31603</v>
      </c>
      <c r="J7113" t="s">
        <v>32147</v>
      </c>
      <c r="K7113" t="s">
        <v>41184</v>
      </c>
      <c r="M7113" t="s">
        <v>42407</v>
      </c>
      <c r="N7113" t="s">
        <v>45095</v>
      </c>
      <c r="O7113" t="s">
        <v>45096</v>
      </c>
      <c r="P7113">
        <v>0</v>
      </c>
      <c r="Q7113">
        <v>5</v>
      </c>
      <c r="R7113" t="s">
        <v>45103</v>
      </c>
      <c r="S7113" t="s">
        <v>45270</v>
      </c>
      <c r="T7113" t="s">
        <v>47080</v>
      </c>
      <c r="U7113" t="s">
        <v>53363</v>
      </c>
      <c r="W7113" t="s">
        <v>42407</v>
      </c>
      <c r="X7113" t="s">
        <v>45104</v>
      </c>
    </row>
    <row r="7114" spans="1:24">
      <c r="A7114">
        <f>HYPERLINK("https://www.philgeps.gov.ph/GEPSNONPILOT/Tender/SplashBidNoticeAbstractUI.aspx?menuIndex=3&amp;refID=7035857&amp;Result=3","7035857")</f>
        <v>0</v>
      </c>
      <c r="B7114" t="s">
        <v>190</v>
      </c>
      <c r="C7114" t="s">
        <v>9998</v>
      </c>
      <c r="D7114" t="s">
        <v>18036</v>
      </c>
      <c r="E7114" t="s">
        <v>24400</v>
      </c>
      <c r="F7114" t="s">
        <v>31574</v>
      </c>
      <c r="G7114" t="s">
        <v>31581</v>
      </c>
      <c r="H7114" t="s">
        <v>31590</v>
      </c>
      <c r="I7114" t="s">
        <v>31612</v>
      </c>
      <c r="J7114" t="s">
        <v>31843</v>
      </c>
      <c r="K7114" t="s">
        <v>41186</v>
      </c>
      <c r="M7114" t="s">
        <v>41675</v>
      </c>
      <c r="N7114" t="s">
        <v>45095</v>
      </c>
      <c r="O7114" t="s">
        <v>45096</v>
      </c>
      <c r="P7114">
        <v>0</v>
      </c>
      <c r="Q7114">
        <v>0</v>
      </c>
      <c r="R7114" t="s">
        <v>45103</v>
      </c>
      <c r="S7114" t="s">
        <v>45270</v>
      </c>
      <c r="T7114" t="s">
        <v>47050</v>
      </c>
      <c r="U7114" t="s">
        <v>53417</v>
      </c>
      <c r="W7114" t="s">
        <v>41675</v>
      </c>
      <c r="X7114" t="s">
        <v>45104</v>
      </c>
    </row>
    <row r="7115" spans="1:24">
      <c r="A7115">
        <f>HYPERLINK("https://www.philgeps.gov.ph/GEPSNONPILOT/Tender/SplashBidNoticeAbstractUI.aspx?menuIndex=3&amp;refID=7035862&amp;Result=3","7035862")</f>
        <v>0</v>
      </c>
      <c r="B7115" t="s">
        <v>2116</v>
      </c>
      <c r="C7115" t="s">
        <v>9999</v>
      </c>
      <c r="D7115" t="s">
        <v>18073</v>
      </c>
      <c r="E7115" t="s">
        <v>18946</v>
      </c>
      <c r="F7115" t="s">
        <v>31574</v>
      </c>
      <c r="G7115" t="s">
        <v>31581</v>
      </c>
      <c r="H7115" t="s">
        <v>31590</v>
      </c>
      <c r="I7115" t="s">
        <v>3487</v>
      </c>
      <c r="J7115" t="s">
        <v>32178</v>
      </c>
      <c r="K7115" t="s">
        <v>41211</v>
      </c>
      <c r="M7115" t="s">
        <v>43797</v>
      </c>
      <c r="N7115" t="s">
        <v>45095</v>
      </c>
      <c r="O7115" t="s">
        <v>45096</v>
      </c>
      <c r="P7115">
        <v>0</v>
      </c>
      <c r="Q7115">
        <v>0</v>
      </c>
      <c r="R7115" t="s">
        <v>45103</v>
      </c>
      <c r="S7115" t="s">
        <v>45270</v>
      </c>
      <c r="T7115" t="s">
        <v>47311</v>
      </c>
      <c r="U7115" t="s">
        <v>53418</v>
      </c>
      <c r="W7115" t="s">
        <v>43797</v>
      </c>
      <c r="X7115" t="s">
        <v>45104</v>
      </c>
    </row>
    <row r="7116" spans="1:24">
      <c r="A7116">
        <f>HYPERLINK("https://www.philgeps.gov.ph/GEPSNONPILOT/Tender/SplashBidNoticeAbstractUI.aspx?menuIndex=3&amp;refID=7035838&amp;Result=3","7035838")</f>
        <v>0</v>
      </c>
      <c r="B7116" t="s">
        <v>886</v>
      </c>
      <c r="C7116" t="s">
        <v>10000</v>
      </c>
      <c r="E7116" t="s">
        <v>24401</v>
      </c>
      <c r="F7116" t="s">
        <v>31574</v>
      </c>
      <c r="G7116" t="s">
        <v>31581</v>
      </c>
      <c r="H7116" t="s">
        <v>31590</v>
      </c>
      <c r="I7116" t="s">
        <v>31626</v>
      </c>
      <c r="J7116" t="s">
        <v>32382</v>
      </c>
      <c r="K7116" t="s">
        <v>41184</v>
      </c>
      <c r="M7116" t="s">
        <v>42407</v>
      </c>
      <c r="N7116" t="s">
        <v>45095</v>
      </c>
      <c r="O7116" t="s">
        <v>45096</v>
      </c>
      <c r="P7116">
        <v>0</v>
      </c>
      <c r="Q7116">
        <v>1</v>
      </c>
      <c r="R7116" t="s">
        <v>45103</v>
      </c>
      <c r="S7116" t="s">
        <v>45270</v>
      </c>
      <c r="T7116" t="s">
        <v>47080</v>
      </c>
      <c r="U7116" t="s">
        <v>53363</v>
      </c>
      <c r="W7116" t="s">
        <v>42407</v>
      </c>
      <c r="X7116" t="s">
        <v>45104</v>
      </c>
    </row>
    <row r="7117" spans="1:24">
      <c r="A7117">
        <f>HYPERLINK("https://www.philgeps.gov.ph/GEPSNONPILOT/Tender/SplashBidNoticeAbstractUI.aspx?menuIndex=3&amp;refID=7035870&amp;Result=3","7035870")</f>
        <v>0</v>
      </c>
      <c r="B7117" t="s">
        <v>2128</v>
      </c>
      <c r="C7117" t="s">
        <v>10001</v>
      </c>
      <c r="D7117" t="s">
        <v>18063</v>
      </c>
      <c r="E7117" t="s">
        <v>24402</v>
      </c>
      <c r="F7117" t="s">
        <v>31574</v>
      </c>
      <c r="G7117" t="s">
        <v>31582</v>
      </c>
      <c r="H7117" t="s">
        <v>31591</v>
      </c>
      <c r="I7117" t="s">
        <v>8822</v>
      </c>
      <c r="J7117" t="s">
        <v>33160</v>
      </c>
      <c r="K7117" t="s">
        <v>41198</v>
      </c>
      <c r="M7117" t="s">
        <v>43810</v>
      </c>
      <c r="N7117" t="s">
        <v>45095</v>
      </c>
      <c r="O7117" t="s">
        <v>45096</v>
      </c>
      <c r="P7117">
        <v>0</v>
      </c>
      <c r="Q7117">
        <v>9</v>
      </c>
      <c r="R7117" t="s">
        <v>45103</v>
      </c>
      <c r="S7117" t="s">
        <v>45270</v>
      </c>
      <c r="T7117" t="s">
        <v>47170</v>
      </c>
      <c r="U7117" t="s">
        <v>53419</v>
      </c>
      <c r="W7117" t="s">
        <v>43810</v>
      </c>
      <c r="X7117" t="s">
        <v>45104</v>
      </c>
    </row>
    <row r="7118" spans="1:24">
      <c r="A7118">
        <f>HYPERLINK("https://www.philgeps.gov.ph/GEPSNONPILOT/Tender/SplashBidNoticeAbstractUI.aspx?menuIndex=3&amp;refID=7035865&amp;Result=3","7035865")</f>
        <v>0</v>
      </c>
      <c r="B7118" t="s">
        <v>2129</v>
      </c>
      <c r="C7118" t="s">
        <v>10002</v>
      </c>
      <c r="D7118" t="s">
        <v>18024</v>
      </c>
      <c r="E7118" t="s">
        <v>24403</v>
      </c>
      <c r="F7118" t="s">
        <v>31574</v>
      </c>
      <c r="G7118" t="s">
        <v>31582</v>
      </c>
      <c r="H7118" t="s">
        <v>31590</v>
      </c>
      <c r="I7118" t="s">
        <v>8822</v>
      </c>
      <c r="J7118" t="s">
        <v>36303</v>
      </c>
      <c r="K7118" t="s">
        <v>41184</v>
      </c>
      <c r="M7118" t="s">
        <v>43811</v>
      </c>
      <c r="N7118" t="s">
        <v>45095</v>
      </c>
      <c r="O7118" t="s">
        <v>45096</v>
      </c>
      <c r="P7118">
        <v>0</v>
      </c>
      <c r="Q7118">
        <v>0</v>
      </c>
      <c r="R7118" t="s">
        <v>45103</v>
      </c>
      <c r="S7118" t="s">
        <v>45270</v>
      </c>
      <c r="T7118" t="s">
        <v>46985</v>
      </c>
      <c r="U7118" t="s">
        <v>53420</v>
      </c>
      <c r="W7118" t="s">
        <v>43811</v>
      </c>
      <c r="X7118" t="s">
        <v>45104</v>
      </c>
    </row>
    <row r="7119" spans="1:24">
      <c r="A7119">
        <f>HYPERLINK("https://www.philgeps.gov.ph/GEPSNONPILOT/Tender/SplashBidNoticeAbstractUI.aspx?menuIndex=3&amp;refID=7035875&amp;Result=3","7035875")</f>
        <v>0</v>
      </c>
      <c r="B7119" t="s">
        <v>194</v>
      </c>
      <c r="C7119" t="s">
        <v>10003</v>
      </c>
      <c r="D7119" t="s">
        <v>18065</v>
      </c>
      <c r="E7119" t="s">
        <v>24404</v>
      </c>
      <c r="F7119" t="s">
        <v>31574</v>
      </c>
      <c r="G7119" t="s">
        <v>31581</v>
      </c>
      <c r="H7119" t="s">
        <v>31590</v>
      </c>
      <c r="I7119" t="s">
        <v>31615</v>
      </c>
      <c r="J7119" t="s">
        <v>32049</v>
      </c>
      <c r="K7119" t="s">
        <v>41184</v>
      </c>
      <c r="M7119" t="s">
        <v>41679</v>
      </c>
      <c r="N7119" t="s">
        <v>45095</v>
      </c>
      <c r="O7119" t="s">
        <v>45096</v>
      </c>
      <c r="P7119">
        <v>0</v>
      </c>
      <c r="Q7119">
        <v>1</v>
      </c>
      <c r="R7119" t="s">
        <v>45103</v>
      </c>
      <c r="S7119" t="s">
        <v>45270</v>
      </c>
      <c r="T7119" t="s">
        <v>47171</v>
      </c>
      <c r="U7119" t="s">
        <v>53073</v>
      </c>
      <c r="W7119" t="s">
        <v>41679</v>
      </c>
      <c r="X7119" t="s">
        <v>45104</v>
      </c>
    </row>
    <row r="7120" spans="1:24">
      <c r="A7120">
        <f>HYPERLINK("https://www.philgeps.gov.ph/GEPSNONPILOT/Tender/SplashBidNoticeAbstractUI.aspx?menuIndex=3&amp;refID=7035863&amp;Result=3","7035863")</f>
        <v>0</v>
      </c>
      <c r="B7120" t="s">
        <v>1637</v>
      </c>
      <c r="C7120" t="s">
        <v>10004</v>
      </c>
      <c r="D7120" t="s">
        <v>18036</v>
      </c>
      <c r="E7120" t="s">
        <v>24405</v>
      </c>
      <c r="F7120" t="s">
        <v>31574</v>
      </c>
      <c r="G7120" t="s">
        <v>31582</v>
      </c>
      <c r="H7120" t="s">
        <v>31593</v>
      </c>
      <c r="I7120" t="s">
        <v>31593</v>
      </c>
      <c r="J7120" t="s">
        <v>36304</v>
      </c>
      <c r="K7120" t="s">
        <v>41282</v>
      </c>
      <c r="L7120" t="s">
        <v>1637</v>
      </c>
      <c r="M7120" t="s">
        <v>43246</v>
      </c>
      <c r="N7120" t="s">
        <v>45095</v>
      </c>
      <c r="O7120" t="s">
        <v>45096</v>
      </c>
      <c r="P7120">
        <v>0</v>
      </c>
      <c r="Q7120">
        <v>1</v>
      </c>
      <c r="R7120" t="s">
        <v>45103</v>
      </c>
      <c r="S7120" t="s">
        <v>45270</v>
      </c>
      <c r="T7120" t="s">
        <v>46973</v>
      </c>
      <c r="U7120" t="s">
        <v>53421</v>
      </c>
      <c r="W7120" t="s">
        <v>43246</v>
      </c>
      <c r="X7120" t="s">
        <v>45104</v>
      </c>
    </row>
    <row r="7121" spans="1:24">
      <c r="A7121">
        <f>HYPERLINK("https://www.philgeps.gov.ph/GEPSNONPILOT/Tender/SplashBidNoticeAbstractUI.aspx?menuIndex=3&amp;refID=7035881&amp;Result=3","7035881")</f>
        <v>0</v>
      </c>
      <c r="B7121" t="s">
        <v>2130</v>
      </c>
      <c r="C7121" t="s">
        <v>10005</v>
      </c>
      <c r="D7121" t="s">
        <v>18066</v>
      </c>
      <c r="E7121" t="s">
        <v>24406</v>
      </c>
      <c r="F7121" t="s">
        <v>31574</v>
      </c>
      <c r="G7121" t="s">
        <v>31582</v>
      </c>
      <c r="H7121" t="s">
        <v>31590</v>
      </c>
      <c r="I7121" t="s">
        <v>31615</v>
      </c>
      <c r="J7121" t="s">
        <v>35720</v>
      </c>
      <c r="K7121" t="s">
        <v>41196</v>
      </c>
      <c r="M7121" t="s">
        <v>43812</v>
      </c>
      <c r="N7121" t="s">
        <v>45095</v>
      </c>
      <c r="O7121" t="s">
        <v>45096</v>
      </c>
      <c r="P7121">
        <v>0</v>
      </c>
      <c r="Q7121">
        <v>4</v>
      </c>
      <c r="R7121" t="s">
        <v>45103</v>
      </c>
      <c r="S7121" t="s">
        <v>45270</v>
      </c>
      <c r="T7121" t="s">
        <v>47067</v>
      </c>
      <c r="U7121" t="s">
        <v>53422</v>
      </c>
      <c r="W7121" t="s">
        <v>43812</v>
      </c>
      <c r="X7121" t="s">
        <v>45104</v>
      </c>
    </row>
    <row r="7122" spans="1:24">
      <c r="A7122">
        <f>HYPERLINK("https://www.philgeps.gov.ph/GEPSNONPILOT/Tender/SplashBidNoticeAbstractUI.aspx?menuIndex=3&amp;refID=7035871&amp;Result=3","7035871")</f>
        <v>0</v>
      </c>
      <c r="B7122" t="s">
        <v>2131</v>
      </c>
      <c r="C7122" t="s">
        <v>10006</v>
      </c>
      <c r="D7122" t="s">
        <v>18044</v>
      </c>
      <c r="E7122" t="s">
        <v>19469</v>
      </c>
      <c r="F7122" t="s">
        <v>31579</v>
      </c>
      <c r="G7122" t="s">
        <v>31584</v>
      </c>
      <c r="H7122" t="s">
        <v>31590</v>
      </c>
      <c r="I7122" t="s">
        <v>3487</v>
      </c>
      <c r="J7122" t="s">
        <v>31782</v>
      </c>
      <c r="K7122" t="s">
        <v>41212</v>
      </c>
      <c r="M7122" t="s">
        <v>43813</v>
      </c>
      <c r="N7122" t="s">
        <v>45095</v>
      </c>
      <c r="O7122" t="s">
        <v>45096</v>
      </c>
      <c r="P7122">
        <v>0</v>
      </c>
      <c r="Q7122">
        <v>0</v>
      </c>
      <c r="R7122" t="s">
        <v>45103</v>
      </c>
      <c r="S7122" t="s">
        <v>45270</v>
      </c>
      <c r="T7122" t="s">
        <v>46911</v>
      </c>
      <c r="U7122" t="s">
        <v>53423</v>
      </c>
      <c r="W7122" t="s">
        <v>43813</v>
      </c>
      <c r="X7122" t="s">
        <v>45104</v>
      </c>
    </row>
    <row r="7123" spans="1:24">
      <c r="A7123">
        <f>HYPERLINK("https://www.philgeps.gov.ph/GEPSNONPILOT/Tender/SplashBidNoticeAbstractUI.aspx?menuIndex=3&amp;refID=7035884&amp;Result=3","7035884")</f>
        <v>0</v>
      </c>
      <c r="B7123" t="s">
        <v>2132</v>
      </c>
      <c r="C7123" t="s">
        <v>10007</v>
      </c>
      <c r="D7123" t="s">
        <v>18041</v>
      </c>
      <c r="E7123" t="s">
        <v>18175</v>
      </c>
      <c r="F7123" t="s">
        <v>31575</v>
      </c>
      <c r="G7123" t="s">
        <v>31581</v>
      </c>
      <c r="H7123" t="s">
        <v>31590</v>
      </c>
      <c r="I7123" t="s">
        <v>31619</v>
      </c>
      <c r="J7123" t="s">
        <v>31845</v>
      </c>
      <c r="K7123" t="s">
        <v>41191</v>
      </c>
      <c r="M7123" t="s">
        <v>43814</v>
      </c>
      <c r="N7123" t="s">
        <v>45095</v>
      </c>
      <c r="O7123" t="s">
        <v>45096</v>
      </c>
      <c r="P7123">
        <v>0</v>
      </c>
      <c r="Q7123">
        <v>1</v>
      </c>
      <c r="R7123" t="s">
        <v>45103</v>
      </c>
      <c r="S7123" t="s">
        <v>45270</v>
      </c>
      <c r="T7123" t="s">
        <v>47124</v>
      </c>
      <c r="U7123" t="s">
        <v>53424</v>
      </c>
      <c r="W7123" t="s">
        <v>43814</v>
      </c>
      <c r="X7123" t="s">
        <v>45104</v>
      </c>
    </row>
    <row r="7124" spans="1:24">
      <c r="A7124">
        <f>HYPERLINK("https://www.philgeps.gov.ph/GEPSNONPILOT/Tender/SplashBidNoticeAbstractUI.aspx?menuIndex=3&amp;refID=7035859&amp;Result=3","7035859")</f>
        <v>0</v>
      </c>
      <c r="B7124" t="s">
        <v>292</v>
      </c>
      <c r="C7124" t="s">
        <v>10008</v>
      </c>
      <c r="D7124" t="s">
        <v>18022</v>
      </c>
      <c r="E7124" t="s">
        <v>24365</v>
      </c>
      <c r="F7124" t="s">
        <v>31574</v>
      </c>
      <c r="G7124" t="s">
        <v>31582</v>
      </c>
      <c r="H7124" t="s">
        <v>31590</v>
      </c>
      <c r="I7124" t="s">
        <v>4046</v>
      </c>
      <c r="J7124" t="s">
        <v>36305</v>
      </c>
      <c r="K7124" t="s">
        <v>41185</v>
      </c>
      <c r="M7124" t="s">
        <v>41778</v>
      </c>
      <c r="N7124" t="s">
        <v>45095</v>
      </c>
      <c r="O7124" t="s">
        <v>45096</v>
      </c>
      <c r="P7124">
        <v>0</v>
      </c>
      <c r="Q7124">
        <v>3</v>
      </c>
      <c r="R7124" t="s">
        <v>45103</v>
      </c>
      <c r="S7124" t="s">
        <v>45270</v>
      </c>
      <c r="T7124" t="s">
        <v>47004</v>
      </c>
      <c r="U7124" t="s">
        <v>53382</v>
      </c>
      <c r="W7124" t="s">
        <v>41778</v>
      </c>
      <c r="X7124" t="s">
        <v>45104</v>
      </c>
    </row>
    <row r="7125" spans="1:24">
      <c r="A7125">
        <f>HYPERLINK("https://www.philgeps.gov.ph/GEPSNONPILOT/Tender/SplashBidNoticeAbstractUI.aspx?menuIndex=3&amp;refID=7035879&amp;Result=3","7035879")</f>
        <v>0</v>
      </c>
      <c r="B7125" t="s">
        <v>2133</v>
      </c>
      <c r="C7125" t="s">
        <v>10009</v>
      </c>
      <c r="D7125" t="s">
        <v>18033</v>
      </c>
      <c r="E7125" t="s">
        <v>18199</v>
      </c>
      <c r="F7125" t="s">
        <v>31574</v>
      </c>
      <c r="G7125" t="s">
        <v>31582</v>
      </c>
      <c r="H7125" t="s">
        <v>31591</v>
      </c>
      <c r="I7125" t="s">
        <v>8822</v>
      </c>
      <c r="J7125" t="s">
        <v>31964</v>
      </c>
      <c r="K7125" t="s">
        <v>41186</v>
      </c>
      <c r="M7125" t="s">
        <v>43815</v>
      </c>
      <c r="N7125" t="s">
        <v>45095</v>
      </c>
      <c r="O7125" t="s">
        <v>45096</v>
      </c>
      <c r="P7125">
        <v>0</v>
      </c>
      <c r="Q7125">
        <v>0</v>
      </c>
      <c r="R7125" t="s">
        <v>45103</v>
      </c>
      <c r="S7125" t="s">
        <v>45270</v>
      </c>
      <c r="T7125" t="s">
        <v>47128</v>
      </c>
      <c r="U7125" t="s">
        <v>53425</v>
      </c>
      <c r="W7125" t="s">
        <v>43815</v>
      </c>
      <c r="X7125" t="s">
        <v>45104</v>
      </c>
    </row>
    <row r="7126" spans="1:24">
      <c r="A7126">
        <f>HYPERLINK("https://www.philgeps.gov.ph/GEPSNONPILOT/Tender/SplashBidNoticeAbstractUI.aspx?menuIndex=3&amp;refID=7035882&amp;Result=3","7035882")</f>
        <v>0</v>
      </c>
      <c r="B7126" t="s">
        <v>1692</v>
      </c>
      <c r="C7126" t="s">
        <v>10010</v>
      </c>
      <c r="D7126" t="s">
        <v>18037</v>
      </c>
      <c r="E7126" t="s">
        <v>24407</v>
      </c>
      <c r="F7126" t="s">
        <v>31574</v>
      </c>
      <c r="G7126" t="s">
        <v>31582</v>
      </c>
      <c r="H7126" t="s">
        <v>31591</v>
      </c>
      <c r="I7126" t="s">
        <v>8822</v>
      </c>
      <c r="J7126" t="s">
        <v>36306</v>
      </c>
      <c r="K7126" t="s">
        <v>41244</v>
      </c>
      <c r="M7126" t="s">
        <v>43306</v>
      </c>
      <c r="N7126" t="s">
        <v>45095</v>
      </c>
      <c r="O7126" t="s">
        <v>45096</v>
      </c>
      <c r="P7126">
        <v>0</v>
      </c>
      <c r="Q7126">
        <v>0</v>
      </c>
      <c r="R7126" t="s">
        <v>45103</v>
      </c>
      <c r="S7126" t="s">
        <v>45270</v>
      </c>
      <c r="T7126" t="s">
        <v>46973</v>
      </c>
      <c r="U7126" t="s">
        <v>53426</v>
      </c>
      <c r="W7126" t="s">
        <v>43306</v>
      </c>
      <c r="X7126" t="s">
        <v>45104</v>
      </c>
    </row>
    <row r="7127" spans="1:24">
      <c r="A7127">
        <f>HYPERLINK("https://www.philgeps.gov.ph/GEPSNONPILOT/Tender/SplashBidNoticeAbstractUI.aspx?menuIndex=3&amp;refID=7035906&amp;Result=3","7035906")</f>
        <v>0</v>
      </c>
      <c r="B7127" t="s">
        <v>2112</v>
      </c>
      <c r="C7127" t="s">
        <v>10011</v>
      </c>
      <c r="D7127" t="s">
        <v>18041</v>
      </c>
      <c r="E7127" t="s">
        <v>24408</v>
      </c>
      <c r="F7127" t="s">
        <v>31574</v>
      </c>
      <c r="G7127" t="s">
        <v>31582</v>
      </c>
      <c r="H7127" t="s">
        <v>31590</v>
      </c>
      <c r="I7127" t="s">
        <v>4046</v>
      </c>
      <c r="J7127" t="s">
        <v>36307</v>
      </c>
      <c r="K7127" t="s">
        <v>41184</v>
      </c>
      <c r="M7127" t="s">
        <v>43792</v>
      </c>
      <c r="N7127" t="s">
        <v>45095</v>
      </c>
      <c r="O7127" t="s">
        <v>45096</v>
      </c>
      <c r="P7127">
        <v>0</v>
      </c>
      <c r="Q7127">
        <v>0</v>
      </c>
      <c r="R7127" t="s">
        <v>45103</v>
      </c>
      <c r="S7127" t="s">
        <v>45270</v>
      </c>
      <c r="T7127" t="s">
        <v>47188</v>
      </c>
      <c r="U7127" t="s">
        <v>53427</v>
      </c>
      <c r="V7127" t="s">
        <v>60610</v>
      </c>
      <c r="W7127" t="s">
        <v>43792</v>
      </c>
      <c r="X7127" t="s">
        <v>45104</v>
      </c>
    </row>
    <row r="7128" spans="1:24">
      <c r="A7128">
        <f>HYPERLINK("https://www.philgeps.gov.ph/GEPSNONPILOT/Tender/SplashBidNoticeAbstractUI.aspx?menuIndex=3&amp;refID=7035867&amp;Result=3","7035867")</f>
        <v>0</v>
      </c>
      <c r="B7128" t="s">
        <v>523</v>
      </c>
      <c r="C7128" t="s">
        <v>8500</v>
      </c>
      <c r="D7128" t="s">
        <v>18055</v>
      </c>
      <c r="E7128" t="s">
        <v>24409</v>
      </c>
      <c r="F7128" t="s">
        <v>31574</v>
      </c>
      <c r="G7128" t="s">
        <v>31581</v>
      </c>
      <c r="H7128" t="s">
        <v>31590</v>
      </c>
      <c r="I7128" t="s">
        <v>8258</v>
      </c>
      <c r="J7128" t="s">
        <v>33022</v>
      </c>
      <c r="K7128" t="s">
        <v>41213</v>
      </c>
      <c r="M7128" t="s">
        <v>42019</v>
      </c>
      <c r="N7128" t="s">
        <v>45095</v>
      </c>
      <c r="O7128" t="s">
        <v>45096</v>
      </c>
      <c r="P7128">
        <v>0</v>
      </c>
      <c r="Q7128">
        <v>8</v>
      </c>
      <c r="R7128" t="s">
        <v>45103</v>
      </c>
      <c r="S7128" t="s">
        <v>45270</v>
      </c>
      <c r="T7128" t="s">
        <v>47050</v>
      </c>
      <c r="U7128" t="s">
        <v>53428</v>
      </c>
      <c r="V7128" t="s">
        <v>60437</v>
      </c>
      <c r="W7128" t="s">
        <v>42019</v>
      </c>
      <c r="X7128" t="s">
        <v>45104</v>
      </c>
    </row>
    <row r="7129" spans="1:24">
      <c r="A7129">
        <f>HYPERLINK("https://www.philgeps.gov.ph/GEPSNONPILOT/Tender/SplashBidNoticeAbstractUI.aspx?menuIndex=3&amp;refID=7035907&amp;Result=3","7035907")</f>
        <v>0</v>
      </c>
      <c r="B7129" t="s">
        <v>1236</v>
      </c>
      <c r="C7129" t="s">
        <v>10012</v>
      </c>
      <c r="D7129" t="s">
        <v>18078</v>
      </c>
      <c r="E7129" t="s">
        <v>23999</v>
      </c>
      <c r="F7129" t="s">
        <v>31574</v>
      </c>
      <c r="G7129" t="s">
        <v>31582</v>
      </c>
      <c r="H7129" t="s">
        <v>31591</v>
      </c>
      <c r="I7129" t="s">
        <v>8822</v>
      </c>
      <c r="J7129" t="s">
        <v>32510</v>
      </c>
      <c r="K7129" t="s">
        <v>41192</v>
      </c>
      <c r="M7129" t="s">
        <v>42798</v>
      </c>
      <c r="N7129" t="s">
        <v>45095</v>
      </c>
      <c r="O7129" t="s">
        <v>45096</v>
      </c>
      <c r="P7129">
        <v>0</v>
      </c>
      <c r="Q7129">
        <v>1</v>
      </c>
      <c r="R7129" t="s">
        <v>45103</v>
      </c>
      <c r="S7129" t="s">
        <v>45270</v>
      </c>
      <c r="T7129" t="s">
        <v>47010</v>
      </c>
      <c r="U7129" t="s">
        <v>53429</v>
      </c>
      <c r="W7129" t="s">
        <v>42798</v>
      </c>
      <c r="X7129" t="s">
        <v>45104</v>
      </c>
    </row>
    <row r="7130" spans="1:24">
      <c r="A7130">
        <f>HYPERLINK("https://www.philgeps.gov.ph/GEPSNONPILOT/Tender/SplashBidNoticeAbstractUI.aspx?menuIndex=3&amp;refID=7035892&amp;Result=3","7035892")</f>
        <v>0</v>
      </c>
      <c r="B7130" t="s">
        <v>2134</v>
      </c>
      <c r="C7130" t="s">
        <v>10013</v>
      </c>
      <c r="D7130" t="s">
        <v>18047</v>
      </c>
      <c r="E7130" t="s">
        <v>24410</v>
      </c>
      <c r="F7130" t="s">
        <v>31574</v>
      </c>
      <c r="G7130" t="s">
        <v>31582</v>
      </c>
      <c r="H7130" t="s">
        <v>31590</v>
      </c>
      <c r="I7130" t="s">
        <v>4046</v>
      </c>
      <c r="J7130" t="s">
        <v>36308</v>
      </c>
      <c r="K7130" t="s">
        <v>41184</v>
      </c>
      <c r="M7130" t="s">
        <v>43816</v>
      </c>
      <c r="N7130" t="s">
        <v>45095</v>
      </c>
      <c r="O7130" t="s">
        <v>45096</v>
      </c>
      <c r="P7130">
        <v>0</v>
      </c>
      <c r="Q7130">
        <v>1</v>
      </c>
      <c r="R7130" t="s">
        <v>45103</v>
      </c>
      <c r="S7130" t="s">
        <v>45270</v>
      </c>
      <c r="T7130" t="s">
        <v>46918</v>
      </c>
      <c r="U7130" t="s">
        <v>53430</v>
      </c>
      <c r="W7130" t="s">
        <v>43816</v>
      </c>
      <c r="X7130" t="s">
        <v>45104</v>
      </c>
    </row>
    <row r="7131" spans="1:24">
      <c r="A7131">
        <f>HYPERLINK("https://www.philgeps.gov.ph/GEPSNONPILOT/Tender/SplashBidNoticeAbstractUI.aspx?menuIndex=3&amp;refID=7035897&amp;Result=3","7035897")</f>
        <v>0</v>
      </c>
      <c r="B7131" t="s">
        <v>886</v>
      </c>
      <c r="C7131" t="s">
        <v>10014</v>
      </c>
      <c r="E7131" t="s">
        <v>24411</v>
      </c>
      <c r="F7131" t="s">
        <v>31574</v>
      </c>
      <c r="G7131" t="s">
        <v>31581</v>
      </c>
      <c r="H7131" t="s">
        <v>31590</v>
      </c>
      <c r="I7131" t="s">
        <v>31619</v>
      </c>
      <c r="J7131" t="s">
        <v>31842</v>
      </c>
      <c r="K7131" t="s">
        <v>41184</v>
      </c>
      <c r="M7131" t="s">
        <v>42407</v>
      </c>
      <c r="N7131" t="s">
        <v>45095</v>
      </c>
      <c r="O7131" t="s">
        <v>45096</v>
      </c>
      <c r="P7131">
        <v>0</v>
      </c>
      <c r="Q7131">
        <v>8</v>
      </c>
      <c r="R7131" t="s">
        <v>45103</v>
      </c>
      <c r="S7131" t="s">
        <v>45270</v>
      </c>
      <c r="T7131" t="s">
        <v>47080</v>
      </c>
      <c r="U7131" t="s">
        <v>53363</v>
      </c>
      <c r="W7131" t="s">
        <v>42407</v>
      </c>
      <c r="X7131" t="s">
        <v>45104</v>
      </c>
    </row>
    <row r="7132" spans="1:24">
      <c r="A7132">
        <f>HYPERLINK("https://www.philgeps.gov.ph/GEPSNONPILOT/Tender/SplashBidNoticeAbstractUI.aspx?menuIndex=3&amp;refID=7035880&amp;Result=3","7035880")</f>
        <v>0</v>
      </c>
      <c r="B7132" t="s">
        <v>135</v>
      </c>
      <c r="C7132" t="s">
        <v>10015</v>
      </c>
      <c r="E7132" t="s">
        <v>24412</v>
      </c>
      <c r="F7132" t="s">
        <v>31574</v>
      </c>
      <c r="G7132" t="s">
        <v>31581</v>
      </c>
      <c r="H7132" t="s">
        <v>31590</v>
      </c>
      <c r="I7132" t="s">
        <v>3487</v>
      </c>
      <c r="J7132" t="s">
        <v>36309</v>
      </c>
      <c r="K7132" t="s">
        <v>41184</v>
      </c>
      <c r="M7132" t="s">
        <v>41619</v>
      </c>
      <c r="N7132" t="s">
        <v>45095</v>
      </c>
      <c r="O7132" t="s">
        <v>45096</v>
      </c>
      <c r="P7132">
        <v>0</v>
      </c>
      <c r="Q7132">
        <v>0</v>
      </c>
      <c r="R7132" t="s">
        <v>45103</v>
      </c>
      <c r="S7132" t="s">
        <v>45270</v>
      </c>
      <c r="T7132" t="s">
        <v>46985</v>
      </c>
      <c r="U7132" t="s">
        <v>53431</v>
      </c>
      <c r="W7132" t="s">
        <v>41619</v>
      </c>
      <c r="X7132" t="s">
        <v>45104</v>
      </c>
    </row>
    <row r="7133" spans="1:24">
      <c r="A7133">
        <f>HYPERLINK("https://www.philgeps.gov.ph/GEPSNONPILOT/Tender/SplashBidNoticeAbstractUI.aspx?menuIndex=3&amp;refID=7035909&amp;Result=3","7035909")</f>
        <v>0</v>
      </c>
      <c r="B7133" t="s">
        <v>1585</v>
      </c>
      <c r="C7133" t="s">
        <v>10016</v>
      </c>
      <c r="D7133" t="s">
        <v>18043</v>
      </c>
      <c r="E7133" t="s">
        <v>24413</v>
      </c>
      <c r="F7133" t="s">
        <v>31574</v>
      </c>
      <c r="G7133" t="s">
        <v>31582</v>
      </c>
      <c r="H7133" t="s">
        <v>31590</v>
      </c>
      <c r="I7133" t="s">
        <v>31614</v>
      </c>
      <c r="J7133" t="s">
        <v>32287</v>
      </c>
      <c r="K7133" t="s">
        <v>41196</v>
      </c>
      <c r="M7133" t="s">
        <v>43189</v>
      </c>
      <c r="N7133" t="s">
        <v>45095</v>
      </c>
      <c r="O7133" t="s">
        <v>45096</v>
      </c>
      <c r="P7133">
        <v>0</v>
      </c>
      <c r="Q7133">
        <v>3</v>
      </c>
      <c r="R7133" t="s">
        <v>45103</v>
      </c>
      <c r="S7133" t="s">
        <v>45270</v>
      </c>
      <c r="T7133" t="s">
        <v>46918</v>
      </c>
      <c r="U7133" t="s">
        <v>53432</v>
      </c>
      <c r="V7133" t="s">
        <v>60615</v>
      </c>
      <c r="W7133" t="s">
        <v>43189</v>
      </c>
      <c r="X7133" t="s">
        <v>45104</v>
      </c>
    </row>
    <row r="7134" spans="1:24">
      <c r="A7134">
        <f>HYPERLINK("https://www.philgeps.gov.ph/GEPSNONPILOT/Tender/SplashBidNoticeAbstractUI.aspx?menuIndex=3&amp;refID=7035903&amp;Result=3","7035903")</f>
        <v>0</v>
      </c>
      <c r="B7134" t="s">
        <v>425</v>
      </c>
      <c r="C7134" t="s">
        <v>10017</v>
      </c>
      <c r="D7134" t="s">
        <v>18030</v>
      </c>
      <c r="E7134" t="s">
        <v>24414</v>
      </c>
      <c r="F7134" t="s">
        <v>31574</v>
      </c>
      <c r="G7134" t="s">
        <v>31582</v>
      </c>
      <c r="H7134" t="s">
        <v>31590</v>
      </c>
      <c r="I7134" t="s">
        <v>31615</v>
      </c>
      <c r="J7134" t="s">
        <v>31781</v>
      </c>
      <c r="K7134" t="s">
        <v>41213</v>
      </c>
      <c r="M7134" t="s">
        <v>41917</v>
      </c>
      <c r="N7134" t="s">
        <v>45095</v>
      </c>
      <c r="O7134" t="s">
        <v>45096</v>
      </c>
      <c r="P7134">
        <v>0</v>
      </c>
      <c r="Q7134">
        <v>4</v>
      </c>
      <c r="R7134" t="s">
        <v>45103</v>
      </c>
      <c r="S7134" t="s">
        <v>45270</v>
      </c>
      <c r="T7134" t="s">
        <v>47067</v>
      </c>
      <c r="U7134" t="s">
        <v>53433</v>
      </c>
      <c r="W7134" t="s">
        <v>61667</v>
      </c>
      <c r="X7134" t="s">
        <v>45104</v>
      </c>
    </row>
    <row r="7135" spans="1:24">
      <c r="A7135">
        <f>HYPERLINK("https://www.philgeps.gov.ph/GEPSNONPILOT/Tender/SplashBidNoticeAbstractUI.aspx?menuIndex=3&amp;refID=7035911&amp;Result=3","7035911")</f>
        <v>0</v>
      </c>
      <c r="B7135" t="s">
        <v>1938</v>
      </c>
      <c r="C7135" t="s">
        <v>10018</v>
      </c>
      <c r="D7135" t="s">
        <v>18103</v>
      </c>
      <c r="E7135" t="s">
        <v>24415</v>
      </c>
      <c r="F7135" t="s">
        <v>31574</v>
      </c>
      <c r="G7135" t="s">
        <v>31582</v>
      </c>
      <c r="H7135" t="s">
        <v>31591</v>
      </c>
      <c r="I7135" t="s">
        <v>8822</v>
      </c>
      <c r="J7135" t="s">
        <v>36310</v>
      </c>
      <c r="K7135" t="s">
        <v>41200</v>
      </c>
      <c r="M7135" t="s">
        <v>43593</v>
      </c>
      <c r="N7135" t="s">
        <v>45095</v>
      </c>
      <c r="O7135" t="s">
        <v>45096</v>
      </c>
      <c r="P7135">
        <v>0</v>
      </c>
      <c r="Q7135">
        <v>1</v>
      </c>
      <c r="R7135" t="s">
        <v>45103</v>
      </c>
      <c r="S7135" t="s">
        <v>45270</v>
      </c>
      <c r="T7135" t="s">
        <v>46923</v>
      </c>
      <c r="U7135" t="s">
        <v>53434</v>
      </c>
      <c r="W7135" t="s">
        <v>43593</v>
      </c>
      <c r="X7135" t="s">
        <v>45104</v>
      </c>
    </row>
    <row r="7136" spans="1:24">
      <c r="A7136">
        <f>HYPERLINK("https://www.philgeps.gov.ph/GEPSNONPILOT/Tender/SplashBidNoticeAbstractUI.aspx?menuIndex=3&amp;refID=7035894&amp;Result=3","7035894")</f>
        <v>0</v>
      </c>
      <c r="B7136" t="s">
        <v>1811</v>
      </c>
      <c r="C7136" t="s">
        <v>10019</v>
      </c>
      <c r="D7136" t="s">
        <v>18037</v>
      </c>
      <c r="E7136" t="s">
        <v>18379</v>
      </c>
      <c r="F7136" t="s">
        <v>31574</v>
      </c>
      <c r="G7136" t="s">
        <v>31582</v>
      </c>
      <c r="H7136" t="s">
        <v>31590</v>
      </c>
      <c r="I7136" t="s">
        <v>4046</v>
      </c>
      <c r="J7136" t="s">
        <v>33030</v>
      </c>
      <c r="K7136" t="s">
        <v>41186</v>
      </c>
      <c r="M7136" t="s">
        <v>43445</v>
      </c>
      <c r="N7136" t="s">
        <v>45095</v>
      </c>
      <c r="O7136" t="s">
        <v>45096</v>
      </c>
      <c r="P7136">
        <v>0</v>
      </c>
      <c r="Q7136">
        <v>0</v>
      </c>
      <c r="R7136" t="s">
        <v>45103</v>
      </c>
      <c r="S7136" t="s">
        <v>45270</v>
      </c>
      <c r="T7136" t="s">
        <v>47125</v>
      </c>
      <c r="U7136" t="s">
        <v>53435</v>
      </c>
      <c r="W7136" t="s">
        <v>43445</v>
      </c>
      <c r="X7136" t="s">
        <v>45104</v>
      </c>
    </row>
    <row r="7137" spans="1:24">
      <c r="A7137">
        <f>HYPERLINK("https://www.philgeps.gov.ph/GEPSNONPILOT/Tender/SplashBidNoticeAbstractUI.aspx?menuIndex=3&amp;refID=7035901&amp;Result=3","7035901")</f>
        <v>0</v>
      </c>
      <c r="B7137" t="s">
        <v>327</v>
      </c>
      <c r="C7137" t="s">
        <v>10020</v>
      </c>
      <c r="D7137" t="s">
        <v>18040</v>
      </c>
      <c r="E7137" t="s">
        <v>18422</v>
      </c>
      <c r="F7137" t="s">
        <v>31574</v>
      </c>
      <c r="G7137" t="s">
        <v>31582</v>
      </c>
      <c r="H7137" t="s">
        <v>31593</v>
      </c>
      <c r="I7137" t="s">
        <v>8822</v>
      </c>
      <c r="J7137" t="s">
        <v>31727</v>
      </c>
      <c r="K7137" t="s">
        <v>41193</v>
      </c>
      <c r="M7137" t="s">
        <v>41815</v>
      </c>
      <c r="N7137" t="s">
        <v>45095</v>
      </c>
      <c r="O7137" t="s">
        <v>45096</v>
      </c>
      <c r="P7137">
        <v>0</v>
      </c>
      <c r="Q7137">
        <v>1</v>
      </c>
      <c r="R7137" t="s">
        <v>45103</v>
      </c>
      <c r="S7137" t="s">
        <v>45270</v>
      </c>
      <c r="T7137" t="s">
        <v>46973</v>
      </c>
      <c r="U7137" t="s">
        <v>53436</v>
      </c>
      <c r="W7137" t="s">
        <v>41815</v>
      </c>
      <c r="X7137" t="s">
        <v>45104</v>
      </c>
    </row>
    <row r="7138" spans="1:24">
      <c r="A7138">
        <f>HYPERLINK("https://www.philgeps.gov.ph/GEPSNONPILOT/Tender/SplashBidNoticeAbstractUI.aspx?menuIndex=3&amp;refID=7035886&amp;Result=3","7035886")</f>
        <v>0</v>
      </c>
      <c r="B7138" t="s">
        <v>2120</v>
      </c>
      <c r="C7138" t="s">
        <v>10021</v>
      </c>
      <c r="D7138" t="s">
        <v>18035</v>
      </c>
      <c r="E7138" t="s">
        <v>24416</v>
      </c>
      <c r="F7138" t="s">
        <v>31574</v>
      </c>
      <c r="G7138" t="s">
        <v>31581</v>
      </c>
      <c r="H7138" t="s">
        <v>31590</v>
      </c>
      <c r="I7138" t="s">
        <v>4327</v>
      </c>
      <c r="J7138" t="s">
        <v>36311</v>
      </c>
      <c r="K7138" t="s">
        <v>41223</v>
      </c>
      <c r="M7138" t="s">
        <v>43801</v>
      </c>
      <c r="N7138" t="s">
        <v>45095</v>
      </c>
      <c r="O7138" t="s">
        <v>45096</v>
      </c>
      <c r="P7138">
        <v>0</v>
      </c>
      <c r="Q7138">
        <v>1</v>
      </c>
      <c r="R7138" t="s">
        <v>45103</v>
      </c>
      <c r="S7138" t="s">
        <v>45270</v>
      </c>
      <c r="T7138" t="s">
        <v>47178</v>
      </c>
      <c r="U7138" t="s">
        <v>53437</v>
      </c>
      <c r="W7138" t="s">
        <v>43801</v>
      </c>
      <c r="X7138" t="s">
        <v>45104</v>
      </c>
    </row>
    <row r="7139" spans="1:24">
      <c r="A7139">
        <f>HYPERLINK("https://www.philgeps.gov.ph/GEPSNONPILOT/Tender/SplashBidNoticeAbstractUI.aspx?menuIndex=3&amp;refID=7035890&amp;Result=3","7035890")</f>
        <v>0</v>
      </c>
      <c r="B7139" t="s">
        <v>2135</v>
      </c>
      <c r="C7139" t="s">
        <v>10022</v>
      </c>
      <c r="D7139" t="s">
        <v>18064</v>
      </c>
      <c r="E7139" t="s">
        <v>18175</v>
      </c>
      <c r="F7139" t="s">
        <v>31574</v>
      </c>
      <c r="G7139" t="s">
        <v>31582</v>
      </c>
      <c r="H7139" t="s">
        <v>31591</v>
      </c>
      <c r="I7139" t="s">
        <v>8822</v>
      </c>
      <c r="J7139" t="s">
        <v>31727</v>
      </c>
      <c r="K7139" t="s">
        <v>41186</v>
      </c>
      <c r="M7139" t="s">
        <v>43817</v>
      </c>
      <c r="N7139" t="s">
        <v>45095</v>
      </c>
      <c r="O7139" t="s">
        <v>45096</v>
      </c>
      <c r="P7139">
        <v>0</v>
      </c>
      <c r="Q7139">
        <v>0</v>
      </c>
      <c r="R7139" t="s">
        <v>45103</v>
      </c>
      <c r="S7139" t="s">
        <v>45270</v>
      </c>
      <c r="T7139" t="s">
        <v>47161</v>
      </c>
      <c r="U7139" t="s">
        <v>53438</v>
      </c>
      <c r="W7139" t="s">
        <v>43817</v>
      </c>
      <c r="X7139" t="s">
        <v>45104</v>
      </c>
    </row>
    <row r="7140" spans="1:24">
      <c r="A7140">
        <f>HYPERLINK("https://www.philgeps.gov.ph/GEPSNONPILOT/Tender/SplashBidNoticeAbstractUI.aspx?menuIndex=3&amp;refID=7035889&amp;Result=3","7035889")</f>
        <v>0</v>
      </c>
      <c r="B7140" t="s">
        <v>2136</v>
      </c>
      <c r="C7140" t="s">
        <v>10023</v>
      </c>
      <c r="D7140" t="s">
        <v>18035</v>
      </c>
      <c r="E7140" t="s">
        <v>24417</v>
      </c>
      <c r="F7140" t="s">
        <v>31574</v>
      </c>
      <c r="G7140" t="s">
        <v>31582</v>
      </c>
      <c r="H7140" t="s">
        <v>31590</v>
      </c>
      <c r="I7140" t="s">
        <v>31676</v>
      </c>
      <c r="J7140" t="s">
        <v>36312</v>
      </c>
      <c r="K7140" t="s">
        <v>41184</v>
      </c>
      <c r="M7140" t="s">
        <v>43818</v>
      </c>
      <c r="N7140" t="s">
        <v>45095</v>
      </c>
      <c r="O7140" t="s">
        <v>45096</v>
      </c>
      <c r="P7140">
        <v>0</v>
      </c>
      <c r="Q7140">
        <v>1</v>
      </c>
      <c r="R7140" t="s">
        <v>45103</v>
      </c>
      <c r="S7140" t="s">
        <v>45270</v>
      </c>
      <c r="T7140" t="s">
        <v>47125</v>
      </c>
      <c r="U7140" t="s">
        <v>53439</v>
      </c>
      <c r="V7140" t="s">
        <v>60616</v>
      </c>
      <c r="W7140" t="s">
        <v>43818</v>
      </c>
      <c r="X7140" t="s">
        <v>45104</v>
      </c>
    </row>
    <row r="7141" spans="1:24">
      <c r="A7141">
        <f>HYPERLINK("https://www.philgeps.gov.ph/GEPSNONPILOT/Tender/SplashBidNoticeAbstractUI.aspx?menuIndex=3&amp;refID=7035934&amp;Result=3","7035934")</f>
        <v>0</v>
      </c>
      <c r="B7141" t="s">
        <v>1440</v>
      </c>
      <c r="C7141" t="s">
        <v>10024</v>
      </c>
      <c r="D7141" t="s">
        <v>18084</v>
      </c>
      <c r="E7141" t="s">
        <v>24418</v>
      </c>
      <c r="F7141" t="s">
        <v>31574</v>
      </c>
      <c r="G7141" t="s">
        <v>31583</v>
      </c>
      <c r="H7141" t="s">
        <v>31590</v>
      </c>
      <c r="I7141" t="s">
        <v>31639</v>
      </c>
      <c r="J7141" t="s">
        <v>33303</v>
      </c>
      <c r="K7141" t="s">
        <v>41191</v>
      </c>
      <c r="M7141" t="s">
        <v>43135</v>
      </c>
      <c r="N7141" t="s">
        <v>45095</v>
      </c>
      <c r="O7141" t="s">
        <v>45096</v>
      </c>
      <c r="P7141">
        <v>0</v>
      </c>
      <c r="Q7141">
        <v>8</v>
      </c>
      <c r="R7141" t="s">
        <v>45103</v>
      </c>
      <c r="S7141" t="s">
        <v>45270</v>
      </c>
      <c r="T7141" t="s">
        <v>47159</v>
      </c>
      <c r="U7141" t="s">
        <v>51287</v>
      </c>
      <c r="V7141" t="s">
        <v>60330</v>
      </c>
      <c r="W7141" t="s">
        <v>61706</v>
      </c>
      <c r="X7141" t="s">
        <v>45104</v>
      </c>
    </row>
    <row r="7142" spans="1:24">
      <c r="A7142">
        <f>HYPERLINK("https://www.philgeps.gov.ph/GEPSNONPILOT/Tender/SplashBidNoticeAbstractUI.aspx?menuIndex=3&amp;refID=7035905&amp;Result=3","7035905")</f>
        <v>0</v>
      </c>
      <c r="B7142" t="s">
        <v>292</v>
      </c>
      <c r="C7142" t="s">
        <v>10025</v>
      </c>
      <c r="D7142" t="s">
        <v>18022</v>
      </c>
      <c r="E7142" t="s">
        <v>24365</v>
      </c>
      <c r="F7142" t="s">
        <v>31574</v>
      </c>
      <c r="G7142" t="s">
        <v>31582</v>
      </c>
      <c r="H7142" t="s">
        <v>31590</v>
      </c>
      <c r="I7142" t="s">
        <v>31629</v>
      </c>
      <c r="J7142" t="s">
        <v>36313</v>
      </c>
      <c r="K7142" t="s">
        <v>41190</v>
      </c>
      <c r="M7142" t="s">
        <v>41778</v>
      </c>
      <c r="N7142" t="s">
        <v>45095</v>
      </c>
      <c r="O7142" t="s">
        <v>45096</v>
      </c>
      <c r="P7142">
        <v>0</v>
      </c>
      <c r="Q7142">
        <v>1</v>
      </c>
      <c r="R7142" t="s">
        <v>45103</v>
      </c>
      <c r="S7142" t="s">
        <v>45270</v>
      </c>
      <c r="T7142" t="s">
        <v>47004</v>
      </c>
      <c r="U7142" t="s">
        <v>53382</v>
      </c>
      <c r="W7142" t="s">
        <v>41778</v>
      </c>
      <c r="X7142" t="s">
        <v>45104</v>
      </c>
    </row>
    <row r="7143" spans="1:24">
      <c r="A7143">
        <f>HYPERLINK("https://www.philgeps.gov.ph/GEPSNONPILOT/Tender/SplashBidNoticeAbstractUI.aspx?menuIndex=3&amp;refID=7035912&amp;Result=3","7035912")</f>
        <v>0</v>
      </c>
      <c r="B7143" t="s">
        <v>582</v>
      </c>
      <c r="C7143" t="s">
        <v>10026</v>
      </c>
      <c r="D7143" t="s">
        <v>18099</v>
      </c>
      <c r="E7143" t="s">
        <v>24419</v>
      </c>
      <c r="F7143" t="s">
        <v>31574</v>
      </c>
      <c r="G7143" t="s">
        <v>31582</v>
      </c>
      <c r="H7143" t="s">
        <v>31590</v>
      </c>
      <c r="I7143" t="s">
        <v>31615</v>
      </c>
      <c r="J7143" t="s">
        <v>35720</v>
      </c>
      <c r="K7143" t="s">
        <v>41190</v>
      </c>
      <c r="M7143" t="s">
        <v>42084</v>
      </c>
      <c r="N7143" t="s">
        <v>45095</v>
      </c>
      <c r="O7143" t="s">
        <v>45096</v>
      </c>
      <c r="P7143">
        <v>0</v>
      </c>
      <c r="Q7143">
        <v>4</v>
      </c>
      <c r="R7143" t="s">
        <v>45103</v>
      </c>
      <c r="S7143" t="s">
        <v>45270</v>
      </c>
      <c r="T7143" t="s">
        <v>46939</v>
      </c>
      <c r="U7143" t="s">
        <v>53440</v>
      </c>
      <c r="W7143" t="s">
        <v>42084</v>
      </c>
      <c r="X7143" t="s">
        <v>45104</v>
      </c>
    </row>
    <row r="7144" spans="1:24">
      <c r="A7144">
        <f>HYPERLINK("https://www.philgeps.gov.ph/GEPSNONPILOT/Tender/SplashBidNoticeAbstractUI.aspx?menuIndex=3&amp;refID=7035933&amp;Result=3","7035933")</f>
        <v>0</v>
      </c>
      <c r="B7144" t="s">
        <v>2136</v>
      </c>
      <c r="C7144" t="s">
        <v>10027</v>
      </c>
      <c r="D7144" t="s">
        <v>18035</v>
      </c>
      <c r="E7144" t="s">
        <v>24420</v>
      </c>
      <c r="F7144" t="s">
        <v>31574</v>
      </c>
      <c r="G7144" t="s">
        <v>31582</v>
      </c>
      <c r="H7144" t="s">
        <v>31590</v>
      </c>
      <c r="I7144" t="s">
        <v>31615</v>
      </c>
      <c r="J7144" t="s">
        <v>31727</v>
      </c>
      <c r="K7144" t="s">
        <v>41184</v>
      </c>
      <c r="M7144" t="s">
        <v>43818</v>
      </c>
      <c r="N7144" t="s">
        <v>45095</v>
      </c>
      <c r="O7144" t="s">
        <v>45096</v>
      </c>
      <c r="P7144">
        <v>0</v>
      </c>
      <c r="Q7144">
        <v>0</v>
      </c>
      <c r="R7144" t="s">
        <v>45103</v>
      </c>
      <c r="S7144" t="s">
        <v>45270</v>
      </c>
      <c r="T7144" t="s">
        <v>47125</v>
      </c>
      <c r="U7144" t="s">
        <v>53441</v>
      </c>
      <c r="V7144" t="s">
        <v>60617</v>
      </c>
      <c r="W7144" t="s">
        <v>43818</v>
      </c>
      <c r="X7144" t="s">
        <v>45104</v>
      </c>
    </row>
    <row r="7145" spans="1:24">
      <c r="A7145">
        <f>HYPERLINK("https://www.philgeps.gov.ph/GEPSNONPILOT/Tender/SplashBidNoticeAbstractUI.aspx?menuIndex=3&amp;refID=7035925&amp;Result=3","7035925")</f>
        <v>0</v>
      </c>
      <c r="B7145" t="s">
        <v>671</v>
      </c>
      <c r="C7145" t="s">
        <v>10028</v>
      </c>
      <c r="D7145" t="s">
        <v>18022</v>
      </c>
      <c r="E7145" t="s">
        <v>24421</v>
      </c>
      <c r="F7145" t="s">
        <v>31574</v>
      </c>
      <c r="G7145" t="s">
        <v>31581</v>
      </c>
      <c r="H7145" t="s">
        <v>31592</v>
      </c>
      <c r="I7145" t="s">
        <v>31623</v>
      </c>
      <c r="J7145" t="s">
        <v>36314</v>
      </c>
      <c r="K7145" t="s">
        <v>41198</v>
      </c>
      <c r="M7145" t="s">
        <v>42177</v>
      </c>
      <c r="N7145" t="s">
        <v>45095</v>
      </c>
      <c r="O7145" t="s">
        <v>45096</v>
      </c>
      <c r="P7145">
        <v>0</v>
      </c>
      <c r="Q7145">
        <v>2</v>
      </c>
      <c r="R7145" t="s">
        <v>45103</v>
      </c>
      <c r="S7145" t="s">
        <v>45270</v>
      </c>
      <c r="T7145" t="s">
        <v>47176</v>
      </c>
      <c r="U7145" t="s">
        <v>53442</v>
      </c>
      <c r="W7145" t="s">
        <v>42177</v>
      </c>
      <c r="X7145" t="s">
        <v>45104</v>
      </c>
    </row>
    <row r="7146" spans="1:24">
      <c r="A7146">
        <f>HYPERLINK("https://www.philgeps.gov.ph/GEPSNONPILOT/Tender/SplashBidNoticeAbstractUI.aspx?menuIndex=3&amp;refID=7035924&amp;Result=3","7035924")</f>
        <v>0</v>
      </c>
      <c r="B7146" t="s">
        <v>2129</v>
      </c>
      <c r="C7146" t="s">
        <v>10029</v>
      </c>
      <c r="D7146" t="s">
        <v>18024</v>
      </c>
      <c r="E7146" t="s">
        <v>24422</v>
      </c>
      <c r="F7146" t="s">
        <v>31574</v>
      </c>
      <c r="G7146" t="s">
        <v>31582</v>
      </c>
      <c r="H7146" t="s">
        <v>31590</v>
      </c>
      <c r="I7146" t="s">
        <v>8822</v>
      </c>
      <c r="J7146" t="s">
        <v>36315</v>
      </c>
      <c r="K7146" t="s">
        <v>41184</v>
      </c>
      <c r="M7146" t="s">
        <v>43811</v>
      </c>
      <c r="N7146" t="s">
        <v>45095</v>
      </c>
      <c r="O7146" t="s">
        <v>45096</v>
      </c>
      <c r="P7146">
        <v>0</v>
      </c>
      <c r="Q7146">
        <v>0</v>
      </c>
      <c r="R7146" t="s">
        <v>45103</v>
      </c>
      <c r="S7146" t="s">
        <v>45270</v>
      </c>
      <c r="T7146" t="s">
        <v>46985</v>
      </c>
      <c r="U7146" t="s">
        <v>53443</v>
      </c>
      <c r="W7146" t="s">
        <v>43811</v>
      </c>
      <c r="X7146" t="s">
        <v>45104</v>
      </c>
    </row>
    <row r="7147" spans="1:24">
      <c r="A7147">
        <f>HYPERLINK("https://www.philgeps.gov.ph/GEPSNONPILOT/Tender/SplashBidNoticeAbstractUI.aspx?menuIndex=3&amp;refID=7035918&amp;Result=3","7035918")</f>
        <v>0</v>
      </c>
      <c r="B7147" t="s">
        <v>471</v>
      </c>
      <c r="C7147" t="s">
        <v>10030</v>
      </c>
      <c r="D7147" t="s">
        <v>18052</v>
      </c>
      <c r="E7147" t="s">
        <v>19791</v>
      </c>
      <c r="F7147" t="s">
        <v>31574</v>
      </c>
      <c r="G7147" t="s">
        <v>31582</v>
      </c>
      <c r="H7147" t="s">
        <v>31590</v>
      </c>
      <c r="I7147" t="s">
        <v>4046</v>
      </c>
      <c r="J7147" t="s">
        <v>36316</v>
      </c>
      <c r="K7147" t="s">
        <v>41189</v>
      </c>
      <c r="M7147" t="s">
        <v>41966</v>
      </c>
      <c r="N7147" t="s">
        <v>45095</v>
      </c>
      <c r="O7147" t="s">
        <v>45096</v>
      </c>
      <c r="P7147">
        <v>0</v>
      </c>
      <c r="Q7147">
        <v>0</v>
      </c>
      <c r="R7147" t="s">
        <v>45103</v>
      </c>
      <c r="S7147" t="s">
        <v>45270</v>
      </c>
      <c r="T7147" t="s">
        <v>47309</v>
      </c>
      <c r="U7147" t="s">
        <v>53444</v>
      </c>
      <c r="W7147" t="s">
        <v>41966</v>
      </c>
      <c r="X7147" t="s">
        <v>45104</v>
      </c>
    </row>
    <row r="7148" spans="1:24">
      <c r="A7148">
        <f>HYPERLINK("https://www.philgeps.gov.ph/GEPSNONPILOT/Tender/SplashBidNoticeAbstractUI.aspx?menuIndex=3&amp;refID=7035956&amp;Result=3","7035956")</f>
        <v>0</v>
      </c>
      <c r="B7148" t="s">
        <v>886</v>
      </c>
      <c r="C7148" t="s">
        <v>10031</v>
      </c>
      <c r="E7148" t="s">
        <v>24423</v>
      </c>
      <c r="F7148" t="s">
        <v>31574</v>
      </c>
      <c r="G7148" t="s">
        <v>31581</v>
      </c>
      <c r="H7148" t="s">
        <v>31590</v>
      </c>
      <c r="I7148" t="s">
        <v>31619</v>
      </c>
      <c r="J7148" t="s">
        <v>31845</v>
      </c>
      <c r="K7148" t="s">
        <v>41184</v>
      </c>
      <c r="M7148" t="s">
        <v>42407</v>
      </c>
      <c r="N7148" t="s">
        <v>45095</v>
      </c>
      <c r="O7148" t="s">
        <v>45096</v>
      </c>
      <c r="P7148">
        <v>0</v>
      </c>
      <c r="Q7148">
        <v>10</v>
      </c>
      <c r="R7148" t="s">
        <v>45103</v>
      </c>
      <c r="S7148" t="s">
        <v>45270</v>
      </c>
      <c r="T7148" t="s">
        <v>47080</v>
      </c>
      <c r="U7148" t="s">
        <v>53363</v>
      </c>
      <c r="W7148" t="s">
        <v>42407</v>
      </c>
      <c r="X7148" t="s">
        <v>45104</v>
      </c>
    </row>
    <row r="7149" spans="1:24">
      <c r="A7149">
        <f>HYPERLINK("https://www.philgeps.gov.ph/GEPSNONPILOT/Tender/SplashBidNoticeAbstractUI.aspx?menuIndex=3&amp;refID=7035955&amp;Result=3","7035955")</f>
        <v>0</v>
      </c>
      <c r="B7149" t="s">
        <v>2137</v>
      </c>
      <c r="C7149" t="s">
        <v>10032</v>
      </c>
      <c r="E7149" t="s">
        <v>19560</v>
      </c>
      <c r="F7149" t="s">
        <v>31574</v>
      </c>
      <c r="G7149" t="s">
        <v>31582</v>
      </c>
      <c r="H7149" t="s">
        <v>31591</v>
      </c>
      <c r="I7149" t="s">
        <v>8822</v>
      </c>
      <c r="J7149" t="s">
        <v>32232</v>
      </c>
      <c r="K7149" t="s">
        <v>41184</v>
      </c>
      <c r="M7149" t="s">
        <v>43819</v>
      </c>
      <c r="N7149" t="s">
        <v>45095</v>
      </c>
      <c r="O7149" t="s">
        <v>45096</v>
      </c>
      <c r="P7149">
        <v>0</v>
      </c>
      <c r="Q7149">
        <v>1</v>
      </c>
      <c r="R7149" t="s">
        <v>45103</v>
      </c>
      <c r="S7149" t="s">
        <v>45270</v>
      </c>
      <c r="T7149" t="s">
        <v>46965</v>
      </c>
      <c r="U7149" t="s">
        <v>53445</v>
      </c>
      <c r="W7149" t="s">
        <v>43819</v>
      </c>
      <c r="X7149" t="s">
        <v>45104</v>
      </c>
    </row>
    <row r="7150" spans="1:24">
      <c r="A7150">
        <f>HYPERLINK("https://www.philgeps.gov.ph/GEPSNONPILOT/Tender/SplashBidNoticeAbstractUI.aspx?menuIndex=3&amp;refID=7035952&amp;Result=3","7035952")</f>
        <v>0</v>
      </c>
      <c r="B7150" t="s">
        <v>292</v>
      </c>
      <c r="C7150" t="s">
        <v>10033</v>
      </c>
      <c r="D7150" t="s">
        <v>18022</v>
      </c>
      <c r="E7150" t="s">
        <v>24365</v>
      </c>
      <c r="F7150" t="s">
        <v>31574</v>
      </c>
      <c r="G7150" t="s">
        <v>31582</v>
      </c>
      <c r="H7150" t="s">
        <v>31590</v>
      </c>
      <c r="I7150" t="s">
        <v>31616</v>
      </c>
      <c r="J7150" t="s">
        <v>36317</v>
      </c>
      <c r="K7150" t="s">
        <v>41190</v>
      </c>
      <c r="M7150" t="s">
        <v>41778</v>
      </c>
      <c r="N7150" t="s">
        <v>45095</v>
      </c>
      <c r="O7150" t="s">
        <v>45096</v>
      </c>
      <c r="P7150">
        <v>0</v>
      </c>
      <c r="Q7150">
        <v>11</v>
      </c>
      <c r="R7150" t="s">
        <v>45103</v>
      </c>
      <c r="S7150" t="s">
        <v>45270</v>
      </c>
      <c r="T7150" t="s">
        <v>47004</v>
      </c>
      <c r="U7150" t="s">
        <v>53382</v>
      </c>
      <c r="W7150" t="s">
        <v>41778</v>
      </c>
      <c r="X7150" t="s">
        <v>45104</v>
      </c>
    </row>
    <row r="7151" spans="1:24">
      <c r="A7151">
        <f>HYPERLINK("https://www.philgeps.gov.ph/GEPSNONPILOT/Tender/SplashBidNoticeAbstractUI.aspx?menuIndex=3&amp;refID=7035944&amp;Result=3","7035944")</f>
        <v>0</v>
      </c>
      <c r="B7151" t="s">
        <v>1471</v>
      </c>
      <c r="C7151" t="s">
        <v>10034</v>
      </c>
      <c r="D7151" t="s">
        <v>18041</v>
      </c>
      <c r="E7151" t="s">
        <v>24424</v>
      </c>
      <c r="F7151" t="s">
        <v>31574</v>
      </c>
      <c r="G7151" t="s">
        <v>31581</v>
      </c>
      <c r="H7151" t="s">
        <v>31590</v>
      </c>
      <c r="I7151" t="s">
        <v>6800</v>
      </c>
      <c r="J7151" t="s">
        <v>36318</v>
      </c>
      <c r="K7151" t="s">
        <v>41196</v>
      </c>
      <c r="M7151" t="s">
        <v>43053</v>
      </c>
      <c r="N7151" t="s">
        <v>45095</v>
      </c>
      <c r="O7151" t="s">
        <v>45096</v>
      </c>
      <c r="P7151">
        <v>0</v>
      </c>
      <c r="Q7151">
        <v>1</v>
      </c>
      <c r="R7151" t="s">
        <v>45103</v>
      </c>
      <c r="S7151" t="s">
        <v>45270</v>
      </c>
      <c r="T7151" t="s">
        <v>47235</v>
      </c>
      <c r="U7151" t="s">
        <v>53446</v>
      </c>
      <c r="W7151" t="s">
        <v>43053</v>
      </c>
      <c r="X7151" t="s">
        <v>45104</v>
      </c>
    </row>
    <row r="7152" spans="1:24">
      <c r="A7152">
        <f>HYPERLINK("https://www.philgeps.gov.ph/GEPSNONPILOT/Tender/SplashBidNoticeAbstractUI.aspx?menuIndex=3&amp;refID=7035948&amp;Result=3","7035948")</f>
        <v>0</v>
      </c>
      <c r="B7152" t="s">
        <v>2138</v>
      </c>
      <c r="C7152" t="s">
        <v>10035</v>
      </c>
      <c r="D7152" t="s">
        <v>18023</v>
      </c>
      <c r="E7152" t="s">
        <v>24425</v>
      </c>
      <c r="F7152" t="s">
        <v>31574</v>
      </c>
      <c r="G7152" t="s">
        <v>31583</v>
      </c>
      <c r="H7152" t="s">
        <v>31590</v>
      </c>
      <c r="I7152" t="s">
        <v>4327</v>
      </c>
      <c r="J7152" t="s">
        <v>36319</v>
      </c>
      <c r="K7152" t="s">
        <v>41193</v>
      </c>
      <c r="M7152" t="s">
        <v>43820</v>
      </c>
      <c r="N7152" t="s">
        <v>45095</v>
      </c>
      <c r="O7152" t="s">
        <v>45096</v>
      </c>
      <c r="P7152">
        <v>0</v>
      </c>
      <c r="Q7152">
        <v>5</v>
      </c>
      <c r="R7152" t="s">
        <v>45103</v>
      </c>
      <c r="S7152" t="s">
        <v>45270</v>
      </c>
      <c r="T7152" t="s">
        <v>47058</v>
      </c>
      <c r="U7152" t="s">
        <v>53447</v>
      </c>
      <c r="W7152" t="s">
        <v>43820</v>
      </c>
      <c r="X7152" t="s">
        <v>45104</v>
      </c>
    </row>
    <row r="7153" spans="1:24">
      <c r="A7153">
        <f>HYPERLINK("https://www.philgeps.gov.ph/GEPSNONPILOT/Tender/SplashBidNoticeAbstractUI.aspx?menuIndex=3&amp;refID=7035943&amp;Result=3","7035943")</f>
        <v>0</v>
      </c>
      <c r="B7153" t="s">
        <v>886</v>
      </c>
      <c r="C7153" t="s">
        <v>10036</v>
      </c>
      <c r="E7153" t="s">
        <v>24426</v>
      </c>
      <c r="F7153" t="s">
        <v>31574</v>
      </c>
      <c r="G7153" t="s">
        <v>31581</v>
      </c>
      <c r="H7153" t="s">
        <v>31590</v>
      </c>
      <c r="I7153" t="s">
        <v>31594</v>
      </c>
      <c r="J7153" t="s">
        <v>31884</v>
      </c>
      <c r="K7153" t="s">
        <v>41184</v>
      </c>
      <c r="M7153" t="s">
        <v>42407</v>
      </c>
      <c r="N7153" t="s">
        <v>45095</v>
      </c>
      <c r="O7153" t="s">
        <v>45096</v>
      </c>
      <c r="P7153">
        <v>0</v>
      </c>
      <c r="Q7153">
        <v>3</v>
      </c>
      <c r="R7153" t="s">
        <v>45103</v>
      </c>
      <c r="S7153" t="s">
        <v>45270</v>
      </c>
      <c r="T7153" t="s">
        <v>47080</v>
      </c>
      <c r="U7153" t="s">
        <v>53363</v>
      </c>
      <c r="W7153" t="s">
        <v>42407</v>
      </c>
      <c r="X7153" t="s">
        <v>45104</v>
      </c>
    </row>
    <row r="7154" spans="1:24">
      <c r="A7154">
        <f>HYPERLINK("https://www.philgeps.gov.ph/GEPSNONPILOT/Tender/SplashBidNoticeAbstractUI.aspx?menuIndex=3&amp;refID=7035929&amp;Result=3","7035929")</f>
        <v>0</v>
      </c>
      <c r="B7154" t="s">
        <v>2139</v>
      </c>
      <c r="C7154" t="s">
        <v>10037</v>
      </c>
      <c r="D7154" t="s">
        <v>18028</v>
      </c>
      <c r="E7154" t="s">
        <v>24427</v>
      </c>
      <c r="F7154" t="s">
        <v>31574</v>
      </c>
      <c r="G7154" t="s">
        <v>31582</v>
      </c>
      <c r="H7154" t="s">
        <v>31591</v>
      </c>
      <c r="I7154" t="s">
        <v>31611</v>
      </c>
      <c r="J7154" t="s">
        <v>32101</v>
      </c>
      <c r="K7154" t="s">
        <v>41184</v>
      </c>
      <c r="M7154" t="s">
        <v>43821</v>
      </c>
      <c r="N7154" t="s">
        <v>45095</v>
      </c>
      <c r="O7154" t="s">
        <v>45096</v>
      </c>
      <c r="P7154">
        <v>0</v>
      </c>
      <c r="Q7154">
        <v>2</v>
      </c>
      <c r="R7154" t="s">
        <v>45103</v>
      </c>
      <c r="S7154" t="s">
        <v>45270</v>
      </c>
      <c r="T7154" t="s">
        <v>47067</v>
      </c>
      <c r="U7154" t="s">
        <v>53448</v>
      </c>
      <c r="W7154" t="s">
        <v>43821</v>
      </c>
      <c r="X7154" t="s">
        <v>45104</v>
      </c>
    </row>
    <row r="7155" spans="1:24">
      <c r="A7155">
        <f>HYPERLINK("https://www.philgeps.gov.ph/GEPSNONPILOT/Tender/SplashBidNoticeAbstractUI.aspx?menuIndex=3&amp;refID=7035936&amp;Result=3","7035936")</f>
        <v>0</v>
      </c>
      <c r="B7155" t="s">
        <v>1333</v>
      </c>
      <c r="C7155" t="s">
        <v>10038</v>
      </c>
      <c r="D7155" t="s">
        <v>18049</v>
      </c>
      <c r="E7155" t="s">
        <v>24428</v>
      </c>
      <c r="F7155" t="s">
        <v>31574</v>
      </c>
      <c r="G7155" t="s">
        <v>31582</v>
      </c>
      <c r="H7155" t="s">
        <v>31590</v>
      </c>
      <c r="I7155" t="s">
        <v>31615</v>
      </c>
      <c r="J7155" t="s">
        <v>36320</v>
      </c>
      <c r="K7155" t="s">
        <v>41196</v>
      </c>
      <c r="M7155" t="s">
        <v>42905</v>
      </c>
      <c r="N7155" t="s">
        <v>45095</v>
      </c>
      <c r="O7155" t="s">
        <v>45096</v>
      </c>
      <c r="P7155">
        <v>0</v>
      </c>
      <c r="Q7155">
        <v>5</v>
      </c>
      <c r="R7155" t="s">
        <v>45103</v>
      </c>
      <c r="S7155" t="s">
        <v>45270</v>
      </c>
      <c r="T7155" t="s">
        <v>46988</v>
      </c>
      <c r="U7155" t="s">
        <v>53449</v>
      </c>
      <c r="W7155" t="s">
        <v>42905</v>
      </c>
      <c r="X7155" t="s">
        <v>45104</v>
      </c>
    </row>
    <row r="7156" spans="1:24">
      <c r="A7156">
        <f>HYPERLINK("https://www.philgeps.gov.ph/GEPSNONPILOT/Tender/SplashBidNoticeAbstractUI.aspx?menuIndex=3&amp;refID=7035920&amp;Result=3","7035920")</f>
        <v>0</v>
      </c>
      <c r="B7156" t="s">
        <v>2140</v>
      </c>
      <c r="C7156" t="s">
        <v>10039</v>
      </c>
      <c r="D7156" t="s">
        <v>18056</v>
      </c>
      <c r="E7156" t="s">
        <v>24429</v>
      </c>
      <c r="F7156" t="s">
        <v>31574</v>
      </c>
      <c r="G7156" t="s">
        <v>31582</v>
      </c>
      <c r="H7156" t="s">
        <v>31590</v>
      </c>
      <c r="I7156" t="s">
        <v>31602</v>
      </c>
      <c r="J7156" t="s">
        <v>36321</v>
      </c>
      <c r="K7156" t="s">
        <v>41240</v>
      </c>
      <c r="M7156" t="s">
        <v>43822</v>
      </c>
      <c r="N7156" t="s">
        <v>45095</v>
      </c>
      <c r="O7156" t="s">
        <v>45096</v>
      </c>
      <c r="P7156">
        <v>0</v>
      </c>
      <c r="Q7156">
        <v>0</v>
      </c>
      <c r="R7156" t="s">
        <v>45103</v>
      </c>
      <c r="S7156" t="s">
        <v>45270</v>
      </c>
      <c r="T7156" t="s">
        <v>46965</v>
      </c>
      <c r="U7156" t="s">
        <v>53450</v>
      </c>
      <c r="W7156" t="s">
        <v>43822</v>
      </c>
      <c r="X7156" t="s">
        <v>45104</v>
      </c>
    </row>
    <row r="7157" spans="1:24">
      <c r="A7157">
        <f>HYPERLINK("https://www.philgeps.gov.ph/GEPSNONPILOT/Tender/SplashBidNoticeAbstractUI.aspx?menuIndex=3&amp;refID=7035977&amp;Result=3","7035977")</f>
        <v>0</v>
      </c>
      <c r="B7157" t="s">
        <v>1412</v>
      </c>
      <c r="C7157" t="s">
        <v>10040</v>
      </c>
      <c r="D7157" t="s">
        <v>18075</v>
      </c>
      <c r="E7157" t="s">
        <v>24430</v>
      </c>
      <c r="F7157" t="s">
        <v>31574</v>
      </c>
      <c r="G7157" t="s">
        <v>31582</v>
      </c>
      <c r="H7157" t="s">
        <v>31591</v>
      </c>
      <c r="I7157" t="s">
        <v>8822</v>
      </c>
      <c r="J7157" t="s">
        <v>36322</v>
      </c>
      <c r="K7157" t="s">
        <v>41184</v>
      </c>
      <c r="M7157" t="s">
        <v>42988</v>
      </c>
      <c r="N7157" t="s">
        <v>45095</v>
      </c>
      <c r="O7157" t="s">
        <v>45096</v>
      </c>
      <c r="P7157">
        <v>0</v>
      </c>
      <c r="Q7157">
        <v>0</v>
      </c>
      <c r="R7157" t="s">
        <v>45103</v>
      </c>
      <c r="S7157" t="s">
        <v>45270</v>
      </c>
      <c r="T7157" t="s">
        <v>46930</v>
      </c>
      <c r="U7157" t="s">
        <v>53451</v>
      </c>
      <c r="W7157" t="s">
        <v>42988</v>
      </c>
      <c r="X7157" t="s">
        <v>45104</v>
      </c>
    </row>
    <row r="7158" spans="1:24">
      <c r="A7158">
        <f>HYPERLINK("https://www.philgeps.gov.ph/GEPSNONPILOT/Tender/SplashBidNoticeAbstractUI.aspx?menuIndex=3&amp;refID=7035941&amp;Result=3","7035941")</f>
        <v>0</v>
      </c>
      <c r="B7158" t="s">
        <v>951</v>
      </c>
      <c r="C7158" t="s">
        <v>10041</v>
      </c>
      <c r="D7158" t="s">
        <v>18074</v>
      </c>
      <c r="E7158" t="s">
        <v>24431</v>
      </c>
      <c r="F7158" t="s">
        <v>31574</v>
      </c>
      <c r="G7158" t="s">
        <v>31582</v>
      </c>
      <c r="H7158" t="s">
        <v>31590</v>
      </c>
      <c r="I7158" t="s">
        <v>31619</v>
      </c>
      <c r="J7158" t="s">
        <v>36323</v>
      </c>
      <c r="K7158" t="s">
        <v>41192</v>
      </c>
      <c r="M7158" t="s">
        <v>42478</v>
      </c>
      <c r="N7158" t="s">
        <v>45095</v>
      </c>
      <c r="O7158" t="s">
        <v>45096</v>
      </c>
      <c r="P7158">
        <v>0</v>
      </c>
      <c r="Q7158">
        <v>10</v>
      </c>
      <c r="R7158" t="s">
        <v>45103</v>
      </c>
      <c r="S7158" t="s">
        <v>45270</v>
      </c>
      <c r="T7158" t="s">
        <v>47114</v>
      </c>
      <c r="U7158" t="s">
        <v>53452</v>
      </c>
      <c r="V7158" t="s">
        <v>60083</v>
      </c>
      <c r="W7158" t="s">
        <v>42478</v>
      </c>
      <c r="X7158" t="s">
        <v>45104</v>
      </c>
    </row>
    <row r="7159" spans="1:24">
      <c r="A7159">
        <f>HYPERLINK("https://www.philgeps.gov.ph/GEPSNONPILOT/Tender/SplashBidNoticeAbstractUI.aspx?menuIndex=3&amp;refID=7035971&amp;Result=3","7035971")</f>
        <v>0</v>
      </c>
      <c r="B7159" t="s">
        <v>2141</v>
      </c>
      <c r="C7159" t="s">
        <v>10042</v>
      </c>
      <c r="D7159" t="s">
        <v>18034</v>
      </c>
      <c r="E7159" t="s">
        <v>18629</v>
      </c>
      <c r="F7159" t="s">
        <v>31574</v>
      </c>
      <c r="G7159" t="s">
        <v>31581</v>
      </c>
      <c r="H7159" t="s">
        <v>31590</v>
      </c>
      <c r="I7159" t="s">
        <v>5717</v>
      </c>
      <c r="J7159" t="s">
        <v>36324</v>
      </c>
      <c r="K7159" t="s">
        <v>41191</v>
      </c>
      <c r="M7159" t="s">
        <v>43823</v>
      </c>
      <c r="N7159" t="s">
        <v>45095</v>
      </c>
      <c r="O7159" t="s">
        <v>45096</v>
      </c>
      <c r="P7159">
        <v>0</v>
      </c>
      <c r="Q7159">
        <v>5</v>
      </c>
      <c r="R7159" t="s">
        <v>45103</v>
      </c>
      <c r="S7159" t="s">
        <v>45270</v>
      </c>
      <c r="T7159" t="s">
        <v>46941</v>
      </c>
      <c r="U7159" t="s">
        <v>53453</v>
      </c>
      <c r="V7159" t="s">
        <v>60618</v>
      </c>
      <c r="W7159" t="s">
        <v>43823</v>
      </c>
      <c r="X7159" t="s">
        <v>45104</v>
      </c>
    </row>
    <row r="7160" spans="1:24">
      <c r="A7160">
        <f>HYPERLINK("https://www.philgeps.gov.ph/GEPSNONPILOT/Tender/SplashBidNoticeAbstractUI.aspx?menuIndex=3&amp;refID=7035958&amp;Result=3","7035958")</f>
        <v>0</v>
      </c>
      <c r="B7160" t="s">
        <v>1938</v>
      </c>
      <c r="C7160" t="s">
        <v>10043</v>
      </c>
      <c r="D7160" t="s">
        <v>18103</v>
      </c>
      <c r="E7160" t="s">
        <v>24432</v>
      </c>
      <c r="F7160" t="s">
        <v>31574</v>
      </c>
      <c r="G7160" t="s">
        <v>31582</v>
      </c>
      <c r="H7160" t="s">
        <v>31591</v>
      </c>
      <c r="I7160" t="s">
        <v>8822</v>
      </c>
      <c r="J7160" t="s">
        <v>36325</v>
      </c>
      <c r="K7160" t="s">
        <v>41200</v>
      </c>
      <c r="M7160" t="s">
        <v>43593</v>
      </c>
      <c r="N7160" t="s">
        <v>45095</v>
      </c>
      <c r="O7160" t="s">
        <v>45096</v>
      </c>
      <c r="P7160">
        <v>0</v>
      </c>
      <c r="Q7160">
        <v>0</v>
      </c>
      <c r="R7160" t="s">
        <v>45103</v>
      </c>
      <c r="S7160" t="s">
        <v>45270</v>
      </c>
      <c r="T7160" t="s">
        <v>46923</v>
      </c>
      <c r="U7160" t="s">
        <v>53454</v>
      </c>
      <c r="W7160" t="s">
        <v>43593</v>
      </c>
      <c r="X7160" t="s">
        <v>45104</v>
      </c>
    </row>
    <row r="7161" spans="1:24">
      <c r="A7161">
        <f>HYPERLINK("https://www.philgeps.gov.ph/GEPSNONPILOT/Tender/SplashBidNoticeAbstractUI.aspx?menuIndex=3&amp;refID=7035965&amp;Result=3","7035965")</f>
        <v>0</v>
      </c>
      <c r="B7161" t="s">
        <v>2142</v>
      </c>
      <c r="C7161" t="s">
        <v>10044</v>
      </c>
      <c r="D7161" t="s">
        <v>18023</v>
      </c>
      <c r="E7161" t="s">
        <v>24433</v>
      </c>
      <c r="F7161" t="s">
        <v>31574</v>
      </c>
      <c r="G7161" t="s">
        <v>31582</v>
      </c>
      <c r="H7161" t="s">
        <v>31590</v>
      </c>
      <c r="I7161" t="s">
        <v>3487</v>
      </c>
      <c r="J7161" t="s">
        <v>36326</v>
      </c>
      <c r="K7161" t="s">
        <v>41184</v>
      </c>
      <c r="M7161" t="s">
        <v>43824</v>
      </c>
      <c r="N7161" t="s">
        <v>45095</v>
      </c>
      <c r="O7161" t="s">
        <v>45096</v>
      </c>
      <c r="P7161">
        <v>0</v>
      </c>
      <c r="Q7161">
        <v>0</v>
      </c>
      <c r="R7161" t="s">
        <v>45103</v>
      </c>
      <c r="S7161" t="s">
        <v>45270</v>
      </c>
      <c r="T7161" t="s">
        <v>47311</v>
      </c>
      <c r="U7161" t="s">
        <v>53455</v>
      </c>
      <c r="W7161" t="s">
        <v>43824</v>
      </c>
      <c r="X7161" t="s">
        <v>45104</v>
      </c>
    </row>
    <row r="7162" spans="1:24">
      <c r="A7162">
        <f>HYPERLINK("https://www.philgeps.gov.ph/GEPSNONPILOT/Tender/SplashBidNoticeAbstractUI.aspx?menuIndex=3&amp;refID=7035994&amp;Result=3","7035994")</f>
        <v>0</v>
      </c>
      <c r="B7162" t="s">
        <v>123</v>
      </c>
      <c r="C7162" t="s">
        <v>10045</v>
      </c>
      <c r="D7162" t="s">
        <v>18044</v>
      </c>
      <c r="E7162" t="s">
        <v>24223</v>
      </c>
      <c r="F7162" t="s">
        <v>31574</v>
      </c>
      <c r="G7162" t="s">
        <v>31582</v>
      </c>
      <c r="H7162" t="s">
        <v>31591</v>
      </c>
      <c r="I7162" t="s">
        <v>8822</v>
      </c>
      <c r="J7162" t="s">
        <v>36327</v>
      </c>
      <c r="K7162" t="s">
        <v>41192</v>
      </c>
      <c r="M7162" t="s">
        <v>41607</v>
      </c>
      <c r="N7162" t="s">
        <v>45095</v>
      </c>
      <c r="O7162" t="s">
        <v>45096</v>
      </c>
      <c r="P7162">
        <v>0</v>
      </c>
      <c r="Q7162">
        <v>4</v>
      </c>
      <c r="R7162" t="s">
        <v>45103</v>
      </c>
      <c r="S7162" t="s">
        <v>45270</v>
      </c>
      <c r="T7162" t="s">
        <v>47125</v>
      </c>
      <c r="U7162" t="s">
        <v>53456</v>
      </c>
      <c r="W7162" t="s">
        <v>41607</v>
      </c>
      <c r="X7162" t="s">
        <v>45104</v>
      </c>
    </row>
    <row r="7163" spans="1:24">
      <c r="A7163">
        <f>HYPERLINK("https://www.philgeps.gov.ph/GEPSNONPILOT/Tender/SplashBidNoticeAbstractUI.aspx?menuIndex=3&amp;refID=7035993&amp;Result=3","7035993")</f>
        <v>0</v>
      </c>
      <c r="B7163" t="s">
        <v>2143</v>
      </c>
      <c r="C7163" t="s">
        <v>10046</v>
      </c>
      <c r="E7163" t="s">
        <v>24434</v>
      </c>
      <c r="F7163" t="s">
        <v>31574</v>
      </c>
      <c r="G7163" t="s">
        <v>31582</v>
      </c>
      <c r="H7163" t="s">
        <v>31591</v>
      </c>
      <c r="I7163" t="s">
        <v>8822</v>
      </c>
      <c r="J7163" t="s">
        <v>31935</v>
      </c>
      <c r="K7163" t="s">
        <v>41192</v>
      </c>
      <c r="M7163" t="s">
        <v>43825</v>
      </c>
      <c r="N7163" t="s">
        <v>45095</v>
      </c>
      <c r="O7163" t="s">
        <v>45096</v>
      </c>
      <c r="P7163">
        <v>0</v>
      </c>
      <c r="Q7163">
        <v>0</v>
      </c>
      <c r="R7163" t="s">
        <v>45103</v>
      </c>
      <c r="S7163" t="s">
        <v>45270</v>
      </c>
      <c r="T7163" t="s">
        <v>46992</v>
      </c>
      <c r="U7163" t="s">
        <v>53457</v>
      </c>
      <c r="V7163" t="s">
        <v>60619</v>
      </c>
      <c r="W7163" t="s">
        <v>43825</v>
      </c>
      <c r="X7163" t="s">
        <v>45104</v>
      </c>
    </row>
    <row r="7164" spans="1:24">
      <c r="A7164">
        <f>HYPERLINK("https://www.philgeps.gov.ph/GEPSNONPILOT/Tender/SplashBidNoticeAbstractUI.aspx?menuIndex=3&amp;refID=7035967&amp;Result=3","7035967")</f>
        <v>0</v>
      </c>
      <c r="B7164" t="s">
        <v>2144</v>
      </c>
      <c r="C7164" t="s">
        <v>10047</v>
      </c>
      <c r="D7164" t="s">
        <v>18035</v>
      </c>
      <c r="E7164" t="s">
        <v>24435</v>
      </c>
      <c r="F7164" t="s">
        <v>31574</v>
      </c>
      <c r="G7164" t="s">
        <v>31582</v>
      </c>
      <c r="H7164" t="s">
        <v>31591</v>
      </c>
      <c r="I7164" t="s">
        <v>31695</v>
      </c>
      <c r="J7164" t="s">
        <v>36328</v>
      </c>
      <c r="K7164" t="s">
        <v>41189</v>
      </c>
      <c r="M7164" t="s">
        <v>43826</v>
      </c>
      <c r="N7164" t="s">
        <v>45095</v>
      </c>
      <c r="O7164" t="s">
        <v>45096</v>
      </c>
      <c r="P7164">
        <v>0</v>
      </c>
      <c r="Q7164">
        <v>0</v>
      </c>
      <c r="R7164" t="s">
        <v>45103</v>
      </c>
      <c r="S7164" t="s">
        <v>45270</v>
      </c>
      <c r="T7164" t="s">
        <v>47077</v>
      </c>
      <c r="U7164" t="s">
        <v>53458</v>
      </c>
      <c r="W7164" t="s">
        <v>43826</v>
      </c>
      <c r="X7164" t="s">
        <v>45104</v>
      </c>
    </row>
    <row r="7165" spans="1:24">
      <c r="A7165">
        <f>HYPERLINK("https://www.philgeps.gov.ph/GEPSNONPILOT/Tender/SplashBidNoticeAbstractUI.aspx?menuIndex=3&amp;refID=7036001&amp;Result=3","7036001")</f>
        <v>0</v>
      </c>
      <c r="B7165" t="s">
        <v>190</v>
      </c>
      <c r="C7165" t="s">
        <v>10048</v>
      </c>
      <c r="D7165" t="s">
        <v>18036</v>
      </c>
      <c r="E7165" t="s">
        <v>24436</v>
      </c>
      <c r="F7165" t="s">
        <v>31574</v>
      </c>
      <c r="G7165" t="s">
        <v>31581</v>
      </c>
      <c r="H7165" t="s">
        <v>31590</v>
      </c>
      <c r="I7165" t="s">
        <v>31598</v>
      </c>
      <c r="J7165" t="s">
        <v>32318</v>
      </c>
      <c r="K7165" t="s">
        <v>41186</v>
      </c>
      <c r="M7165" t="s">
        <v>43336</v>
      </c>
      <c r="N7165" t="s">
        <v>45095</v>
      </c>
      <c r="O7165" t="s">
        <v>45096</v>
      </c>
      <c r="P7165">
        <v>0</v>
      </c>
      <c r="Q7165">
        <v>4</v>
      </c>
      <c r="R7165" t="s">
        <v>45103</v>
      </c>
      <c r="S7165" t="s">
        <v>45270</v>
      </c>
      <c r="T7165" t="s">
        <v>47050</v>
      </c>
      <c r="U7165" t="s">
        <v>53459</v>
      </c>
      <c r="W7165" t="s">
        <v>43336</v>
      </c>
      <c r="X7165" t="s">
        <v>45104</v>
      </c>
    </row>
    <row r="7166" spans="1:24">
      <c r="A7166">
        <f>HYPERLINK("https://www.philgeps.gov.ph/GEPSNONPILOT/Tender/SplashBidNoticeAbstractUI.aspx?menuIndex=3&amp;refID=7035999&amp;Result=3","7035999")</f>
        <v>0</v>
      </c>
      <c r="B7166" t="s">
        <v>1554</v>
      </c>
      <c r="C7166" t="s">
        <v>10049</v>
      </c>
      <c r="D7166" t="s">
        <v>18056</v>
      </c>
      <c r="E7166" t="s">
        <v>24437</v>
      </c>
      <c r="F7166" t="s">
        <v>31574</v>
      </c>
      <c r="G7166" t="s">
        <v>31581</v>
      </c>
      <c r="H7166" t="s">
        <v>31592</v>
      </c>
      <c r="I7166" t="s">
        <v>3539</v>
      </c>
      <c r="J7166" t="s">
        <v>32524</v>
      </c>
      <c r="K7166" t="s">
        <v>41197</v>
      </c>
      <c r="M7166" t="s">
        <v>43153</v>
      </c>
      <c r="N7166" t="s">
        <v>45095</v>
      </c>
      <c r="O7166" t="s">
        <v>45096</v>
      </c>
      <c r="P7166">
        <v>0</v>
      </c>
      <c r="Q7166">
        <v>1</v>
      </c>
      <c r="R7166" t="s">
        <v>45103</v>
      </c>
      <c r="S7166" t="s">
        <v>45270</v>
      </c>
      <c r="T7166" t="s">
        <v>47159</v>
      </c>
      <c r="U7166" t="s">
        <v>53460</v>
      </c>
      <c r="W7166" t="s">
        <v>43153</v>
      </c>
      <c r="X7166" t="s">
        <v>45104</v>
      </c>
    </row>
    <row r="7167" spans="1:24">
      <c r="A7167">
        <f>HYPERLINK("https://www.philgeps.gov.ph/GEPSNONPILOT/Tender/SplashBidNoticeAbstractUI.aspx?menuIndex=3&amp;refID=7035995&amp;Result=3","7035995")</f>
        <v>0</v>
      </c>
      <c r="B7167" t="s">
        <v>2117</v>
      </c>
      <c r="C7167" t="s">
        <v>10050</v>
      </c>
      <c r="D7167" t="s">
        <v>18070</v>
      </c>
      <c r="E7167" t="s">
        <v>24438</v>
      </c>
      <c r="F7167" t="s">
        <v>31574</v>
      </c>
      <c r="G7167" t="s">
        <v>31581</v>
      </c>
      <c r="H7167" t="s">
        <v>31592</v>
      </c>
      <c r="I7167" t="s">
        <v>31638</v>
      </c>
      <c r="J7167" t="s">
        <v>36329</v>
      </c>
      <c r="K7167" t="s">
        <v>41190</v>
      </c>
      <c r="M7167" t="s">
        <v>43798</v>
      </c>
      <c r="N7167" t="s">
        <v>45095</v>
      </c>
      <c r="O7167" t="s">
        <v>45096</v>
      </c>
      <c r="P7167">
        <v>0</v>
      </c>
      <c r="Q7167">
        <v>0</v>
      </c>
      <c r="R7167" t="s">
        <v>45103</v>
      </c>
      <c r="S7167" t="s">
        <v>45270</v>
      </c>
      <c r="T7167" t="s">
        <v>47125</v>
      </c>
      <c r="U7167" t="s">
        <v>53461</v>
      </c>
      <c r="W7167" t="s">
        <v>43798</v>
      </c>
      <c r="X7167" t="s">
        <v>45104</v>
      </c>
    </row>
    <row r="7168" spans="1:24">
      <c r="A7168">
        <f>HYPERLINK("https://www.philgeps.gov.ph/GEPSNONPILOT/Tender/SplashBidNoticeAbstractUI.aspx?menuIndex=3&amp;refID=7035942&amp;Result=3","7035942")</f>
        <v>0</v>
      </c>
      <c r="B7168" t="s">
        <v>2112</v>
      </c>
      <c r="C7168" t="s">
        <v>10051</v>
      </c>
      <c r="D7168" t="s">
        <v>18041</v>
      </c>
      <c r="E7168" t="s">
        <v>24439</v>
      </c>
      <c r="F7168" t="s">
        <v>31574</v>
      </c>
      <c r="G7168" t="s">
        <v>31582</v>
      </c>
      <c r="H7168" t="s">
        <v>31590</v>
      </c>
      <c r="I7168" t="s">
        <v>4046</v>
      </c>
      <c r="J7168" t="s">
        <v>36330</v>
      </c>
      <c r="K7168" t="s">
        <v>41184</v>
      </c>
      <c r="M7168" t="s">
        <v>43792</v>
      </c>
      <c r="N7168" t="s">
        <v>45095</v>
      </c>
      <c r="O7168" t="s">
        <v>45096</v>
      </c>
      <c r="P7168">
        <v>0</v>
      </c>
      <c r="Q7168">
        <v>0</v>
      </c>
      <c r="R7168" t="s">
        <v>45103</v>
      </c>
      <c r="S7168" t="s">
        <v>45270</v>
      </c>
      <c r="T7168" t="s">
        <v>47188</v>
      </c>
      <c r="U7168" t="s">
        <v>53462</v>
      </c>
      <c r="V7168" t="s">
        <v>60610</v>
      </c>
      <c r="W7168" t="s">
        <v>43792</v>
      </c>
      <c r="X7168" t="s">
        <v>45104</v>
      </c>
    </row>
    <row r="7169" spans="1:24">
      <c r="A7169">
        <f>HYPERLINK("https://www.philgeps.gov.ph/GEPSNONPILOT/Tender/SplashBidNoticeAbstractUI.aspx?menuIndex=3&amp;refID=7035923&amp;Result=3","7035923")</f>
        <v>0</v>
      </c>
      <c r="B7169" t="s">
        <v>2145</v>
      </c>
      <c r="C7169" t="s">
        <v>10052</v>
      </c>
      <c r="D7169" t="s">
        <v>18034</v>
      </c>
      <c r="E7169" t="s">
        <v>24440</v>
      </c>
      <c r="F7169" t="s">
        <v>31574</v>
      </c>
      <c r="G7169" t="s">
        <v>31582</v>
      </c>
      <c r="H7169" t="s">
        <v>31591</v>
      </c>
      <c r="I7169" t="s">
        <v>8822</v>
      </c>
      <c r="J7169" t="s">
        <v>32526</v>
      </c>
      <c r="K7169" t="s">
        <v>41192</v>
      </c>
      <c r="M7169" t="s">
        <v>43827</v>
      </c>
      <c r="N7169" t="s">
        <v>45095</v>
      </c>
      <c r="O7169" t="s">
        <v>45096</v>
      </c>
      <c r="P7169">
        <v>0</v>
      </c>
      <c r="Q7169">
        <v>0</v>
      </c>
      <c r="R7169" t="s">
        <v>45103</v>
      </c>
      <c r="S7169" t="s">
        <v>45270</v>
      </c>
      <c r="T7169" t="s">
        <v>46977</v>
      </c>
      <c r="U7169" t="s">
        <v>53463</v>
      </c>
      <c r="V7169" t="s">
        <v>60620</v>
      </c>
      <c r="W7169" t="s">
        <v>43827</v>
      </c>
      <c r="X7169" t="s">
        <v>45104</v>
      </c>
    </row>
    <row r="7170" spans="1:24">
      <c r="A7170">
        <f>HYPERLINK("https://www.philgeps.gov.ph/GEPSNONPILOT/Tender/SplashBidNoticeAbstractUI.aspx?menuIndex=3&amp;refID=7035988&amp;Result=3","7035988")</f>
        <v>0</v>
      </c>
      <c r="B7170" t="s">
        <v>627</v>
      </c>
      <c r="C7170" t="s">
        <v>10053</v>
      </c>
      <c r="E7170" t="s">
        <v>24441</v>
      </c>
      <c r="F7170" t="s">
        <v>31574</v>
      </c>
      <c r="G7170" t="s">
        <v>31582</v>
      </c>
      <c r="H7170" t="s">
        <v>31591</v>
      </c>
      <c r="I7170" t="s">
        <v>8822</v>
      </c>
      <c r="J7170" t="s">
        <v>32986</v>
      </c>
      <c r="K7170" t="s">
        <v>41198</v>
      </c>
      <c r="M7170" t="s">
        <v>43091</v>
      </c>
      <c r="N7170" t="s">
        <v>45095</v>
      </c>
      <c r="O7170" t="s">
        <v>45096</v>
      </c>
      <c r="P7170">
        <v>0</v>
      </c>
      <c r="Q7170">
        <v>1</v>
      </c>
      <c r="R7170" t="s">
        <v>45103</v>
      </c>
      <c r="S7170" t="s">
        <v>45270</v>
      </c>
      <c r="T7170" t="s">
        <v>46977</v>
      </c>
      <c r="U7170" t="s">
        <v>53464</v>
      </c>
      <c r="W7170" t="s">
        <v>42131</v>
      </c>
      <c r="X7170" t="s">
        <v>45104</v>
      </c>
    </row>
    <row r="7171" spans="1:24">
      <c r="A7171">
        <f>HYPERLINK("https://www.philgeps.gov.ph/GEPSNONPILOT/Tender/SplashBidNoticeAbstractUI.aspx?menuIndex=3&amp;refID=7035987&amp;Result=3","7035987")</f>
        <v>0</v>
      </c>
      <c r="B7171" t="s">
        <v>1236</v>
      </c>
      <c r="C7171" t="s">
        <v>10054</v>
      </c>
      <c r="D7171" t="s">
        <v>18078</v>
      </c>
      <c r="E7171" t="s">
        <v>24442</v>
      </c>
      <c r="F7171" t="s">
        <v>31574</v>
      </c>
      <c r="G7171" t="s">
        <v>31581</v>
      </c>
      <c r="H7171" t="s">
        <v>31590</v>
      </c>
      <c r="I7171" t="s">
        <v>31623</v>
      </c>
      <c r="J7171" t="s">
        <v>31845</v>
      </c>
      <c r="K7171" t="s">
        <v>41193</v>
      </c>
      <c r="M7171" t="s">
        <v>42798</v>
      </c>
      <c r="N7171" t="s">
        <v>45095</v>
      </c>
      <c r="O7171" t="s">
        <v>45096</v>
      </c>
      <c r="P7171">
        <v>0</v>
      </c>
      <c r="Q7171">
        <v>0</v>
      </c>
      <c r="R7171" t="s">
        <v>45103</v>
      </c>
      <c r="S7171" t="s">
        <v>45270</v>
      </c>
      <c r="T7171" t="s">
        <v>47164</v>
      </c>
      <c r="U7171" t="s">
        <v>53465</v>
      </c>
      <c r="W7171" t="s">
        <v>42798</v>
      </c>
      <c r="X7171" t="s">
        <v>45104</v>
      </c>
    </row>
    <row r="7172" spans="1:24">
      <c r="A7172">
        <f>HYPERLINK("https://www.philgeps.gov.ph/GEPSNONPILOT/Tender/SplashBidNoticeAbstractUI.aspx?menuIndex=3&amp;refID=7035990&amp;Result=3","7035990")</f>
        <v>0</v>
      </c>
      <c r="B7172" t="s">
        <v>2090</v>
      </c>
      <c r="C7172" t="s">
        <v>10055</v>
      </c>
      <c r="D7172" t="s">
        <v>18099</v>
      </c>
      <c r="E7172" t="s">
        <v>19792</v>
      </c>
      <c r="F7172" t="s">
        <v>31574</v>
      </c>
      <c r="G7172" t="s">
        <v>31582</v>
      </c>
      <c r="H7172" t="s">
        <v>31591</v>
      </c>
      <c r="I7172" t="s">
        <v>8822</v>
      </c>
      <c r="J7172" t="s">
        <v>36331</v>
      </c>
      <c r="K7172" t="s">
        <v>41296</v>
      </c>
      <c r="M7172" t="s">
        <v>43766</v>
      </c>
      <c r="N7172" t="s">
        <v>45095</v>
      </c>
      <c r="O7172" t="s">
        <v>45096</v>
      </c>
      <c r="P7172">
        <v>0</v>
      </c>
      <c r="Q7172">
        <v>0</v>
      </c>
      <c r="R7172" t="s">
        <v>45103</v>
      </c>
      <c r="S7172" t="s">
        <v>45270</v>
      </c>
      <c r="T7172" t="s">
        <v>47302</v>
      </c>
      <c r="U7172" t="s">
        <v>53466</v>
      </c>
      <c r="W7172" t="s">
        <v>43766</v>
      </c>
      <c r="X7172" t="s">
        <v>45104</v>
      </c>
    </row>
    <row r="7173" spans="1:24">
      <c r="A7173">
        <f>HYPERLINK("https://www.philgeps.gov.ph/GEPSNONPILOT/Tender/SplashBidNoticeAbstractUI.aspx?menuIndex=3&amp;refID=7035985&amp;Result=3","7035985")</f>
        <v>0</v>
      </c>
      <c r="B7173" t="s">
        <v>1333</v>
      </c>
      <c r="C7173" t="s">
        <v>10056</v>
      </c>
      <c r="D7173" t="s">
        <v>18049</v>
      </c>
      <c r="E7173" t="s">
        <v>10056</v>
      </c>
      <c r="F7173" t="s">
        <v>31574</v>
      </c>
      <c r="G7173" t="s">
        <v>31582</v>
      </c>
      <c r="H7173" t="s">
        <v>31590</v>
      </c>
      <c r="I7173" t="s">
        <v>31615</v>
      </c>
      <c r="J7173" t="s">
        <v>36332</v>
      </c>
      <c r="K7173" t="s">
        <v>41196</v>
      </c>
      <c r="M7173" t="s">
        <v>42905</v>
      </c>
      <c r="N7173" t="s">
        <v>45095</v>
      </c>
      <c r="O7173" t="s">
        <v>45096</v>
      </c>
      <c r="P7173">
        <v>0</v>
      </c>
      <c r="Q7173">
        <v>4</v>
      </c>
      <c r="R7173" t="s">
        <v>45103</v>
      </c>
      <c r="S7173" t="s">
        <v>45270</v>
      </c>
      <c r="T7173" t="s">
        <v>46988</v>
      </c>
      <c r="U7173" t="s">
        <v>53467</v>
      </c>
      <c r="W7173" t="s">
        <v>42905</v>
      </c>
      <c r="X7173" t="s">
        <v>45104</v>
      </c>
    </row>
    <row r="7174" spans="1:24">
      <c r="A7174">
        <f>HYPERLINK("https://www.philgeps.gov.ph/GEPSNONPILOT/Tender/SplashBidNoticeAbstractUI.aspx?menuIndex=3&amp;refID=7035969&amp;Result=3","7035969")</f>
        <v>0</v>
      </c>
      <c r="B7174" t="s">
        <v>2146</v>
      </c>
      <c r="C7174" t="s">
        <v>10057</v>
      </c>
      <c r="D7174" t="s">
        <v>18058</v>
      </c>
      <c r="E7174" t="s">
        <v>24443</v>
      </c>
      <c r="F7174" t="s">
        <v>31574</v>
      </c>
      <c r="G7174" t="s">
        <v>31582</v>
      </c>
      <c r="H7174" t="s">
        <v>31590</v>
      </c>
      <c r="I7174" t="s">
        <v>7185</v>
      </c>
      <c r="J7174" t="s">
        <v>36333</v>
      </c>
      <c r="K7174" t="s">
        <v>41196</v>
      </c>
      <c r="M7174" t="s">
        <v>43828</v>
      </c>
      <c r="N7174" t="s">
        <v>45095</v>
      </c>
      <c r="O7174" t="s">
        <v>45096</v>
      </c>
      <c r="P7174">
        <v>0</v>
      </c>
      <c r="Q7174">
        <v>1</v>
      </c>
      <c r="R7174" t="s">
        <v>45103</v>
      </c>
      <c r="S7174" t="s">
        <v>45270</v>
      </c>
      <c r="T7174" t="s">
        <v>47077</v>
      </c>
      <c r="U7174" t="s">
        <v>53468</v>
      </c>
      <c r="V7174" t="s">
        <v>60621</v>
      </c>
      <c r="W7174" t="s">
        <v>43828</v>
      </c>
      <c r="X7174" t="s">
        <v>45104</v>
      </c>
    </row>
    <row r="7175" spans="1:24">
      <c r="A7175">
        <f>HYPERLINK("https://www.philgeps.gov.ph/GEPSNONPILOT/Tender/SplashBidNoticeAbstractUI.aspx?menuIndex=3&amp;refID=7036000&amp;Result=3","7036000")</f>
        <v>0</v>
      </c>
      <c r="B7175" t="s">
        <v>778</v>
      </c>
      <c r="C7175" t="s">
        <v>10058</v>
      </c>
      <c r="D7175" t="s">
        <v>18054</v>
      </c>
      <c r="E7175" t="s">
        <v>24444</v>
      </c>
      <c r="F7175" t="s">
        <v>31574</v>
      </c>
      <c r="G7175" t="s">
        <v>31582</v>
      </c>
      <c r="H7175" t="s">
        <v>31590</v>
      </c>
      <c r="I7175" t="s">
        <v>6800</v>
      </c>
      <c r="J7175" t="s">
        <v>32355</v>
      </c>
      <c r="K7175" t="s">
        <v>41196</v>
      </c>
      <c r="M7175" t="s">
        <v>42292</v>
      </c>
      <c r="N7175" t="s">
        <v>45095</v>
      </c>
      <c r="O7175" t="s">
        <v>45096</v>
      </c>
      <c r="P7175">
        <v>0</v>
      </c>
      <c r="Q7175">
        <v>2</v>
      </c>
      <c r="R7175" t="s">
        <v>45103</v>
      </c>
      <c r="S7175" t="s">
        <v>45270</v>
      </c>
      <c r="T7175" t="s">
        <v>46963</v>
      </c>
      <c r="U7175" t="s">
        <v>53469</v>
      </c>
      <c r="W7175" t="s">
        <v>42292</v>
      </c>
      <c r="X7175" t="s">
        <v>45104</v>
      </c>
    </row>
    <row r="7176" spans="1:24">
      <c r="A7176">
        <f>HYPERLINK("https://www.philgeps.gov.ph/GEPSNONPILOT/Tender/SplashBidNoticeAbstractUI.aspx?menuIndex=3&amp;refID=7035962&amp;Result=3","7035962")</f>
        <v>0</v>
      </c>
      <c r="B7176" t="s">
        <v>2132</v>
      </c>
      <c r="C7176" t="s">
        <v>10059</v>
      </c>
      <c r="D7176" t="s">
        <v>18041</v>
      </c>
      <c r="E7176" t="s">
        <v>18192</v>
      </c>
      <c r="F7176" t="s">
        <v>31575</v>
      </c>
      <c r="G7176" t="s">
        <v>31581</v>
      </c>
      <c r="H7176" t="s">
        <v>31590</v>
      </c>
      <c r="I7176" t="s">
        <v>4327</v>
      </c>
      <c r="J7176" t="s">
        <v>31845</v>
      </c>
      <c r="K7176" t="s">
        <v>41191</v>
      </c>
      <c r="M7176" t="s">
        <v>43814</v>
      </c>
      <c r="N7176" t="s">
        <v>45095</v>
      </c>
      <c r="O7176" t="s">
        <v>45096</v>
      </c>
      <c r="P7176">
        <v>0</v>
      </c>
      <c r="Q7176">
        <v>5</v>
      </c>
      <c r="R7176" t="s">
        <v>45103</v>
      </c>
      <c r="S7176" t="s">
        <v>45270</v>
      </c>
      <c r="T7176" t="s">
        <v>47124</v>
      </c>
      <c r="U7176" t="s">
        <v>53470</v>
      </c>
      <c r="W7176" t="s">
        <v>43814</v>
      </c>
      <c r="X7176" t="s">
        <v>45104</v>
      </c>
    </row>
    <row r="7177" spans="1:24">
      <c r="A7177">
        <f>HYPERLINK("https://www.philgeps.gov.ph/GEPSNONPILOT/Tender/SplashBidNoticeAbstractUI.aspx?menuIndex=3&amp;refID=7035926&amp;Result=3","7035926")</f>
        <v>0</v>
      </c>
      <c r="B7177" t="s">
        <v>152</v>
      </c>
      <c r="C7177" t="s">
        <v>10060</v>
      </c>
      <c r="D7177" t="s">
        <v>18072</v>
      </c>
      <c r="E7177" t="s">
        <v>18429</v>
      </c>
      <c r="F7177" t="s">
        <v>31574</v>
      </c>
      <c r="G7177" t="s">
        <v>31582</v>
      </c>
      <c r="H7177" t="s">
        <v>31590</v>
      </c>
      <c r="I7177" t="s">
        <v>31614</v>
      </c>
      <c r="J7177" t="s">
        <v>35720</v>
      </c>
      <c r="K7177" t="s">
        <v>41190</v>
      </c>
      <c r="M7177" t="s">
        <v>41636</v>
      </c>
      <c r="N7177" t="s">
        <v>45095</v>
      </c>
      <c r="O7177" t="s">
        <v>45096</v>
      </c>
      <c r="P7177">
        <v>0</v>
      </c>
      <c r="Q7177">
        <v>1</v>
      </c>
      <c r="R7177" t="s">
        <v>45103</v>
      </c>
      <c r="S7177" t="s">
        <v>45270</v>
      </c>
      <c r="T7177" t="s">
        <v>46922</v>
      </c>
      <c r="U7177" t="s">
        <v>53471</v>
      </c>
      <c r="W7177" t="s">
        <v>41636</v>
      </c>
      <c r="X7177" t="s">
        <v>45104</v>
      </c>
    </row>
    <row r="7178" spans="1:24">
      <c r="A7178">
        <f>HYPERLINK("https://www.philgeps.gov.ph/GEPSNONPILOT/Tender/SplashBidNoticeAbstractUI.aspx?menuIndex=3&amp;refID=7035981&amp;Result=3","7035981")</f>
        <v>0</v>
      </c>
      <c r="B7178" t="s">
        <v>2139</v>
      </c>
      <c r="C7178" t="s">
        <v>10061</v>
      </c>
      <c r="D7178" t="s">
        <v>18028</v>
      </c>
      <c r="E7178" t="s">
        <v>24445</v>
      </c>
      <c r="F7178" t="s">
        <v>31574</v>
      </c>
      <c r="G7178" t="s">
        <v>31582</v>
      </c>
      <c r="H7178" t="s">
        <v>31590</v>
      </c>
      <c r="I7178" t="s">
        <v>8822</v>
      </c>
      <c r="J7178" t="s">
        <v>34454</v>
      </c>
      <c r="K7178" t="s">
        <v>41184</v>
      </c>
      <c r="M7178" t="s">
        <v>43821</v>
      </c>
      <c r="N7178" t="s">
        <v>45095</v>
      </c>
      <c r="O7178" t="s">
        <v>45096</v>
      </c>
      <c r="P7178">
        <v>0</v>
      </c>
      <c r="Q7178">
        <v>0</v>
      </c>
      <c r="R7178" t="s">
        <v>45103</v>
      </c>
      <c r="S7178" t="s">
        <v>45270</v>
      </c>
      <c r="T7178" t="s">
        <v>47058</v>
      </c>
      <c r="U7178" t="s">
        <v>53472</v>
      </c>
      <c r="W7178" t="s">
        <v>43821</v>
      </c>
      <c r="X7178" t="s">
        <v>45104</v>
      </c>
    </row>
    <row r="7179" spans="1:24">
      <c r="A7179">
        <f>HYPERLINK("https://www.philgeps.gov.ph/GEPSNONPILOT/Tender/SplashBidNoticeAbstractUI.aspx?menuIndex=3&amp;refID=7035961&amp;Result=3","7035961")</f>
        <v>0</v>
      </c>
      <c r="B7179" t="s">
        <v>2112</v>
      </c>
      <c r="C7179" t="s">
        <v>10062</v>
      </c>
      <c r="D7179" t="s">
        <v>18041</v>
      </c>
      <c r="E7179" t="s">
        <v>24446</v>
      </c>
      <c r="F7179" t="s">
        <v>31574</v>
      </c>
      <c r="G7179" t="s">
        <v>31582</v>
      </c>
      <c r="H7179" t="s">
        <v>31590</v>
      </c>
      <c r="I7179" t="s">
        <v>4046</v>
      </c>
      <c r="J7179" t="s">
        <v>36334</v>
      </c>
      <c r="K7179" t="s">
        <v>41184</v>
      </c>
      <c r="M7179" t="s">
        <v>43792</v>
      </c>
      <c r="N7179" t="s">
        <v>45095</v>
      </c>
      <c r="O7179" t="s">
        <v>45096</v>
      </c>
      <c r="P7179">
        <v>0</v>
      </c>
      <c r="Q7179">
        <v>0</v>
      </c>
      <c r="R7179" t="s">
        <v>45103</v>
      </c>
      <c r="S7179" t="s">
        <v>45270</v>
      </c>
      <c r="T7179" t="s">
        <v>47188</v>
      </c>
      <c r="U7179" t="s">
        <v>53427</v>
      </c>
      <c r="V7179" t="s">
        <v>60610</v>
      </c>
      <c r="W7179" t="s">
        <v>43792</v>
      </c>
      <c r="X7179" t="s">
        <v>45104</v>
      </c>
    </row>
    <row r="7180" spans="1:24">
      <c r="A7180">
        <f>HYPERLINK("https://www.philgeps.gov.ph/GEPSNONPILOT/Tender/SplashBidNoticeAbstractUI.aspx?menuIndex=3&amp;refID=7035930&amp;Result=3","7035930")</f>
        <v>0</v>
      </c>
      <c r="B7180" t="s">
        <v>190</v>
      </c>
      <c r="C7180" t="s">
        <v>10063</v>
      </c>
      <c r="D7180" t="s">
        <v>18036</v>
      </c>
      <c r="E7180" t="s">
        <v>24447</v>
      </c>
      <c r="F7180" t="s">
        <v>31574</v>
      </c>
      <c r="G7180" t="s">
        <v>31581</v>
      </c>
      <c r="H7180" t="s">
        <v>31590</v>
      </c>
      <c r="I7180" t="s">
        <v>31595</v>
      </c>
      <c r="J7180" t="s">
        <v>31780</v>
      </c>
      <c r="K7180" t="s">
        <v>41186</v>
      </c>
      <c r="M7180" t="s">
        <v>41675</v>
      </c>
      <c r="N7180" t="s">
        <v>45095</v>
      </c>
      <c r="O7180" t="s">
        <v>45096</v>
      </c>
      <c r="P7180">
        <v>0</v>
      </c>
      <c r="Q7180">
        <v>3</v>
      </c>
      <c r="R7180" t="s">
        <v>45103</v>
      </c>
      <c r="S7180" t="s">
        <v>45270</v>
      </c>
      <c r="T7180" t="s">
        <v>47050</v>
      </c>
      <c r="U7180" t="s">
        <v>53473</v>
      </c>
      <c r="W7180" t="s">
        <v>41675</v>
      </c>
      <c r="X7180" t="s">
        <v>45104</v>
      </c>
    </row>
    <row r="7181" spans="1:24">
      <c r="A7181">
        <f>HYPERLINK("https://www.philgeps.gov.ph/GEPSNONPILOT/Tender/SplashBidNoticeAbstractUI.aspx?menuIndex=3&amp;refID=7035978&amp;Result=3","7035978")</f>
        <v>0</v>
      </c>
      <c r="B7181" t="s">
        <v>2132</v>
      </c>
      <c r="C7181" t="s">
        <v>10064</v>
      </c>
      <c r="D7181" t="s">
        <v>18041</v>
      </c>
      <c r="E7181" t="s">
        <v>18162</v>
      </c>
      <c r="F7181" t="s">
        <v>31575</v>
      </c>
      <c r="G7181" t="s">
        <v>31581</v>
      </c>
      <c r="H7181" t="s">
        <v>31590</v>
      </c>
      <c r="I7181" t="s">
        <v>31605</v>
      </c>
      <c r="J7181" t="s">
        <v>36335</v>
      </c>
      <c r="K7181" t="s">
        <v>41191</v>
      </c>
      <c r="M7181" t="s">
        <v>43814</v>
      </c>
      <c r="N7181" t="s">
        <v>45095</v>
      </c>
      <c r="O7181" t="s">
        <v>45096</v>
      </c>
      <c r="P7181">
        <v>0</v>
      </c>
      <c r="Q7181">
        <v>0</v>
      </c>
      <c r="R7181" t="s">
        <v>45103</v>
      </c>
      <c r="S7181" t="s">
        <v>45270</v>
      </c>
      <c r="T7181" t="s">
        <v>47124</v>
      </c>
      <c r="U7181" t="s">
        <v>53424</v>
      </c>
      <c r="W7181" t="s">
        <v>43814</v>
      </c>
      <c r="X7181" t="s">
        <v>45104</v>
      </c>
    </row>
    <row r="7182" spans="1:24">
      <c r="A7182">
        <f>HYPERLINK("https://www.philgeps.gov.ph/GEPSNONPILOT/Tender/SplashBidNoticeAbstractUI.aspx?menuIndex=3&amp;refID=7036024&amp;Result=3","7036024")</f>
        <v>0</v>
      </c>
      <c r="B7182" t="s">
        <v>2139</v>
      </c>
      <c r="C7182" t="s">
        <v>10065</v>
      </c>
      <c r="D7182" t="s">
        <v>18028</v>
      </c>
      <c r="E7182" t="s">
        <v>24448</v>
      </c>
      <c r="F7182" t="s">
        <v>31574</v>
      </c>
      <c r="G7182" t="s">
        <v>31582</v>
      </c>
      <c r="H7182" t="s">
        <v>31590</v>
      </c>
      <c r="I7182" t="s">
        <v>4327</v>
      </c>
      <c r="J7182" t="s">
        <v>31742</v>
      </c>
      <c r="K7182" t="s">
        <v>41184</v>
      </c>
      <c r="M7182" t="s">
        <v>43821</v>
      </c>
      <c r="N7182" t="s">
        <v>45095</v>
      </c>
      <c r="O7182" t="s">
        <v>45096</v>
      </c>
      <c r="P7182">
        <v>0</v>
      </c>
      <c r="Q7182">
        <v>0</v>
      </c>
      <c r="R7182" t="s">
        <v>45103</v>
      </c>
      <c r="S7182" t="s">
        <v>45270</v>
      </c>
      <c r="T7182" t="s">
        <v>47058</v>
      </c>
      <c r="U7182" t="s">
        <v>53474</v>
      </c>
      <c r="W7182" t="s">
        <v>43821</v>
      </c>
      <c r="X7182" t="s">
        <v>45104</v>
      </c>
    </row>
    <row r="7183" spans="1:24">
      <c r="A7183">
        <f>HYPERLINK("https://www.philgeps.gov.ph/GEPSNONPILOT/Tender/SplashBidNoticeAbstractUI.aspx?menuIndex=3&amp;refID=7036005&amp;Result=3","7036005")</f>
        <v>0</v>
      </c>
      <c r="B7183" t="s">
        <v>2147</v>
      </c>
      <c r="C7183" t="s">
        <v>9048</v>
      </c>
      <c r="D7183" t="s">
        <v>18035</v>
      </c>
      <c r="E7183" t="s">
        <v>24449</v>
      </c>
      <c r="F7183" t="s">
        <v>31574</v>
      </c>
      <c r="G7183" t="s">
        <v>31582</v>
      </c>
      <c r="H7183" t="s">
        <v>31590</v>
      </c>
      <c r="I7183" t="s">
        <v>8822</v>
      </c>
      <c r="J7183" t="s">
        <v>32232</v>
      </c>
      <c r="K7183" t="s">
        <v>41184</v>
      </c>
      <c r="M7183" t="s">
        <v>43829</v>
      </c>
      <c r="N7183" t="s">
        <v>45095</v>
      </c>
      <c r="O7183" t="s">
        <v>45096</v>
      </c>
      <c r="P7183">
        <v>0</v>
      </c>
      <c r="Q7183">
        <v>1</v>
      </c>
      <c r="R7183" t="s">
        <v>45103</v>
      </c>
      <c r="S7183" t="s">
        <v>45270</v>
      </c>
      <c r="T7183" t="s">
        <v>47125</v>
      </c>
      <c r="U7183" t="s">
        <v>53475</v>
      </c>
      <c r="V7183" t="s">
        <v>60622</v>
      </c>
      <c r="W7183" t="s">
        <v>43829</v>
      </c>
      <c r="X7183" t="s">
        <v>45104</v>
      </c>
    </row>
    <row r="7184" spans="1:24">
      <c r="A7184">
        <f>HYPERLINK("https://www.philgeps.gov.ph/GEPSNONPILOT/Tender/SplashBidNoticeAbstractUI.aspx?menuIndex=3&amp;refID=7036043&amp;Result=3","7036043")</f>
        <v>0</v>
      </c>
      <c r="B7184" t="s">
        <v>2132</v>
      </c>
      <c r="C7184" t="s">
        <v>10066</v>
      </c>
      <c r="D7184" t="s">
        <v>18041</v>
      </c>
      <c r="E7184" t="s">
        <v>21063</v>
      </c>
      <c r="F7184" t="s">
        <v>31575</v>
      </c>
      <c r="G7184" t="s">
        <v>31581</v>
      </c>
      <c r="H7184" t="s">
        <v>31590</v>
      </c>
      <c r="I7184" t="s">
        <v>8258</v>
      </c>
      <c r="J7184" t="s">
        <v>34019</v>
      </c>
      <c r="K7184" t="s">
        <v>41191</v>
      </c>
      <c r="M7184" t="s">
        <v>43814</v>
      </c>
      <c r="N7184" t="s">
        <v>45095</v>
      </c>
      <c r="O7184" t="s">
        <v>45096</v>
      </c>
      <c r="P7184">
        <v>0</v>
      </c>
      <c r="Q7184">
        <v>2</v>
      </c>
      <c r="R7184" t="s">
        <v>45103</v>
      </c>
      <c r="S7184" t="s">
        <v>45270</v>
      </c>
      <c r="T7184" t="s">
        <v>47124</v>
      </c>
      <c r="U7184" t="s">
        <v>53470</v>
      </c>
      <c r="W7184" t="s">
        <v>43814</v>
      </c>
      <c r="X7184" t="s">
        <v>45104</v>
      </c>
    </row>
    <row r="7185" spans="1:24">
      <c r="A7185">
        <f>HYPERLINK("https://www.philgeps.gov.ph/GEPSNONPILOT/Tender/SplashBidNoticeAbstractUI.aspx?menuIndex=3&amp;refID=7036026&amp;Result=3","7036026")</f>
        <v>0</v>
      </c>
      <c r="B7185" t="s">
        <v>2148</v>
      </c>
      <c r="C7185" t="s">
        <v>10067</v>
      </c>
      <c r="D7185" t="s">
        <v>18092</v>
      </c>
      <c r="E7185" t="s">
        <v>24450</v>
      </c>
      <c r="F7185" t="s">
        <v>31574</v>
      </c>
      <c r="G7185" t="s">
        <v>31582</v>
      </c>
      <c r="H7185" t="s">
        <v>31591</v>
      </c>
      <c r="I7185" t="s">
        <v>8822</v>
      </c>
      <c r="J7185" t="s">
        <v>36336</v>
      </c>
      <c r="K7185" t="s">
        <v>41185</v>
      </c>
      <c r="M7185" t="s">
        <v>43830</v>
      </c>
      <c r="N7185" t="s">
        <v>45095</v>
      </c>
      <c r="O7185" t="s">
        <v>45096</v>
      </c>
      <c r="P7185">
        <v>0</v>
      </c>
      <c r="Q7185">
        <v>1</v>
      </c>
      <c r="R7185" t="s">
        <v>45103</v>
      </c>
      <c r="S7185" t="s">
        <v>45270</v>
      </c>
      <c r="T7185" t="s">
        <v>47166</v>
      </c>
      <c r="U7185" t="s">
        <v>53476</v>
      </c>
      <c r="W7185" t="s">
        <v>43830</v>
      </c>
      <c r="X7185" t="s">
        <v>45104</v>
      </c>
    </row>
    <row r="7186" spans="1:24">
      <c r="A7186">
        <f>HYPERLINK("https://www.philgeps.gov.ph/GEPSNONPILOT/Tender/SplashBidNoticeAbstractUI.aspx?menuIndex=3&amp;refID=7036037&amp;Result=3","7036037")</f>
        <v>0</v>
      </c>
      <c r="B7186" t="s">
        <v>2149</v>
      </c>
      <c r="C7186" t="s">
        <v>10068</v>
      </c>
      <c r="D7186" t="s">
        <v>18103</v>
      </c>
      <c r="E7186" t="s">
        <v>24451</v>
      </c>
      <c r="F7186" t="s">
        <v>31574</v>
      </c>
      <c r="G7186" t="s">
        <v>31582</v>
      </c>
      <c r="H7186" t="s">
        <v>31590</v>
      </c>
      <c r="I7186" t="s">
        <v>4046</v>
      </c>
      <c r="J7186" t="s">
        <v>36337</v>
      </c>
      <c r="K7186" t="s">
        <v>41186</v>
      </c>
      <c r="M7186" t="s">
        <v>43831</v>
      </c>
      <c r="N7186" t="s">
        <v>45095</v>
      </c>
      <c r="O7186" t="s">
        <v>45096</v>
      </c>
      <c r="P7186">
        <v>0</v>
      </c>
      <c r="Q7186">
        <v>2</v>
      </c>
      <c r="R7186" t="s">
        <v>45103</v>
      </c>
      <c r="S7186" t="s">
        <v>45270</v>
      </c>
      <c r="T7186" t="s">
        <v>47058</v>
      </c>
      <c r="U7186" t="s">
        <v>53477</v>
      </c>
      <c r="V7186" t="s">
        <v>60623</v>
      </c>
      <c r="W7186" t="s">
        <v>43831</v>
      </c>
      <c r="X7186" t="s">
        <v>45104</v>
      </c>
    </row>
    <row r="7187" spans="1:24">
      <c r="A7187">
        <f>HYPERLINK("https://www.philgeps.gov.ph/GEPSNONPILOT/Tender/SplashBidNoticeAbstractUI.aspx?menuIndex=3&amp;refID=7036040&amp;Result=3","7036040")</f>
        <v>0</v>
      </c>
      <c r="B7187" t="s">
        <v>2150</v>
      </c>
      <c r="C7187" t="s">
        <v>10069</v>
      </c>
      <c r="D7187" t="s">
        <v>18062</v>
      </c>
      <c r="E7187" t="s">
        <v>24452</v>
      </c>
      <c r="F7187" t="s">
        <v>31574</v>
      </c>
      <c r="G7187" t="s">
        <v>31583</v>
      </c>
      <c r="H7187" t="s">
        <v>31590</v>
      </c>
      <c r="I7187" t="s">
        <v>4046</v>
      </c>
      <c r="J7187" t="s">
        <v>36338</v>
      </c>
      <c r="K7187" t="s">
        <v>41193</v>
      </c>
      <c r="M7187" t="s">
        <v>43832</v>
      </c>
      <c r="N7187" t="s">
        <v>45095</v>
      </c>
      <c r="O7187" t="s">
        <v>45096</v>
      </c>
      <c r="P7187">
        <v>0</v>
      </c>
      <c r="Q7187">
        <v>0</v>
      </c>
      <c r="R7187" t="s">
        <v>45103</v>
      </c>
      <c r="S7187" t="s">
        <v>45270</v>
      </c>
      <c r="T7187" t="s">
        <v>47183</v>
      </c>
      <c r="U7187" t="s">
        <v>53478</v>
      </c>
      <c r="W7187" t="s">
        <v>43832</v>
      </c>
      <c r="X7187" t="s">
        <v>45104</v>
      </c>
    </row>
    <row r="7188" spans="1:24">
      <c r="A7188">
        <f>HYPERLINK("https://www.philgeps.gov.ph/GEPSNONPILOT/Tender/SplashBidNoticeAbstractUI.aspx?menuIndex=3&amp;refID=7036003&amp;Result=3","7036003")</f>
        <v>0</v>
      </c>
      <c r="B7188" t="s">
        <v>2112</v>
      </c>
      <c r="C7188" t="s">
        <v>10070</v>
      </c>
      <c r="D7188" t="s">
        <v>18041</v>
      </c>
      <c r="E7188" t="s">
        <v>24453</v>
      </c>
      <c r="F7188" t="s">
        <v>31574</v>
      </c>
      <c r="G7188" t="s">
        <v>31582</v>
      </c>
      <c r="H7188" t="s">
        <v>31590</v>
      </c>
      <c r="I7188" t="s">
        <v>4046</v>
      </c>
      <c r="J7188" t="s">
        <v>36339</v>
      </c>
      <c r="K7188" t="s">
        <v>41184</v>
      </c>
      <c r="M7188" t="s">
        <v>43792</v>
      </c>
      <c r="N7188" t="s">
        <v>45095</v>
      </c>
      <c r="O7188" t="s">
        <v>45096</v>
      </c>
      <c r="P7188">
        <v>0</v>
      </c>
      <c r="Q7188">
        <v>0</v>
      </c>
      <c r="R7188" t="s">
        <v>45103</v>
      </c>
      <c r="S7188" t="s">
        <v>45270</v>
      </c>
      <c r="T7188" t="s">
        <v>47188</v>
      </c>
      <c r="U7188" t="s">
        <v>53427</v>
      </c>
      <c r="V7188" t="s">
        <v>60610</v>
      </c>
      <c r="W7188" t="s">
        <v>43792</v>
      </c>
      <c r="X7188" t="s">
        <v>45104</v>
      </c>
    </row>
    <row r="7189" spans="1:24">
      <c r="A7189">
        <f>HYPERLINK("https://www.philgeps.gov.ph/GEPSNONPILOT/Tender/SplashBidNoticeAbstractUI.aspx?menuIndex=3&amp;refID=7036031&amp;Result=3","7036031")</f>
        <v>0</v>
      </c>
      <c r="B7189" t="s">
        <v>2112</v>
      </c>
      <c r="C7189" t="s">
        <v>10071</v>
      </c>
      <c r="D7189" t="s">
        <v>18041</v>
      </c>
      <c r="E7189" t="s">
        <v>24454</v>
      </c>
      <c r="F7189" t="s">
        <v>31574</v>
      </c>
      <c r="G7189" t="s">
        <v>31582</v>
      </c>
      <c r="H7189" t="s">
        <v>31590</v>
      </c>
      <c r="I7189" t="s">
        <v>4046</v>
      </c>
      <c r="J7189" t="s">
        <v>36340</v>
      </c>
      <c r="K7189" t="s">
        <v>41184</v>
      </c>
      <c r="M7189" t="s">
        <v>43792</v>
      </c>
      <c r="N7189" t="s">
        <v>45095</v>
      </c>
      <c r="O7189" t="s">
        <v>45096</v>
      </c>
      <c r="P7189">
        <v>0</v>
      </c>
      <c r="Q7189">
        <v>0</v>
      </c>
      <c r="R7189" t="s">
        <v>45103</v>
      </c>
      <c r="S7189" t="s">
        <v>45270</v>
      </c>
      <c r="T7189" t="s">
        <v>47188</v>
      </c>
      <c r="U7189" t="s">
        <v>53479</v>
      </c>
      <c r="V7189" t="s">
        <v>60610</v>
      </c>
      <c r="W7189" t="s">
        <v>43792</v>
      </c>
      <c r="X7189" t="s">
        <v>45104</v>
      </c>
    </row>
    <row r="7190" spans="1:24">
      <c r="A7190">
        <f>HYPERLINK("https://www.philgeps.gov.ph/GEPSNONPILOT/Tender/SplashBidNoticeAbstractUI.aspx?menuIndex=3&amp;refID=7036025&amp;Result=3","7036025")</f>
        <v>0</v>
      </c>
      <c r="B7190" t="s">
        <v>322</v>
      </c>
      <c r="C7190" t="s">
        <v>10072</v>
      </c>
      <c r="D7190" t="s">
        <v>18079</v>
      </c>
      <c r="E7190" t="s">
        <v>24455</v>
      </c>
      <c r="F7190" t="s">
        <v>31574</v>
      </c>
      <c r="G7190" t="s">
        <v>31581</v>
      </c>
      <c r="H7190" t="s">
        <v>31590</v>
      </c>
      <c r="I7190" t="s">
        <v>4354</v>
      </c>
      <c r="J7190" t="s">
        <v>32017</v>
      </c>
      <c r="K7190" t="s">
        <v>41196</v>
      </c>
      <c r="M7190" t="s">
        <v>41810</v>
      </c>
      <c r="N7190" t="s">
        <v>45095</v>
      </c>
      <c r="O7190" t="s">
        <v>45096</v>
      </c>
      <c r="P7190">
        <v>0</v>
      </c>
      <c r="Q7190">
        <v>4</v>
      </c>
      <c r="R7190" t="s">
        <v>45103</v>
      </c>
      <c r="S7190" t="s">
        <v>45270</v>
      </c>
      <c r="T7190" t="s">
        <v>47125</v>
      </c>
      <c r="U7190" t="s">
        <v>53480</v>
      </c>
      <c r="W7190" t="s">
        <v>41810</v>
      </c>
      <c r="X7190" t="s">
        <v>45104</v>
      </c>
    </row>
    <row r="7191" spans="1:24">
      <c r="A7191">
        <f>HYPERLINK("https://www.philgeps.gov.ph/GEPSNONPILOT/Tender/SplashBidNoticeAbstractUI.aspx?menuIndex=3&amp;refID=7036035&amp;Result=3","7036035")</f>
        <v>0</v>
      </c>
      <c r="B7191" t="s">
        <v>2102</v>
      </c>
      <c r="C7191" t="s">
        <v>10073</v>
      </c>
      <c r="D7191" t="s">
        <v>18029</v>
      </c>
      <c r="E7191" t="s">
        <v>24456</v>
      </c>
      <c r="F7191" t="s">
        <v>31574</v>
      </c>
      <c r="G7191" t="s">
        <v>31584</v>
      </c>
      <c r="H7191" t="s">
        <v>31590</v>
      </c>
      <c r="I7191" t="s">
        <v>5717</v>
      </c>
      <c r="J7191" t="s">
        <v>31764</v>
      </c>
      <c r="K7191" t="s">
        <v>41190</v>
      </c>
      <c r="M7191" t="s">
        <v>43779</v>
      </c>
      <c r="N7191" t="s">
        <v>45095</v>
      </c>
      <c r="O7191" t="s">
        <v>45096</v>
      </c>
      <c r="P7191">
        <v>0</v>
      </c>
      <c r="Q7191">
        <v>0</v>
      </c>
      <c r="R7191" t="s">
        <v>45103</v>
      </c>
      <c r="S7191" t="s">
        <v>45270</v>
      </c>
      <c r="T7191" t="s">
        <v>47308</v>
      </c>
      <c r="U7191" t="s">
        <v>53481</v>
      </c>
      <c r="W7191" t="s">
        <v>61726</v>
      </c>
      <c r="X7191" t="s">
        <v>45104</v>
      </c>
    </row>
    <row r="7192" spans="1:24">
      <c r="A7192">
        <f>HYPERLINK("https://www.philgeps.gov.ph/GEPSNONPILOT/Tender/SplashBidNoticeAbstractUI.aspx?menuIndex=3&amp;refID=7036027&amp;Result=3","7036027")</f>
        <v>0</v>
      </c>
      <c r="B7192" t="s">
        <v>2132</v>
      </c>
      <c r="C7192" t="s">
        <v>10074</v>
      </c>
      <c r="D7192" t="s">
        <v>18041</v>
      </c>
      <c r="E7192" t="s">
        <v>18472</v>
      </c>
      <c r="F7192" t="s">
        <v>31575</v>
      </c>
      <c r="G7192" t="s">
        <v>31581</v>
      </c>
      <c r="H7192" t="s">
        <v>31590</v>
      </c>
      <c r="I7192" t="s">
        <v>31640</v>
      </c>
      <c r="J7192" t="s">
        <v>33180</v>
      </c>
      <c r="K7192" t="s">
        <v>41191</v>
      </c>
      <c r="M7192" t="s">
        <v>43814</v>
      </c>
      <c r="N7192" t="s">
        <v>45095</v>
      </c>
      <c r="O7192" t="s">
        <v>45096</v>
      </c>
      <c r="P7192">
        <v>0</v>
      </c>
      <c r="Q7192">
        <v>1</v>
      </c>
      <c r="R7192" t="s">
        <v>45103</v>
      </c>
      <c r="S7192" t="s">
        <v>45270</v>
      </c>
      <c r="T7192" t="s">
        <v>47124</v>
      </c>
      <c r="U7192" t="s">
        <v>53424</v>
      </c>
      <c r="W7192" t="s">
        <v>43814</v>
      </c>
      <c r="X7192" t="s">
        <v>45104</v>
      </c>
    </row>
    <row r="7193" spans="1:24">
      <c r="A7193">
        <f>HYPERLINK("https://www.philgeps.gov.ph/GEPSNONPILOT/Tender/SplashBidNoticeAbstractUI.aspx?menuIndex=3&amp;refID=7036022&amp;Result=3","7036022")</f>
        <v>0</v>
      </c>
      <c r="B7193" t="s">
        <v>1229</v>
      </c>
      <c r="C7193" t="s">
        <v>10075</v>
      </c>
      <c r="D7193" t="s">
        <v>18022</v>
      </c>
      <c r="E7193" t="s">
        <v>24457</v>
      </c>
      <c r="F7193" t="s">
        <v>31574</v>
      </c>
      <c r="G7193" t="s">
        <v>31582</v>
      </c>
      <c r="H7193" t="s">
        <v>31592</v>
      </c>
      <c r="I7193" t="s">
        <v>31611</v>
      </c>
      <c r="J7193" t="s">
        <v>36341</v>
      </c>
      <c r="K7193" t="s">
        <v>41193</v>
      </c>
      <c r="M7193" t="s">
        <v>43730</v>
      </c>
      <c r="N7193" t="s">
        <v>45095</v>
      </c>
      <c r="O7193" t="s">
        <v>45096</v>
      </c>
      <c r="P7193">
        <v>0</v>
      </c>
      <c r="Q7193">
        <v>0</v>
      </c>
      <c r="R7193" t="s">
        <v>45103</v>
      </c>
      <c r="S7193" t="s">
        <v>45270</v>
      </c>
      <c r="T7193" t="s">
        <v>47010</v>
      </c>
      <c r="U7193" t="s">
        <v>53268</v>
      </c>
      <c r="W7193" t="s">
        <v>43730</v>
      </c>
      <c r="X7193" t="s">
        <v>45104</v>
      </c>
    </row>
    <row r="7194" spans="1:24">
      <c r="A7194">
        <f>HYPERLINK("https://www.philgeps.gov.ph/GEPSNONPILOT/Tender/SplashBidNoticeAbstractUI.aspx?menuIndex=3&amp;refID=7036030&amp;Result=3","7036030")</f>
        <v>0</v>
      </c>
      <c r="B7194" t="s">
        <v>2151</v>
      </c>
      <c r="C7194" t="s">
        <v>10076</v>
      </c>
      <c r="D7194" t="s">
        <v>18028</v>
      </c>
      <c r="E7194" t="s">
        <v>24458</v>
      </c>
      <c r="F7194" t="s">
        <v>31574</v>
      </c>
      <c r="G7194" t="s">
        <v>31583</v>
      </c>
      <c r="H7194" t="s">
        <v>31590</v>
      </c>
      <c r="I7194" t="s">
        <v>31605</v>
      </c>
      <c r="J7194" t="s">
        <v>36342</v>
      </c>
      <c r="K7194" t="s">
        <v>41193</v>
      </c>
      <c r="M7194" t="s">
        <v>43833</v>
      </c>
      <c r="N7194" t="s">
        <v>45095</v>
      </c>
      <c r="O7194" t="s">
        <v>45096</v>
      </c>
      <c r="P7194">
        <v>0</v>
      </c>
      <c r="Q7194">
        <v>6</v>
      </c>
      <c r="R7194" t="s">
        <v>45103</v>
      </c>
      <c r="S7194" t="s">
        <v>45270</v>
      </c>
      <c r="T7194" t="s">
        <v>46973</v>
      </c>
      <c r="U7194" t="s">
        <v>53482</v>
      </c>
      <c r="W7194" t="s">
        <v>43833</v>
      </c>
      <c r="X7194" t="s">
        <v>45104</v>
      </c>
    </row>
    <row r="7195" spans="1:24">
      <c r="A7195">
        <f>HYPERLINK("https://www.philgeps.gov.ph/GEPSNONPILOT/Tender/SplashBidNoticeAbstractUI.aspx?menuIndex=3&amp;refID=7036012&amp;Result=3","7036012")</f>
        <v>0</v>
      </c>
      <c r="B7195" t="s">
        <v>1229</v>
      </c>
      <c r="C7195" t="s">
        <v>10077</v>
      </c>
      <c r="D7195" t="s">
        <v>18022</v>
      </c>
      <c r="E7195" t="s">
        <v>24459</v>
      </c>
      <c r="F7195" t="s">
        <v>31574</v>
      </c>
      <c r="G7195" t="s">
        <v>31582</v>
      </c>
      <c r="H7195" t="s">
        <v>31590</v>
      </c>
      <c r="I7195" t="s">
        <v>3651</v>
      </c>
      <c r="J7195" t="s">
        <v>36343</v>
      </c>
      <c r="K7195" t="s">
        <v>41193</v>
      </c>
      <c r="M7195" t="s">
        <v>43730</v>
      </c>
      <c r="N7195" t="s">
        <v>45095</v>
      </c>
      <c r="O7195" t="s">
        <v>45096</v>
      </c>
      <c r="P7195">
        <v>0</v>
      </c>
      <c r="Q7195">
        <v>0</v>
      </c>
      <c r="R7195" t="s">
        <v>45103</v>
      </c>
      <c r="S7195" t="s">
        <v>45270</v>
      </c>
      <c r="T7195" t="s">
        <v>47010</v>
      </c>
      <c r="U7195" t="s">
        <v>52311</v>
      </c>
      <c r="W7195" t="s">
        <v>43730</v>
      </c>
      <c r="X7195" t="s">
        <v>45104</v>
      </c>
    </row>
    <row r="7196" spans="1:24">
      <c r="A7196">
        <f>HYPERLINK("https://www.philgeps.gov.ph/GEPSNONPILOT/Tender/SplashBidNoticeAbstractUI.aspx?menuIndex=3&amp;refID=7036023&amp;Result=3","7036023")</f>
        <v>0</v>
      </c>
      <c r="B7196" t="s">
        <v>582</v>
      </c>
      <c r="C7196" t="s">
        <v>10078</v>
      </c>
      <c r="D7196" t="s">
        <v>18099</v>
      </c>
      <c r="E7196" t="s">
        <v>24460</v>
      </c>
      <c r="F7196" t="s">
        <v>31574</v>
      </c>
      <c r="G7196" t="s">
        <v>31582</v>
      </c>
      <c r="H7196" t="s">
        <v>31590</v>
      </c>
      <c r="I7196" t="s">
        <v>31601</v>
      </c>
      <c r="J7196" t="s">
        <v>34050</v>
      </c>
      <c r="K7196" t="s">
        <v>41190</v>
      </c>
      <c r="M7196" t="s">
        <v>42084</v>
      </c>
      <c r="N7196" t="s">
        <v>45095</v>
      </c>
      <c r="O7196" t="s">
        <v>45096</v>
      </c>
      <c r="P7196">
        <v>0</v>
      </c>
      <c r="Q7196">
        <v>6</v>
      </c>
      <c r="R7196" t="s">
        <v>45103</v>
      </c>
      <c r="S7196" t="s">
        <v>45270</v>
      </c>
      <c r="T7196" t="s">
        <v>46939</v>
      </c>
      <c r="U7196" t="s">
        <v>53483</v>
      </c>
      <c r="W7196" t="s">
        <v>42084</v>
      </c>
      <c r="X7196" t="s">
        <v>45104</v>
      </c>
    </row>
    <row r="7197" spans="1:24">
      <c r="A7197">
        <f>HYPERLINK("https://www.philgeps.gov.ph/GEPSNONPILOT/Tender/SplashBidNoticeAbstractUI.aspx?menuIndex=3&amp;refID=7036021&amp;Result=3","7036021")</f>
        <v>0</v>
      </c>
      <c r="B7197" t="s">
        <v>2097</v>
      </c>
      <c r="C7197" t="s">
        <v>10079</v>
      </c>
      <c r="D7197" t="s">
        <v>18088</v>
      </c>
      <c r="E7197" t="s">
        <v>24461</v>
      </c>
      <c r="F7197" t="s">
        <v>31574</v>
      </c>
      <c r="G7197" t="s">
        <v>31583</v>
      </c>
      <c r="H7197" t="s">
        <v>31590</v>
      </c>
      <c r="I7197" t="s">
        <v>6800</v>
      </c>
      <c r="J7197" t="s">
        <v>36344</v>
      </c>
      <c r="K7197" t="s">
        <v>41190</v>
      </c>
      <c r="M7197" t="s">
        <v>43774</v>
      </c>
      <c r="N7197" t="s">
        <v>45095</v>
      </c>
      <c r="O7197" t="s">
        <v>45096</v>
      </c>
      <c r="P7197">
        <v>0</v>
      </c>
      <c r="Q7197">
        <v>4</v>
      </c>
      <c r="R7197" t="s">
        <v>45103</v>
      </c>
      <c r="S7197" t="s">
        <v>45270</v>
      </c>
      <c r="T7197" t="s">
        <v>47159</v>
      </c>
      <c r="U7197" t="s">
        <v>53484</v>
      </c>
      <c r="W7197" t="s">
        <v>43774</v>
      </c>
      <c r="X7197" t="s">
        <v>45104</v>
      </c>
    </row>
    <row r="7198" spans="1:24">
      <c r="A7198">
        <f>HYPERLINK("https://www.philgeps.gov.ph/GEPSNONPILOT/Tender/SplashBidNoticeAbstractUI.aspx?menuIndex=3&amp;refID=7036006&amp;Result=3","7036006")</f>
        <v>0</v>
      </c>
      <c r="B7198" t="s">
        <v>2148</v>
      </c>
      <c r="C7198" t="s">
        <v>10080</v>
      </c>
      <c r="D7198" t="s">
        <v>18092</v>
      </c>
      <c r="E7198" t="s">
        <v>24462</v>
      </c>
      <c r="F7198" t="s">
        <v>31574</v>
      </c>
      <c r="G7198" t="s">
        <v>31582</v>
      </c>
      <c r="H7198" t="s">
        <v>31591</v>
      </c>
      <c r="I7198" t="s">
        <v>8822</v>
      </c>
      <c r="J7198" t="s">
        <v>32639</v>
      </c>
      <c r="K7198" t="s">
        <v>41239</v>
      </c>
      <c r="M7198" t="s">
        <v>43830</v>
      </c>
      <c r="N7198" t="s">
        <v>45095</v>
      </c>
      <c r="O7198" t="s">
        <v>45096</v>
      </c>
      <c r="P7198">
        <v>0</v>
      </c>
      <c r="Q7198">
        <v>0</v>
      </c>
      <c r="R7198" t="s">
        <v>45103</v>
      </c>
      <c r="S7198" t="s">
        <v>45270</v>
      </c>
      <c r="T7198" t="s">
        <v>47166</v>
      </c>
      <c r="U7198" t="s">
        <v>53485</v>
      </c>
      <c r="W7198" t="s">
        <v>43830</v>
      </c>
      <c r="X7198" t="s">
        <v>45104</v>
      </c>
    </row>
    <row r="7199" spans="1:24">
      <c r="A7199">
        <f>HYPERLINK("https://www.philgeps.gov.ph/GEPSNONPILOT/Tender/SplashBidNoticeAbstractUI.aspx?menuIndex=3&amp;refID=7036013&amp;Result=3","7036013")</f>
        <v>0</v>
      </c>
      <c r="B7199" t="s">
        <v>2132</v>
      </c>
      <c r="C7199" t="s">
        <v>10081</v>
      </c>
      <c r="D7199" t="s">
        <v>18041</v>
      </c>
      <c r="E7199" t="s">
        <v>18448</v>
      </c>
      <c r="F7199" t="s">
        <v>31575</v>
      </c>
      <c r="G7199" t="s">
        <v>31581</v>
      </c>
      <c r="H7199" t="s">
        <v>31590</v>
      </c>
      <c r="I7199" t="s">
        <v>4046</v>
      </c>
      <c r="J7199" t="s">
        <v>36345</v>
      </c>
      <c r="K7199" t="s">
        <v>41191</v>
      </c>
      <c r="M7199" t="s">
        <v>43814</v>
      </c>
      <c r="N7199" t="s">
        <v>45095</v>
      </c>
      <c r="O7199" t="s">
        <v>45096</v>
      </c>
      <c r="P7199">
        <v>0</v>
      </c>
      <c r="Q7199">
        <v>0</v>
      </c>
      <c r="R7199" t="s">
        <v>45103</v>
      </c>
      <c r="S7199" t="s">
        <v>45270</v>
      </c>
      <c r="T7199" t="s">
        <v>47124</v>
      </c>
      <c r="U7199" t="s">
        <v>53486</v>
      </c>
      <c r="W7199" t="s">
        <v>43814</v>
      </c>
      <c r="X7199" t="s">
        <v>45104</v>
      </c>
    </row>
    <row r="7200" spans="1:24">
      <c r="A7200">
        <f>HYPERLINK("https://www.philgeps.gov.ph/GEPSNONPILOT/Tender/SplashBidNoticeAbstractUI.aspx?menuIndex=3&amp;refID=7036044&amp;Result=3","7036044")</f>
        <v>0</v>
      </c>
      <c r="B7200" t="s">
        <v>559</v>
      </c>
      <c r="C7200" t="s">
        <v>10082</v>
      </c>
      <c r="D7200" t="s">
        <v>18058</v>
      </c>
      <c r="E7200" t="s">
        <v>24463</v>
      </c>
      <c r="F7200" t="s">
        <v>31574</v>
      </c>
      <c r="G7200" t="s">
        <v>31581</v>
      </c>
      <c r="H7200" t="s">
        <v>31590</v>
      </c>
      <c r="I7200" t="s">
        <v>4046</v>
      </c>
      <c r="J7200" t="s">
        <v>36346</v>
      </c>
      <c r="K7200" t="s">
        <v>41190</v>
      </c>
      <c r="M7200" t="s">
        <v>42058</v>
      </c>
      <c r="N7200" t="s">
        <v>45095</v>
      </c>
      <c r="O7200" t="s">
        <v>45096</v>
      </c>
      <c r="P7200">
        <v>0</v>
      </c>
      <c r="Q7200">
        <v>0</v>
      </c>
      <c r="R7200" t="s">
        <v>45103</v>
      </c>
      <c r="S7200" t="s">
        <v>45270</v>
      </c>
      <c r="T7200" t="s">
        <v>47183</v>
      </c>
      <c r="U7200" t="s">
        <v>48616</v>
      </c>
      <c r="W7200" t="s">
        <v>42058</v>
      </c>
      <c r="X7200" t="s">
        <v>45104</v>
      </c>
    </row>
    <row r="7201" spans="1:24">
      <c r="A7201">
        <f>HYPERLINK("https://www.philgeps.gov.ph/GEPSNONPILOT/Tender/SplashBidNoticeAbstractUI.aspx?menuIndex=3&amp;refID=7036018&amp;Result=3","7036018")</f>
        <v>0</v>
      </c>
      <c r="B7201" t="s">
        <v>2128</v>
      </c>
      <c r="C7201" t="s">
        <v>10083</v>
      </c>
      <c r="D7201" t="s">
        <v>18057</v>
      </c>
      <c r="E7201" t="s">
        <v>24464</v>
      </c>
      <c r="F7201" t="s">
        <v>31574</v>
      </c>
      <c r="G7201" t="s">
        <v>31582</v>
      </c>
      <c r="H7201" t="s">
        <v>31591</v>
      </c>
      <c r="I7201" t="s">
        <v>8822</v>
      </c>
      <c r="J7201" t="s">
        <v>33160</v>
      </c>
      <c r="K7201" t="s">
        <v>41198</v>
      </c>
      <c r="M7201" t="s">
        <v>43810</v>
      </c>
      <c r="N7201" t="s">
        <v>45095</v>
      </c>
      <c r="O7201" t="s">
        <v>45096</v>
      </c>
      <c r="P7201">
        <v>0</v>
      </c>
      <c r="Q7201">
        <v>13</v>
      </c>
      <c r="R7201" t="s">
        <v>45103</v>
      </c>
      <c r="S7201" t="s">
        <v>45270</v>
      </c>
      <c r="T7201" t="s">
        <v>47170</v>
      </c>
      <c r="U7201" t="s">
        <v>53419</v>
      </c>
      <c r="W7201" t="s">
        <v>43810</v>
      </c>
      <c r="X7201" t="s">
        <v>45104</v>
      </c>
    </row>
    <row r="7202" spans="1:24">
      <c r="A7202">
        <f>HYPERLINK("https://www.philgeps.gov.ph/GEPSNONPILOT/Tender/SplashBidNoticeAbstractUI.aspx?menuIndex=3&amp;refID=7036055&amp;Result=3","7036055")</f>
        <v>0</v>
      </c>
      <c r="B7202" t="s">
        <v>2148</v>
      </c>
      <c r="C7202" t="s">
        <v>10084</v>
      </c>
      <c r="D7202" t="s">
        <v>18092</v>
      </c>
      <c r="E7202" t="s">
        <v>24465</v>
      </c>
      <c r="F7202" t="s">
        <v>31574</v>
      </c>
      <c r="G7202" t="s">
        <v>31582</v>
      </c>
      <c r="H7202" t="s">
        <v>31591</v>
      </c>
      <c r="I7202" t="s">
        <v>8822</v>
      </c>
      <c r="J7202" t="s">
        <v>31771</v>
      </c>
      <c r="K7202" t="s">
        <v>41264</v>
      </c>
      <c r="M7202" t="s">
        <v>43830</v>
      </c>
      <c r="N7202" t="s">
        <v>45095</v>
      </c>
      <c r="O7202" t="s">
        <v>45096</v>
      </c>
      <c r="P7202">
        <v>0</v>
      </c>
      <c r="Q7202">
        <v>0</v>
      </c>
      <c r="R7202" t="s">
        <v>45103</v>
      </c>
      <c r="S7202" t="s">
        <v>45270</v>
      </c>
      <c r="T7202" t="s">
        <v>47166</v>
      </c>
      <c r="U7202" t="s">
        <v>53487</v>
      </c>
      <c r="W7202" t="s">
        <v>43830</v>
      </c>
      <c r="X7202" t="s">
        <v>45104</v>
      </c>
    </row>
    <row r="7203" spans="1:24">
      <c r="A7203">
        <f>HYPERLINK("https://www.philgeps.gov.ph/GEPSNONPILOT/Tender/SplashBidNoticeAbstractUI.aspx?menuIndex=3&amp;refID=7036060&amp;Result=3","7036060")</f>
        <v>0</v>
      </c>
      <c r="B7203" t="s">
        <v>2152</v>
      </c>
      <c r="C7203" t="s">
        <v>10085</v>
      </c>
      <c r="D7203" t="s">
        <v>18033</v>
      </c>
      <c r="E7203" t="s">
        <v>18422</v>
      </c>
      <c r="F7203" t="s">
        <v>31574</v>
      </c>
      <c r="G7203" t="s">
        <v>31582</v>
      </c>
      <c r="H7203" t="s">
        <v>31590</v>
      </c>
      <c r="I7203" t="s">
        <v>4046</v>
      </c>
      <c r="J7203" t="s">
        <v>36347</v>
      </c>
      <c r="K7203" t="s">
        <v>41186</v>
      </c>
      <c r="M7203" t="s">
        <v>43834</v>
      </c>
      <c r="N7203" t="s">
        <v>45095</v>
      </c>
      <c r="O7203" t="s">
        <v>45096</v>
      </c>
      <c r="P7203">
        <v>0</v>
      </c>
      <c r="Q7203">
        <v>0</v>
      </c>
      <c r="R7203" t="s">
        <v>45103</v>
      </c>
      <c r="S7203" t="s">
        <v>45270</v>
      </c>
      <c r="T7203" t="s">
        <v>46988</v>
      </c>
      <c r="U7203" t="s">
        <v>53488</v>
      </c>
      <c r="W7203" t="s">
        <v>43834</v>
      </c>
      <c r="X7203" t="s">
        <v>45104</v>
      </c>
    </row>
    <row r="7204" spans="1:24">
      <c r="A7204">
        <f>HYPERLINK("https://www.philgeps.gov.ph/GEPSNONPILOT/Tender/SplashBidNoticeAbstractUI.aspx?menuIndex=3&amp;refID=7036053&amp;Result=3","7036053")</f>
        <v>0</v>
      </c>
      <c r="B7204" t="s">
        <v>1304</v>
      </c>
      <c r="C7204" t="s">
        <v>10086</v>
      </c>
      <c r="D7204" t="s">
        <v>18090</v>
      </c>
      <c r="E7204" t="s">
        <v>24466</v>
      </c>
      <c r="F7204" t="s">
        <v>31574</v>
      </c>
      <c r="G7204" t="s">
        <v>31582</v>
      </c>
      <c r="H7204" t="s">
        <v>31590</v>
      </c>
      <c r="I7204" t="s">
        <v>4046</v>
      </c>
      <c r="J7204" t="s">
        <v>33508</v>
      </c>
      <c r="K7204" t="s">
        <v>41186</v>
      </c>
      <c r="M7204" t="s">
        <v>42874</v>
      </c>
      <c r="N7204" t="s">
        <v>45095</v>
      </c>
      <c r="O7204" t="s">
        <v>45096</v>
      </c>
      <c r="P7204">
        <v>0</v>
      </c>
      <c r="Q7204">
        <v>1</v>
      </c>
      <c r="R7204" t="s">
        <v>45103</v>
      </c>
      <c r="S7204" t="s">
        <v>45270</v>
      </c>
      <c r="T7204" t="s">
        <v>46988</v>
      </c>
      <c r="U7204" t="s">
        <v>53489</v>
      </c>
      <c r="V7204" t="s">
        <v>60624</v>
      </c>
      <c r="W7204" t="s">
        <v>42874</v>
      </c>
      <c r="X7204" t="s">
        <v>45104</v>
      </c>
    </row>
    <row r="7205" spans="1:24">
      <c r="A7205">
        <f>HYPERLINK("https://www.philgeps.gov.ph/GEPSNONPILOT/Tender/SplashBidNoticeAbstractUI.aspx?menuIndex=3&amp;refID=7036056&amp;Result=3","7036056")</f>
        <v>0</v>
      </c>
      <c r="B7205" t="s">
        <v>2153</v>
      </c>
      <c r="C7205" t="s">
        <v>10087</v>
      </c>
      <c r="D7205" t="s">
        <v>18039</v>
      </c>
      <c r="E7205" t="s">
        <v>22814</v>
      </c>
      <c r="F7205" t="s">
        <v>31574</v>
      </c>
      <c r="G7205" t="s">
        <v>31582</v>
      </c>
      <c r="H7205" t="s">
        <v>31590</v>
      </c>
      <c r="I7205" t="s">
        <v>31595</v>
      </c>
      <c r="J7205" t="s">
        <v>31727</v>
      </c>
      <c r="K7205" t="s">
        <v>41196</v>
      </c>
      <c r="M7205" t="s">
        <v>43835</v>
      </c>
      <c r="N7205" t="s">
        <v>45095</v>
      </c>
      <c r="O7205" t="s">
        <v>45096</v>
      </c>
      <c r="P7205">
        <v>0</v>
      </c>
      <c r="Q7205">
        <v>0</v>
      </c>
      <c r="R7205" t="s">
        <v>45103</v>
      </c>
      <c r="S7205" t="s">
        <v>45270</v>
      </c>
      <c r="T7205" t="s">
        <v>46922</v>
      </c>
      <c r="U7205" t="s">
        <v>53490</v>
      </c>
      <c r="W7205" t="s">
        <v>43835</v>
      </c>
      <c r="X7205" t="s">
        <v>45104</v>
      </c>
    </row>
    <row r="7206" spans="1:24">
      <c r="A7206">
        <f>HYPERLINK("https://www.philgeps.gov.ph/GEPSNONPILOT/Tender/SplashBidNoticeAbstractUI.aspx?menuIndex=3&amp;refID=7036057&amp;Result=3","7036057")</f>
        <v>0</v>
      </c>
      <c r="B7206" t="s">
        <v>123</v>
      </c>
      <c r="C7206" t="s">
        <v>10088</v>
      </c>
      <c r="D7206" t="s">
        <v>18044</v>
      </c>
      <c r="E7206" t="s">
        <v>24223</v>
      </c>
      <c r="F7206" t="s">
        <v>31574</v>
      </c>
      <c r="G7206" t="s">
        <v>31582</v>
      </c>
      <c r="H7206" t="s">
        <v>31591</v>
      </c>
      <c r="I7206" t="s">
        <v>8822</v>
      </c>
      <c r="J7206" t="s">
        <v>36348</v>
      </c>
      <c r="K7206" t="s">
        <v>41192</v>
      </c>
      <c r="M7206" t="s">
        <v>41607</v>
      </c>
      <c r="N7206" t="s">
        <v>45095</v>
      </c>
      <c r="O7206" t="s">
        <v>45096</v>
      </c>
      <c r="P7206">
        <v>0</v>
      </c>
      <c r="Q7206">
        <v>4</v>
      </c>
      <c r="R7206" t="s">
        <v>45103</v>
      </c>
      <c r="S7206" t="s">
        <v>45270</v>
      </c>
      <c r="T7206" t="s">
        <v>47125</v>
      </c>
      <c r="U7206" t="s">
        <v>53491</v>
      </c>
      <c r="W7206" t="s">
        <v>41607</v>
      </c>
      <c r="X7206" t="s">
        <v>45104</v>
      </c>
    </row>
    <row r="7207" spans="1:24">
      <c r="A7207">
        <f>HYPERLINK("https://www.philgeps.gov.ph/GEPSNONPILOT/Tender/SplashBidNoticeAbstractUI.aspx?menuIndex=3&amp;refID=7036065&amp;Result=3","7036065")</f>
        <v>0</v>
      </c>
      <c r="B7207" t="s">
        <v>2132</v>
      </c>
      <c r="C7207" t="s">
        <v>10089</v>
      </c>
      <c r="D7207" t="s">
        <v>18041</v>
      </c>
      <c r="E7207" t="s">
        <v>20333</v>
      </c>
      <c r="F7207" t="s">
        <v>31575</v>
      </c>
      <c r="G7207" t="s">
        <v>31581</v>
      </c>
      <c r="H7207" t="s">
        <v>31590</v>
      </c>
      <c r="I7207" t="s">
        <v>31715</v>
      </c>
      <c r="J7207" t="s">
        <v>36349</v>
      </c>
      <c r="K7207" t="s">
        <v>41191</v>
      </c>
      <c r="M7207" t="s">
        <v>43814</v>
      </c>
      <c r="N7207" t="s">
        <v>45095</v>
      </c>
      <c r="O7207" t="s">
        <v>45096</v>
      </c>
      <c r="P7207">
        <v>0</v>
      </c>
      <c r="Q7207">
        <v>0</v>
      </c>
      <c r="R7207" t="s">
        <v>45103</v>
      </c>
      <c r="S7207" t="s">
        <v>45270</v>
      </c>
      <c r="T7207" t="s">
        <v>47124</v>
      </c>
      <c r="U7207" t="s">
        <v>53424</v>
      </c>
      <c r="W7207" t="s">
        <v>43814</v>
      </c>
      <c r="X7207" t="s">
        <v>45104</v>
      </c>
    </row>
    <row r="7208" spans="1:24">
      <c r="A7208">
        <f>HYPERLINK("https://www.philgeps.gov.ph/GEPSNONPILOT/Tender/SplashBidNoticeAbstractUI.aspx?menuIndex=3&amp;refID=7036050&amp;Result=3","7036050")</f>
        <v>0</v>
      </c>
      <c r="B7208" t="s">
        <v>886</v>
      </c>
      <c r="C7208" t="s">
        <v>10090</v>
      </c>
      <c r="E7208" t="s">
        <v>24467</v>
      </c>
      <c r="F7208" t="s">
        <v>31574</v>
      </c>
      <c r="G7208" t="s">
        <v>31581</v>
      </c>
      <c r="H7208" t="s">
        <v>31590</v>
      </c>
      <c r="I7208" t="s">
        <v>31626</v>
      </c>
      <c r="J7208" t="s">
        <v>31842</v>
      </c>
      <c r="K7208" t="s">
        <v>41184</v>
      </c>
      <c r="M7208" t="s">
        <v>42407</v>
      </c>
      <c r="N7208" t="s">
        <v>45095</v>
      </c>
      <c r="O7208" t="s">
        <v>45096</v>
      </c>
      <c r="P7208">
        <v>0</v>
      </c>
      <c r="Q7208">
        <v>5</v>
      </c>
      <c r="R7208" t="s">
        <v>45103</v>
      </c>
      <c r="S7208" t="s">
        <v>45270</v>
      </c>
      <c r="T7208" t="s">
        <v>47080</v>
      </c>
      <c r="U7208" t="s">
        <v>53363</v>
      </c>
      <c r="W7208" t="s">
        <v>42407</v>
      </c>
      <c r="X7208" t="s">
        <v>45104</v>
      </c>
    </row>
    <row r="7209" spans="1:24">
      <c r="A7209">
        <f>HYPERLINK("https://www.philgeps.gov.ph/GEPSNONPILOT/Tender/SplashBidNoticeAbstractUI.aspx?menuIndex=3&amp;refID=7036059&amp;Result=3","7036059")</f>
        <v>0</v>
      </c>
      <c r="B7209" t="s">
        <v>2112</v>
      </c>
      <c r="C7209" t="s">
        <v>10091</v>
      </c>
      <c r="D7209" t="s">
        <v>18041</v>
      </c>
      <c r="E7209" t="s">
        <v>24468</v>
      </c>
      <c r="F7209" t="s">
        <v>31574</v>
      </c>
      <c r="G7209" t="s">
        <v>31582</v>
      </c>
      <c r="H7209" t="s">
        <v>31590</v>
      </c>
      <c r="I7209" t="s">
        <v>4046</v>
      </c>
      <c r="J7209" t="s">
        <v>36350</v>
      </c>
      <c r="K7209" t="s">
        <v>41184</v>
      </c>
      <c r="M7209" t="s">
        <v>43792</v>
      </c>
      <c r="N7209" t="s">
        <v>45095</v>
      </c>
      <c r="O7209" t="s">
        <v>45096</v>
      </c>
      <c r="P7209">
        <v>0</v>
      </c>
      <c r="Q7209">
        <v>0</v>
      </c>
      <c r="R7209" t="s">
        <v>45103</v>
      </c>
      <c r="S7209" t="s">
        <v>45270</v>
      </c>
      <c r="T7209" t="s">
        <v>47188</v>
      </c>
      <c r="U7209" t="s">
        <v>53492</v>
      </c>
      <c r="V7209" t="s">
        <v>60610</v>
      </c>
      <c r="W7209" t="s">
        <v>43792</v>
      </c>
      <c r="X7209" t="s">
        <v>45104</v>
      </c>
    </row>
    <row r="7210" spans="1:24">
      <c r="A7210">
        <f>HYPERLINK("https://www.philgeps.gov.ph/GEPSNONPILOT/Tender/SplashBidNoticeAbstractUI.aspx?menuIndex=3&amp;refID=7036064&amp;Result=3","7036064")</f>
        <v>0</v>
      </c>
      <c r="B7210" t="s">
        <v>2154</v>
      </c>
      <c r="C7210" t="s">
        <v>10092</v>
      </c>
      <c r="D7210" t="s">
        <v>18035</v>
      </c>
      <c r="E7210" t="s">
        <v>24469</v>
      </c>
      <c r="F7210" t="s">
        <v>31574</v>
      </c>
      <c r="G7210" t="s">
        <v>31582</v>
      </c>
      <c r="H7210" t="s">
        <v>31591</v>
      </c>
      <c r="I7210" t="s">
        <v>8822</v>
      </c>
      <c r="J7210" t="s">
        <v>36351</v>
      </c>
      <c r="K7210" t="s">
        <v>41184</v>
      </c>
      <c r="M7210" t="s">
        <v>43836</v>
      </c>
      <c r="N7210" t="s">
        <v>45095</v>
      </c>
      <c r="O7210" t="s">
        <v>45096</v>
      </c>
      <c r="P7210">
        <v>0</v>
      </c>
      <c r="Q7210">
        <v>1</v>
      </c>
      <c r="R7210" t="s">
        <v>45103</v>
      </c>
      <c r="S7210" t="s">
        <v>45270</v>
      </c>
      <c r="T7210" t="s">
        <v>47125</v>
      </c>
      <c r="U7210" t="s">
        <v>53493</v>
      </c>
      <c r="V7210" t="s">
        <v>60432</v>
      </c>
      <c r="W7210" t="s">
        <v>43836</v>
      </c>
      <c r="X7210" t="s">
        <v>45104</v>
      </c>
    </row>
    <row r="7211" spans="1:24">
      <c r="A7211">
        <f>HYPERLINK("https://www.philgeps.gov.ph/GEPSNONPILOT/Tender/SplashBidNoticeAbstractUI.aspx?menuIndex=3&amp;refID=7036047&amp;Result=3","7036047")</f>
        <v>0</v>
      </c>
      <c r="B7211" t="s">
        <v>202</v>
      </c>
      <c r="C7211" t="s">
        <v>9989</v>
      </c>
      <c r="D7211" t="s">
        <v>18036</v>
      </c>
      <c r="E7211" t="s">
        <v>24470</v>
      </c>
      <c r="F7211" t="s">
        <v>31574</v>
      </c>
      <c r="G7211" t="s">
        <v>31581</v>
      </c>
      <c r="H7211" t="s">
        <v>31590</v>
      </c>
      <c r="I7211" t="s">
        <v>31607</v>
      </c>
      <c r="J7211" t="s">
        <v>36352</v>
      </c>
      <c r="K7211" t="s">
        <v>41186</v>
      </c>
      <c r="M7211" t="s">
        <v>41687</v>
      </c>
      <c r="N7211" t="s">
        <v>45095</v>
      </c>
      <c r="O7211" t="s">
        <v>45096</v>
      </c>
      <c r="P7211">
        <v>0</v>
      </c>
      <c r="Q7211">
        <v>3</v>
      </c>
      <c r="R7211" t="s">
        <v>45103</v>
      </c>
      <c r="S7211" t="s">
        <v>45270</v>
      </c>
      <c r="T7211" t="s">
        <v>47124</v>
      </c>
      <c r="U7211" t="s">
        <v>53494</v>
      </c>
      <c r="W7211" t="s">
        <v>41687</v>
      </c>
      <c r="X7211" t="s">
        <v>45104</v>
      </c>
    </row>
    <row r="7212" spans="1:24">
      <c r="A7212">
        <f>HYPERLINK("https://www.philgeps.gov.ph/GEPSNONPILOT/Tender/SplashBidNoticeAbstractUI.aspx?menuIndex=3&amp;refID=7036011&amp;Result=3","7036011")</f>
        <v>0</v>
      </c>
      <c r="B7212" t="s">
        <v>2003</v>
      </c>
      <c r="C7212" t="s">
        <v>10093</v>
      </c>
      <c r="D7212" t="s">
        <v>18022</v>
      </c>
      <c r="E7212" t="s">
        <v>24471</v>
      </c>
      <c r="F7212" t="s">
        <v>31574</v>
      </c>
      <c r="G7212" t="s">
        <v>31582</v>
      </c>
      <c r="H7212" t="s">
        <v>31590</v>
      </c>
      <c r="I7212" t="s">
        <v>31600</v>
      </c>
      <c r="J7212" t="s">
        <v>36353</v>
      </c>
      <c r="K7212" t="s">
        <v>41194</v>
      </c>
      <c r="M7212" t="s">
        <v>43837</v>
      </c>
      <c r="N7212" t="s">
        <v>45095</v>
      </c>
      <c r="O7212" t="s">
        <v>45096</v>
      </c>
      <c r="P7212">
        <v>0</v>
      </c>
      <c r="Q7212">
        <v>3</v>
      </c>
      <c r="R7212" t="s">
        <v>45103</v>
      </c>
      <c r="S7212" t="s">
        <v>45270</v>
      </c>
      <c r="T7212" t="s">
        <v>46979</v>
      </c>
      <c r="U7212" t="s">
        <v>53495</v>
      </c>
      <c r="W7212" t="s">
        <v>43837</v>
      </c>
      <c r="X7212" t="s">
        <v>45104</v>
      </c>
    </row>
    <row r="7213" spans="1:24">
      <c r="A7213">
        <f>HYPERLINK("https://www.philgeps.gov.ph/GEPSNONPILOT/Tender/SplashBidNoticeAbstractUI.aspx?menuIndex=3&amp;refID=7036074&amp;Result=3","7036074")</f>
        <v>0</v>
      </c>
      <c r="B7213" t="s">
        <v>2155</v>
      </c>
      <c r="C7213" t="s">
        <v>10094</v>
      </c>
      <c r="D7213" t="s">
        <v>18041</v>
      </c>
      <c r="E7213" t="s">
        <v>24472</v>
      </c>
      <c r="F7213" t="s">
        <v>31574</v>
      </c>
      <c r="G7213" t="s">
        <v>31582</v>
      </c>
      <c r="H7213" t="s">
        <v>31590</v>
      </c>
      <c r="I7213" t="s">
        <v>8258</v>
      </c>
      <c r="J7213" t="s">
        <v>36354</v>
      </c>
      <c r="K7213" t="s">
        <v>41186</v>
      </c>
      <c r="M7213" t="s">
        <v>43838</v>
      </c>
      <c r="N7213" t="s">
        <v>45095</v>
      </c>
      <c r="O7213" t="s">
        <v>45096</v>
      </c>
      <c r="P7213">
        <v>0</v>
      </c>
      <c r="Q7213">
        <v>0</v>
      </c>
      <c r="R7213" t="s">
        <v>45103</v>
      </c>
      <c r="S7213" t="s">
        <v>45270</v>
      </c>
      <c r="T7213" t="s">
        <v>47076</v>
      </c>
      <c r="U7213" t="s">
        <v>53496</v>
      </c>
      <c r="W7213" t="s">
        <v>43838</v>
      </c>
      <c r="X7213" t="s">
        <v>45104</v>
      </c>
    </row>
    <row r="7214" spans="1:24">
      <c r="A7214">
        <f>HYPERLINK("https://www.philgeps.gov.ph/GEPSNONPILOT/Tender/SplashBidNoticeAbstractUI.aspx?menuIndex=3&amp;refID=7036061&amp;Result=3","7036061")</f>
        <v>0</v>
      </c>
      <c r="B7214" t="s">
        <v>1361</v>
      </c>
      <c r="C7214" t="s">
        <v>3328</v>
      </c>
      <c r="D7214" t="s">
        <v>18030</v>
      </c>
      <c r="E7214" t="s">
        <v>24473</v>
      </c>
      <c r="F7214" t="s">
        <v>31574</v>
      </c>
      <c r="G7214" t="s">
        <v>31581</v>
      </c>
      <c r="H7214" t="s">
        <v>31590</v>
      </c>
      <c r="I7214" t="s">
        <v>6800</v>
      </c>
      <c r="J7214" t="s">
        <v>36355</v>
      </c>
      <c r="K7214" t="s">
        <v>41184</v>
      </c>
      <c r="M7214" t="s">
        <v>42933</v>
      </c>
      <c r="N7214" t="s">
        <v>45095</v>
      </c>
      <c r="O7214" t="s">
        <v>45096</v>
      </c>
      <c r="P7214">
        <v>0</v>
      </c>
      <c r="Q7214">
        <v>3</v>
      </c>
      <c r="R7214" t="s">
        <v>45103</v>
      </c>
      <c r="S7214" t="s">
        <v>45270</v>
      </c>
      <c r="T7214" t="s">
        <v>47067</v>
      </c>
      <c r="U7214" t="s">
        <v>53497</v>
      </c>
      <c r="W7214" t="s">
        <v>42933</v>
      </c>
      <c r="X7214" t="s">
        <v>45104</v>
      </c>
    </row>
    <row r="7215" spans="1:24">
      <c r="A7215">
        <f>HYPERLINK("https://www.philgeps.gov.ph/GEPSNONPILOT/Tender/SplashBidNoticeAbstractUI.aspx?menuIndex=3&amp;refID=7036076&amp;Result=3","7036076")</f>
        <v>0</v>
      </c>
      <c r="B7215" t="s">
        <v>2132</v>
      </c>
      <c r="C7215" t="s">
        <v>10095</v>
      </c>
      <c r="D7215" t="s">
        <v>18041</v>
      </c>
      <c r="E7215" t="s">
        <v>20333</v>
      </c>
      <c r="F7215" t="s">
        <v>31575</v>
      </c>
      <c r="G7215" t="s">
        <v>31581</v>
      </c>
      <c r="H7215" t="s">
        <v>31590</v>
      </c>
      <c r="I7215" t="s">
        <v>31644</v>
      </c>
      <c r="J7215" t="s">
        <v>32382</v>
      </c>
      <c r="K7215" t="s">
        <v>41191</v>
      </c>
      <c r="M7215" t="s">
        <v>43814</v>
      </c>
      <c r="N7215" t="s">
        <v>45095</v>
      </c>
      <c r="O7215" t="s">
        <v>45096</v>
      </c>
      <c r="P7215">
        <v>0</v>
      </c>
      <c r="Q7215">
        <v>1</v>
      </c>
      <c r="R7215" t="s">
        <v>45103</v>
      </c>
      <c r="S7215" t="s">
        <v>45270</v>
      </c>
      <c r="T7215" t="s">
        <v>47124</v>
      </c>
      <c r="U7215" t="s">
        <v>53470</v>
      </c>
      <c r="W7215" t="s">
        <v>43814</v>
      </c>
      <c r="X7215" t="s">
        <v>45104</v>
      </c>
    </row>
    <row r="7216" spans="1:24">
      <c r="A7216">
        <f>HYPERLINK("https://www.philgeps.gov.ph/GEPSNONPILOT/Tender/SplashBidNoticeAbstractUI.aspx?menuIndex=3&amp;refID=7036070&amp;Result=3","7036070")</f>
        <v>0</v>
      </c>
      <c r="B7216" t="s">
        <v>1696</v>
      </c>
      <c r="C7216" t="s">
        <v>10096</v>
      </c>
      <c r="D7216" t="s">
        <v>18046</v>
      </c>
      <c r="E7216" t="s">
        <v>24474</v>
      </c>
      <c r="F7216" t="s">
        <v>31574</v>
      </c>
      <c r="G7216" t="s">
        <v>31582</v>
      </c>
      <c r="H7216" t="s">
        <v>31591</v>
      </c>
      <c r="I7216" t="s">
        <v>8822</v>
      </c>
      <c r="J7216" t="s">
        <v>36356</v>
      </c>
      <c r="K7216" t="s">
        <v>41274</v>
      </c>
      <c r="M7216" t="s">
        <v>43310</v>
      </c>
      <c r="N7216" t="s">
        <v>45095</v>
      </c>
      <c r="O7216" t="s">
        <v>45096</v>
      </c>
      <c r="P7216">
        <v>0</v>
      </c>
      <c r="Q7216">
        <v>3</v>
      </c>
      <c r="R7216" t="s">
        <v>45103</v>
      </c>
      <c r="S7216" t="s">
        <v>45270</v>
      </c>
      <c r="T7216" t="s">
        <v>46919</v>
      </c>
      <c r="U7216" t="s">
        <v>53498</v>
      </c>
      <c r="W7216" t="s">
        <v>43310</v>
      </c>
      <c r="X7216" t="s">
        <v>45104</v>
      </c>
    </row>
    <row r="7217" spans="1:24">
      <c r="A7217">
        <f>HYPERLINK("https://www.philgeps.gov.ph/GEPSNONPILOT/Tender/SplashBidNoticeAbstractUI.aspx?menuIndex=3&amp;refID=7036071&amp;Result=3","7036071")</f>
        <v>0</v>
      </c>
      <c r="B7217" t="s">
        <v>2148</v>
      </c>
      <c r="C7217" t="s">
        <v>10097</v>
      </c>
      <c r="D7217" t="s">
        <v>18092</v>
      </c>
      <c r="E7217" t="s">
        <v>24475</v>
      </c>
      <c r="F7217" t="s">
        <v>31574</v>
      </c>
      <c r="G7217" t="s">
        <v>31582</v>
      </c>
      <c r="H7217" t="s">
        <v>31591</v>
      </c>
      <c r="I7217" t="s">
        <v>8822</v>
      </c>
      <c r="J7217" t="s">
        <v>36357</v>
      </c>
      <c r="K7217" t="s">
        <v>41244</v>
      </c>
      <c r="M7217" t="s">
        <v>43830</v>
      </c>
      <c r="N7217" t="s">
        <v>45095</v>
      </c>
      <c r="O7217" t="s">
        <v>45096</v>
      </c>
      <c r="P7217">
        <v>0</v>
      </c>
      <c r="Q7217">
        <v>1</v>
      </c>
      <c r="R7217" t="s">
        <v>45103</v>
      </c>
      <c r="S7217" t="s">
        <v>45270</v>
      </c>
      <c r="T7217" t="s">
        <v>47166</v>
      </c>
      <c r="U7217" t="s">
        <v>53499</v>
      </c>
      <c r="W7217" t="s">
        <v>43830</v>
      </c>
      <c r="X7217" t="s">
        <v>45104</v>
      </c>
    </row>
    <row r="7218" spans="1:24">
      <c r="A7218">
        <f>HYPERLINK("https://www.philgeps.gov.ph/GEPSNONPILOT/Tender/SplashBidNoticeAbstractUI.aspx?menuIndex=3&amp;refID=7036073&amp;Result=3","7036073")</f>
        <v>0</v>
      </c>
      <c r="B7218" t="s">
        <v>2112</v>
      </c>
      <c r="C7218" t="s">
        <v>10098</v>
      </c>
      <c r="D7218" t="s">
        <v>18041</v>
      </c>
      <c r="E7218" t="s">
        <v>24476</v>
      </c>
      <c r="F7218" t="s">
        <v>31574</v>
      </c>
      <c r="G7218" t="s">
        <v>31582</v>
      </c>
      <c r="H7218" t="s">
        <v>31590</v>
      </c>
      <c r="I7218" t="s">
        <v>4046</v>
      </c>
      <c r="J7218" t="s">
        <v>36358</v>
      </c>
      <c r="K7218" t="s">
        <v>41184</v>
      </c>
      <c r="M7218" t="s">
        <v>43792</v>
      </c>
      <c r="N7218" t="s">
        <v>45095</v>
      </c>
      <c r="O7218" t="s">
        <v>45096</v>
      </c>
      <c r="P7218">
        <v>0</v>
      </c>
      <c r="Q7218">
        <v>0</v>
      </c>
      <c r="R7218" t="s">
        <v>45103</v>
      </c>
      <c r="S7218" t="s">
        <v>45270</v>
      </c>
      <c r="T7218" t="s">
        <v>47188</v>
      </c>
      <c r="U7218" t="s">
        <v>53500</v>
      </c>
      <c r="V7218" t="s">
        <v>60610</v>
      </c>
      <c r="W7218" t="s">
        <v>43792</v>
      </c>
      <c r="X7218" t="s">
        <v>45104</v>
      </c>
    </row>
    <row r="7219" spans="1:24">
      <c r="A7219">
        <f>HYPERLINK("https://www.philgeps.gov.ph/GEPSNONPILOT/Tender/SplashBidNoticeAbstractUI.aspx?menuIndex=3&amp;refID=7036067&amp;Result=3","7036067")</f>
        <v>0</v>
      </c>
      <c r="B7219" t="s">
        <v>1544</v>
      </c>
      <c r="C7219" t="s">
        <v>10099</v>
      </c>
      <c r="D7219" t="s">
        <v>18075</v>
      </c>
      <c r="E7219" t="s">
        <v>24477</v>
      </c>
      <c r="F7219" t="s">
        <v>31574</v>
      </c>
      <c r="G7219" t="s">
        <v>31582</v>
      </c>
      <c r="H7219" t="s">
        <v>31590</v>
      </c>
      <c r="I7219" t="s">
        <v>31626</v>
      </c>
      <c r="J7219" t="s">
        <v>33309</v>
      </c>
      <c r="K7219" t="s">
        <v>41186</v>
      </c>
      <c r="M7219" t="s">
        <v>43139</v>
      </c>
      <c r="N7219" t="s">
        <v>45095</v>
      </c>
      <c r="O7219" t="s">
        <v>45096</v>
      </c>
      <c r="Q7219">
        <v>0</v>
      </c>
      <c r="R7219" t="s">
        <v>45103</v>
      </c>
      <c r="S7219" t="s">
        <v>45282</v>
      </c>
      <c r="T7219" t="s">
        <v>47313</v>
      </c>
      <c r="U7219" t="s">
        <v>53501</v>
      </c>
      <c r="W7219" t="s">
        <v>43139</v>
      </c>
      <c r="X7219" t="s">
        <v>45104</v>
      </c>
    </row>
    <row r="7220" spans="1:24">
      <c r="A7220">
        <f>HYPERLINK("https://www.philgeps.gov.ph/GEPSNONPILOT/Tender/SplashBidNoticeAbstractUI.aspx?menuIndex=3&amp;refID=7036063&amp;Result=3","7036063")</f>
        <v>0</v>
      </c>
      <c r="B7220" t="s">
        <v>2144</v>
      </c>
      <c r="C7220" t="s">
        <v>10100</v>
      </c>
      <c r="D7220" t="s">
        <v>18035</v>
      </c>
      <c r="E7220" t="s">
        <v>24478</v>
      </c>
      <c r="F7220" t="s">
        <v>31574</v>
      </c>
      <c r="G7220" t="s">
        <v>31582</v>
      </c>
      <c r="H7220" t="s">
        <v>31590</v>
      </c>
      <c r="I7220" t="s">
        <v>31674</v>
      </c>
      <c r="J7220" t="s">
        <v>36359</v>
      </c>
      <c r="K7220" t="s">
        <v>41193</v>
      </c>
      <c r="M7220" t="s">
        <v>43826</v>
      </c>
      <c r="N7220" t="s">
        <v>45095</v>
      </c>
      <c r="O7220" t="s">
        <v>45096</v>
      </c>
      <c r="P7220">
        <v>0</v>
      </c>
      <c r="Q7220">
        <v>1</v>
      </c>
      <c r="R7220" t="s">
        <v>45103</v>
      </c>
      <c r="S7220" t="s">
        <v>45270</v>
      </c>
      <c r="T7220" t="s">
        <v>47077</v>
      </c>
      <c r="U7220" t="s">
        <v>53502</v>
      </c>
      <c r="W7220" t="s">
        <v>43826</v>
      </c>
      <c r="X7220" t="s">
        <v>45104</v>
      </c>
    </row>
    <row r="7221" spans="1:24">
      <c r="A7221">
        <f>HYPERLINK("https://www.philgeps.gov.ph/GEPSNONPILOT/Tender/SplashBidNoticeAbstractUI.aspx?menuIndex=3&amp;refID=7036066&amp;Result=3","7036066")</f>
        <v>0</v>
      </c>
      <c r="B7221" t="s">
        <v>358</v>
      </c>
      <c r="C7221" t="s">
        <v>10101</v>
      </c>
      <c r="D7221" t="s">
        <v>18075</v>
      </c>
      <c r="E7221" t="s">
        <v>18795</v>
      </c>
      <c r="F7221" t="s">
        <v>31574</v>
      </c>
      <c r="G7221" t="s">
        <v>31582</v>
      </c>
      <c r="H7221" t="s">
        <v>31590</v>
      </c>
      <c r="I7221" t="s">
        <v>3487</v>
      </c>
      <c r="J7221" t="s">
        <v>36360</v>
      </c>
      <c r="K7221" t="s">
        <v>41193</v>
      </c>
      <c r="M7221" t="s">
        <v>41848</v>
      </c>
      <c r="N7221" t="s">
        <v>45095</v>
      </c>
      <c r="O7221" t="s">
        <v>45096</v>
      </c>
      <c r="P7221">
        <v>0</v>
      </c>
      <c r="Q7221">
        <v>0</v>
      </c>
      <c r="R7221" t="s">
        <v>45103</v>
      </c>
      <c r="S7221" t="s">
        <v>45270</v>
      </c>
      <c r="T7221" t="s">
        <v>46911</v>
      </c>
      <c r="U7221" t="s">
        <v>53503</v>
      </c>
      <c r="W7221" t="s">
        <v>41848</v>
      </c>
      <c r="X7221" t="s">
        <v>45104</v>
      </c>
    </row>
    <row r="7222" spans="1:24">
      <c r="A7222">
        <f>HYPERLINK("https://www.philgeps.gov.ph/GEPSNONPILOT/Tender/SplashBidNoticeAbstractUI.aspx?menuIndex=3&amp;refID=7036080&amp;Result=3","7036080")</f>
        <v>0</v>
      </c>
      <c r="B7222" t="s">
        <v>2156</v>
      </c>
      <c r="C7222" t="s">
        <v>10102</v>
      </c>
      <c r="D7222" t="s">
        <v>18050</v>
      </c>
      <c r="E7222" t="s">
        <v>24479</v>
      </c>
      <c r="F7222" t="s">
        <v>31574</v>
      </c>
      <c r="G7222" t="s">
        <v>31582</v>
      </c>
      <c r="H7222" t="s">
        <v>31591</v>
      </c>
      <c r="I7222" t="s">
        <v>8822</v>
      </c>
      <c r="J7222" t="s">
        <v>36361</v>
      </c>
      <c r="K7222" t="s">
        <v>41200</v>
      </c>
      <c r="M7222" t="s">
        <v>43839</v>
      </c>
      <c r="N7222" t="s">
        <v>45095</v>
      </c>
      <c r="O7222" t="s">
        <v>45096</v>
      </c>
      <c r="P7222">
        <v>0</v>
      </c>
      <c r="Q7222">
        <v>0</v>
      </c>
      <c r="R7222" t="s">
        <v>45103</v>
      </c>
      <c r="S7222" t="s">
        <v>45270</v>
      </c>
      <c r="T7222" t="s">
        <v>47266</v>
      </c>
      <c r="U7222" t="s">
        <v>53504</v>
      </c>
      <c r="W7222" t="s">
        <v>43839</v>
      </c>
      <c r="X7222" t="s">
        <v>45104</v>
      </c>
    </row>
    <row r="7223" spans="1:24">
      <c r="A7223">
        <f>HYPERLINK("https://www.philgeps.gov.ph/GEPSNONPILOT/Tender/SplashBidNoticeAbstractUI.aspx?menuIndex=3&amp;refID=7036090&amp;Result=3","7036090")</f>
        <v>0</v>
      </c>
      <c r="B7223" t="s">
        <v>2132</v>
      </c>
      <c r="C7223" t="s">
        <v>10103</v>
      </c>
      <c r="D7223" t="s">
        <v>18041</v>
      </c>
      <c r="E7223" t="s">
        <v>24480</v>
      </c>
      <c r="F7223" t="s">
        <v>31575</v>
      </c>
      <c r="G7223" t="s">
        <v>31581</v>
      </c>
      <c r="H7223" t="s">
        <v>31590</v>
      </c>
      <c r="I7223" t="s">
        <v>6800</v>
      </c>
      <c r="J7223" t="s">
        <v>36362</v>
      </c>
      <c r="K7223" t="s">
        <v>41191</v>
      </c>
      <c r="M7223" t="s">
        <v>43814</v>
      </c>
      <c r="N7223" t="s">
        <v>45095</v>
      </c>
      <c r="O7223" t="s">
        <v>45096</v>
      </c>
      <c r="P7223">
        <v>0</v>
      </c>
      <c r="Q7223">
        <v>0</v>
      </c>
      <c r="R7223" t="s">
        <v>45103</v>
      </c>
      <c r="S7223" t="s">
        <v>45270</v>
      </c>
      <c r="T7223" t="s">
        <v>47124</v>
      </c>
      <c r="U7223" t="s">
        <v>53505</v>
      </c>
      <c r="W7223" t="s">
        <v>43814</v>
      </c>
      <c r="X7223" t="s">
        <v>45104</v>
      </c>
    </row>
    <row r="7224" spans="1:24">
      <c r="A7224">
        <f>HYPERLINK("https://www.philgeps.gov.ph/GEPSNONPILOT/Tender/SplashBidNoticeAbstractUI.aspx?menuIndex=3&amp;refID=7036077&amp;Result=3","7036077")</f>
        <v>0</v>
      </c>
      <c r="B7224" t="s">
        <v>2157</v>
      </c>
      <c r="C7224" t="s">
        <v>10104</v>
      </c>
      <c r="D7224" t="s">
        <v>18037</v>
      </c>
      <c r="E7224" t="s">
        <v>10104</v>
      </c>
      <c r="F7224" t="s">
        <v>31574</v>
      </c>
      <c r="G7224" t="s">
        <v>31582</v>
      </c>
      <c r="H7224" t="s">
        <v>31590</v>
      </c>
      <c r="I7224" t="s">
        <v>14034</v>
      </c>
      <c r="J7224" t="s">
        <v>36363</v>
      </c>
      <c r="K7224" t="s">
        <v>41192</v>
      </c>
      <c r="M7224" t="s">
        <v>43840</v>
      </c>
      <c r="N7224" t="s">
        <v>45095</v>
      </c>
      <c r="O7224" t="s">
        <v>45096</v>
      </c>
      <c r="P7224">
        <v>0</v>
      </c>
      <c r="Q7224">
        <v>6</v>
      </c>
      <c r="R7224" t="s">
        <v>45103</v>
      </c>
      <c r="S7224" t="s">
        <v>45270</v>
      </c>
      <c r="T7224" t="s">
        <v>46943</v>
      </c>
      <c r="U7224" t="s">
        <v>53506</v>
      </c>
      <c r="V7224" t="s">
        <v>60131</v>
      </c>
      <c r="W7224" t="s">
        <v>43840</v>
      </c>
      <c r="X7224" t="s">
        <v>45104</v>
      </c>
    </row>
    <row r="7225" spans="1:24">
      <c r="A7225">
        <f>HYPERLINK("https://www.philgeps.gov.ph/GEPSNONPILOT/Tender/SplashBidNoticeAbstractUI.aspx?menuIndex=3&amp;refID=7036117&amp;Result=3","7036117")</f>
        <v>0</v>
      </c>
      <c r="B7225" t="s">
        <v>2149</v>
      </c>
      <c r="C7225" t="s">
        <v>10105</v>
      </c>
      <c r="D7225" t="s">
        <v>18103</v>
      </c>
      <c r="E7225" t="s">
        <v>24481</v>
      </c>
      <c r="F7225" t="s">
        <v>31574</v>
      </c>
      <c r="G7225" t="s">
        <v>31582</v>
      </c>
      <c r="H7225" t="s">
        <v>31590</v>
      </c>
      <c r="I7225" t="s">
        <v>4046</v>
      </c>
      <c r="J7225" t="s">
        <v>36364</v>
      </c>
      <c r="K7225" t="s">
        <v>41186</v>
      </c>
      <c r="M7225" t="s">
        <v>43831</v>
      </c>
      <c r="N7225" t="s">
        <v>45095</v>
      </c>
      <c r="O7225" t="s">
        <v>45096</v>
      </c>
      <c r="P7225">
        <v>0</v>
      </c>
      <c r="Q7225">
        <v>2</v>
      </c>
      <c r="R7225" t="s">
        <v>45103</v>
      </c>
      <c r="S7225" t="s">
        <v>45270</v>
      </c>
      <c r="T7225" t="s">
        <v>47058</v>
      </c>
      <c r="U7225" t="s">
        <v>53507</v>
      </c>
      <c r="V7225" t="s">
        <v>60625</v>
      </c>
      <c r="W7225" t="s">
        <v>43831</v>
      </c>
      <c r="X7225" t="s">
        <v>45104</v>
      </c>
    </row>
    <row r="7226" spans="1:24">
      <c r="A7226">
        <f>HYPERLINK("https://www.philgeps.gov.ph/GEPSNONPILOT/Tender/SplashBidNoticeAbstractUI.aspx?menuIndex=3&amp;refID=7036092&amp;Result=3","7036092")</f>
        <v>0</v>
      </c>
      <c r="B7226" t="s">
        <v>2148</v>
      </c>
      <c r="C7226" t="s">
        <v>10106</v>
      </c>
      <c r="D7226" t="s">
        <v>18092</v>
      </c>
      <c r="E7226" t="s">
        <v>24482</v>
      </c>
      <c r="F7226" t="s">
        <v>31574</v>
      </c>
      <c r="G7226" t="s">
        <v>31582</v>
      </c>
      <c r="H7226" t="s">
        <v>31591</v>
      </c>
      <c r="I7226" t="s">
        <v>8822</v>
      </c>
      <c r="J7226" t="s">
        <v>31935</v>
      </c>
      <c r="K7226" t="s">
        <v>41189</v>
      </c>
      <c r="M7226" t="s">
        <v>43830</v>
      </c>
      <c r="N7226" t="s">
        <v>45095</v>
      </c>
      <c r="O7226" t="s">
        <v>45096</v>
      </c>
      <c r="P7226">
        <v>0</v>
      </c>
      <c r="Q7226">
        <v>0</v>
      </c>
      <c r="R7226" t="s">
        <v>45103</v>
      </c>
      <c r="S7226" t="s">
        <v>45270</v>
      </c>
      <c r="T7226" t="s">
        <v>47166</v>
      </c>
      <c r="U7226" t="s">
        <v>53508</v>
      </c>
      <c r="W7226" t="s">
        <v>43830</v>
      </c>
      <c r="X7226" t="s">
        <v>45104</v>
      </c>
    </row>
    <row r="7227" spans="1:24">
      <c r="A7227">
        <f>HYPERLINK("https://www.philgeps.gov.ph/GEPSNONPILOT/Tender/SplashBidNoticeAbstractUI.aspx?menuIndex=3&amp;refID=7036114&amp;Result=3","7036114")</f>
        <v>0</v>
      </c>
      <c r="B7227" t="s">
        <v>1361</v>
      </c>
      <c r="C7227" t="s">
        <v>10107</v>
      </c>
      <c r="D7227" t="s">
        <v>18030</v>
      </c>
      <c r="E7227" t="s">
        <v>24483</v>
      </c>
      <c r="F7227" t="s">
        <v>31574</v>
      </c>
      <c r="G7227" t="s">
        <v>31581</v>
      </c>
      <c r="H7227" t="s">
        <v>31590</v>
      </c>
      <c r="I7227" t="s">
        <v>3489</v>
      </c>
      <c r="J7227" t="s">
        <v>36365</v>
      </c>
      <c r="K7227" t="s">
        <v>41184</v>
      </c>
      <c r="M7227" t="s">
        <v>42933</v>
      </c>
      <c r="N7227" t="s">
        <v>45095</v>
      </c>
      <c r="O7227" t="s">
        <v>45096</v>
      </c>
      <c r="P7227">
        <v>0</v>
      </c>
      <c r="Q7227">
        <v>0</v>
      </c>
      <c r="R7227" t="s">
        <v>45103</v>
      </c>
      <c r="S7227" t="s">
        <v>45270</v>
      </c>
      <c r="T7227" t="s">
        <v>47067</v>
      </c>
      <c r="U7227" t="s">
        <v>53509</v>
      </c>
      <c r="W7227" t="s">
        <v>42933</v>
      </c>
      <c r="X7227" t="s">
        <v>45104</v>
      </c>
    </row>
    <row r="7228" spans="1:24">
      <c r="A7228">
        <f>HYPERLINK("https://www.philgeps.gov.ph/GEPSNONPILOT/Tender/SplashBidNoticeAbstractUI.aspx?menuIndex=3&amp;refID=7036084&amp;Result=3","7036084")</f>
        <v>0</v>
      </c>
      <c r="B7228" t="s">
        <v>2158</v>
      </c>
      <c r="C7228" t="s">
        <v>10108</v>
      </c>
      <c r="D7228" t="s">
        <v>18056</v>
      </c>
      <c r="E7228" t="s">
        <v>24484</v>
      </c>
      <c r="F7228" t="s">
        <v>31574</v>
      </c>
      <c r="G7228" t="s">
        <v>31581</v>
      </c>
      <c r="H7228" t="s">
        <v>31590</v>
      </c>
      <c r="I7228" t="s">
        <v>4327</v>
      </c>
      <c r="J7228" t="s">
        <v>33041</v>
      </c>
      <c r="K7228" t="s">
        <v>41193</v>
      </c>
      <c r="M7228" t="s">
        <v>43841</v>
      </c>
      <c r="N7228" t="s">
        <v>45095</v>
      </c>
      <c r="O7228" t="s">
        <v>45096</v>
      </c>
      <c r="P7228">
        <v>0</v>
      </c>
      <c r="Q7228">
        <v>2</v>
      </c>
      <c r="R7228" t="s">
        <v>45103</v>
      </c>
      <c r="S7228" t="s">
        <v>45270</v>
      </c>
      <c r="T7228" t="s">
        <v>47154</v>
      </c>
      <c r="U7228" t="s">
        <v>53510</v>
      </c>
      <c r="W7228" t="s">
        <v>43841</v>
      </c>
      <c r="X7228" t="s">
        <v>45104</v>
      </c>
    </row>
    <row r="7229" spans="1:24">
      <c r="A7229">
        <f>HYPERLINK("https://www.philgeps.gov.ph/GEPSNONPILOT/Tender/SplashBidNoticeAbstractUI.aspx?menuIndex=3&amp;refID=7036105&amp;Result=3","7036105")</f>
        <v>0</v>
      </c>
      <c r="B7229" t="s">
        <v>2159</v>
      </c>
      <c r="C7229" t="s">
        <v>10109</v>
      </c>
      <c r="D7229" t="s">
        <v>18035</v>
      </c>
      <c r="E7229" t="s">
        <v>10109</v>
      </c>
      <c r="F7229" t="s">
        <v>31574</v>
      </c>
      <c r="G7229" t="s">
        <v>31581</v>
      </c>
      <c r="H7229" t="s">
        <v>31590</v>
      </c>
      <c r="I7229" t="s">
        <v>4327</v>
      </c>
      <c r="J7229" t="s">
        <v>36366</v>
      </c>
      <c r="K7229" t="s">
        <v>41184</v>
      </c>
      <c r="M7229" t="s">
        <v>43842</v>
      </c>
      <c r="N7229" t="s">
        <v>45095</v>
      </c>
      <c r="O7229" t="s">
        <v>45096</v>
      </c>
      <c r="P7229">
        <v>0</v>
      </c>
      <c r="Q7229">
        <v>2</v>
      </c>
      <c r="R7229" t="s">
        <v>45103</v>
      </c>
      <c r="S7229" t="s">
        <v>45270</v>
      </c>
      <c r="T7229" t="s">
        <v>47183</v>
      </c>
      <c r="U7229" t="s">
        <v>53511</v>
      </c>
      <c r="W7229" t="s">
        <v>43842</v>
      </c>
      <c r="X7229" t="s">
        <v>45104</v>
      </c>
    </row>
    <row r="7230" spans="1:24">
      <c r="A7230">
        <f>HYPERLINK("https://www.philgeps.gov.ph/GEPSNONPILOT/Tender/SplashBidNoticeAbstractUI.aspx?menuIndex=3&amp;refID=7036109&amp;Result=3","7036109")</f>
        <v>0</v>
      </c>
      <c r="B7230" t="s">
        <v>2155</v>
      </c>
      <c r="C7230" t="s">
        <v>7149</v>
      </c>
      <c r="D7230" t="s">
        <v>18041</v>
      </c>
      <c r="E7230" t="s">
        <v>24485</v>
      </c>
      <c r="F7230" t="s">
        <v>31574</v>
      </c>
      <c r="G7230" t="s">
        <v>31582</v>
      </c>
      <c r="H7230" t="s">
        <v>31590</v>
      </c>
      <c r="I7230" t="s">
        <v>8258</v>
      </c>
      <c r="J7230" t="s">
        <v>32177</v>
      </c>
      <c r="K7230" t="s">
        <v>41186</v>
      </c>
      <c r="M7230" t="s">
        <v>43838</v>
      </c>
      <c r="N7230" t="s">
        <v>45095</v>
      </c>
      <c r="O7230" t="s">
        <v>45096</v>
      </c>
      <c r="P7230">
        <v>0</v>
      </c>
      <c r="Q7230">
        <v>0</v>
      </c>
      <c r="R7230" t="s">
        <v>45103</v>
      </c>
      <c r="S7230" t="s">
        <v>45270</v>
      </c>
      <c r="T7230" t="s">
        <v>47076</v>
      </c>
      <c r="U7230" t="s">
        <v>53512</v>
      </c>
      <c r="W7230" t="s">
        <v>43838</v>
      </c>
      <c r="X7230" t="s">
        <v>45104</v>
      </c>
    </row>
    <row r="7231" spans="1:24">
      <c r="A7231">
        <f>HYPERLINK("https://www.philgeps.gov.ph/GEPSNONPILOT/Tender/SplashBidNoticeAbstractUI.aspx?menuIndex=3&amp;refID=7036106&amp;Result=3","7036106")</f>
        <v>0</v>
      </c>
      <c r="B7231" t="s">
        <v>2112</v>
      </c>
      <c r="C7231" t="s">
        <v>10110</v>
      </c>
      <c r="D7231" t="s">
        <v>18041</v>
      </c>
      <c r="E7231" t="s">
        <v>24486</v>
      </c>
      <c r="F7231" t="s">
        <v>31574</v>
      </c>
      <c r="G7231" t="s">
        <v>31582</v>
      </c>
      <c r="H7231" t="s">
        <v>31590</v>
      </c>
      <c r="I7231" t="s">
        <v>31599</v>
      </c>
      <c r="J7231" t="s">
        <v>34356</v>
      </c>
      <c r="K7231" t="s">
        <v>41184</v>
      </c>
      <c r="M7231" t="s">
        <v>43792</v>
      </c>
      <c r="N7231" t="s">
        <v>45095</v>
      </c>
      <c r="O7231" t="s">
        <v>45096</v>
      </c>
      <c r="P7231">
        <v>0</v>
      </c>
      <c r="Q7231">
        <v>0</v>
      </c>
      <c r="R7231" t="s">
        <v>45103</v>
      </c>
      <c r="S7231" t="s">
        <v>45270</v>
      </c>
      <c r="T7231" t="s">
        <v>47188</v>
      </c>
      <c r="U7231" t="s">
        <v>53513</v>
      </c>
      <c r="V7231" t="s">
        <v>60610</v>
      </c>
      <c r="W7231" t="s">
        <v>43792</v>
      </c>
      <c r="X7231" t="s">
        <v>45104</v>
      </c>
    </row>
    <row r="7232" spans="1:24">
      <c r="A7232">
        <f>HYPERLINK("https://www.philgeps.gov.ph/GEPSNONPILOT/Tender/SplashBidNoticeAbstractUI.aspx?menuIndex=3&amp;refID=7036122&amp;Result=3","7036122")</f>
        <v>0</v>
      </c>
      <c r="B7232" t="s">
        <v>994</v>
      </c>
      <c r="C7232" t="s">
        <v>10111</v>
      </c>
      <c r="D7232" t="s">
        <v>18048</v>
      </c>
      <c r="E7232" t="s">
        <v>18256</v>
      </c>
      <c r="F7232" t="s">
        <v>31574</v>
      </c>
      <c r="G7232" t="s">
        <v>31581</v>
      </c>
      <c r="H7232" t="s">
        <v>31590</v>
      </c>
      <c r="I7232" t="s">
        <v>4327</v>
      </c>
      <c r="J7232" t="s">
        <v>36367</v>
      </c>
      <c r="K7232" t="s">
        <v>41193</v>
      </c>
      <c r="L7232" t="s">
        <v>994</v>
      </c>
      <c r="M7232" t="s">
        <v>42530</v>
      </c>
      <c r="N7232" t="s">
        <v>45095</v>
      </c>
      <c r="O7232" t="s">
        <v>45096</v>
      </c>
      <c r="P7232">
        <v>0</v>
      </c>
      <c r="Q7232">
        <v>0</v>
      </c>
      <c r="R7232" t="s">
        <v>45103</v>
      </c>
      <c r="S7232" t="s">
        <v>45270</v>
      </c>
      <c r="T7232" t="s">
        <v>46949</v>
      </c>
      <c r="U7232" t="s">
        <v>53514</v>
      </c>
      <c r="V7232" t="s">
        <v>60107</v>
      </c>
      <c r="W7232" t="s">
        <v>42530</v>
      </c>
      <c r="X7232" t="s">
        <v>45104</v>
      </c>
    </row>
    <row r="7233" spans="1:24">
      <c r="A7233">
        <f>HYPERLINK("https://www.philgeps.gov.ph/GEPSNONPILOT/Tender/SplashBidNoticeAbstractUI.aspx?menuIndex=3&amp;refID=7036121&amp;Result=3","7036121")</f>
        <v>0</v>
      </c>
      <c r="B7233" t="s">
        <v>2160</v>
      </c>
      <c r="C7233" t="s">
        <v>4258</v>
      </c>
      <c r="D7233" t="s">
        <v>18022</v>
      </c>
      <c r="E7233" t="s">
        <v>24487</v>
      </c>
      <c r="F7233" t="s">
        <v>31574</v>
      </c>
      <c r="G7233" t="s">
        <v>31582</v>
      </c>
      <c r="H7233" t="s">
        <v>31590</v>
      </c>
      <c r="I7233" t="s">
        <v>3651</v>
      </c>
      <c r="J7233" t="s">
        <v>32425</v>
      </c>
      <c r="K7233" t="s">
        <v>41212</v>
      </c>
      <c r="M7233" t="s">
        <v>43843</v>
      </c>
      <c r="N7233" t="s">
        <v>45095</v>
      </c>
      <c r="O7233" t="s">
        <v>45096</v>
      </c>
      <c r="P7233">
        <v>0</v>
      </c>
      <c r="Q7233">
        <v>3</v>
      </c>
      <c r="R7233" t="s">
        <v>45103</v>
      </c>
      <c r="S7233" t="s">
        <v>45270</v>
      </c>
      <c r="T7233" t="s">
        <v>47067</v>
      </c>
      <c r="U7233" t="s">
        <v>53515</v>
      </c>
      <c r="W7233" t="s">
        <v>43843</v>
      </c>
      <c r="X7233" t="s">
        <v>45104</v>
      </c>
    </row>
    <row r="7234" spans="1:24">
      <c r="A7234">
        <f>HYPERLINK("https://www.philgeps.gov.ph/GEPSNONPILOT/Tender/SplashBidNoticeAbstractUI.aspx?menuIndex=3&amp;refID=7036094&amp;Result=3","7036094")</f>
        <v>0</v>
      </c>
      <c r="B7234" t="s">
        <v>650</v>
      </c>
      <c r="C7234" t="s">
        <v>10112</v>
      </c>
      <c r="D7234" t="s">
        <v>18030</v>
      </c>
      <c r="E7234" t="s">
        <v>24488</v>
      </c>
      <c r="F7234" t="s">
        <v>31574</v>
      </c>
      <c r="G7234" t="s">
        <v>31582</v>
      </c>
      <c r="H7234" t="s">
        <v>31591</v>
      </c>
      <c r="I7234" t="s">
        <v>8822</v>
      </c>
      <c r="J7234" t="s">
        <v>36368</v>
      </c>
      <c r="K7234" t="s">
        <v>41232</v>
      </c>
      <c r="M7234" t="s">
        <v>42154</v>
      </c>
      <c r="N7234" t="s">
        <v>45095</v>
      </c>
      <c r="O7234" t="s">
        <v>45096</v>
      </c>
      <c r="P7234">
        <v>0</v>
      </c>
      <c r="Q7234">
        <v>1</v>
      </c>
      <c r="R7234" t="s">
        <v>45103</v>
      </c>
      <c r="S7234" t="s">
        <v>45270</v>
      </c>
      <c r="T7234" t="s">
        <v>47064</v>
      </c>
      <c r="U7234" t="s">
        <v>48827</v>
      </c>
      <c r="W7234" t="s">
        <v>42154</v>
      </c>
      <c r="X7234" t="s">
        <v>45104</v>
      </c>
    </row>
    <row r="7235" spans="1:24">
      <c r="A7235">
        <f>HYPERLINK("https://www.philgeps.gov.ph/GEPSNONPILOT/Tender/SplashBidNoticeAbstractUI.aspx?menuIndex=3&amp;refID=7036120&amp;Result=3","7036120")</f>
        <v>0</v>
      </c>
      <c r="B7235" t="s">
        <v>357</v>
      </c>
      <c r="C7235" t="s">
        <v>10113</v>
      </c>
      <c r="D7235" t="s">
        <v>18026</v>
      </c>
      <c r="E7235" t="s">
        <v>24489</v>
      </c>
      <c r="F7235" t="s">
        <v>31574</v>
      </c>
      <c r="G7235" t="s">
        <v>31581</v>
      </c>
      <c r="H7235" t="s">
        <v>31590</v>
      </c>
      <c r="I7235" t="s">
        <v>4046</v>
      </c>
      <c r="J7235" t="s">
        <v>36369</v>
      </c>
      <c r="K7235" t="s">
        <v>41193</v>
      </c>
      <c r="M7235" t="s">
        <v>42068</v>
      </c>
      <c r="N7235" t="s">
        <v>45095</v>
      </c>
      <c r="O7235" t="s">
        <v>45096</v>
      </c>
      <c r="P7235">
        <v>0</v>
      </c>
      <c r="Q7235">
        <v>4</v>
      </c>
      <c r="R7235" t="s">
        <v>45103</v>
      </c>
      <c r="S7235" t="s">
        <v>45270</v>
      </c>
      <c r="T7235" t="s">
        <v>47125</v>
      </c>
      <c r="U7235" t="s">
        <v>53516</v>
      </c>
      <c r="W7235" t="s">
        <v>42068</v>
      </c>
      <c r="X7235" t="s">
        <v>45104</v>
      </c>
    </row>
    <row r="7236" spans="1:24">
      <c r="A7236">
        <f>HYPERLINK("https://www.philgeps.gov.ph/GEPSNONPILOT/Tender/SplashBidNoticeAbstractUI.aspx?menuIndex=3&amp;refID=7036118&amp;Result=3","7036118")</f>
        <v>0</v>
      </c>
      <c r="B7236" t="s">
        <v>2112</v>
      </c>
      <c r="C7236" t="s">
        <v>10114</v>
      </c>
      <c r="D7236" t="s">
        <v>18041</v>
      </c>
      <c r="E7236" t="s">
        <v>24490</v>
      </c>
      <c r="F7236" t="s">
        <v>31574</v>
      </c>
      <c r="G7236" t="s">
        <v>31582</v>
      </c>
      <c r="H7236" t="s">
        <v>31590</v>
      </c>
      <c r="I7236" t="s">
        <v>31594</v>
      </c>
      <c r="J7236" t="s">
        <v>36370</v>
      </c>
      <c r="K7236" t="s">
        <v>41184</v>
      </c>
      <c r="M7236" t="s">
        <v>43792</v>
      </c>
      <c r="N7236" t="s">
        <v>45095</v>
      </c>
      <c r="O7236" t="s">
        <v>45096</v>
      </c>
      <c r="P7236">
        <v>0</v>
      </c>
      <c r="Q7236">
        <v>6</v>
      </c>
      <c r="R7236" t="s">
        <v>45103</v>
      </c>
      <c r="S7236" t="s">
        <v>45270</v>
      </c>
      <c r="T7236" t="s">
        <v>47188</v>
      </c>
      <c r="U7236" t="s">
        <v>53517</v>
      </c>
      <c r="V7236" t="s">
        <v>60610</v>
      </c>
      <c r="W7236" t="s">
        <v>43792</v>
      </c>
      <c r="X7236" t="s">
        <v>45104</v>
      </c>
    </row>
    <row r="7237" spans="1:24">
      <c r="A7237">
        <f>HYPERLINK("https://www.philgeps.gov.ph/GEPSNONPILOT/Tender/SplashBidNoticeAbstractUI.aspx?menuIndex=3&amp;refID=7036108&amp;Result=3","7036108")</f>
        <v>0</v>
      </c>
      <c r="B7237" t="s">
        <v>886</v>
      </c>
      <c r="C7237" t="s">
        <v>10115</v>
      </c>
      <c r="E7237" t="s">
        <v>24491</v>
      </c>
      <c r="F7237" t="s">
        <v>31574</v>
      </c>
      <c r="G7237" t="s">
        <v>31581</v>
      </c>
      <c r="H7237" t="s">
        <v>31590</v>
      </c>
      <c r="I7237" t="s">
        <v>31594</v>
      </c>
      <c r="J7237" t="s">
        <v>31782</v>
      </c>
      <c r="K7237" t="s">
        <v>41184</v>
      </c>
      <c r="M7237" t="s">
        <v>42407</v>
      </c>
      <c r="N7237" t="s">
        <v>45095</v>
      </c>
      <c r="O7237" t="s">
        <v>45096</v>
      </c>
      <c r="P7237">
        <v>0</v>
      </c>
      <c r="Q7237">
        <v>2</v>
      </c>
      <c r="R7237" t="s">
        <v>45103</v>
      </c>
      <c r="S7237" t="s">
        <v>45270</v>
      </c>
      <c r="T7237" t="s">
        <v>47080</v>
      </c>
      <c r="U7237" t="s">
        <v>53363</v>
      </c>
      <c r="W7237" t="s">
        <v>42407</v>
      </c>
      <c r="X7237" t="s">
        <v>45104</v>
      </c>
    </row>
    <row r="7238" spans="1:24">
      <c r="A7238">
        <f>HYPERLINK("https://www.philgeps.gov.ph/GEPSNONPILOT/Tender/SplashBidNoticeAbstractUI.aspx?menuIndex=3&amp;refID=7036098&amp;Result=3","7036098")</f>
        <v>0</v>
      </c>
      <c r="B7238" t="s">
        <v>2161</v>
      </c>
      <c r="C7238" t="s">
        <v>10116</v>
      </c>
      <c r="D7238" t="s">
        <v>18040</v>
      </c>
      <c r="E7238" t="s">
        <v>24492</v>
      </c>
      <c r="F7238" t="s">
        <v>31574</v>
      </c>
      <c r="G7238" t="s">
        <v>31582</v>
      </c>
      <c r="H7238" t="s">
        <v>31590</v>
      </c>
      <c r="I7238" t="s">
        <v>4046</v>
      </c>
      <c r="J7238" t="s">
        <v>36371</v>
      </c>
      <c r="K7238" t="s">
        <v>41190</v>
      </c>
      <c r="M7238" t="s">
        <v>43844</v>
      </c>
      <c r="N7238" t="s">
        <v>45095</v>
      </c>
      <c r="O7238" t="s">
        <v>45096</v>
      </c>
      <c r="P7238">
        <v>0</v>
      </c>
      <c r="Q7238">
        <v>0</v>
      </c>
      <c r="R7238" t="s">
        <v>45103</v>
      </c>
      <c r="S7238" t="s">
        <v>45270</v>
      </c>
      <c r="T7238" t="s">
        <v>47124</v>
      </c>
      <c r="U7238" t="s">
        <v>53518</v>
      </c>
      <c r="W7238" t="s">
        <v>43844</v>
      </c>
      <c r="X7238" t="s">
        <v>45104</v>
      </c>
    </row>
    <row r="7239" spans="1:24">
      <c r="A7239">
        <f>HYPERLINK("https://www.philgeps.gov.ph/GEPSNONPILOT/Tender/SplashBidNoticeAbstractUI.aspx?menuIndex=3&amp;refID=7036123&amp;Result=3","7036123")</f>
        <v>0</v>
      </c>
      <c r="B7239" t="s">
        <v>2003</v>
      </c>
      <c r="C7239" t="s">
        <v>10117</v>
      </c>
      <c r="D7239" t="s">
        <v>18022</v>
      </c>
      <c r="E7239" t="s">
        <v>24493</v>
      </c>
      <c r="F7239" t="s">
        <v>31574</v>
      </c>
      <c r="G7239" t="s">
        <v>31582</v>
      </c>
      <c r="H7239" t="s">
        <v>31590</v>
      </c>
      <c r="I7239" t="s">
        <v>3487</v>
      </c>
      <c r="J7239" t="s">
        <v>32869</v>
      </c>
      <c r="K7239" t="s">
        <v>41186</v>
      </c>
      <c r="M7239" t="s">
        <v>43837</v>
      </c>
      <c r="N7239" t="s">
        <v>45095</v>
      </c>
      <c r="O7239" t="s">
        <v>45096</v>
      </c>
      <c r="P7239">
        <v>0</v>
      </c>
      <c r="Q7239">
        <v>2</v>
      </c>
      <c r="R7239" t="s">
        <v>45103</v>
      </c>
      <c r="S7239" t="s">
        <v>45270</v>
      </c>
      <c r="T7239" t="s">
        <v>46979</v>
      </c>
      <c r="U7239" t="s">
        <v>53519</v>
      </c>
      <c r="W7239" t="s">
        <v>43837</v>
      </c>
      <c r="X7239" t="s">
        <v>45104</v>
      </c>
    </row>
    <row r="7240" spans="1:24">
      <c r="A7240">
        <f>HYPERLINK("https://www.philgeps.gov.ph/GEPSNONPILOT/Tender/SplashBidNoticeAbstractUI.aspx?menuIndex=3&amp;refID=7036081&amp;Result=3","7036081")</f>
        <v>0</v>
      </c>
      <c r="B7240" t="s">
        <v>249</v>
      </c>
      <c r="C7240" t="s">
        <v>10118</v>
      </c>
      <c r="D7240" t="s">
        <v>18068</v>
      </c>
      <c r="E7240" t="s">
        <v>10118</v>
      </c>
      <c r="F7240" t="s">
        <v>31574</v>
      </c>
      <c r="G7240" t="s">
        <v>31581</v>
      </c>
      <c r="H7240" t="s">
        <v>31590</v>
      </c>
      <c r="I7240" t="s">
        <v>31599</v>
      </c>
      <c r="J7240" t="s">
        <v>32163</v>
      </c>
      <c r="K7240" t="s">
        <v>41186</v>
      </c>
      <c r="M7240" t="s">
        <v>43845</v>
      </c>
      <c r="N7240" t="s">
        <v>45095</v>
      </c>
      <c r="O7240" t="s">
        <v>45096</v>
      </c>
      <c r="P7240">
        <v>0</v>
      </c>
      <c r="Q7240">
        <v>3</v>
      </c>
      <c r="R7240" t="s">
        <v>45103</v>
      </c>
      <c r="S7240" t="s">
        <v>45270</v>
      </c>
      <c r="T7240" t="s">
        <v>47067</v>
      </c>
      <c r="U7240" t="s">
        <v>53520</v>
      </c>
      <c r="W7240" t="s">
        <v>43845</v>
      </c>
      <c r="X7240" t="s">
        <v>45104</v>
      </c>
    </row>
    <row r="7241" spans="1:24">
      <c r="A7241">
        <f>HYPERLINK("https://www.philgeps.gov.ph/GEPSNONPILOT/Tender/SplashBidNoticeAbstractUI.aspx?menuIndex=3&amp;refID=7036149&amp;Result=3","7036149")</f>
        <v>0</v>
      </c>
      <c r="B7241" t="s">
        <v>530</v>
      </c>
      <c r="C7241" t="s">
        <v>10119</v>
      </c>
      <c r="D7241" t="s">
        <v>18071</v>
      </c>
      <c r="E7241" t="s">
        <v>10119</v>
      </c>
      <c r="F7241" t="s">
        <v>31574</v>
      </c>
      <c r="G7241" t="s">
        <v>31582</v>
      </c>
      <c r="H7241" t="s">
        <v>31590</v>
      </c>
      <c r="I7241" t="s">
        <v>3489</v>
      </c>
      <c r="J7241" t="s">
        <v>36372</v>
      </c>
      <c r="K7241" t="s">
        <v>41186</v>
      </c>
      <c r="M7241" t="s">
        <v>42027</v>
      </c>
      <c r="N7241" t="s">
        <v>45095</v>
      </c>
      <c r="O7241" t="s">
        <v>45096</v>
      </c>
      <c r="P7241">
        <v>0</v>
      </c>
      <c r="Q7241">
        <v>0</v>
      </c>
      <c r="R7241" t="s">
        <v>45103</v>
      </c>
      <c r="S7241" t="s">
        <v>45270</v>
      </c>
      <c r="T7241" t="s">
        <v>47021</v>
      </c>
      <c r="U7241" t="s">
        <v>53521</v>
      </c>
      <c r="W7241" t="s">
        <v>42027</v>
      </c>
      <c r="X7241" t="s">
        <v>45104</v>
      </c>
    </row>
    <row r="7242" spans="1:24">
      <c r="A7242">
        <f>HYPERLINK("https://www.philgeps.gov.ph/GEPSNONPILOT/Tender/SplashBidNoticeAbstractUI.aspx?menuIndex=3&amp;refID=7036089&amp;Result=3","7036089")</f>
        <v>0</v>
      </c>
      <c r="B7242" t="s">
        <v>1887</v>
      </c>
      <c r="C7242" t="s">
        <v>10120</v>
      </c>
      <c r="D7242" t="s">
        <v>18022</v>
      </c>
      <c r="E7242" t="s">
        <v>24494</v>
      </c>
      <c r="F7242" t="s">
        <v>31574</v>
      </c>
      <c r="G7242" t="s">
        <v>31584</v>
      </c>
      <c r="H7242" t="s">
        <v>31590</v>
      </c>
      <c r="I7242" t="s">
        <v>31639</v>
      </c>
      <c r="J7242" t="s">
        <v>36373</v>
      </c>
      <c r="K7242" t="s">
        <v>41213</v>
      </c>
      <c r="M7242" t="s">
        <v>43846</v>
      </c>
      <c r="N7242" t="s">
        <v>45095</v>
      </c>
      <c r="O7242" t="s">
        <v>45096</v>
      </c>
      <c r="P7242">
        <v>0</v>
      </c>
      <c r="Q7242">
        <v>6</v>
      </c>
      <c r="R7242" t="s">
        <v>45103</v>
      </c>
      <c r="S7242" t="s">
        <v>45270</v>
      </c>
      <c r="T7242" t="s">
        <v>47067</v>
      </c>
      <c r="U7242" t="s">
        <v>53522</v>
      </c>
      <c r="W7242" t="s">
        <v>43846</v>
      </c>
      <c r="X7242" t="s">
        <v>45104</v>
      </c>
    </row>
    <row r="7243" spans="1:24">
      <c r="A7243">
        <f>HYPERLINK("https://www.philgeps.gov.ph/GEPSNONPILOT/Tender/SplashBidNoticeAbstractUI.aspx?menuIndex=3&amp;refID=7036136&amp;Result=3","7036136")</f>
        <v>0</v>
      </c>
      <c r="B7243" t="s">
        <v>2162</v>
      </c>
      <c r="C7243" t="s">
        <v>10121</v>
      </c>
      <c r="D7243" t="s">
        <v>18045</v>
      </c>
      <c r="E7243" t="s">
        <v>24495</v>
      </c>
      <c r="F7243" t="s">
        <v>31574</v>
      </c>
      <c r="G7243" t="s">
        <v>31581</v>
      </c>
      <c r="H7243" t="s">
        <v>31590</v>
      </c>
      <c r="I7243" t="s">
        <v>31622</v>
      </c>
      <c r="J7243" t="s">
        <v>34709</v>
      </c>
      <c r="K7243" t="s">
        <v>41186</v>
      </c>
      <c r="M7243" t="s">
        <v>43847</v>
      </c>
      <c r="N7243" t="s">
        <v>45095</v>
      </c>
      <c r="O7243" t="s">
        <v>45096</v>
      </c>
      <c r="P7243">
        <v>0</v>
      </c>
      <c r="Q7243">
        <v>1</v>
      </c>
      <c r="R7243" t="s">
        <v>45103</v>
      </c>
      <c r="S7243" t="s">
        <v>45270</v>
      </c>
      <c r="T7243" t="s">
        <v>47125</v>
      </c>
      <c r="U7243" t="s">
        <v>53523</v>
      </c>
      <c r="W7243" t="s">
        <v>43847</v>
      </c>
      <c r="X7243" t="s">
        <v>45104</v>
      </c>
    </row>
    <row r="7244" spans="1:24">
      <c r="A7244">
        <f>HYPERLINK("https://www.philgeps.gov.ph/GEPSNONPILOT/Tender/SplashBidNoticeAbstractUI.aspx?menuIndex=3&amp;refID=7036144&amp;Result=3","7036144")</f>
        <v>0</v>
      </c>
      <c r="B7244" t="s">
        <v>2112</v>
      </c>
      <c r="C7244" t="s">
        <v>10122</v>
      </c>
      <c r="D7244" t="s">
        <v>18041</v>
      </c>
      <c r="E7244" t="s">
        <v>24496</v>
      </c>
      <c r="F7244" t="s">
        <v>31574</v>
      </c>
      <c r="G7244" t="s">
        <v>31582</v>
      </c>
      <c r="H7244" t="s">
        <v>31590</v>
      </c>
      <c r="I7244" t="s">
        <v>31599</v>
      </c>
      <c r="J7244" t="s">
        <v>36374</v>
      </c>
      <c r="K7244" t="s">
        <v>41184</v>
      </c>
      <c r="M7244" t="s">
        <v>43792</v>
      </c>
      <c r="N7244" t="s">
        <v>45095</v>
      </c>
      <c r="O7244" t="s">
        <v>45096</v>
      </c>
      <c r="P7244">
        <v>0</v>
      </c>
      <c r="Q7244">
        <v>1</v>
      </c>
      <c r="R7244" t="s">
        <v>45103</v>
      </c>
      <c r="S7244" t="s">
        <v>45270</v>
      </c>
      <c r="T7244" t="s">
        <v>47188</v>
      </c>
      <c r="U7244" t="s">
        <v>53524</v>
      </c>
      <c r="V7244" t="s">
        <v>60610</v>
      </c>
      <c r="W7244" t="s">
        <v>43792</v>
      </c>
      <c r="X7244" t="s">
        <v>45104</v>
      </c>
    </row>
    <row r="7245" spans="1:24">
      <c r="A7245">
        <f>HYPERLINK("https://www.philgeps.gov.ph/GEPSNONPILOT/Tender/SplashBidNoticeAbstractUI.aspx?menuIndex=3&amp;refID=7036134&amp;Result=3","7036134")</f>
        <v>0</v>
      </c>
      <c r="B7245" t="s">
        <v>650</v>
      </c>
      <c r="C7245" t="s">
        <v>10123</v>
      </c>
      <c r="D7245" t="s">
        <v>18030</v>
      </c>
      <c r="E7245" t="s">
        <v>24497</v>
      </c>
      <c r="F7245" t="s">
        <v>31574</v>
      </c>
      <c r="G7245" t="s">
        <v>31582</v>
      </c>
      <c r="H7245" t="s">
        <v>31591</v>
      </c>
      <c r="I7245" t="s">
        <v>8822</v>
      </c>
      <c r="J7245" t="s">
        <v>36375</v>
      </c>
      <c r="K7245" t="s">
        <v>41208</v>
      </c>
      <c r="M7245" t="s">
        <v>42154</v>
      </c>
      <c r="N7245" t="s">
        <v>45095</v>
      </c>
      <c r="O7245" t="s">
        <v>45096</v>
      </c>
      <c r="P7245">
        <v>0</v>
      </c>
      <c r="Q7245">
        <v>1</v>
      </c>
      <c r="R7245" t="s">
        <v>45103</v>
      </c>
      <c r="S7245" t="s">
        <v>45270</v>
      </c>
      <c r="T7245" t="s">
        <v>47064</v>
      </c>
      <c r="U7245" t="s">
        <v>48827</v>
      </c>
      <c r="W7245" t="s">
        <v>42154</v>
      </c>
      <c r="X7245" t="s">
        <v>45104</v>
      </c>
    </row>
    <row r="7246" spans="1:24">
      <c r="A7246">
        <f>HYPERLINK("https://www.philgeps.gov.ph/GEPSNONPILOT/Tender/SplashBidNoticeAbstractUI.aspx?menuIndex=3&amp;refID=7036085&amp;Result=3","7036085")</f>
        <v>0</v>
      </c>
      <c r="B7246" t="s">
        <v>2051</v>
      </c>
      <c r="C7246" t="s">
        <v>10124</v>
      </c>
      <c r="D7246" t="s">
        <v>18066</v>
      </c>
      <c r="E7246" t="s">
        <v>24498</v>
      </c>
      <c r="F7246" t="s">
        <v>31574</v>
      </c>
      <c r="G7246" t="s">
        <v>31582</v>
      </c>
      <c r="H7246" t="s">
        <v>31590</v>
      </c>
      <c r="I7246" t="s">
        <v>31615</v>
      </c>
      <c r="J7246" t="s">
        <v>36376</v>
      </c>
      <c r="K7246" t="s">
        <v>41186</v>
      </c>
      <c r="M7246" t="s">
        <v>43719</v>
      </c>
      <c r="N7246" t="s">
        <v>45095</v>
      </c>
      <c r="O7246" t="s">
        <v>45096</v>
      </c>
      <c r="P7246">
        <v>0</v>
      </c>
      <c r="Q7246">
        <v>1</v>
      </c>
      <c r="R7246" t="s">
        <v>45103</v>
      </c>
      <c r="S7246" t="s">
        <v>45270</v>
      </c>
      <c r="T7246" t="s">
        <v>47000</v>
      </c>
      <c r="U7246" t="s">
        <v>53525</v>
      </c>
      <c r="V7246" t="s">
        <v>60626</v>
      </c>
      <c r="W7246" t="s">
        <v>43719</v>
      </c>
      <c r="X7246" t="s">
        <v>45104</v>
      </c>
    </row>
    <row r="7247" spans="1:24">
      <c r="A7247">
        <f>HYPERLINK("https://www.philgeps.gov.ph/GEPSNONPILOT/Tender/SplashBidNoticeAbstractUI.aspx?menuIndex=3&amp;refID=7036137&amp;Result=3","7036137")</f>
        <v>0</v>
      </c>
      <c r="B7247" t="s">
        <v>2112</v>
      </c>
      <c r="C7247" t="s">
        <v>10125</v>
      </c>
      <c r="D7247" t="s">
        <v>18041</v>
      </c>
      <c r="E7247" t="s">
        <v>24499</v>
      </c>
      <c r="F7247" t="s">
        <v>31574</v>
      </c>
      <c r="G7247" t="s">
        <v>31582</v>
      </c>
      <c r="H7247" t="s">
        <v>31590</v>
      </c>
      <c r="I7247" t="s">
        <v>4046</v>
      </c>
      <c r="J7247" t="s">
        <v>36377</v>
      </c>
      <c r="K7247" t="s">
        <v>41184</v>
      </c>
      <c r="M7247" t="s">
        <v>43792</v>
      </c>
      <c r="N7247" t="s">
        <v>45095</v>
      </c>
      <c r="O7247" t="s">
        <v>45096</v>
      </c>
      <c r="P7247">
        <v>0</v>
      </c>
      <c r="Q7247">
        <v>1</v>
      </c>
      <c r="R7247" t="s">
        <v>45103</v>
      </c>
      <c r="S7247" t="s">
        <v>45270</v>
      </c>
      <c r="T7247" t="s">
        <v>47188</v>
      </c>
      <c r="U7247" t="s">
        <v>53526</v>
      </c>
      <c r="V7247" t="s">
        <v>60610</v>
      </c>
      <c r="W7247" t="s">
        <v>43792</v>
      </c>
      <c r="X7247" t="s">
        <v>45104</v>
      </c>
    </row>
    <row r="7248" spans="1:24">
      <c r="A7248">
        <f>HYPERLINK("https://www.philgeps.gov.ph/GEPSNONPILOT/Tender/SplashBidNoticeAbstractUI.aspx?menuIndex=3&amp;refID=7036128&amp;Result=3","7036128")</f>
        <v>0</v>
      </c>
      <c r="B7248" t="s">
        <v>530</v>
      </c>
      <c r="C7248" t="s">
        <v>10126</v>
      </c>
      <c r="D7248" t="s">
        <v>18071</v>
      </c>
      <c r="E7248" t="s">
        <v>24500</v>
      </c>
      <c r="F7248" t="s">
        <v>31574</v>
      </c>
      <c r="G7248" t="s">
        <v>31582</v>
      </c>
      <c r="H7248" t="s">
        <v>31590</v>
      </c>
      <c r="I7248" t="s">
        <v>31602</v>
      </c>
      <c r="J7248" t="s">
        <v>36378</v>
      </c>
      <c r="K7248" t="s">
        <v>41197</v>
      </c>
      <c r="M7248" t="s">
        <v>42027</v>
      </c>
      <c r="N7248" t="s">
        <v>45095</v>
      </c>
      <c r="O7248" t="s">
        <v>45096</v>
      </c>
      <c r="P7248">
        <v>0</v>
      </c>
      <c r="Q7248">
        <v>0</v>
      </c>
      <c r="R7248" t="s">
        <v>45103</v>
      </c>
      <c r="S7248" t="s">
        <v>45270</v>
      </c>
      <c r="T7248" t="s">
        <v>47021</v>
      </c>
      <c r="U7248" t="s">
        <v>53527</v>
      </c>
      <c r="W7248" t="s">
        <v>42027</v>
      </c>
      <c r="X7248" t="s">
        <v>45104</v>
      </c>
    </row>
    <row r="7249" spans="1:24">
      <c r="A7249">
        <f>HYPERLINK("https://www.philgeps.gov.ph/GEPSNONPILOT/Tender/SplashBidNoticeAbstractUI.aspx?menuIndex=3&amp;refID=7036143&amp;Result=3","7036143")</f>
        <v>0</v>
      </c>
      <c r="B7249" t="s">
        <v>2148</v>
      </c>
      <c r="C7249" t="s">
        <v>10127</v>
      </c>
      <c r="D7249" t="s">
        <v>18092</v>
      </c>
      <c r="E7249" t="s">
        <v>24501</v>
      </c>
      <c r="F7249" t="s">
        <v>31574</v>
      </c>
      <c r="G7249" t="s">
        <v>31582</v>
      </c>
      <c r="H7249" t="s">
        <v>31591</v>
      </c>
      <c r="I7249" t="s">
        <v>8822</v>
      </c>
      <c r="J7249" t="s">
        <v>33350</v>
      </c>
      <c r="K7249" t="s">
        <v>41286</v>
      </c>
      <c r="M7249" t="s">
        <v>43830</v>
      </c>
      <c r="N7249" t="s">
        <v>45095</v>
      </c>
      <c r="O7249" t="s">
        <v>45096</v>
      </c>
      <c r="P7249">
        <v>0</v>
      </c>
      <c r="Q7249">
        <v>0</v>
      </c>
      <c r="R7249" t="s">
        <v>45103</v>
      </c>
      <c r="S7249" t="s">
        <v>45270</v>
      </c>
      <c r="T7249" t="s">
        <v>47166</v>
      </c>
      <c r="U7249" t="s">
        <v>53528</v>
      </c>
      <c r="W7249" t="s">
        <v>43830</v>
      </c>
      <c r="X7249" t="s">
        <v>45104</v>
      </c>
    </row>
    <row r="7250" spans="1:24">
      <c r="A7250">
        <f>HYPERLINK("https://www.philgeps.gov.ph/GEPSNONPILOT/Tender/SplashBidNoticeAbstractUI.aspx?menuIndex=3&amp;refID=7036135&amp;Result=3","7036135")</f>
        <v>0</v>
      </c>
      <c r="B7250" t="s">
        <v>236</v>
      </c>
      <c r="C7250" t="s">
        <v>3663</v>
      </c>
      <c r="D7250" t="s">
        <v>18063</v>
      </c>
      <c r="E7250" t="s">
        <v>24502</v>
      </c>
      <c r="F7250" t="s">
        <v>31574</v>
      </c>
      <c r="G7250" t="s">
        <v>31581</v>
      </c>
      <c r="H7250" t="s">
        <v>31590</v>
      </c>
      <c r="I7250" t="s">
        <v>6800</v>
      </c>
      <c r="J7250" t="s">
        <v>36379</v>
      </c>
      <c r="K7250" t="s">
        <v>41186</v>
      </c>
      <c r="M7250" t="s">
        <v>41722</v>
      </c>
      <c r="N7250" t="s">
        <v>45095</v>
      </c>
      <c r="O7250" t="s">
        <v>45096</v>
      </c>
      <c r="P7250">
        <v>0</v>
      </c>
      <c r="Q7250">
        <v>1</v>
      </c>
      <c r="R7250" t="s">
        <v>45103</v>
      </c>
      <c r="S7250" t="s">
        <v>45270</v>
      </c>
      <c r="T7250" t="s">
        <v>47314</v>
      </c>
      <c r="U7250" t="s">
        <v>53529</v>
      </c>
      <c r="W7250" t="s">
        <v>41722</v>
      </c>
      <c r="X7250" t="s">
        <v>45104</v>
      </c>
    </row>
    <row r="7251" spans="1:24">
      <c r="A7251">
        <f>HYPERLINK("https://www.philgeps.gov.ph/GEPSNONPILOT/Tender/SplashBidNoticeAbstractUI.aspx?menuIndex=3&amp;refID=7036124&amp;Result=3","7036124")</f>
        <v>0</v>
      </c>
      <c r="B7251" t="s">
        <v>1648</v>
      </c>
      <c r="C7251" t="s">
        <v>10128</v>
      </c>
      <c r="E7251" t="s">
        <v>24503</v>
      </c>
      <c r="F7251" t="s">
        <v>31574</v>
      </c>
      <c r="G7251" t="s">
        <v>31581</v>
      </c>
      <c r="H7251" t="s">
        <v>31590</v>
      </c>
      <c r="I7251" t="s">
        <v>31652</v>
      </c>
      <c r="J7251" t="s">
        <v>33503</v>
      </c>
      <c r="K7251" t="s">
        <v>41186</v>
      </c>
      <c r="M7251" t="s">
        <v>43259</v>
      </c>
      <c r="N7251" t="s">
        <v>45095</v>
      </c>
      <c r="O7251" t="s">
        <v>45096</v>
      </c>
      <c r="P7251">
        <v>0</v>
      </c>
      <c r="Q7251">
        <v>0</v>
      </c>
      <c r="R7251" t="s">
        <v>45103</v>
      </c>
      <c r="S7251" t="s">
        <v>45270</v>
      </c>
      <c r="T7251" t="s">
        <v>46946</v>
      </c>
      <c r="U7251" t="s">
        <v>53530</v>
      </c>
      <c r="W7251" t="s">
        <v>61714</v>
      </c>
      <c r="X7251" t="s">
        <v>45104</v>
      </c>
    </row>
    <row r="7252" spans="1:24">
      <c r="A7252">
        <f>HYPERLINK("https://www.philgeps.gov.ph/GEPSNONPILOT/Tender/SplashBidNoticeAbstractUI.aspx?menuIndex=3&amp;refID=7036130&amp;Result=3","7036130")</f>
        <v>0</v>
      </c>
      <c r="B7252" t="s">
        <v>2155</v>
      </c>
      <c r="C7252" t="s">
        <v>10129</v>
      </c>
      <c r="D7252" t="s">
        <v>18041</v>
      </c>
      <c r="E7252" t="s">
        <v>24504</v>
      </c>
      <c r="F7252" t="s">
        <v>31574</v>
      </c>
      <c r="G7252" t="s">
        <v>31582</v>
      </c>
      <c r="H7252" t="s">
        <v>31591</v>
      </c>
      <c r="I7252" t="s">
        <v>8822</v>
      </c>
      <c r="J7252" t="s">
        <v>32120</v>
      </c>
      <c r="K7252" t="s">
        <v>41192</v>
      </c>
      <c r="M7252" t="s">
        <v>43838</v>
      </c>
      <c r="N7252" t="s">
        <v>45095</v>
      </c>
      <c r="O7252" t="s">
        <v>45096</v>
      </c>
      <c r="P7252">
        <v>0</v>
      </c>
      <c r="Q7252">
        <v>0</v>
      </c>
      <c r="R7252" t="s">
        <v>45103</v>
      </c>
      <c r="S7252" t="s">
        <v>45270</v>
      </c>
      <c r="T7252" t="s">
        <v>47198</v>
      </c>
      <c r="U7252" t="s">
        <v>53531</v>
      </c>
      <c r="W7252" t="s">
        <v>43838</v>
      </c>
      <c r="X7252" t="s">
        <v>45104</v>
      </c>
    </row>
    <row r="7253" spans="1:24">
      <c r="A7253">
        <f>HYPERLINK("https://www.philgeps.gov.ph/GEPSNONPILOT/Tender/SplashBidNoticeAbstractUI.aspx?menuIndex=3&amp;refID=7036153&amp;Result=3","7036153")</f>
        <v>0</v>
      </c>
      <c r="B7253" t="s">
        <v>2112</v>
      </c>
      <c r="C7253" t="s">
        <v>10130</v>
      </c>
      <c r="D7253" t="s">
        <v>18041</v>
      </c>
      <c r="E7253" t="s">
        <v>24505</v>
      </c>
      <c r="F7253" t="s">
        <v>31574</v>
      </c>
      <c r="G7253" t="s">
        <v>31582</v>
      </c>
      <c r="H7253" t="s">
        <v>31590</v>
      </c>
      <c r="I7253" t="s">
        <v>3487</v>
      </c>
      <c r="J7253" t="s">
        <v>36380</v>
      </c>
      <c r="K7253" t="s">
        <v>41184</v>
      </c>
      <c r="M7253" t="s">
        <v>43792</v>
      </c>
      <c r="N7253" t="s">
        <v>45095</v>
      </c>
      <c r="O7253" t="s">
        <v>45096</v>
      </c>
      <c r="P7253">
        <v>0</v>
      </c>
      <c r="Q7253">
        <v>0</v>
      </c>
      <c r="R7253" t="s">
        <v>45103</v>
      </c>
      <c r="S7253" t="s">
        <v>45270</v>
      </c>
      <c r="T7253" t="s">
        <v>47188</v>
      </c>
      <c r="U7253" t="s">
        <v>53532</v>
      </c>
      <c r="V7253" t="s">
        <v>60610</v>
      </c>
      <c r="W7253" t="s">
        <v>43792</v>
      </c>
      <c r="X7253" t="s">
        <v>45104</v>
      </c>
    </row>
    <row r="7254" spans="1:24">
      <c r="A7254">
        <f>HYPERLINK("https://www.philgeps.gov.ph/GEPSNONPILOT/Tender/SplashBidNoticeAbstractUI.aspx?menuIndex=3&amp;refID=7036127&amp;Result=3","7036127")</f>
        <v>0</v>
      </c>
      <c r="B7254" t="s">
        <v>1299</v>
      </c>
      <c r="C7254" t="s">
        <v>10131</v>
      </c>
      <c r="D7254" t="s">
        <v>18076</v>
      </c>
      <c r="E7254" t="s">
        <v>24506</v>
      </c>
      <c r="F7254" t="s">
        <v>31574</v>
      </c>
      <c r="G7254" t="s">
        <v>31582</v>
      </c>
      <c r="H7254" t="s">
        <v>31590</v>
      </c>
      <c r="I7254" t="s">
        <v>31608</v>
      </c>
      <c r="J7254" t="s">
        <v>36381</v>
      </c>
      <c r="K7254" t="s">
        <v>41192</v>
      </c>
      <c r="M7254" t="s">
        <v>42869</v>
      </c>
      <c r="N7254" t="s">
        <v>45095</v>
      </c>
      <c r="O7254" t="s">
        <v>45096</v>
      </c>
      <c r="P7254">
        <v>0</v>
      </c>
      <c r="Q7254">
        <v>4</v>
      </c>
      <c r="R7254" t="s">
        <v>45103</v>
      </c>
      <c r="S7254" t="s">
        <v>45270</v>
      </c>
      <c r="T7254" t="s">
        <v>46938</v>
      </c>
      <c r="U7254" t="s">
        <v>53533</v>
      </c>
      <c r="W7254" t="s">
        <v>42869</v>
      </c>
      <c r="X7254" t="s">
        <v>45104</v>
      </c>
    </row>
    <row r="7255" spans="1:24">
      <c r="A7255">
        <f>HYPERLINK("https://www.philgeps.gov.ph/GEPSNONPILOT/Tender/SplashBidNoticeAbstractUI.aspx?menuIndex=3&amp;refID=7036154&amp;Result=3","7036154")</f>
        <v>0</v>
      </c>
      <c r="B7255" t="s">
        <v>208</v>
      </c>
      <c r="C7255" t="s">
        <v>10132</v>
      </c>
      <c r="D7255" t="s">
        <v>18052</v>
      </c>
      <c r="E7255" t="s">
        <v>24507</v>
      </c>
      <c r="F7255" t="s">
        <v>31574</v>
      </c>
      <c r="G7255" t="s">
        <v>31582</v>
      </c>
      <c r="H7255" t="s">
        <v>31590</v>
      </c>
      <c r="I7255" t="s">
        <v>6800</v>
      </c>
      <c r="J7255" t="s">
        <v>36382</v>
      </c>
      <c r="K7255" t="s">
        <v>41185</v>
      </c>
      <c r="M7255" t="s">
        <v>41693</v>
      </c>
      <c r="N7255" t="s">
        <v>45095</v>
      </c>
      <c r="O7255" t="s">
        <v>45096</v>
      </c>
      <c r="P7255">
        <v>0</v>
      </c>
      <c r="Q7255">
        <v>0</v>
      </c>
      <c r="R7255" t="s">
        <v>45103</v>
      </c>
      <c r="S7255" t="s">
        <v>45270</v>
      </c>
      <c r="T7255" t="s">
        <v>47076</v>
      </c>
      <c r="U7255" t="s">
        <v>53534</v>
      </c>
      <c r="W7255" t="s">
        <v>61656</v>
      </c>
      <c r="X7255" t="s">
        <v>45104</v>
      </c>
    </row>
    <row r="7256" spans="1:24">
      <c r="A7256">
        <f>HYPERLINK("https://www.philgeps.gov.ph/GEPSNONPILOT/Tender/SplashBidNoticeAbstractUI.aspx?menuIndex=3&amp;refID=7036140&amp;Result=3","7036140")</f>
        <v>0</v>
      </c>
      <c r="B7256" t="s">
        <v>2163</v>
      </c>
      <c r="C7256" t="s">
        <v>10133</v>
      </c>
      <c r="D7256" t="s">
        <v>18059</v>
      </c>
      <c r="E7256" t="s">
        <v>24508</v>
      </c>
      <c r="F7256" t="s">
        <v>31574</v>
      </c>
      <c r="G7256" t="s">
        <v>31583</v>
      </c>
      <c r="H7256" t="s">
        <v>31592</v>
      </c>
      <c r="I7256" t="s">
        <v>31623</v>
      </c>
      <c r="J7256" t="s">
        <v>32290</v>
      </c>
      <c r="K7256" t="s">
        <v>41186</v>
      </c>
      <c r="M7256" t="s">
        <v>43848</v>
      </c>
      <c r="N7256" t="s">
        <v>45095</v>
      </c>
      <c r="O7256" t="s">
        <v>45096</v>
      </c>
      <c r="P7256">
        <v>0</v>
      </c>
      <c r="Q7256">
        <v>1</v>
      </c>
      <c r="R7256" t="s">
        <v>45103</v>
      </c>
      <c r="S7256" t="s">
        <v>45270</v>
      </c>
      <c r="T7256" t="s">
        <v>47076</v>
      </c>
      <c r="U7256" t="s">
        <v>53535</v>
      </c>
      <c r="W7256" t="s">
        <v>43848</v>
      </c>
      <c r="X7256" t="s">
        <v>45104</v>
      </c>
    </row>
    <row r="7257" spans="1:24">
      <c r="A7257">
        <f>HYPERLINK("https://www.philgeps.gov.ph/GEPSNONPILOT/Tender/SplashBidNoticeAbstractUI.aspx?menuIndex=3&amp;refID=7036155&amp;Result=3","7036155")</f>
        <v>0</v>
      </c>
      <c r="B7257" t="s">
        <v>2164</v>
      </c>
      <c r="C7257" t="s">
        <v>10134</v>
      </c>
      <c r="D7257" t="s">
        <v>18103</v>
      </c>
      <c r="E7257" t="s">
        <v>24451</v>
      </c>
      <c r="F7257" t="s">
        <v>31574</v>
      </c>
      <c r="G7257" t="s">
        <v>31582</v>
      </c>
      <c r="H7257" t="s">
        <v>31590</v>
      </c>
      <c r="I7257" t="s">
        <v>4046</v>
      </c>
      <c r="J7257" t="s">
        <v>36383</v>
      </c>
      <c r="K7257" t="s">
        <v>41186</v>
      </c>
      <c r="M7257" t="s">
        <v>43849</v>
      </c>
      <c r="N7257" t="s">
        <v>45095</v>
      </c>
      <c r="O7257" t="s">
        <v>45096</v>
      </c>
      <c r="P7257">
        <v>0</v>
      </c>
      <c r="Q7257">
        <v>2</v>
      </c>
      <c r="R7257" t="s">
        <v>45103</v>
      </c>
      <c r="S7257" t="s">
        <v>45270</v>
      </c>
      <c r="T7257" t="s">
        <v>47058</v>
      </c>
      <c r="U7257" t="s">
        <v>53536</v>
      </c>
      <c r="V7257" t="s">
        <v>60627</v>
      </c>
      <c r="W7257" t="s">
        <v>43849</v>
      </c>
      <c r="X7257" t="s">
        <v>45104</v>
      </c>
    </row>
    <row r="7258" spans="1:24">
      <c r="A7258">
        <f>HYPERLINK("https://www.philgeps.gov.ph/GEPSNONPILOT/Tender/SplashBidNoticeAbstractUI.aspx?menuIndex=3&amp;refID=7036152&amp;Result=3","7036152")</f>
        <v>0</v>
      </c>
      <c r="B7258" t="s">
        <v>2128</v>
      </c>
      <c r="C7258" t="s">
        <v>10135</v>
      </c>
      <c r="D7258" t="s">
        <v>18057</v>
      </c>
      <c r="E7258" t="s">
        <v>24509</v>
      </c>
      <c r="F7258" t="s">
        <v>31574</v>
      </c>
      <c r="G7258" t="s">
        <v>31582</v>
      </c>
      <c r="H7258" t="s">
        <v>31591</v>
      </c>
      <c r="I7258" t="s">
        <v>8822</v>
      </c>
      <c r="J7258" t="s">
        <v>33160</v>
      </c>
      <c r="K7258" t="s">
        <v>41198</v>
      </c>
      <c r="M7258" t="s">
        <v>43810</v>
      </c>
      <c r="N7258" t="s">
        <v>45095</v>
      </c>
      <c r="O7258" t="s">
        <v>45096</v>
      </c>
      <c r="P7258">
        <v>0</v>
      </c>
      <c r="Q7258">
        <v>12</v>
      </c>
      <c r="R7258" t="s">
        <v>45103</v>
      </c>
      <c r="S7258" t="s">
        <v>45270</v>
      </c>
      <c r="T7258" t="s">
        <v>47170</v>
      </c>
      <c r="U7258" t="s">
        <v>53537</v>
      </c>
      <c r="W7258" t="s">
        <v>43810</v>
      </c>
      <c r="X7258" t="s">
        <v>45104</v>
      </c>
    </row>
    <row r="7259" spans="1:24">
      <c r="A7259">
        <f>HYPERLINK("https://www.philgeps.gov.ph/GEPSNONPILOT/Tender/SplashBidNoticeAbstractUI.aspx?menuIndex=3&amp;refID=7036151&amp;Result=3","7036151")</f>
        <v>0</v>
      </c>
      <c r="B7259" t="s">
        <v>2155</v>
      </c>
      <c r="C7259" t="s">
        <v>10136</v>
      </c>
      <c r="D7259" t="s">
        <v>18041</v>
      </c>
      <c r="E7259" t="s">
        <v>24510</v>
      </c>
      <c r="F7259" t="s">
        <v>31574</v>
      </c>
      <c r="G7259" t="s">
        <v>31582</v>
      </c>
      <c r="H7259" t="s">
        <v>31591</v>
      </c>
      <c r="I7259" t="s">
        <v>8822</v>
      </c>
      <c r="J7259" t="s">
        <v>31935</v>
      </c>
      <c r="K7259" t="s">
        <v>41186</v>
      </c>
      <c r="M7259" t="s">
        <v>43838</v>
      </c>
      <c r="N7259" t="s">
        <v>45095</v>
      </c>
      <c r="O7259" t="s">
        <v>45096</v>
      </c>
      <c r="P7259">
        <v>0</v>
      </c>
      <c r="Q7259">
        <v>0</v>
      </c>
      <c r="R7259" t="s">
        <v>45103</v>
      </c>
      <c r="S7259" t="s">
        <v>45270</v>
      </c>
      <c r="T7259" t="s">
        <v>47198</v>
      </c>
      <c r="U7259" t="s">
        <v>53538</v>
      </c>
      <c r="W7259" t="s">
        <v>43838</v>
      </c>
      <c r="X7259" t="s">
        <v>45104</v>
      </c>
    </row>
    <row r="7260" spans="1:24">
      <c r="A7260">
        <f>HYPERLINK("https://www.philgeps.gov.ph/GEPSNONPILOT/Tender/SplashBidNoticeAbstractUI.aspx?menuIndex=3&amp;refID=7036161&amp;Result=3","7036161")</f>
        <v>0</v>
      </c>
      <c r="B7260" t="s">
        <v>2165</v>
      </c>
      <c r="C7260" t="s">
        <v>10137</v>
      </c>
      <c r="D7260" t="s">
        <v>18035</v>
      </c>
      <c r="E7260" t="s">
        <v>24511</v>
      </c>
      <c r="F7260" t="s">
        <v>31574</v>
      </c>
      <c r="G7260" t="s">
        <v>31582</v>
      </c>
      <c r="H7260" t="s">
        <v>31591</v>
      </c>
      <c r="I7260" t="s">
        <v>8822</v>
      </c>
      <c r="J7260" t="s">
        <v>36384</v>
      </c>
      <c r="K7260" t="s">
        <v>41184</v>
      </c>
      <c r="M7260" t="s">
        <v>43850</v>
      </c>
      <c r="N7260" t="s">
        <v>45095</v>
      </c>
      <c r="O7260" t="s">
        <v>45096</v>
      </c>
      <c r="P7260">
        <v>0</v>
      </c>
      <c r="Q7260">
        <v>1</v>
      </c>
      <c r="R7260" t="s">
        <v>45103</v>
      </c>
      <c r="S7260" t="s">
        <v>45270</v>
      </c>
      <c r="T7260" t="s">
        <v>47125</v>
      </c>
      <c r="U7260" t="s">
        <v>53539</v>
      </c>
      <c r="V7260" t="s">
        <v>60432</v>
      </c>
      <c r="W7260" t="s">
        <v>43850</v>
      </c>
      <c r="X7260" t="s">
        <v>45104</v>
      </c>
    </row>
    <row r="7261" spans="1:24">
      <c r="A7261">
        <f>HYPERLINK("https://www.philgeps.gov.ph/GEPSNONPILOT/Tender/SplashBidNoticeAbstractUI.aspx?menuIndex=3&amp;refID=7036177&amp;Result=3","7036177")</f>
        <v>0</v>
      </c>
      <c r="B7261" t="s">
        <v>650</v>
      </c>
      <c r="C7261" t="s">
        <v>10138</v>
      </c>
      <c r="D7261" t="s">
        <v>18030</v>
      </c>
      <c r="E7261" t="s">
        <v>24512</v>
      </c>
      <c r="F7261" t="s">
        <v>31574</v>
      </c>
      <c r="G7261" t="s">
        <v>31582</v>
      </c>
      <c r="H7261" t="s">
        <v>31591</v>
      </c>
      <c r="I7261" t="s">
        <v>8822</v>
      </c>
      <c r="J7261" t="s">
        <v>32868</v>
      </c>
      <c r="K7261" t="s">
        <v>41253</v>
      </c>
      <c r="M7261" t="s">
        <v>42154</v>
      </c>
      <c r="N7261" t="s">
        <v>45095</v>
      </c>
      <c r="O7261" t="s">
        <v>45096</v>
      </c>
      <c r="P7261">
        <v>0</v>
      </c>
      <c r="Q7261">
        <v>1</v>
      </c>
      <c r="R7261" t="s">
        <v>45103</v>
      </c>
      <c r="S7261" t="s">
        <v>45270</v>
      </c>
      <c r="T7261" t="s">
        <v>47064</v>
      </c>
      <c r="U7261" t="s">
        <v>48827</v>
      </c>
      <c r="W7261" t="s">
        <v>42154</v>
      </c>
      <c r="X7261" t="s">
        <v>45104</v>
      </c>
    </row>
    <row r="7262" spans="1:24">
      <c r="A7262">
        <f>HYPERLINK("https://www.philgeps.gov.ph/GEPSNONPILOT/Tender/SplashBidNoticeAbstractUI.aspx?menuIndex=3&amp;refID=7036162&amp;Result=3","7036162")</f>
        <v>0</v>
      </c>
      <c r="B7262" t="s">
        <v>2112</v>
      </c>
      <c r="C7262" t="s">
        <v>10139</v>
      </c>
      <c r="D7262" t="s">
        <v>18041</v>
      </c>
      <c r="E7262" t="s">
        <v>24513</v>
      </c>
      <c r="F7262" t="s">
        <v>31574</v>
      </c>
      <c r="G7262" t="s">
        <v>31582</v>
      </c>
      <c r="H7262" t="s">
        <v>31590</v>
      </c>
      <c r="I7262" t="s">
        <v>8258</v>
      </c>
      <c r="J7262" t="s">
        <v>36385</v>
      </c>
      <c r="K7262" t="s">
        <v>41184</v>
      </c>
      <c r="M7262" t="s">
        <v>43792</v>
      </c>
      <c r="N7262" t="s">
        <v>45095</v>
      </c>
      <c r="O7262" t="s">
        <v>45096</v>
      </c>
      <c r="P7262">
        <v>0</v>
      </c>
      <c r="Q7262">
        <v>5</v>
      </c>
      <c r="R7262" t="s">
        <v>45103</v>
      </c>
      <c r="S7262" t="s">
        <v>45270</v>
      </c>
      <c r="T7262" t="s">
        <v>47188</v>
      </c>
      <c r="U7262" t="s">
        <v>53540</v>
      </c>
      <c r="V7262" t="s">
        <v>60610</v>
      </c>
      <c r="W7262" t="s">
        <v>43792</v>
      </c>
      <c r="X7262" t="s">
        <v>45104</v>
      </c>
    </row>
    <row r="7263" spans="1:24">
      <c r="A7263">
        <f>HYPERLINK("https://www.philgeps.gov.ph/GEPSNONPILOT/Tender/SplashBidNoticeAbstractUI.aspx?menuIndex=3&amp;refID=7036157&amp;Result=3","7036157")</f>
        <v>0</v>
      </c>
      <c r="B7263" t="s">
        <v>387</v>
      </c>
      <c r="C7263" t="s">
        <v>10140</v>
      </c>
      <c r="D7263" t="s">
        <v>18076</v>
      </c>
      <c r="E7263" t="s">
        <v>18227</v>
      </c>
      <c r="F7263" t="s">
        <v>31574</v>
      </c>
      <c r="G7263" t="s">
        <v>31582</v>
      </c>
      <c r="H7263" t="s">
        <v>31590</v>
      </c>
      <c r="I7263" t="s">
        <v>14544</v>
      </c>
      <c r="J7263" t="s">
        <v>36386</v>
      </c>
      <c r="K7263" t="s">
        <v>41186</v>
      </c>
      <c r="M7263" t="s">
        <v>41878</v>
      </c>
      <c r="N7263" t="s">
        <v>45095</v>
      </c>
      <c r="O7263" t="s">
        <v>45096</v>
      </c>
      <c r="P7263">
        <v>0</v>
      </c>
      <c r="Q7263">
        <v>2</v>
      </c>
      <c r="R7263" t="s">
        <v>45103</v>
      </c>
      <c r="S7263" t="s">
        <v>45270</v>
      </c>
      <c r="T7263" t="s">
        <v>47022</v>
      </c>
      <c r="U7263" t="s">
        <v>53541</v>
      </c>
      <c r="W7263" t="s">
        <v>41878</v>
      </c>
      <c r="X7263" t="s">
        <v>45104</v>
      </c>
    </row>
    <row r="7264" spans="1:24">
      <c r="A7264">
        <f>HYPERLINK("https://www.philgeps.gov.ph/GEPSNONPILOT/Tender/SplashBidNoticeAbstractUI.aspx?menuIndex=3&amp;refID=7036173&amp;Result=3","7036173")</f>
        <v>0</v>
      </c>
      <c r="B7264" t="s">
        <v>299</v>
      </c>
      <c r="C7264" t="s">
        <v>10141</v>
      </c>
      <c r="D7264" t="s">
        <v>18081</v>
      </c>
      <c r="E7264" t="s">
        <v>24514</v>
      </c>
      <c r="F7264" t="s">
        <v>31574</v>
      </c>
      <c r="G7264" t="s">
        <v>31582</v>
      </c>
      <c r="H7264" t="s">
        <v>31591</v>
      </c>
      <c r="I7264" t="s">
        <v>8822</v>
      </c>
      <c r="J7264" t="s">
        <v>31730</v>
      </c>
      <c r="K7264" t="s">
        <v>41354</v>
      </c>
      <c r="M7264" t="s">
        <v>41785</v>
      </c>
      <c r="N7264" t="s">
        <v>45095</v>
      </c>
      <c r="O7264" t="s">
        <v>45096</v>
      </c>
      <c r="P7264">
        <v>0</v>
      </c>
      <c r="Q7264">
        <v>0</v>
      </c>
      <c r="R7264" t="s">
        <v>45103</v>
      </c>
      <c r="S7264" t="s">
        <v>45270</v>
      </c>
      <c r="T7264" t="s">
        <v>46965</v>
      </c>
      <c r="U7264" t="s">
        <v>53542</v>
      </c>
      <c r="W7264" t="s">
        <v>41785</v>
      </c>
      <c r="X7264" t="s">
        <v>45104</v>
      </c>
    </row>
    <row r="7265" spans="1:24">
      <c r="A7265">
        <f>HYPERLINK("https://www.philgeps.gov.ph/GEPSNONPILOT/Tender/SplashBidNoticeAbstractUI.aspx?menuIndex=3&amp;refID=7036169&amp;Result=3","7036169")</f>
        <v>0</v>
      </c>
      <c r="B7265" t="s">
        <v>886</v>
      </c>
      <c r="C7265" t="s">
        <v>10142</v>
      </c>
      <c r="E7265" t="s">
        <v>24515</v>
      </c>
      <c r="F7265" t="s">
        <v>31574</v>
      </c>
      <c r="G7265" t="s">
        <v>31581</v>
      </c>
      <c r="H7265" t="s">
        <v>31590</v>
      </c>
      <c r="I7265" t="s">
        <v>31594</v>
      </c>
      <c r="J7265" t="s">
        <v>31744</v>
      </c>
      <c r="K7265" t="s">
        <v>41184</v>
      </c>
      <c r="M7265" t="s">
        <v>42407</v>
      </c>
      <c r="N7265" t="s">
        <v>45095</v>
      </c>
      <c r="O7265" t="s">
        <v>45096</v>
      </c>
      <c r="P7265">
        <v>0</v>
      </c>
      <c r="Q7265">
        <v>4</v>
      </c>
      <c r="R7265" t="s">
        <v>45103</v>
      </c>
      <c r="S7265" t="s">
        <v>45270</v>
      </c>
      <c r="T7265" t="s">
        <v>47080</v>
      </c>
      <c r="U7265" t="s">
        <v>53363</v>
      </c>
      <c r="W7265" t="s">
        <v>42407</v>
      </c>
      <c r="X7265" t="s">
        <v>45104</v>
      </c>
    </row>
    <row r="7266" spans="1:24">
      <c r="A7266">
        <f>HYPERLINK("https://www.philgeps.gov.ph/GEPSNONPILOT/Tender/SplashBidNoticeAbstractUI.aspx?menuIndex=3&amp;refID=7036150&amp;Result=3","7036150")</f>
        <v>0</v>
      </c>
      <c r="B7266" t="s">
        <v>39</v>
      </c>
      <c r="C7266" t="s">
        <v>10143</v>
      </c>
      <c r="D7266" t="s">
        <v>18034</v>
      </c>
      <c r="E7266" t="s">
        <v>24516</v>
      </c>
      <c r="F7266" t="s">
        <v>31574</v>
      </c>
      <c r="G7266" t="s">
        <v>31582</v>
      </c>
      <c r="H7266" t="s">
        <v>31591</v>
      </c>
      <c r="I7266" t="s">
        <v>8822</v>
      </c>
      <c r="J7266" t="s">
        <v>36387</v>
      </c>
      <c r="K7266" t="s">
        <v>41186</v>
      </c>
      <c r="M7266" t="s">
        <v>41522</v>
      </c>
      <c r="N7266" t="s">
        <v>45095</v>
      </c>
      <c r="O7266" t="s">
        <v>45096</v>
      </c>
      <c r="P7266">
        <v>0</v>
      </c>
      <c r="Q7266">
        <v>0</v>
      </c>
      <c r="R7266" t="s">
        <v>45103</v>
      </c>
      <c r="S7266" t="s">
        <v>45270</v>
      </c>
      <c r="T7266" t="s">
        <v>46985</v>
      </c>
      <c r="U7266" t="s">
        <v>53543</v>
      </c>
      <c r="W7266" t="s">
        <v>41522</v>
      </c>
      <c r="X7266" t="s">
        <v>45104</v>
      </c>
    </row>
    <row r="7267" spans="1:24">
      <c r="A7267">
        <f>HYPERLINK("https://www.philgeps.gov.ph/GEPSNONPILOT/Tender/SplashBidNoticeAbstractUI.aspx?menuIndex=3&amp;refID=7036168&amp;Result=3","7036168")</f>
        <v>0</v>
      </c>
      <c r="B7267" t="s">
        <v>2166</v>
      </c>
      <c r="C7267" t="s">
        <v>10144</v>
      </c>
      <c r="E7267" t="s">
        <v>24517</v>
      </c>
      <c r="F7267" t="s">
        <v>31574</v>
      </c>
      <c r="G7267" t="s">
        <v>31582</v>
      </c>
      <c r="H7267" t="s">
        <v>31590</v>
      </c>
      <c r="I7267" t="s">
        <v>31602</v>
      </c>
      <c r="J7267" t="s">
        <v>36388</v>
      </c>
      <c r="K7267" t="s">
        <v>41184</v>
      </c>
      <c r="M7267" t="s">
        <v>43851</v>
      </c>
      <c r="N7267" t="s">
        <v>45095</v>
      </c>
      <c r="O7267" t="s">
        <v>45096</v>
      </c>
      <c r="P7267">
        <v>0</v>
      </c>
      <c r="Q7267">
        <v>1</v>
      </c>
      <c r="R7267" t="s">
        <v>45103</v>
      </c>
      <c r="S7267" t="s">
        <v>45270</v>
      </c>
      <c r="T7267" t="s">
        <v>46939</v>
      </c>
      <c r="U7267" t="s">
        <v>53544</v>
      </c>
      <c r="W7267" t="s">
        <v>43851</v>
      </c>
      <c r="X7267" t="s">
        <v>45104</v>
      </c>
    </row>
    <row r="7268" spans="1:24">
      <c r="A7268">
        <f>HYPERLINK("https://www.philgeps.gov.ph/GEPSNONPILOT/Tender/SplashBidNoticeAbstractUI.aspx?menuIndex=3&amp;refID=7036189&amp;Result=3","7036189")</f>
        <v>0</v>
      </c>
      <c r="B7268" t="s">
        <v>996</v>
      </c>
      <c r="C7268" t="s">
        <v>10145</v>
      </c>
      <c r="D7268" t="s">
        <v>18036</v>
      </c>
      <c r="E7268" t="s">
        <v>24518</v>
      </c>
      <c r="F7268" t="s">
        <v>31574</v>
      </c>
      <c r="G7268" t="s">
        <v>31582</v>
      </c>
      <c r="H7268" t="s">
        <v>31590</v>
      </c>
      <c r="I7268" t="s">
        <v>7162</v>
      </c>
      <c r="J7268" t="s">
        <v>36389</v>
      </c>
      <c r="K7268" t="s">
        <v>41189</v>
      </c>
      <c r="M7268" t="s">
        <v>42532</v>
      </c>
      <c r="N7268" t="s">
        <v>45095</v>
      </c>
      <c r="O7268" t="s">
        <v>45096</v>
      </c>
      <c r="P7268">
        <v>0</v>
      </c>
      <c r="Q7268">
        <v>3</v>
      </c>
      <c r="R7268" t="s">
        <v>45103</v>
      </c>
      <c r="S7268" t="s">
        <v>45270</v>
      </c>
      <c r="T7268" t="s">
        <v>47290</v>
      </c>
      <c r="U7268" t="s">
        <v>53545</v>
      </c>
      <c r="W7268" t="s">
        <v>61686</v>
      </c>
      <c r="X7268" t="s">
        <v>45104</v>
      </c>
    </row>
    <row r="7269" spans="1:24">
      <c r="A7269">
        <f>HYPERLINK("https://www.philgeps.gov.ph/GEPSNONPILOT/Tender/SplashBidNoticeAbstractUI.aspx?menuIndex=3&amp;refID=7036181&amp;Result=3","7036181")</f>
        <v>0</v>
      </c>
      <c r="B7269" t="s">
        <v>2155</v>
      </c>
      <c r="C7269" t="s">
        <v>10146</v>
      </c>
      <c r="D7269" t="s">
        <v>18041</v>
      </c>
      <c r="E7269" t="s">
        <v>24519</v>
      </c>
      <c r="F7269" t="s">
        <v>31574</v>
      </c>
      <c r="G7269" t="s">
        <v>31582</v>
      </c>
      <c r="H7269" t="s">
        <v>31591</v>
      </c>
      <c r="I7269" t="s">
        <v>8822</v>
      </c>
      <c r="J7269" t="s">
        <v>34050</v>
      </c>
      <c r="K7269" t="s">
        <v>41189</v>
      </c>
      <c r="M7269" t="s">
        <v>43838</v>
      </c>
      <c r="N7269" t="s">
        <v>45095</v>
      </c>
      <c r="O7269" t="s">
        <v>45096</v>
      </c>
      <c r="P7269">
        <v>0</v>
      </c>
      <c r="Q7269">
        <v>0</v>
      </c>
      <c r="R7269" t="s">
        <v>45103</v>
      </c>
      <c r="S7269" t="s">
        <v>45270</v>
      </c>
      <c r="T7269" t="s">
        <v>47198</v>
      </c>
      <c r="U7269" t="s">
        <v>53546</v>
      </c>
      <c r="W7269" t="s">
        <v>43838</v>
      </c>
      <c r="X7269" t="s">
        <v>45104</v>
      </c>
    </row>
    <row r="7270" spans="1:24">
      <c r="A7270">
        <f>HYPERLINK("https://www.philgeps.gov.ph/GEPSNONPILOT/Tender/SplashBidNoticeAbstractUI.aspx?menuIndex=3&amp;refID=7036186&amp;Result=3","7036186")</f>
        <v>0</v>
      </c>
      <c r="B7270" t="s">
        <v>2112</v>
      </c>
      <c r="C7270" t="s">
        <v>10147</v>
      </c>
      <c r="D7270" t="s">
        <v>18041</v>
      </c>
      <c r="E7270" t="s">
        <v>24520</v>
      </c>
      <c r="F7270" t="s">
        <v>31574</v>
      </c>
      <c r="G7270" t="s">
        <v>31582</v>
      </c>
      <c r="H7270" t="s">
        <v>31590</v>
      </c>
      <c r="I7270" t="s">
        <v>4046</v>
      </c>
      <c r="J7270" t="s">
        <v>36390</v>
      </c>
      <c r="K7270" t="s">
        <v>41184</v>
      </c>
      <c r="M7270" t="s">
        <v>43792</v>
      </c>
      <c r="N7270" t="s">
        <v>45095</v>
      </c>
      <c r="O7270" t="s">
        <v>45096</v>
      </c>
      <c r="P7270">
        <v>0</v>
      </c>
      <c r="Q7270">
        <v>0</v>
      </c>
      <c r="R7270" t="s">
        <v>45103</v>
      </c>
      <c r="S7270" t="s">
        <v>45270</v>
      </c>
      <c r="T7270" t="s">
        <v>47188</v>
      </c>
      <c r="U7270" t="s">
        <v>53547</v>
      </c>
      <c r="V7270" t="s">
        <v>60610</v>
      </c>
      <c r="W7270" t="s">
        <v>43792</v>
      </c>
      <c r="X7270" t="s">
        <v>45104</v>
      </c>
    </row>
    <row r="7271" spans="1:24">
      <c r="A7271">
        <f>HYPERLINK("https://www.philgeps.gov.ph/GEPSNONPILOT/Tender/SplashBidNoticeAbstractUI.aspx?menuIndex=3&amp;refID=7036201&amp;Result=3","7036201")</f>
        <v>0</v>
      </c>
      <c r="B7271" t="s">
        <v>2148</v>
      </c>
      <c r="C7271" t="s">
        <v>10148</v>
      </c>
      <c r="D7271" t="s">
        <v>18092</v>
      </c>
      <c r="E7271" t="s">
        <v>24521</v>
      </c>
      <c r="F7271" t="s">
        <v>31574</v>
      </c>
      <c r="G7271" t="s">
        <v>31582</v>
      </c>
      <c r="H7271" t="s">
        <v>31591</v>
      </c>
      <c r="I7271" t="s">
        <v>8822</v>
      </c>
      <c r="J7271" t="s">
        <v>33350</v>
      </c>
      <c r="K7271" t="s">
        <v>41244</v>
      </c>
      <c r="M7271" t="s">
        <v>43830</v>
      </c>
      <c r="N7271" t="s">
        <v>45095</v>
      </c>
      <c r="O7271" t="s">
        <v>45096</v>
      </c>
      <c r="P7271">
        <v>0</v>
      </c>
      <c r="Q7271">
        <v>0</v>
      </c>
      <c r="R7271" t="s">
        <v>45103</v>
      </c>
      <c r="S7271" t="s">
        <v>45270</v>
      </c>
      <c r="T7271" t="s">
        <v>47166</v>
      </c>
      <c r="U7271" t="s">
        <v>53548</v>
      </c>
      <c r="W7271" t="s">
        <v>43830</v>
      </c>
      <c r="X7271" t="s">
        <v>45104</v>
      </c>
    </row>
    <row r="7272" spans="1:24">
      <c r="A7272">
        <f>HYPERLINK("https://www.philgeps.gov.ph/GEPSNONPILOT/Tender/SplashBidNoticeAbstractUI.aspx?menuIndex=3&amp;refID=7036187&amp;Result=3","7036187")</f>
        <v>0</v>
      </c>
      <c r="B7272" t="s">
        <v>2051</v>
      </c>
      <c r="C7272" t="s">
        <v>10149</v>
      </c>
      <c r="D7272" t="s">
        <v>18066</v>
      </c>
      <c r="E7272" t="s">
        <v>24522</v>
      </c>
      <c r="F7272" t="s">
        <v>31574</v>
      </c>
      <c r="G7272" t="s">
        <v>31582</v>
      </c>
      <c r="H7272" t="s">
        <v>31590</v>
      </c>
      <c r="I7272" t="s">
        <v>31623</v>
      </c>
      <c r="J7272" t="s">
        <v>35493</v>
      </c>
      <c r="K7272" t="s">
        <v>41186</v>
      </c>
      <c r="M7272" t="s">
        <v>43719</v>
      </c>
      <c r="N7272" t="s">
        <v>45095</v>
      </c>
      <c r="O7272" t="s">
        <v>45096</v>
      </c>
      <c r="P7272">
        <v>0</v>
      </c>
      <c r="Q7272">
        <v>1</v>
      </c>
      <c r="R7272" t="s">
        <v>45103</v>
      </c>
      <c r="S7272" t="s">
        <v>45270</v>
      </c>
      <c r="T7272" t="s">
        <v>47000</v>
      </c>
      <c r="U7272" t="s">
        <v>53549</v>
      </c>
      <c r="V7272" t="s">
        <v>60628</v>
      </c>
      <c r="W7272" t="s">
        <v>43719</v>
      </c>
      <c r="X7272" t="s">
        <v>45104</v>
      </c>
    </row>
    <row r="7273" spans="1:24">
      <c r="A7273">
        <f>HYPERLINK("https://www.philgeps.gov.ph/GEPSNONPILOT/Tender/SplashBidNoticeAbstractUI.aspx?menuIndex=3&amp;refID=7036182&amp;Result=3","7036182")</f>
        <v>0</v>
      </c>
      <c r="B7273" t="s">
        <v>2164</v>
      </c>
      <c r="C7273" t="s">
        <v>10150</v>
      </c>
      <c r="D7273" t="s">
        <v>18103</v>
      </c>
      <c r="E7273" t="s">
        <v>24523</v>
      </c>
      <c r="F7273" t="s">
        <v>31574</v>
      </c>
      <c r="G7273" t="s">
        <v>31582</v>
      </c>
      <c r="H7273" t="s">
        <v>31590</v>
      </c>
      <c r="I7273" t="s">
        <v>4046</v>
      </c>
      <c r="J7273" t="s">
        <v>36391</v>
      </c>
      <c r="K7273" t="s">
        <v>41186</v>
      </c>
      <c r="M7273" t="s">
        <v>43849</v>
      </c>
      <c r="N7273" t="s">
        <v>45095</v>
      </c>
      <c r="O7273" t="s">
        <v>45096</v>
      </c>
      <c r="P7273">
        <v>0</v>
      </c>
      <c r="Q7273">
        <v>2</v>
      </c>
      <c r="R7273" t="s">
        <v>45103</v>
      </c>
      <c r="S7273" t="s">
        <v>45270</v>
      </c>
      <c r="T7273" t="s">
        <v>47058</v>
      </c>
      <c r="U7273" t="s">
        <v>53536</v>
      </c>
      <c r="V7273" t="s">
        <v>60629</v>
      </c>
      <c r="W7273" t="s">
        <v>43849</v>
      </c>
      <c r="X7273" t="s">
        <v>45104</v>
      </c>
    </row>
    <row r="7274" spans="1:24">
      <c r="A7274">
        <f>HYPERLINK("https://www.philgeps.gov.ph/GEPSNONPILOT/Tender/SplashBidNoticeAbstractUI.aspx?menuIndex=3&amp;refID=7036195&amp;Result=3","7036195")</f>
        <v>0</v>
      </c>
      <c r="B7274" t="s">
        <v>39</v>
      </c>
      <c r="C7274" t="s">
        <v>10151</v>
      </c>
      <c r="D7274" t="s">
        <v>18034</v>
      </c>
      <c r="E7274" t="s">
        <v>24524</v>
      </c>
      <c r="F7274" t="s">
        <v>31574</v>
      </c>
      <c r="G7274" t="s">
        <v>31582</v>
      </c>
      <c r="H7274" t="s">
        <v>31591</v>
      </c>
      <c r="I7274" t="s">
        <v>8822</v>
      </c>
      <c r="J7274" t="s">
        <v>36392</v>
      </c>
      <c r="K7274" t="s">
        <v>41195</v>
      </c>
      <c r="M7274" t="s">
        <v>41522</v>
      </c>
      <c r="N7274" t="s">
        <v>45095</v>
      </c>
      <c r="O7274" t="s">
        <v>45096</v>
      </c>
      <c r="P7274">
        <v>0</v>
      </c>
      <c r="Q7274">
        <v>0</v>
      </c>
      <c r="R7274" t="s">
        <v>45103</v>
      </c>
      <c r="S7274" t="s">
        <v>45270</v>
      </c>
      <c r="T7274" t="s">
        <v>46985</v>
      </c>
      <c r="U7274" t="s">
        <v>53550</v>
      </c>
      <c r="W7274" t="s">
        <v>41522</v>
      </c>
      <c r="X7274" t="s">
        <v>45104</v>
      </c>
    </row>
    <row r="7275" spans="1:24">
      <c r="A7275">
        <f>HYPERLINK("https://www.philgeps.gov.ph/GEPSNONPILOT/Tender/SplashBidNoticeAbstractUI.aspx?menuIndex=3&amp;refID=7036193&amp;Result=3","7036193")</f>
        <v>0</v>
      </c>
      <c r="B7275" t="s">
        <v>299</v>
      </c>
      <c r="C7275" t="s">
        <v>10152</v>
      </c>
      <c r="D7275" t="s">
        <v>18081</v>
      </c>
      <c r="E7275" t="s">
        <v>24525</v>
      </c>
      <c r="F7275" t="s">
        <v>31574</v>
      </c>
      <c r="G7275" t="s">
        <v>31582</v>
      </c>
      <c r="H7275" t="s">
        <v>31591</v>
      </c>
      <c r="I7275" t="s">
        <v>8822</v>
      </c>
      <c r="J7275" t="s">
        <v>32906</v>
      </c>
      <c r="K7275" t="s">
        <v>41305</v>
      </c>
      <c r="M7275" t="s">
        <v>41785</v>
      </c>
      <c r="N7275" t="s">
        <v>45095</v>
      </c>
      <c r="O7275" t="s">
        <v>45096</v>
      </c>
      <c r="P7275">
        <v>0</v>
      </c>
      <c r="Q7275">
        <v>0</v>
      </c>
      <c r="R7275" t="s">
        <v>45103</v>
      </c>
      <c r="S7275" t="s">
        <v>45270</v>
      </c>
      <c r="T7275" t="s">
        <v>46965</v>
      </c>
      <c r="U7275" t="s">
        <v>53551</v>
      </c>
      <c r="W7275" t="s">
        <v>41785</v>
      </c>
      <c r="X7275" t="s">
        <v>45104</v>
      </c>
    </row>
    <row r="7276" spans="1:24">
      <c r="A7276">
        <f>HYPERLINK("https://www.philgeps.gov.ph/GEPSNONPILOT/Tender/SplashBidNoticeAbstractUI.aspx?menuIndex=3&amp;refID=7036183&amp;Result=3","7036183")</f>
        <v>0</v>
      </c>
      <c r="B7276" t="s">
        <v>530</v>
      </c>
      <c r="C7276" t="s">
        <v>10153</v>
      </c>
      <c r="D7276" t="s">
        <v>18071</v>
      </c>
      <c r="E7276" t="s">
        <v>10153</v>
      </c>
      <c r="F7276" t="s">
        <v>31574</v>
      </c>
      <c r="G7276" t="s">
        <v>31582</v>
      </c>
      <c r="H7276" t="s">
        <v>31590</v>
      </c>
      <c r="I7276" t="s">
        <v>4327</v>
      </c>
      <c r="J7276" t="s">
        <v>32214</v>
      </c>
      <c r="K7276" t="s">
        <v>41186</v>
      </c>
      <c r="M7276" t="s">
        <v>42027</v>
      </c>
      <c r="N7276" t="s">
        <v>45095</v>
      </c>
      <c r="O7276" t="s">
        <v>45096</v>
      </c>
      <c r="P7276">
        <v>0</v>
      </c>
      <c r="Q7276">
        <v>0</v>
      </c>
      <c r="R7276" t="s">
        <v>45103</v>
      </c>
      <c r="S7276" t="s">
        <v>45270</v>
      </c>
      <c r="T7276" t="s">
        <v>47021</v>
      </c>
      <c r="U7276" t="s">
        <v>53552</v>
      </c>
      <c r="W7276" t="s">
        <v>42027</v>
      </c>
      <c r="X7276" t="s">
        <v>45104</v>
      </c>
    </row>
    <row r="7277" spans="1:24">
      <c r="A7277">
        <f>HYPERLINK("https://www.philgeps.gov.ph/GEPSNONPILOT/Tender/SplashBidNoticeAbstractUI.aspx?menuIndex=3&amp;refID=7036196&amp;Result=3","7036196")</f>
        <v>0</v>
      </c>
      <c r="B7277" t="s">
        <v>2112</v>
      </c>
      <c r="C7277" t="s">
        <v>10154</v>
      </c>
      <c r="D7277" t="s">
        <v>18041</v>
      </c>
      <c r="E7277" t="s">
        <v>24526</v>
      </c>
      <c r="F7277" t="s">
        <v>31574</v>
      </c>
      <c r="G7277" t="s">
        <v>31582</v>
      </c>
      <c r="H7277" t="s">
        <v>31590</v>
      </c>
      <c r="I7277" t="s">
        <v>4046</v>
      </c>
      <c r="J7277" t="s">
        <v>36393</v>
      </c>
      <c r="K7277" t="s">
        <v>41184</v>
      </c>
      <c r="M7277" t="s">
        <v>43792</v>
      </c>
      <c r="N7277" t="s">
        <v>45095</v>
      </c>
      <c r="O7277" t="s">
        <v>45096</v>
      </c>
      <c r="P7277">
        <v>0</v>
      </c>
      <c r="Q7277">
        <v>0</v>
      </c>
      <c r="R7277" t="s">
        <v>45103</v>
      </c>
      <c r="S7277" t="s">
        <v>45270</v>
      </c>
      <c r="T7277" t="s">
        <v>47188</v>
      </c>
      <c r="U7277" t="s">
        <v>53553</v>
      </c>
      <c r="V7277" t="s">
        <v>60610</v>
      </c>
      <c r="W7277" t="s">
        <v>43792</v>
      </c>
      <c r="X7277" t="s">
        <v>45104</v>
      </c>
    </row>
    <row r="7278" spans="1:24">
      <c r="A7278">
        <f>HYPERLINK("https://www.philgeps.gov.ph/GEPSNONPILOT/Tender/SplashBidNoticeAbstractUI.aspx?menuIndex=3&amp;refID=7036192&amp;Result=3","7036192")</f>
        <v>0</v>
      </c>
      <c r="B7278" t="s">
        <v>295</v>
      </c>
      <c r="C7278" t="s">
        <v>10155</v>
      </c>
      <c r="D7278" t="s">
        <v>18089</v>
      </c>
      <c r="E7278" t="s">
        <v>24527</v>
      </c>
      <c r="F7278" t="s">
        <v>31574</v>
      </c>
      <c r="G7278" t="s">
        <v>31582</v>
      </c>
      <c r="H7278" t="s">
        <v>31591</v>
      </c>
      <c r="I7278" t="s">
        <v>8822</v>
      </c>
      <c r="J7278" t="s">
        <v>36394</v>
      </c>
      <c r="K7278" t="s">
        <v>41301</v>
      </c>
      <c r="L7278" t="s">
        <v>295</v>
      </c>
      <c r="M7278" t="s">
        <v>41781</v>
      </c>
      <c r="N7278" t="s">
        <v>45095</v>
      </c>
      <c r="O7278" t="s">
        <v>45096</v>
      </c>
      <c r="P7278">
        <v>0</v>
      </c>
      <c r="Q7278">
        <v>0</v>
      </c>
      <c r="R7278" t="s">
        <v>45103</v>
      </c>
      <c r="S7278" t="s">
        <v>45270</v>
      </c>
      <c r="T7278" t="s">
        <v>47050</v>
      </c>
      <c r="U7278" t="s">
        <v>53554</v>
      </c>
      <c r="W7278" t="s">
        <v>41781</v>
      </c>
      <c r="X7278" t="s">
        <v>45104</v>
      </c>
    </row>
    <row r="7279" spans="1:24">
      <c r="A7279">
        <f>HYPERLINK("https://www.philgeps.gov.ph/GEPSNONPILOT/Tender/SplashBidNoticeAbstractUI.aspx?menuIndex=3&amp;refID=7036185&amp;Result=3","7036185")</f>
        <v>0</v>
      </c>
      <c r="B7279" t="s">
        <v>59</v>
      </c>
      <c r="C7279" t="s">
        <v>10156</v>
      </c>
      <c r="D7279" t="s">
        <v>18048</v>
      </c>
      <c r="E7279" t="s">
        <v>24528</v>
      </c>
      <c r="F7279" t="s">
        <v>31574</v>
      </c>
      <c r="G7279" t="s">
        <v>31581</v>
      </c>
      <c r="H7279" t="s">
        <v>31590</v>
      </c>
      <c r="I7279" t="s">
        <v>31623</v>
      </c>
      <c r="J7279" t="s">
        <v>34033</v>
      </c>
      <c r="K7279" t="s">
        <v>41190</v>
      </c>
      <c r="M7279" t="s">
        <v>43751</v>
      </c>
      <c r="N7279" t="s">
        <v>45095</v>
      </c>
      <c r="O7279" t="s">
        <v>45096</v>
      </c>
      <c r="P7279">
        <v>0</v>
      </c>
      <c r="Q7279">
        <v>0</v>
      </c>
      <c r="R7279" t="s">
        <v>45103</v>
      </c>
      <c r="S7279" t="s">
        <v>45270</v>
      </c>
      <c r="T7279" t="s">
        <v>46918</v>
      </c>
      <c r="U7279" t="s">
        <v>53555</v>
      </c>
      <c r="W7279" t="s">
        <v>43751</v>
      </c>
      <c r="X7279" t="s">
        <v>45104</v>
      </c>
    </row>
    <row r="7280" spans="1:24">
      <c r="A7280">
        <f>HYPERLINK("https://www.philgeps.gov.ph/GEPSNONPILOT/Tender/SplashBidNoticeAbstractUI.aspx?menuIndex=3&amp;refID=7036180&amp;Result=3","7036180")</f>
        <v>0</v>
      </c>
      <c r="B7280" t="s">
        <v>2112</v>
      </c>
      <c r="C7280" t="s">
        <v>10157</v>
      </c>
      <c r="D7280" t="s">
        <v>18041</v>
      </c>
      <c r="E7280" t="s">
        <v>24529</v>
      </c>
      <c r="F7280" t="s">
        <v>31574</v>
      </c>
      <c r="G7280" t="s">
        <v>31582</v>
      </c>
      <c r="H7280" t="s">
        <v>31590</v>
      </c>
      <c r="I7280" t="s">
        <v>4046</v>
      </c>
      <c r="J7280" t="s">
        <v>36395</v>
      </c>
      <c r="K7280" t="s">
        <v>41184</v>
      </c>
      <c r="M7280" t="s">
        <v>43792</v>
      </c>
      <c r="N7280" t="s">
        <v>45095</v>
      </c>
      <c r="O7280" t="s">
        <v>45096</v>
      </c>
      <c r="P7280">
        <v>0</v>
      </c>
      <c r="Q7280">
        <v>0</v>
      </c>
      <c r="R7280" t="s">
        <v>45103</v>
      </c>
      <c r="S7280" t="s">
        <v>45270</v>
      </c>
      <c r="T7280" t="s">
        <v>47188</v>
      </c>
      <c r="U7280" t="s">
        <v>53556</v>
      </c>
      <c r="V7280" t="s">
        <v>60610</v>
      </c>
      <c r="W7280" t="s">
        <v>43792</v>
      </c>
      <c r="X7280" t="s">
        <v>45104</v>
      </c>
    </row>
    <row r="7281" spans="1:24">
      <c r="A7281">
        <f>HYPERLINK("https://www.philgeps.gov.ph/GEPSNONPILOT/Tender/SplashBidNoticeAbstractUI.aspx?menuIndex=3&amp;refID=7036191&amp;Result=3","7036191")</f>
        <v>0</v>
      </c>
      <c r="B7281" t="s">
        <v>650</v>
      </c>
      <c r="C7281" t="s">
        <v>10158</v>
      </c>
      <c r="D7281" t="s">
        <v>18030</v>
      </c>
      <c r="E7281" t="s">
        <v>24530</v>
      </c>
      <c r="F7281" t="s">
        <v>31574</v>
      </c>
      <c r="G7281" t="s">
        <v>31582</v>
      </c>
      <c r="H7281" t="s">
        <v>31591</v>
      </c>
      <c r="I7281" t="s">
        <v>8822</v>
      </c>
      <c r="J7281" t="s">
        <v>36396</v>
      </c>
      <c r="K7281" t="s">
        <v>41273</v>
      </c>
      <c r="M7281" t="s">
        <v>42154</v>
      </c>
      <c r="N7281" t="s">
        <v>45095</v>
      </c>
      <c r="O7281" t="s">
        <v>45096</v>
      </c>
      <c r="P7281">
        <v>0</v>
      </c>
      <c r="Q7281">
        <v>1</v>
      </c>
      <c r="R7281" t="s">
        <v>45103</v>
      </c>
      <c r="S7281" t="s">
        <v>45270</v>
      </c>
      <c r="T7281" t="s">
        <v>47064</v>
      </c>
      <c r="U7281" t="s">
        <v>48827</v>
      </c>
      <c r="W7281" t="s">
        <v>42154</v>
      </c>
      <c r="X7281" t="s">
        <v>45104</v>
      </c>
    </row>
    <row r="7282" spans="1:24">
      <c r="A7282">
        <f>HYPERLINK("https://www.philgeps.gov.ph/GEPSNONPILOT/Tender/SplashBidNoticeAbstractUI.aspx?menuIndex=3&amp;refID=7036204&amp;Result=3","7036204")</f>
        <v>0</v>
      </c>
      <c r="B7282" t="s">
        <v>2167</v>
      </c>
      <c r="C7282" t="s">
        <v>10159</v>
      </c>
      <c r="D7282" t="s">
        <v>18025</v>
      </c>
      <c r="E7282" t="s">
        <v>24531</v>
      </c>
      <c r="F7282" t="s">
        <v>31574</v>
      </c>
      <c r="G7282" t="s">
        <v>31581</v>
      </c>
      <c r="H7282" t="s">
        <v>31590</v>
      </c>
      <c r="I7282" t="s">
        <v>31637</v>
      </c>
      <c r="J7282" t="s">
        <v>36397</v>
      </c>
      <c r="K7282" t="s">
        <v>41192</v>
      </c>
      <c r="M7282" t="s">
        <v>43852</v>
      </c>
      <c r="N7282" t="s">
        <v>45095</v>
      </c>
      <c r="O7282" t="s">
        <v>45096</v>
      </c>
      <c r="P7282">
        <v>0</v>
      </c>
      <c r="Q7282">
        <v>4</v>
      </c>
      <c r="R7282" t="s">
        <v>45103</v>
      </c>
      <c r="S7282" t="s">
        <v>45270</v>
      </c>
      <c r="T7282" t="s">
        <v>47110</v>
      </c>
      <c r="U7282" t="s">
        <v>53557</v>
      </c>
      <c r="W7282" t="s">
        <v>43852</v>
      </c>
      <c r="X7282" t="s">
        <v>45104</v>
      </c>
    </row>
    <row r="7283" spans="1:24">
      <c r="A7283">
        <f>HYPERLINK("https://www.philgeps.gov.ph/GEPSNONPILOT/Tender/SplashBidNoticeAbstractUI.aspx?menuIndex=3&amp;refID=7036203&amp;Result=3","7036203")</f>
        <v>0</v>
      </c>
      <c r="B7283" t="s">
        <v>2102</v>
      </c>
      <c r="C7283" t="s">
        <v>10160</v>
      </c>
      <c r="D7283" t="s">
        <v>18029</v>
      </c>
      <c r="E7283" t="s">
        <v>24532</v>
      </c>
      <c r="F7283" t="s">
        <v>31574</v>
      </c>
      <c r="G7283" t="s">
        <v>31581</v>
      </c>
      <c r="H7283" t="s">
        <v>31590</v>
      </c>
      <c r="I7283" t="s">
        <v>5222</v>
      </c>
      <c r="J7283" t="s">
        <v>32019</v>
      </c>
      <c r="K7283" t="s">
        <v>41196</v>
      </c>
      <c r="M7283" t="s">
        <v>43779</v>
      </c>
      <c r="N7283" t="s">
        <v>45095</v>
      </c>
      <c r="O7283" t="s">
        <v>45096</v>
      </c>
      <c r="P7283">
        <v>0</v>
      </c>
      <c r="Q7283">
        <v>2</v>
      </c>
      <c r="R7283" t="s">
        <v>45103</v>
      </c>
      <c r="S7283" t="s">
        <v>45270</v>
      </c>
      <c r="T7283" t="s">
        <v>47308</v>
      </c>
      <c r="U7283" t="s">
        <v>53558</v>
      </c>
      <c r="W7283" t="s">
        <v>61726</v>
      </c>
      <c r="X7283" t="s">
        <v>45104</v>
      </c>
    </row>
    <row r="7284" spans="1:24">
      <c r="A7284">
        <f>HYPERLINK("https://www.philgeps.gov.ph/GEPSNONPILOT/Tender/SplashBidNoticeAbstractUI.aspx?menuIndex=3&amp;refID=7036207&amp;Result=3","7036207")</f>
        <v>0</v>
      </c>
      <c r="B7284" t="s">
        <v>2155</v>
      </c>
      <c r="C7284" t="s">
        <v>10161</v>
      </c>
      <c r="D7284" t="s">
        <v>18041</v>
      </c>
      <c r="E7284" t="s">
        <v>24533</v>
      </c>
      <c r="F7284" t="s">
        <v>31574</v>
      </c>
      <c r="G7284" t="s">
        <v>31582</v>
      </c>
      <c r="H7284" t="s">
        <v>31591</v>
      </c>
      <c r="I7284" t="s">
        <v>8822</v>
      </c>
      <c r="J7284" t="s">
        <v>32361</v>
      </c>
      <c r="K7284" t="s">
        <v>41186</v>
      </c>
      <c r="M7284" t="s">
        <v>43838</v>
      </c>
      <c r="N7284" t="s">
        <v>45095</v>
      </c>
      <c r="O7284" t="s">
        <v>45096</v>
      </c>
      <c r="P7284">
        <v>0</v>
      </c>
      <c r="Q7284">
        <v>0</v>
      </c>
      <c r="R7284" t="s">
        <v>45103</v>
      </c>
      <c r="S7284" t="s">
        <v>45270</v>
      </c>
      <c r="T7284" t="s">
        <v>47198</v>
      </c>
      <c r="U7284" t="s">
        <v>53559</v>
      </c>
      <c r="W7284" t="s">
        <v>43838</v>
      </c>
      <c r="X7284" t="s">
        <v>45104</v>
      </c>
    </row>
    <row r="7285" spans="1:24">
      <c r="A7285">
        <f>HYPERLINK("https://www.philgeps.gov.ph/GEPSNONPILOT/Tender/SplashBidNoticeAbstractUI.aspx?menuIndex=3&amp;refID=7036231&amp;Result=3","7036231")</f>
        <v>0</v>
      </c>
      <c r="B7285" t="s">
        <v>530</v>
      </c>
      <c r="C7285" t="s">
        <v>10162</v>
      </c>
      <c r="D7285" t="s">
        <v>18071</v>
      </c>
      <c r="E7285" t="s">
        <v>24534</v>
      </c>
      <c r="F7285" t="s">
        <v>31574</v>
      </c>
      <c r="G7285" t="s">
        <v>31582</v>
      </c>
      <c r="H7285" t="s">
        <v>31590</v>
      </c>
      <c r="I7285" t="s">
        <v>31608</v>
      </c>
      <c r="J7285" t="s">
        <v>36398</v>
      </c>
      <c r="K7285" t="s">
        <v>41186</v>
      </c>
      <c r="M7285" t="s">
        <v>42027</v>
      </c>
      <c r="N7285" t="s">
        <v>45095</v>
      </c>
      <c r="O7285" t="s">
        <v>45096</v>
      </c>
      <c r="P7285">
        <v>0</v>
      </c>
      <c r="Q7285">
        <v>2</v>
      </c>
      <c r="R7285" t="s">
        <v>45103</v>
      </c>
      <c r="S7285" t="s">
        <v>45270</v>
      </c>
      <c r="T7285" t="s">
        <v>47120</v>
      </c>
      <c r="U7285" t="s">
        <v>53560</v>
      </c>
      <c r="W7285" t="s">
        <v>42027</v>
      </c>
      <c r="X7285" t="s">
        <v>45104</v>
      </c>
    </row>
    <row r="7286" spans="1:24">
      <c r="A7286">
        <f>HYPERLINK("https://www.philgeps.gov.ph/GEPSNONPILOT/Tender/SplashBidNoticeAbstractUI.aspx?menuIndex=3&amp;refID=7036229&amp;Result=3","7036229")</f>
        <v>0</v>
      </c>
      <c r="B7286" t="s">
        <v>2168</v>
      </c>
      <c r="C7286" t="s">
        <v>10163</v>
      </c>
      <c r="D7286" t="s">
        <v>18033</v>
      </c>
      <c r="E7286" t="s">
        <v>24535</v>
      </c>
      <c r="F7286" t="s">
        <v>31574</v>
      </c>
      <c r="G7286" t="s">
        <v>31582</v>
      </c>
      <c r="H7286" t="s">
        <v>31591</v>
      </c>
      <c r="I7286" t="s">
        <v>8822</v>
      </c>
      <c r="J7286" t="s">
        <v>36399</v>
      </c>
      <c r="K7286" t="s">
        <v>41198</v>
      </c>
      <c r="L7286" t="s">
        <v>2168</v>
      </c>
      <c r="M7286" t="s">
        <v>43853</v>
      </c>
      <c r="N7286" t="s">
        <v>45095</v>
      </c>
      <c r="O7286" t="s">
        <v>45096</v>
      </c>
      <c r="P7286">
        <v>0</v>
      </c>
      <c r="Q7286">
        <v>4</v>
      </c>
      <c r="R7286" t="s">
        <v>45103</v>
      </c>
      <c r="S7286" t="s">
        <v>45270</v>
      </c>
      <c r="T7286" t="s">
        <v>46935</v>
      </c>
      <c r="U7286" t="s">
        <v>53561</v>
      </c>
      <c r="V7286" t="s">
        <v>60630</v>
      </c>
      <c r="W7286" t="s">
        <v>43853</v>
      </c>
      <c r="X7286" t="s">
        <v>45104</v>
      </c>
    </row>
    <row r="7287" spans="1:24">
      <c r="A7287">
        <f>HYPERLINK("https://www.philgeps.gov.ph/GEPSNONPILOT/Tender/SplashBidNoticeAbstractUI.aspx?menuIndex=3&amp;refID=7036247&amp;Result=3","7036247")</f>
        <v>0</v>
      </c>
      <c r="B7287" t="s">
        <v>411</v>
      </c>
      <c r="C7287" t="s">
        <v>10164</v>
      </c>
      <c r="D7287" t="s">
        <v>18034</v>
      </c>
      <c r="E7287" t="s">
        <v>24536</v>
      </c>
      <c r="F7287" t="s">
        <v>31574</v>
      </c>
      <c r="G7287" t="s">
        <v>31581</v>
      </c>
      <c r="H7287" t="s">
        <v>31590</v>
      </c>
      <c r="I7287" t="s">
        <v>6800</v>
      </c>
      <c r="J7287" t="s">
        <v>34540</v>
      </c>
      <c r="K7287" t="s">
        <v>41193</v>
      </c>
      <c r="M7287" t="s">
        <v>41902</v>
      </c>
      <c r="N7287" t="s">
        <v>45095</v>
      </c>
      <c r="O7287" t="s">
        <v>45096</v>
      </c>
      <c r="P7287">
        <v>0</v>
      </c>
      <c r="Q7287">
        <v>4</v>
      </c>
      <c r="R7287" t="s">
        <v>45103</v>
      </c>
      <c r="S7287" t="s">
        <v>45270</v>
      </c>
      <c r="T7287" t="s">
        <v>47154</v>
      </c>
      <c r="U7287" t="s">
        <v>53562</v>
      </c>
      <c r="W7287" t="s">
        <v>41902</v>
      </c>
      <c r="X7287" t="s">
        <v>45104</v>
      </c>
    </row>
    <row r="7288" spans="1:24">
      <c r="A7288">
        <f>HYPERLINK("https://www.philgeps.gov.ph/GEPSNONPILOT/Tender/SplashBidNoticeAbstractUI.aspx?menuIndex=3&amp;refID=7036222&amp;Result=3","7036222")</f>
        <v>0</v>
      </c>
      <c r="B7288" t="s">
        <v>2138</v>
      </c>
      <c r="C7288" t="s">
        <v>10165</v>
      </c>
      <c r="D7288" t="s">
        <v>18023</v>
      </c>
      <c r="E7288" t="s">
        <v>24537</v>
      </c>
      <c r="F7288" t="s">
        <v>31574</v>
      </c>
      <c r="G7288" t="s">
        <v>31582</v>
      </c>
      <c r="H7288" t="s">
        <v>31590</v>
      </c>
      <c r="I7288" t="s">
        <v>31594</v>
      </c>
      <c r="J7288" t="s">
        <v>36400</v>
      </c>
      <c r="K7288" t="s">
        <v>41193</v>
      </c>
      <c r="M7288" t="s">
        <v>43820</v>
      </c>
      <c r="N7288" t="s">
        <v>45095</v>
      </c>
      <c r="O7288" t="s">
        <v>45096</v>
      </c>
      <c r="P7288">
        <v>0</v>
      </c>
      <c r="Q7288">
        <v>3</v>
      </c>
      <c r="R7288" t="s">
        <v>45103</v>
      </c>
      <c r="S7288" t="s">
        <v>45270</v>
      </c>
      <c r="T7288" t="s">
        <v>47058</v>
      </c>
      <c r="U7288" t="s">
        <v>53563</v>
      </c>
      <c r="W7288" t="s">
        <v>43820</v>
      </c>
      <c r="X7288" t="s">
        <v>45104</v>
      </c>
    </row>
    <row r="7289" spans="1:24">
      <c r="A7289">
        <f>HYPERLINK("https://www.philgeps.gov.ph/GEPSNONPILOT/Tender/SplashBidNoticeAbstractUI.aspx?menuIndex=3&amp;refID=7036248&amp;Result=3","7036248")</f>
        <v>0</v>
      </c>
      <c r="B7289" t="s">
        <v>358</v>
      </c>
      <c r="C7289" t="s">
        <v>10101</v>
      </c>
      <c r="D7289" t="s">
        <v>18075</v>
      </c>
      <c r="E7289" t="s">
        <v>24538</v>
      </c>
      <c r="F7289" t="s">
        <v>31574</v>
      </c>
      <c r="G7289" t="s">
        <v>31582</v>
      </c>
      <c r="H7289" t="s">
        <v>31590</v>
      </c>
      <c r="I7289" t="s">
        <v>4354</v>
      </c>
      <c r="J7289" t="s">
        <v>32470</v>
      </c>
      <c r="K7289" t="s">
        <v>41193</v>
      </c>
      <c r="M7289" t="s">
        <v>41848</v>
      </c>
      <c r="N7289" t="s">
        <v>45095</v>
      </c>
      <c r="O7289" t="s">
        <v>45096</v>
      </c>
      <c r="P7289">
        <v>0</v>
      </c>
      <c r="Q7289">
        <v>0</v>
      </c>
      <c r="R7289" t="s">
        <v>45103</v>
      </c>
      <c r="S7289" t="s">
        <v>45270</v>
      </c>
      <c r="T7289" t="s">
        <v>46911</v>
      </c>
      <c r="U7289" t="s">
        <v>53564</v>
      </c>
      <c r="W7289" t="s">
        <v>41848</v>
      </c>
      <c r="X7289" t="s">
        <v>45104</v>
      </c>
    </row>
    <row r="7290" spans="1:24">
      <c r="A7290">
        <f>HYPERLINK("https://www.philgeps.gov.ph/GEPSNONPILOT/Tender/SplashBidNoticeAbstractUI.aspx?menuIndex=3&amp;refID=7036226&amp;Result=3","7036226")</f>
        <v>0</v>
      </c>
      <c r="B7290" t="s">
        <v>1544</v>
      </c>
      <c r="C7290" t="s">
        <v>10166</v>
      </c>
      <c r="D7290" t="s">
        <v>18075</v>
      </c>
      <c r="E7290" t="s">
        <v>24539</v>
      </c>
      <c r="F7290" t="s">
        <v>31574</v>
      </c>
      <c r="G7290" t="s">
        <v>31582</v>
      </c>
      <c r="H7290" t="s">
        <v>31590</v>
      </c>
      <c r="I7290" t="s">
        <v>31607</v>
      </c>
      <c r="J7290" t="s">
        <v>36401</v>
      </c>
      <c r="K7290" t="s">
        <v>41186</v>
      </c>
      <c r="M7290" t="s">
        <v>43139</v>
      </c>
      <c r="N7290" t="s">
        <v>45095</v>
      </c>
      <c r="O7290" t="s">
        <v>45096</v>
      </c>
      <c r="P7290">
        <v>0</v>
      </c>
      <c r="Q7290">
        <v>3</v>
      </c>
      <c r="R7290" t="s">
        <v>45103</v>
      </c>
      <c r="S7290" t="s">
        <v>45270</v>
      </c>
      <c r="T7290" t="s">
        <v>47313</v>
      </c>
      <c r="U7290" t="s">
        <v>53565</v>
      </c>
      <c r="W7290" t="s">
        <v>43139</v>
      </c>
      <c r="X7290" t="s">
        <v>45104</v>
      </c>
    </row>
    <row r="7291" spans="1:24">
      <c r="A7291">
        <f>HYPERLINK("https://www.philgeps.gov.ph/GEPSNONPILOT/Tender/SplashBidNoticeAbstractUI.aspx?menuIndex=3&amp;refID=7036225&amp;Result=3","7036225")</f>
        <v>0</v>
      </c>
      <c r="B7291" t="s">
        <v>2169</v>
      </c>
      <c r="C7291" t="s">
        <v>10167</v>
      </c>
      <c r="D7291" t="s">
        <v>18046</v>
      </c>
      <c r="E7291" t="s">
        <v>24540</v>
      </c>
      <c r="F7291" t="s">
        <v>31575</v>
      </c>
      <c r="G7291" t="s">
        <v>31581</v>
      </c>
      <c r="H7291" t="s">
        <v>31590</v>
      </c>
      <c r="I7291" t="s">
        <v>6800</v>
      </c>
      <c r="J7291" t="s">
        <v>36402</v>
      </c>
      <c r="K7291" t="s">
        <v>41193</v>
      </c>
      <c r="M7291" t="s">
        <v>43854</v>
      </c>
      <c r="N7291" t="s">
        <v>45095</v>
      </c>
      <c r="O7291" t="s">
        <v>45096</v>
      </c>
      <c r="P7291">
        <v>0</v>
      </c>
      <c r="Q7291">
        <v>2</v>
      </c>
      <c r="R7291" t="s">
        <v>45103</v>
      </c>
      <c r="S7291" t="s">
        <v>45270</v>
      </c>
      <c r="T7291" t="s">
        <v>46910</v>
      </c>
      <c r="U7291" t="s">
        <v>53566</v>
      </c>
      <c r="V7291" t="s">
        <v>60631</v>
      </c>
      <c r="W7291" t="s">
        <v>61728</v>
      </c>
      <c r="X7291" t="s">
        <v>45104</v>
      </c>
    </row>
    <row r="7292" spans="1:24">
      <c r="A7292">
        <f>HYPERLINK("https://www.philgeps.gov.ph/GEPSNONPILOT/Tender/SplashBidNoticeAbstractUI.aspx?menuIndex=3&amp;refID=7036210&amp;Result=3","7036210")</f>
        <v>0</v>
      </c>
      <c r="B7292" t="s">
        <v>1887</v>
      </c>
      <c r="C7292" t="s">
        <v>10168</v>
      </c>
      <c r="D7292" t="s">
        <v>18022</v>
      </c>
      <c r="E7292" t="s">
        <v>24541</v>
      </c>
      <c r="F7292" t="s">
        <v>31574</v>
      </c>
      <c r="G7292" t="s">
        <v>31584</v>
      </c>
      <c r="H7292" t="s">
        <v>31590</v>
      </c>
      <c r="I7292" t="s">
        <v>31600</v>
      </c>
      <c r="J7292" t="s">
        <v>36403</v>
      </c>
      <c r="K7292" t="s">
        <v>41196</v>
      </c>
      <c r="M7292" t="s">
        <v>43855</v>
      </c>
      <c r="N7292" t="s">
        <v>45095</v>
      </c>
      <c r="O7292" t="s">
        <v>45096</v>
      </c>
      <c r="P7292">
        <v>0</v>
      </c>
      <c r="Q7292">
        <v>5</v>
      </c>
      <c r="R7292" t="s">
        <v>45103</v>
      </c>
      <c r="S7292" t="s">
        <v>45270</v>
      </c>
      <c r="T7292" t="s">
        <v>47125</v>
      </c>
      <c r="U7292" t="s">
        <v>53567</v>
      </c>
      <c r="W7292" t="s">
        <v>43855</v>
      </c>
      <c r="X7292" t="s">
        <v>45104</v>
      </c>
    </row>
    <row r="7293" spans="1:24">
      <c r="A7293">
        <f>HYPERLINK("https://www.philgeps.gov.ph/GEPSNONPILOT/Tender/SplashBidNoticeAbstractUI.aspx?menuIndex=3&amp;refID=7036252&amp;Result=3","7036252")</f>
        <v>0</v>
      </c>
      <c r="B7293" t="s">
        <v>1506</v>
      </c>
      <c r="C7293" t="s">
        <v>10169</v>
      </c>
      <c r="D7293" t="s">
        <v>18027</v>
      </c>
      <c r="E7293" t="s">
        <v>24542</v>
      </c>
      <c r="F7293" t="s">
        <v>31574</v>
      </c>
      <c r="G7293" t="s">
        <v>31581</v>
      </c>
      <c r="H7293" t="s">
        <v>31590</v>
      </c>
      <c r="I7293" t="s">
        <v>31607</v>
      </c>
      <c r="J7293" t="s">
        <v>36404</v>
      </c>
      <c r="K7293" t="s">
        <v>41197</v>
      </c>
      <c r="M7293" t="s">
        <v>43093</v>
      </c>
      <c r="N7293" t="s">
        <v>45095</v>
      </c>
      <c r="O7293" t="s">
        <v>45096</v>
      </c>
      <c r="P7293">
        <v>0</v>
      </c>
      <c r="Q7293">
        <v>11</v>
      </c>
      <c r="R7293" t="s">
        <v>45103</v>
      </c>
      <c r="S7293" t="s">
        <v>45270</v>
      </c>
      <c r="T7293" t="s">
        <v>47162</v>
      </c>
      <c r="U7293" t="s">
        <v>53568</v>
      </c>
      <c r="W7293" t="s">
        <v>43093</v>
      </c>
      <c r="X7293" t="s">
        <v>45104</v>
      </c>
    </row>
    <row r="7294" spans="1:24">
      <c r="A7294">
        <f>HYPERLINK("https://www.philgeps.gov.ph/GEPSNONPILOT/Tender/SplashBidNoticeAbstractUI.aspx?menuIndex=3&amp;refID=7036233&amp;Result=3","7036233")</f>
        <v>0</v>
      </c>
      <c r="B7294" t="s">
        <v>2170</v>
      </c>
      <c r="C7294" t="s">
        <v>10170</v>
      </c>
      <c r="D7294" t="s">
        <v>18056</v>
      </c>
      <c r="E7294" t="s">
        <v>24543</v>
      </c>
      <c r="F7294" t="s">
        <v>31574</v>
      </c>
      <c r="G7294" t="s">
        <v>31582</v>
      </c>
      <c r="H7294" t="s">
        <v>31591</v>
      </c>
      <c r="I7294" t="s">
        <v>8822</v>
      </c>
      <c r="J7294" t="s">
        <v>31727</v>
      </c>
      <c r="K7294" t="s">
        <v>41184</v>
      </c>
      <c r="M7294" t="s">
        <v>43856</v>
      </c>
      <c r="N7294" t="s">
        <v>45095</v>
      </c>
      <c r="O7294" t="s">
        <v>45096</v>
      </c>
      <c r="P7294">
        <v>0</v>
      </c>
      <c r="Q7294">
        <v>0</v>
      </c>
      <c r="R7294" t="s">
        <v>45103</v>
      </c>
      <c r="S7294" t="s">
        <v>45270</v>
      </c>
      <c r="T7294" t="s">
        <v>47010</v>
      </c>
      <c r="U7294" t="s">
        <v>53569</v>
      </c>
      <c r="W7294" t="s">
        <v>43856</v>
      </c>
      <c r="X7294" t="s">
        <v>45104</v>
      </c>
    </row>
    <row r="7295" spans="1:24">
      <c r="A7295">
        <f>HYPERLINK("https://www.philgeps.gov.ph/GEPSNONPILOT/Tender/SplashBidNoticeAbstractUI.aspx?menuIndex=3&amp;refID=7036251&amp;Result=3","7036251")</f>
        <v>0</v>
      </c>
      <c r="B7295" t="s">
        <v>650</v>
      </c>
      <c r="C7295" t="s">
        <v>10171</v>
      </c>
      <c r="D7295" t="s">
        <v>18030</v>
      </c>
      <c r="E7295" t="s">
        <v>24544</v>
      </c>
      <c r="F7295" t="s">
        <v>31574</v>
      </c>
      <c r="G7295" t="s">
        <v>31582</v>
      </c>
      <c r="H7295" t="s">
        <v>31591</v>
      </c>
      <c r="I7295" t="s">
        <v>8822</v>
      </c>
      <c r="J7295" t="s">
        <v>36405</v>
      </c>
      <c r="K7295" t="s">
        <v>41276</v>
      </c>
      <c r="M7295" t="s">
        <v>42154</v>
      </c>
      <c r="N7295" t="s">
        <v>45095</v>
      </c>
      <c r="O7295" t="s">
        <v>45096</v>
      </c>
      <c r="P7295">
        <v>0</v>
      </c>
      <c r="Q7295">
        <v>1</v>
      </c>
      <c r="R7295" t="s">
        <v>45103</v>
      </c>
      <c r="S7295" t="s">
        <v>45270</v>
      </c>
      <c r="T7295" t="s">
        <v>47064</v>
      </c>
      <c r="U7295" t="s">
        <v>48827</v>
      </c>
      <c r="W7295" t="s">
        <v>42154</v>
      </c>
      <c r="X7295" t="s">
        <v>45104</v>
      </c>
    </row>
    <row r="7296" spans="1:24">
      <c r="A7296">
        <f>HYPERLINK("https://www.philgeps.gov.ph/GEPSNONPILOT/Tender/SplashBidNoticeAbstractUI.aspx?menuIndex=3&amp;refID=7036219&amp;Result=3","7036219")</f>
        <v>0</v>
      </c>
      <c r="B7296" t="s">
        <v>299</v>
      </c>
      <c r="C7296" t="s">
        <v>10172</v>
      </c>
      <c r="D7296" t="s">
        <v>18081</v>
      </c>
      <c r="E7296" t="s">
        <v>24545</v>
      </c>
      <c r="F7296" t="s">
        <v>31574</v>
      </c>
      <c r="G7296" t="s">
        <v>31582</v>
      </c>
      <c r="H7296" t="s">
        <v>31591</v>
      </c>
      <c r="I7296" t="s">
        <v>8822</v>
      </c>
      <c r="J7296" t="s">
        <v>34069</v>
      </c>
      <c r="K7296" t="s">
        <v>41274</v>
      </c>
      <c r="M7296" t="s">
        <v>41785</v>
      </c>
      <c r="N7296" t="s">
        <v>45095</v>
      </c>
      <c r="O7296" t="s">
        <v>45096</v>
      </c>
      <c r="P7296">
        <v>0</v>
      </c>
      <c r="Q7296">
        <v>0</v>
      </c>
      <c r="R7296" t="s">
        <v>45103</v>
      </c>
      <c r="S7296" t="s">
        <v>45270</v>
      </c>
      <c r="T7296" t="s">
        <v>46965</v>
      </c>
      <c r="U7296" t="s">
        <v>53570</v>
      </c>
      <c r="W7296" t="s">
        <v>41785</v>
      </c>
      <c r="X7296" t="s">
        <v>45104</v>
      </c>
    </row>
    <row r="7297" spans="1:24">
      <c r="A7297">
        <f>HYPERLINK("https://www.philgeps.gov.ph/GEPSNONPILOT/Tender/SplashBidNoticeAbstractUI.aspx?menuIndex=3&amp;refID=7036249&amp;Result=3","7036249")</f>
        <v>0</v>
      </c>
      <c r="B7297" t="s">
        <v>2171</v>
      </c>
      <c r="C7297" t="s">
        <v>10173</v>
      </c>
      <c r="E7297" t="s">
        <v>24546</v>
      </c>
      <c r="F7297" t="s">
        <v>31574</v>
      </c>
      <c r="G7297" t="s">
        <v>31582</v>
      </c>
      <c r="H7297" t="s">
        <v>31590</v>
      </c>
      <c r="I7297" t="s">
        <v>31612</v>
      </c>
      <c r="J7297" t="s">
        <v>31727</v>
      </c>
      <c r="K7297" t="s">
        <v>41184</v>
      </c>
      <c r="M7297" t="s">
        <v>43857</v>
      </c>
      <c r="N7297" t="s">
        <v>45095</v>
      </c>
      <c r="O7297" t="s">
        <v>45096</v>
      </c>
      <c r="P7297">
        <v>0</v>
      </c>
      <c r="Q7297">
        <v>1</v>
      </c>
      <c r="R7297" t="s">
        <v>45103</v>
      </c>
      <c r="S7297" t="s">
        <v>45270</v>
      </c>
      <c r="T7297" t="s">
        <v>46985</v>
      </c>
      <c r="U7297" t="s">
        <v>53571</v>
      </c>
      <c r="W7297" t="s">
        <v>43857</v>
      </c>
      <c r="X7297" t="s">
        <v>45104</v>
      </c>
    </row>
    <row r="7298" spans="1:24">
      <c r="A7298">
        <f>HYPERLINK("https://www.philgeps.gov.ph/GEPSNONPILOT/Tender/SplashBidNoticeAbstractUI.aspx?menuIndex=3&amp;refID=7036239&amp;Result=3","7036239")</f>
        <v>0</v>
      </c>
      <c r="B7298" t="s">
        <v>2051</v>
      </c>
      <c r="C7298" t="s">
        <v>10174</v>
      </c>
      <c r="D7298" t="s">
        <v>18066</v>
      </c>
      <c r="E7298" t="s">
        <v>20141</v>
      </c>
      <c r="F7298" t="s">
        <v>31574</v>
      </c>
      <c r="G7298" t="s">
        <v>31582</v>
      </c>
      <c r="H7298" t="s">
        <v>31590</v>
      </c>
      <c r="I7298" t="s">
        <v>4046</v>
      </c>
      <c r="J7298" t="s">
        <v>36406</v>
      </c>
      <c r="K7298" t="s">
        <v>41257</v>
      </c>
      <c r="M7298" t="s">
        <v>43719</v>
      </c>
      <c r="N7298" t="s">
        <v>45095</v>
      </c>
      <c r="O7298" t="s">
        <v>45096</v>
      </c>
      <c r="P7298">
        <v>0</v>
      </c>
      <c r="Q7298">
        <v>0</v>
      </c>
      <c r="R7298" t="s">
        <v>45103</v>
      </c>
      <c r="S7298" t="s">
        <v>45270</v>
      </c>
      <c r="T7298" t="s">
        <v>47000</v>
      </c>
      <c r="U7298" t="s">
        <v>53572</v>
      </c>
      <c r="V7298" t="s">
        <v>60632</v>
      </c>
      <c r="W7298" t="s">
        <v>43719</v>
      </c>
      <c r="X7298" t="s">
        <v>45104</v>
      </c>
    </row>
    <row r="7299" spans="1:24">
      <c r="A7299">
        <f>HYPERLINK("https://www.philgeps.gov.ph/GEPSNONPILOT/Tender/SplashBidNoticeAbstractUI.aspx?menuIndex=3&amp;refID=7036250&amp;Result=3","7036250")</f>
        <v>0</v>
      </c>
      <c r="B7299" t="s">
        <v>2167</v>
      </c>
      <c r="C7299" t="s">
        <v>10175</v>
      </c>
      <c r="D7299" t="s">
        <v>18025</v>
      </c>
      <c r="E7299" t="s">
        <v>24547</v>
      </c>
      <c r="F7299" t="s">
        <v>31574</v>
      </c>
      <c r="G7299" t="s">
        <v>31581</v>
      </c>
      <c r="H7299" t="s">
        <v>31590</v>
      </c>
      <c r="I7299" t="s">
        <v>31637</v>
      </c>
      <c r="J7299" t="s">
        <v>33230</v>
      </c>
      <c r="K7299" t="s">
        <v>41192</v>
      </c>
      <c r="M7299" t="s">
        <v>43852</v>
      </c>
      <c r="N7299" t="s">
        <v>45095</v>
      </c>
      <c r="O7299" t="s">
        <v>45096</v>
      </c>
      <c r="P7299">
        <v>0</v>
      </c>
      <c r="Q7299">
        <v>1</v>
      </c>
      <c r="R7299" t="s">
        <v>45103</v>
      </c>
      <c r="S7299" t="s">
        <v>45270</v>
      </c>
      <c r="T7299" t="s">
        <v>47110</v>
      </c>
      <c r="U7299" t="s">
        <v>53573</v>
      </c>
      <c r="W7299" t="s">
        <v>43852</v>
      </c>
      <c r="X7299" t="s">
        <v>45104</v>
      </c>
    </row>
    <row r="7300" spans="1:24">
      <c r="A7300">
        <f>HYPERLINK("https://www.philgeps.gov.ph/GEPSNONPILOT/Tender/SplashBidNoticeAbstractUI.aspx?menuIndex=3&amp;refID=7036244&amp;Result=3","7036244")</f>
        <v>0</v>
      </c>
      <c r="B7300" t="s">
        <v>1037</v>
      </c>
      <c r="C7300" t="s">
        <v>10176</v>
      </c>
      <c r="D7300" t="s">
        <v>18022</v>
      </c>
      <c r="E7300" t="s">
        <v>24548</v>
      </c>
      <c r="F7300" t="s">
        <v>31575</v>
      </c>
      <c r="G7300" t="s">
        <v>31582</v>
      </c>
      <c r="H7300" t="s">
        <v>31590</v>
      </c>
      <c r="I7300" t="s">
        <v>31629</v>
      </c>
      <c r="J7300" t="s">
        <v>32232</v>
      </c>
      <c r="K7300" t="s">
        <v>41186</v>
      </c>
      <c r="M7300" t="s">
        <v>42580</v>
      </c>
      <c r="N7300" t="s">
        <v>45095</v>
      </c>
      <c r="O7300" t="s">
        <v>45096</v>
      </c>
      <c r="P7300">
        <v>0</v>
      </c>
      <c r="Q7300">
        <v>0</v>
      </c>
      <c r="R7300" t="s">
        <v>45103</v>
      </c>
      <c r="S7300" t="s">
        <v>45270</v>
      </c>
      <c r="T7300" t="s">
        <v>46930</v>
      </c>
      <c r="U7300" t="s">
        <v>53574</v>
      </c>
      <c r="V7300" t="s">
        <v>60124</v>
      </c>
      <c r="W7300" t="s">
        <v>42580</v>
      </c>
      <c r="X7300" t="s">
        <v>45104</v>
      </c>
    </row>
    <row r="7301" spans="1:24">
      <c r="A7301">
        <f>HYPERLINK("https://www.philgeps.gov.ph/GEPSNONPILOT/Tender/SplashBidNoticeAbstractUI.aspx?menuIndex=3&amp;refID=7036240&amp;Result=3","7036240")</f>
        <v>0</v>
      </c>
      <c r="B7301" t="s">
        <v>2172</v>
      </c>
      <c r="C7301" t="s">
        <v>6800</v>
      </c>
      <c r="D7301" t="s">
        <v>18033</v>
      </c>
      <c r="E7301" t="s">
        <v>24549</v>
      </c>
      <c r="F7301" t="s">
        <v>31574</v>
      </c>
      <c r="G7301" t="s">
        <v>31581</v>
      </c>
      <c r="H7301" t="s">
        <v>31590</v>
      </c>
      <c r="I7301" t="s">
        <v>6800</v>
      </c>
      <c r="J7301" t="s">
        <v>36407</v>
      </c>
      <c r="K7301" t="s">
        <v>41196</v>
      </c>
      <c r="M7301" t="s">
        <v>43858</v>
      </c>
      <c r="N7301" t="s">
        <v>45095</v>
      </c>
      <c r="O7301" t="s">
        <v>45096</v>
      </c>
      <c r="P7301">
        <v>0</v>
      </c>
      <c r="Q7301">
        <v>3</v>
      </c>
      <c r="R7301" t="s">
        <v>45103</v>
      </c>
      <c r="S7301" t="s">
        <v>45270</v>
      </c>
      <c r="T7301" t="s">
        <v>47067</v>
      </c>
      <c r="U7301" t="s">
        <v>51346</v>
      </c>
      <c r="W7301" t="s">
        <v>43858</v>
      </c>
      <c r="X7301" t="s">
        <v>45104</v>
      </c>
    </row>
    <row r="7302" spans="1:24">
      <c r="A7302">
        <f>HYPERLINK("https://www.philgeps.gov.ph/GEPSNONPILOT/Tender/SplashBidNoticeAbstractUI.aspx?menuIndex=3&amp;refID=7036261&amp;Result=3","7036261")</f>
        <v>0</v>
      </c>
      <c r="B7302" t="s">
        <v>2173</v>
      </c>
      <c r="C7302" t="s">
        <v>10177</v>
      </c>
      <c r="D7302" t="s">
        <v>18090</v>
      </c>
      <c r="E7302" t="s">
        <v>24550</v>
      </c>
      <c r="F7302" t="s">
        <v>31574</v>
      </c>
      <c r="G7302" t="s">
        <v>31582</v>
      </c>
      <c r="H7302" t="s">
        <v>31590</v>
      </c>
      <c r="I7302" t="s">
        <v>31615</v>
      </c>
      <c r="J7302" t="s">
        <v>35720</v>
      </c>
      <c r="K7302" t="s">
        <v>41192</v>
      </c>
      <c r="M7302" t="s">
        <v>43859</v>
      </c>
      <c r="N7302" t="s">
        <v>45095</v>
      </c>
      <c r="O7302" t="s">
        <v>45096</v>
      </c>
      <c r="P7302">
        <v>0</v>
      </c>
      <c r="Q7302">
        <v>3</v>
      </c>
      <c r="R7302" t="s">
        <v>45103</v>
      </c>
      <c r="S7302" t="s">
        <v>45270</v>
      </c>
      <c r="T7302" t="s">
        <v>46977</v>
      </c>
      <c r="U7302" t="s">
        <v>53575</v>
      </c>
      <c r="W7302" t="s">
        <v>43859</v>
      </c>
      <c r="X7302" t="s">
        <v>45104</v>
      </c>
    </row>
    <row r="7303" spans="1:24">
      <c r="A7303">
        <f>HYPERLINK("https://www.philgeps.gov.ph/GEPSNONPILOT/Tender/SplashBidNoticeAbstractUI.aspx?menuIndex=3&amp;refID=7036277&amp;Result=3","7036277")</f>
        <v>0</v>
      </c>
      <c r="B7303" t="s">
        <v>2169</v>
      </c>
      <c r="C7303" t="s">
        <v>10178</v>
      </c>
      <c r="D7303" t="s">
        <v>18046</v>
      </c>
      <c r="E7303" t="s">
        <v>24551</v>
      </c>
      <c r="F7303" t="s">
        <v>31575</v>
      </c>
      <c r="G7303" t="s">
        <v>31582</v>
      </c>
      <c r="H7303" t="s">
        <v>31590</v>
      </c>
      <c r="I7303" t="s">
        <v>31607</v>
      </c>
      <c r="J7303" t="s">
        <v>36408</v>
      </c>
      <c r="K7303" t="s">
        <v>41186</v>
      </c>
      <c r="M7303" t="s">
        <v>43854</v>
      </c>
      <c r="N7303" t="s">
        <v>45095</v>
      </c>
      <c r="O7303" t="s">
        <v>45096</v>
      </c>
      <c r="P7303">
        <v>0</v>
      </c>
      <c r="Q7303">
        <v>9</v>
      </c>
      <c r="R7303" t="s">
        <v>45103</v>
      </c>
      <c r="S7303" t="s">
        <v>45270</v>
      </c>
      <c r="T7303" t="s">
        <v>46937</v>
      </c>
      <c r="U7303" t="s">
        <v>53566</v>
      </c>
      <c r="V7303" t="s">
        <v>60631</v>
      </c>
      <c r="W7303" t="s">
        <v>61728</v>
      </c>
      <c r="X7303" t="s">
        <v>45104</v>
      </c>
    </row>
    <row r="7304" spans="1:24">
      <c r="A7304">
        <f>HYPERLINK("https://www.philgeps.gov.ph/GEPSNONPILOT/Tender/SplashBidNoticeAbstractUI.aspx?menuIndex=3&amp;refID=7036274&amp;Result=3","7036274")</f>
        <v>0</v>
      </c>
      <c r="B7304" t="s">
        <v>2174</v>
      </c>
      <c r="C7304" t="s">
        <v>6703</v>
      </c>
      <c r="D7304" t="s">
        <v>18064</v>
      </c>
      <c r="E7304" t="s">
        <v>24552</v>
      </c>
      <c r="F7304" t="s">
        <v>31574</v>
      </c>
      <c r="G7304" t="s">
        <v>31582</v>
      </c>
      <c r="H7304" t="s">
        <v>31591</v>
      </c>
      <c r="I7304" t="s">
        <v>8822</v>
      </c>
      <c r="J7304" t="s">
        <v>32020</v>
      </c>
      <c r="K7304" t="s">
        <v>41238</v>
      </c>
      <c r="M7304" t="s">
        <v>43860</v>
      </c>
      <c r="N7304" t="s">
        <v>45095</v>
      </c>
      <c r="O7304" t="s">
        <v>45096</v>
      </c>
      <c r="P7304">
        <v>0</v>
      </c>
      <c r="Q7304">
        <v>0</v>
      </c>
      <c r="R7304" t="s">
        <v>45103</v>
      </c>
      <c r="S7304" t="s">
        <v>45270</v>
      </c>
      <c r="T7304" t="s">
        <v>47050</v>
      </c>
      <c r="U7304" t="s">
        <v>53576</v>
      </c>
      <c r="W7304" t="s">
        <v>43860</v>
      </c>
      <c r="X7304" t="s">
        <v>45104</v>
      </c>
    </row>
    <row r="7305" spans="1:24">
      <c r="A7305">
        <f>HYPERLINK("https://www.philgeps.gov.ph/GEPSNONPILOT/Tender/SplashBidNoticeAbstractUI.aspx?menuIndex=3&amp;refID=7036276&amp;Result=3","7036276")</f>
        <v>0</v>
      </c>
      <c r="B7305" t="s">
        <v>2090</v>
      </c>
      <c r="C7305" t="s">
        <v>10179</v>
      </c>
      <c r="D7305" t="s">
        <v>18099</v>
      </c>
      <c r="E7305" t="s">
        <v>18316</v>
      </c>
      <c r="F7305" t="s">
        <v>31574</v>
      </c>
      <c r="G7305" t="s">
        <v>31582</v>
      </c>
      <c r="H7305" t="s">
        <v>31591</v>
      </c>
      <c r="I7305" t="s">
        <v>8822</v>
      </c>
      <c r="J7305" t="s">
        <v>36409</v>
      </c>
      <c r="K7305" t="s">
        <v>41295</v>
      </c>
      <c r="M7305" t="s">
        <v>43766</v>
      </c>
      <c r="N7305" t="s">
        <v>45095</v>
      </c>
      <c r="O7305" t="s">
        <v>45096</v>
      </c>
      <c r="P7305">
        <v>0</v>
      </c>
      <c r="Q7305">
        <v>0</v>
      </c>
      <c r="R7305" t="s">
        <v>45103</v>
      </c>
      <c r="S7305" t="s">
        <v>45270</v>
      </c>
      <c r="T7305" t="s">
        <v>47302</v>
      </c>
      <c r="U7305" t="s">
        <v>53577</v>
      </c>
      <c r="W7305" t="s">
        <v>43766</v>
      </c>
      <c r="X7305" t="s">
        <v>45104</v>
      </c>
    </row>
    <row r="7306" spans="1:24">
      <c r="A7306">
        <f>HYPERLINK("https://www.philgeps.gov.ph/GEPSNONPILOT/Tender/SplashBidNoticeAbstractUI.aspx?menuIndex=3&amp;refID=7036273&amp;Result=3","7036273")</f>
        <v>0</v>
      </c>
      <c r="B7306" t="s">
        <v>886</v>
      </c>
      <c r="C7306" t="s">
        <v>10180</v>
      </c>
      <c r="E7306" t="s">
        <v>24553</v>
      </c>
      <c r="F7306" t="s">
        <v>31574</v>
      </c>
      <c r="G7306" t="s">
        <v>31581</v>
      </c>
      <c r="H7306" t="s">
        <v>31590</v>
      </c>
      <c r="I7306" t="s">
        <v>8258</v>
      </c>
      <c r="J7306" t="s">
        <v>36410</v>
      </c>
      <c r="K7306" t="s">
        <v>41184</v>
      </c>
      <c r="M7306" t="s">
        <v>42407</v>
      </c>
      <c r="N7306" t="s">
        <v>45095</v>
      </c>
      <c r="O7306" t="s">
        <v>45096</v>
      </c>
      <c r="P7306">
        <v>0</v>
      </c>
      <c r="Q7306">
        <v>6</v>
      </c>
      <c r="R7306" t="s">
        <v>45103</v>
      </c>
      <c r="S7306" t="s">
        <v>45270</v>
      </c>
      <c r="T7306" t="s">
        <v>47080</v>
      </c>
      <c r="U7306" t="s">
        <v>53363</v>
      </c>
      <c r="W7306" t="s">
        <v>42407</v>
      </c>
      <c r="X7306" t="s">
        <v>45104</v>
      </c>
    </row>
    <row r="7307" spans="1:24">
      <c r="A7307">
        <f>HYPERLINK("https://www.philgeps.gov.ph/GEPSNONPILOT/Tender/SplashBidNoticeAbstractUI.aspx?menuIndex=3&amp;refID=7036265&amp;Result=3","7036265")</f>
        <v>0</v>
      </c>
      <c r="B7307" t="s">
        <v>886</v>
      </c>
      <c r="C7307" t="s">
        <v>10181</v>
      </c>
      <c r="E7307" t="s">
        <v>24554</v>
      </c>
      <c r="F7307" t="s">
        <v>31574</v>
      </c>
      <c r="G7307" t="s">
        <v>31581</v>
      </c>
      <c r="H7307" t="s">
        <v>31590</v>
      </c>
      <c r="I7307" t="s">
        <v>31626</v>
      </c>
      <c r="J7307" t="s">
        <v>32528</v>
      </c>
      <c r="K7307" t="s">
        <v>41184</v>
      </c>
      <c r="M7307" t="s">
        <v>42407</v>
      </c>
      <c r="N7307" t="s">
        <v>45095</v>
      </c>
      <c r="O7307" t="s">
        <v>45096</v>
      </c>
      <c r="P7307">
        <v>0</v>
      </c>
      <c r="Q7307">
        <v>1</v>
      </c>
      <c r="R7307" t="s">
        <v>45103</v>
      </c>
      <c r="S7307" t="s">
        <v>45270</v>
      </c>
      <c r="T7307" t="s">
        <v>47080</v>
      </c>
      <c r="U7307" t="s">
        <v>53363</v>
      </c>
      <c r="W7307" t="s">
        <v>42407</v>
      </c>
      <c r="X7307" t="s">
        <v>45104</v>
      </c>
    </row>
    <row r="7308" spans="1:24">
      <c r="A7308">
        <f>HYPERLINK("https://www.philgeps.gov.ph/GEPSNONPILOT/Tender/SplashBidNoticeAbstractUI.aspx?menuIndex=3&amp;refID=7036267&amp;Result=3","7036267")</f>
        <v>0</v>
      </c>
      <c r="B7308" t="s">
        <v>1648</v>
      </c>
      <c r="C7308" t="s">
        <v>10182</v>
      </c>
      <c r="E7308" t="s">
        <v>24555</v>
      </c>
      <c r="F7308" t="s">
        <v>31574</v>
      </c>
      <c r="G7308" t="s">
        <v>31581</v>
      </c>
      <c r="H7308" t="s">
        <v>31590</v>
      </c>
      <c r="I7308" t="s">
        <v>6800</v>
      </c>
      <c r="J7308" t="s">
        <v>36411</v>
      </c>
      <c r="K7308" t="s">
        <v>41186</v>
      </c>
      <c r="M7308" t="s">
        <v>43259</v>
      </c>
      <c r="N7308" t="s">
        <v>45095</v>
      </c>
      <c r="O7308" t="s">
        <v>45096</v>
      </c>
      <c r="P7308">
        <v>0</v>
      </c>
      <c r="Q7308">
        <v>4</v>
      </c>
      <c r="R7308" t="s">
        <v>45103</v>
      </c>
      <c r="S7308" t="s">
        <v>45270</v>
      </c>
      <c r="T7308" t="s">
        <v>46946</v>
      </c>
      <c r="U7308" t="s">
        <v>53578</v>
      </c>
      <c r="W7308" t="s">
        <v>61714</v>
      </c>
      <c r="X7308" t="s">
        <v>45104</v>
      </c>
    </row>
    <row r="7309" spans="1:24">
      <c r="A7309">
        <f>HYPERLINK("https://www.philgeps.gov.ph/GEPSNONPILOT/Tender/SplashBidNoticeAbstractUI.aspx?menuIndex=3&amp;refID=7036278&amp;Result=3","7036278")</f>
        <v>0</v>
      </c>
      <c r="B7309" t="s">
        <v>2175</v>
      </c>
      <c r="C7309" t="s">
        <v>10183</v>
      </c>
      <c r="D7309" t="s">
        <v>18022</v>
      </c>
      <c r="E7309" t="s">
        <v>24556</v>
      </c>
      <c r="F7309" t="s">
        <v>31574</v>
      </c>
      <c r="G7309" t="s">
        <v>31582</v>
      </c>
      <c r="H7309" t="s">
        <v>31590</v>
      </c>
      <c r="I7309" t="s">
        <v>3487</v>
      </c>
      <c r="J7309" t="s">
        <v>36412</v>
      </c>
      <c r="K7309" t="s">
        <v>41213</v>
      </c>
      <c r="M7309" t="s">
        <v>43861</v>
      </c>
      <c r="N7309" t="s">
        <v>45095</v>
      </c>
      <c r="O7309" t="s">
        <v>45096</v>
      </c>
      <c r="P7309">
        <v>0</v>
      </c>
      <c r="Q7309">
        <v>0</v>
      </c>
      <c r="R7309" t="s">
        <v>45103</v>
      </c>
      <c r="S7309" t="s">
        <v>45270</v>
      </c>
      <c r="T7309" t="s">
        <v>47125</v>
      </c>
      <c r="U7309" t="s">
        <v>53579</v>
      </c>
      <c r="W7309" t="s">
        <v>43861</v>
      </c>
      <c r="X7309" t="s">
        <v>45104</v>
      </c>
    </row>
    <row r="7310" spans="1:24">
      <c r="A7310">
        <f>HYPERLINK("https://www.philgeps.gov.ph/GEPSNONPILOT/Tender/SplashBidNoticeAbstractUI.aspx?menuIndex=3&amp;refID=7036288&amp;Result=3","7036288")</f>
        <v>0</v>
      </c>
      <c r="B7310" t="s">
        <v>2176</v>
      </c>
      <c r="C7310" t="s">
        <v>10184</v>
      </c>
      <c r="D7310" t="s">
        <v>18040</v>
      </c>
      <c r="E7310" t="s">
        <v>24557</v>
      </c>
      <c r="F7310" t="s">
        <v>31574</v>
      </c>
      <c r="G7310" t="s">
        <v>31581</v>
      </c>
      <c r="H7310" t="s">
        <v>31590</v>
      </c>
      <c r="I7310" t="s">
        <v>31607</v>
      </c>
      <c r="J7310" t="s">
        <v>36413</v>
      </c>
      <c r="K7310" t="s">
        <v>41193</v>
      </c>
      <c r="M7310" t="s">
        <v>43862</v>
      </c>
      <c r="N7310" t="s">
        <v>45095</v>
      </c>
      <c r="O7310" t="s">
        <v>45096</v>
      </c>
      <c r="P7310">
        <v>0</v>
      </c>
      <c r="Q7310">
        <v>6</v>
      </c>
      <c r="R7310" t="s">
        <v>45103</v>
      </c>
      <c r="S7310" t="s">
        <v>45270</v>
      </c>
      <c r="T7310" t="s">
        <v>47157</v>
      </c>
      <c r="U7310" t="s">
        <v>53580</v>
      </c>
      <c r="W7310" t="s">
        <v>43862</v>
      </c>
      <c r="X7310" t="s">
        <v>45104</v>
      </c>
    </row>
    <row r="7311" spans="1:24">
      <c r="A7311">
        <f>HYPERLINK("https://www.philgeps.gov.ph/GEPSNONPILOT/Tender/SplashBidNoticeAbstractUI.aspx?menuIndex=3&amp;refID=7036253&amp;Result=3","7036253")</f>
        <v>0</v>
      </c>
      <c r="B7311" t="s">
        <v>2177</v>
      </c>
      <c r="C7311" t="s">
        <v>10185</v>
      </c>
      <c r="D7311" t="s">
        <v>18022</v>
      </c>
      <c r="E7311" t="s">
        <v>24558</v>
      </c>
      <c r="F7311" t="s">
        <v>31574</v>
      </c>
      <c r="G7311" t="s">
        <v>31582</v>
      </c>
      <c r="H7311" t="s">
        <v>31590</v>
      </c>
      <c r="I7311" t="s">
        <v>31640</v>
      </c>
      <c r="J7311" t="s">
        <v>36414</v>
      </c>
      <c r="K7311" t="s">
        <v>41213</v>
      </c>
      <c r="M7311" t="s">
        <v>43863</v>
      </c>
      <c r="N7311" t="s">
        <v>45095</v>
      </c>
      <c r="O7311" t="s">
        <v>45096</v>
      </c>
      <c r="P7311">
        <v>0</v>
      </c>
      <c r="Q7311">
        <v>1</v>
      </c>
      <c r="R7311" t="s">
        <v>45103</v>
      </c>
      <c r="S7311" t="s">
        <v>45270</v>
      </c>
      <c r="T7311" t="s">
        <v>47125</v>
      </c>
      <c r="U7311" t="s">
        <v>53581</v>
      </c>
      <c r="W7311" t="s">
        <v>43863</v>
      </c>
      <c r="X7311" t="s">
        <v>45104</v>
      </c>
    </row>
    <row r="7312" spans="1:24">
      <c r="A7312">
        <f>HYPERLINK("https://www.philgeps.gov.ph/GEPSNONPILOT/Tender/SplashBidNoticeAbstractUI.aspx?menuIndex=3&amp;refID=7036271&amp;Result=3","7036271")</f>
        <v>0</v>
      </c>
      <c r="B7312" t="s">
        <v>2093</v>
      </c>
      <c r="C7312" t="s">
        <v>10186</v>
      </c>
      <c r="D7312" t="s">
        <v>18053</v>
      </c>
      <c r="E7312" t="s">
        <v>24559</v>
      </c>
      <c r="F7312" t="s">
        <v>31574</v>
      </c>
      <c r="G7312" t="s">
        <v>31582</v>
      </c>
      <c r="H7312" t="s">
        <v>31590</v>
      </c>
      <c r="I7312" t="s">
        <v>6800</v>
      </c>
      <c r="J7312" t="s">
        <v>36415</v>
      </c>
      <c r="K7312" t="s">
        <v>41186</v>
      </c>
      <c r="M7312" t="s">
        <v>43770</v>
      </c>
      <c r="N7312" t="s">
        <v>45095</v>
      </c>
      <c r="O7312" t="s">
        <v>45096</v>
      </c>
      <c r="P7312">
        <v>0</v>
      </c>
      <c r="Q7312">
        <v>1</v>
      </c>
      <c r="R7312" t="s">
        <v>45103</v>
      </c>
      <c r="S7312" t="s">
        <v>45270</v>
      </c>
      <c r="T7312" t="s">
        <v>47174</v>
      </c>
      <c r="U7312" t="s">
        <v>53582</v>
      </c>
      <c r="V7312" t="s">
        <v>60605</v>
      </c>
      <c r="W7312" t="s">
        <v>43770</v>
      </c>
      <c r="X7312" t="s">
        <v>45104</v>
      </c>
    </row>
    <row r="7313" spans="1:24">
      <c r="A7313">
        <f>HYPERLINK("https://www.philgeps.gov.ph/GEPSNONPILOT/Tender/SplashBidNoticeAbstractUI.aspx?menuIndex=3&amp;refID=7036269&amp;Result=3","7036269")</f>
        <v>0</v>
      </c>
      <c r="B7313" t="s">
        <v>2178</v>
      </c>
      <c r="C7313" t="s">
        <v>10185</v>
      </c>
      <c r="D7313" t="s">
        <v>18022</v>
      </c>
      <c r="E7313" t="s">
        <v>24560</v>
      </c>
      <c r="F7313" t="s">
        <v>31574</v>
      </c>
      <c r="G7313" t="s">
        <v>31582</v>
      </c>
      <c r="H7313" t="s">
        <v>31590</v>
      </c>
      <c r="I7313" t="s">
        <v>31640</v>
      </c>
      <c r="J7313" t="s">
        <v>31744</v>
      </c>
      <c r="K7313" t="s">
        <v>41213</v>
      </c>
      <c r="M7313" t="s">
        <v>43864</v>
      </c>
      <c r="N7313" t="s">
        <v>45095</v>
      </c>
      <c r="O7313" t="s">
        <v>45096</v>
      </c>
      <c r="P7313">
        <v>0</v>
      </c>
      <c r="Q7313">
        <v>1</v>
      </c>
      <c r="R7313" t="s">
        <v>45103</v>
      </c>
      <c r="S7313" t="s">
        <v>45270</v>
      </c>
      <c r="T7313" t="s">
        <v>47125</v>
      </c>
      <c r="U7313" t="s">
        <v>53583</v>
      </c>
      <c r="W7313" t="s">
        <v>43864</v>
      </c>
      <c r="X7313" t="s">
        <v>45104</v>
      </c>
    </row>
    <row r="7314" spans="1:24">
      <c r="A7314">
        <f>HYPERLINK("https://www.philgeps.gov.ph/GEPSNONPILOT/Tender/SplashBidNoticeAbstractUI.aspx?menuIndex=3&amp;refID=7036284&amp;Result=3","7036284")</f>
        <v>0</v>
      </c>
      <c r="B7314" t="s">
        <v>358</v>
      </c>
      <c r="C7314" t="s">
        <v>10187</v>
      </c>
      <c r="D7314" t="s">
        <v>18075</v>
      </c>
      <c r="E7314" t="s">
        <v>18367</v>
      </c>
      <c r="F7314" t="s">
        <v>31574</v>
      </c>
      <c r="G7314" t="s">
        <v>31582</v>
      </c>
      <c r="H7314" t="s">
        <v>31590</v>
      </c>
      <c r="I7314" t="s">
        <v>31610</v>
      </c>
      <c r="J7314" t="s">
        <v>36416</v>
      </c>
      <c r="K7314" t="s">
        <v>41193</v>
      </c>
      <c r="M7314" t="s">
        <v>41848</v>
      </c>
      <c r="N7314" t="s">
        <v>45095</v>
      </c>
      <c r="O7314" t="s">
        <v>45096</v>
      </c>
      <c r="P7314">
        <v>0</v>
      </c>
      <c r="Q7314">
        <v>1</v>
      </c>
      <c r="R7314" t="s">
        <v>45103</v>
      </c>
      <c r="S7314" t="s">
        <v>45270</v>
      </c>
      <c r="T7314" t="s">
        <v>46911</v>
      </c>
      <c r="U7314" t="s">
        <v>53584</v>
      </c>
      <c r="W7314" t="s">
        <v>41848</v>
      </c>
      <c r="X7314" t="s">
        <v>45104</v>
      </c>
    </row>
    <row r="7315" spans="1:24">
      <c r="A7315">
        <f>HYPERLINK("https://www.philgeps.gov.ph/GEPSNONPILOT/Tender/SplashBidNoticeAbstractUI.aspx?menuIndex=3&amp;refID=7036281&amp;Result=3","7036281")</f>
        <v>0</v>
      </c>
      <c r="B7315" t="s">
        <v>523</v>
      </c>
      <c r="C7315" t="s">
        <v>8500</v>
      </c>
      <c r="D7315" t="s">
        <v>18055</v>
      </c>
      <c r="E7315" t="s">
        <v>24561</v>
      </c>
      <c r="F7315" t="s">
        <v>31574</v>
      </c>
      <c r="G7315" t="s">
        <v>31581</v>
      </c>
      <c r="H7315" t="s">
        <v>31590</v>
      </c>
      <c r="I7315" t="s">
        <v>8258</v>
      </c>
      <c r="J7315" t="s">
        <v>36417</v>
      </c>
      <c r="K7315" t="s">
        <v>41193</v>
      </c>
      <c r="M7315" t="s">
        <v>42019</v>
      </c>
      <c r="N7315" t="s">
        <v>45095</v>
      </c>
      <c r="O7315" t="s">
        <v>45096</v>
      </c>
      <c r="P7315">
        <v>0</v>
      </c>
      <c r="Q7315">
        <v>3</v>
      </c>
      <c r="R7315" t="s">
        <v>45103</v>
      </c>
      <c r="S7315" t="s">
        <v>45270</v>
      </c>
      <c r="T7315" t="s">
        <v>47050</v>
      </c>
      <c r="U7315" t="s">
        <v>53585</v>
      </c>
      <c r="V7315" t="s">
        <v>60437</v>
      </c>
      <c r="W7315" t="s">
        <v>42019</v>
      </c>
      <c r="X7315" t="s">
        <v>45104</v>
      </c>
    </row>
    <row r="7316" spans="1:24">
      <c r="A7316">
        <f>HYPERLINK("https://www.philgeps.gov.ph/GEPSNONPILOT/Tender/SplashBidNoticeAbstractUI.aspx?menuIndex=3&amp;refID=7036292&amp;Result=3","7036292")</f>
        <v>0</v>
      </c>
      <c r="B7316" t="s">
        <v>2179</v>
      </c>
      <c r="C7316" t="s">
        <v>10188</v>
      </c>
      <c r="D7316" t="s">
        <v>18022</v>
      </c>
      <c r="E7316" t="s">
        <v>24562</v>
      </c>
      <c r="F7316" t="s">
        <v>31574</v>
      </c>
      <c r="G7316" t="s">
        <v>31582</v>
      </c>
      <c r="H7316" t="s">
        <v>31590</v>
      </c>
      <c r="I7316" t="s">
        <v>3487</v>
      </c>
      <c r="J7316" t="s">
        <v>32114</v>
      </c>
      <c r="K7316" t="s">
        <v>41213</v>
      </c>
      <c r="M7316" t="s">
        <v>43865</v>
      </c>
      <c r="N7316" t="s">
        <v>45095</v>
      </c>
      <c r="O7316" t="s">
        <v>45096</v>
      </c>
      <c r="P7316">
        <v>0</v>
      </c>
      <c r="Q7316">
        <v>0</v>
      </c>
      <c r="R7316" t="s">
        <v>45103</v>
      </c>
      <c r="S7316" t="s">
        <v>45270</v>
      </c>
      <c r="T7316" t="s">
        <v>47125</v>
      </c>
      <c r="U7316" t="s">
        <v>53586</v>
      </c>
      <c r="W7316" t="s">
        <v>43865</v>
      </c>
      <c r="X7316" t="s">
        <v>45104</v>
      </c>
    </row>
    <row r="7317" spans="1:24">
      <c r="A7317">
        <f>HYPERLINK("https://www.philgeps.gov.ph/GEPSNONPILOT/Tender/SplashBidNoticeAbstractUI.aspx?menuIndex=3&amp;refID=7036289&amp;Result=3","7036289")</f>
        <v>0</v>
      </c>
      <c r="B7317" t="s">
        <v>454</v>
      </c>
      <c r="C7317" t="s">
        <v>10189</v>
      </c>
      <c r="D7317" t="s">
        <v>18070</v>
      </c>
      <c r="E7317" t="s">
        <v>24563</v>
      </c>
      <c r="F7317" t="s">
        <v>31574</v>
      </c>
      <c r="G7317" t="s">
        <v>31585</v>
      </c>
      <c r="H7317" t="s">
        <v>31590</v>
      </c>
      <c r="I7317" t="s">
        <v>31700</v>
      </c>
      <c r="J7317" t="s">
        <v>36418</v>
      </c>
      <c r="K7317" t="s">
        <v>41282</v>
      </c>
      <c r="M7317" t="s">
        <v>43720</v>
      </c>
      <c r="N7317" t="s">
        <v>45095</v>
      </c>
      <c r="O7317" t="s">
        <v>45096</v>
      </c>
      <c r="P7317">
        <v>0</v>
      </c>
      <c r="Q7317">
        <v>1</v>
      </c>
      <c r="R7317" t="s">
        <v>45103</v>
      </c>
      <c r="S7317" t="s">
        <v>45270</v>
      </c>
      <c r="T7317" t="s">
        <v>47178</v>
      </c>
      <c r="U7317" t="s">
        <v>53587</v>
      </c>
      <c r="V7317" t="s">
        <v>60633</v>
      </c>
      <c r="W7317" t="s">
        <v>43720</v>
      </c>
      <c r="X7317" t="s">
        <v>45104</v>
      </c>
    </row>
    <row r="7318" spans="1:24">
      <c r="A7318">
        <f>HYPERLINK("https://www.philgeps.gov.ph/GEPSNONPILOT/Tender/SplashBidNoticeAbstractUI.aspx?menuIndex=3&amp;refID=7036294&amp;Result=3","7036294")</f>
        <v>0</v>
      </c>
      <c r="B7318" t="s">
        <v>2180</v>
      </c>
      <c r="C7318" t="s">
        <v>10190</v>
      </c>
      <c r="D7318" t="s">
        <v>18029</v>
      </c>
      <c r="E7318" t="s">
        <v>24564</v>
      </c>
      <c r="F7318" t="s">
        <v>31574</v>
      </c>
      <c r="G7318" t="s">
        <v>31582</v>
      </c>
      <c r="H7318" t="s">
        <v>31592</v>
      </c>
      <c r="I7318" t="s">
        <v>31615</v>
      </c>
      <c r="J7318" t="s">
        <v>32652</v>
      </c>
      <c r="K7318" t="s">
        <v>41186</v>
      </c>
      <c r="M7318" t="s">
        <v>43866</v>
      </c>
      <c r="N7318" t="s">
        <v>45095</v>
      </c>
      <c r="O7318" t="s">
        <v>45096</v>
      </c>
      <c r="P7318">
        <v>0</v>
      </c>
      <c r="Q7318">
        <v>0</v>
      </c>
      <c r="R7318" t="s">
        <v>45103</v>
      </c>
      <c r="S7318" t="s">
        <v>45270</v>
      </c>
      <c r="T7318" t="s">
        <v>47000</v>
      </c>
      <c r="U7318" t="s">
        <v>53588</v>
      </c>
      <c r="W7318" t="s">
        <v>43866</v>
      </c>
      <c r="X7318" t="s">
        <v>45104</v>
      </c>
    </row>
    <row r="7319" spans="1:24">
      <c r="A7319">
        <f>HYPERLINK("https://www.philgeps.gov.ph/GEPSNONPILOT/Tender/SplashBidNoticeAbstractUI.aspx?menuIndex=3&amp;refID=7036280&amp;Result=3","7036280")</f>
        <v>0</v>
      </c>
      <c r="B7319" t="s">
        <v>886</v>
      </c>
      <c r="C7319" t="s">
        <v>10191</v>
      </c>
      <c r="E7319" t="s">
        <v>24565</v>
      </c>
      <c r="F7319" t="s">
        <v>31574</v>
      </c>
      <c r="G7319" t="s">
        <v>31581</v>
      </c>
      <c r="H7319" t="s">
        <v>31590</v>
      </c>
      <c r="I7319" t="s">
        <v>31594</v>
      </c>
      <c r="J7319" t="s">
        <v>32090</v>
      </c>
      <c r="K7319" t="s">
        <v>41184</v>
      </c>
      <c r="M7319" t="s">
        <v>42407</v>
      </c>
      <c r="N7319" t="s">
        <v>45095</v>
      </c>
      <c r="O7319" t="s">
        <v>45096</v>
      </c>
      <c r="P7319">
        <v>0</v>
      </c>
      <c r="Q7319">
        <v>5</v>
      </c>
      <c r="R7319" t="s">
        <v>45103</v>
      </c>
      <c r="S7319" t="s">
        <v>45270</v>
      </c>
      <c r="T7319" t="s">
        <v>47080</v>
      </c>
      <c r="U7319" t="s">
        <v>53363</v>
      </c>
      <c r="W7319" t="s">
        <v>42407</v>
      </c>
      <c r="X7319" t="s">
        <v>45104</v>
      </c>
    </row>
    <row r="7320" spans="1:24">
      <c r="A7320">
        <f>HYPERLINK("https://www.philgeps.gov.ph/GEPSNONPILOT/Tender/SplashBidNoticeAbstractUI.aspx?menuIndex=3&amp;refID=7036300&amp;Result=3","7036300")</f>
        <v>0</v>
      </c>
      <c r="B7320" t="s">
        <v>2181</v>
      </c>
      <c r="C7320" t="s">
        <v>10192</v>
      </c>
      <c r="D7320" t="s">
        <v>18071</v>
      </c>
      <c r="E7320" t="s">
        <v>24566</v>
      </c>
      <c r="F7320" t="s">
        <v>31574</v>
      </c>
      <c r="G7320" t="s">
        <v>31583</v>
      </c>
      <c r="H7320" t="s">
        <v>31590</v>
      </c>
      <c r="I7320" t="s">
        <v>31612</v>
      </c>
      <c r="J7320" t="s">
        <v>33180</v>
      </c>
      <c r="K7320" t="s">
        <v>41196</v>
      </c>
      <c r="M7320" t="s">
        <v>43867</v>
      </c>
      <c r="N7320" t="s">
        <v>45095</v>
      </c>
      <c r="O7320" t="s">
        <v>45096</v>
      </c>
      <c r="P7320">
        <v>0</v>
      </c>
      <c r="Q7320">
        <v>0</v>
      </c>
      <c r="R7320" t="s">
        <v>45103</v>
      </c>
      <c r="S7320" t="s">
        <v>45270</v>
      </c>
      <c r="T7320" t="s">
        <v>47077</v>
      </c>
      <c r="U7320" t="s">
        <v>53589</v>
      </c>
      <c r="W7320" t="s">
        <v>43867</v>
      </c>
      <c r="X7320" t="s">
        <v>45104</v>
      </c>
    </row>
    <row r="7321" spans="1:24">
      <c r="A7321">
        <f>HYPERLINK("https://www.philgeps.gov.ph/GEPSNONPILOT/Tender/SplashBidNoticeAbstractUI.aspx?menuIndex=3&amp;refID=7036302&amp;Result=3","7036302")</f>
        <v>0</v>
      </c>
      <c r="B7321" t="s">
        <v>358</v>
      </c>
      <c r="C7321" t="s">
        <v>10193</v>
      </c>
      <c r="D7321" t="s">
        <v>18075</v>
      </c>
      <c r="E7321" t="s">
        <v>24567</v>
      </c>
      <c r="F7321" t="s">
        <v>31574</v>
      </c>
      <c r="G7321" t="s">
        <v>31582</v>
      </c>
      <c r="H7321" t="s">
        <v>31590</v>
      </c>
      <c r="I7321" t="s">
        <v>7185</v>
      </c>
      <c r="J7321" t="s">
        <v>34414</v>
      </c>
      <c r="K7321" t="s">
        <v>41193</v>
      </c>
      <c r="M7321" t="s">
        <v>41848</v>
      </c>
      <c r="N7321" t="s">
        <v>45095</v>
      </c>
      <c r="O7321" t="s">
        <v>45096</v>
      </c>
      <c r="P7321">
        <v>0</v>
      </c>
      <c r="Q7321">
        <v>0</v>
      </c>
      <c r="R7321" t="s">
        <v>45103</v>
      </c>
      <c r="S7321" t="s">
        <v>45270</v>
      </c>
      <c r="T7321" t="s">
        <v>46911</v>
      </c>
      <c r="U7321" t="s">
        <v>53590</v>
      </c>
      <c r="W7321" t="s">
        <v>41848</v>
      </c>
      <c r="X7321" t="s">
        <v>45104</v>
      </c>
    </row>
    <row r="7322" spans="1:24">
      <c r="A7322">
        <f>HYPERLINK("https://www.philgeps.gov.ph/GEPSNONPILOT/Tender/SplashBidNoticeAbstractUI.aspx?menuIndex=3&amp;refID=7036291&amp;Result=3","7036291")</f>
        <v>0</v>
      </c>
      <c r="B7322" t="s">
        <v>577</v>
      </c>
      <c r="C7322" t="s">
        <v>10194</v>
      </c>
      <c r="D7322" t="s">
        <v>18027</v>
      </c>
      <c r="E7322" t="s">
        <v>24568</v>
      </c>
      <c r="F7322" t="s">
        <v>31574</v>
      </c>
      <c r="G7322" t="s">
        <v>31581</v>
      </c>
      <c r="H7322" t="s">
        <v>31590</v>
      </c>
      <c r="I7322" t="s">
        <v>31678</v>
      </c>
      <c r="J7322" t="s">
        <v>32001</v>
      </c>
      <c r="K7322" t="s">
        <v>41184</v>
      </c>
      <c r="M7322" t="s">
        <v>42078</v>
      </c>
      <c r="N7322" t="s">
        <v>45095</v>
      </c>
      <c r="O7322" t="s">
        <v>45096</v>
      </c>
      <c r="P7322">
        <v>0</v>
      </c>
      <c r="Q7322">
        <v>4</v>
      </c>
      <c r="R7322" t="s">
        <v>45103</v>
      </c>
      <c r="S7322" t="s">
        <v>45270</v>
      </c>
      <c r="T7322" t="s">
        <v>47176</v>
      </c>
      <c r="U7322" t="s">
        <v>53591</v>
      </c>
      <c r="W7322" t="s">
        <v>42078</v>
      </c>
      <c r="X7322" t="s">
        <v>45104</v>
      </c>
    </row>
    <row r="7323" spans="1:24">
      <c r="A7323">
        <f>HYPERLINK("https://www.philgeps.gov.ph/GEPSNONPILOT/Tender/SplashBidNoticeAbstractUI.aspx?menuIndex=3&amp;refID=7036312&amp;Result=3","7036312")</f>
        <v>0</v>
      </c>
      <c r="B7323" t="s">
        <v>2182</v>
      </c>
      <c r="C7323" t="s">
        <v>10195</v>
      </c>
      <c r="D7323" t="s">
        <v>18052</v>
      </c>
      <c r="E7323" t="s">
        <v>24569</v>
      </c>
      <c r="F7323" t="s">
        <v>31574</v>
      </c>
      <c r="G7323" t="s">
        <v>31581</v>
      </c>
      <c r="H7323" t="s">
        <v>31590</v>
      </c>
      <c r="I7323" t="s">
        <v>6800</v>
      </c>
      <c r="J7323" t="s">
        <v>36419</v>
      </c>
      <c r="K7323" t="s">
        <v>41184</v>
      </c>
      <c r="M7323" t="s">
        <v>43868</v>
      </c>
      <c r="N7323" t="s">
        <v>45095</v>
      </c>
      <c r="O7323" t="s">
        <v>45096</v>
      </c>
      <c r="P7323">
        <v>0</v>
      </c>
      <c r="Q7323">
        <v>1</v>
      </c>
      <c r="R7323" t="s">
        <v>45103</v>
      </c>
      <c r="S7323" t="s">
        <v>45270</v>
      </c>
      <c r="T7323" t="s">
        <v>47058</v>
      </c>
      <c r="U7323" t="s">
        <v>53592</v>
      </c>
      <c r="W7323" t="s">
        <v>43868</v>
      </c>
      <c r="X7323" t="s">
        <v>45104</v>
      </c>
    </row>
    <row r="7324" spans="1:24">
      <c r="A7324">
        <f>HYPERLINK("https://www.philgeps.gov.ph/GEPSNONPILOT/Tender/SplashBidNoticeAbstractUI.aspx?menuIndex=3&amp;refID=7036335&amp;Result=3","7036335")</f>
        <v>0</v>
      </c>
      <c r="B7324" t="s">
        <v>2102</v>
      </c>
      <c r="C7324" t="s">
        <v>10196</v>
      </c>
      <c r="D7324" t="s">
        <v>18029</v>
      </c>
      <c r="E7324" t="s">
        <v>24570</v>
      </c>
      <c r="F7324" t="s">
        <v>31574</v>
      </c>
      <c r="G7324" t="s">
        <v>31584</v>
      </c>
      <c r="H7324" t="s">
        <v>31590</v>
      </c>
      <c r="I7324" t="s">
        <v>5717</v>
      </c>
      <c r="J7324" t="s">
        <v>31727</v>
      </c>
      <c r="K7324" t="s">
        <v>41190</v>
      </c>
      <c r="M7324" t="s">
        <v>43779</v>
      </c>
      <c r="N7324" t="s">
        <v>45095</v>
      </c>
      <c r="O7324" t="s">
        <v>45096</v>
      </c>
      <c r="P7324">
        <v>0</v>
      </c>
      <c r="Q7324">
        <v>0</v>
      </c>
      <c r="R7324" t="s">
        <v>45103</v>
      </c>
      <c r="S7324" t="s">
        <v>45270</v>
      </c>
      <c r="T7324" t="s">
        <v>47308</v>
      </c>
      <c r="U7324" t="s">
        <v>53593</v>
      </c>
      <c r="W7324" t="s">
        <v>61726</v>
      </c>
      <c r="X7324" t="s">
        <v>45104</v>
      </c>
    </row>
    <row r="7325" spans="1:24">
      <c r="A7325">
        <f>HYPERLINK("https://www.philgeps.gov.ph/GEPSNONPILOT/Tender/SplashBidNoticeAbstractUI.aspx?menuIndex=3&amp;refID=7036311&amp;Result=3","7036311")</f>
        <v>0</v>
      </c>
      <c r="B7325" t="s">
        <v>1037</v>
      </c>
      <c r="C7325" t="s">
        <v>10197</v>
      </c>
      <c r="D7325" t="s">
        <v>18022</v>
      </c>
      <c r="E7325" t="s">
        <v>24571</v>
      </c>
      <c r="F7325" t="s">
        <v>31575</v>
      </c>
      <c r="G7325" t="s">
        <v>31582</v>
      </c>
      <c r="H7325" t="s">
        <v>31590</v>
      </c>
      <c r="I7325" t="s">
        <v>31629</v>
      </c>
      <c r="J7325" t="s">
        <v>32019</v>
      </c>
      <c r="K7325" t="s">
        <v>41186</v>
      </c>
      <c r="M7325" t="s">
        <v>42580</v>
      </c>
      <c r="N7325" t="s">
        <v>45095</v>
      </c>
      <c r="O7325" t="s">
        <v>45096</v>
      </c>
      <c r="P7325">
        <v>0</v>
      </c>
      <c r="Q7325">
        <v>0</v>
      </c>
      <c r="R7325" t="s">
        <v>45103</v>
      </c>
      <c r="S7325" t="s">
        <v>45270</v>
      </c>
      <c r="T7325" t="s">
        <v>47118</v>
      </c>
      <c r="U7325" t="s">
        <v>53594</v>
      </c>
      <c r="V7325" t="s">
        <v>60124</v>
      </c>
      <c r="W7325" t="s">
        <v>42580</v>
      </c>
      <c r="X7325" t="s">
        <v>45104</v>
      </c>
    </row>
    <row r="7326" spans="1:24">
      <c r="A7326">
        <f>HYPERLINK("https://www.philgeps.gov.ph/GEPSNONPILOT/Tender/SplashBidNoticeAbstractUI.aspx?menuIndex=3&amp;refID=7036325&amp;Result=3","7036325")</f>
        <v>0</v>
      </c>
      <c r="B7326" t="s">
        <v>358</v>
      </c>
      <c r="C7326" t="s">
        <v>10198</v>
      </c>
      <c r="D7326" t="s">
        <v>18075</v>
      </c>
      <c r="E7326" t="s">
        <v>24572</v>
      </c>
      <c r="F7326" t="s">
        <v>31574</v>
      </c>
      <c r="G7326" t="s">
        <v>31582</v>
      </c>
      <c r="H7326" t="s">
        <v>31590</v>
      </c>
      <c r="I7326" t="s">
        <v>3487</v>
      </c>
      <c r="J7326" t="s">
        <v>36420</v>
      </c>
      <c r="K7326" t="s">
        <v>41193</v>
      </c>
      <c r="M7326" t="s">
        <v>41848</v>
      </c>
      <c r="N7326" t="s">
        <v>45095</v>
      </c>
      <c r="O7326" t="s">
        <v>45096</v>
      </c>
      <c r="P7326">
        <v>0</v>
      </c>
      <c r="Q7326">
        <v>0</v>
      </c>
      <c r="R7326" t="s">
        <v>45103</v>
      </c>
      <c r="S7326" t="s">
        <v>45270</v>
      </c>
      <c r="T7326" t="s">
        <v>46911</v>
      </c>
      <c r="U7326" t="s">
        <v>53595</v>
      </c>
      <c r="W7326" t="s">
        <v>41848</v>
      </c>
      <c r="X7326" t="s">
        <v>45104</v>
      </c>
    </row>
    <row r="7327" spans="1:24">
      <c r="A7327">
        <f>HYPERLINK("https://www.philgeps.gov.ph/GEPSNONPILOT/Tender/SplashBidNoticeAbstractUI.aspx?menuIndex=3&amp;refID=7036333&amp;Result=3","7036333")</f>
        <v>0</v>
      </c>
      <c r="B7327" t="s">
        <v>1796</v>
      </c>
      <c r="C7327" t="s">
        <v>10199</v>
      </c>
      <c r="D7327" t="s">
        <v>18027</v>
      </c>
      <c r="E7327" t="s">
        <v>24573</v>
      </c>
      <c r="F7327" t="s">
        <v>31574</v>
      </c>
      <c r="G7327" t="s">
        <v>31582</v>
      </c>
      <c r="H7327" t="s">
        <v>31590</v>
      </c>
      <c r="I7327" t="s">
        <v>31615</v>
      </c>
      <c r="J7327" t="s">
        <v>35794</v>
      </c>
      <c r="K7327" t="s">
        <v>41196</v>
      </c>
      <c r="M7327" t="s">
        <v>43427</v>
      </c>
      <c r="N7327" t="s">
        <v>45095</v>
      </c>
      <c r="O7327" t="s">
        <v>45096</v>
      </c>
      <c r="P7327">
        <v>0</v>
      </c>
      <c r="Q7327">
        <v>3</v>
      </c>
      <c r="R7327" t="s">
        <v>45103</v>
      </c>
      <c r="S7327" t="s">
        <v>45270</v>
      </c>
      <c r="T7327" t="s">
        <v>47011</v>
      </c>
      <c r="U7327" t="s">
        <v>53596</v>
      </c>
      <c r="W7327" t="s">
        <v>43427</v>
      </c>
      <c r="X7327" t="s">
        <v>45104</v>
      </c>
    </row>
    <row r="7328" spans="1:24">
      <c r="A7328">
        <f>HYPERLINK("https://www.philgeps.gov.ph/GEPSNONPILOT/Tender/SplashBidNoticeAbstractUI.aspx?menuIndex=3&amp;refID=7036323&amp;Result=3","7036323")</f>
        <v>0</v>
      </c>
      <c r="B7328" t="s">
        <v>2183</v>
      </c>
      <c r="C7328" t="s">
        <v>4999</v>
      </c>
      <c r="D7328" t="s">
        <v>18027</v>
      </c>
      <c r="E7328" t="s">
        <v>19831</v>
      </c>
      <c r="F7328" t="s">
        <v>31574</v>
      </c>
      <c r="G7328" t="s">
        <v>31582</v>
      </c>
      <c r="H7328" t="s">
        <v>31590</v>
      </c>
      <c r="I7328" t="s">
        <v>3487</v>
      </c>
      <c r="J7328" t="s">
        <v>32019</v>
      </c>
      <c r="K7328" t="s">
        <v>41184</v>
      </c>
      <c r="M7328" t="s">
        <v>43869</v>
      </c>
      <c r="N7328" t="s">
        <v>45095</v>
      </c>
      <c r="O7328" t="s">
        <v>45096</v>
      </c>
      <c r="P7328">
        <v>0</v>
      </c>
      <c r="Q7328">
        <v>0</v>
      </c>
      <c r="R7328" t="s">
        <v>45103</v>
      </c>
      <c r="S7328" t="s">
        <v>45270</v>
      </c>
      <c r="T7328" t="s">
        <v>47064</v>
      </c>
      <c r="U7328" t="s">
        <v>53597</v>
      </c>
      <c r="W7328" t="s">
        <v>43869</v>
      </c>
      <c r="X7328" t="s">
        <v>45104</v>
      </c>
    </row>
    <row r="7329" spans="1:24">
      <c r="A7329">
        <f>HYPERLINK("https://www.philgeps.gov.ph/GEPSNONPILOT/Tender/SplashBidNoticeAbstractUI.aspx?menuIndex=3&amp;refID=7036318&amp;Result=3","7036318")</f>
        <v>0</v>
      </c>
      <c r="B7329" t="s">
        <v>2141</v>
      </c>
      <c r="C7329" t="s">
        <v>10200</v>
      </c>
      <c r="D7329" t="s">
        <v>18034</v>
      </c>
      <c r="E7329" t="s">
        <v>20000</v>
      </c>
      <c r="F7329" t="s">
        <v>31574</v>
      </c>
      <c r="G7329" t="s">
        <v>31581</v>
      </c>
      <c r="H7329" t="s">
        <v>31590</v>
      </c>
      <c r="I7329" t="s">
        <v>31605</v>
      </c>
      <c r="J7329" t="s">
        <v>36421</v>
      </c>
      <c r="K7329" t="s">
        <v>41191</v>
      </c>
      <c r="M7329" t="s">
        <v>43823</v>
      </c>
      <c r="N7329" t="s">
        <v>45095</v>
      </c>
      <c r="O7329" t="s">
        <v>45096</v>
      </c>
      <c r="P7329">
        <v>0</v>
      </c>
      <c r="Q7329">
        <v>0</v>
      </c>
      <c r="R7329" t="s">
        <v>45103</v>
      </c>
      <c r="S7329" t="s">
        <v>45270</v>
      </c>
      <c r="T7329" t="s">
        <v>46941</v>
      </c>
      <c r="U7329" t="s">
        <v>53598</v>
      </c>
      <c r="V7329" t="s">
        <v>60634</v>
      </c>
      <c r="W7329" t="s">
        <v>43823</v>
      </c>
      <c r="X7329" t="s">
        <v>45104</v>
      </c>
    </row>
    <row r="7330" spans="1:24">
      <c r="A7330">
        <f>HYPERLINK("https://www.philgeps.gov.ph/GEPSNONPILOT/Tender/SplashBidNoticeAbstractUI.aspx?menuIndex=3&amp;refID=7036327&amp;Result=3","7036327")</f>
        <v>0</v>
      </c>
      <c r="B7330" t="s">
        <v>886</v>
      </c>
      <c r="C7330" t="s">
        <v>10201</v>
      </c>
      <c r="E7330" t="s">
        <v>24574</v>
      </c>
      <c r="F7330" t="s">
        <v>31574</v>
      </c>
      <c r="G7330" t="s">
        <v>31581</v>
      </c>
      <c r="H7330" t="s">
        <v>31590</v>
      </c>
      <c r="I7330" t="s">
        <v>31626</v>
      </c>
      <c r="J7330" t="s">
        <v>33084</v>
      </c>
      <c r="K7330" t="s">
        <v>41184</v>
      </c>
      <c r="M7330" t="s">
        <v>42407</v>
      </c>
      <c r="N7330" t="s">
        <v>45095</v>
      </c>
      <c r="O7330" t="s">
        <v>45096</v>
      </c>
      <c r="P7330">
        <v>0</v>
      </c>
      <c r="Q7330">
        <v>2</v>
      </c>
      <c r="R7330" t="s">
        <v>45103</v>
      </c>
      <c r="S7330" t="s">
        <v>45270</v>
      </c>
      <c r="T7330" t="s">
        <v>47080</v>
      </c>
      <c r="U7330" t="s">
        <v>53363</v>
      </c>
      <c r="W7330" t="s">
        <v>42407</v>
      </c>
      <c r="X7330" t="s">
        <v>45104</v>
      </c>
    </row>
    <row r="7331" spans="1:24">
      <c r="A7331">
        <f>HYPERLINK("https://www.philgeps.gov.ph/GEPSNONPILOT/Tender/SplashBidNoticeAbstractUI.aspx?menuIndex=3&amp;refID=7036324&amp;Result=3","7036324")</f>
        <v>0</v>
      </c>
      <c r="B7331" t="s">
        <v>2138</v>
      </c>
      <c r="C7331" t="s">
        <v>10202</v>
      </c>
      <c r="D7331" t="s">
        <v>18023</v>
      </c>
      <c r="E7331" t="s">
        <v>24575</v>
      </c>
      <c r="F7331" t="s">
        <v>31574</v>
      </c>
      <c r="G7331" t="s">
        <v>31582</v>
      </c>
      <c r="H7331" t="s">
        <v>31591</v>
      </c>
      <c r="I7331" t="s">
        <v>8822</v>
      </c>
      <c r="J7331" t="s">
        <v>36422</v>
      </c>
      <c r="K7331" t="s">
        <v>41185</v>
      </c>
      <c r="M7331" t="s">
        <v>43820</v>
      </c>
      <c r="N7331" t="s">
        <v>45095</v>
      </c>
      <c r="O7331" t="s">
        <v>45096</v>
      </c>
      <c r="P7331">
        <v>0</v>
      </c>
      <c r="Q7331">
        <v>1</v>
      </c>
      <c r="R7331" t="s">
        <v>45103</v>
      </c>
      <c r="S7331" t="s">
        <v>45270</v>
      </c>
      <c r="T7331" t="s">
        <v>47058</v>
      </c>
      <c r="U7331" t="s">
        <v>53599</v>
      </c>
      <c r="W7331" t="s">
        <v>43820</v>
      </c>
      <c r="X7331" t="s">
        <v>45104</v>
      </c>
    </row>
    <row r="7332" spans="1:24">
      <c r="A7332">
        <f>HYPERLINK("https://www.philgeps.gov.ph/GEPSNONPILOT/Tender/SplashBidNoticeAbstractUI.aspx?menuIndex=3&amp;refID=7036315&amp;Result=3","7036315")</f>
        <v>0</v>
      </c>
      <c r="B7332" t="s">
        <v>358</v>
      </c>
      <c r="C7332" t="s">
        <v>10203</v>
      </c>
      <c r="D7332" t="s">
        <v>18075</v>
      </c>
      <c r="E7332" t="s">
        <v>10187</v>
      </c>
      <c r="F7332" t="s">
        <v>31574</v>
      </c>
      <c r="G7332" t="s">
        <v>31582</v>
      </c>
      <c r="H7332" t="s">
        <v>31590</v>
      </c>
      <c r="I7332" t="s">
        <v>31595</v>
      </c>
      <c r="J7332" t="s">
        <v>35474</v>
      </c>
      <c r="K7332" t="s">
        <v>41193</v>
      </c>
      <c r="M7332" t="s">
        <v>41848</v>
      </c>
      <c r="N7332" t="s">
        <v>45095</v>
      </c>
      <c r="O7332" t="s">
        <v>45096</v>
      </c>
      <c r="P7332">
        <v>0</v>
      </c>
      <c r="Q7332">
        <v>1</v>
      </c>
      <c r="R7332" t="s">
        <v>45103</v>
      </c>
      <c r="S7332" t="s">
        <v>45270</v>
      </c>
      <c r="T7332" t="s">
        <v>46911</v>
      </c>
      <c r="U7332" t="s">
        <v>53600</v>
      </c>
      <c r="W7332" t="s">
        <v>41848</v>
      </c>
      <c r="X7332" t="s">
        <v>45104</v>
      </c>
    </row>
    <row r="7333" spans="1:24">
      <c r="A7333">
        <f>HYPERLINK("https://www.philgeps.gov.ph/GEPSNONPILOT/Tender/SplashBidNoticeAbstractUI.aspx?menuIndex=3&amp;refID=7036321&amp;Result=3","7036321")</f>
        <v>0</v>
      </c>
      <c r="B7333" t="s">
        <v>886</v>
      </c>
      <c r="C7333" t="s">
        <v>10204</v>
      </c>
      <c r="E7333" t="s">
        <v>24576</v>
      </c>
      <c r="F7333" t="s">
        <v>31574</v>
      </c>
      <c r="G7333" t="s">
        <v>31581</v>
      </c>
      <c r="H7333" t="s">
        <v>31590</v>
      </c>
      <c r="I7333" t="s">
        <v>31594</v>
      </c>
      <c r="J7333" t="s">
        <v>36423</v>
      </c>
      <c r="K7333" t="s">
        <v>41184</v>
      </c>
      <c r="M7333" t="s">
        <v>42407</v>
      </c>
      <c r="N7333" t="s">
        <v>45095</v>
      </c>
      <c r="O7333" t="s">
        <v>45096</v>
      </c>
      <c r="P7333">
        <v>0</v>
      </c>
      <c r="Q7333">
        <v>8</v>
      </c>
      <c r="R7333" t="s">
        <v>45103</v>
      </c>
      <c r="S7333" t="s">
        <v>45270</v>
      </c>
      <c r="T7333" t="s">
        <v>47080</v>
      </c>
      <c r="U7333" t="s">
        <v>53363</v>
      </c>
      <c r="W7333" t="s">
        <v>42407</v>
      </c>
      <c r="X7333" t="s">
        <v>45104</v>
      </c>
    </row>
    <row r="7334" spans="1:24">
      <c r="A7334">
        <f>HYPERLINK("https://www.philgeps.gov.ph/GEPSNONPILOT/Tender/SplashBidNoticeAbstractUI.aspx?menuIndex=3&amp;refID=7036320&amp;Result=3","7036320")</f>
        <v>0</v>
      </c>
      <c r="B7334" t="s">
        <v>2184</v>
      </c>
      <c r="C7334" t="s">
        <v>10205</v>
      </c>
      <c r="D7334" t="s">
        <v>18025</v>
      </c>
      <c r="E7334" t="s">
        <v>18422</v>
      </c>
      <c r="F7334" t="s">
        <v>31574</v>
      </c>
      <c r="G7334" t="s">
        <v>31582</v>
      </c>
      <c r="H7334" t="s">
        <v>31591</v>
      </c>
      <c r="I7334" t="s">
        <v>8822</v>
      </c>
      <c r="J7334" t="s">
        <v>36424</v>
      </c>
      <c r="K7334" t="s">
        <v>41184</v>
      </c>
      <c r="M7334" t="s">
        <v>43870</v>
      </c>
      <c r="N7334" t="s">
        <v>45095</v>
      </c>
      <c r="O7334" t="s">
        <v>45096</v>
      </c>
      <c r="P7334">
        <v>0</v>
      </c>
      <c r="Q7334">
        <v>1</v>
      </c>
      <c r="R7334" t="s">
        <v>45103</v>
      </c>
      <c r="S7334" t="s">
        <v>45270</v>
      </c>
      <c r="T7334" t="s">
        <v>47067</v>
      </c>
      <c r="U7334" t="s">
        <v>53345</v>
      </c>
      <c r="W7334" t="s">
        <v>43870</v>
      </c>
      <c r="X7334" t="s">
        <v>45104</v>
      </c>
    </row>
    <row r="7335" spans="1:24">
      <c r="A7335">
        <f>HYPERLINK("https://www.philgeps.gov.ph/GEPSNONPILOT/Tender/SplashBidNoticeAbstractUI.aspx?menuIndex=3&amp;refID=7036330&amp;Result=3","7036330")</f>
        <v>0</v>
      </c>
      <c r="B7335" t="s">
        <v>2181</v>
      </c>
      <c r="C7335" t="s">
        <v>10206</v>
      </c>
      <c r="D7335" t="s">
        <v>18071</v>
      </c>
      <c r="E7335" t="s">
        <v>24577</v>
      </c>
      <c r="F7335" t="s">
        <v>31574</v>
      </c>
      <c r="G7335" t="s">
        <v>31583</v>
      </c>
      <c r="H7335" t="s">
        <v>31590</v>
      </c>
      <c r="I7335" t="s">
        <v>5717</v>
      </c>
      <c r="J7335" t="s">
        <v>36425</v>
      </c>
      <c r="K7335" t="s">
        <v>41196</v>
      </c>
      <c r="M7335" t="s">
        <v>43867</v>
      </c>
      <c r="N7335" t="s">
        <v>45095</v>
      </c>
      <c r="O7335" t="s">
        <v>45096</v>
      </c>
      <c r="P7335">
        <v>0</v>
      </c>
      <c r="Q7335">
        <v>2</v>
      </c>
      <c r="R7335" t="s">
        <v>45103</v>
      </c>
      <c r="S7335" t="s">
        <v>45270</v>
      </c>
      <c r="T7335" t="s">
        <v>47077</v>
      </c>
      <c r="U7335" t="s">
        <v>53601</v>
      </c>
      <c r="W7335" t="s">
        <v>43867</v>
      </c>
      <c r="X7335" t="s">
        <v>45104</v>
      </c>
    </row>
    <row r="7336" spans="1:24">
      <c r="A7336">
        <f>HYPERLINK("https://www.philgeps.gov.ph/GEPSNONPILOT/Tender/SplashBidNoticeAbstractUI.aspx?menuIndex=3&amp;refID=7036307&amp;Result=3","7036307")</f>
        <v>0</v>
      </c>
      <c r="B7336" t="s">
        <v>2102</v>
      </c>
      <c r="C7336" t="s">
        <v>3976</v>
      </c>
      <c r="D7336" t="s">
        <v>18029</v>
      </c>
      <c r="E7336" t="s">
        <v>4356</v>
      </c>
      <c r="F7336" t="s">
        <v>31574</v>
      </c>
      <c r="G7336" t="s">
        <v>31584</v>
      </c>
      <c r="H7336" t="s">
        <v>31590</v>
      </c>
      <c r="I7336" t="s">
        <v>5717</v>
      </c>
      <c r="J7336" t="s">
        <v>31727</v>
      </c>
      <c r="K7336" t="s">
        <v>41185</v>
      </c>
      <c r="M7336" t="s">
        <v>43779</v>
      </c>
      <c r="N7336" t="s">
        <v>45095</v>
      </c>
      <c r="O7336" t="s">
        <v>45096</v>
      </c>
      <c r="P7336">
        <v>0</v>
      </c>
      <c r="Q7336">
        <v>0</v>
      </c>
      <c r="R7336" t="s">
        <v>45103</v>
      </c>
      <c r="S7336" t="s">
        <v>45270</v>
      </c>
      <c r="T7336" t="s">
        <v>47308</v>
      </c>
      <c r="U7336" t="s">
        <v>53602</v>
      </c>
      <c r="W7336" t="s">
        <v>61726</v>
      </c>
      <c r="X7336" t="s">
        <v>45104</v>
      </c>
    </row>
    <row r="7337" spans="1:24">
      <c r="A7337">
        <f>HYPERLINK("https://www.philgeps.gov.ph/GEPSNONPILOT/Tender/SplashBidNoticeAbstractUI.aspx?menuIndex=3&amp;refID=7036313&amp;Result=3","7036313")</f>
        <v>0</v>
      </c>
      <c r="B7337" t="s">
        <v>663</v>
      </c>
      <c r="C7337" t="s">
        <v>10207</v>
      </c>
      <c r="E7337" t="s">
        <v>24578</v>
      </c>
      <c r="F7337" t="s">
        <v>31574</v>
      </c>
      <c r="G7337" t="s">
        <v>31582</v>
      </c>
      <c r="H7337" t="s">
        <v>31591</v>
      </c>
      <c r="I7337" t="s">
        <v>4046</v>
      </c>
      <c r="J7337" t="s">
        <v>36426</v>
      </c>
      <c r="K7337" t="s">
        <v>41184</v>
      </c>
      <c r="M7337" t="s">
        <v>42168</v>
      </c>
      <c r="N7337" t="s">
        <v>45095</v>
      </c>
      <c r="O7337" t="s">
        <v>45096</v>
      </c>
      <c r="P7337">
        <v>0</v>
      </c>
      <c r="Q7337">
        <v>1</v>
      </c>
      <c r="R7337" t="s">
        <v>45103</v>
      </c>
      <c r="S7337" t="s">
        <v>45270</v>
      </c>
      <c r="T7337" t="s">
        <v>47100</v>
      </c>
      <c r="U7337" t="s">
        <v>53603</v>
      </c>
      <c r="W7337" t="s">
        <v>42168</v>
      </c>
      <c r="X7337" t="s">
        <v>45104</v>
      </c>
    </row>
    <row r="7338" spans="1:24">
      <c r="A7338">
        <f>HYPERLINK("https://www.philgeps.gov.ph/GEPSNONPILOT/Tender/SplashBidNoticeAbstractUI.aspx?menuIndex=3&amp;refID=7036336&amp;Result=3","7036336")</f>
        <v>0</v>
      </c>
      <c r="B7338" t="s">
        <v>886</v>
      </c>
      <c r="C7338" t="s">
        <v>10208</v>
      </c>
      <c r="E7338" t="s">
        <v>24579</v>
      </c>
      <c r="F7338" t="s">
        <v>31574</v>
      </c>
      <c r="G7338" t="s">
        <v>31584</v>
      </c>
      <c r="H7338" t="s">
        <v>31590</v>
      </c>
      <c r="I7338" t="s">
        <v>6800</v>
      </c>
      <c r="J7338" t="s">
        <v>34049</v>
      </c>
      <c r="K7338" t="s">
        <v>41184</v>
      </c>
      <c r="M7338" t="s">
        <v>42407</v>
      </c>
      <c r="N7338" t="s">
        <v>45095</v>
      </c>
      <c r="O7338" t="s">
        <v>45096</v>
      </c>
      <c r="P7338">
        <v>0</v>
      </c>
      <c r="Q7338">
        <v>4</v>
      </c>
      <c r="R7338" t="s">
        <v>45103</v>
      </c>
      <c r="S7338" t="s">
        <v>45270</v>
      </c>
      <c r="T7338" t="s">
        <v>47080</v>
      </c>
      <c r="U7338" t="s">
        <v>53363</v>
      </c>
      <c r="W7338" t="s">
        <v>42407</v>
      </c>
      <c r="X7338" t="s">
        <v>45104</v>
      </c>
    </row>
    <row r="7339" spans="1:24">
      <c r="A7339">
        <f>HYPERLINK("https://www.philgeps.gov.ph/GEPSNONPILOT/Tender/SplashBidNoticeAbstractUI.aspx?menuIndex=3&amp;refID=7036309&amp;Result=3","7036309")</f>
        <v>0</v>
      </c>
      <c r="B7339" t="s">
        <v>2185</v>
      </c>
      <c r="C7339" t="s">
        <v>10209</v>
      </c>
      <c r="D7339" t="s">
        <v>18039</v>
      </c>
      <c r="E7339" t="s">
        <v>24580</v>
      </c>
      <c r="F7339" t="s">
        <v>31574</v>
      </c>
      <c r="G7339" t="s">
        <v>31582</v>
      </c>
      <c r="H7339" t="s">
        <v>31591</v>
      </c>
      <c r="I7339" t="s">
        <v>8822</v>
      </c>
      <c r="J7339" t="s">
        <v>36427</v>
      </c>
      <c r="K7339" t="s">
        <v>41189</v>
      </c>
      <c r="M7339" t="s">
        <v>43871</v>
      </c>
      <c r="N7339" t="s">
        <v>45095</v>
      </c>
      <c r="O7339" t="s">
        <v>45096</v>
      </c>
      <c r="P7339">
        <v>0</v>
      </c>
      <c r="Q7339">
        <v>0</v>
      </c>
      <c r="R7339" t="s">
        <v>45103</v>
      </c>
      <c r="S7339" t="s">
        <v>45270</v>
      </c>
      <c r="T7339" t="s">
        <v>47151</v>
      </c>
      <c r="U7339" t="s">
        <v>53604</v>
      </c>
      <c r="W7339" t="s">
        <v>43871</v>
      </c>
      <c r="X7339" t="s">
        <v>45104</v>
      </c>
    </row>
    <row r="7340" spans="1:24">
      <c r="A7340">
        <f>HYPERLINK("https://www.philgeps.gov.ph/GEPSNONPILOT/Tender/SplashBidNoticeAbstractUI.aspx?menuIndex=3&amp;refID=7036314&amp;Result=3","7036314")</f>
        <v>0</v>
      </c>
      <c r="B7340" t="s">
        <v>886</v>
      </c>
      <c r="C7340" t="s">
        <v>10210</v>
      </c>
      <c r="E7340" t="s">
        <v>24581</v>
      </c>
      <c r="F7340" t="s">
        <v>31574</v>
      </c>
      <c r="G7340" t="s">
        <v>31581</v>
      </c>
      <c r="H7340" t="s">
        <v>31590</v>
      </c>
      <c r="I7340" t="s">
        <v>14034</v>
      </c>
      <c r="J7340" t="s">
        <v>36428</v>
      </c>
      <c r="K7340" t="s">
        <v>41184</v>
      </c>
      <c r="M7340" t="s">
        <v>42407</v>
      </c>
      <c r="N7340" t="s">
        <v>45095</v>
      </c>
      <c r="O7340" t="s">
        <v>45096</v>
      </c>
      <c r="P7340">
        <v>0</v>
      </c>
      <c r="Q7340">
        <v>2</v>
      </c>
      <c r="R7340" t="s">
        <v>45103</v>
      </c>
      <c r="S7340" t="s">
        <v>45270</v>
      </c>
      <c r="T7340" t="s">
        <v>47080</v>
      </c>
      <c r="U7340" t="s">
        <v>53363</v>
      </c>
      <c r="W7340" t="s">
        <v>42407</v>
      </c>
      <c r="X7340" t="s">
        <v>45104</v>
      </c>
    </row>
    <row r="7341" spans="1:24">
      <c r="A7341">
        <f>HYPERLINK("https://www.philgeps.gov.ph/GEPSNONPILOT/Tender/SplashBidNoticeAbstractUI.aspx?menuIndex=3&amp;refID=7036340&amp;Result=3","7036340")</f>
        <v>0</v>
      </c>
      <c r="B7341" t="s">
        <v>2186</v>
      </c>
      <c r="C7341" t="s">
        <v>10211</v>
      </c>
      <c r="D7341" t="s">
        <v>18056</v>
      </c>
      <c r="E7341" t="s">
        <v>24582</v>
      </c>
      <c r="F7341" t="s">
        <v>31574</v>
      </c>
      <c r="G7341" t="s">
        <v>31582</v>
      </c>
      <c r="H7341" t="s">
        <v>31590</v>
      </c>
      <c r="I7341" t="s">
        <v>7185</v>
      </c>
      <c r="J7341" t="s">
        <v>36429</v>
      </c>
      <c r="K7341" t="s">
        <v>41196</v>
      </c>
      <c r="M7341" t="s">
        <v>43872</v>
      </c>
      <c r="N7341" t="s">
        <v>45095</v>
      </c>
      <c r="O7341" t="s">
        <v>45096</v>
      </c>
      <c r="P7341">
        <v>0</v>
      </c>
      <c r="Q7341">
        <v>21</v>
      </c>
      <c r="R7341" t="s">
        <v>45103</v>
      </c>
      <c r="S7341" t="s">
        <v>45270</v>
      </c>
      <c r="T7341" t="s">
        <v>47100</v>
      </c>
      <c r="U7341" t="s">
        <v>53605</v>
      </c>
      <c r="W7341" t="s">
        <v>43872</v>
      </c>
      <c r="X7341" t="s">
        <v>45104</v>
      </c>
    </row>
    <row r="7342" spans="1:24">
      <c r="A7342">
        <f>HYPERLINK("https://www.philgeps.gov.ph/GEPSNONPILOT/Tender/SplashBidNoticeAbstractUI.aspx?menuIndex=3&amp;refID=7036338&amp;Result=3","7036338")</f>
        <v>0</v>
      </c>
      <c r="B7342" t="s">
        <v>358</v>
      </c>
      <c r="C7342" t="s">
        <v>10212</v>
      </c>
      <c r="D7342" t="s">
        <v>18075</v>
      </c>
      <c r="E7342" t="s">
        <v>24583</v>
      </c>
      <c r="F7342" t="s">
        <v>31574</v>
      </c>
      <c r="G7342" t="s">
        <v>31582</v>
      </c>
      <c r="H7342" t="s">
        <v>31590</v>
      </c>
      <c r="I7342" t="s">
        <v>31610</v>
      </c>
      <c r="J7342" t="s">
        <v>36430</v>
      </c>
      <c r="K7342" t="s">
        <v>41193</v>
      </c>
      <c r="M7342" t="s">
        <v>41848</v>
      </c>
      <c r="N7342" t="s">
        <v>45095</v>
      </c>
      <c r="O7342" t="s">
        <v>45096</v>
      </c>
      <c r="P7342">
        <v>0</v>
      </c>
      <c r="Q7342">
        <v>1</v>
      </c>
      <c r="R7342" t="s">
        <v>45103</v>
      </c>
      <c r="S7342" t="s">
        <v>45270</v>
      </c>
      <c r="T7342" t="s">
        <v>46911</v>
      </c>
      <c r="U7342" t="s">
        <v>53606</v>
      </c>
      <c r="W7342" t="s">
        <v>41848</v>
      </c>
      <c r="X7342" t="s">
        <v>45104</v>
      </c>
    </row>
    <row r="7343" spans="1:24">
      <c r="A7343">
        <f>HYPERLINK("https://www.philgeps.gov.ph/GEPSNONPILOT/Tender/SplashBidNoticeAbstractUI.aspx?menuIndex=3&amp;refID=7036365&amp;Result=3","7036365")</f>
        <v>0</v>
      </c>
      <c r="B7343" t="s">
        <v>1037</v>
      </c>
      <c r="C7343" t="s">
        <v>10213</v>
      </c>
      <c r="D7343" t="s">
        <v>18022</v>
      </c>
      <c r="E7343" t="s">
        <v>24584</v>
      </c>
      <c r="F7343" t="s">
        <v>31575</v>
      </c>
      <c r="G7343" t="s">
        <v>31582</v>
      </c>
      <c r="H7343" t="s">
        <v>31590</v>
      </c>
      <c r="I7343" t="s">
        <v>31629</v>
      </c>
      <c r="J7343" t="s">
        <v>32232</v>
      </c>
      <c r="K7343" t="s">
        <v>41186</v>
      </c>
      <c r="M7343" t="s">
        <v>42580</v>
      </c>
      <c r="N7343" t="s">
        <v>45095</v>
      </c>
      <c r="O7343" t="s">
        <v>45096</v>
      </c>
      <c r="P7343">
        <v>0</v>
      </c>
      <c r="Q7343">
        <v>0</v>
      </c>
      <c r="R7343" t="s">
        <v>45103</v>
      </c>
      <c r="S7343" t="s">
        <v>45270</v>
      </c>
      <c r="T7343" t="s">
        <v>46996</v>
      </c>
      <c r="U7343" t="s">
        <v>53607</v>
      </c>
      <c r="V7343" t="s">
        <v>60124</v>
      </c>
      <c r="W7343" t="s">
        <v>42580</v>
      </c>
      <c r="X7343" t="s">
        <v>45104</v>
      </c>
    </row>
    <row r="7344" spans="1:24">
      <c r="A7344">
        <f>HYPERLINK("https://www.philgeps.gov.ph/GEPSNONPILOT/Tender/SplashBidNoticeAbstractUI.aspx?menuIndex=3&amp;refID=7036361&amp;Result=3","7036361")</f>
        <v>0</v>
      </c>
      <c r="B7344" t="s">
        <v>2187</v>
      </c>
      <c r="C7344" t="s">
        <v>10214</v>
      </c>
      <c r="D7344" t="s">
        <v>18048</v>
      </c>
      <c r="E7344" t="s">
        <v>24585</v>
      </c>
      <c r="F7344" t="s">
        <v>31579</v>
      </c>
      <c r="G7344" t="s">
        <v>31581</v>
      </c>
      <c r="H7344" t="s">
        <v>31590</v>
      </c>
      <c r="I7344" t="s">
        <v>31607</v>
      </c>
      <c r="J7344" t="s">
        <v>32258</v>
      </c>
      <c r="K7344" t="s">
        <v>41213</v>
      </c>
      <c r="M7344" t="s">
        <v>43873</v>
      </c>
      <c r="N7344" t="s">
        <v>45095</v>
      </c>
      <c r="O7344" t="s">
        <v>45096</v>
      </c>
      <c r="P7344">
        <v>0</v>
      </c>
      <c r="Q7344">
        <v>7</v>
      </c>
      <c r="R7344" t="s">
        <v>45103</v>
      </c>
      <c r="S7344" t="s">
        <v>45270</v>
      </c>
      <c r="T7344" t="s">
        <v>46936</v>
      </c>
      <c r="U7344" t="s">
        <v>53608</v>
      </c>
      <c r="W7344" t="s">
        <v>43873</v>
      </c>
      <c r="X7344" t="s">
        <v>45104</v>
      </c>
    </row>
    <row r="7345" spans="1:24">
      <c r="A7345">
        <f>HYPERLINK("https://www.philgeps.gov.ph/GEPSNONPILOT/Tender/SplashBidNoticeAbstractUI.aspx?menuIndex=3&amp;refID=7036351&amp;Result=3","7036351")</f>
        <v>0</v>
      </c>
      <c r="B7345" t="s">
        <v>2102</v>
      </c>
      <c r="C7345" t="s">
        <v>10196</v>
      </c>
      <c r="D7345" t="s">
        <v>18029</v>
      </c>
      <c r="E7345" t="s">
        <v>24570</v>
      </c>
      <c r="F7345" t="s">
        <v>31574</v>
      </c>
      <c r="G7345" t="s">
        <v>31584</v>
      </c>
      <c r="H7345" t="s">
        <v>31590</v>
      </c>
      <c r="I7345" t="s">
        <v>6800</v>
      </c>
      <c r="J7345" t="s">
        <v>32290</v>
      </c>
      <c r="K7345" t="s">
        <v>41190</v>
      </c>
      <c r="M7345" t="s">
        <v>43779</v>
      </c>
      <c r="N7345" t="s">
        <v>45095</v>
      </c>
      <c r="O7345" t="s">
        <v>45096</v>
      </c>
      <c r="P7345">
        <v>0</v>
      </c>
      <c r="Q7345">
        <v>0</v>
      </c>
      <c r="R7345" t="s">
        <v>45103</v>
      </c>
      <c r="S7345" t="s">
        <v>45270</v>
      </c>
      <c r="T7345" t="s">
        <v>47308</v>
      </c>
      <c r="U7345" t="s">
        <v>53609</v>
      </c>
      <c r="W7345" t="s">
        <v>61726</v>
      </c>
      <c r="X7345" t="s">
        <v>45104</v>
      </c>
    </row>
    <row r="7346" spans="1:24">
      <c r="A7346">
        <f>HYPERLINK("https://www.philgeps.gov.ph/GEPSNONPILOT/Tender/SplashBidNoticeAbstractUI.aspx?menuIndex=3&amp;refID=7036362&amp;Result=3","7036362")</f>
        <v>0</v>
      </c>
      <c r="B7346" t="s">
        <v>2185</v>
      </c>
      <c r="C7346" t="s">
        <v>10215</v>
      </c>
      <c r="D7346" t="s">
        <v>18039</v>
      </c>
      <c r="E7346" t="s">
        <v>24586</v>
      </c>
      <c r="F7346" t="s">
        <v>31574</v>
      </c>
      <c r="G7346" t="s">
        <v>31582</v>
      </c>
      <c r="H7346" t="s">
        <v>31591</v>
      </c>
      <c r="I7346" t="s">
        <v>8822</v>
      </c>
      <c r="J7346" t="s">
        <v>36431</v>
      </c>
      <c r="K7346" t="s">
        <v>41189</v>
      </c>
      <c r="M7346" t="s">
        <v>43871</v>
      </c>
      <c r="N7346" t="s">
        <v>45095</v>
      </c>
      <c r="O7346" t="s">
        <v>45096</v>
      </c>
      <c r="P7346">
        <v>0</v>
      </c>
      <c r="Q7346">
        <v>0</v>
      </c>
      <c r="R7346" t="s">
        <v>45103</v>
      </c>
      <c r="S7346" t="s">
        <v>45270</v>
      </c>
      <c r="T7346" t="s">
        <v>47151</v>
      </c>
      <c r="U7346" t="s">
        <v>53610</v>
      </c>
      <c r="W7346" t="s">
        <v>43871</v>
      </c>
      <c r="X7346" t="s">
        <v>45104</v>
      </c>
    </row>
    <row r="7347" spans="1:24">
      <c r="A7347">
        <f>HYPERLINK("https://www.philgeps.gov.ph/GEPSNONPILOT/Tender/SplashBidNoticeAbstractUI.aspx?menuIndex=3&amp;refID=7036341&amp;Result=3","7036341")</f>
        <v>0</v>
      </c>
      <c r="B7347" t="s">
        <v>886</v>
      </c>
      <c r="C7347" t="s">
        <v>10216</v>
      </c>
      <c r="E7347" t="s">
        <v>24587</v>
      </c>
      <c r="F7347" t="s">
        <v>31574</v>
      </c>
      <c r="G7347" t="s">
        <v>31581</v>
      </c>
      <c r="H7347" t="s">
        <v>31590</v>
      </c>
      <c r="I7347" t="s">
        <v>31619</v>
      </c>
      <c r="J7347" t="s">
        <v>33084</v>
      </c>
      <c r="K7347" t="s">
        <v>41184</v>
      </c>
      <c r="M7347" t="s">
        <v>42407</v>
      </c>
      <c r="N7347" t="s">
        <v>45095</v>
      </c>
      <c r="O7347" t="s">
        <v>45096</v>
      </c>
      <c r="P7347">
        <v>0</v>
      </c>
      <c r="Q7347">
        <v>8</v>
      </c>
      <c r="R7347" t="s">
        <v>45103</v>
      </c>
      <c r="S7347" t="s">
        <v>45270</v>
      </c>
      <c r="T7347" t="s">
        <v>47080</v>
      </c>
      <c r="U7347" t="s">
        <v>53363</v>
      </c>
      <c r="W7347" t="s">
        <v>42407</v>
      </c>
      <c r="X7347" t="s">
        <v>45104</v>
      </c>
    </row>
    <row r="7348" spans="1:24">
      <c r="A7348">
        <f>HYPERLINK("https://www.philgeps.gov.ph/GEPSNONPILOT/Tender/SplashBidNoticeAbstractUI.aspx?menuIndex=3&amp;refID=7036348&amp;Result=3","7036348")</f>
        <v>0</v>
      </c>
      <c r="B7348" t="s">
        <v>886</v>
      </c>
      <c r="C7348" t="s">
        <v>10217</v>
      </c>
      <c r="E7348" t="s">
        <v>24588</v>
      </c>
      <c r="F7348" t="s">
        <v>31574</v>
      </c>
      <c r="G7348" t="s">
        <v>31581</v>
      </c>
      <c r="H7348" t="s">
        <v>31590</v>
      </c>
      <c r="I7348" t="s">
        <v>31603</v>
      </c>
      <c r="J7348" t="s">
        <v>31842</v>
      </c>
      <c r="K7348" t="s">
        <v>41184</v>
      </c>
      <c r="M7348" t="s">
        <v>42407</v>
      </c>
      <c r="N7348" t="s">
        <v>45095</v>
      </c>
      <c r="O7348" t="s">
        <v>45096</v>
      </c>
      <c r="P7348">
        <v>0</v>
      </c>
      <c r="Q7348">
        <v>1</v>
      </c>
      <c r="R7348" t="s">
        <v>45103</v>
      </c>
      <c r="S7348" t="s">
        <v>45270</v>
      </c>
      <c r="T7348" t="s">
        <v>47080</v>
      </c>
      <c r="U7348" t="s">
        <v>53363</v>
      </c>
      <c r="W7348" t="s">
        <v>42407</v>
      </c>
      <c r="X7348" t="s">
        <v>45104</v>
      </c>
    </row>
    <row r="7349" spans="1:24">
      <c r="A7349">
        <f>HYPERLINK("https://www.philgeps.gov.ph/GEPSNONPILOT/Tender/SplashBidNoticeAbstractUI.aspx?menuIndex=3&amp;refID=7036360&amp;Result=3","7036360")</f>
        <v>0</v>
      </c>
      <c r="B7349" t="s">
        <v>1877</v>
      </c>
      <c r="C7349" t="s">
        <v>8822</v>
      </c>
      <c r="D7349" t="s">
        <v>18038</v>
      </c>
      <c r="E7349" t="s">
        <v>24589</v>
      </c>
      <c r="F7349" t="s">
        <v>31574</v>
      </c>
      <c r="G7349" t="s">
        <v>31582</v>
      </c>
      <c r="H7349" t="s">
        <v>31591</v>
      </c>
      <c r="I7349" t="s">
        <v>8822</v>
      </c>
      <c r="J7349" t="s">
        <v>32019</v>
      </c>
      <c r="K7349" t="s">
        <v>41184</v>
      </c>
      <c r="M7349" t="s">
        <v>43518</v>
      </c>
      <c r="N7349" t="s">
        <v>45095</v>
      </c>
      <c r="O7349" t="s">
        <v>45096</v>
      </c>
      <c r="P7349">
        <v>0</v>
      </c>
      <c r="Q7349">
        <v>0</v>
      </c>
      <c r="R7349" t="s">
        <v>45103</v>
      </c>
      <c r="S7349" t="s">
        <v>45270</v>
      </c>
      <c r="T7349" t="s">
        <v>46957</v>
      </c>
      <c r="U7349" t="s">
        <v>53611</v>
      </c>
      <c r="W7349" t="s">
        <v>43518</v>
      </c>
      <c r="X7349" t="s">
        <v>45104</v>
      </c>
    </row>
    <row r="7350" spans="1:24">
      <c r="A7350">
        <f>HYPERLINK("https://www.philgeps.gov.ph/GEPSNONPILOT/Tender/SplashBidNoticeAbstractUI.aspx?menuIndex=3&amp;refID=7036345&amp;Result=3","7036345")</f>
        <v>0</v>
      </c>
      <c r="B7350" t="s">
        <v>358</v>
      </c>
      <c r="C7350" t="s">
        <v>10218</v>
      </c>
      <c r="D7350" t="s">
        <v>18075</v>
      </c>
      <c r="E7350" t="s">
        <v>24590</v>
      </c>
      <c r="F7350" t="s">
        <v>31574</v>
      </c>
      <c r="G7350" t="s">
        <v>31582</v>
      </c>
      <c r="H7350" t="s">
        <v>31590</v>
      </c>
      <c r="I7350" t="s">
        <v>4354</v>
      </c>
      <c r="J7350" t="s">
        <v>36432</v>
      </c>
      <c r="K7350" t="s">
        <v>41193</v>
      </c>
      <c r="M7350" t="s">
        <v>41848</v>
      </c>
      <c r="N7350" t="s">
        <v>45095</v>
      </c>
      <c r="O7350" t="s">
        <v>45096</v>
      </c>
      <c r="P7350">
        <v>0</v>
      </c>
      <c r="Q7350">
        <v>0</v>
      </c>
      <c r="R7350" t="s">
        <v>45103</v>
      </c>
      <c r="S7350" t="s">
        <v>45270</v>
      </c>
      <c r="T7350" t="s">
        <v>46911</v>
      </c>
      <c r="U7350" t="s">
        <v>53612</v>
      </c>
      <c r="W7350" t="s">
        <v>41848</v>
      </c>
      <c r="X7350" t="s">
        <v>45104</v>
      </c>
    </row>
    <row r="7351" spans="1:24">
      <c r="A7351">
        <f>HYPERLINK("https://www.philgeps.gov.ph/GEPSNONPILOT/Tender/SplashBidNoticeAbstractUI.aspx?menuIndex=3&amp;refID=7036380&amp;Result=3","7036380")</f>
        <v>0</v>
      </c>
      <c r="B7351" t="s">
        <v>2188</v>
      </c>
      <c r="C7351" t="s">
        <v>10219</v>
      </c>
      <c r="D7351" t="s">
        <v>18024</v>
      </c>
      <c r="E7351" t="s">
        <v>24591</v>
      </c>
      <c r="F7351" t="s">
        <v>31574</v>
      </c>
      <c r="G7351" t="s">
        <v>31582</v>
      </c>
      <c r="H7351" t="s">
        <v>31590</v>
      </c>
      <c r="I7351" t="s">
        <v>31621</v>
      </c>
      <c r="J7351" t="s">
        <v>36433</v>
      </c>
      <c r="K7351" t="s">
        <v>41213</v>
      </c>
      <c r="M7351" t="s">
        <v>43874</v>
      </c>
      <c r="N7351" t="s">
        <v>45095</v>
      </c>
      <c r="O7351" t="s">
        <v>45096</v>
      </c>
      <c r="P7351">
        <v>0</v>
      </c>
      <c r="Q7351">
        <v>3</v>
      </c>
      <c r="R7351" t="s">
        <v>45103</v>
      </c>
      <c r="S7351" t="s">
        <v>45270</v>
      </c>
      <c r="T7351" t="s">
        <v>47050</v>
      </c>
      <c r="U7351" t="s">
        <v>53613</v>
      </c>
      <c r="W7351" t="s">
        <v>43874</v>
      </c>
      <c r="X7351" t="s">
        <v>45104</v>
      </c>
    </row>
    <row r="7352" spans="1:24">
      <c r="A7352">
        <f>HYPERLINK("https://www.philgeps.gov.ph/GEPSNONPILOT/Tender/SplashBidNoticeAbstractUI.aspx?menuIndex=3&amp;refID=7036357&amp;Result=3","7036357")</f>
        <v>0</v>
      </c>
      <c r="B7352" t="s">
        <v>663</v>
      </c>
      <c r="C7352" t="s">
        <v>10220</v>
      </c>
      <c r="E7352" t="s">
        <v>24592</v>
      </c>
      <c r="F7352" t="s">
        <v>31574</v>
      </c>
      <c r="G7352" t="s">
        <v>31581</v>
      </c>
      <c r="H7352" t="s">
        <v>31590</v>
      </c>
      <c r="I7352" t="s">
        <v>31617</v>
      </c>
      <c r="J7352" t="s">
        <v>33536</v>
      </c>
      <c r="K7352" t="s">
        <v>41184</v>
      </c>
      <c r="M7352" t="s">
        <v>42168</v>
      </c>
      <c r="N7352" t="s">
        <v>45095</v>
      </c>
      <c r="O7352" t="s">
        <v>45096</v>
      </c>
      <c r="P7352">
        <v>0</v>
      </c>
      <c r="Q7352">
        <v>0</v>
      </c>
      <c r="R7352" t="s">
        <v>45103</v>
      </c>
      <c r="S7352" t="s">
        <v>45270</v>
      </c>
      <c r="T7352" t="s">
        <v>47050</v>
      </c>
      <c r="U7352" t="s">
        <v>53614</v>
      </c>
      <c r="W7352" t="s">
        <v>42168</v>
      </c>
      <c r="X7352" t="s">
        <v>45104</v>
      </c>
    </row>
    <row r="7353" spans="1:24">
      <c r="A7353">
        <f>HYPERLINK("https://www.philgeps.gov.ph/GEPSNONPILOT/Tender/SplashBidNoticeAbstractUI.aspx?menuIndex=3&amp;refID=7036344&amp;Result=3","7036344")</f>
        <v>0</v>
      </c>
      <c r="B7353" t="s">
        <v>2181</v>
      </c>
      <c r="C7353" t="s">
        <v>10221</v>
      </c>
      <c r="D7353" t="s">
        <v>18071</v>
      </c>
      <c r="E7353" t="s">
        <v>24593</v>
      </c>
      <c r="F7353" t="s">
        <v>31574</v>
      </c>
      <c r="G7353" t="s">
        <v>31583</v>
      </c>
      <c r="H7353" t="s">
        <v>31590</v>
      </c>
      <c r="I7353" t="s">
        <v>5717</v>
      </c>
      <c r="J7353" t="s">
        <v>36434</v>
      </c>
      <c r="K7353" t="s">
        <v>41196</v>
      </c>
      <c r="M7353" t="s">
        <v>43867</v>
      </c>
      <c r="N7353" t="s">
        <v>45095</v>
      </c>
      <c r="O7353" t="s">
        <v>45096</v>
      </c>
      <c r="P7353">
        <v>0</v>
      </c>
      <c r="Q7353">
        <v>0</v>
      </c>
      <c r="R7353" t="s">
        <v>45103</v>
      </c>
      <c r="S7353" t="s">
        <v>45270</v>
      </c>
      <c r="T7353" t="s">
        <v>47077</v>
      </c>
      <c r="U7353" t="s">
        <v>53615</v>
      </c>
      <c r="W7353" t="s">
        <v>43867</v>
      </c>
      <c r="X7353" t="s">
        <v>45104</v>
      </c>
    </row>
    <row r="7354" spans="1:24">
      <c r="A7354">
        <f>HYPERLINK("https://www.philgeps.gov.ph/GEPSNONPILOT/Tender/SplashBidNoticeAbstractUI.aspx?menuIndex=3&amp;refID=7036379&amp;Result=3","7036379")</f>
        <v>0</v>
      </c>
      <c r="B7354" t="s">
        <v>1037</v>
      </c>
      <c r="C7354" t="s">
        <v>10222</v>
      </c>
      <c r="D7354" t="s">
        <v>18022</v>
      </c>
      <c r="E7354" t="s">
        <v>10222</v>
      </c>
      <c r="F7354" t="s">
        <v>31575</v>
      </c>
      <c r="G7354" t="s">
        <v>31582</v>
      </c>
      <c r="H7354" t="s">
        <v>31590</v>
      </c>
      <c r="I7354" t="s">
        <v>3487</v>
      </c>
      <c r="J7354" t="s">
        <v>32019</v>
      </c>
      <c r="K7354" t="s">
        <v>41186</v>
      </c>
      <c r="M7354" t="s">
        <v>42580</v>
      </c>
      <c r="N7354" t="s">
        <v>45095</v>
      </c>
      <c r="O7354" t="s">
        <v>45096</v>
      </c>
      <c r="P7354">
        <v>0</v>
      </c>
      <c r="Q7354">
        <v>0</v>
      </c>
      <c r="R7354" t="s">
        <v>45103</v>
      </c>
      <c r="S7354" t="s">
        <v>45270</v>
      </c>
      <c r="T7354" t="s">
        <v>46991</v>
      </c>
      <c r="U7354" t="s">
        <v>53616</v>
      </c>
      <c r="V7354" t="s">
        <v>60124</v>
      </c>
      <c r="W7354" t="s">
        <v>42580</v>
      </c>
      <c r="X7354" t="s">
        <v>45104</v>
      </c>
    </row>
    <row r="7355" spans="1:24">
      <c r="A7355">
        <f>HYPERLINK("https://www.philgeps.gov.ph/GEPSNONPILOT/Tender/SplashBidNoticeAbstractUI.aspx?menuIndex=3&amp;refID=7036358&amp;Result=3","7036358")</f>
        <v>0</v>
      </c>
      <c r="B7355" t="s">
        <v>1037</v>
      </c>
      <c r="C7355" t="s">
        <v>10223</v>
      </c>
      <c r="D7355" t="s">
        <v>18022</v>
      </c>
      <c r="E7355" t="s">
        <v>24594</v>
      </c>
      <c r="F7355" t="s">
        <v>31575</v>
      </c>
      <c r="G7355" t="s">
        <v>31582</v>
      </c>
      <c r="H7355" t="s">
        <v>31590</v>
      </c>
      <c r="I7355" t="s">
        <v>31629</v>
      </c>
      <c r="J7355" t="s">
        <v>32497</v>
      </c>
      <c r="K7355" t="s">
        <v>41186</v>
      </c>
      <c r="M7355" t="s">
        <v>42580</v>
      </c>
      <c r="N7355" t="s">
        <v>45095</v>
      </c>
      <c r="O7355" t="s">
        <v>45096</v>
      </c>
      <c r="P7355">
        <v>0</v>
      </c>
      <c r="Q7355">
        <v>0</v>
      </c>
      <c r="R7355" t="s">
        <v>45103</v>
      </c>
      <c r="S7355" t="s">
        <v>45270</v>
      </c>
      <c r="T7355" t="s">
        <v>46996</v>
      </c>
      <c r="U7355" t="s">
        <v>53617</v>
      </c>
      <c r="V7355" t="s">
        <v>60124</v>
      </c>
      <c r="W7355" t="s">
        <v>42580</v>
      </c>
      <c r="X7355" t="s">
        <v>45104</v>
      </c>
    </row>
    <row r="7356" spans="1:24">
      <c r="A7356">
        <f>HYPERLINK("https://www.philgeps.gov.ph/GEPSNONPILOT/Tender/SplashBidNoticeAbstractUI.aspx?menuIndex=3&amp;refID=7036367&amp;Result=3","7036367")</f>
        <v>0</v>
      </c>
      <c r="B7356" t="s">
        <v>2189</v>
      </c>
      <c r="C7356" t="s">
        <v>10224</v>
      </c>
      <c r="D7356" t="s">
        <v>18106</v>
      </c>
      <c r="E7356" t="s">
        <v>18533</v>
      </c>
      <c r="F7356" t="s">
        <v>31574</v>
      </c>
      <c r="G7356" t="s">
        <v>31582</v>
      </c>
      <c r="H7356" t="s">
        <v>31590</v>
      </c>
      <c r="I7356" t="s">
        <v>31644</v>
      </c>
      <c r="J7356" t="s">
        <v>36435</v>
      </c>
      <c r="K7356" t="s">
        <v>41193</v>
      </c>
      <c r="M7356" t="s">
        <v>43875</v>
      </c>
      <c r="N7356" t="s">
        <v>45095</v>
      </c>
      <c r="O7356" t="s">
        <v>45096</v>
      </c>
      <c r="P7356">
        <v>0</v>
      </c>
      <c r="Q7356">
        <v>4</v>
      </c>
      <c r="R7356" t="s">
        <v>45103</v>
      </c>
      <c r="S7356" t="s">
        <v>45270</v>
      </c>
      <c r="T7356" t="s">
        <v>46992</v>
      </c>
      <c r="U7356" t="s">
        <v>53618</v>
      </c>
      <c r="W7356" t="s">
        <v>43875</v>
      </c>
      <c r="X7356" t="s">
        <v>45104</v>
      </c>
    </row>
    <row r="7357" spans="1:24">
      <c r="A7357">
        <f>HYPERLINK("https://www.philgeps.gov.ph/GEPSNONPILOT/Tender/SplashBidNoticeAbstractUI.aspx?menuIndex=3&amp;refID=7036378&amp;Result=3","7036378")</f>
        <v>0</v>
      </c>
      <c r="B7357" t="s">
        <v>2189</v>
      </c>
      <c r="C7357" t="s">
        <v>4356</v>
      </c>
      <c r="D7357" t="s">
        <v>18106</v>
      </c>
      <c r="E7357" t="s">
        <v>18608</v>
      </c>
      <c r="F7357" t="s">
        <v>31574</v>
      </c>
      <c r="G7357" t="s">
        <v>31582</v>
      </c>
      <c r="H7357" t="s">
        <v>31590</v>
      </c>
      <c r="I7357" t="s">
        <v>5717</v>
      </c>
      <c r="J7357" t="s">
        <v>32076</v>
      </c>
      <c r="K7357" t="s">
        <v>41193</v>
      </c>
      <c r="M7357" t="s">
        <v>43875</v>
      </c>
      <c r="N7357" t="s">
        <v>45095</v>
      </c>
      <c r="O7357" t="s">
        <v>45096</v>
      </c>
      <c r="P7357">
        <v>0</v>
      </c>
      <c r="Q7357">
        <v>3</v>
      </c>
      <c r="R7357" t="s">
        <v>45103</v>
      </c>
      <c r="S7357" t="s">
        <v>45270</v>
      </c>
      <c r="T7357" t="s">
        <v>46992</v>
      </c>
      <c r="U7357" t="s">
        <v>48559</v>
      </c>
      <c r="W7357" t="s">
        <v>43875</v>
      </c>
      <c r="X7357" t="s">
        <v>45104</v>
      </c>
    </row>
    <row r="7358" spans="1:24">
      <c r="A7358">
        <f>HYPERLINK("https://www.philgeps.gov.ph/GEPSNONPILOT/Tender/SplashBidNoticeAbstractUI.aspx?menuIndex=3&amp;refID=7036342&amp;Result=3","7036342")</f>
        <v>0</v>
      </c>
      <c r="B7358" t="s">
        <v>1037</v>
      </c>
      <c r="C7358" t="s">
        <v>10225</v>
      </c>
      <c r="D7358" t="s">
        <v>18022</v>
      </c>
      <c r="E7358" t="s">
        <v>24595</v>
      </c>
      <c r="F7358" t="s">
        <v>31575</v>
      </c>
      <c r="G7358" t="s">
        <v>31582</v>
      </c>
      <c r="H7358" t="s">
        <v>31590</v>
      </c>
      <c r="I7358" t="s">
        <v>31629</v>
      </c>
      <c r="J7358" t="s">
        <v>32497</v>
      </c>
      <c r="K7358" t="s">
        <v>41186</v>
      </c>
      <c r="M7358" t="s">
        <v>42580</v>
      </c>
      <c r="N7358" t="s">
        <v>45095</v>
      </c>
      <c r="O7358" t="s">
        <v>45096</v>
      </c>
      <c r="P7358">
        <v>0</v>
      </c>
      <c r="Q7358">
        <v>0</v>
      </c>
      <c r="R7358" t="s">
        <v>45103</v>
      </c>
      <c r="S7358" t="s">
        <v>45270</v>
      </c>
      <c r="T7358" t="s">
        <v>46937</v>
      </c>
      <c r="U7358" t="s">
        <v>53619</v>
      </c>
      <c r="V7358" t="s">
        <v>60124</v>
      </c>
      <c r="W7358" t="s">
        <v>42580</v>
      </c>
      <c r="X7358" t="s">
        <v>45104</v>
      </c>
    </row>
    <row r="7359" spans="1:24">
      <c r="A7359">
        <f>HYPERLINK("https://www.philgeps.gov.ph/GEPSNONPILOT/Tender/SplashBidNoticeAbstractUI.aspx?menuIndex=3&amp;refID=7036384&amp;Result=3","7036384")</f>
        <v>0</v>
      </c>
      <c r="B7359" t="s">
        <v>2190</v>
      </c>
      <c r="C7359" t="s">
        <v>10226</v>
      </c>
      <c r="D7359" t="s">
        <v>18025</v>
      </c>
      <c r="E7359" t="s">
        <v>24596</v>
      </c>
      <c r="F7359" t="s">
        <v>31574</v>
      </c>
      <c r="G7359" t="s">
        <v>31581</v>
      </c>
      <c r="H7359" t="s">
        <v>31590</v>
      </c>
      <c r="I7359" t="s">
        <v>8056</v>
      </c>
      <c r="J7359" t="s">
        <v>36436</v>
      </c>
      <c r="K7359" t="s">
        <v>41196</v>
      </c>
      <c r="M7359" t="s">
        <v>43876</v>
      </c>
      <c r="N7359" t="s">
        <v>45095</v>
      </c>
      <c r="O7359" t="s">
        <v>45096</v>
      </c>
      <c r="P7359">
        <v>0</v>
      </c>
      <c r="Q7359">
        <v>9</v>
      </c>
      <c r="R7359" t="s">
        <v>45103</v>
      </c>
      <c r="S7359" t="s">
        <v>45270</v>
      </c>
      <c r="T7359" t="s">
        <v>47050</v>
      </c>
      <c r="U7359" t="s">
        <v>53620</v>
      </c>
      <c r="W7359" t="s">
        <v>43876</v>
      </c>
      <c r="X7359" t="s">
        <v>45104</v>
      </c>
    </row>
    <row r="7360" spans="1:24">
      <c r="A7360">
        <f>HYPERLINK("https://www.philgeps.gov.ph/GEPSNONPILOT/Tender/SplashBidNoticeAbstractUI.aspx?menuIndex=3&amp;refID=7036404&amp;Result=3","7036404")</f>
        <v>0</v>
      </c>
      <c r="B7360" t="s">
        <v>1665</v>
      </c>
      <c r="C7360" t="s">
        <v>10227</v>
      </c>
      <c r="D7360" t="s">
        <v>18075</v>
      </c>
      <c r="E7360" t="s">
        <v>24597</v>
      </c>
      <c r="F7360" t="s">
        <v>31574</v>
      </c>
      <c r="G7360" t="s">
        <v>31582</v>
      </c>
      <c r="H7360" t="s">
        <v>31591</v>
      </c>
      <c r="I7360" t="s">
        <v>8822</v>
      </c>
      <c r="J7360" t="s">
        <v>36437</v>
      </c>
      <c r="K7360" t="s">
        <v>41228</v>
      </c>
      <c r="M7360" t="s">
        <v>43877</v>
      </c>
      <c r="N7360" t="s">
        <v>45095</v>
      </c>
      <c r="O7360" t="s">
        <v>45096</v>
      </c>
      <c r="P7360">
        <v>0</v>
      </c>
      <c r="Q7360">
        <v>0</v>
      </c>
      <c r="R7360" t="s">
        <v>45103</v>
      </c>
      <c r="S7360" t="s">
        <v>45270</v>
      </c>
      <c r="T7360" t="s">
        <v>46988</v>
      </c>
      <c r="U7360" t="s">
        <v>53621</v>
      </c>
      <c r="W7360" t="s">
        <v>43877</v>
      </c>
      <c r="X7360" t="s">
        <v>45104</v>
      </c>
    </row>
    <row r="7361" spans="1:24">
      <c r="A7361">
        <f>HYPERLINK("https://www.philgeps.gov.ph/GEPSNONPILOT/Tender/SplashBidNoticeAbstractUI.aspx?menuIndex=3&amp;refID=7036397&amp;Result=3","7036397")</f>
        <v>0</v>
      </c>
      <c r="B7361" t="s">
        <v>757</v>
      </c>
      <c r="C7361" t="s">
        <v>10228</v>
      </c>
      <c r="D7361" t="s">
        <v>18095</v>
      </c>
      <c r="E7361" t="s">
        <v>24598</v>
      </c>
      <c r="F7361" t="s">
        <v>31574</v>
      </c>
      <c r="G7361" t="s">
        <v>31581</v>
      </c>
      <c r="H7361" t="s">
        <v>31592</v>
      </c>
      <c r="I7361" t="s">
        <v>4046</v>
      </c>
      <c r="J7361" t="s">
        <v>36438</v>
      </c>
      <c r="K7361" t="s">
        <v>41193</v>
      </c>
      <c r="M7361" t="s">
        <v>42271</v>
      </c>
      <c r="N7361" t="s">
        <v>45095</v>
      </c>
      <c r="O7361" t="s">
        <v>45096</v>
      </c>
      <c r="P7361">
        <v>0</v>
      </c>
      <c r="Q7361">
        <v>0</v>
      </c>
      <c r="R7361" t="s">
        <v>45103</v>
      </c>
      <c r="S7361" t="s">
        <v>45270</v>
      </c>
      <c r="T7361" t="s">
        <v>47159</v>
      </c>
      <c r="U7361" t="s">
        <v>49091</v>
      </c>
      <c r="W7361" t="s">
        <v>42271</v>
      </c>
      <c r="X7361" t="s">
        <v>45104</v>
      </c>
    </row>
    <row r="7362" spans="1:24">
      <c r="A7362">
        <f>HYPERLINK("https://www.philgeps.gov.ph/GEPSNONPILOT/Tender/SplashBidNoticeAbstractUI.aspx?menuIndex=3&amp;refID=7036382&amp;Result=3","7036382")</f>
        <v>0</v>
      </c>
      <c r="B7362" t="s">
        <v>2189</v>
      </c>
      <c r="C7362" t="s">
        <v>10229</v>
      </c>
      <c r="D7362" t="s">
        <v>18106</v>
      </c>
      <c r="E7362" t="s">
        <v>20108</v>
      </c>
      <c r="F7362" t="s">
        <v>31574</v>
      </c>
      <c r="G7362" t="s">
        <v>31582</v>
      </c>
      <c r="H7362" t="s">
        <v>31590</v>
      </c>
      <c r="I7362" t="s">
        <v>4354</v>
      </c>
      <c r="J7362" t="s">
        <v>36439</v>
      </c>
      <c r="K7362" t="s">
        <v>41193</v>
      </c>
      <c r="M7362" t="s">
        <v>43875</v>
      </c>
      <c r="N7362" t="s">
        <v>45095</v>
      </c>
      <c r="O7362" t="s">
        <v>45096</v>
      </c>
      <c r="P7362">
        <v>0</v>
      </c>
      <c r="Q7362">
        <v>3</v>
      </c>
      <c r="R7362" t="s">
        <v>45103</v>
      </c>
      <c r="S7362" t="s">
        <v>45270</v>
      </c>
      <c r="T7362" t="s">
        <v>47011</v>
      </c>
      <c r="U7362" t="s">
        <v>53622</v>
      </c>
      <c r="W7362" t="s">
        <v>43875</v>
      </c>
      <c r="X7362" t="s">
        <v>45104</v>
      </c>
    </row>
    <row r="7363" spans="1:24">
      <c r="A7363">
        <f>HYPERLINK("https://www.philgeps.gov.ph/GEPSNONPILOT/Tender/SplashBidNoticeAbstractUI.aspx?menuIndex=3&amp;refID=7036377&amp;Result=3","7036377")</f>
        <v>0</v>
      </c>
      <c r="B7363" t="s">
        <v>1665</v>
      </c>
      <c r="C7363" t="s">
        <v>10230</v>
      </c>
      <c r="D7363" t="s">
        <v>18075</v>
      </c>
      <c r="E7363" t="s">
        <v>24599</v>
      </c>
      <c r="F7363" t="s">
        <v>31574</v>
      </c>
      <c r="G7363" t="s">
        <v>31582</v>
      </c>
      <c r="H7363" t="s">
        <v>31591</v>
      </c>
      <c r="I7363" t="s">
        <v>8822</v>
      </c>
      <c r="J7363" t="s">
        <v>36440</v>
      </c>
      <c r="K7363" t="s">
        <v>41189</v>
      </c>
      <c r="M7363" t="s">
        <v>43877</v>
      </c>
      <c r="N7363" t="s">
        <v>45095</v>
      </c>
      <c r="O7363" t="s">
        <v>45096</v>
      </c>
      <c r="P7363">
        <v>0</v>
      </c>
      <c r="Q7363">
        <v>1</v>
      </c>
      <c r="R7363" t="s">
        <v>45103</v>
      </c>
      <c r="S7363" t="s">
        <v>45270</v>
      </c>
      <c r="T7363" t="s">
        <v>46988</v>
      </c>
      <c r="U7363" t="s">
        <v>53621</v>
      </c>
      <c r="W7363" t="s">
        <v>43877</v>
      </c>
      <c r="X7363" t="s">
        <v>45104</v>
      </c>
    </row>
    <row r="7364" spans="1:24">
      <c r="A7364">
        <f>HYPERLINK("https://www.philgeps.gov.ph/GEPSNONPILOT/Tender/SplashBidNoticeAbstractUI.aspx?menuIndex=3&amp;refID=7036395&amp;Result=3","7036395")</f>
        <v>0</v>
      </c>
      <c r="B7364" t="s">
        <v>1665</v>
      </c>
      <c r="C7364" t="s">
        <v>10231</v>
      </c>
      <c r="D7364" t="s">
        <v>18075</v>
      </c>
      <c r="E7364" t="s">
        <v>24600</v>
      </c>
      <c r="F7364" t="s">
        <v>31574</v>
      </c>
      <c r="G7364" t="s">
        <v>31582</v>
      </c>
      <c r="H7364" t="s">
        <v>31591</v>
      </c>
      <c r="I7364" t="s">
        <v>8822</v>
      </c>
      <c r="J7364" t="s">
        <v>36441</v>
      </c>
      <c r="K7364" t="s">
        <v>41272</v>
      </c>
      <c r="M7364" t="s">
        <v>43877</v>
      </c>
      <c r="N7364" t="s">
        <v>45095</v>
      </c>
      <c r="O7364" t="s">
        <v>45096</v>
      </c>
      <c r="P7364">
        <v>0</v>
      </c>
      <c r="Q7364">
        <v>0</v>
      </c>
      <c r="R7364" t="s">
        <v>45103</v>
      </c>
      <c r="S7364" t="s">
        <v>45270</v>
      </c>
      <c r="T7364" t="s">
        <v>46988</v>
      </c>
      <c r="U7364" t="s">
        <v>53621</v>
      </c>
      <c r="W7364" t="s">
        <v>43877</v>
      </c>
      <c r="X7364" t="s">
        <v>45104</v>
      </c>
    </row>
    <row r="7365" spans="1:24">
      <c r="A7365">
        <f>HYPERLINK("https://www.philgeps.gov.ph/GEPSNONPILOT/Tender/SplashBidNoticeAbstractUI.aspx?menuIndex=3&amp;refID=7036403&amp;Result=3","7036403")</f>
        <v>0</v>
      </c>
      <c r="B7365" t="s">
        <v>2188</v>
      </c>
      <c r="C7365" t="s">
        <v>10232</v>
      </c>
      <c r="D7365" t="s">
        <v>18024</v>
      </c>
      <c r="E7365" t="s">
        <v>24601</v>
      </c>
      <c r="F7365" t="s">
        <v>31574</v>
      </c>
      <c r="G7365" t="s">
        <v>31582</v>
      </c>
      <c r="H7365" t="s">
        <v>31591</v>
      </c>
      <c r="I7365" t="s">
        <v>8822</v>
      </c>
      <c r="J7365" t="s">
        <v>31771</v>
      </c>
      <c r="K7365" t="s">
        <v>41192</v>
      </c>
      <c r="M7365" t="s">
        <v>43874</v>
      </c>
      <c r="N7365" t="s">
        <v>45095</v>
      </c>
      <c r="O7365" t="s">
        <v>45096</v>
      </c>
      <c r="P7365">
        <v>0</v>
      </c>
      <c r="Q7365">
        <v>5</v>
      </c>
      <c r="R7365" t="s">
        <v>45103</v>
      </c>
      <c r="S7365" t="s">
        <v>45270</v>
      </c>
      <c r="T7365" t="s">
        <v>47000</v>
      </c>
      <c r="U7365" t="s">
        <v>53623</v>
      </c>
      <c r="V7365" t="s">
        <v>60635</v>
      </c>
      <c r="W7365" t="s">
        <v>43874</v>
      </c>
      <c r="X7365" t="s">
        <v>45104</v>
      </c>
    </row>
    <row r="7366" spans="1:24">
      <c r="A7366">
        <f>HYPERLINK("https://www.philgeps.gov.ph/GEPSNONPILOT/Tender/SplashBidNoticeAbstractUI.aspx?menuIndex=3&amp;refID=7036371&amp;Result=3","7036371")</f>
        <v>0</v>
      </c>
      <c r="B7366" t="s">
        <v>2185</v>
      </c>
      <c r="C7366" t="s">
        <v>10233</v>
      </c>
      <c r="D7366" t="s">
        <v>18039</v>
      </c>
      <c r="E7366" t="s">
        <v>24602</v>
      </c>
      <c r="F7366" t="s">
        <v>31574</v>
      </c>
      <c r="G7366" t="s">
        <v>31582</v>
      </c>
      <c r="H7366" t="s">
        <v>31591</v>
      </c>
      <c r="I7366" t="s">
        <v>8822</v>
      </c>
      <c r="J7366" t="s">
        <v>36442</v>
      </c>
      <c r="K7366" t="s">
        <v>41189</v>
      </c>
      <c r="M7366" t="s">
        <v>43871</v>
      </c>
      <c r="N7366" t="s">
        <v>45095</v>
      </c>
      <c r="O7366" t="s">
        <v>45096</v>
      </c>
      <c r="P7366">
        <v>0</v>
      </c>
      <c r="Q7366">
        <v>0</v>
      </c>
      <c r="R7366" t="s">
        <v>45103</v>
      </c>
      <c r="S7366" t="s">
        <v>45270</v>
      </c>
      <c r="T7366" t="s">
        <v>47151</v>
      </c>
      <c r="U7366" t="s">
        <v>53624</v>
      </c>
      <c r="W7366" t="s">
        <v>43871</v>
      </c>
      <c r="X7366" t="s">
        <v>45104</v>
      </c>
    </row>
    <row r="7367" spans="1:24">
      <c r="A7367">
        <f>HYPERLINK("https://www.philgeps.gov.ph/GEPSNONPILOT/Tender/SplashBidNoticeAbstractUI.aspx?menuIndex=3&amp;refID=7036386&amp;Result=3","7036386")</f>
        <v>0</v>
      </c>
      <c r="B7367" t="s">
        <v>2191</v>
      </c>
      <c r="C7367" t="s">
        <v>10234</v>
      </c>
      <c r="E7367" t="s">
        <v>24580</v>
      </c>
      <c r="F7367" t="s">
        <v>31574</v>
      </c>
      <c r="G7367" t="s">
        <v>31582</v>
      </c>
      <c r="H7367" t="s">
        <v>31591</v>
      </c>
      <c r="I7367" t="s">
        <v>8822</v>
      </c>
      <c r="J7367" t="s">
        <v>36443</v>
      </c>
      <c r="K7367" t="s">
        <v>41243</v>
      </c>
      <c r="M7367" t="s">
        <v>43878</v>
      </c>
      <c r="N7367" t="s">
        <v>45095</v>
      </c>
      <c r="O7367" t="s">
        <v>45096</v>
      </c>
      <c r="P7367">
        <v>0</v>
      </c>
      <c r="Q7367">
        <v>0</v>
      </c>
      <c r="R7367" t="s">
        <v>45103</v>
      </c>
      <c r="S7367" t="s">
        <v>45270</v>
      </c>
      <c r="T7367" t="s">
        <v>47004</v>
      </c>
      <c r="U7367" t="s">
        <v>53625</v>
      </c>
      <c r="W7367" t="s">
        <v>43878</v>
      </c>
      <c r="X7367" t="s">
        <v>45104</v>
      </c>
    </row>
    <row r="7368" spans="1:24">
      <c r="A7368">
        <f>HYPERLINK("https://www.philgeps.gov.ph/GEPSNONPILOT/Tender/SplashBidNoticeAbstractUI.aspx?menuIndex=3&amp;refID=7036387&amp;Result=3","7036387")</f>
        <v>0</v>
      </c>
      <c r="B7368" t="s">
        <v>1778</v>
      </c>
      <c r="C7368" t="s">
        <v>10235</v>
      </c>
      <c r="D7368" t="s">
        <v>18063</v>
      </c>
      <c r="E7368" t="s">
        <v>24603</v>
      </c>
      <c r="F7368" t="s">
        <v>31574</v>
      </c>
      <c r="G7368" t="s">
        <v>31581</v>
      </c>
      <c r="H7368" t="s">
        <v>31593</v>
      </c>
      <c r="I7368" t="s">
        <v>31623</v>
      </c>
      <c r="J7368" t="s">
        <v>31873</v>
      </c>
      <c r="K7368" t="s">
        <v>41186</v>
      </c>
      <c r="M7368" t="s">
        <v>43408</v>
      </c>
      <c r="N7368" t="s">
        <v>45095</v>
      </c>
      <c r="O7368" t="s">
        <v>45096</v>
      </c>
      <c r="P7368">
        <v>0</v>
      </c>
      <c r="Q7368">
        <v>0</v>
      </c>
      <c r="R7368" t="s">
        <v>45103</v>
      </c>
      <c r="S7368" t="s">
        <v>45270</v>
      </c>
      <c r="T7368" t="s">
        <v>47124</v>
      </c>
      <c r="U7368" t="s">
        <v>53626</v>
      </c>
      <c r="W7368" t="s">
        <v>43408</v>
      </c>
      <c r="X7368" t="s">
        <v>45104</v>
      </c>
    </row>
    <row r="7369" spans="1:24">
      <c r="A7369">
        <f>HYPERLINK("https://www.philgeps.gov.ph/GEPSNONPILOT/Tender/SplashBidNoticeAbstractUI.aspx?menuIndex=3&amp;refID=7036402&amp;Result=3","7036402")</f>
        <v>0</v>
      </c>
      <c r="B7369" t="s">
        <v>2041</v>
      </c>
      <c r="C7369" t="s">
        <v>10236</v>
      </c>
      <c r="D7369" t="s">
        <v>18049</v>
      </c>
      <c r="E7369" t="s">
        <v>24604</v>
      </c>
      <c r="F7369" t="s">
        <v>31574</v>
      </c>
      <c r="G7369" t="s">
        <v>31582</v>
      </c>
      <c r="H7369" t="s">
        <v>31591</v>
      </c>
      <c r="I7369" t="s">
        <v>8822</v>
      </c>
      <c r="J7369" t="s">
        <v>34697</v>
      </c>
      <c r="K7369" t="s">
        <v>41355</v>
      </c>
      <c r="M7369" t="s">
        <v>43879</v>
      </c>
      <c r="N7369" t="s">
        <v>45095</v>
      </c>
      <c r="O7369" t="s">
        <v>45096</v>
      </c>
      <c r="P7369">
        <v>0</v>
      </c>
      <c r="Q7369">
        <v>0</v>
      </c>
      <c r="R7369" t="s">
        <v>45103</v>
      </c>
      <c r="S7369" t="s">
        <v>45270</v>
      </c>
      <c r="T7369" t="s">
        <v>46965</v>
      </c>
      <c r="U7369" t="s">
        <v>53627</v>
      </c>
      <c r="W7369" t="s">
        <v>43879</v>
      </c>
      <c r="X7369" t="s">
        <v>45104</v>
      </c>
    </row>
    <row r="7370" spans="1:24">
      <c r="A7370">
        <f>HYPERLINK("https://www.philgeps.gov.ph/GEPSNONPILOT/Tender/SplashBidNoticeAbstractUI.aspx?menuIndex=3&amp;refID=7036413&amp;Result=3","7036413")</f>
        <v>0</v>
      </c>
      <c r="B7370" t="s">
        <v>2190</v>
      </c>
      <c r="C7370" t="s">
        <v>10237</v>
      </c>
      <c r="D7370" t="s">
        <v>18025</v>
      </c>
      <c r="E7370" t="s">
        <v>24605</v>
      </c>
      <c r="F7370" t="s">
        <v>31574</v>
      </c>
      <c r="G7370" t="s">
        <v>31582</v>
      </c>
      <c r="H7370" t="s">
        <v>31590</v>
      </c>
      <c r="I7370" t="s">
        <v>4046</v>
      </c>
      <c r="J7370" t="s">
        <v>36444</v>
      </c>
      <c r="K7370" t="s">
        <v>41196</v>
      </c>
      <c r="M7370" t="s">
        <v>43876</v>
      </c>
      <c r="N7370" t="s">
        <v>45095</v>
      </c>
      <c r="O7370" t="s">
        <v>45096</v>
      </c>
      <c r="P7370">
        <v>0</v>
      </c>
      <c r="Q7370">
        <v>2</v>
      </c>
      <c r="R7370" t="s">
        <v>45103</v>
      </c>
      <c r="S7370" t="s">
        <v>45270</v>
      </c>
      <c r="T7370" t="s">
        <v>46962</v>
      </c>
      <c r="U7370" t="s">
        <v>53628</v>
      </c>
      <c r="W7370" t="s">
        <v>43876</v>
      </c>
      <c r="X7370" t="s">
        <v>45104</v>
      </c>
    </row>
    <row r="7371" spans="1:24">
      <c r="A7371">
        <f>HYPERLINK("https://www.philgeps.gov.ph/GEPSNONPILOT/Tender/SplashBidNoticeAbstractUI.aspx?menuIndex=3&amp;refID=7036373&amp;Result=3","7036373")</f>
        <v>0</v>
      </c>
      <c r="B7371" t="s">
        <v>2192</v>
      </c>
      <c r="C7371" t="s">
        <v>10238</v>
      </c>
      <c r="D7371" t="s">
        <v>18027</v>
      </c>
      <c r="E7371" t="s">
        <v>18722</v>
      </c>
      <c r="F7371" t="s">
        <v>31574</v>
      </c>
      <c r="G7371" t="s">
        <v>31581</v>
      </c>
      <c r="H7371" t="s">
        <v>31590</v>
      </c>
      <c r="I7371" t="s">
        <v>31682</v>
      </c>
      <c r="J7371" t="s">
        <v>31895</v>
      </c>
      <c r="K7371" t="s">
        <v>41213</v>
      </c>
      <c r="M7371" t="s">
        <v>43880</v>
      </c>
      <c r="N7371" t="s">
        <v>45095</v>
      </c>
      <c r="O7371" t="s">
        <v>45096</v>
      </c>
      <c r="P7371">
        <v>0</v>
      </c>
      <c r="Q7371">
        <v>0</v>
      </c>
      <c r="R7371" t="s">
        <v>45103</v>
      </c>
      <c r="S7371" t="s">
        <v>45270</v>
      </c>
      <c r="T7371" t="s">
        <v>46985</v>
      </c>
      <c r="U7371" t="s">
        <v>53629</v>
      </c>
      <c r="V7371" t="s">
        <v>59889</v>
      </c>
      <c r="W7371" t="s">
        <v>43880</v>
      </c>
      <c r="X7371" t="s">
        <v>45104</v>
      </c>
    </row>
    <row r="7372" spans="1:24">
      <c r="A7372">
        <f>HYPERLINK("https://www.philgeps.gov.ph/GEPSNONPILOT/Tender/SplashBidNoticeAbstractUI.aspx?menuIndex=3&amp;refID=7036394&amp;Result=3","7036394")</f>
        <v>0</v>
      </c>
      <c r="B7372" t="s">
        <v>2193</v>
      </c>
      <c r="C7372" t="s">
        <v>10239</v>
      </c>
      <c r="D7372" t="s">
        <v>18056</v>
      </c>
      <c r="E7372" t="s">
        <v>18607</v>
      </c>
      <c r="F7372" t="s">
        <v>31574</v>
      </c>
      <c r="G7372" t="s">
        <v>31582</v>
      </c>
      <c r="H7372" t="s">
        <v>31590</v>
      </c>
      <c r="I7372" t="s">
        <v>31619</v>
      </c>
      <c r="J7372" t="s">
        <v>31843</v>
      </c>
      <c r="K7372" t="s">
        <v>41193</v>
      </c>
      <c r="M7372" t="s">
        <v>43881</v>
      </c>
      <c r="N7372" t="s">
        <v>45095</v>
      </c>
      <c r="O7372" t="s">
        <v>45096</v>
      </c>
      <c r="P7372">
        <v>0</v>
      </c>
      <c r="Q7372">
        <v>4</v>
      </c>
      <c r="R7372" t="s">
        <v>45103</v>
      </c>
      <c r="S7372" t="s">
        <v>45270</v>
      </c>
      <c r="T7372" t="s">
        <v>47067</v>
      </c>
      <c r="U7372" t="s">
        <v>53630</v>
      </c>
      <c r="W7372" t="s">
        <v>43881</v>
      </c>
      <c r="X7372" t="s">
        <v>45104</v>
      </c>
    </row>
    <row r="7373" spans="1:24">
      <c r="A7373">
        <f>HYPERLINK("https://www.philgeps.gov.ph/GEPSNONPILOT/Tender/SplashBidNoticeAbstractUI.aspx?menuIndex=3&amp;refID=7036421&amp;Result=3","7036421")</f>
        <v>0</v>
      </c>
      <c r="B7373" t="s">
        <v>2194</v>
      </c>
      <c r="C7373" t="s">
        <v>10240</v>
      </c>
      <c r="D7373" t="s">
        <v>18033</v>
      </c>
      <c r="E7373" t="s">
        <v>18422</v>
      </c>
      <c r="F7373" t="s">
        <v>31574</v>
      </c>
      <c r="G7373" t="s">
        <v>31582</v>
      </c>
      <c r="H7373" t="s">
        <v>31590</v>
      </c>
      <c r="I7373" t="s">
        <v>4046</v>
      </c>
      <c r="J7373" t="s">
        <v>36445</v>
      </c>
      <c r="K7373" t="s">
        <v>41196</v>
      </c>
      <c r="M7373" t="s">
        <v>43882</v>
      </c>
      <c r="N7373" t="s">
        <v>45095</v>
      </c>
      <c r="O7373" t="s">
        <v>45096</v>
      </c>
      <c r="P7373">
        <v>0</v>
      </c>
      <c r="Q7373">
        <v>0</v>
      </c>
      <c r="R7373" t="s">
        <v>45103</v>
      </c>
      <c r="S7373" t="s">
        <v>45270</v>
      </c>
      <c r="T7373" t="s">
        <v>46918</v>
      </c>
      <c r="U7373" t="s">
        <v>53631</v>
      </c>
      <c r="W7373" t="s">
        <v>43882</v>
      </c>
      <c r="X7373" t="s">
        <v>45104</v>
      </c>
    </row>
    <row r="7374" spans="1:24">
      <c r="A7374">
        <f>HYPERLINK("https://www.philgeps.gov.ph/GEPSNONPILOT/Tender/SplashBidNoticeAbstractUI.aspx?menuIndex=3&amp;refID=7036422&amp;Result=3","7036422")</f>
        <v>0</v>
      </c>
      <c r="B7374" t="s">
        <v>1665</v>
      </c>
      <c r="C7374" t="s">
        <v>10241</v>
      </c>
      <c r="D7374" t="s">
        <v>18075</v>
      </c>
      <c r="E7374" t="s">
        <v>24606</v>
      </c>
      <c r="F7374" t="s">
        <v>31574</v>
      </c>
      <c r="G7374" t="s">
        <v>31582</v>
      </c>
      <c r="H7374" t="s">
        <v>31591</v>
      </c>
      <c r="I7374" t="s">
        <v>8822</v>
      </c>
      <c r="J7374" t="s">
        <v>36446</v>
      </c>
      <c r="K7374" t="s">
        <v>41247</v>
      </c>
      <c r="M7374" t="s">
        <v>43877</v>
      </c>
      <c r="N7374" t="s">
        <v>45095</v>
      </c>
      <c r="O7374" t="s">
        <v>45096</v>
      </c>
      <c r="P7374">
        <v>0</v>
      </c>
      <c r="Q7374">
        <v>1</v>
      </c>
      <c r="R7374" t="s">
        <v>45103</v>
      </c>
      <c r="S7374" t="s">
        <v>45270</v>
      </c>
      <c r="T7374" t="s">
        <v>46988</v>
      </c>
      <c r="U7374" t="s">
        <v>53621</v>
      </c>
      <c r="W7374" t="s">
        <v>43877</v>
      </c>
      <c r="X7374" t="s">
        <v>45104</v>
      </c>
    </row>
    <row r="7375" spans="1:24">
      <c r="A7375">
        <f>HYPERLINK("https://www.philgeps.gov.ph/GEPSNONPILOT/Tender/SplashBidNoticeAbstractUI.aspx?menuIndex=3&amp;refID=7036423&amp;Result=3","7036423")</f>
        <v>0</v>
      </c>
      <c r="B7375" t="s">
        <v>2195</v>
      </c>
      <c r="C7375" t="s">
        <v>10242</v>
      </c>
      <c r="D7375" t="s">
        <v>18089</v>
      </c>
      <c r="E7375" t="s">
        <v>24223</v>
      </c>
      <c r="F7375" t="s">
        <v>31574</v>
      </c>
      <c r="G7375" t="s">
        <v>31582</v>
      </c>
      <c r="H7375" t="s">
        <v>31590</v>
      </c>
      <c r="I7375" t="s">
        <v>4046</v>
      </c>
      <c r="J7375" t="s">
        <v>36447</v>
      </c>
      <c r="K7375" t="s">
        <v>41184</v>
      </c>
      <c r="M7375" t="s">
        <v>43883</v>
      </c>
      <c r="N7375" t="s">
        <v>45095</v>
      </c>
      <c r="O7375" t="s">
        <v>45096</v>
      </c>
      <c r="P7375">
        <v>0</v>
      </c>
      <c r="Q7375">
        <v>0</v>
      </c>
      <c r="R7375" t="s">
        <v>45103</v>
      </c>
      <c r="S7375" t="s">
        <v>45270</v>
      </c>
      <c r="T7375" t="s">
        <v>46936</v>
      </c>
      <c r="U7375" t="s">
        <v>53632</v>
      </c>
      <c r="W7375" t="s">
        <v>43883</v>
      </c>
      <c r="X7375" t="s">
        <v>45104</v>
      </c>
    </row>
    <row r="7376" spans="1:24">
      <c r="A7376">
        <f>HYPERLINK("https://www.philgeps.gov.ph/GEPSNONPILOT/Tender/SplashBidNoticeAbstractUI.aspx?menuIndex=3&amp;refID=7036416&amp;Result=3","7036416")</f>
        <v>0</v>
      </c>
      <c r="B7376" t="s">
        <v>1299</v>
      </c>
      <c r="C7376" t="s">
        <v>10243</v>
      </c>
      <c r="D7376" t="s">
        <v>18076</v>
      </c>
      <c r="E7376" t="s">
        <v>24607</v>
      </c>
      <c r="F7376" t="s">
        <v>31574</v>
      </c>
      <c r="G7376" t="s">
        <v>31582</v>
      </c>
      <c r="H7376" t="s">
        <v>31590</v>
      </c>
      <c r="I7376" t="s">
        <v>31600</v>
      </c>
      <c r="J7376" t="s">
        <v>36448</v>
      </c>
      <c r="K7376" t="s">
        <v>41196</v>
      </c>
      <c r="M7376" t="s">
        <v>42869</v>
      </c>
      <c r="N7376" t="s">
        <v>45095</v>
      </c>
      <c r="O7376" t="s">
        <v>45096</v>
      </c>
      <c r="P7376">
        <v>0</v>
      </c>
      <c r="Q7376">
        <v>0</v>
      </c>
      <c r="R7376" t="s">
        <v>45103</v>
      </c>
      <c r="S7376" t="s">
        <v>45270</v>
      </c>
      <c r="T7376" t="s">
        <v>46938</v>
      </c>
      <c r="U7376" t="s">
        <v>53633</v>
      </c>
      <c r="W7376" t="s">
        <v>42869</v>
      </c>
      <c r="X7376" t="s">
        <v>45104</v>
      </c>
    </row>
    <row r="7377" spans="1:24">
      <c r="A7377">
        <f>HYPERLINK("https://www.philgeps.gov.ph/GEPSNONPILOT/Tender/SplashBidNoticeAbstractUI.aspx?menuIndex=3&amp;refID=7036425&amp;Result=3","7036425")</f>
        <v>0</v>
      </c>
      <c r="B7377" t="s">
        <v>2196</v>
      </c>
      <c r="C7377" t="s">
        <v>10244</v>
      </c>
      <c r="D7377" t="s">
        <v>18086</v>
      </c>
      <c r="E7377" t="s">
        <v>24608</v>
      </c>
      <c r="F7377" t="s">
        <v>31574</v>
      </c>
      <c r="G7377" t="s">
        <v>31582</v>
      </c>
      <c r="H7377" t="s">
        <v>31591</v>
      </c>
      <c r="I7377" t="s">
        <v>8822</v>
      </c>
      <c r="J7377" t="s">
        <v>36449</v>
      </c>
      <c r="K7377" t="s">
        <v>41192</v>
      </c>
      <c r="M7377" t="s">
        <v>43884</v>
      </c>
      <c r="N7377" t="s">
        <v>45095</v>
      </c>
      <c r="O7377" t="s">
        <v>45096</v>
      </c>
      <c r="P7377">
        <v>0</v>
      </c>
      <c r="Q7377">
        <v>0</v>
      </c>
      <c r="R7377" t="s">
        <v>45103</v>
      </c>
      <c r="S7377" t="s">
        <v>45270</v>
      </c>
      <c r="T7377" t="s">
        <v>46988</v>
      </c>
      <c r="U7377" t="s">
        <v>53634</v>
      </c>
      <c r="W7377" t="s">
        <v>43884</v>
      </c>
      <c r="X7377" t="s">
        <v>45104</v>
      </c>
    </row>
    <row r="7378" spans="1:24">
      <c r="A7378">
        <f>HYPERLINK("https://www.philgeps.gov.ph/GEPSNONPILOT/Tender/SplashBidNoticeAbstractUI.aspx?menuIndex=3&amp;refID=7036411&amp;Result=3","7036411")</f>
        <v>0</v>
      </c>
      <c r="B7378" t="s">
        <v>629</v>
      </c>
      <c r="C7378" t="s">
        <v>10245</v>
      </c>
      <c r="D7378" t="s">
        <v>18075</v>
      </c>
      <c r="E7378" t="s">
        <v>18505</v>
      </c>
      <c r="F7378" t="s">
        <v>31574</v>
      </c>
      <c r="G7378" t="s">
        <v>31582</v>
      </c>
      <c r="H7378" t="s">
        <v>31591</v>
      </c>
      <c r="I7378" t="s">
        <v>8822</v>
      </c>
      <c r="J7378" t="s">
        <v>32001</v>
      </c>
      <c r="K7378" t="s">
        <v>41246</v>
      </c>
      <c r="M7378" t="s">
        <v>42133</v>
      </c>
      <c r="N7378" t="s">
        <v>45095</v>
      </c>
      <c r="O7378" t="s">
        <v>45096</v>
      </c>
      <c r="P7378">
        <v>0</v>
      </c>
      <c r="Q7378">
        <v>0</v>
      </c>
      <c r="R7378" t="s">
        <v>45103</v>
      </c>
      <c r="S7378" t="s">
        <v>45270</v>
      </c>
      <c r="T7378" t="s">
        <v>46936</v>
      </c>
      <c r="U7378" t="s">
        <v>53635</v>
      </c>
      <c r="W7378" t="s">
        <v>42133</v>
      </c>
      <c r="X7378" t="s">
        <v>45104</v>
      </c>
    </row>
    <row r="7379" spans="1:24">
      <c r="A7379">
        <f>HYPERLINK("https://www.philgeps.gov.ph/GEPSNONPILOT/Tender/SplashBidNoticeAbstractUI.aspx?menuIndex=3&amp;refID=7036420&amp;Result=3","7036420")</f>
        <v>0</v>
      </c>
      <c r="B7379" t="s">
        <v>965</v>
      </c>
      <c r="C7379" t="s">
        <v>10246</v>
      </c>
      <c r="E7379" t="s">
        <v>24609</v>
      </c>
      <c r="F7379" t="s">
        <v>31574</v>
      </c>
      <c r="G7379" t="s">
        <v>31585</v>
      </c>
      <c r="H7379" t="s">
        <v>31590</v>
      </c>
      <c r="I7379" t="s">
        <v>31615</v>
      </c>
      <c r="J7379" t="s">
        <v>31819</v>
      </c>
      <c r="K7379" t="s">
        <v>41184</v>
      </c>
      <c r="M7379" t="s">
        <v>42494</v>
      </c>
      <c r="N7379" t="s">
        <v>45095</v>
      </c>
      <c r="O7379" t="s">
        <v>45096</v>
      </c>
      <c r="P7379">
        <v>0</v>
      </c>
      <c r="Q7379">
        <v>2</v>
      </c>
      <c r="R7379" t="s">
        <v>45103</v>
      </c>
      <c r="S7379" t="s">
        <v>45270</v>
      </c>
      <c r="T7379" t="s">
        <v>46992</v>
      </c>
      <c r="U7379" t="s">
        <v>53636</v>
      </c>
      <c r="W7379" t="s">
        <v>42494</v>
      </c>
      <c r="X7379" t="s">
        <v>45104</v>
      </c>
    </row>
    <row r="7380" spans="1:24">
      <c r="A7380">
        <f>HYPERLINK("https://www.philgeps.gov.ph/GEPSNONPILOT/Tender/SplashBidNoticeAbstractUI.aspx?menuIndex=3&amp;refID=7036429&amp;Result=3","7036429")</f>
        <v>0</v>
      </c>
      <c r="B7380" t="s">
        <v>2197</v>
      </c>
      <c r="C7380" t="s">
        <v>10247</v>
      </c>
      <c r="D7380" t="s">
        <v>18040</v>
      </c>
      <c r="E7380" t="s">
        <v>18795</v>
      </c>
      <c r="F7380" t="s">
        <v>31574</v>
      </c>
      <c r="G7380" t="s">
        <v>31582</v>
      </c>
      <c r="H7380" t="s">
        <v>31590</v>
      </c>
      <c r="I7380" t="s">
        <v>31603</v>
      </c>
      <c r="J7380" t="s">
        <v>31742</v>
      </c>
      <c r="K7380" t="s">
        <v>41193</v>
      </c>
      <c r="M7380" t="s">
        <v>43885</v>
      </c>
      <c r="N7380" t="s">
        <v>45095</v>
      </c>
      <c r="O7380" t="s">
        <v>45096</v>
      </c>
      <c r="P7380">
        <v>0</v>
      </c>
      <c r="Q7380">
        <v>2</v>
      </c>
      <c r="R7380" t="s">
        <v>45103</v>
      </c>
      <c r="S7380" t="s">
        <v>45270</v>
      </c>
      <c r="T7380" t="s">
        <v>46985</v>
      </c>
      <c r="U7380" t="s">
        <v>53637</v>
      </c>
      <c r="W7380" t="s">
        <v>43885</v>
      </c>
      <c r="X7380" t="s">
        <v>45104</v>
      </c>
    </row>
    <row r="7381" spans="1:24">
      <c r="A7381">
        <f>HYPERLINK("https://www.philgeps.gov.ph/GEPSNONPILOT/Tender/SplashBidNoticeAbstractUI.aspx?menuIndex=3&amp;refID=7036415&amp;Result=3","7036415")</f>
        <v>0</v>
      </c>
      <c r="B7381" t="s">
        <v>1665</v>
      </c>
      <c r="C7381" t="s">
        <v>10248</v>
      </c>
      <c r="D7381" t="s">
        <v>18075</v>
      </c>
      <c r="E7381" t="s">
        <v>24610</v>
      </c>
      <c r="F7381" t="s">
        <v>31574</v>
      </c>
      <c r="G7381" t="s">
        <v>31582</v>
      </c>
      <c r="H7381" t="s">
        <v>31590</v>
      </c>
      <c r="I7381" t="s">
        <v>8822</v>
      </c>
      <c r="J7381" t="s">
        <v>36450</v>
      </c>
      <c r="K7381" t="s">
        <v>41336</v>
      </c>
      <c r="M7381" t="s">
        <v>43877</v>
      </c>
      <c r="N7381" t="s">
        <v>45095</v>
      </c>
      <c r="O7381" t="s">
        <v>45096</v>
      </c>
      <c r="P7381">
        <v>0</v>
      </c>
      <c r="Q7381">
        <v>0</v>
      </c>
      <c r="R7381" t="s">
        <v>45103</v>
      </c>
      <c r="S7381" t="s">
        <v>45270</v>
      </c>
      <c r="T7381" t="s">
        <v>46988</v>
      </c>
      <c r="U7381" t="s">
        <v>53621</v>
      </c>
      <c r="W7381" t="s">
        <v>43877</v>
      </c>
      <c r="X7381" t="s">
        <v>45104</v>
      </c>
    </row>
    <row r="7382" spans="1:24">
      <c r="A7382">
        <f>HYPERLINK("https://www.philgeps.gov.ph/GEPSNONPILOT/Tender/SplashBidNoticeAbstractUI.aspx?menuIndex=3&amp;refID=7036410&amp;Result=3","7036410")</f>
        <v>0</v>
      </c>
      <c r="B7382" t="s">
        <v>31</v>
      </c>
      <c r="C7382" t="s">
        <v>10249</v>
      </c>
      <c r="E7382" t="s">
        <v>24611</v>
      </c>
      <c r="F7382" t="s">
        <v>31574</v>
      </c>
      <c r="G7382" t="s">
        <v>31581</v>
      </c>
      <c r="H7382" t="s">
        <v>31590</v>
      </c>
      <c r="I7382" t="s">
        <v>5717</v>
      </c>
      <c r="J7382" t="s">
        <v>36451</v>
      </c>
      <c r="K7382" t="s">
        <v>41184</v>
      </c>
      <c r="M7382" t="s">
        <v>41518</v>
      </c>
      <c r="N7382" t="s">
        <v>45095</v>
      </c>
      <c r="O7382" t="s">
        <v>45096</v>
      </c>
      <c r="P7382">
        <v>0</v>
      </c>
      <c r="Q7382">
        <v>4</v>
      </c>
      <c r="R7382" t="s">
        <v>45103</v>
      </c>
      <c r="S7382" t="s">
        <v>45270</v>
      </c>
      <c r="T7382" t="s">
        <v>47076</v>
      </c>
      <c r="U7382" t="s">
        <v>47477</v>
      </c>
      <c r="W7382" t="s">
        <v>41518</v>
      </c>
      <c r="X7382" t="s">
        <v>45104</v>
      </c>
    </row>
    <row r="7383" spans="1:24">
      <c r="A7383">
        <f>HYPERLINK("https://www.philgeps.gov.ph/GEPSNONPILOT/Tender/SplashBidNoticeAbstractUI.aspx?menuIndex=3&amp;refID=7036446&amp;Result=3","7036446")</f>
        <v>0</v>
      </c>
      <c r="B7383" t="s">
        <v>670</v>
      </c>
      <c r="C7383" t="s">
        <v>10250</v>
      </c>
      <c r="E7383" t="s">
        <v>24612</v>
      </c>
      <c r="F7383" t="s">
        <v>31574</v>
      </c>
      <c r="G7383" t="s">
        <v>31582</v>
      </c>
      <c r="H7383" t="s">
        <v>31590</v>
      </c>
      <c r="I7383" t="s">
        <v>31608</v>
      </c>
      <c r="J7383" t="s">
        <v>31771</v>
      </c>
      <c r="K7383" t="s">
        <v>41184</v>
      </c>
      <c r="M7383" t="s">
        <v>42719</v>
      </c>
      <c r="N7383" t="s">
        <v>45095</v>
      </c>
      <c r="O7383" t="s">
        <v>45096</v>
      </c>
      <c r="P7383">
        <v>0</v>
      </c>
      <c r="Q7383">
        <v>11</v>
      </c>
      <c r="R7383" t="s">
        <v>45103</v>
      </c>
      <c r="S7383" t="s">
        <v>45270</v>
      </c>
      <c r="T7383" t="s">
        <v>47004</v>
      </c>
      <c r="U7383" t="s">
        <v>53638</v>
      </c>
      <c r="W7383" t="s">
        <v>42719</v>
      </c>
      <c r="X7383" t="s">
        <v>45104</v>
      </c>
    </row>
    <row r="7384" spans="1:24">
      <c r="A7384">
        <f>HYPERLINK("https://www.philgeps.gov.ph/GEPSNONPILOT/Tender/SplashBidNoticeAbstractUI.aspx?menuIndex=3&amp;refID=7036445&amp;Result=3","7036445")</f>
        <v>0</v>
      </c>
      <c r="B7384" t="s">
        <v>132</v>
      </c>
      <c r="C7384" t="s">
        <v>10251</v>
      </c>
      <c r="D7384" t="s">
        <v>18059</v>
      </c>
      <c r="E7384" t="s">
        <v>24613</v>
      </c>
      <c r="F7384" t="s">
        <v>31574</v>
      </c>
      <c r="G7384" t="s">
        <v>31582</v>
      </c>
      <c r="H7384" t="s">
        <v>31590</v>
      </c>
      <c r="I7384" t="s">
        <v>4046</v>
      </c>
      <c r="J7384" t="s">
        <v>36452</v>
      </c>
      <c r="K7384" t="s">
        <v>41190</v>
      </c>
      <c r="M7384" t="s">
        <v>41616</v>
      </c>
      <c r="N7384" t="s">
        <v>45095</v>
      </c>
      <c r="O7384" t="s">
        <v>45096</v>
      </c>
      <c r="P7384">
        <v>0</v>
      </c>
      <c r="Q7384">
        <v>0</v>
      </c>
      <c r="R7384" t="s">
        <v>45103</v>
      </c>
      <c r="S7384" t="s">
        <v>45270</v>
      </c>
      <c r="T7384" t="s">
        <v>46973</v>
      </c>
      <c r="U7384" t="s">
        <v>53639</v>
      </c>
      <c r="W7384" t="s">
        <v>41616</v>
      </c>
      <c r="X7384" t="s">
        <v>45104</v>
      </c>
    </row>
    <row r="7385" spans="1:24">
      <c r="A7385">
        <f>HYPERLINK("https://www.philgeps.gov.ph/GEPSNONPILOT/Tender/SplashBidNoticeAbstractUI.aspx?menuIndex=3&amp;refID=7036433&amp;Result=3","7036433")</f>
        <v>0</v>
      </c>
      <c r="B7385" t="s">
        <v>357</v>
      </c>
      <c r="C7385" t="s">
        <v>10252</v>
      </c>
      <c r="D7385" t="s">
        <v>18026</v>
      </c>
      <c r="E7385" t="s">
        <v>19271</v>
      </c>
      <c r="F7385" t="s">
        <v>31574</v>
      </c>
      <c r="G7385" t="s">
        <v>31585</v>
      </c>
      <c r="H7385" t="s">
        <v>31590</v>
      </c>
      <c r="I7385" t="s">
        <v>8258</v>
      </c>
      <c r="J7385" t="s">
        <v>36453</v>
      </c>
      <c r="K7385" t="s">
        <v>41193</v>
      </c>
      <c r="M7385" t="s">
        <v>42576</v>
      </c>
      <c r="N7385" t="s">
        <v>45095</v>
      </c>
      <c r="O7385" t="s">
        <v>45096</v>
      </c>
      <c r="P7385">
        <v>0</v>
      </c>
      <c r="Q7385">
        <v>3</v>
      </c>
      <c r="R7385" t="s">
        <v>45103</v>
      </c>
      <c r="S7385" t="s">
        <v>45270</v>
      </c>
      <c r="T7385" t="s">
        <v>47076</v>
      </c>
      <c r="U7385" t="s">
        <v>53640</v>
      </c>
      <c r="W7385" t="s">
        <v>42576</v>
      </c>
      <c r="X7385" t="s">
        <v>45104</v>
      </c>
    </row>
    <row r="7386" spans="1:24">
      <c r="A7386">
        <f>HYPERLINK("https://www.philgeps.gov.ph/GEPSNONPILOT/Tender/SplashBidNoticeAbstractUI.aspx?menuIndex=3&amp;refID=7036432&amp;Result=3","7036432")</f>
        <v>0</v>
      </c>
      <c r="B7386" t="s">
        <v>379</v>
      </c>
      <c r="C7386" t="s">
        <v>10253</v>
      </c>
      <c r="D7386" t="s">
        <v>18025</v>
      </c>
      <c r="E7386" t="s">
        <v>23019</v>
      </c>
      <c r="F7386" t="s">
        <v>31574</v>
      </c>
      <c r="G7386" t="s">
        <v>31583</v>
      </c>
      <c r="H7386" t="s">
        <v>31590</v>
      </c>
      <c r="I7386" t="s">
        <v>7185</v>
      </c>
      <c r="J7386" t="s">
        <v>36454</v>
      </c>
      <c r="K7386" t="s">
        <v>41184</v>
      </c>
      <c r="M7386" t="s">
        <v>41869</v>
      </c>
      <c r="N7386" t="s">
        <v>45095</v>
      </c>
      <c r="O7386" t="s">
        <v>45096</v>
      </c>
      <c r="P7386">
        <v>0</v>
      </c>
      <c r="Q7386">
        <v>12</v>
      </c>
      <c r="R7386" t="s">
        <v>45103</v>
      </c>
      <c r="S7386" t="s">
        <v>45270</v>
      </c>
      <c r="T7386" t="s">
        <v>47158</v>
      </c>
      <c r="U7386" t="s">
        <v>53641</v>
      </c>
      <c r="W7386" t="s">
        <v>41869</v>
      </c>
      <c r="X7386" t="s">
        <v>45104</v>
      </c>
    </row>
    <row r="7387" spans="1:24">
      <c r="A7387">
        <f>HYPERLINK("https://www.philgeps.gov.ph/GEPSNONPILOT/Tender/SplashBidNoticeAbstractUI.aspx?menuIndex=3&amp;refID=7036447&amp;Result=3","7036447")</f>
        <v>0</v>
      </c>
      <c r="B7387" t="s">
        <v>1470</v>
      </c>
      <c r="C7387" t="s">
        <v>10254</v>
      </c>
      <c r="D7387" t="s">
        <v>18065</v>
      </c>
      <c r="E7387" t="s">
        <v>24614</v>
      </c>
      <c r="F7387" t="s">
        <v>31574</v>
      </c>
      <c r="G7387" t="s">
        <v>31587</v>
      </c>
      <c r="H7387" t="s">
        <v>31590</v>
      </c>
      <c r="I7387" t="s">
        <v>31593</v>
      </c>
      <c r="J7387" t="s">
        <v>31728</v>
      </c>
      <c r="K7387" t="s">
        <v>41225</v>
      </c>
      <c r="M7387" t="s">
        <v>43052</v>
      </c>
      <c r="N7387" t="s">
        <v>45095</v>
      </c>
      <c r="O7387" t="s">
        <v>45096</v>
      </c>
      <c r="P7387">
        <v>0</v>
      </c>
      <c r="Q7387">
        <v>1</v>
      </c>
      <c r="R7387" t="s">
        <v>45103</v>
      </c>
      <c r="S7387" t="s">
        <v>45270</v>
      </c>
      <c r="T7387" t="s">
        <v>47058</v>
      </c>
      <c r="U7387" t="s">
        <v>53642</v>
      </c>
      <c r="W7387" t="s">
        <v>43052</v>
      </c>
      <c r="X7387" t="s">
        <v>45104</v>
      </c>
    </row>
    <row r="7388" spans="1:24">
      <c r="A7388">
        <f>HYPERLINK("https://www.philgeps.gov.ph/GEPSNONPILOT/Tender/SplashBidNoticeAbstractUI.aspx?menuIndex=3&amp;refID=7036431&amp;Result=3","7036431")</f>
        <v>0</v>
      </c>
      <c r="B7388" t="s">
        <v>59</v>
      </c>
      <c r="C7388" t="s">
        <v>10255</v>
      </c>
      <c r="D7388" t="s">
        <v>18048</v>
      </c>
      <c r="E7388" t="s">
        <v>24615</v>
      </c>
      <c r="F7388" t="s">
        <v>31574</v>
      </c>
      <c r="G7388" t="s">
        <v>31581</v>
      </c>
      <c r="H7388" t="s">
        <v>31590</v>
      </c>
      <c r="I7388" t="s">
        <v>7162</v>
      </c>
      <c r="J7388" t="s">
        <v>32232</v>
      </c>
      <c r="K7388" t="s">
        <v>41186</v>
      </c>
      <c r="M7388" t="s">
        <v>41543</v>
      </c>
      <c r="N7388" t="s">
        <v>45095</v>
      </c>
      <c r="O7388" t="s">
        <v>45096</v>
      </c>
      <c r="P7388">
        <v>0</v>
      </c>
      <c r="Q7388">
        <v>2</v>
      </c>
      <c r="R7388" t="s">
        <v>45103</v>
      </c>
      <c r="S7388" t="s">
        <v>45270</v>
      </c>
      <c r="T7388" t="s">
        <v>47050</v>
      </c>
      <c r="U7388" t="s">
        <v>53643</v>
      </c>
      <c r="V7388" t="s">
        <v>59856</v>
      </c>
      <c r="W7388" t="s">
        <v>41543</v>
      </c>
      <c r="X7388" t="s">
        <v>45104</v>
      </c>
    </row>
    <row r="7389" spans="1:24">
      <c r="A7389">
        <f>HYPERLINK("https://www.philgeps.gov.ph/GEPSNONPILOT/Tender/SplashBidNoticeAbstractUI.aspx?menuIndex=3&amp;refID=7036471&amp;Result=3","7036471")</f>
        <v>0</v>
      </c>
      <c r="B7389" t="s">
        <v>379</v>
      </c>
      <c r="C7389" t="s">
        <v>10256</v>
      </c>
      <c r="D7389" t="s">
        <v>18025</v>
      </c>
      <c r="E7389" t="s">
        <v>24616</v>
      </c>
      <c r="F7389" t="s">
        <v>31574</v>
      </c>
      <c r="G7389" t="s">
        <v>31583</v>
      </c>
      <c r="H7389" t="s">
        <v>31590</v>
      </c>
      <c r="I7389" t="s">
        <v>8258</v>
      </c>
      <c r="J7389" t="s">
        <v>31782</v>
      </c>
      <c r="K7389" t="s">
        <v>41184</v>
      </c>
      <c r="M7389" t="s">
        <v>41869</v>
      </c>
      <c r="N7389" t="s">
        <v>45095</v>
      </c>
      <c r="O7389" t="s">
        <v>45096</v>
      </c>
      <c r="P7389">
        <v>0</v>
      </c>
      <c r="Q7389">
        <v>17</v>
      </c>
      <c r="R7389" t="s">
        <v>45103</v>
      </c>
      <c r="S7389" t="s">
        <v>45270</v>
      </c>
      <c r="T7389" t="s">
        <v>46980</v>
      </c>
      <c r="U7389" t="s">
        <v>53644</v>
      </c>
      <c r="W7389" t="s">
        <v>41869</v>
      </c>
      <c r="X7389" t="s">
        <v>45104</v>
      </c>
    </row>
    <row r="7390" spans="1:24">
      <c r="A7390">
        <f>HYPERLINK("https://www.philgeps.gov.ph/GEPSNONPILOT/Tender/SplashBidNoticeAbstractUI.aspx?menuIndex=3&amp;refID=7036438&amp;Result=3","7036438")</f>
        <v>0</v>
      </c>
      <c r="B7390" t="s">
        <v>552</v>
      </c>
      <c r="C7390" t="s">
        <v>10257</v>
      </c>
      <c r="D7390" t="s">
        <v>18040</v>
      </c>
      <c r="E7390" t="s">
        <v>24617</v>
      </c>
      <c r="F7390" t="s">
        <v>31574</v>
      </c>
      <c r="G7390" t="s">
        <v>31582</v>
      </c>
      <c r="H7390" t="s">
        <v>31591</v>
      </c>
      <c r="I7390" t="s">
        <v>8822</v>
      </c>
      <c r="J7390" t="s">
        <v>31935</v>
      </c>
      <c r="K7390" t="s">
        <v>41192</v>
      </c>
      <c r="M7390" t="s">
        <v>42049</v>
      </c>
      <c r="N7390" t="s">
        <v>45095</v>
      </c>
      <c r="O7390" t="s">
        <v>45096</v>
      </c>
      <c r="P7390">
        <v>0</v>
      </c>
      <c r="Q7390">
        <v>0</v>
      </c>
      <c r="R7390" t="s">
        <v>45103</v>
      </c>
      <c r="S7390" t="s">
        <v>45270</v>
      </c>
      <c r="T7390" t="s">
        <v>46943</v>
      </c>
      <c r="U7390" t="s">
        <v>53645</v>
      </c>
      <c r="W7390" t="s">
        <v>42049</v>
      </c>
      <c r="X7390" t="s">
        <v>45104</v>
      </c>
    </row>
    <row r="7391" spans="1:24">
      <c r="A7391">
        <f>HYPERLINK("https://www.philgeps.gov.ph/GEPSNONPILOT/Tender/SplashBidNoticeAbstractUI.aspx?menuIndex=3&amp;refID=7036443&amp;Result=3","7036443")</f>
        <v>0</v>
      </c>
      <c r="B7391" t="s">
        <v>2196</v>
      </c>
      <c r="C7391" t="s">
        <v>10258</v>
      </c>
      <c r="D7391" t="s">
        <v>18086</v>
      </c>
      <c r="E7391" t="s">
        <v>24618</v>
      </c>
      <c r="F7391" t="s">
        <v>31574</v>
      </c>
      <c r="G7391" t="s">
        <v>31582</v>
      </c>
      <c r="H7391" t="s">
        <v>31591</v>
      </c>
      <c r="I7391" t="s">
        <v>8822</v>
      </c>
      <c r="J7391" t="s">
        <v>36455</v>
      </c>
      <c r="K7391" t="s">
        <v>41186</v>
      </c>
      <c r="M7391" t="s">
        <v>43884</v>
      </c>
      <c r="N7391" t="s">
        <v>45095</v>
      </c>
      <c r="O7391" t="s">
        <v>45096</v>
      </c>
      <c r="P7391">
        <v>0</v>
      </c>
      <c r="Q7391">
        <v>0</v>
      </c>
      <c r="R7391" t="s">
        <v>45103</v>
      </c>
      <c r="S7391" t="s">
        <v>45270</v>
      </c>
      <c r="T7391" t="s">
        <v>46988</v>
      </c>
      <c r="U7391" t="s">
        <v>53634</v>
      </c>
      <c r="W7391" t="s">
        <v>43884</v>
      </c>
      <c r="X7391" t="s">
        <v>45104</v>
      </c>
    </row>
    <row r="7392" spans="1:24">
      <c r="A7392">
        <f>HYPERLINK("https://www.philgeps.gov.ph/GEPSNONPILOT/Tender/SplashBidNoticeAbstractUI.aspx?menuIndex=3&amp;refID=7036469&amp;Result=3","7036469")</f>
        <v>0</v>
      </c>
      <c r="B7392" t="s">
        <v>552</v>
      </c>
      <c r="C7392" t="s">
        <v>10259</v>
      </c>
      <c r="D7392" t="s">
        <v>18040</v>
      </c>
      <c r="E7392" t="s">
        <v>24619</v>
      </c>
      <c r="F7392" t="s">
        <v>31574</v>
      </c>
      <c r="G7392" t="s">
        <v>31582</v>
      </c>
      <c r="H7392" t="s">
        <v>31591</v>
      </c>
      <c r="I7392" t="s">
        <v>8822</v>
      </c>
      <c r="J7392" t="s">
        <v>31947</v>
      </c>
      <c r="K7392" t="s">
        <v>41186</v>
      </c>
      <c r="M7392" t="s">
        <v>42049</v>
      </c>
      <c r="N7392" t="s">
        <v>45095</v>
      </c>
      <c r="O7392" t="s">
        <v>45096</v>
      </c>
      <c r="P7392">
        <v>0</v>
      </c>
      <c r="Q7392">
        <v>0</v>
      </c>
      <c r="R7392" t="s">
        <v>45103</v>
      </c>
      <c r="S7392" t="s">
        <v>45270</v>
      </c>
      <c r="T7392" t="s">
        <v>46943</v>
      </c>
      <c r="U7392" t="s">
        <v>53645</v>
      </c>
      <c r="W7392" t="s">
        <v>42049</v>
      </c>
      <c r="X7392" t="s">
        <v>45104</v>
      </c>
    </row>
    <row r="7393" spans="1:24">
      <c r="A7393">
        <f>HYPERLINK("https://www.philgeps.gov.ph/GEPSNONPILOT/Tender/SplashBidNoticeAbstractUI.aspx?menuIndex=3&amp;refID=7036441&amp;Result=3","7036441")</f>
        <v>0</v>
      </c>
      <c r="B7393" t="s">
        <v>1887</v>
      </c>
      <c r="C7393" t="s">
        <v>10260</v>
      </c>
      <c r="D7393" t="s">
        <v>18022</v>
      </c>
      <c r="E7393" t="s">
        <v>24620</v>
      </c>
      <c r="F7393" t="s">
        <v>31574</v>
      </c>
      <c r="G7393" t="s">
        <v>31581</v>
      </c>
      <c r="H7393" t="s">
        <v>31590</v>
      </c>
      <c r="I7393" t="s">
        <v>31599</v>
      </c>
      <c r="J7393" t="s">
        <v>36456</v>
      </c>
      <c r="K7393" t="s">
        <v>41196</v>
      </c>
      <c r="M7393" t="s">
        <v>43855</v>
      </c>
      <c r="N7393" t="s">
        <v>45095</v>
      </c>
      <c r="O7393" t="s">
        <v>45096</v>
      </c>
      <c r="P7393">
        <v>0</v>
      </c>
      <c r="Q7393">
        <v>3</v>
      </c>
      <c r="R7393" t="s">
        <v>45103</v>
      </c>
      <c r="S7393" t="s">
        <v>45270</v>
      </c>
      <c r="T7393" t="s">
        <v>47125</v>
      </c>
      <c r="U7393" t="s">
        <v>53646</v>
      </c>
      <c r="W7393" t="s">
        <v>43855</v>
      </c>
      <c r="X7393" t="s">
        <v>45104</v>
      </c>
    </row>
    <row r="7394" spans="1:24">
      <c r="A7394">
        <f>HYPERLINK("https://www.philgeps.gov.ph/GEPSNONPILOT/Tender/SplashBidNoticeAbstractUI.aspx?menuIndex=3&amp;refID=7036448&amp;Result=3","7036448")</f>
        <v>0</v>
      </c>
      <c r="B7394" t="s">
        <v>2198</v>
      </c>
      <c r="C7394" t="s">
        <v>4999</v>
      </c>
      <c r="D7394" t="s">
        <v>18027</v>
      </c>
      <c r="E7394" t="s">
        <v>19831</v>
      </c>
      <c r="F7394" t="s">
        <v>31574</v>
      </c>
      <c r="G7394" t="s">
        <v>31582</v>
      </c>
      <c r="H7394" t="s">
        <v>31590</v>
      </c>
      <c r="I7394" t="s">
        <v>3487</v>
      </c>
      <c r="J7394" t="s">
        <v>36457</v>
      </c>
      <c r="K7394" t="s">
        <v>41184</v>
      </c>
      <c r="M7394" t="s">
        <v>43886</v>
      </c>
      <c r="N7394" t="s">
        <v>45095</v>
      </c>
      <c r="O7394" t="s">
        <v>45096</v>
      </c>
      <c r="P7394">
        <v>0</v>
      </c>
      <c r="Q7394">
        <v>0</v>
      </c>
      <c r="R7394" t="s">
        <v>45103</v>
      </c>
      <c r="S7394" t="s">
        <v>45270</v>
      </c>
      <c r="T7394" t="s">
        <v>47110</v>
      </c>
      <c r="U7394" t="s">
        <v>53647</v>
      </c>
      <c r="W7394" t="s">
        <v>43886</v>
      </c>
      <c r="X7394" t="s">
        <v>45104</v>
      </c>
    </row>
    <row r="7395" spans="1:24">
      <c r="A7395">
        <f>HYPERLINK("https://www.philgeps.gov.ph/GEPSNONPILOT/Tender/SplashBidNoticeAbstractUI.aspx?menuIndex=3&amp;refID=7036454&amp;Result=3","7036454")</f>
        <v>0</v>
      </c>
      <c r="B7395" t="s">
        <v>379</v>
      </c>
      <c r="C7395" t="s">
        <v>10261</v>
      </c>
      <c r="D7395" t="s">
        <v>18025</v>
      </c>
      <c r="E7395" t="s">
        <v>19388</v>
      </c>
      <c r="F7395" t="s">
        <v>31574</v>
      </c>
      <c r="G7395" t="s">
        <v>31583</v>
      </c>
      <c r="H7395" t="s">
        <v>31590</v>
      </c>
      <c r="I7395" t="s">
        <v>7185</v>
      </c>
      <c r="J7395" t="s">
        <v>36458</v>
      </c>
      <c r="K7395" t="s">
        <v>41184</v>
      </c>
      <c r="M7395" t="s">
        <v>41869</v>
      </c>
      <c r="N7395" t="s">
        <v>45095</v>
      </c>
      <c r="O7395" t="s">
        <v>45096</v>
      </c>
      <c r="P7395">
        <v>0</v>
      </c>
      <c r="Q7395">
        <v>3</v>
      </c>
      <c r="R7395" t="s">
        <v>45103</v>
      </c>
      <c r="S7395" t="s">
        <v>45270</v>
      </c>
      <c r="T7395" t="s">
        <v>46980</v>
      </c>
      <c r="U7395" t="s">
        <v>53648</v>
      </c>
      <c r="W7395" t="s">
        <v>41869</v>
      </c>
      <c r="X7395" t="s">
        <v>45104</v>
      </c>
    </row>
    <row r="7396" spans="1:24">
      <c r="A7396">
        <f>HYPERLINK("https://www.philgeps.gov.ph/GEPSNONPILOT/Tender/SplashBidNoticeAbstractUI.aspx?menuIndex=3&amp;refID=7036456&amp;Result=3","7036456")</f>
        <v>0</v>
      </c>
      <c r="B7396" t="s">
        <v>530</v>
      </c>
      <c r="C7396" t="s">
        <v>10262</v>
      </c>
      <c r="D7396" t="s">
        <v>18071</v>
      </c>
      <c r="E7396" t="s">
        <v>24621</v>
      </c>
      <c r="F7396" t="s">
        <v>31574</v>
      </c>
      <c r="G7396" t="s">
        <v>31582</v>
      </c>
      <c r="H7396" t="s">
        <v>31590</v>
      </c>
      <c r="I7396" t="s">
        <v>31608</v>
      </c>
      <c r="J7396" t="s">
        <v>36459</v>
      </c>
      <c r="K7396" t="s">
        <v>41186</v>
      </c>
      <c r="M7396" t="s">
        <v>42027</v>
      </c>
      <c r="N7396" t="s">
        <v>45095</v>
      </c>
      <c r="O7396" t="s">
        <v>45096</v>
      </c>
      <c r="P7396">
        <v>0</v>
      </c>
      <c r="Q7396">
        <v>0</v>
      </c>
      <c r="R7396" t="s">
        <v>45103</v>
      </c>
      <c r="S7396" t="s">
        <v>45270</v>
      </c>
      <c r="T7396" t="s">
        <v>47021</v>
      </c>
      <c r="U7396" t="s">
        <v>53649</v>
      </c>
      <c r="W7396" t="s">
        <v>42027</v>
      </c>
      <c r="X7396" t="s">
        <v>45104</v>
      </c>
    </row>
    <row r="7397" spans="1:24">
      <c r="A7397">
        <f>HYPERLINK("https://www.philgeps.gov.ph/GEPSNONPILOT/Tender/SplashBidNoticeAbstractUI.aspx?menuIndex=3&amp;refID=7036430&amp;Result=3","7036430")</f>
        <v>0</v>
      </c>
      <c r="B7397" t="s">
        <v>2041</v>
      </c>
      <c r="C7397" t="s">
        <v>10263</v>
      </c>
      <c r="D7397" t="s">
        <v>18049</v>
      </c>
      <c r="E7397" t="s">
        <v>24622</v>
      </c>
      <c r="F7397" t="s">
        <v>31574</v>
      </c>
      <c r="G7397" t="s">
        <v>31582</v>
      </c>
      <c r="H7397" t="s">
        <v>31591</v>
      </c>
      <c r="I7397" t="s">
        <v>8822</v>
      </c>
      <c r="J7397" t="s">
        <v>33574</v>
      </c>
      <c r="K7397" t="s">
        <v>41202</v>
      </c>
      <c r="M7397" t="s">
        <v>43879</v>
      </c>
      <c r="N7397" t="s">
        <v>45095</v>
      </c>
      <c r="O7397" t="s">
        <v>45096</v>
      </c>
      <c r="P7397">
        <v>0</v>
      </c>
      <c r="Q7397">
        <v>0</v>
      </c>
      <c r="R7397" t="s">
        <v>45103</v>
      </c>
      <c r="S7397" t="s">
        <v>45270</v>
      </c>
      <c r="T7397" t="s">
        <v>46965</v>
      </c>
      <c r="U7397" t="s">
        <v>53650</v>
      </c>
      <c r="W7397" t="s">
        <v>43879</v>
      </c>
      <c r="X7397" t="s">
        <v>45104</v>
      </c>
    </row>
    <row r="7398" spans="1:24">
      <c r="A7398">
        <f>HYPERLINK("https://www.philgeps.gov.ph/GEPSNONPILOT/Tender/SplashBidNoticeAbstractUI.aspx?menuIndex=3&amp;refID=7036472&amp;Result=3","7036472")</f>
        <v>0</v>
      </c>
      <c r="B7398" t="s">
        <v>2198</v>
      </c>
      <c r="C7398" t="s">
        <v>5788</v>
      </c>
      <c r="D7398" t="s">
        <v>18027</v>
      </c>
      <c r="E7398" t="s">
        <v>20547</v>
      </c>
      <c r="F7398" t="s">
        <v>31574</v>
      </c>
      <c r="G7398" t="s">
        <v>31582</v>
      </c>
      <c r="H7398" t="s">
        <v>31590</v>
      </c>
      <c r="I7398" t="s">
        <v>3487</v>
      </c>
      <c r="J7398" t="s">
        <v>35311</v>
      </c>
      <c r="K7398" t="s">
        <v>41184</v>
      </c>
      <c r="M7398" t="s">
        <v>43886</v>
      </c>
      <c r="N7398" t="s">
        <v>45095</v>
      </c>
      <c r="O7398" t="s">
        <v>45096</v>
      </c>
      <c r="P7398">
        <v>0</v>
      </c>
      <c r="Q7398">
        <v>1</v>
      </c>
      <c r="R7398" t="s">
        <v>45103</v>
      </c>
      <c r="S7398" t="s">
        <v>45270</v>
      </c>
      <c r="T7398" t="s">
        <v>47110</v>
      </c>
      <c r="U7398" t="s">
        <v>53651</v>
      </c>
      <c r="W7398" t="s">
        <v>43886</v>
      </c>
      <c r="X7398" t="s">
        <v>45104</v>
      </c>
    </row>
    <row r="7399" spans="1:24">
      <c r="A7399">
        <f>HYPERLINK("https://www.philgeps.gov.ph/GEPSNONPILOT/Tender/SplashBidNoticeAbstractUI.aspx?menuIndex=3&amp;refID=7036496&amp;Result=3","7036496")</f>
        <v>0</v>
      </c>
      <c r="B7399" t="s">
        <v>2197</v>
      </c>
      <c r="C7399" t="s">
        <v>10264</v>
      </c>
      <c r="D7399" t="s">
        <v>18040</v>
      </c>
      <c r="E7399" t="s">
        <v>18795</v>
      </c>
      <c r="F7399" t="s">
        <v>31574</v>
      </c>
      <c r="G7399" t="s">
        <v>31582</v>
      </c>
      <c r="H7399" t="s">
        <v>31590</v>
      </c>
      <c r="I7399" t="s">
        <v>31645</v>
      </c>
      <c r="J7399" t="s">
        <v>31764</v>
      </c>
      <c r="K7399" t="s">
        <v>41193</v>
      </c>
      <c r="M7399" t="s">
        <v>43885</v>
      </c>
      <c r="N7399" t="s">
        <v>45095</v>
      </c>
      <c r="O7399" t="s">
        <v>45096</v>
      </c>
      <c r="P7399">
        <v>0</v>
      </c>
      <c r="Q7399">
        <v>2</v>
      </c>
      <c r="R7399" t="s">
        <v>45103</v>
      </c>
      <c r="S7399" t="s">
        <v>45270</v>
      </c>
      <c r="T7399" t="s">
        <v>47058</v>
      </c>
      <c r="U7399" t="s">
        <v>53652</v>
      </c>
      <c r="W7399" t="s">
        <v>43885</v>
      </c>
      <c r="X7399" t="s">
        <v>45104</v>
      </c>
    </row>
    <row r="7400" spans="1:24">
      <c r="A7400">
        <f>HYPERLINK("https://www.philgeps.gov.ph/GEPSNONPILOT/Tender/SplashBidNoticeAbstractUI.aspx?menuIndex=3&amp;refID=7036459&amp;Result=3","7036459")</f>
        <v>0</v>
      </c>
      <c r="B7400" t="s">
        <v>998</v>
      </c>
      <c r="C7400" t="s">
        <v>10265</v>
      </c>
      <c r="D7400" t="s">
        <v>18066</v>
      </c>
      <c r="E7400" t="s">
        <v>24623</v>
      </c>
      <c r="F7400" t="s">
        <v>31574</v>
      </c>
      <c r="G7400" t="s">
        <v>31581</v>
      </c>
      <c r="H7400" t="s">
        <v>31591</v>
      </c>
      <c r="I7400" t="s">
        <v>8822</v>
      </c>
      <c r="J7400" t="s">
        <v>31789</v>
      </c>
      <c r="K7400" t="s">
        <v>41186</v>
      </c>
      <c r="M7400" t="s">
        <v>42534</v>
      </c>
      <c r="N7400" t="s">
        <v>45095</v>
      </c>
      <c r="O7400" t="s">
        <v>45096</v>
      </c>
      <c r="P7400">
        <v>0</v>
      </c>
      <c r="Q7400">
        <v>0</v>
      </c>
      <c r="R7400" t="s">
        <v>45103</v>
      </c>
      <c r="S7400" t="s">
        <v>45270</v>
      </c>
      <c r="T7400" t="s">
        <v>47158</v>
      </c>
      <c r="U7400" t="s">
        <v>53653</v>
      </c>
      <c r="W7400" t="s">
        <v>42534</v>
      </c>
      <c r="X7400" t="s">
        <v>45104</v>
      </c>
    </row>
    <row r="7401" spans="1:24">
      <c r="A7401">
        <f>HYPERLINK("https://www.philgeps.gov.ph/GEPSNONPILOT/Tender/SplashBidNoticeAbstractUI.aspx?menuIndex=3&amp;refID=7036453&amp;Result=3","7036453")</f>
        <v>0</v>
      </c>
      <c r="B7401" t="s">
        <v>357</v>
      </c>
      <c r="C7401" t="s">
        <v>10266</v>
      </c>
      <c r="D7401" t="s">
        <v>18026</v>
      </c>
      <c r="E7401" t="s">
        <v>19791</v>
      </c>
      <c r="F7401" t="s">
        <v>31574</v>
      </c>
      <c r="G7401" t="s">
        <v>31585</v>
      </c>
      <c r="H7401" t="s">
        <v>31590</v>
      </c>
      <c r="I7401" t="s">
        <v>7185</v>
      </c>
      <c r="J7401" t="s">
        <v>31884</v>
      </c>
      <c r="K7401" t="s">
        <v>41193</v>
      </c>
      <c r="M7401" t="s">
        <v>42576</v>
      </c>
      <c r="N7401" t="s">
        <v>45095</v>
      </c>
      <c r="O7401" t="s">
        <v>45096</v>
      </c>
      <c r="P7401">
        <v>0</v>
      </c>
      <c r="Q7401">
        <v>3</v>
      </c>
      <c r="R7401" t="s">
        <v>45103</v>
      </c>
      <c r="S7401" t="s">
        <v>45270</v>
      </c>
      <c r="T7401" t="s">
        <v>47076</v>
      </c>
      <c r="U7401" t="s">
        <v>53654</v>
      </c>
      <c r="W7401" t="s">
        <v>42576</v>
      </c>
      <c r="X7401" t="s">
        <v>45104</v>
      </c>
    </row>
    <row r="7402" spans="1:24">
      <c r="A7402">
        <f>HYPERLINK("https://www.philgeps.gov.ph/GEPSNONPILOT/Tender/SplashBidNoticeAbstractUI.aspx?menuIndex=3&amp;refID=7036489&amp;Result=3","7036489")</f>
        <v>0</v>
      </c>
      <c r="B7402" t="s">
        <v>530</v>
      </c>
      <c r="C7402" t="s">
        <v>10267</v>
      </c>
      <c r="D7402" t="s">
        <v>18071</v>
      </c>
      <c r="E7402" t="s">
        <v>24624</v>
      </c>
      <c r="F7402" t="s">
        <v>31574</v>
      </c>
      <c r="G7402" t="s">
        <v>31582</v>
      </c>
      <c r="H7402" t="s">
        <v>31590</v>
      </c>
      <c r="I7402" t="s">
        <v>31602</v>
      </c>
      <c r="J7402" t="s">
        <v>36460</v>
      </c>
      <c r="K7402" t="s">
        <v>41197</v>
      </c>
      <c r="M7402" t="s">
        <v>42027</v>
      </c>
      <c r="N7402" t="s">
        <v>45095</v>
      </c>
      <c r="O7402" t="s">
        <v>45096</v>
      </c>
      <c r="P7402">
        <v>0</v>
      </c>
      <c r="Q7402">
        <v>0</v>
      </c>
      <c r="R7402" t="s">
        <v>45103</v>
      </c>
      <c r="S7402" t="s">
        <v>45270</v>
      </c>
      <c r="T7402" t="s">
        <v>47021</v>
      </c>
      <c r="U7402" t="s">
        <v>53655</v>
      </c>
      <c r="W7402" t="s">
        <v>42027</v>
      </c>
      <c r="X7402" t="s">
        <v>45104</v>
      </c>
    </row>
    <row r="7403" spans="1:24">
      <c r="A7403">
        <f>HYPERLINK("https://www.philgeps.gov.ph/GEPSNONPILOT/Tender/SplashBidNoticeAbstractUI.aspx?menuIndex=3&amp;refID=7036487&amp;Result=3","7036487")</f>
        <v>0</v>
      </c>
      <c r="B7403" t="s">
        <v>379</v>
      </c>
      <c r="C7403" t="s">
        <v>10268</v>
      </c>
      <c r="D7403" t="s">
        <v>18025</v>
      </c>
      <c r="E7403" t="s">
        <v>24625</v>
      </c>
      <c r="F7403" t="s">
        <v>31574</v>
      </c>
      <c r="G7403" t="s">
        <v>31583</v>
      </c>
      <c r="H7403" t="s">
        <v>31590</v>
      </c>
      <c r="I7403" t="s">
        <v>8258</v>
      </c>
      <c r="J7403" t="s">
        <v>33022</v>
      </c>
      <c r="K7403" t="s">
        <v>41184</v>
      </c>
      <c r="M7403" t="s">
        <v>41869</v>
      </c>
      <c r="N7403" t="s">
        <v>45095</v>
      </c>
      <c r="O7403" t="s">
        <v>45096</v>
      </c>
      <c r="P7403">
        <v>0</v>
      </c>
      <c r="Q7403">
        <v>6</v>
      </c>
      <c r="R7403" t="s">
        <v>45103</v>
      </c>
      <c r="S7403" t="s">
        <v>45270</v>
      </c>
      <c r="T7403" t="s">
        <v>46980</v>
      </c>
      <c r="U7403" t="s">
        <v>53656</v>
      </c>
      <c r="W7403" t="s">
        <v>41869</v>
      </c>
      <c r="X7403" t="s">
        <v>45104</v>
      </c>
    </row>
    <row r="7404" spans="1:24">
      <c r="A7404">
        <f>HYPERLINK("https://www.philgeps.gov.ph/GEPSNONPILOT/Tender/SplashBidNoticeAbstractUI.aspx?menuIndex=3&amp;refID=7036484&amp;Result=3","7036484")</f>
        <v>0</v>
      </c>
      <c r="B7404" t="s">
        <v>132</v>
      </c>
      <c r="C7404" t="s">
        <v>10269</v>
      </c>
      <c r="D7404" t="s">
        <v>18059</v>
      </c>
      <c r="E7404" t="s">
        <v>24626</v>
      </c>
      <c r="F7404" t="s">
        <v>31574</v>
      </c>
      <c r="G7404" t="s">
        <v>31582</v>
      </c>
      <c r="H7404" t="s">
        <v>31590</v>
      </c>
      <c r="I7404" t="s">
        <v>4046</v>
      </c>
      <c r="J7404" t="s">
        <v>35220</v>
      </c>
      <c r="K7404" t="s">
        <v>41190</v>
      </c>
      <c r="M7404" t="s">
        <v>41616</v>
      </c>
      <c r="N7404" t="s">
        <v>45095</v>
      </c>
      <c r="O7404" t="s">
        <v>45096</v>
      </c>
      <c r="P7404">
        <v>0</v>
      </c>
      <c r="Q7404">
        <v>0</v>
      </c>
      <c r="R7404" t="s">
        <v>45103</v>
      </c>
      <c r="S7404" t="s">
        <v>45270</v>
      </c>
      <c r="T7404" t="s">
        <v>46973</v>
      </c>
      <c r="U7404" t="s">
        <v>51988</v>
      </c>
      <c r="W7404" t="s">
        <v>41616</v>
      </c>
      <c r="X7404" t="s">
        <v>45104</v>
      </c>
    </row>
    <row r="7405" spans="1:24">
      <c r="A7405">
        <f>HYPERLINK("https://www.philgeps.gov.ph/GEPSNONPILOT/Tender/SplashBidNoticeAbstractUI.aspx?menuIndex=3&amp;refID=7036501&amp;Result=3","7036501")</f>
        <v>0</v>
      </c>
      <c r="B7405" t="s">
        <v>1887</v>
      </c>
      <c r="C7405" t="s">
        <v>10270</v>
      </c>
      <c r="D7405" t="s">
        <v>18022</v>
      </c>
      <c r="E7405" t="s">
        <v>24627</v>
      </c>
      <c r="F7405" t="s">
        <v>31574</v>
      </c>
      <c r="G7405" t="s">
        <v>31584</v>
      </c>
      <c r="H7405" t="s">
        <v>31590</v>
      </c>
      <c r="I7405" t="s">
        <v>4046</v>
      </c>
      <c r="J7405" t="s">
        <v>36461</v>
      </c>
      <c r="K7405" t="s">
        <v>41196</v>
      </c>
      <c r="M7405" t="s">
        <v>43855</v>
      </c>
      <c r="N7405" t="s">
        <v>45095</v>
      </c>
      <c r="O7405" t="s">
        <v>45096</v>
      </c>
      <c r="P7405">
        <v>0</v>
      </c>
      <c r="Q7405">
        <v>4</v>
      </c>
      <c r="R7405" t="s">
        <v>45103</v>
      </c>
      <c r="S7405" t="s">
        <v>45270</v>
      </c>
      <c r="T7405" t="s">
        <v>47125</v>
      </c>
      <c r="U7405" t="s">
        <v>53657</v>
      </c>
      <c r="W7405" t="s">
        <v>43855</v>
      </c>
      <c r="X7405" t="s">
        <v>45104</v>
      </c>
    </row>
    <row r="7406" spans="1:24">
      <c r="A7406">
        <f>HYPERLINK("https://www.philgeps.gov.ph/GEPSNONPILOT/Tender/SplashBidNoticeAbstractUI.aspx?menuIndex=3&amp;refID=7036450&amp;Result=3","7036450")</f>
        <v>0</v>
      </c>
      <c r="B7406" t="s">
        <v>2102</v>
      </c>
      <c r="C7406" t="s">
        <v>10271</v>
      </c>
      <c r="D7406" t="s">
        <v>18029</v>
      </c>
      <c r="E7406" t="s">
        <v>24628</v>
      </c>
      <c r="F7406" t="s">
        <v>31574</v>
      </c>
      <c r="G7406" t="s">
        <v>31581</v>
      </c>
      <c r="H7406" t="s">
        <v>31590</v>
      </c>
      <c r="I7406" t="s">
        <v>3539</v>
      </c>
      <c r="J7406" t="s">
        <v>31789</v>
      </c>
      <c r="K7406" t="s">
        <v>41213</v>
      </c>
      <c r="M7406" t="s">
        <v>43779</v>
      </c>
      <c r="N7406" t="s">
        <v>45095</v>
      </c>
      <c r="O7406" t="s">
        <v>45096</v>
      </c>
      <c r="P7406">
        <v>0</v>
      </c>
      <c r="Q7406">
        <v>0</v>
      </c>
      <c r="R7406" t="s">
        <v>45103</v>
      </c>
      <c r="S7406" t="s">
        <v>45270</v>
      </c>
      <c r="T7406" t="s">
        <v>47308</v>
      </c>
      <c r="U7406" t="s">
        <v>53658</v>
      </c>
      <c r="W7406" t="s">
        <v>61726</v>
      </c>
      <c r="X7406" t="s">
        <v>45104</v>
      </c>
    </row>
    <row r="7407" spans="1:24">
      <c r="A7407">
        <f>HYPERLINK("https://www.philgeps.gov.ph/GEPSNONPILOT/Tender/SplashBidNoticeAbstractUI.aspx?menuIndex=3&amp;refID=7036482&amp;Result=3","7036482")</f>
        <v>0</v>
      </c>
      <c r="B7407" t="s">
        <v>629</v>
      </c>
      <c r="C7407" t="s">
        <v>10272</v>
      </c>
      <c r="D7407" t="s">
        <v>18075</v>
      </c>
      <c r="E7407" t="s">
        <v>18468</v>
      </c>
      <c r="F7407" t="s">
        <v>31574</v>
      </c>
      <c r="G7407" t="s">
        <v>31582</v>
      </c>
      <c r="H7407" t="s">
        <v>31591</v>
      </c>
      <c r="I7407" t="s">
        <v>8822</v>
      </c>
      <c r="J7407" t="s">
        <v>31888</v>
      </c>
      <c r="K7407" t="s">
        <v>41276</v>
      </c>
      <c r="M7407" t="s">
        <v>42133</v>
      </c>
      <c r="N7407" t="s">
        <v>45095</v>
      </c>
      <c r="O7407" t="s">
        <v>45096</v>
      </c>
      <c r="P7407">
        <v>0</v>
      </c>
      <c r="Q7407">
        <v>0</v>
      </c>
      <c r="R7407" t="s">
        <v>45103</v>
      </c>
      <c r="S7407" t="s">
        <v>45270</v>
      </c>
      <c r="T7407" t="s">
        <v>47155</v>
      </c>
      <c r="U7407" t="s">
        <v>53635</v>
      </c>
      <c r="W7407" t="s">
        <v>42133</v>
      </c>
      <c r="X7407" t="s">
        <v>45104</v>
      </c>
    </row>
    <row r="7408" spans="1:24">
      <c r="A7408">
        <f>HYPERLINK("https://www.philgeps.gov.ph/GEPSNONPILOT/Tender/SplashBidNoticeAbstractUI.aspx?menuIndex=3&amp;refID=7036479&amp;Result=3","7036479")</f>
        <v>0</v>
      </c>
      <c r="B7408" t="s">
        <v>357</v>
      </c>
      <c r="C7408" t="s">
        <v>10273</v>
      </c>
      <c r="D7408" t="s">
        <v>18026</v>
      </c>
      <c r="E7408" t="s">
        <v>19828</v>
      </c>
      <c r="F7408" t="s">
        <v>31574</v>
      </c>
      <c r="G7408" t="s">
        <v>31585</v>
      </c>
      <c r="H7408" t="s">
        <v>31590</v>
      </c>
      <c r="I7408" t="s">
        <v>8258</v>
      </c>
      <c r="J7408" t="s">
        <v>36462</v>
      </c>
      <c r="K7408" t="s">
        <v>41193</v>
      </c>
      <c r="M7408" t="s">
        <v>42576</v>
      </c>
      <c r="N7408" t="s">
        <v>45095</v>
      </c>
      <c r="O7408" t="s">
        <v>45096</v>
      </c>
      <c r="P7408">
        <v>0</v>
      </c>
      <c r="Q7408">
        <v>2</v>
      </c>
      <c r="R7408" t="s">
        <v>45103</v>
      </c>
      <c r="S7408" t="s">
        <v>45270</v>
      </c>
      <c r="T7408" t="s">
        <v>47076</v>
      </c>
      <c r="U7408" t="s">
        <v>53659</v>
      </c>
      <c r="W7408" t="s">
        <v>42576</v>
      </c>
      <c r="X7408" t="s">
        <v>45104</v>
      </c>
    </row>
    <row r="7409" spans="1:24">
      <c r="A7409">
        <f>HYPERLINK("https://www.philgeps.gov.ph/GEPSNONPILOT/Tender/SplashBidNoticeAbstractUI.aspx?menuIndex=3&amp;refID=7036488&amp;Result=3","7036488")</f>
        <v>0</v>
      </c>
      <c r="B7409" t="s">
        <v>1822</v>
      </c>
      <c r="C7409" t="s">
        <v>10274</v>
      </c>
      <c r="D7409" t="s">
        <v>18099</v>
      </c>
      <c r="E7409" t="s">
        <v>24629</v>
      </c>
      <c r="F7409" t="s">
        <v>31574</v>
      </c>
      <c r="G7409" t="s">
        <v>31582</v>
      </c>
      <c r="H7409" t="s">
        <v>31591</v>
      </c>
      <c r="I7409" t="s">
        <v>8822</v>
      </c>
      <c r="J7409" t="s">
        <v>32076</v>
      </c>
      <c r="K7409" t="s">
        <v>41252</v>
      </c>
      <c r="M7409" t="s">
        <v>43457</v>
      </c>
      <c r="N7409" t="s">
        <v>45095</v>
      </c>
      <c r="O7409" t="s">
        <v>45096</v>
      </c>
      <c r="P7409">
        <v>0</v>
      </c>
      <c r="Q7409">
        <v>0</v>
      </c>
      <c r="R7409" t="s">
        <v>45103</v>
      </c>
      <c r="S7409" t="s">
        <v>45270</v>
      </c>
      <c r="T7409" t="s">
        <v>46937</v>
      </c>
      <c r="U7409" t="s">
        <v>52190</v>
      </c>
      <c r="W7409" t="s">
        <v>43457</v>
      </c>
      <c r="X7409" t="s">
        <v>45104</v>
      </c>
    </row>
    <row r="7410" spans="1:24">
      <c r="A7410">
        <f>HYPERLINK("https://www.philgeps.gov.ph/GEPSNONPILOT/Tender/SplashBidNoticeAbstractUI.aspx?menuIndex=3&amp;refID=7036490&amp;Result=3","7036490")</f>
        <v>0</v>
      </c>
      <c r="B7410" t="s">
        <v>2090</v>
      </c>
      <c r="C7410" t="s">
        <v>10275</v>
      </c>
      <c r="D7410" t="s">
        <v>18099</v>
      </c>
      <c r="E7410" t="s">
        <v>20111</v>
      </c>
      <c r="F7410" t="s">
        <v>31574</v>
      </c>
      <c r="G7410" t="s">
        <v>31582</v>
      </c>
      <c r="H7410" t="s">
        <v>31591</v>
      </c>
      <c r="I7410" t="s">
        <v>8822</v>
      </c>
      <c r="J7410" t="s">
        <v>36463</v>
      </c>
      <c r="K7410" t="s">
        <v>41317</v>
      </c>
      <c r="M7410" t="s">
        <v>43766</v>
      </c>
      <c r="N7410" t="s">
        <v>45095</v>
      </c>
      <c r="O7410" t="s">
        <v>45096</v>
      </c>
      <c r="P7410">
        <v>0</v>
      </c>
      <c r="Q7410">
        <v>0</v>
      </c>
      <c r="R7410" t="s">
        <v>45103</v>
      </c>
      <c r="S7410" t="s">
        <v>45270</v>
      </c>
      <c r="T7410" t="s">
        <v>47302</v>
      </c>
      <c r="U7410" t="s">
        <v>53660</v>
      </c>
      <c r="W7410" t="s">
        <v>43766</v>
      </c>
      <c r="X7410" t="s">
        <v>45104</v>
      </c>
    </row>
    <row r="7411" spans="1:24">
      <c r="A7411">
        <f>HYPERLINK("https://www.philgeps.gov.ph/GEPSNONPILOT/Tender/SplashBidNoticeAbstractUI.aspx?menuIndex=3&amp;refID=7036485&amp;Result=3","7036485")</f>
        <v>0</v>
      </c>
      <c r="B7411" t="s">
        <v>2102</v>
      </c>
      <c r="C7411" t="s">
        <v>10276</v>
      </c>
      <c r="D7411" t="s">
        <v>18029</v>
      </c>
      <c r="E7411" t="s">
        <v>24630</v>
      </c>
      <c r="F7411" t="s">
        <v>31574</v>
      </c>
      <c r="G7411" t="s">
        <v>31581</v>
      </c>
      <c r="H7411" t="s">
        <v>31590</v>
      </c>
      <c r="I7411" t="s">
        <v>8258</v>
      </c>
      <c r="J7411" t="s">
        <v>32459</v>
      </c>
      <c r="K7411" t="s">
        <v>41213</v>
      </c>
      <c r="M7411" t="s">
        <v>43779</v>
      </c>
      <c r="N7411" t="s">
        <v>45095</v>
      </c>
      <c r="O7411" t="s">
        <v>45096</v>
      </c>
      <c r="P7411">
        <v>0</v>
      </c>
      <c r="Q7411">
        <v>2</v>
      </c>
      <c r="R7411" t="s">
        <v>45103</v>
      </c>
      <c r="S7411" t="s">
        <v>45270</v>
      </c>
      <c r="T7411" t="s">
        <v>47308</v>
      </c>
      <c r="U7411" t="s">
        <v>53661</v>
      </c>
      <c r="W7411" t="s">
        <v>61726</v>
      </c>
      <c r="X7411" t="s">
        <v>45104</v>
      </c>
    </row>
    <row r="7412" spans="1:24">
      <c r="A7412">
        <f>HYPERLINK("https://www.philgeps.gov.ph/GEPSNONPILOT/Tender/SplashBidNoticeAbstractUI.aspx?menuIndex=3&amp;refID=7036521&amp;Result=3","7036521")</f>
        <v>0</v>
      </c>
      <c r="B7412" t="s">
        <v>2199</v>
      </c>
      <c r="C7412" t="s">
        <v>10277</v>
      </c>
      <c r="D7412" t="s">
        <v>18022</v>
      </c>
      <c r="E7412" t="s">
        <v>24631</v>
      </c>
      <c r="F7412" t="s">
        <v>31574</v>
      </c>
      <c r="G7412" t="s">
        <v>31581</v>
      </c>
      <c r="H7412" t="s">
        <v>31590</v>
      </c>
      <c r="I7412" t="s">
        <v>31608</v>
      </c>
      <c r="J7412" t="s">
        <v>31821</v>
      </c>
      <c r="K7412" t="s">
        <v>41210</v>
      </c>
      <c r="M7412" t="s">
        <v>43887</v>
      </c>
      <c r="N7412" t="s">
        <v>45095</v>
      </c>
      <c r="O7412" t="s">
        <v>45096</v>
      </c>
      <c r="P7412">
        <v>0</v>
      </c>
      <c r="Q7412">
        <v>2</v>
      </c>
      <c r="R7412" t="s">
        <v>45103</v>
      </c>
      <c r="S7412" t="s">
        <v>45270</v>
      </c>
      <c r="T7412" t="s">
        <v>47165</v>
      </c>
      <c r="U7412" t="s">
        <v>53662</v>
      </c>
      <c r="W7412" t="s">
        <v>43887</v>
      </c>
      <c r="X7412" t="s">
        <v>45104</v>
      </c>
    </row>
    <row r="7413" spans="1:24">
      <c r="A7413">
        <f>HYPERLINK("https://www.philgeps.gov.ph/GEPSNONPILOT/Tender/SplashBidNoticeAbstractUI.aspx?menuIndex=3&amp;refID=7036522&amp;Result=3","7036522")</f>
        <v>0</v>
      </c>
      <c r="B7413" t="s">
        <v>2200</v>
      </c>
      <c r="C7413" t="s">
        <v>10278</v>
      </c>
      <c r="D7413" t="s">
        <v>18086</v>
      </c>
      <c r="E7413" t="s">
        <v>24632</v>
      </c>
      <c r="F7413" t="s">
        <v>31574</v>
      </c>
      <c r="G7413" t="s">
        <v>31582</v>
      </c>
      <c r="H7413" t="s">
        <v>31590</v>
      </c>
      <c r="I7413" t="s">
        <v>4046</v>
      </c>
      <c r="J7413" t="s">
        <v>36464</v>
      </c>
      <c r="K7413" t="s">
        <v>41190</v>
      </c>
      <c r="M7413" t="s">
        <v>43888</v>
      </c>
      <c r="N7413" t="s">
        <v>45095</v>
      </c>
      <c r="O7413" t="s">
        <v>45096</v>
      </c>
      <c r="P7413">
        <v>0</v>
      </c>
      <c r="Q7413">
        <v>0</v>
      </c>
      <c r="R7413" t="s">
        <v>45103</v>
      </c>
      <c r="S7413" t="s">
        <v>45270</v>
      </c>
      <c r="T7413" t="s">
        <v>47076</v>
      </c>
      <c r="U7413" t="s">
        <v>53663</v>
      </c>
      <c r="W7413" t="s">
        <v>43888</v>
      </c>
      <c r="X7413" t="s">
        <v>45104</v>
      </c>
    </row>
    <row r="7414" spans="1:24">
      <c r="A7414">
        <f>HYPERLINK("https://www.philgeps.gov.ph/GEPSNONPILOT/Tender/SplashBidNoticeAbstractUI.aspx?menuIndex=3&amp;refID=7036512&amp;Result=3","7036512")</f>
        <v>0</v>
      </c>
      <c r="B7414" t="s">
        <v>379</v>
      </c>
      <c r="C7414" t="s">
        <v>10279</v>
      </c>
      <c r="D7414" t="s">
        <v>18025</v>
      </c>
      <c r="E7414" t="s">
        <v>24633</v>
      </c>
      <c r="F7414" t="s">
        <v>31574</v>
      </c>
      <c r="G7414" t="s">
        <v>31583</v>
      </c>
      <c r="H7414" t="s">
        <v>31590</v>
      </c>
      <c r="I7414" t="s">
        <v>31594</v>
      </c>
      <c r="J7414" t="s">
        <v>36465</v>
      </c>
      <c r="K7414" t="s">
        <v>41184</v>
      </c>
      <c r="M7414" t="s">
        <v>41869</v>
      </c>
      <c r="N7414" t="s">
        <v>45095</v>
      </c>
      <c r="O7414" t="s">
        <v>45096</v>
      </c>
      <c r="P7414">
        <v>0</v>
      </c>
      <c r="Q7414">
        <v>12</v>
      </c>
      <c r="R7414" t="s">
        <v>45103</v>
      </c>
      <c r="S7414" t="s">
        <v>45270</v>
      </c>
      <c r="T7414" t="s">
        <v>46952</v>
      </c>
      <c r="U7414" t="s">
        <v>53664</v>
      </c>
      <c r="W7414" t="s">
        <v>41869</v>
      </c>
      <c r="X7414" t="s">
        <v>45104</v>
      </c>
    </row>
    <row r="7415" spans="1:24">
      <c r="A7415">
        <f>HYPERLINK("https://www.philgeps.gov.ph/GEPSNONPILOT/Tender/SplashBidNoticeAbstractUI.aspx?menuIndex=3&amp;refID=7036510&amp;Result=3","7036510")</f>
        <v>0</v>
      </c>
      <c r="B7415" t="s">
        <v>2201</v>
      </c>
      <c r="C7415" t="s">
        <v>10280</v>
      </c>
      <c r="D7415" t="s">
        <v>18035</v>
      </c>
      <c r="E7415" t="s">
        <v>24634</v>
      </c>
      <c r="F7415" t="s">
        <v>31574</v>
      </c>
      <c r="G7415" t="s">
        <v>31581</v>
      </c>
      <c r="H7415" t="s">
        <v>31592</v>
      </c>
      <c r="I7415" t="s">
        <v>31638</v>
      </c>
      <c r="J7415" t="s">
        <v>31789</v>
      </c>
      <c r="K7415" t="s">
        <v>41196</v>
      </c>
      <c r="L7415" t="s">
        <v>2201</v>
      </c>
      <c r="M7415" t="s">
        <v>43889</v>
      </c>
      <c r="N7415" t="s">
        <v>45095</v>
      </c>
      <c r="O7415" t="s">
        <v>45096</v>
      </c>
      <c r="P7415">
        <v>0</v>
      </c>
      <c r="Q7415">
        <v>0</v>
      </c>
      <c r="R7415" t="s">
        <v>45103</v>
      </c>
      <c r="S7415" t="s">
        <v>45270</v>
      </c>
      <c r="T7415" t="s">
        <v>47159</v>
      </c>
      <c r="U7415" t="s">
        <v>53665</v>
      </c>
      <c r="V7415" t="s">
        <v>60636</v>
      </c>
      <c r="W7415" t="s">
        <v>43889</v>
      </c>
      <c r="X7415" t="s">
        <v>45104</v>
      </c>
    </row>
    <row r="7416" spans="1:24">
      <c r="A7416">
        <f>HYPERLINK("https://www.philgeps.gov.ph/GEPSNONPILOT/Tender/SplashBidNoticeAbstractUI.aspx?menuIndex=3&amp;refID=7036475&amp;Result=3","7036475")</f>
        <v>0</v>
      </c>
      <c r="B7416" t="s">
        <v>530</v>
      </c>
      <c r="C7416" t="s">
        <v>10281</v>
      </c>
      <c r="D7416" t="s">
        <v>18071</v>
      </c>
      <c r="E7416" t="s">
        <v>10281</v>
      </c>
      <c r="F7416" t="s">
        <v>31574</v>
      </c>
      <c r="G7416" t="s">
        <v>31582</v>
      </c>
      <c r="H7416" t="s">
        <v>31590</v>
      </c>
      <c r="I7416" t="s">
        <v>4327</v>
      </c>
      <c r="J7416" t="s">
        <v>36466</v>
      </c>
      <c r="K7416" t="s">
        <v>41186</v>
      </c>
      <c r="M7416" t="s">
        <v>42027</v>
      </c>
      <c r="N7416" t="s">
        <v>45095</v>
      </c>
      <c r="O7416" t="s">
        <v>45096</v>
      </c>
      <c r="P7416">
        <v>0</v>
      </c>
      <c r="Q7416">
        <v>0</v>
      </c>
      <c r="R7416" t="s">
        <v>45103</v>
      </c>
      <c r="S7416" t="s">
        <v>45270</v>
      </c>
      <c r="T7416" t="s">
        <v>47021</v>
      </c>
      <c r="U7416" t="s">
        <v>53666</v>
      </c>
      <c r="W7416" t="s">
        <v>42027</v>
      </c>
      <c r="X7416" t="s">
        <v>45104</v>
      </c>
    </row>
    <row r="7417" spans="1:24">
      <c r="A7417">
        <f>HYPERLINK("https://www.philgeps.gov.ph/GEPSNONPILOT/Tender/SplashBidNoticeAbstractUI.aspx?menuIndex=3&amp;refID=7036502&amp;Result=3","7036502")</f>
        <v>0</v>
      </c>
      <c r="B7417" t="s">
        <v>2166</v>
      </c>
      <c r="C7417" t="s">
        <v>10282</v>
      </c>
      <c r="E7417" t="s">
        <v>24635</v>
      </c>
      <c r="F7417" t="s">
        <v>31574</v>
      </c>
      <c r="G7417" t="s">
        <v>31582</v>
      </c>
      <c r="H7417" t="s">
        <v>31590</v>
      </c>
      <c r="I7417" t="s">
        <v>4046</v>
      </c>
      <c r="J7417" t="s">
        <v>36467</v>
      </c>
      <c r="K7417" t="s">
        <v>41191</v>
      </c>
      <c r="M7417" t="s">
        <v>43851</v>
      </c>
      <c r="N7417" t="s">
        <v>45095</v>
      </c>
      <c r="O7417" t="s">
        <v>45096</v>
      </c>
      <c r="P7417">
        <v>0</v>
      </c>
      <c r="Q7417">
        <v>0</v>
      </c>
      <c r="R7417" t="s">
        <v>45103</v>
      </c>
      <c r="S7417" t="s">
        <v>45270</v>
      </c>
      <c r="T7417" t="s">
        <v>47232</v>
      </c>
      <c r="U7417" t="s">
        <v>53667</v>
      </c>
      <c r="W7417" t="s">
        <v>43851</v>
      </c>
      <c r="X7417" t="s">
        <v>45104</v>
      </c>
    </row>
    <row r="7418" spans="1:24">
      <c r="A7418">
        <f>HYPERLINK("https://www.philgeps.gov.ph/GEPSNONPILOT/Tender/SplashBidNoticeAbstractUI.aspx?menuIndex=3&amp;refID=7036517&amp;Result=3","7036517")</f>
        <v>0</v>
      </c>
      <c r="B7418" t="s">
        <v>95</v>
      </c>
      <c r="C7418" t="s">
        <v>10283</v>
      </c>
      <c r="D7418" t="s">
        <v>18062</v>
      </c>
      <c r="E7418" t="s">
        <v>24636</v>
      </c>
      <c r="F7418" t="s">
        <v>31574</v>
      </c>
      <c r="G7418" t="s">
        <v>31582</v>
      </c>
      <c r="H7418" t="s">
        <v>31590</v>
      </c>
      <c r="I7418" t="s">
        <v>31598</v>
      </c>
      <c r="J7418" t="s">
        <v>33343</v>
      </c>
      <c r="K7418" t="s">
        <v>41189</v>
      </c>
      <c r="M7418" t="s">
        <v>41937</v>
      </c>
      <c r="N7418" t="s">
        <v>45095</v>
      </c>
      <c r="O7418" t="s">
        <v>45096</v>
      </c>
      <c r="P7418">
        <v>0</v>
      </c>
      <c r="Q7418">
        <v>8</v>
      </c>
      <c r="R7418" t="s">
        <v>45103</v>
      </c>
      <c r="S7418" t="s">
        <v>45270</v>
      </c>
      <c r="T7418" t="s">
        <v>46988</v>
      </c>
      <c r="U7418" t="s">
        <v>53668</v>
      </c>
      <c r="W7418" t="s">
        <v>41937</v>
      </c>
      <c r="X7418" t="s">
        <v>45104</v>
      </c>
    </row>
    <row r="7419" spans="1:24">
      <c r="A7419">
        <f>HYPERLINK("https://www.philgeps.gov.ph/GEPSNONPILOT/Tender/SplashBidNoticeAbstractUI.aspx?menuIndex=3&amp;refID=7036511&amp;Result=3","7036511")</f>
        <v>0</v>
      </c>
      <c r="B7419" t="s">
        <v>552</v>
      </c>
      <c r="C7419" t="s">
        <v>10284</v>
      </c>
      <c r="D7419" t="s">
        <v>18040</v>
      </c>
      <c r="E7419" t="s">
        <v>24637</v>
      </c>
      <c r="F7419" t="s">
        <v>31574</v>
      </c>
      <c r="G7419" t="s">
        <v>31582</v>
      </c>
      <c r="H7419" t="s">
        <v>31590</v>
      </c>
      <c r="I7419" t="s">
        <v>5717</v>
      </c>
      <c r="J7419" t="s">
        <v>32203</v>
      </c>
      <c r="K7419" t="s">
        <v>41196</v>
      </c>
      <c r="M7419" t="s">
        <v>42049</v>
      </c>
      <c r="N7419" t="s">
        <v>45095</v>
      </c>
      <c r="O7419" t="s">
        <v>45096</v>
      </c>
      <c r="P7419">
        <v>0</v>
      </c>
      <c r="Q7419">
        <v>0</v>
      </c>
      <c r="R7419" t="s">
        <v>45103</v>
      </c>
      <c r="S7419" t="s">
        <v>45270</v>
      </c>
      <c r="T7419" t="s">
        <v>46943</v>
      </c>
      <c r="U7419" t="s">
        <v>53645</v>
      </c>
      <c r="W7419" t="s">
        <v>42049</v>
      </c>
      <c r="X7419" t="s">
        <v>45104</v>
      </c>
    </row>
    <row r="7420" spans="1:24">
      <c r="A7420">
        <f>HYPERLINK("https://www.philgeps.gov.ph/GEPSNONPILOT/Tender/SplashBidNoticeAbstractUI.aspx?menuIndex=3&amp;refID=7036460&amp;Result=3","7036460")</f>
        <v>0</v>
      </c>
      <c r="B7420" t="s">
        <v>387</v>
      </c>
      <c r="C7420" t="s">
        <v>10285</v>
      </c>
      <c r="D7420" t="s">
        <v>18076</v>
      </c>
      <c r="E7420" t="s">
        <v>18377</v>
      </c>
      <c r="F7420" t="s">
        <v>31574</v>
      </c>
      <c r="G7420" t="s">
        <v>31582</v>
      </c>
      <c r="H7420" t="s">
        <v>31590</v>
      </c>
      <c r="I7420" t="s">
        <v>3487</v>
      </c>
      <c r="J7420" t="s">
        <v>36468</v>
      </c>
      <c r="K7420" t="s">
        <v>41186</v>
      </c>
      <c r="M7420" t="s">
        <v>41878</v>
      </c>
      <c r="N7420" t="s">
        <v>45095</v>
      </c>
      <c r="O7420" t="s">
        <v>45096</v>
      </c>
      <c r="P7420">
        <v>0</v>
      </c>
      <c r="Q7420">
        <v>1</v>
      </c>
      <c r="R7420" t="s">
        <v>45103</v>
      </c>
      <c r="S7420" t="s">
        <v>45270</v>
      </c>
      <c r="T7420" t="s">
        <v>47022</v>
      </c>
      <c r="U7420" t="s">
        <v>53669</v>
      </c>
      <c r="W7420" t="s">
        <v>41878</v>
      </c>
      <c r="X7420" t="s">
        <v>45104</v>
      </c>
    </row>
    <row r="7421" spans="1:24">
      <c r="A7421">
        <f>HYPERLINK("https://www.philgeps.gov.ph/GEPSNONPILOT/Tender/SplashBidNoticeAbstractUI.aspx?menuIndex=3&amp;refID=7036507&amp;Result=3","7036507")</f>
        <v>0</v>
      </c>
      <c r="B7421" t="s">
        <v>998</v>
      </c>
      <c r="C7421" t="s">
        <v>10286</v>
      </c>
      <c r="D7421" t="s">
        <v>18066</v>
      </c>
      <c r="E7421" t="s">
        <v>24638</v>
      </c>
      <c r="F7421" t="s">
        <v>31574</v>
      </c>
      <c r="G7421" t="s">
        <v>31581</v>
      </c>
      <c r="H7421" t="s">
        <v>31591</v>
      </c>
      <c r="I7421" t="s">
        <v>8822</v>
      </c>
      <c r="J7421" t="s">
        <v>31789</v>
      </c>
      <c r="K7421" t="s">
        <v>41186</v>
      </c>
      <c r="M7421" t="s">
        <v>42534</v>
      </c>
      <c r="N7421" t="s">
        <v>45095</v>
      </c>
      <c r="O7421" t="s">
        <v>45096</v>
      </c>
      <c r="P7421">
        <v>0</v>
      </c>
      <c r="Q7421">
        <v>0</v>
      </c>
      <c r="R7421" t="s">
        <v>45103</v>
      </c>
      <c r="S7421" t="s">
        <v>45270</v>
      </c>
      <c r="T7421" t="s">
        <v>47158</v>
      </c>
      <c r="U7421" t="s">
        <v>53670</v>
      </c>
      <c r="W7421" t="s">
        <v>42534</v>
      </c>
      <c r="X7421" t="s">
        <v>45104</v>
      </c>
    </row>
    <row r="7422" spans="1:24">
      <c r="A7422">
        <f>HYPERLINK("https://www.philgeps.gov.ph/GEPSNONPILOT/Tender/SplashBidNoticeAbstractUI.aspx?menuIndex=3&amp;refID=7036523&amp;Result=3","7036523")</f>
        <v>0</v>
      </c>
      <c r="B7422" t="s">
        <v>530</v>
      </c>
      <c r="C7422" t="s">
        <v>10287</v>
      </c>
      <c r="D7422" t="s">
        <v>18071</v>
      </c>
      <c r="E7422" t="s">
        <v>24639</v>
      </c>
      <c r="F7422" t="s">
        <v>31574</v>
      </c>
      <c r="G7422" t="s">
        <v>31582</v>
      </c>
      <c r="H7422" t="s">
        <v>31590</v>
      </c>
      <c r="I7422" t="s">
        <v>7185</v>
      </c>
      <c r="J7422" t="s">
        <v>36469</v>
      </c>
      <c r="K7422" t="s">
        <v>41186</v>
      </c>
      <c r="M7422" t="s">
        <v>42027</v>
      </c>
      <c r="N7422" t="s">
        <v>45095</v>
      </c>
      <c r="O7422" t="s">
        <v>45096</v>
      </c>
      <c r="P7422">
        <v>0</v>
      </c>
      <c r="Q7422">
        <v>1</v>
      </c>
      <c r="R7422" t="s">
        <v>45103</v>
      </c>
      <c r="S7422" t="s">
        <v>45270</v>
      </c>
      <c r="T7422" t="s">
        <v>47021</v>
      </c>
      <c r="U7422" t="s">
        <v>53671</v>
      </c>
      <c r="W7422" t="s">
        <v>42027</v>
      </c>
      <c r="X7422" t="s">
        <v>45104</v>
      </c>
    </row>
    <row r="7423" spans="1:24">
      <c r="A7423">
        <f>HYPERLINK("https://www.philgeps.gov.ph/GEPSNONPILOT/Tender/SplashBidNoticeAbstractUI.aspx?menuIndex=3&amp;refID=7036556&amp;Result=3","7036556")</f>
        <v>0</v>
      </c>
      <c r="B7423" t="s">
        <v>2090</v>
      </c>
      <c r="C7423" t="s">
        <v>10288</v>
      </c>
      <c r="D7423" t="s">
        <v>18099</v>
      </c>
      <c r="E7423" t="s">
        <v>18629</v>
      </c>
      <c r="F7423" t="s">
        <v>31574</v>
      </c>
      <c r="G7423" t="s">
        <v>31582</v>
      </c>
      <c r="H7423" t="s">
        <v>31591</v>
      </c>
      <c r="I7423" t="s">
        <v>8822</v>
      </c>
      <c r="J7423" t="s">
        <v>36470</v>
      </c>
      <c r="K7423" t="s">
        <v>41219</v>
      </c>
      <c r="M7423" t="s">
        <v>43766</v>
      </c>
      <c r="N7423" t="s">
        <v>45095</v>
      </c>
      <c r="O7423" t="s">
        <v>45096</v>
      </c>
      <c r="P7423">
        <v>0</v>
      </c>
      <c r="Q7423">
        <v>0</v>
      </c>
      <c r="R7423" t="s">
        <v>45103</v>
      </c>
      <c r="S7423" t="s">
        <v>45270</v>
      </c>
      <c r="T7423" t="s">
        <v>47302</v>
      </c>
      <c r="U7423" t="s">
        <v>53672</v>
      </c>
      <c r="W7423" t="s">
        <v>43766</v>
      </c>
      <c r="X7423" t="s">
        <v>45104</v>
      </c>
    </row>
    <row r="7424" spans="1:24">
      <c r="A7424">
        <f>HYPERLINK("https://www.philgeps.gov.ph/GEPSNONPILOT/Tender/SplashBidNoticeAbstractUI.aspx?menuIndex=3&amp;refID=7036530&amp;Result=3","7036530")</f>
        <v>0</v>
      </c>
      <c r="B7424" t="s">
        <v>2202</v>
      </c>
      <c r="C7424" t="s">
        <v>10289</v>
      </c>
      <c r="D7424" t="s">
        <v>18063</v>
      </c>
      <c r="E7424" t="s">
        <v>20000</v>
      </c>
      <c r="F7424" t="s">
        <v>31574</v>
      </c>
      <c r="G7424" t="s">
        <v>31582</v>
      </c>
      <c r="H7424" t="s">
        <v>31591</v>
      </c>
      <c r="I7424" t="s">
        <v>8822</v>
      </c>
      <c r="J7424" t="s">
        <v>31956</v>
      </c>
      <c r="K7424" t="s">
        <v>41191</v>
      </c>
      <c r="M7424" t="s">
        <v>43890</v>
      </c>
      <c r="N7424" t="s">
        <v>45095</v>
      </c>
      <c r="O7424" t="s">
        <v>45096</v>
      </c>
      <c r="P7424">
        <v>0</v>
      </c>
      <c r="Q7424">
        <v>0</v>
      </c>
      <c r="R7424" t="s">
        <v>45103</v>
      </c>
      <c r="S7424" t="s">
        <v>45270</v>
      </c>
      <c r="T7424" t="s">
        <v>46910</v>
      </c>
      <c r="U7424" t="s">
        <v>53673</v>
      </c>
      <c r="W7424" t="s">
        <v>43890</v>
      </c>
      <c r="X7424" t="s">
        <v>45104</v>
      </c>
    </row>
    <row r="7425" spans="1:24">
      <c r="A7425">
        <f>HYPERLINK("https://www.philgeps.gov.ph/GEPSNONPILOT/Tender/SplashBidNoticeAbstractUI.aspx?menuIndex=3&amp;refID=7036540&amp;Result=3","7036540")</f>
        <v>0</v>
      </c>
      <c r="B7425" t="s">
        <v>290</v>
      </c>
      <c r="C7425" t="s">
        <v>10290</v>
      </c>
      <c r="D7425" t="s">
        <v>18043</v>
      </c>
      <c r="E7425" t="s">
        <v>24640</v>
      </c>
      <c r="F7425" t="s">
        <v>31574</v>
      </c>
      <c r="G7425" t="s">
        <v>31582</v>
      </c>
      <c r="H7425" t="s">
        <v>31590</v>
      </c>
      <c r="I7425" t="s">
        <v>6800</v>
      </c>
      <c r="J7425" t="s">
        <v>36471</v>
      </c>
      <c r="K7425" t="s">
        <v>41193</v>
      </c>
      <c r="M7425" t="s">
        <v>43891</v>
      </c>
      <c r="N7425" t="s">
        <v>45095</v>
      </c>
      <c r="O7425" t="s">
        <v>45096</v>
      </c>
      <c r="P7425">
        <v>0</v>
      </c>
      <c r="Q7425">
        <v>3</v>
      </c>
      <c r="R7425" t="s">
        <v>45103</v>
      </c>
      <c r="S7425" t="s">
        <v>45270</v>
      </c>
      <c r="T7425" t="s">
        <v>46923</v>
      </c>
      <c r="U7425" t="s">
        <v>53674</v>
      </c>
      <c r="W7425" t="s">
        <v>43891</v>
      </c>
      <c r="X7425" t="s">
        <v>45104</v>
      </c>
    </row>
    <row r="7426" spans="1:24">
      <c r="A7426">
        <f>HYPERLINK("https://www.philgeps.gov.ph/GEPSNONPILOT/Tender/SplashBidNoticeAbstractUI.aspx?menuIndex=3&amp;refID=7036554&amp;Result=3","7036554")</f>
        <v>0</v>
      </c>
      <c r="B7426" t="s">
        <v>2203</v>
      </c>
      <c r="C7426" t="s">
        <v>10291</v>
      </c>
      <c r="D7426" t="s">
        <v>18027</v>
      </c>
      <c r="E7426" t="s">
        <v>24641</v>
      </c>
      <c r="F7426" t="s">
        <v>31574</v>
      </c>
      <c r="G7426" t="s">
        <v>31581</v>
      </c>
      <c r="H7426" t="s">
        <v>31590</v>
      </c>
      <c r="I7426" t="s">
        <v>31605</v>
      </c>
      <c r="J7426" t="s">
        <v>33869</v>
      </c>
      <c r="K7426" t="s">
        <v>41186</v>
      </c>
      <c r="M7426" t="s">
        <v>43892</v>
      </c>
      <c r="N7426" t="s">
        <v>45095</v>
      </c>
      <c r="O7426" t="s">
        <v>45096</v>
      </c>
      <c r="P7426">
        <v>0</v>
      </c>
      <c r="Q7426">
        <v>3</v>
      </c>
      <c r="R7426" t="s">
        <v>45103</v>
      </c>
      <c r="S7426" t="s">
        <v>45270</v>
      </c>
      <c r="T7426" t="s">
        <v>47176</v>
      </c>
      <c r="U7426" t="s">
        <v>53675</v>
      </c>
      <c r="W7426" t="s">
        <v>43892</v>
      </c>
      <c r="X7426" t="s">
        <v>45104</v>
      </c>
    </row>
    <row r="7427" spans="1:24">
      <c r="A7427">
        <f>HYPERLINK("https://www.philgeps.gov.ph/GEPSNONPILOT/Tender/SplashBidNoticeAbstractUI.aspx?menuIndex=3&amp;refID=7036529&amp;Result=3","7036529")</f>
        <v>0</v>
      </c>
      <c r="B7427" t="s">
        <v>2166</v>
      </c>
      <c r="C7427" t="s">
        <v>10292</v>
      </c>
      <c r="E7427" t="s">
        <v>24642</v>
      </c>
      <c r="F7427" t="s">
        <v>31574</v>
      </c>
      <c r="G7427" t="s">
        <v>31582</v>
      </c>
      <c r="H7427" t="s">
        <v>31590</v>
      </c>
      <c r="I7427" t="s">
        <v>31615</v>
      </c>
      <c r="J7427" t="s">
        <v>36472</v>
      </c>
      <c r="K7427" t="s">
        <v>41184</v>
      </c>
      <c r="M7427" t="s">
        <v>43851</v>
      </c>
      <c r="N7427" t="s">
        <v>45095</v>
      </c>
      <c r="O7427" t="s">
        <v>45096</v>
      </c>
      <c r="P7427">
        <v>0</v>
      </c>
      <c r="Q7427">
        <v>0</v>
      </c>
      <c r="R7427" t="s">
        <v>45103</v>
      </c>
      <c r="S7427" t="s">
        <v>45270</v>
      </c>
      <c r="T7427" t="s">
        <v>47232</v>
      </c>
      <c r="U7427" t="s">
        <v>53667</v>
      </c>
      <c r="W7427" t="s">
        <v>43851</v>
      </c>
      <c r="X7427" t="s">
        <v>45104</v>
      </c>
    </row>
    <row r="7428" spans="1:24">
      <c r="A7428">
        <f>HYPERLINK("https://www.philgeps.gov.ph/GEPSNONPILOT/Tender/SplashBidNoticeAbstractUI.aspx?menuIndex=3&amp;refID=7036546&amp;Result=3","7036546")</f>
        <v>0</v>
      </c>
      <c r="B7428" t="s">
        <v>1822</v>
      </c>
      <c r="C7428" t="s">
        <v>10293</v>
      </c>
      <c r="D7428" t="s">
        <v>18099</v>
      </c>
      <c r="E7428" t="s">
        <v>24643</v>
      </c>
      <c r="F7428" t="s">
        <v>31574</v>
      </c>
      <c r="G7428" t="s">
        <v>31582</v>
      </c>
      <c r="H7428" t="s">
        <v>31591</v>
      </c>
      <c r="I7428" t="s">
        <v>8822</v>
      </c>
      <c r="J7428" t="s">
        <v>31741</v>
      </c>
      <c r="K7428" t="s">
        <v>41287</v>
      </c>
      <c r="M7428" t="s">
        <v>43457</v>
      </c>
      <c r="N7428" t="s">
        <v>45095</v>
      </c>
      <c r="O7428" t="s">
        <v>45096</v>
      </c>
      <c r="P7428">
        <v>0</v>
      </c>
      <c r="Q7428">
        <v>0</v>
      </c>
      <c r="R7428" t="s">
        <v>45103</v>
      </c>
      <c r="S7428" t="s">
        <v>45270</v>
      </c>
      <c r="T7428" t="s">
        <v>46937</v>
      </c>
      <c r="U7428" t="s">
        <v>52190</v>
      </c>
      <c r="W7428" t="s">
        <v>43457</v>
      </c>
      <c r="X7428" t="s">
        <v>45104</v>
      </c>
    </row>
    <row r="7429" spans="1:24">
      <c r="A7429">
        <f>HYPERLINK("https://www.philgeps.gov.ph/GEPSNONPILOT/Tender/SplashBidNoticeAbstractUI.aspx?menuIndex=3&amp;refID=7036539&amp;Result=3","7036539")</f>
        <v>0</v>
      </c>
      <c r="B7429" t="s">
        <v>2204</v>
      </c>
      <c r="C7429" t="s">
        <v>10294</v>
      </c>
      <c r="E7429" t="s">
        <v>24644</v>
      </c>
      <c r="F7429" t="s">
        <v>31574</v>
      </c>
      <c r="G7429" t="s">
        <v>31582</v>
      </c>
      <c r="H7429" t="s">
        <v>31590</v>
      </c>
      <c r="I7429" t="s">
        <v>31662</v>
      </c>
      <c r="J7429" t="s">
        <v>36473</v>
      </c>
      <c r="K7429" t="s">
        <v>41184</v>
      </c>
      <c r="M7429" t="s">
        <v>43893</v>
      </c>
      <c r="N7429" t="s">
        <v>45095</v>
      </c>
      <c r="O7429" t="s">
        <v>45096</v>
      </c>
      <c r="P7429">
        <v>0</v>
      </c>
      <c r="Q7429">
        <v>1</v>
      </c>
      <c r="R7429" t="s">
        <v>45103</v>
      </c>
      <c r="S7429" t="s">
        <v>45270</v>
      </c>
      <c r="T7429" t="s">
        <v>46965</v>
      </c>
      <c r="U7429" t="s">
        <v>53676</v>
      </c>
      <c r="W7429" t="s">
        <v>43893</v>
      </c>
      <c r="X7429" t="s">
        <v>45104</v>
      </c>
    </row>
    <row r="7430" spans="1:24">
      <c r="A7430">
        <f>HYPERLINK("https://www.philgeps.gov.ph/GEPSNONPILOT/Tender/SplashBidNoticeAbstractUI.aspx?menuIndex=3&amp;refID=7036545&amp;Result=3","7036545")</f>
        <v>0</v>
      </c>
      <c r="B7430" t="s">
        <v>629</v>
      </c>
      <c r="C7430" t="s">
        <v>10295</v>
      </c>
      <c r="D7430" t="s">
        <v>18075</v>
      </c>
      <c r="E7430" t="s">
        <v>18211</v>
      </c>
      <c r="F7430" t="s">
        <v>31574</v>
      </c>
      <c r="G7430" t="s">
        <v>31582</v>
      </c>
      <c r="H7430" t="s">
        <v>31590</v>
      </c>
      <c r="I7430" t="s">
        <v>8822</v>
      </c>
      <c r="J7430" t="s">
        <v>36474</v>
      </c>
      <c r="K7430" t="s">
        <v>41201</v>
      </c>
      <c r="M7430" t="s">
        <v>42133</v>
      </c>
      <c r="N7430" t="s">
        <v>45095</v>
      </c>
      <c r="O7430" t="s">
        <v>45096</v>
      </c>
      <c r="P7430">
        <v>0</v>
      </c>
      <c r="Q7430">
        <v>1</v>
      </c>
      <c r="R7430" t="s">
        <v>45103</v>
      </c>
      <c r="S7430" t="s">
        <v>45270</v>
      </c>
      <c r="T7430" t="s">
        <v>47315</v>
      </c>
      <c r="U7430" t="s">
        <v>53635</v>
      </c>
      <c r="W7430" t="s">
        <v>42133</v>
      </c>
      <c r="X7430" t="s">
        <v>45104</v>
      </c>
    </row>
    <row r="7431" spans="1:24">
      <c r="A7431">
        <f>HYPERLINK("https://www.philgeps.gov.ph/GEPSNONPILOT/Tender/SplashBidNoticeAbstractUI.aspx?menuIndex=3&amp;refID=7036544&amp;Result=3","7036544")</f>
        <v>0</v>
      </c>
      <c r="B7431" t="s">
        <v>2166</v>
      </c>
      <c r="C7431" t="s">
        <v>10296</v>
      </c>
      <c r="E7431" t="s">
        <v>24645</v>
      </c>
      <c r="F7431" t="s">
        <v>31574</v>
      </c>
      <c r="G7431" t="s">
        <v>31582</v>
      </c>
      <c r="H7431" t="s">
        <v>31590</v>
      </c>
      <c r="I7431" t="s">
        <v>31615</v>
      </c>
      <c r="J7431" t="s">
        <v>31821</v>
      </c>
      <c r="K7431" t="s">
        <v>41184</v>
      </c>
      <c r="M7431" t="s">
        <v>43851</v>
      </c>
      <c r="N7431" t="s">
        <v>45095</v>
      </c>
      <c r="O7431" t="s">
        <v>45096</v>
      </c>
      <c r="P7431">
        <v>0</v>
      </c>
      <c r="Q7431">
        <v>0</v>
      </c>
      <c r="R7431" t="s">
        <v>45103</v>
      </c>
      <c r="S7431" t="s">
        <v>45270</v>
      </c>
      <c r="T7431" t="s">
        <v>47232</v>
      </c>
      <c r="U7431" t="s">
        <v>53667</v>
      </c>
      <c r="W7431" t="s">
        <v>43851</v>
      </c>
      <c r="X7431" t="s">
        <v>45104</v>
      </c>
    </row>
    <row r="7432" spans="1:24">
      <c r="A7432">
        <f>HYPERLINK("https://www.philgeps.gov.ph/GEPSNONPILOT/Tender/SplashBidNoticeAbstractUI.aspx?menuIndex=3&amp;refID=7036532&amp;Result=3","7036532")</f>
        <v>0</v>
      </c>
      <c r="B7432" t="s">
        <v>998</v>
      </c>
      <c r="C7432" t="s">
        <v>10297</v>
      </c>
      <c r="D7432" t="s">
        <v>18066</v>
      </c>
      <c r="E7432" t="s">
        <v>21656</v>
      </c>
      <c r="F7432" t="s">
        <v>31574</v>
      </c>
      <c r="G7432" t="s">
        <v>31581</v>
      </c>
      <c r="H7432" t="s">
        <v>31591</v>
      </c>
      <c r="I7432" t="s">
        <v>8822</v>
      </c>
      <c r="J7432" t="s">
        <v>36475</v>
      </c>
      <c r="K7432" t="s">
        <v>41186</v>
      </c>
      <c r="M7432" t="s">
        <v>42534</v>
      </c>
      <c r="N7432" t="s">
        <v>45095</v>
      </c>
      <c r="O7432" t="s">
        <v>45096</v>
      </c>
      <c r="P7432">
        <v>0</v>
      </c>
      <c r="Q7432">
        <v>0</v>
      </c>
      <c r="R7432" t="s">
        <v>45103</v>
      </c>
      <c r="S7432" t="s">
        <v>45270</v>
      </c>
      <c r="T7432" t="s">
        <v>47158</v>
      </c>
      <c r="U7432" t="s">
        <v>53677</v>
      </c>
      <c r="W7432" t="s">
        <v>42534</v>
      </c>
      <c r="X7432" t="s">
        <v>45104</v>
      </c>
    </row>
    <row r="7433" spans="1:24">
      <c r="A7433">
        <f>HYPERLINK("https://www.philgeps.gov.ph/GEPSNONPILOT/Tender/SplashBidNoticeAbstractUI.aspx?menuIndex=3&amp;refID=7036537&amp;Result=3","7036537")</f>
        <v>0</v>
      </c>
      <c r="B7433" t="s">
        <v>2197</v>
      </c>
      <c r="C7433" t="s">
        <v>10298</v>
      </c>
      <c r="D7433" t="s">
        <v>18040</v>
      </c>
      <c r="E7433" t="s">
        <v>18795</v>
      </c>
      <c r="F7433" t="s">
        <v>31574</v>
      </c>
      <c r="G7433" t="s">
        <v>31582</v>
      </c>
      <c r="H7433" t="s">
        <v>31590</v>
      </c>
      <c r="I7433" t="s">
        <v>31605</v>
      </c>
      <c r="J7433" t="s">
        <v>31753</v>
      </c>
      <c r="K7433" t="s">
        <v>41193</v>
      </c>
      <c r="M7433" t="s">
        <v>43885</v>
      </c>
      <c r="N7433" t="s">
        <v>45095</v>
      </c>
      <c r="O7433" t="s">
        <v>45096</v>
      </c>
      <c r="P7433">
        <v>0</v>
      </c>
      <c r="Q7433">
        <v>2</v>
      </c>
      <c r="R7433" t="s">
        <v>45103</v>
      </c>
      <c r="S7433" t="s">
        <v>45270</v>
      </c>
      <c r="T7433" t="s">
        <v>47058</v>
      </c>
      <c r="U7433" t="s">
        <v>53678</v>
      </c>
      <c r="W7433" t="s">
        <v>43885</v>
      </c>
      <c r="X7433" t="s">
        <v>45104</v>
      </c>
    </row>
    <row r="7434" spans="1:24">
      <c r="A7434">
        <f>HYPERLINK("https://www.philgeps.gov.ph/GEPSNONPILOT/Tender/SplashBidNoticeAbstractUI.aspx?menuIndex=3&amp;refID=7036565&amp;Result=3","7036565")</f>
        <v>0</v>
      </c>
      <c r="B7434" t="s">
        <v>2205</v>
      </c>
      <c r="C7434" t="s">
        <v>10299</v>
      </c>
      <c r="D7434" t="s">
        <v>18022</v>
      </c>
      <c r="E7434" t="s">
        <v>24646</v>
      </c>
      <c r="F7434" t="s">
        <v>31579</v>
      </c>
      <c r="G7434" t="s">
        <v>31582</v>
      </c>
      <c r="H7434" t="s">
        <v>31590</v>
      </c>
      <c r="I7434" t="s">
        <v>3487</v>
      </c>
      <c r="J7434" t="s">
        <v>36476</v>
      </c>
      <c r="K7434" t="s">
        <v>41193</v>
      </c>
      <c r="M7434" t="s">
        <v>43894</v>
      </c>
      <c r="N7434" t="s">
        <v>45095</v>
      </c>
      <c r="O7434" t="s">
        <v>45096</v>
      </c>
      <c r="P7434">
        <v>0</v>
      </c>
      <c r="Q7434">
        <v>0</v>
      </c>
      <c r="R7434" t="s">
        <v>45103</v>
      </c>
      <c r="S7434" t="s">
        <v>45270</v>
      </c>
      <c r="T7434" t="s">
        <v>46921</v>
      </c>
      <c r="U7434" t="s">
        <v>53679</v>
      </c>
      <c r="W7434" t="s">
        <v>43894</v>
      </c>
      <c r="X7434" t="s">
        <v>45104</v>
      </c>
    </row>
    <row r="7435" spans="1:24">
      <c r="A7435">
        <f>HYPERLINK("https://www.philgeps.gov.ph/GEPSNONPILOT/Tender/SplashBidNoticeAbstractUI.aspx?menuIndex=3&amp;refID=7036558&amp;Result=3","7036558")</f>
        <v>0</v>
      </c>
      <c r="B7435" t="s">
        <v>384</v>
      </c>
      <c r="C7435" t="s">
        <v>10300</v>
      </c>
      <c r="D7435" t="s">
        <v>18055</v>
      </c>
      <c r="E7435" t="s">
        <v>24647</v>
      </c>
      <c r="F7435" t="s">
        <v>31574</v>
      </c>
      <c r="G7435" t="s">
        <v>31581</v>
      </c>
      <c r="H7435" t="s">
        <v>31590</v>
      </c>
      <c r="I7435" t="s">
        <v>8258</v>
      </c>
      <c r="J7435" t="s">
        <v>36477</v>
      </c>
      <c r="K7435" t="s">
        <v>41193</v>
      </c>
      <c r="M7435" t="s">
        <v>41874</v>
      </c>
      <c r="N7435" t="s">
        <v>45095</v>
      </c>
      <c r="O7435" t="s">
        <v>45096</v>
      </c>
      <c r="P7435">
        <v>0</v>
      </c>
      <c r="Q7435">
        <v>0</v>
      </c>
      <c r="R7435" t="s">
        <v>45103</v>
      </c>
      <c r="S7435" t="s">
        <v>45270</v>
      </c>
      <c r="T7435" t="s">
        <v>46985</v>
      </c>
      <c r="U7435" t="s">
        <v>53680</v>
      </c>
      <c r="V7435" t="s">
        <v>60637</v>
      </c>
      <c r="W7435" t="s">
        <v>41874</v>
      </c>
      <c r="X7435" t="s">
        <v>45104</v>
      </c>
    </row>
    <row r="7436" spans="1:24">
      <c r="A7436">
        <f>HYPERLINK("https://www.philgeps.gov.ph/GEPSNONPILOT/Tender/SplashBidNoticeAbstractUI.aspx?menuIndex=3&amp;refID=7036536&amp;Result=3","7036536")</f>
        <v>0</v>
      </c>
      <c r="B7436" t="s">
        <v>2206</v>
      </c>
      <c r="C7436" t="s">
        <v>10301</v>
      </c>
      <c r="D7436" t="s">
        <v>18086</v>
      </c>
      <c r="E7436" t="s">
        <v>24648</v>
      </c>
      <c r="F7436" t="s">
        <v>31574</v>
      </c>
      <c r="G7436" t="s">
        <v>31585</v>
      </c>
      <c r="H7436" t="s">
        <v>31590</v>
      </c>
      <c r="I7436" t="s">
        <v>8822</v>
      </c>
      <c r="J7436" t="s">
        <v>31727</v>
      </c>
      <c r="K7436" t="s">
        <v>41184</v>
      </c>
      <c r="M7436" t="s">
        <v>43895</v>
      </c>
      <c r="N7436" t="s">
        <v>45095</v>
      </c>
      <c r="O7436" t="s">
        <v>45096</v>
      </c>
      <c r="P7436">
        <v>0</v>
      </c>
      <c r="Q7436">
        <v>0</v>
      </c>
      <c r="R7436" t="s">
        <v>45103</v>
      </c>
      <c r="S7436" t="s">
        <v>45270</v>
      </c>
      <c r="T7436" t="s">
        <v>47124</v>
      </c>
      <c r="U7436" t="s">
        <v>53681</v>
      </c>
      <c r="W7436" t="s">
        <v>43895</v>
      </c>
      <c r="X7436" t="s">
        <v>45104</v>
      </c>
    </row>
    <row r="7437" spans="1:24">
      <c r="A7437">
        <f>HYPERLINK("https://www.philgeps.gov.ph/GEPSNONPILOT/Tender/SplashBidNoticeAbstractUI.aspx?menuIndex=3&amp;refID=7036571&amp;Result=3","7036571")</f>
        <v>0</v>
      </c>
      <c r="B7437" t="s">
        <v>435</v>
      </c>
      <c r="C7437" t="s">
        <v>10302</v>
      </c>
      <c r="D7437" t="s">
        <v>18057</v>
      </c>
      <c r="E7437" t="s">
        <v>24649</v>
      </c>
      <c r="F7437" t="s">
        <v>31575</v>
      </c>
      <c r="G7437" t="s">
        <v>31583</v>
      </c>
      <c r="H7437" t="s">
        <v>31592</v>
      </c>
      <c r="I7437" t="s">
        <v>31594</v>
      </c>
      <c r="J7437" t="s">
        <v>36478</v>
      </c>
      <c r="K7437" t="s">
        <v>41193</v>
      </c>
      <c r="M7437" t="s">
        <v>41928</v>
      </c>
      <c r="N7437" t="s">
        <v>45095</v>
      </c>
      <c r="O7437" t="s">
        <v>45096</v>
      </c>
      <c r="P7437">
        <v>0</v>
      </c>
      <c r="Q7437">
        <v>4</v>
      </c>
      <c r="R7437" t="s">
        <v>45103</v>
      </c>
      <c r="S7437" t="s">
        <v>45270</v>
      </c>
      <c r="T7437" t="s">
        <v>47316</v>
      </c>
      <c r="U7437" t="s">
        <v>53682</v>
      </c>
      <c r="W7437" t="s">
        <v>41928</v>
      </c>
      <c r="X7437" t="s">
        <v>45104</v>
      </c>
    </row>
    <row r="7438" spans="1:24">
      <c r="A7438">
        <f>HYPERLINK("https://www.philgeps.gov.ph/GEPSNONPILOT/Tender/SplashBidNoticeAbstractUI.aspx?menuIndex=3&amp;refID=7036557&amp;Result=3","7036557")</f>
        <v>0</v>
      </c>
      <c r="B7438" t="s">
        <v>2197</v>
      </c>
      <c r="C7438" t="s">
        <v>10303</v>
      </c>
      <c r="D7438" t="s">
        <v>18040</v>
      </c>
      <c r="E7438" t="s">
        <v>18795</v>
      </c>
      <c r="F7438" t="s">
        <v>31574</v>
      </c>
      <c r="G7438" t="s">
        <v>31582</v>
      </c>
      <c r="H7438" t="s">
        <v>31591</v>
      </c>
      <c r="I7438" t="s">
        <v>7162</v>
      </c>
      <c r="J7438" t="s">
        <v>31956</v>
      </c>
      <c r="K7438" t="s">
        <v>41193</v>
      </c>
      <c r="M7438" t="s">
        <v>43885</v>
      </c>
      <c r="N7438" t="s">
        <v>45095</v>
      </c>
      <c r="O7438" t="s">
        <v>45096</v>
      </c>
      <c r="P7438">
        <v>0</v>
      </c>
      <c r="Q7438">
        <v>2</v>
      </c>
      <c r="R7438" t="s">
        <v>45103</v>
      </c>
      <c r="S7438" t="s">
        <v>45270</v>
      </c>
      <c r="T7438" t="s">
        <v>47058</v>
      </c>
      <c r="U7438" t="s">
        <v>53683</v>
      </c>
      <c r="W7438" t="s">
        <v>43885</v>
      </c>
      <c r="X7438" t="s">
        <v>45104</v>
      </c>
    </row>
    <row r="7439" spans="1:24">
      <c r="A7439">
        <f>HYPERLINK("https://www.philgeps.gov.ph/GEPSNONPILOT/Tender/SplashBidNoticeAbstractUI.aspx?menuIndex=3&amp;refID=7036535&amp;Result=3","7036535")</f>
        <v>0</v>
      </c>
      <c r="B7439" t="s">
        <v>1822</v>
      </c>
      <c r="C7439" t="s">
        <v>10304</v>
      </c>
      <c r="D7439" t="s">
        <v>18099</v>
      </c>
      <c r="E7439" t="s">
        <v>24650</v>
      </c>
      <c r="F7439" t="s">
        <v>31574</v>
      </c>
      <c r="G7439" t="s">
        <v>31582</v>
      </c>
      <c r="H7439" t="s">
        <v>31591</v>
      </c>
      <c r="I7439" t="s">
        <v>31627</v>
      </c>
      <c r="J7439" t="s">
        <v>36479</v>
      </c>
      <c r="K7439" t="s">
        <v>41192</v>
      </c>
      <c r="M7439" t="s">
        <v>43457</v>
      </c>
      <c r="N7439" t="s">
        <v>45095</v>
      </c>
      <c r="O7439" t="s">
        <v>45096</v>
      </c>
      <c r="P7439">
        <v>0</v>
      </c>
      <c r="Q7439">
        <v>0</v>
      </c>
      <c r="R7439" t="s">
        <v>45103</v>
      </c>
      <c r="S7439" t="s">
        <v>45270</v>
      </c>
      <c r="T7439" t="s">
        <v>46937</v>
      </c>
      <c r="U7439" t="s">
        <v>52190</v>
      </c>
      <c r="W7439" t="s">
        <v>43457</v>
      </c>
      <c r="X7439" t="s">
        <v>45104</v>
      </c>
    </row>
    <row r="7440" spans="1:24">
      <c r="A7440">
        <f>HYPERLINK("https://www.philgeps.gov.ph/GEPSNONPILOT/Tender/SplashBidNoticeAbstractUI.aspx?menuIndex=3&amp;refID=7036561&amp;Result=3","7036561")</f>
        <v>0</v>
      </c>
      <c r="B7440" t="s">
        <v>2207</v>
      </c>
      <c r="C7440" t="s">
        <v>10305</v>
      </c>
      <c r="D7440" t="s">
        <v>18022</v>
      </c>
      <c r="E7440" t="s">
        <v>18227</v>
      </c>
      <c r="F7440" t="s">
        <v>31574</v>
      </c>
      <c r="G7440" t="s">
        <v>31581</v>
      </c>
      <c r="H7440" t="s">
        <v>31591</v>
      </c>
      <c r="I7440" t="s">
        <v>8822</v>
      </c>
      <c r="J7440" t="s">
        <v>36480</v>
      </c>
      <c r="K7440" t="s">
        <v>41193</v>
      </c>
      <c r="M7440" t="s">
        <v>43896</v>
      </c>
      <c r="N7440" t="s">
        <v>45095</v>
      </c>
      <c r="O7440" t="s">
        <v>45096</v>
      </c>
      <c r="P7440">
        <v>0</v>
      </c>
      <c r="Q7440">
        <v>0</v>
      </c>
      <c r="R7440" t="s">
        <v>45103</v>
      </c>
      <c r="S7440" t="s">
        <v>45270</v>
      </c>
      <c r="T7440" t="s">
        <v>47162</v>
      </c>
      <c r="U7440" t="s">
        <v>53684</v>
      </c>
      <c r="V7440" t="s">
        <v>60638</v>
      </c>
      <c r="W7440" t="s">
        <v>43896</v>
      </c>
      <c r="X7440" t="s">
        <v>45104</v>
      </c>
    </row>
    <row r="7441" spans="1:24">
      <c r="A7441">
        <f>HYPERLINK("https://www.philgeps.gov.ph/GEPSNONPILOT/Tender/SplashBidNoticeAbstractUI.aspx?menuIndex=3&amp;refID=7036559&amp;Result=3","7036559")</f>
        <v>0</v>
      </c>
      <c r="B7441" t="s">
        <v>630</v>
      </c>
      <c r="C7441" t="s">
        <v>10306</v>
      </c>
      <c r="D7441" t="s">
        <v>18086</v>
      </c>
      <c r="E7441" t="s">
        <v>24651</v>
      </c>
      <c r="F7441" t="s">
        <v>31574</v>
      </c>
      <c r="G7441" t="s">
        <v>31585</v>
      </c>
      <c r="H7441" t="s">
        <v>31590</v>
      </c>
      <c r="I7441" t="s">
        <v>31625</v>
      </c>
      <c r="J7441" t="s">
        <v>36481</v>
      </c>
      <c r="K7441" t="s">
        <v>41195</v>
      </c>
      <c r="M7441" t="s">
        <v>42134</v>
      </c>
      <c r="N7441" t="s">
        <v>45095</v>
      </c>
      <c r="O7441" t="s">
        <v>45096</v>
      </c>
      <c r="P7441">
        <v>0</v>
      </c>
      <c r="Q7441">
        <v>1</v>
      </c>
      <c r="R7441" t="s">
        <v>45103</v>
      </c>
      <c r="S7441" t="s">
        <v>45270</v>
      </c>
      <c r="T7441" t="s">
        <v>47068</v>
      </c>
      <c r="U7441" t="s">
        <v>53685</v>
      </c>
      <c r="W7441" t="s">
        <v>42134</v>
      </c>
      <c r="X7441" t="s">
        <v>45104</v>
      </c>
    </row>
    <row r="7442" spans="1:24">
      <c r="A7442">
        <f>HYPERLINK("https://www.philgeps.gov.ph/GEPSNONPILOT/Tender/SplashBidNoticeAbstractUI.aspx?menuIndex=3&amp;refID=7036572&amp;Result=3","7036572")</f>
        <v>0</v>
      </c>
      <c r="B7442" t="s">
        <v>2208</v>
      </c>
      <c r="C7442" t="s">
        <v>10307</v>
      </c>
      <c r="E7442" t="s">
        <v>24652</v>
      </c>
      <c r="F7442" t="s">
        <v>31574</v>
      </c>
      <c r="G7442" t="s">
        <v>31582</v>
      </c>
      <c r="H7442" t="s">
        <v>31591</v>
      </c>
      <c r="I7442" t="s">
        <v>8822</v>
      </c>
      <c r="J7442" t="s">
        <v>36482</v>
      </c>
      <c r="K7442" t="s">
        <v>41203</v>
      </c>
      <c r="M7442" t="s">
        <v>43897</v>
      </c>
      <c r="N7442" t="s">
        <v>45095</v>
      </c>
      <c r="O7442" t="s">
        <v>45096</v>
      </c>
      <c r="P7442">
        <v>0</v>
      </c>
      <c r="Q7442">
        <v>15</v>
      </c>
      <c r="R7442" t="s">
        <v>45103</v>
      </c>
      <c r="S7442" t="s">
        <v>45270</v>
      </c>
      <c r="T7442" t="s">
        <v>47010</v>
      </c>
      <c r="U7442" t="s">
        <v>53686</v>
      </c>
      <c r="W7442" t="s">
        <v>43897</v>
      </c>
      <c r="X7442" t="s">
        <v>45104</v>
      </c>
    </row>
    <row r="7443" spans="1:24">
      <c r="A7443">
        <f>HYPERLINK("https://www.philgeps.gov.ph/GEPSNONPILOT/Tender/SplashBidNoticeAbstractUI.aspx?menuIndex=3&amp;refID=7036573&amp;Result=3","7036573")</f>
        <v>0</v>
      </c>
      <c r="B7443" t="s">
        <v>1402</v>
      </c>
      <c r="C7443" t="s">
        <v>10308</v>
      </c>
      <c r="D7443" t="s">
        <v>18093</v>
      </c>
      <c r="E7443" t="s">
        <v>24653</v>
      </c>
      <c r="F7443" t="s">
        <v>31574</v>
      </c>
      <c r="G7443" t="s">
        <v>31583</v>
      </c>
      <c r="H7443" t="s">
        <v>31590</v>
      </c>
      <c r="I7443" t="s">
        <v>31606</v>
      </c>
      <c r="J7443" t="s">
        <v>36483</v>
      </c>
      <c r="K7443" t="s">
        <v>41196</v>
      </c>
      <c r="M7443" t="s">
        <v>42977</v>
      </c>
      <c r="N7443" t="s">
        <v>45095</v>
      </c>
      <c r="O7443" t="s">
        <v>45096</v>
      </c>
      <c r="P7443">
        <v>0</v>
      </c>
      <c r="Q7443">
        <v>5</v>
      </c>
      <c r="R7443" t="s">
        <v>45103</v>
      </c>
      <c r="S7443" t="s">
        <v>45270</v>
      </c>
      <c r="T7443" t="s">
        <v>47067</v>
      </c>
      <c r="U7443" t="s">
        <v>53687</v>
      </c>
      <c r="W7443" t="s">
        <v>42977</v>
      </c>
      <c r="X7443" t="s">
        <v>45104</v>
      </c>
    </row>
    <row r="7444" spans="1:24">
      <c r="A7444">
        <f>HYPERLINK("https://www.philgeps.gov.ph/GEPSNONPILOT/Tender/SplashBidNoticeAbstractUI.aspx?menuIndex=3&amp;refID=7036581&amp;Result=3","7036581")</f>
        <v>0</v>
      </c>
      <c r="B7444" t="s">
        <v>998</v>
      </c>
      <c r="C7444" t="s">
        <v>10309</v>
      </c>
      <c r="D7444" t="s">
        <v>18066</v>
      </c>
      <c r="E7444" t="s">
        <v>24654</v>
      </c>
      <c r="F7444" t="s">
        <v>31574</v>
      </c>
      <c r="G7444" t="s">
        <v>31581</v>
      </c>
      <c r="H7444" t="s">
        <v>31591</v>
      </c>
      <c r="I7444" t="s">
        <v>8822</v>
      </c>
      <c r="J7444" t="s">
        <v>31789</v>
      </c>
      <c r="K7444" t="s">
        <v>41186</v>
      </c>
      <c r="M7444" t="s">
        <v>42534</v>
      </c>
      <c r="N7444" t="s">
        <v>45095</v>
      </c>
      <c r="O7444" t="s">
        <v>45096</v>
      </c>
      <c r="P7444">
        <v>0</v>
      </c>
      <c r="Q7444">
        <v>0</v>
      </c>
      <c r="R7444" t="s">
        <v>45103</v>
      </c>
      <c r="S7444" t="s">
        <v>45270</v>
      </c>
      <c r="T7444" t="s">
        <v>47158</v>
      </c>
      <c r="U7444" t="s">
        <v>53670</v>
      </c>
      <c r="W7444" t="s">
        <v>42534</v>
      </c>
      <c r="X7444" t="s">
        <v>45104</v>
      </c>
    </row>
    <row r="7445" spans="1:24">
      <c r="A7445">
        <f>HYPERLINK("https://www.philgeps.gov.ph/GEPSNONPILOT/Tender/SplashBidNoticeAbstractUI.aspx?menuIndex=3&amp;refID=7036603&amp;Result=3","7036603")</f>
        <v>0</v>
      </c>
      <c r="B7445" t="s">
        <v>1002</v>
      </c>
      <c r="C7445" t="s">
        <v>10310</v>
      </c>
      <c r="D7445" t="s">
        <v>18058</v>
      </c>
      <c r="E7445" t="s">
        <v>24655</v>
      </c>
      <c r="F7445" t="s">
        <v>31574</v>
      </c>
      <c r="G7445" t="s">
        <v>31582</v>
      </c>
      <c r="H7445" t="s">
        <v>31590</v>
      </c>
      <c r="I7445" t="s">
        <v>31605</v>
      </c>
      <c r="J7445" t="s">
        <v>34014</v>
      </c>
      <c r="K7445" t="s">
        <v>41289</v>
      </c>
      <c r="M7445" t="s">
        <v>42539</v>
      </c>
      <c r="N7445" t="s">
        <v>45095</v>
      </c>
      <c r="O7445" t="s">
        <v>45096</v>
      </c>
      <c r="P7445">
        <v>0</v>
      </c>
      <c r="Q7445">
        <v>1</v>
      </c>
      <c r="R7445" t="s">
        <v>45103</v>
      </c>
      <c r="S7445" t="s">
        <v>45270</v>
      </c>
      <c r="T7445" t="s">
        <v>46985</v>
      </c>
      <c r="U7445" t="s">
        <v>53688</v>
      </c>
      <c r="V7445" t="s">
        <v>60109</v>
      </c>
      <c r="W7445" t="s">
        <v>42539</v>
      </c>
      <c r="X7445" t="s">
        <v>45104</v>
      </c>
    </row>
    <row r="7446" spans="1:24">
      <c r="A7446">
        <f>HYPERLINK("https://www.philgeps.gov.ph/GEPSNONPILOT/Tender/SplashBidNoticeAbstractUI.aspx?menuIndex=3&amp;refID=7036602&amp;Result=3","7036602")</f>
        <v>0</v>
      </c>
      <c r="B7446" t="s">
        <v>132</v>
      </c>
      <c r="C7446" t="s">
        <v>10311</v>
      </c>
      <c r="D7446" t="s">
        <v>18059</v>
      </c>
      <c r="E7446" t="s">
        <v>24656</v>
      </c>
      <c r="F7446" t="s">
        <v>31574</v>
      </c>
      <c r="G7446" t="s">
        <v>31582</v>
      </c>
      <c r="H7446" t="s">
        <v>31590</v>
      </c>
      <c r="I7446" t="s">
        <v>4046</v>
      </c>
      <c r="J7446" t="s">
        <v>36484</v>
      </c>
      <c r="K7446" t="s">
        <v>41190</v>
      </c>
      <c r="M7446" t="s">
        <v>41616</v>
      </c>
      <c r="N7446" t="s">
        <v>45095</v>
      </c>
      <c r="O7446" t="s">
        <v>45096</v>
      </c>
      <c r="P7446">
        <v>0</v>
      </c>
      <c r="Q7446">
        <v>0</v>
      </c>
      <c r="R7446" t="s">
        <v>45103</v>
      </c>
      <c r="S7446" t="s">
        <v>45270</v>
      </c>
      <c r="T7446" t="s">
        <v>46973</v>
      </c>
      <c r="U7446" t="s">
        <v>53689</v>
      </c>
      <c r="W7446" t="s">
        <v>41616</v>
      </c>
      <c r="X7446" t="s">
        <v>45104</v>
      </c>
    </row>
    <row r="7447" spans="1:24">
      <c r="A7447">
        <f>HYPERLINK("https://www.philgeps.gov.ph/GEPSNONPILOT/Tender/SplashBidNoticeAbstractUI.aspx?menuIndex=3&amp;refID=7036596&amp;Result=3","7036596")</f>
        <v>0</v>
      </c>
      <c r="B7447" t="s">
        <v>435</v>
      </c>
      <c r="C7447" t="s">
        <v>10312</v>
      </c>
      <c r="D7447" t="s">
        <v>18057</v>
      </c>
      <c r="E7447" t="s">
        <v>24657</v>
      </c>
      <c r="F7447" t="s">
        <v>31575</v>
      </c>
      <c r="G7447" t="s">
        <v>31583</v>
      </c>
      <c r="H7447" t="s">
        <v>31592</v>
      </c>
      <c r="I7447" t="s">
        <v>31616</v>
      </c>
      <c r="J7447" t="s">
        <v>36485</v>
      </c>
      <c r="K7447" t="s">
        <v>41193</v>
      </c>
      <c r="M7447" t="s">
        <v>41928</v>
      </c>
      <c r="N7447" t="s">
        <v>45095</v>
      </c>
      <c r="O7447" t="s">
        <v>45096</v>
      </c>
      <c r="P7447">
        <v>0</v>
      </c>
      <c r="Q7447">
        <v>5</v>
      </c>
      <c r="R7447" t="s">
        <v>45103</v>
      </c>
      <c r="S7447" t="s">
        <v>45270</v>
      </c>
      <c r="T7447" t="s">
        <v>47317</v>
      </c>
      <c r="U7447" t="s">
        <v>53690</v>
      </c>
      <c r="W7447" t="s">
        <v>41928</v>
      </c>
      <c r="X7447" t="s">
        <v>45104</v>
      </c>
    </row>
    <row r="7448" spans="1:24">
      <c r="A7448">
        <f>HYPERLINK("https://www.philgeps.gov.ph/GEPSNONPILOT/Tender/SplashBidNoticeAbstractUI.aspx?menuIndex=3&amp;refID=7036579&amp;Result=3","7036579")</f>
        <v>0</v>
      </c>
      <c r="B7448" t="s">
        <v>2209</v>
      </c>
      <c r="C7448" t="s">
        <v>10313</v>
      </c>
      <c r="D7448" t="s">
        <v>18079</v>
      </c>
      <c r="E7448" t="s">
        <v>24658</v>
      </c>
      <c r="F7448" t="s">
        <v>31574</v>
      </c>
      <c r="G7448" t="s">
        <v>31583</v>
      </c>
      <c r="H7448" t="s">
        <v>31590</v>
      </c>
      <c r="I7448" t="s">
        <v>5717</v>
      </c>
      <c r="J7448" t="s">
        <v>36486</v>
      </c>
      <c r="K7448" t="s">
        <v>41190</v>
      </c>
      <c r="M7448" t="s">
        <v>43898</v>
      </c>
      <c r="N7448" t="s">
        <v>45095</v>
      </c>
      <c r="O7448" t="s">
        <v>45096</v>
      </c>
      <c r="P7448">
        <v>0</v>
      </c>
      <c r="Q7448">
        <v>11</v>
      </c>
      <c r="R7448" t="s">
        <v>45103</v>
      </c>
      <c r="S7448" t="s">
        <v>45270</v>
      </c>
      <c r="T7448" t="s">
        <v>47158</v>
      </c>
      <c r="U7448" t="s">
        <v>53691</v>
      </c>
      <c r="V7448" t="s">
        <v>60639</v>
      </c>
      <c r="W7448" t="s">
        <v>45000</v>
      </c>
      <c r="X7448" t="s">
        <v>45104</v>
      </c>
    </row>
    <row r="7449" spans="1:24">
      <c r="A7449">
        <f>HYPERLINK("https://www.philgeps.gov.ph/GEPSNONPILOT/Tender/SplashBidNoticeAbstractUI.aspx?menuIndex=3&amp;refID=7036592&amp;Result=3","7036592")</f>
        <v>0</v>
      </c>
      <c r="B7449" t="s">
        <v>1822</v>
      </c>
      <c r="C7449" t="s">
        <v>10314</v>
      </c>
      <c r="D7449" t="s">
        <v>18099</v>
      </c>
      <c r="E7449" t="s">
        <v>24659</v>
      </c>
      <c r="F7449" t="s">
        <v>31574</v>
      </c>
      <c r="G7449" t="s">
        <v>31582</v>
      </c>
      <c r="H7449" t="s">
        <v>31591</v>
      </c>
      <c r="I7449" t="s">
        <v>8822</v>
      </c>
      <c r="J7449" t="s">
        <v>31947</v>
      </c>
      <c r="K7449" t="s">
        <v>41185</v>
      </c>
      <c r="M7449" t="s">
        <v>43457</v>
      </c>
      <c r="N7449" t="s">
        <v>45095</v>
      </c>
      <c r="O7449" t="s">
        <v>45096</v>
      </c>
      <c r="P7449">
        <v>0</v>
      </c>
      <c r="Q7449">
        <v>0</v>
      </c>
      <c r="R7449" t="s">
        <v>45103</v>
      </c>
      <c r="S7449" t="s">
        <v>45270</v>
      </c>
      <c r="T7449" t="s">
        <v>46937</v>
      </c>
      <c r="U7449" t="s">
        <v>52190</v>
      </c>
      <c r="W7449" t="s">
        <v>43457</v>
      </c>
      <c r="X7449" t="s">
        <v>45104</v>
      </c>
    </row>
    <row r="7450" spans="1:24">
      <c r="A7450">
        <f>HYPERLINK("https://www.philgeps.gov.ph/GEPSNONPILOT/Tender/SplashBidNoticeAbstractUI.aspx?menuIndex=3&amp;refID=7036613&amp;Result=3","7036613")</f>
        <v>0</v>
      </c>
      <c r="B7450" t="s">
        <v>1822</v>
      </c>
      <c r="C7450" t="s">
        <v>10315</v>
      </c>
      <c r="D7450" t="s">
        <v>18099</v>
      </c>
      <c r="E7450" t="s">
        <v>24660</v>
      </c>
      <c r="F7450" t="s">
        <v>31574</v>
      </c>
      <c r="G7450" t="s">
        <v>31582</v>
      </c>
      <c r="H7450" t="s">
        <v>31591</v>
      </c>
      <c r="I7450" t="s">
        <v>8822</v>
      </c>
      <c r="J7450" t="s">
        <v>32232</v>
      </c>
      <c r="K7450" t="s">
        <v>41192</v>
      </c>
      <c r="M7450" t="s">
        <v>43457</v>
      </c>
      <c r="N7450" t="s">
        <v>45095</v>
      </c>
      <c r="O7450" t="s">
        <v>45096</v>
      </c>
      <c r="P7450">
        <v>0</v>
      </c>
      <c r="Q7450">
        <v>0</v>
      </c>
      <c r="R7450" t="s">
        <v>45103</v>
      </c>
      <c r="S7450" t="s">
        <v>45270</v>
      </c>
      <c r="T7450" t="s">
        <v>46937</v>
      </c>
      <c r="U7450" t="s">
        <v>52190</v>
      </c>
      <c r="W7450" t="s">
        <v>43457</v>
      </c>
      <c r="X7450" t="s">
        <v>45104</v>
      </c>
    </row>
    <row r="7451" spans="1:24">
      <c r="A7451">
        <f>HYPERLINK("https://www.philgeps.gov.ph/GEPSNONPILOT/Tender/SplashBidNoticeAbstractUI.aspx?menuIndex=3&amp;refID=7036594&amp;Result=3","7036594")</f>
        <v>0</v>
      </c>
      <c r="B7451" t="s">
        <v>1863</v>
      </c>
      <c r="C7451" t="s">
        <v>10316</v>
      </c>
      <c r="D7451" t="s">
        <v>18052</v>
      </c>
      <c r="E7451" t="s">
        <v>22444</v>
      </c>
      <c r="F7451" t="s">
        <v>31574</v>
      </c>
      <c r="G7451" t="s">
        <v>31582</v>
      </c>
      <c r="H7451" t="s">
        <v>31591</v>
      </c>
      <c r="I7451" t="s">
        <v>3487</v>
      </c>
      <c r="J7451" t="s">
        <v>36487</v>
      </c>
      <c r="K7451" t="s">
        <v>41200</v>
      </c>
      <c r="M7451" t="s">
        <v>43502</v>
      </c>
      <c r="N7451" t="s">
        <v>45095</v>
      </c>
      <c r="O7451" t="s">
        <v>45096</v>
      </c>
      <c r="P7451">
        <v>0</v>
      </c>
      <c r="Q7451">
        <v>0</v>
      </c>
      <c r="R7451" t="s">
        <v>45103</v>
      </c>
      <c r="S7451" t="s">
        <v>45270</v>
      </c>
      <c r="T7451" t="s">
        <v>46963</v>
      </c>
      <c r="U7451" t="s">
        <v>53692</v>
      </c>
      <c r="W7451" t="s">
        <v>43502</v>
      </c>
      <c r="X7451" t="s">
        <v>45104</v>
      </c>
    </row>
    <row r="7452" spans="1:24">
      <c r="A7452">
        <f>HYPERLINK("https://www.philgeps.gov.ph/GEPSNONPILOT/Tender/SplashBidNoticeAbstractUI.aspx?menuIndex=3&amp;refID=7036591&amp;Result=3","7036591")</f>
        <v>0</v>
      </c>
      <c r="B7452" t="s">
        <v>1310</v>
      </c>
      <c r="C7452" t="s">
        <v>10317</v>
      </c>
      <c r="D7452" t="s">
        <v>18074</v>
      </c>
      <c r="E7452" t="s">
        <v>24661</v>
      </c>
      <c r="F7452" t="s">
        <v>31574</v>
      </c>
      <c r="G7452" t="s">
        <v>31582</v>
      </c>
      <c r="H7452" t="s">
        <v>31590</v>
      </c>
      <c r="I7452" t="s">
        <v>3651</v>
      </c>
      <c r="J7452" t="s">
        <v>31727</v>
      </c>
      <c r="K7452" t="s">
        <v>41190</v>
      </c>
      <c r="M7452" t="s">
        <v>42880</v>
      </c>
      <c r="N7452" t="s">
        <v>45095</v>
      </c>
      <c r="O7452" t="s">
        <v>45096</v>
      </c>
      <c r="P7452">
        <v>0</v>
      </c>
      <c r="Q7452">
        <v>0</v>
      </c>
      <c r="R7452" t="s">
        <v>45103</v>
      </c>
      <c r="S7452" t="s">
        <v>45270</v>
      </c>
      <c r="T7452" t="s">
        <v>47043</v>
      </c>
      <c r="U7452" t="s">
        <v>53693</v>
      </c>
      <c r="W7452" t="s">
        <v>42880</v>
      </c>
      <c r="X7452" t="s">
        <v>45104</v>
      </c>
    </row>
    <row r="7453" spans="1:24">
      <c r="A7453">
        <f>HYPERLINK("https://www.philgeps.gov.ph/GEPSNONPILOT/Tender/SplashBidNoticeAbstractUI.aspx?menuIndex=3&amp;refID=7036610&amp;Result=3","7036610")</f>
        <v>0</v>
      </c>
      <c r="B7453" t="s">
        <v>2210</v>
      </c>
      <c r="C7453" t="s">
        <v>10318</v>
      </c>
      <c r="D7453" t="s">
        <v>18041</v>
      </c>
      <c r="E7453" t="s">
        <v>24662</v>
      </c>
      <c r="F7453" t="s">
        <v>31574</v>
      </c>
      <c r="G7453" t="s">
        <v>31581</v>
      </c>
      <c r="H7453" t="s">
        <v>31590</v>
      </c>
      <c r="I7453" t="s">
        <v>8258</v>
      </c>
      <c r="J7453" t="s">
        <v>36488</v>
      </c>
      <c r="K7453" t="s">
        <v>41190</v>
      </c>
      <c r="M7453" t="s">
        <v>43899</v>
      </c>
      <c r="N7453" t="s">
        <v>45095</v>
      </c>
      <c r="O7453" t="s">
        <v>45096</v>
      </c>
      <c r="P7453">
        <v>0</v>
      </c>
      <c r="Q7453">
        <v>6</v>
      </c>
      <c r="R7453" t="s">
        <v>45103</v>
      </c>
      <c r="S7453" t="s">
        <v>45270</v>
      </c>
      <c r="T7453" t="s">
        <v>47159</v>
      </c>
      <c r="U7453" t="s">
        <v>53694</v>
      </c>
      <c r="W7453" t="s">
        <v>43899</v>
      </c>
      <c r="X7453" t="s">
        <v>45104</v>
      </c>
    </row>
    <row r="7454" spans="1:24">
      <c r="A7454">
        <f>HYPERLINK("https://www.philgeps.gov.ph/GEPSNONPILOT/Tender/SplashBidNoticeAbstractUI.aspx?menuIndex=3&amp;refID=7036595&amp;Result=3","7036595")</f>
        <v>0</v>
      </c>
      <c r="B7454" t="s">
        <v>95</v>
      </c>
      <c r="C7454" t="s">
        <v>10319</v>
      </c>
      <c r="D7454" t="s">
        <v>18062</v>
      </c>
      <c r="E7454" t="s">
        <v>24663</v>
      </c>
      <c r="F7454" t="s">
        <v>31574</v>
      </c>
      <c r="G7454" t="s">
        <v>31582</v>
      </c>
      <c r="H7454" t="s">
        <v>31590</v>
      </c>
      <c r="I7454" t="s">
        <v>6800</v>
      </c>
      <c r="J7454" t="s">
        <v>36489</v>
      </c>
      <c r="K7454" t="s">
        <v>41185</v>
      </c>
      <c r="M7454" t="s">
        <v>41937</v>
      </c>
      <c r="N7454" t="s">
        <v>45095</v>
      </c>
      <c r="O7454" t="s">
        <v>45096</v>
      </c>
      <c r="P7454">
        <v>0</v>
      </c>
      <c r="Q7454">
        <v>3</v>
      </c>
      <c r="R7454" t="s">
        <v>45103</v>
      </c>
      <c r="S7454" t="s">
        <v>45270</v>
      </c>
      <c r="T7454" t="s">
        <v>46988</v>
      </c>
      <c r="U7454" t="s">
        <v>53695</v>
      </c>
      <c r="W7454" t="s">
        <v>41937</v>
      </c>
      <c r="X7454" t="s">
        <v>45104</v>
      </c>
    </row>
    <row r="7455" spans="1:24">
      <c r="A7455">
        <f>HYPERLINK("https://www.philgeps.gov.ph/GEPSNONPILOT/Tender/SplashBidNoticeAbstractUI.aspx?menuIndex=3&amp;refID=7036586&amp;Result=3","7036586")</f>
        <v>0</v>
      </c>
      <c r="B7455" t="s">
        <v>290</v>
      </c>
      <c r="C7455" t="s">
        <v>10320</v>
      </c>
      <c r="D7455" t="s">
        <v>18043</v>
      </c>
      <c r="E7455" t="s">
        <v>23114</v>
      </c>
      <c r="F7455" t="s">
        <v>31574</v>
      </c>
      <c r="G7455" t="s">
        <v>31582</v>
      </c>
      <c r="H7455" t="s">
        <v>31590</v>
      </c>
      <c r="I7455" t="s">
        <v>31624</v>
      </c>
      <c r="J7455" t="s">
        <v>36490</v>
      </c>
      <c r="K7455" t="s">
        <v>41193</v>
      </c>
      <c r="M7455" t="s">
        <v>43891</v>
      </c>
      <c r="N7455" t="s">
        <v>45095</v>
      </c>
      <c r="O7455" t="s">
        <v>45096</v>
      </c>
      <c r="P7455">
        <v>0</v>
      </c>
      <c r="Q7455">
        <v>9</v>
      </c>
      <c r="R7455" t="s">
        <v>45103</v>
      </c>
      <c r="S7455" t="s">
        <v>45270</v>
      </c>
      <c r="T7455" t="s">
        <v>46923</v>
      </c>
      <c r="U7455" t="s">
        <v>53696</v>
      </c>
      <c r="W7455" t="s">
        <v>43891</v>
      </c>
      <c r="X7455" t="s">
        <v>45104</v>
      </c>
    </row>
    <row r="7456" spans="1:24">
      <c r="A7456">
        <f>HYPERLINK("https://www.philgeps.gov.ph/GEPSNONPILOT/Tender/SplashBidNoticeAbstractUI.aspx?menuIndex=3&amp;refID=7036606&amp;Result=3","7036606")</f>
        <v>0</v>
      </c>
      <c r="B7456" t="s">
        <v>294</v>
      </c>
      <c r="C7456" t="s">
        <v>10321</v>
      </c>
      <c r="D7456" t="s">
        <v>18030</v>
      </c>
      <c r="E7456" t="s">
        <v>18146</v>
      </c>
      <c r="F7456" t="s">
        <v>31574</v>
      </c>
      <c r="G7456" t="s">
        <v>31582</v>
      </c>
      <c r="H7456" t="s">
        <v>31590</v>
      </c>
      <c r="I7456" t="s">
        <v>8822</v>
      </c>
      <c r="J7456" t="s">
        <v>31789</v>
      </c>
      <c r="K7456" t="s">
        <v>41186</v>
      </c>
      <c r="M7456" t="s">
        <v>41780</v>
      </c>
      <c r="N7456" t="s">
        <v>45095</v>
      </c>
      <c r="O7456" t="s">
        <v>45096</v>
      </c>
      <c r="P7456">
        <v>0</v>
      </c>
      <c r="Q7456">
        <v>0</v>
      </c>
      <c r="R7456" t="s">
        <v>45103</v>
      </c>
      <c r="S7456" t="s">
        <v>45270</v>
      </c>
      <c r="T7456" t="s">
        <v>46973</v>
      </c>
      <c r="U7456" t="s">
        <v>53697</v>
      </c>
      <c r="W7456" t="s">
        <v>41780</v>
      </c>
      <c r="X7456" t="s">
        <v>45104</v>
      </c>
    </row>
    <row r="7457" spans="1:24">
      <c r="A7457">
        <f>HYPERLINK("https://www.philgeps.gov.ph/GEPSNONPILOT/Tender/SplashBidNoticeAbstractUI.aspx?menuIndex=3&amp;refID=7036604&amp;Result=3","7036604")</f>
        <v>0</v>
      </c>
      <c r="B7457" t="s">
        <v>2092</v>
      </c>
      <c r="C7457" t="s">
        <v>10322</v>
      </c>
      <c r="D7457" t="s">
        <v>18030</v>
      </c>
      <c r="E7457" t="s">
        <v>24664</v>
      </c>
      <c r="F7457" t="s">
        <v>31574</v>
      </c>
      <c r="G7457" t="s">
        <v>31582</v>
      </c>
      <c r="H7457" t="s">
        <v>31592</v>
      </c>
      <c r="I7457" t="s">
        <v>31648</v>
      </c>
      <c r="J7457" t="s">
        <v>36491</v>
      </c>
      <c r="K7457" t="s">
        <v>41189</v>
      </c>
      <c r="M7457" t="s">
        <v>43900</v>
      </c>
      <c r="N7457" t="s">
        <v>45095</v>
      </c>
      <c r="O7457" t="s">
        <v>45096</v>
      </c>
      <c r="P7457">
        <v>0</v>
      </c>
      <c r="Q7457">
        <v>2</v>
      </c>
      <c r="R7457" t="s">
        <v>45103</v>
      </c>
      <c r="S7457" t="s">
        <v>45270</v>
      </c>
      <c r="T7457" t="s">
        <v>46919</v>
      </c>
      <c r="U7457" t="s">
        <v>53298</v>
      </c>
      <c r="V7457" t="s">
        <v>60609</v>
      </c>
      <c r="W7457" t="s">
        <v>43900</v>
      </c>
      <c r="X7457" t="s">
        <v>45104</v>
      </c>
    </row>
    <row r="7458" spans="1:24">
      <c r="A7458">
        <f>HYPERLINK("https://www.philgeps.gov.ph/GEPSNONPILOT/Tender/SplashBidNoticeAbstractUI.aspx?menuIndex=3&amp;refID=7036608&amp;Result=3","7036608")</f>
        <v>0</v>
      </c>
      <c r="B7458" t="s">
        <v>2202</v>
      </c>
      <c r="C7458" t="s">
        <v>10323</v>
      </c>
      <c r="D7458" t="s">
        <v>18063</v>
      </c>
      <c r="E7458" t="s">
        <v>20123</v>
      </c>
      <c r="F7458" t="s">
        <v>31574</v>
      </c>
      <c r="G7458" t="s">
        <v>31582</v>
      </c>
      <c r="H7458" t="s">
        <v>31591</v>
      </c>
      <c r="I7458" t="s">
        <v>8822</v>
      </c>
      <c r="J7458" t="s">
        <v>31741</v>
      </c>
      <c r="K7458" t="s">
        <v>41191</v>
      </c>
      <c r="M7458" t="s">
        <v>43890</v>
      </c>
      <c r="N7458" t="s">
        <v>45095</v>
      </c>
      <c r="O7458" t="s">
        <v>45096</v>
      </c>
      <c r="P7458">
        <v>0</v>
      </c>
      <c r="Q7458">
        <v>0</v>
      </c>
      <c r="R7458" t="s">
        <v>45103</v>
      </c>
      <c r="S7458" t="s">
        <v>45270</v>
      </c>
      <c r="T7458" t="s">
        <v>46964</v>
      </c>
      <c r="U7458" t="s">
        <v>53673</v>
      </c>
      <c r="W7458" t="s">
        <v>43890</v>
      </c>
      <c r="X7458" t="s">
        <v>45104</v>
      </c>
    </row>
    <row r="7459" spans="1:24">
      <c r="A7459">
        <f>HYPERLINK("https://www.philgeps.gov.ph/GEPSNONPILOT/Tender/SplashBidNoticeAbstractUI.aspx?menuIndex=3&amp;refID=7036576&amp;Result=3","7036576")</f>
        <v>0</v>
      </c>
      <c r="B7459" t="s">
        <v>1822</v>
      </c>
      <c r="C7459" t="s">
        <v>10324</v>
      </c>
      <c r="D7459" t="s">
        <v>18099</v>
      </c>
      <c r="E7459" t="s">
        <v>24665</v>
      </c>
      <c r="F7459" t="s">
        <v>31574</v>
      </c>
      <c r="G7459" t="s">
        <v>31582</v>
      </c>
      <c r="H7459" t="s">
        <v>31591</v>
      </c>
      <c r="I7459" t="s">
        <v>31627</v>
      </c>
      <c r="J7459" t="s">
        <v>31947</v>
      </c>
      <c r="K7459" t="s">
        <v>41287</v>
      </c>
      <c r="M7459" t="s">
        <v>43457</v>
      </c>
      <c r="N7459" t="s">
        <v>45095</v>
      </c>
      <c r="O7459" t="s">
        <v>45096</v>
      </c>
      <c r="P7459">
        <v>0</v>
      </c>
      <c r="Q7459">
        <v>0</v>
      </c>
      <c r="R7459" t="s">
        <v>45103</v>
      </c>
      <c r="S7459" t="s">
        <v>45270</v>
      </c>
      <c r="T7459" t="s">
        <v>46937</v>
      </c>
      <c r="U7459" t="s">
        <v>52190</v>
      </c>
      <c r="W7459" t="s">
        <v>43457</v>
      </c>
      <c r="X7459" t="s">
        <v>45104</v>
      </c>
    </row>
    <row r="7460" spans="1:24">
      <c r="A7460">
        <f>HYPERLINK("https://www.philgeps.gov.ph/GEPSNONPILOT/Tender/SplashBidNoticeAbstractUI.aspx?menuIndex=3&amp;refID=7036618&amp;Result=3","7036618")</f>
        <v>0</v>
      </c>
      <c r="B7460" t="s">
        <v>2211</v>
      </c>
      <c r="C7460" t="s">
        <v>10325</v>
      </c>
      <c r="D7460" t="s">
        <v>18034</v>
      </c>
      <c r="E7460" t="s">
        <v>24666</v>
      </c>
      <c r="F7460" t="s">
        <v>31574</v>
      </c>
      <c r="G7460" t="s">
        <v>31582</v>
      </c>
      <c r="H7460" t="s">
        <v>31591</v>
      </c>
      <c r="I7460" t="s">
        <v>8822</v>
      </c>
      <c r="J7460" t="s">
        <v>36492</v>
      </c>
      <c r="K7460" t="s">
        <v>41190</v>
      </c>
      <c r="M7460" t="s">
        <v>43901</v>
      </c>
      <c r="N7460" t="s">
        <v>45095</v>
      </c>
      <c r="O7460" t="s">
        <v>45096</v>
      </c>
      <c r="P7460">
        <v>0</v>
      </c>
      <c r="Q7460">
        <v>0</v>
      </c>
      <c r="R7460" t="s">
        <v>45103</v>
      </c>
      <c r="S7460" t="s">
        <v>45270</v>
      </c>
      <c r="T7460" t="s">
        <v>46985</v>
      </c>
      <c r="U7460" t="s">
        <v>53698</v>
      </c>
      <c r="W7460" t="s">
        <v>43901</v>
      </c>
      <c r="X7460" t="s">
        <v>45104</v>
      </c>
    </row>
    <row r="7461" spans="1:24">
      <c r="A7461">
        <f>HYPERLINK("https://www.philgeps.gov.ph/GEPSNONPILOT/Tender/SplashBidNoticeAbstractUI.aspx?menuIndex=3&amp;refID=7036607&amp;Result=3","7036607")</f>
        <v>0</v>
      </c>
      <c r="B7461" t="s">
        <v>670</v>
      </c>
      <c r="C7461" t="s">
        <v>10326</v>
      </c>
      <c r="D7461" t="s">
        <v>18022</v>
      </c>
      <c r="E7461" t="s">
        <v>24667</v>
      </c>
      <c r="F7461" t="s">
        <v>31574</v>
      </c>
      <c r="G7461" t="s">
        <v>31582</v>
      </c>
      <c r="H7461" t="s">
        <v>31590</v>
      </c>
      <c r="I7461" t="s">
        <v>31595</v>
      </c>
      <c r="J7461" t="s">
        <v>36493</v>
      </c>
      <c r="K7461" t="s">
        <v>41186</v>
      </c>
      <c r="M7461" t="s">
        <v>43902</v>
      </c>
      <c r="N7461" t="s">
        <v>45095</v>
      </c>
      <c r="O7461" t="s">
        <v>45096</v>
      </c>
      <c r="P7461">
        <v>0</v>
      </c>
      <c r="Q7461">
        <v>18</v>
      </c>
      <c r="R7461" t="s">
        <v>45103</v>
      </c>
      <c r="S7461" t="s">
        <v>45270</v>
      </c>
      <c r="T7461" t="s">
        <v>47013</v>
      </c>
      <c r="U7461" t="s">
        <v>53699</v>
      </c>
      <c r="W7461" t="s">
        <v>43902</v>
      </c>
      <c r="X7461" t="s">
        <v>45104</v>
      </c>
    </row>
    <row r="7462" spans="1:24">
      <c r="A7462">
        <f>HYPERLINK("https://www.philgeps.gov.ph/GEPSNONPILOT/Tender/SplashBidNoticeAbstractUI.aspx?menuIndex=3&amp;refID=7036631&amp;Result=3","7036631")</f>
        <v>0</v>
      </c>
      <c r="B7462" t="s">
        <v>1822</v>
      </c>
      <c r="C7462" t="s">
        <v>10327</v>
      </c>
      <c r="D7462" t="s">
        <v>18099</v>
      </c>
      <c r="E7462" t="s">
        <v>24668</v>
      </c>
      <c r="F7462" t="s">
        <v>31574</v>
      </c>
      <c r="G7462" t="s">
        <v>31582</v>
      </c>
      <c r="H7462" t="s">
        <v>31591</v>
      </c>
      <c r="I7462" t="s">
        <v>31627</v>
      </c>
      <c r="J7462" t="s">
        <v>31741</v>
      </c>
      <c r="K7462" t="s">
        <v>41257</v>
      </c>
      <c r="M7462" t="s">
        <v>43457</v>
      </c>
      <c r="N7462" t="s">
        <v>45095</v>
      </c>
      <c r="O7462" t="s">
        <v>45096</v>
      </c>
      <c r="P7462">
        <v>0</v>
      </c>
      <c r="Q7462">
        <v>0</v>
      </c>
      <c r="R7462" t="s">
        <v>45103</v>
      </c>
      <c r="S7462" t="s">
        <v>45270</v>
      </c>
      <c r="T7462" t="s">
        <v>46937</v>
      </c>
      <c r="U7462" t="s">
        <v>52190</v>
      </c>
      <c r="W7462" t="s">
        <v>43457</v>
      </c>
      <c r="X7462" t="s">
        <v>45104</v>
      </c>
    </row>
    <row r="7463" spans="1:24">
      <c r="A7463">
        <f>HYPERLINK("https://www.philgeps.gov.ph/GEPSNONPILOT/Tender/SplashBidNoticeAbstractUI.aspx?menuIndex=3&amp;refID=7036580&amp;Result=3","7036580")</f>
        <v>0</v>
      </c>
      <c r="B7463" t="s">
        <v>2211</v>
      </c>
      <c r="C7463" t="s">
        <v>10328</v>
      </c>
      <c r="D7463" t="s">
        <v>18034</v>
      </c>
      <c r="E7463" t="s">
        <v>24669</v>
      </c>
      <c r="F7463" t="s">
        <v>31574</v>
      </c>
      <c r="G7463" t="s">
        <v>31582</v>
      </c>
      <c r="H7463" t="s">
        <v>31591</v>
      </c>
      <c r="I7463" t="s">
        <v>8822</v>
      </c>
      <c r="J7463" t="s">
        <v>36494</v>
      </c>
      <c r="K7463" t="s">
        <v>41303</v>
      </c>
      <c r="M7463" t="s">
        <v>43901</v>
      </c>
      <c r="N7463" t="s">
        <v>45095</v>
      </c>
      <c r="O7463" t="s">
        <v>45096</v>
      </c>
      <c r="P7463">
        <v>0</v>
      </c>
      <c r="Q7463">
        <v>0</v>
      </c>
      <c r="R7463" t="s">
        <v>45103</v>
      </c>
      <c r="S7463" t="s">
        <v>45270</v>
      </c>
      <c r="T7463" t="s">
        <v>46985</v>
      </c>
      <c r="U7463" t="s">
        <v>53698</v>
      </c>
      <c r="W7463" t="s">
        <v>43901</v>
      </c>
      <c r="X7463" t="s">
        <v>45104</v>
      </c>
    </row>
    <row r="7464" spans="1:24">
      <c r="A7464">
        <f>HYPERLINK("https://www.philgeps.gov.ph/GEPSNONPILOT/Tender/SplashBidNoticeAbstractUI.aspx?menuIndex=3&amp;refID=7036648&amp;Result=3","7036648")</f>
        <v>0</v>
      </c>
      <c r="B7464" t="s">
        <v>421</v>
      </c>
      <c r="C7464" t="s">
        <v>10329</v>
      </c>
      <c r="D7464" t="s">
        <v>18053</v>
      </c>
      <c r="E7464" t="s">
        <v>24670</v>
      </c>
      <c r="F7464" t="s">
        <v>31574</v>
      </c>
      <c r="G7464" t="s">
        <v>31583</v>
      </c>
      <c r="H7464" t="s">
        <v>31590</v>
      </c>
      <c r="I7464" t="s">
        <v>5717</v>
      </c>
      <c r="J7464" t="s">
        <v>36495</v>
      </c>
      <c r="K7464" t="s">
        <v>41184</v>
      </c>
      <c r="L7464" t="s">
        <v>421</v>
      </c>
      <c r="M7464" t="s">
        <v>41913</v>
      </c>
      <c r="N7464" t="s">
        <v>45095</v>
      </c>
      <c r="O7464" t="s">
        <v>45096</v>
      </c>
      <c r="P7464">
        <v>0</v>
      </c>
      <c r="Q7464">
        <v>5</v>
      </c>
      <c r="R7464" t="s">
        <v>45103</v>
      </c>
      <c r="S7464" t="s">
        <v>45270</v>
      </c>
      <c r="T7464" t="s">
        <v>47154</v>
      </c>
      <c r="U7464" t="s">
        <v>48307</v>
      </c>
      <c r="W7464" t="s">
        <v>41913</v>
      </c>
      <c r="X7464" t="s">
        <v>45104</v>
      </c>
    </row>
    <row r="7465" spans="1:24">
      <c r="A7465">
        <f>HYPERLINK("https://www.philgeps.gov.ph/GEPSNONPILOT/Tender/SplashBidNoticeAbstractUI.aspx?menuIndex=3&amp;refID=7036628&amp;Result=3","7036628")</f>
        <v>0</v>
      </c>
      <c r="B7465" t="s">
        <v>1713</v>
      </c>
      <c r="C7465" t="s">
        <v>10330</v>
      </c>
      <c r="D7465" t="s">
        <v>18053</v>
      </c>
      <c r="E7465" t="s">
        <v>24671</v>
      </c>
      <c r="F7465" t="s">
        <v>31574</v>
      </c>
      <c r="G7465" t="s">
        <v>31582</v>
      </c>
      <c r="H7465" t="s">
        <v>31591</v>
      </c>
      <c r="I7465" t="s">
        <v>8822</v>
      </c>
      <c r="J7465" t="s">
        <v>36496</v>
      </c>
      <c r="K7465" t="s">
        <v>41329</v>
      </c>
      <c r="M7465" t="s">
        <v>43329</v>
      </c>
      <c r="N7465" t="s">
        <v>45095</v>
      </c>
      <c r="O7465" t="s">
        <v>45096</v>
      </c>
      <c r="P7465">
        <v>0</v>
      </c>
      <c r="Q7465">
        <v>0</v>
      </c>
      <c r="R7465" t="s">
        <v>45103</v>
      </c>
      <c r="S7465" t="s">
        <v>45270</v>
      </c>
      <c r="T7465" t="s">
        <v>46977</v>
      </c>
      <c r="U7465" t="s">
        <v>51803</v>
      </c>
      <c r="W7465" t="s">
        <v>43329</v>
      </c>
      <c r="X7465" t="s">
        <v>45104</v>
      </c>
    </row>
    <row r="7466" spans="1:24">
      <c r="A7466">
        <f>HYPERLINK("https://www.philgeps.gov.ph/GEPSNONPILOT/Tender/SplashBidNoticeAbstractUI.aspx?menuIndex=3&amp;refID=7036638&amp;Result=3","7036638")</f>
        <v>0</v>
      </c>
      <c r="B7466" t="s">
        <v>435</v>
      </c>
      <c r="C7466" t="s">
        <v>10331</v>
      </c>
      <c r="D7466" t="s">
        <v>18057</v>
      </c>
      <c r="E7466" t="s">
        <v>24672</v>
      </c>
      <c r="F7466" t="s">
        <v>31575</v>
      </c>
      <c r="G7466" t="s">
        <v>31583</v>
      </c>
      <c r="H7466" t="s">
        <v>31592</v>
      </c>
      <c r="I7466" t="s">
        <v>31599</v>
      </c>
      <c r="J7466" t="s">
        <v>36497</v>
      </c>
      <c r="K7466" t="s">
        <v>41193</v>
      </c>
      <c r="M7466" t="s">
        <v>41928</v>
      </c>
      <c r="N7466" t="s">
        <v>45095</v>
      </c>
      <c r="O7466" t="s">
        <v>45096</v>
      </c>
      <c r="P7466">
        <v>0</v>
      </c>
      <c r="Q7466">
        <v>3</v>
      </c>
      <c r="R7466" t="s">
        <v>45103</v>
      </c>
      <c r="S7466" t="s">
        <v>45270</v>
      </c>
      <c r="T7466" t="s">
        <v>47317</v>
      </c>
      <c r="U7466" t="s">
        <v>53700</v>
      </c>
      <c r="W7466" t="s">
        <v>41928</v>
      </c>
      <c r="X7466" t="s">
        <v>45104</v>
      </c>
    </row>
    <row r="7467" spans="1:24">
      <c r="A7467">
        <f>HYPERLINK("https://www.philgeps.gov.ph/GEPSNONPILOT/Tender/SplashBidNoticeAbstractUI.aspx?menuIndex=3&amp;refID=7036645&amp;Result=3","7036645")</f>
        <v>0</v>
      </c>
      <c r="B7467" t="s">
        <v>1713</v>
      </c>
      <c r="C7467" t="s">
        <v>10332</v>
      </c>
      <c r="D7467" t="s">
        <v>18053</v>
      </c>
      <c r="E7467" t="s">
        <v>24673</v>
      </c>
      <c r="F7467" t="s">
        <v>31574</v>
      </c>
      <c r="G7467" t="s">
        <v>31582</v>
      </c>
      <c r="H7467" t="s">
        <v>31591</v>
      </c>
      <c r="I7467" t="s">
        <v>8822</v>
      </c>
      <c r="J7467" t="s">
        <v>36498</v>
      </c>
      <c r="K7467" t="s">
        <v>41266</v>
      </c>
      <c r="M7467" t="s">
        <v>43329</v>
      </c>
      <c r="N7467" t="s">
        <v>45095</v>
      </c>
      <c r="O7467" t="s">
        <v>45096</v>
      </c>
      <c r="P7467">
        <v>0</v>
      </c>
      <c r="Q7467">
        <v>0</v>
      </c>
      <c r="R7467" t="s">
        <v>45103</v>
      </c>
      <c r="S7467" t="s">
        <v>45270</v>
      </c>
      <c r="T7467" t="s">
        <v>46977</v>
      </c>
      <c r="U7467" t="s">
        <v>51803</v>
      </c>
      <c r="W7467" t="s">
        <v>43329</v>
      </c>
      <c r="X7467" t="s">
        <v>45104</v>
      </c>
    </row>
    <row r="7468" spans="1:24">
      <c r="A7468">
        <f>HYPERLINK("https://www.philgeps.gov.ph/GEPSNONPILOT/Tender/SplashBidNoticeAbstractUI.aspx?menuIndex=3&amp;refID=7036644&amp;Result=3","7036644")</f>
        <v>0</v>
      </c>
      <c r="B7468" t="s">
        <v>1531</v>
      </c>
      <c r="C7468" t="s">
        <v>10333</v>
      </c>
      <c r="D7468" t="s">
        <v>18044</v>
      </c>
      <c r="E7468" t="s">
        <v>24674</v>
      </c>
      <c r="F7468" t="s">
        <v>31574</v>
      </c>
      <c r="G7468" t="s">
        <v>31582</v>
      </c>
      <c r="H7468" t="s">
        <v>31591</v>
      </c>
      <c r="I7468" t="s">
        <v>8822</v>
      </c>
      <c r="J7468" t="s">
        <v>34659</v>
      </c>
      <c r="K7468" t="s">
        <v>41192</v>
      </c>
      <c r="M7468" t="s">
        <v>43122</v>
      </c>
      <c r="N7468" t="s">
        <v>45095</v>
      </c>
      <c r="O7468" t="s">
        <v>45096</v>
      </c>
      <c r="P7468">
        <v>0</v>
      </c>
      <c r="Q7468">
        <v>0</v>
      </c>
      <c r="R7468" t="s">
        <v>45103</v>
      </c>
      <c r="S7468" t="s">
        <v>45270</v>
      </c>
      <c r="T7468" t="s">
        <v>47000</v>
      </c>
      <c r="U7468" t="s">
        <v>53701</v>
      </c>
      <c r="W7468" t="s">
        <v>43122</v>
      </c>
      <c r="X7468" t="s">
        <v>45104</v>
      </c>
    </row>
    <row r="7469" spans="1:24">
      <c r="A7469">
        <f>HYPERLINK("https://www.philgeps.gov.ph/GEPSNONPILOT/Tender/SplashBidNoticeAbstractUI.aspx?menuIndex=3&amp;refID=7036635&amp;Result=3","7036635")</f>
        <v>0</v>
      </c>
      <c r="B7469" t="s">
        <v>2090</v>
      </c>
      <c r="C7469" t="s">
        <v>10334</v>
      </c>
      <c r="D7469" t="s">
        <v>18099</v>
      </c>
      <c r="E7469" t="s">
        <v>20000</v>
      </c>
      <c r="F7469" t="s">
        <v>31574</v>
      </c>
      <c r="G7469" t="s">
        <v>31582</v>
      </c>
      <c r="H7469" t="s">
        <v>31591</v>
      </c>
      <c r="I7469" t="s">
        <v>8822</v>
      </c>
      <c r="J7469" t="s">
        <v>36499</v>
      </c>
      <c r="K7469" t="s">
        <v>41219</v>
      </c>
      <c r="M7469" t="s">
        <v>43766</v>
      </c>
      <c r="N7469" t="s">
        <v>45095</v>
      </c>
      <c r="O7469" t="s">
        <v>45096</v>
      </c>
      <c r="P7469">
        <v>0</v>
      </c>
      <c r="Q7469">
        <v>0</v>
      </c>
      <c r="R7469" t="s">
        <v>45103</v>
      </c>
      <c r="S7469" t="s">
        <v>45270</v>
      </c>
      <c r="T7469" t="s">
        <v>47302</v>
      </c>
      <c r="U7469" t="s">
        <v>53702</v>
      </c>
      <c r="W7469" t="s">
        <v>43766</v>
      </c>
      <c r="X7469" t="s">
        <v>45104</v>
      </c>
    </row>
    <row r="7470" spans="1:24">
      <c r="A7470">
        <f>HYPERLINK("https://www.philgeps.gov.ph/GEPSNONPILOT/Tender/SplashBidNoticeAbstractUI.aspx?menuIndex=3&amp;refID=7036623&amp;Result=3","7036623")</f>
        <v>0</v>
      </c>
      <c r="B7470" t="s">
        <v>2212</v>
      </c>
      <c r="C7470" t="s">
        <v>10335</v>
      </c>
      <c r="E7470" t="s">
        <v>24675</v>
      </c>
      <c r="F7470" t="s">
        <v>31574</v>
      </c>
      <c r="G7470" t="s">
        <v>31582</v>
      </c>
      <c r="H7470" t="s">
        <v>31590</v>
      </c>
      <c r="I7470" t="s">
        <v>31615</v>
      </c>
      <c r="J7470" t="s">
        <v>32662</v>
      </c>
      <c r="K7470" t="s">
        <v>41184</v>
      </c>
      <c r="M7470" t="s">
        <v>43903</v>
      </c>
      <c r="N7470" t="s">
        <v>45095</v>
      </c>
      <c r="O7470" t="s">
        <v>45096</v>
      </c>
      <c r="P7470">
        <v>0</v>
      </c>
      <c r="Q7470">
        <v>3</v>
      </c>
      <c r="R7470" t="s">
        <v>45103</v>
      </c>
      <c r="S7470" t="s">
        <v>45270</v>
      </c>
      <c r="T7470" t="s">
        <v>47067</v>
      </c>
      <c r="U7470" t="s">
        <v>53703</v>
      </c>
      <c r="W7470" t="s">
        <v>43903</v>
      </c>
      <c r="X7470" t="s">
        <v>45104</v>
      </c>
    </row>
    <row r="7471" spans="1:24">
      <c r="A7471">
        <f>HYPERLINK("https://www.philgeps.gov.ph/GEPSNONPILOT/Tender/SplashBidNoticeAbstractUI.aspx?menuIndex=3&amp;refID=7036647&amp;Result=3","7036647")</f>
        <v>0</v>
      </c>
      <c r="B7471" t="s">
        <v>2213</v>
      </c>
      <c r="C7471" t="s">
        <v>10336</v>
      </c>
      <c r="D7471" t="s">
        <v>18050</v>
      </c>
      <c r="E7471" t="s">
        <v>18448</v>
      </c>
      <c r="F7471" t="s">
        <v>31574</v>
      </c>
      <c r="G7471" t="s">
        <v>31582</v>
      </c>
      <c r="H7471" t="s">
        <v>31590</v>
      </c>
      <c r="I7471" t="s">
        <v>31615</v>
      </c>
      <c r="J7471" t="s">
        <v>31962</v>
      </c>
      <c r="K7471" t="s">
        <v>41184</v>
      </c>
      <c r="M7471" t="s">
        <v>43904</v>
      </c>
      <c r="N7471" t="s">
        <v>45095</v>
      </c>
      <c r="O7471" t="s">
        <v>45096</v>
      </c>
      <c r="P7471">
        <v>0</v>
      </c>
      <c r="Q7471">
        <v>0</v>
      </c>
      <c r="R7471" t="s">
        <v>45103</v>
      </c>
      <c r="S7471" t="s">
        <v>45270</v>
      </c>
      <c r="T7471" t="s">
        <v>47124</v>
      </c>
      <c r="U7471" t="s">
        <v>53704</v>
      </c>
      <c r="W7471" t="s">
        <v>43904</v>
      </c>
      <c r="X7471" t="s">
        <v>45104</v>
      </c>
    </row>
    <row r="7472" spans="1:24">
      <c r="A7472">
        <f>HYPERLINK("https://www.philgeps.gov.ph/GEPSNONPILOT/Tender/SplashBidNoticeAbstractUI.aspx?menuIndex=3&amp;refID=7036630&amp;Result=3","7036630")</f>
        <v>0</v>
      </c>
      <c r="B7472" t="s">
        <v>1008</v>
      </c>
      <c r="C7472" t="s">
        <v>10337</v>
      </c>
      <c r="D7472" t="s">
        <v>18100</v>
      </c>
      <c r="E7472" t="s">
        <v>24676</v>
      </c>
      <c r="F7472" t="s">
        <v>31574</v>
      </c>
      <c r="G7472" t="s">
        <v>31584</v>
      </c>
      <c r="H7472" t="s">
        <v>31590</v>
      </c>
      <c r="I7472" t="s">
        <v>3487</v>
      </c>
      <c r="J7472" t="s">
        <v>36500</v>
      </c>
      <c r="K7472" t="s">
        <v>41186</v>
      </c>
      <c r="M7472" t="s">
        <v>42548</v>
      </c>
      <c r="N7472" t="s">
        <v>45095</v>
      </c>
      <c r="O7472" t="s">
        <v>45096</v>
      </c>
      <c r="P7472">
        <v>0</v>
      </c>
      <c r="Q7472">
        <v>4</v>
      </c>
      <c r="R7472" t="s">
        <v>45103</v>
      </c>
      <c r="S7472" t="s">
        <v>45270</v>
      </c>
      <c r="T7472" t="s">
        <v>46957</v>
      </c>
      <c r="U7472" t="s">
        <v>53705</v>
      </c>
      <c r="V7472" t="s">
        <v>60640</v>
      </c>
      <c r="W7472" t="s">
        <v>42548</v>
      </c>
      <c r="X7472" t="s">
        <v>45104</v>
      </c>
    </row>
    <row r="7473" spans="1:24">
      <c r="A7473">
        <f>HYPERLINK("https://www.philgeps.gov.ph/GEPSNONPILOT/Tender/SplashBidNoticeAbstractUI.aspx?menuIndex=3&amp;refID=7036643&amp;Result=3","7036643")</f>
        <v>0</v>
      </c>
      <c r="B7473" t="s">
        <v>132</v>
      </c>
      <c r="C7473" t="s">
        <v>10338</v>
      </c>
      <c r="D7473" t="s">
        <v>18059</v>
      </c>
      <c r="E7473" t="s">
        <v>24677</v>
      </c>
      <c r="F7473" t="s">
        <v>31574</v>
      </c>
      <c r="G7473" t="s">
        <v>31582</v>
      </c>
      <c r="H7473" t="s">
        <v>31590</v>
      </c>
      <c r="I7473" t="s">
        <v>4046</v>
      </c>
      <c r="J7473" t="s">
        <v>36501</v>
      </c>
      <c r="K7473" t="s">
        <v>41190</v>
      </c>
      <c r="M7473" t="s">
        <v>41616</v>
      </c>
      <c r="N7473" t="s">
        <v>45095</v>
      </c>
      <c r="O7473" t="s">
        <v>45096</v>
      </c>
      <c r="P7473">
        <v>0</v>
      </c>
      <c r="Q7473">
        <v>0</v>
      </c>
      <c r="R7473" t="s">
        <v>45103</v>
      </c>
      <c r="S7473" t="s">
        <v>45270</v>
      </c>
      <c r="T7473" t="s">
        <v>46973</v>
      </c>
      <c r="U7473" t="s">
        <v>53706</v>
      </c>
      <c r="W7473" t="s">
        <v>41616</v>
      </c>
      <c r="X7473" t="s">
        <v>45104</v>
      </c>
    </row>
    <row r="7474" spans="1:24">
      <c r="A7474">
        <f>HYPERLINK("https://www.philgeps.gov.ph/GEPSNONPILOT/Tender/SplashBidNoticeAbstractUI.aspx?menuIndex=3&amp;refID=7036627&amp;Result=3","7036627")</f>
        <v>0</v>
      </c>
      <c r="B7474" t="s">
        <v>2166</v>
      </c>
      <c r="C7474" t="s">
        <v>10339</v>
      </c>
      <c r="E7474" t="s">
        <v>24678</v>
      </c>
      <c r="F7474" t="s">
        <v>31574</v>
      </c>
      <c r="G7474" t="s">
        <v>31582</v>
      </c>
      <c r="H7474" t="s">
        <v>31590</v>
      </c>
      <c r="I7474" t="s">
        <v>4046</v>
      </c>
      <c r="J7474" t="s">
        <v>36502</v>
      </c>
      <c r="K7474" t="s">
        <v>41184</v>
      </c>
      <c r="M7474" t="s">
        <v>43851</v>
      </c>
      <c r="N7474" t="s">
        <v>45095</v>
      </c>
      <c r="O7474" t="s">
        <v>45096</v>
      </c>
      <c r="P7474">
        <v>0</v>
      </c>
      <c r="Q7474">
        <v>0</v>
      </c>
      <c r="R7474" t="s">
        <v>45103</v>
      </c>
      <c r="S7474" t="s">
        <v>45270</v>
      </c>
      <c r="T7474" t="s">
        <v>47232</v>
      </c>
      <c r="U7474" t="s">
        <v>53707</v>
      </c>
      <c r="W7474" t="s">
        <v>43851</v>
      </c>
      <c r="X7474" t="s">
        <v>45104</v>
      </c>
    </row>
    <row r="7475" spans="1:24">
      <c r="A7475">
        <f>HYPERLINK("https://www.philgeps.gov.ph/GEPSNONPILOT/Tender/SplashBidNoticeAbstractUI.aspx?menuIndex=3&amp;refID=7036629&amp;Result=3","7036629")</f>
        <v>0</v>
      </c>
      <c r="B7475" t="s">
        <v>294</v>
      </c>
      <c r="C7475" t="s">
        <v>10340</v>
      </c>
      <c r="D7475" t="s">
        <v>18030</v>
      </c>
      <c r="E7475" t="s">
        <v>18553</v>
      </c>
      <c r="F7475" t="s">
        <v>31574</v>
      </c>
      <c r="G7475" t="s">
        <v>31582</v>
      </c>
      <c r="H7475" t="s">
        <v>31591</v>
      </c>
      <c r="I7475" t="s">
        <v>8822</v>
      </c>
      <c r="J7475" t="s">
        <v>32232</v>
      </c>
      <c r="K7475" t="s">
        <v>41186</v>
      </c>
      <c r="M7475" t="s">
        <v>41780</v>
      </c>
      <c r="N7475" t="s">
        <v>45095</v>
      </c>
      <c r="O7475" t="s">
        <v>45096</v>
      </c>
      <c r="P7475">
        <v>0</v>
      </c>
      <c r="Q7475">
        <v>0</v>
      </c>
      <c r="R7475" t="s">
        <v>45103</v>
      </c>
      <c r="S7475" t="s">
        <v>45270</v>
      </c>
      <c r="T7475" t="s">
        <v>46973</v>
      </c>
      <c r="U7475" t="s">
        <v>53708</v>
      </c>
      <c r="W7475" t="s">
        <v>41780</v>
      </c>
      <c r="X7475" t="s">
        <v>45104</v>
      </c>
    </row>
    <row r="7476" spans="1:24">
      <c r="A7476">
        <f>HYPERLINK("https://www.philgeps.gov.ph/GEPSNONPILOT/Tender/SplashBidNoticeAbstractUI.aspx?menuIndex=3&amp;refID=7036655&amp;Result=3","7036655")</f>
        <v>0</v>
      </c>
      <c r="B7476" t="s">
        <v>629</v>
      </c>
      <c r="C7476" t="s">
        <v>10341</v>
      </c>
      <c r="D7476" t="s">
        <v>18075</v>
      </c>
      <c r="E7476" t="s">
        <v>18210</v>
      </c>
      <c r="F7476" t="s">
        <v>31574</v>
      </c>
      <c r="G7476" t="s">
        <v>31582</v>
      </c>
      <c r="H7476" t="s">
        <v>31591</v>
      </c>
      <c r="I7476" t="s">
        <v>8822</v>
      </c>
      <c r="J7476" t="s">
        <v>31935</v>
      </c>
      <c r="K7476" t="s">
        <v>41194</v>
      </c>
      <c r="M7476" t="s">
        <v>42133</v>
      </c>
      <c r="N7476" t="s">
        <v>45095</v>
      </c>
      <c r="O7476" t="s">
        <v>45096</v>
      </c>
      <c r="P7476">
        <v>0</v>
      </c>
      <c r="Q7476">
        <v>0</v>
      </c>
      <c r="R7476" t="s">
        <v>45103</v>
      </c>
      <c r="S7476" t="s">
        <v>45270</v>
      </c>
      <c r="T7476" t="s">
        <v>47125</v>
      </c>
      <c r="U7476" t="s">
        <v>53635</v>
      </c>
      <c r="W7476" t="s">
        <v>42133</v>
      </c>
      <c r="X7476" t="s">
        <v>45104</v>
      </c>
    </row>
    <row r="7477" spans="1:24">
      <c r="A7477">
        <f>HYPERLINK("https://www.philgeps.gov.ph/GEPSNONPILOT/Tender/SplashBidNoticeAbstractUI.aspx?menuIndex=3&amp;refID=7036653&amp;Result=3","7036653")</f>
        <v>0</v>
      </c>
      <c r="B7477" t="s">
        <v>2211</v>
      </c>
      <c r="C7477" t="s">
        <v>10342</v>
      </c>
      <c r="D7477" t="s">
        <v>18034</v>
      </c>
      <c r="E7477" t="s">
        <v>24679</v>
      </c>
      <c r="F7477" t="s">
        <v>31574</v>
      </c>
      <c r="G7477" t="s">
        <v>31582</v>
      </c>
      <c r="H7477" t="s">
        <v>31591</v>
      </c>
      <c r="I7477" t="s">
        <v>8822</v>
      </c>
      <c r="J7477" t="s">
        <v>36503</v>
      </c>
      <c r="K7477" t="s">
        <v>41215</v>
      </c>
      <c r="M7477" t="s">
        <v>43901</v>
      </c>
      <c r="N7477" t="s">
        <v>45095</v>
      </c>
      <c r="O7477" t="s">
        <v>45096</v>
      </c>
      <c r="P7477">
        <v>0</v>
      </c>
      <c r="Q7477">
        <v>0</v>
      </c>
      <c r="R7477" t="s">
        <v>45103</v>
      </c>
      <c r="S7477" t="s">
        <v>45270</v>
      </c>
      <c r="T7477" t="s">
        <v>46985</v>
      </c>
      <c r="U7477" t="s">
        <v>53698</v>
      </c>
      <c r="W7477" t="s">
        <v>43901</v>
      </c>
      <c r="X7477" t="s">
        <v>45104</v>
      </c>
    </row>
    <row r="7478" spans="1:24">
      <c r="A7478">
        <f>HYPERLINK("https://www.philgeps.gov.ph/GEPSNONPILOT/Tender/SplashBidNoticeAbstractUI.aspx?menuIndex=3&amp;refID=7036657&amp;Result=3","7036657")</f>
        <v>0</v>
      </c>
      <c r="B7478" t="s">
        <v>1002</v>
      </c>
      <c r="C7478" t="s">
        <v>5730</v>
      </c>
      <c r="D7478" t="s">
        <v>18058</v>
      </c>
      <c r="E7478" t="s">
        <v>24680</v>
      </c>
      <c r="F7478" t="s">
        <v>31574</v>
      </c>
      <c r="G7478" t="s">
        <v>31582</v>
      </c>
      <c r="H7478" t="s">
        <v>31590</v>
      </c>
      <c r="I7478" t="s">
        <v>31608</v>
      </c>
      <c r="J7478" t="s">
        <v>36504</v>
      </c>
      <c r="K7478" t="s">
        <v>41289</v>
      </c>
      <c r="M7478" t="s">
        <v>42539</v>
      </c>
      <c r="N7478" t="s">
        <v>45095</v>
      </c>
      <c r="O7478" t="s">
        <v>45096</v>
      </c>
      <c r="P7478">
        <v>0</v>
      </c>
      <c r="Q7478">
        <v>1</v>
      </c>
      <c r="R7478" t="s">
        <v>45103</v>
      </c>
      <c r="S7478" t="s">
        <v>45270</v>
      </c>
      <c r="T7478" t="s">
        <v>46985</v>
      </c>
      <c r="U7478" t="s">
        <v>53709</v>
      </c>
      <c r="V7478" t="s">
        <v>60109</v>
      </c>
      <c r="W7478" t="s">
        <v>42539</v>
      </c>
      <c r="X7478" t="s">
        <v>45104</v>
      </c>
    </row>
    <row r="7479" spans="1:24">
      <c r="A7479">
        <f>HYPERLINK("https://www.philgeps.gov.ph/GEPSNONPILOT/Tender/SplashBidNoticeAbstractUI.aspx?menuIndex=3&amp;refID=7036651&amp;Result=3","7036651")</f>
        <v>0</v>
      </c>
      <c r="B7479" t="s">
        <v>1822</v>
      </c>
      <c r="C7479" t="s">
        <v>10343</v>
      </c>
      <c r="D7479" t="s">
        <v>18099</v>
      </c>
      <c r="E7479" t="s">
        <v>24681</v>
      </c>
      <c r="F7479" t="s">
        <v>31574</v>
      </c>
      <c r="G7479" t="s">
        <v>31582</v>
      </c>
      <c r="H7479" t="s">
        <v>31591</v>
      </c>
      <c r="I7479" t="s">
        <v>8822</v>
      </c>
      <c r="J7479" t="s">
        <v>32232</v>
      </c>
      <c r="K7479" t="s">
        <v>41217</v>
      </c>
      <c r="M7479" t="s">
        <v>43457</v>
      </c>
      <c r="N7479" t="s">
        <v>45095</v>
      </c>
      <c r="O7479" t="s">
        <v>45096</v>
      </c>
      <c r="P7479">
        <v>0</v>
      </c>
      <c r="Q7479">
        <v>0</v>
      </c>
      <c r="R7479" t="s">
        <v>45103</v>
      </c>
      <c r="S7479" t="s">
        <v>45270</v>
      </c>
      <c r="T7479" t="s">
        <v>46937</v>
      </c>
      <c r="U7479" t="s">
        <v>52190</v>
      </c>
      <c r="W7479" t="s">
        <v>43457</v>
      </c>
      <c r="X7479" t="s">
        <v>45104</v>
      </c>
    </row>
    <row r="7480" spans="1:24">
      <c r="A7480">
        <f>HYPERLINK("https://www.philgeps.gov.ph/GEPSNONPILOT/Tender/SplashBidNoticeAbstractUI.aspx?menuIndex=3&amp;refID=7036656&amp;Result=3","7036656")</f>
        <v>0</v>
      </c>
      <c r="B7480" t="s">
        <v>322</v>
      </c>
      <c r="C7480" t="s">
        <v>10344</v>
      </c>
      <c r="D7480" t="s">
        <v>18079</v>
      </c>
      <c r="E7480" t="s">
        <v>24682</v>
      </c>
      <c r="F7480" t="s">
        <v>31574</v>
      </c>
      <c r="G7480" t="s">
        <v>31581</v>
      </c>
      <c r="H7480" t="s">
        <v>31590</v>
      </c>
      <c r="I7480" t="s">
        <v>31705</v>
      </c>
      <c r="J7480" t="s">
        <v>31726</v>
      </c>
      <c r="K7480" t="s">
        <v>41196</v>
      </c>
      <c r="M7480" t="s">
        <v>41810</v>
      </c>
      <c r="N7480" t="s">
        <v>45095</v>
      </c>
      <c r="O7480" t="s">
        <v>45096</v>
      </c>
      <c r="P7480">
        <v>0</v>
      </c>
      <c r="Q7480">
        <v>0</v>
      </c>
      <c r="R7480" t="s">
        <v>45103</v>
      </c>
      <c r="S7480" t="s">
        <v>45270</v>
      </c>
      <c r="T7480" t="s">
        <v>47125</v>
      </c>
      <c r="U7480" t="s">
        <v>53710</v>
      </c>
      <c r="W7480" t="s">
        <v>41810</v>
      </c>
      <c r="X7480" t="s">
        <v>45104</v>
      </c>
    </row>
    <row r="7481" spans="1:24">
      <c r="A7481">
        <f>HYPERLINK("https://www.philgeps.gov.ph/GEPSNONPILOT/Tender/SplashBidNoticeAbstractUI.aspx?menuIndex=3&amp;refID=7036660&amp;Result=3","7036660")</f>
        <v>0</v>
      </c>
      <c r="B7481" t="s">
        <v>1310</v>
      </c>
      <c r="C7481" t="s">
        <v>10345</v>
      </c>
      <c r="D7481" t="s">
        <v>18074</v>
      </c>
      <c r="E7481" t="s">
        <v>24683</v>
      </c>
      <c r="F7481" t="s">
        <v>31574</v>
      </c>
      <c r="G7481" t="s">
        <v>31582</v>
      </c>
      <c r="H7481" t="s">
        <v>31590</v>
      </c>
      <c r="I7481" t="s">
        <v>31619</v>
      </c>
      <c r="J7481" t="s">
        <v>32366</v>
      </c>
      <c r="K7481" t="s">
        <v>41190</v>
      </c>
      <c r="M7481" t="s">
        <v>42880</v>
      </c>
      <c r="N7481" t="s">
        <v>45095</v>
      </c>
      <c r="O7481" t="s">
        <v>45096</v>
      </c>
      <c r="P7481">
        <v>0</v>
      </c>
      <c r="Q7481">
        <v>1</v>
      </c>
      <c r="R7481" t="s">
        <v>45103</v>
      </c>
      <c r="S7481" t="s">
        <v>45270</v>
      </c>
      <c r="T7481" t="s">
        <v>47043</v>
      </c>
      <c r="U7481" t="s">
        <v>53711</v>
      </c>
      <c r="W7481" t="s">
        <v>42880</v>
      </c>
      <c r="X7481" t="s">
        <v>45104</v>
      </c>
    </row>
    <row r="7482" spans="1:24">
      <c r="A7482">
        <f>HYPERLINK("https://www.philgeps.gov.ph/GEPSNONPILOT/Tender/SplashBidNoticeAbstractUI.aspx?menuIndex=3&amp;refID=7036659&amp;Result=3","7036659")</f>
        <v>0</v>
      </c>
      <c r="B7482" t="s">
        <v>435</v>
      </c>
      <c r="C7482" t="s">
        <v>10346</v>
      </c>
      <c r="D7482" t="s">
        <v>18057</v>
      </c>
      <c r="E7482" t="s">
        <v>24684</v>
      </c>
      <c r="F7482" t="s">
        <v>31575</v>
      </c>
      <c r="G7482" t="s">
        <v>31583</v>
      </c>
      <c r="H7482" t="s">
        <v>31592</v>
      </c>
      <c r="I7482" t="s">
        <v>31594</v>
      </c>
      <c r="J7482" t="s">
        <v>36505</v>
      </c>
      <c r="K7482" t="s">
        <v>41193</v>
      </c>
      <c r="M7482" t="s">
        <v>41928</v>
      </c>
      <c r="N7482" t="s">
        <v>45095</v>
      </c>
      <c r="O7482" t="s">
        <v>45096</v>
      </c>
      <c r="P7482">
        <v>0</v>
      </c>
      <c r="Q7482">
        <v>10</v>
      </c>
      <c r="R7482" t="s">
        <v>45103</v>
      </c>
      <c r="S7482" t="s">
        <v>45270</v>
      </c>
      <c r="T7482" t="s">
        <v>47317</v>
      </c>
      <c r="U7482" t="s">
        <v>53712</v>
      </c>
      <c r="W7482" t="s">
        <v>41928</v>
      </c>
      <c r="X7482" t="s">
        <v>45104</v>
      </c>
    </row>
    <row r="7483" spans="1:24">
      <c r="A7483">
        <f>HYPERLINK("https://www.philgeps.gov.ph/GEPSNONPILOT/Tender/SplashBidNoticeAbstractUI.aspx?menuIndex=3&amp;refID=7036649&amp;Result=3","7036649")</f>
        <v>0</v>
      </c>
      <c r="B7483" t="s">
        <v>695</v>
      </c>
      <c r="C7483" t="s">
        <v>10347</v>
      </c>
      <c r="D7483" t="s">
        <v>18033</v>
      </c>
      <c r="E7483" t="s">
        <v>24685</v>
      </c>
      <c r="F7483" t="s">
        <v>31574</v>
      </c>
      <c r="G7483" t="s">
        <v>31583</v>
      </c>
      <c r="H7483" t="s">
        <v>31590</v>
      </c>
      <c r="I7483" t="s">
        <v>31600</v>
      </c>
      <c r="J7483" t="s">
        <v>36506</v>
      </c>
      <c r="K7483" t="s">
        <v>41193</v>
      </c>
      <c r="M7483" t="s">
        <v>42202</v>
      </c>
      <c r="N7483" t="s">
        <v>45095</v>
      </c>
      <c r="O7483" t="s">
        <v>45096</v>
      </c>
      <c r="P7483">
        <v>0</v>
      </c>
      <c r="Q7483">
        <v>0</v>
      </c>
      <c r="R7483" t="s">
        <v>45103</v>
      </c>
      <c r="S7483" t="s">
        <v>45270</v>
      </c>
      <c r="T7483" t="s">
        <v>46904</v>
      </c>
      <c r="U7483" t="s">
        <v>53713</v>
      </c>
      <c r="W7483" t="s">
        <v>42202</v>
      </c>
      <c r="X7483" t="s">
        <v>45104</v>
      </c>
    </row>
    <row r="7484" spans="1:24">
      <c r="A7484">
        <f>HYPERLINK("https://www.philgeps.gov.ph/GEPSNONPILOT/Tender/SplashBidNoticeAbstractUI.aspx?menuIndex=3&amp;refID=7036668&amp;Result=3","7036668")</f>
        <v>0</v>
      </c>
      <c r="B7484" t="s">
        <v>2210</v>
      </c>
      <c r="C7484" t="s">
        <v>10348</v>
      </c>
      <c r="D7484" t="s">
        <v>18041</v>
      </c>
      <c r="E7484" t="s">
        <v>24686</v>
      </c>
      <c r="F7484" t="s">
        <v>31574</v>
      </c>
      <c r="G7484" t="s">
        <v>31581</v>
      </c>
      <c r="H7484" t="s">
        <v>31590</v>
      </c>
      <c r="I7484" t="s">
        <v>7185</v>
      </c>
      <c r="J7484" t="s">
        <v>36507</v>
      </c>
      <c r="K7484" t="s">
        <v>41190</v>
      </c>
      <c r="M7484" t="s">
        <v>43899</v>
      </c>
      <c r="N7484" t="s">
        <v>45095</v>
      </c>
      <c r="O7484" t="s">
        <v>45096</v>
      </c>
      <c r="P7484">
        <v>0</v>
      </c>
      <c r="Q7484">
        <v>4</v>
      </c>
      <c r="R7484" t="s">
        <v>45103</v>
      </c>
      <c r="S7484" t="s">
        <v>45270</v>
      </c>
      <c r="T7484" t="s">
        <v>47159</v>
      </c>
      <c r="U7484" t="s">
        <v>53694</v>
      </c>
      <c r="W7484" t="s">
        <v>43899</v>
      </c>
      <c r="X7484" t="s">
        <v>45104</v>
      </c>
    </row>
    <row r="7485" spans="1:24">
      <c r="A7485">
        <f>HYPERLINK("https://www.philgeps.gov.ph/GEPSNONPILOT/Tender/SplashBidNoticeAbstractUI.aspx?menuIndex=3&amp;refID=7036669&amp;Result=3","7036669")</f>
        <v>0</v>
      </c>
      <c r="B7485" t="s">
        <v>667</v>
      </c>
      <c r="C7485" t="s">
        <v>10349</v>
      </c>
      <c r="D7485" t="s">
        <v>18035</v>
      </c>
      <c r="E7485" t="s">
        <v>24687</v>
      </c>
      <c r="F7485" t="s">
        <v>31574</v>
      </c>
      <c r="G7485" t="s">
        <v>31584</v>
      </c>
      <c r="H7485" t="s">
        <v>31590</v>
      </c>
      <c r="I7485" t="s">
        <v>5717</v>
      </c>
      <c r="J7485" t="s">
        <v>36508</v>
      </c>
      <c r="K7485" t="s">
        <v>41184</v>
      </c>
      <c r="M7485" t="s">
        <v>42172</v>
      </c>
      <c r="N7485" t="s">
        <v>45095</v>
      </c>
      <c r="O7485" t="s">
        <v>45096</v>
      </c>
      <c r="P7485">
        <v>0</v>
      </c>
      <c r="Q7485">
        <v>6</v>
      </c>
      <c r="R7485" t="s">
        <v>45103</v>
      </c>
      <c r="S7485" t="s">
        <v>45270</v>
      </c>
      <c r="T7485" t="s">
        <v>47318</v>
      </c>
      <c r="U7485" t="s">
        <v>53714</v>
      </c>
      <c r="W7485" t="s">
        <v>42172</v>
      </c>
      <c r="X7485" t="s">
        <v>45104</v>
      </c>
    </row>
    <row r="7486" spans="1:24">
      <c r="A7486">
        <f>HYPERLINK("https://www.philgeps.gov.ph/GEPSNONPILOT/Tender/SplashBidNoticeAbstractUI.aspx?menuIndex=3&amp;refID=7036664&amp;Result=3","7036664")</f>
        <v>0</v>
      </c>
      <c r="B7486" t="s">
        <v>421</v>
      </c>
      <c r="C7486" t="s">
        <v>10350</v>
      </c>
      <c r="D7486" t="s">
        <v>18053</v>
      </c>
      <c r="E7486" t="s">
        <v>24688</v>
      </c>
      <c r="F7486" t="s">
        <v>31574</v>
      </c>
      <c r="G7486" t="s">
        <v>31583</v>
      </c>
      <c r="H7486" t="s">
        <v>31590</v>
      </c>
      <c r="I7486" t="s">
        <v>3487</v>
      </c>
      <c r="J7486" t="s">
        <v>36509</v>
      </c>
      <c r="K7486" t="s">
        <v>41184</v>
      </c>
      <c r="L7486" t="s">
        <v>421</v>
      </c>
      <c r="M7486" t="s">
        <v>41913</v>
      </c>
      <c r="N7486" t="s">
        <v>45095</v>
      </c>
      <c r="O7486" t="s">
        <v>45096</v>
      </c>
      <c r="P7486">
        <v>0</v>
      </c>
      <c r="Q7486">
        <v>1</v>
      </c>
      <c r="R7486" t="s">
        <v>45103</v>
      </c>
      <c r="S7486" t="s">
        <v>45270</v>
      </c>
      <c r="T7486" t="s">
        <v>47154</v>
      </c>
      <c r="U7486" t="s">
        <v>48307</v>
      </c>
      <c r="W7486" t="s">
        <v>41913</v>
      </c>
      <c r="X7486" t="s">
        <v>45104</v>
      </c>
    </row>
    <row r="7487" spans="1:24">
      <c r="A7487">
        <f>HYPERLINK("https://www.philgeps.gov.ph/GEPSNONPILOT/Tender/SplashBidNoticeAbstractUI.aspx?menuIndex=3&amp;refID=7036680&amp;Result=3","7036680")</f>
        <v>0</v>
      </c>
      <c r="B7487" t="s">
        <v>294</v>
      </c>
      <c r="C7487" t="s">
        <v>10351</v>
      </c>
      <c r="D7487" t="s">
        <v>18030</v>
      </c>
      <c r="E7487" t="s">
        <v>18430</v>
      </c>
      <c r="F7487" t="s">
        <v>31574</v>
      </c>
      <c r="G7487" t="s">
        <v>31582</v>
      </c>
      <c r="H7487" t="s">
        <v>31591</v>
      </c>
      <c r="I7487" t="s">
        <v>8822</v>
      </c>
      <c r="J7487" t="s">
        <v>32421</v>
      </c>
      <c r="K7487" t="s">
        <v>41192</v>
      </c>
      <c r="M7487" t="s">
        <v>41780</v>
      </c>
      <c r="N7487" t="s">
        <v>45095</v>
      </c>
      <c r="O7487" t="s">
        <v>45096</v>
      </c>
      <c r="P7487">
        <v>0</v>
      </c>
      <c r="Q7487">
        <v>0</v>
      </c>
      <c r="R7487" t="s">
        <v>45103</v>
      </c>
      <c r="S7487" t="s">
        <v>45270</v>
      </c>
      <c r="T7487" t="s">
        <v>46973</v>
      </c>
      <c r="U7487" t="s">
        <v>53715</v>
      </c>
      <c r="W7487" t="s">
        <v>41780</v>
      </c>
      <c r="X7487" t="s">
        <v>45104</v>
      </c>
    </row>
    <row r="7488" spans="1:24">
      <c r="A7488">
        <f>HYPERLINK("https://www.philgeps.gov.ph/GEPSNONPILOT/Tender/SplashBidNoticeAbstractUI.aspx?menuIndex=3&amp;refID=7036670&amp;Result=3","7036670")</f>
        <v>0</v>
      </c>
      <c r="B7488" t="s">
        <v>1863</v>
      </c>
      <c r="C7488" t="s">
        <v>8792</v>
      </c>
      <c r="D7488" t="s">
        <v>18052</v>
      </c>
      <c r="E7488" t="s">
        <v>22468</v>
      </c>
      <c r="F7488" t="s">
        <v>31574</v>
      </c>
      <c r="G7488" t="s">
        <v>31582</v>
      </c>
      <c r="H7488" t="s">
        <v>31590</v>
      </c>
      <c r="I7488" t="s">
        <v>6800</v>
      </c>
      <c r="J7488" t="s">
        <v>36510</v>
      </c>
      <c r="K7488" t="s">
        <v>41196</v>
      </c>
      <c r="M7488" t="s">
        <v>43502</v>
      </c>
      <c r="N7488" t="s">
        <v>45095</v>
      </c>
      <c r="O7488" t="s">
        <v>45096</v>
      </c>
      <c r="P7488">
        <v>0</v>
      </c>
      <c r="Q7488">
        <v>0</v>
      </c>
      <c r="R7488" t="s">
        <v>45103</v>
      </c>
      <c r="S7488" t="s">
        <v>45270</v>
      </c>
      <c r="T7488" t="s">
        <v>46963</v>
      </c>
      <c r="U7488" t="s">
        <v>48559</v>
      </c>
      <c r="W7488" t="s">
        <v>43502</v>
      </c>
      <c r="X7488" t="s">
        <v>45104</v>
      </c>
    </row>
    <row r="7489" spans="1:24">
      <c r="A7489">
        <f>HYPERLINK("https://www.philgeps.gov.ph/GEPSNONPILOT/Tender/SplashBidNoticeAbstractUI.aspx?menuIndex=3&amp;refID=7036667&amp;Result=3","7036667")</f>
        <v>0</v>
      </c>
      <c r="B7489" t="s">
        <v>1713</v>
      </c>
      <c r="C7489" t="s">
        <v>10352</v>
      </c>
      <c r="D7489" t="s">
        <v>18053</v>
      </c>
      <c r="E7489" t="s">
        <v>24689</v>
      </c>
      <c r="F7489" t="s">
        <v>31574</v>
      </c>
      <c r="G7489" t="s">
        <v>31582</v>
      </c>
      <c r="H7489" t="s">
        <v>31591</v>
      </c>
      <c r="I7489" t="s">
        <v>8822</v>
      </c>
      <c r="J7489" t="s">
        <v>36511</v>
      </c>
      <c r="K7489" t="s">
        <v>41186</v>
      </c>
      <c r="M7489" t="s">
        <v>43329</v>
      </c>
      <c r="N7489" t="s">
        <v>45095</v>
      </c>
      <c r="O7489" t="s">
        <v>45096</v>
      </c>
      <c r="P7489">
        <v>0</v>
      </c>
      <c r="Q7489">
        <v>0</v>
      </c>
      <c r="R7489" t="s">
        <v>45103</v>
      </c>
      <c r="S7489" t="s">
        <v>45270</v>
      </c>
      <c r="T7489" t="s">
        <v>47010</v>
      </c>
      <c r="U7489" t="s">
        <v>53716</v>
      </c>
      <c r="W7489" t="s">
        <v>43329</v>
      </c>
      <c r="X7489" t="s">
        <v>45104</v>
      </c>
    </row>
    <row r="7490" spans="1:24">
      <c r="A7490">
        <f>HYPERLINK("https://www.philgeps.gov.ph/GEPSNONPILOT/Tender/SplashBidNoticeAbstractUI.aspx?menuIndex=3&amp;refID=7036672&amp;Result=3","7036672")</f>
        <v>0</v>
      </c>
      <c r="B7490" t="s">
        <v>2214</v>
      </c>
      <c r="C7490" t="s">
        <v>10353</v>
      </c>
      <c r="D7490" t="s">
        <v>18033</v>
      </c>
      <c r="E7490" t="s">
        <v>24690</v>
      </c>
      <c r="F7490" t="s">
        <v>31574</v>
      </c>
      <c r="G7490" t="s">
        <v>31582</v>
      </c>
      <c r="H7490" t="s">
        <v>31590</v>
      </c>
      <c r="I7490" t="s">
        <v>31615</v>
      </c>
      <c r="J7490" t="s">
        <v>32395</v>
      </c>
      <c r="K7490" t="s">
        <v>41186</v>
      </c>
      <c r="M7490" t="s">
        <v>43905</v>
      </c>
      <c r="N7490" t="s">
        <v>45095</v>
      </c>
      <c r="O7490" t="s">
        <v>45096</v>
      </c>
      <c r="P7490">
        <v>0</v>
      </c>
      <c r="Q7490">
        <v>3</v>
      </c>
      <c r="R7490" t="s">
        <v>45103</v>
      </c>
      <c r="S7490" t="s">
        <v>45270</v>
      </c>
      <c r="T7490" t="s">
        <v>46965</v>
      </c>
      <c r="U7490" t="s">
        <v>53717</v>
      </c>
      <c r="W7490" t="s">
        <v>43905</v>
      </c>
      <c r="X7490" t="s">
        <v>45104</v>
      </c>
    </row>
    <row r="7491" spans="1:24">
      <c r="A7491">
        <f>HYPERLINK("https://www.philgeps.gov.ph/GEPSNONPILOT/Tender/SplashBidNoticeAbstractUI.aspx?menuIndex=3&amp;refID=7036698&amp;Result=3","7036698")</f>
        <v>0</v>
      </c>
      <c r="B7491" t="s">
        <v>2090</v>
      </c>
      <c r="C7491" t="s">
        <v>10354</v>
      </c>
      <c r="D7491" t="s">
        <v>18099</v>
      </c>
      <c r="E7491" t="s">
        <v>20123</v>
      </c>
      <c r="F7491" t="s">
        <v>31574</v>
      </c>
      <c r="G7491" t="s">
        <v>31582</v>
      </c>
      <c r="H7491" t="s">
        <v>31591</v>
      </c>
      <c r="I7491" t="s">
        <v>8822</v>
      </c>
      <c r="J7491" t="s">
        <v>36512</v>
      </c>
      <c r="K7491" t="s">
        <v>41244</v>
      </c>
      <c r="M7491" t="s">
        <v>43766</v>
      </c>
      <c r="N7491" t="s">
        <v>45095</v>
      </c>
      <c r="O7491" t="s">
        <v>45096</v>
      </c>
      <c r="P7491">
        <v>0</v>
      </c>
      <c r="Q7491">
        <v>0</v>
      </c>
      <c r="R7491" t="s">
        <v>45103</v>
      </c>
      <c r="S7491" t="s">
        <v>45270</v>
      </c>
      <c r="T7491" t="s">
        <v>47302</v>
      </c>
      <c r="U7491" t="s">
        <v>53718</v>
      </c>
      <c r="W7491" t="s">
        <v>43766</v>
      </c>
      <c r="X7491" t="s">
        <v>45104</v>
      </c>
    </row>
    <row r="7492" spans="1:24">
      <c r="A7492">
        <f>HYPERLINK("https://www.philgeps.gov.ph/GEPSNONPILOT/Tender/SplashBidNoticeAbstractUI.aspx?menuIndex=3&amp;refID=7036677&amp;Result=3","7036677")</f>
        <v>0</v>
      </c>
      <c r="B7492" t="s">
        <v>1822</v>
      </c>
      <c r="C7492" t="s">
        <v>10355</v>
      </c>
      <c r="D7492" t="s">
        <v>18099</v>
      </c>
      <c r="E7492" t="s">
        <v>24691</v>
      </c>
      <c r="F7492" t="s">
        <v>31574</v>
      </c>
      <c r="G7492" t="s">
        <v>31582</v>
      </c>
      <c r="H7492" t="s">
        <v>31591</v>
      </c>
      <c r="I7492" t="s">
        <v>31627</v>
      </c>
      <c r="J7492" t="s">
        <v>31947</v>
      </c>
      <c r="K7492" t="s">
        <v>41185</v>
      </c>
      <c r="M7492" t="s">
        <v>43457</v>
      </c>
      <c r="N7492" t="s">
        <v>45095</v>
      </c>
      <c r="O7492" t="s">
        <v>45096</v>
      </c>
      <c r="P7492">
        <v>0</v>
      </c>
      <c r="Q7492">
        <v>0</v>
      </c>
      <c r="R7492" t="s">
        <v>45103</v>
      </c>
      <c r="S7492" t="s">
        <v>45270</v>
      </c>
      <c r="T7492" t="s">
        <v>46937</v>
      </c>
      <c r="U7492" t="s">
        <v>52190</v>
      </c>
      <c r="W7492" t="s">
        <v>43457</v>
      </c>
      <c r="X7492" t="s">
        <v>45104</v>
      </c>
    </row>
    <row r="7493" spans="1:24">
      <c r="A7493">
        <f>HYPERLINK("https://www.philgeps.gov.ph/GEPSNONPILOT/Tender/SplashBidNoticeAbstractUI.aspx?menuIndex=3&amp;refID=7036671&amp;Result=3","7036671")</f>
        <v>0</v>
      </c>
      <c r="B7493" t="s">
        <v>2215</v>
      </c>
      <c r="C7493" t="s">
        <v>10356</v>
      </c>
      <c r="E7493" t="s">
        <v>24692</v>
      </c>
      <c r="F7493" t="s">
        <v>31574</v>
      </c>
      <c r="G7493" t="s">
        <v>31582</v>
      </c>
      <c r="H7493" t="s">
        <v>31590</v>
      </c>
      <c r="I7493" t="s">
        <v>31615</v>
      </c>
      <c r="J7493" t="s">
        <v>36513</v>
      </c>
      <c r="K7493" t="s">
        <v>41184</v>
      </c>
      <c r="M7493" t="s">
        <v>43906</v>
      </c>
      <c r="N7493" t="s">
        <v>45095</v>
      </c>
      <c r="O7493" t="s">
        <v>45096</v>
      </c>
      <c r="P7493">
        <v>0</v>
      </c>
      <c r="Q7493">
        <v>1</v>
      </c>
      <c r="R7493" t="s">
        <v>45103</v>
      </c>
      <c r="S7493" t="s">
        <v>45270</v>
      </c>
      <c r="T7493" t="s">
        <v>47319</v>
      </c>
      <c r="U7493" t="s">
        <v>53719</v>
      </c>
      <c r="W7493" t="s">
        <v>43906</v>
      </c>
      <c r="X7493" t="s">
        <v>45104</v>
      </c>
    </row>
    <row r="7494" spans="1:24">
      <c r="A7494">
        <f>HYPERLINK("https://www.philgeps.gov.ph/GEPSNONPILOT/Tender/SplashBidNoticeAbstractUI.aspx?menuIndex=3&amp;refID=7036676&amp;Result=3","7036676")</f>
        <v>0</v>
      </c>
      <c r="B7494" t="s">
        <v>1402</v>
      </c>
      <c r="C7494" t="s">
        <v>10308</v>
      </c>
      <c r="D7494" t="s">
        <v>18093</v>
      </c>
      <c r="E7494" t="s">
        <v>24693</v>
      </c>
      <c r="F7494" t="s">
        <v>31574</v>
      </c>
      <c r="G7494" t="s">
        <v>31583</v>
      </c>
      <c r="H7494" t="s">
        <v>31590</v>
      </c>
      <c r="I7494" t="s">
        <v>31606</v>
      </c>
      <c r="J7494" t="s">
        <v>36514</v>
      </c>
      <c r="K7494" t="s">
        <v>41196</v>
      </c>
      <c r="M7494" t="s">
        <v>42977</v>
      </c>
      <c r="N7494" t="s">
        <v>45095</v>
      </c>
      <c r="O7494" t="s">
        <v>45096</v>
      </c>
      <c r="P7494">
        <v>0</v>
      </c>
      <c r="Q7494">
        <v>5</v>
      </c>
      <c r="R7494" t="s">
        <v>45103</v>
      </c>
      <c r="S7494" t="s">
        <v>45270</v>
      </c>
      <c r="T7494" t="s">
        <v>47067</v>
      </c>
      <c r="U7494" t="s">
        <v>53720</v>
      </c>
      <c r="W7494" t="s">
        <v>42977</v>
      </c>
      <c r="X7494" t="s">
        <v>45104</v>
      </c>
    </row>
    <row r="7495" spans="1:24">
      <c r="A7495">
        <f>HYPERLINK("https://www.philgeps.gov.ph/GEPSNONPILOT/Tender/SplashBidNoticeAbstractUI.aspx?menuIndex=3&amp;refID=7036699&amp;Result=3","7036699")</f>
        <v>0</v>
      </c>
      <c r="B7495" t="s">
        <v>2216</v>
      </c>
      <c r="C7495" t="s">
        <v>10357</v>
      </c>
      <c r="E7495" t="s">
        <v>24694</v>
      </c>
      <c r="F7495" t="s">
        <v>31574</v>
      </c>
      <c r="G7495" t="s">
        <v>31581</v>
      </c>
      <c r="H7495" t="s">
        <v>31590</v>
      </c>
      <c r="I7495" t="s">
        <v>31608</v>
      </c>
      <c r="J7495" t="s">
        <v>31744</v>
      </c>
      <c r="K7495" t="s">
        <v>41186</v>
      </c>
      <c r="M7495" t="s">
        <v>43907</v>
      </c>
      <c r="N7495" t="s">
        <v>45095</v>
      </c>
      <c r="O7495" t="s">
        <v>45096</v>
      </c>
      <c r="P7495">
        <v>0</v>
      </c>
      <c r="Q7495">
        <v>0</v>
      </c>
      <c r="R7495" t="s">
        <v>45103</v>
      </c>
      <c r="S7495" t="s">
        <v>45270</v>
      </c>
      <c r="T7495" t="s">
        <v>47183</v>
      </c>
      <c r="U7495" t="s">
        <v>53721</v>
      </c>
      <c r="W7495" t="s">
        <v>43907</v>
      </c>
      <c r="X7495" t="s">
        <v>45104</v>
      </c>
    </row>
    <row r="7496" spans="1:24">
      <c r="A7496">
        <f>HYPERLINK("https://www.philgeps.gov.ph/GEPSNONPILOT/Tender/SplashBidNoticeAbstractUI.aspx?menuIndex=3&amp;refID=7036689&amp;Result=3","7036689")</f>
        <v>0</v>
      </c>
      <c r="B7496" t="s">
        <v>43</v>
      </c>
      <c r="C7496" t="s">
        <v>10358</v>
      </c>
      <c r="D7496" t="s">
        <v>18039</v>
      </c>
      <c r="E7496" t="s">
        <v>18250</v>
      </c>
      <c r="F7496" t="s">
        <v>31574</v>
      </c>
      <c r="G7496" t="s">
        <v>31582</v>
      </c>
      <c r="H7496" t="s">
        <v>31591</v>
      </c>
      <c r="I7496" t="s">
        <v>8822</v>
      </c>
      <c r="J7496" t="s">
        <v>31730</v>
      </c>
      <c r="K7496" t="s">
        <v>41192</v>
      </c>
      <c r="M7496" t="s">
        <v>41526</v>
      </c>
      <c r="N7496" t="s">
        <v>45095</v>
      </c>
      <c r="O7496" t="s">
        <v>45096</v>
      </c>
      <c r="P7496">
        <v>0</v>
      </c>
      <c r="Q7496">
        <v>2</v>
      </c>
      <c r="R7496" t="s">
        <v>45103</v>
      </c>
      <c r="S7496" t="s">
        <v>45270</v>
      </c>
      <c r="T7496" t="s">
        <v>47320</v>
      </c>
      <c r="U7496" t="s">
        <v>53722</v>
      </c>
      <c r="W7496" t="s">
        <v>41526</v>
      </c>
      <c r="X7496" t="s">
        <v>45104</v>
      </c>
    </row>
    <row r="7497" spans="1:24">
      <c r="A7497">
        <f>HYPERLINK("https://www.philgeps.gov.ph/GEPSNONPILOT/Tender/SplashBidNoticeAbstractUI.aspx?menuIndex=3&amp;refID=7036691&amp;Result=3","7036691")</f>
        <v>0</v>
      </c>
      <c r="B7497" t="s">
        <v>1863</v>
      </c>
      <c r="C7497" t="s">
        <v>10359</v>
      </c>
      <c r="D7497" t="s">
        <v>18052</v>
      </c>
      <c r="E7497" t="s">
        <v>24695</v>
      </c>
      <c r="F7497" t="s">
        <v>31574</v>
      </c>
      <c r="G7497" t="s">
        <v>31582</v>
      </c>
      <c r="H7497" t="s">
        <v>31590</v>
      </c>
      <c r="I7497" t="s">
        <v>31629</v>
      </c>
      <c r="J7497" t="s">
        <v>36515</v>
      </c>
      <c r="K7497" t="s">
        <v>41196</v>
      </c>
      <c r="M7497" t="s">
        <v>43502</v>
      </c>
      <c r="N7497" t="s">
        <v>45095</v>
      </c>
      <c r="O7497" t="s">
        <v>45096</v>
      </c>
      <c r="P7497">
        <v>0</v>
      </c>
      <c r="Q7497">
        <v>0</v>
      </c>
      <c r="R7497" t="s">
        <v>45103</v>
      </c>
      <c r="S7497" t="s">
        <v>45270</v>
      </c>
      <c r="T7497" t="s">
        <v>46963</v>
      </c>
      <c r="U7497" t="s">
        <v>53723</v>
      </c>
      <c r="W7497" t="s">
        <v>43502</v>
      </c>
      <c r="X7497" t="s">
        <v>45104</v>
      </c>
    </row>
    <row r="7498" spans="1:24">
      <c r="A7498">
        <f>HYPERLINK("https://www.philgeps.gov.ph/GEPSNONPILOT/Tender/SplashBidNoticeAbstractUI.aspx?menuIndex=3&amp;refID=7036695&amp;Result=3","7036695")</f>
        <v>0</v>
      </c>
      <c r="B7498" t="s">
        <v>1713</v>
      </c>
      <c r="C7498" t="s">
        <v>10360</v>
      </c>
      <c r="D7498" t="s">
        <v>18053</v>
      </c>
      <c r="E7498" t="s">
        <v>24696</v>
      </c>
      <c r="F7498" t="s">
        <v>31574</v>
      </c>
      <c r="G7498" t="s">
        <v>31582</v>
      </c>
      <c r="H7498" t="s">
        <v>31591</v>
      </c>
      <c r="I7498" t="s">
        <v>8822</v>
      </c>
      <c r="J7498" t="s">
        <v>31727</v>
      </c>
      <c r="K7498" t="s">
        <v>41186</v>
      </c>
      <c r="M7498" t="s">
        <v>43329</v>
      </c>
      <c r="N7498" t="s">
        <v>45095</v>
      </c>
      <c r="O7498" t="s">
        <v>45096</v>
      </c>
      <c r="P7498">
        <v>0</v>
      </c>
      <c r="Q7498">
        <v>0</v>
      </c>
      <c r="R7498" t="s">
        <v>45103</v>
      </c>
      <c r="S7498" t="s">
        <v>45270</v>
      </c>
      <c r="T7498" t="s">
        <v>47010</v>
      </c>
      <c r="U7498" t="s">
        <v>53716</v>
      </c>
      <c r="W7498" t="s">
        <v>43329</v>
      </c>
      <c r="X7498" t="s">
        <v>45104</v>
      </c>
    </row>
    <row r="7499" spans="1:24">
      <c r="A7499">
        <f>HYPERLINK("https://www.philgeps.gov.ph/GEPSNONPILOT/Tender/SplashBidNoticeAbstractUI.aspx?menuIndex=3&amp;refID=7036678&amp;Result=3","7036678")</f>
        <v>0</v>
      </c>
      <c r="B7499" t="s">
        <v>2120</v>
      </c>
      <c r="C7499" t="s">
        <v>10361</v>
      </c>
      <c r="D7499" t="s">
        <v>18035</v>
      </c>
      <c r="E7499" t="s">
        <v>24697</v>
      </c>
      <c r="F7499" t="s">
        <v>31574</v>
      </c>
      <c r="G7499" t="s">
        <v>31581</v>
      </c>
      <c r="H7499" t="s">
        <v>31590</v>
      </c>
      <c r="I7499" t="s">
        <v>31596</v>
      </c>
      <c r="J7499" t="s">
        <v>36516</v>
      </c>
      <c r="K7499" t="s">
        <v>41184</v>
      </c>
      <c r="M7499" t="s">
        <v>43801</v>
      </c>
      <c r="N7499" t="s">
        <v>45095</v>
      </c>
      <c r="O7499" t="s">
        <v>45096</v>
      </c>
      <c r="P7499">
        <v>0</v>
      </c>
      <c r="Q7499">
        <v>0</v>
      </c>
      <c r="R7499" t="s">
        <v>45103</v>
      </c>
      <c r="S7499" t="s">
        <v>45270</v>
      </c>
      <c r="T7499" t="s">
        <v>47178</v>
      </c>
      <c r="U7499" t="s">
        <v>53724</v>
      </c>
      <c r="W7499" t="s">
        <v>43801</v>
      </c>
      <c r="X7499" t="s">
        <v>45104</v>
      </c>
    </row>
    <row r="7500" spans="1:24">
      <c r="A7500">
        <f>HYPERLINK("https://www.philgeps.gov.ph/GEPSNONPILOT/Tender/SplashBidNoticeAbstractUI.aspx?menuIndex=3&amp;refID=7036681&amp;Result=3","7036681")</f>
        <v>0</v>
      </c>
      <c r="B7500" t="s">
        <v>421</v>
      </c>
      <c r="C7500" t="s">
        <v>10362</v>
      </c>
      <c r="D7500" t="s">
        <v>18053</v>
      </c>
      <c r="E7500" t="s">
        <v>24698</v>
      </c>
      <c r="F7500" t="s">
        <v>31574</v>
      </c>
      <c r="G7500" t="s">
        <v>31583</v>
      </c>
      <c r="H7500" t="s">
        <v>31590</v>
      </c>
      <c r="I7500" t="s">
        <v>3487</v>
      </c>
      <c r="J7500" t="s">
        <v>36517</v>
      </c>
      <c r="K7500" t="s">
        <v>41184</v>
      </c>
      <c r="L7500" t="s">
        <v>421</v>
      </c>
      <c r="M7500" t="s">
        <v>41913</v>
      </c>
      <c r="N7500" t="s">
        <v>45095</v>
      </c>
      <c r="O7500" t="s">
        <v>45096</v>
      </c>
      <c r="P7500">
        <v>0</v>
      </c>
      <c r="Q7500">
        <v>1</v>
      </c>
      <c r="R7500" t="s">
        <v>45103</v>
      </c>
      <c r="S7500" t="s">
        <v>45270</v>
      </c>
      <c r="T7500" t="s">
        <v>47154</v>
      </c>
      <c r="U7500" t="s">
        <v>48307</v>
      </c>
      <c r="W7500" t="s">
        <v>41913</v>
      </c>
      <c r="X7500" t="s">
        <v>45104</v>
      </c>
    </row>
    <row r="7501" spans="1:24">
      <c r="A7501">
        <f>HYPERLINK("https://www.philgeps.gov.ph/GEPSNONPILOT/Tender/SplashBidNoticeAbstractUI.aspx?menuIndex=3&amp;refID=7036684&amp;Result=3","7036684")</f>
        <v>0</v>
      </c>
      <c r="B7501" t="s">
        <v>2217</v>
      </c>
      <c r="C7501" t="s">
        <v>10363</v>
      </c>
      <c r="D7501" t="s">
        <v>18037</v>
      </c>
      <c r="E7501" t="s">
        <v>24699</v>
      </c>
      <c r="F7501" t="s">
        <v>31574</v>
      </c>
      <c r="G7501" t="s">
        <v>31581</v>
      </c>
      <c r="H7501" t="s">
        <v>31590</v>
      </c>
      <c r="I7501" t="s">
        <v>3487</v>
      </c>
      <c r="J7501" t="s">
        <v>31741</v>
      </c>
      <c r="K7501" t="s">
        <v>41196</v>
      </c>
      <c r="M7501" t="s">
        <v>43908</v>
      </c>
      <c r="N7501" t="s">
        <v>45095</v>
      </c>
      <c r="O7501" t="s">
        <v>45096</v>
      </c>
      <c r="P7501">
        <v>0</v>
      </c>
      <c r="Q7501">
        <v>1</v>
      </c>
      <c r="R7501" t="s">
        <v>45103</v>
      </c>
      <c r="S7501" t="s">
        <v>45270</v>
      </c>
      <c r="T7501" t="s">
        <v>47162</v>
      </c>
      <c r="U7501" t="s">
        <v>53725</v>
      </c>
      <c r="W7501" t="s">
        <v>43908</v>
      </c>
      <c r="X7501" t="s">
        <v>45104</v>
      </c>
    </row>
    <row r="7502" spans="1:24">
      <c r="A7502">
        <f>HYPERLINK("https://www.philgeps.gov.ph/GEPSNONPILOT/Tender/SplashBidNoticeAbstractUI.aspx?menuIndex=3&amp;refID=7036707&amp;Result=3","7036707")</f>
        <v>0</v>
      </c>
      <c r="B7502" t="s">
        <v>294</v>
      </c>
      <c r="C7502" t="s">
        <v>10364</v>
      </c>
      <c r="D7502" t="s">
        <v>18030</v>
      </c>
      <c r="E7502" t="s">
        <v>22090</v>
      </c>
      <c r="F7502" t="s">
        <v>31574</v>
      </c>
      <c r="G7502" t="s">
        <v>31582</v>
      </c>
      <c r="H7502" t="s">
        <v>31591</v>
      </c>
      <c r="I7502" t="s">
        <v>8822</v>
      </c>
      <c r="J7502" t="s">
        <v>36518</v>
      </c>
      <c r="K7502" t="s">
        <v>41196</v>
      </c>
      <c r="M7502" t="s">
        <v>41780</v>
      </c>
      <c r="N7502" t="s">
        <v>45095</v>
      </c>
      <c r="O7502" t="s">
        <v>45096</v>
      </c>
      <c r="P7502">
        <v>0</v>
      </c>
      <c r="Q7502">
        <v>0</v>
      </c>
      <c r="R7502" t="s">
        <v>45103</v>
      </c>
      <c r="S7502" t="s">
        <v>45270</v>
      </c>
      <c r="T7502" t="s">
        <v>46973</v>
      </c>
      <c r="U7502" t="s">
        <v>53726</v>
      </c>
      <c r="W7502" t="s">
        <v>41780</v>
      </c>
      <c r="X7502" t="s">
        <v>45104</v>
      </c>
    </row>
    <row r="7503" spans="1:24">
      <c r="A7503">
        <f>HYPERLINK("https://www.philgeps.gov.ph/GEPSNONPILOT/Tender/SplashBidNoticeAbstractUI.aspx?menuIndex=3&amp;refID=7036730&amp;Result=3","7036730")</f>
        <v>0</v>
      </c>
      <c r="B7503" t="s">
        <v>1822</v>
      </c>
      <c r="C7503" t="s">
        <v>10365</v>
      </c>
      <c r="D7503" t="s">
        <v>18099</v>
      </c>
      <c r="E7503" t="s">
        <v>24700</v>
      </c>
      <c r="F7503" t="s">
        <v>31574</v>
      </c>
      <c r="G7503" t="s">
        <v>31582</v>
      </c>
      <c r="H7503" t="s">
        <v>31591</v>
      </c>
      <c r="I7503" t="s">
        <v>8822</v>
      </c>
      <c r="J7503" t="s">
        <v>31947</v>
      </c>
      <c r="K7503" t="s">
        <v>41287</v>
      </c>
      <c r="M7503" t="s">
        <v>43457</v>
      </c>
      <c r="N7503" t="s">
        <v>45095</v>
      </c>
      <c r="O7503" t="s">
        <v>45096</v>
      </c>
      <c r="P7503">
        <v>0</v>
      </c>
      <c r="Q7503">
        <v>0</v>
      </c>
      <c r="R7503" t="s">
        <v>45103</v>
      </c>
      <c r="S7503" t="s">
        <v>45270</v>
      </c>
      <c r="T7503" t="s">
        <v>46937</v>
      </c>
      <c r="U7503" t="s">
        <v>52190</v>
      </c>
      <c r="W7503" t="s">
        <v>43457</v>
      </c>
      <c r="X7503" t="s">
        <v>45104</v>
      </c>
    </row>
    <row r="7504" spans="1:24">
      <c r="A7504">
        <f>HYPERLINK("https://www.philgeps.gov.ph/GEPSNONPILOT/Tender/SplashBidNoticeAbstractUI.aspx?menuIndex=3&amp;refID=7036721&amp;Result=3","7036721")</f>
        <v>0</v>
      </c>
      <c r="B7504" t="s">
        <v>132</v>
      </c>
      <c r="C7504" t="s">
        <v>10366</v>
      </c>
      <c r="D7504" t="s">
        <v>18059</v>
      </c>
      <c r="E7504" t="s">
        <v>24701</v>
      </c>
      <c r="F7504" t="s">
        <v>31574</v>
      </c>
      <c r="G7504" t="s">
        <v>31582</v>
      </c>
      <c r="H7504" t="s">
        <v>31590</v>
      </c>
      <c r="I7504" t="s">
        <v>4046</v>
      </c>
      <c r="J7504" t="s">
        <v>36519</v>
      </c>
      <c r="K7504" t="s">
        <v>41190</v>
      </c>
      <c r="M7504" t="s">
        <v>41616</v>
      </c>
      <c r="N7504" t="s">
        <v>45095</v>
      </c>
      <c r="O7504" t="s">
        <v>45096</v>
      </c>
      <c r="P7504">
        <v>0</v>
      </c>
      <c r="Q7504">
        <v>0</v>
      </c>
      <c r="R7504" t="s">
        <v>45103</v>
      </c>
      <c r="S7504" t="s">
        <v>45270</v>
      </c>
      <c r="T7504" t="s">
        <v>46973</v>
      </c>
      <c r="U7504" t="s">
        <v>53727</v>
      </c>
      <c r="W7504" t="s">
        <v>41616</v>
      </c>
      <c r="X7504" t="s">
        <v>45104</v>
      </c>
    </row>
    <row r="7505" spans="1:24">
      <c r="A7505">
        <f>HYPERLINK("https://www.philgeps.gov.ph/GEPSNONPILOT/Tender/SplashBidNoticeAbstractUI.aspx?menuIndex=3&amp;refID=7036727&amp;Result=3","7036727")</f>
        <v>0</v>
      </c>
      <c r="B7505" t="s">
        <v>851</v>
      </c>
      <c r="C7505" t="s">
        <v>10367</v>
      </c>
      <c r="D7505" t="s">
        <v>18045</v>
      </c>
      <c r="E7505" t="s">
        <v>24702</v>
      </c>
      <c r="F7505" t="s">
        <v>31574</v>
      </c>
      <c r="G7505" t="s">
        <v>31582</v>
      </c>
      <c r="H7505" t="s">
        <v>31591</v>
      </c>
      <c r="I7505" t="s">
        <v>8822</v>
      </c>
      <c r="J7505" t="s">
        <v>32510</v>
      </c>
      <c r="K7505" t="s">
        <v>41329</v>
      </c>
      <c r="M7505" t="s">
        <v>42370</v>
      </c>
      <c r="N7505" t="s">
        <v>45095</v>
      </c>
      <c r="O7505" t="s">
        <v>45096</v>
      </c>
      <c r="P7505">
        <v>0</v>
      </c>
      <c r="Q7505">
        <v>1</v>
      </c>
      <c r="R7505" t="s">
        <v>45103</v>
      </c>
      <c r="S7505" t="s">
        <v>45270</v>
      </c>
      <c r="T7505" t="s">
        <v>47134</v>
      </c>
      <c r="U7505" t="s">
        <v>53728</v>
      </c>
      <c r="W7505" t="s">
        <v>42370</v>
      </c>
      <c r="X7505" t="s">
        <v>45104</v>
      </c>
    </row>
    <row r="7506" spans="1:24">
      <c r="A7506">
        <f>HYPERLINK("https://www.philgeps.gov.ph/GEPSNONPILOT/Tender/SplashBidNoticeAbstractUI.aspx?menuIndex=3&amp;refID=7036715&amp;Result=3","7036715")</f>
        <v>0</v>
      </c>
      <c r="B7506" t="s">
        <v>1196</v>
      </c>
      <c r="C7506" t="s">
        <v>10368</v>
      </c>
      <c r="D7506" t="s">
        <v>18026</v>
      </c>
      <c r="E7506" t="s">
        <v>24703</v>
      </c>
      <c r="F7506" t="s">
        <v>31574</v>
      </c>
      <c r="G7506" t="s">
        <v>31582</v>
      </c>
      <c r="H7506" t="s">
        <v>31591</v>
      </c>
      <c r="I7506" t="s">
        <v>8822</v>
      </c>
      <c r="J7506" t="s">
        <v>36520</v>
      </c>
      <c r="K7506" t="s">
        <v>41242</v>
      </c>
      <c r="M7506" t="s">
        <v>43471</v>
      </c>
      <c r="N7506" t="s">
        <v>45095</v>
      </c>
      <c r="O7506" t="s">
        <v>45096</v>
      </c>
      <c r="P7506">
        <v>0</v>
      </c>
      <c r="Q7506">
        <v>0</v>
      </c>
      <c r="R7506" t="s">
        <v>45103</v>
      </c>
      <c r="S7506" t="s">
        <v>45270</v>
      </c>
      <c r="T7506" t="s">
        <v>46987</v>
      </c>
      <c r="U7506" t="s">
        <v>53729</v>
      </c>
      <c r="V7506" t="s">
        <v>60641</v>
      </c>
      <c r="W7506" t="s">
        <v>61718</v>
      </c>
      <c r="X7506" t="s">
        <v>45104</v>
      </c>
    </row>
    <row r="7507" spans="1:24">
      <c r="A7507">
        <f>HYPERLINK("https://www.philgeps.gov.ph/GEPSNONPILOT/Tender/SplashBidNoticeAbstractUI.aspx?menuIndex=3&amp;refID=7036745&amp;Result=3","7036745")</f>
        <v>0</v>
      </c>
      <c r="B7507" t="s">
        <v>2218</v>
      </c>
      <c r="C7507" t="s">
        <v>10369</v>
      </c>
      <c r="D7507" t="s">
        <v>18089</v>
      </c>
      <c r="E7507" t="s">
        <v>24223</v>
      </c>
      <c r="F7507" t="s">
        <v>31574</v>
      </c>
      <c r="G7507" t="s">
        <v>31585</v>
      </c>
      <c r="H7507" t="s">
        <v>31590</v>
      </c>
      <c r="I7507" t="s">
        <v>4046</v>
      </c>
      <c r="J7507" t="s">
        <v>32523</v>
      </c>
      <c r="K7507" t="s">
        <v>41184</v>
      </c>
      <c r="M7507" t="s">
        <v>43909</v>
      </c>
      <c r="N7507" t="s">
        <v>45095</v>
      </c>
      <c r="O7507" t="s">
        <v>45096</v>
      </c>
      <c r="P7507">
        <v>0</v>
      </c>
      <c r="Q7507">
        <v>1</v>
      </c>
      <c r="R7507" t="s">
        <v>45103</v>
      </c>
      <c r="S7507" t="s">
        <v>45270</v>
      </c>
      <c r="T7507" t="s">
        <v>47067</v>
      </c>
      <c r="U7507" t="s">
        <v>53730</v>
      </c>
      <c r="V7507" t="s">
        <v>60642</v>
      </c>
      <c r="W7507" t="s">
        <v>43909</v>
      </c>
      <c r="X7507" t="s">
        <v>45104</v>
      </c>
    </row>
    <row r="7508" spans="1:24">
      <c r="A7508">
        <f>HYPERLINK("https://www.philgeps.gov.ph/GEPSNONPILOT/Tender/SplashBidNoticeAbstractUI.aspx?menuIndex=3&amp;refID=7036738&amp;Result=3","7036738")</f>
        <v>0</v>
      </c>
      <c r="B7508" t="s">
        <v>1531</v>
      </c>
      <c r="C7508" t="s">
        <v>10370</v>
      </c>
      <c r="D7508" t="s">
        <v>18044</v>
      </c>
      <c r="E7508" t="s">
        <v>24704</v>
      </c>
      <c r="F7508" t="s">
        <v>31574</v>
      </c>
      <c r="G7508" t="s">
        <v>31582</v>
      </c>
      <c r="H7508" t="s">
        <v>31591</v>
      </c>
      <c r="I7508" t="s">
        <v>8822</v>
      </c>
      <c r="J7508" t="s">
        <v>33252</v>
      </c>
      <c r="K7508" t="s">
        <v>41200</v>
      </c>
      <c r="M7508" t="s">
        <v>43122</v>
      </c>
      <c r="N7508" t="s">
        <v>45095</v>
      </c>
      <c r="O7508" t="s">
        <v>45096</v>
      </c>
      <c r="P7508">
        <v>0</v>
      </c>
      <c r="Q7508">
        <v>0</v>
      </c>
      <c r="R7508" t="s">
        <v>45103</v>
      </c>
      <c r="S7508" t="s">
        <v>45270</v>
      </c>
      <c r="T7508" t="s">
        <v>47000</v>
      </c>
      <c r="U7508" t="s">
        <v>53701</v>
      </c>
      <c r="W7508" t="s">
        <v>43122</v>
      </c>
      <c r="X7508" t="s">
        <v>45104</v>
      </c>
    </row>
    <row r="7509" spans="1:24">
      <c r="A7509">
        <f>HYPERLINK("https://www.philgeps.gov.ph/GEPSNONPILOT/Tender/SplashBidNoticeAbstractUI.aspx?menuIndex=3&amp;refID=7036734&amp;Result=3","7036734")</f>
        <v>0</v>
      </c>
      <c r="B7509" t="s">
        <v>629</v>
      </c>
      <c r="C7509" t="s">
        <v>10371</v>
      </c>
      <c r="D7509" t="s">
        <v>18075</v>
      </c>
      <c r="E7509" t="s">
        <v>18219</v>
      </c>
      <c r="F7509" t="s">
        <v>31574</v>
      </c>
      <c r="G7509" t="s">
        <v>31582</v>
      </c>
      <c r="H7509" t="s">
        <v>31591</v>
      </c>
      <c r="I7509" t="s">
        <v>8822</v>
      </c>
      <c r="J7509" t="s">
        <v>31771</v>
      </c>
      <c r="K7509" t="s">
        <v>41260</v>
      </c>
      <c r="M7509" t="s">
        <v>42133</v>
      </c>
      <c r="N7509" t="s">
        <v>45095</v>
      </c>
      <c r="O7509" t="s">
        <v>45096</v>
      </c>
      <c r="P7509">
        <v>0</v>
      </c>
      <c r="Q7509">
        <v>0</v>
      </c>
      <c r="R7509" t="s">
        <v>45103</v>
      </c>
      <c r="S7509" t="s">
        <v>45270</v>
      </c>
      <c r="T7509" t="s">
        <v>47097</v>
      </c>
      <c r="U7509" t="s">
        <v>53635</v>
      </c>
      <c r="W7509" t="s">
        <v>42133</v>
      </c>
      <c r="X7509" t="s">
        <v>45104</v>
      </c>
    </row>
    <row r="7510" spans="1:24">
      <c r="A7510">
        <f>HYPERLINK("https://www.philgeps.gov.ph/GEPSNONPILOT/Tender/SplashBidNoticeAbstractUI.aspx?menuIndex=3&amp;refID=7036709&amp;Result=3","7036709")</f>
        <v>0</v>
      </c>
      <c r="B7510" t="s">
        <v>1589</v>
      </c>
      <c r="C7510" t="s">
        <v>10372</v>
      </c>
      <c r="D7510" t="s">
        <v>18022</v>
      </c>
      <c r="E7510" t="s">
        <v>24705</v>
      </c>
      <c r="F7510" t="s">
        <v>31574</v>
      </c>
      <c r="G7510" t="s">
        <v>31582</v>
      </c>
      <c r="H7510" t="s">
        <v>31590</v>
      </c>
      <c r="I7510" t="s">
        <v>6800</v>
      </c>
      <c r="J7510" t="s">
        <v>36521</v>
      </c>
      <c r="K7510" t="s">
        <v>41196</v>
      </c>
      <c r="M7510" t="s">
        <v>43910</v>
      </c>
      <c r="N7510" t="s">
        <v>45095</v>
      </c>
      <c r="O7510" t="s">
        <v>45096</v>
      </c>
      <c r="P7510">
        <v>0</v>
      </c>
      <c r="Q7510">
        <v>0</v>
      </c>
      <c r="R7510" t="s">
        <v>45103</v>
      </c>
      <c r="S7510" t="s">
        <v>45270</v>
      </c>
      <c r="T7510" t="s">
        <v>46985</v>
      </c>
      <c r="U7510" t="s">
        <v>47916</v>
      </c>
      <c r="W7510" t="s">
        <v>43910</v>
      </c>
      <c r="X7510" t="s">
        <v>45104</v>
      </c>
    </row>
    <row r="7511" spans="1:24">
      <c r="A7511">
        <f>HYPERLINK("https://www.philgeps.gov.ph/GEPSNONPILOT/Tender/SplashBidNoticeAbstractUI.aspx?menuIndex=3&amp;refID=7036731&amp;Result=3","7036731")</f>
        <v>0</v>
      </c>
      <c r="B7511" t="s">
        <v>667</v>
      </c>
      <c r="C7511" t="s">
        <v>10373</v>
      </c>
      <c r="D7511" t="s">
        <v>18035</v>
      </c>
      <c r="E7511" t="s">
        <v>24706</v>
      </c>
      <c r="F7511" t="s">
        <v>31574</v>
      </c>
      <c r="G7511" t="s">
        <v>31581</v>
      </c>
      <c r="H7511" t="s">
        <v>31590</v>
      </c>
      <c r="I7511" t="s">
        <v>31645</v>
      </c>
      <c r="J7511" t="s">
        <v>36522</v>
      </c>
      <c r="K7511" t="s">
        <v>41184</v>
      </c>
      <c r="M7511" t="s">
        <v>42172</v>
      </c>
      <c r="N7511" t="s">
        <v>45095</v>
      </c>
      <c r="O7511" t="s">
        <v>45096</v>
      </c>
      <c r="P7511">
        <v>0</v>
      </c>
      <c r="Q7511">
        <v>2</v>
      </c>
      <c r="R7511" t="s">
        <v>45103</v>
      </c>
      <c r="S7511" t="s">
        <v>45270</v>
      </c>
      <c r="T7511" t="s">
        <v>47318</v>
      </c>
      <c r="U7511" t="s">
        <v>53731</v>
      </c>
      <c r="W7511" t="s">
        <v>42172</v>
      </c>
      <c r="X7511" t="s">
        <v>45104</v>
      </c>
    </row>
    <row r="7512" spans="1:24">
      <c r="A7512">
        <f>HYPERLINK("https://www.philgeps.gov.ph/GEPSNONPILOT/Tender/SplashBidNoticeAbstractUI.aspx?menuIndex=3&amp;refID=7036733&amp;Result=3","7036733")</f>
        <v>0</v>
      </c>
      <c r="B7512" t="s">
        <v>726</v>
      </c>
      <c r="C7512" t="s">
        <v>10374</v>
      </c>
      <c r="D7512" t="s">
        <v>18058</v>
      </c>
      <c r="E7512" t="s">
        <v>24707</v>
      </c>
      <c r="F7512" t="s">
        <v>31574</v>
      </c>
      <c r="G7512" t="s">
        <v>31581</v>
      </c>
      <c r="H7512" t="s">
        <v>31590</v>
      </c>
      <c r="I7512" t="s">
        <v>31648</v>
      </c>
      <c r="J7512" t="s">
        <v>32017</v>
      </c>
      <c r="K7512" t="s">
        <v>41186</v>
      </c>
      <c r="M7512" t="s">
        <v>42236</v>
      </c>
      <c r="N7512" t="s">
        <v>45095</v>
      </c>
      <c r="O7512" t="s">
        <v>45096</v>
      </c>
      <c r="P7512">
        <v>0</v>
      </c>
      <c r="Q7512">
        <v>0</v>
      </c>
      <c r="R7512" t="s">
        <v>45103</v>
      </c>
      <c r="S7512" t="s">
        <v>45270</v>
      </c>
      <c r="T7512" t="s">
        <v>46980</v>
      </c>
      <c r="U7512" t="s">
        <v>53732</v>
      </c>
      <c r="W7512" t="s">
        <v>42236</v>
      </c>
      <c r="X7512" t="s">
        <v>45104</v>
      </c>
    </row>
    <row r="7513" spans="1:24">
      <c r="A7513">
        <f>HYPERLINK("https://www.philgeps.gov.ph/GEPSNONPILOT/Tender/SplashBidNoticeAbstractUI.aspx?menuIndex=3&amp;refID=7036732&amp;Result=3","7036732")</f>
        <v>0</v>
      </c>
      <c r="B7513" t="s">
        <v>2219</v>
      </c>
      <c r="C7513" t="s">
        <v>10375</v>
      </c>
      <c r="D7513" t="s">
        <v>18077</v>
      </c>
      <c r="E7513" t="s">
        <v>24708</v>
      </c>
      <c r="F7513" t="s">
        <v>31574</v>
      </c>
      <c r="G7513" t="s">
        <v>31581</v>
      </c>
      <c r="H7513" t="s">
        <v>31590</v>
      </c>
      <c r="I7513" t="s">
        <v>5717</v>
      </c>
      <c r="J7513" t="s">
        <v>36523</v>
      </c>
      <c r="K7513" t="s">
        <v>41193</v>
      </c>
      <c r="M7513" t="s">
        <v>43911</v>
      </c>
      <c r="N7513" t="s">
        <v>45095</v>
      </c>
      <c r="O7513" t="s">
        <v>45096</v>
      </c>
      <c r="P7513">
        <v>0</v>
      </c>
      <c r="Q7513">
        <v>1</v>
      </c>
      <c r="R7513" t="s">
        <v>45103</v>
      </c>
      <c r="S7513" t="s">
        <v>45270</v>
      </c>
      <c r="T7513" t="s">
        <v>47125</v>
      </c>
      <c r="U7513" t="s">
        <v>53733</v>
      </c>
      <c r="W7513" t="s">
        <v>43911</v>
      </c>
      <c r="X7513" t="s">
        <v>45104</v>
      </c>
    </row>
    <row r="7514" spans="1:24">
      <c r="A7514">
        <f>HYPERLINK("https://www.philgeps.gov.ph/GEPSNONPILOT/Tender/SplashBidNoticeAbstractUI.aspx?menuIndex=3&amp;refID=7036751&amp;Result=3","7036751")</f>
        <v>0</v>
      </c>
      <c r="B7514" t="s">
        <v>1589</v>
      </c>
      <c r="C7514" t="s">
        <v>10376</v>
      </c>
      <c r="D7514" t="s">
        <v>18022</v>
      </c>
      <c r="E7514" t="s">
        <v>24709</v>
      </c>
      <c r="F7514" t="s">
        <v>31574</v>
      </c>
      <c r="G7514" t="s">
        <v>31582</v>
      </c>
      <c r="H7514" t="s">
        <v>31590</v>
      </c>
      <c r="I7514" t="s">
        <v>6800</v>
      </c>
      <c r="J7514" t="s">
        <v>36524</v>
      </c>
      <c r="K7514" t="s">
        <v>41196</v>
      </c>
      <c r="M7514" t="s">
        <v>43910</v>
      </c>
      <c r="N7514" t="s">
        <v>45095</v>
      </c>
      <c r="O7514" t="s">
        <v>45096</v>
      </c>
      <c r="P7514">
        <v>0</v>
      </c>
      <c r="Q7514">
        <v>0</v>
      </c>
      <c r="R7514" t="s">
        <v>45103</v>
      </c>
      <c r="S7514" t="s">
        <v>45270</v>
      </c>
      <c r="T7514" t="s">
        <v>46985</v>
      </c>
      <c r="U7514" t="s">
        <v>47916</v>
      </c>
      <c r="W7514" t="s">
        <v>43910</v>
      </c>
      <c r="X7514" t="s">
        <v>45104</v>
      </c>
    </row>
    <row r="7515" spans="1:24">
      <c r="A7515">
        <f>HYPERLINK("https://www.philgeps.gov.ph/GEPSNONPILOT/Tender/SplashBidNoticeAbstractUI.aspx?menuIndex=3&amp;refID=7036747&amp;Result=3","7036747")</f>
        <v>0</v>
      </c>
      <c r="B7515" t="s">
        <v>1359</v>
      </c>
      <c r="C7515" t="s">
        <v>10377</v>
      </c>
      <c r="D7515" t="s">
        <v>18043</v>
      </c>
      <c r="E7515" t="s">
        <v>24710</v>
      </c>
      <c r="F7515" t="s">
        <v>31574</v>
      </c>
      <c r="G7515" t="s">
        <v>31581</v>
      </c>
      <c r="H7515" t="s">
        <v>31590</v>
      </c>
      <c r="I7515" t="s">
        <v>4046</v>
      </c>
      <c r="J7515" t="s">
        <v>36525</v>
      </c>
      <c r="K7515" t="s">
        <v>41190</v>
      </c>
      <c r="M7515" t="s">
        <v>42931</v>
      </c>
      <c r="N7515" t="s">
        <v>45095</v>
      </c>
      <c r="O7515" t="s">
        <v>45096</v>
      </c>
      <c r="P7515">
        <v>0</v>
      </c>
      <c r="Q7515">
        <v>0</v>
      </c>
      <c r="R7515" t="s">
        <v>45103</v>
      </c>
      <c r="S7515" t="s">
        <v>45270</v>
      </c>
      <c r="T7515" t="s">
        <v>47159</v>
      </c>
      <c r="U7515" t="s">
        <v>52199</v>
      </c>
      <c r="W7515" t="s">
        <v>42931</v>
      </c>
      <c r="X7515" t="s">
        <v>45104</v>
      </c>
    </row>
    <row r="7516" spans="1:24">
      <c r="A7516">
        <f>HYPERLINK("https://www.philgeps.gov.ph/GEPSNONPILOT/Tender/SplashBidNoticeAbstractUI.aspx?menuIndex=3&amp;refID=7036748&amp;Result=3","7036748")</f>
        <v>0</v>
      </c>
      <c r="B7516" t="s">
        <v>1648</v>
      </c>
      <c r="C7516" t="s">
        <v>10378</v>
      </c>
      <c r="E7516" t="s">
        <v>24711</v>
      </c>
      <c r="F7516" t="s">
        <v>31574</v>
      </c>
      <c r="G7516" t="s">
        <v>31581</v>
      </c>
      <c r="H7516" t="s">
        <v>31592</v>
      </c>
      <c r="I7516" t="s">
        <v>14034</v>
      </c>
      <c r="J7516" t="s">
        <v>32028</v>
      </c>
      <c r="K7516" t="s">
        <v>41186</v>
      </c>
      <c r="M7516" t="s">
        <v>43259</v>
      </c>
      <c r="N7516" t="s">
        <v>45095</v>
      </c>
      <c r="O7516" t="s">
        <v>45096</v>
      </c>
      <c r="P7516">
        <v>0</v>
      </c>
      <c r="Q7516">
        <v>2</v>
      </c>
      <c r="R7516" t="s">
        <v>45103</v>
      </c>
      <c r="S7516" t="s">
        <v>45270</v>
      </c>
      <c r="T7516" t="s">
        <v>47058</v>
      </c>
      <c r="U7516" t="s">
        <v>53734</v>
      </c>
      <c r="W7516" t="s">
        <v>61714</v>
      </c>
      <c r="X7516" t="s">
        <v>45104</v>
      </c>
    </row>
    <row r="7517" spans="1:24">
      <c r="A7517">
        <f>HYPERLINK("https://www.philgeps.gov.ph/GEPSNONPILOT/Tender/SplashBidNoticeAbstractUI.aspx?menuIndex=3&amp;refID=7036723&amp;Result=3","7036723")</f>
        <v>0</v>
      </c>
      <c r="B7517" t="s">
        <v>1863</v>
      </c>
      <c r="C7517" t="s">
        <v>10379</v>
      </c>
      <c r="D7517" t="s">
        <v>18052</v>
      </c>
      <c r="E7517" t="s">
        <v>24712</v>
      </c>
      <c r="F7517" t="s">
        <v>31574</v>
      </c>
      <c r="G7517" t="s">
        <v>31582</v>
      </c>
      <c r="H7517" t="s">
        <v>31591</v>
      </c>
      <c r="I7517" t="s">
        <v>4046</v>
      </c>
      <c r="J7517" t="s">
        <v>36526</v>
      </c>
      <c r="K7517" t="s">
        <v>41196</v>
      </c>
      <c r="M7517" t="s">
        <v>43502</v>
      </c>
      <c r="N7517" t="s">
        <v>45095</v>
      </c>
      <c r="O7517" t="s">
        <v>45096</v>
      </c>
      <c r="P7517">
        <v>0</v>
      </c>
      <c r="Q7517">
        <v>1</v>
      </c>
      <c r="R7517" t="s">
        <v>45103</v>
      </c>
      <c r="S7517" t="s">
        <v>45270</v>
      </c>
      <c r="T7517" t="s">
        <v>46963</v>
      </c>
      <c r="U7517" t="s">
        <v>53735</v>
      </c>
      <c r="W7517" t="s">
        <v>43502</v>
      </c>
      <c r="X7517" t="s">
        <v>45104</v>
      </c>
    </row>
    <row r="7518" spans="1:24">
      <c r="A7518">
        <f>HYPERLINK("https://www.philgeps.gov.ph/GEPSNONPILOT/Tender/SplashBidNoticeAbstractUI.aspx?menuIndex=3&amp;refID=7036756&amp;Result=3","7036756")</f>
        <v>0</v>
      </c>
      <c r="B7518" t="s">
        <v>95</v>
      </c>
      <c r="C7518" t="s">
        <v>10380</v>
      </c>
      <c r="D7518" t="s">
        <v>18062</v>
      </c>
      <c r="E7518" t="s">
        <v>24713</v>
      </c>
      <c r="F7518" t="s">
        <v>31574</v>
      </c>
      <c r="G7518" t="s">
        <v>31582</v>
      </c>
      <c r="H7518" t="s">
        <v>31590</v>
      </c>
      <c r="I7518" t="s">
        <v>4327</v>
      </c>
      <c r="J7518" t="s">
        <v>33411</v>
      </c>
      <c r="K7518" t="s">
        <v>41192</v>
      </c>
      <c r="M7518" t="s">
        <v>41937</v>
      </c>
      <c r="N7518" t="s">
        <v>45095</v>
      </c>
      <c r="O7518" t="s">
        <v>45096</v>
      </c>
      <c r="P7518">
        <v>0</v>
      </c>
      <c r="Q7518">
        <v>1</v>
      </c>
      <c r="R7518" t="s">
        <v>45103</v>
      </c>
      <c r="S7518" t="s">
        <v>45270</v>
      </c>
      <c r="T7518" t="s">
        <v>46973</v>
      </c>
      <c r="U7518" t="s">
        <v>53736</v>
      </c>
      <c r="W7518" t="s">
        <v>41937</v>
      </c>
      <c r="X7518" t="s">
        <v>45104</v>
      </c>
    </row>
    <row r="7519" spans="1:24">
      <c r="A7519">
        <f>HYPERLINK("https://www.philgeps.gov.ph/GEPSNONPILOT/Tender/SplashBidNoticeAbstractUI.aspx?menuIndex=3&amp;refID=7036761&amp;Result=3","7036761")</f>
        <v>0</v>
      </c>
      <c r="B7519" t="s">
        <v>960</v>
      </c>
      <c r="C7519" t="s">
        <v>10381</v>
      </c>
      <c r="D7519" t="s">
        <v>18052</v>
      </c>
      <c r="E7519" t="s">
        <v>24714</v>
      </c>
      <c r="F7519" t="s">
        <v>31574</v>
      </c>
      <c r="G7519" t="s">
        <v>31581</v>
      </c>
      <c r="H7519" t="s">
        <v>31590</v>
      </c>
      <c r="I7519" t="s">
        <v>4046</v>
      </c>
      <c r="J7519" t="s">
        <v>36527</v>
      </c>
      <c r="K7519" t="s">
        <v>41197</v>
      </c>
      <c r="M7519" t="s">
        <v>42488</v>
      </c>
      <c r="N7519" t="s">
        <v>45095</v>
      </c>
      <c r="O7519" t="s">
        <v>45096</v>
      </c>
      <c r="P7519">
        <v>0</v>
      </c>
      <c r="Q7519">
        <v>1</v>
      </c>
      <c r="R7519" t="s">
        <v>45103</v>
      </c>
      <c r="S7519" t="s">
        <v>45270</v>
      </c>
      <c r="T7519" t="s">
        <v>47124</v>
      </c>
      <c r="U7519" t="s">
        <v>53737</v>
      </c>
      <c r="W7519" t="s">
        <v>42488</v>
      </c>
      <c r="X7519" t="s">
        <v>45104</v>
      </c>
    </row>
    <row r="7520" spans="1:24">
      <c r="A7520">
        <f>HYPERLINK("https://www.philgeps.gov.ph/GEPSNONPILOT/Tender/SplashBidNoticeAbstractUI.aspx?menuIndex=3&amp;refID=7036729&amp;Result=3","7036729")</f>
        <v>0</v>
      </c>
      <c r="B7520" t="s">
        <v>2003</v>
      </c>
      <c r="C7520" t="s">
        <v>10382</v>
      </c>
      <c r="D7520" t="s">
        <v>18022</v>
      </c>
      <c r="E7520" t="s">
        <v>24715</v>
      </c>
      <c r="F7520" t="s">
        <v>31574</v>
      </c>
      <c r="G7520" t="s">
        <v>31582</v>
      </c>
      <c r="H7520" t="s">
        <v>31592</v>
      </c>
      <c r="I7520" t="s">
        <v>31596</v>
      </c>
      <c r="J7520" t="s">
        <v>36528</v>
      </c>
      <c r="K7520" t="s">
        <v>41210</v>
      </c>
      <c r="M7520" t="s">
        <v>43837</v>
      </c>
      <c r="N7520" t="s">
        <v>45095</v>
      </c>
      <c r="O7520" t="s">
        <v>45096</v>
      </c>
      <c r="P7520">
        <v>0</v>
      </c>
      <c r="Q7520">
        <v>2</v>
      </c>
      <c r="R7520" t="s">
        <v>45103</v>
      </c>
      <c r="S7520" t="s">
        <v>45270</v>
      </c>
      <c r="T7520" t="s">
        <v>46979</v>
      </c>
      <c r="U7520" t="s">
        <v>53738</v>
      </c>
      <c r="W7520" t="s">
        <v>43837</v>
      </c>
      <c r="X7520" t="s">
        <v>45104</v>
      </c>
    </row>
    <row r="7521" spans="1:24">
      <c r="A7521">
        <f>HYPERLINK("https://www.philgeps.gov.ph/GEPSNONPILOT/Tender/SplashBidNoticeAbstractUI.aspx?menuIndex=3&amp;refID=7036782&amp;Result=3","7036782")</f>
        <v>0</v>
      </c>
      <c r="B7521" t="s">
        <v>1531</v>
      </c>
      <c r="C7521" t="s">
        <v>10383</v>
      </c>
      <c r="D7521" t="s">
        <v>18044</v>
      </c>
      <c r="E7521" t="s">
        <v>24716</v>
      </c>
      <c r="F7521" t="s">
        <v>31574</v>
      </c>
      <c r="G7521" t="s">
        <v>31582</v>
      </c>
      <c r="H7521" t="s">
        <v>31591</v>
      </c>
      <c r="I7521" t="s">
        <v>8822</v>
      </c>
      <c r="J7521" t="s">
        <v>33252</v>
      </c>
      <c r="K7521" t="s">
        <v>41200</v>
      </c>
      <c r="M7521" t="s">
        <v>43122</v>
      </c>
      <c r="N7521" t="s">
        <v>45095</v>
      </c>
      <c r="O7521" t="s">
        <v>45096</v>
      </c>
      <c r="P7521">
        <v>0</v>
      </c>
      <c r="Q7521">
        <v>1</v>
      </c>
      <c r="R7521" t="s">
        <v>45103</v>
      </c>
      <c r="S7521" t="s">
        <v>45270</v>
      </c>
      <c r="T7521" t="s">
        <v>47000</v>
      </c>
      <c r="U7521" t="s">
        <v>53701</v>
      </c>
      <c r="W7521" t="s">
        <v>43122</v>
      </c>
      <c r="X7521" t="s">
        <v>45104</v>
      </c>
    </row>
    <row r="7522" spans="1:24">
      <c r="A7522">
        <f>HYPERLINK("https://www.philgeps.gov.ph/GEPSNONPILOT/Tender/SplashBidNoticeAbstractUI.aspx?menuIndex=3&amp;refID=7036773&amp;Result=3","7036773")</f>
        <v>0</v>
      </c>
      <c r="B7522" t="s">
        <v>1504</v>
      </c>
      <c r="C7522" t="s">
        <v>10384</v>
      </c>
      <c r="D7522" t="s">
        <v>18043</v>
      </c>
      <c r="E7522" t="s">
        <v>24717</v>
      </c>
      <c r="F7522" t="s">
        <v>31574</v>
      </c>
      <c r="G7522" t="s">
        <v>31582</v>
      </c>
      <c r="H7522" t="s">
        <v>31591</v>
      </c>
      <c r="I7522" t="s">
        <v>8822</v>
      </c>
      <c r="J7522" t="s">
        <v>32026</v>
      </c>
      <c r="K7522" t="s">
        <v>41200</v>
      </c>
      <c r="M7522" t="s">
        <v>43090</v>
      </c>
      <c r="N7522" t="s">
        <v>45095</v>
      </c>
      <c r="O7522" t="s">
        <v>45096</v>
      </c>
      <c r="P7522">
        <v>0</v>
      </c>
      <c r="Q7522">
        <v>0</v>
      </c>
      <c r="R7522" t="s">
        <v>45103</v>
      </c>
      <c r="S7522" t="s">
        <v>45270</v>
      </c>
      <c r="T7522" t="s">
        <v>47172</v>
      </c>
      <c r="U7522" t="s">
        <v>53739</v>
      </c>
      <c r="W7522" t="s">
        <v>43090</v>
      </c>
      <c r="X7522" t="s">
        <v>45104</v>
      </c>
    </row>
    <row r="7523" spans="1:24">
      <c r="A7523">
        <f>HYPERLINK("https://www.philgeps.gov.ph/GEPSNONPILOT/Tender/SplashBidNoticeAbstractUI.aspx?menuIndex=3&amp;refID=7036769&amp;Result=3","7036769")</f>
        <v>0</v>
      </c>
      <c r="B7523" t="s">
        <v>1002</v>
      </c>
      <c r="C7523" t="s">
        <v>10385</v>
      </c>
      <c r="D7523" t="s">
        <v>18058</v>
      </c>
      <c r="E7523" t="s">
        <v>24718</v>
      </c>
      <c r="F7523" t="s">
        <v>31574</v>
      </c>
      <c r="G7523" t="s">
        <v>31582</v>
      </c>
      <c r="H7523" t="s">
        <v>31590</v>
      </c>
      <c r="I7523" t="s">
        <v>31615</v>
      </c>
      <c r="J7523" t="s">
        <v>31781</v>
      </c>
      <c r="K7523" t="s">
        <v>41251</v>
      </c>
      <c r="M7523" t="s">
        <v>42539</v>
      </c>
      <c r="N7523" t="s">
        <v>45095</v>
      </c>
      <c r="O7523" t="s">
        <v>45096</v>
      </c>
      <c r="P7523">
        <v>0</v>
      </c>
      <c r="Q7523">
        <v>3</v>
      </c>
      <c r="R7523" t="s">
        <v>45103</v>
      </c>
      <c r="S7523" t="s">
        <v>45270</v>
      </c>
      <c r="T7523" t="s">
        <v>46992</v>
      </c>
      <c r="U7523" t="s">
        <v>53740</v>
      </c>
      <c r="V7523" t="s">
        <v>60109</v>
      </c>
      <c r="W7523" t="s">
        <v>42539</v>
      </c>
      <c r="X7523" t="s">
        <v>45104</v>
      </c>
    </row>
    <row r="7524" spans="1:24">
      <c r="A7524">
        <f>HYPERLINK("https://www.philgeps.gov.ph/GEPSNONPILOT/Tender/SplashBidNoticeAbstractUI.aspx?menuIndex=3&amp;refID=7036778&amp;Result=3","7036778")</f>
        <v>0</v>
      </c>
      <c r="B7524" t="s">
        <v>1602</v>
      </c>
      <c r="C7524" t="s">
        <v>10386</v>
      </c>
      <c r="D7524" t="s">
        <v>18022</v>
      </c>
      <c r="E7524" t="s">
        <v>24719</v>
      </c>
      <c r="F7524" t="s">
        <v>31579</v>
      </c>
      <c r="G7524" t="s">
        <v>31582</v>
      </c>
      <c r="H7524" t="s">
        <v>31590</v>
      </c>
      <c r="I7524" t="s">
        <v>3487</v>
      </c>
      <c r="J7524" t="s">
        <v>32000</v>
      </c>
      <c r="K7524" t="s">
        <v>41193</v>
      </c>
      <c r="M7524" t="s">
        <v>43207</v>
      </c>
      <c r="N7524" t="s">
        <v>45095</v>
      </c>
      <c r="O7524" t="s">
        <v>45096</v>
      </c>
      <c r="P7524">
        <v>0</v>
      </c>
      <c r="Q7524">
        <v>0</v>
      </c>
      <c r="R7524" t="s">
        <v>45103</v>
      </c>
      <c r="S7524" t="s">
        <v>45270</v>
      </c>
      <c r="T7524" t="s">
        <v>46922</v>
      </c>
      <c r="U7524" t="s">
        <v>53741</v>
      </c>
      <c r="W7524" t="s">
        <v>43207</v>
      </c>
      <c r="X7524" t="s">
        <v>45104</v>
      </c>
    </row>
    <row r="7525" spans="1:24">
      <c r="A7525">
        <f>HYPERLINK("https://www.philgeps.gov.ph/GEPSNONPILOT/Tender/SplashBidNoticeAbstractUI.aspx?menuIndex=3&amp;refID=7036722&amp;Result=3","7036722")</f>
        <v>0</v>
      </c>
      <c r="B7525" t="s">
        <v>1938</v>
      </c>
      <c r="C7525" t="s">
        <v>10387</v>
      </c>
      <c r="D7525" t="s">
        <v>18103</v>
      </c>
      <c r="E7525" t="s">
        <v>24720</v>
      </c>
      <c r="F7525" t="s">
        <v>31574</v>
      </c>
      <c r="G7525" t="s">
        <v>31582</v>
      </c>
      <c r="H7525" t="s">
        <v>31591</v>
      </c>
      <c r="I7525" t="s">
        <v>8822</v>
      </c>
      <c r="J7525" t="s">
        <v>36529</v>
      </c>
      <c r="K7525" t="s">
        <v>41200</v>
      </c>
      <c r="M7525" t="s">
        <v>43593</v>
      </c>
      <c r="N7525" t="s">
        <v>45095</v>
      </c>
      <c r="O7525" t="s">
        <v>45096</v>
      </c>
      <c r="P7525">
        <v>0</v>
      </c>
      <c r="Q7525">
        <v>0</v>
      </c>
      <c r="R7525" t="s">
        <v>45103</v>
      </c>
      <c r="S7525" t="s">
        <v>45270</v>
      </c>
      <c r="T7525" t="s">
        <v>46923</v>
      </c>
      <c r="U7525" t="s">
        <v>53742</v>
      </c>
      <c r="W7525" t="s">
        <v>43593</v>
      </c>
      <c r="X7525" t="s">
        <v>45104</v>
      </c>
    </row>
    <row r="7526" spans="1:24">
      <c r="A7526">
        <f>HYPERLINK("https://www.philgeps.gov.ph/GEPSNONPILOT/Tender/SplashBidNoticeAbstractUI.aspx?menuIndex=3&amp;refID=7036795&amp;Result=3","7036795")</f>
        <v>0</v>
      </c>
      <c r="B7526" t="s">
        <v>2220</v>
      </c>
      <c r="C7526" t="s">
        <v>10388</v>
      </c>
      <c r="D7526" t="s">
        <v>18089</v>
      </c>
      <c r="E7526" t="s">
        <v>24223</v>
      </c>
      <c r="F7526" t="s">
        <v>31574</v>
      </c>
      <c r="G7526" t="s">
        <v>31582</v>
      </c>
      <c r="H7526" t="s">
        <v>31590</v>
      </c>
      <c r="I7526" t="s">
        <v>4046</v>
      </c>
      <c r="J7526" t="s">
        <v>36530</v>
      </c>
      <c r="K7526" t="s">
        <v>41184</v>
      </c>
      <c r="M7526" t="s">
        <v>43912</v>
      </c>
      <c r="N7526" t="s">
        <v>45095</v>
      </c>
      <c r="O7526" t="s">
        <v>45096</v>
      </c>
      <c r="P7526">
        <v>0</v>
      </c>
      <c r="Q7526">
        <v>0</v>
      </c>
      <c r="R7526" t="s">
        <v>45103</v>
      </c>
      <c r="S7526" t="s">
        <v>45270</v>
      </c>
      <c r="T7526" t="s">
        <v>47067</v>
      </c>
      <c r="U7526" t="s">
        <v>53743</v>
      </c>
      <c r="V7526" t="s">
        <v>60643</v>
      </c>
      <c r="W7526" t="s">
        <v>43912</v>
      </c>
      <c r="X7526" t="s">
        <v>45104</v>
      </c>
    </row>
    <row r="7527" spans="1:24">
      <c r="A7527">
        <f>HYPERLINK("https://www.philgeps.gov.ph/GEPSNONPILOT/Tender/SplashBidNoticeAbstractUI.aspx?menuIndex=3&amp;refID=7036728&amp;Result=3","7036728")</f>
        <v>0</v>
      </c>
      <c r="B7527" t="s">
        <v>2092</v>
      </c>
      <c r="C7527" t="s">
        <v>10389</v>
      </c>
      <c r="D7527" t="s">
        <v>18030</v>
      </c>
      <c r="E7527" t="s">
        <v>24721</v>
      </c>
      <c r="F7527" t="s">
        <v>31574</v>
      </c>
      <c r="G7527" t="s">
        <v>31582</v>
      </c>
      <c r="H7527" t="s">
        <v>31592</v>
      </c>
      <c r="I7527" t="s">
        <v>31648</v>
      </c>
      <c r="J7527" t="s">
        <v>36531</v>
      </c>
      <c r="K7527" t="s">
        <v>41189</v>
      </c>
      <c r="M7527" t="s">
        <v>43900</v>
      </c>
      <c r="N7527" t="s">
        <v>45095</v>
      </c>
      <c r="O7527" t="s">
        <v>45096</v>
      </c>
      <c r="P7527">
        <v>0</v>
      </c>
      <c r="Q7527">
        <v>4</v>
      </c>
      <c r="R7527" t="s">
        <v>45103</v>
      </c>
      <c r="S7527" t="s">
        <v>45270</v>
      </c>
      <c r="T7527" t="s">
        <v>46919</v>
      </c>
      <c r="U7527" t="s">
        <v>53298</v>
      </c>
      <c r="V7527" t="s">
        <v>60644</v>
      </c>
      <c r="W7527" t="s">
        <v>43900</v>
      </c>
      <c r="X7527" t="s">
        <v>45104</v>
      </c>
    </row>
    <row r="7528" spans="1:24">
      <c r="A7528">
        <f>HYPERLINK("https://www.philgeps.gov.ph/GEPSNONPILOT/Tender/SplashBidNoticeAbstractUI.aspx?menuIndex=3&amp;refID=7036790&amp;Result=3","7036790")</f>
        <v>0</v>
      </c>
      <c r="B7528" t="s">
        <v>2221</v>
      </c>
      <c r="C7528" t="s">
        <v>10390</v>
      </c>
      <c r="D7528" t="s">
        <v>18052</v>
      </c>
      <c r="E7528" t="s">
        <v>24722</v>
      </c>
      <c r="F7528" t="s">
        <v>31574</v>
      </c>
      <c r="G7528" t="s">
        <v>31582</v>
      </c>
      <c r="H7528" t="s">
        <v>31591</v>
      </c>
      <c r="I7528" t="s">
        <v>8822</v>
      </c>
      <c r="J7528" t="s">
        <v>33279</v>
      </c>
      <c r="K7528" t="s">
        <v>41344</v>
      </c>
      <c r="M7528" t="s">
        <v>43913</v>
      </c>
      <c r="N7528" t="s">
        <v>45095</v>
      </c>
      <c r="O7528" t="s">
        <v>45096</v>
      </c>
      <c r="P7528">
        <v>0</v>
      </c>
      <c r="Q7528">
        <v>2</v>
      </c>
      <c r="R7528" t="s">
        <v>45103</v>
      </c>
      <c r="S7528" t="s">
        <v>45270</v>
      </c>
      <c r="T7528" t="s">
        <v>47000</v>
      </c>
      <c r="U7528" t="s">
        <v>53744</v>
      </c>
      <c r="V7528" t="s">
        <v>60645</v>
      </c>
      <c r="W7528" t="s">
        <v>43913</v>
      </c>
      <c r="X7528" t="s">
        <v>45104</v>
      </c>
    </row>
    <row r="7529" spans="1:24">
      <c r="A7529">
        <f>HYPERLINK("https://www.philgeps.gov.ph/GEPSNONPILOT/Tender/SplashBidNoticeAbstractUI.aspx?menuIndex=3&amp;refID=7036774&amp;Result=3","7036774")</f>
        <v>0</v>
      </c>
      <c r="B7529" t="s">
        <v>1822</v>
      </c>
      <c r="C7529" t="s">
        <v>10391</v>
      </c>
      <c r="D7529" t="s">
        <v>18099</v>
      </c>
      <c r="E7529" t="s">
        <v>24723</v>
      </c>
      <c r="F7529" t="s">
        <v>31574</v>
      </c>
      <c r="G7529" t="s">
        <v>31582</v>
      </c>
      <c r="H7529" t="s">
        <v>31591</v>
      </c>
      <c r="I7529" t="s">
        <v>8822</v>
      </c>
      <c r="J7529" t="s">
        <v>31741</v>
      </c>
      <c r="K7529" t="s">
        <v>41189</v>
      </c>
      <c r="M7529" t="s">
        <v>43457</v>
      </c>
      <c r="N7529" t="s">
        <v>45095</v>
      </c>
      <c r="O7529" t="s">
        <v>45096</v>
      </c>
      <c r="P7529">
        <v>0</v>
      </c>
      <c r="Q7529">
        <v>0</v>
      </c>
      <c r="R7529" t="s">
        <v>45103</v>
      </c>
      <c r="S7529" t="s">
        <v>45270</v>
      </c>
      <c r="T7529" t="s">
        <v>46937</v>
      </c>
      <c r="U7529" t="s">
        <v>52190</v>
      </c>
      <c r="W7529" t="s">
        <v>43457</v>
      </c>
      <c r="X7529" t="s">
        <v>45104</v>
      </c>
    </row>
    <row r="7530" spans="1:24">
      <c r="A7530">
        <f>HYPERLINK("https://www.philgeps.gov.ph/GEPSNONPILOT/Tender/SplashBidNoticeAbstractUI.aspx?menuIndex=3&amp;refID=7036764&amp;Result=3","7036764")</f>
        <v>0</v>
      </c>
      <c r="B7530" t="s">
        <v>82</v>
      </c>
      <c r="C7530" t="s">
        <v>10392</v>
      </c>
      <c r="D7530" t="s">
        <v>18058</v>
      </c>
      <c r="E7530" t="s">
        <v>24724</v>
      </c>
      <c r="F7530" t="s">
        <v>31574</v>
      </c>
      <c r="G7530" t="s">
        <v>31581</v>
      </c>
      <c r="H7530" t="s">
        <v>31590</v>
      </c>
      <c r="I7530" t="s">
        <v>3539</v>
      </c>
      <c r="J7530" t="s">
        <v>31789</v>
      </c>
      <c r="K7530" t="s">
        <v>41193</v>
      </c>
      <c r="M7530" t="s">
        <v>41566</v>
      </c>
      <c r="N7530" t="s">
        <v>45095</v>
      </c>
      <c r="O7530" t="s">
        <v>45096</v>
      </c>
      <c r="P7530">
        <v>0</v>
      </c>
      <c r="Q7530">
        <v>0</v>
      </c>
      <c r="R7530" t="s">
        <v>45103</v>
      </c>
      <c r="S7530" t="s">
        <v>45270</v>
      </c>
      <c r="T7530" t="s">
        <v>47301</v>
      </c>
      <c r="U7530" t="s">
        <v>53745</v>
      </c>
      <c r="W7530" t="s">
        <v>41566</v>
      </c>
      <c r="X7530" t="s">
        <v>45104</v>
      </c>
    </row>
    <row r="7531" spans="1:24">
      <c r="A7531">
        <f>HYPERLINK("https://www.philgeps.gov.ph/GEPSNONPILOT/Tender/SplashBidNoticeAbstractUI.aspx?menuIndex=3&amp;refID=7036803&amp;Result=3","7036803")</f>
        <v>0</v>
      </c>
      <c r="B7531" t="s">
        <v>1759</v>
      </c>
      <c r="C7531" t="s">
        <v>10393</v>
      </c>
      <c r="D7531" t="s">
        <v>18082</v>
      </c>
      <c r="E7531" t="s">
        <v>24725</v>
      </c>
      <c r="F7531" t="s">
        <v>31574</v>
      </c>
      <c r="G7531" t="s">
        <v>31581</v>
      </c>
      <c r="H7531" t="s">
        <v>31592</v>
      </c>
      <c r="I7531" t="s">
        <v>31641</v>
      </c>
      <c r="J7531" t="s">
        <v>32480</v>
      </c>
      <c r="K7531" t="s">
        <v>41192</v>
      </c>
      <c r="M7531" t="s">
        <v>43385</v>
      </c>
      <c r="N7531" t="s">
        <v>45095</v>
      </c>
      <c r="O7531" t="s">
        <v>45096</v>
      </c>
      <c r="P7531">
        <v>0</v>
      </c>
      <c r="Q7531">
        <v>3</v>
      </c>
      <c r="R7531" t="s">
        <v>45103</v>
      </c>
      <c r="S7531" t="s">
        <v>45270</v>
      </c>
      <c r="T7531" t="s">
        <v>47314</v>
      </c>
      <c r="U7531" t="s">
        <v>53746</v>
      </c>
      <c r="W7531" t="s">
        <v>43385</v>
      </c>
      <c r="X7531" t="s">
        <v>45104</v>
      </c>
    </row>
    <row r="7532" spans="1:24">
      <c r="A7532">
        <f>HYPERLINK("https://www.philgeps.gov.ph/GEPSNONPILOT/Tender/SplashBidNoticeAbstractUI.aspx?menuIndex=3&amp;refID=7036798&amp;Result=3","7036798")</f>
        <v>0</v>
      </c>
      <c r="B7532" t="s">
        <v>2003</v>
      </c>
      <c r="C7532" t="s">
        <v>10394</v>
      </c>
      <c r="D7532" t="s">
        <v>18022</v>
      </c>
      <c r="E7532" t="s">
        <v>22453</v>
      </c>
      <c r="F7532" t="s">
        <v>31574</v>
      </c>
      <c r="G7532" t="s">
        <v>31582</v>
      </c>
      <c r="H7532" t="s">
        <v>31592</v>
      </c>
      <c r="I7532" t="s">
        <v>4677</v>
      </c>
      <c r="J7532" t="s">
        <v>36532</v>
      </c>
      <c r="K7532" t="s">
        <v>41210</v>
      </c>
      <c r="M7532" t="s">
        <v>43837</v>
      </c>
      <c r="N7532" t="s">
        <v>45095</v>
      </c>
      <c r="O7532" t="s">
        <v>45096</v>
      </c>
      <c r="P7532">
        <v>0</v>
      </c>
      <c r="Q7532">
        <v>2</v>
      </c>
      <c r="R7532" t="s">
        <v>45103</v>
      </c>
      <c r="S7532" t="s">
        <v>45270</v>
      </c>
      <c r="T7532" t="s">
        <v>46979</v>
      </c>
      <c r="U7532" t="s">
        <v>53747</v>
      </c>
      <c r="W7532" t="s">
        <v>43837</v>
      </c>
      <c r="X7532" t="s">
        <v>45104</v>
      </c>
    </row>
    <row r="7533" spans="1:24">
      <c r="A7533">
        <f>HYPERLINK("https://www.philgeps.gov.ph/GEPSNONPILOT/Tender/SplashBidNoticeAbstractUI.aspx?menuIndex=3&amp;refID=7036765&amp;Result=3","7036765")</f>
        <v>0</v>
      </c>
      <c r="B7533" t="s">
        <v>132</v>
      </c>
      <c r="C7533" t="s">
        <v>10395</v>
      </c>
      <c r="D7533" t="s">
        <v>18059</v>
      </c>
      <c r="E7533" t="s">
        <v>24726</v>
      </c>
      <c r="F7533" t="s">
        <v>31574</v>
      </c>
      <c r="G7533" t="s">
        <v>31582</v>
      </c>
      <c r="H7533" t="s">
        <v>31590</v>
      </c>
      <c r="I7533" t="s">
        <v>4046</v>
      </c>
      <c r="J7533" t="s">
        <v>36533</v>
      </c>
      <c r="K7533" t="s">
        <v>41190</v>
      </c>
      <c r="M7533" t="s">
        <v>41616</v>
      </c>
      <c r="N7533" t="s">
        <v>45095</v>
      </c>
      <c r="O7533" t="s">
        <v>45096</v>
      </c>
      <c r="P7533">
        <v>0</v>
      </c>
      <c r="Q7533">
        <v>0</v>
      </c>
      <c r="R7533" t="s">
        <v>45103</v>
      </c>
      <c r="S7533" t="s">
        <v>45270</v>
      </c>
      <c r="T7533" t="s">
        <v>46973</v>
      </c>
      <c r="U7533" t="s">
        <v>53748</v>
      </c>
      <c r="W7533" t="s">
        <v>41616</v>
      </c>
      <c r="X7533" t="s">
        <v>45104</v>
      </c>
    </row>
    <row r="7534" spans="1:24">
      <c r="A7534">
        <f>HYPERLINK("https://www.philgeps.gov.ph/GEPSNONPILOT/Tender/SplashBidNoticeAbstractUI.aspx?menuIndex=3&amp;refID=7036802&amp;Result=3","7036802")</f>
        <v>0</v>
      </c>
      <c r="B7534" t="s">
        <v>2222</v>
      </c>
      <c r="C7534" t="s">
        <v>10396</v>
      </c>
      <c r="D7534" t="s">
        <v>18083</v>
      </c>
      <c r="E7534" t="s">
        <v>24727</v>
      </c>
      <c r="F7534" t="s">
        <v>31574</v>
      </c>
      <c r="G7534" t="s">
        <v>31582</v>
      </c>
      <c r="H7534" t="s">
        <v>31591</v>
      </c>
      <c r="I7534" t="s">
        <v>8822</v>
      </c>
      <c r="J7534" t="s">
        <v>32049</v>
      </c>
      <c r="K7534" t="s">
        <v>41193</v>
      </c>
      <c r="M7534" t="s">
        <v>43914</v>
      </c>
      <c r="N7534" t="s">
        <v>45095</v>
      </c>
      <c r="O7534" t="s">
        <v>45096</v>
      </c>
      <c r="P7534">
        <v>0</v>
      </c>
      <c r="Q7534">
        <v>0</v>
      </c>
      <c r="R7534" t="s">
        <v>45103</v>
      </c>
      <c r="S7534" t="s">
        <v>45270</v>
      </c>
      <c r="T7534" t="s">
        <v>47321</v>
      </c>
      <c r="U7534" t="s">
        <v>53749</v>
      </c>
      <c r="V7534" t="s">
        <v>60646</v>
      </c>
      <c r="W7534" t="s">
        <v>43914</v>
      </c>
      <c r="X7534" t="s">
        <v>45104</v>
      </c>
    </row>
    <row r="7535" spans="1:24">
      <c r="A7535">
        <f>HYPERLINK("https://www.philgeps.gov.ph/GEPSNONPILOT/Tender/SplashBidNoticeAbstractUI.aspx?menuIndex=3&amp;refID=7036793&amp;Result=3","7036793")</f>
        <v>0</v>
      </c>
      <c r="B7535" t="s">
        <v>1822</v>
      </c>
      <c r="C7535" t="s">
        <v>10397</v>
      </c>
      <c r="D7535" t="s">
        <v>18099</v>
      </c>
      <c r="E7535" t="s">
        <v>24728</v>
      </c>
      <c r="F7535" t="s">
        <v>31574</v>
      </c>
      <c r="G7535" t="s">
        <v>31582</v>
      </c>
      <c r="H7535" t="s">
        <v>31591</v>
      </c>
      <c r="I7535" t="s">
        <v>8822</v>
      </c>
      <c r="J7535" t="s">
        <v>31727</v>
      </c>
      <c r="K7535" t="s">
        <v>41217</v>
      </c>
      <c r="M7535" t="s">
        <v>43457</v>
      </c>
      <c r="N7535" t="s">
        <v>45095</v>
      </c>
      <c r="O7535" t="s">
        <v>45096</v>
      </c>
      <c r="P7535">
        <v>0</v>
      </c>
      <c r="Q7535">
        <v>0</v>
      </c>
      <c r="R7535" t="s">
        <v>45103</v>
      </c>
      <c r="S7535" t="s">
        <v>45270</v>
      </c>
      <c r="T7535" t="s">
        <v>46937</v>
      </c>
      <c r="U7535" t="s">
        <v>52190</v>
      </c>
      <c r="W7535" t="s">
        <v>43457</v>
      </c>
      <c r="X7535" t="s">
        <v>45104</v>
      </c>
    </row>
    <row r="7536" spans="1:24">
      <c r="A7536">
        <f>HYPERLINK("https://www.philgeps.gov.ph/GEPSNONPILOT/Tender/SplashBidNoticeAbstractUI.aspx?menuIndex=3&amp;refID=7036768&amp;Result=3","7036768")</f>
        <v>0</v>
      </c>
      <c r="B7536" t="s">
        <v>1589</v>
      </c>
      <c r="C7536" t="s">
        <v>10398</v>
      </c>
      <c r="D7536" t="s">
        <v>18022</v>
      </c>
      <c r="E7536" t="s">
        <v>24729</v>
      </c>
      <c r="F7536" t="s">
        <v>31574</v>
      </c>
      <c r="G7536" t="s">
        <v>31582</v>
      </c>
      <c r="H7536" t="s">
        <v>31590</v>
      </c>
      <c r="I7536" t="s">
        <v>6800</v>
      </c>
      <c r="J7536" t="s">
        <v>36534</v>
      </c>
      <c r="K7536" t="s">
        <v>41196</v>
      </c>
      <c r="M7536" t="s">
        <v>43910</v>
      </c>
      <c r="N7536" t="s">
        <v>45095</v>
      </c>
      <c r="O7536" t="s">
        <v>45096</v>
      </c>
      <c r="P7536">
        <v>0</v>
      </c>
      <c r="Q7536">
        <v>0</v>
      </c>
      <c r="R7536" t="s">
        <v>45103</v>
      </c>
      <c r="S7536" t="s">
        <v>45270</v>
      </c>
      <c r="T7536" t="s">
        <v>46985</v>
      </c>
      <c r="U7536" t="s">
        <v>47916</v>
      </c>
      <c r="W7536" t="s">
        <v>43910</v>
      </c>
      <c r="X7536" t="s">
        <v>45104</v>
      </c>
    </row>
    <row r="7537" spans="1:24">
      <c r="A7537">
        <f>HYPERLINK("https://www.philgeps.gov.ph/GEPSNONPILOT/Tender/SplashBidNoticeAbstractUI.aspx?menuIndex=3&amp;refID=7036783&amp;Result=3","7036783")</f>
        <v>0</v>
      </c>
      <c r="B7537" t="s">
        <v>1589</v>
      </c>
      <c r="C7537" t="s">
        <v>10399</v>
      </c>
      <c r="D7537" t="s">
        <v>18022</v>
      </c>
      <c r="E7537" t="s">
        <v>24730</v>
      </c>
      <c r="F7537" t="s">
        <v>31574</v>
      </c>
      <c r="G7537" t="s">
        <v>31582</v>
      </c>
      <c r="H7537" t="s">
        <v>31590</v>
      </c>
      <c r="I7537" t="s">
        <v>6800</v>
      </c>
      <c r="J7537" t="s">
        <v>36535</v>
      </c>
      <c r="K7537" t="s">
        <v>41196</v>
      </c>
      <c r="M7537" t="s">
        <v>43910</v>
      </c>
      <c r="N7537" t="s">
        <v>45095</v>
      </c>
      <c r="O7537" t="s">
        <v>45096</v>
      </c>
      <c r="P7537">
        <v>0</v>
      </c>
      <c r="Q7537">
        <v>0</v>
      </c>
      <c r="R7537" t="s">
        <v>45103</v>
      </c>
      <c r="S7537" t="s">
        <v>45270</v>
      </c>
      <c r="T7537" t="s">
        <v>46985</v>
      </c>
      <c r="U7537" t="s">
        <v>47916</v>
      </c>
      <c r="W7537" t="s">
        <v>43910</v>
      </c>
      <c r="X7537" t="s">
        <v>45104</v>
      </c>
    </row>
    <row r="7538" spans="1:24">
      <c r="A7538">
        <f>HYPERLINK("https://www.philgeps.gov.ph/GEPSNONPILOT/Tender/SplashBidNoticeAbstractUI.aspx?menuIndex=3&amp;refID=7036800&amp;Result=3","7036800")</f>
        <v>0</v>
      </c>
      <c r="B7538" t="s">
        <v>594</v>
      </c>
      <c r="C7538" t="s">
        <v>10400</v>
      </c>
      <c r="D7538" t="s">
        <v>18106</v>
      </c>
      <c r="E7538" t="s">
        <v>24731</v>
      </c>
      <c r="F7538" t="s">
        <v>31574</v>
      </c>
      <c r="G7538" t="s">
        <v>31582</v>
      </c>
      <c r="H7538" t="s">
        <v>31590</v>
      </c>
      <c r="I7538" t="s">
        <v>31615</v>
      </c>
      <c r="J7538" t="s">
        <v>32537</v>
      </c>
      <c r="K7538" t="s">
        <v>41192</v>
      </c>
      <c r="M7538" t="s">
        <v>43915</v>
      </c>
      <c r="N7538" t="s">
        <v>45095</v>
      </c>
      <c r="O7538" t="s">
        <v>45096</v>
      </c>
      <c r="P7538">
        <v>0</v>
      </c>
      <c r="Q7538">
        <v>5</v>
      </c>
      <c r="R7538" t="s">
        <v>45103</v>
      </c>
      <c r="S7538" t="s">
        <v>45270</v>
      </c>
      <c r="T7538" t="s">
        <v>47232</v>
      </c>
      <c r="U7538" t="s">
        <v>53750</v>
      </c>
      <c r="W7538" t="s">
        <v>43915</v>
      </c>
      <c r="X7538" t="s">
        <v>45104</v>
      </c>
    </row>
    <row r="7539" spans="1:24">
      <c r="A7539">
        <f>HYPERLINK("https://www.philgeps.gov.ph/GEPSNONPILOT/Tender/SplashBidNoticeAbstractUI.aspx?menuIndex=3&amp;refID=7036784&amp;Result=3","7036784")</f>
        <v>0</v>
      </c>
      <c r="B7539" t="s">
        <v>1196</v>
      </c>
      <c r="C7539" t="s">
        <v>10401</v>
      </c>
      <c r="D7539" t="s">
        <v>18026</v>
      </c>
      <c r="E7539" t="s">
        <v>24732</v>
      </c>
      <c r="F7539" t="s">
        <v>31574</v>
      </c>
      <c r="G7539" t="s">
        <v>31582</v>
      </c>
      <c r="H7539" t="s">
        <v>31591</v>
      </c>
      <c r="I7539" t="s">
        <v>8822</v>
      </c>
      <c r="J7539" t="s">
        <v>32241</v>
      </c>
      <c r="K7539" t="s">
        <v>41267</v>
      </c>
      <c r="M7539" t="s">
        <v>43471</v>
      </c>
      <c r="N7539" t="s">
        <v>45095</v>
      </c>
      <c r="O7539" t="s">
        <v>45096</v>
      </c>
      <c r="P7539">
        <v>0</v>
      </c>
      <c r="Q7539">
        <v>0</v>
      </c>
      <c r="R7539" t="s">
        <v>45103</v>
      </c>
      <c r="S7539" t="s">
        <v>45270</v>
      </c>
      <c r="T7539" t="s">
        <v>46987</v>
      </c>
      <c r="U7539" t="s">
        <v>53729</v>
      </c>
      <c r="V7539" t="s">
        <v>60641</v>
      </c>
      <c r="W7539" t="s">
        <v>61718</v>
      </c>
      <c r="X7539" t="s">
        <v>45104</v>
      </c>
    </row>
    <row r="7540" spans="1:24">
      <c r="A7540">
        <f>HYPERLINK("https://www.philgeps.gov.ph/GEPSNONPILOT/Tender/SplashBidNoticeAbstractUI.aspx?menuIndex=3&amp;refID=7036785&amp;Result=3","7036785")</f>
        <v>0</v>
      </c>
      <c r="B7540" t="s">
        <v>2223</v>
      </c>
      <c r="C7540" t="s">
        <v>10402</v>
      </c>
      <c r="D7540" t="s">
        <v>18053</v>
      </c>
      <c r="E7540" t="s">
        <v>24733</v>
      </c>
      <c r="F7540" t="s">
        <v>31574</v>
      </c>
      <c r="G7540" t="s">
        <v>31584</v>
      </c>
      <c r="H7540" t="s">
        <v>31590</v>
      </c>
      <c r="I7540" t="s">
        <v>6800</v>
      </c>
      <c r="J7540" t="s">
        <v>36536</v>
      </c>
      <c r="K7540" t="s">
        <v>41191</v>
      </c>
      <c r="M7540" t="s">
        <v>43916</v>
      </c>
      <c r="N7540" t="s">
        <v>45095</v>
      </c>
      <c r="O7540" t="s">
        <v>45096</v>
      </c>
      <c r="P7540">
        <v>0</v>
      </c>
      <c r="Q7540">
        <v>3</v>
      </c>
      <c r="R7540" t="s">
        <v>45103</v>
      </c>
      <c r="S7540" t="s">
        <v>45270</v>
      </c>
      <c r="T7540" t="s">
        <v>47154</v>
      </c>
      <c r="U7540" t="s">
        <v>53751</v>
      </c>
      <c r="W7540" t="s">
        <v>43916</v>
      </c>
      <c r="X7540" t="s">
        <v>45104</v>
      </c>
    </row>
    <row r="7541" spans="1:24">
      <c r="A7541">
        <f>HYPERLINK("https://www.philgeps.gov.ph/GEPSNONPILOT/Tender/SplashBidNoticeAbstractUI.aspx?menuIndex=3&amp;refID=7036842&amp;Result=3","7036842")</f>
        <v>0</v>
      </c>
      <c r="B7541" t="s">
        <v>1589</v>
      </c>
      <c r="C7541" t="s">
        <v>10403</v>
      </c>
      <c r="D7541" t="s">
        <v>18022</v>
      </c>
      <c r="E7541" t="s">
        <v>24734</v>
      </c>
      <c r="F7541" t="s">
        <v>31574</v>
      </c>
      <c r="G7541" t="s">
        <v>31582</v>
      </c>
      <c r="H7541" t="s">
        <v>31590</v>
      </c>
      <c r="I7541" t="s">
        <v>3487</v>
      </c>
      <c r="J7541" t="s">
        <v>32497</v>
      </c>
      <c r="K7541" t="s">
        <v>41196</v>
      </c>
      <c r="M7541" t="s">
        <v>43910</v>
      </c>
      <c r="N7541" t="s">
        <v>45095</v>
      </c>
      <c r="O7541" t="s">
        <v>45096</v>
      </c>
      <c r="P7541">
        <v>0</v>
      </c>
      <c r="Q7541">
        <v>0</v>
      </c>
      <c r="R7541" t="s">
        <v>45103</v>
      </c>
      <c r="S7541" t="s">
        <v>45270</v>
      </c>
      <c r="T7541" t="s">
        <v>46985</v>
      </c>
      <c r="U7541" t="s">
        <v>51488</v>
      </c>
      <c r="W7541" t="s">
        <v>43910</v>
      </c>
      <c r="X7541" t="s">
        <v>45104</v>
      </c>
    </row>
    <row r="7542" spans="1:24">
      <c r="A7542">
        <f>HYPERLINK("https://www.philgeps.gov.ph/GEPSNONPILOT/Tender/SplashBidNoticeAbstractUI.aspx?menuIndex=3&amp;refID=7036835&amp;Result=3","7036835")</f>
        <v>0</v>
      </c>
      <c r="B7542" t="s">
        <v>1589</v>
      </c>
      <c r="C7542" t="s">
        <v>10404</v>
      </c>
      <c r="D7542" t="s">
        <v>18022</v>
      </c>
      <c r="E7542" t="s">
        <v>24735</v>
      </c>
      <c r="F7542" t="s">
        <v>31574</v>
      </c>
      <c r="G7542" t="s">
        <v>31582</v>
      </c>
      <c r="H7542" t="s">
        <v>31590</v>
      </c>
      <c r="I7542" t="s">
        <v>6800</v>
      </c>
      <c r="J7542" t="s">
        <v>36537</v>
      </c>
      <c r="K7542" t="s">
        <v>41196</v>
      </c>
      <c r="M7542" t="s">
        <v>43910</v>
      </c>
      <c r="N7542" t="s">
        <v>45095</v>
      </c>
      <c r="O7542" t="s">
        <v>45096</v>
      </c>
      <c r="P7542">
        <v>0</v>
      </c>
      <c r="Q7542">
        <v>0</v>
      </c>
      <c r="R7542" t="s">
        <v>45103</v>
      </c>
      <c r="S7542" t="s">
        <v>45270</v>
      </c>
      <c r="T7542" t="s">
        <v>46985</v>
      </c>
      <c r="U7542" t="s">
        <v>47916</v>
      </c>
      <c r="W7542" t="s">
        <v>43910</v>
      </c>
      <c r="X7542" t="s">
        <v>45104</v>
      </c>
    </row>
    <row r="7543" spans="1:24">
      <c r="A7543">
        <f>HYPERLINK("https://www.philgeps.gov.ph/GEPSNONPILOT/Tender/SplashBidNoticeAbstractUI.aspx?menuIndex=3&amp;refID=7036775&amp;Result=3","7036775")</f>
        <v>0</v>
      </c>
      <c r="B7543" t="s">
        <v>726</v>
      </c>
      <c r="C7543" t="s">
        <v>10405</v>
      </c>
      <c r="D7543" t="s">
        <v>18058</v>
      </c>
      <c r="E7543" t="s">
        <v>24736</v>
      </c>
      <c r="F7543" t="s">
        <v>31574</v>
      </c>
      <c r="G7543" t="s">
        <v>31581</v>
      </c>
      <c r="H7543" t="s">
        <v>31590</v>
      </c>
      <c r="I7543" t="s">
        <v>14544</v>
      </c>
      <c r="J7543" t="s">
        <v>36538</v>
      </c>
      <c r="K7543" t="s">
        <v>41186</v>
      </c>
      <c r="M7543" t="s">
        <v>42236</v>
      </c>
      <c r="N7543" t="s">
        <v>45095</v>
      </c>
      <c r="O7543" t="s">
        <v>45096</v>
      </c>
      <c r="P7543">
        <v>0</v>
      </c>
      <c r="Q7543">
        <v>0</v>
      </c>
      <c r="R7543" t="s">
        <v>45103</v>
      </c>
      <c r="S7543" t="s">
        <v>45270</v>
      </c>
      <c r="T7543" t="s">
        <v>46980</v>
      </c>
      <c r="U7543" t="s">
        <v>53752</v>
      </c>
      <c r="W7543" t="s">
        <v>42236</v>
      </c>
      <c r="X7543" t="s">
        <v>45104</v>
      </c>
    </row>
    <row r="7544" spans="1:24">
      <c r="A7544">
        <f>HYPERLINK("https://www.philgeps.gov.ph/GEPSNONPILOT/Tender/SplashBidNoticeAbstractUI.aspx?menuIndex=3&amp;refID=7036833&amp;Result=3","7036833")</f>
        <v>0</v>
      </c>
      <c r="B7544" t="s">
        <v>1531</v>
      </c>
      <c r="C7544" t="s">
        <v>10406</v>
      </c>
      <c r="D7544" t="s">
        <v>18044</v>
      </c>
      <c r="E7544" t="s">
        <v>24737</v>
      </c>
      <c r="F7544" t="s">
        <v>31574</v>
      </c>
      <c r="G7544" t="s">
        <v>31582</v>
      </c>
      <c r="H7544" t="s">
        <v>31591</v>
      </c>
      <c r="I7544" t="s">
        <v>8822</v>
      </c>
      <c r="J7544" t="s">
        <v>34070</v>
      </c>
      <c r="K7544" t="s">
        <v>41200</v>
      </c>
      <c r="M7544" t="s">
        <v>43122</v>
      </c>
      <c r="N7544" t="s">
        <v>45095</v>
      </c>
      <c r="O7544" t="s">
        <v>45096</v>
      </c>
      <c r="P7544">
        <v>0</v>
      </c>
      <c r="Q7544">
        <v>0</v>
      </c>
      <c r="R7544" t="s">
        <v>45103</v>
      </c>
      <c r="S7544" t="s">
        <v>45270</v>
      </c>
      <c r="T7544" t="s">
        <v>47000</v>
      </c>
      <c r="U7544" t="s">
        <v>53701</v>
      </c>
      <c r="W7544" t="s">
        <v>43122</v>
      </c>
      <c r="X7544" t="s">
        <v>45104</v>
      </c>
    </row>
    <row r="7545" spans="1:24">
      <c r="A7545">
        <f>HYPERLINK("https://www.philgeps.gov.ph/GEPSNONPILOT/Tender/SplashBidNoticeAbstractUI.aspx?menuIndex=3&amp;refID=7036832&amp;Result=3","7036832")</f>
        <v>0</v>
      </c>
      <c r="B7545" t="s">
        <v>1822</v>
      </c>
      <c r="C7545" t="s">
        <v>10407</v>
      </c>
      <c r="D7545" t="s">
        <v>18099</v>
      </c>
      <c r="E7545" t="s">
        <v>24738</v>
      </c>
      <c r="F7545" t="s">
        <v>31574</v>
      </c>
      <c r="G7545" t="s">
        <v>31582</v>
      </c>
      <c r="H7545" t="s">
        <v>31591</v>
      </c>
      <c r="I7545" t="s">
        <v>31627</v>
      </c>
      <c r="J7545" t="s">
        <v>31789</v>
      </c>
      <c r="K7545" t="s">
        <v>41287</v>
      </c>
      <c r="M7545" t="s">
        <v>43457</v>
      </c>
      <c r="N7545" t="s">
        <v>45095</v>
      </c>
      <c r="O7545" t="s">
        <v>45096</v>
      </c>
      <c r="P7545">
        <v>0</v>
      </c>
      <c r="Q7545">
        <v>0</v>
      </c>
      <c r="R7545" t="s">
        <v>45103</v>
      </c>
      <c r="S7545" t="s">
        <v>45270</v>
      </c>
      <c r="T7545" t="s">
        <v>46937</v>
      </c>
      <c r="U7545" t="s">
        <v>52190</v>
      </c>
      <c r="W7545" t="s">
        <v>43457</v>
      </c>
      <c r="X7545" t="s">
        <v>45104</v>
      </c>
    </row>
    <row r="7546" spans="1:24">
      <c r="A7546">
        <f>HYPERLINK("https://www.philgeps.gov.ph/GEPSNONPILOT/Tender/SplashBidNoticeAbstractUI.aspx?menuIndex=3&amp;refID=7036849&amp;Result=3","7036849")</f>
        <v>0</v>
      </c>
      <c r="B7546" t="s">
        <v>1822</v>
      </c>
      <c r="C7546" t="s">
        <v>10408</v>
      </c>
      <c r="D7546" t="s">
        <v>18099</v>
      </c>
      <c r="E7546" t="s">
        <v>24739</v>
      </c>
      <c r="F7546" t="s">
        <v>31574</v>
      </c>
      <c r="G7546" t="s">
        <v>31582</v>
      </c>
      <c r="H7546" t="s">
        <v>31591</v>
      </c>
      <c r="I7546" t="s">
        <v>31627</v>
      </c>
      <c r="J7546" t="s">
        <v>31789</v>
      </c>
      <c r="K7546" t="s">
        <v>41287</v>
      </c>
      <c r="M7546" t="s">
        <v>43457</v>
      </c>
      <c r="N7546" t="s">
        <v>45095</v>
      </c>
      <c r="O7546" t="s">
        <v>45096</v>
      </c>
      <c r="P7546">
        <v>0</v>
      </c>
      <c r="Q7546">
        <v>0</v>
      </c>
      <c r="R7546" t="s">
        <v>45103</v>
      </c>
      <c r="S7546" t="s">
        <v>45270</v>
      </c>
      <c r="T7546" t="s">
        <v>46937</v>
      </c>
      <c r="U7546" t="s">
        <v>53753</v>
      </c>
      <c r="W7546" t="s">
        <v>43457</v>
      </c>
      <c r="X7546" t="s">
        <v>45104</v>
      </c>
    </row>
    <row r="7547" spans="1:24">
      <c r="A7547">
        <f>HYPERLINK("https://www.philgeps.gov.ph/GEPSNONPILOT/Tender/SplashBidNoticeAbstractUI.aspx?menuIndex=3&amp;refID=7036804&amp;Result=3","7036804")</f>
        <v>0</v>
      </c>
      <c r="B7547" t="s">
        <v>2224</v>
      </c>
      <c r="C7547" t="s">
        <v>10409</v>
      </c>
      <c r="E7547" t="s">
        <v>24216</v>
      </c>
      <c r="F7547" t="s">
        <v>31574</v>
      </c>
      <c r="G7547" t="s">
        <v>31582</v>
      </c>
      <c r="H7547" t="s">
        <v>31590</v>
      </c>
      <c r="I7547" t="s">
        <v>3651</v>
      </c>
      <c r="J7547" t="s">
        <v>36539</v>
      </c>
      <c r="K7547" t="s">
        <v>41184</v>
      </c>
      <c r="M7547" t="s">
        <v>43917</v>
      </c>
      <c r="N7547" t="s">
        <v>45095</v>
      </c>
      <c r="O7547" t="s">
        <v>45096</v>
      </c>
      <c r="P7547">
        <v>0</v>
      </c>
      <c r="Q7547">
        <v>0</v>
      </c>
      <c r="R7547" t="s">
        <v>45103</v>
      </c>
      <c r="S7547" t="s">
        <v>45270</v>
      </c>
      <c r="T7547" t="s">
        <v>47050</v>
      </c>
      <c r="U7547" t="s">
        <v>53754</v>
      </c>
      <c r="W7547" t="s">
        <v>43917</v>
      </c>
      <c r="X7547" t="s">
        <v>45104</v>
      </c>
    </row>
    <row r="7548" spans="1:24">
      <c r="A7548">
        <f>HYPERLINK("https://www.philgeps.gov.ph/GEPSNONPILOT/Tender/SplashBidNoticeAbstractUI.aspx?menuIndex=3&amp;refID=7036834&amp;Result=3","7036834")</f>
        <v>0</v>
      </c>
      <c r="B7548" t="s">
        <v>987</v>
      </c>
      <c r="C7548" t="s">
        <v>3489</v>
      </c>
      <c r="D7548" t="s">
        <v>18066</v>
      </c>
      <c r="E7548" t="s">
        <v>24740</v>
      </c>
      <c r="F7548" t="s">
        <v>31579</v>
      </c>
      <c r="G7548" t="s">
        <v>31581</v>
      </c>
      <c r="H7548" t="s">
        <v>31590</v>
      </c>
      <c r="I7548" t="s">
        <v>3489</v>
      </c>
      <c r="J7548" t="s">
        <v>36540</v>
      </c>
      <c r="K7548" t="s">
        <v>41193</v>
      </c>
      <c r="M7548" t="s">
        <v>42521</v>
      </c>
      <c r="N7548" t="s">
        <v>45095</v>
      </c>
      <c r="O7548" t="s">
        <v>45096</v>
      </c>
      <c r="P7548">
        <v>0</v>
      </c>
      <c r="Q7548">
        <v>0</v>
      </c>
      <c r="R7548" t="s">
        <v>45103</v>
      </c>
      <c r="S7548" t="s">
        <v>45270</v>
      </c>
      <c r="T7548" t="s">
        <v>46973</v>
      </c>
      <c r="U7548" t="s">
        <v>53755</v>
      </c>
      <c r="W7548" t="s">
        <v>42521</v>
      </c>
      <c r="X7548" t="s">
        <v>45104</v>
      </c>
    </row>
    <row r="7549" spans="1:24">
      <c r="A7549">
        <f>HYPERLINK("https://www.philgeps.gov.ph/GEPSNONPILOT/Tender/SplashBidNoticeAbstractUI.aspx?menuIndex=3&amp;refID=7036851&amp;Result=3","7036851")</f>
        <v>0</v>
      </c>
      <c r="B7549" t="s">
        <v>2225</v>
      </c>
      <c r="C7549" t="s">
        <v>10410</v>
      </c>
      <c r="D7549" t="s">
        <v>18073</v>
      </c>
      <c r="E7549" t="s">
        <v>24741</v>
      </c>
      <c r="F7549" t="s">
        <v>31574</v>
      </c>
      <c r="G7549" t="s">
        <v>31582</v>
      </c>
      <c r="H7549" t="s">
        <v>31591</v>
      </c>
      <c r="I7549" t="s">
        <v>8822</v>
      </c>
      <c r="J7549" t="s">
        <v>32203</v>
      </c>
      <c r="K7549" t="s">
        <v>41282</v>
      </c>
      <c r="M7549" t="s">
        <v>43918</v>
      </c>
      <c r="N7549" t="s">
        <v>45095</v>
      </c>
      <c r="O7549" t="s">
        <v>45096</v>
      </c>
      <c r="P7549">
        <v>0</v>
      </c>
      <c r="Q7549">
        <v>3</v>
      </c>
      <c r="R7549" t="s">
        <v>45103</v>
      </c>
      <c r="S7549" t="s">
        <v>45270</v>
      </c>
      <c r="T7549" t="s">
        <v>46992</v>
      </c>
      <c r="U7549" t="s">
        <v>53756</v>
      </c>
      <c r="W7549" t="s">
        <v>43918</v>
      </c>
      <c r="X7549" t="s">
        <v>45104</v>
      </c>
    </row>
    <row r="7550" spans="1:24">
      <c r="A7550">
        <f>HYPERLINK("https://www.philgeps.gov.ph/GEPSNONPILOT/Tender/SplashBidNoticeAbstractUI.aspx?menuIndex=3&amp;refID=7036830&amp;Result=3","7036830")</f>
        <v>0</v>
      </c>
      <c r="B7550" t="s">
        <v>2226</v>
      </c>
      <c r="C7550" t="s">
        <v>10411</v>
      </c>
      <c r="D7550" t="s">
        <v>18025</v>
      </c>
      <c r="E7550" t="s">
        <v>18422</v>
      </c>
      <c r="F7550" t="s">
        <v>31574</v>
      </c>
      <c r="G7550" t="s">
        <v>31582</v>
      </c>
      <c r="H7550" t="s">
        <v>31591</v>
      </c>
      <c r="I7550" t="s">
        <v>8822</v>
      </c>
      <c r="J7550" t="s">
        <v>36541</v>
      </c>
      <c r="K7550" t="s">
        <v>41184</v>
      </c>
      <c r="M7550" t="s">
        <v>43919</v>
      </c>
      <c r="N7550" t="s">
        <v>45095</v>
      </c>
      <c r="O7550" t="s">
        <v>45096</v>
      </c>
      <c r="P7550">
        <v>0</v>
      </c>
      <c r="Q7550">
        <v>0</v>
      </c>
      <c r="R7550" t="s">
        <v>45103</v>
      </c>
      <c r="S7550" t="s">
        <v>45270</v>
      </c>
      <c r="T7550" t="s">
        <v>47067</v>
      </c>
      <c r="U7550" t="s">
        <v>53345</v>
      </c>
      <c r="W7550" t="s">
        <v>43919</v>
      </c>
      <c r="X7550" t="s">
        <v>45104</v>
      </c>
    </row>
    <row r="7551" spans="1:24">
      <c r="A7551">
        <f>HYPERLINK("https://www.philgeps.gov.ph/GEPSNONPILOT/Tender/SplashBidNoticeAbstractUI.aspx?menuIndex=3&amp;refID=7036854&amp;Result=3","7036854")</f>
        <v>0</v>
      </c>
      <c r="B7551" t="s">
        <v>1554</v>
      </c>
      <c r="C7551" t="s">
        <v>10412</v>
      </c>
      <c r="D7551" t="s">
        <v>18056</v>
      </c>
      <c r="E7551" t="s">
        <v>24742</v>
      </c>
      <c r="F7551" t="s">
        <v>31574</v>
      </c>
      <c r="G7551" t="s">
        <v>31581</v>
      </c>
      <c r="H7551" t="s">
        <v>31591</v>
      </c>
      <c r="I7551" t="s">
        <v>31633</v>
      </c>
      <c r="J7551" t="s">
        <v>36542</v>
      </c>
      <c r="K7551" t="s">
        <v>41186</v>
      </c>
      <c r="M7551" t="s">
        <v>43153</v>
      </c>
      <c r="N7551" t="s">
        <v>45095</v>
      </c>
      <c r="O7551" t="s">
        <v>45096</v>
      </c>
      <c r="P7551">
        <v>0</v>
      </c>
      <c r="Q7551">
        <v>1</v>
      </c>
      <c r="R7551" t="s">
        <v>45103</v>
      </c>
      <c r="S7551" t="s">
        <v>45270</v>
      </c>
      <c r="T7551" t="s">
        <v>47159</v>
      </c>
      <c r="U7551" t="s">
        <v>53757</v>
      </c>
      <c r="W7551" t="s">
        <v>43153</v>
      </c>
      <c r="X7551" t="s">
        <v>45104</v>
      </c>
    </row>
    <row r="7552" spans="1:24">
      <c r="A7552">
        <f>HYPERLINK("https://www.philgeps.gov.ph/GEPSNONPILOT/Tender/SplashBidNoticeAbstractUI.aspx?menuIndex=3&amp;refID=7036850&amp;Result=3","7036850")</f>
        <v>0</v>
      </c>
      <c r="B7552" t="s">
        <v>2227</v>
      </c>
      <c r="C7552" t="s">
        <v>10413</v>
      </c>
      <c r="E7552" t="s">
        <v>24743</v>
      </c>
      <c r="F7552" t="s">
        <v>31574</v>
      </c>
      <c r="G7552" t="s">
        <v>31581</v>
      </c>
      <c r="H7552" t="s">
        <v>31590</v>
      </c>
      <c r="I7552" t="s">
        <v>6800</v>
      </c>
      <c r="J7552" t="s">
        <v>32375</v>
      </c>
      <c r="K7552" t="s">
        <v>41184</v>
      </c>
      <c r="M7552" t="s">
        <v>43920</v>
      </c>
      <c r="N7552" t="s">
        <v>45095</v>
      </c>
      <c r="O7552" t="s">
        <v>45096</v>
      </c>
      <c r="P7552">
        <v>0</v>
      </c>
      <c r="Q7552">
        <v>12</v>
      </c>
      <c r="R7552" t="s">
        <v>45103</v>
      </c>
      <c r="S7552" t="s">
        <v>45270</v>
      </c>
      <c r="T7552" t="s">
        <v>47159</v>
      </c>
      <c r="U7552" t="s">
        <v>53758</v>
      </c>
      <c r="W7552" t="s">
        <v>61729</v>
      </c>
      <c r="X7552" t="s">
        <v>45104</v>
      </c>
    </row>
    <row r="7553" spans="1:24">
      <c r="A7553">
        <f>HYPERLINK("https://www.philgeps.gov.ph/GEPSNONPILOT/Tender/SplashBidNoticeAbstractUI.aspx?menuIndex=3&amp;refID=7036844&amp;Result=3","7036844")</f>
        <v>0</v>
      </c>
      <c r="B7553" t="s">
        <v>2228</v>
      </c>
      <c r="C7553" t="s">
        <v>6788</v>
      </c>
      <c r="D7553" t="s">
        <v>18035</v>
      </c>
      <c r="E7553" t="s">
        <v>24744</v>
      </c>
      <c r="F7553" t="s">
        <v>31574</v>
      </c>
      <c r="G7553" t="s">
        <v>31582</v>
      </c>
      <c r="H7553" t="s">
        <v>31591</v>
      </c>
      <c r="I7553" t="s">
        <v>8822</v>
      </c>
      <c r="J7553" t="s">
        <v>36543</v>
      </c>
      <c r="K7553" t="s">
        <v>41184</v>
      </c>
      <c r="M7553" t="s">
        <v>43921</v>
      </c>
      <c r="N7553" t="s">
        <v>45095</v>
      </c>
      <c r="O7553" t="s">
        <v>45096</v>
      </c>
      <c r="P7553">
        <v>0</v>
      </c>
      <c r="Q7553">
        <v>1</v>
      </c>
      <c r="R7553" t="s">
        <v>45103</v>
      </c>
      <c r="S7553" t="s">
        <v>45270</v>
      </c>
      <c r="T7553" t="s">
        <v>47125</v>
      </c>
      <c r="U7553" t="s">
        <v>53759</v>
      </c>
      <c r="V7553" t="s">
        <v>60432</v>
      </c>
      <c r="W7553" t="s">
        <v>43921</v>
      </c>
      <c r="X7553" t="s">
        <v>45104</v>
      </c>
    </row>
    <row r="7554" spans="1:24">
      <c r="A7554">
        <f>HYPERLINK("https://www.philgeps.gov.ph/GEPSNONPILOT/Tender/SplashBidNoticeAbstractUI.aspx?menuIndex=3&amp;refID=7036852&amp;Result=3","7036852")</f>
        <v>0</v>
      </c>
      <c r="B7554" t="s">
        <v>2229</v>
      </c>
      <c r="C7554" t="s">
        <v>10414</v>
      </c>
      <c r="D7554" t="s">
        <v>18079</v>
      </c>
      <c r="E7554" t="s">
        <v>24745</v>
      </c>
      <c r="F7554" t="s">
        <v>31574</v>
      </c>
      <c r="G7554" t="s">
        <v>31582</v>
      </c>
      <c r="H7554" t="s">
        <v>31591</v>
      </c>
      <c r="I7554" t="s">
        <v>8822</v>
      </c>
      <c r="J7554" t="s">
        <v>36544</v>
      </c>
      <c r="K7554" t="s">
        <v>41200</v>
      </c>
      <c r="L7554" t="s">
        <v>2229</v>
      </c>
      <c r="M7554" t="s">
        <v>43922</v>
      </c>
      <c r="N7554" t="s">
        <v>45095</v>
      </c>
      <c r="O7554" t="s">
        <v>45096</v>
      </c>
      <c r="P7554">
        <v>0</v>
      </c>
      <c r="Q7554">
        <v>2</v>
      </c>
      <c r="R7554" t="s">
        <v>45103</v>
      </c>
      <c r="S7554" t="s">
        <v>45270</v>
      </c>
      <c r="T7554" t="s">
        <v>47000</v>
      </c>
      <c r="U7554" t="s">
        <v>53760</v>
      </c>
      <c r="W7554" t="s">
        <v>43922</v>
      </c>
      <c r="X7554" t="s">
        <v>45104</v>
      </c>
    </row>
    <row r="7555" spans="1:24">
      <c r="A7555">
        <f>HYPERLINK("https://www.philgeps.gov.ph/GEPSNONPILOT/Tender/SplashBidNoticeAbstractUI.aspx?menuIndex=3&amp;refID=7036828&amp;Result=3","7036828")</f>
        <v>0</v>
      </c>
      <c r="B7555" t="s">
        <v>2225</v>
      </c>
      <c r="C7555" t="s">
        <v>10415</v>
      </c>
      <c r="D7555" t="s">
        <v>18073</v>
      </c>
      <c r="E7555" t="s">
        <v>24746</v>
      </c>
      <c r="F7555" t="s">
        <v>31574</v>
      </c>
      <c r="G7555" t="s">
        <v>31582</v>
      </c>
      <c r="H7555" t="s">
        <v>31591</v>
      </c>
      <c r="I7555" t="s">
        <v>8822</v>
      </c>
      <c r="J7555" t="s">
        <v>34576</v>
      </c>
      <c r="K7555" t="s">
        <v>41290</v>
      </c>
      <c r="M7555" t="s">
        <v>43918</v>
      </c>
      <c r="N7555" t="s">
        <v>45095</v>
      </c>
      <c r="O7555" t="s">
        <v>45096</v>
      </c>
      <c r="P7555">
        <v>0</v>
      </c>
      <c r="Q7555">
        <v>3</v>
      </c>
      <c r="R7555" t="s">
        <v>45103</v>
      </c>
      <c r="S7555" t="s">
        <v>45270</v>
      </c>
      <c r="T7555" t="s">
        <v>46992</v>
      </c>
      <c r="U7555" t="s">
        <v>53761</v>
      </c>
      <c r="W7555" t="s">
        <v>43918</v>
      </c>
      <c r="X7555" t="s">
        <v>45104</v>
      </c>
    </row>
    <row r="7556" spans="1:24">
      <c r="A7556">
        <f>HYPERLINK("https://www.philgeps.gov.ph/GEPSNONPILOT/Tender/SplashBidNoticeAbstractUI.aspx?menuIndex=3&amp;refID=7036826&amp;Result=3","7036826")</f>
        <v>0</v>
      </c>
      <c r="B7556" t="s">
        <v>1544</v>
      </c>
      <c r="C7556" t="s">
        <v>10416</v>
      </c>
      <c r="D7556" t="s">
        <v>18075</v>
      </c>
      <c r="E7556" t="s">
        <v>24747</v>
      </c>
      <c r="F7556" t="s">
        <v>31574</v>
      </c>
      <c r="G7556" t="s">
        <v>31582</v>
      </c>
      <c r="H7556" t="s">
        <v>31590</v>
      </c>
      <c r="I7556" t="s">
        <v>31661</v>
      </c>
      <c r="J7556" t="s">
        <v>36545</v>
      </c>
      <c r="K7556" t="s">
        <v>41186</v>
      </c>
      <c r="M7556" t="s">
        <v>43139</v>
      </c>
      <c r="N7556" t="s">
        <v>45095</v>
      </c>
      <c r="O7556" t="s">
        <v>45096</v>
      </c>
      <c r="P7556">
        <v>0</v>
      </c>
      <c r="Q7556">
        <v>3</v>
      </c>
      <c r="R7556" t="s">
        <v>45103</v>
      </c>
      <c r="S7556" t="s">
        <v>45270</v>
      </c>
      <c r="T7556" t="s">
        <v>47313</v>
      </c>
      <c r="U7556" t="s">
        <v>53762</v>
      </c>
      <c r="W7556" t="s">
        <v>43139</v>
      </c>
      <c r="X7556" t="s">
        <v>45104</v>
      </c>
    </row>
    <row r="7557" spans="1:24">
      <c r="A7557">
        <f>HYPERLINK("https://www.philgeps.gov.ph/GEPSNONPILOT/Tender/SplashBidNoticeAbstractUI.aspx?menuIndex=3&amp;refID=7036845&amp;Result=3","7036845")</f>
        <v>0</v>
      </c>
      <c r="B7557" t="s">
        <v>2230</v>
      </c>
      <c r="C7557" t="s">
        <v>10417</v>
      </c>
      <c r="D7557" t="s">
        <v>18022</v>
      </c>
      <c r="E7557" t="s">
        <v>24748</v>
      </c>
      <c r="F7557" t="s">
        <v>31574</v>
      </c>
      <c r="G7557" t="s">
        <v>31584</v>
      </c>
      <c r="H7557" t="s">
        <v>31590</v>
      </c>
      <c r="I7557" t="s">
        <v>6800</v>
      </c>
      <c r="J7557" t="s">
        <v>36546</v>
      </c>
      <c r="K7557" t="s">
        <v>41184</v>
      </c>
      <c r="M7557" t="s">
        <v>43923</v>
      </c>
      <c r="N7557" t="s">
        <v>45095</v>
      </c>
      <c r="O7557" t="s">
        <v>45096</v>
      </c>
      <c r="P7557">
        <v>0</v>
      </c>
      <c r="Q7557">
        <v>13</v>
      </c>
      <c r="R7557" t="s">
        <v>45103</v>
      </c>
      <c r="S7557" t="s">
        <v>45270</v>
      </c>
      <c r="T7557" t="s">
        <v>47125</v>
      </c>
      <c r="U7557" t="s">
        <v>53763</v>
      </c>
      <c r="W7557" t="s">
        <v>43923</v>
      </c>
      <c r="X7557" t="s">
        <v>45104</v>
      </c>
    </row>
    <row r="7558" spans="1:24">
      <c r="A7558">
        <f>HYPERLINK("https://www.philgeps.gov.ph/GEPSNONPILOT/Tender/SplashBidNoticeAbstractUI.aspx?menuIndex=3&amp;refID=7036815&amp;Result=3","7036815")</f>
        <v>0</v>
      </c>
      <c r="B7558" t="s">
        <v>987</v>
      </c>
      <c r="C7558" t="s">
        <v>3489</v>
      </c>
      <c r="D7558" t="s">
        <v>18066</v>
      </c>
      <c r="E7558" t="s">
        <v>24749</v>
      </c>
      <c r="F7558" t="s">
        <v>31579</v>
      </c>
      <c r="G7558" t="s">
        <v>31581</v>
      </c>
      <c r="H7558" t="s">
        <v>31590</v>
      </c>
      <c r="I7558" t="s">
        <v>3489</v>
      </c>
      <c r="J7558" t="s">
        <v>36547</v>
      </c>
      <c r="K7558" t="s">
        <v>41193</v>
      </c>
      <c r="M7558" t="s">
        <v>42521</v>
      </c>
      <c r="N7558" t="s">
        <v>45095</v>
      </c>
      <c r="O7558" t="s">
        <v>45096</v>
      </c>
      <c r="P7558">
        <v>0</v>
      </c>
      <c r="Q7558">
        <v>0</v>
      </c>
      <c r="R7558" t="s">
        <v>45103</v>
      </c>
      <c r="S7558" t="s">
        <v>45270</v>
      </c>
      <c r="T7558" t="s">
        <v>46973</v>
      </c>
      <c r="U7558" t="s">
        <v>53764</v>
      </c>
      <c r="W7558" t="s">
        <v>42521</v>
      </c>
      <c r="X7558" t="s">
        <v>45104</v>
      </c>
    </row>
    <row r="7559" spans="1:24">
      <c r="A7559">
        <f>HYPERLINK("https://www.philgeps.gov.ph/GEPSNONPILOT/Tender/SplashBidNoticeAbstractUI.aspx?menuIndex=3&amp;refID=7036856&amp;Result=3","7036856")</f>
        <v>0</v>
      </c>
      <c r="B7559" t="s">
        <v>726</v>
      </c>
      <c r="C7559" t="s">
        <v>10418</v>
      </c>
      <c r="D7559" t="s">
        <v>18058</v>
      </c>
      <c r="E7559" t="s">
        <v>24750</v>
      </c>
      <c r="F7559" t="s">
        <v>31574</v>
      </c>
      <c r="G7559" t="s">
        <v>31583</v>
      </c>
      <c r="H7559" t="s">
        <v>31590</v>
      </c>
      <c r="I7559" t="s">
        <v>31605</v>
      </c>
      <c r="J7559" t="s">
        <v>36548</v>
      </c>
      <c r="K7559" t="s">
        <v>41186</v>
      </c>
      <c r="M7559" t="s">
        <v>42236</v>
      </c>
      <c r="N7559" t="s">
        <v>45095</v>
      </c>
      <c r="O7559" t="s">
        <v>45096</v>
      </c>
      <c r="P7559">
        <v>0</v>
      </c>
      <c r="Q7559">
        <v>3</v>
      </c>
      <c r="R7559" t="s">
        <v>45103</v>
      </c>
      <c r="S7559" t="s">
        <v>45270</v>
      </c>
      <c r="T7559" t="s">
        <v>46980</v>
      </c>
      <c r="U7559" t="s">
        <v>53765</v>
      </c>
      <c r="W7559" t="s">
        <v>42236</v>
      </c>
      <c r="X7559" t="s">
        <v>45104</v>
      </c>
    </row>
    <row r="7560" spans="1:24">
      <c r="A7560">
        <f>HYPERLINK("https://www.philgeps.gov.ph/GEPSNONPILOT/Tender/SplashBidNoticeAbstractUI.aspx?menuIndex=3&amp;refID=7036829&amp;Result=3","7036829")</f>
        <v>0</v>
      </c>
      <c r="B7560" t="s">
        <v>485</v>
      </c>
      <c r="C7560" t="s">
        <v>10419</v>
      </c>
      <c r="D7560" t="s">
        <v>18048</v>
      </c>
      <c r="E7560" t="s">
        <v>24751</v>
      </c>
      <c r="F7560" t="s">
        <v>31574</v>
      </c>
      <c r="G7560" t="s">
        <v>31585</v>
      </c>
      <c r="H7560" t="s">
        <v>31590</v>
      </c>
      <c r="I7560" t="s">
        <v>31607</v>
      </c>
      <c r="J7560" t="s">
        <v>36549</v>
      </c>
      <c r="K7560" t="s">
        <v>41190</v>
      </c>
      <c r="M7560" t="s">
        <v>43924</v>
      </c>
      <c r="N7560" t="s">
        <v>45095</v>
      </c>
      <c r="O7560" t="s">
        <v>45096</v>
      </c>
      <c r="P7560">
        <v>0</v>
      </c>
      <c r="Q7560">
        <v>1</v>
      </c>
      <c r="R7560" t="s">
        <v>45103</v>
      </c>
      <c r="S7560" t="s">
        <v>45270</v>
      </c>
      <c r="T7560" t="s">
        <v>47067</v>
      </c>
      <c r="U7560" t="s">
        <v>53766</v>
      </c>
      <c r="W7560" t="s">
        <v>43924</v>
      </c>
      <c r="X7560" t="s">
        <v>45104</v>
      </c>
    </row>
    <row r="7561" spans="1:24">
      <c r="A7561">
        <f>HYPERLINK("https://www.philgeps.gov.ph/GEPSNONPILOT/Tender/SplashBidNoticeAbstractUI.aspx?menuIndex=3&amp;refID=7036814&amp;Result=3","7036814")</f>
        <v>0</v>
      </c>
      <c r="B7561" t="s">
        <v>1440</v>
      </c>
      <c r="C7561" t="s">
        <v>10420</v>
      </c>
      <c r="D7561" t="s">
        <v>18084</v>
      </c>
      <c r="E7561" t="s">
        <v>24752</v>
      </c>
      <c r="F7561" t="s">
        <v>31574</v>
      </c>
      <c r="G7561" t="s">
        <v>31581</v>
      </c>
      <c r="H7561" t="s">
        <v>31590</v>
      </c>
      <c r="I7561" t="s">
        <v>31610</v>
      </c>
      <c r="J7561" t="s">
        <v>32203</v>
      </c>
      <c r="K7561" t="s">
        <v>41186</v>
      </c>
      <c r="M7561" t="s">
        <v>43925</v>
      </c>
      <c r="N7561" t="s">
        <v>45095</v>
      </c>
      <c r="O7561" t="s">
        <v>45096</v>
      </c>
      <c r="P7561">
        <v>0</v>
      </c>
      <c r="Q7561">
        <v>6</v>
      </c>
      <c r="R7561" t="s">
        <v>45103</v>
      </c>
      <c r="S7561" t="s">
        <v>45270</v>
      </c>
      <c r="T7561" t="s">
        <v>47159</v>
      </c>
      <c r="U7561" t="s">
        <v>51287</v>
      </c>
      <c r="V7561" t="s">
        <v>60330</v>
      </c>
      <c r="W7561" t="s">
        <v>61706</v>
      </c>
      <c r="X7561" t="s">
        <v>45104</v>
      </c>
    </row>
    <row r="7562" spans="1:24">
      <c r="A7562">
        <f>HYPERLINK("https://www.philgeps.gov.ph/GEPSNONPILOT/Tender/SplashBidNoticeAbstractUI.aspx?menuIndex=3&amp;refID=7036824&amp;Result=3","7036824")</f>
        <v>0</v>
      </c>
      <c r="B7562" t="s">
        <v>1589</v>
      </c>
      <c r="C7562" t="s">
        <v>10421</v>
      </c>
      <c r="D7562" t="s">
        <v>18022</v>
      </c>
      <c r="E7562" t="s">
        <v>24753</v>
      </c>
      <c r="F7562" t="s">
        <v>31574</v>
      </c>
      <c r="G7562" t="s">
        <v>31582</v>
      </c>
      <c r="H7562" t="s">
        <v>31590</v>
      </c>
      <c r="I7562" t="s">
        <v>6800</v>
      </c>
      <c r="J7562" t="s">
        <v>31888</v>
      </c>
      <c r="K7562" t="s">
        <v>41196</v>
      </c>
      <c r="M7562" t="s">
        <v>43910</v>
      </c>
      <c r="N7562" t="s">
        <v>45095</v>
      </c>
      <c r="O7562" t="s">
        <v>45096</v>
      </c>
      <c r="P7562">
        <v>0</v>
      </c>
      <c r="Q7562">
        <v>1</v>
      </c>
      <c r="R7562" t="s">
        <v>45103</v>
      </c>
      <c r="S7562" t="s">
        <v>45270</v>
      </c>
      <c r="T7562" t="s">
        <v>46985</v>
      </c>
      <c r="U7562" t="s">
        <v>47916</v>
      </c>
      <c r="W7562" t="s">
        <v>43910</v>
      </c>
      <c r="X7562" t="s">
        <v>45104</v>
      </c>
    </row>
    <row r="7563" spans="1:24">
      <c r="A7563">
        <f>HYPERLINK("https://www.philgeps.gov.ph/GEPSNONPILOT/Tender/SplashBidNoticeAbstractUI.aspx?menuIndex=3&amp;refID=7036863&amp;Result=3","7036863")</f>
        <v>0</v>
      </c>
      <c r="B7563" t="s">
        <v>2113</v>
      </c>
      <c r="C7563" t="s">
        <v>10422</v>
      </c>
      <c r="D7563" t="s">
        <v>18102</v>
      </c>
      <c r="E7563" t="s">
        <v>19271</v>
      </c>
      <c r="F7563" t="s">
        <v>31575</v>
      </c>
      <c r="G7563" t="s">
        <v>31582</v>
      </c>
      <c r="H7563" t="s">
        <v>31590</v>
      </c>
      <c r="I7563" t="s">
        <v>31595</v>
      </c>
      <c r="J7563" t="s">
        <v>36550</v>
      </c>
      <c r="K7563" t="s">
        <v>41185</v>
      </c>
      <c r="M7563" t="s">
        <v>43794</v>
      </c>
      <c r="N7563" t="s">
        <v>45095</v>
      </c>
      <c r="O7563" t="s">
        <v>45096</v>
      </c>
      <c r="P7563">
        <v>0</v>
      </c>
      <c r="Q7563">
        <v>8</v>
      </c>
      <c r="R7563" t="s">
        <v>45103</v>
      </c>
      <c r="S7563" t="s">
        <v>45270</v>
      </c>
      <c r="T7563" t="s">
        <v>47198</v>
      </c>
      <c r="U7563" t="s">
        <v>53358</v>
      </c>
      <c r="W7563" t="s">
        <v>43794</v>
      </c>
      <c r="X7563" t="s">
        <v>45104</v>
      </c>
    </row>
    <row r="7564" spans="1:24">
      <c r="A7564">
        <f>HYPERLINK("https://www.philgeps.gov.ph/GEPSNONPILOT/Tender/SplashBidNoticeAbstractUI.aspx?menuIndex=3&amp;refID=7036855&amp;Result=3","7036855")</f>
        <v>0</v>
      </c>
      <c r="B7564" t="s">
        <v>1002</v>
      </c>
      <c r="C7564" t="s">
        <v>4493</v>
      </c>
      <c r="D7564" t="s">
        <v>18058</v>
      </c>
      <c r="E7564" t="s">
        <v>24754</v>
      </c>
      <c r="F7564" t="s">
        <v>31574</v>
      </c>
      <c r="G7564" t="s">
        <v>31582</v>
      </c>
      <c r="H7564" t="s">
        <v>31590</v>
      </c>
      <c r="I7564" t="s">
        <v>4046</v>
      </c>
      <c r="J7564" t="s">
        <v>36551</v>
      </c>
      <c r="K7564" t="s">
        <v>41289</v>
      </c>
      <c r="M7564" t="s">
        <v>42539</v>
      </c>
      <c r="N7564" t="s">
        <v>45095</v>
      </c>
      <c r="O7564" t="s">
        <v>45096</v>
      </c>
      <c r="P7564">
        <v>0</v>
      </c>
      <c r="Q7564">
        <v>0</v>
      </c>
      <c r="R7564" t="s">
        <v>45103</v>
      </c>
      <c r="S7564" t="s">
        <v>45270</v>
      </c>
      <c r="T7564" t="s">
        <v>46992</v>
      </c>
      <c r="U7564" t="s">
        <v>53767</v>
      </c>
      <c r="V7564" t="s">
        <v>60109</v>
      </c>
      <c r="W7564" t="s">
        <v>42539</v>
      </c>
      <c r="X7564" t="s">
        <v>45104</v>
      </c>
    </row>
    <row r="7565" spans="1:24">
      <c r="A7565">
        <f>HYPERLINK("https://www.philgeps.gov.ph/GEPSNONPILOT/Tender/SplashBidNoticeAbstractUI.aspx?menuIndex=3&amp;refID=7036874&amp;Result=3","7036874")</f>
        <v>0</v>
      </c>
      <c r="B7565" t="s">
        <v>178</v>
      </c>
      <c r="C7565" t="s">
        <v>10423</v>
      </c>
      <c r="D7565" t="s">
        <v>18078</v>
      </c>
      <c r="E7565" t="s">
        <v>24755</v>
      </c>
      <c r="F7565" t="s">
        <v>31574</v>
      </c>
      <c r="G7565" t="s">
        <v>31582</v>
      </c>
      <c r="H7565" t="s">
        <v>31591</v>
      </c>
      <c r="I7565" t="s">
        <v>8822</v>
      </c>
      <c r="J7565" t="s">
        <v>36552</v>
      </c>
      <c r="K7565" t="s">
        <v>41235</v>
      </c>
      <c r="M7565" t="s">
        <v>41662</v>
      </c>
      <c r="N7565" t="s">
        <v>45095</v>
      </c>
      <c r="O7565" t="s">
        <v>45096</v>
      </c>
      <c r="P7565">
        <v>0</v>
      </c>
      <c r="Q7565">
        <v>11</v>
      </c>
      <c r="R7565" t="s">
        <v>45103</v>
      </c>
      <c r="S7565" t="s">
        <v>45270</v>
      </c>
      <c r="T7565" t="s">
        <v>46992</v>
      </c>
      <c r="U7565" t="s">
        <v>53768</v>
      </c>
      <c r="V7565" t="s">
        <v>60647</v>
      </c>
      <c r="W7565" t="s">
        <v>41662</v>
      </c>
      <c r="X7565" t="s">
        <v>45104</v>
      </c>
    </row>
    <row r="7566" spans="1:24">
      <c r="A7566">
        <f>HYPERLINK("https://www.philgeps.gov.ph/GEPSNONPILOT/Tender/SplashBidNoticeAbstractUI.aspx?menuIndex=3&amp;refID=7036871&amp;Result=3","7036871")</f>
        <v>0</v>
      </c>
      <c r="B7566" t="s">
        <v>2034</v>
      </c>
      <c r="C7566" t="s">
        <v>10424</v>
      </c>
      <c r="D7566" t="s">
        <v>18084</v>
      </c>
      <c r="E7566" t="s">
        <v>24223</v>
      </c>
      <c r="F7566" t="s">
        <v>31574</v>
      </c>
      <c r="G7566" t="s">
        <v>31581</v>
      </c>
      <c r="H7566" t="s">
        <v>31590</v>
      </c>
      <c r="I7566" t="s">
        <v>3487</v>
      </c>
      <c r="J7566" t="s">
        <v>31931</v>
      </c>
      <c r="K7566" t="s">
        <v>41213</v>
      </c>
      <c r="M7566" t="s">
        <v>43701</v>
      </c>
      <c r="N7566" t="s">
        <v>45095</v>
      </c>
      <c r="O7566" t="s">
        <v>45096</v>
      </c>
      <c r="P7566">
        <v>0</v>
      </c>
      <c r="Q7566">
        <v>3</v>
      </c>
      <c r="R7566" t="s">
        <v>45103</v>
      </c>
      <c r="S7566" t="s">
        <v>45270</v>
      </c>
      <c r="T7566" t="s">
        <v>47164</v>
      </c>
      <c r="U7566" t="s">
        <v>53769</v>
      </c>
      <c r="W7566" t="s">
        <v>43701</v>
      </c>
      <c r="X7566" t="s">
        <v>45104</v>
      </c>
    </row>
    <row r="7567" spans="1:24">
      <c r="A7567">
        <f>HYPERLINK("https://www.philgeps.gov.ph/GEPSNONPILOT/Tender/SplashBidNoticeAbstractUI.aspx?menuIndex=3&amp;refID=7036868&amp;Result=3","7036868")</f>
        <v>0</v>
      </c>
      <c r="B7567" t="s">
        <v>2225</v>
      </c>
      <c r="C7567" t="s">
        <v>10425</v>
      </c>
      <c r="D7567" t="s">
        <v>18073</v>
      </c>
      <c r="E7567" t="s">
        <v>24756</v>
      </c>
      <c r="F7567" t="s">
        <v>31574</v>
      </c>
      <c r="G7567" t="s">
        <v>31582</v>
      </c>
      <c r="H7567" t="s">
        <v>31591</v>
      </c>
      <c r="I7567" t="s">
        <v>8822</v>
      </c>
      <c r="J7567" t="s">
        <v>32203</v>
      </c>
      <c r="K7567" t="s">
        <v>41282</v>
      </c>
      <c r="M7567" t="s">
        <v>43918</v>
      </c>
      <c r="N7567" t="s">
        <v>45095</v>
      </c>
      <c r="O7567" t="s">
        <v>45096</v>
      </c>
      <c r="P7567">
        <v>0</v>
      </c>
      <c r="Q7567">
        <v>3</v>
      </c>
      <c r="R7567" t="s">
        <v>45103</v>
      </c>
      <c r="S7567" t="s">
        <v>45270</v>
      </c>
      <c r="T7567" t="s">
        <v>46992</v>
      </c>
      <c r="U7567" t="s">
        <v>53770</v>
      </c>
      <c r="W7567" t="s">
        <v>43918</v>
      </c>
      <c r="X7567" t="s">
        <v>45104</v>
      </c>
    </row>
    <row r="7568" spans="1:24">
      <c r="A7568">
        <f>HYPERLINK("https://www.philgeps.gov.ph/GEPSNONPILOT/Tender/SplashBidNoticeAbstractUI.aspx?menuIndex=3&amp;refID=7036880&amp;Result=3","7036880")</f>
        <v>0</v>
      </c>
      <c r="B7568" t="s">
        <v>524</v>
      </c>
      <c r="C7568" t="s">
        <v>10426</v>
      </c>
      <c r="D7568" t="s">
        <v>18094</v>
      </c>
      <c r="E7568" t="s">
        <v>24757</v>
      </c>
      <c r="F7568" t="s">
        <v>31574</v>
      </c>
      <c r="G7568" t="s">
        <v>31582</v>
      </c>
      <c r="H7568" t="s">
        <v>31590</v>
      </c>
      <c r="I7568" t="s">
        <v>4354</v>
      </c>
      <c r="J7568" t="s">
        <v>36553</v>
      </c>
      <c r="K7568" t="s">
        <v>41186</v>
      </c>
      <c r="M7568" t="s">
        <v>43926</v>
      </c>
      <c r="N7568" t="s">
        <v>45095</v>
      </c>
      <c r="O7568" t="s">
        <v>45096</v>
      </c>
      <c r="P7568">
        <v>0</v>
      </c>
      <c r="Q7568">
        <v>1</v>
      </c>
      <c r="R7568" t="s">
        <v>45103</v>
      </c>
      <c r="S7568" t="s">
        <v>45270</v>
      </c>
      <c r="T7568" t="s">
        <v>47000</v>
      </c>
      <c r="U7568" t="s">
        <v>53771</v>
      </c>
      <c r="W7568" t="s">
        <v>43926</v>
      </c>
      <c r="X7568" t="s">
        <v>45104</v>
      </c>
    </row>
    <row r="7569" spans="1:24">
      <c r="A7569">
        <f>HYPERLINK("https://www.philgeps.gov.ph/GEPSNONPILOT/Tender/SplashBidNoticeAbstractUI.aspx?menuIndex=3&amp;refID=7036876&amp;Result=3","7036876")</f>
        <v>0</v>
      </c>
      <c r="B7569" t="s">
        <v>1008</v>
      </c>
      <c r="C7569" t="s">
        <v>10427</v>
      </c>
      <c r="D7569" t="s">
        <v>18028</v>
      </c>
      <c r="E7569" t="s">
        <v>24758</v>
      </c>
      <c r="F7569" t="s">
        <v>31574</v>
      </c>
      <c r="G7569" t="s">
        <v>31584</v>
      </c>
      <c r="H7569" t="s">
        <v>31590</v>
      </c>
      <c r="I7569" t="s">
        <v>31600</v>
      </c>
      <c r="J7569" t="s">
        <v>36554</v>
      </c>
      <c r="K7569" t="s">
        <v>41186</v>
      </c>
      <c r="M7569" t="s">
        <v>42548</v>
      </c>
      <c r="N7569" t="s">
        <v>45095</v>
      </c>
      <c r="O7569" t="s">
        <v>45096</v>
      </c>
      <c r="P7569">
        <v>0</v>
      </c>
      <c r="Q7569">
        <v>0</v>
      </c>
      <c r="R7569" t="s">
        <v>45103</v>
      </c>
      <c r="S7569" t="s">
        <v>45270</v>
      </c>
      <c r="T7569" t="s">
        <v>46957</v>
      </c>
      <c r="U7569" t="s">
        <v>53772</v>
      </c>
      <c r="V7569" t="s">
        <v>60648</v>
      </c>
      <c r="W7569" t="s">
        <v>42548</v>
      </c>
      <c r="X7569" t="s">
        <v>45104</v>
      </c>
    </row>
    <row r="7570" spans="1:24">
      <c r="A7570">
        <f>HYPERLINK("https://www.philgeps.gov.ph/GEPSNONPILOT/Tender/SplashBidNoticeAbstractUI.aspx?menuIndex=3&amp;refID=7036861&amp;Result=3","7036861")</f>
        <v>0</v>
      </c>
      <c r="B7570" t="s">
        <v>2222</v>
      </c>
      <c r="C7570" t="s">
        <v>10428</v>
      </c>
      <c r="D7570" t="s">
        <v>18083</v>
      </c>
      <c r="E7570" t="s">
        <v>21381</v>
      </c>
      <c r="F7570" t="s">
        <v>31574</v>
      </c>
      <c r="G7570" t="s">
        <v>31582</v>
      </c>
      <c r="H7570" t="s">
        <v>31591</v>
      </c>
      <c r="I7570" t="s">
        <v>8822</v>
      </c>
      <c r="J7570" t="s">
        <v>31947</v>
      </c>
      <c r="K7570" t="s">
        <v>41193</v>
      </c>
      <c r="M7570" t="s">
        <v>43914</v>
      </c>
      <c r="N7570" t="s">
        <v>45095</v>
      </c>
      <c r="O7570" t="s">
        <v>45096</v>
      </c>
      <c r="P7570">
        <v>0</v>
      </c>
      <c r="Q7570">
        <v>0</v>
      </c>
      <c r="R7570" t="s">
        <v>45103</v>
      </c>
      <c r="S7570" t="s">
        <v>45270</v>
      </c>
      <c r="T7570" t="s">
        <v>47000</v>
      </c>
      <c r="U7570" t="s">
        <v>53773</v>
      </c>
      <c r="V7570" t="s">
        <v>60649</v>
      </c>
      <c r="W7570" t="s">
        <v>43914</v>
      </c>
      <c r="X7570" t="s">
        <v>45104</v>
      </c>
    </row>
    <row r="7571" spans="1:24">
      <c r="A7571">
        <f>HYPERLINK("https://www.philgeps.gov.ph/GEPSNONPILOT/Tender/SplashBidNoticeAbstractUI.aspx?menuIndex=3&amp;refID=7036864&amp;Result=3","7036864")</f>
        <v>0</v>
      </c>
      <c r="B7571" t="s">
        <v>2075</v>
      </c>
      <c r="C7571" t="s">
        <v>10429</v>
      </c>
      <c r="D7571" t="s">
        <v>18073</v>
      </c>
      <c r="E7571" t="s">
        <v>24759</v>
      </c>
      <c r="F7571" t="s">
        <v>31574</v>
      </c>
      <c r="G7571" t="s">
        <v>31582</v>
      </c>
      <c r="H7571" t="s">
        <v>31591</v>
      </c>
      <c r="I7571" t="s">
        <v>8822</v>
      </c>
      <c r="J7571" t="s">
        <v>31935</v>
      </c>
      <c r="K7571" t="s">
        <v>41228</v>
      </c>
      <c r="M7571" t="s">
        <v>43749</v>
      </c>
      <c r="N7571" t="s">
        <v>45095</v>
      </c>
      <c r="O7571" t="s">
        <v>45096</v>
      </c>
      <c r="P7571">
        <v>0</v>
      </c>
      <c r="Q7571">
        <v>0</v>
      </c>
      <c r="R7571" t="s">
        <v>45103</v>
      </c>
      <c r="S7571" t="s">
        <v>45270</v>
      </c>
      <c r="T7571" t="s">
        <v>47266</v>
      </c>
      <c r="U7571" t="s">
        <v>53774</v>
      </c>
      <c r="W7571" t="s">
        <v>61725</v>
      </c>
      <c r="X7571" t="s">
        <v>45104</v>
      </c>
    </row>
    <row r="7572" spans="1:24">
      <c r="A7572">
        <f>HYPERLINK("https://www.philgeps.gov.ph/GEPSNONPILOT/Tender/SplashBidNoticeAbstractUI.aspx?menuIndex=3&amp;refID=7036900&amp;Result=3","7036900")</f>
        <v>0</v>
      </c>
      <c r="B7572" t="s">
        <v>2222</v>
      </c>
      <c r="C7572" t="s">
        <v>10430</v>
      </c>
      <c r="D7572" t="s">
        <v>18083</v>
      </c>
      <c r="E7572" t="s">
        <v>24760</v>
      </c>
      <c r="F7572" t="s">
        <v>31574</v>
      </c>
      <c r="G7572" t="s">
        <v>31582</v>
      </c>
      <c r="H7572" t="s">
        <v>31591</v>
      </c>
      <c r="I7572" t="s">
        <v>8822</v>
      </c>
      <c r="J7572" t="s">
        <v>31947</v>
      </c>
      <c r="K7572" t="s">
        <v>41193</v>
      </c>
      <c r="M7572" t="s">
        <v>43914</v>
      </c>
      <c r="N7572" t="s">
        <v>45095</v>
      </c>
      <c r="O7572" t="s">
        <v>45096</v>
      </c>
      <c r="P7572">
        <v>0</v>
      </c>
      <c r="Q7572">
        <v>0</v>
      </c>
      <c r="R7572" t="s">
        <v>45103</v>
      </c>
      <c r="S7572" t="s">
        <v>45270</v>
      </c>
      <c r="T7572" t="s">
        <v>47322</v>
      </c>
      <c r="U7572" t="s">
        <v>53775</v>
      </c>
      <c r="V7572" t="s">
        <v>60650</v>
      </c>
      <c r="W7572" t="s">
        <v>43914</v>
      </c>
      <c r="X7572" t="s">
        <v>45104</v>
      </c>
    </row>
    <row r="7573" spans="1:24">
      <c r="A7573">
        <f>HYPERLINK("https://www.philgeps.gov.ph/GEPSNONPILOT/Tender/SplashBidNoticeAbstractUI.aspx?menuIndex=3&amp;refID=7036872&amp;Result=3","7036872")</f>
        <v>0</v>
      </c>
      <c r="B7573" t="s">
        <v>2224</v>
      </c>
      <c r="C7573" t="s">
        <v>10431</v>
      </c>
      <c r="E7573" t="s">
        <v>22814</v>
      </c>
      <c r="F7573" t="s">
        <v>31574</v>
      </c>
      <c r="G7573" t="s">
        <v>31582</v>
      </c>
      <c r="H7573" t="s">
        <v>31590</v>
      </c>
      <c r="I7573" t="s">
        <v>6800</v>
      </c>
      <c r="J7573" t="s">
        <v>33106</v>
      </c>
      <c r="K7573" t="s">
        <v>41184</v>
      </c>
      <c r="M7573" t="s">
        <v>43917</v>
      </c>
      <c r="N7573" t="s">
        <v>45095</v>
      </c>
      <c r="O7573" t="s">
        <v>45096</v>
      </c>
      <c r="P7573">
        <v>0</v>
      </c>
      <c r="Q7573">
        <v>0</v>
      </c>
      <c r="R7573" t="s">
        <v>45103</v>
      </c>
      <c r="S7573" t="s">
        <v>45270</v>
      </c>
      <c r="T7573" t="s">
        <v>47050</v>
      </c>
      <c r="U7573" t="s">
        <v>53754</v>
      </c>
      <c r="W7573" t="s">
        <v>43917</v>
      </c>
      <c r="X7573" t="s">
        <v>45104</v>
      </c>
    </row>
    <row r="7574" spans="1:24">
      <c r="A7574">
        <f>HYPERLINK("https://www.philgeps.gov.ph/GEPSNONPILOT/Tender/SplashBidNoticeAbstractUI.aspx?menuIndex=3&amp;refID=7036890&amp;Result=3","7036890")</f>
        <v>0</v>
      </c>
      <c r="B7574" t="s">
        <v>659</v>
      </c>
      <c r="C7574" t="s">
        <v>10432</v>
      </c>
      <c r="D7574" t="s">
        <v>18063</v>
      </c>
      <c r="E7574" t="s">
        <v>24761</v>
      </c>
      <c r="F7574" t="s">
        <v>31574</v>
      </c>
      <c r="G7574" t="s">
        <v>31583</v>
      </c>
      <c r="H7574" t="s">
        <v>31590</v>
      </c>
      <c r="I7574" t="s">
        <v>31673</v>
      </c>
      <c r="J7574" t="s">
        <v>31782</v>
      </c>
      <c r="K7574" t="s">
        <v>41193</v>
      </c>
      <c r="M7574" t="s">
        <v>42163</v>
      </c>
      <c r="N7574" t="s">
        <v>45095</v>
      </c>
      <c r="O7574" t="s">
        <v>45096</v>
      </c>
      <c r="P7574">
        <v>0</v>
      </c>
      <c r="Q7574">
        <v>0</v>
      </c>
      <c r="R7574" t="s">
        <v>45103</v>
      </c>
      <c r="S7574" t="s">
        <v>45270</v>
      </c>
      <c r="T7574" t="s">
        <v>46904</v>
      </c>
      <c r="U7574" t="s">
        <v>53776</v>
      </c>
      <c r="W7574" t="s">
        <v>42163</v>
      </c>
      <c r="X7574" t="s">
        <v>45104</v>
      </c>
    </row>
    <row r="7575" spans="1:24">
      <c r="A7575">
        <f>HYPERLINK("https://www.philgeps.gov.ph/GEPSNONPILOT/Tender/SplashBidNoticeAbstractUI.aspx?menuIndex=3&amp;refID=7036886&amp;Result=3","7036886")</f>
        <v>0</v>
      </c>
      <c r="B7575" t="s">
        <v>908</v>
      </c>
      <c r="C7575" t="s">
        <v>10433</v>
      </c>
      <c r="D7575" t="s">
        <v>18066</v>
      </c>
      <c r="E7575" t="s">
        <v>23131</v>
      </c>
      <c r="F7575" t="s">
        <v>31574</v>
      </c>
      <c r="G7575" t="s">
        <v>31582</v>
      </c>
      <c r="H7575" t="s">
        <v>31590</v>
      </c>
      <c r="I7575" t="s">
        <v>7185</v>
      </c>
      <c r="J7575" t="s">
        <v>32232</v>
      </c>
      <c r="K7575" t="s">
        <v>41193</v>
      </c>
      <c r="M7575" t="s">
        <v>42439</v>
      </c>
      <c r="N7575" t="s">
        <v>45095</v>
      </c>
      <c r="O7575" t="s">
        <v>45096</v>
      </c>
      <c r="P7575">
        <v>0</v>
      </c>
      <c r="Q7575">
        <v>2</v>
      </c>
      <c r="R7575" t="s">
        <v>45103</v>
      </c>
      <c r="S7575" t="s">
        <v>45270</v>
      </c>
      <c r="T7575" t="s">
        <v>46985</v>
      </c>
      <c r="U7575" t="s">
        <v>53777</v>
      </c>
      <c r="W7575" t="s">
        <v>42439</v>
      </c>
      <c r="X7575" t="s">
        <v>45104</v>
      </c>
    </row>
    <row r="7576" spans="1:24">
      <c r="A7576">
        <f>HYPERLINK("https://www.philgeps.gov.ph/GEPSNONPILOT/Tender/SplashBidNoticeAbstractUI.aspx?menuIndex=3&amp;refID=7036894&amp;Result=3","7036894")</f>
        <v>0</v>
      </c>
      <c r="B7576" t="s">
        <v>2211</v>
      </c>
      <c r="C7576" t="s">
        <v>10434</v>
      </c>
      <c r="D7576" t="s">
        <v>18034</v>
      </c>
      <c r="E7576" t="s">
        <v>24762</v>
      </c>
      <c r="F7576" t="s">
        <v>31574</v>
      </c>
      <c r="G7576" t="s">
        <v>31582</v>
      </c>
      <c r="H7576" t="s">
        <v>31590</v>
      </c>
      <c r="I7576" t="s">
        <v>8258</v>
      </c>
      <c r="J7576" t="s">
        <v>36555</v>
      </c>
      <c r="K7576" t="s">
        <v>41193</v>
      </c>
      <c r="M7576" t="s">
        <v>43927</v>
      </c>
      <c r="N7576" t="s">
        <v>45095</v>
      </c>
      <c r="O7576" t="s">
        <v>45096</v>
      </c>
      <c r="P7576">
        <v>0</v>
      </c>
      <c r="Q7576">
        <v>7</v>
      </c>
      <c r="R7576" t="s">
        <v>45103</v>
      </c>
      <c r="S7576" t="s">
        <v>45270</v>
      </c>
      <c r="T7576" t="s">
        <v>47230</v>
      </c>
      <c r="U7576" t="s">
        <v>53778</v>
      </c>
      <c r="W7576" t="s">
        <v>43927</v>
      </c>
      <c r="X7576" t="s">
        <v>45104</v>
      </c>
    </row>
    <row r="7577" spans="1:24">
      <c r="A7577">
        <f>HYPERLINK("https://www.philgeps.gov.ph/GEPSNONPILOT/Tender/SplashBidNoticeAbstractUI.aspx?menuIndex=3&amp;refID=7036884&amp;Result=3","7036884")</f>
        <v>0</v>
      </c>
      <c r="B7577" t="s">
        <v>2225</v>
      </c>
      <c r="C7577" t="s">
        <v>10435</v>
      </c>
      <c r="D7577" t="s">
        <v>18073</v>
      </c>
      <c r="E7577" t="s">
        <v>24763</v>
      </c>
      <c r="F7577" t="s">
        <v>31574</v>
      </c>
      <c r="G7577" t="s">
        <v>31582</v>
      </c>
      <c r="H7577" t="s">
        <v>31591</v>
      </c>
      <c r="I7577" t="s">
        <v>8822</v>
      </c>
      <c r="J7577" t="s">
        <v>36170</v>
      </c>
      <c r="K7577" t="s">
        <v>41303</v>
      </c>
      <c r="M7577" t="s">
        <v>43918</v>
      </c>
      <c r="N7577" t="s">
        <v>45095</v>
      </c>
      <c r="O7577" t="s">
        <v>45096</v>
      </c>
      <c r="P7577">
        <v>0</v>
      </c>
      <c r="Q7577">
        <v>3</v>
      </c>
      <c r="R7577" t="s">
        <v>45103</v>
      </c>
      <c r="S7577" t="s">
        <v>45270</v>
      </c>
      <c r="T7577" t="s">
        <v>46992</v>
      </c>
      <c r="U7577" t="s">
        <v>53779</v>
      </c>
      <c r="W7577" t="s">
        <v>43918</v>
      </c>
      <c r="X7577" t="s">
        <v>45104</v>
      </c>
    </row>
    <row r="7578" spans="1:24">
      <c r="A7578">
        <f>HYPERLINK("https://www.philgeps.gov.ph/GEPSNONPILOT/Tender/SplashBidNoticeAbstractUI.aspx?menuIndex=3&amp;refID=7036885&amp;Result=3","7036885")</f>
        <v>0</v>
      </c>
      <c r="B7578" t="s">
        <v>1531</v>
      </c>
      <c r="C7578" t="s">
        <v>10436</v>
      </c>
      <c r="D7578" t="s">
        <v>18044</v>
      </c>
      <c r="E7578" t="s">
        <v>24764</v>
      </c>
      <c r="F7578" t="s">
        <v>31574</v>
      </c>
      <c r="G7578" t="s">
        <v>31582</v>
      </c>
      <c r="H7578" t="s">
        <v>31591</v>
      </c>
      <c r="I7578" t="s">
        <v>8822</v>
      </c>
      <c r="J7578" t="s">
        <v>34707</v>
      </c>
      <c r="K7578" t="s">
        <v>41198</v>
      </c>
      <c r="M7578" t="s">
        <v>43122</v>
      </c>
      <c r="N7578" t="s">
        <v>45095</v>
      </c>
      <c r="O7578" t="s">
        <v>45096</v>
      </c>
      <c r="P7578">
        <v>0</v>
      </c>
      <c r="Q7578">
        <v>3</v>
      </c>
      <c r="R7578" t="s">
        <v>45103</v>
      </c>
      <c r="S7578" t="s">
        <v>45270</v>
      </c>
      <c r="T7578" t="s">
        <v>47000</v>
      </c>
      <c r="U7578" t="s">
        <v>53701</v>
      </c>
      <c r="W7578" t="s">
        <v>43122</v>
      </c>
      <c r="X7578" t="s">
        <v>45104</v>
      </c>
    </row>
    <row r="7579" spans="1:24">
      <c r="A7579">
        <f>HYPERLINK("https://www.philgeps.gov.ph/GEPSNONPILOT/Tender/SplashBidNoticeAbstractUI.aspx?menuIndex=3&amp;refID=7036905&amp;Result=3","7036905")</f>
        <v>0</v>
      </c>
      <c r="B7579" t="s">
        <v>1589</v>
      </c>
      <c r="C7579" t="s">
        <v>10437</v>
      </c>
      <c r="D7579" t="s">
        <v>18022</v>
      </c>
      <c r="E7579" t="s">
        <v>24765</v>
      </c>
      <c r="F7579" t="s">
        <v>31574</v>
      </c>
      <c r="G7579" t="s">
        <v>31582</v>
      </c>
      <c r="H7579" t="s">
        <v>31590</v>
      </c>
      <c r="I7579" t="s">
        <v>3487</v>
      </c>
      <c r="J7579" t="s">
        <v>36556</v>
      </c>
      <c r="K7579" t="s">
        <v>41196</v>
      </c>
      <c r="M7579" t="s">
        <v>43910</v>
      </c>
      <c r="N7579" t="s">
        <v>45095</v>
      </c>
      <c r="O7579" t="s">
        <v>45096</v>
      </c>
      <c r="P7579">
        <v>0</v>
      </c>
      <c r="Q7579">
        <v>0</v>
      </c>
      <c r="R7579" t="s">
        <v>45103</v>
      </c>
      <c r="S7579" t="s">
        <v>45270</v>
      </c>
      <c r="T7579" t="s">
        <v>46985</v>
      </c>
      <c r="U7579" t="s">
        <v>51488</v>
      </c>
      <c r="W7579" t="s">
        <v>43910</v>
      </c>
      <c r="X7579" t="s">
        <v>45104</v>
      </c>
    </row>
    <row r="7580" spans="1:24">
      <c r="A7580">
        <f>HYPERLINK("https://www.philgeps.gov.ph/GEPSNONPILOT/Tender/SplashBidNoticeAbstractUI.aspx?menuIndex=3&amp;refID=7036888&amp;Result=3","7036888")</f>
        <v>0</v>
      </c>
      <c r="B7580" t="s">
        <v>477</v>
      </c>
      <c r="C7580" t="s">
        <v>10438</v>
      </c>
      <c r="D7580" t="s">
        <v>18062</v>
      </c>
      <c r="E7580" t="s">
        <v>24766</v>
      </c>
      <c r="F7580" t="s">
        <v>31574</v>
      </c>
      <c r="G7580" t="s">
        <v>31581</v>
      </c>
      <c r="H7580" t="s">
        <v>31590</v>
      </c>
      <c r="I7580" t="s">
        <v>4046</v>
      </c>
      <c r="J7580" t="s">
        <v>36557</v>
      </c>
      <c r="K7580" t="s">
        <v>41190</v>
      </c>
      <c r="M7580" t="s">
        <v>41973</v>
      </c>
      <c r="N7580" t="s">
        <v>45095</v>
      </c>
      <c r="O7580" t="s">
        <v>45096</v>
      </c>
      <c r="P7580">
        <v>0</v>
      </c>
      <c r="Q7580">
        <v>1</v>
      </c>
      <c r="R7580" t="s">
        <v>45103</v>
      </c>
      <c r="S7580" t="s">
        <v>45270</v>
      </c>
      <c r="T7580" t="s">
        <v>47067</v>
      </c>
      <c r="U7580" t="s">
        <v>53780</v>
      </c>
      <c r="W7580" t="s">
        <v>41973</v>
      </c>
      <c r="X7580" t="s">
        <v>45104</v>
      </c>
    </row>
    <row r="7581" spans="1:24">
      <c r="A7581">
        <f>HYPERLINK("https://www.philgeps.gov.ph/GEPSNONPILOT/Tender/SplashBidNoticeAbstractUI.aspx?menuIndex=3&amp;refID=7036893&amp;Result=3","7036893")</f>
        <v>0</v>
      </c>
      <c r="B7581" t="s">
        <v>1002</v>
      </c>
      <c r="C7581" t="s">
        <v>4493</v>
      </c>
      <c r="D7581" t="s">
        <v>18058</v>
      </c>
      <c r="E7581" t="s">
        <v>24767</v>
      </c>
      <c r="F7581" t="s">
        <v>31574</v>
      </c>
      <c r="G7581" t="s">
        <v>31582</v>
      </c>
      <c r="H7581" t="s">
        <v>31590</v>
      </c>
      <c r="I7581" t="s">
        <v>4046</v>
      </c>
      <c r="J7581" t="s">
        <v>36558</v>
      </c>
      <c r="K7581" t="s">
        <v>41289</v>
      </c>
      <c r="M7581" t="s">
        <v>42539</v>
      </c>
      <c r="N7581" t="s">
        <v>45095</v>
      </c>
      <c r="O7581" t="s">
        <v>45096</v>
      </c>
      <c r="P7581">
        <v>0</v>
      </c>
      <c r="Q7581">
        <v>0</v>
      </c>
      <c r="R7581" t="s">
        <v>45103</v>
      </c>
      <c r="S7581" t="s">
        <v>45270</v>
      </c>
      <c r="T7581" t="s">
        <v>46985</v>
      </c>
      <c r="U7581" t="s">
        <v>53767</v>
      </c>
      <c r="V7581" t="s">
        <v>60109</v>
      </c>
      <c r="W7581" t="s">
        <v>42539</v>
      </c>
      <c r="X7581" t="s">
        <v>45104</v>
      </c>
    </row>
    <row r="7582" spans="1:24">
      <c r="A7582">
        <f>HYPERLINK("https://www.philgeps.gov.ph/GEPSNONPILOT/Tender/SplashBidNoticeAbstractUI.aspx?menuIndex=3&amp;refID=7036916&amp;Result=3","7036916")</f>
        <v>0</v>
      </c>
      <c r="B7582" t="s">
        <v>2225</v>
      </c>
      <c r="C7582" t="s">
        <v>10439</v>
      </c>
      <c r="D7582" t="s">
        <v>18073</v>
      </c>
      <c r="E7582" t="s">
        <v>24768</v>
      </c>
      <c r="F7582" t="s">
        <v>31574</v>
      </c>
      <c r="G7582" t="s">
        <v>31582</v>
      </c>
      <c r="H7582" t="s">
        <v>31591</v>
      </c>
      <c r="I7582" t="s">
        <v>8822</v>
      </c>
      <c r="J7582" t="s">
        <v>36559</v>
      </c>
      <c r="K7582" t="s">
        <v>41219</v>
      </c>
      <c r="M7582" t="s">
        <v>43918</v>
      </c>
      <c r="N7582" t="s">
        <v>45095</v>
      </c>
      <c r="O7582" t="s">
        <v>45096</v>
      </c>
      <c r="P7582">
        <v>0</v>
      </c>
      <c r="Q7582">
        <v>3</v>
      </c>
      <c r="R7582" t="s">
        <v>45103</v>
      </c>
      <c r="S7582" t="s">
        <v>45270</v>
      </c>
      <c r="T7582" t="s">
        <v>46992</v>
      </c>
      <c r="U7582" t="s">
        <v>53781</v>
      </c>
      <c r="W7582" t="s">
        <v>43918</v>
      </c>
      <c r="X7582" t="s">
        <v>45104</v>
      </c>
    </row>
    <row r="7583" spans="1:24">
      <c r="A7583">
        <f>HYPERLINK("https://www.philgeps.gov.ph/GEPSNONPILOT/Tender/SplashBidNoticeAbstractUI.aspx?menuIndex=3&amp;refID=7036939&amp;Result=3","7036939")</f>
        <v>0</v>
      </c>
      <c r="B7583" t="s">
        <v>2150</v>
      </c>
      <c r="C7583" t="s">
        <v>10440</v>
      </c>
      <c r="D7583" t="s">
        <v>18062</v>
      </c>
      <c r="E7583" t="s">
        <v>24769</v>
      </c>
      <c r="F7583" t="s">
        <v>31574</v>
      </c>
      <c r="G7583" t="s">
        <v>31583</v>
      </c>
      <c r="H7583" t="s">
        <v>31590</v>
      </c>
      <c r="I7583" t="s">
        <v>4046</v>
      </c>
      <c r="J7583" t="s">
        <v>36560</v>
      </c>
      <c r="K7583" t="s">
        <v>41193</v>
      </c>
      <c r="M7583" t="s">
        <v>43832</v>
      </c>
      <c r="N7583" t="s">
        <v>45095</v>
      </c>
      <c r="O7583" t="s">
        <v>45096</v>
      </c>
      <c r="P7583">
        <v>0</v>
      </c>
      <c r="Q7583">
        <v>0</v>
      </c>
      <c r="R7583" t="s">
        <v>45103</v>
      </c>
      <c r="S7583" t="s">
        <v>45270</v>
      </c>
      <c r="T7583" t="s">
        <v>47183</v>
      </c>
      <c r="U7583" t="s">
        <v>53782</v>
      </c>
      <c r="W7583" t="s">
        <v>43832</v>
      </c>
      <c r="X7583" t="s">
        <v>45104</v>
      </c>
    </row>
    <row r="7584" spans="1:24">
      <c r="A7584">
        <f>HYPERLINK("https://www.philgeps.gov.ph/GEPSNONPILOT/Tender/SplashBidNoticeAbstractUI.aspx?menuIndex=3&amp;refID=7036896&amp;Result=3","7036896")</f>
        <v>0</v>
      </c>
      <c r="B7584" t="s">
        <v>1936</v>
      </c>
      <c r="C7584" t="s">
        <v>10441</v>
      </c>
      <c r="D7584" t="s">
        <v>18039</v>
      </c>
      <c r="E7584" t="s">
        <v>24770</v>
      </c>
      <c r="F7584" t="s">
        <v>31575</v>
      </c>
      <c r="G7584" t="s">
        <v>31581</v>
      </c>
      <c r="H7584" t="s">
        <v>31590</v>
      </c>
      <c r="I7584" t="s">
        <v>4354</v>
      </c>
      <c r="J7584" t="s">
        <v>36561</v>
      </c>
      <c r="K7584" t="s">
        <v>41213</v>
      </c>
      <c r="M7584" t="s">
        <v>43591</v>
      </c>
      <c r="N7584" t="s">
        <v>45095</v>
      </c>
      <c r="O7584" t="s">
        <v>45096</v>
      </c>
      <c r="P7584">
        <v>0</v>
      </c>
      <c r="Q7584">
        <v>0</v>
      </c>
      <c r="R7584" t="s">
        <v>45103</v>
      </c>
      <c r="S7584" t="s">
        <v>45270</v>
      </c>
      <c r="T7584" t="s">
        <v>47067</v>
      </c>
      <c r="U7584" t="s">
        <v>53783</v>
      </c>
      <c r="W7584" t="s">
        <v>43591</v>
      </c>
      <c r="X7584" t="s">
        <v>45104</v>
      </c>
    </row>
    <row r="7585" spans="1:24">
      <c r="A7585">
        <f>HYPERLINK("https://www.philgeps.gov.ph/GEPSNONPILOT/Tender/SplashBidNoticeAbstractUI.aspx?menuIndex=3&amp;refID=7036918&amp;Result=3","7036918")</f>
        <v>0</v>
      </c>
      <c r="B7585" t="s">
        <v>1955</v>
      </c>
      <c r="C7585" t="s">
        <v>10442</v>
      </c>
      <c r="D7585" t="s">
        <v>18026</v>
      </c>
      <c r="E7585" t="s">
        <v>24771</v>
      </c>
      <c r="F7585" t="s">
        <v>31574</v>
      </c>
      <c r="G7585" t="s">
        <v>31582</v>
      </c>
      <c r="H7585" t="s">
        <v>31590</v>
      </c>
      <c r="I7585" t="s">
        <v>4046</v>
      </c>
      <c r="J7585" t="s">
        <v>36562</v>
      </c>
      <c r="K7585" t="s">
        <v>41186</v>
      </c>
      <c r="M7585" t="s">
        <v>43611</v>
      </c>
      <c r="N7585" t="s">
        <v>45095</v>
      </c>
      <c r="O7585" t="s">
        <v>45096</v>
      </c>
      <c r="P7585">
        <v>0</v>
      </c>
      <c r="Q7585">
        <v>2</v>
      </c>
      <c r="R7585" t="s">
        <v>45103</v>
      </c>
      <c r="S7585" t="s">
        <v>45270</v>
      </c>
      <c r="T7585" t="s">
        <v>46985</v>
      </c>
      <c r="U7585" t="s">
        <v>53784</v>
      </c>
      <c r="W7585" t="s">
        <v>43611</v>
      </c>
      <c r="X7585" t="s">
        <v>45104</v>
      </c>
    </row>
    <row r="7586" spans="1:24">
      <c r="A7586">
        <f>HYPERLINK("https://www.philgeps.gov.ph/GEPSNONPILOT/Tender/SplashBidNoticeAbstractUI.aspx?menuIndex=3&amp;refID=7036938&amp;Result=3","7036938")</f>
        <v>0</v>
      </c>
      <c r="B7586" t="s">
        <v>771</v>
      </c>
      <c r="C7586" t="s">
        <v>10443</v>
      </c>
      <c r="D7586" t="s">
        <v>18050</v>
      </c>
      <c r="E7586" t="s">
        <v>18490</v>
      </c>
      <c r="F7586" t="s">
        <v>31574</v>
      </c>
      <c r="G7586" t="s">
        <v>31581</v>
      </c>
      <c r="H7586" t="s">
        <v>31590</v>
      </c>
      <c r="I7586" t="s">
        <v>31595</v>
      </c>
      <c r="J7586" t="s">
        <v>36563</v>
      </c>
      <c r="K7586" t="s">
        <v>41196</v>
      </c>
      <c r="M7586" t="s">
        <v>42285</v>
      </c>
      <c r="N7586" t="s">
        <v>45095</v>
      </c>
      <c r="O7586" t="s">
        <v>45096</v>
      </c>
      <c r="P7586">
        <v>0</v>
      </c>
      <c r="Q7586">
        <v>1</v>
      </c>
      <c r="R7586" t="s">
        <v>45103</v>
      </c>
      <c r="S7586" t="s">
        <v>45270</v>
      </c>
      <c r="T7586" t="s">
        <v>47076</v>
      </c>
      <c r="U7586" t="s">
        <v>53785</v>
      </c>
      <c r="W7586" t="s">
        <v>42285</v>
      </c>
      <c r="X7586" t="s">
        <v>45104</v>
      </c>
    </row>
    <row r="7587" spans="1:24">
      <c r="A7587">
        <f>HYPERLINK("https://www.philgeps.gov.ph/GEPSNONPILOT/Tender/SplashBidNoticeAbstractUI.aspx?menuIndex=3&amp;refID=7036906&amp;Result=3","7036906")</f>
        <v>0</v>
      </c>
      <c r="B7587" t="s">
        <v>2228</v>
      </c>
      <c r="C7587" t="s">
        <v>10444</v>
      </c>
      <c r="D7587" t="s">
        <v>18035</v>
      </c>
      <c r="E7587" t="s">
        <v>24772</v>
      </c>
      <c r="F7587" t="s">
        <v>31574</v>
      </c>
      <c r="G7587" t="s">
        <v>31582</v>
      </c>
      <c r="H7587" t="s">
        <v>31591</v>
      </c>
      <c r="I7587" t="s">
        <v>8822</v>
      </c>
      <c r="J7587" t="s">
        <v>36543</v>
      </c>
      <c r="K7587" t="s">
        <v>41184</v>
      </c>
      <c r="M7587" t="s">
        <v>43921</v>
      </c>
      <c r="N7587" t="s">
        <v>45095</v>
      </c>
      <c r="O7587" t="s">
        <v>45096</v>
      </c>
      <c r="P7587">
        <v>0</v>
      </c>
      <c r="Q7587">
        <v>1</v>
      </c>
      <c r="R7587" t="s">
        <v>45103</v>
      </c>
      <c r="S7587" t="s">
        <v>45270</v>
      </c>
      <c r="T7587" t="s">
        <v>47125</v>
      </c>
      <c r="U7587" t="s">
        <v>53786</v>
      </c>
      <c r="V7587" t="s">
        <v>60432</v>
      </c>
      <c r="W7587" t="s">
        <v>43921</v>
      </c>
      <c r="X7587" t="s">
        <v>45104</v>
      </c>
    </row>
    <row r="7588" spans="1:24">
      <c r="A7588">
        <f>HYPERLINK("https://www.philgeps.gov.ph/GEPSNONPILOT/Tender/SplashBidNoticeAbstractUI.aspx?menuIndex=3&amp;refID=7036934&amp;Result=3","7036934")</f>
        <v>0</v>
      </c>
      <c r="B7588" t="s">
        <v>2225</v>
      </c>
      <c r="C7588" t="s">
        <v>10445</v>
      </c>
      <c r="D7588" t="s">
        <v>18073</v>
      </c>
      <c r="E7588" t="s">
        <v>24773</v>
      </c>
      <c r="F7588" t="s">
        <v>31574</v>
      </c>
      <c r="G7588" t="s">
        <v>31582</v>
      </c>
      <c r="H7588" t="s">
        <v>31591</v>
      </c>
      <c r="I7588" t="s">
        <v>8822</v>
      </c>
      <c r="J7588" t="s">
        <v>35706</v>
      </c>
      <c r="K7588" t="s">
        <v>41303</v>
      </c>
      <c r="M7588" t="s">
        <v>43918</v>
      </c>
      <c r="N7588" t="s">
        <v>45095</v>
      </c>
      <c r="O7588" t="s">
        <v>45096</v>
      </c>
      <c r="P7588">
        <v>0</v>
      </c>
      <c r="Q7588">
        <v>3</v>
      </c>
      <c r="R7588" t="s">
        <v>45103</v>
      </c>
      <c r="S7588" t="s">
        <v>45270</v>
      </c>
      <c r="T7588" t="s">
        <v>46992</v>
      </c>
      <c r="U7588" t="s">
        <v>53787</v>
      </c>
      <c r="W7588" t="s">
        <v>43918</v>
      </c>
      <c r="X7588" t="s">
        <v>45104</v>
      </c>
    </row>
    <row r="7589" spans="1:24">
      <c r="A7589">
        <f>HYPERLINK("https://www.philgeps.gov.ph/GEPSNONPILOT/Tender/SplashBidNoticeAbstractUI.aspx?menuIndex=3&amp;refID=7036914&amp;Result=3","7036914")</f>
        <v>0</v>
      </c>
      <c r="B7589" t="s">
        <v>82</v>
      </c>
      <c r="C7589" t="s">
        <v>10446</v>
      </c>
      <c r="D7589" t="s">
        <v>18058</v>
      </c>
      <c r="E7589" t="s">
        <v>24774</v>
      </c>
      <c r="F7589" t="s">
        <v>31574</v>
      </c>
      <c r="G7589" t="s">
        <v>31581</v>
      </c>
      <c r="H7589" t="s">
        <v>31590</v>
      </c>
      <c r="I7589" t="s">
        <v>31602</v>
      </c>
      <c r="J7589" t="s">
        <v>36564</v>
      </c>
      <c r="K7589" t="s">
        <v>41193</v>
      </c>
      <c r="M7589" t="s">
        <v>41566</v>
      </c>
      <c r="N7589" t="s">
        <v>45095</v>
      </c>
      <c r="O7589" t="s">
        <v>45096</v>
      </c>
      <c r="P7589">
        <v>0</v>
      </c>
      <c r="Q7589">
        <v>0</v>
      </c>
      <c r="R7589" t="s">
        <v>45103</v>
      </c>
      <c r="S7589" t="s">
        <v>45270</v>
      </c>
      <c r="T7589" t="s">
        <v>47301</v>
      </c>
      <c r="U7589" t="s">
        <v>53745</v>
      </c>
      <c r="W7589" t="s">
        <v>41566</v>
      </c>
      <c r="X7589" t="s">
        <v>45104</v>
      </c>
    </row>
    <row r="7590" spans="1:24">
      <c r="A7590">
        <f>HYPERLINK("https://www.philgeps.gov.ph/GEPSNONPILOT/Tender/SplashBidNoticeAbstractUI.aspx?menuIndex=3&amp;refID=7036921&amp;Result=3","7036921")</f>
        <v>0</v>
      </c>
      <c r="B7590" t="s">
        <v>2231</v>
      </c>
      <c r="C7590" t="s">
        <v>10447</v>
      </c>
      <c r="D7590" t="s">
        <v>18022</v>
      </c>
      <c r="E7590" t="s">
        <v>24775</v>
      </c>
      <c r="F7590" t="s">
        <v>31574</v>
      </c>
      <c r="G7590" t="s">
        <v>31582</v>
      </c>
      <c r="H7590" t="s">
        <v>31590</v>
      </c>
      <c r="I7590" t="s">
        <v>31595</v>
      </c>
      <c r="J7590" t="s">
        <v>31727</v>
      </c>
      <c r="K7590" t="s">
        <v>41190</v>
      </c>
      <c r="M7590" t="s">
        <v>43928</v>
      </c>
      <c r="N7590" t="s">
        <v>45095</v>
      </c>
      <c r="O7590" t="s">
        <v>45096</v>
      </c>
      <c r="P7590">
        <v>0</v>
      </c>
      <c r="Q7590">
        <v>3</v>
      </c>
      <c r="R7590" t="s">
        <v>45103</v>
      </c>
      <c r="S7590" t="s">
        <v>45270</v>
      </c>
      <c r="T7590" t="s">
        <v>46985</v>
      </c>
      <c r="U7590" t="s">
        <v>53788</v>
      </c>
      <c r="W7590" t="s">
        <v>43928</v>
      </c>
      <c r="X7590" t="s">
        <v>45104</v>
      </c>
    </row>
    <row r="7591" spans="1:24">
      <c r="A7591">
        <f>HYPERLINK("https://www.philgeps.gov.ph/GEPSNONPILOT/Tender/SplashBidNoticeAbstractUI.aspx?menuIndex=3&amp;refID=7036943&amp;Result=3","7036943")</f>
        <v>0</v>
      </c>
      <c r="B7591" t="s">
        <v>106</v>
      </c>
      <c r="C7591" t="s">
        <v>10448</v>
      </c>
      <c r="D7591" t="s">
        <v>18044</v>
      </c>
      <c r="E7591" t="s">
        <v>24776</v>
      </c>
      <c r="F7591" t="s">
        <v>31574</v>
      </c>
      <c r="G7591" t="s">
        <v>31582</v>
      </c>
      <c r="H7591" t="s">
        <v>31591</v>
      </c>
      <c r="I7591" t="s">
        <v>7162</v>
      </c>
      <c r="J7591" t="s">
        <v>36565</v>
      </c>
      <c r="K7591" t="s">
        <v>41189</v>
      </c>
      <c r="M7591" t="s">
        <v>41590</v>
      </c>
      <c r="N7591" t="s">
        <v>45095</v>
      </c>
      <c r="O7591" t="s">
        <v>45096</v>
      </c>
      <c r="P7591">
        <v>0</v>
      </c>
      <c r="Q7591">
        <v>2</v>
      </c>
      <c r="R7591" t="s">
        <v>45103</v>
      </c>
      <c r="S7591" t="s">
        <v>45270</v>
      </c>
      <c r="T7591" t="s">
        <v>46988</v>
      </c>
      <c r="U7591" t="s">
        <v>47578</v>
      </c>
      <c r="W7591" t="s">
        <v>41590</v>
      </c>
      <c r="X7591" t="s">
        <v>45104</v>
      </c>
    </row>
    <row r="7592" spans="1:24">
      <c r="A7592">
        <f>HYPERLINK("https://www.philgeps.gov.ph/GEPSNONPILOT/Tender/SplashBidNoticeAbstractUI.aspx?menuIndex=3&amp;refID=7036917&amp;Result=3","7036917")</f>
        <v>0</v>
      </c>
      <c r="B7592" t="s">
        <v>1936</v>
      </c>
      <c r="C7592" t="s">
        <v>10441</v>
      </c>
      <c r="D7592" t="s">
        <v>18039</v>
      </c>
      <c r="E7592" t="s">
        <v>24770</v>
      </c>
      <c r="F7592" t="s">
        <v>31575</v>
      </c>
      <c r="G7592" t="s">
        <v>31581</v>
      </c>
      <c r="H7592" t="s">
        <v>31590</v>
      </c>
      <c r="I7592" t="s">
        <v>31644</v>
      </c>
      <c r="J7592" t="s">
        <v>34888</v>
      </c>
      <c r="K7592" t="s">
        <v>41213</v>
      </c>
      <c r="M7592" t="s">
        <v>43591</v>
      </c>
      <c r="N7592" t="s">
        <v>45095</v>
      </c>
      <c r="O7592" t="s">
        <v>45096</v>
      </c>
      <c r="P7592">
        <v>0</v>
      </c>
      <c r="Q7592">
        <v>0</v>
      </c>
      <c r="R7592" t="s">
        <v>45103</v>
      </c>
      <c r="S7592" t="s">
        <v>45270</v>
      </c>
      <c r="T7592" t="s">
        <v>47067</v>
      </c>
      <c r="U7592" t="s">
        <v>53789</v>
      </c>
      <c r="W7592" t="s">
        <v>43591</v>
      </c>
      <c r="X7592" t="s">
        <v>45104</v>
      </c>
    </row>
    <row r="7593" spans="1:24">
      <c r="A7593">
        <f>HYPERLINK("https://www.philgeps.gov.ph/GEPSNONPILOT/Tender/SplashBidNoticeAbstractUI.aspx?menuIndex=3&amp;refID=7036920&amp;Result=3","7036920")</f>
        <v>0</v>
      </c>
      <c r="B7593" t="s">
        <v>2232</v>
      </c>
      <c r="C7593" t="s">
        <v>10449</v>
      </c>
      <c r="D7593" t="s">
        <v>18077</v>
      </c>
      <c r="E7593" t="s">
        <v>24777</v>
      </c>
      <c r="F7593" t="s">
        <v>31574</v>
      </c>
      <c r="G7593" t="s">
        <v>31582</v>
      </c>
      <c r="H7593" t="s">
        <v>31591</v>
      </c>
      <c r="I7593" t="s">
        <v>8822</v>
      </c>
      <c r="J7593" t="s">
        <v>36566</v>
      </c>
      <c r="K7593" t="s">
        <v>41200</v>
      </c>
      <c r="M7593" t="s">
        <v>43929</v>
      </c>
      <c r="N7593" t="s">
        <v>45095</v>
      </c>
      <c r="O7593" t="s">
        <v>45096</v>
      </c>
      <c r="P7593">
        <v>0</v>
      </c>
      <c r="Q7593">
        <v>0</v>
      </c>
      <c r="R7593" t="s">
        <v>45103</v>
      </c>
      <c r="S7593" t="s">
        <v>45270</v>
      </c>
      <c r="T7593" t="s">
        <v>47000</v>
      </c>
      <c r="U7593" t="s">
        <v>53790</v>
      </c>
      <c r="W7593" t="s">
        <v>43929</v>
      </c>
      <c r="X7593" t="s">
        <v>45104</v>
      </c>
    </row>
    <row r="7594" spans="1:24">
      <c r="A7594">
        <f>HYPERLINK("https://www.philgeps.gov.ph/GEPSNONPILOT/Tender/SplashBidNoticeAbstractUI.aspx?menuIndex=3&amp;refID=7036952&amp;Result=3","7036952")</f>
        <v>0</v>
      </c>
      <c r="B7594" t="s">
        <v>2233</v>
      </c>
      <c r="C7594" t="s">
        <v>10450</v>
      </c>
      <c r="D7594" t="s">
        <v>18096</v>
      </c>
      <c r="E7594" t="s">
        <v>24223</v>
      </c>
      <c r="F7594" t="s">
        <v>31575</v>
      </c>
      <c r="G7594" t="s">
        <v>31582</v>
      </c>
      <c r="H7594" t="s">
        <v>31590</v>
      </c>
      <c r="I7594" t="s">
        <v>31625</v>
      </c>
      <c r="J7594" t="s">
        <v>36567</v>
      </c>
      <c r="K7594" t="s">
        <v>41184</v>
      </c>
      <c r="M7594" t="s">
        <v>43930</v>
      </c>
      <c r="N7594" t="s">
        <v>45095</v>
      </c>
      <c r="O7594" t="s">
        <v>45096</v>
      </c>
      <c r="P7594">
        <v>0</v>
      </c>
      <c r="Q7594">
        <v>0</v>
      </c>
      <c r="R7594" t="s">
        <v>45103</v>
      </c>
      <c r="S7594" t="s">
        <v>45270</v>
      </c>
      <c r="T7594" t="s">
        <v>46921</v>
      </c>
      <c r="U7594" t="s">
        <v>53791</v>
      </c>
      <c r="W7594" t="s">
        <v>43930</v>
      </c>
      <c r="X7594" t="s">
        <v>45104</v>
      </c>
    </row>
    <row r="7595" spans="1:24">
      <c r="A7595">
        <f>HYPERLINK("https://www.philgeps.gov.ph/GEPSNONPILOT/Tender/SplashBidNoticeAbstractUI.aspx?menuIndex=3&amp;refID=7036924&amp;Result=3","7036924")</f>
        <v>0</v>
      </c>
      <c r="B7595" t="s">
        <v>2234</v>
      </c>
      <c r="C7595" t="s">
        <v>10451</v>
      </c>
      <c r="D7595" t="s">
        <v>18042</v>
      </c>
      <c r="E7595" t="s">
        <v>24778</v>
      </c>
      <c r="F7595" t="s">
        <v>31574</v>
      </c>
      <c r="G7595" t="s">
        <v>31582</v>
      </c>
      <c r="H7595" t="s">
        <v>31590</v>
      </c>
      <c r="I7595" t="s">
        <v>31602</v>
      </c>
      <c r="J7595" t="s">
        <v>31789</v>
      </c>
      <c r="K7595" t="s">
        <v>41193</v>
      </c>
      <c r="M7595" t="s">
        <v>43931</v>
      </c>
      <c r="N7595" t="s">
        <v>45095</v>
      </c>
      <c r="O7595" t="s">
        <v>45096</v>
      </c>
      <c r="P7595">
        <v>0</v>
      </c>
      <c r="Q7595">
        <v>0</v>
      </c>
      <c r="R7595" t="s">
        <v>45103</v>
      </c>
      <c r="S7595" t="s">
        <v>45270</v>
      </c>
      <c r="T7595" t="s">
        <v>47191</v>
      </c>
      <c r="U7595" t="s">
        <v>53792</v>
      </c>
      <c r="W7595" t="s">
        <v>43931</v>
      </c>
      <c r="X7595" t="s">
        <v>45104</v>
      </c>
    </row>
    <row r="7596" spans="1:24">
      <c r="A7596">
        <f>HYPERLINK("https://www.philgeps.gov.ph/GEPSNONPILOT/Tender/SplashBidNoticeAbstractUI.aspx?menuIndex=3&amp;refID=7036958&amp;Result=3","7036958")</f>
        <v>0</v>
      </c>
      <c r="B7596" t="s">
        <v>1936</v>
      </c>
      <c r="C7596" t="s">
        <v>10441</v>
      </c>
      <c r="D7596" t="s">
        <v>18039</v>
      </c>
      <c r="E7596" t="s">
        <v>24770</v>
      </c>
      <c r="F7596" t="s">
        <v>31575</v>
      </c>
      <c r="G7596" t="s">
        <v>31581</v>
      </c>
      <c r="H7596" t="s">
        <v>31590</v>
      </c>
      <c r="I7596" t="s">
        <v>5717</v>
      </c>
      <c r="J7596" t="s">
        <v>36568</v>
      </c>
      <c r="K7596" t="s">
        <v>41213</v>
      </c>
      <c r="M7596" t="s">
        <v>43591</v>
      </c>
      <c r="N7596" t="s">
        <v>45095</v>
      </c>
      <c r="O7596" t="s">
        <v>45096</v>
      </c>
      <c r="P7596">
        <v>0</v>
      </c>
      <c r="Q7596">
        <v>0</v>
      </c>
      <c r="R7596" t="s">
        <v>45103</v>
      </c>
      <c r="S7596" t="s">
        <v>45270</v>
      </c>
      <c r="T7596" t="s">
        <v>47067</v>
      </c>
      <c r="U7596" t="s">
        <v>53793</v>
      </c>
      <c r="W7596" t="s">
        <v>43591</v>
      </c>
      <c r="X7596" t="s">
        <v>45104</v>
      </c>
    </row>
    <row r="7597" spans="1:24">
      <c r="A7597">
        <f>HYPERLINK("https://www.philgeps.gov.ph/GEPSNONPILOT/Tender/SplashBidNoticeAbstractUI.aspx?menuIndex=3&amp;refID=7036929&amp;Result=3","7036929")</f>
        <v>0</v>
      </c>
      <c r="B7597" t="s">
        <v>1936</v>
      </c>
      <c r="C7597" t="s">
        <v>10441</v>
      </c>
      <c r="D7597" t="s">
        <v>18039</v>
      </c>
      <c r="E7597" t="s">
        <v>24770</v>
      </c>
      <c r="F7597" t="s">
        <v>31575</v>
      </c>
      <c r="G7597" t="s">
        <v>31581</v>
      </c>
      <c r="H7597" t="s">
        <v>31590</v>
      </c>
      <c r="I7597" t="s">
        <v>31608</v>
      </c>
      <c r="J7597" t="s">
        <v>34276</v>
      </c>
      <c r="K7597" t="s">
        <v>41213</v>
      </c>
      <c r="M7597" t="s">
        <v>43591</v>
      </c>
      <c r="N7597" t="s">
        <v>45095</v>
      </c>
      <c r="O7597" t="s">
        <v>45096</v>
      </c>
      <c r="P7597">
        <v>0</v>
      </c>
      <c r="Q7597">
        <v>0</v>
      </c>
      <c r="R7597" t="s">
        <v>45103</v>
      </c>
      <c r="S7597" t="s">
        <v>45270</v>
      </c>
      <c r="T7597" t="s">
        <v>47067</v>
      </c>
      <c r="U7597" t="s">
        <v>53794</v>
      </c>
      <c r="W7597" t="s">
        <v>43591</v>
      </c>
      <c r="X7597" t="s">
        <v>45104</v>
      </c>
    </row>
    <row r="7598" spans="1:24">
      <c r="A7598">
        <f>HYPERLINK("https://www.philgeps.gov.ph/GEPSNONPILOT/Tender/SplashBidNoticeAbstractUI.aspx?menuIndex=3&amp;refID=7036946&amp;Result=3","7036946")</f>
        <v>0</v>
      </c>
      <c r="B7598" t="s">
        <v>1863</v>
      </c>
      <c r="C7598" t="s">
        <v>10452</v>
      </c>
      <c r="D7598" t="s">
        <v>18052</v>
      </c>
      <c r="E7598" t="s">
        <v>24779</v>
      </c>
      <c r="F7598" t="s">
        <v>31574</v>
      </c>
      <c r="G7598" t="s">
        <v>31582</v>
      </c>
      <c r="H7598" t="s">
        <v>31590</v>
      </c>
      <c r="I7598" t="s">
        <v>4327</v>
      </c>
      <c r="J7598" t="s">
        <v>35294</v>
      </c>
      <c r="K7598" t="s">
        <v>41196</v>
      </c>
      <c r="M7598" t="s">
        <v>43502</v>
      </c>
      <c r="N7598" t="s">
        <v>45095</v>
      </c>
      <c r="O7598" t="s">
        <v>45096</v>
      </c>
      <c r="P7598">
        <v>0</v>
      </c>
      <c r="Q7598">
        <v>0</v>
      </c>
      <c r="R7598" t="s">
        <v>45103</v>
      </c>
      <c r="S7598" t="s">
        <v>45270</v>
      </c>
      <c r="T7598" t="s">
        <v>46963</v>
      </c>
      <c r="U7598" t="s">
        <v>53795</v>
      </c>
      <c r="W7598" t="s">
        <v>43502</v>
      </c>
      <c r="X7598" t="s">
        <v>45104</v>
      </c>
    </row>
    <row r="7599" spans="1:24">
      <c r="A7599">
        <f>HYPERLINK("https://www.philgeps.gov.ph/GEPSNONPILOT/Tender/SplashBidNoticeAbstractUI.aspx?menuIndex=3&amp;refID=7036931&amp;Result=3","7036931")</f>
        <v>0</v>
      </c>
      <c r="B7599" t="s">
        <v>84</v>
      </c>
      <c r="C7599" t="s">
        <v>10453</v>
      </c>
      <c r="D7599" t="s">
        <v>18022</v>
      </c>
      <c r="E7599" t="s">
        <v>24780</v>
      </c>
      <c r="F7599" t="s">
        <v>31574</v>
      </c>
      <c r="G7599" t="s">
        <v>31581</v>
      </c>
      <c r="H7599" t="s">
        <v>31590</v>
      </c>
      <c r="I7599" t="s">
        <v>14544</v>
      </c>
      <c r="J7599" t="s">
        <v>36569</v>
      </c>
      <c r="K7599" t="s">
        <v>41193</v>
      </c>
      <c r="M7599" t="s">
        <v>41568</v>
      </c>
      <c r="N7599" t="s">
        <v>45095</v>
      </c>
      <c r="O7599" t="s">
        <v>45096</v>
      </c>
      <c r="P7599">
        <v>0</v>
      </c>
      <c r="Q7599">
        <v>0</v>
      </c>
      <c r="R7599" t="s">
        <v>45103</v>
      </c>
      <c r="S7599" t="s">
        <v>45270</v>
      </c>
      <c r="T7599" t="s">
        <v>46973</v>
      </c>
      <c r="U7599" t="s">
        <v>53796</v>
      </c>
      <c r="W7599" t="s">
        <v>41568</v>
      </c>
      <c r="X7599" t="s">
        <v>45104</v>
      </c>
    </row>
    <row r="7600" spans="1:24">
      <c r="A7600">
        <f>HYPERLINK("https://www.philgeps.gov.ph/GEPSNONPILOT/Tender/SplashBidNoticeAbstractUI.aspx?menuIndex=3&amp;refID=7036949&amp;Result=3","7036949")</f>
        <v>0</v>
      </c>
      <c r="B7600" t="s">
        <v>82</v>
      </c>
      <c r="C7600" t="s">
        <v>10454</v>
      </c>
      <c r="D7600" t="s">
        <v>18058</v>
      </c>
      <c r="E7600" t="s">
        <v>24781</v>
      </c>
      <c r="F7600" t="s">
        <v>31574</v>
      </c>
      <c r="G7600" t="s">
        <v>31581</v>
      </c>
      <c r="H7600" t="s">
        <v>31590</v>
      </c>
      <c r="I7600" t="s">
        <v>14544</v>
      </c>
      <c r="J7600" t="s">
        <v>31726</v>
      </c>
      <c r="K7600" t="s">
        <v>41193</v>
      </c>
      <c r="M7600" t="s">
        <v>41566</v>
      </c>
      <c r="N7600" t="s">
        <v>45095</v>
      </c>
      <c r="O7600" t="s">
        <v>45096</v>
      </c>
      <c r="P7600">
        <v>0</v>
      </c>
      <c r="Q7600">
        <v>1</v>
      </c>
      <c r="R7600" t="s">
        <v>45103</v>
      </c>
      <c r="S7600" t="s">
        <v>45270</v>
      </c>
      <c r="T7600" t="s">
        <v>47301</v>
      </c>
      <c r="U7600" t="s">
        <v>53797</v>
      </c>
      <c r="W7600" t="s">
        <v>41566</v>
      </c>
      <c r="X7600" t="s">
        <v>45104</v>
      </c>
    </row>
    <row r="7601" spans="1:24">
      <c r="A7601">
        <f>HYPERLINK("https://www.philgeps.gov.ph/GEPSNONPILOT/Tender/SplashBidNoticeAbstractUI.aspx?menuIndex=3&amp;refID=7036959&amp;Result=3","7036959")</f>
        <v>0</v>
      </c>
      <c r="B7601" t="s">
        <v>2225</v>
      </c>
      <c r="C7601" t="s">
        <v>10455</v>
      </c>
      <c r="D7601" t="s">
        <v>18073</v>
      </c>
      <c r="E7601" t="s">
        <v>24782</v>
      </c>
      <c r="F7601" t="s">
        <v>31574</v>
      </c>
      <c r="G7601" t="s">
        <v>31582</v>
      </c>
      <c r="H7601" t="s">
        <v>31591</v>
      </c>
      <c r="I7601" t="s">
        <v>8822</v>
      </c>
      <c r="J7601" t="s">
        <v>36570</v>
      </c>
      <c r="K7601" t="s">
        <v>41303</v>
      </c>
      <c r="M7601" t="s">
        <v>43918</v>
      </c>
      <c r="N7601" t="s">
        <v>45095</v>
      </c>
      <c r="O7601" t="s">
        <v>45096</v>
      </c>
      <c r="P7601">
        <v>0</v>
      </c>
      <c r="Q7601">
        <v>3</v>
      </c>
      <c r="R7601" t="s">
        <v>45103</v>
      </c>
      <c r="S7601" t="s">
        <v>45270</v>
      </c>
      <c r="T7601" t="s">
        <v>46992</v>
      </c>
      <c r="U7601" t="s">
        <v>53798</v>
      </c>
      <c r="W7601" t="s">
        <v>43918</v>
      </c>
      <c r="X7601" t="s">
        <v>45104</v>
      </c>
    </row>
    <row r="7602" spans="1:24">
      <c r="A7602">
        <f>HYPERLINK("https://www.philgeps.gov.ph/GEPSNONPILOT/Tender/SplashBidNoticeAbstractUI.aspx?menuIndex=3&amp;refID=7036956&amp;Result=3","7036956")</f>
        <v>0</v>
      </c>
      <c r="B7602" t="s">
        <v>2211</v>
      </c>
      <c r="C7602" t="s">
        <v>10456</v>
      </c>
      <c r="D7602" t="s">
        <v>18034</v>
      </c>
      <c r="E7602" t="s">
        <v>24783</v>
      </c>
      <c r="F7602" t="s">
        <v>31574</v>
      </c>
      <c r="G7602" t="s">
        <v>31582</v>
      </c>
      <c r="H7602" t="s">
        <v>31590</v>
      </c>
      <c r="I7602" t="s">
        <v>7185</v>
      </c>
      <c r="J7602" t="s">
        <v>36571</v>
      </c>
      <c r="K7602" t="s">
        <v>41193</v>
      </c>
      <c r="M7602" t="s">
        <v>43927</v>
      </c>
      <c r="N7602" t="s">
        <v>45095</v>
      </c>
      <c r="O7602" t="s">
        <v>45096</v>
      </c>
      <c r="P7602">
        <v>0</v>
      </c>
      <c r="Q7602">
        <v>1</v>
      </c>
      <c r="R7602" t="s">
        <v>45103</v>
      </c>
      <c r="S7602" t="s">
        <v>45270</v>
      </c>
      <c r="T7602" t="s">
        <v>47021</v>
      </c>
      <c r="U7602" t="s">
        <v>53799</v>
      </c>
      <c r="W7602" t="s">
        <v>43927</v>
      </c>
      <c r="X7602" t="s">
        <v>45104</v>
      </c>
    </row>
    <row r="7603" spans="1:24">
      <c r="A7603">
        <f>HYPERLINK("https://www.philgeps.gov.ph/GEPSNONPILOT/Tender/SplashBidNoticeAbstractUI.aspx?menuIndex=3&amp;refID=7036971&amp;Result=3","7036971")</f>
        <v>0</v>
      </c>
      <c r="B7603" t="s">
        <v>2235</v>
      </c>
      <c r="C7603" t="s">
        <v>10457</v>
      </c>
      <c r="D7603" t="s">
        <v>18044</v>
      </c>
      <c r="E7603" t="s">
        <v>18788</v>
      </c>
      <c r="F7603" t="s">
        <v>31574</v>
      </c>
      <c r="G7603" t="s">
        <v>31582</v>
      </c>
      <c r="H7603" t="s">
        <v>31591</v>
      </c>
      <c r="I7603" t="s">
        <v>8822</v>
      </c>
      <c r="J7603" t="s">
        <v>36572</v>
      </c>
      <c r="K7603" t="s">
        <v>41186</v>
      </c>
      <c r="M7603" t="s">
        <v>43932</v>
      </c>
      <c r="N7603" t="s">
        <v>45095</v>
      </c>
      <c r="O7603" t="s">
        <v>45096</v>
      </c>
      <c r="P7603">
        <v>0</v>
      </c>
      <c r="Q7603">
        <v>0</v>
      </c>
      <c r="R7603" t="s">
        <v>45103</v>
      </c>
      <c r="S7603" t="s">
        <v>45270</v>
      </c>
      <c r="T7603" t="s">
        <v>46965</v>
      </c>
      <c r="U7603" t="s">
        <v>53800</v>
      </c>
      <c r="W7603" t="s">
        <v>43932</v>
      </c>
      <c r="X7603" t="s">
        <v>45104</v>
      </c>
    </row>
    <row r="7604" spans="1:24">
      <c r="A7604">
        <f>HYPERLINK("https://www.philgeps.gov.ph/GEPSNONPILOT/Tender/SplashBidNoticeAbstractUI.aspx?menuIndex=3&amp;refID=7036974&amp;Result=3","7036974")</f>
        <v>0</v>
      </c>
      <c r="B7604" t="s">
        <v>1531</v>
      </c>
      <c r="C7604" t="s">
        <v>10458</v>
      </c>
      <c r="D7604" t="s">
        <v>18044</v>
      </c>
      <c r="E7604" t="s">
        <v>24784</v>
      </c>
      <c r="F7604" t="s">
        <v>31574</v>
      </c>
      <c r="G7604" t="s">
        <v>31582</v>
      </c>
      <c r="H7604" t="s">
        <v>31591</v>
      </c>
      <c r="I7604" t="s">
        <v>8822</v>
      </c>
      <c r="J7604" t="s">
        <v>35362</v>
      </c>
      <c r="K7604" t="s">
        <v>41356</v>
      </c>
      <c r="M7604" t="s">
        <v>43122</v>
      </c>
      <c r="N7604" t="s">
        <v>45095</v>
      </c>
      <c r="O7604" t="s">
        <v>45096</v>
      </c>
      <c r="P7604">
        <v>0</v>
      </c>
      <c r="Q7604">
        <v>3</v>
      </c>
      <c r="R7604" t="s">
        <v>45103</v>
      </c>
      <c r="S7604" t="s">
        <v>45270</v>
      </c>
      <c r="T7604" t="s">
        <v>47093</v>
      </c>
      <c r="U7604" t="s">
        <v>53701</v>
      </c>
      <c r="W7604" t="s">
        <v>43122</v>
      </c>
      <c r="X7604" t="s">
        <v>45104</v>
      </c>
    </row>
    <row r="7605" spans="1:24">
      <c r="A7605">
        <f>HYPERLINK("https://www.philgeps.gov.ph/GEPSNONPILOT/Tender/SplashBidNoticeAbstractUI.aspx?menuIndex=3&amp;refID=7036969&amp;Result=3","7036969")</f>
        <v>0</v>
      </c>
      <c r="B7605" t="s">
        <v>363</v>
      </c>
      <c r="C7605" t="s">
        <v>10459</v>
      </c>
      <c r="D7605" t="s">
        <v>18044</v>
      </c>
      <c r="E7605" t="s">
        <v>24785</v>
      </c>
      <c r="F7605" t="s">
        <v>31574</v>
      </c>
      <c r="G7605" t="s">
        <v>31583</v>
      </c>
      <c r="H7605" t="s">
        <v>31590</v>
      </c>
      <c r="I7605" t="s">
        <v>31599</v>
      </c>
      <c r="J7605" t="s">
        <v>36573</v>
      </c>
      <c r="K7605" t="s">
        <v>41184</v>
      </c>
      <c r="M7605" t="s">
        <v>41853</v>
      </c>
      <c r="N7605" t="s">
        <v>45095</v>
      </c>
      <c r="O7605" t="s">
        <v>45096</v>
      </c>
      <c r="P7605">
        <v>0</v>
      </c>
      <c r="Q7605">
        <v>0</v>
      </c>
      <c r="R7605" t="s">
        <v>45103</v>
      </c>
      <c r="S7605" t="s">
        <v>45270</v>
      </c>
      <c r="T7605" t="s">
        <v>47177</v>
      </c>
      <c r="U7605" t="s">
        <v>53801</v>
      </c>
      <c r="W7605" t="s">
        <v>41853</v>
      </c>
      <c r="X7605" t="s">
        <v>45104</v>
      </c>
    </row>
    <row r="7606" spans="1:24">
      <c r="A7606">
        <f>HYPERLINK("https://www.philgeps.gov.ph/GEPSNONPILOT/Tender/SplashBidNoticeAbstractUI.aspx?menuIndex=3&amp;refID=7036961&amp;Result=3","7036961")</f>
        <v>0</v>
      </c>
      <c r="B7606" t="s">
        <v>1671</v>
      </c>
      <c r="C7606" t="s">
        <v>10460</v>
      </c>
      <c r="D7606" t="s">
        <v>18056</v>
      </c>
      <c r="E7606" t="s">
        <v>24786</v>
      </c>
      <c r="F7606" t="s">
        <v>31574</v>
      </c>
      <c r="G7606" t="s">
        <v>31582</v>
      </c>
      <c r="H7606" t="s">
        <v>31591</v>
      </c>
      <c r="I7606" t="s">
        <v>8822</v>
      </c>
      <c r="J7606" t="s">
        <v>31771</v>
      </c>
      <c r="K7606" t="s">
        <v>41192</v>
      </c>
      <c r="M7606" t="s">
        <v>43284</v>
      </c>
      <c r="N7606" t="s">
        <v>45095</v>
      </c>
      <c r="O7606" t="s">
        <v>45096</v>
      </c>
      <c r="P7606">
        <v>0</v>
      </c>
      <c r="Q7606">
        <v>1</v>
      </c>
      <c r="R7606" t="s">
        <v>45103</v>
      </c>
      <c r="S7606" t="s">
        <v>45270</v>
      </c>
      <c r="T7606" t="s">
        <v>46988</v>
      </c>
      <c r="U7606" t="s">
        <v>53802</v>
      </c>
      <c r="W7606" t="s">
        <v>43284</v>
      </c>
      <c r="X7606" t="s">
        <v>45104</v>
      </c>
    </row>
    <row r="7607" spans="1:24">
      <c r="A7607">
        <f>HYPERLINK("https://www.philgeps.gov.ph/GEPSNONPILOT/Tender/SplashBidNoticeAbstractUI.aspx?menuIndex=3&amp;refID=7036976&amp;Result=3","7036976")</f>
        <v>0</v>
      </c>
      <c r="B7607" t="s">
        <v>1504</v>
      </c>
      <c r="C7607" t="s">
        <v>10461</v>
      </c>
      <c r="D7607" t="s">
        <v>18043</v>
      </c>
      <c r="E7607" t="s">
        <v>24787</v>
      </c>
      <c r="F7607" t="s">
        <v>31574</v>
      </c>
      <c r="G7607" t="s">
        <v>31582</v>
      </c>
      <c r="H7607" t="s">
        <v>31590</v>
      </c>
      <c r="I7607" t="s">
        <v>31615</v>
      </c>
      <c r="J7607" t="s">
        <v>36574</v>
      </c>
      <c r="K7607" t="s">
        <v>41196</v>
      </c>
      <c r="M7607" t="s">
        <v>43090</v>
      </c>
      <c r="N7607" t="s">
        <v>45095</v>
      </c>
      <c r="O7607" t="s">
        <v>45096</v>
      </c>
      <c r="P7607">
        <v>0</v>
      </c>
      <c r="Q7607">
        <v>3</v>
      </c>
      <c r="R7607" t="s">
        <v>45103</v>
      </c>
      <c r="S7607" t="s">
        <v>45270</v>
      </c>
      <c r="T7607" t="s">
        <v>47172</v>
      </c>
      <c r="U7607" t="s">
        <v>53803</v>
      </c>
      <c r="W7607" t="s">
        <v>43090</v>
      </c>
      <c r="X7607" t="s">
        <v>45104</v>
      </c>
    </row>
    <row r="7608" spans="1:24">
      <c r="A7608">
        <f>HYPERLINK("https://www.philgeps.gov.ph/GEPSNONPILOT/Tender/SplashBidNoticeAbstractUI.aspx?menuIndex=3&amp;refID=7036973&amp;Result=3","7036973")</f>
        <v>0</v>
      </c>
      <c r="B7608" t="s">
        <v>82</v>
      </c>
      <c r="C7608" t="s">
        <v>10462</v>
      </c>
      <c r="D7608" t="s">
        <v>18058</v>
      </c>
      <c r="E7608" t="s">
        <v>24788</v>
      </c>
      <c r="F7608" t="s">
        <v>31574</v>
      </c>
      <c r="G7608" t="s">
        <v>31581</v>
      </c>
      <c r="H7608" t="s">
        <v>31590</v>
      </c>
      <c r="I7608" t="s">
        <v>31595</v>
      </c>
      <c r="J7608" t="s">
        <v>31962</v>
      </c>
      <c r="K7608" t="s">
        <v>41193</v>
      </c>
      <c r="M7608" t="s">
        <v>41566</v>
      </c>
      <c r="N7608" t="s">
        <v>45095</v>
      </c>
      <c r="O7608" t="s">
        <v>45096</v>
      </c>
      <c r="P7608">
        <v>0</v>
      </c>
      <c r="Q7608">
        <v>0</v>
      </c>
      <c r="R7608" t="s">
        <v>45103</v>
      </c>
      <c r="S7608" t="s">
        <v>45270</v>
      </c>
      <c r="T7608" t="s">
        <v>47301</v>
      </c>
      <c r="U7608" t="s">
        <v>53745</v>
      </c>
      <c r="W7608" t="s">
        <v>41566</v>
      </c>
      <c r="X7608" t="s">
        <v>45104</v>
      </c>
    </row>
    <row r="7609" spans="1:24">
      <c r="A7609">
        <f>HYPERLINK("https://www.philgeps.gov.ph/GEPSNONPILOT/Tender/SplashBidNoticeAbstractUI.aspx?menuIndex=3&amp;refID=7036960&amp;Result=3","7036960")</f>
        <v>0</v>
      </c>
      <c r="B7609" t="s">
        <v>334</v>
      </c>
      <c r="C7609" t="s">
        <v>10463</v>
      </c>
      <c r="D7609" t="s">
        <v>18050</v>
      </c>
      <c r="E7609" t="s">
        <v>24789</v>
      </c>
      <c r="F7609" t="s">
        <v>31574</v>
      </c>
      <c r="G7609" t="s">
        <v>31581</v>
      </c>
      <c r="H7609" t="s">
        <v>31590</v>
      </c>
      <c r="I7609" t="s">
        <v>31595</v>
      </c>
      <c r="J7609" t="s">
        <v>36575</v>
      </c>
      <c r="K7609" t="s">
        <v>41200</v>
      </c>
      <c r="M7609" t="s">
        <v>41822</v>
      </c>
      <c r="N7609" t="s">
        <v>45095</v>
      </c>
      <c r="O7609" t="s">
        <v>45096</v>
      </c>
      <c r="P7609">
        <v>0</v>
      </c>
      <c r="Q7609">
        <v>7</v>
      </c>
      <c r="R7609" t="s">
        <v>45103</v>
      </c>
      <c r="S7609" t="s">
        <v>45270</v>
      </c>
      <c r="T7609" t="s">
        <v>46936</v>
      </c>
      <c r="U7609" t="s">
        <v>53804</v>
      </c>
      <c r="W7609" t="s">
        <v>61663</v>
      </c>
      <c r="X7609" t="s">
        <v>45104</v>
      </c>
    </row>
    <row r="7610" spans="1:24">
      <c r="A7610">
        <f>HYPERLINK("https://www.philgeps.gov.ph/GEPSNONPILOT/Tender/SplashBidNoticeAbstractUI.aspx?menuIndex=3&amp;refID=7036966&amp;Result=3","7036966")</f>
        <v>0</v>
      </c>
      <c r="B7610" t="s">
        <v>2236</v>
      </c>
      <c r="C7610" t="s">
        <v>10464</v>
      </c>
      <c r="D7610" t="s">
        <v>18084</v>
      </c>
      <c r="E7610" t="s">
        <v>18726</v>
      </c>
      <c r="F7610" t="s">
        <v>31574</v>
      </c>
      <c r="G7610" t="s">
        <v>31583</v>
      </c>
      <c r="H7610" t="s">
        <v>31591</v>
      </c>
      <c r="I7610" t="s">
        <v>8822</v>
      </c>
      <c r="J7610" t="s">
        <v>33263</v>
      </c>
      <c r="K7610" t="s">
        <v>41193</v>
      </c>
      <c r="M7610" t="s">
        <v>43933</v>
      </c>
      <c r="N7610" t="s">
        <v>45095</v>
      </c>
      <c r="O7610" t="s">
        <v>45096</v>
      </c>
      <c r="P7610">
        <v>0</v>
      </c>
      <c r="Q7610">
        <v>0</v>
      </c>
      <c r="R7610" t="s">
        <v>45103</v>
      </c>
      <c r="S7610" t="s">
        <v>45270</v>
      </c>
      <c r="T7610" t="s">
        <v>46949</v>
      </c>
      <c r="U7610" t="s">
        <v>53805</v>
      </c>
      <c r="W7610" t="s">
        <v>43933</v>
      </c>
      <c r="X7610" t="s">
        <v>45104</v>
      </c>
    </row>
    <row r="7611" spans="1:24">
      <c r="A7611">
        <f>HYPERLINK("https://www.philgeps.gov.ph/GEPSNONPILOT/Tender/SplashBidNoticeAbstractUI.aspx?menuIndex=3&amp;refID=7036975&amp;Result=3","7036975")</f>
        <v>0</v>
      </c>
      <c r="B7611" t="s">
        <v>1936</v>
      </c>
      <c r="C7611" t="s">
        <v>10465</v>
      </c>
      <c r="D7611" t="s">
        <v>18039</v>
      </c>
      <c r="E7611" t="s">
        <v>24790</v>
      </c>
      <c r="F7611" t="s">
        <v>31575</v>
      </c>
      <c r="G7611" t="s">
        <v>31581</v>
      </c>
      <c r="H7611" t="s">
        <v>31590</v>
      </c>
      <c r="I7611" t="s">
        <v>4046</v>
      </c>
      <c r="J7611" t="s">
        <v>36576</v>
      </c>
      <c r="K7611" t="s">
        <v>41213</v>
      </c>
      <c r="M7611" t="s">
        <v>43591</v>
      </c>
      <c r="N7611" t="s">
        <v>45095</v>
      </c>
      <c r="O7611" t="s">
        <v>45096</v>
      </c>
      <c r="P7611">
        <v>0</v>
      </c>
      <c r="Q7611">
        <v>0</v>
      </c>
      <c r="R7611" t="s">
        <v>45103</v>
      </c>
      <c r="S7611" t="s">
        <v>45270</v>
      </c>
      <c r="T7611" t="s">
        <v>47067</v>
      </c>
      <c r="U7611" t="s">
        <v>53806</v>
      </c>
      <c r="W7611" t="s">
        <v>43591</v>
      </c>
      <c r="X7611" t="s">
        <v>45104</v>
      </c>
    </row>
    <row r="7612" spans="1:24">
      <c r="A7612">
        <f>HYPERLINK("https://www.philgeps.gov.ph/GEPSNONPILOT/Tender/SplashBidNoticeAbstractUI.aspx?menuIndex=3&amp;refID=7037000&amp;Result=3","7037000")</f>
        <v>0</v>
      </c>
      <c r="B7612" t="s">
        <v>249</v>
      </c>
      <c r="C7612" t="s">
        <v>10466</v>
      </c>
      <c r="D7612" t="s">
        <v>18039</v>
      </c>
      <c r="E7612" t="s">
        <v>24791</v>
      </c>
      <c r="F7612" t="s">
        <v>31574</v>
      </c>
      <c r="G7612" t="s">
        <v>31581</v>
      </c>
      <c r="H7612" t="s">
        <v>31590</v>
      </c>
      <c r="I7612" t="s">
        <v>31633</v>
      </c>
      <c r="J7612" t="s">
        <v>34290</v>
      </c>
      <c r="K7612" t="s">
        <v>41186</v>
      </c>
      <c r="M7612" t="s">
        <v>41735</v>
      </c>
      <c r="N7612" t="s">
        <v>45095</v>
      </c>
      <c r="O7612" t="s">
        <v>45096</v>
      </c>
      <c r="P7612">
        <v>0</v>
      </c>
      <c r="Q7612">
        <v>1</v>
      </c>
      <c r="R7612" t="s">
        <v>45103</v>
      </c>
      <c r="S7612" t="s">
        <v>45270</v>
      </c>
      <c r="T7612" t="s">
        <v>47183</v>
      </c>
      <c r="U7612" t="s">
        <v>53807</v>
      </c>
      <c r="V7612" t="s">
        <v>60433</v>
      </c>
      <c r="W7612" t="s">
        <v>41735</v>
      </c>
      <c r="X7612" t="s">
        <v>45104</v>
      </c>
    </row>
    <row r="7613" spans="1:24">
      <c r="A7613">
        <f>HYPERLINK("https://www.philgeps.gov.ph/GEPSNONPILOT/Tender/SplashBidNoticeAbstractUI.aspx?menuIndex=3&amp;refID=7036987&amp;Result=3","7036987")</f>
        <v>0</v>
      </c>
      <c r="B7613" t="s">
        <v>2233</v>
      </c>
      <c r="C7613" t="s">
        <v>10467</v>
      </c>
      <c r="D7613" t="s">
        <v>18096</v>
      </c>
      <c r="E7613" t="s">
        <v>24223</v>
      </c>
      <c r="F7613" t="s">
        <v>31575</v>
      </c>
      <c r="G7613" t="s">
        <v>31582</v>
      </c>
      <c r="H7613" t="s">
        <v>31590</v>
      </c>
      <c r="I7613" t="s">
        <v>31621</v>
      </c>
      <c r="J7613" t="s">
        <v>36577</v>
      </c>
      <c r="K7613" t="s">
        <v>41184</v>
      </c>
      <c r="M7613" t="s">
        <v>43930</v>
      </c>
      <c r="N7613" t="s">
        <v>45095</v>
      </c>
      <c r="O7613" t="s">
        <v>45096</v>
      </c>
      <c r="P7613">
        <v>0</v>
      </c>
      <c r="Q7613">
        <v>1</v>
      </c>
      <c r="R7613" t="s">
        <v>45103</v>
      </c>
      <c r="S7613" t="s">
        <v>45270</v>
      </c>
      <c r="T7613" t="s">
        <v>46921</v>
      </c>
      <c r="U7613" t="s">
        <v>53808</v>
      </c>
      <c r="W7613" t="s">
        <v>43930</v>
      </c>
      <c r="X7613" t="s">
        <v>45104</v>
      </c>
    </row>
    <row r="7614" spans="1:24">
      <c r="A7614">
        <f>HYPERLINK("https://www.philgeps.gov.ph/GEPSNONPILOT/Tender/SplashBidNoticeAbstractUI.aspx?menuIndex=3&amp;refID=7036998&amp;Result=3","7036998")</f>
        <v>0</v>
      </c>
      <c r="B7614" t="s">
        <v>82</v>
      </c>
      <c r="C7614" t="s">
        <v>10468</v>
      </c>
      <c r="D7614" t="s">
        <v>18058</v>
      </c>
      <c r="E7614" t="s">
        <v>24792</v>
      </c>
      <c r="F7614" t="s">
        <v>31574</v>
      </c>
      <c r="G7614" t="s">
        <v>31585</v>
      </c>
      <c r="H7614" t="s">
        <v>31590</v>
      </c>
      <c r="I7614" t="s">
        <v>31704</v>
      </c>
      <c r="J7614" t="s">
        <v>31741</v>
      </c>
      <c r="K7614" t="s">
        <v>41193</v>
      </c>
      <c r="M7614" t="s">
        <v>41566</v>
      </c>
      <c r="N7614" t="s">
        <v>45095</v>
      </c>
      <c r="O7614" t="s">
        <v>45096</v>
      </c>
      <c r="P7614">
        <v>0</v>
      </c>
      <c r="Q7614">
        <v>0</v>
      </c>
      <c r="R7614" t="s">
        <v>45103</v>
      </c>
      <c r="S7614" t="s">
        <v>45270</v>
      </c>
      <c r="T7614" t="s">
        <v>47301</v>
      </c>
      <c r="U7614" t="s">
        <v>53809</v>
      </c>
      <c r="W7614" t="s">
        <v>41566</v>
      </c>
      <c r="X7614" t="s">
        <v>45104</v>
      </c>
    </row>
    <row r="7615" spans="1:24">
      <c r="A7615">
        <f>HYPERLINK("https://www.philgeps.gov.ph/GEPSNONPILOT/Tender/SplashBidNoticeAbstractUI.aspx?menuIndex=3&amp;refID=7036979&amp;Result=3","7036979")</f>
        <v>0</v>
      </c>
      <c r="B7615" t="s">
        <v>336</v>
      </c>
      <c r="C7615" t="s">
        <v>10469</v>
      </c>
      <c r="D7615" t="s">
        <v>18056</v>
      </c>
      <c r="E7615" t="s">
        <v>18169</v>
      </c>
      <c r="F7615" t="s">
        <v>31574</v>
      </c>
      <c r="G7615" t="s">
        <v>31582</v>
      </c>
      <c r="H7615" t="s">
        <v>31590</v>
      </c>
      <c r="I7615" t="s">
        <v>31615</v>
      </c>
      <c r="J7615" t="s">
        <v>36578</v>
      </c>
      <c r="K7615" t="s">
        <v>41186</v>
      </c>
      <c r="M7615" t="s">
        <v>41824</v>
      </c>
      <c r="N7615" t="s">
        <v>45095</v>
      </c>
      <c r="O7615" t="s">
        <v>45096</v>
      </c>
      <c r="P7615">
        <v>0</v>
      </c>
      <c r="Q7615">
        <v>1</v>
      </c>
      <c r="R7615" t="s">
        <v>45103</v>
      </c>
      <c r="S7615" t="s">
        <v>45270</v>
      </c>
      <c r="T7615" t="s">
        <v>47000</v>
      </c>
      <c r="U7615" t="s">
        <v>53810</v>
      </c>
      <c r="W7615" t="s">
        <v>41824</v>
      </c>
      <c r="X7615" t="s">
        <v>45104</v>
      </c>
    </row>
    <row r="7616" spans="1:24">
      <c r="A7616">
        <f>HYPERLINK("https://www.philgeps.gov.ph/GEPSNONPILOT/Tender/SplashBidNoticeAbstractUI.aspx?menuIndex=3&amp;refID=7037001&amp;Result=3","7037001")</f>
        <v>0</v>
      </c>
      <c r="B7616" t="s">
        <v>1196</v>
      </c>
      <c r="C7616" t="s">
        <v>10470</v>
      </c>
      <c r="D7616" t="s">
        <v>18026</v>
      </c>
      <c r="E7616" t="s">
        <v>24793</v>
      </c>
      <c r="F7616" t="s">
        <v>31574</v>
      </c>
      <c r="G7616" t="s">
        <v>31582</v>
      </c>
      <c r="H7616" t="s">
        <v>31591</v>
      </c>
      <c r="I7616" t="s">
        <v>8822</v>
      </c>
      <c r="J7616" t="s">
        <v>32241</v>
      </c>
      <c r="K7616" t="s">
        <v>41267</v>
      </c>
      <c r="M7616" t="s">
        <v>43471</v>
      </c>
      <c r="N7616" t="s">
        <v>45095</v>
      </c>
      <c r="O7616" t="s">
        <v>45096</v>
      </c>
      <c r="P7616">
        <v>0</v>
      </c>
      <c r="Q7616">
        <v>1</v>
      </c>
      <c r="R7616" t="s">
        <v>45103</v>
      </c>
      <c r="S7616" t="s">
        <v>45270</v>
      </c>
      <c r="T7616" t="s">
        <v>46987</v>
      </c>
      <c r="U7616" t="s">
        <v>53729</v>
      </c>
      <c r="V7616" t="s">
        <v>60641</v>
      </c>
      <c r="W7616" t="s">
        <v>61718</v>
      </c>
      <c r="X7616" t="s">
        <v>45104</v>
      </c>
    </row>
    <row r="7617" spans="1:24">
      <c r="A7617">
        <f>HYPERLINK("https://www.philgeps.gov.ph/GEPSNONPILOT/Tender/SplashBidNoticeAbstractUI.aspx?menuIndex=3&amp;refID=7037005&amp;Result=3","7037005")</f>
        <v>0</v>
      </c>
      <c r="B7617" t="s">
        <v>84</v>
      </c>
      <c r="C7617" t="s">
        <v>10471</v>
      </c>
      <c r="D7617" t="s">
        <v>18022</v>
      </c>
      <c r="E7617" t="s">
        <v>24794</v>
      </c>
      <c r="F7617" t="s">
        <v>31574</v>
      </c>
      <c r="G7617" t="s">
        <v>31581</v>
      </c>
      <c r="H7617" t="s">
        <v>31590</v>
      </c>
      <c r="I7617" t="s">
        <v>31648</v>
      </c>
      <c r="J7617" t="s">
        <v>36579</v>
      </c>
      <c r="K7617" t="s">
        <v>41193</v>
      </c>
      <c r="M7617" t="s">
        <v>41568</v>
      </c>
      <c r="N7617" t="s">
        <v>45095</v>
      </c>
      <c r="O7617" t="s">
        <v>45096</v>
      </c>
      <c r="P7617">
        <v>0</v>
      </c>
      <c r="Q7617">
        <v>0</v>
      </c>
      <c r="R7617" t="s">
        <v>45103</v>
      </c>
      <c r="S7617" t="s">
        <v>45270</v>
      </c>
      <c r="T7617" t="s">
        <v>46973</v>
      </c>
      <c r="U7617" t="s">
        <v>53811</v>
      </c>
      <c r="W7617" t="s">
        <v>41568</v>
      </c>
      <c r="X7617" t="s">
        <v>45104</v>
      </c>
    </row>
    <row r="7618" spans="1:24">
      <c r="A7618">
        <f>HYPERLINK("https://www.philgeps.gov.ph/GEPSNONPILOT/Tender/SplashBidNoticeAbstractUI.aspx?menuIndex=3&amp;refID=7036999&amp;Result=3","7036999")</f>
        <v>0</v>
      </c>
      <c r="B7618" t="s">
        <v>2237</v>
      </c>
      <c r="C7618" t="s">
        <v>7171</v>
      </c>
      <c r="D7618" t="s">
        <v>18027</v>
      </c>
      <c r="E7618" t="s">
        <v>24795</v>
      </c>
      <c r="F7618" t="s">
        <v>31574</v>
      </c>
      <c r="G7618" t="s">
        <v>31582</v>
      </c>
      <c r="H7618" t="s">
        <v>31590</v>
      </c>
      <c r="I7618" t="s">
        <v>7185</v>
      </c>
      <c r="J7618" t="s">
        <v>31848</v>
      </c>
      <c r="K7618" t="s">
        <v>41190</v>
      </c>
      <c r="M7618" t="s">
        <v>43934</v>
      </c>
      <c r="N7618" t="s">
        <v>45095</v>
      </c>
      <c r="O7618" t="s">
        <v>45096</v>
      </c>
      <c r="P7618">
        <v>0</v>
      </c>
      <c r="Q7618">
        <v>2</v>
      </c>
      <c r="R7618" t="s">
        <v>45103</v>
      </c>
      <c r="S7618" t="s">
        <v>45270</v>
      </c>
      <c r="T7618" t="s">
        <v>47064</v>
      </c>
      <c r="U7618" t="s">
        <v>53812</v>
      </c>
      <c r="W7618" t="s">
        <v>43934</v>
      </c>
      <c r="X7618" t="s">
        <v>45104</v>
      </c>
    </row>
    <row r="7619" spans="1:24">
      <c r="A7619">
        <f>HYPERLINK("https://www.philgeps.gov.ph/GEPSNONPILOT/Tender/SplashBidNoticeAbstractUI.aspx?menuIndex=3&amp;refID=7037007&amp;Result=3","7037007")</f>
        <v>0</v>
      </c>
      <c r="B7619" t="s">
        <v>1863</v>
      </c>
      <c r="C7619" t="s">
        <v>10472</v>
      </c>
      <c r="D7619" t="s">
        <v>18052</v>
      </c>
      <c r="E7619" t="s">
        <v>24796</v>
      </c>
      <c r="F7619" t="s">
        <v>31574</v>
      </c>
      <c r="G7619" t="s">
        <v>31582</v>
      </c>
      <c r="H7619" t="s">
        <v>31590</v>
      </c>
      <c r="I7619" t="s">
        <v>4327</v>
      </c>
      <c r="J7619" t="s">
        <v>33850</v>
      </c>
      <c r="K7619" t="s">
        <v>41196</v>
      </c>
      <c r="M7619" t="s">
        <v>43502</v>
      </c>
      <c r="N7619" t="s">
        <v>45095</v>
      </c>
      <c r="O7619" t="s">
        <v>45096</v>
      </c>
      <c r="P7619">
        <v>0</v>
      </c>
      <c r="Q7619">
        <v>0</v>
      </c>
      <c r="R7619" t="s">
        <v>45103</v>
      </c>
      <c r="S7619" t="s">
        <v>45270</v>
      </c>
      <c r="T7619" t="s">
        <v>46963</v>
      </c>
      <c r="U7619" t="s">
        <v>53813</v>
      </c>
      <c r="W7619" t="s">
        <v>43502</v>
      </c>
      <c r="X7619" t="s">
        <v>45104</v>
      </c>
    </row>
    <row r="7620" spans="1:24">
      <c r="A7620">
        <f>HYPERLINK("https://www.philgeps.gov.ph/GEPSNONPILOT/Tender/SplashBidNoticeAbstractUI.aspx?menuIndex=3&amp;refID=7036989&amp;Result=3","7036989")</f>
        <v>0</v>
      </c>
      <c r="B7620" t="s">
        <v>2225</v>
      </c>
      <c r="C7620" t="s">
        <v>10473</v>
      </c>
      <c r="D7620" t="s">
        <v>18073</v>
      </c>
      <c r="E7620" t="s">
        <v>24797</v>
      </c>
      <c r="F7620" t="s">
        <v>31574</v>
      </c>
      <c r="G7620" t="s">
        <v>31582</v>
      </c>
      <c r="H7620" t="s">
        <v>31591</v>
      </c>
      <c r="I7620" t="s">
        <v>8822</v>
      </c>
      <c r="J7620" t="s">
        <v>36570</v>
      </c>
      <c r="K7620" t="s">
        <v>41303</v>
      </c>
      <c r="M7620" t="s">
        <v>43918</v>
      </c>
      <c r="N7620" t="s">
        <v>45095</v>
      </c>
      <c r="O7620" t="s">
        <v>45096</v>
      </c>
      <c r="P7620">
        <v>0</v>
      </c>
      <c r="Q7620">
        <v>3</v>
      </c>
      <c r="R7620" t="s">
        <v>45103</v>
      </c>
      <c r="S7620" t="s">
        <v>45270</v>
      </c>
      <c r="T7620" t="s">
        <v>46992</v>
      </c>
      <c r="U7620" t="s">
        <v>53814</v>
      </c>
      <c r="W7620" t="s">
        <v>43918</v>
      </c>
      <c r="X7620" t="s">
        <v>45104</v>
      </c>
    </row>
    <row r="7621" spans="1:24">
      <c r="A7621">
        <f>HYPERLINK("https://www.philgeps.gov.ph/GEPSNONPILOT/Tender/SplashBidNoticeAbstractUI.aspx?menuIndex=3&amp;refID=7036977&amp;Result=3","7036977")</f>
        <v>0</v>
      </c>
      <c r="B7621" t="s">
        <v>1863</v>
      </c>
      <c r="C7621" t="s">
        <v>10474</v>
      </c>
      <c r="D7621" t="s">
        <v>18052</v>
      </c>
      <c r="E7621" t="s">
        <v>24798</v>
      </c>
      <c r="F7621" t="s">
        <v>31574</v>
      </c>
      <c r="G7621" t="s">
        <v>31582</v>
      </c>
      <c r="H7621" t="s">
        <v>31590</v>
      </c>
      <c r="I7621" t="s">
        <v>31633</v>
      </c>
      <c r="J7621" t="s">
        <v>32882</v>
      </c>
      <c r="K7621" t="s">
        <v>41196</v>
      </c>
      <c r="M7621" t="s">
        <v>43502</v>
      </c>
      <c r="N7621" t="s">
        <v>45095</v>
      </c>
      <c r="O7621" t="s">
        <v>45096</v>
      </c>
      <c r="P7621">
        <v>0</v>
      </c>
      <c r="Q7621">
        <v>0</v>
      </c>
      <c r="R7621" t="s">
        <v>45103</v>
      </c>
      <c r="S7621" t="s">
        <v>45270</v>
      </c>
      <c r="T7621" t="s">
        <v>46963</v>
      </c>
      <c r="U7621" t="s">
        <v>53815</v>
      </c>
      <c r="W7621" t="s">
        <v>43502</v>
      </c>
      <c r="X7621" t="s">
        <v>45104</v>
      </c>
    </row>
    <row r="7622" spans="1:24">
      <c r="A7622">
        <f>HYPERLINK("https://www.philgeps.gov.ph/GEPSNONPILOT/Tender/SplashBidNoticeAbstractUI.aspx?menuIndex=3&amp;refID=7036993&amp;Result=3","7036993")</f>
        <v>0</v>
      </c>
      <c r="B7622" t="s">
        <v>2075</v>
      </c>
      <c r="C7622" t="s">
        <v>10475</v>
      </c>
      <c r="D7622" t="s">
        <v>18073</v>
      </c>
      <c r="E7622" t="s">
        <v>24799</v>
      </c>
      <c r="F7622" t="s">
        <v>31574</v>
      </c>
      <c r="G7622" t="s">
        <v>31582</v>
      </c>
      <c r="H7622" t="s">
        <v>31591</v>
      </c>
      <c r="I7622" t="s">
        <v>8822</v>
      </c>
      <c r="J7622" t="s">
        <v>31935</v>
      </c>
      <c r="K7622" t="s">
        <v>41228</v>
      </c>
      <c r="M7622" t="s">
        <v>43749</v>
      </c>
      <c r="N7622" t="s">
        <v>45095</v>
      </c>
      <c r="O7622" t="s">
        <v>45096</v>
      </c>
      <c r="P7622">
        <v>0</v>
      </c>
      <c r="Q7622">
        <v>0</v>
      </c>
      <c r="R7622" t="s">
        <v>45103</v>
      </c>
      <c r="S7622" t="s">
        <v>45270</v>
      </c>
      <c r="T7622" t="s">
        <v>47266</v>
      </c>
      <c r="U7622" t="s">
        <v>53816</v>
      </c>
      <c r="W7622" t="s">
        <v>61725</v>
      </c>
      <c r="X7622" t="s">
        <v>45104</v>
      </c>
    </row>
    <row r="7623" spans="1:24">
      <c r="A7623">
        <f>HYPERLINK("https://www.philgeps.gov.ph/GEPSNONPILOT/Tender/SplashBidNoticeAbstractUI.aspx?menuIndex=3&amp;refID=7037025&amp;Result=3","7037025")</f>
        <v>0</v>
      </c>
      <c r="B7623" t="s">
        <v>1589</v>
      </c>
      <c r="C7623" t="s">
        <v>10476</v>
      </c>
      <c r="D7623" t="s">
        <v>18022</v>
      </c>
      <c r="E7623" t="s">
        <v>24800</v>
      </c>
      <c r="F7623" t="s">
        <v>31574</v>
      </c>
      <c r="G7623" t="s">
        <v>31582</v>
      </c>
      <c r="H7623" t="s">
        <v>31590</v>
      </c>
      <c r="I7623" t="s">
        <v>3487</v>
      </c>
      <c r="J7623" t="s">
        <v>36580</v>
      </c>
      <c r="K7623" t="s">
        <v>41196</v>
      </c>
      <c r="M7623" t="s">
        <v>43910</v>
      </c>
      <c r="N7623" t="s">
        <v>45095</v>
      </c>
      <c r="O7623" t="s">
        <v>45096</v>
      </c>
      <c r="P7623">
        <v>0</v>
      </c>
      <c r="Q7623">
        <v>0</v>
      </c>
      <c r="R7623" t="s">
        <v>45103</v>
      </c>
      <c r="S7623" t="s">
        <v>45270</v>
      </c>
      <c r="T7623" t="s">
        <v>46985</v>
      </c>
      <c r="U7623" t="s">
        <v>51488</v>
      </c>
      <c r="W7623" t="s">
        <v>43910</v>
      </c>
      <c r="X7623" t="s">
        <v>45104</v>
      </c>
    </row>
    <row r="7624" spans="1:24">
      <c r="A7624">
        <f>HYPERLINK("https://www.philgeps.gov.ph/GEPSNONPILOT/Tender/SplashBidNoticeAbstractUI.aspx?menuIndex=3&amp;refID=7036991&amp;Result=3","7036991")</f>
        <v>0</v>
      </c>
      <c r="B7624" t="s">
        <v>1589</v>
      </c>
      <c r="C7624" t="s">
        <v>10477</v>
      </c>
      <c r="D7624" t="s">
        <v>18022</v>
      </c>
      <c r="E7624" t="s">
        <v>24801</v>
      </c>
      <c r="F7624" t="s">
        <v>31574</v>
      </c>
      <c r="G7624" t="s">
        <v>31582</v>
      </c>
      <c r="H7624" t="s">
        <v>31590</v>
      </c>
      <c r="I7624" t="s">
        <v>3487</v>
      </c>
      <c r="J7624" t="s">
        <v>36581</v>
      </c>
      <c r="K7624" t="s">
        <v>41196</v>
      </c>
      <c r="M7624" t="s">
        <v>43910</v>
      </c>
      <c r="N7624" t="s">
        <v>45095</v>
      </c>
      <c r="O7624" t="s">
        <v>45096</v>
      </c>
      <c r="P7624">
        <v>0</v>
      </c>
      <c r="Q7624">
        <v>0</v>
      </c>
      <c r="R7624" t="s">
        <v>45103</v>
      </c>
      <c r="S7624" t="s">
        <v>45270</v>
      </c>
      <c r="T7624" t="s">
        <v>46985</v>
      </c>
      <c r="U7624" t="s">
        <v>51488</v>
      </c>
      <c r="W7624" t="s">
        <v>43910</v>
      </c>
      <c r="X7624" t="s">
        <v>45104</v>
      </c>
    </row>
    <row r="7625" spans="1:24">
      <c r="A7625">
        <f>HYPERLINK("https://www.philgeps.gov.ph/GEPSNONPILOT/Tender/SplashBidNoticeAbstractUI.aspx?menuIndex=3&amp;refID=7037021&amp;Result=3","7037021")</f>
        <v>0</v>
      </c>
      <c r="B7625" t="s">
        <v>2238</v>
      </c>
      <c r="C7625" t="s">
        <v>10478</v>
      </c>
      <c r="D7625" t="s">
        <v>18084</v>
      </c>
      <c r="E7625" t="s">
        <v>24802</v>
      </c>
      <c r="F7625" t="s">
        <v>31574</v>
      </c>
      <c r="G7625" t="s">
        <v>31582</v>
      </c>
      <c r="H7625" t="s">
        <v>31590</v>
      </c>
      <c r="I7625" t="s">
        <v>4327</v>
      </c>
      <c r="J7625" t="s">
        <v>36582</v>
      </c>
      <c r="K7625" t="s">
        <v>41186</v>
      </c>
      <c r="M7625" t="s">
        <v>43935</v>
      </c>
      <c r="N7625" t="s">
        <v>45095</v>
      </c>
      <c r="O7625" t="s">
        <v>45096</v>
      </c>
      <c r="P7625">
        <v>0</v>
      </c>
      <c r="Q7625">
        <v>7</v>
      </c>
      <c r="R7625" t="s">
        <v>45103</v>
      </c>
      <c r="S7625" t="s">
        <v>45270</v>
      </c>
      <c r="T7625" t="s">
        <v>47093</v>
      </c>
      <c r="U7625" t="s">
        <v>53817</v>
      </c>
      <c r="W7625" t="s">
        <v>43935</v>
      </c>
      <c r="X7625" t="s">
        <v>45104</v>
      </c>
    </row>
    <row r="7626" spans="1:24">
      <c r="A7626">
        <f>HYPERLINK("https://www.philgeps.gov.ph/GEPSNONPILOT/Tender/SplashBidNoticeAbstractUI.aspx?menuIndex=3&amp;refID=7037023&amp;Result=3","7037023")</f>
        <v>0</v>
      </c>
      <c r="B7626" t="s">
        <v>2239</v>
      </c>
      <c r="C7626" t="s">
        <v>10479</v>
      </c>
      <c r="D7626" t="s">
        <v>18023</v>
      </c>
      <c r="E7626" t="s">
        <v>24803</v>
      </c>
      <c r="F7626" t="s">
        <v>31574</v>
      </c>
      <c r="G7626" t="s">
        <v>31581</v>
      </c>
      <c r="H7626" t="s">
        <v>31590</v>
      </c>
      <c r="I7626" t="s">
        <v>3489</v>
      </c>
      <c r="J7626" t="s">
        <v>36583</v>
      </c>
      <c r="K7626" t="s">
        <v>41193</v>
      </c>
      <c r="M7626" t="s">
        <v>43936</v>
      </c>
      <c r="N7626" t="s">
        <v>45095</v>
      </c>
      <c r="O7626" t="s">
        <v>45096</v>
      </c>
      <c r="P7626">
        <v>0</v>
      </c>
      <c r="Q7626">
        <v>0</v>
      </c>
      <c r="R7626" t="s">
        <v>45103</v>
      </c>
      <c r="S7626" t="s">
        <v>45270</v>
      </c>
      <c r="T7626" t="s">
        <v>46985</v>
      </c>
      <c r="U7626" t="s">
        <v>53818</v>
      </c>
      <c r="W7626" t="s">
        <v>43936</v>
      </c>
      <c r="X7626" t="s">
        <v>45104</v>
      </c>
    </row>
    <row r="7627" spans="1:24">
      <c r="A7627">
        <f>HYPERLINK("https://www.philgeps.gov.ph/GEPSNONPILOT/Tender/SplashBidNoticeAbstractUI.aspx?menuIndex=3&amp;refID=7037015&amp;Result=3","7037015")</f>
        <v>0</v>
      </c>
      <c r="B7627" t="s">
        <v>1589</v>
      </c>
      <c r="C7627" t="s">
        <v>10480</v>
      </c>
      <c r="D7627" t="s">
        <v>18022</v>
      </c>
      <c r="E7627" t="s">
        <v>24804</v>
      </c>
      <c r="F7627" t="s">
        <v>31574</v>
      </c>
      <c r="G7627" t="s">
        <v>31582</v>
      </c>
      <c r="H7627" t="s">
        <v>31590</v>
      </c>
      <c r="I7627" t="s">
        <v>3487</v>
      </c>
      <c r="J7627" t="s">
        <v>31821</v>
      </c>
      <c r="K7627" t="s">
        <v>41196</v>
      </c>
      <c r="M7627" t="s">
        <v>43910</v>
      </c>
      <c r="N7627" t="s">
        <v>45095</v>
      </c>
      <c r="O7627" t="s">
        <v>45096</v>
      </c>
      <c r="P7627">
        <v>0</v>
      </c>
      <c r="Q7627">
        <v>0</v>
      </c>
      <c r="R7627" t="s">
        <v>45103</v>
      </c>
      <c r="S7627" t="s">
        <v>45270</v>
      </c>
      <c r="T7627" t="s">
        <v>46985</v>
      </c>
      <c r="U7627" t="s">
        <v>51488</v>
      </c>
      <c r="W7627" t="s">
        <v>43910</v>
      </c>
      <c r="X7627" t="s">
        <v>45104</v>
      </c>
    </row>
    <row r="7628" spans="1:24">
      <c r="A7628">
        <f>HYPERLINK("https://www.philgeps.gov.ph/GEPSNONPILOT/Tender/SplashBidNoticeAbstractUI.aspx?menuIndex=3&amp;refID=7037014&amp;Result=3","7037014")</f>
        <v>0</v>
      </c>
      <c r="B7628" t="s">
        <v>529</v>
      </c>
      <c r="C7628" t="s">
        <v>10481</v>
      </c>
      <c r="D7628" t="s">
        <v>18033</v>
      </c>
      <c r="E7628" t="s">
        <v>24805</v>
      </c>
      <c r="F7628" t="s">
        <v>31574</v>
      </c>
      <c r="G7628" t="s">
        <v>31582</v>
      </c>
      <c r="H7628" t="s">
        <v>31591</v>
      </c>
      <c r="I7628" t="s">
        <v>8822</v>
      </c>
      <c r="J7628" t="s">
        <v>36584</v>
      </c>
      <c r="K7628" t="s">
        <v>41256</v>
      </c>
      <c r="M7628" t="s">
        <v>42026</v>
      </c>
      <c r="N7628" t="s">
        <v>45095</v>
      </c>
      <c r="O7628" t="s">
        <v>45096</v>
      </c>
      <c r="P7628">
        <v>0</v>
      </c>
      <c r="Q7628">
        <v>5</v>
      </c>
      <c r="R7628" t="s">
        <v>45103</v>
      </c>
      <c r="S7628" t="s">
        <v>45270</v>
      </c>
      <c r="T7628" t="s">
        <v>46992</v>
      </c>
      <c r="U7628" t="s">
        <v>53819</v>
      </c>
      <c r="W7628" t="s">
        <v>42026</v>
      </c>
      <c r="X7628" t="s">
        <v>45104</v>
      </c>
    </row>
    <row r="7629" spans="1:24">
      <c r="A7629">
        <f>HYPERLINK("https://www.philgeps.gov.ph/GEPSNONPILOT/Tender/SplashBidNoticeAbstractUI.aspx?menuIndex=3&amp;refID=7037012&amp;Result=3","7037012")</f>
        <v>0</v>
      </c>
      <c r="B7629" t="s">
        <v>2240</v>
      </c>
      <c r="C7629" t="s">
        <v>10482</v>
      </c>
      <c r="D7629" t="s">
        <v>18041</v>
      </c>
      <c r="E7629" t="s">
        <v>24806</v>
      </c>
      <c r="F7629" t="s">
        <v>31574</v>
      </c>
      <c r="G7629" t="s">
        <v>31582</v>
      </c>
      <c r="H7629" t="s">
        <v>31590</v>
      </c>
      <c r="I7629" t="s">
        <v>31600</v>
      </c>
      <c r="J7629" t="s">
        <v>36585</v>
      </c>
      <c r="K7629" t="s">
        <v>41191</v>
      </c>
      <c r="M7629" t="s">
        <v>43937</v>
      </c>
      <c r="N7629" t="s">
        <v>45095</v>
      </c>
      <c r="O7629" t="s">
        <v>45096</v>
      </c>
      <c r="P7629">
        <v>0</v>
      </c>
      <c r="Q7629">
        <v>0</v>
      </c>
      <c r="R7629" t="s">
        <v>45103</v>
      </c>
      <c r="S7629" t="s">
        <v>45270</v>
      </c>
      <c r="T7629" t="s">
        <v>47106</v>
      </c>
      <c r="U7629" t="s">
        <v>53820</v>
      </c>
      <c r="W7629" t="s">
        <v>43937</v>
      </c>
      <c r="X7629" t="s">
        <v>45104</v>
      </c>
    </row>
    <row r="7630" spans="1:24">
      <c r="A7630">
        <f>HYPERLINK("https://www.philgeps.gov.ph/GEPSNONPILOT/Tender/SplashBidNoticeAbstractUI.aspx?menuIndex=3&amp;refID=7037013&amp;Result=3","7037013")</f>
        <v>0</v>
      </c>
      <c r="B7630" t="s">
        <v>706</v>
      </c>
      <c r="C7630" t="s">
        <v>10483</v>
      </c>
      <c r="D7630" t="s">
        <v>18022</v>
      </c>
      <c r="E7630" t="s">
        <v>20026</v>
      </c>
      <c r="F7630" t="s">
        <v>31574</v>
      </c>
      <c r="G7630" t="s">
        <v>31582</v>
      </c>
      <c r="H7630" t="s">
        <v>31591</v>
      </c>
      <c r="I7630" t="s">
        <v>8822</v>
      </c>
      <c r="J7630" t="s">
        <v>36586</v>
      </c>
      <c r="K7630" t="s">
        <v>41198</v>
      </c>
      <c r="M7630" t="s">
        <v>43938</v>
      </c>
      <c r="N7630" t="s">
        <v>45095</v>
      </c>
      <c r="O7630" t="s">
        <v>45096</v>
      </c>
      <c r="P7630">
        <v>0</v>
      </c>
      <c r="Q7630">
        <v>4</v>
      </c>
      <c r="R7630" t="s">
        <v>45103</v>
      </c>
      <c r="S7630" t="s">
        <v>45270</v>
      </c>
      <c r="T7630" t="s">
        <v>47166</v>
      </c>
      <c r="U7630" t="s">
        <v>53821</v>
      </c>
      <c r="W7630" t="s">
        <v>43938</v>
      </c>
      <c r="X7630" t="s">
        <v>45104</v>
      </c>
    </row>
    <row r="7631" spans="1:24">
      <c r="A7631">
        <f>HYPERLINK("https://www.philgeps.gov.ph/GEPSNONPILOT/Tender/SplashBidNoticeAbstractUI.aspx?menuIndex=3&amp;refID=7037020&amp;Result=3","7037020")</f>
        <v>0</v>
      </c>
      <c r="B7631" t="s">
        <v>2241</v>
      </c>
      <c r="C7631" t="s">
        <v>10484</v>
      </c>
      <c r="E7631" t="s">
        <v>24807</v>
      </c>
      <c r="F7631" t="s">
        <v>31574</v>
      </c>
      <c r="G7631" t="s">
        <v>31582</v>
      </c>
      <c r="H7631" t="s">
        <v>31590</v>
      </c>
      <c r="I7631" t="s">
        <v>4046</v>
      </c>
      <c r="J7631" t="s">
        <v>36587</v>
      </c>
      <c r="K7631" t="s">
        <v>41186</v>
      </c>
      <c r="M7631" t="s">
        <v>43939</v>
      </c>
      <c r="N7631" t="s">
        <v>45095</v>
      </c>
      <c r="O7631" t="s">
        <v>45096</v>
      </c>
      <c r="P7631">
        <v>0</v>
      </c>
      <c r="Q7631">
        <v>0</v>
      </c>
      <c r="R7631" t="s">
        <v>45103</v>
      </c>
      <c r="S7631" t="s">
        <v>45270</v>
      </c>
      <c r="T7631" t="s">
        <v>46992</v>
      </c>
      <c r="U7631" t="s">
        <v>53822</v>
      </c>
      <c r="W7631" t="s">
        <v>43939</v>
      </c>
      <c r="X7631" t="s">
        <v>45104</v>
      </c>
    </row>
    <row r="7632" spans="1:24">
      <c r="A7632">
        <f>HYPERLINK("https://www.philgeps.gov.ph/GEPSNONPILOT/Tender/SplashBidNoticeAbstractUI.aspx?menuIndex=3&amp;refID=7037028&amp;Result=3","7037028")</f>
        <v>0</v>
      </c>
      <c r="B7632" t="s">
        <v>2242</v>
      </c>
      <c r="C7632" t="s">
        <v>10485</v>
      </c>
      <c r="D7632" t="s">
        <v>18033</v>
      </c>
      <c r="E7632" t="s">
        <v>24808</v>
      </c>
      <c r="F7632" t="s">
        <v>31574</v>
      </c>
      <c r="G7632" t="s">
        <v>31582</v>
      </c>
      <c r="H7632" t="s">
        <v>31590</v>
      </c>
      <c r="I7632" t="s">
        <v>14544</v>
      </c>
      <c r="J7632" t="s">
        <v>36588</v>
      </c>
      <c r="K7632" t="s">
        <v>41190</v>
      </c>
      <c r="M7632" t="s">
        <v>43940</v>
      </c>
      <c r="N7632" t="s">
        <v>45095</v>
      </c>
      <c r="O7632" t="s">
        <v>45096</v>
      </c>
      <c r="P7632">
        <v>0</v>
      </c>
      <c r="Q7632">
        <v>0</v>
      </c>
      <c r="R7632" t="s">
        <v>45103</v>
      </c>
      <c r="S7632" t="s">
        <v>45270</v>
      </c>
      <c r="T7632" t="s">
        <v>47050</v>
      </c>
      <c r="U7632" t="s">
        <v>53823</v>
      </c>
      <c r="W7632" t="s">
        <v>43940</v>
      </c>
      <c r="X7632" t="s">
        <v>45104</v>
      </c>
    </row>
    <row r="7633" spans="1:24">
      <c r="A7633">
        <f>HYPERLINK("https://www.philgeps.gov.ph/GEPSNONPILOT/Tender/SplashBidNoticeAbstractUI.aspx?menuIndex=3&amp;refID=7037010&amp;Result=3","7037010")</f>
        <v>0</v>
      </c>
      <c r="B7633" t="s">
        <v>2243</v>
      </c>
      <c r="C7633" t="s">
        <v>10486</v>
      </c>
      <c r="D7633" t="s">
        <v>18022</v>
      </c>
      <c r="E7633" t="s">
        <v>24809</v>
      </c>
      <c r="F7633" t="s">
        <v>31574</v>
      </c>
      <c r="G7633" t="s">
        <v>31582</v>
      </c>
      <c r="H7633" t="s">
        <v>31590</v>
      </c>
      <c r="I7633" t="s">
        <v>31594</v>
      </c>
      <c r="J7633" t="s">
        <v>33343</v>
      </c>
      <c r="K7633" t="s">
        <v>41192</v>
      </c>
      <c r="M7633" t="s">
        <v>43941</v>
      </c>
      <c r="N7633" t="s">
        <v>45095</v>
      </c>
      <c r="O7633" t="s">
        <v>45096</v>
      </c>
      <c r="P7633">
        <v>0</v>
      </c>
      <c r="Q7633">
        <v>8</v>
      </c>
      <c r="R7633" t="s">
        <v>45103</v>
      </c>
      <c r="S7633" t="s">
        <v>45270</v>
      </c>
      <c r="T7633" t="s">
        <v>47191</v>
      </c>
      <c r="U7633" t="s">
        <v>53824</v>
      </c>
      <c r="W7633" t="s">
        <v>43941</v>
      </c>
      <c r="X7633" t="s">
        <v>45104</v>
      </c>
    </row>
    <row r="7634" spans="1:24">
      <c r="A7634">
        <f>HYPERLINK("https://www.philgeps.gov.ph/GEPSNONPILOT/Tender/SplashBidNoticeAbstractUI.aspx?menuIndex=3&amp;refID=7037039&amp;Result=3","7037039")</f>
        <v>0</v>
      </c>
      <c r="B7634" t="s">
        <v>2244</v>
      </c>
      <c r="C7634" t="s">
        <v>10487</v>
      </c>
      <c r="D7634" t="s">
        <v>18100</v>
      </c>
      <c r="E7634" t="s">
        <v>24810</v>
      </c>
      <c r="F7634" t="s">
        <v>31574</v>
      </c>
      <c r="G7634" t="s">
        <v>31581</v>
      </c>
      <c r="H7634" t="s">
        <v>31590</v>
      </c>
      <c r="I7634" t="s">
        <v>14544</v>
      </c>
      <c r="J7634" t="s">
        <v>36589</v>
      </c>
      <c r="K7634" t="s">
        <v>41184</v>
      </c>
      <c r="M7634" t="s">
        <v>43942</v>
      </c>
      <c r="N7634" t="s">
        <v>45095</v>
      </c>
      <c r="O7634" t="s">
        <v>45096</v>
      </c>
      <c r="P7634">
        <v>0</v>
      </c>
      <c r="Q7634">
        <v>0</v>
      </c>
      <c r="R7634" t="s">
        <v>45103</v>
      </c>
      <c r="S7634" t="s">
        <v>45270</v>
      </c>
      <c r="T7634" t="s">
        <v>47067</v>
      </c>
      <c r="U7634" t="s">
        <v>53825</v>
      </c>
      <c r="W7634" t="s">
        <v>43942</v>
      </c>
      <c r="X7634" t="s">
        <v>45104</v>
      </c>
    </row>
    <row r="7635" spans="1:24">
      <c r="A7635">
        <f>HYPERLINK("https://www.philgeps.gov.ph/GEPSNONPILOT/Tender/SplashBidNoticeAbstractUI.aspx?menuIndex=3&amp;refID=7037030&amp;Result=3","7037030")</f>
        <v>0</v>
      </c>
      <c r="B7635" t="s">
        <v>2225</v>
      </c>
      <c r="C7635" t="s">
        <v>10488</v>
      </c>
      <c r="D7635" t="s">
        <v>18073</v>
      </c>
      <c r="E7635" t="s">
        <v>24811</v>
      </c>
      <c r="F7635" t="s">
        <v>31574</v>
      </c>
      <c r="G7635" t="s">
        <v>31582</v>
      </c>
      <c r="H7635" t="s">
        <v>31591</v>
      </c>
      <c r="I7635" t="s">
        <v>8822</v>
      </c>
      <c r="J7635" t="s">
        <v>32523</v>
      </c>
      <c r="K7635" t="s">
        <v>41215</v>
      </c>
      <c r="M7635" t="s">
        <v>43918</v>
      </c>
      <c r="N7635" t="s">
        <v>45095</v>
      </c>
      <c r="O7635" t="s">
        <v>45096</v>
      </c>
      <c r="P7635">
        <v>0</v>
      </c>
      <c r="Q7635">
        <v>3</v>
      </c>
      <c r="R7635" t="s">
        <v>45103</v>
      </c>
      <c r="S7635" t="s">
        <v>45270</v>
      </c>
      <c r="T7635" t="s">
        <v>46992</v>
      </c>
      <c r="U7635" t="s">
        <v>53826</v>
      </c>
      <c r="W7635" t="s">
        <v>43918</v>
      </c>
      <c r="X7635" t="s">
        <v>45104</v>
      </c>
    </row>
    <row r="7636" spans="1:24">
      <c r="A7636">
        <f>HYPERLINK("https://www.philgeps.gov.ph/GEPSNONPILOT/Tender/SplashBidNoticeAbstractUI.aspx?menuIndex=3&amp;refID=7037011&amp;Result=3","7037011")</f>
        <v>0</v>
      </c>
      <c r="B7636" t="s">
        <v>2225</v>
      </c>
      <c r="C7636" t="s">
        <v>10489</v>
      </c>
      <c r="D7636" t="s">
        <v>18073</v>
      </c>
      <c r="E7636" t="s">
        <v>24812</v>
      </c>
      <c r="F7636" t="s">
        <v>31574</v>
      </c>
      <c r="G7636" t="s">
        <v>31582</v>
      </c>
      <c r="H7636" t="s">
        <v>31591</v>
      </c>
      <c r="I7636" t="s">
        <v>8822</v>
      </c>
      <c r="J7636" t="s">
        <v>32523</v>
      </c>
      <c r="K7636" t="s">
        <v>41215</v>
      </c>
      <c r="M7636" t="s">
        <v>43918</v>
      </c>
      <c r="N7636" t="s">
        <v>45095</v>
      </c>
      <c r="O7636" t="s">
        <v>45096</v>
      </c>
      <c r="P7636">
        <v>0</v>
      </c>
      <c r="Q7636">
        <v>3</v>
      </c>
      <c r="R7636" t="s">
        <v>45103</v>
      </c>
      <c r="S7636" t="s">
        <v>45270</v>
      </c>
      <c r="T7636" t="s">
        <v>46992</v>
      </c>
      <c r="U7636" t="s">
        <v>53827</v>
      </c>
      <c r="W7636" t="s">
        <v>43918</v>
      </c>
      <c r="X7636" t="s">
        <v>45104</v>
      </c>
    </row>
    <row r="7637" spans="1:24">
      <c r="A7637">
        <f>HYPERLINK("https://www.philgeps.gov.ph/GEPSNONPILOT/Tender/SplashBidNoticeAbstractUI.aspx?menuIndex=3&amp;refID=7037009&amp;Result=3","7037009")</f>
        <v>0</v>
      </c>
      <c r="B7637" t="s">
        <v>2245</v>
      </c>
      <c r="C7637" t="s">
        <v>10490</v>
      </c>
      <c r="D7637" t="s">
        <v>18040</v>
      </c>
      <c r="E7637" t="s">
        <v>24813</v>
      </c>
      <c r="F7637" t="s">
        <v>31574</v>
      </c>
      <c r="G7637" t="s">
        <v>31582</v>
      </c>
      <c r="H7637" t="s">
        <v>31593</v>
      </c>
      <c r="I7637" t="s">
        <v>31593</v>
      </c>
      <c r="J7637" t="s">
        <v>36590</v>
      </c>
      <c r="K7637" t="s">
        <v>41285</v>
      </c>
      <c r="M7637" t="s">
        <v>43943</v>
      </c>
      <c r="N7637" t="s">
        <v>45095</v>
      </c>
      <c r="O7637" t="s">
        <v>45096</v>
      </c>
      <c r="P7637">
        <v>0</v>
      </c>
      <c r="Q7637">
        <v>2</v>
      </c>
      <c r="R7637" t="s">
        <v>45103</v>
      </c>
      <c r="S7637" t="s">
        <v>45270</v>
      </c>
      <c r="T7637" t="s">
        <v>46926</v>
      </c>
      <c r="U7637" t="s">
        <v>53828</v>
      </c>
      <c r="W7637" t="s">
        <v>43943</v>
      </c>
      <c r="X7637" t="s">
        <v>45104</v>
      </c>
    </row>
    <row r="7638" spans="1:24">
      <c r="A7638">
        <f>HYPERLINK("https://www.philgeps.gov.ph/GEPSNONPILOT/Tender/SplashBidNoticeAbstractUI.aspx?menuIndex=3&amp;refID=7037035&amp;Result=3","7037035")</f>
        <v>0</v>
      </c>
      <c r="B7638" t="s">
        <v>947</v>
      </c>
      <c r="C7638" t="s">
        <v>10491</v>
      </c>
      <c r="D7638" t="s">
        <v>18033</v>
      </c>
      <c r="E7638" t="s">
        <v>24814</v>
      </c>
      <c r="F7638" t="s">
        <v>31574</v>
      </c>
      <c r="G7638" t="s">
        <v>31582</v>
      </c>
      <c r="H7638" t="s">
        <v>31590</v>
      </c>
      <c r="I7638" t="s">
        <v>31594</v>
      </c>
      <c r="J7638" t="s">
        <v>36591</v>
      </c>
      <c r="K7638" t="s">
        <v>41186</v>
      </c>
      <c r="M7638" t="s">
        <v>43729</v>
      </c>
      <c r="N7638" t="s">
        <v>45095</v>
      </c>
      <c r="O7638" t="s">
        <v>45096</v>
      </c>
      <c r="P7638">
        <v>0</v>
      </c>
      <c r="Q7638">
        <v>13</v>
      </c>
      <c r="R7638" t="s">
        <v>45103</v>
      </c>
      <c r="S7638" t="s">
        <v>45270</v>
      </c>
      <c r="T7638" t="s">
        <v>46992</v>
      </c>
      <c r="U7638" t="s">
        <v>53829</v>
      </c>
      <c r="V7638" t="s">
        <v>60651</v>
      </c>
      <c r="W7638" t="s">
        <v>43729</v>
      </c>
      <c r="X7638" t="s">
        <v>45104</v>
      </c>
    </row>
    <row r="7639" spans="1:24">
      <c r="A7639">
        <f>HYPERLINK("https://www.philgeps.gov.ph/GEPSNONPILOT/Tender/SplashBidNoticeAbstractUI.aspx?menuIndex=3&amp;refID=7037029&amp;Result=3","7037029")</f>
        <v>0</v>
      </c>
      <c r="B7639" t="s">
        <v>2233</v>
      </c>
      <c r="C7639" t="s">
        <v>10492</v>
      </c>
      <c r="D7639" t="s">
        <v>18096</v>
      </c>
      <c r="E7639" t="s">
        <v>24223</v>
      </c>
      <c r="F7639" t="s">
        <v>31575</v>
      </c>
      <c r="G7639" t="s">
        <v>31582</v>
      </c>
      <c r="H7639" t="s">
        <v>31590</v>
      </c>
      <c r="I7639" t="s">
        <v>31625</v>
      </c>
      <c r="J7639" t="s">
        <v>36567</v>
      </c>
      <c r="K7639" t="s">
        <v>41184</v>
      </c>
      <c r="M7639" t="s">
        <v>43930</v>
      </c>
      <c r="N7639" t="s">
        <v>45095</v>
      </c>
      <c r="O7639" t="s">
        <v>45096</v>
      </c>
      <c r="P7639">
        <v>0</v>
      </c>
      <c r="Q7639">
        <v>0</v>
      </c>
      <c r="R7639" t="s">
        <v>45103</v>
      </c>
      <c r="S7639" t="s">
        <v>45270</v>
      </c>
      <c r="T7639" t="s">
        <v>46921</v>
      </c>
      <c r="U7639" t="s">
        <v>53791</v>
      </c>
      <c r="W7639" t="s">
        <v>43930</v>
      </c>
      <c r="X7639" t="s">
        <v>45104</v>
      </c>
    </row>
    <row r="7640" spans="1:24">
      <c r="A7640">
        <f>HYPERLINK("https://www.philgeps.gov.ph/GEPSNONPILOT/Tender/SplashBidNoticeAbstractUI.aspx?menuIndex=3&amp;refID=7037037&amp;Result=3","7037037")</f>
        <v>0</v>
      </c>
      <c r="B7640" t="s">
        <v>2246</v>
      </c>
      <c r="C7640" t="s">
        <v>10493</v>
      </c>
      <c r="D7640" t="s">
        <v>18107</v>
      </c>
      <c r="E7640" t="s">
        <v>24815</v>
      </c>
      <c r="F7640" t="s">
        <v>31574</v>
      </c>
      <c r="G7640" t="s">
        <v>31582</v>
      </c>
      <c r="H7640" t="s">
        <v>31591</v>
      </c>
      <c r="I7640" t="s">
        <v>8822</v>
      </c>
      <c r="J7640" t="s">
        <v>36592</v>
      </c>
      <c r="K7640" t="s">
        <v>41192</v>
      </c>
      <c r="M7640" t="s">
        <v>43944</v>
      </c>
      <c r="N7640" t="s">
        <v>45095</v>
      </c>
      <c r="O7640" t="s">
        <v>45096</v>
      </c>
      <c r="P7640">
        <v>0</v>
      </c>
      <c r="Q7640">
        <v>0</v>
      </c>
      <c r="R7640" t="s">
        <v>45103</v>
      </c>
      <c r="S7640" t="s">
        <v>45270</v>
      </c>
      <c r="T7640" t="s">
        <v>46987</v>
      </c>
      <c r="U7640" t="s">
        <v>53830</v>
      </c>
      <c r="V7640" t="s">
        <v>60652</v>
      </c>
      <c r="W7640" t="s">
        <v>43944</v>
      </c>
      <c r="X7640" t="s">
        <v>45104</v>
      </c>
    </row>
    <row r="7641" spans="1:24">
      <c r="A7641">
        <f>HYPERLINK("https://www.philgeps.gov.ph/GEPSNONPILOT/Tender/SplashBidNoticeAbstractUI.aspx?menuIndex=3&amp;refID=7037033&amp;Result=3","7037033")</f>
        <v>0</v>
      </c>
      <c r="B7641" t="s">
        <v>1863</v>
      </c>
      <c r="C7641" t="s">
        <v>10494</v>
      </c>
      <c r="D7641" t="s">
        <v>18052</v>
      </c>
      <c r="E7641" t="s">
        <v>24816</v>
      </c>
      <c r="F7641" t="s">
        <v>31574</v>
      </c>
      <c r="G7641" t="s">
        <v>31582</v>
      </c>
      <c r="H7641" t="s">
        <v>31590</v>
      </c>
      <c r="I7641" t="s">
        <v>6800</v>
      </c>
      <c r="J7641" t="s">
        <v>36593</v>
      </c>
      <c r="K7641" t="s">
        <v>41196</v>
      </c>
      <c r="M7641" t="s">
        <v>43502</v>
      </c>
      <c r="N7641" t="s">
        <v>45095</v>
      </c>
      <c r="O7641" t="s">
        <v>45096</v>
      </c>
      <c r="P7641">
        <v>0</v>
      </c>
      <c r="Q7641">
        <v>0</v>
      </c>
      <c r="R7641" t="s">
        <v>45103</v>
      </c>
      <c r="S7641" t="s">
        <v>45270</v>
      </c>
      <c r="T7641" t="s">
        <v>46963</v>
      </c>
      <c r="U7641" t="s">
        <v>53831</v>
      </c>
      <c r="W7641" t="s">
        <v>43502</v>
      </c>
      <c r="X7641" t="s">
        <v>45104</v>
      </c>
    </row>
    <row r="7642" spans="1:24">
      <c r="A7642">
        <f>HYPERLINK("https://www.philgeps.gov.ph/GEPSNONPILOT/Tender/SplashBidNoticeAbstractUI.aspx?menuIndex=3&amp;refID=7037043&amp;Result=3","7037043")</f>
        <v>0</v>
      </c>
      <c r="B7642" t="s">
        <v>90</v>
      </c>
      <c r="C7642" t="s">
        <v>10495</v>
      </c>
      <c r="E7642" t="s">
        <v>24817</v>
      </c>
      <c r="F7642" t="s">
        <v>31574</v>
      </c>
      <c r="G7642" t="s">
        <v>31582</v>
      </c>
      <c r="H7642" t="s">
        <v>31591</v>
      </c>
      <c r="I7642" t="s">
        <v>8822</v>
      </c>
      <c r="J7642" t="s">
        <v>36594</v>
      </c>
      <c r="K7642" t="s">
        <v>41184</v>
      </c>
      <c r="M7642" t="s">
        <v>41574</v>
      </c>
      <c r="N7642" t="s">
        <v>45095</v>
      </c>
      <c r="O7642" t="s">
        <v>45096</v>
      </c>
      <c r="Q7642">
        <v>2</v>
      </c>
      <c r="R7642" t="s">
        <v>45103</v>
      </c>
      <c r="S7642" t="s">
        <v>45283</v>
      </c>
      <c r="T7642" t="s">
        <v>46992</v>
      </c>
      <c r="U7642" t="s">
        <v>53832</v>
      </c>
      <c r="W7642" t="s">
        <v>41574</v>
      </c>
      <c r="X7642" t="s">
        <v>45104</v>
      </c>
    </row>
    <row r="7643" spans="1:24">
      <c r="A7643">
        <f>HYPERLINK("https://www.philgeps.gov.ph/GEPSNONPILOT/Tender/SplashBidNoticeAbstractUI.aspx?menuIndex=3&amp;refID=7037058&amp;Result=3","7037058")</f>
        <v>0</v>
      </c>
      <c r="B7643" t="s">
        <v>1531</v>
      </c>
      <c r="C7643" t="s">
        <v>10496</v>
      </c>
      <c r="D7643" t="s">
        <v>18044</v>
      </c>
      <c r="E7643" t="s">
        <v>24818</v>
      </c>
      <c r="F7643" t="s">
        <v>31574</v>
      </c>
      <c r="G7643" t="s">
        <v>31582</v>
      </c>
      <c r="H7643" t="s">
        <v>31591</v>
      </c>
      <c r="I7643" t="s">
        <v>8822</v>
      </c>
      <c r="J7643" t="s">
        <v>34058</v>
      </c>
      <c r="K7643" t="s">
        <v>41357</v>
      </c>
      <c r="M7643" t="s">
        <v>43122</v>
      </c>
      <c r="N7643" t="s">
        <v>45095</v>
      </c>
      <c r="O7643" t="s">
        <v>45096</v>
      </c>
      <c r="P7643">
        <v>0</v>
      </c>
      <c r="Q7643">
        <v>3</v>
      </c>
      <c r="R7643" t="s">
        <v>45103</v>
      </c>
      <c r="S7643" t="s">
        <v>45270</v>
      </c>
      <c r="T7643" t="s">
        <v>47000</v>
      </c>
      <c r="U7643" t="s">
        <v>53701</v>
      </c>
      <c r="W7643" t="s">
        <v>43122</v>
      </c>
      <c r="X7643" t="s">
        <v>45104</v>
      </c>
    </row>
    <row r="7644" spans="1:24">
      <c r="A7644">
        <f>HYPERLINK("https://www.philgeps.gov.ph/GEPSNONPILOT/Tender/SplashBidNoticeAbstractUI.aspx?menuIndex=3&amp;refID=7037053&amp;Result=3","7037053")</f>
        <v>0</v>
      </c>
      <c r="B7644" t="s">
        <v>1310</v>
      </c>
      <c r="C7644" t="s">
        <v>10497</v>
      </c>
      <c r="D7644" t="s">
        <v>18074</v>
      </c>
      <c r="E7644" t="s">
        <v>24819</v>
      </c>
      <c r="F7644" t="s">
        <v>31574</v>
      </c>
      <c r="G7644" t="s">
        <v>31582</v>
      </c>
      <c r="H7644" t="s">
        <v>31590</v>
      </c>
      <c r="I7644" t="s">
        <v>6800</v>
      </c>
      <c r="J7644" t="s">
        <v>36595</v>
      </c>
      <c r="K7644" t="s">
        <v>41190</v>
      </c>
      <c r="M7644" t="s">
        <v>42880</v>
      </c>
      <c r="N7644" t="s">
        <v>45095</v>
      </c>
      <c r="O7644" t="s">
        <v>45096</v>
      </c>
      <c r="P7644">
        <v>0</v>
      </c>
      <c r="Q7644">
        <v>0</v>
      </c>
      <c r="R7644" t="s">
        <v>45103</v>
      </c>
      <c r="S7644" t="s">
        <v>45270</v>
      </c>
      <c r="T7644" t="s">
        <v>47043</v>
      </c>
      <c r="U7644" t="s">
        <v>53833</v>
      </c>
      <c r="W7644" t="s">
        <v>42880</v>
      </c>
      <c r="X7644" t="s">
        <v>45104</v>
      </c>
    </row>
    <row r="7645" spans="1:24">
      <c r="A7645">
        <f>HYPERLINK("https://www.philgeps.gov.ph/GEPSNONPILOT/Tender/SplashBidNoticeAbstractUI.aspx?menuIndex=3&amp;refID=7037052&amp;Result=3","7037052")</f>
        <v>0</v>
      </c>
      <c r="B7645" t="s">
        <v>274</v>
      </c>
      <c r="C7645" t="s">
        <v>10498</v>
      </c>
      <c r="D7645" t="s">
        <v>18071</v>
      </c>
      <c r="E7645" t="s">
        <v>24820</v>
      </c>
      <c r="F7645" t="s">
        <v>31574</v>
      </c>
      <c r="G7645" t="s">
        <v>31582</v>
      </c>
      <c r="H7645" t="s">
        <v>31590</v>
      </c>
      <c r="I7645" t="s">
        <v>4046</v>
      </c>
      <c r="J7645" t="s">
        <v>36596</v>
      </c>
      <c r="K7645" t="s">
        <v>41184</v>
      </c>
      <c r="M7645" t="s">
        <v>41760</v>
      </c>
      <c r="N7645" t="s">
        <v>45095</v>
      </c>
      <c r="O7645" t="s">
        <v>45096</v>
      </c>
      <c r="P7645">
        <v>0</v>
      </c>
      <c r="Q7645">
        <v>0</v>
      </c>
      <c r="R7645" t="s">
        <v>45103</v>
      </c>
      <c r="S7645" t="s">
        <v>45270</v>
      </c>
      <c r="T7645" t="s">
        <v>46963</v>
      </c>
      <c r="U7645" t="s">
        <v>53834</v>
      </c>
      <c r="W7645" t="s">
        <v>61724</v>
      </c>
      <c r="X7645" t="s">
        <v>45104</v>
      </c>
    </row>
    <row r="7646" spans="1:24">
      <c r="A7646">
        <f>HYPERLINK("https://www.philgeps.gov.ph/GEPSNONPILOT/Tender/SplashBidNoticeAbstractUI.aspx?menuIndex=3&amp;refID=7037065&amp;Result=3","7037065")</f>
        <v>0</v>
      </c>
      <c r="B7646" t="s">
        <v>249</v>
      </c>
      <c r="C7646" t="s">
        <v>10499</v>
      </c>
      <c r="D7646" t="s">
        <v>18039</v>
      </c>
      <c r="E7646" t="s">
        <v>24821</v>
      </c>
      <c r="F7646" t="s">
        <v>31576</v>
      </c>
      <c r="G7646" t="s">
        <v>31585</v>
      </c>
      <c r="H7646" t="s">
        <v>31592</v>
      </c>
      <c r="I7646" t="s">
        <v>31688</v>
      </c>
      <c r="J7646" t="s">
        <v>33039</v>
      </c>
      <c r="K7646" t="s">
        <v>41200</v>
      </c>
      <c r="M7646" t="s">
        <v>41735</v>
      </c>
      <c r="N7646" t="s">
        <v>45095</v>
      </c>
      <c r="O7646" t="s">
        <v>45096</v>
      </c>
      <c r="P7646">
        <v>0</v>
      </c>
      <c r="Q7646">
        <v>1</v>
      </c>
      <c r="R7646" t="s">
        <v>45103</v>
      </c>
      <c r="S7646" t="s">
        <v>45270</v>
      </c>
      <c r="T7646" t="s">
        <v>47323</v>
      </c>
      <c r="U7646" t="s">
        <v>53835</v>
      </c>
      <c r="V7646" t="s">
        <v>60433</v>
      </c>
      <c r="W7646" t="s">
        <v>41735</v>
      </c>
      <c r="X7646" t="s">
        <v>45104</v>
      </c>
    </row>
    <row r="7647" spans="1:24">
      <c r="A7647">
        <f>HYPERLINK("https://www.philgeps.gov.ph/GEPSNONPILOT/Tender/SplashBidNoticeAbstractUI.aspx?menuIndex=3&amp;refID=7037045&amp;Result=3","7037045")</f>
        <v>0</v>
      </c>
      <c r="B7647" t="s">
        <v>506</v>
      </c>
      <c r="C7647" t="s">
        <v>10500</v>
      </c>
      <c r="E7647" t="s">
        <v>24822</v>
      </c>
      <c r="F7647" t="s">
        <v>31574</v>
      </c>
      <c r="G7647" t="s">
        <v>31582</v>
      </c>
      <c r="H7647" t="s">
        <v>31593</v>
      </c>
      <c r="I7647" t="s">
        <v>31593</v>
      </c>
      <c r="J7647" t="s">
        <v>36597</v>
      </c>
      <c r="K7647" t="s">
        <v>41184</v>
      </c>
      <c r="M7647" t="s">
        <v>42002</v>
      </c>
      <c r="N7647" t="s">
        <v>45095</v>
      </c>
      <c r="O7647" t="s">
        <v>45096</v>
      </c>
      <c r="P7647">
        <v>0</v>
      </c>
      <c r="Q7647">
        <v>1</v>
      </c>
      <c r="R7647" t="s">
        <v>45103</v>
      </c>
      <c r="S7647" t="s">
        <v>45270</v>
      </c>
      <c r="T7647" t="s">
        <v>47000</v>
      </c>
      <c r="U7647" t="s">
        <v>53836</v>
      </c>
      <c r="V7647" t="s">
        <v>60653</v>
      </c>
      <c r="W7647" t="s">
        <v>42002</v>
      </c>
      <c r="X7647" t="s">
        <v>45104</v>
      </c>
    </row>
    <row r="7648" spans="1:24">
      <c r="A7648">
        <f>HYPERLINK("https://www.philgeps.gov.ph/GEPSNONPILOT/Tender/SplashBidNoticeAbstractUI.aspx?menuIndex=3&amp;refID=7037048&amp;Result=3","7037048")</f>
        <v>0</v>
      </c>
      <c r="B7648" t="s">
        <v>886</v>
      </c>
      <c r="C7648" t="s">
        <v>10501</v>
      </c>
      <c r="E7648" t="s">
        <v>24823</v>
      </c>
      <c r="F7648" t="s">
        <v>31574</v>
      </c>
      <c r="G7648" t="s">
        <v>31581</v>
      </c>
      <c r="H7648" t="s">
        <v>31590</v>
      </c>
      <c r="I7648" t="s">
        <v>31656</v>
      </c>
      <c r="J7648" t="s">
        <v>32375</v>
      </c>
      <c r="K7648" t="s">
        <v>41184</v>
      </c>
      <c r="M7648" t="s">
        <v>42407</v>
      </c>
      <c r="N7648" t="s">
        <v>45095</v>
      </c>
      <c r="O7648" t="s">
        <v>45096</v>
      </c>
      <c r="P7648">
        <v>0</v>
      </c>
      <c r="Q7648">
        <v>3</v>
      </c>
      <c r="R7648" t="s">
        <v>45103</v>
      </c>
      <c r="S7648" t="s">
        <v>45270</v>
      </c>
      <c r="T7648" t="s">
        <v>47080</v>
      </c>
      <c r="U7648" t="s">
        <v>53363</v>
      </c>
      <c r="W7648" t="s">
        <v>42407</v>
      </c>
      <c r="X7648" t="s">
        <v>45104</v>
      </c>
    </row>
    <row r="7649" spans="1:24">
      <c r="A7649">
        <f>HYPERLINK("https://www.philgeps.gov.ph/GEPSNONPILOT/Tender/SplashBidNoticeAbstractUI.aspx?menuIndex=3&amp;refID=7037055&amp;Result=3","7037055")</f>
        <v>0</v>
      </c>
      <c r="B7649" t="s">
        <v>1837</v>
      </c>
      <c r="C7649" t="s">
        <v>10502</v>
      </c>
      <c r="D7649" t="s">
        <v>18040</v>
      </c>
      <c r="E7649" t="s">
        <v>24824</v>
      </c>
      <c r="F7649" t="s">
        <v>31574</v>
      </c>
      <c r="G7649" t="s">
        <v>31582</v>
      </c>
      <c r="H7649" t="s">
        <v>31591</v>
      </c>
      <c r="I7649" t="s">
        <v>7162</v>
      </c>
      <c r="J7649" t="s">
        <v>32232</v>
      </c>
      <c r="K7649" t="s">
        <v>41196</v>
      </c>
      <c r="M7649" t="s">
        <v>43474</v>
      </c>
      <c r="N7649" t="s">
        <v>45095</v>
      </c>
      <c r="O7649" t="s">
        <v>45096</v>
      </c>
      <c r="P7649">
        <v>0</v>
      </c>
      <c r="Q7649">
        <v>1</v>
      </c>
      <c r="R7649" t="s">
        <v>45103</v>
      </c>
      <c r="S7649" t="s">
        <v>45270</v>
      </c>
      <c r="T7649" t="s">
        <v>47058</v>
      </c>
      <c r="U7649" t="s">
        <v>53837</v>
      </c>
      <c r="W7649" t="s">
        <v>43474</v>
      </c>
      <c r="X7649" t="s">
        <v>45104</v>
      </c>
    </row>
    <row r="7650" spans="1:24">
      <c r="A7650">
        <f>HYPERLINK("https://www.philgeps.gov.ph/GEPSNONPILOT/Tender/SplashBidNoticeAbstractUI.aspx?menuIndex=3&amp;refID=7037085&amp;Result=3","7037085")</f>
        <v>0</v>
      </c>
      <c r="B7650" t="s">
        <v>2247</v>
      </c>
      <c r="C7650" t="s">
        <v>10503</v>
      </c>
      <c r="D7650" t="s">
        <v>18023</v>
      </c>
      <c r="E7650" t="s">
        <v>19118</v>
      </c>
      <c r="F7650" t="s">
        <v>31574</v>
      </c>
      <c r="G7650" t="s">
        <v>31582</v>
      </c>
      <c r="H7650" t="s">
        <v>31590</v>
      </c>
      <c r="I7650" t="s">
        <v>4046</v>
      </c>
      <c r="J7650" t="s">
        <v>32246</v>
      </c>
      <c r="K7650" t="s">
        <v>41193</v>
      </c>
      <c r="M7650" t="s">
        <v>43945</v>
      </c>
      <c r="N7650" t="s">
        <v>45095</v>
      </c>
      <c r="O7650" t="s">
        <v>45096</v>
      </c>
      <c r="P7650">
        <v>0</v>
      </c>
      <c r="Q7650">
        <v>0</v>
      </c>
      <c r="R7650" t="s">
        <v>45103</v>
      </c>
      <c r="S7650" t="s">
        <v>45270</v>
      </c>
      <c r="T7650" t="s">
        <v>47058</v>
      </c>
      <c r="U7650" t="s">
        <v>53838</v>
      </c>
      <c r="W7650" t="s">
        <v>43945</v>
      </c>
      <c r="X7650" t="s">
        <v>45104</v>
      </c>
    </row>
    <row r="7651" spans="1:24">
      <c r="A7651">
        <f>HYPERLINK("https://www.philgeps.gov.ph/GEPSNONPILOT/Tender/SplashBidNoticeAbstractUI.aspx?menuIndex=3&amp;refID=7037080&amp;Result=3","7037080")</f>
        <v>0</v>
      </c>
      <c r="B7651" t="s">
        <v>82</v>
      </c>
      <c r="C7651" t="s">
        <v>10504</v>
      </c>
      <c r="D7651" t="s">
        <v>18058</v>
      </c>
      <c r="E7651" t="s">
        <v>24825</v>
      </c>
      <c r="F7651" t="s">
        <v>31574</v>
      </c>
      <c r="G7651" t="s">
        <v>31581</v>
      </c>
      <c r="H7651" t="s">
        <v>31590</v>
      </c>
      <c r="I7651" t="s">
        <v>14544</v>
      </c>
      <c r="J7651" t="s">
        <v>32716</v>
      </c>
      <c r="K7651" t="s">
        <v>41193</v>
      </c>
      <c r="M7651" t="s">
        <v>41566</v>
      </c>
      <c r="N7651" t="s">
        <v>45095</v>
      </c>
      <c r="O7651" t="s">
        <v>45096</v>
      </c>
      <c r="P7651">
        <v>0</v>
      </c>
      <c r="Q7651">
        <v>0</v>
      </c>
      <c r="R7651" t="s">
        <v>45103</v>
      </c>
      <c r="S7651" t="s">
        <v>45270</v>
      </c>
      <c r="T7651" t="s">
        <v>47301</v>
      </c>
      <c r="U7651" t="s">
        <v>53839</v>
      </c>
      <c r="W7651" t="s">
        <v>41566</v>
      </c>
      <c r="X7651" t="s">
        <v>45104</v>
      </c>
    </row>
    <row r="7652" spans="1:24">
      <c r="A7652">
        <f>HYPERLINK("https://www.philgeps.gov.ph/GEPSNONPILOT/Tender/SplashBidNoticeAbstractUI.aspx?menuIndex=3&amp;refID=7037051&amp;Result=3","7037051")</f>
        <v>0</v>
      </c>
      <c r="B7652" t="s">
        <v>2248</v>
      </c>
      <c r="C7652" t="s">
        <v>10505</v>
      </c>
      <c r="D7652" t="s">
        <v>18078</v>
      </c>
      <c r="E7652" t="s">
        <v>24826</v>
      </c>
      <c r="F7652" t="s">
        <v>31574</v>
      </c>
      <c r="G7652" t="s">
        <v>31582</v>
      </c>
      <c r="H7652" t="s">
        <v>31591</v>
      </c>
      <c r="I7652" t="s">
        <v>8822</v>
      </c>
      <c r="J7652" t="s">
        <v>36598</v>
      </c>
      <c r="K7652" t="s">
        <v>41269</v>
      </c>
      <c r="M7652" t="s">
        <v>43946</v>
      </c>
      <c r="N7652" t="s">
        <v>45095</v>
      </c>
      <c r="O7652" t="s">
        <v>45096</v>
      </c>
      <c r="P7652">
        <v>0</v>
      </c>
      <c r="Q7652">
        <v>0</v>
      </c>
      <c r="R7652" t="s">
        <v>45103</v>
      </c>
      <c r="S7652" t="s">
        <v>45270</v>
      </c>
      <c r="T7652" t="s">
        <v>47100</v>
      </c>
      <c r="U7652" t="s">
        <v>53840</v>
      </c>
      <c r="W7652" t="s">
        <v>43946</v>
      </c>
      <c r="X7652" t="s">
        <v>45104</v>
      </c>
    </row>
    <row r="7653" spans="1:24">
      <c r="A7653">
        <f>HYPERLINK("https://www.philgeps.gov.ph/GEPSNONPILOT/Tender/SplashBidNoticeAbstractUI.aspx?menuIndex=3&amp;refID=7037084&amp;Result=3","7037084")</f>
        <v>0</v>
      </c>
      <c r="B7653" t="s">
        <v>2249</v>
      </c>
      <c r="C7653" t="s">
        <v>10506</v>
      </c>
      <c r="D7653" t="s">
        <v>18035</v>
      </c>
      <c r="E7653" t="s">
        <v>24827</v>
      </c>
      <c r="F7653" t="s">
        <v>31574</v>
      </c>
      <c r="G7653" t="s">
        <v>31582</v>
      </c>
      <c r="H7653" t="s">
        <v>31591</v>
      </c>
      <c r="I7653" t="s">
        <v>8822</v>
      </c>
      <c r="J7653" t="s">
        <v>31789</v>
      </c>
      <c r="K7653" t="s">
        <v>41184</v>
      </c>
      <c r="M7653" t="s">
        <v>43947</v>
      </c>
      <c r="N7653" t="s">
        <v>45095</v>
      </c>
      <c r="O7653" t="s">
        <v>45096</v>
      </c>
      <c r="P7653">
        <v>0</v>
      </c>
      <c r="Q7653">
        <v>1</v>
      </c>
      <c r="R7653" t="s">
        <v>45103</v>
      </c>
      <c r="S7653" t="s">
        <v>45270</v>
      </c>
      <c r="T7653" t="s">
        <v>47125</v>
      </c>
      <c r="U7653" t="s">
        <v>53841</v>
      </c>
      <c r="V7653" t="s">
        <v>60654</v>
      </c>
      <c r="W7653" t="s">
        <v>43947</v>
      </c>
      <c r="X7653" t="s">
        <v>45104</v>
      </c>
    </row>
    <row r="7654" spans="1:24">
      <c r="A7654">
        <f>HYPERLINK("https://www.philgeps.gov.ph/GEPSNONPILOT/Tender/SplashBidNoticeAbstractUI.aspx?menuIndex=3&amp;refID=7037078&amp;Result=3","7037078")</f>
        <v>0</v>
      </c>
      <c r="B7654" t="s">
        <v>1934</v>
      </c>
      <c r="C7654" t="s">
        <v>10507</v>
      </c>
      <c r="D7654" t="s">
        <v>18063</v>
      </c>
      <c r="E7654" t="s">
        <v>24828</v>
      </c>
      <c r="F7654" t="s">
        <v>31574</v>
      </c>
      <c r="G7654" t="s">
        <v>31585</v>
      </c>
      <c r="H7654" t="s">
        <v>31590</v>
      </c>
      <c r="I7654" t="s">
        <v>7185</v>
      </c>
      <c r="J7654" t="s">
        <v>36599</v>
      </c>
      <c r="K7654" t="s">
        <v>41184</v>
      </c>
      <c r="M7654" t="s">
        <v>43589</v>
      </c>
      <c r="N7654" t="s">
        <v>45095</v>
      </c>
      <c r="O7654" t="s">
        <v>45096</v>
      </c>
      <c r="Q7654">
        <v>17</v>
      </c>
      <c r="R7654" t="s">
        <v>45103</v>
      </c>
      <c r="S7654" t="s">
        <v>45284</v>
      </c>
      <c r="T7654" t="s">
        <v>46992</v>
      </c>
      <c r="U7654" t="s">
        <v>53842</v>
      </c>
      <c r="W7654" t="s">
        <v>43589</v>
      </c>
      <c r="X7654" t="s">
        <v>45104</v>
      </c>
    </row>
    <row r="7655" spans="1:24">
      <c r="A7655">
        <f>HYPERLINK("https://www.philgeps.gov.ph/GEPSNONPILOT/Tender/SplashBidNoticeAbstractUI.aspx?menuIndex=3&amp;refID=7037070&amp;Result=3","7037070")</f>
        <v>0</v>
      </c>
      <c r="B7655" t="s">
        <v>947</v>
      </c>
      <c r="C7655" t="s">
        <v>10508</v>
      </c>
      <c r="D7655" t="s">
        <v>18033</v>
      </c>
      <c r="E7655" t="s">
        <v>24829</v>
      </c>
      <c r="F7655" t="s">
        <v>31574</v>
      </c>
      <c r="G7655" t="s">
        <v>31582</v>
      </c>
      <c r="H7655" t="s">
        <v>31590</v>
      </c>
      <c r="I7655" t="s">
        <v>8258</v>
      </c>
      <c r="J7655" t="s">
        <v>36600</v>
      </c>
      <c r="K7655" t="s">
        <v>41186</v>
      </c>
      <c r="M7655" t="s">
        <v>43729</v>
      </c>
      <c r="N7655" t="s">
        <v>45095</v>
      </c>
      <c r="O7655" t="s">
        <v>45096</v>
      </c>
      <c r="P7655">
        <v>0</v>
      </c>
      <c r="Q7655">
        <v>15</v>
      </c>
      <c r="R7655" t="s">
        <v>45103</v>
      </c>
      <c r="S7655" t="s">
        <v>45270</v>
      </c>
      <c r="T7655" t="s">
        <v>46992</v>
      </c>
      <c r="U7655" t="s">
        <v>53843</v>
      </c>
      <c r="V7655" t="s">
        <v>60655</v>
      </c>
      <c r="W7655" t="s">
        <v>43729</v>
      </c>
      <c r="X7655" t="s">
        <v>45104</v>
      </c>
    </row>
    <row r="7656" spans="1:24">
      <c r="A7656">
        <f>HYPERLINK("https://www.philgeps.gov.ph/GEPSNONPILOT/Tender/SplashBidNoticeAbstractUI.aspx?menuIndex=3&amp;refID=7037057&amp;Result=3","7037057")</f>
        <v>0</v>
      </c>
      <c r="B7656" t="s">
        <v>90</v>
      </c>
      <c r="C7656" t="s">
        <v>10509</v>
      </c>
      <c r="E7656" t="s">
        <v>24830</v>
      </c>
      <c r="F7656" t="s">
        <v>31574</v>
      </c>
      <c r="G7656" t="s">
        <v>31582</v>
      </c>
      <c r="H7656" t="s">
        <v>31591</v>
      </c>
      <c r="I7656" t="s">
        <v>8822</v>
      </c>
      <c r="J7656" t="s">
        <v>36601</v>
      </c>
      <c r="K7656" t="s">
        <v>41184</v>
      </c>
      <c r="M7656" t="s">
        <v>41574</v>
      </c>
      <c r="N7656" t="s">
        <v>45095</v>
      </c>
      <c r="O7656" t="s">
        <v>45096</v>
      </c>
      <c r="Q7656">
        <v>2</v>
      </c>
      <c r="R7656" t="s">
        <v>45103</v>
      </c>
      <c r="S7656" t="s">
        <v>45285</v>
      </c>
      <c r="T7656" t="s">
        <v>46988</v>
      </c>
      <c r="U7656" t="s">
        <v>53844</v>
      </c>
      <c r="W7656" t="s">
        <v>41574</v>
      </c>
      <c r="X7656" t="s">
        <v>45104</v>
      </c>
    </row>
    <row r="7657" spans="1:24">
      <c r="A7657">
        <f>HYPERLINK("https://www.philgeps.gov.ph/GEPSNONPILOT/Tender/SplashBidNoticeAbstractUI.aspx?menuIndex=3&amp;refID=7037087&amp;Result=3","7037087")</f>
        <v>0</v>
      </c>
      <c r="B7657" t="s">
        <v>82</v>
      </c>
      <c r="C7657" t="s">
        <v>10510</v>
      </c>
      <c r="D7657" t="s">
        <v>18058</v>
      </c>
      <c r="E7657" t="s">
        <v>24831</v>
      </c>
      <c r="F7657" t="s">
        <v>31574</v>
      </c>
      <c r="G7657" t="s">
        <v>31585</v>
      </c>
      <c r="H7657" t="s">
        <v>31590</v>
      </c>
      <c r="I7657" t="s">
        <v>3487</v>
      </c>
      <c r="J7657" t="s">
        <v>36602</v>
      </c>
      <c r="K7657" t="s">
        <v>41193</v>
      </c>
      <c r="M7657" t="s">
        <v>41566</v>
      </c>
      <c r="N7657" t="s">
        <v>45095</v>
      </c>
      <c r="O7657" t="s">
        <v>45096</v>
      </c>
      <c r="P7657">
        <v>0</v>
      </c>
      <c r="Q7657">
        <v>1</v>
      </c>
      <c r="R7657" t="s">
        <v>45103</v>
      </c>
      <c r="S7657" t="s">
        <v>45270</v>
      </c>
      <c r="T7657" t="s">
        <v>47301</v>
      </c>
      <c r="U7657" t="s">
        <v>53845</v>
      </c>
      <c r="W7657" t="s">
        <v>41566</v>
      </c>
      <c r="X7657" t="s">
        <v>45104</v>
      </c>
    </row>
    <row r="7658" spans="1:24">
      <c r="A7658">
        <f>HYPERLINK("https://www.philgeps.gov.ph/GEPSNONPILOT/Tender/SplashBidNoticeAbstractUI.aspx?menuIndex=3&amp;refID=7037060&amp;Result=3","7037060")</f>
        <v>0</v>
      </c>
      <c r="B7658" t="s">
        <v>2075</v>
      </c>
      <c r="C7658" t="s">
        <v>10511</v>
      </c>
      <c r="D7658" t="s">
        <v>18073</v>
      </c>
      <c r="E7658" t="s">
        <v>24832</v>
      </c>
      <c r="F7658" t="s">
        <v>31574</v>
      </c>
      <c r="G7658" t="s">
        <v>31582</v>
      </c>
      <c r="H7658" t="s">
        <v>31591</v>
      </c>
      <c r="I7658" t="s">
        <v>8822</v>
      </c>
      <c r="J7658" t="s">
        <v>31935</v>
      </c>
      <c r="K7658" t="s">
        <v>41228</v>
      </c>
      <c r="M7658" t="s">
        <v>43749</v>
      </c>
      <c r="N7658" t="s">
        <v>45095</v>
      </c>
      <c r="O7658" t="s">
        <v>45096</v>
      </c>
      <c r="P7658">
        <v>0</v>
      </c>
      <c r="Q7658">
        <v>0</v>
      </c>
      <c r="R7658" t="s">
        <v>45103</v>
      </c>
      <c r="S7658" t="s">
        <v>45270</v>
      </c>
      <c r="T7658" t="s">
        <v>47266</v>
      </c>
      <c r="U7658" t="s">
        <v>53846</v>
      </c>
      <c r="W7658" t="s">
        <v>61725</v>
      </c>
      <c r="X7658" t="s">
        <v>45104</v>
      </c>
    </row>
    <row r="7659" spans="1:24">
      <c r="A7659">
        <f>HYPERLINK("https://www.philgeps.gov.ph/GEPSNONPILOT/Tender/SplashBidNoticeAbstractUI.aspx?menuIndex=3&amp;refID=7037074&amp;Result=3","7037074")</f>
        <v>0</v>
      </c>
      <c r="B7659" t="s">
        <v>90</v>
      </c>
      <c r="C7659" t="s">
        <v>10512</v>
      </c>
      <c r="E7659" t="s">
        <v>24833</v>
      </c>
      <c r="F7659" t="s">
        <v>31574</v>
      </c>
      <c r="G7659" t="s">
        <v>31582</v>
      </c>
      <c r="H7659" t="s">
        <v>31591</v>
      </c>
      <c r="I7659" t="s">
        <v>8822</v>
      </c>
      <c r="J7659" t="s">
        <v>36603</v>
      </c>
      <c r="K7659" t="s">
        <v>41184</v>
      </c>
      <c r="M7659" t="s">
        <v>41574</v>
      </c>
      <c r="N7659" t="s">
        <v>45095</v>
      </c>
      <c r="O7659" t="s">
        <v>45096</v>
      </c>
      <c r="Q7659">
        <v>2</v>
      </c>
      <c r="R7659" t="s">
        <v>45103</v>
      </c>
      <c r="S7659" t="s">
        <v>45286</v>
      </c>
      <c r="T7659" t="s">
        <v>46999</v>
      </c>
      <c r="U7659" t="s">
        <v>53847</v>
      </c>
      <c r="W7659" t="s">
        <v>41574</v>
      </c>
      <c r="X7659" t="s">
        <v>45104</v>
      </c>
    </row>
    <row r="7660" spans="1:24">
      <c r="A7660">
        <f>HYPERLINK("https://www.philgeps.gov.ph/GEPSNONPILOT/Tender/SplashBidNoticeAbstractUI.aspx?menuIndex=3&amp;refID=7037089&amp;Result=3","7037089")</f>
        <v>0</v>
      </c>
      <c r="B7660" t="s">
        <v>2075</v>
      </c>
      <c r="C7660" t="s">
        <v>10513</v>
      </c>
      <c r="D7660" t="s">
        <v>18073</v>
      </c>
      <c r="E7660" t="s">
        <v>24834</v>
      </c>
      <c r="F7660" t="s">
        <v>31574</v>
      </c>
      <c r="G7660" t="s">
        <v>31582</v>
      </c>
      <c r="H7660" t="s">
        <v>31591</v>
      </c>
      <c r="I7660" t="s">
        <v>8822</v>
      </c>
      <c r="J7660" t="s">
        <v>32662</v>
      </c>
      <c r="K7660" t="s">
        <v>41243</v>
      </c>
      <c r="M7660" t="s">
        <v>43749</v>
      </c>
      <c r="N7660" t="s">
        <v>45095</v>
      </c>
      <c r="O7660" t="s">
        <v>45096</v>
      </c>
      <c r="P7660">
        <v>0</v>
      </c>
      <c r="Q7660">
        <v>0</v>
      </c>
      <c r="R7660" t="s">
        <v>45103</v>
      </c>
      <c r="S7660" t="s">
        <v>45270</v>
      </c>
      <c r="T7660" t="s">
        <v>47266</v>
      </c>
      <c r="U7660" t="s">
        <v>53848</v>
      </c>
      <c r="W7660" t="s">
        <v>61725</v>
      </c>
      <c r="X7660" t="s">
        <v>45104</v>
      </c>
    </row>
    <row r="7661" spans="1:24">
      <c r="A7661">
        <f>HYPERLINK("https://www.philgeps.gov.ph/GEPSNONPILOT/Tender/SplashBidNoticeAbstractUI.aspx?menuIndex=3&amp;refID=7037068&amp;Result=3","7037068")</f>
        <v>0</v>
      </c>
      <c r="B7661" t="s">
        <v>1863</v>
      </c>
      <c r="C7661" t="s">
        <v>10514</v>
      </c>
      <c r="D7661" t="s">
        <v>18052</v>
      </c>
      <c r="E7661" t="s">
        <v>24835</v>
      </c>
      <c r="F7661" t="s">
        <v>31574</v>
      </c>
      <c r="G7661" t="s">
        <v>31582</v>
      </c>
      <c r="H7661" t="s">
        <v>31590</v>
      </c>
      <c r="I7661" t="s">
        <v>3487</v>
      </c>
      <c r="J7661" t="s">
        <v>36604</v>
      </c>
      <c r="K7661" t="s">
        <v>41196</v>
      </c>
      <c r="M7661" t="s">
        <v>43502</v>
      </c>
      <c r="N7661" t="s">
        <v>45095</v>
      </c>
      <c r="O7661" t="s">
        <v>45096</v>
      </c>
      <c r="P7661">
        <v>0</v>
      </c>
      <c r="Q7661">
        <v>0</v>
      </c>
      <c r="R7661" t="s">
        <v>45103</v>
      </c>
      <c r="S7661" t="s">
        <v>45270</v>
      </c>
      <c r="T7661" t="s">
        <v>46963</v>
      </c>
      <c r="U7661" t="s">
        <v>53849</v>
      </c>
      <c r="W7661" t="s">
        <v>43502</v>
      </c>
      <c r="X7661" t="s">
        <v>45104</v>
      </c>
    </row>
    <row r="7662" spans="1:24">
      <c r="A7662">
        <f>HYPERLINK("https://www.philgeps.gov.ph/GEPSNONPILOT/Tender/SplashBidNoticeAbstractUI.aspx?menuIndex=3&amp;refID=7037075&amp;Result=3","7037075")</f>
        <v>0</v>
      </c>
      <c r="B7662" t="s">
        <v>1531</v>
      </c>
      <c r="C7662" t="s">
        <v>10515</v>
      </c>
      <c r="D7662" t="s">
        <v>18044</v>
      </c>
      <c r="E7662" t="s">
        <v>24836</v>
      </c>
      <c r="F7662" t="s">
        <v>31574</v>
      </c>
      <c r="G7662" t="s">
        <v>31582</v>
      </c>
      <c r="H7662" t="s">
        <v>31591</v>
      </c>
      <c r="I7662" t="s">
        <v>8822</v>
      </c>
      <c r="J7662" t="s">
        <v>34059</v>
      </c>
      <c r="K7662" t="s">
        <v>41358</v>
      </c>
      <c r="M7662" t="s">
        <v>43122</v>
      </c>
      <c r="N7662" t="s">
        <v>45095</v>
      </c>
      <c r="O7662" t="s">
        <v>45096</v>
      </c>
      <c r="P7662">
        <v>0</v>
      </c>
      <c r="Q7662">
        <v>3</v>
      </c>
      <c r="R7662" t="s">
        <v>45103</v>
      </c>
      <c r="S7662" t="s">
        <v>45270</v>
      </c>
      <c r="T7662" t="s">
        <v>47000</v>
      </c>
      <c r="U7662" t="s">
        <v>53701</v>
      </c>
      <c r="W7662" t="s">
        <v>43122</v>
      </c>
      <c r="X7662" t="s">
        <v>45104</v>
      </c>
    </row>
    <row r="7663" spans="1:24">
      <c r="A7663">
        <f>HYPERLINK("https://www.philgeps.gov.ph/GEPSNONPILOT/Tender/SplashBidNoticeAbstractUI.aspx?menuIndex=3&amp;refID=7037088&amp;Result=3","7037088")</f>
        <v>0</v>
      </c>
      <c r="B7663" t="s">
        <v>1024</v>
      </c>
      <c r="C7663" t="s">
        <v>10516</v>
      </c>
      <c r="D7663" t="s">
        <v>18048</v>
      </c>
      <c r="E7663" t="s">
        <v>24837</v>
      </c>
      <c r="F7663" t="s">
        <v>31574</v>
      </c>
      <c r="G7663" t="s">
        <v>31582</v>
      </c>
      <c r="H7663" t="s">
        <v>31590</v>
      </c>
      <c r="I7663" t="s">
        <v>4046</v>
      </c>
      <c r="J7663" t="s">
        <v>36605</v>
      </c>
      <c r="K7663" t="s">
        <v>41184</v>
      </c>
      <c r="M7663" t="s">
        <v>42565</v>
      </c>
      <c r="N7663" t="s">
        <v>45095</v>
      </c>
      <c r="O7663" t="s">
        <v>45096</v>
      </c>
      <c r="P7663">
        <v>0</v>
      </c>
      <c r="Q7663">
        <v>0</v>
      </c>
      <c r="R7663" t="s">
        <v>45103</v>
      </c>
      <c r="S7663" t="s">
        <v>45270</v>
      </c>
      <c r="T7663" t="s">
        <v>47324</v>
      </c>
      <c r="U7663" t="s">
        <v>52420</v>
      </c>
      <c r="V7663" t="s">
        <v>60656</v>
      </c>
      <c r="W7663" t="s">
        <v>42565</v>
      </c>
      <c r="X7663" t="s">
        <v>45104</v>
      </c>
    </row>
    <row r="7664" spans="1:24">
      <c r="A7664">
        <f>HYPERLINK("https://www.philgeps.gov.ph/GEPSNONPILOT/Tender/SplashBidNoticeAbstractUI.aspx?menuIndex=3&amp;refID=7037103&amp;Result=3","7037103")</f>
        <v>0</v>
      </c>
      <c r="B7664" t="s">
        <v>2235</v>
      </c>
      <c r="C7664" t="s">
        <v>10517</v>
      </c>
      <c r="D7664" t="s">
        <v>18044</v>
      </c>
      <c r="E7664" t="s">
        <v>18316</v>
      </c>
      <c r="F7664" t="s">
        <v>31574</v>
      </c>
      <c r="G7664" t="s">
        <v>31582</v>
      </c>
      <c r="H7664" t="s">
        <v>31591</v>
      </c>
      <c r="I7664" t="s">
        <v>8822</v>
      </c>
      <c r="J7664" t="s">
        <v>36606</v>
      </c>
      <c r="K7664" t="s">
        <v>41186</v>
      </c>
      <c r="M7664" t="s">
        <v>43932</v>
      </c>
      <c r="N7664" t="s">
        <v>45095</v>
      </c>
      <c r="O7664" t="s">
        <v>45096</v>
      </c>
      <c r="P7664">
        <v>0</v>
      </c>
      <c r="Q7664">
        <v>0</v>
      </c>
      <c r="R7664" t="s">
        <v>45103</v>
      </c>
      <c r="S7664" t="s">
        <v>45270</v>
      </c>
      <c r="T7664" t="s">
        <v>46965</v>
      </c>
      <c r="U7664" t="s">
        <v>53850</v>
      </c>
      <c r="W7664" t="s">
        <v>43932</v>
      </c>
      <c r="X7664" t="s">
        <v>45104</v>
      </c>
    </row>
    <row r="7665" spans="1:24">
      <c r="A7665">
        <f>HYPERLINK("https://www.philgeps.gov.ph/GEPSNONPILOT/Tender/SplashBidNoticeAbstractUI.aspx?menuIndex=3&amp;refID=7037090&amp;Result=3","7037090")</f>
        <v>0</v>
      </c>
      <c r="B7665" t="s">
        <v>2250</v>
      </c>
      <c r="C7665" t="s">
        <v>10518</v>
      </c>
      <c r="D7665" t="s">
        <v>18071</v>
      </c>
      <c r="E7665" t="s">
        <v>18227</v>
      </c>
      <c r="F7665" t="s">
        <v>31574</v>
      </c>
      <c r="G7665" t="s">
        <v>31581</v>
      </c>
      <c r="H7665" t="s">
        <v>31590</v>
      </c>
      <c r="I7665" t="s">
        <v>31608</v>
      </c>
      <c r="J7665" t="s">
        <v>36607</v>
      </c>
      <c r="K7665" t="s">
        <v>41196</v>
      </c>
      <c r="M7665" t="s">
        <v>43948</v>
      </c>
      <c r="N7665" t="s">
        <v>45095</v>
      </c>
      <c r="O7665" t="s">
        <v>45096</v>
      </c>
      <c r="P7665">
        <v>0</v>
      </c>
      <c r="Q7665">
        <v>2</v>
      </c>
      <c r="R7665" t="s">
        <v>45103</v>
      </c>
      <c r="S7665" t="s">
        <v>45270</v>
      </c>
      <c r="T7665" t="s">
        <v>47067</v>
      </c>
      <c r="U7665" t="s">
        <v>53851</v>
      </c>
      <c r="W7665" t="s">
        <v>43948</v>
      </c>
      <c r="X7665" t="s">
        <v>45104</v>
      </c>
    </row>
    <row r="7666" spans="1:24">
      <c r="A7666">
        <f>HYPERLINK("https://www.philgeps.gov.ph/GEPSNONPILOT/Tender/SplashBidNoticeAbstractUI.aspx?menuIndex=3&amp;refID=7037100&amp;Result=3","7037100")</f>
        <v>0</v>
      </c>
      <c r="B7666" t="s">
        <v>82</v>
      </c>
      <c r="C7666" t="s">
        <v>10519</v>
      </c>
      <c r="D7666" t="s">
        <v>18058</v>
      </c>
      <c r="E7666" t="s">
        <v>24838</v>
      </c>
      <c r="F7666" t="s">
        <v>31574</v>
      </c>
      <c r="G7666" t="s">
        <v>31581</v>
      </c>
      <c r="H7666" t="s">
        <v>31590</v>
      </c>
      <c r="I7666" t="s">
        <v>3487</v>
      </c>
      <c r="J7666" t="s">
        <v>36608</v>
      </c>
      <c r="K7666" t="s">
        <v>41193</v>
      </c>
      <c r="M7666" t="s">
        <v>41566</v>
      </c>
      <c r="N7666" t="s">
        <v>45095</v>
      </c>
      <c r="O7666" t="s">
        <v>45096</v>
      </c>
      <c r="P7666">
        <v>0</v>
      </c>
      <c r="Q7666">
        <v>0</v>
      </c>
      <c r="R7666" t="s">
        <v>45103</v>
      </c>
      <c r="S7666" t="s">
        <v>45270</v>
      </c>
      <c r="T7666" t="s">
        <v>47301</v>
      </c>
      <c r="U7666" t="s">
        <v>53839</v>
      </c>
      <c r="W7666" t="s">
        <v>41566</v>
      </c>
      <c r="X7666" t="s">
        <v>45104</v>
      </c>
    </row>
    <row r="7667" spans="1:24">
      <c r="A7667">
        <f>HYPERLINK("https://www.philgeps.gov.ph/GEPSNONPILOT/Tender/SplashBidNoticeAbstractUI.aspx?menuIndex=3&amp;refID=7037101&amp;Result=3","7037101")</f>
        <v>0</v>
      </c>
      <c r="B7667" t="s">
        <v>1955</v>
      </c>
      <c r="C7667" t="s">
        <v>3328</v>
      </c>
      <c r="D7667" t="s">
        <v>18026</v>
      </c>
      <c r="E7667" t="s">
        <v>24839</v>
      </c>
      <c r="F7667" t="s">
        <v>31574</v>
      </c>
      <c r="G7667" t="s">
        <v>31582</v>
      </c>
      <c r="H7667" t="s">
        <v>31590</v>
      </c>
      <c r="I7667" t="s">
        <v>6800</v>
      </c>
      <c r="J7667" t="s">
        <v>36609</v>
      </c>
      <c r="K7667" t="s">
        <v>41186</v>
      </c>
      <c r="M7667" t="s">
        <v>43611</v>
      </c>
      <c r="N7667" t="s">
        <v>45095</v>
      </c>
      <c r="O7667" t="s">
        <v>45096</v>
      </c>
      <c r="P7667">
        <v>0</v>
      </c>
      <c r="Q7667">
        <v>0</v>
      </c>
      <c r="R7667" t="s">
        <v>45103</v>
      </c>
      <c r="S7667" t="s">
        <v>45270</v>
      </c>
      <c r="T7667" t="s">
        <v>46985</v>
      </c>
      <c r="U7667" t="s">
        <v>53852</v>
      </c>
      <c r="W7667" t="s">
        <v>43611</v>
      </c>
      <c r="X7667" t="s">
        <v>45104</v>
      </c>
    </row>
    <row r="7668" spans="1:24">
      <c r="A7668">
        <f>HYPERLINK("https://www.philgeps.gov.ph/GEPSNONPILOT/Tender/SplashBidNoticeAbstractUI.aspx?menuIndex=3&amp;refID=7037061&amp;Result=3","7037061")</f>
        <v>0</v>
      </c>
      <c r="B7668" t="s">
        <v>82</v>
      </c>
      <c r="C7668" t="s">
        <v>3976</v>
      </c>
      <c r="D7668" t="s">
        <v>18058</v>
      </c>
      <c r="E7668" t="s">
        <v>24840</v>
      </c>
      <c r="F7668" t="s">
        <v>31574</v>
      </c>
      <c r="G7668" t="s">
        <v>31585</v>
      </c>
      <c r="H7668" t="s">
        <v>31590</v>
      </c>
      <c r="I7668" t="s">
        <v>5717</v>
      </c>
      <c r="J7668" t="s">
        <v>36610</v>
      </c>
      <c r="K7668" t="s">
        <v>41193</v>
      </c>
      <c r="M7668" t="s">
        <v>41566</v>
      </c>
      <c r="N7668" t="s">
        <v>45095</v>
      </c>
      <c r="O7668" t="s">
        <v>45096</v>
      </c>
      <c r="P7668">
        <v>0</v>
      </c>
      <c r="Q7668">
        <v>0</v>
      </c>
      <c r="R7668" t="s">
        <v>45103</v>
      </c>
      <c r="S7668" t="s">
        <v>45270</v>
      </c>
      <c r="T7668" t="s">
        <v>47301</v>
      </c>
      <c r="U7668" t="s">
        <v>53853</v>
      </c>
      <c r="W7668" t="s">
        <v>41566</v>
      </c>
      <c r="X7668" t="s">
        <v>45104</v>
      </c>
    </row>
    <row r="7669" spans="1:24">
      <c r="A7669">
        <f>HYPERLINK("https://www.philgeps.gov.ph/GEPSNONPILOT/Tender/SplashBidNoticeAbstractUI.aspx?menuIndex=3&amp;refID=7037117&amp;Result=3","7037117")</f>
        <v>0</v>
      </c>
      <c r="B7669" t="s">
        <v>38</v>
      </c>
      <c r="C7669" t="s">
        <v>10520</v>
      </c>
      <c r="D7669" t="s">
        <v>18033</v>
      </c>
      <c r="E7669" t="s">
        <v>10520</v>
      </c>
      <c r="F7669" t="s">
        <v>31574</v>
      </c>
      <c r="G7669" t="s">
        <v>31582</v>
      </c>
      <c r="H7669" t="s">
        <v>31590</v>
      </c>
      <c r="I7669" t="s">
        <v>31602</v>
      </c>
      <c r="J7669" t="s">
        <v>36611</v>
      </c>
      <c r="K7669" t="s">
        <v>41194</v>
      </c>
      <c r="M7669" t="s">
        <v>41521</v>
      </c>
      <c r="N7669" t="s">
        <v>45095</v>
      </c>
      <c r="O7669" t="s">
        <v>45096</v>
      </c>
      <c r="P7669">
        <v>0</v>
      </c>
      <c r="Q7669">
        <v>0</v>
      </c>
      <c r="R7669" t="s">
        <v>45103</v>
      </c>
      <c r="S7669" t="s">
        <v>45270</v>
      </c>
      <c r="T7669" t="s">
        <v>46985</v>
      </c>
      <c r="U7669" t="s">
        <v>53854</v>
      </c>
      <c r="V7669" t="s">
        <v>60567</v>
      </c>
      <c r="W7669" t="s">
        <v>41521</v>
      </c>
      <c r="X7669" t="s">
        <v>45104</v>
      </c>
    </row>
    <row r="7670" spans="1:24">
      <c r="A7670">
        <f>HYPERLINK("https://www.philgeps.gov.ph/GEPSNONPILOT/Tender/SplashBidNoticeAbstractUI.aspx?menuIndex=3&amp;refID=7037095&amp;Result=3","7037095")</f>
        <v>0</v>
      </c>
      <c r="B7670" t="s">
        <v>2251</v>
      </c>
      <c r="C7670" t="s">
        <v>10521</v>
      </c>
      <c r="D7670" t="s">
        <v>18040</v>
      </c>
      <c r="E7670" t="s">
        <v>24841</v>
      </c>
      <c r="F7670" t="s">
        <v>31574</v>
      </c>
      <c r="G7670" t="s">
        <v>31588</v>
      </c>
      <c r="H7670" t="s">
        <v>31590</v>
      </c>
      <c r="I7670" t="s">
        <v>31640</v>
      </c>
      <c r="J7670" t="s">
        <v>31848</v>
      </c>
      <c r="K7670" t="s">
        <v>41196</v>
      </c>
      <c r="L7670" t="s">
        <v>2251</v>
      </c>
      <c r="M7670" t="s">
        <v>43949</v>
      </c>
      <c r="N7670" t="s">
        <v>45095</v>
      </c>
      <c r="O7670" t="s">
        <v>45096</v>
      </c>
      <c r="P7670">
        <v>0</v>
      </c>
      <c r="Q7670">
        <v>1</v>
      </c>
      <c r="R7670" t="s">
        <v>45103</v>
      </c>
      <c r="S7670" t="s">
        <v>45270</v>
      </c>
      <c r="T7670" t="s">
        <v>46982</v>
      </c>
      <c r="U7670" t="s">
        <v>53855</v>
      </c>
      <c r="W7670" t="s">
        <v>43949</v>
      </c>
      <c r="X7670" t="s">
        <v>45104</v>
      </c>
    </row>
    <row r="7671" spans="1:24">
      <c r="A7671">
        <f>HYPERLINK("https://www.philgeps.gov.ph/GEPSNONPILOT/Tender/SplashBidNoticeAbstractUI.aspx?menuIndex=3&amp;refID=7037111&amp;Result=3","7037111")</f>
        <v>0</v>
      </c>
      <c r="B7671" t="s">
        <v>1863</v>
      </c>
      <c r="C7671" t="s">
        <v>10522</v>
      </c>
      <c r="D7671" t="s">
        <v>18052</v>
      </c>
      <c r="E7671" t="s">
        <v>24842</v>
      </c>
      <c r="F7671" t="s">
        <v>31574</v>
      </c>
      <c r="G7671" t="s">
        <v>31582</v>
      </c>
      <c r="H7671" t="s">
        <v>31590</v>
      </c>
      <c r="I7671" t="s">
        <v>14544</v>
      </c>
      <c r="J7671" t="s">
        <v>36612</v>
      </c>
      <c r="K7671" t="s">
        <v>41196</v>
      </c>
      <c r="M7671" t="s">
        <v>43502</v>
      </c>
      <c r="N7671" t="s">
        <v>45095</v>
      </c>
      <c r="O7671" t="s">
        <v>45096</v>
      </c>
      <c r="P7671">
        <v>0</v>
      </c>
      <c r="Q7671">
        <v>0</v>
      </c>
      <c r="R7671" t="s">
        <v>45103</v>
      </c>
      <c r="S7671" t="s">
        <v>45270</v>
      </c>
      <c r="T7671" t="s">
        <v>46963</v>
      </c>
      <c r="U7671" t="s">
        <v>53856</v>
      </c>
      <c r="W7671" t="s">
        <v>43502</v>
      </c>
      <c r="X7671" t="s">
        <v>45104</v>
      </c>
    </row>
    <row r="7672" spans="1:24">
      <c r="A7672">
        <f>HYPERLINK("https://www.philgeps.gov.ph/GEPSNONPILOT/Tender/SplashBidNoticeAbstractUI.aspx?menuIndex=3&amp;refID=7037118&amp;Result=3","7037118")</f>
        <v>0</v>
      </c>
      <c r="B7672" t="s">
        <v>1837</v>
      </c>
      <c r="C7672" t="s">
        <v>10523</v>
      </c>
      <c r="D7672" t="s">
        <v>18040</v>
      </c>
      <c r="E7672" t="s">
        <v>24843</v>
      </c>
      <c r="F7672" t="s">
        <v>31574</v>
      </c>
      <c r="G7672" t="s">
        <v>31582</v>
      </c>
      <c r="H7672" t="s">
        <v>31591</v>
      </c>
      <c r="I7672" t="s">
        <v>8822</v>
      </c>
      <c r="J7672" t="s">
        <v>32537</v>
      </c>
      <c r="K7672" t="s">
        <v>41189</v>
      </c>
      <c r="M7672" t="s">
        <v>43474</v>
      </c>
      <c r="N7672" t="s">
        <v>45095</v>
      </c>
      <c r="O7672" t="s">
        <v>45096</v>
      </c>
      <c r="P7672">
        <v>0</v>
      </c>
      <c r="Q7672">
        <v>1</v>
      </c>
      <c r="R7672" t="s">
        <v>45103</v>
      </c>
      <c r="S7672" t="s">
        <v>45270</v>
      </c>
      <c r="T7672" t="s">
        <v>46946</v>
      </c>
      <c r="U7672" t="s">
        <v>53857</v>
      </c>
      <c r="W7672" t="s">
        <v>43474</v>
      </c>
      <c r="X7672" t="s">
        <v>45104</v>
      </c>
    </row>
    <row r="7673" spans="1:24">
      <c r="A7673">
        <f>HYPERLINK("https://www.philgeps.gov.ph/GEPSNONPILOT/Tender/SplashBidNoticeAbstractUI.aspx?menuIndex=3&amp;refID=7037112&amp;Result=3","7037112")</f>
        <v>0</v>
      </c>
      <c r="B7673" t="s">
        <v>90</v>
      </c>
      <c r="C7673" t="s">
        <v>10524</v>
      </c>
      <c r="E7673" t="s">
        <v>24844</v>
      </c>
      <c r="F7673" t="s">
        <v>31574</v>
      </c>
      <c r="G7673" t="s">
        <v>31582</v>
      </c>
      <c r="H7673" t="s">
        <v>31591</v>
      </c>
      <c r="I7673" t="s">
        <v>8822</v>
      </c>
      <c r="J7673" t="s">
        <v>36613</v>
      </c>
      <c r="K7673" t="s">
        <v>41184</v>
      </c>
      <c r="M7673" t="s">
        <v>41574</v>
      </c>
      <c r="N7673" t="s">
        <v>45095</v>
      </c>
      <c r="O7673" t="s">
        <v>45096</v>
      </c>
      <c r="Q7673">
        <v>2</v>
      </c>
      <c r="R7673" t="s">
        <v>45103</v>
      </c>
      <c r="S7673" t="s">
        <v>45287</v>
      </c>
      <c r="T7673" t="s">
        <v>47134</v>
      </c>
      <c r="U7673" t="s">
        <v>53858</v>
      </c>
      <c r="W7673" t="s">
        <v>41574</v>
      </c>
      <c r="X7673" t="s">
        <v>45104</v>
      </c>
    </row>
    <row r="7674" spans="1:24">
      <c r="A7674">
        <f>HYPERLINK("https://www.philgeps.gov.ph/GEPSNONPILOT/Tender/SplashBidNoticeAbstractUI.aspx?menuIndex=3&amp;refID=7037129&amp;Result=3","7037129")</f>
        <v>0</v>
      </c>
      <c r="B7674" t="s">
        <v>2249</v>
      </c>
      <c r="C7674" t="s">
        <v>10525</v>
      </c>
      <c r="D7674" t="s">
        <v>18035</v>
      </c>
      <c r="E7674" t="s">
        <v>24845</v>
      </c>
      <c r="F7674" t="s">
        <v>31574</v>
      </c>
      <c r="G7674" t="s">
        <v>31582</v>
      </c>
      <c r="H7674" t="s">
        <v>31591</v>
      </c>
      <c r="I7674" t="s">
        <v>8822</v>
      </c>
      <c r="J7674" t="s">
        <v>36614</v>
      </c>
      <c r="K7674" t="s">
        <v>41184</v>
      </c>
      <c r="M7674" t="s">
        <v>43947</v>
      </c>
      <c r="N7674" t="s">
        <v>45095</v>
      </c>
      <c r="O7674" t="s">
        <v>45096</v>
      </c>
      <c r="P7674">
        <v>0</v>
      </c>
      <c r="Q7674">
        <v>1</v>
      </c>
      <c r="R7674" t="s">
        <v>45103</v>
      </c>
      <c r="S7674" t="s">
        <v>45270</v>
      </c>
      <c r="T7674" t="s">
        <v>47125</v>
      </c>
      <c r="U7674" t="s">
        <v>53859</v>
      </c>
      <c r="V7674" t="s">
        <v>60654</v>
      </c>
      <c r="W7674" t="s">
        <v>43947</v>
      </c>
      <c r="X7674" t="s">
        <v>45104</v>
      </c>
    </row>
    <row r="7675" spans="1:24">
      <c r="A7675">
        <f>HYPERLINK("https://www.philgeps.gov.ph/GEPSNONPILOT/Tender/SplashBidNoticeAbstractUI.aspx?menuIndex=3&amp;refID=7037105&amp;Result=3","7037105")</f>
        <v>0</v>
      </c>
      <c r="B7675" t="s">
        <v>886</v>
      </c>
      <c r="C7675" t="s">
        <v>10526</v>
      </c>
      <c r="E7675" t="s">
        <v>24846</v>
      </c>
      <c r="F7675" t="s">
        <v>31574</v>
      </c>
      <c r="G7675" t="s">
        <v>31584</v>
      </c>
      <c r="H7675" t="s">
        <v>31590</v>
      </c>
      <c r="I7675" t="s">
        <v>4327</v>
      </c>
      <c r="J7675" t="s">
        <v>31727</v>
      </c>
      <c r="K7675" t="s">
        <v>41184</v>
      </c>
      <c r="M7675" t="s">
        <v>42407</v>
      </c>
      <c r="N7675" t="s">
        <v>45095</v>
      </c>
      <c r="O7675" t="s">
        <v>45096</v>
      </c>
      <c r="P7675">
        <v>0</v>
      </c>
      <c r="Q7675">
        <v>8</v>
      </c>
      <c r="R7675" t="s">
        <v>45103</v>
      </c>
      <c r="S7675" t="s">
        <v>45270</v>
      </c>
      <c r="T7675" t="s">
        <v>47080</v>
      </c>
      <c r="U7675" t="s">
        <v>53363</v>
      </c>
      <c r="W7675" t="s">
        <v>42407</v>
      </c>
      <c r="X7675" t="s">
        <v>45104</v>
      </c>
    </row>
    <row r="7676" spans="1:24">
      <c r="A7676">
        <f>HYPERLINK("https://www.philgeps.gov.ph/GEPSNONPILOT/Tender/SplashBidNoticeAbstractUI.aspx?menuIndex=3&amp;refID=7037128&amp;Result=3","7037128")</f>
        <v>0</v>
      </c>
      <c r="B7676" t="s">
        <v>319</v>
      </c>
      <c r="C7676" t="s">
        <v>10527</v>
      </c>
      <c r="D7676" t="s">
        <v>18065</v>
      </c>
      <c r="E7676" t="s">
        <v>24847</v>
      </c>
      <c r="F7676" t="s">
        <v>31574</v>
      </c>
      <c r="G7676" t="s">
        <v>31582</v>
      </c>
      <c r="H7676" t="s">
        <v>31591</v>
      </c>
      <c r="I7676" t="s">
        <v>8822</v>
      </c>
      <c r="J7676" t="s">
        <v>36615</v>
      </c>
      <c r="K7676" t="s">
        <v>41359</v>
      </c>
      <c r="M7676" t="s">
        <v>43172</v>
      </c>
      <c r="N7676" t="s">
        <v>45095</v>
      </c>
      <c r="O7676" t="s">
        <v>45096</v>
      </c>
      <c r="P7676">
        <v>0</v>
      </c>
      <c r="Q7676">
        <v>1</v>
      </c>
      <c r="R7676" t="s">
        <v>45103</v>
      </c>
      <c r="S7676" t="s">
        <v>45270</v>
      </c>
      <c r="T7676" t="s">
        <v>46988</v>
      </c>
      <c r="U7676" t="s">
        <v>53860</v>
      </c>
      <c r="W7676" t="s">
        <v>43172</v>
      </c>
      <c r="X7676" t="s">
        <v>45104</v>
      </c>
    </row>
    <row r="7677" spans="1:24">
      <c r="A7677">
        <f>HYPERLINK("https://www.philgeps.gov.ph/GEPSNONPILOT/Tender/SplashBidNoticeAbstractUI.aspx?menuIndex=3&amp;refID=7037107&amp;Result=3","7037107")</f>
        <v>0</v>
      </c>
      <c r="B7677" t="s">
        <v>1154</v>
      </c>
      <c r="C7677" t="s">
        <v>10528</v>
      </c>
      <c r="D7677" t="s">
        <v>18079</v>
      </c>
      <c r="E7677" t="s">
        <v>24848</v>
      </c>
      <c r="F7677" t="s">
        <v>31574</v>
      </c>
      <c r="G7677" t="s">
        <v>31581</v>
      </c>
      <c r="H7677" t="s">
        <v>31590</v>
      </c>
      <c r="I7677" t="s">
        <v>31614</v>
      </c>
      <c r="J7677" t="s">
        <v>36616</v>
      </c>
      <c r="K7677" t="s">
        <v>41211</v>
      </c>
      <c r="M7677" t="s">
        <v>42711</v>
      </c>
      <c r="N7677" t="s">
        <v>45095</v>
      </c>
      <c r="O7677" t="s">
        <v>45096</v>
      </c>
      <c r="P7677">
        <v>0</v>
      </c>
      <c r="Q7677">
        <v>3</v>
      </c>
      <c r="R7677" t="s">
        <v>45103</v>
      </c>
      <c r="S7677" t="s">
        <v>45270</v>
      </c>
      <c r="T7677" t="s">
        <v>47165</v>
      </c>
      <c r="U7677" t="s">
        <v>53861</v>
      </c>
      <c r="W7677" t="s">
        <v>42711</v>
      </c>
      <c r="X7677" t="s">
        <v>45104</v>
      </c>
    </row>
    <row r="7678" spans="1:24">
      <c r="A7678">
        <f>HYPERLINK("https://www.philgeps.gov.ph/GEPSNONPILOT/Tender/SplashBidNoticeAbstractUI.aspx?menuIndex=3&amp;refID=7037124&amp;Result=3","7037124")</f>
        <v>0</v>
      </c>
      <c r="B7678" t="s">
        <v>886</v>
      </c>
      <c r="C7678" t="s">
        <v>10529</v>
      </c>
      <c r="E7678" t="s">
        <v>24849</v>
      </c>
      <c r="F7678" t="s">
        <v>31574</v>
      </c>
      <c r="G7678" t="s">
        <v>31581</v>
      </c>
      <c r="H7678" t="s">
        <v>31590</v>
      </c>
      <c r="I7678" t="s">
        <v>31594</v>
      </c>
      <c r="J7678" t="s">
        <v>31727</v>
      </c>
      <c r="K7678" t="s">
        <v>41184</v>
      </c>
      <c r="M7678" t="s">
        <v>42407</v>
      </c>
      <c r="N7678" t="s">
        <v>45095</v>
      </c>
      <c r="O7678" t="s">
        <v>45096</v>
      </c>
      <c r="P7678">
        <v>0</v>
      </c>
      <c r="Q7678">
        <v>18</v>
      </c>
      <c r="R7678" t="s">
        <v>45103</v>
      </c>
      <c r="S7678" t="s">
        <v>45270</v>
      </c>
      <c r="T7678" t="s">
        <v>47080</v>
      </c>
      <c r="U7678" t="s">
        <v>53363</v>
      </c>
      <c r="W7678" t="s">
        <v>42407</v>
      </c>
      <c r="X7678" t="s">
        <v>45104</v>
      </c>
    </row>
    <row r="7679" spans="1:24">
      <c r="A7679">
        <f>HYPERLINK("https://www.philgeps.gov.ph/GEPSNONPILOT/Tender/SplashBidNoticeAbstractUI.aspx?menuIndex=3&amp;refID=7037122&amp;Result=3","7037122")</f>
        <v>0</v>
      </c>
      <c r="B7679" t="s">
        <v>2252</v>
      </c>
      <c r="C7679" t="s">
        <v>10530</v>
      </c>
      <c r="D7679" t="s">
        <v>18089</v>
      </c>
      <c r="E7679" t="s">
        <v>24850</v>
      </c>
      <c r="F7679" t="s">
        <v>31574</v>
      </c>
      <c r="G7679" t="s">
        <v>31582</v>
      </c>
      <c r="H7679" t="s">
        <v>31590</v>
      </c>
      <c r="I7679" t="s">
        <v>31616</v>
      </c>
      <c r="J7679" t="s">
        <v>32232</v>
      </c>
      <c r="K7679" t="s">
        <v>41186</v>
      </c>
      <c r="M7679" t="s">
        <v>43950</v>
      </c>
      <c r="N7679" t="s">
        <v>45095</v>
      </c>
      <c r="O7679" t="s">
        <v>45096</v>
      </c>
      <c r="P7679">
        <v>0</v>
      </c>
      <c r="Q7679">
        <v>0</v>
      </c>
      <c r="R7679" t="s">
        <v>45103</v>
      </c>
      <c r="S7679" t="s">
        <v>45270</v>
      </c>
      <c r="T7679" t="s">
        <v>47247</v>
      </c>
      <c r="U7679" t="s">
        <v>53862</v>
      </c>
      <c r="W7679" t="s">
        <v>43950</v>
      </c>
      <c r="X7679" t="s">
        <v>45104</v>
      </c>
    </row>
    <row r="7680" spans="1:24">
      <c r="A7680">
        <f>HYPERLINK("https://www.philgeps.gov.ph/GEPSNONPILOT/Tender/SplashBidNoticeAbstractUI.aspx?menuIndex=3&amp;refID=7037115&amp;Result=3","7037115")</f>
        <v>0</v>
      </c>
      <c r="B7680" t="s">
        <v>2247</v>
      </c>
      <c r="C7680" t="s">
        <v>6052</v>
      </c>
      <c r="D7680" t="s">
        <v>18023</v>
      </c>
      <c r="E7680" t="s">
        <v>20176</v>
      </c>
      <c r="F7680" t="s">
        <v>31574</v>
      </c>
      <c r="G7680" t="s">
        <v>31582</v>
      </c>
      <c r="H7680" t="s">
        <v>31590</v>
      </c>
      <c r="I7680" t="s">
        <v>4046</v>
      </c>
      <c r="J7680" t="s">
        <v>32929</v>
      </c>
      <c r="K7680" t="s">
        <v>41193</v>
      </c>
      <c r="M7680" t="s">
        <v>43945</v>
      </c>
      <c r="N7680" t="s">
        <v>45095</v>
      </c>
      <c r="O7680" t="s">
        <v>45096</v>
      </c>
      <c r="P7680">
        <v>0</v>
      </c>
      <c r="Q7680">
        <v>0</v>
      </c>
      <c r="R7680" t="s">
        <v>45103</v>
      </c>
      <c r="S7680" t="s">
        <v>45270</v>
      </c>
      <c r="T7680" t="s">
        <v>47058</v>
      </c>
      <c r="U7680" t="s">
        <v>53863</v>
      </c>
      <c r="W7680" t="s">
        <v>43945</v>
      </c>
      <c r="X7680" t="s">
        <v>45104</v>
      </c>
    </row>
    <row r="7681" spans="1:24">
      <c r="A7681">
        <f>HYPERLINK("https://www.philgeps.gov.ph/GEPSNONPILOT/Tender/SplashBidNoticeAbstractUI.aspx?menuIndex=3&amp;refID=7037114&amp;Result=3","7037114")</f>
        <v>0</v>
      </c>
      <c r="B7681" t="s">
        <v>2253</v>
      </c>
      <c r="C7681" t="s">
        <v>10531</v>
      </c>
      <c r="D7681" t="s">
        <v>18083</v>
      </c>
      <c r="E7681" t="s">
        <v>18629</v>
      </c>
      <c r="F7681" t="s">
        <v>31574</v>
      </c>
      <c r="G7681" t="s">
        <v>31581</v>
      </c>
      <c r="H7681" t="s">
        <v>31590</v>
      </c>
      <c r="I7681" t="s">
        <v>31623</v>
      </c>
      <c r="J7681" t="s">
        <v>32000</v>
      </c>
      <c r="K7681" t="s">
        <v>41184</v>
      </c>
      <c r="M7681" t="s">
        <v>43951</v>
      </c>
      <c r="N7681" t="s">
        <v>45095</v>
      </c>
      <c r="O7681" t="s">
        <v>45096</v>
      </c>
      <c r="P7681">
        <v>0</v>
      </c>
      <c r="Q7681">
        <v>0</v>
      </c>
      <c r="R7681" t="s">
        <v>45103</v>
      </c>
      <c r="S7681" t="s">
        <v>45270</v>
      </c>
      <c r="T7681" t="s">
        <v>47158</v>
      </c>
      <c r="U7681" t="s">
        <v>53864</v>
      </c>
      <c r="W7681" t="s">
        <v>43951</v>
      </c>
      <c r="X7681" t="s">
        <v>45104</v>
      </c>
    </row>
    <row r="7682" spans="1:24">
      <c r="A7682">
        <f>HYPERLINK("https://www.philgeps.gov.ph/GEPSNONPILOT/Tender/SplashBidNoticeAbstractUI.aspx?menuIndex=3&amp;refID=7037130&amp;Result=3","7037130")</f>
        <v>0</v>
      </c>
      <c r="B7682" t="s">
        <v>749</v>
      </c>
      <c r="C7682" t="s">
        <v>10532</v>
      </c>
      <c r="D7682" t="s">
        <v>18036</v>
      </c>
      <c r="E7682" t="s">
        <v>24851</v>
      </c>
      <c r="F7682" t="s">
        <v>31574</v>
      </c>
      <c r="G7682" t="s">
        <v>31582</v>
      </c>
      <c r="H7682" t="s">
        <v>31591</v>
      </c>
      <c r="I7682" t="s">
        <v>8822</v>
      </c>
      <c r="J7682" t="s">
        <v>36617</v>
      </c>
      <c r="K7682" t="s">
        <v>41203</v>
      </c>
      <c r="M7682" t="s">
        <v>42263</v>
      </c>
      <c r="N7682" t="s">
        <v>45095</v>
      </c>
      <c r="O7682" t="s">
        <v>45096</v>
      </c>
      <c r="Q7682">
        <v>0</v>
      </c>
      <c r="R7682" t="s">
        <v>45103</v>
      </c>
      <c r="S7682" t="s">
        <v>45288</v>
      </c>
      <c r="T7682" t="s">
        <v>46992</v>
      </c>
      <c r="U7682" t="s">
        <v>53865</v>
      </c>
      <c r="W7682" t="s">
        <v>42263</v>
      </c>
      <c r="X7682" t="s">
        <v>45104</v>
      </c>
    </row>
    <row r="7683" spans="1:24">
      <c r="A7683">
        <f>HYPERLINK("https://www.philgeps.gov.ph/GEPSNONPILOT/Tender/SplashBidNoticeAbstractUI.aspx?menuIndex=3&amp;refID=7037133&amp;Result=3","7037133")</f>
        <v>0</v>
      </c>
      <c r="B7683" t="s">
        <v>1671</v>
      </c>
      <c r="C7683" t="s">
        <v>10533</v>
      </c>
      <c r="D7683" t="s">
        <v>18056</v>
      </c>
      <c r="E7683" t="s">
        <v>24852</v>
      </c>
      <c r="F7683" t="s">
        <v>31574</v>
      </c>
      <c r="G7683" t="s">
        <v>31582</v>
      </c>
      <c r="H7683" t="s">
        <v>31591</v>
      </c>
      <c r="I7683" t="s">
        <v>8822</v>
      </c>
      <c r="J7683" t="s">
        <v>33359</v>
      </c>
      <c r="K7683" t="s">
        <v>41186</v>
      </c>
      <c r="M7683" t="s">
        <v>43284</v>
      </c>
      <c r="N7683" t="s">
        <v>45095</v>
      </c>
      <c r="O7683" t="s">
        <v>45096</v>
      </c>
      <c r="P7683">
        <v>0</v>
      </c>
      <c r="Q7683">
        <v>1</v>
      </c>
      <c r="R7683" t="s">
        <v>45103</v>
      </c>
      <c r="S7683" t="s">
        <v>45270</v>
      </c>
      <c r="T7683" t="s">
        <v>46988</v>
      </c>
      <c r="U7683" t="s">
        <v>53866</v>
      </c>
      <c r="W7683" t="s">
        <v>43284</v>
      </c>
      <c r="X7683" t="s">
        <v>45104</v>
      </c>
    </row>
    <row r="7684" spans="1:24">
      <c r="A7684">
        <f>HYPERLINK("https://www.philgeps.gov.ph/GEPSNONPILOT/Tender/SplashBidNoticeAbstractUI.aspx?menuIndex=3&amp;refID=7037146&amp;Result=3","7037146")</f>
        <v>0</v>
      </c>
      <c r="B7684" t="s">
        <v>363</v>
      </c>
      <c r="C7684" t="s">
        <v>10534</v>
      </c>
      <c r="D7684" t="s">
        <v>18044</v>
      </c>
      <c r="E7684" t="s">
        <v>24853</v>
      </c>
      <c r="F7684" t="s">
        <v>31574</v>
      </c>
      <c r="G7684" t="s">
        <v>31583</v>
      </c>
      <c r="H7684" t="s">
        <v>31590</v>
      </c>
      <c r="I7684" t="s">
        <v>4046</v>
      </c>
      <c r="J7684" t="s">
        <v>36618</v>
      </c>
      <c r="K7684" t="s">
        <v>41184</v>
      </c>
      <c r="M7684" t="s">
        <v>41853</v>
      </c>
      <c r="N7684" t="s">
        <v>45095</v>
      </c>
      <c r="O7684" t="s">
        <v>45096</v>
      </c>
      <c r="P7684">
        <v>0</v>
      </c>
      <c r="Q7684">
        <v>0</v>
      </c>
      <c r="R7684" t="s">
        <v>45103</v>
      </c>
      <c r="S7684" t="s">
        <v>45270</v>
      </c>
      <c r="T7684" t="s">
        <v>47177</v>
      </c>
      <c r="U7684" t="s">
        <v>53867</v>
      </c>
      <c r="W7684" t="s">
        <v>41853</v>
      </c>
      <c r="X7684" t="s">
        <v>45104</v>
      </c>
    </row>
    <row r="7685" spans="1:24">
      <c r="A7685">
        <f>HYPERLINK("https://www.philgeps.gov.ph/GEPSNONPILOT/Tender/SplashBidNoticeAbstractUI.aspx?menuIndex=3&amp;refID=7037152&amp;Result=3","7037152")</f>
        <v>0</v>
      </c>
      <c r="B7685" t="s">
        <v>630</v>
      </c>
      <c r="C7685" t="s">
        <v>10535</v>
      </c>
      <c r="D7685" t="s">
        <v>18086</v>
      </c>
      <c r="E7685" t="s">
        <v>24854</v>
      </c>
      <c r="F7685" t="s">
        <v>31574</v>
      </c>
      <c r="G7685" t="s">
        <v>31581</v>
      </c>
      <c r="H7685" t="s">
        <v>31590</v>
      </c>
      <c r="I7685" t="s">
        <v>31617</v>
      </c>
      <c r="J7685" t="s">
        <v>36619</v>
      </c>
      <c r="K7685" t="s">
        <v>41196</v>
      </c>
      <c r="M7685" t="s">
        <v>42134</v>
      </c>
      <c r="N7685" t="s">
        <v>45095</v>
      </c>
      <c r="O7685" t="s">
        <v>45096</v>
      </c>
      <c r="P7685">
        <v>0</v>
      </c>
      <c r="Q7685">
        <v>0</v>
      </c>
      <c r="R7685" t="s">
        <v>45103</v>
      </c>
      <c r="S7685" t="s">
        <v>45270</v>
      </c>
      <c r="T7685" t="s">
        <v>47165</v>
      </c>
      <c r="U7685" t="s">
        <v>53868</v>
      </c>
      <c r="W7685" t="s">
        <v>42134</v>
      </c>
      <c r="X7685" t="s">
        <v>45104</v>
      </c>
    </row>
    <row r="7686" spans="1:24">
      <c r="A7686">
        <f>HYPERLINK("https://www.philgeps.gov.ph/GEPSNONPILOT/Tender/SplashBidNoticeAbstractUI.aspx?menuIndex=3&amp;refID=7037138&amp;Result=3","7037138")</f>
        <v>0</v>
      </c>
      <c r="B7686" t="s">
        <v>401</v>
      </c>
      <c r="C7686" t="s">
        <v>10536</v>
      </c>
      <c r="D7686" t="s">
        <v>18052</v>
      </c>
      <c r="E7686" t="s">
        <v>24855</v>
      </c>
      <c r="F7686" t="s">
        <v>31574</v>
      </c>
      <c r="G7686" t="s">
        <v>31581</v>
      </c>
      <c r="H7686" t="s">
        <v>31590</v>
      </c>
      <c r="I7686" t="s">
        <v>3489</v>
      </c>
      <c r="J7686" t="s">
        <v>36620</v>
      </c>
      <c r="K7686" t="s">
        <v>41196</v>
      </c>
      <c r="M7686" t="s">
        <v>41892</v>
      </c>
      <c r="N7686" t="s">
        <v>45095</v>
      </c>
      <c r="O7686" t="s">
        <v>45096</v>
      </c>
      <c r="P7686">
        <v>0</v>
      </c>
      <c r="Q7686">
        <v>0</v>
      </c>
      <c r="R7686" t="s">
        <v>45103</v>
      </c>
      <c r="S7686" t="s">
        <v>45270</v>
      </c>
      <c r="T7686" t="s">
        <v>47159</v>
      </c>
      <c r="U7686" t="s">
        <v>53869</v>
      </c>
      <c r="W7686" t="s">
        <v>41892</v>
      </c>
      <c r="X7686" t="s">
        <v>45104</v>
      </c>
    </row>
    <row r="7687" spans="1:24">
      <c r="A7687">
        <f>HYPERLINK("https://www.philgeps.gov.ph/GEPSNONPILOT/Tender/SplashBidNoticeAbstractUI.aspx?menuIndex=3&amp;refID=7037151&amp;Result=3","7037151")</f>
        <v>0</v>
      </c>
      <c r="B7687" t="s">
        <v>1925</v>
      </c>
      <c r="C7687" t="s">
        <v>5667</v>
      </c>
      <c r="D7687" t="s">
        <v>18047</v>
      </c>
      <c r="E7687" t="s">
        <v>24856</v>
      </c>
      <c r="F7687" t="s">
        <v>31575</v>
      </c>
      <c r="G7687" t="s">
        <v>31581</v>
      </c>
      <c r="H7687" t="s">
        <v>31590</v>
      </c>
      <c r="I7687" t="s">
        <v>31619</v>
      </c>
      <c r="J7687" t="s">
        <v>36128</v>
      </c>
      <c r="K7687" t="s">
        <v>41193</v>
      </c>
      <c r="M7687" t="s">
        <v>43577</v>
      </c>
      <c r="N7687" t="s">
        <v>45095</v>
      </c>
      <c r="O7687" t="s">
        <v>45096</v>
      </c>
      <c r="P7687">
        <v>0</v>
      </c>
      <c r="Q7687">
        <v>2</v>
      </c>
      <c r="R7687" t="s">
        <v>45103</v>
      </c>
      <c r="S7687" t="s">
        <v>45270</v>
      </c>
      <c r="T7687" t="s">
        <v>46982</v>
      </c>
      <c r="U7687" t="s">
        <v>53870</v>
      </c>
      <c r="V7687" t="s">
        <v>60506</v>
      </c>
      <c r="W7687" t="s">
        <v>43577</v>
      </c>
      <c r="X7687" t="s">
        <v>45104</v>
      </c>
    </row>
    <row r="7688" spans="1:24">
      <c r="A7688">
        <f>HYPERLINK("https://www.philgeps.gov.ph/GEPSNONPILOT/Tender/SplashBidNoticeAbstractUI.aspx?menuIndex=3&amp;refID=7037137&amp;Result=3","7037137")</f>
        <v>0</v>
      </c>
      <c r="B7688" t="s">
        <v>2208</v>
      </c>
      <c r="C7688" t="s">
        <v>10537</v>
      </c>
      <c r="D7688" t="s">
        <v>18056</v>
      </c>
      <c r="E7688" t="s">
        <v>24857</v>
      </c>
      <c r="F7688" t="s">
        <v>31574</v>
      </c>
      <c r="G7688" t="s">
        <v>31582</v>
      </c>
      <c r="H7688" t="s">
        <v>31591</v>
      </c>
      <c r="I7688" t="s">
        <v>8822</v>
      </c>
      <c r="J7688" t="s">
        <v>36621</v>
      </c>
      <c r="K7688" t="s">
        <v>41189</v>
      </c>
      <c r="M7688" t="s">
        <v>43897</v>
      </c>
      <c r="N7688" t="s">
        <v>45095</v>
      </c>
      <c r="O7688" t="s">
        <v>45096</v>
      </c>
      <c r="P7688">
        <v>0</v>
      </c>
      <c r="Q7688">
        <v>15</v>
      </c>
      <c r="R7688" t="s">
        <v>45103</v>
      </c>
      <c r="S7688" t="s">
        <v>45270</v>
      </c>
      <c r="T7688" t="s">
        <v>47010</v>
      </c>
      <c r="U7688" t="s">
        <v>53871</v>
      </c>
      <c r="W7688" t="s">
        <v>43897</v>
      </c>
      <c r="X7688" t="s">
        <v>45104</v>
      </c>
    </row>
    <row r="7689" spans="1:24">
      <c r="A7689">
        <f>HYPERLINK("https://www.philgeps.gov.ph/GEPSNONPILOT/Tender/SplashBidNoticeAbstractUI.aspx?menuIndex=3&amp;refID=7037134&amp;Result=3","7037134")</f>
        <v>0</v>
      </c>
      <c r="B7689" t="s">
        <v>2254</v>
      </c>
      <c r="C7689" t="s">
        <v>10538</v>
      </c>
      <c r="D7689" t="s">
        <v>18030</v>
      </c>
      <c r="E7689" t="s">
        <v>24858</v>
      </c>
      <c r="F7689" t="s">
        <v>31574</v>
      </c>
      <c r="G7689" t="s">
        <v>31582</v>
      </c>
      <c r="H7689" t="s">
        <v>31591</v>
      </c>
      <c r="I7689" t="s">
        <v>8822</v>
      </c>
      <c r="J7689" t="s">
        <v>34170</v>
      </c>
      <c r="K7689" t="s">
        <v>41191</v>
      </c>
      <c r="M7689" t="s">
        <v>43952</v>
      </c>
      <c r="N7689" t="s">
        <v>45095</v>
      </c>
      <c r="O7689" t="s">
        <v>45096</v>
      </c>
      <c r="P7689">
        <v>0</v>
      </c>
      <c r="Q7689">
        <v>1</v>
      </c>
      <c r="R7689" t="s">
        <v>45103</v>
      </c>
      <c r="S7689" t="s">
        <v>45270</v>
      </c>
      <c r="T7689" t="s">
        <v>46988</v>
      </c>
      <c r="U7689" t="s">
        <v>53872</v>
      </c>
      <c r="V7689" t="s">
        <v>60657</v>
      </c>
      <c r="W7689" t="s">
        <v>43952</v>
      </c>
      <c r="X7689" t="s">
        <v>45104</v>
      </c>
    </row>
    <row r="7690" spans="1:24">
      <c r="A7690">
        <f>HYPERLINK("https://www.philgeps.gov.ph/GEPSNONPILOT/Tender/SplashBidNoticeAbstractUI.aspx?menuIndex=3&amp;refID=7037149&amp;Result=3","7037149")</f>
        <v>0</v>
      </c>
      <c r="B7690" t="s">
        <v>1672</v>
      </c>
      <c r="C7690" t="s">
        <v>10539</v>
      </c>
      <c r="D7690" t="s">
        <v>18022</v>
      </c>
      <c r="E7690" t="s">
        <v>24859</v>
      </c>
      <c r="F7690" t="s">
        <v>31574</v>
      </c>
      <c r="G7690" t="s">
        <v>31581</v>
      </c>
      <c r="H7690" t="s">
        <v>31590</v>
      </c>
      <c r="I7690" t="s">
        <v>3487</v>
      </c>
      <c r="J7690" t="s">
        <v>32490</v>
      </c>
      <c r="K7690" t="s">
        <v>41196</v>
      </c>
      <c r="M7690" t="s">
        <v>43285</v>
      </c>
      <c r="N7690" t="s">
        <v>45095</v>
      </c>
      <c r="O7690" t="s">
        <v>45096</v>
      </c>
      <c r="P7690">
        <v>0</v>
      </c>
      <c r="Q7690">
        <v>2</v>
      </c>
      <c r="R7690" t="s">
        <v>45103</v>
      </c>
      <c r="S7690" t="s">
        <v>45270</v>
      </c>
      <c r="T7690" t="s">
        <v>47154</v>
      </c>
      <c r="U7690" t="s">
        <v>50610</v>
      </c>
      <c r="W7690" t="s">
        <v>43285</v>
      </c>
      <c r="X7690" t="s">
        <v>45104</v>
      </c>
    </row>
    <row r="7691" spans="1:24">
      <c r="A7691">
        <f>HYPERLINK("https://www.philgeps.gov.ph/GEPSNONPILOT/Tender/SplashBidNoticeAbstractUI.aspx?menuIndex=3&amp;refID=7037150&amp;Result=3","7037150")</f>
        <v>0</v>
      </c>
      <c r="B7691" t="s">
        <v>886</v>
      </c>
      <c r="C7691" t="s">
        <v>10540</v>
      </c>
      <c r="E7691" t="s">
        <v>24860</v>
      </c>
      <c r="F7691" t="s">
        <v>31574</v>
      </c>
      <c r="G7691" t="s">
        <v>31581</v>
      </c>
      <c r="H7691" t="s">
        <v>31590</v>
      </c>
      <c r="I7691" t="s">
        <v>31594</v>
      </c>
      <c r="J7691" t="s">
        <v>32334</v>
      </c>
      <c r="K7691" t="s">
        <v>41184</v>
      </c>
      <c r="M7691" t="s">
        <v>42407</v>
      </c>
      <c r="N7691" t="s">
        <v>45095</v>
      </c>
      <c r="O7691" t="s">
        <v>45096</v>
      </c>
      <c r="P7691">
        <v>0</v>
      </c>
      <c r="Q7691">
        <v>2</v>
      </c>
      <c r="R7691" t="s">
        <v>45103</v>
      </c>
      <c r="S7691" t="s">
        <v>45270</v>
      </c>
      <c r="T7691" t="s">
        <v>47080</v>
      </c>
      <c r="U7691" t="s">
        <v>53363</v>
      </c>
      <c r="W7691" t="s">
        <v>42407</v>
      </c>
      <c r="X7691" t="s">
        <v>45104</v>
      </c>
    </row>
    <row r="7692" spans="1:24">
      <c r="A7692">
        <f>HYPERLINK("https://www.philgeps.gov.ph/GEPSNONPILOT/Tender/SplashBidNoticeAbstractUI.aspx?menuIndex=3&amp;refID=7037140&amp;Result=3","7037140")</f>
        <v>0</v>
      </c>
      <c r="B7692" t="s">
        <v>159</v>
      </c>
      <c r="C7692" t="s">
        <v>10541</v>
      </c>
      <c r="D7692" t="s">
        <v>18046</v>
      </c>
      <c r="E7692" t="s">
        <v>24861</v>
      </c>
      <c r="F7692" t="s">
        <v>31574</v>
      </c>
      <c r="G7692" t="s">
        <v>31582</v>
      </c>
      <c r="H7692" t="s">
        <v>31590</v>
      </c>
      <c r="I7692" t="s">
        <v>14544</v>
      </c>
      <c r="J7692" t="s">
        <v>32811</v>
      </c>
      <c r="K7692" t="s">
        <v>41186</v>
      </c>
      <c r="M7692" t="s">
        <v>43387</v>
      </c>
      <c r="N7692" t="s">
        <v>45095</v>
      </c>
      <c r="O7692" t="s">
        <v>45096</v>
      </c>
      <c r="P7692">
        <v>0</v>
      </c>
      <c r="Q7692">
        <v>0</v>
      </c>
      <c r="R7692" t="s">
        <v>45103</v>
      </c>
      <c r="S7692" t="s">
        <v>45270</v>
      </c>
      <c r="T7692" t="s">
        <v>46963</v>
      </c>
      <c r="U7692" t="s">
        <v>47772</v>
      </c>
      <c r="V7692" t="s">
        <v>59890</v>
      </c>
      <c r="W7692" t="s">
        <v>43387</v>
      </c>
      <c r="X7692" t="s">
        <v>45104</v>
      </c>
    </row>
    <row r="7693" spans="1:24">
      <c r="A7693">
        <f>HYPERLINK("https://www.philgeps.gov.ph/GEPSNONPILOT/Tender/SplashBidNoticeAbstractUI.aspx?menuIndex=3&amp;refID=7037148&amp;Result=3","7037148")</f>
        <v>0</v>
      </c>
      <c r="B7693" t="s">
        <v>1079</v>
      </c>
      <c r="C7693" t="s">
        <v>10542</v>
      </c>
      <c r="E7693" t="s">
        <v>24862</v>
      </c>
      <c r="F7693" t="s">
        <v>31574</v>
      </c>
      <c r="G7693" t="s">
        <v>31581</v>
      </c>
      <c r="H7693" t="s">
        <v>31590</v>
      </c>
      <c r="I7693" t="s">
        <v>31594</v>
      </c>
      <c r="J7693" t="s">
        <v>36622</v>
      </c>
      <c r="K7693" t="s">
        <v>41184</v>
      </c>
      <c r="M7693" t="s">
        <v>43953</v>
      </c>
      <c r="N7693" t="s">
        <v>45095</v>
      </c>
      <c r="O7693" t="s">
        <v>45096</v>
      </c>
      <c r="P7693">
        <v>0</v>
      </c>
      <c r="Q7693">
        <v>9</v>
      </c>
      <c r="R7693" t="s">
        <v>45103</v>
      </c>
      <c r="S7693" t="s">
        <v>45270</v>
      </c>
      <c r="T7693" t="s">
        <v>47158</v>
      </c>
      <c r="U7693" t="s">
        <v>53873</v>
      </c>
      <c r="V7693" t="s">
        <v>60133</v>
      </c>
      <c r="W7693" t="s">
        <v>43953</v>
      </c>
      <c r="X7693" t="s">
        <v>45104</v>
      </c>
    </row>
    <row r="7694" spans="1:24">
      <c r="A7694">
        <f>HYPERLINK("https://www.philgeps.gov.ph/GEPSNONPILOT/Tender/SplashBidNoticeAbstractUI.aspx?menuIndex=3&amp;refID=7037144&amp;Result=3","7037144")</f>
        <v>0</v>
      </c>
      <c r="B7694" t="s">
        <v>90</v>
      </c>
      <c r="C7694" t="s">
        <v>10543</v>
      </c>
      <c r="E7694" t="s">
        <v>24863</v>
      </c>
      <c r="F7694" t="s">
        <v>31574</v>
      </c>
      <c r="G7694" t="s">
        <v>31582</v>
      </c>
      <c r="H7694" t="s">
        <v>31591</v>
      </c>
      <c r="I7694" t="s">
        <v>8822</v>
      </c>
      <c r="J7694" t="s">
        <v>36623</v>
      </c>
      <c r="K7694" t="s">
        <v>41184</v>
      </c>
      <c r="M7694" t="s">
        <v>41574</v>
      </c>
      <c r="N7694" t="s">
        <v>45095</v>
      </c>
      <c r="O7694" t="s">
        <v>45096</v>
      </c>
      <c r="Q7694">
        <v>2</v>
      </c>
      <c r="R7694" t="s">
        <v>45103</v>
      </c>
      <c r="S7694" t="s">
        <v>45289</v>
      </c>
      <c r="T7694" t="s">
        <v>46965</v>
      </c>
      <c r="U7694" t="s">
        <v>53874</v>
      </c>
      <c r="W7694" t="s">
        <v>41574</v>
      </c>
      <c r="X7694" t="s">
        <v>45104</v>
      </c>
    </row>
    <row r="7695" spans="1:24">
      <c r="A7695">
        <f>HYPERLINK("https://www.philgeps.gov.ph/GEPSNONPILOT/Tender/SplashBidNoticeAbstractUI.aspx?menuIndex=3&amp;refID=7037162&amp;Result=3","7037162")</f>
        <v>0</v>
      </c>
      <c r="B7695" t="s">
        <v>1024</v>
      </c>
      <c r="C7695" t="s">
        <v>10544</v>
      </c>
      <c r="D7695" t="s">
        <v>18048</v>
      </c>
      <c r="E7695" t="s">
        <v>24864</v>
      </c>
      <c r="F7695" t="s">
        <v>31574</v>
      </c>
      <c r="G7695" t="s">
        <v>31582</v>
      </c>
      <c r="H7695" t="s">
        <v>31590</v>
      </c>
      <c r="I7695" t="s">
        <v>8056</v>
      </c>
      <c r="J7695" t="s">
        <v>36624</v>
      </c>
      <c r="K7695" t="s">
        <v>41184</v>
      </c>
      <c r="M7695" t="s">
        <v>42565</v>
      </c>
      <c r="N7695" t="s">
        <v>45095</v>
      </c>
      <c r="O7695" t="s">
        <v>45096</v>
      </c>
      <c r="P7695">
        <v>0</v>
      </c>
      <c r="Q7695">
        <v>4</v>
      </c>
      <c r="R7695" t="s">
        <v>45103</v>
      </c>
      <c r="S7695" t="s">
        <v>45270</v>
      </c>
      <c r="T7695" t="s">
        <v>47324</v>
      </c>
      <c r="U7695" t="s">
        <v>52420</v>
      </c>
      <c r="V7695" t="s">
        <v>60658</v>
      </c>
      <c r="W7695" t="s">
        <v>42565</v>
      </c>
      <c r="X7695" t="s">
        <v>45104</v>
      </c>
    </row>
    <row r="7696" spans="1:24">
      <c r="A7696">
        <f>HYPERLINK("https://www.philgeps.gov.ph/GEPSNONPILOT/Tender/SplashBidNoticeAbstractUI.aspx?menuIndex=3&amp;refID=7037153&amp;Result=3","7037153")</f>
        <v>0</v>
      </c>
      <c r="B7696" t="s">
        <v>2169</v>
      </c>
      <c r="C7696" t="s">
        <v>10545</v>
      </c>
      <c r="D7696" t="s">
        <v>18046</v>
      </c>
      <c r="E7696" t="s">
        <v>24865</v>
      </c>
      <c r="F7696" t="s">
        <v>31575</v>
      </c>
      <c r="G7696" t="s">
        <v>31581</v>
      </c>
      <c r="H7696" t="s">
        <v>31590</v>
      </c>
      <c r="I7696" t="s">
        <v>31607</v>
      </c>
      <c r="J7696" t="s">
        <v>36625</v>
      </c>
      <c r="K7696" t="s">
        <v>41186</v>
      </c>
      <c r="M7696" t="s">
        <v>43854</v>
      </c>
      <c r="N7696" t="s">
        <v>45095</v>
      </c>
      <c r="O7696" t="s">
        <v>45096</v>
      </c>
      <c r="P7696">
        <v>0</v>
      </c>
      <c r="Q7696">
        <v>12</v>
      </c>
      <c r="R7696" t="s">
        <v>45103</v>
      </c>
      <c r="S7696" t="s">
        <v>45270</v>
      </c>
      <c r="T7696" t="s">
        <v>46910</v>
      </c>
      <c r="U7696" t="s">
        <v>53566</v>
      </c>
      <c r="V7696" t="s">
        <v>60631</v>
      </c>
      <c r="W7696" t="s">
        <v>61728</v>
      </c>
      <c r="X7696" t="s">
        <v>45104</v>
      </c>
    </row>
    <row r="7697" spans="1:24">
      <c r="A7697">
        <f>HYPERLINK("https://www.philgeps.gov.ph/GEPSNONPILOT/Tender/SplashBidNoticeAbstractUI.aspx?menuIndex=3&amp;refID=7037142&amp;Result=3","7037142")</f>
        <v>0</v>
      </c>
      <c r="B7697" t="s">
        <v>2242</v>
      </c>
      <c r="C7697" t="s">
        <v>10546</v>
      </c>
      <c r="D7697" t="s">
        <v>18033</v>
      </c>
      <c r="E7697" t="s">
        <v>24866</v>
      </c>
      <c r="F7697" t="s">
        <v>31574</v>
      </c>
      <c r="G7697" t="s">
        <v>31582</v>
      </c>
      <c r="H7697" t="s">
        <v>31590</v>
      </c>
      <c r="I7697" t="s">
        <v>3489</v>
      </c>
      <c r="J7697" t="s">
        <v>36626</v>
      </c>
      <c r="K7697" t="s">
        <v>41196</v>
      </c>
      <c r="M7697" t="s">
        <v>43940</v>
      </c>
      <c r="N7697" t="s">
        <v>45095</v>
      </c>
      <c r="O7697" t="s">
        <v>45096</v>
      </c>
      <c r="P7697">
        <v>0</v>
      </c>
      <c r="Q7697">
        <v>0</v>
      </c>
      <c r="R7697" t="s">
        <v>45103</v>
      </c>
      <c r="S7697" t="s">
        <v>45270</v>
      </c>
      <c r="T7697" t="s">
        <v>47050</v>
      </c>
      <c r="U7697" t="s">
        <v>53875</v>
      </c>
      <c r="W7697" t="s">
        <v>43940</v>
      </c>
      <c r="X7697" t="s">
        <v>45104</v>
      </c>
    </row>
    <row r="7698" spans="1:24">
      <c r="A7698">
        <f>HYPERLINK("https://www.philgeps.gov.ph/GEPSNONPILOT/Tender/SplashBidNoticeAbstractUI.aspx?menuIndex=3&amp;refID=7037155&amp;Result=3","7037155")</f>
        <v>0</v>
      </c>
      <c r="B7698" t="s">
        <v>2253</v>
      </c>
      <c r="C7698" t="s">
        <v>10547</v>
      </c>
      <c r="D7698" t="s">
        <v>18083</v>
      </c>
      <c r="E7698" t="s">
        <v>20000</v>
      </c>
      <c r="F7698" t="s">
        <v>31574</v>
      </c>
      <c r="G7698" t="s">
        <v>31581</v>
      </c>
      <c r="H7698" t="s">
        <v>31590</v>
      </c>
      <c r="I7698" t="s">
        <v>31623</v>
      </c>
      <c r="J7698" t="s">
        <v>32811</v>
      </c>
      <c r="K7698" t="s">
        <v>41184</v>
      </c>
      <c r="M7698" t="s">
        <v>43951</v>
      </c>
      <c r="N7698" t="s">
        <v>45095</v>
      </c>
      <c r="O7698" t="s">
        <v>45096</v>
      </c>
      <c r="P7698">
        <v>0</v>
      </c>
      <c r="Q7698">
        <v>0</v>
      </c>
      <c r="R7698" t="s">
        <v>45103</v>
      </c>
      <c r="S7698" t="s">
        <v>45270</v>
      </c>
      <c r="T7698" t="s">
        <v>47158</v>
      </c>
      <c r="U7698" t="s">
        <v>53876</v>
      </c>
      <c r="W7698" t="s">
        <v>43951</v>
      </c>
      <c r="X7698" t="s">
        <v>45104</v>
      </c>
    </row>
    <row r="7699" spans="1:24">
      <c r="A7699">
        <f>HYPERLINK("https://www.philgeps.gov.ph/GEPSNONPILOT/Tender/SplashBidNoticeAbstractUI.aspx?menuIndex=3&amp;refID=7037165&amp;Result=3","7037165")</f>
        <v>0</v>
      </c>
      <c r="B7699" t="s">
        <v>132</v>
      </c>
      <c r="C7699" t="s">
        <v>10548</v>
      </c>
      <c r="D7699" t="s">
        <v>18059</v>
      </c>
      <c r="E7699" t="s">
        <v>24867</v>
      </c>
      <c r="F7699" t="s">
        <v>31574</v>
      </c>
      <c r="G7699" t="s">
        <v>31582</v>
      </c>
      <c r="H7699" t="s">
        <v>31590</v>
      </c>
      <c r="I7699" t="s">
        <v>4046</v>
      </c>
      <c r="J7699" t="s">
        <v>36627</v>
      </c>
      <c r="K7699" t="s">
        <v>41190</v>
      </c>
      <c r="M7699" t="s">
        <v>41616</v>
      </c>
      <c r="N7699" t="s">
        <v>45095</v>
      </c>
      <c r="O7699" t="s">
        <v>45096</v>
      </c>
      <c r="P7699">
        <v>0</v>
      </c>
      <c r="Q7699">
        <v>0</v>
      </c>
      <c r="R7699" t="s">
        <v>45103</v>
      </c>
      <c r="S7699" t="s">
        <v>45270</v>
      </c>
      <c r="T7699" t="s">
        <v>46973</v>
      </c>
      <c r="U7699" t="s">
        <v>53877</v>
      </c>
      <c r="W7699" t="s">
        <v>41616</v>
      </c>
      <c r="X7699" t="s">
        <v>45104</v>
      </c>
    </row>
    <row r="7700" spans="1:24">
      <c r="A7700">
        <f>HYPERLINK("https://www.philgeps.gov.ph/GEPSNONPILOT/Tender/SplashBidNoticeAbstractUI.aspx?menuIndex=3&amp;refID=7037143&amp;Result=3","7037143")</f>
        <v>0</v>
      </c>
      <c r="B7700" t="s">
        <v>1531</v>
      </c>
      <c r="C7700" t="s">
        <v>10549</v>
      </c>
      <c r="D7700" t="s">
        <v>18044</v>
      </c>
      <c r="E7700" t="s">
        <v>24868</v>
      </c>
      <c r="F7700" t="s">
        <v>31574</v>
      </c>
      <c r="G7700" t="s">
        <v>31582</v>
      </c>
      <c r="H7700" t="s">
        <v>31591</v>
      </c>
      <c r="I7700" t="s">
        <v>8822</v>
      </c>
      <c r="J7700" t="s">
        <v>34980</v>
      </c>
      <c r="K7700" t="s">
        <v>41256</v>
      </c>
      <c r="M7700" t="s">
        <v>43122</v>
      </c>
      <c r="N7700" t="s">
        <v>45095</v>
      </c>
      <c r="O7700" t="s">
        <v>45096</v>
      </c>
      <c r="P7700">
        <v>0</v>
      </c>
      <c r="Q7700">
        <v>4</v>
      </c>
      <c r="R7700" t="s">
        <v>45103</v>
      </c>
      <c r="S7700" t="s">
        <v>45270</v>
      </c>
      <c r="T7700" t="s">
        <v>47000</v>
      </c>
      <c r="U7700" t="s">
        <v>53701</v>
      </c>
      <c r="W7700" t="s">
        <v>43122</v>
      </c>
      <c r="X7700" t="s">
        <v>45104</v>
      </c>
    </row>
    <row r="7701" spans="1:24">
      <c r="A7701">
        <f>HYPERLINK("https://www.philgeps.gov.ph/GEPSNONPILOT/Tender/SplashBidNoticeAbstractUI.aspx?menuIndex=3&amp;refID=7037169&amp;Result=3","7037169")</f>
        <v>0</v>
      </c>
      <c r="B7701" t="s">
        <v>334</v>
      </c>
      <c r="C7701" t="s">
        <v>10550</v>
      </c>
      <c r="D7701" t="s">
        <v>18050</v>
      </c>
      <c r="E7701" t="s">
        <v>24869</v>
      </c>
      <c r="F7701" t="s">
        <v>31574</v>
      </c>
      <c r="G7701" t="s">
        <v>31581</v>
      </c>
      <c r="H7701" t="s">
        <v>31590</v>
      </c>
      <c r="I7701" t="s">
        <v>14034</v>
      </c>
      <c r="J7701" t="s">
        <v>36628</v>
      </c>
      <c r="K7701" t="s">
        <v>41189</v>
      </c>
      <c r="M7701" t="s">
        <v>41822</v>
      </c>
      <c r="N7701" t="s">
        <v>45095</v>
      </c>
      <c r="O7701" t="s">
        <v>45096</v>
      </c>
      <c r="P7701">
        <v>0</v>
      </c>
      <c r="Q7701">
        <v>2</v>
      </c>
      <c r="R7701" t="s">
        <v>45103</v>
      </c>
      <c r="S7701" t="s">
        <v>45270</v>
      </c>
      <c r="T7701" t="s">
        <v>46936</v>
      </c>
      <c r="U7701" t="s">
        <v>53878</v>
      </c>
      <c r="W7701" t="s">
        <v>61663</v>
      </c>
      <c r="X7701" t="s">
        <v>45104</v>
      </c>
    </row>
    <row r="7702" spans="1:24">
      <c r="A7702">
        <f>HYPERLINK("https://www.philgeps.gov.ph/GEPSNONPILOT/Tender/SplashBidNoticeAbstractUI.aspx?menuIndex=3&amp;refID=7037167&amp;Result=3","7037167")</f>
        <v>0</v>
      </c>
      <c r="B7702" t="s">
        <v>601</v>
      </c>
      <c r="C7702" t="s">
        <v>10551</v>
      </c>
      <c r="D7702" t="s">
        <v>18023</v>
      </c>
      <c r="E7702" t="s">
        <v>18533</v>
      </c>
      <c r="F7702" t="s">
        <v>31574</v>
      </c>
      <c r="G7702" t="s">
        <v>31582</v>
      </c>
      <c r="H7702" t="s">
        <v>31590</v>
      </c>
      <c r="I7702" t="s">
        <v>7162</v>
      </c>
      <c r="J7702" t="s">
        <v>31742</v>
      </c>
      <c r="K7702" t="s">
        <v>41193</v>
      </c>
      <c r="M7702" t="s">
        <v>42104</v>
      </c>
      <c r="N7702" t="s">
        <v>45095</v>
      </c>
      <c r="O7702" t="s">
        <v>45096</v>
      </c>
      <c r="P7702">
        <v>0</v>
      </c>
      <c r="Q7702">
        <v>1</v>
      </c>
      <c r="R7702" t="s">
        <v>45103</v>
      </c>
      <c r="S7702" t="s">
        <v>45270</v>
      </c>
      <c r="T7702" t="s">
        <v>47058</v>
      </c>
      <c r="U7702" t="s">
        <v>53879</v>
      </c>
      <c r="W7702" t="s">
        <v>42104</v>
      </c>
      <c r="X7702" t="s">
        <v>45104</v>
      </c>
    </row>
    <row r="7703" spans="1:24">
      <c r="A7703">
        <f>HYPERLINK("https://www.philgeps.gov.ph/GEPSNONPILOT/Tender/SplashBidNoticeAbstractUI.aspx?menuIndex=3&amp;refID=7037192&amp;Result=3","7037192")</f>
        <v>0</v>
      </c>
      <c r="B7703" t="s">
        <v>1079</v>
      </c>
      <c r="C7703" t="s">
        <v>10552</v>
      </c>
      <c r="E7703" t="s">
        <v>24870</v>
      </c>
      <c r="F7703" t="s">
        <v>31574</v>
      </c>
      <c r="G7703" t="s">
        <v>31581</v>
      </c>
      <c r="H7703" t="s">
        <v>31590</v>
      </c>
      <c r="I7703" t="s">
        <v>6800</v>
      </c>
      <c r="J7703" t="s">
        <v>36629</v>
      </c>
      <c r="K7703" t="s">
        <v>41184</v>
      </c>
      <c r="M7703" t="s">
        <v>43366</v>
      </c>
      <c r="N7703" t="s">
        <v>45095</v>
      </c>
      <c r="O7703" t="s">
        <v>45096</v>
      </c>
      <c r="P7703">
        <v>0</v>
      </c>
      <c r="Q7703">
        <v>9</v>
      </c>
      <c r="R7703" t="s">
        <v>45103</v>
      </c>
      <c r="S7703" t="s">
        <v>45270</v>
      </c>
      <c r="T7703" t="s">
        <v>47158</v>
      </c>
      <c r="U7703" t="s">
        <v>53880</v>
      </c>
      <c r="V7703" t="s">
        <v>60414</v>
      </c>
      <c r="W7703" t="s">
        <v>43366</v>
      </c>
      <c r="X7703" t="s">
        <v>45104</v>
      </c>
    </row>
    <row r="7704" spans="1:24">
      <c r="A7704">
        <f>HYPERLINK("https://www.philgeps.gov.ph/GEPSNONPILOT/Tender/SplashBidNoticeAbstractUI.aspx?menuIndex=3&amp;refID=7037172&amp;Result=3","7037172")</f>
        <v>0</v>
      </c>
      <c r="B7704" t="s">
        <v>683</v>
      </c>
      <c r="C7704" t="s">
        <v>10553</v>
      </c>
      <c r="D7704" t="s">
        <v>18059</v>
      </c>
      <c r="E7704" t="s">
        <v>24871</v>
      </c>
      <c r="F7704" t="s">
        <v>31574</v>
      </c>
      <c r="G7704" t="s">
        <v>31581</v>
      </c>
      <c r="H7704" t="s">
        <v>31590</v>
      </c>
      <c r="I7704" t="s">
        <v>31602</v>
      </c>
      <c r="J7704" t="s">
        <v>36630</v>
      </c>
      <c r="K7704" t="s">
        <v>41184</v>
      </c>
      <c r="M7704" t="s">
        <v>43558</v>
      </c>
      <c r="N7704" t="s">
        <v>45095</v>
      </c>
      <c r="O7704" t="s">
        <v>45096</v>
      </c>
      <c r="P7704">
        <v>0</v>
      </c>
      <c r="Q7704">
        <v>0</v>
      </c>
      <c r="R7704" t="s">
        <v>45103</v>
      </c>
      <c r="S7704" t="s">
        <v>45270</v>
      </c>
      <c r="T7704" t="s">
        <v>47159</v>
      </c>
      <c r="U7704" t="s">
        <v>53881</v>
      </c>
      <c r="W7704" t="s">
        <v>43558</v>
      </c>
      <c r="X7704" t="s">
        <v>45104</v>
      </c>
    </row>
    <row r="7705" spans="1:24">
      <c r="A7705">
        <f>HYPERLINK("https://www.philgeps.gov.ph/GEPSNONPILOT/Tender/SplashBidNoticeAbstractUI.aspx?menuIndex=3&amp;refID=7037154&amp;Result=3","7037154")</f>
        <v>0</v>
      </c>
      <c r="B7705" t="s">
        <v>319</v>
      </c>
      <c r="C7705" t="s">
        <v>10554</v>
      </c>
      <c r="D7705" t="s">
        <v>18065</v>
      </c>
      <c r="E7705" t="s">
        <v>24872</v>
      </c>
      <c r="F7705" t="s">
        <v>31574</v>
      </c>
      <c r="G7705" t="s">
        <v>31582</v>
      </c>
      <c r="H7705" t="s">
        <v>31591</v>
      </c>
      <c r="I7705" t="s">
        <v>8822</v>
      </c>
      <c r="J7705" t="s">
        <v>32101</v>
      </c>
      <c r="K7705" t="s">
        <v>41189</v>
      </c>
      <c r="M7705" t="s">
        <v>43172</v>
      </c>
      <c r="N7705" t="s">
        <v>45095</v>
      </c>
      <c r="O7705" t="s">
        <v>45096</v>
      </c>
      <c r="P7705">
        <v>0</v>
      </c>
      <c r="Q7705">
        <v>0</v>
      </c>
      <c r="R7705" t="s">
        <v>45103</v>
      </c>
      <c r="S7705" t="s">
        <v>45270</v>
      </c>
      <c r="T7705" t="s">
        <v>46988</v>
      </c>
      <c r="U7705" t="s">
        <v>53860</v>
      </c>
      <c r="W7705" t="s">
        <v>43172</v>
      </c>
      <c r="X7705" t="s">
        <v>45104</v>
      </c>
    </row>
    <row r="7706" spans="1:24">
      <c r="A7706">
        <f>HYPERLINK("https://www.philgeps.gov.ph/GEPSNONPILOT/Tender/SplashBidNoticeAbstractUI.aspx?menuIndex=3&amp;refID=7037186&amp;Result=3","7037186")</f>
        <v>0</v>
      </c>
      <c r="B7706" t="s">
        <v>873</v>
      </c>
      <c r="C7706" t="s">
        <v>10555</v>
      </c>
      <c r="D7706" t="s">
        <v>18022</v>
      </c>
      <c r="E7706" t="s">
        <v>24873</v>
      </c>
      <c r="F7706" t="s">
        <v>31574</v>
      </c>
      <c r="G7706" t="s">
        <v>31581</v>
      </c>
      <c r="H7706" t="s">
        <v>31590</v>
      </c>
      <c r="I7706" t="s">
        <v>31594</v>
      </c>
      <c r="J7706" t="s">
        <v>36631</v>
      </c>
      <c r="K7706" t="s">
        <v>41184</v>
      </c>
      <c r="M7706" t="s">
        <v>42394</v>
      </c>
      <c r="N7706" t="s">
        <v>45095</v>
      </c>
      <c r="O7706" t="s">
        <v>45096</v>
      </c>
      <c r="P7706">
        <v>0</v>
      </c>
      <c r="Q7706">
        <v>3</v>
      </c>
      <c r="R7706" t="s">
        <v>45103</v>
      </c>
      <c r="S7706" t="s">
        <v>45270</v>
      </c>
      <c r="T7706" t="s">
        <v>47159</v>
      </c>
      <c r="U7706" t="s">
        <v>53882</v>
      </c>
      <c r="W7706" t="s">
        <v>42394</v>
      </c>
      <c r="X7706" t="s">
        <v>45104</v>
      </c>
    </row>
    <row r="7707" spans="1:24">
      <c r="A7707">
        <f>HYPERLINK("https://www.philgeps.gov.ph/GEPSNONPILOT/Tender/SplashBidNoticeAbstractUI.aspx?menuIndex=3&amp;refID=7037189&amp;Result=3","7037189")</f>
        <v>0</v>
      </c>
      <c r="B7707" t="s">
        <v>48</v>
      </c>
      <c r="C7707" t="s">
        <v>10556</v>
      </c>
      <c r="D7707" t="s">
        <v>18041</v>
      </c>
      <c r="E7707" t="s">
        <v>24874</v>
      </c>
      <c r="F7707" t="s">
        <v>31574</v>
      </c>
      <c r="G7707" t="s">
        <v>31582</v>
      </c>
      <c r="H7707" t="s">
        <v>31590</v>
      </c>
      <c r="I7707" t="s">
        <v>31631</v>
      </c>
      <c r="J7707" t="s">
        <v>36632</v>
      </c>
      <c r="K7707" t="s">
        <v>41186</v>
      </c>
      <c r="M7707" t="s">
        <v>43725</v>
      </c>
      <c r="N7707" t="s">
        <v>45095</v>
      </c>
      <c r="O7707" t="s">
        <v>45096</v>
      </c>
      <c r="P7707">
        <v>0</v>
      </c>
      <c r="Q7707">
        <v>1</v>
      </c>
      <c r="R7707" t="s">
        <v>45103</v>
      </c>
      <c r="S7707" t="s">
        <v>45270</v>
      </c>
      <c r="T7707" t="s">
        <v>46977</v>
      </c>
      <c r="U7707" t="s">
        <v>53883</v>
      </c>
      <c r="W7707" t="s">
        <v>43725</v>
      </c>
      <c r="X7707" t="s">
        <v>45104</v>
      </c>
    </row>
    <row r="7708" spans="1:24">
      <c r="A7708">
        <f>HYPERLINK("https://www.philgeps.gov.ph/GEPSNONPILOT/Tender/SplashBidNoticeAbstractUI.aspx?menuIndex=3&amp;refID=7037190&amp;Result=3","7037190")</f>
        <v>0</v>
      </c>
      <c r="B7708" t="s">
        <v>1586</v>
      </c>
      <c r="C7708" t="s">
        <v>10557</v>
      </c>
      <c r="E7708" t="s">
        <v>24875</v>
      </c>
      <c r="F7708" t="s">
        <v>31574</v>
      </c>
      <c r="G7708" t="s">
        <v>31582</v>
      </c>
      <c r="H7708" t="s">
        <v>31590</v>
      </c>
      <c r="I7708" t="s">
        <v>6800</v>
      </c>
      <c r="J7708" t="s">
        <v>36633</v>
      </c>
      <c r="K7708" t="s">
        <v>41184</v>
      </c>
      <c r="M7708" t="s">
        <v>43190</v>
      </c>
      <c r="N7708" t="s">
        <v>45095</v>
      </c>
      <c r="O7708" t="s">
        <v>45096</v>
      </c>
      <c r="P7708">
        <v>0</v>
      </c>
      <c r="Q7708">
        <v>1</v>
      </c>
      <c r="R7708" t="s">
        <v>45103</v>
      </c>
      <c r="S7708" t="s">
        <v>45270</v>
      </c>
      <c r="T7708" t="s">
        <v>47325</v>
      </c>
      <c r="U7708" t="s">
        <v>53884</v>
      </c>
      <c r="W7708" t="s">
        <v>43190</v>
      </c>
      <c r="X7708" t="s">
        <v>45104</v>
      </c>
    </row>
    <row r="7709" spans="1:24">
      <c r="A7709">
        <f>HYPERLINK("https://www.philgeps.gov.ph/GEPSNONPILOT/Tender/SplashBidNoticeAbstractUI.aspx?menuIndex=3&amp;refID=7037184&amp;Result=3","7037184")</f>
        <v>0</v>
      </c>
      <c r="B7709" t="s">
        <v>1531</v>
      </c>
      <c r="C7709" t="s">
        <v>10558</v>
      </c>
      <c r="D7709" t="s">
        <v>18044</v>
      </c>
      <c r="E7709" t="s">
        <v>24876</v>
      </c>
      <c r="F7709" t="s">
        <v>31574</v>
      </c>
      <c r="G7709" t="s">
        <v>31582</v>
      </c>
      <c r="H7709" t="s">
        <v>31591</v>
      </c>
      <c r="I7709" t="s">
        <v>8822</v>
      </c>
      <c r="J7709" t="s">
        <v>34071</v>
      </c>
      <c r="K7709" t="s">
        <v>41360</v>
      </c>
      <c r="M7709" t="s">
        <v>43122</v>
      </c>
      <c r="N7709" t="s">
        <v>45095</v>
      </c>
      <c r="O7709" t="s">
        <v>45096</v>
      </c>
      <c r="P7709">
        <v>0</v>
      </c>
      <c r="Q7709">
        <v>3</v>
      </c>
      <c r="R7709" t="s">
        <v>45103</v>
      </c>
      <c r="S7709" t="s">
        <v>45270</v>
      </c>
      <c r="T7709" t="s">
        <v>47000</v>
      </c>
      <c r="U7709" t="s">
        <v>53701</v>
      </c>
      <c r="W7709" t="s">
        <v>43122</v>
      </c>
      <c r="X7709" t="s">
        <v>45104</v>
      </c>
    </row>
    <row r="7710" spans="1:24">
      <c r="A7710">
        <f>HYPERLINK("https://www.philgeps.gov.ph/GEPSNONPILOT/Tender/SplashBidNoticeAbstractUI.aspx?menuIndex=3&amp;refID=7037175&amp;Result=3","7037175")</f>
        <v>0</v>
      </c>
      <c r="B7710" t="s">
        <v>2248</v>
      </c>
      <c r="C7710" t="s">
        <v>10559</v>
      </c>
      <c r="D7710" t="s">
        <v>18078</v>
      </c>
      <c r="E7710" t="s">
        <v>24877</v>
      </c>
      <c r="F7710" t="s">
        <v>31574</v>
      </c>
      <c r="G7710" t="s">
        <v>31582</v>
      </c>
      <c r="H7710" t="s">
        <v>31591</v>
      </c>
      <c r="I7710" t="s">
        <v>8822</v>
      </c>
      <c r="J7710" t="s">
        <v>36634</v>
      </c>
      <c r="K7710" t="s">
        <v>41190</v>
      </c>
      <c r="M7710" t="s">
        <v>43946</v>
      </c>
      <c r="N7710" t="s">
        <v>45095</v>
      </c>
      <c r="O7710" t="s">
        <v>45096</v>
      </c>
      <c r="P7710">
        <v>0</v>
      </c>
      <c r="Q7710">
        <v>0</v>
      </c>
      <c r="R7710" t="s">
        <v>45103</v>
      </c>
      <c r="S7710" t="s">
        <v>45270</v>
      </c>
      <c r="T7710" t="s">
        <v>47274</v>
      </c>
      <c r="U7710" t="s">
        <v>53885</v>
      </c>
      <c r="W7710" t="s">
        <v>43946</v>
      </c>
      <c r="X7710" t="s">
        <v>45104</v>
      </c>
    </row>
    <row r="7711" spans="1:24">
      <c r="A7711">
        <f>HYPERLINK("https://www.philgeps.gov.ph/GEPSNONPILOT/Tender/SplashBidNoticeAbstractUI.aspx?menuIndex=3&amp;refID=7037180&amp;Result=3","7037180")</f>
        <v>0</v>
      </c>
      <c r="B7711" t="s">
        <v>886</v>
      </c>
      <c r="C7711" t="s">
        <v>10560</v>
      </c>
      <c r="E7711" t="s">
        <v>24878</v>
      </c>
      <c r="F7711" t="s">
        <v>31574</v>
      </c>
      <c r="G7711" t="s">
        <v>31584</v>
      </c>
      <c r="H7711" t="s">
        <v>31590</v>
      </c>
      <c r="I7711" t="s">
        <v>4327</v>
      </c>
      <c r="J7711" t="s">
        <v>31741</v>
      </c>
      <c r="K7711" t="s">
        <v>41184</v>
      </c>
      <c r="M7711" t="s">
        <v>42407</v>
      </c>
      <c r="N7711" t="s">
        <v>45095</v>
      </c>
      <c r="O7711" t="s">
        <v>45096</v>
      </c>
      <c r="P7711">
        <v>0</v>
      </c>
      <c r="Q7711">
        <v>10</v>
      </c>
      <c r="R7711" t="s">
        <v>45103</v>
      </c>
      <c r="S7711" t="s">
        <v>45270</v>
      </c>
      <c r="T7711" t="s">
        <v>47080</v>
      </c>
      <c r="U7711" t="s">
        <v>53363</v>
      </c>
      <c r="W7711" t="s">
        <v>42407</v>
      </c>
      <c r="X7711" t="s">
        <v>45104</v>
      </c>
    </row>
    <row r="7712" spans="1:24">
      <c r="A7712">
        <f>HYPERLINK("https://www.philgeps.gov.ph/GEPSNONPILOT/Tender/SplashBidNoticeAbstractUI.aspx?menuIndex=3&amp;refID=7037181&amp;Result=3","7037181")</f>
        <v>0</v>
      </c>
      <c r="B7712" t="s">
        <v>1008</v>
      </c>
      <c r="C7712" t="s">
        <v>10561</v>
      </c>
      <c r="D7712" t="s">
        <v>18028</v>
      </c>
      <c r="E7712" t="s">
        <v>24879</v>
      </c>
      <c r="F7712" t="s">
        <v>31574</v>
      </c>
      <c r="G7712" t="s">
        <v>31581</v>
      </c>
      <c r="H7712" t="s">
        <v>31590</v>
      </c>
      <c r="I7712" t="s">
        <v>31664</v>
      </c>
      <c r="J7712" t="s">
        <v>32290</v>
      </c>
      <c r="K7712" t="s">
        <v>41186</v>
      </c>
      <c r="M7712" t="s">
        <v>42548</v>
      </c>
      <c r="N7712" t="s">
        <v>45095</v>
      </c>
      <c r="O7712" t="s">
        <v>45096</v>
      </c>
      <c r="P7712">
        <v>0</v>
      </c>
      <c r="Q7712">
        <v>1</v>
      </c>
      <c r="R7712" t="s">
        <v>45103</v>
      </c>
      <c r="S7712" t="s">
        <v>45270</v>
      </c>
      <c r="T7712" t="s">
        <v>46957</v>
      </c>
      <c r="U7712" t="s">
        <v>53886</v>
      </c>
      <c r="V7712" t="s">
        <v>60659</v>
      </c>
      <c r="W7712" t="s">
        <v>42548</v>
      </c>
      <c r="X7712" t="s">
        <v>45104</v>
      </c>
    </row>
    <row r="7713" spans="1:24">
      <c r="A7713">
        <f>HYPERLINK("https://www.philgeps.gov.ph/GEPSNONPILOT/Tender/SplashBidNoticeAbstractUI.aspx?menuIndex=3&amp;refID=7037204&amp;Result=3","7037204")</f>
        <v>0</v>
      </c>
      <c r="B7713" t="s">
        <v>1531</v>
      </c>
      <c r="C7713" t="s">
        <v>10562</v>
      </c>
      <c r="D7713" t="s">
        <v>18044</v>
      </c>
      <c r="E7713" t="s">
        <v>24880</v>
      </c>
      <c r="F7713" t="s">
        <v>31574</v>
      </c>
      <c r="G7713" t="s">
        <v>31582</v>
      </c>
      <c r="H7713" t="s">
        <v>31591</v>
      </c>
      <c r="I7713" t="s">
        <v>8822</v>
      </c>
      <c r="J7713" t="s">
        <v>34596</v>
      </c>
      <c r="K7713" t="s">
        <v>41256</v>
      </c>
      <c r="M7713" t="s">
        <v>43122</v>
      </c>
      <c r="N7713" t="s">
        <v>45095</v>
      </c>
      <c r="O7713" t="s">
        <v>45096</v>
      </c>
      <c r="P7713">
        <v>0</v>
      </c>
      <c r="Q7713">
        <v>3</v>
      </c>
      <c r="R7713" t="s">
        <v>45103</v>
      </c>
      <c r="S7713" t="s">
        <v>45270</v>
      </c>
      <c r="T7713" t="s">
        <v>47000</v>
      </c>
      <c r="U7713" t="s">
        <v>53701</v>
      </c>
      <c r="W7713" t="s">
        <v>43122</v>
      </c>
      <c r="X7713" t="s">
        <v>45104</v>
      </c>
    </row>
    <row r="7714" spans="1:24">
      <c r="A7714">
        <f>HYPERLINK("https://www.philgeps.gov.ph/GEPSNONPILOT/Tender/SplashBidNoticeAbstractUI.aspx?menuIndex=3&amp;refID=7037174&amp;Result=3","7037174")</f>
        <v>0</v>
      </c>
      <c r="B7714" t="s">
        <v>749</v>
      </c>
      <c r="C7714" t="s">
        <v>10563</v>
      </c>
      <c r="D7714" t="s">
        <v>18036</v>
      </c>
      <c r="E7714" t="s">
        <v>24881</v>
      </c>
      <c r="F7714" t="s">
        <v>31574</v>
      </c>
      <c r="G7714" t="s">
        <v>31582</v>
      </c>
      <c r="H7714" t="s">
        <v>31591</v>
      </c>
      <c r="I7714" t="s">
        <v>8822</v>
      </c>
      <c r="J7714" t="s">
        <v>36635</v>
      </c>
      <c r="K7714" t="s">
        <v>41203</v>
      </c>
      <c r="M7714" t="s">
        <v>42263</v>
      </c>
      <c r="N7714" t="s">
        <v>45095</v>
      </c>
      <c r="O7714" t="s">
        <v>45096</v>
      </c>
      <c r="Q7714">
        <v>0</v>
      </c>
      <c r="R7714" t="s">
        <v>45103</v>
      </c>
      <c r="S7714" t="s">
        <v>45290</v>
      </c>
      <c r="T7714" t="s">
        <v>46992</v>
      </c>
      <c r="U7714" t="s">
        <v>53887</v>
      </c>
      <c r="W7714" t="s">
        <v>42263</v>
      </c>
      <c r="X7714" t="s">
        <v>45104</v>
      </c>
    </row>
    <row r="7715" spans="1:24">
      <c r="A7715">
        <f>HYPERLINK("https://www.philgeps.gov.ph/GEPSNONPILOT/Tender/SplashBidNoticeAbstractUI.aspx?menuIndex=3&amp;refID=7037176&amp;Result=3","7037176")</f>
        <v>0</v>
      </c>
      <c r="B7715" t="s">
        <v>1955</v>
      </c>
      <c r="C7715" t="s">
        <v>3328</v>
      </c>
      <c r="D7715" t="s">
        <v>18026</v>
      </c>
      <c r="E7715" t="s">
        <v>24882</v>
      </c>
      <c r="F7715" t="s">
        <v>31574</v>
      </c>
      <c r="G7715" t="s">
        <v>31582</v>
      </c>
      <c r="H7715" t="s">
        <v>31590</v>
      </c>
      <c r="I7715" t="s">
        <v>6800</v>
      </c>
      <c r="J7715" t="s">
        <v>36636</v>
      </c>
      <c r="K7715" t="s">
        <v>41186</v>
      </c>
      <c r="M7715" t="s">
        <v>43611</v>
      </c>
      <c r="N7715" t="s">
        <v>45095</v>
      </c>
      <c r="O7715" t="s">
        <v>45096</v>
      </c>
      <c r="P7715">
        <v>0</v>
      </c>
      <c r="Q7715">
        <v>0</v>
      </c>
      <c r="R7715" t="s">
        <v>45103</v>
      </c>
      <c r="S7715" t="s">
        <v>45270</v>
      </c>
      <c r="T7715" t="s">
        <v>46985</v>
      </c>
      <c r="U7715" t="s">
        <v>53888</v>
      </c>
      <c r="W7715" t="s">
        <v>43611</v>
      </c>
      <c r="X7715" t="s">
        <v>45104</v>
      </c>
    </row>
    <row r="7716" spans="1:24">
      <c r="A7716">
        <f>HYPERLINK("https://www.philgeps.gov.ph/GEPSNONPILOT/Tender/SplashBidNoticeAbstractUI.aspx?menuIndex=3&amp;refID=7037168&amp;Result=3","7037168")</f>
        <v>0</v>
      </c>
      <c r="B7716" t="s">
        <v>159</v>
      </c>
      <c r="C7716" t="s">
        <v>10564</v>
      </c>
      <c r="D7716" t="s">
        <v>18046</v>
      </c>
      <c r="E7716" t="s">
        <v>24883</v>
      </c>
      <c r="F7716" t="s">
        <v>31574</v>
      </c>
      <c r="G7716" t="s">
        <v>31582</v>
      </c>
      <c r="H7716" t="s">
        <v>31590</v>
      </c>
      <c r="I7716" t="s">
        <v>31626</v>
      </c>
      <c r="J7716" t="s">
        <v>35028</v>
      </c>
      <c r="K7716" t="s">
        <v>41186</v>
      </c>
      <c r="M7716" t="s">
        <v>43387</v>
      </c>
      <c r="N7716" t="s">
        <v>45095</v>
      </c>
      <c r="O7716" t="s">
        <v>45096</v>
      </c>
      <c r="P7716">
        <v>0</v>
      </c>
      <c r="Q7716">
        <v>1</v>
      </c>
      <c r="R7716" t="s">
        <v>45103</v>
      </c>
      <c r="S7716" t="s">
        <v>45270</v>
      </c>
      <c r="T7716" t="s">
        <v>46963</v>
      </c>
      <c r="U7716" t="s">
        <v>47772</v>
      </c>
      <c r="V7716" t="s">
        <v>59890</v>
      </c>
      <c r="W7716" t="s">
        <v>43387</v>
      </c>
      <c r="X7716" t="s">
        <v>45104</v>
      </c>
    </row>
    <row r="7717" spans="1:24">
      <c r="A7717">
        <f>HYPERLINK("https://www.philgeps.gov.ph/GEPSNONPILOT/Tender/SplashBidNoticeAbstractUI.aspx?menuIndex=3&amp;refID=7037199&amp;Result=3","7037199")</f>
        <v>0</v>
      </c>
      <c r="B7717" t="s">
        <v>226</v>
      </c>
      <c r="C7717" t="s">
        <v>3328</v>
      </c>
      <c r="D7717" t="s">
        <v>18041</v>
      </c>
      <c r="E7717" t="s">
        <v>24884</v>
      </c>
      <c r="F7717" t="s">
        <v>31574</v>
      </c>
      <c r="G7717" t="s">
        <v>31583</v>
      </c>
      <c r="H7717" t="s">
        <v>31590</v>
      </c>
      <c r="I7717" t="s">
        <v>6800</v>
      </c>
      <c r="J7717" t="s">
        <v>36637</v>
      </c>
      <c r="K7717" t="s">
        <v>41184</v>
      </c>
      <c r="M7717" t="s">
        <v>41711</v>
      </c>
      <c r="N7717" t="s">
        <v>45095</v>
      </c>
      <c r="O7717" t="s">
        <v>45096</v>
      </c>
      <c r="P7717">
        <v>0</v>
      </c>
      <c r="Q7717">
        <v>0</v>
      </c>
      <c r="R7717" t="s">
        <v>45103</v>
      </c>
      <c r="S7717" t="s">
        <v>45270</v>
      </c>
      <c r="T7717" t="s">
        <v>46963</v>
      </c>
      <c r="U7717" t="s">
        <v>53889</v>
      </c>
      <c r="W7717" t="s">
        <v>41711</v>
      </c>
      <c r="X7717" t="s">
        <v>45104</v>
      </c>
    </row>
    <row r="7718" spans="1:24">
      <c r="A7718">
        <f>HYPERLINK("https://www.philgeps.gov.ph/GEPSNONPILOT/Tender/SplashBidNoticeAbstractUI.aspx?menuIndex=3&amp;refID=7037194&amp;Result=3","7037194")</f>
        <v>0</v>
      </c>
      <c r="B7718" t="s">
        <v>2255</v>
      </c>
      <c r="C7718" t="s">
        <v>10565</v>
      </c>
      <c r="D7718" t="s">
        <v>18076</v>
      </c>
      <c r="E7718" t="s">
        <v>24885</v>
      </c>
      <c r="F7718" t="s">
        <v>31574</v>
      </c>
      <c r="G7718" t="s">
        <v>31582</v>
      </c>
      <c r="H7718" t="s">
        <v>31591</v>
      </c>
      <c r="I7718" t="s">
        <v>8822</v>
      </c>
      <c r="J7718" t="s">
        <v>36638</v>
      </c>
      <c r="K7718" t="s">
        <v>41185</v>
      </c>
      <c r="M7718" t="s">
        <v>43954</v>
      </c>
      <c r="N7718" t="s">
        <v>45095</v>
      </c>
      <c r="O7718" t="s">
        <v>45096</v>
      </c>
      <c r="P7718">
        <v>0</v>
      </c>
      <c r="Q7718">
        <v>1</v>
      </c>
      <c r="R7718" t="s">
        <v>45103</v>
      </c>
      <c r="S7718" t="s">
        <v>45270</v>
      </c>
      <c r="T7718" t="s">
        <v>46992</v>
      </c>
      <c r="U7718" t="s">
        <v>53890</v>
      </c>
      <c r="W7718" t="s">
        <v>43954</v>
      </c>
      <c r="X7718" t="s">
        <v>45104</v>
      </c>
    </row>
    <row r="7719" spans="1:24">
      <c r="A7719">
        <f>HYPERLINK("https://www.philgeps.gov.ph/GEPSNONPILOT/Tender/SplashBidNoticeAbstractUI.aspx?menuIndex=3&amp;refID=7037196&amp;Result=3","7037196")</f>
        <v>0</v>
      </c>
      <c r="B7719" t="s">
        <v>2256</v>
      </c>
      <c r="C7719" t="s">
        <v>10566</v>
      </c>
      <c r="D7719" t="s">
        <v>18056</v>
      </c>
      <c r="E7719" t="s">
        <v>19612</v>
      </c>
      <c r="F7719" t="s">
        <v>31574</v>
      </c>
      <c r="G7719" t="s">
        <v>31582</v>
      </c>
      <c r="H7719" t="s">
        <v>31591</v>
      </c>
      <c r="I7719" t="s">
        <v>8822</v>
      </c>
      <c r="J7719" t="s">
        <v>36639</v>
      </c>
      <c r="K7719" t="s">
        <v>41192</v>
      </c>
      <c r="M7719" t="s">
        <v>43955</v>
      </c>
      <c r="N7719" t="s">
        <v>45095</v>
      </c>
      <c r="O7719" t="s">
        <v>45096</v>
      </c>
      <c r="P7719">
        <v>0</v>
      </c>
      <c r="Q7719">
        <v>1</v>
      </c>
      <c r="R7719" t="s">
        <v>45103</v>
      </c>
      <c r="S7719" t="s">
        <v>45270</v>
      </c>
      <c r="T7719" t="s">
        <v>46988</v>
      </c>
      <c r="U7719" t="s">
        <v>53891</v>
      </c>
      <c r="V7719" t="s">
        <v>60660</v>
      </c>
      <c r="W7719" t="s">
        <v>43955</v>
      </c>
      <c r="X7719" t="s">
        <v>45104</v>
      </c>
    </row>
    <row r="7720" spans="1:24">
      <c r="A7720">
        <f>HYPERLINK("https://www.philgeps.gov.ph/GEPSNONPILOT/Tender/SplashBidNoticeAbstractUI.aspx?menuIndex=3&amp;refID=7037201&amp;Result=3","7037201")</f>
        <v>0</v>
      </c>
      <c r="B7720" t="s">
        <v>1024</v>
      </c>
      <c r="C7720" t="s">
        <v>10567</v>
      </c>
      <c r="D7720" t="s">
        <v>18048</v>
      </c>
      <c r="E7720" t="s">
        <v>24886</v>
      </c>
      <c r="F7720" t="s">
        <v>31574</v>
      </c>
      <c r="G7720" t="s">
        <v>31582</v>
      </c>
      <c r="H7720" t="s">
        <v>31590</v>
      </c>
      <c r="I7720" t="s">
        <v>4046</v>
      </c>
      <c r="J7720" t="s">
        <v>36640</v>
      </c>
      <c r="K7720" t="s">
        <v>41184</v>
      </c>
      <c r="M7720" t="s">
        <v>42565</v>
      </c>
      <c r="N7720" t="s">
        <v>45095</v>
      </c>
      <c r="O7720" t="s">
        <v>45096</v>
      </c>
      <c r="P7720">
        <v>0</v>
      </c>
      <c r="Q7720">
        <v>0</v>
      </c>
      <c r="R7720" t="s">
        <v>45103</v>
      </c>
      <c r="S7720" t="s">
        <v>45270</v>
      </c>
      <c r="T7720" t="s">
        <v>47324</v>
      </c>
      <c r="U7720" t="s">
        <v>52420</v>
      </c>
      <c r="V7720" t="s">
        <v>60661</v>
      </c>
      <c r="W7720" t="s">
        <v>42565</v>
      </c>
      <c r="X7720" t="s">
        <v>45104</v>
      </c>
    </row>
    <row r="7721" spans="1:24">
      <c r="A7721">
        <f>HYPERLINK("https://www.philgeps.gov.ph/GEPSNONPILOT/Tender/SplashBidNoticeAbstractUI.aspx?menuIndex=3&amp;refID=7037206&amp;Result=3","7037206")</f>
        <v>0</v>
      </c>
      <c r="B7721" t="s">
        <v>749</v>
      </c>
      <c r="C7721" t="s">
        <v>10568</v>
      </c>
      <c r="D7721" t="s">
        <v>18036</v>
      </c>
      <c r="E7721" t="s">
        <v>24887</v>
      </c>
      <c r="F7721" t="s">
        <v>31574</v>
      </c>
      <c r="G7721" t="s">
        <v>31582</v>
      </c>
      <c r="H7721" t="s">
        <v>31591</v>
      </c>
      <c r="I7721" t="s">
        <v>8822</v>
      </c>
      <c r="J7721" t="s">
        <v>36641</v>
      </c>
      <c r="K7721" t="s">
        <v>41203</v>
      </c>
      <c r="M7721" t="s">
        <v>42263</v>
      </c>
      <c r="N7721" t="s">
        <v>45095</v>
      </c>
      <c r="O7721" t="s">
        <v>45096</v>
      </c>
      <c r="Q7721">
        <v>0</v>
      </c>
      <c r="R7721" t="s">
        <v>45103</v>
      </c>
      <c r="S7721" t="s">
        <v>45291</v>
      </c>
      <c r="T7721" t="s">
        <v>46992</v>
      </c>
      <c r="U7721" t="s">
        <v>53892</v>
      </c>
      <c r="W7721" t="s">
        <v>42263</v>
      </c>
      <c r="X7721" t="s">
        <v>45104</v>
      </c>
    </row>
    <row r="7722" spans="1:24">
      <c r="A7722">
        <f>HYPERLINK("https://www.philgeps.gov.ph/GEPSNONPILOT/Tender/SplashBidNoticeAbstractUI.aspx?menuIndex=3&amp;refID=7037237&amp;Result=3","7037237")</f>
        <v>0</v>
      </c>
      <c r="B7722" t="s">
        <v>2257</v>
      </c>
      <c r="C7722" t="s">
        <v>10009</v>
      </c>
      <c r="D7722" t="s">
        <v>18033</v>
      </c>
      <c r="E7722" t="s">
        <v>19071</v>
      </c>
      <c r="F7722" t="s">
        <v>31574</v>
      </c>
      <c r="G7722" t="s">
        <v>31582</v>
      </c>
      <c r="H7722" t="s">
        <v>31591</v>
      </c>
      <c r="I7722" t="s">
        <v>8822</v>
      </c>
      <c r="J7722" t="s">
        <v>33310</v>
      </c>
      <c r="K7722" t="s">
        <v>41186</v>
      </c>
      <c r="M7722" t="s">
        <v>43956</v>
      </c>
      <c r="N7722" t="s">
        <v>45095</v>
      </c>
      <c r="O7722" t="s">
        <v>45096</v>
      </c>
      <c r="P7722">
        <v>0</v>
      </c>
      <c r="Q7722">
        <v>0</v>
      </c>
      <c r="R7722" t="s">
        <v>45103</v>
      </c>
      <c r="S7722" t="s">
        <v>45270</v>
      </c>
      <c r="T7722" t="s">
        <v>47055</v>
      </c>
      <c r="U7722" t="s">
        <v>53893</v>
      </c>
      <c r="W7722" t="s">
        <v>43956</v>
      </c>
      <c r="X7722" t="s">
        <v>45104</v>
      </c>
    </row>
    <row r="7723" spans="1:24">
      <c r="A7723">
        <f>HYPERLINK("https://www.philgeps.gov.ph/GEPSNONPILOT/Tender/SplashBidNoticeAbstractUI.aspx?menuIndex=3&amp;refID=7037228&amp;Result=3","7037228")</f>
        <v>0</v>
      </c>
      <c r="B7723" t="s">
        <v>1925</v>
      </c>
      <c r="C7723" t="s">
        <v>10569</v>
      </c>
      <c r="D7723" t="s">
        <v>18047</v>
      </c>
      <c r="E7723" t="s">
        <v>24888</v>
      </c>
      <c r="F7723" t="s">
        <v>31575</v>
      </c>
      <c r="G7723" t="s">
        <v>31581</v>
      </c>
      <c r="H7723" t="s">
        <v>31590</v>
      </c>
      <c r="I7723" t="s">
        <v>31601</v>
      </c>
      <c r="J7723" t="s">
        <v>32583</v>
      </c>
      <c r="K7723" t="s">
        <v>41193</v>
      </c>
      <c r="M7723" t="s">
        <v>43577</v>
      </c>
      <c r="N7723" t="s">
        <v>45095</v>
      </c>
      <c r="O7723" t="s">
        <v>45096</v>
      </c>
      <c r="P7723">
        <v>0</v>
      </c>
      <c r="Q7723">
        <v>0</v>
      </c>
      <c r="R7723" t="s">
        <v>45103</v>
      </c>
      <c r="S7723" t="s">
        <v>45270</v>
      </c>
      <c r="T7723" t="s">
        <v>46982</v>
      </c>
      <c r="U7723" t="s">
        <v>53894</v>
      </c>
      <c r="V7723" t="s">
        <v>60506</v>
      </c>
      <c r="W7723" t="s">
        <v>43577</v>
      </c>
      <c r="X7723" t="s">
        <v>45104</v>
      </c>
    </row>
    <row r="7724" spans="1:24">
      <c r="A7724">
        <f>HYPERLINK("https://www.philgeps.gov.ph/GEPSNONPILOT/Tender/SplashBidNoticeAbstractUI.aspx?menuIndex=3&amp;refID=7037203&amp;Result=3","7037203")</f>
        <v>0</v>
      </c>
      <c r="B7724" t="s">
        <v>1713</v>
      </c>
      <c r="C7724" t="s">
        <v>10570</v>
      </c>
      <c r="D7724" t="s">
        <v>18053</v>
      </c>
      <c r="E7724" t="s">
        <v>24889</v>
      </c>
      <c r="F7724" t="s">
        <v>31574</v>
      </c>
      <c r="G7724" t="s">
        <v>31582</v>
      </c>
      <c r="H7724" t="s">
        <v>31591</v>
      </c>
      <c r="I7724" t="s">
        <v>8822</v>
      </c>
      <c r="J7724" t="s">
        <v>36642</v>
      </c>
      <c r="K7724" t="s">
        <v>41186</v>
      </c>
      <c r="M7724" t="s">
        <v>43329</v>
      </c>
      <c r="N7724" t="s">
        <v>45095</v>
      </c>
      <c r="O7724" t="s">
        <v>45096</v>
      </c>
      <c r="P7724">
        <v>0</v>
      </c>
      <c r="Q7724">
        <v>0</v>
      </c>
      <c r="R7724" t="s">
        <v>45103</v>
      </c>
      <c r="S7724" t="s">
        <v>45270</v>
      </c>
      <c r="T7724" t="s">
        <v>47010</v>
      </c>
      <c r="U7724" t="s">
        <v>53895</v>
      </c>
      <c r="W7724" t="s">
        <v>43329</v>
      </c>
      <c r="X7724" t="s">
        <v>45104</v>
      </c>
    </row>
    <row r="7725" spans="1:24">
      <c r="A7725">
        <f>HYPERLINK("https://www.philgeps.gov.ph/GEPSNONPILOT/Tender/SplashBidNoticeAbstractUI.aspx?menuIndex=3&amp;refID=7037221&amp;Result=3","7037221")</f>
        <v>0</v>
      </c>
      <c r="B7725" t="s">
        <v>1531</v>
      </c>
      <c r="C7725" t="s">
        <v>10571</v>
      </c>
      <c r="D7725" t="s">
        <v>18044</v>
      </c>
      <c r="E7725" t="s">
        <v>24890</v>
      </c>
      <c r="F7725" t="s">
        <v>31574</v>
      </c>
      <c r="G7725" t="s">
        <v>31582</v>
      </c>
      <c r="H7725" t="s">
        <v>31591</v>
      </c>
      <c r="I7725" t="s">
        <v>8822</v>
      </c>
      <c r="J7725" t="s">
        <v>36643</v>
      </c>
      <c r="K7725" t="s">
        <v>41361</v>
      </c>
      <c r="M7725" t="s">
        <v>43122</v>
      </c>
      <c r="N7725" t="s">
        <v>45095</v>
      </c>
      <c r="O7725" t="s">
        <v>45096</v>
      </c>
      <c r="P7725">
        <v>0</v>
      </c>
      <c r="Q7725">
        <v>5</v>
      </c>
      <c r="R7725" t="s">
        <v>45103</v>
      </c>
      <c r="S7725" t="s">
        <v>45270</v>
      </c>
      <c r="T7725" t="s">
        <v>47000</v>
      </c>
      <c r="U7725" t="s">
        <v>53701</v>
      </c>
      <c r="W7725" t="s">
        <v>43122</v>
      </c>
      <c r="X7725" t="s">
        <v>45104</v>
      </c>
    </row>
    <row r="7726" spans="1:24">
      <c r="A7726">
        <f>HYPERLINK("https://www.philgeps.gov.ph/GEPSNONPILOT/Tender/SplashBidNoticeAbstractUI.aspx?menuIndex=3&amp;refID=7037218&amp;Result=3","7037218")</f>
        <v>0</v>
      </c>
      <c r="B7726" t="s">
        <v>797</v>
      </c>
      <c r="C7726" t="s">
        <v>10572</v>
      </c>
      <c r="E7726" t="s">
        <v>24891</v>
      </c>
      <c r="F7726" t="s">
        <v>31574</v>
      </c>
      <c r="G7726" t="s">
        <v>31582</v>
      </c>
      <c r="H7726" t="s">
        <v>31591</v>
      </c>
      <c r="I7726" t="s">
        <v>8822</v>
      </c>
      <c r="J7726" t="s">
        <v>33193</v>
      </c>
      <c r="K7726" t="s">
        <v>41198</v>
      </c>
      <c r="M7726" t="s">
        <v>42325</v>
      </c>
      <c r="N7726" t="s">
        <v>45095</v>
      </c>
      <c r="O7726" t="s">
        <v>45096</v>
      </c>
      <c r="Q7726">
        <v>3</v>
      </c>
      <c r="R7726" t="s">
        <v>45103</v>
      </c>
      <c r="S7726" t="s">
        <v>45292</v>
      </c>
      <c r="T7726" t="s">
        <v>47326</v>
      </c>
      <c r="U7726" t="s">
        <v>53896</v>
      </c>
      <c r="V7726" t="s">
        <v>60050</v>
      </c>
      <c r="W7726" t="s">
        <v>42325</v>
      </c>
      <c r="X7726" t="s">
        <v>45104</v>
      </c>
    </row>
    <row r="7727" spans="1:24">
      <c r="A7727">
        <f>HYPERLINK("https://www.philgeps.gov.ph/GEPSNONPILOT/Tender/SplashBidNoticeAbstractUI.aspx?menuIndex=3&amp;refID=7037233&amp;Result=3","7037233")</f>
        <v>0</v>
      </c>
      <c r="B7727" t="s">
        <v>1955</v>
      </c>
      <c r="C7727" t="s">
        <v>3328</v>
      </c>
      <c r="D7727" t="s">
        <v>18026</v>
      </c>
      <c r="E7727" t="s">
        <v>24892</v>
      </c>
      <c r="F7727" t="s">
        <v>31574</v>
      </c>
      <c r="G7727" t="s">
        <v>31582</v>
      </c>
      <c r="H7727" t="s">
        <v>31590</v>
      </c>
      <c r="I7727" t="s">
        <v>6800</v>
      </c>
      <c r="J7727" t="s">
        <v>32650</v>
      </c>
      <c r="K7727" t="s">
        <v>41186</v>
      </c>
      <c r="M7727" t="s">
        <v>43611</v>
      </c>
      <c r="N7727" t="s">
        <v>45095</v>
      </c>
      <c r="O7727" t="s">
        <v>45096</v>
      </c>
      <c r="P7727">
        <v>0</v>
      </c>
      <c r="Q7727">
        <v>0</v>
      </c>
      <c r="R7727" t="s">
        <v>45103</v>
      </c>
      <c r="S7727" t="s">
        <v>45270</v>
      </c>
      <c r="T7727" t="s">
        <v>46985</v>
      </c>
      <c r="U7727" t="s">
        <v>53897</v>
      </c>
      <c r="W7727" t="s">
        <v>43611</v>
      </c>
      <c r="X7727" t="s">
        <v>45104</v>
      </c>
    </row>
    <row r="7728" spans="1:24">
      <c r="A7728">
        <f>HYPERLINK("https://www.philgeps.gov.ph/GEPSNONPILOT/Tender/SplashBidNoticeAbstractUI.aspx?menuIndex=3&amp;refID=7037223&amp;Result=3","7037223")</f>
        <v>0</v>
      </c>
      <c r="B7728" t="s">
        <v>2258</v>
      </c>
      <c r="C7728" t="s">
        <v>10573</v>
      </c>
      <c r="D7728" t="s">
        <v>18056</v>
      </c>
      <c r="E7728" t="s">
        <v>24893</v>
      </c>
      <c r="F7728" t="s">
        <v>31574</v>
      </c>
      <c r="G7728" t="s">
        <v>31582</v>
      </c>
      <c r="H7728" t="s">
        <v>31590</v>
      </c>
      <c r="I7728" t="s">
        <v>4046</v>
      </c>
      <c r="J7728" t="s">
        <v>36644</v>
      </c>
      <c r="K7728" t="s">
        <v>41200</v>
      </c>
      <c r="M7728" t="s">
        <v>43957</v>
      </c>
      <c r="N7728" t="s">
        <v>45095</v>
      </c>
      <c r="O7728" t="s">
        <v>45096</v>
      </c>
      <c r="P7728">
        <v>0</v>
      </c>
      <c r="Q7728">
        <v>0</v>
      </c>
      <c r="R7728" t="s">
        <v>45103</v>
      </c>
      <c r="S7728" t="s">
        <v>45270</v>
      </c>
      <c r="T7728" t="s">
        <v>47050</v>
      </c>
      <c r="U7728" t="s">
        <v>53898</v>
      </c>
      <c r="W7728" t="s">
        <v>43957</v>
      </c>
      <c r="X7728" t="s">
        <v>45104</v>
      </c>
    </row>
    <row r="7729" spans="1:24">
      <c r="A7729">
        <f>HYPERLINK("https://www.philgeps.gov.ph/GEPSNONPILOT/Tender/SplashBidNoticeAbstractUI.aspx?menuIndex=3&amp;refID=7037212&amp;Result=3","7037212")</f>
        <v>0</v>
      </c>
      <c r="B7729" t="s">
        <v>2259</v>
      </c>
      <c r="C7729" t="s">
        <v>10574</v>
      </c>
      <c r="D7729" t="s">
        <v>18026</v>
      </c>
      <c r="E7729" t="s">
        <v>24894</v>
      </c>
      <c r="F7729" t="s">
        <v>31574</v>
      </c>
      <c r="G7729" t="s">
        <v>31582</v>
      </c>
      <c r="H7729" t="s">
        <v>31590</v>
      </c>
      <c r="I7729" t="s">
        <v>3489</v>
      </c>
      <c r="J7729" t="s">
        <v>32109</v>
      </c>
      <c r="K7729" t="s">
        <v>41196</v>
      </c>
      <c r="M7729" t="s">
        <v>43958</v>
      </c>
      <c r="N7729" t="s">
        <v>45095</v>
      </c>
      <c r="O7729" t="s">
        <v>45096</v>
      </c>
      <c r="P7729">
        <v>0</v>
      </c>
      <c r="Q7729">
        <v>0</v>
      </c>
      <c r="R7729" t="s">
        <v>45103</v>
      </c>
      <c r="S7729" t="s">
        <v>45270</v>
      </c>
      <c r="T7729" t="s">
        <v>47083</v>
      </c>
      <c r="U7729" t="s">
        <v>53899</v>
      </c>
      <c r="V7729" t="s">
        <v>60662</v>
      </c>
      <c r="W7729" t="s">
        <v>43958</v>
      </c>
      <c r="X7729" t="s">
        <v>45104</v>
      </c>
    </row>
    <row r="7730" spans="1:24">
      <c r="A7730">
        <f>HYPERLINK("https://www.philgeps.gov.ph/GEPSNONPILOT/Tender/SplashBidNoticeAbstractUI.aspx?menuIndex=3&amp;refID=7037235&amp;Result=3","7037235")</f>
        <v>0</v>
      </c>
      <c r="B7730" t="s">
        <v>2054</v>
      </c>
      <c r="C7730" t="s">
        <v>10575</v>
      </c>
      <c r="D7730" t="s">
        <v>18037</v>
      </c>
      <c r="E7730" t="s">
        <v>24895</v>
      </c>
      <c r="F7730" t="s">
        <v>31574</v>
      </c>
      <c r="G7730" t="s">
        <v>31581</v>
      </c>
      <c r="H7730" t="s">
        <v>31590</v>
      </c>
      <c r="I7730" t="s">
        <v>4046</v>
      </c>
      <c r="J7730" t="s">
        <v>33087</v>
      </c>
      <c r="K7730" t="s">
        <v>41186</v>
      </c>
      <c r="M7730" t="s">
        <v>43723</v>
      </c>
      <c r="N7730" t="s">
        <v>45095</v>
      </c>
      <c r="O7730" t="s">
        <v>45096</v>
      </c>
      <c r="P7730">
        <v>0</v>
      </c>
      <c r="Q7730">
        <v>0</v>
      </c>
      <c r="R7730" t="s">
        <v>45103</v>
      </c>
      <c r="S7730" t="s">
        <v>45270</v>
      </c>
      <c r="T7730" t="s">
        <v>47050</v>
      </c>
      <c r="U7730" t="s">
        <v>53900</v>
      </c>
      <c r="W7730" t="s">
        <v>43723</v>
      </c>
      <c r="X7730" t="s">
        <v>45104</v>
      </c>
    </row>
    <row r="7731" spans="1:24">
      <c r="A7731">
        <f>HYPERLINK("https://www.philgeps.gov.ph/GEPSNONPILOT/Tender/SplashBidNoticeAbstractUI.aspx?menuIndex=3&amp;refID=7037216&amp;Result=3","7037216")</f>
        <v>0</v>
      </c>
      <c r="B7731" t="s">
        <v>1079</v>
      </c>
      <c r="C7731" t="s">
        <v>10576</v>
      </c>
      <c r="D7731" t="s">
        <v>18060</v>
      </c>
      <c r="E7731" t="s">
        <v>24896</v>
      </c>
      <c r="F7731" t="s">
        <v>31574</v>
      </c>
      <c r="G7731" t="s">
        <v>31581</v>
      </c>
      <c r="H7731" t="s">
        <v>31590</v>
      </c>
      <c r="I7731" t="s">
        <v>3539</v>
      </c>
      <c r="J7731" t="s">
        <v>31726</v>
      </c>
      <c r="K7731" t="s">
        <v>41213</v>
      </c>
      <c r="M7731" t="s">
        <v>43959</v>
      </c>
      <c r="N7731" t="s">
        <v>45095</v>
      </c>
      <c r="O7731" t="s">
        <v>45096</v>
      </c>
      <c r="P7731">
        <v>0</v>
      </c>
      <c r="Q7731">
        <v>2</v>
      </c>
      <c r="R7731" t="s">
        <v>45103</v>
      </c>
      <c r="S7731" t="s">
        <v>45270</v>
      </c>
      <c r="T7731" t="s">
        <v>47158</v>
      </c>
      <c r="U7731" t="s">
        <v>53901</v>
      </c>
      <c r="V7731" t="s">
        <v>60663</v>
      </c>
      <c r="W7731" t="s">
        <v>43959</v>
      </c>
      <c r="X7731" t="s">
        <v>45104</v>
      </c>
    </row>
    <row r="7732" spans="1:24">
      <c r="A7732">
        <f>HYPERLINK("https://www.philgeps.gov.ph/GEPSNONPILOT/Tender/SplashBidNoticeAbstractUI.aspx?menuIndex=3&amp;refID=7037247&amp;Result=3","7037247")</f>
        <v>0</v>
      </c>
      <c r="B7732" t="s">
        <v>670</v>
      </c>
      <c r="C7732" t="s">
        <v>10577</v>
      </c>
      <c r="D7732" t="s">
        <v>18022</v>
      </c>
      <c r="E7732" t="s">
        <v>24897</v>
      </c>
      <c r="F7732" t="s">
        <v>31574</v>
      </c>
      <c r="G7732" t="s">
        <v>31582</v>
      </c>
      <c r="H7732" t="s">
        <v>31590</v>
      </c>
      <c r="I7732" t="s">
        <v>31608</v>
      </c>
      <c r="J7732" t="s">
        <v>32662</v>
      </c>
      <c r="K7732" t="s">
        <v>41189</v>
      </c>
      <c r="M7732" t="s">
        <v>43697</v>
      </c>
      <c r="N7732" t="s">
        <v>45095</v>
      </c>
      <c r="O7732" t="s">
        <v>45096</v>
      </c>
      <c r="P7732">
        <v>0</v>
      </c>
      <c r="Q7732">
        <v>13</v>
      </c>
      <c r="R7732" t="s">
        <v>45103</v>
      </c>
      <c r="S7732" t="s">
        <v>45270</v>
      </c>
      <c r="T7732" t="s">
        <v>47004</v>
      </c>
      <c r="U7732" t="s">
        <v>53902</v>
      </c>
      <c r="W7732" t="s">
        <v>43697</v>
      </c>
      <c r="X7732" t="s">
        <v>45104</v>
      </c>
    </row>
    <row r="7733" spans="1:24">
      <c r="A7733">
        <f>HYPERLINK("https://www.philgeps.gov.ph/GEPSNONPILOT/Tender/SplashBidNoticeAbstractUI.aspx?menuIndex=3&amp;refID=7037209&amp;Result=3","7037209")</f>
        <v>0</v>
      </c>
      <c r="B7733" t="s">
        <v>132</v>
      </c>
      <c r="C7733" t="s">
        <v>10578</v>
      </c>
      <c r="D7733" t="s">
        <v>18059</v>
      </c>
      <c r="E7733" t="s">
        <v>24898</v>
      </c>
      <c r="F7733" t="s">
        <v>31574</v>
      </c>
      <c r="G7733" t="s">
        <v>31582</v>
      </c>
      <c r="H7733" t="s">
        <v>31590</v>
      </c>
      <c r="I7733" t="s">
        <v>4046</v>
      </c>
      <c r="J7733" t="s">
        <v>36645</v>
      </c>
      <c r="K7733" t="s">
        <v>41190</v>
      </c>
      <c r="M7733" t="s">
        <v>41616</v>
      </c>
      <c r="N7733" t="s">
        <v>45095</v>
      </c>
      <c r="O7733" t="s">
        <v>45096</v>
      </c>
      <c r="P7733">
        <v>0</v>
      </c>
      <c r="Q7733">
        <v>0</v>
      </c>
      <c r="R7733" t="s">
        <v>45103</v>
      </c>
      <c r="S7733" t="s">
        <v>45270</v>
      </c>
      <c r="T7733" t="s">
        <v>46973</v>
      </c>
      <c r="U7733" t="s">
        <v>53903</v>
      </c>
      <c r="W7733" t="s">
        <v>41616</v>
      </c>
      <c r="X7733" t="s">
        <v>45104</v>
      </c>
    </row>
    <row r="7734" spans="1:24">
      <c r="A7734">
        <f>HYPERLINK("https://www.philgeps.gov.ph/GEPSNONPILOT/Tender/SplashBidNoticeAbstractUI.aspx?menuIndex=3&amp;refID=7037214&amp;Result=3","7037214")</f>
        <v>0</v>
      </c>
      <c r="B7734" t="s">
        <v>334</v>
      </c>
      <c r="C7734" t="s">
        <v>10579</v>
      </c>
      <c r="D7734" t="s">
        <v>18050</v>
      </c>
      <c r="E7734" t="s">
        <v>24899</v>
      </c>
      <c r="F7734" t="s">
        <v>31574</v>
      </c>
      <c r="G7734" t="s">
        <v>31581</v>
      </c>
      <c r="H7734" t="s">
        <v>31590</v>
      </c>
      <c r="I7734" t="s">
        <v>31595</v>
      </c>
      <c r="J7734" t="s">
        <v>33408</v>
      </c>
      <c r="K7734" t="s">
        <v>41200</v>
      </c>
      <c r="M7734" t="s">
        <v>41822</v>
      </c>
      <c r="N7734" t="s">
        <v>45095</v>
      </c>
      <c r="O7734" t="s">
        <v>45096</v>
      </c>
      <c r="P7734">
        <v>0</v>
      </c>
      <c r="Q7734">
        <v>6</v>
      </c>
      <c r="R7734" t="s">
        <v>45103</v>
      </c>
      <c r="S7734" t="s">
        <v>45270</v>
      </c>
      <c r="T7734" t="s">
        <v>46936</v>
      </c>
      <c r="U7734" t="s">
        <v>53904</v>
      </c>
      <c r="W7734" t="s">
        <v>61663</v>
      </c>
      <c r="X7734" t="s">
        <v>45104</v>
      </c>
    </row>
    <row r="7735" spans="1:24">
      <c r="A7735">
        <f>HYPERLINK("https://www.philgeps.gov.ph/GEPSNONPILOT/Tender/SplashBidNoticeAbstractUI.aspx?menuIndex=3&amp;refID=7037244&amp;Result=3","7037244")</f>
        <v>0</v>
      </c>
      <c r="B7735" t="s">
        <v>1672</v>
      </c>
      <c r="C7735" t="s">
        <v>10580</v>
      </c>
      <c r="D7735" t="s">
        <v>18022</v>
      </c>
      <c r="E7735" t="s">
        <v>24900</v>
      </c>
      <c r="F7735" t="s">
        <v>31574</v>
      </c>
      <c r="G7735" t="s">
        <v>31581</v>
      </c>
      <c r="H7735" t="s">
        <v>31590</v>
      </c>
      <c r="I7735" t="s">
        <v>31632</v>
      </c>
      <c r="J7735" t="s">
        <v>36646</v>
      </c>
      <c r="K7735" t="s">
        <v>41185</v>
      </c>
      <c r="M7735" t="s">
        <v>43285</v>
      </c>
      <c r="N7735" t="s">
        <v>45095</v>
      </c>
      <c r="O7735" t="s">
        <v>45096</v>
      </c>
      <c r="P7735">
        <v>0</v>
      </c>
      <c r="Q7735">
        <v>1</v>
      </c>
      <c r="R7735" t="s">
        <v>45103</v>
      </c>
      <c r="S7735" t="s">
        <v>45270</v>
      </c>
      <c r="T7735" t="s">
        <v>47154</v>
      </c>
      <c r="U7735" t="s">
        <v>50610</v>
      </c>
      <c r="W7735" t="s">
        <v>43285</v>
      </c>
      <c r="X7735" t="s">
        <v>45104</v>
      </c>
    </row>
    <row r="7736" spans="1:24">
      <c r="A7736">
        <f>HYPERLINK("https://www.philgeps.gov.ph/GEPSNONPILOT/Tender/SplashBidNoticeAbstractUI.aspx?menuIndex=3&amp;refID=7037211&amp;Result=3","7037211")</f>
        <v>0</v>
      </c>
      <c r="B7736" t="s">
        <v>2208</v>
      </c>
      <c r="C7736" t="s">
        <v>10581</v>
      </c>
      <c r="D7736" t="s">
        <v>18056</v>
      </c>
      <c r="E7736" t="s">
        <v>24901</v>
      </c>
      <c r="F7736" t="s">
        <v>31574</v>
      </c>
      <c r="G7736" t="s">
        <v>31582</v>
      </c>
      <c r="H7736" t="s">
        <v>31591</v>
      </c>
      <c r="I7736" t="s">
        <v>8822</v>
      </c>
      <c r="J7736" t="s">
        <v>36647</v>
      </c>
      <c r="K7736" t="s">
        <v>41203</v>
      </c>
      <c r="M7736" t="s">
        <v>43897</v>
      </c>
      <c r="N7736" t="s">
        <v>45095</v>
      </c>
      <c r="O7736" t="s">
        <v>45096</v>
      </c>
      <c r="P7736">
        <v>0</v>
      </c>
      <c r="Q7736">
        <v>18</v>
      </c>
      <c r="R7736" t="s">
        <v>45103</v>
      </c>
      <c r="S7736" t="s">
        <v>45270</v>
      </c>
      <c r="T7736" t="s">
        <v>47010</v>
      </c>
      <c r="U7736" t="s">
        <v>53905</v>
      </c>
      <c r="W7736" t="s">
        <v>43897</v>
      </c>
      <c r="X7736" t="s">
        <v>45104</v>
      </c>
    </row>
    <row r="7737" spans="1:24">
      <c r="A7737">
        <f>HYPERLINK("https://www.philgeps.gov.ph/GEPSNONPILOT/Tender/SplashBidNoticeAbstractUI.aspx?menuIndex=3&amp;refID=7037243&amp;Result=3","7037243")</f>
        <v>0</v>
      </c>
      <c r="B7737" t="s">
        <v>1531</v>
      </c>
      <c r="C7737" t="s">
        <v>10582</v>
      </c>
      <c r="D7737" t="s">
        <v>18044</v>
      </c>
      <c r="E7737" t="s">
        <v>24902</v>
      </c>
      <c r="F7737" t="s">
        <v>31574</v>
      </c>
      <c r="G7737" t="s">
        <v>31582</v>
      </c>
      <c r="H7737" t="s">
        <v>31591</v>
      </c>
      <c r="I7737" t="s">
        <v>8822</v>
      </c>
      <c r="J7737" t="s">
        <v>34689</v>
      </c>
      <c r="K7737" t="s">
        <v>41200</v>
      </c>
      <c r="M7737" t="s">
        <v>43122</v>
      </c>
      <c r="N7737" t="s">
        <v>45095</v>
      </c>
      <c r="O7737" t="s">
        <v>45096</v>
      </c>
      <c r="P7737">
        <v>0</v>
      </c>
      <c r="Q7737">
        <v>2</v>
      </c>
      <c r="R7737" t="s">
        <v>45103</v>
      </c>
      <c r="S7737" t="s">
        <v>45270</v>
      </c>
      <c r="T7737" t="s">
        <v>47000</v>
      </c>
      <c r="U7737" t="s">
        <v>53701</v>
      </c>
      <c r="W7737" t="s">
        <v>43122</v>
      </c>
      <c r="X7737" t="s">
        <v>45104</v>
      </c>
    </row>
    <row r="7738" spans="1:24">
      <c r="A7738">
        <f>HYPERLINK("https://www.philgeps.gov.ph/GEPSNONPILOT/Tender/SplashBidNoticeAbstractUI.aspx?menuIndex=3&amp;refID=7037245&amp;Result=3","7037245")</f>
        <v>0</v>
      </c>
      <c r="B7738" t="s">
        <v>726</v>
      </c>
      <c r="C7738" t="s">
        <v>10583</v>
      </c>
      <c r="D7738" t="s">
        <v>18058</v>
      </c>
      <c r="E7738" t="s">
        <v>24903</v>
      </c>
      <c r="F7738" t="s">
        <v>31574</v>
      </c>
      <c r="G7738" t="s">
        <v>31581</v>
      </c>
      <c r="H7738" t="s">
        <v>31590</v>
      </c>
      <c r="I7738" t="s">
        <v>31608</v>
      </c>
      <c r="J7738" t="s">
        <v>31727</v>
      </c>
      <c r="K7738" t="s">
        <v>41186</v>
      </c>
      <c r="M7738" t="s">
        <v>42236</v>
      </c>
      <c r="N7738" t="s">
        <v>45095</v>
      </c>
      <c r="O7738" t="s">
        <v>45096</v>
      </c>
      <c r="P7738">
        <v>0</v>
      </c>
      <c r="Q7738">
        <v>1</v>
      </c>
      <c r="R7738" t="s">
        <v>45103</v>
      </c>
      <c r="S7738" t="s">
        <v>45270</v>
      </c>
      <c r="T7738" t="s">
        <v>46980</v>
      </c>
      <c r="U7738" t="s">
        <v>53906</v>
      </c>
      <c r="W7738" t="s">
        <v>42236</v>
      </c>
      <c r="X7738" t="s">
        <v>45104</v>
      </c>
    </row>
    <row r="7739" spans="1:24">
      <c r="A7739">
        <f>HYPERLINK("https://www.philgeps.gov.ph/GEPSNONPILOT/Tender/SplashBidNoticeAbstractUI.aspx?menuIndex=3&amp;refID=7037246&amp;Result=3","7037246")</f>
        <v>0</v>
      </c>
      <c r="B7739" t="s">
        <v>1863</v>
      </c>
      <c r="C7739" t="s">
        <v>10584</v>
      </c>
      <c r="D7739" t="s">
        <v>18052</v>
      </c>
      <c r="E7739" t="s">
        <v>24904</v>
      </c>
      <c r="F7739" t="s">
        <v>31574</v>
      </c>
      <c r="G7739" t="s">
        <v>31582</v>
      </c>
      <c r="H7739" t="s">
        <v>31590</v>
      </c>
      <c r="I7739" t="s">
        <v>3487</v>
      </c>
      <c r="J7739" t="s">
        <v>36648</v>
      </c>
      <c r="K7739" t="s">
        <v>41196</v>
      </c>
      <c r="M7739" t="s">
        <v>43502</v>
      </c>
      <c r="N7739" t="s">
        <v>45095</v>
      </c>
      <c r="O7739" t="s">
        <v>45096</v>
      </c>
      <c r="P7739">
        <v>0</v>
      </c>
      <c r="Q7739">
        <v>0</v>
      </c>
      <c r="R7739" t="s">
        <v>45103</v>
      </c>
      <c r="S7739" t="s">
        <v>45270</v>
      </c>
      <c r="T7739" t="s">
        <v>46963</v>
      </c>
      <c r="U7739" t="s">
        <v>53907</v>
      </c>
      <c r="W7739" t="s">
        <v>43502</v>
      </c>
      <c r="X7739" t="s">
        <v>45104</v>
      </c>
    </row>
    <row r="7740" spans="1:24">
      <c r="A7740">
        <f>HYPERLINK("https://www.philgeps.gov.ph/GEPSNONPILOT/Tender/SplashBidNoticeAbstractUI.aspx?menuIndex=3&amp;refID=7037239&amp;Result=3","7037239")</f>
        <v>0</v>
      </c>
      <c r="B7740" t="s">
        <v>1713</v>
      </c>
      <c r="C7740" t="s">
        <v>10570</v>
      </c>
      <c r="D7740" t="s">
        <v>18053</v>
      </c>
      <c r="E7740" t="s">
        <v>24905</v>
      </c>
      <c r="F7740" t="s">
        <v>31574</v>
      </c>
      <c r="G7740" t="s">
        <v>31582</v>
      </c>
      <c r="H7740" t="s">
        <v>31591</v>
      </c>
      <c r="I7740" t="s">
        <v>8822</v>
      </c>
      <c r="J7740" t="s">
        <v>36649</v>
      </c>
      <c r="K7740" t="s">
        <v>41186</v>
      </c>
      <c r="M7740" t="s">
        <v>43329</v>
      </c>
      <c r="N7740" t="s">
        <v>45095</v>
      </c>
      <c r="O7740" t="s">
        <v>45096</v>
      </c>
      <c r="P7740">
        <v>0</v>
      </c>
      <c r="Q7740">
        <v>0</v>
      </c>
      <c r="R7740" t="s">
        <v>45103</v>
      </c>
      <c r="S7740" t="s">
        <v>45270</v>
      </c>
      <c r="T7740" t="s">
        <v>47010</v>
      </c>
      <c r="U7740" t="s">
        <v>53895</v>
      </c>
      <c r="W7740" t="s">
        <v>43329</v>
      </c>
      <c r="X7740" t="s">
        <v>45104</v>
      </c>
    </row>
    <row r="7741" spans="1:24">
      <c r="A7741">
        <f>HYPERLINK("https://www.philgeps.gov.ph/GEPSNONPILOT/Tender/SplashBidNoticeAbstractUI.aspx?menuIndex=3&amp;refID=7037250&amp;Result=3","7037250")</f>
        <v>0</v>
      </c>
      <c r="B7741" t="s">
        <v>788</v>
      </c>
      <c r="C7741" t="s">
        <v>10585</v>
      </c>
      <c r="D7741" t="s">
        <v>18027</v>
      </c>
      <c r="E7741" t="s">
        <v>24906</v>
      </c>
      <c r="F7741" t="s">
        <v>31574</v>
      </c>
      <c r="G7741" t="s">
        <v>31582</v>
      </c>
      <c r="H7741" t="s">
        <v>31590</v>
      </c>
      <c r="I7741" t="s">
        <v>31619</v>
      </c>
      <c r="J7741" t="s">
        <v>31741</v>
      </c>
      <c r="K7741" t="s">
        <v>41193</v>
      </c>
      <c r="M7741" t="s">
        <v>42302</v>
      </c>
      <c r="N7741" t="s">
        <v>45095</v>
      </c>
      <c r="O7741" t="s">
        <v>45096</v>
      </c>
      <c r="P7741">
        <v>0</v>
      </c>
      <c r="Q7741">
        <v>3</v>
      </c>
      <c r="R7741" t="s">
        <v>45103</v>
      </c>
      <c r="S7741" t="s">
        <v>45270</v>
      </c>
      <c r="T7741" t="s">
        <v>47124</v>
      </c>
      <c r="U7741" t="s">
        <v>53908</v>
      </c>
      <c r="W7741" t="s">
        <v>42302</v>
      </c>
      <c r="X7741" t="s">
        <v>45104</v>
      </c>
    </row>
    <row r="7742" spans="1:24">
      <c r="A7742">
        <f>HYPERLINK("https://www.philgeps.gov.ph/GEPSNONPILOT/Tender/SplashBidNoticeAbstractUI.aspx?menuIndex=3&amp;refID=7037241&amp;Result=3","7037241")</f>
        <v>0</v>
      </c>
      <c r="B7742" t="s">
        <v>780</v>
      </c>
      <c r="C7742" t="s">
        <v>10586</v>
      </c>
      <c r="D7742" t="s">
        <v>18034</v>
      </c>
      <c r="E7742" t="s">
        <v>24907</v>
      </c>
      <c r="F7742" t="s">
        <v>31574</v>
      </c>
      <c r="G7742" t="s">
        <v>31582</v>
      </c>
      <c r="H7742" t="s">
        <v>31591</v>
      </c>
      <c r="I7742" t="s">
        <v>8822</v>
      </c>
      <c r="J7742" t="s">
        <v>36650</v>
      </c>
      <c r="K7742" t="s">
        <v>41287</v>
      </c>
      <c r="L7742" t="s">
        <v>780</v>
      </c>
      <c r="M7742" t="s">
        <v>42294</v>
      </c>
      <c r="N7742" t="s">
        <v>45095</v>
      </c>
      <c r="O7742" t="s">
        <v>45096</v>
      </c>
      <c r="P7742">
        <v>0</v>
      </c>
      <c r="Q7742">
        <v>0</v>
      </c>
      <c r="R7742" t="s">
        <v>45103</v>
      </c>
      <c r="S7742" t="s">
        <v>45270</v>
      </c>
      <c r="T7742" t="s">
        <v>47000</v>
      </c>
      <c r="U7742" t="s">
        <v>53909</v>
      </c>
      <c r="V7742" t="s">
        <v>60664</v>
      </c>
      <c r="W7742" t="s">
        <v>42294</v>
      </c>
      <c r="X7742" t="s">
        <v>45104</v>
      </c>
    </row>
    <row r="7743" spans="1:24">
      <c r="A7743">
        <f>HYPERLINK("https://www.philgeps.gov.ph/GEPSNONPILOT/Tender/SplashBidNoticeAbstractUI.aspx?menuIndex=3&amp;refID=7037252&amp;Result=3","7037252")</f>
        <v>0</v>
      </c>
      <c r="B7743" t="s">
        <v>2260</v>
      </c>
      <c r="C7743" t="s">
        <v>10587</v>
      </c>
      <c r="D7743" t="s">
        <v>18060</v>
      </c>
      <c r="E7743" t="s">
        <v>24223</v>
      </c>
      <c r="F7743" t="s">
        <v>31574</v>
      </c>
      <c r="G7743" t="s">
        <v>31581</v>
      </c>
      <c r="H7743" t="s">
        <v>31590</v>
      </c>
      <c r="I7743" t="s">
        <v>31619</v>
      </c>
      <c r="J7743" t="s">
        <v>31848</v>
      </c>
      <c r="K7743" t="s">
        <v>41213</v>
      </c>
      <c r="M7743" t="s">
        <v>43960</v>
      </c>
      <c r="N7743" t="s">
        <v>45095</v>
      </c>
      <c r="O7743" t="s">
        <v>45096</v>
      </c>
      <c r="P7743">
        <v>0</v>
      </c>
      <c r="Q7743">
        <v>7</v>
      </c>
      <c r="R7743" t="s">
        <v>45103</v>
      </c>
      <c r="S7743" t="s">
        <v>45270</v>
      </c>
      <c r="T7743" t="s">
        <v>47164</v>
      </c>
      <c r="U7743" t="s">
        <v>53910</v>
      </c>
      <c r="W7743" t="s">
        <v>43960</v>
      </c>
      <c r="X7743" t="s">
        <v>45104</v>
      </c>
    </row>
    <row r="7744" spans="1:24">
      <c r="A7744">
        <f>HYPERLINK("https://www.philgeps.gov.ph/GEPSNONPILOT/Tender/SplashBidNoticeAbstractUI.aspx?menuIndex=3&amp;refID=7037261&amp;Result=3","7037261")</f>
        <v>0</v>
      </c>
      <c r="B7744" t="s">
        <v>2261</v>
      </c>
      <c r="C7744" t="s">
        <v>10588</v>
      </c>
      <c r="D7744" t="s">
        <v>18079</v>
      </c>
      <c r="E7744" t="s">
        <v>24908</v>
      </c>
      <c r="F7744" t="s">
        <v>31574</v>
      </c>
      <c r="G7744" t="s">
        <v>31581</v>
      </c>
      <c r="H7744" t="s">
        <v>31590</v>
      </c>
      <c r="I7744" t="s">
        <v>31595</v>
      </c>
      <c r="J7744" t="s">
        <v>36651</v>
      </c>
      <c r="K7744" t="s">
        <v>41196</v>
      </c>
      <c r="M7744" t="s">
        <v>43961</v>
      </c>
      <c r="N7744" t="s">
        <v>45095</v>
      </c>
      <c r="O7744" t="s">
        <v>45096</v>
      </c>
      <c r="P7744">
        <v>0</v>
      </c>
      <c r="Q7744">
        <v>3</v>
      </c>
      <c r="R7744" t="s">
        <v>45103</v>
      </c>
      <c r="S7744" t="s">
        <v>45270</v>
      </c>
      <c r="T7744" t="s">
        <v>47076</v>
      </c>
      <c r="U7744" t="s">
        <v>53911</v>
      </c>
      <c r="W7744" t="s">
        <v>43961</v>
      </c>
      <c r="X7744" t="s">
        <v>45104</v>
      </c>
    </row>
    <row r="7745" spans="1:24">
      <c r="A7745">
        <f>HYPERLINK("https://www.philgeps.gov.ph/GEPSNONPILOT/Tender/SplashBidNoticeAbstractUI.aspx?menuIndex=3&amp;refID=7037279&amp;Result=3","7037279")</f>
        <v>0</v>
      </c>
      <c r="B7745" t="s">
        <v>659</v>
      </c>
      <c r="C7745" t="s">
        <v>10589</v>
      </c>
      <c r="D7745" t="s">
        <v>18063</v>
      </c>
      <c r="E7745" t="s">
        <v>18741</v>
      </c>
      <c r="F7745" t="s">
        <v>31574</v>
      </c>
      <c r="G7745" t="s">
        <v>31583</v>
      </c>
      <c r="H7745" t="s">
        <v>31590</v>
      </c>
      <c r="I7745" t="s">
        <v>8258</v>
      </c>
      <c r="J7745" t="s">
        <v>31727</v>
      </c>
      <c r="K7745" t="s">
        <v>41186</v>
      </c>
      <c r="M7745" t="s">
        <v>42163</v>
      </c>
      <c r="N7745" t="s">
        <v>45095</v>
      </c>
      <c r="O7745" t="s">
        <v>45096</v>
      </c>
      <c r="P7745">
        <v>0</v>
      </c>
      <c r="Q7745">
        <v>1</v>
      </c>
      <c r="R7745" t="s">
        <v>45103</v>
      </c>
      <c r="S7745" t="s">
        <v>45270</v>
      </c>
      <c r="T7745" t="s">
        <v>46904</v>
      </c>
      <c r="U7745" t="s">
        <v>53912</v>
      </c>
      <c r="W7745" t="s">
        <v>42163</v>
      </c>
      <c r="X7745" t="s">
        <v>45104</v>
      </c>
    </row>
    <row r="7746" spans="1:24">
      <c r="A7746">
        <f>HYPERLINK("https://www.philgeps.gov.ph/GEPSNONPILOT/Tender/SplashBidNoticeAbstractUI.aspx?menuIndex=3&amp;refID=7037260&amp;Result=3","7037260")</f>
        <v>0</v>
      </c>
      <c r="B7746" t="s">
        <v>1002</v>
      </c>
      <c r="C7746" t="s">
        <v>10590</v>
      </c>
      <c r="D7746" t="s">
        <v>18058</v>
      </c>
      <c r="E7746" t="s">
        <v>24909</v>
      </c>
      <c r="F7746" t="s">
        <v>31574</v>
      </c>
      <c r="G7746" t="s">
        <v>31582</v>
      </c>
      <c r="H7746" t="s">
        <v>31590</v>
      </c>
      <c r="I7746" t="s">
        <v>31599</v>
      </c>
      <c r="J7746" t="s">
        <v>36652</v>
      </c>
      <c r="K7746" t="s">
        <v>41289</v>
      </c>
      <c r="M7746" t="s">
        <v>42539</v>
      </c>
      <c r="N7746" t="s">
        <v>45095</v>
      </c>
      <c r="O7746" t="s">
        <v>45096</v>
      </c>
      <c r="P7746">
        <v>0</v>
      </c>
      <c r="Q7746">
        <v>0</v>
      </c>
      <c r="R7746" t="s">
        <v>45103</v>
      </c>
      <c r="S7746" t="s">
        <v>45270</v>
      </c>
      <c r="T7746" t="s">
        <v>46985</v>
      </c>
      <c r="U7746" t="s">
        <v>53913</v>
      </c>
      <c r="V7746" t="s">
        <v>60109</v>
      </c>
      <c r="W7746" t="s">
        <v>42539</v>
      </c>
      <c r="X7746" t="s">
        <v>45104</v>
      </c>
    </row>
    <row r="7747" spans="1:24">
      <c r="A7747">
        <f>HYPERLINK("https://www.philgeps.gov.ph/GEPSNONPILOT/Tender/SplashBidNoticeAbstractUI.aspx?menuIndex=3&amp;refID=7037276&amp;Result=3","7037276")</f>
        <v>0</v>
      </c>
      <c r="B7747" t="s">
        <v>426</v>
      </c>
      <c r="C7747" t="s">
        <v>10591</v>
      </c>
      <c r="D7747" t="s">
        <v>18068</v>
      </c>
      <c r="E7747" t="s">
        <v>24910</v>
      </c>
      <c r="F7747" t="s">
        <v>31574</v>
      </c>
      <c r="G7747" t="s">
        <v>31582</v>
      </c>
      <c r="H7747" t="s">
        <v>31590</v>
      </c>
      <c r="I7747" t="s">
        <v>31598</v>
      </c>
      <c r="J7747" t="s">
        <v>36653</v>
      </c>
      <c r="K7747" t="s">
        <v>41192</v>
      </c>
      <c r="M7747" t="s">
        <v>41918</v>
      </c>
      <c r="N7747" t="s">
        <v>45095</v>
      </c>
      <c r="O7747" t="s">
        <v>45096</v>
      </c>
      <c r="P7747">
        <v>0</v>
      </c>
      <c r="Q7747">
        <v>38</v>
      </c>
      <c r="R7747" t="s">
        <v>45103</v>
      </c>
      <c r="S7747" t="s">
        <v>45270</v>
      </c>
      <c r="T7747" t="s">
        <v>47327</v>
      </c>
      <c r="U7747" t="s">
        <v>53914</v>
      </c>
      <c r="V7747" t="s">
        <v>60665</v>
      </c>
      <c r="W7747" t="s">
        <v>41918</v>
      </c>
      <c r="X7747" t="s">
        <v>45104</v>
      </c>
    </row>
    <row r="7748" spans="1:24">
      <c r="A7748">
        <f>HYPERLINK("https://www.philgeps.gov.ph/GEPSNONPILOT/Tender/SplashBidNoticeAbstractUI.aspx?menuIndex=3&amp;refID=7037265&amp;Result=3","7037265")</f>
        <v>0</v>
      </c>
      <c r="B7748" t="s">
        <v>1713</v>
      </c>
      <c r="C7748" t="s">
        <v>10592</v>
      </c>
      <c r="D7748" t="s">
        <v>18053</v>
      </c>
      <c r="E7748" t="s">
        <v>24911</v>
      </c>
      <c r="F7748" t="s">
        <v>31574</v>
      </c>
      <c r="G7748" t="s">
        <v>31582</v>
      </c>
      <c r="H7748" t="s">
        <v>31591</v>
      </c>
      <c r="I7748" t="s">
        <v>8822</v>
      </c>
      <c r="J7748" t="s">
        <v>31727</v>
      </c>
      <c r="K7748" t="s">
        <v>41186</v>
      </c>
      <c r="M7748" t="s">
        <v>43329</v>
      </c>
      <c r="N7748" t="s">
        <v>45095</v>
      </c>
      <c r="O7748" t="s">
        <v>45096</v>
      </c>
      <c r="P7748">
        <v>0</v>
      </c>
      <c r="Q7748">
        <v>0</v>
      </c>
      <c r="R7748" t="s">
        <v>45103</v>
      </c>
      <c r="S7748" t="s">
        <v>45270</v>
      </c>
      <c r="T7748" t="s">
        <v>47010</v>
      </c>
      <c r="U7748" t="s">
        <v>53895</v>
      </c>
      <c r="W7748" t="s">
        <v>43329</v>
      </c>
      <c r="X7748" t="s">
        <v>45104</v>
      </c>
    </row>
    <row r="7749" spans="1:24">
      <c r="A7749">
        <f>HYPERLINK("https://www.philgeps.gov.ph/GEPSNONPILOT/Tender/SplashBidNoticeAbstractUI.aspx?menuIndex=3&amp;refID=7037255&amp;Result=3","7037255")</f>
        <v>0</v>
      </c>
      <c r="B7749" t="s">
        <v>1024</v>
      </c>
      <c r="C7749" t="s">
        <v>10593</v>
      </c>
      <c r="D7749" t="s">
        <v>18048</v>
      </c>
      <c r="E7749" t="s">
        <v>24912</v>
      </c>
      <c r="F7749" t="s">
        <v>31574</v>
      </c>
      <c r="G7749" t="s">
        <v>31582</v>
      </c>
      <c r="H7749" t="s">
        <v>31590</v>
      </c>
      <c r="I7749" t="s">
        <v>4046</v>
      </c>
      <c r="J7749" t="s">
        <v>36654</v>
      </c>
      <c r="K7749" t="s">
        <v>41184</v>
      </c>
      <c r="M7749" t="s">
        <v>42565</v>
      </c>
      <c r="N7749" t="s">
        <v>45095</v>
      </c>
      <c r="O7749" t="s">
        <v>45096</v>
      </c>
      <c r="P7749">
        <v>0</v>
      </c>
      <c r="Q7749">
        <v>1</v>
      </c>
      <c r="R7749" t="s">
        <v>45103</v>
      </c>
      <c r="S7749" t="s">
        <v>45270</v>
      </c>
      <c r="T7749" t="s">
        <v>47324</v>
      </c>
      <c r="U7749" t="s">
        <v>52420</v>
      </c>
      <c r="V7749" t="s">
        <v>60666</v>
      </c>
      <c r="W7749" t="s">
        <v>42565</v>
      </c>
      <c r="X7749" t="s">
        <v>45104</v>
      </c>
    </row>
    <row r="7750" spans="1:24">
      <c r="A7750">
        <f>HYPERLINK("https://www.philgeps.gov.ph/GEPSNONPILOT/Tender/SplashBidNoticeAbstractUI.aspx?menuIndex=3&amp;refID=7037277&amp;Result=3","7037277")</f>
        <v>0</v>
      </c>
      <c r="B7750" t="s">
        <v>726</v>
      </c>
      <c r="C7750" t="s">
        <v>10594</v>
      </c>
      <c r="D7750" t="s">
        <v>18058</v>
      </c>
      <c r="E7750" t="s">
        <v>24913</v>
      </c>
      <c r="F7750" t="s">
        <v>31574</v>
      </c>
      <c r="G7750" t="s">
        <v>31581</v>
      </c>
      <c r="H7750" t="s">
        <v>31590</v>
      </c>
      <c r="I7750" t="s">
        <v>31594</v>
      </c>
      <c r="J7750" t="s">
        <v>32017</v>
      </c>
      <c r="K7750" t="s">
        <v>41186</v>
      </c>
      <c r="M7750" t="s">
        <v>42236</v>
      </c>
      <c r="N7750" t="s">
        <v>45095</v>
      </c>
      <c r="O7750" t="s">
        <v>45096</v>
      </c>
      <c r="P7750">
        <v>0</v>
      </c>
      <c r="Q7750">
        <v>4</v>
      </c>
      <c r="R7750" t="s">
        <v>45103</v>
      </c>
      <c r="S7750" t="s">
        <v>45270</v>
      </c>
      <c r="T7750" t="s">
        <v>46980</v>
      </c>
      <c r="U7750" t="s">
        <v>53915</v>
      </c>
      <c r="W7750" t="s">
        <v>42236</v>
      </c>
      <c r="X7750" t="s">
        <v>45104</v>
      </c>
    </row>
    <row r="7751" spans="1:24">
      <c r="A7751">
        <f>HYPERLINK("https://www.philgeps.gov.ph/GEPSNONPILOT/Tender/SplashBidNoticeAbstractUI.aspx?menuIndex=3&amp;refID=7037273&amp;Result=3","7037273")</f>
        <v>0</v>
      </c>
      <c r="B7751" t="s">
        <v>1955</v>
      </c>
      <c r="C7751" t="s">
        <v>3328</v>
      </c>
      <c r="D7751" t="s">
        <v>18026</v>
      </c>
      <c r="E7751" t="s">
        <v>24914</v>
      </c>
      <c r="F7751" t="s">
        <v>31574</v>
      </c>
      <c r="G7751" t="s">
        <v>31582</v>
      </c>
      <c r="H7751" t="s">
        <v>31590</v>
      </c>
      <c r="I7751" t="s">
        <v>6800</v>
      </c>
      <c r="J7751" t="s">
        <v>36655</v>
      </c>
      <c r="K7751" t="s">
        <v>41186</v>
      </c>
      <c r="M7751" t="s">
        <v>43611</v>
      </c>
      <c r="N7751" t="s">
        <v>45095</v>
      </c>
      <c r="O7751" t="s">
        <v>45096</v>
      </c>
      <c r="P7751">
        <v>0</v>
      </c>
      <c r="Q7751">
        <v>0</v>
      </c>
      <c r="R7751" t="s">
        <v>45103</v>
      </c>
      <c r="S7751" t="s">
        <v>45270</v>
      </c>
      <c r="T7751" t="s">
        <v>46985</v>
      </c>
      <c r="U7751" t="s">
        <v>53916</v>
      </c>
      <c r="W7751" t="s">
        <v>43611</v>
      </c>
      <c r="X7751" t="s">
        <v>45104</v>
      </c>
    </row>
    <row r="7752" spans="1:24">
      <c r="A7752">
        <f>HYPERLINK("https://www.philgeps.gov.ph/GEPSNONPILOT/Tender/SplashBidNoticeAbstractUI.aspx?menuIndex=3&amp;refID=7037294&amp;Result=3","7037294")</f>
        <v>0</v>
      </c>
      <c r="B7752" t="s">
        <v>1955</v>
      </c>
      <c r="C7752" t="s">
        <v>3328</v>
      </c>
      <c r="D7752" t="s">
        <v>18026</v>
      </c>
      <c r="E7752" t="s">
        <v>24915</v>
      </c>
      <c r="F7752" t="s">
        <v>31574</v>
      </c>
      <c r="G7752" t="s">
        <v>31582</v>
      </c>
      <c r="H7752" t="s">
        <v>31590</v>
      </c>
      <c r="I7752" t="s">
        <v>6800</v>
      </c>
      <c r="J7752" t="s">
        <v>36656</v>
      </c>
      <c r="K7752" t="s">
        <v>41186</v>
      </c>
      <c r="M7752" t="s">
        <v>43611</v>
      </c>
      <c r="N7752" t="s">
        <v>45095</v>
      </c>
      <c r="O7752" t="s">
        <v>45096</v>
      </c>
      <c r="P7752">
        <v>0</v>
      </c>
      <c r="Q7752">
        <v>0</v>
      </c>
      <c r="R7752" t="s">
        <v>45103</v>
      </c>
      <c r="S7752" t="s">
        <v>45270</v>
      </c>
      <c r="T7752" t="s">
        <v>46985</v>
      </c>
      <c r="U7752" t="s">
        <v>53917</v>
      </c>
      <c r="W7752" t="s">
        <v>43611</v>
      </c>
      <c r="X7752" t="s">
        <v>45104</v>
      </c>
    </row>
    <row r="7753" spans="1:24">
      <c r="A7753">
        <f>HYPERLINK("https://www.philgeps.gov.ph/GEPSNONPILOT/Tender/SplashBidNoticeAbstractUI.aspx?menuIndex=3&amp;refID=7037289&amp;Result=3","7037289")</f>
        <v>0</v>
      </c>
      <c r="B7753" t="s">
        <v>2262</v>
      </c>
      <c r="C7753" t="s">
        <v>10595</v>
      </c>
      <c r="D7753" t="s">
        <v>18090</v>
      </c>
      <c r="E7753" t="s">
        <v>18430</v>
      </c>
      <c r="F7753" t="s">
        <v>31574</v>
      </c>
      <c r="G7753" t="s">
        <v>31582</v>
      </c>
      <c r="H7753" t="s">
        <v>31591</v>
      </c>
      <c r="I7753" t="s">
        <v>8822</v>
      </c>
      <c r="J7753" t="s">
        <v>32026</v>
      </c>
      <c r="K7753" t="s">
        <v>41186</v>
      </c>
      <c r="M7753" t="s">
        <v>43962</v>
      </c>
      <c r="N7753" t="s">
        <v>45095</v>
      </c>
      <c r="O7753" t="s">
        <v>45096</v>
      </c>
      <c r="P7753">
        <v>0</v>
      </c>
      <c r="Q7753">
        <v>0</v>
      </c>
      <c r="R7753" t="s">
        <v>45103</v>
      </c>
      <c r="S7753" t="s">
        <v>45270</v>
      </c>
      <c r="T7753" t="s">
        <v>46992</v>
      </c>
      <c r="U7753" t="s">
        <v>53918</v>
      </c>
      <c r="W7753" t="s">
        <v>43962</v>
      </c>
      <c r="X7753" t="s">
        <v>45104</v>
      </c>
    </row>
    <row r="7754" spans="1:24">
      <c r="A7754">
        <f>HYPERLINK("https://www.philgeps.gov.ph/GEPSNONPILOT/Tender/SplashBidNoticeAbstractUI.aspx?menuIndex=3&amp;refID=7037285&amp;Result=3","7037285")</f>
        <v>0</v>
      </c>
      <c r="B7754" t="s">
        <v>2121</v>
      </c>
      <c r="C7754" t="s">
        <v>10596</v>
      </c>
      <c r="E7754" t="s">
        <v>18175</v>
      </c>
      <c r="F7754" t="s">
        <v>31575</v>
      </c>
      <c r="G7754" t="s">
        <v>31582</v>
      </c>
      <c r="H7754" t="s">
        <v>31590</v>
      </c>
      <c r="I7754" t="s">
        <v>31612</v>
      </c>
      <c r="J7754" t="s">
        <v>31741</v>
      </c>
      <c r="K7754" t="s">
        <v>41184</v>
      </c>
      <c r="M7754" t="s">
        <v>43802</v>
      </c>
      <c r="N7754" t="s">
        <v>45095</v>
      </c>
      <c r="O7754" t="s">
        <v>45096</v>
      </c>
      <c r="P7754">
        <v>0</v>
      </c>
      <c r="Q7754">
        <v>3</v>
      </c>
      <c r="R7754" t="s">
        <v>45103</v>
      </c>
      <c r="S7754" t="s">
        <v>45270</v>
      </c>
      <c r="T7754" t="s">
        <v>46921</v>
      </c>
      <c r="U7754" t="s">
        <v>53919</v>
      </c>
      <c r="W7754" t="s">
        <v>43802</v>
      </c>
      <c r="X7754" t="s">
        <v>45104</v>
      </c>
    </row>
    <row r="7755" spans="1:24">
      <c r="A7755">
        <f>HYPERLINK("https://www.philgeps.gov.ph/GEPSNONPILOT/Tender/SplashBidNoticeAbstractUI.aspx?menuIndex=3&amp;refID=7037275&amp;Result=3","7037275")</f>
        <v>0</v>
      </c>
      <c r="B7755" t="s">
        <v>2263</v>
      </c>
      <c r="C7755" t="s">
        <v>10597</v>
      </c>
      <c r="D7755" t="s">
        <v>18074</v>
      </c>
      <c r="E7755" t="s">
        <v>24916</v>
      </c>
      <c r="F7755" t="s">
        <v>31574</v>
      </c>
      <c r="G7755" t="s">
        <v>31582</v>
      </c>
      <c r="H7755" t="s">
        <v>31591</v>
      </c>
      <c r="I7755" t="s">
        <v>8822</v>
      </c>
      <c r="J7755" t="s">
        <v>36657</v>
      </c>
      <c r="K7755" t="s">
        <v>41189</v>
      </c>
      <c r="M7755" t="s">
        <v>43963</v>
      </c>
      <c r="N7755" t="s">
        <v>45095</v>
      </c>
      <c r="O7755" t="s">
        <v>45096</v>
      </c>
      <c r="P7755">
        <v>0</v>
      </c>
      <c r="Q7755">
        <v>0</v>
      </c>
      <c r="R7755" t="s">
        <v>45103</v>
      </c>
      <c r="S7755" t="s">
        <v>45270</v>
      </c>
      <c r="T7755" t="s">
        <v>47125</v>
      </c>
      <c r="U7755" t="s">
        <v>53920</v>
      </c>
      <c r="V7755" t="s">
        <v>59888</v>
      </c>
      <c r="W7755" t="s">
        <v>43963</v>
      </c>
      <c r="X7755" t="s">
        <v>45104</v>
      </c>
    </row>
    <row r="7756" spans="1:24">
      <c r="A7756">
        <f>HYPERLINK("https://www.philgeps.gov.ph/GEPSNONPILOT/Tender/SplashBidNoticeAbstractUI.aspx?menuIndex=3&amp;refID=7037284&amp;Result=3","7037284")</f>
        <v>0</v>
      </c>
      <c r="B7756" t="s">
        <v>1079</v>
      </c>
      <c r="C7756" t="s">
        <v>10598</v>
      </c>
      <c r="D7756" t="s">
        <v>18060</v>
      </c>
      <c r="E7756" t="s">
        <v>24917</v>
      </c>
      <c r="F7756" t="s">
        <v>31574</v>
      </c>
      <c r="G7756" t="s">
        <v>31581</v>
      </c>
      <c r="H7756" t="s">
        <v>31590</v>
      </c>
      <c r="I7756" t="s">
        <v>31599</v>
      </c>
      <c r="J7756" t="s">
        <v>36658</v>
      </c>
      <c r="K7756" t="s">
        <v>41184</v>
      </c>
      <c r="M7756" t="s">
        <v>43959</v>
      </c>
      <c r="N7756" t="s">
        <v>45095</v>
      </c>
      <c r="O7756" t="s">
        <v>45096</v>
      </c>
      <c r="P7756">
        <v>0</v>
      </c>
      <c r="Q7756">
        <v>2</v>
      </c>
      <c r="R7756" t="s">
        <v>45103</v>
      </c>
      <c r="S7756" t="s">
        <v>45270</v>
      </c>
      <c r="T7756" t="s">
        <v>47158</v>
      </c>
      <c r="U7756" t="s">
        <v>53921</v>
      </c>
      <c r="V7756" t="s">
        <v>60663</v>
      </c>
      <c r="W7756" t="s">
        <v>43959</v>
      </c>
      <c r="X7756" t="s">
        <v>45104</v>
      </c>
    </row>
    <row r="7757" spans="1:24">
      <c r="A7757">
        <f>HYPERLINK("https://www.philgeps.gov.ph/GEPSNONPILOT/Tender/SplashBidNoticeAbstractUI.aspx?menuIndex=3&amp;refID=7037256&amp;Result=3","7037256")</f>
        <v>0</v>
      </c>
      <c r="B7757" t="s">
        <v>1079</v>
      </c>
      <c r="C7757" t="s">
        <v>10599</v>
      </c>
      <c r="D7757" t="s">
        <v>18060</v>
      </c>
      <c r="E7757" t="s">
        <v>24918</v>
      </c>
      <c r="F7757" t="s">
        <v>31574</v>
      </c>
      <c r="G7757" t="s">
        <v>31581</v>
      </c>
      <c r="H7757" t="s">
        <v>31590</v>
      </c>
      <c r="I7757" t="s">
        <v>3539</v>
      </c>
      <c r="J7757" t="s">
        <v>32017</v>
      </c>
      <c r="K7757" t="s">
        <v>41223</v>
      </c>
      <c r="M7757" t="s">
        <v>43959</v>
      </c>
      <c r="N7757" t="s">
        <v>45095</v>
      </c>
      <c r="O7757" t="s">
        <v>45096</v>
      </c>
      <c r="P7757">
        <v>0</v>
      </c>
      <c r="Q7757">
        <v>2</v>
      </c>
      <c r="R7757" t="s">
        <v>45103</v>
      </c>
      <c r="S7757" t="s">
        <v>45270</v>
      </c>
      <c r="T7757" t="s">
        <v>47158</v>
      </c>
      <c r="U7757" t="s">
        <v>53922</v>
      </c>
      <c r="V7757" t="s">
        <v>60663</v>
      </c>
      <c r="W7757" t="s">
        <v>43959</v>
      </c>
      <c r="X7757" t="s">
        <v>45104</v>
      </c>
    </row>
    <row r="7758" spans="1:24">
      <c r="A7758">
        <f>HYPERLINK("https://www.philgeps.gov.ph/GEPSNONPILOT/Tender/SplashBidNoticeAbstractUI.aspx?menuIndex=3&amp;refID=7037282&amp;Result=3","7037282")</f>
        <v>0</v>
      </c>
      <c r="B7758" t="s">
        <v>1863</v>
      </c>
      <c r="C7758" t="s">
        <v>10600</v>
      </c>
      <c r="D7758" t="s">
        <v>18052</v>
      </c>
      <c r="E7758" t="s">
        <v>24919</v>
      </c>
      <c r="F7758" t="s">
        <v>31574</v>
      </c>
      <c r="G7758" t="s">
        <v>31582</v>
      </c>
      <c r="H7758" t="s">
        <v>31590</v>
      </c>
      <c r="I7758" t="s">
        <v>14544</v>
      </c>
      <c r="J7758" t="s">
        <v>36659</v>
      </c>
      <c r="K7758" t="s">
        <v>41196</v>
      </c>
      <c r="M7758" t="s">
        <v>43502</v>
      </c>
      <c r="N7758" t="s">
        <v>45095</v>
      </c>
      <c r="O7758" t="s">
        <v>45096</v>
      </c>
      <c r="P7758">
        <v>0</v>
      </c>
      <c r="Q7758">
        <v>0</v>
      </c>
      <c r="R7758" t="s">
        <v>45103</v>
      </c>
      <c r="S7758" t="s">
        <v>45270</v>
      </c>
      <c r="T7758" t="s">
        <v>46963</v>
      </c>
      <c r="U7758" t="s">
        <v>53923</v>
      </c>
      <c r="W7758" t="s">
        <v>43502</v>
      </c>
      <c r="X7758" t="s">
        <v>45104</v>
      </c>
    </row>
    <row r="7759" spans="1:24">
      <c r="A7759">
        <f>HYPERLINK("https://www.philgeps.gov.ph/GEPSNONPILOT/Tender/SplashBidNoticeAbstractUI.aspx?menuIndex=3&amp;refID=7037306&amp;Result=3","7037306")</f>
        <v>0</v>
      </c>
      <c r="B7759" t="s">
        <v>2148</v>
      </c>
      <c r="C7759" t="s">
        <v>10601</v>
      </c>
      <c r="D7759" t="s">
        <v>18092</v>
      </c>
      <c r="E7759" t="s">
        <v>24920</v>
      </c>
      <c r="F7759" t="s">
        <v>31574</v>
      </c>
      <c r="G7759" t="s">
        <v>31582</v>
      </c>
      <c r="H7759" t="s">
        <v>31591</v>
      </c>
      <c r="I7759" t="s">
        <v>8822</v>
      </c>
      <c r="J7759" t="s">
        <v>36660</v>
      </c>
      <c r="K7759" t="s">
        <v>41185</v>
      </c>
      <c r="M7759" t="s">
        <v>43830</v>
      </c>
      <c r="N7759" t="s">
        <v>45095</v>
      </c>
      <c r="O7759" t="s">
        <v>45096</v>
      </c>
      <c r="P7759">
        <v>0</v>
      </c>
      <c r="Q7759">
        <v>2</v>
      </c>
      <c r="R7759" t="s">
        <v>45103</v>
      </c>
      <c r="S7759" t="s">
        <v>45270</v>
      </c>
      <c r="T7759" t="s">
        <v>47166</v>
      </c>
      <c r="U7759" t="s">
        <v>53924</v>
      </c>
      <c r="W7759" t="s">
        <v>43830</v>
      </c>
      <c r="X7759" t="s">
        <v>45104</v>
      </c>
    </row>
    <row r="7760" spans="1:24">
      <c r="A7760">
        <f>HYPERLINK("https://www.philgeps.gov.ph/GEPSNONPILOT/Tender/SplashBidNoticeAbstractUI.aspx?menuIndex=3&amp;refID=7037324&amp;Result=3","7037324")</f>
        <v>0</v>
      </c>
      <c r="B7760" t="s">
        <v>1070</v>
      </c>
      <c r="C7760" t="s">
        <v>10602</v>
      </c>
      <c r="D7760" t="s">
        <v>18069</v>
      </c>
      <c r="E7760" t="s">
        <v>24921</v>
      </c>
      <c r="F7760" t="s">
        <v>31574</v>
      </c>
      <c r="G7760" t="s">
        <v>31582</v>
      </c>
      <c r="H7760" t="s">
        <v>31591</v>
      </c>
      <c r="I7760" t="s">
        <v>8822</v>
      </c>
      <c r="J7760" t="s">
        <v>36544</v>
      </c>
      <c r="K7760" t="s">
        <v>41189</v>
      </c>
      <c r="M7760" t="s">
        <v>42616</v>
      </c>
      <c r="N7760" t="s">
        <v>45095</v>
      </c>
      <c r="O7760" t="s">
        <v>45096</v>
      </c>
      <c r="P7760">
        <v>0</v>
      </c>
      <c r="Q7760">
        <v>0</v>
      </c>
      <c r="R7760" t="s">
        <v>45103</v>
      </c>
      <c r="S7760" t="s">
        <v>45270</v>
      </c>
      <c r="T7760" t="s">
        <v>47328</v>
      </c>
      <c r="U7760" t="s">
        <v>53925</v>
      </c>
      <c r="W7760" t="s">
        <v>42616</v>
      </c>
      <c r="X7760" t="s">
        <v>45104</v>
      </c>
    </row>
    <row r="7761" spans="1:24">
      <c r="A7761">
        <f>HYPERLINK("https://www.philgeps.gov.ph/GEPSNONPILOT/Tender/SplashBidNoticeAbstractUI.aspx?menuIndex=3&amp;refID=7037257&amp;Result=3","7037257")</f>
        <v>0</v>
      </c>
      <c r="B7761" t="s">
        <v>2264</v>
      </c>
      <c r="C7761" t="s">
        <v>10603</v>
      </c>
      <c r="D7761" t="s">
        <v>18022</v>
      </c>
      <c r="E7761" t="s">
        <v>24922</v>
      </c>
      <c r="F7761" t="s">
        <v>31574</v>
      </c>
      <c r="G7761" t="s">
        <v>31582</v>
      </c>
      <c r="H7761" t="s">
        <v>31590</v>
      </c>
      <c r="I7761" t="s">
        <v>31615</v>
      </c>
      <c r="J7761" t="s">
        <v>32530</v>
      </c>
      <c r="K7761" t="s">
        <v>41184</v>
      </c>
      <c r="M7761" t="s">
        <v>43964</v>
      </c>
      <c r="N7761" t="s">
        <v>45095</v>
      </c>
      <c r="O7761" t="s">
        <v>45096</v>
      </c>
      <c r="P7761">
        <v>0</v>
      </c>
      <c r="Q7761">
        <v>5</v>
      </c>
      <c r="R7761" t="s">
        <v>45103</v>
      </c>
      <c r="S7761" t="s">
        <v>45270</v>
      </c>
      <c r="T7761" t="s">
        <v>47329</v>
      </c>
      <c r="U7761" t="s">
        <v>53926</v>
      </c>
      <c r="W7761" t="s">
        <v>43964</v>
      </c>
      <c r="X7761" t="s">
        <v>45104</v>
      </c>
    </row>
    <row r="7762" spans="1:24">
      <c r="A7762">
        <f>HYPERLINK("https://www.philgeps.gov.ph/GEPSNONPILOT/Tender/SplashBidNoticeAbstractUI.aspx?menuIndex=3&amp;refID=7037262&amp;Result=3","7037262")</f>
        <v>0</v>
      </c>
      <c r="B7762" t="s">
        <v>132</v>
      </c>
      <c r="C7762" t="s">
        <v>10604</v>
      </c>
      <c r="D7762" t="s">
        <v>18059</v>
      </c>
      <c r="E7762" t="s">
        <v>24923</v>
      </c>
      <c r="F7762" t="s">
        <v>31574</v>
      </c>
      <c r="G7762" t="s">
        <v>31582</v>
      </c>
      <c r="H7762" t="s">
        <v>31590</v>
      </c>
      <c r="I7762" t="s">
        <v>4046</v>
      </c>
      <c r="J7762" t="s">
        <v>36661</v>
      </c>
      <c r="K7762" t="s">
        <v>41190</v>
      </c>
      <c r="M7762" t="s">
        <v>41616</v>
      </c>
      <c r="N7762" t="s">
        <v>45095</v>
      </c>
      <c r="O7762" t="s">
        <v>45096</v>
      </c>
      <c r="P7762">
        <v>0</v>
      </c>
      <c r="Q7762">
        <v>0</v>
      </c>
      <c r="R7762" t="s">
        <v>45103</v>
      </c>
      <c r="S7762" t="s">
        <v>45270</v>
      </c>
      <c r="T7762" t="s">
        <v>46973</v>
      </c>
      <c r="U7762" t="s">
        <v>53927</v>
      </c>
      <c r="W7762" t="s">
        <v>41616</v>
      </c>
      <c r="X7762" t="s">
        <v>45104</v>
      </c>
    </row>
    <row r="7763" spans="1:24">
      <c r="A7763">
        <f>HYPERLINK("https://www.philgeps.gov.ph/GEPSNONPILOT/Tender/SplashBidNoticeAbstractUI.aspx?menuIndex=3&amp;refID=7037322&amp;Result=3","7037322")</f>
        <v>0</v>
      </c>
      <c r="B7763" t="s">
        <v>2265</v>
      </c>
      <c r="C7763" t="s">
        <v>10605</v>
      </c>
      <c r="D7763" t="s">
        <v>18037</v>
      </c>
      <c r="E7763" t="s">
        <v>24924</v>
      </c>
      <c r="F7763" t="s">
        <v>31574</v>
      </c>
      <c r="G7763" t="s">
        <v>31581</v>
      </c>
      <c r="H7763" t="s">
        <v>31590</v>
      </c>
      <c r="I7763" t="s">
        <v>8258</v>
      </c>
      <c r="J7763" t="s">
        <v>31935</v>
      </c>
      <c r="K7763" t="s">
        <v>41193</v>
      </c>
      <c r="M7763" t="s">
        <v>43965</v>
      </c>
      <c r="N7763" t="s">
        <v>45095</v>
      </c>
      <c r="O7763" t="s">
        <v>45096</v>
      </c>
      <c r="P7763">
        <v>0</v>
      </c>
      <c r="Q7763">
        <v>5</v>
      </c>
      <c r="R7763" t="s">
        <v>45103</v>
      </c>
      <c r="S7763" t="s">
        <v>45270</v>
      </c>
      <c r="T7763" t="s">
        <v>47106</v>
      </c>
      <c r="U7763" t="s">
        <v>53928</v>
      </c>
      <c r="V7763" t="s">
        <v>60667</v>
      </c>
      <c r="W7763" t="s">
        <v>43965</v>
      </c>
      <c r="X7763" t="s">
        <v>45104</v>
      </c>
    </row>
    <row r="7764" spans="1:24">
      <c r="A7764">
        <f>HYPERLINK("https://www.philgeps.gov.ph/GEPSNONPILOT/Tender/SplashBidNoticeAbstractUI.aspx?menuIndex=3&amp;refID=7037325&amp;Result=3","7037325")</f>
        <v>0</v>
      </c>
      <c r="B7764" t="s">
        <v>1412</v>
      </c>
      <c r="C7764" t="s">
        <v>10606</v>
      </c>
      <c r="D7764" t="s">
        <v>18075</v>
      </c>
      <c r="E7764" t="s">
        <v>24925</v>
      </c>
      <c r="F7764" t="s">
        <v>31574</v>
      </c>
      <c r="G7764" t="s">
        <v>31582</v>
      </c>
      <c r="H7764" t="s">
        <v>31591</v>
      </c>
      <c r="I7764" t="s">
        <v>8822</v>
      </c>
      <c r="J7764" t="s">
        <v>36662</v>
      </c>
      <c r="K7764" t="s">
        <v>41184</v>
      </c>
      <c r="M7764" t="s">
        <v>42988</v>
      </c>
      <c r="N7764" t="s">
        <v>45095</v>
      </c>
      <c r="O7764" t="s">
        <v>45096</v>
      </c>
      <c r="P7764">
        <v>0</v>
      </c>
      <c r="Q7764">
        <v>0</v>
      </c>
      <c r="R7764" t="s">
        <v>45103</v>
      </c>
      <c r="S7764" t="s">
        <v>45270</v>
      </c>
      <c r="T7764" t="s">
        <v>47004</v>
      </c>
      <c r="U7764" t="s">
        <v>53929</v>
      </c>
      <c r="W7764" t="s">
        <v>42988</v>
      </c>
      <c r="X7764" t="s">
        <v>45104</v>
      </c>
    </row>
    <row r="7765" spans="1:24">
      <c r="A7765">
        <f>HYPERLINK("https://www.philgeps.gov.ph/GEPSNONPILOT/Tender/SplashBidNoticeAbstractUI.aspx?menuIndex=3&amp;refID=7037258&amp;Result=3","7037258")</f>
        <v>0</v>
      </c>
      <c r="B7765" t="s">
        <v>2253</v>
      </c>
      <c r="C7765" t="s">
        <v>10607</v>
      </c>
      <c r="D7765" t="s">
        <v>18083</v>
      </c>
      <c r="E7765" t="s">
        <v>20111</v>
      </c>
      <c r="F7765" t="s">
        <v>31574</v>
      </c>
      <c r="G7765" t="s">
        <v>31581</v>
      </c>
      <c r="H7765" t="s">
        <v>31590</v>
      </c>
      <c r="I7765" t="s">
        <v>5717</v>
      </c>
      <c r="J7765" t="s">
        <v>32017</v>
      </c>
      <c r="K7765" t="s">
        <v>41184</v>
      </c>
      <c r="M7765" t="s">
        <v>43951</v>
      </c>
      <c r="N7765" t="s">
        <v>45095</v>
      </c>
      <c r="O7765" t="s">
        <v>45096</v>
      </c>
      <c r="P7765">
        <v>0</v>
      </c>
      <c r="Q7765">
        <v>2</v>
      </c>
      <c r="R7765" t="s">
        <v>45103</v>
      </c>
      <c r="S7765" t="s">
        <v>45270</v>
      </c>
      <c r="T7765" t="s">
        <v>47158</v>
      </c>
      <c r="U7765" t="s">
        <v>53876</v>
      </c>
      <c r="W7765" t="s">
        <v>43951</v>
      </c>
      <c r="X7765" t="s">
        <v>45104</v>
      </c>
    </row>
    <row r="7766" spans="1:24">
      <c r="A7766">
        <f>HYPERLINK("https://www.philgeps.gov.ph/GEPSNONPILOT/Tender/SplashBidNoticeAbstractUI.aspx?menuIndex=3&amp;refID=7037319&amp;Result=3","7037319")</f>
        <v>0</v>
      </c>
      <c r="B7766" t="s">
        <v>226</v>
      </c>
      <c r="C7766" t="s">
        <v>8898</v>
      </c>
      <c r="D7766" t="s">
        <v>18041</v>
      </c>
      <c r="E7766" t="s">
        <v>24926</v>
      </c>
      <c r="F7766" t="s">
        <v>31574</v>
      </c>
      <c r="G7766" t="s">
        <v>31581</v>
      </c>
      <c r="H7766" t="s">
        <v>31590</v>
      </c>
      <c r="I7766" t="s">
        <v>7185</v>
      </c>
      <c r="J7766" t="s">
        <v>36663</v>
      </c>
      <c r="K7766" t="s">
        <v>41184</v>
      </c>
      <c r="M7766" t="s">
        <v>41711</v>
      </c>
      <c r="N7766" t="s">
        <v>45095</v>
      </c>
      <c r="O7766" t="s">
        <v>45096</v>
      </c>
      <c r="P7766">
        <v>0</v>
      </c>
      <c r="Q7766">
        <v>3</v>
      </c>
      <c r="R7766" t="s">
        <v>45103</v>
      </c>
      <c r="S7766" t="s">
        <v>45270</v>
      </c>
      <c r="T7766" t="s">
        <v>46973</v>
      </c>
      <c r="U7766" t="s">
        <v>48637</v>
      </c>
      <c r="W7766" t="s">
        <v>41711</v>
      </c>
      <c r="X7766" t="s">
        <v>45104</v>
      </c>
    </row>
    <row r="7767" spans="1:24">
      <c r="A7767">
        <f>HYPERLINK("https://www.philgeps.gov.ph/GEPSNONPILOT/Tender/SplashBidNoticeAbstractUI.aspx?menuIndex=3&amp;refID=7037301&amp;Result=3","7037301")</f>
        <v>0</v>
      </c>
      <c r="B7767" t="s">
        <v>2208</v>
      </c>
      <c r="C7767" t="s">
        <v>10608</v>
      </c>
      <c r="D7767" t="s">
        <v>18056</v>
      </c>
      <c r="E7767" t="s">
        <v>24927</v>
      </c>
      <c r="F7767" t="s">
        <v>31574</v>
      </c>
      <c r="G7767" t="s">
        <v>31582</v>
      </c>
      <c r="H7767" t="s">
        <v>31591</v>
      </c>
      <c r="I7767" t="s">
        <v>8822</v>
      </c>
      <c r="J7767" t="s">
        <v>36664</v>
      </c>
      <c r="K7767" t="s">
        <v>41203</v>
      </c>
      <c r="M7767" t="s">
        <v>43897</v>
      </c>
      <c r="N7767" t="s">
        <v>45095</v>
      </c>
      <c r="O7767" t="s">
        <v>45096</v>
      </c>
      <c r="P7767">
        <v>0</v>
      </c>
      <c r="Q7767">
        <v>16</v>
      </c>
      <c r="R7767" t="s">
        <v>45103</v>
      </c>
      <c r="S7767" t="s">
        <v>45270</v>
      </c>
      <c r="T7767" t="s">
        <v>47010</v>
      </c>
      <c r="U7767" t="s">
        <v>53930</v>
      </c>
      <c r="W7767" t="s">
        <v>43897</v>
      </c>
      <c r="X7767" t="s">
        <v>45104</v>
      </c>
    </row>
    <row r="7768" spans="1:24">
      <c r="A7768">
        <f>HYPERLINK("https://www.philgeps.gov.ph/GEPSNONPILOT/Tender/SplashBidNoticeAbstractUI.aspx?menuIndex=3&amp;refID=7037311&amp;Result=3","7037311")</f>
        <v>0</v>
      </c>
      <c r="B7768" t="s">
        <v>1412</v>
      </c>
      <c r="C7768" t="s">
        <v>10609</v>
      </c>
      <c r="D7768" t="s">
        <v>18075</v>
      </c>
      <c r="E7768" t="s">
        <v>24928</v>
      </c>
      <c r="F7768" t="s">
        <v>31574</v>
      </c>
      <c r="G7768" t="s">
        <v>31582</v>
      </c>
      <c r="H7768" t="s">
        <v>31591</v>
      </c>
      <c r="I7768" t="s">
        <v>8822</v>
      </c>
      <c r="J7768" t="s">
        <v>32101</v>
      </c>
      <c r="K7768" t="s">
        <v>41184</v>
      </c>
      <c r="M7768" t="s">
        <v>42988</v>
      </c>
      <c r="N7768" t="s">
        <v>45095</v>
      </c>
      <c r="O7768" t="s">
        <v>45096</v>
      </c>
      <c r="P7768">
        <v>0</v>
      </c>
      <c r="Q7768">
        <v>0</v>
      </c>
      <c r="R7768" t="s">
        <v>45103</v>
      </c>
      <c r="S7768" t="s">
        <v>45270</v>
      </c>
      <c r="T7768" t="s">
        <v>47004</v>
      </c>
      <c r="U7768" t="s">
        <v>53931</v>
      </c>
      <c r="W7768" t="s">
        <v>42988</v>
      </c>
      <c r="X7768" t="s">
        <v>45104</v>
      </c>
    </row>
    <row r="7769" spans="1:24">
      <c r="A7769">
        <f>HYPERLINK("https://www.philgeps.gov.ph/GEPSNONPILOT/Tender/SplashBidNoticeAbstractUI.aspx?menuIndex=3&amp;refID=7037316&amp;Result=3","7037316")</f>
        <v>0</v>
      </c>
      <c r="B7769" t="s">
        <v>2054</v>
      </c>
      <c r="C7769" t="s">
        <v>10610</v>
      </c>
      <c r="D7769" t="s">
        <v>18037</v>
      </c>
      <c r="E7769" t="s">
        <v>24929</v>
      </c>
      <c r="F7769" t="s">
        <v>31574</v>
      </c>
      <c r="G7769" t="s">
        <v>31581</v>
      </c>
      <c r="H7769" t="s">
        <v>31590</v>
      </c>
      <c r="I7769" t="s">
        <v>4046</v>
      </c>
      <c r="J7769" t="s">
        <v>32389</v>
      </c>
      <c r="K7769" t="s">
        <v>41186</v>
      </c>
      <c r="M7769" t="s">
        <v>43723</v>
      </c>
      <c r="N7769" t="s">
        <v>45095</v>
      </c>
      <c r="O7769" t="s">
        <v>45096</v>
      </c>
      <c r="P7769">
        <v>0</v>
      </c>
      <c r="Q7769">
        <v>0</v>
      </c>
      <c r="R7769" t="s">
        <v>45103</v>
      </c>
      <c r="S7769" t="s">
        <v>45270</v>
      </c>
      <c r="T7769" t="s">
        <v>47083</v>
      </c>
      <c r="U7769" t="s">
        <v>53932</v>
      </c>
      <c r="W7769" t="s">
        <v>43723</v>
      </c>
      <c r="X7769" t="s">
        <v>45104</v>
      </c>
    </row>
    <row r="7770" spans="1:24">
      <c r="A7770">
        <f>HYPERLINK("https://www.philgeps.gov.ph/GEPSNONPILOT/Tender/SplashBidNoticeAbstractUI.aspx?menuIndex=3&amp;refID=7037295&amp;Result=3","7037295")</f>
        <v>0</v>
      </c>
      <c r="B7770" t="s">
        <v>2258</v>
      </c>
      <c r="C7770" t="s">
        <v>10611</v>
      </c>
      <c r="D7770" t="s">
        <v>18056</v>
      </c>
      <c r="E7770" t="s">
        <v>24930</v>
      </c>
      <c r="F7770" t="s">
        <v>31574</v>
      </c>
      <c r="G7770" t="s">
        <v>31582</v>
      </c>
      <c r="H7770" t="s">
        <v>31590</v>
      </c>
      <c r="I7770" t="s">
        <v>4046</v>
      </c>
      <c r="J7770" t="s">
        <v>36665</v>
      </c>
      <c r="K7770" t="s">
        <v>41200</v>
      </c>
      <c r="M7770" t="s">
        <v>43957</v>
      </c>
      <c r="N7770" t="s">
        <v>45095</v>
      </c>
      <c r="O7770" t="s">
        <v>45096</v>
      </c>
      <c r="P7770">
        <v>0</v>
      </c>
      <c r="Q7770">
        <v>0</v>
      </c>
      <c r="R7770" t="s">
        <v>45103</v>
      </c>
      <c r="S7770" t="s">
        <v>45270</v>
      </c>
      <c r="T7770" t="s">
        <v>46966</v>
      </c>
      <c r="U7770" t="s">
        <v>53933</v>
      </c>
      <c r="W7770" t="s">
        <v>43957</v>
      </c>
      <c r="X7770" t="s">
        <v>45104</v>
      </c>
    </row>
    <row r="7771" spans="1:24">
      <c r="A7771">
        <f>HYPERLINK("https://www.philgeps.gov.ph/GEPSNONPILOT/Tender/SplashBidNoticeAbstractUI.aspx?menuIndex=3&amp;refID=7037343&amp;Result=3","7037343")</f>
        <v>0</v>
      </c>
      <c r="B7771" t="s">
        <v>1300</v>
      </c>
      <c r="C7771" t="s">
        <v>10612</v>
      </c>
      <c r="D7771" t="s">
        <v>18066</v>
      </c>
      <c r="E7771" t="s">
        <v>24931</v>
      </c>
      <c r="F7771" t="s">
        <v>31574</v>
      </c>
      <c r="G7771" t="s">
        <v>31582</v>
      </c>
      <c r="H7771" t="s">
        <v>31591</v>
      </c>
      <c r="I7771" t="s">
        <v>8822</v>
      </c>
      <c r="J7771" t="s">
        <v>36666</v>
      </c>
      <c r="K7771" t="s">
        <v>41185</v>
      </c>
      <c r="M7771" t="s">
        <v>42870</v>
      </c>
      <c r="N7771" t="s">
        <v>45095</v>
      </c>
      <c r="O7771" t="s">
        <v>45096</v>
      </c>
      <c r="P7771">
        <v>0</v>
      </c>
      <c r="Q7771">
        <v>0</v>
      </c>
      <c r="R7771" t="s">
        <v>45103</v>
      </c>
      <c r="S7771" t="s">
        <v>45270</v>
      </c>
      <c r="T7771" t="s">
        <v>47064</v>
      </c>
      <c r="U7771" t="s">
        <v>53934</v>
      </c>
      <c r="W7771" t="s">
        <v>42870</v>
      </c>
      <c r="X7771" t="s">
        <v>45104</v>
      </c>
    </row>
    <row r="7772" spans="1:24">
      <c r="A7772">
        <f>HYPERLINK("https://www.philgeps.gov.ph/GEPSNONPILOT/Tender/SplashBidNoticeAbstractUI.aspx?menuIndex=3&amp;refID=7037315&amp;Result=3","7037315")</f>
        <v>0</v>
      </c>
      <c r="B7772" t="s">
        <v>48</v>
      </c>
      <c r="C7772" t="s">
        <v>10613</v>
      </c>
      <c r="D7772" t="s">
        <v>18041</v>
      </c>
      <c r="E7772" t="s">
        <v>24932</v>
      </c>
      <c r="F7772" t="s">
        <v>31574</v>
      </c>
      <c r="G7772" t="s">
        <v>31582</v>
      </c>
      <c r="H7772" t="s">
        <v>31590</v>
      </c>
      <c r="I7772" t="s">
        <v>31608</v>
      </c>
      <c r="J7772" t="s">
        <v>31848</v>
      </c>
      <c r="K7772" t="s">
        <v>41186</v>
      </c>
      <c r="M7772" t="s">
        <v>43725</v>
      </c>
      <c r="N7772" t="s">
        <v>45095</v>
      </c>
      <c r="O7772" t="s">
        <v>45096</v>
      </c>
      <c r="P7772">
        <v>0</v>
      </c>
      <c r="Q7772">
        <v>3</v>
      </c>
      <c r="R7772" t="s">
        <v>45103</v>
      </c>
      <c r="S7772" t="s">
        <v>45270</v>
      </c>
      <c r="T7772" t="s">
        <v>47076</v>
      </c>
      <c r="U7772" t="s">
        <v>53935</v>
      </c>
      <c r="W7772" t="s">
        <v>43725</v>
      </c>
      <c r="X7772" t="s">
        <v>45104</v>
      </c>
    </row>
    <row r="7773" spans="1:24">
      <c r="A7773">
        <f>HYPERLINK("https://www.philgeps.gov.ph/GEPSNONPILOT/Tender/SplashBidNoticeAbstractUI.aspx?menuIndex=3&amp;refID=7037307&amp;Result=3","7037307")</f>
        <v>0</v>
      </c>
      <c r="B7773" t="s">
        <v>726</v>
      </c>
      <c r="C7773" t="s">
        <v>10614</v>
      </c>
      <c r="D7773" t="s">
        <v>18058</v>
      </c>
      <c r="E7773" t="s">
        <v>24933</v>
      </c>
      <c r="F7773" t="s">
        <v>31574</v>
      </c>
      <c r="G7773" t="s">
        <v>31581</v>
      </c>
      <c r="H7773" t="s">
        <v>31590</v>
      </c>
      <c r="I7773" t="s">
        <v>31594</v>
      </c>
      <c r="J7773" t="s">
        <v>33035</v>
      </c>
      <c r="K7773" t="s">
        <v>41186</v>
      </c>
      <c r="M7773" t="s">
        <v>42236</v>
      </c>
      <c r="N7773" t="s">
        <v>45095</v>
      </c>
      <c r="O7773" t="s">
        <v>45096</v>
      </c>
      <c r="P7773">
        <v>0</v>
      </c>
      <c r="Q7773">
        <v>8</v>
      </c>
      <c r="R7773" t="s">
        <v>45103</v>
      </c>
      <c r="S7773" t="s">
        <v>45270</v>
      </c>
      <c r="T7773" t="s">
        <v>46980</v>
      </c>
      <c r="U7773" t="s">
        <v>53936</v>
      </c>
      <c r="W7773" t="s">
        <v>42236</v>
      </c>
      <c r="X7773" t="s">
        <v>45104</v>
      </c>
    </row>
    <row r="7774" spans="1:24">
      <c r="A7774">
        <f>HYPERLINK("https://www.philgeps.gov.ph/GEPSNONPILOT/Tender/SplashBidNoticeAbstractUI.aspx?menuIndex=3&amp;refID=7037339&amp;Result=3","7037339")</f>
        <v>0</v>
      </c>
      <c r="B7774" t="s">
        <v>1926</v>
      </c>
      <c r="C7774" t="s">
        <v>10615</v>
      </c>
      <c r="D7774" t="s">
        <v>18099</v>
      </c>
      <c r="E7774" t="s">
        <v>24934</v>
      </c>
      <c r="F7774" t="s">
        <v>31574</v>
      </c>
      <c r="G7774" t="s">
        <v>31583</v>
      </c>
      <c r="H7774" t="s">
        <v>31590</v>
      </c>
      <c r="I7774" t="s">
        <v>14544</v>
      </c>
      <c r="J7774" t="s">
        <v>36667</v>
      </c>
      <c r="K7774" t="s">
        <v>41186</v>
      </c>
      <c r="M7774" t="s">
        <v>43578</v>
      </c>
      <c r="N7774" t="s">
        <v>45095</v>
      </c>
      <c r="O7774" t="s">
        <v>45096</v>
      </c>
      <c r="P7774">
        <v>0</v>
      </c>
      <c r="Q7774">
        <v>1</v>
      </c>
      <c r="R7774" t="s">
        <v>45103</v>
      </c>
      <c r="S7774" t="s">
        <v>45270</v>
      </c>
      <c r="T7774" t="s">
        <v>47050</v>
      </c>
      <c r="U7774" t="s">
        <v>53937</v>
      </c>
      <c r="V7774" t="s">
        <v>60668</v>
      </c>
      <c r="W7774" t="s">
        <v>43578</v>
      </c>
      <c r="X7774" t="s">
        <v>45104</v>
      </c>
    </row>
    <row r="7775" spans="1:24">
      <c r="A7775">
        <f>HYPERLINK("https://www.philgeps.gov.ph/GEPSNONPILOT/Tender/SplashBidNoticeAbstractUI.aspx?menuIndex=3&amp;refID=7037346&amp;Result=3","7037346")</f>
        <v>0</v>
      </c>
      <c r="B7775" t="s">
        <v>2263</v>
      </c>
      <c r="C7775" t="s">
        <v>10616</v>
      </c>
      <c r="D7775" t="s">
        <v>18074</v>
      </c>
      <c r="E7775" t="s">
        <v>24935</v>
      </c>
      <c r="F7775" t="s">
        <v>31574</v>
      </c>
      <c r="G7775" t="s">
        <v>31582</v>
      </c>
      <c r="H7775" t="s">
        <v>31591</v>
      </c>
      <c r="I7775" t="s">
        <v>8822</v>
      </c>
      <c r="J7775" t="s">
        <v>36668</v>
      </c>
      <c r="K7775" t="s">
        <v>41203</v>
      </c>
      <c r="M7775" t="s">
        <v>43963</v>
      </c>
      <c r="N7775" t="s">
        <v>45095</v>
      </c>
      <c r="O7775" t="s">
        <v>45096</v>
      </c>
      <c r="P7775">
        <v>0</v>
      </c>
      <c r="Q7775">
        <v>0</v>
      </c>
      <c r="R7775" t="s">
        <v>45103</v>
      </c>
      <c r="S7775" t="s">
        <v>45270</v>
      </c>
      <c r="T7775" t="s">
        <v>47125</v>
      </c>
      <c r="U7775" t="s">
        <v>53938</v>
      </c>
      <c r="V7775" t="s">
        <v>59888</v>
      </c>
      <c r="W7775" t="s">
        <v>43963</v>
      </c>
      <c r="X7775" t="s">
        <v>45104</v>
      </c>
    </row>
    <row r="7776" spans="1:24">
      <c r="A7776">
        <f>HYPERLINK("https://www.philgeps.gov.ph/GEPSNONPILOT/Tender/SplashBidNoticeAbstractUI.aspx?menuIndex=3&amp;refID=7037338&amp;Result=3","7037338")</f>
        <v>0</v>
      </c>
      <c r="B7776" t="s">
        <v>1863</v>
      </c>
      <c r="C7776" t="s">
        <v>10472</v>
      </c>
      <c r="D7776" t="s">
        <v>18052</v>
      </c>
      <c r="E7776" t="s">
        <v>24936</v>
      </c>
      <c r="F7776" t="s">
        <v>31574</v>
      </c>
      <c r="G7776" t="s">
        <v>31582</v>
      </c>
      <c r="H7776" t="s">
        <v>31590</v>
      </c>
      <c r="I7776" t="s">
        <v>4327</v>
      </c>
      <c r="J7776" t="s">
        <v>32650</v>
      </c>
      <c r="K7776" t="s">
        <v>41196</v>
      </c>
      <c r="M7776" t="s">
        <v>43502</v>
      </c>
      <c r="N7776" t="s">
        <v>45095</v>
      </c>
      <c r="O7776" t="s">
        <v>45096</v>
      </c>
      <c r="P7776">
        <v>0</v>
      </c>
      <c r="Q7776">
        <v>0</v>
      </c>
      <c r="R7776" t="s">
        <v>45103</v>
      </c>
      <c r="S7776" t="s">
        <v>45270</v>
      </c>
      <c r="T7776" t="s">
        <v>46963</v>
      </c>
      <c r="U7776" t="s">
        <v>53939</v>
      </c>
      <c r="W7776" t="s">
        <v>43502</v>
      </c>
      <c r="X7776" t="s">
        <v>45104</v>
      </c>
    </row>
    <row r="7777" spans="1:24">
      <c r="A7777">
        <f>HYPERLINK("https://www.philgeps.gov.ph/GEPSNONPILOT/Tender/SplashBidNoticeAbstractUI.aspx?menuIndex=3&amp;refID=7037332&amp;Result=3","7037332")</f>
        <v>0</v>
      </c>
      <c r="B7777" t="s">
        <v>726</v>
      </c>
      <c r="C7777" t="s">
        <v>10614</v>
      </c>
      <c r="D7777" t="s">
        <v>18058</v>
      </c>
      <c r="E7777" t="s">
        <v>24937</v>
      </c>
      <c r="F7777" t="s">
        <v>31574</v>
      </c>
      <c r="G7777" t="s">
        <v>31581</v>
      </c>
      <c r="H7777" t="s">
        <v>31590</v>
      </c>
      <c r="I7777" t="s">
        <v>31594</v>
      </c>
      <c r="J7777" t="s">
        <v>32017</v>
      </c>
      <c r="K7777" t="s">
        <v>41186</v>
      </c>
      <c r="M7777" t="s">
        <v>42236</v>
      </c>
      <c r="N7777" t="s">
        <v>45095</v>
      </c>
      <c r="O7777" t="s">
        <v>45096</v>
      </c>
      <c r="P7777">
        <v>0</v>
      </c>
      <c r="Q7777">
        <v>8</v>
      </c>
      <c r="R7777" t="s">
        <v>45103</v>
      </c>
      <c r="S7777" t="s">
        <v>45270</v>
      </c>
      <c r="T7777" t="s">
        <v>46980</v>
      </c>
      <c r="U7777" t="s">
        <v>53940</v>
      </c>
      <c r="W7777" t="s">
        <v>42236</v>
      </c>
      <c r="X7777" t="s">
        <v>45104</v>
      </c>
    </row>
    <row r="7778" spans="1:24">
      <c r="A7778">
        <f>HYPERLINK("https://www.philgeps.gov.ph/GEPSNONPILOT/Tender/SplashBidNoticeAbstractUI.aspx?menuIndex=3&amp;refID=7037327&amp;Result=3","7037327")</f>
        <v>0</v>
      </c>
      <c r="B7778" t="s">
        <v>2150</v>
      </c>
      <c r="C7778" t="s">
        <v>10617</v>
      </c>
      <c r="D7778" t="s">
        <v>18062</v>
      </c>
      <c r="E7778" t="s">
        <v>24938</v>
      </c>
      <c r="F7778" t="s">
        <v>31574</v>
      </c>
      <c r="G7778" t="s">
        <v>31583</v>
      </c>
      <c r="H7778" t="s">
        <v>31590</v>
      </c>
      <c r="I7778" t="s">
        <v>4046</v>
      </c>
      <c r="J7778" t="s">
        <v>36669</v>
      </c>
      <c r="K7778" t="s">
        <v>41193</v>
      </c>
      <c r="M7778" t="s">
        <v>43832</v>
      </c>
      <c r="N7778" t="s">
        <v>45095</v>
      </c>
      <c r="O7778" t="s">
        <v>45096</v>
      </c>
      <c r="P7778">
        <v>0</v>
      </c>
      <c r="Q7778">
        <v>0</v>
      </c>
      <c r="R7778" t="s">
        <v>45103</v>
      </c>
      <c r="S7778" t="s">
        <v>45270</v>
      </c>
      <c r="T7778" t="s">
        <v>47183</v>
      </c>
      <c r="U7778" t="s">
        <v>53941</v>
      </c>
      <c r="W7778" t="s">
        <v>43832</v>
      </c>
      <c r="X7778" t="s">
        <v>45104</v>
      </c>
    </row>
    <row r="7779" spans="1:24">
      <c r="A7779">
        <f>HYPERLINK("https://www.philgeps.gov.ph/GEPSNONPILOT/Tender/SplashBidNoticeAbstractUI.aspx?menuIndex=3&amp;refID=7037328&amp;Result=3","7037328")</f>
        <v>0</v>
      </c>
      <c r="B7779" t="s">
        <v>1079</v>
      </c>
      <c r="C7779" t="s">
        <v>10618</v>
      </c>
      <c r="D7779" t="s">
        <v>18060</v>
      </c>
      <c r="E7779" t="s">
        <v>24939</v>
      </c>
      <c r="F7779" t="s">
        <v>31574</v>
      </c>
      <c r="G7779" t="s">
        <v>31581</v>
      </c>
      <c r="H7779" t="s">
        <v>31590</v>
      </c>
      <c r="I7779" t="s">
        <v>31599</v>
      </c>
      <c r="J7779" t="s">
        <v>36670</v>
      </c>
      <c r="K7779" t="s">
        <v>41190</v>
      </c>
      <c r="M7779" t="s">
        <v>43959</v>
      </c>
      <c r="N7779" t="s">
        <v>45095</v>
      </c>
      <c r="O7779" t="s">
        <v>45096</v>
      </c>
      <c r="P7779">
        <v>0</v>
      </c>
      <c r="Q7779">
        <v>1</v>
      </c>
      <c r="R7779" t="s">
        <v>45103</v>
      </c>
      <c r="S7779" t="s">
        <v>45270</v>
      </c>
      <c r="T7779" t="s">
        <v>47158</v>
      </c>
      <c r="U7779" t="s">
        <v>53942</v>
      </c>
      <c r="V7779" t="s">
        <v>60663</v>
      </c>
      <c r="W7779" t="s">
        <v>43959</v>
      </c>
      <c r="X7779" t="s">
        <v>45104</v>
      </c>
    </row>
    <row r="7780" spans="1:24">
      <c r="A7780">
        <f>HYPERLINK("https://www.philgeps.gov.ph/GEPSNONPILOT/Tender/SplashBidNoticeAbstractUI.aspx?menuIndex=3&amp;refID=7037336&amp;Result=3","7037336")</f>
        <v>0</v>
      </c>
      <c r="B7780" t="s">
        <v>2157</v>
      </c>
      <c r="C7780" t="s">
        <v>10619</v>
      </c>
      <c r="D7780" t="s">
        <v>18037</v>
      </c>
      <c r="E7780" t="s">
        <v>10619</v>
      </c>
      <c r="F7780" t="s">
        <v>31574</v>
      </c>
      <c r="G7780" t="s">
        <v>31582</v>
      </c>
      <c r="H7780" t="s">
        <v>31590</v>
      </c>
      <c r="I7780" t="s">
        <v>14034</v>
      </c>
      <c r="J7780" t="s">
        <v>36671</v>
      </c>
      <c r="K7780" t="s">
        <v>41192</v>
      </c>
      <c r="M7780" t="s">
        <v>43840</v>
      </c>
      <c r="N7780" t="s">
        <v>45095</v>
      </c>
      <c r="O7780" t="s">
        <v>45096</v>
      </c>
      <c r="P7780">
        <v>0</v>
      </c>
      <c r="Q7780">
        <v>3</v>
      </c>
      <c r="R7780" t="s">
        <v>45103</v>
      </c>
      <c r="S7780" t="s">
        <v>45270</v>
      </c>
      <c r="T7780" t="s">
        <v>46943</v>
      </c>
      <c r="U7780" t="s">
        <v>53943</v>
      </c>
      <c r="V7780" t="s">
        <v>60131</v>
      </c>
      <c r="W7780" t="s">
        <v>43840</v>
      </c>
      <c r="X7780" t="s">
        <v>45104</v>
      </c>
    </row>
    <row r="7781" spans="1:24">
      <c r="A7781">
        <f>HYPERLINK("https://www.philgeps.gov.ph/GEPSNONPILOT/Tender/SplashBidNoticeAbstractUI.aspx?menuIndex=3&amp;refID=7037330&amp;Result=3","7037330")</f>
        <v>0</v>
      </c>
      <c r="B7781" t="s">
        <v>1513</v>
      </c>
      <c r="C7781" t="s">
        <v>10620</v>
      </c>
      <c r="D7781" t="s">
        <v>18022</v>
      </c>
      <c r="E7781" t="s">
        <v>24940</v>
      </c>
      <c r="F7781" t="s">
        <v>31574</v>
      </c>
      <c r="G7781" t="s">
        <v>31584</v>
      </c>
      <c r="H7781" t="s">
        <v>31590</v>
      </c>
      <c r="I7781" t="s">
        <v>4327</v>
      </c>
      <c r="J7781" t="s">
        <v>36672</v>
      </c>
      <c r="K7781" t="s">
        <v>41193</v>
      </c>
      <c r="M7781" t="s">
        <v>43174</v>
      </c>
      <c r="N7781" t="s">
        <v>45095</v>
      </c>
      <c r="O7781" t="s">
        <v>45096</v>
      </c>
      <c r="P7781">
        <v>0</v>
      </c>
      <c r="Q7781">
        <v>6</v>
      </c>
      <c r="R7781" t="s">
        <v>45103</v>
      </c>
      <c r="S7781" t="s">
        <v>45270</v>
      </c>
      <c r="T7781" t="s">
        <v>47178</v>
      </c>
      <c r="U7781" t="s">
        <v>53944</v>
      </c>
      <c r="V7781" t="s">
        <v>60669</v>
      </c>
      <c r="W7781" t="s">
        <v>43174</v>
      </c>
      <c r="X7781" t="s">
        <v>45104</v>
      </c>
    </row>
    <row r="7782" spans="1:24">
      <c r="A7782">
        <f>HYPERLINK("https://www.philgeps.gov.ph/GEPSNONPILOT/Tender/SplashBidNoticeAbstractUI.aspx?menuIndex=3&amp;refID=7037379&amp;Result=3","7037379")</f>
        <v>0</v>
      </c>
      <c r="B7782" t="s">
        <v>1524</v>
      </c>
      <c r="C7782" t="s">
        <v>10621</v>
      </c>
      <c r="D7782" t="s">
        <v>18083</v>
      </c>
      <c r="E7782" t="s">
        <v>24941</v>
      </c>
      <c r="F7782" t="s">
        <v>31574</v>
      </c>
      <c r="G7782" t="s">
        <v>31582</v>
      </c>
      <c r="H7782" t="s">
        <v>31591</v>
      </c>
      <c r="I7782" t="s">
        <v>8822</v>
      </c>
      <c r="J7782" t="s">
        <v>36673</v>
      </c>
      <c r="K7782" t="s">
        <v>41268</v>
      </c>
      <c r="M7782" t="s">
        <v>43115</v>
      </c>
      <c r="N7782" t="s">
        <v>45095</v>
      </c>
      <c r="O7782" t="s">
        <v>45096</v>
      </c>
      <c r="P7782">
        <v>0</v>
      </c>
      <c r="Q7782">
        <v>0</v>
      </c>
      <c r="R7782" t="s">
        <v>45103</v>
      </c>
      <c r="S7782" t="s">
        <v>45270</v>
      </c>
      <c r="T7782" t="s">
        <v>47000</v>
      </c>
      <c r="U7782" t="s">
        <v>53945</v>
      </c>
      <c r="V7782" t="s">
        <v>60670</v>
      </c>
      <c r="W7782" t="s">
        <v>43115</v>
      </c>
      <c r="X7782" t="s">
        <v>45104</v>
      </c>
    </row>
    <row r="7783" spans="1:24">
      <c r="A7783">
        <f>HYPERLINK("https://www.philgeps.gov.ph/GEPSNONPILOT/Tender/SplashBidNoticeAbstractUI.aspx?menuIndex=3&amp;refID=7037377&amp;Result=3","7037377")</f>
        <v>0</v>
      </c>
      <c r="B7783" t="s">
        <v>2266</v>
      </c>
      <c r="C7783" t="s">
        <v>10622</v>
      </c>
      <c r="D7783" t="s">
        <v>18052</v>
      </c>
      <c r="E7783" t="s">
        <v>24942</v>
      </c>
      <c r="F7783" t="s">
        <v>31574</v>
      </c>
      <c r="G7783" t="s">
        <v>31585</v>
      </c>
      <c r="H7783" t="s">
        <v>31590</v>
      </c>
      <c r="I7783" t="s">
        <v>31595</v>
      </c>
      <c r="J7783" t="s">
        <v>31821</v>
      </c>
      <c r="K7783" t="s">
        <v>41196</v>
      </c>
      <c r="M7783" t="s">
        <v>43966</v>
      </c>
      <c r="N7783" t="s">
        <v>45095</v>
      </c>
      <c r="O7783" t="s">
        <v>45096</v>
      </c>
      <c r="P7783">
        <v>0</v>
      </c>
      <c r="Q7783">
        <v>3</v>
      </c>
      <c r="R7783" t="s">
        <v>45103</v>
      </c>
      <c r="S7783" t="s">
        <v>45270</v>
      </c>
      <c r="T7783" t="s">
        <v>47171</v>
      </c>
      <c r="U7783" t="s">
        <v>53946</v>
      </c>
      <c r="V7783" t="s">
        <v>60671</v>
      </c>
      <c r="W7783" t="s">
        <v>43966</v>
      </c>
      <c r="X7783" t="s">
        <v>45104</v>
      </c>
    </row>
    <row r="7784" spans="1:24">
      <c r="A7784">
        <f>HYPERLINK("https://www.philgeps.gov.ph/GEPSNONPILOT/Tender/SplashBidNoticeAbstractUI.aspx?menuIndex=3&amp;refID=7037348&amp;Result=3","7037348")</f>
        <v>0</v>
      </c>
      <c r="B7784" t="s">
        <v>2157</v>
      </c>
      <c r="C7784" t="s">
        <v>10623</v>
      </c>
      <c r="D7784" t="s">
        <v>18037</v>
      </c>
      <c r="E7784" t="s">
        <v>10623</v>
      </c>
      <c r="F7784" t="s">
        <v>31574</v>
      </c>
      <c r="G7784" t="s">
        <v>31582</v>
      </c>
      <c r="H7784" t="s">
        <v>31590</v>
      </c>
      <c r="I7784" t="s">
        <v>14034</v>
      </c>
      <c r="J7784" t="s">
        <v>33513</v>
      </c>
      <c r="K7784" t="s">
        <v>41192</v>
      </c>
      <c r="M7784" t="s">
        <v>43840</v>
      </c>
      <c r="N7784" t="s">
        <v>45095</v>
      </c>
      <c r="O7784" t="s">
        <v>45096</v>
      </c>
      <c r="P7784">
        <v>0</v>
      </c>
      <c r="Q7784">
        <v>3</v>
      </c>
      <c r="R7784" t="s">
        <v>45103</v>
      </c>
      <c r="S7784" t="s">
        <v>45270</v>
      </c>
      <c r="T7784" t="s">
        <v>46943</v>
      </c>
      <c r="U7784" t="s">
        <v>53943</v>
      </c>
      <c r="V7784" t="s">
        <v>60131</v>
      </c>
      <c r="W7784" t="s">
        <v>43840</v>
      </c>
      <c r="X7784" t="s">
        <v>45104</v>
      </c>
    </row>
    <row r="7785" spans="1:24">
      <c r="A7785">
        <f>HYPERLINK("https://www.philgeps.gov.ph/GEPSNONPILOT/Tender/SplashBidNoticeAbstractUI.aspx?menuIndex=3&amp;refID=7037367&amp;Result=3","7037367")</f>
        <v>0</v>
      </c>
      <c r="B7785" t="s">
        <v>1412</v>
      </c>
      <c r="C7785" t="s">
        <v>10624</v>
      </c>
      <c r="D7785" t="s">
        <v>18075</v>
      </c>
      <c r="E7785" t="s">
        <v>24943</v>
      </c>
      <c r="F7785" t="s">
        <v>31574</v>
      </c>
      <c r="G7785" t="s">
        <v>31582</v>
      </c>
      <c r="H7785" t="s">
        <v>31591</v>
      </c>
      <c r="I7785" t="s">
        <v>8822</v>
      </c>
      <c r="J7785" t="s">
        <v>32476</v>
      </c>
      <c r="K7785" t="s">
        <v>41184</v>
      </c>
      <c r="M7785" t="s">
        <v>42988</v>
      </c>
      <c r="N7785" t="s">
        <v>45095</v>
      </c>
      <c r="O7785" t="s">
        <v>45096</v>
      </c>
      <c r="P7785">
        <v>0</v>
      </c>
      <c r="Q7785">
        <v>0</v>
      </c>
      <c r="R7785" t="s">
        <v>45103</v>
      </c>
      <c r="S7785" t="s">
        <v>45270</v>
      </c>
      <c r="T7785" t="s">
        <v>47004</v>
      </c>
      <c r="U7785" t="s">
        <v>53947</v>
      </c>
      <c r="W7785" t="s">
        <v>42988</v>
      </c>
      <c r="X7785" t="s">
        <v>45104</v>
      </c>
    </row>
    <row r="7786" spans="1:24">
      <c r="A7786">
        <f>HYPERLINK("https://www.philgeps.gov.ph/GEPSNONPILOT/Tender/SplashBidNoticeAbstractUI.aspx?menuIndex=3&amp;refID=7037358&amp;Result=3","7037358")</f>
        <v>0</v>
      </c>
      <c r="B7786" t="s">
        <v>2262</v>
      </c>
      <c r="C7786" t="s">
        <v>10625</v>
      </c>
      <c r="D7786" t="s">
        <v>18090</v>
      </c>
      <c r="E7786" t="s">
        <v>22090</v>
      </c>
      <c r="F7786" t="s">
        <v>31574</v>
      </c>
      <c r="G7786" t="s">
        <v>31582</v>
      </c>
      <c r="H7786" t="s">
        <v>31591</v>
      </c>
      <c r="I7786" t="s">
        <v>8822</v>
      </c>
      <c r="J7786" t="s">
        <v>32049</v>
      </c>
      <c r="K7786" t="s">
        <v>41186</v>
      </c>
      <c r="M7786" t="s">
        <v>43962</v>
      </c>
      <c r="N7786" t="s">
        <v>45095</v>
      </c>
      <c r="O7786" t="s">
        <v>45096</v>
      </c>
      <c r="P7786">
        <v>0</v>
      </c>
      <c r="Q7786">
        <v>1</v>
      </c>
      <c r="R7786" t="s">
        <v>45103</v>
      </c>
      <c r="S7786" t="s">
        <v>45270</v>
      </c>
      <c r="T7786" t="s">
        <v>46992</v>
      </c>
      <c r="U7786" t="s">
        <v>53948</v>
      </c>
      <c r="W7786" t="s">
        <v>43962</v>
      </c>
      <c r="X7786" t="s">
        <v>45104</v>
      </c>
    </row>
    <row r="7787" spans="1:24">
      <c r="A7787">
        <f>HYPERLINK("https://www.philgeps.gov.ph/GEPSNONPILOT/Tender/SplashBidNoticeAbstractUI.aspx?menuIndex=3&amp;refID=7037378&amp;Result=3","7037378")</f>
        <v>0</v>
      </c>
      <c r="B7787" t="s">
        <v>1079</v>
      </c>
      <c r="C7787" t="s">
        <v>10626</v>
      </c>
      <c r="D7787" t="s">
        <v>18060</v>
      </c>
      <c r="E7787" t="s">
        <v>24944</v>
      </c>
      <c r="F7787" t="s">
        <v>31574</v>
      </c>
      <c r="G7787" t="s">
        <v>31581</v>
      </c>
      <c r="H7787" t="s">
        <v>31590</v>
      </c>
      <c r="I7787" t="s">
        <v>31599</v>
      </c>
      <c r="J7787" t="s">
        <v>36674</v>
      </c>
      <c r="K7787" t="s">
        <v>41184</v>
      </c>
      <c r="M7787" t="s">
        <v>43959</v>
      </c>
      <c r="N7787" t="s">
        <v>45095</v>
      </c>
      <c r="O7787" t="s">
        <v>45096</v>
      </c>
      <c r="P7787">
        <v>0</v>
      </c>
      <c r="Q7787">
        <v>1</v>
      </c>
      <c r="R7787" t="s">
        <v>45103</v>
      </c>
      <c r="S7787" t="s">
        <v>45270</v>
      </c>
      <c r="T7787" t="s">
        <v>47158</v>
      </c>
      <c r="U7787" t="s">
        <v>53949</v>
      </c>
      <c r="V7787" t="s">
        <v>60663</v>
      </c>
      <c r="W7787" t="s">
        <v>43959</v>
      </c>
      <c r="X7787" t="s">
        <v>45104</v>
      </c>
    </row>
    <row r="7788" spans="1:24">
      <c r="A7788">
        <f>HYPERLINK("https://www.philgeps.gov.ph/GEPSNONPILOT/Tender/SplashBidNoticeAbstractUI.aspx?menuIndex=3&amp;refID=7037368&amp;Result=3","7037368")</f>
        <v>0</v>
      </c>
      <c r="B7788" t="s">
        <v>1863</v>
      </c>
      <c r="C7788" t="s">
        <v>10627</v>
      </c>
      <c r="D7788" t="s">
        <v>18052</v>
      </c>
      <c r="E7788" t="s">
        <v>24945</v>
      </c>
      <c r="F7788" t="s">
        <v>31574</v>
      </c>
      <c r="G7788" t="s">
        <v>31582</v>
      </c>
      <c r="H7788" t="s">
        <v>31590</v>
      </c>
      <c r="I7788" t="s">
        <v>8258</v>
      </c>
      <c r="J7788" t="s">
        <v>36675</v>
      </c>
      <c r="K7788" t="s">
        <v>41196</v>
      </c>
      <c r="M7788" t="s">
        <v>43502</v>
      </c>
      <c r="N7788" t="s">
        <v>45095</v>
      </c>
      <c r="O7788" t="s">
        <v>45096</v>
      </c>
      <c r="P7788">
        <v>0</v>
      </c>
      <c r="Q7788">
        <v>1</v>
      </c>
      <c r="R7788" t="s">
        <v>45103</v>
      </c>
      <c r="S7788" t="s">
        <v>45270</v>
      </c>
      <c r="T7788" t="s">
        <v>46963</v>
      </c>
      <c r="U7788" t="s">
        <v>53950</v>
      </c>
      <c r="W7788" t="s">
        <v>43502</v>
      </c>
      <c r="X7788" t="s">
        <v>45104</v>
      </c>
    </row>
    <row r="7789" spans="1:24">
      <c r="A7789">
        <f>HYPERLINK("https://www.philgeps.gov.ph/GEPSNONPILOT/Tender/SplashBidNoticeAbstractUI.aspx?menuIndex=3&amp;refID=7037351&amp;Result=3","7037351")</f>
        <v>0</v>
      </c>
      <c r="B7789" t="s">
        <v>2148</v>
      </c>
      <c r="C7789" t="s">
        <v>10628</v>
      </c>
      <c r="D7789" t="s">
        <v>18092</v>
      </c>
      <c r="E7789" t="s">
        <v>24946</v>
      </c>
      <c r="F7789" t="s">
        <v>31574</v>
      </c>
      <c r="G7789" t="s">
        <v>31582</v>
      </c>
      <c r="H7789" t="s">
        <v>31591</v>
      </c>
      <c r="I7789" t="s">
        <v>8822</v>
      </c>
      <c r="J7789" t="s">
        <v>31821</v>
      </c>
      <c r="K7789" t="s">
        <v>41185</v>
      </c>
      <c r="M7789" t="s">
        <v>43830</v>
      </c>
      <c r="N7789" t="s">
        <v>45095</v>
      </c>
      <c r="O7789" t="s">
        <v>45096</v>
      </c>
      <c r="P7789">
        <v>0</v>
      </c>
      <c r="Q7789">
        <v>0</v>
      </c>
      <c r="R7789" t="s">
        <v>45103</v>
      </c>
      <c r="S7789" t="s">
        <v>45270</v>
      </c>
      <c r="T7789" t="s">
        <v>47166</v>
      </c>
      <c r="U7789" t="s">
        <v>53951</v>
      </c>
      <c r="W7789" t="s">
        <v>43830</v>
      </c>
      <c r="X7789" t="s">
        <v>45104</v>
      </c>
    </row>
    <row r="7790" spans="1:24">
      <c r="A7790">
        <f>HYPERLINK("https://www.philgeps.gov.ph/GEPSNONPILOT/Tender/SplashBidNoticeAbstractUI.aspx?menuIndex=3&amp;refID=7037363&amp;Result=3","7037363")</f>
        <v>0</v>
      </c>
      <c r="B7790" t="s">
        <v>1524</v>
      </c>
      <c r="C7790" t="s">
        <v>10629</v>
      </c>
      <c r="D7790" t="s">
        <v>18083</v>
      </c>
      <c r="E7790" t="s">
        <v>24947</v>
      </c>
      <c r="F7790" t="s">
        <v>31574</v>
      </c>
      <c r="G7790" t="s">
        <v>31582</v>
      </c>
      <c r="H7790" t="s">
        <v>31591</v>
      </c>
      <c r="I7790" t="s">
        <v>8822</v>
      </c>
      <c r="J7790" t="s">
        <v>36676</v>
      </c>
      <c r="K7790" t="s">
        <v>41268</v>
      </c>
      <c r="M7790" t="s">
        <v>43115</v>
      </c>
      <c r="N7790" t="s">
        <v>45095</v>
      </c>
      <c r="O7790" t="s">
        <v>45096</v>
      </c>
      <c r="P7790">
        <v>0</v>
      </c>
      <c r="Q7790">
        <v>0</v>
      </c>
      <c r="R7790" t="s">
        <v>45103</v>
      </c>
      <c r="S7790" t="s">
        <v>45270</v>
      </c>
      <c r="T7790" t="s">
        <v>47000</v>
      </c>
      <c r="U7790" t="s">
        <v>53952</v>
      </c>
      <c r="V7790" t="s">
        <v>60672</v>
      </c>
      <c r="W7790" t="s">
        <v>43115</v>
      </c>
      <c r="X7790" t="s">
        <v>45104</v>
      </c>
    </row>
    <row r="7791" spans="1:24">
      <c r="A7791">
        <f>HYPERLINK("https://www.philgeps.gov.ph/GEPSNONPILOT/Tender/SplashBidNoticeAbstractUI.aspx?menuIndex=3&amp;refID=7037349&amp;Result=3","7037349")</f>
        <v>0</v>
      </c>
      <c r="B7791" t="s">
        <v>1002</v>
      </c>
      <c r="C7791" t="s">
        <v>10630</v>
      </c>
      <c r="D7791" t="s">
        <v>18058</v>
      </c>
      <c r="E7791" t="s">
        <v>24948</v>
      </c>
      <c r="F7791" t="s">
        <v>31574</v>
      </c>
      <c r="G7791" t="s">
        <v>31582</v>
      </c>
      <c r="H7791" t="s">
        <v>31590</v>
      </c>
      <c r="I7791" t="s">
        <v>31614</v>
      </c>
      <c r="J7791" t="s">
        <v>31947</v>
      </c>
      <c r="K7791" t="s">
        <v>41289</v>
      </c>
      <c r="M7791" t="s">
        <v>42539</v>
      </c>
      <c r="N7791" t="s">
        <v>45095</v>
      </c>
      <c r="O7791" t="s">
        <v>45096</v>
      </c>
      <c r="P7791">
        <v>0</v>
      </c>
      <c r="Q7791">
        <v>0</v>
      </c>
      <c r="R7791" t="s">
        <v>45103</v>
      </c>
      <c r="S7791" t="s">
        <v>45270</v>
      </c>
      <c r="T7791" t="s">
        <v>46985</v>
      </c>
      <c r="U7791" t="s">
        <v>53953</v>
      </c>
      <c r="V7791" t="s">
        <v>60109</v>
      </c>
      <c r="W7791" t="s">
        <v>42539</v>
      </c>
      <c r="X7791" t="s">
        <v>45104</v>
      </c>
    </row>
    <row r="7792" spans="1:24">
      <c r="A7792">
        <f>HYPERLINK("https://www.philgeps.gov.ph/GEPSNONPILOT/Tender/SplashBidNoticeAbstractUI.aspx?menuIndex=3&amp;refID=7037353&amp;Result=3","7037353")</f>
        <v>0</v>
      </c>
      <c r="B7792" t="s">
        <v>1863</v>
      </c>
      <c r="C7792" t="s">
        <v>10631</v>
      </c>
      <c r="D7792" t="s">
        <v>18052</v>
      </c>
      <c r="E7792" t="s">
        <v>24949</v>
      </c>
      <c r="F7792" t="s">
        <v>31574</v>
      </c>
      <c r="G7792" t="s">
        <v>31582</v>
      </c>
      <c r="H7792" t="s">
        <v>31591</v>
      </c>
      <c r="I7792" t="s">
        <v>4046</v>
      </c>
      <c r="J7792" t="s">
        <v>36677</v>
      </c>
      <c r="K7792" t="s">
        <v>41196</v>
      </c>
      <c r="M7792" t="s">
        <v>43502</v>
      </c>
      <c r="N7792" t="s">
        <v>45095</v>
      </c>
      <c r="O7792" t="s">
        <v>45096</v>
      </c>
      <c r="P7792">
        <v>0</v>
      </c>
      <c r="Q7792">
        <v>0</v>
      </c>
      <c r="R7792" t="s">
        <v>45103</v>
      </c>
      <c r="S7792" t="s">
        <v>45270</v>
      </c>
      <c r="T7792" t="s">
        <v>46963</v>
      </c>
      <c r="U7792" t="s">
        <v>53954</v>
      </c>
      <c r="W7792" t="s">
        <v>43502</v>
      </c>
      <c r="X7792" t="s">
        <v>45104</v>
      </c>
    </row>
    <row r="7793" spans="1:24">
      <c r="A7793">
        <f>HYPERLINK("https://www.philgeps.gov.ph/GEPSNONPILOT/Tender/SplashBidNoticeAbstractUI.aspx?menuIndex=3&amp;refID=7037350&amp;Result=3","7037350")</f>
        <v>0</v>
      </c>
      <c r="B7793" t="s">
        <v>136</v>
      </c>
      <c r="C7793" t="s">
        <v>10632</v>
      </c>
      <c r="D7793" t="s">
        <v>18071</v>
      </c>
      <c r="E7793" t="s">
        <v>24950</v>
      </c>
      <c r="F7793" t="s">
        <v>31574</v>
      </c>
      <c r="G7793" t="s">
        <v>31582</v>
      </c>
      <c r="H7793" t="s">
        <v>31590</v>
      </c>
      <c r="I7793" t="s">
        <v>31615</v>
      </c>
      <c r="J7793" t="s">
        <v>36678</v>
      </c>
      <c r="K7793" t="s">
        <v>41193</v>
      </c>
      <c r="M7793" t="s">
        <v>41620</v>
      </c>
      <c r="N7793" t="s">
        <v>45095</v>
      </c>
      <c r="O7793" t="s">
        <v>45096</v>
      </c>
      <c r="P7793">
        <v>0</v>
      </c>
      <c r="Q7793">
        <v>2</v>
      </c>
      <c r="R7793" t="s">
        <v>45103</v>
      </c>
      <c r="S7793" t="s">
        <v>45270</v>
      </c>
      <c r="T7793" t="s">
        <v>47196</v>
      </c>
      <c r="U7793" t="s">
        <v>53955</v>
      </c>
      <c r="W7793" t="s">
        <v>41620</v>
      </c>
      <c r="X7793" t="s">
        <v>45104</v>
      </c>
    </row>
    <row r="7794" spans="1:24">
      <c r="A7794">
        <f>HYPERLINK("https://www.philgeps.gov.ph/GEPSNONPILOT/Tender/SplashBidNoticeAbstractUI.aspx?menuIndex=3&amp;refID=7037386&amp;Result=3","7037386")</f>
        <v>0</v>
      </c>
      <c r="B7794" t="s">
        <v>48</v>
      </c>
      <c r="C7794" t="s">
        <v>10633</v>
      </c>
      <c r="D7794" t="s">
        <v>18041</v>
      </c>
      <c r="E7794" t="s">
        <v>24951</v>
      </c>
      <c r="F7794" t="s">
        <v>31574</v>
      </c>
      <c r="G7794" t="s">
        <v>31582</v>
      </c>
      <c r="H7794" t="s">
        <v>31590</v>
      </c>
      <c r="I7794" t="s">
        <v>5717</v>
      </c>
      <c r="J7794" t="s">
        <v>36679</v>
      </c>
      <c r="K7794" t="s">
        <v>41186</v>
      </c>
      <c r="M7794" t="s">
        <v>43725</v>
      </c>
      <c r="N7794" t="s">
        <v>45095</v>
      </c>
      <c r="O7794" t="s">
        <v>45096</v>
      </c>
      <c r="P7794">
        <v>0</v>
      </c>
      <c r="Q7794">
        <v>6</v>
      </c>
      <c r="R7794" t="s">
        <v>45103</v>
      </c>
      <c r="S7794" t="s">
        <v>45270</v>
      </c>
      <c r="T7794" t="s">
        <v>47076</v>
      </c>
      <c r="U7794" t="s">
        <v>53956</v>
      </c>
      <c r="W7794" t="s">
        <v>43725</v>
      </c>
      <c r="X7794" t="s">
        <v>45104</v>
      </c>
    </row>
    <row r="7795" spans="1:24">
      <c r="A7795">
        <f>HYPERLINK("https://www.philgeps.gov.ph/GEPSNONPILOT/Tender/SplashBidNoticeAbstractUI.aspx?menuIndex=3&amp;refID=7037393&amp;Result=3","7037393")</f>
        <v>0</v>
      </c>
      <c r="B7795" t="s">
        <v>1513</v>
      </c>
      <c r="C7795" t="s">
        <v>10634</v>
      </c>
      <c r="D7795" t="s">
        <v>18022</v>
      </c>
      <c r="E7795" t="s">
        <v>24952</v>
      </c>
      <c r="F7795" t="s">
        <v>31574</v>
      </c>
      <c r="G7795" t="s">
        <v>31584</v>
      </c>
      <c r="H7795" t="s">
        <v>31590</v>
      </c>
      <c r="I7795" t="s">
        <v>4327</v>
      </c>
      <c r="J7795" t="s">
        <v>36680</v>
      </c>
      <c r="K7795" t="s">
        <v>41193</v>
      </c>
      <c r="M7795" t="s">
        <v>43174</v>
      </c>
      <c r="N7795" t="s">
        <v>45095</v>
      </c>
      <c r="O7795" t="s">
        <v>45096</v>
      </c>
      <c r="P7795">
        <v>0</v>
      </c>
      <c r="Q7795">
        <v>15</v>
      </c>
      <c r="R7795" t="s">
        <v>45103</v>
      </c>
      <c r="S7795" t="s">
        <v>45270</v>
      </c>
      <c r="T7795" t="s">
        <v>47178</v>
      </c>
      <c r="U7795" t="s">
        <v>53957</v>
      </c>
      <c r="V7795" t="s">
        <v>60669</v>
      </c>
      <c r="W7795" t="s">
        <v>43174</v>
      </c>
      <c r="X7795" t="s">
        <v>45104</v>
      </c>
    </row>
    <row r="7796" spans="1:24">
      <c r="A7796">
        <f>HYPERLINK("https://www.philgeps.gov.ph/GEPSNONPILOT/Tender/SplashBidNoticeAbstractUI.aspx?menuIndex=3&amp;refID=7037384&amp;Result=3","7037384")</f>
        <v>0</v>
      </c>
      <c r="B7796" t="s">
        <v>401</v>
      </c>
      <c r="C7796" t="s">
        <v>10635</v>
      </c>
      <c r="D7796" t="s">
        <v>18052</v>
      </c>
      <c r="E7796" t="s">
        <v>24953</v>
      </c>
      <c r="F7796" t="s">
        <v>31574</v>
      </c>
      <c r="G7796" t="s">
        <v>31581</v>
      </c>
      <c r="H7796" t="s">
        <v>31590</v>
      </c>
      <c r="I7796" t="s">
        <v>31608</v>
      </c>
      <c r="J7796" t="s">
        <v>31727</v>
      </c>
      <c r="K7796" t="s">
        <v>41196</v>
      </c>
      <c r="M7796" t="s">
        <v>41892</v>
      </c>
      <c r="N7796" t="s">
        <v>45095</v>
      </c>
      <c r="O7796" t="s">
        <v>45096</v>
      </c>
      <c r="P7796">
        <v>0</v>
      </c>
      <c r="Q7796">
        <v>0</v>
      </c>
      <c r="R7796" t="s">
        <v>45103</v>
      </c>
      <c r="S7796" t="s">
        <v>45270</v>
      </c>
      <c r="T7796" t="s">
        <v>47159</v>
      </c>
      <c r="U7796" t="s">
        <v>53869</v>
      </c>
      <c r="W7796" t="s">
        <v>41892</v>
      </c>
      <c r="X7796" t="s">
        <v>45104</v>
      </c>
    </row>
    <row r="7797" spans="1:24">
      <c r="A7797">
        <f>HYPERLINK("https://www.philgeps.gov.ph/GEPSNONPILOT/Tender/SplashBidNoticeAbstractUI.aspx?menuIndex=3&amp;refID=7037380&amp;Result=3","7037380")</f>
        <v>0</v>
      </c>
      <c r="B7797" t="s">
        <v>2148</v>
      </c>
      <c r="C7797" t="s">
        <v>10636</v>
      </c>
      <c r="D7797" t="s">
        <v>18092</v>
      </c>
      <c r="E7797" t="s">
        <v>24954</v>
      </c>
      <c r="F7797" t="s">
        <v>31574</v>
      </c>
      <c r="G7797" t="s">
        <v>31582</v>
      </c>
      <c r="H7797" t="s">
        <v>31591</v>
      </c>
      <c r="I7797" t="s">
        <v>8822</v>
      </c>
      <c r="J7797" t="s">
        <v>36681</v>
      </c>
      <c r="K7797" t="s">
        <v>41195</v>
      </c>
      <c r="M7797" t="s">
        <v>43830</v>
      </c>
      <c r="N7797" t="s">
        <v>45095</v>
      </c>
      <c r="O7797" t="s">
        <v>45096</v>
      </c>
      <c r="P7797">
        <v>0</v>
      </c>
      <c r="Q7797">
        <v>0</v>
      </c>
      <c r="R7797" t="s">
        <v>45103</v>
      </c>
      <c r="S7797" t="s">
        <v>45270</v>
      </c>
      <c r="T7797" t="s">
        <v>47166</v>
      </c>
      <c r="U7797" t="s">
        <v>53958</v>
      </c>
      <c r="W7797" t="s">
        <v>43830</v>
      </c>
      <c r="X7797" t="s">
        <v>45104</v>
      </c>
    </row>
    <row r="7798" spans="1:24">
      <c r="A7798">
        <f>HYPERLINK("https://www.philgeps.gov.ph/GEPSNONPILOT/Tender/SplashBidNoticeAbstractUI.aspx?menuIndex=3&amp;refID=7037396&amp;Result=3","7037396")</f>
        <v>0</v>
      </c>
      <c r="B7798" t="s">
        <v>2262</v>
      </c>
      <c r="C7798" t="s">
        <v>10637</v>
      </c>
      <c r="D7798" t="s">
        <v>18090</v>
      </c>
      <c r="E7798" t="s">
        <v>22090</v>
      </c>
      <c r="F7798" t="s">
        <v>31574</v>
      </c>
      <c r="G7798" t="s">
        <v>31582</v>
      </c>
      <c r="H7798" t="s">
        <v>31591</v>
      </c>
      <c r="I7798" t="s">
        <v>8822</v>
      </c>
      <c r="J7798" t="s">
        <v>33625</v>
      </c>
      <c r="K7798" t="s">
        <v>41191</v>
      </c>
      <c r="M7798" t="s">
        <v>43962</v>
      </c>
      <c r="N7798" t="s">
        <v>45095</v>
      </c>
      <c r="O7798" t="s">
        <v>45096</v>
      </c>
      <c r="P7798">
        <v>0</v>
      </c>
      <c r="Q7798">
        <v>0</v>
      </c>
      <c r="R7798" t="s">
        <v>45103</v>
      </c>
      <c r="S7798" t="s">
        <v>45270</v>
      </c>
      <c r="T7798" t="s">
        <v>46992</v>
      </c>
      <c r="U7798" t="s">
        <v>53959</v>
      </c>
      <c r="W7798" t="s">
        <v>43962</v>
      </c>
      <c r="X7798" t="s">
        <v>45104</v>
      </c>
    </row>
    <row r="7799" spans="1:24">
      <c r="A7799">
        <f>HYPERLINK("https://www.philgeps.gov.ph/GEPSNONPILOT/Tender/SplashBidNoticeAbstractUI.aspx?menuIndex=3&amp;refID=7037383&amp;Result=3","7037383")</f>
        <v>0</v>
      </c>
      <c r="B7799" t="s">
        <v>2156</v>
      </c>
      <c r="C7799" t="s">
        <v>10638</v>
      </c>
      <c r="D7799" t="s">
        <v>18050</v>
      </c>
      <c r="E7799" t="s">
        <v>24955</v>
      </c>
      <c r="F7799" t="s">
        <v>31574</v>
      </c>
      <c r="G7799" t="s">
        <v>31582</v>
      </c>
      <c r="H7799" t="s">
        <v>31591</v>
      </c>
      <c r="I7799" t="s">
        <v>8822</v>
      </c>
      <c r="J7799" t="s">
        <v>36682</v>
      </c>
      <c r="K7799" t="s">
        <v>41310</v>
      </c>
      <c r="M7799" t="s">
        <v>43839</v>
      </c>
      <c r="N7799" t="s">
        <v>45095</v>
      </c>
      <c r="O7799" t="s">
        <v>45096</v>
      </c>
      <c r="P7799">
        <v>0</v>
      </c>
      <c r="Q7799">
        <v>0</v>
      </c>
      <c r="R7799" t="s">
        <v>45103</v>
      </c>
      <c r="S7799" t="s">
        <v>45270</v>
      </c>
      <c r="T7799" t="s">
        <v>47330</v>
      </c>
      <c r="U7799" t="s">
        <v>53960</v>
      </c>
      <c r="W7799" t="s">
        <v>43839</v>
      </c>
      <c r="X7799" t="s">
        <v>45104</v>
      </c>
    </row>
    <row r="7800" spans="1:24">
      <c r="A7800">
        <f>HYPERLINK("https://www.philgeps.gov.ph/GEPSNONPILOT/Tender/SplashBidNoticeAbstractUI.aspx?menuIndex=3&amp;refID=7037413&amp;Result=3","7037413")</f>
        <v>0</v>
      </c>
      <c r="B7800" t="s">
        <v>273</v>
      </c>
      <c r="C7800" t="s">
        <v>8176</v>
      </c>
      <c r="D7800" t="s">
        <v>18046</v>
      </c>
      <c r="E7800" t="s">
        <v>24956</v>
      </c>
      <c r="F7800" t="s">
        <v>31574</v>
      </c>
      <c r="G7800" t="s">
        <v>31582</v>
      </c>
      <c r="H7800" t="s">
        <v>31590</v>
      </c>
      <c r="I7800" t="s">
        <v>4327</v>
      </c>
      <c r="J7800" t="s">
        <v>36683</v>
      </c>
      <c r="K7800" t="s">
        <v>41190</v>
      </c>
      <c r="M7800" t="s">
        <v>41759</v>
      </c>
      <c r="N7800" t="s">
        <v>45095</v>
      </c>
      <c r="O7800" t="s">
        <v>45096</v>
      </c>
      <c r="P7800">
        <v>0</v>
      </c>
      <c r="Q7800">
        <v>0</v>
      </c>
      <c r="R7800" t="s">
        <v>45103</v>
      </c>
      <c r="S7800" t="s">
        <v>45270</v>
      </c>
      <c r="T7800" t="s">
        <v>47301</v>
      </c>
      <c r="U7800" t="s">
        <v>47993</v>
      </c>
      <c r="W7800" t="s">
        <v>41759</v>
      </c>
      <c r="X7800" t="s">
        <v>45104</v>
      </c>
    </row>
    <row r="7801" spans="1:24">
      <c r="A7801">
        <f>HYPERLINK("https://www.philgeps.gov.ph/GEPSNONPILOT/Tender/SplashBidNoticeAbstractUI.aspx?menuIndex=3&amp;refID=7037387&amp;Result=3","7037387")</f>
        <v>0</v>
      </c>
      <c r="B7801" t="s">
        <v>1924</v>
      </c>
      <c r="C7801" t="s">
        <v>10639</v>
      </c>
      <c r="D7801" t="s">
        <v>18058</v>
      </c>
      <c r="E7801" t="s">
        <v>24957</v>
      </c>
      <c r="F7801" t="s">
        <v>31574</v>
      </c>
      <c r="G7801" t="s">
        <v>31581</v>
      </c>
      <c r="H7801" t="s">
        <v>31590</v>
      </c>
      <c r="I7801" t="s">
        <v>6800</v>
      </c>
      <c r="J7801" t="s">
        <v>32258</v>
      </c>
      <c r="K7801" t="s">
        <v>41193</v>
      </c>
      <c r="M7801" t="s">
        <v>43576</v>
      </c>
      <c r="N7801" t="s">
        <v>45095</v>
      </c>
      <c r="O7801" t="s">
        <v>45096</v>
      </c>
      <c r="P7801">
        <v>0</v>
      </c>
      <c r="Q7801">
        <v>0</v>
      </c>
      <c r="R7801" t="s">
        <v>45103</v>
      </c>
      <c r="S7801" t="s">
        <v>45270</v>
      </c>
      <c r="T7801" t="s">
        <v>47083</v>
      </c>
      <c r="U7801" t="s">
        <v>53961</v>
      </c>
      <c r="V7801" t="s">
        <v>60673</v>
      </c>
      <c r="W7801" t="s">
        <v>43576</v>
      </c>
      <c r="X7801" t="s">
        <v>45104</v>
      </c>
    </row>
    <row r="7802" spans="1:24">
      <c r="A7802">
        <f>HYPERLINK("https://www.philgeps.gov.ph/GEPSNONPILOT/Tender/SplashBidNoticeAbstractUI.aspx?menuIndex=3&amp;refID=7037391&amp;Result=3","7037391")</f>
        <v>0</v>
      </c>
      <c r="B7802" t="s">
        <v>2267</v>
      </c>
      <c r="C7802" t="s">
        <v>10640</v>
      </c>
      <c r="E7802" t="s">
        <v>24958</v>
      </c>
      <c r="F7802" t="s">
        <v>31574</v>
      </c>
      <c r="G7802" t="s">
        <v>31582</v>
      </c>
      <c r="H7802" t="s">
        <v>31590</v>
      </c>
      <c r="I7802" t="s">
        <v>31608</v>
      </c>
      <c r="J7802" t="s">
        <v>32013</v>
      </c>
      <c r="K7802" t="s">
        <v>41184</v>
      </c>
      <c r="M7802" t="s">
        <v>43967</v>
      </c>
      <c r="N7802" t="s">
        <v>45095</v>
      </c>
      <c r="O7802" t="s">
        <v>45096</v>
      </c>
      <c r="P7802">
        <v>0</v>
      </c>
      <c r="Q7802">
        <v>1</v>
      </c>
      <c r="R7802" t="s">
        <v>45103</v>
      </c>
      <c r="S7802" t="s">
        <v>45270</v>
      </c>
      <c r="T7802" t="s">
        <v>47050</v>
      </c>
      <c r="U7802" t="s">
        <v>53962</v>
      </c>
      <c r="W7802" t="s">
        <v>43967</v>
      </c>
      <c r="X7802" t="s">
        <v>45104</v>
      </c>
    </row>
    <row r="7803" spans="1:24">
      <c r="A7803">
        <f>HYPERLINK("https://www.philgeps.gov.ph/GEPSNONPILOT/Tender/SplashBidNoticeAbstractUI.aspx?menuIndex=3&amp;refID=7037418&amp;Result=3","7037418")</f>
        <v>0</v>
      </c>
      <c r="B7803" t="s">
        <v>1492</v>
      </c>
      <c r="C7803" t="s">
        <v>10641</v>
      </c>
      <c r="D7803" t="s">
        <v>18072</v>
      </c>
      <c r="E7803" t="s">
        <v>24959</v>
      </c>
      <c r="F7803" t="s">
        <v>31574</v>
      </c>
      <c r="G7803" t="s">
        <v>31582</v>
      </c>
      <c r="H7803" t="s">
        <v>31590</v>
      </c>
      <c r="I7803" t="s">
        <v>31602</v>
      </c>
      <c r="J7803" t="s">
        <v>36684</v>
      </c>
      <c r="K7803" t="s">
        <v>41184</v>
      </c>
      <c r="M7803" t="s">
        <v>43077</v>
      </c>
      <c r="N7803" t="s">
        <v>45095</v>
      </c>
      <c r="O7803" t="s">
        <v>45096</v>
      </c>
      <c r="P7803">
        <v>0</v>
      </c>
      <c r="Q7803">
        <v>0</v>
      </c>
      <c r="R7803" t="s">
        <v>45103</v>
      </c>
      <c r="S7803" t="s">
        <v>45270</v>
      </c>
      <c r="T7803" t="s">
        <v>47301</v>
      </c>
      <c r="U7803" t="s">
        <v>53963</v>
      </c>
      <c r="W7803" t="s">
        <v>43077</v>
      </c>
      <c r="X7803" t="s">
        <v>45104</v>
      </c>
    </row>
    <row r="7804" spans="1:24">
      <c r="A7804">
        <f>HYPERLINK("https://www.philgeps.gov.ph/GEPSNONPILOT/Tender/SplashBidNoticeAbstractUI.aspx?menuIndex=3&amp;refID=7037415&amp;Result=3","7037415")</f>
        <v>0</v>
      </c>
      <c r="B7804" t="s">
        <v>1863</v>
      </c>
      <c r="C7804" t="s">
        <v>10642</v>
      </c>
      <c r="D7804" t="s">
        <v>18052</v>
      </c>
      <c r="E7804" t="s">
        <v>24960</v>
      </c>
      <c r="F7804" t="s">
        <v>31574</v>
      </c>
      <c r="G7804" t="s">
        <v>31582</v>
      </c>
      <c r="H7804" t="s">
        <v>31590</v>
      </c>
      <c r="I7804" t="s">
        <v>8258</v>
      </c>
      <c r="J7804" t="s">
        <v>34445</v>
      </c>
      <c r="K7804" t="s">
        <v>41196</v>
      </c>
      <c r="M7804" t="s">
        <v>43502</v>
      </c>
      <c r="N7804" t="s">
        <v>45095</v>
      </c>
      <c r="O7804" t="s">
        <v>45096</v>
      </c>
      <c r="P7804">
        <v>0</v>
      </c>
      <c r="Q7804">
        <v>1</v>
      </c>
      <c r="R7804" t="s">
        <v>45103</v>
      </c>
      <c r="S7804" t="s">
        <v>45270</v>
      </c>
      <c r="T7804" t="s">
        <v>46963</v>
      </c>
      <c r="U7804" t="s">
        <v>53964</v>
      </c>
      <c r="W7804" t="s">
        <v>43502</v>
      </c>
      <c r="X7804" t="s">
        <v>45104</v>
      </c>
    </row>
    <row r="7805" spans="1:24">
      <c r="A7805">
        <f>HYPERLINK("https://www.philgeps.gov.ph/GEPSNONPILOT/Tender/SplashBidNoticeAbstractUI.aspx?menuIndex=3&amp;refID=7037408&amp;Result=3","7037408")</f>
        <v>0</v>
      </c>
      <c r="B7805" t="s">
        <v>2208</v>
      </c>
      <c r="C7805" t="s">
        <v>10643</v>
      </c>
      <c r="D7805" t="s">
        <v>18056</v>
      </c>
      <c r="E7805" t="s">
        <v>24961</v>
      </c>
      <c r="F7805" t="s">
        <v>31574</v>
      </c>
      <c r="G7805" t="s">
        <v>31582</v>
      </c>
      <c r="H7805" t="s">
        <v>31591</v>
      </c>
      <c r="I7805" t="s">
        <v>8822</v>
      </c>
      <c r="J7805" t="s">
        <v>36685</v>
      </c>
      <c r="K7805" t="s">
        <v>41203</v>
      </c>
      <c r="M7805" t="s">
        <v>43897</v>
      </c>
      <c r="N7805" t="s">
        <v>45095</v>
      </c>
      <c r="O7805" t="s">
        <v>45096</v>
      </c>
      <c r="P7805">
        <v>0</v>
      </c>
      <c r="Q7805">
        <v>16</v>
      </c>
      <c r="R7805" t="s">
        <v>45103</v>
      </c>
      <c r="S7805" t="s">
        <v>45270</v>
      </c>
      <c r="T7805" t="s">
        <v>47010</v>
      </c>
      <c r="U7805" t="s">
        <v>53965</v>
      </c>
      <c r="W7805" t="s">
        <v>43897</v>
      </c>
      <c r="X7805" t="s">
        <v>45104</v>
      </c>
    </row>
    <row r="7806" spans="1:24">
      <c r="A7806">
        <f>HYPERLINK("https://www.philgeps.gov.ph/GEPSNONPILOT/Tender/SplashBidNoticeAbstractUI.aspx?menuIndex=3&amp;refID=7037416&amp;Result=3","7037416")</f>
        <v>0</v>
      </c>
      <c r="B7806" t="s">
        <v>1589</v>
      </c>
      <c r="C7806" t="s">
        <v>10644</v>
      </c>
      <c r="D7806" t="s">
        <v>18022</v>
      </c>
      <c r="E7806" t="s">
        <v>24962</v>
      </c>
      <c r="F7806" t="s">
        <v>31574</v>
      </c>
      <c r="G7806" t="s">
        <v>31582</v>
      </c>
      <c r="H7806" t="s">
        <v>31590</v>
      </c>
      <c r="I7806" t="s">
        <v>3487</v>
      </c>
      <c r="J7806" t="s">
        <v>36686</v>
      </c>
      <c r="K7806" t="s">
        <v>41196</v>
      </c>
      <c r="M7806" t="s">
        <v>43910</v>
      </c>
      <c r="N7806" t="s">
        <v>45095</v>
      </c>
      <c r="O7806" t="s">
        <v>45096</v>
      </c>
      <c r="P7806">
        <v>0</v>
      </c>
      <c r="Q7806">
        <v>0</v>
      </c>
      <c r="R7806" t="s">
        <v>45103</v>
      </c>
      <c r="S7806" t="s">
        <v>45270</v>
      </c>
      <c r="T7806" t="s">
        <v>46985</v>
      </c>
      <c r="U7806" t="s">
        <v>51488</v>
      </c>
      <c r="W7806" t="s">
        <v>43910</v>
      </c>
      <c r="X7806" t="s">
        <v>45104</v>
      </c>
    </row>
    <row r="7807" spans="1:24">
      <c r="A7807">
        <f>HYPERLINK("https://www.philgeps.gov.ph/GEPSNONPILOT/Tender/SplashBidNoticeAbstractUI.aspx?menuIndex=3&amp;refID=7037423&amp;Result=3","7037423")</f>
        <v>0</v>
      </c>
      <c r="B7807" t="s">
        <v>1300</v>
      </c>
      <c r="C7807" t="s">
        <v>10645</v>
      </c>
      <c r="D7807" t="s">
        <v>18066</v>
      </c>
      <c r="E7807" t="s">
        <v>20138</v>
      </c>
      <c r="F7807" t="s">
        <v>31574</v>
      </c>
      <c r="G7807" t="s">
        <v>31582</v>
      </c>
      <c r="H7807" t="s">
        <v>31591</v>
      </c>
      <c r="I7807" t="s">
        <v>8822</v>
      </c>
      <c r="J7807" t="s">
        <v>36687</v>
      </c>
      <c r="K7807" t="s">
        <v>41234</v>
      </c>
      <c r="M7807" t="s">
        <v>42870</v>
      </c>
      <c r="N7807" t="s">
        <v>45095</v>
      </c>
      <c r="O7807" t="s">
        <v>45096</v>
      </c>
      <c r="P7807">
        <v>0</v>
      </c>
      <c r="Q7807">
        <v>0</v>
      </c>
      <c r="R7807" t="s">
        <v>45103</v>
      </c>
      <c r="S7807" t="s">
        <v>45270</v>
      </c>
      <c r="T7807" t="s">
        <v>46965</v>
      </c>
      <c r="U7807" t="s">
        <v>53966</v>
      </c>
      <c r="W7807" t="s">
        <v>42870</v>
      </c>
      <c r="X7807" t="s">
        <v>45104</v>
      </c>
    </row>
    <row r="7808" spans="1:24">
      <c r="A7808">
        <f>HYPERLINK("https://www.philgeps.gov.ph/GEPSNONPILOT/Tender/SplashBidNoticeAbstractUI.aspx?menuIndex=3&amp;refID=7037403&amp;Result=3","7037403")</f>
        <v>0</v>
      </c>
      <c r="B7808" t="s">
        <v>994</v>
      </c>
      <c r="C7808" t="s">
        <v>10646</v>
      </c>
      <c r="D7808" t="s">
        <v>18048</v>
      </c>
      <c r="E7808" t="s">
        <v>18256</v>
      </c>
      <c r="F7808" t="s">
        <v>31574</v>
      </c>
      <c r="G7808" t="s">
        <v>31581</v>
      </c>
      <c r="H7808" t="s">
        <v>31590</v>
      </c>
      <c r="I7808" t="s">
        <v>4327</v>
      </c>
      <c r="J7808" t="s">
        <v>36688</v>
      </c>
      <c r="K7808" t="s">
        <v>41193</v>
      </c>
      <c r="L7808" t="s">
        <v>994</v>
      </c>
      <c r="M7808" t="s">
        <v>42530</v>
      </c>
      <c r="N7808" t="s">
        <v>45095</v>
      </c>
      <c r="O7808" t="s">
        <v>45096</v>
      </c>
      <c r="P7808">
        <v>0</v>
      </c>
      <c r="Q7808">
        <v>0</v>
      </c>
      <c r="R7808" t="s">
        <v>45103</v>
      </c>
      <c r="S7808" t="s">
        <v>45270</v>
      </c>
      <c r="T7808" t="s">
        <v>46949</v>
      </c>
      <c r="U7808" t="s">
        <v>53967</v>
      </c>
      <c r="V7808" t="s">
        <v>60107</v>
      </c>
      <c r="W7808" t="s">
        <v>42530</v>
      </c>
      <c r="X7808" t="s">
        <v>45104</v>
      </c>
    </row>
    <row r="7809" spans="1:24">
      <c r="A7809">
        <f>HYPERLINK("https://www.philgeps.gov.ph/GEPSNONPILOT/Tender/SplashBidNoticeAbstractUI.aspx?menuIndex=3&amp;refID=7037409&amp;Result=3","7037409")</f>
        <v>0</v>
      </c>
      <c r="B7809" t="s">
        <v>1002</v>
      </c>
      <c r="C7809" t="s">
        <v>4493</v>
      </c>
      <c r="D7809" t="s">
        <v>18058</v>
      </c>
      <c r="E7809" t="s">
        <v>24963</v>
      </c>
      <c r="F7809" t="s">
        <v>31574</v>
      </c>
      <c r="G7809" t="s">
        <v>31582</v>
      </c>
      <c r="H7809" t="s">
        <v>31590</v>
      </c>
      <c r="I7809" t="s">
        <v>4046</v>
      </c>
      <c r="J7809" t="s">
        <v>36689</v>
      </c>
      <c r="K7809" t="s">
        <v>41289</v>
      </c>
      <c r="M7809" t="s">
        <v>42539</v>
      </c>
      <c r="N7809" t="s">
        <v>45095</v>
      </c>
      <c r="O7809" t="s">
        <v>45096</v>
      </c>
      <c r="P7809">
        <v>0</v>
      </c>
      <c r="Q7809">
        <v>0</v>
      </c>
      <c r="R7809" t="s">
        <v>45103</v>
      </c>
      <c r="S7809" t="s">
        <v>45270</v>
      </c>
      <c r="T7809" t="s">
        <v>46985</v>
      </c>
      <c r="U7809" t="s">
        <v>53968</v>
      </c>
      <c r="V7809" t="s">
        <v>60109</v>
      </c>
      <c r="W7809" t="s">
        <v>42539</v>
      </c>
      <c r="X7809" t="s">
        <v>45104</v>
      </c>
    </row>
    <row r="7810" spans="1:24">
      <c r="A7810">
        <f>HYPERLINK("https://www.philgeps.gov.ph/GEPSNONPILOT/Tender/SplashBidNoticeAbstractUI.aspx?menuIndex=3&amp;refID=7037356&amp;Result=3","7037356")</f>
        <v>0</v>
      </c>
      <c r="B7810" t="s">
        <v>48</v>
      </c>
      <c r="C7810" t="s">
        <v>10647</v>
      </c>
      <c r="D7810" t="s">
        <v>18041</v>
      </c>
      <c r="E7810" t="s">
        <v>24964</v>
      </c>
      <c r="F7810" t="s">
        <v>31574</v>
      </c>
      <c r="G7810" t="s">
        <v>31582</v>
      </c>
      <c r="H7810" t="s">
        <v>31590</v>
      </c>
      <c r="I7810" t="s">
        <v>31595</v>
      </c>
      <c r="J7810" t="s">
        <v>35737</v>
      </c>
      <c r="K7810" t="s">
        <v>41186</v>
      </c>
      <c r="M7810" t="s">
        <v>43725</v>
      </c>
      <c r="N7810" t="s">
        <v>45095</v>
      </c>
      <c r="O7810" t="s">
        <v>45096</v>
      </c>
      <c r="P7810">
        <v>0</v>
      </c>
      <c r="Q7810">
        <v>4</v>
      </c>
      <c r="R7810" t="s">
        <v>45103</v>
      </c>
      <c r="S7810" t="s">
        <v>45270</v>
      </c>
      <c r="T7810" t="s">
        <v>47076</v>
      </c>
      <c r="U7810" t="s">
        <v>53969</v>
      </c>
      <c r="W7810" t="s">
        <v>43725</v>
      </c>
      <c r="X7810" t="s">
        <v>45104</v>
      </c>
    </row>
    <row r="7811" spans="1:24">
      <c r="A7811">
        <f>HYPERLINK("https://www.philgeps.gov.ph/GEPSNONPILOT/Tender/SplashBidNoticeAbstractUI.aspx?menuIndex=3&amp;refID=7037439&amp;Result=3","7037439")</f>
        <v>0</v>
      </c>
      <c r="B7811" t="s">
        <v>1008</v>
      </c>
      <c r="C7811" t="s">
        <v>10648</v>
      </c>
      <c r="D7811" t="s">
        <v>18035</v>
      </c>
      <c r="E7811" t="s">
        <v>24965</v>
      </c>
      <c r="F7811" t="s">
        <v>31574</v>
      </c>
      <c r="G7811" t="s">
        <v>31584</v>
      </c>
      <c r="H7811" t="s">
        <v>31590</v>
      </c>
      <c r="I7811" t="s">
        <v>31644</v>
      </c>
      <c r="J7811" t="s">
        <v>35424</v>
      </c>
      <c r="K7811" t="s">
        <v>41186</v>
      </c>
      <c r="M7811" t="s">
        <v>42548</v>
      </c>
      <c r="N7811" t="s">
        <v>45095</v>
      </c>
      <c r="O7811" t="s">
        <v>45096</v>
      </c>
      <c r="P7811">
        <v>0</v>
      </c>
      <c r="Q7811">
        <v>7</v>
      </c>
      <c r="R7811" t="s">
        <v>45103</v>
      </c>
      <c r="S7811" t="s">
        <v>45270</v>
      </c>
      <c r="T7811" t="s">
        <v>46957</v>
      </c>
      <c r="U7811" t="s">
        <v>53970</v>
      </c>
      <c r="V7811" t="s">
        <v>60674</v>
      </c>
      <c r="W7811" t="s">
        <v>42548</v>
      </c>
      <c r="X7811" t="s">
        <v>45104</v>
      </c>
    </row>
    <row r="7812" spans="1:24">
      <c r="A7812">
        <f>HYPERLINK("https://www.philgeps.gov.ph/GEPSNONPILOT/Tender/SplashBidNoticeAbstractUI.aspx?menuIndex=3&amp;refID=7037436&amp;Result=3","7037436")</f>
        <v>0</v>
      </c>
      <c r="B7812" t="s">
        <v>1863</v>
      </c>
      <c r="C7812" t="s">
        <v>10649</v>
      </c>
      <c r="D7812" t="s">
        <v>18052</v>
      </c>
      <c r="E7812" t="s">
        <v>24966</v>
      </c>
      <c r="F7812" t="s">
        <v>31574</v>
      </c>
      <c r="G7812" t="s">
        <v>31582</v>
      </c>
      <c r="H7812" t="s">
        <v>31590</v>
      </c>
      <c r="I7812" t="s">
        <v>8258</v>
      </c>
      <c r="J7812" t="s">
        <v>32583</v>
      </c>
      <c r="K7812" t="s">
        <v>41196</v>
      </c>
      <c r="M7812" t="s">
        <v>43502</v>
      </c>
      <c r="N7812" t="s">
        <v>45095</v>
      </c>
      <c r="O7812" t="s">
        <v>45096</v>
      </c>
      <c r="P7812">
        <v>0</v>
      </c>
      <c r="Q7812">
        <v>3</v>
      </c>
      <c r="R7812" t="s">
        <v>45103</v>
      </c>
      <c r="S7812" t="s">
        <v>45270</v>
      </c>
      <c r="T7812" t="s">
        <v>46963</v>
      </c>
      <c r="U7812" t="s">
        <v>53971</v>
      </c>
      <c r="W7812" t="s">
        <v>43502</v>
      </c>
      <c r="X7812" t="s">
        <v>45104</v>
      </c>
    </row>
    <row r="7813" spans="1:24">
      <c r="A7813">
        <f>HYPERLINK("https://www.philgeps.gov.ph/GEPSNONPILOT/Tender/SplashBidNoticeAbstractUI.aspx?menuIndex=3&amp;refID=7037405&amp;Result=3","7037405")</f>
        <v>0</v>
      </c>
      <c r="B7813" t="s">
        <v>1675</v>
      </c>
      <c r="C7813" t="s">
        <v>10650</v>
      </c>
      <c r="D7813" t="s">
        <v>18022</v>
      </c>
      <c r="E7813" t="s">
        <v>24967</v>
      </c>
      <c r="F7813" t="s">
        <v>31574</v>
      </c>
      <c r="G7813" t="s">
        <v>31582</v>
      </c>
      <c r="H7813" t="s">
        <v>31590</v>
      </c>
      <c r="I7813" t="s">
        <v>4046</v>
      </c>
      <c r="J7813" t="s">
        <v>31930</v>
      </c>
      <c r="K7813" t="s">
        <v>41213</v>
      </c>
      <c r="M7813" t="s">
        <v>43288</v>
      </c>
      <c r="N7813" t="s">
        <v>45095</v>
      </c>
      <c r="O7813" t="s">
        <v>45096</v>
      </c>
      <c r="P7813">
        <v>0</v>
      </c>
      <c r="Q7813">
        <v>0</v>
      </c>
      <c r="R7813" t="s">
        <v>45103</v>
      </c>
      <c r="S7813" t="s">
        <v>45270</v>
      </c>
      <c r="T7813" t="s">
        <v>46918</v>
      </c>
      <c r="U7813" t="s">
        <v>53972</v>
      </c>
      <c r="W7813" t="s">
        <v>43288</v>
      </c>
      <c r="X7813" t="s">
        <v>45104</v>
      </c>
    </row>
    <row r="7814" spans="1:24">
      <c r="A7814">
        <f>HYPERLINK("https://www.philgeps.gov.ph/GEPSNONPILOT/Tender/SplashBidNoticeAbstractUI.aspx?menuIndex=3&amp;refID=7037407&amp;Result=3","7037407")</f>
        <v>0</v>
      </c>
      <c r="B7814" t="s">
        <v>2268</v>
      </c>
      <c r="C7814" t="s">
        <v>10651</v>
      </c>
      <c r="D7814" t="s">
        <v>18059</v>
      </c>
      <c r="E7814" t="s">
        <v>24968</v>
      </c>
      <c r="F7814" t="s">
        <v>31574</v>
      </c>
      <c r="G7814" t="s">
        <v>31582</v>
      </c>
      <c r="H7814" t="s">
        <v>31590</v>
      </c>
      <c r="I7814" t="s">
        <v>4677</v>
      </c>
      <c r="J7814" t="s">
        <v>36690</v>
      </c>
      <c r="K7814" t="s">
        <v>41184</v>
      </c>
      <c r="M7814" t="s">
        <v>43968</v>
      </c>
      <c r="N7814" t="s">
        <v>45095</v>
      </c>
      <c r="O7814" t="s">
        <v>45096</v>
      </c>
      <c r="P7814">
        <v>0</v>
      </c>
      <c r="Q7814">
        <v>1</v>
      </c>
      <c r="R7814" t="s">
        <v>45103</v>
      </c>
      <c r="S7814" t="s">
        <v>45270</v>
      </c>
      <c r="T7814" t="s">
        <v>47010</v>
      </c>
      <c r="U7814" t="s">
        <v>53973</v>
      </c>
      <c r="W7814" t="s">
        <v>43968</v>
      </c>
      <c r="X7814" t="s">
        <v>45104</v>
      </c>
    </row>
    <row r="7815" spans="1:24">
      <c r="A7815">
        <f>HYPERLINK("https://www.philgeps.gov.ph/GEPSNONPILOT/Tender/SplashBidNoticeAbstractUI.aspx?menuIndex=3&amp;refID=7037442&amp;Result=3","7037442")</f>
        <v>0</v>
      </c>
      <c r="B7815" t="s">
        <v>697</v>
      </c>
      <c r="C7815" t="s">
        <v>10652</v>
      </c>
      <c r="D7815" t="s">
        <v>18072</v>
      </c>
      <c r="E7815" t="s">
        <v>24969</v>
      </c>
      <c r="F7815" t="s">
        <v>31574</v>
      </c>
      <c r="G7815" t="s">
        <v>31581</v>
      </c>
      <c r="H7815" t="s">
        <v>31590</v>
      </c>
      <c r="I7815" t="s">
        <v>8258</v>
      </c>
      <c r="J7815" t="s">
        <v>36691</v>
      </c>
      <c r="K7815" t="s">
        <v>41186</v>
      </c>
      <c r="M7815" t="s">
        <v>42204</v>
      </c>
      <c r="N7815" t="s">
        <v>45095</v>
      </c>
      <c r="O7815" t="s">
        <v>45096</v>
      </c>
      <c r="P7815">
        <v>0</v>
      </c>
      <c r="Q7815">
        <v>1</v>
      </c>
      <c r="R7815" t="s">
        <v>45103</v>
      </c>
      <c r="S7815" t="s">
        <v>45270</v>
      </c>
      <c r="T7815" t="s">
        <v>46973</v>
      </c>
      <c r="U7815" t="s">
        <v>53974</v>
      </c>
      <c r="W7815" t="s">
        <v>42204</v>
      </c>
      <c r="X7815" t="s">
        <v>45104</v>
      </c>
    </row>
    <row r="7816" spans="1:24">
      <c r="A7816">
        <f>HYPERLINK("https://www.philgeps.gov.ph/GEPSNONPILOT/Tender/SplashBidNoticeAbstractUI.aspx?menuIndex=3&amp;refID=7037410&amp;Result=3","7037410")</f>
        <v>0</v>
      </c>
      <c r="B7816" t="s">
        <v>219</v>
      </c>
      <c r="C7816" t="s">
        <v>10653</v>
      </c>
      <c r="D7816" t="s">
        <v>18028</v>
      </c>
      <c r="E7816" t="s">
        <v>18169</v>
      </c>
      <c r="F7816" t="s">
        <v>31574</v>
      </c>
      <c r="G7816" t="s">
        <v>31582</v>
      </c>
      <c r="H7816" t="s">
        <v>31591</v>
      </c>
      <c r="I7816" t="s">
        <v>8822</v>
      </c>
      <c r="J7816" t="s">
        <v>32458</v>
      </c>
      <c r="K7816" t="s">
        <v>41200</v>
      </c>
      <c r="M7816" t="s">
        <v>41704</v>
      </c>
      <c r="N7816" t="s">
        <v>45095</v>
      </c>
      <c r="O7816" t="s">
        <v>45096</v>
      </c>
      <c r="P7816">
        <v>0</v>
      </c>
      <c r="Q7816">
        <v>0</v>
      </c>
      <c r="R7816" t="s">
        <v>45103</v>
      </c>
      <c r="S7816" t="s">
        <v>45270</v>
      </c>
      <c r="T7816" t="s">
        <v>46962</v>
      </c>
      <c r="U7816" t="s">
        <v>53975</v>
      </c>
      <c r="V7816" t="s">
        <v>59888</v>
      </c>
      <c r="W7816" t="s">
        <v>41704</v>
      </c>
      <c r="X7816" t="s">
        <v>45104</v>
      </c>
    </row>
    <row r="7817" spans="1:24">
      <c r="A7817">
        <f>HYPERLINK("https://www.philgeps.gov.ph/GEPSNONPILOT/Tender/SplashBidNoticeAbstractUI.aspx?menuIndex=3&amp;refID=7037399&amp;Result=3","7037399")</f>
        <v>0</v>
      </c>
      <c r="B7817" t="s">
        <v>2148</v>
      </c>
      <c r="C7817" t="s">
        <v>10654</v>
      </c>
      <c r="D7817" t="s">
        <v>18092</v>
      </c>
      <c r="E7817" t="s">
        <v>24970</v>
      </c>
      <c r="F7817" t="s">
        <v>31574</v>
      </c>
      <c r="G7817" t="s">
        <v>31582</v>
      </c>
      <c r="H7817" t="s">
        <v>31591</v>
      </c>
      <c r="I7817" t="s">
        <v>8822</v>
      </c>
      <c r="J7817" t="s">
        <v>33359</v>
      </c>
      <c r="K7817" t="s">
        <v>41185</v>
      </c>
      <c r="M7817" t="s">
        <v>43830</v>
      </c>
      <c r="N7817" t="s">
        <v>45095</v>
      </c>
      <c r="O7817" t="s">
        <v>45096</v>
      </c>
      <c r="P7817">
        <v>0</v>
      </c>
      <c r="Q7817">
        <v>0</v>
      </c>
      <c r="R7817" t="s">
        <v>45103</v>
      </c>
      <c r="S7817" t="s">
        <v>45270</v>
      </c>
      <c r="T7817" t="s">
        <v>47166</v>
      </c>
      <c r="U7817" t="s">
        <v>53976</v>
      </c>
      <c r="W7817" t="s">
        <v>43830</v>
      </c>
      <c r="X7817" t="s">
        <v>45104</v>
      </c>
    </row>
    <row r="7818" spans="1:24">
      <c r="A7818">
        <f>HYPERLINK("https://www.philgeps.gov.ph/GEPSNONPILOT/Tender/SplashBidNoticeAbstractUI.aspx?menuIndex=3&amp;refID=7037440&amp;Result=3","7037440")</f>
        <v>0</v>
      </c>
      <c r="B7818" t="s">
        <v>1543</v>
      </c>
      <c r="C7818" t="s">
        <v>10655</v>
      </c>
      <c r="D7818" t="s">
        <v>18056</v>
      </c>
      <c r="E7818" t="s">
        <v>24971</v>
      </c>
      <c r="F7818" t="s">
        <v>31574</v>
      </c>
      <c r="G7818" t="s">
        <v>31581</v>
      </c>
      <c r="H7818" t="s">
        <v>31590</v>
      </c>
      <c r="I7818" t="s">
        <v>4046</v>
      </c>
      <c r="J7818" t="s">
        <v>32197</v>
      </c>
      <c r="K7818" t="s">
        <v>41196</v>
      </c>
      <c r="M7818" t="s">
        <v>43969</v>
      </c>
      <c r="N7818" t="s">
        <v>45095</v>
      </c>
      <c r="O7818" t="s">
        <v>45096</v>
      </c>
      <c r="P7818">
        <v>0</v>
      </c>
      <c r="Q7818">
        <v>0</v>
      </c>
      <c r="R7818" t="s">
        <v>45103</v>
      </c>
      <c r="S7818" t="s">
        <v>45270</v>
      </c>
      <c r="T7818" t="s">
        <v>47164</v>
      </c>
      <c r="U7818" t="s">
        <v>53977</v>
      </c>
      <c r="V7818" t="s">
        <v>60675</v>
      </c>
      <c r="W7818" t="s">
        <v>43969</v>
      </c>
      <c r="X7818" t="s">
        <v>45104</v>
      </c>
    </row>
    <row r="7819" spans="1:24">
      <c r="A7819">
        <f>HYPERLINK("https://www.philgeps.gov.ph/GEPSNONPILOT/Tender/SplashBidNoticeAbstractUI.aspx?menuIndex=3&amp;refID=7037434&amp;Result=3","7037434")</f>
        <v>0</v>
      </c>
      <c r="B7819" t="s">
        <v>2269</v>
      </c>
      <c r="C7819" t="s">
        <v>10656</v>
      </c>
      <c r="D7819" t="s">
        <v>18066</v>
      </c>
      <c r="E7819" t="s">
        <v>18623</v>
      </c>
      <c r="F7819" t="s">
        <v>31574</v>
      </c>
      <c r="G7819" t="s">
        <v>31582</v>
      </c>
      <c r="H7819" t="s">
        <v>31590</v>
      </c>
      <c r="I7819" t="s">
        <v>8258</v>
      </c>
      <c r="J7819" t="s">
        <v>36692</v>
      </c>
      <c r="K7819" t="s">
        <v>41184</v>
      </c>
      <c r="M7819" t="s">
        <v>43970</v>
      </c>
      <c r="N7819" t="s">
        <v>45095</v>
      </c>
      <c r="O7819" t="s">
        <v>45096</v>
      </c>
      <c r="P7819">
        <v>0</v>
      </c>
      <c r="Q7819">
        <v>7</v>
      </c>
      <c r="R7819" t="s">
        <v>45103</v>
      </c>
      <c r="S7819" t="s">
        <v>45270</v>
      </c>
      <c r="T7819" t="s">
        <v>46963</v>
      </c>
      <c r="U7819" t="s">
        <v>53978</v>
      </c>
      <c r="W7819" t="s">
        <v>43970</v>
      </c>
      <c r="X7819" t="s">
        <v>45104</v>
      </c>
    </row>
    <row r="7820" spans="1:24">
      <c r="A7820">
        <f>HYPERLINK("https://www.philgeps.gov.ph/GEPSNONPILOT/Tender/SplashBidNoticeAbstractUI.aspx?menuIndex=3&amp;refID=7037445&amp;Result=3","7037445")</f>
        <v>0</v>
      </c>
      <c r="B7820" t="s">
        <v>1031</v>
      </c>
      <c r="C7820" t="s">
        <v>10657</v>
      </c>
      <c r="D7820" t="s">
        <v>18056</v>
      </c>
      <c r="E7820" t="s">
        <v>24972</v>
      </c>
      <c r="F7820" t="s">
        <v>31574</v>
      </c>
      <c r="G7820" t="s">
        <v>31582</v>
      </c>
      <c r="H7820" t="s">
        <v>31591</v>
      </c>
      <c r="I7820" t="s">
        <v>8822</v>
      </c>
      <c r="J7820" t="s">
        <v>36693</v>
      </c>
      <c r="K7820" t="s">
        <v>41188</v>
      </c>
      <c r="M7820" t="s">
        <v>42572</v>
      </c>
      <c r="N7820" t="s">
        <v>45095</v>
      </c>
      <c r="O7820" t="s">
        <v>45096</v>
      </c>
      <c r="P7820">
        <v>0</v>
      </c>
      <c r="Q7820">
        <v>2</v>
      </c>
      <c r="R7820" t="s">
        <v>45103</v>
      </c>
      <c r="S7820" t="s">
        <v>45270</v>
      </c>
      <c r="T7820" t="s">
        <v>47010</v>
      </c>
      <c r="U7820" t="s">
        <v>53979</v>
      </c>
      <c r="W7820" t="s">
        <v>42572</v>
      </c>
      <c r="X7820" t="s">
        <v>45104</v>
      </c>
    </row>
    <row r="7821" spans="1:24">
      <c r="A7821">
        <f>HYPERLINK("https://www.philgeps.gov.ph/GEPSNONPILOT/Tender/SplashBidNoticeAbstractUI.aspx?menuIndex=3&amp;refID=7037448&amp;Result=3","7037448")</f>
        <v>0</v>
      </c>
      <c r="B7821" t="s">
        <v>1313</v>
      </c>
      <c r="C7821" t="s">
        <v>10658</v>
      </c>
      <c r="D7821" t="s">
        <v>18063</v>
      </c>
      <c r="E7821" t="s">
        <v>24973</v>
      </c>
      <c r="F7821" t="s">
        <v>31574</v>
      </c>
      <c r="G7821" t="s">
        <v>31581</v>
      </c>
      <c r="H7821" t="s">
        <v>31591</v>
      </c>
      <c r="I7821" t="s">
        <v>8822</v>
      </c>
      <c r="J7821" t="s">
        <v>36694</v>
      </c>
      <c r="K7821" t="s">
        <v>41185</v>
      </c>
      <c r="M7821" t="s">
        <v>43971</v>
      </c>
      <c r="N7821" t="s">
        <v>45095</v>
      </c>
      <c r="O7821" t="s">
        <v>45096</v>
      </c>
      <c r="Q7821">
        <v>1</v>
      </c>
      <c r="R7821" t="s">
        <v>45103</v>
      </c>
      <c r="S7821" t="s">
        <v>45293</v>
      </c>
      <c r="T7821" t="s">
        <v>47158</v>
      </c>
      <c r="U7821" t="s">
        <v>53980</v>
      </c>
      <c r="W7821" t="s">
        <v>42939</v>
      </c>
      <c r="X7821" t="s">
        <v>45104</v>
      </c>
    </row>
    <row r="7822" spans="1:24">
      <c r="A7822">
        <f>HYPERLINK("https://www.philgeps.gov.ph/GEPSNONPILOT/Tender/SplashBidNoticeAbstractUI.aspx?menuIndex=3&amp;refID=7037427&amp;Result=3","7037427")</f>
        <v>0</v>
      </c>
      <c r="B7822" t="s">
        <v>1079</v>
      </c>
      <c r="C7822" t="s">
        <v>10659</v>
      </c>
      <c r="E7822" t="s">
        <v>24974</v>
      </c>
      <c r="F7822" t="s">
        <v>31574</v>
      </c>
      <c r="G7822" t="s">
        <v>31584</v>
      </c>
      <c r="H7822" t="s">
        <v>31590</v>
      </c>
      <c r="I7822" t="s">
        <v>6800</v>
      </c>
      <c r="J7822" t="s">
        <v>36695</v>
      </c>
      <c r="K7822" t="s">
        <v>41184</v>
      </c>
      <c r="M7822" t="s">
        <v>43959</v>
      </c>
      <c r="N7822" t="s">
        <v>45095</v>
      </c>
      <c r="O7822" t="s">
        <v>45096</v>
      </c>
      <c r="P7822">
        <v>0</v>
      </c>
      <c r="Q7822">
        <v>3</v>
      </c>
      <c r="R7822" t="s">
        <v>45103</v>
      </c>
      <c r="S7822" t="s">
        <v>45270</v>
      </c>
      <c r="T7822" t="s">
        <v>47158</v>
      </c>
      <c r="U7822" t="s">
        <v>53981</v>
      </c>
      <c r="V7822" t="s">
        <v>60663</v>
      </c>
      <c r="W7822" t="s">
        <v>43959</v>
      </c>
      <c r="X7822" t="s">
        <v>45104</v>
      </c>
    </row>
    <row r="7823" spans="1:24">
      <c r="A7823">
        <f>HYPERLINK("https://www.philgeps.gov.ph/GEPSNONPILOT/Tender/SplashBidNoticeAbstractUI.aspx?menuIndex=3&amp;refID=7037481&amp;Result=3","7037481")</f>
        <v>0</v>
      </c>
      <c r="B7823" t="s">
        <v>2270</v>
      </c>
      <c r="C7823" t="s">
        <v>10660</v>
      </c>
      <c r="D7823" t="s">
        <v>18044</v>
      </c>
      <c r="E7823" t="s">
        <v>24975</v>
      </c>
      <c r="F7823" t="s">
        <v>31574</v>
      </c>
      <c r="G7823" t="s">
        <v>31583</v>
      </c>
      <c r="H7823" t="s">
        <v>31590</v>
      </c>
      <c r="I7823" t="s">
        <v>31607</v>
      </c>
      <c r="J7823" t="s">
        <v>32380</v>
      </c>
      <c r="K7823" t="s">
        <v>41193</v>
      </c>
      <c r="M7823" t="s">
        <v>43972</v>
      </c>
      <c r="N7823" t="s">
        <v>45095</v>
      </c>
      <c r="O7823" t="s">
        <v>45096</v>
      </c>
      <c r="P7823">
        <v>0</v>
      </c>
      <c r="Q7823">
        <v>3</v>
      </c>
      <c r="R7823" t="s">
        <v>45103</v>
      </c>
      <c r="S7823" t="s">
        <v>45270</v>
      </c>
      <c r="T7823" t="s">
        <v>46911</v>
      </c>
      <c r="U7823" t="s">
        <v>53982</v>
      </c>
      <c r="W7823" t="s">
        <v>61730</v>
      </c>
      <c r="X7823" t="s">
        <v>45104</v>
      </c>
    </row>
    <row r="7824" spans="1:24">
      <c r="A7824">
        <f>HYPERLINK("https://www.philgeps.gov.ph/GEPSNONPILOT/Tender/SplashBidNoticeAbstractUI.aspx?menuIndex=3&amp;refID=7037451&amp;Result=3","7037451")</f>
        <v>0</v>
      </c>
      <c r="B7824" t="s">
        <v>1002</v>
      </c>
      <c r="C7824" t="s">
        <v>5738</v>
      </c>
      <c r="D7824" t="s">
        <v>18058</v>
      </c>
      <c r="E7824" t="s">
        <v>24976</v>
      </c>
      <c r="F7824" t="s">
        <v>31574</v>
      </c>
      <c r="G7824" t="s">
        <v>31582</v>
      </c>
      <c r="H7824" t="s">
        <v>31590</v>
      </c>
      <c r="I7824" t="s">
        <v>3489</v>
      </c>
      <c r="J7824" t="s">
        <v>36696</v>
      </c>
      <c r="K7824" t="s">
        <v>41289</v>
      </c>
      <c r="M7824" t="s">
        <v>42539</v>
      </c>
      <c r="N7824" t="s">
        <v>45095</v>
      </c>
      <c r="O7824" t="s">
        <v>45096</v>
      </c>
      <c r="P7824">
        <v>0</v>
      </c>
      <c r="Q7824">
        <v>0</v>
      </c>
      <c r="R7824" t="s">
        <v>45103</v>
      </c>
      <c r="S7824" t="s">
        <v>45270</v>
      </c>
      <c r="T7824" t="s">
        <v>46985</v>
      </c>
      <c r="U7824" t="s">
        <v>53983</v>
      </c>
      <c r="V7824" t="s">
        <v>60109</v>
      </c>
      <c r="W7824" t="s">
        <v>42539</v>
      </c>
      <c r="X7824" t="s">
        <v>45104</v>
      </c>
    </row>
    <row r="7825" spans="1:24">
      <c r="A7825">
        <f>HYPERLINK("https://www.philgeps.gov.ph/GEPSNONPILOT/Tender/SplashBidNoticeAbstractUI.aspx?menuIndex=3&amp;refID=7037485&amp;Result=3","7037485")</f>
        <v>0</v>
      </c>
      <c r="B7825" t="s">
        <v>620</v>
      </c>
      <c r="C7825" t="s">
        <v>10661</v>
      </c>
      <c r="D7825" t="s">
        <v>18052</v>
      </c>
      <c r="E7825" t="s">
        <v>19127</v>
      </c>
      <c r="F7825" t="s">
        <v>31574</v>
      </c>
      <c r="G7825" t="s">
        <v>31582</v>
      </c>
      <c r="H7825" t="s">
        <v>31590</v>
      </c>
      <c r="I7825" t="s">
        <v>31599</v>
      </c>
      <c r="J7825" t="s">
        <v>36697</v>
      </c>
      <c r="K7825" t="s">
        <v>41237</v>
      </c>
      <c r="M7825" t="s">
        <v>42123</v>
      </c>
      <c r="N7825" t="s">
        <v>45095</v>
      </c>
      <c r="O7825" t="s">
        <v>45096</v>
      </c>
      <c r="P7825">
        <v>0</v>
      </c>
      <c r="Q7825">
        <v>0</v>
      </c>
      <c r="R7825" t="s">
        <v>45103</v>
      </c>
      <c r="S7825" t="s">
        <v>45270</v>
      </c>
      <c r="T7825" t="s">
        <v>46949</v>
      </c>
      <c r="U7825" t="s">
        <v>53984</v>
      </c>
      <c r="W7825" t="s">
        <v>42123</v>
      </c>
      <c r="X7825" t="s">
        <v>45104</v>
      </c>
    </row>
    <row r="7826" spans="1:24">
      <c r="A7826">
        <f>HYPERLINK("https://www.philgeps.gov.ph/GEPSNONPILOT/Tender/SplashBidNoticeAbstractUI.aspx?menuIndex=3&amp;refID=7037432&amp;Result=3","7037432")</f>
        <v>0</v>
      </c>
      <c r="B7826" t="s">
        <v>955</v>
      </c>
      <c r="C7826" t="s">
        <v>10662</v>
      </c>
      <c r="D7826" t="s">
        <v>18043</v>
      </c>
      <c r="E7826" t="s">
        <v>24977</v>
      </c>
      <c r="F7826" t="s">
        <v>31574</v>
      </c>
      <c r="G7826" t="s">
        <v>31582</v>
      </c>
      <c r="H7826" t="s">
        <v>31590</v>
      </c>
      <c r="I7826" t="s">
        <v>4327</v>
      </c>
      <c r="J7826" t="s">
        <v>36698</v>
      </c>
      <c r="K7826" t="s">
        <v>41184</v>
      </c>
      <c r="M7826" t="s">
        <v>42482</v>
      </c>
      <c r="N7826" t="s">
        <v>45095</v>
      </c>
      <c r="O7826" t="s">
        <v>45096</v>
      </c>
      <c r="P7826">
        <v>0</v>
      </c>
      <c r="Q7826">
        <v>9</v>
      </c>
      <c r="R7826" t="s">
        <v>45103</v>
      </c>
      <c r="S7826" t="s">
        <v>45270</v>
      </c>
      <c r="T7826" t="s">
        <v>47114</v>
      </c>
      <c r="U7826" t="s">
        <v>53985</v>
      </c>
      <c r="W7826" t="s">
        <v>42482</v>
      </c>
      <c r="X7826" t="s">
        <v>45104</v>
      </c>
    </row>
    <row r="7827" spans="1:24">
      <c r="A7827">
        <f>HYPERLINK("https://www.philgeps.gov.ph/GEPSNONPILOT/Tender/SplashBidNoticeAbstractUI.aspx?menuIndex=3&amp;refID=7037455&amp;Result=3","7037455")</f>
        <v>0</v>
      </c>
      <c r="B7827" t="s">
        <v>1079</v>
      </c>
      <c r="C7827" t="s">
        <v>10663</v>
      </c>
      <c r="D7827" t="s">
        <v>18084</v>
      </c>
      <c r="E7827" t="s">
        <v>24978</v>
      </c>
      <c r="F7827" t="s">
        <v>31574</v>
      </c>
      <c r="G7827" t="s">
        <v>31581</v>
      </c>
      <c r="H7827" t="s">
        <v>31590</v>
      </c>
      <c r="I7827" t="s">
        <v>31594</v>
      </c>
      <c r="J7827" t="s">
        <v>32381</v>
      </c>
      <c r="K7827" t="s">
        <v>41196</v>
      </c>
      <c r="M7827" t="s">
        <v>43973</v>
      </c>
      <c r="N7827" t="s">
        <v>45095</v>
      </c>
      <c r="O7827" t="s">
        <v>45096</v>
      </c>
      <c r="P7827">
        <v>0</v>
      </c>
      <c r="Q7827">
        <v>5</v>
      </c>
      <c r="R7827" t="s">
        <v>45103</v>
      </c>
      <c r="S7827" t="s">
        <v>45270</v>
      </c>
      <c r="T7827" t="s">
        <v>47125</v>
      </c>
      <c r="U7827" t="s">
        <v>53986</v>
      </c>
      <c r="V7827" t="s">
        <v>60663</v>
      </c>
      <c r="W7827" t="s">
        <v>43973</v>
      </c>
      <c r="X7827" t="s">
        <v>45104</v>
      </c>
    </row>
    <row r="7828" spans="1:24">
      <c r="A7828">
        <f>HYPERLINK("https://www.philgeps.gov.ph/GEPSNONPILOT/Tender/SplashBidNoticeAbstractUI.aspx?menuIndex=3&amp;refID=7037480&amp;Result=3","7037480")</f>
        <v>0</v>
      </c>
      <c r="B7828" t="s">
        <v>1492</v>
      </c>
      <c r="C7828" t="s">
        <v>10664</v>
      </c>
      <c r="D7828" t="s">
        <v>18072</v>
      </c>
      <c r="E7828" t="s">
        <v>24979</v>
      </c>
      <c r="F7828" t="s">
        <v>31574</v>
      </c>
      <c r="G7828" t="s">
        <v>31582</v>
      </c>
      <c r="H7828" t="s">
        <v>31590</v>
      </c>
      <c r="I7828" t="s">
        <v>31608</v>
      </c>
      <c r="J7828" t="s">
        <v>32019</v>
      </c>
      <c r="K7828" t="s">
        <v>41190</v>
      </c>
      <c r="M7828" t="s">
        <v>43077</v>
      </c>
      <c r="N7828" t="s">
        <v>45095</v>
      </c>
      <c r="O7828" t="s">
        <v>45096</v>
      </c>
      <c r="P7828">
        <v>0</v>
      </c>
      <c r="Q7828">
        <v>3</v>
      </c>
      <c r="R7828" t="s">
        <v>45103</v>
      </c>
      <c r="S7828" t="s">
        <v>45270</v>
      </c>
      <c r="T7828" t="s">
        <v>47301</v>
      </c>
      <c r="U7828" t="s">
        <v>53987</v>
      </c>
      <c r="W7828" t="s">
        <v>43077</v>
      </c>
      <c r="X7828" t="s">
        <v>45104</v>
      </c>
    </row>
    <row r="7829" spans="1:24">
      <c r="A7829">
        <f>HYPERLINK("https://www.philgeps.gov.ph/GEPSNONPILOT/Tender/SplashBidNoticeAbstractUI.aspx?menuIndex=3&amp;refID=7037482&amp;Result=3","7037482")</f>
        <v>0</v>
      </c>
      <c r="B7829" t="s">
        <v>2271</v>
      </c>
      <c r="C7829" t="s">
        <v>10665</v>
      </c>
      <c r="D7829" t="s">
        <v>18046</v>
      </c>
      <c r="E7829" t="s">
        <v>18175</v>
      </c>
      <c r="F7829" t="s">
        <v>31574</v>
      </c>
      <c r="G7829" t="s">
        <v>31582</v>
      </c>
      <c r="H7829" t="s">
        <v>31591</v>
      </c>
      <c r="I7829" t="s">
        <v>8822</v>
      </c>
      <c r="J7829" t="s">
        <v>34655</v>
      </c>
      <c r="K7829" t="s">
        <v>41190</v>
      </c>
      <c r="M7829" t="s">
        <v>43974</v>
      </c>
      <c r="N7829" t="s">
        <v>45095</v>
      </c>
      <c r="O7829" t="s">
        <v>45096</v>
      </c>
      <c r="P7829">
        <v>0</v>
      </c>
      <c r="Q7829">
        <v>0</v>
      </c>
      <c r="R7829" t="s">
        <v>45103</v>
      </c>
      <c r="S7829" t="s">
        <v>45270</v>
      </c>
      <c r="T7829" t="s">
        <v>46943</v>
      </c>
      <c r="U7829" t="s">
        <v>53988</v>
      </c>
      <c r="W7829" t="s">
        <v>43974</v>
      </c>
      <c r="X7829" t="s">
        <v>45104</v>
      </c>
    </row>
    <row r="7830" spans="1:24">
      <c r="A7830">
        <f>HYPERLINK("https://www.philgeps.gov.ph/GEPSNONPILOT/Tender/SplashBidNoticeAbstractUI.aspx?menuIndex=3&amp;refID=7037461&amp;Result=3","7037461")</f>
        <v>0</v>
      </c>
      <c r="B7830" t="s">
        <v>2266</v>
      </c>
      <c r="C7830" t="s">
        <v>10666</v>
      </c>
      <c r="D7830" t="s">
        <v>18052</v>
      </c>
      <c r="E7830" t="s">
        <v>24980</v>
      </c>
      <c r="F7830" t="s">
        <v>31574</v>
      </c>
      <c r="G7830" t="s">
        <v>31585</v>
      </c>
      <c r="H7830" t="s">
        <v>31590</v>
      </c>
      <c r="I7830" t="s">
        <v>31595</v>
      </c>
      <c r="J7830" t="s">
        <v>36699</v>
      </c>
      <c r="K7830" t="s">
        <v>41196</v>
      </c>
      <c r="M7830" t="s">
        <v>43966</v>
      </c>
      <c r="N7830" t="s">
        <v>45095</v>
      </c>
      <c r="O7830" t="s">
        <v>45096</v>
      </c>
      <c r="P7830">
        <v>0</v>
      </c>
      <c r="Q7830">
        <v>2</v>
      </c>
      <c r="R7830" t="s">
        <v>45103</v>
      </c>
      <c r="S7830" t="s">
        <v>45270</v>
      </c>
      <c r="T7830" t="s">
        <v>47171</v>
      </c>
      <c r="U7830" t="s">
        <v>53946</v>
      </c>
      <c r="V7830" t="s">
        <v>60676</v>
      </c>
      <c r="W7830" t="s">
        <v>43966</v>
      </c>
      <c r="X7830" t="s">
        <v>45104</v>
      </c>
    </row>
    <row r="7831" spans="1:24">
      <c r="A7831">
        <f>HYPERLINK("https://www.philgeps.gov.ph/GEPSNONPILOT/Tender/SplashBidNoticeAbstractUI.aspx?menuIndex=3&amp;refID=7037471&amp;Result=3","7037471")</f>
        <v>0</v>
      </c>
      <c r="B7831" t="s">
        <v>1589</v>
      </c>
      <c r="C7831" t="s">
        <v>10667</v>
      </c>
      <c r="D7831" t="s">
        <v>18022</v>
      </c>
      <c r="E7831" t="s">
        <v>24981</v>
      </c>
      <c r="F7831" t="s">
        <v>31574</v>
      </c>
      <c r="G7831" t="s">
        <v>31582</v>
      </c>
      <c r="H7831" t="s">
        <v>31590</v>
      </c>
      <c r="I7831" t="s">
        <v>3487</v>
      </c>
      <c r="J7831" t="s">
        <v>36700</v>
      </c>
      <c r="K7831" t="s">
        <v>41196</v>
      </c>
      <c r="M7831" t="s">
        <v>43910</v>
      </c>
      <c r="N7831" t="s">
        <v>45095</v>
      </c>
      <c r="O7831" t="s">
        <v>45096</v>
      </c>
      <c r="P7831">
        <v>0</v>
      </c>
      <c r="Q7831">
        <v>0</v>
      </c>
      <c r="R7831" t="s">
        <v>45103</v>
      </c>
      <c r="S7831" t="s">
        <v>45270</v>
      </c>
      <c r="T7831" t="s">
        <v>46985</v>
      </c>
      <c r="U7831" t="s">
        <v>51488</v>
      </c>
      <c r="W7831" t="s">
        <v>43910</v>
      </c>
      <c r="X7831" t="s">
        <v>45104</v>
      </c>
    </row>
    <row r="7832" spans="1:24">
      <c r="A7832">
        <f>HYPERLINK("https://www.philgeps.gov.ph/GEPSNONPILOT/Tender/SplashBidNoticeAbstractUI.aspx?menuIndex=3&amp;refID=7037465&amp;Result=3","7037465")</f>
        <v>0</v>
      </c>
      <c r="B7832" t="s">
        <v>426</v>
      </c>
      <c r="C7832" t="s">
        <v>10668</v>
      </c>
      <c r="D7832" t="s">
        <v>18068</v>
      </c>
      <c r="E7832" t="s">
        <v>24982</v>
      </c>
      <c r="F7832" t="s">
        <v>31574</v>
      </c>
      <c r="G7832" t="s">
        <v>31582</v>
      </c>
      <c r="H7832" t="s">
        <v>31590</v>
      </c>
      <c r="I7832" t="s">
        <v>31615</v>
      </c>
      <c r="J7832" t="s">
        <v>32421</v>
      </c>
      <c r="K7832" t="s">
        <v>41186</v>
      </c>
      <c r="M7832" t="s">
        <v>41918</v>
      </c>
      <c r="N7832" t="s">
        <v>45095</v>
      </c>
      <c r="O7832" t="s">
        <v>45096</v>
      </c>
      <c r="P7832">
        <v>0</v>
      </c>
      <c r="Q7832">
        <v>4</v>
      </c>
      <c r="R7832" t="s">
        <v>45103</v>
      </c>
      <c r="S7832" t="s">
        <v>45270</v>
      </c>
      <c r="T7832" t="s">
        <v>46992</v>
      </c>
      <c r="U7832" t="s">
        <v>53989</v>
      </c>
      <c r="V7832" t="s">
        <v>60665</v>
      </c>
      <c r="W7832" t="s">
        <v>41918</v>
      </c>
      <c r="X7832" t="s">
        <v>45104</v>
      </c>
    </row>
    <row r="7833" spans="1:24">
      <c r="A7833">
        <f>HYPERLINK("https://www.philgeps.gov.ph/GEPSNONPILOT/Tender/SplashBidNoticeAbstractUI.aspx?menuIndex=3&amp;refID=7037469&amp;Result=3","7037469")</f>
        <v>0</v>
      </c>
      <c r="B7833" t="s">
        <v>2269</v>
      </c>
      <c r="C7833" t="s">
        <v>10669</v>
      </c>
      <c r="D7833" t="s">
        <v>18066</v>
      </c>
      <c r="E7833" t="s">
        <v>24983</v>
      </c>
      <c r="F7833" t="s">
        <v>31574</v>
      </c>
      <c r="G7833" t="s">
        <v>31582</v>
      </c>
      <c r="H7833" t="s">
        <v>31590</v>
      </c>
      <c r="I7833" t="s">
        <v>31615</v>
      </c>
      <c r="J7833" t="s">
        <v>31730</v>
      </c>
      <c r="K7833" t="s">
        <v>41184</v>
      </c>
      <c r="M7833" t="s">
        <v>43970</v>
      </c>
      <c r="N7833" t="s">
        <v>45095</v>
      </c>
      <c r="O7833" t="s">
        <v>45096</v>
      </c>
      <c r="P7833">
        <v>0</v>
      </c>
      <c r="Q7833">
        <v>11</v>
      </c>
      <c r="R7833" t="s">
        <v>45103</v>
      </c>
      <c r="S7833" t="s">
        <v>45270</v>
      </c>
      <c r="T7833" t="s">
        <v>46992</v>
      </c>
      <c r="U7833" t="s">
        <v>53978</v>
      </c>
      <c r="W7833" t="s">
        <v>43970</v>
      </c>
      <c r="X7833" t="s">
        <v>45104</v>
      </c>
    </row>
    <row r="7834" spans="1:24">
      <c r="A7834">
        <f>HYPERLINK("https://www.philgeps.gov.ph/GEPSNONPILOT/Tender/SplashBidNoticeAbstractUI.aspx?menuIndex=3&amp;refID=7037486&amp;Result=3","7037486")</f>
        <v>0</v>
      </c>
      <c r="B7834" t="s">
        <v>1934</v>
      </c>
      <c r="C7834" t="s">
        <v>10670</v>
      </c>
      <c r="D7834" t="s">
        <v>18063</v>
      </c>
      <c r="E7834" t="s">
        <v>24984</v>
      </c>
      <c r="F7834" t="s">
        <v>31574</v>
      </c>
      <c r="G7834" t="s">
        <v>31582</v>
      </c>
      <c r="H7834" t="s">
        <v>31590</v>
      </c>
      <c r="I7834" t="s">
        <v>31608</v>
      </c>
      <c r="J7834" t="s">
        <v>32476</v>
      </c>
      <c r="K7834" t="s">
        <v>41184</v>
      </c>
      <c r="M7834" t="s">
        <v>43589</v>
      </c>
      <c r="N7834" t="s">
        <v>45095</v>
      </c>
      <c r="O7834" t="s">
        <v>45096</v>
      </c>
      <c r="Q7834">
        <v>11</v>
      </c>
      <c r="R7834" t="s">
        <v>45103</v>
      </c>
      <c r="S7834" t="s">
        <v>45294</v>
      </c>
      <c r="T7834" t="s">
        <v>46965</v>
      </c>
      <c r="U7834" t="s">
        <v>53990</v>
      </c>
      <c r="W7834" t="s">
        <v>43589</v>
      </c>
      <c r="X7834" t="s">
        <v>45104</v>
      </c>
    </row>
    <row r="7835" spans="1:24">
      <c r="A7835">
        <f>HYPERLINK("https://www.philgeps.gov.ph/GEPSNONPILOT/Tender/SplashBidNoticeAbstractUI.aspx?menuIndex=3&amp;refID=7037492&amp;Result=3","7037492")</f>
        <v>0</v>
      </c>
      <c r="B7835" t="s">
        <v>1399</v>
      </c>
      <c r="C7835" t="s">
        <v>10671</v>
      </c>
      <c r="D7835" t="s">
        <v>18081</v>
      </c>
      <c r="E7835" t="s">
        <v>24985</v>
      </c>
      <c r="F7835" t="s">
        <v>31574</v>
      </c>
      <c r="G7835" t="s">
        <v>31582</v>
      </c>
      <c r="H7835" t="s">
        <v>31593</v>
      </c>
      <c r="I7835" t="s">
        <v>31593</v>
      </c>
      <c r="J7835" t="s">
        <v>36701</v>
      </c>
      <c r="K7835" t="s">
        <v>41186</v>
      </c>
      <c r="M7835" t="s">
        <v>43167</v>
      </c>
      <c r="N7835" t="s">
        <v>45095</v>
      </c>
      <c r="O7835" t="s">
        <v>45096</v>
      </c>
      <c r="P7835">
        <v>0</v>
      </c>
      <c r="Q7835">
        <v>1</v>
      </c>
      <c r="R7835" t="s">
        <v>45103</v>
      </c>
      <c r="S7835" t="s">
        <v>45270</v>
      </c>
      <c r="T7835" t="s">
        <v>47050</v>
      </c>
      <c r="U7835" t="s">
        <v>53991</v>
      </c>
      <c r="W7835" t="s">
        <v>43167</v>
      </c>
      <c r="X7835" t="s">
        <v>45104</v>
      </c>
    </row>
    <row r="7836" spans="1:24">
      <c r="A7836">
        <f>HYPERLINK("https://www.philgeps.gov.ph/GEPSNONPILOT/Tender/SplashBidNoticeAbstractUI.aspx?menuIndex=3&amp;refID=7037472&amp;Result=3","7037472")</f>
        <v>0</v>
      </c>
      <c r="B7836" t="s">
        <v>2208</v>
      </c>
      <c r="C7836" t="s">
        <v>10672</v>
      </c>
      <c r="D7836" t="s">
        <v>18056</v>
      </c>
      <c r="E7836" t="s">
        <v>24986</v>
      </c>
      <c r="F7836" t="s">
        <v>31574</v>
      </c>
      <c r="G7836" t="s">
        <v>31582</v>
      </c>
      <c r="H7836" t="s">
        <v>31591</v>
      </c>
      <c r="I7836" t="s">
        <v>8822</v>
      </c>
      <c r="J7836" t="s">
        <v>36702</v>
      </c>
      <c r="K7836" t="s">
        <v>41200</v>
      </c>
      <c r="M7836" t="s">
        <v>43897</v>
      </c>
      <c r="N7836" t="s">
        <v>45095</v>
      </c>
      <c r="O7836" t="s">
        <v>45096</v>
      </c>
      <c r="P7836">
        <v>0</v>
      </c>
      <c r="Q7836">
        <v>17</v>
      </c>
      <c r="R7836" t="s">
        <v>45103</v>
      </c>
      <c r="S7836" t="s">
        <v>45270</v>
      </c>
      <c r="T7836" t="s">
        <v>47010</v>
      </c>
      <c r="U7836" t="s">
        <v>53992</v>
      </c>
      <c r="W7836" t="s">
        <v>43897</v>
      </c>
      <c r="X7836" t="s">
        <v>45104</v>
      </c>
    </row>
    <row r="7837" spans="1:24">
      <c r="A7837">
        <f>HYPERLINK("https://www.philgeps.gov.ph/GEPSNONPILOT/Tender/SplashBidNoticeAbstractUI.aspx?menuIndex=3&amp;refID=7037488&amp;Result=3","7037488")</f>
        <v>0</v>
      </c>
      <c r="B7837" t="s">
        <v>1589</v>
      </c>
      <c r="C7837" t="s">
        <v>10673</v>
      </c>
      <c r="D7837" t="s">
        <v>18022</v>
      </c>
      <c r="E7837" t="s">
        <v>24987</v>
      </c>
      <c r="F7837" t="s">
        <v>31574</v>
      </c>
      <c r="G7837" t="s">
        <v>31582</v>
      </c>
      <c r="H7837" t="s">
        <v>31590</v>
      </c>
      <c r="I7837" t="s">
        <v>3487</v>
      </c>
      <c r="J7837" t="s">
        <v>32570</v>
      </c>
      <c r="K7837" t="s">
        <v>41196</v>
      </c>
      <c r="M7837" t="s">
        <v>43910</v>
      </c>
      <c r="N7837" t="s">
        <v>45095</v>
      </c>
      <c r="O7837" t="s">
        <v>45096</v>
      </c>
      <c r="P7837">
        <v>0</v>
      </c>
      <c r="Q7837">
        <v>0</v>
      </c>
      <c r="R7837" t="s">
        <v>45103</v>
      </c>
      <c r="S7837" t="s">
        <v>45270</v>
      </c>
      <c r="T7837" t="s">
        <v>46985</v>
      </c>
      <c r="U7837" t="s">
        <v>51488</v>
      </c>
      <c r="W7837" t="s">
        <v>43910</v>
      </c>
      <c r="X7837" t="s">
        <v>45104</v>
      </c>
    </row>
    <row r="7838" spans="1:24">
      <c r="A7838">
        <f>HYPERLINK("https://www.philgeps.gov.ph/GEPSNONPILOT/Tender/SplashBidNoticeAbstractUI.aspx?menuIndex=3&amp;refID=7037479&amp;Result=3","7037479")</f>
        <v>0</v>
      </c>
      <c r="B7838" t="s">
        <v>836</v>
      </c>
      <c r="C7838" t="s">
        <v>10674</v>
      </c>
      <c r="D7838" t="s">
        <v>18096</v>
      </c>
      <c r="E7838" t="s">
        <v>24988</v>
      </c>
      <c r="F7838" t="s">
        <v>31574</v>
      </c>
      <c r="G7838" t="s">
        <v>31581</v>
      </c>
      <c r="H7838" t="s">
        <v>31590</v>
      </c>
      <c r="I7838" t="s">
        <v>31604</v>
      </c>
      <c r="J7838" t="s">
        <v>36703</v>
      </c>
      <c r="K7838" t="s">
        <v>41196</v>
      </c>
      <c r="M7838" t="s">
        <v>43975</v>
      </c>
      <c r="N7838" t="s">
        <v>45095</v>
      </c>
      <c r="O7838" t="s">
        <v>45096</v>
      </c>
      <c r="P7838">
        <v>0</v>
      </c>
      <c r="Q7838">
        <v>1</v>
      </c>
      <c r="R7838" t="s">
        <v>45103</v>
      </c>
      <c r="S7838" t="s">
        <v>45270</v>
      </c>
      <c r="T7838" t="s">
        <v>47197</v>
      </c>
      <c r="U7838" t="s">
        <v>53993</v>
      </c>
      <c r="W7838" t="s">
        <v>43975</v>
      </c>
      <c r="X7838" t="s">
        <v>45104</v>
      </c>
    </row>
    <row r="7839" spans="1:24">
      <c r="A7839">
        <f>HYPERLINK("https://www.philgeps.gov.ph/GEPSNONPILOT/Tender/SplashBidNoticeAbstractUI.aspx?menuIndex=3&amp;refID=7037473&amp;Result=3","7037473")</f>
        <v>0</v>
      </c>
      <c r="B7839" t="s">
        <v>2272</v>
      </c>
      <c r="C7839" t="s">
        <v>10675</v>
      </c>
      <c r="D7839" t="s">
        <v>18089</v>
      </c>
      <c r="E7839" t="s">
        <v>18227</v>
      </c>
      <c r="F7839" t="s">
        <v>31574</v>
      </c>
      <c r="G7839" t="s">
        <v>31582</v>
      </c>
      <c r="H7839" t="s">
        <v>31590</v>
      </c>
      <c r="I7839" t="s">
        <v>7162</v>
      </c>
      <c r="J7839" t="s">
        <v>31741</v>
      </c>
      <c r="K7839" t="s">
        <v>41196</v>
      </c>
      <c r="M7839" t="s">
        <v>43976</v>
      </c>
      <c r="N7839" t="s">
        <v>45095</v>
      </c>
      <c r="O7839" t="s">
        <v>45096</v>
      </c>
      <c r="P7839">
        <v>0</v>
      </c>
      <c r="Q7839">
        <v>1</v>
      </c>
      <c r="R7839" t="s">
        <v>45103</v>
      </c>
      <c r="S7839" t="s">
        <v>45270</v>
      </c>
      <c r="T7839" t="s">
        <v>46922</v>
      </c>
      <c r="U7839" t="s">
        <v>53994</v>
      </c>
      <c r="W7839" t="s">
        <v>43976</v>
      </c>
      <c r="X7839" t="s">
        <v>45104</v>
      </c>
    </row>
    <row r="7840" spans="1:24">
      <c r="A7840">
        <f>HYPERLINK("https://www.philgeps.gov.ph/GEPSNONPILOT/Tender/SplashBidNoticeAbstractUI.aspx?menuIndex=3&amp;refID=7037478&amp;Result=3","7037478")</f>
        <v>0</v>
      </c>
      <c r="B7840" t="s">
        <v>1031</v>
      </c>
      <c r="C7840" t="s">
        <v>10676</v>
      </c>
      <c r="D7840" t="s">
        <v>18056</v>
      </c>
      <c r="E7840" t="s">
        <v>24989</v>
      </c>
      <c r="F7840" t="s">
        <v>31574</v>
      </c>
      <c r="G7840" t="s">
        <v>31582</v>
      </c>
      <c r="H7840" t="s">
        <v>31591</v>
      </c>
      <c r="I7840" t="s">
        <v>8822</v>
      </c>
      <c r="J7840" t="s">
        <v>36704</v>
      </c>
      <c r="K7840" t="s">
        <v>41188</v>
      </c>
      <c r="M7840" t="s">
        <v>42572</v>
      </c>
      <c r="N7840" t="s">
        <v>45095</v>
      </c>
      <c r="O7840" t="s">
        <v>45096</v>
      </c>
      <c r="P7840">
        <v>0</v>
      </c>
      <c r="Q7840">
        <v>0</v>
      </c>
      <c r="R7840" t="s">
        <v>45103</v>
      </c>
      <c r="S7840" t="s">
        <v>45270</v>
      </c>
      <c r="T7840" t="s">
        <v>47010</v>
      </c>
      <c r="U7840" t="s">
        <v>53995</v>
      </c>
      <c r="W7840" t="s">
        <v>42572</v>
      </c>
      <c r="X7840" t="s">
        <v>45104</v>
      </c>
    </row>
    <row r="7841" spans="1:24">
      <c r="A7841">
        <f>HYPERLINK("https://www.philgeps.gov.ph/GEPSNONPILOT/Tender/SplashBidNoticeAbstractUI.aspx?menuIndex=3&amp;refID=7037493&amp;Result=3","7037493")</f>
        <v>0</v>
      </c>
      <c r="B7841" t="s">
        <v>1863</v>
      </c>
      <c r="C7841" t="s">
        <v>10677</v>
      </c>
      <c r="D7841" t="s">
        <v>18052</v>
      </c>
      <c r="E7841" t="s">
        <v>24990</v>
      </c>
      <c r="F7841" t="s">
        <v>31574</v>
      </c>
      <c r="G7841" t="s">
        <v>31582</v>
      </c>
      <c r="H7841" t="s">
        <v>31590</v>
      </c>
      <c r="I7841" t="s">
        <v>14544</v>
      </c>
      <c r="J7841" t="s">
        <v>36705</v>
      </c>
      <c r="K7841" t="s">
        <v>41196</v>
      </c>
      <c r="M7841" t="s">
        <v>43502</v>
      </c>
      <c r="N7841" t="s">
        <v>45095</v>
      </c>
      <c r="O7841" t="s">
        <v>45096</v>
      </c>
      <c r="P7841">
        <v>0</v>
      </c>
      <c r="Q7841">
        <v>0</v>
      </c>
      <c r="R7841" t="s">
        <v>45103</v>
      </c>
      <c r="S7841" t="s">
        <v>45270</v>
      </c>
      <c r="T7841" t="s">
        <v>46963</v>
      </c>
      <c r="U7841" t="s">
        <v>53996</v>
      </c>
      <c r="W7841" t="s">
        <v>43502</v>
      </c>
      <c r="X7841" t="s">
        <v>45104</v>
      </c>
    </row>
    <row r="7842" spans="1:24">
      <c r="A7842">
        <f>HYPERLINK("https://www.philgeps.gov.ph/GEPSNONPILOT/Tender/SplashBidNoticeAbstractUI.aspx?menuIndex=3&amp;refID=7037498&amp;Result=3","7037498")</f>
        <v>0</v>
      </c>
      <c r="B7842" t="s">
        <v>836</v>
      </c>
      <c r="C7842" t="s">
        <v>10678</v>
      </c>
      <c r="D7842" t="s">
        <v>18096</v>
      </c>
      <c r="E7842" t="s">
        <v>24991</v>
      </c>
      <c r="F7842" t="s">
        <v>31574</v>
      </c>
      <c r="G7842" t="s">
        <v>31581</v>
      </c>
      <c r="H7842" t="s">
        <v>31590</v>
      </c>
      <c r="I7842" t="s">
        <v>31604</v>
      </c>
      <c r="J7842" t="s">
        <v>36706</v>
      </c>
      <c r="K7842" t="s">
        <v>41196</v>
      </c>
      <c r="M7842" t="s">
        <v>43975</v>
      </c>
      <c r="N7842" t="s">
        <v>45095</v>
      </c>
      <c r="O7842" t="s">
        <v>45096</v>
      </c>
      <c r="P7842">
        <v>0</v>
      </c>
      <c r="Q7842">
        <v>2</v>
      </c>
      <c r="R7842" t="s">
        <v>45103</v>
      </c>
      <c r="S7842" t="s">
        <v>45270</v>
      </c>
      <c r="T7842" t="s">
        <v>47197</v>
      </c>
      <c r="U7842" t="s">
        <v>53993</v>
      </c>
      <c r="W7842" t="s">
        <v>43975</v>
      </c>
      <c r="X7842" t="s">
        <v>45104</v>
      </c>
    </row>
    <row r="7843" spans="1:24">
      <c r="A7843">
        <f>HYPERLINK("https://www.philgeps.gov.ph/GEPSNONPILOT/Tender/SplashBidNoticeAbstractUI.aspx?menuIndex=3&amp;refID=7037506&amp;Result=3","7037506")</f>
        <v>0</v>
      </c>
      <c r="B7843" t="s">
        <v>2273</v>
      </c>
      <c r="C7843" t="s">
        <v>10679</v>
      </c>
      <c r="D7843" t="s">
        <v>18071</v>
      </c>
      <c r="E7843" t="s">
        <v>24992</v>
      </c>
      <c r="F7843" t="s">
        <v>31574</v>
      </c>
      <c r="G7843" t="s">
        <v>31583</v>
      </c>
      <c r="H7843" t="s">
        <v>31590</v>
      </c>
      <c r="I7843" t="s">
        <v>3487</v>
      </c>
      <c r="J7843" t="s">
        <v>36707</v>
      </c>
      <c r="K7843" t="s">
        <v>41193</v>
      </c>
      <c r="M7843" t="s">
        <v>43977</v>
      </c>
      <c r="N7843" t="s">
        <v>45095</v>
      </c>
      <c r="O7843" t="s">
        <v>45096</v>
      </c>
      <c r="P7843">
        <v>0</v>
      </c>
      <c r="Q7843">
        <v>0</v>
      </c>
      <c r="R7843" t="s">
        <v>45103</v>
      </c>
      <c r="S7843" t="s">
        <v>45270</v>
      </c>
      <c r="T7843" t="s">
        <v>47177</v>
      </c>
      <c r="U7843" t="s">
        <v>49119</v>
      </c>
      <c r="W7843" t="s">
        <v>43977</v>
      </c>
      <c r="X7843" t="s">
        <v>45104</v>
      </c>
    </row>
    <row r="7844" spans="1:24">
      <c r="A7844">
        <f>HYPERLINK("https://www.philgeps.gov.ph/GEPSNONPILOT/Tender/SplashBidNoticeAbstractUI.aspx?menuIndex=3&amp;refID=7037497&amp;Result=3","7037497")</f>
        <v>0</v>
      </c>
      <c r="B7844" t="s">
        <v>333</v>
      </c>
      <c r="C7844" t="s">
        <v>10680</v>
      </c>
      <c r="D7844" t="s">
        <v>18081</v>
      </c>
      <c r="E7844" t="s">
        <v>24993</v>
      </c>
      <c r="F7844" t="s">
        <v>31574</v>
      </c>
      <c r="G7844" t="s">
        <v>31581</v>
      </c>
      <c r="H7844" t="s">
        <v>31590</v>
      </c>
      <c r="I7844" t="s">
        <v>8258</v>
      </c>
      <c r="J7844" t="s">
        <v>36708</v>
      </c>
      <c r="K7844" t="s">
        <v>41196</v>
      </c>
      <c r="M7844" t="s">
        <v>41821</v>
      </c>
      <c r="N7844" t="s">
        <v>45095</v>
      </c>
      <c r="O7844" t="s">
        <v>45096</v>
      </c>
      <c r="P7844">
        <v>0</v>
      </c>
      <c r="Q7844">
        <v>3</v>
      </c>
      <c r="R7844" t="s">
        <v>45103</v>
      </c>
      <c r="S7844" t="s">
        <v>45270</v>
      </c>
      <c r="T7844" t="s">
        <v>47050</v>
      </c>
      <c r="U7844" t="s">
        <v>53997</v>
      </c>
      <c r="W7844" t="s">
        <v>41821</v>
      </c>
      <c r="X7844" t="s">
        <v>45104</v>
      </c>
    </row>
    <row r="7845" spans="1:24">
      <c r="A7845">
        <f>HYPERLINK("https://www.philgeps.gov.ph/GEPSNONPILOT/Tender/SplashBidNoticeAbstractUI.aspx?menuIndex=3&amp;refID=7037518&amp;Result=3","7037518")</f>
        <v>0</v>
      </c>
      <c r="B7845" t="s">
        <v>2269</v>
      </c>
      <c r="C7845" t="s">
        <v>10681</v>
      </c>
      <c r="D7845" t="s">
        <v>18066</v>
      </c>
      <c r="E7845" t="s">
        <v>24994</v>
      </c>
      <c r="F7845" t="s">
        <v>31574</v>
      </c>
      <c r="G7845" t="s">
        <v>31582</v>
      </c>
      <c r="H7845" t="s">
        <v>31590</v>
      </c>
      <c r="I7845" t="s">
        <v>31615</v>
      </c>
      <c r="J7845" t="s">
        <v>32026</v>
      </c>
      <c r="K7845" t="s">
        <v>41184</v>
      </c>
      <c r="M7845" t="s">
        <v>43970</v>
      </c>
      <c r="N7845" t="s">
        <v>45095</v>
      </c>
      <c r="O7845" t="s">
        <v>45096</v>
      </c>
      <c r="P7845">
        <v>0</v>
      </c>
      <c r="Q7845">
        <v>1</v>
      </c>
      <c r="R7845" t="s">
        <v>45103</v>
      </c>
      <c r="S7845" t="s">
        <v>45270</v>
      </c>
      <c r="T7845" t="s">
        <v>47114</v>
      </c>
      <c r="U7845" t="s">
        <v>53978</v>
      </c>
      <c r="W7845" t="s">
        <v>43970</v>
      </c>
      <c r="X7845" t="s">
        <v>45104</v>
      </c>
    </row>
    <row r="7846" spans="1:24">
      <c r="A7846">
        <f>HYPERLINK("https://www.philgeps.gov.ph/GEPSNONPILOT/Tender/SplashBidNoticeAbstractUI.aspx?menuIndex=3&amp;refID=7037510&amp;Result=3","7037510")</f>
        <v>0</v>
      </c>
      <c r="B7846" t="s">
        <v>1079</v>
      </c>
      <c r="C7846" t="s">
        <v>10682</v>
      </c>
      <c r="E7846" t="s">
        <v>24995</v>
      </c>
      <c r="F7846" t="s">
        <v>31574</v>
      </c>
      <c r="G7846" t="s">
        <v>31584</v>
      </c>
      <c r="H7846" t="s">
        <v>31590</v>
      </c>
      <c r="I7846" t="s">
        <v>6800</v>
      </c>
      <c r="J7846" t="s">
        <v>36709</v>
      </c>
      <c r="K7846" t="s">
        <v>41184</v>
      </c>
      <c r="M7846" t="s">
        <v>43959</v>
      </c>
      <c r="N7846" t="s">
        <v>45095</v>
      </c>
      <c r="O7846" t="s">
        <v>45096</v>
      </c>
      <c r="P7846">
        <v>0</v>
      </c>
      <c r="Q7846">
        <v>4</v>
      </c>
      <c r="R7846" t="s">
        <v>45103</v>
      </c>
      <c r="S7846" t="s">
        <v>45270</v>
      </c>
      <c r="T7846" t="s">
        <v>47158</v>
      </c>
      <c r="U7846" t="s">
        <v>53998</v>
      </c>
      <c r="V7846" t="s">
        <v>60663</v>
      </c>
      <c r="W7846" t="s">
        <v>43959</v>
      </c>
      <c r="X7846" t="s">
        <v>45104</v>
      </c>
    </row>
    <row r="7847" spans="1:24">
      <c r="A7847">
        <f>HYPERLINK("https://www.philgeps.gov.ph/GEPSNONPILOT/Tender/SplashBidNoticeAbstractUI.aspx?menuIndex=3&amp;refID=7037494&amp;Result=3","7037494")</f>
        <v>0</v>
      </c>
      <c r="B7847" t="s">
        <v>1543</v>
      </c>
      <c r="C7847" t="s">
        <v>10683</v>
      </c>
      <c r="D7847" t="s">
        <v>18056</v>
      </c>
      <c r="E7847" t="s">
        <v>24996</v>
      </c>
      <c r="F7847" t="s">
        <v>31574</v>
      </c>
      <c r="G7847" t="s">
        <v>31581</v>
      </c>
      <c r="H7847" t="s">
        <v>31590</v>
      </c>
      <c r="I7847" t="s">
        <v>4046</v>
      </c>
      <c r="J7847" t="s">
        <v>36710</v>
      </c>
      <c r="K7847" t="s">
        <v>41196</v>
      </c>
      <c r="M7847" t="s">
        <v>43969</v>
      </c>
      <c r="N7847" t="s">
        <v>45095</v>
      </c>
      <c r="O7847" t="s">
        <v>45096</v>
      </c>
      <c r="P7847">
        <v>0</v>
      </c>
      <c r="Q7847">
        <v>0</v>
      </c>
      <c r="R7847" t="s">
        <v>45103</v>
      </c>
      <c r="S7847" t="s">
        <v>45270</v>
      </c>
      <c r="T7847" t="s">
        <v>47164</v>
      </c>
      <c r="U7847" t="s">
        <v>53999</v>
      </c>
      <c r="V7847" t="s">
        <v>60675</v>
      </c>
      <c r="W7847" t="s">
        <v>43969</v>
      </c>
      <c r="X7847" t="s">
        <v>45104</v>
      </c>
    </row>
    <row r="7848" spans="1:24">
      <c r="A7848">
        <f>HYPERLINK("https://www.philgeps.gov.ph/GEPSNONPILOT/Tender/SplashBidNoticeAbstractUI.aspx?menuIndex=3&amp;refID=7037519&amp;Result=3","7037519")</f>
        <v>0</v>
      </c>
      <c r="B7848" t="s">
        <v>333</v>
      </c>
      <c r="C7848" t="s">
        <v>10684</v>
      </c>
      <c r="D7848" t="s">
        <v>18081</v>
      </c>
      <c r="E7848" t="s">
        <v>24997</v>
      </c>
      <c r="F7848" t="s">
        <v>31574</v>
      </c>
      <c r="G7848" t="s">
        <v>31581</v>
      </c>
      <c r="H7848" t="s">
        <v>31590</v>
      </c>
      <c r="I7848" t="s">
        <v>6800</v>
      </c>
      <c r="J7848" t="s">
        <v>35619</v>
      </c>
      <c r="K7848" t="s">
        <v>41196</v>
      </c>
      <c r="M7848" t="s">
        <v>41821</v>
      </c>
      <c r="N7848" t="s">
        <v>45095</v>
      </c>
      <c r="O7848" t="s">
        <v>45096</v>
      </c>
      <c r="P7848">
        <v>0</v>
      </c>
      <c r="Q7848">
        <v>3</v>
      </c>
      <c r="R7848" t="s">
        <v>45103</v>
      </c>
      <c r="S7848" t="s">
        <v>45270</v>
      </c>
      <c r="T7848" t="s">
        <v>47050</v>
      </c>
      <c r="U7848" t="s">
        <v>54000</v>
      </c>
      <c r="W7848" t="s">
        <v>41821</v>
      </c>
      <c r="X7848" t="s">
        <v>45104</v>
      </c>
    </row>
    <row r="7849" spans="1:24">
      <c r="A7849">
        <f>HYPERLINK("https://www.philgeps.gov.ph/GEPSNONPILOT/Tender/SplashBidNoticeAbstractUI.aspx?menuIndex=3&amp;refID=7037516&amp;Result=3","7037516")</f>
        <v>0</v>
      </c>
      <c r="B7849" t="s">
        <v>1488</v>
      </c>
      <c r="C7849" t="s">
        <v>10685</v>
      </c>
      <c r="D7849" t="s">
        <v>18088</v>
      </c>
      <c r="E7849" t="s">
        <v>21914</v>
      </c>
      <c r="F7849" t="s">
        <v>31574</v>
      </c>
      <c r="G7849" t="s">
        <v>31583</v>
      </c>
      <c r="H7849" t="s">
        <v>31590</v>
      </c>
      <c r="I7849" t="s">
        <v>4327</v>
      </c>
      <c r="J7849" t="s">
        <v>31804</v>
      </c>
      <c r="K7849" t="s">
        <v>41184</v>
      </c>
      <c r="M7849" t="s">
        <v>43073</v>
      </c>
      <c r="N7849" t="s">
        <v>45095</v>
      </c>
      <c r="O7849" t="s">
        <v>45096</v>
      </c>
      <c r="P7849">
        <v>0</v>
      </c>
      <c r="Q7849">
        <v>0</v>
      </c>
      <c r="R7849" t="s">
        <v>45103</v>
      </c>
      <c r="S7849" t="s">
        <v>45270</v>
      </c>
      <c r="T7849" t="s">
        <v>47154</v>
      </c>
      <c r="U7849" t="s">
        <v>54001</v>
      </c>
      <c r="V7849" t="s">
        <v>60677</v>
      </c>
      <c r="W7849" t="s">
        <v>43073</v>
      </c>
      <c r="X7849" t="s">
        <v>45104</v>
      </c>
    </row>
    <row r="7850" spans="1:24">
      <c r="A7850">
        <f>HYPERLINK("https://www.philgeps.gov.ph/GEPSNONPILOT/Tender/SplashBidNoticeAbstractUI.aspx?menuIndex=3&amp;refID=7037515&amp;Result=3","7037515")</f>
        <v>0</v>
      </c>
      <c r="B7850" t="s">
        <v>1589</v>
      </c>
      <c r="C7850" t="s">
        <v>10686</v>
      </c>
      <c r="D7850" t="s">
        <v>18022</v>
      </c>
      <c r="E7850" t="s">
        <v>24998</v>
      </c>
      <c r="F7850" t="s">
        <v>31574</v>
      </c>
      <c r="G7850" t="s">
        <v>31582</v>
      </c>
      <c r="H7850" t="s">
        <v>31590</v>
      </c>
      <c r="I7850" t="s">
        <v>3487</v>
      </c>
      <c r="J7850" t="s">
        <v>36711</v>
      </c>
      <c r="K7850" t="s">
        <v>41196</v>
      </c>
      <c r="M7850" t="s">
        <v>43910</v>
      </c>
      <c r="N7850" t="s">
        <v>45095</v>
      </c>
      <c r="O7850" t="s">
        <v>45096</v>
      </c>
      <c r="P7850">
        <v>0</v>
      </c>
      <c r="Q7850">
        <v>0</v>
      </c>
      <c r="R7850" t="s">
        <v>45103</v>
      </c>
      <c r="S7850" t="s">
        <v>45270</v>
      </c>
      <c r="T7850" t="s">
        <v>46985</v>
      </c>
      <c r="U7850" t="s">
        <v>51488</v>
      </c>
      <c r="W7850" t="s">
        <v>43910</v>
      </c>
      <c r="X7850" t="s">
        <v>45104</v>
      </c>
    </row>
    <row r="7851" spans="1:24">
      <c r="A7851">
        <f>HYPERLINK("https://www.philgeps.gov.ph/GEPSNONPILOT/Tender/SplashBidNoticeAbstractUI.aspx?menuIndex=3&amp;refID=7037509&amp;Result=3","7037509")</f>
        <v>0</v>
      </c>
      <c r="B7851" t="s">
        <v>357</v>
      </c>
      <c r="C7851" t="s">
        <v>10687</v>
      </c>
      <c r="D7851" t="s">
        <v>18026</v>
      </c>
      <c r="E7851" t="s">
        <v>24999</v>
      </c>
      <c r="F7851" t="s">
        <v>31574</v>
      </c>
      <c r="G7851" t="s">
        <v>31582</v>
      </c>
      <c r="H7851" t="s">
        <v>31590</v>
      </c>
      <c r="I7851" t="s">
        <v>31608</v>
      </c>
      <c r="J7851" t="s">
        <v>35260</v>
      </c>
      <c r="K7851" t="s">
        <v>41184</v>
      </c>
      <c r="M7851" t="s">
        <v>42576</v>
      </c>
      <c r="N7851" t="s">
        <v>45095</v>
      </c>
      <c r="O7851" t="s">
        <v>45096</v>
      </c>
      <c r="P7851">
        <v>0</v>
      </c>
      <c r="Q7851">
        <v>1</v>
      </c>
      <c r="R7851" t="s">
        <v>45103</v>
      </c>
      <c r="S7851" t="s">
        <v>45270</v>
      </c>
      <c r="T7851" t="s">
        <v>47076</v>
      </c>
      <c r="U7851" t="s">
        <v>54002</v>
      </c>
      <c r="W7851" t="s">
        <v>42576</v>
      </c>
      <c r="X7851" t="s">
        <v>45104</v>
      </c>
    </row>
    <row r="7852" spans="1:24">
      <c r="A7852">
        <f>HYPERLINK("https://www.philgeps.gov.ph/GEPSNONPILOT/Tender/SplashBidNoticeAbstractUI.aspx?menuIndex=3&amp;refID=7037514&amp;Result=3","7037514")</f>
        <v>0</v>
      </c>
      <c r="B7852" t="s">
        <v>1031</v>
      </c>
      <c r="C7852" t="s">
        <v>10688</v>
      </c>
      <c r="D7852" t="s">
        <v>18056</v>
      </c>
      <c r="E7852" t="s">
        <v>25000</v>
      </c>
      <c r="F7852" t="s">
        <v>31574</v>
      </c>
      <c r="G7852" t="s">
        <v>31582</v>
      </c>
      <c r="H7852" t="s">
        <v>31591</v>
      </c>
      <c r="I7852" t="s">
        <v>8822</v>
      </c>
      <c r="J7852" t="s">
        <v>36712</v>
      </c>
      <c r="K7852" t="s">
        <v>41198</v>
      </c>
      <c r="M7852" t="s">
        <v>42572</v>
      </c>
      <c r="N7852" t="s">
        <v>45095</v>
      </c>
      <c r="O7852" t="s">
        <v>45096</v>
      </c>
      <c r="P7852">
        <v>0</v>
      </c>
      <c r="Q7852">
        <v>2</v>
      </c>
      <c r="R7852" t="s">
        <v>45103</v>
      </c>
      <c r="S7852" t="s">
        <v>45270</v>
      </c>
      <c r="T7852" t="s">
        <v>47010</v>
      </c>
      <c r="U7852" t="s">
        <v>54003</v>
      </c>
      <c r="W7852" t="s">
        <v>42572</v>
      </c>
      <c r="X7852" t="s">
        <v>45104</v>
      </c>
    </row>
    <row r="7853" spans="1:24">
      <c r="A7853">
        <f>HYPERLINK("https://www.philgeps.gov.ph/GEPSNONPILOT/Tender/SplashBidNoticeAbstractUI.aspx?menuIndex=3&amp;refID=7037534&amp;Result=3","7037534")</f>
        <v>0</v>
      </c>
      <c r="B7853" t="s">
        <v>1936</v>
      </c>
      <c r="C7853" t="s">
        <v>10689</v>
      </c>
      <c r="D7853" t="s">
        <v>18039</v>
      </c>
      <c r="E7853" t="s">
        <v>25001</v>
      </c>
      <c r="F7853" t="s">
        <v>31575</v>
      </c>
      <c r="G7853" t="s">
        <v>31581</v>
      </c>
      <c r="H7853" t="s">
        <v>31590</v>
      </c>
      <c r="I7853" t="s">
        <v>31614</v>
      </c>
      <c r="J7853" t="s">
        <v>36713</v>
      </c>
      <c r="K7853" t="s">
        <v>41213</v>
      </c>
      <c r="M7853" t="s">
        <v>43591</v>
      </c>
      <c r="N7853" t="s">
        <v>45095</v>
      </c>
      <c r="O7853" t="s">
        <v>45096</v>
      </c>
      <c r="P7853">
        <v>0</v>
      </c>
      <c r="Q7853">
        <v>0</v>
      </c>
      <c r="R7853" t="s">
        <v>45103</v>
      </c>
      <c r="S7853" t="s">
        <v>45270</v>
      </c>
      <c r="T7853" t="s">
        <v>47067</v>
      </c>
      <c r="U7853" t="s">
        <v>54004</v>
      </c>
      <c r="W7853" t="s">
        <v>43591</v>
      </c>
      <c r="X7853" t="s">
        <v>45104</v>
      </c>
    </row>
    <row r="7854" spans="1:24">
      <c r="A7854">
        <f>HYPERLINK("https://www.philgeps.gov.ph/GEPSNONPILOT/Tender/SplashBidNoticeAbstractUI.aspx?menuIndex=3&amp;refID=7037513&amp;Result=3","7037513")</f>
        <v>0</v>
      </c>
      <c r="B7854" t="s">
        <v>2227</v>
      </c>
      <c r="C7854" t="s">
        <v>10690</v>
      </c>
      <c r="E7854" t="s">
        <v>25002</v>
      </c>
      <c r="F7854" t="s">
        <v>31574</v>
      </c>
      <c r="G7854" t="s">
        <v>31589</v>
      </c>
      <c r="H7854" t="s">
        <v>31591</v>
      </c>
      <c r="I7854" t="s">
        <v>8822</v>
      </c>
      <c r="J7854" t="s">
        <v>36714</v>
      </c>
      <c r="K7854" t="s">
        <v>41184</v>
      </c>
      <c r="M7854" t="s">
        <v>43920</v>
      </c>
      <c r="N7854" t="s">
        <v>45095</v>
      </c>
      <c r="O7854" t="s">
        <v>45096</v>
      </c>
      <c r="P7854">
        <v>0</v>
      </c>
      <c r="Q7854">
        <v>1</v>
      </c>
      <c r="R7854" t="s">
        <v>45103</v>
      </c>
      <c r="S7854" t="s">
        <v>45270</v>
      </c>
      <c r="T7854" t="s">
        <v>47000</v>
      </c>
      <c r="U7854" t="s">
        <v>54005</v>
      </c>
      <c r="W7854" t="s">
        <v>61731</v>
      </c>
      <c r="X7854" t="s">
        <v>45104</v>
      </c>
    </row>
    <row r="7855" spans="1:24">
      <c r="A7855">
        <f>HYPERLINK("https://www.philgeps.gov.ph/GEPSNONPILOT/Tender/SplashBidNoticeAbstractUI.aspx?menuIndex=3&amp;refID=7037537&amp;Result=3","7037537")</f>
        <v>0</v>
      </c>
      <c r="B7855" t="s">
        <v>2268</v>
      </c>
      <c r="C7855" t="s">
        <v>10691</v>
      </c>
      <c r="D7855" t="s">
        <v>18059</v>
      </c>
      <c r="E7855" t="s">
        <v>25003</v>
      </c>
      <c r="F7855" t="s">
        <v>31574</v>
      </c>
      <c r="G7855" t="s">
        <v>31582</v>
      </c>
      <c r="H7855" t="s">
        <v>31590</v>
      </c>
      <c r="I7855" t="s">
        <v>31596</v>
      </c>
      <c r="J7855" t="s">
        <v>36715</v>
      </c>
      <c r="K7855" t="s">
        <v>41184</v>
      </c>
      <c r="M7855" t="s">
        <v>43968</v>
      </c>
      <c r="N7855" t="s">
        <v>45095</v>
      </c>
      <c r="O7855" t="s">
        <v>45096</v>
      </c>
      <c r="Q7855">
        <v>1</v>
      </c>
      <c r="R7855" t="s">
        <v>45103</v>
      </c>
      <c r="S7855" t="s">
        <v>45295</v>
      </c>
      <c r="T7855" t="s">
        <v>47000</v>
      </c>
      <c r="U7855" t="s">
        <v>54006</v>
      </c>
      <c r="W7855" t="s">
        <v>43968</v>
      </c>
      <c r="X7855" t="s">
        <v>45104</v>
      </c>
    </row>
    <row r="7856" spans="1:24">
      <c r="A7856">
        <f>HYPERLINK("https://www.philgeps.gov.ph/GEPSNONPILOT/Tender/SplashBidNoticeAbstractUI.aspx?menuIndex=3&amp;refID=7037536&amp;Result=3","7037536")</f>
        <v>0</v>
      </c>
      <c r="B7856" t="s">
        <v>2274</v>
      </c>
      <c r="C7856" t="s">
        <v>10692</v>
      </c>
      <c r="D7856" t="s">
        <v>18037</v>
      </c>
      <c r="E7856" t="s">
        <v>25004</v>
      </c>
      <c r="F7856" t="s">
        <v>31574</v>
      </c>
      <c r="G7856" t="s">
        <v>31582</v>
      </c>
      <c r="H7856" t="s">
        <v>31590</v>
      </c>
      <c r="I7856" t="s">
        <v>7185</v>
      </c>
      <c r="J7856" t="s">
        <v>36716</v>
      </c>
      <c r="K7856" t="s">
        <v>41196</v>
      </c>
      <c r="M7856" t="s">
        <v>43978</v>
      </c>
      <c r="N7856" t="s">
        <v>45095</v>
      </c>
      <c r="O7856" t="s">
        <v>45096</v>
      </c>
      <c r="P7856">
        <v>0</v>
      </c>
      <c r="Q7856">
        <v>2</v>
      </c>
      <c r="R7856" t="s">
        <v>45103</v>
      </c>
      <c r="S7856" t="s">
        <v>45270</v>
      </c>
      <c r="T7856" t="s">
        <v>46977</v>
      </c>
      <c r="U7856" t="s">
        <v>54007</v>
      </c>
      <c r="W7856" t="s">
        <v>43978</v>
      </c>
      <c r="X7856" t="s">
        <v>45104</v>
      </c>
    </row>
    <row r="7857" spans="1:24">
      <c r="A7857">
        <f>HYPERLINK("https://www.philgeps.gov.ph/GEPSNONPILOT/Tender/SplashBidNoticeAbstractUI.aspx?menuIndex=3&amp;refID=7037520&amp;Result=3","7037520")</f>
        <v>0</v>
      </c>
      <c r="B7857" t="s">
        <v>1492</v>
      </c>
      <c r="C7857" t="s">
        <v>10693</v>
      </c>
      <c r="D7857" t="s">
        <v>18072</v>
      </c>
      <c r="E7857" t="s">
        <v>25005</v>
      </c>
      <c r="F7857" t="s">
        <v>31574</v>
      </c>
      <c r="G7857" t="s">
        <v>31582</v>
      </c>
      <c r="H7857" t="s">
        <v>31590</v>
      </c>
      <c r="I7857" t="s">
        <v>4046</v>
      </c>
      <c r="J7857" t="s">
        <v>36717</v>
      </c>
      <c r="K7857" t="s">
        <v>41202</v>
      </c>
      <c r="M7857" t="s">
        <v>43077</v>
      </c>
      <c r="N7857" t="s">
        <v>45095</v>
      </c>
      <c r="O7857" t="s">
        <v>45096</v>
      </c>
      <c r="P7857">
        <v>0</v>
      </c>
      <c r="Q7857">
        <v>1</v>
      </c>
      <c r="R7857" t="s">
        <v>45103</v>
      </c>
      <c r="S7857" t="s">
        <v>45270</v>
      </c>
      <c r="T7857" t="s">
        <v>47301</v>
      </c>
      <c r="U7857" t="s">
        <v>54008</v>
      </c>
      <c r="W7857" t="s">
        <v>43077</v>
      </c>
      <c r="X7857" t="s">
        <v>45104</v>
      </c>
    </row>
    <row r="7858" spans="1:24">
      <c r="A7858">
        <f>HYPERLINK("https://www.philgeps.gov.ph/GEPSNONPILOT/Tender/SplashBidNoticeAbstractUI.aspx?menuIndex=3&amp;refID=7037511&amp;Result=3","7037511")</f>
        <v>0</v>
      </c>
      <c r="B7858" t="s">
        <v>2243</v>
      </c>
      <c r="C7858" t="s">
        <v>10694</v>
      </c>
      <c r="D7858" t="s">
        <v>18022</v>
      </c>
      <c r="E7858" t="s">
        <v>25006</v>
      </c>
      <c r="F7858" t="s">
        <v>31574</v>
      </c>
      <c r="G7858" t="s">
        <v>31583</v>
      </c>
      <c r="H7858" t="s">
        <v>31590</v>
      </c>
      <c r="I7858" t="s">
        <v>31623</v>
      </c>
      <c r="J7858" t="s">
        <v>32258</v>
      </c>
      <c r="K7858" t="s">
        <v>41186</v>
      </c>
      <c r="M7858" t="s">
        <v>43941</v>
      </c>
      <c r="N7858" t="s">
        <v>45095</v>
      </c>
      <c r="O7858" t="s">
        <v>45096</v>
      </c>
      <c r="P7858">
        <v>0</v>
      </c>
      <c r="Q7858">
        <v>3</v>
      </c>
      <c r="R7858" t="s">
        <v>45103</v>
      </c>
      <c r="S7858" t="s">
        <v>45270</v>
      </c>
      <c r="T7858" t="s">
        <v>47191</v>
      </c>
      <c r="U7858" t="s">
        <v>54009</v>
      </c>
      <c r="W7858" t="s">
        <v>43941</v>
      </c>
      <c r="X7858" t="s">
        <v>45104</v>
      </c>
    </row>
    <row r="7859" spans="1:24">
      <c r="A7859">
        <f>HYPERLINK("https://www.philgeps.gov.ph/GEPSNONPILOT/Tender/SplashBidNoticeAbstractUI.aspx?menuIndex=3&amp;refID=7037530&amp;Result=3","7037530")</f>
        <v>0</v>
      </c>
      <c r="B7859" t="s">
        <v>2275</v>
      </c>
      <c r="C7859" t="s">
        <v>10695</v>
      </c>
      <c r="D7859" t="s">
        <v>18039</v>
      </c>
      <c r="E7859" t="s">
        <v>24580</v>
      </c>
      <c r="F7859" t="s">
        <v>31574</v>
      </c>
      <c r="G7859" t="s">
        <v>31582</v>
      </c>
      <c r="H7859" t="s">
        <v>31591</v>
      </c>
      <c r="I7859" t="s">
        <v>8822</v>
      </c>
      <c r="J7859" t="s">
        <v>36718</v>
      </c>
      <c r="K7859" t="s">
        <v>41189</v>
      </c>
      <c r="M7859" t="s">
        <v>43979</v>
      </c>
      <c r="N7859" t="s">
        <v>45095</v>
      </c>
      <c r="O7859" t="s">
        <v>45096</v>
      </c>
      <c r="P7859">
        <v>0</v>
      </c>
      <c r="Q7859">
        <v>0</v>
      </c>
      <c r="R7859" t="s">
        <v>45103</v>
      </c>
      <c r="S7859" t="s">
        <v>45270</v>
      </c>
      <c r="T7859" t="s">
        <v>47004</v>
      </c>
      <c r="U7859" t="s">
        <v>54010</v>
      </c>
      <c r="W7859" t="s">
        <v>43979</v>
      </c>
      <c r="X7859" t="s">
        <v>45104</v>
      </c>
    </row>
    <row r="7860" spans="1:24">
      <c r="A7860">
        <f>HYPERLINK("https://www.philgeps.gov.ph/GEPSNONPILOT/Tender/SplashBidNoticeAbstractUI.aspx?menuIndex=3&amp;refID=7037535&amp;Result=3","7037535")</f>
        <v>0</v>
      </c>
      <c r="B7860" t="s">
        <v>2270</v>
      </c>
      <c r="C7860" t="s">
        <v>10696</v>
      </c>
      <c r="D7860" t="s">
        <v>18044</v>
      </c>
      <c r="E7860" t="s">
        <v>25007</v>
      </c>
      <c r="F7860" t="s">
        <v>31574</v>
      </c>
      <c r="G7860" t="s">
        <v>31581</v>
      </c>
      <c r="H7860" t="s">
        <v>31590</v>
      </c>
      <c r="I7860" t="s">
        <v>3487</v>
      </c>
      <c r="J7860" t="s">
        <v>32017</v>
      </c>
      <c r="K7860" t="s">
        <v>41190</v>
      </c>
      <c r="M7860" t="s">
        <v>43980</v>
      </c>
      <c r="N7860" t="s">
        <v>45095</v>
      </c>
      <c r="O7860" t="s">
        <v>45096</v>
      </c>
      <c r="P7860">
        <v>0</v>
      </c>
      <c r="Q7860">
        <v>1</v>
      </c>
      <c r="R7860" t="s">
        <v>45103</v>
      </c>
      <c r="S7860" t="s">
        <v>45270</v>
      </c>
      <c r="T7860" t="s">
        <v>46911</v>
      </c>
      <c r="U7860" t="s">
        <v>54011</v>
      </c>
      <c r="W7860" t="s">
        <v>61730</v>
      </c>
      <c r="X7860" t="s">
        <v>45104</v>
      </c>
    </row>
    <row r="7861" spans="1:24">
      <c r="A7861">
        <f>HYPERLINK("https://www.philgeps.gov.ph/GEPSNONPILOT/Tender/SplashBidNoticeAbstractUI.aspx?menuIndex=3&amp;refID=7037540&amp;Result=3","7037540")</f>
        <v>0</v>
      </c>
      <c r="B7861" t="s">
        <v>522</v>
      </c>
      <c r="C7861" t="s">
        <v>8699</v>
      </c>
      <c r="D7861" t="s">
        <v>18101</v>
      </c>
      <c r="E7861" t="s">
        <v>25008</v>
      </c>
      <c r="F7861" t="s">
        <v>31575</v>
      </c>
      <c r="G7861" t="s">
        <v>31581</v>
      </c>
      <c r="H7861" t="s">
        <v>31592</v>
      </c>
      <c r="I7861" t="s">
        <v>4327</v>
      </c>
      <c r="J7861" t="s">
        <v>36719</v>
      </c>
      <c r="K7861" t="s">
        <v>41193</v>
      </c>
      <c r="M7861" t="s">
        <v>42018</v>
      </c>
      <c r="N7861" t="s">
        <v>45095</v>
      </c>
      <c r="O7861" t="s">
        <v>45096</v>
      </c>
      <c r="P7861">
        <v>0</v>
      </c>
      <c r="Q7861">
        <v>1</v>
      </c>
      <c r="R7861" t="s">
        <v>45103</v>
      </c>
      <c r="S7861" t="s">
        <v>45270</v>
      </c>
      <c r="T7861" t="s">
        <v>47067</v>
      </c>
      <c r="U7861" t="s">
        <v>54012</v>
      </c>
      <c r="W7861" t="s">
        <v>42018</v>
      </c>
      <c r="X7861" t="s">
        <v>45104</v>
      </c>
    </row>
    <row r="7862" spans="1:24">
      <c r="A7862">
        <f>HYPERLINK("https://www.philgeps.gov.ph/GEPSNONPILOT/Tender/SplashBidNoticeAbstractUI.aspx?menuIndex=3&amp;refID=7037512&amp;Result=3","7037512")</f>
        <v>0</v>
      </c>
      <c r="B7862" t="s">
        <v>2148</v>
      </c>
      <c r="C7862" t="s">
        <v>10697</v>
      </c>
      <c r="D7862" t="s">
        <v>18092</v>
      </c>
      <c r="E7862" t="s">
        <v>25009</v>
      </c>
      <c r="F7862" t="s">
        <v>31574</v>
      </c>
      <c r="G7862" t="s">
        <v>31582</v>
      </c>
      <c r="H7862" t="s">
        <v>31591</v>
      </c>
      <c r="I7862" t="s">
        <v>8822</v>
      </c>
      <c r="J7862" t="s">
        <v>36720</v>
      </c>
      <c r="K7862" t="s">
        <v>41189</v>
      </c>
      <c r="M7862" t="s">
        <v>43830</v>
      </c>
      <c r="N7862" t="s">
        <v>45095</v>
      </c>
      <c r="O7862" t="s">
        <v>45096</v>
      </c>
      <c r="P7862">
        <v>0</v>
      </c>
      <c r="Q7862">
        <v>0</v>
      </c>
      <c r="R7862" t="s">
        <v>45103</v>
      </c>
      <c r="S7862" t="s">
        <v>45270</v>
      </c>
      <c r="T7862" t="s">
        <v>47166</v>
      </c>
      <c r="U7862" t="s">
        <v>54013</v>
      </c>
      <c r="W7862" t="s">
        <v>43830</v>
      </c>
      <c r="X7862" t="s">
        <v>45104</v>
      </c>
    </row>
    <row r="7863" spans="1:24">
      <c r="A7863">
        <f>HYPERLINK("https://www.philgeps.gov.ph/GEPSNONPILOT/Tender/SplashBidNoticeAbstractUI.aspx?menuIndex=3&amp;refID=7037552&amp;Result=3","7037552")</f>
        <v>0</v>
      </c>
      <c r="B7863" t="s">
        <v>955</v>
      </c>
      <c r="C7863" t="s">
        <v>10698</v>
      </c>
      <c r="D7863" t="s">
        <v>18043</v>
      </c>
      <c r="E7863" t="s">
        <v>25010</v>
      </c>
      <c r="F7863" t="s">
        <v>31574</v>
      </c>
      <c r="G7863" t="s">
        <v>31582</v>
      </c>
      <c r="H7863" t="s">
        <v>31590</v>
      </c>
      <c r="I7863" t="s">
        <v>3901</v>
      </c>
      <c r="J7863" t="s">
        <v>32497</v>
      </c>
      <c r="K7863" t="s">
        <v>41184</v>
      </c>
      <c r="M7863" t="s">
        <v>42482</v>
      </c>
      <c r="N7863" t="s">
        <v>45095</v>
      </c>
      <c r="O7863" t="s">
        <v>45096</v>
      </c>
      <c r="P7863">
        <v>0</v>
      </c>
      <c r="Q7863">
        <v>2</v>
      </c>
      <c r="R7863" t="s">
        <v>45103</v>
      </c>
      <c r="S7863" t="s">
        <v>45270</v>
      </c>
      <c r="T7863" t="s">
        <v>46992</v>
      </c>
      <c r="U7863" t="s">
        <v>54014</v>
      </c>
      <c r="W7863" t="s">
        <v>42482</v>
      </c>
      <c r="X7863" t="s">
        <v>45104</v>
      </c>
    </row>
    <row r="7864" spans="1:24">
      <c r="A7864">
        <f>HYPERLINK("https://www.philgeps.gov.ph/GEPSNONPILOT/Tender/SplashBidNoticeAbstractUI.aspx?menuIndex=3&amp;refID=7037541&amp;Result=3","7037541")</f>
        <v>0</v>
      </c>
      <c r="B7864" t="s">
        <v>1385</v>
      </c>
      <c r="C7864" t="s">
        <v>10699</v>
      </c>
      <c r="D7864" t="s">
        <v>18103</v>
      </c>
      <c r="E7864" t="s">
        <v>25011</v>
      </c>
      <c r="F7864" t="s">
        <v>31574</v>
      </c>
      <c r="G7864" t="s">
        <v>31581</v>
      </c>
      <c r="H7864" t="s">
        <v>31590</v>
      </c>
      <c r="I7864" t="s">
        <v>4327</v>
      </c>
      <c r="J7864" t="s">
        <v>36721</v>
      </c>
      <c r="K7864" t="s">
        <v>41184</v>
      </c>
      <c r="M7864" t="s">
        <v>42959</v>
      </c>
      <c r="N7864" t="s">
        <v>45095</v>
      </c>
      <c r="O7864" t="s">
        <v>45096</v>
      </c>
      <c r="P7864">
        <v>0</v>
      </c>
      <c r="Q7864">
        <v>6</v>
      </c>
      <c r="R7864" t="s">
        <v>45103</v>
      </c>
      <c r="S7864" t="s">
        <v>45270</v>
      </c>
      <c r="T7864" t="s">
        <v>47183</v>
      </c>
      <c r="U7864" t="s">
        <v>50825</v>
      </c>
      <c r="W7864" t="s">
        <v>42959</v>
      </c>
      <c r="X7864" t="s">
        <v>45104</v>
      </c>
    </row>
    <row r="7865" spans="1:24">
      <c r="A7865">
        <f>HYPERLINK("https://www.philgeps.gov.ph/GEPSNONPILOT/Tender/SplashBidNoticeAbstractUI.aspx?menuIndex=3&amp;refID=7037549&amp;Result=3","7037549")</f>
        <v>0</v>
      </c>
      <c r="B7865" t="s">
        <v>2276</v>
      </c>
      <c r="C7865" t="s">
        <v>10700</v>
      </c>
      <c r="D7865" t="s">
        <v>18093</v>
      </c>
      <c r="E7865" t="s">
        <v>25012</v>
      </c>
      <c r="F7865" t="s">
        <v>31574</v>
      </c>
      <c r="G7865" t="s">
        <v>31582</v>
      </c>
      <c r="H7865" t="s">
        <v>31590</v>
      </c>
      <c r="I7865" t="s">
        <v>31615</v>
      </c>
      <c r="J7865" t="s">
        <v>31935</v>
      </c>
      <c r="K7865" t="s">
        <v>41186</v>
      </c>
      <c r="M7865" t="s">
        <v>43981</v>
      </c>
      <c r="N7865" t="s">
        <v>45095</v>
      </c>
      <c r="O7865" t="s">
        <v>45096</v>
      </c>
      <c r="P7865">
        <v>0</v>
      </c>
      <c r="Q7865">
        <v>0</v>
      </c>
      <c r="R7865" t="s">
        <v>45103</v>
      </c>
      <c r="S7865" t="s">
        <v>45270</v>
      </c>
      <c r="T7865" t="s">
        <v>46992</v>
      </c>
      <c r="U7865" t="s">
        <v>54015</v>
      </c>
      <c r="W7865" t="s">
        <v>43981</v>
      </c>
      <c r="X7865" t="s">
        <v>45104</v>
      </c>
    </row>
    <row r="7866" spans="1:24">
      <c r="A7866">
        <f>HYPERLINK("https://www.philgeps.gov.ph/GEPSNONPILOT/Tender/SplashBidNoticeAbstractUI.aspx?menuIndex=3&amp;refID=7037548&amp;Result=3","7037548")</f>
        <v>0</v>
      </c>
      <c r="B7866" t="s">
        <v>1554</v>
      </c>
      <c r="C7866" t="s">
        <v>10701</v>
      </c>
      <c r="D7866" t="s">
        <v>18056</v>
      </c>
      <c r="E7866" t="s">
        <v>25013</v>
      </c>
      <c r="F7866" t="s">
        <v>31574</v>
      </c>
      <c r="G7866" t="s">
        <v>31581</v>
      </c>
      <c r="H7866" t="s">
        <v>31591</v>
      </c>
      <c r="I7866" t="s">
        <v>31653</v>
      </c>
      <c r="J7866" t="s">
        <v>36722</v>
      </c>
      <c r="K7866" t="s">
        <v>41191</v>
      </c>
      <c r="M7866" t="s">
        <v>43153</v>
      </c>
      <c r="N7866" t="s">
        <v>45095</v>
      </c>
      <c r="O7866" t="s">
        <v>45096</v>
      </c>
      <c r="P7866">
        <v>0</v>
      </c>
      <c r="Q7866">
        <v>1</v>
      </c>
      <c r="R7866" t="s">
        <v>45103</v>
      </c>
      <c r="S7866" t="s">
        <v>45270</v>
      </c>
      <c r="T7866" t="s">
        <v>47159</v>
      </c>
      <c r="U7866" t="s">
        <v>54016</v>
      </c>
      <c r="W7866" t="s">
        <v>43153</v>
      </c>
      <c r="X7866" t="s">
        <v>45104</v>
      </c>
    </row>
    <row r="7867" spans="1:24">
      <c r="A7867">
        <f>HYPERLINK("https://www.philgeps.gov.ph/GEPSNONPILOT/Tender/SplashBidNoticeAbstractUI.aspx?menuIndex=3&amp;refID=7037550&amp;Result=3","7037550")</f>
        <v>0</v>
      </c>
      <c r="B7867" t="s">
        <v>2243</v>
      </c>
      <c r="C7867" t="s">
        <v>10702</v>
      </c>
      <c r="D7867" t="s">
        <v>18022</v>
      </c>
      <c r="E7867" t="s">
        <v>25014</v>
      </c>
      <c r="F7867" t="s">
        <v>31574</v>
      </c>
      <c r="G7867" t="s">
        <v>31581</v>
      </c>
      <c r="H7867" t="s">
        <v>31590</v>
      </c>
      <c r="I7867" t="s">
        <v>31637</v>
      </c>
      <c r="J7867" t="s">
        <v>36723</v>
      </c>
      <c r="K7867" t="s">
        <v>41186</v>
      </c>
      <c r="M7867" t="s">
        <v>43941</v>
      </c>
      <c r="N7867" t="s">
        <v>45095</v>
      </c>
      <c r="O7867" t="s">
        <v>45096</v>
      </c>
      <c r="P7867">
        <v>0</v>
      </c>
      <c r="Q7867">
        <v>9</v>
      </c>
      <c r="R7867" t="s">
        <v>45103</v>
      </c>
      <c r="S7867" t="s">
        <v>45270</v>
      </c>
      <c r="T7867" t="s">
        <v>47191</v>
      </c>
      <c r="U7867" t="s">
        <v>54009</v>
      </c>
      <c r="W7867" t="s">
        <v>43941</v>
      </c>
      <c r="X7867" t="s">
        <v>45104</v>
      </c>
    </row>
    <row r="7868" spans="1:24">
      <c r="A7868">
        <f>HYPERLINK("https://www.philgeps.gov.ph/GEPSNONPILOT/Tender/SplashBidNoticeAbstractUI.aspx?menuIndex=3&amp;refID=7037583&amp;Result=3","7037583")</f>
        <v>0</v>
      </c>
      <c r="B7868" t="s">
        <v>1029</v>
      </c>
      <c r="C7868" t="s">
        <v>10703</v>
      </c>
      <c r="E7868" t="s">
        <v>25015</v>
      </c>
      <c r="F7868" t="s">
        <v>31574</v>
      </c>
      <c r="G7868" t="s">
        <v>31581</v>
      </c>
      <c r="H7868" t="s">
        <v>31590</v>
      </c>
      <c r="I7868" t="s">
        <v>3487</v>
      </c>
      <c r="J7868" t="s">
        <v>36724</v>
      </c>
      <c r="K7868" t="s">
        <v>41184</v>
      </c>
      <c r="M7868" t="s">
        <v>43982</v>
      </c>
      <c r="N7868" t="s">
        <v>45095</v>
      </c>
      <c r="O7868" t="s">
        <v>45096</v>
      </c>
      <c r="P7868">
        <v>0</v>
      </c>
      <c r="Q7868">
        <v>1</v>
      </c>
      <c r="R7868" t="s">
        <v>45103</v>
      </c>
      <c r="S7868" t="s">
        <v>45270</v>
      </c>
      <c r="T7868" t="s">
        <v>46931</v>
      </c>
      <c r="U7868" t="s">
        <v>54017</v>
      </c>
      <c r="W7868" t="s">
        <v>43982</v>
      </c>
      <c r="X7868" t="s">
        <v>45104</v>
      </c>
    </row>
    <row r="7869" spans="1:24">
      <c r="A7869">
        <f>HYPERLINK("https://www.philgeps.gov.ph/GEPSNONPILOT/Tender/SplashBidNoticeAbstractUI.aspx?menuIndex=3&amp;refID=7037543&amp;Result=3","7037543")</f>
        <v>0</v>
      </c>
      <c r="B7869" t="s">
        <v>1715</v>
      </c>
      <c r="C7869" t="s">
        <v>6692</v>
      </c>
      <c r="D7869" t="s">
        <v>18035</v>
      </c>
      <c r="E7869" t="s">
        <v>25016</v>
      </c>
      <c r="F7869" t="s">
        <v>31574</v>
      </c>
      <c r="G7869" t="s">
        <v>31581</v>
      </c>
      <c r="H7869" t="s">
        <v>31590</v>
      </c>
      <c r="I7869" t="s">
        <v>8258</v>
      </c>
      <c r="J7869" t="s">
        <v>36725</v>
      </c>
      <c r="K7869" t="s">
        <v>41184</v>
      </c>
      <c r="M7869" t="s">
        <v>43331</v>
      </c>
      <c r="N7869" t="s">
        <v>45095</v>
      </c>
      <c r="O7869" t="s">
        <v>45096</v>
      </c>
      <c r="P7869">
        <v>0</v>
      </c>
      <c r="Q7869">
        <v>4</v>
      </c>
      <c r="R7869" t="s">
        <v>45103</v>
      </c>
      <c r="S7869" t="s">
        <v>45270</v>
      </c>
      <c r="T7869" t="s">
        <v>47050</v>
      </c>
      <c r="U7869" t="s">
        <v>54018</v>
      </c>
      <c r="W7869" t="s">
        <v>43331</v>
      </c>
      <c r="X7869" t="s">
        <v>45104</v>
      </c>
    </row>
    <row r="7870" spans="1:24">
      <c r="A7870">
        <f>HYPERLINK("https://www.philgeps.gov.ph/GEPSNONPILOT/Tender/SplashBidNoticeAbstractUI.aspx?menuIndex=3&amp;refID=7037582&amp;Result=3","7037582")</f>
        <v>0</v>
      </c>
      <c r="B7870" t="s">
        <v>357</v>
      </c>
      <c r="C7870" t="s">
        <v>10704</v>
      </c>
      <c r="D7870" t="s">
        <v>18026</v>
      </c>
      <c r="E7870" t="s">
        <v>25017</v>
      </c>
      <c r="F7870" t="s">
        <v>31574</v>
      </c>
      <c r="G7870" t="s">
        <v>31582</v>
      </c>
      <c r="H7870" t="s">
        <v>31590</v>
      </c>
      <c r="I7870" t="s">
        <v>31639</v>
      </c>
      <c r="J7870" t="s">
        <v>36726</v>
      </c>
      <c r="K7870" t="s">
        <v>41184</v>
      </c>
      <c r="M7870" t="s">
        <v>42576</v>
      </c>
      <c r="N7870" t="s">
        <v>45095</v>
      </c>
      <c r="O7870" t="s">
        <v>45096</v>
      </c>
      <c r="P7870">
        <v>0</v>
      </c>
      <c r="Q7870">
        <v>1</v>
      </c>
      <c r="R7870" t="s">
        <v>45103</v>
      </c>
      <c r="S7870" t="s">
        <v>45270</v>
      </c>
      <c r="T7870" t="s">
        <v>47076</v>
      </c>
      <c r="U7870" t="s">
        <v>54019</v>
      </c>
      <c r="W7870" t="s">
        <v>42576</v>
      </c>
      <c r="X7870" t="s">
        <v>45104</v>
      </c>
    </row>
    <row r="7871" spans="1:24">
      <c r="A7871">
        <f>HYPERLINK("https://www.philgeps.gov.ph/GEPSNONPILOT/Tender/SplashBidNoticeAbstractUI.aspx?menuIndex=3&amp;refID=7037570&amp;Result=3","7037570")</f>
        <v>0</v>
      </c>
      <c r="B7871" t="s">
        <v>301</v>
      </c>
      <c r="C7871" t="s">
        <v>10705</v>
      </c>
      <c r="D7871" t="s">
        <v>18060</v>
      </c>
      <c r="E7871" t="s">
        <v>25018</v>
      </c>
      <c r="F7871" t="s">
        <v>31574</v>
      </c>
      <c r="G7871" t="s">
        <v>31582</v>
      </c>
      <c r="H7871" t="s">
        <v>31591</v>
      </c>
      <c r="I7871" t="s">
        <v>8822</v>
      </c>
      <c r="J7871" t="s">
        <v>32019</v>
      </c>
      <c r="K7871" t="s">
        <v>41191</v>
      </c>
      <c r="M7871" t="s">
        <v>43983</v>
      </c>
      <c r="N7871" t="s">
        <v>45095</v>
      </c>
      <c r="O7871" t="s">
        <v>45096</v>
      </c>
      <c r="P7871">
        <v>0</v>
      </c>
      <c r="Q7871">
        <v>0</v>
      </c>
      <c r="R7871" t="s">
        <v>45103</v>
      </c>
      <c r="S7871" t="s">
        <v>45270</v>
      </c>
      <c r="T7871" t="s">
        <v>46965</v>
      </c>
      <c r="U7871" t="s">
        <v>54020</v>
      </c>
      <c r="W7871" t="s">
        <v>41787</v>
      </c>
      <c r="X7871" t="s">
        <v>45104</v>
      </c>
    </row>
    <row r="7872" spans="1:24">
      <c r="A7872">
        <f>HYPERLINK("https://www.philgeps.gov.ph/GEPSNONPILOT/Tender/SplashBidNoticeAbstractUI.aspx?menuIndex=3&amp;refID=7037551&amp;Result=3","7037551")</f>
        <v>0</v>
      </c>
      <c r="B7872" t="s">
        <v>836</v>
      </c>
      <c r="C7872" t="s">
        <v>10706</v>
      </c>
      <c r="D7872" t="s">
        <v>18096</v>
      </c>
      <c r="E7872" t="s">
        <v>25019</v>
      </c>
      <c r="F7872" t="s">
        <v>31574</v>
      </c>
      <c r="G7872" t="s">
        <v>31581</v>
      </c>
      <c r="H7872" t="s">
        <v>31590</v>
      </c>
      <c r="I7872" t="s">
        <v>14544</v>
      </c>
      <c r="J7872" t="s">
        <v>32811</v>
      </c>
      <c r="K7872" t="s">
        <v>41196</v>
      </c>
      <c r="M7872" t="s">
        <v>43975</v>
      </c>
      <c r="N7872" t="s">
        <v>45095</v>
      </c>
      <c r="O7872" t="s">
        <v>45096</v>
      </c>
      <c r="P7872">
        <v>0</v>
      </c>
      <c r="Q7872">
        <v>0</v>
      </c>
      <c r="R7872" t="s">
        <v>45103</v>
      </c>
      <c r="S7872" t="s">
        <v>45270</v>
      </c>
      <c r="T7872" t="s">
        <v>47197</v>
      </c>
      <c r="U7872" t="s">
        <v>53993</v>
      </c>
      <c r="W7872" t="s">
        <v>43975</v>
      </c>
      <c r="X7872" t="s">
        <v>45104</v>
      </c>
    </row>
    <row r="7873" spans="1:24">
      <c r="A7873">
        <f>HYPERLINK("https://www.philgeps.gov.ph/GEPSNONPILOT/Tender/SplashBidNoticeAbstractUI.aspx?menuIndex=3&amp;refID=7037578&amp;Result=3","7037578")</f>
        <v>0</v>
      </c>
      <c r="B7873" t="s">
        <v>683</v>
      </c>
      <c r="C7873" t="s">
        <v>10707</v>
      </c>
      <c r="D7873" t="s">
        <v>18059</v>
      </c>
      <c r="E7873" t="s">
        <v>25020</v>
      </c>
      <c r="F7873" t="s">
        <v>31574</v>
      </c>
      <c r="G7873" t="s">
        <v>31582</v>
      </c>
      <c r="H7873" t="s">
        <v>31591</v>
      </c>
      <c r="I7873" t="s">
        <v>8822</v>
      </c>
      <c r="J7873" t="s">
        <v>36727</v>
      </c>
      <c r="K7873" t="s">
        <v>41184</v>
      </c>
      <c r="M7873" t="s">
        <v>42190</v>
      </c>
      <c r="N7873" t="s">
        <v>45095</v>
      </c>
      <c r="O7873" t="s">
        <v>45096</v>
      </c>
      <c r="P7873">
        <v>0</v>
      </c>
      <c r="Q7873">
        <v>0</v>
      </c>
      <c r="R7873" t="s">
        <v>45103</v>
      </c>
      <c r="S7873" t="s">
        <v>45270</v>
      </c>
      <c r="T7873" t="s">
        <v>46988</v>
      </c>
      <c r="U7873" t="s">
        <v>54021</v>
      </c>
      <c r="W7873" t="s">
        <v>42190</v>
      </c>
      <c r="X7873" t="s">
        <v>45104</v>
      </c>
    </row>
    <row r="7874" spans="1:24">
      <c r="A7874">
        <f>HYPERLINK("https://www.philgeps.gov.ph/GEPSNONPILOT/Tender/SplashBidNoticeAbstractUI.aspx?menuIndex=3&amp;refID=7037566&amp;Result=3","7037566")</f>
        <v>0</v>
      </c>
      <c r="B7874" t="s">
        <v>401</v>
      </c>
      <c r="C7874" t="s">
        <v>10708</v>
      </c>
      <c r="D7874" t="s">
        <v>18052</v>
      </c>
      <c r="E7874" t="s">
        <v>25021</v>
      </c>
      <c r="F7874" t="s">
        <v>31574</v>
      </c>
      <c r="G7874" t="s">
        <v>31581</v>
      </c>
      <c r="H7874" t="s">
        <v>31590</v>
      </c>
      <c r="I7874" t="s">
        <v>31619</v>
      </c>
      <c r="J7874" t="s">
        <v>36728</v>
      </c>
      <c r="K7874" t="s">
        <v>41196</v>
      </c>
      <c r="M7874" t="s">
        <v>41892</v>
      </c>
      <c r="N7874" t="s">
        <v>45095</v>
      </c>
      <c r="O7874" t="s">
        <v>45096</v>
      </c>
      <c r="P7874">
        <v>0</v>
      </c>
      <c r="Q7874">
        <v>1</v>
      </c>
      <c r="R7874" t="s">
        <v>45103</v>
      </c>
      <c r="S7874" t="s">
        <v>45270</v>
      </c>
      <c r="T7874" t="s">
        <v>47159</v>
      </c>
      <c r="U7874" t="s">
        <v>48486</v>
      </c>
      <c r="W7874" t="s">
        <v>41892</v>
      </c>
      <c r="X7874" t="s">
        <v>45104</v>
      </c>
    </row>
    <row r="7875" spans="1:24">
      <c r="A7875">
        <f>HYPERLINK("https://www.philgeps.gov.ph/GEPSNONPILOT/Tender/SplashBidNoticeAbstractUI.aspx?menuIndex=3&amp;refID=7037561&amp;Result=3","7037561")</f>
        <v>0</v>
      </c>
      <c r="B7875" t="s">
        <v>2269</v>
      </c>
      <c r="C7875" t="s">
        <v>10709</v>
      </c>
      <c r="D7875" t="s">
        <v>18066</v>
      </c>
      <c r="E7875" t="s">
        <v>25022</v>
      </c>
      <c r="F7875" t="s">
        <v>31574</v>
      </c>
      <c r="G7875" t="s">
        <v>31582</v>
      </c>
      <c r="H7875" t="s">
        <v>31590</v>
      </c>
      <c r="I7875" t="s">
        <v>31615</v>
      </c>
      <c r="J7875" t="s">
        <v>31819</v>
      </c>
      <c r="K7875" t="s">
        <v>41184</v>
      </c>
      <c r="M7875" t="s">
        <v>43970</v>
      </c>
      <c r="N7875" t="s">
        <v>45095</v>
      </c>
      <c r="O7875" t="s">
        <v>45096</v>
      </c>
      <c r="P7875">
        <v>0</v>
      </c>
      <c r="Q7875">
        <v>4</v>
      </c>
      <c r="R7875" t="s">
        <v>45103</v>
      </c>
      <c r="S7875" t="s">
        <v>45270</v>
      </c>
      <c r="T7875" t="s">
        <v>46992</v>
      </c>
      <c r="U7875" t="s">
        <v>53978</v>
      </c>
      <c r="W7875" t="s">
        <v>43970</v>
      </c>
      <c r="X7875" t="s">
        <v>45104</v>
      </c>
    </row>
    <row r="7876" spans="1:24">
      <c r="A7876">
        <f>HYPERLINK("https://www.philgeps.gov.ph/GEPSNONPILOT/Tender/SplashBidNoticeAbstractUI.aspx?menuIndex=3&amp;refID=7037574&amp;Result=3","7037574")</f>
        <v>0</v>
      </c>
      <c r="B7876" t="s">
        <v>1863</v>
      </c>
      <c r="C7876" t="s">
        <v>10710</v>
      </c>
      <c r="D7876" t="s">
        <v>18052</v>
      </c>
      <c r="E7876" t="s">
        <v>25023</v>
      </c>
      <c r="F7876" t="s">
        <v>31574</v>
      </c>
      <c r="G7876" t="s">
        <v>31582</v>
      </c>
      <c r="H7876" t="s">
        <v>31590</v>
      </c>
      <c r="I7876" t="s">
        <v>31647</v>
      </c>
      <c r="J7876" t="s">
        <v>34485</v>
      </c>
      <c r="K7876" t="s">
        <v>41196</v>
      </c>
      <c r="M7876" t="s">
        <v>43502</v>
      </c>
      <c r="N7876" t="s">
        <v>45095</v>
      </c>
      <c r="O7876" t="s">
        <v>45096</v>
      </c>
      <c r="P7876">
        <v>0</v>
      </c>
      <c r="Q7876">
        <v>0</v>
      </c>
      <c r="R7876" t="s">
        <v>45103</v>
      </c>
      <c r="S7876" t="s">
        <v>45270</v>
      </c>
      <c r="T7876" t="s">
        <v>46963</v>
      </c>
      <c r="U7876" t="s">
        <v>54022</v>
      </c>
      <c r="W7876" t="s">
        <v>43502</v>
      </c>
      <c r="X7876" t="s">
        <v>45104</v>
      </c>
    </row>
    <row r="7877" spans="1:24">
      <c r="A7877">
        <f>HYPERLINK("https://www.philgeps.gov.ph/GEPSNONPILOT/Tender/SplashBidNoticeAbstractUI.aspx?menuIndex=3&amp;refID=7037575&amp;Result=3","7037575")</f>
        <v>0</v>
      </c>
      <c r="B7877" t="s">
        <v>1715</v>
      </c>
      <c r="C7877" t="s">
        <v>6692</v>
      </c>
      <c r="D7877" t="s">
        <v>18035</v>
      </c>
      <c r="E7877" t="s">
        <v>25024</v>
      </c>
      <c r="F7877" t="s">
        <v>31574</v>
      </c>
      <c r="G7877" t="s">
        <v>31581</v>
      </c>
      <c r="H7877" t="s">
        <v>31590</v>
      </c>
      <c r="I7877" t="s">
        <v>8258</v>
      </c>
      <c r="J7877" t="s">
        <v>36729</v>
      </c>
      <c r="K7877" t="s">
        <v>41184</v>
      </c>
      <c r="M7877" t="s">
        <v>43331</v>
      </c>
      <c r="N7877" t="s">
        <v>45095</v>
      </c>
      <c r="O7877" t="s">
        <v>45096</v>
      </c>
      <c r="P7877">
        <v>0</v>
      </c>
      <c r="Q7877">
        <v>6</v>
      </c>
      <c r="R7877" t="s">
        <v>45103</v>
      </c>
      <c r="S7877" t="s">
        <v>45270</v>
      </c>
      <c r="T7877" t="s">
        <v>47050</v>
      </c>
      <c r="U7877" t="s">
        <v>54023</v>
      </c>
      <c r="W7877" t="s">
        <v>43331</v>
      </c>
      <c r="X7877" t="s">
        <v>45104</v>
      </c>
    </row>
    <row r="7878" spans="1:24">
      <c r="A7878">
        <f>HYPERLINK("https://www.philgeps.gov.ph/GEPSNONPILOT/Tender/SplashBidNoticeAbstractUI.aspx?menuIndex=3&amp;refID=7037559&amp;Result=3","7037559")</f>
        <v>0</v>
      </c>
      <c r="B7878" t="s">
        <v>1002</v>
      </c>
      <c r="C7878" t="s">
        <v>10587</v>
      </c>
      <c r="D7878" t="s">
        <v>18058</v>
      </c>
      <c r="E7878" t="s">
        <v>25025</v>
      </c>
      <c r="F7878" t="s">
        <v>31574</v>
      </c>
      <c r="G7878" t="s">
        <v>31582</v>
      </c>
      <c r="H7878" t="s">
        <v>31590</v>
      </c>
      <c r="I7878" t="s">
        <v>31619</v>
      </c>
      <c r="J7878" t="s">
        <v>34670</v>
      </c>
      <c r="K7878" t="s">
        <v>41289</v>
      </c>
      <c r="M7878" t="s">
        <v>42539</v>
      </c>
      <c r="N7878" t="s">
        <v>45095</v>
      </c>
      <c r="O7878" t="s">
        <v>45096</v>
      </c>
      <c r="P7878">
        <v>0</v>
      </c>
      <c r="Q7878">
        <v>4</v>
      </c>
      <c r="R7878" t="s">
        <v>45103</v>
      </c>
      <c r="S7878" t="s">
        <v>45270</v>
      </c>
      <c r="T7878" t="s">
        <v>46985</v>
      </c>
      <c r="U7878" t="s">
        <v>54024</v>
      </c>
      <c r="V7878" t="s">
        <v>60109</v>
      </c>
      <c r="W7878" t="s">
        <v>42539</v>
      </c>
      <c r="X7878" t="s">
        <v>45104</v>
      </c>
    </row>
    <row r="7879" spans="1:24">
      <c r="A7879">
        <f>HYPERLINK("https://www.philgeps.gov.ph/GEPSNONPILOT/Tender/SplashBidNoticeAbstractUI.aspx?menuIndex=3&amp;refID=7037600&amp;Result=3","7037600")</f>
        <v>0</v>
      </c>
      <c r="B7879" t="s">
        <v>479</v>
      </c>
      <c r="C7879" t="s">
        <v>10711</v>
      </c>
      <c r="D7879" t="s">
        <v>18079</v>
      </c>
      <c r="E7879" t="s">
        <v>25026</v>
      </c>
      <c r="F7879" t="s">
        <v>31574</v>
      </c>
      <c r="G7879" t="s">
        <v>31582</v>
      </c>
      <c r="H7879" t="s">
        <v>31590</v>
      </c>
      <c r="I7879" t="s">
        <v>31600</v>
      </c>
      <c r="J7879" t="s">
        <v>36730</v>
      </c>
      <c r="K7879" t="s">
        <v>41184</v>
      </c>
      <c r="M7879" t="s">
        <v>42243</v>
      </c>
      <c r="N7879" t="s">
        <v>45095</v>
      </c>
      <c r="O7879" t="s">
        <v>45096</v>
      </c>
      <c r="P7879">
        <v>0</v>
      </c>
      <c r="Q7879">
        <v>4</v>
      </c>
      <c r="R7879" t="s">
        <v>45103</v>
      </c>
      <c r="S7879" t="s">
        <v>45270</v>
      </c>
      <c r="T7879" t="s">
        <v>47064</v>
      </c>
      <c r="U7879" t="s">
        <v>54025</v>
      </c>
      <c r="V7879" t="s">
        <v>60576</v>
      </c>
      <c r="W7879" t="s">
        <v>42243</v>
      </c>
      <c r="X7879" t="s">
        <v>45104</v>
      </c>
    </row>
    <row r="7880" spans="1:24">
      <c r="A7880">
        <f>HYPERLINK("https://www.philgeps.gov.ph/GEPSNONPILOT/Tender/SplashBidNoticeAbstractUI.aspx?menuIndex=3&amp;refID=7037557&amp;Result=3","7037557")</f>
        <v>0</v>
      </c>
      <c r="B7880" t="s">
        <v>2227</v>
      </c>
      <c r="C7880" t="s">
        <v>10712</v>
      </c>
      <c r="E7880" t="s">
        <v>25027</v>
      </c>
      <c r="F7880" t="s">
        <v>31574</v>
      </c>
      <c r="G7880" t="s">
        <v>31582</v>
      </c>
      <c r="H7880" t="s">
        <v>31591</v>
      </c>
      <c r="I7880" t="s">
        <v>8822</v>
      </c>
      <c r="J7880" t="s">
        <v>36731</v>
      </c>
      <c r="K7880" t="s">
        <v>41184</v>
      </c>
      <c r="M7880" t="s">
        <v>43920</v>
      </c>
      <c r="N7880" t="s">
        <v>45095</v>
      </c>
      <c r="O7880" t="s">
        <v>45096</v>
      </c>
      <c r="Q7880">
        <v>9</v>
      </c>
      <c r="R7880" t="s">
        <v>45103</v>
      </c>
      <c r="S7880" t="s">
        <v>45296</v>
      </c>
      <c r="T7880" t="s">
        <v>47000</v>
      </c>
      <c r="U7880" t="s">
        <v>54026</v>
      </c>
      <c r="W7880" t="s">
        <v>61731</v>
      </c>
      <c r="X7880" t="s">
        <v>45104</v>
      </c>
    </row>
    <row r="7881" spans="1:24">
      <c r="A7881">
        <f>HYPERLINK("https://www.philgeps.gov.ph/GEPSNONPILOT/Tender/SplashBidNoticeAbstractUI.aspx?menuIndex=3&amp;refID=7037597&amp;Result=3","7037597")</f>
        <v>0</v>
      </c>
      <c r="B7881" t="s">
        <v>800</v>
      </c>
      <c r="C7881" t="s">
        <v>10713</v>
      </c>
      <c r="D7881" t="s">
        <v>18022</v>
      </c>
      <c r="E7881" t="s">
        <v>25028</v>
      </c>
      <c r="F7881" t="s">
        <v>31574</v>
      </c>
      <c r="G7881" t="s">
        <v>31584</v>
      </c>
      <c r="H7881" t="s">
        <v>31590</v>
      </c>
      <c r="I7881" t="s">
        <v>4327</v>
      </c>
      <c r="J7881" t="s">
        <v>32090</v>
      </c>
      <c r="K7881" t="s">
        <v>41196</v>
      </c>
      <c r="M7881" t="s">
        <v>42810</v>
      </c>
      <c r="N7881" t="s">
        <v>45095</v>
      </c>
      <c r="O7881" t="s">
        <v>45096</v>
      </c>
      <c r="Q7881">
        <v>14</v>
      </c>
      <c r="R7881" t="s">
        <v>45103</v>
      </c>
      <c r="S7881" t="s">
        <v>45297</v>
      </c>
      <c r="T7881" t="s">
        <v>46932</v>
      </c>
      <c r="U7881" t="s">
        <v>50461</v>
      </c>
      <c r="V7881" t="s">
        <v>60201</v>
      </c>
      <c r="W7881" t="s">
        <v>42810</v>
      </c>
      <c r="X7881" t="s">
        <v>45104</v>
      </c>
    </row>
    <row r="7882" spans="1:24">
      <c r="A7882">
        <f>HYPERLINK("https://www.philgeps.gov.ph/GEPSNONPILOT/Tender/SplashBidNoticeAbstractUI.aspx?menuIndex=3&amp;refID=7037593&amp;Result=3","7037593")</f>
        <v>0</v>
      </c>
      <c r="B7882" t="s">
        <v>756</v>
      </c>
      <c r="C7882" t="s">
        <v>10714</v>
      </c>
      <c r="D7882" t="s">
        <v>18035</v>
      </c>
      <c r="E7882" t="s">
        <v>25029</v>
      </c>
      <c r="F7882" t="s">
        <v>31574</v>
      </c>
      <c r="G7882" t="s">
        <v>31581</v>
      </c>
      <c r="H7882" t="s">
        <v>31591</v>
      </c>
      <c r="I7882" t="s">
        <v>31638</v>
      </c>
      <c r="J7882" t="s">
        <v>36732</v>
      </c>
      <c r="K7882" t="s">
        <v>41228</v>
      </c>
      <c r="M7882" t="s">
        <v>42270</v>
      </c>
      <c r="N7882" t="s">
        <v>45095</v>
      </c>
      <c r="O7882" t="s">
        <v>45096</v>
      </c>
      <c r="P7882">
        <v>0</v>
      </c>
      <c r="Q7882">
        <v>3</v>
      </c>
      <c r="R7882" t="s">
        <v>45103</v>
      </c>
      <c r="S7882" t="s">
        <v>45270</v>
      </c>
      <c r="T7882" t="s">
        <v>47183</v>
      </c>
      <c r="U7882" t="s">
        <v>54027</v>
      </c>
      <c r="W7882" t="s">
        <v>42270</v>
      </c>
      <c r="X7882" t="s">
        <v>45104</v>
      </c>
    </row>
    <row r="7883" spans="1:24">
      <c r="A7883">
        <f>HYPERLINK("https://www.philgeps.gov.ph/GEPSNONPILOT/Tender/SplashBidNoticeAbstractUI.aspx?menuIndex=3&amp;refID=7037555&amp;Result=3","7037555")</f>
        <v>0</v>
      </c>
      <c r="B7883" t="s">
        <v>1922</v>
      </c>
      <c r="C7883" t="s">
        <v>10715</v>
      </c>
      <c r="D7883" t="s">
        <v>18045</v>
      </c>
      <c r="E7883" t="s">
        <v>25030</v>
      </c>
      <c r="F7883" t="s">
        <v>31574</v>
      </c>
      <c r="G7883" t="s">
        <v>31581</v>
      </c>
      <c r="H7883" t="s">
        <v>31590</v>
      </c>
      <c r="I7883" t="s">
        <v>14544</v>
      </c>
      <c r="J7883" t="s">
        <v>31958</v>
      </c>
      <c r="K7883" t="s">
        <v>41190</v>
      </c>
      <c r="M7883" t="s">
        <v>43574</v>
      </c>
      <c r="N7883" t="s">
        <v>45095</v>
      </c>
      <c r="O7883" t="s">
        <v>45096</v>
      </c>
      <c r="P7883">
        <v>0</v>
      </c>
      <c r="Q7883">
        <v>2</v>
      </c>
      <c r="R7883" t="s">
        <v>45103</v>
      </c>
      <c r="S7883" t="s">
        <v>45270</v>
      </c>
      <c r="T7883" t="s">
        <v>47162</v>
      </c>
      <c r="U7883" t="s">
        <v>52621</v>
      </c>
      <c r="W7883" t="s">
        <v>43574</v>
      </c>
      <c r="X7883" t="s">
        <v>45104</v>
      </c>
    </row>
    <row r="7884" spans="1:24">
      <c r="A7884">
        <f>HYPERLINK("https://www.philgeps.gov.ph/GEPSNONPILOT/Tender/SplashBidNoticeAbstractUI.aspx?menuIndex=3&amp;refID=7037585&amp;Result=3","7037585")</f>
        <v>0</v>
      </c>
      <c r="B7884" t="s">
        <v>631</v>
      </c>
      <c r="C7884" t="s">
        <v>10716</v>
      </c>
      <c r="D7884" t="s">
        <v>18022</v>
      </c>
      <c r="E7884" t="s">
        <v>25031</v>
      </c>
      <c r="F7884" t="s">
        <v>31574</v>
      </c>
      <c r="G7884" t="s">
        <v>31581</v>
      </c>
      <c r="H7884" t="s">
        <v>31590</v>
      </c>
      <c r="I7884" t="s">
        <v>31690</v>
      </c>
      <c r="J7884" t="s">
        <v>36733</v>
      </c>
      <c r="K7884" t="s">
        <v>41191</v>
      </c>
      <c r="M7884" t="s">
        <v>42135</v>
      </c>
      <c r="N7884" t="s">
        <v>45095</v>
      </c>
      <c r="O7884" t="s">
        <v>45096</v>
      </c>
      <c r="P7884">
        <v>0</v>
      </c>
      <c r="Q7884">
        <v>8</v>
      </c>
      <c r="R7884" t="s">
        <v>45103</v>
      </c>
      <c r="S7884" t="s">
        <v>45270</v>
      </c>
      <c r="T7884" t="s">
        <v>46932</v>
      </c>
      <c r="U7884" t="s">
        <v>54028</v>
      </c>
      <c r="W7884" t="s">
        <v>42135</v>
      </c>
      <c r="X7884" t="s">
        <v>45104</v>
      </c>
    </row>
    <row r="7885" spans="1:24">
      <c r="A7885">
        <f>HYPERLINK("https://www.philgeps.gov.ph/GEPSNONPILOT/Tender/SplashBidNoticeAbstractUI.aspx?menuIndex=3&amp;refID=7037612&amp;Result=3","7037612")</f>
        <v>0</v>
      </c>
      <c r="B7885" t="s">
        <v>2269</v>
      </c>
      <c r="C7885" t="s">
        <v>10717</v>
      </c>
      <c r="D7885" t="s">
        <v>18066</v>
      </c>
      <c r="E7885" t="s">
        <v>25032</v>
      </c>
      <c r="F7885" t="s">
        <v>31574</v>
      </c>
      <c r="G7885" t="s">
        <v>31582</v>
      </c>
      <c r="H7885" t="s">
        <v>31590</v>
      </c>
      <c r="I7885" t="s">
        <v>31615</v>
      </c>
      <c r="J7885" t="s">
        <v>34703</v>
      </c>
      <c r="K7885" t="s">
        <v>41184</v>
      </c>
      <c r="M7885" t="s">
        <v>43970</v>
      </c>
      <c r="N7885" t="s">
        <v>45095</v>
      </c>
      <c r="O7885" t="s">
        <v>45096</v>
      </c>
      <c r="P7885">
        <v>0</v>
      </c>
      <c r="Q7885">
        <v>3</v>
      </c>
      <c r="R7885" t="s">
        <v>45103</v>
      </c>
      <c r="S7885" t="s">
        <v>45270</v>
      </c>
      <c r="T7885" t="s">
        <v>46992</v>
      </c>
      <c r="U7885" t="s">
        <v>53978</v>
      </c>
      <c r="W7885" t="s">
        <v>43970</v>
      </c>
      <c r="X7885" t="s">
        <v>45104</v>
      </c>
    </row>
    <row r="7886" spans="1:24">
      <c r="A7886">
        <f>HYPERLINK("https://www.philgeps.gov.ph/GEPSNONPILOT/Tender/SplashBidNoticeAbstractUI.aspx?menuIndex=3&amp;refID=7037599&amp;Result=3","7037599")</f>
        <v>0</v>
      </c>
      <c r="B7886" t="s">
        <v>2277</v>
      </c>
      <c r="C7886" t="s">
        <v>6138</v>
      </c>
      <c r="D7886" t="s">
        <v>18074</v>
      </c>
      <c r="E7886" t="s">
        <v>25033</v>
      </c>
      <c r="F7886" t="s">
        <v>31574</v>
      </c>
      <c r="G7886" t="s">
        <v>31582</v>
      </c>
      <c r="H7886" t="s">
        <v>31590</v>
      </c>
      <c r="I7886" t="s">
        <v>31607</v>
      </c>
      <c r="J7886" t="s">
        <v>36734</v>
      </c>
      <c r="K7886" t="s">
        <v>41190</v>
      </c>
      <c r="M7886" t="s">
        <v>43984</v>
      </c>
      <c r="N7886" t="s">
        <v>45095</v>
      </c>
      <c r="O7886" t="s">
        <v>45096</v>
      </c>
      <c r="P7886">
        <v>0</v>
      </c>
      <c r="Q7886">
        <v>1</v>
      </c>
      <c r="R7886" t="s">
        <v>45103</v>
      </c>
      <c r="S7886" t="s">
        <v>45270</v>
      </c>
      <c r="T7886" t="s">
        <v>46969</v>
      </c>
      <c r="U7886" t="s">
        <v>54029</v>
      </c>
      <c r="V7886" t="s">
        <v>60678</v>
      </c>
      <c r="W7886" t="s">
        <v>43984</v>
      </c>
      <c r="X7886" t="s">
        <v>45104</v>
      </c>
    </row>
    <row r="7887" spans="1:24">
      <c r="A7887">
        <f>HYPERLINK("https://www.philgeps.gov.ph/GEPSNONPILOT/Tender/SplashBidNoticeAbstractUI.aspx?menuIndex=3&amp;refID=7037594&amp;Result=3","7037594")</f>
        <v>0</v>
      </c>
      <c r="B7887" t="s">
        <v>2278</v>
      </c>
      <c r="C7887" t="s">
        <v>10718</v>
      </c>
      <c r="D7887" t="s">
        <v>18027</v>
      </c>
      <c r="E7887" t="s">
        <v>25034</v>
      </c>
      <c r="F7887" t="s">
        <v>31574</v>
      </c>
      <c r="G7887" t="s">
        <v>31582</v>
      </c>
      <c r="H7887" t="s">
        <v>31590</v>
      </c>
      <c r="I7887" t="s">
        <v>31595</v>
      </c>
      <c r="J7887" t="s">
        <v>36735</v>
      </c>
      <c r="K7887" t="s">
        <v>41186</v>
      </c>
      <c r="M7887" t="s">
        <v>43985</v>
      </c>
      <c r="N7887" t="s">
        <v>45095</v>
      </c>
      <c r="O7887" t="s">
        <v>45096</v>
      </c>
      <c r="P7887">
        <v>0</v>
      </c>
      <c r="Q7887">
        <v>2</v>
      </c>
      <c r="R7887" t="s">
        <v>45103</v>
      </c>
      <c r="S7887" t="s">
        <v>45270</v>
      </c>
      <c r="T7887" t="s">
        <v>46973</v>
      </c>
      <c r="U7887" t="s">
        <v>54030</v>
      </c>
      <c r="W7887" t="s">
        <v>43985</v>
      </c>
      <c r="X7887" t="s">
        <v>45104</v>
      </c>
    </row>
    <row r="7888" spans="1:24">
      <c r="A7888">
        <f>HYPERLINK("https://www.philgeps.gov.ph/GEPSNONPILOT/Tender/SplashBidNoticeAbstractUI.aspx?menuIndex=3&amp;refID=7037554&amp;Result=3","7037554")</f>
        <v>0</v>
      </c>
      <c r="B7888" t="s">
        <v>357</v>
      </c>
      <c r="C7888" t="s">
        <v>10719</v>
      </c>
      <c r="D7888" t="s">
        <v>18026</v>
      </c>
      <c r="E7888" t="s">
        <v>25035</v>
      </c>
      <c r="F7888" t="s">
        <v>31574</v>
      </c>
      <c r="G7888" t="s">
        <v>31582</v>
      </c>
      <c r="H7888" t="s">
        <v>31590</v>
      </c>
      <c r="I7888" t="s">
        <v>31608</v>
      </c>
      <c r="J7888" t="s">
        <v>31930</v>
      </c>
      <c r="K7888" t="s">
        <v>41184</v>
      </c>
      <c r="M7888" t="s">
        <v>42576</v>
      </c>
      <c r="N7888" t="s">
        <v>45095</v>
      </c>
      <c r="O7888" t="s">
        <v>45096</v>
      </c>
      <c r="P7888">
        <v>0</v>
      </c>
      <c r="Q7888">
        <v>1</v>
      </c>
      <c r="R7888" t="s">
        <v>45103</v>
      </c>
      <c r="S7888" t="s">
        <v>45270</v>
      </c>
      <c r="T7888" t="s">
        <v>47076</v>
      </c>
      <c r="U7888" t="s">
        <v>54031</v>
      </c>
      <c r="W7888" t="s">
        <v>42576</v>
      </c>
      <c r="X7888" t="s">
        <v>45104</v>
      </c>
    </row>
    <row r="7889" spans="1:24">
      <c r="A7889">
        <f>HYPERLINK("https://www.philgeps.gov.ph/GEPSNONPILOT/Tender/SplashBidNoticeAbstractUI.aspx?menuIndex=3&amp;refID=7037603&amp;Result=3","7037603")</f>
        <v>0</v>
      </c>
      <c r="B7889" t="s">
        <v>2279</v>
      </c>
      <c r="C7889" t="s">
        <v>10720</v>
      </c>
      <c r="D7889" t="s">
        <v>18022</v>
      </c>
      <c r="E7889" t="s">
        <v>25036</v>
      </c>
      <c r="F7889" t="s">
        <v>31574</v>
      </c>
      <c r="G7889" t="s">
        <v>31582</v>
      </c>
      <c r="H7889" t="s">
        <v>31590</v>
      </c>
      <c r="I7889" t="s">
        <v>31615</v>
      </c>
      <c r="J7889" t="s">
        <v>32375</v>
      </c>
      <c r="K7889" t="s">
        <v>41190</v>
      </c>
      <c r="M7889" t="s">
        <v>43986</v>
      </c>
      <c r="N7889" t="s">
        <v>45095</v>
      </c>
      <c r="O7889" t="s">
        <v>45096</v>
      </c>
      <c r="P7889">
        <v>0</v>
      </c>
      <c r="Q7889">
        <v>0</v>
      </c>
      <c r="R7889" t="s">
        <v>45103</v>
      </c>
      <c r="S7889" t="s">
        <v>45270</v>
      </c>
      <c r="T7889" t="s">
        <v>47050</v>
      </c>
      <c r="U7889" t="s">
        <v>54032</v>
      </c>
      <c r="W7889" t="s">
        <v>43986</v>
      </c>
      <c r="X7889" t="s">
        <v>45104</v>
      </c>
    </row>
    <row r="7890" spans="1:24">
      <c r="A7890">
        <f>HYPERLINK("https://www.philgeps.gov.ph/GEPSNONPILOT/Tender/SplashBidNoticeAbstractUI.aspx?menuIndex=3&amp;refID=7037620&amp;Result=3","7037620")</f>
        <v>0</v>
      </c>
      <c r="B7890" t="s">
        <v>1808</v>
      </c>
      <c r="C7890" t="s">
        <v>10721</v>
      </c>
      <c r="D7890" t="s">
        <v>18070</v>
      </c>
      <c r="E7890" t="s">
        <v>25037</v>
      </c>
      <c r="F7890" t="s">
        <v>31574</v>
      </c>
      <c r="G7890" t="s">
        <v>31582</v>
      </c>
      <c r="H7890" t="s">
        <v>31590</v>
      </c>
      <c r="I7890" t="s">
        <v>4046</v>
      </c>
      <c r="J7890" t="s">
        <v>36736</v>
      </c>
      <c r="K7890" t="s">
        <v>41206</v>
      </c>
      <c r="M7890" t="s">
        <v>43441</v>
      </c>
      <c r="N7890" t="s">
        <v>45095</v>
      </c>
      <c r="O7890" t="s">
        <v>45096</v>
      </c>
      <c r="P7890">
        <v>0</v>
      </c>
      <c r="Q7890">
        <v>0</v>
      </c>
      <c r="R7890" t="s">
        <v>45103</v>
      </c>
      <c r="S7890" t="s">
        <v>45270</v>
      </c>
      <c r="T7890" t="s">
        <v>47228</v>
      </c>
      <c r="U7890" t="s">
        <v>54033</v>
      </c>
      <c r="W7890" t="s">
        <v>43441</v>
      </c>
      <c r="X7890" t="s">
        <v>45104</v>
      </c>
    </row>
    <row r="7891" spans="1:24">
      <c r="A7891">
        <f>HYPERLINK("https://www.philgeps.gov.ph/GEPSNONPILOT/Tender/SplashBidNoticeAbstractUI.aspx?menuIndex=3&amp;refID=7037619&amp;Result=3","7037619")</f>
        <v>0</v>
      </c>
      <c r="B7891" t="s">
        <v>316</v>
      </c>
      <c r="C7891" t="s">
        <v>10722</v>
      </c>
      <c r="D7891" t="s">
        <v>18065</v>
      </c>
      <c r="E7891" t="s">
        <v>25038</v>
      </c>
      <c r="F7891" t="s">
        <v>31574</v>
      </c>
      <c r="G7891" t="s">
        <v>31582</v>
      </c>
      <c r="H7891" t="s">
        <v>31590</v>
      </c>
      <c r="I7891" t="s">
        <v>31602</v>
      </c>
      <c r="J7891" t="s">
        <v>36737</v>
      </c>
      <c r="K7891" t="s">
        <v>41191</v>
      </c>
      <c r="M7891" t="s">
        <v>41804</v>
      </c>
      <c r="N7891" t="s">
        <v>45095</v>
      </c>
      <c r="O7891" t="s">
        <v>45096</v>
      </c>
      <c r="P7891">
        <v>0</v>
      </c>
      <c r="Q7891">
        <v>0</v>
      </c>
      <c r="R7891" t="s">
        <v>45103</v>
      </c>
      <c r="S7891" t="s">
        <v>45270</v>
      </c>
      <c r="T7891" t="s">
        <v>47125</v>
      </c>
      <c r="U7891" t="s">
        <v>54034</v>
      </c>
      <c r="W7891" t="s">
        <v>41804</v>
      </c>
      <c r="X7891" t="s">
        <v>45104</v>
      </c>
    </row>
    <row r="7892" spans="1:24">
      <c r="A7892">
        <f>HYPERLINK("https://www.philgeps.gov.ph/GEPSNONPILOT/Tender/SplashBidNoticeAbstractUI.aspx?menuIndex=3&amp;refID=7037605&amp;Result=3","7037605")</f>
        <v>0</v>
      </c>
      <c r="B7892" t="s">
        <v>1030</v>
      </c>
      <c r="C7892" t="s">
        <v>10723</v>
      </c>
      <c r="D7892" t="s">
        <v>18033</v>
      </c>
      <c r="E7892" t="s">
        <v>25039</v>
      </c>
      <c r="F7892" t="s">
        <v>31574</v>
      </c>
      <c r="G7892" t="s">
        <v>31582</v>
      </c>
      <c r="H7892" t="s">
        <v>31590</v>
      </c>
      <c r="I7892" t="s">
        <v>5717</v>
      </c>
      <c r="J7892" t="s">
        <v>36738</v>
      </c>
      <c r="K7892" t="s">
        <v>41196</v>
      </c>
      <c r="M7892" t="s">
        <v>42571</v>
      </c>
      <c r="N7892" t="s">
        <v>45095</v>
      </c>
      <c r="O7892" t="s">
        <v>45096</v>
      </c>
      <c r="P7892">
        <v>0</v>
      </c>
      <c r="Q7892">
        <v>5</v>
      </c>
      <c r="R7892" t="s">
        <v>45103</v>
      </c>
      <c r="S7892" t="s">
        <v>45270</v>
      </c>
      <c r="T7892" t="s">
        <v>47050</v>
      </c>
      <c r="U7892" t="s">
        <v>54035</v>
      </c>
      <c r="V7892" t="s">
        <v>60679</v>
      </c>
      <c r="W7892" t="s">
        <v>42571</v>
      </c>
      <c r="X7892" t="s">
        <v>45104</v>
      </c>
    </row>
    <row r="7893" spans="1:24">
      <c r="A7893">
        <f>HYPERLINK("https://www.philgeps.gov.ph/GEPSNONPILOT/Tender/SplashBidNoticeAbstractUI.aspx?menuIndex=3&amp;refID=7037626&amp;Result=3","7037626")</f>
        <v>0</v>
      </c>
      <c r="B7893" t="s">
        <v>357</v>
      </c>
      <c r="C7893" t="s">
        <v>10724</v>
      </c>
      <c r="D7893" t="s">
        <v>18026</v>
      </c>
      <c r="E7893" t="s">
        <v>25040</v>
      </c>
      <c r="F7893" t="s">
        <v>31574</v>
      </c>
      <c r="G7893" t="s">
        <v>31582</v>
      </c>
      <c r="H7893" t="s">
        <v>31590</v>
      </c>
      <c r="I7893" t="s">
        <v>31633</v>
      </c>
      <c r="J7893" t="s">
        <v>36739</v>
      </c>
      <c r="K7893" t="s">
        <v>41184</v>
      </c>
      <c r="M7893" t="s">
        <v>42576</v>
      </c>
      <c r="N7893" t="s">
        <v>45095</v>
      </c>
      <c r="O7893" t="s">
        <v>45096</v>
      </c>
      <c r="P7893">
        <v>0</v>
      </c>
      <c r="Q7893">
        <v>4</v>
      </c>
      <c r="R7893" t="s">
        <v>45103</v>
      </c>
      <c r="S7893" t="s">
        <v>45270</v>
      </c>
      <c r="T7893" t="s">
        <v>47076</v>
      </c>
      <c r="U7893" t="s">
        <v>54036</v>
      </c>
      <c r="W7893" t="s">
        <v>42576</v>
      </c>
      <c r="X7893" t="s">
        <v>45104</v>
      </c>
    </row>
    <row r="7894" spans="1:24">
      <c r="A7894">
        <f>HYPERLINK("https://www.philgeps.gov.ph/GEPSNONPILOT/Tender/SplashBidNoticeAbstractUI.aspx?menuIndex=3&amp;refID=7037610&amp;Result=3","7037610")</f>
        <v>0</v>
      </c>
      <c r="B7894" t="s">
        <v>357</v>
      </c>
      <c r="C7894" t="s">
        <v>10725</v>
      </c>
      <c r="D7894" t="s">
        <v>18026</v>
      </c>
      <c r="E7894" t="s">
        <v>25041</v>
      </c>
      <c r="F7894" t="s">
        <v>31574</v>
      </c>
      <c r="G7894" t="s">
        <v>31582</v>
      </c>
      <c r="H7894" t="s">
        <v>31590</v>
      </c>
      <c r="I7894" t="s">
        <v>31597</v>
      </c>
      <c r="J7894" t="s">
        <v>31962</v>
      </c>
      <c r="K7894" t="s">
        <v>41184</v>
      </c>
      <c r="M7894" t="s">
        <v>42576</v>
      </c>
      <c r="N7894" t="s">
        <v>45095</v>
      </c>
      <c r="O7894" t="s">
        <v>45096</v>
      </c>
      <c r="P7894">
        <v>0</v>
      </c>
      <c r="Q7894">
        <v>3</v>
      </c>
      <c r="R7894" t="s">
        <v>45103</v>
      </c>
      <c r="S7894" t="s">
        <v>45270</v>
      </c>
      <c r="T7894" t="s">
        <v>47076</v>
      </c>
      <c r="U7894" t="s">
        <v>54037</v>
      </c>
      <c r="W7894" t="s">
        <v>42576</v>
      </c>
      <c r="X7894" t="s">
        <v>45104</v>
      </c>
    </row>
    <row r="7895" spans="1:24">
      <c r="A7895">
        <f>HYPERLINK("https://www.philgeps.gov.ph/GEPSNONPILOT/Tender/SplashBidNoticeAbstractUI.aspx?menuIndex=3&amp;refID=7037604&amp;Result=3","7037604")</f>
        <v>0</v>
      </c>
      <c r="B7895" t="s">
        <v>1936</v>
      </c>
      <c r="C7895" t="s">
        <v>10689</v>
      </c>
      <c r="D7895" t="s">
        <v>18039</v>
      </c>
      <c r="E7895" t="s">
        <v>25042</v>
      </c>
      <c r="F7895" t="s">
        <v>31575</v>
      </c>
      <c r="G7895" t="s">
        <v>31581</v>
      </c>
      <c r="H7895" t="s">
        <v>31590</v>
      </c>
      <c r="I7895" t="s">
        <v>31614</v>
      </c>
      <c r="J7895" t="s">
        <v>36740</v>
      </c>
      <c r="K7895" t="s">
        <v>41213</v>
      </c>
      <c r="M7895" t="s">
        <v>43591</v>
      </c>
      <c r="N7895" t="s">
        <v>45095</v>
      </c>
      <c r="O7895" t="s">
        <v>45096</v>
      </c>
      <c r="P7895">
        <v>0</v>
      </c>
      <c r="Q7895">
        <v>0</v>
      </c>
      <c r="R7895" t="s">
        <v>45103</v>
      </c>
      <c r="S7895" t="s">
        <v>45270</v>
      </c>
      <c r="T7895" t="s">
        <v>47067</v>
      </c>
      <c r="U7895" t="s">
        <v>54038</v>
      </c>
      <c r="W7895" t="s">
        <v>43591</v>
      </c>
      <c r="X7895" t="s">
        <v>45104</v>
      </c>
    </row>
    <row r="7896" spans="1:24">
      <c r="A7896">
        <f>HYPERLINK("https://www.philgeps.gov.ph/GEPSNONPILOT/Tender/SplashBidNoticeAbstractUI.aspx?menuIndex=3&amp;refID=7037611&amp;Result=3","7037611")</f>
        <v>0</v>
      </c>
      <c r="B7896" t="s">
        <v>955</v>
      </c>
      <c r="C7896" t="s">
        <v>10726</v>
      </c>
      <c r="D7896" t="s">
        <v>18043</v>
      </c>
      <c r="E7896" t="s">
        <v>25043</v>
      </c>
      <c r="F7896" t="s">
        <v>31574</v>
      </c>
      <c r="G7896" t="s">
        <v>31582</v>
      </c>
      <c r="H7896" t="s">
        <v>31590</v>
      </c>
      <c r="I7896" t="s">
        <v>31619</v>
      </c>
      <c r="J7896" t="s">
        <v>32523</v>
      </c>
      <c r="K7896" t="s">
        <v>41184</v>
      </c>
      <c r="M7896" t="s">
        <v>42482</v>
      </c>
      <c r="N7896" t="s">
        <v>45095</v>
      </c>
      <c r="O7896" t="s">
        <v>45096</v>
      </c>
      <c r="P7896">
        <v>0</v>
      </c>
      <c r="Q7896">
        <v>5</v>
      </c>
      <c r="R7896" t="s">
        <v>45103</v>
      </c>
      <c r="S7896" t="s">
        <v>45270</v>
      </c>
      <c r="T7896" t="s">
        <v>46988</v>
      </c>
      <c r="U7896" t="s">
        <v>54039</v>
      </c>
      <c r="W7896" t="s">
        <v>42482</v>
      </c>
      <c r="X7896" t="s">
        <v>45104</v>
      </c>
    </row>
    <row r="7897" spans="1:24">
      <c r="A7897">
        <f>HYPERLINK("https://www.philgeps.gov.ph/GEPSNONPILOT/Tender/SplashBidNoticeAbstractUI.aspx?menuIndex=3&amp;refID=7037621&amp;Result=3","7037621")</f>
        <v>0</v>
      </c>
      <c r="B7897" t="s">
        <v>2280</v>
      </c>
      <c r="C7897" t="s">
        <v>10727</v>
      </c>
      <c r="D7897" t="s">
        <v>18046</v>
      </c>
      <c r="E7897" t="s">
        <v>25044</v>
      </c>
      <c r="F7897" t="s">
        <v>31574</v>
      </c>
      <c r="G7897" t="s">
        <v>31581</v>
      </c>
      <c r="H7897" t="s">
        <v>31590</v>
      </c>
      <c r="I7897" t="s">
        <v>4046</v>
      </c>
      <c r="J7897" t="s">
        <v>35524</v>
      </c>
      <c r="K7897" t="s">
        <v>41200</v>
      </c>
      <c r="M7897" t="s">
        <v>43987</v>
      </c>
      <c r="N7897" t="s">
        <v>45095</v>
      </c>
      <c r="O7897" t="s">
        <v>45096</v>
      </c>
      <c r="P7897">
        <v>0</v>
      </c>
      <c r="Q7897">
        <v>0</v>
      </c>
      <c r="R7897" t="s">
        <v>45103</v>
      </c>
      <c r="S7897" t="s">
        <v>45270</v>
      </c>
      <c r="T7897" t="s">
        <v>46913</v>
      </c>
      <c r="U7897" t="s">
        <v>54040</v>
      </c>
      <c r="W7897" t="s">
        <v>43987</v>
      </c>
      <c r="X7897" t="s">
        <v>45104</v>
      </c>
    </row>
    <row r="7898" spans="1:24">
      <c r="A7898">
        <f>HYPERLINK("https://www.philgeps.gov.ph/GEPSNONPILOT/Tender/SplashBidNoticeAbstractUI.aspx?menuIndex=3&amp;refID=7037607&amp;Result=3","7037607")</f>
        <v>0</v>
      </c>
      <c r="B7898" t="s">
        <v>1715</v>
      </c>
      <c r="C7898" t="s">
        <v>6692</v>
      </c>
      <c r="D7898" t="s">
        <v>18035</v>
      </c>
      <c r="E7898" t="s">
        <v>25045</v>
      </c>
      <c r="F7898" t="s">
        <v>31574</v>
      </c>
      <c r="G7898" t="s">
        <v>31581</v>
      </c>
      <c r="H7898" t="s">
        <v>31590</v>
      </c>
      <c r="I7898" t="s">
        <v>8258</v>
      </c>
      <c r="J7898" t="s">
        <v>32017</v>
      </c>
      <c r="K7898" t="s">
        <v>41184</v>
      </c>
      <c r="M7898" t="s">
        <v>43331</v>
      </c>
      <c r="N7898" t="s">
        <v>45095</v>
      </c>
      <c r="O7898" t="s">
        <v>45096</v>
      </c>
      <c r="P7898">
        <v>0</v>
      </c>
      <c r="Q7898">
        <v>5</v>
      </c>
      <c r="R7898" t="s">
        <v>45103</v>
      </c>
      <c r="S7898" t="s">
        <v>45270</v>
      </c>
      <c r="T7898" t="s">
        <v>47050</v>
      </c>
      <c r="U7898" t="s">
        <v>54041</v>
      </c>
      <c r="W7898" t="s">
        <v>43331</v>
      </c>
      <c r="X7898" t="s">
        <v>45104</v>
      </c>
    </row>
    <row r="7899" spans="1:24">
      <c r="A7899">
        <f>HYPERLINK("https://www.philgeps.gov.ph/GEPSNONPILOT/Tender/SplashBidNoticeAbstractUI.aspx?menuIndex=3&amp;refID=7037592&amp;Result=3","7037592")</f>
        <v>0</v>
      </c>
      <c r="B7899" t="s">
        <v>1560</v>
      </c>
      <c r="C7899" t="s">
        <v>10728</v>
      </c>
      <c r="D7899" t="s">
        <v>18072</v>
      </c>
      <c r="E7899" t="s">
        <v>25046</v>
      </c>
      <c r="F7899" t="s">
        <v>31574</v>
      </c>
      <c r="G7899" t="s">
        <v>31582</v>
      </c>
      <c r="H7899" t="s">
        <v>31590</v>
      </c>
      <c r="I7899" t="s">
        <v>5717</v>
      </c>
      <c r="J7899" t="s">
        <v>36741</v>
      </c>
      <c r="K7899" t="s">
        <v>41196</v>
      </c>
      <c r="M7899" t="s">
        <v>43159</v>
      </c>
      <c r="N7899" t="s">
        <v>45095</v>
      </c>
      <c r="O7899" t="s">
        <v>45096</v>
      </c>
      <c r="P7899">
        <v>0</v>
      </c>
      <c r="Q7899">
        <v>1</v>
      </c>
      <c r="R7899" t="s">
        <v>45103</v>
      </c>
      <c r="S7899" t="s">
        <v>45270</v>
      </c>
      <c r="T7899" t="s">
        <v>47242</v>
      </c>
      <c r="U7899" t="s">
        <v>54042</v>
      </c>
      <c r="W7899" t="s">
        <v>43159</v>
      </c>
      <c r="X7899" t="s">
        <v>45104</v>
      </c>
    </row>
    <row r="7900" spans="1:24">
      <c r="A7900">
        <f>HYPERLINK("https://www.philgeps.gov.ph/GEPSNONPILOT/Tender/SplashBidNoticeAbstractUI.aspx?menuIndex=3&amp;refID=7037615&amp;Result=3","7037615")</f>
        <v>0</v>
      </c>
      <c r="B7900" t="s">
        <v>2281</v>
      </c>
      <c r="C7900" t="s">
        <v>10729</v>
      </c>
      <c r="E7900" t="s">
        <v>20134</v>
      </c>
      <c r="F7900" t="s">
        <v>31574</v>
      </c>
      <c r="G7900" t="s">
        <v>31581</v>
      </c>
      <c r="H7900" t="s">
        <v>31590</v>
      </c>
      <c r="I7900" t="s">
        <v>31638</v>
      </c>
      <c r="J7900" t="s">
        <v>36742</v>
      </c>
      <c r="K7900" t="s">
        <v>41184</v>
      </c>
      <c r="M7900" t="s">
        <v>43988</v>
      </c>
      <c r="N7900" t="s">
        <v>45095</v>
      </c>
      <c r="O7900" t="s">
        <v>45096</v>
      </c>
      <c r="P7900">
        <v>0</v>
      </c>
      <c r="Q7900">
        <v>4</v>
      </c>
      <c r="R7900" t="s">
        <v>45103</v>
      </c>
      <c r="S7900" t="s">
        <v>45270</v>
      </c>
      <c r="T7900" t="s">
        <v>47164</v>
      </c>
      <c r="U7900" t="s">
        <v>54043</v>
      </c>
      <c r="V7900" t="s">
        <v>60680</v>
      </c>
      <c r="W7900" t="s">
        <v>43988</v>
      </c>
      <c r="X7900" t="s">
        <v>45104</v>
      </c>
    </row>
    <row r="7901" spans="1:24">
      <c r="A7901">
        <f>HYPERLINK("https://www.philgeps.gov.ph/GEPSNONPILOT/Tender/SplashBidNoticeAbstractUI.aspx?menuIndex=3&amp;refID=7037628&amp;Result=3","7037628")</f>
        <v>0</v>
      </c>
      <c r="B7901" t="s">
        <v>797</v>
      </c>
      <c r="C7901" t="s">
        <v>10730</v>
      </c>
      <c r="D7901" t="s">
        <v>18056</v>
      </c>
      <c r="E7901" t="s">
        <v>25047</v>
      </c>
      <c r="F7901" t="s">
        <v>31574</v>
      </c>
      <c r="G7901" t="s">
        <v>31582</v>
      </c>
      <c r="H7901" t="s">
        <v>31591</v>
      </c>
      <c r="I7901" t="s">
        <v>8822</v>
      </c>
      <c r="J7901" t="s">
        <v>33193</v>
      </c>
      <c r="K7901" t="s">
        <v>41198</v>
      </c>
      <c r="M7901" t="s">
        <v>42325</v>
      </c>
      <c r="N7901" t="s">
        <v>45095</v>
      </c>
      <c r="O7901" t="s">
        <v>45096</v>
      </c>
      <c r="Q7901">
        <v>2</v>
      </c>
      <c r="R7901" t="s">
        <v>45103</v>
      </c>
      <c r="S7901" t="s">
        <v>45298</v>
      </c>
      <c r="T7901" t="s">
        <v>47331</v>
      </c>
      <c r="U7901" t="s">
        <v>54044</v>
      </c>
      <c r="V7901" t="s">
        <v>60050</v>
      </c>
      <c r="W7901" t="s">
        <v>42325</v>
      </c>
      <c r="X7901" t="s">
        <v>45104</v>
      </c>
    </row>
    <row r="7902" spans="1:24">
      <c r="A7902">
        <f>HYPERLINK("https://www.philgeps.gov.ph/GEPSNONPILOT/Tender/SplashBidNoticeAbstractUI.aspx?menuIndex=3&amp;refID=7037637&amp;Result=3","7037637")</f>
        <v>0</v>
      </c>
      <c r="B7902" t="s">
        <v>125</v>
      </c>
      <c r="C7902" t="s">
        <v>10731</v>
      </c>
      <c r="D7902" t="s">
        <v>18039</v>
      </c>
      <c r="E7902" t="s">
        <v>25048</v>
      </c>
      <c r="F7902" t="s">
        <v>31574</v>
      </c>
      <c r="G7902" t="s">
        <v>31582</v>
      </c>
      <c r="H7902" t="s">
        <v>31590</v>
      </c>
      <c r="I7902" t="s">
        <v>31615</v>
      </c>
      <c r="J7902" t="s">
        <v>36743</v>
      </c>
      <c r="K7902" t="s">
        <v>41200</v>
      </c>
      <c r="M7902" t="s">
        <v>41609</v>
      </c>
      <c r="N7902" t="s">
        <v>45095</v>
      </c>
      <c r="O7902" t="s">
        <v>45096</v>
      </c>
      <c r="P7902">
        <v>0</v>
      </c>
      <c r="Q7902">
        <v>15</v>
      </c>
      <c r="R7902" t="s">
        <v>45103</v>
      </c>
      <c r="S7902" t="s">
        <v>45270</v>
      </c>
      <c r="T7902" t="s">
        <v>46919</v>
      </c>
      <c r="U7902" t="s">
        <v>54045</v>
      </c>
      <c r="W7902" t="s">
        <v>41609</v>
      </c>
      <c r="X7902" t="s">
        <v>45104</v>
      </c>
    </row>
    <row r="7903" spans="1:24">
      <c r="A7903">
        <f>HYPERLINK("https://www.philgeps.gov.ph/GEPSNONPILOT/Tender/SplashBidNoticeAbstractUI.aspx?menuIndex=3&amp;refID=7037636&amp;Result=3","7037636")</f>
        <v>0</v>
      </c>
      <c r="B7903" t="s">
        <v>1863</v>
      </c>
      <c r="C7903" t="s">
        <v>10732</v>
      </c>
      <c r="D7903" t="s">
        <v>18052</v>
      </c>
      <c r="E7903" t="s">
        <v>25049</v>
      </c>
      <c r="F7903" t="s">
        <v>31574</v>
      </c>
      <c r="G7903" t="s">
        <v>31581</v>
      </c>
      <c r="H7903" t="s">
        <v>31590</v>
      </c>
      <c r="I7903" t="s">
        <v>31623</v>
      </c>
      <c r="J7903" t="s">
        <v>36744</v>
      </c>
      <c r="K7903" t="s">
        <v>41196</v>
      </c>
      <c r="M7903" t="s">
        <v>43502</v>
      </c>
      <c r="N7903" t="s">
        <v>45095</v>
      </c>
      <c r="O7903" t="s">
        <v>45096</v>
      </c>
      <c r="P7903">
        <v>0</v>
      </c>
      <c r="Q7903">
        <v>0</v>
      </c>
      <c r="R7903" t="s">
        <v>45103</v>
      </c>
      <c r="S7903" t="s">
        <v>45270</v>
      </c>
      <c r="T7903" t="s">
        <v>46963</v>
      </c>
      <c r="U7903" t="s">
        <v>54046</v>
      </c>
      <c r="W7903" t="s">
        <v>43502</v>
      </c>
      <c r="X7903" t="s">
        <v>45104</v>
      </c>
    </row>
    <row r="7904" spans="1:24">
      <c r="A7904">
        <f>HYPERLINK("https://www.philgeps.gov.ph/GEPSNONPILOT/Tender/SplashBidNoticeAbstractUI.aspx?menuIndex=3&amp;refID=7037657&amp;Result=3","7037657")</f>
        <v>0</v>
      </c>
      <c r="B7904" t="s">
        <v>1589</v>
      </c>
      <c r="C7904" t="s">
        <v>10733</v>
      </c>
      <c r="D7904" t="s">
        <v>18022</v>
      </c>
      <c r="E7904" t="s">
        <v>25050</v>
      </c>
      <c r="F7904" t="s">
        <v>31574</v>
      </c>
      <c r="G7904" t="s">
        <v>31582</v>
      </c>
      <c r="H7904" t="s">
        <v>31590</v>
      </c>
      <c r="I7904" t="s">
        <v>3487</v>
      </c>
      <c r="J7904" t="s">
        <v>36745</v>
      </c>
      <c r="K7904" t="s">
        <v>41196</v>
      </c>
      <c r="M7904" t="s">
        <v>43910</v>
      </c>
      <c r="N7904" t="s">
        <v>45095</v>
      </c>
      <c r="O7904" t="s">
        <v>45096</v>
      </c>
      <c r="P7904">
        <v>0</v>
      </c>
      <c r="Q7904">
        <v>0</v>
      </c>
      <c r="R7904" t="s">
        <v>45103</v>
      </c>
      <c r="S7904" t="s">
        <v>45270</v>
      </c>
      <c r="T7904" t="s">
        <v>46985</v>
      </c>
      <c r="U7904" t="s">
        <v>51488</v>
      </c>
      <c r="W7904" t="s">
        <v>43910</v>
      </c>
      <c r="X7904" t="s">
        <v>45104</v>
      </c>
    </row>
    <row r="7905" spans="1:24">
      <c r="A7905">
        <f>HYPERLINK("https://www.philgeps.gov.ph/GEPSNONPILOT/Tender/SplashBidNoticeAbstractUI.aspx?menuIndex=3&amp;refID=7037627&amp;Result=3","7037627")</f>
        <v>0</v>
      </c>
      <c r="B7905" t="s">
        <v>1008</v>
      </c>
      <c r="C7905" t="s">
        <v>10734</v>
      </c>
      <c r="D7905" t="s">
        <v>18102</v>
      </c>
      <c r="E7905" t="s">
        <v>25051</v>
      </c>
      <c r="F7905" t="s">
        <v>31574</v>
      </c>
      <c r="G7905" t="s">
        <v>31584</v>
      </c>
      <c r="H7905" t="s">
        <v>31590</v>
      </c>
      <c r="I7905" t="s">
        <v>31661</v>
      </c>
      <c r="J7905" t="s">
        <v>31741</v>
      </c>
      <c r="K7905" t="s">
        <v>41186</v>
      </c>
      <c r="M7905" t="s">
        <v>42548</v>
      </c>
      <c r="N7905" t="s">
        <v>45095</v>
      </c>
      <c r="O7905" t="s">
        <v>45096</v>
      </c>
      <c r="P7905">
        <v>0</v>
      </c>
      <c r="Q7905">
        <v>1</v>
      </c>
      <c r="R7905" t="s">
        <v>45103</v>
      </c>
      <c r="S7905" t="s">
        <v>45270</v>
      </c>
      <c r="T7905" t="s">
        <v>46957</v>
      </c>
      <c r="U7905" t="s">
        <v>54047</v>
      </c>
      <c r="V7905" t="s">
        <v>60681</v>
      </c>
      <c r="W7905" t="s">
        <v>42548</v>
      </c>
      <c r="X7905" t="s">
        <v>45104</v>
      </c>
    </row>
    <row r="7906" spans="1:24">
      <c r="A7906">
        <f>HYPERLINK("https://www.philgeps.gov.ph/GEPSNONPILOT/Tender/SplashBidNoticeAbstractUI.aspx?menuIndex=3&amp;refID=7037656&amp;Result=3","7037656")</f>
        <v>0</v>
      </c>
      <c r="B7906" t="s">
        <v>2282</v>
      </c>
      <c r="C7906" t="s">
        <v>10735</v>
      </c>
      <c r="D7906" t="s">
        <v>18044</v>
      </c>
      <c r="E7906" t="s">
        <v>25052</v>
      </c>
      <c r="F7906" t="s">
        <v>31574</v>
      </c>
      <c r="G7906" t="s">
        <v>31582</v>
      </c>
      <c r="H7906" t="s">
        <v>31590</v>
      </c>
      <c r="I7906" t="s">
        <v>5717</v>
      </c>
      <c r="J7906" t="s">
        <v>36746</v>
      </c>
      <c r="K7906" t="s">
        <v>41186</v>
      </c>
      <c r="M7906" t="s">
        <v>43989</v>
      </c>
      <c r="N7906" t="s">
        <v>45095</v>
      </c>
      <c r="O7906" t="s">
        <v>45096</v>
      </c>
      <c r="P7906">
        <v>0</v>
      </c>
      <c r="Q7906">
        <v>3</v>
      </c>
      <c r="R7906" t="s">
        <v>45103</v>
      </c>
      <c r="S7906" t="s">
        <v>45270</v>
      </c>
      <c r="T7906" t="s">
        <v>47050</v>
      </c>
      <c r="U7906" t="s">
        <v>54048</v>
      </c>
      <c r="W7906" t="s">
        <v>43989</v>
      </c>
      <c r="X7906" t="s">
        <v>45104</v>
      </c>
    </row>
    <row r="7907" spans="1:24">
      <c r="A7907">
        <f>HYPERLINK("https://www.philgeps.gov.ph/GEPSNONPILOT/Tender/SplashBidNoticeAbstractUI.aspx?menuIndex=3&amp;refID=7037629&amp;Result=3","7037629")</f>
        <v>0</v>
      </c>
      <c r="B7907" t="s">
        <v>1399</v>
      </c>
      <c r="C7907" t="s">
        <v>10736</v>
      </c>
      <c r="D7907" t="s">
        <v>18081</v>
      </c>
      <c r="E7907" t="s">
        <v>25053</v>
      </c>
      <c r="F7907" t="s">
        <v>31574</v>
      </c>
      <c r="G7907" t="s">
        <v>31582</v>
      </c>
      <c r="H7907" t="s">
        <v>31593</v>
      </c>
      <c r="I7907" t="s">
        <v>31593</v>
      </c>
      <c r="J7907" t="s">
        <v>36747</v>
      </c>
      <c r="K7907" t="s">
        <v>41192</v>
      </c>
      <c r="M7907" t="s">
        <v>43167</v>
      </c>
      <c r="N7907" t="s">
        <v>45095</v>
      </c>
      <c r="O7907" t="s">
        <v>45096</v>
      </c>
      <c r="P7907">
        <v>0</v>
      </c>
      <c r="Q7907">
        <v>2</v>
      </c>
      <c r="R7907" t="s">
        <v>45103</v>
      </c>
      <c r="S7907" t="s">
        <v>45270</v>
      </c>
      <c r="T7907" t="s">
        <v>47050</v>
      </c>
      <c r="U7907" t="s">
        <v>54049</v>
      </c>
      <c r="W7907" t="s">
        <v>43167</v>
      </c>
      <c r="X7907" t="s">
        <v>45104</v>
      </c>
    </row>
    <row r="7908" spans="1:24">
      <c r="A7908">
        <f>HYPERLINK("https://www.philgeps.gov.ph/GEPSNONPILOT/Tender/SplashBidNoticeAbstractUI.aspx?menuIndex=3&amp;refID=7037647&amp;Result=3","7037647")</f>
        <v>0</v>
      </c>
      <c r="B7908" t="s">
        <v>357</v>
      </c>
      <c r="C7908" t="s">
        <v>10737</v>
      </c>
      <c r="D7908" t="s">
        <v>18026</v>
      </c>
      <c r="E7908" t="s">
        <v>25054</v>
      </c>
      <c r="F7908" t="s">
        <v>31574</v>
      </c>
      <c r="G7908" t="s">
        <v>31582</v>
      </c>
      <c r="H7908" t="s">
        <v>31590</v>
      </c>
      <c r="I7908" t="s">
        <v>31615</v>
      </c>
      <c r="J7908" t="s">
        <v>31848</v>
      </c>
      <c r="K7908" t="s">
        <v>41184</v>
      </c>
      <c r="M7908" t="s">
        <v>42576</v>
      </c>
      <c r="N7908" t="s">
        <v>45095</v>
      </c>
      <c r="O7908" t="s">
        <v>45096</v>
      </c>
      <c r="P7908">
        <v>0</v>
      </c>
      <c r="Q7908">
        <v>0</v>
      </c>
      <c r="R7908" t="s">
        <v>45103</v>
      </c>
      <c r="S7908" t="s">
        <v>45270</v>
      </c>
      <c r="T7908" t="s">
        <v>47076</v>
      </c>
      <c r="U7908" t="s">
        <v>54050</v>
      </c>
      <c r="W7908" t="s">
        <v>42576</v>
      </c>
      <c r="X7908" t="s">
        <v>45104</v>
      </c>
    </row>
    <row r="7909" spans="1:24">
      <c r="A7909">
        <f>HYPERLINK("https://www.philgeps.gov.ph/GEPSNONPILOT/Tender/SplashBidNoticeAbstractUI.aspx?menuIndex=3&amp;refID=7037632&amp;Result=3","7037632")</f>
        <v>0</v>
      </c>
      <c r="B7909" t="s">
        <v>2269</v>
      </c>
      <c r="C7909" t="s">
        <v>10738</v>
      </c>
      <c r="D7909" t="s">
        <v>18066</v>
      </c>
      <c r="E7909" t="s">
        <v>25055</v>
      </c>
      <c r="F7909" t="s">
        <v>31574</v>
      </c>
      <c r="G7909" t="s">
        <v>31582</v>
      </c>
      <c r="H7909" t="s">
        <v>31590</v>
      </c>
      <c r="I7909" t="s">
        <v>6800</v>
      </c>
      <c r="J7909" t="s">
        <v>36748</v>
      </c>
      <c r="K7909" t="s">
        <v>41184</v>
      </c>
      <c r="M7909" t="s">
        <v>43970</v>
      </c>
      <c r="N7909" t="s">
        <v>45095</v>
      </c>
      <c r="O7909" t="s">
        <v>45096</v>
      </c>
      <c r="P7909">
        <v>0</v>
      </c>
      <c r="Q7909">
        <v>2</v>
      </c>
      <c r="R7909" t="s">
        <v>45103</v>
      </c>
      <c r="S7909" t="s">
        <v>45270</v>
      </c>
      <c r="T7909" t="s">
        <v>47114</v>
      </c>
      <c r="U7909" t="s">
        <v>53978</v>
      </c>
      <c r="W7909" t="s">
        <v>43970</v>
      </c>
      <c r="X7909" t="s">
        <v>45104</v>
      </c>
    </row>
    <row r="7910" spans="1:24">
      <c r="A7910">
        <f>HYPERLINK("https://www.philgeps.gov.ph/GEPSNONPILOT/Tender/SplashBidNoticeAbstractUI.aspx?menuIndex=3&amp;refID=7037653&amp;Result=3","7037653")</f>
        <v>0</v>
      </c>
      <c r="B7910" t="s">
        <v>301</v>
      </c>
      <c r="C7910" t="s">
        <v>10739</v>
      </c>
      <c r="D7910" t="s">
        <v>18060</v>
      </c>
      <c r="E7910" t="s">
        <v>25056</v>
      </c>
      <c r="F7910" t="s">
        <v>31574</v>
      </c>
      <c r="G7910" t="s">
        <v>31582</v>
      </c>
      <c r="H7910" t="s">
        <v>31591</v>
      </c>
      <c r="I7910" t="s">
        <v>8822</v>
      </c>
      <c r="J7910" t="s">
        <v>32019</v>
      </c>
      <c r="K7910" t="s">
        <v>41208</v>
      </c>
      <c r="M7910" t="s">
        <v>43983</v>
      </c>
      <c r="N7910" t="s">
        <v>45095</v>
      </c>
      <c r="O7910" t="s">
        <v>45096</v>
      </c>
      <c r="P7910">
        <v>0</v>
      </c>
      <c r="Q7910">
        <v>0</v>
      </c>
      <c r="R7910" t="s">
        <v>45103</v>
      </c>
      <c r="S7910" t="s">
        <v>45270</v>
      </c>
      <c r="T7910" t="s">
        <v>46965</v>
      </c>
      <c r="U7910" t="s">
        <v>54051</v>
      </c>
      <c r="W7910" t="s">
        <v>41787</v>
      </c>
      <c r="X7910" t="s">
        <v>45104</v>
      </c>
    </row>
    <row r="7911" spans="1:24">
      <c r="A7911">
        <f>HYPERLINK("https://www.philgeps.gov.ph/GEPSNONPILOT/Tender/SplashBidNoticeAbstractUI.aspx?menuIndex=3&amp;refID=7037642&amp;Result=3","7037642")</f>
        <v>0</v>
      </c>
      <c r="B7911" t="s">
        <v>1936</v>
      </c>
      <c r="C7911" t="s">
        <v>10740</v>
      </c>
      <c r="D7911" t="s">
        <v>18039</v>
      </c>
      <c r="E7911" t="s">
        <v>25057</v>
      </c>
      <c r="F7911" t="s">
        <v>31575</v>
      </c>
      <c r="G7911" t="s">
        <v>31581</v>
      </c>
      <c r="H7911" t="s">
        <v>31590</v>
      </c>
      <c r="I7911" t="s">
        <v>3487</v>
      </c>
      <c r="J7911" t="s">
        <v>36749</v>
      </c>
      <c r="K7911" t="s">
        <v>41213</v>
      </c>
      <c r="M7911" t="s">
        <v>43591</v>
      </c>
      <c r="N7911" t="s">
        <v>45095</v>
      </c>
      <c r="O7911" t="s">
        <v>45096</v>
      </c>
      <c r="P7911">
        <v>0</v>
      </c>
      <c r="Q7911">
        <v>0</v>
      </c>
      <c r="R7911" t="s">
        <v>45103</v>
      </c>
      <c r="S7911" t="s">
        <v>45270</v>
      </c>
      <c r="T7911" t="s">
        <v>47067</v>
      </c>
      <c r="U7911" t="s">
        <v>54052</v>
      </c>
      <c r="W7911" t="s">
        <v>43591</v>
      </c>
      <c r="X7911" t="s">
        <v>45104</v>
      </c>
    </row>
    <row r="7912" spans="1:24">
      <c r="A7912">
        <f>HYPERLINK("https://www.philgeps.gov.ph/GEPSNONPILOT/Tender/SplashBidNoticeAbstractUI.aspx?menuIndex=3&amp;refID=7037652&amp;Result=3","7037652")</f>
        <v>0</v>
      </c>
      <c r="B7912" t="s">
        <v>756</v>
      </c>
      <c r="C7912" t="s">
        <v>10741</v>
      </c>
      <c r="D7912" t="s">
        <v>18035</v>
      </c>
      <c r="E7912" t="s">
        <v>25058</v>
      </c>
      <c r="F7912" t="s">
        <v>31574</v>
      </c>
      <c r="G7912" t="s">
        <v>31581</v>
      </c>
      <c r="H7912" t="s">
        <v>31591</v>
      </c>
      <c r="I7912" t="s">
        <v>7162</v>
      </c>
      <c r="J7912" t="s">
        <v>36750</v>
      </c>
      <c r="K7912" t="s">
        <v>41185</v>
      </c>
      <c r="M7912" t="s">
        <v>42270</v>
      </c>
      <c r="N7912" t="s">
        <v>45095</v>
      </c>
      <c r="O7912" t="s">
        <v>45096</v>
      </c>
      <c r="P7912">
        <v>0</v>
      </c>
      <c r="Q7912">
        <v>3</v>
      </c>
      <c r="R7912" t="s">
        <v>45103</v>
      </c>
      <c r="S7912" t="s">
        <v>45270</v>
      </c>
      <c r="T7912" t="s">
        <v>47183</v>
      </c>
      <c r="U7912" t="s">
        <v>54053</v>
      </c>
      <c r="W7912" t="s">
        <v>42270</v>
      </c>
      <c r="X7912" t="s">
        <v>45104</v>
      </c>
    </row>
    <row r="7913" spans="1:24">
      <c r="A7913">
        <f>HYPERLINK("https://www.philgeps.gov.ph/GEPSNONPILOT/Tender/SplashBidNoticeAbstractUI.aspx?menuIndex=3&amp;refID=7037638&amp;Result=3","7037638")</f>
        <v>0</v>
      </c>
      <c r="B7913" t="s">
        <v>24</v>
      </c>
      <c r="C7913" t="s">
        <v>10742</v>
      </c>
      <c r="D7913" t="s">
        <v>18022</v>
      </c>
      <c r="E7913" t="s">
        <v>25059</v>
      </c>
      <c r="F7913" t="s">
        <v>31574</v>
      </c>
      <c r="G7913" t="s">
        <v>31582</v>
      </c>
      <c r="H7913" t="s">
        <v>31591</v>
      </c>
      <c r="I7913" t="s">
        <v>8822</v>
      </c>
      <c r="J7913" t="s">
        <v>36751</v>
      </c>
      <c r="K7913" t="s">
        <v>41192</v>
      </c>
      <c r="M7913" t="s">
        <v>42023</v>
      </c>
      <c r="N7913" t="s">
        <v>45095</v>
      </c>
      <c r="O7913" t="s">
        <v>45096</v>
      </c>
      <c r="P7913">
        <v>0</v>
      </c>
      <c r="Q7913">
        <v>10</v>
      </c>
      <c r="R7913" t="s">
        <v>45103</v>
      </c>
      <c r="S7913" t="s">
        <v>45270</v>
      </c>
      <c r="T7913" t="s">
        <v>47134</v>
      </c>
      <c r="U7913" t="s">
        <v>54054</v>
      </c>
      <c r="V7913" t="s">
        <v>59966</v>
      </c>
      <c r="W7913" t="s">
        <v>42023</v>
      </c>
      <c r="X7913" t="s">
        <v>45104</v>
      </c>
    </row>
    <row r="7914" spans="1:24">
      <c r="A7914">
        <f>HYPERLINK("https://www.philgeps.gov.ph/GEPSNONPILOT/Tender/SplashBidNoticeAbstractUI.aspx?menuIndex=3&amp;refID=7037639&amp;Result=3","7037639")</f>
        <v>0</v>
      </c>
      <c r="B7914" t="s">
        <v>800</v>
      </c>
      <c r="C7914" t="s">
        <v>10743</v>
      </c>
      <c r="D7914" t="s">
        <v>18022</v>
      </c>
      <c r="E7914" t="s">
        <v>25060</v>
      </c>
      <c r="F7914" t="s">
        <v>31574</v>
      </c>
      <c r="G7914" t="s">
        <v>31584</v>
      </c>
      <c r="H7914" t="s">
        <v>31590</v>
      </c>
      <c r="I7914" t="s">
        <v>6800</v>
      </c>
      <c r="J7914" t="s">
        <v>31884</v>
      </c>
      <c r="K7914" t="s">
        <v>41196</v>
      </c>
      <c r="M7914" t="s">
        <v>42810</v>
      </c>
      <c r="N7914" t="s">
        <v>45095</v>
      </c>
      <c r="O7914" t="s">
        <v>45096</v>
      </c>
      <c r="Q7914">
        <v>7</v>
      </c>
      <c r="R7914" t="s">
        <v>45103</v>
      </c>
      <c r="S7914" t="s">
        <v>45299</v>
      </c>
      <c r="T7914" t="s">
        <v>46932</v>
      </c>
      <c r="U7914" t="s">
        <v>50461</v>
      </c>
      <c r="V7914" t="s">
        <v>60201</v>
      </c>
      <c r="W7914" t="s">
        <v>42810</v>
      </c>
      <c r="X7914" t="s">
        <v>45104</v>
      </c>
    </row>
    <row r="7915" spans="1:24">
      <c r="A7915">
        <f>HYPERLINK("https://www.philgeps.gov.ph/GEPSNONPILOT/Tender/SplashBidNoticeAbstractUI.aspx?menuIndex=3&amp;refID=7037591&amp;Result=3","7037591")</f>
        <v>0</v>
      </c>
      <c r="B7915" t="s">
        <v>134</v>
      </c>
      <c r="C7915" t="s">
        <v>10744</v>
      </c>
      <c r="D7915" t="s">
        <v>18066</v>
      </c>
      <c r="E7915" t="s">
        <v>25061</v>
      </c>
      <c r="F7915" t="s">
        <v>31574</v>
      </c>
      <c r="G7915" t="s">
        <v>31582</v>
      </c>
      <c r="H7915" t="s">
        <v>31591</v>
      </c>
      <c r="I7915" t="s">
        <v>8822</v>
      </c>
      <c r="J7915" t="s">
        <v>36752</v>
      </c>
      <c r="K7915" t="s">
        <v>41184</v>
      </c>
      <c r="M7915" t="s">
        <v>41618</v>
      </c>
      <c r="N7915" t="s">
        <v>45095</v>
      </c>
      <c r="O7915" t="s">
        <v>45096</v>
      </c>
      <c r="P7915">
        <v>0</v>
      </c>
      <c r="Q7915">
        <v>2</v>
      </c>
      <c r="R7915" t="s">
        <v>45103</v>
      </c>
      <c r="S7915" t="s">
        <v>45270</v>
      </c>
      <c r="T7915" t="s">
        <v>46988</v>
      </c>
      <c r="U7915" t="s">
        <v>54055</v>
      </c>
      <c r="V7915" t="s">
        <v>59888</v>
      </c>
      <c r="W7915" t="s">
        <v>41618</v>
      </c>
      <c r="X7915" t="s">
        <v>45104</v>
      </c>
    </row>
    <row r="7916" spans="1:24">
      <c r="A7916">
        <f>HYPERLINK("https://www.philgeps.gov.ph/GEPSNONPILOT/Tender/SplashBidNoticeAbstractUI.aspx?menuIndex=3&amp;refID=7037668&amp;Result=3","7037668")</f>
        <v>0</v>
      </c>
      <c r="B7916" t="s">
        <v>1079</v>
      </c>
      <c r="C7916" t="s">
        <v>10745</v>
      </c>
      <c r="D7916" t="s">
        <v>18084</v>
      </c>
      <c r="E7916" t="s">
        <v>25062</v>
      </c>
      <c r="F7916" t="s">
        <v>31574</v>
      </c>
      <c r="G7916" t="s">
        <v>31581</v>
      </c>
      <c r="H7916" t="s">
        <v>31590</v>
      </c>
      <c r="I7916" t="s">
        <v>31594</v>
      </c>
      <c r="J7916" t="s">
        <v>36753</v>
      </c>
      <c r="K7916" t="s">
        <v>41196</v>
      </c>
      <c r="M7916" t="s">
        <v>43973</v>
      </c>
      <c r="N7916" t="s">
        <v>45095</v>
      </c>
      <c r="O7916" t="s">
        <v>45096</v>
      </c>
      <c r="P7916">
        <v>0</v>
      </c>
      <c r="Q7916">
        <v>8</v>
      </c>
      <c r="R7916" t="s">
        <v>45103</v>
      </c>
      <c r="S7916" t="s">
        <v>45270</v>
      </c>
      <c r="T7916" t="s">
        <v>47125</v>
      </c>
      <c r="U7916" t="s">
        <v>54056</v>
      </c>
      <c r="V7916" t="s">
        <v>60663</v>
      </c>
      <c r="W7916" t="s">
        <v>43973</v>
      </c>
      <c r="X7916" t="s">
        <v>45104</v>
      </c>
    </row>
    <row r="7917" spans="1:24">
      <c r="A7917">
        <f>HYPERLINK("https://www.philgeps.gov.ph/GEPSNONPILOT/Tender/SplashBidNoticeAbstractUI.aspx?menuIndex=3&amp;refID=7037658&amp;Result=3","7037658")</f>
        <v>0</v>
      </c>
      <c r="B7917" t="s">
        <v>2277</v>
      </c>
      <c r="C7917" t="s">
        <v>10746</v>
      </c>
      <c r="D7917" t="s">
        <v>18074</v>
      </c>
      <c r="E7917" t="s">
        <v>25063</v>
      </c>
      <c r="F7917" t="s">
        <v>31574</v>
      </c>
      <c r="G7917" t="s">
        <v>31582</v>
      </c>
      <c r="H7917" t="s">
        <v>31590</v>
      </c>
      <c r="I7917" t="s">
        <v>31620</v>
      </c>
      <c r="J7917" t="s">
        <v>36754</v>
      </c>
      <c r="K7917" t="s">
        <v>41190</v>
      </c>
      <c r="M7917" t="s">
        <v>43984</v>
      </c>
      <c r="N7917" t="s">
        <v>45095</v>
      </c>
      <c r="O7917" t="s">
        <v>45096</v>
      </c>
      <c r="P7917">
        <v>0</v>
      </c>
      <c r="Q7917">
        <v>3</v>
      </c>
      <c r="R7917" t="s">
        <v>45103</v>
      </c>
      <c r="S7917" t="s">
        <v>45270</v>
      </c>
      <c r="T7917" t="s">
        <v>46936</v>
      </c>
      <c r="U7917" t="s">
        <v>54057</v>
      </c>
      <c r="V7917" t="s">
        <v>60678</v>
      </c>
      <c r="W7917" t="s">
        <v>43984</v>
      </c>
      <c r="X7917" t="s">
        <v>45104</v>
      </c>
    </row>
    <row r="7918" spans="1:24">
      <c r="A7918">
        <f>HYPERLINK("https://www.philgeps.gov.ph/GEPSNONPILOT/Tender/SplashBidNoticeAbstractUI.aspx?menuIndex=3&amp;refID=7037667&amp;Result=3","7037667")</f>
        <v>0</v>
      </c>
      <c r="B7918" t="s">
        <v>2283</v>
      </c>
      <c r="C7918" t="s">
        <v>10747</v>
      </c>
      <c r="D7918" t="s">
        <v>18040</v>
      </c>
      <c r="E7918" t="s">
        <v>25064</v>
      </c>
      <c r="F7918" t="s">
        <v>31574</v>
      </c>
      <c r="G7918" t="s">
        <v>31582</v>
      </c>
      <c r="H7918" t="s">
        <v>31591</v>
      </c>
      <c r="I7918" t="s">
        <v>8822</v>
      </c>
      <c r="J7918" t="s">
        <v>36755</v>
      </c>
      <c r="K7918" t="s">
        <v>41192</v>
      </c>
      <c r="M7918" t="s">
        <v>43990</v>
      </c>
      <c r="N7918" t="s">
        <v>45095</v>
      </c>
      <c r="O7918" t="s">
        <v>45096</v>
      </c>
      <c r="P7918">
        <v>0</v>
      </c>
      <c r="Q7918">
        <v>1</v>
      </c>
      <c r="R7918" t="s">
        <v>45103</v>
      </c>
      <c r="S7918" t="s">
        <v>45270</v>
      </c>
      <c r="T7918" t="s">
        <v>47010</v>
      </c>
      <c r="U7918" t="s">
        <v>54058</v>
      </c>
      <c r="W7918" t="s">
        <v>43990</v>
      </c>
      <c r="X7918" t="s">
        <v>45104</v>
      </c>
    </row>
    <row r="7919" spans="1:24">
      <c r="A7919">
        <f>HYPERLINK("https://www.philgeps.gov.ph/GEPSNONPILOT/Tender/SplashBidNoticeAbstractUI.aspx?menuIndex=3&amp;refID=7037663&amp;Result=3","7037663")</f>
        <v>0</v>
      </c>
      <c r="B7919" t="s">
        <v>2268</v>
      </c>
      <c r="C7919" t="s">
        <v>10748</v>
      </c>
      <c r="D7919" t="s">
        <v>18059</v>
      </c>
      <c r="E7919" t="s">
        <v>25065</v>
      </c>
      <c r="F7919" t="s">
        <v>31574</v>
      </c>
      <c r="G7919" t="s">
        <v>31582</v>
      </c>
      <c r="H7919" t="s">
        <v>31591</v>
      </c>
      <c r="I7919" t="s">
        <v>8822</v>
      </c>
      <c r="J7919" t="s">
        <v>31819</v>
      </c>
      <c r="K7919" t="s">
        <v>41184</v>
      </c>
      <c r="M7919" t="s">
        <v>43968</v>
      </c>
      <c r="N7919" t="s">
        <v>45095</v>
      </c>
      <c r="O7919" t="s">
        <v>45096</v>
      </c>
      <c r="P7919">
        <v>0</v>
      </c>
      <c r="Q7919">
        <v>1</v>
      </c>
      <c r="R7919" t="s">
        <v>45103</v>
      </c>
      <c r="S7919" t="s">
        <v>45270</v>
      </c>
      <c r="T7919" t="s">
        <v>47139</v>
      </c>
      <c r="U7919" t="s">
        <v>54059</v>
      </c>
      <c r="W7919" t="s">
        <v>43968</v>
      </c>
      <c r="X7919" t="s">
        <v>45104</v>
      </c>
    </row>
    <row r="7920" spans="1:24">
      <c r="A7920">
        <f>HYPERLINK("https://www.philgeps.gov.ph/GEPSNONPILOT/Tender/SplashBidNoticeAbstractUI.aspx?menuIndex=3&amp;refID=7037661&amp;Result=3","7037661")</f>
        <v>0</v>
      </c>
      <c r="B7920" t="s">
        <v>1344</v>
      </c>
      <c r="C7920" t="s">
        <v>10749</v>
      </c>
      <c r="D7920" t="s">
        <v>18075</v>
      </c>
      <c r="E7920" t="s">
        <v>25066</v>
      </c>
      <c r="F7920" t="s">
        <v>31574</v>
      </c>
      <c r="G7920" t="s">
        <v>31582</v>
      </c>
      <c r="H7920" t="s">
        <v>31591</v>
      </c>
      <c r="I7920" t="s">
        <v>8822</v>
      </c>
      <c r="J7920" t="s">
        <v>36756</v>
      </c>
      <c r="K7920" t="s">
        <v>41243</v>
      </c>
      <c r="M7920" t="s">
        <v>42916</v>
      </c>
      <c r="N7920" t="s">
        <v>45095</v>
      </c>
      <c r="O7920" t="s">
        <v>45096</v>
      </c>
      <c r="P7920">
        <v>0</v>
      </c>
      <c r="Q7920">
        <v>0</v>
      </c>
      <c r="R7920" t="s">
        <v>45103</v>
      </c>
      <c r="S7920" t="s">
        <v>45270</v>
      </c>
      <c r="T7920" t="s">
        <v>46988</v>
      </c>
      <c r="U7920" t="s">
        <v>54060</v>
      </c>
      <c r="V7920" t="s">
        <v>60682</v>
      </c>
      <c r="W7920" t="s">
        <v>42916</v>
      </c>
      <c r="X7920" t="s">
        <v>45104</v>
      </c>
    </row>
    <row r="7921" spans="1:24">
      <c r="A7921">
        <f>HYPERLINK("https://www.philgeps.gov.ph/GEPSNONPILOT/Tender/SplashBidNoticeAbstractUI.aspx?menuIndex=3&amp;refID=7037669&amp;Result=3","7037669")</f>
        <v>0</v>
      </c>
      <c r="B7921" t="s">
        <v>2280</v>
      </c>
      <c r="C7921" t="s">
        <v>10750</v>
      </c>
      <c r="D7921" t="s">
        <v>18046</v>
      </c>
      <c r="E7921" t="s">
        <v>25067</v>
      </c>
      <c r="F7921" t="s">
        <v>31574</v>
      </c>
      <c r="G7921" t="s">
        <v>31581</v>
      </c>
      <c r="H7921" t="s">
        <v>31590</v>
      </c>
      <c r="I7921" t="s">
        <v>4046</v>
      </c>
      <c r="J7921" t="s">
        <v>36757</v>
      </c>
      <c r="K7921" t="s">
        <v>41200</v>
      </c>
      <c r="M7921" t="s">
        <v>43987</v>
      </c>
      <c r="N7921" t="s">
        <v>45095</v>
      </c>
      <c r="O7921" t="s">
        <v>45096</v>
      </c>
      <c r="P7921">
        <v>0</v>
      </c>
      <c r="Q7921">
        <v>0</v>
      </c>
      <c r="R7921" t="s">
        <v>45103</v>
      </c>
      <c r="S7921" t="s">
        <v>45270</v>
      </c>
      <c r="T7921" t="s">
        <v>46913</v>
      </c>
      <c r="U7921" t="s">
        <v>54061</v>
      </c>
      <c r="W7921" t="s">
        <v>43987</v>
      </c>
      <c r="X7921" t="s">
        <v>45104</v>
      </c>
    </row>
    <row r="7922" spans="1:24">
      <c r="A7922">
        <f>HYPERLINK("https://www.philgeps.gov.ph/GEPSNONPILOT/Tender/SplashBidNoticeAbstractUI.aspx?menuIndex=3&amp;refID=7037660&amp;Result=3","7037660")</f>
        <v>0</v>
      </c>
      <c r="B7922" t="s">
        <v>663</v>
      </c>
      <c r="C7922" t="s">
        <v>10751</v>
      </c>
      <c r="E7922" t="s">
        <v>25068</v>
      </c>
      <c r="F7922" t="s">
        <v>31574</v>
      </c>
      <c r="G7922" t="s">
        <v>31582</v>
      </c>
      <c r="H7922" t="s">
        <v>31591</v>
      </c>
      <c r="I7922" t="s">
        <v>4046</v>
      </c>
      <c r="J7922" t="s">
        <v>36758</v>
      </c>
      <c r="K7922" t="s">
        <v>41184</v>
      </c>
      <c r="M7922" t="s">
        <v>42168</v>
      </c>
      <c r="N7922" t="s">
        <v>45095</v>
      </c>
      <c r="O7922" t="s">
        <v>45096</v>
      </c>
      <c r="P7922">
        <v>0</v>
      </c>
      <c r="Q7922">
        <v>0</v>
      </c>
      <c r="R7922" t="s">
        <v>45103</v>
      </c>
      <c r="S7922" t="s">
        <v>45270</v>
      </c>
      <c r="T7922" t="s">
        <v>47100</v>
      </c>
      <c r="U7922" t="s">
        <v>54062</v>
      </c>
      <c r="W7922" t="s">
        <v>42168</v>
      </c>
      <c r="X7922" t="s">
        <v>45104</v>
      </c>
    </row>
    <row r="7923" spans="1:24">
      <c r="A7923">
        <f>HYPERLINK("https://www.philgeps.gov.ph/GEPSNONPILOT/Tender/SplashBidNoticeAbstractUI.aspx?menuIndex=3&amp;refID=7037680&amp;Result=3","7037680")</f>
        <v>0</v>
      </c>
      <c r="B7923" t="s">
        <v>1863</v>
      </c>
      <c r="C7923" t="s">
        <v>10752</v>
      </c>
      <c r="D7923" t="s">
        <v>18052</v>
      </c>
      <c r="E7923" t="s">
        <v>25069</v>
      </c>
      <c r="F7923" t="s">
        <v>31574</v>
      </c>
      <c r="G7923" t="s">
        <v>31581</v>
      </c>
      <c r="H7923" t="s">
        <v>31590</v>
      </c>
      <c r="I7923" t="s">
        <v>4327</v>
      </c>
      <c r="J7923" t="s">
        <v>36759</v>
      </c>
      <c r="K7923" t="s">
        <v>41196</v>
      </c>
      <c r="M7923" t="s">
        <v>43502</v>
      </c>
      <c r="N7923" t="s">
        <v>45095</v>
      </c>
      <c r="O7923" t="s">
        <v>45096</v>
      </c>
      <c r="P7923">
        <v>0</v>
      </c>
      <c r="Q7923">
        <v>0</v>
      </c>
      <c r="R7923" t="s">
        <v>45103</v>
      </c>
      <c r="S7923" t="s">
        <v>45270</v>
      </c>
      <c r="T7923" t="s">
        <v>46963</v>
      </c>
      <c r="U7923" t="s">
        <v>54063</v>
      </c>
      <c r="W7923" t="s">
        <v>43502</v>
      </c>
      <c r="X7923" t="s">
        <v>45104</v>
      </c>
    </row>
    <row r="7924" spans="1:24">
      <c r="A7924">
        <f>HYPERLINK("https://www.philgeps.gov.ph/GEPSNONPILOT/Tender/SplashBidNoticeAbstractUI.aspx?menuIndex=3&amp;refID=7037686&amp;Result=3","7037686")</f>
        <v>0</v>
      </c>
      <c r="B7924" t="s">
        <v>2277</v>
      </c>
      <c r="C7924" t="s">
        <v>10753</v>
      </c>
      <c r="D7924" t="s">
        <v>18074</v>
      </c>
      <c r="E7924" t="s">
        <v>25070</v>
      </c>
      <c r="F7924" t="s">
        <v>31574</v>
      </c>
      <c r="G7924" t="s">
        <v>31582</v>
      </c>
      <c r="H7924" t="s">
        <v>31590</v>
      </c>
      <c r="I7924" t="s">
        <v>31602</v>
      </c>
      <c r="J7924" t="s">
        <v>36760</v>
      </c>
      <c r="K7924" t="s">
        <v>41190</v>
      </c>
      <c r="M7924" t="s">
        <v>43984</v>
      </c>
      <c r="N7924" t="s">
        <v>45095</v>
      </c>
      <c r="O7924" t="s">
        <v>45096</v>
      </c>
      <c r="P7924">
        <v>0</v>
      </c>
      <c r="Q7924">
        <v>0</v>
      </c>
      <c r="R7924" t="s">
        <v>45103</v>
      </c>
      <c r="S7924" t="s">
        <v>45270</v>
      </c>
      <c r="T7924" t="s">
        <v>47106</v>
      </c>
      <c r="U7924" t="s">
        <v>54064</v>
      </c>
      <c r="V7924" t="s">
        <v>60678</v>
      </c>
      <c r="W7924" t="s">
        <v>43984</v>
      </c>
      <c r="X7924" t="s">
        <v>45104</v>
      </c>
    </row>
    <row r="7925" spans="1:24">
      <c r="A7925">
        <f>HYPERLINK("https://www.philgeps.gov.ph/GEPSNONPILOT/Tender/SplashBidNoticeAbstractUI.aspx?menuIndex=3&amp;refID=7037678&amp;Result=3","7037678")</f>
        <v>0</v>
      </c>
      <c r="B7925" t="s">
        <v>357</v>
      </c>
      <c r="C7925" t="s">
        <v>10754</v>
      </c>
      <c r="D7925" t="s">
        <v>18026</v>
      </c>
      <c r="E7925" t="s">
        <v>25071</v>
      </c>
      <c r="F7925" t="s">
        <v>31574</v>
      </c>
      <c r="G7925" t="s">
        <v>31585</v>
      </c>
      <c r="H7925" t="s">
        <v>31590</v>
      </c>
      <c r="I7925" t="s">
        <v>31625</v>
      </c>
      <c r="J7925" t="s">
        <v>31947</v>
      </c>
      <c r="K7925" t="s">
        <v>41193</v>
      </c>
      <c r="M7925" t="s">
        <v>42576</v>
      </c>
      <c r="N7925" t="s">
        <v>45095</v>
      </c>
      <c r="O7925" t="s">
        <v>45096</v>
      </c>
      <c r="P7925">
        <v>0</v>
      </c>
      <c r="Q7925">
        <v>0</v>
      </c>
      <c r="R7925" t="s">
        <v>45103</v>
      </c>
      <c r="S7925" t="s">
        <v>45270</v>
      </c>
      <c r="T7925" t="s">
        <v>47076</v>
      </c>
      <c r="U7925" t="s">
        <v>54065</v>
      </c>
      <c r="W7925" t="s">
        <v>42576</v>
      </c>
      <c r="X7925" t="s">
        <v>45104</v>
      </c>
    </row>
    <row r="7926" spans="1:24">
      <c r="A7926">
        <f>HYPERLINK("https://www.philgeps.gov.ph/GEPSNONPILOT/Tender/SplashBidNoticeAbstractUI.aspx?menuIndex=3&amp;refID=7037672&amp;Result=3","7037672")</f>
        <v>0</v>
      </c>
      <c r="B7926" t="s">
        <v>2284</v>
      </c>
      <c r="C7926" t="s">
        <v>10755</v>
      </c>
      <c r="D7926" t="s">
        <v>18022</v>
      </c>
      <c r="E7926" t="s">
        <v>25072</v>
      </c>
      <c r="F7926" t="s">
        <v>31574</v>
      </c>
      <c r="G7926" t="s">
        <v>31582</v>
      </c>
      <c r="H7926" t="s">
        <v>31590</v>
      </c>
      <c r="I7926" t="s">
        <v>3487</v>
      </c>
      <c r="J7926" t="s">
        <v>36761</v>
      </c>
      <c r="K7926" t="s">
        <v>41190</v>
      </c>
      <c r="M7926" t="s">
        <v>43991</v>
      </c>
      <c r="N7926" t="s">
        <v>45095</v>
      </c>
      <c r="O7926" t="s">
        <v>45096</v>
      </c>
      <c r="P7926">
        <v>0</v>
      </c>
      <c r="Q7926">
        <v>1</v>
      </c>
      <c r="R7926" t="s">
        <v>45103</v>
      </c>
      <c r="S7926" t="s">
        <v>45270</v>
      </c>
      <c r="T7926" t="s">
        <v>47157</v>
      </c>
      <c r="U7926" t="s">
        <v>54066</v>
      </c>
      <c r="W7926" t="s">
        <v>43991</v>
      </c>
      <c r="X7926" t="s">
        <v>45104</v>
      </c>
    </row>
    <row r="7927" spans="1:24">
      <c r="A7927">
        <f>HYPERLINK("https://www.philgeps.gov.ph/GEPSNONPILOT/Tender/SplashBidNoticeAbstractUI.aspx?menuIndex=3&amp;refID=7037675&amp;Result=3","7037675")</f>
        <v>0</v>
      </c>
      <c r="B7927" t="s">
        <v>1117</v>
      </c>
      <c r="C7927" t="s">
        <v>10756</v>
      </c>
      <c r="D7927" t="s">
        <v>18079</v>
      </c>
      <c r="E7927" t="s">
        <v>25073</v>
      </c>
      <c r="F7927" t="s">
        <v>31574</v>
      </c>
      <c r="G7927" t="s">
        <v>31582</v>
      </c>
      <c r="H7927" t="s">
        <v>31591</v>
      </c>
      <c r="I7927" t="s">
        <v>8822</v>
      </c>
      <c r="J7927" t="s">
        <v>32019</v>
      </c>
      <c r="K7927" t="s">
        <v>41186</v>
      </c>
      <c r="M7927" t="s">
        <v>42666</v>
      </c>
      <c r="N7927" t="s">
        <v>45095</v>
      </c>
      <c r="O7927" t="s">
        <v>45096</v>
      </c>
      <c r="P7927">
        <v>0</v>
      </c>
      <c r="Q7927">
        <v>0</v>
      </c>
      <c r="R7927" t="s">
        <v>45103</v>
      </c>
      <c r="S7927" t="s">
        <v>45270</v>
      </c>
      <c r="T7927" t="s">
        <v>47064</v>
      </c>
      <c r="U7927" t="s">
        <v>53299</v>
      </c>
      <c r="W7927" t="s">
        <v>42666</v>
      </c>
      <c r="X7927" t="s">
        <v>45104</v>
      </c>
    </row>
    <row r="7928" spans="1:24">
      <c r="A7928">
        <f>HYPERLINK("https://www.philgeps.gov.ph/GEPSNONPILOT/Tender/SplashBidNoticeAbstractUI.aspx?menuIndex=3&amp;refID=7037670&amp;Result=3","7037670")</f>
        <v>0</v>
      </c>
      <c r="B7928" t="s">
        <v>2269</v>
      </c>
      <c r="C7928" t="s">
        <v>10757</v>
      </c>
      <c r="D7928" t="s">
        <v>18066</v>
      </c>
      <c r="E7928" t="s">
        <v>25074</v>
      </c>
      <c r="F7928" t="s">
        <v>31574</v>
      </c>
      <c r="G7928" t="s">
        <v>31582</v>
      </c>
      <c r="H7928" t="s">
        <v>31590</v>
      </c>
      <c r="I7928" t="s">
        <v>3487</v>
      </c>
      <c r="J7928" t="s">
        <v>36762</v>
      </c>
      <c r="K7928" t="s">
        <v>41184</v>
      </c>
      <c r="M7928" t="s">
        <v>43970</v>
      </c>
      <c r="N7928" t="s">
        <v>45095</v>
      </c>
      <c r="O7928" t="s">
        <v>45096</v>
      </c>
      <c r="P7928">
        <v>0</v>
      </c>
      <c r="Q7928">
        <v>4</v>
      </c>
      <c r="R7928" t="s">
        <v>45103</v>
      </c>
      <c r="S7928" t="s">
        <v>45270</v>
      </c>
      <c r="T7928" t="s">
        <v>46992</v>
      </c>
      <c r="U7928" t="s">
        <v>53978</v>
      </c>
      <c r="W7928" t="s">
        <v>43970</v>
      </c>
      <c r="X7928" t="s">
        <v>45104</v>
      </c>
    </row>
    <row r="7929" spans="1:24">
      <c r="A7929">
        <f>HYPERLINK("https://www.philgeps.gov.ph/GEPSNONPILOT/Tender/SplashBidNoticeAbstractUI.aspx?menuIndex=3&amp;refID=7037671&amp;Result=3","7037671")</f>
        <v>0</v>
      </c>
      <c r="B7929" t="s">
        <v>2285</v>
      </c>
      <c r="C7929" t="s">
        <v>10758</v>
      </c>
      <c r="D7929" t="s">
        <v>18094</v>
      </c>
      <c r="E7929" t="s">
        <v>25075</v>
      </c>
      <c r="F7929" t="s">
        <v>31574</v>
      </c>
      <c r="G7929" t="s">
        <v>31581</v>
      </c>
      <c r="H7929" t="s">
        <v>31592</v>
      </c>
      <c r="I7929" t="s">
        <v>31644</v>
      </c>
      <c r="J7929" t="s">
        <v>36763</v>
      </c>
      <c r="K7929" t="s">
        <v>41186</v>
      </c>
      <c r="M7929" t="s">
        <v>43992</v>
      </c>
      <c r="N7929" t="s">
        <v>45095</v>
      </c>
      <c r="O7929" t="s">
        <v>45096</v>
      </c>
      <c r="P7929">
        <v>0</v>
      </c>
      <c r="Q7929">
        <v>9</v>
      </c>
      <c r="R7929" t="s">
        <v>45103</v>
      </c>
      <c r="S7929" t="s">
        <v>45270</v>
      </c>
      <c r="T7929" t="s">
        <v>47176</v>
      </c>
      <c r="U7929" t="s">
        <v>54067</v>
      </c>
      <c r="W7929" t="s">
        <v>43992</v>
      </c>
      <c r="X7929" t="s">
        <v>45104</v>
      </c>
    </row>
    <row r="7930" spans="1:24">
      <c r="A7930">
        <f>HYPERLINK("https://www.philgeps.gov.ph/GEPSNONPILOT/Tender/SplashBidNoticeAbstractUI.aspx?menuIndex=3&amp;refID=7037707&amp;Result=3","7037707")</f>
        <v>0</v>
      </c>
      <c r="B7930" t="s">
        <v>316</v>
      </c>
      <c r="C7930" t="s">
        <v>10759</v>
      </c>
      <c r="D7930" t="s">
        <v>18065</v>
      </c>
      <c r="E7930" t="s">
        <v>20329</v>
      </c>
      <c r="F7930" t="s">
        <v>31574</v>
      </c>
      <c r="G7930" t="s">
        <v>31582</v>
      </c>
      <c r="H7930" t="s">
        <v>31590</v>
      </c>
      <c r="I7930" t="s">
        <v>4046</v>
      </c>
      <c r="J7930" t="s">
        <v>36764</v>
      </c>
      <c r="K7930" t="s">
        <v>41186</v>
      </c>
      <c r="M7930" t="s">
        <v>41804</v>
      </c>
      <c r="N7930" t="s">
        <v>45095</v>
      </c>
      <c r="O7930" t="s">
        <v>45096</v>
      </c>
      <c r="P7930">
        <v>0</v>
      </c>
      <c r="Q7930">
        <v>0</v>
      </c>
      <c r="R7930" t="s">
        <v>45103</v>
      </c>
      <c r="S7930" t="s">
        <v>45270</v>
      </c>
      <c r="T7930" t="s">
        <v>46980</v>
      </c>
      <c r="U7930" t="s">
        <v>54068</v>
      </c>
      <c r="W7930" t="s">
        <v>41804</v>
      </c>
      <c r="X7930" t="s">
        <v>45104</v>
      </c>
    </row>
    <row r="7931" spans="1:24">
      <c r="A7931">
        <f>HYPERLINK("https://www.philgeps.gov.ph/GEPSNONPILOT/Tender/SplashBidNoticeAbstractUI.aspx?menuIndex=3&amp;refID=7037704&amp;Result=3","7037704")</f>
        <v>0</v>
      </c>
      <c r="B7931" t="s">
        <v>1459</v>
      </c>
      <c r="C7931" t="s">
        <v>10760</v>
      </c>
      <c r="D7931" t="s">
        <v>18022</v>
      </c>
      <c r="E7931" t="s">
        <v>19469</v>
      </c>
      <c r="F7931" t="s">
        <v>31574</v>
      </c>
      <c r="G7931" t="s">
        <v>31581</v>
      </c>
      <c r="H7931" t="s">
        <v>31591</v>
      </c>
      <c r="I7931" t="s">
        <v>8822</v>
      </c>
      <c r="J7931" t="s">
        <v>36765</v>
      </c>
      <c r="K7931" t="s">
        <v>41185</v>
      </c>
      <c r="M7931" t="s">
        <v>43039</v>
      </c>
      <c r="N7931" t="s">
        <v>45095</v>
      </c>
      <c r="O7931" t="s">
        <v>45096</v>
      </c>
      <c r="P7931">
        <v>0</v>
      </c>
      <c r="Q7931">
        <v>1</v>
      </c>
      <c r="R7931" t="s">
        <v>45103</v>
      </c>
      <c r="S7931" t="s">
        <v>45270</v>
      </c>
      <c r="T7931" t="s">
        <v>47158</v>
      </c>
      <c r="U7931" t="s">
        <v>54069</v>
      </c>
      <c r="W7931" t="s">
        <v>43039</v>
      </c>
      <c r="X7931" t="s">
        <v>45104</v>
      </c>
    </row>
    <row r="7932" spans="1:24">
      <c r="A7932">
        <f>HYPERLINK("https://www.philgeps.gov.ph/GEPSNONPILOT/Tender/SplashBidNoticeAbstractUI.aspx?menuIndex=3&amp;refID=7037674&amp;Result=3","7037674")</f>
        <v>0</v>
      </c>
      <c r="B7932" t="s">
        <v>955</v>
      </c>
      <c r="C7932" t="s">
        <v>10761</v>
      </c>
      <c r="D7932" t="s">
        <v>18043</v>
      </c>
      <c r="E7932" t="s">
        <v>25076</v>
      </c>
      <c r="F7932" t="s">
        <v>31574</v>
      </c>
      <c r="G7932" t="s">
        <v>31582</v>
      </c>
      <c r="H7932" t="s">
        <v>31590</v>
      </c>
      <c r="I7932" t="s">
        <v>31629</v>
      </c>
      <c r="J7932" t="s">
        <v>36766</v>
      </c>
      <c r="K7932" t="s">
        <v>41184</v>
      </c>
      <c r="M7932" t="s">
        <v>42482</v>
      </c>
      <c r="N7932" t="s">
        <v>45095</v>
      </c>
      <c r="O7932" t="s">
        <v>45096</v>
      </c>
      <c r="P7932">
        <v>0</v>
      </c>
      <c r="Q7932">
        <v>1</v>
      </c>
      <c r="R7932" t="s">
        <v>45103</v>
      </c>
      <c r="S7932" t="s">
        <v>45270</v>
      </c>
      <c r="T7932" t="s">
        <v>46965</v>
      </c>
      <c r="U7932" t="s">
        <v>54070</v>
      </c>
      <c r="W7932" t="s">
        <v>42482</v>
      </c>
      <c r="X7932" t="s">
        <v>45104</v>
      </c>
    </row>
    <row r="7933" spans="1:24">
      <c r="A7933">
        <f>HYPERLINK("https://www.philgeps.gov.ph/GEPSNONPILOT/Tender/SplashBidNoticeAbstractUI.aspx?menuIndex=3&amp;refID=7037700&amp;Result=3","7037700")</f>
        <v>0</v>
      </c>
      <c r="B7933" t="s">
        <v>265</v>
      </c>
      <c r="C7933" t="s">
        <v>10762</v>
      </c>
      <c r="D7933" t="s">
        <v>18052</v>
      </c>
      <c r="E7933" t="s">
        <v>25077</v>
      </c>
      <c r="F7933" t="s">
        <v>31574</v>
      </c>
      <c r="G7933" t="s">
        <v>31583</v>
      </c>
      <c r="H7933" t="s">
        <v>31590</v>
      </c>
      <c r="I7933" t="s">
        <v>8258</v>
      </c>
      <c r="J7933" t="s">
        <v>36767</v>
      </c>
      <c r="K7933" t="s">
        <v>41184</v>
      </c>
      <c r="M7933" t="s">
        <v>41751</v>
      </c>
      <c r="N7933" t="s">
        <v>45095</v>
      </c>
      <c r="O7933" t="s">
        <v>45096</v>
      </c>
      <c r="P7933">
        <v>0</v>
      </c>
      <c r="Q7933">
        <v>17</v>
      </c>
      <c r="R7933" t="s">
        <v>45103</v>
      </c>
      <c r="S7933" t="s">
        <v>45270</v>
      </c>
      <c r="T7933" t="s">
        <v>46969</v>
      </c>
      <c r="U7933" t="s">
        <v>54071</v>
      </c>
      <c r="W7933" t="s">
        <v>41751</v>
      </c>
      <c r="X7933" t="s">
        <v>45104</v>
      </c>
    </row>
    <row r="7934" spans="1:24">
      <c r="A7934">
        <f>HYPERLINK("https://www.philgeps.gov.ph/GEPSNONPILOT/Tender/SplashBidNoticeAbstractUI.aspx?menuIndex=3&amp;refID=7037699&amp;Result=3","7037699")</f>
        <v>0</v>
      </c>
      <c r="B7934" t="s">
        <v>2280</v>
      </c>
      <c r="C7934" t="s">
        <v>10763</v>
      </c>
      <c r="D7934" t="s">
        <v>18046</v>
      </c>
      <c r="E7934" t="s">
        <v>25078</v>
      </c>
      <c r="F7934" t="s">
        <v>31574</v>
      </c>
      <c r="G7934" t="s">
        <v>31581</v>
      </c>
      <c r="H7934" t="s">
        <v>31590</v>
      </c>
      <c r="I7934" t="s">
        <v>4046</v>
      </c>
      <c r="J7934" t="s">
        <v>36768</v>
      </c>
      <c r="K7934" t="s">
        <v>41200</v>
      </c>
      <c r="M7934" t="s">
        <v>43987</v>
      </c>
      <c r="N7934" t="s">
        <v>45095</v>
      </c>
      <c r="O7934" t="s">
        <v>45096</v>
      </c>
      <c r="P7934">
        <v>0</v>
      </c>
      <c r="Q7934">
        <v>0</v>
      </c>
      <c r="R7934" t="s">
        <v>45103</v>
      </c>
      <c r="S7934" t="s">
        <v>45270</v>
      </c>
      <c r="T7934" t="s">
        <v>46913</v>
      </c>
      <c r="U7934" t="s">
        <v>54072</v>
      </c>
      <c r="W7934" t="s">
        <v>43987</v>
      </c>
      <c r="X7934" t="s">
        <v>45104</v>
      </c>
    </row>
    <row r="7935" spans="1:24">
      <c r="A7935">
        <f>HYPERLINK("https://www.philgeps.gov.ph/GEPSNONPILOT/Tender/SplashBidNoticeAbstractUI.aspx?menuIndex=3&amp;refID=7037705&amp;Result=3","7037705")</f>
        <v>0</v>
      </c>
      <c r="B7935" t="s">
        <v>2269</v>
      </c>
      <c r="C7935" t="s">
        <v>10764</v>
      </c>
      <c r="D7935" t="s">
        <v>18066</v>
      </c>
      <c r="E7935" t="s">
        <v>25079</v>
      </c>
      <c r="F7935" t="s">
        <v>31574</v>
      </c>
      <c r="G7935" t="s">
        <v>31582</v>
      </c>
      <c r="H7935" t="s">
        <v>31590</v>
      </c>
      <c r="I7935" t="s">
        <v>7185</v>
      </c>
      <c r="J7935" t="s">
        <v>36769</v>
      </c>
      <c r="K7935" t="s">
        <v>41184</v>
      </c>
      <c r="M7935" t="s">
        <v>43970</v>
      </c>
      <c r="N7935" t="s">
        <v>45095</v>
      </c>
      <c r="O7935" t="s">
        <v>45096</v>
      </c>
      <c r="P7935">
        <v>0</v>
      </c>
      <c r="Q7935">
        <v>9</v>
      </c>
      <c r="R7935" t="s">
        <v>45103</v>
      </c>
      <c r="S7935" t="s">
        <v>45270</v>
      </c>
      <c r="T7935" t="s">
        <v>46992</v>
      </c>
      <c r="U7935" t="s">
        <v>53978</v>
      </c>
      <c r="W7935" t="s">
        <v>43970</v>
      </c>
      <c r="X7935" t="s">
        <v>45104</v>
      </c>
    </row>
    <row r="7936" spans="1:24">
      <c r="A7936">
        <f>HYPERLINK("https://www.philgeps.gov.ph/GEPSNONPILOT/Tender/SplashBidNoticeAbstractUI.aspx?menuIndex=3&amp;refID=7037687&amp;Result=3","7037687")</f>
        <v>0</v>
      </c>
      <c r="B7936" t="s">
        <v>2286</v>
      </c>
      <c r="C7936" t="s">
        <v>10765</v>
      </c>
      <c r="D7936" t="s">
        <v>18079</v>
      </c>
      <c r="E7936" t="s">
        <v>25080</v>
      </c>
      <c r="F7936" t="s">
        <v>31574</v>
      </c>
      <c r="G7936" t="s">
        <v>31582</v>
      </c>
      <c r="H7936" t="s">
        <v>31591</v>
      </c>
      <c r="I7936" t="s">
        <v>8822</v>
      </c>
      <c r="J7936" t="s">
        <v>32076</v>
      </c>
      <c r="K7936" t="s">
        <v>41186</v>
      </c>
      <c r="M7936" t="s">
        <v>43993</v>
      </c>
      <c r="N7936" t="s">
        <v>45095</v>
      </c>
      <c r="O7936" t="s">
        <v>45096</v>
      </c>
      <c r="P7936">
        <v>0</v>
      </c>
      <c r="Q7936">
        <v>1</v>
      </c>
      <c r="R7936" t="s">
        <v>45103</v>
      </c>
      <c r="S7936" t="s">
        <v>45270</v>
      </c>
      <c r="T7936" t="s">
        <v>47000</v>
      </c>
      <c r="U7936" t="s">
        <v>54073</v>
      </c>
      <c r="W7936" t="s">
        <v>43993</v>
      </c>
      <c r="X7936" t="s">
        <v>45104</v>
      </c>
    </row>
    <row r="7937" spans="1:24">
      <c r="A7937">
        <f>HYPERLINK("https://www.philgeps.gov.ph/GEPSNONPILOT/Tender/SplashBidNoticeAbstractUI.aspx?menuIndex=3&amp;refID=7037697&amp;Result=3","7037697")</f>
        <v>0</v>
      </c>
      <c r="B7937" t="s">
        <v>1882</v>
      </c>
      <c r="C7937" t="s">
        <v>10766</v>
      </c>
      <c r="E7937" t="s">
        <v>25081</v>
      </c>
      <c r="F7937" t="s">
        <v>31574</v>
      </c>
      <c r="G7937" t="s">
        <v>31582</v>
      </c>
      <c r="H7937" t="s">
        <v>31591</v>
      </c>
      <c r="I7937" t="s">
        <v>8822</v>
      </c>
      <c r="J7937" t="s">
        <v>36770</v>
      </c>
      <c r="K7937" t="s">
        <v>41202</v>
      </c>
      <c r="M7937" t="s">
        <v>43525</v>
      </c>
      <c r="N7937" t="s">
        <v>45095</v>
      </c>
      <c r="O7937" t="s">
        <v>45096</v>
      </c>
      <c r="P7937">
        <v>0</v>
      </c>
      <c r="Q7937">
        <v>0</v>
      </c>
      <c r="R7937" t="s">
        <v>45103</v>
      </c>
      <c r="S7937" t="s">
        <v>45270</v>
      </c>
      <c r="T7937" t="s">
        <v>46988</v>
      </c>
      <c r="U7937" t="s">
        <v>54074</v>
      </c>
      <c r="V7937" t="s">
        <v>60683</v>
      </c>
      <c r="W7937" t="s">
        <v>43525</v>
      </c>
      <c r="X7937" t="s">
        <v>45104</v>
      </c>
    </row>
    <row r="7938" spans="1:24">
      <c r="A7938">
        <f>HYPERLINK("https://www.philgeps.gov.ph/GEPSNONPILOT/Tender/SplashBidNoticeAbstractUI.aspx?menuIndex=3&amp;refID=7037689&amp;Result=3","7037689")</f>
        <v>0</v>
      </c>
      <c r="B7938" t="s">
        <v>704</v>
      </c>
      <c r="C7938" t="s">
        <v>10767</v>
      </c>
      <c r="E7938" t="s">
        <v>25082</v>
      </c>
      <c r="F7938" t="s">
        <v>31574</v>
      </c>
      <c r="G7938" t="s">
        <v>31582</v>
      </c>
      <c r="H7938" t="s">
        <v>31590</v>
      </c>
      <c r="I7938" t="s">
        <v>31648</v>
      </c>
      <c r="J7938" t="s">
        <v>36123</v>
      </c>
      <c r="K7938" t="s">
        <v>41186</v>
      </c>
      <c r="M7938" t="s">
        <v>42213</v>
      </c>
      <c r="N7938" t="s">
        <v>45095</v>
      </c>
      <c r="O7938" t="s">
        <v>45096</v>
      </c>
      <c r="P7938">
        <v>0</v>
      </c>
      <c r="Q7938">
        <v>0</v>
      </c>
      <c r="R7938" t="s">
        <v>45103</v>
      </c>
      <c r="S7938" t="s">
        <v>45270</v>
      </c>
      <c r="T7938" t="s">
        <v>46965</v>
      </c>
      <c r="U7938" t="s">
        <v>54075</v>
      </c>
      <c r="W7938" t="s">
        <v>42213</v>
      </c>
      <c r="X7938" t="s">
        <v>45104</v>
      </c>
    </row>
    <row r="7939" spans="1:24">
      <c r="A7939">
        <f>HYPERLINK("https://www.philgeps.gov.ph/GEPSNONPILOT/Tender/SplashBidNoticeAbstractUI.aspx?menuIndex=3&amp;refID=7037693&amp;Result=3","7037693")</f>
        <v>0</v>
      </c>
      <c r="B7939" t="s">
        <v>1589</v>
      </c>
      <c r="C7939" t="s">
        <v>10768</v>
      </c>
      <c r="D7939" t="s">
        <v>18022</v>
      </c>
      <c r="E7939" t="s">
        <v>25083</v>
      </c>
      <c r="F7939" t="s">
        <v>31574</v>
      </c>
      <c r="G7939" t="s">
        <v>31582</v>
      </c>
      <c r="H7939" t="s">
        <v>31590</v>
      </c>
      <c r="I7939" t="s">
        <v>3487</v>
      </c>
      <c r="J7939" t="s">
        <v>36771</v>
      </c>
      <c r="K7939" t="s">
        <v>41196</v>
      </c>
      <c r="M7939" t="s">
        <v>43910</v>
      </c>
      <c r="N7939" t="s">
        <v>45095</v>
      </c>
      <c r="O7939" t="s">
        <v>45096</v>
      </c>
      <c r="P7939">
        <v>0</v>
      </c>
      <c r="Q7939">
        <v>0</v>
      </c>
      <c r="R7939" t="s">
        <v>45103</v>
      </c>
      <c r="S7939" t="s">
        <v>45270</v>
      </c>
      <c r="T7939" t="s">
        <v>46985</v>
      </c>
      <c r="U7939" t="s">
        <v>51488</v>
      </c>
      <c r="W7939" t="s">
        <v>43910</v>
      </c>
      <c r="X7939" t="s">
        <v>45104</v>
      </c>
    </row>
    <row r="7940" spans="1:24">
      <c r="A7940">
        <f>HYPERLINK("https://www.philgeps.gov.ph/GEPSNONPILOT/Tender/SplashBidNoticeAbstractUI.aspx?menuIndex=3&amp;refID=7037713&amp;Result=3","7037713")</f>
        <v>0</v>
      </c>
      <c r="B7940" t="s">
        <v>955</v>
      </c>
      <c r="C7940" t="s">
        <v>10769</v>
      </c>
      <c r="D7940" t="s">
        <v>18043</v>
      </c>
      <c r="E7940" t="s">
        <v>25084</v>
      </c>
      <c r="F7940" t="s">
        <v>31574</v>
      </c>
      <c r="G7940" t="s">
        <v>31582</v>
      </c>
      <c r="H7940" t="s">
        <v>31590</v>
      </c>
      <c r="I7940" t="s">
        <v>31614</v>
      </c>
      <c r="J7940" t="s">
        <v>36772</v>
      </c>
      <c r="K7940" t="s">
        <v>41184</v>
      </c>
      <c r="M7940" t="s">
        <v>42482</v>
      </c>
      <c r="N7940" t="s">
        <v>45095</v>
      </c>
      <c r="O7940" t="s">
        <v>45096</v>
      </c>
      <c r="P7940">
        <v>0</v>
      </c>
      <c r="Q7940">
        <v>0</v>
      </c>
      <c r="R7940" t="s">
        <v>45103</v>
      </c>
      <c r="S7940" t="s">
        <v>45270</v>
      </c>
      <c r="T7940" t="s">
        <v>47063</v>
      </c>
      <c r="U7940" t="s">
        <v>54076</v>
      </c>
      <c r="W7940" t="s">
        <v>42482</v>
      </c>
      <c r="X7940" t="s">
        <v>45104</v>
      </c>
    </row>
    <row r="7941" spans="1:24">
      <c r="A7941">
        <f>HYPERLINK("https://www.philgeps.gov.ph/GEPSNONPILOT/Tender/SplashBidNoticeAbstractUI.aspx?menuIndex=3&amp;refID=7037718&amp;Result=3","7037718")</f>
        <v>0</v>
      </c>
      <c r="B7941" t="s">
        <v>704</v>
      </c>
      <c r="C7941" t="s">
        <v>10770</v>
      </c>
      <c r="E7941" t="s">
        <v>25085</v>
      </c>
      <c r="F7941" t="s">
        <v>31574</v>
      </c>
      <c r="G7941" t="s">
        <v>31582</v>
      </c>
      <c r="H7941" t="s">
        <v>31590</v>
      </c>
      <c r="I7941" t="s">
        <v>14544</v>
      </c>
      <c r="J7941" t="s">
        <v>35657</v>
      </c>
      <c r="K7941" t="s">
        <v>41186</v>
      </c>
      <c r="M7941" t="s">
        <v>42213</v>
      </c>
      <c r="N7941" t="s">
        <v>45095</v>
      </c>
      <c r="O7941" t="s">
        <v>45096</v>
      </c>
      <c r="P7941">
        <v>0</v>
      </c>
      <c r="Q7941">
        <v>5</v>
      </c>
      <c r="R7941" t="s">
        <v>45103</v>
      </c>
      <c r="S7941" t="s">
        <v>45270</v>
      </c>
      <c r="T7941" t="s">
        <v>46965</v>
      </c>
      <c r="U7941" t="s">
        <v>54075</v>
      </c>
      <c r="W7941" t="s">
        <v>42213</v>
      </c>
      <c r="X7941" t="s">
        <v>45104</v>
      </c>
    </row>
    <row r="7942" spans="1:24">
      <c r="A7942">
        <f>HYPERLINK("https://www.philgeps.gov.ph/GEPSNONPILOT/Tender/SplashBidNoticeAbstractUI.aspx?menuIndex=3&amp;refID=7037692&amp;Result=3","7037692")</f>
        <v>0</v>
      </c>
      <c r="B7942" t="s">
        <v>1808</v>
      </c>
      <c r="C7942" t="s">
        <v>10771</v>
      </c>
      <c r="D7942" t="s">
        <v>18070</v>
      </c>
      <c r="E7942" t="s">
        <v>25037</v>
      </c>
      <c r="F7942" t="s">
        <v>31574</v>
      </c>
      <c r="G7942" t="s">
        <v>31582</v>
      </c>
      <c r="H7942" t="s">
        <v>31590</v>
      </c>
      <c r="I7942" t="s">
        <v>4046</v>
      </c>
      <c r="J7942" t="s">
        <v>32258</v>
      </c>
      <c r="K7942" t="s">
        <v>41206</v>
      </c>
      <c r="M7942" t="s">
        <v>43441</v>
      </c>
      <c r="N7942" t="s">
        <v>45095</v>
      </c>
      <c r="O7942" t="s">
        <v>45096</v>
      </c>
      <c r="P7942">
        <v>0</v>
      </c>
      <c r="Q7942">
        <v>0</v>
      </c>
      <c r="R7942" t="s">
        <v>45103</v>
      </c>
      <c r="S7942" t="s">
        <v>45270</v>
      </c>
      <c r="T7942" t="s">
        <v>47228</v>
      </c>
      <c r="U7942" t="s">
        <v>54077</v>
      </c>
      <c r="W7942" t="s">
        <v>43441</v>
      </c>
      <c r="X7942" t="s">
        <v>45104</v>
      </c>
    </row>
    <row r="7943" spans="1:24">
      <c r="A7943">
        <f>HYPERLINK("https://www.philgeps.gov.ph/GEPSNONPILOT/Tender/SplashBidNoticeAbstractUI.aspx?menuIndex=3&amp;refID=7037731&amp;Result=3","7037731")</f>
        <v>0</v>
      </c>
      <c r="B7943" t="s">
        <v>1399</v>
      </c>
      <c r="C7943" t="s">
        <v>10772</v>
      </c>
      <c r="D7943" t="s">
        <v>18081</v>
      </c>
      <c r="E7943" t="s">
        <v>25086</v>
      </c>
      <c r="F7943" t="s">
        <v>31574</v>
      </c>
      <c r="G7943" t="s">
        <v>31582</v>
      </c>
      <c r="H7943" t="s">
        <v>31593</v>
      </c>
      <c r="I7943" t="s">
        <v>31593</v>
      </c>
      <c r="J7943" t="s">
        <v>36747</v>
      </c>
      <c r="K7943" t="s">
        <v>41192</v>
      </c>
      <c r="M7943" t="s">
        <v>43167</v>
      </c>
      <c r="N7943" t="s">
        <v>45095</v>
      </c>
      <c r="O7943" t="s">
        <v>45096</v>
      </c>
      <c r="P7943">
        <v>0</v>
      </c>
      <c r="Q7943">
        <v>1</v>
      </c>
      <c r="R7943" t="s">
        <v>45103</v>
      </c>
      <c r="S7943" t="s">
        <v>45270</v>
      </c>
      <c r="T7943" t="s">
        <v>47050</v>
      </c>
      <c r="U7943" t="s">
        <v>54078</v>
      </c>
      <c r="W7943" t="s">
        <v>43167</v>
      </c>
      <c r="X7943" t="s">
        <v>45104</v>
      </c>
    </row>
    <row r="7944" spans="1:24">
      <c r="A7944">
        <f>HYPERLINK("https://www.philgeps.gov.ph/GEPSNONPILOT/Tender/SplashBidNoticeAbstractUI.aspx?menuIndex=3&amp;refID=7037715&amp;Result=3","7037715")</f>
        <v>0</v>
      </c>
      <c r="B7944" t="s">
        <v>2280</v>
      </c>
      <c r="C7944" t="s">
        <v>10773</v>
      </c>
      <c r="D7944" t="s">
        <v>18046</v>
      </c>
      <c r="E7944" t="s">
        <v>25087</v>
      </c>
      <c r="F7944" t="s">
        <v>31574</v>
      </c>
      <c r="G7944" t="s">
        <v>31581</v>
      </c>
      <c r="H7944" t="s">
        <v>31590</v>
      </c>
      <c r="I7944" t="s">
        <v>4046</v>
      </c>
      <c r="J7944" t="s">
        <v>36773</v>
      </c>
      <c r="K7944" t="s">
        <v>41200</v>
      </c>
      <c r="M7944" t="s">
        <v>43987</v>
      </c>
      <c r="N7944" t="s">
        <v>45095</v>
      </c>
      <c r="O7944" t="s">
        <v>45096</v>
      </c>
      <c r="P7944">
        <v>0</v>
      </c>
      <c r="Q7944">
        <v>0</v>
      </c>
      <c r="R7944" t="s">
        <v>45103</v>
      </c>
      <c r="S7944" t="s">
        <v>45270</v>
      </c>
      <c r="T7944" t="s">
        <v>46913</v>
      </c>
      <c r="U7944" t="s">
        <v>54079</v>
      </c>
      <c r="W7944" t="s">
        <v>43987</v>
      </c>
      <c r="X7944" t="s">
        <v>45104</v>
      </c>
    </row>
    <row r="7945" spans="1:24">
      <c r="A7945">
        <f>HYPERLINK("https://www.philgeps.gov.ph/GEPSNONPILOT/Tender/SplashBidNoticeAbstractUI.aspx?menuIndex=3&amp;refID=7037711&amp;Result=3","7037711")</f>
        <v>0</v>
      </c>
      <c r="B7945" t="s">
        <v>1863</v>
      </c>
      <c r="C7945" t="s">
        <v>10359</v>
      </c>
      <c r="D7945" t="s">
        <v>18052</v>
      </c>
      <c r="E7945" t="s">
        <v>25088</v>
      </c>
      <c r="F7945" t="s">
        <v>31574</v>
      </c>
      <c r="G7945" t="s">
        <v>31581</v>
      </c>
      <c r="H7945" t="s">
        <v>31590</v>
      </c>
      <c r="I7945" t="s">
        <v>31629</v>
      </c>
      <c r="J7945" t="s">
        <v>36774</v>
      </c>
      <c r="K7945" t="s">
        <v>41196</v>
      </c>
      <c r="M7945" t="s">
        <v>43502</v>
      </c>
      <c r="N7945" t="s">
        <v>45095</v>
      </c>
      <c r="O7945" t="s">
        <v>45096</v>
      </c>
      <c r="P7945">
        <v>0</v>
      </c>
      <c r="Q7945">
        <v>0</v>
      </c>
      <c r="R7945" t="s">
        <v>45103</v>
      </c>
      <c r="S7945" t="s">
        <v>45270</v>
      </c>
      <c r="T7945" t="s">
        <v>46963</v>
      </c>
      <c r="U7945" t="s">
        <v>54080</v>
      </c>
      <c r="W7945" t="s">
        <v>43502</v>
      </c>
      <c r="X7945" t="s">
        <v>45104</v>
      </c>
    </row>
    <row r="7946" spans="1:24">
      <c r="A7946">
        <f>HYPERLINK("https://www.philgeps.gov.ph/GEPSNONPILOT/Tender/SplashBidNoticeAbstractUI.aspx?menuIndex=3&amp;refID=7037729&amp;Result=3","7037729")</f>
        <v>0</v>
      </c>
      <c r="B7946" t="s">
        <v>1002</v>
      </c>
      <c r="C7946" t="s">
        <v>10774</v>
      </c>
      <c r="D7946" t="s">
        <v>18058</v>
      </c>
      <c r="E7946" t="s">
        <v>25089</v>
      </c>
      <c r="F7946" t="s">
        <v>31574</v>
      </c>
      <c r="G7946" t="s">
        <v>31582</v>
      </c>
      <c r="H7946" t="s">
        <v>31591</v>
      </c>
      <c r="I7946" t="s">
        <v>8822</v>
      </c>
      <c r="J7946" t="s">
        <v>32361</v>
      </c>
      <c r="K7946" t="s">
        <v>41293</v>
      </c>
      <c r="M7946" t="s">
        <v>42539</v>
      </c>
      <c r="N7946" t="s">
        <v>45095</v>
      </c>
      <c r="O7946" t="s">
        <v>45096</v>
      </c>
      <c r="P7946">
        <v>0</v>
      </c>
      <c r="Q7946">
        <v>0</v>
      </c>
      <c r="R7946" t="s">
        <v>45103</v>
      </c>
      <c r="S7946" t="s">
        <v>45270</v>
      </c>
      <c r="T7946" t="s">
        <v>46992</v>
      </c>
      <c r="U7946" t="s">
        <v>54081</v>
      </c>
      <c r="V7946" t="s">
        <v>60109</v>
      </c>
      <c r="W7946" t="s">
        <v>42539</v>
      </c>
      <c r="X7946" t="s">
        <v>45104</v>
      </c>
    </row>
    <row r="7947" spans="1:24">
      <c r="A7947">
        <f>HYPERLINK("https://www.philgeps.gov.ph/GEPSNONPILOT/Tender/SplashBidNoticeAbstractUI.aspx?menuIndex=3&amp;refID=7037730&amp;Result=3","7037730")</f>
        <v>0</v>
      </c>
      <c r="B7947" t="s">
        <v>553</v>
      </c>
      <c r="C7947" t="s">
        <v>10775</v>
      </c>
      <c r="D7947" t="s">
        <v>18022</v>
      </c>
      <c r="E7947" t="s">
        <v>25090</v>
      </c>
      <c r="F7947" t="s">
        <v>31574</v>
      </c>
      <c r="G7947" t="s">
        <v>31582</v>
      </c>
      <c r="H7947" t="s">
        <v>31590</v>
      </c>
      <c r="I7947" t="s">
        <v>4327</v>
      </c>
      <c r="J7947" t="s">
        <v>36775</v>
      </c>
      <c r="K7947" t="s">
        <v>41184</v>
      </c>
      <c r="M7947" t="s">
        <v>43994</v>
      </c>
      <c r="N7947" t="s">
        <v>45095</v>
      </c>
      <c r="O7947" t="s">
        <v>45096</v>
      </c>
      <c r="P7947">
        <v>0</v>
      </c>
      <c r="Q7947">
        <v>19</v>
      </c>
      <c r="R7947" t="s">
        <v>45103</v>
      </c>
      <c r="S7947" t="s">
        <v>45270</v>
      </c>
      <c r="T7947" t="s">
        <v>47004</v>
      </c>
      <c r="U7947" t="s">
        <v>54082</v>
      </c>
      <c r="V7947" t="s">
        <v>60684</v>
      </c>
      <c r="W7947" t="s">
        <v>43994</v>
      </c>
      <c r="X7947" t="s">
        <v>45104</v>
      </c>
    </row>
    <row r="7948" spans="1:24">
      <c r="A7948">
        <f>HYPERLINK("https://www.philgeps.gov.ph/GEPSNONPILOT/Tender/SplashBidNoticeAbstractUI.aspx?menuIndex=3&amp;refID=7037733&amp;Result=3","7037733")</f>
        <v>0</v>
      </c>
      <c r="B7948" t="s">
        <v>1936</v>
      </c>
      <c r="C7948" t="s">
        <v>10776</v>
      </c>
      <c r="D7948" t="s">
        <v>18039</v>
      </c>
      <c r="E7948" t="s">
        <v>25091</v>
      </c>
      <c r="F7948" t="s">
        <v>31575</v>
      </c>
      <c r="G7948" t="s">
        <v>31581</v>
      </c>
      <c r="H7948" t="s">
        <v>31590</v>
      </c>
      <c r="I7948" t="s">
        <v>5717</v>
      </c>
      <c r="J7948" t="s">
        <v>36776</v>
      </c>
      <c r="K7948" t="s">
        <v>41213</v>
      </c>
      <c r="M7948" t="s">
        <v>43591</v>
      </c>
      <c r="N7948" t="s">
        <v>45095</v>
      </c>
      <c r="O7948" t="s">
        <v>45096</v>
      </c>
      <c r="P7948">
        <v>0</v>
      </c>
      <c r="Q7948">
        <v>0</v>
      </c>
      <c r="R7948" t="s">
        <v>45103</v>
      </c>
      <c r="S7948" t="s">
        <v>45270</v>
      </c>
      <c r="T7948" t="s">
        <v>47067</v>
      </c>
      <c r="U7948" t="s">
        <v>54083</v>
      </c>
      <c r="W7948" t="s">
        <v>43591</v>
      </c>
      <c r="X7948" t="s">
        <v>45104</v>
      </c>
    </row>
    <row r="7949" spans="1:24">
      <c r="A7949">
        <f>HYPERLINK("https://www.philgeps.gov.ph/GEPSNONPILOT/Tender/SplashBidNoticeAbstractUI.aspx?menuIndex=3&amp;refID=7037732&amp;Result=3","7037732")</f>
        <v>0</v>
      </c>
      <c r="B7949" t="s">
        <v>2287</v>
      </c>
      <c r="C7949" t="s">
        <v>10777</v>
      </c>
      <c r="D7949" t="s">
        <v>18025</v>
      </c>
      <c r="E7949" t="s">
        <v>25092</v>
      </c>
      <c r="F7949" t="s">
        <v>31574</v>
      </c>
      <c r="G7949" t="s">
        <v>31582</v>
      </c>
      <c r="H7949" t="s">
        <v>31590</v>
      </c>
      <c r="I7949" t="s">
        <v>31652</v>
      </c>
      <c r="J7949" t="s">
        <v>35311</v>
      </c>
      <c r="K7949" t="s">
        <v>41186</v>
      </c>
      <c r="M7949" t="s">
        <v>43995</v>
      </c>
      <c r="N7949" t="s">
        <v>45095</v>
      </c>
      <c r="O7949" t="s">
        <v>45096</v>
      </c>
      <c r="P7949">
        <v>0</v>
      </c>
      <c r="Q7949">
        <v>1</v>
      </c>
      <c r="R7949" t="s">
        <v>45103</v>
      </c>
      <c r="S7949" t="s">
        <v>45270</v>
      </c>
      <c r="T7949" t="s">
        <v>46965</v>
      </c>
      <c r="U7949" t="s">
        <v>54084</v>
      </c>
      <c r="W7949" t="s">
        <v>43995</v>
      </c>
      <c r="X7949" t="s">
        <v>45104</v>
      </c>
    </row>
    <row r="7950" spans="1:24">
      <c r="A7950">
        <f>HYPERLINK("https://www.philgeps.gov.ph/GEPSNONPILOT/Tender/SplashBidNoticeAbstractUI.aspx?menuIndex=3&amp;refID=7037725&amp;Result=3","7037725")</f>
        <v>0</v>
      </c>
      <c r="B7950" t="s">
        <v>2280</v>
      </c>
      <c r="C7950" t="s">
        <v>10778</v>
      </c>
      <c r="D7950" t="s">
        <v>18046</v>
      </c>
      <c r="E7950" t="s">
        <v>25093</v>
      </c>
      <c r="F7950" t="s">
        <v>31574</v>
      </c>
      <c r="G7950" t="s">
        <v>31581</v>
      </c>
      <c r="H7950" t="s">
        <v>31590</v>
      </c>
      <c r="I7950" t="s">
        <v>4046</v>
      </c>
      <c r="J7950" t="s">
        <v>36777</v>
      </c>
      <c r="K7950" t="s">
        <v>41200</v>
      </c>
      <c r="M7950" t="s">
        <v>43987</v>
      </c>
      <c r="N7950" t="s">
        <v>45095</v>
      </c>
      <c r="O7950" t="s">
        <v>45096</v>
      </c>
      <c r="P7950">
        <v>0</v>
      </c>
      <c r="Q7950">
        <v>0</v>
      </c>
      <c r="R7950" t="s">
        <v>45103</v>
      </c>
      <c r="S7950" t="s">
        <v>45270</v>
      </c>
      <c r="T7950" t="s">
        <v>46913</v>
      </c>
      <c r="U7950" t="s">
        <v>54085</v>
      </c>
      <c r="W7950" t="s">
        <v>43987</v>
      </c>
      <c r="X7950" t="s">
        <v>45104</v>
      </c>
    </row>
    <row r="7951" spans="1:24">
      <c r="A7951">
        <f>HYPERLINK("https://www.philgeps.gov.ph/GEPSNONPILOT/Tender/SplashBidNoticeAbstractUI.aspx?menuIndex=3&amp;refID=7037691&amp;Result=3","7037691")</f>
        <v>0</v>
      </c>
      <c r="B7951" t="s">
        <v>479</v>
      </c>
      <c r="C7951" t="s">
        <v>10779</v>
      </c>
      <c r="D7951" t="s">
        <v>18079</v>
      </c>
      <c r="E7951" t="s">
        <v>25094</v>
      </c>
      <c r="F7951" t="s">
        <v>31574</v>
      </c>
      <c r="G7951" t="s">
        <v>31582</v>
      </c>
      <c r="H7951" t="s">
        <v>31590</v>
      </c>
      <c r="I7951" t="s">
        <v>14544</v>
      </c>
      <c r="J7951" t="s">
        <v>36778</v>
      </c>
      <c r="K7951" t="s">
        <v>41184</v>
      </c>
      <c r="M7951" t="s">
        <v>42243</v>
      </c>
      <c r="N7951" t="s">
        <v>45095</v>
      </c>
      <c r="O7951" t="s">
        <v>45096</v>
      </c>
      <c r="P7951">
        <v>0</v>
      </c>
      <c r="Q7951">
        <v>1</v>
      </c>
      <c r="R7951" t="s">
        <v>45103</v>
      </c>
      <c r="S7951" t="s">
        <v>45270</v>
      </c>
      <c r="T7951" t="s">
        <v>47064</v>
      </c>
      <c r="U7951" t="s">
        <v>54086</v>
      </c>
      <c r="V7951" t="s">
        <v>60576</v>
      </c>
      <c r="W7951" t="s">
        <v>42243</v>
      </c>
      <c r="X7951" t="s">
        <v>45104</v>
      </c>
    </row>
    <row r="7952" spans="1:24">
      <c r="A7952">
        <f>HYPERLINK("https://www.philgeps.gov.ph/GEPSNONPILOT/Tender/SplashBidNoticeAbstractUI.aspx?menuIndex=3&amp;refID=7037741&amp;Result=3","7037741")</f>
        <v>0</v>
      </c>
      <c r="B7952" t="s">
        <v>704</v>
      </c>
      <c r="C7952" t="s">
        <v>10780</v>
      </c>
      <c r="E7952" t="s">
        <v>25095</v>
      </c>
      <c r="F7952" t="s">
        <v>31574</v>
      </c>
      <c r="G7952" t="s">
        <v>31582</v>
      </c>
      <c r="H7952" t="s">
        <v>31590</v>
      </c>
      <c r="I7952" t="s">
        <v>5222</v>
      </c>
      <c r="J7952" t="s">
        <v>36779</v>
      </c>
      <c r="K7952" t="s">
        <v>41186</v>
      </c>
      <c r="M7952" t="s">
        <v>42213</v>
      </c>
      <c r="N7952" t="s">
        <v>45095</v>
      </c>
      <c r="O7952" t="s">
        <v>45096</v>
      </c>
      <c r="P7952">
        <v>0</v>
      </c>
      <c r="Q7952">
        <v>3</v>
      </c>
      <c r="R7952" t="s">
        <v>45103</v>
      </c>
      <c r="S7952" t="s">
        <v>45270</v>
      </c>
      <c r="T7952" t="s">
        <v>46965</v>
      </c>
      <c r="U7952" t="s">
        <v>54087</v>
      </c>
      <c r="W7952" t="s">
        <v>42213</v>
      </c>
      <c r="X7952" t="s">
        <v>45104</v>
      </c>
    </row>
    <row r="7953" spans="1:24">
      <c r="A7953">
        <f>HYPERLINK("https://www.philgeps.gov.ph/GEPSNONPILOT/Tender/SplashBidNoticeAbstractUI.aspx?menuIndex=3&amp;refID=7037719&amp;Result=3","7037719")</f>
        <v>0</v>
      </c>
      <c r="B7953" t="s">
        <v>1589</v>
      </c>
      <c r="C7953" t="s">
        <v>10781</v>
      </c>
      <c r="D7953" t="s">
        <v>18022</v>
      </c>
      <c r="E7953" t="s">
        <v>25096</v>
      </c>
      <c r="F7953" t="s">
        <v>31574</v>
      </c>
      <c r="G7953" t="s">
        <v>31582</v>
      </c>
      <c r="H7953" t="s">
        <v>31590</v>
      </c>
      <c r="I7953" t="s">
        <v>3487</v>
      </c>
      <c r="J7953" t="s">
        <v>36780</v>
      </c>
      <c r="K7953" t="s">
        <v>41196</v>
      </c>
      <c r="M7953" t="s">
        <v>43910</v>
      </c>
      <c r="N7953" t="s">
        <v>45095</v>
      </c>
      <c r="O7953" t="s">
        <v>45096</v>
      </c>
      <c r="P7953">
        <v>0</v>
      </c>
      <c r="Q7953">
        <v>0</v>
      </c>
      <c r="R7953" t="s">
        <v>45103</v>
      </c>
      <c r="S7953" t="s">
        <v>45270</v>
      </c>
      <c r="T7953" t="s">
        <v>46985</v>
      </c>
      <c r="U7953" t="s">
        <v>51488</v>
      </c>
      <c r="W7953" t="s">
        <v>43910</v>
      </c>
      <c r="X7953" t="s">
        <v>45104</v>
      </c>
    </row>
    <row r="7954" spans="1:24">
      <c r="A7954">
        <f>HYPERLINK("https://www.philgeps.gov.ph/GEPSNONPILOT/Tender/SplashBidNoticeAbstractUI.aspx?menuIndex=3&amp;refID=7037739&amp;Result=3","7037739")</f>
        <v>0</v>
      </c>
      <c r="B7954" t="s">
        <v>2269</v>
      </c>
      <c r="C7954" t="s">
        <v>10782</v>
      </c>
      <c r="D7954" t="s">
        <v>18066</v>
      </c>
      <c r="E7954" t="s">
        <v>25097</v>
      </c>
      <c r="F7954" t="s">
        <v>31574</v>
      </c>
      <c r="G7954" t="s">
        <v>31582</v>
      </c>
      <c r="H7954" t="s">
        <v>31591</v>
      </c>
      <c r="I7954" t="s">
        <v>8822</v>
      </c>
      <c r="J7954" t="s">
        <v>36781</v>
      </c>
      <c r="K7954" t="s">
        <v>41184</v>
      </c>
      <c r="M7954" t="s">
        <v>43970</v>
      </c>
      <c r="N7954" t="s">
        <v>45095</v>
      </c>
      <c r="O7954" t="s">
        <v>45096</v>
      </c>
      <c r="P7954">
        <v>0</v>
      </c>
      <c r="Q7954">
        <v>0</v>
      </c>
      <c r="R7954" t="s">
        <v>45103</v>
      </c>
      <c r="S7954" t="s">
        <v>45270</v>
      </c>
      <c r="T7954" t="s">
        <v>46992</v>
      </c>
      <c r="U7954" t="s">
        <v>53978</v>
      </c>
      <c r="W7954" t="s">
        <v>43970</v>
      </c>
      <c r="X7954" t="s">
        <v>45104</v>
      </c>
    </row>
    <row r="7955" spans="1:24">
      <c r="A7955">
        <f>HYPERLINK("https://www.philgeps.gov.ph/GEPSNONPILOT/Tender/SplashBidNoticeAbstractUI.aspx?menuIndex=3&amp;refID=7037746&amp;Result=3","7037746")</f>
        <v>0</v>
      </c>
      <c r="B7955" t="s">
        <v>955</v>
      </c>
      <c r="C7955" t="s">
        <v>10783</v>
      </c>
      <c r="D7955" t="s">
        <v>18043</v>
      </c>
      <c r="E7955" t="s">
        <v>25098</v>
      </c>
      <c r="F7955" t="s">
        <v>31574</v>
      </c>
      <c r="G7955" t="s">
        <v>31582</v>
      </c>
      <c r="H7955" t="s">
        <v>31590</v>
      </c>
      <c r="I7955" t="s">
        <v>3901</v>
      </c>
      <c r="J7955" t="s">
        <v>36782</v>
      </c>
      <c r="K7955" t="s">
        <v>41184</v>
      </c>
      <c r="M7955" t="s">
        <v>42482</v>
      </c>
      <c r="N7955" t="s">
        <v>45095</v>
      </c>
      <c r="O7955" t="s">
        <v>45096</v>
      </c>
      <c r="P7955">
        <v>0</v>
      </c>
      <c r="Q7955">
        <v>2</v>
      </c>
      <c r="R7955" t="s">
        <v>45103</v>
      </c>
      <c r="S7955" t="s">
        <v>45270</v>
      </c>
      <c r="T7955" t="s">
        <v>47332</v>
      </c>
      <c r="U7955" t="s">
        <v>54088</v>
      </c>
      <c r="W7955" t="s">
        <v>42482</v>
      </c>
      <c r="X7955" t="s">
        <v>45104</v>
      </c>
    </row>
    <row r="7956" spans="1:24">
      <c r="A7956">
        <f>HYPERLINK("https://www.philgeps.gov.ph/GEPSNONPILOT/Tender/SplashBidNoticeAbstractUI.aspx?menuIndex=3&amp;refID=7037738&amp;Result=3","7037738")</f>
        <v>0</v>
      </c>
      <c r="B7956" t="s">
        <v>1589</v>
      </c>
      <c r="C7956" t="s">
        <v>10784</v>
      </c>
      <c r="D7956" t="s">
        <v>18022</v>
      </c>
      <c r="E7956" t="s">
        <v>25099</v>
      </c>
      <c r="F7956" t="s">
        <v>31574</v>
      </c>
      <c r="G7956" t="s">
        <v>31582</v>
      </c>
      <c r="H7956" t="s">
        <v>31590</v>
      </c>
      <c r="I7956" t="s">
        <v>3651</v>
      </c>
      <c r="J7956" t="s">
        <v>36783</v>
      </c>
      <c r="K7956" t="s">
        <v>41196</v>
      </c>
      <c r="M7956" t="s">
        <v>43910</v>
      </c>
      <c r="N7956" t="s">
        <v>45095</v>
      </c>
      <c r="O7956" t="s">
        <v>45096</v>
      </c>
      <c r="P7956">
        <v>0</v>
      </c>
      <c r="Q7956">
        <v>0</v>
      </c>
      <c r="R7956" t="s">
        <v>45103</v>
      </c>
      <c r="S7956" t="s">
        <v>45270</v>
      </c>
      <c r="T7956" t="s">
        <v>46985</v>
      </c>
      <c r="U7956" t="s">
        <v>51497</v>
      </c>
      <c r="W7956" t="s">
        <v>43910</v>
      </c>
      <c r="X7956" t="s">
        <v>45104</v>
      </c>
    </row>
    <row r="7957" spans="1:24">
      <c r="A7957">
        <f>HYPERLINK("https://www.philgeps.gov.ph/GEPSNONPILOT/Tender/SplashBidNoticeAbstractUI.aspx?menuIndex=3&amp;refID=7037743&amp;Result=3","7037743")</f>
        <v>0</v>
      </c>
      <c r="B7957" t="s">
        <v>64</v>
      </c>
      <c r="C7957" t="s">
        <v>10785</v>
      </c>
      <c r="D7957" t="s">
        <v>18050</v>
      </c>
      <c r="E7957" t="s">
        <v>25100</v>
      </c>
      <c r="F7957" t="s">
        <v>31574</v>
      </c>
      <c r="G7957" t="s">
        <v>31582</v>
      </c>
      <c r="H7957" t="s">
        <v>31590</v>
      </c>
      <c r="I7957" t="s">
        <v>31615</v>
      </c>
      <c r="J7957" t="s">
        <v>31819</v>
      </c>
      <c r="K7957" t="s">
        <v>41195</v>
      </c>
      <c r="M7957" t="s">
        <v>41548</v>
      </c>
      <c r="N7957" t="s">
        <v>45095</v>
      </c>
      <c r="O7957" t="s">
        <v>45096</v>
      </c>
      <c r="P7957">
        <v>0</v>
      </c>
      <c r="Q7957">
        <v>5</v>
      </c>
      <c r="R7957" t="s">
        <v>45103</v>
      </c>
      <c r="S7957" t="s">
        <v>45270</v>
      </c>
      <c r="T7957" t="s">
        <v>46988</v>
      </c>
      <c r="U7957" t="s">
        <v>54089</v>
      </c>
      <c r="V7957" t="s">
        <v>60685</v>
      </c>
      <c r="W7957" t="s">
        <v>41548</v>
      </c>
      <c r="X7957" t="s">
        <v>45104</v>
      </c>
    </row>
    <row r="7958" spans="1:24">
      <c r="A7958">
        <f>HYPERLINK("https://www.philgeps.gov.ph/GEPSNONPILOT/Tender/SplashBidNoticeAbstractUI.aspx?menuIndex=3&amp;refID=7037724&amp;Result=3","7037724")</f>
        <v>0</v>
      </c>
      <c r="B7958" t="s">
        <v>1030</v>
      </c>
      <c r="C7958" t="s">
        <v>10786</v>
      </c>
      <c r="D7958" t="s">
        <v>18033</v>
      </c>
      <c r="E7958" t="s">
        <v>25101</v>
      </c>
      <c r="F7958" t="s">
        <v>31574</v>
      </c>
      <c r="G7958" t="s">
        <v>31582</v>
      </c>
      <c r="H7958" t="s">
        <v>31590</v>
      </c>
      <c r="I7958" t="s">
        <v>31619</v>
      </c>
      <c r="J7958" t="s">
        <v>32355</v>
      </c>
      <c r="K7958" t="s">
        <v>41196</v>
      </c>
      <c r="M7958" t="s">
        <v>42571</v>
      </c>
      <c r="N7958" t="s">
        <v>45095</v>
      </c>
      <c r="O7958" t="s">
        <v>45096</v>
      </c>
      <c r="P7958">
        <v>0</v>
      </c>
      <c r="Q7958">
        <v>3</v>
      </c>
      <c r="R7958" t="s">
        <v>45103</v>
      </c>
      <c r="S7958" t="s">
        <v>45270</v>
      </c>
      <c r="T7958" t="s">
        <v>47050</v>
      </c>
      <c r="U7958" t="s">
        <v>54090</v>
      </c>
      <c r="V7958" t="s">
        <v>60686</v>
      </c>
      <c r="W7958" t="s">
        <v>42571</v>
      </c>
      <c r="X7958" t="s">
        <v>45104</v>
      </c>
    </row>
    <row r="7959" spans="1:24">
      <c r="A7959">
        <f>HYPERLINK("https://www.philgeps.gov.ph/GEPSNONPILOT/Tender/SplashBidNoticeAbstractUI.aspx?menuIndex=3&amp;refID=7037742&amp;Result=3","7037742")</f>
        <v>0</v>
      </c>
      <c r="B7959" t="s">
        <v>674</v>
      </c>
      <c r="C7959" t="s">
        <v>10787</v>
      </c>
      <c r="D7959" t="s">
        <v>18071</v>
      </c>
      <c r="E7959" t="s">
        <v>25102</v>
      </c>
      <c r="F7959" t="s">
        <v>31574</v>
      </c>
      <c r="G7959" t="s">
        <v>31583</v>
      </c>
      <c r="H7959" t="s">
        <v>31590</v>
      </c>
      <c r="I7959" t="s">
        <v>6800</v>
      </c>
      <c r="J7959" t="s">
        <v>36784</v>
      </c>
      <c r="K7959" t="s">
        <v>41191</v>
      </c>
      <c r="M7959" t="s">
        <v>42180</v>
      </c>
      <c r="N7959" t="s">
        <v>45095</v>
      </c>
      <c r="O7959" t="s">
        <v>45096</v>
      </c>
      <c r="P7959">
        <v>0</v>
      </c>
      <c r="Q7959">
        <v>2</v>
      </c>
      <c r="R7959" t="s">
        <v>45103</v>
      </c>
      <c r="S7959" t="s">
        <v>45270</v>
      </c>
      <c r="T7959" t="s">
        <v>47050</v>
      </c>
      <c r="U7959" t="s">
        <v>54091</v>
      </c>
      <c r="W7959" t="s">
        <v>42180</v>
      </c>
      <c r="X7959" t="s">
        <v>45104</v>
      </c>
    </row>
    <row r="7960" spans="1:24">
      <c r="A7960">
        <f>HYPERLINK("https://www.philgeps.gov.ph/GEPSNONPILOT/Tender/SplashBidNoticeAbstractUI.aspx?menuIndex=3&amp;refID=7037737&amp;Result=3","7037737")</f>
        <v>0</v>
      </c>
      <c r="B7960" t="s">
        <v>851</v>
      </c>
      <c r="C7960" t="s">
        <v>10788</v>
      </c>
      <c r="D7960" t="s">
        <v>18045</v>
      </c>
      <c r="E7960" t="s">
        <v>25103</v>
      </c>
      <c r="F7960" t="s">
        <v>31574</v>
      </c>
      <c r="G7960" t="s">
        <v>31582</v>
      </c>
      <c r="H7960" t="s">
        <v>31591</v>
      </c>
      <c r="I7960" t="s">
        <v>8822</v>
      </c>
      <c r="J7960" t="s">
        <v>32530</v>
      </c>
      <c r="K7960" t="s">
        <v>41344</v>
      </c>
      <c r="M7960" t="s">
        <v>42370</v>
      </c>
      <c r="N7960" t="s">
        <v>45095</v>
      </c>
      <c r="O7960" t="s">
        <v>45096</v>
      </c>
      <c r="P7960">
        <v>0</v>
      </c>
      <c r="Q7960">
        <v>0</v>
      </c>
      <c r="R7960" t="s">
        <v>45103</v>
      </c>
      <c r="S7960" t="s">
        <v>45270</v>
      </c>
      <c r="T7960" t="s">
        <v>47134</v>
      </c>
      <c r="U7960" t="s">
        <v>53728</v>
      </c>
      <c r="W7960" t="s">
        <v>42370</v>
      </c>
      <c r="X7960" t="s">
        <v>45104</v>
      </c>
    </row>
    <row r="7961" spans="1:24">
      <c r="A7961">
        <f>HYPERLINK("https://www.philgeps.gov.ph/GEPSNONPILOT/Tender/SplashBidNoticeAbstractUI.aspx?menuIndex=3&amp;refID=7037747&amp;Result=3","7037747")</f>
        <v>0</v>
      </c>
      <c r="B7961" t="s">
        <v>1589</v>
      </c>
      <c r="C7961" t="s">
        <v>10789</v>
      </c>
      <c r="D7961" t="s">
        <v>18022</v>
      </c>
      <c r="E7961" t="s">
        <v>25104</v>
      </c>
      <c r="F7961" t="s">
        <v>31574</v>
      </c>
      <c r="G7961" t="s">
        <v>31582</v>
      </c>
      <c r="H7961" t="s">
        <v>31590</v>
      </c>
      <c r="I7961" t="s">
        <v>3651</v>
      </c>
      <c r="J7961" t="s">
        <v>36785</v>
      </c>
      <c r="K7961" t="s">
        <v>41196</v>
      </c>
      <c r="M7961" t="s">
        <v>43910</v>
      </c>
      <c r="N7961" t="s">
        <v>45095</v>
      </c>
      <c r="O7961" t="s">
        <v>45096</v>
      </c>
      <c r="P7961">
        <v>0</v>
      </c>
      <c r="Q7961">
        <v>0</v>
      </c>
      <c r="R7961" t="s">
        <v>45103</v>
      </c>
      <c r="S7961" t="s">
        <v>45270</v>
      </c>
      <c r="T7961" t="s">
        <v>46985</v>
      </c>
      <c r="U7961" t="s">
        <v>51497</v>
      </c>
      <c r="W7961" t="s">
        <v>43910</v>
      </c>
      <c r="X7961" t="s">
        <v>45104</v>
      </c>
    </row>
    <row r="7962" spans="1:24">
      <c r="A7962">
        <f>HYPERLINK("https://www.philgeps.gov.ph/GEPSNONPILOT/Tender/SplashBidNoticeAbstractUI.aspx?menuIndex=3&amp;refID=7037755&amp;Result=3","7037755")</f>
        <v>0</v>
      </c>
      <c r="B7962" t="s">
        <v>1589</v>
      </c>
      <c r="C7962" t="s">
        <v>10790</v>
      </c>
      <c r="D7962" t="s">
        <v>18022</v>
      </c>
      <c r="E7962" t="s">
        <v>25105</v>
      </c>
      <c r="F7962" t="s">
        <v>31574</v>
      </c>
      <c r="G7962" t="s">
        <v>31582</v>
      </c>
      <c r="H7962" t="s">
        <v>31590</v>
      </c>
      <c r="I7962" t="s">
        <v>3651</v>
      </c>
      <c r="J7962" t="s">
        <v>36786</v>
      </c>
      <c r="K7962" t="s">
        <v>41196</v>
      </c>
      <c r="M7962" t="s">
        <v>43910</v>
      </c>
      <c r="N7962" t="s">
        <v>45095</v>
      </c>
      <c r="O7962" t="s">
        <v>45096</v>
      </c>
      <c r="P7962">
        <v>0</v>
      </c>
      <c r="Q7962">
        <v>1</v>
      </c>
      <c r="R7962" t="s">
        <v>45103</v>
      </c>
      <c r="S7962" t="s">
        <v>45270</v>
      </c>
      <c r="T7962" t="s">
        <v>46985</v>
      </c>
      <c r="U7962" t="s">
        <v>51497</v>
      </c>
      <c r="W7962" t="s">
        <v>43910</v>
      </c>
      <c r="X7962" t="s">
        <v>45104</v>
      </c>
    </row>
    <row r="7963" spans="1:24">
      <c r="A7963">
        <f>HYPERLINK("https://www.philgeps.gov.ph/GEPSNONPILOT/Tender/SplashBidNoticeAbstractUI.aspx?menuIndex=3&amp;refID=7037749&amp;Result=3","7037749")</f>
        <v>0</v>
      </c>
      <c r="B7963" t="s">
        <v>1882</v>
      </c>
      <c r="C7963" t="s">
        <v>10791</v>
      </c>
      <c r="E7963" t="s">
        <v>25106</v>
      </c>
      <c r="F7963" t="s">
        <v>31574</v>
      </c>
      <c r="G7963" t="s">
        <v>31582</v>
      </c>
      <c r="H7963" t="s">
        <v>31591</v>
      </c>
      <c r="I7963" t="s">
        <v>8822</v>
      </c>
      <c r="J7963" t="s">
        <v>36787</v>
      </c>
      <c r="K7963" t="s">
        <v>41198</v>
      </c>
      <c r="M7963" t="s">
        <v>43525</v>
      </c>
      <c r="N7963" t="s">
        <v>45095</v>
      </c>
      <c r="O7963" t="s">
        <v>45096</v>
      </c>
      <c r="P7963">
        <v>0</v>
      </c>
      <c r="Q7963">
        <v>1</v>
      </c>
      <c r="R7963" t="s">
        <v>45103</v>
      </c>
      <c r="S7963" t="s">
        <v>45270</v>
      </c>
      <c r="T7963" t="s">
        <v>46988</v>
      </c>
      <c r="U7963" t="s">
        <v>54074</v>
      </c>
      <c r="V7963" t="s">
        <v>60687</v>
      </c>
      <c r="W7963" t="s">
        <v>43525</v>
      </c>
      <c r="X7963" t="s">
        <v>45104</v>
      </c>
    </row>
    <row r="7964" spans="1:24">
      <c r="A7964">
        <f>HYPERLINK("https://www.philgeps.gov.ph/GEPSNONPILOT/Tender/SplashBidNoticeAbstractUI.aspx?menuIndex=3&amp;refID=7037765&amp;Result=3","7037765")</f>
        <v>0</v>
      </c>
      <c r="B7964" t="s">
        <v>450</v>
      </c>
      <c r="C7964" t="s">
        <v>10792</v>
      </c>
      <c r="D7964" t="s">
        <v>18039</v>
      </c>
      <c r="E7964" t="s">
        <v>25107</v>
      </c>
      <c r="F7964" t="s">
        <v>31574</v>
      </c>
      <c r="G7964" t="s">
        <v>31582</v>
      </c>
      <c r="H7964" t="s">
        <v>31591</v>
      </c>
      <c r="I7964" t="s">
        <v>8822</v>
      </c>
      <c r="J7964" t="s">
        <v>36788</v>
      </c>
      <c r="K7964" t="s">
        <v>41362</v>
      </c>
      <c r="M7964" t="s">
        <v>41944</v>
      </c>
      <c r="N7964" t="s">
        <v>45095</v>
      </c>
      <c r="O7964" t="s">
        <v>45096</v>
      </c>
      <c r="P7964">
        <v>0</v>
      </c>
      <c r="Q7964">
        <v>0</v>
      </c>
      <c r="R7964" t="s">
        <v>45103</v>
      </c>
      <c r="S7964" t="s">
        <v>45270</v>
      </c>
      <c r="T7964" t="s">
        <v>46988</v>
      </c>
      <c r="U7964" t="s">
        <v>54092</v>
      </c>
      <c r="W7964" t="s">
        <v>41944</v>
      </c>
      <c r="X7964" t="s">
        <v>45104</v>
      </c>
    </row>
    <row r="7965" spans="1:24">
      <c r="A7965">
        <f>HYPERLINK("https://www.philgeps.gov.ph/GEPSNONPILOT/Tender/SplashBidNoticeAbstractUI.aspx?menuIndex=3&amp;refID=7037748&amp;Result=3","7037748")</f>
        <v>0</v>
      </c>
      <c r="B7965" t="s">
        <v>2150</v>
      </c>
      <c r="C7965" t="s">
        <v>10793</v>
      </c>
      <c r="D7965" t="s">
        <v>18062</v>
      </c>
      <c r="E7965" t="s">
        <v>25108</v>
      </c>
      <c r="F7965" t="s">
        <v>31574</v>
      </c>
      <c r="G7965" t="s">
        <v>31583</v>
      </c>
      <c r="H7965" t="s">
        <v>31590</v>
      </c>
      <c r="I7965" t="s">
        <v>4046</v>
      </c>
      <c r="J7965" t="s">
        <v>36789</v>
      </c>
      <c r="K7965" t="s">
        <v>41193</v>
      </c>
      <c r="M7965" t="s">
        <v>43832</v>
      </c>
      <c r="N7965" t="s">
        <v>45095</v>
      </c>
      <c r="O7965" t="s">
        <v>45096</v>
      </c>
      <c r="P7965">
        <v>0</v>
      </c>
      <c r="Q7965">
        <v>0</v>
      </c>
      <c r="R7965" t="s">
        <v>45103</v>
      </c>
      <c r="S7965" t="s">
        <v>45270</v>
      </c>
      <c r="T7965" t="s">
        <v>47183</v>
      </c>
      <c r="U7965" t="s">
        <v>54093</v>
      </c>
      <c r="W7965" t="s">
        <v>43832</v>
      </c>
      <c r="X7965" t="s">
        <v>45104</v>
      </c>
    </row>
    <row r="7966" spans="1:24">
      <c r="A7966">
        <f>HYPERLINK("https://www.philgeps.gov.ph/GEPSNONPILOT/Tender/SplashBidNoticeAbstractUI.aspx?menuIndex=3&amp;refID=7037758&amp;Result=3","7037758")</f>
        <v>0</v>
      </c>
      <c r="B7966" t="s">
        <v>1612</v>
      </c>
      <c r="C7966" t="s">
        <v>10794</v>
      </c>
      <c r="D7966" t="s">
        <v>18070</v>
      </c>
      <c r="E7966" t="s">
        <v>25109</v>
      </c>
      <c r="F7966" t="s">
        <v>31574</v>
      </c>
      <c r="G7966" t="s">
        <v>31582</v>
      </c>
      <c r="H7966" t="s">
        <v>31593</v>
      </c>
      <c r="I7966" t="s">
        <v>31593</v>
      </c>
      <c r="J7966" t="s">
        <v>36790</v>
      </c>
      <c r="K7966" t="s">
        <v>41185</v>
      </c>
      <c r="M7966" t="s">
        <v>43217</v>
      </c>
      <c r="N7966" t="s">
        <v>45095</v>
      </c>
      <c r="O7966" t="s">
        <v>45096</v>
      </c>
      <c r="P7966">
        <v>0</v>
      </c>
      <c r="Q7966">
        <v>3</v>
      </c>
      <c r="R7966" t="s">
        <v>45103</v>
      </c>
      <c r="S7966" t="s">
        <v>45270</v>
      </c>
      <c r="T7966" t="s">
        <v>46916</v>
      </c>
      <c r="U7966" t="s">
        <v>54094</v>
      </c>
      <c r="W7966" t="s">
        <v>43217</v>
      </c>
      <c r="X7966" t="s">
        <v>45104</v>
      </c>
    </row>
    <row r="7967" spans="1:24">
      <c r="A7967">
        <f>HYPERLINK("https://www.philgeps.gov.ph/GEPSNONPILOT/Tender/SplashBidNoticeAbstractUI.aspx?menuIndex=3&amp;refID=7037753&amp;Result=3","7037753")</f>
        <v>0</v>
      </c>
      <c r="B7967" t="s">
        <v>704</v>
      </c>
      <c r="C7967" t="s">
        <v>10795</v>
      </c>
      <c r="E7967" t="s">
        <v>25110</v>
      </c>
      <c r="F7967" t="s">
        <v>31574</v>
      </c>
      <c r="G7967" t="s">
        <v>31582</v>
      </c>
      <c r="H7967" t="s">
        <v>31590</v>
      </c>
      <c r="I7967" t="s">
        <v>31614</v>
      </c>
      <c r="J7967" t="s">
        <v>32026</v>
      </c>
      <c r="K7967" t="s">
        <v>41217</v>
      </c>
      <c r="M7967" t="s">
        <v>42213</v>
      </c>
      <c r="N7967" t="s">
        <v>45095</v>
      </c>
      <c r="O7967" t="s">
        <v>45096</v>
      </c>
      <c r="P7967">
        <v>0</v>
      </c>
      <c r="Q7967">
        <v>3</v>
      </c>
      <c r="R7967" t="s">
        <v>45103</v>
      </c>
      <c r="S7967" t="s">
        <v>45270</v>
      </c>
      <c r="T7967" t="s">
        <v>46965</v>
      </c>
      <c r="U7967" t="s">
        <v>54087</v>
      </c>
      <c r="W7967" t="s">
        <v>42213</v>
      </c>
      <c r="X7967" t="s">
        <v>45104</v>
      </c>
    </row>
    <row r="7968" spans="1:24">
      <c r="A7968">
        <f>HYPERLINK("https://www.philgeps.gov.ph/GEPSNONPILOT/Tender/SplashBidNoticeAbstractUI.aspx?menuIndex=3&amp;refID=7037761&amp;Result=3","7037761")</f>
        <v>0</v>
      </c>
      <c r="B7968" t="s">
        <v>2009</v>
      </c>
      <c r="C7968" t="s">
        <v>10796</v>
      </c>
      <c r="D7968" t="s">
        <v>18094</v>
      </c>
      <c r="E7968" t="s">
        <v>25111</v>
      </c>
      <c r="F7968" t="s">
        <v>31574</v>
      </c>
      <c r="G7968" t="s">
        <v>31582</v>
      </c>
      <c r="H7968" t="s">
        <v>31591</v>
      </c>
      <c r="I7968" t="s">
        <v>8822</v>
      </c>
      <c r="J7968" t="s">
        <v>31771</v>
      </c>
      <c r="K7968" t="s">
        <v>41219</v>
      </c>
      <c r="M7968" t="s">
        <v>43671</v>
      </c>
      <c r="N7968" t="s">
        <v>45095</v>
      </c>
      <c r="O7968" t="s">
        <v>45096</v>
      </c>
      <c r="P7968">
        <v>0</v>
      </c>
      <c r="Q7968">
        <v>1</v>
      </c>
      <c r="R7968" t="s">
        <v>45103</v>
      </c>
      <c r="S7968" t="s">
        <v>45270</v>
      </c>
      <c r="T7968" t="s">
        <v>47000</v>
      </c>
      <c r="U7968" t="s">
        <v>54095</v>
      </c>
      <c r="V7968" t="s">
        <v>60557</v>
      </c>
      <c r="W7968" t="s">
        <v>43671</v>
      </c>
      <c r="X7968" t="s">
        <v>45104</v>
      </c>
    </row>
    <row r="7969" spans="1:24">
      <c r="A7969">
        <f>HYPERLINK("https://www.philgeps.gov.ph/GEPSNONPILOT/Tender/SplashBidNoticeAbstractUI.aspx?menuIndex=3&amp;refID=7037759&amp;Result=3","7037759")</f>
        <v>0</v>
      </c>
      <c r="B7969" t="s">
        <v>1936</v>
      </c>
      <c r="C7969" t="s">
        <v>10689</v>
      </c>
      <c r="D7969" t="s">
        <v>18039</v>
      </c>
      <c r="E7969" t="s">
        <v>25112</v>
      </c>
      <c r="F7969" t="s">
        <v>31575</v>
      </c>
      <c r="G7969" t="s">
        <v>31581</v>
      </c>
      <c r="H7969" t="s">
        <v>31590</v>
      </c>
      <c r="I7969" t="s">
        <v>31608</v>
      </c>
      <c r="J7969" t="s">
        <v>32524</v>
      </c>
      <c r="K7969" t="s">
        <v>41213</v>
      </c>
      <c r="M7969" t="s">
        <v>43591</v>
      </c>
      <c r="N7969" t="s">
        <v>45095</v>
      </c>
      <c r="O7969" t="s">
        <v>45096</v>
      </c>
      <c r="P7969">
        <v>0</v>
      </c>
      <c r="Q7969">
        <v>0</v>
      </c>
      <c r="R7969" t="s">
        <v>45103</v>
      </c>
      <c r="S7969" t="s">
        <v>45270</v>
      </c>
      <c r="T7969" t="s">
        <v>47067</v>
      </c>
      <c r="U7969" t="s">
        <v>54096</v>
      </c>
      <c r="W7969" t="s">
        <v>43591</v>
      </c>
      <c r="X7969" t="s">
        <v>45104</v>
      </c>
    </row>
    <row r="7970" spans="1:24">
      <c r="A7970">
        <f>HYPERLINK("https://www.philgeps.gov.ph/GEPSNONPILOT/Tender/SplashBidNoticeAbstractUI.aspx?menuIndex=3&amp;refID=7037757&amp;Result=3","7037757")</f>
        <v>0</v>
      </c>
      <c r="B7970" t="s">
        <v>1639</v>
      </c>
      <c r="C7970" t="s">
        <v>10797</v>
      </c>
      <c r="D7970" t="s">
        <v>18065</v>
      </c>
      <c r="E7970" t="s">
        <v>25113</v>
      </c>
      <c r="F7970" t="s">
        <v>31576</v>
      </c>
      <c r="G7970" t="s">
        <v>31583</v>
      </c>
      <c r="H7970" t="s">
        <v>31593</v>
      </c>
      <c r="I7970" t="s">
        <v>31623</v>
      </c>
      <c r="J7970" t="s">
        <v>36791</v>
      </c>
      <c r="K7970" t="s">
        <v>41225</v>
      </c>
      <c r="M7970" t="s">
        <v>43996</v>
      </c>
      <c r="N7970" t="s">
        <v>45095</v>
      </c>
      <c r="O7970" t="s">
        <v>45096</v>
      </c>
      <c r="Q7970">
        <v>2</v>
      </c>
      <c r="R7970" t="s">
        <v>45103</v>
      </c>
      <c r="S7970" t="s">
        <v>45300</v>
      </c>
      <c r="T7970" t="s">
        <v>47333</v>
      </c>
      <c r="U7970" t="s">
        <v>54097</v>
      </c>
      <c r="W7970" t="s">
        <v>43248</v>
      </c>
      <c r="X7970" t="s">
        <v>45104</v>
      </c>
    </row>
    <row r="7971" spans="1:24">
      <c r="A7971">
        <f>HYPERLINK("https://www.philgeps.gov.ph/GEPSNONPILOT/Tender/SplashBidNoticeAbstractUI.aspx?menuIndex=3&amp;refID=7037767&amp;Result=3","7037767")</f>
        <v>0</v>
      </c>
      <c r="B7971" t="s">
        <v>2288</v>
      </c>
      <c r="C7971" t="s">
        <v>10798</v>
      </c>
      <c r="D7971" t="s">
        <v>18082</v>
      </c>
      <c r="E7971" t="s">
        <v>25114</v>
      </c>
      <c r="F7971" t="s">
        <v>31574</v>
      </c>
      <c r="G7971" t="s">
        <v>31582</v>
      </c>
      <c r="H7971" t="s">
        <v>31591</v>
      </c>
      <c r="I7971" t="s">
        <v>8822</v>
      </c>
      <c r="J7971" t="s">
        <v>36792</v>
      </c>
      <c r="K7971" t="s">
        <v>41202</v>
      </c>
      <c r="M7971" t="s">
        <v>43997</v>
      </c>
      <c r="N7971" t="s">
        <v>45095</v>
      </c>
      <c r="O7971" t="s">
        <v>45096</v>
      </c>
      <c r="P7971">
        <v>0</v>
      </c>
      <c r="Q7971">
        <v>0</v>
      </c>
      <c r="R7971" t="s">
        <v>45103</v>
      </c>
      <c r="S7971" t="s">
        <v>45270</v>
      </c>
      <c r="T7971" t="s">
        <v>47196</v>
      </c>
      <c r="U7971" t="s">
        <v>54098</v>
      </c>
      <c r="W7971" t="s">
        <v>43997</v>
      </c>
      <c r="X7971" t="s">
        <v>45104</v>
      </c>
    </row>
    <row r="7972" spans="1:24">
      <c r="A7972">
        <f>HYPERLINK("https://www.philgeps.gov.ph/GEPSNONPILOT/Tender/SplashBidNoticeAbstractUI.aspx?menuIndex=3&amp;refID=7037751&amp;Result=3","7037751")</f>
        <v>0</v>
      </c>
      <c r="B7972" t="s">
        <v>1589</v>
      </c>
      <c r="C7972" t="s">
        <v>10799</v>
      </c>
      <c r="D7972" t="s">
        <v>18022</v>
      </c>
      <c r="E7972" t="s">
        <v>25115</v>
      </c>
      <c r="F7972" t="s">
        <v>31574</v>
      </c>
      <c r="G7972" t="s">
        <v>31582</v>
      </c>
      <c r="H7972" t="s">
        <v>31590</v>
      </c>
      <c r="I7972" t="s">
        <v>3651</v>
      </c>
      <c r="J7972" t="s">
        <v>35927</v>
      </c>
      <c r="K7972" t="s">
        <v>41196</v>
      </c>
      <c r="M7972" t="s">
        <v>43910</v>
      </c>
      <c r="N7972" t="s">
        <v>45095</v>
      </c>
      <c r="O7972" t="s">
        <v>45096</v>
      </c>
      <c r="P7972">
        <v>0</v>
      </c>
      <c r="Q7972">
        <v>0</v>
      </c>
      <c r="R7972" t="s">
        <v>45103</v>
      </c>
      <c r="S7972" t="s">
        <v>45270</v>
      </c>
      <c r="T7972" t="s">
        <v>46985</v>
      </c>
      <c r="U7972" t="s">
        <v>51497</v>
      </c>
      <c r="W7972" t="s">
        <v>43910</v>
      </c>
      <c r="X7972" t="s">
        <v>45104</v>
      </c>
    </row>
    <row r="7973" spans="1:24">
      <c r="A7973">
        <f>HYPERLINK("https://www.philgeps.gov.ph/GEPSNONPILOT/Tender/SplashBidNoticeAbstractUI.aspx?menuIndex=3&amp;refID=7037772&amp;Result=3","7037772")</f>
        <v>0</v>
      </c>
      <c r="B7973" t="s">
        <v>64</v>
      </c>
      <c r="C7973" t="s">
        <v>10800</v>
      </c>
      <c r="D7973" t="s">
        <v>18050</v>
      </c>
      <c r="E7973" t="s">
        <v>25116</v>
      </c>
      <c r="F7973" t="s">
        <v>31574</v>
      </c>
      <c r="G7973" t="s">
        <v>31582</v>
      </c>
      <c r="H7973" t="s">
        <v>31590</v>
      </c>
      <c r="I7973" t="s">
        <v>31615</v>
      </c>
      <c r="J7973" t="s">
        <v>32085</v>
      </c>
      <c r="K7973" t="s">
        <v>41195</v>
      </c>
      <c r="M7973" t="s">
        <v>41548</v>
      </c>
      <c r="N7973" t="s">
        <v>45095</v>
      </c>
      <c r="O7973" t="s">
        <v>45096</v>
      </c>
      <c r="P7973">
        <v>0</v>
      </c>
      <c r="Q7973">
        <v>5</v>
      </c>
      <c r="R7973" t="s">
        <v>45103</v>
      </c>
      <c r="S7973" t="s">
        <v>45270</v>
      </c>
      <c r="T7973" t="s">
        <v>46988</v>
      </c>
      <c r="U7973" t="s">
        <v>54099</v>
      </c>
      <c r="V7973" t="s">
        <v>60688</v>
      </c>
      <c r="W7973" t="s">
        <v>41548</v>
      </c>
      <c r="X7973" t="s">
        <v>45104</v>
      </c>
    </row>
    <row r="7974" spans="1:24">
      <c r="A7974">
        <f>HYPERLINK("https://www.philgeps.gov.ph/GEPSNONPILOT/Tender/SplashBidNoticeAbstractUI.aspx?menuIndex=3&amp;refID=7037764&amp;Result=3","7037764")</f>
        <v>0</v>
      </c>
      <c r="B7974" t="s">
        <v>134</v>
      </c>
      <c r="C7974" t="s">
        <v>10744</v>
      </c>
      <c r="D7974" t="s">
        <v>18066</v>
      </c>
      <c r="E7974" t="s">
        <v>25117</v>
      </c>
      <c r="F7974" t="s">
        <v>31574</v>
      </c>
      <c r="G7974" t="s">
        <v>31582</v>
      </c>
      <c r="H7974" t="s">
        <v>31591</v>
      </c>
      <c r="I7974" t="s">
        <v>8822</v>
      </c>
      <c r="J7974" t="s">
        <v>36793</v>
      </c>
      <c r="K7974" t="s">
        <v>41184</v>
      </c>
      <c r="M7974" t="s">
        <v>41618</v>
      </c>
      <c r="N7974" t="s">
        <v>45095</v>
      </c>
      <c r="O7974" t="s">
        <v>45096</v>
      </c>
      <c r="P7974">
        <v>0</v>
      </c>
      <c r="Q7974">
        <v>2</v>
      </c>
      <c r="R7974" t="s">
        <v>45103</v>
      </c>
      <c r="S7974" t="s">
        <v>45270</v>
      </c>
      <c r="T7974" t="s">
        <v>47228</v>
      </c>
      <c r="U7974" t="s">
        <v>54055</v>
      </c>
      <c r="V7974" t="s">
        <v>59888</v>
      </c>
      <c r="W7974" t="s">
        <v>41618</v>
      </c>
      <c r="X7974" t="s">
        <v>45104</v>
      </c>
    </row>
    <row r="7975" spans="1:24">
      <c r="A7975">
        <f>HYPERLINK("https://www.philgeps.gov.ph/GEPSNONPILOT/Tender/SplashBidNoticeAbstractUI.aspx?menuIndex=3&amp;refID=7037760&amp;Result=3","7037760")</f>
        <v>0</v>
      </c>
      <c r="B7975" t="s">
        <v>2289</v>
      </c>
      <c r="C7975" t="s">
        <v>10801</v>
      </c>
      <c r="E7975" t="s">
        <v>25118</v>
      </c>
      <c r="F7975" t="s">
        <v>31574</v>
      </c>
      <c r="G7975" t="s">
        <v>31582</v>
      </c>
      <c r="H7975" t="s">
        <v>31590</v>
      </c>
      <c r="I7975" t="s">
        <v>31612</v>
      </c>
      <c r="J7975" t="s">
        <v>36794</v>
      </c>
      <c r="K7975" t="s">
        <v>41184</v>
      </c>
      <c r="M7975" t="s">
        <v>43998</v>
      </c>
      <c r="N7975" t="s">
        <v>45095</v>
      </c>
      <c r="O7975" t="s">
        <v>45096</v>
      </c>
      <c r="P7975">
        <v>0</v>
      </c>
      <c r="Q7975">
        <v>7</v>
      </c>
      <c r="R7975" t="s">
        <v>45103</v>
      </c>
      <c r="S7975" t="s">
        <v>45270</v>
      </c>
      <c r="T7975" t="s">
        <v>47247</v>
      </c>
      <c r="U7975" t="s">
        <v>54100</v>
      </c>
      <c r="W7975" t="s">
        <v>43998</v>
      </c>
      <c r="X7975" t="s">
        <v>45104</v>
      </c>
    </row>
    <row r="7976" spans="1:24">
      <c r="A7976">
        <f>HYPERLINK("https://www.philgeps.gov.ph/GEPSNONPILOT/Tender/SplashBidNoticeAbstractUI.aspx?menuIndex=3&amp;refID=7037752&amp;Result=3","7037752")</f>
        <v>0</v>
      </c>
      <c r="B7976" t="s">
        <v>1002</v>
      </c>
      <c r="C7976" t="s">
        <v>10802</v>
      </c>
      <c r="D7976" t="s">
        <v>18058</v>
      </c>
      <c r="E7976" t="s">
        <v>25119</v>
      </c>
      <c r="F7976" t="s">
        <v>31574</v>
      </c>
      <c r="G7976" t="s">
        <v>31582</v>
      </c>
      <c r="H7976" t="s">
        <v>31591</v>
      </c>
      <c r="I7976" t="s">
        <v>8822</v>
      </c>
      <c r="J7976" t="s">
        <v>32361</v>
      </c>
      <c r="K7976" t="s">
        <v>41293</v>
      </c>
      <c r="M7976" t="s">
        <v>42539</v>
      </c>
      <c r="N7976" t="s">
        <v>45095</v>
      </c>
      <c r="O7976" t="s">
        <v>45096</v>
      </c>
      <c r="P7976">
        <v>0</v>
      </c>
      <c r="Q7976">
        <v>0</v>
      </c>
      <c r="R7976" t="s">
        <v>45103</v>
      </c>
      <c r="S7976" t="s">
        <v>45270</v>
      </c>
      <c r="T7976" t="s">
        <v>46992</v>
      </c>
      <c r="U7976" t="s">
        <v>54101</v>
      </c>
      <c r="V7976" t="s">
        <v>60109</v>
      </c>
      <c r="W7976" t="s">
        <v>42539</v>
      </c>
      <c r="X7976" t="s">
        <v>45104</v>
      </c>
    </row>
    <row r="7977" spans="1:24">
      <c r="A7977">
        <f>HYPERLINK("https://www.philgeps.gov.ph/GEPSNONPILOT/Tender/SplashBidNoticeAbstractUI.aspx?menuIndex=3&amp;refID=7037775&amp;Result=3","7037775")</f>
        <v>0</v>
      </c>
      <c r="B7977" t="s">
        <v>1589</v>
      </c>
      <c r="C7977" t="s">
        <v>10803</v>
      </c>
      <c r="D7977" t="s">
        <v>18022</v>
      </c>
      <c r="E7977" t="s">
        <v>25120</v>
      </c>
      <c r="F7977" t="s">
        <v>31574</v>
      </c>
      <c r="G7977" t="s">
        <v>31582</v>
      </c>
      <c r="H7977" t="s">
        <v>31590</v>
      </c>
      <c r="I7977" t="s">
        <v>3651</v>
      </c>
      <c r="J7977" t="s">
        <v>36795</v>
      </c>
      <c r="K7977" t="s">
        <v>41196</v>
      </c>
      <c r="M7977" t="s">
        <v>43910</v>
      </c>
      <c r="N7977" t="s">
        <v>45095</v>
      </c>
      <c r="O7977" t="s">
        <v>45096</v>
      </c>
      <c r="P7977">
        <v>0</v>
      </c>
      <c r="Q7977">
        <v>0</v>
      </c>
      <c r="R7977" t="s">
        <v>45103</v>
      </c>
      <c r="S7977" t="s">
        <v>45270</v>
      </c>
      <c r="T7977" t="s">
        <v>46985</v>
      </c>
      <c r="U7977" t="s">
        <v>51497</v>
      </c>
      <c r="W7977" t="s">
        <v>43910</v>
      </c>
      <c r="X7977" t="s">
        <v>45104</v>
      </c>
    </row>
    <row r="7978" spans="1:24">
      <c r="A7978">
        <f>HYPERLINK("https://www.philgeps.gov.ph/GEPSNONPILOT/Tender/SplashBidNoticeAbstractUI.aspx?menuIndex=3&amp;refID=7037768&amp;Result=3","7037768")</f>
        <v>0</v>
      </c>
      <c r="B7978" t="s">
        <v>1589</v>
      </c>
      <c r="C7978" t="s">
        <v>10804</v>
      </c>
      <c r="D7978" t="s">
        <v>18022</v>
      </c>
      <c r="E7978" t="s">
        <v>25121</v>
      </c>
      <c r="F7978" t="s">
        <v>31574</v>
      </c>
      <c r="G7978" t="s">
        <v>31582</v>
      </c>
      <c r="H7978" t="s">
        <v>31590</v>
      </c>
      <c r="I7978" t="s">
        <v>3651</v>
      </c>
      <c r="J7978" t="s">
        <v>31947</v>
      </c>
      <c r="K7978" t="s">
        <v>41196</v>
      </c>
      <c r="M7978" t="s">
        <v>43910</v>
      </c>
      <c r="N7978" t="s">
        <v>45095</v>
      </c>
      <c r="O7978" t="s">
        <v>45096</v>
      </c>
      <c r="P7978">
        <v>0</v>
      </c>
      <c r="Q7978">
        <v>1</v>
      </c>
      <c r="R7978" t="s">
        <v>45103</v>
      </c>
      <c r="S7978" t="s">
        <v>45270</v>
      </c>
      <c r="T7978" t="s">
        <v>46985</v>
      </c>
      <c r="U7978" t="s">
        <v>51497</v>
      </c>
      <c r="W7978" t="s">
        <v>43910</v>
      </c>
      <c r="X7978" t="s">
        <v>45104</v>
      </c>
    </row>
    <row r="7979" spans="1:24">
      <c r="A7979">
        <f>HYPERLINK("https://www.philgeps.gov.ph/GEPSNONPILOT/Tender/SplashBidNoticeAbstractUI.aspx?menuIndex=3&amp;refID=7037771&amp;Result=3","7037771")</f>
        <v>0</v>
      </c>
      <c r="B7979" t="s">
        <v>290</v>
      </c>
      <c r="C7979" t="s">
        <v>10805</v>
      </c>
      <c r="D7979" t="s">
        <v>18043</v>
      </c>
      <c r="E7979" t="s">
        <v>21504</v>
      </c>
      <c r="F7979" t="s">
        <v>31574</v>
      </c>
      <c r="G7979" t="s">
        <v>31582</v>
      </c>
      <c r="H7979" t="s">
        <v>31590</v>
      </c>
      <c r="I7979" t="s">
        <v>4354</v>
      </c>
      <c r="J7979" t="s">
        <v>36796</v>
      </c>
      <c r="K7979" t="s">
        <v>41196</v>
      </c>
      <c r="M7979" t="s">
        <v>43891</v>
      </c>
      <c r="N7979" t="s">
        <v>45095</v>
      </c>
      <c r="O7979" t="s">
        <v>45096</v>
      </c>
      <c r="P7979">
        <v>0</v>
      </c>
      <c r="Q7979">
        <v>4</v>
      </c>
      <c r="R7979" t="s">
        <v>45103</v>
      </c>
      <c r="S7979" t="s">
        <v>45270</v>
      </c>
      <c r="T7979" t="s">
        <v>47190</v>
      </c>
      <c r="U7979" t="s">
        <v>54102</v>
      </c>
      <c r="W7979" t="s">
        <v>43891</v>
      </c>
      <c r="X7979" t="s">
        <v>45104</v>
      </c>
    </row>
    <row r="7980" spans="1:24">
      <c r="A7980">
        <f>HYPERLINK("https://www.philgeps.gov.ph/GEPSNONPILOT/Tender/SplashBidNoticeAbstractUI.aspx?menuIndex=3&amp;refID=7037770&amp;Result=3","7037770")</f>
        <v>0</v>
      </c>
      <c r="B7980" t="s">
        <v>2290</v>
      </c>
      <c r="C7980" t="s">
        <v>10806</v>
      </c>
      <c r="D7980" t="s">
        <v>18090</v>
      </c>
      <c r="E7980" t="s">
        <v>25122</v>
      </c>
      <c r="F7980" t="s">
        <v>31574</v>
      </c>
      <c r="G7980" t="s">
        <v>31582</v>
      </c>
      <c r="H7980" t="s">
        <v>31591</v>
      </c>
      <c r="I7980" t="s">
        <v>8822</v>
      </c>
      <c r="J7980" t="s">
        <v>36797</v>
      </c>
      <c r="K7980" t="s">
        <v>41189</v>
      </c>
      <c r="M7980" t="s">
        <v>43999</v>
      </c>
      <c r="N7980" t="s">
        <v>45095</v>
      </c>
      <c r="O7980" t="s">
        <v>45096</v>
      </c>
      <c r="P7980">
        <v>0</v>
      </c>
      <c r="Q7980">
        <v>11</v>
      </c>
      <c r="R7980" t="s">
        <v>45103</v>
      </c>
      <c r="S7980" t="s">
        <v>45270</v>
      </c>
      <c r="T7980" t="s">
        <v>46992</v>
      </c>
      <c r="U7980" t="s">
        <v>54103</v>
      </c>
      <c r="W7980" t="s">
        <v>43999</v>
      </c>
      <c r="X7980" t="s">
        <v>45104</v>
      </c>
    </row>
    <row r="7981" spans="1:24">
      <c r="A7981">
        <f>HYPERLINK("https://www.philgeps.gov.ph/GEPSNONPILOT/Tender/SplashBidNoticeAbstractUI.aspx?menuIndex=3&amp;refID=7037776&amp;Result=3","7037776")</f>
        <v>0</v>
      </c>
      <c r="B7981" t="s">
        <v>2262</v>
      </c>
      <c r="C7981" t="s">
        <v>10807</v>
      </c>
      <c r="D7981" t="s">
        <v>18090</v>
      </c>
      <c r="E7981" t="s">
        <v>18724</v>
      </c>
      <c r="F7981" t="s">
        <v>31574</v>
      </c>
      <c r="G7981" t="s">
        <v>31582</v>
      </c>
      <c r="H7981" t="s">
        <v>31590</v>
      </c>
      <c r="I7981" t="s">
        <v>31655</v>
      </c>
      <c r="J7981" t="s">
        <v>32019</v>
      </c>
      <c r="K7981" t="s">
        <v>41196</v>
      </c>
      <c r="M7981" t="s">
        <v>43962</v>
      </c>
      <c r="N7981" t="s">
        <v>45095</v>
      </c>
      <c r="O7981" t="s">
        <v>45096</v>
      </c>
      <c r="P7981">
        <v>0</v>
      </c>
      <c r="Q7981">
        <v>4</v>
      </c>
      <c r="R7981" t="s">
        <v>45103</v>
      </c>
      <c r="S7981" t="s">
        <v>45270</v>
      </c>
      <c r="T7981" t="s">
        <v>46992</v>
      </c>
      <c r="U7981" t="s">
        <v>54104</v>
      </c>
      <c r="W7981" t="s">
        <v>43962</v>
      </c>
      <c r="X7981" t="s">
        <v>45104</v>
      </c>
    </row>
    <row r="7982" spans="1:24">
      <c r="A7982">
        <f>HYPERLINK("https://www.philgeps.gov.ph/GEPSNONPILOT/Tender/SplashBidNoticeAbstractUI.aspx?menuIndex=3&amp;refID=7037769&amp;Result=3","7037769")</f>
        <v>0</v>
      </c>
      <c r="B7982" t="s">
        <v>851</v>
      </c>
      <c r="C7982" t="s">
        <v>10808</v>
      </c>
      <c r="D7982" t="s">
        <v>18045</v>
      </c>
      <c r="E7982" t="s">
        <v>25123</v>
      </c>
      <c r="F7982" t="s">
        <v>31574</v>
      </c>
      <c r="G7982" t="s">
        <v>31582</v>
      </c>
      <c r="H7982" t="s">
        <v>31591</v>
      </c>
      <c r="I7982" t="s">
        <v>8822</v>
      </c>
      <c r="J7982" t="s">
        <v>32530</v>
      </c>
      <c r="K7982" t="s">
        <v>41344</v>
      </c>
      <c r="M7982" t="s">
        <v>42370</v>
      </c>
      <c r="N7982" t="s">
        <v>45095</v>
      </c>
      <c r="O7982" t="s">
        <v>45096</v>
      </c>
      <c r="P7982">
        <v>0</v>
      </c>
      <c r="Q7982">
        <v>0</v>
      </c>
      <c r="R7982" t="s">
        <v>45103</v>
      </c>
      <c r="S7982" t="s">
        <v>45270</v>
      </c>
      <c r="T7982" t="s">
        <v>47134</v>
      </c>
      <c r="U7982" t="s">
        <v>53728</v>
      </c>
      <c r="W7982" t="s">
        <v>42370</v>
      </c>
      <c r="X7982" t="s">
        <v>45104</v>
      </c>
    </row>
    <row r="7983" spans="1:24">
      <c r="A7983">
        <f>HYPERLINK("https://www.philgeps.gov.ph/GEPSNONPILOT/Tender/SplashBidNoticeAbstractUI.aspx?menuIndex=3&amp;refID=7037791&amp;Result=3","7037791")</f>
        <v>0</v>
      </c>
      <c r="B7983" t="s">
        <v>64</v>
      </c>
      <c r="C7983" t="s">
        <v>10809</v>
      </c>
      <c r="D7983" t="s">
        <v>18050</v>
      </c>
      <c r="E7983" t="s">
        <v>18505</v>
      </c>
      <c r="F7983" t="s">
        <v>31574</v>
      </c>
      <c r="G7983" t="s">
        <v>31582</v>
      </c>
      <c r="H7983" t="s">
        <v>31591</v>
      </c>
      <c r="I7983" t="s">
        <v>8822</v>
      </c>
      <c r="J7983" t="s">
        <v>32026</v>
      </c>
      <c r="K7983" t="s">
        <v>41363</v>
      </c>
      <c r="M7983" t="s">
        <v>41548</v>
      </c>
      <c r="N7983" t="s">
        <v>45095</v>
      </c>
      <c r="O7983" t="s">
        <v>45096</v>
      </c>
      <c r="P7983">
        <v>0</v>
      </c>
      <c r="Q7983">
        <v>0</v>
      </c>
      <c r="R7983" t="s">
        <v>45103</v>
      </c>
      <c r="S7983" t="s">
        <v>45270</v>
      </c>
      <c r="T7983" t="s">
        <v>46988</v>
      </c>
      <c r="U7983" t="s">
        <v>54105</v>
      </c>
      <c r="V7983" t="s">
        <v>60689</v>
      </c>
      <c r="W7983" t="s">
        <v>41548</v>
      </c>
      <c r="X7983" t="s">
        <v>45104</v>
      </c>
    </row>
    <row r="7984" spans="1:24">
      <c r="A7984">
        <f>HYPERLINK("https://www.philgeps.gov.ph/GEPSNONPILOT/Tender/SplashBidNoticeAbstractUI.aspx?menuIndex=3&amp;refID=7037783&amp;Result=3","7037783")</f>
        <v>0</v>
      </c>
      <c r="B7984" t="s">
        <v>426</v>
      </c>
      <c r="C7984" t="s">
        <v>10810</v>
      </c>
      <c r="D7984" t="s">
        <v>18068</v>
      </c>
      <c r="E7984" t="s">
        <v>25124</v>
      </c>
      <c r="F7984" t="s">
        <v>31574</v>
      </c>
      <c r="G7984" t="s">
        <v>31582</v>
      </c>
      <c r="H7984" t="s">
        <v>31590</v>
      </c>
      <c r="I7984" t="s">
        <v>31598</v>
      </c>
      <c r="J7984" t="s">
        <v>33513</v>
      </c>
      <c r="K7984" t="s">
        <v>41190</v>
      </c>
      <c r="M7984" t="s">
        <v>41918</v>
      </c>
      <c r="N7984" t="s">
        <v>45095</v>
      </c>
      <c r="O7984" t="s">
        <v>45096</v>
      </c>
      <c r="P7984">
        <v>0</v>
      </c>
      <c r="Q7984">
        <v>5</v>
      </c>
      <c r="R7984" t="s">
        <v>45103</v>
      </c>
      <c r="S7984" t="s">
        <v>45270</v>
      </c>
      <c r="T7984" t="s">
        <v>47010</v>
      </c>
      <c r="U7984" t="s">
        <v>54106</v>
      </c>
      <c r="V7984" t="s">
        <v>60665</v>
      </c>
      <c r="W7984" t="s">
        <v>41918</v>
      </c>
      <c r="X7984" t="s">
        <v>45104</v>
      </c>
    </row>
    <row r="7985" spans="1:24">
      <c r="A7985">
        <f>HYPERLINK("https://www.philgeps.gov.ph/GEPSNONPILOT/Tender/SplashBidNoticeAbstractUI.aspx?menuIndex=3&amp;refID=7037780&amp;Result=3","7037780")</f>
        <v>0</v>
      </c>
      <c r="B7985" t="s">
        <v>1589</v>
      </c>
      <c r="C7985" t="s">
        <v>10811</v>
      </c>
      <c r="D7985" t="s">
        <v>18022</v>
      </c>
      <c r="E7985" t="s">
        <v>25125</v>
      </c>
      <c r="F7985" t="s">
        <v>31574</v>
      </c>
      <c r="G7985" t="s">
        <v>31582</v>
      </c>
      <c r="H7985" t="s">
        <v>31590</v>
      </c>
      <c r="I7985" t="s">
        <v>3651</v>
      </c>
      <c r="J7985" t="s">
        <v>31888</v>
      </c>
      <c r="K7985" t="s">
        <v>41196</v>
      </c>
      <c r="M7985" t="s">
        <v>43910</v>
      </c>
      <c r="N7985" t="s">
        <v>45095</v>
      </c>
      <c r="O7985" t="s">
        <v>45096</v>
      </c>
      <c r="P7985">
        <v>0</v>
      </c>
      <c r="Q7985">
        <v>2</v>
      </c>
      <c r="R7985" t="s">
        <v>45103</v>
      </c>
      <c r="S7985" t="s">
        <v>45270</v>
      </c>
      <c r="T7985" t="s">
        <v>46985</v>
      </c>
      <c r="U7985" t="s">
        <v>51497</v>
      </c>
      <c r="W7985" t="s">
        <v>43910</v>
      </c>
      <c r="X7985" t="s">
        <v>45104</v>
      </c>
    </row>
    <row r="7986" spans="1:24">
      <c r="A7986">
        <f>HYPERLINK("https://www.philgeps.gov.ph/GEPSNONPILOT/Tender/SplashBidNoticeAbstractUI.aspx?menuIndex=3&amp;refID=7037792&amp;Result=3","7037792")</f>
        <v>0</v>
      </c>
      <c r="B7986" t="s">
        <v>851</v>
      </c>
      <c r="C7986" t="s">
        <v>10812</v>
      </c>
      <c r="D7986" t="s">
        <v>18045</v>
      </c>
      <c r="E7986" t="s">
        <v>25126</v>
      </c>
      <c r="F7986" t="s">
        <v>31574</v>
      </c>
      <c r="G7986" t="s">
        <v>31582</v>
      </c>
      <c r="H7986" t="s">
        <v>31591</v>
      </c>
      <c r="I7986" t="s">
        <v>8822</v>
      </c>
      <c r="J7986" t="s">
        <v>34707</v>
      </c>
      <c r="K7986" t="s">
        <v>41222</v>
      </c>
      <c r="M7986" t="s">
        <v>42370</v>
      </c>
      <c r="N7986" t="s">
        <v>45095</v>
      </c>
      <c r="O7986" t="s">
        <v>45096</v>
      </c>
      <c r="P7986">
        <v>0</v>
      </c>
      <c r="Q7986">
        <v>0</v>
      </c>
      <c r="R7986" t="s">
        <v>45103</v>
      </c>
      <c r="S7986" t="s">
        <v>45270</v>
      </c>
      <c r="T7986" t="s">
        <v>47134</v>
      </c>
      <c r="U7986" t="s">
        <v>53728</v>
      </c>
      <c r="W7986" t="s">
        <v>42370</v>
      </c>
      <c r="X7986" t="s">
        <v>45104</v>
      </c>
    </row>
    <row r="7987" spans="1:24">
      <c r="A7987">
        <f>HYPERLINK("https://www.philgeps.gov.ph/GEPSNONPILOT/Tender/SplashBidNoticeAbstractUI.aspx?menuIndex=3&amp;refID=7037786&amp;Result=3","7037786")</f>
        <v>0</v>
      </c>
      <c r="B7987" t="s">
        <v>800</v>
      </c>
      <c r="C7987" t="s">
        <v>10813</v>
      </c>
      <c r="D7987" t="s">
        <v>18022</v>
      </c>
      <c r="E7987" t="s">
        <v>25127</v>
      </c>
      <c r="F7987" t="s">
        <v>31574</v>
      </c>
      <c r="G7987" t="s">
        <v>31581</v>
      </c>
      <c r="H7987" t="s">
        <v>31590</v>
      </c>
      <c r="I7987" t="s">
        <v>31623</v>
      </c>
      <c r="J7987" t="s">
        <v>32425</v>
      </c>
      <c r="K7987" t="s">
        <v>41184</v>
      </c>
      <c r="M7987" t="s">
        <v>43132</v>
      </c>
      <c r="N7987" t="s">
        <v>45095</v>
      </c>
      <c r="O7987" t="s">
        <v>45096</v>
      </c>
      <c r="P7987">
        <v>0</v>
      </c>
      <c r="Q7987">
        <v>2</v>
      </c>
      <c r="R7987" t="s">
        <v>45103</v>
      </c>
      <c r="S7987" t="s">
        <v>45270</v>
      </c>
      <c r="T7987" t="s">
        <v>47183</v>
      </c>
      <c r="U7987" t="s">
        <v>50461</v>
      </c>
      <c r="V7987" t="s">
        <v>60460</v>
      </c>
      <c r="W7987" t="s">
        <v>43132</v>
      </c>
      <c r="X7987" t="s">
        <v>45104</v>
      </c>
    </row>
    <row r="7988" spans="1:24">
      <c r="A7988">
        <f>HYPERLINK("https://www.philgeps.gov.ph/GEPSNONPILOT/Tender/SplashBidNoticeAbstractUI.aspx?menuIndex=3&amp;refID=7037787&amp;Result=3","7037787")</f>
        <v>0</v>
      </c>
      <c r="B7988" t="s">
        <v>2291</v>
      </c>
      <c r="C7988" t="s">
        <v>10814</v>
      </c>
      <c r="D7988" t="s">
        <v>18079</v>
      </c>
      <c r="E7988" t="s">
        <v>25128</v>
      </c>
      <c r="F7988" t="s">
        <v>31574</v>
      </c>
      <c r="G7988" t="s">
        <v>31581</v>
      </c>
      <c r="H7988" t="s">
        <v>31592</v>
      </c>
      <c r="I7988" t="s">
        <v>8822</v>
      </c>
      <c r="J7988" t="s">
        <v>31789</v>
      </c>
      <c r="K7988" t="s">
        <v>41185</v>
      </c>
      <c r="M7988" t="s">
        <v>44000</v>
      </c>
      <c r="N7988" t="s">
        <v>45095</v>
      </c>
      <c r="O7988" t="s">
        <v>45096</v>
      </c>
      <c r="P7988">
        <v>0</v>
      </c>
      <c r="Q7988">
        <v>0</v>
      </c>
      <c r="R7988" t="s">
        <v>45103</v>
      </c>
      <c r="S7988" t="s">
        <v>45270</v>
      </c>
      <c r="T7988" t="s">
        <v>46926</v>
      </c>
      <c r="U7988" t="s">
        <v>54107</v>
      </c>
      <c r="W7988" t="s">
        <v>44000</v>
      </c>
      <c r="X7988" t="s">
        <v>45104</v>
      </c>
    </row>
    <row r="7989" spans="1:24">
      <c r="A7989">
        <f>HYPERLINK("https://www.philgeps.gov.ph/GEPSNONPILOT/Tender/SplashBidNoticeAbstractUI.aspx?menuIndex=3&amp;refID=7037778&amp;Result=3","7037778")</f>
        <v>0</v>
      </c>
      <c r="B7989" t="s">
        <v>1002</v>
      </c>
      <c r="C7989" t="s">
        <v>10815</v>
      </c>
      <c r="D7989" t="s">
        <v>18058</v>
      </c>
      <c r="E7989" t="s">
        <v>25129</v>
      </c>
      <c r="F7989" t="s">
        <v>31574</v>
      </c>
      <c r="G7989" t="s">
        <v>31582</v>
      </c>
      <c r="H7989" t="s">
        <v>31591</v>
      </c>
      <c r="I7989" t="s">
        <v>8822</v>
      </c>
      <c r="J7989" t="s">
        <v>32361</v>
      </c>
      <c r="K7989" t="s">
        <v>41293</v>
      </c>
      <c r="M7989" t="s">
        <v>42539</v>
      </c>
      <c r="N7989" t="s">
        <v>45095</v>
      </c>
      <c r="O7989" t="s">
        <v>45096</v>
      </c>
      <c r="P7989">
        <v>0</v>
      </c>
      <c r="Q7989">
        <v>0</v>
      </c>
      <c r="R7989" t="s">
        <v>45103</v>
      </c>
      <c r="S7989" t="s">
        <v>45270</v>
      </c>
      <c r="T7989" t="s">
        <v>46992</v>
      </c>
      <c r="U7989" t="s">
        <v>54101</v>
      </c>
      <c r="V7989" t="s">
        <v>60109</v>
      </c>
      <c r="W7989" t="s">
        <v>42539</v>
      </c>
      <c r="X7989" t="s">
        <v>45104</v>
      </c>
    </row>
    <row r="7990" spans="1:24">
      <c r="A7990">
        <f>HYPERLINK("https://www.philgeps.gov.ph/GEPSNONPILOT/Tender/SplashBidNoticeAbstractUI.aspx?menuIndex=3&amp;refID=7037777&amp;Result=3","7037777")</f>
        <v>0</v>
      </c>
      <c r="B7990" t="s">
        <v>744</v>
      </c>
      <c r="C7990" t="s">
        <v>10816</v>
      </c>
      <c r="D7990" t="s">
        <v>18040</v>
      </c>
      <c r="E7990" t="s">
        <v>25130</v>
      </c>
      <c r="F7990" t="s">
        <v>31574</v>
      </c>
      <c r="G7990" t="s">
        <v>31582</v>
      </c>
      <c r="H7990" t="s">
        <v>31591</v>
      </c>
      <c r="I7990" t="s">
        <v>8822</v>
      </c>
      <c r="J7990" t="s">
        <v>32019</v>
      </c>
      <c r="K7990" t="s">
        <v>41218</v>
      </c>
      <c r="M7990" t="s">
        <v>42257</v>
      </c>
      <c r="N7990" t="s">
        <v>45095</v>
      </c>
      <c r="O7990" t="s">
        <v>45096</v>
      </c>
      <c r="P7990">
        <v>0</v>
      </c>
      <c r="Q7990">
        <v>0</v>
      </c>
      <c r="R7990" t="s">
        <v>45103</v>
      </c>
      <c r="S7990" t="s">
        <v>45270</v>
      </c>
      <c r="T7990" t="s">
        <v>46963</v>
      </c>
      <c r="U7990" t="s">
        <v>54108</v>
      </c>
      <c r="V7990" t="s">
        <v>60690</v>
      </c>
      <c r="W7990" t="s">
        <v>42257</v>
      </c>
      <c r="X7990" t="s">
        <v>45104</v>
      </c>
    </row>
    <row r="7991" spans="1:24">
      <c r="A7991">
        <f>HYPERLINK("https://www.philgeps.gov.ph/GEPSNONPILOT/Tender/SplashBidNoticeAbstractUI.aspx?menuIndex=3&amp;refID=7037788&amp;Result=3","7037788")</f>
        <v>0</v>
      </c>
      <c r="B7991" t="s">
        <v>704</v>
      </c>
      <c r="C7991" t="s">
        <v>10817</v>
      </c>
      <c r="E7991" t="s">
        <v>25131</v>
      </c>
      <c r="F7991" t="s">
        <v>31574</v>
      </c>
      <c r="G7991" t="s">
        <v>31582</v>
      </c>
      <c r="H7991" t="s">
        <v>31590</v>
      </c>
      <c r="I7991" t="s">
        <v>5222</v>
      </c>
      <c r="J7991" t="s">
        <v>31935</v>
      </c>
      <c r="K7991" t="s">
        <v>41192</v>
      </c>
      <c r="M7991" t="s">
        <v>42213</v>
      </c>
      <c r="N7991" t="s">
        <v>45095</v>
      </c>
      <c r="O7991" t="s">
        <v>45096</v>
      </c>
      <c r="P7991">
        <v>0</v>
      </c>
      <c r="Q7991">
        <v>2</v>
      </c>
      <c r="R7991" t="s">
        <v>45103</v>
      </c>
      <c r="S7991" t="s">
        <v>45270</v>
      </c>
      <c r="T7991" t="s">
        <v>46965</v>
      </c>
      <c r="U7991" t="s">
        <v>54109</v>
      </c>
      <c r="W7991" t="s">
        <v>42213</v>
      </c>
      <c r="X7991" t="s">
        <v>45104</v>
      </c>
    </row>
    <row r="7992" spans="1:24">
      <c r="A7992">
        <f>HYPERLINK("https://www.philgeps.gov.ph/GEPSNONPILOT/Tender/SplashBidNoticeAbstractUI.aspx?menuIndex=3&amp;refID=7037799&amp;Result=3","7037799")</f>
        <v>0</v>
      </c>
      <c r="B7992" t="s">
        <v>2292</v>
      </c>
      <c r="C7992" t="s">
        <v>10818</v>
      </c>
      <c r="D7992" t="s">
        <v>18065</v>
      </c>
      <c r="E7992" t="s">
        <v>18379</v>
      </c>
      <c r="F7992" t="s">
        <v>31574</v>
      </c>
      <c r="G7992" t="s">
        <v>31585</v>
      </c>
      <c r="H7992" t="s">
        <v>31590</v>
      </c>
      <c r="I7992" t="s">
        <v>31594</v>
      </c>
      <c r="J7992" t="s">
        <v>36798</v>
      </c>
      <c r="K7992" t="s">
        <v>41200</v>
      </c>
      <c r="M7992" t="s">
        <v>44001</v>
      </c>
      <c r="N7992" t="s">
        <v>45095</v>
      </c>
      <c r="O7992" t="s">
        <v>45096</v>
      </c>
      <c r="P7992">
        <v>0</v>
      </c>
      <c r="Q7992">
        <v>30</v>
      </c>
      <c r="R7992" t="s">
        <v>45103</v>
      </c>
      <c r="S7992" t="s">
        <v>45270</v>
      </c>
      <c r="T7992" t="s">
        <v>46979</v>
      </c>
      <c r="U7992" t="s">
        <v>54110</v>
      </c>
      <c r="W7992" t="s">
        <v>61732</v>
      </c>
      <c r="X7992" t="s">
        <v>45104</v>
      </c>
    </row>
    <row r="7993" spans="1:24">
      <c r="A7993">
        <f>HYPERLINK("https://www.philgeps.gov.ph/GEPSNONPILOT/Tender/SplashBidNoticeAbstractUI.aspx?menuIndex=3&amp;refID=7037803&amp;Result=3","7037803")</f>
        <v>0</v>
      </c>
      <c r="B7993" t="s">
        <v>2293</v>
      </c>
      <c r="C7993" t="s">
        <v>10819</v>
      </c>
      <c r="D7993" t="s">
        <v>18057</v>
      </c>
      <c r="E7993" t="s">
        <v>25132</v>
      </c>
      <c r="F7993" t="s">
        <v>31574</v>
      </c>
      <c r="G7993" t="s">
        <v>31582</v>
      </c>
      <c r="H7993" t="s">
        <v>31591</v>
      </c>
      <c r="I7993" t="s">
        <v>8822</v>
      </c>
      <c r="J7993" t="s">
        <v>36799</v>
      </c>
      <c r="K7993" t="s">
        <v>41189</v>
      </c>
      <c r="M7993" t="s">
        <v>44002</v>
      </c>
      <c r="N7993" t="s">
        <v>45095</v>
      </c>
      <c r="O7993" t="s">
        <v>45096</v>
      </c>
      <c r="P7993">
        <v>0</v>
      </c>
      <c r="Q7993">
        <v>27</v>
      </c>
      <c r="R7993" t="s">
        <v>45103</v>
      </c>
      <c r="S7993" t="s">
        <v>45270</v>
      </c>
      <c r="T7993" t="s">
        <v>46988</v>
      </c>
      <c r="U7993" t="s">
        <v>54111</v>
      </c>
      <c r="V7993" t="s">
        <v>60691</v>
      </c>
      <c r="W7993" t="s">
        <v>44002</v>
      </c>
      <c r="X7993" t="s">
        <v>45104</v>
      </c>
    </row>
    <row r="7994" spans="1:24">
      <c r="A7994">
        <f>HYPERLINK("https://www.philgeps.gov.ph/GEPSNONPILOT/Tender/SplashBidNoticeAbstractUI.aspx?menuIndex=3&amp;refID=7037804&amp;Result=3","7037804")</f>
        <v>0</v>
      </c>
      <c r="B7994" t="s">
        <v>450</v>
      </c>
      <c r="C7994" t="s">
        <v>10820</v>
      </c>
      <c r="D7994" t="s">
        <v>18039</v>
      </c>
      <c r="E7994" t="s">
        <v>25133</v>
      </c>
      <c r="F7994" t="s">
        <v>31574</v>
      </c>
      <c r="G7994" t="s">
        <v>31582</v>
      </c>
      <c r="H7994" t="s">
        <v>31591</v>
      </c>
      <c r="I7994" t="s">
        <v>8822</v>
      </c>
      <c r="J7994" t="s">
        <v>32049</v>
      </c>
      <c r="K7994" t="s">
        <v>41185</v>
      </c>
      <c r="M7994" t="s">
        <v>41944</v>
      </c>
      <c r="N7994" t="s">
        <v>45095</v>
      </c>
      <c r="O7994" t="s">
        <v>45096</v>
      </c>
      <c r="P7994">
        <v>0</v>
      </c>
      <c r="Q7994">
        <v>0</v>
      </c>
      <c r="R7994" t="s">
        <v>45103</v>
      </c>
      <c r="S7994" t="s">
        <v>45270</v>
      </c>
      <c r="T7994" t="s">
        <v>46988</v>
      </c>
      <c r="U7994" t="s">
        <v>54092</v>
      </c>
      <c r="W7994" t="s">
        <v>41944</v>
      </c>
      <c r="X7994" t="s">
        <v>45104</v>
      </c>
    </row>
    <row r="7995" spans="1:24">
      <c r="A7995">
        <f>HYPERLINK("https://www.philgeps.gov.ph/GEPSNONPILOT/Tender/SplashBidNoticeAbstractUI.aspx?menuIndex=3&amp;refID=7037790&amp;Result=3","7037790")</f>
        <v>0</v>
      </c>
      <c r="B7995" t="s">
        <v>2294</v>
      </c>
      <c r="C7995" t="s">
        <v>10821</v>
      </c>
      <c r="E7995" t="s">
        <v>25134</v>
      </c>
      <c r="F7995" t="s">
        <v>31574</v>
      </c>
      <c r="G7995" t="s">
        <v>31582</v>
      </c>
      <c r="H7995" t="s">
        <v>31590</v>
      </c>
      <c r="I7995" t="s">
        <v>4046</v>
      </c>
      <c r="J7995" t="s">
        <v>36800</v>
      </c>
      <c r="K7995" t="s">
        <v>41184</v>
      </c>
      <c r="M7995" t="s">
        <v>44003</v>
      </c>
      <c r="N7995" t="s">
        <v>45095</v>
      </c>
      <c r="O7995" t="s">
        <v>45096</v>
      </c>
      <c r="P7995">
        <v>0</v>
      </c>
      <c r="Q7995">
        <v>0</v>
      </c>
      <c r="R7995" t="s">
        <v>45103</v>
      </c>
      <c r="S7995" t="s">
        <v>45270</v>
      </c>
      <c r="T7995" t="s">
        <v>46995</v>
      </c>
      <c r="U7995" t="s">
        <v>54112</v>
      </c>
      <c r="W7995" t="s">
        <v>44003</v>
      </c>
      <c r="X7995" t="s">
        <v>45104</v>
      </c>
    </row>
    <row r="7996" spans="1:24">
      <c r="A7996">
        <f>HYPERLINK("https://www.philgeps.gov.ph/GEPSNONPILOT/Tender/SplashBidNoticeAbstractUI.aspx?menuIndex=3&amp;refID=7037796&amp;Result=3","7037796")</f>
        <v>0</v>
      </c>
      <c r="B7996" t="s">
        <v>1936</v>
      </c>
      <c r="C7996" t="s">
        <v>10822</v>
      </c>
      <c r="D7996" t="s">
        <v>18039</v>
      </c>
      <c r="E7996" t="s">
        <v>25135</v>
      </c>
      <c r="F7996" t="s">
        <v>31575</v>
      </c>
      <c r="G7996" t="s">
        <v>31581</v>
      </c>
      <c r="H7996" t="s">
        <v>31590</v>
      </c>
      <c r="I7996" t="s">
        <v>31599</v>
      </c>
      <c r="J7996" t="s">
        <v>36801</v>
      </c>
      <c r="K7996" t="s">
        <v>41213</v>
      </c>
      <c r="M7996" t="s">
        <v>43591</v>
      </c>
      <c r="N7996" t="s">
        <v>45095</v>
      </c>
      <c r="O7996" t="s">
        <v>45096</v>
      </c>
      <c r="P7996">
        <v>0</v>
      </c>
      <c r="Q7996">
        <v>0</v>
      </c>
      <c r="R7996" t="s">
        <v>45103</v>
      </c>
      <c r="S7996" t="s">
        <v>45270</v>
      </c>
      <c r="T7996" t="s">
        <v>47067</v>
      </c>
      <c r="U7996" t="s">
        <v>54113</v>
      </c>
      <c r="W7996" t="s">
        <v>43591</v>
      </c>
      <c r="X7996" t="s">
        <v>45104</v>
      </c>
    </row>
    <row r="7997" spans="1:24">
      <c r="A7997">
        <f>HYPERLINK("https://www.philgeps.gov.ph/GEPSNONPILOT/Tender/SplashBidNoticeAbstractUI.aspx?menuIndex=3&amp;refID=7037794&amp;Result=3","7037794")</f>
        <v>0</v>
      </c>
      <c r="B7997" t="s">
        <v>2262</v>
      </c>
      <c r="C7997" t="s">
        <v>10823</v>
      </c>
      <c r="D7997" t="s">
        <v>18090</v>
      </c>
      <c r="E7997" t="s">
        <v>18724</v>
      </c>
      <c r="F7997" t="s">
        <v>31574</v>
      </c>
      <c r="G7997" t="s">
        <v>31582</v>
      </c>
      <c r="H7997" t="s">
        <v>31590</v>
      </c>
      <c r="I7997" t="s">
        <v>31655</v>
      </c>
      <c r="J7997" t="s">
        <v>32019</v>
      </c>
      <c r="K7997" t="s">
        <v>41196</v>
      </c>
      <c r="M7997" t="s">
        <v>43962</v>
      </c>
      <c r="N7997" t="s">
        <v>45095</v>
      </c>
      <c r="O7997" t="s">
        <v>45096</v>
      </c>
      <c r="P7997">
        <v>0</v>
      </c>
      <c r="Q7997">
        <v>6</v>
      </c>
      <c r="R7997" t="s">
        <v>45103</v>
      </c>
      <c r="S7997" t="s">
        <v>45270</v>
      </c>
      <c r="T7997" t="s">
        <v>46992</v>
      </c>
      <c r="U7997" t="s">
        <v>54114</v>
      </c>
      <c r="W7997" t="s">
        <v>43962</v>
      </c>
      <c r="X7997" t="s">
        <v>45104</v>
      </c>
    </row>
    <row r="7998" spans="1:24">
      <c r="A7998">
        <f>HYPERLINK("https://www.philgeps.gov.ph/GEPSNONPILOT/Tender/SplashBidNoticeAbstractUI.aspx?menuIndex=3&amp;refID=7037798&amp;Result=3","7037798")</f>
        <v>0</v>
      </c>
      <c r="B7998" t="s">
        <v>377</v>
      </c>
      <c r="C7998" t="s">
        <v>9316</v>
      </c>
      <c r="D7998" t="s">
        <v>18075</v>
      </c>
      <c r="E7998" t="s">
        <v>25136</v>
      </c>
      <c r="F7998" t="s">
        <v>31574</v>
      </c>
      <c r="G7998" t="s">
        <v>31582</v>
      </c>
      <c r="H7998" t="s">
        <v>31590</v>
      </c>
      <c r="I7998" t="s">
        <v>31642</v>
      </c>
      <c r="J7998" t="s">
        <v>36802</v>
      </c>
      <c r="K7998" t="s">
        <v>41184</v>
      </c>
      <c r="M7998" t="s">
        <v>41867</v>
      </c>
      <c r="N7998" t="s">
        <v>45095</v>
      </c>
      <c r="O7998" t="s">
        <v>45096</v>
      </c>
      <c r="P7998">
        <v>0</v>
      </c>
      <c r="Q7998">
        <v>4</v>
      </c>
      <c r="R7998" t="s">
        <v>45103</v>
      </c>
      <c r="S7998" t="s">
        <v>45270</v>
      </c>
      <c r="T7998" t="s">
        <v>47334</v>
      </c>
      <c r="U7998" t="s">
        <v>54115</v>
      </c>
      <c r="V7998" t="s">
        <v>60530</v>
      </c>
      <c r="W7998" t="s">
        <v>41867</v>
      </c>
      <c r="X7998" t="s">
        <v>45104</v>
      </c>
    </row>
    <row r="7999" spans="1:24">
      <c r="A7999">
        <f>HYPERLINK("https://www.philgeps.gov.ph/GEPSNONPILOT/Tender/SplashBidNoticeAbstractUI.aspx?menuIndex=3&amp;refID=7037802&amp;Result=3","7037802")</f>
        <v>0</v>
      </c>
      <c r="B7999" t="s">
        <v>2295</v>
      </c>
      <c r="C7999" t="s">
        <v>10824</v>
      </c>
      <c r="D7999" t="s">
        <v>18041</v>
      </c>
      <c r="E7999" t="s">
        <v>18913</v>
      </c>
      <c r="F7999" t="s">
        <v>31574</v>
      </c>
      <c r="G7999" t="s">
        <v>31582</v>
      </c>
      <c r="H7999" t="s">
        <v>31590</v>
      </c>
      <c r="I7999" t="s">
        <v>31693</v>
      </c>
      <c r="J7999" t="s">
        <v>36803</v>
      </c>
      <c r="K7999" t="s">
        <v>41197</v>
      </c>
      <c r="M7999" t="s">
        <v>44004</v>
      </c>
      <c r="N7999" t="s">
        <v>45095</v>
      </c>
      <c r="O7999" t="s">
        <v>45096</v>
      </c>
      <c r="P7999">
        <v>0</v>
      </c>
      <c r="Q7999">
        <v>1</v>
      </c>
      <c r="R7999" t="s">
        <v>45103</v>
      </c>
      <c r="S7999" t="s">
        <v>45270</v>
      </c>
      <c r="T7999" t="s">
        <v>46919</v>
      </c>
      <c r="U7999" t="s">
        <v>54116</v>
      </c>
      <c r="V7999" t="s">
        <v>60692</v>
      </c>
      <c r="W7999" t="s">
        <v>44004</v>
      </c>
      <c r="X7999" t="s">
        <v>45104</v>
      </c>
    </row>
    <row r="8000" spans="1:24">
      <c r="A8000">
        <f>HYPERLINK("https://www.philgeps.gov.ph/GEPSNONPILOT/Tender/SplashBidNoticeAbstractUI.aspx?menuIndex=3&amp;refID=7037795&amp;Result=3","7037795")</f>
        <v>0</v>
      </c>
      <c r="B8000" t="s">
        <v>2290</v>
      </c>
      <c r="C8000" t="s">
        <v>10825</v>
      </c>
      <c r="D8000" t="s">
        <v>18090</v>
      </c>
      <c r="E8000" t="s">
        <v>25137</v>
      </c>
      <c r="F8000" t="s">
        <v>31574</v>
      </c>
      <c r="G8000" t="s">
        <v>31582</v>
      </c>
      <c r="H8000" t="s">
        <v>31591</v>
      </c>
      <c r="I8000" t="s">
        <v>8822</v>
      </c>
      <c r="J8000" t="s">
        <v>36804</v>
      </c>
      <c r="K8000" t="s">
        <v>41189</v>
      </c>
      <c r="M8000" t="s">
        <v>43999</v>
      </c>
      <c r="N8000" t="s">
        <v>45095</v>
      </c>
      <c r="O8000" t="s">
        <v>45096</v>
      </c>
      <c r="P8000">
        <v>0</v>
      </c>
      <c r="Q8000">
        <v>8</v>
      </c>
      <c r="R8000" t="s">
        <v>45103</v>
      </c>
      <c r="S8000" t="s">
        <v>45270</v>
      </c>
      <c r="T8000" t="s">
        <v>46992</v>
      </c>
      <c r="U8000" t="s">
        <v>54117</v>
      </c>
      <c r="W8000" t="s">
        <v>43999</v>
      </c>
      <c r="X8000" t="s">
        <v>45104</v>
      </c>
    </row>
    <row r="8001" spans="1:24">
      <c r="A8001">
        <f>HYPERLINK("https://www.philgeps.gov.ph/GEPSNONPILOT/Tender/SplashBidNoticeAbstractUI.aspx?menuIndex=3&amp;refID=7037820&amp;Result=3","7037820")</f>
        <v>0</v>
      </c>
      <c r="B8001" t="s">
        <v>2296</v>
      </c>
      <c r="C8001" t="s">
        <v>10826</v>
      </c>
      <c r="D8001" t="s">
        <v>18022</v>
      </c>
      <c r="E8001" t="s">
        <v>25138</v>
      </c>
      <c r="F8001" t="s">
        <v>31574</v>
      </c>
      <c r="G8001" t="s">
        <v>31582</v>
      </c>
      <c r="H8001" t="s">
        <v>31590</v>
      </c>
      <c r="I8001" t="s">
        <v>3487</v>
      </c>
      <c r="J8001" t="s">
        <v>33514</v>
      </c>
      <c r="K8001" t="s">
        <v>41213</v>
      </c>
      <c r="M8001" t="s">
        <v>44005</v>
      </c>
      <c r="N8001" t="s">
        <v>45095</v>
      </c>
      <c r="O8001" t="s">
        <v>45096</v>
      </c>
      <c r="P8001">
        <v>0</v>
      </c>
      <c r="Q8001">
        <v>0</v>
      </c>
      <c r="R8001" t="s">
        <v>45103</v>
      </c>
      <c r="S8001" t="s">
        <v>45270</v>
      </c>
      <c r="T8001" t="s">
        <v>46913</v>
      </c>
      <c r="U8001" t="s">
        <v>54118</v>
      </c>
      <c r="W8001" t="s">
        <v>44005</v>
      </c>
      <c r="X8001" t="s">
        <v>45104</v>
      </c>
    </row>
    <row r="8002" spans="1:24">
      <c r="A8002">
        <f>HYPERLINK("https://www.philgeps.gov.ph/GEPSNONPILOT/Tender/SplashBidNoticeAbstractUI.aspx?menuIndex=3&amp;refID=7037821&amp;Result=3","7037821")</f>
        <v>0</v>
      </c>
      <c r="B8002" t="s">
        <v>2290</v>
      </c>
      <c r="C8002" t="s">
        <v>10827</v>
      </c>
      <c r="D8002" t="s">
        <v>18090</v>
      </c>
      <c r="E8002" t="s">
        <v>25139</v>
      </c>
      <c r="F8002" t="s">
        <v>31574</v>
      </c>
      <c r="G8002" t="s">
        <v>31582</v>
      </c>
      <c r="H8002" t="s">
        <v>31591</v>
      </c>
      <c r="I8002" t="s">
        <v>8822</v>
      </c>
      <c r="J8002" t="s">
        <v>36805</v>
      </c>
      <c r="K8002" t="s">
        <v>41189</v>
      </c>
      <c r="M8002" t="s">
        <v>43999</v>
      </c>
      <c r="N8002" t="s">
        <v>45095</v>
      </c>
      <c r="O8002" t="s">
        <v>45096</v>
      </c>
      <c r="P8002">
        <v>0</v>
      </c>
      <c r="Q8002">
        <v>7</v>
      </c>
      <c r="R8002" t="s">
        <v>45103</v>
      </c>
      <c r="S8002" t="s">
        <v>45270</v>
      </c>
      <c r="T8002" t="s">
        <v>46992</v>
      </c>
      <c r="U8002" t="s">
        <v>54119</v>
      </c>
      <c r="W8002" t="s">
        <v>43999</v>
      </c>
      <c r="X8002" t="s">
        <v>45104</v>
      </c>
    </row>
    <row r="8003" spans="1:24">
      <c r="A8003">
        <f>HYPERLINK("https://www.philgeps.gov.ph/GEPSNONPILOT/Tender/SplashBidNoticeAbstractUI.aspx?menuIndex=3&amp;refID=7037805&amp;Result=3","7037805")</f>
        <v>0</v>
      </c>
      <c r="B8003" t="s">
        <v>2297</v>
      </c>
      <c r="C8003" t="s">
        <v>10828</v>
      </c>
      <c r="D8003" t="s">
        <v>18041</v>
      </c>
      <c r="E8003" t="s">
        <v>25140</v>
      </c>
      <c r="F8003" t="s">
        <v>31574</v>
      </c>
      <c r="G8003" t="s">
        <v>31581</v>
      </c>
      <c r="H8003" t="s">
        <v>31590</v>
      </c>
      <c r="I8003" t="s">
        <v>31652</v>
      </c>
      <c r="J8003" t="s">
        <v>36806</v>
      </c>
      <c r="K8003" t="s">
        <v>41197</v>
      </c>
      <c r="M8003" t="s">
        <v>44006</v>
      </c>
      <c r="N8003" t="s">
        <v>45095</v>
      </c>
      <c r="O8003" t="s">
        <v>45096</v>
      </c>
      <c r="P8003">
        <v>0</v>
      </c>
      <c r="Q8003">
        <v>0</v>
      </c>
      <c r="R8003" t="s">
        <v>45103</v>
      </c>
      <c r="S8003" t="s">
        <v>45270</v>
      </c>
      <c r="T8003" t="s">
        <v>46982</v>
      </c>
      <c r="U8003" t="s">
        <v>54120</v>
      </c>
      <c r="W8003" t="s">
        <v>44006</v>
      </c>
      <c r="X8003" t="s">
        <v>45104</v>
      </c>
    </row>
    <row r="8004" spans="1:24">
      <c r="A8004">
        <f>HYPERLINK("https://www.philgeps.gov.ph/GEPSNONPILOT/Tender/SplashBidNoticeAbstractUI.aspx?menuIndex=3&amp;refID=7037793&amp;Result=3","7037793")</f>
        <v>0</v>
      </c>
      <c r="B8004" t="s">
        <v>1002</v>
      </c>
      <c r="C8004" t="s">
        <v>5738</v>
      </c>
      <c r="D8004" t="s">
        <v>18058</v>
      </c>
      <c r="E8004" t="s">
        <v>25141</v>
      </c>
      <c r="F8004" t="s">
        <v>31574</v>
      </c>
      <c r="G8004" t="s">
        <v>31582</v>
      </c>
      <c r="H8004" t="s">
        <v>31590</v>
      </c>
      <c r="I8004" t="s">
        <v>3489</v>
      </c>
      <c r="J8004" t="s">
        <v>36807</v>
      </c>
      <c r="K8004" t="s">
        <v>41289</v>
      </c>
      <c r="M8004" t="s">
        <v>42539</v>
      </c>
      <c r="N8004" t="s">
        <v>45095</v>
      </c>
      <c r="O8004" t="s">
        <v>45096</v>
      </c>
      <c r="P8004">
        <v>0</v>
      </c>
      <c r="Q8004">
        <v>0</v>
      </c>
      <c r="R8004" t="s">
        <v>45103</v>
      </c>
      <c r="S8004" t="s">
        <v>45270</v>
      </c>
      <c r="T8004" t="s">
        <v>46992</v>
      </c>
      <c r="U8004" t="s">
        <v>54121</v>
      </c>
      <c r="V8004" t="s">
        <v>60109</v>
      </c>
      <c r="W8004" t="s">
        <v>42539</v>
      </c>
      <c r="X8004" t="s">
        <v>45104</v>
      </c>
    </row>
    <row r="8005" spans="1:24">
      <c r="A8005">
        <f>HYPERLINK("https://www.philgeps.gov.ph/GEPSNONPILOT/Tender/SplashBidNoticeAbstractUI.aspx?menuIndex=3&amp;refID=7037814&amp;Result=3","7037814")</f>
        <v>0</v>
      </c>
      <c r="B8005" t="s">
        <v>450</v>
      </c>
      <c r="C8005" t="s">
        <v>10829</v>
      </c>
      <c r="D8005" t="s">
        <v>18039</v>
      </c>
      <c r="E8005" t="s">
        <v>25142</v>
      </c>
      <c r="F8005" t="s">
        <v>31574</v>
      </c>
      <c r="G8005" t="s">
        <v>31582</v>
      </c>
      <c r="H8005" t="s">
        <v>31591</v>
      </c>
      <c r="I8005" t="s">
        <v>8822</v>
      </c>
      <c r="J8005" t="s">
        <v>32019</v>
      </c>
      <c r="K8005" t="s">
        <v>41185</v>
      </c>
      <c r="M8005" t="s">
        <v>41944</v>
      </c>
      <c r="N8005" t="s">
        <v>45095</v>
      </c>
      <c r="O8005" t="s">
        <v>45096</v>
      </c>
      <c r="P8005">
        <v>0</v>
      </c>
      <c r="Q8005">
        <v>0</v>
      </c>
      <c r="R8005" t="s">
        <v>45103</v>
      </c>
      <c r="S8005" t="s">
        <v>45270</v>
      </c>
      <c r="T8005" t="s">
        <v>46988</v>
      </c>
      <c r="U8005" t="s">
        <v>54092</v>
      </c>
      <c r="W8005" t="s">
        <v>41944</v>
      </c>
      <c r="X8005" t="s">
        <v>45104</v>
      </c>
    </row>
    <row r="8006" spans="1:24">
      <c r="A8006">
        <f>HYPERLINK("https://www.philgeps.gov.ph/GEPSNONPILOT/Tender/SplashBidNoticeAbstractUI.aspx?menuIndex=3&amp;refID=7037822&amp;Result=3","7037822")</f>
        <v>0</v>
      </c>
      <c r="B8006" t="s">
        <v>2293</v>
      </c>
      <c r="C8006" t="s">
        <v>10830</v>
      </c>
      <c r="D8006" t="s">
        <v>18057</v>
      </c>
      <c r="E8006" t="s">
        <v>25143</v>
      </c>
      <c r="F8006" t="s">
        <v>31574</v>
      </c>
      <c r="G8006" t="s">
        <v>31582</v>
      </c>
      <c r="H8006" t="s">
        <v>31591</v>
      </c>
      <c r="I8006" t="s">
        <v>8822</v>
      </c>
      <c r="J8006" t="s">
        <v>36808</v>
      </c>
      <c r="K8006" t="s">
        <v>41189</v>
      </c>
      <c r="M8006" t="s">
        <v>44002</v>
      </c>
      <c r="N8006" t="s">
        <v>45095</v>
      </c>
      <c r="O8006" t="s">
        <v>45096</v>
      </c>
      <c r="P8006">
        <v>0</v>
      </c>
      <c r="Q8006">
        <v>29</v>
      </c>
      <c r="R8006" t="s">
        <v>45103</v>
      </c>
      <c r="S8006" t="s">
        <v>45270</v>
      </c>
      <c r="T8006" t="s">
        <v>46988</v>
      </c>
      <c r="U8006" t="s">
        <v>54122</v>
      </c>
      <c r="V8006" t="s">
        <v>60691</v>
      </c>
      <c r="W8006" t="s">
        <v>44002</v>
      </c>
      <c r="X8006" t="s">
        <v>45104</v>
      </c>
    </row>
    <row r="8007" spans="1:24">
      <c r="A8007">
        <f>HYPERLINK("https://www.philgeps.gov.ph/GEPSNONPILOT/Tender/SplashBidNoticeAbstractUI.aspx?menuIndex=3&amp;refID=7037813&amp;Result=3","7037813")</f>
        <v>0</v>
      </c>
      <c r="B8007" t="s">
        <v>1002</v>
      </c>
      <c r="C8007" t="s">
        <v>8699</v>
      </c>
      <c r="D8007" t="s">
        <v>18058</v>
      </c>
      <c r="E8007" t="s">
        <v>25144</v>
      </c>
      <c r="F8007" t="s">
        <v>31574</v>
      </c>
      <c r="G8007" t="s">
        <v>31582</v>
      </c>
      <c r="H8007" t="s">
        <v>31590</v>
      </c>
      <c r="I8007" t="s">
        <v>4327</v>
      </c>
      <c r="J8007" t="s">
        <v>36809</v>
      </c>
      <c r="K8007" t="s">
        <v>41289</v>
      </c>
      <c r="M8007" t="s">
        <v>42539</v>
      </c>
      <c r="N8007" t="s">
        <v>45095</v>
      </c>
      <c r="O8007" t="s">
        <v>45096</v>
      </c>
      <c r="P8007">
        <v>0</v>
      </c>
      <c r="Q8007">
        <v>0</v>
      </c>
      <c r="R8007" t="s">
        <v>45103</v>
      </c>
      <c r="S8007" t="s">
        <v>45270</v>
      </c>
      <c r="T8007" t="s">
        <v>46985</v>
      </c>
      <c r="U8007" t="s">
        <v>54123</v>
      </c>
      <c r="V8007" t="s">
        <v>60109</v>
      </c>
      <c r="W8007" t="s">
        <v>42539</v>
      </c>
      <c r="X8007" t="s">
        <v>45104</v>
      </c>
    </row>
    <row r="8008" spans="1:24">
      <c r="A8008">
        <f>HYPERLINK("https://www.philgeps.gov.ph/GEPSNONPILOT/Tender/SplashBidNoticeAbstractUI.aspx?menuIndex=3&amp;refID=7037815&amp;Result=3","7037815")</f>
        <v>0</v>
      </c>
      <c r="B8008" t="s">
        <v>2293</v>
      </c>
      <c r="C8008" t="s">
        <v>10831</v>
      </c>
      <c r="D8008" t="s">
        <v>18057</v>
      </c>
      <c r="E8008" t="s">
        <v>25145</v>
      </c>
      <c r="F8008" t="s">
        <v>31574</v>
      </c>
      <c r="G8008" t="s">
        <v>31582</v>
      </c>
      <c r="H8008" t="s">
        <v>31591</v>
      </c>
      <c r="I8008" t="s">
        <v>8822</v>
      </c>
      <c r="J8008" t="s">
        <v>32739</v>
      </c>
      <c r="K8008" t="s">
        <v>41189</v>
      </c>
      <c r="M8008" t="s">
        <v>44002</v>
      </c>
      <c r="N8008" t="s">
        <v>45095</v>
      </c>
      <c r="O8008" t="s">
        <v>45096</v>
      </c>
      <c r="P8008">
        <v>0</v>
      </c>
      <c r="Q8008">
        <v>25</v>
      </c>
      <c r="R8008" t="s">
        <v>45103</v>
      </c>
      <c r="S8008" t="s">
        <v>45270</v>
      </c>
      <c r="T8008" t="s">
        <v>46988</v>
      </c>
      <c r="U8008" t="s">
        <v>54124</v>
      </c>
      <c r="V8008" t="s">
        <v>60691</v>
      </c>
      <c r="W8008" t="s">
        <v>44002</v>
      </c>
      <c r="X8008" t="s">
        <v>45104</v>
      </c>
    </row>
    <row r="8009" spans="1:24">
      <c r="A8009">
        <f>HYPERLINK("https://www.philgeps.gov.ph/GEPSNONPILOT/Tender/SplashBidNoticeAbstractUI.aspx?menuIndex=3&amp;refID=7037819&amp;Result=3","7037819")</f>
        <v>0</v>
      </c>
      <c r="B8009" t="s">
        <v>1936</v>
      </c>
      <c r="C8009" t="s">
        <v>10832</v>
      </c>
      <c r="D8009" t="s">
        <v>18039</v>
      </c>
      <c r="E8009" t="s">
        <v>25146</v>
      </c>
      <c r="F8009" t="s">
        <v>31575</v>
      </c>
      <c r="G8009" t="s">
        <v>31581</v>
      </c>
      <c r="H8009" t="s">
        <v>31590</v>
      </c>
      <c r="I8009" t="s">
        <v>31601</v>
      </c>
      <c r="J8009" t="s">
        <v>32334</v>
      </c>
      <c r="K8009" t="s">
        <v>41213</v>
      </c>
      <c r="M8009" t="s">
        <v>43591</v>
      </c>
      <c r="N8009" t="s">
        <v>45095</v>
      </c>
      <c r="O8009" t="s">
        <v>45096</v>
      </c>
      <c r="P8009">
        <v>0</v>
      </c>
      <c r="Q8009">
        <v>1</v>
      </c>
      <c r="R8009" t="s">
        <v>45103</v>
      </c>
      <c r="S8009" t="s">
        <v>45270</v>
      </c>
      <c r="T8009" t="s">
        <v>47067</v>
      </c>
      <c r="U8009" t="s">
        <v>54125</v>
      </c>
      <c r="W8009" t="s">
        <v>43591</v>
      </c>
      <c r="X8009" t="s">
        <v>45104</v>
      </c>
    </row>
    <row r="8010" spans="1:24">
      <c r="A8010">
        <f>HYPERLINK("https://www.philgeps.gov.ph/GEPSNONPILOT/Tender/SplashBidNoticeAbstractUI.aspx?menuIndex=3&amp;refID=7037806&amp;Result=3","7037806")</f>
        <v>0</v>
      </c>
      <c r="B8010" t="s">
        <v>426</v>
      </c>
      <c r="C8010" t="s">
        <v>10833</v>
      </c>
      <c r="D8010" t="s">
        <v>18068</v>
      </c>
      <c r="E8010" t="s">
        <v>25147</v>
      </c>
      <c r="F8010" t="s">
        <v>31574</v>
      </c>
      <c r="G8010" t="s">
        <v>31582</v>
      </c>
      <c r="H8010" t="s">
        <v>31590</v>
      </c>
      <c r="I8010" t="s">
        <v>7162</v>
      </c>
      <c r="J8010" t="s">
        <v>36810</v>
      </c>
      <c r="K8010" t="s">
        <v>41186</v>
      </c>
      <c r="M8010" t="s">
        <v>41918</v>
      </c>
      <c r="N8010" t="s">
        <v>45095</v>
      </c>
      <c r="O8010" t="s">
        <v>45096</v>
      </c>
      <c r="P8010">
        <v>0</v>
      </c>
      <c r="Q8010">
        <v>2</v>
      </c>
      <c r="R8010" t="s">
        <v>45103</v>
      </c>
      <c r="S8010" t="s">
        <v>45270</v>
      </c>
      <c r="T8010" t="s">
        <v>46988</v>
      </c>
      <c r="U8010" t="s">
        <v>54126</v>
      </c>
      <c r="V8010" t="s">
        <v>60693</v>
      </c>
      <c r="W8010" t="s">
        <v>41918</v>
      </c>
      <c r="X8010" t="s">
        <v>45104</v>
      </c>
    </row>
    <row r="8011" spans="1:24">
      <c r="A8011">
        <f>HYPERLINK("https://www.philgeps.gov.ph/GEPSNONPILOT/Tender/SplashBidNoticeAbstractUI.aspx?menuIndex=3&amp;refID=7037808&amp;Result=3","7037808")</f>
        <v>0</v>
      </c>
      <c r="B8011" t="s">
        <v>851</v>
      </c>
      <c r="C8011" t="s">
        <v>10834</v>
      </c>
      <c r="D8011" t="s">
        <v>18045</v>
      </c>
      <c r="E8011" t="s">
        <v>25148</v>
      </c>
      <c r="F8011" t="s">
        <v>31574</v>
      </c>
      <c r="G8011" t="s">
        <v>31582</v>
      </c>
      <c r="H8011" t="s">
        <v>31591</v>
      </c>
      <c r="I8011" t="s">
        <v>8822</v>
      </c>
      <c r="J8011" t="s">
        <v>34707</v>
      </c>
      <c r="K8011" t="s">
        <v>41222</v>
      </c>
      <c r="M8011" t="s">
        <v>42370</v>
      </c>
      <c r="N8011" t="s">
        <v>45095</v>
      </c>
      <c r="O8011" t="s">
        <v>45096</v>
      </c>
      <c r="P8011">
        <v>0</v>
      </c>
      <c r="Q8011">
        <v>0</v>
      </c>
      <c r="R8011" t="s">
        <v>45103</v>
      </c>
      <c r="S8011" t="s">
        <v>45270</v>
      </c>
      <c r="T8011" t="s">
        <v>47134</v>
      </c>
      <c r="U8011" t="s">
        <v>53728</v>
      </c>
      <c r="W8011" t="s">
        <v>42370</v>
      </c>
      <c r="X8011" t="s">
        <v>45104</v>
      </c>
    </row>
    <row r="8012" spans="1:24">
      <c r="A8012">
        <f>HYPERLINK("https://www.philgeps.gov.ph/GEPSNONPILOT/Tender/SplashBidNoticeAbstractUI.aspx?menuIndex=3&amp;refID=7037829&amp;Result=3","7037829")</f>
        <v>0</v>
      </c>
      <c r="B8012" t="s">
        <v>2298</v>
      </c>
      <c r="C8012" t="s">
        <v>10835</v>
      </c>
      <c r="D8012" t="s">
        <v>18095</v>
      </c>
      <c r="E8012" t="s">
        <v>25149</v>
      </c>
      <c r="F8012" t="s">
        <v>31574</v>
      </c>
      <c r="G8012" t="s">
        <v>31582</v>
      </c>
      <c r="H8012" t="s">
        <v>31590</v>
      </c>
      <c r="I8012" t="s">
        <v>31607</v>
      </c>
      <c r="J8012" t="s">
        <v>36811</v>
      </c>
      <c r="K8012" t="s">
        <v>41185</v>
      </c>
      <c r="M8012" t="s">
        <v>44007</v>
      </c>
      <c r="N8012" t="s">
        <v>45095</v>
      </c>
      <c r="O8012" t="s">
        <v>45096</v>
      </c>
      <c r="P8012">
        <v>0</v>
      </c>
      <c r="Q8012">
        <v>11</v>
      </c>
      <c r="R8012" t="s">
        <v>45103</v>
      </c>
      <c r="S8012" t="s">
        <v>45270</v>
      </c>
      <c r="T8012" t="s">
        <v>46987</v>
      </c>
      <c r="U8012" t="s">
        <v>54127</v>
      </c>
      <c r="W8012" t="s">
        <v>44007</v>
      </c>
      <c r="X8012" t="s">
        <v>45104</v>
      </c>
    </row>
    <row r="8013" spans="1:24">
      <c r="A8013">
        <f>HYPERLINK("https://www.philgeps.gov.ph/GEPSNONPILOT/Tender/SplashBidNoticeAbstractUI.aspx?menuIndex=3&amp;refID=7037833&amp;Result=3","7037833")</f>
        <v>0</v>
      </c>
      <c r="B8013" t="s">
        <v>2293</v>
      </c>
      <c r="C8013" t="s">
        <v>10836</v>
      </c>
      <c r="D8013" t="s">
        <v>18057</v>
      </c>
      <c r="E8013" t="s">
        <v>25150</v>
      </c>
      <c r="F8013" t="s">
        <v>31574</v>
      </c>
      <c r="G8013" t="s">
        <v>31582</v>
      </c>
      <c r="H8013" t="s">
        <v>31591</v>
      </c>
      <c r="I8013" t="s">
        <v>8822</v>
      </c>
      <c r="J8013" t="s">
        <v>36812</v>
      </c>
      <c r="K8013" t="s">
        <v>41189</v>
      </c>
      <c r="M8013" t="s">
        <v>44002</v>
      </c>
      <c r="N8013" t="s">
        <v>45095</v>
      </c>
      <c r="O8013" t="s">
        <v>45096</v>
      </c>
      <c r="P8013">
        <v>0</v>
      </c>
      <c r="Q8013">
        <v>22</v>
      </c>
      <c r="R8013" t="s">
        <v>45103</v>
      </c>
      <c r="S8013" t="s">
        <v>45270</v>
      </c>
      <c r="T8013" t="s">
        <v>46988</v>
      </c>
      <c r="U8013" t="s">
        <v>54128</v>
      </c>
      <c r="V8013" t="s">
        <v>60691</v>
      </c>
      <c r="W8013" t="s">
        <v>44002</v>
      </c>
      <c r="X8013" t="s">
        <v>45104</v>
      </c>
    </row>
    <row r="8014" spans="1:24">
      <c r="A8014">
        <f>HYPERLINK("https://www.philgeps.gov.ph/GEPSNONPILOT/Tender/SplashBidNoticeAbstractUI.aspx?menuIndex=3&amp;refID=7037835&amp;Result=3","7037835")</f>
        <v>0</v>
      </c>
      <c r="B8014" t="s">
        <v>450</v>
      </c>
      <c r="C8014" t="s">
        <v>10837</v>
      </c>
      <c r="D8014" t="s">
        <v>18039</v>
      </c>
      <c r="E8014" t="s">
        <v>25151</v>
      </c>
      <c r="F8014" t="s">
        <v>31574</v>
      </c>
      <c r="G8014" t="s">
        <v>31582</v>
      </c>
      <c r="H8014" t="s">
        <v>31591</v>
      </c>
      <c r="I8014" t="s">
        <v>8822</v>
      </c>
      <c r="J8014" t="s">
        <v>31947</v>
      </c>
      <c r="K8014" t="s">
        <v>41185</v>
      </c>
      <c r="M8014" t="s">
        <v>41944</v>
      </c>
      <c r="N8014" t="s">
        <v>45095</v>
      </c>
      <c r="O8014" t="s">
        <v>45096</v>
      </c>
      <c r="P8014">
        <v>0</v>
      </c>
      <c r="Q8014">
        <v>0</v>
      </c>
      <c r="R8014" t="s">
        <v>45103</v>
      </c>
      <c r="S8014" t="s">
        <v>45270</v>
      </c>
      <c r="T8014" t="s">
        <v>46988</v>
      </c>
      <c r="U8014" t="s">
        <v>54092</v>
      </c>
      <c r="W8014" t="s">
        <v>41944</v>
      </c>
      <c r="X8014" t="s">
        <v>45104</v>
      </c>
    </row>
    <row r="8015" spans="1:24">
      <c r="A8015">
        <f>HYPERLINK("https://www.philgeps.gov.ph/GEPSNONPILOT/Tender/SplashBidNoticeAbstractUI.aspx?menuIndex=3&amp;refID=7037824&amp;Result=3","7037824")</f>
        <v>0</v>
      </c>
      <c r="B8015" t="s">
        <v>450</v>
      </c>
      <c r="C8015" t="s">
        <v>10838</v>
      </c>
      <c r="D8015" t="s">
        <v>18039</v>
      </c>
      <c r="E8015" t="s">
        <v>25152</v>
      </c>
      <c r="F8015" t="s">
        <v>31574</v>
      </c>
      <c r="G8015" t="s">
        <v>31582</v>
      </c>
      <c r="H8015" t="s">
        <v>31591</v>
      </c>
      <c r="I8015" t="s">
        <v>8822</v>
      </c>
      <c r="J8015" t="s">
        <v>31789</v>
      </c>
      <c r="K8015" t="s">
        <v>41185</v>
      </c>
      <c r="M8015" t="s">
        <v>41944</v>
      </c>
      <c r="N8015" t="s">
        <v>45095</v>
      </c>
      <c r="O8015" t="s">
        <v>45096</v>
      </c>
      <c r="P8015">
        <v>0</v>
      </c>
      <c r="Q8015">
        <v>0</v>
      </c>
      <c r="R8015" t="s">
        <v>45103</v>
      </c>
      <c r="S8015" t="s">
        <v>45270</v>
      </c>
      <c r="T8015" t="s">
        <v>46988</v>
      </c>
      <c r="U8015" t="s">
        <v>54092</v>
      </c>
      <c r="W8015" t="s">
        <v>41944</v>
      </c>
      <c r="X8015" t="s">
        <v>45104</v>
      </c>
    </row>
    <row r="8016" spans="1:24">
      <c r="A8016">
        <f>HYPERLINK("https://www.philgeps.gov.ph/GEPSNONPILOT/Tender/SplashBidNoticeAbstractUI.aspx?menuIndex=3&amp;refID=7037830&amp;Result=3","7037830")</f>
        <v>0</v>
      </c>
      <c r="B8016" t="s">
        <v>985</v>
      </c>
      <c r="C8016" t="s">
        <v>10839</v>
      </c>
      <c r="D8016" t="s">
        <v>18107</v>
      </c>
      <c r="E8016" t="s">
        <v>19847</v>
      </c>
      <c r="F8016" t="s">
        <v>31574</v>
      </c>
      <c r="G8016" t="s">
        <v>31581</v>
      </c>
      <c r="H8016" t="s">
        <v>31590</v>
      </c>
      <c r="I8016" t="s">
        <v>4046</v>
      </c>
      <c r="J8016" t="s">
        <v>36813</v>
      </c>
      <c r="K8016" t="s">
        <v>41190</v>
      </c>
      <c r="M8016" t="s">
        <v>42519</v>
      </c>
      <c r="N8016" t="s">
        <v>45095</v>
      </c>
      <c r="O8016" t="s">
        <v>45096</v>
      </c>
      <c r="P8016">
        <v>0</v>
      </c>
      <c r="Q8016">
        <v>0</v>
      </c>
      <c r="R8016" t="s">
        <v>45103</v>
      </c>
      <c r="S8016" t="s">
        <v>45270</v>
      </c>
      <c r="T8016" t="s">
        <v>47159</v>
      </c>
      <c r="U8016" t="s">
        <v>54129</v>
      </c>
      <c r="W8016" t="s">
        <v>42519</v>
      </c>
      <c r="X8016" t="s">
        <v>45104</v>
      </c>
    </row>
    <row r="8017" spans="1:24">
      <c r="A8017">
        <f>HYPERLINK("https://www.philgeps.gov.ph/GEPSNONPILOT/Tender/SplashBidNoticeAbstractUI.aspx?menuIndex=3&amp;refID=7037847&amp;Result=3","7037847")</f>
        <v>0</v>
      </c>
      <c r="B8017" t="s">
        <v>2009</v>
      </c>
      <c r="C8017" t="s">
        <v>10840</v>
      </c>
      <c r="D8017" t="s">
        <v>18094</v>
      </c>
      <c r="E8017" t="s">
        <v>25153</v>
      </c>
      <c r="F8017" t="s">
        <v>31574</v>
      </c>
      <c r="G8017" t="s">
        <v>31582</v>
      </c>
      <c r="H8017" t="s">
        <v>31590</v>
      </c>
      <c r="I8017" t="s">
        <v>31601</v>
      </c>
      <c r="J8017" t="s">
        <v>35053</v>
      </c>
      <c r="K8017" t="s">
        <v>41196</v>
      </c>
      <c r="M8017" t="s">
        <v>43671</v>
      </c>
      <c r="N8017" t="s">
        <v>45095</v>
      </c>
      <c r="O8017" t="s">
        <v>45096</v>
      </c>
      <c r="P8017">
        <v>0</v>
      </c>
      <c r="Q8017">
        <v>4</v>
      </c>
      <c r="R8017" t="s">
        <v>45103</v>
      </c>
      <c r="S8017" t="s">
        <v>45270</v>
      </c>
      <c r="T8017" t="s">
        <v>46977</v>
      </c>
      <c r="U8017" t="s">
        <v>54130</v>
      </c>
      <c r="V8017" t="s">
        <v>60557</v>
      </c>
      <c r="W8017" t="s">
        <v>43671</v>
      </c>
      <c r="X8017" t="s">
        <v>45104</v>
      </c>
    </row>
    <row r="8018" spans="1:24">
      <c r="A8018">
        <f>HYPERLINK("https://www.philgeps.gov.ph/GEPSNONPILOT/Tender/SplashBidNoticeAbstractUI.aspx?menuIndex=3&amp;refID=7037832&amp;Result=3","7037832")</f>
        <v>0</v>
      </c>
      <c r="B8018" t="s">
        <v>2299</v>
      </c>
      <c r="C8018" t="s">
        <v>10841</v>
      </c>
      <c r="D8018" t="s">
        <v>18088</v>
      </c>
      <c r="E8018" t="s">
        <v>18316</v>
      </c>
      <c r="F8018" t="s">
        <v>31574</v>
      </c>
      <c r="G8018" t="s">
        <v>31582</v>
      </c>
      <c r="H8018" t="s">
        <v>31591</v>
      </c>
      <c r="I8018" t="s">
        <v>8822</v>
      </c>
      <c r="J8018" t="s">
        <v>36814</v>
      </c>
      <c r="K8018" t="s">
        <v>41364</v>
      </c>
      <c r="M8018" t="s">
        <v>44008</v>
      </c>
      <c r="N8018" t="s">
        <v>45095</v>
      </c>
      <c r="O8018" t="s">
        <v>45096</v>
      </c>
      <c r="P8018">
        <v>0</v>
      </c>
      <c r="Q8018">
        <v>0</v>
      </c>
      <c r="R8018" t="s">
        <v>45103</v>
      </c>
      <c r="S8018" t="s">
        <v>45270</v>
      </c>
      <c r="T8018" t="s">
        <v>46936</v>
      </c>
      <c r="U8018" t="s">
        <v>54131</v>
      </c>
      <c r="V8018" t="s">
        <v>60694</v>
      </c>
      <c r="W8018" t="s">
        <v>44008</v>
      </c>
      <c r="X8018" t="s">
        <v>45104</v>
      </c>
    </row>
    <row r="8019" spans="1:24">
      <c r="A8019">
        <f>HYPERLINK("https://www.philgeps.gov.ph/GEPSNONPILOT/Tender/SplashBidNoticeAbstractUI.aspx?menuIndex=3&amp;refID=7037827&amp;Result=3","7037827")</f>
        <v>0</v>
      </c>
      <c r="B8019" t="s">
        <v>2293</v>
      </c>
      <c r="C8019" t="s">
        <v>10842</v>
      </c>
      <c r="D8019" t="s">
        <v>18057</v>
      </c>
      <c r="E8019" t="s">
        <v>25154</v>
      </c>
      <c r="F8019" t="s">
        <v>31574</v>
      </c>
      <c r="G8019" t="s">
        <v>31582</v>
      </c>
      <c r="H8019" t="s">
        <v>31591</v>
      </c>
      <c r="I8019" t="s">
        <v>8822</v>
      </c>
      <c r="J8019" t="s">
        <v>36815</v>
      </c>
      <c r="K8019" t="s">
        <v>41189</v>
      </c>
      <c r="M8019" t="s">
        <v>44002</v>
      </c>
      <c r="N8019" t="s">
        <v>45095</v>
      </c>
      <c r="O8019" t="s">
        <v>45096</v>
      </c>
      <c r="P8019">
        <v>0</v>
      </c>
      <c r="Q8019">
        <v>24</v>
      </c>
      <c r="R8019" t="s">
        <v>45103</v>
      </c>
      <c r="S8019" t="s">
        <v>45270</v>
      </c>
      <c r="T8019" t="s">
        <v>46988</v>
      </c>
      <c r="U8019" t="s">
        <v>54132</v>
      </c>
      <c r="V8019" t="s">
        <v>60691</v>
      </c>
      <c r="W8019" t="s">
        <v>44002</v>
      </c>
      <c r="X8019" t="s">
        <v>45104</v>
      </c>
    </row>
    <row r="8020" spans="1:24">
      <c r="A8020">
        <f>HYPERLINK("https://www.philgeps.gov.ph/GEPSNONPILOT/Tender/SplashBidNoticeAbstractUI.aspx?menuIndex=3&amp;refID=7037837&amp;Result=3","7037837")</f>
        <v>0</v>
      </c>
      <c r="B8020" t="s">
        <v>1936</v>
      </c>
      <c r="C8020" t="s">
        <v>10843</v>
      </c>
      <c r="D8020" t="s">
        <v>18039</v>
      </c>
      <c r="E8020" t="s">
        <v>25155</v>
      </c>
      <c r="F8020" t="s">
        <v>31575</v>
      </c>
      <c r="G8020" t="s">
        <v>31581</v>
      </c>
      <c r="H8020" t="s">
        <v>31590</v>
      </c>
      <c r="I8020" t="s">
        <v>31601</v>
      </c>
      <c r="J8020" t="s">
        <v>32334</v>
      </c>
      <c r="K8020" t="s">
        <v>41213</v>
      </c>
      <c r="M8020" t="s">
        <v>43591</v>
      </c>
      <c r="N8020" t="s">
        <v>45095</v>
      </c>
      <c r="O8020" t="s">
        <v>45096</v>
      </c>
      <c r="P8020">
        <v>0</v>
      </c>
      <c r="Q8020">
        <v>1</v>
      </c>
      <c r="R8020" t="s">
        <v>45103</v>
      </c>
      <c r="S8020" t="s">
        <v>45270</v>
      </c>
      <c r="T8020" t="s">
        <v>47067</v>
      </c>
      <c r="U8020" t="s">
        <v>54133</v>
      </c>
      <c r="W8020" t="s">
        <v>43591</v>
      </c>
      <c r="X8020" t="s">
        <v>45104</v>
      </c>
    </row>
    <row r="8021" spans="1:24">
      <c r="A8021">
        <f>HYPERLINK("https://www.philgeps.gov.ph/GEPSNONPILOT/Tender/SplashBidNoticeAbstractUI.aspx?menuIndex=3&amp;refID=7037826&amp;Result=3","7037826")</f>
        <v>0</v>
      </c>
      <c r="B8021" t="s">
        <v>2296</v>
      </c>
      <c r="C8021" t="s">
        <v>10844</v>
      </c>
      <c r="D8021" t="s">
        <v>18022</v>
      </c>
      <c r="E8021" t="s">
        <v>25156</v>
      </c>
      <c r="F8021" t="s">
        <v>31574</v>
      </c>
      <c r="G8021" t="s">
        <v>31582</v>
      </c>
      <c r="H8021" t="s">
        <v>31590</v>
      </c>
      <c r="I8021" t="s">
        <v>3487</v>
      </c>
      <c r="J8021" t="s">
        <v>32019</v>
      </c>
      <c r="K8021" t="s">
        <v>41213</v>
      </c>
      <c r="M8021" t="s">
        <v>44005</v>
      </c>
      <c r="N8021" t="s">
        <v>45095</v>
      </c>
      <c r="O8021" t="s">
        <v>45096</v>
      </c>
      <c r="P8021">
        <v>0</v>
      </c>
      <c r="Q8021">
        <v>1</v>
      </c>
      <c r="R8021" t="s">
        <v>45103</v>
      </c>
      <c r="S8021" t="s">
        <v>45270</v>
      </c>
      <c r="T8021" t="s">
        <v>47020</v>
      </c>
      <c r="U8021" t="s">
        <v>54118</v>
      </c>
      <c r="W8021" t="s">
        <v>44005</v>
      </c>
      <c r="X8021" t="s">
        <v>45104</v>
      </c>
    </row>
    <row r="8022" spans="1:24">
      <c r="A8022">
        <f>HYPERLINK("https://www.philgeps.gov.ph/GEPSNONPILOT/Tender/SplashBidNoticeAbstractUI.aspx?menuIndex=3&amp;refID=7037849&amp;Result=3","7037849")</f>
        <v>0</v>
      </c>
      <c r="B8022" t="s">
        <v>64</v>
      </c>
      <c r="C8022" t="s">
        <v>10845</v>
      </c>
      <c r="D8022" t="s">
        <v>18050</v>
      </c>
      <c r="E8022" t="s">
        <v>18468</v>
      </c>
      <c r="F8022" t="s">
        <v>31574</v>
      </c>
      <c r="G8022" t="s">
        <v>31582</v>
      </c>
      <c r="H8022" t="s">
        <v>31590</v>
      </c>
      <c r="I8022" t="s">
        <v>31625</v>
      </c>
      <c r="J8022" t="s">
        <v>32716</v>
      </c>
      <c r="K8022" t="s">
        <v>41195</v>
      </c>
      <c r="M8022" t="s">
        <v>41548</v>
      </c>
      <c r="N8022" t="s">
        <v>45095</v>
      </c>
      <c r="O8022" t="s">
        <v>45096</v>
      </c>
      <c r="P8022">
        <v>0</v>
      </c>
      <c r="Q8022">
        <v>1</v>
      </c>
      <c r="R8022" t="s">
        <v>45103</v>
      </c>
      <c r="S8022" t="s">
        <v>45270</v>
      </c>
      <c r="T8022" t="s">
        <v>46973</v>
      </c>
      <c r="U8022" t="s">
        <v>54134</v>
      </c>
      <c r="V8022" t="s">
        <v>60695</v>
      </c>
      <c r="W8022" t="s">
        <v>41548</v>
      </c>
      <c r="X8022" t="s">
        <v>45104</v>
      </c>
    </row>
    <row r="8023" spans="1:24">
      <c r="A8023">
        <f>HYPERLINK("https://www.philgeps.gov.ph/GEPSNONPILOT/Tender/SplashBidNoticeAbstractUI.aspx?menuIndex=3&amp;refID=7037841&amp;Result=3","7037841")</f>
        <v>0</v>
      </c>
      <c r="B8023" t="s">
        <v>2299</v>
      </c>
      <c r="C8023" t="s">
        <v>10846</v>
      </c>
      <c r="D8023" t="s">
        <v>18088</v>
      </c>
      <c r="E8023" t="s">
        <v>18607</v>
      </c>
      <c r="F8023" t="s">
        <v>31574</v>
      </c>
      <c r="G8023" t="s">
        <v>31582</v>
      </c>
      <c r="H8023" t="s">
        <v>31591</v>
      </c>
      <c r="I8023" t="s">
        <v>8822</v>
      </c>
      <c r="J8023" t="s">
        <v>36816</v>
      </c>
      <c r="K8023" t="s">
        <v>41365</v>
      </c>
      <c r="M8023" t="s">
        <v>44008</v>
      </c>
      <c r="N8023" t="s">
        <v>45095</v>
      </c>
      <c r="O8023" t="s">
        <v>45096</v>
      </c>
      <c r="P8023">
        <v>0</v>
      </c>
      <c r="Q8023">
        <v>0</v>
      </c>
      <c r="R8023" t="s">
        <v>45103</v>
      </c>
      <c r="S8023" t="s">
        <v>45270</v>
      </c>
      <c r="T8023" t="s">
        <v>46936</v>
      </c>
      <c r="U8023" t="s">
        <v>54135</v>
      </c>
      <c r="V8023" t="s">
        <v>60696</v>
      </c>
      <c r="W8023" t="s">
        <v>44008</v>
      </c>
      <c r="X8023" t="s">
        <v>45104</v>
      </c>
    </row>
    <row r="8024" spans="1:24">
      <c r="A8024">
        <f>HYPERLINK("https://www.philgeps.gov.ph/GEPSNONPILOT/Tender/SplashBidNoticeAbstractUI.aspx?menuIndex=3&amp;refID=7037809&amp;Result=3","7037809")</f>
        <v>0</v>
      </c>
      <c r="B8024" t="s">
        <v>2293</v>
      </c>
      <c r="C8024" t="s">
        <v>10847</v>
      </c>
      <c r="D8024" t="s">
        <v>18057</v>
      </c>
      <c r="E8024" t="s">
        <v>25157</v>
      </c>
      <c r="F8024" t="s">
        <v>31574</v>
      </c>
      <c r="G8024" t="s">
        <v>31582</v>
      </c>
      <c r="H8024" t="s">
        <v>31591</v>
      </c>
      <c r="I8024" t="s">
        <v>8822</v>
      </c>
      <c r="J8024" t="s">
        <v>36817</v>
      </c>
      <c r="K8024" t="s">
        <v>41189</v>
      </c>
      <c r="M8024" t="s">
        <v>44002</v>
      </c>
      <c r="N8024" t="s">
        <v>45095</v>
      </c>
      <c r="O8024" t="s">
        <v>45096</v>
      </c>
      <c r="P8024">
        <v>0</v>
      </c>
      <c r="Q8024">
        <v>26</v>
      </c>
      <c r="R8024" t="s">
        <v>45103</v>
      </c>
      <c r="S8024" t="s">
        <v>45270</v>
      </c>
      <c r="T8024" t="s">
        <v>46988</v>
      </c>
      <c r="U8024" t="s">
        <v>54136</v>
      </c>
      <c r="V8024" t="s">
        <v>60691</v>
      </c>
      <c r="W8024" t="s">
        <v>44002</v>
      </c>
      <c r="X8024" t="s">
        <v>45104</v>
      </c>
    </row>
    <row r="8025" spans="1:24">
      <c r="A8025">
        <f>HYPERLINK("https://www.philgeps.gov.ph/GEPSNONPILOT/Tender/SplashBidNoticeAbstractUI.aspx?menuIndex=3&amp;refID=7037851&amp;Result=3","7037851")</f>
        <v>0</v>
      </c>
      <c r="B8025" t="s">
        <v>2290</v>
      </c>
      <c r="C8025" t="s">
        <v>10848</v>
      </c>
      <c r="D8025" t="s">
        <v>18090</v>
      </c>
      <c r="E8025" t="s">
        <v>25158</v>
      </c>
      <c r="F8025" t="s">
        <v>31574</v>
      </c>
      <c r="G8025" t="s">
        <v>31582</v>
      </c>
      <c r="H8025" t="s">
        <v>31591</v>
      </c>
      <c r="I8025" t="s">
        <v>8822</v>
      </c>
      <c r="J8025" t="s">
        <v>36818</v>
      </c>
      <c r="K8025" t="s">
        <v>41203</v>
      </c>
      <c r="M8025" t="s">
        <v>43999</v>
      </c>
      <c r="N8025" t="s">
        <v>45095</v>
      </c>
      <c r="O8025" t="s">
        <v>45096</v>
      </c>
      <c r="P8025">
        <v>0</v>
      </c>
      <c r="Q8025">
        <v>7</v>
      </c>
      <c r="R8025" t="s">
        <v>45103</v>
      </c>
      <c r="S8025" t="s">
        <v>45270</v>
      </c>
      <c r="T8025" t="s">
        <v>46992</v>
      </c>
      <c r="U8025" t="s">
        <v>54137</v>
      </c>
      <c r="W8025" t="s">
        <v>43999</v>
      </c>
      <c r="X8025" t="s">
        <v>45104</v>
      </c>
    </row>
    <row r="8026" spans="1:24">
      <c r="A8026">
        <f>HYPERLINK("https://www.philgeps.gov.ph/GEPSNONPILOT/Tender/SplashBidNoticeAbstractUI.aspx?menuIndex=3&amp;refID=7037842&amp;Result=3","7037842")</f>
        <v>0</v>
      </c>
      <c r="B8026" t="s">
        <v>450</v>
      </c>
      <c r="C8026" t="s">
        <v>10849</v>
      </c>
      <c r="D8026" t="s">
        <v>18039</v>
      </c>
      <c r="E8026" t="s">
        <v>25159</v>
      </c>
      <c r="F8026" t="s">
        <v>31574</v>
      </c>
      <c r="G8026" t="s">
        <v>31582</v>
      </c>
      <c r="H8026" t="s">
        <v>31591</v>
      </c>
      <c r="I8026" t="s">
        <v>8822</v>
      </c>
      <c r="J8026" t="s">
        <v>31947</v>
      </c>
      <c r="K8026" t="s">
        <v>41185</v>
      </c>
      <c r="M8026" t="s">
        <v>41944</v>
      </c>
      <c r="N8026" t="s">
        <v>45095</v>
      </c>
      <c r="O8026" t="s">
        <v>45096</v>
      </c>
      <c r="P8026">
        <v>0</v>
      </c>
      <c r="Q8026">
        <v>0</v>
      </c>
      <c r="R8026" t="s">
        <v>45103</v>
      </c>
      <c r="S8026" t="s">
        <v>45270</v>
      </c>
      <c r="T8026" t="s">
        <v>46988</v>
      </c>
      <c r="U8026" t="s">
        <v>54092</v>
      </c>
      <c r="W8026" t="s">
        <v>41944</v>
      </c>
      <c r="X8026" t="s">
        <v>45104</v>
      </c>
    </row>
    <row r="8027" spans="1:24">
      <c r="A8027">
        <f>HYPERLINK("https://www.philgeps.gov.ph/GEPSNONPILOT/Tender/SplashBidNoticeAbstractUI.aspx?menuIndex=3&amp;refID=7037811&amp;Result=3","7037811")</f>
        <v>0</v>
      </c>
      <c r="B8027" t="s">
        <v>2299</v>
      </c>
      <c r="C8027" t="s">
        <v>10850</v>
      </c>
      <c r="D8027" t="s">
        <v>18088</v>
      </c>
      <c r="E8027" t="s">
        <v>18788</v>
      </c>
      <c r="F8027" t="s">
        <v>31574</v>
      </c>
      <c r="G8027" t="s">
        <v>31582</v>
      </c>
      <c r="H8027" t="s">
        <v>31591</v>
      </c>
      <c r="I8027" t="s">
        <v>8822</v>
      </c>
      <c r="J8027" t="s">
        <v>36819</v>
      </c>
      <c r="K8027" t="s">
        <v>41201</v>
      </c>
      <c r="M8027" t="s">
        <v>44008</v>
      </c>
      <c r="N8027" t="s">
        <v>45095</v>
      </c>
      <c r="O8027" t="s">
        <v>45096</v>
      </c>
      <c r="P8027">
        <v>0</v>
      </c>
      <c r="Q8027">
        <v>0</v>
      </c>
      <c r="R8027" t="s">
        <v>45103</v>
      </c>
      <c r="S8027" t="s">
        <v>45270</v>
      </c>
      <c r="T8027" t="s">
        <v>46936</v>
      </c>
      <c r="U8027" t="s">
        <v>54138</v>
      </c>
      <c r="V8027" t="s">
        <v>60697</v>
      </c>
      <c r="W8027" t="s">
        <v>44008</v>
      </c>
      <c r="X8027" t="s">
        <v>45104</v>
      </c>
    </row>
    <row r="8028" spans="1:24">
      <c r="A8028">
        <f>HYPERLINK("https://www.philgeps.gov.ph/GEPSNONPILOT/Tender/SplashBidNoticeAbstractUI.aspx?menuIndex=3&amp;refID=7037850&amp;Result=3","7037850")</f>
        <v>0</v>
      </c>
      <c r="B8028" t="s">
        <v>2300</v>
      </c>
      <c r="C8028" t="s">
        <v>10851</v>
      </c>
      <c r="D8028" t="s">
        <v>18044</v>
      </c>
      <c r="E8028" t="s">
        <v>25160</v>
      </c>
      <c r="F8028" t="s">
        <v>31574</v>
      </c>
      <c r="G8028" t="s">
        <v>31582</v>
      </c>
      <c r="H8028" t="s">
        <v>31591</v>
      </c>
      <c r="I8028" t="s">
        <v>8822</v>
      </c>
      <c r="J8028" t="s">
        <v>32232</v>
      </c>
      <c r="K8028" t="s">
        <v>41184</v>
      </c>
      <c r="M8028" t="s">
        <v>44009</v>
      </c>
      <c r="N8028" t="s">
        <v>45095</v>
      </c>
      <c r="O8028" t="s">
        <v>45096</v>
      </c>
      <c r="P8028">
        <v>0</v>
      </c>
      <c r="Q8028">
        <v>0</v>
      </c>
      <c r="R8028" t="s">
        <v>45103</v>
      </c>
      <c r="S8028" t="s">
        <v>45270</v>
      </c>
      <c r="T8028" t="s">
        <v>47050</v>
      </c>
      <c r="U8028" t="s">
        <v>54139</v>
      </c>
      <c r="W8028" t="s">
        <v>44009</v>
      </c>
      <c r="X8028" t="s">
        <v>45104</v>
      </c>
    </row>
    <row r="8029" spans="1:24">
      <c r="A8029">
        <f>HYPERLINK("https://www.philgeps.gov.ph/GEPSNONPILOT/Tender/SplashBidNoticeAbstractUI.aspx?menuIndex=3&amp;refID=7037857&amp;Result=3","7037857")</f>
        <v>0</v>
      </c>
      <c r="B8029" t="s">
        <v>643</v>
      </c>
      <c r="C8029" t="s">
        <v>10852</v>
      </c>
      <c r="D8029" t="s">
        <v>18063</v>
      </c>
      <c r="E8029" t="s">
        <v>25161</v>
      </c>
      <c r="F8029" t="s">
        <v>31574</v>
      </c>
      <c r="G8029" t="s">
        <v>31582</v>
      </c>
      <c r="H8029" t="s">
        <v>31590</v>
      </c>
      <c r="I8029" t="s">
        <v>4327</v>
      </c>
      <c r="J8029" t="s">
        <v>36820</v>
      </c>
      <c r="K8029" t="s">
        <v>41185</v>
      </c>
      <c r="M8029" t="s">
        <v>44010</v>
      </c>
      <c r="N8029" t="s">
        <v>45095</v>
      </c>
      <c r="O8029" t="s">
        <v>45096</v>
      </c>
      <c r="P8029">
        <v>0</v>
      </c>
      <c r="Q8029">
        <v>7</v>
      </c>
      <c r="R8029" t="s">
        <v>45103</v>
      </c>
      <c r="S8029" t="s">
        <v>45270</v>
      </c>
      <c r="T8029" t="s">
        <v>46965</v>
      </c>
      <c r="U8029" t="s">
        <v>54140</v>
      </c>
      <c r="V8029" t="s">
        <v>60698</v>
      </c>
      <c r="W8029" t="s">
        <v>44010</v>
      </c>
      <c r="X8029" t="s">
        <v>45104</v>
      </c>
    </row>
    <row r="8030" spans="1:24">
      <c r="A8030">
        <f>HYPERLINK("https://www.philgeps.gov.ph/GEPSNONPILOT/Tender/SplashBidNoticeAbstractUI.aspx?menuIndex=3&amp;refID=7037845&amp;Result=3","7037845")</f>
        <v>0</v>
      </c>
      <c r="B8030" t="s">
        <v>985</v>
      </c>
      <c r="C8030" t="s">
        <v>10853</v>
      </c>
      <c r="D8030" t="s">
        <v>18107</v>
      </c>
      <c r="E8030" t="s">
        <v>25162</v>
      </c>
      <c r="F8030" t="s">
        <v>31574</v>
      </c>
      <c r="G8030" t="s">
        <v>31581</v>
      </c>
      <c r="H8030" t="s">
        <v>31590</v>
      </c>
      <c r="I8030" t="s">
        <v>8258</v>
      </c>
      <c r="J8030" t="s">
        <v>36821</v>
      </c>
      <c r="K8030" t="s">
        <v>41190</v>
      </c>
      <c r="M8030" t="s">
        <v>42519</v>
      </c>
      <c r="N8030" t="s">
        <v>45095</v>
      </c>
      <c r="O8030" t="s">
        <v>45096</v>
      </c>
      <c r="P8030">
        <v>0</v>
      </c>
      <c r="Q8030">
        <v>2</v>
      </c>
      <c r="R8030" t="s">
        <v>45103</v>
      </c>
      <c r="S8030" t="s">
        <v>45270</v>
      </c>
      <c r="T8030" t="s">
        <v>47159</v>
      </c>
      <c r="U8030" t="s">
        <v>54129</v>
      </c>
      <c r="W8030" t="s">
        <v>42519</v>
      </c>
      <c r="X8030" t="s">
        <v>45104</v>
      </c>
    </row>
    <row r="8031" spans="1:24">
      <c r="A8031">
        <f>HYPERLINK("https://www.philgeps.gov.ph/GEPSNONPILOT/Tender/SplashBidNoticeAbstractUI.aspx?menuIndex=3&amp;refID=7037871&amp;Result=3","7037871")</f>
        <v>0</v>
      </c>
      <c r="B8031" t="s">
        <v>2301</v>
      </c>
      <c r="C8031" t="s">
        <v>10854</v>
      </c>
      <c r="E8031" t="s">
        <v>18227</v>
      </c>
      <c r="F8031" t="s">
        <v>31574</v>
      </c>
      <c r="G8031" t="s">
        <v>31582</v>
      </c>
      <c r="H8031" t="s">
        <v>31590</v>
      </c>
      <c r="I8031" t="s">
        <v>3487</v>
      </c>
      <c r="J8031" t="s">
        <v>31741</v>
      </c>
      <c r="K8031" t="s">
        <v>41184</v>
      </c>
      <c r="M8031" t="s">
        <v>44011</v>
      </c>
      <c r="N8031" t="s">
        <v>45095</v>
      </c>
      <c r="O8031" t="s">
        <v>45096</v>
      </c>
      <c r="P8031">
        <v>0</v>
      </c>
      <c r="Q8031">
        <v>0</v>
      </c>
      <c r="R8031" t="s">
        <v>45103</v>
      </c>
      <c r="S8031" t="s">
        <v>45270</v>
      </c>
      <c r="T8031" t="s">
        <v>46985</v>
      </c>
      <c r="U8031" t="s">
        <v>54141</v>
      </c>
      <c r="W8031" t="s">
        <v>44011</v>
      </c>
      <c r="X8031" t="s">
        <v>45104</v>
      </c>
    </row>
    <row r="8032" spans="1:24">
      <c r="A8032">
        <f>HYPERLINK("https://www.philgeps.gov.ph/GEPSNONPILOT/Tender/SplashBidNoticeAbstractUI.aspx?menuIndex=3&amp;refID=7037869&amp;Result=3","7037869")</f>
        <v>0</v>
      </c>
      <c r="B8032" t="s">
        <v>2302</v>
      </c>
      <c r="C8032" t="s">
        <v>6507</v>
      </c>
      <c r="D8032" t="s">
        <v>18035</v>
      </c>
      <c r="E8032" t="s">
        <v>18705</v>
      </c>
      <c r="F8032" t="s">
        <v>31574</v>
      </c>
      <c r="G8032" t="s">
        <v>31582</v>
      </c>
      <c r="H8032" t="s">
        <v>31590</v>
      </c>
      <c r="I8032" t="s">
        <v>7162</v>
      </c>
      <c r="J8032" t="s">
        <v>31727</v>
      </c>
      <c r="K8032" t="s">
        <v>41193</v>
      </c>
      <c r="M8032" t="s">
        <v>44012</v>
      </c>
      <c r="N8032" t="s">
        <v>45095</v>
      </c>
      <c r="O8032" t="s">
        <v>45096</v>
      </c>
      <c r="P8032">
        <v>0</v>
      </c>
      <c r="Q8032">
        <v>3</v>
      </c>
      <c r="R8032" t="s">
        <v>45103</v>
      </c>
      <c r="S8032" t="s">
        <v>45270</v>
      </c>
      <c r="T8032" t="s">
        <v>46949</v>
      </c>
      <c r="U8032" t="s">
        <v>54142</v>
      </c>
      <c r="W8032" t="s">
        <v>44012</v>
      </c>
      <c r="X8032" t="s">
        <v>45104</v>
      </c>
    </row>
    <row r="8033" spans="1:24">
      <c r="A8033">
        <f>HYPERLINK("https://www.philgeps.gov.ph/GEPSNONPILOT/Tender/SplashBidNoticeAbstractUI.aspx?menuIndex=3&amp;refID=7037870&amp;Result=3","7037870")</f>
        <v>0</v>
      </c>
      <c r="B8033" t="s">
        <v>2303</v>
      </c>
      <c r="C8033" t="s">
        <v>10855</v>
      </c>
      <c r="D8033" t="s">
        <v>18036</v>
      </c>
      <c r="E8033" t="s">
        <v>25163</v>
      </c>
      <c r="F8033" t="s">
        <v>31574</v>
      </c>
      <c r="G8033" t="s">
        <v>31582</v>
      </c>
      <c r="H8033" t="s">
        <v>31590</v>
      </c>
      <c r="I8033" t="s">
        <v>31655</v>
      </c>
      <c r="J8033" t="s">
        <v>33193</v>
      </c>
      <c r="K8033" t="s">
        <v>41186</v>
      </c>
      <c r="M8033" t="s">
        <v>44013</v>
      </c>
      <c r="N8033" t="s">
        <v>45095</v>
      </c>
      <c r="O8033" t="s">
        <v>45096</v>
      </c>
      <c r="P8033">
        <v>0</v>
      </c>
      <c r="Q8033">
        <v>8</v>
      </c>
      <c r="R8033" t="s">
        <v>45103</v>
      </c>
      <c r="S8033" t="s">
        <v>45270</v>
      </c>
      <c r="T8033" t="s">
        <v>46988</v>
      </c>
      <c r="U8033" t="s">
        <v>54143</v>
      </c>
      <c r="V8033" t="s">
        <v>60699</v>
      </c>
      <c r="W8033" t="s">
        <v>44013</v>
      </c>
      <c r="X8033" t="s">
        <v>45104</v>
      </c>
    </row>
    <row r="8034" spans="1:24">
      <c r="A8034">
        <f>HYPERLINK("https://www.philgeps.gov.ph/GEPSNONPILOT/Tender/SplashBidNoticeAbstractUI.aspx?menuIndex=3&amp;refID=7037858&amp;Result=3","7037858")</f>
        <v>0</v>
      </c>
      <c r="B8034" t="s">
        <v>1117</v>
      </c>
      <c r="C8034" t="s">
        <v>10856</v>
      </c>
      <c r="D8034" t="s">
        <v>18079</v>
      </c>
      <c r="E8034" t="s">
        <v>25164</v>
      </c>
      <c r="F8034" t="s">
        <v>31574</v>
      </c>
      <c r="G8034" t="s">
        <v>31582</v>
      </c>
      <c r="H8034" t="s">
        <v>31590</v>
      </c>
      <c r="I8034" t="s">
        <v>31620</v>
      </c>
      <c r="J8034" t="s">
        <v>32120</v>
      </c>
      <c r="K8034" t="s">
        <v>41186</v>
      </c>
      <c r="M8034" t="s">
        <v>42666</v>
      </c>
      <c r="N8034" t="s">
        <v>45095</v>
      </c>
      <c r="O8034" t="s">
        <v>45096</v>
      </c>
      <c r="P8034">
        <v>0</v>
      </c>
      <c r="Q8034">
        <v>5</v>
      </c>
      <c r="R8034" t="s">
        <v>45103</v>
      </c>
      <c r="S8034" t="s">
        <v>45270</v>
      </c>
      <c r="T8034" t="s">
        <v>47198</v>
      </c>
      <c r="U8034" t="s">
        <v>53299</v>
      </c>
      <c r="W8034" t="s">
        <v>42666</v>
      </c>
      <c r="X8034" t="s">
        <v>45104</v>
      </c>
    </row>
    <row r="8035" spans="1:24">
      <c r="A8035">
        <f>HYPERLINK("https://www.philgeps.gov.ph/GEPSNONPILOT/Tender/SplashBidNoticeAbstractUI.aspx?menuIndex=3&amp;refID=7037867&amp;Result=3","7037867")</f>
        <v>0</v>
      </c>
      <c r="B8035" t="s">
        <v>2290</v>
      </c>
      <c r="C8035" t="s">
        <v>10857</v>
      </c>
      <c r="D8035" t="s">
        <v>18090</v>
      </c>
      <c r="E8035" t="s">
        <v>25165</v>
      </c>
      <c r="F8035" t="s">
        <v>31574</v>
      </c>
      <c r="G8035" t="s">
        <v>31582</v>
      </c>
      <c r="H8035" t="s">
        <v>31591</v>
      </c>
      <c r="I8035" t="s">
        <v>8822</v>
      </c>
      <c r="J8035" t="s">
        <v>36822</v>
      </c>
      <c r="K8035" t="s">
        <v>41192</v>
      </c>
      <c r="M8035" t="s">
        <v>43999</v>
      </c>
      <c r="N8035" t="s">
        <v>45095</v>
      </c>
      <c r="O8035" t="s">
        <v>45096</v>
      </c>
      <c r="P8035">
        <v>0</v>
      </c>
      <c r="Q8035">
        <v>7</v>
      </c>
      <c r="R8035" t="s">
        <v>45103</v>
      </c>
      <c r="S8035" t="s">
        <v>45270</v>
      </c>
      <c r="T8035" t="s">
        <v>46992</v>
      </c>
      <c r="U8035" t="s">
        <v>54144</v>
      </c>
      <c r="W8035" t="s">
        <v>43999</v>
      </c>
      <c r="X8035" t="s">
        <v>45104</v>
      </c>
    </row>
    <row r="8036" spans="1:24">
      <c r="A8036">
        <f>HYPERLINK("https://www.philgeps.gov.ph/GEPSNONPILOT/Tender/SplashBidNoticeAbstractUI.aspx?menuIndex=3&amp;refID=7037864&amp;Result=3","7037864")</f>
        <v>0</v>
      </c>
      <c r="B8036" t="s">
        <v>2304</v>
      </c>
      <c r="C8036" t="s">
        <v>10858</v>
      </c>
      <c r="D8036" t="s">
        <v>18052</v>
      </c>
      <c r="E8036" t="s">
        <v>25166</v>
      </c>
      <c r="F8036" t="s">
        <v>31574</v>
      </c>
      <c r="G8036" t="s">
        <v>31582</v>
      </c>
      <c r="H8036" t="s">
        <v>31591</v>
      </c>
      <c r="I8036" t="s">
        <v>8822</v>
      </c>
      <c r="J8036" t="s">
        <v>33343</v>
      </c>
      <c r="K8036" t="s">
        <v>41200</v>
      </c>
      <c r="M8036" t="s">
        <v>44014</v>
      </c>
      <c r="N8036" t="s">
        <v>45095</v>
      </c>
      <c r="O8036" t="s">
        <v>45096</v>
      </c>
      <c r="P8036">
        <v>0</v>
      </c>
      <c r="Q8036">
        <v>0</v>
      </c>
      <c r="R8036" t="s">
        <v>45103</v>
      </c>
      <c r="S8036" t="s">
        <v>45270</v>
      </c>
      <c r="T8036" t="s">
        <v>47125</v>
      </c>
      <c r="U8036" t="s">
        <v>54145</v>
      </c>
      <c r="W8036" t="s">
        <v>44014</v>
      </c>
      <c r="X8036" t="s">
        <v>45104</v>
      </c>
    </row>
    <row r="8037" spans="1:24">
      <c r="A8037">
        <f>HYPERLINK("https://www.philgeps.gov.ph/GEPSNONPILOT/Tender/SplashBidNoticeAbstractUI.aspx?menuIndex=3&amp;refID=7037862&amp;Result=3","7037862")</f>
        <v>0</v>
      </c>
      <c r="B8037" t="s">
        <v>1126</v>
      </c>
      <c r="C8037" t="s">
        <v>10859</v>
      </c>
      <c r="D8037" t="s">
        <v>18058</v>
      </c>
      <c r="E8037" t="s">
        <v>25167</v>
      </c>
      <c r="F8037" t="s">
        <v>31574</v>
      </c>
      <c r="G8037" t="s">
        <v>31582</v>
      </c>
      <c r="H8037" t="s">
        <v>31590</v>
      </c>
      <c r="I8037" t="s">
        <v>31662</v>
      </c>
      <c r="J8037" t="s">
        <v>31730</v>
      </c>
      <c r="K8037" t="s">
        <v>41192</v>
      </c>
      <c r="M8037" t="s">
        <v>43588</v>
      </c>
      <c r="N8037" t="s">
        <v>45095</v>
      </c>
      <c r="O8037" t="s">
        <v>45096</v>
      </c>
      <c r="P8037">
        <v>0</v>
      </c>
      <c r="Q8037">
        <v>5</v>
      </c>
      <c r="R8037" t="s">
        <v>45103</v>
      </c>
      <c r="S8037" t="s">
        <v>45270</v>
      </c>
      <c r="T8037" t="s">
        <v>47093</v>
      </c>
      <c r="U8037" t="s">
        <v>54146</v>
      </c>
      <c r="W8037" t="s">
        <v>43588</v>
      </c>
      <c r="X8037" t="s">
        <v>45104</v>
      </c>
    </row>
    <row r="8038" spans="1:24">
      <c r="A8038">
        <f>HYPERLINK("https://www.philgeps.gov.ph/GEPSNONPILOT/Tender/SplashBidNoticeAbstractUI.aspx?menuIndex=3&amp;refID=7037874&amp;Result=3","7037874")</f>
        <v>0</v>
      </c>
      <c r="B8038" t="s">
        <v>643</v>
      </c>
      <c r="C8038" t="s">
        <v>10860</v>
      </c>
      <c r="D8038" t="s">
        <v>18063</v>
      </c>
      <c r="E8038" t="s">
        <v>25168</v>
      </c>
      <c r="F8038" t="s">
        <v>31574</v>
      </c>
      <c r="G8038" t="s">
        <v>31582</v>
      </c>
      <c r="H8038" t="s">
        <v>31590</v>
      </c>
      <c r="I8038" t="s">
        <v>4327</v>
      </c>
      <c r="J8038" t="s">
        <v>36823</v>
      </c>
      <c r="K8038" t="s">
        <v>41185</v>
      </c>
      <c r="M8038" t="s">
        <v>44010</v>
      </c>
      <c r="N8038" t="s">
        <v>45095</v>
      </c>
      <c r="O8038" t="s">
        <v>45096</v>
      </c>
      <c r="P8038">
        <v>0</v>
      </c>
      <c r="Q8038">
        <v>7</v>
      </c>
      <c r="R8038" t="s">
        <v>45103</v>
      </c>
      <c r="S8038" t="s">
        <v>45270</v>
      </c>
      <c r="T8038" t="s">
        <v>46965</v>
      </c>
      <c r="U8038" t="s">
        <v>54147</v>
      </c>
      <c r="V8038" t="s">
        <v>60700</v>
      </c>
      <c r="W8038" t="s">
        <v>44010</v>
      </c>
      <c r="X8038" t="s">
        <v>45104</v>
      </c>
    </row>
    <row r="8039" spans="1:24">
      <c r="A8039">
        <f>HYPERLINK("https://www.philgeps.gov.ph/GEPSNONPILOT/Tender/SplashBidNoticeAbstractUI.aspx?menuIndex=3&amp;refID=7037863&amp;Result=3","7037863")</f>
        <v>0</v>
      </c>
      <c r="B8039" t="s">
        <v>2290</v>
      </c>
      <c r="C8039" t="s">
        <v>10861</v>
      </c>
      <c r="D8039" t="s">
        <v>18090</v>
      </c>
      <c r="E8039" t="s">
        <v>25169</v>
      </c>
      <c r="F8039" t="s">
        <v>31574</v>
      </c>
      <c r="G8039" t="s">
        <v>31582</v>
      </c>
      <c r="H8039" t="s">
        <v>31591</v>
      </c>
      <c r="I8039" t="s">
        <v>8822</v>
      </c>
      <c r="J8039" t="s">
        <v>36824</v>
      </c>
      <c r="K8039" t="s">
        <v>41189</v>
      </c>
      <c r="M8039" t="s">
        <v>43999</v>
      </c>
      <c r="N8039" t="s">
        <v>45095</v>
      </c>
      <c r="O8039" t="s">
        <v>45096</v>
      </c>
      <c r="P8039">
        <v>0</v>
      </c>
      <c r="Q8039">
        <v>7</v>
      </c>
      <c r="R8039" t="s">
        <v>45103</v>
      </c>
      <c r="S8039" t="s">
        <v>45270</v>
      </c>
      <c r="T8039" t="s">
        <v>46992</v>
      </c>
      <c r="U8039" t="s">
        <v>54148</v>
      </c>
      <c r="W8039" t="s">
        <v>43999</v>
      </c>
      <c r="X8039" t="s">
        <v>45104</v>
      </c>
    </row>
    <row r="8040" spans="1:24">
      <c r="A8040">
        <f>HYPERLINK("https://www.philgeps.gov.ph/GEPSNONPILOT/Tender/SplashBidNoticeAbstractUI.aspx?menuIndex=3&amp;refID=7037879&amp;Result=3","7037879")</f>
        <v>0</v>
      </c>
      <c r="B8040" t="s">
        <v>2290</v>
      </c>
      <c r="C8040" t="s">
        <v>10862</v>
      </c>
      <c r="D8040" t="s">
        <v>18090</v>
      </c>
      <c r="E8040" t="s">
        <v>25170</v>
      </c>
      <c r="F8040" t="s">
        <v>31574</v>
      </c>
      <c r="G8040" t="s">
        <v>31582</v>
      </c>
      <c r="H8040" t="s">
        <v>31591</v>
      </c>
      <c r="I8040" t="s">
        <v>8822</v>
      </c>
      <c r="J8040" t="s">
        <v>36825</v>
      </c>
      <c r="K8040" t="s">
        <v>41192</v>
      </c>
      <c r="M8040" t="s">
        <v>43999</v>
      </c>
      <c r="N8040" t="s">
        <v>45095</v>
      </c>
      <c r="O8040" t="s">
        <v>45096</v>
      </c>
      <c r="P8040">
        <v>0</v>
      </c>
      <c r="Q8040">
        <v>7</v>
      </c>
      <c r="R8040" t="s">
        <v>45103</v>
      </c>
      <c r="S8040" t="s">
        <v>45270</v>
      </c>
      <c r="T8040" t="s">
        <v>46992</v>
      </c>
      <c r="U8040" t="s">
        <v>54149</v>
      </c>
      <c r="W8040" t="s">
        <v>43999</v>
      </c>
      <c r="X8040" t="s">
        <v>45104</v>
      </c>
    </row>
    <row r="8041" spans="1:24">
      <c r="A8041">
        <f>HYPERLINK("https://www.philgeps.gov.ph/GEPSNONPILOT/Tender/SplashBidNoticeAbstractUI.aspx?menuIndex=3&amp;refID=7037865&amp;Result=3","7037865")</f>
        <v>0</v>
      </c>
      <c r="B8041" t="s">
        <v>2305</v>
      </c>
      <c r="C8041" t="s">
        <v>3262</v>
      </c>
      <c r="D8041" t="s">
        <v>18062</v>
      </c>
      <c r="E8041" t="s">
        <v>18705</v>
      </c>
      <c r="F8041" t="s">
        <v>31574</v>
      </c>
      <c r="G8041" t="s">
        <v>31582</v>
      </c>
      <c r="H8041" t="s">
        <v>31590</v>
      </c>
      <c r="I8041" t="s">
        <v>4046</v>
      </c>
      <c r="J8041" t="s">
        <v>31789</v>
      </c>
      <c r="K8041" t="s">
        <v>41193</v>
      </c>
      <c r="M8041" t="s">
        <v>44015</v>
      </c>
      <c r="N8041" t="s">
        <v>45095</v>
      </c>
      <c r="O8041" t="s">
        <v>45096</v>
      </c>
      <c r="P8041">
        <v>0</v>
      </c>
      <c r="Q8041">
        <v>3</v>
      </c>
      <c r="R8041" t="s">
        <v>45103</v>
      </c>
      <c r="S8041" t="s">
        <v>45270</v>
      </c>
      <c r="T8041" t="s">
        <v>46969</v>
      </c>
      <c r="U8041" t="s">
        <v>54142</v>
      </c>
      <c r="W8041" t="s">
        <v>44015</v>
      </c>
      <c r="X8041" t="s">
        <v>45104</v>
      </c>
    </row>
    <row r="8042" spans="1:24">
      <c r="A8042">
        <f>HYPERLINK("https://www.philgeps.gov.ph/GEPSNONPILOT/Tender/SplashBidNoticeAbstractUI.aspx?menuIndex=3&amp;refID=7037860&amp;Result=3","7037860")</f>
        <v>0</v>
      </c>
      <c r="B8042" t="s">
        <v>2306</v>
      </c>
      <c r="C8042" t="s">
        <v>6507</v>
      </c>
      <c r="D8042" t="s">
        <v>18035</v>
      </c>
      <c r="E8042" t="s">
        <v>18705</v>
      </c>
      <c r="F8042" t="s">
        <v>31574</v>
      </c>
      <c r="G8042" t="s">
        <v>31582</v>
      </c>
      <c r="H8042" t="s">
        <v>31590</v>
      </c>
      <c r="I8042" t="s">
        <v>7162</v>
      </c>
      <c r="J8042" t="s">
        <v>34355</v>
      </c>
      <c r="K8042" t="s">
        <v>41193</v>
      </c>
      <c r="M8042" t="s">
        <v>44016</v>
      </c>
      <c r="N8042" t="s">
        <v>45095</v>
      </c>
      <c r="O8042" t="s">
        <v>45096</v>
      </c>
      <c r="P8042">
        <v>0</v>
      </c>
      <c r="Q8042">
        <v>4</v>
      </c>
      <c r="R8042" t="s">
        <v>45103</v>
      </c>
      <c r="S8042" t="s">
        <v>45270</v>
      </c>
      <c r="T8042" t="s">
        <v>46969</v>
      </c>
      <c r="U8042" t="s">
        <v>54142</v>
      </c>
      <c r="W8042" t="s">
        <v>44016</v>
      </c>
      <c r="X8042" t="s">
        <v>45104</v>
      </c>
    </row>
    <row r="8043" spans="1:24">
      <c r="A8043">
        <f>HYPERLINK("https://www.philgeps.gov.ph/GEPSNONPILOT/Tender/SplashBidNoticeAbstractUI.aspx?menuIndex=3&amp;refID=7037884&amp;Result=3","7037884")</f>
        <v>0</v>
      </c>
      <c r="B8043" t="s">
        <v>2304</v>
      </c>
      <c r="C8043" t="s">
        <v>10863</v>
      </c>
      <c r="D8043" t="s">
        <v>18052</v>
      </c>
      <c r="E8043" t="s">
        <v>25171</v>
      </c>
      <c r="F8043" t="s">
        <v>31574</v>
      </c>
      <c r="G8043" t="s">
        <v>31582</v>
      </c>
      <c r="H8043" t="s">
        <v>31591</v>
      </c>
      <c r="I8043" t="s">
        <v>8822</v>
      </c>
      <c r="J8043" t="s">
        <v>32076</v>
      </c>
      <c r="K8043" t="s">
        <v>41189</v>
      </c>
      <c r="M8043" t="s">
        <v>44014</v>
      </c>
      <c r="N8043" t="s">
        <v>45095</v>
      </c>
      <c r="O8043" t="s">
        <v>45096</v>
      </c>
      <c r="P8043">
        <v>0</v>
      </c>
      <c r="Q8043">
        <v>0</v>
      </c>
      <c r="R8043" t="s">
        <v>45103</v>
      </c>
      <c r="S8043" t="s">
        <v>45270</v>
      </c>
      <c r="T8043" t="s">
        <v>47067</v>
      </c>
      <c r="U8043" t="s">
        <v>54150</v>
      </c>
      <c r="W8043" t="s">
        <v>44014</v>
      </c>
      <c r="X8043" t="s">
        <v>45104</v>
      </c>
    </row>
    <row r="8044" spans="1:24">
      <c r="A8044">
        <f>HYPERLINK("https://www.philgeps.gov.ph/GEPSNONPILOT/Tender/SplashBidNoticeAbstractUI.aspx?menuIndex=3&amp;refID=7037852&amp;Result=3","7037852")</f>
        <v>0</v>
      </c>
      <c r="B8044" t="s">
        <v>2299</v>
      </c>
      <c r="C8044" t="s">
        <v>10864</v>
      </c>
      <c r="D8044" t="s">
        <v>18088</v>
      </c>
      <c r="E8044" t="s">
        <v>18629</v>
      </c>
      <c r="F8044" t="s">
        <v>31574</v>
      </c>
      <c r="G8044" t="s">
        <v>31582</v>
      </c>
      <c r="H8044" t="s">
        <v>31591</v>
      </c>
      <c r="I8044" t="s">
        <v>8822</v>
      </c>
      <c r="J8044" t="s">
        <v>36826</v>
      </c>
      <c r="K8044" t="s">
        <v>41200</v>
      </c>
      <c r="M8044" t="s">
        <v>44008</v>
      </c>
      <c r="N8044" t="s">
        <v>45095</v>
      </c>
      <c r="O8044" t="s">
        <v>45096</v>
      </c>
      <c r="P8044">
        <v>0</v>
      </c>
      <c r="Q8044">
        <v>0</v>
      </c>
      <c r="R8044" t="s">
        <v>45103</v>
      </c>
      <c r="S8044" t="s">
        <v>45270</v>
      </c>
      <c r="T8044" t="s">
        <v>46936</v>
      </c>
      <c r="U8044" t="s">
        <v>54151</v>
      </c>
      <c r="V8044" t="s">
        <v>60701</v>
      </c>
      <c r="W8044" t="s">
        <v>44008</v>
      </c>
      <c r="X8044" t="s">
        <v>45104</v>
      </c>
    </row>
    <row r="8045" spans="1:24">
      <c r="A8045">
        <f>HYPERLINK("https://www.philgeps.gov.ph/GEPSNONPILOT/Tender/SplashBidNoticeAbstractUI.aspx?menuIndex=3&amp;refID=7037877&amp;Result=3","7037877")</f>
        <v>0</v>
      </c>
      <c r="B8045" t="s">
        <v>2304</v>
      </c>
      <c r="C8045" t="s">
        <v>10865</v>
      </c>
      <c r="D8045" t="s">
        <v>18052</v>
      </c>
      <c r="E8045" t="s">
        <v>25172</v>
      </c>
      <c r="F8045" t="s">
        <v>31574</v>
      </c>
      <c r="G8045" t="s">
        <v>31582</v>
      </c>
      <c r="H8045" t="s">
        <v>31591</v>
      </c>
      <c r="I8045" t="s">
        <v>8822</v>
      </c>
      <c r="J8045" t="s">
        <v>31947</v>
      </c>
      <c r="K8045" t="s">
        <v>41185</v>
      </c>
      <c r="M8045" t="s">
        <v>44014</v>
      </c>
      <c r="N8045" t="s">
        <v>45095</v>
      </c>
      <c r="O8045" t="s">
        <v>45096</v>
      </c>
      <c r="P8045">
        <v>0</v>
      </c>
      <c r="Q8045">
        <v>0</v>
      </c>
      <c r="R8045" t="s">
        <v>45103</v>
      </c>
      <c r="S8045" t="s">
        <v>45270</v>
      </c>
      <c r="T8045" t="s">
        <v>47067</v>
      </c>
      <c r="U8045" t="s">
        <v>54152</v>
      </c>
      <c r="W8045" t="s">
        <v>44014</v>
      </c>
      <c r="X8045" t="s">
        <v>45104</v>
      </c>
    </row>
    <row r="8046" spans="1:24">
      <c r="A8046">
        <f>HYPERLINK("https://www.philgeps.gov.ph/GEPSNONPILOT/Tender/SplashBidNoticeAbstractUI.aspx?menuIndex=3&amp;refID=7037901&amp;Result=3","7037901")</f>
        <v>0</v>
      </c>
      <c r="B8046" t="s">
        <v>1140</v>
      </c>
      <c r="C8046" t="s">
        <v>10866</v>
      </c>
      <c r="D8046" t="s">
        <v>18055</v>
      </c>
      <c r="E8046" t="s">
        <v>25173</v>
      </c>
      <c r="F8046" t="s">
        <v>31574</v>
      </c>
      <c r="G8046" t="s">
        <v>31581</v>
      </c>
      <c r="H8046" t="s">
        <v>31593</v>
      </c>
      <c r="I8046" t="s">
        <v>3489</v>
      </c>
      <c r="J8046" t="s">
        <v>36827</v>
      </c>
      <c r="K8046" t="s">
        <v>41186</v>
      </c>
      <c r="M8046" t="s">
        <v>42692</v>
      </c>
      <c r="N8046" t="s">
        <v>45095</v>
      </c>
      <c r="O8046" t="s">
        <v>45096</v>
      </c>
      <c r="P8046">
        <v>0</v>
      </c>
      <c r="Q8046">
        <v>0</v>
      </c>
      <c r="R8046" t="s">
        <v>45103</v>
      </c>
      <c r="S8046" t="s">
        <v>45270</v>
      </c>
      <c r="T8046" t="s">
        <v>47159</v>
      </c>
      <c r="U8046" t="s">
        <v>54153</v>
      </c>
      <c r="W8046" t="s">
        <v>42692</v>
      </c>
      <c r="X8046" t="s">
        <v>45104</v>
      </c>
    </row>
    <row r="8047" spans="1:24">
      <c r="A8047">
        <f>HYPERLINK("https://www.philgeps.gov.ph/GEPSNONPILOT/Tender/SplashBidNoticeAbstractUI.aspx?menuIndex=3&amp;refID=7037882&amp;Result=3","7037882")</f>
        <v>0</v>
      </c>
      <c r="B8047" t="s">
        <v>1126</v>
      </c>
      <c r="C8047" t="s">
        <v>10867</v>
      </c>
      <c r="D8047" t="s">
        <v>18058</v>
      </c>
      <c r="E8047" t="s">
        <v>25174</v>
      </c>
      <c r="F8047" t="s">
        <v>31574</v>
      </c>
      <c r="G8047" t="s">
        <v>31582</v>
      </c>
      <c r="H8047" t="s">
        <v>31590</v>
      </c>
      <c r="I8047" t="s">
        <v>3487</v>
      </c>
      <c r="J8047" t="s">
        <v>36828</v>
      </c>
      <c r="K8047" t="s">
        <v>41192</v>
      </c>
      <c r="M8047" t="s">
        <v>43588</v>
      </c>
      <c r="N8047" t="s">
        <v>45095</v>
      </c>
      <c r="O8047" t="s">
        <v>45096</v>
      </c>
      <c r="P8047">
        <v>0</v>
      </c>
      <c r="Q8047">
        <v>1</v>
      </c>
      <c r="R8047" t="s">
        <v>45103</v>
      </c>
      <c r="S8047" t="s">
        <v>45270</v>
      </c>
      <c r="T8047" t="s">
        <v>47093</v>
      </c>
      <c r="U8047" t="s">
        <v>54154</v>
      </c>
      <c r="W8047" t="s">
        <v>43588</v>
      </c>
      <c r="X8047" t="s">
        <v>45104</v>
      </c>
    </row>
    <row r="8048" spans="1:24">
      <c r="A8048">
        <f>HYPERLINK("https://www.philgeps.gov.ph/GEPSNONPILOT/Tender/SplashBidNoticeAbstractUI.aspx?menuIndex=3&amp;refID=7037895&amp;Result=3","7037895")</f>
        <v>0</v>
      </c>
      <c r="B8048" t="s">
        <v>2307</v>
      </c>
      <c r="C8048" t="s">
        <v>10868</v>
      </c>
      <c r="D8048" t="s">
        <v>18056</v>
      </c>
      <c r="E8048" t="s">
        <v>25175</v>
      </c>
      <c r="F8048" t="s">
        <v>31574</v>
      </c>
      <c r="G8048" t="s">
        <v>31581</v>
      </c>
      <c r="H8048" t="s">
        <v>31591</v>
      </c>
      <c r="I8048" t="s">
        <v>31638</v>
      </c>
      <c r="J8048" t="s">
        <v>36829</v>
      </c>
      <c r="K8048" t="s">
        <v>41185</v>
      </c>
      <c r="M8048" t="s">
        <v>44017</v>
      </c>
      <c r="N8048" t="s">
        <v>45095</v>
      </c>
      <c r="O8048" t="s">
        <v>45096</v>
      </c>
      <c r="P8048">
        <v>0</v>
      </c>
      <c r="Q8048">
        <v>1</v>
      </c>
      <c r="R8048" t="s">
        <v>45103</v>
      </c>
      <c r="S8048" t="s">
        <v>45270</v>
      </c>
      <c r="T8048" t="s">
        <v>47154</v>
      </c>
      <c r="U8048" t="s">
        <v>54155</v>
      </c>
      <c r="W8048" t="s">
        <v>44017</v>
      </c>
      <c r="X8048" t="s">
        <v>45104</v>
      </c>
    </row>
    <row r="8049" spans="1:24">
      <c r="A8049">
        <f>HYPERLINK("https://www.philgeps.gov.ph/GEPSNONPILOT/Tender/SplashBidNoticeAbstractUI.aspx?menuIndex=3&amp;refID=7037893&amp;Result=3","7037893")</f>
        <v>0</v>
      </c>
      <c r="B8049" t="s">
        <v>59</v>
      </c>
      <c r="C8049" t="s">
        <v>10869</v>
      </c>
      <c r="D8049" t="s">
        <v>18048</v>
      </c>
      <c r="E8049" t="s">
        <v>25176</v>
      </c>
      <c r="F8049" t="s">
        <v>31574</v>
      </c>
      <c r="G8049" t="s">
        <v>31583</v>
      </c>
      <c r="H8049" t="s">
        <v>31590</v>
      </c>
      <c r="I8049" t="s">
        <v>14544</v>
      </c>
      <c r="J8049" t="s">
        <v>34914</v>
      </c>
      <c r="K8049" t="s">
        <v>41186</v>
      </c>
      <c r="M8049" t="s">
        <v>41543</v>
      </c>
      <c r="N8049" t="s">
        <v>45095</v>
      </c>
      <c r="O8049" t="s">
        <v>45096</v>
      </c>
      <c r="P8049">
        <v>0</v>
      </c>
      <c r="Q8049">
        <v>0</v>
      </c>
      <c r="R8049" t="s">
        <v>45103</v>
      </c>
      <c r="S8049" t="s">
        <v>45270</v>
      </c>
      <c r="T8049" t="s">
        <v>47050</v>
      </c>
      <c r="U8049" t="s">
        <v>54156</v>
      </c>
      <c r="V8049" t="s">
        <v>59856</v>
      </c>
      <c r="W8049" t="s">
        <v>41543</v>
      </c>
      <c r="X8049" t="s">
        <v>45104</v>
      </c>
    </row>
    <row r="8050" spans="1:24">
      <c r="A8050">
        <f>HYPERLINK("https://www.philgeps.gov.ph/GEPSNONPILOT/Tender/SplashBidNoticeAbstractUI.aspx?menuIndex=3&amp;refID=7037888&amp;Result=3","7037888")</f>
        <v>0</v>
      </c>
      <c r="B8050" t="s">
        <v>265</v>
      </c>
      <c r="C8050" t="s">
        <v>10870</v>
      </c>
      <c r="D8050" t="s">
        <v>18024</v>
      </c>
      <c r="E8050" t="s">
        <v>25177</v>
      </c>
      <c r="F8050" t="s">
        <v>31574</v>
      </c>
      <c r="G8050" t="s">
        <v>31583</v>
      </c>
      <c r="H8050" t="s">
        <v>31590</v>
      </c>
      <c r="I8050" t="s">
        <v>6800</v>
      </c>
      <c r="J8050" t="s">
        <v>36830</v>
      </c>
      <c r="K8050" t="s">
        <v>41184</v>
      </c>
      <c r="M8050" t="s">
        <v>41751</v>
      </c>
      <c r="N8050" t="s">
        <v>45095</v>
      </c>
      <c r="O8050" t="s">
        <v>45096</v>
      </c>
      <c r="P8050">
        <v>0</v>
      </c>
      <c r="Q8050">
        <v>4</v>
      </c>
      <c r="R8050" t="s">
        <v>45103</v>
      </c>
      <c r="S8050" t="s">
        <v>45270</v>
      </c>
      <c r="T8050" t="s">
        <v>46969</v>
      </c>
      <c r="U8050" t="s">
        <v>54157</v>
      </c>
      <c r="W8050" t="s">
        <v>41751</v>
      </c>
      <c r="X8050" t="s">
        <v>45104</v>
      </c>
    </row>
    <row r="8051" spans="1:24">
      <c r="A8051">
        <f>HYPERLINK("https://www.philgeps.gov.ph/GEPSNONPILOT/Tender/SplashBidNoticeAbstractUI.aspx?menuIndex=3&amp;refID=7037904&amp;Result=3","7037904")</f>
        <v>0</v>
      </c>
      <c r="B8051" t="s">
        <v>2308</v>
      </c>
      <c r="C8051" t="s">
        <v>10871</v>
      </c>
      <c r="D8051" t="s">
        <v>18096</v>
      </c>
      <c r="E8051" t="s">
        <v>25178</v>
      </c>
      <c r="F8051" t="s">
        <v>31574</v>
      </c>
      <c r="G8051" t="s">
        <v>31582</v>
      </c>
      <c r="H8051" t="s">
        <v>31591</v>
      </c>
      <c r="I8051" t="s">
        <v>8822</v>
      </c>
      <c r="J8051" t="s">
        <v>36831</v>
      </c>
      <c r="K8051" t="s">
        <v>41334</v>
      </c>
      <c r="M8051" t="s">
        <v>44018</v>
      </c>
      <c r="N8051" t="s">
        <v>45095</v>
      </c>
      <c r="O8051" t="s">
        <v>45096</v>
      </c>
      <c r="P8051">
        <v>0</v>
      </c>
      <c r="Q8051">
        <v>0</v>
      </c>
      <c r="R8051" t="s">
        <v>45103</v>
      </c>
      <c r="S8051" t="s">
        <v>45270</v>
      </c>
      <c r="T8051" t="s">
        <v>47000</v>
      </c>
      <c r="U8051" t="s">
        <v>54158</v>
      </c>
      <c r="W8051" t="s">
        <v>44018</v>
      </c>
      <c r="X8051" t="s">
        <v>45104</v>
      </c>
    </row>
    <row r="8052" spans="1:24">
      <c r="A8052">
        <f>HYPERLINK("https://www.philgeps.gov.ph/GEPSNONPILOT/Tender/SplashBidNoticeAbstractUI.aspx?menuIndex=3&amp;refID=7037902&amp;Result=3","7037902")</f>
        <v>0</v>
      </c>
      <c r="B8052" t="s">
        <v>2301</v>
      </c>
      <c r="C8052" t="s">
        <v>10872</v>
      </c>
      <c r="E8052" t="s">
        <v>18377</v>
      </c>
      <c r="F8052" t="s">
        <v>31574</v>
      </c>
      <c r="G8052" t="s">
        <v>31582</v>
      </c>
      <c r="H8052" t="s">
        <v>31590</v>
      </c>
      <c r="I8052" t="s">
        <v>3489</v>
      </c>
      <c r="J8052" t="s">
        <v>32375</v>
      </c>
      <c r="K8052" t="s">
        <v>41184</v>
      </c>
      <c r="M8052" t="s">
        <v>44011</v>
      </c>
      <c r="N8052" t="s">
        <v>45095</v>
      </c>
      <c r="O8052" t="s">
        <v>45096</v>
      </c>
      <c r="P8052">
        <v>0</v>
      </c>
      <c r="Q8052">
        <v>2</v>
      </c>
      <c r="R8052" t="s">
        <v>45103</v>
      </c>
      <c r="S8052" t="s">
        <v>45270</v>
      </c>
      <c r="T8052" t="s">
        <v>46985</v>
      </c>
      <c r="U8052" t="s">
        <v>54159</v>
      </c>
      <c r="W8052" t="s">
        <v>44011</v>
      </c>
      <c r="X8052" t="s">
        <v>45104</v>
      </c>
    </row>
    <row r="8053" spans="1:24">
      <c r="A8053">
        <f>HYPERLINK("https://www.philgeps.gov.ph/GEPSNONPILOT/Tender/SplashBidNoticeAbstractUI.aspx?menuIndex=3&amp;refID=7037875&amp;Result=3","7037875")</f>
        <v>0</v>
      </c>
      <c r="B8053" t="s">
        <v>704</v>
      </c>
      <c r="C8053" t="s">
        <v>10873</v>
      </c>
      <c r="E8053" t="s">
        <v>25179</v>
      </c>
      <c r="F8053" t="s">
        <v>31574</v>
      </c>
      <c r="G8053" t="s">
        <v>31582</v>
      </c>
      <c r="H8053" t="s">
        <v>31590</v>
      </c>
      <c r="I8053" t="s">
        <v>31602</v>
      </c>
      <c r="J8053" t="s">
        <v>36832</v>
      </c>
      <c r="K8053" t="s">
        <v>41189</v>
      </c>
      <c r="M8053" t="s">
        <v>42213</v>
      </c>
      <c r="N8053" t="s">
        <v>45095</v>
      </c>
      <c r="O8053" t="s">
        <v>45096</v>
      </c>
      <c r="P8053">
        <v>0</v>
      </c>
      <c r="Q8053">
        <v>0</v>
      </c>
      <c r="R8053" t="s">
        <v>45103</v>
      </c>
      <c r="S8053" t="s">
        <v>45270</v>
      </c>
      <c r="T8053" t="s">
        <v>46965</v>
      </c>
      <c r="U8053" t="s">
        <v>54160</v>
      </c>
      <c r="W8053" t="s">
        <v>42213</v>
      </c>
      <c r="X8053" t="s">
        <v>45104</v>
      </c>
    </row>
    <row r="8054" spans="1:24">
      <c r="A8054">
        <f>HYPERLINK("https://www.philgeps.gov.ph/GEPSNONPILOT/Tender/SplashBidNoticeAbstractUI.aspx?menuIndex=3&amp;refID=7037885&amp;Result=3","7037885")</f>
        <v>0</v>
      </c>
      <c r="B8054" t="s">
        <v>2290</v>
      </c>
      <c r="C8054" t="s">
        <v>10874</v>
      </c>
      <c r="D8054" t="s">
        <v>18090</v>
      </c>
      <c r="E8054" t="s">
        <v>25180</v>
      </c>
      <c r="F8054" t="s">
        <v>31574</v>
      </c>
      <c r="G8054" t="s">
        <v>31582</v>
      </c>
      <c r="H8054" t="s">
        <v>31591</v>
      </c>
      <c r="I8054" t="s">
        <v>8822</v>
      </c>
      <c r="J8054" t="s">
        <v>36833</v>
      </c>
      <c r="K8054" t="s">
        <v>41185</v>
      </c>
      <c r="M8054" t="s">
        <v>43999</v>
      </c>
      <c r="N8054" t="s">
        <v>45095</v>
      </c>
      <c r="O8054" t="s">
        <v>45096</v>
      </c>
      <c r="P8054">
        <v>0</v>
      </c>
      <c r="Q8054">
        <v>9</v>
      </c>
      <c r="R8054" t="s">
        <v>45103</v>
      </c>
      <c r="S8054" t="s">
        <v>45270</v>
      </c>
      <c r="T8054" t="s">
        <v>46992</v>
      </c>
      <c r="U8054" t="s">
        <v>54161</v>
      </c>
      <c r="W8054" t="s">
        <v>43999</v>
      </c>
      <c r="X8054" t="s">
        <v>45104</v>
      </c>
    </row>
    <row r="8055" spans="1:24">
      <c r="A8055">
        <f>HYPERLINK("https://www.philgeps.gov.ph/GEPSNONPILOT/Tender/SplashBidNoticeAbstractUI.aspx?menuIndex=3&amp;refID=7037910&amp;Result=3","7037910")</f>
        <v>0</v>
      </c>
      <c r="B8055" t="s">
        <v>2309</v>
      </c>
      <c r="C8055" t="s">
        <v>10875</v>
      </c>
      <c r="D8055" t="s">
        <v>18039</v>
      </c>
      <c r="E8055" t="s">
        <v>25181</v>
      </c>
      <c r="F8055" t="s">
        <v>31574</v>
      </c>
      <c r="G8055" t="s">
        <v>31582</v>
      </c>
      <c r="H8055" t="s">
        <v>31591</v>
      </c>
      <c r="I8055" t="s">
        <v>8822</v>
      </c>
      <c r="J8055" t="s">
        <v>36834</v>
      </c>
      <c r="K8055" t="s">
        <v>41213</v>
      </c>
      <c r="M8055" t="s">
        <v>44019</v>
      </c>
      <c r="N8055" t="s">
        <v>45095</v>
      </c>
      <c r="O8055" t="s">
        <v>45096</v>
      </c>
      <c r="P8055">
        <v>0</v>
      </c>
      <c r="Q8055">
        <v>0</v>
      </c>
      <c r="R8055" t="s">
        <v>45103</v>
      </c>
      <c r="S8055" t="s">
        <v>45270</v>
      </c>
      <c r="T8055" t="s">
        <v>47276</v>
      </c>
      <c r="U8055" t="s">
        <v>54162</v>
      </c>
      <c r="W8055" t="s">
        <v>44019</v>
      </c>
      <c r="X8055" t="s">
        <v>45104</v>
      </c>
    </row>
    <row r="8056" spans="1:24">
      <c r="A8056">
        <f>HYPERLINK("https://www.philgeps.gov.ph/GEPSNONPILOT/Tender/SplashBidNoticeAbstractUI.aspx?menuIndex=3&amp;refID=7037894&amp;Result=3","7037894")</f>
        <v>0</v>
      </c>
      <c r="B8056" t="s">
        <v>2308</v>
      </c>
      <c r="C8056" t="s">
        <v>10876</v>
      </c>
      <c r="D8056" t="s">
        <v>18096</v>
      </c>
      <c r="E8056" t="s">
        <v>25182</v>
      </c>
      <c r="F8056" t="s">
        <v>31574</v>
      </c>
      <c r="G8056" t="s">
        <v>31582</v>
      </c>
      <c r="H8056" t="s">
        <v>31591</v>
      </c>
      <c r="I8056" t="s">
        <v>8822</v>
      </c>
      <c r="J8056" t="s">
        <v>36835</v>
      </c>
      <c r="K8056" t="s">
        <v>41338</v>
      </c>
      <c r="M8056" t="s">
        <v>44018</v>
      </c>
      <c r="N8056" t="s">
        <v>45095</v>
      </c>
      <c r="O8056" t="s">
        <v>45096</v>
      </c>
      <c r="P8056">
        <v>0</v>
      </c>
      <c r="Q8056">
        <v>1</v>
      </c>
      <c r="R8056" t="s">
        <v>45103</v>
      </c>
      <c r="S8056" t="s">
        <v>45270</v>
      </c>
      <c r="T8056" t="s">
        <v>47000</v>
      </c>
      <c r="U8056" t="s">
        <v>54158</v>
      </c>
      <c r="W8056" t="s">
        <v>44018</v>
      </c>
      <c r="X8056" t="s">
        <v>45104</v>
      </c>
    </row>
    <row r="8057" spans="1:24">
      <c r="A8057">
        <f>HYPERLINK("https://www.philgeps.gov.ph/GEPSNONPILOT/Tender/SplashBidNoticeAbstractUI.aspx?menuIndex=3&amp;refID=7037911&amp;Result=3","7037911")</f>
        <v>0</v>
      </c>
      <c r="B8057" t="s">
        <v>1213</v>
      </c>
      <c r="C8057" t="s">
        <v>10877</v>
      </c>
      <c r="D8057" t="s">
        <v>18066</v>
      </c>
      <c r="E8057" t="s">
        <v>25183</v>
      </c>
      <c r="F8057" t="s">
        <v>31574</v>
      </c>
      <c r="G8057" t="s">
        <v>31582</v>
      </c>
      <c r="H8057" t="s">
        <v>31591</v>
      </c>
      <c r="I8057" t="s">
        <v>8822</v>
      </c>
      <c r="J8057" t="s">
        <v>36836</v>
      </c>
      <c r="K8057" t="s">
        <v>41186</v>
      </c>
      <c r="M8057" t="s">
        <v>42774</v>
      </c>
      <c r="N8057" t="s">
        <v>45095</v>
      </c>
      <c r="O8057" t="s">
        <v>45096</v>
      </c>
      <c r="P8057">
        <v>0</v>
      </c>
      <c r="Q8057">
        <v>2</v>
      </c>
      <c r="R8057" t="s">
        <v>45103</v>
      </c>
      <c r="S8057" t="s">
        <v>45270</v>
      </c>
      <c r="T8057" t="s">
        <v>47000</v>
      </c>
      <c r="U8057" t="s">
        <v>54163</v>
      </c>
      <c r="W8057" t="s">
        <v>42774</v>
      </c>
      <c r="X8057" t="s">
        <v>45104</v>
      </c>
    </row>
    <row r="8058" spans="1:24">
      <c r="A8058">
        <f>HYPERLINK("https://www.philgeps.gov.ph/GEPSNONPILOT/Tender/SplashBidNoticeAbstractUI.aspx?menuIndex=3&amp;refID=7037907&amp;Result=3","7037907")</f>
        <v>0</v>
      </c>
      <c r="B8058" t="s">
        <v>1213</v>
      </c>
      <c r="C8058" t="s">
        <v>10878</v>
      </c>
      <c r="D8058" t="s">
        <v>18066</v>
      </c>
      <c r="E8058" t="s">
        <v>25184</v>
      </c>
      <c r="F8058" t="s">
        <v>31574</v>
      </c>
      <c r="G8058" t="s">
        <v>31582</v>
      </c>
      <c r="H8058" t="s">
        <v>31591</v>
      </c>
      <c r="I8058" t="s">
        <v>8822</v>
      </c>
      <c r="J8058" t="s">
        <v>36837</v>
      </c>
      <c r="K8058" t="s">
        <v>41186</v>
      </c>
      <c r="M8058" t="s">
        <v>42774</v>
      </c>
      <c r="N8058" t="s">
        <v>45095</v>
      </c>
      <c r="O8058" t="s">
        <v>45096</v>
      </c>
      <c r="P8058">
        <v>0</v>
      </c>
      <c r="Q8058">
        <v>2</v>
      </c>
      <c r="R8058" t="s">
        <v>45103</v>
      </c>
      <c r="S8058" t="s">
        <v>45270</v>
      </c>
      <c r="T8058" t="s">
        <v>47000</v>
      </c>
      <c r="U8058" t="s">
        <v>54164</v>
      </c>
      <c r="W8058" t="s">
        <v>42774</v>
      </c>
      <c r="X8058" t="s">
        <v>45104</v>
      </c>
    </row>
    <row r="8059" spans="1:24">
      <c r="A8059">
        <f>HYPERLINK("https://www.philgeps.gov.ph/GEPSNONPILOT/Tender/SplashBidNoticeAbstractUI.aspx?menuIndex=3&amp;refID=7037909&amp;Result=3","7037909")</f>
        <v>0</v>
      </c>
      <c r="B8059" t="s">
        <v>2308</v>
      </c>
      <c r="C8059" t="s">
        <v>10879</v>
      </c>
      <c r="D8059" t="s">
        <v>18096</v>
      </c>
      <c r="E8059" t="s">
        <v>25185</v>
      </c>
      <c r="F8059" t="s">
        <v>31574</v>
      </c>
      <c r="G8059" t="s">
        <v>31582</v>
      </c>
      <c r="H8059" t="s">
        <v>31591</v>
      </c>
      <c r="I8059" t="s">
        <v>8822</v>
      </c>
      <c r="J8059" t="s">
        <v>36838</v>
      </c>
      <c r="K8059" t="s">
        <v>41334</v>
      </c>
      <c r="M8059" t="s">
        <v>44018</v>
      </c>
      <c r="N8059" t="s">
        <v>45095</v>
      </c>
      <c r="O8059" t="s">
        <v>45096</v>
      </c>
      <c r="P8059">
        <v>0</v>
      </c>
      <c r="Q8059">
        <v>0</v>
      </c>
      <c r="R8059" t="s">
        <v>45103</v>
      </c>
      <c r="S8059" t="s">
        <v>45270</v>
      </c>
      <c r="T8059" t="s">
        <v>47000</v>
      </c>
      <c r="U8059" t="s">
        <v>54158</v>
      </c>
      <c r="W8059" t="s">
        <v>44018</v>
      </c>
      <c r="X8059" t="s">
        <v>45104</v>
      </c>
    </row>
    <row r="8060" spans="1:24">
      <c r="A8060">
        <f>HYPERLINK("https://www.philgeps.gov.ph/GEPSNONPILOT/Tender/SplashBidNoticeAbstractUI.aspx?menuIndex=3&amp;refID=7037913&amp;Result=3","7037913")</f>
        <v>0</v>
      </c>
      <c r="B8060" t="s">
        <v>835</v>
      </c>
      <c r="C8060" t="s">
        <v>10880</v>
      </c>
      <c r="D8060" t="s">
        <v>18030</v>
      </c>
      <c r="E8060" t="s">
        <v>25186</v>
      </c>
      <c r="F8060" t="s">
        <v>31575</v>
      </c>
      <c r="G8060" t="s">
        <v>31581</v>
      </c>
      <c r="H8060" t="s">
        <v>31590</v>
      </c>
      <c r="I8060" t="s">
        <v>31595</v>
      </c>
      <c r="J8060" t="s">
        <v>31842</v>
      </c>
      <c r="K8060" t="s">
        <v>41197</v>
      </c>
      <c r="M8060" t="s">
        <v>43651</v>
      </c>
      <c r="N8060" t="s">
        <v>45095</v>
      </c>
      <c r="O8060" t="s">
        <v>45096</v>
      </c>
      <c r="P8060">
        <v>0</v>
      </c>
      <c r="Q8060">
        <v>4</v>
      </c>
      <c r="R8060" t="s">
        <v>45103</v>
      </c>
      <c r="S8060" t="s">
        <v>45270</v>
      </c>
      <c r="T8060" t="s">
        <v>47124</v>
      </c>
      <c r="U8060" t="s">
        <v>52903</v>
      </c>
      <c r="V8060" t="s">
        <v>60702</v>
      </c>
      <c r="W8060" t="s">
        <v>43651</v>
      </c>
      <c r="X8060" t="s">
        <v>45104</v>
      </c>
    </row>
    <row r="8061" spans="1:24">
      <c r="A8061">
        <f>HYPERLINK("https://www.philgeps.gov.ph/GEPSNONPILOT/Tender/SplashBidNoticeAbstractUI.aspx?menuIndex=3&amp;refID=7037899&amp;Result=3","7037899")</f>
        <v>0</v>
      </c>
      <c r="B8061" t="s">
        <v>1126</v>
      </c>
      <c r="C8061" t="s">
        <v>10881</v>
      </c>
      <c r="D8061" t="s">
        <v>18058</v>
      </c>
      <c r="E8061" t="s">
        <v>25187</v>
      </c>
      <c r="F8061" t="s">
        <v>31574</v>
      </c>
      <c r="G8061" t="s">
        <v>31582</v>
      </c>
      <c r="H8061" t="s">
        <v>31590</v>
      </c>
      <c r="I8061" t="s">
        <v>31621</v>
      </c>
      <c r="J8061" t="s">
        <v>36839</v>
      </c>
      <c r="K8061" t="s">
        <v>41192</v>
      </c>
      <c r="M8061" t="s">
        <v>43588</v>
      </c>
      <c r="N8061" t="s">
        <v>45095</v>
      </c>
      <c r="O8061" t="s">
        <v>45096</v>
      </c>
      <c r="P8061">
        <v>0</v>
      </c>
      <c r="Q8061">
        <v>10</v>
      </c>
      <c r="R8061" t="s">
        <v>45103</v>
      </c>
      <c r="S8061" t="s">
        <v>45270</v>
      </c>
      <c r="T8061" t="s">
        <v>47093</v>
      </c>
      <c r="U8061" t="s">
        <v>54165</v>
      </c>
      <c r="W8061" t="s">
        <v>43588</v>
      </c>
      <c r="X8061" t="s">
        <v>45104</v>
      </c>
    </row>
    <row r="8062" spans="1:24">
      <c r="A8062">
        <f>HYPERLINK("https://www.philgeps.gov.ph/GEPSNONPILOT/Tender/SplashBidNoticeAbstractUI.aspx?menuIndex=3&amp;refID=7037914&amp;Result=3","7037914")</f>
        <v>0</v>
      </c>
      <c r="B8062" t="s">
        <v>2310</v>
      </c>
      <c r="C8062" t="s">
        <v>10882</v>
      </c>
      <c r="D8062" t="s">
        <v>18075</v>
      </c>
      <c r="E8062" t="s">
        <v>25188</v>
      </c>
      <c r="F8062" t="s">
        <v>31574</v>
      </c>
      <c r="G8062" t="s">
        <v>31582</v>
      </c>
      <c r="H8062" t="s">
        <v>31591</v>
      </c>
      <c r="I8062" t="s">
        <v>8822</v>
      </c>
      <c r="J8062" t="s">
        <v>32019</v>
      </c>
      <c r="K8062" t="s">
        <v>41270</v>
      </c>
      <c r="M8062" t="s">
        <v>44020</v>
      </c>
      <c r="N8062" t="s">
        <v>45095</v>
      </c>
      <c r="O8062" t="s">
        <v>45096</v>
      </c>
      <c r="P8062">
        <v>0</v>
      </c>
      <c r="Q8062">
        <v>0</v>
      </c>
      <c r="R8062" t="s">
        <v>45103</v>
      </c>
      <c r="S8062" t="s">
        <v>45270</v>
      </c>
      <c r="T8062" t="s">
        <v>46930</v>
      </c>
      <c r="U8062" t="s">
        <v>54166</v>
      </c>
      <c r="V8062" t="s">
        <v>60703</v>
      </c>
      <c r="W8062" t="s">
        <v>44020</v>
      </c>
      <c r="X8062" t="s">
        <v>45104</v>
      </c>
    </row>
    <row r="8063" spans="1:24">
      <c r="A8063">
        <f>HYPERLINK("https://www.philgeps.gov.ph/GEPSNONPILOT/Tender/SplashBidNoticeAbstractUI.aspx?menuIndex=3&amp;refID=7037916&amp;Result=3","7037916")</f>
        <v>0</v>
      </c>
      <c r="B8063" t="s">
        <v>2308</v>
      </c>
      <c r="C8063" t="s">
        <v>10883</v>
      </c>
      <c r="D8063" t="s">
        <v>18096</v>
      </c>
      <c r="E8063" t="s">
        <v>25189</v>
      </c>
      <c r="F8063" t="s">
        <v>31574</v>
      </c>
      <c r="G8063" t="s">
        <v>31582</v>
      </c>
      <c r="H8063" t="s">
        <v>31591</v>
      </c>
      <c r="I8063" t="s">
        <v>8822</v>
      </c>
      <c r="J8063" t="s">
        <v>36840</v>
      </c>
      <c r="K8063" t="s">
        <v>41334</v>
      </c>
      <c r="M8063" t="s">
        <v>44018</v>
      </c>
      <c r="N8063" t="s">
        <v>45095</v>
      </c>
      <c r="O8063" t="s">
        <v>45096</v>
      </c>
      <c r="P8063">
        <v>0</v>
      </c>
      <c r="Q8063">
        <v>0</v>
      </c>
      <c r="R8063" t="s">
        <v>45103</v>
      </c>
      <c r="S8063" t="s">
        <v>45270</v>
      </c>
      <c r="T8063" t="s">
        <v>47000</v>
      </c>
      <c r="U8063" t="s">
        <v>54158</v>
      </c>
      <c r="W8063" t="s">
        <v>44018</v>
      </c>
      <c r="X8063" t="s">
        <v>45104</v>
      </c>
    </row>
    <row r="8064" spans="1:24">
      <c r="A8064">
        <f>HYPERLINK("https://www.philgeps.gov.ph/GEPSNONPILOT/Tender/SplashBidNoticeAbstractUI.aspx?menuIndex=3&amp;refID=7037921&amp;Result=3","7037921")</f>
        <v>0</v>
      </c>
      <c r="B8064" t="s">
        <v>1213</v>
      </c>
      <c r="C8064" t="s">
        <v>10884</v>
      </c>
      <c r="D8064" t="s">
        <v>18066</v>
      </c>
      <c r="E8064" t="s">
        <v>25190</v>
      </c>
      <c r="F8064" t="s">
        <v>31574</v>
      </c>
      <c r="G8064" t="s">
        <v>31582</v>
      </c>
      <c r="H8064" t="s">
        <v>31591</v>
      </c>
      <c r="I8064" t="s">
        <v>8822</v>
      </c>
      <c r="J8064" t="s">
        <v>36841</v>
      </c>
      <c r="K8064" t="s">
        <v>41189</v>
      </c>
      <c r="M8064" t="s">
        <v>42774</v>
      </c>
      <c r="N8064" t="s">
        <v>45095</v>
      </c>
      <c r="O8064" t="s">
        <v>45096</v>
      </c>
      <c r="P8064">
        <v>0</v>
      </c>
      <c r="Q8064">
        <v>0</v>
      </c>
      <c r="R8064" t="s">
        <v>45103</v>
      </c>
      <c r="S8064" t="s">
        <v>45270</v>
      </c>
      <c r="T8064" t="s">
        <v>47000</v>
      </c>
      <c r="U8064" t="s">
        <v>54167</v>
      </c>
      <c r="W8064" t="s">
        <v>42774</v>
      </c>
      <c r="X8064" t="s">
        <v>45104</v>
      </c>
    </row>
    <row r="8065" spans="1:24">
      <c r="A8065">
        <f>HYPERLINK("https://www.philgeps.gov.ph/GEPSNONPILOT/Tender/SplashBidNoticeAbstractUI.aspx?menuIndex=3&amp;refID=7037915&amp;Result=3","7037915")</f>
        <v>0</v>
      </c>
      <c r="B8065" t="s">
        <v>2311</v>
      </c>
      <c r="C8065" t="s">
        <v>10885</v>
      </c>
      <c r="D8065" t="s">
        <v>18022</v>
      </c>
      <c r="E8065" t="s">
        <v>25191</v>
      </c>
      <c r="F8065" t="s">
        <v>31574</v>
      </c>
      <c r="G8065" t="s">
        <v>31582</v>
      </c>
      <c r="H8065" t="s">
        <v>31590</v>
      </c>
      <c r="I8065" t="s">
        <v>3487</v>
      </c>
      <c r="J8065" t="s">
        <v>32214</v>
      </c>
      <c r="K8065" t="s">
        <v>41211</v>
      </c>
      <c r="M8065" t="s">
        <v>44021</v>
      </c>
      <c r="N8065" t="s">
        <v>45095</v>
      </c>
      <c r="O8065" t="s">
        <v>45096</v>
      </c>
      <c r="P8065">
        <v>0</v>
      </c>
      <c r="Q8065">
        <v>5</v>
      </c>
      <c r="R8065" t="s">
        <v>45103</v>
      </c>
      <c r="S8065" t="s">
        <v>45270</v>
      </c>
      <c r="T8065" t="s">
        <v>47106</v>
      </c>
      <c r="U8065" t="s">
        <v>54168</v>
      </c>
      <c r="W8065" t="s">
        <v>44021</v>
      </c>
      <c r="X8065" t="s">
        <v>45104</v>
      </c>
    </row>
    <row r="8066" spans="1:24">
      <c r="A8066">
        <f>HYPERLINK("https://www.philgeps.gov.ph/GEPSNONPILOT/Tender/SplashBidNoticeAbstractUI.aspx?menuIndex=3&amp;refID=7037922&amp;Result=3","7037922")</f>
        <v>0</v>
      </c>
      <c r="B8066" t="s">
        <v>2301</v>
      </c>
      <c r="C8066" t="s">
        <v>10886</v>
      </c>
      <c r="E8066" t="s">
        <v>18379</v>
      </c>
      <c r="F8066" t="s">
        <v>31574</v>
      </c>
      <c r="G8066" t="s">
        <v>31582</v>
      </c>
      <c r="H8066" t="s">
        <v>31590</v>
      </c>
      <c r="I8066" t="s">
        <v>31615</v>
      </c>
      <c r="J8066" t="s">
        <v>31962</v>
      </c>
      <c r="K8066" t="s">
        <v>41184</v>
      </c>
      <c r="M8066" t="s">
        <v>44011</v>
      </c>
      <c r="N8066" t="s">
        <v>45095</v>
      </c>
      <c r="O8066" t="s">
        <v>45096</v>
      </c>
      <c r="P8066">
        <v>0</v>
      </c>
      <c r="Q8066">
        <v>0</v>
      </c>
      <c r="R8066" t="s">
        <v>45103</v>
      </c>
      <c r="S8066" t="s">
        <v>45270</v>
      </c>
      <c r="T8066" t="s">
        <v>46985</v>
      </c>
      <c r="U8066" t="s">
        <v>54169</v>
      </c>
      <c r="W8066" t="s">
        <v>44011</v>
      </c>
      <c r="X8066" t="s">
        <v>45104</v>
      </c>
    </row>
    <row r="8067" spans="1:24">
      <c r="A8067">
        <f>HYPERLINK("https://www.philgeps.gov.ph/GEPSNONPILOT/Tender/SplashBidNoticeAbstractUI.aspx?menuIndex=3&amp;refID=7037920&amp;Result=3","7037920")</f>
        <v>0</v>
      </c>
      <c r="B8067" t="s">
        <v>2290</v>
      </c>
      <c r="C8067" t="s">
        <v>10887</v>
      </c>
      <c r="D8067" t="s">
        <v>18090</v>
      </c>
      <c r="E8067" t="s">
        <v>25192</v>
      </c>
      <c r="F8067" t="s">
        <v>31574</v>
      </c>
      <c r="G8067" t="s">
        <v>31582</v>
      </c>
      <c r="H8067" t="s">
        <v>31591</v>
      </c>
      <c r="I8067" t="s">
        <v>8822</v>
      </c>
      <c r="J8067" t="s">
        <v>36842</v>
      </c>
      <c r="K8067" t="s">
        <v>41209</v>
      </c>
      <c r="M8067" t="s">
        <v>43999</v>
      </c>
      <c r="N8067" t="s">
        <v>45095</v>
      </c>
      <c r="O8067" t="s">
        <v>45096</v>
      </c>
      <c r="P8067">
        <v>0</v>
      </c>
      <c r="Q8067">
        <v>8</v>
      </c>
      <c r="R8067" t="s">
        <v>45103</v>
      </c>
      <c r="S8067" t="s">
        <v>45270</v>
      </c>
      <c r="T8067" t="s">
        <v>46992</v>
      </c>
      <c r="U8067" t="s">
        <v>54170</v>
      </c>
      <c r="W8067" t="s">
        <v>43999</v>
      </c>
      <c r="X8067" t="s">
        <v>45104</v>
      </c>
    </row>
    <row r="8068" spans="1:24">
      <c r="A8068">
        <f>HYPERLINK("https://www.philgeps.gov.ph/GEPSNONPILOT/Tender/SplashBidNoticeAbstractUI.aspx?menuIndex=3&amp;refID=7037936&amp;Result=3","7037936")</f>
        <v>0</v>
      </c>
      <c r="B8068" t="s">
        <v>2290</v>
      </c>
      <c r="C8068" t="s">
        <v>10888</v>
      </c>
      <c r="D8068" t="s">
        <v>18090</v>
      </c>
      <c r="E8068" t="s">
        <v>25193</v>
      </c>
      <c r="F8068" t="s">
        <v>31574</v>
      </c>
      <c r="G8068" t="s">
        <v>31582</v>
      </c>
      <c r="H8068" t="s">
        <v>31591</v>
      </c>
      <c r="I8068" t="s">
        <v>8822</v>
      </c>
      <c r="J8068" t="s">
        <v>36843</v>
      </c>
      <c r="K8068" t="s">
        <v>41329</v>
      </c>
      <c r="M8068" t="s">
        <v>43999</v>
      </c>
      <c r="N8068" t="s">
        <v>45095</v>
      </c>
      <c r="O8068" t="s">
        <v>45096</v>
      </c>
      <c r="P8068">
        <v>0</v>
      </c>
      <c r="Q8068">
        <v>9</v>
      </c>
      <c r="R8068" t="s">
        <v>45103</v>
      </c>
      <c r="S8068" t="s">
        <v>45270</v>
      </c>
      <c r="T8068" t="s">
        <v>46992</v>
      </c>
      <c r="U8068" t="s">
        <v>54171</v>
      </c>
      <c r="W8068" t="s">
        <v>43999</v>
      </c>
      <c r="X8068" t="s">
        <v>45104</v>
      </c>
    </row>
    <row r="8069" spans="1:24">
      <c r="A8069">
        <f>HYPERLINK("https://www.philgeps.gov.ph/GEPSNONPILOT/Tender/SplashBidNoticeAbstractUI.aspx?menuIndex=3&amp;refID=7037927&amp;Result=3","7037927")</f>
        <v>0</v>
      </c>
      <c r="B8069" t="s">
        <v>2290</v>
      </c>
      <c r="C8069" t="s">
        <v>10889</v>
      </c>
      <c r="D8069" t="s">
        <v>18090</v>
      </c>
      <c r="E8069" t="s">
        <v>25194</v>
      </c>
      <c r="F8069" t="s">
        <v>31574</v>
      </c>
      <c r="G8069" t="s">
        <v>31582</v>
      </c>
      <c r="H8069" t="s">
        <v>31591</v>
      </c>
      <c r="I8069" t="s">
        <v>8822</v>
      </c>
      <c r="J8069" t="s">
        <v>36844</v>
      </c>
      <c r="K8069" t="s">
        <v>41203</v>
      </c>
      <c r="M8069" t="s">
        <v>43999</v>
      </c>
      <c r="N8069" t="s">
        <v>45095</v>
      </c>
      <c r="O8069" t="s">
        <v>45096</v>
      </c>
      <c r="P8069">
        <v>0</v>
      </c>
      <c r="Q8069">
        <v>9</v>
      </c>
      <c r="R8069" t="s">
        <v>45103</v>
      </c>
      <c r="S8069" t="s">
        <v>45270</v>
      </c>
      <c r="T8069" t="s">
        <v>46992</v>
      </c>
      <c r="U8069" t="s">
        <v>54172</v>
      </c>
      <c r="W8069" t="s">
        <v>43999</v>
      </c>
      <c r="X8069" t="s">
        <v>45104</v>
      </c>
    </row>
    <row r="8070" spans="1:24">
      <c r="A8070">
        <f>HYPERLINK("https://www.philgeps.gov.ph/GEPSNONPILOT/Tender/SplashBidNoticeAbstractUI.aspx?menuIndex=3&amp;refID=7037919&amp;Result=3","7037919")</f>
        <v>0</v>
      </c>
      <c r="B8070" t="s">
        <v>835</v>
      </c>
      <c r="C8070" t="s">
        <v>10890</v>
      </c>
      <c r="D8070" t="s">
        <v>18030</v>
      </c>
      <c r="E8070" t="s">
        <v>24993</v>
      </c>
      <c r="F8070" t="s">
        <v>31575</v>
      </c>
      <c r="G8070" t="s">
        <v>31581</v>
      </c>
      <c r="H8070" t="s">
        <v>31590</v>
      </c>
      <c r="I8070" t="s">
        <v>4046</v>
      </c>
      <c r="J8070" t="s">
        <v>36845</v>
      </c>
      <c r="K8070" t="s">
        <v>41197</v>
      </c>
      <c r="M8070" t="s">
        <v>43651</v>
      </c>
      <c r="N8070" t="s">
        <v>45095</v>
      </c>
      <c r="O8070" t="s">
        <v>45096</v>
      </c>
      <c r="P8070">
        <v>0</v>
      </c>
      <c r="Q8070">
        <v>2</v>
      </c>
      <c r="R8070" t="s">
        <v>45103</v>
      </c>
      <c r="S8070" t="s">
        <v>45270</v>
      </c>
      <c r="T8070" t="s">
        <v>47124</v>
      </c>
      <c r="U8070" t="s">
        <v>54173</v>
      </c>
      <c r="V8070" t="s">
        <v>48153</v>
      </c>
      <c r="W8070" t="s">
        <v>43651</v>
      </c>
      <c r="X8070" t="s">
        <v>45104</v>
      </c>
    </row>
    <row r="8071" spans="1:24">
      <c r="A8071">
        <f>HYPERLINK("https://www.philgeps.gov.ph/GEPSNONPILOT/Tender/SplashBidNoticeAbstractUI.aspx?menuIndex=3&amp;refID=7037930&amp;Result=3","7037930")</f>
        <v>0</v>
      </c>
      <c r="B8071" t="s">
        <v>2308</v>
      </c>
      <c r="C8071" t="s">
        <v>10891</v>
      </c>
      <c r="D8071" t="s">
        <v>18096</v>
      </c>
      <c r="E8071" t="s">
        <v>25195</v>
      </c>
      <c r="F8071" t="s">
        <v>31574</v>
      </c>
      <c r="G8071" t="s">
        <v>31582</v>
      </c>
      <c r="H8071" t="s">
        <v>31591</v>
      </c>
      <c r="I8071" t="s">
        <v>8822</v>
      </c>
      <c r="J8071" t="s">
        <v>36846</v>
      </c>
      <c r="K8071" t="s">
        <v>41198</v>
      </c>
      <c r="M8071" t="s">
        <v>44018</v>
      </c>
      <c r="N8071" t="s">
        <v>45095</v>
      </c>
      <c r="O8071" t="s">
        <v>45096</v>
      </c>
      <c r="P8071">
        <v>0</v>
      </c>
      <c r="Q8071">
        <v>0</v>
      </c>
      <c r="R8071" t="s">
        <v>45103</v>
      </c>
      <c r="S8071" t="s">
        <v>45270</v>
      </c>
      <c r="T8071" t="s">
        <v>47000</v>
      </c>
      <c r="U8071" t="s">
        <v>54158</v>
      </c>
      <c r="W8071" t="s">
        <v>44018</v>
      </c>
      <c r="X8071" t="s">
        <v>45104</v>
      </c>
    </row>
    <row r="8072" spans="1:24">
      <c r="A8072">
        <f>HYPERLINK("https://www.philgeps.gov.ph/GEPSNONPILOT/Tender/SplashBidNoticeAbstractUI.aspx?menuIndex=3&amp;refID=7037932&amp;Result=3","7037932")</f>
        <v>0</v>
      </c>
      <c r="B8072" t="s">
        <v>835</v>
      </c>
      <c r="C8072" t="s">
        <v>10892</v>
      </c>
      <c r="D8072" t="s">
        <v>18030</v>
      </c>
      <c r="E8072" t="s">
        <v>24997</v>
      </c>
      <c r="F8072" t="s">
        <v>31575</v>
      </c>
      <c r="G8072" t="s">
        <v>31581</v>
      </c>
      <c r="H8072" t="s">
        <v>31590</v>
      </c>
      <c r="I8072" t="s">
        <v>4046</v>
      </c>
      <c r="J8072" t="s">
        <v>36847</v>
      </c>
      <c r="K8072" t="s">
        <v>41197</v>
      </c>
      <c r="M8072" t="s">
        <v>43651</v>
      </c>
      <c r="N8072" t="s">
        <v>45095</v>
      </c>
      <c r="O8072" t="s">
        <v>45096</v>
      </c>
      <c r="P8072">
        <v>0</v>
      </c>
      <c r="Q8072">
        <v>2</v>
      </c>
      <c r="R8072" t="s">
        <v>45103</v>
      </c>
      <c r="S8072" t="s">
        <v>45270</v>
      </c>
      <c r="T8072" t="s">
        <v>47124</v>
      </c>
      <c r="U8072" t="s">
        <v>54174</v>
      </c>
      <c r="V8072" t="s">
        <v>48153</v>
      </c>
      <c r="W8072" t="s">
        <v>43651</v>
      </c>
      <c r="X8072" t="s">
        <v>45104</v>
      </c>
    </row>
    <row r="8073" spans="1:24">
      <c r="A8073">
        <f>HYPERLINK("https://www.philgeps.gov.ph/GEPSNONPILOT/Tender/SplashBidNoticeAbstractUI.aspx?menuIndex=3&amp;refID=7037926&amp;Result=3","7037926")</f>
        <v>0</v>
      </c>
      <c r="B8073" t="s">
        <v>835</v>
      </c>
      <c r="C8073" t="s">
        <v>10893</v>
      </c>
      <c r="D8073" t="s">
        <v>18030</v>
      </c>
      <c r="E8073" t="s">
        <v>25196</v>
      </c>
      <c r="F8073" t="s">
        <v>31575</v>
      </c>
      <c r="G8073" t="s">
        <v>31581</v>
      </c>
      <c r="H8073" t="s">
        <v>31590</v>
      </c>
      <c r="I8073" t="s">
        <v>4046</v>
      </c>
      <c r="J8073" t="s">
        <v>36848</v>
      </c>
      <c r="K8073" t="s">
        <v>41197</v>
      </c>
      <c r="M8073" t="s">
        <v>43651</v>
      </c>
      <c r="N8073" t="s">
        <v>45095</v>
      </c>
      <c r="O8073" t="s">
        <v>45096</v>
      </c>
      <c r="P8073">
        <v>0</v>
      </c>
      <c r="Q8073">
        <v>2</v>
      </c>
      <c r="R8073" t="s">
        <v>45103</v>
      </c>
      <c r="S8073" t="s">
        <v>45270</v>
      </c>
      <c r="T8073" t="s">
        <v>47124</v>
      </c>
      <c r="U8073" t="s">
        <v>52876</v>
      </c>
      <c r="V8073" t="s">
        <v>48153</v>
      </c>
      <c r="W8073" t="s">
        <v>43651</v>
      </c>
      <c r="X8073" t="s">
        <v>45104</v>
      </c>
    </row>
    <row r="8074" spans="1:24">
      <c r="A8074">
        <f>HYPERLINK("https://www.philgeps.gov.ph/GEPSNONPILOT/Tender/SplashBidNoticeAbstractUI.aspx?menuIndex=3&amp;refID=7037917&amp;Result=3","7037917")</f>
        <v>0</v>
      </c>
      <c r="B8074" t="s">
        <v>2312</v>
      </c>
      <c r="C8074" t="s">
        <v>10894</v>
      </c>
      <c r="D8074" t="s">
        <v>18037</v>
      </c>
      <c r="E8074" t="s">
        <v>18472</v>
      </c>
      <c r="F8074" t="s">
        <v>31574</v>
      </c>
      <c r="G8074" t="s">
        <v>31582</v>
      </c>
      <c r="H8074" t="s">
        <v>31592</v>
      </c>
      <c r="I8074" t="s">
        <v>31596</v>
      </c>
      <c r="J8074" t="s">
        <v>33039</v>
      </c>
      <c r="K8074" t="s">
        <v>41237</v>
      </c>
      <c r="M8074" t="s">
        <v>44022</v>
      </c>
      <c r="N8074" t="s">
        <v>45095</v>
      </c>
      <c r="O8074" t="s">
        <v>45096</v>
      </c>
      <c r="P8074">
        <v>0</v>
      </c>
      <c r="Q8074">
        <v>0</v>
      </c>
      <c r="R8074" t="s">
        <v>45103</v>
      </c>
      <c r="S8074" t="s">
        <v>45270</v>
      </c>
      <c r="T8074" t="s">
        <v>46982</v>
      </c>
      <c r="U8074" t="s">
        <v>54175</v>
      </c>
      <c r="V8074" t="s">
        <v>60704</v>
      </c>
      <c r="W8074" t="s">
        <v>44022</v>
      </c>
      <c r="X8074" t="s">
        <v>45104</v>
      </c>
    </row>
    <row r="8075" spans="1:24">
      <c r="A8075">
        <f>HYPERLINK("https://www.philgeps.gov.ph/GEPSNONPILOT/Tender/SplashBidNoticeAbstractUI.aspx?menuIndex=3&amp;refID=7037929&amp;Result=3","7037929")</f>
        <v>0</v>
      </c>
      <c r="B8075" t="s">
        <v>1933</v>
      </c>
      <c r="C8075" t="s">
        <v>10895</v>
      </c>
      <c r="E8075" t="s">
        <v>18795</v>
      </c>
      <c r="F8075" t="s">
        <v>31574</v>
      </c>
      <c r="G8075" t="s">
        <v>31581</v>
      </c>
      <c r="H8075" t="s">
        <v>31590</v>
      </c>
      <c r="I8075" t="s">
        <v>5717</v>
      </c>
      <c r="J8075" t="s">
        <v>36849</v>
      </c>
      <c r="K8075" t="s">
        <v>41184</v>
      </c>
      <c r="M8075" t="s">
        <v>43587</v>
      </c>
      <c r="N8075" t="s">
        <v>45095</v>
      </c>
      <c r="O8075" t="s">
        <v>45096</v>
      </c>
      <c r="P8075">
        <v>0</v>
      </c>
      <c r="Q8075">
        <v>3</v>
      </c>
      <c r="R8075" t="s">
        <v>45103</v>
      </c>
      <c r="S8075" t="s">
        <v>45270</v>
      </c>
      <c r="T8075" t="s">
        <v>47162</v>
      </c>
      <c r="U8075" t="s">
        <v>54176</v>
      </c>
      <c r="W8075" t="s">
        <v>43587</v>
      </c>
      <c r="X8075" t="s">
        <v>45104</v>
      </c>
    </row>
    <row r="8076" spans="1:24">
      <c r="A8076">
        <f>HYPERLINK("https://www.philgeps.gov.ph/GEPSNONPILOT/Tender/SplashBidNoticeAbstractUI.aspx?menuIndex=3&amp;refID=7037937&amp;Result=3","7037937")</f>
        <v>0</v>
      </c>
      <c r="B8076" t="s">
        <v>2313</v>
      </c>
      <c r="C8076" t="s">
        <v>10896</v>
      </c>
      <c r="D8076" t="s">
        <v>18094</v>
      </c>
      <c r="E8076" t="s">
        <v>25197</v>
      </c>
      <c r="F8076" t="s">
        <v>31574</v>
      </c>
      <c r="G8076" t="s">
        <v>31582</v>
      </c>
      <c r="H8076" t="s">
        <v>31590</v>
      </c>
      <c r="I8076" t="s">
        <v>31612</v>
      </c>
      <c r="J8076" t="s">
        <v>32774</v>
      </c>
      <c r="K8076" t="s">
        <v>41191</v>
      </c>
      <c r="M8076" t="s">
        <v>44023</v>
      </c>
      <c r="N8076" t="s">
        <v>45095</v>
      </c>
      <c r="O8076" t="s">
        <v>45096</v>
      </c>
      <c r="P8076">
        <v>0</v>
      </c>
      <c r="Q8076">
        <v>0</v>
      </c>
      <c r="R8076" t="s">
        <v>45103</v>
      </c>
      <c r="S8076" t="s">
        <v>45270</v>
      </c>
      <c r="T8076" t="s">
        <v>47276</v>
      </c>
      <c r="U8076" t="s">
        <v>54177</v>
      </c>
      <c r="V8076" t="s">
        <v>60705</v>
      </c>
      <c r="W8076" t="s">
        <v>44023</v>
      </c>
      <c r="X8076" t="s">
        <v>45104</v>
      </c>
    </row>
    <row r="8077" spans="1:24">
      <c r="A8077">
        <f>HYPERLINK("https://www.philgeps.gov.ph/GEPSNONPILOT/Tender/SplashBidNoticeAbstractUI.aspx?menuIndex=3&amp;refID=7037925&amp;Result=3","7037925")</f>
        <v>0</v>
      </c>
      <c r="B8077" t="s">
        <v>2314</v>
      </c>
      <c r="C8077" t="s">
        <v>10897</v>
      </c>
      <c r="D8077" t="s">
        <v>18044</v>
      </c>
      <c r="E8077" t="s">
        <v>25198</v>
      </c>
      <c r="F8077" t="s">
        <v>31574</v>
      </c>
      <c r="G8077" t="s">
        <v>31583</v>
      </c>
      <c r="H8077" t="s">
        <v>31590</v>
      </c>
      <c r="I8077" t="s">
        <v>3489</v>
      </c>
      <c r="J8077" t="s">
        <v>36850</v>
      </c>
      <c r="K8077" t="s">
        <v>41190</v>
      </c>
      <c r="M8077" t="s">
        <v>44024</v>
      </c>
      <c r="N8077" t="s">
        <v>45095</v>
      </c>
      <c r="O8077" t="s">
        <v>45096</v>
      </c>
      <c r="P8077">
        <v>0</v>
      </c>
      <c r="Q8077">
        <v>0</v>
      </c>
      <c r="R8077" t="s">
        <v>45103</v>
      </c>
      <c r="S8077" t="s">
        <v>45270</v>
      </c>
      <c r="T8077" t="s">
        <v>46933</v>
      </c>
      <c r="U8077" t="s">
        <v>54178</v>
      </c>
      <c r="W8077" t="s">
        <v>44024</v>
      </c>
      <c r="X8077" t="s">
        <v>45104</v>
      </c>
    </row>
    <row r="8078" spans="1:24">
      <c r="A8078">
        <f>HYPERLINK("https://www.philgeps.gov.ph/GEPSNONPILOT/Tender/SplashBidNoticeAbstractUI.aspx?menuIndex=3&amp;refID=7037924&amp;Result=3","7037924")</f>
        <v>0</v>
      </c>
      <c r="B8078" t="s">
        <v>2308</v>
      </c>
      <c r="C8078" t="s">
        <v>10898</v>
      </c>
      <c r="D8078" t="s">
        <v>18096</v>
      </c>
      <c r="E8078" t="s">
        <v>25199</v>
      </c>
      <c r="F8078" t="s">
        <v>31574</v>
      </c>
      <c r="G8078" t="s">
        <v>31582</v>
      </c>
      <c r="H8078" t="s">
        <v>31591</v>
      </c>
      <c r="I8078" t="s">
        <v>8822</v>
      </c>
      <c r="J8078" t="s">
        <v>36851</v>
      </c>
      <c r="K8078" t="s">
        <v>41335</v>
      </c>
      <c r="M8078" t="s">
        <v>44018</v>
      </c>
      <c r="N8078" t="s">
        <v>45095</v>
      </c>
      <c r="O8078" t="s">
        <v>45096</v>
      </c>
      <c r="P8078">
        <v>0</v>
      </c>
      <c r="Q8078">
        <v>0</v>
      </c>
      <c r="R8078" t="s">
        <v>45103</v>
      </c>
      <c r="S8078" t="s">
        <v>45270</v>
      </c>
      <c r="T8078" t="s">
        <v>47000</v>
      </c>
      <c r="U8078" t="s">
        <v>54158</v>
      </c>
      <c r="W8078" t="s">
        <v>44018</v>
      </c>
      <c r="X8078" t="s">
        <v>45104</v>
      </c>
    </row>
    <row r="8079" spans="1:24">
      <c r="A8079">
        <f>HYPERLINK("https://www.philgeps.gov.ph/GEPSNONPILOT/Tender/SplashBidNoticeAbstractUI.aspx?menuIndex=3&amp;refID=7037928&amp;Result=3","7037928")</f>
        <v>0</v>
      </c>
      <c r="B8079" t="s">
        <v>1213</v>
      </c>
      <c r="C8079" t="s">
        <v>10899</v>
      </c>
      <c r="D8079" t="s">
        <v>18066</v>
      </c>
      <c r="E8079" t="s">
        <v>25200</v>
      </c>
      <c r="F8079" t="s">
        <v>31574</v>
      </c>
      <c r="G8079" t="s">
        <v>31582</v>
      </c>
      <c r="H8079" t="s">
        <v>31591</v>
      </c>
      <c r="I8079" t="s">
        <v>8822</v>
      </c>
      <c r="J8079" t="s">
        <v>33574</v>
      </c>
      <c r="K8079" t="s">
        <v>41189</v>
      </c>
      <c r="M8079" t="s">
        <v>42774</v>
      </c>
      <c r="N8079" t="s">
        <v>45095</v>
      </c>
      <c r="O8079" t="s">
        <v>45096</v>
      </c>
      <c r="Q8079">
        <v>0</v>
      </c>
      <c r="R8079" t="s">
        <v>45103</v>
      </c>
      <c r="S8079" t="s">
        <v>45301</v>
      </c>
      <c r="T8079" t="s">
        <v>47000</v>
      </c>
      <c r="U8079" t="s">
        <v>54179</v>
      </c>
      <c r="W8079" t="s">
        <v>42774</v>
      </c>
      <c r="X8079" t="s">
        <v>45104</v>
      </c>
    </row>
    <row r="8080" spans="1:24">
      <c r="A8080">
        <f>HYPERLINK("https://www.philgeps.gov.ph/GEPSNONPILOT/Tender/SplashBidNoticeAbstractUI.aspx?menuIndex=3&amp;refID=7037923&amp;Result=3","7037923")</f>
        <v>0</v>
      </c>
      <c r="B8080" t="s">
        <v>1213</v>
      </c>
      <c r="C8080" t="s">
        <v>10900</v>
      </c>
      <c r="D8080" t="s">
        <v>18066</v>
      </c>
      <c r="E8080" t="s">
        <v>25201</v>
      </c>
      <c r="F8080" t="s">
        <v>31574</v>
      </c>
      <c r="G8080" t="s">
        <v>31582</v>
      </c>
      <c r="H8080" t="s">
        <v>31591</v>
      </c>
      <c r="I8080" t="s">
        <v>8822</v>
      </c>
      <c r="J8080" t="s">
        <v>36852</v>
      </c>
      <c r="K8080" t="s">
        <v>41189</v>
      </c>
      <c r="M8080" t="s">
        <v>42774</v>
      </c>
      <c r="N8080" t="s">
        <v>45095</v>
      </c>
      <c r="O8080" t="s">
        <v>45096</v>
      </c>
      <c r="P8080">
        <v>0</v>
      </c>
      <c r="Q8080">
        <v>0</v>
      </c>
      <c r="R8080" t="s">
        <v>45103</v>
      </c>
      <c r="S8080" t="s">
        <v>45270</v>
      </c>
      <c r="T8080" t="s">
        <v>47000</v>
      </c>
      <c r="U8080" t="s">
        <v>54180</v>
      </c>
      <c r="W8080" t="s">
        <v>42774</v>
      </c>
      <c r="X8080" t="s">
        <v>45104</v>
      </c>
    </row>
    <row r="8081" spans="1:24">
      <c r="A8081">
        <f>HYPERLINK("https://www.philgeps.gov.ph/GEPSNONPILOT/Tender/SplashBidNoticeAbstractUI.aspx?menuIndex=3&amp;refID=7037938&amp;Result=3","7037938")</f>
        <v>0</v>
      </c>
      <c r="B8081" t="s">
        <v>2212</v>
      </c>
      <c r="C8081" t="s">
        <v>10901</v>
      </c>
      <c r="E8081" t="s">
        <v>25202</v>
      </c>
      <c r="F8081" t="s">
        <v>31574</v>
      </c>
      <c r="G8081" t="s">
        <v>31582</v>
      </c>
      <c r="H8081" t="s">
        <v>31590</v>
      </c>
      <c r="I8081" t="s">
        <v>4046</v>
      </c>
      <c r="J8081" t="s">
        <v>33035</v>
      </c>
      <c r="K8081" t="s">
        <v>41184</v>
      </c>
      <c r="M8081" t="s">
        <v>43903</v>
      </c>
      <c r="N8081" t="s">
        <v>45095</v>
      </c>
      <c r="O8081" t="s">
        <v>45096</v>
      </c>
      <c r="P8081">
        <v>0</v>
      </c>
      <c r="Q8081">
        <v>0</v>
      </c>
      <c r="R8081" t="s">
        <v>45103</v>
      </c>
      <c r="S8081" t="s">
        <v>45270</v>
      </c>
      <c r="T8081" t="s">
        <v>47067</v>
      </c>
      <c r="U8081" t="s">
        <v>54181</v>
      </c>
      <c r="W8081" t="s">
        <v>43903</v>
      </c>
      <c r="X8081" t="s">
        <v>45104</v>
      </c>
    </row>
    <row r="8082" spans="1:24">
      <c r="A8082">
        <f>HYPERLINK("https://www.philgeps.gov.ph/GEPSNONPILOT/Tender/SplashBidNoticeAbstractUI.aspx?menuIndex=3&amp;refID=7037939&amp;Result=3","7037939")</f>
        <v>0</v>
      </c>
      <c r="B8082" t="s">
        <v>2308</v>
      </c>
      <c r="C8082" t="s">
        <v>10902</v>
      </c>
      <c r="D8082" t="s">
        <v>18096</v>
      </c>
      <c r="E8082" t="s">
        <v>25203</v>
      </c>
      <c r="F8082" t="s">
        <v>31574</v>
      </c>
      <c r="G8082" t="s">
        <v>31582</v>
      </c>
      <c r="H8082" t="s">
        <v>31591</v>
      </c>
      <c r="I8082" t="s">
        <v>8822</v>
      </c>
      <c r="J8082" t="s">
        <v>36853</v>
      </c>
      <c r="K8082" t="s">
        <v>41243</v>
      </c>
      <c r="M8082" t="s">
        <v>44018</v>
      </c>
      <c r="N8082" t="s">
        <v>45095</v>
      </c>
      <c r="O8082" t="s">
        <v>45096</v>
      </c>
      <c r="P8082">
        <v>0</v>
      </c>
      <c r="Q8082">
        <v>0</v>
      </c>
      <c r="R8082" t="s">
        <v>45103</v>
      </c>
      <c r="S8082" t="s">
        <v>45270</v>
      </c>
      <c r="T8082" t="s">
        <v>47000</v>
      </c>
      <c r="U8082" t="s">
        <v>54158</v>
      </c>
      <c r="W8082" t="s">
        <v>44018</v>
      </c>
      <c r="X8082" t="s">
        <v>45104</v>
      </c>
    </row>
    <row r="8083" spans="1:24">
      <c r="A8083">
        <f>HYPERLINK("https://www.philgeps.gov.ph/GEPSNONPILOT/Tender/SplashBidNoticeAbstractUI.aspx?menuIndex=3&amp;refID=7037945&amp;Result=3","7037945")</f>
        <v>0</v>
      </c>
      <c r="B8083" t="s">
        <v>2212</v>
      </c>
      <c r="C8083" t="s">
        <v>10903</v>
      </c>
      <c r="E8083" t="s">
        <v>25204</v>
      </c>
      <c r="F8083" t="s">
        <v>31574</v>
      </c>
      <c r="G8083" t="s">
        <v>31582</v>
      </c>
      <c r="H8083" t="s">
        <v>31590</v>
      </c>
      <c r="I8083" t="s">
        <v>4046</v>
      </c>
      <c r="J8083" t="s">
        <v>36854</v>
      </c>
      <c r="K8083" t="s">
        <v>41184</v>
      </c>
      <c r="M8083" t="s">
        <v>43903</v>
      </c>
      <c r="N8083" t="s">
        <v>45095</v>
      </c>
      <c r="O8083" t="s">
        <v>45096</v>
      </c>
      <c r="P8083">
        <v>0</v>
      </c>
      <c r="Q8083">
        <v>0</v>
      </c>
      <c r="R8083" t="s">
        <v>45103</v>
      </c>
      <c r="S8083" t="s">
        <v>45270</v>
      </c>
      <c r="T8083" t="s">
        <v>47067</v>
      </c>
      <c r="U8083" t="s">
        <v>54182</v>
      </c>
      <c r="W8083" t="s">
        <v>43903</v>
      </c>
      <c r="X8083" t="s">
        <v>45104</v>
      </c>
    </row>
    <row r="8084" spans="1:24">
      <c r="A8084">
        <f>HYPERLINK("https://www.philgeps.gov.ph/GEPSNONPILOT/Tender/SplashBidNoticeAbstractUI.aspx?menuIndex=3&amp;refID=7037955&amp;Result=3","7037955")</f>
        <v>0</v>
      </c>
      <c r="B8084" t="s">
        <v>2315</v>
      </c>
      <c r="C8084" t="s">
        <v>10904</v>
      </c>
      <c r="E8084" t="s">
        <v>20176</v>
      </c>
      <c r="F8084" t="s">
        <v>31574</v>
      </c>
      <c r="G8084" t="s">
        <v>31582</v>
      </c>
      <c r="H8084" t="s">
        <v>31591</v>
      </c>
      <c r="I8084" t="s">
        <v>8822</v>
      </c>
      <c r="J8084" t="s">
        <v>36855</v>
      </c>
      <c r="K8084" t="s">
        <v>41184</v>
      </c>
      <c r="M8084" t="s">
        <v>44025</v>
      </c>
      <c r="N8084" t="s">
        <v>45095</v>
      </c>
      <c r="O8084" t="s">
        <v>45096</v>
      </c>
      <c r="P8084">
        <v>0</v>
      </c>
      <c r="Q8084">
        <v>0</v>
      </c>
      <c r="R8084" t="s">
        <v>45103</v>
      </c>
      <c r="S8084" t="s">
        <v>45270</v>
      </c>
      <c r="T8084" t="s">
        <v>47067</v>
      </c>
      <c r="U8084" t="s">
        <v>54183</v>
      </c>
      <c r="W8084" t="s">
        <v>44025</v>
      </c>
      <c r="X8084" t="s">
        <v>45104</v>
      </c>
    </row>
    <row r="8085" spans="1:24">
      <c r="A8085">
        <f>HYPERLINK("https://www.philgeps.gov.ph/GEPSNONPILOT/Tender/SplashBidNoticeAbstractUI.aspx?menuIndex=3&amp;refID=7037949&amp;Result=3","7037949")</f>
        <v>0</v>
      </c>
      <c r="B8085" t="s">
        <v>1933</v>
      </c>
      <c r="C8085" t="s">
        <v>10905</v>
      </c>
      <c r="E8085" t="s">
        <v>25205</v>
      </c>
      <c r="F8085" t="s">
        <v>31574</v>
      </c>
      <c r="G8085" t="s">
        <v>31581</v>
      </c>
      <c r="H8085" t="s">
        <v>31590</v>
      </c>
      <c r="I8085" t="s">
        <v>31695</v>
      </c>
      <c r="J8085" t="s">
        <v>31789</v>
      </c>
      <c r="K8085" t="s">
        <v>41184</v>
      </c>
      <c r="M8085" t="s">
        <v>43587</v>
      </c>
      <c r="N8085" t="s">
        <v>45095</v>
      </c>
      <c r="O8085" t="s">
        <v>45096</v>
      </c>
      <c r="P8085">
        <v>0</v>
      </c>
      <c r="Q8085">
        <v>0</v>
      </c>
      <c r="R8085" t="s">
        <v>45103</v>
      </c>
      <c r="S8085" t="s">
        <v>45270</v>
      </c>
      <c r="T8085" t="s">
        <v>47162</v>
      </c>
      <c r="U8085" t="s">
        <v>54184</v>
      </c>
      <c r="W8085" t="s">
        <v>43587</v>
      </c>
      <c r="X8085" t="s">
        <v>45104</v>
      </c>
    </row>
    <row r="8086" spans="1:24">
      <c r="A8086">
        <f>HYPERLINK("https://www.philgeps.gov.ph/GEPSNONPILOT/Tender/SplashBidNoticeAbstractUI.aspx?menuIndex=3&amp;refID=7037943&amp;Result=3","7037943")</f>
        <v>0</v>
      </c>
      <c r="B8086" t="s">
        <v>2314</v>
      </c>
      <c r="C8086" t="s">
        <v>10906</v>
      </c>
      <c r="D8086" t="s">
        <v>18044</v>
      </c>
      <c r="E8086" t="s">
        <v>25206</v>
      </c>
      <c r="F8086" t="s">
        <v>31574</v>
      </c>
      <c r="G8086" t="s">
        <v>31583</v>
      </c>
      <c r="H8086" t="s">
        <v>31590</v>
      </c>
      <c r="I8086" t="s">
        <v>4046</v>
      </c>
      <c r="J8086" t="s">
        <v>36856</v>
      </c>
      <c r="K8086" t="s">
        <v>41190</v>
      </c>
      <c r="M8086" t="s">
        <v>44024</v>
      </c>
      <c r="N8086" t="s">
        <v>45095</v>
      </c>
      <c r="O8086" t="s">
        <v>45096</v>
      </c>
      <c r="Q8086">
        <v>1</v>
      </c>
      <c r="R8086" t="s">
        <v>45103</v>
      </c>
      <c r="S8086" t="s">
        <v>45302</v>
      </c>
      <c r="T8086" t="s">
        <v>46933</v>
      </c>
      <c r="U8086" t="s">
        <v>54178</v>
      </c>
      <c r="W8086" t="s">
        <v>44024</v>
      </c>
      <c r="X8086" t="s">
        <v>45104</v>
      </c>
    </row>
    <row r="8087" spans="1:24">
      <c r="A8087">
        <f>HYPERLINK("https://www.philgeps.gov.ph/GEPSNONPILOT/Tender/SplashBidNoticeAbstractUI.aspx?menuIndex=3&amp;refID=7037952&amp;Result=3","7037952")</f>
        <v>0</v>
      </c>
      <c r="B8087" t="s">
        <v>2212</v>
      </c>
      <c r="C8087" t="s">
        <v>10907</v>
      </c>
      <c r="E8087" t="s">
        <v>25207</v>
      </c>
      <c r="F8087" t="s">
        <v>31574</v>
      </c>
      <c r="G8087" t="s">
        <v>31582</v>
      </c>
      <c r="H8087" t="s">
        <v>31590</v>
      </c>
      <c r="I8087" t="s">
        <v>4046</v>
      </c>
      <c r="J8087" t="s">
        <v>36857</v>
      </c>
      <c r="K8087" t="s">
        <v>41184</v>
      </c>
      <c r="M8087" t="s">
        <v>43903</v>
      </c>
      <c r="N8087" t="s">
        <v>45095</v>
      </c>
      <c r="O8087" t="s">
        <v>45096</v>
      </c>
      <c r="P8087">
        <v>0</v>
      </c>
      <c r="Q8087">
        <v>0</v>
      </c>
      <c r="R8087" t="s">
        <v>45103</v>
      </c>
      <c r="S8087" t="s">
        <v>45270</v>
      </c>
      <c r="T8087" t="s">
        <v>47067</v>
      </c>
      <c r="U8087" t="s">
        <v>54185</v>
      </c>
      <c r="W8087" t="s">
        <v>43903</v>
      </c>
      <c r="X8087" t="s">
        <v>45104</v>
      </c>
    </row>
    <row r="8088" spans="1:24">
      <c r="A8088">
        <f>HYPERLINK("https://www.philgeps.gov.ph/GEPSNONPILOT/Tender/SplashBidNoticeAbstractUI.aspx?menuIndex=3&amp;refID=7037947&amp;Result=3","7037947")</f>
        <v>0</v>
      </c>
      <c r="B8088" t="s">
        <v>2308</v>
      </c>
      <c r="C8088" t="s">
        <v>10908</v>
      </c>
      <c r="D8088" t="s">
        <v>18096</v>
      </c>
      <c r="E8088" t="s">
        <v>25208</v>
      </c>
      <c r="F8088" t="s">
        <v>31574</v>
      </c>
      <c r="G8088" t="s">
        <v>31582</v>
      </c>
      <c r="H8088" t="s">
        <v>31591</v>
      </c>
      <c r="I8088" t="s">
        <v>8822</v>
      </c>
      <c r="J8088" t="s">
        <v>36858</v>
      </c>
      <c r="K8088" t="s">
        <v>41222</v>
      </c>
      <c r="M8088" t="s">
        <v>44018</v>
      </c>
      <c r="N8088" t="s">
        <v>45095</v>
      </c>
      <c r="O8088" t="s">
        <v>45096</v>
      </c>
      <c r="P8088">
        <v>0</v>
      </c>
      <c r="Q8088">
        <v>0</v>
      </c>
      <c r="R8088" t="s">
        <v>45103</v>
      </c>
      <c r="S8088" t="s">
        <v>45270</v>
      </c>
      <c r="T8088" t="s">
        <v>47000</v>
      </c>
      <c r="U8088" t="s">
        <v>54158</v>
      </c>
      <c r="W8088" t="s">
        <v>44018</v>
      </c>
      <c r="X8088" t="s">
        <v>45104</v>
      </c>
    </row>
    <row r="8089" spans="1:24">
      <c r="A8089">
        <f>HYPERLINK("https://www.philgeps.gov.ph/GEPSNONPILOT/Tender/SplashBidNoticeAbstractUI.aspx?menuIndex=3&amp;refID=7037951&amp;Result=3","7037951")</f>
        <v>0</v>
      </c>
      <c r="B8089" t="s">
        <v>2290</v>
      </c>
      <c r="C8089" t="s">
        <v>10909</v>
      </c>
      <c r="D8089" t="s">
        <v>18090</v>
      </c>
      <c r="E8089" t="s">
        <v>25209</v>
      </c>
      <c r="F8089" t="s">
        <v>31574</v>
      </c>
      <c r="G8089" t="s">
        <v>31582</v>
      </c>
      <c r="H8089" t="s">
        <v>31591</v>
      </c>
      <c r="I8089" t="s">
        <v>8822</v>
      </c>
      <c r="J8089" t="s">
        <v>36859</v>
      </c>
      <c r="K8089" t="s">
        <v>41203</v>
      </c>
      <c r="M8089" t="s">
        <v>43999</v>
      </c>
      <c r="N8089" t="s">
        <v>45095</v>
      </c>
      <c r="O8089" t="s">
        <v>45096</v>
      </c>
      <c r="P8089">
        <v>0</v>
      </c>
      <c r="Q8089">
        <v>9</v>
      </c>
      <c r="R8089" t="s">
        <v>45103</v>
      </c>
      <c r="S8089" t="s">
        <v>45270</v>
      </c>
      <c r="T8089" t="s">
        <v>46992</v>
      </c>
      <c r="U8089" t="s">
        <v>54186</v>
      </c>
      <c r="W8089" t="s">
        <v>43999</v>
      </c>
      <c r="X8089" t="s">
        <v>45104</v>
      </c>
    </row>
    <row r="8090" spans="1:24">
      <c r="A8090">
        <f>HYPERLINK("https://www.philgeps.gov.ph/GEPSNONPILOT/Tender/SplashBidNoticeAbstractUI.aspx?menuIndex=3&amp;refID=7037953&amp;Result=3","7037953")</f>
        <v>0</v>
      </c>
      <c r="B8090" t="s">
        <v>2313</v>
      </c>
      <c r="C8090" t="s">
        <v>6886</v>
      </c>
      <c r="D8090" t="s">
        <v>18094</v>
      </c>
      <c r="E8090" t="s">
        <v>25210</v>
      </c>
      <c r="F8090" t="s">
        <v>31574</v>
      </c>
      <c r="G8090" t="s">
        <v>31582</v>
      </c>
      <c r="H8090" t="s">
        <v>31590</v>
      </c>
      <c r="I8090" t="s">
        <v>4327</v>
      </c>
      <c r="J8090" t="s">
        <v>36860</v>
      </c>
      <c r="K8090" t="s">
        <v>41191</v>
      </c>
      <c r="M8090" t="s">
        <v>44023</v>
      </c>
      <c r="N8090" t="s">
        <v>45095</v>
      </c>
      <c r="O8090" t="s">
        <v>45096</v>
      </c>
      <c r="P8090">
        <v>0</v>
      </c>
      <c r="Q8090">
        <v>1</v>
      </c>
      <c r="R8090" t="s">
        <v>45103</v>
      </c>
      <c r="S8090" t="s">
        <v>45270</v>
      </c>
      <c r="T8090" t="s">
        <v>47276</v>
      </c>
      <c r="U8090" t="s">
        <v>54187</v>
      </c>
      <c r="V8090" t="s">
        <v>60705</v>
      </c>
      <c r="W8090" t="s">
        <v>44023</v>
      </c>
      <c r="X8090" t="s">
        <v>45104</v>
      </c>
    </row>
    <row r="8091" spans="1:24">
      <c r="A8091">
        <f>HYPERLINK("https://www.philgeps.gov.ph/GEPSNONPILOT/Tender/SplashBidNoticeAbstractUI.aspx?menuIndex=3&amp;refID=7037946&amp;Result=3","7037946")</f>
        <v>0</v>
      </c>
      <c r="B8091" t="s">
        <v>2316</v>
      </c>
      <c r="C8091" t="s">
        <v>10910</v>
      </c>
      <c r="D8091" t="s">
        <v>18022</v>
      </c>
      <c r="E8091" t="s">
        <v>25191</v>
      </c>
      <c r="F8091" t="s">
        <v>31574</v>
      </c>
      <c r="G8091" t="s">
        <v>31582</v>
      </c>
      <c r="H8091" t="s">
        <v>31590</v>
      </c>
      <c r="I8091" t="s">
        <v>3487</v>
      </c>
      <c r="J8091" t="s">
        <v>32192</v>
      </c>
      <c r="K8091" t="s">
        <v>41211</v>
      </c>
      <c r="M8091" t="s">
        <v>44026</v>
      </c>
      <c r="N8091" t="s">
        <v>45095</v>
      </c>
      <c r="O8091" t="s">
        <v>45096</v>
      </c>
      <c r="P8091">
        <v>0</v>
      </c>
      <c r="Q8091">
        <v>5</v>
      </c>
      <c r="R8091" t="s">
        <v>45103</v>
      </c>
      <c r="S8091" t="s">
        <v>45270</v>
      </c>
      <c r="T8091" t="s">
        <v>47106</v>
      </c>
      <c r="U8091" t="s">
        <v>54188</v>
      </c>
      <c r="W8091" t="s">
        <v>44026</v>
      </c>
      <c r="X8091" t="s">
        <v>45104</v>
      </c>
    </row>
    <row r="8092" spans="1:24">
      <c r="A8092">
        <f>HYPERLINK("https://www.philgeps.gov.ph/GEPSNONPILOT/Tender/SplashBidNoticeAbstractUI.aspx?menuIndex=3&amp;refID=7037942&amp;Result=3","7037942")</f>
        <v>0</v>
      </c>
      <c r="B8092" t="s">
        <v>2150</v>
      </c>
      <c r="C8092" t="s">
        <v>10911</v>
      </c>
      <c r="D8092" t="s">
        <v>18062</v>
      </c>
      <c r="E8092" t="s">
        <v>25211</v>
      </c>
      <c r="F8092" t="s">
        <v>31574</v>
      </c>
      <c r="G8092" t="s">
        <v>31583</v>
      </c>
      <c r="H8092" t="s">
        <v>31590</v>
      </c>
      <c r="I8092" t="s">
        <v>7185</v>
      </c>
      <c r="J8092" t="s">
        <v>36861</v>
      </c>
      <c r="K8092" t="s">
        <v>41193</v>
      </c>
      <c r="M8092" t="s">
        <v>43832</v>
      </c>
      <c r="N8092" t="s">
        <v>45095</v>
      </c>
      <c r="O8092" t="s">
        <v>45096</v>
      </c>
      <c r="P8092">
        <v>0</v>
      </c>
      <c r="Q8092">
        <v>2</v>
      </c>
      <c r="R8092" t="s">
        <v>45103</v>
      </c>
      <c r="S8092" t="s">
        <v>45270</v>
      </c>
      <c r="T8092" t="s">
        <v>47183</v>
      </c>
      <c r="U8092" t="s">
        <v>54189</v>
      </c>
      <c r="W8092" t="s">
        <v>43832</v>
      </c>
      <c r="X8092" t="s">
        <v>45104</v>
      </c>
    </row>
    <row r="8093" spans="1:24">
      <c r="A8093">
        <f>HYPERLINK("https://www.philgeps.gov.ph/GEPSNONPILOT/Tender/SplashBidNoticeAbstractUI.aspx?menuIndex=3&amp;refID=7037948&amp;Result=3","7037948")</f>
        <v>0</v>
      </c>
      <c r="B8093" t="s">
        <v>2307</v>
      </c>
      <c r="C8093" t="s">
        <v>10912</v>
      </c>
      <c r="D8093" t="s">
        <v>18078</v>
      </c>
      <c r="E8093" t="s">
        <v>25212</v>
      </c>
      <c r="F8093" t="s">
        <v>31574</v>
      </c>
      <c r="G8093" t="s">
        <v>31581</v>
      </c>
      <c r="H8093" t="s">
        <v>31591</v>
      </c>
      <c r="I8093" t="s">
        <v>31638</v>
      </c>
      <c r="J8093" t="s">
        <v>36862</v>
      </c>
      <c r="K8093" t="s">
        <v>41260</v>
      </c>
      <c r="M8093" t="s">
        <v>44017</v>
      </c>
      <c r="N8093" t="s">
        <v>45095</v>
      </c>
      <c r="O8093" t="s">
        <v>45096</v>
      </c>
      <c r="P8093">
        <v>0</v>
      </c>
      <c r="Q8093">
        <v>4</v>
      </c>
      <c r="R8093" t="s">
        <v>45103</v>
      </c>
      <c r="S8093" t="s">
        <v>45270</v>
      </c>
      <c r="T8093" t="s">
        <v>47154</v>
      </c>
      <c r="U8093" t="s">
        <v>54155</v>
      </c>
      <c r="W8093" t="s">
        <v>44017</v>
      </c>
      <c r="X8093" t="s">
        <v>45104</v>
      </c>
    </row>
    <row r="8094" spans="1:24">
      <c r="A8094">
        <f>HYPERLINK("https://www.philgeps.gov.ph/GEPSNONPILOT/Tender/SplashBidNoticeAbstractUI.aspx?menuIndex=3&amp;refID=7037954&amp;Result=3","7037954")</f>
        <v>0</v>
      </c>
      <c r="B8094" t="s">
        <v>2307</v>
      </c>
      <c r="C8094" t="s">
        <v>10913</v>
      </c>
      <c r="D8094" t="s">
        <v>18056</v>
      </c>
      <c r="E8094" t="s">
        <v>25213</v>
      </c>
      <c r="F8094" t="s">
        <v>31574</v>
      </c>
      <c r="G8094" t="s">
        <v>31581</v>
      </c>
      <c r="H8094" t="s">
        <v>31591</v>
      </c>
      <c r="I8094" t="s">
        <v>31656</v>
      </c>
      <c r="J8094" t="s">
        <v>36863</v>
      </c>
      <c r="K8094" t="s">
        <v>41192</v>
      </c>
      <c r="M8094" t="s">
        <v>44017</v>
      </c>
      <c r="N8094" t="s">
        <v>45095</v>
      </c>
      <c r="O8094" t="s">
        <v>45096</v>
      </c>
      <c r="P8094">
        <v>0</v>
      </c>
      <c r="Q8094">
        <v>6</v>
      </c>
      <c r="R8094" t="s">
        <v>45103</v>
      </c>
      <c r="S8094" t="s">
        <v>45270</v>
      </c>
      <c r="T8094" t="s">
        <v>47154</v>
      </c>
      <c r="U8094" t="s">
        <v>54155</v>
      </c>
      <c r="W8094" t="s">
        <v>44017</v>
      </c>
      <c r="X8094" t="s">
        <v>45104</v>
      </c>
    </row>
    <row r="8095" spans="1:24">
      <c r="A8095">
        <f>HYPERLINK("https://www.philgeps.gov.ph/GEPSNONPILOT/Tender/SplashBidNoticeAbstractUI.aspx?menuIndex=3&amp;refID=7037958&amp;Result=3","7037958")</f>
        <v>0</v>
      </c>
      <c r="B8095" t="s">
        <v>2317</v>
      </c>
      <c r="C8095" t="s">
        <v>10914</v>
      </c>
      <c r="D8095" t="s">
        <v>18036</v>
      </c>
      <c r="E8095" t="s">
        <v>25214</v>
      </c>
      <c r="F8095" t="s">
        <v>31574</v>
      </c>
      <c r="G8095" t="s">
        <v>31583</v>
      </c>
      <c r="H8095" t="s">
        <v>31590</v>
      </c>
      <c r="I8095" t="s">
        <v>31603</v>
      </c>
      <c r="J8095" t="s">
        <v>36864</v>
      </c>
      <c r="K8095" t="s">
        <v>41196</v>
      </c>
      <c r="M8095" t="s">
        <v>44027</v>
      </c>
      <c r="N8095" t="s">
        <v>45095</v>
      </c>
      <c r="O8095" t="s">
        <v>45096</v>
      </c>
      <c r="P8095">
        <v>0</v>
      </c>
      <c r="Q8095">
        <v>2</v>
      </c>
      <c r="R8095" t="s">
        <v>45103</v>
      </c>
      <c r="S8095" t="s">
        <v>45270</v>
      </c>
      <c r="T8095" t="s">
        <v>46973</v>
      </c>
      <c r="U8095" t="s">
        <v>54190</v>
      </c>
      <c r="W8095" t="s">
        <v>44027</v>
      </c>
      <c r="X8095" t="s">
        <v>45104</v>
      </c>
    </row>
    <row r="8096" spans="1:24">
      <c r="A8096">
        <f>HYPERLINK("https://www.philgeps.gov.ph/GEPSNONPILOT/Tender/SplashBidNoticeAbstractUI.aspx?menuIndex=3&amp;refID=7037959&amp;Result=3","7037959")</f>
        <v>0</v>
      </c>
      <c r="B8096" t="s">
        <v>59</v>
      </c>
      <c r="C8096" t="s">
        <v>10915</v>
      </c>
      <c r="D8096" t="s">
        <v>18048</v>
      </c>
      <c r="E8096" t="s">
        <v>25215</v>
      </c>
      <c r="F8096" t="s">
        <v>31574</v>
      </c>
      <c r="G8096" t="s">
        <v>31583</v>
      </c>
      <c r="H8096" t="s">
        <v>31590</v>
      </c>
      <c r="I8096" t="s">
        <v>31669</v>
      </c>
      <c r="J8096" t="s">
        <v>31780</v>
      </c>
      <c r="K8096" t="s">
        <v>41185</v>
      </c>
      <c r="M8096" t="s">
        <v>41543</v>
      </c>
      <c r="N8096" t="s">
        <v>45095</v>
      </c>
      <c r="O8096" t="s">
        <v>45096</v>
      </c>
      <c r="P8096">
        <v>0</v>
      </c>
      <c r="Q8096">
        <v>2</v>
      </c>
      <c r="R8096" t="s">
        <v>45103</v>
      </c>
      <c r="S8096" t="s">
        <v>45270</v>
      </c>
      <c r="T8096" t="s">
        <v>47050</v>
      </c>
      <c r="U8096" t="s">
        <v>54191</v>
      </c>
      <c r="V8096" t="s">
        <v>59856</v>
      </c>
      <c r="W8096" t="s">
        <v>41543</v>
      </c>
      <c r="X8096" t="s">
        <v>45104</v>
      </c>
    </row>
    <row r="8097" spans="1:24">
      <c r="A8097">
        <f>HYPERLINK("https://www.philgeps.gov.ph/GEPSNONPILOT/Tender/SplashBidNoticeAbstractUI.aspx?menuIndex=3&amp;refID=7037956&amp;Result=3","7037956")</f>
        <v>0</v>
      </c>
      <c r="B8097" t="s">
        <v>2307</v>
      </c>
      <c r="C8097" t="s">
        <v>10916</v>
      </c>
      <c r="D8097" t="s">
        <v>18056</v>
      </c>
      <c r="E8097" t="s">
        <v>25216</v>
      </c>
      <c r="F8097" t="s">
        <v>31574</v>
      </c>
      <c r="G8097" t="s">
        <v>31581</v>
      </c>
      <c r="H8097" t="s">
        <v>31591</v>
      </c>
      <c r="I8097" t="s">
        <v>31623</v>
      </c>
      <c r="J8097" t="s">
        <v>36865</v>
      </c>
      <c r="K8097" t="s">
        <v>41203</v>
      </c>
      <c r="M8097" t="s">
        <v>44017</v>
      </c>
      <c r="N8097" t="s">
        <v>45095</v>
      </c>
      <c r="O8097" t="s">
        <v>45096</v>
      </c>
      <c r="P8097">
        <v>0</v>
      </c>
      <c r="Q8097">
        <v>2</v>
      </c>
      <c r="R8097" t="s">
        <v>45103</v>
      </c>
      <c r="S8097" t="s">
        <v>45270</v>
      </c>
      <c r="T8097" t="s">
        <v>47154</v>
      </c>
      <c r="U8097" t="s">
        <v>54155</v>
      </c>
      <c r="W8097" t="s">
        <v>44017</v>
      </c>
      <c r="X8097" t="s">
        <v>45104</v>
      </c>
    </row>
    <row r="8098" spans="1:24">
      <c r="A8098">
        <f>HYPERLINK("https://www.philgeps.gov.ph/GEPSNONPILOT/Tender/SplashBidNoticeAbstractUI.aspx?menuIndex=3&amp;refID=7037957&amp;Result=3","7037957")</f>
        <v>0</v>
      </c>
      <c r="B8098" t="s">
        <v>2307</v>
      </c>
      <c r="C8098" t="s">
        <v>10917</v>
      </c>
      <c r="D8098" t="s">
        <v>18064</v>
      </c>
      <c r="E8098" t="s">
        <v>25217</v>
      </c>
      <c r="F8098" t="s">
        <v>31574</v>
      </c>
      <c r="G8098" t="s">
        <v>31581</v>
      </c>
      <c r="H8098" t="s">
        <v>31591</v>
      </c>
      <c r="I8098" t="s">
        <v>31623</v>
      </c>
      <c r="J8098" t="s">
        <v>36866</v>
      </c>
      <c r="K8098" t="s">
        <v>41217</v>
      </c>
      <c r="M8098" t="s">
        <v>44017</v>
      </c>
      <c r="N8098" t="s">
        <v>45095</v>
      </c>
      <c r="O8098" t="s">
        <v>45096</v>
      </c>
      <c r="P8098">
        <v>0</v>
      </c>
      <c r="Q8098">
        <v>0</v>
      </c>
      <c r="R8098" t="s">
        <v>45103</v>
      </c>
      <c r="S8098" t="s">
        <v>45270</v>
      </c>
      <c r="T8098" t="s">
        <v>47154</v>
      </c>
      <c r="U8098" t="s">
        <v>54155</v>
      </c>
      <c r="W8098" t="s">
        <v>44017</v>
      </c>
      <c r="X8098" t="s">
        <v>45104</v>
      </c>
    </row>
    <row r="8099" spans="1:24">
      <c r="A8099">
        <f>HYPERLINK("https://www.philgeps.gov.ph/GEPSNONPILOT/Tender/SplashBidNoticeAbstractUI.aspx?menuIndex=3&amp;refID=7037960&amp;Result=3","7037960")</f>
        <v>0</v>
      </c>
      <c r="B8099" t="s">
        <v>2313</v>
      </c>
      <c r="C8099" t="s">
        <v>10918</v>
      </c>
      <c r="D8099" t="s">
        <v>18094</v>
      </c>
      <c r="E8099" t="s">
        <v>25218</v>
      </c>
      <c r="F8099" t="s">
        <v>31574</v>
      </c>
      <c r="G8099" t="s">
        <v>31582</v>
      </c>
      <c r="H8099" t="s">
        <v>31590</v>
      </c>
      <c r="I8099" t="s">
        <v>31603</v>
      </c>
      <c r="J8099" t="s">
        <v>34017</v>
      </c>
      <c r="K8099" t="s">
        <v>41191</v>
      </c>
      <c r="M8099" t="s">
        <v>44023</v>
      </c>
      <c r="N8099" t="s">
        <v>45095</v>
      </c>
      <c r="O8099" t="s">
        <v>45096</v>
      </c>
      <c r="P8099">
        <v>0</v>
      </c>
      <c r="Q8099">
        <v>4</v>
      </c>
      <c r="R8099" t="s">
        <v>45103</v>
      </c>
      <c r="S8099" t="s">
        <v>45270</v>
      </c>
      <c r="T8099" t="s">
        <v>47276</v>
      </c>
      <c r="U8099" t="s">
        <v>54192</v>
      </c>
      <c r="V8099" t="s">
        <v>60705</v>
      </c>
      <c r="W8099" t="s">
        <v>44023</v>
      </c>
      <c r="X8099" t="s">
        <v>45104</v>
      </c>
    </row>
    <row r="8100" spans="1:24">
      <c r="A8100">
        <f>HYPERLINK("https://www.philgeps.gov.ph/GEPSNONPILOT/Tender/SplashBidNoticeAbstractUI.aspx?menuIndex=3&amp;refID=7037944&amp;Result=3","7037944")</f>
        <v>0</v>
      </c>
      <c r="B8100" t="s">
        <v>2301</v>
      </c>
      <c r="C8100" t="s">
        <v>10919</v>
      </c>
      <c r="E8100" t="s">
        <v>18936</v>
      </c>
      <c r="F8100" t="s">
        <v>31574</v>
      </c>
      <c r="G8100" t="s">
        <v>31582</v>
      </c>
      <c r="H8100" t="s">
        <v>31590</v>
      </c>
      <c r="I8100" t="s">
        <v>31689</v>
      </c>
      <c r="J8100" t="s">
        <v>31726</v>
      </c>
      <c r="K8100" t="s">
        <v>41184</v>
      </c>
      <c r="M8100" t="s">
        <v>44011</v>
      </c>
      <c r="N8100" t="s">
        <v>45095</v>
      </c>
      <c r="O8100" t="s">
        <v>45096</v>
      </c>
      <c r="P8100">
        <v>0</v>
      </c>
      <c r="Q8100">
        <v>1</v>
      </c>
      <c r="R8100" t="s">
        <v>45103</v>
      </c>
      <c r="S8100" t="s">
        <v>45270</v>
      </c>
      <c r="T8100" t="s">
        <v>46985</v>
      </c>
      <c r="U8100" t="s">
        <v>54193</v>
      </c>
      <c r="W8100" t="s">
        <v>44011</v>
      </c>
      <c r="X8100" t="s">
        <v>45104</v>
      </c>
    </row>
    <row r="8101" spans="1:24">
      <c r="A8101">
        <f>HYPERLINK("https://www.philgeps.gov.ph/GEPSNONPILOT/Tender/SplashBidNoticeAbstractUI.aspx?menuIndex=3&amp;refID=7037963&amp;Result=3","7037963")</f>
        <v>0</v>
      </c>
      <c r="B8101" t="s">
        <v>2318</v>
      </c>
      <c r="C8101" t="s">
        <v>10920</v>
      </c>
      <c r="E8101" t="s">
        <v>25219</v>
      </c>
      <c r="F8101" t="s">
        <v>31574</v>
      </c>
      <c r="G8101" t="s">
        <v>31582</v>
      </c>
      <c r="H8101" t="s">
        <v>31591</v>
      </c>
      <c r="I8101" t="s">
        <v>8822</v>
      </c>
      <c r="J8101" t="s">
        <v>31935</v>
      </c>
      <c r="K8101" t="s">
        <v>41189</v>
      </c>
      <c r="M8101" t="s">
        <v>44028</v>
      </c>
      <c r="N8101" t="s">
        <v>45095</v>
      </c>
      <c r="O8101" t="s">
        <v>45096</v>
      </c>
      <c r="P8101">
        <v>0</v>
      </c>
      <c r="Q8101">
        <v>0</v>
      </c>
      <c r="R8101" t="s">
        <v>45103</v>
      </c>
      <c r="S8101" t="s">
        <v>45270</v>
      </c>
      <c r="T8101" t="s">
        <v>46988</v>
      </c>
      <c r="U8101" t="s">
        <v>54194</v>
      </c>
      <c r="W8101" t="s">
        <v>44028</v>
      </c>
      <c r="X8101" t="s">
        <v>45104</v>
      </c>
    </row>
    <row r="8102" spans="1:24">
      <c r="A8102">
        <f>HYPERLINK("https://www.philgeps.gov.ph/GEPSNONPILOT/Tender/SplashBidNoticeAbstractUI.aspx?menuIndex=3&amp;refID=7037965&amp;Result=3","7037965")</f>
        <v>0</v>
      </c>
      <c r="B8102" t="s">
        <v>2307</v>
      </c>
      <c r="C8102" t="s">
        <v>10921</v>
      </c>
      <c r="D8102" t="s">
        <v>18064</v>
      </c>
      <c r="E8102" t="s">
        <v>25220</v>
      </c>
      <c r="F8102" t="s">
        <v>31574</v>
      </c>
      <c r="G8102" t="s">
        <v>31581</v>
      </c>
      <c r="H8102" t="s">
        <v>31591</v>
      </c>
      <c r="I8102" t="s">
        <v>31638</v>
      </c>
      <c r="J8102" t="s">
        <v>36867</v>
      </c>
      <c r="K8102" t="s">
        <v>41195</v>
      </c>
      <c r="M8102" t="s">
        <v>44017</v>
      </c>
      <c r="N8102" t="s">
        <v>45095</v>
      </c>
      <c r="O8102" t="s">
        <v>45096</v>
      </c>
      <c r="P8102">
        <v>0</v>
      </c>
      <c r="Q8102">
        <v>1</v>
      </c>
      <c r="R8102" t="s">
        <v>45103</v>
      </c>
      <c r="S8102" t="s">
        <v>45270</v>
      </c>
      <c r="T8102" t="s">
        <v>47154</v>
      </c>
      <c r="U8102" t="s">
        <v>54155</v>
      </c>
      <c r="W8102" t="s">
        <v>44017</v>
      </c>
      <c r="X8102" t="s">
        <v>45104</v>
      </c>
    </row>
    <row r="8103" spans="1:24">
      <c r="A8103">
        <f>HYPERLINK("https://www.philgeps.gov.ph/GEPSNONPILOT/Tender/SplashBidNoticeAbstractUI.aspx?menuIndex=3&amp;refID=7037962&amp;Result=3","7037962")</f>
        <v>0</v>
      </c>
      <c r="B8103" t="s">
        <v>891</v>
      </c>
      <c r="C8103" t="s">
        <v>10922</v>
      </c>
      <c r="D8103" t="s">
        <v>18066</v>
      </c>
      <c r="E8103" t="s">
        <v>25221</v>
      </c>
      <c r="F8103" t="s">
        <v>31574</v>
      </c>
      <c r="G8103" t="s">
        <v>31582</v>
      </c>
      <c r="H8103" t="s">
        <v>31590</v>
      </c>
      <c r="I8103" t="s">
        <v>4046</v>
      </c>
      <c r="J8103" t="s">
        <v>36868</v>
      </c>
      <c r="K8103" t="s">
        <v>41194</v>
      </c>
      <c r="M8103" t="s">
        <v>42414</v>
      </c>
      <c r="N8103" t="s">
        <v>45095</v>
      </c>
      <c r="O8103" t="s">
        <v>45096</v>
      </c>
      <c r="P8103">
        <v>0</v>
      </c>
      <c r="Q8103">
        <v>0</v>
      </c>
      <c r="R8103" t="s">
        <v>45103</v>
      </c>
      <c r="S8103" t="s">
        <v>45270</v>
      </c>
      <c r="T8103" t="s">
        <v>47011</v>
      </c>
      <c r="U8103" t="s">
        <v>49388</v>
      </c>
      <c r="V8103" t="s">
        <v>60706</v>
      </c>
      <c r="W8103" t="s">
        <v>42414</v>
      </c>
      <c r="X8103" t="s">
        <v>45104</v>
      </c>
    </row>
    <row r="8104" spans="1:24">
      <c r="A8104">
        <f>HYPERLINK("https://www.philgeps.gov.ph/GEPSNONPILOT/Tender/SplashBidNoticeAbstractUI.aspx?menuIndex=3&amp;refID=7037973&amp;Result=3","7037973")</f>
        <v>0</v>
      </c>
      <c r="B8104" t="s">
        <v>2317</v>
      </c>
      <c r="C8104" t="s">
        <v>10923</v>
      </c>
      <c r="D8104" t="s">
        <v>18036</v>
      </c>
      <c r="E8104" t="s">
        <v>25222</v>
      </c>
      <c r="F8104" t="s">
        <v>31574</v>
      </c>
      <c r="G8104" t="s">
        <v>31583</v>
      </c>
      <c r="H8104" t="s">
        <v>31590</v>
      </c>
      <c r="I8104" t="s">
        <v>5717</v>
      </c>
      <c r="J8104" t="s">
        <v>36869</v>
      </c>
      <c r="K8104" t="s">
        <v>41196</v>
      </c>
      <c r="M8104" t="s">
        <v>44027</v>
      </c>
      <c r="N8104" t="s">
        <v>45095</v>
      </c>
      <c r="O8104" t="s">
        <v>45096</v>
      </c>
      <c r="P8104">
        <v>0</v>
      </c>
      <c r="Q8104">
        <v>6</v>
      </c>
      <c r="R8104" t="s">
        <v>45103</v>
      </c>
      <c r="S8104" t="s">
        <v>45270</v>
      </c>
      <c r="T8104" t="s">
        <v>46973</v>
      </c>
      <c r="U8104" t="s">
        <v>54195</v>
      </c>
      <c r="W8104" t="s">
        <v>44027</v>
      </c>
      <c r="X8104" t="s">
        <v>45104</v>
      </c>
    </row>
    <row r="8105" spans="1:24">
      <c r="A8105">
        <f>HYPERLINK("https://www.philgeps.gov.ph/GEPSNONPILOT/Tender/SplashBidNoticeAbstractUI.aspx?menuIndex=3&amp;refID=7037966&amp;Result=3","7037966")</f>
        <v>0</v>
      </c>
      <c r="B8105" t="s">
        <v>2313</v>
      </c>
      <c r="C8105" t="s">
        <v>10924</v>
      </c>
      <c r="D8105" t="s">
        <v>18094</v>
      </c>
      <c r="E8105" t="s">
        <v>25223</v>
      </c>
      <c r="F8105" t="s">
        <v>31574</v>
      </c>
      <c r="G8105" t="s">
        <v>31582</v>
      </c>
      <c r="H8105" t="s">
        <v>31590</v>
      </c>
      <c r="I8105" t="s">
        <v>31603</v>
      </c>
      <c r="J8105" t="s">
        <v>36870</v>
      </c>
      <c r="K8105" t="s">
        <v>41191</v>
      </c>
      <c r="M8105" t="s">
        <v>44023</v>
      </c>
      <c r="N8105" t="s">
        <v>45095</v>
      </c>
      <c r="O8105" t="s">
        <v>45096</v>
      </c>
      <c r="P8105">
        <v>0</v>
      </c>
      <c r="Q8105">
        <v>4</v>
      </c>
      <c r="R8105" t="s">
        <v>45103</v>
      </c>
      <c r="S8105" t="s">
        <v>45270</v>
      </c>
      <c r="T8105" t="s">
        <v>47276</v>
      </c>
      <c r="U8105" t="s">
        <v>54196</v>
      </c>
      <c r="V8105" t="s">
        <v>60705</v>
      </c>
      <c r="W8105" t="s">
        <v>44023</v>
      </c>
      <c r="X8105" t="s">
        <v>45104</v>
      </c>
    </row>
    <row r="8106" spans="1:24">
      <c r="A8106">
        <f>HYPERLINK("https://www.philgeps.gov.ph/GEPSNONPILOT/Tender/SplashBidNoticeAbstractUI.aspx?menuIndex=3&amp;refID=7037978&amp;Result=3","7037978")</f>
        <v>0</v>
      </c>
      <c r="B8106" t="s">
        <v>929</v>
      </c>
      <c r="C8106" t="s">
        <v>10925</v>
      </c>
      <c r="D8106" t="s">
        <v>18025</v>
      </c>
      <c r="E8106" t="s">
        <v>25224</v>
      </c>
      <c r="F8106" t="s">
        <v>31574</v>
      </c>
      <c r="G8106" t="s">
        <v>31582</v>
      </c>
      <c r="H8106" t="s">
        <v>31590</v>
      </c>
      <c r="I8106" t="s">
        <v>3487</v>
      </c>
      <c r="J8106" t="s">
        <v>36871</v>
      </c>
      <c r="K8106" t="s">
        <v>41196</v>
      </c>
      <c r="M8106" t="s">
        <v>42456</v>
      </c>
      <c r="N8106" t="s">
        <v>45095</v>
      </c>
      <c r="O8106" t="s">
        <v>45096</v>
      </c>
      <c r="P8106">
        <v>0</v>
      </c>
      <c r="Q8106">
        <v>6</v>
      </c>
      <c r="R8106" t="s">
        <v>45103</v>
      </c>
      <c r="S8106" t="s">
        <v>45270</v>
      </c>
      <c r="T8106" t="s">
        <v>46921</v>
      </c>
      <c r="U8106" t="s">
        <v>54197</v>
      </c>
      <c r="W8106" t="s">
        <v>42456</v>
      </c>
      <c r="X8106" t="s">
        <v>45104</v>
      </c>
    </row>
    <row r="8107" spans="1:24">
      <c r="A8107">
        <f>HYPERLINK("https://www.philgeps.gov.ph/GEPSNONPILOT/Tender/SplashBidNoticeAbstractUI.aspx?menuIndex=3&amp;refID=7037979&amp;Result=3","7037979")</f>
        <v>0</v>
      </c>
      <c r="B8107" t="s">
        <v>2319</v>
      </c>
      <c r="C8107" t="s">
        <v>10926</v>
      </c>
      <c r="D8107" t="s">
        <v>18023</v>
      </c>
      <c r="E8107" t="s">
        <v>25225</v>
      </c>
      <c r="F8107" t="s">
        <v>31575</v>
      </c>
      <c r="G8107" t="s">
        <v>31581</v>
      </c>
      <c r="H8107" t="s">
        <v>31590</v>
      </c>
      <c r="I8107" t="s">
        <v>31648</v>
      </c>
      <c r="J8107" t="s">
        <v>36872</v>
      </c>
      <c r="K8107" t="s">
        <v>41193</v>
      </c>
      <c r="M8107" t="s">
        <v>44029</v>
      </c>
      <c r="N8107" t="s">
        <v>45095</v>
      </c>
      <c r="O8107" t="s">
        <v>45096</v>
      </c>
      <c r="P8107">
        <v>0</v>
      </c>
      <c r="Q8107">
        <v>2</v>
      </c>
      <c r="R8107" t="s">
        <v>45103</v>
      </c>
      <c r="S8107" t="s">
        <v>45270</v>
      </c>
      <c r="T8107" t="s">
        <v>46985</v>
      </c>
      <c r="U8107" t="s">
        <v>54198</v>
      </c>
      <c r="W8107" t="s">
        <v>44029</v>
      </c>
      <c r="X8107" t="s">
        <v>45104</v>
      </c>
    </row>
    <row r="8108" spans="1:24">
      <c r="A8108">
        <f>HYPERLINK("https://www.philgeps.gov.ph/GEPSNONPILOT/Tender/SplashBidNoticeAbstractUI.aspx?menuIndex=3&amp;refID=7037974&amp;Result=3","7037974")</f>
        <v>0</v>
      </c>
      <c r="B8108" t="s">
        <v>2313</v>
      </c>
      <c r="C8108" t="s">
        <v>10927</v>
      </c>
      <c r="D8108" t="s">
        <v>18094</v>
      </c>
      <c r="E8108" t="s">
        <v>25226</v>
      </c>
      <c r="F8108" t="s">
        <v>31574</v>
      </c>
      <c r="G8108" t="s">
        <v>31582</v>
      </c>
      <c r="H8108" t="s">
        <v>31590</v>
      </c>
      <c r="I8108" t="s">
        <v>6800</v>
      </c>
      <c r="J8108" t="s">
        <v>36873</v>
      </c>
      <c r="K8108" t="s">
        <v>41191</v>
      </c>
      <c r="M8108" t="s">
        <v>44023</v>
      </c>
      <c r="N8108" t="s">
        <v>45095</v>
      </c>
      <c r="O8108" t="s">
        <v>45096</v>
      </c>
      <c r="P8108">
        <v>0</v>
      </c>
      <c r="Q8108">
        <v>1</v>
      </c>
      <c r="R8108" t="s">
        <v>45103</v>
      </c>
      <c r="S8108" t="s">
        <v>45270</v>
      </c>
      <c r="T8108" t="s">
        <v>47245</v>
      </c>
      <c r="U8108" t="s">
        <v>54199</v>
      </c>
      <c r="V8108" t="s">
        <v>60705</v>
      </c>
      <c r="W8108" t="s">
        <v>44023</v>
      </c>
      <c r="X8108" t="s">
        <v>45104</v>
      </c>
    </row>
    <row r="8109" spans="1:24">
      <c r="A8109">
        <f>HYPERLINK("https://www.philgeps.gov.ph/GEPSNONPILOT/Tender/SplashBidNoticeAbstractUI.aspx?menuIndex=3&amp;refID=7037972&amp;Result=3","7037972")</f>
        <v>0</v>
      </c>
      <c r="B8109" t="s">
        <v>929</v>
      </c>
      <c r="C8109" t="s">
        <v>4411</v>
      </c>
      <c r="D8109" t="s">
        <v>18025</v>
      </c>
      <c r="E8109" t="s">
        <v>25227</v>
      </c>
      <c r="F8109" t="s">
        <v>31574</v>
      </c>
      <c r="G8109" t="s">
        <v>31582</v>
      </c>
      <c r="H8109" t="s">
        <v>31590</v>
      </c>
      <c r="I8109" t="s">
        <v>31631</v>
      </c>
      <c r="J8109" t="s">
        <v>36874</v>
      </c>
      <c r="K8109" t="s">
        <v>41196</v>
      </c>
      <c r="M8109" t="s">
        <v>42456</v>
      </c>
      <c r="N8109" t="s">
        <v>45095</v>
      </c>
      <c r="O8109" t="s">
        <v>45096</v>
      </c>
      <c r="P8109">
        <v>0</v>
      </c>
      <c r="Q8109">
        <v>4</v>
      </c>
      <c r="R8109" t="s">
        <v>45103</v>
      </c>
      <c r="S8109" t="s">
        <v>45270</v>
      </c>
      <c r="T8109" t="s">
        <v>46921</v>
      </c>
      <c r="U8109" t="s">
        <v>54200</v>
      </c>
      <c r="W8109" t="s">
        <v>42456</v>
      </c>
      <c r="X8109" t="s">
        <v>45104</v>
      </c>
    </row>
    <row r="8110" spans="1:24">
      <c r="A8110">
        <f>HYPERLINK("https://www.philgeps.gov.ph/GEPSNONPILOT/Tender/SplashBidNoticeAbstractUI.aspx?menuIndex=3&amp;refID=7037968&amp;Result=3","7037968")</f>
        <v>0</v>
      </c>
      <c r="B8110" t="s">
        <v>2317</v>
      </c>
      <c r="C8110" t="s">
        <v>10923</v>
      </c>
      <c r="D8110" t="s">
        <v>18036</v>
      </c>
      <c r="E8110" t="s">
        <v>25228</v>
      </c>
      <c r="F8110" t="s">
        <v>31574</v>
      </c>
      <c r="G8110" t="s">
        <v>31583</v>
      </c>
      <c r="H8110" t="s">
        <v>31590</v>
      </c>
      <c r="I8110" t="s">
        <v>5717</v>
      </c>
      <c r="J8110" t="s">
        <v>36875</v>
      </c>
      <c r="K8110" t="s">
        <v>41196</v>
      </c>
      <c r="M8110" t="s">
        <v>44027</v>
      </c>
      <c r="N8110" t="s">
        <v>45095</v>
      </c>
      <c r="O8110" t="s">
        <v>45096</v>
      </c>
      <c r="P8110">
        <v>0</v>
      </c>
      <c r="Q8110">
        <v>8</v>
      </c>
      <c r="R8110" t="s">
        <v>45103</v>
      </c>
      <c r="S8110" t="s">
        <v>45270</v>
      </c>
      <c r="T8110" t="s">
        <v>46973</v>
      </c>
      <c r="U8110" t="s">
        <v>54195</v>
      </c>
      <c r="W8110" t="s">
        <v>44027</v>
      </c>
      <c r="X8110" t="s">
        <v>45104</v>
      </c>
    </row>
    <row r="8111" spans="1:24">
      <c r="A8111">
        <f>HYPERLINK("https://www.philgeps.gov.ph/GEPSNONPILOT/Tender/SplashBidNoticeAbstractUI.aspx?menuIndex=3&amp;refID=7037969&amp;Result=3","7037969")</f>
        <v>0</v>
      </c>
      <c r="B8111" t="s">
        <v>2290</v>
      </c>
      <c r="C8111" t="s">
        <v>10928</v>
      </c>
      <c r="D8111" t="s">
        <v>18090</v>
      </c>
      <c r="E8111" t="s">
        <v>25229</v>
      </c>
      <c r="F8111" t="s">
        <v>31574</v>
      </c>
      <c r="G8111" t="s">
        <v>31582</v>
      </c>
      <c r="H8111" t="s">
        <v>31591</v>
      </c>
      <c r="I8111" t="s">
        <v>8822</v>
      </c>
      <c r="J8111" t="s">
        <v>36876</v>
      </c>
      <c r="K8111" t="s">
        <v>41185</v>
      </c>
      <c r="M8111" t="s">
        <v>43999</v>
      </c>
      <c r="N8111" t="s">
        <v>45095</v>
      </c>
      <c r="O8111" t="s">
        <v>45096</v>
      </c>
      <c r="P8111">
        <v>0</v>
      </c>
      <c r="Q8111">
        <v>7</v>
      </c>
      <c r="R8111" t="s">
        <v>45103</v>
      </c>
      <c r="S8111" t="s">
        <v>45270</v>
      </c>
      <c r="T8111" t="s">
        <v>46992</v>
      </c>
      <c r="U8111" t="s">
        <v>54201</v>
      </c>
      <c r="W8111" t="s">
        <v>43999</v>
      </c>
      <c r="X8111" t="s">
        <v>45104</v>
      </c>
    </row>
    <row r="8112" spans="1:24">
      <c r="A8112">
        <f>HYPERLINK("https://www.philgeps.gov.ph/GEPSNONPILOT/Tender/SplashBidNoticeAbstractUI.aspx?menuIndex=3&amp;refID=7037970&amp;Result=3","7037970")</f>
        <v>0</v>
      </c>
      <c r="B8112" t="s">
        <v>1995</v>
      </c>
      <c r="C8112" t="s">
        <v>10929</v>
      </c>
      <c r="D8112" t="s">
        <v>18066</v>
      </c>
      <c r="E8112" t="s">
        <v>25230</v>
      </c>
      <c r="F8112" t="s">
        <v>31574</v>
      </c>
      <c r="G8112" t="s">
        <v>31582</v>
      </c>
      <c r="H8112" t="s">
        <v>31591</v>
      </c>
      <c r="I8112" t="s">
        <v>8822</v>
      </c>
      <c r="J8112" t="s">
        <v>36877</v>
      </c>
      <c r="K8112" t="s">
        <v>41184</v>
      </c>
      <c r="M8112" t="s">
        <v>43657</v>
      </c>
      <c r="N8112" t="s">
        <v>45095</v>
      </c>
      <c r="O8112" t="s">
        <v>45096</v>
      </c>
      <c r="P8112">
        <v>0</v>
      </c>
      <c r="Q8112">
        <v>1</v>
      </c>
      <c r="R8112" t="s">
        <v>45103</v>
      </c>
      <c r="S8112" t="s">
        <v>45270</v>
      </c>
      <c r="T8112" t="s">
        <v>47067</v>
      </c>
      <c r="U8112" t="s">
        <v>54202</v>
      </c>
      <c r="W8112" t="s">
        <v>43657</v>
      </c>
      <c r="X8112" t="s">
        <v>45104</v>
      </c>
    </row>
    <row r="8113" spans="1:24">
      <c r="A8113">
        <f>HYPERLINK("https://www.philgeps.gov.ph/GEPSNONPILOT/Tender/SplashBidNoticeAbstractUI.aspx?menuIndex=3&amp;refID=7037977&amp;Result=3","7037977")</f>
        <v>0</v>
      </c>
      <c r="B8113" t="s">
        <v>1995</v>
      </c>
      <c r="C8113" t="s">
        <v>10930</v>
      </c>
      <c r="D8113" t="s">
        <v>18066</v>
      </c>
      <c r="E8113" t="s">
        <v>25231</v>
      </c>
      <c r="F8113" t="s">
        <v>31574</v>
      </c>
      <c r="G8113" t="s">
        <v>31582</v>
      </c>
      <c r="H8113" t="s">
        <v>31591</v>
      </c>
      <c r="I8113" t="s">
        <v>8822</v>
      </c>
      <c r="J8113" t="s">
        <v>36878</v>
      </c>
      <c r="K8113" t="s">
        <v>41184</v>
      </c>
      <c r="M8113" t="s">
        <v>43657</v>
      </c>
      <c r="N8113" t="s">
        <v>45095</v>
      </c>
      <c r="O8113" t="s">
        <v>45096</v>
      </c>
      <c r="P8113">
        <v>0</v>
      </c>
      <c r="Q8113">
        <v>2</v>
      </c>
      <c r="R8113" t="s">
        <v>45103</v>
      </c>
      <c r="S8113" t="s">
        <v>45270</v>
      </c>
      <c r="T8113" t="s">
        <v>47067</v>
      </c>
      <c r="U8113" t="s">
        <v>54203</v>
      </c>
      <c r="W8113" t="s">
        <v>43657</v>
      </c>
      <c r="X8113" t="s">
        <v>45104</v>
      </c>
    </row>
    <row r="8114" spans="1:24">
      <c r="A8114">
        <f>HYPERLINK("https://www.philgeps.gov.ph/GEPSNONPILOT/Tender/SplashBidNoticeAbstractUI.aspx?menuIndex=3&amp;refID=7037967&amp;Result=3","7037967")</f>
        <v>0</v>
      </c>
      <c r="B8114" t="s">
        <v>929</v>
      </c>
      <c r="C8114" t="s">
        <v>10931</v>
      </c>
      <c r="D8114" t="s">
        <v>18025</v>
      </c>
      <c r="E8114" t="s">
        <v>25232</v>
      </c>
      <c r="F8114" t="s">
        <v>31574</v>
      </c>
      <c r="G8114" t="s">
        <v>31582</v>
      </c>
      <c r="H8114" t="s">
        <v>31590</v>
      </c>
      <c r="I8114" t="s">
        <v>31642</v>
      </c>
      <c r="J8114" t="s">
        <v>36879</v>
      </c>
      <c r="K8114" t="s">
        <v>41196</v>
      </c>
      <c r="M8114" t="s">
        <v>42456</v>
      </c>
      <c r="N8114" t="s">
        <v>45095</v>
      </c>
      <c r="O8114" t="s">
        <v>45096</v>
      </c>
      <c r="P8114">
        <v>0</v>
      </c>
      <c r="Q8114">
        <v>3</v>
      </c>
      <c r="R8114" t="s">
        <v>45103</v>
      </c>
      <c r="S8114" t="s">
        <v>45270</v>
      </c>
      <c r="T8114" t="s">
        <v>46921</v>
      </c>
      <c r="U8114" t="s">
        <v>54204</v>
      </c>
      <c r="W8114" t="s">
        <v>42456</v>
      </c>
      <c r="X8114" t="s">
        <v>45104</v>
      </c>
    </row>
    <row r="8115" spans="1:24">
      <c r="A8115">
        <f>HYPERLINK("https://www.philgeps.gov.ph/GEPSNONPILOT/Tender/SplashBidNoticeAbstractUI.aspx?menuIndex=3&amp;refID=7037988&amp;Result=3","7037988")</f>
        <v>0</v>
      </c>
      <c r="B8115" t="s">
        <v>2252</v>
      </c>
      <c r="C8115" t="s">
        <v>10462</v>
      </c>
      <c r="D8115" t="s">
        <v>18089</v>
      </c>
      <c r="E8115" t="s">
        <v>25233</v>
      </c>
      <c r="F8115" t="s">
        <v>31574</v>
      </c>
      <c r="G8115" t="s">
        <v>31582</v>
      </c>
      <c r="H8115" t="s">
        <v>31590</v>
      </c>
      <c r="I8115" t="s">
        <v>31608</v>
      </c>
      <c r="J8115" t="s">
        <v>33231</v>
      </c>
      <c r="K8115" t="s">
        <v>41186</v>
      </c>
      <c r="M8115" t="s">
        <v>43950</v>
      </c>
      <c r="N8115" t="s">
        <v>45095</v>
      </c>
      <c r="O8115" t="s">
        <v>45096</v>
      </c>
      <c r="P8115">
        <v>0</v>
      </c>
      <c r="Q8115">
        <v>1</v>
      </c>
      <c r="R8115" t="s">
        <v>45103</v>
      </c>
      <c r="S8115" t="s">
        <v>45270</v>
      </c>
      <c r="T8115" t="s">
        <v>47247</v>
      </c>
      <c r="U8115" t="s">
        <v>54205</v>
      </c>
      <c r="W8115" t="s">
        <v>43950</v>
      </c>
      <c r="X8115" t="s">
        <v>45104</v>
      </c>
    </row>
    <row r="8116" spans="1:24">
      <c r="A8116">
        <f>HYPERLINK("https://www.philgeps.gov.ph/GEPSNONPILOT/Tender/SplashBidNoticeAbstractUI.aspx?menuIndex=3&amp;refID=7037975&amp;Result=3","7037975")</f>
        <v>0</v>
      </c>
      <c r="B8116" t="s">
        <v>2318</v>
      </c>
      <c r="C8116" t="s">
        <v>10932</v>
      </c>
      <c r="E8116" t="s">
        <v>25234</v>
      </c>
      <c r="F8116" t="s">
        <v>31574</v>
      </c>
      <c r="G8116" t="s">
        <v>31582</v>
      </c>
      <c r="H8116" t="s">
        <v>31590</v>
      </c>
      <c r="I8116" t="s">
        <v>4046</v>
      </c>
      <c r="J8116" t="s">
        <v>36880</v>
      </c>
      <c r="K8116" t="s">
        <v>41190</v>
      </c>
      <c r="M8116" t="s">
        <v>44028</v>
      </c>
      <c r="N8116" t="s">
        <v>45095</v>
      </c>
      <c r="O8116" t="s">
        <v>45096</v>
      </c>
      <c r="P8116">
        <v>0</v>
      </c>
      <c r="Q8116">
        <v>0</v>
      </c>
      <c r="R8116" t="s">
        <v>45103</v>
      </c>
      <c r="S8116" t="s">
        <v>45270</v>
      </c>
      <c r="T8116" t="s">
        <v>46973</v>
      </c>
      <c r="U8116" t="s">
        <v>54206</v>
      </c>
      <c r="W8116" t="s">
        <v>44028</v>
      </c>
      <c r="X8116" t="s">
        <v>45104</v>
      </c>
    </row>
    <row r="8117" spans="1:24">
      <c r="A8117">
        <f>HYPERLINK("https://www.philgeps.gov.ph/GEPSNONPILOT/Tender/SplashBidNoticeAbstractUI.aspx?menuIndex=3&amp;refID=7037986&amp;Result=3","7037986")</f>
        <v>0</v>
      </c>
      <c r="B8117" t="s">
        <v>2290</v>
      </c>
      <c r="C8117" t="s">
        <v>10933</v>
      </c>
      <c r="D8117" t="s">
        <v>18090</v>
      </c>
      <c r="E8117" t="s">
        <v>25235</v>
      </c>
      <c r="F8117" t="s">
        <v>31574</v>
      </c>
      <c r="G8117" t="s">
        <v>31582</v>
      </c>
      <c r="H8117" t="s">
        <v>31591</v>
      </c>
      <c r="I8117" t="s">
        <v>8822</v>
      </c>
      <c r="J8117" t="s">
        <v>36881</v>
      </c>
      <c r="K8117" t="s">
        <v>41185</v>
      </c>
      <c r="M8117" t="s">
        <v>43999</v>
      </c>
      <c r="N8117" t="s">
        <v>45095</v>
      </c>
      <c r="O8117" t="s">
        <v>45096</v>
      </c>
      <c r="P8117">
        <v>0</v>
      </c>
      <c r="Q8117">
        <v>6</v>
      </c>
      <c r="R8117" t="s">
        <v>45103</v>
      </c>
      <c r="S8117" t="s">
        <v>45270</v>
      </c>
      <c r="T8117" t="s">
        <v>46992</v>
      </c>
      <c r="U8117" t="s">
        <v>54207</v>
      </c>
      <c r="W8117" t="s">
        <v>43999</v>
      </c>
      <c r="X8117" t="s">
        <v>45104</v>
      </c>
    </row>
    <row r="8118" spans="1:24">
      <c r="A8118">
        <f>HYPERLINK("https://www.philgeps.gov.ph/GEPSNONPILOT/Tender/SplashBidNoticeAbstractUI.aspx?menuIndex=3&amp;refID=7037989&amp;Result=3","7037989")</f>
        <v>0</v>
      </c>
      <c r="B8118" t="s">
        <v>2320</v>
      </c>
      <c r="C8118" t="s">
        <v>10934</v>
      </c>
      <c r="D8118" t="s">
        <v>18022</v>
      </c>
      <c r="E8118" t="s">
        <v>25236</v>
      </c>
      <c r="F8118" t="s">
        <v>31574</v>
      </c>
      <c r="G8118" t="s">
        <v>31582</v>
      </c>
      <c r="H8118" t="s">
        <v>31590</v>
      </c>
      <c r="I8118" t="s">
        <v>31593</v>
      </c>
      <c r="J8118" t="s">
        <v>31730</v>
      </c>
      <c r="K8118" t="s">
        <v>41346</v>
      </c>
      <c r="M8118" t="s">
        <v>44030</v>
      </c>
      <c r="N8118" t="s">
        <v>45095</v>
      </c>
      <c r="O8118" t="s">
        <v>45096</v>
      </c>
      <c r="Q8118">
        <v>10</v>
      </c>
      <c r="R8118" t="s">
        <v>45103</v>
      </c>
      <c r="S8118" t="s">
        <v>45303</v>
      </c>
      <c r="T8118" t="s">
        <v>46915</v>
      </c>
      <c r="U8118" t="s">
        <v>54208</v>
      </c>
      <c r="V8118" t="s">
        <v>60707</v>
      </c>
      <c r="W8118" t="s">
        <v>44030</v>
      </c>
      <c r="X8118" t="s">
        <v>45104</v>
      </c>
    </row>
    <row r="8119" spans="1:24">
      <c r="A8119">
        <f>HYPERLINK("https://www.philgeps.gov.ph/GEPSNONPILOT/Tender/SplashBidNoticeAbstractUI.aspx?menuIndex=3&amp;refID=7037990&amp;Result=3","7037990")</f>
        <v>0</v>
      </c>
      <c r="B8119" t="s">
        <v>2321</v>
      </c>
      <c r="C8119" t="s">
        <v>10935</v>
      </c>
      <c r="D8119" t="s">
        <v>18022</v>
      </c>
      <c r="E8119" t="s">
        <v>18175</v>
      </c>
      <c r="F8119" t="s">
        <v>31574</v>
      </c>
      <c r="G8119" t="s">
        <v>31582</v>
      </c>
      <c r="H8119" t="s">
        <v>31590</v>
      </c>
      <c r="I8119" t="s">
        <v>3487</v>
      </c>
      <c r="J8119" t="s">
        <v>36882</v>
      </c>
      <c r="K8119" t="s">
        <v>41213</v>
      </c>
      <c r="M8119" t="s">
        <v>44031</v>
      </c>
      <c r="N8119" t="s">
        <v>45095</v>
      </c>
      <c r="O8119" t="s">
        <v>45096</v>
      </c>
      <c r="P8119">
        <v>0</v>
      </c>
      <c r="Q8119">
        <v>1</v>
      </c>
      <c r="R8119" t="s">
        <v>45103</v>
      </c>
      <c r="S8119" t="s">
        <v>45270</v>
      </c>
      <c r="T8119" t="s">
        <v>47050</v>
      </c>
      <c r="U8119" t="s">
        <v>54209</v>
      </c>
      <c r="V8119" t="s">
        <v>60591</v>
      </c>
      <c r="W8119" t="s">
        <v>44031</v>
      </c>
      <c r="X8119" t="s">
        <v>45104</v>
      </c>
    </row>
    <row r="8120" spans="1:24">
      <c r="A8120">
        <f>HYPERLINK("https://www.philgeps.gov.ph/GEPSNONPILOT/Tender/SplashBidNoticeAbstractUI.aspx?menuIndex=3&amp;refID=7037971&amp;Result=3","7037971")</f>
        <v>0</v>
      </c>
      <c r="B8120" t="s">
        <v>2318</v>
      </c>
      <c r="C8120" t="s">
        <v>10936</v>
      </c>
      <c r="E8120" t="s">
        <v>25237</v>
      </c>
      <c r="F8120" t="s">
        <v>31574</v>
      </c>
      <c r="G8120" t="s">
        <v>31582</v>
      </c>
      <c r="H8120" t="s">
        <v>31590</v>
      </c>
      <c r="I8120" t="s">
        <v>31629</v>
      </c>
      <c r="J8120" t="s">
        <v>33039</v>
      </c>
      <c r="K8120" t="s">
        <v>41190</v>
      </c>
      <c r="M8120" t="s">
        <v>44028</v>
      </c>
      <c r="N8120" t="s">
        <v>45095</v>
      </c>
      <c r="O8120" t="s">
        <v>45096</v>
      </c>
      <c r="P8120">
        <v>0</v>
      </c>
      <c r="Q8120">
        <v>0</v>
      </c>
      <c r="R8120" t="s">
        <v>45103</v>
      </c>
      <c r="S8120" t="s">
        <v>45270</v>
      </c>
      <c r="T8120" t="s">
        <v>46973</v>
      </c>
      <c r="U8120" t="s">
        <v>54210</v>
      </c>
      <c r="W8120" t="s">
        <v>44028</v>
      </c>
      <c r="X8120" t="s">
        <v>45104</v>
      </c>
    </row>
    <row r="8121" spans="1:24">
      <c r="A8121">
        <f>HYPERLINK("https://www.philgeps.gov.ph/GEPSNONPILOT/Tender/SplashBidNoticeAbstractUI.aspx?menuIndex=3&amp;refID=7037983&amp;Result=3","7037983")</f>
        <v>0</v>
      </c>
      <c r="B8121" t="s">
        <v>929</v>
      </c>
      <c r="C8121" t="s">
        <v>10937</v>
      </c>
      <c r="D8121" t="s">
        <v>18025</v>
      </c>
      <c r="E8121" t="s">
        <v>25238</v>
      </c>
      <c r="F8121" t="s">
        <v>31574</v>
      </c>
      <c r="G8121" t="s">
        <v>31582</v>
      </c>
      <c r="H8121" t="s">
        <v>31590</v>
      </c>
      <c r="I8121" t="s">
        <v>31640</v>
      </c>
      <c r="J8121" t="s">
        <v>36883</v>
      </c>
      <c r="K8121" t="s">
        <v>41186</v>
      </c>
      <c r="M8121" t="s">
        <v>42456</v>
      </c>
      <c r="N8121" t="s">
        <v>45095</v>
      </c>
      <c r="O8121" t="s">
        <v>45096</v>
      </c>
      <c r="P8121">
        <v>0</v>
      </c>
      <c r="Q8121">
        <v>6</v>
      </c>
      <c r="R8121" t="s">
        <v>45103</v>
      </c>
      <c r="S8121" t="s">
        <v>45270</v>
      </c>
      <c r="T8121" t="s">
        <v>46921</v>
      </c>
      <c r="U8121" t="s">
        <v>54211</v>
      </c>
      <c r="W8121" t="s">
        <v>42456</v>
      </c>
      <c r="X8121" t="s">
        <v>45104</v>
      </c>
    </row>
    <row r="8122" spans="1:24">
      <c r="A8122">
        <f>HYPERLINK("https://www.philgeps.gov.ph/GEPSNONPILOT/Tender/SplashBidNoticeAbstractUI.aspx?menuIndex=3&amp;refID=7038003&amp;Result=3","7038003")</f>
        <v>0</v>
      </c>
      <c r="B8122" t="s">
        <v>2290</v>
      </c>
      <c r="C8122" t="s">
        <v>10938</v>
      </c>
      <c r="D8122" t="s">
        <v>18090</v>
      </c>
      <c r="E8122" t="s">
        <v>25239</v>
      </c>
      <c r="F8122" t="s">
        <v>31574</v>
      </c>
      <c r="G8122" t="s">
        <v>31582</v>
      </c>
      <c r="H8122" t="s">
        <v>31591</v>
      </c>
      <c r="I8122" t="s">
        <v>8822</v>
      </c>
      <c r="J8122" t="s">
        <v>36884</v>
      </c>
      <c r="K8122" t="s">
        <v>41185</v>
      </c>
      <c r="M8122" t="s">
        <v>43999</v>
      </c>
      <c r="N8122" t="s">
        <v>45095</v>
      </c>
      <c r="O8122" t="s">
        <v>45096</v>
      </c>
      <c r="P8122">
        <v>0</v>
      </c>
      <c r="Q8122">
        <v>7</v>
      </c>
      <c r="R8122" t="s">
        <v>45103</v>
      </c>
      <c r="S8122" t="s">
        <v>45270</v>
      </c>
      <c r="T8122" t="s">
        <v>46992</v>
      </c>
      <c r="U8122" t="s">
        <v>54212</v>
      </c>
      <c r="W8122" t="s">
        <v>43999</v>
      </c>
      <c r="X8122" t="s">
        <v>45104</v>
      </c>
    </row>
    <row r="8123" spans="1:24">
      <c r="A8123">
        <f>HYPERLINK("https://www.philgeps.gov.ph/GEPSNONPILOT/Tender/SplashBidNoticeAbstractUI.aspx?menuIndex=3&amp;refID=7037981&amp;Result=3","7037981")</f>
        <v>0</v>
      </c>
      <c r="B8123" t="s">
        <v>2290</v>
      </c>
      <c r="C8123" t="s">
        <v>10939</v>
      </c>
      <c r="D8123" t="s">
        <v>18090</v>
      </c>
      <c r="E8123" t="s">
        <v>25240</v>
      </c>
      <c r="F8123" t="s">
        <v>31574</v>
      </c>
      <c r="G8123" t="s">
        <v>31582</v>
      </c>
      <c r="H8123" t="s">
        <v>31591</v>
      </c>
      <c r="I8123" t="s">
        <v>8822</v>
      </c>
      <c r="J8123" t="s">
        <v>36885</v>
      </c>
      <c r="K8123" t="s">
        <v>41192</v>
      </c>
      <c r="M8123" t="s">
        <v>43999</v>
      </c>
      <c r="N8123" t="s">
        <v>45095</v>
      </c>
      <c r="O8123" t="s">
        <v>45096</v>
      </c>
      <c r="P8123">
        <v>0</v>
      </c>
      <c r="Q8123">
        <v>8</v>
      </c>
      <c r="R8123" t="s">
        <v>45103</v>
      </c>
      <c r="S8123" t="s">
        <v>45270</v>
      </c>
      <c r="T8123" t="s">
        <v>46992</v>
      </c>
      <c r="U8123" t="s">
        <v>54213</v>
      </c>
      <c r="W8123" t="s">
        <v>43999</v>
      </c>
      <c r="X8123" t="s">
        <v>45104</v>
      </c>
    </row>
    <row r="8124" spans="1:24">
      <c r="A8124">
        <f>HYPERLINK("https://www.philgeps.gov.ph/GEPSNONPILOT/Tender/SplashBidNoticeAbstractUI.aspx?menuIndex=3&amp;refID=7037999&amp;Result=3","7037999")</f>
        <v>0</v>
      </c>
      <c r="B8124" t="s">
        <v>1234</v>
      </c>
      <c r="C8124" t="s">
        <v>10940</v>
      </c>
      <c r="D8124" t="s">
        <v>18094</v>
      </c>
      <c r="E8124" t="s">
        <v>25241</v>
      </c>
      <c r="F8124" t="s">
        <v>31574</v>
      </c>
      <c r="G8124" t="s">
        <v>31582</v>
      </c>
      <c r="H8124" t="s">
        <v>31590</v>
      </c>
      <c r="I8124" t="s">
        <v>4327</v>
      </c>
      <c r="J8124" t="s">
        <v>32020</v>
      </c>
      <c r="K8124" t="s">
        <v>41186</v>
      </c>
      <c r="M8124" t="s">
        <v>42796</v>
      </c>
      <c r="N8124" t="s">
        <v>45095</v>
      </c>
      <c r="O8124" t="s">
        <v>45096</v>
      </c>
      <c r="P8124">
        <v>0</v>
      </c>
      <c r="Q8124">
        <v>0</v>
      </c>
      <c r="R8124" t="s">
        <v>45103</v>
      </c>
      <c r="S8124" t="s">
        <v>45270</v>
      </c>
      <c r="T8124" t="s">
        <v>47134</v>
      </c>
      <c r="U8124" t="s">
        <v>54214</v>
      </c>
      <c r="W8124" t="s">
        <v>42796</v>
      </c>
      <c r="X8124" t="s">
        <v>45104</v>
      </c>
    </row>
    <row r="8125" spans="1:24">
      <c r="A8125">
        <f>HYPERLINK("https://www.philgeps.gov.ph/GEPSNONPILOT/Tender/SplashBidNoticeAbstractUI.aspx?menuIndex=3&amp;refID=7037995&amp;Result=3","7037995")</f>
        <v>0</v>
      </c>
      <c r="B8125" t="s">
        <v>887</v>
      </c>
      <c r="C8125" t="s">
        <v>10941</v>
      </c>
      <c r="D8125" t="s">
        <v>18100</v>
      </c>
      <c r="E8125" t="s">
        <v>25242</v>
      </c>
      <c r="F8125" t="s">
        <v>31574</v>
      </c>
      <c r="G8125" t="s">
        <v>31582</v>
      </c>
      <c r="H8125" t="s">
        <v>31591</v>
      </c>
      <c r="I8125" t="s">
        <v>8822</v>
      </c>
      <c r="J8125" t="s">
        <v>36886</v>
      </c>
      <c r="K8125" t="s">
        <v>41189</v>
      </c>
      <c r="M8125" t="s">
        <v>42408</v>
      </c>
      <c r="N8125" t="s">
        <v>45095</v>
      </c>
      <c r="O8125" t="s">
        <v>45096</v>
      </c>
      <c r="P8125">
        <v>0</v>
      </c>
      <c r="Q8125">
        <v>8</v>
      </c>
      <c r="R8125" t="s">
        <v>45103</v>
      </c>
      <c r="S8125" t="s">
        <v>45270</v>
      </c>
      <c r="T8125" t="s">
        <v>47304</v>
      </c>
      <c r="U8125" t="s">
        <v>54215</v>
      </c>
      <c r="W8125" t="s">
        <v>61684</v>
      </c>
      <c r="X8125" t="s">
        <v>45104</v>
      </c>
    </row>
    <row r="8126" spans="1:24">
      <c r="A8126">
        <f>HYPERLINK("https://www.philgeps.gov.ph/GEPSNONPILOT/Tender/SplashBidNoticeAbstractUI.aspx?menuIndex=3&amp;refID=7038004&amp;Result=3","7038004")</f>
        <v>0</v>
      </c>
      <c r="B8126" t="s">
        <v>1234</v>
      </c>
      <c r="C8126" t="s">
        <v>10942</v>
      </c>
      <c r="D8126" t="s">
        <v>18094</v>
      </c>
      <c r="E8126" t="s">
        <v>25243</v>
      </c>
      <c r="F8126" t="s">
        <v>31574</v>
      </c>
      <c r="G8126" t="s">
        <v>31582</v>
      </c>
      <c r="H8126" t="s">
        <v>31590</v>
      </c>
      <c r="I8126" t="s">
        <v>31620</v>
      </c>
      <c r="J8126" t="s">
        <v>32583</v>
      </c>
      <c r="K8126" t="s">
        <v>41186</v>
      </c>
      <c r="M8126" t="s">
        <v>42796</v>
      </c>
      <c r="N8126" t="s">
        <v>45095</v>
      </c>
      <c r="O8126" t="s">
        <v>45096</v>
      </c>
      <c r="P8126">
        <v>0</v>
      </c>
      <c r="Q8126">
        <v>1</v>
      </c>
      <c r="R8126" t="s">
        <v>45103</v>
      </c>
      <c r="S8126" t="s">
        <v>45270</v>
      </c>
      <c r="T8126" t="s">
        <v>47134</v>
      </c>
      <c r="U8126" t="s">
        <v>54216</v>
      </c>
      <c r="W8126" t="s">
        <v>42796</v>
      </c>
      <c r="X8126" t="s">
        <v>45104</v>
      </c>
    </row>
    <row r="8127" spans="1:24">
      <c r="A8127">
        <f>HYPERLINK("https://www.philgeps.gov.ph/GEPSNONPILOT/Tender/SplashBidNoticeAbstractUI.aspx?menuIndex=3&amp;refID=7038005&amp;Result=3","7038005")</f>
        <v>0</v>
      </c>
      <c r="B8127" t="s">
        <v>2004</v>
      </c>
      <c r="C8127" t="s">
        <v>10943</v>
      </c>
      <c r="D8127" t="s">
        <v>18062</v>
      </c>
      <c r="E8127" t="s">
        <v>25244</v>
      </c>
      <c r="F8127" t="s">
        <v>31574</v>
      </c>
      <c r="G8127" t="s">
        <v>31581</v>
      </c>
      <c r="H8127" t="s">
        <v>31590</v>
      </c>
      <c r="I8127" t="s">
        <v>31607</v>
      </c>
      <c r="J8127" t="s">
        <v>31848</v>
      </c>
      <c r="K8127" t="s">
        <v>41186</v>
      </c>
      <c r="M8127" t="s">
        <v>43666</v>
      </c>
      <c r="N8127" t="s">
        <v>45095</v>
      </c>
      <c r="O8127" t="s">
        <v>45096</v>
      </c>
      <c r="P8127">
        <v>0</v>
      </c>
      <c r="Q8127">
        <v>5</v>
      </c>
      <c r="R8127" t="s">
        <v>45103</v>
      </c>
      <c r="S8127" t="s">
        <v>45270</v>
      </c>
      <c r="T8127" t="s">
        <v>47243</v>
      </c>
      <c r="U8127" t="s">
        <v>54217</v>
      </c>
      <c r="W8127" t="s">
        <v>43666</v>
      </c>
      <c r="X8127" t="s">
        <v>45104</v>
      </c>
    </row>
    <row r="8128" spans="1:24">
      <c r="A8128">
        <f>HYPERLINK("https://www.philgeps.gov.ph/GEPSNONPILOT/Tender/SplashBidNoticeAbstractUI.aspx?menuIndex=3&amp;refID=7037992&amp;Result=3","7037992")</f>
        <v>0</v>
      </c>
      <c r="B8128" t="s">
        <v>2319</v>
      </c>
      <c r="C8128" t="s">
        <v>10944</v>
      </c>
      <c r="D8128" t="s">
        <v>18023</v>
      </c>
      <c r="E8128" t="s">
        <v>25245</v>
      </c>
      <c r="F8128" t="s">
        <v>31575</v>
      </c>
      <c r="G8128" t="s">
        <v>31581</v>
      </c>
      <c r="H8128" t="s">
        <v>31590</v>
      </c>
      <c r="I8128" t="s">
        <v>31616</v>
      </c>
      <c r="J8128" t="s">
        <v>32258</v>
      </c>
      <c r="K8128" t="s">
        <v>41193</v>
      </c>
      <c r="M8128" t="s">
        <v>44029</v>
      </c>
      <c r="N8128" t="s">
        <v>45095</v>
      </c>
      <c r="O8128" t="s">
        <v>45096</v>
      </c>
      <c r="P8128">
        <v>0</v>
      </c>
      <c r="Q8128">
        <v>4</v>
      </c>
      <c r="R8128" t="s">
        <v>45103</v>
      </c>
      <c r="S8128" t="s">
        <v>45270</v>
      </c>
      <c r="T8128" t="s">
        <v>46985</v>
      </c>
      <c r="U8128" t="s">
        <v>54218</v>
      </c>
      <c r="W8128" t="s">
        <v>44029</v>
      </c>
      <c r="X8128" t="s">
        <v>45104</v>
      </c>
    </row>
    <row r="8129" spans="1:24">
      <c r="A8129">
        <f>HYPERLINK("https://www.philgeps.gov.ph/GEPSNONPILOT/Tender/SplashBidNoticeAbstractUI.aspx?menuIndex=3&amp;refID=7037998&amp;Result=3","7037998")</f>
        <v>0</v>
      </c>
      <c r="B8129" t="s">
        <v>2320</v>
      </c>
      <c r="C8129" t="s">
        <v>10945</v>
      </c>
      <c r="D8129" t="s">
        <v>18022</v>
      </c>
      <c r="E8129" t="s">
        <v>25246</v>
      </c>
      <c r="F8129" t="s">
        <v>31574</v>
      </c>
      <c r="G8129" t="s">
        <v>31581</v>
      </c>
      <c r="H8129" t="s">
        <v>31590</v>
      </c>
      <c r="I8129" t="s">
        <v>31608</v>
      </c>
      <c r="J8129" t="s">
        <v>31947</v>
      </c>
      <c r="K8129" t="s">
        <v>41190</v>
      </c>
      <c r="M8129" t="s">
        <v>44030</v>
      </c>
      <c r="N8129" t="s">
        <v>45095</v>
      </c>
      <c r="O8129" t="s">
        <v>45096</v>
      </c>
      <c r="P8129">
        <v>0</v>
      </c>
      <c r="Q8129">
        <v>9</v>
      </c>
      <c r="R8129" t="s">
        <v>45103</v>
      </c>
      <c r="S8129" t="s">
        <v>45270</v>
      </c>
      <c r="T8129" t="s">
        <v>47159</v>
      </c>
      <c r="U8129" t="s">
        <v>54219</v>
      </c>
      <c r="V8129" t="s">
        <v>60707</v>
      </c>
      <c r="W8129" t="s">
        <v>44030</v>
      </c>
      <c r="X8129" t="s">
        <v>45104</v>
      </c>
    </row>
    <row r="8130" spans="1:24">
      <c r="A8130">
        <f>HYPERLINK("https://www.philgeps.gov.ph/GEPSNONPILOT/Tender/SplashBidNoticeAbstractUI.aspx?menuIndex=3&amp;refID=7038000&amp;Result=3","7038000")</f>
        <v>0</v>
      </c>
      <c r="B8130" t="s">
        <v>2290</v>
      </c>
      <c r="C8130" t="s">
        <v>10946</v>
      </c>
      <c r="D8130" t="s">
        <v>18090</v>
      </c>
      <c r="E8130" t="s">
        <v>25247</v>
      </c>
      <c r="F8130" t="s">
        <v>31574</v>
      </c>
      <c r="G8130" t="s">
        <v>31582</v>
      </c>
      <c r="H8130" t="s">
        <v>31591</v>
      </c>
      <c r="I8130" t="s">
        <v>8822</v>
      </c>
      <c r="J8130" t="s">
        <v>36887</v>
      </c>
      <c r="K8130" t="s">
        <v>41209</v>
      </c>
      <c r="M8130" t="s">
        <v>43999</v>
      </c>
      <c r="N8130" t="s">
        <v>45095</v>
      </c>
      <c r="O8130" t="s">
        <v>45096</v>
      </c>
      <c r="P8130">
        <v>0</v>
      </c>
      <c r="Q8130">
        <v>9</v>
      </c>
      <c r="R8130" t="s">
        <v>45103</v>
      </c>
      <c r="S8130" t="s">
        <v>45270</v>
      </c>
      <c r="T8130" t="s">
        <v>46992</v>
      </c>
      <c r="U8130" t="s">
        <v>54220</v>
      </c>
      <c r="W8130" t="s">
        <v>43999</v>
      </c>
      <c r="X8130" t="s">
        <v>45104</v>
      </c>
    </row>
    <row r="8131" spans="1:24">
      <c r="A8131">
        <f>HYPERLINK("https://www.philgeps.gov.ph/GEPSNONPILOT/Tender/SplashBidNoticeAbstractUI.aspx?menuIndex=3&amp;refID=7038013&amp;Result=3","7038013")</f>
        <v>0</v>
      </c>
      <c r="B8131" t="s">
        <v>26</v>
      </c>
      <c r="C8131" t="s">
        <v>10947</v>
      </c>
      <c r="D8131" t="s">
        <v>18023</v>
      </c>
      <c r="E8131" t="s">
        <v>25248</v>
      </c>
      <c r="F8131" t="s">
        <v>31574</v>
      </c>
      <c r="G8131" t="s">
        <v>31582</v>
      </c>
      <c r="H8131" t="s">
        <v>31592</v>
      </c>
      <c r="I8131" t="s">
        <v>31615</v>
      </c>
      <c r="J8131" t="s">
        <v>31927</v>
      </c>
      <c r="K8131" t="s">
        <v>41186</v>
      </c>
      <c r="M8131" t="s">
        <v>41508</v>
      </c>
      <c r="N8131" t="s">
        <v>45095</v>
      </c>
      <c r="O8131" t="s">
        <v>45096</v>
      </c>
      <c r="P8131">
        <v>0</v>
      </c>
      <c r="Q8131">
        <v>0</v>
      </c>
      <c r="R8131" t="s">
        <v>45103</v>
      </c>
      <c r="S8131" t="s">
        <v>45270</v>
      </c>
      <c r="T8131" t="s">
        <v>46982</v>
      </c>
      <c r="U8131" t="s">
        <v>54221</v>
      </c>
      <c r="W8131" t="s">
        <v>41508</v>
      </c>
      <c r="X8131" t="s">
        <v>45104</v>
      </c>
    </row>
    <row r="8132" spans="1:24">
      <c r="A8132">
        <f>HYPERLINK("https://www.philgeps.gov.ph/GEPSNONPILOT/Tender/SplashBidNoticeAbstractUI.aspx?menuIndex=3&amp;refID=7038016&amp;Result=3","7038016")</f>
        <v>0</v>
      </c>
      <c r="B8132" t="s">
        <v>2322</v>
      </c>
      <c r="C8132" t="s">
        <v>10948</v>
      </c>
      <c r="D8132" t="s">
        <v>18043</v>
      </c>
      <c r="E8132" t="s">
        <v>18422</v>
      </c>
      <c r="F8132" t="s">
        <v>31574</v>
      </c>
      <c r="G8132" t="s">
        <v>31581</v>
      </c>
      <c r="H8132" t="s">
        <v>31590</v>
      </c>
      <c r="I8132" t="s">
        <v>3520</v>
      </c>
      <c r="J8132" t="s">
        <v>36888</v>
      </c>
      <c r="K8132" t="s">
        <v>41213</v>
      </c>
      <c r="M8132" t="s">
        <v>44032</v>
      </c>
      <c r="N8132" t="s">
        <v>45095</v>
      </c>
      <c r="O8132" t="s">
        <v>45096</v>
      </c>
      <c r="P8132">
        <v>0</v>
      </c>
      <c r="Q8132">
        <v>2</v>
      </c>
      <c r="R8132" t="s">
        <v>45103</v>
      </c>
      <c r="S8132" t="s">
        <v>45270</v>
      </c>
      <c r="T8132" t="s">
        <v>47158</v>
      </c>
      <c r="U8132" t="s">
        <v>54222</v>
      </c>
      <c r="W8132" t="s">
        <v>44032</v>
      </c>
      <c r="X8132" t="s">
        <v>45104</v>
      </c>
    </row>
    <row r="8133" spans="1:24">
      <c r="A8133">
        <f>HYPERLINK("https://www.philgeps.gov.ph/GEPSNONPILOT/Tender/SplashBidNoticeAbstractUI.aspx?menuIndex=3&amp;refID=7037993&amp;Result=3","7037993")</f>
        <v>0</v>
      </c>
      <c r="B8133" t="s">
        <v>1234</v>
      </c>
      <c r="C8133" t="s">
        <v>10949</v>
      </c>
      <c r="D8133" t="s">
        <v>18094</v>
      </c>
      <c r="E8133" t="s">
        <v>25249</v>
      </c>
      <c r="F8133" t="s">
        <v>31574</v>
      </c>
      <c r="G8133" t="s">
        <v>31582</v>
      </c>
      <c r="H8133" t="s">
        <v>31590</v>
      </c>
      <c r="I8133" t="s">
        <v>3651</v>
      </c>
      <c r="J8133" t="s">
        <v>36889</v>
      </c>
      <c r="K8133" t="s">
        <v>41186</v>
      </c>
      <c r="M8133" t="s">
        <v>42796</v>
      </c>
      <c r="N8133" t="s">
        <v>45095</v>
      </c>
      <c r="O8133" t="s">
        <v>45096</v>
      </c>
      <c r="P8133">
        <v>0</v>
      </c>
      <c r="Q8133">
        <v>0</v>
      </c>
      <c r="R8133" t="s">
        <v>45103</v>
      </c>
      <c r="S8133" t="s">
        <v>45270</v>
      </c>
      <c r="T8133" t="s">
        <v>47134</v>
      </c>
      <c r="U8133" t="s">
        <v>54223</v>
      </c>
      <c r="W8133" t="s">
        <v>42796</v>
      </c>
      <c r="X8133" t="s">
        <v>45104</v>
      </c>
    </row>
    <row r="8134" spans="1:24">
      <c r="A8134">
        <f>HYPERLINK("https://www.philgeps.gov.ph/GEPSNONPILOT/Tender/SplashBidNoticeAbstractUI.aspx?menuIndex=3&amp;refID=7037991&amp;Result=3","7037991")</f>
        <v>0</v>
      </c>
      <c r="B8134" t="s">
        <v>2290</v>
      </c>
      <c r="C8134" t="s">
        <v>10950</v>
      </c>
      <c r="D8134" t="s">
        <v>18090</v>
      </c>
      <c r="E8134" t="s">
        <v>25250</v>
      </c>
      <c r="F8134" t="s">
        <v>31574</v>
      </c>
      <c r="G8134" t="s">
        <v>31582</v>
      </c>
      <c r="H8134" t="s">
        <v>31591</v>
      </c>
      <c r="I8134" t="s">
        <v>8822</v>
      </c>
      <c r="J8134" t="s">
        <v>36890</v>
      </c>
      <c r="K8134" t="s">
        <v>41192</v>
      </c>
      <c r="M8134" t="s">
        <v>43999</v>
      </c>
      <c r="N8134" t="s">
        <v>45095</v>
      </c>
      <c r="O8134" t="s">
        <v>45096</v>
      </c>
      <c r="P8134">
        <v>0</v>
      </c>
      <c r="Q8134">
        <v>9</v>
      </c>
      <c r="R8134" t="s">
        <v>45103</v>
      </c>
      <c r="S8134" t="s">
        <v>45270</v>
      </c>
      <c r="T8134" t="s">
        <v>46992</v>
      </c>
      <c r="U8134" t="s">
        <v>54224</v>
      </c>
      <c r="W8134" t="s">
        <v>43999</v>
      </c>
      <c r="X8134" t="s">
        <v>45104</v>
      </c>
    </row>
    <row r="8135" spans="1:24">
      <c r="A8135">
        <f>HYPERLINK("https://www.philgeps.gov.ph/GEPSNONPILOT/Tender/SplashBidNoticeAbstractUI.aspx?menuIndex=3&amp;refID=7038014&amp;Result=3","7038014")</f>
        <v>0</v>
      </c>
      <c r="B8135" t="s">
        <v>2323</v>
      </c>
      <c r="C8135" t="s">
        <v>10951</v>
      </c>
      <c r="D8135" t="s">
        <v>18063</v>
      </c>
      <c r="E8135" t="s">
        <v>25251</v>
      </c>
      <c r="F8135" t="s">
        <v>31574</v>
      </c>
      <c r="G8135" t="s">
        <v>31582</v>
      </c>
      <c r="H8135" t="s">
        <v>31591</v>
      </c>
      <c r="I8135" t="s">
        <v>8822</v>
      </c>
      <c r="J8135" t="s">
        <v>34923</v>
      </c>
      <c r="K8135" t="s">
        <v>41200</v>
      </c>
      <c r="M8135" t="s">
        <v>44033</v>
      </c>
      <c r="N8135" t="s">
        <v>45095</v>
      </c>
      <c r="O8135" t="s">
        <v>45096</v>
      </c>
      <c r="P8135">
        <v>0</v>
      </c>
      <c r="Q8135">
        <v>0</v>
      </c>
      <c r="R8135" t="s">
        <v>45103</v>
      </c>
      <c r="S8135" t="s">
        <v>45270</v>
      </c>
      <c r="T8135" t="s">
        <v>46988</v>
      </c>
      <c r="U8135" t="s">
        <v>54225</v>
      </c>
      <c r="V8135" t="s">
        <v>60708</v>
      </c>
      <c r="W8135" t="s">
        <v>61733</v>
      </c>
      <c r="X8135" t="s">
        <v>45104</v>
      </c>
    </row>
    <row r="8136" spans="1:24">
      <c r="A8136">
        <f>HYPERLINK("https://www.philgeps.gov.ph/GEPSNONPILOT/Tender/SplashBidNoticeAbstractUI.aspx?menuIndex=3&amp;refID=7038006&amp;Result=3","7038006")</f>
        <v>0</v>
      </c>
      <c r="B8136" t="s">
        <v>887</v>
      </c>
      <c r="C8136" t="s">
        <v>10952</v>
      </c>
      <c r="D8136" t="s">
        <v>18100</v>
      </c>
      <c r="E8136" t="s">
        <v>25252</v>
      </c>
      <c r="F8136" t="s">
        <v>31574</v>
      </c>
      <c r="G8136" t="s">
        <v>31582</v>
      </c>
      <c r="H8136" t="s">
        <v>31591</v>
      </c>
      <c r="I8136" t="s">
        <v>8822</v>
      </c>
      <c r="J8136" t="s">
        <v>36891</v>
      </c>
      <c r="K8136" t="s">
        <v>41200</v>
      </c>
      <c r="M8136" t="s">
        <v>42408</v>
      </c>
      <c r="N8136" t="s">
        <v>45095</v>
      </c>
      <c r="O8136" t="s">
        <v>45096</v>
      </c>
      <c r="P8136">
        <v>0</v>
      </c>
      <c r="Q8136">
        <v>9</v>
      </c>
      <c r="R8136" t="s">
        <v>45103</v>
      </c>
      <c r="S8136" t="s">
        <v>45270</v>
      </c>
      <c r="T8136" t="s">
        <v>47247</v>
      </c>
      <c r="U8136" t="s">
        <v>54226</v>
      </c>
      <c r="W8136" t="s">
        <v>61684</v>
      </c>
      <c r="X8136" t="s">
        <v>45104</v>
      </c>
    </row>
    <row r="8137" spans="1:24">
      <c r="A8137">
        <f>HYPERLINK("https://www.philgeps.gov.ph/GEPSNONPILOT/Tender/SplashBidNoticeAbstractUI.aspx?menuIndex=3&amp;refID=7038012&amp;Result=3","7038012")</f>
        <v>0</v>
      </c>
      <c r="B8137" t="s">
        <v>887</v>
      </c>
      <c r="C8137" t="s">
        <v>10953</v>
      </c>
      <c r="D8137" t="s">
        <v>18100</v>
      </c>
      <c r="E8137" t="s">
        <v>25253</v>
      </c>
      <c r="F8137" t="s">
        <v>31574</v>
      </c>
      <c r="G8137" t="s">
        <v>31582</v>
      </c>
      <c r="H8137" t="s">
        <v>31591</v>
      </c>
      <c r="I8137" t="s">
        <v>8822</v>
      </c>
      <c r="J8137" t="s">
        <v>36892</v>
      </c>
      <c r="K8137" t="s">
        <v>41200</v>
      </c>
      <c r="M8137" t="s">
        <v>42408</v>
      </c>
      <c r="N8137" t="s">
        <v>45095</v>
      </c>
      <c r="O8137" t="s">
        <v>45096</v>
      </c>
      <c r="P8137">
        <v>0</v>
      </c>
      <c r="Q8137">
        <v>10</v>
      </c>
      <c r="R8137" t="s">
        <v>45103</v>
      </c>
      <c r="S8137" t="s">
        <v>45270</v>
      </c>
      <c r="T8137" t="s">
        <v>46977</v>
      </c>
      <c r="U8137" t="s">
        <v>54227</v>
      </c>
      <c r="W8137" t="s">
        <v>61684</v>
      </c>
      <c r="X8137" t="s">
        <v>45104</v>
      </c>
    </row>
    <row r="8138" spans="1:24">
      <c r="A8138">
        <f>HYPERLINK("https://www.philgeps.gov.ph/GEPSNONPILOT/Tender/SplashBidNoticeAbstractUI.aspx?menuIndex=3&amp;refID=7038026&amp;Result=3","7038026")</f>
        <v>0</v>
      </c>
      <c r="B8138" t="s">
        <v>2324</v>
      </c>
      <c r="C8138" t="s">
        <v>10954</v>
      </c>
      <c r="D8138" t="s">
        <v>18101</v>
      </c>
      <c r="E8138" t="s">
        <v>19061</v>
      </c>
      <c r="F8138" t="s">
        <v>31574</v>
      </c>
      <c r="G8138" t="s">
        <v>31582</v>
      </c>
      <c r="H8138" t="s">
        <v>31591</v>
      </c>
      <c r="I8138" t="s">
        <v>8822</v>
      </c>
      <c r="J8138" t="s">
        <v>35880</v>
      </c>
      <c r="K8138" t="s">
        <v>41191</v>
      </c>
      <c r="M8138" t="s">
        <v>44034</v>
      </c>
      <c r="N8138" t="s">
        <v>45095</v>
      </c>
      <c r="O8138" t="s">
        <v>45096</v>
      </c>
      <c r="P8138">
        <v>0</v>
      </c>
      <c r="Q8138">
        <v>1</v>
      </c>
      <c r="R8138" t="s">
        <v>45103</v>
      </c>
      <c r="S8138" t="s">
        <v>45270</v>
      </c>
      <c r="T8138" t="s">
        <v>46982</v>
      </c>
      <c r="U8138" t="s">
        <v>54228</v>
      </c>
      <c r="W8138" t="s">
        <v>44034</v>
      </c>
      <c r="X8138" t="s">
        <v>45104</v>
      </c>
    </row>
    <row r="8139" spans="1:24">
      <c r="A8139">
        <f>HYPERLINK("https://www.philgeps.gov.ph/GEPSNONPILOT/Tender/SplashBidNoticeAbstractUI.aspx?menuIndex=3&amp;refID=7038008&amp;Result=3","7038008")</f>
        <v>0</v>
      </c>
      <c r="B8139" t="s">
        <v>1056</v>
      </c>
      <c r="C8139" t="s">
        <v>10955</v>
      </c>
      <c r="D8139" t="s">
        <v>18041</v>
      </c>
      <c r="E8139" t="s">
        <v>25254</v>
      </c>
      <c r="F8139" t="s">
        <v>31574</v>
      </c>
      <c r="G8139" t="s">
        <v>31581</v>
      </c>
      <c r="H8139" t="s">
        <v>31590</v>
      </c>
      <c r="I8139" t="s">
        <v>31621</v>
      </c>
      <c r="J8139" t="s">
        <v>31843</v>
      </c>
      <c r="K8139" t="s">
        <v>41184</v>
      </c>
      <c r="M8139" t="s">
        <v>42601</v>
      </c>
      <c r="N8139" t="s">
        <v>45095</v>
      </c>
      <c r="O8139" t="s">
        <v>45096</v>
      </c>
      <c r="P8139">
        <v>0</v>
      </c>
      <c r="Q8139">
        <v>18</v>
      </c>
      <c r="R8139" t="s">
        <v>45103</v>
      </c>
      <c r="S8139" t="s">
        <v>45270</v>
      </c>
      <c r="T8139" t="s">
        <v>47158</v>
      </c>
      <c r="U8139" t="s">
        <v>54229</v>
      </c>
      <c r="W8139" t="s">
        <v>42601</v>
      </c>
      <c r="X8139" t="s">
        <v>45104</v>
      </c>
    </row>
    <row r="8140" spans="1:24">
      <c r="A8140">
        <f>HYPERLINK("https://www.philgeps.gov.ph/GEPSNONPILOT/Tender/SplashBidNoticeAbstractUI.aspx?menuIndex=3&amp;refID=7038024&amp;Result=3","7038024")</f>
        <v>0</v>
      </c>
      <c r="B8140" t="s">
        <v>2290</v>
      </c>
      <c r="C8140" t="s">
        <v>10956</v>
      </c>
      <c r="D8140" t="s">
        <v>18090</v>
      </c>
      <c r="E8140" t="s">
        <v>25255</v>
      </c>
      <c r="F8140" t="s">
        <v>31574</v>
      </c>
      <c r="G8140" t="s">
        <v>31582</v>
      </c>
      <c r="H8140" t="s">
        <v>31591</v>
      </c>
      <c r="I8140" t="s">
        <v>8822</v>
      </c>
      <c r="J8140" t="s">
        <v>36893</v>
      </c>
      <c r="K8140" t="s">
        <v>41203</v>
      </c>
      <c r="M8140" t="s">
        <v>43999</v>
      </c>
      <c r="N8140" t="s">
        <v>45095</v>
      </c>
      <c r="O8140" t="s">
        <v>45096</v>
      </c>
      <c r="P8140">
        <v>0</v>
      </c>
      <c r="Q8140">
        <v>4</v>
      </c>
      <c r="R8140" t="s">
        <v>45103</v>
      </c>
      <c r="S8140" t="s">
        <v>45270</v>
      </c>
      <c r="T8140" t="s">
        <v>46992</v>
      </c>
      <c r="U8140" t="s">
        <v>54230</v>
      </c>
      <c r="W8140" t="s">
        <v>43999</v>
      </c>
      <c r="X8140" t="s">
        <v>45104</v>
      </c>
    </row>
    <row r="8141" spans="1:24">
      <c r="A8141">
        <f>HYPERLINK("https://www.philgeps.gov.ph/GEPSNONPILOT/Tender/SplashBidNoticeAbstractUI.aspx?menuIndex=3&amp;refID=7038027&amp;Result=3","7038027")</f>
        <v>0</v>
      </c>
      <c r="B8141" t="s">
        <v>2290</v>
      </c>
      <c r="C8141" t="s">
        <v>10957</v>
      </c>
      <c r="D8141" t="s">
        <v>18090</v>
      </c>
      <c r="E8141" t="s">
        <v>25256</v>
      </c>
      <c r="F8141" t="s">
        <v>31574</v>
      </c>
      <c r="G8141" t="s">
        <v>31582</v>
      </c>
      <c r="H8141" t="s">
        <v>31591</v>
      </c>
      <c r="I8141" t="s">
        <v>8822</v>
      </c>
      <c r="J8141" t="s">
        <v>36894</v>
      </c>
      <c r="K8141" t="s">
        <v>41185</v>
      </c>
      <c r="M8141" t="s">
        <v>43999</v>
      </c>
      <c r="N8141" t="s">
        <v>45095</v>
      </c>
      <c r="O8141" t="s">
        <v>45096</v>
      </c>
      <c r="P8141">
        <v>0</v>
      </c>
      <c r="Q8141">
        <v>5</v>
      </c>
      <c r="R8141" t="s">
        <v>45103</v>
      </c>
      <c r="S8141" t="s">
        <v>45270</v>
      </c>
      <c r="T8141" t="s">
        <v>46992</v>
      </c>
      <c r="U8141" t="s">
        <v>54231</v>
      </c>
      <c r="W8141" t="s">
        <v>43999</v>
      </c>
      <c r="X8141" t="s">
        <v>45104</v>
      </c>
    </row>
    <row r="8142" spans="1:24">
      <c r="A8142">
        <f>HYPERLINK("https://www.philgeps.gov.ph/GEPSNONPILOT/Tender/SplashBidNoticeAbstractUI.aspx?menuIndex=3&amp;refID=7038037&amp;Result=3","7038037")</f>
        <v>0</v>
      </c>
      <c r="B8142" t="s">
        <v>2290</v>
      </c>
      <c r="C8142" t="s">
        <v>10958</v>
      </c>
      <c r="D8142" t="s">
        <v>18090</v>
      </c>
      <c r="E8142" t="s">
        <v>25257</v>
      </c>
      <c r="F8142" t="s">
        <v>31574</v>
      </c>
      <c r="G8142" t="s">
        <v>31582</v>
      </c>
      <c r="H8142" t="s">
        <v>31591</v>
      </c>
      <c r="I8142" t="s">
        <v>8822</v>
      </c>
      <c r="J8142" t="s">
        <v>36895</v>
      </c>
      <c r="K8142" t="s">
        <v>41274</v>
      </c>
      <c r="M8142" t="s">
        <v>43999</v>
      </c>
      <c r="N8142" t="s">
        <v>45095</v>
      </c>
      <c r="O8142" t="s">
        <v>45096</v>
      </c>
      <c r="P8142">
        <v>0</v>
      </c>
      <c r="Q8142">
        <v>5</v>
      </c>
      <c r="R8142" t="s">
        <v>45103</v>
      </c>
      <c r="S8142" t="s">
        <v>45270</v>
      </c>
      <c r="T8142" t="s">
        <v>46992</v>
      </c>
      <c r="U8142" t="s">
        <v>54232</v>
      </c>
      <c r="W8142" t="s">
        <v>43999</v>
      </c>
      <c r="X8142" t="s">
        <v>45104</v>
      </c>
    </row>
    <row r="8143" spans="1:24">
      <c r="A8143">
        <f>HYPERLINK("https://www.philgeps.gov.ph/GEPSNONPILOT/Tender/SplashBidNoticeAbstractUI.aspx?menuIndex=3&amp;refID=7038038&amp;Result=3","7038038")</f>
        <v>0</v>
      </c>
      <c r="B8143" t="s">
        <v>2319</v>
      </c>
      <c r="C8143" t="s">
        <v>10959</v>
      </c>
      <c r="D8143" t="s">
        <v>18023</v>
      </c>
      <c r="E8143" t="s">
        <v>25258</v>
      </c>
      <c r="F8143" t="s">
        <v>31575</v>
      </c>
      <c r="G8143" t="s">
        <v>31581</v>
      </c>
      <c r="H8143" t="s">
        <v>31590</v>
      </c>
      <c r="I8143" t="s">
        <v>31662</v>
      </c>
      <c r="J8143" t="s">
        <v>31727</v>
      </c>
      <c r="K8143" t="s">
        <v>41193</v>
      </c>
      <c r="M8143" t="s">
        <v>44029</v>
      </c>
      <c r="N8143" t="s">
        <v>45095</v>
      </c>
      <c r="O8143" t="s">
        <v>45096</v>
      </c>
      <c r="P8143">
        <v>0</v>
      </c>
      <c r="Q8143">
        <v>0</v>
      </c>
      <c r="R8143" t="s">
        <v>45103</v>
      </c>
      <c r="S8143" t="s">
        <v>45270</v>
      </c>
      <c r="T8143" t="s">
        <v>46985</v>
      </c>
      <c r="U8143" t="s">
        <v>54233</v>
      </c>
      <c r="W8143" t="s">
        <v>44029</v>
      </c>
      <c r="X8143" t="s">
        <v>45104</v>
      </c>
    </row>
    <row r="8144" spans="1:24">
      <c r="A8144">
        <f>HYPERLINK("https://www.philgeps.gov.ph/GEPSNONPILOT/Tender/SplashBidNoticeAbstractUI.aspx?menuIndex=3&amp;refID=7038011&amp;Result=3","7038011")</f>
        <v>0</v>
      </c>
      <c r="B8144" t="s">
        <v>2290</v>
      </c>
      <c r="C8144" t="s">
        <v>10960</v>
      </c>
      <c r="D8144" t="s">
        <v>18090</v>
      </c>
      <c r="E8144" t="s">
        <v>25259</v>
      </c>
      <c r="F8144" t="s">
        <v>31574</v>
      </c>
      <c r="G8144" t="s">
        <v>31582</v>
      </c>
      <c r="H8144" t="s">
        <v>31591</v>
      </c>
      <c r="I8144" t="s">
        <v>8822</v>
      </c>
      <c r="J8144" t="s">
        <v>36896</v>
      </c>
      <c r="K8144" t="s">
        <v>41203</v>
      </c>
      <c r="M8144" t="s">
        <v>43999</v>
      </c>
      <c r="N8144" t="s">
        <v>45095</v>
      </c>
      <c r="O8144" t="s">
        <v>45096</v>
      </c>
      <c r="P8144">
        <v>0</v>
      </c>
      <c r="Q8144">
        <v>8</v>
      </c>
      <c r="R8144" t="s">
        <v>45103</v>
      </c>
      <c r="S8144" t="s">
        <v>45270</v>
      </c>
      <c r="T8144" t="s">
        <v>46992</v>
      </c>
      <c r="U8144" t="s">
        <v>54234</v>
      </c>
      <c r="W8144" t="s">
        <v>43999</v>
      </c>
      <c r="X8144" t="s">
        <v>45104</v>
      </c>
    </row>
    <row r="8145" spans="1:24">
      <c r="A8145">
        <f>HYPERLINK("https://www.philgeps.gov.ph/GEPSNONPILOT/Tender/SplashBidNoticeAbstractUI.aspx?menuIndex=3&amp;refID=7038034&amp;Result=3","7038034")</f>
        <v>0</v>
      </c>
      <c r="B8145" t="s">
        <v>2325</v>
      </c>
      <c r="C8145" t="s">
        <v>10961</v>
      </c>
      <c r="D8145" t="s">
        <v>18101</v>
      </c>
      <c r="E8145" t="s">
        <v>19061</v>
      </c>
      <c r="F8145" t="s">
        <v>31574</v>
      </c>
      <c r="G8145" t="s">
        <v>31582</v>
      </c>
      <c r="H8145" t="s">
        <v>31591</v>
      </c>
      <c r="I8145" t="s">
        <v>8822</v>
      </c>
      <c r="J8145" t="s">
        <v>31789</v>
      </c>
      <c r="K8145" t="s">
        <v>41191</v>
      </c>
      <c r="M8145" t="s">
        <v>44035</v>
      </c>
      <c r="N8145" t="s">
        <v>45095</v>
      </c>
      <c r="O8145" t="s">
        <v>45096</v>
      </c>
      <c r="P8145">
        <v>0</v>
      </c>
      <c r="Q8145">
        <v>1</v>
      </c>
      <c r="R8145" t="s">
        <v>45103</v>
      </c>
      <c r="S8145" t="s">
        <v>45270</v>
      </c>
      <c r="T8145" t="s">
        <v>46982</v>
      </c>
      <c r="U8145" t="s">
        <v>54235</v>
      </c>
      <c r="W8145" t="s">
        <v>44035</v>
      </c>
      <c r="X8145" t="s">
        <v>45104</v>
      </c>
    </row>
    <row r="8146" spans="1:24">
      <c r="A8146">
        <f>HYPERLINK("https://www.philgeps.gov.ph/GEPSNONPILOT/Tender/SplashBidNoticeAbstractUI.aspx?menuIndex=3&amp;refID=7038023&amp;Result=3","7038023")</f>
        <v>0</v>
      </c>
      <c r="B8146" t="s">
        <v>449</v>
      </c>
      <c r="C8146" t="s">
        <v>10962</v>
      </c>
      <c r="D8146" t="s">
        <v>18033</v>
      </c>
      <c r="E8146" t="s">
        <v>24535</v>
      </c>
      <c r="F8146" t="s">
        <v>31574</v>
      </c>
      <c r="G8146" t="s">
        <v>31582</v>
      </c>
      <c r="H8146" t="s">
        <v>31590</v>
      </c>
      <c r="I8146" t="s">
        <v>4046</v>
      </c>
      <c r="J8146" t="s">
        <v>36897</v>
      </c>
      <c r="K8146" t="s">
        <v>41185</v>
      </c>
      <c r="M8146" t="s">
        <v>41943</v>
      </c>
      <c r="N8146" t="s">
        <v>45095</v>
      </c>
      <c r="O8146" t="s">
        <v>45096</v>
      </c>
      <c r="P8146">
        <v>0</v>
      </c>
      <c r="Q8146">
        <v>0</v>
      </c>
      <c r="R8146" t="s">
        <v>45103</v>
      </c>
      <c r="S8146" t="s">
        <v>45270</v>
      </c>
      <c r="T8146" t="s">
        <v>46957</v>
      </c>
      <c r="U8146" t="s">
        <v>54236</v>
      </c>
      <c r="W8146" t="s">
        <v>41943</v>
      </c>
      <c r="X8146" t="s">
        <v>45104</v>
      </c>
    </row>
    <row r="8147" spans="1:24">
      <c r="A8147">
        <f>HYPERLINK("https://www.philgeps.gov.ph/GEPSNONPILOT/Tender/SplashBidNoticeAbstractUI.aspx?menuIndex=3&amp;refID=7038033&amp;Result=3","7038033")</f>
        <v>0</v>
      </c>
      <c r="B8147" t="s">
        <v>2290</v>
      </c>
      <c r="C8147" t="s">
        <v>10963</v>
      </c>
      <c r="D8147" t="s">
        <v>18090</v>
      </c>
      <c r="E8147" t="s">
        <v>25260</v>
      </c>
      <c r="F8147" t="s">
        <v>31574</v>
      </c>
      <c r="G8147" t="s">
        <v>31582</v>
      </c>
      <c r="H8147" t="s">
        <v>31591</v>
      </c>
      <c r="I8147" t="s">
        <v>8822</v>
      </c>
      <c r="J8147" t="s">
        <v>36898</v>
      </c>
      <c r="K8147" t="s">
        <v>41189</v>
      </c>
      <c r="M8147" t="s">
        <v>43999</v>
      </c>
      <c r="N8147" t="s">
        <v>45095</v>
      </c>
      <c r="O8147" t="s">
        <v>45096</v>
      </c>
      <c r="P8147">
        <v>0</v>
      </c>
      <c r="Q8147">
        <v>5</v>
      </c>
      <c r="R8147" t="s">
        <v>45103</v>
      </c>
      <c r="S8147" t="s">
        <v>45270</v>
      </c>
      <c r="T8147" t="s">
        <v>46992</v>
      </c>
      <c r="U8147" t="s">
        <v>54237</v>
      </c>
      <c r="W8147" t="s">
        <v>43999</v>
      </c>
      <c r="X8147" t="s">
        <v>45104</v>
      </c>
    </row>
    <row r="8148" spans="1:24">
      <c r="A8148">
        <f>HYPERLINK("https://www.philgeps.gov.ph/GEPSNONPILOT/Tender/SplashBidNoticeAbstractUI.aspx?menuIndex=3&amp;refID=7038044&amp;Result=3","7038044")</f>
        <v>0</v>
      </c>
      <c r="B8148" t="s">
        <v>2326</v>
      </c>
      <c r="C8148" t="s">
        <v>10964</v>
      </c>
      <c r="D8148" t="s">
        <v>18065</v>
      </c>
      <c r="E8148" t="s">
        <v>25261</v>
      </c>
      <c r="F8148" t="s">
        <v>31575</v>
      </c>
      <c r="G8148" t="s">
        <v>31581</v>
      </c>
      <c r="H8148" t="s">
        <v>31590</v>
      </c>
      <c r="I8148" t="s">
        <v>31638</v>
      </c>
      <c r="J8148" t="s">
        <v>36899</v>
      </c>
      <c r="K8148" t="s">
        <v>41184</v>
      </c>
      <c r="M8148" t="s">
        <v>44036</v>
      </c>
      <c r="N8148" t="s">
        <v>45095</v>
      </c>
      <c r="O8148" t="s">
        <v>45096</v>
      </c>
      <c r="P8148">
        <v>0</v>
      </c>
      <c r="Q8148">
        <v>0</v>
      </c>
      <c r="R8148" t="s">
        <v>45103</v>
      </c>
      <c r="S8148" t="s">
        <v>45270</v>
      </c>
      <c r="T8148" t="s">
        <v>47077</v>
      </c>
      <c r="U8148" t="s">
        <v>54238</v>
      </c>
      <c r="W8148" t="s">
        <v>44036</v>
      </c>
      <c r="X8148" t="s">
        <v>45104</v>
      </c>
    </row>
    <row r="8149" spans="1:24">
      <c r="A8149">
        <f>HYPERLINK("https://www.philgeps.gov.ph/GEPSNONPILOT/Tender/SplashBidNoticeAbstractUI.aspx?menuIndex=3&amp;refID=7038015&amp;Result=3","7038015")</f>
        <v>0</v>
      </c>
      <c r="B8149" t="s">
        <v>2290</v>
      </c>
      <c r="C8149" t="s">
        <v>10965</v>
      </c>
      <c r="D8149" t="s">
        <v>18090</v>
      </c>
      <c r="E8149" t="s">
        <v>25262</v>
      </c>
      <c r="F8149" t="s">
        <v>31574</v>
      </c>
      <c r="G8149" t="s">
        <v>31582</v>
      </c>
      <c r="H8149" t="s">
        <v>31591</v>
      </c>
      <c r="I8149" t="s">
        <v>8822</v>
      </c>
      <c r="J8149" t="s">
        <v>36900</v>
      </c>
      <c r="K8149" t="s">
        <v>41192</v>
      </c>
      <c r="M8149" t="s">
        <v>43999</v>
      </c>
      <c r="N8149" t="s">
        <v>45095</v>
      </c>
      <c r="O8149" t="s">
        <v>45096</v>
      </c>
      <c r="P8149">
        <v>0</v>
      </c>
      <c r="Q8149">
        <v>7</v>
      </c>
      <c r="R8149" t="s">
        <v>45103</v>
      </c>
      <c r="S8149" t="s">
        <v>45270</v>
      </c>
      <c r="T8149" t="s">
        <v>46992</v>
      </c>
      <c r="U8149" t="s">
        <v>54239</v>
      </c>
      <c r="W8149" t="s">
        <v>43999</v>
      </c>
      <c r="X8149" t="s">
        <v>45104</v>
      </c>
    </row>
    <row r="8150" spans="1:24">
      <c r="A8150">
        <f>HYPERLINK("https://www.philgeps.gov.ph/GEPSNONPILOT/Tender/SplashBidNoticeAbstractUI.aspx?menuIndex=3&amp;refID=7038049&amp;Result=3","7038049")</f>
        <v>0</v>
      </c>
      <c r="B8150" t="s">
        <v>2326</v>
      </c>
      <c r="C8150" t="s">
        <v>10966</v>
      </c>
      <c r="D8150" t="s">
        <v>18065</v>
      </c>
      <c r="E8150" t="s">
        <v>25263</v>
      </c>
      <c r="F8150" t="s">
        <v>31575</v>
      </c>
      <c r="G8150" t="s">
        <v>31581</v>
      </c>
      <c r="H8150" t="s">
        <v>31590</v>
      </c>
      <c r="I8150" t="s">
        <v>14544</v>
      </c>
      <c r="J8150" t="s">
        <v>32017</v>
      </c>
      <c r="K8150" t="s">
        <v>41184</v>
      </c>
      <c r="M8150" t="s">
        <v>44036</v>
      </c>
      <c r="N8150" t="s">
        <v>45095</v>
      </c>
      <c r="O8150" t="s">
        <v>45096</v>
      </c>
      <c r="P8150">
        <v>0</v>
      </c>
      <c r="Q8150">
        <v>0</v>
      </c>
      <c r="R8150" t="s">
        <v>45103</v>
      </c>
      <c r="S8150" t="s">
        <v>45270</v>
      </c>
      <c r="T8150" t="s">
        <v>47077</v>
      </c>
      <c r="U8150" t="s">
        <v>54240</v>
      </c>
      <c r="W8150" t="s">
        <v>44036</v>
      </c>
      <c r="X8150" t="s">
        <v>45104</v>
      </c>
    </row>
    <row r="8151" spans="1:24">
      <c r="A8151">
        <f>HYPERLINK("https://www.philgeps.gov.ph/GEPSNONPILOT/Tender/SplashBidNoticeAbstractUI.aspx?menuIndex=3&amp;refID=7038056&amp;Result=3","7038056")</f>
        <v>0</v>
      </c>
      <c r="B8151" t="s">
        <v>2327</v>
      </c>
      <c r="C8151" t="s">
        <v>10967</v>
      </c>
      <c r="D8151" t="s">
        <v>18027</v>
      </c>
      <c r="E8151" t="s">
        <v>18377</v>
      </c>
      <c r="F8151" t="s">
        <v>31574</v>
      </c>
      <c r="G8151" t="s">
        <v>31582</v>
      </c>
      <c r="H8151" t="s">
        <v>31590</v>
      </c>
      <c r="I8151" t="s">
        <v>4046</v>
      </c>
      <c r="J8151" t="s">
        <v>36901</v>
      </c>
      <c r="K8151" t="s">
        <v>41196</v>
      </c>
      <c r="M8151" t="s">
        <v>44037</v>
      </c>
      <c r="N8151" t="s">
        <v>45095</v>
      </c>
      <c r="O8151" t="s">
        <v>45096</v>
      </c>
      <c r="P8151">
        <v>0</v>
      </c>
      <c r="Q8151">
        <v>0</v>
      </c>
      <c r="R8151" t="s">
        <v>45103</v>
      </c>
      <c r="S8151" t="s">
        <v>45270</v>
      </c>
      <c r="T8151" t="s">
        <v>46979</v>
      </c>
      <c r="U8151" t="s">
        <v>54241</v>
      </c>
      <c r="W8151" t="s">
        <v>44037</v>
      </c>
      <c r="X8151" t="s">
        <v>45104</v>
      </c>
    </row>
    <row r="8152" spans="1:24">
      <c r="A8152">
        <f>HYPERLINK("https://www.philgeps.gov.ph/GEPSNONPILOT/Tender/SplashBidNoticeAbstractUI.aspx?menuIndex=3&amp;refID=7038017&amp;Result=3","7038017")</f>
        <v>0</v>
      </c>
      <c r="B8152" t="s">
        <v>2319</v>
      </c>
      <c r="C8152" t="s">
        <v>9932</v>
      </c>
      <c r="D8152" t="s">
        <v>18035</v>
      </c>
      <c r="E8152" t="s">
        <v>25264</v>
      </c>
      <c r="F8152" t="s">
        <v>31575</v>
      </c>
      <c r="G8152" t="s">
        <v>31581</v>
      </c>
      <c r="H8152" t="s">
        <v>31590</v>
      </c>
      <c r="I8152" t="s">
        <v>4046</v>
      </c>
      <c r="J8152" t="s">
        <v>31727</v>
      </c>
      <c r="K8152" t="s">
        <v>41193</v>
      </c>
      <c r="M8152" t="s">
        <v>44029</v>
      </c>
      <c r="N8152" t="s">
        <v>45095</v>
      </c>
      <c r="O8152" t="s">
        <v>45096</v>
      </c>
      <c r="P8152">
        <v>0</v>
      </c>
      <c r="Q8152">
        <v>0</v>
      </c>
      <c r="R8152" t="s">
        <v>45103</v>
      </c>
      <c r="S8152" t="s">
        <v>45270</v>
      </c>
      <c r="T8152" t="s">
        <v>46985</v>
      </c>
      <c r="U8152" t="s">
        <v>54242</v>
      </c>
      <c r="W8152" t="s">
        <v>44029</v>
      </c>
      <c r="X8152" t="s">
        <v>45104</v>
      </c>
    </row>
    <row r="8153" spans="1:24">
      <c r="A8153">
        <f>HYPERLINK("https://www.philgeps.gov.ph/GEPSNONPILOT/Tender/SplashBidNoticeAbstractUI.aspx?menuIndex=3&amp;refID=7038053&amp;Result=3","7038053")</f>
        <v>0</v>
      </c>
      <c r="B8153" t="s">
        <v>2327</v>
      </c>
      <c r="C8153" t="s">
        <v>10968</v>
      </c>
      <c r="D8153" t="s">
        <v>18027</v>
      </c>
      <c r="E8153" t="s">
        <v>18227</v>
      </c>
      <c r="F8153" t="s">
        <v>31574</v>
      </c>
      <c r="G8153" t="s">
        <v>31582</v>
      </c>
      <c r="H8153" t="s">
        <v>31590</v>
      </c>
      <c r="I8153" t="s">
        <v>4046</v>
      </c>
      <c r="J8153" t="s">
        <v>36902</v>
      </c>
      <c r="K8153" t="s">
        <v>41190</v>
      </c>
      <c r="M8153" t="s">
        <v>44037</v>
      </c>
      <c r="N8153" t="s">
        <v>45095</v>
      </c>
      <c r="O8153" t="s">
        <v>45096</v>
      </c>
      <c r="P8153">
        <v>0</v>
      </c>
      <c r="Q8153">
        <v>0</v>
      </c>
      <c r="R8153" t="s">
        <v>45103</v>
      </c>
      <c r="S8153" t="s">
        <v>45270</v>
      </c>
      <c r="T8153" t="s">
        <v>46979</v>
      </c>
      <c r="U8153" t="s">
        <v>54243</v>
      </c>
      <c r="W8153" t="s">
        <v>44037</v>
      </c>
      <c r="X8153" t="s">
        <v>45104</v>
      </c>
    </row>
    <row r="8154" spans="1:24">
      <c r="A8154">
        <f>HYPERLINK("https://www.philgeps.gov.ph/GEPSNONPILOT/Tender/SplashBidNoticeAbstractUI.aspx?menuIndex=3&amp;refID=7038061&amp;Result=3","7038061")</f>
        <v>0</v>
      </c>
      <c r="B8154" t="s">
        <v>2319</v>
      </c>
      <c r="C8154" t="s">
        <v>10969</v>
      </c>
      <c r="D8154" t="s">
        <v>18102</v>
      </c>
      <c r="E8154" t="s">
        <v>25265</v>
      </c>
      <c r="F8154" t="s">
        <v>31575</v>
      </c>
      <c r="G8154" t="s">
        <v>31581</v>
      </c>
      <c r="H8154" t="s">
        <v>31590</v>
      </c>
      <c r="I8154" t="s">
        <v>8822</v>
      </c>
      <c r="J8154" t="s">
        <v>31727</v>
      </c>
      <c r="K8154" t="s">
        <v>41196</v>
      </c>
      <c r="M8154" t="s">
        <v>44029</v>
      </c>
      <c r="N8154" t="s">
        <v>45095</v>
      </c>
      <c r="O8154" t="s">
        <v>45096</v>
      </c>
      <c r="P8154">
        <v>0</v>
      </c>
      <c r="Q8154">
        <v>0</v>
      </c>
      <c r="R8154" t="s">
        <v>45103</v>
      </c>
      <c r="S8154" t="s">
        <v>45270</v>
      </c>
      <c r="T8154" t="s">
        <v>46985</v>
      </c>
      <c r="U8154" t="s">
        <v>54244</v>
      </c>
      <c r="W8154" t="s">
        <v>44029</v>
      </c>
      <c r="X8154" t="s">
        <v>45104</v>
      </c>
    </row>
    <row r="8155" spans="1:24">
      <c r="A8155">
        <f>HYPERLINK("https://www.philgeps.gov.ph/GEPSNONPILOT/Tender/SplashBidNoticeAbstractUI.aspx?menuIndex=3&amp;refID=7038055&amp;Result=3","7038055")</f>
        <v>0</v>
      </c>
      <c r="B8155" t="s">
        <v>362</v>
      </c>
      <c r="C8155" t="s">
        <v>10970</v>
      </c>
      <c r="D8155" t="s">
        <v>18068</v>
      </c>
      <c r="E8155" t="s">
        <v>25266</v>
      </c>
      <c r="F8155" t="s">
        <v>31574</v>
      </c>
      <c r="G8155" t="s">
        <v>31582</v>
      </c>
      <c r="H8155" t="s">
        <v>31591</v>
      </c>
      <c r="I8155" t="s">
        <v>8822</v>
      </c>
      <c r="J8155" t="s">
        <v>36903</v>
      </c>
      <c r="K8155" t="s">
        <v>41287</v>
      </c>
      <c r="M8155" t="s">
        <v>41852</v>
      </c>
      <c r="N8155" t="s">
        <v>45095</v>
      </c>
      <c r="O8155" t="s">
        <v>45096</v>
      </c>
      <c r="P8155">
        <v>0</v>
      </c>
      <c r="Q8155">
        <v>0</v>
      </c>
      <c r="R8155" t="s">
        <v>45103</v>
      </c>
      <c r="S8155" t="s">
        <v>45270</v>
      </c>
      <c r="T8155" t="s">
        <v>47000</v>
      </c>
      <c r="U8155" t="s">
        <v>54245</v>
      </c>
      <c r="W8155" t="s">
        <v>41852</v>
      </c>
      <c r="X8155" t="s">
        <v>45104</v>
      </c>
    </row>
    <row r="8156" spans="1:24">
      <c r="A8156">
        <f>HYPERLINK("https://www.philgeps.gov.ph/GEPSNONPILOT/Tender/SplashBidNoticeAbstractUI.aspx?menuIndex=3&amp;refID=7038048&amp;Result=3","7038048")</f>
        <v>0</v>
      </c>
      <c r="B8156" t="s">
        <v>2319</v>
      </c>
      <c r="C8156" t="s">
        <v>10959</v>
      </c>
      <c r="D8156" t="s">
        <v>18055</v>
      </c>
      <c r="E8156" t="s">
        <v>24743</v>
      </c>
      <c r="F8156" t="s">
        <v>31575</v>
      </c>
      <c r="G8156" t="s">
        <v>31581</v>
      </c>
      <c r="H8156" t="s">
        <v>31590</v>
      </c>
      <c r="I8156" t="s">
        <v>31662</v>
      </c>
      <c r="J8156" t="s">
        <v>31727</v>
      </c>
      <c r="K8156" t="s">
        <v>41193</v>
      </c>
      <c r="M8156" t="s">
        <v>44029</v>
      </c>
      <c r="N8156" t="s">
        <v>45095</v>
      </c>
      <c r="O8156" t="s">
        <v>45096</v>
      </c>
      <c r="P8156">
        <v>0</v>
      </c>
      <c r="Q8156">
        <v>0</v>
      </c>
      <c r="R8156" t="s">
        <v>45103</v>
      </c>
      <c r="S8156" t="s">
        <v>45270</v>
      </c>
      <c r="T8156" t="s">
        <v>46985</v>
      </c>
      <c r="U8156" t="s">
        <v>54246</v>
      </c>
      <c r="W8156" t="s">
        <v>44029</v>
      </c>
      <c r="X8156" t="s">
        <v>45104</v>
      </c>
    </row>
    <row r="8157" spans="1:24">
      <c r="A8157">
        <f>HYPERLINK("https://www.philgeps.gov.ph/GEPSNONPILOT/Tender/SplashBidNoticeAbstractUI.aspx?menuIndex=3&amp;refID=7038041&amp;Result=3","7038041")</f>
        <v>0</v>
      </c>
      <c r="B8157" t="s">
        <v>2326</v>
      </c>
      <c r="C8157" t="s">
        <v>10971</v>
      </c>
      <c r="D8157" t="s">
        <v>18065</v>
      </c>
      <c r="E8157" t="s">
        <v>25267</v>
      </c>
      <c r="F8157" t="s">
        <v>31575</v>
      </c>
      <c r="G8157" t="s">
        <v>31581</v>
      </c>
      <c r="H8157" t="s">
        <v>31590</v>
      </c>
      <c r="I8157" t="s">
        <v>31612</v>
      </c>
      <c r="J8157" t="s">
        <v>36904</v>
      </c>
      <c r="K8157" t="s">
        <v>41184</v>
      </c>
      <c r="M8157" t="s">
        <v>44036</v>
      </c>
      <c r="N8157" t="s">
        <v>45095</v>
      </c>
      <c r="O8157" t="s">
        <v>45096</v>
      </c>
      <c r="P8157">
        <v>0</v>
      </c>
      <c r="Q8157">
        <v>0</v>
      </c>
      <c r="R8157" t="s">
        <v>45103</v>
      </c>
      <c r="S8157" t="s">
        <v>45270</v>
      </c>
      <c r="T8157" t="s">
        <v>47077</v>
      </c>
      <c r="U8157" t="s">
        <v>54247</v>
      </c>
      <c r="W8157" t="s">
        <v>44036</v>
      </c>
      <c r="X8157" t="s">
        <v>45104</v>
      </c>
    </row>
    <row r="8158" spans="1:24">
      <c r="A8158">
        <f>HYPERLINK("https://www.philgeps.gov.ph/GEPSNONPILOT/Tender/SplashBidNoticeAbstractUI.aspx?menuIndex=3&amp;refID=7038063&amp;Result=3","7038063")</f>
        <v>0</v>
      </c>
      <c r="B8158" t="s">
        <v>580</v>
      </c>
      <c r="C8158" t="s">
        <v>10972</v>
      </c>
      <c r="D8158" t="s">
        <v>18048</v>
      </c>
      <c r="E8158" t="s">
        <v>25268</v>
      </c>
      <c r="F8158" t="s">
        <v>31574</v>
      </c>
      <c r="G8158" t="s">
        <v>31582</v>
      </c>
      <c r="H8158" t="s">
        <v>31590</v>
      </c>
      <c r="I8158" t="s">
        <v>3487</v>
      </c>
      <c r="J8158" t="s">
        <v>36905</v>
      </c>
      <c r="K8158" t="s">
        <v>41196</v>
      </c>
      <c r="M8158" t="s">
        <v>42082</v>
      </c>
      <c r="N8158" t="s">
        <v>45095</v>
      </c>
      <c r="O8158" t="s">
        <v>45096</v>
      </c>
      <c r="P8158">
        <v>0</v>
      </c>
      <c r="Q8158">
        <v>0</v>
      </c>
      <c r="R8158" t="s">
        <v>45103</v>
      </c>
      <c r="S8158" t="s">
        <v>45270</v>
      </c>
      <c r="T8158" t="s">
        <v>46943</v>
      </c>
      <c r="U8158" t="s">
        <v>54248</v>
      </c>
      <c r="V8158" t="s">
        <v>60709</v>
      </c>
      <c r="W8158" t="s">
        <v>42082</v>
      </c>
      <c r="X8158" t="s">
        <v>45104</v>
      </c>
    </row>
    <row r="8159" spans="1:24">
      <c r="A8159">
        <f>HYPERLINK("https://www.philgeps.gov.ph/GEPSNONPILOT/Tender/SplashBidNoticeAbstractUI.aspx?menuIndex=3&amp;refID=7038051&amp;Result=3","7038051")</f>
        <v>0</v>
      </c>
      <c r="B8159" t="s">
        <v>2328</v>
      </c>
      <c r="C8159" t="s">
        <v>10973</v>
      </c>
      <c r="D8159" t="s">
        <v>18022</v>
      </c>
      <c r="E8159" t="s">
        <v>25269</v>
      </c>
      <c r="F8159" t="s">
        <v>31574</v>
      </c>
      <c r="G8159" t="s">
        <v>31582</v>
      </c>
      <c r="H8159" t="s">
        <v>31590</v>
      </c>
      <c r="I8159" t="s">
        <v>4327</v>
      </c>
      <c r="J8159" t="s">
        <v>36906</v>
      </c>
      <c r="K8159" t="s">
        <v>41212</v>
      </c>
      <c r="M8159" t="s">
        <v>44038</v>
      </c>
      <c r="N8159" t="s">
        <v>45095</v>
      </c>
      <c r="O8159" t="s">
        <v>45096</v>
      </c>
      <c r="P8159">
        <v>0</v>
      </c>
      <c r="Q8159">
        <v>3</v>
      </c>
      <c r="R8159" t="s">
        <v>45103</v>
      </c>
      <c r="S8159" t="s">
        <v>45270</v>
      </c>
      <c r="T8159" t="s">
        <v>46973</v>
      </c>
      <c r="U8159" t="s">
        <v>54249</v>
      </c>
      <c r="W8159" t="s">
        <v>44038</v>
      </c>
      <c r="X8159" t="s">
        <v>45104</v>
      </c>
    </row>
    <row r="8160" spans="1:24">
      <c r="A8160">
        <f>HYPERLINK("https://www.philgeps.gov.ph/GEPSNONPILOT/Tender/SplashBidNoticeAbstractUI.aspx?menuIndex=3&amp;refID=7038029&amp;Result=3","7038029")</f>
        <v>0</v>
      </c>
      <c r="B8160" t="s">
        <v>2290</v>
      </c>
      <c r="C8160" t="s">
        <v>10974</v>
      </c>
      <c r="D8160" t="s">
        <v>18090</v>
      </c>
      <c r="E8160" t="s">
        <v>25270</v>
      </c>
      <c r="F8160" t="s">
        <v>31574</v>
      </c>
      <c r="G8160" t="s">
        <v>31582</v>
      </c>
      <c r="H8160" t="s">
        <v>31591</v>
      </c>
      <c r="I8160" t="s">
        <v>8822</v>
      </c>
      <c r="J8160" t="s">
        <v>36907</v>
      </c>
      <c r="K8160" t="s">
        <v>41203</v>
      </c>
      <c r="M8160" t="s">
        <v>43999</v>
      </c>
      <c r="N8160" t="s">
        <v>45095</v>
      </c>
      <c r="O8160" t="s">
        <v>45096</v>
      </c>
      <c r="P8160">
        <v>0</v>
      </c>
      <c r="Q8160">
        <v>5</v>
      </c>
      <c r="R8160" t="s">
        <v>45103</v>
      </c>
      <c r="S8160" t="s">
        <v>45270</v>
      </c>
      <c r="T8160" t="s">
        <v>46992</v>
      </c>
      <c r="U8160" t="s">
        <v>54250</v>
      </c>
      <c r="W8160" t="s">
        <v>43999</v>
      </c>
      <c r="X8160" t="s">
        <v>45104</v>
      </c>
    </row>
    <row r="8161" spans="1:24">
      <c r="A8161">
        <f>HYPERLINK("https://www.philgeps.gov.ph/GEPSNONPILOT/Tender/SplashBidNoticeAbstractUI.aspx?menuIndex=3&amp;refID=7038039&amp;Result=3","7038039")</f>
        <v>0</v>
      </c>
      <c r="B8161" t="s">
        <v>2326</v>
      </c>
      <c r="C8161" t="s">
        <v>10975</v>
      </c>
      <c r="D8161" t="s">
        <v>18065</v>
      </c>
      <c r="E8161" t="s">
        <v>25271</v>
      </c>
      <c r="F8161" t="s">
        <v>31575</v>
      </c>
      <c r="G8161" t="s">
        <v>31581</v>
      </c>
      <c r="H8161" t="s">
        <v>31590</v>
      </c>
      <c r="I8161" t="s">
        <v>31642</v>
      </c>
      <c r="J8161" t="s">
        <v>32258</v>
      </c>
      <c r="K8161" t="s">
        <v>41184</v>
      </c>
      <c r="M8161" t="s">
        <v>44036</v>
      </c>
      <c r="N8161" t="s">
        <v>45095</v>
      </c>
      <c r="O8161" t="s">
        <v>45096</v>
      </c>
      <c r="P8161">
        <v>0</v>
      </c>
      <c r="Q8161">
        <v>2</v>
      </c>
      <c r="R8161" t="s">
        <v>45103</v>
      </c>
      <c r="S8161" t="s">
        <v>45270</v>
      </c>
      <c r="T8161" t="s">
        <v>47077</v>
      </c>
      <c r="U8161" t="s">
        <v>54251</v>
      </c>
      <c r="W8161" t="s">
        <v>44036</v>
      </c>
      <c r="X8161" t="s">
        <v>45104</v>
      </c>
    </row>
    <row r="8162" spans="1:24">
      <c r="A8162">
        <f>HYPERLINK("https://www.philgeps.gov.ph/GEPSNONPILOT/Tender/SplashBidNoticeAbstractUI.aspx?menuIndex=3&amp;refID=7038066&amp;Result=3","7038066")</f>
        <v>0</v>
      </c>
      <c r="B8162" t="s">
        <v>362</v>
      </c>
      <c r="C8162" t="s">
        <v>10976</v>
      </c>
      <c r="D8162" t="s">
        <v>18068</v>
      </c>
      <c r="E8162" t="s">
        <v>25272</v>
      </c>
      <c r="F8162" t="s">
        <v>31574</v>
      </c>
      <c r="G8162" t="s">
        <v>31582</v>
      </c>
      <c r="H8162" t="s">
        <v>31591</v>
      </c>
      <c r="I8162" t="s">
        <v>8822</v>
      </c>
      <c r="J8162" t="s">
        <v>31888</v>
      </c>
      <c r="K8162" t="s">
        <v>41217</v>
      </c>
      <c r="M8162" t="s">
        <v>41852</v>
      </c>
      <c r="N8162" t="s">
        <v>45095</v>
      </c>
      <c r="O8162" t="s">
        <v>45096</v>
      </c>
      <c r="P8162">
        <v>0</v>
      </c>
      <c r="Q8162">
        <v>0</v>
      </c>
      <c r="R8162" t="s">
        <v>45103</v>
      </c>
      <c r="S8162" t="s">
        <v>45270</v>
      </c>
      <c r="T8162" t="s">
        <v>47093</v>
      </c>
      <c r="U8162" t="s">
        <v>54252</v>
      </c>
      <c r="W8162" t="s">
        <v>41852</v>
      </c>
      <c r="X8162" t="s">
        <v>45104</v>
      </c>
    </row>
    <row r="8163" spans="1:24">
      <c r="A8163">
        <f>HYPERLINK("https://www.philgeps.gov.ph/GEPSNONPILOT/Tender/SplashBidNoticeAbstractUI.aspx?menuIndex=3&amp;refID=7038040&amp;Result=3","7038040")</f>
        <v>0</v>
      </c>
      <c r="B8163" t="s">
        <v>2329</v>
      </c>
      <c r="C8163" t="s">
        <v>10977</v>
      </c>
      <c r="D8163" t="s">
        <v>18062</v>
      </c>
      <c r="E8163" t="s">
        <v>25273</v>
      </c>
      <c r="F8163" t="s">
        <v>31574</v>
      </c>
      <c r="G8163" t="s">
        <v>31582</v>
      </c>
      <c r="H8163" t="s">
        <v>31591</v>
      </c>
      <c r="I8163" t="s">
        <v>8822</v>
      </c>
      <c r="J8163" t="s">
        <v>36908</v>
      </c>
      <c r="K8163" t="s">
        <v>41192</v>
      </c>
      <c r="M8163" t="s">
        <v>44039</v>
      </c>
      <c r="N8163" t="s">
        <v>45095</v>
      </c>
      <c r="O8163" t="s">
        <v>45096</v>
      </c>
      <c r="P8163">
        <v>0</v>
      </c>
      <c r="Q8163">
        <v>0</v>
      </c>
      <c r="R8163" t="s">
        <v>45103</v>
      </c>
      <c r="S8163" t="s">
        <v>45270</v>
      </c>
      <c r="T8163" t="s">
        <v>47168</v>
      </c>
      <c r="U8163" t="s">
        <v>54253</v>
      </c>
      <c r="W8163" t="s">
        <v>44039</v>
      </c>
      <c r="X8163" t="s">
        <v>45104</v>
      </c>
    </row>
    <row r="8164" spans="1:24">
      <c r="A8164">
        <f>HYPERLINK("https://www.philgeps.gov.ph/GEPSNONPILOT/Tender/SplashBidNoticeAbstractUI.aspx?menuIndex=3&amp;refID=7038081&amp;Result=3","7038081")</f>
        <v>0</v>
      </c>
      <c r="B8164" t="s">
        <v>2330</v>
      </c>
      <c r="C8164" t="s">
        <v>10978</v>
      </c>
      <c r="D8164" t="s">
        <v>18025</v>
      </c>
      <c r="E8164" t="s">
        <v>25274</v>
      </c>
      <c r="F8164" t="s">
        <v>31574</v>
      </c>
      <c r="G8164" t="s">
        <v>31582</v>
      </c>
      <c r="H8164" t="s">
        <v>31590</v>
      </c>
      <c r="I8164" t="s">
        <v>31599</v>
      </c>
      <c r="J8164" t="s">
        <v>32497</v>
      </c>
      <c r="K8164" t="s">
        <v>41196</v>
      </c>
      <c r="M8164" t="s">
        <v>44040</v>
      </c>
      <c r="N8164" t="s">
        <v>45095</v>
      </c>
      <c r="O8164" t="s">
        <v>45096</v>
      </c>
      <c r="P8164">
        <v>0</v>
      </c>
      <c r="Q8164">
        <v>3</v>
      </c>
      <c r="R8164" t="s">
        <v>45103</v>
      </c>
      <c r="S8164" t="s">
        <v>45270</v>
      </c>
      <c r="T8164" t="s">
        <v>47050</v>
      </c>
      <c r="U8164" t="s">
        <v>54254</v>
      </c>
      <c r="W8164" t="s">
        <v>44040</v>
      </c>
      <c r="X8164" t="s">
        <v>45104</v>
      </c>
    </row>
    <row r="8165" spans="1:24">
      <c r="A8165">
        <f>HYPERLINK("https://www.philgeps.gov.ph/GEPSNONPILOT/Tender/SplashBidNoticeAbstractUI.aspx?menuIndex=3&amp;refID=7038070&amp;Result=3","7038070")</f>
        <v>0</v>
      </c>
      <c r="B8165" t="s">
        <v>580</v>
      </c>
      <c r="C8165" t="s">
        <v>10979</v>
      </c>
      <c r="D8165" t="s">
        <v>18048</v>
      </c>
      <c r="E8165" t="s">
        <v>25275</v>
      </c>
      <c r="F8165" t="s">
        <v>31574</v>
      </c>
      <c r="G8165" t="s">
        <v>31582</v>
      </c>
      <c r="H8165" t="s">
        <v>31590</v>
      </c>
      <c r="I8165" t="s">
        <v>6800</v>
      </c>
      <c r="J8165" t="s">
        <v>36909</v>
      </c>
      <c r="K8165" t="s">
        <v>41196</v>
      </c>
      <c r="M8165" t="s">
        <v>42082</v>
      </c>
      <c r="N8165" t="s">
        <v>45095</v>
      </c>
      <c r="O8165" t="s">
        <v>45096</v>
      </c>
      <c r="P8165">
        <v>0</v>
      </c>
      <c r="Q8165">
        <v>1</v>
      </c>
      <c r="R8165" t="s">
        <v>45103</v>
      </c>
      <c r="S8165" t="s">
        <v>45270</v>
      </c>
      <c r="T8165" t="s">
        <v>46943</v>
      </c>
      <c r="U8165" t="s">
        <v>54255</v>
      </c>
      <c r="V8165" t="s">
        <v>60709</v>
      </c>
      <c r="W8165" t="s">
        <v>42082</v>
      </c>
      <c r="X8165" t="s">
        <v>45104</v>
      </c>
    </row>
    <row r="8166" spans="1:24">
      <c r="A8166">
        <f>HYPERLINK("https://www.philgeps.gov.ph/GEPSNONPILOT/Tender/SplashBidNoticeAbstractUI.aspx?menuIndex=3&amp;refID=7038075&amp;Result=3","7038075")</f>
        <v>0</v>
      </c>
      <c r="B8166" t="s">
        <v>580</v>
      </c>
      <c r="C8166" t="s">
        <v>10980</v>
      </c>
      <c r="D8166" t="s">
        <v>18048</v>
      </c>
      <c r="E8166" t="s">
        <v>25276</v>
      </c>
      <c r="F8166" t="s">
        <v>31574</v>
      </c>
      <c r="G8166" t="s">
        <v>31582</v>
      </c>
      <c r="H8166" t="s">
        <v>31590</v>
      </c>
      <c r="I8166" t="s">
        <v>4046</v>
      </c>
      <c r="J8166" t="s">
        <v>36910</v>
      </c>
      <c r="K8166" t="s">
        <v>41196</v>
      </c>
      <c r="M8166" t="s">
        <v>42082</v>
      </c>
      <c r="N8166" t="s">
        <v>45095</v>
      </c>
      <c r="O8166" t="s">
        <v>45096</v>
      </c>
      <c r="P8166">
        <v>0</v>
      </c>
      <c r="Q8166">
        <v>0</v>
      </c>
      <c r="R8166" t="s">
        <v>45103</v>
      </c>
      <c r="S8166" t="s">
        <v>45270</v>
      </c>
      <c r="T8166" t="s">
        <v>46943</v>
      </c>
      <c r="U8166" t="s">
        <v>54256</v>
      </c>
      <c r="V8166" t="s">
        <v>60709</v>
      </c>
      <c r="W8166" t="s">
        <v>42082</v>
      </c>
      <c r="X8166" t="s">
        <v>45104</v>
      </c>
    </row>
    <row r="8167" spans="1:24">
      <c r="A8167">
        <f>HYPERLINK("https://www.philgeps.gov.ph/GEPSNONPILOT/Tender/SplashBidNoticeAbstractUI.aspx?menuIndex=3&amp;refID=7038073&amp;Result=3","7038073")</f>
        <v>0</v>
      </c>
      <c r="B8167" t="s">
        <v>2319</v>
      </c>
      <c r="C8167" t="s">
        <v>10981</v>
      </c>
      <c r="D8167" t="s">
        <v>18100</v>
      </c>
      <c r="E8167" t="s">
        <v>20768</v>
      </c>
      <c r="F8167" t="s">
        <v>31575</v>
      </c>
      <c r="G8167" t="s">
        <v>31581</v>
      </c>
      <c r="H8167" t="s">
        <v>31590</v>
      </c>
      <c r="I8167" t="s">
        <v>31614</v>
      </c>
      <c r="J8167" t="s">
        <v>32381</v>
      </c>
      <c r="K8167" t="s">
        <v>41193</v>
      </c>
      <c r="M8167" t="s">
        <v>44029</v>
      </c>
      <c r="N8167" t="s">
        <v>45095</v>
      </c>
      <c r="O8167" t="s">
        <v>45096</v>
      </c>
      <c r="P8167">
        <v>0</v>
      </c>
      <c r="Q8167">
        <v>7</v>
      </c>
      <c r="R8167" t="s">
        <v>45103</v>
      </c>
      <c r="S8167" t="s">
        <v>45270</v>
      </c>
      <c r="T8167" t="s">
        <v>46985</v>
      </c>
      <c r="U8167" t="s">
        <v>54257</v>
      </c>
      <c r="W8167" t="s">
        <v>44029</v>
      </c>
      <c r="X8167" t="s">
        <v>45104</v>
      </c>
    </row>
    <row r="8168" spans="1:24">
      <c r="A8168">
        <f>HYPERLINK("https://www.philgeps.gov.ph/GEPSNONPILOT/Tender/SplashBidNoticeAbstractUI.aspx?menuIndex=3&amp;refID=7038079&amp;Result=3","7038079")</f>
        <v>0</v>
      </c>
      <c r="B8168" t="s">
        <v>2330</v>
      </c>
      <c r="C8168" t="s">
        <v>10982</v>
      </c>
      <c r="D8168" t="s">
        <v>18025</v>
      </c>
      <c r="E8168" t="s">
        <v>25277</v>
      </c>
      <c r="F8168" t="s">
        <v>31574</v>
      </c>
      <c r="G8168" t="s">
        <v>31582</v>
      </c>
      <c r="H8168" t="s">
        <v>31591</v>
      </c>
      <c r="I8168" t="s">
        <v>8822</v>
      </c>
      <c r="J8168" t="s">
        <v>36911</v>
      </c>
      <c r="K8168" t="s">
        <v>41196</v>
      </c>
      <c r="M8168" t="s">
        <v>44040</v>
      </c>
      <c r="N8168" t="s">
        <v>45095</v>
      </c>
      <c r="O8168" t="s">
        <v>45096</v>
      </c>
      <c r="P8168">
        <v>0</v>
      </c>
      <c r="Q8168">
        <v>1</v>
      </c>
      <c r="R8168" t="s">
        <v>45103</v>
      </c>
      <c r="S8168" t="s">
        <v>45270</v>
      </c>
      <c r="T8168" t="s">
        <v>47050</v>
      </c>
      <c r="U8168" t="s">
        <v>54258</v>
      </c>
      <c r="W8168" t="s">
        <v>44040</v>
      </c>
      <c r="X8168" t="s">
        <v>45104</v>
      </c>
    </row>
    <row r="8169" spans="1:24">
      <c r="A8169">
        <f>HYPERLINK("https://www.philgeps.gov.ph/GEPSNONPILOT/Tender/SplashBidNoticeAbstractUI.aspx?menuIndex=3&amp;refID=7038078&amp;Result=3","7038078")</f>
        <v>0</v>
      </c>
      <c r="B8169" t="s">
        <v>580</v>
      </c>
      <c r="C8169" t="s">
        <v>10983</v>
      </c>
      <c r="D8169" t="s">
        <v>18048</v>
      </c>
      <c r="E8169" t="s">
        <v>25278</v>
      </c>
      <c r="F8169" t="s">
        <v>31574</v>
      </c>
      <c r="G8169" t="s">
        <v>31582</v>
      </c>
      <c r="H8169" t="s">
        <v>31590</v>
      </c>
      <c r="I8169" t="s">
        <v>4046</v>
      </c>
      <c r="J8169" t="s">
        <v>36910</v>
      </c>
      <c r="K8169" t="s">
        <v>41196</v>
      </c>
      <c r="M8169" t="s">
        <v>42082</v>
      </c>
      <c r="N8169" t="s">
        <v>45095</v>
      </c>
      <c r="O8169" t="s">
        <v>45096</v>
      </c>
      <c r="P8169">
        <v>0</v>
      </c>
      <c r="Q8169">
        <v>0</v>
      </c>
      <c r="R8169" t="s">
        <v>45103</v>
      </c>
      <c r="S8169" t="s">
        <v>45270</v>
      </c>
      <c r="T8169" t="s">
        <v>46943</v>
      </c>
      <c r="U8169" t="s">
        <v>54259</v>
      </c>
      <c r="V8169" t="s">
        <v>60710</v>
      </c>
      <c r="W8169" t="s">
        <v>42082</v>
      </c>
      <c r="X8169" t="s">
        <v>45104</v>
      </c>
    </row>
    <row r="8170" spans="1:24">
      <c r="A8170">
        <f>HYPERLINK("https://www.philgeps.gov.ph/GEPSNONPILOT/Tender/SplashBidNoticeAbstractUI.aspx?menuIndex=3&amp;refID=7038082&amp;Result=3","7038082")</f>
        <v>0</v>
      </c>
      <c r="B8170" t="s">
        <v>580</v>
      </c>
      <c r="C8170" t="s">
        <v>10984</v>
      </c>
      <c r="D8170" t="s">
        <v>18048</v>
      </c>
      <c r="E8170" t="s">
        <v>25279</v>
      </c>
      <c r="F8170" t="s">
        <v>31574</v>
      </c>
      <c r="G8170" t="s">
        <v>31582</v>
      </c>
      <c r="H8170" t="s">
        <v>31590</v>
      </c>
      <c r="I8170" t="s">
        <v>4046</v>
      </c>
      <c r="J8170" t="s">
        <v>36912</v>
      </c>
      <c r="K8170" t="s">
        <v>41196</v>
      </c>
      <c r="M8170" t="s">
        <v>42082</v>
      </c>
      <c r="N8170" t="s">
        <v>45095</v>
      </c>
      <c r="O8170" t="s">
        <v>45096</v>
      </c>
      <c r="P8170">
        <v>0</v>
      </c>
      <c r="Q8170">
        <v>0</v>
      </c>
      <c r="R8170" t="s">
        <v>45103</v>
      </c>
      <c r="S8170" t="s">
        <v>45270</v>
      </c>
      <c r="T8170" t="s">
        <v>46943</v>
      </c>
      <c r="U8170" t="s">
        <v>54260</v>
      </c>
      <c r="V8170" t="s">
        <v>60709</v>
      </c>
      <c r="W8170" t="s">
        <v>42082</v>
      </c>
      <c r="X8170" t="s">
        <v>45104</v>
      </c>
    </row>
    <row r="8171" spans="1:24">
      <c r="A8171">
        <f>HYPERLINK("https://www.philgeps.gov.ph/GEPSNONPILOT/Tender/SplashBidNoticeAbstractUI.aspx?menuIndex=3&amp;refID=7038077&amp;Result=3","7038077")</f>
        <v>0</v>
      </c>
      <c r="B8171" t="s">
        <v>2331</v>
      </c>
      <c r="C8171" t="s">
        <v>10985</v>
      </c>
      <c r="D8171" t="s">
        <v>18064</v>
      </c>
      <c r="E8171" t="s">
        <v>25280</v>
      </c>
      <c r="F8171" t="s">
        <v>31574</v>
      </c>
      <c r="G8171" t="s">
        <v>31588</v>
      </c>
      <c r="H8171" t="s">
        <v>31591</v>
      </c>
      <c r="I8171" t="s">
        <v>8822</v>
      </c>
      <c r="J8171" t="s">
        <v>36913</v>
      </c>
      <c r="K8171" t="s">
        <v>41189</v>
      </c>
      <c r="M8171" t="s">
        <v>44041</v>
      </c>
      <c r="N8171" t="s">
        <v>45095</v>
      </c>
      <c r="O8171" t="s">
        <v>45096</v>
      </c>
      <c r="P8171">
        <v>0</v>
      </c>
      <c r="Q8171">
        <v>2</v>
      </c>
      <c r="R8171" t="s">
        <v>45103</v>
      </c>
      <c r="S8171" t="s">
        <v>45270</v>
      </c>
      <c r="T8171" t="s">
        <v>47245</v>
      </c>
      <c r="U8171" t="s">
        <v>54261</v>
      </c>
      <c r="W8171" t="s">
        <v>44041</v>
      </c>
      <c r="X8171" t="s">
        <v>45104</v>
      </c>
    </row>
    <row r="8172" spans="1:24">
      <c r="A8172">
        <f>HYPERLINK("https://www.philgeps.gov.ph/GEPSNONPILOT/Tender/SplashBidNoticeAbstractUI.aspx?menuIndex=3&amp;refID=7038090&amp;Result=3","7038090")</f>
        <v>0</v>
      </c>
      <c r="B8172" t="s">
        <v>708</v>
      </c>
      <c r="C8172" t="s">
        <v>10986</v>
      </c>
      <c r="D8172" t="s">
        <v>18028</v>
      </c>
      <c r="E8172" t="s">
        <v>25281</v>
      </c>
      <c r="F8172" t="s">
        <v>31574</v>
      </c>
      <c r="G8172" t="s">
        <v>31582</v>
      </c>
      <c r="H8172" t="s">
        <v>31590</v>
      </c>
      <c r="I8172" t="s">
        <v>31648</v>
      </c>
      <c r="J8172" t="s">
        <v>36914</v>
      </c>
      <c r="K8172" t="s">
        <v>41196</v>
      </c>
      <c r="M8172" t="s">
        <v>42217</v>
      </c>
      <c r="N8172" t="s">
        <v>45095</v>
      </c>
      <c r="O8172" t="s">
        <v>45096</v>
      </c>
      <c r="P8172">
        <v>0</v>
      </c>
      <c r="Q8172">
        <v>0</v>
      </c>
      <c r="R8172" t="s">
        <v>45103</v>
      </c>
      <c r="S8172" t="s">
        <v>45270</v>
      </c>
      <c r="T8172" t="s">
        <v>46973</v>
      </c>
      <c r="U8172" t="s">
        <v>54262</v>
      </c>
      <c r="V8172" t="s">
        <v>59966</v>
      </c>
      <c r="W8172" t="s">
        <v>42217</v>
      </c>
      <c r="X8172" t="s">
        <v>45104</v>
      </c>
    </row>
    <row r="8173" spans="1:24">
      <c r="A8173">
        <f>HYPERLINK("https://www.philgeps.gov.ph/GEPSNONPILOT/Tender/SplashBidNoticeAbstractUI.aspx?menuIndex=3&amp;refID=7038080&amp;Result=3","7038080")</f>
        <v>0</v>
      </c>
      <c r="B8173" t="s">
        <v>580</v>
      </c>
      <c r="C8173" t="s">
        <v>10987</v>
      </c>
      <c r="D8173" t="s">
        <v>18048</v>
      </c>
      <c r="E8173" t="s">
        <v>25282</v>
      </c>
      <c r="F8173" t="s">
        <v>31574</v>
      </c>
      <c r="G8173" t="s">
        <v>31582</v>
      </c>
      <c r="H8173" t="s">
        <v>31590</v>
      </c>
      <c r="I8173" t="s">
        <v>4046</v>
      </c>
      <c r="J8173" t="s">
        <v>36915</v>
      </c>
      <c r="K8173" t="s">
        <v>41196</v>
      </c>
      <c r="M8173" t="s">
        <v>42082</v>
      </c>
      <c r="N8173" t="s">
        <v>45095</v>
      </c>
      <c r="O8173" t="s">
        <v>45096</v>
      </c>
      <c r="P8173">
        <v>0</v>
      </c>
      <c r="Q8173">
        <v>0</v>
      </c>
      <c r="R8173" t="s">
        <v>45103</v>
      </c>
      <c r="S8173" t="s">
        <v>45270</v>
      </c>
      <c r="T8173" t="s">
        <v>46943</v>
      </c>
      <c r="U8173" t="s">
        <v>54263</v>
      </c>
      <c r="V8173" t="s">
        <v>60709</v>
      </c>
      <c r="W8173" t="s">
        <v>42082</v>
      </c>
      <c r="X8173" t="s">
        <v>45104</v>
      </c>
    </row>
    <row r="8174" spans="1:24">
      <c r="A8174">
        <f>HYPERLINK("https://www.philgeps.gov.ph/GEPSNONPILOT/Tender/SplashBidNoticeAbstractUI.aspx?menuIndex=3&amp;refID=7038087&amp;Result=3","7038087")</f>
        <v>0</v>
      </c>
      <c r="B8174" t="s">
        <v>2332</v>
      </c>
      <c r="C8174" t="s">
        <v>10988</v>
      </c>
      <c r="D8174" t="s">
        <v>18026</v>
      </c>
      <c r="E8174" t="s">
        <v>25283</v>
      </c>
      <c r="F8174" t="s">
        <v>31574</v>
      </c>
      <c r="G8174" t="s">
        <v>31582</v>
      </c>
      <c r="H8174" t="s">
        <v>31590</v>
      </c>
      <c r="I8174" t="s">
        <v>4046</v>
      </c>
      <c r="J8174" t="s">
        <v>31947</v>
      </c>
      <c r="K8174" t="s">
        <v>41193</v>
      </c>
      <c r="M8174" t="s">
        <v>44042</v>
      </c>
      <c r="N8174" t="s">
        <v>45095</v>
      </c>
      <c r="O8174" t="s">
        <v>45096</v>
      </c>
      <c r="P8174">
        <v>0</v>
      </c>
      <c r="Q8174">
        <v>1</v>
      </c>
      <c r="R8174" t="s">
        <v>45103</v>
      </c>
      <c r="S8174" t="s">
        <v>45270</v>
      </c>
      <c r="T8174" t="s">
        <v>47125</v>
      </c>
      <c r="U8174" t="s">
        <v>54264</v>
      </c>
      <c r="W8174" t="s">
        <v>44042</v>
      </c>
      <c r="X8174" t="s">
        <v>45104</v>
      </c>
    </row>
    <row r="8175" spans="1:24">
      <c r="A8175">
        <f>HYPERLINK("https://www.philgeps.gov.ph/GEPSNONPILOT/Tender/SplashBidNoticeAbstractUI.aspx?menuIndex=3&amp;refID=7038089&amp;Result=3","7038089")</f>
        <v>0</v>
      </c>
      <c r="B8175" t="s">
        <v>580</v>
      </c>
      <c r="C8175" t="s">
        <v>10989</v>
      </c>
      <c r="D8175" t="s">
        <v>18048</v>
      </c>
      <c r="E8175" t="s">
        <v>25284</v>
      </c>
      <c r="F8175" t="s">
        <v>31574</v>
      </c>
      <c r="G8175" t="s">
        <v>31582</v>
      </c>
      <c r="H8175" t="s">
        <v>31590</v>
      </c>
      <c r="I8175" t="s">
        <v>4046</v>
      </c>
      <c r="J8175" t="s">
        <v>36910</v>
      </c>
      <c r="K8175" t="s">
        <v>41196</v>
      </c>
      <c r="M8175" t="s">
        <v>42082</v>
      </c>
      <c r="N8175" t="s">
        <v>45095</v>
      </c>
      <c r="O8175" t="s">
        <v>45096</v>
      </c>
      <c r="P8175">
        <v>0</v>
      </c>
      <c r="Q8175">
        <v>0</v>
      </c>
      <c r="R8175" t="s">
        <v>45103</v>
      </c>
      <c r="S8175" t="s">
        <v>45270</v>
      </c>
      <c r="T8175" t="s">
        <v>46981</v>
      </c>
      <c r="U8175" t="s">
        <v>54265</v>
      </c>
      <c r="V8175" t="s">
        <v>60709</v>
      </c>
      <c r="W8175" t="s">
        <v>42082</v>
      </c>
      <c r="X8175" t="s">
        <v>45104</v>
      </c>
    </row>
    <row r="8176" spans="1:24">
      <c r="A8176">
        <f>HYPERLINK("https://www.philgeps.gov.ph/GEPSNONPILOT/Tender/SplashBidNoticeAbstractUI.aspx?menuIndex=3&amp;refID=7038084&amp;Result=3","7038084")</f>
        <v>0</v>
      </c>
      <c r="B8176" t="s">
        <v>2332</v>
      </c>
      <c r="C8176" t="s">
        <v>10990</v>
      </c>
      <c r="D8176" t="s">
        <v>18026</v>
      </c>
      <c r="E8176" t="s">
        <v>25285</v>
      </c>
      <c r="F8176" t="s">
        <v>31574</v>
      </c>
      <c r="G8176" t="s">
        <v>31582</v>
      </c>
      <c r="H8176" t="s">
        <v>31590</v>
      </c>
      <c r="I8176" t="s">
        <v>31602</v>
      </c>
      <c r="J8176" t="s">
        <v>36916</v>
      </c>
      <c r="K8176" t="s">
        <v>41193</v>
      </c>
      <c r="M8176" t="s">
        <v>44042</v>
      </c>
      <c r="N8176" t="s">
        <v>45095</v>
      </c>
      <c r="O8176" t="s">
        <v>45096</v>
      </c>
      <c r="P8176">
        <v>0</v>
      </c>
      <c r="Q8176">
        <v>0</v>
      </c>
      <c r="R8176" t="s">
        <v>45103</v>
      </c>
      <c r="S8176" t="s">
        <v>45270</v>
      </c>
      <c r="T8176" t="s">
        <v>47125</v>
      </c>
      <c r="U8176" t="s">
        <v>54266</v>
      </c>
      <c r="W8176" t="s">
        <v>44042</v>
      </c>
      <c r="X8176" t="s">
        <v>45104</v>
      </c>
    </row>
    <row r="8177" spans="1:24">
      <c r="A8177">
        <f>HYPERLINK("https://www.philgeps.gov.ph/GEPSNONPILOT/Tender/SplashBidNoticeAbstractUI.aspx?menuIndex=3&amp;refID=7038074&amp;Result=3","7038074")</f>
        <v>0</v>
      </c>
      <c r="B8177" t="s">
        <v>362</v>
      </c>
      <c r="C8177" t="s">
        <v>10991</v>
      </c>
      <c r="D8177" t="s">
        <v>18068</v>
      </c>
      <c r="E8177" t="s">
        <v>25286</v>
      </c>
      <c r="F8177" t="s">
        <v>31574</v>
      </c>
      <c r="G8177" t="s">
        <v>31582</v>
      </c>
      <c r="H8177" t="s">
        <v>31591</v>
      </c>
      <c r="I8177" t="s">
        <v>8822</v>
      </c>
      <c r="J8177" t="s">
        <v>32019</v>
      </c>
      <c r="K8177" t="s">
        <v>41217</v>
      </c>
      <c r="M8177" t="s">
        <v>41852</v>
      </c>
      <c r="N8177" t="s">
        <v>45095</v>
      </c>
      <c r="O8177" t="s">
        <v>45096</v>
      </c>
      <c r="P8177">
        <v>0</v>
      </c>
      <c r="Q8177">
        <v>0</v>
      </c>
      <c r="R8177" t="s">
        <v>45103</v>
      </c>
      <c r="S8177" t="s">
        <v>45270</v>
      </c>
      <c r="T8177" t="s">
        <v>47093</v>
      </c>
      <c r="U8177" t="s">
        <v>54267</v>
      </c>
      <c r="W8177" t="s">
        <v>41852</v>
      </c>
      <c r="X8177" t="s">
        <v>45104</v>
      </c>
    </row>
    <row r="8178" spans="1:24">
      <c r="A8178">
        <f>HYPERLINK("https://www.philgeps.gov.ph/GEPSNONPILOT/Tender/SplashBidNoticeAbstractUI.aspx?menuIndex=3&amp;refID=7038095&amp;Result=3","7038095")</f>
        <v>0</v>
      </c>
      <c r="B8178" t="s">
        <v>580</v>
      </c>
      <c r="C8178" t="s">
        <v>10992</v>
      </c>
      <c r="D8178" t="s">
        <v>18048</v>
      </c>
      <c r="E8178" t="s">
        <v>25287</v>
      </c>
      <c r="F8178" t="s">
        <v>31574</v>
      </c>
      <c r="G8178" t="s">
        <v>31582</v>
      </c>
      <c r="H8178" t="s">
        <v>31590</v>
      </c>
      <c r="I8178" t="s">
        <v>4046</v>
      </c>
      <c r="J8178" t="s">
        <v>36910</v>
      </c>
      <c r="K8178" t="s">
        <v>41196</v>
      </c>
      <c r="M8178" t="s">
        <v>42082</v>
      </c>
      <c r="N8178" t="s">
        <v>45095</v>
      </c>
      <c r="O8178" t="s">
        <v>45096</v>
      </c>
      <c r="P8178">
        <v>0</v>
      </c>
      <c r="Q8178">
        <v>0</v>
      </c>
      <c r="R8178" t="s">
        <v>45103</v>
      </c>
      <c r="S8178" t="s">
        <v>45270</v>
      </c>
      <c r="T8178" t="s">
        <v>46981</v>
      </c>
      <c r="U8178" t="s">
        <v>54268</v>
      </c>
      <c r="V8178" t="s">
        <v>60709</v>
      </c>
      <c r="W8178" t="s">
        <v>42082</v>
      </c>
      <c r="X8178" t="s">
        <v>45104</v>
      </c>
    </row>
    <row r="8179" spans="1:24">
      <c r="A8179">
        <f>HYPERLINK("https://www.philgeps.gov.ph/GEPSNONPILOT/Tender/SplashBidNoticeAbstractUI.aspx?menuIndex=3&amp;refID=7038086&amp;Result=3","7038086")</f>
        <v>0</v>
      </c>
      <c r="B8179" t="s">
        <v>2331</v>
      </c>
      <c r="C8179" t="s">
        <v>10993</v>
      </c>
      <c r="D8179" t="s">
        <v>18064</v>
      </c>
      <c r="E8179" t="s">
        <v>25288</v>
      </c>
      <c r="F8179" t="s">
        <v>31574</v>
      </c>
      <c r="G8179" t="s">
        <v>31588</v>
      </c>
      <c r="H8179" t="s">
        <v>31591</v>
      </c>
      <c r="I8179" t="s">
        <v>8822</v>
      </c>
      <c r="J8179" t="s">
        <v>36917</v>
      </c>
      <c r="K8179" t="s">
        <v>41189</v>
      </c>
      <c r="M8179" t="s">
        <v>44041</v>
      </c>
      <c r="N8179" t="s">
        <v>45095</v>
      </c>
      <c r="O8179" t="s">
        <v>45096</v>
      </c>
      <c r="P8179">
        <v>0</v>
      </c>
      <c r="Q8179">
        <v>2</v>
      </c>
      <c r="R8179" t="s">
        <v>45103</v>
      </c>
      <c r="S8179" t="s">
        <v>45270</v>
      </c>
      <c r="T8179" t="s">
        <v>47290</v>
      </c>
      <c r="U8179" t="s">
        <v>54269</v>
      </c>
      <c r="W8179" t="s">
        <v>44041</v>
      </c>
      <c r="X8179" t="s">
        <v>45104</v>
      </c>
    </row>
    <row r="8180" spans="1:24">
      <c r="A8180">
        <f>HYPERLINK("https://www.philgeps.gov.ph/GEPSNONPILOT/Tender/SplashBidNoticeAbstractUI.aspx?menuIndex=3&amp;refID=7038091&amp;Result=3","7038091")</f>
        <v>0</v>
      </c>
      <c r="B8180" t="s">
        <v>2333</v>
      </c>
      <c r="C8180" t="s">
        <v>10994</v>
      </c>
      <c r="D8180" t="s">
        <v>18044</v>
      </c>
      <c r="E8180" t="s">
        <v>25289</v>
      </c>
      <c r="F8180" t="s">
        <v>31574</v>
      </c>
      <c r="G8180" t="s">
        <v>31582</v>
      </c>
      <c r="H8180" t="s">
        <v>31590</v>
      </c>
      <c r="I8180" t="s">
        <v>31635</v>
      </c>
      <c r="J8180" t="s">
        <v>36918</v>
      </c>
      <c r="K8180" t="s">
        <v>41184</v>
      </c>
      <c r="M8180" t="s">
        <v>44043</v>
      </c>
      <c r="N8180" t="s">
        <v>45095</v>
      </c>
      <c r="O8180" t="s">
        <v>45096</v>
      </c>
      <c r="P8180">
        <v>0</v>
      </c>
      <c r="Q8180">
        <v>1</v>
      </c>
      <c r="R8180" t="s">
        <v>45103</v>
      </c>
      <c r="S8180" t="s">
        <v>45270</v>
      </c>
      <c r="T8180" t="s">
        <v>47010</v>
      </c>
      <c r="U8180" t="s">
        <v>54270</v>
      </c>
      <c r="W8180" t="s">
        <v>44043</v>
      </c>
      <c r="X8180" t="s">
        <v>45104</v>
      </c>
    </row>
    <row r="8181" spans="1:24">
      <c r="A8181">
        <f>HYPERLINK("https://www.philgeps.gov.ph/GEPSNONPILOT/Tender/SplashBidNoticeAbstractUI.aspx?menuIndex=3&amp;refID=7038112&amp;Result=3","7038112")</f>
        <v>0</v>
      </c>
      <c r="B8181" t="s">
        <v>671</v>
      </c>
      <c r="C8181" t="s">
        <v>10995</v>
      </c>
      <c r="D8181" t="s">
        <v>18022</v>
      </c>
      <c r="E8181" t="s">
        <v>25290</v>
      </c>
      <c r="F8181" t="s">
        <v>31574</v>
      </c>
      <c r="G8181" t="s">
        <v>31581</v>
      </c>
      <c r="H8181" t="s">
        <v>31590</v>
      </c>
      <c r="I8181" t="s">
        <v>31612</v>
      </c>
      <c r="J8181" t="s">
        <v>36919</v>
      </c>
      <c r="K8181" t="s">
        <v>41193</v>
      </c>
      <c r="M8181" t="s">
        <v>42177</v>
      </c>
      <c r="N8181" t="s">
        <v>45095</v>
      </c>
      <c r="O8181" t="s">
        <v>45096</v>
      </c>
      <c r="P8181">
        <v>0</v>
      </c>
      <c r="Q8181">
        <v>8</v>
      </c>
      <c r="R8181" t="s">
        <v>45103</v>
      </c>
      <c r="S8181" t="s">
        <v>45270</v>
      </c>
      <c r="T8181" t="s">
        <v>47077</v>
      </c>
      <c r="U8181" t="s">
        <v>49487</v>
      </c>
      <c r="W8181" t="s">
        <v>42177</v>
      </c>
      <c r="X8181" t="s">
        <v>45104</v>
      </c>
    </row>
    <row r="8182" spans="1:24">
      <c r="A8182">
        <f>HYPERLINK("https://www.philgeps.gov.ph/GEPSNONPILOT/Tender/SplashBidNoticeAbstractUI.aspx?menuIndex=3&amp;refID=7038083&amp;Result=3","7038083")</f>
        <v>0</v>
      </c>
      <c r="B8182" t="s">
        <v>580</v>
      </c>
      <c r="C8182" t="s">
        <v>10996</v>
      </c>
      <c r="D8182" t="s">
        <v>18048</v>
      </c>
      <c r="E8182" t="s">
        <v>25291</v>
      </c>
      <c r="F8182" t="s">
        <v>31574</v>
      </c>
      <c r="G8182" t="s">
        <v>31582</v>
      </c>
      <c r="H8182" t="s">
        <v>31590</v>
      </c>
      <c r="I8182" t="s">
        <v>4046</v>
      </c>
      <c r="J8182" t="s">
        <v>36915</v>
      </c>
      <c r="K8182" t="s">
        <v>41196</v>
      </c>
      <c r="M8182" t="s">
        <v>42082</v>
      </c>
      <c r="N8182" t="s">
        <v>45095</v>
      </c>
      <c r="O8182" t="s">
        <v>45096</v>
      </c>
      <c r="P8182">
        <v>0</v>
      </c>
      <c r="Q8182">
        <v>0</v>
      </c>
      <c r="R8182" t="s">
        <v>45103</v>
      </c>
      <c r="S8182" t="s">
        <v>45270</v>
      </c>
      <c r="T8182" t="s">
        <v>46943</v>
      </c>
      <c r="U8182" t="s">
        <v>54271</v>
      </c>
      <c r="V8182" t="s">
        <v>60709</v>
      </c>
      <c r="W8182" t="s">
        <v>42082</v>
      </c>
      <c r="X8182" t="s">
        <v>45104</v>
      </c>
    </row>
    <row r="8183" spans="1:24">
      <c r="A8183">
        <f>HYPERLINK("https://www.philgeps.gov.ph/GEPSNONPILOT/Tender/SplashBidNoticeAbstractUI.aspx?menuIndex=3&amp;refID=7038097&amp;Result=3","7038097")</f>
        <v>0</v>
      </c>
      <c r="B8183" t="s">
        <v>580</v>
      </c>
      <c r="C8183" t="s">
        <v>10997</v>
      </c>
      <c r="D8183" t="s">
        <v>18048</v>
      </c>
      <c r="E8183" t="s">
        <v>25292</v>
      </c>
      <c r="F8183" t="s">
        <v>31574</v>
      </c>
      <c r="G8183" t="s">
        <v>31582</v>
      </c>
      <c r="H8183" t="s">
        <v>31590</v>
      </c>
      <c r="I8183" t="s">
        <v>4046</v>
      </c>
      <c r="J8183" t="s">
        <v>36915</v>
      </c>
      <c r="K8183" t="s">
        <v>41196</v>
      </c>
      <c r="M8183" t="s">
        <v>42082</v>
      </c>
      <c r="N8183" t="s">
        <v>45095</v>
      </c>
      <c r="O8183" t="s">
        <v>45096</v>
      </c>
      <c r="P8183">
        <v>0</v>
      </c>
      <c r="Q8183">
        <v>0</v>
      </c>
      <c r="R8183" t="s">
        <v>45103</v>
      </c>
      <c r="S8183" t="s">
        <v>45270</v>
      </c>
      <c r="T8183" t="s">
        <v>46981</v>
      </c>
      <c r="U8183" t="s">
        <v>54272</v>
      </c>
      <c r="V8183" t="s">
        <v>60709</v>
      </c>
      <c r="W8183" t="s">
        <v>42082</v>
      </c>
      <c r="X8183" t="s">
        <v>45104</v>
      </c>
    </row>
    <row r="8184" spans="1:24">
      <c r="A8184">
        <f>HYPERLINK("https://www.philgeps.gov.ph/GEPSNONPILOT/Tender/SplashBidNoticeAbstractUI.aspx?menuIndex=3&amp;refID=7038110&amp;Result=3","7038110")</f>
        <v>0</v>
      </c>
      <c r="B8184" t="s">
        <v>2334</v>
      </c>
      <c r="C8184" t="s">
        <v>10998</v>
      </c>
      <c r="D8184" t="s">
        <v>18026</v>
      </c>
      <c r="E8184" t="s">
        <v>25293</v>
      </c>
      <c r="F8184" t="s">
        <v>31574</v>
      </c>
      <c r="G8184" t="s">
        <v>31581</v>
      </c>
      <c r="H8184" t="s">
        <v>31590</v>
      </c>
      <c r="I8184" t="s">
        <v>31602</v>
      </c>
      <c r="J8184" t="s">
        <v>36920</v>
      </c>
      <c r="K8184" t="s">
        <v>41184</v>
      </c>
      <c r="M8184" t="s">
        <v>44044</v>
      </c>
      <c r="N8184" t="s">
        <v>45095</v>
      </c>
      <c r="O8184" t="s">
        <v>45096</v>
      </c>
      <c r="P8184">
        <v>0</v>
      </c>
      <c r="Q8184">
        <v>0</v>
      </c>
      <c r="R8184" t="s">
        <v>45103</v>
      </c>
      <c r="S8184" t="s">
        <v>45270</v>
      </c>
      <c r="T8184" t="s">
        <v>47158</v>
      </c>
      <c r="U8184" t="s">
        <v>54273</v>
      </c>
      <c r="W8184" t="s">
        <v>44044</v>
      </c>
      <c r="X8184" t="s">
        <v>45104</v>
      </c>
    </row>
    <row r="8185" spans="1:24">
      <c r="A8185">
        <f>HYPERLINK("https://www.philgeps.gov.ph/GEPSNONPILOT/Tender/SplashBidNoticeAbstractUI.aspx?menuIndex=3&amp;refID=7038065&amp;Result=3","7038065")</f>
        <v>0</v>
      </c>
      <c r="B8185" t="s">
        <v>2330</v>
      </c>
      <c r="C8185" t="s">
        <v>10999</v>
      </c>
      <c r="D8185" t="s">
        <v>18025</v>
      </c>
      <c r="E8185" t="s">
        <v>25294</v>
      </c>
      <c r="F8185" t="s">
        <v>31574</v>
      </c>
      <c r="G8185" t="s">
        <v>31582</v>
      </c>
      <c r="H8185" t="s">
        <v>31591</v>
      </c>
      <c r="I8185" t="s">
        <v>8822</v>
      </c>
      <c r="J8185" t="s">
        <v>36921</v>
      </c>
      <c r="K8185" t="s">
        <v>41208</v>
      </c>
      <c r="M8185" t="s">
        <v>44040</v>
      </c>
      <c r="N8185" t="s">
        <v>45095</v>
      </c>
      <c r="O8185" t="s">
        <v>45096</v>
      </c>
      <c r="P8185">
        <v>0</v>
      </c>
      <c r="Q8185">
        <v>1</v>
      </c>
      <c r="R8185" t="s">
        <v>45103</v>
      </c>
      <c r="S8185" t="s">
        <v>45270</v>
      </c>
      <c r="T8185" t="s">
        <v>47050</v>
      </c>
      <c r="U8185" t="s">
        <v>54274</v>
      </c>
      <c r="W8185" t="s">
        <v>44040</v>
      </c>
      <c r="X8185" t="s">
        <v>45104</v>
      </c>
    </row>
    <row r="8186" spans="1:24">
      <c r="A8186">
        <f>HYPERLINK("https://www.philgeps.gov.ph/GEPSNONPILOT/Tender/SplashBidNoticeAbstractUI.aspx?menuIndex=3&amp;refID=7038109&amp;Result=3","7038109")</f>
        <v>0</v>
      </c>
      <c r="B8186" t="s">
        <v>2335</v>
      </c>
      <c r="C8186" t="s">
        <v>7855</v>
      </c>
      <c r="D8186" t="s">
        <v>18040</v>
      </c>
      <c r="E8186" t="s">
        <v>25295</v>
      </c>
      <c r="F8186" t="s">
        <v>31574</v>
      </c>
      <c r="G8186" t="s">
        <v>31582</v>
      </c>
      <c r="H8186" t="s">
        <v>31590</v>
      </c>
      <c r="I8186" t="s">
        <v>31640</v>
      </c>
      <c r="J8186" t="s">
        <v>36922</v>
      </c>
      <c r="K8186" t="s">
        <v>41213</v>
      </c>
      <c r="L8186" t="s">
        <v>2335</v>
      </c>
      <c r="M8186" t="s">
        <v>44045</v>
      </c>
      <c r="N8186" t="s">
        <v>45095</v>
      </c>
      <c r="O8186" t="s">
        <v>45096</v>
      </c>
      <c r="P8186">
        <v>0</v>
      </c>
      <c r="Q8186">
        <v>0</v>
      </c>
      <c r="R8186" t="s">
        <v>45103</v>
      </c>
      <c r="S8186" t="s">
        <v>45270</v>
      </c>
      <c r="T8186" t="s">
        <v>47067</v>
      </c>
      <c r="U8186" t="s">
        <v>54275</v>
      </c>
      <c r="W8186" t="s">
        <v>44045</v>
      </c>
      <c r="X8186" t="s">
        <v>45104</v>
      </c>
    </row>
    <row r="8187" spans="1:24">
      <c r="A8187">
        <f>HYPERLINK("https://www.philgeps.gov.ph/GEPSNONPILOT/Tender/SplashBidNoticeAbstractUI.aspx?menuIndex=3&amp;refID=7038113&amp;Result=3","7038113")</f>
        <v>0</v>
      </c>
      <c r="B8187" t="s">
        <v>1932</v>
      </c>
      <c r="C8187" t="s">
        <v>11000</v>
      </c>
      <c r="D8187" t="s">
        <v>18103</v>
      </c>
      <c r="E8187" t="s">
        <v>18280</v>
      </c>
      <c r="F8187" t="s">
        <v>31574</v>
      </c>
      <c r="G8187" t="s">
        <v>31582</v>
      </c>
      <c r="H8187" t="s">
        <v>31590</v>
      </c>
      <c r="I8187" t="s">
        <v>4046</v>
      </c>
      <c r="J8187" t="s">
        <v>36923</v>
      </c>
      <c r="K8187" t="s">
        <v>41196</v>
      </c>
      <c r="M8187" t="s">
        <v>43586</v>
      </c>
      <c r="N8187" t="s">
        <v>45095</v>
      </c>
      <c r="O8187" t="s">
        <v>45096</v>
      </c>
      <c r="P8187">
        <v>0</v>
      </c>
      <c r="Q8187">
        <v>2</v>
      </c>
      <c r="R8187" t="s">
        <v>45103</v>
      </c>
      <c r="S8187" t="s">
        <v>45270</v>
      </c>
      <c r="T8187" t="s">
        <v>46965</v>
      </c>
      <c r="U8187" t="s">
        <v>54276</v>
      </c>
      <c r="V8187" t="s">
        <v>60510</v>
      </c>
      <c r="W8187" t="s">
        <v>43586</v>
      </c>
      <c r="X8187" t="s">
        <v>45104</v>
      </c>
    </row>
    <row r="8188" spans="1:24">
      <c r="A8188">
        <f>HYPERLINK("https://www.philgeps.gov.ph/GEPSNONPILOT/Tender/SplashBidNoticeAbstractUI.aspx?menuIndex=3&amp;refID=7038120&amp;Result=3","7038120")</f>
        <v>0</v>
      </c>
      <c r="B8188" t="s">
        <v>1153</v>
      </c>
      <c r="C8188" t="s">
        <v>11001</v>
      </c>
      <c r="D8188" t="s">
        <v>18036</v>
      </c>
      <c r="E8188" t="s">
        <v>25296</v>
      </c>
      <c r="F8188" t="s">
        <v>31574</v>
      </c>
      <c r="G8188" t="s">
        <v>31582</v>
      </c>
      <c r="H8188" t="s">
        <v>31590</v>
      </c>
      <c r="I8188" t="s">
        <v>8258</v>
      </c>
      <c r="J8188" t="s">
        <v>36924</v>
      </c>
      <c r="K8188" t="s">
        <v>41196</v>
      </c>
      <c r="M8188" t="s">
        <v>42709</v>
      </c>
      <c r="N8188" t="s">
        <v>45095</v>
      </c>
      <c r="O8188" t="s">
        <v>45096</v>
      </c>
      <c r="P8188">
        <v>0</v>
      </c>
      <c r="Q8188">
        <v>6</v>
      </c>
      <c r="R8188" t="s">
        <v>45103</v>
      </c>
      <c r="S8188" t="s">
        <v>45270</v>
      </c>
      <c r="T8188" t="s">
        <v>46985</v>
      </c>
      <c r="U8188" t="s">
        <v>54277</v>
      </c>
      <c r="W8188" t="s">
        <v>61691</v>
      </c>
      <c r="X8188" t="s">
        <v>45104</v>
      </c>
    </row>
    <row r="8189" spans="1:24">
      <c r="A8189">
        <f>HYPERLINK("https://www.philgeps.gov.ph/GEPSNONPILOT/Tender/SplashBidNoticeAbstractUI.aspx?menuIndex=3&amp;refID=7038107&amp;Result=3","7038107")</f>
        <v>0</v>
      </c>
      <c r="B8189" t="s">
        <v>2332</v>
      </c>
      <c r="C8189" t="s">
        <v>11002</v>
      </c>
      <c r="D8189" t="s">
        <v>18026</v>
      </c>
      <c r="E8189" t="s">
        <v>25297</v>
      </c>
      <c r="F8189" t="s">
        <v>31574</v>
      </c>
      <c r="G8189" t="s">
        <v>31582</v>
      </c>
      <c r="H8189" t="s">
        <v>31591</v>
      </c>
      <c r="I8189" t="s">
        <v>8822</v>
      </c>
      <c r="J8189" t="s">
        <v>31789</v>
      </c>
      <c r="K8189" t="s">
        <v>41186</v>
      </c>
      <c r="M8189" t="s">
        <v>44042</v>
      </c>
      <c r="N8189" t="s">
        <v>45095</v>
      </c>
      <c r="O8189" t="s">
        <v>45096</v>
      </c>
      <c r="P8189">
        <v>0</v>
      </c>
      <c r="Q8189">
        <v>0</v>
      </c>
      <c r="R8189" t="s">
        <v>45103</v>
      </c>
      <c r="S8189" t="s">
        <v>45270</v>
      </c>
      <c r="T8189" t="s">
        <v>47125</v>
      </c>
      <c r="U8189" t="s">
        <v>54278</v>
      </c>
      <c r="W8189" t="s">
        <v>44042</v>
      </c>
      <c r="X8189" t="s">
        <v>45104</v>
      </c>
    </row>
    <row r="8190" spans="1:24">
      <c r="A8190">
        <f>HYPERLINK("https://www.philgeps.gov.ph/GEPSNONPILOT/Tender/SplashBidNoticeAbstractUI.aspx?menuIndex=3&amp;refID=7038108&amp;Result=3","7038108")</f>
        <v>0</v>
      </c>
      <c r="B8190" t="s">
        <v>2336</v>
      </c>
      <c r="C8190" t="s">
        <v>11003</v>
      </c>
      <c r="D8190" t="s">
        <v>18086</v>
      </c>
      <c r="E8190" t="s">
        <v>25298</v>
      </c>
      <c r="F8190" t="s">
        <v>31575</v>
      </c>
      <c r="G8190" t="s">
        <v>31582</v>
      </c>
      <c r="H8190" t="s">
        <v>31590</v>
      </c>
      <c r="I8190" t="s">
        <v>4046</v>
      </c>
      <c r="J8190" t="s">
        <v>36925</v>
      </c>
      <c r="K8190" t="s">
        <v>41190</v>
      </c>
      <c r="M8190" t="s">
        <v>44046</v>
      </c>
      <c r="N8190" t="s">
        <v>45095</v>
      </c>
      <c r="O8190" t="s">
        <v>45096</v>
      </c>
      <c r="P8190">
        <v>0</v>
      </c>
      <c r="Q8190">
        <v>0</v>
      </c>
      <c r="R8190" t="s">
        <v>45103</v>
      </c>
      <c r="S8190" t="s">
        <v>45270</v>
      </c>
      <c r="T8190" t="s">
        <v>46988</v>
      </c>
      <c r="U8190" t="s">
        <v>54279</v>
      </c>
      <c r="W8190" t="s">
        <v>44046</v>
      </c>
      <c r="X8190" t="s">
        <v>45104</v>
      </c>
    </row>
    <row r="8191" spans="1:24">
      <c r="A8191">
        <f>HYPERLINK("https://www.philgeps.gov.ph/GEPSNONPILOT/Tender/SplashBidNoticeAbstractUI.aspx?menuIndex=3&amp;refID=7038119&amp;Result=3","7038119")</f>
        <v>0</v>
      </c>
      <c r="B8191" t="s">
        <v>671</v>
      </c>
      <c r="C8191" t="s">
        <v>11004</v>
      </c>
      <c r="D8191" t="s">
        <v>18022</v>
      </c>
      <c r="E8191" t="s">
        <v>25299</v>
      </c>
      <c r="F8191" t="s">
        <v>31574</v>
      </c>
      <c r="G8191" t="s">
        <v>31581</v>
      </c>
      <c r="H8191" t="s">
        <v>31590</v>
      </c>
      <c r="I8191" t="s">
        <v>31615</v>
      </c>
      <c r="J8191" t="s">
        <v>33253</v>
      </c>
      <c r="K8191" t="s">
        <v>41186</v>
      </c>
      <c r="M8191" t="s">
        <v>42177</v>
      </c>
      <c r="N8191" t="s">
        <v>45095</v>
      </c>
      <c r="O8191" t="s">
        <v>45096</v>
      </c>
      <c r="P8191">
        <v>0</v>
      </c>
      <c r="Q8191">
        <v>2</v>
      </c>
      <c r="R8191" t="s">
        <v>45103</v>
      </c>
      <c r="S8191" t="s">
        <v>45270</v>
      </c>
      <c r="T8191" t="s">
        <v>47077</v>
      </c>
      <c r="U8191" t="s">
        <v>54280</v>
      </c>
      <c r="W8191" t="s">
        <v>42177</v>
      </c>
      <c r="X8191" t="s">
        <v>45104</v>
      </c>
    </row>
    <row r="8192" spans="1:24">
      <c r="A8192">
        <f>HYPERLINK("https://www.philgeps.gov.ph/GEPSNONPILOT/Tender/SplashBidNoticeAbstractUI.aspx?menuIndex=3&amp;refID=7038118&amp;Result=3","7038118")</f>
        <v>0</v>
      </c>
      <c r="B8192" t="s">
        <v>1932</v>
      </c>
      <c r="C8192" t="s">
        <v>11005</v>
      </c>
      <c r="D8192" t="s">
        <v>18103</v>
      </c>
      <c r="E8192" t="s">
        <v>18468</v>
      </c>
      <c r="F8192" t="s">
        <v>31574</v>
      </c>
      <c r="G8192" t="s">
        <v>31582</v>
      </c>
      <c r="H8192" t="s">
        <v>31590</v>
      </c>
      <c r="I8192" t="s">
        <v>4046</v>
      </c>
      <c r="J8192" t="s">
        <v>36926</v>
      </c>
      <c r="K8192" t="s">
        <v>41186</v>
      </c>
      <c r="M8192" t="s">
        <v>43586</v>
      </c>
      <c r="N8192" t="s">
        <v>45095</v>
      </c>
      <c r="O8192" t="s">
        <v>45096</v>
      </c>
      <c r="P8192">
        <v>0</v>
      </c>
      <c r="Q8192">
        <v>2</v>
      </c>
      <c r="R8192" t="s">
        <v>45103</v>
      </c>
      <c r="S8192" t="s">
        <v>45270</v>
      </c>
      <c r="T8192" t="s">
        <v>46965</v>
      </c>
      <c r="U8192" t="s">
        <v>54281</v>
      </c>
      <c r="V8192" t="s">
        <v>60510</v>
      </c>
      <c r="W8192" t="s">
        <v>43586</v>
      </c>
      <c r="X8192" t="s">
        <v>45104</v>
      </c>
    </row>
    <row r="8193" spans="1:24">
      <c r="A8193">
        <f>HYPERLINK("https://www.philgeps.gov.ph/GEPSNONPILOT/Tender/SplashBidNoticeAbstractUI.aspx?menuIndex=3&amp;refID=7038104&amp;Result=3","7038104")</f>
        <v>0</v>
      </c>
      <c r="B8193" t="s">
        <v>2337</v>
      </c>
      <c r="C8193" t="s">
        <v>11006</v>
      </c>
      <c r="D8193" t="s">
        <v>18084</v>
      </c>
      <c r="E8193" t="s">
        <v>25300</v>
      </c>
      <c r="F8193" t="s">
        <v>31574</v>
      </c>
      <c r="G8193" t="s">
        <v>31581</v>
      </c>
      <c r="H8193" t="s">
        <v>31590</v>
      </c>
      <c r="I8193" t="s">
        <v>31620</v>
      </c>
      <c r="J8193" t="s">
        <v>34097</v>
      </c>
      <c r="K8193" t="s">
        <v>41184</v>
      </c>
      <c r="M8193" t="s">
        <v>44047</v>
      </c>
      <c r="N8193" t="s">
        <v>45095</v>
      </c>
      <c r="O8193" t="s">
        <v>45096</v>
      </c>
      <c r="P8193">
        <v>0</v>
      </c>
      <c r="Q8193">
        <v>3</v>
      </c>
      <c r="R8193" t="s">
        <v>45103</v>
      </c>
      <c r="S8193" t="s">
        <v>45270</v>
      </c>
      <c r="T8193" t="s">
        <v>47162</v>
      </c>
      <c r="U8193" t="s">
        <v>54282</v>
      </c>
      <c r="V8193" t="s">
        <v>60711</v>
      </c>
      <c r="W8193" t="s">
        <v>44047</v>
      </c>
      <c r="X8193" t="s">
        <v>45104</v>
      </c>
    </row>
    <row r="8194" spans="1:24">
      <c r="A8194">
        <f>HYPERLINK("https://www.philgeps.gov.ph/GEPSNONPILOT/Tender/SplashBidNoticeAbstractUI.aspx?menuIndex=3&amp;refID=7038103&amp;Result=3","7038103")</f>
        <v>0</v>
      </c>
      <c r="B8194" t="s">
        <v>580</v>
      </c>
      <c r="C8194" t="s">
        <v>11007</v>
      </c>
      <c r="D8194" t="s">
        <v>18048</v>
      </c>
      <c r="E8194" t="s">
        <v>25301</v>
      </c>
      <c r="F8194" t="s">
        <v>31574</v>
      </c>
      <c r="G8194" t="s">
        <v>31582</v>
      </c>
      <c r="H8194" t="s">
        <v>31590</v>
      </c>
      <c r="I8194" t="s">
        <v>4046</v>
      </c>
      <c r="J8194" t="s">
        <v>36910</v>
      </c>
      <c r="K8194" t="s">
        <v>41196</v>
      </c>
      <c r="M8194" t="s">
        <v>42082</v>
      </c>
      <c r="N8194" t="s">
        <v>45095</v>
      </c>
      <c r="O8194" t="s">
        <v>45096</v>
      </c>
      <c r="P8194">
        <v>0</v>
      </c>
      <c r="Q8194">
        <v>0</v>
      </c>
      <c r="R8194" t="s">
        <v>45103</v>
      </c>
      <c r="S8194" t="s">
        <v>45270</v>
      </c>
      <c r="T8194" t="s">
        <v>46981</v>
      </c>
      <c r="U8194" t="s">
        <v>54283</v>
      </c>
      <c r="V8194" t="s">
        <v>60709</v>
      </c>
      <c r="W8194" t="s">
        <v>42082</v>
      </c>
      <c r="X8194" t="s">
        <v>45104</v>
      </c>
    </row>
    <row r="8195" spans="1:24">
      <c r="A8195">
        <f>HYPERLINK("https://www.philgeps.gov.ph/GEPSNONPILOT/Tender/SplashBidNoticeAbstractUI.aspx?menuIndex=3&amp;refID=7038114&amp;Result=3","7038114")</f>
        <v>0</v>
      </c>
      <c r="B8195" t="s">
        <v>2336</v>
      </c>
      <c r="C8195" t="s">
        <v>11008</v>
      </c>
      <c r="D8195" t="s">
        <v>18086</v>
      </c>
      <c r="E8195" t="s">
        <v>25302</v>
      </c>
      <c r="F8195" t="s">
        <v>31575</v>
      </c>
      <c r="G8195" t="s">
        <v>31582</v>
      </c>
      <c r="H8195" t="s">
        <v>31590</v>
      </c>
      <c r="I8195" t="s">
        <v>4046</v>
      </c>
      <c r="J8195" t="s">
        <v>36927</v>
      </c>
      <c r="K8195" t="s">
        <v>41190</v>
      </c>
      <c r="M8195" t="s">
        <v>44046</v>
      </c>
      <c r="N8195" t="s">
        <v>45095</v>
      </c>
      <c r="O8195" t="s">
        <v>45096</v>
      </c>
      <c r="P8195">
        <v>0</v>
      </c>
      <c r="Q8195">
        <v>0</v>
      </c>
      <c r="R8195" t="s">
        <v>45103</v>
      </c>
      <c r="S8195" t="s">
        <v>45270</v>
      </c>
      <c r="T8195" t="s">
        <v>46988</v>
      </c>
      <c r="U8195" t="s">
        <v>54284</v>
      </c>
      <c r="W8195" t="s">
        <v>44046</v>
      </c>
      <c r="X8195" t="s">
        <v>45104</v>
      </c>
    </row>
    <row r="8196" spans="1:24">
      <c r="A8196">
        <f>HYPERLINK("https://www.philgeps.gov.ph/GEPSNONPILOT/Tender/SplashBidNoticeAbstractUI.aspx?menuIndex=3&amp;refID=7038102&amp;Result=3","7038102")</f>
        <v>0</v>
      </c>
      <c r="B8196" t="s">
        <v>540</v>
      </c>
      <c r="C8196" t="s">
        <v>11009</v>
      </c>
      <c r="D8196" t="s">
        <v>18022</v>
      </c>
      <c r="E8196" t="s">
        <v>25303</v>
      </c>
      <c r="F8196" t="s">
        <v>31574</v>
      </c>
      <c r="G8196" t="s">
        <v>31582</v>
      </c>
      <c r="H8196" t="s">
        <v>31590</v>
      </c>
      <c r="I8196" t="s">
        <v>31595</v>
      </c>
      <c r="J8196" t="s">
        <v>36928</v>
      </c>
      <c r="K8196" t="s">
        <v>41192</v>
      </c>
      <c r="M8196" t="s">
        <v>44048</v>
      </c>
      <c r="N8196" t="s">
        <v>45095</v>
      </c>
      <c r="O8196" t="s">
        <v>45096</v>
      </c>
      <c r="P8196">
        <v>0</v>
      </c>
      <c r="Q8196">
        <v>10</v>
      </c>
      <c r="R8196" t="s">
        <v>45103</v>
      </c>
      <c r="S8196" t="s">
        <v>45270</v>
      </c>
      <c r="T8196" t="s">
        <v>47198</v>
      </c>
      <c r="U8196" t="s">
        <v>49386</v>
      </c>
      <c r="V8196" t="s">
        <v>60712</v>
      </c>
      <c r="W8196" t="s">
        <v>44048</v>
      </c>
      <c r="X8196" t="s">
        <v>45104</v>
      </c>
    </row>
    <row r="8197" spans="1:24">
      <c r="A8197">
        <f>HYPERLINK("https://www.philgeps.gov.ph/GEPSNONPILOT/Tender/SplashBidNoticeAbstractUI.aspx?menuIndex=3&amp;refID=7038099&amp;Result=3","7038099")</f>
        <v>0</v>
      </c>
      <c r="B8197" t="s">
        <v>362</v>
      </c>
      <c r="C8197" t="s">
        <v>11010</v>
      </c>
      <c r="D8197" t="s">
        <v>18068</v>
      </c>
      <c r="E8197" t="s">
        <v>25304</v>
      </c>
      <c r="F8197" t="s">
        <v>31574</v>
      </c>
      <c r="G8197" t="s">
        <v>31582</v>
      </c>
      <c r="H8197" t="s">
        <v>31591</v>
      </c>
      <c r="I8197" t="s">
        <v>8822</v>
      </c>
      <c r="J8197" t="s">
        <v>36929</v>
      </c>
      <c r="K8197" t="s">
        <v>41287</v>
      </c>
      <c r="M8197" t="s">
        <v>41852</v>
      </c>
      <c r="N8197" t="s">
        <v>45095</v>
      </c>
      <c r="O8197" t="s">
        <v>45096</v>
      </c>
      <c r="P8197">
        <v>0</v>
      </c>
      <c r="Q8197">
        <v>0</v>
      </c>
      <c r="R8197" t="s">
        <v>45103</v>
      </c>
      <c r="S8197" t="s">
        <v>45270</v>
      </c>
      <c r="T8197" t="s">
        <v>47000</v>
      </c>
      <c r="U8197" t="s">
        <v>54285</v>
      </c>
      <c r="W8197" t="s">
        <v>41852</v>
      </c>
      <c r="X8197" t="s">
        <v>45104</v>
      </c>
    </row>
    <row r="8198" spans="1:24">
      <c r="A8198">
        <f>HYPERLINK("https://www.philgeps.gov.ph/GEPSNONPILOT/Tender/SplashBidNoticeAbstractUI.aspx?menuIndex=3&amp;refID=7038116&amp;Result=3","7038116")</f>
        <v>0</v>
      </c>
      <c r="B8198" t="s">
        <v>1881</v>
      </c>
      <c r="C8198" t="s">
        <v>5108</v>
      </c>
      <c r="D8198" t="s">
        <v>18022</v>
      </c>
      <c r="E8198" t="s">
        <v>25305</v>
      </c>
      <c r="F8198" t="s">
        <v>31574</v>
      </c>
      <c r="G8198" t="s">
        <v>31582</v>
      </c>
      <c r="H8198" t="s">
        <v>31590</v>
      </c>
      <c r="I8198" t="s">
        <v>31620</v>
      </c>
      <c r="J8198" t="s">
        <v>36930</v>
      </c>
      <c r="K8198" t="s">
        <v>41186</v>
      </c>
      <c r="M8198" t="s">
        <v>44049</v>
      </c>
      <c r="N8198" t="s">
        <v>45095</v>
      </c>
      <c r="O8198" t="s">
        <v>45096</v>
      </c>
      <c r="P8198">
        <v>0</v>
      </c>
      <c r="Q8198">
        <v>66</v>
      </c>
      <c r="R8198" t="s">
        <v>45103</v>
      </c>
      <c r="S8198" t="s">
        <v>45270</v>
      </c>
      <c r="T8198" t="s">
        <v>46992</v>
      </c>
      <c r="U8198" t="s">
        <v>54286</v>
      </c>
      <c r="W8198" t="s">
        <v>44049</v>
      </c>
      <c r="X8198" t="s">
        <v>45104</v>
      </c>
    </row>
    <row r="8199" spans="1:24">
      <c r="A8199">
        <f>HYPERLINK("https://www.philgeps.gov.ph/GEPSNONPILOT/Tender/SplashBidNoticeAbstractUI.aspx?menuIndex=3&amp;refID=7038115&amp;Result=3","7038115")</f>
        <v>0</v>
      </c>
      <c r="B8199" t="s">
        <v>165</v>
      </c>
      <c r="C8199" t="s">
        <v>11011</v>
      </c>
      <c r="D8199" t="s">
        <v>18027</v>
      </c>
      <c r="E8199" t="s">
        <v>25306</v>
      </c>
      <c r="F8199" t="s">
        <v>31574</v>
      </c>
      <c r="G8199" t="s">
        <v>31582</v>
      </c>
      <c r="H8199" t="s">
        <v>31590</v>
      </c>
      <c r="I8199" t="s">
        <v>4327</v>
      </c>
      <c r="J8199" t="s">
        <v>32076</v>
      </c>
      <c r="K8199" t="s">
        <v>41190</v>
      </c>
      <c r="M8199" t="s">
        <v>41649</v>
      </c>
      <c r="N8199" t="s">
        <v>45095</v>
      </c>
      <c r="O8199" t="s">
        <v>45096</v>
      </c>
      <c r="P8199">
        <v>0</v>
      </c>
      <c r="Q8199">
        <v>9</v>
      </c>
      <c r="R8199" t="s">
        <v>45103</v>
      </c>
      <c r="S8199" t="s">
        <v>45270</v>
      </c>
      <c r="T8199" t="s">
        <v>47172</v>
      </c>
      <c r="U8199" t="s">
        <v>54287</v>
      </c>
      <c r="W8199" t="s">
        <v>41649</v>
      </c>
      <c r="X8199" t="s">
        <v>45104</v>
      </c>
    </row>
    <row r="8200" spans="1:24">
      <c r="A8200">
        <f>HYPERLINK("https://www.philgeps.gov.ph/GEPSNONPILOT/Tender/SplashBidNoticeAbstractUI.aspx?menuIndex=3&amp;refID=7038101&amp;Result=3","7038101")</f>
        <v>0</v>
      </c>
      <c r="B8200" t="s">
        <v>580</v>
      </c>
      <c r="C8200" t="s">
        <v>11012</v>
      </c>
      <c r="D8200" t="s">
        <v>18048</v>
      </c>
      <c r="E8200" t="s">
        <v>25307</v>
      </c>
      <c r="F8200" t="s">
        <v>31574</v>
      </c>
      <c r="G8200" t="s">
        <v>31582</v>
      </c>
      <c r="H8200" t="s">
        <v>31590</v>
      </c>
      <c r="I8200" t="s">
        <v>4046</v>
      </c>
      <c r="J8200" t="s">
        <v>36915</v>
      </c>
      <c r="K8200" t="s">
        <v>41196</v>
      </c>
      <c r="M8200" t="s">
        <v>42082</v>
      </c>
      <c r="N8200" t="s">
        <v>45095</v>
      </c>
      <c r="O8200" t="s">
        <v>45096</v>
      </c>
      <c r="P8200">
        <v>0</v>
      </c>
      <c r="Q8200">
        <v>0</v>
      </c>
      <c r="R8200" t="s">
        <v>45103</v>
      </c>
      <c r="S8200" t="s">
        <v>45270</v>
      </c>
      <c r="T8200" t="s">
        <v>46981</v>
      </c>
      <c r="U8200" t="s">
        <v>54288</v>
      </c>
      <c r="V8200" t="s">
        <v>60709</v>
      </c>
      <c r="W8200" t="s">
        <v>42082</v>
      </c>
      <c r="X8200" t="s">
        <v>45104</v>
      </c>
    </row>
    <row r="8201" spans="1:24">
      <c r="A8201">
        <f>HYPERLINK("https://www.philgeps.gov.ph/GEPSNONPILOT/Tender/SplashBidNoticeAbstractUI.aspx?menuIndex=3&amp;refID=7038123&amp;Result=3","7038123")</f>
        <v>0</v>
      </c>
      <c r="B8201" t="s">
        <v>1153</v>
      </c>
      <c r="C8201" t="s">
        <v>11013</v>
      </c>
      <c r="D8201" t="s">
        <v>18036</v>
      </c>
      <c r="E8201" t="s">
        <v>25308</v>
      </c>
      <c r="F8201" t="s">
        <v>31574</v>
      </c>
      <c r="G8201" t="s">
        <v>31582</v>
      </c>
      <c r="H8201" t="s">
        <v>31590</v>
      </c>
      <c r="I8201" t="s">
        <v>7185</v>
      </c>
      <c r="J8201" t="s">
        <v>36931</v>
      </c>
      <c r="K8201" t="s">
        <v>41196</v>
      </c>
      <c r="M8201" t="s">
        <v>42709</v>
      </c>
      <c r="N8201" t="s">
        <v>45095</v>
      </c>
      <c r="O8201" t="s">
        <v>45096</v>
      </c>
      <c r="P8201">
        <v>0</v>
      </c>
      <c r="Q8201">
        <v>0</v>
      </c>
      <c r="R8201" t="s">
        <v>45103</v>
      </c>
      <c r="S8201" t="s">
        <v>45270</v>
      </c>
      <c r="T8201" t="s">
        <v>46985</v>
      </c>
      <c r="U8201" t="s">
        <v>54289</v>
      </c>
      <c r="W8201" t="s">
        <v>61691</v>
      </c>
      <c r="X8201" t="s">
        <v>45104</v>
      </c>
    </row>
    <row r="8202" spans="1:24">
      <c r="A8202">
        <f>HYPERLINK("https://www.philgeps.gov.ph/GEPSNONPILOT/Tender/SplashBidNoticeAbstractUI.aspx?menuIndex=3&amp;refID=7038100&amp;Result=3","7038100")</f>
        <v>0</v>
      </c>
      <c r="B8202" t="s">
        <v>2337</v>
      </c>
      <c r="C8202" t="s">
        <v>11014</v>
      </c>
      <c r="D8202" t="s">
        <v>18084</v>
      </c>
      <c r="E8202" t="s">
        <v>25309</v>
      </c>
      <c r="F8202" t="s">
        <v>31574</v>
      </c>
      <c r="G8202" t="s">
        <v>31583</v>
      </c>
      <c r="H8202" t="s">
        <v>31590</v>
      </c>
      <c r="I8202" t="s">
        <v>7185</v>
      </c>
      <c r="J8202" t="s">
        <v>36792</v>
      </c>
      <c r="K8202" t="s">
        <v>41184</v>
      </c>
      <c r="M8202" t="s">
        <v>44047</v>
      </c>
      <c r="N8202" t="s">
        <v>45095</v>
      </c>
      <c r="O8202" t="s">
        <v>45096</v>
      </c>
      <c r="P8202">
        <v>0</v>
      </c>
      <c r="Q8202">
        <v>12</v>
      </c>
      <c r="R8202" t="s">
        <v>45103</v>
      </c>
      <c r="S8202" t="s">
        <v>45270</v>
      </c>
      <c r="T8202" t="s">
        <v>47058</v>
      </c>
      <c r="U8202" t="s">
        <v>54290</v>
      </c>
      <c r="V8202" t="s">
        <v>60711</v>
      </c>
      <c r="W8202" t="s">
        <v>44047</v>
      </c>
      <c r="X8202" t="s">
        <v>45104</v>
      </c>
    </row>
    <row r="8203" spans="1:24">
      <c r="A8203">
        <f>HYPERLINK("https://www.philgeps.gov.ph/GEPSNONPILOT/Tender/SplashBidNoticeAbstractUI.aspx?menuIndex=3&amp;refID=7038121&amp;Result=3","7038121")</f>
        <v>0</v>
      </c>
      <c r="B8203" t="s">
        <v>1153</v>
      </c>
      <c r="C8203" t="s">
        <v>11015</v>
      </c>
      <c r="D8203" t="s">
        <v>18036</v>
      </c>
      <c r="E8203" t="s">
        <v>25310</v>
      </c>
      <c r="F8203" t="s">
        <v>31574</v>
      </c>
      <c r="G8203" t="s">
        <v>31582</v>
      </c>
      <c r="H8203" t="s">
        <v>31590</v>
      </c>
      <c r="I8203" t="s">
        <v>8258</v>
      </c>
      <c r="J8203" t="s">
        <v>36932</v>
      </c>
      <c r="K8203" t="s">
        <v>41196</v>
      </c>
      <c r="M8203" t="s">
        <v>42709</v>
      </c>
      <c r="N8203" t="s">
        <v>45095</v>
      </c>
      <c r="O8203" t="s">
        <v>45096</v>
      </c>
      <c r="P8203">
        <v>0</v>
      </c>
      <c r="Q8203">
        <v>7</v>
      </c>
      <c r="R8203" t="s">
        <v>45103</v>
      </c>
      <c r="S8203" t="s">
        <v>45270</v>
      </c>
      <c r="T8203" t="s">
        <v>46985</v>
      </c>
      <c r="U8203" t="s">
        <v>54291</v>
      </c>
      <c r="W8203" t="s">
        <v>61691</v>
      </c>
      <c r="X8203" t="s">
        <v>45104</v>
      </c>
    </row>
    <row r="8204" spans="1:24">
      <c r="A8204">
        <f>HYPERLINK("https://www.philgeps.gov.ph/GEPSNONPILOT/Tender/SplashBidNoticeAbstractUI.aspx?menuIndex=3&amp;refID=7038140&amp;Result=3","7038140")</f>
        <v>0</v>
      </c>
      <c r="B8204" t="s">
        <v>1153</v>
      </c>
      <c r="C8204" t="s">
        <v>11016</v>
      </c>
      <c r="D8204" t="s">
        <v>18036</v>
      </c>
      <c r="E8204" t="s">
        <v>25311</v>
      </c>
      <c r="F8204" t="s">
        <v>31574</v>
      </c>
      <c r="G8204" t="s">
        <v>31582</v>
      </c>
      <c r="H8204" t="s">
        <v>31590</v>
      </c>
      <c r="I8204" t="s">
        <v>31603</v>
      </c>
      <c r="J8204" t="s">
        <v>36933</v>
      </c>
      <c r="K8204" t="s">
        <v>41196</v>
      </c>
      <c r="M8204" t="s">
        <v>42709</v>
      </c>
      <c r="N8204" t="s">
        <v>45095</v>
      </c>
      <c r="O8204" t="s">
        <v>45096</v>
      </c>
      <c r="P8204">
        <v>0</v>
      </c>
      <c r="Q8204">
        <v>3</v>
      </c>
      <c r="R8204" t="s">
        <v>45103</v>
      </c>
      <c r="S8204" t="s">
        <v>45270</v>
      </c>
      <c r="T8204" t="s">
        <v>46985</v>
      </c>
      <c r="U8204" t="s">
        <v>54292</v>
      </c>
      <c r="W8204" t="s">
        <v>61691</v>
      </c>
      <c r="X8204" t="s">
        <v>45104</v>
      </c>
    </row>
    <row r="8205" spans="1:24">
      <c r="A8205">
        <f>HYPERLINK("https://www.philgeps.gov.ph/GEPSNONPILOT/Tender/SplashBidNoticeAbstractUI.aspx?menuIndex=3&amp;refID=7038125&amp;Result=3","7038125")</f>
        <v>0</v>
      </c>
      <c r="B8205" t="s">
        <v>1153</v>
      </c>
      <c r="C8205" t="s">
        <v>11017</v>
      </c>
      <c r="D8205" t="s">
        <v>18036</v>
      </c>
      <c r="E8205" t="s">
        <v>25312</v>
      </c>
      <c r="F8205" t="s">
        <v>31574</v>
      </c>
      <c r="G8205" t="s">
        <v>31582</v>
      </c>
      <c r="H8205" t="s">
        <v>31590</v>
      </c>
      <c r="I8205" t="s">
        <v>4327</v>
      </c>
      <c r="J8205" t="s">
        <v>36934</v>
      </c>
      <c r="K8205" t="s">
        <v>41196</v>
      </c>
      <c r="M8205" t="s">
        <v>42709</v>
      </c>
      <c r="N8205" t="s">
        <v>45095</v>
      </c>
      <c r="O8205" t="s">
        <v>45096</v>
      </c>
      <c r="P8205">
        <v>0</v>
      </c>
      <c r="Q8205">
        <v>3</v>
      </c>
      <c r="R8205" t="s">
        <v>45103</v>
      </c>
      <c r="S8205" t="s">
        <v>45270</v>
      </c>
      <c r="T8205" t="s">
        <v>46985</v>
      </c>
      <c r="U8205" t="s">
        <v>54293</v>
      </c>
      <c r="W8205" t="s">
        <v>61691</v>
      </c>
      <c r="X8205" t="s">
        <v>45104</v>
      </c>
    </row>
    <row r="8206" spans="1:24">
      <c r="A8206">
        <f>HYPERLINK("https://www.philgeps.gov.ph/GEPSNONPILOT/Tender/SplashBidNoticeAbstractUI.aspx?menuIndex=3&amp;refID=7038135&amp;Result=3","7038135")</f>
        <v>0</v>
      </c>
      <c r="B8206" t="s">
        <v>2332</v>
      </c>
      <c r="C8206" t="s">
        <v>11018</v>
      </c>
      <c r="D8206" t="s">
        <v>18026</v>
      </c>
      <c r="E8206" t="s">
        <v>25313</v>
      </c>
      <c r="F8206" t="s">
        <v>31574</v>
      </c>
      <c r="G8206" t="s">
        <v>31582</v>
      </c>
      <c r="H8206" t="s">
        <v>31591</v>
      </c>
      <c r="I8206" t="s">
        <v>8822</v>
      </c>
      <c r="J8206" t="s">
        <v>31727</v>
      </c>
      <c r="K8206" t="s">
        <v>41189</v>
      </c>
      <c r="M8206" t="s">
        <v>44042</v>
      </c>
      <c r="N8206" t="s">
        <v>45095</v>
      </c>
      <c r="O8206" t="s">
        <v>45096</v>
      </c>
      <c r="P8206">
        <v>0</v>
      </c>
      <c r="Q8206">
        <v>0</v>
      </c>
      <c r="R8206" t="s">
        <v>45103</v>
      </c>
      <c r="S8206" t="s">
        <v>45270</v>
      </c>
      <c r="T8206" t="s">
        <v>47125</v>
      </c>
      <c r="U8206" t="s">
        <v>54294</v>
      </c>
      <c r="W8206" t="s">
        <v>44042</v>
      </c>
      <c r="X8206" t="s">
        <v>45104</v>
      </c>
    </row>
    <row r="8207" spans="1:24">
      <c r="A8207">
        <f>HYPERLINK("https://www.philgeps.gov.ph/GEPSNONPILOT/Tender/SplashBidNoticeAbstractUI.aspx?menuIndex=3&amp;refID=7038122&amp;Result=3","7038122")</f>
        <v>0</v>
      </c>
      <c r="B8207" t="s">
        <v>1932</v>
      </c>
      <c r="C8207" t="s">
        <v>11019</v>
      </c>
      <c r="D8207" t="s">
        <v>18103</v>
      </c>
      <c r="E8207" t="s">
        <v>25314</v>
      </c>
      <c r="F8207" t="s">
        <v>31574</v>
      </c>
      <c r="G8207" t="s">
        <v>31582</v>
      </c>
      <c r="H8207" t="s">
        <v>31590</v>
      </c>
      <c r="I8207" t="s">
        <v>4046</v>
      </c>
      <c r="J8207" t="s">
        <v>36935</v>
      </c>
      <c r="K8207" t="s">
        <v>41196</v>
      </c>
      <c r="M8207" t="s">
        <v>43586</v>
      </c>
      <c r="N8207" t="s">
        <v>45095</v>
      </c>
      <c r="O8207" t="s">
        <v>45096</v>
      </c>
      <c r="P8207">
        <v>0</v>
      </c>
      <c r="Q8207">
        <v>3</v>
      </c>
      <c r="R8207" t="s">
        <v>45103</v>
      </c>
      <c r="S8207" t="s">
        <v>45270</v>
      </c>
      <c r="T8207" t="s">
        <v>46965</v>
      </c>
      <c r="U8207" t="s">
        <v>54295</v>
      </c>
      <c r="V8207" t="s">
        <v>60510</v>
      </c>
      <c r="W8207" t="s">
        <v>43586</v>
      </c>
      <c r="X8207" t="s">
        <v>45104</v>
      </c>
    </row>
    <row r="8208" spans="1:24">
      <c r="A8208">
        <f>HYPERLINK("https://www.philgeps.gov.ph/GEPSNONPILOT/Tender/SplashBidNoticeAbstractUI.aspx?menuIndex=3&amp;refID=7038139&amp;Result=3","7038139")</f>
        <v>0</v>
      </c>
      <c r="B8208" t="s">
        <v>2338</v>
      </c>
      <c r="C8208" t="s">
        <v>11020</v>
      </c>
      <c r="D8208" t="s">
        <v>18022</v>
      </c>
      <c r="E8208" t="s">
        <v>25315</v>
      </c>
      <c r="F8208" t="s">
        <v>31574</v>
      </c>
      <c r="G8208" t="s">
        <v>31582</v>
      </c>
      <c r="H8208" t="s">
        <v>31591</v>
      </c>
      <c r="I8208" t="s">
        <v>8822</v>
      </c>
      <c r="J8208" t="s">
        <v>34360</v>
      </c>
      <c r="K8208" t="s">
        <v>41198</v>
      </c>
      <c r="M8208" t="s">
        <v>44050</v>
      </c>
      <c r="N8208" t="s">
        <v>45095</v>
      </c>
      <c r="O8208" t="s">
        <v>45096</v>
      </c>
      <c r="P8208">
        <v>0</v>
      </c>
      <c r="Q8208">
        <v>28</v>
      </c>
      <c r="R8208" t="s">
        <v>45103</v>
      </c>
      <c r="S8208" t="s">
        <v>45270</v>
      </c>
      <c r="T8208" t="s">
        <v>46992</v>
      </c>
      <c r="U8208" t="s">
        <v>54296</v>
      </c>
      <c r="W8208" t="s">
        <v>44050</v>
      </c>
      <c r="X8208" t="s">
        <v>45104</v>
      </c>
    </row>
    <row r="8209" spans="1:24">
      <c r="A8209">
        <f>HYPERLINK("https://www.philgeps.gov.ph/GEPSNONPILOT/Tender/SplashBidNoticeAbstractUI.aspx?menuIndex=3&amp;refID=7038133&amp;Result=3","7038133")</f>
        <v>0</v>
      </c>
      <c r="B8209" t="s">
        <v>1153</v>
      </c>
      <c r="C8209" t="s">
        <v>11021</v>
      </c>
      <c r="D8209" t="s">
        <v>18036</v>
      </c>
      <c r="E8209" t="s">
        <v>25316</v>
      </c>
      <c r="F8209" t="s">
        <v>31574</v>
      </c>
      <c r="G8209" t="s">
        <v>31582</v>
      </c>
      <c r="H8209" t="s">
        <v>31590</v>
      </c>
      <c r="I8209" t="s">
        <v>31608</v>
      </c>
      <c r="J8209" t="s">
        <v>36936</v>
      </c>
      <c r="K8209" t="s">
        <v>41196</v>
      </c>
      <c r="M8209" t="s">
        <v>42709</v>
      </c>
      <c r="N8209" t="s">
        <v>45095</v>
      </c>
      <c r="O8209" t="s">
        <v>45096</v>
      </c>
      <c r="P8209">
        <v>0</v>
      </c>
      <c r="Q8209">
        <v>1</v>
      </c>
      <c r="R8209" t="s">
        <v>45103</v>
      </c>
      <c r="S8209" t="s">
        <v>45270</v>
      </c>
      <c r="T8209" t="s">
        <v>46985</v>
      </c>
      <c r="U8209" t="s">
        <v>54297</v>
      </c>
      <c r="W8209" t="s">
        <v>61691</v>
      </c>
      <c r="X8209" t="s">
        <v>45104</v>
      </c>
    </row>
    <row r="8210" spans="1:24">
      <c r="A8210">
        <f>HYPERLINK("https://www.philgeps.gov.ph/GEPSNONPILOT/Tender/SplashBidNoticeAbstractUI.aspx?menuIndex=3&amp;refID=7038136&amp;Result=3","7038136")</f>
        <v>0</v>
      </c>
      <c r="B8210" t="s">
        <v>1153</v>
      </c>
      <c r="C8210" t="s">
        <v>11022</v>
      </c>
      <c r="D8210" t="s">
        <v>18036</v>
      </c>
      <c r="E8210" t="s">
        <v>25317</v>
      </c>
      <c r="F8210" t="s">
        <v>31574</v>
      </c>
      <c r="G8210" t="s">
        <v>31582</v>
      </c>
      <c r="H8210" t="s">
        <v>31590</v>
      </c>
      <c r="I8210" t="s">
        <v>3487</v>
      </c>
      <c r="J8210" t="s">
        <v>32232</v>
      </c>
      <c r="K8210" t="s">
        <v>41196</v>
      </c>
      <c r="M8210" t="s">
        <v>42709</v>
      </c>
      <c r="N8210" t="s">
        <v>45095</v>
      </c>
      <c r="O8210" t="s">
        <v>45096</v>
      </c>
      <c r="P8210">
        <v>0</v>
      </c>
      <c r="Q8210">
        <v>1</v>
      </c>
      <c r="R8210" t="s">
        <v>45103</v>
      </c>
      <c r="S8210" t="s">
        <v>45270</v>
      </c>
      <c r="T8210" t="s">
        <v>46985</v>
      </c>
      <c r="U8210" t="s">
        <v>54298</v>
      </c>
      <c r="W8210" t="s">
        <v>61691</v>
      </c>
      <c r="X8210" t="s">
        <v>45104</v>
      </c>
    </row>
    <row r="8211" spans="1:24">
      <c r="A8211">
        <f>HYPERLINK("https://www.philgeps.gov.ph/GEPSNONPILOT/Tender/SplashBidNoticeAbstractUI.aspx?menuIndex=3&amp;refID=7038124&amp;Result=3","7038124")</f>
        <v>0</v>
      </c>
      <c r="B8211" t="s">
        <v>1153</v>
      </c>
      <c r="C8211" t="s">
        <v>11023</v>
      </c>
      <c r="D8211" t="s">
        <v>18036</v>
      </c>
      <c r="E8211" t="s">
        <v>25318</v>
      </c>
      <c r="F8211" t="s">
        <v>31574</v>
      </c>
      <c r="G8211" t="s">
        <v>31582</v>
      </c>
      <c r="H8211" t="s">
        <v>31590</v>
      </c>
      <c r="I8211" t="s">
        <v>31620</v>
      </c>
      <c r="J8211" t="s">
        <v>34057</v>
      </c>
      <c r="K8211" t="s">
        <v>41196</v>
      </c>
      <c r="M8211" t="s">
        <v>42709</v>
      </c>
      <c r="N8211" t="s">
        <v>45095</v>
      </c>
      <c r="O8211" t="s">
        <v>45096</v>
      </c>
      <c r="P8211">
        <v>0</v>
      </c>
      <c r="Q8211">
        <v>2</v>
      </c>
      <c r="R8211" t="s">
        <v>45103</v>
      </c>
      <c r="S8211" t="s">
        <v>45270</v>
      </c>
      <c r="T8211" t="s">
        <v>46985</v>
      </c>
      <c r="U8211" t="s">
        <v>54299</v>
      </c>
      <c r="W8211" t="s">
        <v>61691</v>
      </c>
      <c r="X8211" t="s">
        <v>45104</v>
      </c>
    </row>
    <row r="8212" spans="1:24">
      <c r="A8212">
        <f>HYPERLINK("https://www.philgeps.gov.ph/GEPSNONPILOT/Tender/SplashBidNoticeAbstractUI.aspx?menuIndex=3&amp;refID=7038131&amp;Result=3","7038131")</f>
        <v>0</v>
      </c>
      <c r="B8212" t="s">
        <v>1153</v>
      </c>
      <c r="C8212" t="s">
        <v>11024</v>
      </c>
      <c r="D8212" t="s">
        <v>18036</v>
      </c>
      <c r="E8212" t="s">
        <v>25319</v>
      </c>
      <c r="F8212" t="s">
        <v>31574</v>
      </c>
      <c r="G8212" t="s">
        <v>31582</v>
      </c>
      <c r="H8212" t="s">
        <v>31590</v>
      </c>
      <c r="I8212" t="s">
        <v>8258</v>
      </c>
      <c r="J8212" t="s">
        <v>36937</v>
      </c>
      <c r="K8212" t="s">
        <v>41196</v>
      </c>
      <c r="M8212" t="s">
        <v>42709</v>
      </c>
      <c r="N8212" t="s">
        <v>45095</v>
      </c>
      <c r="O8212" t="s">
        <v>45096</v>
      </c>
      <c r="P8212">
        <v>0</v>
      </c>
      <c r="Q8212">
        <v>4</v>
      </c>
      <c r="R8212" t="s">
        <v>45103</v>
      </c>
      <c r="S8212" t="s">
        <v>45270</v>
      </c>
      <c r="T8212" t="s">
        <v>46985</v>
      </c>
      <c r="U8212" t="s">
        <v>54300</v>
      </c>
      <c r="W8212" t="s">
        <v>61691</v>
      </c>
      <c r="X8212" t="s">
        <v>45104</v>
      </c>
    </row>
    <row r="8213" spans="1:24">
      <c r="A8213">
        <f>HYPERLINK("https://www.philgeps.gov.ph/GEPSNONPILOT/Tender/SplashBidNoticeAbstractUI.aspx?menuIndex=3&amp;refID=7038137&amp;Result=3","7038137")</f>
        <v>0</v>
      </c>
      <c r="B8213" t="s">
        <v>1153</v>
      </c>
      <c r="C8213" t="s">
        <v>11025</v>
      </c>
      <c r="D8213" t="s">
        <v>18036</v>
      </c>
      <c r="E8213" t="s">
        <v>25320</v>
      </c>
      <c r="F8213" t="s">
        <v>31574</v>
      </c>
      <c r="G8213" t="s">
        <v>31582</v>
      </c>
      <c r="H8213" t="s">
        <v>31590</v>
      </c>
      <c r="I8213" t="s">
        <v>31600</v>
      </c>
      <c r="J8213" t="s">
        <v>36938</v>
      </c>
      <c r="K8213" t="s">
        <v>41196</v>
      </c>
      <c r="M8213" t="s">
        <v>42709</v>
      </c>
      <c r="N8213" t="s">
        <v>45095</v>
      </c>
      <c r="O8213" t="s">
        <v>45096</v>
      </c>
      <c r="P8213">
        <v>0</v>
      </c>
      <c r="Q8213">
        <v>1</v>
      </c>
      <c r="R8213" t="s">
        <v>45103</v>
      </c>
      <c r="S8213" t="s">
        <v>45270</v>
      </c>
      <c r="T8213" t="s">
        <v>46985</v>
      </c>
      <c r="U8213" t="s">
        <v>54301</v>
      </c>
      <c r="W8213" t="s">
        <v>61691</v>
      </c>
      <c r="X8213" t="s">
        <v>45104</v>
      </c>
    </row>
    <row r="8214" spans="1:24">
      <c r="A8214">
        <f>HYPERLINK("https://www.philgeps.gov.ph/GEPSNONPILOT/Tender/SplashBidNoticeAbstractUI.aspx?menuIndex=3&amp;refID=7038132&amp;Result=3","7038132")</f>
        <v>0</v>
      </c>
      <c r="B8214" t="s">
        <v>1932</v>
      </c>
      <c r="C8214" t="s">
        <v>11026</v>
      </c>
      <c r="D8214" t="s">
        <v>18103</v>
      </c>
      <c r="E8214" t="s">
        <v>23114</v>
      </c>
      <c r="F8214" t="s">
        <v>31574</v>
      </c>
      <c r="G8214" t="s">
        <v>31582</v>
      </c>
      <c r="H8214" t="s">
        <v>31591</v>
      </c>
      <c r="I8214" t="s">
        <v>8822</v>
      </c>
      <c r="J8214" t="s">
        <v>36939</v>
      </c>
      <c r="K8214" t="s">
        <v>41185</v>
      </c>
      <c r="M8214" t="s">
        <v>43586</v>
      </c>
      <c r="N8214" t="s">
        <v>45095</v>
      </c>
      <c r="O8214" t="s">
        <v>45096</v>
      </c>
      <c r="P8214">
        <v>0</v>
      </c>
      <c r="Q8214">
        <v>3</v>
      </c>
      <c r="R8214" t="s">
        <v>45103</v>
      </c>
      <c r="S8214" t="s">
        <v>45270</v>
      </c>
      <c r="T8214" t="s">
        <v>46965</v>
      </c>
      <c r="U8214" t="s">
        <v>54302</v>
      </c>
      <c r="V8214" t="s">
        <v>60510</v>
      </c>
      <c r="W8214" t="s">
        <v>43586</v>
      </c>
      <c r="X8214" t="s">
        <v>45104</v>
      </c>
    </row>
    <row r="8215" spans="1:24">
      <c r="A8215">
        <f>HYPERLINK("https://www.philgeps.gov.ph/GEPSNONPILOT/Tender/SplashBidNoticeAbstractUI.aspx?menuIndex=3&amp;refID=7038143&amp;Result=3","7038143")</f>
        <v>0</v>
      </c>
      <c r="B8215" t="s">
        <v>2339</v>
      </c>
      <c r="C8215" t="s">
        <v>11027</v>
      </c>
      <c r="D8215" t="s">
        <v>18041</v>
      </c>
      <c r="E8215" t="s">
        <v>25321</v>
      </c>
      <c r="F8215" t="s">
        <v>31574</v>
      </c>
      <c r="G8215" t="s">
        <v>31582</v>
      </c>
      <c r="H8215" t="s">
        <v>31590</v>
      </c>
      <c r="I8215" t="s">
        <v>3539</v>
      </c>
      <c r="J8215" t="s">
        <v>34228</v>
      </c>
      <c r="K8215" t="s">
        <v>41211</v>
      </c>
      <c r="L8215" t="s">
        <v>2339</v>
      </c>
      <c r="M8215" t="s">
        <v>44051</v>
      </c>
      <c r="N8215" t="s">
        <v>45095</v>
      </c>
      <c r="O8215" t="s">
        <v>45096</v>
      </c>
      <c r="P8215">
        <v>0</v>
      </c>
      <c r="Q8215">
        <v>0</v>
      </c>
      <c r="R8215" t="s">
        <v>45103</v>
      </c>
      <c r="S8215" t="s">
        <v>45270</v>
      </c>
      <c r="T8215" t="s">
        <v>46985</v>
      </c>
      <c r="U8215" t="s">
        <v>54303</v>
      </c>
      <c r="V8215" t="s">
        <v>60713</v>
      </c>
      <c r="W8215" t="s">
        <v>44051</v>
      </c>
      <c r="X8215" t="s">
        <v>45104</v>
      </c>
    </row>
    <row r="8216" spans="1:24">
      <c r="A8216">
        <f>HYPERLINK("https://www.philgeps.gov.ph/GEPSNONPILOT/Tender/SplashBidNoticeAbstractUI.aspx?menuIndex=3&amp;refID=7038142&amp;Result=3","7038142")</f>
        <v>0</v>
      </c>
      <c r="B8216" t="s">
        <v>917</v>
      </c>
      <c r="C8216" t="s">
        <v>11028</v>
      </c>
      <c r="D8216" t="s">
        <v>18045</v>
      </c>
      <c r="E8216" t="s">
        <v>25322</v>
      </c>
      <c r="F8216" t="s">
        <v>31574</v>
      </c>
      <c r="G8216" t="s">
        <v>31585</v>
      </c>
      <c r="H8216" t="s">
        <v>31590</v>
      </c>
      <c r="I8216" t="s">
        <v>4046</v>
      </c>
      <c r="J8216" t="s">
        <v>36940</v>
      </c>
      <c r="K8216" t="s">
        <v>41196</v>
      </c>
      <c r="M8216" t="s">
        <v>42442</v>
      </c>
      <c r="N8216" t="s">
        <v>45095</v>
      </c>
      <c r="O8216" t="s">
        <v>45096</v>
      </c>
      <c r="P8216">
        <v>0</v>
      </c>
      <c r="Q8216">
        <v>0</v>
      </c>
      <c r="R8216" t="s">
        <v>45103</v>
      </c>
      <c r="S8216" t="s">
        <v>45270</v>
      </c>
      <c r="T8216" t="s">
        <v>47050</v>
      </c>
      <c r="U8216" t="s">
        <v>54304</v>
      </c>
      <c r="W8216" t="s">
        <v>42442</v>
      </c>
      <c r="X8216" t="s">
        <v>45104</v>
      </c>
    </row>
    <row r="8217" spans="1:24">
      <c r="A8217">
        <f>HYPERLINK("https://www.philgeps.gov.ph/GEPSNONPILOT/Tender/SplashBidNoticeAbstractUI.aspx?menuIndex=3&amp;refID=7038129&amp;Result=3","7038129")</f>
        <v>0</v>
      </c>
      <c r="B8217" t="s">
        <v>1153</v>
      </c>
      <c r="C8217" t="s">
        <v>11029</v>
      </c>
      <c r="D8217" t="s">
        <v>18036</v>
      </c>
      <c r="E8217" t="s">
        <v>25323</v>
      </c>
      <c r="F8217" t="s">
        <v>31574</v>
      </c>
      <c r="G8217" t="s">
        <v>31582</v>
      </c>
      <c r="H8217" t="s">
        <v>31590</v>
      </c>
      <c r="I8217" t="s">
        <v>3487</v>
      </c>
      <c r="J8217" t="s">
        <v>36941</v>
      </c>
      <c r="K8217" t="s">
        <v>41196</v>
      </c>
      <c r="M8217" t="s">
        <v>42709</v>
      </c>
      <c r="N8217" t="s">
        <v>45095</v>
      </c>
      <c r="O8217" t="s">
        <v>45096</v>
      </c>
      <c r="P8217">
        <v>0</v>
      </c>
      <c r="Q8217">
        <v>2</v>
      </c>
      <c r="R8217" t="s">
        <v>45103</v>
      </c>
      <c r="S8217" t="s">
        <v>45270</v>
      </c>
      <c r="T8217" t="s">
        <v>46985</v>
      </c>
      <c r="U8217" t="s">
        <v>54305</v>
      </c>
      <c r="W8217" t="s">
        <v>61691</v>
      </c>
      <c r="X8217" t="s">
        <v>45104</v>
      </c>
    </row>
    <row r="8218" spans="1:24">
      <c r="A8218">
        <f>HYPERLINK("https://www.philgeps.gov.ph/GEPSNONPILOT/Tender/SplashBidNoticeAbstractUI.aspx?menuIndex=3&amp;refID=7038130&amp;Result=3","7038130")</f>
        <v>0</v>
      </c>
      <c r="B8218" t="s">
        <v>2338</v>
      </c>
      <c r="C8218" t="s">
        <v>11030</v>
      </c>
      <c r="D8218" t="s">
        <v>18022</v>
      </c>
      <c r="E8218" t="s">
        <v>25324</v>
      </c>
      <c r="F8218" t="s">
        <v>31574</v>
      </c>
      <c r="G8218" t="s">
        <v>31582</v>
      </c>
      <c r="H8218" t="s">
        <v>31591</v>
      </c>
      <c r="I8218" t="s">
        <v>8822</v>
      </c>
      <c r="J8218" t="s">
        <v>36942</v>
      </c>
      <c r="K8218" t="s">
        <v>41200</v>
      </c>
      <c r="M8218" t="s">
        <v>44050</v>
      </c>
      <c r="N8218" t="s">
        <v>45095</v>
      </c>
      <c r="O8218" t="s">
        <v>45096</v>
      </c>
      <c r="P8218">
        <v>0</v>
      </c>
      <c r="Q8218">
        <v>26</v>
      </c>
      <c r="R8218" t="s">
        <v>45103</v>
      </c>
      <c r="S8218" t="s">
        <v>45270</v>
      </c>
      <c r="T8218" t="s">
        <v>46992</v>
      </c>
      <c r="U8218" t="s">
        <v>54306</v>
      </c>
      <c r="W8218" t="s">
        <v>44050</v>
      </c>
      <c r="X8218" t="s">
        <v>45104</v>
      </c>
    </row>
    <row r="8219" spans="1:24">
      <c r="A8219">
        <f>HYPERLINK("https://www.philgeps.gov.ph/GEPSNONPILOT/Tender/SplashBidNoticeAbstractUI.aspx?menuIndex=3&amp;refID=7038128&amp;Result=3","7038128")</f>
        <v>0</v>
      </c>
      <c r="B8219" t="s">
        <v>2339</v>
      </c>
      <c r="C8219" t="s">
        <v>11031</v>
      </c>
      <c r="D8219" t="s">
        <v>18041</v>
      </c>
      <c r="E8219" t="s">
        <v>25325</v>
      </c>
      <c r="F8219" t="s">
        <v>31574</v>
      </c>
      <c r="G8219" t="s">
        <v>31582</v>
      </c>
      <c r="H8219" t="s">
        <v>31590</v>
      </c>
      <c r="I8219" t="s">
        <v>3539</v>
      </c>
      <c r="J8219" t="s">
        <v>31805</v>
      </c>
      <c r="K8219" t="s">
        <v>41193</v>
      </c>
      <c r="L8219" t="s">
        <v>2339</v>
      </c>
      <c r="M8219" t="s">
        <v>44051</v>
      </c>
      <c r="N8219" t="s">
        <v>45095</v>
      </c>
      <c r="O8219" t="s">
        <v>45096</v>
      </c>
      <c r="P8219">
        <v>0</v>
      </c>
      <c r="Q8219">
        <v>0</v>
      </c>
      <c r="R8219" t="s">
        <v>45103</v>
      </c>
      <c r="S8219" t="s">
        <v>45270</v>
      </c>
      <c r="T8219" t="s">
        <v>46985</v>
      </c>
      <c r="U8219" t="s">
        <v>54303</v>
      </c>
      <c r="V8219" t="s">
        <v>60713</v>
      </c>
      <c r="W8219" t="s">
        <v>44051</v>
      </c>
      <c r="X8219" t="s">
        <v>45104</v>
      </c>
    </row>
    <row r="8220" spans="1:24">
      <c r="A8220">
        <f>HYPERLINK("https://www.philgeps.gov.ph/GEPSNONPILOT/Tender/SplashBidNoticeAbstractUI.aspx?menuIndex=3&amp;refID=7038141&amp;Result=3","7038141")</f>
        <v>0</v>
      </c>
      <c r="B8220" t="s">
        <v>2338</v>
      </c>
      <c r="C8220" t="s">
        <v>11032</v>
      </c>
      <c r="D8220" t="s">
        <v>18022</v>
      </c>
      <c r="E8220" t="s">
        <v>25326</v>
      </c>
      <c r="F8220" t="s">
        <v>31574</v>
      </c>
      <c r="G8220" t="s">
        <v>31582</v>
      </c>
      <c r="H8220" t="s">
        <v>31591</v>
      </c>
      <c r="I8220" t="s">
        <v>8822</v>
      </c>
      <c r="J8220" t="s">
        <v>36943</v>
      </c>
      <c r="K8220" t="s">
        <v>41200</v>
      </c>
      <c r="M8220" t="s">
        <v>44050</v>
      </c>
      <c r="N8220" t="s">
        <v>45095</v>
      </c>
      <c r="O8220" t="s">
        <v>45096</v>
      </c>
      <c r="P8220">
        <v>0</v>
      </c>
      <c r="Q8220">
        <v>54</v>
      </c>
      <c r="R8220" t="s">
        <v>45103</v>
      </c>
      <c r="S8220" t="s">
        <v>45270</v>
      </c>
      <c r="T8220" t="s">
        <v>46992</v>
      </c>
      <c r="U8220" t="s">
        <v>54307</v>
      </c>
      <c r="W8220" t="s">
        <v>44050</v>
      </c>
      <c r="X8220" t="s">
        <v>45104</v>
      </c>
    </row>
    <row r="8221" spans="1:24">
      <c r="A8221">
        <f>HYPERLINK("https://www.philgeps.gov.ph/GEPSNONPILOT/Tender/SplashBidNoticeAbstractUI.aspx?menuIndex=3&amp;refID=7038127&amp;Result=3","7038127")</f>
        <v>0</v>
      </c>
      <c r="B8221" t="s">
        <v>1153</v>
      </c>
      <c r="C8221" t="s">
        <v>11033</v>
      </c>
      <c r="D8221" t="s">
        <v>18036</v>
      </c>
      <c r="E8221" t="s">
        <v>25327</v>
      </c>
      <c r="F8221" t="s">
        <v>31574</v>
      </c>
      <c r="G8221" t="s">
        <v>31582</v>
      </c>
      <c r="H8221" t="s">
        <v>31590</v>
      </c>
      <c r="I8221" t="s">
        <v>31608</v>
      </c>
      <c r="J8221" t="s">
        <v>32211</v>
      </c>
      <c r="K8221" t="s">
        <v>41196</v>
      </c>
      <c r="M8221" t="s">
        <v>42709</v>
      </c>
      <c r="N8221" t="s">
        <v>45095</v>
      </c>
      <c r="O8221" t="s">
        <v>45096</v>
      </c>
      <c r="P8221">
        <v>0</v>
      </c>
      <c r="Q8221">
        <v>3</v>
      </c>
      <c r="R8221" t="s">
        <v>45103</v>
      </c>
      <c r="S8221" t="s">
        <v>45270</v>
      </c>
      <c r="T8221" t="s">
        <v>46985</v>
      </c>
      <c r="U8221" t="s">
        <v>54308</v>
      </c>
      <c r="W8221" t="s">
        <v>61691</v>
      </c>
      <c r="X8221" t="s">
        <v>45104</v>
      </c>
    </row>
    <row r="8222" spans="1:24">
      <c r="A8222">
        <f>HYPERLINK("https://www.philgeps.gov.ph/GEPSNONPILOT/Tender/SplashBidNoticeAbstractUI.aspx?menuIndex=3&amp;refID=6946695&amp;Result=3","6946695")</f>
        <v>0</v>
      </c>
      <c r="B8222" t="s">
        <v>73</v>
      </c>
      <c r="C8222" t="s">
        <v>11034</v>
      </c>
      <c r="D8222" t="s">
        <v>18041</v>
      </c>
      <c r="E8222" t="s">
        <v>25328</v>
      </c>
      <c r="F8222" t="s">
        <v>31574</v>
      </c>
      <c r="G8222" t="s">
        <v>31582</v>
      </c>
      <c r="H8222" t="s">
        <v>31590</v>
      </c>
      <c r="I8222" t="s">
        <v>6800</v>
      </c>
      <c r="J8222" t="s">
        <v>36944</v>
      </c>
      <c r="K8222" t="s">
        <v>41184</v>
      </c>
      <c r="M8222" t="s">
        <v>41557</v>
      </c>
      <c r="N8222" t="s">
        <v>45095</v>
      </c>
      <c r="O8222" t="s">
        <v>45096</v>
      </c>
      <c r="P8222">
        <v>0</v>
      </c>
      <c r="Q8222">
        <v>1</v>
      </c>
      <c r="R8222" t="s">
        <v>45104</v>
      </c>
      <c r="S8222" t="s">
        <v>45304</v>
      </c>
      <c r="T8222" t="s">
        <v>47197</v>
      </c>
      <c r="U8222" t="s">
        <v>54309</v>
      </c>
      <c r="V8222" t="s">
        <v>60714</v>
      </c>
      <c r="W8222" t="s">
        <v>41557</v>
      </c>
      <c r="X8222" t="s">
        <v>45166</v>
      </c>
    </row>
    <row r="8223" spans="1:24">
      <c r="A8223">
        <f>HYPERLINK("https://www.philgeps.gov.ph/GEPSNONPILOT/Tender/SplashBidNoticeAbstractUI.aspx?menuIndex=3&amp;refID=7038150&amp;Result=3","7038150")</f>
        <v>0</v>
      </c>
      <c r="B8223" t="s">
        <v>2339</v>
      </c>
      <c r="C8223" t="s">
        <v>11035</v>
      </c>
      <c r="D8223" t="s">
        <v>18041</v>
      </c>
      <c r="E8223" t="s">
        <v>25329</v>
      </c>
      <c r="F8223" t="s">
        <v>31574</v>
      </c>
      <c r="G8223" t="s">
        <v>31582</v>
      </c>
      <c r="H8223" t="s">
        <v>31590</v>
      </c>
      <c r="I8223" t="s">
        <v>3539</v>
      </c>
      <c r="J8223" t="s">
        <v>34228</v>
      </c>
      <c r="K8223" t="s">
        <v>41193</v>
      </c>
      <c r="L8223" t="s">
        <v>2339</v>
      </c>
      <c r="M8223" t="s">
        <v>44051</v>
      </c>
      <c r="N8223" t="s">
        <v>45095</v>
      </c>
      <c r="O8223" t="s">
        <v>45096</v>
      </c>
      <c r="P8223">
        <v>0</v>
      </c>
      <c r="Q8223">
        <v>0</v>
      </c>
      <c r="R8223" t="s">
        <v>45103</v>
      </c>
      <c r="S8223" t="s">
        <v>45270</v>
      </c>
      <c r="T8223" t="s">
        <v>47004</v>
      </c>
      <c r="U8223" t="s">
        <v>54303</v>
      </c>
      <c r="V8223" t="s">
        <v>60713</v>
      </c>
      <c r="W8223" t="s">
        <v>44051</v>
      </c>
      <c r="X8223" t="s">
        <v>45104</v>
      </c>
    </row>
    <row r="8224" spans="1:24">
      <c r="A8224">
        <f>HYPERLINK("https://www.philgeps.gov.ph/GEPSNONPILOT/Tender/SplashBidNoticeAbstractUI.aspx?menuIndex=3&amp;refID=6946680&amp;Result=3","6946680")</f>
        <v>0</v>
      </c>
      <c r="B8224" t="s">
        <v>73</v>
      </c>
      <c r="C8224" t="s">
        <v>11036</v>
      </c>
      <c r="D8224" t="s">
        <v>18041</v>
      </c>
      <c r="E8224" t="s">
        <v>25330</v>
      </c>
      <c r="F8224" t="s">
        <v>31574</v>
      </c>
      <c r="G8224" t="s">
        <v>31582</v>
      </c>
      <c r="H8224" t="s">
        <v>31590</v>
      </c>
      <c r="I8224" t="s">
        <v>3487</v>
      </c>
      <c r="J8224" t="s">
        <v>36945</v>
      </c>
      <c r="K8224" t="s">
        <v>41184</v>
      </c>
      <c r="M8224" t="s">
        <v>41557</v>
      </c>
      <c r="N8224" t="s">
        <v>45095</v>
      </c>
      <c r="O8224" t="s">
        <v>45096</v>
      </c>
      <c r="P8224">
        <v>0</v>
      </c>
      <c r="Q8224">
        <v>0</v>
      </c>
      <c r="R8224" t="s">
        <v>45104</v>
      </c>
      <c r="S8224" t="s">
        <v>45304</v>
      </c>
      <c r="T8224" t="s">
        <v>47197</v>
      </c>
      <c r="U8224" t="s">
        <v>54310</v>
      </c>
      <c r="V8224" t="s">
        <v>60714</v>
      </c>
      <c r="W8224" t="s">
        <v>41557</v>
      </c>
      <c r="X8224" t="s">
        <v>45166</v>
      </c>
    </row>
    <row r="8225" spans="1:24">
      <c r="A8225">
        <f>HYPERLINK("https://www.philgeps.gov.ph/GEPSNONPILOT/Tender/SplashBidNoticeAbstractUI.aspx?menuIndex=3&amp;refID=7038149&amp;Result=3","7038149")</f>
        <v>0</v>
      </c>
      <c r="B8225" t="s">
        <v>1153</v>
      </c>
      <c r="C8225" t="s">
        <v>11037</v>
      </c>
      <c r="D8225" t="s">
        <v>18036</v>
      </c>
      <c r="E8225" t="s">
        <v>25331</v>
      </c>
      <c r="F8225" t="s">
        <v>31574</v>
      </c>
      <c r="G8225" t="s">
        <v>31582</v>
      </c>
      <c r="H8225" t="s">
        <v>31590</v>
      </c>
      <c r="I8225" t="s">
        <v>31602</v>
      </c>
      <c r="J8225" t="s">
        <v>36946</v>
      </c>
      <c r="K8225" t="s">
        <v>41189</v>
      </c>
      <c r="M8225" t="s">
        <v>42709</v>
      </c>
      <c r="N8225" t="s">
        <v>45095</v>
      </c>
      <c r="O8225" t="s">
        <v>45096</v>
      </c>
      <c r="P8225">
        <v>0</v>
      </c>
      <c r="Q8225">
        <v>0</v>
      </c>
      <c r="R8225" t="s">
        <v>45103</v>
      </c>
      <c r="S8225" t="s">
        <v>45270</v>
      </c>
      <c r="T8225" t="s">
        <v>47004</v>
      </c>
      <c r="U8225" t="s">
        <v>54311</v>
      </c>
      <c r="W8225" t="s">
        <v>61691</v>
      </c>
      <c r="X8225" t="s">
        <v>45104</v>
      </c>
    </row>
    <row r="8226" spans="1:24">
      <c r="A8226">
        <f>HYPERLINK("https://www.philgeps.gov.ph/GEPSNONPILOT/Tender/SplashBidNoticeAbstractUI.aspx?menuIndex=3&amp;refID=7038144&amp;Result=3","7038144")</f>
        <v>0</v>
      </c>
      <c r="B8226" t="s">
        <v>2338</v>
      </c>
      <c r="C8226" t="s">
        <v>11038</v>
      </c>
      <c r="D8226" t="s">
        <v>18022</v>
      </c>
      <c r="E8226" t="s">
        <v>25332</v>
      </c>
      <c r="F8226" t="s">
        <v>31574</v>
      </c>
      <c r="G8226" t="s">
        <v>31582</v>
      </c>
      <c r="H8226" t="s">
        <v>31591</v>
      </c>
      <c r="I8226" t="s">
        <v>8822</v>
      </c>
      <c r="J8226" t="s">
        <v>36947</v>
      </c>
      <c r="K8226" t="s">
        <v>41243</v>
      </c>
      <c r="M8226" t="s">
        <v>44050</v>
      </c>
      <c r="N8226" t="s">
        <v>45095</v>
      </c>
      <c r="O8226" t="s">
        <v>45096</v>
      </c>
      <c r="P8226">
        <v>0</v>
      </c>
      <c r="Q8226">
        <v>57</v>
      </c>
      <c r="R8226" t="s">
        <v>45103</v>
      </c>
      <c r="S8226" t="s">
        <v>45270</v>
      </c>
      <c r="T8226" t="s">
        <v>46992</v>
      </c>
      <c r="U8226" t="s">
        <v>54312</v>
      </c>
      <c r="W8226" t="s">
        <v>44050</v>
      </c>
      <c r="X8226" t="s">
        <v>45104</v>
      </c>
    </row>
    <row r="8227" spans="1:24">
      <c r="A8227">
        <f>HYPERLINK("https://www.philgeps.gov.ph/GEPSNONPILOT/Tender/SplashBidNoticeAbstractUI.aspx?menuIndex=3&amp;refID=7038153&amp;Result=3","7038153")</f>
        <v>0</v>
      </c>
      <c r="B8227" t="s">
        <v>1117</v>
      </c>
      <c r="C8227" t="s">
        <v>11039</v>
      </c>
      <c r="D8227" t="s">
        <v>18079</v>
      </c>
      <c r="E8227" t="s">
        <v>20933</v>
      </c>
      <c r="F8227" t="s">
        <v>31574</v>
      </c>
      <c r="G8227" t="s">
        <v>31582</v>
      </c>
      <c r="H8227" t="s">
        <v>31590</v>
      </c>
      <c r="I8227" t="s">
        <v>4046</v>
      </c>
      <c r="J8227" t="s">
        <v>36948</v>
      </c>
      <c r="K8227" t="s">
        <v>41196</v>
      </c>
      <c r="M8227" t="s">
        <v>42666</v>
      </c>
      <c r="N8227" t="s">
        <v>45095</v>
      </c>
      <c r="O8227" t="s">
        <v>45096</v>
      </c>
      <c r="P8227">
        <v>0</v>
      </c>
      <c r="Q8227">
        <v>1</v>
      </c>
      <c r="R8227" t="s">
        <v>45103</v>
      </c>
      <c r="S8227" t="s">
        <v>45270</v>
      </c>
      <c r="T8227" t="s">
        <v>47064</v>
      </c>
      <c r="U8227" t="s">
        <v>53299</v>
      </c>
      <c r="W8227" t="s">
        <v>42666</v>
      </c>
      <c r="X8227" t="s">
        <v>45104</v>
      </c>
    </row>
    <row r="8228" spans="1:24">
      <c r="A8228">
        <f>HYPERLINK("https://www.philgeps.gov.ph/GEPSNONPILOT/Tender/SplashBidNoticeAbstractUI.aspx?menuIndex=3&amp;refID=6946773&amp;Result=3","6946773")</f>
        <v>0</v>
      </c>
      <c r="B8228" t="s">
        <v>73</v>
      </c>
      <c r="C8228" t="s">
        <v>11040</v>
      </c>
      <c r="D8228" t="s">
        <v>18041</v>
      </c>
      <c r="E8228" t="s">
        <v>25333</v>
      </c>
      <c r="F8228" t="s">
        <v>31574</v>
      </c>
      <c r="G8228" t="s">
        <v>31582</v>
      </c>
      <c r="H8228" t="s">
        <v>31590</v>
      </c>
      <c r="I8228" t="s">
        <v>14544</v>
      </c>
      <c r="J8228" t="s">
        <v>36949</v>
      </c>
      <c r="K8228" t="s">
        <v>41184</v>
      </c>
      <c r="M8228" t="s">
        <v>41557</v>
      </c>
      <c r="N8228" t="s">
        <v>45095</v>
      </c>
      <c r="O8228" t="s">
        <v>45096</v>
      </c>
      <c r="P8228">
        <v>0</v>
      </c>
      <c r="Q8228">
        <v>0</v>
      </c>
      <c r="R8228" t="s">
        <v>45104</v>
      </c>
      <c r="S8228" t="s">
        <v>45304</v>
      </c>
      <c r="T8228" t="s">
        <v>47197</v>
      </c>
      <c r="U8228" t="s">
        <v>54313</v>
      </c>
      <c r="V8228" t="s">
        <v>59867</v>
      </c>
      <c r="W8228" t="s">
        <v>41557</v>
      </c>
      <c r="X8228" t="s">
        <v>45166</v>
      </c>
    </row>
    <row r="8229" spans="1:24">
      <c r="A8229">
        <f>HYPERLINK("https://www.philgeps.gov.ph/GEPSNONPILOT/Tender/SplashBidNoticeAbstractUI.aspx?menuIndex=3&amp;refID=6946826&amp;Result=3","6946826")</f>
        <v>0</v>
      </c>
      <c r="B8229" t="s">
        <v>73</v>
      </c>
      <c r="C8229" t="s">
        <v>11041</v>
      </c>
      <c r="D8229" t="s">
        <v>18041</v>
      </c>
      <c r="E8229" t="s">
        <v>25334</v>
      </c>
      <c r="F8229" t="s">
        <v>31574</v>
      </c>
      <c r="G8229" t="s">
        <v>31582</v>
      </c>
      <c r="H8229" t="s">
        <v>31590</v>
      </c>
      <c r="I8229" t="s">
        <v>31600</v>
      </c>
      <c r="J8229" t="s">
        <v>36950</v>
      </c>
      <c r="K8229" t="s">
        <v>41184</v>
      </c>
      <c r="M8229" t="s">
        <v>41557</v>
      </c>
      <c r="N8229" t="s">
        <v>45095</v>
      </c>
      <c r="O8229" t="s">
        <v>45096</v>
      </c>
      <c r="P8229">
        <v>0</v>
      </c>
      <c r="Q8229">
        <v>0</v>
      </c>
      <c r="R8229" t="s">
        <v>45104</v>
      </c>
      <c r="S8229" t="s">
        <v>45304</v>
      </c>
      <c r="T8229" t="s">
        <v>47197</v>
      </c>
      <c r="U8229" t="s">
        <v>54314</v>
      </c>
      <c r="V8229" t="s">
        <v>59867</v>
      </c>
      <c r="W8229" t="s">
        <v>41557</v>
      </c>
      <c r="X8229" t="s">
        <v>45166</v>
      </c>
    </row>
    <row r="8230" spans="1:24">
      <c r="A8230">
        <f>HYPERLINK("https://www.philgeps.gov.ph/GEPSNONPILOT/Tender/SplashBidNoticeAbstractUI.aspx?menuIndex=3&amp;refID=6946756&amp;Result=3","6946756")</f>
        <v>0</v>
      </c>
      <c r="B8230" t="s">
        <v>73</v>
      </c>
      <c r="C8230" t="s">
        <v>11042</v>
      </c>
      <c r="D8230" t="s">
        <v>18041</v>
      </c>
      <c r="E8230" t="s">
        <v>25335</v>
      </c>
      <c r="F8230" t="s">
        <v>31574</v>
      </c>
      <c r="G8230" t="s">
        <v>31582</v>
      </c>
      <c r="H8230" t="s">
        <v>31590</v>
      </c>
      <c r="I8230" t="s">
        <v>14544</v>
      </c>
      <c r="J8230" t="s">
        <v>36951</v>
      </c>
      <c r="K8230" t="s">
        <v>41184</v>
      </c>
      <c r="M8230" t="s">
        <v>41557</v>
      </c>
      <c r="N8230" t="s">
        <v>45095</v>
      </c>
      <c r="O8230" t="s">
        <v>45096</v>
      </c>
      <c r="P8230">
        <v>0</v>
      </c>
      <c r="Q8230">
        <v>1</v>
      </c>
      <c r="R8230" t="s">
        <v>45104</v>
      </c>
      <c r="S8230" t="s">
        <v>45304</v>
      </c>
      <c r="T8230" t="s">
        <v>47197</v>
      </c>
      <c r="U8230" t="s">
        <v>54315</v>
      </c>
      <c r="V8230" t="s">
        <v>59867</v>
      </c>
      <c r="W8230" t="s">
        <v>41557</v>
      </c>
      <c r="X8230" t="s">
        <v>45166</v>
      </c>
    </row>
    <row r="8231" spans="1:24">
      <c r="A8231">
        <f>HYPERLINK("https://www.philgeps.gov.ph/GEPSNONPILOT/Tender/SplashBidNoticeAbstractUI.aspx?menuIndex=3&amp;refID=6946732&amp;Result=3","6946732")</f>
        <v>0</v>
      </c>
      <c r="B8231" t="s">
        <v>73</v>
      </c>
      <c r="C8231" t="s">
        <v>11043</v>
      </c>
      <c r="D8231" t="s">
        <v>18041</v>
      </c>
      <c r="E8231" t="s">
        <v>25336</v>
      </c>
      <c r="F8231" t="s">
        <v>31574</v>
      </c>
      <c r="G8231" t="s">
        <v>31582</v>
      </c>
      <c r="H8231" t="s">
        <v>31590</v>
      </c>
      <c r="I8231" t="s">
        <v>31595</v>
      </c>
      <c r="J8231" t="s">
        <v>34972</v>
      </c>
      <c r="K8231" t="s">
        <v>41184</v>
      </c>
      <c r="M8231" t="s">
        <v>41557</v>
      </c>
      <c r="N8231" t="s">
        <v>45095</v>
      </c>
      <c r="O8231" t="s">
        <v>45096</v>
      </c>
      <c r="P8231">
        <v>0</v>
      </c>
      <c r="Q8231">
        <v>1</v>
      </c>
      <c r="R8231" t="s">
        <v>45104</v>
      </c>
      <c r="S8231" t="s">
        <v>45304</v>
      </c>
      <c r="T8231" t="s">
        <v>47197</v>
      </c>
      <c r="U8231" t="s">
        <v>54316</v>
      </c>
      <c r="V8231" t="s">
        <v>59867</v>
      </c>
      <c r="W8231" t="s">
        <v>41557</v>
      </c>
      <c r="X8231" t="s">
        <v>45166</v>
      </c>
    </row>
    <row r="8232" spans="1:24">
      <c r="A8232">
        <f>HYPERLINK("https://www.philgeps.gov.ph/GEPSNONPILOT/Tender/SplashBidNoticeAbstractUI.aspx?menuIndex=3&amp;refID=7038146&amp;Result=3","7038146")</f>
        <v>0</v>
      </c>
      <c r="B8232" t="s">
        <v>2338</v>
      </c>
      <c r="C8232" t="s">
        <v>11044</v>
      </c>
      <c r="D8232" t="s">
        <v>18022</v>
      </c>
      <c r="E8232" t="s">
        <v>25337</v>
      </c>
      <c r="F8232" t="s">
        <v>31574</v>
      </c>
      <c r="G8232" t="s">
        <v>31582</v>
      </c>
      <c r="H8232" t="s">
        <v>31591</v>
      </c>
      <c r="I8232" t="s">
        <v>8822</v>
      </c>
      <c r="J8232" t="s">
        <v>36952</v>
      </c>
      <c r="K8232" t="s">
        <v>41192</v>
      </c>
      <c r="M8232" t="s">
        <v>44050</v>
      </c>
      <c r="N8232" t="s">
        <v>45095</v>
      </c>
      <c r="O8232" t="s">
        <v>45096</v>
      </c>
      <c r="P8232">
        <v>0</v>
      </c>
      <c r="Q8232">
        <v>51</v>
      </c>
      <c r="R8232" t="s">
        <v>45103</v>
      </c>
      <c r="S8232" t="s">
        <v>45270</v>
      </c>
      <c r="T8232" t="s">
        <v>46992</v>
      </c>
      <c r="U8232" t="s">
        <v>54317</v>
      </c>
      <c r="W8232" t="s">
        <v>44050</v>
      </c>
      <c r="X8232" t="s">
        <v>45104</v>
      </c>
    </row>
    <row r="8233" spans="1:24">
      <c r="A8233">
        <f>HYPERLINK("https://www.philgeps.gov.ph/GEPSNONPILOT/Tender/SplashBidNoticeAbstractUI.aspx?menuIndex=3&amp;refID=6947425&amp;Result=3","6947425")</f>
        <v>0</v>
      </c>
      <c r="B8233" t="s">
        <v>73</v>
      </c>
      <c r="C8233" t="s">
        <v>11045</v>
      </c>
      <c r="D8233" t="s">
        <v>18041</v>
      </c>
      <c r="E8233" t="s">
        <v>25338</v>
      </c>
      <c r="F8233" t="s">
        <v>31574</v>
      </c>
      <c r="G8233" t="s">
        <v>31582</v>
      </c>
      <c r="H8233" t="s">
        <v>31590</v>
      </c>
      <c r="I8233" t="s">
        <v>31616</v>
      </c>
      <c r="J8233" t="s">
        <v>32382</v>
      </c>
      <c r="K8233" t="s">
        <v>41184</v>
      </c>
      <c r="M8233" t="s">
        <v>41557</v>
      </c>
      <c r="N8233" t="s">
        <v>45095</v>
      </c>
      <c r="O8233" t="s">
        <v>45096</v>
      </c>
      <c r="P8233">
        <v>0</v>
      </c>
      <c r="Q8233">
        <v>0</v>
      </c>
      <c r="R8233" t="s">
        <v>45104</v>
      </c>
      <c r="S8233" t="s">
        <v>45304</v>
      </c>
      <c r="T8233" t="s">
        <v>47197</v>
      </c>
      <c r="U8233" t="s">
        <v>54318</v>
      </c>
      <c r="V8233" t="s">
        <v>59867</v>
      </c>
      <c r="W8233" t="s">
        <v>41557</v>
      </c>
      <c r="X8233" t="s">
        <v>45166</v>
      </c>
    </row>
    <row r="8234" spans="1:24">
      <c r="A8234">
        <f>HYPERLINK("https://www.philgeps.gov.ph/GEPSNONPILOT/Tender/SplashBidNoticeAbstractUI.aspx?menuIndex=3&amp;refID=6946749&amp;Result=3","6946749")</f>
        <v>0</v>
      </c>
      <c r="B8234" t="s">
        <v>73</v>
      </c>
      <c r="C8234" t="s">
        <v>11046</v>
      </c>
      <c r="D8234" t="s">
        <v>18041</v>
      </c>
      <c r="E8234" t="s">
        <v>25339</v>
      </c>
      <c r="F8234" t="s">
        <v>31574</v>
      </c>
      <c r="G8234" t="s">
        <v>31582</v>
      </c>
      <c r="H8234" t="s">
        <v>31590</v>
      </c>
      <c r="I8234" t="s">
        <v>31631</v>
      </c>
      <c r="J8234" t="s">
        <v>36953</v>
      </c>
      <c r="K8234" t="s">
        <v>41184</v>
      </c>
      <c r="M8234" t="s">
        <v>41557</v>
      </c>
      <c r="N8234" t="s">
        <v>45095</v>
      </c>
      <c r="O8234" t="s">
        <v>45096</v>
      </c>
      <c r="P8234">
        <v>0</v>
      </c>
      <c r="Q8234">
        <v>0</v>
      </c>
      <c r="R8234" t="s">
        <v>45104</v>
      </c>
      <c r="S8234" t="s">
        <v>45304</v>
      </c>
      <c r="T8234" t="s">
        <v>47197</v>
      </c>
      <c r="U8234" t="s">
        <v>54319</v>
      </c>
      <c r="V8234" t="s">
        <v>59867</v>
      </c>
      <c r="W8234" t="s">
        <v>41557</v>
      </c>
      <c r="X8234" t="s">
        <v>45166</v>
      </c>
    </row>
    <row r="8235" spans="1:24">
      <c r="A8235">
        <f>HYPERLINK("https://www.philgeps.gov.ph/GEPSNONPILOT/Tender/SplashBidNoticeAbstractUI.aspx?menuIndex=3&amp;refID=6946839&amp;Result=3","6946839")</f>
        <v>0</v>
      </c>
      <c r="B8235" t="s">
        <v>73</v>
      </c>
      <c r="C8235" t="s">
        <v>11047</v>
      </c>
      <c r="D8235" t="s">
        <v>18041</v>
      </c>
      <c r="E8235" t="s">
        <v>25340</v>
      </c>
      <c r="F8235" t="s">
        <v>31574</v>
      </c>
      <c r="G8235" t="s">
        <v>31582</v>
      </c>
      <c r="H8235" t="s">
        <v>31590</v>
      </c>
      <c r="I8235" t="s">
        <v>8258</v>
      </c>
      <c r="J8235" t="s">
        <v>32382</v>
      </c>
      <c r="K8235" t="s">
        <v>41184</v>
      </c>
      <c r="M8235" t="s">
        <v>41557</v>
      </c>
      <c r="N8235" t="s">
        <v>45095</v>
      </c>
      <c r="O8235" t="s">
        <v>45096</v>
      </c>
      <c r="P8235">
        <v>0</v>
      </c>
      <c r="Q8235">
        <v>0</v>
      </c>
      <c r="R8235" t="s">
        <v>45104</v>
      </c>
      <c r="S8235" t="s">
        <v>45304</v>
      </c>
      <c r="T8235" t="s">
        <v>47197</v>
      </c>
      <c r="U8235" t="s">
        <v>54320</v>
      </c>
      <c r="V8235" t="s">
        <v>60715</v>
      </c>
      <c r="W8235" t="s">
        <v>41557</v>
      </c>
      <c r="X8235" t="s">
        <v>45166</v>
      </c>
    </row>
    <row r="8236" spans="1:24">
      <c r="A8236">
        <f>HYPERLINK("https://www.philgeps.gov.ph/GEPSNONPILOT/Tender/SplashBidNoticeAbstractUI.aspx?menuIndex=3&amp;refID=6851485-2&amp;Result=3","6851485-2")</f>
        <v>0</v>
      </c>
      <c r="B8236" t="s">
        <v>1329</v>
      </c>
      <c r="C8236" t="s">
        <v>11048</v>
      </c>
      <c r="E8236" t="s">
        <v>25341</v>
      </c>
      <c r="F8236" t="s">
        <v>31574</v>
      </c>
      <c r="G8236" t="s">
        <v>31582</v>
      </c>
      <c r="H8236" t="s">
        <v>31593</v>
      </c>
      <c r="I8236" t="s">
        <v>31593</v>
      </c>
      <c r="J8236" t="s">
        <v>36954</v>
      </c>
      <c r="K8236" t="s">
        <v>41225</v>
      </c>
      <c r="M8236" t="s">
        <v>44052</v>
      </c>
      <c r="N8236" t="s">
        <v>45095</v>
      </c>
      <c r="O8236" t="s">
        <v>45096</v>
      </c>
      <c r="P8236">
        <v>0</v>
      </c>
      <c r="Q8236">
        <v>0</v>
      </c>
      <c r="R8236" t="s">
        <v>45104</v>
      </c>
      <c r="S8236" t="s">
        <v>45304</v>
      </c>
      <c r="T8236" t="s">
        <v>46984</v>
      </c>
      <c r="U8236" t="s">
        <v>54321</v>
      </c>
      <c r="V8236" t="s">
        <v>60716</v>
      </c>
      <c r="W8236" t="s">
        <v>44052</v>
      </c>
      <c r="X8236" t="s">
        <v>45110</v>
      </c>
    </row>
    <row r="8237" spans="1:24">
      <c r="A8237">
        <f>HYPERLINK("https://www.philgeps.gov.ph/GEPSNONPILOT/Tender/SplashBidNoticeAbstractUI.aspx?menuIndex=3&amp;refID=6946716&amp;Result=3","6946716")</f>
        <v>0</v>
      </c>
      <c r="B8237" t="s">
        <v>73</v>
      </c>
      <c r="C8237" t="s">
        <v>11049</v>
      </c>
      <c r="D8237" t="s">
        <v>18041</v>
      </c>
      <c r="E8237" t="s">
        <v>25342</v>
      </c>
      <c r="F8237" t="s">
        <v>31574</v>
      </c>
      <c r="G8237" t="s">
        <v>31582</v>
      </c>
      <c r="H8237" t="s">
        <v>31590</v>
      </c>
      <c r="I8237" t="s">
        <v>31600</v>
      </c>
      <c r="J8237" t="s">
        <v>36955</v>
      </c>
      <c r="K8237" t="s">
        <v>41184</v>
      </c>
      <c r="M8237" t="s">
        <v>41557</v>
      </c>
      <c r="N8237" t="s">
        <v>45095</v>
      </c>
      <c r="O8237" t="s">
        <v>45096</v>
      </c>
      <c r="P8237">
        <v>0</v>
      </c>
      <c r="Q8237">
        <v>0</v>
      </c>
      <c r="R8237" t="s">
        <v>45104</v>
      </c>
      <c r="S8237" t="s">
        <v>45304</v>
      </c>
      <c r="T8237" t="s">
        <v>47197</v>
      </c>
      <c r="U8237" t="s">
        <v>54322</v>
      </c>
      <c r="V8237" t="s">
        <v>60717</v>
      </c>
      <c r="W8237" t="s">
        <v>41557</v>
      </c>
      <c r="X8237" t="s">
        <v>45166</v>
      </c>
    </row>
    <row r="8238" spans="1:24">
      <c r="A8238">
        <f>HYPERLINK("https://www.philgeps.gov.ph/GEPSNONPILOT/Tender/SplashBidNoticeAbstractUI.aspx?menuIndex=3&amp;refID=6946725&amp;Result=3","6946725")</f>
        <v>0</v>
      </c>
      <c r="B8238" t="s">
        <v>73</v>
      </c>
      <c r="C8238" t="s">
        <v>11050</v>
      </c>
      <c r="D8238" t="s">
        <v>18041</v>
      </c>
      <c r="E8238" t="s">
        <v>25343</v>
      </c>
      <c r="F8238" t="s">
        <v>31574</v>
      </c>
      <c r="G8238" t="s">
        <v>31582</v>
      </c>
      <c r="H8238" t="s">
        <v>31590</v>
      </c>
      <c r="I8238" t="s">
        <v>4046</v>
      </c>
      <c r="J8238" t="s">
        <v>36956</v>
      </c>
      <c r="K8238" t="s">
        <v>41184</v>
      </c>
      <c r="M8238" t="s">
        <v>41557</v>
      </c>
      <c r="N8238" t="s">
        <v>45095</v>
      </c>
      <c r="O8238" t="s">
        <v>45096</v>
      </c>
      <c r="P8238">
        <v>0</v>
      </c>
      <c r="Q8238">
        <v>1</v>
      </c>
      <c r="R8238" t="s">
        <v>45104</v>
      </c>
      <c r="S8238" t="s">
        <v>45304</v>
      </c>
      <c r="T8238" t="s">
        <v>47197</v>
      </c>
      <c r="U8238" t="s">
        <v>54323</v>
      </c>
      <c r="V8238" t="s">
        <v>59867</v>
      </c>
      <c r="W8238" t="s">
        <v>41557</v>
      </c>
      <c r="X8238" t="s">
        <v>45166</v>
      </c>
    </row>
    <row r="8239" spans="1:24">
      <c r="A8239">
        <f>HYPERLINK("https://www.philgeps.gov.ph/GEPSNONPILOT/Tender/SplashBidNoticeAbstractUI.aspx?menuIndex=3&amp;refID=6944867&amp;Result=3","6944867")</f>
        <v>0</v>
      </c>
      <c r="B8239" t="s">
        <v>73</v>
      </c>
      <c r="C8239" t="s">
        <v>11051</v>
      </c>
      <c r="D8239" t="s">
        <v>18041</v>
      </c>
      <c r="E8239" t="s">
        <v>25344</v>
      </c>
      <c r="F8239" t="s">
        <v>31574</v>
      </c>
      <c r="G8239" t="s">
        <v>31582</v>
      </c>
      <c r="H8239" t="s">
        <v>31590</v>
      </c>
      <c r="I8239" t="s">
        <v>31615</v>
      </c>
      <c r="J8239" t="s">
        <v>31821</v>
      </c>
      <c r="K8239" t="s">
        <v>41184</v>
      </c>
      <c r="M8239" t="s">
        <v>41557</v>
      </c>
      <c r="N8239" t="s">
        <v>45095</v>
      </c>
      <c r="O8239" t="s">
        <v>45096</v>
      </c>
      <c r="P8239">
        <v>0</v>
      </c>
      <c r="Q8239">
        <v>0</v>
      </c>
      <c r="R8239" t="s">
        <v>45104</v>
      </c>
      <c r="S8239" t="s">
        <v>45304</v>
      </c>
      <c r="T8239" t="s">
        <v>47197</v>
      </c>
      <c r="U8239" t="s">
        <v>54324</v>
      </c>
      <c r="V8239" t="s">
        <v>59867</v>
      </c>
      <c r="W8239" t="s">
        <v>41557</v>
      </c>
      <c r="X8239" t="s">
        <v>45165</v>
      </c>
    </row>
    <row r="8240" spans="1:24">
      <c r="A8240">
        <f>HYPERLINK("https://www.philgeps.gov.ph/GEPSNONPILOT/Tender/SplashBidNoticeAbstractUI.aspx?menuIndex=3&amp;refID=6948055&amp;Result=3","6948055")</f>
        <v>0</v>
      </c>
      <c r="B8240" t="s">
        <v>73</v>
      </c>
      <c r="C8240" t="s">
        <v>11052</v>
      </c>
      <c r="D8240" t="s">
        <v>18041</v>
      </c>
      <c r="E8240" t="s">
        <v>25345</v>
      </c>
      <c r="F8240" t="s">
        <v>31574</v>
      </c>
      <c r="G8240" t="s">
        <v>31582</v>
      </c>
      <c r="H8240" t="s">
        <v>31590</v>
      </c>
      <c r="I8240" t="s">
        <v>4046</v>
      </c>
      <c r="J8240" t="s">
        <v>36957</v>
      </c>
      <c r="K8240" t="s">
        <v>41184</v>
      </c>
      <c r="M8240" t="s">
        <v>41557</v>
      </c>
      <c r="N8240" t="s">
        <v>45095</v>
      </c>
      <c r="O8240" t="s">
        <v>45096</v>
      </c>
      <c r="P8240">
        <v>0</v>
      </c>
      <c r="Q8240">
        <v>1</v>
      </c>
      <c r="R8240" t="s">
        <v>45104</v>
      </c>
      <c r="S8240" t="s">
        <v>45304</v>
      </c>
      <c r="T8240" t="s">
        <v>47197</v>
      </c>
      <c r="U8240" t="s">
        <v>54325</v>
      </c>
      <c r="V8240" t="s">
        <v>59867</v>
      </c>
      <c r="W8240" t="s">
        <v>41557</v>
      </c>
      <c r="X8240" t="s">
        <v>45166</v>
      </c>
    </row>
    <row r="8241" spans="1:24">
      <c r="A8241">
        <f>HYPERLINK("https://www.philgeps.gov.ph/GEPSNONPILOT/Tender/SplashBidNoticeAbstractUI.aspx?menuIndex=3&amp;refID=7038154&amp;Result=3","7038154")</f>
        <v>0</v>
      </c>
      <c r="B8241" t="s">
        <v>1682</v>
      </c>
      <c r="C8241" t="s">
        <v>11053</v>
      </c>
      <c r="D8241" t="s">
        <v>18064</v>
      </c>
      <c r="E8241" t="s">
        <v>25346</v>
      </c>
      <c r="F8241" t="s">
        <v>31574</v>
      </c>
      <c r="G8241" t="s">
        <v>31582</v>
      </c>
      <c r="H8241" t="s">
        <v>31591</v>
      </c>
      <c r="I8241" t="s">
        <v>8822</v>
      </c>
      <c r="J8241" t="s">
        <v>31789</v>
      </c>
      <c r="K8241" t="s">
        <v>41185</v>
      </c>
      <c r="M8241" t="s">
        <v>43295</v>
      </c>
      <c r="N8241" t="s">
        <v>45095</v>
      </c>
      <c r="O8241" t="s">
        <v>45096</v>
      </c>
      <c r="P8241">
        <v>0</v>
      </c>
      <c r="Q8241">
        <v>0</v>
      </c>
      <c r="R8241" t="s">
        <v>45103</v>
      </c>
      <c r="S8241" t="s">
        <v>45270</v>
      </c>
      <c r="T8241" t="s">
        <v>47011</v>
      </c>
      <c r="U8241" t="s">
        <v>54326</v>
      </c>
      <c r="W8241" t="s">
        <v>43295</v>
      </c>
      <c r="X8241" t="s">
        <v>45104</v>
      </c>
    </row>
    <row r="8242" spans="1:24">
      <c r="A8242">
        <f>HYPERLINK("https://www.philgeps.gov.ph/GEPSNONPILOT/Tender/SplashBidNoticeAbstractUI.aspx?menuIndex=3&amp;refID=6944875&amp;Result=3","6944875")</f>
        <v>0</v>
      </c>
      <c r="B8242" t="s">
        <v>73</v>
      </c>
      <c r="C8242" t="s">
        <v>11054</v>
      </c>
      <c r="D8242" t="s">
        <v>18041</v>
      </c>
      <c r="E8242" t="s">
        <v>25347</v>
      </c>
      <c r="F8242" t="s">
        <v>31574</v>
      </c>
      <c r="G8242" t="s">
        <v>31582</v>
      </c>
      <c r="H8242" t="s">
        <v>31590</v>
      </c>
      <c r="I8242" t="s">
        <v>6800</v>
      </c>
      <c r="J8242" t="s">
        <v>34700</v>
      </c>
      <c r="K8242" t="s">
        <v>41184</v>
      </c>
      <c r="M8242" t="s">
        <v>41557</v>
      </c>
      <c r="N8242" t="s">
        <v>45095</v>
      </c>
      <c r="O8242" t="s">
        <v>45096</v>
      </c>
      <c r="P8242">
        <v>0</v>
      </c>
      <c r="Q8242">
        <v>1</v>
      </c>
      <c r="R8242" t="s">
        <v>45104</v>
      </c>
      <c r="S8242" t="s">
        <v>45304</v>
      </c>
      <c r="T8242" t="s">
        <v>47197</v>
      </c>
      <c r="U8242" t="s">
        <v>54327</v>
      </c>
      <c r="V8242" t="s">
        <v>59867</v>
      </c>
      <c r="W8242" t="s">
        <v>41557</v>
      </c>
      <c r="X8242" t="s">
        <v>45165</v>
      </c>
    </row>
    <row r="8243" spans="1:24">
      <c r="A8243">
        <f>HYPERLINK("https://www.philgeps.gov.ph/GEPSNONPILOT/Tender/SplashBidNoticeAbstractUI.aspx?menuIndex=3&amp;refID=7021697&amp;Result=3","7021697")</f>
        <v>0</v>
      </c>
      <c r="B8243" t="s">
        <v>2340</v>
      </c>
      <c r="C8243" t="s">
        <v>11055</v>
      </c>
      <c r="D8243" t="s">
        <v>18036</v>
      </c>
      <c r="E8243" t="s">
        <v>25348</v>
      </c>
      <c r="F8243" t="s">
        <v>31574</v>
      </c>
      <c r="G8243" t="s">
        <v>31582</v>
      </c>
      <c r="H8243" t="s">
        <v>31591</v>
      </c>
      <c r="I8243" t="s">
        <v>8822</v>
      </c>
      <c r="J8243" t="s">
        <v>36958</v>
      </c>
      <c r="K8243" t="s">
        <v>41243</v>
      </c>
      <c r="M8243" t="s">
        <v>44053</v>
      </c>
      <c r="N8243" t="s">
        <v>45095</v>
      </c>
      <c r="O8243" t="s">
        <v>45096</v>
      </c>
      <c r="P8243">
        <v>0</v>
      </c>
      <c r="Q8243">
        <v>0</v>
      </c>
      <c r="R8243" t="s">
        <v>45104</v>
      </c>
      <c r="S8243" t="s">
        <v>45304</v>
      </c>
      <c r="T8243" t="s">
        <v>47166</v>
      </c>
      <c r="U8243" t="s">
        <v>54328</v>
      </c>
      <c r="V8243" t="s">
        <v>60582</v>
      </c>
      <c r="W8243" t="s">
        <v>44053</v>
      </c>
      <c r="X8243" t="s">
        <v>45111</v>
      </c>
    </row>
    <row r="8244" spans="1:24">
      <c r="A8244">
        <f>HYPERLINK("https://www.philgeps.gov.ph/GEPSNONPILOT/Tender/SplashBidNoticeAbstractUI.aspx?menuIndex=3&amp;refID=7022670&amp;Result=3","7022670")</f>
        <v>0</v>
      </c>
      <c r="B8244" t="s">
        <v>836</v>
      </c>
      <c r="C8244" t="s">
        <v>11056</v>
      </c>
      <c r="D8244" t="s">
        <v>18096</v>
      </c>
      <c r="E8244" t="s">
        <v>25349</v>
      </c>
      <c r="F8244" t="s">
        <v>31574</v>
      </c>
      <c r="G8244" t="s">
        <v>31582</v>
      </c>
      <c r="H8244" t="s">
        <v>31591</v>
      </c>
      <c r="I8244" t="s">
        <v>8822</v>
      </c>
      <c r="J8244" t="s">
        <v>36959</v>
      </c>
      <c r="K8244" t="s">
        <v>41192</v>
      </c>
      <c r="M8244" t="s">
        <v>44054</v>
      </c>
      <c r="N8244" t="s">
        <v>45095</v>
      </c>
      <c r="O8244" t="s">
        <v>45096</v>
      </c>
      <c r="P8244">
        <v>0</v>
      </c>
      <c r="Q8244">
        <v>2</v>
      </c>
      <c r="R8244" t="s">
        <v>45104</v>
      </c>
      <c r="S8244" t="s">
        <v>45304</v>
      </c>
      <c r="T8244" t="s">
        <v>47266</v>
      </c>
      <c r="U8244" t="s">
        <v>54329</v>
      </c>
      <c r="W8244" t="s">
        <v>44054</v>
      </c>
      <c r="X8244" t="s">
        <v>45111</v>
      </c>
    </row>
    <row r="8245" spans="1:24">
      <c r="A8245">
        <f>HYPERLINK("https://www.philgeps.gov.ph/GEPSNONPILOT/Tender/SplashBidNoticeAbstractUI.aspx?menuIndex=3&amp;refID=7021705&amp;Result=3","7021705")</f>
        <v>0</v>
      </c>
      <c r="B8245" t="s">
        <v>2340</v>
      </c>
      <c r="C8245" t="s">
        <v>11057</v>
      </c>
      <c r="D8245" t="s">
        <v>18036</v>
      </c>
      <c r="E8245" t="s">
        <v>25350</v>
      </c>
      <c r="F8245" t="s">
        <v>31574</v>
      </c>
      <c r="G8245" t="s">
        <v>31582</v>
      </c>
      <c r="H8245" t="s">
        <v>31591</v>
      </c>
      <c r="I8245" t="s">
        <v>8822</v>
      </c>
      <c r="J8245" t="s">
        <v>36960</v>
      </c>
      <c r="K8245" t="s">
        <v>41188</v>
      </c>
      <c r="M8245" t="s">
        <v>44053</v>
      </c>
      <c r="N8245" t="s">
        <v>45095</v>
      </c>
      <c r="O8245" t="s">
        <v>45096</v>
      </c>
      <c r="P8245">
        <v>0</v>
      </c>
      <c r="Q8245">
        <v>0</v>
      </c>
      <c r="R8245" t="s">
        <v>45104</v>
      </c>
      <c r="S8245" t="s">
        <v>45304</v>
      </c>
      <c r="T8245" t="s">
        <v>47166</v>
      </c>
      <c r="U8245" t="s">
        <v>54330</v>
      </c>
      <c r="V8245" t="s">
        <v>60582</v>
      </c>
      <c r="W8245" t="s">
        <v>44053</v>
      </c>
      <c r="X8245" t="s">
        <v>45111</v>
      </c>
    </row>
    <row r="8246" spans="1:24">
      <c r="A8246">
        <f>HYPERLINK("https://www.philgeps.gov.ph/GEPSNONPILOT/Tender/SplashBidNoticeAbstractUI.aspx?menuIndex=3&amp;refID=7019396&amp;Result=3","7019396")</f>
        <v>0</v>
      </c>
      <c r="B8246" t="s">
        <v>2340</v>
      </c>
      <c r="C8246" t="s">
        <v>11058</v>
      </c>
      <c r="D8246" t="s">
        <v>18036</v>
      </c>
      <c r="E8246" t="s">
        <v>25351</v>
      </c>
      <c r="F8246" t="s">
        <v>31574</v>
      </c>
      <c r="G8246" t="s">
        <v>31582</v>
      </c>
      <c r="H8246" t="s">
        <v>31590</v>
      </c>
      <c r="I8246" t="s">
        <v>31603</v>
      </c>
      <c r="J8246" t="s">
        <v>32969</v>
      </c>
      <c r="K8246" t="s">
        <v>41196</v>
      </c>
      <c r="M8246" t="s">
        <v>44055</v>
      </c>
      <c r="N8246" t="s">
        <v>45095</v>
      </c>
      <c r="O8246" t="s">
        <v>45096</v>
      </c>
      <c r="P8246">
        <v>0</v>
      </c>
      <c r="Q8246">
        <v>5</v>
      </c>
      <c r="R8246" t="s">
        <v>45104</v>
      </c>
      <c r="S8246" t="s">
        <v>45304</v>
      </c>
      <c r="T8246" t="s">
        <v>46963</v>
      </c>
      <c r="U8246" t="s">
        <v>54331</v>
      </c>
      <c r="V8246" t="s">
        <v>60582</v>
      </c>
      <c r="W8246" t="s">
        <v>44055</v>
      </c>
      <c r="X8246" t="s">
        <v>45112</v>
      </c>
    </row>
    <row r="8247" spans="1:24">
      <c r="A8247">
        <f>HYPERLINK("https://www.philgeps.gov.ph/GEPSNONPILOT/Tender/SplashBidNoticeAbstractUI.aspx?menuIndex=3&amp;refID=7022502&amp;Result=3","7022502")</f>
        <v>0</v>
      </c>
      <c r="B8247" t="s">
        <v>54</v>
      </c>
      <c r="C8247" t="s">
        <v>11059</v>
      </c>
      <c r="D8247" t="s">
        <v>18045</v>
      </c>
      <c r="E8247" t="s">
        <v>25352</v>
      </c>
      <c r="F8247" t="s">
        <v>31574</v>
      </c>
      <c r="G8247" t="s">
        <v>31582</v>
      </c>
      <c r="H8247" t="s">
        <v>31591</v>
      </c>
      <c r="I8247" t="s">
        <v>8822</v>
      </c>
      <c r="J8247" t="s">
        <v>32497</v>
      </c>
      <c r="K8247" t="s">
        <v>41189</v>
      </c>
      <c r="M8247" t="s">
        <v>41538</v>
      </c>
      <c r="N8247" t="s">
        <v>45095</v>
      </c>
      <c r="O8247" t="s">
        <v>45096</v>
      </c>
      <c r="P8247">
        <v>0</v>
      </c>
      <c r="Q8247">
        <v>0</v>
      </c>
      <c r="R8247" t="s">
        <v>45104</v>
      </c>
      <c r="S8247" t="s">
        <v>45304</v>
      </c>
      <c r="T8247" t="s">
        <v>47154</v>
      </c>
      <c r="U8247" t="s">
        <v>54332</v>
      </c>
      <c r="W8247" t="s">
        <v>41538</v>
      </c>
      <c r="X8247" t="s">
        <v>45111</v>
      </c>
    </row>
    <row r="8248" spans="1:24">
      <c r="A8248">
        <f>HYPERLINK("https://www.philgeps.gov.ph/GEPSNONPILOT/Tender/SplashBidNoticeAbstractUI.aspx?menuIndex=3&amp;refID=6977707-2&amp;Result=3","6977707-2")</f>
        <v>0</v>
      </c>
      <c r="B8248" t="s">
        <v>1692</v>
      </c>
      <c r="C8248" t="s">
        <v>11060</v>
      </c>
      <c r="D8248" t="s">
        <v>18037</v>
      </c>
      <c r="E8248" t="s">
        <v>25353</v>
      </c>
      <c r="F8248" t="s">
        <v>31574</v>
      </c>
      <c r="G8248" t="s">
        <v>31587</v>
      </c>
      <c r="H8248" t="s">
        <v>31593</v>
      </c>
      <c r="I8248" t="s">
        <v>31593</v>
      </c>
      <c r="J8248" t="s">
        <v>32026</v>
      </c>
      <c r="K8248" t="s">
        <v>41200</v>
      </c>
      <c r="M8248" t="s">
        <v>43306</v>
      </c>
      <c r="N8248" t="s">
        <v>45095</v>
      </c>
      <c r="O8248" t="s">
        <v>45096</v>
      </c>
      <c r="P8248">
        <v>0</v>
      </c>
      <c r="Q8248">
        <v>0</v>
      </c>
      <c r="R8248" t="s">
        <v>45104</v>
      </c>
      <c r="S8248" t="s">
        <v>45304</v>
      </c>
      <c r="T8248" t="s">
        <v>47335</v>
      </c>
      <c r="U8248" t="s">
        <v>54333</v>
      </c>
      <c r="W8248" t="s">
        <v>43306</v>
      </c>
      <c r="X8248" t="s">
        <v>45105</v>
      </c>
    </row>
    <row r="8249" spans="1:24">
      <c r="A8249">
        <f>HYPERLINK("https://www.philgeps.gov.ph/GEPSNONPILOT/Tender/SplashBidNoticeAbstractUI.aspx?menuIndex=3&amp;refID=7024029&amp;Result=3","7024029")</f>
        <v>0</v>
      </c>
      <c r="B8249" t="s">
        <v>1462</v>
      </c>
      <c r="C8249" t="s">
        <v>11061</v>
      </c>
      <c r="D8249" t="s">
        <v>18079</v>
      </c>
      <c r="E8249" t="s">
        <v>20144</v>
      </c>
      <c r="F8249" t="s">
        <v>31574</v>
      </c>
      <c r="G8249" t="s">
        <v>31582</v>
      </c>
      <c r="H8249" t="s">
        <v>31590</v>
      </c>
      <c r="I8249" t="s">
        <v>31615</v>
      </c>
      <c r="J8249" t="s">
        <v>33327</v>
      </c>
      <c r="K8249" t="s">
        <v>41186</v>
      </c>
      <c r="M8249" t="s">
        <v>43043</v>
      </c>
      <c r="N8249" t="s">
        <v>45095</v>
      </c>
      <c r="O8249" t="s">
        <v>45096</v>
      </c>
      <c r="P8249">
        <v>0</v>
      </c>
      <c r="Q8249">
        <v>3</v>
      </c>
      <c r="R8249" t="s">
        <v>45104</v>
      </c>
      <c r="S8249" t="s">
        <v>45304</v>
      </c>
      <c r="T8249" t="s">
        <v>46988</v>
      </c>
      <c r="U8249" t="s">
        <v>54334</v>
      </c>
      <c r="V8249" t="s">
        <v>60718</v>
      </c>
      <c r="W8249" t="s">
        <v>43043</v>
      </c>
      <c r="X8249" t="s">
        <v>45111</v>
      </c>
    </row>
    <row r="8250" spans="1:24">
      <c r="A8250">
        <f>HYPERLINK("https://www.philgeps.gov.ph/GEPSNONPILOT/Tender/SplashBidNoticeAbstractUI.aspx?menuIndex=3&amp;refID=7019468&amp;Result=3","7019468")</f>
        <v>0</v>
      </c>
      <c r="B8250" t="s">
        <v>2340</v>
      </c>
      <c r="C8250" t="s">
        <v>11062</v>
      </c>
      <c r="D8250" t="s">
        <v>18036</v>
      </c>
      <c r="E8250" t="s">
        <v>25354</v>
      </c>
      <c r="F8250" t="s">
        <v>31574</v>
      </c>
      <c r="G8250" t="s">
        <v>31582</v>
      </c>
      <c r="H8250" t="s">
        <v>31591</v>
      </c>
      <c r="I8250" t="s">
        <v>8822</v>
      </c>
      <c r="J8250" t="s">
        <v>36961</v>
      </c>
      <c r="K8250" t="s">
        <v>41243</v>
      </c>
      <c r="M8250" t="s">
        <v>44053</v>
      </c>
      <c r="N8250" t="s">
        <v>45095</v>
      </c>
      <c r="O8250" t="s">
        <v>45096</v>
      </c>
      <c r="P8250">
        <v>0</v>
      </c>
      <c r="Q8250">
        <v>1</v>
      </c>
      <c r="R8250" t="s">
        <v>45104</v>
      </c>
      <c r="S8250" t="s">
        <v>45304</v>
      </c>
      <c r="T8250" t="s">
        <v>47166</v>
      </c>
      <c r="U8250" t="s">
        <v>54335</v>
      </c>
      <c r="V8250" t="s">
        <v>60582</v>
      </c>
      <c r="W8250" t="s">
        <v>44053</v>
      </c>
      <c r="X8250" t="s">
        <v>45112</v>
      </c>
    </row>
    <row r="8251" spans="1:24">
      <c r="A8251">
        <f>HYPERLINK("https://www.philgeps.gov.ph/GEPSNONPILOT/Tender/SplashBidNoticeAbstractUI.aspx?menuIndex=3&amp;refID=7024022&amp;Result=3","7024022")</f>
        <v>0</v>
      </c>
      <c r="B8251" t="s">
        <v>1462</v>
      </c>
      <c r="C8251" t="s">
        <v>11063</v>
      </c>
      <c r="D8251" t="s">
        <v>18072</v>
      </c>
      <c r="E8251" t="s">
        <v>20140</v>
      </c>
      <c r="F8251" t="s">
        <v>31574</v>
      </c>
      <c r="G8251" t="s">
        <v>31582</v>
      </c>
      <c r="H8251" t="s">
        <v>31590</v>
      </c>
      <c r="I8251" t="s">
        <v>3487</v>
      </c>
      <c r="J8251" t="s">
        <v>36962</v>
      </c>
      <c r="K8251" t="s">
        <v>41186</v>
      </c>
      <c r="M8251" t="s">
        <v>43043</v>
      </c>
      <c r="N8251" t="s">
        <v>45095</v>
      </c>
      <c r="O8251" t="s">
        <v>45096</v>
      </c>
      <c r="P8251">
        <v>0</v>
      </c>
      <c r="Q8251">
        <v>0</v>
      </c>
      <c r="R8251" t="s">
        <v>45104</v>
      </c>
      <c r="S8251" t="s">
        <v>45304</v>
      </c>
      <c r="T8251" t="s">
        <v>46988</v>
      </c>
      <c r="U8251" t="s">
        <v>54336</v>
      </c>
      <c r="V8251" t="s">
        <v>60718</v>
      </c>
      <c r="W8251" t="s">
        <v>43043</v>
      </c>
      <c r="X8251" t="s">
        <v>45111</v>
      </c>
    </row>
    <row r="8252" spans="1:24">
      <c r="A8252">
        <f>HYPERLINK("https://www.philgeps.gov.ph/GEPSNONPILOT/Tender/SplashBidNoticeAbstractUI.aspx?menuIndex=3&amp;refID=7023992&amp;Result=3","7023992")</f>
        <v>0</v>
      </c>
      <c r="B8252" t="s">
        <v>1462</v>
      </c>
      <c r="C8252" t="s">
        <v>11064</v>
      </c>
      <c r="D8252" t="s">
        <v>18079</v>
      </c>
      <c r="E8252" t="s">
        <v>22399</v>
      </c>
      <c r="F8252" t="s">
        <v>31574</v>
      </c>
      <c r="G8252" t="s">
        <v>31582</v>
      </c>
      <c r="H8252" t="s">
        <v>31590</v>
      </c>
      <c r="I8252" t="s">
        <v>31614</v>
      </c>
      <c r="J8252" t="s">
        <v>36963</v>
      </c>
      <c r="K8252" t="s">
        <v>41186</v>
      </c>
      <c r="M8252" t="s">
        <v>43043</v>
      </c>
      <c r="N8252" t="s">
        <v>45095</v>
      </c>
      <c r="O8252" t="s">
        <v>45096</v>
      </c>
      <c r="P8252">
        <v>0</v>
      </c>
      <c r="Q8252">
        <v>1</v>
      </c>
      <c r="R8252" t="s">
        <v>45104</v>
      </c>
      <c r="S8252" t="s">
        <v>45304</v>
      </c>
      <c r="T8252" t="s">
        <v>46988</v>
      </c>
      <c r="U8252" t="s">
        <v>54337</v>
      </c>
      <c r="V8252" t="s">
        <v>60718</v>
      </c>
      <c r="W8252" t="s">
        <v>43043</v>
      </c>
      <c r="X8252" t="s">
        <v>45111</v>
      </c>
    </row>
    <row r="8253" spans="1:24">
      <c r="A8253">
        <f>HYPERLINK("https://www.philgeps.gov.ph/GEPSNONPILOT/Tender/SplashBidNoticeAbstractUI.aspx?menuIndex=3&amp;refID=7024458&amp;Result=3","7024458")</f>
        <v>0</v>
      </c>
      <c r="B8253" t="s">
        <v>46</v>
      </c>
      <c r="C8253" t="s">
        <v>11065</v>
      </c>
      <c r="E8253" t="s">
        <v>25355</v>
      </c>
      <c r="F8253" t="s">
        <v>31574</v>
      </c>
      <c r="G8253" t="s">
        <v>31582</v>
      </c>
      <c r="H8253" t="s">
        <v>31590</v>
      </c>
      <c r="I8253" t="s">
        <v>7185</v>
      </c>
      <c r="J8253" t="s">
        <v>36964</v>
      </c>
      <c r="K8253" t="s">
        <v>41184</v>
      </c>
      <c r="M8253" t="s">
        <v>41529</v>
      </c>
      <c r="N8253" t="s">
        <v>45095</v>
      </c>
      <c r="O8253" t="s">
        <v>45096</v>
      </c>
      <c r="P8253">
        <v>0</v>
      </c>
      <c r="Q8253">
        <v>1</v>
      </c>
      <c r="R8253" t="s">
        <v>45104</v>
      </c>
      <c r="S8253" t="s">
        <v>45304</v>
      </c>
      <c r="T8253" t="s">
        <v>46992</v>
      </c>
      <c r="U8253" t="s">
        <v>54338</v>
      </c>
      <c r="W8253" t="s">
        <v>41529</v>
      </c>
      <c r="X8253" t="s">
        <v>45110</v>
      </c>
    </row>
    <row r="8254" spans="1:24">
      <c r="A8254">
        <f>HYPERLINK("https://www.philgeps.gov.ph/GEPSNONPILOT/Tender/SplashBidNoticeAbstractUI.aspx?menuIndex=3&amp;refID=7007509&amp;Result=3","7007509")</f>
        <v>0</v>
      </c>
      <c r="B8254" t="s">
        <v>2341</v>
      </c>
      <c r="C8254" t="s">
        <v>11066</v>
      </c>
      <c r="D8254" t="s">
        <v>18041</v>
      </c>
      <c r="E8254" t="s">
        <v>25356</v>
      </c>
      <c r="F8254" t="s">
        <v>31575</v>
      </c>
      <c r="G8254" t="s">
        <v>31581</v>
      </c>
      <c r="H8254" t="s">
        <v>31590</v>
      </c>
      <c r="I8254" t="s">
        <v>8258</v>
      </c>
      <c r="J8254" t="s">
        <v>31741</v>
      </c>
      <c r="K8254" t="s">
        <v>41192</v>
      </c>
      <c r="M8254" t="s">
        <v>44056</v>
      </c>
      <c r="N8254" t="s">
        <v>45095</v>
      </c>
      <c r="O8254" t="s">
        <v>45096</v>
      </c>
      <c r="P8254">
        <v>0</v>
      </c>
      <c r="Q8254">
        <v>10</v>
      </c>
      <c r="R8254" t="s">
        <v>45104</v>
      </c>
      <c r="S8254" t="s">
        <v>45304</v>
      </c>
      <c r="T8254" t="s">
        <v>47158</v>
      </c>
      <c r="U8254" t="s">
        <v>54339</v>
      </c>
      <c r="W8254" t="s">
        <v>44056</v>
      </c>
      <c r="X8254" t="s">
        <v>45122</v>
      </c>
    </row>
    <row r="8255" spans="1:24">
      <c r="A8255">
        <f>HYPERLINK("https://www.philgeps.gov.ph/GEPSNONPILOT/Tender/SplashBidNoticeAbstractUI.aspx?menuIndex=3&amp;refID=7022615&amp;Result=3","7022615")</f>
        <v>0</v>
      </c>
      <c r="B8255" t="s">
        <v>2342</v>
      </c>
      <c r="C8255" t="s">
        <v>11067</v>
      </c>
      <c r="D8255" t="s">
        <v>18077</v>
      </c>
      <c r="E8255" t="s">
        <v>25357</v>
      </c>
      <c r="F8255" t="s">
        <v>31574</v>
      </c>
      <c r="G8255" t="s">
        <v>31582</v>
      </c>
      <c r="H8255" t="s">
        <v>31590</v>
      </c>
      <c r="I8255" t="s">
        <v>3901</v>
      </c>
      <c r="J8255" t="s">
        <v>32019</v>
      </c>
      <c r="K8255" t="s">
        <v>41186</v>
      </c>
      <c r="M8255" t="s">
        <v>44057</v>
      </c>
      <c r="N8255" t="s">
        <v>45095</v>
      </c>
      <c r="O8255" t="s">
        <v>45096</v>
      </c>
      <c r="P8255">
        <v>0</v>
      </c>
      <c r="Q8255">
        <v>0</v>
      </c>
      <c r="R8255" t="s">
        <v>45104</v>
      </c>
      <c r="S8255" t="s">
        <v>45304</v>
      </c>
      <c r="T8255" t="s">
        <v>46939</v>
      </c>
      <c r="U8255" t="s">
        <v>54340</v>
      </c>
      <c r="W8255" t="s">
        <v>44057</v>
      </c>
      <c r="X8255" t="s">
        <v>45111</v>
      </c>
    </row>
    <row r="8256" spans="1:24">
      <c r="A8256">
        <f>HYPERLINK("https://www.philgeps.gov.ph/GEPSNONPILOT/Tender/SplashBidNoticeAbstractUI.aspx?menuIndex=3&amp;refID=7024014&amp;Result=3","7024014")</f>
        <v>0</v>
      </c>
      <c r="B8256" t="s">
        <v>1462</v>
      </c>
      <c r="C8256" t="s">
        <v>11068</v>
      </c>
      <c r="D8256" t="s">
        <v>18072</v>
      </c>
      <c r="E8256" t="s">
        <v>20133</v>
      </c>
      <c r="F8256" t="s">
        <v>31574</v>
      </c>
      <c r="G8256" t="s">
        <v>31582</v>
      </c>
      <c r="H8256" t="s">
        <v>31590</v>
      </c>
      <c r="I8256" t="s">
        <v>31614</v>
      </c>
      <c r="J8256" t="s">
        <v>36965</v>
      </c>
      <c r="K8256" t="s">
        <v>41186</v>
      </c>
      <c r="M8256" t="s">
        <v>43043</v>
      </c>
      <c r="N8256" t="s">
        <v>45095</v>
      </c>
      <c r="O8256" t="s">
        <v>45096</v>
      </c>
      <c r="P8256">
        <v>0</v>
      </c>
      <c r="Q8256">
        <v>0</v>
      </c>
      <c r="R8256" t="s">
        <v>45104</v>
      </c>
      <c r="S8256" t="s">
        <v>45304</v>
      </c>
      <c r="T8256" t="s">
        <v>46988</v>
      </c>
      <c r="U8256" t="s">
        <v>54341</v>
      </c>
      <c r="V8256" t="s">
        <v>60718</v>
      </c>
      <c r="W8256" t="s">
        <v>43043</v>
      </c>
      <c r="X8256" t="s">
        <v>45111</v>
      </c>
    </row>
    <row r="8257" spans="1:24">
      <c r="A8257">
        <f>HYPERLINK("https://www.philgeps.gov.ph/GEPSNONPILOT/Tender/SplashBidNoticeAbstractUI.aspx?menuIndex=3&amp;refID=7024421&amp;Result=3","7024421")</f>
        <v>0</v>
      </c>
      <c r="B8257" t="s">
        <v>46</v>
      </c>
      <c r="C8257" t="s">
        <v>11069</v>
      </c>
      <c r="E8257" t="s">
        <v>25358</v>
      </c>
      <c r="F8257" t="s">
        <v>31574</v>
      </c>
      <c r="G8257" t="s">
        <v>31582</v>
      </c>
      <c r="H8257" t="s">
        <v>31590</v>
      </c>
      <c r="I8257" t="s">
        <v>7185</v>
      </c>
      <c r="J8257" t="s">
        <v>36966</v>
      </c>
      <c r="K8257" t="s">
        <v>41184</v>
      </c>
      <c r="M8257" t="s">
        <v>41529</v>
      </c>
      <c r="N8257" t="s">
        <v>45095</v>
      </c>
      <c r="O8257" t="s">
        <v>45096</v>
      </c>
      <c r="P8257">
        <v>0</v>
      </c>
      <c r="Q8257">
        <v>10</v>
      </c>
      <c r="R8257" t="s">
        <v>45104</v>
      </c>
      <c r="S8257" t="s">
        <v>45304</v>
      </c>
      <c r="T8257" t="s">
        <v>46992</v>
      </c>
      <c r="U8257" t="s">
        <v>54342</v>
      </c>
      <c r="W8257" t="s">
        <v>41529</v>
      </c>
      <c r="X8257" t="s">
        <v>45110</v>
      </c>
    </row>
    <row r="8258" spans="1:24">
      <c r="A8258">
        <f>HYPERLINK("https://www.philgeps.gov.ph/GEPSNONPILOT/Tender/SplashBidNoticeAbstractUI.aspx?menuIndex=3&amp;refID=7024367&amp;Result=3","7024367")</f>
        <v>0</v>
      </c>
      <c r="B8258" t="s">
        <v>63</v>
      </c>
      <c r="C8258" t="s">
        <v>11070</v>
      </c>
      <c r="D8258" t="s">
        <v>18049</v>
      </c>
      <c r="E8258" t="s">
        <v>25359</v>
      </c>
      <c r="F8258" t="s">
        <v>31574</v>
      </c>
      <c r="G8258" t="s">
        <v>31582</v>
      </c>
      <c r="H8258" t="s">
        <v>31591</v>
      </c>
      <c r="I8258" t="s">
        <v>8822</v>
      </c>
      <c r="J8258" t="s">
        <v>36967</v>
      </c>
      <c r="K8258" t="s">
        <v>41191</v>
      </c>
      <c r="M8258" t="s">
        <v>41547</v>
      </c>
      <c r="N8258" t="s">
        <v>45095</v>
      </c>
      <c r="O8258" t="s">
        <v>45096</v>
      </c>
      <c r="P8258">
        <v>0</v>
      </c>
      <c r="Q8258">
        <v>0</v>
      </c>
      <c r="R8258" t="s">
        <v>45104</v>
      </c>
      <c r="S8258" t="s">
        <v>45304</v>
      </c>
      <c r="T8258" t="s">
        <v>46985</v>
      </c>
      <c r="U8258" t="s">
        <v>54343</v>
      </c>
      <c r="W8258" t="s">
        <v>41547</v>
      </c>
      <c r="X8258" t="s">
        <v>45110</v>
      </c>
    </row>
    <row r="8259" spans="1:24">
      <c r="A8259">
        <f>HYPERLINK("https://www.philgeps.gov.ph/GEPSNONPILOT/Tender/SplashBidNoticeAbstractUI.aspx?menuIndex=3&amp;refID=7023981&amp;Result=3","7023981")</f>
        <v>0</v>
      </c>
      <c r="B8259" t="s">
        <v>1462</v>
      </c>
      <c r="C8259" t="s">
        <v>11071</v>
      </c>
      <c r="D8259" t="s">
        <v>18079</v>
      </c>
      <c r="E8259" t="s">
        <v>22388</v>
      </c>
      <c r="F8259" t="s">
        <v>31574</v>
      </c>
      <c r="G8259" t="s">
        <v>31582</v>
      </c>
      <c r="H8259" t="s">
        <v>31590</v>
      </c>
      <c r="I8259" t="s">
        <v>31614</v>
      </c>
      <c r="J8259" t="s">
        <v>36968</v>
      </c>
      <c r="K8259" t="s">
        <v>41186</v>
      </c>
      <c r="M8259" t="s">
        <v>43043</v>
      </c>
      <c r="N8259" t="s">
        <v>45095</v>
      </c>
      <c r="O8259" t="s">
        <v>45096</v>
      </c>
      <c r="P8259">
        <v>0</v>
      </c>
      <c r="Q8259">
        <v>0</v>
      </c>
      <c r="R8259" t="s">
        <v>45104</v>
      </c>
      <c r="S8259" t="s">
        <v>45304</v>
      </c>
      <c r="T8259" t="s">
        <v>46988</v>
      </c>
      <c r="U8259" t="s">
        <v>54344</v>
      </c>
      <c r="V8259" t="s">
        <v>60718</v>
      </c>
      <c r="W8259" t="s">
        <v>43043</v>
      </c>
      <c r="X8259" t="s">
        <v>45111</v>
      </c>
    </row>
    <row r="8260" spans="1:24">
      <c r="A8260">
        <f>HYPERLINK("https://www.philgeps.gov.ph/GEPSNONPILOT/Tender/SplashBidNoticeAbstractUI.aspx?menuIndex=3&amp;refID=7024007&amp;Result=3","7024007")</f>
        <v>0</v>
      </c>
      <c r="B8260" t="s">
        <v>1462</v>
      </c>
      <c r="C8260" t="s">
        <v>11072</v>
      </c>
      <c r="D8260" t="s">
        <v>18072</v>
      </c>
      <c r="E8260" t="s">
        <v>20115</v>
      </c>
      <c r="F8260" t="s">
        <v>31574</v>
      </c>
      <c r="G8260" t="s">
        <v>31582</v>
      </c>
      <c r="H8260" t="s">
        <v>31590</v>
      </c>
      <c r="I8260" t="s">
        <v>31614</v>
      </c>
      <c r="J8260" t="s">
        <v>36969</v>
      </c>
      <c r="K8260" t="s">
        <v>41186</v>
      </c>
      <c r="M8260" t="s">
        <v>43043</v>
      </c>
      <c r="N8260" t="s">
        <v>45095</v>
      </c>
      <c r="O8260" t="s">
        <v>45096</v>
      </c>
      <c r="P8260">
        <v>0</v>
      </c>
      <c r="Q8260">
        <v>1</v>
      </c>
      <c r="R8260" t="s">
        <v>45104</v>
      </c>
      <c r="S8260" t="s">
        <v>45304</v>
      </c>
      <c r="T8260" t="s">
        <v>46988</v>
      </c>
      <c r="U8260" t="s">
        <v>54345</v>
      </c>
      <c r="V8260" t="s">
        <v>60718</v>
      </c>
      <c r="W8260" t="s">
        <v>43043</v>
      </c>
      <c r="X8260" t="s">
        <v>45111</v>
      </c>
    </row>
    <row r="8261" spans="1:24">
      <c r="A8261">
        <f>HYPERLINK("https://www.philgeps.gov.ph/GEPSNONPILOT/Tender/SplashBidNoticeAbstractUI.aspx?menuIndex=3&amp;refID=7022287&amp;Result=3","7022287")</f>
        <v>0</v>
      </c>
      <c r="B8261" t="s">
        <v>2343</v>
      </c>
      <c r="C8261" t="s">
        <v>4999</v>
      </c>
      <c r="D8261" t="s">
        <v>18027</v>
      </c>
      <c r="E8261" t="s">
        <v>19831</v>
      </c>
      <c r="F8261" t="s">
        <v>31574</v>
      </c>
      <c r="G8261" t="s">
        <v>31582</v>
      </c>
      <c r="H8261" t="s">
        <v>31590</v>
      </c>
      <c r="I8261" t="s">
        <v>3487</v>
      </c>
      <c r="J8261" t="s">
        <v>31727</v>
      </c>
      <c r="K8261" t="s">
        <v>41184</v>
      </c>
      <c r="M8261" t="s">
        <v>44058</v>
      </c>
      <c r="N8261" t="s">
        <v>45095</v>
      </c>
      <c r="O8261" t="s">
        <v>45096</v>
      </c>
      <c r="P8261">
        <v>0</v>
      </c>
      <c r="Q8261">
        <v>0</v>
      </c>
      <c r="R8261" t="s">
        <v>45104</v>
      </c>
      <c r="S8261" t="s">
        <v>45304</v>
      </c>
      <c r="T8261" t="s">
        <v>47183</v>
      </c>
      <c r="U8261" t="s">
        <v>54346</v>
      </c>
      <c r="W8261" t="s">
        <v>44058</v>
      </c>
      <c r="X8261" t="s">
        <v>45111</v>
      </c>
    </row>
    <row r="8262" spans="1:24">
      <c r="A8262">
        <f>HYPERLINK("https://www.philgeps.gov.ph/GEPSNONPILOT/Tender/SplashBidNoticeAbstractUI.aspx?menuIndex=3&amp;refID=7024470&amp;Result=3","7024470")</f>
        <v>0</v>
      </c>
      <c r="B8262" t="s">
        <v>46</v>
      </c>
      <c r="C8262" t="s">
        <v>11073</v>
      </c>
      <c r="E8262" t="s">
        <v>25360</v>
      </c>
      <c r="F8262" t="s">
        <v>31574</v>
      </c>
      <c r="G8262" t="s">
        <v>31582</v>
      </c>
      <c r="H8262" t="s">
        <v>31590</v>
      </c>
      <c r="I8262" t="s">
        <v>7185</v>
      </c>
      <c r="J8262" t="s">
        <v>36970</v>
      </c>
      <c r="K8262" t="s">
        <v>41184</v>
      </c>
      <c r="M8262" t="s">
        <v>41529</v>
      </c>
      <c r="N8262" t="s">
        <v>45095</v>
      </c>
      <c r="O8262" t="s">
        <v>45096</v>
      </c>
      <c r="P8262">
        <v>0</v>
      </c>
      <c r="Q8262">
        <v>1</v>
      </c>
      <c r="R8262" t="s">
        <v>45104</v>
      </c>
      <c r="S8262" t="s">
        <v>45304</v>
      </c>
      <c r="T8262" t="s">
        <v>46992</v>
      </c>
      <c r="U8262" t="s">
        <v>54347</v>
      </c>
      <c r="W8262" t="s">
        <v>41529</v>
      </c>
      <c r="X8262" t="s">
        <v>45110</v>
      </c>
    </row>
    <row r="8263" spans="1:24">
      <c r="A8263">
        <f>HYPERLINK("https://www.philgeps.gov.ph/GEPSNONPILOT/Tender/SplashBidNoticeAbstractUI.aspx?menuIndex=3&amp;refID=7024826&amp;Result=3","7024826")</f>
        <v>0</v>
      </c>
      <c r="B8263" t="s">
        <v>1650</v>
      </c>
      <c r="C8263" t="s">
        <v>11074</v>
      </c>
      <c r="D8263" t="s">
        <v>18046</v>
      </c>
      <c r="E8263" t="s">
        <v>25361</v>
      </c>
      <c r="F8263" t="s">
        <v>31574</v>
      </c>
      <c r="G8263" t="s">
        <v>31582</v>
      </c>
      <c r="H8263" t="s">
        <v>31590</v>
      </c>
      <c r="I8263" t="s">
        <v>31602</v>
      </c>
      <c r="J8263" t="s">
        <v>33937</v>
      </c>
      <c r="K8263" t="s">
        <v>41186</v>
      </c>
      <c r="M8263" t="s">
        <v>43261</v>
      </c>
      <c r="N8263" t="s">
        <v>45095</v>
      </c>
      <c r="O8263" t="s">
        <v>45096</v>
      </c>
      <c r="P8263">
        <v>0</v>
      </c>
      <c r="Q8263">
        <v>0</v>
      </c>
      <c r="R8263" t="s">
        <v>45104</v>
      </c>
      <c r="S8263" t="s">
        <v>45304</v>
      </c>
      <c r="T8263" t="s">
        <v>46956</v>
      </c>
      <c r="U8263" t="s">
        <v>54348</v>
      </c>
      <c r="W8263" t="s">
        <v>43261</v>
      </c>
      <c r="X8263" t="s">
        <v>45110</v>
      </c>
    </row>
    <row r="8264" spans="1:24">
      <c r="A8264">
        <f>HYPERLINK("https://www.philgeps.gov.ph/GEPSNONPILOT/Tender/SplashBidNoticeAbstractUI.aspx?menuIndex=3&amp;refID=7024777&amp;Result=3","7024777")</f>
        <v>0</v>
      </c>
      <c r="B8264" t="s">
        <v>31</v>
      </c>
      <c r="C8264" t="s">
        <v>11075</v>
      </c>
      <c r="E8264" t="s">
        <v>25362</v>
      </c>
      <c r="F8264" t="s">
        <v>31574</v>
      </c>
      <c r="G8264" t="s">
        <v>31581</v>
      </c>
      <c r="H8264" t="s">
        <v>31590</v>
      </c>
      <c r="I8264" t="s">
        <v>31629</v>
      </c>
      <c r="J8264" t="s">
        <v>36971</v>
      </c>
      <c r="K8264" t="s">
        <v>41193</v>
      </c>
      <c r="M8264" t="s">
        <v>41535</v>
      </c>
      <c r="N8264" t="s">
        <v>45095</v>
      </c>
      <c r="O8264" t="s">
        <v>45096</v>
      </c>
      <c r="P8264">
        <v>0</v>
      </c>
      <c r="Q8264">
        <v>1</v>
      </c>
      <c r="R8264" t="s">
        <v>45104</v>
      </c>
      <c r="S8264" t="s">
        <v>45304</v>
      </c>
      <c r="T8264" t="s">
        <v>47183</v>
      </c>
      <c r="U8264" t="s">
        <v>47509</v>
      </c>
      <c r="W8264" t="s">
        <v>41535</v>
      </c>
      <c r="X8264" t="s">
        <v>45110</v>
      </c>
    </row>
    <row r="8265" spans="1:24">
      <c r="A8265">
        <f>HYPERLINK("https://www.philgeps.gov.ph/GEPSNONPILOT/Tender/SplashBidNoticeAbstractUI.aspx?menuIndex=3&amp;refID=7024745&amp;Result=3","7024745")</f>
        <v>0</v>
      </c>
      <c r="B8265" t="s">
        <v>1650</v>
      </c>
      <c r="C8265" t="s">
        <v>11076</v>
      </c>
      <c r="D8265" t="s">
        <v>18046</v>
      </c>
      <c r="E8265" t="s">
        <v>25363</v>
      </c>
      <c r="F8265" t="s">
        <v>31574</v>
      </c>
      <c r="G8265" t="s">
        <v>31582</v>
      </c>
      <c r="H8265" t="s">
        <v>31590</v>
      </c>
      <c r="I8265" t="s">
        <v>31600</v>
      </c>
      <c r="J8265" t="s">
        <v>36972</v>
      </c>
      <c r="K8265" t="s">
        <v>41186</v>
      </c>
      <c r="M8265" t="s">
        <v>43261</v>
      </c>
      <c r="N8265" t="s">
        <v>45095</v>
      </c>
      <c r="O8265" t="s">
        <v>45096</v>
      </c>
      <c r="P8265">
        <v>0</v>
      </c>
      <c r="Q8265">
        <v>0</v>
      </c>
      <c r="R8265" t="s">
        <v>45104</v>
      </c>
      <c r="S8265" t="s">
        <v>45304</v>
      </c>
      <c r="T8265" t="s">
        <v>47183</v>
      </c>
      <c r="U8265" t="s">
        <v>54349</v>
      </c>
      <c r="W8265" t="s">
        <v>43261</v>
      </c>
      <c r="X8265" t="s">
        <v>45110</v>
      </c>
    </row>
    <row r="8266" spans="1:24">
      <c r="A8266">
        <f>HYPERLINK("https://www.philgeps.gov.ph/GEPSNONPILOT/Tender/SplashBidNoticeAbstractUI.aspx?menuIndex=3&amp;refID=7025177&amp;Result=3","7025177")</f>
        <v>0</v>
      </c>
      <c r="B8266" t="s">
        <v>63</v>
      </c>
      <c r="C8266" t="s">
        <v>11077</v>
      </c>
      <c r="D8266" t="s">
        <v>18049</v>
      </c>
      <c r="E8266" t="s">
        <v>25364</v>
      </c>
      <c r="F8266" t="s">
        <v>31574</v>
      </c>
      <c r="G8266" t="s">
        <v>31582</v>
      </c>
      <c r="H8266" t="s">
        <v>31590</v>
      </c>
      <c r="I8266" t="s">
        <v>4046</v>
      </c>
      <c r="J8266" t="s">
        <v>36973</v>
      </c>
      <c r="K8266" t="s">
        <v>41196</v>
      </c>
      <c r="M8266" t="s">
        <v>41547</v>
      </c>
      <c r="N8266" t="s">
        <v>45095</v>
      </c>
      <c r="O8266" t="s">
        <v>45096</v>
      </c>
      <c r="P8266">
        <v>0</v>
      </c>
      <c r="Q8266">
        <v>0</v>
      </c>
      <c r="R8266" t="s">
        <v>45104</v>
      </c>
      <c r="S8266" t="s">
        <v>45304</v>
      </c>
      <c r="T8266" t="s">
        <v>46985</v>
      </c>
      <c r="U8266" t="s">
        <v>54350</v>
      </c>
      <c r="W8266" t="s">
        <v>41547</v>
      </c>
      <c r="X8266" t="s">
        <v>45110</v>
      </c>
    </row>
    <row r="8267" spans="1:24">
      <c r="A8267">
        <f>HYPERLINK("https://www.philgeps.gov.ph/GEPSNONPILOT/Tender/SplashBidNoticeAbstractUI.aspx?menuIndex=3&amp;refID=7024533&amp;Result=3","7024533")</f>
        <v>0</v>
      </c>
      <c r="B8267" t="s">
        <v>1650</v>
      </c>
      <c r="C8267" t="s">
        <v>11078</v>
      </c>
      <c r="D8267" t="s">
        <v>18046</v>
      </c>
      <c r="E8267" t="s">
        <v>25365</v>
      </c>
      <c r="F8267" t="s">
        <v>31574</v>
      </c>
      <c r="G8267" t="s">
        <v>31582</v>
      </c>
      <c r="H8267" t="s">
        <v>31590</v>
      </c>
      <c r="I8267" t="s">
        <v>4046</v>
      </c>
      <c r="J8267" t="s">
        <v>36974</v>
      </c>
      <c r="K8267" t="s">
        <v>41186</v>
      </c>
      <c r="M8267" t="s">
        <v>43261</v>
      </c>
      <c r="N8267" t="s">
        <v>45095</v>
      </c>
      <c r="O8267" t="s">
        <v>45096</v>
      </c>
      <c r="P8267">
        <v>0</v>
      </c>
      <c r="Q8267">
        <v>1</v>
      </c>
      <c r="R8267" t="s">
        <v>45104</v>
      </c>
      <c r="S8267" t="s">
        <v>45304</v>
      </c>
      <c r="T8267" t="s">
        <v>47183</v>
      </c>
      <c r="U8267" t="s">
        <v>54351</v>
      </c>
      <c r="W8267" t="s">
        <v>43261</v>
      </c>
      <c r="X8267" t="s">
        <v>45110</v>
      </c>
    </row>
    <row r="8268" spans="1:24">
      <c r="A8268">
        <f>HYPERLINK("https://www.philgeps.gov.ph/GEPSNONPILOT/Tender/SplashBidNoticeAbstractUI.aspx?menuIndex=3&amp;refID=7024755&amp;Result=3","7024755")</f>
        <v>0</v>
      </c>
      <c r="B8268" t="s">
        <v>846</v>
      </c>
      <c r="C8268" t="s">
        <v>11079</v>
      </c>
      <c r="D8268" t="s">
        <v>18099</v>
      </c>
      <c r="E8268" t="s">
        <v>25366</v>
      </c>
      <c r="F8268" t="s">
        <v>31574</v>
      </c>
      <c r="G8268" t="s">
        <v>31582</v>
      </c>
      <c r="H8268" t="s">
        <v>31590</v>
      </c>
      <c r="I8268" t="s">
        <v>7185</v>
      </c>
      <c r="J8268" t="s">
        <v>36975</v>
      </c>
      <c r="K8268" t="s">
        <v>41213</v>
      </c>
      <c r="M8268" t="s">
        <v>42365</v>
      </c>
      <c r="N8268" t="s">
        <v>45095</v>
      </c>
      <c r="O8268" t="s">
        <v>45096</v>
      </c>
      <c r="P8268">
        <v>0</v>
      </c>
      <c r="Q8268">
        <v>5</v>
      </c>
      <c r="R8268" t="s">
        <v>45104</v>
      </c>
      <c r="S8268" t="s">
        <v>45304</v>
      </c>
      <c r="T8268" t="s">
        <v>47154</v>
      </c>
      <c r="U8268" t="s">
        <v>49292</v>
      </c>
      <c r="V8268" t="s">
        <v>60057</v>
      </c>
      <c r="W8268" t="s">
        <v>42365</v>
      </c>
      <c r="X8268" t="s">
        <v>45110</v>
      </c>
    </row>
    <row r="8269" spans="1:24">
      <c r="A8269">
        <f>HYPERLINK("https://www.philgeps.gov.ph/GEPSNONPILOT/Tender/SplashBidNoticeAbstractUI.aspx?menuIndex=3&amp;refID=7025369&amp;Result=3","7025369")</f>
        <v>0</v>
      </c>
      <c r="B8269" t="s">
        <v>970</v>
      </c>
      <c r="C8269" t="s">
        <v>11080</v>
      </c>
      <c r="D8269" t="s">
        <v>18079</v>
      </c>
      <c r="E8269" t="s">
        <v>25367</v>
      </c>
      <c r="F8269" t="s">
        <v>31574</v>
      </c>
      <c r="G8269" t="s">
        <v>31582</v>
      </c>
      <c r="H8269" t="s">
        <v>31591</v>
      </c>
      <c r="I8269" t="s">
        <v>8822</v>
      </c>
      <c r="J8269" t="s">
        <v>36976</v>
      </c>
      <c r="K8269" t="s">
        <v>41366</v>
      </c>
      <c r="M8269" t="s">
        <v>42499</v>
      </c>
      <c r="N8269" t="s">
        <v>45095</v>
      </c>
      <c r="O8269" t="s">
        <v>45096</v>
      </c>
      <c r="P8269">
        <v>0</v>
      </c>
      <c r="Q8269">
        <v>1</v>
      </c>
      <c r="R8269" t="s">
        <v>45104</v>
      </c>
      <c r="S8269" t="s">
        <v>45304</v>
      </c>
      <c r="T8269" t="s">
        <v>47100</v>
      </c>
      <c r="U8269" t="s">
        <v>54352</v>
      </c>
      <c r="W8269" t="s">
        <v>42499</v>
      </c>
      <c r="X8269" t="s">
        <v>45110</v>
      </c>
    </row>
    <row r="8270" spans="1:24">
      <c r="A8270">
        <f>HYPERLINK("https://www.philgeps.gov.ph/GEPSNONPILOT/Tender/SplashBidNoticeAbstractUI.aspx?menuIndex=3&amp;refID=7025992&amp;Result=3","7025992")</f>
        <v>0</v>
      </c>
      <c r="B8270" t="s">
        <v>530</v>
      </c>
      <c r="C8270" t="s">
        <v>11081</v>
      </c>
      <c r="D8270" t="s">
        <v>18071</v>
      </c>
      <c r="E8270" t="s">
        <v>25368</v>
      </c>
      <c r="F8270" t="s">
        <v>31574</v>
      </c>
      <c r="G8270" t="s">
        <v>31582</v>
      </c>
      <c r="H8270" t="s">
        <v>31590</v>
      </c>
      <c r="I8270" t="s">
        <v>31602</v>
      </c>
      <c r="J8270" t="s">
        <v>36977</v>
      </c>
      <c r="K8270" t="s">
        <v>41184</v>
      </c>
      <c r="M8270" t="s">
        <v>42027</v>
      </c>
      <c r="N8270" t="s">
        <v>45095</v>
      </c>
      <c r="O8270" t="s">
        <v>45096</v>
      </c>
      <c r="P8270">
        <v>0</v>
      </c>
      <c r="Q8270">
        <v>0</v>
      </c>
      <c r="R8270" t="s">
        <v>45104</v>
      </c>
      <c r="S8270" t="s">
        <v>45304</v>
      </c>
      <c r="T8270" t="s">
        <v>47176</v>
      </c>
      <c r="U8270" t="s">
        <v>54353</v>
      </c>
      <c r="W8270" t="s">
        <v>42027</v>
      </c>
      <c r="X8270" t="s">
        <v>45110</v>
      </c>
    </row>
    <row r="8271" spans="1:24">
      <c r="A8271">
        <f>HYPERLINK("https://www.philgeps.gov.ph/GEPSNONPILOT/Tender/SplashBidNoticeAbstractUI.aspx?menuIndex=3&amp;refID=7025586&amp;Result=3","7025586")</f>
        <v>0</v>
      </c>
      <c r="B8271" t="s">
        <v>2344</v>
      </c>
      <c r="C8271" t="s">
        <v>11082</v>
      </c>
      <c r="D8271" t="s">
        <v>18057</v>
      </c>
      <c r="E8271" t="s">
        <v>25369</v>
      </c>
      <c r="F8271" t="s">
        <v>31574</v>
      </c>
      <c r="G8271" t="s">
        <v>31582</v>
      </c>
      <c r="H8271" t="s">
        <v>31590</v>
      </c>
      <c r="I8271" t="s">
        <v>31615</v>
      </c>
      <c r="J8271" t="s">
        <v>34952</v>
      </c>
      <c r="K8271" t="s">
        <v>41186</v>
      </c>
      <c r="M8271" t="s">
        <v>44059</v>
      </c>
      <c r="N8271" t="s">
        <v>45095</v>
      </c>
      <c r="O8271" t="s">
        <v>45096</v>
      </c>
      <c r="P8271">
        <v>0</v>
      </c>
      <c r="Q8271">
        <v>11</v>
      </c>
      <c r="R8271" t="s">
        <v>45104</v>
      </c>
      <c r="S8271" t="s">
        <v>45304</v>
      </c>
      <c r="T8271" t="s">
        <v>46939</v>
      </c>
      <c r="U8271" t="s">
        <v>54354</v>
      </c>
      <c r="W8271" t="s">
        <v>44059</v>
      </c>
      <c r="X8271" t="s">
        <v>45110</v>
      </c>
    </row>
    <row r="8272" spans="1:24">
      <c r="A8272">
        <f>HYPERLINK("https://www.philgeps.gov.ph/GEPSNONPILOT/Tender/SplashBidNoticeAbstractUI.aspx?menuIndex=3&amp;refID=7026121&amp;Result=3","7026121")</f>
        <v>0</v>
      </c>
      <c r="B8272" t="s">
        <v>530</v>
      </c>
      <c r="C8272" t="s">
        <v>11083</v>
      </c>
      <c r="D8272" t="s">
        <v>18071</v>
      </c>
      <c r="E8272" t="s">
        <v>11083</v>
      </c>
      <c r="F8272" t="s">
        <v>31574</v>
      </c>
      <c r="G8272" t="s">
        <v>31582</v>
      </c>
      <c r="H8272" t="s">
        <v>31590</v>
      </c>
      <c r="I8272" t="s">
        <v>31608</v>
      </c>
      <c r="J8272" t="s">
        <v>36978</v>
      </c>
      <c r="K8272" t="s">
        <v>41186</v>
      </c>
      <c r="M8272" t="s">
        <v>42027</v>
      </c>
      <c r="N8272" t="s">
        <v>45095</v>
      </c>
      <c r="O8272" t="s">
        <v>45096</v>
      </c>
      <c r="P8272">
        <v>0</v>
      </c>
      <c r="Q8272">
        <v>6</v>
      </c>
      <c r="R8272" t="s">
        <v>45104</v>
      </c>
      <c r="S8272" t="s">
        <v>45304</v>
      </c>
      <c r="T8272" t="s">
        <v>47176</v>
      </c>
      <c r="U8272" t="s">
        <v>54355</v>
      </c>
      <c r="W8272" t="s">
        <v>42027</v>
      </c>
      <c r="X8272" t="s">
        <v>45110</v>
      </c>
    </row>
    <row r="8273" spans="1:24">
      <c r="A8273">
        <f>HYPERLINK("https://www.philgeps.gov.ph/GEPSNONPILOT/Tender/SplashBidNoticeAbstractUI.aspx?menuIndex=3&amp;refID=7024499&amp;Result=3","7024499")</f>
        <v>0</v>
      </c>
      <c r="B8273" t="s">
        <v>1650</v>
      </c>
      <c r="C8273" t="s">
        <v>11084</v>
      </c>
      <c r="D8273" t="s">
        <v>18046</v>
      </c>
      <c r="E8273" t="s">
        <v>25370</v>
      </c>
      <c r="F8273" t="s">
        <v>31574</v>
      </c>
      <c r="G8273" t="s">
        <v>31582</v>
      </c>
      <c r="H8273" t="s">
        <v>31590</v>
      </c>
      <c r="I8273" t="s">
        <v>4046</v>
      </c>
      <c r="J8273" t="s">
        <v>36979</v>
      </c>
      <c r="K8273" t="s">
        <v>41186</v>
      </c>
      <c r="M8273" t="s">
        <v>43261</v>
      </c>
      <c r="N8273" t="s">
        <v>45095</v>
      </c>
      <c r="O8273" t="s">
        <v>45096</v>
      </c>
      <c r="P8273">
        <v>0</v>
      </c>
      <c r="Q8273">
        <v>0</v>
      </c>
      <c r="R8273" t="s">
        <v>45104</v>
      </c>
      <c r="S8273" t="s">
        <v>45304</v>
      </c>
      <c r="T8273" t="s">
        <v>47183</v>
      </c>
      <c r="U8273" t="s">
        <v>54356</v>
      </c>
      <c r="W8273" t="s">
        <v>43261</v>
      </c>
      <c r="X8273" t="s">
        <v>45110</v>
      </c>
    </row>
    <row r="8274" spans="1:24">
      <c r="A8274">
        <f>HYPERLINK("https://www.philgeps.gov.ph/GEPSNONPILOT/Tender/SplashBidNoticeAbstractUI.aspx?menuIndex=3&amp;refID=7024800&amp;Result=3","7024800")</f>
        <v>0</v>
      </c>
      <c r="B8274" t="s">
        <v>1650</v>
      </c>
      <c r="C8274" t="s">
        <v>11085</v>
      </c>
      <c r="D8274" t="s">
        <v>18046</v>
      </c>
      <c r="E8274" t="s">
        <v>25371</v>
      </c>
      <c r="F8274" t="s">
        <v>31574</v>
      </c>
      <c r="G8274" t="s">
        <v>31582</v>
      </c>
      <c r="H8274" t="s">
        <v>31590</v>
      </c>
      <c r="I8274" t="s">
        <v>31599</v>
      </c>
      <c r="J8274" t="s">
        <v>36980</v>
      </c>
      <c r="K8274" t="s">
        <v>41186</v>
      </c>
      <c r="M8274" t="s">
        <v>43261</v>
      </c>
      <c r="N8274" t="s">
        <v>45095</v>
      </c>
      <c r="O8274" t="s">
        <v>45096</v>
      </c>
      <c r="P8274">
        <v>0</v>
      </c>
      <c r="Q8274">
        <v>1</v>
      </c>
      <c r="R8274" t="s">
        <v>45104</v>
      </c>
      <c r="S8274" t="s">
        <v>45304</v>
      </c>
      <c r="T8274" t="s">
        <v>47183</v>
      </c>
      <c r="U8274" t="s">
        <v>54357</v>
      </c>
      <c r="W8274" t="s">
        <v>43261</v>
      </c>
      <c r="X8274" t="s">
        <v>45110</v>
      </c>
    </row>
    <row r="8275" spans="1:24">
      <c r="A8275">
        <f>HYPERLINK("https://www.philgeps.gov.ph/GEPSNONPILOT/Tender/SplashBidNoticeAbstractUI.aspx?menuIndex=3&amp;refID=7026028&amp;Result=3","7026028")</f>
        <v>0</v>
      </c>
      <c r="B8275" t="s">
        <v>46</v>
      </c>
      <c r="C8275" t="s">
        <v>11086</v>
      </c>
      <c r="E8275" t="s">
        <v>25372</v>
      </c>
      <c r="F8275" t="s">
        <v>31574</v>
      </c>
      <c r="G8275" t="s">
        <v>31582</v>
      </c>
      <c r="H8275" t="s">
        <v>31590</v>
      </c>
      <c r="I8275" t="s">
        <v>7185</v>
      </c>
      <c r="J8275" t="s">
        <v>36981</v>
      </c>
      <c r="K8275" t="s">
        <v>41184</v>
      </c>
      <c r="M8275" t="s">
        <v>41529</v>
      </c>
      <c r="N8275" t="s">
        <v>45095</v>
      </c>
      <c r="O8275" t="s">
        <v>45096</v>
      </c>
      <c r="P8275">
        <v>0</v>
      </c>
      <c r="Q8275">
        <v>0</v>
      </c>
      <c r="R8275" t="s">
        <v>45104</v>
      </c>
      <c r="S8275" t="s">
        <v>45304</v>
      </c>
      <c r="T8275" t="s">
        <v>46992</v>
      </c>
      <c r="U8275" t="s">
        <v>54358</v>
      </c>
      <c r="W8275" t="s">
        <v>41529</v>
      </c>
      <c r="X8275" t="s">
        <v>45110</v>
      </c>
    </row>
    <row r="8276" spans="1:24">
      <c r="A8276">
        <f>HYPERLINK("https://www.philgeps.gov.ph/GEPSNONPILOT/Tender/SplashBidNoticeAbstractUI.aspx?menuIndex=3&amp;refID=7026101&amp;Result=3","7026101")</f>
        <v>0</v>
      </c>
      <c r="B8276" t="s">
        <v>530</v>
      </c>
      <c r="C8276" t="s">
        <v>11087</v>
      </c>
      <c r="D8276" t="s">
        <v>18071</v>
      </c>
      <c r="E8276" t="s">
        <v>11087</v>
      </c>
      <c r="F8276" t="s">
        <v>31574</v>
      </c>
      <c r="G8276" t="s">
        <v>31582</v>
      </c>
      <c r="H8276" t="s">
        <v>31590</v>
      </c>
      <c r="I8276" t="s">
        <v>3487</v>
      </c>
      <c r="J8276" t="s">
        <v>32621</v>
      </c>
      <c r="K8276" t="s">
        <v>41186</v>
      </c>
      <c r="M8276" t="s">
        <v>42027</v>
      </c>
      <c r="N8276" t="s">
        <v>45095</v>
      </c>
      <c r="O8276" t="s">
        <v>45096</v>
      </c>
      <c r="P8276">
        <v>0</v>
      </c>
      <c r="Q8276">
        <v>0</v>
      </c>
      <c r="R8276" t="s">
        <v>45104</v>
      </c>
      <c r="S8276" t="s">
        <v>45304</v>
      </c>
      <c r="T8276" t="s">
        <v>47176</v>
      </c>
      <c r="U8276" t="s">
        <v>54359</v>
      </c>
      <c r="W8276" t="s">
        <v>42027</v>
      </c>
      <c r="X8276" t="s">
        <v>45110</v>
      </c>
    </row>
    <row r="8277" spans="1:24">
      <c r="A8277">
        <f>HYPERLINK("https://www.philgeps.gov.ph/GEPSNONPILOT/Tender/SplashBidNoticeAbstractUI.aspx?menuIndex=3&amp;refID=7025391&amp;Result=3","7025391")</f>
        <v>0</v>
      </c>
      <c r="B8277" t="s">
        <v>2159</v>
      </c>
      <c r="C8277" t="s">
        <v>11088</v>
      </c>
      <c r="D8277" t="s">
        <v>18035</v>
      </c>
      <c r="E8277" t="s">
        <v>25373</v>
      </c>
      <c r="F8277" t="s">
        <v>31574</v>
      </c>
      <c r="G8277" t="s">
        <v>31582</v>
      </c>
      <c r="H8277" t="s">
        <v>31591</v>
      </c>
      <c r="I8277" t="s">
        <v>8822</v>
      </c>
      <c r="J8277" t="s">
        <v>36982</v>
      </c>
      <c r="K8277" t="s">
        <v>41320</v>
      </c>
      <c r="M8277" t="s">
        <v>44060</v>
      </c>
      <c r="N8277" t="s">
        <v>45095</v>
      </c>
      <c r="O8277" t="s">
        <v>45096</v>
      </c>
      <c r="Q8277">
        <v>7</v>
      </c>
      <c r="R8277" t="s">
        <v>45104</v>
      </c>
      <c r="S8277" t="s">
        <v>45305</v>
      </c>
      <c r="T8277" t="s">
        <v>46988</v>
      </c>
      <c r="U8277" t="s">
        <v>54360</v>
      </c>
      <c r="V8277" t="s">
        <v>49354</v>
      </c>
      <c r="W8277" t="s">
        <v>44060</v>
      </c>
      <c r="X8277" t="s">
        <v>45110</v>
      </c>
    </row>
    <row r="8278" spans="1:24">
      <c r="A8278">
        <f>HYPERLINK("https://www.philgeps.gov.ph/GEPSNONPILOT/Tender/SplashBidNoticeAbstractUI.aspx?menuIndex=3&amp;refID=7026133&amp;Result=3","7026133")</f>
        <v>0</v>
      </c>
      <c r="B8278" t="s">
        <v>530</v>
      </c>
      <c r="C8278" t="s">
        <v>11089</v>
      </c>
      <c r="D8278" t="s">
        <v>18071</v>
      </c>
      <c r="E8278" t="s">
        <v>11089</v>
      </c>
      <c r="F8278" t="s">
        <v>31574</v>
      </c>
      <c r="G8278" t="s">
        <v>31582</v>
      </c>
      <c r="H8278" t="s">
        <v>31590</v>
      </c>
      <c r="I8278" t="s">
        <v>31652</v>
      </c>
      <c r="J8278" t="s">
        <v>36983</v>
      </c>
      <c r="K8278" t="s">
        <v>41186</v>
      </c>
      <c r="M8278" t="s">
        <v>42027</v>
      </c>
      <c r="N8278" t="s">
        <v>45095</v>
      </c>
      <c r="O8278" t="s">
        <v>45096</v>
      </c>
      <c r="P8278">
        <v>0</v>
      </c>
      <c r="Q8278">
        <v>0</v>
      </c>
      <c r="R8278" t="s">
        <v>45104</v>
      </c>
      <c r="S8278" t="s">
        <v>45304</v>
      </c>
      <c r="T8278" t="s">
        <v>47176</v>
      </c>
      <c r="U8278" t="s">
        <v>54361</v>
      </c>
      <c r="W8278" t="s">
        <v>42027</v>
      </c>
      <c r="X8278" t="s">
        <v>45110</v>
      </c>
    </row>
    <row r="8279" spans="1:24">
      <c r="A8279">
        <f>HYPERLINK("https://www.philgeps.gov.ph/GEPSNONPILOT/Tender/SplashBidNoticeAbstractUI.aspx?menuIndex=3&amp;refID=7026044&amp;Result=3","7026044")</f>
        <v>0</v>
      </c>
      <c r="B8279" t="s">
        <v>530</v>
      </c>
      <c r="C8279" t="s">
        <v>11090</v>
      </c>
      <c r="D8279" t="s">
        <v>18071</v>
      </c>
      <c r="E8279" t="s">
        <v>25374</v>
      </c>
      <c r="F8279" t="s">
        <v>31574</v>
      </c>
      <c r="G8279" t="s">
        <v>31582</v>
      </c>
      <c r="H8279" t="s">
        <v>31590</v>
      </c>
      <c r="I8279" t="s">
        <v>31608</v>
      </c>
      <c r="J8279" t="s">
        <v>36984</v>
      </c>
      <c r="K8279" t="s">
        <v>41186</v>
      </c>
      <c r="M8279" t="s">
        <v>42027</v>
      </c>
      <c r="N8279" t="s">
        <v>45095</v>
      </c>
      <c r="O8279" t="s">
        <v>45096</v>
      </c>
      <c r="P8279">
        <v>0</v>
      </c>
      <c r="Q8279">
        <v>0</v>
      </c>
      <c r="R8279" t="s">
        <v>45104</v>
      </c>
      <c r="S8279" t="s">
        <v>45304</v>
      </c>
      <c r="T8279" t="s">
        <v>47183</v>
      </c>
      <c r="U8279" t="s">
        <v>54362</v>
      </c>
      <c r="W8279" t="s">
        <v>42027</v>
      </c>
      <c r="X8279" t="s">
        <v>45110</v>
      </c>
    </row>
    <row r="8280" spans="1:24">
      <c r="A8280">
        <f>HYPERLINK("https://www.philgeps.gov.ph/GEPSNONPILOT/Tender/SplashBidNoticeAbstractUI.aspx?menuIndex=3&amp;refID=7026012&amp;Result=3","7026012")</f>
        <v>0</v>
      </c>
      <c r="B8280" t="s">
        <v>46</v>
      </c>
      <c r="C8280" t="s">
        <v>11091</v>
      </c>
      <c r="E8280" t="s">
        <v>25375</v>
      </c>
      <c r="F8280" t="s">
        <v>31574</v>
      </c>
      <c r="G8280" t="s">
        <v>31582</v>
      </c>
      <c r="H8280" t="s">
        <v>31590</v>
      </c>
      <c r="I8280" t="s">
        <v>7185</v>
      </c>
      <c r="J8280" t="s">
        <v>36985</v>
      </c>
      <c r="K8280" t="s">
        <v>41184</v>
      </c>
      <c r="M8280" t="s">
        <v>41529</v>
      </c>
      <c r="N8280" t="s">
        <v>45095</v>
      </c>
      <c r="O8280" t="s">
        <v>45096</v>
      </c>
      <c r="P8280">
        <v>0</v>
      </c>
      <c r="Q8280">
        <v>0</v>
      </c>
      <c r="R8280" t="s">
        <v>45104</v>
      </c>
      <c r="S8280" t="s">
        <v>45304</v>
      </c>
      <c r="T8280" t="s">
        <v>46992</v>
      </c>
      <c r="U8280" t="s">
        <v>54363</v>
      </c>
      <c r="W8280" t="s">
        <v>41529</v>
      </c>
      <c r="X8280" t="s">
        <v>45110</v>
      </c>
    </row>
    <row r="8281" spans="1:24">
      <c r="A8281">
        <f>HYPERLINK("https://www.philgeps.gov.ph/GEPSNONPILOT/Tender/SplashBidNoticeAbstractUI.aspx?menuIndex=3&amp;refID=7025028&amp;Result=3","7025028")</f>
        <v>0</v>
      </c>
      <c r="B8281" t="s">
        <v>63</v>
      </c>
      <c r="C8281" t="s">
        <v>11092</v>
      </c>
      <c r="D8281" t="s">
        <v>18049</v>
      </c>
      <c r="E8281" t="s">
        <v>25376</v>
      </c>
      <c r="F8281" t="s">
        <v>31574</v>
      </c>
      <c r="G8281" t="s">
        <v>31582</v>
      </c>
      <c r="H8281" t="s">
        <v>31590</v>
      </c>
      <c r="I8281" t="s">
        <v>4046</v>
      </c>
      <c r="J8281" t="s">
        <v>36986</v>
      </c>
      <c r="K8281" t="s">
        <v>41196</v>
      </c>
      <c r="M8281" t="s">
        <v>41547</v>
      </c>
      <c r="N8281" t="s">
        <v>45095</v>
      </c>
      <c r="O8281" t="s">
        <v>45096</v>
      </c>
      <c r="P8281">
        <v>0</v>
      </c>
      <c r="Q8281">
        <v>0</v>
      </c>
      <c r="R8281" t="s">
        <v>45104</v>
      </c>
      <c r="S8281" t="s">
        <v>45304</v>
      </c>
      <c r="T8281" t="s">
        <v>46985</v>
      </c>
      <c r="U8281" t="s">
        <v>54364</v>
      </c>
      <c r="W8281" t="s">
        <v>41547</v>
      </c>
      <c r="X8281" t="s">
        <v>45110</v>
      </c>
    </row>
    <row r="8282" spans="1:24">
      <c r="A8282">
        <f>HYPERLINK("https://www.philgeps.gov.ph/GEPSNONPILOT/Tender/SplashBidNoticeAbstractUI.aspx?menuIndex=3&amp;refID=7026502&amp;Result=3","7026502")</f>
        <v>0</v>
      </c>
      <c r="B8282" t="s">
        <v>530</v>
      </c>
      <c r="C8282" t="s">
        <v>11093</v>
      </c>
      <c r="D8282" t="s">
        <v>18071</v>
      </c>
      <c r="E8282" t="s">
        <v>25377</v>
      </c>
      <c r="F8282" t="s">
        <v>31574</v>
      </c>
      <c r="G8282" t="s">
        <v>31582</v>
      </c>
      <c r="H8282" t="s">
        <v>31590</v>
      </c>
      <c r="I8282" t="s">
        <v>31619</v>
      </c>
      <c r="J8282" t="s">
        <v>33514</v>
      </c>
      <c r="K8282" t="s">
        <v>41186</v>
      </c>
      <c r="M8282" t="s">
        <v>42027</v>
      </c>
      <c r="N8282" t="s">
        <v>45095</v>
      </c>
      <c r="O8282" t="s">
        <v>45096</v>
      </c>
      <c r="P8282">
        <v>0</v>
      </c>
      <c r="Q8282">
        <v>3</v>
      </c>
      <c r="R8282" t="s">
        <v>45104</v>
      </c>
      <c r="S8282" t="s">
        <v>45304</v>
      </c>
      <c r="T8282" t="s">
        <v>47176</v>
      </c>
      <c r="U8282" t="s">
        <v>54365</v>
      </c>
      <c r="W8282" t="s">
        <v>42027</v>
      </c>
      <c r="X8282" t="s">
        <v>45110</v>
      </c>
    </row>
    <row r="8283" spans="1:24">
      <c r="A8283">
        <f>HYPERLINK("https://www.philgeps.gov.ph/GEPSNONPILOT/Tender/SplashBidNoticeAbstractUI.aspx?menuIndex=3&amp;refID=7026441&amp;Result=3","7026441")</f>
        <v>0</v>
      </c>
      <c r="B8283" t="s">
        <v>530</v>
      </c>
      <c r="C8283" t="s">
        <v>11094</v>
      </c>
      <c r="D8283" t="s">
        <v>18071</v>
      </c>
      <c r="E8283" t="s">
        <v>11094</v>
      </c>
      <c r="F8283" t="s">
        <v>31574</v>
      </c>
      <c r="G8283" t="s">
        <v>31582</v>
      </c>
      <c r="H8283" t="s">
        <v>31590</v>
      </c>
      <c r="I8283" t="s">
        <v>31662</v>
      </c>
      <c r="J8283" t="s">
        <v>36987</v>
      </c>
      <c r="K8283" t="s">
        <v>41186</v>
      </c>
      <c r="M8283" t="s">
        <v>42027</v>
      </c>
      <c r="N8283" t="s">
        <v>45095</v>
      </c>
      <c r="O8283" t="s">
        <v>45096</v>
      </c>
      <c r="P8283">
        <v>0</v>
      </c>
      <c r="Q8283">
        <v>0</v>
      </c>
      <c r="R8283" t="s">
        <v>45104</v>
      </c>
      <c r="S8283" t="s">
        <v>45304</v>
      </c>
      <c r="T8283" t="s">
        <v>47176</v>
      </c>
      <c r="U8283" t="s">
        <v>54366</v>
      </c>
      <c r="W8283" t="s">
        <v>42027</v>
      </c>
      <c r="X8283" t="s">
        <v>45110</v>
      </c>
    </row>
    <row r="8284" spans="1:24">
      <c r="A8284">
        <f>HYPERLINK("https://www.philgeps.gov.ph/GEPSNONPILOT/Tender/SplashBidNoticeAbstractUI.aspx?menuIndex=3&amp;refID=7025638&amp;Result=3","7025638")</f>
        <v>0</v>
      </c>
      <c r="B8284" t="s">
        <v>2345</v>
      </c>
      <c r="C8284" t="s">
        <v>11095</v>
      </c>
      <c r="D8284" t="s">
        <v>18060</v>
      </c>
      <c r="E8284" t="s">
        <v>25378</v>
      </c>
      <c r="F8284" t="s">
        <v>31574</v>
      </c>
      <c r="G8284" t="s">
        <v>31582</v>
      </c>
      <c r="H8284" t="s">
        <v>31590</v>
      </c>
      <c r="I8284" t="s">
        <v>31600</v>
      </c>
      <c r="J8284" t="s">
        <v>36988</v>
      </c>
      <c r="K8284" t="s">
        <v>41206</v>
      </c>
      <c r="M8284" t="s">
        <v>44061</v>
      </c>
      <c r="N8284" t="s">
        <v>45095</v>
      </c>
      <c r="O8284" t="s">
        <v>45096</v>
      </c>
      <c r="P8284">
        <v>0</v>
      </c>
      <c r="Q8284">
        <v>1</v>
      </c>
      <c r="R8284" t="s">
        <v>45104</v>
      </c>
      <c r="S8284" t="s">
        <v>45304</v>
      </c>
      <c r="T8284" t="s">
        <v>47000</v>
      </c>
      <c r="U8284" t="s">
        <v>54367</v>
      </c>
      <c r="W8284" t="s">
        <v>61734</v>
      </c>
      <c r="X8284" t="s">
        <v>45110</v>
      </c>
    </row>
    <row r="8285" spans="1:24">
      <c r="A8285">
        <f>HYPERLINK("https://www.philgeps.gov.ph/GEPSNONPILOT/Tender/SplashBidNoticeAbstractUI.aspx?menuIndex=3&amp;refID=7026637&amp;Result=3","7026637")</f>
        <v>0</v>
      </c>
      <c r="B8285" t="s">
        <v>2199</v>
      </c>
      <c r="C8285" t="s">
        <v>11096</v>
      </c>
      <c r="D8285" t="s">
        <v>18022</v>
      </c>
      <c r="E8285" t="s">
        <v>25379</v>
      </c>
      <c r="F8285" t="s">
        <v>31574</v>
      </c>
      <c r="G8285" t="s">
        <v>31581</v>
      </c>
      <c r="H8285" t="s">
        <v>31590</v>
      </c>
      <c r="I8285" t="s">
        <v>31659</v>
      </c>
      <c r="J8285" t="s">
        <v>31789</v>
      </c>
      <c r="K8285" t="s">
        <v>41192</v>
      </c>
      <c r="M8285" t="s">
        <v>43887</v>
      </c>
      <c r="N8285" t="s">
        <v>45095</v>
      </c>
      <c r="O8285" t="s">
        <v>45096</v>
      </c>
      <c r="P8285">
        <v>0</v>
      </c>
      <c r="Q8285">
        <v>3</v>
      </c>
      <c r="R8285" t="s">
        <v>45104</v>
      </c>
      <c r="S8285" t="s">
        <v>45304</v>
      </c>
      <c r="T8285" t="s">
        <v>46922</v>
      </c>
      <c r="U8285" t="s">
        <v>54368</v>
      </c>
      <c r="W8285" t="s">
        <v>43887</v>
      </c>
      <c r="X8285" t="s">
        <v>45110</v>
      </c>
    </row>
    <row r="8286" spans="1:24">
      <c r="A8286">
        <f>HYPERLINK("https://www.philgeps.gov.ph/GEPSNONPILOT/Tender/SplashBidNoticeAbstractUI.aspx?menuIndex=3&amp;refID=7026354&amp;Result=3","7026354")</f>
        <v>0</v>
      </c>
      <c r="B8286" t="s">
        <v>530</v>
      </c>
      <c r="C8286" t="s">
        <v>11097</v>
      </c>
      <c r="D8286" t="s">
        <v>18071</v>
      </c>
      <c r="E8286" t="s">
        <v>11097</v>
      </c>
      <c r="F8286" t="s">
        <v>31574</v>
      </c>
      <c r="G8286" t="s">
        <v>31582</v>
      </c>
      <c r="H8286" t="s">
        <v>31590</v>
      </c>
      <c r="I8286" t="s">
        <v>31694</v>
      </c>
      <c r="J8286" t="s">
        <v>36989</v>
      </c>
      <c r="K8286" t="s">
        <v>41186</v>
      </c>
      <c r="M8286" t="s">
        <v>42027</v>
      </c>
      <c r="N8286" t="s">
        <v>45095</v>
      </c>
      <c r="O8286" t="s">
        <v>45096</v>
      </c>
      <c r="Q8286">
        <v>0</v>
      </c>
      <c r="R8286" t="s">
        <v>45104</v>
      </c>
      <c r="S8286" t="s">
        <v>45306</v>
      </c>
      <c r="T8286" t="s">
        <v>46910</v>
      </c>
      <c r="U8286" t="s">
        <v>54369</v>
      </c>
      <c r="W8286" t="s">
        <v>42027</v>
      </c>
      <c r="X8286" t="s">
        <v>45110</v>
      </c>
    </row>
    <row r="8287" spans="1:24">
      <c r="A8287">
        <f>HYPERLINK("https://www.philgeps.gov.ph/GEPSNONPILOT/Tender/SplashBidNoticeAbstractUI.aspx?menuIndex=3&amp;refID=7026532&amp;Result=3","7026532")</f>
        <v>0</v>
      </c>
      <c r="B8287" t="s">
        <v>530</v>
      </c>
      <c r="C8287" t="s">
        <v>11098</v>
      </c>
      <c r="D8287" t="s">
        <v>18071</v>
      </c>
      <c r="E8287" t="s">
        <v>11098</v>
      </c>
      <c r="F8287" t="s">
        <v>31574</v>
      </c>
      <c r="G8287" t="s">
        <v>31582</v>
      </c>
      <c r="H8287" t="s">
        <v>31590</v>
      </c>
      <c r="I8287" t="s">
        <v>31619</v>
      </c>
      <c r="J8287" t="s">
        <v>36984</v>
      </c>
      <c r="K8287" t="s">
        <v>41186</v>
      </c>
      <c r="M8287" t="s">
        <v>42027</v>
      </c>
      <c r="N8287" t="s">
        <v>45095</v>
      </c>
      <c r="O8287" t="s">
        <v>45096</v>
      </c>
      <c r="P8287">
        <v>0</v>
      </c>
      <c r="Q8287">
        <v>3</v>
      </c>
      <c r="R8287" t="s">
        <v>45104</v>
      </c>
      <c r="S8287" t="s">
        <v>45304</v>
      </c>
      <c r="T8287" t="s">
        <v>47176</v>
      </c>
      <c r="U8287" t="s">
        <v>54370</v>
      </c>
      <c r="W8287" t="s">
        <v>42027</v>
      </c>
      <c r="X8287" t="s">
        <v>45110</v>
      </c>
    </row>
    <row r="8288" spans="1:24">
      <c r="A8288">
        <f>HYPERLINK("https://www.philgeps.gov.ph/GEPSNONPILOT/Tender/SplashBidNoticeAbstractUI.aspx?menuIndex=3&amp;refID=7026268&amp;Result=3","7026268")</f>
        <v>0</v>
      </c>
      <c r="B8288" t="s">
        <v>530</v>
      </c>
      <c r="C8288" t="s">
        <v>11099</v>
      </c>
      <c r="D8288" t="s">
        <v>18071</v>
      </c>
      <c r="E8288" t="s">
        <v>11099</v>
      </c>
      <c r="F8288" t="s">
        <v>31574</v>
      </c>
      <c r="G8288" t="s">
        <v>31582</v>
      </c>
      <c r="H8288" t="s">
        <v>31590</v>
      </c>
      <c r="I8288" t="s">
        <v>3539</v>
      </c>
      <c r="J8288" t="s">
        <v>36990</v>
      </c>
      <c r="K8288" t="s">
        <v>41184</v>
      </c>
      <c r="M8288" t="s">
        <v>42027</v>
      </c>
      <c r="N8288" t="s">
        <v>45095</v>
      </c>
      <c r="O8288" t="s">
        <v>45096</v>
      </c>
      <c r="P8288">
        <v>0</v>
      </c>
      <c r="Q8288">
        <v>0</v>
      </c>
      <c r="R8288" t="s">
        <v>45104</v>
      </c>
      <c r="S8288" t="s">
        <v>45304</v>
      </c>
      <c r="T8288" t="s">
        <v>47176</v>
      </c>
      <c r="U8288" t="s">
        <v>54371</v>
      </c>
      <c r="W8288" t="s">
        <v>42027</v>
      </c>
      <c r="X8288" t="s">
        <v>45110</v>
      </c>
    </row>
    <row r="8289" spans="1:24">
      <c r="A8289">
        <f>HYPERLINK("https://www.philgeps.gov.ph/GEPSNONPILOT/Tender/SplashBidNoticeAbstractUI.aspx?menuIndex=3&amp;refID=7026177&amp;Result=3","7026177")</f>
        <v>0</v>
      </c>
      <c r="B8289" t="s">
        <v>530</v>
      </c>
      <c r="C8289" t="s">
        <v>11100</v>
      </c>
      <c r="D8289" t="s">
        <v>18071</v>
      </c>
      <c r="E8289" t="s">
        <v>11100</v>
      </c>
      <c r="F8289" t="s">
        <v>31574</v>
      </c>
      <c r="G8289" t="s">
        <v>31582</v>
      </c>
      <c r="H8289" t="s">
        <v>31590</v>
      </c>
      <c r="I8289" t="s">
        <v>31603</v>
      </c>
      <c r="J8289" t="s">
        <v>33359</v>
      </c>
      <c r="K8289" t="s">
        <v>41186</v>
      </c>
      <c r="M8289" t="s">
        <v>42027</v>
      </c>
      <c r="N8289" t="s">
        <v>45095</v>
      </c>
      <c r="O8289" t="s">
        <v>45096</v>
      </c>
      <c r="Q8289">
        <v>1</v>
      </c>
      <c r="R8289" t="s">
        <v>45104</v>
      </c>
      <c r="S8289" t="s">
        <v>45307</v>
      </c>
      <c r="T8289" t="s">
        <v>46966</v>
      </c>
      <c r="U8289" t="s">
        <v>54372</v>
      </c>
      <c r="W8289" t="s">
        <v>42027</v>
      </c>
      <c r="X8289" t="s">
        <v>45110</v>
      </c>
    </row>
    <row r="8290" spans="1:24">
      <c r="A8290">
        <f>HYPERLINK("https://www.philgeps.gov.ph/GEPSNONPILOT/Tender/SplashBidNoticeAbstractUI.aspx?menuIndex=3&amp;refID=7026258&amp;Result=3","7026258")</f>
        <v>0</v>
      </c>
      <c r="B8290" t="s">
        <v>46</v>
      </c>
      <c r="C8290" t="s">
        <v>11101</v>
      </c>
      <c r="E8290" t="s">
        <v>25380</v>
      </c>
      <c r="F8290" t="s">
        <v>31574</v>
      </c>
      <c r="G8290" t="s">
        <v>31582</v>
      </c>
      <c r="H8290" t="s">
        <v>31590</v>
      </c>
      <c r="I8290" t="s">
        <v>7185</v>
      </c>
      <c r="J8290" t="s">
        <v>36991</v>
      </c>
      <c r="K8290" t="s">
        <v>41184</v>
      </c>
      <c r="M8290" t="s">
        <v>41529</v>
      </c>
      <c r="N8290" t="s">
        <v>45095</v>
      </c>
      <c r="O8290" t="s">
        <v>45096</v>
      </c>
      <c r="P8290">
        <v>0</v>
      </c>
      <c r="Q8290">
        <v>0</v>
      </c>
      <c r="R8290" t="s">
        <v>45104</v>
      </c>
      <c r="S8290" t="s">
        <v>45304</v>
      </c>
      <c r="T8290" t="s">
        <v>46992</v>
      </c>
      <c r="U8290" t="s">
        <v>54373</v>
      </c>
      <c r="W8290" t="s">
        <v>41529</v>
      </c>
      <c r="X8290" t="s">
        <v>45110</v>
      </c>
    </row>
    <row r="8291" spans="1:24">
      <c r="A8291">
        <f>HYPERLINK("https://www.philgeps.gov.ph/GEPSNONPILOT/Tender/SplashBidNoticeAbstractUI.aspx?menuIndex=3&amp;refID=7027341&amp;Result=3","7027341")</f>
        <v>0</v>
      </c>
      <c r="B8291" t="s">
        <v>2340</v>
      </c>
      <c r="C8291" t="s">
        <v>11102</v>
      </c>
      <c r="D8291" t="s">
        <v>18036</v>
      </c>
      <c r="E8291" t="s">
        <v>25381</v>
      </c>
      <c r="F8291" t="s">
        <v>31574</v>
      </c>
      <c r="G8291" t="s">
        <v>31582</v>
      </c>
      <c r="H8291" t="s">
        <v>31591</v>
      </c>
      <c r="I8291" t="s">
        <v>8822</v>
      </c>
      <c r="J8291" t="s">
        <v>36992</v>
      </c>
      <c r="K8291" t="s">
        <v>41260</v>
      </c>
      <c r="M8291" t="s">
        <v>44053</v>
      </c>
      <c r="N8291" t="s">
        <v>45095</v>
      </c>
      <c r="O8291" t="s">
        <v>45096</v>
      </c>
      <c r="P8291">
        <v>0</v>
      </c>
      <c r="Q8291">
        <v>0</v>
      </c>
      <c r="R8291" t="s">
        <v>45104</v>
      </c>
      <c r="S8291" t="s">
        <v>45304</v>
      </c>
      <c r="T8291" t="s">
        <v>47166</v>
      </c>
      <c r="U8291" t="s">
        <v>54374</v>
      </c>
      <c r="V8291" t="s">
        <v>60582</v>
      </c>
      <c r="W8291" t="s">
        <v>44053</v>
      </c>
      <c r="X8291" t="s">
        <v>45109</v>
      </c>
    </row>
    <row r="8292" spans="1:24">
      <c r="A8292">
        <f>HYPERLINK("https://www.philgeps.gov.ph/GEPSNONPILOT/Tender/SplashBidNoticeAbstractUI.aspx?menuIndex=3&amp;refID=7026307&amp;Result=3","7026307")</f>
        <v>0</v>
      </c>
      <c r="B8292" t="s">
        <v>46</v>
      </c>
      <c r="C8292" t="s">
        <v>11103</v>
      </c>
      <c r="E8292" t="s">
        <v>25382</v>
      </c>
      <c r="F8292" t="s">
        <v>31574</v>
      </c>
      <c r="G8292" t="s">
        <v>31582</v>
      </c>
      <c r="H8292" t="s">
        <v>31590</v>
      </c>
      <c r="I8292" t="s">
        <v>7185</v>
      </c>
      <c r="J8292" t="s">
        <v>36993</v>
      </c>
      <c r="K8292" t="s">
        <v>41184</v>
      </c>
      <c r="M8292" t="s">
        <v>41529</v>
      </c>
      <c r="N8292" t="s">
        <v>45095</v>
      </c>
      <c r="O8292" t="s">
        <v>45096</v>
      </c>
      <c r="P8292">
        <v>0</v>
      </c>
      <c r="Q8292">
        <v>0</v>
      </c>
      <c r="R8292" t="s">
        <v>45104</v>
      </c>
      <c r="S8292" t="s">
        <v>45304</v>
      </c>
      <c r="T8292" t="s">
        <v>46992</v>
      </c>
      <c r="U8292" t="s">
        <v>54375</v>
      </c>
      <c r="W8292" t="s">
        <v>41529</v>
      </c>
      <c r="X8292" t="s">
        <v>45110</v>
      </c>
    </row>
    <row r="8293" spans="1:24">
      <c r="A8293">
        <f>HYPERLINK("https://www.philgeps.gov.ph/GEPSNONPILOT/Tender/SplashBidNoticeAbstractUI.aspx?menuIndex=3&amp;refID=7027266&amp;Result=3","7027266")</f>
        <v>0</v>
      </c>
      <c r="B8293" t="s">
        <v>2159</v>
      </c>
      <c r="C8293" t="s">
        <v>11104</v>
      </c>
      <c r="D8293" t="s">
        <v>18035</v>
      </c>
      <c r="E8293" t="s">
        <v>25383</v>
      </c>
      <c r="F8293" t="s">
        <v>31574</v>
      </c>
      <c r="G8293" t="s">
        <v>31588</v>
      </c>
      <c r="H8293" t="s">
        <v>31590</v>
      </c>
      <c r="I8293" t="s">
        <v>31612</v>
      </c>
      <c r="J8293" t="s">
        <v>36994</v>
      </c>
      <c r="K8293" t="s">
        <v>41186</v>
      </c>
      <c r="M8293" t="s">
        <v>44062</v>
      </c>
      <c r="N8293" t="s">
        <v>45095</v>
      </c>
      <c r="O8293" t="s">
        <v>45096</v>
      </c>
      <c r="P8293">
        <v>0</v>
      </c>
      <c r="Q8293">
        <v>9</v>
      </c>
      <c r="R8293" t="s">
        <v>45104</v>
      </c>
      <c r="S8293" t="s">
        <v>45304</v>
      </c>
      <c r="T8293" t="s">
        <v>46988</v>
      </c>
      <c r="U8293" t="s">
        <v>54376</v>
      </c>
      <c r="V8293" t="s">
        <v>60719</v>
      </c>
      <c r="W8293" t="s">
        <v>44062</v>
      </c>
      <c r="X8293" t="s">
        <v>45109</v>
      </c>
    </row>
    <row r="8294" spans="1:24">
      <c r="A8294">
        <f>HYPERLINK("https://www.philgeps.gov.ph/GEPSNONPILOT/Tender/SplashBidNoticeAbstractUI.aspx?menuIndex=3&amp;refID=7027194&amp;Result=3","7027194")</f>
        <v>0</v>
      </c>
      <c r="B8294" t="s">
        <v>46</v>
      </c>
      <c r="C8294" t="s">
        <v>11105</v>
      </c>
      <c r="E8294" t="s">
        <v>25384</v>
      </c>
      <c r="F8294" t="s">
        <v>31574</v>
      </c>
      <c r="G8294" t="s">
        <v>31582</v>
      </c>
      <c r="H8294" t="s">
        <v>31590</v>
      </c>
      <c r="I8294" t="s">
        <v>31598</v>
      </c>
      <c r="J8294" t="s">
        <v>36995</v>
      </c>
      <c r="K8294" t="s">
        <v>41184</v>
      </c>
      <c r="M8294" t="s">
        <v>41529</v>
      </c>
      <c r="N8294" t="s">
        <v>45095</v>
      </c>
      <c r="O8294" t="s">
        <v>45096</v>
      </c>
      <c r="P8294">
        <v>0</v>
      </c>
      <c r="Q8294">
        <v>2</v>
      </c>
      <c r="R8294" t="s">
        <v>45104</v>
      </c>
      <c r="S8294" t="s">
        <v>45304</v>
      </c>
      <c r="T8294" t="s">
        <v>46992</v>
      </c>
      <c r="U8294" t="s">
        <v>54377</v>
      </c>
      <c r="W8294" t="s">
        <v>41529</v>
      </c>
      <c r="X8294" t="s">
        <v>45109</v>
      </c>
    </row>
    <row r="8295" spans="1:24">
      <c r="A8295">
        <f>HYPERLINK("https://www.philgeps.gov.ph/GEPSNONPILOT/Tender/SplashBidNoticeAbstractUI.aspx?menuIndex=3&amp;refID=7026250&amp;Result=3","7026250")</f>
        <v>0</v>
      </c>
      <c r="B8295" t="s">
        <v>530</v>
      </c>
      <c r="C8295" t="s">
        <v>11106</v>
      </c>
      <c r="D8295" t="s">
        <v>18071</v>
      </c>
      <c r="E8295" t="s">
        <v>25385</v>
      </c>
      <c r="F8295" t="s">
        <v>31574</v>
      </c>
      <c r="G8295" t="s">
        <v>31582</v>
      </c>
      <c r="H8295" t="s">
        <v>31590</v>
      </c>
      <c r="I8295" t="s">
        <v>31608</v>
      </c>
      <c r="J8295" t="s">
        <v>36996</v>
      </c>
      <c r="K8295" t="s">
        <v>41186</v>
      </c>
      <c r="M8295" t="s">
        <v>42027</v>
      </c>
      <c r="N8295" t="s">
        <v>45095</v>
      </c>
      <c r="O8295" t="s">
        <v>45096</v>
      </c>
      <c r="Q8295">
        <v>1</v>
      </c>
      <c r="R8295" t="s">
        <v>45104</v>
      </c>
      <c r="S8295" t="s">
        <v>45308</v>
      </c>
      <c r="T8295" t="s">
        <v>46966</v>
      </c>
      <c r="U8295" t="s">
        <v>54378</v>
      </c>
      <c r="W8295" t="s">
        <v>42027</v>
      </c>
      <c r="X8295" t="s">
        <v>45110</v>
      </c>
    </row>
    <row r="8296" spans="1:24">
      <c r="A8296">
        <f>HYPERLINK("https://www.philgeps.gov.ph/GEPSNONPILOT/Tender/SplashBidNoticeAbstractUI.aspx?menuIndex=3&amp;refID=7027124&amp;Result=3","7027124")</f>
        <v>0</v>
      </c>
      <c r="B8296" t="s">
        <v>63</v>
      </c>
      <c r="C8296" t="s">
        <v>11107</v>
      </c>
      <c r="D8296" t="s">
        <v>18049</v>
      </c>
      <c r="E8296" t="s">
        <v>25386</v>
      </c>
      <c r="F8296" t="s">
        <v>31574</v>
      </c>
      <c r="G8296" t="s">
        <v>31582</v>
      </c>
      <c r="H8296" t="s">
        <v>31590</v>
      </c>
      <c r="I8296" t="s">
        <v>4046</v>
      </c>
      <c r="J8296" t="s">
        <v>36997</v>
      </c>
      <c r="K8296" t="s">
        <v>41196</v>
      </c>
      <c r="M8296" t="s">
        <v>41547</v>
      </c>
      <c r="N8296" t="s">
        <v>45095</v>
      </c>
      <c r="O8296" t="s">
        <v>45096</v>
      </c>
      <c r="P8296">
        <v>0</v>
      </c>
      <c r="Q8296">
        <v>0</v>
      </c>
      <c r="R8296" t="s">
        <v>45104</v>
      </c>
      <c r="S8296" t="s">
        <v>45304</v>
      </c>
      <c r="T8296" t="s">
        <v>46985</v>
      </c>
      <c r="U8296" t="s">
        <v>54379</v>
      </c>
      <c r="W8296" t="s">
        <v>41547</v>
      </c>
      <c r="X8296" t="s">
        <v>45109</v>
      </c>
    </row>
    <row r="8297" spans="1:24">
      <c r="A8297">
        <f>HYPERLINK("https://www.philgeps.gov.ph/GEPSNONPILOT/Tender/SplashBidNoticeAbstractUI.aspx?menuIndex=3&amp;refID=7027242&amp;Result=3","7027242")</f>
        <v>0</v>
      </c>
      <c r="B8297" t="s">
        <v>63</v>
      </c>
      <c r="C8297" t="s">
        <v>11108</v>
      </c>
      <c r="D8297" t="s">
        <v>18049</v>
      </c>
      <c r="E8297" t="s">
        <v>25387</v>
      </c>
      <c r="F8297" t="s">
        <v>31574</v>
      </c>
      <c r="G8297" t="s">
        <v>31582</v>
      </c>
      <c r="H8297" t="s">
        <v>31591</v>
      </c>
      <c r="I8297" t="s">
        <v>8822</v>
      </c>
      <c r="J8297" t="s">
        <v>36998</v>
      </c>
      <c r="K8297" t="s">
        <v>41303</v>
      </c>
      <c r="M8297" t="s">
        <v>41547</v>
      </c>
      <c r="N8297" t="s">
        <v>45095</v>
      </c>
      <c r="O8297" t="s">
        <v>45096</v>
      </c>
      <c r="P8297">
        <v>0</v>
      </c>
      <c r="Q8297">
        <v>0</v>
      </c>
      <c r="R8297" t="s">
        <v>45104</v>
      </c>
      <c r="S8297" t="s">
        <v>45304</v>
      </c>
      <c r="T8297" t="s">
        <v>47004</v>
      </c>
      <c r="U8297" t="s">
        <v>54380</v>
      </c>
      <c r="W8297" t="s">
        <v>41547</v>
      </c>
      <c r="X8297" t="s">
        <v>45109</v>
      </c>
    </row>
    <row r="8298" spans="1:24">
      <c r="A8298">
        <f>HYPERLINK("https://www.philgeps.gov.ph/GEPSNONPILOT/Tender/SplashBidNoticeAbstractUI.aspx?menuIndex=3&amp;refID=7027289&amp;Result=3","7027289")</f>
        <v>0</v>
      </c>
      <c r="B8298" t="s">
        <v>1650</v>
      </c>
      <c r="C8298" t="s">
        <v>11109</v>
      </c>
      <c r="D8298" t="s">
        <v>18046</v>
      </c>
      <c r="E8298" t="s">
        <v>25388</v>
      </c>
      <c r="F8298" t="s">
        <v>31574</v>
      </c>
      <c r="G8298" t="s">
        <v>31582</v>
      </c>
      <c r="H8298" t="s">
        <v>31590</v>
      </c>
      <c r="I8298" t="s">
        <v>14544</v>
      </c>
      <c r="J8298" t="s">
        <v>36999</v>
      </c>
      <c r="K8298" t="s">
        <v>41186</v>
      </c>
      <c r="M8298" t="s">
        <v>43261</v>
      </c>
      <c r="N8298" t="s">
        <v>45095</v>
      </c>
      <c r="O8298" t="s">
        <v>45096</v>
      </c>
      <c r="P8298">
        <v>0</v>
      </c>
      <c r="Q8298">
        <v>0</v>
      </c>
      <c r="R8298" t="s">
        <v>45104</v>
      </c>
      <c r="S8298" t="s">
        <v>45304</v>
      </c>
      <c r="T8298" t="s">
        <v>47183</v>
      </c>
      <c r="U8298" t="s">
        <v>54381</v>
      </c>
      <c r="W8298" t="s">
        <v>43261</v>
      </c>
      <c r="X8298" t="s">
        <v>45109</v>
      </c>
    </row>
    <row r="8299" spans="1:24">
      <c r="A8299">
        <f>HYPERLINK("https://www.philgeps.gov.ph/GEPSNONPILOT/Tender/SplashBidNoticeAbstractUI.aspx?menuIndex=3&amp;refID=7026152&amp;Result=3","7026152")</f>
        <v>0</v>
      </c>
      <c r="B8299" t="s">
        <v>530</v>
      </c>
      <c r="C8299" t="s">
        <v>11110</v>
      </c>
      <c r="D8299" t="s">
        <v>18071</v>
      </c>
      <c r="E8299" t="s">
        <v>25389</v>
      </c>
      <c r="F8299" t="s">
        <v>31574</v>
      </c>
      <c r="G8299" t="s">
        <v>31582</v>
      </c>
      <c r="H8299" t="s">
        <v>31590</v>
      </c>
      <c r="I8299" t="s">
        <v>31603</v>
      </c>
      <c r="J8299" t="s">
        <v>37000</v>
      </c>
      <c r="K8299" t="s">
        <v>41186</v>
      </c>
      <c r="M8299" t="s">
        <v>42027</v>
      </c>
      <c r="N8299" t="s">
        <v>45095</v>
      </c>
      <c r="O8299" t="s">
        <v>45096</v>
      </c>
      <c r="Q8299">
        <v>6</v>
      </c>
      <c r="R8299" t="s">
        <v>45104</v>
      </c>
      <c r="S8299" t="s">
        <v>45309</v>
      </c>
      <c r="T8299" t="s">
        <v>47003</v>
      </c>
      <c r="U8299" t="s">
        <v>54382</v>
      </c>
      <c r="W8299" t="s">
        <v>42027</v>
      </c>
      <c r="X8299" t="s">
        <v>45110</v>
      </c>
    </row>
    <row r="8300" spans="1:24">
      <c r="A8300">
        <f>HYPERLINK("https://www.philgeps.gov.ph/GEPSNONPILOT/Tender/SplashBidNoticeAbstractUI.aspx?menuIndex=3&amp;refID=7026230&amp;Result=3","7026230")</f>
        <v>0</v>
      </c>
      <c r="B8300" t="s">
        <v>530</v>
      </c>
      <c r="C8300" t="s">
        <v>11111</v>
      </c>
      <c r="D8300" t="s">
        <v>18071</v>
      </c>
      <c r="E8300" t="s">
        <v>11111</v>
      </c>
      <c r="F8300" t="s">
        <v>31574</v>
      </c>
      <c r="G8300" t="s">
        <v>31582</v>
      </c>
      <c r="H8300" t="s">
        <v>31590</v>
      </c>
      <c r="I8300" t="s">
        <v>6800</v>
      </c>
      <c r="J8300" t="s">
        <v>37001</v>
      </c>
      <c r="K8300" t="s">
        <v>41186</v>
      </c>
      <c r="M8300" t="s">
        <v>42027</v>
      </c>
      <c r="N8300" t="s">
        <v>45095</v>
      </c>
      <c r="O8300" t="s">
        <v>45096</v>
      </c>
      <c r="Q8300">
        <v>7</v>
      </c>
      <c r="R8300" t="s">
        <v>45104</v>
      </c>
      <c r="S8300" t="s">
        <v>45310</v>
      </c>
      <c r="T8300" t="s">
        <v>46966</v>
      </c>
      <c r="U8300" t="s">
        <v>54383</v>
      </c>
      <c r="W8300" t="s">
        <v>42027</v>
      </c>
      <c r="X8300" t="s">
        <v>45110</v>
      </c>
    </row>
    <row r="8301" spans="1:24">
      <c r="A8301">
        <f>HYPERLINK("https://www.philgeps.gov.ph/GEPSNONPILOT/Tender/SplashBidNoticeAbstractUI.aspx?menuIndex=3&amp;refID=7027245&amp;Result=3","7027245")</f>
        <v>0</v>
      </c>
      <c r="B8301" t="s">
        <v>1650</v>
      </c>
      <c r="C8301" t="s">
        <v>11112</v>
      </c>
      <c r="D8301" t="s">
        <v>18046</v>
      </c>
      <c r="E8301" t="s">
        <v>25390</v>
      </c>
      <c r="F8301" t="s">
        <v>31574</v>
      </c>
      <c r="G8301" t="s">
        <v>31582</v>
      </c>
      <c r="H8301" t="s">
        <v>31590</v>
      </c>
      <c r="I8301" t="s">
        <v>14544</v>
      </c>
      <c r="J8301" t="s">
        <v>37002</v>
      </c>
      <c r="K8301" t="s">
        <v>41186</v>
      </c>
      <c r="M8301" t="s">
        <v>43261</v>
      </c>
      <c r="N8301" t="s">
        <v>45095</v>
      </c>
      <c r="O8301" t="s">
        <v>45096</v>
      </c>
      <c r="P8301">
        <v>0</v>
      </c>
      <c r="Q8301">
        <v>0</v>
      </c>
      <c r="R8301" t="s">
        <v>45104</v>
      </c>
      <c r="S8301" t="s">
        <v>45304</v>
      </c>
      <c r="T8301" t="s">
        <v>47183</v>
      </c>
      <c r="U8301" t="s">
        <v>54384</v>
      </c>
      <c r="W8301" t="s">
        <v>43261</v>
      </c>
      <c r="X8301" t="s">
        <v>45109</v>
      </c>
    </row>
    <row r="8302" spans="1:24">
      <c r="A8302">
        <f>HYPERLINK("https://www.philgeps.gov.ph/GEPSNONPILOT/Tender/SplashBidNoticeAbstractUI.aspx?menuIndex=3&amp;refID=7027754&amp;Result=3","7027754")</f>
        <v>0</v>
      </c>
      <c r="B8302" t="s">
        <v>2340</v>
      </c>
      <c r="C8302" t="s">
        <v>11113</v>
      </c>
      <c r="D8302" t="s">
        <v>18036</v>
      </c>
      <c r="E8302" t="s">
        <v>25391</v>
      </c>
      <c r="F8302" t="s">
        <v>31574</v>
      </c>
      <c r="G8302" t="s">
        <v>31582</v>
      </c>
      <c r="H8302" t="s">
        <v>31590</v>
      </c>
      <c r="I8302" t="s">
        <v>31629</v>
      </c>
      <c r="J8302" t="s">
        <v>37003</v>
      </c>
      <c r="K8302" t="s">
        <v>41189</v>
      </c>
      <c r="M8302" t="s">
        <v>44055</v>
      </c>
      <c r="N8302" t="s">
        <v>45095</v>
      </c>
      <c r="O8302" t="s">
        <v>45096</v>
      </c>
      <c r="P8302">
        <v>0</v>
      </c>
      <c r="Q8302">
        <v>1</v>
      </c>
      <c r="R8302" t="s">
        <v>45104</v>
      </c>
      <c r="S8302" t="s">
        <v>45304</v>
      </c>
      <c r="T8302" t="s">
        <v>46963</v>
      </c>
      <c r="U8302" t="s">
        <v>54385</v>
      </c>
      <c r="V8302" t="s">
        <v>60582</v>
      </c>
      <c r="W8302" t="s">
        <v>44055</v>
      </c>
      <c r="X8302" t="s">
        <v>45109</v>
      </c>
    </row>
    <row r="8303" spans="1:24">
      <c r="A8303">
        <f>HYPERLINK("https://www.philgeps.gov.ph/GEPSNONPILOT/Tender/SplashBidNoticeAbstractUI.aspx?menuIndex=3&amp;refID=7027351&amp;Result=3","7027351")</f>
        <v>0</v>
      </c>
      <c r="B8303" t="s">
        <v>2340</v>
      </c>
      <c r="C8303" t="s">
        <v>11114</v>
      </c>
      <c r="D8303" t="s">
        <v>18036</v>
      </c>
      <c r="E8303" t="s">
        <v>25392</v>
      </c>
      <c r="F8303" t="s">
        <v>31574</v>
      </c>
      <c r="G8303" t="s">
        <v>31582</v>
      </c>
      <c r="H8303" t="s">
        <v>31591</v>
      </c>
      <c r="I8303" t="s">
        <v>8822</v>
      </c>
      <c r="J8303" t="s">
        <v>37004</v>
      </c>
      <c r="K8303" t="s">
        <v>41260</v>
      </c>
      <c r="M8303" t="s">
        <v>44053</v>
      </c>
      <c r="N8303" t="s">
        <v>45095</v>
      </c>
      <c r="O8303" t="s">
        <v>45096</v>
      </c>
      <c r="P8303">
        <v>0</v>
      </c>
      <c r="Q8303">
        <v>0</v>
      </c>
      <c r="R8303" t="s">
        <v>45104</v>
      </c>
      <c r="S8303" t="s">
        <v>45304</v>
      </c>
      <c r="T8303" t="s">
        <v>47166</v>
      </c>
      <c r="U8303" t="s">
        <v>54374</v>
      </c>
      <c r="V8303" t="s">
        <v>60582</v>
      </c>
      <c r="W8303" t="s">
        <v>44053</v>
      </c>
      <c r="X8303" t="s">
        <v>45109</v>
      </c>
    </row>
    <row r="8304" spans="1:24">
      <c r="A8304">
        <f>HYPERLINK("https://www.philgeps.gov.ph/GEPSNONPILOT/Tender/SplashBidNoticeAbstractUI.aspx?menuIndex=3&amp;refID=7027579&amp;Result=3","7027579")</f>
        <v>0</v>
      </c>
      <c r="B8304" t="s">
        <v>63</v>
      </c>
      <c r="C8304" t="s">
        <v>11115</v>
      </c>
      <c r="D8304" t="s">
        <v>18049</v>
      </c>
      <c r="E8304" t="s">
        <v>25393</v>
      </c>
      <c r="F8304" t="s">
        <v>31574</v>
      </c>
      <c r="G8304" t="s">
        <v>31582</v>
      </c>
      <c r="H8304" t="s">
        <v>31591</v>
      </c>
      <c r="I8304" t="s">
        <v>8822</v>
      </c>
      <c r="J8304" t="s">
        <v>37005</v>
      </c>
      <c r="K8304" t="s">
        <v>41234</v>
      </c>
      <c r="M8304" t="s">
        <v>41547</v>
      </c>
      <c r="N8304" t="s">
        <v>45095</v>
      </c>
      <c r="O8304" t="s">
        <v>45096</v>
      </c>
      <c r="P8304">
        <v>0</v>
      </c>
      <c r="Q8304">
        <v>0</v>
      </c>
      <c r="R8304" t="s">
        <v>45104</v>
      </c>
      <c r="S8304" t="s">
        <v>45304</v>
      </c>
      <c r="T8304" t="s">
        <v>47004</v>
      </c>
      <c r="U8304" t="s">
        <v>54386</v>
      </c>
      <c r="W8304" t="s">
        <v>41547</v>
      </c>
      <c r="X8304" t="s">
        <v>45109</v>
      </c>
    </row>
    <row r="8305" spans="1:24">
      <c r="A8305">
        <f>HYPERLINK("https://www.philgeps.gov.ph/GEPSNONPILOT/Tender/SplashBidNoticeAbstractUI.aspx?menuIndex=3&amp;refID=7027738&amp;Result=3","7027738")</f>
        <v>0</v>
      </c>
      <c r="B8305" t="s">
        <v>2340</v>
      </c>
      <c r="C8305" t="s">
        <v>11116</v>
      </c>
      <c r="D8305" t="s">
        <v>18036</v>
      </c>
      <c r="E8305" t="s">
        <v>25394</v>
      </c>
      <c r="F8305" t="s">
        <v>31574</v>
      </c>
      <c r="G8305" t="s">
        <v>31582</v>
      </c>
      <c r="H8305" t="s">
        <v>31590</v>
      </c>
      <c r="I8305" t="s">
        <v>6800</v>
      </c>
      <c r="J8305" t="s">
        <v>37006</v>
      </c>
      <c r="K8305" t="s">
        <v>41196</v>
      </c>
      <c r="M8305" t="s">
        <v>44055</v>
      </c>
      <c r="N8305" t="s">
        <v>45095</v>
      </c>
      <c r="O8305" t="s">
        <v>45096</v>
      </c>
      <c r="P8305">
        <v>0</v>
      </c>
      <c r="Q8305">
        <v>2</v>
      </c>
      <c r="R8305" t="s">
        <v>45104</v>
      </c>
      <c r="S8305" t="s">
        <v>45304</v>
      </c>
      <c r="T8305" t="s">
        <v>46963</v>
      </c>
      <c r="U8305" t="s">
        <v>54387</v>
      </c>
      <c r="V8305" t="s">
        <v>60582</v>
      </c>
      <c r="W8305" t="s">
        <v>44055</v>
      </c>
      <c r="X8305" t="s">
        <v>45109</v>
      </c>
    </row>
    <row r="8306" spans="1:24">
      <c r="A8306">
        <f>HYPERLINK("https://www.philgeps.gov.ph/GEPSNONPILOT/Tender/SplashBidNoticeAbstractUI.aspx?menuIndex=3&amp;refID=7027747&amp;Result=3","7027747")</f>
        <v>0</v>
      </c>
      <c r="B8306" t="s">
        <v>2340</v>
      </c>
      <c r="C8306" t="s">
        <v>11117</v>
      </c>
      <c r="D8306" t="s">
        <v>18036</v>
      </c>
      <c r="E8306" t="s">
        <v>25395</v>
      </c>
      <c r="F8306" t="s">
        <v>31574</v>
      </c>
      <c r="G8306" t="s">
        <v>31582</v>
      </c>
      <c r="H8306" t="s">
        <v>31590</v>
      </c>
      <c r="I8306" t="s">
        <v>31607</v>
      </c>
      <c r="J8306" t="s">
        <v>37007</v>
      </c>
      <c r="K8306" t="s">
        <v>41196</v>
      </c>
      <c r="M8306" t="s">
        <v>44055</v>
      </c>
      <c r="N8306" t="s">
        <v>45095</v>
      </c>
      <c r="O8306" t="s">
        <v>45096</v>
      </c>
      <c r="P8306">
        <v>0</v>
      </c>
      <c r="Q8306">
        <v>1</v>
      </c>
      <c r="R8306" t="s">
        <v>45104</v>
      </c>
      <c r="S8306" t="s">
        <v>45304</v>
      </c>
      <c r="T8306" t="s">
        <v>46963</v>
      </c>
      <c r="U8306" t="s">
        <v>54388</v>
      </c>
      <c r="V8306" t="s">
        <v>60582</v>
      </c>
      <c r="W8306" t="s">
        <v>44055</v>
      </c>
      <c r="X8306" t="s">
        <v>45109</v>
      </c>
    </row>
    <row r="8307" spans="1:24">
      <c r="A8307">
        <f>HYPERLINK("https://www.philgeps.gov.ph/GEPSNONPILOT/Tender/SplashBidNoticeAbstractUI.aspx?menuIndex=3&amp;refID=7028311&amp;Result=3","7028311")</f>
        <v>0</v>
      </c>
      <c r="B8307" t="s">
        <v>2346</v>
      </c>
      <c r="C8307" t="s">
        <v>11118</v>
      </c>
      <c r="D8307" t="s">
        <v>18089</v>
      </c>
      <c r="E8307" t="s">
        <v>25396</v>
      </c>
      <c r="F8307" t="s">
        <v>31574</v>
      </c>
      <c r="G8307" t="s">
        <v>31582</v>
      </c>
      <c r="H8307" t="s">
        <v>31591</v>
      </c>
      <c r="I8307" t="s">
        <v>8822</v>
      </c>
      <c r="J8307" t="s">
        <v>34054</v>
      </c>
      <c r="K8307" t="s">
        <v>41192</v>
      </c>
      <c r="L8307" t="s">
        <v>2346</v>
      </c>
      <c r="M8307" t="s">
        <v>44063</v>
      </c>
      <c r="N8307" t="s">
        <v>45095</v>
      </c>
      <c r="O8307" t="s">
        <v>45096</v>
      </c>
      <c r="Q8307">
        <v>3</v>
      </c>
      <c r="R8307" t="s">
        <v>45104</v>
      </c>
      <c r="S8307" t="s">
        <v>45311</v>
      </c>
      <c r="T8307" t="s">
        <v>47336</v>
      </c>
      <c r="U8307" t="s">
        <v>54389</v>
      </c>
      <c r="V8307" t="s">
        <v>60720</v>
      </c>
      <c r="W8307" t="s">
        <v>44063</v>
      </c>
      <c r="X8307" t="s">
        <v>45109</v>
      </c>
    </row>
    <row r="8308" spans="1:24">
      <c r="A8308">
        <f>HYPERLINK("https://www.philgeps.gov.ph/GEPSNONPILOT/Tender/SplashBidNoticeAbstractUI.aspx?menuIndex=3&amp;refID=7027358&amp;Result=3","7027358")</f>
        <v>0</v>
      </c>
      <c r="B8308" t="s">
        <v>2340</v>
      </c>
      <c r="C8308" t="s">
        <v>11119</v>
      </c>
      <c r="D8308" t="s">
        <v>18036</v>
      </c>
      <c r="E8308" t="s">
        <v>25397</v>
      </c>
      <c r="F8308" t="s">
        <v>31574</v>
      </c>
      <c r="G8308" t="s">
        <v>31582</v>
      </c>
      <c r="H8308" t="s">
        <v>31591</v>
      </c>
      <c r="I8308" t="s">
        <v>8822</v>
      </c>
      <c r="J8308" t="s">
        <v>37008</v>
      </c>
      <c r="K8308" t="s">
        <v>41260</v>
      </c>
      <c r="M8308" t="s">
        <v>44053</v>
      </c>
      <c r="N8308" t="s">
        <v>45095</v>
      </c>
      <c r="O8308" t="s">
        <v>45096</v>
      </c>
      <c r="P8308">
        <v>0</v>
      </c>
      <c r="Q8308">
        <v>0</v>
      </c>
      <c r="R8308" t="s">
        <v>45104</v>
      </c>
      <c r="S8308" t="s">
        <v>45304</v>
      </c>
      <c r="T8308" t="s">
        <v>47166</v>
      </c>
      <c r="U8308" t="s">
        <v>54390</v>
      </c>
      <c r="V8308" t="s">
        <v>60582</v>
      </c>
      <c r="W8308" t="s">
        <v>44053</v>
      </c>
      <c r="X8308" t="s">
        <v>45109</v>
      </c>
    </row>
    <row r="8309" spans="1:24">
      <c r="A8309">
        <f>HYPERLINK("https://www.philgeps.gov.ph/GEPSNONPILOT/Tender/SplashBidNoticeAbstractUI.aspx?menuIndex=3&amp;refID=7027586&amp;Result=3","7027586")</f>
        <v>0</v>
      </c>
      <c r="B8309" t="s">
        <v>71</v>
      </c>
      <c r="C8309" t="s">
        <v>11120</v>
      </c>
      <c r="D8309" t="s">
        <v>18053</v>
      </c>
      <c r="E8309" t="s">
        <v>25398</v>
      </c>
      <c r="F8309" t="s">
        <v>31574</v>
      </c>
      <c r="G8309" t="s">
        <v>31582</v>
      </c>
      <c r="H8309" t="s">
        <v>31591</v>
      </c>
      <c r="I8309" t="s">
        <v>8822</v>
      </c>
      <c r="J8309" t="s">
        <v>37009</v>
      </c>
      <c r="K8309" t="s">
        <v>41185</v>
      </c>
      <c r="M8309" t="s">
        <v>41555</v>
      </c>
      <c r="N8309" t="s">
        <v>45095</v>
      </c>
      <c r="O8309" t="s">
        <v>45096</v>
      </c>
      <c r="P8309">
        <v>0</v>
      </c>
      <c r="Q8309">
        <v>1</v>
      </c>
      <c r="R8309" t="s">
        <v>45104</v>
      </c>
      <c r="S8309" t="s">
        <v>45304</v>
      </c>
      <c r="T8309" t="s">
        <v>47076</v>
      </c>
      <c r="U8309" t="s">
        <v>54391</v>
      </c>
      <c r="W8309" t="s">
        <v>41555</v>
      </c>
      <c r="X8309" t="s">
        <v>45109</v>
      </c>
    </row>
    <row r="8310" spans="1:24">
      <c r="A8310">
        <f>HYPERLINK("https://www.philgeps.gov.ph/GEPSNONPILOT/Tender/SplashBidNoticeAbstractUI.aspx?menuIndex=3&amp;refID=7028752&amp;Result=3","7028752")</f>
        <v>0</v>
      </c>
      <c r="B8310" t="s">
        <v>73</v>
      </c>
      <c r="C8310" t="s">
        <v>11121</v>
      </c>
      <c r="D8310" t="s">
        <v>18041</v>
      </c>
      <c r="E8310" t="s">
        <v>25399</v>
      </c>
      <c r="F8310" t="s">
        <v>31574</v>
      </c>
      <c r="G8310" t="s">
        <v>31582</v>
      </c>
      <c r="H8310" t="s">
        <v>31590</v>
      </c>
      <c r="I8310" t="s">
        <v>7185</v>
      </c>
      <c r="J8310" t="s">
        <v>37010</v>
      </c>
      <c r="K8310" t="s">
        <v>41184</v>
      </c>
      <c r="M8310" t="s">
        <v>41557</v>
      </c>
      <c r="N8310" t="s">
        <v>45095</v>
      </c>
      <c r="O8310" t="s">
        <v>45096</v>
      </c>
      <c r="P8310">
        <v>0</v>
      </c>
      <c r="Q8310">
        <v>2</v>
      </c>
      <c r="R8310" t="s">
        <v>45104</v>
      </c>
      <c r="S8310" t="s">
        <v>45304</v>
      </c>
      <c r="T8310" t="s">
        <v>47197</v>
      </c>
      <c r="U8310" t="s">
        <v>54392</v>
      </c>
      <c r="V8310" t="s">
        <v>59867</v>
      </c>
      <c r="W8310" t="s">
        <v>41557</v>
      </c>
      <c r="X8310" t="s">
        <v>45109</v>
      </c>
    </row>
    <row r="8311" spans="1:24">
      <c r="A8311">
        <f>HYPERLINK("https://www.philgeps.gov.ph/GEPSNONPILOT/Tender/SplashBidNoticeAbstractUI.aspx?menuIndex=3&amp;refID=7028600&amp;Result=3","7028600")</f>
        <v>0</v>
      </c>
      <c r="B8311" t="s">
        <v>124</v>
      </c>
      <c r="C8311" t="s">
        <v>11122</v>
      </c>
      <c r="D8311" t="s">
        <v>18065</v>
      </c>
      <c r="E8311" t="s">
        <v>11122</v>
      </c>
      <c r="F8311" t="s">
        <v>31574</v>
      </c>
      <c r="G8311" t="s">
        <v>31582</v>
      </c>
      <c r="H8311" t="s">
        <v>31591</v>
      </c>
      <c r="I8311" t="s">
        <v>31627</v>
      </c>
      <c r="J8311" t="s">
        <v>37011</v>
      </c>
      <c r="K8311" t="s">
        <v>41184</v>
      </c>
      <c r="M8311" t="s">
        <v>42182</v>
      </c>
      <c r="N8311" t="s">
        <v>45095</v>
      </c>
      <c r="O8311" t="s">
        <v>45096</v>
      </c>
      <c r="P8311">
        <v>0</v>
      </c>
      <c r="Q8311">
        <v>1</v>
      </c>
      <c r="R8311" t="s">
        <v>45104</v>
      </c>
      <c r="S8311" t="s">
        <v>45304</v>
      </c>
      <c r="T8311" t="s">
        <v>47156</v>
      </c>
      <c r="U8311" t="s">
        <v>54393</v>
      </c>
      <c r="W8311" t="s">
        <v>42182</v>
      </c>
      <c r="X8311" t="s">
        <v>45109</v>
      </c>
    </row>
    <row r="8312" spans="1:24">
      <c r="A8312">
        <f>HYPERLINK("https://www.philgeps.gov.ph/GEPSNONPILOT/Tender/SplashBidNoticeAbstractUI.aspx?menuIndex=3&amp;refID=7027756&amp;Result=3","7027756")</f>
        <v>0</v>
      </c>
      <c r="B8312" t="s">
        <v>63</v>
      </c>
      <c r="C8312" t="s">
        <v>11123</v>
      </c>
      <c r="D8312" t="s">
        <v>18049</v>
      </c>
      <c r="E8312" t="s">
        <v>25400</v>
      </c>
      <c r="F8312" t="s">
        <v>31574</v>
      </c>
      <c r="G8312" t="s">
        <v>31582</v>
      </c>
      <c r="H8312" t="s">
        <v>31591</v>
      </c>
      <c r="I8312" t="s">
        <v>8822</v>
      </c>
      <c r="J8312" t="s">
        <v>37012</v>
      </c>
      <c r="K8312" t="s">
        <v>41337</v>
      </c>
      <c r="M8312" t="s">
        <v>41547</v>
      </c>
      <c r="N8312" t="s">
        <v>45095</v>
      </c>
      <c r="O8312" t="s">
        <v>45096</v>
      </c>
      <c r="P8312">
        <v>0</v>
      </c>
      <c r="Q8312">
        <v>0</v>
      </c>
      <c r="R8312" t="s">
        <v>45104</v>
      </c>
      <c r="S8312" t="s">
        <v>45304</v>
      </c>
      <c r="T8312" t="s">
        <v>47004</v>
      </c>
      <c r="U8312" t="s">
        <v>54394</v>
      </c>
      <c r="W8312" t="s">
        <v>41547</v>
      </c>
      <c r="X8312" t="s">
        <v>45109</v>
      </c>
    </row>
    <row r="8313" spans="1:24">
      <c r="A8313">
        <f>HYPERLINK("https://www.philgeps.gov.ph/GEPSNONPILOT/Tender/SplashBidNoticeAbstractUI.aspx?menuIndex=3&amp;refID=7028865&amp;Result=3","7028865")</f>
        <v>0</v>
      </c>
      <c r="B8313" t="s">
        <v>443</v>
      </c>
      <c r="C8313" t="s">
        <v>11124</v>
      </c>
      <c r="D8313" t="s">
        <v>18062</v>
      </c>
      <c r="E8313" t="s">
        <v>25401</v>
      </c>
      <c r="F8313" t="s">
        <v>31574</v>
      </c>
      <c r="G8313" t="s">
        <v>31582</v>
      </c>
      <c r="H8313" t="s">
        <v>31591</v>
      </c>
      <c r="I8313" t="s">
        <v>8822</v>
      </c>
      <c r="J8313" t="s">
        <v>37013</v>
      </c>
      <c r="K8313" t="s">
        <v>41262</v>
      </c>
      <c r="M8313" t="s">
        <v>41936</v>
      </c>
      <c r="N8313" t="s">
        <v>45095</v>
      </c>
      <c r="O8313" t="s">
        <v>45096</v>
      </c>
      <c r="P8313">
        <v>0</v>
      </c>
      <c r="Q8313">
        <v>3</v>
      </c>
      <c r="R8313" t="s">
        <v>45104</v>
      </c>
      <c r="S8313" t="s">
        <v>45304</v>
      </c>
      <c r="T8313" t="s">
        <v>47000</v>
      </c>
      <c r="U8313" t="s">
        <v>48547</v>
      </c>
      <c r="V8313" t="s">
        <v>60721</v>
      </c>
      <c r="W8313" t="s">
        <v>41936</v>
      </c>
      <c r="X8313" t="s">
        <v>45109</v>
      </c>
    </row>
    <row r="8314" spans="1:24">
      <c r="A8314">
        <f>HYPERLINK("https://www.philgeps.gov.ph/GEPSNONPILOT/Tender/SplashBidNoticeAbstractUI.aspx?menuIndex=3&amp;refID=7027342&amp;Result=3","7027342")</f>
        <v>0</v>
      </c>
      <c r="B8314" t="s">
        <v>208</v>
      </c>
      <c r="C8314" t="s">
        <v>11125</v>
      </c>
      <c r="D8314" t="s">
        <v>18052</v>
      </c>
      <c r="E8314" t="s">
        <v>25402</v>
      </c>
      <c r="F8314" t="s">
        <v>31574</v>
      </c>
      <c r="G8314" t="s">
        <v>31582</v>
      </c>
      <c r="H8314" t="s">
        <v>31590</v>
      </c>
      <c r="I8314" t="s">
        <v>31619</v>
      </c>
      <c r="J8314" t="s">
        <v>37014</v>
      </c>
      <c r="K8314" t="s">
        <v>41186</v>
      </c>
      <c r="M8314" t="s">
        <v>41693</v>
      </c>
      <c r="N8314" t="s">
        <v>45095</v>
      </c>
      <c r="O8314" t="s">
        <v>45096</v>
      </c>
      <c r="P8314">
        <v>0</v>
      </c>
      <c r="Q8314">
        <v>9</v>
      </c>
      <c r="R8314" t="s">
        <v>45104</v>
      </c>
      <c r="S8314" t="s">
        <v>45304</v>
      </c>
      <c r="T8314" t="s">
        <v>47183</v>
      </c>
      <c r="U8314" t="s">
        <v>47955</v>
      </c>
      <c r="W8314" t="s">
        <v>61656</v>
      </c>
      <c r="X8314" t="s">
        <v>45109</v>
      </c>
    </row>
    <row r="8315" spans="1:24">
      <c r="A8315">
        <f>HYPERLINK("https://www.philgeps.gov.ph/GEPSNONPILOT/Tender/SplashBidNoticeAbstractUI.aspx?menuIndex=3&amp;refID=7028570&amp;Result=3","7028570")</f>
        <v>0</v>
      </c>
      <c r="B8315" t="s">
        <v>124</v>
      </c>
      <c r="C8315" t="s">
        <v>11126</v>
      </c>
      <c r="D8315" t="s">
        <v>18065</v>
      </c>
      <c r="E8315" t="s">
        <v>11126</v>
      </c>
      <c r="F8315" t="s">
        <v>31574</v>
      </c>
      <c r="G8315" t="s">
        <v>31582</v>
      </c>
      <c r="H8315" t="s">
        <v>31591</v>
      </c>
      <c r="I8315" t="s">
        <v>31627</v>
      </c>
      <c r="J8315" t="s">
        <v>37015</v>
      </c>
      <c r="K8315" t="s">
        <v>41184</v>
      </c>
      <c r="M8315" t="s">
        <v>42182</v>
      </c>
      <c r="N8315" t="s">
        <v>45095</v>
      </c>
      <c r="O8315" t="s">
        <v>45096</v>
      </c>
      <c r="P8315">
        <v>0</v>
      </c>
      <c r="Q8315">
        <v>1</v>
      </c>
      <c r="R8315" t="s">
        <v>45104</v>
      </c>
      <c r="S8315" t="s">
        <v>45304</v>
      </c>
      <c r="T8315" t="s">
        <v>47156</v>
      </c>
      <c r="U8315" t="s">
        <v>54393</v>
      </c>
      <c r="W8315" t="s">
        <v>42182</v>
      </c>
      <c r="X8315" t="s">
        <v>45109</v>
      </c>
    </row>
    <row r="8316" spans="1:24">
      <c r="A8316">
        <f>HYPERLINK("https://www.philgeps.gov.ph/GEPSNONPILOT/Tender/SplashBidNoticeAbstractUI.aspx?menuIndex=3&amp;refID=7028553&amp;Result=3","7028553")</f>
        <v>0</v>
      </c>
      <c r="B8316" t="s">
        <v>2347</v>
      </c>
      <c r="C8316" t="s">
        <v>11127</v>
      </c>
      <c r="D8316" t="s">
        <v>18062</v>
      </c>
      <c r="E8316" t="s">
        <v>25403</v>
      </c>
      <c r="F8316" t="s">
        <v>31574</v>
      </c>
      <c r="G8316" t="s">
        <v>31582</v>
      </c>
      <c r="H8316" t="s">
        <v>31591</v>
      </c>
      <c r="I8316" t="s">
        <v>8822</v>
      </c>
      <c r="J8316" t="s">
        <v>37016</v>
      </c>
      <c r="K8316" t="s">
        <v>41192</v>
      </c>
      <c r="M8316" t="s">
        <v>44064</v>
      </c>
      <c r="N8316" t="s">
        <v>45095</v>
      </c>
      <c r="O8316" t="s">
        <v>45096</v>
      </c>
      <c r="P8316">
        <v>0</v>
      </c>
      <c r="Q8316">
        <v>0</v>
      </c>
      <c r="R8316" t="s">
        <v>45104</v>
      </c>
      <c r="S8316" t="s">
        <v>45304</v>
      </c>
      <c r="T8316" t="s">
        <v>46985</v>
      </c>
      <c r="U8316" t="s">
        <v>54395</v>
      </c>
      <c r="V8316" t="s">
        <v>60722</v>
      </c>
      <c r="W8316" t="s">
        <v>44064</v>
      </c>
      <c r="X8316" t="s">
        <v>45109</v>
      </c>
    </row>
    <row r="8317" spans="1:24">
      <c r="A8317">
        <f>HYPERLINK("https://www.philgeps.gov.ph/GEPSNONPILOT/Tender/SplashBidNoticeAbstractUI.aspx?menuIndex=3&amp;refID=7028544&amp;Result=3","7028544")</f>
        <v>0</v>
      </c>
      <c r="B8317" t="s">
        <v>970</v>
      </c>
      <c r="C8317" t="s">
        <v>11128</v>
      </c>
      <c r="D8317" t="s">
        <v>18079</v>
      </c>
      <c r="E8317" t="s">
        <v>25404</v>
      </c>
      <c r="F8317" t="s">
        <v>31574</v>
      </c>
      <c r="G8317" t="s">
        <v>31582</v>
      </c>
      <c r="H8317" t="s">
        <v>31590</v>
      </c>
      <c r="I8317" t="s">
        <v>8258</v>
      </c>
      <c r="J8317" t="s">
        <v>37017</v>
      </c>
      <c r="K8317" t="s">
        <v>41191</v>
      </c>
      <c r="M8317" t="s">
        <v>42499</v>
      </c>
      <c r="N8317" t="s">
        <v>45095</v>
      </c>
      <c r="O8317" t="s">
        <v>45096</v>
      </c>
      <c r="P8317">
        <v>0</v>
      </c>
      <c r="Q8317">
        <v>1</v>
      </c>
      <c r="R8317" t="s">
        <v>45104</v>
      </c>
      <c r="S8317" t="s">
        <v>45304</v>
      </c>
      <c r="T8317" t="s">
        <v>46922</v>
      </c>
      <c r="U8317" t="s">
        <v>54396</v>
      </c>
      <c r="W8317" t="s">
        <v>42499</v>
      </c>
      <c r="X8317" t="s">
        <v>45109</v>
      </c>
    </row>
    <row r="8318" spans="1:24">
      <c r="A8318">
        <f>HYPERLINK("https://www.philgeps.gov.ph/GEPSNONPILOT/Tender/SplashBidNoticeAbstractUI.aspx?menuIndex=3&amp;refID=7028925&amp;Result=3","7028925")</f>
        <v>0</v>
      </c>
      <c r="B8318" t="s">
        <v>443</v>
      </c>
      <c r="C8318" t="s">
        <v>11129</v>
      </c>
      <c r="D8318" t="s">
        <v>18062</v>
      </c>
      <c r="E8318" t="s">
        <v>25405</v>
      </c>
      <c r="F8318" t="s">
        <v>31574</v>
      </c>
      <c r="G8318" t="s">
        <v>31582</v>
      </c>
      <c r="H8318" t="s">
        <v>31591</v>
      </c>
      <c r="I8318" t="s">
        <v>8822</v>
      </c>
      <c r="J8318" t="s">
        <v>37018</v>
      </c>
      <c r="K8318" t="s">
        <v>41198</v>
      </c>
      <c r="M8318" t="s">
        <v>41936</v>
      </c>
      <c r="N8318" t="s">
        <v>45095</v>
      </c>
      <c r="O8318" t="s">
        <v>45096</v>
      </c>
      <c r="P8318">
        <v>0</v>
      </c>
      <c r="Q8318">
        <v>6</v>
      </c>
      <c r="R8318" t="s">
        <v>45104</v>
      </c>
      <c r="S8318" t="s">
        <v>45304</v>
      </c>
      <c r="T8318" t="s">
        <v>47000</v>
      </c>
      <c r="U8318" t="s">
        <v>48547</v>
      </c>
      <c r="V8318" t="s">
        <v>60723</v>
      </c>
      <c r="W8318" t="s">
        <v>41936</v>
      </c>
      <c r="X8318" t="s">
        <v>45109</v>
      </c>
    </row>
    <row r="8319" spans="1:24">
      <c r="A8319">
        <f>HYPERLINK("https://www.philgeps.gov.ph/GEPSNONPILOT/Tender/SplashBidNoticeAbstractUI.aspx?menuIndex=3&amp;refID=7028331&amp;Result=3","7028331")</f>
        <v>0</v>
      </c>
      <c r="B8319" t="s">
        <v>2043</v>
      </c>
      <c r="C8319" t="s">
        <v>11130</v>
      </c>
      <c r="D8319" t="s">
        <v>18022</v>
      </c>
      <c r="E8319" t="s">
        <v>19061</v>
      </c>
      <c r="F8319" t="s">
        <v>31574</v>
      </c>
      <c r="G8319" t="s">
        <v>31582</v>
      </c>
      <c r="H8319" t="s">
        <v>31592</v>
      </c>
      <c r="I8319" t="s">
        <v>31619</v>
      </c>
      <c r="J8319" t="s">
        <v>31947</v>
      </c>
      <c r="K8319" t="s">
        <v>41193</v>
      </c>
      <c r="M8319" t="s">
        <v>43710</v>
      </c>
      <c r="N8319" t="s">
        <v>45095</v>
      </c>
      <c r="O8319" t="s">
        <v>45096</v>
      </c>
      <c r="P8319">
        <v>0</v>
      </c>
      <c r="Q8319">
        <v>5</v>
      </c>
      <c r="R8319" t="s">
        <v>45104</v>
      </c>
      <c r="S8319" t="s">
        <v>45304</v>
      </c>
      <c r="T8319" t="s">
        <v>47164</v>
      </c>
      <c r="U8319" t="s">
        <v>54397</v>
      </c>
      <c r="W8319" t="s">
        <v>43710</v>
      </c>
      <c r="X8319" t="s">
        <v>45109</v>
      </c>
    </row>
    <row r="8320" spans="1:24">
      <c r="A8320">
        <f>HYPERLINK("https://www.philgeps.gov.ph/GEPSNONPILOT/Tender/SplashBidNoticeAbstractUI.aspx?menuIndex=3&amp;refID=7027399&amp;Result=3","7027399")</f>
        <v>0</v>
      </c>
      <c r="B8320" t="s">
        <v>2159</v>
      </c>
      <c r="C8320" t="s">
        <v>11131</v>
      </c>
      <c r="D8320" t="s">
        <v>18035</v>
      </c>
      <c r="E8320" t="s">
        <v>25406</v>
      </c>
      <c r="F8320" t="s">
        <v>31574</v>
      </c>
      <c r="G8320" t="s">
        <v>31588</v>
      </c>
      <c r="H8320" t="s">
        <v>31590</v>
      </c>
      <c r="I8320" t="s">
        <v>4327</v>
      </c>
      <c r="J8320" t="s">
        <v>37019</v>
      </c>
      <c r="K8320" t="s">
        <v>41186</v>
      </c>
      <c r="M8320" t="s">
        <v>44062</v>
      </c>
      <c r="N8320" t="s">
        <v>45095</v>
      </c>
      <c r="O8320" t="s">
        <v>45096</v>
      </c>
      <c r="P8320">
        <v>0</v>
      </c>
      <c r="Q8320">
        <v>6</v>
      </c>
      <c r="R8320" t="s">
        <v>45104</v>
      </c>
      <c r="S8320" t="s">
        <v>45304</v>
      </c>
      <c r="T8320" t="s">
        <v>46988</v>
      </c>
      <c r="U8320" t="s">
        <v>54398</v>
      </c>
      <c r="V8320" t="s">
        <v>60719</v>
      </c>
      <c r="W8320" t="s">
        <v>44062</v>
      </c>
      <c r="X8320" t="s">
        <v>45109</v>
      </c>
    </row>
    <row r="8321" spans="1:24">
      <c r="A8321">
        <f>HYPERLINK("https://www.philgeps.gov.ph/GEPSNONPILOT/Tender/SplashBidNoticeAbstractUI.aspx?menuIndex=3&amp;refID=7030479&amp;Result=3","7030479")</f>
        <v>0</v>
      </c>
      <c r="B8321" t="s">
        <v>73</v>
      </c>
      <c r="C8321" t="s">
        <v>11132</v>
      </c>
      <c r="D8321" t="s">
        <v>18041</v>
      </c>
      <c r="E8321" t="s">
        <v>25407</v>
      </c>
      <c r="F8321" t="s">
        <v>31574</v>
      </c>
      <c r="G8321" t="s">
        <v>31582</v>
      </c>
      <c r="H8321" t="s">
        <v>31590</v>
      </c>
      <c r="I8321" t="s">
        <v>31602</v>
      </c>
      <c r="J8321" t="s">
        <v>33951</v>
      </c>
      <c r="K8321" t="s">
        <v>41184</v>
      </c>
      <c r="M8321" t="s">
        <v>41557</v>
      </c>
      <c r="N8321" t="s">
        <v>45095</v>
      </c>
      <c r="O8321" t="s">
        <v>45096</v>
      </c>
      <c r="P8321">
        <v>0</v>
      </c>
      <c r="Q8321">
        <v>0</v>
      </c>
      <c r="R8321" t="s">
        <v>45104</v>
      </c>
      <c r="S8321" t="s">
        <v>45304</v>
      </c>
      <c r="T8321" t="s">
        <v>47197</v>
      </c>
      <c r="U8321" t="s">
        <v>54399</v>
      </c>
      <c r="V8321" t="s">
        <v>59867</v>
      </c>
      <c r="W8321" t="s">
        <v>41557</v>
      </c>
      <c r="X8321" t="s">
        <v>45108</v>
      </c>
    </row>
    <row r="8322" spans="1:24">
      <c r="A8322">
        <f>HYPERLINK("https://www.philgeps.gov.ph/GEPSNONPILOT/Tender/SplashBidNoticeAbstractUI.aspx?menuIndex=3&amp;refID=7028509&amp;Result=3","7028509")</f>
        <v>0</v>
      </c>
      <c r="B8322" t="s">
        <v>1200</v>
      </c>
      <c r="C8322" t="s">
        <v>11133</v>
      </c>
      <c r="E8322" t="s">
        <v>25408</v>
      </c>
      <c r="F8322" t="s">
        <v>31574</v>
      </c>
      <c r="G8322" t="s">
        <v>31582</v>
      </c>
      <c r="H8322" t="s">
        <v>31591</v>
      </c>
      <c r="I8322" t="s">
        <v>8822</v>
      </c>
      <c r="J8322" t="s">
        <v>37020</v>
      </c>
      <c r="K8322" t="s">
        <v>41184</v>
      </c>
      <c r="M8322" t="s">
        <v>42760</v>
      </c>
      <c r="N8322" t="s">
        <v>45095</v>
      </c>
      <c r="O8322" t="s">
        <v>45096</v>
      </c>
      <c r="P8322">
        <v>0</v>
      </c>
      <c r="Q8322">
        <v>0</v>
      </c>
      <c r="R8322" t="s">
        <v>45104</v>
      </c>
      <c r="S8322" t="s">
        <v>45304</v>
      </c>
      <c r="T8322" t="s">
        <v>47159</v>
      </c>
      <c r="U8322" t="s">
        <v>54400</v>
      </c>
      <c r="W8322" t="s">
        <v>42760</v>
      </c>
      <c r="X8322" t="s">
        <v>45109</v>
      </c>
    </row>
    <row r="8323" spans="1:24">
      <c r="A8323">
        <f>HYPERLINK("https://www.philgeps.gov.ph/GEPSNONPILOT/Tender/SplashBidNoticeAbstractUI.aspx?menuIndex=3&amp;refID=7030447&amp;Result=3","7030447")</f>
        <v>0</v>
      </c>
      <c r="B8323" t="s">
        <v>2348</v>
      </c>
      <c r="C8323" t="s">
        <v>11134</v>
      </c>
      <c r="D8323" t="s">
        <v>18068</v>
      </c>
      <c r="E8323" t="s">
        <v>25409</v>
      </c>
      <c r="F8323" t="s">
        <v>31574</v>
      </c>
      <c r="G8323" t="s">
        <v>31582</v>
      </c>
      <c r="H8323" t="s">
        <v>31591</v>
      </c>
      <c r="I8323" t="s">
        <v>8822</v>
      </c>
      <c r="J8323" t="s">
        <v>37021</v>
      </c>
      <c r="K8323" t="s">
        <v>41367</v>
      </c>
      <c r="M8323" t="s">
        <v>44065</v>
      </c>
      <c r="N8323" t="s">
        <v>45095</v>
      </c>
      <c r="O8323" t="s">
        <v>45096</v>
      </c>
      <c r="P8323">
        <v>0</v>
      </c>
      <c r="Q8323">
        <v>0</v>
      </c>
      <c r="R8323" t="s">
        <v>45104</v>
      </c>
      <c r="S8323" t="s">
        <v>45304</v>
      </c>
      <c r="T8323" t="s">
        <v>46988</v>
      </c>
      <c r="U8323" t="s">
        <v>54401</v>
      </c>
      <c r="W8323" t="s">
        <v>44065</v>
      </c>
      <c r="X8323" t="s">
        <v>45108</v>
      </c>
    </row>
    <row r="8324" spans="1:24">
      <c r="A8324">
        <f>HYPERLINK("https://www.philgeps.gov.ph/GEPSNONPILOT/Tender/SplashBidNoticeAbstractUI.aspx?menuIndex=3&amp;refID=7030434&amp;Result=3","7030434")</f>
        <v>0</v>
      </c>
      <c r="B8324" t="s">
        <v>73</v>
      </c>
      <c r="C8324" t="s">
        <v>11135</v>
      </c>
      <c r="D8324" t="s">
        <v>18041</v>
      </c>
      <c r="E8324" t="s">
        <v>25410</v>
      </c>
      <c r="F8324" t="s">
        <v>31574</v>
      </c>
      <c r="G8324" t="s">
        <v>31582</v>
      </c>
      <c r="H8324" t="s">
        <v>31590</v>
      </c>
      <c r="I8324" t="s">
        <v>31620</v>
      </c>
      <c r="J8324" t="s">
        <v>37022</v>
      </c>
      <c r="K8324" t="s">
        <v>41184</v>
      </c>
      <c r="M8324" t="s">
        <v>41557</v>
      </c>
      <c r="N8324" t="s">
        <v>45095</v>
      </c>
      <c r="O8324" t="s">
        <v>45096</v>
      </c>
      <c r="P8324">
        <v>0</v>
      </c>
      <c r="Q8324">
        <v>2</v>
      </c>
      <c r="R8324" t="s">
        <v>45104</v>
      </c>
      <c r="S8324" t="s">
        <v>45304</v>
      </c>
      <c r="T8324" t="s">
        <v>47197</v>
      </c>
      <c r="U8324" t="s">
        <v>54402</v>
      </c>
      <c r="V8324" t="s">
        <v>59867</v>
      </c>
      <c r="W8324" t="s">
        <v>41557</v>
      </c>
      <c r="X8324" t="s">
        <v>45108</v>
      </c>
    </row>
    <row r="8325" spans="1:24">
      <c r="A8325">
        <f>HYPERLINK("https://www.philgeps.gov.ph/GEPSNONPILOT/Tender/SplashBidNoticeAbstractUI.aspx?menuIndex=3&amp;refID=7030254&amp;Result=3","7030254")</f>
        <v>0</v>
      </c>
      <c r="B8325" t="s">
        <v>443</v>
      </c>
      <c r="C8325" t="s">
        <v>11136</v>
      </c>
      <c r="D8325" t="s">
        <v>18062</v>
      </c>
      <c r="E8325" t="s">
        <v>25411</v>
      </c>
      <c r="F8325" t="s">
        <v>31574</v>
      </c>
      <c r="G8325" t="s">
        <v>31582</v>
      </c>
      <c r="H8325" t="s">
        <v>31591</v>
      </c>
      <c r="I8325" t="s">
        <v>8822</v>
      </c>
      <c r="J8325" t="s">
        <v>34980</v>
      </c>
      <c r="K8325" t="s">
        <v>41267</v>
      </c>
      <c r="M8325" t="s">
        <v>41936</v>
      </c>
      <c r="N8325" t="s">
        <v>45095</v>
      </c>
      <c r="O8325" t="s">
        <v>45096</v>
      </c>
      <c r="P8325">
        <v>0</v>
      </c>
      <c r="Q8325">
        <v>5</v>
      </c>
      <c r="R8325" t="s">
        <v>45104</v>
      </c>
      <c r="S8325" t="s">
        <v>45304</v>
      </c>
      <c r="T8325" t="s">
        <v>47000</v>
      </c>
      <c r="U8325" t="s">
        <v>48547</v>
      </c>
      <c r="V8325" t="s">
        <v>60724</v>
      </c>
      <c r="W8325" t="s">
        <v>41936</v>
      </c>
      <c r="X8325" t="s">
        <v>45108</v>
      </c>
    </row>
    <row r="8326" spans="1:24">
      <c r="A8326">
        <f>HYPERLINK("https://www.philgeps.gov.ph/GEPSNONPILOT/Tender/SplashBidNoticeAbstractUI.aspx?menuIndex=3&amp;refID=7029161&amp;Result=3","7029161")</f>
        <v>0</v>
      </c>
      <c r="B8326" t="s">
        <v>2349</v>
      </c>
      <c r="C8326" t="s">
        <v>11137</v>
      </c>
      <c r="D8326" t="s">
        <v>18079</v>
      </c>
      <c r="E8326" t="s">
        <v>25412</v>
      </c>
      <c r="F8326" t="s">
        <v>31574</v>
      </c>
      <c r="G8326" t="s">
        <v>31582</v>
      </c>
      <c r="H8326" t="s">
        <v>31590</v>
      </c>
      <c r="I8326" t="s">
        <v>31615</v>
      </c>
      <c r="J8326" t="s">
        <v>31730</v>
      </c>
      <c r="K8326" t="s">
        <v>41192</v>
      </c>
      <c r="M8326" t="s">
        <v>44066</v>
      </c>
      <c r="N8326" t="s">
        <v>45095</v>
      </c>
      <c r="O8326" t="s">
        <v>45096</v>
      </c>
      <c r="P8326">
        <v>0</v>
      </c>
      <c r="Q8326">
        <v>11</v>
      </c>
      <c r="R8326" t="s">
        <v>45104</v>
      </c>
      <c r="S8326" t="s">
        <v>45304</v>
      </c>
      <c r="T8326" t="s">
        <v>47232</v>
      </c>
      <c r="U8326" t="s">
        <v>54403</v>
      </c>
      <c r="W8326" t="s">
        <v>44066</v>
      </c>
      <c r="X8326" t="s">
        <v>45109</v>
      </c>
    </row>
    <row r="8327" spans="1:24">
      <c r="A8327">
        <f>HYPERLINK("https://www.philgeps.gov.ph/GEPSNONPILOT/Tender/SplashBidNoticeAbstractUI.aspx?menuIndex=3&amp;refID=7030470&amp;Result=3","7030470")</f>
        <v>0</v>
      </c>
      <c r="B8327" t="s">
        <v>443</v>
      </c>
      <c r="C8327" t="s">
        <v>11138</v>
      </c>
      <c r="D8327" t="s">
        <v>18062</v>
      </c>
      <c r="E8327" t="s">
        <v>25413</v>
      </c>
      <c r="F8327" t="s">
        <v>31574</v>
      </c>
      <c r="G8327" t="s">
        <v>31582</v>
      </c>
      <c r="H8327" t="s">
        <v>31591</v>
      </c>
      <c r="I8327" t="s">
        <v>8822</v>
      </c>
      <c r="J8327" t="s">
        <v>32526</v>
      </c>
      <c r="K8327" t="s">
        <v>41203</v>
      </c>
      <c r="M8327" t="s">
        <v>41936</v>
      </c>
      <c r="N8327" t="s">
        <v>45095</v>
      </c>
      <c r="O8327" t="s">
        <v>45096</v>
      </c>
      <c r="P8327">
        <v>0</v>
      </c>
      <c r="Q8327">
        <v>0</v>
      </c>
      <c r="R8327" t="s">
        <v>45104</v>
      </c>
      <c r="S8327" t="s">
        <v>45304</v>
      </c>
      <c r="T8327" t="s">
        <v>47000</v>
      </c>
      <c r="U8327" t="s">
        <v>48547</v>
      </c>
      <c r="V8327" t="s">
        <v>60725</v>
      </c>
      <c r="W8327" t="s">
        <v>41936</v>
      </c>
      <c r="X8327" t="s">
        <v>45108</v>
      </c>
    </row>
    <row r="8328" spans="1:24">
      <c r="A8328">
        <f>HYPERLINK("https://www.philgeps.gov.ph/GEPSNONPILOT/Tender/SplashBidNoticeAbstractUI.aspx?menuIndex=3&amp;refID=7028972&amp;Result=3","7028972")</f>
        <v>0</v>
      </c>
      <c r="B8328" t="s">
        <v>2350</v>
      </c>
      <c r="C8328" t="s">
        <v>11139</v>
      </c>
      <c r="E8328" t="s">
        <v>25414</v>
      </c>
      <c r="F8328" t="s">
        <v>31574</v>
      </c>
      <c r="G8328" t="s">
        <v>31582</v>
      </c>
      <c r="H8328" t="s">
        <v>31590</v>
      </c>
      <c r="I8328" t="s">
        <v>31595</v>
      </c>
      <c r="J8328" t="s">
        <v>37023</v>
      </c>
      <c r="K8328" t="s">
        <v>41184</v>
      </c>
      <c r="M8328" t="s">
        <v>44067</v>
      </c>
      <c r="N8328" t="s">
        <v>45095</v>
      </c>
      <c r="O8328" t="s">
        <v>45096</v>
      </c>
      <c r="P8328">
        <v>0</v>
      </c>
      <c r="Q8328">
        <v>16</v>
      </c>
      <c r="R8328" t="s">
        <v>45104</v>
      </c>
      <c r="S8328" t="s">
        <v>45304</v>
      </c>
      <c r="T8328" t="s">
        <v>47000</v>
      </c>
      <c r="U8328" t="s">
        <v>54404</v>
      </c>
      <c r="W8328" t="s">
        <v>61735</v>
      </c>
      <c r="X8328" t="s">
        <v>45109</v>
      </c>
    </row>
    <row r="8329" spans="1:24">
      <c r="A8329">
        <f>HYPERLINK("https://www.philgeps.gov.ph/GEPSNONPILOT/Tender/SplashBidNoticeAbstractUI.aspx?menuIndex=3&amp;refID=7030340&amp;Result=3","7030340")</f>
        <v>0</v>
      </c>
      <c r="B8329" t="s">
        <v>73</v>
      </c>
      <c r="C8329" t="s">
        <v>11140</v>
      </c>
      <c r="D8329" t="s">
        <v>18041</v>
      </c>
      <c r="E8329" t="s">
        <v>25415</v>
      </c>
      <c r="F8329" t="s">
        <v>31574</v>
      </c>
      <c r="G8329" t="s">
        <v>31582</v>
      </c>
      <c r="H8329" t="s">
        <v>31590</v>
      </c>
      <c r="I8329" t="s">
        <v>14544</v>
      </c>
      <c r="J8329" t="s">
        <v>31884</v>
      </c>
      <c r="K8329" t="s">
        <v>41184</v>
      </c>
      <c r="M8329" t="s">
        <v>41557</v>
      </c>
      <c r="N8329" t="s">
        <v>45095</v>
      </c>
      <c r="O8329" t="s">
        <v>45096</v>
      </c>
      <c r="P8329">
        <v>0</v>
      </c>
      <c r="Q8329">
        <v>0</v>
      </c>
      <c r="R8329" t="s">
        <v>45104</v>
      </c>
      <c r="S8329" t="s">
        <v>45304</v>
      </c>
      <c r="T8329" t="s">
        <v>47197</v>
      </c>
      <c r="U8329" t="s">
        <v>54405</v>
      </c>
      <c r="V8329" t="s">
        <v>59867</v>
      </c>
      <c r="W8329" t="s">
        <v>41557</v>
      </c>
      <c r="X8329" t="s">
        <v>45108</v>
      </c>
    </row>
    <row r="8330" spans="1:24">
      <c r="A8330">
        <f>HYPERLINK("https://www.philgeps.gov.ph/GEPSNONPILOT/Tender/SplashBidNoticeAbstractUI.aspx?menuIndex=3&amp;refID=7030350&amp;Result=3","7030350")</f>
        <v>0</v>
      </c>
      <c r="B8330" t="s">
        <v>419</v>
      </c>
      <c r="C8330" t="s">
        <v>11141</v>
      </c>
      <c r="D8330" t="s">
        <v>18029</v>
      </c>
      <c r="E8330" t="s">
        <v>25416</v>
      </c>
      <c r="F8330" t="s">
        <v>31574</v>
      </c>
      <c r="G8330" t="s">
        <v>31582</v>
      </c>
      <c r="H8330" t="s">
        <v>31590</v>
      </c>
      <c r="I8330" t="s">
        <v>31602</v>
      </c>
      <c r="J8330" t="s">
        <v>37024</v>
      </c>
      <c r="K8330" t="s">
        <v>41186</v>
      </c>
      <c r="M8330" t="s">
        <v>41911</v>
      </c>
      <c r="N8330" t="s">
        <v>45095</v>
      </c>
      <c r="O8330" t="s">
        <v>45096</v>
      </c>
      <c r="P8330">
        <v>0</v>
      </c>
      <c r="Q8330">
        <v>0</v>
      </c>
      <c r="R8330" t="s">
        <v>45104</v>
      </c>
      <c r="S8330" t="s">
        <v>45304</v>
      </c>
      <c r="T8330" t="s">
        <v>46936</v>
      </c>
      <c r="U8330" t="s">
        <v>54406</v>
      </c>
      <c r="W8330" t="s">
        <v>41911</v>
      </c>
      <c r="X8330" t="s">
        <v>45108</v>
      </c>
    </row>
    <row r="8331" spans="1:24">
      <c r="A8331">
        <f>HYPERLINK("https://www.philgeps.gov.ph/GEPSNONPILOT/Tender/SplashBidNoticeAbstractUI.aspx?menuIndex=3&amp;refID=7030405&amp;Result=3","7030405")</f>
        <v>0</v>
      </c>
      <c r="B8331" t="s">
        <v>443</v>
      </c>
      <c r="C8331" t="s">
        <v>11142</v>
      </c>
      <c r="D8331" t="s">
        <v>18062</v>
      </c>
      <c r="E8331" t="s">
        <v>25417</v>
      </c>
      <c r="F8331" t="s">
        <v>31574</v>
      </c>
      <c r="G8331" t="s">
        <v>31582</v>
      </c>
      <c r="H8331" t="s">
        <v>31591</v>
      </c>
      <c r="I8331" t="s">
        <v>8822</v>
      </c>
      <c r="J8331" t="s">
        <v>32526</v>
      </c>
      <c r="K8331" t="s">
        <v>41203</v>
      </c>
      <c r="M8331" t="s">
        <v>41936</v>
      </c>
      <c r="N8331" t="s">
        <v>45095</v>
      </c>
      <c r="O8331" t="s">
        <v>45096</v>
      </c>
      <c r="P8331">
        <v>0</v>
      </c>
      <c r="Q8331">
        <v>0</v>
      </c>
      <c r="R8331" t="s">
        <v>45104</v>
      </c>
      <c r="S8331" t="s">
        <v>45304</v>
      </c>
      <c r="T8331" t="s">
        <v>47000</v>
      </c>
      <c r="U8331" t="s">
        <v>48547</v>
      </c>
      <c r="V8331" t="s">
        <v>60726</v>
      </c>
      <c r="W8331" t="s">
        <v>41936</v>
      </c>
      <c r="X8331" t="s">
        <v>45108</v>
      </c>
    </row>
    <row r="8332" spans="1:24">
      <c r="A8332">
        <f>HYPERLINK("https://www.philgeps.gov.ph/GEPSNONPILOT/Tender/SplashBidNoticeAbstractUI.aspx?menuIndex=3&amp;refID=7030122&amp;Result=3","7030122")</f>
        <v>0</v>
      </c>
      <c r="B8332" t="s">
        <v>1650</v>
      </c>
      <c r="C8332" t="s">
        <v>11143</v>
      </c>
      <c r="D8332" t="s">
        <v>18046</v>
      </c>
      <c r="E8332" t="s">
        <v>25418</v>
      </c>
      <c r="F8332" t="s">
        <v>31574</v>
      </c>
      <c r="G8332" t="s">
        <v>31582</v>
      </c>
      <c r="H8332" t="s">
        <v>31591</v>
      </c>
      <c r="I8332" t="s">
        <v>8822</v>
      </c>
      <c r="J8332" t="s">
        <v>37025</v>
      </c>
      <c r="K8332" t="s">
        <v>41195</v>
      </c>
      <c r="M8332" t="s">
        <v>43261</v>
      </c>
      <c r="N8332" t="s">
        <v>45095</v>
      </c>
      <c r="O8332" t="s">
        <v>45096</v>
      </c>
      <c r="P8332">
        <v>0</v>
      </c>
      <c r="Q8332">
        <v>1</v>
      </c>
      <c r="R8332" t="s">
        <v>45104</v>
      </c>
      <c r="S8332" t="s">
        <v>45304</v>
      </c>
      <c r="T8332" t="s">
        <v>46956</v>
      </c>
      <c r="U8332" t="s">
        <v>54407</v>
      </c>
      <c r="W8332" t="s">
        <v>43261</v>
      </c>
      <c r="X8332" t="s">
        <v>45108</v>
      </c>
    </row>
    <row r="8333" spans="1:24">
      <c r="A8333">
        <f>HYPERLINK("https://www.philgeps.gov.ph/GEPSNONPILOT/Tender/SplashBidNoticeAbstractUI.aspx?menuIndex=3&amp;refID=7030330&amp;Result=3","7030330")</f>
        <v>0</v>
      </c>
      <c r="B8333" t="s">
        <v>443</v>
      </c>
      <c r="C8333" t="s">
        <v>11144</v>
      </c>
      <c r="D8333" t="s">
        <v>18062</v>
      </c>
      <c r="E8333" t="s">
        <v>25419</v>
      </c>
      <c r="F8333" t="s">
        <v>31574</v>
      </c>
      <c r="G8333" t="s">
        <v>31582</v>
      </c>
      <c r="H8333" t="s">
        <v>31591</v>
      </c>
      <c r="I8333" t="s">
        <v>8822</v>
      </c>
      <c r="J8333" t="s">
        <v>37026</v>
      </c>
      <c r="K8333" t="s">
        <v>41267</v>
      </c>
      <c r="M8333" t="s">
        <v>41936</v>
      </c>
      <c r="N8333" t="s">
        <v>45095</v>
      </c>
      <c r="O8333" t="s">
        <v>45096</v>
      </c>
      <c r="P8333">
        <v>0</v>
      </c>
      <c r="Q8333">
        <v>4</v>
      </c>
      <c r="R8333" t="s">
        <v>45104</v>
      </c>
      <c r="S8333" t="s">
        <v>45304</v>
      </c>
      <c r="T8333" t="s">
        <v>47000</v>
      </c>
      <c r="U8333" t="s">
        <v>48547</v>
      </c>
      <c r="V8333" t="s">
        <v>60727</v>
      </c>
      <c r="W8333" t="s">
        <v>41936</v>
      </c>
      <c r="X8333" t="s">
        <v>45108</v>
      </c>
    </row>
    <row r="8334" spans="1:24">
      <c r="A8334">
        <f>HYPERLINK("https://www.philgeps.gov.ph/GEPSNONPILOT/Tender/SplashBidNoticeAbstractUI.aspx?menuIndex=3&amp;refID=7030226&amp;Result=3","7030226")</f>
        <v>0</v>
      </c>
      <c r="B8334" t="s">
        <v>73</v>
      </c>
      <c r="C8334" t="s">
        <v>11145</v>
      </c>
      <c r="D8334" t="s">
        <v>18041</v>
      </c>
      <c r="E8334" t="s">
        <v>25420</v>
      </c>
      <c r="F8334" t="s">
        <v>31574</v>
      </c>
      <c r="G8334" t="s">
        <v>31582</v>
      </c>
      <c r="H8334" t="s">
        <v>31590</v>
      </c>
      <c r="I8334" t="s">
        <v>14034</v>
      </c>
      <c r="J8334" t="s">
        <v>37027</v>
      </c>
      <c r="K8334" t="s">
        <v>41184</v>
      </c>
      <c r="M8334" t="s">
        <v>41557</v>
      </c>
      <c r="N8334" t="s">
        <v>45095</v>
      </c>
      <c r="O8334" t="s">
        <v>45096</v>
      </c>
      <c r="P8334">
        <v>0</v>
      </c>
      <c r="Q8334">
        <v>0</v>
      </c>
      <c r="R8334" t="s">
        <v>45104</v>
      </c>
      <c r="S8334" t="s">
        <v>45304</v>
      </c>
      <c r="T8334" t="s">
        <v>47197</v>
      </c>
      <c r="U8334" t="s">
        <v>54408</v>
      </c>
      <c r="V8334" t="s">
        <v>60728</v>
      </c>
      <c r="W8334" t="s">
        <v>41557</v>
      </c>
      <c r="X8334" t="s">
        <v>45108</v>
      </c>
    </row>
    <row r="8335" spans="1:24">
      <c r="A8335">
        <f>HYPERLINK("https://www.philgeps.gov.ph/GEPSNONPILOT/Tender/SplashBidNoticeAbstractUI.aspx?menuIndex=3&amp;refID=7030012&amp;Result=3","7030012")</f>
        <v>0</v>
      </c>
      <c r="B8335" t="s">
        <v>2351</v>
      </c>
      <c r="C8335" t="s">
        <v>11146</v>
      </c>
      <c r="D8335" t="s">
        <v>18030</v>
      </c>
      <c r="E8335" t="s">
        <v>25421</v>
      </c>
      <c r="F8335" t="s">
        <v>31574</v>
      </c>
      <c r="G8335" t="s">
        <v>31582</v>
      </c>
      <c r="H8335" t="s">
        <v>31591</v>
      </c>
      <c r="I8335" t="s">
        <v>8822</v>
      </c>
      <c r="J8335" t="s">
        <v>37028</v>
      </c>
      <c r="K8335" t="s">
        <v>41300</v>
      </c>
      <c r="M8335" t="s">
        <v>44068</v>
      </c>
      <c r="N8335" t="s">
        <v>45095</v>
      </c>
      <c r="O8335" t="s">
        <v>45096</v>
      </c>
      <c r="P8335">
        <v>0</v>
      </c>
      <c r="Q8335">
        <v>1</v>
      </c>
      <c r="R8335" t="s">
        <v>45104</v>
      </c>
      <c r="S8335" t="s">
        <v>45304</v>
      </c>
      <c r="T8335" t="s">
        <v>47125</v>
      </c>
      <c r="U8335" t="s">
        <v>54409</v>
      </c>
      <c r="W8335" t="s">
        <v>44068</v>
      </c>
      <c r="X8335" t="s">
        <v>45108</v>
      </c>
    </row>
    <row r="8336" spans="1:24">
      <c r="A8336">
        <f>HYPERLINK("https://www.philgeps.gov.ph/GEPSNONPILOT/Tender/SplashBidNoticeAbstractUI.aspx?menuIndex=3&amp;refID=7029586&amp;Result=3","7029586")</f>
        <v>0</v>
      </c>
      <c r="B8336" t="s">
        <v>2352</v>
      </c>
      <c r="C8336" t="s">
        <v>11147</v>
      </c>
      <c r="E8336" t="s">
        <v>18377</v>
      </c>
      <c r="F8336" t="s">
        <v>31575</v>
      </c>
      <c r="G8336" t="s">
        <v>31586</v>
      </c>
      <c r="H8336" t="s">
        <v>31590</v>
      </c>
      <c r="I8336" t="s">
        <v>4046</v>
      </c>
      <c r="J8336" t="s">
        <v>37029</v>
      </c>
      <c r="K8336" t="s">
        <v>41184</v>
      </c>
      <c r="M8336" t="s">
        <v>44069</v>
      </c>
      <c r="N8336" t="s">
        <v>45095</v>
      </c>
      <c r="O8336" t="s">
        <v>45096</v>
      </c>
      <c r="P8336">
        <v>0</v>
      </c>
      <c r="Q8336">
        <v>1</v>
      </c>
      <c r="R8336" t="s">
        <v>45104</v>
      </c>
      <c r="S8336" t="s">
        <v>45304</v>
      </c>
      <c r="T8336" t="s">
        <v>46946</v>
      </c>
      <c r="U8336" t="s">
        <v>54410</v>
      </c>
      <c r="W8336" t="s">
        <v>44069</v>
      </c>
      <c r="X8336" t="s">
        <v>45109</v>
      </c>
    </row>
    <row r="8337" spans="1:24">
      <c r="A8337">
        <f>HYPERLINK("https://www.philgeps.gov.ph/GEPSNONPILOT/Tender/SplashBidNoticeAbstractUI.aspx?menuIndex=3&amp;refID=7029976&amp;Result=3","7029976")</f>
        <v>0</v>
      </c>
      <c r="B8337" t="s">
        <v>189</v>
      </c>
      <c r="C8337" t="s">
        <v>11148</v>
      </c>
      <c r="D8337" t="s">
        <v>18081</v>
      </c>
      <c r="E8337" t="s">
        <v>25422</v>
      </c>
      <c r="F8337" t="s">
        <v>31574</v>
      </c>
      <c r="G8337" t="s">
        <v>31582</v>
      </c>
      <c r="H8337" t="s">
        <v>31590</v>
      </c>
      <c r="I8337" t="s">
        <v>31620</v>
      </c>
      <c r="J8337" t="s">
        <v>31771</v>
      </c>
      <c r="K8337" t="s">
        <v>41192</v>
      </c>
      <c r="M8337" t="s">
        <v>41674</v>
      </c>
      <c r="N8337" t="s">
        <v>45095</v>
      </c>
      <c r="O8337" t="s">
        <v>45096</v>
      </c>
      <c r="P8337">
        <v>0</v>
      </c>
      <c r="Q8337">
        <v>9</v>
      </c>
      <c r="R8337" t="s">
        <v>45104</v>
      </c>
      <c r="S8337" t="s">
        <v>45304</v>
      </c>
      <c r="T8337" t="s">
        <v>47000</v>
      </c>
      <c r="U8337" t="s">
        <v>54411</v>
      </c>
      <c r="W8337" t="s">
        <v>41674</v>
      </c>
      <c r="X8337" t="s">
        <v>45108</v>
      </c>
    </row>
    <row r="8338" spans="1:24">
      <c r="A8338">
        <f>HYPERLINK("https://www.philgeps.gov.ph/GEPSNONPILOT/Tender/SplashBidNoticeAbstractUI.aspx?menuIndex=3&amp;refID=7029581&amp;Result=3","7029581")</f>
        <v>0</v>
      </c>
      <c r="B8338" t="s">
        <v>2352</v>
      </c>
      <c r="C8338" t="s">
        <v>11149</v>
      </c>
      <c r="E8338" t="s">
        <v>18227</v>
      </c>
      <c r="F8338" t="s">
        <v>31575</v>
      </c>
      <c r="G8338" t="s">
        <v>31586</v>
      </c>
      <c r="H8338" t="s">
        <v>31590</v>
      </c>
      <c r="I8338" t="s">
        <v>31607</v>
      </c>
      <c r="J8338" t="s">
        <v>37030</v>
      </c>
      <c r="K8338" t="s">
        <v>41184</v>
      </c>
      <c r="M8338" t="s">
        <v>44069</v>
      </c>
      <c r="N8338" t="s">
        <v>45095</v>
      </c>
      <c r="O8338" t="s">
        <v>45096</v>
      </c>
      <c r="P8338">
        <v>0</v>
      </c>
      <c r="Q8338">
        <v>1</v>
      </c>
      <c r="R8338" t="s">
        <v>45104</v>
      </c>
      <c r="S8338" t="s">
        <v>45304</v>
      </c>
      <c r="T8338" t="s">
        <v>46946</v>
      </c>
      <c r="U8338" t="s">
        <v>54412</v>
      </c>
      <c r="W8338" t="s">
        <v>44069</v>
      </c>
      <c r="X8338" t="s">
        <v>45109</v>
      </c>
    </row>
    <row r="8339" spans="1:24">
      <c r="A8339">
        <f>HYPERLINK("https://www.philgeps.gov.ph/GEPSNONPILOT/Tender/SplashBidNoticeAbstractUI.aspx?menuIndex=3&amp;refID=7030495&amp;Result=3","7030495")</f>
        <v>0</v>
      </c>
      <c r="B8339" t="s">
        <v>73</v>
      </c>
      <c r="C8339" t="s">
        <v>11150</v>
      </c>
      <c r="D8339" t="s">
        <v>18041</v>
      </c>
      <c r="E8339" t="s">
        <v>25423</v>
      </c>
      <c r="F8339" t="s">
        <v>31574</v>
      </c>
      <c r="G8339" t="s">
        <v>31582</v>
      </c>
      <c r="H8339" t="s">
        <v>31590</v>
      </c>
      <c r="I8339" t="s">
        <v>14544</v>
      </c>
      <c r="J8339" t="s">
        <v>37031</v>
      </c>
      <c r="K8339" t="s">
        <v>41184</v>
      </c>
      <c r="M8339" t="s">
        <v>41557</v>
      </c>
      <c r="N8339" t="s">
        <v>45095</v>
      </c>
      <c r="O8339" t="s">
        <v>45096</v>
      </c>
      <c r="P8339">
        <v>0</v>
      </c>
      <c r="Q8339">
        <v>0</v>
      </c>
      <c r="R8339" t="s">
        <v>45104</v>
      </c>
      <c r="S8339" t="s">
        <v>45304</v>
      </c>
      <c r="T8339" t="s">
        <v>47197</v>
      </c>
      <c r="U8339" t="s">
        <v>54413</v>
      </c>
      <c r="V8339" t="s">
        <v>59867</v>
      </c>
      <c r="W8339" t="s">
        <v>41557</v>
      </c>
      <c r="X8339" t="s">
        <v>45108</v>
      </c>
    </row>
    <row r="8340" spans="1:24">
      <c r="A8340">
        <f>HYPERLINK("https://www.philgeps.gov.ph/GEPSNONPILOT/Tender/SplashBidNoticeAbstractUI.aspx?menuIndex=3&amp;refID=7029603&amp;Result=3","7029603")</f>
        <v>0</v>
      </c>
      <c r="B8340" t="s">
        <v>1098</v>
      </c>
      <c r="C8340" t="s">
        <v>11151</v>
      </c>
      <c r="D8340" t="s">
        <v>18055</v>
      </c>
      <c r="E8340" t="s">
        <v>25424</v>
      </c>
      <c r="F8340" t="s">
        <v>31574</v>
      </c>
      <c r="G8340" t="s">
        <v>31582</v>
      </c>
      <c r="H8340" t="s">
        <v>31590</v>
      </c>
      <c r="I8340" t="s">
        <v>31614</v>
      </c>
      <c r="J8340" t="s">
        <v>37032</v>
      </c>
      <c r="K8340" t="s">
        <v>41185</v>
      </c>
      <c r="M8340" t="s">
        <v>42647</v>
      </c>
      <c r="N8340" t="s">
        <v>45095</v>
      </c>
      <c r="O8340" t="s">
        <v>45096</v>
      </c>
      <c r="P8340">
        <v>0</v>
      </c>
      <c r="Q8340">
        <v>4</v>
      </c>
      <c r="R8340" t="s">
        <v>45104</v>
      </c>
      <c r="S8340" t="s">
        <v>45304</v>
      </c>
      <c r="T8340" t="s">
        <v>47267</v>
      </c>
      <c r="U8340" t="s">
        <v>54414</v>
      </c>
      <c r="V8340" t="s">
        <v>60729</v>
      </c>
      <c r="W8340" t="s">
        <v>42647</v>
      </c>
      <c r="X8340" t="s">
        <v>45109</v>
      </c>
    </row>
    <row r="8341" spans="1:24">
      <c r="A8341">
        <f>HYPERLINK("https://www.philgeps.gov.ph/GEPSNONPILOT/Tender/SplashBidNoticeAbstractUI.aspx?menuIndex=3&amp;refID=7030328&amp;Result=3","7030328")</f>
        <v>0</v>
      </c>
      <c r="B8341" t="s">
        <v>73</v>
      </c>
      <c r="C8341" t="s">
        <v>11152</v>
      </c>
      <c r="D8341" t="s">
        <v>18041</v>
      </c>
      <c r="E8341" t="s">
        <v>25425</v>
      </c>
      <c r="F8341" t="s">
        <v>31574</v>
      </c>
      <c r="G8341" t="s">
        <v>31582</v>
      </c>
      <c r="H8341" t="s">
        <v>31590</v>
      </c>
      <c r="I8341" t="s">
        <v>14544</v>
      </c>
      <c r="J8341" t="s">
        <v>33807</v>
      </c>
      <c r="K8341" t="s">
        <v>41184</v>
      </c>
      <c r="M8341" t="s">
        <v>41557</v>
      </c>
      <c r="N8341" t="s">
        <v>45095</v>
      </c>
      <c r="O8341" t="s">
        <v>45096</v>
      </c>
      <c r="P8341">
        <v>0</v>
      </c>
      <c r="Q8341">
        <v>1</v>
      </c>
      <c r="R8341" t="s">
        <v>45104</v>
      </c>
      <c r="S8341" t="s">
        <v>45304</v>
      </c>
      <c r="T8341" t="s">
        <v>47197</v>
      </c>
      <c r="U8341" t="s">
        <v>54415</v>
      </c>
      <c r="V8341" t="s">
        <v>59867</v>
      </c>
      <c r="W8341" t="s">
        <v>41557</v>
      </c>
      <c r="X8341" t="s">
        <v>45108</v>
      </c>
    </row>
    <row r="8342" spans="1:24">
      <c r="A8342">
        <f>HYPERLINK("https://www.philgeps.gov.ph/GEPSNONPILOT/Tender/SplashBidNoticeAbstractUI.aspx?menuIndex=3&amp;refID=7030587&amp;Result=3","7030587")</f>
        <v>0</v>
      </c>
      <c r="B8342" t="s">
        <v>2348</v>
      </c>
      <c r="C8342" t="s">
        <v>11153</v>
      </c>
      <c r="D8342" t="s">
        <v>18068</v>
      </c>
      <c r="E8342" t="s">
        <v>25426</v>
      </c>
      <c r="F8342" t="s">
        <v>31574</v>
      </c>
      <c r="G8342" t="s">
        <v>31582</v>
      </c>
      <c r="H8342" t="s">
        <v>31591</v>
      </c>
      <c r="I8342" t="s">
        <v>8822</v>
      </c>
      <c r="J8342" t="s">
        <v>37033</v>
      </c>
      <c r="K8342" t="s">
        <v>41246</v>
      </c>
      <c r="M8342" t="s">
        <v>44065</v>
      </c>
      <c r="N8342" t="s">
        <v>45095</v>
      </c>
      <c r="O8342" t="s">
        <v>45096</v>
      </c>
      <c r="P8342">
        <v>0</v>
      </c>
      <c r="Q8342">
        <v>0</v>
      </c>
      <c r="R8342" t="s">
        <v>45104</v>
      </c>
      <c r="S8342" t="s">
        <v>45304</v>
      </c>
      <c r="T8342" t="s">
        <v>46988</v>
      </c>
      <c r="U8342" t="s">
        <v>54416</v>
      </c>
      <c r="W8342" t="s">
        <v>44065</v>
      </c>
      <c r="X8342" t="s">
        <v>45108</v>
      </c>
    </row>
    <row r="8343" spans="1:24">
      <c r="A8343">
        <f>HYPERLINK("https://www.philgeps.gov.ph/GEPSNONPILOT/Tender/SplashBidNoticeAbstractUI.aspx?menuIndex=3&amp;refID=7030608&amp;Result=3","7030608")</f>
        <v>0</v>
      </c>
      <c r="B8343" t="s">
        <v>73</v>
      </c>
      <c r="C8343" t="s">
        <v>11154</v>
      </c>
      <c r="D8343" t="s">
        <v>18041</v>
      </c>
      <c r="E8343" t="s">
        <v>25427</v>
      </c>
      <c r="F8343" t="s">
        <v>31574</v>
      </c>
      <c r="G8343" t="s">
        <v>31582</v>
      </c>
      <c r="H8343" t="s">
        <v>31590</v>
      </c>
      <c r="I8343" t="s">
        <v>31608</v>
      </c>
      <c r="J8343" t="s">
        <v>32939</v>
      </c>
      <c r="K8343" t="s">
        <v>41184</v>
      </c>
      <c r="M8343" t="s">
        <v>41557</v>
      </c>
      <c r="N8343" t="s">
        <v>45095</v>
      </c>
      <c r="O8343" t="s">
        <v>45096</v>
      </c>
      <c r="P8343">
        <v>0</v>
      </c>
      <c r="Q8343">
        <v>0</v>
      </c>
      <c r="R8343" t="s">
        <v>45104</v>
      </c>
      <c r="S8343" t="s">
        <v>45304</v>
      </c>
      <c r="T8343" t="s">
        <v>47197</v>
      </c>
      <c r="U8343" t="s">
        <v>54417</v>
      </c>
      <c r="V8343" t="s">
        <v>59867</v>
      </c>
      <c r="W8343" t="s">
        <v>41557</v>
      </c>
      <c r="X8343" t="s">
        <v>45108</v>
      </c>
    </row>
    <row r="8344" spans="1:24">
      <c r="A8344">
        <f>HYPERLINK("https://www.philgeps.gov.ph/GEPSNONPILOT/Tender/SplashBidNoticeAbstractUI.aspx?menuIndex=3&amp;refID=7030623&amp;Result=3","7030623")</f>
        <v>0</v>
      </c>
      <c r="B8344" t="s">
        <v>2353</v>
      </c>
      <c r="C8344" t="s">
        <v>11155</v>
      </c>
      <c r="D8344" t="s">
        <v>18039</v>
      </c>
      <c r="E8344" t="s">
        <v>25428</v>
      </c>
      <c r="F8344" t="s">
        <v>31574</v>
      </c>
      <c r="G8344" t="s">
        <v>31582</v>
      </c>
      <c r="H8344" t="s">
        <v>31591</v>
      </c>
      <c r="I8344" t="s">
        <v>8822</v>
      </c>
      <c r="J8344" t="s">
        <v>31935</v>
      </c>
      <c r="K8344" t="s">
        <v>41192</v>
      </c>
      <c r="M8344" t="s">
        <v>44070</v>
      </c>
      <c r="N8344" t="s">
        <v>45095</v>
      </c>
      <c r="O8344" t="s">
        <v>45096</v>
      </c>
      <c r="P8344">
        <v>0</v>
      </c>
      <c r="Q8344">
        <v>0</v>
      </c>
      <c r="R8344" t="s">
        <v>45104</v>
      </c>
      <c r="S8344" t="s">
        <v>45304</v>
      </c>
      <c r="T8344" t="s">
        <v>47245</v>
      </c>
      <c r="U8344" t="s">
        <v>54418</v>
      </c>
      <c r="V8344" t="s">
        <v>54418</v>
      </c>
      <c r="W8344" t="s">
        <v>44070</v>
      </c>
      <c r="X8344" t="s">
        <v>45108</v>
      </c>
    </row>
    <row r="8345" spans="1:24">
      <c r="A8345">
        <f>HYPERLINK("https://www.philgeps.gov.ph/GEPSNONPILOT/Tender/SplashBidNoticeAbstractUI.aspx?menuIndex=3&amp;refID=7030617&amp;Result=3","7030617")</f>
        <v>0</v>
      </c>
      <c r="B8345" t="s">
        <v>2354</v>
      </c>
      <c r="C8345" t="s">
        <v>11156</v>
      </c>
      <c r="D8345" t="s">
        <v>18042</v>
      </c>
      <c r="E8345" t="s">
        <v>25429</v>
      </c>
      <c r="F8345" t="s">
        <v>31574</v>
      </c>
      <c r="G8345" t="s">
        <v>31582</v>
      </c>
      <c r="H8345" t="s">
        <v>31590</v>
      </c>
      <c r="I8345" t="s">
        <v>31615</v>
      </c>
      <c r="J8345" t="s">
        <v>32530</v>
      </c>
      <c r="K8345" t="s">
        <v>41185</v>
      </c>
      <c r="M8345" t="s">
        <v>44071</v>
      </c>
      <c r="N8345" t="s">
        <v>45095</v>
      </c>
      <c r="O8345" t="s">
        <v>45096</v>
      </c>
      <c r="P8345">
        <v>0</v>
      </c>
      <c r="Q8345">
        <v>2</v>
      </c>
      <c r="R8345" t="s">
        <v>45104</v>
      </c>
      <c r="S8345" t="s">
        <v>45304</v>
      </c>
      <c r="T8345" t="s">
        <v>47000</v>
      </c>
      <c r="U8345" t="s">
        <v>54419</v>
      </c>
      <c r="V8345" t="s">
        <v>59888</v>
      </c>
      <c r="W8345" t="s">
        <v>44071</v>
      </c>
      <c r="X8345" t="s">
        <v>45108</v>
      </c>
    </row>
    <row r="8346" spans="1:24">
      <c r="A8346">
        <f>HYPERLINK("https://www.philgeps.gov.ph/GEPSNONPILOT/Tender/SplashBidNoticeAbstractUI.aspx?menuIndex=3&amp;refID=7030601&amp;Result=3","7030601")</f>
        <v>0</v>
      </c>
      <c r="B8346" t="s">
        <v>2348</v>
      </c>
      <c r="C8346" t="s">
        <v>11157</v>
      </c>
      <c r="D8346" t="s">
        <v>18068</v>
      </c>
      <c r="E8346" t="s">
        <v>25426</v>
      </c>
      <c r="F8346" t="s">
        <v>31574</v>
      </c>
      <c r="G8346" t="s">
        <v>31582</v>
      </c>
      <c r="H8346" t="s">
        <v>31591</v>
      </c>
      <c r="I8346" t="s">
        <v>8822</v>
      </c>
      <c r="J8346" t="s">
        <v>37034</v>
      </c>
      <c r="K8346" t="s">
        <v>41201</v>
      </c>
      <c r="M8346" t="s">
        <v>44065</v>
      </c>
      <c r="N8346" t="s">
        <v>45095</v>
      </c>
      <c r="O8346" t="s">
        <v>45096</v>
      </c>
      <c r="P8346">
        <v>0</v>
      </c>
      <c r="Q8346">
        <v>0</v>
      </c>
      <c r="R8346" t="s">
        <v>45104</v>
      </c>
      <c r="S8346" t="s">
        <v>45304</v>
      </c>
      <c r="T8346" t="s">
        <v>47050</v>
      </c>
      <c r="U8346" t="s">
        <v>54420</v>
      </c>
      <c r="W8346" t="s">
        <v>44065</v>
      </c>
      <c r="X8346" t="s">
        <v>45108</v>
      </c>
    </row>
    <row r="8347" spans="1:24">
      <c r="A8347">
        <f>HYPERLINK("https://www.philgeps.gov.ph/GEPSNONPILOT/Tender/SplashBidNoticeAbstractUI.aspx?menuIndex=3&amp;refID=7030667&amp;Result=3","7030667")</f>
        <v>0</v>
      </c>
      <c r="B8347" t="s">
        <v>2348</v>
      </c>
      <c r="C8347" t="s">
        <v>11158</v>
      </c>
      <c r="D8347" t="s">
        <v>18068</v>
      </c>
      <c r="E8347" t="s">
        <v>25430</v>
      </c>
      <c r="F8347" t="s">
        <v>31574</v>
      </c>
      <c r="G8347" t="s">
        <v>31582</v>
      </c>
      <c r="H8347" t="s">
        <v>31591</v>
      </c>
      <c r="I8347" t="s">
        <v>8822</v>
      </c>
      <c r="J8347" t="s">
        <v>37035</v>
      </c>
      <c r="K8347" t="s">
        <v>41192</v>
      </c>
      <c r="M8347" t="s">
        <v>44065</v>
      </c>
      <c r="N8347" t="s">
        <v>45095</v>
      </c>
      <c r="O8347" t="s">
        <v>45096</v>
      </c>
      <c r="P8347">
        <v>0</v>
      </c>
      <c r="Q8347">
        <v>0</v>
      </c>
      <c r="R8347" t="s">
        <v>45104</v>
      </c>
      <c r="S8347" t="s">
        <v>45304</v>
      </c>
      <c r="T8347" t="s">
        <v>46988</v>
      </c>
      <c r="U8347" t="s">
        <v>54421</v>
      </c>
      <c r="W8347" t="s">
        <v>44065</v>
      </c>
      <c r="X8347" t="s">
        <v>45108</v>
      </c>
    </row>
    <row r="8348" spans="1:24">
      <c r="A8348">
        <f>HYPERLINK("https://www.philgeps.gov.ph/GEPSNONPILOT/Tender/SplashBidNoticeAbstractUI.aspx?menuIndex=3&amp;refID=7030640&amp;Result=3","7030640")</f>
        <v>0</v>
      </c>
      <c r="B8348" t="s">
        <v>2348</v>
      </c>
      <c r="C8348" t="s">
        <v>11159</v>
      </c>
      <c r="D8348" t="s">
        <v>18068</v>
      </c>
      <c r="E8348" t="s">
        <v>25431</v>
      </c>
      <c r="F8348" t="s">
        <v>31574</v>
      </c>
      <c r="G8348" t="s">
        <v>31582</v>
      </c>
      <c r="H8348" t="s">
        <v>31591</v>
      </c>
      <c r="I8348" t="s">
        <v>8822</v>
      </c>
      <c r="J8348" t="s">
        <v>37036</v>
      </c>
      <c r="K8348" t="s">
        <v>41228</v>
      </c>
      <c r="M8348" t="s">
        <v>44065</v>
      </c>
      <c r="N8348" t="s">
        <v>45095</v>
      </c>
      <c r="O8348" t="s">
        <v>45096</v>
      </c>
      <c r="P8348">
        <v>0</v>
      </c>
      <c r="Q8348">
        <v>0</v>
      </c>
      <c r="R8348" t="s">
        <v>45104</v>
      </c>
      <c r="S8348" t="s">
        <v>45304</v>
      </c>
      <c r="T8348" t="s">
        <v>46988</v>
      </c>
      <c r="U8348" t="s">
        <v>54422</v>
      </c>
      <c r="W8348" t="s">
        <v>44065</v>
      </c>
      <c r="X8348" t="s">
        <v>45108</v>
      </c>
    </row>
    <row r="8349" spans="1:24">
      <c r="A8349">
        <f>HYPERLINK("https://www.philgeps.gov.ph/GEPSNONPILOT/Tender/SplashBidNoticeAbstractUI.aspx?menuIndex=3&amp;refID=7030663&amp;Result=3","7030663")</f>
        <v>0</v>
      </c>
      <c r="B8349" t="s">
        <v>2353</v>
      </c>
      <c r="C8349" t="s">
        <v>11160</v>
      </c>
      <c r="D8349" t="s">
        <v>18039</v>
      </c>
      <c r="E8349" t="s">
        <v>25432</v>
      </c>
      <c r="F8349" t="s">
        <v>31574</v>
      </c>
      <c r="G8349" t="s">
        <v>31582</v>
      </c>
      <c r="H8349" t="s">
        <v>31591</v>
      </c>
      <c r="I8349" t="s">
        <v>8822</v>
      </c>
      <c r="J8349" t="s">
        <v>32019</v>
      </c>
      <c r="K8349" t="s">
        <v>41185</v>
      </c>
      <c r="M8349" t="s">
        <v>44070</v>
      </c>
      <c r="N8349" t="s">
        <v>45095</v>
      </c>
      <c r="O8349" t="s">
        <v>45096</v>
      </c>
      <c r="P8349">
        <v>0</v>
      </c>
      <c r="Q8349">
        <v>0</v>
      </c>
      <c r="R8349" t="s">
        <v>45104</v>
      </c>
      <c r="S8349" t="s">
        <v>45304</v>
      </c>
      <c r="T8349" t="s">
        <v>47056</v>
      </c>
      <c r="U8349" t="s">
        <v>54423</v>
      </c>
      <c r="V8349" t="s">
        <v>54423</v>
      </c>
      <c r="W8349" t="s">
        <v>44070</v>
      </c>
      <c r="X8349" t="s">
        <v>45108</v>
      </c>
    </row>
    <row r="8350" spans="1:24">
      <c r="A8350">
        <f>HYPERLINK("https://www.philgeps.gov.ph/GEPSNONPILOT/Tender/SplashBidNoticeAbstractUI.aspx?menuIndex=3&amp;refID=7030314&amp;Result=3","7030314")</f>
        <v>0</v>
      </c>
      <c r="B8350" t="s">
        <v>73</v>
      </c>
      <c r="C8350" t="s">
        <v>11161</v>
      </c>
      <c r="D8350" t="s">
        <v>18041</v>
      </c>
      <c r="E8350" t="s">
        <v>25433</v>
      </c>
      <c r="F8350" t="s">
        <v>31574</v>
      </c>
      <c r="G8350" t="s">
        <v>31582</v>
      </c>
      <c r="H8350" t="s">
        <v>31590</v>
      </c>
      <c r="I8350" t="s">
        <v>31608</v>
      </c>
      <c r="J8350" t="s">
        <v>31754</v>
      </c>
      <c r="K8350" t="s">
        <v>41184</v>
      </c>
      <c r="M8350" t="s">
        <v>41557</v>
      </c>
      <c r="N8350" t="s">
        <v>45095</v>
      </c>
      <c r="O8350" t="s">
        <v>45096</v>
      </c>
      <c r="P8350">
        <v>0</v>
      </c>
      <c r="Q8350">
        <v>1</v>
      </c>
      <c r="R8350" t="s">
        <v>45104</v>
      </c>
      <c r="S8350" t="s">
        <v>45304</v>
      </c>
      <c r="T8350" t="s">
        <v>47197</v>
      </c>
      <c r="U8350" t="s">
        <v>54424</v>
      </c>
      <c r="V8350" t="s">
        <v>59867</v>
      </c>
      <c r="W8350" t="s">
        <v>41557</v>
      </c>
      <c r="X8350" t="s">
        <v>45108</v>
      </c>
    </row>
    <row r="8351" spans="1:24">
      <c r="A8351">
        <f>HYPERLINK("https://www.philgeps.gov.ph/GEPSNONPILOT/Tender/SplashBidNoticeAbstractUI.aspx?menuIndex=3&amp;refID=7030580&amp;Result=3","7030580")</f>
        <v>0</v>
      </c>
      <c r="B8351" t="s">
        <v>73</v>
      </c>
      <c r="C8351" t="s">
        <v>11162</v>
      </c>
      <c r="D8351" t="s">
        <v>18041</v>
      </c>
      <c r="E8351" t="s">
        <v>25434</v>
      </c>
      <c r="F8351" t="s">
        <v>31574</v>
      </c>
      <c r="G8351" t="s">
        <v>31582</v>
      </c>
      <c r="H8351" t="s">
        <v>31590</v>
      </c>
      <c r="I8351" t="s">
        <v>31602</v>
      </c>
      <c r="J8351" t="s">
        <v>37037</v>
      </c>
      <c r="K8351" t="s">
        <v>41184</v>
      </c>
      <c r="M8351" t="s">
        <v>41557</v>
      </c>
      <c r="N8351" t="s">
        <v>45095</v>
      </c>
      <c r="O8351" t="s">
        <v>45096</v>
      </c>
      <c r="P8351">
        <v>0</v>
      </c>
      <c r="Q8351">
        <v>0</v>
      </c>
      <c r="R8351" t="s">
        <v>45104</v>
      </c>
      <c r="S8351" t="s">
        <v>45304</v>
      </c>
      <c r="T8351" t="s">
        <v>47197</v>
      </c>
      <c r="U8351" t="s">
        <v>54425</v>
      </c>
      <c r="V8351" t="s">
        <v>59867</v>
      </c>
      <c r="W8351" t="s">
        <v>41557</v>
      </c>
      <c r="X8351" t="s">
        <v>45108</v>
      </c>
    </row>
    <row r="8352" spans="1:24">
      <c r="A8352">
        <f>HYPERLINK("https://www.philgeps.gov.ph/GEPSNONPILOT/Tender/SplashBidNoticeAbstractUI.aspx?menuIndex=3&amp;refID=7030651&amp;Result=3","7030651")</f>
        <v>0</v>
      </c>
      <c r="B8352" t="s">
        <v>73</v>
      </c>
      <c r="C8352" t="s">
        <v>11163</v>
      </c>
      <c r="D8352" t="s">
        <v>18041</v>
      </c>
      <c r="E8352" t="s">
        <v>25435</v>
      </c>
      <c r="F8352" t="s">
        <v>31574</v>
      </c>
      <c r="G8352" t="s">
        <v>31582</v>
      </c>
      <c r="H8352" t="s">
        <v>31590</v>
      </c>
      <c r="I8352" t="s">
        <v>31602</v>
      </c>
      <c r="J8352" t="s">
        <v>37038</v>
      </c>
      <c r="K8352" t="s">
        <v>41184</v>
      </c>
      <c r="M8352" t="s">
        <v>41557</v>
      </c>
      <c r="N8352" t="s">
        <v>45095</v>
      </c>
      <c r="O8352" t="s">
        <v>45096</v>
      </c>
      <c r="P8352">
        <v>0</v>
      </c>
      <c r="Q8352">
        <v>0</v>
      </c>
      <c r="R8352" t="s">
        <v>45104</v>
      </c>
      <c r="S8352" t="s">
        <v>45304</v>
      </c>
      <c r="T8352" t="s">
        <v>47197</v>
      </c>
      <c r="U8352" t="s">
        <v>54426</v>
      </c>
      <c r="V8352" t="s">
        <v>59867</v>
      </c>
      <c r="W8352" t="s">
        <v>41557</v>
      </c>
      <c r="X8352" t="s">
        <v>45108</v>
      </c>
    </row>
    <row r="8353" spans="1:24">
      <c r="A8353">
        <f>HYPERLINK("https://www.philgeps.gov.ph/GEPSNONPILOT/Tender/SplashBidNoticeAbstractUI.aspx?menuIndex=3&amp;refID=7030653&amp;Result=3","7030653")</f>
        <v>0</v>
      </c>
      <c r="B8353" t="s">
        <v>1200</v>
      </c>
      <c r="C8353" t="s">
        <v>11164</v>
      </c>
      <c r="E8353" t="s">
        <v>25408</v>
      </c>
      <c r="F8353" t="s">
        <v>31574</v>
      </c>
      <c r="G8353" t="s">
        <v>31582</v>
      </c>
      <c r="H8353" t="s">
        <v>31590</v>
      </c>
      <c r="I8353" t="s">
        <v>8822</v>
      </c>
      <c r="J8353" t="s">
        <v>37039</v>
      </c>
      <c r="K8353" t="s">
        <v>41184</v>
      </c>
      <c r="M8353" t="s">
        <v>42760</v>
      </c>
      <c r="N8353" t="s">
        <v>45095</v>
      </c>
      <c r="O8353" t="s">
        <v>45096</v>
      </c>
      <c r="P8353">
        <v>0</v>
      </c>
      <c r="Q8353">
        <v>0</v>
      </c>
      <c r="R8353" t="s">
        <v>45104</v>
      </c>
      <c r="S8353" t="s">
        <v>45304</v>
      </c>
      <c r="T8353" t="s">
        <v>46988</v>
      </c>
      <c r="U8353" t="s">
        <v>54427</v>
      </c>
      <c r="W8353" t="s">
        <v>42760</v>
      </c>
      <c r="X8353" t="s">
        <v>45108</v>
      </c>
    </row>
    <row r="8354" spans="1:24">
      <c r="A8354">
        <f>HYPERLINK("https://www.philgeps.gov.ph/GEPSNONPILOT/Tender/SplashBidNoticeAbstractUI.aspx?menuIndex=3&amp;refID=7030567&amp;Result=3","7030567")</f>
        <v>0</v>
      </c>
      <c r="B8354" t="s">
        <v>2348</v>
      </c>
      <c r="C8354" t="s">
        <v>11165</v>
      </c>
      <c r="D8354" t="s">
        <v>18068</v>
      </c>
      <c r="E8354" t="s">
        <v>25436</v>
      </c>
      <c r="F8354" t="s">
        <v>31574</v>
      </c>
      <c r="G8354" t="s">
        <v>31582</v>
      </c>
      <c r="H8354" t="s">
        <v>31591</v>
      </c>
      <c r="I8354" t="s">
        <v>8822</v>
      </c>
      <c r="J8354" t="s">
        <v>37040</v>
      </c>
      <c r="K8354" t="s">
        <v>41368</v>
      </c>
      <c r="M8354" t="s">
        <v>44065</v>
      </c>
      <c r="N8354" t="s">
        <v>45095</v>
      </c>
      <c r="O8354" t="s">
        <v>45096</v>
      </c>
      <c r="P8354">
        <v>0</v>
      </c>
      <c r="Q8354">
        <v>0</v>
      </c>
      <c r="R8354" t="s">
        <v>45104</v>
      </c>
      <c r="S8354" t="s">
        <v>45304</v>
      </c>
      <c r="T8354" t="s">
        <v>46988</v>
      </c>
      <c r="U8354" t="s">
        <v>54428</v>
      </c>
      <c r="W8354" t="s">
        <v>44065</v>
      </c>
      <c r="X8354" t="s">
        <v>45108</v>
      </c>
    </row>
    <row r="8355" spans="1:24">
      <c r="A8355">
        <f>HYPERLINK("https://www.philgeps.gov.ph/GEPSNONPILOT/Tender/SplashBidNoticeAbstractUI.aspx?menuIndex=3&amp;refID=7030661&amp;Result=3","7030661")</f>
        <v>0</v>
      </c>
      <c r="B8355" t="s">
        <v>73</v>
      </c>
      <c r="C8355" t="s">
        <v>11166</v>
      </c>
      <c r="D8355" t="s">
        <v>18041</v>
      </c>
      <c r="E8355" t="s">
        <v>25437</v>
      </c>
      <c r="F8355" t="s">
        <v>31574</v>
      </c>
      <c r="G8355" t="s">
        <v>31582</v>
      </c>
      <c r="H8355" t="s">
        <v>31590</v>
      </c>
      <c r="I8355" t="s">
        <v>31602</v>
      </c>
      <c r="J8355" t="s">
        <v>37041</v>
      </c>
      <c r="K8355" t="s">
        <v>41184</v>
      </c>
      <c r="M8355" t="s">
        <v>41557</v>
      </c>
      <c r="N8355" t="s">
        <v>45095</v>
      </c>
      <c r="O8355" t="s">
        <v>45096</v>
      </c>
      <c r="P8355">
        <v>0</v>
      </c>
      <c r="Q8355">
        <v>1</v>
      </c>
      <c r="R8355" t="s">
        <v>45104</v>
      </c>
      <c r="S8355" t="s">
        <v>45304</v>
      </c>
      <c r="T8355" t="s">
        <v>47197</v>
      </c>
      <c r="U8355" t="s">
        <v>54429</v>
      </c>
      <c r="V8355" t="s">
        <v>59867</v>
      </c>
      <c r="W8355" t="s">
        <v>41557</v>
      </c>
      <c r="X8355" t="s">
        <v>45108</v>
      </c>
    </row>
    <row r="8356" spans="1:24">
      <c r="A8356">
        <f>HYPERLINK("https://www.philgeps.gov.ph/GEPSNONPILOT/Tender/SplashBidNoticeAbstractUI.aspx?menuIndex=3&amp;refID=7030642&amp;Result=3","7030642")</f>
        <v>0</v>
      </c>
      <c r="B8356" t="s">
        <v>73</v>
      </c>
      <c r="C8356" t="s">
        <v>11167</v>
      </c>
      <c r="D8356" t="s">
        <v>18041</v>
      </c>
      <c r="E8356" t="s">
        <v>25438</v>
      </c>
      <c r="F8356" t="s">
        <v>31574</v>
      </c>
      <c r="G8356" t="s">
        <v>31582</v>
      </c>
      <c r="H8356" t="s">
        <v>31590</v>
      </c>
      <c r="I8356" t="s">
        <v>31608</v>
      </c>
      <c r="J8356" t="s">
        <v>31780</v>
      </c>
      <c r="K8356" t="s">
        <v>41184</v>
      </c>
      <c r="M8356" t="s">
        <v>41557</v>
      </c>
      <c r="N8356" t="s">
        <v>45095</v>
      </c>
      <c r="O8356" t="s">
        <v>45096</v>
      </c>
      <c r="P8356">
        <v>0</v>
      </c>
      <c r="Q8356">
        <v>1</v>
      </c>
      <c r="R8356" t="s">
        <v>45104</v>
      </c>
      <c r="S8356" t="s">
        <v>45304</v>
      </c>
      <c r="T8356" t="s">
        <v>47197</v>
      </c>
      <c r="U8356" t="s">
        <v>54430</v>
      </c>
      <c r="V8356" t="s">
        <v>59867</v>
      </c>
      <c r="W8356" t="s">
        <v>41557</v>
      </c>
      <c r="X8356" t="s">
        <v>45108</v>
      </c>
    </row>
    <row r="8357" spans="1:24">
      <c r="A8357">
        <f>HYPERLINK("https://www.philgeps.gov.ph/GEPSNONPILOT/Tender/SplashBidNoticeAbstractUI.aspx?menuIndex=3&amp;refID=7030511&amp;Result=3","7030511")</f>
        <v>0</v>
      </c>
      <c r="B8357" t="s">
        <v>73</v>
      </c>
      <c r="C8357" t="s">
        <v>11168</v>
      </c>
      <c r="D8357" t="s">
        <v>18041</v>
      </c>
      <c r="E8357" t="s">
        <v>25439</v>
      </c>
      <c r="F8357" t="s">
        <v>31574</v>
      </c>
      <c r="G8357" t="s">
        <v>31582</v>
      </c>
      <c r="H8357" t="s">
        <v>31590</v>
      </c>
      <c r="I8357" t="s">
        <v>31602</v>
      </c>
      <c r="J8357" t="s">
        <v>37042</v>
      </c>
      <c r="K8357" t="s">
        <v>41184</v>
      </c>
      <c r="M8357" t="s">
        <v>41557</v>
      </c>
      <c r="N8357" t="s">
        <v>45095</v>
      </c>
      <c r="O8357" t="s">
        <v>45096</v>
      </c>
      <c r="P8357">
        <v>0</v>
      </c>
      <c r="Q8357">
        <v>0</v>
      </c>
      <c r="R8357" t="s">
        <v>45104</v>
      </c>
      <c r="S8357" t="s">
        <v>45304</v>
      </c>
      <c r="T8357" t="s">
        <v>47197</v>
      </c>
      <c r="U8357" t="s">
        <v>54431</v>
      </c>
      <c r="W8357" t="s">
        <v>41557</v>
      </c>
      <c r="X8357" t="s">
        <v>45108</v>
      </c>
    </row>
    <row r="8358" spans="1:24">
      <c r="A8358">
        <f>HYPERLINK("https://www.philgeps.gov.ph/GEPSNONPILOT/Tender/SplashBidNoticeAbstractUI.aspx?menuIndex=3&amp;refID=7030509&amp;Result=3","7030509")</f>
        <v>0</v>
      </c>
      <c r="B8358" t="s">
        <v>2355</v>
      </c>
      <c r="C8358" t="s">
        <v>11169</v>
      </c>
      <c r="D8358" t="s">
        <v>18043</v>
      </c>
      <c r="E8358" t="s">
        <v>25440</v>
      </c>
      <c r="F8358" t="s">
        <v>31575</v>
      </c>
      <c r="G8358" t="s">
        <v>31583</v>
      </c>
      <c r="H8358" t="s">
        <v>31590</v>
      </c>
      <c r="I8358" t="s">
        <v>31607</v>
      </c>
      <c r="J8358" t="s">
        <v>31962</v>
      </c>
      <c r="K8358" t="s">
        <v>41196</v>
      </c>
      <c r="M8358" t="s">
        <v>44072</v>
      </c>
      <c r="N8358" t="s">
        <v>45095</v>
      </c>
      <c r="O8358" t="s">
        <v>45096</v>
      </c>
      <c r="P8358">
        <v>0</v>
      </c>
      <c r="Q8358">
        <v>2</v>
      </c>
      <c r="R8358" t="s">
        <v>45104</v>
      </c>
      <c r="S8358" t="s">
        <v>45304</v>
      </c>
      <c r="T8358" t="s">
        <v>47176</v>
      </c>
      <c r="U8358" t="s">
        <v>54432</v>
      </c>
      <c r="W8358" t="s">
        <v>44072</v>
      </c>
      <c r="X8358" t="s">
        <v>45108</v>
      </c>
    </row>
    <row r="8359" spans="1:24">
      <c r="A8359">
        <f>HYPERLINK("https://www.philgeps.gov.ph/GEPSNONPILOT/Tender/SplashBidNoticeAbstractUI.aspx?menuIndex=3&amp;refID=7030530&amp;Result=3","7030530")</f>
        <v>0</v>
      </c>
      <c r="B8359" t="s">
        <v>73</v>
      </c>
      <c r="C8359" t="s">
        <v>11170</v>
      </c>
      <c r="D8359" t="s">
        <v>18041</v>
      </c>
      <c r="E8359" t="s">
        <v>25441</v>
      </c>
      <c r="F8359" t="s">
        <v>31574</v>
      </c>
      <c r="G8359" t="s">
        <v>31582</v>
      </c>
      <c r="H8359" t="s">
        <v>31590</v>
      </c>
      <c r="I8359" t="s">
        <v>31629</v>
      </c>
      <c r="J8359" t="s">
        <v>31884</v>
      </c>
      <c r="K8359" t="s">
        <v>41184</v>
      </c>
      <c r="M8359" t="s">
        <v>41557</v>
      </c>
      <c r="N8359" t="s">
        <v>45095</v>
      </c>
      <c r="O8359" t="s">
        <v>45096</v>
      </c>
      <c r="P8359">
        <v>0</v>
      </c>
      <c r="Q8359">
        <v>0</v>
      </c>
      <c r="R8359" t="s">
        <v>45104</v>
      </c>
      <c r="S8359" t="s">
        <v>45304</v>
      </c>
      <c r="T8359" t="s">
        <v>47197</v>
      </c>
      <c r="U8359" t="s">
        <v>54433</v>
      </c>
      <c r="V8359" t="s">
        <v>59867</v>
      </c>
      <c r="W8359" t="s">
        <v>41557</v>
      </c>
      <c r="X8359" t="s">
        <v>45108</v>
      </c>
    </row>
    <row r="8360" spans="1:24">
      <c r="A8360">
        <f>HYPERLINK("https://www.philgeps.gov.ph/GEPSNONPILOT/Tender/SplashBidNoticeAbstractUI.aspx?menuIndex=3&amp;refID=7030677&amp;Result=3","7030677")</f>
        <v>0</v>
      </c>
      <c r="B8360" t="s">
        <v>2348</v>
      </c>
      <c r="C8360" t="s">
        <v>11171</v>
      </c>
      <c r="D8360" t="s">
        <v>18068</v>
      </c>
      <c r="E8360" t="s">
        <v>25442</v>
      </c>
      <c r="F8360" t="s">
        <v>31574</v>
      </c>
      <c r="G8360" t="s">
        <v>31582</v>
      </c>
      <c r="H8360" t="s">
        <v>31591</v>
      </c>
      <c r="I8360" t="s">
        <v>8822</v>
      </c>
      <c r="J8360" t="s">
        <v>37043</v>
      </c>
      <c r="K8360" t="s">
        <v>41266</v>
      </c>
      <c r="M8360" t="s">
        <v>44065</v>
      </c>
      <c r="N8360" t="s">
        <v>45095</v>
      </c>
      <c r="O8360" t="s">
        <v>45096</v>
      </c>
      <c r="P8360">
        <v>0</v>
      </c>
      <c r="Q8360">
        <v>0</v>
      </c>
      <c r="R8360" t="s">
        <v>45104</v>
      </c>
      <c r="S8360" t="s">
        <v>45304</v>
      </c>
      <c r="T8360" t="s">
        <v>47050</v>
      </c>
      <c r="U8360" t="s">
        <v>54434</v>
      </c>
      <c r="W8360" t="s">
        <v>44065</v>
      </c>
      <c r="X8360" t="s">
        <v>45108</v>
      </c>
    </row>
    <row r="8361" spans="1:24">
      <c r="A8361">
        <f>HYPERLINK("https://www.philgeps.gov.ph/GEPSNONPILOT/Tender/SplashBidNoticeAbstractUI.aspx?menuIndex=3&amp;refID=7030540&amp;Result=3","7030540")</f>
        <v>0</v>
      </c>
      <c r="B8361" t="s">
        <v>73</v>
      </c>
      <c r="C8361" t="s">
        <v>11172</v>
      </c>
      <c r="D8361" t="s">
        <v>18041</v>
      </c>
      <c r="E8361" t="s">
        <v>25443</v>
      </c>
      <c r="F8361" t="s">
        <v>31574</v>
      </c>
      <c r="G8361" t="s">
        <v>31582</v>
      </c>
      <c r="H8361" t="s">
        <v>31590</v>
      </c>
      <c r="I8361" t="s">
        <v>31629</v>
      </c>
      <c r="J8361" t="s">
        <v>37044</v>
      </c>
      <c r="K8361" t="s">
        <v>41184</v>
      </c>
      <c r="M8361" t="s">
        <v>41557</v>
      </c>
      <c r="N8361" t="s">
        <v>45095</v>
      </c>
      <c r="O8361" t="s">
        <v>45096</v>
      </c>
      <c r="P8361">
        <v>0</v>
      </c>
      <c r="Q8361">
        <v>0</v>
      </c>
      <c r="R8361" t="s">
        <v>45104</v>
      </c>
      <c r="S8361" t="s">
        <v>45304</v>
      </c>
      <c r="T8361" t="s">
        <v>47197</v>
      </c>
      <c r="U8361" t="s">
        <v>54435</v>
      </c>
      <c r="V8361" t="s">
        <v>59867</v>
      </c>
      <c r="W8361" t="s">
        <v>41557</v>
      </c>
      <c r="X8361" t="s">
        <v>45108</v>
      </c>
    </row>
    <row r="8362" spans="1:24">
      <c r="A8362">
        <f>HYPERLINK("https://www.philgeps.gov.ph/GEPSNONPILOT/Tender/SplashBidNoticeAbstractUI.aspx?menuIndex=3&amp;refID=7030790&amp;Result=3","7030790")</f>
        <v>0</v>
      </c>
      <c r="B8362" t="s">
        <v>2356</v>
      </c>
      <c r="C8362" t="s">
        <v>11173</v>
      </c>
      <c r="D8362" t="s">
        <v>18052</v>
      </c>
      <c r="E8362" t="s">
        <v>25444</v>
      </c>
      <c r="F8362" t="s">
        <v>31574</v>
      </c>
      <c r="G8362" t="s">
        <v>31585</v>
      </c>
      <c r="H8362" t="s">
        <v>31590</v>
      </c>
      <c r="I8362" t="s">
        <v>31602</v>
      </c>
      <c r="J8362" t="s">
        <v>37045</v>
      </c>
      <c r="K8362" t="s">
        <v>41225</v>
      </c>
      <c r="M8362" t="s">
        <v>44073</v>
      </c>
      <c r="N8362" t="s">
        <v>45095</v>
      </c>
      <c r="O8362" t="s">
        <v>45096</v>
      </c>
      <c r="P8362">
        <v>0</v>
      </c>
      <c r="Q8362">
        <v>0</v>
      </c>
      <c r="R8362" t="s">
        <v>45104</v>
      </c>
      <c r="S8362" t="s">
        <v>45304</v>
      </c>
      <c r="T8362" t="s">
        <v>47159</v>
      </c>
      <c r="U8362" t="s">
        <v>54436</v>
      </c>
      <c r="V8362" t="s">
        <v>60730</v>
      </c>
      <c r="W8362" t="s">
        <v>44073</v>
      </c>
      <c r="X8362" t="s">
        <v>45108</v>
      </c>
    </row>
    <row r="8363" spans="1:24">
      <c r="A8363">
        <f>HYPERLINK("https://www.philgeps.gov.ph/GEPSNONPILOT/Tender/SplashBidNoticeAbstractUI.aspx?menuIndex=3&amp;refID=7030687&amp;Result=3","7030687")</f>
        <v>0</v>
      </c>
      <c r="B8363" t="s">
        <v>2356</v>
      </c>
      <c r="C8363" t="s">
        <v>11174</v>
      </c>
      <c r="D8363" t="s">
        <v>18052</v>
      </c>
      <c r="E8363" t="s">
        <v>25445</v>
      </c>
      <c r="F8363" t="s">
        <v>31574</v>
      </c>
      <c r="G8363" t="s">
        <v>31581</v>
      </c>
      <c r="H8363" t="s">
        <v>31590</v>
      </c>
      <c r="I8363" t="s">
        <v>3489</v>
      </c>
      <c r="J8363" t="s">
        <v>33557</v>
      </c>
      <c r="K8363" t="s">
        <v>41190</v>
      </c>
      <c r="M8363" t="s">
        <v>44073</v>
      </c>
      <c r="N8363" t="s">
        <v>45095</v>
      </c>
      <c r="O8363" t="s">
        <v>45096</v>
      </c>
      <c r="P8363">
        <v>0</v>
      </c>
      <c r="Q8363">
        <v>0</v>
      </c>
      <c r="R8363" t="s">
        <v>45104</v>
      </c>
      <c r="S8363" t="s">
        <v>45304</v>
      </c>
      <c r="T8363" t="s">
        <v>47159</v>
      </c>
      <c r="U8363" t="s">
        <v>54437</v>
      </c>
      <c r="V8363" t="s">
        <v>60730</v>
      </c>
      <c r="W8363" t="s">
        <v>44073</v>
      </c>
      <c r="X8363" t="s">
        <v>45108</v>
      </c>
    </row>
    <row r="8364" spans="1:24">
      <c r="A8364">
        <f>HYPERLINK("https://www.philgeps.gov.ph/GEPSNONPILOT/Tender/SplashBidNoticeAbstractUI.aspx?menuIndex=3&amp;refID=7030741&amp;Result=3","7030741")</f>
        <v>0</v>
      </c>
      <c r="B8364" t="s">
        <v>2356</v>
      </c>
      <c r="C8364" t="s">
        <v>11175</v>
      </c>
      <c r="D8364" t="s">
        <v>18052</v>
      </c>
      <c r="E8364" t="s">
        <v>25446</v>
      </c>
      <c r="F8364" t="s">
        <v>31574</v>
      </c>
      <c r="G8364" t="s">
        <v>31581</v>
      </c>
      <c r="H8364" t="s">
        <v>31590</v>
      </c>
      <c r="I8364" t="s">
        <v>3487</v>
      </c>
      <c r="J8364" t="s">
        <v>37046</v>
      </c>
      <c r="K8364" t="s">
        <v>41191</v>
      </c>
      <c r="M8364" t="s">
        <v>44073</v>
      </c>
      <c r="N8364" t="s">
        <v>45095</v>
      </c>
      <c r="O8364" t="s">
        <v>45096</v>
      </c>
      <c r="P8364">
        <v>0</v>
      </c>
      <c r="Q8364">
        <v>2</v>
      </c>
      <c r="R8364" t="s">
        <v>45104</v>
      </c>
      <c r="S8364" t="s">
        <v>45304</v>
      </c>
      <c r="T8364" t="s">
        <v>47159</v>
      </c>
      <c r="U8364" t="s">
        <v>54438</v>
      </c>
      <c r="V8364" t="s">
        <v>60730</v>
      </c>
      <c r="W8364" t="s">
        <v>44073</v>
      </c>
      <c r="X8364" t="s">
        <v>45108</v>
      </c>
    </row>
    <row r="8365" spans="1:24">
      <c r="A8365">
        <f>HYPERLINK("https://www.philgeps.gov.ph/GEPSNONPILOT/Tender/SplashBidNoticeAbstractUI.aspx?menuIndex=3&amp;refID=7030781&amp;Result=3","7030781")</f>
        <v>0</v>
      </c>
      <c r="B8365" t="s">
        <v>2356</v>
      </c>
      <c r="C8365" t="s">
        <v>11176</v>
      </c>
      <c r="D8365" t="s">
        <v>18052</v>
      </c>
      <c r="E8365" t="s">
        <v>25447</v>
      </c>
      <c r="F8365" t="s">
        <v>31574</v>
      </c>
      <c r="G8365" t="s">
        <v>31581</v>
      </c>
      <c r="H8365" t="s">
        <v>31590</v>
      </c>
      <c r="I8365" t="s">
        <v>4354</v>
      </c>
      <c r="J8365" t="s">
        <v>37047</v>
      </c>
      <c r="K8365" t="s">
        <v>41191</v>
      </c>
      <c r="M8365" t="s">
        <v>44073</v>
      </c>
      <c r="N8365" t="s">
        <v>45095</v>
      </c>
      <c r="O8365" t="s">
        <v>45096</v>
      </c>
      <c r="P8365">
        <v>0</v>
      </c>
      <c r="Q8365">
        <v>2</v>
      </c>
      <c r="R8365" t="s">
        <v>45104</v>
      </c>
      <c r="S8365" t="s">
        <v>45304</v>
      </c>
      <c r="T8365" t="s">
        <v>47159</v>
      </c>
      <c r="U8365" t="s">
        <v>54439</v>
      </c>
      <c r="V8365" t="s">
        <v>60730</v>
      </c>
      <c r="W8365" t="s">
        <v>44073</v>
      </c>
      <c r="X8365" t="s">
        <v>45108</v>
      </c>
    </row>
    <row r="8366" spans="1:24">
      <c r="A8366">
        <f>HYPERLINK("https://www.philgeps.gov.ph/GEPSNONPILOT/Tender/SplashBidNoticeAbstractUI.aspx?menuIndex=3&amp;refID=7030766&amp;Result=3","7030766")</f>
        <v>0</v>
      </c>
      <c r="B8366" t="s">
        <v>2356</v>
      </c>
      <c r="C8366" t="s">
        <v>11177</v>
      </c>
      <c r="D8366" t="s">
        <v>18052</v>
      </c>
      <c r="E8366" t="s">
        <v>25448</v>
      </c>
      <c r="F8366" t="s">
        <v>31574</v>
      </c>
      <c r="G8366" t="s">
        <v>31581</v>
      </c>
      <c r="H8366" t="s">
        <v>31590</v>
      </c>
      <c r="I8366" t="s">
        <v>14544</v>
      </c>
      <c r="J8366" t="s">
        <v>37048</v>
      </c>
      <c r="K8366" t="s">
        <v>41191</v>
      </c>
      <c r="M8366" t="s">
        <v>44073</v>
      </c>
      <c r="N8366" t="s">
        <v>45095</v>
      </c>
      <c r="O8366" t="s">
        <v>45096</v>
      </c>
      <c r="P8366">
        <v>0</v>
      </c>
      <c r="Q8366">
        <v>0</v>
      </c>
      <c r="R8366" t="s">
        <v>45104</v>
      </c>
      <c r="S8366" t="s">
        <v>45304</v>
      </c>
      <c r="T8366" t="s">
        <v>47159</v>
      </c>
      <c r="U8366" t="s">
        <v>54440</v>
      </c>
      <c r="V8366" t="s">
        <v>60730</v>
      </c>
      <c r="W8366" t="s">
        <v>44073</v>
      </c>
      <c r="X8366" t="s">
        <v>45108</v>
      </c>
    </row>
    <row r="8367" spans="1:24">
      <c r="A8367">
        <f>HYPERLINK("https://www.philgeps.gov.ph/GEPSNONPILOT/Tender/SplashBidNoticeAbstractUI.aspx?menuIndex=3&amp;refID=7030730&amp;Result=3","7030730")</f>
        <v>0</v>
      </c>
      <c r="B8367" t="s">
        <v>2356</v>
      </c>
      <c r="C8367" t="s">
        <v>11178</v>
      </c>
      <c r="D8367" t="s">
        <v>18052</v>
      </c>
      <c r="E8367" t="s">
        <v>25449</v>
      </c>
      <c r="F8367" t="s">
        <v>31574</v>
      </c>
      <c r="G8367" t="s">
        <v>31581</v>
      </c>
      <c r="H8367" t="s">
        <v>31590</v>
      </c>
      <c r="I8367" t="s">
        <v>31614</v>
      </c>
      <c r="J8367" t="s">
        <v>31947</v>
      </c>
      <c r="K8367" t="s">
        <v>41190</v>
      </c>
      <c r="M8367" t="s">
        <v>44073</v>
      </c>
      <c r="N8367" t="s">
        <v>45095</v>
      </c>
      <c r="O8367" t="s">
        <v>45096</v>
      </c>
      <c r="P8367">
        <v>0</v>
      </c>
      <c r="Q8367">
        <v>1</v>
      </c>
      <c r="R8367" t="s">
        <v>45104</v>
      </c>
      <c r="S8367" t="s">
        <v>45304</v>
      </c>
      <c r="T8367" t="s">
        <v>47159</v>
      </c>
      <c r="U8367" t="s">
        <v>54441</v>
      </c>
      <c r="V8367" t="s">
        <v>60730</v>
      </c>
      <c r="W8367" t="s">
        <v>44073</v>
      </c>
      <c r="X8367" t="s">
        <v>45108</v>
      </c>
    </row>
    <row r="8368" spans="1:24">
      <c r="A8368">
        <f>HYPERLINK("https://www.philgeps.gov.ph/GEPSNONPILOT/Tender/SplashBidNoticeAbstractUI.aspx?menuIndex=3&amp;refID=7030756&amp;Result=3","7030756")</f>
        <v>0</v>
      </c>
      <c r="B8368" t="s">
        <v>2356</v>
      </c>
      <c r="C8368" t="s">
        <v>11179</v>
      </c>
      <c r="D8368" t="s">
        <v>18052</v>
      </c>
      <c r="E8368" t="s">
        <v>25450</v>
      </c>
      <c r="F8368" t="s">
        <v>31574</v>
      </c>
      <c r="G8368" t="s">
        <v>31581</v>
      </c>
      <c r="H8368" t="s">
        <v>31590</v>
      </c>
      <c r="I8368" t="s">
        <v>31620</v>
      </c>
      <c r="J8368" t="s">
        <v>37049</v>
      </c>
      <c r="K8368" t="s">
        <v>41190</v>
      </c>
      <c r="M8368" t="s">
        <v>44073</v>
      </c>
      <c r="N8368" t="s">
        <v>45095</v>
      </c>
      <c r="O8368" t="s">
        <v>45096</v>
      </c>
      <c r="P8368">
        <v>0</v>
      </c>
      <c r="Q8368">
        <v>2</v>
      </c>
      <c r="R8368" t="s">
        <v>45104</v>
      </c>
      <c r="S8368" t="s">
        <v>45304</v>
      </c>
      <c r="T8368" t="s">
        <v>47159</v>
      </c>
      <c r="U8368" t="s">
        <v>54442</v>
      </c>
      <c r="V8368" t="s">
        <v>60730</v>
      </c>
      <c r="W8368" t="s">
        <v>44073</v>
      </c>
      <c r="X8368" t="s">
        <v>45108</v>
      </c>
    </row>
    <row r="8369" spans="1:24">
      <c r="A8369">
        <f>HYPERLINK("https://www.philgeps.gov.ph/GEPSNONPILOT/Tender/SplashBidNoticeAbstractUI.aspx?menuIndex=3&amp;refID=7030701&amp;Result=3","7030701")</f>
        <v>0</v>
      </c>
      <c r="B8369" t="s">
        <v>2356</v>
      </c>
      <c r="C8369" t="s">
        <v>11180</v>
      </c>
      <c r="D8369" t="s">
        <v>18052</v>
      </c>
      <c r="E8369" t="s">
        <v>25451</v>
      </c>
      <c r="F8369" t="s">
        <v>31574</v>
      </c>
      <c r="G8369" t="s">
        <v>31581</v>
      </c>
      <c r="H8369" t="s">
        <v>31590</v>
      </c>
      <c r="I8369" t="s">
        <v>31608</v>
      </c>
      <c r="J8369" t="s">
        <v>32066</v>
      </c>
      <c r="K8369" t="s">
        <v>41190</v>
      </c>
      <c r="M8369" t="s">
        <v>44073</v>
      </c>
      <c r="N8369" t="s">
        <v>45095</v>
      </c>
      <c r="O8369" t="s">
        <v>45096</v>
      </c>
      <c r="P8369">
        <v>0</v>
      </c>
      <c r="Q8369">
        <v>7</v>
      </c>
      <c r="R8369" t="s">
        <v>45104</v>
      </c>
      <c r="S8369" t="s">
        <v>45304</v>
      </c>
      <c r="T8369" t="s">
        <v>47159</v>
      </c>
      <c r="U8369" t="s">
        <v>54443</v>
      </c>
      <c r="V8369" t="s">
        <v>60730</v>
      </c>
      <c r="W8369" t="s">
        <v>44073</v>
      </c>
      <c r="X8369" t="s">
        <v>45108</v>
      </c>
    </row>
    <row r="8370" spans="1:24">
      <c r="A8370">
        <f>HYPERLINK("https://www.philgeps.gov.ph/GEPSNONPILOT/Tender/SplashBidNoticeAbstractUI.aspx?menuIndex=3&amp;refID=7030772&amp;Result=3","7030772")</f>
        <v>0</v>
      </c>
      <c r="B8370" t="s">
        <v>2356</v>
      </c>
      <c r="C8370" t="s">
        <v>11181</v>
      </c>
      <c r="D8370" t="s">
        <v>18052</v>
      </c>
      <c r="E8370" t="s">
        <v>25452</v>
      </c>
      <c r="F8370" t="s">
        <v>31574</v>
      </c>
      <c r="G8370" t="s">
        <v>31581</v>
      </c>
      <c r="H8370" t="s">
        <v>31590</v>
      </c>
      <c r="I8370" t="s">
        <v>8258</v>
      </c>
      <c r="J8370" t="s">
        <v>32627</v>
      </c>
      <c r="K8370" t="s">
        <v>41191</v>
      </c>
      <c r="M8370" t="s">
        <v>44073</v>
      </c>
      <c r="N8370" t="s">
        <v>45095</v>
      </c>
      <c r="O8370" t="s">
        <v>45096</v>
      </c>
      <c r="P8370">
        <v>0</v>
      </c>
      <c r="Q8370">
        <v>2</v>
      </c>
      <c r="R8370" t="s">
        <v>45104</v>
      </c>
      <c r="S8370" t="s">
        <v>45304</v>
      </c>
      <c r="T8370" t="s">
        <v>47159</v>
      </c>
      <c r="U8370" t="s">
        <v>54444</v>
      </c>
      <c r="V8370" t="s">
        <v>60730</v>
      </c>
      <c r="W8370" t="s">
        <v>44073</v>
      </c>
      <c r="X8370" t="s">
        <v>45108</v>
      </c>
    </row>
    <row r="8371" spans="1:24">
      <c r="A8371">
        <f>HYPERLINK("https://www.philgeps.gov.ph/GEPSNONPILOT/Tender/SplashBidNoticeAbstractUI.aspx?menuIndex=3&amp;refID=7030738&amp;Result=3","7030738")</f>
        <v>0</v>
      </c>
      <c r="B8371" t="s">
        <v>2356</v>
      </c>
      <c r="C8371" t="s">
        <v>11182</v>
      </c>
      <c r="D8371" t="s">
        <v>18052</v>
      </c>
      <c r="E8371" t="s">
        <v>25453</v>
      </c>
      <c r="F8371" t="s">
        <v>31574</v>
      </c>
      <c r="G8371" t="s">
        <v>31581</v>
      </c>
      <c r="H8371" t="s">
        <v>31590</v>
      </c>
      <c r="I8371" t="s">
        <v>3487</v>
      </c>
      <c r="J8371" t="s">
        <v>37050</v>
      </c>
      <c r="K8371" t="s">
        <v>41190</v>
      </c>
      <c r="M8371" t="s">
        <v>44073</v>
      </c>
      <c r="N8371" t="s">
        <v>45095</v>
      </c>
      <c r="O8371" t="s">
        <v>45096</v>
      </c>
      <c r="P8371">
        <v>0</v>
      </c>
      <c r="Q8371">
        <v>2</v>
      </c>
      <c r="R8371" t="s">
        <v>45104</v>
      </c>
      <c r="S8371" t="s">
        <v>45304</v>
      </c>
      <c r="T8371" t="s">
        <v>47159</v>
      </c>
      <c r="U8371" t="s">
        <v>54445</v>
      </c>
      <c r="V8371" t="s">
        <v>60730</v>
      </c>
      <c r="W8371" t="s">
        <v>44073</v>
      </c>
      <c r="X8371" t="s">
        <v>45108</v>
      </c>
    </row>
    <row r="8372" spans="1:24">
      <c r="A8372">
        <f>HYPERLINK("https://www.philgeps.gov.ph/GEPSNONPILOT/Tender/SplashBidNoticeAbstractUI.aspx?menuIndex=3&amp;refID=7030751&amp;Result=3","7030751")</f>
        <v>0</v>
      </c>
      <c r="B8372" t="s">
        <v>2356</v>
      </c>
      <c r="C8372" t="s">
        <v>11183</v>
      </c>
      <c r="D8372" t="s">
        <v>18052</v>
      </c>
      <c r="E8372" t="s">
        <v>25454</v>
      </c>
      <c r="F8372" t="s">
        <v>31574</v>
      </c>
      <c r="G8372" t="s">
        <v>31581</v>
      </c>
      <c r="H8372" t="s">
        <v>31590</v>
      </c>
      <c r="I8372" t="s">
        <v>6800</v>
      </c>
      <c r="J8372" t="s">
        <v>37051</v>
      </c>
      <c r="K8372" t="s">
        <v>41190</v>
      </c>
      <c r="M8372" t="s">
        <v>44073</v>
      </c>
      <c r="N8372" t="s">
        <v>45095</v>
      </c>
      <c r="O8372" t="s">
        <v>45096</v>
      </c>
      <c r="P8372">
        <v>0</v>
      </c>
      <c r="Q8372">
        <v>3</v>
      </c>
      <c r="R8372" t="s">
        <v>45104</v>
      </c>
      <c r="S8372" t="s">
        <v>45304</v>
      </c>
      <c r="T8372" t="s">
        <v>47159</v>
      </c>
      <c r="U8372" t="s">
        <v>54446</v>
      </c>
      <c r="V8372" t="s">
        <v>60730</v>
      </c>
      <c r="W8372" t="s">
        <v>44073</v>
      </c>
      <c r="X8372" t="s">
        <v>45108</v>
      </c>
    </row>
    <row r="8373" spans="1:24">
      <c r="A8373">
        <f>HYPERLINK("https://www.philgeps.gov.ph/GEPSNONPILOT/Tender/SplashBidNoticeAbstractUI.aspx?menuIndex=3&amp;refID=7031158&amp;Result=3","7031158")</f>
        <v>0</v>
      </c>
      <c r="B8373" t="s">
        <v>82</v>
      </c>
      <c r="C8373" t="s">
        <v>11184</v>
      </c>
      <c r="D8373" t="s">
        <v>18058</v>
      </c>
      <c r="E8373" t="s">
        <v>25455</v>
      </c>
      <c r="F8373" t="s">
        <v>31574</v>
      </c>
      <c r="G8373" t="s">
        <v>31582</v>
      </c>
      <c r="H8373" t="s">
        <v>31590</v>
      </c>
      <c r="I8373" t="s">
        <v>31595</v>
      </c>
      <c r="J8373" t="s">
        <v>37052</v>
      </c>
      <c r="K8373" t="s">
        <v>41193</v>
      </c>
      <c r="M8373" t="s">
        <v>41566</v>
      </c>
      <c r="N8373" t="s">
        <v>45095</v>
      </c>
      <c r="O8373" t="s">
        <v>45096</v>
      </c>
      <c r="P8373">
        <v>0</v>
      </c>
      <c r="Q8373">
        <v>2</v>
      </c>
      <c r="R8373" t="s">
        <v>45104</v>
      </c>
      <c r="S8373" t="s">
        <v>45304</v>
      </c>
      <c r="T8373" t="s">
        <v>47170</v>
      </c>
      <c r="U8373" t="s">
        <v>47584</v>
      </c>
      <c r="V8373" t="s">
        <v>49259</v>
      </c>
      <c r="W8373" t="s">
        <v>41566</v>
      </c>
      <c r="X8373" t="s">
        <v>45108</v>
      </c>
    </row>
    <row r="8374" spans="1:24">
      <c r="A8374">
        <f>HYPERLINK("https://www.philgeps.gov.ph/GEPSNONPILOT/Tender/SplashBidNoticeAbstractUI.aspx?menuIndex=3&amp;refID=7030760&amp;Result=3","7030760")</f>
        <v>0</v>
      </c>
      <c r="B8374" t="s">
        <v>2356</v>
      </c>
      <c r="C8374" t="s">
        <v>11185</v>
      </c>
      <c r="D8374" t="s">
        <v>18052</v>
      </c>
      <c r="E8374" t="s">
        <v>25456</v>
      </c>
      <c r="F8374" t="s">
        <v>31574</v>
      </c>
      <c r="G8374" t="s">
        <v>31581</v>
      </c>
      <c r="H8374" t="s">
        <v>31590</v>
      </c>
      <c r="I8374" t="s">
        <v>3487</v>
      </c>
      <c r="J8374" t="s">
        <v>37053</v>
      </c>
      <c r="K8374" t="s">
        <v>41191</v>
      </c>
      <c r="M8374" t="s">
        <v>44073</v>
      </c>
      <c r="N8374" t="s">
        <v>45095</v>
      </c>
      <c r="O8374" t="s">
        <v>45096</v>
      </c>
      <c r="P8374">
        <v>0</v>
      </c>
      <c r="Q8374">
        <v>2</v>
      </c>
      <c r="R8374" t="s">
        <v>45104</v>
      </c>
      <c r="S8374" t="s">
        <v>45304</v>
      </c>
      <c r="T8374" t="s">
        <v>47159</v>
      </c>
      <c r="U8374" t="s">
        <v>54447</v>
      </c>
      <c r="V8374" t="s">
        <v>60730</v>
      </c>
      <c r="W8374" t="s">
        <v>44073</v>
      </c>
      <c r="X8374" t="s">
        <v>45108</v>
      </c>
    </row>
    <row r="8375" spans="1:24">
      <c r="A8375">
        <f>HYPERLINK("https://www.philgeps.gov.ph/GEPSNONPILOT/Tender/SplashBidNoticeAbstractUI.aspx?menuIndex=3&amp;refID=7030707&amp;Result=3","7030707")</f>
        <v>0</v>
      </c>
      <c r="B8375" t="s">
        <v>1663</v>
      </c>
      <c r="C8375" t="s">
        <v>11186</v>
      </c>
      <c r="D8375" t="s">
        <v>18033</v>
      </c>
      <c r="E8375" t="s">
        <v>25457</v>
      </c>
      <c r="F8375" t="s">
        <v>31574</v>
      </c>
      <c r="G8375" t="s">
        <v>31581</v>
      </c>
      <c r="H8375" t="s">
        <v>31590</v>
      </c>
      <c r="I8375" t="s">
        <v>3487</v>
      </c>
      <c r="J8375" t="s">
        <v>32192</v>
      </c>
      <c r="K8375" t="s">
        <v>41184</v>
      </c>
      <c r="M8375" t="s">
        <v>43793</v>
      </c>
      <c r="N8375" t="s">
        <v>45095</v>
      </c>
      <c r="O8375" t="s">
        <v>45096</v>
      </c>
      <c r="P8375">
        <v>0</v>
      </c>
      <c r="Q8375">
        <v>1</v>
      </c>
      <c r="R8375" t="s">
        <v>45104</v>
      </c>
      <c r="S8375" t="s">
        <v>45304</v>
      </c>
      <c r="T8375" t="s">
        <v>46973</v>
      </c>
      <c r="U8375" t="s">
        <v>53356</v>
      </c>
      <c r="W8375" t="s">
        <v>43793</v>
      </c>
      <c r="X8375" t="s">
        <v>45108</v>
      </c>
    </row>
    <row r="8376" spans="1:24">
      <c r="A8376">
        <f>HYPERLINK("https://www.philgeps.gov.ph/GEPSNONPILOT/Tender/SplashBidNoticeAbstractUI.aspx?menuIndex=3&amp;refID=7030818&amp;Result=3","7030818")</f>
        <v>0</v>
      </c>
      <c r="B8376" t="s">
        <v>2356</v>
      </c>
      <c r="C8376" t="s">
        <v>11187</v>
      </c>
      <c r="D8376" t="s">
        <v>18052</v>
      </c>
      <c r="E8376" t="s">
        <v>25458</v>
      </c>
      <c r="F8376" t="s">
        <v>31574</v>
      </c>
      <c r="G8376" t="s">
        <v>31581</v>
      </c>
      <c r="H8376" t="s">
        <v>31590</v>
      </c>
      <c r="I8376" t="s">
        <v>31615</v>
      </c>
      <c r="J8376" t="s">
        <v>31848</v>
      </c>
      <c r="K8376" t="s">
        <v>41190</v>
      </c>
      <c r="M8376" t="s">
        <v>44073</v>
      </c>
      <c r="N8376" t="s">
        <v>45095</v>
      </c>
      <c r="O8376" t="s">
        <v>45096</v>
      </c>
      <c r="P8376">
        <v>0</v>
      </c>
      <c r="Q8376">
        <v>1</v>
      </c>
      <c r="R8376" t="s">
        <v>45104</v>
      </c>
      <c r="S8376" t="s">
        <v>45304</v>
      </c>
      <c r="T8376" t="s">
        <v>47159</v>
      </c>
      <c r="U8376" t="s">
        <v>54448</v>
      </c>
      <c r="V8376" t="s">
        <v>60730</v>
      </c>
      <c r="W8376" t="s">
        <v>44073</v>
      </c>
      <c r="X8376" t="s">
        <v>45108</v>
      </c>
    </row>
    <row r="8377" spans="1:24">
      <c r="A8377">
        <f>HYPERLINK("https://www.philgeps.gov.ph/GEPSNONPILOT/Tender/SplashBidNoticeAbstractUI.aspx?menuIndex=3&amp;refID=7030944&amp;Result=3","7030944")</f>
        <v>0</v>
      </c>
      <c r="B8377" t="s">
        <v>38</v>
      </c>
      <c r="C8377" t="s">
        <v>11188</v>
      </c>
      <c r="D8377" t="s">
        <v>18033</v>
      </c>
      <c r="E8377" t="s">
        <v>25459</v>
      </c>
      <c r="F8377" t="s">
        <v>31574</v>
      </c>
      <c r="G8377" t="s">
        <v>31581</v>
      </c>
      <c r="H8377" t="s">
        <v>31590</v>
      </c>
      <c r="I8377" t="s">
        <v>31619</v>
      </c>
      <c r="J8377" t="s">
        <v>32013</v>
      </c>
      <c r="K8377" t="s">
        <v>41194</v>
      </c>
      <c r="M8377" t="s">
        <v>44074</v>
      </c>
      <c r="N8377" t="s">
        <v>45095</v>
      </c>
      <c r="O8377" t="s">
        <v>45096</v>
      </c>
      <c r="P8377">
        <v>0</v>
      </c>
      <c r="Q8377">
        <v>4</v>
      </c>
      <c r="R8377" t="s">
        <v>45104</v>
      </c>
      <c r="S8377" t="s">
        <v>45304</v>
      </c>
      <c r="T8377" t="s">
        <v>46985</v>
      </c>
      <c r="U8377" t="s">
        <v>54449</v>
      </c>
      <c r="W8377" t="s">
        <v>44074</v>
      </c>
      <c r="X8377" t="s">
        <v>45108</v>
      </c>
    </row>
    <row r="8378" spans="1:24">
      <c r="A8378">
        <f>HYPERLINK("https://www.philgeps.gov.ph/GEPSNONPILOT/Tender/SplashBidNoticeAbstractUI.aspx?menuIndex=3&amp;refID=7031166&amp;Result=3","7031166")</f>
        <v>0</v>
      </c>
      <c r="B8378" t="s">
        <v>73</v>
      </c>
      <c r="C8378" t="s">
        <v>11189</v>
      </c>
      <c r="D8378" t="s">
        <v>18041</v>
      </c>
      <c r="E8378" t="s">
        <v>25460</v>
      </c>
      <c r="F8378" t="s">
        <v>31574</v>
      </c>
      <c r="G8378" t="s">
        <v>31582</v>
      </c>
      <c r="H8378" t="s">
        <v>31590</v>
      </c>
      <c r="I8378" t="s">
        <v>14544</v>
      </c>
      <c r="J8378" t="s">
        <v>37054</v>
      </c>
      <c r="K8378" t="s">
        <v>41184</v>
      </c>
      <c r="M8378" t="s">
        <v>41557</v>
      </c>
      <c r="N8378" t="s">
        <v>45095</v>
      </c>
      <c r="O8378" t="s">
        <v>45096</v>
      </c>
      <c r="P8378">
        <v>0</v>
      </c>
      <c r="Q8378">
        <v>0</v>
      </c>
      <c r="R8378" t="s">
        <v>45104</v>
      </c>
      <c r="S8378" t="s">
        <v>45304</v>
      </c>
      <c r="T8378" t="s">
        <v>47197</v>
      </c>
      <c r="U8378" t="s">
        <v>54450</v>
      </c>
      <c r="V8378" t="s">
        <v>59867</v>
      </c>
      <c r="W8378" t="s">
        <v>41557</v>
      </c>
      <c r="X8378" t="s">
        <v>45108</v>
      </c>
    </row>
    <row r="8379" spans="1:24">
      <c r="A8379">
        <f>HYPERLINK("https://www.philgeps.gov.ph/GEPSNONPILOT/Tender/SplashBidNoticeAbstractUI.aspx?menuIndex=3&amp;refID=7031155&amp;Result=3","7031155")</f>
        <v>0</v>
      </c>
      <c r="B8379" t="s">
        <v>73</v>
      </c>
      <c r="C8379" t="s">
        <v>11190</v>
      </c>
      <c r="D8379" t="s">
        <v>18041</v>
      </c>
      <c r="E8379" t="s">
        <v>25461</v>
      </c>
      <c r="F8379" t="s">
        <v>31574</v>
      </c>
      <c r="G8379" t="s">
        <v>31582</v>
      </c>
      <c r="H8379" t="s">
        <v>31590</v>
      </c>
      <c r="I8379" t="s">
        <v>31608</v>
      </c>
      <c r="J8379" t="s">
        <v>35581</v>
      </c>
      <c r="K8379" t="s">
        <v>41184</v>
      </c>
      <c r="M8379" t="s">
        <v>41557</v>
      </c>
      <c r="N8379" t="s">
        <v>45095</v>
      </c>
      <c r="O8379" t="s">
        <v>45096</v>
      </c>
      <c r="P8379">
        <v>0</v>
      </c>
      <c r="Q8379">
        <v>1</v>
      </c>
      <c r="R8379" t="s">
        <v>45104</v>
      </c>
      <c r="S8379" t="s">
        <v>45304</v>
      </c>
      <c r="T8379" t="s">
        <v>47197</v>
      </c>
      <c r="U8379" t="s">
        <v>54451</v>
      </c>
      <c r="V8379" t="s">
        <v>59867</v>
      </c>
      <c r="W8379" t="s">
        <v>41557</v>
      </c>
      <c r="X8379" t="s">
        <v>45108</v>
      </c>
    </row>
    <row r="8380" spans="1:24">
      <c r="A8380">
        <f>HYPERLINK("https://www.philgeps.gov.ph/GEPSNONPILOT/Tender/SplashBidNoticeAbstractUI.aspx?menuIndex=3&amp;refID=7030830&amp;Result=3","7030830")</f>
        <v>0</v>
      </c>
      <c r="B8380" t="s">
        <v>2356</v>
      </c>
      <c r="C8380" t="s">
        <v>11191</v>
      </c>
      <c r="D8380" t="s">
        <v>18052</v>
      </c>
      <c r="E8380" t="s">
        <v>25462</v>
      </c>
      <c r="F8380" t="s">
        <v>31574</v>
      </c>
      <c r="G8380" t="s">
        <v>31581</v>
      </c>
      <c r="H8380" t="s">
        <v>31590</v>
      </c>
      <c r="I8380" t="s">
        <v>31646</v>
      </c>
      <c r="J8380" t="s">
        <v>37055</v>
      </c>
      <c r="K8380" t="s">
        <v>41184</v>
      </c>
      <c r="M8380" t="s">
        <v>44073</v>
      </c>
      <c r="N8380" t="s">
        <v>45095</v>
      </c>
      <c r="O8380" t="s">
        <v>45096</v>
      </c>
      <c r="P8380">
        <v>0</v>
      </c>
      <c r="Q8380">
        <v>0</v>
      </c>
      <c r="R8380" t="s">
        <v>45104</v>
      </c>
      <c r="S8380" t="s">
        <v>45304</v>
      </c>
      <c r="T8380" t="s">
        <v>47159</v>
      </c>
      <c r="U8380" t="s">
        <v>54452</v>
      </c>
      <c r="V8380" t="s">
        <v>60730</v>
      </c>
      <c r="W8380" t="s">
        <v>44073</v>
      </c>
      <c r="X8380" t="s">
        <v>45108</v>
      </c>
    </row>
    <row r="8381" spans="1:24">
      <c r="A8381">
        <f>HYPERLINK("https://www.philgeps.gov.ph/GEPSNONPILOT/Tender/SplashBidNoticeAbstractUI.aspx?menuIndex=3&amp;refID=7031571&amp;Result=3","7031571")</f>
        <v>0</v>
      </c>
      <c r="B8381" t="s">
        <v>2357</v>
      </c>
      <c r="C8381" t="s">
        <v>11192</v>
      </c>
      <c r="E8381" t="s">
        <v>18422</v>
      </c>
      <c r="F8381" t="s">
        <v>31574</v>
      </c>
      <c r="G8381" t="s">
        <v>31582</v>
      </c>
      <c r="H8381" t="s">
        <v>31591</v>
      </c>
      <c r="I8381" t="s">
        <v>8822</v>
      </c>
      <c r="J8381" t="s">
        <v>32051</v>
      </c>
      <c r="K8381" t="s">
        <v>41184</v>
      </c>
      <c r="M8381" t="s">
        <v>44075</v>
      </c>
      <c r="N8381" t="s">
        <v>45095</v>
      </c>
      <c r="O8381" t="s">
        <v>45096</v>
      </c>
      <c r="P8381">
        <v>0</v>
      </c>
      <c r="Q8381">
        <v>0</v>
      </c>
      <c r="R8381" t="s">
        <v>45104</v>
      </c>
      <c r="S8381" t="s">
        <v>45304</v>
      </c>
      <c r="T8381" t="s">
        <v>46963</v>
      </c>
      <c r="U8381" t="s">
        <v>54453</v>
      </c>
      <c r="W8381" t="s">
        <v>44075</v>
      </c>
      <c r="X8381" t="s">
        <v>45108</v>
      </c>
    </row>
    <row r="8382" spans="1:24">
      <c r="A8382">
        <f>HYPERLINK("https://www.philgeps.gov.ph/GEPSNONPILOT/Tender/SplashBidNoticeAbstractUI.aspx?menuIndex=3&amp;refID=7031258&amp;Result=3","7031258")</f>
        <v>0</v>
      </c>
      <c r="B8382" t="s">
        <v>2358</v>
      </c>
      <c r="C8382" t="s">
        <v>11193</v>
      </c>
      <c r="D8382" t="s">
        <v>18098</v>
      </c>
      <c r="E8382" t="s">
        <v>25463</v>
      </c>
      <c r="F8382" t="s">
        <v>31574</v>
      </c>
      <c r="G8382" t="s">
        <v>31582</v>
      </c>
      <c r="H8382" t="s">
        <v>31590</v>
      </c>
      <c r="I8382" t="s">
        <v>31606</v>
      </c>
      <c r="J8382" t="s">
        <v>31771</v>
      </c>
      <c r="K8382" t="s">
        <v>41184</v>
      </c>
      <c r="M8382" t="s">
        <v>44076</v>
      </c>
      <c r="N8382" t="s">
        <v>45095</v>
      </c>
      <c r="O8382" t="s">
        <v>45096</v>
      </c>
      <c r="P8382">
        <v>0</v>
      </c>
      <c r="Q8382">
        <v>3</v>
      </c>
      <c r="R8382" t="s">
        <v>45104</v>
      </c>
      <c r="S8382" t="s">
        <v>45304</v>
      </c>
      <c r="T8382" t="s">
        <v>46979</v>
      </c>
      <c r="U8382" t="s">
        <v>54454</v>
      </c>
      <c r="W8382" t="s">
        <v>44076</v>
      </c>
      <c r="X8382" t="s">
        <v>45108</v>
      </c>
    </row>
    <row r="8383" spans="1:24">
      <c r="A8383">
        <f>HYPERLINK("https://www.philgeps.gov.ph/GEPSNONPILOT/Tender/SplashBidNoticeAbstractUI.aspx?menuIndex=3&amp;refID=7030860&amp;Result=3","7030860")</f>
        <v>0</v>
      </c>
      <c r="B8383" t="s">
        <v>2356</v>
      </c>
      <c r="C8383" t="s">
        <v>11194</v>
      </c>
      <c r="D8383" t="s">
        <v>18052</v>
      </c>
      <c r="E8383" t="s">
        <v>25464</v>
      </c>
      <c r="F8383" t="s">
        <v>31574</v>
      </c>
      <c r="G8383" t="s">
        <v>31581</v>
      </c>
      <c r="H8383" t="s">
        <v>31590</v>
      </c>
      <c r="I8383" t="s">
        <v>3489</v>
      </c>
      <c r="J8383" t="s">
        <v>37056</v>
      </c>
      <c r="K8383" t="s">
        <v>41196</v>
      </c>
      <c r="M8383" t="s">
        <v>44073</v>
      </c>
      <c r="N8383" t="s">
        <v>45095</v>
      </c>
      <c r="O8383" t="s">
        <v>45096</v>
      </c>
      <c r="P8383">
        <v>0</v>
      </c>
      <c r="Q8383">
        <v>0</v>
      </c>
      <c r="R8383" t="s">
        <v>45104</v>
      </c>
      <c r="S8383" t="s">
        <v>45304</v>
      </c>
      <c r="T8383" t="s">
        <v>47159</v>
      </c>
      <c r="U8383" t="s">
        <v>54455</v>
      </c>
      <c r="V8383" t="s">
        <v>60730</v>
      </c>
      <c r="W8383" t="s">
        <v>44073</v>
      </c>
      <c r="X8383" t="s">
        <v>45108</v>
      </c>
    </row>
    <row r="8384" spans="1:24">
      <c r="A8384">
        <f>HYPERLINK("https://www.philgeps.gov.ph/GEPSNONPILOT/Tender/SplashBidNoticeAbstractUI.aspx?menuIndex=3&amp;refID=7031485&amp;Result=3","7031485")</f>
        <v>0</v>
      </c>
      <c r="B8384" t="s">
        <v>135</v>
      </c>
      <c r="C8384" t="s">
        <v>11195</v>
      </c>
      <c r="D8384" t="s">
        <v>18022</v>
      </c>
      <c r="E8384" t="s">
        <v>25465</v>
      </c>
      <c r="F8384" t="s">
        <v>31574</v>
      </c>
      <c r="G8384" t="s">
        <v>31582</v>
      </c>
      <c r="H8384" t="s">
        <v>31590</v>
      </c>
      <c r="I8384" t="s">
        <v>3487</v>
      </c>
      <c r="J8384" t="s">
        <v>37057</v>
      </c>
      <c r="K8384" t="s">
        <v>41184</v>
      </c>
      <c r="M8384" t="s">
        <v>41619</v>
      </c>
      <c r="N8384" t="s">
        <v>45095</v>
      </c>
      <c r="O8384" t="s">
        <v>45096</v>
      </c>
      <c r="P8384">
        <v>0</v>
      </c>
      <c r="Q8384">
        <v>5</v>
      </c>
      <c r="R8384" t="s">
        <v>45104</v>
      </c>
      <c r="S8384" t="s">
        <v>45304</v>
      </c>
      <c r="T8384" t="s">
        <v>47337</v>
      </c>
      <c r="U8384" t="s">
        <v>54456</v>
      </c>
      <c r="W8384" t="s">
        <v>41619</v>
      </c>
      <c r="X8384" t="s">
        <v>45108</v>
      </c>
    </row>
    <row r="8385" spans="1:24">
      <c r="A8385">
        <f>HYPERLINK("https://www.philgeps.gov.ph/GEPSNONPILOT/Tender/SplashBidNoticeAbstractUI.aspx?menuIndex=3&amp;refID=7031204&amp;Result=3","7031204")</f>
        <v>0</v>
      </c>
      <c r="B8385" t="s">
        <v>73</v>
      </c>
      <c r="C8385" t="s">
        <v>11196</v>
      </c>
      <c r="D8385" t="s">
        <v>18041</v>
      </c>
      <c r="E8385" t="s">
        <v>25466</v>
      </c>
      <c r="F8385" t="s">
        <v>31574</v>
      </c>
      <c r="G8385" t="s">
        <v>31582</v>
      </c>
      <c r="H8385" t="s">
        <v>31590</v>
      </c>
      <c r="I8385" t="s">
        <v>31600</v>
      </c>
      <c r="J8385" t="s">
        <v>37058</v>
      </c>
      <c r="K8385" t="s">
        <v>41184</v>
      </c>
      <c r="M8385" t="s">
        <v>41557</v>
      </c>
      <c r="N8385" t="s">
        <v>45095</v>
      </c>
      <c r="O8385" t="s">
        <v>45096</v>
      </c>
      <c r="P8385">
        <v>0</v>
      </c>
      <c r="Q8385">
        <v>0</v>
      </c>
      <c r="R8385" t="s">
        <v>45104</v>
      </c>
      <c r="S8385" t="s">
        <v>45304</v>
      </c>
      <c r="T8385" t="s">
        <v>47197</v>
      </c>
      <c r="U8385" t="s">
        <v>54457</v>
      </c>
      <c r="V8385" t="s">
        <v>59867</v>
      </c>
      <c r="W8385" t="s">
        <v>41557</v>
      </c>
      <c r="X8385" t="s">
        <v>45108</v>
      </c>
    </row>
    <row r="8386" spans="1:24">
      <c r="A8386">
        <f>HYPERLINK("https://www.philgeps.gov.ph/GEPSNONPILOT/Tender/SplashBidNoticeAbstractUI.aspx?menuIndex=3&amp;refID=7030805&amp;Result=3","7030805")</f>
        <v>0</v>
      </c>
      <c r="B8386" t="s">
        <v>2356</v>
      </c>
      <c r="C8386" t="s">
        <v>11197</v>
      </c>
      <c r="D8386" t="s">
        <v>18052</v>
      </c>
      <c r="E8386" t="s">
        <v>25467</v>
      </c>
      <c r="F8386" t="s">
        <v>31574</v>
      </c>
      <c r="G8386" t="s">
        <v>31581</v>
      </c>
      <c r="H8386" t="s">
        <v>31590</v>
      </c>
      <c r="I8386" t="s">
        <v>4327</v>
      </c>
      <c r="J8386" t="s">
        <v>31947</v>
      </c>
      <c r="K8386" t="s">
        <v>41190</v>
      </c>
      <c r="M8386" t="s">
        <v>44073</v>
      </c>
      <c r="N8386" t="s">
        <v>45095</v>
      </c>
      <c r="O8386" t="s">
        <v>45096</v>
      </c>
      <c r="P8386">
        <v>0</v>
      </c>
      <c r="Q8386">
        <v>3</v>
      </c>
      <c r="R8386" t="s">
        <v>45104</v>
      </c>
      <c r="S8386" t="s">
        <v>45304</v>
      </c>
      <c r="T8386" t="s">
        <v>47159</v>
      </c>
      <c r="U8386" t="s">
        <v>54458</v>
      </c>
      <c r="V8386" t="s">
        <v>60730</v>
      </c>
      <c r="W8386" t="s">
        <v>44073</v>
      </c>
      <c r="X8386" t="s">
        <v>45108</v>
      </c>
    </row>
    <row r="8387" spans="1:24">
      <c r="A8387">
        <f>HYPERLINK("https://www.philgeps.gov.ph/GEPSNONPILOT/Tender/SplashBidNoticeAbstractUI.aspx?menuIndex=3&amp;refID=7031188&amp;Result=3","7031188")</f>
        <v>0</v>
      </c>
      <c r="B8387" t="s">
        <v>73</v>
      </c>
      <c r="C8387" t="s">
        <v>11198</v>
      </c>
      <c r="D8387" t="s">
        <v>18041</v>
      </c>
      <c r="E8387" t="s">
        <v>25468</v>
      </c>
      <c r="F8387" t="s">
        <v>31574</v>
      </c>
      <c r="G8387" t="s">
        <v>31582</v>
      </c>
      <c r="H8387" t="s">
        <v>31590</v>
      </c>
      <c r="I8387" t="s">
        <v>14544</v>
      </c>
      <c r="J8387" t="s">
        <v>37059</v>
      </c>
      <c r="K8387" t="s">
        <v>41184</v>
      </c>
      <c r="M8387" t="s">
        <v>41557</v>
      </c>
      <c r="N8387" t="s">
        <v>45095</v>
      </c>
      <c r="O8387" t="s">
        <v>45096</v>
      </c>
      <c r="P8387">
        <v>0</v>
      </c>
      <c r="Q8387">
        <v>0</v>
      </c>
      <c r="R8387" t="s">
        <v>45104</v>
      </c>
      <c r="S8387" t="s">
        <v>45304</v>
      </c>
      <c r="T8387" t="s">
        <v>47197</v>
      </c>
      <c r="U8387" t="s">
        <v>54459</v>
      </c>
      <c r="V8387" t="s">
        <v>59867</v>
      </c>
      <c r="W8387" t="s">
        <v>41557</v>
      </c>
      <c r="X8387" t="s">
        <v>45108</v>
      </c>
    </row>
    <row r="8388" spans="1:24">
      <c r="A8388">
        <f>HYPERLINK("https://www.philgeps.gov.ph/GEPSNONPILOT/Tender/SplashBidNoticeAbstractUI.aspx?menuIndex=3&amp;refID=7031420&amp;Result=3","7031420")</f>
        <v>0</v>
      </c>
      <c r="B8388" t="s">
        <v>725</v>
      </c>
      <c r="C8388" t="s">
        <v>11199</v>
      </c>
      <c r="D8388" t="s">
        <v>18092</v>
      </c>
      <c r="E8388" t="s">
        <v>25469</v>
      </c>
      <c r="F8388" t="s">
        <v>31574</v>
      </c>
      <c r="G8388" t="s">
        <v>31582</v>
      </c>
      <c r="H8388" t="s">
        <v>31590</v>
      </c>
      <c r="I8388" t="s">
        <v>31634</v>
      </c>
      <c r="J8388" t="s">
        <v>31789</v>
      </c>
      <c r="K8388" t="s">
        <v>41193</v>
      </c>
      <c r="M8388" t="s">
        <v>42235</v>
      </c>
      <c r="N8388" t="s">
        <v>45095</v>
      </c>
      <c r="O8388" t="s">
        <v>45096</v>
      </c>
      <c r="P8388">
        <v>0</v>
      </c>
      <c r="Q8388">
        <v>2</v>
      </c>
      <c r="R8388" t="s">
        <v>45104</v>
      </c>
      <c r="S8388" t="s">
        <v>45304</v>
      </c>
      <c r="T8388" t="s">
        <v>47183</v>
      </c>
      <c r="U8388" t="s">
        <v>54460</v>
      </c>
      <c r="V8388" t="s">
        <v>60731</v>
      </c>
      <c r="W8388" t="s">
        <v>42235</v>
      </c>
      <c r="X8388" t="s">
        <v>45108</v>
      </c>
    </row>
    <row r="8389" spans="1:24">
      <c r="A8389">
        <f>HYPERLINK("https://www.philgeps.gov.ph/GEPSNONPILOT/Tender/SplashBidNoticeAbstractUI.aspx?menuIndex=3&amp;refID=7031537&amp;Result=3","7031537")</f>
        <v>0</v>
      </c>
      <c r="B8389" t="s">
        <v>1179</v>
      </c>
      <c r="C8389" t="s">
        <v>11200</v>
      </c>
      <c r="D8389" t="s">
        <v>18052</v>
      </c>
      <c r="E8389" t="s">
        <v>25470</v>
      </c>
      <c r="F8389" t="s">
        <v>31574</v>
      </c>
      <c r="G8389" t="s">
        <v>31582</v>
      </c>
      <c r="H8389" t="s">
        <v>31590</v>
      </c>
      <c r="I8389" t="s">
        <v>3539</v>
      </c>
      <c r="J8389" t="s">
        <v>37060</v>
      </c>
      <c r="K8389" t="s">
        <v>41184</v>
      </c>
      <c r="M8389" t="s">
        <v>42738</v>
      </c>
      <c r="N8389" t="s">
        <v>45095</v>
      </c>
      <c r="O8389" t="s">
        <v>45096</v>
      </c>
      <c r="P8389">
        <v>0</v>
      </c>
      <c r="Q8389">
        <v>2</v>
      </c>
      <c r="R8389" t="s">
        <v>45104</v>
      </c>
      <c r="S8389" t="s">
        <v>45304</v>
      </c>
      <c r="T8389" t="s">
        <v>46915</v>
      </c>
      <c r="U8389" t="s">
        <v>54461</v>
      </c>
      <c r="W8389" t="s">
        <v>42738</v>
      </c>
      <c r="X8389" t="s">
        <v>45108</v>
      </c>
    </row>
    <row r="8390" spans="1:24">
      <c r="A8390">
        <f>HYPERLINK("https://www.philgeps.gov.ph/GEPSNONPILOT/Tender/SplashBidNoticeAbstractUI.aspx?menuIndex=3&amp;refID=7031329&amp;Result=3","7031329")</f>
        <v>0</v>
      </c>
      <c r="B8390" t="s">
        <v>2216</v>
      </c>
      <c r="C8390" t="s">
        <v>11201</v>
      </c>
      <c r="D8390" t="s">
        <v>18025</v>
      </c>
      <c r="E8390" t="s">
        <v>25471</v>
      </c>
      <c r="F8390" t="s">
        <v>31574</v>
      </c>
      <c r="G8390" t="s">
        <v>31581</v>
      </c>
      <c r="H8390" t="s">
        <v>31590</v>
      </c>
      <c r="I8390" t="s">
        <v>31614</v>
      </c>
      <c r="J8390" t="s">
        <v>37061</v>
      </c>
      <c r="K8390" t="s">
        <v>41186</v>
      </c>
      <c r="M8390" t="s">
        <v>43907</v>
      </c>
      <c r="N8390" t="s">
        <v>45095</v>
      </c>
      <c r="O8390" t="s">
        <v>45096</v>
      </c>
      <c r="P8390">
        <v>0</v>
      </c>
      <c r="Q8390">
        <v>0</v>
      </c>
      <c r="R8390" t="s">
        <v>45104</v>
      </c>
      <c r="S8390" t="s">
        <v>45304</v>
      </c>
      <c r="T8390" t="s">
        <v>47183</v>
      </c>
      <c r="U8390" t="s">
        <v>54462</v>
      </c>
      <c r="W8390" t="s">
        <v>43907</v>
      </c>
      <c r="X8390" t="s">
        <v>45108</v>
      </c>
    </row>
    <row r="8391" spans="1:24">
      <c r="A8391">
        <f>HYPERLINK("https://www.philgeps.gov.ph/GEPSNONPILOT/Tender/SplashBidNoticeAbstractUI.aspx?menuIndex=3&amp;refID=7031394&amp;Result=3","7031394")</f>
        <v>0</v>
      </c>
      <c r="B8391" t="s">
        <v>1319</v>
      </c>
      <c r="C8391" t="s">
        <v>11202</v>
      </c>
      <c r="D8391" t="s">
        <v>18075</v>
      </c>
      <c r="E8391" t="s">
        <v>25472</v>
      </c>
      <c r="F8391" t="s">
        <v>31574</v>
      </c>
      <c r="G8391" t="s">
        <v>31582</v>
      </c>
      <c r="H8391" t="s">
        <v>31590</v>
      </c>
      <c r="I8391" t="s">
        <v>31649</v>
      </c>
      <c r="J8391" t="s">
        <v>32493</v>
      </c>
      <c r="K8391" t="s">
        <v>41196</v>
      </c>
      <c r="M8391" t="s">
        <v>42889</v>
      </c>
      <c r="N8391" t="s">
        <v>45095</v>
      </c>
      <c r="O8391" t="s">
        <v>45096</v>
      </c>
      <c r="P8391">
        <v>0</v>
      </c>
      <c r="Q8391">
        <v>1</v>
      </c>
      <c r="R8391" t="s">
        <v>45104</v>
      </c>
      <c r="S8391" t="s">
        <v>45304</v>
      </c>
      <c r="T8391" t="s">
        <v>47093</v>
      </c>
      <c r="U8391" t="s">
        <v>54463</v>
      </c>
      <c r="V8391" t="s">
        <v>60732</v>
      </c>
      <c r="W8391" t="s">
        <v>42889</v>
      </c>
      <c r="X8391" t="s">
        <v>45108</v>
      </c>
    </row>
    <row r="8392" spans="1:24">
      <c r="A8392">
        <f>HYPERLINK("https://www.philgeps.gov.ph/GEPSNONPILOT/Tender/SplashBidNoticeAbstractUI.aspx?menuIndex=3&amp;refID=7031252&amp;Result=3","7031252")</f>
        <v>0</v>
      </c>
      <c r="B8392" t="s">
        <v>82</v>
      </c>
      <c r="C8392" t="s">
        <v>11203</v>
      </c>
      <c r="D8392" t="s">
        <v>18058</v>
      </c>
      <c r="E8392" t="s">
        <v>25473</v>
      </c>
      <c r="F8392" t="s">
        <v>31574</v>
      </c>
      <c r="G8392" t="s">
        <v>31582</v>
      </c>
      <c r="H8392" t="s">
        <v>31590</v>
      </c>
      <c r="I8392" t="s">
        <v>8258</v>
      </c>
      <c r="J8392" t="s">
        <v>35765</v>
      </c>
      <c r="K8392" t="s">
        <v>41193</v>
      </c>
      <c r="M8392" t="s">
        <v>41566</v>
      </c>
      <c r="N8392" t="s">
        <v>45095</v>
      </c>
      <c r="O8392" t="s">
        <v>45096</v>
      </c>
      <c r="P8392">
        <v>0</v>
      </c>
      <c r="Q8392">
        <v>1</v>
      </c>
      <c r="R8392" t="s">
        <v>45104</v>
      </c>
      <c r="S8392" t="s">
        <v>45304</v>
      </c>
      <c r="T8392" t="s">
        <v>47170</v>
      </c>
      <c r="U8392" t="s">
        <v>47584</v>
      </c>
      <c r="V8392" t="s">
        <v>60733</v>
      </c>
      <c r="W8392" t="s">
        <v>41566</v>
      </c>
      <c r="X8392" t="s">
        <v>45108</v>
      </c>
    </row>
    <row r="8393" spans="1:24">
      <c r="A8393">
        <f>HYPERLINK("https://www.philgeps.gov.ph/GEPSNONPILOT/Tender/SplashBidNoticeAbstractUI.aspx?menuIndex=3&amp;refID=7031338&amp;Result=3","7031338")</f>
        <v>0</v>
      </c>
      <c r="B8393" t="s">
        <v>82</v>
      </c>
      <c r="C8393" t="s">
        <v>11204</v>
      </c>
      <c r="D8393" t="s">
        <v>18058</v>
      </c>
      <c r="E8393" t="s">
        <v>25474</v>
      </c>
      <c r="F8393" t="s">
        <v>31574</v>
      </c>
      <c r="G8393" t="s">
        <v>31582</v>
      </c>
      <c r="H8393" t="s">
        <v>31590</v>
      </c>
      <c r="I8393" t="s">
        <v>14544</v>
      </c>
      <c r="J8393" t="s">
        <v>37062</v>
      </c>
      <c r="K8393" t="s">
        <v>41193</v>
      </c>
      <c r="M8393" t="s">
        <v>41566</v>
      </c>
      <c r="N8393" t="s">
        <v>45095</v>
      </c>
      <c r="O8393" t="s">
        <v>45096</v>
      </c>
      <c r="P8393">
        <v>0</v>
      </c>
      <c r="Q8393">
        <v>0</v>
      </c>
      <c r="R8393" t="s">
        <v>45104</v>
      </c>
      <c r="S8393" t="s">
        <v>45304</v>
      </c>
      <c r="T8393" t="s">
        <v>47170</v>
      </c>
      <c r="U8393" t="s">
        <v>47584</v>
      </c>
      <c r="V8393" t="s">
        <v>60734</v>
      </c>
      <c r="W8393" t="s">
        <v>41566</v>
      </c>
      <c r="X8393" t="s">
        <v>45108</v>
      </c>
    </row>
    <row r="8394" spans="1:24">
      <c r="A8394">
        <f>HYPERLINK("https://www.philgeps.gov.ph/GEPSNONPILOT/Tender/SplashBidNoticeAbstractUI.aspx?menuIndex=3&amp;refID=7031689&amp;Result=3","7031689")</f>
        <v>0</v>
      </c>
      <c r="B8394" t="s">
        <v>2359</v>
      </c>
      <c r="C8394" t="s">
        <v>11205</v>
      </c>
      <c r="D8394" t="s">
        <v>18078</v>
      </c>
      <c r="E8394" t="s">
        <v>25475</v>
      </c>
      <c r="F8394" t="s">
        <v>31574</v>
      </c>
      <c r="G8394" t="s">
        <v>31582</v>
      </c>
      <c r="H8394" t="s">
        <v>31591</v>
      </c>
      <c r="I8394" t="s">
        <v>8822</v>
      </c>
      <c r="J8394" t="s">
        <v>37063</v>
      </c>
      <c r="K8394" t="s">
        <v>41369</v>
      </c>
      <c r="M8394" t="s">
        <v>44077</v>
      </c>
      <c r="N8394" t="s">
        <v>45095</v>
      </c>
      <c r="O8394" t="s">
        <v>45096</v>
      </c>
      <c r="P8394">
        <v>0</v>
      </c>
      <c r="Q8394">
        <v>1</v>
      </c>
      <c r="R8394" t="s">
        <v>45104</v>
      </c>
      <c r="S8394" t="s">
        <v>45304</v>
      </c>
      <c r="T8394" t="s">
        <v>47010</v>
      </c>
      <c r="U8394" t="s">
        <v>54464</v>
      </c>
      <c r="W8394" t="s">
        <v>44077</v>
      </c>
      <c r="X8394" t="s">
        <v>45108</v>
      </c>
    </row>
    <row r="8395" spans="1:24">
      <c r="A8395">
        <f>HYPERLINK("https://www.philgeps.gov.ph/GEPSNONPILOT/Tender/SplashBidNoticeAbstractUI.aspx?menuIndex=3&amp;refID=7031376&amp;Result=3","7031376")</f>
        <v>0</v>
      </c>
      <c r="B8395" t="s">
        <v>659</v>
      </c>
      <c r="C8395" t="s">
        <v>11206</v>
      </c>
      <c r="D8395" t="s">
        <v>18063</v>
      </c>
      <c r="E8395" t="s">
        <v>19792</v>
      </c>
      <c r="F8395" t="s">
        <v>31574</v>
      </c>
      <c r="G8395" t="s">
        <v>31582</v>
      </c>
      <c r="H8395" t="s">
        <v>31590</v>
      </c>
      <c r="I8395" t="s">
        <v>31615</v>
      </c>
      <c r="J8395" t="s">
        <v>31771</v>
      </c>
      <c r="K8395" t="s">
        <v>41186</v>
      </c>
      <c r="M8395" t="s">
        <v>42163</v>
      </c>
      <c r="N8395" t="s">
        <v>45095</v>
      </c>
      <c r="O8395" t="s">
        <v>45096</v>
      </c>
      <c r="P8395">
        <v>0</v>
      </c>
      <c r="Q8395">
        <v>1</v>
      </c>
      <c r="R8395" t="s">
        <v>45104</v>
      </c>
      <c r="S8395" t="s">
        <v>45304</v>
      </c>
      <c r="T8395" t="s">
        <v>46957</v>
      </c>
      <c r="U8395" t="s">
        <v>54465</v>
      </c>
      <c r="W8395" t="s">
        <v>42163</v>
      </c>
      <c r="X8395" t="s">
        <v>45108</v>
      </c>
    </row>
    <row r="8396" spans="1:24">
      <c r="A8396">
        <f>HYPERLINK("https://www.philgeps.gov.ph/GEPSNONPILOT/Tender/SplashBidNoticeAbstractUI.aspx?menuIndex=3&amp;refID=7032139&amp;Result=3","7032139")</f>
        <v>0</v>
      </c>
      <c r="B8396" t="s">
        <v>189</v>
      </c>
      <c r="C8396" t="s">
        <v>11207</v>
      </c>
      <c r="D8396" t="s">
        <v>18081</v>
      </c>
      <c r="E8396" t="s">
        <v>25476</v>
      </c>
      <c r="F8396" t="s">
        <v>31574</v>
      </c>
      <c r="G8396" t="s">
        <v>31582</v>
      </c>
      <c r="H8396" t="s">
        <v>31590</v>
      </c>
      <c r="I8396" t="s">
        <v>31716</v>
      </c>
      <c r="J8396" t="s">
        <v>32906</v>
      </c>
      <c r="K8396" t="s">
        <v>41192</v>
      </c>
      <c r="M8396" t="s">
        <v>41674</v>
      </c>
      <c r="N8396" t="s">
        <v>45095</v>
      </c>
      <c r="O8396" t="s">
        <v>45096</v>
      </c>
      <c r="P8396">
        <v>0</v>
      </c>
      <c r="Q8396">
        <v>16</v>
      </c>
      <c r="R8396" t="s">
        <v>45104</v>
      </c>
      <c r="S8396" t="s">
        <v>45304</v>
      </c>
      <c r="T8396" t="s">
        <v>47010</v>
      </c>
      <c r="U8396" t="s">
        <v>54466</v>
      </c>
      <c r="W8396" t="s">
        <v>41674</v>
      </c>
      <c r="X8396" t="s">
        <v>45107</v>
      </c>
    </row>
    <row r="8397" spans="1:24">
      <c r="A8397">
        <f>HYPERLINK("https://www.philgeps.gov.ph/GEPSNONPILOT/Tender/SplashBidNoticeAbstractUI.aspx?menuIndex=3&amp;refID=7032072&amp;Result=3","7032072")</f>
        <v>0</v>
      </c>
      <c r="B8397" t="s">
        <v>135</v>
      </c>
      <c r="C8397" t="s">
        <v>11208</v>
      </c>
      <c r="D8397" t="s">
        <v>18022</v>
      </c>
      <c r="E8397" t="s">
        <v>25477</v>
      </c>
      <c r="F8397" t="s">
        <v>31574</v>
      </c>
      <c r="G8397" t="s">
        <v>31582</v>
      </c>
      <c r="H8397" t="s">
        <v>31590</v>
      </c>
      <c r="I8397" t="s">
        <v>4327</v>
      </c>
      <c r="J8397" t="s">
        <v>37064</v>
      </c>
      <c r="K8397" t="s">
        <v>41184</v>
      </c>
      <c r="M8397" t="s">
        <v>44078</v>
      </c>
      <c r="N8397" t="s">
        <v>45095</v>
      </c>
      <c r="O8397" t="s">
        <v>45096</v>
      </c>
      <c r="P8397">
        <v>0</v>
      </c>
      <c r="Q8397">
        <v>3</v>
      </c>
      <c r="R8397" t="s">
        <v>45104</v>
      </c>
      <c r="S8397" t="s">
        <v>45304</v>
      </c>
      <c r="T8397" t="s">
        <v>47010</v>
      </c>
      <c r="U8397" t="s">
        <v>54467</v>
      </c>
      <c r="W8397" t="s">
        <v>44078</v>
      </c>
      <c r="X8397" t="s">
        <v>45107</v>
      </c>
    </row>
    <row r="8398" spans="1:24">
      <c r="A8398">
        <f>HYPERLINK("https://www.philgeps.gov.ph/GEPSNONPILOT/Tender/SplashBidNoticeAbstractUI.aspx?menuIndex=3&amp;refID=7031640&amp;Result=3","7031640")</f>
        <v>0</v>
      </c>
      <c r="B8398" t="s">
        <v>2294</v>
      </c>
      <c r="C8398" t="s">
        <v>8898</v>
      </c>
      <c r="E8398" t="s">
        <v>25478</v>
      </c>
      <c r="F8398" t="s">
        <v>31574</v>
      </c>
      <c r="G8398" t="s">
        <v>31582</v>
      </c>
      <c r="H8398" t="s">
        <v>31590</v>
      </c>
      <c r="I8398" t="s">
        <v>3487</v>
      </c>
      <c r="J8398" t="s">
        <v>31727</v>
      </c>
      <c r="K8398" t="s">
        <v>41184</v>
      </c>
      <c r="M8398" t="s">
        <v>44003</v>
      </c>
      <c r="N8398" t="s">
        <v>45095</v>
      </c>
      <c r="O8398" t="s">
        <v>45096</v>
      </c>
      <c r="P8398">
        <v>0</v>
      </c>
      <c r="Q8398">
        <v>0</v>
      </c>
      <c r="R8398" t="s">
        <v>45104</v>
      </c>
      <c r="S8398" t="s">
        <v>45304</v>
      </c>
      <c r="T8398" t="s">
        <v>46935</v>
      </c>
      <c r="U8398" t="s">
        <v>52477</v>
      </c>
      <c r="W8398" t="s">
        <v>44003</v>
      </c>
      <c r="X8398" t="s">
        <v>45108</v>
      </c>
    </row>
    <row r="8399" spans="1:24">
      <c r="A8399">
        <f>HYPERLINK("https://www.philgeps.gov.ph/GEPSNONPILOT/Tender/SplashBidNoticeAbstractUI.aspx?menuIndex=3&amp;refID=7032164&amp;Result=3","7032164")</f>
        <v>0</v>
      </c>
      <c r="B8399" t="s">
        <v>38</v>
      </c>
      <c r="C8399" t="s">
        <v>11209</v>
      </c>
      <c r="D8399" t="s">
        <v>18033</v>
      </c>
      <c r="E8399" t="s">
        <v>25479</v>
      </c>
      <c r="F8399" t="s">
        <v>31574</v>
      </c>
      <c r="G8399" t="s">
        <v>31582</v>
      </c>
      <c r="H8399" t="s">
        <v>31591</v>
      </c>
      <c r="I8399" t="s">
        <v>8822</v>
      </c>
      <c r="J8399" t="s">
        <v>33507</v>
      </c>
      <c r="K8399" t="s">
        <v>41370</v>
      </c>
      <c r="M8399" t="s">
        <v>43276</v>
      </c>
      <c r="N8399" t="s">
        <v>45095</v>
      </c>
      <c r="O8399" t="s">
        <v>45096</v>
      </c>
      <c r="P8399">
        <v>0</v>
      </c>
      <c r="Q8399">
        <v>0</v>
      </c>
      <c r="R8399" t="s">
        <v>45104</v>
      </c>
      <c r="S8399" t="s">
        <v>45304</v>
      </c>
      <c r="T8399" t="s">
        <v>47010</v>
      </c>
      <c r="U8399" t="s">
        <v>49667</v>
      </c>
      <c r="V8399" t="s">
        <v>59888</v>
      </c>
      <c r="W8399" t="s">
        <v>43276</v>
      </c>
      <c r="X8399" t="s">
        <v>45107</v>
      </c>
    </row>
    <row r="8400" spans="1:24">
      <c r="A8400">
        <f>HYPERLINK("https://www.philgeps.gov.ph/GEPSNONPILOT/Tender/SplashBidNoticeAbstractUI.aspx?menuIndex=3&amp;refID=7032159&amp;Result=3","7032159")</f>
        <v>0</v>
      </c>
      <c r="B8400" t="s">
        <v>38</v>
      </c>
      <c r="C8400" t="s">
        <v>11210</v>
      </c>
      <c r="D8400" t="s">
        <v>18033</v>
      </c>
      <c r="E8400" t="s">
        <v>25480</v>
      </c>
      <c r="F8400" t="s">
        <v>31574</v>
      </c>
      <c r="G8400" t="s">
        <v>31582</v>
      </c>
      <c r="H8400" t="s">
        <v>31591</v>
      </c>
      <c r="I8400" t="s">
        <v>8822</v>
      </c>
      <c r="J8400" t="s">
        <v>37065</v>
      </c>
      <c r="K8400" t="s">
        <v>41255</v>
      </c>
      <c r="M8400" t="s">
        <v>43276</v>
      </c>
      <c r="N8400" t="s">
        <v>45095</v>
      </c>
      <c r="O8400" t="s">
        <v>45096</v>
      </c>
      <c r="P8400">
        <v>0</v>
      </c>
      <c r="Q8400">
        <v>2</v>
      </c>
      <c r="R8400" t="s">
        <v>45104</v>
      </c>
      <c r="S8400" t="s">
        <v>45304</v>
      </c>
      <c r="T8400" t="s">
        <v>47010</v>
      </c>
      <c r="U8400" t="s">
        <v>49667</v>
      </c>
      <c r="V8400" t="s">
        <v>59888</v>
      </c>
      <c r="W8400" t="s">
        <v>43276</v>
      </c>
      <c r="X8400" t="s">
        <v>45107</v>
      </c>
    </row>
    <row r="8401" spans="1:24">
      <c r="A8401">
        <f>HYPERLINK("https://www.philgeps.gov.ph/GEPSNONPILOT/Tender/SplashBidNoticeAbstractUI.aspx?menuIndex=3&amp;refID=7032165&amp;Result=3","7032165")</f>
        <v>0</v>
      </c>
      <c r="B8401" t="s">
        <v>38</v>
      </c>
      <c r="C8401" t="s">
        <v>11211</v>
      </c>
      <c r="D8401" t="s">
        <v>18033</v>
      </c>
      <c r="E8401" t="s">
        <v>25481</v>
      </c>
      <c r="F8401" t="s">
        <v>31574</v>
      </c>
      <c r="G8401" t="s">
        <v>31582</v>
      </c>
      <c r="H8401" t="s">
        <v>31591</v>
      </c>
      <c r="I8401" t="s">
        <v>8822</v>
      </c>
      <c r="J8401" t="s">
        <v>32421</v>
      </c>
      <c r="K8401" t="s">
        <v>41228</v>
      </c>
      <c r="M8401" t="s">
        <v>43276</v>
      </c>
      <c r="N8401" t="s">
        <v>45095</v>
      </c>
      <c r="O8401" t="s">
        <v>45096</v>
      </c>
      <c r="P8401">
        <v>0</v>
      </c>
      <c r="Q8401">
        <v>0</v>
      </c>
      <c r="R8401" t="s">
        <v>45104</v>
      </c>
      <c r="S8401" t="s">
        <v>45304</v>
      </c>
      <c r="T8401" t="s">
        <v>47010</v>
      </c>
      <c r="U8401" t="s">
        <v>49667</v>
      </c>
      <c r="V8401" t="s">
        <v>59888</v>
      </c>
      <c r="W8401" t="s">
        <v>43276</v>
      </c>
      <c r="X8401" t="s">
        <v>45107</v>
      </c>
    </row>
    <row r="8402" spans="1:24">
      <c r="A8402">
        <f>HYPERLINK("https://www.philgeps.gov.ph/GEPSNONPILOT/Tender/SplashBidNoticeAbstractUI.aspx?menuIndex=3&amp;refID=7032125&amp;Result=3","7032125")</f>
        <v>0</v>
      </c>
      <c r="B8402" t="s">
        <v>135</v>
      </c>
      <c r="C8402" t="s">
        <v>11212</v>
      </c>
      <c r="D8402" t="s">
        <v>18022</v>
      </c>
      <c r="E8402" t="s">
        <v>25482</v>
      </c>
      <c r="F8402" t="s">
        <v>31574</v>
      </c>
      <c r="G8402" t="s">
        <v>31582</v>
      </c>
      <c r="H8402" t="s">
        <v>31590</v>
      </c>
      <c r="I8402" t="s">
        <v>31598</v>
      </c>
      <c r="J8402" t="s">
        <v>37066</v>
      </c>
      <c r="K8402" t="s">
        <v>41184</v>
      </c>
      <c r="M8402" t="s">
        <v>44078</v>
      </c>
      <c r="N8402" t="s">
        <v>45095</v>
      </c>
      <c r="O8402" t="s">
        <v>45096</v>
      </c>
      <c r="P8402">
        <v>0</v>
      </c>
      <c r="Q8402">
        <v>5</v>
      </c>
      <c r="R8402" t="s">
        <v>45104</v>
      </c>
      <c r="S8402" t="s">
        <v>45304</v>
      </c>
      <c r="T8402" t="s">
        <v>47010</v>
      </c>
      <c r="U8402" t="s">
        <v>54468</v>
      </c>
      <c r="W8402" t="s">
        <v>44078</v>
      </c>
      <c r="X8402" t="s">
        <v>45107</v>
      </c>
    </row>
    <row r="8403" spans="1:24">
      <c r="A8403">
        <f>HYPERLINK("https://www.philgeps.gov.ph/GEPSNONPILOT/Tender/SplashBidNoticeAbstractUI.aspx?menuIndex=3&amp;refID=7032185&amp;Result=3","7032185")</f>
        <v>0</v>
      </c>
      <c r="B8403" t="s">
        <v>38</v>
      </c>
      <c r="C8403" t="s">
        <v>11213</v>
      </c>
      <c r="D8403" t="s">
        <v>18033</v>
      </c>
      <c r="E8403" t="s">
        <v>25483</v>
      </c>
      <c r="F8403" t="s">
        <v>31574</v>
      </c>
      <c r="G8403" t="s">
        <v>31582</v>
      </c>
      <c r="H8403" t="s">
        <v>31591</v>
      </c>
      <c r="I8403" t="s">
        <v>8822</v>
      </c>
      <c r="J8403" t="s">
        <v>37067</v>
      </c>
      <c r="K8403" t="s">
        <v>41207</v>
      </c>
      <c r="M8403" t="s">
        <v>43276</v>
      </c>
      <c r="N8403" t="s">
        <v>45095</v>
      </c>
      <c r="O8403" t="s">
        <v>45096</v>
      </c>
      <c r="P8403">
        <v>0</v>
      </c>
      <c r="Q8403">
        <v>0</v>
      </c>
      <c r="R8403" t="s">
        <v>45104</v>
      </c>
      <c r="S8403" t="s">
        <v>45304</v>
      </c>
      <c r="T8403" t="s">
        <v>47010</v>
      </c>
      <c r="U8403" t="s">
        <v>49667</v>
      </c>
      <c r="V8403" t="s">
        <v>59888</v>
      </c>
      <c r="W8403" t="s">
        <v>43276</v>
      </c>
      <c r="X8403" t="s">
        <v>45107</v>
      </c>
    </row>
    <row r="8404" spans="1:24">
      <c r="A8404">
        <f>HYPERLINK("https://www.philgeps.gov.ph/GEPSNONPILOT/Tender/SplashBidNoticeAbstractUI.aspx?menuIndex=3&amp;refID=7032176&amp;Result=3","7032176")</f>
        <v>0</v>
      </c>
      <c r="B8404" t="s">
        <v>38</v>
      </c>
      <c r="C8404" t="s">
        <v>11214</v>
      </c>
      <c r="D8404" t="s">
        <v>18033</v>
      </c>
      <c r="E8404" t="s">
        <v>25484</v>
      </c>
      <c r="F8404" t="s">
        <v>31574</v>
      </c>
      <c r="G8404" t="s">
        <v>31582</v>
      </c>
      <c r="H8404" t="s">
        <v>31591</v>
      </c>
      <c r="I8404" t="s">
        <v>8822</v>
      </c>
      <c r="J8404" t="s">
        <v>34430</v>
      </c>
      <c r="K8404" t="s">
        <v>41192</v>
      </c>
      <c r="M8404" t="s">
        <v>43276</v>
      </c>
      <c r="N8404" t="s">
        <v>45095</v>
      </c>
      <c r="O8404" t="s">
        <v>45096</v>
      </c>
      <c r="P8404">
        <v>0</v>
      </c>
      <c r="Q8404">
        <v>3</v>
      </c>
      <c r="R8404" t="s">
        <v>45104</v>
      </c>
      <c r="S8404" t="s">
        <v>45304</v>
      </c>
      <c r="T8404" t="s">
        <v>46985</v>
      </c>
      <c r="U8404" t="s">
        <v>49667</v>
      </c>
      <c r="V8404" t="s">
        <v>59888</v>
      </c>
      <c r="W8404" t="s">
        <v>43276</v>
      </c>
      <c r="X8404" t="s">
        <v>45107</v>
      </c>
    </row>
    <row r="8405" spans="1:24">
      <c r="A8405">
        <f>HYPERLINK("https://www.philgeps.gov.ph/GEPSNONPILOT/Tender/SplashBidNoticeAbstractUI.aspx?menuIndex=3&amp;refID=7032182&amp;Result=3","7032182")</f>
        <v>0</v>
      </c>
      <c r="B8405" t="s">
        <v>38</v>
      </c>
      <c r="C8405" t="s">
        <v>11215</v>
      </c>
      <c r="D8405" t="s">
        <v>18033</v>
      </c>
      <c r="E8405" t="s">
        <v>25485</v>
      </c>
      <c r="F8405" t="s">
        <v>31574</v>
      </c>
      <c r="G8405" t="s">
        <v>31582</v>
      </c>
      <c r="H8405" t="s">
        <v>31591</v>
      </c>
      <c r="I8405" t="s">
        <v>8822</v>
      </c>
      <c r="J8405" t="s">
        <v>37068</v>
      </c>
      <c r="K8405" t="s">
        <v>41255</v>
      </c>
      <c r="M8405" t="s">
        <v>43276</v>
      </c>
      <c r="N8405" t="s">
        <v>45095</v>
      </c>
      <c r="O8405" t="s">
        <v>45096</v>
      </c>
      <c r="P8405">
        <v>0</v>
      </c>
      <c r="Q8405">
        <v>0</v>
      </c>
      <c r="R8405" t="s">
        <v>45104</v>
      </c>
      <c r="S8405" t="s">
        <v>45304</v>
      </c>
      <c r="T8405" t="s">
        <v>47010</v>
      </c>
      <c r="U8405" t="s">
        <v>49667</v>
      </c>
      <c r="V8405" t="s">
        <v>59888</v>
      </c>
      <c r="W8405" t="s">
        <v>43276</v>
      </c>
      <c r="X8405" t="s">
        <v>45107</v>
      </c>
    </row>
    <row r="8406" spans="1:24">
      <c r="A8406">
        <f>HYPERLINK("https://www.philgeps.gov.ph/GEPSNONPILOT/Tender/SplashBidNoticeAbstractUI.aspx?menuIndex=3&amp;refID=7032445&amp;Result=3","7032445")</f>
        <v>0</v>
      </c>
      <c r="B8406" t="s">
        <v>1200</v>
      </c>
      <c r="C8406" t="s">
        <v>11216</v>
      </c>
      <c r="E8406" t="s">
        <v>25486</v>
      </c>
      <c r="F8406" t="s">
        <v>31574</v>
      </c>
      <c r="G8406" t="s">
        <v>31582</v>
      </c>
      <c r="H8406" t="s">
        <v>31591</v>
      </c>
      <c r="I8406" t="s">
        <v>8822</v>
      </c>
      <c r="J8406" t="s">
        <v>37069</v>
      </c>
      <c r="K8406" t="s">
        <v>41184</v>
      </c>
      <c r="M8406" t="s">
        <v>42760</v>
      </c>
      <c r="N8406" t="s">
        <v>45095</v>
      </c>
      <c r="O8406" t="s">
        <v>45096</v>
      </c>
      <c r="P8406">
        <v>0</v>
      </c>
      <c r="Q8406">
        <v>0</v>
      </c>
      <c r="R8406" t="s">
        <v>45104</v>
      </c>
      <c r="S8406" t="s">
        <v>45304</v>
      </c>
      <c r="T8406" t="s">
        <v>47159</v>
      </c>
      <c r="U8406" t="s">
        <v>54469</v>
      </c>
      <c r="W8406" t="s">
        <v>42760</v>
      </c>
      <c r="X8406" t="s">
        <v>45106</v>
      </c>
    </row>
    <row r="8407" spans="1:24">
      <c r="A8407">
        <f>HYPERLINK("https://www.philgeps.gov.ph/GEPSNONPILOT/Tender/SplashBidNoticeAbstractUI.aspx?menuIndex=3&amp;refID=7032178&amp;Result=3","7032178")</f>
        <v>0</v>
      </c>
      <c r="B8407" t="s">
        <v>38</v>
      </c>
      <c r="C8407" t="s">
        <v>11217</v>
      </c>
      <c r="D8407" t="s">
        <v>18033</v>
      </c>
      <c r="E8407" t="s">
        <v>25487</v>
      </c>
      <c r="F8407" t="s">
        <v>31574</v>
      </c>
      <c r="G8407" t="s">
        <v>31582</v>
      </c>
      <c r="H8407" t="s">
        <v>31591</v>
      </c>
      <c r="I8407" t="s">
        <v>8822</v>
      </c>
      <c r="J8407" t="s">
        <v>31771</v>
      </c>
      <c r="K8407" t="s">
        <v>41185</v>
      </c>
      <c r="M8407" t="s">
        <v>43276</v>
      </c>
      <c r="N8407" t="s">
        <v>45095</v>
      </c>
      <c r="O8407" t="s">
        <v>45096</v>
      </c>
      <c r="P8407">
        <v>0</v>
      </c>
      <c r="Q8407">
        <v>0</v>
      </c>
      <c r="R8407" t="s">
        <v>45104</v>
      </c>
      <c r="S8407" t="s">
        <v>45304</v>
      </c>
      <c r="T8407" t="s">
        <v>47010</v>
      </c>
      <c r="U8407" t="s">
        <v>49667</v>
      </c>
      <c r="V8407" t="s">
        <v>59888</v>
      </c>
      <c r="W8407" t="s">
        <v>43276</v>
      </c>
      <c r="X8407" t="s">
        <v>45107</v>
      </c>
    </row>
    <row r="8408" spans="1:24">
      <c r="A8408">
        <f>HYPERLINK("https://www.philgeps.gov.ph/GEPSNONPILOT/Tender/SplashBidNoticeAbstractUI.aspx?menuIndex=3&amp;refID=7032180&amp;Result=3","7032180")</f>
        <v>0</v>
      </c>
      <c r="B8408" t="s">
        <v>38</v>
      </c>
      <c r="C8408" t="s">
        <v>11218</v>
      </c>
      <c r="D8408" t="s">
        <v>18033</v>
      </c>
      <c r="E8408" t="s">
        <v>25488</v>
      </c>
      <c r="F8408" t="s">
        <v>31574</v>
      </c>
      <c r="G8408" t="s">
        <v>31582</v>
      </c>
      <c r="H8408" t="s">
        <v>31591</v>
      </c>
      <c r="I8408" t="s">
        <v>8822</v>
      </c>
      <c r="J8408" t="s">
        <v>33539</v>
      </c>
      <c r="K8408" t="s">
        <v>41202</v>
      </c>
      <c r="M8408" t="s">
        <v>43276</v>
      </c>
      <c r="N8408" t="s">
        <v>45095</v>
      </c>
      <c r="O8408" t="s">
        <v>45096</v>
      </c>
      <c r="P8408">
        <v>0</v>
      </c>
      <c r="Q8408">
        <v>0</v>
      </c>
      <c r="R8408" t="s">
        <v>45104</v>
      </c>
      <c r="S8408" t="s">
        <v>45304</v>
      </c>
      <c r="T8408" t="s">
        <v>47010</v>
      </c>
      <c r="U8408" t="s">
        <v>49667</v>
      </c>
      <c r="V8408" t="s">
        <v>59888</v>
      </c>
      <c r="W8408" t="s">
        <v>43276</v>
      </c>
      <c r="X8408" t="s">
        <v>45107</v>
      </c>
    </row>
    <row r="8409" spans="1:24">
      <c r="A8409">
        <f>HYPERLINK("https://www.philgeps.gov.ph/GEPSNONPILOT/Tender/SplashBidNoticeAbstractUI.aspx?menuIndex=3&amp;refID=7032395&amp;Result=3","7032395")</f>
        <v>0</v>
      </c>
      <c r="B8409" t="s">
        <v>135</v>
      </c>
      <c r="C8409" t="s">
        <v>11219</v>
      </c>
      <c r="D8409" t="s">
        <v>18022</v>
      </c>
      <c r="E8409" t="s">
        <v>25489</v>
      </c>
      <c r="F8409" t="s">
        <v>31574</v>
      </c>
      <c r="G8409" t="s">
        <v>31582</v>
      </c>
      <c r="H8409" t="s">
        <v>31590</v>
      </c>
      <c r="I8409" t="s">
        <v>14544</v>
      </c>
      <c r="J8409" t="s">
        <v>37070</v>
      </c>
      <c r="K8409" t="s">
        <v>41184</v>
      </c>
      <c r="M8409" t="s">
        <v>42410</v>
      </c>
      <c r="N8409" t="s">
        <v>45095</v>
      </c>
      <c r="O8409" t="s">
        <v>45096</v>
      </c>
      <c r="P8409">
        <v>0</v>
      </c>
      <c r="Q8409">
        <v>0</v>
      </c>
      <c r="R8409" t="s">
        <v>45104</v>
      </c>
      <c r="S8409" t="s">
        <v>45304</v>
      </c>
      <c r="T8409" t="s">
        <v>47010</v>
      </c>
      <c r="U8409" t="s">
        <v>54470</v>
      </c>
      <c r="W8409" t="s">
        <v>42410</v>
      </c>
      <c r="X8409" t="s">
        <v>45106</v>
      </c>
    </row>
    <row r="8410" spans="1:24">
      <c r="A8410">
        <f>HYPERLINK("https://www.philgeps.gov.ph/GEPSNONPILOT/Tender/SplashBidNoticeAbstractUI.aspx?menuIndex=3&amp;refID=7032378&amp;Result=3","7032378")</f>
        <v>0</v>
      </c>
      <c r="B8410" t="s">
        <v>135</v>
      </c>
      <c r="C8410" t="s">
        <v>11220</v>
      </c>
      <c r="D8410" t="s">
        <v>18022</v>
      </c>
      <c r="E8410" t="s">
        <v>25490</v>
      </c>
      <c r="F8410" t="s">
        <v>31574</v>
      </c>
      <c r="G8410" t="s">
        <v>31582</v>
      </c>
      <c r="H8410" t="s">
        <v>31590</v>
      </c>
      <c r="I8410" t="s">
        <v>4046</v>
      </c>
      <c r="J8410" t="s">
        <v>37071</v>
      </c>
      <c r="K8410" t="s">
        <v>41184</v>
      </c>
      <c r="M8410" t="s">
        <v>42410</v>
      </c>
      <c r="N8410" t="s">
        <v>45095</v>
      </c>
      <c r="O8410" t="s">
        <v>45096</v>
      </c>
      <c r="P8410">
        <v>0</v>
      </c>
      <c r="Q8410">
        <v>2</v>
      </c>
      <c r="R8410" t="s">
        <v>45104</v>
      </c>
      <c r="S8410" t="s">
        <v>45304</v>
      </c>
      <c r="T8410" t="s">
        <v>47010</v>
      </c>
      <c r="U8410" t="s">
        <v>54471</v>
      </c>
      <c r="W8410" t="s">
        <v>42410</v>
      </c>
      <c r="X8410" t="s">
        <v>45106</v>
      </c>
    </row>
    <row r="8411" spans="1:24">
      <c r="A8411">
        <f>HYPERLINK("https://www.philgeps.gov.ph/GEPSNONPILOT/Tender/SplashBidNoticeAbstractUI.aspx?menuIndex=3&amp;refID=7032388&amp;Result=3","7032388")</f>
        <v>0</v>
      </c>
      <c r="B8411" t="s">
        <v>135</v>
      </c>
      <c r="C8411" t="s">
        <v>11221</v>
      </c>
      <c r="D8411" t="s">
        <v>18022</v>
      </c>
      <c r="E8411" t="s">
        <v>25491</v>
      </c>
      <c r="F8411" t="s">
        <v>31574</v>
      </c>
      <c r="G8411" t="s">
        <v>31582</v>
      </c>
      <c r="H8411" t="s">
        <v>31590</v>
      </c>
      <c r="I8411" t="s">
        <v>31623</v>
      </c>
      <c r="J8411" t="s">
        <v>31819</v>
      </c>
      <c r="K8411" t="s">
        <v>41184</v>
      </c>
      <c r="M8411" t="s">
        <v>42410</v>
      </c>
      <c r="N8411" t="s">
        <v>45095</v>
      </c>
      <c r="O8411" t="s">
        <v>45096</v>
      </c>
      <c r="P8411">
        <v>0</v>
      </c>
      <c r="Q8411">
        <v>0</v>
      </c>
      <c r="R8411" t="s">
        <v>45104</v>
      </c>
      <c r="S8411" t="s">
        <v>45304</v>
      </c>
      <c r="T8411" t="s">
        <v>47010</v>
      </c>
      <c r="U8411" t="s">
        <v>54472</v>
      </c>
      <c r="W8411" t="s">
        <v>42410</v>
      </c>
      <c r="X8411" t="s">
        <v>45106</v>
      </c>
    </row>
    <row r="8412" spans="1:24">
      <c r="A8412">
        <f>HYPERLINK("https://www.philgeps.gov.ph/GEPSNONPILOT/Tender/SplashBidNoticeAbstractUI.aspx?menuIndex=3&amp;refID=7032174&amp;Result=3","7032174")</f>
        <v>0</v>
      </c>
      <c r="B8412" t="s">
        <v>38</v>
      </c>
      <c r="C8412" t="s">
        <v>11222</v>
      </c>
      <c r="D8412" t="s">
        <v>18033</v>
      </c>
      <c r="E8412" t="s">
        <v>25492</v>
      </c>
      <c r="F8412" t="s">
        <v>31574</v>
      </c>
      <c r="G8412" t="s">
        <v>31582</v>
      </c>
      <c r="H8412" t="s">
        <v>31591</v>
      </c>
      <c r="I8412" t="s">
        <v>8822</v>
      </c>
      <c r="J8412" t="s">
        <v>37072</v>
      </c>
      <c r="K8412" t="s">
        <v>41348</v>
      </c>
      <c r="M8412" t="s">
        <v>43276</v>
      </c>
      <c r="N8412" t="s">
        <v>45095</v>
      </c>
      <c r="O8412" t="s">
        <v>45096</v>
      </c>
      <c r="P8412">
        <v>0</v>
      </c>
      <c r="Q8412">
        <v>1</v>
      </c>
      <c r="R8412" t="s">
        <v>45104</v>
      </c>
      <c r="S8412" t="s">
        <v>45304</v>
      </c>
      <c r="T8412" t="s">
        <v>47010</v>
      </c>
      <c r="U8412" t="s">
        <v>49667</v>
      </c>
      <c r="V8412" t="s">
        <v>59888</v>
      </c>
      <c r="W8412" t="s">
        <v>43276</v>
      </c>
      <c r="X8412" t="s">
        <v>45107</v>
      </c>
    </row>
    <row r="8413" spans="1:24">
      <c r="A8413">
        <f>HYPERLINK("https://www.philgeps.gov.ph/GEPSNONPILOT/Tender/SplashBidNoticeAbstractUI.aspx?menuIndex=3&amp;refID=7032407&amp;Result=3","7032407")</f>
        <v>0</v>
      </c>
      <c r="B8413" t="s">
        <v>135</v>
      </c>
      <c r="C8413" t="s">
        <v>11223</v>
      </c>
      <c r="D8413" t="s">
        <v>18022</v>
      </c>
      <c r="E8413" t="s">
        <v>25493</v>
      </c>
      <c r="F8413" t="s">
        <v>31574</v>
      </c>
      <c r="G8413" t="s">
        <v>31582</v>
      </c>
      <c r="H8413" t="s">
        <v>31590</v>
      </c>
      <c r="I8413" t="s">
        <v>31638</v>
      </c>
      <c r="J8413" t="s">
        <v>37073</v>
      </c>
      <c r="K8413" t="s">
        <v>41184</v>
      </c>
      <c r="M8413" t="s">
        <v>42410</v>
      </c>
      <c r="N8413" t="s">
        <v>45095</v>
      </c>
      <c r="O8413" t="s">
        <v>45096</v>
      </c>
      <c r="P8413">
        <v>0</v>
      </c>
      <c r="Q8413">
        <v>2</v>
      </c>
      <c r="R8413" t="s">
        <v>45104</v>
      </c>
      <c r="S8413" t="s">
        <v>45304</v>
      </c>
      <c r="T8413" t="s">
        <v>47010</v>
      </c>
      <c r="U8413" t="s">
        <v>54473</v>
      </c>
      <c r="W8413" t="s">
        <v>42410</v>
      </c>
      <c r="X8413" t="s">
        <v>45106</v>
      </c>
    </row>
    <row r="8414" spans="1:24">
      <c r="A8414">
        <f>HYPERLINK("https://www.philgeps.gov.ph/GEPSNONPILOT/Tender/SplashBidNoticeAbstractUI.aspx?menuIndex=3&amp;refID=7032171&amp;Result=3","7032171")</f>
        <v>0</v>
      </c>
      <c r="B8414" t="s">
        <v>38</v>
      </c>
      <c r="C8414" t="s">
        <v>11224</v>
      </c>
      <c r="D8414" t="s">
        <v>18033</v>
      </c>
      <c r="E8414" t="s">
        <v>25494</v>
      </c>
      <c r="F8414" t="s">
        <v>31574</v>
      </c>
      <c r="G8414" t="s">
        <v>31582</v>
      </c>
      <c r="H8414" t="s">
        <v>31591</v>
      </c>
      <c r="I8414" t="s">
        <v>8822</v>
      </c>
      <c r="J8414" t="s">
        <v>35720</v>
      </c>
      <c r="K8414" t="s">
        <v>41370</v>
      </c>
      <c r="M8414" t="s">
        <v>43276</v>
      </c>
      <c r="N8414" t="s">
        <v>45095</v>
      </c>
      <c r="O8414" t="s">
        <v>45096</v>
      </c>
      <c r="P8414">
        <v>0</v>
      </c>
      <c r="Q8414">
        <v>0</v>
      </c>
      <c r="R8414" t="s">
        <v>45104</v>
      </c>
      <c r="S8414" t="s">
        <v>45304</v>
      </c>
      <c r="T8414" t="s">
        <v>47010</v>
      </c>
      <c r="U8414" t="s">
        <v>49667</v>
      </c>
      <c r="V8414" t="s">
        <v>59888</v>
      </c>
      <c r="W8414" t="s">
        <v>43276</v>
      </c>
      <c r="X8414" t="s">
        <v>45107</v>
      </c>
    </row>
    <row r="8415" spans="1:24">
      <c r="A8415">
        <f>HYPERLINK("https://www.philgeps.gov.ph/GEPSNONPILOT/Tender/SplashBidNoticeAbstractUI.aspx?menuIndex=3&amp;refID=7032369&amp;Result=3","7032369")</f>
        <v>0</v>
      </c>
      <c r="B8415" t="s">
        <v>135</v>
      </c>
      <c r="C8415" t="s">
        <v>11225</v>
      </c>
      <c r="D8415" t="s">
        <v>18022</v>
      </c>
      <c r="E8415" t="s">
        <v>25495</v>
      </c>
      <c r="F8415" t="s">
        <v>31574</v>
      </c>
      <c r="G8415" t="s">
        <v>31582</v>
      </c>
      <c r="H8415" t="s">
        <v>31590</v>
      </c>
      <c r="I8415" t="s">
        <v>4046</v>
      </c>
      <c r="J8415" t="s">
        <v>37074</v>
      </c>
      <c r="K8415" t="s">
        <v>41184</v>
      </c>
      <c r="M8415" t="s">
        <v>42410</v>
      </c>
      <c r="N8415" t="s">
        <v>45095</v>
      </c>
      <c r="O8415" t="s">
        <v>45096</v>
      </c>
      <c r="P8415">
        <v>0</v>
      </c>
      <c r="Q8415">
        <v>2</v>
      </c>
      <c r="R8415" t="s">
        <v>45104</v>
      </c>
      <c r="S8415" t="s">
        <v>45304</v>
      </c>
      <c r="T8415" t="s">
        <v>47010</v>
      </c>
      <c r="U8415" t="s">
        <v>54474</v>
      </c>
      <c r="W8415" t="s">
        <v>42410</v>
      </c>
      <c r="X8415" t="s">
        <v>45106</v>
      </c>
    </row>
    <row r="8416" spans="1:24">
      <c r="A8416">
        <f>HYPERLINK("https://www.philgeps.gov.ph/GEPSNONPILOT/Tender/SplashBidNoticeAbstractUI.aspx?menuIndex=3&amp;refID=7032368&amp;Result=3","7032368")</f>
        <v>0</v>
      </c>
      <c r="B8416" t="s">
        <v>753</v>
      </c>
      <c r="C8416" t="s">
        <v>11226</v>
      </c>
      <c r="D8416" t="s">
        <v>18073</v>
      </c>
      <c r="E8416" t="s">
        <v>25496</v>
      </c>
      <c r="F8416" t="s">
        <v>31574</v>
      </c>
      <c r="G8416" t="s">
        <v>31582</v>
      </c>
      <c r="H8416" t="s">
        <v>31591</v>
      </c>
      <c r="I8416" t="s">
        <v>8822</v>
      </c>
      <c r="J8416" t="s">
        <v>37075</v>
      </c>
      <c r="K8416" t="s">
        <v>41243</v>
      </c>
      <c r="M8416" t="s">
        <v>44079</v>
      </c>
      <c r="N8416" t="s">
        <v>45095</v>
      </c>
      <c r="O8416" t="s">
        <v>45096</v>
      </c>
      <c r="P8416">
        <v>0</v>
      </c>
      <c r="Q8416">
        <v>6</v>
      </c>
      <c r="R8416" t="s">
        <v>45104</v>
      </c>
      <c r="S8416" t="s">
        <v>45304</v>
      </c>
      <c r="T8416" t="s">
        <v>46943</v>
      </c>
      <c r="U8416" t="s">
        <v>54475</v>
      </c>
      <c r="W8416" t="s">
        <v>61736</v>
      </c>
      <c r="X8416" t="s">
        <v>45106</v>
      </c>
    </row>
    <row r="8417" spans="1:24">
      <c r="A8417">
        <f>HYPERLINK("https://www.philgeps.gov.ph/GEPSNONPILOT/Tender/SplashBidNoticeAbstractUI.aspx?menuIndex=3&amp;refID=7032373&amp;Result=3","7032373")</f>
        <v>0</v>
      </c>
      <c r="B8417" t="s">
        <v>135</v>
      </c>
      <c r="C8417" t="s">
        <v>11227</v>
      </c>
      <c r="D8417" t="s">
        <v>18022</v>
      </c>
      <c r="E8417" t="s">
        <v>25497</v>
      </c>
      <c r="F8417" t="s">
        <v>31574</v>
      </c>
      <c r="G8417" t="s">
        <v>31582</v>
      </c>
      <c r="H8417" t="s">
        <v>31590</v>
      </c>
      <c r="I8417" t="s">
        <v>31605</v>
      </c>
      <c r="J8417" t="s">
        <v>31819</v>
      </c>
      <c r="K8417" t="s">
        <v>41184</v>
      </c>
      <c r="M8417" t="s">
        <v>42410</v>
      </c>
      <c r="N8417" t="s">
        <v>45095</v>
      </c>
      <c r="O8417" t="s">
        <v>45096</v>
      </c>
      <c r="P8417">
        <v>0</v>
      </c>
      <c r="Q8417">
        <v>3</v>
      </c>
      <c r="R8417" t="s">
        <v>45104</v>
      </c>
      <c r="S8417" t="s">
        <v>45304</v>
      </c>
      <c r="T8417" t="s">
        <v>47010</v>
      </c>
      <c r="U8417" t="s">
        <v>54476</v>
      </c>
      <c r="W8417" t="s">
        <v>42410</v>
      </c>
      <c r="X8417" t="s">
        <v>45106</v>
      </c>
    </row>
    <row r="8418" spans="1:24">
      <c r="A8418">
        <f>HYPERLINK("https://www.philgeps.gov.ph/GEPSNONPILOT/Tender/SplashBidNoticeAbstractUI.aspx?menuIndex=3&amp;refID=7032175&amp;Result=3","7032175")</f>
        <v>0</v>
      </c>
      <c r="B8418" t="s">
        <v>38</v>
      </c>
      <c r="C8418" t="s">
        <v>11228</v>
      </c>
      <c r="D8418" t="s">
        <v>18033</v>
      </c>
      <c r="E8418" t="s">
        <v>25498</v>
      </c>
      <c r="F8418" t="s">
        <v>31574</v>
      </c>
      <c r="G8418" t="s">
        <v>31582</v>
      </c>
      <c r="H8418" t="s">
        <v>31591</v>
      </c>
      <c r="I8418" t="s">
        <v>8822</v>
      </c>
      <c r="J8418" t="s">
        <v>32497</v>
      </c>
      <c r="K8418" t="s">
        <v>41185</v>
      </c>
      <c r="M8418" t="s">
        <v>43276</v>
      </c>
      <c r="N8418" t="s">
        <v>45095</v>
      </c>
      <c r="O8418" t="s">
        <v>45096</v>
      </c>
      <c r="P8418">
        <v>0</v>
      </c>
      <c r="Q8418">
        <v>0</v>
      </c>
      <c r="R8418" t="s">
        <v>45104</v>
      </c>
      <c r="S8418" t="s">
        <v>45304</v>
      </c>
      <c r="T8418" t="s">
        <v>46985</v>
      </c>
      <c r="U8418" t="s">
        <v>49667</v>
      </c>
      <c r="V8418" t="s">
        <v>59888</v>
      </c>
      <c r="W8418" t="s">
        <v>43276</v>
      </c>
      <c r="X8418" t="s">
        <v>45107</v>
      </c>
    </row>
    <row r="8419" spans="1:24">
      <c r="A8419">
        <f>HYPERLINK("https://www.philgeps.gov.ph/GEPSNONPILOT/Tender/SplashBidNoticeAbstractUI.aspx?menuIndex=3&amp;refID=7032589&amp;Result=3","7032589")</f>
        <v>0</v>
      </c>
      <c r="B8419" t="s">
        <v>2360</v>
      </c>
      <c r="C8419" t="s">
        <v>11229</v>
      </c>
      <c r="D8419" t="s">
        <v>18031</v>
      </c>
      <c r="E8419" t="s">
        <v>25499</v>
      </c>
      <c r="F8419" t="s">
        <v>31574</v>
      </c>
      <c r="G8419" t="s">
        <v>31582</v>
      </c>
      <c r="H8419" t="s">
        <v>31591</v>
      </c>
      <c r="I8419" t="s">
        <v>8822</v>
      </c>
      <c r="J8419" t="s">
        <v>32120</v>
      </c>
      <c r="K8419" t="s">
        <v>41329</v>
      </c>
      <c r="M8419" t="s">
        <v>44080</v>
      </c>
      <c r="N8419" t="s">
        <v>45095</v>
      </c>
      <c r="O8419" t="s">
        <v>45096</v>
      </c>
      <c r="P8419">
        <v>0</v>
      </c>
      <c r="Q8419">
        <v>2</v>
      </c>
      <c r="R8419" t="s">
        <v>45104</v>
      </c>
      <c r="S8419" t="s">
        <v>45304</v>
      </c>
      <c r="T8419" t="s">
        <v>47084</v>
      </c>
      <c r="U8419" t="s">
        <v>54477</v>
      </c>
      <c r="W8419" t="s">
        <v>44080</v>
      </c>
      <c r="X8419" t="s">
        <v>45106</v>
      </c>
    </row>
    <row r="8420" spans="1:24">
      <c r="A8420">
        <f>HYPERLINK("https://www.philgeps.gov.ph/GEPSNONPILOT/Tender/SplashBidNoticeAbstractUI.aspx?menuIndex=3&amp;refID=7032587&amp;Result=3","7032587")</f>
        <v>0</v>
      </c>
      <c r="B8420" t="s">
        <v>2360</v>
      </c>
      <c r="C8420" t="s">
        <v>11230</v>
      </c>
      <c r="D8420" t="s">
        <v>18031</v>
      </c>
      <c r="E8420" t="s">
        <v>25500</v>
      </c>
      <c r="F8420" t="s">
        <v>31574</v>
      </c>
      <c r="G8420" t="s">
        <v>31582</v>
      </c>
      <c r="H8420" t="s">
        <v>31591</v>
      </c>
      <c r="I8420" t="s">
        <v>8822</v>
      </c>
      <c r="J8420" t="s">
        <v>32120</v>
      </c>
      <c r="K8420" t="s">
        <v>41329</v>
      </c>
      <c r="M8420" t="s">
        <v>44080</v>
      </c>
      <c r="N8420" t="s">
        <v>45095</v>
      </c>
      <c r="O8420" t="s">
        <v>45096</v>
      </c>
      <c r="P8420">
        <v>0</v>
      </c>
      <c r="Q8420">
        <v>2</v>
      </c>
      <c r="R8420" t="s">
        <v>45104</v>
      </c>
      <c r="S8420" t="s">
        <v>45304</v>
      </c>
      <c r="T8420" t="s">
        <v>47084</v>
      </c>
      <c r="U8420" t="s">
        <v>54477</v>
      </c>
      <c r="W8420" t="s">
        <v>44080</v>
      </c>
      <c r="X8420" t="s">
        <v>45106</v>
      </c>
    </row>
    <row r="8421" spans="1:24">
      <c r="A8421">
        <f>HYPERLINK("https://www.philgeps.gov.ph/GEPSNONPILOT/Tender/SplashBidNoticeAbstractUI.aspx?menuIndex=3&amp;refID=7032450&amp;Result=3","7032450")</f>
        <v>0</v>
      </c>
      <c r="B8421" t="s">
        <v>1200</v>
      </c>
      <c r="C8421" t="s">
        <v>11231</v>
      </c>
      <c r="E8421" t="s">
        <v>25501</v>
      </c>
      <c r="F8421" t="s">
        <v>31574</v>
      </c>
      <c r="G8421" t="s">
        <v>31582</v>
      </c>
      <c r="H8421" t="s">
        <v>31591</v>
      </c>
      <c r="I8421" t="s">
        <v>8822</v>
      </c>
      <c r="J8421" t="s">
        <v>37069</v>
      </c>
      <c r="K8421" t="s">
        <v>41184</v>
      </c>
      <c r="M8421" t="s">
        <v>42760</v>
      </c>
      <c r="N8421" t="s">
        <v>45095</v>
      </c>
      <c r="O8421" t="s">
        <v>45096</v>
      </c>
      <c r="P8421">
        <v>0</v>
      </c>
      <c r="Q8421">
        <v>0</v>
      </c>
      <c r="R8421" t="s">
        <v>45104</v>
      </c>
      <c r="S8421" t="s">
        <v>45304</v>
      </c>
      <c r="T8421" t="s">
        <v>47159</v>
      </c>
      <c r="U8421" t="s">
        <v>54469</v>
      </c>
      <c r="W8421" t="s">
        <v>42760</v>
      </c>
      <c r="X8421" t="s">
        <v>45106</v>
      </c>
    </row>
    <row r="8422" spans="1:24">
      <c r="A8422">
        <f>HYPERLINK("https://www.philgeps.gov.ph/GEPSNONPILOT/Tender/SplashBidNoticeAbstractUI.aspx?menuIndex=3&amp;refID=7032748&amp;Result=3","7032748")</f>
        <v>0</v>
      </c>
      <c r="B8422" t="s">
        <v>82</v>
      </c>
      <c r="C8422" t="s">
        <v>10318</v>
      </c>
      <c r="D8422" t="s">
        <v>18058</v>
      </c>
      <c r="E8422" t="s">
        <v>25502</v>
      </c>
      <c r="F8422" t="s">
        <v>31574</v>
      </c>
      <c r="G8422" t="s">
        <v>31581</v>
      </c>
      <c r="H8422" t="s">
        <v>31590</v>
      </c>
      <c r="I8422" t="s">
        <v>8258</v>
      </c>
      <c r="J8422" t="s">
        <v>37076</v>
      </c>
      <c r="K8422" t="s">
        <v>41193</v>
      </c>
      <c r="M8422" t="s">
        <v>44081</v>
      </c>
      <c r="N8422" t="s">
        <v>45095</v>
      </c>
      <c r="O8422" t="s">
        <v>45096</v>
      </c>
      <c r="P8422">
        <v>0</v>
      </c>
      <c r="Q8422">
        <v>2</v>
      </c>
      <c r="R8422" t="s">
        <v>45104</v>
      </c>
      <c r="S8422" t="s">
        <v>45304</v>
      </c>
      <c r="T8422" t="s">
        <v>46985</v>
      </c>
      <c r="U8422" t="s">
        <v>54478</v>
      </c>
      <c r="W8422" t="s">
        <v>44081</v>
      </c>
      <c r="X8422" t="s">
        <v>45106</v>
      </c>
    </row>
    <row r="8423" spans="1:24">
      <c r="A8423">
        <f>HYPERLINK("https://www.philgeps.gov.ph/GEPSNONPILOT/Tender/SplashBidNoticeAbstractUI.aspx?menuIndex=3&amp;refID=7032448&amp;Result=3","7032448")</f>
        <v>0</v>
      </c>
      <c r="B8423" t="s">
        <v>1200</v>
      </c>
      <c r="C8423" t="s">
        <v>11232</v>
      </c>
      <c r="E8423" t="s">
        <v>25503</v>
      </c>
      <c r="F8423" t="s">
        <v>31574</v>
      </c>
      <c r="G8423" t="s">
        <v>31582</v>
      </c>
      <c r="H8423" t="s">
        <v>31591</v>
      </c>
      <c r="I8423" t="s">
        <v>8822</v>
      </c>
      <c r="J8423" t="s">
        <v>37069</v>
      </c>
      <c r="K8423" t="s">
        <v>41184</v>
      </c>
      <c r="M8423" t="s">
        <v>42760</v>
      </c>
      <c r="N8423" t="s">
        <v>45095</v>
      </c>
      <c r="O8423" t="s">
        <v>45096</v>
      </c>
      <c r="P8423">
        <v>0</v>
      </c>
      <c r="Q8423">
        <v>0</v>
      </c>
      <c r="R8423" t="s">
        <v>45104</v>
      </c>
      <c r="S8423" t="s">
        <v>45304</v>
      </c>
      <c r="T8423" t="s">
        <v>47159</v>
      </c>
      <c r="U8423" t="s">
        <v>54469</v>
      </c>
      <c r="W8423" t="s">
        <v>42760</v>
      </c>
      <c r="X8423" t="s">
        <v>45106</v>
      </c>
    </row>
    <row r="8424" spans="1:24">
      <c r="A8424">
        <f>HYPERLINK("https://www.philgeps.gov.ph/GEPSNONPILOT/Tender/SplashBidNoticeAbstractUI.aspx?menuIndex=3&amp;refID=7032582&amp;Result=3","7032582")</f>
        <v>0</v>
      </c>
      <c r="B8424" t="s">
        <v>2360</v>
      </c>
      <c r="C8424" t="s">
        <v>11233</v>
      </c>
      <c r="D8424" t="s">
        <v>18031</v>
      </c>
      <c r="E8424" t="s">
        <v>25504</v>
      </c>
      <c r="F8424" t="s">
        <v>31574</v>
      </c>
      <c r="G8424" t="s">
        <v>31582</v>
      </c>
      <c r="H8424" t="s">
        <v>31591</v>
      </c>
      <c r="I8424" t="s">
        <v>8822</v>
      </c>
      <c r="J8424" t="s">
        <v>32510</v>
      </c>
      <c r="K8424" t="s">
        <v>41310</v>
      </c>
      <c r="M8424" t="s">
        <v>44080</v>
      </c>
      <c r="N8424" t="s">
        <v>45095</v>
      </c>
      <c r="O8424" t="s">
        <v>45096</v>
      </c>
      <c r="P8424">
        <v>0</v>
      </c>
      <c r="Q8424">
        <v>2</v>
      </c>
      <c r="R8424" t="s">
        <v>45104</v>
      </c>
      <c r="S8424" t="s">
        <v>45304</v>
      </c>
      <c r="T8424" t="s">
        <v>47084</v>
      </c>
      <c r="U8424" t="s">
        <v>54477</v>
      </c>
      <c r="W8424" t="s">
        <v>44080</v>
      </c>
      <c r="X8424" t="s">
        <v>45106</v>
      </c>
    </row>
    <row r="8425" spans="1:24">
      <c r="A8425">
        <f>HYPERLINK("https://www.philgeps.gov.ph/GEPSNONPILOT/Tender/SplashBidNoticeAbstractUI.aspx?menuIndex=3&amp;refID=7032766&amp;Result=3","7032766")</f>
        <v>0</v>
      </c>
      <c r="B8425" t="s">
        <v>82</v>
      </c>
      <c r="C8425" t="s">
        <v>4749</v>
      </c>
      <c r="D8425" t="s">
        <v>18058</v>
      </c>
      <c r="E8425" t="s">
        <v>25505</v>
      </c>
      <c r="F8425" t="s">
        <v>31574</v>
      </c>
      <c r="G8425" t="s">
        <v>31581</v>
      </c>
      <c r="H8425" t="s">
        <v>31590</v>
      </c>
      <c r="I8425" t="s">
        <v>7185</v>
      </c>
      <c r="J8425" t="s">
        <v>37077</v>
      </c>
      <c r="K8425" t="s">
        <v>41193</v>
      </c>
      <c r="M8425" t="s">
        <v>44081</v>
      </c>
      <c r="N8425" t="s">
        <v>45095</v>
      </c>
      <c r="O8425" t="s">
        <v>45096</v>
      </c>
      <c r="P8425">
        <v>0</v>
      </c>
      <c r="Q8425">
        <v>0</v>
      </c>
      <c r="R8425" t="s">
        <v>45104</v>
      </c>
      <c r="S8425" t="s">
        <v>45304</v>
      </c>
      <c r="T8425" t="s">
        <v>46985</v>
      </c>
      <c r="U8425" t="s">
        <v>54479</v>
      </c>
      <c r="W8425" t="s">
        <v>44081</v>
      </c>
      <c r="X8425" t="s">
        <v>45106</v>
      </c>
    </row>
    <row r="8426" spans="1:24">
      <c r="A8426">
        <f>HYPERLINK("https://www.philgeps.gov.ph/GEPSNONPILOT/Tender/SplashBidNoticeAbstractUI.aspx?menuIndex=3&amp;refID=7032187&amp;Result=3","7032187")</f>
        <v>0</v>
      </c>
      <c r="B8426" t="s">
        <v>38</v>
      </c>
      <c r="C8426" t="s">
        <v>11234</v>
      </c>
      <c r="D8426" t="s">
        <v>18033</v>
      </c>
      <c r="E8426" t="s">
        <v>25506</v>
      </c>
      <c r="F8426" t="s">
        <v>31574</v>
      </c>
      <c r="G8426" t="s">
        <v>31582</v>
      </c>
      <c r="H8426" t="s">
        <v>31591</v>
      </c>
      <c r="I8426" t="s">
        <v>8822</v>
      </c>
      <c r="J8426" t="s">
        <v>37078</v>
      </c>
      <c r="K8426" t="s">
        <v>41217</v>
      </c>
      <c r="M8426" t="s">
        <v>43276</v>
      </c>
      <c r="N8426" t="s">
        <v>45095</v>
      </c>
      <c r="O8426" t="s">
        <v>45096</v>
      </c>
      <c r="P8426">
        <v>0</v>
      </c>
      <c r="Q8426">
        <v>0</v>
      </c>
      <c r="R8426" t="s">
        <v>45104</v>
      </c>
      <c r="S8426" t="s">
        <v>45304</v>
      </c>
      <c r="T8426" t="s">
        <v>47010</v>
      </c>
      <c r="U8426" t="s">
        <v>49667</v>
      </c>
      <c r="V8426" t="s">
        <v>59888</v>
      </c>
      <c r="W8426" t="s">
        <v>43276</v>
      </c>
      <c r="X8426" t="s">
        <v>45107</v>
      </c>
    </row>
    <row r="8427" spans="1:24">
      <c r="A8427">
        <f>HYPERLINK("https://www.philgeps.gov.ph/GEPSNONPILOT/Tender/SplashBidNoticeAbstractUI.aspx?menuIndex=3&amp;refID=7032698&amp;Result=3","7032698")</f>
        <v>0</v>
      </c>
      <c r="B8427" t="s">
        <v>2361</v>
      </c>
      <c r="C8427" t="s">
        <v>11235</v>
      </c>
      <c r="D8427" t="s">
        <v>18072</v>
      </c>
      <c r="E8427" t="s">
        <v>18533</v>
      </c>
      <c r="F8427" t="s">
        <v>31575</v>
      </c>
      <c r="G8427" t="s">
        <v>31582</v>
      </c>
      <c r="H8427" t="s">
        <v>31591</v>
      </c>
      <c r="I8427" t="s">
        <v>4046</v>
      </c>
      <c r="J8427" t="s">
        <v>31789</v>
      </c>
      <c r="K8427" t="s">
        <v>41289</v>
      </c>
      <c r="M8427" t="s">
        <v>44082</v>
      </c>
      <c r="N8427" t="s">
        <v>45095</v>
      </c>
      <c r="O8427" t="s">
        <v>45096</v>
      </c>
      <c r="P8427">
        <v>0</v>
      </c>
      <c r="Q8427">
        <v>0</v>
      </c>
      <c r="R8427" t="s">
        <v>45104</v>
      </c>
      <c r="S8427" t="s">
        <v>45304</v>
      </c>
      <c r="T8427" t="s">
        <v>47134</v>
      </c>
      <c r="U8427" t="s">
        <v>54480</v>
      </c>
      <c r="W8427" t="s">
        <v>44082</v>
      </c>
      <c r="X8427" t="s">
        <v>45106</v>
      </c>
    </row>
    <row r="8428" spans="1:24">
      <c r="A8428">
        <f>HYPERLINK("https://www.philgeps.gov.ph/GEPSNONPILOT/Tender/SplashBidNoticeAbstractUI.aspx?menuIndex=3&amp;refID=7032624&amp;Result=3","7032624")</f>
        <v>0</v>
      </c>
      <c r="B8428" t="s">
        <v>2108</v>
      </c>
      <c r="C8428" t="s">
        <v>11236</v>
      </c>
      <c r="D8428" t="s">
        <v>18028</v>
      </c>
      <c r="E8428" t="s">
        <v>25507</v>
      </c>
      <c r="F8428" t="s">
        <v>31574</v>
      </c>
      <c r="G8428" t="s">
        <v>31582</v>
      </c>
      <c r="H8428" t="s">
        <v>31590</v>
      </c>
      <c r="I8428" t="s">
        <v>5717</v>
      </c>
      <c r="J8428" t="s">
        <v>37079</v>
      </c>
      <c r="K8428" t="s">
        <v>41186</v>
      </c>
      <c r="M8428" t="s">
        <v>43787</v>
      </c>
      <c r="N8428" t="s">
        <v>45095</v>
      </c>
      <c r="O8428" t="s">
        <v>45096</v>
      </c>
      <c r="P8428">
        <v>0</v>
      </c>
      <c r="Q8428">
        <v>4</v>
      </c>
      <c r="R8428" t="s">
        <v>45104</v>
      </c>
      <c r="S8428" t="s">
        <v>45304</v>
      </c>
      <c r="T8428" t="s">
        <v>47265</v>
      </c>
      <c r="U8428" t="s">
        <v>54481</v>
      </c>
      <c r="W8428" t="s">
        <v>43787</v>
      </c>
      <c r="X8428" t="s">
        <v>45106</v>
      </c>
    </row>
    <row r="8429" spans="1:24">
      <c r="A8429">
        <f>HYPERLINK("https://www.philgeps.gov.ph/GEPSNONPILOT/Tender/SplashBidNoticeAbstractUI.aspx?menuIndex=3&amp;refID=7032633&amp;Result=3","7032633")</f>
        <v>0</v>
      </c>
      <c r="B8429" t="s">
        <v>2108</v>
      </c>
      <c r="C8429" t="s">
        <v>11237</v>
      </c>
      <c r="D8429" t="s">
        <v>18028</v>
      </c>
      <c r="E8429" t="s">
        <v>25508</v>
      </c>
      <c r="F8429" t="s">
        <v>31574</v>
      </c>
      <c r="G8429" t="s">
        <v>31582</v>
      </c>
      <c r="H8429" t="s">
        <v>31590</v>
      </c>
      <c r="I8429" t="s">
        <v>31619</v>
      </c>
      <c r="J8429" t="s">
        <v>37080</v>
      </c>
      <c r="K8429" t="s">
        <v>41186</v>
      </c>
      <c r="M8429" t="s">
        <v>43787</v>
      </c>
      <c r="N8429" t="s">
        <v>45095</v>
      </c>
      <c r="O8429" t="s">
        <v>45096</v>
      </c>
      <c r="P8429">
        <v>0</v>
      </c>
      <c r="Q8429">
        <v>7</v>
      </c>
      <c r="R8429" t="s">
        <v>45104</v>
      </c>
      <c r="S8429" t="s">
        <v>45304</v>
      </c>
      <c r="T8429" t="s">
        <v>47304</v>
      </c>
      <c r="U8429" t="s">
        <v>54482</v>
      </c>
      <c r="W8429" t="s">
        <v>43787</v>
      </c>
      <c r="X8429" t="s">
        <v>45106</v>
      </c>
    </row>
    <row r="8430" spans="1:24">
      <c r="A8430">
        <f>HYPERLINK("https://www.philgeps.gov.ph/GEPSNONPILOT/Tender/SplashBidNoticeAbstractUI.aspx?menuIndex=3&amp;refID=7032757&amp;Result=3","7032757")</f>
        <v>0</v>
      </c>
      <c r="B8430" t="s">
        <v>82</v>
      </c>
      <c r="C8430" t="s">
        <v>4749</v>
      </c>
      <c r="D8430" t="s">
        <v>18058</v>
      </c>
      <c r="E8430" t="s">
        <v>25509</v>
      </c>
      <c r="F8430" t="s">
        <v>31574</v>
      </c>
      <c r="G8430" t="s">
        <v>31581</v>
      </c>
      <c r="H8430" t="s">
        <v>31590</v>
      </c>
      <c r="I8430" t="s">
        <v>7185</v>
      </c>
      <c r="J8430" t="s">
        <v>37081</v>
      </c>
      <c r="K8430" t="s">
        <v>41193</v>
      </c>
      <c r="M8430" t="s">
        <v>44081</v>
      </c>
      <c r="N8430" t="s">
        <v>45095</v>
      </c>
      <c r="O8430" t="s">
        <v>45096</v>
      </c>
      <c r="P8430">
        <v>0</v>
      </c>
      <c r="Q8430">
        <v>0</v>
      </c>
      <c r="R8430" t="s">
        <v>45104</v>
      </c>
      <c r="S8430" t="s">
        <v>45304</v>
      </c>
      <c r="T8430" t="s">
        <v>46985</v>
      </c>
      <c r="U8430" t="s">
        <v>54483</v>
      </c>
      <c r="W8430" t="s">
        <v>44081</v>
      </c>
      <c r="X8430" t="s">
        <v>45106</v>
      </c>
    </row>
    <row r="8431" spans="1:24">
      <c r="A8431">
        <f>HYPERLINK("https://www.philgeps.gov.ph/GEPSNONPILOT/Tender/SplashBidNoticeAbstractUI.aspx?menuIndex=3&amp;refID=7032746&amp;Result=3","7032746")</f>
        <v>0</v>
      </c>
      <c r="B8431" t="s">
        <v>82</v>
      </c>
      <c r="C8431" t="s">
        <v>10318</v>
      </c>
      <c r="D8431" t="s">
        <v>18058</v>
      </c>
      <c r="E8431" t="s">
        <v>25510</v>
      </c>
      <c r="F8431" t="s">
        <v>31574</v>
      </c>
      <c r="G8431" t="s">
        <v>31581</v>
      </c>
      <c r="H8431" t="s">
        <v>31590</v>
      </c>
      <c r="I8431" t="s">
        <v>8258</v>
      </c>
      <c r="J8431" t="s">
        <v>37082</v>
      </c>
      <c r="K8431" t="s">
        <v>41193</v>
      </c>
      <c r="M8431" t="s">
        <v>44081</v>
      </c>
      <c r="N8431" t="s">
        <v>45095</v>
      </c>
      <c r="O8431" t="s">
        <v>45096</v>
      </c>
      <c r="P8431">
        <v>0</v>
      </c>
      <c r="Q8431">
        <v>3</v>
      </c>
      <c r="R8431" t="s">
        <v>45104</v>
      </c>
      <c r="S8431" t="s">
        <v>45304</v>
      </c>
      <c r="T8431" t="s">
        <v>46985</v>
      </c>
      <c r="U8431" t="s">
        <v>54484</v>
      </c>
      <c r="W8431" t="s">
        <v>44081</v>
      </c>
      <c r="X8431" t="s">
        <v>45106</v>
      </c>
    </row>
    <row r="8432" spans="1:24">
      <c r="A8432">
        <f>HYPERLINK("https://www.philgeps.gov.ph/GEPSNONPILOT/Tender/SplashBidNoticeAbstractUI.aspx?menuIndex=3&amp;refID=7032196&amp;Result=3","7032196")</f>
        <v>0</v>
      </c>
      <c r="B8432" t="s">
        <v>38</v>
      </c>
      <c r="C8432" t="s">
        <v>11238</v>
      </c>
      <c r="D8432" t="s">
        <v>18033</v>
      </c>
      <c r="E8432" t="s">
        <v>25511</v>
      </c>
      <c r="F8432" t="s">
        <v>31574</v>
      </c>
      <c r="G8432" t="s">
        <v>31582</v>
      </c>
      <c r="H8432" t="s">
        <v>31591</v>
      </c>
      <c r="I8432" t="s">
        <v>8822</v>
      </c>
      <c r="J8432" t="s">
        <v>35831</v>
      </c>
      <c r="K8432" t="s">
        <v>41320</v>
      </c>
      <c r="M8432" t="s">
        <v>43276</v>
      </c>
      <c r="N8432" t="s">
        <v>45095</v>
      </c>
      <c r="O8432" t="s">
        <v>45096</v>
      </c>
      <c r="P8432">
        <v>0</v>
      </c>
      <c r="Q8432">
        <v>2</v>
      </c>
      <c r="R8432" t="s">
        <v>45104</v>
      </c>
      <c r="S8432" t="s">
        <v>45304</v>
      </c>
      <c r="T8432" t="s">
        <v>47010</v>
      </c>
      <c r="U8432" t="s">
        <v>49667</v>
      </c>
      <c r="V8432" t="s">
        <v>59888</v>
      </c>
      <c r="W8432" t="s">
        <v>43276</v>
      </c>
      <c r="X8432" t="s">
        <v>45107</v>
      </c>
    </row>
    <row r="8433" spans="1:24">
      <c r="A8433">
        <f>HYPERLINK("https://www.philgeps.gov.ph/GEPSNONPILOT/Tender/SplashBidNoticeAbstractUI.aspx?menuIndex=3&amp;refID=7032189&amp;Result=3","7032189")</f>
        <v>0</v>
      </c>
      <c r="B8433" t="s">
        <v>38</v>
      </c>
      <c r="C8433" t="s">
        <v>11239</v>
      </c>
      <c r="D8433" t="s">
        <v>18033</v>
      </c>
      <c r="E8433" t="s">
        <v>25512</v>
      </c>
      <c r="F8433" t="s">
        <v>31574</v>
      </c>
      <c r="G8433" t="s">
        <v>31582</v>
      </c>
      <c r="H8433" t="s">
        <v>31591</v>
      </c>
      <c r="I8433" t="s">
        <v>8822</v>
      </c>
      <c r="J8433" t="s">
        <v>37072</v>
      </c>
      <c r="K8433" t="s">
        <v>41297</v>
      </c>
      <c r="M8433" t="s">
        <v>43276</v>
      </c>
      <c r="N8433" t="s">
        <v>45095</v>
      </c>
      <c r="O8433" t="s">
        <v>45096</v>
      </c>
      <c r="P8433">
        <v>0</v>
      </c>
      <c r="Q8433">
        <v>1</v>
      </c>
      <c r="R8433" t="s">
        <v>45104</v>
      </c>
      <c r="S8433" t="s">
        <v>45304</v>
      </c>
      <c r="T8433" t="s">
        <v>47010</v>
      </c>
      <c r="U8433" t="s">
        <v>49667</v>
      </c>
      <c r="V8433" t="s">
        <v>59888</v>
      </c>
      <c r="W8433" t="s">
        <v>43276</v>
      </c>
      <c r="X8433" t="s">
        <v>45107</v>
      </c>
    </row>
    <row r="8434" spans="1:24">
      <c r="A8434">
        <f>HYPERLINK("https://www.philgeps.gov.ph/GEPSNONPILOT/Tender/SplashBidNoticeAbstractUI.aspx?menuIndex=3&amp;refID=7032598&amp;Result=3","7032598")</f>
        <v>0</v>
      </c>
      <c r="B8434" t="s">
        <v>2360</v>
      </c>
      <c r="C8434" t="s">
        <v>11240</v>
      </c>
      <c r="D8434" t="s">
        <v>18031</v>
      </c>
      <c r="E8434" t="s">
        <v>25513</v>
      </c>
      <c r="F8434" t="s">
        <v>31574</v>
      </c>
      <c r="G8434" t="s">
        <v>31582</v>
      </c>
      <c r="H8434" t="s">
        <v>31591</v>
      </c>
      <c r="I8434" t="s">
        <v>8822</v>
      </c>
      <c r="J8434" t="s">
        <v>31819</v>
      </c>
      <c r="K8434" t="s">
        <v>41200</v>
      </c>
      <c r="M8434" t="s">
        <v>44080</v>
      </c>
      <c r="N8434" t="s">
        <v>45095</v>
      </c>
      <c r="O8434" t="s">
        <v>45096</v>
      </c>
      <c r="P8434">
        <v>0</v>
      </c>
      <c r="Q8434">
        <v>2</v>
      </c>
      <c r="R8434" t="s">
        <v>45104</v>
      </c>
      <c r="S8434" t="s">
        <v>45304</v>
      </c>
      <c r="T8434" t="s">
        <v>47084</v>
      </c>
      <c r="U8434" t="s">
        <v>54477</v>
      </c>
      <c r="W8434" t="s">
        <v>44080</v>
      </c>
      <c r="X8434" t="s">
        <v>45106</v>
      </c>
    </row>
    <row r="8435" spans="1:24">
      <c r="A8435">
        <f>HYPERLINK("https://www.philgeps.gov.ph/GEPSNONPILOT/Tender/SplashBidNoticeAbstractUI.aspx?menuIndex=3&amp;refID=7032595&amp;Result=3","7032595")</f>
        <v>0</v>
      </c>
      <c r="B8435" t="s">
        <v>2360</v>
      </c>
      <c r="C8435" t="s">
        <v>11241</v>
      </c>
      <c r="D8435" t="s">
        <v>18031</v>
      </c>
      <c r="E8435" t="s">
        <v>25514</v>
      </c>
      <c r="F8435" t="s">
        <v>31574</v>
      </c>
      <c r="G8435" t="s">
        <v>31582</v>
      </c>
      <c r="H8435" t="s">
        <v>31591</v>
      </c>
      <c r="I8435" t="s">
        <v>8822</v>
      </c>
      <c r="J8435" t="s">
        <v>32019</v>
      </c>
      <c r="K8435" t="s">
        <v>41185</v>
      </c>
      <c r="M8435" t="s">
        <v>44080</v>
      </c>
      <c r="N8435" t="s">
        <v>45095</v>
      </c>
      <c r="O8435" t="s">
        <v>45096</v>
      </c>
      <c r="P8435">
        <v>0</v>
      </c>
      <c r="Q8435">
        <v>2</v>
      </c>
      <c r="R8435" t="s">
        <v>45104</v>
      </c>
      <c r="S8435" t="s">
        <v>45304</v>
      </c>
      <c r="T8435" t="s">
        <v>47084</v>
      </c>
      <c r="U8435" t="s">
        <v>54477</v>
      </c>
      <c r="W8435" t="s">
        <v>44080</v>
      </c>
      <c r="X8435" t="s">
        <v>45106</v>
      </c>
    </row>
    <row r="8436" spans="1:24">
      <c r="A8436">
        <f>HYPERLINK("https://www.philgeps.gov.ph/GEPSNONPILOT/Tender/SplashBidNoticeAbstractUI.aspx?menuIndex=3&amp;refID=7032768&amp;Result=3","7032768")</f>
        <v>0</v>
      </c>
      <c r="B8436" t="s">
        <v>82</v>
      </c>
      <c r="C8436" t="s">
        <v>10519</v>
      </c>
      <c r="D8436" t="s">
        <v>18058</v>
      </c>
      <c r="E8436" t="s">
        <v>25515</v>
      </c>
      <c r="F8436" t="s">
        <v>31574</v>
      </c>
      <c r="G8436" t="s">
        <v>31581</v>
      </c>
      <c r="H8436" t="s">
        <v>31590</v>
      </c>
      <c r="I8436" t="s">
        <v>4354</v>
      </c>
      <c r="J8436" t="s">
        <v>37083</v>
      </c>
      <c r="K8436" t="s">
        <v>41193</v>
      </c>
      <c r="M8436" t="s">
        <v>44081</v>
      </c>
      <c r="N8436" t="s">
        <v>45095</v>
      </c>
      <c r="O8436" t="s">
        <v>45096</v>
      </c>
      <c r="P8436">
        <v>0</v>
      </c>
      <c r="Q8436">
        <v>0</v>
      </c>
      <c r="R8436" t="s">
        <v>45104</v>
      </c>
      <c r="S8436" t="s">
        <v>45304</v>
      </c>
      <c r="T8436" t="s">
        <v>46985</v>
      </c>
      <c r="U8436" t="s">
        <v>54485</v>
      </c>
      <c r="W8436" t="s">
        <v>44081</v>
      </c>
      <c r="X8436" t="s">
        <v>45105</v>
      </c>
    </row>
    <row r="8437" spans="1:24">
      <c r="A8437">
        <f>HYPERLINK("https://www.philgeps.gov.ph/GEPSNONPILOT/Tender/SplashBidNoticeAbstractUI.aspx?menuIndex=3&amp;refID=7032594&amp;Result=3","7032594")</f>
        <v>0</v>
      </c>
      <c r="B8437" t="s">
        <v>39</v>
      </c>
      <c r="C8437" t="s">
        <v>11242</v>
      </c>
      <c r="D8437" t="s">
        <v>18034</v>
      </c>
      <c r="E8437" t="s">
        <v>25516</v>
      </c>
      <c r="F8437" t="s">
        <v>31574</v>
      </c>
      <c r="G8437" t="s">
        <v>31582</v>
      </c>
      <c r="H8437" t="s">
        <v>31591</v>
      </c>
      <c r="I8437" t="s">
        <v>8822</v>
      </c>
      <c r="J8437" t="s">
        <v>37084</v>
      </c>
      <c r="K8437" t="s">
        <v>41203</v>
      </c>
      <c r="M8437" t="s">
        <v>41522</v>
      </c>
      <c r="N8437" t="s">
        <v>45095</v>
      </c>
      <c r="O8437" t="s">
        <v>45096</v>
      </c>
      <c r="P8437">
        <v>0</v>
      </c>
      <c r="Q8437">
        <v>0</v>
      </c>
      <c r="R8437" t="s">
        <v>45104</v>
      </c>
      <c r="S8437" t="s">
        <v>45304</v>
      </c>
      <c r="T8437" t="s">
        <v>46914</v>
      </c>
      <c r="U8437" t="s">
        <v>54486</v>
      </c>
      <c r="W8437" t="s">
        <v>41522</v>
      </c>
      <c r="X8437" t="s">
        <v>45106</v>
      </c>
    </row>
    <row r="8438" spans="1:24">
      <c r="A8438">
        <f>HYPERLINK("https://www.philgeps.gov.ph/GEPSNONPILOT/Tender/SplashBidNoticeAbstractUI.aspx?menuIndex=3&amp;refID=7032602&amp;Result=3","7032602")</f>
        <v>0</v>
      </c>
      <c r="B8438" t="s">
        <v>39</v>
      </c>
      <c r="C8438" t="s">
        <v>11243</v>
      </c>
      <c r="D8438" t="s">
        <v>18034</v>
      </c>
      <c r="E8438" t="s">
        <v>25517</v>
      </c>
      <c r="F8438" t="s">
        <v>31574</v>
      </c>
      <c r="G8438" t="s">
        <v>31582</v>
      </c>
      <c r="H8438" t="s">
        <v>31591</v>
      </c>
      <c r="I8438" t="s">
        <v>8822</v>
      </c>
      <c r="J8438" t="s">
        <v>37085</v>
      </c>
      <c r="K8438" t="s">
        <v>41195</v>
      </c>
      <c r="M8438" t="s">
        <v>41522</v>
      </c>
      <c r="N8438" t="s">
        <v>45095</v>
      </c>
      <c r="O8438" t="s">
        <v>45096</v>
      </c>
      <c r="P8438">
        <v>0</v>
      </c>
      <c r="Q8438">
        <v>0</v>
      </c>
      <c r="R8438" t="s">
        <v>45104</v>
      </c>
      <c r="S8438" t="s">
        <v>45304</v>
      </c>
      <c r="T8438" t="s">
        <v>47159</v>
      </c>
      <c r="U8438" t="s">
        <v>54487</v>
      </c>
      <c r="W8438" t="s">
        <v>41522</v>
      </c>
      <c r="X8438" t="s">
        <v>45106</v>
      </c>
    </row>
    <row r="8439" spans="1:24">
      <c r="A8439">
        <f>HYPERLINK("https://www.philgeps.gov.ph/GEPSNONPILOT/Tender/SplashBidNoticeAbstractUI.aspx?menuIndex=3&amp;refID=7032590&amp;Result=3","7032590")</f>
        <v>0</v>
      </c>
      <c r="B8439" t="s">
        <v>2360</v>
      </c>
      <c r="C8439" t="s">
        <v>11244</v>
      </c>
      <c r="D8439" t="s">
        <v>18031</v>
      </c>
      <c r="E8439" t="s">
        <v>25518</v>
      </c>
      <c r="F8439" t="s">
        <v>31574</v>
      </c>
      <c r="G8439" t="s">
        <v>31582</v>
      </c>
      <c r="H8439" t="s">
        <v>31591</v>
      </c>
      <c r="I8439" t="s">
        <v>8822</v>
      </c>
      <c r="J8439" t="s">
        <v>32497</v>
      </c>
      <c r="K8439" t="s">
        <v>41192</v>
      </c>
      <c r="M8439" t="s">
        <v>44080</v>
      </c>
      <c r="N8439" t="s">
        <v>45095</v>
      </c>
      <c r="O8439" t="s">
        <v>45096</v>
      </c>
      <c r="P8439">
        <v>0</v>
      </c>
      <c r="Q8439">
        <v>2</v>
      </c>
      <c r="R8439" t="s">
        <v>45104</v>
      </c>
      <c r="S8439" t="s">
        <v>45304</v>
      </c>
      <c r="T8439" t="s">
        <v>47084</v>
      </c>
      <c r="U8439" t="s">
        <v>54477</v>
      </c>
      <c r="W8439" t="s">
        <v>44080</v>
      </c>
      <c r="X8439" t="s">
        <v>45106</v>
      </c>
    </row>
    <row r="8440" spans="1:24">
      <c r="A8440">
        <f>HYPERLINK("https://www.philgeps.gov.ph/GEPSNONPILOT/Tender/SplashBidNoticeAbstractUI.aspx?menuIndex=3&amp;refID=7032599&amp;Result=3","7032599")</f>
        <v>0</v>
      </c>
      <c r="B8440" t="s">
        <v>135</v>
      </c>
      <c r="C8440" t="s">
        <v>11245</v>
      </c>
      <c r="D8440" t="s">
        <v>18022</v>
      </c>
      <c r="E8440" t="s">
        <v>25519</v>
      </c>
      <c r="F8440" t="s">
        <v>31574</v>
      </c>
      <c r="G8440" t="s">
        <v>31582</v>
      </c>
      <c r="H8440" t="s">
        <v>31590</v>
      </c>
      <c r="I8440" t="s">
        <v>3487</v>
      </c>
      <c r="J8440" t="s">
        <v>37086</v>
      </c>
      <c r="K8440" t="s">
        <v>41184</v>
      </c>
      <c r="M8440" t="s">
        <v>43266</v>
      </c>
      <c r="N8440" t="s">
        <v>45095</v>
      </c>
      <c r="O8440" t="s">
        <v>45096</v>
      </c>
      <c r="P8440">
        <v>0</v>
      </c>
      <c r="Q8440">
        <v>1</v>
      </c>
      <c r="R8440" t="s">
        <v>45104</v>
      </c>
      <c r="S8440" t="s">
        <v>45304</v>
      </c>
      <c r="T8440" t="s">
        <v>47010</v>
      </c>
      <c r="U8440" t="s">
        <v>54488</v>
      </c>
      <c r="W8440" t="s">
        <v>43266</v>
      </c>
      <c r="X8440" t="s">
        <v>45106</v>
      </c>
    </row>
    <row r="8441" spans="1:24">
      <c r="A8441">
        <f>HYPERLINK("https://www.philgeps.gov.ph/GEPSNONPILOT/Tender/SplashBidNoticeAbstractUI.aspx?menuIndex=3&amp;refID=7032778&amp;Result=3","7032778")</f>
        <v>0</v>
      </c>
      <c r="B8441" t="s">
        <v>2362</v>
      </c>
      <c r="C8441" t="s">
        <v>11246</v>
      </c>
      <c r="D8441" t="s">
        <v>18027</v>
      </c>
      <c r="E8441" t="s">
        <v>25520</v>
      </c>
      <c r="F8441" t="s">
        <v>31574</v>
      </c>
      <c r="G8441" t="s">
        <v>31582</v>
      </c>
      <c r="H8441" t="s">
        <v>31591</v>
      </c>
      <c r="I8441" t="s">
        <v>8822</v>
      </c>
      <c r="J8441" t="s">
        <v>37087</v>
      </c>
      <c r="K8441" t="s">
        <v>41192</v>
      </c>
      <c r="M8441" t="s">
        <v>44083</v>
      </c>
      <c r="N8441" t="s">
        <v>45095</v>
      </c>
      <c r="O8441" t="s">
        <v>45096</v>
      </c>
      <c r="P8441">
        <v>0</v>
      </c>
      <c r="Q8441">
        <v>0</v>
      </c>
      <c r="R8441" t="s">
        <v>45104</v>
      </c>
      <c r="S8441" t="s">
        <v>45304</v>
      </c>
      <c r="T8441" t="s">
        <v>47164</v>
      </c>
      <c r="U8441" t="s">
        <v>54489</v>
      </c>
      <c r="W8441" t="s">
        <v>44083</v>
      </c>
      <c r="X8441" t="s">
        <v>45105</v>
      </c>
    </row>
    <row r="8442" spans="1:24">
      <c r="A8442">
        <f>HYPERLINK("https://www.philgeps.gov.ph/GEPSNONPILOT/Tender/SplashBidNoticeAbstractUI.aspx?menuIndex=3&amp;refID=7032591&amp;Result=3","7032591")</f>
        <v>0</v>
      </c>
      <c r="B8442" t="s">
        <v>135</v>
      </c>
      <c r="C8442" t="s">
        <v>11247</v>
      </c>
      <c r="D8442" t="s">
        <v>18022</v>
      </c>
      <c r="E8442" t="s">
        <v>25521</v>
      </c>
      <c r="F8442" t="s">
        <v>31574</v>
      </c>
      <c r="G8442" t="s">
        <v>31582</v>
      </c>
      <c r="H8442" t="s">
        <v>31590</v>
      </c>
      <c r="I8442" t="s">
        <v>31598</v>
      </c>
      <c r="J8442" t="s">
        <v>37088</v>
      </c>
      <c r="K8442" t="s">
        <v>41184</v>
      </c>
      <c r="M8442" t="s">
        <v>43266</v>
      </c>
      <c r="N8442" t="s">
        <v>45095</v>
      </c>
      <c r="O8442" t="s">
        <v>45096</v>
      </c>
      <c r="P8442">
        <v>0</v>
      </c>
      <c r="Q8442">
        <v>10</v>
      </c>
      <c r="R8442" t="s">
        <v>45104</v>
      </c>
      <c r="S8442" t="s">
        <v>45304</v>
      </c>
      <c r="T8442" t="s">
        <v>47010</v>
      </c>
      <c r="U8442" t="s">
        <v>54490</v>
      </c>
      <c r="W8442" t="s">
        <v>43266</v>
      </c>
      <c r="X8442" t="s">
        <v>45106</v>
      </c>
    </row>
    <row r="8443" spans="1:24">
      <c r="A8443">
        <f>HYPERLINK("https://www.philgeps.gov.ph/GEPSNONPILOT/Tender/SplashBidNoticeAbstractUI.aspx?menuIndex=3&amp;refID=7032805&amp;Result=3","7032805")</f>
        <v>0</v>
      </c>
      <c r="B8443" t="s">
        <v>108</v>
      </c>
      <c r="C8443" t="s">
        <v>11248</v>
      </c>
      <c r="D8443" t="s">
        <v>18022</v>
      </c>
      <c r="E8443" t="s">
        <v>25522</v>
      </c>
      <c r="F8443" t="s">
        <v>31574</v>
      </c>
      <c r="G8443" t="s">
        <v>31581</v>
      </c>
      <c r="H8443" t="s">
        <v>31590</v>
      </c>
      <c r="I8443" t="s">
        <v>31619</v>
      </c>
      <c r="J8443" t="s">
        <v>37089</v>
      </c>
      <c r="K8443" t="s">
        <v>41186</v>
      </c>
      <c r="M8443" t="s">
        <v>41592</v>
      </c>
      <c r="N8443" t="s">
        <v>45095</v>
      </c>
      <c r="O8443" t="s">
        <v>45096</v>
      </c>
      <c r="P8443">
        <v>0</v>
      </c>
      <c r="Q8443">
        <v>19</v>
      </c>
      <c r="R8443" t="s">
        <v>45104</v>
      </c>
      <c r="S8443" t="s">
        <v>45304</v>
      </c>
      <c r="T8443" t="s">
        <v>47154</v>
      </c>
      <c r="U8443" t="s">
        <v>54491</v>
      </c>
      <c r="W8443" t="s">
        <v>41592</v>
      </c>
      <c r="X8443" t="s">
        <v>45105</v>
      </c>
    </row>
    <row r="8444" spans="1:24">
      <c r="A8444">
        <f>HYPERLINK("https://www.philgeps.gov.ph/GEPSNONPILOT/Tender/SplashBidNoticeAbstractUI.aspx?menuIndex=3&amp;refID=7032770&amp;Result=3","7032770")</f>
        <v>0</v>
      </c>
      <c r="B8444" t="s">
        <v>2363</v>
      </c>
      <c r="C8444" t="s">
        <v>11249</v>
      </c>
      <c r="D8444" t="s">
        <v>18063</v>
      </c>
      <c r="E8444" t="s">
        <v>25523</v>
      </c>
      <c r="F8444" t="s">
        <v>31574</v>
      </c>
      <c r="G8444" t="s">
        <v>31582</v>
      </c>
      <c r="H8444" t="s">
        <v>31590</v>
      </c>
      <c r="I8444" t="s">
        <v>7162</v>
      </c>
      <c r="J8444" t="s">
        <v>31741</v>
      </c>
      <c r="K8444" t="s">
        <v>41193</v>
      </c>
      <c r="M8444" t="s">
        <v>44084</v>
      </c>
      <c r="N8444" t="s">
        <v>45095</v>
      </c>
      <c r="O8444" t="s">
        <v>45096</v>
      </c>
      <c r="P8444">
        <v>0</v>
      </c>
      <c r="Q8444">
        <v>0</v>
      </c>
      <c r="R8444" t="s">
        <v>45104</v>
      </c>
      <c r="S8444" t="s">
        <v>45304</v>
      </c>
      <c r="T8444" t="s">
        <v>47159</v>
      </c>
      <c r="U8444" t="s">
        <v>54492</v>
      </c>
      <c r="W8444" t="s">
        <v>44084</v>
      </c>
      <c r="X8444" t="s">
        <v>45105</v>
      </c>
    </row>
    <row r="8445" spans="1:24">
      <c r="A8445">
        <f>HYPERLINK("https://www.philgeps.gov.ph/GEPSNONPILOT/Tender/SplashBidNoticeAbstractUI.aspx?menuIndex=3&amp;refID=7032777&amp;Result=3","7032777")</f>
        <v>0</v>
      </c>
      <c r="B8445" t="s">
        <v>2364</v>
      </c>
      <c r="C8445" t="s">
        <v>11250</v>
      </c>
      <c r="D8445" t="s">
        <v>18063</v>
      </c>
      <c r="E8445" t="s">
        <v>25524</v>
      </c>
      <c r="F8445" t="s">
        <v>31574</v>
      </c>
      <c r="G8445" t="s">
        <v>31585</v>
      </c>
      <c r="H8445" t="s">
        <v>31590</v>
      </c>
      <c r="I8445" t="s">
        <v>31615</v>
      </c>
      <c r="J8445" t="s">
        <v>31780</v>
      </c>
      <c r="K8445" t="s">
        <v>41193</v>
      </c>
      <c r="M8445" t="s">
        <v>44085</v>
      </c>
      <c r="N8445" t="s">
        <v>45095</v>
      </c>
      <c r="O8445" t="s">
        <v>45096</v>
      </c>
      <c r="P8445">
        <v>0</v>
      </c>
      <c r="Q8445">
        <v>2</v>
      </c>
      <c r="R8445" t="s">
        <v>45104</v>
      </c>
      <c r="S8445" t="s">
        <v>45304</v>
      </c>
      <c r="T8445" t="s">
        <v>47159</v>
      </c>
      <c r="U8445" t="s">
        <v>54493</v>
      </c>
      <c r="W8445" t="s">
        <v>44085</v>
      </c>
      <c r="X8445" t="s">
        <v>45105</v>
      </c>
    </row>
    <row r="8446" spans="1:24">
      <c r="A8446">
        <f>HYPERLINK("https://www.philgeps.gov.ph/GEPSNONPILOT/Tender/SplashBidNoticeAbstractUI.aspx?menuIndex=3&amp;refID=7032808&amp;Result=3","7032808")</f>
        <v>0</v>
      </c>
      <c r="B8446" t="s">
        <v>2365</v>
      </c>
      <c r="C8446" t="s">
        <v>11251</v>
      </c>
      <c r="E8446" t="s">
        <v>25525</v>
      </c>
      <c r="F8446" t="s">
        <v>31574</v>
      </c>
      <c r="G8446" t="s">
        <v>31582</v>
      </c>
      <c r="H8446" t="s">
        <v>31591</v>
      </c>
      <c r="I8446" t="s">
        <v>8822</v>
      </c>
      <c r="J8446" t="s">
        <v>37090</v>
      </c>
      <c r="K8446" t="s">
        <v>41184</v>
      </c>
      <c r="M8446" t="s">
        <v>44086</v>
      </c>
      <c r="N8446" t="s">
        <v>45095</v>
      </c>
      <c r="O8446" t="s">
        <v>45096</v>
      </c>
      <c r="P8446">
        <v>0</v>
      </c>
      <c r="Q8446">
        <v>1</v>
      </c>
      <c r="R8446" t="s">
        <v>45104</v>
      </c>
      <c r="S8446" t="s">
        <v>45304</v>
      </c>
      <c r="T8446" t="s">
        <v>47067</v>
      </c>
      <c r="U8446" t="s">
        <v>53108</v>
      </c>
      <c r="W8446" t="s">
        <v>44086</v>
      </c>
      <c r="X8446" t="s">
        <v>45105</v>
      </c>
    </row>
    <row r="8447" spans="1:24">
      <c r="A8447">
        <f>HYPERLINK("https://www.philgeps.gov.ph/GEPSNONPILOT/Tender/SplashBidNoticeAbstractUI.aspx?menuIndex=3&amp;refID=7032782&amp;Result=3","7032782")</f>
        <v>0</v>
      </c>
      <c r="B8447" t="s">
        <v>2366</v>
      </c>
      <c r="C8447" t="s">
        <v>11252</v>
      </c>
      <c r="D8447" t="s">
        <v>18068</v>
      </c>
      <c r="E8447" t="s">
        <v>25526</v>
      </c>
      <c r="F8447" t="s">
        <v>31574</v>
      </c>
      <c r="G8447" t="s">
        <v>31582</v>
      </c>
      <c r="H8447" t="s">
        <v>31591</v>
      </c>
      <c r="I8447" t="s">
        <v>8822</v>
      </c>
      <c r="J8447" t="s">
        <v>33015</v>
      </c>
      <c r="K8447" t="s">
        <v>41259</v>
      </c>
      <c r="M8447" t="s">
        <v>44087</v>
      </c>
      <c r="N8447" t="s">
        <v>45095</v>
      </c>
      <c r="O8447" t="s">
        <v>45096</v>
      </c>
      <c r="P8447">
        <v>0</v>
      </c>
      <c r="Q8447">
        <v>0</v>
      </c>
      <c r="R8447" t="s">
        <v>45104</v>
      </c>
      <c r="S8447" t="s">
        <v>45304</v>
      </c>
      <c r="T8447" t="s">
        <v>47159</v>
      </c>
      <c r="U8447" t="s">
        <v>54494</v>
      </c>
      <c r="W8447" t="s">
        <v>44087</v>
      </c>
      <c r="X8447" t="s">
        <v>45105</v>
      </c>
    </row>
    <row r="8448" spans="1:24">
      <c r="A8448">
        <f>HYPERLINK("https://www.philgeps.gov.ph/GEPSNONPILOT/Tender/SplashBidNoticeAbstractUI.aspx?menuIndex=3&amp;refID=7032797&amp;Result=3","7032797")</f>
        <v>0</v>
      </c>
      <c r="B8448" t="s">
        <v>2367</v>
      </c>
      <c r="C8448" t="s">
        <v>11253</v>
      </c>
      <c r="D8448" t="s">
        <v>18022</v>
      </c>
      <c r="E8448" t="s">
        <v>25527</v>
      </c>
      <c r="F8448" t="s">
        <v>31574</v>
      </c>
      <c r="G8448" t="s">
        <v>31582</v>
      </c>
      <c r="H8448" t="s">
        <v>31590</v>
      </c>
      <c r="I8448" t="s">
        <v>31594</v>
      </c>
      <c r="J8448" t="s">
        <v>37091</v>
      </c>
      <c r="K8448" t="s">
        <v>41184</v>
      </c>
      <c r="M8448" t="s">
        <v>44088</v>
      </c>
      <c r="N8448" t="s">
        <v>45095</v>
      </c>
      <c r="O8448" t="s">
        <v>45096</v>
      </c>
      <c r="P8448">
        <v>0</v>
      </c>
      <c r="Q8448">
        <v>22</v>
      </c>
      <c r="R8448" t="s">
        <v>45104</v>
      </c>
      <c r="S8448" t="s">
        <v>45304</v>
      </c>
      <c r="T8448" t="s">
        <v>47093</v>
      </c>
      <c r="U8448" t="s">
        <v>54495</v>
      </c>
      <c r="W8448" t="s">
        <v>44088</v>
      </c>
      <c r="X8448" t="s">
        <v>45105</v>
      </c>
    </row>
    <row r="8449" spans="1:24">
      <c r="A8449">
        <f>HYPERLINK("https://www.philgeps.gov.ph/GEPSNONPILOT/Tender/SplashBidNoticeAbstractUI.aspx?menuIndex=3&amp;refID=7032810&amp;Result=3","7032810")</f>
        <v>0</v>
      </c>
      <c r="B8449" t="s">
        <v>450</v>
      </c>
      <c r="C8449" t="s">
        <v>11254</v>
      </c>
      <c r="D8449" t="s">
        <v>18039</v>
      </c>
      <c r="E8449" t="s">
        <v>25528</v>
      </c>
      <c r="F8449" t="s">
        <v>31574</v>
      </c>
      <c r="G8449" t="s">
        <v>31581</v>
      </c>
      <c r="H8449" t="s">
        <v>31590</v>
      </c>
      <c r="I8449" t="s">
        <v>6800</v>
      </c>
      <c r="J8449" t="s">
        <v>37092</v>
      </c>
      <c r="K8449" t="s">
        <v>41186</v>
      </c>
      <c r="M8449" t="s">
        <v>44089</v>
      </c>
      <c r="N8449" t="s">
        <v>45095</v>
      </c>
      <c r="O8449" t="s">
        <v>45096</v>
      </c>
      <c r="P8449">
        <v>0</v>
      </c>
      <c r="Q8449">
        <v>2</v>
      </c>
      <c r="R8449" t="s">
        <v>45104</v>
      </c>
      <c r="S8449" t="s">
        <v>45304</v>
      </c>
      <c r="T8449" t="s">
        <v>46979</v>
      </c>
      <c r="U8449" t="s">
        <v>54496</v>
      </c>
      <c r="W8449" t="s">
        <v>61737</v>
      </c>
      <c r="X8449" t="s">
        <v>45105</v>
      </c>
    </row>
    <row r="8450" spans="1:24">
      <c r="A8450">
        <f>HYPERLINK("https://www.philgeps.gov.ph/GEPSNONPILOT/Tender/SplashBidNoticeAbstractUI.aspx?menuIndex=3&amp;refID=7032795&amp;Result=3","7032795")</f>
        <v>0</v>
      </c>
      <c r="B8450" t="s">
        <v>2368</v>
      </c>
      <c r="C8450" t="s">
        <v>11255</v>
      </c>
      <c r="D8450" t="s">
        <v>18022</v>
      </c>
      <c r="E8450" t="s">
        <v>25529</v>
      </c>
      <c r="F8450" t="s">
        <v>31574</v>
      </c>
      <c r="G8450" t="s">
        <v>31582</v>
      </c>
      <c r="H8450" t="s">
        <v>31590</v>
      </c>
      <c r="I8450" t="s">
        <v>3487</v>
      </c>
      <c r="J8450" t="s">
        <v>37093</v>
      </c>
      <c r="K8450" t="s">
        <v>41190</v>
      </c>
      <c r="M8450" t="s">
        <v>44090</v>
      </c>
      <c r="N8450" t="s">
        <v>45095</v>
      </c>
      <c r="O8450" t="s">
        <v>45096</v>
      </c>
      <c r="P8450">
        <v>0</v>
      </c>
      <c r="Q8450">
        <v>0</v>
      </c>
      <c r="R8450" t="s">
        <v>45104</v>
      </c>
      <c r="S8450" t="s">
        <v>45304</v>
      </c>
      <c r="T8450" t="s">
        <v>47162</v>
      </c>
      <c r="U8450" t="s">
        <v>54497</v>
      </c>
      <c r="W8450" t="s">
        <v>44090</v>
      </c>
      <c r="X8450" t="s">
        <v>45105</v>
      </c>
    </row>
    <row r="8451" spans="1:24">
      <c r="A8451">
        <f>HYPERLINK("https://www.philgeps.gov.ph/GEPSNONPILOT/Tender/SplashBidNoticeAbstractUI.aspx?menuIndex=3&amp;refID=7032791&amp;Result=3","7032791")</f>
        <v>0</v>
      </c>
      <c r="B8451" t="s">
        <v>2369</v>
      </c>
      <c r="C8451" t="s">
        <v>11256</v>
      </c>
      <c r="D8451" t="s">
        <v>18022</v>
      </c>
      <c r="E8451" t="s">
        <v>25530</v>
      </c>
      <c r="F8451" t="s">
        <v>31574</v>
      </c>
      <c r="G8451" t="s">
        <v>31582</v>
      </c>
      <c r="H8451" t="s">
        <v>31590</v>
      </c>
      <c r="I8451" t="s">
        <v>3487</v>
      </c>
      <c r="J8451" t="s">
        <v>37094</v>
      </c>
      <c r="K8451" t="s">
        <v>41190</v>
      </c>
      <c r="M8451" t="s">
        <v>44091</v>
      </c>
      <c r="N8451" t="s">
        <v>45095</v>
      </c>
      <c r="O8451" t="s">
        <v>45096</v>
      </c>
      <c r="P8451">
        <v>0</v>
      </c>
      <c r="Q8451">
        <v>0</v>
      </c>
      <c r="R8451" t="s">
        <v>45104</v>
      </c>
      <c r="S8451" t="s">
        <v>45304</v>
      </c>
      <c r="T8451" t="s">
        <v>47162</v>
      </c>
      <c r="U8451" t="s">
        <v>54498</v>
      </c>
      <c r="W8451" t="s">
        <v>44091</v>
      </c>
      <c r="X8451" t="s">
        <v>45105</v>
      </c>
    </row>
    <row r="8452" spans="1:24">
      <c r="A8452">
        <f>HYPERLINK("https://www.philgeps.gov.ph/GEPSNONPILOT/Tender/SplashBidNoticeAbstractUI.aspx?menuIndex=3&amp;refID=7032799&amp;Result=3","7032799")</f>
        <v>0</v>
      </c>
      <c r="B8452" t="s">
        <v>108</v>
      </c>
      <c r="C8452" t="s">
        <v>11257</v>
      </c>
      <c r="D8452" t="s">
        <v>18022</v>
      </c>
      <c r="E8452" t="s">
        <v>25531</v>
      </c>
      <c r="F8452" t="s">
        <v>31574</v>
      </c>
      <c r="G8452" t="s">
        <v>31583</v>
      </c>
      <c r="H8452" t="s">
        <v>31590</v>
      </c>
      <c r="I8452" t="s">
        <v>31603</v>
      </c>
      <c r="J8452" t="s">
        <v>37095</v>
      </c>
      <c r="K8452" t="s">
        <v>41186</v>
      </c>
      <c r="M8452" t="s">
        <v>41592</v>
      </c>
      <c r="N8452" t="s">
        <v>45095</v>
      </c>
      <c r="O8452" t="s">
        <v>45096</v>
      </c>
      <c r="P8452">
        <v>0</v>
      </c>
      <c r="Q8452">
        <v>19</v>
      </c>
      <c r="R8452" t="s">
        <v>45104</v>
      </c>
      <c r="S8452" t="s">
        <v>45304</v>
      </c>
      <c r="T8452" t="s">
        <v>47154</v>
      </c>
      <c r="U8452" t="s">
        <v>54499</v>
      </c>
      <c r="W8452" t="s">
        <v>41592</v>
      </c>
      <c r="X8452" t="s">
        <v>45105</v>
      </c>
    </row>
    <row r="8453" spans="1:24">
      <c r="A8453">
        <f>HYPERLINK("https://www.philgeps.gov.ph/GEPSNONPILOT/Tender/SplashBidNoticeAbstractUI.aspx?menuIndex=3&amp;refID=7032807&amp;Result=3","7032807")</f>
        <v>0</v>
      </c>
      <c r="B8453" t="s">
        <v>108</v>
      </c>
      <c r="C8453" t="s">
        <v>11258</v>
      </c>
      <c r="D8453" t="s">
        <v>18022</v>
      </c>
      <c r="E8453" t="s">
        <v>25532</v>
      </c>
      <c r="F8453" t="s">
        <v>31574</v>
      </c>
      <c r="G8453" t="s">
        <v>31581</v>
      </c>
      <c r="H8453" t="s">
        <v>31590</v>
      </c>
      <c r="I8453" t="s">
        <v>31623</v>
      </c>
      <c r="J8453" t="s">
        <v>31888</v>
      </c>
      <c r="K8453" t="s">
        <v>41186</v>
      </c>
      <c r="M8453" t="s">
        <v>41592</v>
      </c>
      <c r="N8453" t="s">
        <v>45095</v>
      </c>
      <c r="O8453" t="s">
        <v>45096</v>
      </c>
      <c r="P8453">
        <v>0</v>
      </c>
      <c r="Q8453">
        <v>0</v>
      </c>
      <c r="R8453" t="s">
        <v>45104</v>
      </c>
      <c r="S8453" t="s">
        <v>45304</v>
      </c>
      <c r="T8453" t="s">
        <v>47154</v>
      </c>
      <c r="U8453" t="s">
        <v>54500</v>
      </c>
      <c r="W8453" t="s">
        <v>41592</v>
      </c>
      <c r="X8453" t="s">
        <v>45105</v>
      </c>
    </row>
    <row r="8454" spans="1:24">
      <c r="A8454">
        <f>HYPERLINK("https://www.philgeps.gov.ph/GEPSNONPILOT/Tender/SplashBidNoticeAbstractUI.aspx?menuIndex=3&amp;refID=7032783&amp;Result=3","7032783")</f>
        <v>0</v>
      </c>
      <c r="B8454" t="s">
        <v>2366</v>
      </c>
      <c r="C8454" t="s">
        <v>11259</v>
      </c>
      <c r="D8454" t="s">
        <v>18068</v>
      </c>
      <c r="E8454" t="s">
        <v>25533</v>
      </c>
      <c r="F8454" t="s">
        <v>31574</v>
      </c>
      <c r="G8454" t="s">
        <v>31582</v>
      </c>
      <c r="H8454" t="s">
        <v>31591</v>
      </c>
      <c r="I8454" t="s">
        <v>8822</v>
      </c>
      <c r="J8454" t="s">
        <v>31843</v>
      </c>
      <c r="K8454" t="s">
        <v>41273</v>
      </c>
      <c r="M8454" t="s">
        <v>44087</v>
      </c>
      <c r="N8454" t="s">
        <v>45095</v>
      </c>
      <c r="O8454" t="s">
        <v>45096</v>
      </c>
      <c r="P8454">
        <v>0</v>
      </c>
      <c r="Q8454">
        <v>0</v>
      </c>
      <c r="R8454" t="s">
        <v>45104</v>
      </c>
      <c r="S8454" t="s">
        <v>45304</v>
      </c>
      <c r="T8454" t="s">
        <v>47159</v>
      </c>
      <c r="U8454" t="s">
        <v>54501</v>
      </c>
      <c r="W8454" t="s">
        <v>44087</v>
      </c>
      <c r="X8454" t="s">
        <v>45105</v>
      </c>
    </row>
    <row r="8455" spans="1:24">
      <c r="A8455">
        <f>HYPERLINK("https://www.philgeps.gov.ph/GEPSNONPILOT/Tender/SplashBidNoticeAbstractUI.aspx?menuIndex=3&amp;refID=7032776&amp;Result=3","7032776")</f>
        <v>0</v>
      </c>
      <c r="B8455" t="s">
        <v>2364</v>
      </c>
      <c r="C8455" t="s">
        <v>11260</v>
      </c>
      <c r="D8455" t="s">
        <v>18063</v>
      </c>
      <c r="E8455" t="s">
        <v>25534</v>
      </c>
      <c r="F8455" t="s">
        <v>31574</v>
      </c>
      <c r="G8455" t="s">
        <v>31585</v>
      </c>
      <c r="H8455" t="s">
        <v>31590</v>
      </c>
      <c r="I8455" t="s">
        <v>4046</v>
      </c>
      <c r="J8455" t="s">
        <v>37096</v>
      </c>
      <c r="K8455" t="s">
        <v>41193</v>
      </c>
      <c r="M8455" t="s">
        <v>44085</v>
      </c>
      <c r="N8455" t="s">
        <v>45095</v>
      </c>
      <c r="O8455" t="s">
        <v>45096</v>
      </c>
      <c r="P8455">
        <v>0</v>
      </c>
      <c r="Q8455">
        <v>0</v>
      </c>
      <c r="R8455" t="s">
        <v>45104</v>
      </c>
      <c r="S8455" t="s">
        <v>45304</v>
      </c>
      <c r="T8455" t="s">
        <v>47159</v>
      </c>
      <c r="U8455" t="s">
        <v>54493</v>
      </c>
      <c r="W8455" t="s">
        <v>44085</v>
      </c>
      <c r="X8455" t="s">
        <v>45105</v>
      </c>
    </row>
    <row r="8456" spans="1:24">
      <c r="A8456">
        <f>HYPERLINK("https://www.philgeps.gov.ph/GEPSNONPILOT/Tender/SplashBidNoticeAbstractUI.aspx?menuIndex=3&amp;refID=7032775&amp;Result=3","7032775")</f>
        <v>0</v>
      </c>
      <c r="B8456" t="s">
        <v>2364</v>
      </c>
      <c r="C8456" t="s">
        <v>11261</v>
      </c>
      <c r="D8456" t="s">
        <v>18063</v>
      </c>
      <c r="E8456" t="s">
        <v>25535</v>
      </c>
      <c r="F8456" t="s">
        <v>31574</v>
      </c>
      <c r="G8456" t="s">
        <v>31585</v>
      </c>
      <c r="H8456" t="s">
        <v>31590</v>
      </c>
      <c r="I8456" t="s">
        <v>4046</v>
      </c>
      <c r="J8456" t="s">
        <v>34173</v>
      </c>
      <c r="K8456" t="s">
        <v>41193</v>
      </c>
      <c r="M8456" t="s">
        <v>44085</v>
      </c>
      <c r="N8456" t="s">
        <v>45095</v>
      </c>
      <c r="O8456" t="s">
        <v>45096</v>
      </c>
      <c r="P8456">
        <v>0</v>
      </c>
      <c r="Q8456">
        <v>0</v>
      </c>
      <c r="R8456" t="s">
        <v>45104</v>
      </c>
      <c r="S8456" t="s">
        <v>45304</v>
      </c>
      <c r="T8456" t="s">
        <v>47159</v>
      </c>
      <c r="U8456" t="s">
        <v>54493</v>
      </c>
      <c r="W8456" t="s">
        <v>44085</v>
      </c>
      <c r="X8456" t="s">
        <v>45105</v>
      </c>
    </row>
    <row r="8457" spans="1:24">
      <c r="A8457">
        <f>HYPERLINK("https://www.philgeps.gov.ph/GEPSNONPILOT/Tender/SplashBidNoticeAbstractUI.aspx?menuIndex=3&amp;refID=7032779&amp;Result=3","7032779")</f>
        <v>0</v>
      </c>
      <c r="B8457" t="s">
        <v>2366</v>
      </c>
      <c r="C8457" t="s">
        <v>11262</v>
      </c>
      <c r="D8457" t="s">
        <v>18068</v>
      </c>
      <c r="E8457" t="s">
        <v>25536</v>
      </c>
      <c r="F8457" t="s">
        <v>31574</v>
      </c>
      <c r="G8457" t="s">
        <v>31582</v>
      </c>
      <c r="H8457" t="s">
        <v>31591</v>
      </c>
      <c r="I8457" t="s">
        <v>8822</v>
      </c>
      <c r="J8457" t="s">
        <v>37097</v>
      </c>
      <c r="K8457" t="s">
        <v>41244</v>
      </c>
      <c r="M8457" t="s">
        <v>44087</v>
      </c>
      <c r="N8457" t="s">
        <v>45095</v>
      </c>
      <c r="O8457" t="s">
        <v>45096</v>
      </c>
      <c r="P8457">
        <v>0</v>
      </c>
      <c r="Q8457">
        <v>0</v>
      </c>
      <c r="R8457" t="s">
        <v>45104</v>
      </c>
      <c r="S8457" t="s">
        <v>45304</v>
      </c>
      <c r="T8457" t="s">
        <v>47159</v>
      </c>
      <c r="U8457" t="s">
        <v>54502</v>
      </c>
      <c r="W8457" t="s">
        <v>44087</v>
      </c>
      <c r="X8457" t="s">
        <v>45105</v>
      </c>
    </row>
    <row r="8458" spans="1:24">
      <c r="A8458">
        <f>HYPERLINK("https://www.philgeps.gov.ph/GEPSNONPILOT/Tender/SplashBidNoticeAbstractUI.aspx?menuIndex=3&amp;refID=7032793&amp;Result=3","7032793")</f>
        <v>0</v>
      </c>
      <c r="B8458" t="s">
        <v>2367</v>
      </c>
      <c r="C8458" t="s">
        <v>11263</v>
      </c>
      <c r="D8458" t="s">
        <v>18022</v>
      </c>
      <c r="E8458" t="s">
        <v>25537</v>
      </c>
      <c r="F8458" t="s">
        <v>31574</v>
      </c>
      <c r="G8458" t="s">
        <v>31582</v>
      </c>
      <c r="H8458" t="s">
        <v>31590</v>
      </c>
      <c r="I8458" t="s">
        <v>31594</v>
      </c>
      <c r="J8458" t="s">
        <v>37098</v>
      </c>
      <c r="K8458" t="s">
        <v>41184</v>
      </c>
      <c r="M8458" t="s">
        <v>44088</v>
      </c>
      <c r="N8458" t="s">
        <v>45095</v>
      </c>
      <c r="O8458" t="s">
        <v>45096</v>
      </c>
      <c r="P8458">
        <v>0</v>
      </c>
      <c r="Q8458">
        <v>23</v>
      </c>
      <c r="R8458" t="s">
        <v>45104</v>
      </c>
      <c r="S8458" t="s">
        <v>45304</v>
      </c>
      <c r="T8458" t="s">
        <v>47093</v>
      </c>
      <c r="U8458" t="s">
        <v>54503</v>
      </c>
      <c r="W8458" t="s">
        <v>44088</v>
      </c>
      <c r="X8458" t="s">
        <v>45105</v>
      </c>
    </row>
    <row r="8459" spans="1:24">
      <c r="A8459">
        <f>HYPERLINK("https://www.philgeps.gov.ph/GEPSNONPILOT/Tender/SplashBidNoticeAbstractUI.aspx?menuIndex=3&amp;refID=7032772&amp;Result=3","7032772")</f>
        <v>0</v>
      </c>
      <c r="B8459" t="s">
        <v>2364</v>
      </c>
      <c r="C8459" t="s">
        <v>11264</v>
      </c>
      <c r="D8459" t="s">
        <v>18063</v>
      </c>
      <c r="E8459" t="s">
        <v>25538</v>
      </c>
      <c r="F8459" t="s">
        <v>31574</v>
      </c>
      <c r="G8459" t="s">
        <v>31585</v>
      </c>
      <c r="H8459" t="s">
        <v>31590</v>
      </c>
      <c r="I8459" t="s">
        <v>4046</v>
      </c>
      <c r="J8459" t="s">
        <v>34173</v>
      </c>
      <c r="K8459" t="s">
        <v>41193</v>
      </c>
      <c r="M8459" t="s">
        <v>44085</v>
      </c>
      <c r="N8459" t="s">
        <v>45095</v>
      </c>
      <c r="O8459" t="s">
        <v>45096</v>
      </c>
      <c r="P8459">
        <v>0</v>
      </c>
      <c r="Q8459">
        <v>0</v>
      </c>
      <c r="R8459" t="s">
        <v>45104</v>
      </c>
      <c r="S8459" t="s">
        <v>45304</v>
      </c>
      <c r="T8459" t="s">
        <v>47159</v>
      </c>
      <c r="U8459" t="s">
        <v>54493</v>
      </c>
      <c r="W8459" t="s">
        <v>44085</v>
      </c>
      <c r="X8459" t="s">
        <v>45105</v>
      </c>
    </row>
    <row r="8460" spans="1:24">
      <c r="A8460">
        <f>HYPERLINK("https://www.philgeps.gov.ph/GEPSNONPILOT/Tender/SplashBidNoticeAbstractUI.aspx?menuIndex=3&amp;refID=7032771&amp;Result=3","7032771")</f>
        <v>0</v>
      </c>
      <c r="B8460" t="s">
        <v>2364</v>
      </c>
      <c r="C8460" t="s">
        <v>11265</v>
      </c>
      <c r="D8460" t="s">
        <v>18063</v>
      </c>
      <c r="E8460" t="s">
        <v>25523</v>
      </c>
      <c r="F8460" t="s">
        <v>31574</v>
      </c>
      <c r="G8460" t="s">
        <v>31585</v>
      </c>
      <c r="H8460" t="s">
        <v>31590</v>
      </c>
      <c r="I8460" t="s">
        <v>4046</v>
      </c>
      <c r="J8460" t="s">
        <v>34173</v>
      </c>
      <c r="K8460" t="s">
        <v>41193</v>
      </c>
      <c r="M8460" t="s">
        <v>44085</v>
      </c>
      <c r="N8460" t="s">
        <v>45095</v>
      </c>
      <c r="O8460" t="s">
        <v>45096</v>
      </c>
      <c r="P8460">
        <v>0</v>
      </c>
      <c r="Q8460">
        <v>0</v>
      </c>
      <c r="R8460" t="s">
        <v>45104</v>
      </c>
      <c r="S8460" t="s">
        <v>45304</v>
      </c>
      <c r="T8460" t="s">
        <v>47159</v>
      </c>
      <c r="U8460" t="s">
        <v>54493</v>
      </c>
      <c r="W8460" t="s">
        <v>44085</v>
      </c>
      <c r="X8460" t="s">
        <v>45105</v>
      </c>
    </row>
    <row r="8461" spans="1:24">
      <c r="A8461">
        <f>HYPERLINK("https://www.philgeps.gov.ph/GEPSNONPILOT/Tender/SplashBidNoticeAbstractUI.aspx?menuIndex=3&amp;refID=7032774&amp;Result=3","7032774")</f>
        <v>0</v>
      </c>
      <c r="B8461" t="s">
        <v>2364</v>
      </c>
      <c r="C8461" t="s">
        <v>11266</v>
      </c>
      <c r="D8461" t="s">
        <v>18063</v>
      </c>
      <c r="E8461" t="s">
        <v>25539</v>
      </c>
      <c r="F8461" t="s">
        <v>31574</v>
      </c>
      <c r="G8461" t="s">
        <v>31585</v>
      </c>
      <c r="H8461" t="s">
        <v>31590</v>
      </c>
      <c r="I8461" t="s">
        <v>4046</v>
      </c>
      <c r="J8461" t="s">
        <v>34173</v>
      </c>
      <c r="K8461" t="s">
        <v>41193</v>
      </c>
      <c r="M8461" t="s">
        <v>44085</v>
      </c>
      <c r="N8461" t="s">
        <v>45095</v>
      </c>
      <c r="O8461" t="s">
        <v>45096</v>
      </c>
      <c r="P8461">
        <v>0</v>
      </c>
      <c r="Q8461">
        <v>0</v>
      </c>
      <c r="R8461" t="s">
        <v>45104</v>
      </c>
      <c r="S8461" t="s">
        <v>45304</v>
      </c>
      <c r="T8461" t="s">
        <v>47159</v>
      </c>
      <c r="U8461" t="s">
        <v>54493</v>
      </c>
      <c r="W8461" t="s">
        <v>44085</v>
      </c>
      <c r="X8461" t="s">
        <v>45105</v>
      </c>
    </row>
    <row r="8462" spans="1:24">
      <c r="A8462">
        <f>HYPERLINK("https://www.philgeps.gov.ph/GEPSNONPILOT/Tender/SplashBidNoticeAbstractUI.aspx?menuIndex=3&amp;refID=7032814&amp;Result=3","7032814")</f>
        <v>0</v>
      </c>
      <c r="B8462" t="s">
        <v>963</v>
      </c>
      <c r="C8462" t="s">
        <v>11267</v>
      </c>
      <c r="D8462" t="s">
        <v>18081</v>
      </c>
      <c r="E8462" t="s">
        <v>25540</v>
      </c>
      <c r="F8462" t="s">
        <v>31574</v>
      </c>
      <c r="G8462" t="s">
        <v>31583</v>
      </c>
      <c r="H8462" t="s">
        <v>31590</v>
      </c>
      <c r="I8462" t="s">
        <v>6800</v>
      </c>
      <c r="J8462" t="s">
        <v>37099</v>
      </c>
      <c r="K8462" t="s">
        <v>41184</v>
      </c>
      <c r="M8462" t="s">
        <v>42492</v>
      </c>
      <c r="N8462" t="s">
        <v>45095</v>
      </c>
      <c r="O8462" t="s">
        <v>45096</v>
      </c>
      <c r="P8462">
        <v>0</v>
      </c>
      <c r="Q8462">
        <v>0</v>
      </c>
      <c r="R8462" t="s">
        <v>45104</v>
      </c>
      <c r="S8462" t="s">
        <v>45304</v>
      </c>
      <c r="T8462" t="s">
        <v>47050</v>
      </c>
      <c r="U8462" t="s">
        <v>54504</v>
      </c>
      <c r="W8462" t="s">
        <v>61685</v>
      </c>
      <c r="X8462" t="s">
        <v>45105</v>
      </c>
    </row>
    <row r="8463" spans="1:24">
      <c r="A8463">
        <f>HYPERLINK("https://www.philgeps.gov.ph/GEPSNONPILOT/Tender/SplashBidNoticeAbstractUI.aspx?menuIndex=3&amp;refID=7032854&amp;Result=3","7032854")</f>
        <v>0</v>
      </c>
      <c r="B8463" t="s">
        <v>2370</v>
      </c>
      <c r="C8463" t="s">
        <v>11268</v>
      </c>
      <c r="D8463" t="s">
        <v>18046</v>
      </c>
      <c r="E8463" t="s">
        <v>25541</v>
      </c>
      <c r="F8463" t="s">
        <v>31574</v>
      </c>
      <c r="G8463" t="s">
        <v>31582</v>
      </c>
      <c r="H8463" t="s">
        <v>31591</v>
      </c>
      <c r="I8463" t="s">
        <v>8822</v>
      </c>
      <c r="J8463" t="s">
        <v>32026</v>
      </c>
      <c r="K8463" t="s">
        <v>41371</v>
      </c>
      <c r="M8463" t="s">
        <v>44092</v>
      </c>
      <c r="N8463" t="s">
        <v>45095</v>
      </c>
      <c r="O8463" t="s">
        <v>45096</v>
      </c>
      <c r="P8463">
        <v>0</v>
      </c>
      <c r="Q8463">
        <v>0</v>
      </c>
      <c r="R8463" t="s">
        <v>45104</v>
      </c>
      <c r="S8463" t="s">
        <v>45304</v>
      </c>
      <c r="T8463" t="s">
        <v>46910</v>
      </c>
      <c r="U8463" t="s">
        <v>54505</v>
      </c>
      <c r="W8463" t="s">
        <v>44092</v>
      </c>
      <c r="X8463" t="s">
        <v>45105</v>
      </c>
    </row>
    <row r="8464" spans="1:24">
      <c r="A8464">
        <f>HYPERLINK("https://www.philgeps.gov.ph/GEPSNONPILOT/Tender/SplashBidNoticeAbstractUI.aspx?menuIndex=3&amp;refID=7032834&amp;Result=3","7032834")</f>
        <v>0</v>
      </c>
      <c r="B8464" t="s">
        <v>1544</v>
      </c>
      <c r="C8464" t="s">
        <v>11269</v>
      </c>
      <c r="D8464" t="s">
        <v>18075</v>
      </c>
      <c r="E8464" t="s">
        <v>25542</v>
      </c>
      <c r="F8464" t="s">
        <v>31574</v>
      </c>
      <c r="G8464" t="s">
        <v>31582</v>
      </c>
      <c r="H8464" t="s">
        <v>31590</v>
      </c>
      <c r="I8464" t="s">
        <v>31607</v>
      </c>
      <c r="J8464" t="s">
        <v>37100</v>
      </c>
      <c r="K8464" t="s">
        <v>41186</v>
      </c>
      <c r="M8464" t="s">
        <v>43139</v>
      </c>
      <c r="N8464" t="s">
        <v>45095</v>
      </c>
      <c r="O8464" t="s">
        <v>45096</v>
      </c>
      <c r="Q8464">
        <v>2</v>
      </c>
      <c r="R8464" t="s">
        <v>45104</v>
      </c>
      <c r="S8464" t="s">
        <v>45312</v>
      </c>
      <c r="T8464" t="s">
        <v>47168</v>
      </c>
      <c r="U8464" t="s">
        <v>54506</v>
      </c>
      <c r="W8464" t="s">
        <v>43139</v>
      </c>
      <c r="X8464" t="s">
        <v>45105</v>
      </c>
    </row>
    <row r="8465" spans="1:24">
      <c r="A8465">
        <f>HYPERLINK("https://www.philgeps.gov.ph/GEPSNONPILOT/Tender/SplashBidNoticeAbstractUI.aspx?menuIndex=3&amp;refID=7032831&amp;Result=3","7032831")</f>
        <v>0</v>
      </c>
      <c r="B8465" t="s">
        <v>2371</v>
      </c>
      <c r="C8465" t="s">
        <v>11270</v>
      </c>
      <c r="D8465" t="s">
        <v>18042</v>
      </c>
      <c r="E8465" t="s">
        <v>18754</v>
      </c>
      <c r="F8465" t="s">
        <v>31574</v>
      </c>
      <c r="G8465" t="s">
        <v>31581</v>
      </c>
      <c r="H8465" t="s">
        <v>31590</v>
      </c>
      <c r="I8465" t="s">
        <v>31599</v>
      </c>
      <c r="J8465" t="s">
        <v>32029</v>
      </c>
      <c r="K8465" t="s">
        <v>41190</v>
      </c>
      <c r="M8465" t="s">
        <v>44093</v>
      </c>
      <c r="N8465" t="s">
        <v>45095</v>
      </c>
      <c r="O8465" t="s">
        <v>45096</v>
      </c>
      <c r="P8465">
        <v>0</v>
      </c>
      <c r="Q8465">
        <v>1</v>
      </c>
      <c r="R8465" t="s">
        <v>45104</v>
      </c>
      <c r="S8465" t="s">
        <v>45304</v>
      </c>
      <c r="T8465" t="s">
        <v>47159</v>
      </c>
      <c r="U8465" t="s">
        <v>54507</v>
      </c>
      <c r="W8465" t="s">
        <v>44093</v>
      </c>
      <c r="X8465" t="s">
        <v>45105</v>
      </c>
    </row>
    <row r="8466" spans="1:24">
      <c r="A8466">
        <f>HYPERLINK("https://www.philgeps.gov.ph/GEPSNONPILOT/Tender/SplashBidNoticeAbstractUI.aspx?menuIndex=3&amp;refID=7032841&amp;Result=3","7032841")</f>
        <v>0</v>
      </c>
      <c r="B8466" t="s">
        <v>31</v>
      </c>
      <c r="C8466" t="s">
        <v>11271</v>
      </c>
      <c r="E8466" t="s">
        <v>25543</v>
      </c>
      <c r="F8466" t="s">
        <v>31574</v>
      </c>
      <c r="G8466" t="s">
        <v>31581</v>
      </c>
      <c r="H8466" t="s">
        <v>31590</v>
      </c>
      <c r="I8466" t="s">
        <v>6800</v>
      </c>
      <c r="J8466" t="s">
        <v>32695</v>
      </c>
      <c r="K8466" t="s">
        <v>41193</v>
      </c>
      <c r="M8466" t="s">
        <v>41518</v>
      </c>
      <c r="N8466" t="s">
        <v>45095</v>
      </c>
      <c r="O8466" t="s">
        <v>45096</v>
      </c>
      <c r="P8466">
        <v>0</v>
      </c>
      <c r="Q8466">
        <v>1</v>
      </c>
      <c r="R8466" t="s">
        <v>45104</v>
      </c>
      <c r="S8466" t="s">
        <v>45304</v>
      </c>
      <c r="T8466" t="s">
        <v>47183</v>
      </c>
      <c r="U8466" t="s">
        <v>54508</v>
      </c>
      <c r="W8466" t="s">
        <v>41518</v>
      </c>
      <c r="X8466" t="s">
        <v>45105</v>
      </c>
    </row>
    <row r="8467" spans="1:24">
      <c r="A8467">
        <f>HYPERLINK("https://www.philgeps.gov.ph/GEPSNONPILOT/Tender/SplashBidNoticeAbstractUI.aspx?menuIndex=3&amp;refID=7032824&amp;Result=3","7032824")</f>
        <v>0</v>
      </c>
      <c r="B8467" t="s">
        <v>2372</v>
      </c>
      <c r="C8467" t="s">
        <v>11272</v>
      </c>
      <c r="D8467" t="s">
        <v>18092</v>
      </c>
      <c r="E8467" t="s">
        <v>25544</v>
      </c>
      <c r="F8467" t="s">
        <v>31574</v>
      </c>
      <c r="G8467" t="s">
        <v>31582</v>
      </c>
      <c r="H8467" t="s">
        <v>31591</v>
      </c>
      <c r="I8467" t="s">
        <v>8822</v>
      </c>
      <c r="J8467" t="s">
        <v>37101</v>
      </c>
      <c r="K8467" t="s">
        <v>41192</v>
      </c>
      <c r="M8467" t="s">
        <v>44094</v>
      </c>
      <c r="N8467" t="s">
        <v>45095</v>
      </c>
      <c r="O8467" t="s">
        <v>45096</v>
      </c>
      <c r="P8467">
        <v>0</v>
      </c>
      <c r="Q8467">
        <v>0</v>
      </c>
      <c r="R8467" t="s">
        <v>45104</v>
      </c>
      <c r="S8467" t="s">
        <v>45304</v>
      </c>
      <c r="T8467" t="s">
        <v>47154</v>
      </c>
      <c r="U8467" t="s">
        <v>54509</v>
      </c>
      <c r="W8467" t="s">
        <v>44094</v>
      </c>
      <c r="X8467" t="s">
        <v>45105</v>
      </c>
    </row>
    <row r="8468" spans="1:24">
      <c r="A8468">
        <f>HYPERLINK("https://www.philgeps.gov.ph/GEPSNONPILOT/Tender/SplashBidNoticeAbstractUI.aspx?menuIndex=3&amp;refID=7032827&amp;Result=3","7032827")</f>
        <v>0</v>
      </c>
      <c r="B8468" t="s">
        <v>2373</v>
      </c>
      <c r="C8468" t="s">
        <v>11273</v>
      </c>
      <c r="D8468" t="s">
        <v>18088</v>
      </c>
      <c r="E8468" t="s">
        <v>25545</v>
      </c>
      <c r="F8468" t="s">
        <v>31574</v>
      </c>
      <c r="G8468" t="s">
        <v>31582</v>
      </c>
      <c r="H8468" t="s">
        <v>31591</v>
      </c>
      <c r="I8468" t="s">
        <v>31607</v>
      </c>
      <c r="J8468" t="s">
        <v>37102</v>
      </c>
      <c r="K8468" t="s">
        <v>41186</v>
      </c>
      <c r="M8468" t="s">
        <v>44095</v>
      </c>
      <c r="N8468" t="s">
        <v>45095</v>
      </c>
      <c r="O8468" t="s">
        <v>45096</v>
      </c>
      <c r="P8468">
        <v>0</v>
      </c>
      <c r="Q8468">
        <v>1</v>
      </c>
      <c r="R8468" t="s">
        <v>45104</v>
      </c>
      <c r="S8468" t="s">
        <v>45304</v>
      </c>
      <c r="T8468" t="s">
        <v>47338</v>
      </c>
      <c r="U8468" t="s">
        <v>54510</v>
      </c>
      <c r="W8468" t="s">
        <v>44095</v>
      </c>
      <c r="X8468" t="s">
        <v>45105</v>
      </c>
    </row>
    <row r="8469" spans="1:24">
      <c r="A8469">
        <f>HYPERLINK("https://www.philgeps.gov.ph/GEPSNONPILOT/Tender/SplashBidNoticeAbstractUI.aspx?menuIndex=3&amp;refID=7032817&amp;Result=3","7032817")</f>
        <v>0</v>
      </c>
      <c r="B8469" t="s">
        <v>2374</v>
      </c>
      <c r="C8469" t="s">
        <v>11274</v>
      </c>
      <c r="D8469" t="s">
        <v>18053</v>
      </c>
      <c r="E8469" t="s">
        <v>25546</v>
      </c>
      <c r="F8469" t="s">
        <v>31574</v>
      </c>
      <c r="G8469" t="s">
        <v>31582</v>
      </c>
      <c r="H8469" t="s">
        <v>31591</v>
      </c>
      <c r="I8469" t="s">
        <v>8822</v>
      </c>
      <c r="J8469" t="s">
        <v>37103</v>
      </c>
      <c r="K8469" t="s">
        <v>41226</v>
      </c>
      <c r="M8469" t="s">
        <v>44096</v>
      </c>
      <c r="N8469" t="s">
        <v>45095</v>
      </c>
      <c r="O8469" t="s">
        <v>45096</v>
      </c>
      <c r="P8469">
        <v>0</v>
      </c>
      <c r="Q8469">
        <v>0</v>
      </c>
      <c r="R8469" t="s">
        <v>45104</v>
      </c>
      <c r="S8469" t="s">
        <v>45304</v>
      </c>
      <c r="T8469" t="s">
        <v>46936</v>
      </c>
      <c r="U8469" t="s">
        <v>54511</v>
      </c>
      <c r="W8469" t="s">
        <v>44096</v>
      </c>
      <c r="X8469" t="s">
        <v>45105</v>
      </c>
    </row>
    <row r="8470" spans="1:24">
      <c r="A8470">
        <f>HYPERLINK("https://www.philgeps.gov.ph/GEPSNONPILOT/Tender/SplashBidNoticeAbstractUI.aspx?menuIndex=3&amp;refID=7032866&amp;Result=3","7032866")</f>
        <v>0</v>
      </c>
      <c r="B8470" t="s">
        <v>470</v>
      </c>
      <c r="C8470" t="s">
        <v>11275</v>
      </c>
      <c r="D8470" t="s">
        <v>18022</v>
      </c>
      <c r="E8470" t="s">
        <v>25547</v>
      </c>
      <c r="F8470" t="s">
        <v>31574</v>
      </c>
      <c r="G8470" t="s">
        <v>31584</v>
      </c>
      <c r="H8470" t="s">
        <v>31590</v>
      </c>
      <c r="I8470" t="s">
        <v>6800</v>
      </c>
      <c r="J8470" t="s">
        <v>37104</v>
      </c>
      <c r="K8470" t="s">
        <v>41193</v>
      </c>
      <c r="M8470" t="s">
        <v>41964</v>
      </c>
      <c r="N8470" t="s">
        <v>45095</v>
      </c>
      <c r="O8470" t="s">
        <v>45096</v>
      </c>
      <c r="P8470">
        <v>0</v>
      </c>
      <c r="Q8470">
        <v>6</v>
      </c>
      <c r="R8470" t="s">
        <v>45104</v>
      </c>
      <c r="S8470" t="s">
        <v>45304</v>
      </c>
      <c r="T8470" t="s">
        <v>47183</v>
      </c>
      <c r="U8470" t="s">
        <v>54512</v>
      </c>
      <c r="W8470" t="s">
        <v>61668</v>
      </c>
      <c r="X8470" t="s">
        <v>45105</v>
      </c>
    </row>
    <row r="8471" spans="1:24">
      <c r="A8471">
        <f>HYPERLINK("https://www.philgeps.gov.ph/GEPSNONPILOT/Tender/SplashBidNoticeAbstractUI.aspx?menuIndex=3&amp;refID=7032819&amp;Result=3","7032819")</f>
        <v>0</v>
      </c>
      <c r="B8471" t="s">
        <v>963</v>
      </c>
      <c r="C8471" t="s">
        <v>11276</v>
      </c>
      <c r="D8471" t="s">
        <v>18081</v>
      </c>
      <c r="E8471" t="s">
        <v>25548</v>
      </c>
      <c r="F8471" t="s">
        <v>31574</v>
      </c>
      <c r="G8471" t="s">
        <v>31583</v>
      </c>
      <c r="H8471" t="s">
        <v>31590</v>
      </c>
      <c r="I8471" t="s">
        <v>4046</v>
      </c>
      <c r="J8471" t="s">
        <v>37105</v>
      </c>
      <c r="K8471" t="s">
        <v>41184</v>
      </c>
      <c r="M8471" t="s">
        <v>42492</v>
      </c>
      <c r="N8471" t="s">
        <v>45095</v>
      </c>
      <c r="O8471" t="s">
        <v>45096</v>
      </c>
      <c r="P8471">
        <v>0</v>
      </c>
      <c r="Q8471">
        <v>0</v>
      </c>
      <c r="R8471" t="s">
        <v>45104</v>
      </c>
      <c r="S8471" t="s">
        <v>45304</v>
      </c>
      <c r="T8471" t="s">
        <v>47050</v>
      </c>
      <c r="U8471" t="s">
        <v>54513</v>
      </c>
      <c r="W8471" t="s">
        <v>61685</v>
      </c>
      <c r="X8471" t="s">
        <v>45105</v>
      </c>
    </row>
    <row r="8472" spans="1:24">
      <c r="A8472">
        <f>HYPERLINK("https://www.philgeps.gov.ph/GEPSNONPILOT/Tender/SplashBidNoticeAbstractUI.aspx?menuIndex=3&amp;refID=7032861&amp;Result=3","7032861")</f>
        <v>0</v>
      </c>
      <c r="B8472" t="s">
        <v>1494</v>
      </c>
      <c r="C8472" t="s">
        <v>11277</v>
      </c>
      <c r="D8472" t="s">
        <v>18031</v>
      </c>
      <c r="E8472" t="s">
        <v>25549</v>
      </c>
      <c r="F8472" t="s">
        <v>31574</v>
      </c>
      <c r="G8472" t="s">
        <v>31582</v>
      </c>
      <c r="H8472" t="s">
        <v>31590</v>
      </c>
      <c r="I8472" t="s">
        <v>31655</v>
      </c>
      <c r="J8472" t="s">
        <v>33359</v>
      </c>
      <c r="K8472" t="s">
        <v>41185</v>
      </c>
      <c r="M8472" t="s">
        <v>44097</v>
      </c>
      <c r="N8472" t="s">
        <v>45095</v>
      </c>
      <c r="O8472" t="s">
        <v>45096</v>
      </c>
      <c r="P8472">
        <v>0</v>
      </c>
      <c r="Q8472">
        <v>10</v>
      </c>
      <c r="R8472" t="s">
        <v>45104</v>
      </c>
      <c r="S8472" t="s">
        <v>45304</v>
      </c>
      <c r="T8472" t="s">
        <v>46988</v>
      </c>
      <c r="U8472" t="s">
        <v>54514</v>
      </c>
      <c r="W8472" t="s">
        <v>44097</v>
      </c>
      <c r="X8472" t="s">
        <v>45105</v>
      </c>
    </row>
    <row r="8473" spans="1:24">
      <c r="A8473">
        <f>HYPERLINK("https://www.philgeps.gov.ph/GEPSNONPILOT/Tender/SplashBidNoticeAbstractUI.aspx?menuIndex=3&amp;refID=7032872&amp;Result=3","7032872")</f>
        <v>0</v>
      </c>
      <c r="B8473" t="s">
        <v>709</v>
      </c>
      <c r="C8473" t="s">
        <v>11278</v>
      </c>
      <c r="D8473" t="s">
        <v>18026</v>
      </c>
      <c r="E8473" t="s">
        <v>25550</v>
      </c>
      <c r="F8473" t="s">
        <v>31574</v>
      </c>
      <c r="G8473" t="s">
        <v>31582</v>
      </c>
      <c r="H8473" t="s">
        <v>31590</v>
      </c>
      <c r="I8473" t="s">
        <v>3651</v>
      </c>
      <c r="J8473" t="s">
        <v>37106</v>
      </c>
      <c r="K8473" t="s">
        <v>41190</v>
      </c>
      <c r="M8473" t="s">
        <v>42219</v>
      </c>
      <c r="N8473" t="s">
        <v>45095</v>
      </c>
      <c r="O8473" t="s">
        <v>45096</v>
      </c>
      <c r="P8473">
        <v>0</v>
      </c>
      <c r="Q8473">
        <v>0</v>
      </c>
      <c r="R8473" t="s">
        <v>45104</v>
      </c>
      <c r="S8473" t="s">
        <v>45304</v>
      </c>
      <c r="T8473" t="s">
        <v>46918</v>
      </c>
      <c r="U8473" t="s">
        <v>54515</v>
      </c>
      <c r="W8473" t="s">
        <v>42219</v>
      </c>
      <c r="X8473" t="s">
        <v>45105</v>
      </c>
    </row>
    <row r="8474" spans="1:24">
      <c r="A8474">
        <f>HYPERLINK("https://www.philgeps.gov.ph/GEPSNONPILOT/Tender/SplashBidNoticeAbstractUI.aspx?menuIndex=3&amp;refID=7032871&amp;Result=3","7032871")</f>
        <v>0</v>
      </c>
      <c r="B8474" t="s">
        <v>2370</v>
      </c>
      <c r="C8474" t="s">
        <v>11279</v>
      </c>
      <c r="D8474" t="s">
        <v>18046</v>
      </c>
      <c r="E8474" t="s">
        <v>25551</v>
      </c>
      <c r="F8474" t="s">
        <v>31574</v>
      </c>
      <c r="G8474" t="s">
        <v>31582</v>
      </c>
      <c r="H8474" t="s">
        <v>31591</v>
      </c>
      <c r="I8474" t="s">
        <v>8822</v>
      </c>
      <c r="J8474" t="s">
        <v>32473</v>
      </c>
      <c r="K8474" t="s">
        <v>41189</v>
      </c>
      <c r="M8474" t="s">
        <v>44092</v>
      </c>
      <c r="N8474" t="s">
        <v>45095</v>
      </c>
      <c r="O8474" t="s">
        <v>45096</v>
      </c>
      <c r="P8474">
        <v>0</v>
      </c>
      <c r="Q8474">
        <v>0</v>
      </c>
      <c r="R8474" t="s">
        <v>45104</v>
      </c>
      <c r="S8474" t="s">
        <v>45304</v>
      </c>
      <c r="T8474" t="s">
        <v>47183</v>
      </c>
      <c r="U8474" t="s">
        <v>54516</v>
      </c>
      <c r="W8474" t="s">
        <v>44092</v>
      </c>
      <c r="X8474" t="s">
        <v>45105</v>
      </c>
    </row>
    <row r="8475" spans="1:24">
      <c r="A8475">
        <f>HYPERLINK("https://www.philgeps.gov.ph/GEPSNONPILOT/Tender/SplashBidNoticeAbstractUI.aspx?menuIndex=3&amp;refID=7032868&amp;Result=3","7032868")</f>
        <v>0</v>
      </c>
      <c r="B8475" t="s">
        <v>1418</v>
      </c>
      <c r="C8475" t="s">
        <v>11280</v>
      </c>
      <c r="D8475" t="s">
        <v>18061</v>
      </c>
      <c r="E8475" t="s">
        <v>25552</v>
      </c>
      <c r="F8475" t="s">
        <v>31574</v>
      </c>
      <c r="G8475" t="s">
        <v>31582</v>
      </c>
      <c r="H8475" t="s">
        <v>31590</v>
      </c>
      <c r="I8475" t="s">
        <v>3487</v>
      </c>
      <c r="J8475" t="s">
        <v>37107</v>
      </c>
      <c r="K8475" t="s">
        <v>41192</v>
      </c>
      <c r="M8475" t="s">
        <v>42994</v>
      </c>
      <c r="N8475" t="s">
        <v>45095</v>
      </c>
      <c r="O8475" t="s">
        <v>45096</v>
      </c>
      <c r="P8475">
        <v>0</v>
      </c>
      <c r="Q8475">
        <v>4</v>
      </c>
      <c r="R8475" t="s">
        <v>45104</v>
      </c>
      <c r="S8475" t="s">
        <v>45304</v>
      </c>
      <c r="T8475" t="s">
        <v>47000</v>
      </c>
      <c r="U8475" t="s">
        <v>54517</v>
      </c>
      <c r="W8475" t="s">
        <v>42994</v>
      </c>
      <c r="X8475" t="s">
        <v>45105</v>
      </c>
    </row>
    <row r="8476" spans="1:24">
      <c r="A8476">
        <f>HYPERLINK("https://www.philgeps.gov.ph/GEPSNONPILOT/Tender/SplashBidNoticeAbstractUI.aspx?menuIndex=3&amp;refID=7032862&amp;Result=3","7032862")</f>
        <v>0</v>
      </c>
      <c r="B8476" t="s">
        <v>2071</v>
      </c>
      <c r="C8476" t="s">
        <v>6052</v>
      </c>
      <c r="D8476" t="s">
        <v>18053</v>
      </c>
      <c r="E8476" t="s">
        <v>25553</v>
      </c>
      <c r="F8476" t="s">
        <v>31574</v>
      </c>
      <c r="G8476" t="s">
        <v>31582</v>
      </c>
      <c r="H8476" t="s">
        <v>31591</v>
      </c>
      <c r="I8476" t="s">
        <v>8822</v>
      </c>
      <c r="J8476" t="s">
        <v>37108</v>
      </c>
      <c r="K8476" t="s">
        <v>41282</v>
      </c>
      <c r="M8476" t="s">
        <v>43745</v>
      </c>
      <c r="N8476" t="s">
        <v>45095</v>
      </c>
      <c r="O8476" t="s">
        <v>45096</v>
      </c>
      <c r="P8476">
        <v>0</v>
      </c>
      <c r="Q8476">
        <v>0</v>
      </c>
      <c r="R8476" t="s">
        <v>45104</v>
      </c>
      <c r="S8476" t="s">
        <v>45304</v>
      </c>
      <c r="T8476" t="s">
        <v>46936</v>
      </c>
      <c r="U8476" t="s">
        <v>54518</v>
      </c>
      <c r="W8476" t="s">
        <v>43745</v>
      </c>
      <c r="X8476" t="s">
        <v>45105</v>
      </c>
    </row>
    <row r="8477" spans="1:24">
      <c r="A8477">
        <f>HYPERLINK("https://www.philgeps.gov.ph/GEPSNONPILOT/Tender/SplashBidNoticeAbstractUI.aspx?menuIndex=3&amp;refID=7032876&amp;Result=3","7032876")</f>
        <v>0</v>
      </c>
      <c r="B8477" t="s">
        <v>2375</v>
      </c>
      <c r="C8477" t="s">
        <v>11281</v>
      </c>
      <c r="D8477" t="s">
        <v>18052</v>
      </c>
      <c r="E8477" t="s">
        <v>18175</v>
      </c>
      <c r="F8477" t="s">
        <v>31575</v>
      </c>
      <c r="G8477" t="s">
        <v>31582</v>
      </c>
      <c r="H8477" t="s">
        <v>31591</v>
      </c>
      <c r="I8477" t="s">
        <v>8822</v>
      </c>
      <c r="J8477" t="s">
        <v>32743</v>
      </c>
      <c r="K8477" t="s">
        <v>41189</v>
      </c>
      <c r="M8477" t="s">
        <v>44098</v>
      </c>
      <c r="N8477" t="s">
        <v>45095</v>
      </c>
      <c r="O8477" t="s">
        <v>45096</v>
      </c>
      <c r="P8477">
        <v>0</v>
      </c>
      <c r="Q8477">
        <v>1</v>
      </c>
      <c r="R8477" t="s">
        <v>45104</v>
      </c>
      <c r="S8477" t="s">
        <v>45304</v>
      </c>
      <c r="T8477" t="s">
        <v>46926</v>
      </c>
      <c r="U8477" t="s">
        <v>54519</v>
      </c>
      <c r="W8477" t="s">
        <v>44098</v>
      </c>
      <c r="X8477" t="s">
        <v>45105</v>
      </c>
    </row>
    <row r="8478" spans="1:24">
      <c r="A8478">
        <f>HYPERLINK("https://www.philgeps.gov.ph/GEPSNONPILOT/Tender/SplashBidNoticeAbstractUI.aspx?menuIndex=3&amp;refID=7032873&amp;Result=3","7032873")</f>
        <v>0</v>
      </c>
      <c r="B8478" t="s">
        <v>2376</v>
      </c>
      <c r="C8478" t="s">
        <v>11282</v>
      </c>
      <c r="D8478" t="s">
        <v>18042</v>
      </c>
      <c r="E8478" t="s">
        <v>19676</v>
      </c>
      <c r="F8478" t="s">
        <v>31574</v>
      </c>
      <c r="G8478" t="s">
        <v>31582</v>
      </c>
      <c r="H8478" t="s">
        <v>31590</v>
      </c>
      <c r="I8478" t="s">
        <v>4046</v>
      </c>
      <c r="J8478" t="s">
        <v>37109</v>
      </c>
      <c r="K8478" t="s">
        <v>41190</v>
      </c>
      <c r="M8478" t="s">
        <v>44099</v>
      </c>
      <c r="N8478" t="s">
        <v>45095</v>
      </c>
      <c r="O8478" t="s">
        <v>45096</v>
      </c>
      <c r="P8478">
        <v>0</v>
      </c>
      <c r="Q8478">
        <v>1</v>
      </c>
      <c r="R8478" t="s">
        <v>45104</v>
      </c>
      <c r="S8478" t="s">
        <v>45304</v>
      </c>
      <c r="T8478" t="s">
        <v>46988</v>
      </c>
      <c r="U8478" t="s">
        <v>54520</v>
      </c>
      <c r="W8478" t="s">
        <v>44099</v>
      </c>
      <c r="X8478" t="s">
        <v>45105</v>
      </c>
    </row>
    <row r="8479" spans="1:24">
      <c r="A8479">
        <f>HYPERLINK("https://www.philgeps.gov.ph/GEPSNONPILOT/Tender/SplashBidNoticeAbstractUI.aspx?menuIndex=3&amp;refID=7032881&amp;Result=3","7032881")</f>
        <v>0</v>
      </c>
      <c r="B8479" t="s">
        <v>31</v>
      </c>
      <c r="C8479" t="s">
        <v>11283</v>
      </c>
      <c r="E8479" t="s">
        <v>25554</v>
      </c>
      <c r="F8479" t="s">
        <v>31574</v>
      </c>
      <c r="G8479" t="s">
        <v>31583</v>
      </c>
      <c r="H8479" t="s">
        <v>31590</v>
      </c>
      <c r="I8479" t="s">
        <v>5717</v>
      </c>
      <c r="J8479" t="s">
        <v>37110</v>
      </c>
      <c r="K8479" t="s">
        <v>41193</v>
      </c>
      <c r="M8479" t="s">
        <v>41518</v>
      </c>
      <c r="N8479" t="s">
        <v>45095</v>
      </c>
      <c r="O8479" t="s">
        <v>45096</v>
      </c>
      <c r="P8479">
        <v>0</v>
      </c>
      <c r="Q8479">
        <v>5</v>
      </c>
      <c r="R8479" t="s">
        <v>45104</v>
      </c>
      <c r="S8479" t="s">
        <v>45304</v>
      </c>
      <c r="T8479" t="s">
        <v>47183</v>
      </c>
      <c r="U8479" t="s">
        <v>54508</v>
      </c>
      <c r="W8479" t="s">
        <v>41518</v>
      </c>
      <c r="X8479" t="s">
        <v>45105</v>
      </c>
    </row>
    <row r="8480" spans="1:24">
      <c r="A8480">
        <f>HYPERLINK("https://www.philgeps.gov.ph/GEPSNONPILOT/Tender/SplashBidNoticeAbstractUI.aspx?menuIndex=3&amp;refID=7032918&amp;Result=3","7032918")</f>
        <v>0</v>
      </c>
      <c r="B8480" t="s">
        <v>127</v>
      </c>
      <c r="C8480" t="s">
        <v>11284</v>
      </c>
      <c r="D8480" t="s">
        <v>18022</v>
      </c>
      <c r="E8480" t="s">
        <v>25555</v>
      </c>
      <c r="F8480" t="s">
        <v>31574</v>
      </c>
      <c r="G8480" t="s">
        <v>31582</v>
      </c>
      <c r="H8480" t="s">
        <v>31590</v>
      </c>
      <c r="I8480" t="s">
        <v>31615</v>
      </c>
      <c r="J8480" t="s">
        <v>32530</v>
      </c>
      <c r="K8480" t="s">
        <v>41186</v>
      </c>
      <c r="M8480" t="s">
        <v>44100</v>
      </c>
      <c r="N8480" t="s">
        <v>45095</v>
      </c>
      <c r="O8480" t="s">
        <v>45096</v>
      </c>
      <c r="P8480">
        <v>0</v>
      </c>
      <c r="Q8480">
        <v>5</v>
      </c>
      <c r="R8480" t="s">
        <v>45104</v>
      </c>
      <c r="S8480" t="s">
        <v>45304</v>
      </c>
      <c r="T8480" t="s">
        <v>46995</v>
      </c>
      <c r="U8480" t="s">
        <v>54521</v>
      </c>
      <c r="W8480" t="s">
        <v>44100</v>
      </c>
      <c r="X8480" t="s">
        <v>45105</v>
      </c>
    </row>
    <row r="8481" spans="1:24">
      <c r="A8481">
        <f>HYPERLINK("https://www.philgeps.gov.ph/GEPSNONPILOT/Tender/SplashBidNoticeAbstractUI.aspx?menuIndex=3&amp;refID=7032916&amp;Result=3","7032916")</f>
        <v>0</v>
      </c>
      <c r="B8481" t="s">
        <v>470</v>
      </c>
      <c r="C8481" t="s">
        <v>11285</v>
      </c>
      <c r="D8481" t="s">
        <v>18022</v>
      </c>
      <c r="E8481" t="s">
        <v>25556</v>
      </c>
      <c r="F8481" t="s">
        <v>31574</v>
      </c>
      <c r="G8481" t="s">
        <v>31584</v>
      </c>
      <c r="H8481" t="s">
        <v>31590</v>
      </c>
      <c r="I8481" t="s">
        <v>6800</v>
      </c>
      <c r="J8481" t="s">
        <v>37111</v>
      </c>
      <c r="K8481" t="s">
        <v>41193</v>
      </c>
      <c r="M8481" t="s">
        <v>41964</v>
      </c>
      <c r="N8481" t="s">
        <v>45095</v>
      </c>
      <c r="O8481" t="s">
        <v>45096</v>
      </c>
      <c r="P8481">
        <v>0</v>
      </c>
      <c r="Q8481">
        <v>11</v>
      </c>
      <c r="R8481" t="s">
        <v>45104</v>
      </c>
      <c r="S8481" t="s">
        <v>45304</v>
      </c>
      <c r="T8481" t="s">
        <v>47183</v>
      </c>
      <c r="U8481" t="s">
        <v>54522</v>
      </c>
      <c r="W8481" t="s">
        <v>61668</v>
      </c>
      <c r="X8481" t="s">
        <v>45105</v>
      </c>
    </row>
    <row r="8482" spans="1:24">
      <c r="A8482">
        <f>HYPERLINK("https://www.philgeps.gov.ph/GEPSNONPILOT/Tender/SplashBidNoticeAbstractUI.aspx?menuIndex=3&amp;refID=7032851&amp;Result=3","7032851")</f>
        <v>0</v>
      </c>
      <c r="B8482" t="s">
        <v>709</v>
      </c>
      <c r="C8482" t="s">
        <v>11286</v>
      </c>
      <c r="D8482" t="s">
        <v>18026</v>
      </c>
      <c r="E8482" t="s">
        <v>25557</v>
      </c>
      <c r="F8482" t="s">
        <v>31574</v>
      </c>
      <c r="G8482" t="s">
        <v>31582</v>
      </c>
      <c r="H8482" t="s">
        <v>31590</v>
      </c>
      <c r="I8482" t="s">
        <v>3489</v>
      </c>
      <c r="J8482" t="s">
        <v>33976</v>
      </c>
      <c r="K8482" t="s">
        <v>41190</v>
      </c>
      <c r="M8482" t="s">
        <v>42219</v>
      </c>
      <c r="N8482" t="s">
        <v>45095</v>
      </c>
      <c r="O8482" t="s">
        <v>45096</v>
      </c>
      <c r="P8482">
        <v>0</v>
      </c>
      <c r="Q8482">
        <v>0</v>
      </c>
      <c r="R8482" t="s">
        <v>45104</v>
      </c>
      <c r="S8482" t="s">
        <v>45304</v>
      </c>
      <c r="T8482" t="s">
        <v>46918</v>
      </c>
      <c r="U8482" t="s">
        <v>54523</v>
      </c>
      <c r="W8482" t="s">
        <v>42219</v>
      </c>
      <c r="X8482" t="s">
        <v>45105</v>
      </c>
    </row>
    <row r="8483" spans="1:24">
      <c r="A8483">
        <f>HYPERLINK("https://www.philgeps.gov.ph/GEPSNONPILOT/Tender/SplashBidNoticeAbstractUI.aspx?menuIndex=3&amp;refID=7032906&amp;Result=3","7032906")</f>
        <v>0</v>
      </c>
      <c r="B8483" t="s">
        <v>709</v>
      </c>
      <c r="C8483" t="s">
        <v>11287</v>
      </c>
      <c r="D8483" t="s">
        <v>18026</v>
      </c>
      <c r="E8483" t="s">
        <v>25558</v>
      </c>
      <c r="F8483" t="s">
        <v>31574</v>
      </c>
      <c r="G8483" t="s">
        <v>31582</v>
      </c>
      <c r="H8483" t="s">
        <v>31590</v>
      </c>
      <c r="I8483" t="s">
        <v>7185</v>
      </c>
      <c r="J8483" t="s">
        <v>31964</v>
      </c>
      <c r="K8483" t="s">
        <v>41190</v>
      </c>
      <c r="M8483" t="s">
        <v>42219</v>
      </c>
      <c r="N8483" t="s">
        <v>45095</v>
      </c>
      <c r="O8483" t="s">
        <v>45096</v>
      </c>
      <c r="P8483">
        <v>0</v>
      </c>
      <c r="Q8483">
        <v>1</v>
      </c>
      <c r="R8483" t="s">
        <v>45104</v>
      </c>
      <c r="S8483" t="s">
        <v>45304</v>
      </c>
      <c r="T8483" t="s">
        <v>46918</v>
      </c>
      <c r="U8483" t="s">
        <v>54524</v>
      </c>
      <c r="W8483" t="s">
        <v>42219</v>
      </c>
      <c r="X8483" t="s">
        <v>45105</v>
      </c>
    </row>
    <row r="8484" spans="1:24">
      <c r="A8484">
        <f>HYPERLINK("https://www.philgeps.gov.ph/GEPSNONPILOT/Tender/SplashBidNoticeAbstractUI.aspx?menuIndex=3&amp;refID=7032902&amp;Result=3","7032902")</f>
        <v>0</v>
      </c>
      <c r="B8484" t="s">
        <v>2377</v>
      </c>
      <c r="C8484" t="s">
        <v>11288</v>
      </c>
      <c r="D8484" t="s">
        <v>18099</v>
      </c>
      <c r="E8484" t="s">
        <v>25559</v>
      </c>
      <c r="F8484" t="s">
        <v>31574</v>
      </c>
      <c r="G8484" t="s">
        <v>31582</v>
      </c>
      <c r="H8484" t="s">
        <v>31591</v>
      </c>
      <c r="I8484" t="s">
        <v>8822</v>
      </c>
      <c r="J8484" t="s">
        <v>37112</v>
      </c>
      <c r="K8484" t="s">
        <v>41243</v>
      </c>
      <c r="M8484" t="s">
        <v>44101</v>
      </c>
      <c r="N8484" t="s">
        <v>45095</v>
      </c>
      <c r="O8484" t="s">
        <v>45096</v>
      </c>
      <c r="P8484">
        <v>0</v>
      </c>
      <c r="Q8484">
        <v>1</v>
      </c>
      <c r="R8484" t="s">
        <v>45104</v>
      </c>
      <c r="S8484" t="s">
        <v>45304</v>
      </c>
      <c r="T8484" t="s">
        <v>46992</v>
      </c>
      <c r="U8484" t="s">
        <v>54525</v>
      </c>
      <c r="W8484" t="s">
        <v>44101</v>
      </c>
      <c r="X8484" t="s">
        <v>45105</v>
      </c>
    </row>
    <row r="8485" spans="1:24">
      <c r="A8485">
        <f>HYPERLINK("https://www.philgeps.gov.ph/GEPSNONPILOT/Tender/SplashBidNoticeAbstractUI.aspx?menuIndex=3&amp;refID=7032910&amp;Result=3","7032910")</f>
        <v>0</v>
      </c>
      <c r="B8485" t="s">
        <v>2378</v>
      </c>
      <c r="C8485" t="s">
        <v>11289</v>
      </c>
      <c r="D8485" t="s">
        <v>18022</v>
      </c>
      <c r="E8485" t="s">
        <v>21402</v>
      </c>
      <c r="F8485" t="s">
        <v>31574</v>
      </c>
      <c r="G8485" t="s">
        <v>31582</v>
      </c>
      <c r="H8485" t="s">
        <v>31590</v>
      </c>
      <c r="I8485" t="s">
        <v>8258</v>
      </c>
      <c r="J8485" t="s">
        <v>31949</v>
      </c>
      <c r="K8485" t="s">
        <v>41186</v>
      </c>
      <c r="M8485" t="s">
        <v>44102</v>
      </c>
      <c r="N8485" t="s">
        <v>45095</v>
      </c>
      <c r="O8485" t="s">
        <v>45096</v>
      </c>
      <c r="P8485">
        <v>0</v>
      </c>
      <c r="Q8485">
        <v>4</v>
      </c>
      <c r="R8485" t="s">
        <v>45104</v>
      </c>
      <c r="S8485" t="s">
        <v>45304</v>
      </c>
      <c r="T8485" t="s">
        <v>46973</v>
      </c>
      <c r="U8485" t="s">
        <v>54526</v>
      </c>
      <c r="W8485" t="s">
        <v>44102</v>
      </c>
      <c r="X8485" t="s">
        <v>45105</v>
      </c>
    </row>
    <row r="8486" spans="1:24">
      <c r="A8486">
        <f>HYPERLINK("https://www.philgeps.gov.ph/GEPSNONPILOT/Tender/SplashBidNoticeAbstractUI.aspx?menuIndex=3&amp;refID=7032900&amp;Result=3","7032900")</f>
        <v>0</v>
      </c>
      <c r="B8486" t="s">
        <v>401</v>
      </c>
      <c r="C8486" t="s">
        <v>11290</v>
      </c>
      <c r="D8486" t="s">
        <v>18052</v>
      </c>
      <c r="E8486" t="s">
        <v>25560</v>
      </c>
      <c r="F8486" t="s">
        <v>31574</v>
      </c>
      <c r="G8486" t="s">
        <v>31581</v>
      </c>
      <c r="H8486" t="s">
        <v>31590</v>
      </c>
      <c r="I8486" t="s">
        <v>31598</v>
      </c>
      <c r="J8486" t="s">
        <v>37113</v>
      </c>
      <c r="K8486" t="s">
        <v>41196</v>
      </c>
      <c r="M8486" t="s">
        <v>41892</v>
      </c>
      <c r="N8486" t="s">
        <v>45095</v>
      </c>
      <c r="O8486" t="s">
        <v>45096</v>
      </c>
      <c r="P8486">
        <v>0</v>
      </c>
      <c r="Q8486">
        <v>2</v>
      </c>
      <c r="R8486" t="s">
        <v>45104</v>
      </c>
      <c r="S8486" t="s">
        <v>45304</v>
      </c>
      <c r="T8486" t="s">
        <v>47159</v>
      </c>
      <c r="U8486" t="s">
        <v>53869</v>
      </c>
      <c r="W8486" t="s">
        <v>41892</v>
      </c>
      <c r="X8486" t="s">
        <v>45105</v>
      </c>
    </row>
    <row r="8487" spans="1:24">
      <c r="A8487">
        <f>HYPERLINK("https://www.philgeps.gov.ph/GEPSNONPILOT/Tender/SplashBidNoticeAbstractUI.aspx?menuIndex=3&amp;refID=7032936&amp;Result=3","7032936")</f>
        <v>0</v>
      </c>
      <c r="B8487" t="s">
        <v>2379</v>
      </c>
      <c r="C8487" t="s">
        <v>11291</v>
      </c>
      <c r="D8487" t="s">
        <v>18090</v>
      </c>
      <c r="E8487" t="s">
        <v>24761</v>
      </c>
      <c r="F8487" t="s">
        <v>31574</v>
      </c>
      <c r="G8487" t="s">
        <v>31582</v>
      </c>
      <c r="H8487" t="s">
        <v>31591</v>
      </c>
      <c r="I8487" t="s">
        <v>8822</v>
      </c>
      <c r="J8487" t="s">
        <v>32101</v>
      </c>
      <c r="K8487" t="s">
        <v>41203</v>
      </c>
      <c r="M8487" t="s">
        <v>44103</v>
      </c>
      <c r="N8487" t="s">
        <v>45095</v>
      </c>
      <c r="O8487" t="s">
        <v>45096</v>
      </c>
      <c r="P8487">
        <v>0</v>
      </c>
      <c r="Q8487">
        <v>1</v>
      </c>
      <c r="R8487" t="s">
        <v>45104</v>
      </c>
      <c r="S8487" t="s">
        <v>45304</v>
      </c>
      <c r="T8487" t="s">
        <v>46965</v>
      </c>
      <c r="U8487" t="s">
        <v>54527</v>
      </c>
      <c r="W8487" t="s">
        <v>44103</v>
      </c>
      <c r="X8487" t="s">
        <v>45105</v>
      </c>
    </row>
    <row r="8488" spans="1:24">
      <c r="A8488">
        <f>HYPERLINK("https://www.philgeps.gov.ph/GEPSNONPILOT/Tender/SplashBidNoticeAbstractUI.aspx?menuIndex=3&amp;refID=7032920&amp;Result=3","7032920")</f>
        <v>0</v>
      </c>
      <c r="B8488" t="s">
        <v>2380</v>
      </c>
      <c r="C8488" t="s">
        <v>11292</v>
      </c>
      <c r="D8488" t="s">
        <v>18039</v>
      </c>
      <c r="E8488" t="s">
        <v>25561</v>
      </c>
      <c r="F8488" t="s">
        <v>31578</v>
      </c>
      <c r="G8488" t="s">
        <v>31584</v>
      </c>
      <c r="H8488" t="s">
        <v>31590</v>
      </c>
      <c r="I8488" t="s">
        <v>31619</v>
      </c>
      <c r="J8488" t="s">
        <v>31842</v>
      </c>
      <c r="K8488" t="s">
        <v>41184</v>
      </c>
      <c r="M8488" t="s">
        <v>44104</v>
      </c>
      <c r="N8488" t="s">
        <v>45095</v>
      </c>
      <c r="O8488" t="s">
        <v>45096</v>
      </c>
      <c r="P8488">
        <v>0</v>
      </c>
      <c r="Q8488">
        <v>1</v>
      </c>
      <c r="R8488" t="s">
        <v>45104</v>
      </c>
      <c r="S8488" t="s">
        <v>45304</v>
      </c>
      <c r="T8488" t="s">
        <v>47154</v>
      </c>
      <c r="U8488" t="s">
        <v>54528</v>
      </c>
      <c r="W8488" t="s">
        <v>44104</v>
      </c>
      <c r="X8488" t="s">
        <v>45105</v>
      </c>
    </row>
    <row r="8489" spans="1:24">
      <c r="A8489">
        <f>HYPERLINK("https://www.philgeps.gov.ph/GEPSNONPILOT/Tender/SplashBidNoticeAbstractUI.aspx?menuIndex=3&amp;refID=7032928&amp;Result=3","7032928")</f>
        <v>0</v>
      </c>
      <c r="B8489" t="s">
        <v>302</v>
      </c>
      <c r="C8489" t="s">
        <v>11293</v>
      </c>
      <c r="D8489" t="s">
        <v>18022</v>
      </c>
      <c r="E8489" t="s">
        <v>25562</v>
      </c>
      <c r="F8489" t="s">
        <v>31574</v>
      </c>
      <c r="G8489" t="s">
        <v>31582</v>
      </c>
      <c r="H8489" t="s">
        <v>31590</v>
      </c>
      <c r="I8489" t="s">
        <v>8056</v>
      </c>
      <c r="J8489" t="s">
        <v>37114</v>
      </c>
      <c r="K8489" t="s">
        <v>41186</v>
      </c>
      <c r="M8489" t="s">
        <v>41788</v>
      </c>
      <c r="N8489" t="s">
        <v>45095</v>
      </c>
      <c r="O8489" t="s">
        <v>45096</v>
      </c>
      <c r="P8489">
        <v>0</v>
      </c>
      <c r="Q8489">
        <v>8</v>
      </c>
      <c r="R8489" t="s">
        <v>45104</v>
      </c>
      <c r="S8489" t="s">
        <v>45304</v>
      </c>
      <c r="T8489" t="s">
        <v>47010</v>
      </c>
      <c r="U8489" t="s">
        <v>54529</v>
      </c>
      <c r="V8489" t="s">
        <v>60735</v>
      </c>
      <c r="W8489" t="s">
        <v>41788</v>
      </c>
      <c r="X8489" t="s">
        <v>45105</v>
      </c>
    </row>
    <row r="8490" spans="1:24">
      <c r="A8490">
        <f>HYPERLINK("https://www.philgeps.gov.ph/GEPSNONPILOT/Tender/SplashBidNoticeAbstractUI.aspx?menuIndex=3&amp;refID=7032935&amp;Result=3","7032935")</f>
        <v>0</v>
      </c>
      <c r="B8490" t="s">
        <v>443</v>
      </c>
      <c r="C8490" t="s">
        <v>11294</v>
      </c>
      <c r="D8490" t="s">
        <v>18062</v>
      </c>
      <c r="E8490" t="s">
        <v>25563</v>
      </c>
      <c r="F8490" t="s">
        <v>31574</v>
      </c>
      <c r="G8490" t="s">
        <v>31582</v>
      </c>
      <c r="H8490" t="s">
        <v>31591</v>
      </c>
      <c r="I8490" t="s">
        <v>8822</v>
      </c>
      <c r="J8490" t="s">
        <v>37115</v>
      </c>
      <c r="K8490" t="s">
        <v>41307</v>
      </c>
      <c r="M8490" t="s">
        <v>41936</v>
      </c>
      <c r="N8490" t="s">
        <v>45095</v>
      </c>
      <c r="O8490" t="s">
        <v>45096</v>
      </c>
      <c r="P8490">
        <v>0</v>
      </c>
      <c r="Q8490">
        <v>5</v>
      </c>
      <c r="R8490" t="s">
        <v>45104</v>
      </c>
      <c r="S8490" t="s">
        <v>45304</v>
      </c>
      <c r="T8490" t="s">
        <v>47000</v>
      </c>
      <c r="U8490" t="s">
        <v>48547</v>
      </c>
      <c r="V8490" t="s">
        <v>60736</v>
      </c>
      <c r="W8490" t="s">
        <v>41936</v>
      </c>
      <c r="X8490" t="s">
        <v>45105</v>
      </c>
    </row>
    <row r="8491" spans="1:24">
      <c r="A8491">
        <f>HYPERLINK("https://www.philgeps.gov.ph/GEPSNONPILOT/Tender/SplashBidNoticeAbstractUI.aspx?menuIndex=3&amp;refID=7032892&amp;Result=3","7032892")</f>
        <v>0</v>
      </c>
      <c r="B8491" t="s">
        <v>709</v>
      </c>
      <c r="C8491" t="s">
        <v>11278</v>
      </c>
      <c r="D8491" t="s">
        <v>18026</v>
      </c>
      <c r="E8491" t="s">
        <v>25564</v>
      </c>
      <c r="F8491" t="s">
        <v>31574</v>
      </c>
      <c r="G8491" t="s">
        <v>31582</v>
      </c>
      <c r="H8491" t="s">
        <v>31590</v>
      </c>
      <c r="I8491" t="s">
        <v>3651</v>
      </c>
      <c r="J8491" t="s">
        <v>37116</v>
      </c>
      <c r="K8491" t="s">
        <v>41190</v>
      </c>
      <c r="M8491" t="s">
        <v>42219</v>
      </c>
      <c r="N8491" t="s">
        <v>45095</v>
      </c>
      <c r="O8491" t="s">
        <v>45096</v>
      </c>
      <c r="P8491">
        <v>0</v>
      </c>
      <c r="Q8491">
        <v>0</v>
      </c>
      <c r="R8491" t="s">
        <v>45104</v>
      </c>
      <c r="S8491" t="s">
        <v>45304</v>
      </c>
      <c r="T8491" t="s">
        <v>46918</v>
      </c>
      <c r="U8491" t="s">
        <v>54530</v>
      </c>
      <c r="W8491" t="s">
        <v>42219</v>
      </c>
      <c r="X8491" t="s">
        <v>45105</v>
      </c>
    </row>
    <row r="8492" spans="1:24">
      <c r="A8492">
        <f>HYPERLINK("https://www.philgeps.gov.ph/GEPSNONPILOT/Tender/SplashBidNoticeAbstractUI.aspx?menuIndex=3&amp;refID=7032899&amp;Result=3","7032899")</f>
        <v>0</v>
      </c>
      <c r="B8492" t="s">
        <v>31</v>
      </c>
      <c r="C8492" t="s">
        <v>11295</v>
      </c>
      <c r="E8492" t="s">
        <v>25565</v>
      </c>
      <c r="F8492" t="s">
        <v>31574</v>
      </c>
      <c r="G8492" t="s">
        <v>31581</v>
      </c>
      <c r="H8492" t="s">
        <v>31590</v>
      </c>
      <c r="I8492" t="s">
        <v>3487</v>
      </c>
      <c r="J8492" t="s">
        <v>35676</v>
      </c>
      <c r="K8492" t="s">
        <v>41193</v>
      </c>
      <c r="M8492" t="s">
        <v>41518</v>
      </c>
      <c r="N8492" t="s">
        <v>45095</v>
      </c>
      <c r="O8492" t="s">
        <v>45096</v>
      </c>
      <c r="P8492">
        <v>0</v>
      </c>
      <c r="Q8492">
        <v>4</v>
      </c>
      <c r="R8492" t="s">
        <v>45104</v>
      </c>
      <c r="S8492" t="s">
        <v>45304</v>
      </c>
      <c r="T8492" t="s">
        <v>47183</v>
      </c>
      <c r="U8492" t="s">
        <v>54508</v>
      </c>
      <c r="W8492" t="s">
        <v>41518</v>
      </c>
      <c r="X8492" t="s">
        <v>45105</v>
      </c>
    </row>
    <row r="8493" spans="1:24">
      <c r="A8493">
        <f>HYPERLINK("https://www.philgeps.gov.ph/GEPSNONPILOT/Tender/SplashBidNoticeAbstractUI.aspx?menuIndex=3&amp;refID=7032844&amp;Result=3","7032844")</f>
        <v>0</v>
      </c>
      <c r="B8493" t="s">
        <v>2078</v>
      </c>
      <c r="C8493" t="s">
        <v>11296</v>
      </c>
      <c r="D8493" t="s">
        <v>18072</v>
      </c>
      <c r="E8493" t="s">
        <v>25566</v>
      </c>
      <c r="F8493" t="s">
        <v>31574</v>
      </c>
      <c r="G8493" t="s">
        <v>31582</v>
      </c>
      <c r="H8493" t="s">
        <v>31590</v>
      </c>
      <c r="I8493" t="s">
        <v>4046</v>
      </c>
      <c r="J8493" t="s">
        <v>37117</v>
      </c>
      <c r="K8493" t="s">
        <v>41186</v>
      </c>
      <c r="M8493" t="s">
        <v>43753</v>
      </c>
      <c r="N8493" t="s">
        <v>45095</v>
      </c>
      <c r="O8493" t="s">
        <v>45096</v>
      </c>
      <c r="P8493">
        <v>0</v>
      </c>
      <c r="Q8493">
        <v>0</v>
      </c>
      <c r="R8493" t="s">
        <v>45104</v>
      </c>
      <c r="S8493" t="s">
        <v>45304</v>
      </c>
      <c r="T8493" t="s">
        <v>47064</v>
      </c>
      <c r="U8493" t="s">
        <v>54531</v>
      </c>
      <c r="W8493" t="s">
        <v>43753</v>
      </c>
      <c r="X8493" t="s">
        <v>45105</v>
      </c>
    </row>
    <row r="8494" spans="1:24">
      <c r="A8494">
        <f>HYPERLINK("https://www.philgeps.gov.ph/GEPSNONPILOT/Tender/SplashBidNoticeAbstractUI.aspx?menuIndex=3&amp;refID=7032889&amp;Result=3","7032889")</f>
        <v>0</v>
      </c>
      <c r="B8494" t="s">
        <v>229</v>
      </c>
      <c r="C8494" t="s">
        <v>11297</v>
      </c>
      <c r="D8494" t="s">
        <v>18032</v>
      </c>
      <c r="E8494" t="s">
        <v>25567</v>
      </c>
      <c r="F8494" t="s">
        <v>31574</v>
      </c>
      <c r="G8494" t="s">
        <v>31581</v>
      </c>
      <c r="H8494" t="s">
        <v>31590</v>
      </c>
      <c r="I8494" t="s">
        <v>31608</v>
      </c>
      <c r="J8494" t="s">
        <v>37118</v>
      </c>
      <c r="K8494" t="s">
        <v>41186</v>
      </c>
      <c r="M8494" t="s">
        <v>41714</v>
      </c>
      <c r="N8494" t="s">
        <v>45095</v>
      </c>
      <c r="O8494" t="s">
        <v>45096</v>
      </c>
      <c r="P8494">
        <v>0</v>
      </c>
      <c r="Q8494">
        <v>3</v>
      </c>
      <c r="R8494" t="s">
        <v>45104</v>
      </c>
      <c r="S8494" t="s">
        <v>45304</v>
      </c>
      <c r="T8494" t="s">
        <v>47339</v>
      </c>
      <c r="U8494" t="s">
        <v>54532</v>
      </c>
      <c r="W8494" t="s">
        <v>61657</v>
      </c>
      <c r="X8494" t="s">
        <v>45105</v>
      </c>
    </row>
    <row r="8495" spans="1:24">
      <c r="A8495">
        <f>HYPERLINK("https://www.philgeps.gov.ph/GEPSNONPILOT/Tender/SplashBidNoticeAbstractUI.aspx?menuIndex=3&amp;refID=7032946&amp;Result=3","7032946")</f>
        <v>0</v>
      </c>
      <c r="B8495" t="s">
        <v>709</v>
      </c>
      <c r="C8495" t="s">
        <v>11298</v>
      </c>
      <c r="D8495" t="s">
        <v>18026</v>
      </c>
      <c r="E8495" t="s">
        <v>25568</v>
      </c>
      <c r="F8495" t="s">
        <v>31574</v>
      </c>
      <c r="G8495" t="s">
        <v>31582</v>
      </c>
      <c r="H8495" t="s">
        <v>31590</v>
      </c>
      <c r="I8495" t="s">
        <v>4046</v>
      </c>
      <c r="J8495" t="s">
        <v>37119</v>
      </c>
      <c r="K8495" t="s">
        <v>41190</v>
      </c>
      <c r="M8495" t="s">
        <v>42219</v>
      </c>
      <c r="N8495" t="s">
        <v>45095</v>
      </c>
      <c r="O8495" t="s">
        <v>45096</v>
      </c>
      <c r="P8495">
        <v>0</v>
      </c>
      <c r="Q8495">
        <v>1</v>
      </c>
      <c r="R8495" t="s">
        <v>45104</v>
      </c>
      <c r="S8495" t="s">
        <v>45304</v>
      </c>
      <c r="T8495" t="s">
        <v>46918</v>
      </c>
      <c r="U8495" t="s">
        <v>54533</v>
      </c>
      <c r="W8495" t="s">
        <v>42219</v>
      </c>
      <c r="X8495" t="s">
        <v>45105</v>
      </c>
    </row>
    <row r="8496" spans="1:24">
      <c r="A8496">
        <f>HYPERLINK("https://www.philgeps.gov.ph/GEPSNONPILOT/Tender/SplashBidNoticeAbstractUI.aspx?menuIndex=3&amp;refID=7032923&amp;Result=3","7032923")</f>
        <v>0</v>
      </c>
      <c r="B8496" t="s">
        <v>709</v>
      </c>
      <c r="C8496" t="s">
        <v>11299</v>
      </c>
      <c r="D8496" t="s">
        <v>18026</v>
      </c>
      <c r="E8496" t="s">
        <v>25569</v>
      </c>
      <c r="F8496" t="s">
        <v>31574</v>
      </c>
      <c r="G8496" t="s">
        <v>31582</v>
      </c>
      <c r="H8496" t="s">
        <v>31590</v>
      </c>
      <c r="I8496" t="s">
        <v>3873</v>
      </c>
      <c r="J8496" t="s">
        <v>37120</v>
      </c>
      <c r="K8496" t="s">
        <v>41190</v>
      </c>
      <c r="M8496" t="s">
        <v>42219</v>
      </c>
      <c r="N8496" t="s">
        <v>45095</v>
      </c>
      <c r="O8496" t="s">
        <v>45096</v>
      </c>
      <c r="P8496">
        <v>0</v>
      </c>
      <c r="Q8496">
        <v>0</v>
      </c>
      <c r="R8496" t="s">
        <v>45104</v>
      </c>
      <c r="S8496" t="s">
        <v>45304</v>
      </c>
      <c r="T8496" t="s">
        <v>46918</v>
      </c>
      <c r="U8496" t="s">
        <v>54534</v>
      </c>
      <c r="W8496" t="s">
        <v>42219</v>
      </c>
      <c r="X8496" t="s">
        <v>45105</v>
      </c>
    </row>
    <row r="8497" spans="1:24">
      <c r="A8497">
        <f>HYPERLINK("https://www.philgeps.gov.ph/GEPSNONPILOT/Tender/SplashBidNoticeAbstractUI.aspx?menuIndex=3&amp;refID=7032927&amp;Result=3","7032927")</f>
        <v>0</v>
      </c>
      <c r="B8497" t="s">
        <v>1418</v>
      </c>
      <c r="C8497" t="s">
        <v>11300</v>
      </c>
      <c r="D8497" t="s">
        <v>18061</v>
      </c>
      <c r="E8497" t="s">
        <v>25570</v>
      </c>
      <c r="F8497" t="s">
        <v>31574</v>
      </c>
      <c r="G8497" t="s">
        <v>31582</v>
      </c>
      <c r="H8497" t="s">
        <v>31590</v>
      </c>
      <c r="I8497" t="s">
        <v>6800</v>
      </c>
      <c r="J8497" t="s">
        <v>37121</v>
      </c>
      <c r="K8497" t="s">
        <v>41192</v>
      </c>
      <c r="M8497" t="s">
        <v>42994</v>
      </c>
      <c r="N8497" t="s">
        <v>45095</v>
      </c>
      <c r="O8497" t="s">
        <v>45096</v>
      </c>
      <c r="P8497">
        <v>0</v>
      </c>
      <c r="Q8497">
        <v>0</v>
      </c>
      <c r="R8497" t="s">
        <v>45104</v>
      </c>
      <c r="S8497" t="s">
        <v>45304</v>
      </c>
      <c r="T8497" t="s">
        <v>47159</v>
      </c>
      <c r="U8497" t="s">
        <v>54535</v>
      </c>
      <c r="W8497" t="s">
        <v>42994</v>
      </c>
      <c r="X8497" t="s">
        <v>45105</v>
      </c>
    </row>
    <row r="8498" spans="1:24">
      <c r="A8498">
        <f>HYPERLINK("https://www.philgeps.gov.ph/GEPSNONPILOT/Tender/SplashBidNoticeAbstractUI.aspx?menuIndex=3&amp;refID=7032885&amp;Result=3","7032885")</f>
        <v>0</v>
      </c>
      <c r="B8498" t="s">
        <v>2078</v>
      </c>
      <c r="C8498" t="s">
        <v>11301</v>
      </c>
      <c r="D8498" t="s">
        <v>18072</v>
      </c>
      <c r="E8498" t="s">
        <v>25571</v>
      </c>
      <c r="F8498" t="s">
        <v>31574</v>
      </c>
      <c r="G8498" t="s">
        <v>31582</v>
      </c>
      <c r="H8498" t="s">
        <v>31590</v>
      </c>
      <c r="I8498" t="s">
        <v>4046</v>
      </c>
      <c r="J8498" t="s">
        <v>37122</v>
      </c>
      <c r="K8498" t="s">
        <v>41186</v>
      </c>
      <c r="M8498" t="s">
        <v>43753</v>
      </c>
      <c r="N8498" t="s">
        <v>45095</v>
      </c>
      <c r="O8498" t="s">
        <v>45096</v>
      </c>
      <c r="P8498">
        <v>0</v>
      </c>
      <c r="Q8498">
        <v>0</v>
      </c>
      <c r="R8498" t="s">
        <v>45104</v>
      </c>
      <c r="S8498" t="s">
        <v>45304</v>
      </c>
      <c r="T8498" t="s">
        <v>47064</v>
      </c>
      <c r="U8498" t="s">
        <v>54536</v>
      </c>
      <c r="W8498" t="s">
        <v>43753</v>
      </c>
      <c r="X8498" t="s">
        <v>45105</v>
      </c>
    </row>
    <row r="8499" spans="1:24">
      <c r="A8499">
        <f>HYPERLINK("https://www.philgeps.gov.ph/GEPSNONPILOT/Tender/SplashBidNoticeAbstractUI.aspx?menuIndex=3&amp;refID=7032943&amp;Result=3","7032943")</f>
        <v>0</v>
      </c>
      <c r="B8499" t="s">
        <v>199</v>
      </c>
      <c r="C8499" t="s">
        <v>11302</v>
      </c>
      <c r="D8499" t="s">
        <v>18053</v>
      </c>
      <c r="E8499" t="s">
        <v>25572</v>
      </c>
      <c r="F8499" t="s">
        <v>31574</v>
      </c>
      <c r="G8499" t="s">
        <v>31581</v>
      </c>
      <c r="H8499" t="s">
        <v>31590</v>
      </c>
      <c r="I8499" t="s">
        <v>3651</v>
      </c>
      <c r="J8499" t="s">
        <v>32553</v>
      </c>
      <c r="K8499" t="s">
        <v>41186</v>
      </c>
      <c r="M8499" t="s">
        <v>41684</v>
      </c>
      <c r="N8499" t="s">
        <v>45095</v>
      </c>
      <c r="O8499" t="s">
        <v>45096</v>
      </c>
      <c r="P8499">
        <v>0</v>
      </c>
      <c r="Q8499">
        <v>0</v>
      </c>
      <c r="R8499" t="s">
        <v>45104</v>
      </c>
      <c r="S8499" t="s">
        <v>45304</v>
      </c>
      <c r="T8499" t="s">
        <v>47183</v>
      </c>
      <c r="U8499" t="s">
        <v>54537</v>
      </c>
      <c r="W8499" t="s">
        <v>41684</v>
      </c>
      <c r="X8499" t="s">
        <v>45105</v>
      </c>
    </row>
    <row r="8500" spans="1:24">
      <c r="A8500">
        <f>HYPERLINK("https://www.philgeps.gov.ph/GEPSNONPILOT/Tender/SplashBidNoticeAbstractUI.aspx?menuIndex=3&amp;refID=7032845&amp;Result=3","7032845")</f>
        <v>0</v>
      </c>
      <c r="B8500" t="s">
        <v>2381</v>
      </c>
      <c r="C8500" t="s">
        <v>11303</v>
      </c>
      <c r="D8500" t="s">
        <v>18108</v>
      </c>
      <c r="E8500" t="s">
        <v>25573</v>
      </c>
      <c r="F8500" t="s">
        <v>31574</v>
      </c>
      <c r="G8500" t="s">
        <v>31582</v>
      </c>
      <c r="H8500" t="s">
        <v>31590</v>
      </c>
      <c r="I8500" t="s">
        <v>31601</v>
      </c>
      <c r="J8500" t="s">
        <v>34858</v>
      </c>
      <c r="K8500" t="s">
        <v>41198</v>
      </c>
      <c r="M8500" t="s">
        <v>44105</v>
      </c>
      <c r="N8500" t="s">
        <v>45095</v>
      </c>
      <c r="O8500" t="s">
        <v>45096</v>
      </c>
      <c r="P8500">
        <v>0</v>
      </c>
      <c r="Q8500">
        <v>9</v>
      </c>
      <c r="R8500" t="s">
        <v>45104</v>
      </c>
      <c r="S8500" t="s">
        <v>45304</v>
      </c>
      <c r="T8500" t="s">
        <v>46992</v>
      </c>
      <c r="U8500" t="s">
        <v>54538</v>
      </c>
      <c r="W8500" t="s">
        <v>44105</v>
      </c>
      <c r="X8500" t="s">
        <v>45105</v>
      </c>
    </row>
    <row r="8501" spans="1:24">
      <c r="A8501">
        <f>HYPERLINK("https://www.philgeps.gov.ph/GEPSNONPILOT/Tender/SplashBidNoticeAbstractUI.aspx?menuIndex=3&amp;refID=7032942&amp;Result=3","7032942")</f>
        <v>0</v>
      </c>
      <c r="B8501" t="s">
        <v>2382</v>
      </c>
      <c r="C8501" t="s">
        <v>11304</v>
      </c>
      <c r="D8501" t="s">
        <v>18078</v>
      </c>
      <c r="E8501" t="s">
        <v>25574</v>
      </c>
      <c r="F8501" t="s">
        <v>31574</v>
      </c>
      <c r="G8501" t="s">
        <v>31582</v>
      </c>
      <c r="H8501" t="s">
        <v>31591</v>
      </c>
      <c r="I8501" t="s">
        <v>8822</v>
      </c>
      <c r="J8501" t="s">
        <v>37123</v>
      </c>
      <c r="K8501" t="s">
        <v>41192</v>
      </c>
      <c r="M8501" t="s">
        <v>44106</v>
      </c>
      <c r="N8501" t="s">
        <v>45095</v>
      </c>
      <c r="O8501" t="s">
        <v>45096</v>
      </c>
      <c r="P8501">
        <v>0</v>
      </c>
      <c r="Q8501">
        <v>0</v>
      </c>
      <c r="R8501" t="s">
        <v>45104</v>
      </c>
      <c r="S8501" t="s">
        <v>45304</v>
      </c>
      <c r="T8501" t="s">
        <v>46985</v>
      </c>
      <c r="U8501" t="s">
        <v>54539</v>
      </c>
      <c r="W8501" t="s">
        <v>44106</v>
      </c>
      <c r="X8501" t="s">
        <v>45105</v>
      </c>
    </row>
    <row r="8502" spans="1:24">
      <c r="A8502">
        <f>HYPERLINK("https://www.philgeps.gov.ph/GEPSNONPILOT/Tender/SplashBidNoticeAbstractUI.aspx?menuIndex=3&amp;refID=7032970&amp;Result=3","7032970")</f>
        <v>0</v>
      </c>
      <c r="B8502" t="s">
        <v>709</v>
      </c>
      <c r="C8502" t="s">
        <v>11305</v>
      </c>
      <c r="D8502" t="s">
        <v>18026</v>
      </c>
      <c r="E8502" t="s">
        <v>25575</v>
      </c>
      <c r="F8502" t="s">
        <v>31574</v>
      </c>
      <c r="G8502" t="s">
        <v>31582</v>
      </c>
      <c r="H8502" t="s">
        <v>31590</v>
      </c>
      <c r="I8502" t="s">
        <v>4046</v>
      </c>
      <c r="J8502" t="s">
        <v>37124</v>
      </c>
      <c r="K8502" t="s">
        <v>41190</v>
      </c>
      <c r="M8502" t="s">
        <v>42219</v>
      </c>
      <c r="N8502" t="s">
        <v>45095</v>
      </c>
      <c r="O8502" t="s">
        <v>45096</v>
      </c>
      <c r="P8502">
        <v>0</v>
      </c>
      <c r="Q8502">
        <v>1</v>
      </c>
      <c r="R8502" t="s">
        <v>45104</v>
      </c>
      <c r="S8502" t="s">
        <v>45304</v>
      </c>
      <c r="T8502" t="s">
        <v>46918</v>
      </c>
      <c r="U8502" t="s">
        <v>54540</v>
      </c>
      <c r="W8502" t="s">
        <v>42219</v>
      </c>
      <c r="X8502" t="s">
        <v>45105</v>
      </c>
    </row>
    <row r="8503" spans="1:24">
      <c r="A8503">
        <f>HYPERLINK("https://www.philgeps.gov.ph/GEPSNONPILOT/Tender/SplashBidNoticeAbstractUI.aspx?menuIndex=3&amp;refID=7033003&amp;Result=3","7033003")</f>
        <v>0</v>
      </c>
      <c r="B8503" t="s">
        <v>2383</v>
      </c>
      <c r="C8503" t="s">
        <v>11306</v>
      </c>
      <c r="D8503" t="s">
        <v>18087</v>
      </c>
      <c r="E8503" t="s">
        <v>25576</v>
      </c>
      <c r="F8503" t="s">
        <v>31574</v>
      </c>
      <c r="G8503" t="s">
        <v>31582</v>
      </c>
      <c r="H8503" t="s">
        <v>31590</v>
      </c>
      <c r="I8503" t="s">
        <v>14544</v>
      </c>
      <c r="J8503" t="s">
        <v>32746</v>
      </c>
      <c r="K8503" t="s">
        <v>41190</v>
      </c>
      <c r="M8503" t="s">
        <v>44107</v>
      </c>
      <c r="N8503" t="s">
        <v>45095</v>
      </c>
      <c r="O8503" t="s">
        <v>45096</v>
      </c>
      <c r="P8503">
        <v>0</v>
      </c>
      <c r="Q8503">
        <v>0</v>
      </c>
      <c r="R8503" t="s">
        <v>45104</v>
      </c>
      <c r="S8503" t="s">
        <v>45304</v>
      </c>
      <c r="T8503" t="s">
        <v>47159</v>
      </c>
      <c r="U8503" t="s">
        <v>54541</v>
      </c>
      <c r="W8503" t="s">
        <v>44107</v>
      </c>
      <c r="X8503" t="s">
        <v>45105</v>
      </c>
    </row>
    <row r="8504" spans="1:24">
      <c r="A8504">
        <f>HYPERLINK("https://www.philgeps.gov.ph/GEPSNONPILOT/Tender/SplashBidNoticeAbstractUI.aspx?menuIndex=3&amp;refID=7032852&amp;Result=3","7032852")</f>
        <v>0</v>
      </c>
      <c r="B8504" t="s">
        <v>2383</v>
      </c>
      <c r="C8504" t="s">
        <v>11307</v>
      </c>
      <c r="D8504" t="s">
        <v>18087</v>
      </c>
      <c r="E8504" t="s">
        <v>25577</v>
      </c>
      <c r="F8504" t="s">
        <v>31574</v>
      </c>
      <c r="G8504" t="s">
        <v>31582</v>
      </c>
      <c r="H8504" t="s">
        <v>31590</v>
      </c>
      <c r="I8504" t="s">
        <v>31616</v>
      </c>
      <c r="J8504" t="s">
        <v>31947</v>
      </c>
      <c r="K8504" t="s">
        <v>41190</v>
      </c>
      <c r="M8504" t="s">
        <v>44107</v>
      </c>
      <c r="N8504" t="s">
        <v>45095</v>
      </c>
      <c r="O8504" t="s">
        <v>45096</v>
      </c>
      <c r="P8504">
        <v>0</v>
      </c>
      <c r="Q8504">
        <v>3</v>
      </c>
      <c r="R8504" t="s">
        <v>45104</v>
      </c>
      <c r="S8504" t="s">
        <v>45304</v>
      </c>
      <c r="T8504" t="s">
        <v>47159</v>
      </c>
      <c r="U8504" t="s">
        <v>54542</v>
      </c>
      <c r="W8504" t="s">
        <v>44107</v>
      </c>
      <c r="X8504" t="s">
        <v>45105</v>
      </c>
    </row>
    <row r="8505" spans="1:24">
      <c r="A8505">
        <f>HYPERLINK("https://www.philgeps.gov.ph/GEPSNONPILOT/Tender/SplashBidNoticeAbstractUI.aspx?menuIndex=3&amp;refID=7033001&amp;Result=3","7033001")</f>
        <v>0</v>
      </c>
      <c r="B8505" t="s">
        <v>58</v>
      </c>
      <c r="C8505" t="s">
        <v>11308</v>
      </c>
      <c r="D8505" t="s">
        <v>18047</v>
      </c>
      <c r="E8505" t="s">
        <v>25578</v>
      </c>
      <c r="F8505" t="s">
        <v>31574</v>
      </c>
      <c r="G8505" t="s">
        <v>31582</v>
      </c>
      <c r="H8505" t="s">
        <v>31590</v>
      </c>
      <c r="I8505" t="s">
        <v>31602</v>
      </c>
      <c r="J8505" t="s">
        <v>31789</v>
      </c>
      <c r="K8505" t="s">
        <v>41193</v>
      </c>
      <c r="M8505" t="s">
        <v>41542</v>
      </c>
      <c r="N8505" t="s">
        <v>45095</v>
      </c>
      <c r="O8505" t="s">
        <v>45096</v>
      </c>
      <c r="P8505">
        <v>0</v>
      </c>
      <c r="Q8505">
        <v>0</v>
      </c>
      <c r="R8505" t="s">
        <v>45104</v>
      </c>
      <c r="S8505" t="s">
        <v>45304</v>
      </c>
      <c r="T8505" t="s">
        <v>47340</v>
      </c>
      <c r="U8505" t="s">
        <v>54543</v>
      </c>
      <c r="V8505" t="s">
        <v>59855</v>
      </c>
      <c r="W8505" t="s">
        <v>41542</v>
      </c>
      <c r="X8505" t="s">
        <v>45105</v>
      </c>
    </row>
    <row r="8506" spans="1:24">
      <c r="A8506">
        <f>HYPERLINK("https://www.philgeps.gov.ph/GEPSNONPILOT/Tender/SplashBidNoticeAbstractUI.aspx?menuIndex=3&amp;refID=7032979&amp;Result=3","7032979")</f>
        <v>0</v>
      </c>
      <c r="B8506" t="s">
        <v>2384</v>
      </c>
      <c r="C8506" t="s">
        <v>11309</v>
      </c>
      <c r="D8506" t="s">
        <v>18079</v>
      </c>
      <c r="E8506" t="s">
        <v>23335</v>
      </c>
      <c r="F8506" t="s">
        <v>31574</v>
      </c>
      <c r="G8506" t="s">
        <v>31582</v>
      </c>
      <c r="H8506" t="s">
        <v>31590</v>
      </c>
      <c r="I8506" t="s">
        <v>14544</v>
      </c>
      <c r="J8506" t="s">
        <v>37125</v>
      </c>
      <c r="K8506" t="s">
        <v>41186</v>
      </c>
      <c r="M8506" t="s">
        <v>44108</v>
      </c>
      <c r="N8506" t="s">
        <v>45095</v>
      </c>
      <c r="O8506" t="s">
        <v>45096</v>
      </c>
      <c r="P8506">
        <v>0</v>
      </c>
      <c r="Q8506">
        <v>1</v>
      </c>
      <c r="R8506" t="s">
        <v>45104</v>
      </c>
      <c r="S8506" t="s">
        <v>45304</v>
      </c>
      <c r="T8506" t="s">
        <v>47124</v>
      </c>
      <c r="U8506" t="s">
        <v>54544</v>
      </c>
      <c r="W8506" t="s">
        <v>44108</v>
      </c>
      <c r="X8506" t="s">
        <v>45105</v>
      </c>
    </row>
    <row r="8507" spans="1:24">
      <c r="A8507">
        <f>HYPERLINK("https://www.philgeps.gov.ph/GEPSNONPILOT/Tender/SplashBidNoticeAbstractUI.aspx?menuIndex=3&amp;refID=7033002&amp;Result=3","7033002")</f>
        <v>0</v>
      </c>
      <c r="B8507" t="s">
        <v>73</v>
      </c>
      <c r="C8507" t="s">
        <v>11310</v>
      </c>
      <c r="D8507" t="s">
        <v>18041</v>
      </c>
      <c r="E8507" t="s">
        <v>25579</v>
      </c>
      <c r="F8507" t="s">
        <v>31574</v>
      </c>
      <c r="G8507" t="s">
        <v>31582</v>
      </c>
      <c r="H8507" t="s">
        <v>31590</v>
      </c>
      <c r="I8507" t="s">
        <v>7185</v>
      </c>
      <c r="J8507" t="s">
        <v>37126</v>
      </c>
      <c r="K8507" t="s">
        <v>41184</v>
      </c>
      <c r="M8507" t="s">
        <v>41557</v>
      </c>
      <c r="N8507" t="s">
        <v>45095</v>
      </c>
      <c r="O8507" t="s">
        <v>45096</v>
      </c>
      <c r="P8507">
        <v>0</v>
      </c>
      <c r="Q8507">
        <v>1</v>
      </c>
      <c r="R8507" t="s">
        <v>45104</v>
      </c>
      <c r="S8507" t="s">
        <v>45304</v>
      </c>
      <c r="T8507" t="s">
        <v>47197</v>
      </c>
      <c r="U8507" t="s">
        <v>54545</v>
      </c>
      <c r="V8507" t="s">
        <v>59867</v>
      </c>
      <c r="W8507" t="s">
        <v>41557</v>
      </c>
      <c r="X8507" t="s">
        <v>45105</v>
      </c>
    </row>
    <row r="8508" spans="1:24">
      <c r="A8508">
        <f>HYPERLINK("https://www.philgeps.gov.ph/GEPSNONPILOT/Tender/SplashBidNoticeAbstractUI.aspx?menuIndex=3&amp;refID=7032969&amp;Result=3","7032969")</f>
        <v>0</v>
      </c>
      <c r="B8508" t="s">
        <v>240</v>
      </c>
      <c r="C8508" t="s">
        <v>11311</v>
      </c>
      <c r="D8508" t="s">
        <v>18036</v>
      </c>
      <c r="E8508" t="s">
        <v>25580</v>
      </c>
      <c r="F8508" t="s">
        <v>31574</v>
      </c>
      <c r="G8508" t="s">
        <v>31582</v>
      </c>
      <c r="H8508" t="s">
        <v>31590</v>
      </c>
      <c r="I8508" t="s">
        <v>4046</v>
      </c>
      <c r="J8508" t="s">
        <v>32156</v>
      </c>
      <c r="K8508" t="s">
        <v>41184</v>
      </c>
      <c r="M8508" t="s">
        <v>41726</v>
      </c>
      <c r="N8508" t="s">
        <v>45095</v>
      </c>
      <c r="O8508" t="s">
        <v>45096</v>
      </c>
      <c r="P8508">
        <v>0</v>
      </c>
      <c r="Q8508">
        <v>0</v>
      </c>
      <c r="R8508" t="s">
        <v>45104</v>
      </c>
      <c r="S8508" t="s">
        <v>45304</v>
      </c>
      <c r="T8508" t="s">
        <v>47162</v>
      </c>
      <c r="U8508" t="s">
        <v>54546</v>
      </c>
      <c r="W8508" t="s">
        <v>41726</v>
      </c>
      <c r="X8508" t="s">
        <v>45105</v>
      </c>
    </row>
    <row r="8509" spans="1:24">
      <c r="A8509">
        <f>HYPERLINK("https://www.philgeps.gov.ph/GEPSNONPILOT/Tender/SplashBidNoticeAbstractUI.aspx?menuIndex=3&amp;refID=7032890&amp;Result=3","7032890")</f>
        <v>0</v>
      </c>
      <c r="B8509" t="s">
        <v>119</v>
      </c>
      <c r="C8509" t="s">
        <v>11312</v>
      </c>
      <c r="D8509" t="s">
        <v>18052</v>
      </c>
      <c r="E8509" t="s">
        <v>25581</v>
      </c>
      <c r="F8509" t="s">
        <v>31574</v>
      </c>
      <c r="G8509" t="s">
        <v>31581</v>
      </c>
      <c r="H8509" t="s">
        <v>31590</v>
      </c>
      <c r="I8509" t="s">
        <v>31667</v>
      </c>
      <c r="J8509" t="s">
        <v>37127</v>
      </c>
      <c r="K8509" t="s">
        <v>41197</v>
      </c>
      <c r="L8509" t="s">
        <v>119</v>
      </c>
      <c r="M8509" t="s">
        <v>41603</v>
      </c>
      <c r="N8509" t="s">
        <v>45095</v>
      </c>
      <c r="O8509" t="s">
        <v>45096</v>
      </c>
      <c r="P8509">
        <v>0</v>
      </c>
      <c r="Q8509">
        <v>0</v>
      </c>
      <c r="R8509" t="s">
        <v>45104</v>
      </c>
      <c r="S8509" t="s">
        <v>45304</v>
      </c>
      <c r="T8509" t="s">
        <v>47154</v>
      </c>
      <c r="U8509" t="s">
        <v>54547</v>
      </c>
      <c r="W8509" t="s">
        <v>41603</v>
      </c>
      <c r="X8509" t="s">
        <v>45105</v>
      </c>
    </row>
    <row r="8510" spans="1:24">
      <c r="A8510">
        <f>HYPERLINK("https://www.philgeps.gov.ph/GEPSNONPILOT/Tender/SplashBidNoticeAbstractUI.aspx?menuIndex=3&amp;refID=7032856&amp;Result=3","7032856")</f>
        <v>0</v>
      </c>
      <c r="B8510" t="s">
        <v>2385</v>
      </c>
      <c r="C8510" t="s">
        <v>11313</v>
      </c>
      <c r="D8510" t="s">
        <v>18083</v>
      </c>
      <c r="E8510" t="s">
        <v>24180</v>
      </c>
      <c r="F8510" t="s">
        <v>31574</v>
      </c>
      <c r="G8510" t="s">
        <v>31582</v>
      </c>
      <c r="H8510" t="s">
        <v>31591</v>
      </c>
      <c r="I8510" t="s">
        <v>8822</v>
      </c>
      <c r="J8510" t="s">
        <v>37128</v>
      </c>
      <c r="K8510" t="s">
        <v>41372</v>
      </c>
      <c r="M8510" t="s">
        <v>44109</v>
      </c>
      <c r="N8510" t="s">
        <v>45095</v>
      </c>
      <c r="O8510" t="s">
        <v>45096</v>
      </c>
      <c r="P8510">
        <v>0</v>
      </c>
      <c r="Q8510">
        <v>0</v>
      </c>
      <c r="R8510" t="s">
        <v>45104</v>
      </c>
      <c r="S8510" t="s">
        <v>45304</v>
      </c>
      <c r="T8510" t="s">
        <v>47158</v>
      </c>
      <c r="U8510" t="s">
        <v>54548</v>
      </c>
      <c r="W8510" t="s">
        <v>44109</v>
      </c>
      <c r="X8510" t="s">
        <v>45105</v>
      </c>
    </row>
    <row r="8511" spans="1:24">
      <c r="A8511">
        <f>HYPERLINK("https://www.philgeps.gov.ph/GEPSNONPILOT/Tender/SplashBidNoticeAbstractUI.aspx?menuIndex=3&amp;refID=7032997&amp;Result=3","7032997")</f>
        <v>0</v>
      </c>
      <c r="B8511" t="s">
        <v>709</v>
      </c>
      <c r="C8511" t="s">
        <v>11314</v>
      </c>
      <c r="D8511" t="s">
        <v>18026</v>
      </c>
      <c r="E8511" t="s">
        <v>25582</v>
      </c>
      <c r="F8511" t="s">
        <v>31574</v>
      </c>
      <c r="G8511" t="s">
        <v>31582</v>
      </c>
      <c r="H8511" t="s">
        <v>31590</v>
      </c>
      <c r="I8511" t="s">
        <v>4046</v>
      </c>
      <c r="J8511" t="s">
        <v>37129</v>
      </c>
      <c r="K8511" t="s">
        <v>41190</v>
      </c>
      <c r="M8511" t="s">
        <v>42219</v>
      </c>
      <c r="N8511" t="s">
        <v>45095</v>
      </c>
      <c r="O8511" t="s">
        <v>45096</v>
      </c>
      <c r="P8511">
        <v>0</v>
      </c>
      <c r="Q8511">
        <v>0</v>
      </c>
      <c r="R8511" t="s">
        <v>45104</v>
      </c>
      <c r="S8511" t="s">
        <v>45304</v>
      </c>
      <c r="T8511" t="s">
        <v>46918</v>
      </c>
      <c r="U8511" t="s">
        <v>54549</v>
      </c>
      <c r="W8511" t="s">
        <v>42219</v>
      </c>
      <c r="X8511" t="s">
        <v>45105</v>
      </c>
    </row>
    <row r="8512" spans="1:24">
      <c r="A8512">
        <f>HYPERLINK("https://www.philgeps.gov.ph/GEPSNONPILOT/Tender/SplashBidNoticeAbstractUI.aspx?menuIndex=3&amp;refID=7032987&amp;Result=3","7032987")</f>
        <v>0</v>
      </c>
      <c r="B8512" t="s">
        <v>73</v>
      </c>
      <c r="C8512" t="s">
        <v>11315</v>
      </c>
      <c r="D8512" t="s">
        <v>18041</v>
      </c>
      <c r="E8512" t="s">
        <v>25583</v>
      </c>
      <c r="F8512" t="s">
        <v>31574</v>
      </c>
      <c r="G8512" t="s">
        <v>31582</v>
      </c>
      <c r="H8512" t="s">
        <v>31590</v>
      </c>
      <c r="I8512" t="s">
        <v>8258</v>
      </c>
      <c r="J8512" t="s">
        <v>35162</v>
      </c>
      <c r="K8512" t="s">
        <v>41184</v>
      </c>
      <c r="M8512" t="s">
        <v>41557</v>
      </c>
      <c r="N8512" t="s">
        <v>45095</v>
      </c>
      <c r="O8512" t="s">
        <v>45096</v>
      </c>
      <c r="P8512">
        <v>0</v>
      </c>
      <c r="Q8512">
        <v>4</v>
      </c>
      <c r="R8512" t="s">
        <v>45104</v>
      </c>
      <c r="S8512" t="s">
        <v>45304</v>
      </c>
      <c r="T8512" t="s">
        <v>47197</v>
      </c>
      <c r="U8512" t="s">
        <v>54550</v>
      </c>
      <c r="V8512" t="s">
        <v>59867</v>
      </c>
      <c r="W8512" t="s">
        <v>41557</v>
      </c>
      <c r="X8512" t="s">
        <v>45105</v>
      </c>
    </row>
    <row r="8513" spans="1:24">
      <c r="A8513">
        <f>HYPERLINK("https://www.philgeps.gov.ph/GEPSNONPILOT/Tender/SplashBidNoticeAbstractUI.aspx?menuIndex=3&amp;refID=7032963&amp;Result=3","7032963")</f>
        <v>0</v>
      </c>
      <c r="B8513" t="s">
        <v>470</v>
      </c>
      <c r="C8513" t="s">
        <v>11316</v>
      </c>
      <c r="D8513" t="s">
        <v>18022</v>
      </c>
      <c r="E8513" t="s">
        <v>25584</v>
      </c>
      <c r="F8513" t="s">
        <v>31574</v>
      </c>
      <c r="G8513" t="s">
        <v>31584</v>
      </c>
      <c r="H8513" t="s">
        <v>31590</v>
      </c>
      <c r="I8513" t="s">
        <v>31605</v>
      </c>
      <c r="J8513" t="s">
        <v>37130</v>
      </c>
      <c r="K8513" t="s">
        <v>41193</v>
      </c>
      <c r="M8513" t="s">
        <v>41964</v>
      </c>
      <c r="N8513" t="s">
        <v>45095</v>
      </c>
      <c r="O8513" t="s">
        <v>45096</v>
      </c>
      <c r="P8513">
        <v>0</v>
      </c>
      <c r="Q8513">
        <v>14</v>
      </c>
      <c r="R8513" t="s">
        <v>45104</v>
      </c>
      <c r="S8513" t="s">
        <v>45304</v>
      </c>
      <c r="T8513" t="s">
        <v>47183</v>
      </c>
      <c r="U8513" t="s">
        <v>54551</v>
      </c>
      <c r="W8513" t="s">
        <v>61668</v>
      </c>
      <c r="X8513" t="s">
        <v>45105</v>
      </c>
    </row>
    <row r="8514" spans="1:24">
      <c r="A8514">
        <f>HYPERLINK("https://www.philgeps.gov.ph/GEPSNONPILOT/Tender/SplashBidNoticeAbstractUI.aspx?menuIndex=3&amp;refID=7032956&amp;Result=3","7032956")</f>
        <v>0</v>
      </c>
      <c r="B8514" t="s">
        <v>2384</v>
      </c>
      <c r="C8514" t="s">
        <v>11317</v>
      </c>
      <c r="D8514" t="s">
        <v>18079</v>
      </c>
      <c r="E8514" t="s">
        <v>23271</v>
      </c>
      <c r="F8514" t="s">
        <v>31574</v>
      </c>
      <c r="G8514" t="s">
        <v>31582</v>
      </c>
      <c r="H8514" t="s">
        <v>31590</v>
      </c>
      <c r="I8514" t="s">
        <v>31602</v>
      </c>
      <c r="J8514" t="s">
        <v>37131</v>
      </c>
      <c r="K8514" t="s">
        <v>41225</v>
      </c>
      <c r="M8514" t="s">
        <v>44108</v>
      </c>
      <c r="N8514" t="s">
        <v>45095</v>
      </c>
      <c r="O8514" t="s">
        <v>45096</v>
      </c>
      <c r="P8514">
        <v>0</v>
      </c>
      <c r="Q8514">
        <v>0</v>
      </c>
      <c r="R8514" t="s">
        <v>45104</v>
      </c>
      <c r="S8514" t="s">
        <v>45304</v>
      </c>
      <c r="T8514" t="s">
        <v>47151</v>
      </c>
      <c r="U8514" t="s">
        <v>54544</v>
      </c>
      <c r="W8514" t="s">
        <v>44108</v>
      </c>
      <c r="X8514" t="s">
        <v>45105</v>
      </c>
    </row>
    <row r="8515" spans="1:24">
      <c r="A8515">
        <f>HYPERLINK("https://www.philgeps.gov.ph/GEPSNONPILOT/Tender/SplashBidNoticeAbstractUI.aspx?menuIndex=3&amp;refID=7032978&amp;Result=3","7032978")</f>
        <v>0</v>
      </c>
      <c r="B8515" t="s">
        <v>2381</v>
      </c>
      <c r="C8515" t="s">
        <v>11318</v>
      </c>
      <c r="D8515" t="s">
        <v>18022</v>
      </c>
      <c r="E8515" t="s">
        <v>25585</v>
      </c>
      <c r="F8515" t="s">
        <v>31574</v>
      </c>
      <c r="G8515" t="s">
        <v>31582</v>
      </c>
      <c r="H8515" t="s">
        <v>31591</v>
      </c>
      <c r="I8515" t="s">
        <v>4046</v>
      </c>
      <c r="J8515" t="s">
        <v>37132</v>
      </c>
      <c r="K8515" t="s">
        <v>41198</v>
      </c>
      <c r="M8515" t="s">
        <v>44105</v>
      </c>
      <c r="N8515" t="s">
        <v>45095</v>
      </c>
      <c r="O8515" t="s">
        <v>45096</v>
      </c>
      <c r="P8515">
        <v>0</v>
      </c>
      <c r="Q8515">
        <v>3</v>
      </c>
      <c r="R8515" t="s">
        <v>45104</v>
      </c>
      <c r="S8515" t="s">
        <v>45304</v>
      </c>
      <c r="T8515" t="s">
        <v>46992</v>
      </c>
      <c r="U8515" t="s">
        <v>54538</v>
      </c>
      <c r="W8515" t="s">
        <v>44105</v>
      </c>
      <c r="X8515" t="s">
        <v>45105</v>
      </c>
    </row>
    <row r="8516" spans="1:24">
      <c r="A8516">
        <f>HYPERLINK("https://www.philgeps.gov.ph/GEPSNONPILOT/Tender/SplashBidNoticeAbstractUI.aspx?menuIndex=3&amp;refID=7033007&amp;Result=3","7033007")</f>
        <v>0</v>
      </c>
      <c r="B8516" t="s">
        <v>1418</v>
      </c>
      <c r="C8516" t="s">
        <v>11319</v>
      </c>
      <c r="D8516" t="s">
        <v>18061</v>
      </c>
      <c r="E8516" t="s">
        <v>25586</v>
      </c>
      <c r="F8516" t="s">
        <v>31574</v>
      </c>
      <c r="G8516" t="s">
        <v>31582</v>
      </c>
      <c r="H8516" t="s">
        <v>31590</v>
      </c>
      <c r="I8516" t="s">
        <v>31608</v>
      </c>
      <c r="J8516" t="s">
        <v>31742</v>
      </c>
      <c r="K8516" t="s">
        <v>41192</v>
      </c>
      <c r="M8516" t="s">
        <v>42994</v>
      </c>
      <c r="N8516" t="s">
        <v>45095</v>
      </c>
      <c r="O8516" t="s">
        <v>45096</v>
      </c>
      <c r="P8516">
        <v>0</v>
      </c>
      <c r="Q8516">
        <v>0</v>
      </c>
      <c r="R8516" t="s">
        <v>45104</v>
      </c>
      <c r="S8516" t="s">
        <v>45304</v>
      </c>
      <c r="T8516" t="s">
        <v>47159</v>
      </c>
      <c r="U8516" t="s">
        <v>54552</v>
      </c>
      <c r="W8516" t="s">
        <v>42994</v>
      </c>
      <c r="X8516" t="s">
        <v>45105</v>
      </c>
    </row>
    <row r="8517" spans="1:24">
      <c r="A8517">
        <f>HYPERLINK("https://www.philgeps.gov.ph/GEPSNONPILOT/Tender/SplashBidNoticeAbstractUI.aspx?menuIndex=3&amp;refID=7032958&amp;Result=3","7032958")</f>
        <v>0</v>
      </c>
      <c r="B8517" t="s">
        <v>135</v>
      </c>
      <c r="C8517" t="s">
        <v>11320</v>
      </c>
      <c r="D8517" t="s">
        <v>18022</v>
      </c>
      <c r="E8517" t="s">
        <v>25587</v>
      </c>
      <c r="F8517" t="s">
        <v>31574</v>
      </c>
      <c r="G8517" t="s">
        <v>31581</v>
      </c>
      <c r="H8517" t="s">
        <v>31590</v>
      </c>
      <c r="I8517" t="s">
        <v>4354</v>
      </c>
      <c r="J8517" t="s">
        <v>37133</v>
      </c>
      <c r="K8517" t="s">
        <v>41184</v>
      </c>
      <c r="M8517" t="s">
        <v>43557</v>
      </c>
      <c r="N8517" t="s">
        <v>45095</v>
      </c>
      <c r="O8517" t="s">
        <v>45096</v>
      </c>
      <c r="P8517">
        <v>0</v>
      </c>
      <c r="Q8517">
        <v>2</v>
      </c>
      <c r="R8517" t="s">
        <v>45104</v>
      </c>
      <c r="S8517" t="s">
        <v>45304</v>
      </c>
      <c r="T8517" t="s">
        <v>47178</v>
      </c>
      <c r="U8517" t="s">
        <v>54553</v>
      </c>
      <c r="W8517" t="s">
        <v>43557</v>
      </c>
      <c r="X8517" t="s">
        <v>45105</v>
      </c>
    </row>
    <row r="8518" spans="1:24">
      <c r="A8518">
        <f>HYPERLINK("https://www.philgeps.gov.ph/GEPSNONPILOT/Tender/SplashBidNoticeAbstractUI.aspx?menuIndex=3&amp;refID=7033085&amp;Result=3","7033085")</f>
        <v>0</v>
      </c>
      <c r="B8518" t="s">
        <v>1698</v>
      </c>
      <c r="C8518" t="s">
        <v>11321</v>
      </c>
      <c r="D8518" t="s">
        <v>18039</v>
      </c>
      <c r="E8518" t="s">
        <v>18574</v>
      </c>
      <c r="F8518" t="s">
        <v>31574</v>
      </c>
      <c r="G8518" t="s">
        <v>31582</v>
      </c>
      <c r="H8518" t="s">
        <v>31590</v>
      </c>
      <c r="I8518" t="s">
        <v>31615</v>
      </c>
      <c r="J8518" t="s">
        <v>31843</v>
      </c>
      <c r="K8518" t="s">
        <v>41186</v>
      </c>
      <c r="M8518" t="s">
        <v>43312</v>
      </c>
      <c r="N8518" t="s">
        <v>45095</v>
      </c>
      <c r="O8518" t="s">
        <v>45096</v>
      </c>
      <c r="P8518">
        <v>0</v>
      </c>
      <c r="Q8518">
        <v>0</v>
      </c>
      <c r="R8518" t="s">
        <v>45104</v>
      </c>
      <c r="S8518" t="s">
        <v>45304</v>
      </c>
      <c r="T8518" t="s">
        <v>46955</v>
      </c>
      <c r="U8518" t="s">
        <v>54554</v>
      </c>
      <c r="W8518" t="s">
        <v>43312</v>
      </c>
      <c r="X8518" t="s">
        <v>45105</v>
      </c>
    </row>
    <row r="8519" spans="1:24">
      <c r="A8519">
        <f>HYPERLINK("https://www.philgeps.gov.ph/GEPSNONPILOT/Tender/SplashBidNoticeAbstractUI.aspx?menuIndex=3&amp;refID=7032976&amp;Result=3","7032976")</f>
        <v>0</v>
      </c>
      <c r="B8519" t="s">
        <v>73</v>
      </c>
      <c r="C8519" t="s">
        <v>11322</v>
      </c>
      <c r="D8519" t="s">
        <v>18041</v>
      </c>
      <c r="E8519" t="s">
        <v>25588</v>
      </c>
      <c r="F8519" t="s">
        <v>31574</v>
      </c>
      <c r="G8519" t="s">
        <v>31582</v>
      </c>
      <c r="H8519" t="s">
        <v>31590</v>
      </c>
      <c r="I8519" t="s">
        <v>7185</v>
      </c>
      <c r="J8519" t="s">
        <v>32049</v>
      </c>
      <c r="K8519" t="s">
        <v>41184</v>
      </c>
      <c r="M8519" t="s">
        <v>41557</v>
      </c>
      <c r="N8519" t="s">
        <v>45095</v>
      </c>
      <c r="O8519" t="s">
        <v>45096</v>
      </c>
      <c r="P8519">
        <v>0</v>
      </c>
      <c r="Q8519">
        <v>1</v>
      </c>
      <c r="R8519" t="s">
        <v>45104</v>
      </c>
      <c r="S8519" t="s">
        <v>45304</v>
      </c>
      <c r="T8519" t="s">
        <v>47197</v>
      </c>
      <c r="U8519" t="s">
        <v>54555</v>
      </c>
      <c r="V8519" t="s">
        <v>59867</v>
      </c>
      <c r="W8519" t="s">
        <v>41557</v>
      </c>
      <c r="X8519" t="s">
        <v>45105</v>
      </c>
    </row>
    <row r="8520" spans="1:24">
      <c r="A8520">
        <f>HYPERLINK("https://www.philgeps.gov.ph/GEPSNONPILOT/Tender/SplashBidNoticeAbstractUI.aspx?menuIndex=3&amp;refID=7032953&amp;Result=3","7032953")</f>
        <v>0</v>
      </c>
      <c r="B8520" t="s">
        <v>1418</v>
      </c>
      <c r="C8520" t="s">
        <v>11323</v>
      </c>
      <c r="D8520" t="s">
        <v>18061</v>
      </c>
      <c r="E8520" t="s">
        <v>25589</v>
      </c>
      <c r="F8520" t="s">
        <v>31574</v>
      </c>
      <c r="G8520" t="s">
        <v>31582</v>
      </c>
      <c r="H8520" t="s">
        <v>31590</v>
      </c>
      <c r="I8520" t="s">
        <v>7162</v>
      </c>
      <c r="J8520" t="s">
        <v>32019</v>
      </c>
      <c r="K8520" t="s">
        <v>41192</v>
      </c>
      <c r="M8520" t="s">
        <v>42994</v>
      </c>
      <c r="N8520" t="s">
        <v>45095</v>
      </c>
      <c r="O8520" t="s">
        <v>45096</v>
      </c>
      <c r="P8520">
        <v>0</v>
      </c>
      <c r="Q8520">
        <v>1</v>
      </c>
      <c r="R8520" t="s">
        <v>45104</v>
      </c>
      <c r="S8520" t="s">
        <v>45304</v>
      </c>
      <c r="T8520" t="s">
        <v>47159</v>
      </c>
      <c r="U8520" t="s">
        <v>54556</v>
      </c>
      <c r="W8520" t="s">
        <v>42994</v>
      </c>
      <c r="X8520" t="s">
        <v>45105</v>
      </c>
    </row>
    <row r="8521" spans="1:24">
      <c r="A8521">
        <f>HYPERLINK("https://www.philgeps.gov.ph/GEPSNONPILOT/Tender/SplashBidNoticeAbstractUI.aspx?menuIndex=3&amp;refID=7033081&amp;Result=3","7033081")</f>
        <v>0</v>
      </c>
      <c r="B8521" t="s">
        <v>744</v>
      </c>
      <c r="C8521" t="s">
        <v>11324</v>
      </c>
      <c r="D8521" t="s">
        <v>18040</v>
      </c>
      <c r="E8521" t="s">
        <v>25590</v>
      </c>
      <c r="F8521" t="s">
        <v>31574</v>
      </c>
      <c r="G8521" t="s">
        <v>31582</v>
      </c>
      <c r="H8521" t="s">
        <v>31590</v>
      </c>
      <c r="I8521" t="s">
        <v>31612</v>
      </c>
      <c r="J8521" t="s">
        <v>32232</v>
      </c>
      <c r="K8521" t="s">
        <v>41193</v>
      </c>
      <c r="M8521" t="s">
        <v>44110</v>
      </c>
      <c r="N8521" t="s">
        <v>45095</v>
      </c>
      <c r="O8521" t="s">
        <v>45096</v>
      </c>
      <c r="P8521">
        <v>0</v>
      </c>
      <c r="Q8521">
        <v>4</v>
      </c>
      <c r="R8521" t="s">
        <v>45104</v>
      </c>
      <c r="S8521" t="s">
        <v>45304</v>
      </c>
      <c r="T8521" t="s">
        <v>47050</v>
      </c>
      <c r="U8521" t="s">
        <v>54557</v>
      </c>
      <c r="W8521" t="s">
        <v>44110</v>
      </c>
      <c r="X8521" t="s">
        <v>45105</v>
      </c>
    </row>
    <row r="8522" spans="1:24">
      <c r="A8522">
        <f>HYPERLINK("https://www.philgeps.gov.ph/GEPSNONPILOT/Tender/SplashBidNoticeAbstractUI.aspx?menuIndex=3&amp;refID=7033062&amp;Result=3","7033062")</f>
        <v>0</v>
      </c>
      <c r="B8522" t="s">
        <v>709</v>
      </c>
      <c r="C8522" t="s">
        <v>11325</v>
      </c>
      <c r="D8522" t="s">
        <v>18026</v>
      </c>
      <c r="E8522" t="s">
        <v>25591</v>
      </c>
      <c r="F8522" t="s">
        <v>31574</v>
      </c>
      <c r="G8522" t="s">
        <v>31582</v>
      </c>
      <c r="H8522" t="s">
        <v>31590</v>
      </c>
      <c r="I8522" t="s">
        <v>4046</v>
      </c>
      <c r="J8522" t="s">
        <v>37134</v>
      </c>
      <c r="K8522" t="s">
        <v>41190</v>
      </c>
      <c r="M8522" t="s">
        <v>42219</v>
      </c>
      <c r="N8522" t="s">
        <v>45095</v>
      </c>
      <c r="O8522" t="s">
        <v>45096</v>
      </c>
      <c r="P8522">
        <v>0</v>
      </c>
      <c r="Q8522">
        <v>2</v>
      </c>
      <c r="R8522" t="s">
        <v>45104</v>
      </c>
      <c r="S8522" t="s">
        <v>45304</v>
      </c>
      <c r="T8522" t="s">
        <v>47100</v>
      </c>
      <c r="U8522" t="s">
        <v>54558</v>
      </c>
      <c r="W8522" t="s">
        <v>42219</v>
      </c>
      <c r="X8522" t="s">
        <v>45105</v>
      </c>
    </row>
    <row r="8523" spans="1:24">
      <c r="A8523">
        <f>HYPERLINK("https://www.philgeps.gov.ph/GEPSNONPILOT/Tender/SplashBidNoticeAbstractUI.aspx?menuIndex=3&amp;refID=7032951&amp;Result=3","7032951")</f>
        <v>0</v>
      </c>
      <c r="B8523" t="s">
        <v>2381</v>
      </c>
      <c r="C8523" t="s">
        <v>11326</v>
      </c>
      <c r="D8523" t="s">
        <v>18022</v>
      </c>
      <c r="E8523" t="s">
        <v>25592</v>
      </c>
      <c r="F8523" t="s">
        <v>31574</v>
      </c>
      <c r="G8523" t="s">
        <v>31582</v>
      </c>
      <c r="H8523" t="s">
        <v>31591</v>
      </c>
      <c r="I8523" t="s">
        <v>4046</v>
      </c>
      <c r="J8523" t="s">
        <v>37135</v>
      </c>
      <c r="K8523" t="s">
        <v>41192</v>
      </c>
      <c r="M8523" t="s">
        <v>44105</v>
      </c>
      <c r="N8523" t="s">
        <v>45095</v>
      </c>
      <c r="O8523" t="s">
        <v>45096</v>
      </c>
      <c r="P8523">
        <v>0</v>
      </c>
      <c r="Q8523">
        <v>1</v>
      </c>
      <c r="R8523" t="s">
        <v>45104</v>
      </c>
      <c r="S8523" t="s">
        <v>45304</v>
      </c>
      <c r="T8523" t="s">
        <v>46992</v>
      </c>
      <c r="U8523" t="s">
        <v>54538</v>
      </c>
      <c r="W8523" t="s">
        <v>44105</v>
      </c>
      <c r="X8523" t="s">
        <v>45105</v>
      </c>
    </row>
    <row r="8524" spans="1:24">
      <c r="A8524">
        <f>HYPERLINK("https://www.philgeps.gov.ph/GEPSNONPILOT/Tender/SplashBidNoticeAbstractUI.aspx?menuIndex=3&amp;refID=7033079&amp;Result=3","7033079")</f>
        <v>0</v>
      </c>
      <c r="B8524" t="s">
        <v>73</v>
      </c>
      <c r="C8524" t="s">
        <v>11327</v>
      </c>
      <c r="D8524" t="s">
        <v>18041</v>
      </c>
      <c r="E8524" t="s">
        <v>25593</v>
      </c>
      <c r="F8524" t="s">
        <v>31574</v>
      </c>
      <c r="G8524" t="s">
        <v>31582</v>
      </c>
      <c r="H8524" t="s">
        <v>31590</v>
      </c>
      <c r="I8524" t="s">
        <v>7162</v>
      </c>
      <c r="J8524" t="s">
        <v>37136</v>
      </c>
      <c r="K8524" t="s">
        <v>41184</v>
      </c>
      <c r="M8524" t="s">
        <v>41557</v>
      </c>
      <c r="N8524" t="s">
        <v>45095</v>
      </c>
      <c r="O8524" t="s">
        <v>45096</v>
      </c>
      <c r="P8524">
        <v>0</v>
      </c>
      <c r="Q8524">
        <v>2</v>
      </c>
      <c r="R8524" t="s">
        <v>45104</v>
      </c>
      <c r="S8524" t="s">
        <v>45304</v>
      </c>
      <c r="T8524" t="s">
        <v>47197</v>
      </c>
      <c r="U8524" t="s">
        <v>54559</v>
      </c>
      <c r="V8524" t="s">
        <v>60728</v>
      </c>
      <c r="W8524" t="s">
        <v>41557</v>
      </c>
      <c r="X8524" t="s">
        <v>45105</v>
      </c>
    </row>
    <row r="8525" spans="1:24">
      <c r="A8525">
        <f>HYPERLINK("https://www.philgeps.gov.ph/GEPSNONPILOT/Tender/SplashBidNoticeAbstractUI.aspx?menuIndex=3&amp;refID=7033080&amp;Result=3","7033080")</f>
        <v>0</v>
      </c>
      <c r="B8525" t="s">
        <v>471</v>
      </c>
      <c r="C8525" t="s">
        <v>11328</v>
      </c>
      <c r="D8525" t="s">
        <v>18052</v>
      </c>
      <c r="E8525" t="s">
        <v>19828</v>
      </c>
      <c r="F8525" t="s">
        <v>31574</v>
      </c>
      <c r="G8525" t="s">
        <v>31582</v>
      </c>
      <c r="H8525" t="s">
        <v>31591</v>
      </c>
      <c r="I8525" t="s">
        <v>4046</v>
      </c>
      <c r="J8525" t="s">
        <v>33827</v>
      </c>
      <c r="K8525" t="s">
        <v>41186</v>
      </c>
      <c r="M8525" t="s">
        <v>41966</v>
      </c>
      <c r="N8525" t="s">
        <v>45095</v>
      </c>
      <c r="O8525" t="s">
        <v>45096</v>
      </c>
      <c r="P8525">
        <v>0</v>
      </c>
      <c r="Q8525">
        <v>0</v>
      </c>
      <c r="R8525" t="s">
        <v>45104</v>
      </c>
      <c r="S8525" t="s">
        <v>45304</v>
      </c>
      <c r="T8525" t="s">
        <v>47341</v>
      </c>
      <c r="U8525" t="s">
        <v>54560</v>
      </c>
      <c r="W8525" t="s">
        <v>41966</v>
      </c>
      <c r="X8525" t="s">
        <v>45105</v>
      </c>
    </row>
    <row r="8526" spans="1:24">
      <c r="A8526">
        <f>HYPERLINK("https://www.philgeps.gov.ph/GEPSNONPILOT/Tender/SplashBidNoticeAbstractUI.aspx?menuIndex=3&amp;refID=7033058&amp;Result=3","7033058")</f>
        <v>0</v>
      </c>
      <c r="B8526" t="s">
        <v>357</v>
      </c>
      <c r="C8526" t="s">
        <v>11329</v>
      </c>
      <c r="D8526" t="s">
        <v>18026</v>
      </c>
      <c r="E8526" t="s">
        <v>25594</v>
      </c>
      <c r="F8526" t="s">
        <v>31579</v>
      </c>
      <c r="G8526" t="s">
        <v>31581</v>
      </c>
      <c r="H8526" t="s">
        <v>31590</v>
      </c>
      <c r="I8526" t="s">
        <v>3651</v>
      </c>
      <c r="J8526" t="s">
        <v>31950</v>
      </c>
      <c r="K8526" t="s">
        <v>41193</v>
      </c>
      <c r="M8526" t="s">
        <v>44111</v>
      </c>
      <c r="N8526" t="s">
        <v>45095</v>
      </c>
      <c r="O8526" t="s">
        <v>45096</v>
      </c>
      <c r="P8526">
        <v>0</v>
      </c>
      <c r="Q8526">
        <v>2</v>
      </c>
      <c r="R8526" t="s">
        <v>45104</v>
      </c>
      <c r="S8526" t="s">
        <v>45304</v>
      </c>
      <c r="T8526" t="s">
        <v>47158</v>
      </c>
      <c r="U8526" t="s">
        <v>54561</v>
      </c>
      <c r="W8526" t="s">
        <v>44111</v>
      </c>
      <c r="X8526" t="s">
        <v>45105</v>
      </c>
    </row>
    <row r="8527" spans="1:24">
      <c r="A8527">
        <f>HYPERLINK("https://www.philgeps.gov.ph/GEPSNONPILOT/Tender/SplashBidNoticeAbstractUI.aspx?menuIndex=3&amp;refID=7033063&amp;Result=3","7033063")</f>
        <v>0</v>
      </c>
      <c r="B8527" t="s">
        <v>971</v>
      </c>
      <c r="C8527" t="s">
        <v>11330</v>
      </c>
      <c r="D8527" t="s">
        <v>18042</v>
      </c>
      <c r="E8527" t="s">
        <v>23782</v>
      </c>
      <c r="F8527" t="s">
        <v>31574</v>
      </c>
      <c r="G8527" t="s">
        <v>31582</v>
      </c>
      <c r="H8527" t="s">
        <v>31591</v>
      </c>
      <c r="I8527" t="s">
        <v>8822</v>
      </c>
      <c r="J8527" t="s">
        <v>31935</v>
      </c>
      <c r="K8527" t="s">
        <v>41228</v>
      </c>
      <c r="M8527" t="s">
        <v>42501</v>
      </c>
      <c r="N8527" t="s">
        <v>45095</v>
      </c>
      <c r="O8527" t="s">
        <v>45096</v>
      </c>
      <c r="P8527">
        <v>0</v>
      </c>
      <c r="Q8527">
        <v>0</v>
      </c>
      <c r="R8527" t="s">
        <v>45104</v>
      </c>
      <c r="S8527" t="s">
        <v>45304</v>
      </c>
      <c r="T8527" t="s">
        <v>47000</v>
      </c>
      <c r="U8527" t="s">
        <v>54562</v>
      </c>
      <c r="W8527" t="s">
        <v>42501</v>
      </c>
      <c r="X8527" t="s">
        <v>45105</v>
      </c>
    </row>
    <row r="8528" spans="1:24">
      <c r="A8528">
        <f>HYPERLINK("https://www.philgeps.gov.ph/GEPSNONPILOT/Tender/SplashBidNoticeAbstractUI.aspx?menuIndex=3&amp;refID=7033053&amp;Result=3","7033053")</f>
        <v>0</v>
      </c>
      <c r="B8528" t="s">
        <v>1698</v>
      </c>
      <c r="C8528" t="s">
        <v>11331</v>
      </c>
      <c r="D8528" t="s">
        <v>18039</v>
      </c>
      <c r="E8528" t="s">
        <v>18533</v>
      </c>
      <c r="F8528" t="s">
        <v>31574</v>
      </c>
      <c r="G8528" t="s">
        <v>31582</v>
      </c>
      <c r="H8528" t="s">
        <v>31590</v>
      </c>
      <c r="I8528" t="s">
        <v>31618</v>
      </c>
      <c r="J8528" t="s">
        <v>31843</v>
      </c>
      <c r="K8528" t="s">
        <v>41186</v>
      </c>
      <c r="M8528" t="s">
        <v>43312</v>
      </c>
      <c r="N8528" t="s">
        <v>45095</v>
      </c>
      <c r="O8528" t="s">
        <v>45096</v>
      </c>
      <c r="P8528">
        <v>0</v>
      </c>
      <c r="Q8528">
        <v>0</v>
      </c>
      <c r="R8528" t="s">
        <v>45104</v>
      </c>
      <c r="S8528" t="s">
        <v>45304</v>
      </c>
      <c r="T8528" t="s">
        <v>46955</v>
      </c>
      <c r="U8528" t="s">
        <v>54563</v>
      </c>
      <c r="W8528" t="s">
        <v>43312</v>
      </c>
      <c r="X8528" t="s">
        <v>45105</v>
      </c>
    </row>
    <row r="8529" spans="1:24">
      <c r="A8529">
        <f>HYPERLINK("https://www.philgeps.gov.ph/GEPSNONPILOT/Tender/SplashBidNoticeAbstractUI.aspx?menuIndex=3&amp;refID=7033049&amp;Result=3","7033049")</f>
        <v>0</v>
      </c>
      <c r="B8529" t="s">
        <v>201</v>
      </c>
      <c r="C8529" t="s">
        <v>3711</v>
      </c>
      <c r="D8529" t="s">
        <v>18045</v>
      </c>
      <c r="E8529" t="s">
        <v>25595</v>
      </c>
      <c r="F8529" t="s">
        <v>31574</v>
      </c>
      <c r="G8529" t="s">
        <v>31582</v>
      </c>
      <c r="H8529" t="s">
        <v>31590</v>
      </c>
      <c r="I8529" t="s">
        <v>31615</v>
      </c>
      <c r="J8529" t="s">
        <v>34952</v>
      </c>
      <c r="K8529" t="s">
        <v>41184</v>
      </c>
      <c r="M8529" t="s">
        <v>41686</v>
      </c>
      <c r="N8529" t="s">
        <v>45095</v>
      </c>
      <c r="O8529" t="s">
        <v>45096</v>
      </c>
      <c r="P8529">
        <v>0</v>
      </c>
      <c r="Q8529">
        <v>4</v>
      </c>
      <c r="R8529" t="s">
        <v>45104</v>
      </c>
      <c r="S8529" t="s">
        <v>45304</v>
      </c>
      <c r="T8529" t="s">
        <v>46939</v>
      </c>
      <c r="U8529" t="s">
        <v>54564</v>
      </c>
      <c r="V8529" t="s">
        <v>60737</v>
      </c>
      <c r="W8529" t="s">
        <v>41686</v>
      </c>
      <c r="X8529" t="s">
        <v>45105</v>
      </c>
    </row>
    <row r="8530" spans="1:24">
      <c r="A8530">
        <f>HYPERLINK("https://www.philgeps.gov.ph/GEPSNONPILOT/Tender/SplashBidNoticeAbstractUI.aspx?menuIndex=3&amp;refID=7033067&amp;Result=3","7033067")</f>
        <v>0</v>
      </c>
      <c r="B8530" t="s">
        <v>1418</v>
      </c>
      <c r="C8530" t="s">
        <v>11332</v>
      </c>
      <c r="D8530" t="s">
        <v>18061</v>
      </c>
      <c r="E8530" t="s">
        <v>25596</v>
      </c>
      <c r="F8530" t="s">
        <v>31574</v>
      </c>
      <c r="G8530" t="s">
        <v>31582</v>
      </c>
      <c r="H8530" t="s">
        <v>31590</v>
      </c>
      <c r="I8530" t="s">
        <v>3487</v>
      </c>
      <c r="J8530" t="s">
        <v>37137</v>
      </c>
      <c r="K8530" t="s">
        <v>41192</v>
      </c>
      <c r="M8530" t="s">
        <v>42994</v>
      </c>
      <c r="N8530" t="s">
        <v>45095</v>
      </c>
      <c r="O8530" t="s">
        <v>45096</v>
      </c>
      <c r="P8530">
        <v>0</v>
      </c>
      <c r="Q8530">
        <v>1</v>
      </c>
      <c r="R8530" t="s">
        <v>45104</v>
      </c>
      <c r="S8530" t="s">
        <v>45304</v>
      </c>
      <c r="T8530" t="s">
        <v>47159</v>
      </c>
      <c r="U8530" t="s">
        <v>54565</v>
      </c>
      <c r="W8530" t="s">
        <v>42994</v>
      </c>
      <c r="X8530" t="s">
        <v>45105</v>
      </c>
    </row>
    <row r="8531" spans="1:24">
      <c r="A8531">
        <f>HYPERLINK("https://www.philgeps.gov.ph/GEPSNONPILOT/Tender/SplashBidNoticeAbstractUI.aspx?menuIndex=3&amp;refID=7033059&amp;Result=3","7033059")</f>
        <v>0</v>
      </c>
      <c r="B8531" t="s">
        <v>58</v>
      </c>
      <c r="C8531" t="s">
        <v>11333</v>
      </c>
      <c r="D8531" t="s">
        <v>18047</v>
      </c>
      <c r="E8531" t="s">
        <v>25597</v>
      </c>
      <c r="F8531" t="s">
        <v>31574</v>
      </c>
      <c r="G8531" t="s">
        <v>31582</v>
      </c>
      <c r="H8531" t="s">
        <v>31591</v>
      </c>
      <c r="I8531" t="s">
        <v>8822</v>
      </c>
      <c r="J8531" t="s">
        <v>37138</v>
      </c>
      <c r="K8531" t="s">
        <v>41186</v>
      </c>
      <c r="M8531" t="s">
        <v>41542</v>
      </c>
      <c r="N8531" t="s">
        <v>45095</v>
      </c>
      <c r="O8531" t="s">
        <v>45096</v>
      </c>
      <c r="P8531">
        <v>0</v>
      </c>
      <c r="Q8531">
        <v>1</v>
      </c>
      <c r="R8531" t="s">
        <v>45104</v>
      </c>
      <c r="S8531" t="s">
        <v>45304</v>
      </c>
      <c r="T8531" t="s">
        <v>47342</v>
      </c>
      <c r="U8531" t="s">
        <v>54566</v>
      </c>
      <c r="V8531" t="s">
        <v>59855</v>
      </c>
      <c r="W8531" t="s">
        <v>41542</v>
      </c>
      <c r="X8531" t="s">
        <v>45105</v>
      </c>
    </row>
    <row r="8532" spans="1:24">
      <c r="A8532">
        <f>HYPERLINK("https://www.philgeps.gov.ph/GEPSNONPILOT/Tender/SplashBidNoticeAbstractUI.aspx?menuIndex=3&amp;refID=7033061&amp;Result=3","7033061")</f>
        <v>0</v>
      </c>
      <c r="B8532" t="s">
        <v>2383</v>
      </c>
      <c r="C8532" t="s">
        <v>11334</v>
      </c>
      <c r="D8532" t="s">
        <v>18087</v>
      </c>
      <c r="E8532" t="s">
        <v>25598</v>
      </c>
      <c r="F8532" t="s">
        <v>31574</v>
      </c>
      <c r="G8532" t="s">
        <v>31582</v>
      </c>
      <c r="H8532" t="s">
        <v>31590</v>
      </c>
      <c r="I8532" t="s">
        <v>4046</v>
      </c>
      <c r="J8532" t="s">
        <v>34488</v>
      </c>
      <c r="K8532" t="s">
        <v>41190</v>
      </c>
      <c r="M8532" t="s">
        <v>44107</v>
      </c>
      <c r="N8532" t="s">
        <v>45095</v>
      </c>
      <c r="O8532" t="s">
        <v>45096</v>
      </c>
      <c r="P8532">
        <v>0</v>
      </c>
      <c r="Q8532">
        <v>0</v>
      </c>
      <c r="R8532" t="s">
        <v>45104</v>
      </c>
      <c r="S8532" t="s">
        <v>45304</v>
      </c>
      <c r="T8532" t="s">
        <v>47159</v>
      </c>
      <c r="U8532" t="s">
        <v>54567</v>
      </c>
      <c r="W8532" t="s">
        <v>44107</v>
      </c>
      <c r="X8532" t="s">
        <v>45105</v>
      </c>
    </row>
    <row r="8533" spans="1:24">
      <c r="A8533">
        <f>HYPERLINK("https://www.philgeps.gov.ph/GEPSNONPILOT/Tender/SplashBidNoticeAbstractUI.aspx?menuIndex=3&amp;refID=7033035&amp;Result=3","7033035")</f>
        <v>0</v>
      </c>
      <c r="B8533" t="s">
        <v>58</v>
      </c>
      <c r="C8533" t="s">
        <v>11335</v>
      </c>
      <c r="D8533" t="s">
        <v>18047</v>
      </c>
      <c r="E8533" t="s">
        <v>25599</v>
      </c>
      <c r="F8533" t="s">
        <v>31574</v>
      </c>
      <c r="G8533" t="s">
        <v>31582</v>
      </c>
      <c r="H8533" t="s">
        <v>31590</v>
      </c>
      <c r="I8533" t="s">
        <v>5222</v>
      </c>
      <c r="J8533" t="s">
        <v>31727</v>
      </c>
      <c r="K8533" t="s">
        <v>41193</v>
      </c>
      <c r="M8533" t="s">
        <v>41542</v>
      </c>
      <c r="N8533" t="s">
        <v>45095</v>
      </c>
      <c r="O8533" t="s">
        <v>45096</v>
      </c>
      <c r="P8533">
        <v>0</v>
      </c>
      <c r="Q8533">
        <v>2</v>
      </c>
      <c r="R8533" t="s">
        <v>45104</v>
      </c>
      <c r="S8533" t="s">
        <v>45304</v>
      </c>
      <c r="T8533" t="s">
        <v>47343</v>
      </c>
      <c r="U8533" t="s">
        <v>54568</v>
      </c>
      <c r="V8533" t="s">
        <v>59855</v>
      </c>
      <c r="W8533" t="s">
        <v>41542</v>
      </c>
      <c r="X8533" t="s">
        <v>45105</v>
      </c>
    </row>
    <row r="8534" spans="1:24">
      <c r="A8534">
        <f>HYPERLINK("https://www.philgeps.gov.ph/GEPSNONPILOT/Tender/SplashBidNoticeAbstractUI.aspx?menuIndex=3&amp;refID=7033016&amp;Result=3","7033016")</f>
        <v>0</v>
      </c>
      <c r="B8534" t="s">
        <v>73</v>
      </c>
      <c r="C8534" t="s">
        <v>11336</v>
      </c>
      <c r="D8534" t="s">
        <v>18041</v>
      </c>
      <c r="E8534" t="s">
        <v>25600</v>
      </c>
      <c r="F8534" t="s">
        <v>31574</v>
      </c>
      <c r="G8534" t="s">
        <v>31582</v>
      </c>
      <c r="H8534" t="s">
        <v>31590</v>
      </c>
      <c r="I8534" t="s">
        <v>7185</v>
      </c>
      <c r="J8534" t="s">
        <v>37139</v>
      </c>
      <c r="K8534" t="s">
        <v>41184</v>
      </c>
      <c r="M8534" t="s">
        <v>41557</v>
      </c>
      <c r="N8534" t="s">
        <v>45095</v>
      </c>
      <c r="O8534" t="s">
        <v>45096</v>
      </c>
      <c r="P8534">
        <v>0</v>
      </c>
      <c r="Q8534">
        <v>1</v>
      </c>
      <c r="R8534" t="s">
        <v>45104</v>
      </c>
      <c r="S8534" t="s">
        <v>45304</v>
      </c>
      <c r="T8534" t="s">
        <v>47197</v>
      </c>
      <c r="U8534" t="s">
        <v>54569</v>
      </c>
      <c r="V8534" t="s">
        <v>59867</v>
      </c>
      <c r="W8534" t="s">
        <v>41557</v>
      </c>
      <c r="X8534" t="s">
        <v>45105</v>
      </c>
    </row>
    <row r="8535" spans="1:24">
      <c r="A8535">
        <f>HYPERLINK("https://www.philgeps.gov.ph/GEPSNONPILOT/Tender/SplashBidNoticeAbstractUI.aspx?menuIndex=3&amp;refID=7033041&amp;Result=3","7033041")</f>
        <v>0</v>
      </c>
      <c r="B8535" t="s">
        <v>73</v>
      </c>
      <c r="C8535" t="s">
        <v>11337</v>
      </c>
      <c r="D8535" t="s">
        <v>18041</v>
      </c>
      <c r="E8535" t="s">
        <v>25601</v>
      </c>
      <c r="F8535" t="s">
        <v>31574</v>
      </c>
      <c r="G8535" t="s">
        <v>31582</v>
      </c>
      <c r="H8535" t="s">
        <v>31590</v>
      </c>
      <c r="I8535" t="s">
        <v>8258</v>
      </c>
      <c r="J8535" t="s">
        <v>36591</v>
      </c>
      <c r="K8535" t="s">
        <v>41184</v>
      </c>
      <c r="M8535" t="s">
        <v>41557</v>
      </c>
      <c r="N8535" t="s">
        <v>45095</v>
      </c>
      <c r="O8535" t="s">
        <v>45096</v>
      </c>
      <c r="P8535">
        <v>0</v>
      </c>
      <c r="Q8535">
        <v>3</v>
      </c>
      <c r="R8535" t="s">
        <v>45104</v>
      </c>
      <c r="S8535" t="s">
        <v>45304</v>
      </c>
      <c r="T8535" t="s">
        <v>47197</v>
      </c>
      <c r="U8535" t="s">
        <v>54570</v>
      </c>
      <c r="V8535" t="s">
        <v>59867</v>
      </c>
      <c r="W8535" t="s">
        <v>41557</v>
      </c>
      <c r="X8535" t="s">
        <v>45105</v>
      </c>
    </row>
    <row r="8536" spans="1:24">
      <c r="A8536">
        <f>HYPERLINK("https://www.philgeps.gov.ph/GEPSNONPILOT/Tender/SplashBidNoticeAbstractUI.aspx?menuIndex=3&amp;refID=7033037&amp;Result=3","7033037")</f>
        <v>0</v>
      </c>
      <c r="B8536" t="s">
        <v>2370</v>
      </c>
      <c r="C8536" t="s">
        <v>6752</v>
      </c>
      <c r="E8536" t="s">
        <v>25551</v>
      </c>
      <c r="F8536" t="s">
        <v>31574</v>
      </c>
      <c r="G8536" t="s">
        <v>31582</v>
      </c>
      <c r="H8536" t="s">
        <v>31592</v>
      </c>
      <c r="I8536" t="s">
        <v>3487</v>
      </c>
      <c r="J8536" t="s">
        <v>32019</v>
      </c>
      <c r="K8536" t="s">
        <v>41186</v>
      </c>
      <c r="M8536" t="s">
        <v>44092</v>
      </c>
      <c r="N8536" t="s">
        <v>45095</v>
      </c>
      <c r="O8536" t="s">
        <v>45096</v>
      </c>
      <c r="P8536">
        <v>0</v>
      </c>
      <c r="Q8536">
        <v>4</v>
      </c>
      <c r="R8536" t="s">
        <v>45104</v>
      </c>
      <c r="S8536" t="s">
        <v>45304</v>
      </c>
      <c r="T8536" t="s">
        <v>47183</v>
      </c>
      <c r="U8536" t="s">
        <v>54571</v>
      </c>
      <c r="W8536" t="s">
        <v>44092</v>
      </c>
      <c r="X8536" t="s">
        <v>45105</v>
      </c>
    </row>
    <row r="8537" spans="1:24">
      <c r="A8537">
        <f>HYPERLINK("https://www.philgeps.gov.ph/GEPSNONPILOT/Tender/SplashBidNoticeAbstractUI.aspx?menuIndex=3&amp;refID=7033025&amp;Result=3","7033025")</f>
        <v>0</v>
      </c>
      <c r="B8537" t="s">
        <v>709</v>
      </c>
      <c r="C8537" t="s">
        <v>11338</v>
      </c>
      <c r="D8537" t="s">
        <v>18026</v>
      </c>
      <c r="E8537" t="s">
        <v>25602</v>
      </c>
      <c r="F8537" t="s">
        <v>31574</v>
      </c>
      <c r="G8537" t="s">
        <v>31582</v>
      </c>
      <c r="H8537" t="s">
        <v>31590</v>
      </c>
      <c r="I8537" t="s">
        <v>31615</v>
      </c>
      <c r="J8537" t="s">
        <v>31935</v>
      </c>
      <c r="K8537" t="s">
        <v>41186</v>
      </c>
      <c r="M8537" t="s">
        <v>42219</v>
      </c>
      <c r="N8537" t="s">
        <v>45095</v>
      </c>
      <c r="O8537" t="s">
        <v>45096</v>
      </c>
      <c r="P8537">
        <v>0</v>
      </c>
      <c r="Q8537">
        <v>3</v>
      </c>
      <c r="R8537" t="s">
        <v>45104</v>
      </c>
      <c r="S8537" t="s">
        <v>45304</v>
      </c>
      <c r="T8537" t="s">
        <v>47100</v>
      </c>
      <c r="U8537" t="s">
        <v>54572</v>
      </c>
      <c r="W8537" t="s">
        <v>42219</v>
      </c>
      <c r="X8537" t="s">
        <v>45105</v>
      </c>
    </row>
    <row r="8538" spans="1:24">
      <c r="A8538">
        <f>HYPERLINK("https://www.philgeps.gov.ph/GEPSNONPILOT/Tender/SplashBidNoticeAbstractUI.aspx?menuIndex=3&amp;refID=7032949&amp;Result=3","7032949")</f>
        <v>0</v>
      </c>
      <c r="B8538" t="s">
        <v>357</v>
      </c>
      <c r="C8538" t="s">
        <v>11339</v>
      </c>
      <c r="D8538" t="s">
        <v>18026</v>
      </c>
      <c r="E8538" t="s">
        <v>25603</v>
      </c>
      <c r="F8538" t="s">
        <v>31579</v>
      </c>
      <c r="G8538" t="s">
        <v>31581</v>
      </c>
      <c r="H8538" t="s">
        <v>31590</v>
      </c>
      <c r="I8538" t="s">
        <v>3651</v>
      </c>
      <c r="J8538" t="s">
        <v>37140</v>
      </c>
      <c r="K8538" t="s">
        <v>41193</v>
      </c>
      <c r="M8538" t="s">
        <v>44111</v>
      </c>
      <c r="N8538" t="s">
        <v>45095</v>
      </c>
      <c r="O8538" t="s">
        <v>45096</v>
      </c>
      <c r="P8538">
        <v>0</v>
      </c>
      <c r="Q8538">
        <v>3</v>
      </c>
      <c r="R8538" t="s">
        <v>45104</v>
      </c>
      <c r="S8538" t="s">
        <v>45304</v>
      </c>
      <c r="T8538" t="s">
        <v>47158</v>
      </c>
      <c r="U8538" t="s">
        <v>54573</v>
      </c>
      <c r="W8538" t="s">
        <v>44111</v>
      </c>
      <c r="X8538" t="s">
        <v>45105</v>
      </c>
    </row>
    <row r="8539" spans="1:24">
      <c r="A8539">
        <f>HYPERLINK("https://www.philgeps.gov.ph/GEPSNONPILOT/Tender/SplashBidNoticeAbstractUI.aspx?menuIndex=3&amp;refID=7033024&amp;Result=3","7033024")</f>
        <v>0</v>
      </c>
      <c r="B8539" t="s">
        <v>2386</v>
      </c>
      <c r="C8539" t="s">
        <v>11340</v>
      </c>
      <c r="D8539" t="s">
        <v>18053</v>
      </c>
      <c r="E8539" t="s">
        <v>19337</v>
      </c>
      <c r="F8539" t="s">
        <v>31574</v>
      </c>
      <c r="G8539" t="s">
        <v>31582</v>
      </c>
      <c r="H8539" t="s">
        <v>31591</v>
      </c>
      <c r="I8539" t="s">
        <v>8822</v>
      </c>
      <c r="J8539" t="s">
        <v>31927</v>
      </c>
      <c r="K8539" t="s">
        <v>41226</v>
      </c>
      <c r="M8539" t="s">
        <v>44112</v>
      </c>
      <c r="N8539" t="s">
        <v>45095</v>
      </c>
      <c r="O8539" t="s">
        <v>45096</v>
      </c>
      <c r="P8539">
        <v>0</v>
      </c>
      <c r="Q8539">
        <v>1</v>
      </c>
      <c r="R8539" t="s">
        <v>45104</v>
      </c>
      <c r="S8539" t="s">
        <v>45304</v>
      </c>
      <c r="T8539" t="s">
        <v>46936</v>
      </c>
      <c r="U8539" t="s">
        <v>54574</v>
      </c>
      <c r="W8539" t="s">
        <v>44112</v>
      </c>
      <c r="X8539" t="s">
        <v>45105</v>
      </c>
    </row>
    <row r="8540" spans="1:24">
      <c r="A8540">
        <f>HYPERLINK("https://www.philgeps.gov.ph/GEPSNONPILOT/Tender/SplashBidNoticeAbstractUI.aspx?menuIndex=3&amp;refID=7032948&amp;Result=3","7032948")</f>
        <v>0</v>
      </c>
      <c r="B8540" t="s">
        <v>2294</v>
      </c>
      <c r="C8540" t="s">
        <v>11341</v>
      </c>
      <c r="E8540" t="s">
        <v>25604</v>
      </c>
      <c r="F8540" t="s">
        <v>31574</v>
      </c>
      <c r="G8540" t="s">
        <v>31582</v>
      </c>
      <c r="H8540" t="s">
        <v>31590</v>
      </c>
      <c r="I8540" t="s">
        <v>3487</v>
      </c>
      <c r="J8540" t="s">
        <v>31962</v>
      </c>
      <c r="K8540" t="s">
        <v>41184</v>
      </c>
      <c r="M8540" t="s">
        <v>44003</v>
      </c>
      <c r="N8540" t="s">
        <v>45095</v>
      </c>
      <c r="O8540" t="s">
        <v>45096</v>
      </c>
      <c r="P8540">
        <v>0</v>
      </c>
      <c r="Q8540">
        <v>0</v>
      </c>
      <c r="R8540" t="s">
        <v>45104</v>
      </c>
      <c r="S8540" t="s">
        <v>45304</v>
      </c>
      <c r="T8540" t="s">
        <v>46935</v>
      </c>
      <c r="U8540" t="s">
        <v>54575</v>
      </c>
      <c r="W8540" t="s">
        <v>44003</v>
      </c>
      <c r="X8540" t="s">
        <v>45105</v>
      </c>
    </row>
    <row r="8541" spans="1:24">
      <c r="A8541">
        <f>HYPERLINK("https://www.philgeps.gov.ph/GEPSNONPILOT/Tender/SplashBidNoticeAbstractUI.aspx?menuIndex=3&amp;refID=7033086&amp;Result=3","7033086")</f>
        <v>0</v>
      </c>
      <c r="B8541" t="s">
        <v>2383</v>
      </c>
      <c r="C8541" t="s">
        <v>11342</v>
      </c>
      <c r="D8541" t="s">
        <v>18087</v>
      </c>
      <c r="E8541" t="s">
        <v>25605</v>
      </c>
      <c r="F8541" t="s">
        <v>31574</v>
      </c>
      <c r="G8541" t="s">
        <v>31582</v>
      </c>
      <c r="H8541" t="s">
        <v>31590</v>
      </c>
      <c r="I8541" t="s">
        <v>4046</v>
      </c>
      <c r="J8541" t="s">
        <v>37141</v>
      </c>
      <c r="K8541" t="s">
        <v>41190</v>
      </c>
      <c r="M8541" t="s">
        <v>44107</v>
      </c>
      <c r="N8541" t="s">
        <v>45095</v>
      </c>
      <c r="O8541" t="s">
        <v>45096</v>
      </c>
      <c r="P8541">
        <v>0</v>
      </c>
      <c r="Q8541">
        <v>0</v>
      </c>
      <c r="R8541" t="s">
        <v>45104</v>
      </c>
      <c r="S8541" t="s">
        <v>45304</v>
      </c>
      <c r="T8541" t="s">
        <v>47159</v>
      </c>
      <c r="U8541" t="s">
        <v>54576</v>
      </c>
      <c r="W8541" t="s">
        <v>44107</v>
      </c>
      <c r="X8541" t="s">
        <v>45105</v>
      </c>
    </row>
    <row r="8542" spans="1:24">
      <c r="A8542">
        <f>HYPERLINK("https://www.philgeps.gov.ph/GEPSNONPILOT/Tender/SplashBidNoticeAbstractUI.aspx?menuIndex=3&amp;refID=7033092&amp;Result=3","7033092")</f>
        <v>0</v>
      </c>
      <c r="B8542" t="s">
        <v>1518</v>
      </c>
      <c r="C8542" t="s">
        <v>11343</v>
      </c>
      <c r="D8542" t="s">
        <v>18041</v>
      </c>
      <c r="E8542" t="s">
        <v>25606</v>
      </c>
      <c r="F8542" t="s">
        <v>31574</v>
      </c>
      <c r="G8542" t="s">
        <v>31582</v>
      </c>
      <c r="H8542" t="s">
        <v>31590</v>
      </c>
      <c r="I8542" t="s">
        <v>31615</v>
      </c>
      <c r="J8542" t="s">
        <v>33866</v>
      </c>
      <c r="K8542" t="s">
        <v>41186</v>
      </c>
      <c r="M8542" t="s">
        <v>43109</v>
      </c>
      <c r="N8542" t="s">
        <v>45095</v>
      </c>
      <c r="O8542" t="s">
        <v>45096</v>
      </c>
      <c r="P8542">
        <v>0</v>
      </c>
      <c r="Q8542">
        <v>1</v>
      </c>
      <c r="R8542" t="s">
        <v>45104</v>
      </c>
      <c r="S8542" t="s">
        <v>45304</v>
      </c>
      <c r="T8542" t="s">
        <v>47011</v>
      </c>
      <c r="U8542" t="s">
        <v>54577</v>
      </c>
      <c r="W8542" t="s">
        <v>43109</v>
      </c>
      <c r="X8542" t="s">
        <v>45105</v>
      </c>
    </row>
    <row r="8543" spans="1:24">
      <c r="A8543">
        <f>HYPERLINK("https://www.philgeps.gov.ph/GEPSNONPILOT/Tender/SplashBidNoticeAbstractUI.aspx?menuIndex=3&amp;refID=7033013&amp;Result=3","7033013")</f>
        <v>0</v>
      </c>
      <c r="B8543" t="s">
        <v>319</v>
      </c>
      <c r="C8543" t="s">
        <v>11344</v>
      </c>
      <c r="D8543" t="s">
        <v>18065</v>
      </c>
      <c r="E8543" t="s">
        <v>25607</v>
      </c>
      <c r="F8543" t="s">
        <v>31574</v>
      </c>
      <c r="G8543" t="s">
        <v>31582</v>
      </c>
      <c r="H8543" t="s">
        <v>31590</v>
      </c>
      <c r="I8543" t="s">
        <v>7162</v>
      </c>
      <c r="J8543" t="s">
        <v>37142</v>
      </c>
      <c r="K8543" t="s">
        <v>41189</v>
      </c>
      <c r="M8543" t="s">
        <v>41807</v>
      </c>
      <c r="N8543" t="s">
        <v>45095</v>
      </c>
      <c r="O8543" t="s">
        <v>45096</v>
      </c>
      <c r="P8543">
        <v>0</v>
      </c>
      <c r="Q8543">
        <v>6</v>
      </c>
      <c r="R8543" t="s">
        <v>45104</v>
      </c>
      <c r="S8543" t="s">
        <v>45304</v>
      </c>
      <c r="T8543" t="s">
        <v>46962</v>
      </c>
      <c r="U8543" t="s">
        <v>54578</v>
      </c>
      <c r="W8543" t="s">
        <v>61662</v>
      </c>
      <c r="X8543" t="s">
        <v>45105</v>
      </c>
    </row>
    <row r="8544" spans="1:24">
      <c r="A8544">
        <f>HYPERLINK("https://www.philgeps.gov.ph/GEPSNONPILOT/Tender/SplashBidNoticeAbstractUI.aspx?menuIndex=3&amp;refID=7033099&amp;Result=3","7033099")</f>
        <v>0</v>
      </c>
      <c r="B8544" t="s">
        <v>2387</v>
      </c>
      <c r="C8544" t="s">
        <v>4999</v>
      </c>
      <c r="D8544" t="s">
        <v>18027</v>
      </c>
      <c r="E8544" t="s">
        <v>19831</v>
      </c>
      <c r="F8544" t="s">
        <v>31574</v>
      </c>
      <c r="G8544" t="s">
        <v>31582</v>
      </c>
      <c r="H8544" t="s">
        <v>31590</v>
      </c>
      <c r="I8544" t="s">
        <v>3487</v>
      </c>
      <c r="J8544" t="s">
        <v>31727</v>
      </c>
      <c r="K8544" t="s">
        <v>41184</v>
      </c>
      <c r="M8544" t="s">
        <v>44113</v>
      </c>
      <c r="N8544" t="s">
        <v>45095</v>
      </c>
      <c r="O8544" t="s">
        <v>45096</v>
      </c>
      <c r="P8544">
        <v>0</v>
      </c>
      <c r="Q8544">
        <v>0</v>
      </c>
      <c r="R8544" t="s">
        <v>45104</v>
      </c>
      <c r="S8544" t="s">
        <v>45304</v>
      </c>
      <c r="T8544" t="s">
        <v>47178</v>
      </c>
      <c r="U8544" t="s">
        <v>54579</v>
      </c>
      <c r="W8544" t="s">
        <v>44113</v>
      </c>
      <c r="X8544" t="s">
        <v>45105</v>
      </c>
    </row>
    <row r="8545" spans="1:24">
      <c r="A8545">
        <f>HYPERLINK("https://www.philgeps.gov.ph/GEPSNONPILOT/Tender/SplashBidNoticeAbstractUI.aspx?menuIndex=3&amp;refID=7033091&amp;Result=3","7033091")</f>
        <v>0</v>
      </c>
      <c r="B8545" t="s">
        <v>2388</v>
      </c>
      <c r="C8545" t="s">
        <v>11345</v>
      </c>
      <c r="E8545" t="s">
        <v>25608</v>
      </c>
      <c r="F8545" t="s">
        <v>31574</v>
      </c>
      <c r="G8545" t="s">
        <v>31582</v>
      </c>
      <c r="H8545" t="s">
        <v>31590</v>
      </c>
      <c r="I8545" t="s">
        <v>5222</v>
      </c>
      <c r="J8545" t="s">
        <v>37143</v>
      </c>
      <c r="K8545" t="s">
        <v>41192</v>
      </c>
      <c r="M8545" t="s">
        <v>44114</v>
      </c>
      <c r="N8545" t="s">
        <v>45095</v>
      </c>
      <c r="O8545" t="s">
        <v>45096</v>
      </c>
      <c r="P8545">
        <v>0</v>
      </c>
      <c r="Q8545">
        <v>8</v>
      </c>
      <c r="R8545" t="s">
        <v>45104</v>
      </c>
      <c r="S8545" t="s">
        <v>45304</v>
      </c>
      <c r="T8545" t="s">
        <v>46988</v>
      </c>
      <c r="U8545" t="s">
        <v>54580</v>
      </c>
      <c r="V8545" t="s">
        <v>60738</v>
      </c>
      <c r="W8545" t="s">
        <v>44114</v>
      </c>
      <c r="X8545" t="s">
        <v>45105</v>
      </c>
    </row>
    <row r="8546" spans="1:24">
      <c r="A8546">
        <f>HYPERLINK("https://www.philgeps.gov.ph/GEPSNONPILOT/Tender/SplashBidNoticeAbstractUI.aspx?menuIndex=3&amp;refID=7033124&amp;Result=3","7033124")</f>
        <v>0</v>
      </c>
      <c r="B8546" t="s">
        <v>2383</v>
      </c>
      <c r="C8546" t="s">
        <v>11346</v>
      </c>
      <c r="D8546" t="s">
        <v>18087</v>
      </c>
      <c r="E8546" t="s">
        <v>25609</v>
      </c>
      <c r="F8546" t="s">
        <v>31574</v>
      </c>
      <c r="G8546" t="s">
        <v>31582</v>
      </c>
      <c r="H8546" t="s">
        <v>31590</v>
      </c>
      <c r="I8546" t="s">
        <v>4327</v>
      </c>
      <c r="J8546" t="s">
        <v>31845</v>
      </c>
      <c r="K8546" t="s">
        <v>41190</v>
      </c>
      <c r="M8546" t="s">
        <v>44107</v>
      </c>
      <c r="N8546" t="s">
        <v>45095</v>
      </c>
      <c r="O8546" t="s">
        <v>45096</v>
      </c>
      <c r="P8546">
        <v>0</v>
      </c>
      <c r="Q8546">
        <v>0</v>
      </c>
      <c r="R8546" t="s">
        <v>45104</v>
      </c>
      <c r="S8546" t="s">
        <v>45304</v>
      </c>
      <c r="T8546" t="s">
        <v>47159</v>
      </c>
      <c r="U8546" t="s">
        <v>54581</v>
      </c>
      <c r="W8546" t="s">
        <v>44107</v>
      </c>
      <c r="X8546" t="s">
        <v>45105</v>
      </c>
    </row>
    <row r="8547" spans="1:24">
      <c r="A8547">
        <f>HYPERLINK("https://www.philgeps.gov.ph/GEPSNONPILOT/Tender/SplashBidNoticeAbstractUI.aspx?menuIndex=3&amp;refID=7033105&amp;Result=3","7033105")</f>
        <v>0</v>
      </c>
      <c r="B8547" t="s">
        <v>1050</v>
      </c>
      <c r="C8547" t="s">
        <v>11347</v>
      </c>
      <c r="D8547" t="s">
        <v>18024</v>
      </c>
      <c r="E8547" t="s">
        <v>25610</v>
      </c>
      <c r="F8547" t="s">
        <v>31574</v>
      </c>
      <c r="G8547" t="s">
        <v>31583</v>
      </c>
      <c r="H8547" t="s">
        <v>31590</v>
      </c>
      <c r="I8547" t="s">
        <v>4046</v>
      </c>
      <c r="J8547" t="s">
        <v>37144</v>
      </c>
      <c r="K8547" t="s">
        <v>41190</v>
      </c>
      <c r="M8547" t="s">
        <v>42594</v>
      </c>
      <c r="N8547" t="s">
        <v>45095</v>
      </c>
      <c r="O8547" t="s">
        <v>45096</v>
      </c>
      <c r="P8547">
        <v>0</v>
      </c>
      <c r="Q8547">
        <v>0</v>
      </c>
      <c r="R8547" t="s">
        <v>45104</v>
      </c>
      <c r="S8547" t="s">
        <v>45304</v>
      </c>
      <c r="T8547" t="s">
        <v>46931</v>
      </c>
      <c r="U8547" t="s">
        <v>54582</v>
      </c>
      <c r="W8547" t="s">
        <v>42594</v>
      </c>
      <c r="X8547" t="s">
        <v>45105</v>
      </c>
    </row>
    <row r="8548" spans="1:24">
      <c r="A8548">
        <f>HYPERLINK("https://www.philgeps.gov.ph/GEPSNONPILOT/Tender/SplashBidNoticeAbstractUI.aspx?menuIndex=3&amp;refID=7033112&amp;Result=3","7033112")</f>
        <v>0</v>
      </c>
      <c r="B8548" t="s">
        <v>2389</v>
      </c>
      <c r="C8548" t="s">
        <v>11348</v>
      </c>
      <c r="E8548" t="s">
        <v>25611</v>
      </c>
      <c r="F8548" t="s">
        <v>31574</v>
      </c>
      <c r="G8548" t="s">
        <v>31582</v>
      </c>
      <c r="H8548" t="s">
        <v>31590</v>
      </c>
      <c r="I8548" t="s">
        <v>7162</v>
      </c>
      <c r="J8548" t="s">
        <v>31947</v>
      </c>
      <c r="K8548" t="s">
        <v>41184</v>
      </c>
      <c r="M8548" t="s">
        <v>44115</v>
      </c>
      <c r="N8548" t="s">
        <v>45095</v>
      </c>
      <c r="O8548" t="s">
        <v>45096</v>
      </c>
      <c r="P8548">
        <v>0</v>
      </c>
      <c r="Q8548">
        <v>0</v>
      </c>
      <c r="R8548" t="s">
        <v>45104</v>
      </c>
      <c r="S8548" t="s">
        <v>45304</v>
      </c>
      <c r="T8548" t="s">
        <v>47050</v>
      </c>
      <c r="U8548" t="s">
        <v>54583</v>
      </c>
      <c r="W8548" t="s">
        <v>44115</v>
      </c>
      <c r="X8548" t="s">
        <v>45105</v>
      </c>
    </row>
    <row r="8549" spans="1:24">
      <c r="A8549">
        <f>HYPERLINK("https://www.philgeps.gov.ph/GEPSNONPILOT/Tender/SplashBidNoticeAbstractUI.aspx?menuIndex=3&amp;refID=7033128&amp;Result=3","7033128")</f>
        <v>0</v>
      </c>
      <c r="B8549" t="s">
        <v>1402</v>
      </c>
      <c r="C8549" t="s">
        <v>11349</v>
      </c>
      <c r="D8549" t="s">
        <v>18093</v>
      </c>
      <c r="E8549" t="s">
        <v>25612</v>
      </c>
      <c r="F8549" t="s">
        <v>31574</v>
      </c>
      <c r="G8549" t="s">
        <v>31582</v>
      </c>
      <c r="H8549" t="s">
        <v>31590</v>
      </c>
      <c r="I8549" t="s">
        <v>31595</v>
      </c>
      <c r="J8549" t="s">
        <v>37145</v>
      </c>
      <c r="K8549" t="s">
        <v>41196</v>
      </c>
      <c r="M8549" t="s">
        <v>42977</v>
      </c>
      <c r="N8549" t="s">
        <v>45095</v>
      </c>
      <c r="O8549" t="s">
        <v>45096</v>
      </c>
      <c r="P8549">
        <v>0</v>
      </c>
      <c r="Q8549">
        <v>2</v>
      </c>
      <c r="R8549" t="s">
        <v>45104</v>
      </c>
      <c r="S8549" t="s">
        <v>45304</v>
      </c>
      <c r="T8549" t="s">
        <v>47077</v>
      </c>
      <c r="U8549" t="s">
        <v>47916</v>
      </c>
      <c r="W8549" t="s">
        <v>42977</v>
      </c>
      <c r="X8549" t="s">
        <v>45105</v>
      </c>
    </row>
    <row r="8550" spans="1:24">
      <c r="A8550">
        <f>HYPERLINK("https://www.philgeps.gov.ph/GEPSNONPILOT/Tender/SplashBidNoticeAbstractUI.aspx?menuIndex=3&amp;refID=7033103&amp;Result=3","7033103")</f>
        <v>0</v>
      </c>
      <c r="B8550" t="s">
        <v>1402</v>
      </c>
      <c r="C8550" t="s">
        <v>11350</v>
      </c>
      <c r="D8550" t="s">
        <v>18093</v>
      </c>
      <c r="E8550" t="s">
        <v>25613</v>
      </c>
      <c r="F8550" t="s">
        <v>31574</v>
      </c>
      <c r="G8550" t="s">
        <v>31582</v>
      </c>
      <c r="H8550" t="s">
        <v>31590</v>
      </c>
      <c r="I8550" t="s">
        <v>31595</v>
      </c>
      <c r="J8550" t="s">
        <v>37146</v>
      </c>
      <c r="K8550" t="s">
        <v>41196</v>
      </c>
      <c r="M8550" t="s">
        <v>42977</v>
      </c>
      <c r="N8550" t="s">
        <v>45095</v>
      </c>
      <c r="O8550" t="s">
        <v>45096</v>
      </c>
      <c r="P8550">
        <v>0</v>
      </c>
      <c r="Q8550">
        <v>4</v>
      </c>
      <c r="R8550" t="s">
        <v>45104</v>
      </c>
      <c r="S8550" t="s">
        <v>45304</v>
      </c>
      <c r="T8550" t="s">
        <v>47077</v>
      </c>
      <c r="U8550" t="s">
        <v>54584</v>
      </c>
      <c r="W8550" t="s">
        <v>42977</v>
      </c>
      <c r="X8550" t="s">
        <v>45105</v>
      </c>
    </row>
    <row r="8551" spans="1:24">
      <c r="A8551">
        <f>HYPERLINK("https://www.philgeps.gov.ph/GEPSNONPILOT/Tender/SplashBidNoticeAbstractUI.aspx?menuIndex=3&amp;refID=7033111&amp;Result=3","7033111")</f>
        <v>0</v>
      </c>
      <c r="B8551" t="s">
        <v>683</v>
      </c>
      <c r="C8551" t="s">
        <v>11351</v>
      </c>
      <c r="D8551" t="s">
        <v>18059</v>
      </c>
      <c r="E8551" t="s">
        <v>25614</v>
      </c>
      <c r="F8551" t="s">
        <v>31574</v>
      </c>
      <c r="G8551" t="s">
        <v>31582</v>
      </c>
      <c r="H8551" t="s">
        <v>31591</v>
      </c>
      <c r="I8551" t="s">
        <v>8822</v>
      </c>
      <c r="J8551" t="s">
        <v>37147</v>
      </c>
      <c r="K8551" t="s">
        <v>41184</v>
      </c>
      <c r="M8551" t="s">
        <v>42190</v>
      </c>
      <c r="N8551" t="s">
        <v>45095</v>
      </c>
      <c r="O8551" t="s">
        <v>45096</v>
      </c>
      <c r="P8551">
        <v>0</v>
      </c>
      <c r="Q8551">
        <v>0</v>
      </c>
      <c r="R8551" t="s">
        <v>45104</v>
      </c>
      <c r="S8551" t="s">
        <v>45304</v>
      </c>
      <c r="T8551" t="s">
        <v>46988</v>
      </c>
      <c r="U8551" t="s">
        <v>54585</v>
      </c>
      <c r="W8551" t="s">
        <v>42190</v>
      </c>
      <c r="X8551" t="s">
        <v>45105</v>
      </c>
    </row>
    <row r="8552" spans="1:24">
      <c r="A8552">
        <f>HYPERLINK("https://www.philgeps.gov.ph/GEPSNONPILOT/Tender/SplashBidNoticeAbstractUI.aspx?menuIndex=3&amp;refID=7033113&amp;Result=3","7033113")</f>
        <v>0</v>
      </c>
      <c r="B8552" t="s">
        <v>2390</v>
      </c>
      <c r="C8552" t="s">
        <v>11352</v>
      </c>
      <c r="D8552" t="s">
        <v>18101</v>
      </c>
      <c r="E8552" t="s">
        <v>25615</v>
      </c>
      <c r="F8552" t="s">
        <v>31574</v>
      </c>
      <c r="G8552" t="s">
        <v>31582</v>
      </c>
      <c r="H8552" t="s">
        <v>31590</v>
      </c>
      <c r="I8552" t="s">
        <v>31625</v>
      </c>
      <c r="J8552" t="s">
        <v>31789</v>
      </c>
      <c r="K8552" t="s">
        <v>41186</v>
      </c>
      <c r="M8552" t="s">
        <v>44116</v>
      </c>
      <c r="N8552" t="s">
        <v>45095</v>
      </c>
      <c r="O8552" t="s">
        <v>45096</v>
      </c>
      <c r="P8552">
        <v>0</v>
      </c>
      <c r="Q8552">
        <v>0</v>
      </c>
      <c r="R8552" t="s">
        <v>45104</v>
      </c>
      <c r="S8552" t="s">
        <v>45304</v>
      </c>
      <c r="T8552" t="s">
        <v>47301</v>
      </c>
      <c r="U8552" t="s">
        <v>54586</v>
      </c>
      <c r="W8552" t="s">
        <v>44116</v>
      </c>
      <c r="X8552" t="s">
        <v>45105</v>
      </c>
    </row>
    <row r="8553" spans="1:24">
      <c r="A8553">
        <f>HYPERLINK("https://www.philgeps.gov.ph/GEPSNONPILOT/Tender/SplashBidNoticeAbstractUI.aspx?menuIndex=3&amp;refID=7033121&amp;Result=3","7033121")</f>
        <v>0</v>
      </c>
      <c r="B8553" t="s">
        <v>1418</v>
      </c>
      <c r="C8553" t="s">
        <v>11353</v>
      </c>
      <c r="D8553" t="s">
        <v>18061</v>
      </c>
      <c r="E8553" t="s">
        <v>25616</v>
      </c>
      <c r="F8553" t="s">
        <v>31574</v>
      </c>
      <c r="G8553" t="s">
        <v>31582</v>
      </c>
      <c r="H8553" t="s">
        <v>31590</v>
      </c>
      <c r="I8553" t="s">
        <v>31602</v>
      </c>
      <c r="J8553" t="s">
        <v>34709</v>
      </c>
      <c r="K8553" t="s">
        <v>41192</v>
      </c>
      <c r="M8553" t="s">
        <v>42994</v>
      </c>
      <c r="N8553" t="s">
        <v>45095</v>
      </c>
      <c r="O8553" t="s">
        <v>45096</v>
      </c>
      <c r="P8553">
        <v>0</v>
      </c>
      <c r="Q8553">
        <v>0</v>
      </c>
      <c r="R8553" t="s">
        <v>45104</v>
      </c>
      <c r="S8553" t="s">
        <v>45304</v>
      </c>
      <c r="T8553" t="s">
        <v>47159</v>
      </c>
      <c r="U8553" t="s">
        <v>54587</v>
      </c>
      <c r="W8553" t="s">
        <v>42994</v>
      </c>
      <c r="X8553" t="s">
        <v>45105</v>
      </c>
    </row>
    <row r="8554" spans="1:24">
      <c r="A8554">
        <f>HYPERLINK("https://www.philgeps.gov.ph/GEPSNONPILOT/Tender/SplashBidNoticeAbstractUI.aspx?menuIndex=3&amp;refID=7033107&amp;Result=3","7033107")</f>
        <v>0</v>
      </c>
      <c r="B8554" t="s">
        <v>73</v>
      </c>
      <c r="C8554" t="s">
        <v>11354</v>
      </c>
      <c r="D8554" t="s">
        <v>18041</v>
      </c>
      <c r="E8554" t="s">
        <v>25617</v>
      </c>
      <c r="F8554" t="s">
        <v>31574</v>
      </c>
      <c r="G8554" t="s">
        <v>31582</v>
      </c>
      <c r="H8554" t="s">
        <v>31593</v>
      </c>
      <c r="I8554" t="s">
        <v>31623</v>
      </c>
      <c r="J8554" t="s">
        <v>32235</v>
      </c>
      <c r="K8554" t="s">
        <v>41184</v>
      </c>
      <c r="M8554" t="s">
        <v>41557</v>
      </c>
      <c r="N8554" t="s">
        <v>45095</v>
      </c>
      <c r="O8554" t="s">
        <v>45096</v>
      </c>
      <c r="P8554">
        <v>0</v>
      </c>
      <c r="Q8554">
        <v>0</v>
      </c>
      <c r="R8554" t="s">
        <v>45104</v>
      </c>
      <c r="S8554" t="s">
        <v>45304</v>
      </c>
      <c r="T8554" t="s">
        <v>47197</v>
      </c>
      <c r="U8554" t="s">
        <v>54588</v>
      </c>
      <c r="V8554" t="s">
        <v>60739</v>
      </c>
      <c r="W8554" t="s">
        <v>41557</v>
      </c>
      <c r="X8554" t="s">
        <v>45105</v>
      </c>
    </row>
    <row r="8555" spans="1:24">
      <c r="A8555">
        <f>HYPERLINK("https://www.philgeps.gov.ph/GEPSNONPILOT/Tender/SplashBidNoticeAbstractUI.aspx?menuIndex=3&amp;refID=7033110&amp;Result=3","7033110")</f>
        <v>0</v>
      </c>
      <c r="B8555" t="s">
        <v>2383</v>
      </c>
      <c r="C8555" t="s">
        <v>11355</v>
      </c>
      <c r="D8555" t="s">
        <v>18087</v>
      </c>
      <c r="E8555" t="s">
        <v>25618</v>
      </c>
      <c r="F8555" t="s">
        <v>31574</v>
      </c>
      <c r="G8555" t="s">
        <v>31582</v>
      </c>
      <c r="H8555" t="s">
        <v>31590</v>
      </c>
      <c r="I8555" t="s">
        <v>5717</v>
      </c>
      <c r="J8555" t="s">
        <v>33041</v>
      </c>
      <c r="K8555" t="s">
        <v>41190</v>
      </c>
      <c r="M8555" t="s">
        <v>44107</v>
      </c>
      <c r="N8555" t="s">
        <v>45095</v>
      </c>
      <c r="O8555" t="s">
        <v>45096</v>
      </c>
      <c r="P8555">
        <v>0</v>
      </c>
      <c r="Q8555">
        <v>0</v>
      </c>
      <c r="R8555" t="s">
        <v>45104</v>
      </c>
      <c r="S8555" t="s">
        <v>45304</v>
      </c>
      <c r="T8555" t="s">
        <v>47159</v>
      </c>
      <c r="U8555" t="s">
        <v>54589</v>
      </c>
      <c r="W8555" t="s">
        <v>44107</v>
      </c>
      <c r="X8555" t="s">
        <v>45105</v>
      </c>
    </row>
    <row r="8556" spans="1:24">
      <c r="A8556">
        <f>HYPERLINK("https://www.philgeps.gov.ph/GEPSNONPILOT/Tender/SplashBidNoticeAbstractUI.aspx?menuIndex=3&amp;refID=7033148&amp;Result=3","7033148")</f>
        <v>0</v>
      </c>
      <c r="B8556" t="s">
        <v>2391</v>
      </c>
      <c r="C8556" t="s">
        <v>11356</v>
      </c>
      <c r="D8556" t="s">
        <v>18037</v>
      </c>
      <c r="E8556" t="s">
        <v>25619</v>
      </c>
      <c r="F8556" t="s">
        <v>31574</v>
      </c>
      <c r="G8556" t="s">
        <v>31581</v>
      </c>
      <c r="H8556" t="s">
        <v>31590</v>
      </c>
      <c r="I8556" t="s">
        <v>4327</v>
      </c>
      <c r="J8556" t="s">
        <v>32153</v>
      </c>
      <c r="K8556" t="s">
        <v>41193</v>
      </c>
      <c r="M8556" t="s">
        <v>44117</v>
      </c>
      <c r="N8556" t="s">
        <v>45095</v>
      </c>
      <c r="O8556" t="s">
        <v>45096</v>
      </c>
      <c r="P8556">
        <v>0</v>
      </c>
      <c r="Q8556">
        <v>1</v>
      </c>
      <c r="R8556" t="s">
        <v>45104</v>
      </c>
      <c r="S8556" t="s">
        <v>45304</v>
      </c>
      <c r="T8556" t="s">
        <v>47158</v>
      </c>
      <c r="U8556" t="s">
        <v>54590</v>
      </c>
      <c r="W8556" t="s">
        <v>44117</v>
      </c>
      <c r="X8556" t="s">
        <v>45105</v>
      </c>
    </row>
    <row r="8557" spans="1:24">
      <c r="A8557">
        <f>HYPERLINK("https://www.philgeps.gov.ph/GEPSNONPILOT/Tender/SplashBidNoticeAbstractUI.aspx?menuIndex=3&amp;refID=7033133&amp;Result=3","7033133")</f>
        <v>0</v>
      </c>
      <c r="B8557" t="s">
        <v>2392</v>
      </c>
      <c r="C8557" t="s">
        <v>11357</v>
      </c>
      <c r="D8557" t="s">
        <v>18028</v>
      </c>
      <c r="E8557" t="s">
        <v>25620</v>
      </c>
      <c r="F8557" t="s">
        <v>31574</v>
      </c>
      <c r="G8557" t="s">
        <v>31582</v>
      </c>
      <c r="H8557" t="s">
        <v>31591</v>
      </c>
      <c r="I8557" t="s">
        <v>8822</v>
      </c>
      <c r="J8557" t="s">
        <v>32101</v>
      </c>
      <c r="K8557" t="s">
        <v>41200</v>
      </c>
      <c r="M8557" t="s">
        <v>44118</v>
      </c>
      <c r="N8557" t="s">
        <v>45095</v>
      </c>
      <c r="O8557" t="s">
        <v>45096</v>
      </c>
      <c r="P8557">
        <v>0</v>
      </c>
      <c r="Q8557">
        <v>0</v>
      </c>
      <c r="R8557" t="s">
        <v>45104</v>
      </c>
      <c r="S8557" t="s">
        <v>45304</v>
      </c>
      <c r="T8557" t="s">
        <v>46905</v>
      </c>
      <c r="U8557" t="s">
        <v>54591</v>
      </c>
      <c r="W8557" t="s">
        <v>44118</v>
      </c>
      <c r="X8557" t="s">
        <v>45105</v>
      </c>
    </row>
    <row r="8558" spans="1:24">
      <c r="A8558">
        <f>HYPERLINK("https://www.philgeps.gov.ph/GEPSNONPILOT/Tender/SplashBidNoticeAbstractUI.aspx?menuIndex=3&amp;refID=7033109&amp;Result=3","7033109")</f>
        <v>0</v>
      </c>
      <c r="B8558" t="s">
        <v>201</v>
      </c>
      <c r="C8558" t="s">
        <v>3711</v>
      </c>
      <c r="D8558" t="s">
        <v>18045</v>
      </c>
      <c r="E8558" t="s">
        <v>25621</v>
      </c>
      <c r="F8558" t="s">
        <v>31574</v>
      </c>
      <c r="G8558" t="s">
        <v>31582</v>
      </c>
      <c r="H8558" t="s">
        <v>31590</v>
      </c>
      <c r="I8558" t="s">
        <v>31615</v>
      </c>
      <c r="J8558" t="s">
        <v>33856</v>
      </c>
      <c r="K8558" t="s">
        <v>41184</v>
      </c>
      <c r="M8558" t="s">
        <v>41686</v>
      </c>
      <c r="N8558" t="s">
        <v>45095</v>
      </c>
      <c r="O8558" t="s">
        <v>45096</v>
      </c>
      <c r="P8558">
        <v>0</v>
      </c>
      <c r="Q8558">
        <v>4</v>
      </c>
      <c r="R8558" t="s">
        <v>45104</v>
      </c>
      <c r="S8558" t="s">
        <v>45304</v>
      </c>
      <c r="T8558" t="s">
        <v>46939</v>
      </c>
      <c r="U8558" t="s">
        <v>54592</v>
      </c>
      <c r="V8558" t="s">
        <v>60740</v>
      </c>
      <c r="W8558" t="s">
        <v>41686</v>
      </c>
      <c r="X8558" t="s">
        <v>45105</v>
      </c>
    </row>
    <row r="8559" spans="1:24">
      <c r="A8559">
        <f>HYPERLINK("https://www.philgeps.gov.ph/GEPSNONPILOT/Tender/SplashBidNoticeAbstractUI.aspx?menuIndex=3&amp;refID=7033117&amp;Result=3","7033117")</f>
        <v>0</v>
      </c>
      <c r="B8559" t="s">
        <v>82</v>
      </c>
      <c r="C8559" t="s">
        <v>10318</v>
      </c>
      <c r="D8559" t="s">
        <v>18058</v>
      </c>
      <c r="E8559" t="s">
        <v>25622</v>
      </c>
      <c r="F8559" t="s">
        <v>31574</v>
      </c>
      <c r="G8559" t="s">
        <v>31581</v>
      </c>
      <c r="H8559" t="s">
        <v>31590</v>
      </c>
      <c r="I8559" t="s">
        <v>8258</v>
      </c>
      <c r="J8559" t="s">
        <v>37148</v>
      </c>
      <c r="K8559" t="s">
        <v>41193</v>
      </c>
      <c r="M8559" t="s">
        <v>44081</v>
      </c>
      <c r="N8559" t="s">
        <v>45095</v>
      </c>
      <c r="O8559" t="s">
        <v>45096</v>
      </c>
      <c r="P8559">
        <v>0</v>
      </c>
      <c r="Q8559">
        <v>1</v>
      </c>
      <c r="R8559" t="s">
        <v>45104</v>
      </c>
      <c r="S8559" t="s">
        <v>45304</v>
      </c>
      <c r="T8559" t="s">
        <v>46985</v>
      </c>
      <c r="U8559" t="s">
        <v>54593</v>
      </c>
      <c r="W8559" t="s">
        <v>44081</v>
      </c>
      <c r="X8559" t="s">
        <v>45105</v>
      </c>
    </row>
    <row r="8560" spans="1:24">
      <c r="A8560">
        <f>HYPERLINK("https://www.philgeps.gov.ph/GEPSNONPILOT/Tender/SplashBidNoticeAbstractUI.aspx?menuIndex=3&amp;refID=7033150&amp;Result=3","7033150")</f>
        <v>0</v>
      </c>
      <c r="B8560" t="s">
        <v>1586</v>
      </c>
      <c r="C8560" t="s">
        <v>11358</v>
      </c>
      <c r="E8560" t="s">
        <v>25623</v>
      </c>
      <c r="F8560" t="s">
        <v>31574</v>
      </c>
      <c r="G8560" t="s">
        <v>31581</v>
      </c>
      <c r="H8560" t="s">
        <v>31590</v>
      </c>
      <c r="I8560" t="s">
        <v>31612</v>
      </c>
      <c r="J8560" t="s">
        <v>36493</v>
      </c>
      <c r="K8560" t="s">
        <v>41184</v>
      </c>
      <c r="M8560" t="s">
        <v>44119</v>
      </c>
      <c r="N8560" t="s">
        <v>45095</v>
      </c>
      <c r="O8560" t="s">
        <v>45096</v>
      </c>
      <c r="P8560">
        <v>0</v>
      </c>
      <c r="Q8560">
        <v>7</v>
      </c>
      <c r="R8560" t="s">
        <v>45104</v>
      </c>
      <c r="S8560" t="s">
        <v>45304</v>
      </c>
      <c r="T8560" t="s">
        <v>47083</v>
      </c>
      <c r="U8560" t="s">
        <v>54594</v>
      </c>
      <c r="V8560" t="s">
        <v>60352</v>
      </c>
      <c r="W8560" t="s">
        <v>61710</v>
      </c>
      <c r="X8560" t="s">
        <v>45105</v>
      </c>
    </row>
    <row r="8561" spans="1:24">
      <c r="A8561">
        <f>HYPERLINK("https://www.philgeps.gov.ph/GEPSNONPILOT/Tender/SplashBidNoticeAbstractUI.aspx?menuIndex=3&amp;refID=7033146&amp;Result=3","7033146")</f>
        <v>0</v>
      </c>
      <c r="B8561" t="s">
        <v>58</v>
      </c>
      <c r="C8561" t="s">
        <v>11359</v>
      </c>
      <c r="D8561" t="s">
        <v>18047</v>
      </c>
      <c r="E8561" t="s">
        <v>25624</v>
      </c>
      <c r="F8561" t="s">
        <v>31574</v>
      </c>
      <c r="G8561" t="s">
        <v>31582</v>
      </c>
      <c r="H8561" t="s">
        <v>31590</v>
      </c>
      <c r="I8561" t="s">
        <v>4327</v>
      </c>
      <c r="J8561" t="s">
        <v>32039</v>
      </c>
      <c r="K8561" t="s">
        <v>41193</v>
      </c>
      <c r="M8561" t="s">
        <v>41542</v>
      </c>
      <c r="N8561" t="s">
        <v>45095</v>
      </c>
      <c r="O8561" t="s">
        <v>45096</v>
      </c>
      <c r="P8561">
        <v>0</v>
      </c>
      <c r="Q8561">
        <v>5</v>
      </c>
      <c r="R8561" t="s">
        <v>45104</v>
      </c>
      <c r="S8561" t="s">
        <v>45304</v>
      </c>
      <c r="T8561" t="s">
        <v>47344</v>
      </c>
      <c r="U8561" t="s">
        <v>54595</v>
      </c>
      <c r="V8561" t="s">
        <v>59855</v>
      </c>
      <c r="W8561" t="s">
        <v>41542</v>
      </c>
      <c r="X8561" t="s">
        <v>45105</v>
      </c>
    </row>
    <row r="8562" spans="1:24">
      <c r="A8562">
        <f>HYPERLINK("https://www.philgeps.gov.ph/GEPSNONPILOT/Tender/SplashBidNoticeAbstractUI.aspx?menuIndex=3&amp;refID=7033106&amp;Result=3","7033106")</f>
        <v>0</v>
      </c>
      <c r="B8562" t="s">
        <v>2055</v>
      </c>
      <c r="C8562" t="s">
        <v>11360</v>
      </c>
      <c r="D8562" t="s">
        <v>18099</v>
      </c>
      <c r="E8562" t="s">
        <v>25625</v>
      </c>
      <c r="F8562" t="s">
        <v>31574</v>
      </c>
      <c r="G8562" t="s">
        <v>31582</v>
      </c>
      <c r="H8562" t="s">
        <v>31591</v>
      </c>
      <c r="I8562" t="s">
        <v>8822</v>
      </c>
      <c r="J8562" t="s">
        <v>37149</v>
      </c>
      <c r="K8562" t="s">
        <v>41200</v>
      </c>
      <c r="M8562" t="s">
        <v>43724</v>
      </c>
      <c r="N8562" t="s">
        <v>45095</v>
      </c>
      <c r="O8562" t="s">
        <v>45096</v>
      </c>
      <c r="P8562">
        <v>0</v>
      </c>
      <c r="Q8562">
        <v>1</v>
      </c>
      <c r="R8562" t="s">
        <v>45104</v>
      </c>
      <c r="S8562" t="s">
        <v>45304</v>
      </c>
      <c r="T8562" t="s">
        <v>47010</v>
      </c>
      <c r="U8562" t="s">
        <v>54596</v>
      </c>
      <c r="V8562" t="s">
        <v>60741</v>
      </c>
      <c r="W8562" t="s">
        <v>43724</v>
      </c>
      <c r="X8562" t="s">
        <v>45105</v>
      </c>
    </row>
    <row r="8563" spans="1:24">
      <c r="A8563">
        <f>HYPERLINK("https://www.philgeps.gov.ph/GEPSNONPILOT/Tender/SplashBidNoticeAbstractUI.aspx?menuIndex=3&amp;refID=7033178&amp;Result=3","7033178")</f>
        <v>0</v>
      </c>
      <c r="B8563" t="s">
        <v>2113</v>
      </c>
      <c r="C8563" t="s">
        <v>11361</v>
      </c>
      <c r="D8563" t="s">
        <v>18102</v>
      </c>
      <c r="E8563" t="s">
        <v>21176</v>
      </c>
      <c r="F8563" t="s">
        <v>31575</v>
      </c>
      <c r="G8563" t="s">
        <v>31582</v>
      </c>
      <c r="H8563" t="s">
        <v>31590</v>
      </c>
      <c r="I8563" t="s">
        <v>31596</v>
      </c>
      <c r="J8563" t="s">
        <v>37150</v>
      </c>
      <c r="K8563" t="s">
        <v>41193</v>
      </c>
      <c r="M8563" t="s">
        <v>43794</v>
      </c>
      <c r="N8563" t="s">
        <v>45095</v>
      </c>
      <c r="O8563" t="s">
        <v>45096</v>
      </c>
      <c r="P8563">
        <v>0</v>
      </c>
      <c r="Q8563">
        <v>3</v>
      </c>
      <c r="R8563" t="s">
        <v>45104</v>
      </c>
      <c r="S8563" t="s">
        <v>45304</v>
      </c>
      <c r="T8563" t="s">
        <v>47198</v>
      </c>
      <c r="U8563" t="s">
        <v>53358</v>
      </c>
      <c r="W8563" t="s">
        <v>43794</v>
      </c>
      <c r="X8563" t="s">
        <v>45105</v>
      </c>
    </row>
    <row r="8564" spans="1:24">
      <c r="A8564">
        <f>HYPERLINK("https://www.philgeps.gov.ph/GEPSNONPILOT/Tender/SplashBidNoticeAbstractUI.aspx?menuIndex=3&amp;refID=7033171&amp;Result=3","7033171")</f>
        <v>0</v>
      </c>
      <c r="B8564" t="s">
        <v>683</v>
      </c>
      <c r="C8564" t="s">
        <v>11362</v>
      </c>
      <c r="D8564" t="s">
        <v>18059</v>
      </c>
      <c r="E8564" t="s">
        <v>25626</v>
      </c>
      <c r="F8564" t="s">
        <v>31574</v>
      </c>
      <c r="G8564" t="s">
        <v>31581</v>
      </c>
      <c r="H8564" t="s">
        <v>31590</v>
      </c>
      <c r="I8564" t="s">
        <v>4354</v>
      </c>
      <c r="J8564" t="s">
        <v>37151</v>
      </c>
      <c r="K8564" t="s">
        <v>41184</v>
      </c>
      <c r="M8564" t="s">
        <v>42190</v>
      </c>
      <c r="N8564" t="s">
        <v>45095</v>
      </c>
      <c r="O8564" t="s">
        <v>45096</v>
      </c>
      <c r="P8564">
        <v>0</v>
      </c>
      <c r="Q8564">
        <v>0</v>
      </c>
      <c r="R8564" t="s">
        <v>45104</v>
      </c>
      <c r="S8564" t="s">
        <v>45304</v>
      </c>
      <c r="T8564" t="s">
        <v>47159</v>
      </c>
      <c r="U8564" t="s">
        <v>54597</v>
      </c>
      <c r="W8564" t="s">
        <v>42190</v>
      </c>
      <c r="X8564" t="s">
        <v>45105</v>
      </c>
    </row>
    <row r="8565" spans="1:24">
      <c r="A8565">
        <f>HYPERLINK("https://www.philgeps.gov.ph/GEPSNONPILOT/Tender/SplashBidNoticeAbstractUI.aspx?menuIndex=3&amp;refID=7033165&amp;Result=3","7033165")</f>
        <v>0</v>
      </c>
      <c r="B8565" t="s">
        <v>2393</v>
      </c>
      <c r="C8565" t="s">
        <v>10163</v>
      </c>
      <c r="E8565" t="s">
        <v>25627</v>
      </c>
      <c r="F8565" t="s">
        <v>31574</v>
      </c>
      <c r="G8565" t="s">
        <v>31582</v>
      </c>
      <c r="H8565" t="s">
        <v>31590</v>
      </c>
      <c r="I8565" t="s">
        <v>8822</v>
      </c>
      <c r="J8565" t="s">
        <v>37152</v>
      </c>
      <c r="K8565" t="s">
        <v>41184</v>
      </c>
      <c r="M8565" t="s">
        <v>44120</v>
      </c>
      <c r="N8565" t="s">
        <v>45095</v>
      </c>
      <c r="O8565" t="s">
        <v>45096</v>
      </c>
      <c r="P8565">
        <v>0</v>
      </c>
      <c r="Q8565">
        <v>0</v>
      </c>
      <c r="R8565" t="s">
        <v>45104</v>
      </c>
      <c r="S8565" t="s">
        <v>45304</v>
      </c>
      <c r="T8565" t="s">
        <v>47000</v>
      </c>
      <c r="U8565" t="s">
        <v>54598</v>
      </c>
      <c r="W8565" t="s">
        <v>44120</v>
      </c>
      <c r="X8565" t="s">
        <v>45105</v>
      </c>
    </row>
    <row r="8566" spans="1:24">
      <c r="A8566">
        <f>HYPERLINK("https://www.philgeps.gov.ph/GEPSNONPILOT/Tender/SplashBidNoticeAbstractUI.aspx?menuIndex=3&amp;refID=7033179&amp;Result=3","7033179")</f>
        <v>0</v>
      </c>
      <c r="B8566" t="s">
        <v>744</v>
      </c>
      <c r="C8566" t="s">
        <v>11363</v>
      </c>
      <c r="D8566" t="s">
        <v>18040</v>
      </c>
      <c r="E8566" t="s">
        <v>25628</v>
      </c>
      <c r="F8566" t="s">
        <v>31574</v>
      </c>
      <c r="G8566" t="s">
        <v>31582</v>
      </c>
      <c r="H8566" t="s">
        <v>31591</v>
      </c>
      <c r="I8566" t="s">
        <v>8822</v>
      </c>
      <c r="J8566" t="s">
        <v>32026</v>
      </c>
      <c r="K8566" t="s">
        <v>41254</v>
      </c>
      <c r="M8566" t="s">
        <v>44110</v>
      </c>
      <c r="N8566" t="s">
        <v>45095</v>
      </c>
      <c r="O8566" t="s">
        <v>45096</v>
      </c>
      <c r="P8566">
        <v>0</v>
      </c>
      <c r="Q8566">
        <v>0</v>
      </c>
      <c r="R8566" t="s">
        <v>45104</v>
      </c>
      <c r="S8566" t="s">
        <v>45304</v>
      </c>
      <c r="T8566" t="s">
        <v>47000</v>
      </c>
      <c r="U8566" t="s">
        <v>54599</v>
      </c>
      <c r="W8566" t="s">
        <v>44110</v>
      </c>
      <c r="X8566" t="s">
        <v>45105</v>
      </c>
    </row>
    <row r="8567" spans="1:24">
      <c r="A8567">
        <f>HYPERLINK("https://www.philgeps.gov.ph/GEPSNONPILOT/Tender/SplashBidNoticeAbstractUI.aspx?menuIndex=3&amp;refID=7033163&amp;Result=3","7033163")</f>
        <v>0</v>
      </c>
      <c r="B8567" t="s">
        <v>1418</v>
      </c>
      <c r="C8567" t="s">
        <v>11364</v>
      </c>
      <c r="D8567" t="s">
        <v>18061</v>
      </c>
      <c r="E8567" t="s">
        <v>25629</v>
      </c>
      <c r="F8567" t="s">
        <v>31574</v>
      </c>
      <c r="G8567" t="s">
        <v>31582</v>
      </c>
      <c r="H8567" t="s">
        <v>31590</v>
      </c>
      <c r="I8567" t="s">
        <v>3651</v>
      </c>
      <c r="J8567" t="s">
        <v>37153</v>
      </c>
      <c r="K8567" t="s">
        <v>41200</v>
      </c>
      <c r="M8567" t="s">
        <v>42994</v>
      </c>
      <c r="N8567" t="s">
        <v>45095</v>
      </c>
      <c r="O8567" t="s">
        <v>45096</v>
      </c>
      <c r="P8567">
        <v>0</v>
      </c>
      <c r="Q8567">
        <v>0</v>
      </c>
      <c r="R8567" t="s">
        <v>45104</v>
      </c>
      <c r="S8567" t="s">
        <v>45304</v>
      </c>
      <c r="T8567" t="s">
        <v>47159</v>
      </c>
      <c r="U8567" t="s">
        <v>54600</v>
      </c>
      <c r="W8567" t="s">
        <v>42994</v>
      </c>
      <c r="X8567" t="s">
        <v>45105</v>
      </c>
    </row>
    <row r="8568" spans="1:24">
      <c r="A8568">
        <f>HYPERLINK("https://www.philgeps.gov.ph/GEPSNONPILOT/Tender/SplashBidNoticeAbstractUI.aspx?menuIndex=3&amp;refID=7033158&amp;Result=3","7033158")</f>
        <v>0</v>
      </c>
      <c r="B8568" t="s">
        <v>401</v>
      </c>
      <c r="C8568" t="s">
        <v>11365</v>
      </c>
      <c r="D8568" t="s">
        <v>18052</v>
      </c>
      <c r="E8568" t="s">
        <v>25630</v>
      </c>
      <c r="F8568" t="s">
        <v>31574</v>
      </c>
      <c r="G8568" t="s">
        <v>31581</v>
      </c>
      <c r="H8568" t="s">
        <v>31590</v>
      </c>
      <c r="I8568" t="s">
        <v>31594</v>
      </c>
      <c r="J8568" t="s">
        <v>37154</v>
      </c>
      <c r="K8568" t="s">
        <v>41196</v>
      </c>
      <c r="M8568" t="s">
        <v>41892</v>
      </c>
      <c r="N8568" t="s">
        <v>45095</v>
      </c>
      <c r="O8568" t="s">
        <v>45096</v>
      </c>
      <c r="P8568">
        <v>0</v>
      </c>
      <c r="Q8568">
        <v>6</v>
      </c>
      <c r="R8568" t="s">
        <v>45104</v>
      </c>
      <c r="S8568" t="s">
        <v>45304</v>
      </c>
      <c r="T8568" t="s">
        <v>47159</v>
      </c>
      <c r="U8568" t="s">
        <v>53869</v>
      </c>
      <c r="W8568" t="s">
        <v>41892</v>
      </c>
      <c r="X8568" t="s">
        <v>45105</v>
      </c>
    </row>
    <row r="8569" spans="1:24">
      <c r="A8569">
        <f>HYPERLINK("https://www.philgeps.gov.ph/GEPSNONPILOT/Tender/SplashBidNoticeAbstractUI.aspx?menuIndex=3&amp;refID=7033175&amp;Result=3","7033175")</f>
        <v>0</v>
      </c>
      <c r="B8569" t="s">
        <v>2081</v>
      </c>
      <c r="C8569" t="s">
        <v>11366</v>
      </c>
      <c r="D8569" t="s">
        <v>18064</v>
      </c>
      <c r="E8569" t="s">
        <v>25631</v>
      </c>
      <c r="F8569" t="s">
        <v>31574</v>
      </c>
      <c r="G8569" t="s">
        <v>31582</v>
      </c>
      <c r="H8569" t="s">
        <v>31590</v>
      </c>
      <c r="I8569" t="s">
        <v>31619</v>
      </c>
      <c r="J8569" t="s">
        <v>37155</v>
      </c>
      <c r="K8569" t="s">
        <v>41193</v>
      </c>
      <c r="L8569" t="s">
        <v>2081</v>
      </c>
      <c r="M8569" t="s">
        <v>43756</v>
      </c>
      <c r="N8569" t="s">
        <v>45095</v>
      </c>
      <c r="O8569" t="s">
        <v>45096</v>
      </c>
      <c r="P8569">
        <v>0</v>
      </c>
      <c r="Q8569">
        <v>2</v>
      </c>
      <c r="R8569" t="s">
        <v>45104</v>
      </c>
      <c r="S8569" t="s">
        <v>45304</v>
      </c>
      <c r="T8569" t="s">
        <v>46977</v>
      </c>
      <c r="U8569" t="s">
        <v>54601</v>
      </c>
      <c r="W8569" t="s">
        <v>43756</v>
      </c>
      <c r="X8569" t="s">
        <v>45105</v>
      </c>
    </row>
    <row r="8570" spans="1:24">
      <c r="A8570">
        <f>HYPERLINK("https://www.philgeps.gov.ph/GEPSNONPILOT/Tender/SplashBidNoticeAbstractUI.aspx?menuIndex=3&amp;refID=7033170&amp;Result=3","7033170")</f>
        <v>0</v>
      </c>
      <c r="B8570" t="s">
        <v>201</v>
      </c>
      <c r="C8570" t="s">
        <v>11367</v>
      </c>
      <c r="D8570" t="s">
        <v>18045</v>
      </c>
      <c r="E8570" t="s">
        <v>25632</v>
      </c>
      <c r="F8570" t="s">
        <v>31574</v>
      </c>
      <c r="G8570" t="s">
        <v>31582</v>
      </c>
      <c r="H8570" t="s">
        <v>31590</v>
      </c>
      <c r="I8570" t="s">
        <v>31614</v>
      </c>
      <c r="J8570" t="s">
        <v>31935</v>
      </c>
      <c r="K8570" t="s">
        <v>41184</v>
      </c>
      <c r="M8570" t="s">
        <v>41686</v>
      </c>
      <c r="N8570" t="s">
        <v>45095</v>
      </c>
      <c r="O8570" t="s">
        <v>45096</v>
      </c>
      <c r="P8570">
        <v>0</v>
      </c>
      <c r="Q8570">
        <v>2</v>
      </c>
      <c r="R8570" t="s">
        <v>45104</v>
      </c>
      <c r="S8570" t="s">
        <v>45304</v>
      </c>
      <c r="T8570" t="s">
        <v>46939</v>
      </c>
      <c r="U8570" t="s">
        <v>54602</v>
      </c>
      <c r="V8570" t="s">
        <v>60742</v>
      </c>
      <c r="W8570" t="s">
        <v>41686</v>
      </c>
      <c r="X8570" t="s">
        <v>45105</v>
      </c>
    </row>
    <row r="8571" spans="1:24">
      <c r="A8571">
        <f>HYPERLINK("https://www.philgeps.gov.ph/GEPSNONPILOT/Tender/SplashBidNoticeAbstractUI.aspx?menuIndex=3&amp;refID=7033200&amp;Result=3","7033200")</f>
        <v>0</v>
      </c>
      <c r="B8571" t="s">
        <v>2246</v>
      </c>
      <c r="C8571" t="s">
        <v>11368</v>
      </c>
      <c r="D8571" t="s">
        <v>18107</v>
      </c>
      <c r="E8571" t="s">
        <v>25633</v>
      </c>
      <c r="F8571" t="s">
        <v>31574</v>
      </c>
      <c r="G8571" t="s">
        <v>31581</v>
      </c>
      <c r="H8571" t="s">
        <v>31590</v>
      </c>
      <c r="I8571" t="s">
        <v>31600</v>
      </c>
      <c r="J8571" t="s">
        <v>37156</v>
      </c>
      <c r="K8571" t="s">
        <v>41191</v>
      </c>
      <c r="M8571" t="s">
        <v>43944</v>
      </c>
      <c r="N8571" t="s">
        <v>45095</v>
      </c>
      <c r="O8571" t="s">
        <v>45096</v>
      </c>
      <c r="P8571">
        <v>0</v>
      </c>
      <c r="Q8571">
        <v>0</v>
      </c>
      <c r="R8571" t="s">
        <v>45104</v>
      </c>
      <c r="S8571" t="s">
        <v>45304</v>
      </c>
      <c r="T8571" t="s">
        <v>46918</v>
      </c>
      <c r="U8571" t="s">
        <v>54603</v>
      </c>
      <c r="W8571" t="s">
        <v>43944</v>
      </c>
      <c r="X8571" t="s">
        <v>45105</v>
      </c>
    </row>
    <row r="8572" spans="1:24">
      <c r="A8572">
        <f>HYPERLINK("https://www.philgeps.gov.ph/GEPSNONPILOT/Tender/SplashBidNoticeAbstractUI.aspx?menuIndex=3&amp;refID=7033174&amp;Result=3","7033174")</f>
        <v>0</v>
      </c>
      <c r="B8572" t="s">
        <v>2394</v>
      </c>
      <c r="C8572" t="s">
        <v>11369</v>
      </c>
      <c r="D8572" t="s">
        <v>18052</v>
      </c>
      <c r="E8572" t="s">
        <v>19061</v>
      </c>
      <c r="F8572" t="s">
        <v>31574</v>
      </c>
      <c r="G8572" t="s">
        <v>31582</v>
      </c>
      <c r="H8572" t="s">
        <v>31590</v>
      </c>
      <c r="I8572" t="s">
        <v>8822</v>
      </c>
      <c r="J8572" t="s">
        <v>37157</v>
      </c>
      <c r="K8572" t="s">
        <v>41196</v>
      </c>
      <c r="M8572" t="s">
        <v>44121</v>
      </c>
      <c r="N8572" t="s">
        <v>45095</v>
      </c>
      <c r="O8572" t="s">
        <v>45096</v>
      </c>
      <c r="P8572">
        <v>0</v>
      </c>
      <c r="Q8572">
        <v>0</v>
      </c>
      <c r="R8572" t="s">
        <v>45104</v>
      </c>
      <c r="S8572" t="s">
        <v>45304</v>
      </c>
      <c r="T8572" t="s">
        <v>47154</v>
      </c>
      <c r="U8572" t="s">
        <v>54604</v>
      </c>
      <c r="W8572" t="s">
        <v>44121</v>
      </c>
      <c r="X8572" t="s">
        <v>45105</v>
      </c>
    </row>
    <row r="8573" spans="1:24">
      <c r="A8573">
        <f>HYPERLINK("https://www.philgeps.gov.ph/GEPSNONPILOT/Tender/SplashBidNoticeAbstractUI.aspx?menuIndex=3&amp;refID=7033173&amp;Result=3","7033173")</f>
        <v>0</v>
      </c>
      <c r="B8573" t="s">
        <v>1440</v>
      </c>
      <c r="C8573" t="s">
        <v>11370</v>
      </c>
      <c r="D8573" t="s">
        <v>18084</v>
      </c>
      <c r="E8573" t="s">
        <v>25634</v>
      </c>
      <c r="F8573" t="s">
        <v>31574</v>
      </c>
      <c r="G8573" t="s">
        <v>31581</v>
      </c>
      <c r="H8573" t="s">
        <v>31590</v>
      </c>
      <c r="I8573" t="s">
        <v>31608</v>
      </c>
      <c r="J8573" t="s">
        <v>32311</v>
      </c>
      <c r="K8573" t="s">
        <v>41196</v>
      </c>
      <c r="M8573" t="s">
        <v>43316</v>
      </c>
      <c r="N8573" t="s">
        <v>45095</v>
      </c>
      <c r="O8573" t="s">
        <v>45096</v>
      </c>
      <c r="P8573">
        <v>0</v>
      </c>
      <c r="Q8573">
        <v>3</v>
      </c>
      <c r="R8573" t="s">
        <v>45104</v>
      </c>
      <c r="S8573" t="s">
        <v>45304</v>
      </c>
      <c r="T8573" t="s">
        <v>47159</v>
      </c>
      <c r="U8573" t="s">
        <v>51287</v>
      </c>
      <c r="V8573" t="s">
        <v>60330</v>
      </c>
      <c r="W8573" t="s">
        <v>61738</v>
      </c>
      <c r="X8573" t="s">
        <v>45105</v>
      </c>
    </row>
    <row r="8574" spans="1:24">
      <c r="A8574">
        <f>HYPERLINK("https://www.philgeps.gov.ph/GEPSNONPILOT/Tender/SplashBidNoticeAbstractUI.aspx?menuIndex=3&amp;refID=7033156&amp;Result=3","7033156")</f>
        <v>0</v>
      </c>
      <c r="B8574" t="s">
        <v>2395</v>
      </c>
      <c r="C8574" t="s">
        <v>11371</v>
      </c>
      <c r="D8574" t="s">
        <v>18065</v>
      </c>
      <c r="E8574" t="s">
        <v>20688</v>
      </c>
      <c r="F8574" t="s">
        <v>31574</v>
      </c>
      <c r="G8574" t="s">
        <v>31582</v>
      </c>
      <c r="H8574" t="s">
        <v>31591</v>
      </c>
      <c r="I8574" t="s">
        <v>8822</v>
      </c>
      <c r="J8574" t="s">
        <v>33359</v>
      </c>
      <c r="K8574" t="s">
        <v>41186</v>
      </c>
      <c r="M8574" t="s">
        <v>44122</v>
      </c>
      <c r="N8574" t="s">
        <v>45095</v>
      </c>
      <c r="O8574" t="s">
        <v>45096</v>
      </c>
      <c r="P8574">
        <v>0</v>
      </c>
      <c r="Q8574">
        <v>0</v>
      </c>
      <c r="R8574" t="s">
        <v>45104</v>
      </c>
      <c r="S8574" t="s">
        <v>45304</v>
      </c>
      <c r="T8574" t="s">
        <v>46989</v>
      </c>
      <c r="U8574" t="s">
        <v>54605</v>
      </c>
      <c r="W8574" t="s">
        <v>44122</v>
      </c>
      <c r="X8574" t="s">
        <v>45105</v>
      </c>
    </row>
    <row r="8575" spans="1:24">
      <c r="A8575">
        <f>HYPERLINK("https://www.philgeps.gov.ph/GEPSNONPILOT/Tender/SplashBidNoticeAbstractUI.aspx?menuIndex=3&amp;refID=7033172&amp;Result=3","7033172")</f>
        <v>0</v>
      </c>
      <c r="B8575" t="s">
        <v>410</v>
      </c>
      <c r="C8575" t="s">
        <v>11372</v>
      </c>
      <c r="D8575" t="s">
        <v>18072</v>
      </c>
      <c r="E8575" t="s">
        <v>25635</v>
      </c>
      <c r="F8575" t="s">
        <v>31574</v>
      </c>
      <c r="G8575" t="s">
        <v>31582</v>
      </c>
      <c r="H8575" t="s">
        <v>31590</v>
      </c>
      <c r="I8575" t="s">
        <v>4046</v>
      </c>
      <c r="J8575" t="s">
        <v>37158</v>
      </c>
      <c r="K8575" t="s">
        <v>41186</v>
      </c>
      <c r="M8575" t="s">
        <v>41901</v>
      </c>
      <c r="N8575" t="s">
        <v>45095</v>
      </c>
      <c r="O8575" t="s">
        <v>45096</v>
      </c>
      <c r="P8575">
        <v>0</v>
      </c>
      <c r="Q8575">
        <v>0</v>
      </c>
      <c r="R8575" t="s">
        <v>45104</v>
      </c>
      <c r="S8575" t="s">
        <v>45304</v>
      </c>
      <c r="T8575" t="s">
        <v>47092</v>
      </c>
      <c r="U8575" t="s">
        <v>54606</v>
      </c>
      <c r="W8575" t="s">
        <v>41901</v>
      </c>
      <c r="X8575" t="s">
        <v>45105</v>
      </c>
    </row>
    <row r="8576" spans="1:24">
      <c r="A8576">
        <f>HYPERLINK("https://www.philgeps.gov.ph/GEPSNONPILOT/Tender/SplashBidNoticeAbstractUI.aspx?menuIndex=3&amp;refID=7033193&amp;Result=3","7033193")</f>
        <v>0</v>
      </c>
      <c r="B8576" t="s">
        <v>463</v>
      </c>
      <c r="C8576" t="s">
        <v>11373</v>
      </c>
      <c r="D8576" t="s">
        <v>18033</v>
      </c>
      <c r="E8576" t="s">
        <v>21063</v>
      </c>
      <c r="F8576" t="s">
        <v>31574</v>
      </c>
      <c r="G8576" t="s">
        <v>31582</v>
      </c>
      <c r="H8576" t="s">
        <v>31590</v>
      </c>
      <c r="I8576" t="s">
        <v>31667</v>
      </c>
      <c r="J8576" t="s">
        <v>37159</v>
      </c>
      <c r="K8576" t="s">
        <v>41185</v>
      </c>
      <c r="M8576" t="s">
        <v>41957</v>
      </c>
      <c r="N8576" t="s">
        <v>45095</v>
      </c>
      <c r="O8576" t="s">
        <v>45096</v>
      </c>
      <c r="P8576">
        <v>0</v>
      </c>
      <c r="Q8576">
        <v>4</v>
      </c>
      <c r="R8576" t="s">
        <v>45104</v>
      </c>
      <c r="S8576" t="s">
        <v>45304</v>
      </c>
      <c r="T8576" t="s">
        <v>47154</v>
      </c>
      <c r="U8576" t="s">
        <v>54607</v>
      </c>
      <c r="W8576" t="s">
        <v>41957</v>
      </c>
      <c r="X8576" t="s">
        <v>45105</v>
      </c>
    </row>
    <row r="8577" spans="1:24">
      <c r="A8577">
        <f>HYPERLINK("https://www.philgeps.gov.ph/GEPSNONPILOT/Tender/SplashBidNoticeAbstractUI.aspx?menuIndex=3&amp;refID=7033205&amp;Result=3","7033205")</f>
        <v>0</v>
      </c>
      <c r="B8577" t="s">
        <v>344</v>
      </c>
      <c r="C8577" t="s">
        <v>11374</v>
      </c>
      <c r="D8577" t="s">
        <v>18027</v>
      </c>
      <c r="E8577" t="s">
        <v>25636</v>
      </c>
      <c r="F8577" t="s">
        <v>31574</v>
      </c>
      <c r="G8577" t="s">
        <v>31582</v>
      </c>
      <c r="H8577" t="s">
        <v>31591</v>
      </c>
      <c r="I8577" t="s">
        <v>8822</v>
      </c>
      <c r="J8577" t="s">
        <v>37160</v>
      </c>
      <c r="K8577" t="s">
        <v>41185</v>
      </c>
      <c r="M8577" t="s">
        <v>41832</v>
      </c>
      <c r="N8577" t="s">
        <v>45095</v>
      </c>
      <c r="O8577" t="s">
        <v>45096</v>
      </c>
      <c r="P8577">
        <v>0</v>
      </c>
      <c r="Q8577">
        <v>0</v>
      </c>
      <c r="R8577" t="s">
        <v>45104</v>
      </c>
      <c r="S8577" t="s">
        <v>45304</v>
      </c>
      <c r="T8577" t="s">
        <v>46935</v>
      </c>
      <c r="U8577" t="s">
        <v>54608</v>
      </c>
      <c r="W8577" t="s">
        <v>41832</v>
      </c>
      <c r="X8577" t="s">
        <v>45105</v>
      </c>
    </row>
    <row r="8578" spans="1:24">
      <c r="A8578">
        <f>HYPERLINK("https://www.philgeps.gov.ph/GEPSNONPILOT/Tender/SplashBidNoticeAbstractUI.aspx?menuIndex=3&amp;refID=7033191&amp;Result=3","7033191")</f>
        <v>0</v>
      </c>
      <c r="B8578" t="s">
        <v>60</v>
      </c>
      <c r="C8578" t="s">
        <v>11375</v>
      </c>
      <c r="D8578" t="s">
        <v>18050</v>
      </c>
      <c r="E8578" t="s">
        <v>25637</v>
      </c>
      <c r="F8578" t="s">
        <v>31574</v>
      </c>
      <c r="G8578" t="s">
        <v>31582</v>
      </c>
      <c r="H8578" t="s">
        <v>31590</v>
      </c>
      <c r="I8578" t="s">
        <v>31602</v>
      </c>
      <c r="J8578" t="s">
        <v>37161</v>
      </c>
      <c r="K8578" t="s">
        <v>41198</v>
      </c>
      <c r="M8578" t="s">
        <v>41544</v>
      </c>
      <c r="N8578" t="s">
        <v>45095</v>
      </c>
      <c r="O8578" t="s">
        <v>45096</v>
      </c>
      <c r="P8578">
        <v>0</v>
      </c>
      <c r="Q8578">
        <v>2</v>
      </c>
      <c r="R8578" t="s">
        <v>45104</v>
      </c>
      <c r="S8578" t="s">
        <v>45304</v>
      </c>
      <c r="T8578" t="s">
        <v>46988</v>
      </c>
      <c r="U8578" t="s">
        <v>54609</v>
      </c>
      <c r="W8578" t="s">
        <v>41544</v>
      </c>
      <c r="X8578" t="s">
        <v>45105</v>
      </c>
    </row>
    <row r="8579" spans="1:24">
      <c r="A8579">
        <f>HYPERLINK("https://www.philgeps.gov.ph/GEPSNONPILOT/Tender/SplashBidNoticeAbstractUI.aspx?menuIndex=3&amp;refID=7033198&amp;Result=3","7033198")</f>
        <v>0</v>
      </c>
      <c r="B8579" t="s">
        <v>2396</v>
      </c>
      <c r="C8579" t="s">
        <v>11376</v>
      </c>
      <c r="D8579" t="s">
        <v>18084</v>
      </c>
      <c r="E8579" t="s">
        <v>18472</v>
      </c>
      <c r="F8579" t="s">
        <v>31574</v>
      </c>
      <c r="G8579" t="s">
        <v>31581</v>
      </c>
      <c r="H8579" t="s">
        <v>31590</v>
      </c>
      <c r="I8579" t="s">
        <v>31600</v>
      </c>
      <c r="J8579" t="s">
        <v>31843</v>
      </c>
      <c r="K8579" t="s">
        <v>41186</v>
      </c>
      <c r="M8579" t="s">
        <v>44123</v>
      </c>
      <c r="N8579" t="s">
        <v>45095</v>
      </c>
      <c r="O8579" t="s">
        <v>45096</v>
      </c>
      <c r="P8579">
        <v>0</v>
      </c>
      <c r="Q8579">
        <v>2</v>
      </c>
      <c r="R8579" t="s">
        <v>45104</v>
      </c>
      <c r="S8579" t="s">
        <v>45304</v>
      </c>
      <c r="T8579" t="s">
        <v>46946</v>
      </c>
      <c r="U8579" t="s">
        <v>54610</v>
      </c>
      <c r="W8579" t="s">
        <v>44123</v>
      </c>
      <c r="X8579" t="s">
        <v>45105</v>
      </c>
    </row>
    <row r="8580" spans="1:24">
      <c r="A8580">
        <f>HYPERLINK("https://www.philgeps.gov.ph/GEPSNONPILOT/Tender/SplashBidNoticeAbstractUI.aspx?menuIndex=3&amp;refID=7033207&amp;Result=3","7033207")</f>
        <v>0</v>
      </c>
      <c r="B8580" t="s">
        <v>1585</v>
      </c>
      <c r="C8580" t="s">
        <v>11377</v>
      </c>
      <c r="D8580" t="s">
        <v>18043</v>
      </c>
      <c r="E8580" t="s">
        <v>25638</v>
      </c>
      <c r="F8580" t="s">
        <v>31574</v>
      </c>
      <c r="G8580" t="s">
        <v>31582</v>
      </c>
      <c r="H8580" t="s">
        <v>31590</v>
      </c>
      <c r="I8580" t="s">
        <v>31599</v>
      </c>
      <c r="J8580" t="s">
        <v>32232</v>
      </c>
      <c r="K8580" t="s">
        <v>41196</v>
      </c>
      <c r="M8580" t="s">
        <v>43189</v>
      </c>
      <c r="N8580" t="s">
        <v>45095</v>
      </c>
      <c r="O8580" t="s">
        <v>45096</v>
      </c>
      <c r="P8580">
        <v>0</v>
      </c>
      <c r="Q8580">
        <v>1</v>
      </c>
      <c r="R8580" t="s">
        <v>45104</v>
      </c>
      <c r="S8580" t="s">
        <v>45304</v>
      </c>
      <c r="T8580" t="s">
        <v>46918</v>
      </c>
      <c r="U8580" t="s">
        <v>54611</v>
      </c>
      <c r="V8580" t="s">
        <v>60743</v>
      </c>
      <c r="W8580" t="s">
        <v>43189</v>
      </c>
      <c r="X8580" t="s">
        <v>45105</v>
      </c>
    </row>
    <row r="8581" spans="1:24">
      <c r="A8581">
        <f>HYPERLINK("https://www.philgeps.gov.ph/GEPSNONPILOT/Tender/SplashBidNoticeAbstractUI.aspx?menuIndex=3&amp;refID=7033188&amp;Result=3","7033188")</f>
        <v>0</v>
      </c>
      <c r="B8581" t="s">
        <v>683</v>
      </c>
      <c r="C8581" t="s">
        <v>11378</v>
      </c>
      <c r="D8581" t="s">
        <v>18059</v>
      </c>
      <c r="E8581" t="s">
        <v>25639</v>
      </c>
      <c r="F8581" t="s">
        <v>31574</v>
      </c>
      <c r="G8581" t="s">
        <v>31583</v>
      </c>
      <c r="H8581" t="s">
        <v>31590</v>
      </c>
      <c r="I8581" t="s">
        <v>6800</v>
      </c>
      <c r="J8581" t="s">
        <v>37162</v>
      </c>
      <c r="K8581" t="s">
        <v>41184</v>
      </c>
      <c r="M8581" t="s">
        <v>42190</v>
      </c>
      <c r="N8581" t="s">
        <v>45095</v>
      </c>
      <c r="O8581" t="s">
        <v>45096</v>
      </c>
      <c r="P8581">
        <v>0</v>
      </c>
      <c r="Q8581">
        <v>0</v>
      </c>
      <c r="R8581" t="s">
        <v>45104</v>
      </c>
      <c r="S8581" t="s">
        <v>45304</v>
      </c>
      <c r="T8581" t="s">
        <v>47159</v>
      </c>
      <c r="U8581" t="s">
        <v>54612</v>
      </c>
      <c r="W8581" t="s">
        <v>42190</v>
      </c>
      <c r="X8581" t="s">
        <v>45105</v>
      </c>
    </row>
    <row r="8582" spans="1:24">
      <c r="A8582">
        <f>HYPERLINK("https://www.philgeps.gov.ph/GEPSNONPILOT/Tender/SplashBidNoticeAbstractUI.aspx?menuIndex=3&amp;refID=7033230&amp;Result=3","7033230")</f>
        <v>0</v>
      </c>
      <c r="B8582" t="s">
        <v>2397</v>
      </c>
      <c r="C8582" t="s">
        <v>11379</v>
      </c>
      <c r="D8582" t="s">
        <v>18052</v>
      </c>
      <c r="E8582" t="s">
        <v>19323</v>
      </c>
      <c r="F8582" t="s">
        <v>31574</v>
      </c>
      <c r="G8582" t="s">
        <v>31583</v>
      </c>
      <c r="H8582" t="s">
        <v>31590</v>
      </c>
      <c r="I8582" t="s">
        <v>31608</v>
      </c>
      <c r="J8582" t="s">
        <v>32017</v>
      </c>
      <c r="K8582" t="s">
        <v>41186</v>
      </c>
      <c r="M8582" t="s">
        <v>44124</v>
      </c>
      <c r="N8582" t="s">
        <v>45095</v>
      </c>
      <c r="O8582" t="s">
        <v>45096</v>
      </c>
      <c r="P8582">
        <v>0</v>
      </c>
      <c r="Q8582">
        <v>2</v>
      </c>
      <c r="R8582" t="s">
        <v>45104</v>
      </c>
      <c r="S8582" t="s">
        <v>45304</v>
      </c>
      <c r="T8582" t="s">
        <v>47193</v>
      </c>
      <c r="U8582" t="s">
        <v>54613</v>
      </c>
      <c r="W8582" t="s">
        <v>44124</v>
      </c>
      <c r="X8582" t="s">
        <v>45105</v>
      </c>
    </row>
    <row r="8583" spans="1:24">
      <c r="A8583">
        <f>HYPERLINK("https://www.philgeps.gov.ph/GEPSNONPILOT/Tender/SplashBidNoticeAbstractUI.aspx?menuIndex=3&amp;refID=7033222&amp;Result=3","7033222")</f>
        <v>0</v>
      </c>
      <c r="B8583" t="s">
        <v>2398</v>
      </c>
      <c r="C8583" t="s">
        <v>11380</v>
      </c>
      <c r="D8583" t="s">
        <v>18072</v>
      </c>
      <c r="E8583" t="s">
        <v>25640</v>
      </c>
      <c r="F8583" t="s">
        <v>31574</v>
      </c>
      <c r="G8583" t="s">
        <v>31582</v>
      </c>
      <c r="H8583" t="s">
        <v>31591</v>
      </c>
      <c r="I8583" t="s">
        <v>31653</v>
      </c>
      <c r="J8583" t="s">
        <v>31727</v>
      </c>
      <c r="K8583" t="s">
        <v>41192</v>
      </c>
      <c r="M8583" t="s">
        <v>44125</v>
      </c>
      <c r="N8583" t="s">
        <v>45095</v>
      </c>
      <c r="O8583" t="s">
        <v>45096</v>
      </c>
      <c r="P8583">
        <v>0</v>
      </c>
      <c r="Q8583">
        <v>0</v>
      </c>
      <c r="R8583" t="s">
        <v>45104</v>
      </c>
      <c r="S8583" t="s">
        <v>45304</v>
      </c>
      <c r="T8583" t="s">
        <v>47159</v>
      </c>
      <c r="U8583" t="s">
        <v>54614</v>
      </c>
      <c r="W8583" t="s">
        <v>44125</v>
      </c>
      <c r="X8583" t="s">
        <v>45105</v>
      </c>
    </row>
    <row r="8584" spans="1:24">
      <c r="A8584">
        <f>HYPERLINK("https://www.philgeps.gov.ph/GEPSNONPILOT/Tender/SplashBidNoticeAbstractUI.aspx?menuIndex=3&amp;refID=7033223&amp;Result=3","7033223")</f>
        <v>0</v>
      </c>
      <c r="B8584" t="s">
        <v>30</v>
      </c>
      <c r="C8584" t="s">
        <v>3489</v>
      </c>
      <c r="D8584" t="s">
        <v>18027</v>
      </c>
      <c r="E8584" t="s">
        <v>25641</v>
      </c>
      <c r="F8584" t="s">
        <v>31574</v>
      </c>
      <c r="G8584" t="s">
        <v>31582</v>
      </c>
      <c r="H8584" t="s">
        <v>31590</v>
      </c>
      <c r="I8584" t="s">
        <v>3489</v>
      </c>
      <c r="J8584" t="s">
        <v>32000</v>
      </c>
      <c r="K8584" t="s">
        <v>41190</v>
      </c>
      <c r="M8584" t="s">
        <v>41512</v>
      </c>
      <c r="N8584" t="s">
        <v>45095</v>
      </c>
      <c r="O8584" t="s">
        <v>45096</v>
      </c>
      <c r="P8584">
        <v>0</v>
      </c>
      <c r="Q8584">
        <v>0</v>
      </c>
      <c r="R8584" t="s">
        <v>45104</v>
      </c>
      <c r="S8584" t="s">
        <v>45304</v>
      </c>
      <c r="T8584" t="s">
        <v>47003</v>
      </c>
      <c r="U8584" t="s">
        <v>54615</v>
      </c>
      <c r="W8584" t="s">
        <v>41512</v>
      </c>
      <c r="X8584" t="s">
        <v>45105</v>
      </c>
    </row>
    <row r="8585" spans="1:24">
      <c r="A8585">
        <f>HYPERLINK("https://www.philgeps.gov.ph/GEPSNONPILOT/Tender/SplashBidNoticeAbstractUI.aspx?menuIndex=3&amp;refID=7033215&amp;Result=3","7033215")</f>
        <v>0</v>
      </c>
      <c r="B8585" t="s">
        <v>2399</v>
      </c>
      <c r="C8585" t="s">
        <v>11381</v>
      </c>
      <c r="D8585" t="s">
        <v>18022</v>
      </c>
      <c r="E8585" t="s">
        <v>25642</v>
      </c>
      <c r="F8585" t="s">
        <v>31574</v>
      </c>
      <c r="G8585" t="s">
        <v>31584</v>
      </c>
      <c r="H8585" t="s">
        <v>31590</v>
      </c>
      <c r="I8585" t="s">
        <v>31654</v>
      </c>
      <c r="J8585" t="s">
        <v>31780</v>
      </c>
      <c r="K8585" t="s">
        <v>41196</v>
      </c>
      <c r="M8585" t="s">
        <v>44126</v>
      </c>
      <c r="N8585" t="s">
        <v>45095</v>
      </c>
      <c r="O8585" t="s">
        <v>45096</v>
      </c>
      <c r="P8585">
        <v>0</v>
      </c>
      <c r="Q8585">
        <v>16</v>
      </c>
      <c r="R8585" t="s">
        <v>45104</v>
      </c>
      <c r="S8585" t="s">
        <v>45304</v>
      </c>
      <c r="T8585" t="s">
        <v>47158</v>
      </c>
      <c r="U8585" t="s">
        <v>54616</v>
      </c>
      <c r="W8585" t="s">
        <v>44126</v>
      </c>
      <c r="X8585" t="s">
        <v>45105</v>
      </c>
    </row>
    <row r="8586" spans="1:24">
      <c r="A8586">
        <f>HYPERLINK("https://www.philgeps.gov.ph/GEPSNONPILOT/Tender/SplashBidNoticeAbstractUI.aspx?menuIndex=3&amp;refID=7033233&amp;Result=3","7033233")</f>
        <v>0</v>
      </c>
      <c r="B8586" t="s">
        <v>2400</v>
      </c>
      <c r="C8586" t="s">
        <v>11382</v>
      </c>
      <c r="D8586" t="s">
        <v>18046</v>
      </c>
      <c r="E8586" t="s">
        <v>25643</v>
      </c>
      <c r="F8586" t="s">
        <v>31574</v>
      </c>
      <c r="G8586" t="s">
        <v>31582</v>
      </c>
      <c r="H8586" t="s">
        <v>31590</v>
      </c>
      <c r="I8586" t="s">
        <v>31602</v>
      </c>
      <c r="J8586" t="s">
        <v>37163</v>
      </c>
      <c r="K8586" t="s">
        <v>41190</v>
      </c>
      <c r="M8586" t="s">
        <v>44127</v>
      </c>
      <c r="N8586" t="s">
        <v>45095</v>
      </c>
      <c r="O8586" t="s">
        <v>45096</v>
      </c>
      <c r="P8586">
        <v>0</v>
      </c>
      <c r="Q8586">
        <v>0</v>
      </c>
      <c r="R8586" t="s">
        <v>45104</v>
      </c>
      <c r="S8586" t="s">
        <v>45304</v>
      </c>
      <c r="T8586" t="s">
        <v>47183</v>
      </c>
      <c r="U8586" t="s">
        <v>54617</v>
      </c>
      <c r="W8586" t="s">
        <v>44127</v>
      </c>
      <c r="X8586" t="s">
        <v>45105</v>
      </c>
    </row>
    <row r="8587" spans="1:24">
      <c r="A8587">
        <f>HYPERLINK("https://www.philgeps.gov.ph/GEPSNONPILOT/Tender/SplashBidNoticeAbstractUI.aspx?menuIndex=3&amp;refID=7033183&amp;Result=3","7033183")</f>
        <v>0</v>
      </c>
      <c r="B8587" t="s">
        <v>603</v>
      </c>
      <c r="C8587" t="s">
        <v>11383</v>
      </c>
      <c r="D8587" t="s">
        <v>18022</v>
      </c>
      <c r="E8587" t="s">
        <v>25644</v>
      </c>
      <c r="F8587" t="s">
        <v>31574</v>
      </c>
      <c r="G8587" t="s">
        <v>31582</v>
      </c>
      <c r="H8587" t="s">
        <v>31591</v>
      </c>
      <c r="I8587" t="s">
        <v>8822</v>
      </c>
      <c r="J8587" t="s">
        <v>37164</v>
      </c>
      <c r="K8587" t="s">
        <v>41200</v>
      </c>
      <c r="M8587" t="s">
        <v>42106</v>
      </c>
      <c r="N8587" t="s">
        <v>45095</v>
      </c>
      <c r="O8587" t="s">
        <v>45096</v>
      </c>
      <c r="P8587">
        <v>0</v>
      </c>
      <c r="Q8587">
        <v>56</v>
      </c>
      <c r="R8587" t="s">
        <v>45104</v>
      </c>
      <c r="S8587" t="s">
        <v>45304</v>
      </c>
      <c r="T8587" t="s">
        <v>47263</v>
      </c>
      <c r="U8587" t="s">
        <v>54618</v>
      </c>
      <c r="V8587" t="s">
        <v>60744</v>
      </c>
      <c r="W8587" t="s">
        <v>42106</v>
      </c>
      <c r="X8587" t="s">
        <v>45105</v>
      </c>
    </row>
    <row r="8588" spans="1:24">
      <c r="A8588">
        <f>HYPERLINK("https://www.philgeps.gov.ph/GEPSNONPILOT/Tender/SplashBidNoticeAbstractUI.aspx?menuIndex=3&amp;refID=7033209&amp;Result=3","7033209")</f>
        <v>0</v>
      </c>
      <c r="B8588" t="s">
        <v>630</v>
      </c>
      <c r="C8588" t="s">
        <v>11384</v>
      </c>
      <c r="D8588" t="s">
        <v>18086</v>
      </c>
      <c r="E8588" t="s">
        <v>25645</v>
      </c>
      <c r="F8588" t="s">
        <v>31574</v>
      </c>
      <c r="G8588" t="s">
        <v>31581</v>
      </c>
      <c r="H8588" t="s">
        <v>31590</v>
      </c>
      <c r="I8588" t="s">
        <v>8258</v>
      </c>
      <c r="J8588" t="s">
        <v>37165</v>
      </c>
      <c r="K8588" t="s">
        <v>41196</v>
      </c>
      <c r="M8588" t="s">
        <v>42134</v>
      </c>
      <c r="N8588" t="s">
        <v>45095</v>
      </c>
      <c r="O8588" t="s">
        <v>45096</v>
      </c>
      <c r="P8588">
        <v>0</v>
      </c>
      <c r="Q8588">
        <v>3</v>
      </c>
      <c r="R8588" t="s">
        <v>45104</v>
      </c>
      <c r="S8588" t="s">
        <v>45304</v>
      </c>
      <c r="T8588" t="s">
        <v>47165</v>
      </c>
      <c r="U8588" t="s">
        <v>54619</v>
      </c>
      <c r="W8588" t="s">
        <v>42134</v>
      </c>
      <c r="X8588" t="s">
        <v>45105</v>
      </c>
    </row>
    <row r="8589" spans="1:24">
      <c r="A8589">
        <f>HYPERLINK("https://www.philgeps.gov.ph/GEPSNONPILOT/Tender/SplashBidNoticeAbstractUI.aspx?menuIndex=3&amp;refID=7033263&amp;Result=3","7033263")</f>
        <v>0</v>
      </c>
      <c r="B8589" t="s">
        <v>1715</v>
      </c>
      <c r="C8589" t="s">
        <v>11385</v>
      </c>
      <c r="D8589" t="s">
        <v>18035</v>
      </c>
      <c r="E8589" t="s">
        <v>25646</v>
      </c>
      <c r="F8589" t="s">
        <v>31574</v>
      </c>
      <c r="G8589" t="s">
        <v>31582</v>
      </c>
      <c r="H8589" t="s">
        <v>31591</v>
      </c>
      <c r="I8589" t="s">
        <v>8822</v>
      </c>
      <c r="J8589" t="s">
        <v>37166</v>
      </c>
      <c r="K8589" t="s">
        <v>41184</v>
      </c>
      <c r="M8589" t="s">
        <v>43331</v>
      </c>
      <c r="N8589" t="s">
        <v>45095</v>
      </c>
      <c r="O8589" t="s">
        <v>45096</v>
      </c>
      <c r="P8589">
        <v>0</v>
      </c>
      <c r="Q8589">
        <v>64</v>
      </c>
      <c r="R8589" t="s">
        <v>45104</v>
      </c>
      <c r="S8589" t="s">
        <v>45304</v>
      </c>
      <c r="T8589" t="s">
        <v>46973</v>
      </c>
      <c r="U8589" t="s">
        <v>54620</v>
      </c>
      <c r="W8589" t="s">
        <v>43331</v>
      </c>
      <c r="X8589" t="s">
        <v>45105</v>
      </c>
    </row>
    <row r="8590" spans="1:24">
      <c r="A8590">
        <f>HYPERLINK("https://www.philgeps.gov.ph/GEPSNONPILOT/Tender/SplashBidNoticeAbstractUI.aspx?menuIndex=3&amp;refID=7033240&amp;Result=3","7033240")</f>
        <v>0</v>
      </c>
      <c r="B8590" t="s">
        <v>1715</v>
      </c>
      <c r="C8590" t="s">
        <v>11386</v>
      </c>
      <c r="D8590" t="s">
        <v>18035</v>
      </c>
      <c r="E8590" t="s">
        <v>25647</v>
      </c>
      <c r="F8590" t="s">
        <v>31574</v>
      </c>
      <c r="G8590" t="s">
        <v>31582</v>
      </c>
      <c r="H8590" t="s">
        <v>31591</v>
      </c>
      <c r="I8590" t="s">
        <v>8822</v>
      </c>
      <c r="J8590" t="s">
        <v>37167</v>
      </c>
      <c r="K8590" t="s">
        <v>41184</v>
      </c>
      <c r="M8590" t="s">
        <v>43331</v>
      </c>
      <c r="N8590" t="s">
        <v>45095</v>
      </c>
      <c r="O8590" t="s">
        <v>45096</v>
      </c>
      <c r="P8590">
        <v>0</v>
      </c>
      <c r="Q8590">
        <v>65</v>
      </c>
      <c r="R8590" t="s">
        <v>45104</v>
      </c>
      <c r="S8590" t="s">
        <v>45304</v>
      </c>
      <c r="T8590" t="s">
        <v>46973</v>
      </c>
      <c r="U8590" t="s">
        <v>54621</v>
      </c>
      <c r="W8590" t="s">
        <v>43331</v>
      </c>
      <c r="X8590" t="s">
        <v>45105</v>
      </c>
    </row>
    <row r="8591" spans="1:24">
      <c r="A8591">
        <f>HYPERLINK("https://www.philgeps.gov.ph/GEPSNONPILOT/Tender/SplashBidNoticeAbstractUI.aspx?menuIndex=3&amp;refID=7033217&amp;Result=3","7033217")</f>
        <v>0</v>
      </c>
      <c r="B8591" t="s">
        <v>359</v>
      </c>
      <c r="C8591" t="s">
        <v>11387</v>
      </c>
      <c r="D8591" t="s">
        <v>18025</v>
      </c>
      <c r="E8591" t="s">
        <v>25648</v>
      </c>
      <c r="F8591" t="s">
        <v>31574</v>
      </c>
      <c r="G8591" t="s">
        <v>31582</v>
      </c>
      <c r="H8591" t="s">
        <v>31590</v>
      </c>
      <c r="I8591" t="s">
        <v>4046</v>
      </c>
      <c r="J8591" t="s">
        <v>37168</v>
      </c>
      <c r="K8591" t="s">
        <v>41190</v>
      </c>
      <c r="M8591" t="s">
        <v>41849</v>
      </c>
      <c r="N8591" t="s">
        <v>45095</v>
      </c>
      <c r="O8591" t="s">
        <v>45096</v>
      </c>
      <c r="P8591">
        <v>0</v>
      </c>
      <c r="Q8591">
        <v>1</v>
      </c>
      <c r="R8591" t="s">
        <v>45104</v>
      </c>
      <c r="S8591" t="s">
        <v>45304</v>
      </c>
      <c r="T8591" t="s">
        <v>47011</v>
      </c>
      <c r="U8591" t="s">
        <v>52001</v>
      </c>
      <c r="W8591" t="s">
        <v>41849</v>
      </c>
      <c r="X8591" t="s">
        <v>45105</v>
      </c>
    </row>
    <row r="8592" spans="1:24">
      <c r="A8592">
        <f>HYPERLINK("https://www.philgeps.gov.ph/GEPSNONPILOT/Tender/SplashBidNoticeAbstractUI.aspx?menuIndex=3&amp;refID=7033256&amp;Result=3","7033256")</f>
        <v>0</v>
      </c>
      <c r="B8592" t="s">
        <v>1418</v>
      </c>
      <c r="C8592" t="s">
        <v>11388</v>
      </c>
      <c r="D8592" t="s">
        <v>18061</v>
      </c>
      <c r="E8592" t="s">
        <v>25649</v>
      </c>
      <c r="F8592" t="s">
        <v>31574</v>
      </c>
      <c r="G8592" t="s">
        <v>31582</v>
      </c>
      <c r="H8592" t="s">
        <v>31590</v>
      </c>
      <c r="I8592" t="s">
        <v>6800</v>
      </c>
      <c r="J8592" t="s">
        <v>37169</v>
      </c>
      <c r="K8592" t="s">
        <v>41192</v>
      </c>
      <c r="M8592" t="s">
        <v>42994</v>
      </c>
      <c r="N8592" t="s">
        <v>45095</v>
      </c>
      <c r="O8592" t="s">
        <v>45096</v>
      </c>
      <c r="P8592">
        <v>0</v>
      </c>
      <c r="Q8592">
        <v>0</v>
      </c>
      <c r="R8592" t="s">
        <v>45104</v>
      </c>
      <c r="S8592" t="s">
        <v>45304</v>
      </c>
      <c r="T8592" t="s">
        <v>47159</v>
      </c>
      <c r="U8592" t="s">
        <v>54622</v>
      </c>
      <c r="W8592" t="s">
        <v>42994</v>
      </c>
      <c r="X8592" t="s">
        <v>45105</v>
      </c>
    </row>
    <row r="8593" spans="1:24">
      <c r="A8593">
        <f>HYPERLINK("https://www.philgeps.gov.ph/GEPSNONPILOT/Tender/SplashBidNoticeAbstractUI.aspx?menuIndex=3&amp;refID=7033268&amp;Result=3","7033268")</f>
        <v>0</v>
      </c>
      <c r="B8593" t="s">
        <v>603</v>
      </c>
      <c r="C8593" t="s">
        <v>11389</v>
      </c>
      <c r="D8593" t="s">
        <v>18022</v>
      </c>
      <c r="E8593" t="s">
        <v>25650</v>
      </c>
      <c r="F8593" t="s">
        <v>31574</v>
      </c>
      <c r="G8593" t="s">
        <v>31582</v>
      </c>
      <c r="H8593" t="s">
        <v>31591</v>
      </c>
      <c r="I8593" t="s">
        <v>8822</v>
      </c>
      <c r="J8593" t="s">
        <v>37170</v>
      </c>
      <c r="K8593" t="s">
        <v>41200</v>
      </c>
      <c r="M8593" t="s">
        <v>42106</v>
      </c>
      <c r="N8593" t="s">
        <v>45095</v>
      </c>
      <c r="O8593" t="s">
        <v>45096</v>
      </c>
      <c r="P8593">
        <v>0</v>
      </c>
      <c r="Q8593">
        <v>59</v>
      </c>
      <c r="R8593" t="s">
        <v>45104</v>
      </c>
      <c r="S8593" t="s">
        <v>45304</v>
      </c>
      <c r="T8593" t="s">
        <v>47263</v>
      </c>
      <c r="U8593" t="s">
        <v>54623</v>
      </c>
      <c r="V8593" t="s">
        <v>60744</v>
      </c>
      <c r="W8593" t="s">
        <v>42106</v>
      </c>
      <c r="X8593" t="s">
        <v>45105</v>
      </c>
    </row>
    <row r="8594" spans="1:24">
      <c r="A8594">
        <f>HYPERLINK("https://www.philgeps.gov.ph/GEPSNONPILOT/Tender/SplashBidNoticeAbstractUI.aspx?menuIndex=3&amp;refID=7033273&amp;Result=3","7033273")</f>
        <v>0</v>
      </c>
      <c r="B8594" t="s">
        <v>82</v>
      </c>
      <c r="C8594" t="s">
        <v>10318</v>
      </c>
      <c r="D8594" t="s">
        <v>18058</v>
      </c>
      <c r="E8594" t="s">
        <v>25651</v>
      </c>
      <c r="F8594" t="s">
        <v>31574</v>
      </c>
      <c r="G8594" t="s">
        <v>31581</v>
      </c>
      <c r="H8594" t="s">
        <v>31590</v>
      </c>
      <c r="I8594" t="s">
        <v>8258</v>
      </c>
      <c r="J8594" t="s">
        <v>37171</v>
      </c>
      <c r="K8594" t="s">
        <v>41193</v>
      </c>
      <c r="M8594" t="s">
        <v>44081</v>
      </c>
      <c r="N8594" t="s">
        <v>45095</v>
      </c>
      <c r="O8594" t="s">
        <v>45096</v>
      </c>
      <c r="P8594">
        <v>0</v>
      </c>
      <c r="Q8594">
        <v>1</v>
      </c>
      <c r="R8594" t="s">
        <v>45104</v>
      </c>
      <c r="S8594" t="s">
        <v>45304</v>
      </c>
      <c r="T8594" t="s">
        <v>46985</v>
      </c>
      <c r="U8594" t="s">
        <v>54624</v>
      </c>
      <c r="W8594" t="s">
        <v>44081</v>
      </c>
      <c r="X8594" t="s">
        <v>45105</v>
      </c>
    </row>
    <row r="8595" spans="1:24">
      <c r="A8595">
        <f>HYPERLINK("https://www.philgeps.gov.ph/GEPSNONPILOT/Tender/SplashBidNoticeAbstractUI.aspx?menuIndex=3&amp;refID=7033251&amp;Result=3","7033251")</f>
        <v>0</v>
      </c>
      <c r="B8595" t="s">
        <v>2401</v>
      </c>
      <c r="C8595" t="s">
        <v>11390</v>
      </c>
      <c r="D8595" t="s">
        <v>18072</v>
      </c>
      <c r="E8595" t="s">
        <v>25652</v>
      </c>
      <c r="F8595" t="s">
        <v>31574</v>
      </c>
      <c r="G8595" t="s">
        <v>31582</v>
      </c>
      <c r="H8595" t="s">
        <v>31590</v>
      </c>
      <c r="I8595" t="s">
        <v>4327</v>
      </c>
      <c r="J8595" t="s">
        <v>37172</v>
      </c>
      <c r="K8595" t="s">
        <v>41186</v>
      </c>
      <c r="M8595" t="s">
        <v>44128</v>
      </c>
      <c r="N8595" t="s">
        <v>45095</v>
      </c>
      <c r="O8595" t="s">
        <v>45096</v>
      </c>
      <c r="P8595">
        <v>0</v>
      </c>
      <c r="Q8595">
        <v>2</v>
      </c>
      <c r="R8595" t="s">
        <v>45104</v>
      </c>
      <c r="S8595" t="s">
        <v>45304</v>
      </c>
      <c r="T8595" t="s">
        <v>46988</v>
      </c>
      <c r="U8595" t="s">
        <v>54625</v>
      </c>
      <c r="W8595" t="s">
        <v>44128</v>
      </c>
      <c r="X8595" t="s">
        <v>45105</v>
      </c>
    </row>
    <row r="8596" spans="1:24">
      <c r="A8596">
        <f>HYPERLINK("https://www.philgeps.gov.ph/GEPSNONPILOT/Tender/SplashBidNoticeAbstractUI.aspx?menuIndex=3&amp;refID=7033245&amp;Result=3","7033245")</f>
        <v>0</v>
      </c>
      <c r="B8596" t="s">
        <v>2402</v>
      </c>
      <c r="C8596" t="s">
        <v>11391</v>
      </c>
      <c r="D8596" t="s">
        <v>18039</v>
      </c>
      <c r="E8596" t="s">
        <v>18574</v>
      </c>
      <c r="F8596" t="s">
        <v>31574</v>
      </c>
      <c r="G8596" t="s">
        <v>31582</v>
      </c>
      <c r="H8596" t="s">
        <v>31591</v>
      </c>
      <c r="I8596" t="s">
        <v>8822</v>
      </c>
      <c r="J8596" t="s">
        <v>37173</v>
      </c>
      <c r="K8596" t="s">
        <v>41185</v>
      </c>
      <c r="M8596" t="s">
        <v>44129</v>
      </c>
      <c r="N8596" t="s">
        <v>45095</v>
      </c>
      <c r="O8596" t="s">
        <v>45096</v>
      </c>
      <c r="P8596">
        <v>0</v>
      </c>
      <c r="Q8596">
        <v>0</v>
      </c>
      <c r="R8596" t="s">
        <v>45104</v>
      </c>
      <c r="S8596" t="s">
        <v>45304</v>
      </c>
      <c r="T8596" t="s">
        <v>46955</v>
      </c>
      <c r="U8596" t="s">
        <v>54626</v>
      </c>
      <c r="W8596" t="s">
        <v>44129</v>
      </c>
      <c r="X8596" t="s">
        <v>45105</v>
      </c>
    </row>
    <row r="8597" spans="1:24">
      <c r="A8597">
        <f>HYPERLINK("https://www.philgeps.gov.ph/GEPSNONPILOT/Tender/SplashBidNoticeAbstractUI.aspx?menuIndex=3&amp;refID=7033242&amp;Result=3","7033242")</f>
        <v>0</v>
      </c>
      <c r="B8597" t="s">
        <v>2113</v>
      </c>
      <c r="C8597" t="s">
        <v>11392</v>
      </c>
      <c r="D8597" t="s">
        <v>18102</v>
      </c>
      <c r="E8597" t="s">
        <v>18962</v>
      </c>
      <c r="F8597" t="s">
        <v>31575</v>
      </c>
      <c r="G8597" t="s">
        <v>31582</v>
      </c>
      <c r="H8597" t="s">
        <v>31590</v>
      </c>
      <c r="I8597" t="s">
        <v>31611</v>
      </c>
      <c r="J8597" t="s">
        <v>32530</v>
      </c>
      <c r="K8597" t="s">
        <v>41192</v>
      </c>
      <c r="M8597" t="s">
        <v>43794</v>
      </c>
      <c r="N8597" t="s">
        <v>45095</v>
      </c>
      <c r="O8597" t="s">
        <v>45096</v>
      </c>
      <c r="P8597">
        <v>0</v>
      </c>
      <c r="Q8597">
        <v>4</v>
      </c>
      <c r="R8597" t="s">
        <v>45104</v>
      </c>
      <c r="S8597" t="s">
        <v>45304</v>
      </c>
      <c r="T8597" t="s">
        <v>47198</v>
      </c>
      <c r="U8597" t="s">
        <v>53358</v>
      </c>
      <c r="W8597" t="s">
        <v>43794</v>
      </c>
      <c r="X8597" t="s">
        <v>45105</v>
      </c>
    </row>
    <row r="8598" spans="1:24">
      <c r="A8598">
        <f>HYPERLINK("https://www.philgeps.gov.ph/GEPSNONPILOT/Tender/SplashBidNoticeAbstractUI.aspx?menuIndex=3&amp;refID=7033269&amp;Result=3","7033269")</f>
        <v>0</v>
      </c>
      <c r="B8598" t="s">
        <v>226</v>
      </c>
      <c r="C8598" t="s">
        <v>3328</v>
      </c>
      <c r="D8598" t="s">
        <v>18041</v>
      </c>
      <c r="E8598" t="s">
        <v>25653</v>
      </c>
      <c r="F8598" t="s">
        <v>31574</v>
      </c>
      <c r="G8598" t="s">
        <v>31583</v>
      </c>
      <c r="H8598" t="s">
        <v>31590</v>
      </c>
      <c r="I8598" t="s">
        <v>6800</v>
      </c>
      <c r="J8598" t="s">
        <v>37174</v>
      </c>
      <c r="K8598" t="s">
        <v>41184</v>
      </c>
      <c r="M8598" t="s">
        <v>41711</v>
      </c>
      <c r="N8598" t="s">
        <v>45095</v>
      </c>
      <c r="O8598" t="s">
        <v>45096</v>
      </c>
      <c r="P8598">
        <v>0</v>
      </c>
      <c r="Q8598">
        <v>0</v>
      </c>
      <c r="R8598" t="s">
        <v>45104</v>
      </c>
      <c r="S8598" t="s">
        <v>45304</v>
      </c>
      <c r="T8598" t="s">
        <v>47164</v>
      </c>
      <c r="U8598" t="s">
        <v>53889</v>
      </c>
      <c r="W8598" t="s">
        <v>41711</v>
      </c>
      <c r="X8598" t="s">
        <v>45105</v>
      </c>
    </row>
    <row r="8599" spans="1:24">
      <c r="A8599">
        <f>HYPERLINK("https://www.philgeps.gov.ph/GEPSNONPILOT/Tender/SplashBidNoticeAbstractUI.aspx?menuIndex=3&amp;refID=7033244&amp;Result=3","7033244")</f>
        <v>0</v>
      </c>
      <c r="B8599" t="s">
        <v>274</v>
      </c>
      <c r="C8599" t="s">
        <v>3758</v>
      </c>
      <c r="D8599" t="s">
        <v>18071</v>
      </c>
      <c r="E8599" t="s">
        <v>25654</v>
      </c>
      <c r="F8599" t="s">
        <v>31574</v>
      </c>
      <c r="G8599" t="s">
        <v>31581</v>
      </c>
      <c r="H8599" t="s">
        <v>31590</v>
      </c>
      <c r="I8599" t="s">
        <v>31602</v>
      </c>
      <c r="J8599" t="s">
        <v>37175</v>
      </c>
      <c r="K8599" t="s">
        <v>41184</v>
      </c>
      <c r="M8599" t="s">
        <v>41760</v>
      </c>
      <c r="N8599" t="s">
        <v>45095</v>
      </c>
      <c r="O8599" t="s">
        <v>45096</v>
      </c>
      <c r="P8599">
        <v>0</v>
      </c>
      <c r="Q8599">
        <v>0</v>
      </c>
      <c r="R8599" t="s">
        <v>45104</v>
      </c>
      <c r="S8599" t="s">
        <v>45304</v>
      </c>
      <c r="T8599" t="s">
        <v>47154</v>
      </c>
      <c r="U8599" t="s">
        <v>54627</v>
      </c>
      <c r="W8599" t="s">
        <v>61660</v>
      </c>
      <c r="X8599" t="s">
        <v>45105</v>
      </c>
    </row>
    <row r="8600" spans="1:24">
      <c r="A8600">
        <f>HYPERLINK("https://www.philgeps.gov.ph/GEPSNONPILOT/Tender/SplashBidNoticeAbstractUI.aspx?menuIndex=3&amp;refID=7033250&amp;Result=3","7033250")</f>
        <v>0</v>
      </c>
      <c r="B8600" t="s">
        <v>2400</v>
      </c>
      <c r="C8600" t="s">
        <v>11393</v>
      </c>
      <c r="D8600" t="s">
        <v>18046</v>
      </c>
      <c r="E8600" t="s">
        <v>25655</v>
      </c>
      <c r="F8600" t="s">
        <v>31574</v>
      </c>
      <c r="G8600" t="s">
        <v>31582</v>
      </c>
      <c r="H8600" t="s">
        <v>31590</v>
      </c>
      <c r="I8600" t="s">
        <v>31600</v>
      </c>
      <c r="J8600" t="s">
        <v>37176</v>
      </c>
      <c r="K8600" t="s">
        <v>41190</v>
      </c>
      <c r="M8600" t="s">
        <v>44127</v>
      </c>
      <c r="N8600" t="s">
        <v>45095</v>
      </c>
      <c r="O8600" t="s">
        <v>45096</v>
      </c>
      <c r="P8600">
        <v>0</v>
      </c>
      <c r="Q8600">
        <v>0</v>
      </c>
      <c r="R8600" t="s">
        <v>45104</v>
      </c>
      <c r="S8600" t="s">
        <v>45304</v>
      </c>
      <c r="T8600" t="s">
        <v>47183</v>
      </c>
      <c r="U8600" t="s">
        <v>54628</v>
      </c>
      <c r="W8600" t="s">
        <v>44127</v>
      </c>
      <c r="X8600" t="s">
        <v>45105</v>
      </c>
    </row>
    <row r="8601" spans="1:24">
      <c r="A8601">
        <f>HYPERLINK("https://www.philgeps.gov.ph/GEPSNONPILOT/Tender/SplashBidNoticeAbstractUI.aspx?menuIndex=3&amp;refID=7033259&amp;Result=3","7033259")</f>
        <v>0</v>
      </c>
      <c r="B8601" t="s">
        <v>603</v>
      </c>
      <c r="C8601" t="s">
        <v>11394</v>
      </c>
      <c r="D8601" t="s">
        <v>18022</v>
      </c>
      <c r="E8601" t="s">
        <v>25656</v>
      </c>
      <c r="F8601" t="s">
        <v>31574</v>
      </c>
      <c r="G8601" t="s">
        <v>31582</v>
      </c>
      <c r="H8601" t="s">
        <v>31591</v>
      </c>
      <c r="I8601" t="s">
        <v>8822</v>
      </c>
      <c r="J8601" t="s">
        <v>37177</v>
      </c>
      <c r="K8601" t="s">
        <v>41200</v>
      </c>
      <c r="M8601" t="s">
        <v>42106</v>
      </c>
      <c r="N8601" t="s">
        <v>45095</v>
      </c>
      <c r="O8601" t="s">
        <v>45096</v>
      </c>
      <c r="P8601">
        <v>0</v>
      </c>
      <c r="Q8601">
        <v>55</v>
      </c>
      <c r="R8601" t="s">
        <v>45104</v>
      </c>
      <c r="S8601" t="s">
        <v>45304</v>
      </c>
      <c r="T8601" t="s">
        <v>47263</v>
      </c>
      <c r="U8601" t="s">
        <v>54629</v>
      </c>
      <c r="V8601" t="s">
        <v>60744</v>
      </c>
      <c r="W8601" t="s">
        <v>42106</v>
      </c>
      <c r="X8601" t="s">
        <v>45105</v>
      </c>
    </row>
    <row r="8602" spans="1:24">
      <c r="A8602">
        <f>HYPERLINK("https://www.philgeps.gov.ph/GEPSNONPILOT/Tender/SplashBidNoticeAbstractUI.aspx?menuIndex=3&amp;refID=7033274&amp;Result=3","7033274")</f>
        <v>0</v>
      </c>
      <c r="B8602" t="s">
        <v>1806</v>
      </c>
      <c r="C8602" t="s">
        <v>11395</v>
      </c>
      <c r="D8602" t="s">
        <v>18040</v>
      </c>
      <c r="E8602" t="s">
        <v>25657</v>
      </c>
      <c r="F8602" t="s">
        <v>31574</v>
      </c>
      <c r="G8602" t="s">
        <v>31581</v>
      </c>
      <c r="H8602" t="s">
        <v>31590</v>
      </c>
      <c r="I8602" t="s">
        <v>31695</v>
      </c>
      <c r="J8602" t="s">
        <v>37178</v>
      </c>
      <c r="K8602" t="s">
        <v>41193</v>
      </c>
      <c r="L8602" t="s">
        <v>1806</v>
      </c>
      <c r="M8602" t="s">
        <v>43439</v>
      </c>
      <c r="N8602" t="s">
        <v>45095</v>
      </c>
      <c r="O8602" t="s">
        <v>45096</v>
      </c>
      <c r="P8602">
        <v>0</v>
      </c>
      <c r="Q8602">
        <v>0</v>
      </c>
      <c r="R8602" t="s">
        <v>45104</v>
      </c>
      <c r="S8602" t="s">
        <v>45304</v>
      </c>
      <c r="T8602" t="s">
        <v>46963</v>
      </c>
      <c r="U8602" t="s">
        <v>52148</v>
      </c>
      <c r="W8602" t="s">
        <v>43439</v>
      </c>
      <c r="X8602" t="s">
        <v>45105</v>
      </c>
    </row>
    <row r="8603" spans="1:24">
      <c r="A8603">
        <f>HYPERLINK("https://www.philgeps.gov.ph/GEPSNONPILOT/Tender/SplashBidNoticeAbstractUI.aspx?menuIndex=3&amp;refID=7033289&amp;Result=3","7033289")</f>
        <v>0</v>
      </c>
      <c r="B8603" t="s">
        <v>2403</v>
      </c>
      <c r="C8603" t="s">
        <v>11396</v>
      </c>
      <c r="D8603" t="s">
        <v>18022</v>
      </c>
      <c r="E8603" t="s">
        <v>25658</v>
      </c>
      <c r="F8603" t="s">
        <v>31574</v>
      </c>
      <c r="G8603" t="s">
        <v>31581</v>
      </c>
      <c r="H8603" t="s">
        <v>31590</v>
      </c>
      <c r="I8603" t="s">
        <v>31683</v>
      </c>
      <c r="J8603" t="s">
        <v>32008</v>
      </c>
      <c r="K8603" t="s">
        <v>41213</v>
      </c>
      <c r="M8603" t="s">
        <v>44130</v>
      </c>
      <c r="N8603" t="s">
        <v>45095</v>
      </c>
      <c r="O8603" t="s">
        <v>45096</v>
      </c>
      <c r="P8603">
        <v>0</v>
      </c>
      <c r="Q8603">
        <v>5</v>
      </c>
      <c r="R8603" t="s">
        <v>45104</v>
      </c>
      <c r="S8603" t="s">
        <v>45304</v>
      </c>
      <c r="T8603" t="s">
        <v>46936</v>
      </c>
      <c r="U8603" t="s">
        <v>54630</v>
      </c>
      <c r="W8603" t="s">
        <v>44130</v>
      </c>
      <c r="X8603" t="s">
        <v>45105</v>
      </c>
    </row>
    <row r="8604" spans="1:24">
      <c r="A8604">
        <f>HYPERLINK("https://www.philgeps.gov.ph/GEPSNONPILOT/Tender/SplashBidNoticeAbstractUI.aspx?menuIndex=3&amp;refID=7033314&amp;Result=3","7033314")</f>
        <v>0</v>
      </c>
      <c r="B8604" t="s">
        <v>2404</v>
      </c>
      <c r="C8604" t="s">
        <v>11397</v>
      </c>
      <c r="D8604" t="s">
        <v>18052</v>
      </c>
      <c r="E8604" t="s">
        <v>25659</v>
      </c>
      <c r="F8604" t="s">
        <v>31574</v>
      </c>
      <c r="G8604" t="s">
        <v>31581</v>
      </c>
      <c r="H8604" t="s">
        <v>31590</v>
      </c>
      <c r="I8604" t="s">
        <v>5717</v>
      </c>
      <c r="J8604" t="s">
        <v>32197</v>
      </c>
      <c r="K8604" t="s">
        <v>41190</v>
      </c>
      <c r="M8604" t="s">
        <v>44131</v>
      </c>
      <c r="N8604" t="s">
        <v>45095</v>
      </c>
      <c r="O8604" t="s">
        <v>45096</v>
      </c>
      <c r="P8604">
        <v>0</v>
      </c>
      <c r="Q8604">
        <v>17</v>
      </c>
      <c r="R8604" t="s">
        <v>45104</v>
      </c>
      <c r="S8604" t="s">
        <v>45304</v>
      </c>
      <c r="T8604" t="s">
        <v>47158</v>
      </c>
      <c r="U8604" t="s">
        <v>54631</v>
      </c>
      <c r="W8604" t="s">
        <v>44131</v>
      </c>
      <c r="X8604" t="s">
        <v>45105</v>
      </c>
    </row>
    <row r="8605" spans="1:24">
      <c r="A8605">
        <f>HYPERLINK("https://www.philgeps.gov.ph/GEPSNONPILOT/Tender/SplashBidNoticeAbstractUI.aspx?menuIndex=3&amp;refID=7033318&amp;Result=3","7033318")</f>
        <v>0</v>
      </c>
      <c r="B8605" t="s">
        <v>408</v>
      </c>
      <c r="C8605" t="s">
        <v>11398</v>
      </c>
      <c r="D8605" t="s">
        <v>18059</v>
      </c>
      <c r="E8605" t="s">
        <v>25660</v>
      </c>
      <c r="F8605" t="s">
        <v>31574</v>
      </c>
      <c r="G8605" t="s">
        <v>31582</v>
      </c>
      <c r="H8605" t="s">
        <v>31590</v>
      </c>
      <c r="I8605" t="s">
        <v>31615</v>
      </c>
      <c r="J8605" t="s">
        <v>32510</v>
      </c>
      <c r="K8605" t="s">
        <v>41184</v>
      </c>
      <c r="M8605" t="s">
        <v>41899</v>
      </c>
      <c r="N8605" t="s">
        <v>45095</v>
      </c>
      <c r="O8605" t="s">
        <v>45096</v>
      </c>
      <c r="P8605">
        <v>0</v>
      </c>
      <c r="Q8605">
        <v>5</v>
      </c>
      <c r="R8605" t="s">
        <v>45104</v>
      </c>
      <c r="S8605" t="s">
        <v>45304</v>
      </c>
      <c r="T8605" t="s">
        <v>47266</v>
      </c>
      <c r="U8605" t="s">
        <v>54632</v>
      </c>
      <c r="W8605" t="s">
        <v>41899</v>
      </c>
      <c r="X8605" t="s">
        <v>45105</v>
      </c>
    </row>
    <row r="8606" spans="1:24">
      <c r="A8606">
        <f>HYPERLINK("https://www.philgeps.gov.ph/GEPSNONPILOT/Tender/SplashBidNoticeAbstractUI.aspx?menuIndex=3&amp;refID=7033312&amp;Result=3","7033312")</f>
        <v>0</v>
      </c>
      <c r="B8606" t="s">
        <v>2405</v>
      </c>
      <c r="C8606" t="s">
        <v>11399</v>
      </c>
      <c r="D8606" t="s">
        <v>18052</v>
      </c>
      <c r="E8606" t="s">
        <v>19936</v>
      </c>
      <c r="F8606" t="s">
        <v>31574</v>
      </c>
      <c r="G8606" t="s">
        <v>31582</v>
      </c>
      <c r="H8606" t="s">
        <v>31591</v>
      </c>
      <c r="I8606" t="s">
        <v>8822</v>
      </c>
      <c r="J8606" t="s">
        <v>31744</v>
      </c>
      <c r="K8606" t="s">
        <v>41185</v>
      </c>
      <c r="M8606" t="s">
        <v>44132</v>
      </c>
      <c r="N8606" t="s">
        <v>45095</v>
      </c>
      <c r="O8606" t="s">
        <v>45096</v>
      </c>
      <c r="P8606">
        <v>0</v>
      </c>
      <c r="Q8606">
        <v>0</v>
      </c>
      <c r="R8606" t="s">
        <v>45104</v>
      </c>
      <c r="S8606" t="s">
        <v>45304</v>
      </c>
      <c r="T8606" t="s">
        <v>47043</v>
      </c>
      <c r="U8606" t="s">
        <v>50981</v>
      </c>
      <c r="W8606" t="s">
        <v>44132</v>
      </c>
      <c r="X8606" t="s">
        <v>45105</v>
      </c>
    </row>
    <row r="8607" spans="1:24">
      <c r="A8607">
        <f>HYPERLINK("https://www.philgeps.gov.ph/GEPSNONPILOT/Tender/SplashBidNoticeAbstractUI.aspx?menuIndex=3&amp;refID=7033290&amp;Result=3","7033290")</f>
        <v>0</v>
      </c>
      <c r="B8607" t="s">
        <v>471</v>
      </c>
      <c r="C8607" t="s">
        <v>11400</v>
      </c>
      <c r="D8607" t="s">
        <v>18052</v>
      </c>
      <c r="E8607" t="s">
        <v>25071</v>
      </c>
      <c r="F8607" t="s">
        <v>31574</v>
      </c>
      <c r="G8607" t="s">
        <v>31582</v>
      </c>
      <c r="H8607" t="s">
        <v>31590</v>
      </c>
      <c r="I8607" t="s">
        <v>31602</v>
      </c>
      <c r="J8607" t="s">
        <v>31877</v>
      </c>
      <c r="K8607" t="s">
        <v>41212</v>
      </c>
      <c r="M8607" t="s">
        <v>41966</v>
      </c>
      <c r="N8607" t="s">
        <v>45095</v>
      </c>
      <c r="O8607" t="s">
        <v>45096</v>
      </c>
      <c r="P8607">
        <v>0</v>
      </c>
      <c r="Q8607">
        <v>0</v>
      </c>
      <c r="R8607" t="s">
        <v>45104</v>
      </c>
      <c r="S8607" t="s">
        <v>45304</v>
      </c>
      <c r="T8607" t="s">
        <v>47341</v>
      </c>
      <c r="U8607" t="s">
        <v>54633</v>
      </c>
      <c r="W8607" t="s">
        <v>41966</v>
      </c>
      <c r="X8607" t="s">
        <v>45105</v>
      </c>
    </row>
    <row r="8608" spans="1:24">
      <c r="A8608">
        <f>HYPERLINK("https://www.philgeps.gov.ph/GEPSNONPILOT/Tender/SplashBidNoticeAbstractUI.aspx?menuIndex=3&amp;refID=7033321&amp;Result=3","7033321")</f>
        <v>0</v>
      </c>
      <c r="B8608" t="s">
        <v>2406</v>
      </c>
      <c r="C8608" t="s">
        <v>11401</v>
      </c>
      <c r="E8608" t="s">
        <v>18364</v>
      </c>
      <c r="F8608" t="s">
        <v>31574</v>
      </c>
      <c r="G8608" t="s">
        <v>31582</v>
      </c>
      <c r="H8608" t="s">
        <v>31591</v>
      </c>
      <c r="I8608" t="s">
        <v>8822</v>
      </c>
      <c r="J8608" t="s">
        <v>32211</v>
      </c>
      <c r="K8608" t="s">
        <v>41192</v>
      </c>
      <c r="M8608" t="s">
        <v>44133</v>
      </c>
      <c r="N8608" t="s">
        <v>45095</v>
      </c>
      <c r="O8608" t="s">
        <v>45096</v>
      </c>
      <c r="P8608">
        <v>0</v>
      </c>
      <c r="Q8608">
        <v>0</v>
      </c>
      <c r="R8608" t="s">
        <v>45104</v>
      </c>
      <c r="S8608" t="s">
        <v>45304</v>
      </c>
      <c r="T8608" t="s">
        <v>47159</v>
      </c>
      <c r="U8608" t="s">
        <v>54634</v>
      </c>
      <c r="W8608" t="s">
        <v>44133</v>
      </c>
      <c r="X8608" t="s">
        <v>45105</v>
      </c>
    </row>
    <row r="8609" spans="1:24">
      <c r="A8609">
        <f>HYPERLINK("https://www.philgeps.gov.ph/GEPSNONPILOT/Tender/SplashBidNoticeAbstractUI.aspx?menuIndex=3&amp;refID=7033308&amp;Result=3","7033308")</f>
        <v>0</v>
      </c>
      <c r="B8609" t="s">
        <v>135</v>
      </c>
      <c r="C8609" t="s">
        <v>11402</v>
      </c>
      <c r="D8609" t="s">
        <v>18022</v>
      </c>
      <c r="E8609" t="s">
        <v>25661</v>
      </c>
      <c r="F8609" t="s">
        <v>31574</v>
      </c>
      <c r="G8609" t="s">
        <v>31582</v>
      </c>
      <c r="H8609" t="s">
        <v>31590</v>
      </c>
      <c r="I8609" t="s">
        <v>3539</v>
      </c>
      <c r="J8609" t="s">
        <v>37179</v>
      </c>
      <c r="K8609" t="s">
        <v>41184</v>
      </c>
      <c r="M8609" t="s">
        <v>42258</v>
      </c>
      <c r="N8609" t="s">
        <v>45095</v>
      </c>
      <c r="O8609" t="s">
        <v>45096</v>
      </c>
      <c r="P8609">
        <v>0</v>
      </c>
      <c r="Q8609">
        <v>4</v>
      </c>
      <c r="R8609" t="s">
        <v>45104</v>
      </c>
      <c r="S8609" t="s">
        <v>45304</v>
      </c>
      <c r="T8609" t="s">
        <v>47010</v>
      </c>
      <c r="U8609" t="s">
        <v>54635</v>
      </c>
      <c r="V8609" t="s">
        <v>60030</v>
      </c>
      <c r="W8609" t="s">
        <v>42258</v>
      </c>
      <c r="X8609" t="s">
        <v>45105</v>
      </c>
    </row>
    <row r="8610" spans="1:24">
      <c r="A8610">
        <f>HYPERLINK("https://www.philgeps.gov.ph/GEPSNONPILOT/Tender/SplashBidNoticeAbstractUI.aspx?menuIndex=3&amp;refID=7033310&amp;Result=3","7033310")</f>
        <v>0</v>
      </c>
      <c r="B8610" t="s">
        <v>2407</v>
      </c>
      <c r="C8610" t="s">
        <v>11403</v>
      </c>
      <c r="D8610" t="s">
        <v>18083</v>
      </c>
      <c r="E8610" t="s">
        <v>25662</v>
      </c>
      <c r="F8610" t="s">
        <v>31574</v>
      </c>
      <c r="G8610" t="s">
        <v>31582</v>
      </c>
      <c r="H8610" t="s">
        <v>31591</v>
      </c>
      <c r="I8610" t="s">
        <v>8822</v>
      </c>
      <c r="J8610" t="s">
        <v>31730</v>
      </c>
      <c r="K8610" t="s">
        <v>41373</v>
      </c>
      <c r="M8610" t="s">
        <v>44134</v>
      </c>
      <c r="N8610" t="s">
        <v>45095</v>
      </c>
      <c r="O8610" t="s">
        <v>45096</v>
      </c>
      <c r="P8610">
        <v>0</v>
      </c>
      <c r="Q8610">
        <v>0</v>
      </c>
      <c r="R8610" t="s">
        <v>45104</v>
      </c>
      <c r="S8610" t="s">
        <v>45304</v>
      </c>
      <c r="T8610" t="s">
        <v>47345</v>
      </c>
      <c r="U8610" t="s">
        <v>54636</v>
      </c>
      <c r="W8610" t="s">
        <v>44134</v>
      </c>
      <c r="X8610" t="s">
        <v>45105</v>
      </c>
    </row>
    <row r="8611" spans="1:24">
      <c r="A8611">
        <f>HYPERLINK("https://www.philgeps.gov.ph/GEPSNONPILOT/Tender/SplashBidNoticeAbstractUI.aspx?menuIndex=3&amp;refID=7033311&amp;Result=3","7033311")</f>
        <v>0</v>
      </c>
      <c r="B8611" t="s">
        <v>344</v>
      </c>
      <c r="C8611" t="s">
        <v>11404</v>
      </c>
      <c r="D8611" t="s">
        <v>18027</v>
      </c>
      <c r="E8611" t="s">
        <v>18824</v>
      </c>
      <c r="F8611" t="s">
        <v>31574</v>
      </c>
      <c r="G8611" t="s">
        <v>31582</v>
      </c>
      <c r="H8611" t="s">
        <v>31591</v>
      </c>
      <c r="I8611" t="s">
        <v>8822</v>
      </c>
      <c r="J8611" t="s">
        <v>32969</v>
      </c>
      <c r="K8611" t="s">
        <v>41185</v>
      </c>
      <c r="M8611" t="s">
        <v>41832</v>
      </c>
      <c r="N8611" t="s">
        <v>45095</v>
      </c>
      <c r="O8611" t="s">
        <v>45096</v>
      </c>
      <c r="P8611">
        <v>0</v>
      </c>
      <c r="Q8611">
        <v>0</v>
      </c>
      <c r="R8611" t="s">
        <v>45104</v>
      </c>
      <c r="S8611" t="s">
        <v>45304</v>
      </c>
      <c r="T8611" t="s">
        <v>46952</v>
      </c>
      <c r="U8611" t="s">
        <v>54637</v>
      </c>
      <c r="W8611" t="s">
        <v>41832</v>
      </c>
      <c r="X8611" t="s">
        <v>45105</v>
      </c>
    </row>
    <row r="8612" spans="1:24">
      <c r="A8612">
        <f>HYPERLINK("https://www.philgeps.gov.ph/GEPSNONPILOT/Tender/SplashBidNoticeAbstractUI.aspx?menuIndex=3&amp;refID=7033303&amp;Result=3","7033303")</f>
        <v>0</v>
      </c>
      <c r="B8612" t="s">
        <v>1806</v>
      </c>
      <c r="C8612" t="s">
        <v>11405</v>
      </c>
      <c r="D8612" t="s">
        <v>18040</v>
      </c>
      <c r="E8612" t="s">
        <v>25663</v>
      </c>
      <c r="F8612" t="s">
        <v>31574</v>
      </c>
      <c r="G8612" t="s">
        <v>31581</v>
      </c>
      <c r="H8612" t="s">
        <v>31590</v>
      </c>
      <c r="I8612" t="s">
        <v>4046</v>
      </c>
      <c r="J8612" t="s">
        <v>37180</v>
      </c>
      <c r="K8612" t="s">
        <v>41193</v>
      </c>
      <c r="L8612" t="s">
        <v>1806</v>
      </c>
      <c r="M8612" t="s">
        <v>43439</v>
      </c>
      <c r="N8612" t="s">
        <v>45095</v>
      </c>
      <c r="O8612" t="s">
        <v>45096</v>
      </c>
      <c r="P8612">
        <v>0</v>
      </c>
      <c r="Q8612">
        <v>2</v>
      </c>
      <c r="R8612" t="s">
        <v>45104</v>
      </c>
      <c r="S8612" t="s">
        <v>45304</v>
      </c>
      <c r="T8612" t="s">
        <v>46963</v>
      </c>
      <c r="U8612" t="s">
        <v>52148</v>
      </c>
      <c r="W8612" t="s">
        <v>43439</v>
      </c>
      <c r="X8612" t="s">
        <v>45105</v>
      </c>
    </row>
    <row r="8613" spans="1:24">
      <c r="A8613">
        <f>HYPERLINK("https://www.philgeps.gov.ph/GEPSNONPILOT/Tender/SplashBidNoticeAbstractUI.aspx?menuIndex=3&amp;refID=7033279&amp;Result=3","7033279")</f>
        <v>0</v>
      </c>
      <c r="B8613" t="s">
        <v>2400</v>
      </c>
      <c r="C8613" t="s">
        <v>11393</v>
      </c>
      <c r="D8613" t="s">
        <v>18046</v>
      </c>
      <c r="E8613" t="s">
        <v>25664</v>
      </c>
      <c r="F8613" t="s">
        <v>31574</v>
      </c>
      <c r="G8613" t="s">
        <v>31582</v>
      </c>
      <c r="H8613" t="s">
        <v>31590</v>
      </c>
      <c r="I8613" t="s">
        <v>31600</v>
      </c>
      <c r="J8613" t="s">
        <v>37181</v>
      </c>
      <c r="K8613" t="s">
        <v>41190</v>
      </c>
      <c r="M8613" t="s">
        <v>44127</v>
      </c>
      <c r="N8613" t="s">
        <v>45095</v>
      </c>
      <c r="O8613" t="s">
        <v>45096</v>
      </c>
      <c r="P8613">
        <v>0</v>
      </c>
      <c r="Q8613">
        <v>0</v>
      </c>
      <c r="R8613" t="s">
        <v>45104</v>
      </c>
      <c r="S8613" t="s">
        <v>45304</v>
      </c>
      <c r="T8613" t="s">
        <v>47183</v>
      </c>
      <c r="U8613" t="s">
        <v>54638</v>
      </c>
      <c r="W8613" t="s">
        <v>44127</v>
      </c>
      <c r="X8613" t="s">
        <v>45105</v>
      </c>
    </row>
    <row r="8614" spans="1:24">
      <c r="A8614">
        <f>HYPERLINK("https://www.philgeps.gov.ph/GEPSNONPILOT/Tender/SplashBidNoticeAbstractUI.aspx?menuIndex=3&amp;refID=7033299&amp;Result=3","7033299")</f>
        <v>0</v>
      </c>
      <c r="B8614" t="s">
        <v>2408</v>
      </c>
      <c r="C8614" t="s">
        <v>11406</v>
      </c>
      <c r="D8614" t="s">
        <v>18040</v>
      </c>
      <c r="E8614" t="s">
        <v>25665</v>
      </c>
      <c r="F8614" t="s">
        <v>31574</v>
      </c>
      <c r="G8614" t="s">
        <v>31582</v>
      </c>
      <c r="H8614" t="s">
        <v>31590</v>
      </c>
      <c r="I8614" t="s">
        <v>4046</v>
      </c>
      <c r="J8614" t="s">
        <v>37182</v>
      </c>
      <c r="K8614" t="s">
        <v>41211</v>
      </c>
      <c r="M8614" t="s">
        <v>44135</v>
      </c>
      <c r="N8614" t="s">
        <v>45095</v>
      </c>
      <c r="O8614" t="s">
        <v>45096</v>
      </c>
      <c r="P8614">
        <v>0</v>
      </c>
      <c r="Q8614">
        <v>1</v>
      </c>
      <c r="R8614" t="s">
        <v>45104</v>
      </c>
      <c r="S8614" t="s">
        <v>45304</v>
      </c>
      <c r="T8614" t="s">
        <v>47214</v>
      </c>
      <c r="U8614" t="s">
        <v>54639</v>
      </c>
      <c r="W8614" t="s">
        <v>44135</v>
      </c>
      <c r="X8614" t="s">
        <v>45105</v>
      </c>
    </row>
    <row r="8615" spans="1:24">
      <c r="A8615">
        <f>HYPERLINK("https://www.philgeps.gov.ph/GEPSNONPILOT/Tender/SplashBidNoticeAbstractUI.aspx?menuIndex=3&amp;refID=7033301&amp;Result=3","7033301")</f>
        <v>0</v>
      </c>
      <c r="B8615" t="s">
        <v>2409</v>
      </c>
      <c r="C8615" t="s">
        <v>11407</v>
      </c>
      <c r="D8615" t="s">
        <v>18042</v>
      </c>
      <c r="E8615" t="s">
        <v>11407</v>
      </c>
      <c r="F8615" t="s">
        <v>31574</v>
      </c>
      <c r="G8615" t="s">
        <v>31582</v>
      </c>
      <c r="H8615" t="s">
        <v>31590</v>
      </c>
      <c r="I8615" t="s">
        <v>31612</v>
      </c>
      <c r="J8615" t="s">
        <v>31727</v>
      </c>
      <c r="K8615" t="s">
        <v>41196</v>
      </c>
      <c r="M8615" t="s">
        <v>44136</v>
      </c>
      <c r="N8615" t="s">
        <v>45095</v>
      </c>
      <c r="O8615" t="s">
        <v>45096</v>
      </c>
      <c r="P8615">
        <v>0</v>
      </c>
      <c r="Q8615">
        <v>0</v>
      </c>
      <c r="R8615" t="s">
        <v>45104</v>
      </c>
      <c r="S8615" t="s">
        <v>45304</v>
      </c>
      <c r="T8615" t="s">
        <v>47154</v>
      </c>
      <c r="U8615" t="s">
        <v>54640</v>
      </c>
      <c r="W8615" t="s">
        <v>44136</v>
      </c>
      <c r="X8615" t="s">
        <v>45105</v>
      </c>
    </row>
    <row r="8616" spans="1:24">
      <c r="A8616">
        <f>HYPERLINK("https://www.philgeps.gov.ph/GEPSNONPILOT/Tender/SplashBidNoticeAbstractUI.aspx?menuIndex=3&amp;refID=7033278&amp;Result=3","7033278")</f>
        <v>0</v>
      </c>
      <c r="B8616" t="s">
        <v>1544</v>
      </c>
      <c r="C8616" t="s">
        <v>11408</v>
      </c>
      <c r="D8616" t="s">
        <v>18075</v>
      </c>
      <c r="E8616" t="s">
        <v>25666</v>
      </c>
      <c r="F8616" t="s">
        <v>31574</v>
      </c>
      <c r="G8616" t="s">
        <v>31582</v>
      </c>
      <c r="H8616" t="s">
        <v>31590</v>
      </c>
      <c r="I8616" t="s">
        <v>31594</v>
      </c>
      <c r="J8616" t="s">
        <v>31888</v>
      </c>
      <c r="K8616" t="s">
        <v>41186</v>
      </c>
      <c r="M8616" t="s">
        <v>43139</v>
      </c>
      <c r="N8616" t="s">
        <v>45095</v>
      </c>
      <c r="O8616" t="s">
        <v>45096</v>
      </c>
      <c r="Q8616">
        <v>6</v>
      </c>
      <c r="R8616" t="s">
        <v>45104</v>
      </c>
      <c r="S8616" t="s">
        <v>45313</v>
      </c>
      <c r="T8616" t="s">
        <v>47313</v>
      </c>
      <c r="U8616" t="s">
        <v>54641</v>
      </c>
      <c r="W8616" t="s">
        <v>43139</v>
      </c>
      <c r="X8616" t="s">
        <v>45105</v>
      </c>
    </row>
    <row r="8617" spans="1:24">
      <c r="A8617">
        <f>HYPERLINK("https://www.philgeps.gov.ph/GEPSNONPILOT/Tender/SplashBidNoticeAbstractUI.aspx?menuIndex=3&amp;refID=7033297&amp;Result=3","7033297")</f>
        <v>0</v>
      </c>
      <c r="B8617" t="s">
        <v>2405</v>
      </c>
      <c r="C8617" t="s">
        <v>11409</v>
      </c>
      <c r="D8617" t="s">
        <v>18052</v>
      </c>
      <c r="E8617" t="s">
        <v>21506</v>
      </c>
      <c r="F8617" t="s">
        <v>31574</v>
      </c>
      <c r="G8617" t="s">
        <v>31582</v>
      </c>
      <c r="H8617" t="s">
        <v>31591</v>
      </c>
      <c r="I8617" t="s">
        <v>8822</v>
      </c>
      <c r="J8617" t="s">
        <v>31727</v>
      </c>
      <c r="K8617" t="s">
        <v>41192</v>
      </c>
      <c r="M8617" t="s">
        <v>44132</v>
      </c>
      <c r="N8617" t="s">
        <v>45095</v>
      </c>
      <c r="O8617" t="s">
        <v>45096</v>
      </c>
      <c r="P8617">
        <v>0</v>
      </c>
      <c r="Q8617">
        <v>0</v>
      </c>
      <c r="R8617" t="s">
        <v>45104</v>
      </c>
      <c r="S8617" t="s">
        <v>45304</v>
      </c>
      <c r="T8617" t="s">
        <v>47043</v>
      </c>
      <c r="U8617" t="s">
        <v>50981</v>
      </c>
      <c r="W8617" t="s">
        <v>44132</v>
      </c>
      <c r="X8617" t="s">
        <v>45105</v>
      </c>
    </row>
    <row r="8618" spans="1:24">
      <c r="A8618">
        <f>HYPERLINK("https://www.philgeps.gov.ph/GEPSNONPILOT/Tender/SplashBidNoticeAbstractUI.aspx?menuIndex=3&amp;refID=7033292&amp;Result=3","7033292")</f>
        <v>0</v>
      </c>
      <c r="B8618" t="s">
        <v>2113</v>
      </c>
      <c r="C8618" t="s">
        <v>11410</v>
      </c>
      <c r="D8618" t="s">
        <v>18102</v>
      </c>
      <c r="E8618" t="s">
        <v>19098</v>
      </c>
      <c r="F8618" t="s">
        <v>31575</v>
      </c>
      <c r="G8618" t="s">
        <v>31582</v>
      </c>
      <c r="H8618" t="s">
        <v>31590</v>
      </c>
      <c r="I8618" t="s">
        <v>31626</v>
      </c>
      <c r="J8618" t="s">
        <v>37183</v>
      </c>
      <c r="K8618" t="s">
        <v>41192</v>
      </c>
      <c r="M8618" t="s">
        <v>43794</v>
      </c>
      <c r="N8618" t="s">
        <v>45095</v>
      </c>
      <c r="O8618" t="s">
        <v>45096</v>
      </c>
      <c r="P8618">
        <v>0</v>
      </c>
      <c r="Q8618">
        <v>6</v>
      </c>
      <c r="R8618" t="s">
        <v>45104</v>
      </c>
      <c r="S8618" t="s">
        <v>45304</v>
      </c>
      <c r="T8618" t="s">
        <v>47198</v>
      </c>
      <c r="U8618" t="s">
        <v>53358</v>
      </c>
      <c r="W8618" t="s">
        <v>43794</v>
      </c>
      <c r="X8618" t="s">
        <v>45105</v>
      </c>
    </row>
    <row r="8619" spans="1:24">
      <c r="A8619">
        <f>HYPERLINK("https://www.philgeps.gov.ph/GEPSNONPILOT/Tender/SplashBidNoticeAbstractUI.aspx?menuIndex=3&amp;refID=7033281&amp;Result=3","7033281")</f>
        <v>0</v>
      </c>
      <c r="B8619" t="s">
        <v>2402</v>
      </c>
      <c r="C8619" t="s">
        <v>11411</v>
      </c>
      <c r="D8619" t="s">
        <v>18039</v>
      </c>
      <c r="E8619" t="s">
        <v>18533</v>
      </c>
      <c r="F8619" t="s">
        <v>31574</v>
      </c>
      <c r="G8619" t="s">
        <v>31585</v>
      </c>
      <c r="H8619" t="s">
        <v>31590</v>
      </c>
      <c r="I8619" t="s">
        <v>4046</v>
      </c>
      <c r="J8619" t="s">
        <v>37184</v>
      </c>
      <c r="K8619" t="s">
        <v>41186</v>
      </c>
      <c r="M8619" t="s">
        <v>44129</v>
      </c>
      <c r="N8619" t="s">
        <v>45095</v>
      </c>
      <c r="O8619" t="s">
        <v>45096</v>
      </c>
      <c r="P8619">
        <v>0</v>
      </c>
      <c r="Q8619">
        <v>0</v>
      </c>
      <c r="R8619" t="s">
        <v>45104</v>
      </c>
      <c r="S8619" t="s">
        <v>45304</v>
      </c>
      <c r="T8619" t="s">
        <v>46955</v>
      </c>
      <c r="U8619" t="s">
        <v>54642</v>
      </c>
      <c r="W8619" t="s">
        <v>44129</v>
      </c>
      <c r="X8619" t="s">
        <v>45105</v>
      </c>
    </row>
    <row r="8620" spans="1:24">
      <c r="A8620">
        <f>HYPERLINK("https://www.philgeps.gov.ph/GEPSNONPILOT/Tender/SplashBidNoticeAbstractUI.aspx?menuIndex=3&amp;refID=7033296&amp;Result=3","7033296")</f>
        <v>0</v>
      </c>
      <c r="B8620" t="s">
        <v>603</v>
      </c>
      <c r="C8620" t="s">
        <v>11412</v>
      </c>
      <c r="D8620" t="s">
        <v>18022</v>
      </c>
      <c r="E8620" t="s">
        <v>25667</v>
      </c>
      <c r="F8620" t="s">
        <v>31574</v>
      </c>
      <c r="G8620" t="s">
        <v>31582</v>
      </c>
      <c r="H8620" t="s">
        <v>31591</v>
      </c>
      <c r="I8620" t="s">
        <v>8822</v>
      </c>
      <c r="J8620" t="s">
        <v>37185</v>
      </c>
      <c r="K8620" t="s">
        <v>41200</v>
      </c>
      <c r="M8620" t="s">
        <v>42106</v>
      </c>
      <c r="N8620" t="s">
        <v>45095</v>
      </c>
      <c r="O8620" t="s">
        <v>45096</v>
      </c>
      <c r="P8620">
        <v>0</v>
      </c>
      <c r="Q8620">
        <v>57</v>
      </c>
      <c r="R8620" t="s">
        <v>45104</v>
      </c>
      <c r="S8620" t="s">
        <v>45304</v>
      </c>
      <c r="T8620" t="s">
        <v>47263</v>
      </c>
      <c r="U8620" t="s">
        <v>54643</v>
      </c>
      <c r="V8620" t="s">
        <v>60744</v>
      </c>
      <c r="W8620" t="s">
        <v>42106</v>
      </c>
      <c r="X8620" t="s">
        <v>45105</v>
      </c>
    </row>
    <row r="8621" spans="1:24">
      <c r="A8621">
        <f>HYPERLINK("https://www.philgeps.gov.ph/GEPSNONPILOT/Tender/SplashBidNoticeAbstractUI.aspx?menuIndex=3&amp;refID=7033322&amp;Result=3","7033322")</f>
        <v>0</v>
      </c>
      <c r="B8621" t="s">
        <v>2410</v>
      </c>
      <c r="C8621" t="s">
        <v>11413</v>
      </c>
      <c r="D8621" t="s">
        <v>18059</v>
      </c>
      <c r="E8621" t="s">
        <v>25668</v>
      </c>
      <c r="F8621" t="s">
        <v>31574</v>
      </c>
      <c r="G8621" t="s">
        <v>31582</v>
      </c>
      <c r="H8621" t="s">
        <v>31590</v>
      </c>
      <c r="I8621" t="s">
        <v>4046</v>
      </c>
      <c r="J8621" t="s">
        <v>37186</v>
      </c>
      <c r="K8621" t="s">
        <v>41186</v>
      </c>
      <c r="M8621" t="s">
        <v>44137</v>
      </c>
      <c r="N8621" t="s">
        <v>45095</v>
      </c>
      <c r="O8621" t="s">
        <v>45096</v>
      </c>
      <c r="P8621">
        <v>0</v>
      </c>
      <c r="Q8621">
        <v>0</v>
      </c>
      <c r="R8621" t="s">
        <v>45104</v>
      </c>
      <c r="S8621" t="s">
        <v>45304</v>
      </c>
      <c r="T8621" t="s">
        <v>46926</v>
      </c>
      <c r="U8621" t="s">
        <v>54644</v>
      </c>
      <c r="W8621" t="s">
        <v>44137</v>
      </c>
      <c r="X8621" t="s">
        <v>45105</v>
      </c>
    </row>
    <row r="8622" spans="1:24">
      <c r="A8622">
        <f>HYPERLINK("https://www.philgeps.gov.ph/GEPSNONPILOT/Tender/SplashBidNoticeAbstractUI.aspx?menuIndex=3&amp;refID=7033277&amp;Result=3","7033277")</f>
        <v>0</v>
      </c>
      <c r="B8622" t="s">
        <v>603</v>
      </c>
      <c r="C8622" t="s">
        <v>11414</v>
      </c>
      <c r="D8622" t="s">
        <v>18022</v>
      </c>
      <c r="E8622" t="s">
        <v>25669</v>
      </c>
      <c r="F8622" t="s">
        <v>31574</v>
      </c>
      <c r="G8622" t="s">
        <v>31582</v>
      </c>
      <c r="H8622" t="s">
        <v>31591</v>
      </c>
      <c r="I8622" t="s">
        <v>8822</v>
      </c>
      <c r="J8622" t="s">
        <v>37187</v>
      </c>
      <c r="K8622" t="s">
        <v>41202</v>
      </c>
      <c r="M8622" t="s">
        <v>42106</v>
      </c>
      <c r="N8622" t="s">
        <v>45095</v>
      </c>
      <c r="O8622" t="s">
        <v>45096</v>
      </c>
      <c r="P8622">
        <v>0</v>
      </c>
      <c r="Q8622">
        <v>60</v>
      </c>
      <c r="R8622" t="s">
        <v>45104</v>
      </c>
      <c r="S8622" t="s">
        <v>45304</v>
      </c>
      <c r="T8622" t="s">
        <v>47263</v>
      </c>
      <c r="U8622" t="s">
        <v>54645</v>
      </c>
      <c r="V8622" t="s">
        <v>60744</v>
      </c>
      <c r="W8622" t="s">
        <v>42106</v>
      </c>
      <c r="X8622" t="s">
        <v>45105</v>
      </c>
    </row>
    <row r="8623" spans="1:24">
      <c r="A8623">
        <f>HYPERLINK("https://www.philgeps.gov.ph/GEPSNONPILOT/Tender/SplashBidNoticeAbstractUI.aspx?menuIndex=3&amp;refID=7033332&amp;Result=3","7033332")</f>
        <v>0</v>
      </c>
      <c r="B8623" t="s">
        <v>2401</v>
      </c>
      <c r="C8623" t="s">
        <v>11415</v>
      </c>
      <c r="D8623" t="s">
        <v>18072</v>
      </c>
      <c r="E8623" t="s">
        <v>25670</v>
      </c>
      <c r="F8623" t="s">
        <v>31574</v>
      </c>
      <c r="G8623" t="s">
        <v>31582</v>
      </c>
      <c r="H8623" t="s">
        <v>31591</v>
      </c>
      <c r="I8623" t="s">
        <v>8822</v>
      </c>
      <c r="J8623" t="s">
        <v>37188</v>
      </c>
      <c r="K8623" t="s">
        <v>41189</v>
      </c>
      <c r="M8623" t="s">
        <v>44128</v>
      </c>
      <c r="N8623" t="s">
        <v>45095</v>
      </c>
      <c r="O8623" t="s">
        <v>45096</v>
      </c>
      <c r="P8623">
        <v>0</v>
      </c>
      <c r="Q8623">
        <v>3</v>
      </c>
      <c r="R8623" t="s">
        <v>45104</v>
      </c>
      <c r="S8623" t="s">
        <v>45304</v>
      </c>
      <c r="T8623" t="s">
        <v>46988</v>
      </c>
      <c r="U8623" t="s">
        <v>54646</v>
      </c>
      <c r="W8623" t="s">
        <v>44128</v>
      </c>
      <c r="X8623" t="s">
        <v>45105</v>
      </c>
    </row>
    <row r="8624" spans="1:24">
      <c r="A8624">
        <f>HYPERLINK("https://www.philgeps.gov.ph/GEPSNONPILOT/Tender/SplashBidNoticeAbstractUI.aspx?menuIndex=3&amp;refID=7033328&amp;Result=3","7033328")</f>
        <v>0</v>
      </c>
      <c r="B8624" t="s">
        <v>302</v>
      </c>
      <c r="C8624" t="s">
        <v>11416</v>
      </c>
      <c r="D8624" t="s">
        <v>18022</v>
      </c>
      <c r="E8624" t="s">
        <v>25671</v>
      </c>
      <c r="F8624" t="s">
        <v>31574</v>
      </c>
      <c r="G8624" t="s">
        <v>31582</v>
      </c>
      <c r="H8624" t="s">
        <v>31590</v>
      </c>
      <c r="I8624" t="s">
        <v>31676</v>
      </c>
      <c r="J8624" t="s">
        <v>32936</v>
      </c>
      <c r="K8624" t="s">
        <v>41192</v>
      </c>
      <c r="M8624" t="s">
        <v>41788</v>
      </c>
      <c r="N8624" t="s">
        <v>45095</v>
      </c>
      <c r="O8624" t="s">
        <v>45096</v>
      </c>
      <c r="P8624">
        <v>0</v>
      </c>
      <c r="Q8624">
        <v>14</v>
      </c>
      <c r="R8624" t="s">
        <v>45104</v>
      </c>
      <c r="S8624" t="s">
        <v>45304</v>
      </c>
      <c r="T8624" t="s">
        <v>47010</v>
      </c>
      <c r="U8624" t="s">
        <v>54647</v>
      </c>
      <c r="W8624" t="s">
        <v>41788</v>
      </c>
      <c r="X8624" t="s">
        <v>45105</v>
      </c>
    </row>
    <row r="8625" spans="1:24">
      <c r="A8625">
        <f>HYPERLINK("https://www.philgeps.gov.ph/GEPSNONPILOT/Tender/SplashBidNoticeAbstractUI.aspx?menuIndex=3&amp;refID=7033338&amp;Result=3","7033338")</f>
        <v>0</v>
      </c>
      <c r="B8625" t="s">
        <v>2405</v>
      </c>
      <c r="C8625" t="s">
        <v>11417</v>
      </c>
      <c r="D8625" t="s">
        <v>18052</v>
      </c>
      <c r="E8625" t="s">
        <v>25672</v>
      </c>
      <c r="F8625" t="s">
        <v>31574</v>
      </c>
      <c r="G8625" t="s">
        <v>31582</v>
      </c>
      <c r="H8625" t="s">
        <v>31591</v>
      </c>
      <c r="I8625" t="s">
        <v>8822</v>
      </c>
      <c r="J8625" t="s">
        <v>37189</v>
      </c>
      <c r="K8625" t="s">
        <v>41192</v>
      </c>
      <c r="M8625" t="s">
        <v>44132</v>
      </c>
      <c r="N8625" t="s">
        <v>45095</v>
      </c>
      <c r="O8625" t="s">
        <v>45096</v>
      </c>
      <c r="P8625">
        <v>0</v>
      </c>
      <c r="Q8625">
        <v>0</v>
      </c>
      <c r="R8625" t="s">
        <v>45104</v>
      </c>
      <c r="S8625" t="s">
        <v>45304</v>
      </c>
      <c r="T8625" t="s">
        <v>47043</v>
      </c>
      <c r="U8625" t="s">
        <v>50981</v>
      </c>
      <c r="W8625" t="s">
        <v>44132</v>
      </c>
      <c r="X8625" t="s">
        <v>45105</v>
      </c>
    </row>
    <row r="8626" spans="1:24">
      <c r="A8626">
        <f>HYPERLINK("https://www.philgeps.gov.ph/GEPSNONPILOT/Tender/SplashBidNoticeAbstractUI.aspx?menuIndex=3&amp;refID=7033325&amp;Result=3","7033325")</f>
        <v>0</v>
      </c>
      <c r="B8626" t="s">
        <v>2405</v>
      </c>
      <c r="C8626" t="s">
        <v>11418</v>
      </c>
      <c r="D8626" t="s">
        <v>18052</v>
      </c>
      <c r="E8626" t="s">
        <v>19936</v>
      </c>
      <c r="F8626" t="s">
        <v>31574</v>
      </c>
      <c r="G8626" t="s">
        <v>31582</v>
      </c>
      <c r="H8626" t="s">
        <v>31591</v>
      </c>
      <c r="I8626" t="s">
        <v>8822</v>
      </c>
      <c r="J8626" t="s">
        <v>33541</v>
      </c>
      <c r="K8626" t="s">
        <v>41192</v>
      </c>
      <c r="M8626" t="s">
        <v>44132</v>
      </c>
      <c r="N8626" t="s">
        <v>45095</v>
      </c>
      <c r="O8626" t="s">
        <v>45096</v>
      </c>
      <c r="P8626">
        <v>0</v>
      </c>
      <c r="Q8626">
        <v>0</v>
      </c>
      <c r="R8626" t="s">
        <v>45104</v>
      </c>
      <c r="S8626" t="s">
        <v>45304</v>
      </c>
      <c r="T8626" t="s">
        <v>47043</v>
      </c>
      <c r="U8626" t="s">
        <v>50981</v>
      </c>
      <c r="W8626" t="s">
        <v>44132</v>
      </c>
      <c r="X8626" t="s">
        <v>45105</v>
      </c>
    </row>
    <row r="8627" spans="1:24">
      <c r="A8627">
        <f>HYPERLINK("https://www.philgeps.gov.ph/GEPSNONPILOT/Tender/SplashBidNoticeAbstractUI.aspx?menuIndex=3&amp;refID=7033340&amp;Result=3","7033340")</f>
        <v>0</v>
      </c>
      <c r="B8627" t="s">
        <v>2411</v>
      </c>
      <c r="C8627" t="s">
        <v>11419</v>
      </c>
      <c r="D8627" t="s">
        <v>18058</v>
      </c>
      <c r="E8627" t="s">
        <v>25673</v>
      </c>
      <c r="F8627" t="s">
        <v>31574</v>
      </c>
      <c r="G8627" t="s">
        <v>31584</v>
      </c>
      <c r="H8627" t="s">
        <v>31590</v>
      </c>
      <c r="I8627" t="s">
        <v>3520</v>
      </c>
      <c r="J8627" t="s">
        <v>37190</v>
      </c>
      <c r="K8627" t="s">
        <v>41190</v>
      </c>
      <c r="M8627" t="s">
        <v>44138</v>
      </c>
      <c r="N8627" t="s">
        <v>45095</v>
      </c>
      <c r="O8627" t="s">
        <v>45096</v>
      </c>
      <c r="P8627">
        <v>0</v>
      </c>
      <c r="Q8627">
        <v>2</v>
      </c>
      <c r="R8627" t="s">
        <v>45104</v>
      </c>
      <c r="S8627" t="s">
        <v>45304</v>
      </c>
      <c r="T8627" t="s">
        <v>47154</v>
      </c>
      <c r="U8627" t="s">
        <v>54648</v>
      </c>
      <c r="W8627" t="s">
        <v>44138</v>
      </c>
      <c r="X8627" t="s">
        <v>45105</v>
      </c>
    </row>
    <row r="8628" spans="1:24">
      <c r="A8628">
        <f>HYPERLINK("https://www.philgeps.gov.ph/GEPSNONPILOT/Tender/SplashBidNoticeAbstractUI.aspx?menuIndex=3&amp;refID=7033326&amp;Result=3","7033326")</f>
        <v>0</v>
      </c>
      <c r="B8628" t="s">
        <v>1806</v>
      </c>
      <c r="C8628" t="s">
        <v>11420</v>
      </c>
      <c r="D8628" t="s">
        <v>18040</v>
      </c>
      <c r="E8628" t="s">
        <v>25674</v>
      </c>
      <c r="F8628" t="s">
        <v>31574</v>
      </c>
      <c r="G8628" t="s">
        <v>31581</v>
      </c>
      <c r="H8628" t="s">
        <v>31590</v>
      </c>
      <c r="I8628" t="s">
        <v>4046</v>
      </c>
      <c r="J8628" t="s">
        <v>37191</v>
      </c>
      <c r="K8628" t="s">
        <v>41190</v>
      </c>
      <c r="L8628" t="s">
        <v>1806</v>
      </c>
      <c r="M8628" t="s">
        <v>43439</v>
      </c>
      <c r="N8628" t="s">
        <v>45095</v>
      </c>
      <c r="O8628" t="s">
        <v>45096</v>
      </c>
      <c r="P8628">
        <v>0</v>
      </c>
      <c r="Q8628">
        <v>1</v>
      </c>
      <c r="R8628" t="s">
        <v>45104</v>
      </c>
      <c r="S8628" t="s">
        <v>45304</v>
      </c>
      <c r="T8628" t="s">
        <v>46963</v>
      </c>
      <c r="U8628" t="s">
        <v>52148</v>
      </c>
      <c r="W8628" t="s">
        <v>43439</v>
      </c>
      <c r="X8628" t="s">
        <v>45105</v>
      </c>
    </row>
    <row r="8629" spans="1:24">
      <c r="A8629">
        <f>HYPERLINK("https://www.philgeps.gov.ph/GEPSNONPILOT/Tender/SplashBidNoticeAbstractUI.aspx?menuIndex=3&amp;refID=7033364&amp;Result=3","7033364")</f>
        <v>0</v>
      </c>
      <c r="B8629" t="s">
        <v>2055</v>
      </c>
      <c r="C8629" t="s">
        <v>11421</v>
      </c>
      <c r="D8629" t="s">
        <v>18099</v>
      </c>
      <c r="E8629" t="s">
        <v>19505</v>
      </c>
      <c r="F8629" t="s">
        <v>31574</v>
      </c>
      <c r="G8629" t="s">
        <v>31582</v>
      </c>
      <c r="H8629" t="s">
        <v>31591</v>
      </c>
      <c r="I8629" t="s">
        <v>8822</v>
      </c>
      <c r="J8629" t="s">
        <v>32458</v>
      </c>
      <c r="K8629" t="s">
        <v>41200</v>
      </c>
      <c r="M8629" t="s">
        <v>43724</v>
      </c>
      <c r="N8629" t="s">
        <v>45095</v>
      </c>
      <c r="O8629" t="s">
        <v>45096</v>
      </c>
      <c r="P8629">
        <v>0</v>
      </c>
      <c r="Q8629">
        <v>0</v>
      </c>
      <c r="R8629" t="s">
        <v>45104</v>
      </c>
      <c r="S8629" t="s">
        <v>45304</v>
      </c>
      <c r="T8629" t="s">
        <v>47010</v>
      </c>
      <c r="U8629" t="s">
        <v>54649</v>
      </c>
      <c r="V8629" t="s">
        <v>60584</v>
      </c>
      <c r="W8629" t="s">
        <v>43724</v>
      </c>
      <c r="X8629" t="s">
        <v>45105</v>
      </c>
    </row>
    <row r="8630" spans="1:24">
      <c r="A8630">
        <f>HYPERLINK("https://www.philgeps.gov.ph/GEPSNONPILOT/Tender/SplashBidNoticeAbstractUI.aspx?menuIndex=3&amp;refID=7033362&amp;Result=3","7033362")</f>
        <v>0</v>
      </c>
      <c r="B8630" t="s">
        <v>1008</v>
      </c>
      <c r="C8630" t="s">
        <v>11422</v>
      </c>
      <c r="D8630" t="s">
        <v>18028</v>
      </c>
      <c r="E8630" t="s">
        <v>25675</v>
      </c>
      <c r="F8630" t="s">
        <v>31574</v>
      </c>
      <c r="G8630" t="s">
        <v>31581</v>
      </c>
      <c r="H8630" t="s">
        <v>31590</v>
      </c>
      <c r="I8630" t="s">
        <v>31667</v>
      </c>
      <c r="J8630" t="s">
        <v>37192</v>
      </c>
      <c r="K8630" t="s">
        <v>41190</v>
      </c>
      <c r="M8630" t="s">
        <v>42548</v>
      </c>
      <c r="N8630" t="s">
        <v>45095</v>
      </c>
      <c r="O8630" t="s">
        <v>45096</v>
      </c>
      <c r="P8630">
        <v>0</v>
      </c>
      <c r="Q8630">
        <v>2</v>
      </c>
      <c r="R8630" t="s">
        <v>45104</v>
      </c>
      <c r="S8630" t="s">
        <v>45304</v>
      </c>
      <c r="T8630" t="s">
        <v>47125</v>
      </c>
      <c r="U8630" t="s">
        <v>54650</v>
      </c>
      <c r="V8630" t="s">
        <v>60745</v>
      </c>
      <c r="W8630" t="s">
        <v>42548</v>
      </c>
      <c r="X8630" t="s">
        <v>45105</v>
      </c>
    </row>
    <row r="8631" spans="1:24">
      <c r="A8631">
        <f>HYPERLINK("https://www.philgeps.gov.ph/GEPSNONPILOT/Tender/SplashBidNoticeAbstractUI.aspx?menuIndex=3&amp;refID=7033324&amp;Result=3","7033324")</f>
        <v>0</v>
      </c>
      <c r="B8631" t="s">
        <v>2412</v>
      </c>
      <c r="C8631" t="s">
        <v>11423</v>
      </c>
      <c r="D8631" t="s">
        <v>18070</v>
      </c>
      <c r="E8631" t="s">
        <v>25676</v>
      </c>
      <c r="F8631" t="s">
        <v>31574</v>
      </c>
      <c r="G8631" t="s">
        <v>31582</v>
      </c>
      <c r="H8631" t="s">
        <v>31591</v>
      </c>
      <c r="I8631" t="s">
        <v>8822</v>
      </c>
      <c r="J8631" t="s">
        <v>37193</v>
      </c>
      <c r="K8631" t="s">
        <v>41200</v>
      </c>
      <c r="M8631" t="s">
        <v>44139</v>
      </c>
      <c r="N8631" t="s">
        <v>45095</v>
      </c>
      <c r="O8631" t="s">
        <v>45096</v>
      </c>
      <c r="P8631">
        <v>0</v>
      </c>
      <c r="Q8631">
        <v>0</v>
      </c>
      <c r="R8631" t="s">
        <v>45104</v>
      </c>
      <c r="S8631" t="s">
        <v>45304</v>
      </c>
      <c r="T8631" t="s">
        <v>47206</v>
      </c>
      <c r="U8631" t="s">
        <v>54651</v>
      </c>
      <c r="W8631" t="s">
        <v>44139</v>
      </c>
      <c r="X8631" t="s">
        <v>45105</v>
      </c>
    </row>
    <row r="8632" spans="1:24">
      <c r="A8632">
        <f>HYPERLINK("https://www.philgeps.gov.ph/GEPSNONPILOT/Tender/SplashBidNoticeAbstractUI.aspx?menuIndex=3&amp;refID=7033353&amp;Result=3","7033353")</f>
        <v>0</v>
      </c>
      <c r="B8632" t="s">
        <v>2398</v>
      </c>
      <c r="C8632" t="s">
        <v>11424</v>
      </c>
      <c r="D8632" t="s">
        <v>18072</v>
      </c>
      <c r="E8632" t="s">
        <v>25677</v>
      </c>
      <c r="F8632" t="s">
        <v>31574</v>
      </c>
      <c r="G8632" t="s">
        <v>31582</v>
      </c>
      <c r="H8632" t="s">
        <v>31591</v>
      </c>
      <c r="I8632" t="s">
        <v>31653</v>
      </c>
      <c r="J8632" t="s">
        <v>31728</v>
      </c>
      <c r="K8632" t="s">
        <v>41192</v>
      </c>
      <c r="M8632" t="s">
        <v>44125</v>
      </c>
      <c r="N8632" t="s">
        <v>45095</v>
      </c>
      <c r="O8632" t="s">
        <v>45096</v>
      </c>
      <c r="P8632">
        <v>0</v>
      </c>
      <c r="Q8632">
        <v>0</v>
      </c>
      <c r="R8632" t="s">
        <v>45104</v>
      </c>
      <c r="S8632" t="s">
        <v>45304</v>
      </c>
      <c r="T8632" t="s">
        <v>47159</v>
      </c>
      <c r="U8632" t="s">
        <v>54614</v>
      </c>
      <c r="W8632" t="s">
        <v>44125</v>
      </c>
      <c r="X8632" t="s">
        <v>45105</v>
      </c>
    </row>
    <row r="8633" spans="1:24">
      <c r="A8633">
        <f>HYPERLINK("https://www.philgeps.gov.ph/GEPSNONPILOT/Tender/SplashBidNoticeAbstractUI.aspx?menuIndex=3&amp;refID=7033358&amp;Result=3","7033358")</f>
        <v>0</v>
      </c>
      <c r="B8633" t="s">
        <v>408</v>
      </c>
      <c r="C8633" t="s">
        <v>11425</v>
      </c>
      <c r="D8633" t="s">
        <v>18059</v>
      </c>
      <c r="E8633" t="s">
        <v>25678</v>
      </c>
      <c r="F8633" t="s">
        <v>31574</v>
      </c>
      <c r="G8633" t="s">
        <v>31582</v>
      </c>
      <c r="H8633" t="s">
        <v>31590</v>
      </c>
      <c r="I8633" t="s">
        <v>31615</v>
      </c>
      <c r="J8633" t="s">
        <v>32510</v>
      </c>
      <c r="K8633" t="s">
        <v>41184</v>
      </c>
      <c r="M8633" t="s">
        <v>41899</v>
      </c>
      <c r="N8633" t="s">
        <v>45095</v>
      </c>
      <c r="O8633" t="s">
        <v>45096</v>
      </c>
      <c r="P8633">
        <v>0</v>
      </c>
      <c r="Q8633">
        <v>4</v>
      </c>
      <c r="R8633" t="s">
        <v>45104</v>
      </c>
      <c r="S8633" t="s">
        <v>45304</v>
      </c>
      <c r="T8633" t="s">
        <v>47266</v>
      </c>
      <c r="U8633" t="s">
        <v>54632</v>
      </c>
      <c r="W8633" t="s">
        <v>41899</v>
      </c>
      <c r="X8633" t="s">
        <v>45105</v>
      </c>
    </row>
    <row r="8634" spans="1:24">
      <c r="A8634">
        <f>HYPERLINK("https://www.philgeps.gov.ph/GEPSNONPILOT/Tender/SplashBidNoticeAbstractUI.aspx?menuIndex=3&amp;refID=7033341&amp;Result=3","7033341")</f>
        <v>0</v>
      </c>
      <c r="B8634" t="s">
        <v>2413</v>
      </c>
      <c r="C8634" t="s">
        <v>11426</v>
      </c>
      <c r="D8634" t="s">
        <v>18052</v>
      </c>
      <c r="E8634" t="s">
        <v>25679</v>
      </c>
      <c r="F8634" t="s">
        <v>31574</v>
      </c>
      <c r="G8634" t="s">
        <v>31581</v>
      </c>
      <c r="H8634" t="s">
        <v>31590</v>
      </c>
      <c r="I8634" t="s">
        <v>31612</v>
      </c>
      <c r="J8634" t="s">
        <v>37194</v>
      </c>
      <c r="K8634" t="s">
        <v>41193</v>
      </c>
      <c r="M8634" t="s">
        <v>44140</v>
      </c>
      <c r="N8634" t="s">
        <v>45095</v>
      </c>
      <c r="O8634" t="s">
        <v>45096</v>
      </c>
      <c r="P8634">
        <v>0</v>
      </c>
      <c r="Q8634">
        <v>0</v>
      </c>
      <c r="R8634" t="s">
        <v>45104</v>
      </c>
      <c r="S8634" t="s">
        <v>45304</v>
      </c>
      <c r="T8634" t="s">
        <v>47346</v>
      </c>
      <c r="U8634" t="s">
        <v>54652</v>
      </c>
      <c r="W8634" t="s">
        <v>44140</v>
      </c>
      <c r="X8634" t="s">
        <v>45105</v>
      </c>
    </row>
    <row r="8635" spans="1:24">
      <c r="A8635">
        <f>HYPERLINK("https://www.philgeps.gov.ph/GEPSNONPILOT/Tender/SplashBidNoticeAbstractUI.aspx?menuIndex=3&amp;refID=7033350&amp;Result=3","7033350")</f>
        <v>0</v>
      </c>
      <c r="B8635" t="s">
        <v>2414</v>
      </c>
      <c r="C8635" t="s">
        <v>11427</v>
      </c>
      <c r="D8635" t="s">
        <v>18060</v>
      </c>
      <c r="E8635" t="s">
        <v>25680</v>
      </c>
      <c r="F8635" t="s">
        <v>31574</v>
      </c>
      <c r="G8635" t="s">
        <v>31581</v>
      </c>
      <c r="H8635" t="s">
        <v>31590</v>
      </c>
      <c r="I8635" t="s">
        <v>31608</v>
      </c>
      <c r="J8635" t="s">
        <v>31830</v>
      </c>
      <c r="K8635" t="s">
        <v>41186</v>
      </c>
      <c r="M8635" t="s">
        <v>44141</v>
      </c>
      <c r="N8635" t="s">
        <v>45095</v>
      </c>
      <c r="O8635" t="s">
        <v>45096</v>
      </c>
      <c r="P8635">
        <v>0</v>
      </c>
      <c r="Q8635">
        <v>2</v>
      </c>
      <c r="R8635" t="s">
        <v>45104</v>
      </c>
      <c r="S8635" t="s">
        <v>45304</v>
      </c>
      <c r="T8635" t="s">
        <v>47313</v>
      </c>
      <c r="U8635" t="s">
        <v>54653</v>
      </c>
      <c r="W8635" t="s">
        <v>44141</v>
      </c>
      <c r="X8635" t="s">
        <v>45105</v>
      </c>
    </row>
    <row r="8636" spans="1:24">
      <c r="A8636">
        <f>HYPERLINK("https://www.philgeps.gov.ph/GEPSNONPILOT/Tender/SplashBidNoticeAbstractUI.aspx?menuIndex=3&amp;refID=7033371&amp;Result=3","7033371")</f>
        <v>0</v>
      </c>
      <c r="B8636" t="s">
        <v>1806</v>
      </c>
      <c r="C8636" t="s">
        <v>11428</v>
      </c>
      <c r="D8636" t="s">
        <v>18040</v>
      </c>
      <c r="E8636" t="s">
        <v>25681</v>
      </c>
      <c r="F8636" t="s">
        <v>31574</v>
      </c>
      <c r="G8636" t="s">
        <v>31581</v>
      </c>
      <c r="H8636" t="s">
        <v>31590</v>
      </c>
      <c r="I8636" t="s">
        <v>4046</v>
      </c>
      <c r="J8636" t="s">
        <v>37178</v>
      </c>
      <c r="K8636" t="s">
        <v>41193</v>
      </c>
      <c r="L8636" t="s">
        <v>1806</v>
      </c>
      <c r="M8636" t="s">
        <v>43439</v>
      </c>
      <c r="N8636" t="s">
        <v>45095</v>
      </c>
      <c r="O8636" t="s">
        <v>45096</v>
      </c>
      <c r="P8636">
        <v>0</v>
      </c>
      <c r="Q8636">
        <v>0</v>
      </c>
      <c r="R8636" t="s">
        <v>45104</v>
      </c>
      <c r="S8636" t="s">
        <v>45304</v>
      </c>
      <c r="T8636" t="s">
        <v>46963</v>
      </c>
      <c r="U8636" t="s">
        <v>52148</v>
      </c>
      <c r="W8636" t="s">
        <v>43439</v>
      </c>
      <c r="X8636" t="s">
        <v>45105</v>
      </c>
    </row>
    <row r="8637" spans="1:24">
      <c r="A8637">
        <f>HYPERLINK("https://www.philgeps.gov.ph/GEPSNONPILOT/Tender/SplashBidNoticeAbstractUI.aspx?menuIndex=3&amp;refID=7033348&amp;Result=3","7033348")</f>
        <v>0</v>
      </c>
      <c r="B8637" t="s">
        <v>226</v>
      </c>
      <c r="C8637" t="s">
        <v>3328</v>
      </c>
      <c r="D8637" t="s">
        <v>18041</v>
      </c>
      <c r="E8637" t="s">
        <v>25682</v>
      </c>
      <c r="F8637" t="s">
        <v>31574</v>
      </c>
      <c r="G8637" t="s">
        <v>31583</v>
      </c>
      <c r="H8637" t="s">
        <v>31590</v>
      </c>
      <c r="I8637" t="s">
        <v>6800</v>
      </c>
      <c r="J8637" t="s">
        <v>37195</v>
      </c>
      <c r="K8637" t="s">
        <v>41184</v>
      </c>
      <c r="M8637" t="s">
        <v>41711</v>
      </c>
      <c r="N8637" t="s">
        <v>45095</v>
      </c>
      <c r="O8637" t="s">
        <v>45096</v>
      </c>
      <c r="P8637">
        <v>0</v>
      </c>
      <c r="Q8637">
        <v>0</v>
      </c>
      <c r="R8637" t="s">
        <v>45104</v>
      </c>
      <c r="S8637" t="s">
        <v>45304</v>
      </c>
      <c r="T8637" t="s">
        <v>47183</v>
      </c>
      <c r="U8637" t="s">
        <v>53889</v>
      </c>
      <c r="W8637" t="s">
        <v>41711</v>
      </c>
      <c r="X8637" t="s">
        <v>45105</v>
      </c>
    </row>
    <row r="8638" spans="1:24">
      <c r="A8638">
        <f>HYPERLINK("https://www.philgeps.gov.ph/GEPSNONPILOT/Tender/SplashBidNoticeAbstractUI.aspx?menuIndex=3&amp;refID=7033369&amp;Result=3","7033369")</f>
        <v>0</v>
      </c>
      <c r="B8638" t="s">
        <v>2366</v>
      </c>
      <c r="C8638" t="s">
        <v>11429</v>
      </c>
      <c r="D8638" t="s">
        <v>18068</v>
      </c>
      <c r="E8638" t="s">
        <v>25683</v>
      </c>
      <c r="F8638" t="s">
        <v>31574</v>
      </c>
      <c r="G8638" t="s">
        <v>31582</v>
      </c>
      <c r="H8638" t="s">
        <v>31591</v>
      </c>
      <c r="I8638" t="s">
        <v>8822</v>
      </c>
      <c r="J8638" t="s">
        <v>37196</v>
      </c>
      <c r="K8638" t="s">
        <v>41189</v>
      </c>
      <c r="M8638" t="s">
        <v>44087</v>
      </c>
      <c r="N8638" t="s">
        <v>45095</v>
      </c>
      <c r="O8638" t="s">
        <v>45096</v>
      </c>
      <c r="P8638">
        <v>0</v>
      </c>
      <c r="Q8638">
        <v>0</v>
      </c>
      <c r="R8638" t="s">
        <v>45104</v>
      </c>
      <c r="S8638" t="s">
        <v>45304</v>
      </c>
      <c r="T8638" t="s">
        <v>47159</v>
      </c>
      <c r="U8638" t="s">
        <v>54654</v>
      </c>
      <c r="W8638" t="s">
        <v>44087</v>
      </c>
      <c r="X8638" t="s">
        <v>45105</v>
      </c>
    </row>
    <row r="8639" spans="1:24">
      <c r="A8639">
        <f>HYPERLINK("https://www.philgeps.gov.ph/GEPSNONPILOT/Tender/SplashBidNoticeAbstractUI.aspx?menuIndex=3&amp;refID=7033356&amp;Result=3","7033356")</f>
        <v>0</v>
      </c>
      <c r="B8639" t="s">
        <v>2405</v>
      </c>
      <c r="C8639" t="s">
        <v>11430</v>
      </c>
      <c r="D8639" t="s">
        <v>18052</v>
      </c>
      <c r="E8639" t="s">
        <v>21506</v>
      </c>
      <c r="F8639" t="s">
        <v>31574</v>
      </c>
      <c r="G8639" t="s">
        <v>31582</v>
      </c>
      <c r="H8639" t="s">
        <v>31591</v>
      </c>
      <c r="I8639" t="s">
        <v>8822</v>
      </c>
      <c r="J8639" t="s">
        <v>31927</v>
      </c>
      <c r="K8639" t="s">
        <v>41192</v>
      </c>
      <c r="M8639" t="s">
        <v>44132</v>
      </c>
      <c r="N8639" t="s">
        <v>45095</v>
      </c>
      <c r="O8639" t="s">
        <v>45096</v>
      </c>
      <c r="P8639">
        <v>0</v>
      </c>
      <c r="Q8639">
        <v>0</v>
      </c>
      <c r="R8639" t="s">
        <v>45104</v>
      </c>
      <c r="S8639" t="s">
        <v>45304</v>
      </c>
      <c r="T8639" t="s">
        <v>47043</v>
      </c>
      <c r="U8639" t="s">
        <v>50981</v>
      </c>
      <c r="W8639" t="s">
        <v>44132</v>
      </c>
      <c r="X8639" t="s">
        <v>45105</v>
      </c>
    </row>
    <row r="8640" spans="1:24">
      <c r="A8640">
        <f>HYPERLINK("https://www.philgeps.gov.ph/GEPSNONPILOT/Tender/SplashBidNoticeAbstractUI.aspx?menuIndex=3&amp;refID=7033346&amp;Result=3","7033346")</f>
        <v>0</v>
      </c>
      <c r="B8640" t="s">
        <v>1806</v>
      </c>
      <c r="C8640" t="s">
        <v>11431</v>
      </c>
      <c r="D8640" t="s">
        <v>18040</v>
      </c>
      <c r="E8640" t="s">
        <v>25684</v>
      </c>
      <c r="F8640" t="s">
        <v>31574</v>
      </c>
      <c r="G8640" t="s">
        <v>31581</v>
      </c>
      <c r="H8640" t="s">
        <v>31590</v>
      </c>
      <c r="I8640" t="s">
        <v>4046</v>
      </c>
      <c r="J8640" t="s">
        <v>37197</v>
      </c>
      <c r="K8640" t="s">
        <v>41193</v>
      </c>
      <c r="L8640" t="s">
        <v>1806</v>
      </c>
      <c r="M8640" t="s">
        <v>43439</v>
      </c>
      <c r="N8640" t="s">
        <v>45095</v>
      </c>
      <c r="O8640" t="s">
        <v>45096</v>
      </c>
      <c r="P8640">
        <v>0</v>
      </c>
      <c r="Q8640">
        <v>2</v>
      </c>
      <c r="R8640" t="s">
        <v>45104</v>
      </c>
      <c r="S8640" t="s">
        <v>45304</v>
      </c>
      <c r="T8640" t="s">
        <v>46963</v>
      </c>
      <c r="U8640" t="s">
        <v>52148</v>
      </c>
      <c r="W8640" t="s">
        <v>43439</v>
      </c>
      <c r="X8640" t="s">
        <v>45105</v>
      </c>
    </row>
    <row r="8641" spans="1:24">
      <c r="A8641">
        <f>HYPERLINK("https://www.philgeps.gov.ph/GEPSNONPILOT/Tender/SplashBidNoticeAbstractUI.aspx?menuIndex=3&amp;refID=7033361&amp;Result=3","7033361")</f>
        <v>0</v>
      </c>
      <c r="B8641" t="s">
        <v>2407</v>
      </c>
      <c r="C8641" t="s">
        <v>11432</v>
      </c>
      <c r="D8641" t="s">
        <v>18083</v>
      </c>
      <c r="E8641" t="s">
        <v>25685</v>
      </c>
      <c r="F8641" t="s">
        <v>31574</v>
      </c>
      <c r="G8641" t="s">
        <v>31582</v>
      </c>
      <c r="H8641" t="s">
        <v>31591</v>
      </c>
      <c r="I8641" t="s">
        <v>8822</v>
      </c>
      <c r="J8641" t="s">
        <v>37198</v>
      </c>
      <c r="K8641" t="s">
        <v>41286</v>
      </c>
      <c r="M8641" t="s">
        <v>44134</v>
      </c>
      <c r="N8641" t="s">
        <v>45095</v>
      </c>
      <c r="O8641" t="s">
        <v>45096</v>
      </c>
      <c r="P8641">
        <v>0</v>
      </c>
      <c r="Q8641">
        <v>0</v>
      </c>
      <c r="R8641" t="s">
        <v>45104</v>
      </c>
      <c r="S8641" t="s">
        <v>45304</v>
      </c>
      <c r="T8641" t="s">
        <v>47345</v>
      </c>
      <c r="U8641" t="s">
        <v>54655</v>
      </c>
      <c r="W8641" t="s">
        <v>44134</v>
      </c>
      <c r="X8641" t="s">
        <v>45105</v>
      </c>
    </row>
    <row r="8642" spans="1:24">
      <c r="A8642">
        <f>HYPERLINK("https://www.philgeps.gov.ph/GEPSNONPILOT/Tender/SplashBidNoticeAbstractUI.aspx?menuIndex=3&amp;refID=7033372&amp;Result=3","7033372")</f>
        <v>0</v>
      </c>
      <c r="B8642" t="s">
        <v>2415</v>
      </c>
      <c r="C8642" t="s">
        <v>11433</v>
      </c>
      <c r="D8642" t="s">
        <v>18033</v>
      </c>
      <c r="E8642" t="s">
        <v>18590</v>
      </c>
      <c r="F8642" t="s">
        <v>31574</v>
      </c>
      <c r="G8642" t="s">
        <v>31582</v>
      </c>
      <c r="H8642" t="s">
        <v>31591</v>
      </c>
      <c r="I8642" t="s">
        <v>8822</v>
      </c>
      <c r="J8642" t="s">
        <v>31758</v>
      </c>
      <c r="K8642" t="s">
        <v>41189</v>
      </c>
      <c r="L8642" t="s">
        <v>2415</v>
      </c>
      <c r="M8642" t="s">
        <v>44142</v>
      </c>
      <c r="N8642" t="s">
        <v>45095</v>
      </c>
      <c r="O8642" t="s">
        <v>45096</v>
      </c>
      <c r="P8642">
        <v>0</v>
      </c>
      <c r="Q8642">
        <v>1</v>
      </c>
      <c r="R8642" t="s">
        <v>45104</v>
      </c>
      <c r="S8642" t="s">
        <v>45304</v>
      </c>
      <c r="T8642" t="s">
        <v>46988</v>
      </c>
      <c r="U8642" t="s">
        <v>54656</v>
      </c>
      <c r="W8642" t="s">
        <v>44142</v>
      </c>
      <c r="X8642" t="s">
        <v>45105</v>
      </c>
    </row>
    <row r="8643" spans="1:24">
      <c r="A8643">
        <f>HYPERLINK("https://www.philgeps.gov.ph/GEPSNONPILOT/Tender/SplashBidNoticeAbstractUI.aspx?menuIndex=3&amp;refID=7033373&amp;Result=3","7033373")</f>
        <v>0</v>
      </c>
      <c r="B8643" t="s">
        <v>2416</v>
      </c>
      <c r="C8643" t="s">
        <v>11434</v>
      </c>
      <c r="D8643" t="s">
        <v>18033</v>
      </c>
      <c r="E8643" t="s">
        <v>25686</v>
      </c>
      <c r="F8643" t="s">
        <v>31574</v>
      </c>
      <c r="G8643" t="s">
        <v>31585</v>
      </c>
      <c r="H8643" t="s">
        <v>31590</v>
      </c>
      <c r="I8643" t="s">
        <v>4046</v>
      </c>
      <c r="J8643" t="s">
        <v>37199</v>
      </c>
      <c r="K8643" t="s">
        <v>41193</v>
      </c>
      <c r="M8643" t="s">
        <v>44143</v>
      </c>
      <c r="N8643" t="s">
        <v>45095</v>
      </c>
      <c r="O8643" t="s">
        <v>45096</v>
      </c>
      <c r="P8643">
        <v>0</v>
      </c>
      <c r="Q8643">
        <v>0</v>
      </c>
      <c r="R8643" t="s">
        <v>45104</v>
      </c>
      <c r="S8643" t="s">
        <v>45304</v>
      </c>
      <c r="T8643" t="s">
        <v>47146</v>
      </c>
      <c r="U8643" t="s">
        <v>54657</v>
      </c>
      <c r="V8643" t="s">
        <v>60746</v>
      </c>
      <c r="W8643" t="s">
        <v>44143</v>
      </c>
      <c r="X8643" t="s">
        <v>45105</v>
      </c>
    </row>
    <row r="8644" spans="1:24">
      <c r="A8644">
        <f>HYPERLINK("https://www.philgeps.gov.ph/GEPSNONPILOT/Tender/SplashBidNoticeAbstractUI.aspx?menuIndex=3&amp;refID=7033390&amp;Result=3","7033390")</f>
        <v>0</v>
      </c>
      <c r="B8644" t="s">
        <v>627</v>
      </c>
      <c r="C8644" t="s">
        <v>11435</v>
      </c>
      <c r="E8644" t="s">
        <v>25687</v>
      </c>
      <c r="F8644" t="s">
        <v>31574</v>
      </c>
      <c r="G8644" t="s">
        <v>31581</v>
      </c>
      <c r="H8644" t="s">
        <v>31590</v>
      </c>
      <c r="I8644" t="s">
        <v>3651</v>
      </c>
      <c r="J8644" t="s">
        <v>33610</v>
      </c>
      <c r="K8644" t="s">
        <v>41184</v>
      </c>
      <c r="M8644" t="s">
        <v>42131</v>
      </c>
      <c r="N8644" t="s">
        <v>45095</v>
      </c>
      <c r="O8644" t="s">
        <v>45096</v>
      </c>
      <c r="P8644">
        <v>0</v>
      </c>
      <c r="Q8644">
        <v>0</v>
      </c>
      <c r="R8644" t="s">
        <v>45104</v>
      </c>
      <c r="S8644" t="s">
        <v>45304</v>
      </c>
      <c r="T8644" t="s">
        <v>47183</v>
      </c>
      <c r="U8644" t="s">
        <v>54658</v>
      </c>
      <c r="W8644" t="s">
        <v>42131</v>
      </c>
      <c r="X8644" t="s">
        <v>45105</v>
      </c>
    </row>
    <row r="8645" spans="1:24">
      <c r="A8645">
        <f>HYPERLINK("https://www.philgeps.gov.ph/GEPSNONPILOT/Tender/SplashBidNoticeAbstractUI.aspx?menuIndex=3&amp;refID=7033389&amp;Result=3","7033389")</f>
        <v>0</v>
      </c>
      <c r="B8645" t="s">
        <v>2417</v>
      </c>
      <c r="C8645" t="s">
        <v>11436</v>
      </c>
      <c r="D8645" t="s">
        <v>18067</v>
      </c>
      <c r="E8645" t="s">
        <v>25688</v>
      </c>
      <c r="F8645" t="s">
        <v>31574</v>
      </c>
      <c r="G8645" t="s">
        <v>31582</v>
      </c>
      <c r="H8645" t="s">
        <v>31590</v>
      </c>
      <c r="I8645" t="s">
        <v>4046</v>
      </c>
      <c r="J8645" t="s">
        <v>37200</v>
      </c>
      <c r="K8645" t="s">
        <v>41186</v>
      </c>
      <c r="M8645" t="s">
        <v>44144</v>
      </c>
      <c r="N8645" t="s">
        <v>45095</v>
      </c>
      <c r="O8645" t="s">
        <v>45096</v>
      </c>
      <c r="P8645">
        <v>0</v>
      </c>
      <c r="Q8645">
        <v>2</v>
      </c>
      <c r="R8645" t="s">
        <v>45104</v>
      </c>
      <c r="S8645" t="s">
        <v>45304</v>
      </c>
      <c r="T8645" t="s">
        <v>47161</v>
      </c>
      <c r="U8645" t="s">
        <v>54659</v>
      </c>
      <c r="W8645" t="s">
        <v>44144</v>
      </c>
      <c r="X8645" t="s">
        <v>45105</v>
      </c>
    </row>
    <row r="8646" spans="1:24">
      <c r="A8646">
        <f>HYPERLINK("https://www.philgeps.gov.ph/GEPSNONPILOT/Tender/SplashBidNoticeAbstractUI.aspx?menuIndex=3&amp;refID=7033392&amp;Result=3","7033392")</f>
        <v>0</v>
      </c>
      <c r="B8646" t="s">
        <v>2418</v>
      </c>
      <c r="C8646" t="s">
        <v>11437</v>
      </c>
      <c r="D8646" t="s">
        <v>18030</v>
      </c>
      <c r="E8646" t="s">
        <v>25689</v>
      </c>
      <c r="F8646" t="s">
        <v>31574</v>
      </c>
      <c r="G8646" t="s">
        <v>31582</v>
      </c>
      <c r="H8646" t="s">
        <v>31591</v>
      </c>
      <c r="I8646" t="s">
        <v>8822</v>
      </c>
      <c r="J8646" t="s">
        <v>31727</v>
      </c>
      <c r="K8646" t="s">
        <v>41190</v>
      </c>
      <c r="M8646" t="s">
        <v>44145</v>
      </c>
      <c r="N8646" t="s">
        <v>45095</v>
      </c>
      <c r="O8646" t="s">
        <v>45096</v>
      </c>
      <c r="P8646">
        <v>0</v>
      </c>
      <c r="Q8646">
        <v>0</v>
      </c>
      <c r="R8646" t="s">
        <v>45104</v>
      </c>
      <c r="S8646" t="s">
        <v>45304</v>
      </c>
      <c r="T8646" t="s">
        <v>47311</v>
      </c>
      <c r="U8646" t="s">
        <v>54660</v>
      </c>
      <c r="W8646" t="s">
        <v>44145</v>
      </c>
      <c r="X8646" t="s">
        <v>45105</v>
      </c>
    </row>
    <row r="8647" spans="1:24">
      <c r="A8647">
        <f>HYPERLINK("https://www.philgeps.gov.ph/GEPSNONPILOT/Tender/SplashBidNoticeAbstractUI.aspx?menuIndex=3&amp;refID=7033397&amp;Result=3","7033397")</f>
        <v>0</v>
      </c>
      <c r="B8647" t="s">
        <v>1682</v>
      </c>
      <c r="C8647" t="s">
        <v>11438</v>
      </c>
      <c r="D8647" t="s">
        <v>18064</v>
      </c>
      <c r="E8647" t="s">
        <v>25690</v>
      </c>
      <c r="F8647" t="s">
        <v>31574</v>
      </c>
      <c r="G8647" t="s">
        <v>31582</v>
      </c>
      <c r="H8647" t="s">
        <v>31591</v>
      </c>
      <c r="I8647" t="s">
        <v>8822</v>
      </c>
      <c r="J8647" t="s">
        <v>32049</v>
      </c>
      <c r="K8647" t="s">
        <v>41192</v>
      </c>
      <c r="M8647" t="s">
        <v>43295</v>
      </c>
      <c r="N8647" t="s">
        <v>45095</v>
      </c>
      <c r="O8647" t="s">
        <v>45096</v>
      </c>
      <c r="P8647">
        <v>0</v>
      </c>
      <c r="Q8647">
        <v>0</v>
      </c>
      <c r="R8647" t="s">
        <v>45104</v>
      </c>
      <c r="S8647" t="s">
        <v>45304</v>
      </c>
      <c r="T8647" t="s">
        <v>47114</v>
      </c>
      <c r="U8647" t="s">
        <v>54661</v>
      </c>
      <c r="W8647" t="s">
        <v>43295</v>
      </c>
      <c r="X8647" t="s">
        <v>45105</v>
      </c>
    </row>
    <row r="8648" spans="1:24">
      <c r="A8648">
        <f>HYPERLINK("https://www.philgeps.gov.ph/GEPSNONPILOT/Tender/SplashBidNoticeAbstractUI.aspx?menuIndex=3&amp;refID=7033381&amp;Result=3","7033381")</f>
        <v>0</v>
      </c>
      <c r="B8648" t="s">
        <v>2419</v>
      </c>
      <c r="C8648" t="s">
        <v>11439</v>
      </c>
      <c r="D8648" t="s">
        <v>18030</v>
      </c>
      <c r="E8648" t="s">
        <v>19162</v>
      </c>
      <c r="F8648" t="s">
        <v>31574</v>
      </c>
      <c r="G8648" t="s">
        <v>31581</v>
      </c>
      <c r="H8648" t="s">
        <v>31591</v>
      </c>
      <c r="I8648" t="s">
        <v>31638</v>
      </c>
      <c r="J8648" t="s">
        <v>37201</v>
      </c>
      <c r="K8648" t="s">
        <v>41190</v>
      </c>
      <c r="M8648" t="s">
        <v>44146</v>
      </c>
      <c r="N8648" t="s">
        <v>45095</v>
      </c>
      <c r="O8648" t="s">
        <v>45096</v>
      </c>
      <c r="P8648">
        <v>0</v>
      </c>
      <c r="Q8648">
        <v>0</v>
      </c>
      <c r="R8648" t="s">
        <v>45104</v>
      </c>
      <c r="S8648" t="s">
        <v>45304</v>
      </c>
      <c r="T8648" t="s">
        <v>47183</v>
      </c>
      <c r="U8648" t="s">
        <v>54662</v>
      </c>
      <c r="W8648" t="s">
        <v>44146</v>
      </c>
      <c r="X8648" t="s">
        <v>45105</v>
      </c>
    </row>
    <row r="8649" spans="1:24">
      <c r="A8649">
        <f>HYPERLINK("https://www.philgeps.gov.ph/GEPSNONPILOT/Tender/SplashBidNoticeAbstractUI.aspx?menuIndex=3&amp;refID=7033374&amp;Result=3","7033374")</f>
        <v>0</v>
      </c>
      <c r="B8649" t="s">
        <v>2418</v>
      </c>
      <c r="C8649" t="s">
        <v>11440</v>
      </c>
      <c r="D8649" t="s">
        <v>18030</v>
      </c>
      <c r="E8649" t="s">
        <v>25691</v>
      </c>
      <c r="F8649" t="s">
        <v>31574</v>
      </c>
      <c r="G8649" t="s">
        <v>31582</v>
      </c>
      <c r="H8649" t="s">
        <v>31590</v>
      </c>
      <c r="I8649" t="s">
        <v>8822</v>
      </c>
      <c r="J8649" t="s">
        <v>31727</v>
      </c>
      <c r="K8649" t="s">
        <v>41190</v>
      </c>
      <c r="M8649" t="s">
        <v>44145</v>
      </c>
      <c r="N8649" t="s">
        <v>45095</v>
      </c>
      <c r="O8649" t="s">
        <v>45096</v>
      </c>
      <c r="P8649">
        <v>0</v>
      </c>
      <c r="Q8649">
        <v>0</v>
      </c>
      <c r="R8649" t="s">
        <v>45104</v>
      </c>
      <c r="S8649" t="s">
        <v>45304</v>
      </c>
      <c r="T8649" t="s">
        <v>47311</v>
      </c>
      <c r="U8649" t="s">
        <v>54660</v>
      </c>
      <c r="W8649" t="s">
        <v>44145</v>
      </c>
      <c r="X8649" t="s">
        <v>45105</v>
      </c>
    </row>
    <row r="8650" spans="1:24">
      <c r="A8650">
        <f>HYPERLINK("https://www.philgeps.gov.ph/GEPSNONPILOT/Tender/SplashBidNoticeAbstractUI.aspx?menuIndex=3&amp;refID=7033405&amp;Result=3","7033405")</f>
        <v>0</v>
      </c>
      <c r="B8650" t="s">
        <v>2414</v>
      </c>
      <c r="C8650" t="s">
        <v>11441</v>
      </c>
      <c r="D8650" t="s">
        <v>18060</v>
      </c>
      <c r="E8650" t="s">
        <v>25692</v>
      </c>
      <c r="F8650" t="s">
        <v>31574</v>
      </c>
      <c r="G8650" t="s">
        <v>31581</v>
      </c>
      <c r="H8650" t="s">
        <v>31590</v>
      </c>
      <c r="I8650" t="s">
        <v>31615</v>
      </c>
      <c r="J8650" t="s">
        <v>33514</v>
      </c>
      <c r="K8650" t="s">
        <v>41186</v>
      </c>
      <c r="M8650" t="s">
        <v>44141</v>
      </c>
      <c r="N8650" t="s">
        <v>45095</v>
      </c>
      <c r="O8650" t="s">
        <v>45096</v>
      </c>
      <c r="P8650">
        <v>0</v>
      </c>
      <c r="Q8650">
        <v>0</v>
      </c>
      <c r="R8650" t="s">
        <v>45104</v>
      </c>
      <c r="S8650" t="s">
        <v>45304</v>
      </c>
      <c r="T8650" t="s">
        <v>47112</v>
      </c>
      <c r="U8650" t="s">
        <v>54663</v>
      </c>
      <c r="W8650" t="s">
        <v>44141</v>
      </c>
      <c r="X8650" t="s">
        <v>45105</v>
      </c>
    </row>
    <row r="8651" spans="1:24">
      <c r="A8651">
        <f>HYPERLINK("https://www.philgeps.gov.ph/GEPSNONPILOT/Tender/SplashBidNoticeAbstractUI.aspx?menuIndex=3&amp;refID=7033422&amp;Result=3","7033422")</f>
        <v>0</v>
      </c>
      <c r="B8651" t="s">
        <v>2420</v>
      </c>
      <c r="C8651" t="s">
        <v>11442</v>
      </c>
      <c r="D8651" t="s">
        <v>18046</v>
      </c>
      <c r="E8651" t="s">
        <v>25693</v>
      </c>
      <c r="F8651" t="s">
        <v>31574</v>
      </c>
      <c r="G8651" t="s">
        <v>31582</v>
      </c>
      <c r="H8651" t="s">
        <v>31591</v>
      </c>
      <c r="I8651" t="s">
        <v>4046</v>
      </c>
      <c r="J8651" t="s">
        <v>37202</v>
      </c>
      <c r="K8651" t="s">
        <v>41196</v>
      </c>
      <c r="M8651" t="s">
        <v>44147</v>
      </c>
      <c r="N8651" t="s">
        <v>45095</v>
      </c>
      <c r="O8651" t="s">
        <v>45096</v>
      </c>
      <c r="P8651">
        <v>0</v>
      </c>
      <c r="Q8651">
        <v>1</v>
      </c>
      <c r="R8651" t="s">
        <v>45104</v>
      </c>
      <c r="S8651" t="s">
        <v>45304</v>
      </c>
      <c r="T8651" t="s">
        <v>46937</v>
      </c>
      <c r="U8651" t="s">
        <v>54664</v>
      </c>
      <c r="V8651" t="s">
        <v>60747</v>
      </c>
      <c r="W8651" t="s">
        <v>44147</v>
      </c>
      <c r="X8651" t="s">
        <v>45105</v>
      </c>
    </row>
    <row r="8652" spans="1:24">
      <c r="A8652">
        <f>HYPERLINK("https://www.philgeps.gov.ph/GEPSNONPILOT/Tender/SplashBidNoticeAbstractUI.aspx?menuIndex=3&amp;refID=7033388&amp;Result=3","7033388")</f>
        <v>0</v>
      </c>
      <c r="B8652" t="s">
        <v>1806</v>
      </c>
      <c r="C8652" t="s">
        <v>11443</v>
      </c>
      <c r="D8652" t="s">
        <v>18040</v>
      </c>
      <c r="E8652" t="s">
        <v>25694</v>
      </c>
      <c r="F8652" t="s">
        <v>31574</v>
      </c>
      <c r="G8652" t="s">
        <v>31581</v>
      </c>
      <c r="H8652" t="s">
        <v>31590</v>
      </c>
      <c r="I8652" t="s">
        <v>4046</v>
      </c>
      <c r="J8652" t="s">
        <v>37203</v>
      </c>
      <c r="K8652" t="s">
        <v>41213</v>
      </c>
      <c r="L8652" t="s">
        <v>1806</v>
      </c>
      <c r="M8652" t="s">
        <v>43439</v>
      </c>
      <c r="N8652" t="s">
        <v>45095</v>
      </c>
      <c r="O8652" t="s">
        <v>45096</v>
      </c>
      <c r="P8652">
        <v>0</v>
      </c>
      <c r="Q8652">
        <v>0</v>
      </c>
      <c r="R8652" t="s">
        <v>45104</v>
      </c>
      <c r="S8652" t="s">
        <v>45304</v>
      </c>
      <c r="T8652" t="s">
        <v>46963</v>
      </c>
      <c r="U8652" t="s">
        <v>52148</v>
      </c>
      <c r="W8652" t="s">
        <v>43439</v>
      </c>
      <c r="X8652" t="s">
        <v>45105</v>
      </c>
    </row>
    <row r="8653" spans="1:24">
      <c r="A8653">
        <f>HYPERLINK("https://www.philgeps.gov.ph/GEPSNONPILOT/Tender/SplashBidNoticeAbstractUI.aspx?menuIndex=3&amp;refID=7033391&amp;Result=3","7033391")</f>
        <v>0</v>
      </c>
      <c r="B8653" t="s">
        <v>82</v>
      </c>
      <c r="C8653" t="s">
        <v>11444</v>
      </c>
      <c r="D8653" t="s">
        <v>18058</v>
      </c>
      <c r="E8653" t="s">
        <v>25695</v>
      </c>
      <c r="F8653" t="s">
        <v>31574</v>
      </c>
      <c r="G8653" t="s">
        <v>31581</v>
      </c>
      <c r="H8653" t="s">
        <v>31590</v>
      </c>
      <c r="I8653" t="s">
        <v>8258</v>
      </c>
      <c r="J8653" t="s">
        <v>37082</v>
      </c>
      <c r="K8653" t="s">
        <v>41193</v>
      </c>
      <c r="M8653" t="s">
        <v>44081</v>
      </c>
      <c r="N8653" t="s">
        <v>45095</v>
      </c>
      <c r="O8653" t="s">
        <v>45096</v>
      </c>
      <c r="P8653">
        <v>0</v>
      </c>
      <c r="Q8653">
        <v>1</v>
      </c>
      <c r="R8653" t="s">
        <v>45104</v>
      </c>
      <c r="S8653" t="s">
        <v>45304</v>
      </c>
      <c r="T8653" t="s">
        <v>46985</v>
      </c>
      <c r="U8653" t="s">
        <v>54665</v>
      </c>
      <c r="W8653" t="s">
        <v>44081</v>
      </c>
      <c r="X8653" t="s">
        <v>45105</v>
      </c>
    </row>
    <row r="8654" spans="1:24">
      <c r="A8654">
        <f>HYPERLINK("https://www.philgeps.gov.ph/GEPSNONPILOT/Tender/SplashBidNoticeAbstractUI.aspx?menuIndex=3&amp;refID=7033411&amp;Result=3","7033411")</f>
        <v>0</v>
      </c>
      <c r="B8654" t="s">
        <v>2418</v>
      </c>
      <c r="C8654" t="s">
        <v>11445</v>
      </c>
      <c r="D8654" t="s">
        <v>18030</v>
      </c>
      <c r="E8654" t="s">
        <v>25696</v>
      </c>
      <c r="F8654" t="s">
        <v>31574</v>
      </c>
      <c r="G8654" t="s">
        <v>31582</v>
      </c>
      <c r="H8654" t="s">
        <v>31591</v>
      </c>
      <c r="I8654" t="s">
        <v>8822</v>
      </c>
      <c r="J8654" t="s">
        <v>31727</v>
      </c>
      <c r="K8654" t="s">
        <v>41190</v>
      </c>
      <c r="M8654" t="s">
        <v>44145</v>
      </c>
      <c r="N8654" t="s">
        <v>45095</v>
      </c>
      <c r="O8654" t="s">
        <v>45096</v>
      </c>
      <c r="P8654">
        <v>0</v>
      </c>
      <c r="Q8654">
        <v>0</v>
      </c>
      <c r="R8654" t="s">
        <v>45104</v>
      </c>
      <c r="S8654" t="s">
        <v>45304</v>
      </c>
      <c r="T8654" t="s">
        <v>47311</v>
      </c>
      <c r="U8654" t="s">
        <v>54660</v>
      </c>
      <c r="W8654" t="s">
        <v>44145</v>
      </c>
      <c r="X8654" t="s">
        <v>45105</v>
      </c>
    </row>
    <row r="8655" spans="1:24">
      <c r="A8655">
        <f>HYPERLINK("https://www.philgeps.gov.ph/GEPSNONPILOT/Tender/SplashBidNoticeAbstractUI.aspx?menuIndex=3&amp;refID=7033408&amp;Result=3","7033408")</f>
        <v>0</v>
      </c>
      <c r="B8655" t="s">
        <v>2421</v>
      </c>
      <c r="C8655" t="s">
        <v>11446</v>
      </c>
      <c r="D8655" t="s">
        <v>18070</v>
      </c>
      <c r="E8655" t="s">
        <v>25697</v>
      </c>
      <c r="F8655" t="s">
        <v>31574</v>
      </c>
      <c r="G8655" t="s">
        <v>31582</v>
      </c>
      <c r="H8655" t="s">
        <v>31590</v>
      </c>
      <c r="I8655" t="s">
        <v>3520</v>
      </c>
      <c r="J8655" t="s">
        <v>37204</v>
      </c>
      <c r="K8655" t="s">
        <v>41186</v>
      </c>
      <c r="M8655" t="s">
        <v>44148</v>
      </c>
      <c r="N8655" t="s">
        <v>45095</v>
      </c>
      <c r="O8655" t="s">
        <v>45096</v>
      </c>
      <c r="P8655">
        <v>0</v>
      </c>
      <c r="Q8655">
        <v>4</v>
      </c>
      <c r="R8655" t="s">
        <v>45104</v>
      </c>
      <c r="S8655" t="s">
        <v>45304</v>
      </c>
      <c r="T8655" t="s">
        <v>47336</v>
      </c>
      <c r="U8655" t="s">
        <v>54666</v>
      </c>
      <c r="W8655" t="s">
        <v>44148</v>
      </c>
      <c r="X8655" t="s">
        <v>45105</v>
      </c>
    </row>
    <row r="8656" spans="1:24">
      <c r="A8656">
        <f>HYPERLINK("https://www.philgeps.gov.ph/GEPSNONPILOT/Tender/SplashBidNoticeAbstractUI.aspx?menuIndex=3&amp;refID=7033376&amp;Result=3","7033376")</f>
        <v>0</v>
      </c>
      <c r="B8656" t="s">
        <v>2422</v>
      </c>
      <c r="C8656" t="s">
        <v>11447</v>
      </c>
      <c r="D8656" t="s">
        <v>18066</v>
      </c>
      <c r="E8656" t="s">
        <v>25698</v>
      </c>
      <c r="F8656" t="s">
        <v>31575</v>
      </c>
      <c r="G8656" t="s">
        <v>31582</v>
      </c>
      <c r="H8656" t="s">
        <v>31591</v>
      </c>
      <c r="I8656" t="s">
        <v>8822</v>
      </c>
      <c r="J8656" t="s">
        <v>33039</v>
      </c>
      <c r="K8656" t="s">
        <v>41253</v>
      </c>
      <c r="L8656" t="s">
        <v>2422</v>
      </c>
      <c r="M8656" t="s">
        <v>44149</v>
      </c>
      <c r="N8656" t="s">
        <v>45095</v>
      </c>
      <c r="O8656" t="s">
        <v>45096</v>
      </c>
      <c r="P8656">
        <v>0</v>
      </c>
      <c r="Q8656">
        <v>0</v>
      </c>
      <c r="R8656" t="s">
        <v>45104</v>
      </c>
      <c r="S8656" t="s">
        <v>45304</v>
      </c>
      <c r="T8656" t="s">
        <v>46922</v>
      </c>
      <c r="U8656" t="s">
        <v>54667</v>
      </c>
      <c r="W8656" t="s">
        <v>44149</v>
      </c>
      <c r="X8656" t="s">
        <v>45105</v>
      </c>
    </row>
    <row r="8657" spans="1:24">
      <c r="A8657">
        <f>HYPERLINK("https://www.philgeps.gov.ph/GEPSNONPILOT/Tender/SplashBidNoticeAbstractUI.aspx?menuIndex=3&amp;refID=7033407&amp;Result=3","7033407")</f>
        <v>0</v>
      </c>
      <c r="B8657" t="s">
        <v>2423</v>
      </c>
      <c r="C8657" t="s">
        <v>11448</v>
      </c>
      <c r="D8657" t="s">
        <v>18072</v>
      </c>
      <c r="E8657" t="s">
        <v>25699</v>
      </c>
      <c r="F8657" t="s">
        <v>31574</v>
      </c>
      <c r="G8657" t="s">
        <v>31582</v>
      </c>
      <c r="H8657" t="s">
        <v>31591</v>
      </c>
      <c r="I8657" t="s">
        <v>8822</v>
      </c>
      <c r="J8657" t="s">
        <v>33243</v>
      </c>
      <c r="K8657" t="s">
        <v>41186</v>
      </c>
      <c r="M8657" t="s">
        <v>44150</v>
      </c>
      <c r="N8657" t="s">
        <v>45095</v>
      </c>
      <c r="O8657" t="s">
        <v>45096</v>
      </c>
      <c r="P8657">
        <v>0</v>
      </c>
      <c r="Q8657">
        <v>0</v>
      </c>
      <c r="R8657" t="s">
        <v>45104</v>
      </c>
      <c r="S8657" t="s">
        <v>45304</v>
      </c>
      <c r="T8657" t="s">
        <v>47183</v>
      </c>
      <c r="U8657" t="s">
        <v>54668</v>
      </c>
      <c r="W8657" t="s">
        <v>44150</v>
      </c>
      <c r="X8657" t="s">
        <v>45105</v>
      </c>
    </row>
    <row r="8658" spans="1:24">
      <c r="A8658">
        <f>HYPERLINK("https://www.philgeps.gov.ph/GEPSNONPILOT/Tender/SplashBidNoticeAbstractUI.aspx?menuIndex=3&amp;refID=7033419&amp;Result=3","7033419")</f>
        <v>0</v>
      </c>
      <c r="B8658" t="s">
        <v>2418</v>
      </c>
      <c r="C8658" t="s">
        <v>11449</v>
      </c>
      <c r="D8658" t="s">
        <v>18030</v>
      </c>
      <c r="E8658" t="s">
        <v>25700</v>
      </c>
      <c r="F8658" t="s">
        <v>31574</v>
      </c>
      <c r="G8658" t="s">
        <v>31582</v>
      </c>
      <c r="H8658" t="s">
        <v>31591</v>
      </c>
      <c r="I8658" t="s">
        <v>8822</v>
      </c>
      <c r="J8658" t="s">
        <v>31727</v>
      </c>
      <c r="K8658" t="s">
        <v>41190</v>
      </c>
      <c r="M8658" t="s">
        <v>44145</v>
      </c>
      <c r="N8658" t="s">
        <v>45095</v>
      </c>
      <c r="O8658" t="s">
        <v>45096</v>
      </c>
      <c r="P8658">
        <v>0</v>
      </c>
      <c r="Q8658">
        <v>0</v>
      </c>
      <c r="R8658" t="s">
        <v>45104</v>
      </c>
      <c r="S8658" t="s">
        <v>45304</v>
      </c>
      <c r="T8658" t="s">
        <v>47311</v>
      </c>
      <c r="U8658" t="s">
        <v>54660</v>
      </c>
      <c r="W8658" t="s">
        <v>44145</v>
      </c>
      <c r="X8658" t="s">
        <v>45105</v>
      </c>
    </row>
    <row r="8659" spans="1:24">
      <c r="A8659">
        <f>HYPERLINK("https://www.philgeps.gov.ph/GEPSNONPILOT/Tender/SplashBidNoticeAbstractUI.aspx?menuIndex=3&amp;refID=7033396&amp;Result=3","7033396")</f>
        <v>0</v>
      </c>
      <c r="B8659" t="s">
        <v>2126</v>
      </c>
      <c r="C8659" t="s">
        <v>11450</v>
      </c>
      <c r="D8659" t="s">
        <v>18072</v>
      </c>
      <c r="E8659" t="s">
        <v>25701</v>
      </c>
      <c r="F8659" t="s">
        <v>31574</v>
      </c>
      <c r="G8659" t="s">
        <v>31582</v>
      </c>
      <c r="H8659" t="s">
        <v>31590</v>
      </c>
      <c r="I8659" t="s">
        <v>31619</v>
      </c>
      <c r="J8659" t="s">
        <v>31789</v>
      </c>
      <c r="K8659" t="s">
        <v>41184</v>
      </c>
      <c r="M8659" t="s">
        <v>43808</v>
      </c>
      <c r="N8659" t="s">
        <v>45095</v>
      </c>
      <c r="O8659" t="s">
        <v>45096</v>
      </c>
      <c r="P8659">
        <v>0</v>
      </c>
      <c r="Q8659">
        <v>1</v>
      </c>
      <c r="R8659" t="s">
        <v>45104</v>
      </c>
      <c r="S8659" t="s">
        <v>45304</v>
      </c>
      <c r="T8659" t="s">
        <v>46979</v>
      </c>
      <c r="U8659" t="s">
        <v>54669</v>
      </c>
      <c r="W8659" t="s">
        <v>43808</v>
      </c>
      <c r="X8659" t="s">
        <v>45105</v>
      </c>
    </row>
    <row r="8660" spans="1:24">
      <c r="A8660">
        <f>HYPERLINK("https://www.philgeps.gov.ph/GEPSNONPILOT/Tender/SplashBidNoticeAbstractUI.aspx?menuIndex=3&amp;refID=7033423&amp;Result=3","7033423")</f>
        <v>0</v>
      </c>
      <c r="B8660" t="s">
        <v>2424</v>
      </c>
      <c r="C8660" t="s">
        <v>11451</v>
      </c>
      <c r="E8660" t="s">
        <v>25702</v>
      </c>
      <c r="F8660" t="s">
        <v>31574</v>
      </c>
      <c r="G8660" t="s">
        <v>31582</v>
      </c>
      <c r="H8660" t="s">
        <v>31590</v>
      </c>
      <c r="I8660" t="s">
        <v>31608</v>
      </c>
      <c r="J8660" t="s">
        <v>37205</v>
      </c>
      <c r="K8660" t="s">
        <v>41185</v>
      </c>
      <c r="M8660" t="s">
        <v>44151</v>
      </c>
      <c r="N8660" t="s">
        <v>45095</v>
      </c>
      <c r="O8660" t="s">
        <v>45096</v>
      </c>
      <c r="Q8660">
        <v>1</v>
      </c>
      <c r="R8660" t="s">
        <v>45104</v>
      </c>
      <c r="S8660" t="s">
        <v>45314</v>
      </c>
      <c r="T8660" t="s">
        <v>47000</v>
      </c>
      <c r="U8660" t="s">
        <v>54670</v>
      </c>
      <c r="W8660" t="s">
        <v>44151</v>
      </c>
      <c r="X8660" t="s">
        <v>45105</v>
      </c>
    </row>
    <row r="8661" spans="1:24">
      <c r="A8661">
        <f>HYPERLINK("https://www.philgeps.gov.ph/GEPSNONPILOT/Tender/SplashBidNoticeAbstractUI.aspx?menuIndex=3&amp;refID=7033429&amp;Result=3","7033429")</f>
        <v>0</v>
      </c>
      <c r="B8661" t="s">
        <v>82</v>
      </c>
      <c r="C8661" t="s">
        <v>4749</v>
      </c>
      <c r="D8661" t="s">
        <v>18058</v>
      </c>
      <c r="E8661" t="s">
        <v>25703</v>
      </c>
      <c r="F8661" t="s">
        <v>31574</v>
      </c>
      <c r="G8661" t="s">
        <v>31581</v>
      </c>
      <c r="H8661" t="s">
        <v>31590</v>
      </c>
      <c r="I8661" t="s">
        <v>7185</v>
      </c>
      <c r="J8661" t="s">
        <v>37206</v>
      </c>
      <c r="K8661" t="s">
        <v>41193</v>
      </c>
      <c r="M8661" t="s">
        <v>44081</v>
      </c>
      <c r="N8661" t="s">
        <v>45095</v>
      </c>
      <c r="O8661" t="s">
        <v>45096</v>
      </c>
      <c r="P8661">
        <v>0</v>
      </c>
      <c r="Q8661">
        <v>0</v>
      </c>
      <c r="R8661" t="s">
        <v>45104</v>
      </c>
      <c r="S8661" t="s">
        <v>45304</v>
      </c>
      <c r="T8661" t="s">
        <v>46985</v>
      </c>
      <c r="U8661" t="s">
        <v>54671</v>
      </c>
      <c r="W8661" t="s">
        <v>44081</v>
      </c>
      <c r="X8661" t="s">
        <v>45105</v>
      </c>
    </row>
    <row r="8662" spans="1:24">
      <c r="A8662">
        <f>HYPERLINK("https://www.philgeps.gov.ph/GEPSNONPILOT/Tender/SplashBidNoticeAbstractUI.aspx?menuIndex=3&amp;refID=7033393&amp;Result=3","7033393")</f>
        <v>0</v>
      </c>
      <c r="B8662" t="s">
        <v>2399</v>
      </c>
      <c r="C8662" t="s">
        <v>11452</v>
      </c>
      <c r="D8662" t="s">
        <v>18022</v>
      </c>
      <c r="E8662" t="s">
        <v>25704</v>
      </c>
      <c r="F8662" t="s">
        <v>31574</v>
      </c>
      <c r="G8662" t="s">
        <v>31583</v>
      </c>
      <c r="H8662" t="s">
        <v>31590</v>
      </c>
      <c r="I8662" t="s">
        <v>31654</v>
      </c>
      <c r="J8662" t="s">
        <v>31930</v>
      </c>
      <c r="K8662" t="s">
        <v>41196</v>
      </c>
      <c r="M8662" t="s">
        <v>44126</v>
      </c>
      <c r="N8662" t="s">
        <v>45095</v>
      </c>
      <c r="O8662" t="s">
        <v>45096</v>
      </c>
      <c r="P8662">
        <v>0</v>
      </c>
      <c r="Q8662">
        <v>8</v>
      </c>
      <c r="R8662" t="s">
        <v>45104</v>
      </c>
      <c r="S8662" t="s">
        <v>45304</v>
      </c>
      <c r="T8662" t="s">
        <v>47158</v>
      </c>
      <c r="U8662" t="s">
        <v>54672</v>
      </c>
      <c r="W8662" t="s">
        <v>44126</v>
      </c>
      <c r="X8662" t="s">
        <v>45105</v>
      </c>
    </row>
    <row r="8663" spans="1:24">
      <c r="A8663">
        <f>HYPERLINK("https://www.philgeps.gov.ph/GEPSNONPILOT/Tender/SplashBidNoticeAbstractUI.aspx?menuIndex=3&amp;refID=7033453&amp;Result=3","7033453")</f>
        <v>0</v>
      </c>
      <c r="B8663" t="s">
        <v>307</v>
      </c>
      <c r="C8663" t="s">
        <v>11453</v>
      </c>
      <c r="D8663" t="s">
        <v>18066</v>
      </c>
      <c r="E8663" t="s">
        <v>18749</v>
      </c>
      <c r="F8663" t="s">
        <v>31575</v>
      </c>
      <c r="G8663" t="s">
        <v>31583</v>
      </c>
      <c r="H8663" t="s">
        <v>31591</v>
      </c>
      <c r="I8663" t="s">
        <v>31630</v>
      </c>
      <c r="J8663" t="s">
        <v>37207</v>
      </c>
      <c r="K8663" t="s">
        <v>41196</v>
      </c>
      <c r="L8663" t="s">
        <v>307</v>
      </c>
      <c r="M8663" t="s">
        <v>41793</v>
      </c>
      <c r="N8663" t="s">
        <v>45095</v>
      </c>
      <c r="O8663" t="s">
        <v>45096</v>
      </c>
      <c r="P8663">
        <v>0</v>
      </c>
      <c r="Q8663">
        <v>0</v>
      </c>
      <c r="R8663" t="s">
        <v>45104</v>
      </c>
      <c r="S8663" t="s">
        <v>45304</v>
      </c>
      <c r="T8663" t="s">
        <v>47000</v>
      </c>
      <c r="U8663" t="s">
        <v>54673</v>
      </c>
      <c r="W8663" t="s">
        <v>41793</v>
      </c>
      <c r="X8663" t="s">
        <v>45105</v>
      </c>
    </row>
    <row r="8664" spans="1:24">
      <c r="A8664">
        <f>HYPERLINK("https://www.philgeps.gov.ph/GEPSNONPILOT/Tender/SplashBidNoticeAbstractUI.aspx?menuIndex=3&amp;refID=7033404&amp;Result=3","7033404")</f>
        <v>0</v>
      </c>
      <c r="B8664" t="s">
        <v>2425</v>
      </c>
      <c r="C8664" t="s">
        <v>11454</v>
      </c>
      <c r="D8664" t="s">
        <v>18027</v>
      </c>
      <c r="E8664" t="s">
        <v>19794</v>
      </c>
      <c r="F8664" t="s">
        <v>31574</v>
      </c>
      <c r="G8664" t="s">
        <v>31582</v>
      </c>
      <c r="H8664" t="s">
        <v>31591</v>
      </c>
      <c r="I8664" t="s">
        <v>8822</v>
      </c>
      <c r="J8664" t="s">
        <v>33906</v>
      </c>
      <c r="K8664" t="s">
        <v>41185</v>
      </c>
      <c r="M8664" t="s">
        <v>44152</v>
      </c>
      <c r="N8664" t="s">
        <v>45095</v>
      </c>
      <c r="O8664" t="s">
        <v>45096</v>
      </c>
      <c r="P8664">
        <v>0</v>
      </c>
      <c r="Q8664">
        <v>0</v>
      </c>
      <c r="R8664" t="s">
        <v>45104</v>
      </c>
      <c r="S8664" t="s">
        <v>45304</v>
      </c>
      <c r="T8664" t="s">
        <v>47176</v>
      </c>
      <c r="U8664" t="s">
        <v>54674</v>
      </c>
      <c r="W8664" t="s">
        <v>44152</v>
      </c>
      <c r="X8664" t="s">
        <v>45105</v>
      </c>
    </row>
    <row r="8665" spans="1:24">
      <c r="A8665">
        <f>HYPERLINK("https://www.philgeps.gov.ph/GEPSNONPILOT/Tender/SplashBidNoticeAbstractUI.aspx?menuIndex=3&amp;refID=7033430&amp;Result=3","7033430")</f>
        <v>0</v>
      </c>
      <c r="B8665" t="s">
        <v>2317</v>
      </c>
      <c r="C8665" t="s">
        <v>11455</v>
      </c>
      <c r="D8665" t="s">
        <v>18036</v>
      </c>
      <c r="E8665" t="s">
        <v>25705</v>
      </c>
      <c r="F8665" t="s">
        <v>31574</v>
      </c>
      <c r="G8665" t="s">
        <v>31583</v>
      </c>
      <c r="H8665" t="s">
        <v>31590</v>
      </c>
      <c r="I8665" t="s">
        <v>31598</v>
      </c>
      <c r="J8665" t="s">
        <v>37208</v>
      </c>
      <c r="K8665" t="s">
        <v>41196</v>
      </c>
      <c r="M8665" t="s">
        <v>44027</v>
      </c>
      <c r="N8665" t="s">
        <v>45095</v>
      </c>
      <c r="O8665" t="s">
        <v>45096</v>
      </c>
      <c r="P8665">
        <v>0</v>
      </c>
      <c r="Q8665">
        <v>5</v>
      </c>
      <c r="R8665" t="s">
        <v>45104</v>
      </c>
      <c r="S8665" t="s">
        <v>45304</v>
      </c>
      <c r="T8665" t="s">
        <v>46973</v>
      </c>
      <c r="U8665" t="s">
        <v>54675</v>
      </c>
      <c r="W8665" t="s">
        <v>44027</v>
      </c>
      <c r="X8665" t="s">
        <v>45105</v>
      </c>
    </row>
    <row r="8666" spans="1:24">
      <c r="A8666">
        <f>HYPERLINK("https://www.philgeps.gov.ph/GEPSNONPILOT/Tender/SplashBidNoticeAbstractUI.aspx?menuIndex=3&amp;refID=7033441&amp;Result=3","7033441")</f>
        <v>0</v>
      </c>
      <c r="B8666" t="s">
        <v>2412</v>
      </c>
      <c r="C8666" t="s">
        <v>11456</v>
      </c>
      <c r="D8666" t="s">
        <v>18070</v>
      </c>
      <c r="E8666" t="s">
        <v>25706</v>
      </c>
      <c r="F8666" t="s">
        <v>31574</v>
      </c>
      <c r="G8666" t="s">
        <v>31582</v>
      </c>
      <c r="H8666" t="s">
        <v>31591</v>
      </c>
      <c r="I8666" t="s">
        <v>8822</v>
      </c>
      <c r="J8666" t="s">
        <v>37209</v>
      </c>
      <c r="K8666" t="s">
        <v>41200</v>
      </c>
      <c r="M8666" t="s">
        <v>44139</v>
      </c>
      <c r="N8666" t="s">
        <v>45095</v>
      </c>
      <c r="O8666" t="s">
        <v>45096</v>
      </c>
      <c r="P8666">
        <v>0</v>
      </c>
      <c r="Q8666">
        <v>0</v>
      </c>
      <c r="R8666" t="s">
        <v>45104</v>
      </c>
      <c r="S8666" t="s">
        <v>45304</v>
      </c>
      <c r="T8666" t="s">
        <v>46965</v>
      </c>
      <c r="U8666" t="s">
        <v>54676</v>
      </c>
      <c r="W8666" t="s">
        <v>44139</v>
      </c>
      <c r="X8666" t="s">
        <v>45105</v>
      </c>
    </row>
    <row r="8667" spans="1:24">
      <c r="A8667">
        <f>HYPERLINK("https://www.philgeps.gov.ph/GEPSNONPILOT/Tender/SplashBidNoticeAbstractUI.aspx?menuIndex=3&amp;refID=7033451&amp;Result=3","7033451")</f>
        <v>0</v>
      </c>
      <c r="B8667" t="s">
        <v>322</v>
      </c>
      <c r="C8667" t="s">
        <v>11457</v>
      </c>
      <c r="D8667" t="s">
        <v>18079</v>
      </c>
      <c r="E8667" t="s">
        <v>25264</v>
      </c>
      <c r="F8667" t="s">
        <v>31574</v>
      </c>
      <c r="G8667" t="s">
        <v>31581</v>
      </c>
      <c r="H8667" t="s">
        <v>31590</v>
      </c>
      <c r="I8667" t="s">
        <v>3539</v>
      </c>
      <c r="J8667" t="s">
        <v>31780</v>
      </c>
      <c r="K8667" t="s">
        <v>41196</v>
      </c>
      <c r="M8667" t="s">
        <v>41810</v>
      </c>
      <c r="N8667" t="s">
        <v>45095</v>
      </c>
      <c r="O8667" t="s">
        <v>45096</v>
      </c>
      <c r="P8667">
        <v>0</v>
      </c>
      <c r="Q8667">
        <v>0</v>
      </c>
      <c r="R8667" t="s">
        <v>45104</v>
      </c>
      <c r="S8667" t="s">
        <v>45304</v>
      </c>
      <c r="T8667" t="s">
        <v>47158</v>
      </c>
      <c r="U8667" t="s">
        <v>54677</v>
      </c>
      <c r="W8667" t="s">
        <v>41810</v>
      </c>
      <c r="X8667" t="s">
        <v>45105</v>
      </c>
    </row>
    <row r="8668" spans="1:24">
      <c r="A8668">
        <f>HYPERLINK("https://www.philgeps.gov.ph/GEPSNONPILOT/Tender/SplashBidNoticeAbstractUI.aspx?menuIndex=3&amp;refID=7033431&amp;Result=3","7033431")</f>
        <v>0</v>
      </c>
      <c r="B8668" t="s">
        <v>2414</v>
      </c>
      <c r="C8668" t="s">
        <v>11458</v>
      </c>
      <c r="D8668" t="s">
        <v>18060</v>
      </c>
      <c r="E8668" t="s">
        <v>25707</v>
      </c>
      <c r="F8668" t="s">
        <v>31574</v>
      </c>
      <c r="G8668" t="s">
        <v>31581</v>
      </c>
      <c r="H8668" t="s">
        <v>31590</v>
      </c>
      <c r="I8668" t="s">
        <v>31608</v>
      </c>
      <c r="J8668" t="s">
        <v>31789</v>
      </c>
      <c r="K8668" t="s">
        <v>41186</v>
      </c>
      <c r="M8668" t="s">
        <v>44141</v>
      </c>
      <c r="N8668" t="s">
        <v>45095</v>
      </c>
      <c r="O8668" t="s">
        <v>45096</v>
      </c>
      <c r="P8668">
        <v>0</v>
      </c>
      <c r="Q8668">
        <v>4</v>
      </c>
      <c r="R8668" t="s">
        <v>45104</v>
      </c>
      <c r="S8668" t="s">
        <v>45304</v>
      </c>
      <c r="T8668" t="s">
        <v>46991</v>
      </c>
      <c r="U8668" t="s">
        <v>54678</v>
      </c>
      <c r="W8668" t="s">
        <v>44141</v>
      </c>
      <c r="X8668" t="s">
        <v>45105</v>
      </c>
    </row>
    <row r="8669" spans="1:24">
      <c r="A8669">
        <f>HYPERLINK("https://www.philgeps.gov.ph/GEPSNONPILOT/Tender/SplashBidNoticeAbstractUI.aspx?menuIndex=3&amp;refID=7033442&amp;Result=3","7033442")</f>
        <v>0</v>
      </c>
      <c r="B8669" t="s">
        <v>2426</v>
      </c>
      <c r="C8669" t="s">
        <v>11459</v>
      </c>
      <c r="D8669" t="s">
        <v>18022</v>
      </c>
      <c r="E8669" t="s">
        <v>20329</v>
      </c>
      <c r="F8669" t="s">
        <v>31579</v>
      </c>
      <c r="G8669" t="s">
        <v>31582</v>
      </c>
      <c r="H8669" t="s">
        <v>31590</v>
      </c>
      <c r="I8669" t="s">
        <v>6800</v>
      </c>
      <c r="J8669" t="s">
        <v>37210</v>
      </c>
      <c r="K8669" t="s">
        <v>41193</v>
      </c>
      <c r="M8669" t="s">
        <v>44153</v>
      </c>
      <c r="N8669" t="s">
        <v>45095</v>
      </c>
      <c r="O8669" t="s">
        <v>45096</v>
      </c>
      <c r="P8669">
        <v>0</v>
      </c>
      <c r="Q8669">
        <v>1</v>
      </c>
      <c r="R8669" t="s">
        <v>45104</v>
      </c>
      <c r="S8669" t="s">
        <v>45304</v>
      </c>
      <c r="T8669" t="s">
        <v>46920</v>
      </c>
      <c r="U8669" t="s">
        <v>54679</v>
      </c>
      <c r="W8669" t="s">
        <v>44153</v>
      </c>
      <c r="X8669" t="s">
        <v>45105</v>
      </c>
    </row>
    <row r="8670" spans="1:24">
      <c r="A8670">
        <f>HYPERLINK("https://www.philgeps.gov.ph/GEPSNONPILOT/Tender/SplashBidNoticeAbstractUI.aspx?menuIndex=3&amp;refID=7033460&amp;Result=3","7033460")</f>
        <v>0</v>
      </c>
      <c r="B8670" t="s">
        <v>2418</v>
      </c>
      <c r="C8670" t="s">
        <v>11460</v>
      </c>
      <c r="D8670" t="s">
        <v>18030</v>
      </c>
      <c r="E8670" t="s">
        <v>25708</v>
      </c>
      <c r="F8670" t="s">
        <v>31574</v>
      </c>
      <c r="G8670" t="s">
        <v>31582</v>
      </c>
      <c r="H8670" t="s">
        <v>31590</v>
      </c>
      <c r="I8670" t="s">
        <v>8822</v>
      </c>
      <c r="J8670" t="s">
        <v>31727</v>
      </c>
      <c r="K8670" t="s">
        <v>41190</v>
      </c>
      <c r="M8670" t="s">
        <v>44145</v>
      </c>
      <c r="N8670" t="s">
        <v>45095</v>
      </c>
      <c r="O8670" t="s">
        <v>45096</v>
      </c>
      <c r="P8670">
        <v>0</v>
      </c>
      <c r="Q8670">
        <v>0</v>
      </c>
      <c r="R8670" t="s">
        <v>45104</v>
      </c>
      <c r="S8670" t="s">
        <v>45304</v>
      </c>
      <c r="T8670" t="s">
        <v>47311</v>
      </c>
      <c r="U8670" t="s">
        <v>54660</v>
      </c>
      <c r="W8670" t="s">
        <v>44145</v>
      </c>
      <c r="X8670" t="s">
        <v>45105</v>
      </c>
    </row>
    <row r="8671" spans="1:24">
      <c r="A8671">
        <f>HYPERLINK("https://www.philgeps.gov.ph/GEPSNONPILOT/Tender/SplashBidNoticeAbstractUI.aspx?menuIndex=3&amp;refID=7033459&amp;Result=3","7033459")</f>
        <v>0</v>
      </c>
      <c r="B8671" t="s">
        <v>781</v>
      </c>
      <c r="C8671" t="s">
        <v>11461</v>
      </c>
      <c r="D8671" t="s">
        <v>18047</v>
      </c>
      <c r="E8671" t="s">
        <v>25709</v>
      </c>
      <c r="F8671" t="s">
        <v>31574</v>
      </c>
      <c r="G8671" t="s">
        <v>31582</v>
      </c>
      <c r="H8671" t="s">
        <v>31590</v>
      </c>
      <c r="I8671" t="s">
        <v>31620</v>
      </c>
      <c r="J8671" t="s">
        <v>37211</v>
      </c>
      <c r="K8671" t="s">
        <v>41184</v>
      </c>
      <c r="M8671" t="s">
        <v>42295</v>
      </c>
      <c r="N8671" t="s">
        <v>45095</v>
      </c>
      <c r="O8671" t="s">
        <v>45096</v>
      </c>
      <c r="P8671">
        <v>0</v>
      </c>
      <c r="Q8671">
        <v>12</v>
      </c>
      <c r="R8671" t="s">
        <v>45104</v>
      </c>
      <c r="S8671" t="s">
        <v>45304</v>
      </c>
      <c r="T8671" t="s">
        <v>47183</v>
      </c>
      <c r="U8671" t="s">
        <v>49139</v>
      </c>
      <c r="W8671" t="s">
        <v>42295</v>
      </c>
      <c r="X8671" t="s">
        <v>45105</v>
      </c>
    </row>
    <row r="8672" spans="1:24">
      <c r="A8672">
        <f>HYPERLINK("https://www.philgeps.gov.ph/GEPSNONPILOT/Tender/SplashBidNoticeAbstractUI.aspx?menuIndex=3&amp;refID=7033435&amp;Result=3","7033435")</f>
        <v>0</v>
      </c>
      <c r="B8672" t="s">
        <v>244</v>
      </c>
      <c r="C8672" t="s">
        <v>11462</v>
      </c>
      <c r="D8672" t="s">
        <v>18053</v>
      </c>
      <c r="E8672" t="s">
        <v>25710</v>
      </c>
      <c r="F8672" t="s">
        <v>31574</v>
      </c>
      <c r="G8672" t="s">
        <v>31582</v>
      </c>
      <c r="H8672" t="s">
        <v>31590</v>
      </c>
      <c r="I8672" t="s">
        <v>31608</v>
      </c>
      <c r="J8672" t="s">
        <v>32076</v>
      </c>
      <c r="K8672" t="s">
        <v>41289</v>
      </c>
      <c r="M8672" t="s">
        <v>41730</v>
      </c>
      <c r="N8672" t="s">
        <v>45095</v>
      </c>
      <c r="O8672" t="s">
        <v>45096</v>
      </c>
      <c r="P8672">
        <v>0</v>
      </c>
      <c r="Q8672">
        <v>5</v>
      </c>
      <c r="R8672" t="s">
        <v>45104</v>
      </c>
      <c r="S8672" t="s">
        <v>45304</v>
      </c>
      <c r="T8672" t="s">
        <v>47010</v>
      </c>
      <c r="U8672" t="s">
        <v>54680</v>
      </c>
      <c r="W8672" t="s">
        <v>41730</v>
      </c>
      <c r="X8672" t="s">
        <v>45105</v>
      </c>
    </row>
    <row r="8673" spans="1:24">
      <c r="A8673">
        <f>HYPERLINK("https://www.philgeps.gov.ph/GEPSNONPILOT/Tender/SplashBidNoticeAbstractUI.aspx?menuIndex=3&amp;refID=7033449&amp;Result=3","7033449")</f>
        <v>0</v>
      </c>
      <c r="B8673" t="s">
        <v>613</v>
      </c>
      <c r="C8673" t="s">
        <v>11463</v>
      </c>
      <c r="D8673" t="s">
        <v>18065</v>
      </c>
      <c r="E8673" t="s">
        <v>25711</v>
      </c>
      <c r="F8673" t="s">
        <v>31574</v>
      </c>
      <c r="G8673" t="s">
        <v>31581</v>
      </c>
      <c r="H8673" t="s">
        <v>31590</v>
      </c>
      <c r="I8673" t="s">
        <v>31621</v>
      </c>
      <c r="J8673" t="s">
        <v>33087</v>
      </c>
      <c r="K8673" t="s">
        <v>41196</v>
      </c>
      <c r="M8673" t="s">
        <v>42699</v>
      </c>
      <c r="N8673" t="s">
        <v>45095</v>
      </c>
      <c r="O8673" t="s">
        <v>45096</v>
      </c>
      <c r="P8673">
        <v>0</v>
      </c>
      <c r="Q8673">
        <v>3</v>
      </c>
      <c r="R8673" t="s">
        <v>45104</v>
      </c>
      <c r="S8673" t="s">
        <v>45304</v>
      </c>
      <c r="T8673" t="s">
        <v>47171</v>
      </c>
      <c r="U8673" t="s">
        <v>50215</v>
      </c>
      <c r="W8673" t="s">
        <v>42699</v>
      </c>
      <c r="X8673" t="s">
        <v>45105</v>
      </c>
    </row>
    <row r="8674" spans="1:24">
      <c r="A8674">
        <f>HYPERLINK("https://www.philgeps.gov.ph/GEPSNONPILOT/Tender/SplashBidNoticeAbstractUI.aspx?menuIndex=3&amp;refID=7033458&amp;Result=3","7033458")</f>
        <v>0</v>
      </c>
      <c r="B8674" t="s">
        <v>2427</v>
      </c>
      <c r="C8674" t="s">
        <v>11464</v>
      </c>
      <c r="D8674" t="s">
        <v>18052</v>
      </c>
      <c r="E8674" t="s">
        <v>25712</v>
      </c>
      <c r="F8674" t="s">
        <v>31574</v>
      </c>
      <c r="G8674" t="s">
        <v>31581</v>
      </c>
      <c r="H8674" t="s">
        <v>31590</v>
      </c>
      <c r="I8674" t="s">
        <v>8258</v>
      </c>
      <c r="J8674" t="s">
        <v>31883</v>
      </c>
      <c r="K8674" t="s">
        <v>41193</v>
      </c>
      <c r="M8674" t="s">
        <v>44154</v>
      </c>
      <c r="N8674" t="s">
        <v>45095</v>
      </c>
      <c r="O8674" t="s">
        <v>45096</v>
      </c>
      <c r="P8674">
        <v>0</v>
      </c>
      <c r="Q8674">
        <v>33</v>
      </c>
      <c r="R8674" t="s">
        <v>45104</v>
      </c>
      <c r="S8674" t="s">
        <v>45304</v>
      </c>
      <c r="T8674" t="s">
        <v>47154</v>
      </c>
      <c r="U8674" t="s">
        <v>54681</v>
      </c>
      <c r="V8674" t="s">
        <v>60748</v>
      </c>
      <c r="W8674" t="s">
        <v>44154</v>
      </c>
      <c r="X8674" t="s">
        <v>45105</v>
      </c>
    </row>
    <row r="8675" spans="1:24">
      <c r="A8675">
        <f>HYPERLINK("https://www.philgeps.gov.ph/GEPSNONPILOT/Tender/SplashBidNoticeAbstractUI.aspx?menuIndex=3&amp;refID=7033439&amp;Result=3","7033439")</f>
        <v>0</v>
      </c>
      <c r="B8675" t="s">
        <v>2055</v>
      </c>
      <c r="C8675" t="s">
        <v>11465</v>
      </c>
      <c r="D8675" t="s">
        <v>18099</v>
      </c>
      <c r="E8675" t="s">
        <v>25713</v>
      </c>
      <c r="F8675" t="s">
        <v>31574</v>
      </c>
      <c r="G8675" t="s">
        <v>31582</v>
      </c>
      <c r="H8675" t="s">
        <v>31591</v>
      </c>
      <c r="I8675" t="s">
        <v>8822</v>
      </c>
      <c r="J8675" t="s">
        <v>32076</v>
      </c>
      <c r="K8675" t="s">
        <v>41200</v>
      </c>
      <c r="M8675" t="s">
        <v>43724</v>
      </c>
      <c r="N8675" t="s">
        <v>45095</v>
      </c>
      <c r="O8675" t="s">
        <v>45096</v>
      </c>
      <c r="P8675">
        <v>0</v>
      </c>
      <c r="Q8675">
        <v>0</v>
      </c>
      <c r="R8675" t="s">
        <v>45104</v>
      </c>
      <c r="S8675" t="s">
        <v>45304</v>
      </c>
      <c r="T8675" t="s">
        <v>47010</v>
      </c>
      <c r="U8675" t="s">
        <v>54682</v>
      </c>
      <c r="V8675" t="s">
        <v>60584</v>
      </c>
      <c r="W8675" t="s">
        <v>43724</v>
      </c>
      <c r="X8675" t="s">
        <v>45105</v>
      </c>
    </row>
    <row r="8676" spans="1:24">
      <c r="A8676">
        <f>HYPERLINK("https://www.philgeps.gov.ph/GEPSNONPILOT/Tender/SplashBidNoticeAbstractUI.aspx?menuIndex=3&amp;refID=7033440&amp;Result=3","7033440")</f>
        <v>0</v>
      </c>
      <c r="B8676" t="s">
        <v>2418</v>
      </c>
      <c r="C8676" t="s">
        <v>11466</v>
      </c>
      <c r="D8676" t="s">
        <v>18030</v>
      </c>
      <c r="E8676" t="s">
        <v>25708</v>
      </c>
      <c r="F8676" t="s">
        <v>31574</v>
      </c>
      <c r="G8676" t="s">
        <v>31582</v>
      </c>
      <c r="H8676" t="s">
        <v>31591</v>
      </c>
      <c r="I8676" t="s">
        <v>8822</v>
      </c>
      <c r="J8676" t="s">
        <v>31727</v>
      </c>
      <c r="K8676" t="s">
        <v>41190</v>
      </c>
      <c r="M8676" t="s">
        <v>44145</v>
      </c>
      <c r="N8676" t="s">
        <v>45095</v>
      </c>
      <c r="O8676" t="s">
        <v>45096</v>
      </c>
      <c r="P8676">
        <v>0</v>
      </c>
      <c r="Q8676">
        <v>0</v>
      </c>
      <c r="R8676" t="s">
        <v>45104</v>
      </c>
      <c r="S8676" t="s">
        <v>45304</v>
      </c>
      <c r="T8676" t="s">
        <v>47311</v>
      </c>
      <c r="U8676" t="s">
        <v>54660</v>
      </c>
      <c r="W8676" t="s">
        <v>44145</v>
      </c>
      <c r="X8676" t="s">
        <v>45105</v>
      </c>
    </row>
    <row r="8677" spans="1:24">
      <c r="A8677">
        <f>HYPERLINK("https://www.philgeps.gov.ph/GEPSNONPILOT/Tender/SplashBidNoticeAbstractUI.aspx?menuIndex=3&amp;refID=7033457&amp;Result=3","7033457")</f>
        <v>0</v>
      </c>
      <c r="B8677" t="s">
        <v>355</v>
      </c>
      <c r="C8677" t="s">
        <v>11467</v>
      </c>
      <c r="D8677" t="s">
        <v>18043</v>
      </c>
      <c r="E8677" t="s">
        <v>25714</v>
      </c>
      <c r="F8677" t="s">
        <v>31574</v>
      </c>
      <c r="G8677" t="s">
        <v>31581</v>
      </c>
      <c r="H8677" t="s">
        <v>31590</v>
      </c>
      <c r="I8677" t="s">
        <v>14544</v>
      </c>
      <c r="J8677" t="s">
        <v>32041</v>
      </c>
      <c r="K8677" t="s">
        <v>41190</v>
      </c>
      <c r="M8677" t="s">
        <v>41845</v>
      </c>
      <c r="N8677" t="s">
        <v>45095</v>
      </c>
      <c r="O8677" t="s">
        <v>45096</v>
      </c>
      <c r="P8677">
        <v>0</v>
      </c>
      <c r="Q8677">
        <v>0</v>
      </c>
      <c r="R8677" t="s">
        <v>45104</v>
      </c>
      <c r="S8677" t="s">
        <v>45304</v>
      </c>
      <c r="T8677" t="s">
        <v>47158</v>
      </c>
      <c r="U8677" t="s">
        <v>54683</v>
      </c>
      <c r="W8677" t="s">
        <v>41845</v>
      </c>
      <c r="X8677" t="s">
        <v>45105</v>
      </c>
    </row>
    <row r="8678" spans="1:24">
      <c r="A8678">
        <f>HYPERLINK("https://www.philgeps.gov.ph/GEPSNONPILOT/Tender/SplashBidNoticeAbstractUI.aspx?menuIndex=3&amp;refID=7033461&amp;Result=3","7033461")</f>
        <v>0</v>
      </c>
      <c r="B8678" t="s">
        <v>384</v>
      </c>
      <c r="C8678" t="s">
        <v>11468</v>
      </c>
      <c r="D8678" t="s">
        <v>18055</v>
      </c>
      <c r="E8678" t="s">
        <v>25715</v>
      </c>
      <c r="F8678" t="s">
        <v>31574</v>
      </c>
      <c r="G8678" t="s">
        <v>31581</v>
      </c>
      <c r="H8678" t="s">
        <v>31590</v>
      </c>
      <c r="I8678" t="s">
        <v>31630</v>
      </c>
      <c r="J8678" t="s">
        <v>31780</v>
      </c>
      <c r="K8678" t="s">
        <v>41193</v>
      </c>
      <c r="M8678" t="s">
        <v>41874</v>
      </c>
      <c r="N8678" t="s">
        <v>45095</v>
      </c>
      <c r="O8678" t="s">
        <v>45096</v>
      </c>
      <c r="P8678">
        <v>0</v>
      </c>
      <c r="Q8678">
        <v>0</v>
      </c>
      <c r="R8678" t="s">
        <v>45104</v>
      </c>
      <c r="S8678" t="s">
        <v>45304</v>
      </c>
      <c r="T8678" t="s">
        <v>47154</v>
      </c>
      <c r="U8678" t="s">
        <v>54684</v>
      </c>
      <c r="V8678" t="s">
        <v>60749</v>
      </c>
      <c r="W8678" t="s">
        <v>41874</v>
      </c>
      <c r="X8678" t="s">
        <v>45105</v>
      </c>
    </row>
    <row r="8679" spans="1:24">
      <c r="A8679">
        <f>HYPERLINK("https://www.philgeps.gov.ph/GEPSNONPILOT/Tender/SplashBidNoticeAbstractUI.aspx?menuIndex=3&amp;refID=7033454&amp;Result=3","7033454")</f>
        <v>0</v>
      </c>
      <c r="B8679" t="s">
        <v>2423</v>
      </c>
      <c r="C8679" t="s">
        <v>11469</v>
      </c>
      <c r="D8679" t="s">
        <v>18072</v>
      </c>
      <c r="E8679" t="s">
        <v>25716</v>
      </c>
      <c r="F8679" t="s">
        <v>31574</v>
      </c>
      <c r="G8679" t="s">
        <v>31582</v>
      </c>
      <c r="H8679" t="s">
        <v>31591</v>
      </c>
      <c r="I8679" t="s">
        <v>8822</v>
      </c>
      <c r="J8679" t="s">
        <v>37212</v>
      </c>
      <c r="K8679" t="s">
        <v>41186</v>
      </c>
      <c r="M8679" t="s">
        <v>44150</v>
      </c>
      <c r="N8679" t="s">
        <v>45095</v>
      </c>
      <c r="O8679" t="s">
        <v>45096</v>
      </c>
      <c r="P8679">
        <v>0</v>
      </c>
      <c r="Q8679">
        <v>0</v>
      </c>
      <c r="R8679" t="s">
        <v>45104</v>
      </c>
      <c r="S8679" t="s">
        <v>45304</v>
      </c>
      <c r="T8679" t="s">
        <v>47183</v>
      </c>
      <c r="U8679" t="s">
        <v>54685</v>
      </c>
      <c r="W8679" t="s">
        <v>44150</v>
      </c>
      <c r="X8679" t="s">
        <v>45105</v>
      </c>
    </row>
    <row r="8680" spans="1:24">
      <c r="A8680">
        <f>HYPERLINK("https://www.philgeps.gov.ph/GEPSNONPILOT/Tender/SplashBidNoticeAbstractUI.aspx?menuIndex=3&amp;refID=7033463&amp;Result=3","7033463")</f>
        <v>0</v>
      </c>
      <c r="B8680" t="s">
        <v>2428</v>
      </c>
      <c r="C8680" t="s">
        <v>11470</v>
      </c>
      <c r="D8680" t="s">
        <v>18041</v>
      </c>
      <c r="E8680" t="s">
        <v>25717</v>
      </c>
      <c r="F8680" t="s">
        <v>31574</v>
      </c>
      <c r="G8680" t="s">
        <v>31582</v>
      </c>
      <c r="H8680" t="s">
        <v>31591</v>
      </c>
      <c r="I8680" t="s">
        <v>8822</v>
      </c>
      <c r="J8680" t="s">
        <v>31727</v>
      </c>
      <c r="K8680" t="s">
        <v>41186</v>
      </c>
      <c r="M8680" t="s">
        <v>44155</v>
      </c>
      <c r="N8680" t="s">
        <v>45095</v>
      </c>
      <c r="O8680" t="s">
        <v>45096</v>
      </c>
      <c r="P8680">
        <v>0</v>
      </c>
      <c r="Q8680">
        <v>1</v>
      </c>
      <c r="R8680" t="s">
        <v>45104</v>
      </c>
      <c r="S8680" t="s">
        <v>45304</v>
      </c>
      <c r="T8680" t="s">
        <v>46946</v>
      </c>
      <c r="U8680" t="s">
        <v>54686</v>
      </c>
      <c r="V8680" t="s">
        <v>60750</v>
      </c>
      <c r="W8680" t="s">
        <v>44155</v>
      </c>
      <c r="X8680" t="s">
        <v>45105</v>
      </c>
    </row>
    <row r="8681" spans="1:24">
      <c r="A8681">
        <f>HYPERLINK("https://www.philgeps.gov.ph/GEPSNONPILOT/Tender/SplashBidNoticeAbstractUI.aspx?menuIndex=3&amp;refID=7033467&amp;Result=3","7033467")</f>
        <v>0</v>
      </c>
      <c r="B8681" t="s">
        <v>613</v>
      </c>
      <c r="C8681" t="s">
        <v>11471</v>
      </c>
      <c r="D8681" t="s">
        <v>18065</v>
      </c>
      <c r="E8681" t="s">
        <v>25718</v>
      </c>
      <c r="F8681" t="s">
        <v>31574</v>
      </c>
      <c r="G8681" t="s">
        <v>31581</v>
      </c>
      <c r="H8681" t="s">
        <v>31590</v>
      </c>
      <c r="I8681" t="s">
        <v>14544</v>
      </c>
      <c r="J8681" t="s">
        <v>37213</v>
      </c>
      <c r="K8681" t="s">
        <v>41196</v>
      </c>
      <c r="M8681" t="s">
        <v>42699</v>
      </c>
      <c r="N8681" t="s">
        <v>45095</v>
      </c>
      <c r="O8681" t="s">
        <v>45096</v>
      </c>
      <c r="P8681">
        <v>0</v>
      </c>
      <c r="Q8681">
        <v>0</v>
      </c>
      <c r="R8681" t="s">
        <v>45104</v>
      </c>
      <c r="S8681" t="s">
        <v>45304</v>
      </c>
      <c r="T8681" t="s">
        <v>47171</v>
      </c>
      <c r="U8681" t="s">
        <v>50215</v>
      </c>
      <c r="W8681" t="s">
        <v>42699</v>
      </c>
      <c r="X8681" t="s">
        <v>45105</v>
      </c>
    </row>
    <row r="8682" spans="1:24">
      <c r="A8682">
        <f>HYPERLINK("https://www.philgeps.gov.ph/GEPSNONPILOT/Tender/SplashBidNoticeAbstractUI.aspx?menuIndex=3&amp;refID=7033455&amp;Result=3","7033455")</f>
        <v>0</v>
      </c>
      <c r="B8682" t="s">
        <v>2429</v>
      </c>
      <c r="C8682" t="s">
        <v>11472</v>
      </c>
      <c r="D8682" t="s">
        <v>18054</v>
      </c>
      <c r="E8682" t="s">
        <v>25719</v>
      </c>
      <c r="F8682" t="s">
        <v>31574</v>
      </c>
      <c r="G8682" t="s">
        <v>31582</v>
      </c>
      <c r="H8682" t="s">
        <v>31590</v>
      </c>
      <c r="I8682" t="s">
        <v>31623</v>
      </c>
      <c r="J8682" t="s">
        <v>37214</v>
      </c>
      <c r="K8682" t="s">
        <v>41186</v>
      </c>
      <c r="M8682" t="s">
        <v>44156</v>
      </c>
      <c r="N8682" t="s">
        <v>45095</v>
      </c>
      <c r="O8682" t="s">
        <v>45096</v>
      </c>
      <c r="P8682">
        <v>0</v>
      </c>
      <c r="Q8682">
        <v>0</v>
      </c>
      <c r="R8682" t="s">
        <v>45104</v>
      </c>
      <c r="S8682" t="s">
        <v>45304</v>
      </c>
      <c r="T8682" t="s">
        <v>46949</v>
      </c>
      <c r="U8682" t="s">
        <v>54687</v>
      </c>
      <c r="W8682" t="s">
        <v>44156</v>
      </c>
      <c r="X8682" t="s">
        <v>45105</v>
      </c>
    </row>
    <row r="8683" spans="1:24">
      <c r="A8683">
        <f>HYPERLINK("https://www.philgeps.gov.ph/GEPSNONPILOT/Tender/SplashBidNoticeAbstractUI.aspx?menuIndex=3&amp;refID=7033474&amp;Result=3","7033474")</f>
        <v>0</v>
      </c>
      <c r="B8683" t="s">
        <v>2430</v>
      </c>
      <c r="C8683" t="s">
        <v>11473</v>
      </c>
      <c r="D8683" t="s">
        <v>18089</v>
      </c>
      <c r="E8683" t="s">
        <v>25720</v>
      </c>
      <c r="F8683" t="s">
        <v>31574</v>
      </c>
      <c r="G8683" t="s">
        <v>31582</v>
      </c>
      <c r="H8683" t="s">
        <v>31590</v>
      </c>
      <c r="I8683" t="s">
        <v>4046</v>
      </c>
      <c r="J8683" t="s">
        <v>37215</v>
      </c>
      <c r="K8683" t="s">
        <v>41190</v>
      </c>
      <c r="M8683" t="s">
        <v>44157</v>
      </c>
      <c r="N8683" t="s">
        <v>45095</v>
      </c>
      <c r="O8683" t="s">
        <v>45096</v>
      </c>
      <c r="P8683">
        <v>0</v>
      </c>
      <c r="Q8683">
        <v>0</v>
      </c>
      <c r="R8683" t="s">
        <v>45104</v>
      </c>
      <c r="S8683" t="s">
        <v>45304</v>
      </c>
      <c r="T8683" t="s">
        <v>47347</v>
      </c>
      <c r="U8683" t="s">
        <v>54688</v>
      </c>
      <c r="V8683" t="s">
        <v>60751</v>
      </c>
      <c r="W8683" t="s">
        <v>44157</v>
      </c>
      <c r="X8683" t="s">
        <v>45105</v>
      </c>
    </row>
    <row r="8684" spans="1:24">
      <c r="A8684">
        <f>HYPERLINK("https://www.philgeps.gov.ph/GEPSNONPILOT/Tender/SplashBidNoticeAbstractUI.aspx?menuIndex=3&amp;refID=7033491&amp;Result=3","7033491")</f>
        <v>0</v>
      </c>
      <c r="B8684" t="s">
        <v>2423</v>
      </c>
      <c r="C8684" t="s">
        <v>11474</v>
      </c>
      <c r="D8684" t="s">
        <v>18072</v>
      </c>
      <c r="E8684" t="s">
        <v>25721</v>
      </c>
      <c r="F8684" t="s">
        <v>31574</v>
      </c>
      <c r="G8684" t="s">
        <v>31582</v>
      </c>
      <c r="H8684" t="s">
        <v>31591</v>
      </c>
      <c r="I8684" t="s">
        <v>8822</v>
      </c>
      <c r="J8684" t="s">
        <v>31821</v>
      </c>
      <c r="K8684" t="s">
        <v>41195</v>
      </c>
      <c r="M8684" t="s">
        <v>44150</v>
      </c>
      <c r="N8684" t="s">
        <v>45095</v>
      </c>
      <c r="O8684" t="s">
        <v>45096</v>
      </c>
      <c r="P8684">
        <v>0</v>
      </c>
      <c r="Q8684">
        <v>0</v>
      </c>
      <c r="R8684" t="s">
        <v>45104</v>
      </c>
      <c r="S8684" t="s">
        <v>45304</v>
      </c>
      <c r="T8684" t="s">
        <v>47183</v>
      </c>
      <c r="U8684" t="s">
        <v>54689</v>
      </c>
      <c r="W8684" t="s">
        <v>44150</v>
      </c>
      <c r="X8684" t="s">
        <v>45105</v>
      </c>
    </row>
    <row r="8685" spans="1:24">
      <c r="A8685">
        <f>HYPERLINK("https://www.philgeps.gov.ph/GEPSNONPILOT/Tender/SplashBidNoticeAbstractUI.aspx?menuIndex=3&amp;refID=7033487&amp;Result=3","7033487")</f>
        <v>0</v>
      </c>
      <c r="B8685" t="s">
        <v>613</v>
      </c>
      <c r="C8685" t="s">
        <v>11475</v>
      </c>
      <c r="D8685" t="s">
        <v>18065</v>
      </c>
      <c r="E8685" t="s">
        <v>25722</v>
      </c>
      <c r="F8685" t="s">
        <v>31574</v>
      </c>
      <c r="G8685" t="s">
        <v>31581</v>
      </c>
      <c r="H8685" t="s">
        <v>31590</v>
      </c>
      <c r="I8685" t="s">
        <v>31602</v>
      </c>
      <c r="J8685" t="s">
        <v>37216</v>
      </c>
      <c r="K8685" t="s">
        <v>41196</v>
      </c>
      <c r="M8685" t="s">
        <v>42699</v>
      </c>
      <c r="N8685" t="s">
        <v>45095</v>
      </c>
      <c r="O8685" t="s">
        <v>45096</v>
      </c>
      <c r="P8685">
        <v>0</v>
      </c>
      <c r="Q8685">
        <v>0</v>
      </c>
      <c r="R8685" t="s">
        <v>45104</v>
      </c>
      <c r="S8685" t="s">
        <v>45304</v>
      </c>
      <c r="T8685" t="s">
        <v>47171</v>
      </c>
      <c r="U8685" t="s">
        <v>50215</v>
      </c>
      <c r="W8685" t="s">
        <v>42699</v>
      </c>
      <c r="X8685" t="s">
        <v>45105</v>
      </c>
    </row>
    <row r="8686" spans="1:24">
      <c r="A8686">
        <f>HYPERLINK("https://www.philgeps.gov.ph/GEPSNONPILOT/Tender/SplashBidNoticeAbstractUI.aspx?menuIndex=3&amp;refID=7033473&amp;Result=3","7033473")</f>
        <v>0</v>
      </c>
      <c r="B8686" t="s">
        <v>2399</v>
      </c>
      <c r="C8686" t="s">
        <v>11476</v>
      </c>
      <c r="D8686" t="s">
        <v>18022</v>
      </c>
      <c r="E8686" t="s">
        <v>25723</v>
      </c>
      <c r="F8686" t="s">
        <v>31574</v>
      </c>
      <c r="G8686" t="s">
        <v>31583</v>
      </c>
      <c r="H8686" t="s">
        <v>31590</v>
      </c>
      <c r="I8686" t="s">
        <v>31654</v>
      </c>
      <c r="J8686" t="s">
        <v>34228</v>
      </c>
      <c r="K8686" t="s">
        <v>41196</v>
      </c>
      <c r="M8686" t="s">
        <v>44126</v>
      </c>
      <c r="N8686" t="s">
        <v>45095</v>
      </c>
      <c r="O8686" t="s">
        <v>45096</v>
      </c>
      <c r="P8686">
        <v>0</v>
      </c>
      <c r="Q8686">
        <v>2</v>
      </c>
      <c r="R8686" t="s">
        <v>45104</v>
      </c>
      <c r="S8686" t="s">
        <v>45304</v>
      </c>
      <c r="T8686" t="s">
        <v>47158</v>
      </c>
      <c r="U8686" t="s">
        <v>54690</v>
      </c>
      <c r="W8686" t="s">
        <v>44126</v>
      </c>
      <c r="X8686" t="s">
        <v>45105</v>
      </c>
    </row>
    <row r="8687" spans="1:24">
      <c r="A8687">
        <f>HYPERLINK("https://www.philgeps.gov.ph/GEPSNONPILOT/Tender/SplashBidNoticeAbstractUI.aspx?menuIndex=3&amp;refID=7033488&amp;Result=3","7033488")</f>
        <v>0</v>
      </c>
      <c r="B8687" t="s">
        <v>322</v>
      </c>
      <c r="C8687" t="s">
        <v>11477</v>
      </c>
      <c r="D8687" t="s">
        <v>18079</v>
      </c>
      <c r="E8687" t="s">
        <v>24743</v>
      </c>
      <c r="F8687" t="s">
        <v>31574</v>
      </c>
      <c r="G8687" t="s">
        <v>31581</v>
      </c>
      <c r="H8687" t="s">
        <v>31590</v>
      </c>
      <c r="I8687" t="s">
        <v>3539</v>
      </c>
      <c r="J8687" t="s">
        <v>32017</v>
      </c>
      <c r="K8687" t="s">
        <v>41196</v>
      </c>
      <c r="M8687" t="s">
        <v>41810</v>
      </c>
      <c r="N8687" t="s">
        <v>45095</v>
      </c>
      <c r="O8687" t="s">
        <v>45096</v>
      </c>
      <c r="P8687">
        <v>0</v>
      </c>
      <c r="Q8687">
        <v>0</v>
      </c>
      <c r="R8687" t="s">
        <v>45104</v>
      </c>
      <c r="S8687" t="s">
        <v>45304</v>
      </c>
      <c r="T8687" t="s">
        <v>47158</v>
      </c>
      <c r="U8687" t="s">
        <v>54691</v>
      </c>
      <c r="W8687" t="s">
        <v>41810</v>
      </c>
      <c r="X8687" t="s">
        <v>45105</v>
      </c>
    </row>
    <row r="8688" spans="1:24">
      <c r="A8688">
        <f>HYPERLINK("https://www.philgeps.gov.ph/GEPSNONPILOT/Tender/SplashBidNoticeAbstractUI.aspx?menuIndex=3&amp;refID=7033476&amp;Result=3","7033476")</f>
        <v>0</v>
      </c>
      <c r="B8688" t="s">
        <v>244</v>
      </c>
      <c r="C8688" t="s">
        <v>11478</v>
      </c>
      <c r="D8688" t="s">
        <v>18053</v>
      </c>
      <c r="E8688" t="s">
        <v>25724</v>
      </c>
      <c r="F8688" t="s">
        <v>31574</v>
      </c>
      <c r="G8688" t="s">
        <v>31582</v>
      </c>
      <c r="H8688" t="s">
        <v>31590</v>
      </c>
      <c r="I8688" t="s">
        <v>31615</v>
      </c>
      <c r="J8688" t="s">
        <v>37217</v>
      </c>
      <c r="K8688" t="s">
        <v>41289</v>
      </c>
      <c r="M8688" t="s">
        <v>41730</v>
      </c>
      <c r="N8688" t="s">
        <v>45095</v>
      </c>
      <c r="O8688" t="s">
        <v>45096</v>
      </c>
      <c r="P8688">
        <v>0</v>
      </c>
      <c r="Q8688">
        <v>6</v>
      </c>
      <c r="R8688" t="s">
        <v>45104</v>
      </c>
      <c r="S8688" t="s">
        <v>45304</v>
      </c>
      <c r="T8688" t="s">
        <v>47010</v>
      </c>
      <c r="U8688" t="s">
        <v>54692</v>
      </c>
      <c r="W8688" t="s">
        <v>41730</v>
      </c>
      <c r="X8688" t="s">
        <v>45105</v>
      </c>
    </row>
    <row r="8689" spans="1:24">
      <c r="A8689">
        <f>HYPERLINK("https://www.philgeps.gov.ph/GEPSNONPILOT/Tender/SplashBidNoticeAbstractUI.aspx?menuIndex=3&amp;refID=7033500&amp;Result=3","7033500")</f>
        <v>0</v>
      </c>
      <c r="B8689" t="s">
        <v>1900</v>
      </c>
      <c r="C8689" t="s">
        <v>11479</v>
      </c>
      <c r="D8689" t="s">
        <v>18073</v>
      </c>
      <c r="E8689" t="s">
        <v>25725</v>
      </c>
      <c r="F8689" t="s">
        <v>31574</v>
      </c>
      <c r="G8689" t="s">
        <v>31582</v>
      </c>
      <c r="H8689" t="s">
        <v>31590</v>
      </c>
      <c r="I8689" t="s">
        <v>31615</v>
      </c>
      <c r="J8689" t="s">
        <v>31819</v>
      </c>
      <c r="K8689" t="s">
        <v>41184</v>
      </c>
      <c r="M8689" t="s">
        <v>43545</v>
      </c>
      <c r="N8689" t="s">
        <v>45095</v>
      </c>
      <c r="O8689" t="s">
        <v>45096</v>
      </c>
      <c r="P8689">
        <v>0</v>
      </c>
      <c r="Q8689">
        <v>4</v>
      </c>
      <c r="R8689" t="s">
        <v>45104</v>
      </c>
      <c r="S8689" t="s">
        <v>45304</v>
      </c>
      <c r="T8689" t="s">
        <v>47232</v>
      </c>
      <c r="U8689" t="s">
        <v>54693</v>
      </c>
      <c r="W8689" t="s">
        <v>43545</v>
      </c>
      <c r="X8689" t="s">
        <v>45105</v>
      </c>
    </row>
    <row r="8690" spans="1:24">
      <c r="A8690">
        <f>HYPERLINK("https://www.philgeps.gov.ph/GEPSNONPILOT/Tender/SplashBidNoticeAbstractUI.aspx?menuIndex=3&amp;refID=7033485&amp;Result=3","7033485")</f>
        <v>0</v>
      </c>
      <c r="B8690" t="s">
        <v>1418</v>
      </c>
      <c r="C8690" t="s">
        <v>11480</v>
      </c>
      <c r="D8690" t="s">
        <v>18061</v>
      </c>
      <c r="E8690" t="s">
        <v>25726</v>
      </c>
      <c r="F8690" t="s">
        <v>31574</v>
      </c>
      <c r="G8690" t="s">
        <v>31582</v>
      </c>
      <c r="H8690" t="s">
        <v>31590</v>
      </c>
      <c r="I8690" t="s">
        <v>31607</v>
      </c>
      <c r="J8690" t="s">
        <v>37218</v>
      </c>
      <c r="K8690" t="s">
        <v>41192</v>
      </c>
      <c r="M8690" t="s">
        <v>42994</v>
      </c>
      <c r="N8690" t="s">
        <v>45095</v>
      </c>
      <c r="O8690" t="s">
        <v>45096</v>
      </c>
      <c r="P8690">
        <v>0</v>
      </c>
      <c r="Q8690">
        <v>1</v>
      </c>
      <c r="R8690" t="s">
        <v>45104</v>
      </c>
      <c r="S8690" t="s">
        <v>45304</v>
      </c>
      <c r="T8690" t="s">
        <v>47159</v>
      </c>
      <c r="U8690" t="s">
        <v>54694</v>
      </c>
      <c r="W8690" t="s">
        <v>42994</v>
      </c>
      <c r="X8690" t="s">
        <v>45105</v>
      </c>
    </row>
    <row r="8691" spans="1:24">
      <c r="A8691">
        <f>HYPERLINK("https://www.philgeps.gov.ph/GEPSNONPILOT/Tender/SplashBidNoticeAbstractUI.aspx?menuIndex=3&amp;refID=7033494&amp;Result=3","7033494")</f>
        <v>0</v>
      </c>
      <c r="B8691" t="s">
        <v>627</v>
      </c>
      <c r="C8691" t="s">
        <v>11481</v>
      </c>
      <c r="E8691" t="s">
        <v>25727</v>
      </c>
      <c r="F8691" t="s">
        <v>31574</v>
      </c>
      <c r="G8691" t="s">
        <v>31581</v>
      </c>
      <c r="H8691" t="s">
        <v>31590</v>
      </c>
      <c r="I8691" t="s">
        <v>31602</v>
      </c>
      <c r="J8691" t="s">
        <v>37219</v>
      </c>
      <c r="K8691" t="s">
        <v>41184</v>
      </c>
      <c r="M8691" t="s">
        <v>42131</v>
      </c>
      <c r="N8691" t="s">
        <v>45095</v>
      </c>
      <c r="O8691" t="s">
        <v>45096</v>
      </c>
      <c r="P8691">
        <v>0</v>
      </c>
      <c r="Q8691">
        <v>0</v>
      </c>
      <c r="R8691" t="s">
        <v>45104</v>
      </c>
      <c r="S8691" t="s">
        <v>45304</v>
      </c>
      <c r="T8691" t="s">
        <v>47183</v>
      </c>
      <c r="U8691" t="s">
        <v>54695</v>
      </c>
      <c r="W8691" t="s">
        <v>42131</v>
      </c>
      <c r="X8691" t="s">
        <v>45105</v>
      </c>
    </row>
    <row r="8692" spans="1:24">
      <c r="A8692">
        <f>HYPERLINK("https://www.philgeps.gov.ph/GEPSNONPILOT/Tender/SplashBidNoticeAbstractUI.aspx?menuIndex=3&amp;refID=7033501&amp;Result=3","7033501")</f>
        <v>0</v>
      </c>
      <c r="B8692" t="s">
        <v>2414</v>
      </c>
      <c r="C8692" t="s">
        <v>11482</v>
      </c>
      <c r="D8692" t="s">
        <v>18060</v>
      </c>
      <c r="E8692" t="s">
        <v>25728</v>
      </c>
      <c r="F8692" t="s">
        <v>31574</v>
      </c>
      <c r="G8692" t="s">
        <v>31581</v>
      </c>
      <c r="H8692" t="s">
        <v>31590</v>
      </c>
      <c r="I8692" t="s">
        <v>31608</v>
      </c>
      <c r="J8692" t="s">
        <v>32355</v>
      </c>
      <c r="K8692" t="s">
        <v>41186</v>
      </c>
      <c r="M8692" t="s">
        <v>44141</v>
      </c>
      <c r="N8692" t="s">
        <v>45095</v>
      </c>
      <c r="O8692" t="s">
        <v>45096</v>
      </c>
      <c r="P8692">
        <v>0</v>
      </c>
      <c r="Q8692">
        <v>6</v>
      </c>
      <c r="R8692" t="s">
        <v>45104</v>
      </c>
      <c r="S8692" t="s">
        <v>45304</v>
      </c>
      <c r="T8692" t="s">
        <v>46986</v>
      </c>
      <c r="U8692" t="s">
        <v>54696</v>
      </c>
      <c r="W8692" t="s">
        <v>44141</v>
      </c>
      <c r="X8692" t="s">
        <v>45105</v>
      </c>
    </row>
    <row r="8693" spans="1:24">
      <c r="A8693">
        <f>HYPERLINK("https://www.philgeps.gov.ph/GEPSNONPILOT/Tender/SplashBidNoticeAbstractUI.aspx?menuIndex=3&amp;refID=7033484&amp;Result=3","7033484")</f>
        <v>0</v>
      </c>
      <c r="B8693" t="s">
        <v>781</v>
      </c>
      <c r="C8693" t="s">
        <v>11483</v>
      </c>
      <c r="D8693" t="s">
        <v>18047</v>
      </c>
      <c r="E8693" t="s">
        <v>25729</v>
      </c>
      <c r="F8693" t="s">
        <v>31574</v>
      </c>
      <c r="G8693" t="s">
        <v>31582</v>
      </c>
      <c r="H8693" t="s">
        <v>31590</v>
      </c>
      <c r="I8693" t="s">
        <v>7185</v>
      </c>
      <c r="J8693" t="s">
        <v>37220</v>
      </c>
      <c r="K8693" t="s">
        <v>41184</v>
      </c>
      <c r="M8693" t="s">
        <v>42295</v>
      </c>
      <c r="N8693" t="s">
        <v>45095</v>
      </c>
      <c r="O8693" t="s">
        <v>45096</v>
      </c>
      <c r="P8693">
        <v>0</v>
      </c>
      <c r="Q8693">
        <v>5</v>
      </c>
      <c r="R8693" t="s">
        <v>45104</v>
      </c>
      <c r="S8693" t="s">
        <v>45304</v>
      </c>
      <c r="T8693" t="s">
        <v>47183</v>
      </c>
      <c r="U8693" t="s">
        <v>49139</v>
      </c>
      <c r="W8693" t="s">
        <v>42295</v>
      </c>
      <c r="X8693" t="s">
        <v>45105</v>
      </c>
    </row>
    <row r="8694" spans="1:24">
      <c r="A8694">
        <f>HYPERLINK("https://www.philgeps.gov.ph/GEPSNONPILOT/Tender/SplashBidNoticeAbstractUI.aspx?menuIndex=3&amp;refID=7033509&amp;Result=3","7033509")</f>
        <v>0</v>
      </c>
      <c r="B8694" t="s">
        <v>781</v>
      </c>
      <c r="C8694" t="s">
        <v>11484</v>
      </c>
      <c r="D8694" t="s">
        <v>18047</v>
      </c>
      <c r="E8694" t="s">
        <v>25730</v>
      </c>
      <c r="F8694" t="s">
        <v>31574</v>
      </c>
      <c r="G8694" t="s">
        <v>31582</v>
      </c>
      <c r="H8694" t="s">
        <v>31590</v>
      </c>
      <c r="I8694" t="s">
        <v>31620</v>
      </c>
      <c r="J8694" t="s">
        <v>37221</v>
      </c>
      <c r="K8694" t="s">
        <v>41184</v>
      </c>
      <c r="M8694" t="s">
        <v>42295</v>
      </c>
      <c r="N8694" t="s">
        <v>45095</v>
      </c>
      <c r="O8694" t="s">
        <v>45096</v>
      </c>
      <c r="P8694">
        <v>0</v>
      </c>
      <c r="Q8694">
        <v>13</v>
      </c>
      <c r="R8694" t="s">
        <v>45104</v>
      </c>
      <c r="S8694" t="s">
        <v>45304</v>
      </c>
      <c r="T8694" t="s">
        <v>47183</v>
      </c>
      <c r="U8694" t="s">
        <v>49139</v>
      </c>
      <c r="W8694" t="s">
        <v>42295</v>
      </c>
      <c r="X8694" t="s">
        <v>45105</v>
      </c>
    </row>
    <row r="8695" spans="1:24">
      <c r="A8695">
        <f>HYPERLINK("https://www.philgeps.gov.ph/GEPSNONPILOT/Tender/SplashBidNoticeAbstractUI.aspx?menuIndex=3&amp;refID=7033492&amp;Result=3","7033492")</f>
        <v>0</v>
      </c>
      <c r="B8695" t="s">
        <v>1390</v>
      </c>
      <c r="C8695" t="s">
        <v>11485</v>
      </c>
      <c r="D8695" t="s">
        <v>18070</v>
      </c>
      <c r="E8695" t="s">
        <v>18169</v>
      </c>
      <c r="F8695" t="s">
        <v>31574</v>
      </c>
      <c r="G8695" t="s">
        <v>31582</v>
      </c>
      <c r="H8695" t="s">
        <v>31590</v>
      </c>
      <c r="I8695" t="s">
        <v>3487</v>
      </c>
      <c r="J8695" t="s">
        <v>37222</v>
      </c>
      <c r="K8695" t="s">
        <v>41186</v>
      </c>
      <c r="M8695" t="s">
        <v>42965</v>
      </c>
      <c r="N8695" t="s">
        <v>45095</v>
      </c>
      <c r="O8695" t="s">
        <v>45096</v>
      </c>
      <c r="P8695">
        <v>0</v>
      </c>
      <c r="Q8695">
        <v>2</v>
      </c>
      <c r="R8695" t="s">
        <v>45104</v>
      </c>
      <c r="S8695" t="s">
        <v>45304</v>
      </c>
      <c r="T8695" t="s">
        <v>46965</v>
      </c>
      <c r="U8695" t="s">
        <v>54697</v>
      </c>
      <c r="V8695" t="s">
        <v>60752</v>
      </c>
      <c r="W8695" t="s">
        <v>42965</v>
      </c>
      <c r="X8695" t="s">
        <v>45105</v>
      </c>
    </row>
    <row r="8696" spans="1:24">
      <c r="A8696">
        <f>HYPERLINK("https://www.philgeps.gov.ph/GEPSNONPILOT/Tender/SplashBidNoticeAbstractUI.aspx?menuIndex=3&amp;refID=7033506&amp;Result=3","7033506")</f>
        <v>0</v>
      </c>
      <c r="B8696" t="s">
        <v>1544</v>
      </c>
      <c r="C8696" t="s">
        <v>11486</v>
      </c>
      <c r="D8696" t="s">
        <v>18075</v>
      </c>
      <c r="E8696" t="s">
        <v>25731</v>
      </c>
      <c r="F8696" t="s">
        <v>31574</v>
      </c>
      <c r="G8696" t="s">
        <v>31582</v>
      </c>
      <c r="H8696" t="s">
        <v>31592</v>
      </c>
      <c r="I8696" t="s">
        <v>8822</v>
      </c>
      <c r="J8696" t="s">
        <v>33856</v>
      </c>
      <c r="K8696" t="s">
        <v>41293</v>
      </c>
      <c r="M8696" t="s">
        <v>43139</v>
      </c>
      <c r="N8696" t="s">
        <v>45095</v>
      </c>
      <c r="O8696" t="s">
        <v>45096</v>
      </c>
      <c r="Q8696">
        <v>0</v>
      </c>
      <c r="R8696" t="s">
        <v>45104</v>
      </c>
      <c r="S8696" t="s">
        <v>45315</v>
      </c>
      <c r="T8696" t="s">
        <v>47313</v>
      </c>
      <c r="U8696" t="s">
        <v>54698</v>
      </c>
      <c r="W8696" t="s">
        <v>43139</v>
      </c>
      <c r="X8696" t="s">
        <v>45105</v>
      </c>
    </row>
    <row r="8697" spans="1:24">
      <c r="A8697">
        <f>HYPERLINK("https://www.philgeps.gov.ph/GEPSNONPILOT/Tender/SplashBidNoticeAbstractUI.aspx?menuIndex=3&amp;refID=7033471&amp;Result=3","7033471")</f>
        <v>0</v>
      </c>
      <c r="B8697" t="s">
        <v>1434</v>
      </c>
      <c r="C8697" t="s">
        <v>11487</v>
      </c>
      <c r="D8697" t="s">
        <v>18063</v>
      </c>
      <c r="E8697" t="s">
        <v>19072</v>
      </c>
      <c r="F8697" t="s">
        <v>31574</v>
      </c>
      <c r="G8697" t="s">
        <v>31582</v>
      </c>
      <c r="H8697" t="s">
        <v>31591</v>
      </c>
      <c r="I8697" t="s">
        <v>8822</v>
      </c>
      <c r="J8697" t="s">
        <v>33856</v>
      </c>
      <c r="K8697" t="s">
        <v>41200</v>
      </c>
      <c r="M8697" t="s">
        <v>43010</v>
      </c>
      <c r="N8697" t="s">
        <v>45095</v>
      </c>
      <c r="O8697" t="s">
        <v>45096</v>
      </c>
      <c r="P8697">
        <v>0</v>
      </c>
      <c r="Q8697">
        <v>0</v>
      </c>
      <c r="R8697" t="s">
        <v>45104</v>
      </c>
      <c r="S8697" t="s">
        <v>45304</v>
      </c>
      <c r="T8697" t="s">
        <v>46977</v>
      </c>
      <c r="U8697" t="s">
        <v>54699</v>
      </c>
      <c r="V8697" t="s">
        <v>60753</v>
      </c>
      <c r="W8697" t="s">
        <v>43010</v>
      </c>
      <c r="X8697" t="s">
        <v>45105</v>
      </c>
    </row>
    <row r="8698" spans="1:24">
      <c r="A8698">
        <f>HYPERLINK("https://www.philgeps.gov.ph/GEPSNONPILOT/Tender/SplashBidNoticeAbstractUI.aspx?menuIndex=3&amp;refID=7033507&amp;Result=3","7033507")</f>
        <v>0</v>
      </c>
      <c r="B8698" t="s">
        <v>627</v>
      </c>
      <c r="C8698" t="s">
        <v>11488</v>
      </c>
      <c r="E8698" t="s">
        <v>25732</v>
      </c>
      <c r="F8698" t="s">
        <v>31574</v>
      </c>
      <c r="G8698" t="s">
        <v>31581</v>
      </c>
      <c r="H8698" t="s">
        <v>31590</v>
      </c>
      <c r="I8698" t="s">
        <v>31599</v>
      </c>
      <c r="J8698" t="s">
        <v>37223</v>
      </c>
      <c r="K8698" t="s">
        <v>41184</v>
      </c>
      <c r="M8698" t="s">
        <v>42131</v>
      </c>
      <c r="N8698" t="s">
        <v>45095</v>
      </c>
      <c r="O8698" t="s">
        <v>45096</v>
      </c>
      <c r="P8698">
        <v>0</v>
      </c>
      <c r="Q8698">
        <v>0</v>
      </c>
      <c r="R8698" t="s">
        <v>45104</v>
      </c>
      <c r="S8698" t="s">
        <v>45304</v>
      </c>
      <c r="T8698" t="s">
        <v>47183</v>
      </c>
      <c r="U8698" t="s">
        <v>54700</v>
      </c>
      <c r="W8698" t="s">
        <v>42131</v>
      </c>
      <c r="X8698" t="s">
        <v>45105</v>
      </c>
    </row>
    <row r="8699" spans="1:24">
      <c r="A8699">
        <f>HYPERLINK("https://www.philgeps.gov.ph/GEPSNONPILOT/Tender/SplashBidNoticeAbstractUI.aspx?menuIndex=3&amp;refID=7033472&amp;Result=3","7033472")</f>
        <v>0</v>
      </c>
      <c r="B8699" t="s">
        <v>1050</v>
      </c>
      <c r="C8699" t="s">
        <v>11489</v>
      </c>
      <c r="D8699" t="s">
        <v>18024</v>
      </c>
      <c r="E8699" t="s">
        <v>25733</v>
      </c>
      <c r="F8699" t="s">
        <v>31574</v>
      </c>
      <c r="G8699" t="s">
        <v>31583</v>
      </c>
      <c r="H8699" t="s">
        <v>31590</v>
      </c>
      <c r="I8699" t="s">
        <v>4046</v>
      </c>
      <c r="J8699" t="s">
        <v>37224</v>
      </c>
      <c r="K8699" t="s">
        <v>41190</v>
      </c>
      <c r="M8699" t="s">
        <v>42594</v>
      </c>
      <c r="N8699" t="s">
        <v>45095</v>
      </c>
      <c r="O8699" t="s">
        <v>45096</v>
      </c>
      <c r="P8699">
        <v>0</v>
      </c>
      <c r="Q8699">
        <v>0</v>
      </c>
      <c r="R8699" t="s">
        <v>45104</v>
      </c>
      <c r="S8699" t="s">
        <v>45304</v>
      </c>
      <c r="T8699" t="s">
        <v>46917</v>
      </c>
      <c r="U8699" t="s">
        <v>51435</v>
      </c>
      <c r="W8699" t="s">
        <v>42594</v>
      </c>
      <c r="X8699" t="s">
        <v>45105</v>
      </c>
    </row>
    <row r="8700" spans="1:24">
      <c r="A8700">
        <f>HYPERLINK("https://www.philgeps.gov.ph/GEPSNONPILOT/Tender/SplashBidNoticeAbstractUI.aspx?menuIndex=3&amp;refID=7033508&amp;Result=3","7033508")</f>
        <v>0</v>
      </c>
      <c r="B8700" t="s">
        <v>244</v>
      </c>
      <c r="C8700" t="s">
        <v>11490</v>
      </c>
      <c r="D8700" t="s">
        <v>18053</v>
      </c>
      <c r="E8700" t="s">
        <v>25734</v>
      </c>
      <c r="F8700" t="s">
        <v>31574</v>
      </c>
      <c r="G8700" t="s">
        <v>31582</v>
      </c>
      <c r="H8700" t="s">
        <v>31590</v>
      </c>
      <c r="I8700" t="s">
        <v>31640</v>
      </c>
      <c r="J8700" t="s">
        <v>32361</v>
      </c>
      <c r="K8700" t="s">
        <v>41289</v>
      </c>
      <c r="M8700" t="s">
        <v>41730</v>
      </c>
      <c r="N8700" t="s">
        <v>45095</v>
      </c>
      <c r="O8700" t="s">
        <v>45096</v>
      </c>
      <c r="P8700">
        <v>0</v>
      </c>
      <c r="Q8700">
        <v>5</v>
      </c>
      <c r="R8700" t="s">
        <v>45104</v>
      </c>
      <c r="S8700" t="s">
        <v>45304</v>
      </c>
      <c r="T8700" t="s">
        <v>47010</v>
      </c>
      <c r="U8700" t="s">
        <v>54701</v>
      </c>
      <c r="W8700" t="s">
        <v>41730</v>
      </c>
      <c r="X8700" t="s">
        <v>45105</v>
      </c>
    </row>
    <row r="8701" spans="1:24">
      <c r="A8701">
        <f>HYPERLINK("https://www.philgeps.gov.ph/GEPSNONPILOT/Tender/SplashBidNoticeAbstractUI.aspx?menuIndex=3&amp;refID=7033543&amp;Result=3","7033543")</f>
        <v>0</v>
      </c>
      <c r="B8701" t="s">
        <v>781</v>
      </c>
      <c r="C8701" t="s">
        <v>11491</v>
      </c>
      <c r="D8701" t="s">
        <v>18047</v>
      </c>
      <c r="E8701" t="s">
        <v>25735</v>
      </c>
      <c r="F8701" t="s">
        <v>31574</v>
      </c>
      <c r="G8701" t="s">
        <v>31582</v>
      </c>
      <c r="H8701" t="s">
        <v>31590</v>
      </c>
      <c r="I8701" t="s">
        <v>4046</v>
      </c>
      <c r="J8701" t="s">
        <v>37225</v>
      </c>
      <c r="K8701" t="s">
        <v>41184</v>
      </c>
      <c r="M8701" t="s">
        <v>42295</v>
      </c>
      <c r="N8701" t="s">
        <v>45095</v>
      </c>
      <c r="O8701" t="s">
        <v>45096</v>
      </c>
      <c r="P8701">
        <v>0</v>
      </c>
      <c r="Q8701">
        <v>2</v>
      </c>
      <c r="R8701" t="s">
        <v>45104</v>
      </c>
      <c r="S8701" t="s">
        <v>45304</v>
      </c>
      <c r="T8701" t="s">
        <v>47183</v>
      </c>
      <c r="U8701" t="s">
        <v>49139</v>
      </c>
      <c r="W8701" t="s">
        <v>42295</v>
      </c>
      <c r="X8701" t="s">
        <v>45105</v>
      </c>
    </row>
    <row r="8702" spans="1:24">
      <c r="A8702">
        <f>HYPERLINK("https://www.philgeps.gov.ph/GEPSNONPILOT/Tender/SplashBidNoticeAbstractUI.aspx?menuIndex=3&amp;refID=7033470&amp;Result=3","7033470")</f>
        <v>0</v>
      </c>
      <c r="B8702" t="s">
        <v>2431</v>
      </c>
      <c r="C8702" t="s">
        <v>11492</v>
      </c>
      <c r="D8702" t="s">
        <v>18030</v>
      </c>
      <c r="E8702" t="s">
        <v>25736</v>
      </c>
      <c r="F8702" t="s">
        <v>31574</v>
      </c>
      <c r="G8702" t="s">
        <v>31582</v>
      </c>
      <c r="H8702" t="s">
        <v>31590</v>
      </c>
      <c r="I8702" t="s">
        <v>3487</v>
      </c>
      <c r="J8702" t="s">
        <v>37226</v>
      </c>
      <c r="K8702" t="s">
        <v>41191</v>
      </c>
      <c r="M8702" t="s">
        <v>44158</v>
      </c>
      <c r="N8702" t="s">
        <v>45095</v>
      </c>
      <c r="O8702" t="s">
        <v>45096</v>
      </c>
      <c r="P8702">
        <v>0</v>
      </c>
      <c r="Q8702">
        <v>0</v>
      </c>
      <c r="R8702" t="s">
        <v>45104</v>
      </c>
      <c r="S8702" t="s">
        <v>45304</v>
      </c>
      <c r="T8702" t="s">
        <v>47317</v>
      </c>
      <c r="U8702" t="s">
        <v>54702</v>
      </c>
      <c r="W8702" t="s">
        <v>44158</v>
      </c>
      <c r="X8702" t="s">
        <v>45105</v>
      </c>
    </row>
    <row r="8703" spans="1:24">
      <c r="A8703">
        <f>HYPERLINK("https://www.philgeps.gov.ph/GEPSNONPILOT/Tender/SplashBidNoticeAbstractUI.aspx?menuIndex=3&amp;refID=7033536&amp;Result=3","7033536")</f>
        <v>0</v>
      </c>
      <c r="B8703" t="s">
        <v>1418</v>
      </c>
      <c r="C8703" t="s">
        <v>11493</v>
      </c>
      <c r="D8703" t="s">
        <v>18061</v>
      </c>
      <c r="E8703" t="s">
        <v>25737</v>
      </c>
      <c r="F8703" t="s">
        <v>31574</v>
      </c>
      <c r="G8703" t="s">
        <v>31582</v>
      </c>
      <c r="H8703" t="s">
        <v>31590</v>
      </c>
      <c r="I8703" t="s">
        <v>3487</v>
      </c>
      <c r="J8703" t="s">
        <v>37227</v>
      </c>
      <c r="K8703" t="s">
        <v>41192</v>
      </c>
      <c r="M8703" t="s">
        <v>42994</v>
      </c>
      <c r="N8703" t="s">
        <v>45095</v>
      </c>
      <c r="O8703" t="s">
        <v>45096</v>
      </c>
      <c r="P8703">
        <v>0</v>
      </c>
      <c r="Q8703">
        <v>0</v>
      </c>
      <c r="R8703" t="s">
        <v>45104</v>
      </c>
      <c r="S8703" t="s">
        <v>45304</v>
      </c>
      <c r="T8703" t="s">
        <v>47159</v>
      </c>
      <c r="U8703" t="s">
        <v>54703</v>
      </c>
      <c r="W8703" t="s">
        <v>42994</v>
      </c>
      <c r="X8703" t="s">
        <v>45105</v>
      </c>
    </row>
    <row r="8704" spans="1:24">
      <c r="A8704">
        <f>HYPERLINK("https://www.philgeps.gov.ph/GEPSNONPILOT/Tender/SplashBidNoticeAbstractUI.aspx?menuIndex=3&amp;refID=7033517&amp;Result=3","7033517")</f>
        <v>0</v>
      </c>
      <c r="B8704" t="s">
        <v>161</v>
      </c>
      <c r="C8704" t="s">
        <v>11494</v>
      </c>
      <c r="E8704" t="s">
        <v>25738</v>
      </c>
      <c r="F8704" t="s">
        <v>31574</v>
      </c>
      <c r="G8704" t="s">
        <v>31581</v>
      </c>
      <c r="H8704" t="s">
        <v>31590</v>
      </c>
      <c r="I8704" t="s">
        <v>3487</v>
      </c>
      <c r="J8704" t="s">
        <v>33980</v>
      </c>
      <c r="K8704" t="s">
        <v>41184</v>
      </c>
      <c r="M8704" t="s">
        <v>41645</v>
      </c>
      <c r="N8704" t="s">
        <v>45095</v>
      </c>
      <c r="O8704" t="s">
        <v>45096</v>
      </c>
      <c r="P8704">
        <v>0</v>
      </c>
      <c r="Q8704">
        <v>0</v>
      </c>
      <c r="R8704" t="s">
        <v>45104</v>
      </c>
      <c r="S8704" t="s">
        <v>45304</v>
      </c>
      <c r="T8704" t="s">
        <v>46985</v>
      </c>
      <c r="U8704" t="s">
        <v>54704</v>
      </c>
      <c r="W8704" t="s">
        <v>41645</v>
      </c>
      <c r="X8704" t="s">
        <v>45105</v>
      </c>
    </row>
    <row r="8705" spans="1:24">
      <c r="A8705">
        <f>HYPERLINK("https://www.philgeps.gov.ph/GEPSNONPILOT/Tender/SplashBidNoticeAbstractUI.aspx?menuIndex=3&amp;refID=7033539&amp;Result=3","7033539")</f>
        <v>0</v>
      </c>
      <c r="B8705" t="s">
        <v>2412</v>
      </c>
      <c r="C8705" t="s">
        <v>11495</v>
      </c>
      <c r="D8705" t="s">
        <v>18070</v>
      </c>
      <c r="E8705" t="s">
        <v>25739</v>
      </c>
      <c r="F8705" t="s">
        <v>31574</v>
      </c>
      <c r="G8705" t="s">
        <v>31582</v>
      </c>
      <c r="H8705" t="s">
        <v>31591</v>
      </c>
      <c r="I8705" t="s">
        <v>8822</v>
      </c>
      <c r="J8705" t="s">
        <v>37228</v>
      </c>
      <c r="K8705" t="s">
        <v>41189</v>
      </c>
      <c r="M8705" t="s">
        <v>44139</v>
      </c>
      <c r="N8705" t="s">
        <v>45095</v>
      </c>
      <c r="O8705" t="s">
        <v>45096</v>
      </c>
      <c r="P8705">
        <v>0</v>
      </c>
      <c r="Q8705">
        <v>0</v>
      </c>
      <c r="R8705" t="s">
        <v>45104</v>
      </c>
      <c r="S8705" t="s">
        <v>45304</v>
      </c>
      <c r="T8705" t="s">
        <v>47063</v>
      </c>
      <c r="U8705" t="s">
        <v>54705</v>
      </c>
      <c r="W8705" t="s">
        <v>44139</v>
      </c>
      <c r="X8705" t="s">
        <v>45105</v>
      </c>
    </row>
    <row r="8706" spans="1:24">
      <c r="A8706">
        <f>HYPERLINK("https://www.philgeps.gov.ph/GEPSNONPILOT/Tender/SplashBidNoticeAbstractUI.aspx?menuIndex=3&amp;refID=7033532&amp;Result=3","7033532")</f>
        <v>0</v>
      </c>
      <c r="B8706" t="s">
        <v>2055</v>
      </c>
      <c r="C8706" t="s">
        <v>11496</v>
      </c>
      <c r="D8706" t="s">
        <v>18099</v>
      </c>
      <c r="E8706" t="s">
        <v>25740</v>
      </c>
      <c r="F8706" t="s">
        <v>31574</v>
      </c>
      <c r="G8706" t="s">
        <v>31582</v>
      </c>
      <c r="H8706" t="s">
        <v>31591</v>
      </c>
      <c r="I8706" t="s">
        <v>8822</v>
      </c>
      <c r="J8706" t="s">
        <v>31771</v>
      </c>
      <c r="K8706" t="s">
        <v>41200</v>
      </c>
      <c r="M8706" t="s">
        <v>43724</v>
      </c>
      <c r="N8706" t="s">
        <v>45095</v>
      </c>
      <c r="O8706" t="s">
        <v>45096</v>
      </c>
      <c r="P8706">
        <v>0</v>
      </c>
      <c r="Q8706">
        <v>0</v>
      </c>
      <c r="R8706" t="s">
        <v>45104</v>
      </c>
      <c r="S8706" t="s">
        <v>45304</v>
      </c>
      <c r="T8706" t="s">
        <v>47010</v>
      </c>
      <c r="U8706" t="s">
        <v>54706</v>
      </c>
      <c r="V8706" t="s">
        <v>60584</v>
      </c>
      <c r="W8706" t="s">
        <v>43724</v>
      </c>
      <c r="X8706" t="s">
        <v>45105</v>
      </c>
    </row>
    <row r="8707" spans="1:24">
      <c r="A8707">
        <f>HYPERLINK("https://www.philgeps.gov.ph/GEPSNONPILOT/Tender/SplashBidNoticeAbstractUI.aspx?menuIndex=3&amp;refID=7033537&amp;Result=3","7033537")</f>
        <v>0</v>
      </c>
      <c r="B8707" t="s">
        <v>322</v>
      </c>
      <c r="C8707" t="s">
        <v>11497</v>
      </c>
      <c r="D8707" t="s">
        <v>18079</v>
      </c>
      <c r="E8707" t="s">
        <v>24743</v>
      </c>
      <c r="F8707" t="s">
        <v>31574</v>
      </c>
      <c r="G8707" t="s">
        <v>31581</v>
      </c>
      <c r="H8707" t="s">
        <v>31590</v>
      </c>
      <c r="I8707" t="s">
        <v>4327</v>
      </c>
      <c r="J8707" t="s">
        <v>32000</v>
      </c>
      <c r="K8707" t="s">
        <v>41196</v>
      </c>
      <c r="M8707" t="s">
        <v>41810</v>
      </c>
      <c r="N8707" t="s">
        <v>45095</v>
      </c>
      <c r="O8707" t="s">
        <v>45096</v>
      </c>
      <c r="P8707">
        <v>0</v>
      </c>
      <c r="Q8707">
        <v>5</v>
      </c>
      <c r="R8707" t="s">
        <v>45104</v>
      </c>
      <c r="S8707" t="s">
        <v>45304</v>
      </c>
      <c r="T8707" t="s">
        <v>47158</v>
      </c>
      <c r="U8707" t="s">
        <v>54707</v>
      </c>
      <c r="W8707" t="s">
        <v>41810</v>
      </c>
      <c r="X8707" t="s">
        <v>45105</v>
      </c>
    </row>
    <row r="8708" spans="1:24">
      <c r="A8708">
        <f>HYPERLINK("https://www.philgeps.gov.ph/GEPSNONPILOT/Tender/SplashBidNoticeAbstractUI.aspx?menuIndex=3&amp;refID=7033514&amp;Result=3","7033514")</f>
        <v>0</v>
      </c>
      <c r="B8708" t="s">
        <v>1418</v>
      </c>
      <c r="C8708" t="s">
        <v>11498</v>
      </c>
      <c r="D8708" t="s">
        <v>18061</v>
      </c>
      <c r="E8708" t="s">
        <v>25741</v>
      </c>
      <c r="F8708" t="s">
        <v>31574</v>
      </c>
      <c r="G8708" t="s">
        <v>31582</v>
      </c>
      <c r="H8708" t="s">
        <v>31590</v>
      </c>
      <c r="I8708" t="s">
        <v>4046</v>
      </c>
      <c r="J8708" t="s">
        <v>37229</v>
      </c>
      <c r="K8708" t="s">
        <v>41192</v>
      </c>
      <c r="M8708" t="s">
        <v>42994</v>
      </c>
      <c r="N8708" t="s">
        <v>45095</v>
      </c>
      <c r="O8708" t="s">
        <v>45096</v>
      </c>
      <c r="P8708">
        <v>0</v>
      </c>
      <c r="Q8708">
        <v>1</v>
      </c>
      <c r="R8708" t="s">
        <v>45104</v>
      </c>
      <c r="S8708" t="s">
        <v>45304</v>
      </c>
      <c r="T8708" t="s">
        <v>47159</v>
      </c>
      <c r="U8708" t="s">
        <v>54708</v>
      </c>
      <c r="W8708" t="s">
        <v>42994</v>
      </c>
      <c r="X8708" t="s">
        <v>45105</v>
      </c>
    </row>
    <row r="8709" spans="1:24">
      <c r="A8709">
        <f>HYPERLINK("https://www.philgeps.gov.ph/GEPSNONPILOT/Tender/SplashBidNoticeAbstractUI.aspx?menuIndex=3&amp;refID=7033534&amp;Result=3","7033534")</f>
        <v>0</v>
      </c>
      <c r="B8709" t="s">
        <v>781</v>
      </c>
      <c r="C8709" t="s">
        <v>11499</v>
      </c>
      <c r="D8709" t="s">
        <v>18047</v>
      </c>
      <c r="E8709" t="s">
        <v>25742</v>
      </c>
      <c r="F8709" t="s">
        <v>31574</v>
      </c>
      <c r="G8709" t="s">
        <v>31582</v>
      </c>
      <c r="H8709" t="s">
        <v>31590</v>
      </c>
      <c r="I8709" t="s">
        <v>14544</v>
      </c>
      <c r="J8709" t="s">
        <v>37230</v>
      </c>
      <c r="K8709" t="s">
        <v>41184</v>
      </c>
      <c r="M8709" t="s">
        <v>42295</v>
      </c>
      <c r="N8709" t="s">
        <v>45095</v>
      </c>
      <c r="O8709" t="s">
        <v>45096</v>
      </c>
      <c r="P8709">
        <v>0</v>
      </c>
      <c r="Q8709">
        <v>0</v>
      </c>
      <c r="R8709" t="s">
        <v>45104</v>
      </c>
      <c r="S8709" t="s">
        <v>45304</v>
      </c>
      <c r="T8709" t="s">
        <v>47183</v>
      </c>
      <c r="U8709" t="s">
        <v>49139</v>
      </c>
      <c r="W8709" t="s">
        <v>42295</v>
      </c>
      <c r="X8709" t="s">
        <v>45105</v>
      </c>
    </row>
    <row r="8710" spans="1:24">
      <c r="A8710">
        <f>HYPERLINK("https://www.philgeps.gov.ph/GEPSNONPILOT/Tender/SplashBidNoticeAbstractUI.aspx?menuIndex=3&amp;refID=7033538&amp;Result=3","7033538")</f>
        <v>0</v>
      </c>
      <c r="B8710" t="s">
        <v>285</v>
      </c>
      <c r="C8710" t="s">
        <v>11500</v>
      </c>
      <c r="D8710" t="s">
        <v>18035</v>
      </c>
      <c r="E8710" t="s">
        <v>18705</v>
      </c>
      <c r="F8710" t="s">
        <v>31574</v>
      </c>
      <c r="G8710" t="s">
        <v>31582</v>
      </c>
      <c r="H8710" t="s">
        <v>31590</v>
      </c>
      <c r="I8710" t="s">
        <v>4046</v>
      </c>
      <c r="J8710" t="s">
        <v>31947</v>
      </c>
      <c r="K8710" t="s">
        <v>41190</v>
      </c>
      <c r="L8710" t="s">
        <v>285</v>
      </c>
      <c r="M8710" t="s">
        <v>41771</v>
      </c>
      <c r="N8710" t="s">
        <v>45095</v>
      </c>
      <c r="O8710" t="s">
        <v>45096</v>
      </c>
      <c r="P8710">
        <v>0</v>
      </c>
      <c r="Q8710">
        <v>3</v>
      </c>
      <c r="R8710" t="s">
        <v>45104</v>
      </c>
      <c r="S8710" t="s">
        <v>45304</v>
      </c>
      <c r="T8710" t="s">
        <v>47076</v>
      </c>
      <c r="U8710" t="s">
        <v>54709</v>
      </c>
      <c r="W8710" t="s">
        <v>41771</v>
      </c>
      <c r="X8710" t="s">
        <v>45105</v>
      </c>
    </row>
    <row r="8711" spans="1:24">
      <c r="A8711">
        <f>HYPERLINK("https://www.philgeps.gov.ph/GEPSNONPILOT/Tender/SplashBidNoticeAbstractUI.aspx?menuIndex=3&amp;refID=7033524&amp;Result=3","7033524")</f>
        <v>0</v>
      </c>
      <c r="B8711" t="s">
        <v>2432</v>
      </c>
      <c r="C8711" t="s">
        <v>11501</v>
      </c>
      <c r="D8711" t="s">
        <v>18043</v>
      </c>
      <c r="E8711" t="s">
        <v>21096</v>
      </c>
      <c r="F8711" t="s">
        <v>31574</v>
      </c>
      <c r="G8711" t="s">
        <v>31582</v>
      </c>
      <c r="H8711" t="s">
        <v>31590</v>
      </c>
      <c r="I8711" t="s">
        <v>4046</v>
      </c>
      <c r="J8711" t="s">
        <v>37231</v>
      </c>
      <c r="K8711" t="s">
        <v>41190</v>
      </c>
      <c r="M8711" t="s">
        <v>44159</v>
      </c>
      <c r="N8711" t="s">
        <v>45095</v>
      </c>
      <c r="O8711" t="s">
        <v>45096</v>
      </c>
      <c r="P8711">
        <v>0</v>
      </c>
      <c r="Q8711">
        <v>0</v>
      </c>
      <c r="R8711" t="s">
        <v>45104</v>
      </c>
      <c r="S8711" t="s">
        <v>45304</v>
      </c>
      <c r="T8711" t="s">
        <v>46992</v>
      </c>
      <c r="U8711" t="s">
        <v>54710</v>
      </c>
      <c r="V8711" t="s">
        <v>60754</v>
      </c>
      <c r="W8711" t="s">
        <v>44159</v>
      </c>
      <c r="X8711" t="s">
        <v>45105</v>
      </c>
    </row>
    <row r="8712" spans="1:24">
      <c r="A8712">
        <f>HYPERLINK("https://www.philgeps.gov.ph/GEPSNONPILOT/Tender/SplashBidNoticeAbstractUI.aspx?menuIndex=3&amp;refID=7033529&amp;Result=3","7033529")</f>
        <v>0</v>
      </c>
      <c r="B8712" t="s">
        <v>2401</v>
      </c>
      <c r="C8712" t="s">
        <v>11502</v>
      </c>
      <c r="D8712" t="s">
        <v>18072</v>
      </c>
      <c r="E8712" t="s">
        <v>25743</v>
      </c>
      <c r="F8712" t="s">
        <v>31574</v>
      </c>
      <c r="G8712" t="s">
        <v>31582</v>
      </c>
      <c r="H8712" t="s">
        <v>31590</v>
      </c>
      <c r="I8712" t="s">
        <v>3539</v>
      </c>
      <c r="J8712" t="s">
        <v>31935</v>
      </c>
      <c r="K8712" t="s">
        <v>41267</v>
      </c>
      <c r="M8712" t="s">
        <v>44128</v>
      </c>
      <c r="N8712" t="s">
        <v>45095</v>
      </c>
      <c r="O8712" t="s">
        <v>45096</v>
      </c>
      <c r="P8712">
        <v>0</v>
      </c>
      <c r="Q8712">
        <v>0</v>
      </c>
      <c r="R8712" t="s">
        <v>45104</v>
      </c>
      <c r="S8712" t="s">
        <v>45304</v>
      </c>
      <c r="T8712" t="s">
        <v>46988</v>
      </c>
      <c r="U8712" t="s">
        <v>54711</v>
      </c>
      <c r="W8712" t="s">
        <v>44128</v>
      </c>
      <c r="X8712" t="s">
        <v>45105</v>
      </c>
    </row>
    <row r="8713" spans="1:24">
      <c r="A8713">
        <f>HYPERLINK("https://www.philgeps.gov.ph/GEPSNONPILOT/Tender/SplashBidNoticeAbstractUI.aspx?menuIndex=3&amp;refID=7033556&amp;Result=3","7033556")</f>
        <v>0</v>
      </c>
      <c r="B8713" t="s">
        <v>2433</v>
      </c>
      <c r="C8713" t="s">
        <v>11503</v>
      </c>
      <c r="D8713" t="s">
        <v>18066</v>
      </c>
      <c r="E8713" t="s">
        <v>25744</v>
      </c>
      <c r="F8713" t="s">
        <v>31574</v>
      </c>
      <c r="G8713" t="s">
        <v>31582</v>
      </c>
      <c r="H8713" t="s">
        <v>31590</v>
      </c>
      <c r="I8713" t="s">
        <v>31615</v>
      </c>
      <c r="J8713" t="s">
        <v>32510</v>
      </c>
      <c r="K8713" t="s">
        <v>41186</v>
      </c>
      <c r="M8713" t="s">
        <v>44160</v>
      </c>
      <c r="N8713" t="s">
        <v>45095</v>
      </c>
      <c r="O8713" t="s">
        <v>45096</v>
      </c>
      <c r="P8713">
        <v>0</v>
      </c>
      <c r="Q8713">
        <v>6</v>
      </c>
      <c r="R8713" t="s">
        <v>45104</v>
      </c>
      <c r="S8713" t="s">
        <v>45304</v>
      </c>
      <c r="T8713" t="s">
        <v>47348</v>
      </c>
      <c r="U8713" t="s">
        <v>54712</v>
      </c>
      <c r="W8713" t="s">
        <v>44160</v>
      </c>
      <c r="X8713" t="s">
        <v>45105</v>
      </c>
    </row>
    <row r="8714" spans="1:24">
      <c r="A8714">
        <f>HYPERLINK("https://www.philgeps.gov.ph/GEPSNONPILOT/Tender/SplashBidNoticeAbstractUI.aspx?menuIndex=3&amp;refID=7033528&amp;Result=3","7033528")</f>
        <v>0</v>
      </c>
      <c r="B8714" t="s">
        <v>2434</v>
      </c>
      <c r="C8714" t="s">
        <v>11504</v>
      </c>
      <c r="D8714" t="s">
        <v>18033</v>
      </c>
      <c r="E8714" t="s">
        <v>25745</v>
      </c>
      <c r="F8714" t="s">
        <v>31574</v>
      </c>
      <c r="G8714" t="s">
        <v>31582</v>
      </c>
      <c r="H8714" t="s">
        <v>31590</v>
      </c>
      <c r="I8714" t="s">
        <v>4046</v>
      </c>
      <c r="J8714" t="s">
        <v>37232</v>
      </c>
      <c r="K8714" t="s">
        <v>41186</v>
      </c>
      <c r="M8714" t="s">
        <v>44161</v>
      </c>
      <c r="N8714" t="s">
        <v>45095</v>
      </c>
      <c r="O8714" t="s">
        <v>45096</v>
      </c>
      <c r="P8714">
        <v>0</v>
      </c>
      <c r="Q8714">
        <v>0</v>
      </c>
      <c r="R8714" t="s">
        <v>45104</v>
      </c>
      <c r="S8714" t="s">
        <v>45304</v>
      </c>
      <c r="T8714" t="s">
        <v>47349</v>
      </c>
      <c r="U8714" t="s">
        <v>54713</v>
      </c>
      <c r="V8714" t="s">
        <v>60746</v>
      </c>
      <c r="W8714" t="s">
        <v>44161</v>
      </c>
      <c r="X8714" t="s">
        <v>45105</v>
      </c>
    </row>
    <row r="8715" spans="1:24">
      <c r="A8715">
        <f>HYPERLINK("https://www.philgeps.gov.ph/GEPSNONPILOT/Tender/SplashBidNoticeAbstractUI.aspx?menuIndex=3&amp;refID=7033522&amp;Result=3","7033522")</f>
        <v>0</v>
      </c>
      <c r="B8715" t="s">
        <v>2435</v>
      </c>
      <c r="C8715" t="s">
        <v>11505</v>
      </c>
      <c r="D8715" t="s">
        <v>18022</v>
      </c>
      <c r="E8715" t="s">
        <v>25746</v>
      </c>
      <c r="F8715" t="s">
        <v>31579</v>
      </c>
      <c r="G8715" t="s">
        <v>31581</v>
      </c>
      <c r="H8715" t="s">
        <v>31590</v>
      </c>
      <c r="I8715" t="s">
        <v>31637</v>
      </c>
      <c r="J8715" t="s">
        <v>37233</v>
      </c>
      <c r="K8715" t="s">
        <v>41190</v>
      </c>
      <c r="M8715" t="s">
        <v>44162</v>
      </c>
      <c r="N8715" t="s">
        <v>45095</v>
      </c>
      <c r="O8715" t="s">
        <v>45096</v>
      </c>
      <c r="P8715">
        <v>0</v>
      </c>
      <c r="Q8715">
        <v>6</v>
      </c>
      <c r="R8715" t="s">
        <v>45104</v>
      </c>
      <c r="S8715" t="s">
        <v>45304</v>
      </c>
      <c r="T8715" t="s">
        <v>47350</v>
      </c>
      <c r="U8715" t="s">
        <v>54714</v>
      </c>
      <c r="W8715" t="s">
        <v>44162</v>
      </c>
      <c r="X8715" t="s">
        <v>45105</v>
      </c>
    </row>
    <row r="8716" spans="1:24">
      <c r="A8716">
        <f>HYPERLINK("https://www.philgeps.gov.ph/GEPSNONPILOT/Tender/SplashBidNoticeAbstractUI.aspx?menuIndex=3&amp;refID=7033555&amp;Result=3","7033555")</f>
        <v>0</v>
      </c>
      <c r="B8716" t="s">
        <v>2427</v>
      </c>
      <c r="C8716" t="s">
        <v>11506</v>
      </c>
      <c r="D8716" t="s">
        <v>18052</v>
      </c>
      <c r="E8716" t="s">
        <v>25747</v>
      </c>
      <c r="F8716" t="s">
        <v>31574</v>
      </c>
      <c r="G8716" t="s">
        <v>31581</v>
      </c>
      <c r="H8716" t="s">
        <v>31590</v>
      </c>
      <c r="I8716" t="s">
        <v>31612</v>
      </c>
      <c r="J8716" t="s">
        <v>34967</v>
      </c>
      <c r="K8716" t="s">
        <v>41186</v>
      </c>
      <c r="M8716" t="s">
        <v>44154</v>
      </c>
      <c r="N8716" t="s">
        <v>45095</v>
      </c>
      <c r="O8716" t="s">
        <v>45096</v>
      </c>
      <c r="Q8716">
        <v>5</v>
      </c>
      <c r="R8716" t="s">
        <v>45104</v>
      </c>
      <c r="S8716" t="s">
        <v>45316</v>
      </c>
      <c r="T8716" t="s">
        <v>47154</v>
      </c>
      <c r="U8716" t="s">
        <v>54681</v>
      </c>
      <c r="V8716" t="s">
        <v>60748</v>
      </c>
      <c r="W8716" t="s">
        <v>44154</v>
      </c>
      <c r="X8716" t="s">
        <v>45105</v>
      </c>
    </row>
    <row r="8717" spans="1:24">
      <c r="A8717">
        <f>HYPERLINK("https://www.philgeps.gov.ph/GEPSNONPILOT/Tender/SplashBidNoticeAbstractUI.aspx?menuIndex=3&amp;refID=7033531&amp;Result=3","7033531")</f>
        <v>0</v>
      </c>
      <c r="B8717" t="s">
        <v>779</v>
      </c>
      <c r="C8717" t="s">
        <v>11507</v>
      </c>
      <c r="D8717" t="s">
        <v>18081</v>
      </c>
      <c r="E8717" t="s">
        <v>25748</v>
      </c>
      <c r="F8717" t="s">
        <v>31574</v>
      </c>
      <c r="G8717" t="s">
        <v>31582</v>
      </c>
      <c r="H8717" t="s">
        <v>31590</v>
      </c>
      <c r="I8717" t="s">
        <v>14544</v>
      </c>
      <c r="J8717" t="s">
        <v>37234</v>
      </c>
      <c r="K8717" t="s">
        <v>41196</v>
      </c>
      <c r="L8717" t="s">
        <v>779</v>
      </c>
      <c r="M8717" t="s">
        <v>42293</v>
      </c>
      <c r="N8717" t="s">
        <v>45095</v>
      </c>
      <c r="O8717" t="s">
        <v>45096</v>
      </c>
      <c r="P8717">
        <v>0</v>
      </c>
      <c r="Q8717">
        <v>3</v>
      </c>
      <c r="R8717" t="s">
        <v>45104</v>
      </c>
      <c r="S8717" t="s">
        <v>45304</v>
      </c>
      <c r="T8717" t="s">
        <v>47266</v>
      </c>
      <c r="U8717" t="s">
        <v>54715</v>
      </c>
      <c r="V8717" t="s">
        <v>60755</v>
      </c>
      <c r="W8717" t="s">
        <v>42293</v>
      </c>
      <c r="X8717" t="s">
        <v>45105</v>
      </c>
    </row>
    <row r="8718" spans="1:24">
      <c r="A8718">
        <f>HYPERLINK("https://www.philgeps.gov.ph/GEPSNONPILOT/Tender/SplashBidNoticeAbstractUI.aspx?menuIndex=3&amp;refID=7033561&amp;Result=3","7033561")</f>
        <v>0</v>
      </c>
      <c r="B8718" t="s">
        <v>2436</v>
      </c>
      <c r="C8718" t="s">
        <v>11508</v>
      </c>
      <c r="D8718" t="s">
        <v>18036</v>
      </c>
      <c r="E8718" t="s">
        <v>25749</v>
      </c>
      <c r="F8718" t="s">
        <v>31574</v>
      </c>
      <c r="G8718" t="s">
        <v>31582</v>
      </c>
      <c r="H8718" t="s">
        <v>31591</v>
      </c>
      <c r="I8718" t="s">
        <v>8822</v>
      </c>
      <c r="J8718" t="s">
        <v>37235</v>
      </c>
      <c r="K8718" t="s">
        <v>41185</v>
      </c>
      <c r="M8718" t="s">
        <v>44163</v>
      </c>
      <c r="N8718" t="s">
        <v>45095</v>
      </c>
      <c r="O8718" t="s">
        <v>45096</v>
      </c>
      <c r="P8718">
        <v>0</v>
      </c>
      <c r="Q8718">
        <v>0</v>
      </c>
      <c r="R8718" t="s">
        <v>45104</v>
      </c>
      <c r="S8718" t="s">
        <v>45304</v>
      </c>
      <c r="T8718" t="s">
        <v>47010</v>
      </c>
      <c r="U8718" t="s">
        <v>54716</v>
      </c>
      <c r="W8718" t="s">
        <v>44163</v>
      </c>
      <c r="X8718" t="s">
        <v>45105</v>
      </c>
    </row>
    <row r="8719" spans="1:24">
      <c r="A8719">
        <f>HYPERLINK("https://www.philgeps.gov.ph/GEPSNONPILOT/Tender/SplashBidNoticeAbstractUI.aspx?menuIndex=3&amp;refID=7033550&amp;Result=3","7033550")</f>
        <v>0</v>
      </c>
      <c r="B8719" t="s">
        <v>2406</v>
      </c>
      <c r="C8719" t="s">
        <v>11509</v>
      </c>
      <c r="E8719" t="s">
        <v>25750</v>
      </c>
      <c r="F8719" t="s">
        <v>31574</v>
      </c>
      <c r="G8719" t="s">
        <v>31582</v>
      </c>
      <c r="H8719" t="s">
        <v>31591</v>
      </c>
      <c r="I8719" t="s">
        <v>8822</v>
      </c>
      <c r="J8719" t="s">
        <v>31964</v>
      </c>
      <c r="K8719" t="s">
        <v>41192</v>
      </c>
      <c r="M8719" t="s">
        <v>44133</v>
      </c>
      <c r="N8719" t="s">
        <v>45095</v>
      </c>
      <c r="O8719" t="s">
        <v>45096</v>
      </c>
      <c r="P8719">
        <v>0</v>
      </c>
      <c r="Q8719">
        <v>1</v>
      </c>
      <c r="R8719" t="s">
        <v>45104</v>
      </c>
      <c r="S8719" t="s">
        <v>45304</v>
      </c>
      <c r="T8719" t="s">
        <v>47159</v>
      </c>
      <c r="U8719" t="s">
        <v>54717</v>
      </c>
      <c r="W8719" t="s">
        <v>44133</v>
      </c>
      <c r="X8719" t="s">
        <v>45105</v>
      </c>
    </row>
    <row r="8720" spans="1:24">
      <c r="A8720">
        <f>HYPERLINK("https://www.philgeps.gov.ph/GEPSNONPILOT/Tender/SplashBidNoticeAbstractUI.aspx?menuIndex=3&amp;refID=7033519&amp;Result=3","7033519")</f>
        <v>0</v>
      </c>
      <c r="B8720" t="s">
        <v>781</v>
      </c>
      <c r="C8720" t="s">
        <v>11510</v>
      </c>
      <c r="D8720" t="s">
        <v>18047</v>
      </c>
      <c r="E8720" t="s">
        <v>25751</v>
      </c>
      <c r="F8720" t="s">
        <v>31574</v>
      </c>
      <c r="G8720" t="s">
        <v>31582</v>
      </c>
      <c r="H8720" t="s">
        <v>31590</v>
      </c>
      <c r="I8720" t="s">
        <v>14544</v>
      </c>
      <c r="J8720" t="s">
        <v>37236</v>
      </c>
      <c r="K8720" t="s">
        <v>41184</v>
      </c>
      <c r="M8720" t="s">
        <v>42295</v>
      </c>
      <c r="N8720" t="s">
        <v>45095</v>
      </c>
      <c r="O8720" t="s">
        <v>45096</v>
      </c>
      <c r="P8720">
        <v>0</v>
      </c>
      <c r="Q8720">
        <v>0</v>
      </c>
      <c r="R8720" t="s">
        <v>45104</v>
      </c>
      <c r="S8720" t="s">
        <v>45304</v>
      </c>
      <c r="T8720" t="s">
        <v>47183</v>
      </c>
      <c r="U8720" t="s">
        <v>49139</v>
      </c>
      <c r="W8720" t="s">
        <v>42295</v>
      </c>
      <c r="X8720" t="s">
        <v>45105</v>
      </c>
    </row>
    <row r="8721" spans="1:24">
      <c r="A8721">
        <f>HYPERLINK("https://www.philgeps.gov.ph/GEPSNONPILOT/Tender/SplashBidNoticeAbstractUI.aspx?menuIndex=3&amp;refID=7033567&amp;Result=3","7033567")</f>
        <v>0</v>
      </c>
      <c r="B8721" t="s">
        <v>2055</v>
      </c>
      <c r="C8721" t="s">
        <v>11511</v>
      </c>
      <c r="D8721" t="s">
        <v>18099</v>
      </c>
      <c r="E8721" t="s">
        <v>25752</v>
      </c>
      <c r="F8721" t="s">
        <v>31574</v>
      </c>
      <c r="G8721" t="s">
        <v>31582</v>
      </c>
      <c r="H8721" t="s">
        <v>31591</v>
      </c>
      <c r="I8721" t="s">
        <v>8822</v>
      </c>
      <c r="J8721" t="s">
        <v>37237</v>
      </c>
      <c r="K8721" t="s">
        <v>41200</v>
      </c>
      <c r="M8721" t="s">
        <v>43724</v>
      </c>
      <c r="N8721" t="s">
        <v>45095</v>
      </c>
      <c r="O8721" t="s">
        <v>45096</v>
      </c>
      <c r="P8721">
        <v>0</v>
      </c>
      <c r="Q8721">
        <v>0</v>
      </c>
      <c r="R8721" t="s">
        <v>45104</v>
      </c>
      <c r="S8721" t="s">
        <v>45304</v>
      </c>
      <c r="T8721" t="s">
        <v>47010</v>
      </c>
      <c r="U8721" t="s">
        <v>54718</v>
      </c>
      <c r="V8721" t="s">
        <v>60584</v>
      </c>
      <c r="W8721" t="s">
        <v>43724</v>
      </c>
      <c r="X8721" t="s">
        <v>45105</v>
      </c>
    </row>
    <row r="8722" spans="1:24">
      <c r="A8722">
        <f>HYPERLINK("https://www.philgeps.gov.ph/GEPSNONPILOT/Tender/SplashBidNoticeAbstractUI.aspx?menuIndex=3&amp;refID=7033571&amp;Result=3","7033571")</f>
        <v>0</v>
      </c>
      <c r="B8722" t="s">
        <v>285</v>
      </c>
      <c r="C8722" t="s">
        <v>3262</v>
      </c>
      <c r="D8722" t="s">
        <v>18035</v>
      </c>
      <c r="E8722" t="s">
        <v>18705</v>
      </c>
      <c r="F8722" t="s">
        <v>31574</v>
      </c>
      <c r="G8722" t="s">
        <v>31582</v>
      </c>
      <c r="H8722" t="s">
        <v>31590</v>
      </c>
      <c r="I8722" t="s">
        <v>4046</v>
      </c>
      <c r="J8722" t="s">
        <v>31789</v>
      </c>
      <c r="K8722" t="s">
        <v>41190</v>
      </c>
      <c r="L8722" t="s">
        <v>285</v>
      </c>
      <c r="M8722" t="s">
        <v>41771</v>
      </c>
      <c r="N8722" t="s">
        <v>45095</v>
      </c>
      <c r="O8722" t="s">
        <v>45096</v>
      </c>
      <c r="P8722">
        <v>0</v>
      </c>
      <c r="Q8722">
        <v>3</v>
      </c>
      <c r="R8722" t="s">
        <v>45104</v>
      </c>
      <c r="S8722" t="s">
        <v>45304</v>
      </c>
      <c r="T8722" t="s">
        <v>47067</v>
      </c>
      <c r="U8722" t="s">
        <v>54719</v>
      </c>
      <c r="W8722" t="s">
        <v>41771</v>
      </c>
      <c r="X8722" t="s">
        <v>45105</v>
      </c>
    </row>
    <row r="8723" spans="1:24">
      <c r="A8723">
        <f>HYPERLINK("https://www.philgeps.gov.ph/GEPSNONPILOT/Tender/SplashBidNoticeAbstractUI.aspx?menuIndex=3&amp;refID=7033573&amp;Result=3","7033573")</f>
        <v>0</v>
      </c>
      <c r="B8723" t="s">
        <v>2427</v>
      </c>
      <c r="C8723" t="s">
        <v>11512</v>
      </c>
      <c r="D8723" t="s">
        <v>18052</v>
      </c>
      <c r="E8723" t="s">
        <v>25753</v>
      </c>
      <c r="F8723" t="s">
        <v>31574</v>
      </c>
      <c r="G8723" t="s">
        <v>31581</v>
      </c>
      <c r="H8723" t="s">
        <v>31590</v>
      </c>
      <c r="I8723" t="s">
        <v>8258</v>
      </c>
      <c r="J8723" t="s">
        <v>37238</v>
      </c>
      <c r="K8723" t="s">
        <v>41193</v>
      </c>
      <c r="M8723" t="s">
        <v>44154</v>
      </c>
      <c r="N8723" t="s">
        <v>45095</v>
      </c>
      <c r="O8723" t="s">
        <v>45096</v>
      </c>
      <c r="P8723">
        <v>0</v>
      </c>
      <c r="Q8723">
        <v>10</v>
      </c>
      <c r="R8723" t="s">
        <v>45104</v>
      </c>
      <c r="S8723" t="s">
        <v>45304</v>
      </c>
      <c r="T8723" t="s">
        <v>47154</v>
      </c>
      <c r="U8723" t="s">
        <v>54681</v>
      </c>
      <c r="V8723" t="s">
        <v>60748</v>
      </c>
      <c r="W8723" t="s">
        <v>44154</v>
      </c>
      <c r="X8723" t="s">
        <v>45105</v>
      </c>
    </row>
    <row r="8724" spans="1:24">
      <c r="A8724">
        <f>HYPERLINK("https://www.philgeps.gov.ph/GEPSNONPILOT/Tender/SplashBidNoticeAbstractUI.aspx?menuIndex=3&amp;refID=7033547&amp;Result=3","7033547")</f>
        <v>0</v>
      </c>
      <c r="B8724" t="s">
        <v>285</v>
      </c>
      <c r="C8724" t="s">
        <v>11513</v>
      </c>
      <c r="D8724" t="s">
        <v>18035</v>
      </c>
      <c r="E8724" t="s">
        <v>18705</v>
      </c>
      <c r="F8724" t="s">
        <v>31574</v>
      </c>
      <c r="G8724" t="s">
        <v>31582</v>
      </c>
      <c r="H8724" t="s">
        <v>31590</v>
      </c>
      <c r="I8724" t="s">
        <v>4046</v>
      </c>
      <c r="J8724" t="s">
        <v>37239</v>
      </c>
      <c r="K8724" t="s">
        <v>41190</v>
      </c>
      <c r="L8724" t="s">
        <v>285</v>
      </c>
      <c r="M8724" t="s">
        <v>41771</v>
      </c>
      <c r="N8724" t="s">
        <v>45095</v>
      </c>
      <c r="O8724" t="s">
        <v>45096</v>
      </c>
      <c r="P8724">
        <v>0</v>
      </c>
      <c r="Q8724">
        <v>4</v>
      </c>
      <c r="R8724" t="s">
        <v>45104</v>
      </c>
      <c r="S8724" t="s">
        <v>45304</v>
      </c>
      <c r="T8724" t="s">
        <v>47076</v>
      </c>
      <c r="U8724" t="s">
        <v>54720</v>
      </c>
      <c r="W8724" t="s">
        <v>41771</v>
      </c>
      <c r="X8724" t="s">
        <v>45105</v>
      </c>
    </row>
    <row r="8725" spans="1:24">
      <c r="A8725">
        <f>HYPERLINK("https://www.philgeps.gov.ph/GEPSNONPILOT/Tender/SplashBidNoticeAbstractUI.aspx?menuIndex=3&amp;refID=7033593&amp;Result=3","7033593")</f>
        <v>0</v>
      </c>
      <c r="B8725" t="s">
        <v>1806</v>
      </c>
      <c r="C8725" t="s">
        <v>11514</v>
      </c>
      <c r="D8725" t="s">
        <v>18040</v>
      </c>
      <c r="E8725" t="s">
        <v>25754</v>
      </c>
      <c r="F8725" t="s">
        <v>31574</v>
      </c>
      <c r="G8725" t="s">
        <v>31582</v>
      </c>
      <c r="H8725" t="s">
        <v>31590</v>
      </c>
      <c r="I8725" t="s">
        <v>31630</v>
      </c>
      <c r="J8725" t="s">
        <v>37240</v>
      </c>
      <c r="K8725" t="s">
        <v>41200</v>
      </c>
      <c r="L8725" t="s">
        <v>1806</v>
      </c>
      <c r="M8725" t="s">
        <v>43439</v>
      </c>
      <c r="N8725" t="s">
        <v>45095</v>
      </c>
      <c r="O8725" t="s">
        <v>45096</v>
      </c>
      <c r="P8725">
        <v>0</v>
      </c>
      <c r="Q8725">
        <v>3</v>
      </c>
      <c r="R8725" t="s">
        <v>45104</v>
      </c>
      <c r="S8725" t="s">
        <v>45304</v>
      </c>
      <c r="T8725" t="s">
        <v>47010</v>
      </c>
      <c r="U8725" t="s">
        <v>54721</v>
      </c>
      <c r="W8725" t="s">
        <v>43439</v>
      </c>
      <c r="X8725" t="s">
        <v>45105</v>
      </c>
    </row>
    <row r="8726" spans="1:24">
      <c r="A8726">
        <f>HYPERLINK("https://www.philgeps.gov.ph/GEPSNONPILOT/Tender/SplashBidNoticeAbstractUI.aspx?menuIndex=3&amp;refID=7033579&amp;Result=3","7033579")</f>
        <v>0</v>
      </c>
      <c r="B8726" t="s">
        <v>2437</v>
      </c>
      <c r="C8726" t="s">
        <v>11515</v>
      </c>
      <c r="D8726" t="s">
        <v>18079</v>
      </c>
      <c r="E8726" t="s">
        <v>25755</v>
      </c>
      <c r="F8726" t="s">
        <v>31574</v>
      </c>
      <c r="G8726" t="s">
        <v>31588</v>
      </c>
      <c r="H8726" t="s">
        <v>31591</v>
      </c>
      <c r="I8726" t="s">
        <v>8822</v>
      </c>
      <c r="J8726" t="s">
        <v>32530</v>
      </c>
      <c r="K8726" t="s">
        <v>41200</v>
      </c>
      <c r="M8726" t="s">
        <v>44164</v>
      </c>
      <c r="N8726" t="s">
        <v>45095</v>
      </c>
      <c r="O8726" t="s">
        <v>45096</v>
      </c>
      <c r="P8726">
        <v>0</v>
      </c>
      <c r="Q8726">
        <v>2</v>
      </c>
      <c r="R8726" t="s">
        <v>45104</v>
      </c>
      <c r="S8726" t="s">
        <v>45304</v>
      </c>
      <c r="T8726" t="s">
        <v>47000</v>
      </c>
      <c r="U8726" t="s">
        <v>54722</v>
      </c>
      <c r="W8726" t="s">
        <v>44164</v>
      </c>
      <c r="X8726" t="s">
        <v>45105</v>
      </c>
    </row>
    <row r="8727" spans="1:24">
      <c r="A8727">
        <f>HYPERLINK("https://www.philgeps.gov.ph/GEPSNONPILOT/Tender/SplashBidNoticeAbstractUI.aspx?menuIndex=3&amp;refID=7033609&amp;Result=3","7033609")</f>
        <v>0</v>
      </c>
      <c r="B8727" t="s">
        <v>1806</v>
      </c>
      <c r="C8727" t="s">
        <v>11516</v>
      </c>
      <c r="D8727" t="s">
        <v>18040</v>
      </c>
      <c r="E8727" t="s">
        <v>25756</v>
      </c>
      <c r="F8727" t="s">
        <v>31574</v>
      </c>
      <c r="G8727" t="s">
        <v>31582</v>
      </c>
      <c r="H8727" t="s">
        <v>31590</v>
      </c>
      <c r="I8727" t="s">
        <v>31630</v>
      </c>
      <c r="J8727" t="s">
        <v>34050</v>
      </c>
      <c r="K8727" t="s">
        <v>41186</v>
      </c>
      <c r="L8727" t="s">
        <v>1806</v>
      </c>
      <c r="M8727" t="s">
        <v>43439</v>
      </c>
      <c r="N8727" t="s">
        <v>45095</v>
      </c>
      <c r="O8727" t="s">
        <v>45096</v>
      </c>
      <c r="P8727">
        <v>0</v>
      </c>
      <c r="Q8727">
        <v>3</v>
      </c>
      <c r="R8727" t="s">
        <v>45104</v>
      </c>
      <c r="S8727" t="s">
        <v>45304</v>
      </c>
      <c r="T8727" t="s">
        <v>47010</v>
      </c>
      <c r="U8727" t="s">
        <v>54723</v>
      </c>
      <c r="W8727" t="s">
        <v>43439</v>
      </c>
      <c r="X8727" t="s">
        <v>45105</v>
      </c>
    </row>
    <row r="8728" spans="1:24">
      <c r="A8728">
        <f>HYPERLINK("https://www.philgeps.gov.ph/GEPSNONPILOT/Tender/SplashBidNoticeAbstractUI.aspx?menuIndex=3&amp;refID=7033590&amp;Result=3","7033590")</f>
        <v>0</v>
      </c>
      <c r="B8728" t="s">
        <v>322</v>
      </c>
      <c r="C8728" t="s">
        <v>11517</v>
      </c>
      <c r="D8728" t="s">
        <v>18079</v>
      </c>
      <c r="E8728" t="s">
        <v>25265</v>
      </c>
      <c r="F8728" t="s">
        <v>31574</v>
      </c>
      <c r="G8728" t="s">
        <v>31581</v>
      </c>
      <c r="H8728" t="s">
        <v>31590</v>
      </c>
      <c r="I8728" t="s">
        <v>31615</v>
      </c>
      <c r="J8728" t="s">
        <v>31727</v>
      </c>
      <c r="K8728" t="s">
        <v>41196</v>
      </c>
      <c r="M8728" t="s">
        <v>41810</v>
      </c>
      <c r="N8728" t="s">
        <v>45095</v>
      </c>
      <c r="O8728" t="s">
        <v>45096</v>
      </c>
      <c r="P8728">
        <v>0</v>
      </c>
      <c r="Q8728">
        <v>1</v>
      </c>
      <c r="R8728" t="s">
        <v>45104</v>
      </c>
      <c r="S8728" t="s">
        <v>45304</v>
      </c>
      <c r="T8728" t="s">
        <v>47158</v>
      </c>
      <c r="U8728" t="s">
        <v>54724</v>
      </c>
      <c r="W8728" t="s">
        <v>41810</v>
      </c>
      <c r="X8728" t="s">
        <v>45105</v>
      </c>
    </row>
    <row r="8729" spans="1:24">
      <c r="A8729">
        <f>HYPERLINK("https://www.philgeps.gov.ph/GEPSNONPILOT/Tender/SplashBidNoticeAbstractUI.aspx?menuIndex=3&amp;refID=7033605&amp;Result=3","7033605")</f>
        <v>0</v>
      </c>
      <c r="B8729" t="s">
        <v>2438</v>
      </c>
      <c r="C8729" t="s">
        <v>11518</v>
      </c>
      <c r="E8729" t="s">
        <v>18227</v>
      </c>
      <c r="F8729" t="s">
        <v>31574</v>
      </c>
      <c r="G8729" t="s">
        <v>31582</v>
      </c>
      <c r="H8729" t="s">
        <v>31590</v>
      </c>
      <c r="I8729" t="s">
        <v>4046</v>
      </c>
      <c r="J8729" t="s">
        <v>37241</v>
      </c>
      <c r="K8729" t="s">
        <v>41184</v>
      </c>
      <c r="M8729" t="s">
        <v>44165</v>
      </c>
      <c r="N8729" t="s">
        <v>45095</v>
      </c>
      <c r="O8729" t="s">
        <v>45096</v>
      </c>
      <c r="P8729">
        <v>0</v>
      </c>
      <c r="Q8729">
        <v>0</v>
      </c>
      <c r="R8729" t="s">
        <v>45104</v>
      </c>
      <c r="S8729" t="s">
        <v>45304</v>
      </c>
      <c r="T8729" t="s">
        <v>47178</v>
      </c>
      <c r="U8729" t="s">
        <v>54725</v>
      </c>
      <c r="W8729" t="s">
        <v>44165</v>
      </c>
      <c r="X8729" t="s">
        <v>45105</v>
      </c>
    </row>
    <row r="8730" spans="1:24">
      <c r="A8730">
        <f>HYPERLINK("https://www.philgeps.gov.ph/GEPSNONPILOT/Tender/SplashBidNoticeAbstractUI.aspx?menuIndex=3&amp;refID=7033582&amp;Result=3","7033582")</f>
        <v>0</v>
      </c>
      <c r="B8730" t="s">
        <v>226</v>
      </c>
      <c r="C8730" t="s">
        <v>11519</v>
      </c>
      <c r="D8730" t="s">
        <v>18041</v>
      </c>
      <c r="E8730" t="s">
        <v>25757</v>
      </c>
      <c r="F8730" t="s">
        <v>31574</v>
      </c>
      <c r="G8730" t="s">
        <v>31581</v>
      </c>
      <c r="H8730" t="s">
        <v>31590</v>
      </c>
      <c r="I8730" t="s">
        <v>4046</v>
      </c>
      <c r="J8730" t="s">
        <v>31843</v>
      </c>
      <c r="K8730" t="s">
        <v>41184</v>
      </c>
      <c r="M8730" t="s">
        <v>41711</v>
      </c>
      <c r="N8730" t="s">
        <v>45095</v>
      </c>
      <c r="O8730" t="s">
        <v>45096</v>
      </c>
      <c r="P8730">
        <v>0</v>
      </c>
      <c r="Q8730">
        <v>1</v>
      </c>
      <c r="R8730" t="s">
        <v>45104</v>
      </c>
      <c r="S8730" t="s">
        <v>45304</v>
      </c>
      <c r="T8730" t="s">
        <v>47165</v>
      </c>
      <c r="U8730" t="s">
        <v>47892</v>
      </c>
      <c r="W8730" t="s">
        <v>41711</v>
      </c>
      <c r="X8730" t="s">
        <v>45105</v>
      </c>
    </row>
    <row r="8731" spans="1:24">
      <c r="A8731">
        <f>HYPERLINK("https://www.philgeps.gov.ph/GEPSNONPILOT/Tender/SplashBidNoticeAbstractUI.aspx?menuIndex=3&amp;refID=7033587&amp;Result=3","7033587")</f>
        <v>0</v>
      </c>
      <c r="B8731" t="s">
        <v>2439</v>
      </c>
      <c r="C8731" t="s">
        <v>11520</v>
      </c>
      <c r="D8731" t="s">
        <v>18065</v>
      </c>
      <c r="E8731" t="s">
        <v>25758</v>
      </c>
      <c r="F8731" t="s">
        <v>31574</v>
      </c>
      <c r="G8731" t="s">
        <v>31581</v>
      </c>
      <c r="H8731" t="s">
        <v>31590</v>
      </c>
      <c r="I8731" t="s">
        <v>4327</v>
      </c>
      <c r="J8731" t="s">
        <v>37242</v>
      </c>
      <c r="K8731" t="s">
        <v>41192</v>
      </c>
      <c r="M8731" t="s">
        <v>44166</v>
      </c>
      <c r="N8731" t="s">
        <v>45095</v>
      </c>
      <c r="O8731" t="s">
        <v>45096</v>
      </c>
      <c r="P8731">
        <v>0</v>
      </c>
      <c r="Q8731">
        <v>10</v>
      </c>
      <c r="R8731" t="s">
        <v>45104</v>
      </c>
      <c r="S8731" t="s">
        <v>45304</v>
      </c>
      <c r="T8731" t="s">
        <v>47191</v>
      </c>
      <c r="U8731" t="s">
        <v>47578</v>
      </c>
      <c r="W8731" t="s">
        <v>44166</v>
      </c>
      <c r="X8731" t="s">
        <v>45105</v>
      </c>
    </row>
    <row r="8732" spans="1:24">
      <c r="A8732">
        <f>HYPERLINK("https://www.philgeps.gov.ph/GEPSNONPILOT/Tender/SplashBidNoticeAbstractUI.aspx?menuIndex=3&amp;refID=7033604&amp;Result=3","7033604")</f>
        <v>0</v>
      </c>
      <c r="B8732" t="s">
        <v>617</v>
      </c>
      <c r="C8732" t="s">
        <v>11521</v>
      </c>
      <c r="E8732" t="s">
        <v>25759</v>
      </c>
      <c r="F8732" t="s">
        <v>31574</v>
      </c>
      <c r="G8732" t="s">
        <v>31582</v>
      </c>
      <c r="H8732" t="s">
        <v>31590</v>
      </c>
      <c r="I8732" t="s">
        <v>4327</v>
      </c>
      <c r="J8732" t="s">
        <v>33625</v>
      </c>
      <c r="K8732" t="s">
        <v>41184</v>
      </c>
      <c r="M8732" t="s">
        <v>42120</v>
      </c>
      <c r="N8732" t="s">
        <v>45095</v>
      </c>
      <c r="O8732" t="s">
        <v>45096</v>
      </c>
      <c r="P8732">
        <v>0</v>
      </c>
      <c r="Q8732">
        <v>2</v>
      </c>
      <c r="R8732" t="s">
        <v>45104</v>
      </c>
      <c r="S8732" t="s">
        <v>45304</v>
      </c>
      <c r="T8732" t="s">
        <v>47058</v>
      </c>
      <c r="U8732" t="s">
        <v>54726</v>
      </c>
      <c r="V8732" t="s">
        <v>60756</v>
      </c>
      <c r="W8732" t="s">
        <v>42120</v>
      </c>
      <c r="X8732" t="s">
        <v>45105</v>
      </c>
    </row>
    <row r="8733" spans="1:24">
      <c r="A8733">
        <f>HYPERLINK("https://www.philgeps.gov.ph/GEPSNONPILOT/Tender/SplashBidNoticeAbstractUI.aspx?menuIndex=3&amp;refID=7033584&amp;Result=3","7033584")</f>
        <v>0</v>
      </c>
      <c r="B8733" t="s">
        <v>2440</v>
      </c>
      <c r="C8733" t="s">
        <v>8778</v>
      </c>
      <c r="D8733" t="s">
        <v>18070</v>
      </c>
      <c r="E8733" t="s">
        <v>25760</v>
      </c>
      <c r="F8733" t="s">
        <v>31574</v>
      </c>
      <c r="G8733" t="s">
        <v>31581</v>
      </c>
      <c r="H8733" t="s">
        <v>31590</v>
      </c>
      <c r="I8733" t="s">
        <v>4327</v>
      </c>
      <c r="J8733" t="s">
        <v>31947</v>
      </c>
      <c r="K8733" t="s">
        <v>41186</v>
      </c>
      <c r="M8733" t="s">
        <v>44167</v>
      </c>
      <c r="N8733" t="s">
        <v>45095</v>
      </c>
      <c r="O8733" t="s">
        <v>45096</v>
      </c>
      <c r="P8733">
        <v>0</v>
      </c>
      <c r="Q8733">
        <v>4</v>
      </c>
      <c r="R8733" t="s">
        <v>45104</v>
      </c>
      <c r="S8733" t="s">
        <v>45304</v>
      </c>
      <c r="T8733" t="s">
        <v>46933</v>
      </c>
      <c r="U8733" t="s">
        <v>54727</v>
      </c>
      <c r="W8733" t="s">
        <v>44167</v>
      </c>
      <c r="X8733" t="s">
        <v>45105</v>
      </c>
    </row>
    <row r="8734" spans="1:24">
      <c r="A8734">
        <f>HYPERLINK("https://www.philgeps.gov.ph/GEPSNONPILOT/Tender/SplashBidNoticeAbstractUI.aspx?menuIndex=3&amp;refID=7033618&amp;Result=3","7033618")</f>
        <v>0</v>
      </c>
      <c r="B8734" t="s">
        <v>2439</v>
      </c>
      <c r="C8734" t="s">
        <v>11522</v>
      </c>
      <c r="D8734" t="s">
        <v>18065</v>
      </c>
      <c r="E8734" t="s">
        <v>25761</v>
      </c>
      <c r="F8734" t="s">
        <v>31574</v>
      </c>
      <c r="G8734" t="s">
        <v>31581</v>
      </c>
      <c r="H8734" t="s">
        <v>31590</v>
      </c>
      <c r="I8734" t="s">
        <v>4327</v>
      </c>
      <c r="J8734" t="s">
        <v>35082</v>
      </c>
      <c r="K8734" t="s">
        <v>41192</v>
      </c>
      <c r="M8734" t="s">
        <v>44166</v>
      </c>
      <c r="N8734" t="s">
        <v>45095</v>
      </c>
      <c r="O8734" t="s">
        <v>45096</v>
      </c>
      <c r="P8734">
        <v>0</v>
      </c>
      <c r="Q8734">
        <v>3</v>
      </c>
      <c r="R8734" t="s">
        <v>45104</v>
      </c>
      <c r="S8734" t="s">
        <v>45304</v>
      </c>
      <c r="T8734" t="s">
        <v>46961</v>
      </c>
      <c r="U8734" t="s">
        <v>47578</v>
      </c>
      <c r="W8734" t="s">
        <v>44166</v>
      </c>
      <c r="X8734" t="s">
        <v>45105</v>
      </c>
    </row>
    <row r="8735" spans="1:24">
      <c r="A8735">
        <f>HYPERLINK("https://www.philgeps.gov.ph/GEPSNONPILOT/Tender/SplashBidNoticeAbstractUI.aspx?menuIndex=3&amp;refID=7033619&amp;Result=3","7033619")</f>
        <v>0</v>
      </c>
      <c r="B8735" t="s">
        <v>1806</v>
      </c>
      <c r="C8735" t="s">
        <v>11523</v>
      </c>
      <c r="D8735" t="s">
        <v>18040</v>
      </c>
      <c r="E8735" t="s">
        <v>25762</v>
      </c>
      <c r="F8735" t="s">
        <v>31574</v>
      </c>
      <c r="G8735" t="s">
        <v>31582</v>
      </c>
      <c r="H8735" t="s">
        <v>31590</v>
      </c>
      <c r="I8735" t="s">
        <v>31619</v>
      </c>
      <c r="J8735" t="s">
        <v>31935</v>
      </c>
      <c r="K8735" t="s">
        <v>41186</v>
      </c>
      <c r="L8735" t="s">
        <v>1806</v>
      </c>
      <c r="M8735" t="s">
        <v>43439</v>
      </c>
      <c r="N8735" t="s">
        <v>45095</v>
      </c>
      <c r="O8735" t="s">
        <v>45096</v>
      </c>
      <c r="P8735">
        <v>0</v>
      </c>
      <c r="Q8735">
        <v>11</v>
      </c>
      <c r="R8735" t="s">
        <v>45104</v>
      </c>
      <c r="S8735" t="s">
        <v>45304</v>
      </c>
      <c r="T8735" t="s">
        <v>47010</v>
      </c>
      <c r="U8735" t="s">
        <v>54728</v>
      </c>
      <c r="W8735" t="s">
        <v>43439</v>
      </c>
      <c r="X8735" t="s">
        <v>45105</v>
      </c>
    </row>
    <row r="8736" spans="1:24">
      <c r="A8736">
        <f>HYPERLINK("https://www.philgeps.gov.ph/GEPSNONPILOT/Tender/SplashBidNoticeAbstractUI.aspx?menuIndex=3&amp;refID=7033625&amp;Result=3","7033625")</f>
        <v>0</v>
      </c>
      <c r="B8736" t="s">
        <v>2437</v>
      </c>
      <c r="C8736" t="s">
        <v>11524</v>
      </c>
      <c r="D8736" t="s">
        <v>18079</v>
      </c>
      <c r="E8736" t="s">
        <v>25763</v>
      </c>
      <c r="F8736" t="s">
        <v>31574</v>
      </c>
      <c r="G8736" t="s">
        <v>31588</v>
      </c>
      <c r="H8736" t="s">
        <v>31591</v>
      </c>
      <c r="I8736" t="s">
        <v>8822</v>
      </c>
      <c r="J8736" t="s">
        <v>37243</v>
      </c>
      <c r="K8736" t="s">
        <v>41192</v>
      </c>
      <c r="M8736" t="s">
        <v>44164</v>
      </c>
      <c r="N8736" t="s">
        <v>45095</v>
      </c>
      <c r="O8736" t="s">
        <v>45096</v>
      </c>
      <c r="P8736">
        <v>0</v>
      </c>
      <c r="Q8736">
        <v>0</v>
      </c>
      <c r="R8736" t="s">
        <v>45104</v>
      </c>
      <c r="S8736" t="s">
        <v>45304</v>
      </c>
      <c r="T8736" t="s">
        <v>47000</v>
      </c>
      <c r="U8736" t="s">
        <v>54729</v>
      </c>
      <c r="W8736" t="s">
        <v>44164</v>
      </c>
      <c r="X8736" t="s">
        <v>45105</v>
      </c>
    </row>
    <row r="8737" spans="1:24">
      <c r="A8737">
        <f>HYPERLINK("https://www.philgeps.gov.ph/GEPSNONPILOT/Tender/SplashBidNoticeAbstractUI.aspx?menuIndex=3&amp;refID=7033620&amp;Result=3","7033620")</f>
        <v>0</v>
      </c>
      <c r="B8737" t="s">
        <v>2441</v>
      </c>
      <c r="C8737" t="s">
        <v>11525</v>
      </c>
      <c r="D8737" t="s">
        <v>18041</v>
      </c>
      <c r="E8737" t="s">
        <v>25764</v>
      </c>
      <c r="F8737" t="s">
        <v>31574</v>
      </c>
      <c r="G8737" t="s">
        <v>31582</v>
      </c>
      <c r="H8737" t="s">
        <v>31590</v>
      </c>
      <c r="I8737" t="s">
        <v>3487</v>
      </c>
      <c r="J8737" t="s">
        <v>31727</v>
      </c>
      <c r="K8737" t="s">
        <v>41230</v>
      </c>
      <c r="M8737" t="s">
        <v>44168</v>
      </c>
      <c r="N8737" t="s">
        <v>45095</v>
      </c>
      <c r="O8737" t="s">
        <v>45096</v>
      </c>
      <c r="P8737">
        <v>0</v>
      </c>
      <c r="Q8737">
        <v>0</v>
      </c>
      <c r="R8737" t="s">
        <v>45104</v>
      </c>
      <c r="S8737" t="s">
        <v>45304</v>
      </c>
      <c r="T8737" t="s">
        <v>47079</v>
      </c>
      <c r="U8737" t="s">
        <v>54730</v>
      </c>
      <c r="W8737" t="s">
        <v>44168</v>
      </c>
      <c r="X8737" t="s">
        <v>45105</v>
      </c>
    </row>
    <row r="8738" spans="1:24">
      <c r="A8738">
        <f>HYPERLINK("https://www.philgeps.gov.ph/GEPSNONPILOT/Tender/SplashBidNoticeAbstractUI.aspx?menuIndex=3&amp;refID=7033611&amp;Result=3","7033611")</f>
        <v>0</v>
      </c>
      <c r="B8738" t="s">
        <v>495</v>
      </c>
      <c r="C8738" t="s">
        <v>11526</v>
      </c>
      <c r="D8738" t="s">
        <v>18099</v>
      </c>
      <c r="E8738" t="s">
        <v>25765</v>
      </c>
      <c r="F8738" t="s">
        <v>31574</v>
      </c>
      <c r="G8738" t="s">
        <v>31581</v>
      </c>
      <c r="H8738" t="s">
        <v>31591</v>
      </c>
      <c r="I8738" t="s">
        <v>8822</v>
      </c>
      <c r="J8738" t="s">
        <v>37244</v>
      </c>
      <c r="K8738" t="s">
        <v>41374</v>
      </c>
      <c r="M8738" t="s">
        <v>44169</v>
      </c>
      <c r="N8738" t="s">
        <v>45095</v>
      </c>
      <c r="O8738" t="s">
        <v>45096</v>
      </c>
      <c r="P8738">
        <v>0</v>
      </c>
      <c r="Q8738">
        <v>0</v>
      </c>
      <c r="R8738" t="s">
        <v>45104</v>
      </c>
      <c r="S8738" t="s">
        <v>45304</v>
      </c>
      <c r="T8738" t="s">
        <v>47164</v>
      </c>
      <c r="U8738" t="s">
        <v>54731</v>
      </c>
      <c r="W8738" t="s">
        <v>44169</v>
      </c>
      <c r="X8738" t="s">
        <v>45105</v>
      </c>
    </row>
    <row r="8739" spans="1:24">
      <c r="A8739">
        <f>HYPERLINK("https://www.philgeps.gov.ph/GEPSNONPILOT/Tender/SplashBidNoticeAbstractUI.aspx?menuIndex=3&amp;refID=7033585&amp;Result=3","7033585")</f>
        <v>0</v>
      </c>
      <c r="B8739" t="s">
        <v>2412</v>
      </c>
      <c r="C8739" t="s">
        <v>11527</v>
      </c>
      <c r="D8739" t="s">
        <v>18070</v>
      </c>
      <c r="E8739" t="s">
        <v>25766</v>
      </c>
      <c r="F8739" t="s">
        <v>31574</v>
      </c>
      <c r="G8739" t="s">
        <v>31582</v>
      </c>
      <c r="H8739" t="s">
        <v>31591</v>
      </c>
      <c r="I8739" t="s">
        <v>8822</v>
      </c>
      <c r="J8739" t="s">
        <v>37245</v>
      </c>
      <c r="K8739" t="s">
        <v>41200</v>
      </c>
      <c r="M8739" t="s">
        <v>44139</v>
      </c>
      <c r="N8739" t="s">
        <v>45095</v>
      </c>
      <c r="O8739" t="s">
        <v>45096</v>
      </c>
      <c r="P8739">
        <v>0</v>
      </c>
      <c r="Q8739">
        <v>0</v>
      </c>
      <c r="R8739" t="s">
        <v>45104</v>
      </c>
      <c r="S8739" t="s">
        <v>45304</v>
      </c>
      <c r="T8739" t="s">
        <v>47266</v>
      </c>
      <c r="U8739" t="s">
        <v>54732</v>
      </c>
      <c r="W8739" t="s">
        <v>44139</v>
      </c>
      <c r="X8739" t="s">
        <v>45105</v>
      </c>
    </row>
    <row r="8740" spans="1:24">
      <c r="A8740">
        <f>HYPERLINK("https://www.philgeps.gov.ph/GEPSNONPILOT/Tender/SplashBidNoticeAbstractUI.aspx?menuIndex=3&amp;refID=7033629&amp;Result=3","7033629")</f>
        <v>0</v>
      </c>
      <c r="B8740" t="s">
        <v>2441</v>
      </c>
      <c r="C8740" t="s">
        <v>11528</v>
      </c>
      <c r="D8740" t="s">
        <v>18041</v>
      </c>
      <c r="E8740" t="s">
        <v>25767</v>
      </c>
      <c r="F8740" t="s">
        <v>31574</v>
      </c>
      <c r="G8740" t="s">
        <v>31582</v>
      </c>
      <c r="H8740" t="s">
        <v>31590</v>
      </c>
      <c r="I8740" t="s">
        <v>3487</v>
      </c>
      <c r="J8740" t="s">
        <v>37246</v>
      </c>
      <c r="K8740" t="s">
        <v>41230</v>
      </c>
      <c r="M8740" t="s">
        <v>44168</v>
      </c>
      <c r="N8740" t="s">
        <v>45095</v>
      </c>
      <c r="O8740" t="s">
        <v>45096</v>
      </c>
      <c r="P8740">
        <v>0</v>
      </c>
      <c r="Q8740">
        <v>0</v>
      </c>
      <c r="R8740" t="s">
        <v>45104</v>
      </c>
      <c r="S8740" t="s">
        <v>45304</v>
      </c>
      <c r="T8740" t="s">
        <v>47079</v>
      </c>
      <c r="U8740" t="s">
        <v>54733</v>
      </c>
      <c r="W8740" t="s">
        <v>44168</v>
      </c>
      <c r="X8740" t="s">
        <v>45105</v>
      </c>
    </row>
    <row r="8741" spans="1:24">
      <c r="A8741">
        <f>HYPERLINK("https://www.philgeps.gov.ph/GEPSNONPILOT/Tender/SplashBidNoticeAbstractUI.aspx?menuIndex=3&amp;refID=7033621&amp;Result=3","7033621")</f>
        <v>0</v>
      </c>
      <c r="B8741" t="s">
        <v>627</v>
      </c>
      <c r="C8741" t="s">
        <v>11529</v>
      </c>
      <c r="E8741" t="s">
        <v>25768</v>
      </c>
      <c r="F8741" t="s">
        <v>31574</v>
      </c>
      <c r="G8741" t="s">
        <v>31581</v>
      </c>
      <c r="H8741" t="s">
        <v>31590</v>
      </c>
      <c r="I8741" t="s">
        <v>4327</v>
      </c>
      <c r="J8741" t="s">
        <v>36934</v>
      </c>
      <c r="K8741" t="s">
        <v>41184</v>
      </c>
      <c r="M8741" t="s">
        <v>42131</v>
      </c>
      <c r="N8741" t="s">
        <v>45095</v>
      </c>
      <c r="O8741" t="s">
        <v>45096</v>
      </c>
      <c r="P8741">
        <v>0</v>
      </c>
      <c r="Q8741">
        <v>2</v>
      </c>
      <c r="R8741" t="s">
        <v>45104</v>
      </c>
      <c r="S8741" t="s">
        <v>45304</v>
      </c>
      <c r="T8741" t="s">
        <v>47183</v>
      </c>
      <c r="U8741" t="s">
        <v>54734</v>
      </c>
      <c r="W8741" t="s">
        <v>42131</v>
      </c>
      <c r="X8741" t="s">
        <v>45105</v>
      </c>
    </row>
    <row r="8742" spans="1:24">
      <c r="A8742">
        <f>HYPERLINK("https://www.philgeps.gov.ph/GEPSNONPILOT/Tender/SplashBidNoticeAbstractUI.aspx?menuIndex=3&amp;refID=7033663&amp;Result=3","7033663")</f>
        <v>0</v>
      </c>
      <c r="B8742" t="s">
        <v>1663</v>
      </c>
      <c r="C8742" t="s">
        <v>11530</v>
      </c>
      <c r="D8742" t="s">
        <v>18033</v>
      </c>
      <c r="E8742" t="s">
        <v>25769</v>
      </c>
      <c r="F8742" t="s">
        <v>31574</v>
      </c>
      <c r="G8742" t="s">
        <v>31581</v>
      </c>
      <c r="H8742" t="s">
        <v>31590</v>
      </c>
      <c r="I8742" t="s">
        <v>3487</v>
      </c>
      <c r="J8742" t="s">
        <v>34544</v>
      </c>
      <c r="K8742" t="s">
        <v>41184</v>
      </c>
      <c r="M8742" t="s">
        <v>43793</v>
      </c>
      <c r="N8742" t="s">
        <v>45095</v>
      </c>
      <c r="O8742" t="s">
        <v>45096</v>
      </c>
      <c r="P8742">
        <v>0</v>
      </c>
      <c r="Q8742">
        <v>1</v>
      </c>
      <c r="R8742" t="s">
        <v>45104</v>
      </c>
      <c r="S8742" t="s">
        <v>45304</v>
      </c>
      <c r="T8742" t="s">
        <v>46973</v>
      </c>
      <c r="U8742" t="s">
        <v>53356</v>
      </c>
      <c r="W8742" t="s">
        <v>43793</v>
      </c>
      <c r="X8742" t="s">
        <v>45105</v>
      </c>
    </row>
    <row r="8743" spans="1:24">
      <c r="A8743">
        <f>HYPERLINK("https://www.philgeps.gov.ph/GEPSNONPILOT/Tender/SplashBidNoticeAbstractUI.aspx?menuIndex=3&amp;refID=7033661&amp;Result=3","7033661")</f>
        <v>0</v>
      </c>
      <c r="B8743" t="s">
        <v>2442</v>
      </c>
      <c r="C8743" t="s">
        <v>11531</v>
      </c>
      <c r="D8743" t="s">
        <v>18033</v>
      </c>
      <c r="E8743" t="s">
        <v>25770</v>
      </c>
      <c r="F8743" t="s">
        <v>31574</v>
      </c>
      <c r="G8743" t="s">
        <v>31587</v>
      </c>
      <c r="H8743" t="s">
        <v>31590</v>
      </c>
      <c r="I8743" t="s">
        <v>31593</v>
      </c>
      <c r="J8743" t="s">
        <v>31782</v>
      </c>
      <c r="K8743" t="s">
        <v>41225</v>
      </c>
      <c r="M8743" t="s">
        <v>44170</v>
      </c>
      <c r="N8743" t="s">
        <v>45095</v>
      </c>
      <c r="O8743" t="s">
        <v>45096</v>
      </c>
      <c r="P8743">
        <v>0</v>
      </c>
      <c r="Q8743">
        <v>3</v>
      </c>
      <c r="R8743" t="s">
        <v>45104</v>
      </c>
      <c r="S8743" t="s">
        <v>45304</v>
      </c>
      <c r="T8743" t="s">
        <v>47176</v>
      </c>
      <c r="U8743" t="s">
        <v>53358</v>
      </c>
      <c r="W8743" t="s">
        <v>44170</v>
      </c>
      <c r="X8743" t="s">
        <v>45105</v>
      </c>
    </row>
    <row r="8744" spans="1:24">
      <c r="A8744">
        <f>HYPERLINK("https://www.philgeps.gov.ph/GEPSNONPILOT/Tender/SplashBidNoticeAbstractUI.aspx?menuIndex=3&amp;refID=7033655&amp;Result=3","7033655")</f>
        <v>0</v>
      </c>
      <c r="B8744" t="s">
        <v>2167</v>
      </c>
      <c r="C8744" t="s">
        <v>11532</v>
      </c>
      <c r="D8744" t="s">
        <v>18025</v>
      </c>
      <c r="E8744" t="s">
        <v>25771</v>
      </c>
      <c r="F8744" t="s">
        <v>31574</v>
      </c>
      <c r="G8744" t="s">
        <v>31581</v>
      </c>
      <c r="H8744" t="s">
        <v>31590</v>
      </c>
      <c r="I8744" t="s">
        <v>14544</v>
      </c>
      <c r="J8744" t="s">
        <v>37247</v>
      </c>
      <c r="K8744" t="s">
        <v>41186</v>
      </c>
      <c r="M8744" t="s">
        <v>43852</v>
      </c>
      <c r="N8744" t="s">
        <v>45095</v>
      </c>
      <c r="O8744" t="s">
        <v>45096</v>
      </c>
      <c r="P8744">
        <v>0</v>
      </c>
      <c r="Q8744">
        <v>2</v>
      </c>
      <c r="R8744" t="s">
        <v>45104</v>
      </c>
      <c r="S8744" t="s">
        <v>45304</v>
      </c>
      <c r="T8744" t="s">
        <v>47178</v>
      </c>
      <c r="U8744" t="s">
        <v>54735</v>
      </c>
      <c r="W8744" t="s">
        <v>43852</v>
      </c>
      <c r="X8744" t="s">
        <v>45105</v>
      </c>
    </row>
    <row r="8745" spans="1:24">
      <c r="A8745">
        <f>HYPERLINK("https://www.philgeps.gov.ph/GEPSNONPILOT/Tender/SplashBidNoticeAbstractUI.aspx?menuIndex=3&amp;refID=7033626&amp;Result=3","7033626")</f>
        <v>0</v>
      </c>
      <c r="B8745" t="s">
        <v>627</v>
      </c>
      <c r="C8745" t="s">
        <v>11533</v>
      </c>
      <c r="E8745" t="s">
        <v>25772</v>
      </c>
      <c r="F8745" t="s">
        <v>31574</v>
      </c>
      <c r="G8745" t="s">
        <v>31581</v>
      </c>
      <c r="H8745" t="s">
        <v>31590</v>
      </c>
      <c r="I8745" t="s">
        <v>31631</v>
      </c>
      <c r="J8745" t="s">
        <v>37248</v>
      </c>
      <c r="K8745" t="s">
        <v>41184</v>
      </c>
      <c r="M8745" t="s">
        <v>42131</v>
      </c>
      <c r="N8745" t="s">
        <v>45095</v>
      </c>
      <c r="O8745" t="s">
        <v>45096</v>
      </c>
      <c r="P8745">
        <v>0</v>
      </c>
      <c r="Q8745">
        <v>0</v>
      </c>
      <c r="R8745" t="s">
        <v>45104</v>
      </c>
      <c r="S8745" t="s">
        <v>45304</v>
      </c>
      <c r="T8745" t="s">
        <v>47183</v>
      </c>
      <c r="U8745" t="s">
        <v>54736</v>
      </c>
      <c r="W8745" t="s">
        <v>42131</v>
      </c>
      <c r="X8745" t="s">
        <v>45105</v>
      </c>
    </row>
    <row r="8746" spans="1:24">
      <c r="A8746">
        <f>HYPERLINK("https://www.philgeps.gov.ph/GEPSNONPILOT/Tender/SplashBidNoticeAbstractUI.aspx?menuIndex=3&amp;refID=7033652&amp;Result=3","7033652")</f>
        <v>0</v>
      </c>
      <c r="B8746" t="s">
        <v>1876</v>
      </c>
      <c r="C8746" t="s">
        <v>11534</v>
      </c>
      <c r="D8746" t="s">
        <v>18100</v>
      </c>
      <c r="E8746" t="s">
        <v>25773</v>
      </c>
      <c r="F8746" t="s">
        <v>31574</v>
      </c>
      <c r="G8746" t="s">
        <v>31582</v>
      </c>
      <c r="H8746" t="s">
        <v>31591</v>
      </c>
      <c r="I8746" t="s">
        <v>8822</v>
      </c>
      <c r="J8746" t="s">
        <v>37249</v>
      </c>
      <c r="K8746" t="s">
        <v>41203</v>
      </c>
      <c r="M8746" t="s">
        <v>43517</v>
      </c>
      <c r="N8746" t="s">
        <v>45095</v>
      </c>
      <c r="O8746" t="s">
        <v>45096</v>
      </c>
      <c r="P8746">
        <v>0</v>
      </c>
      <c r="Q8746">
        <v>1</v>
      </c>
      <c r="R8746" t="s">
        <v>45104</v>
      </c>
      <c r="S8746" t="s">
        <v>45304</v>
      </c>
      <c r="T8746" t="s">
        <v>46965</v>
      </c>
      <c r="U8746" t="s">
        <v>54737</v>
      </c>
      <c r="W8746" t="s">
        <v>43517</v>
      </c>
      <c r="X8746" t="s">
        <v>45105</v>
      </c>
    </row>
    <row r="8747" spans="1:24">
      <c r="A8747">
        <f>HYPERLINK("https://www.philgeps.gov.ph/GEPSNONPILOT/Tender/SplashBidNoticeAbstractUI.aspx?menuIndex=3&amp;refID=7033659&amp;Result=3","7033659")</f>
        <v>0</v>
      </c>
      <c r="B8747" t="s">
        <v>1663</v>
      </c>
      <c r="C8747" t="s">
        <v>11535</v>
      </c>
      <c r="D8747" t="s">
        <v>18033</v>
      </c>
      <c r="E8747" t="s">
        <v>25774</v>
      </c>
      <c r="F8747" t="s">
        <v>31574</v>
      </c>
      <c r="G8747" t="s">
        <v>31581</v>
      </c>
      <c r="H8747" t="s">
        <v>31590</v>
      </c>
      <c r="I8747" t="s">
        <v>3487</v>
      </c>
      <c r="J8747" t="s">
        <v>31780</v>
      </c>
      <c r="K8747" t="s">
        <v>41184</v>
      </c>
      <c r="M8747" t="s">
        <v>43793</v>
      </c>
      <c r="N8747" t="s">
        <v>45095</v>
      </c>
      <c r="O8747" t="s">
        <v>45096</v>
      </c>
      <c r="P8747">
        <v>0</v>
      </c>
      <c r="Q8747">
        <v>2</v>
      </c>
      <c r="R8747" t="s">
        <v>45104</v>
      </c>
      <c r="S8747" t="s">
        <v>45304</v>
      </c>
      <c r="T8747" t="s">
        <v>46973</v>
      </c>
      <c r="U8747" t="s">
        <v>53356</v>
      </c>
      <c r="W8747" t="s">
        <v>43793</v>
      </c>
      <c r="X8747" t="s">
        <v>45105</v>
      </c>
    </row>
    <row r="8748" spans="1:24">
      <c r="A8748">
        <f>HYPERLINK("https://www.philgeps.gov.ph/GEPSNONPILOT/Tender/SplashBidNoticeAbstractUI.aspx?menuIndex=3&amp;refID=7033653&amp;Result=3","7033653")</f>
        <v>0</v>
      </c>
      <c r="B8748" t="s">
        <v>1876</v>
      </c>
      <c r="C8748" t="s">
        <v>11536</v>
      </c>
      <c r="D8748" t="s">
        <v>18100</v>
      </c>
      <c r="E8748" t="s">
        <v>25775</v>
      </c>
      <c r="F8748" t="s">
        <v>31574</v>
      </c>
      <c r="G8748" t="s">
        <v>31582</v>
      </c>
      <c r="H8748" t="s">
        <v>31591</v>
      </c>
      <c r="I8748" t="s">
        <v>8822</v>
      </c>
      <c r="J8748" t="s">
        <v>32458</v>
      </c>
      <c r="K8748" t="s">
        <v>41303</v>
      </c>
      <c r="M8748" t="s">
        <v>43517</v>
      </c>
      <c r="N8748" t="s">
        <v>45095</v>
      </c>
      <c r="O8748" t="s">
        <v>45096</v>
      </c>
      <c r="P8748">
        <v>0</v>
      </c>
      <c r="Q8748">
        <v>0</v>
      </c>
      <c r="R8748" t="s">
        <v>45104</v>
      </c>
      <c r="S8748" t="s">
        <v>45304</v>
      </c>
      <c r="T8748" t="s">
        <v>46965</v>
      </c>
      <c r="U8748" t="s">
        <v>54738</v>
      </c>
      <c r="W8748" t="s">
        <v>43517</v>
      </c>
      <c r="X8748" t="s">
        <v>45105</v>
      </c>
    </row>
    <row r="8749" spans="1:24">
      <c r="A8749">
        <f>HYPERLINK("https://www.philgeps.gov.ph/GEPSNONPILOT/Tender/SplashBidNoticeAbstractUI.aspx?menuIndex=3&amp;refID=7033662&amp;Result=3","7033662")</f>
        <v>0</v>
      </c>
      <c r="B8749" t="s">
        <v>2443</v>
      </c>
      <c r="C8749" t="s">
        <v>11537</v>
      </c>
      <c r="D8749" t="s">
        <v>18056</v>
      </c>
      <c r="E8749" t="s">
        <v>19061</v>
      </c>
      <c r="F8749" t="s">
        <v>31574</v>
      </c>
      <c r="G8749" t="s">
        <v>31582</v>
      </c>
      <c r="H8749" t="s">
        <v>31590</v>
      </c>
      <c r="I8749" t="s">
        <v>4046</v>
      </c>
      <c r="J8749" t="s">
        <v>37250</v>
      </c>
      <c r="K8749" t="s">
        <v>41195</v>
      </c>
      <c r="M8749" t="s">
        <v>44171</v>
      </c>
      <c r="N8749" t="s">
        <v>45095</v>
      </c>
      <c r="O8749" t="s">
        <v>45096</v>
      </c>
      <c r="P8749">
        <v>0</v>
      </c>
      <c r="Q8749">
        <v>0</v>
      </c>
      <c r="R8749" t="s">
        <v>45104</v>
      </c>
      <c r="S8749" t="s">
        <v>45304</v>
      </c>
      <c r="T8749" t="s">
        <v>47010</v>
      </c>
      <c r="U8749" t="s">
        <v>54739</v>
      </c>
      <c r="V8749" t="s">
        <v>60757</v>
      </c>
      <c r="W8749" t="s">
        <v>44171</v>
      </c>
      <c r="X8749" t="s">
        <v>45105</v>
      </c>
    </row>
    <row r="8750" spans="1:24">
      <c r="A8750">
        <f>HYPERLINK("https://www.philgeps.gov.ph/GEPSNONPILOT/Tender/SplashBidNoticeAbstractUI.aspx?menuIndex=3&amp;refID=7033643&amp;Result=3","7033643")</f>
        <v>0</v>
      </c>
      <c r="B8750" t="s">
        <v>2444</v>
      </c>
      <c r="C8750" t="s">
        <v>11538</v>
      </c>
      <c r="D8750" t="s">
        <v>18071</v>
      </c>
      <c r="E8750" t="s">
        <v>25776</v>
      </c>
      <c r="F8750" t="s">
        <v>31574</v>
      </c>
      <c r="G8750" t="s">
        <v>31582</v>
      </c>
      <c r="H8750" t="s">
        <v>31590</v>
      </c>
      <c r="I8750" t="s">
        <v>3487</v>
      </c>
      <c r="J8750" t="s">
        <v>37251</v>
      </c>
      <c r="K8750" t="s">
        <v>41192</v>
      </c>
      <c r="M8750" t="s">
        <v>44172</v>
      </c>
      <c r="N8750" t="s">
        <v>45095</v>
      </c>
      <c r="O8750" t="s">
        <v>45096</v>
      </c>
      <c r="P8750">
        <v>0</v>
      </c>
      <c r="Q8750">
        <v>1</v>
      </c>
      <c r="R8750" t="s">
        <v>45104</v>
      </c>
      <c r="S8750" t="s">
        <v>45304</v>
      </c>
      <c r="T8750" t="s">
        <v>47093</v>
      </c>
      <c r="U8750" t="s">
        <v>54740</v>
      </c>
      <c r="W8750" t="s">
        <v>44172</v>
      </c>
      <c r="X8750" t="s">
        <v>45105</v>
      </c>
    </row>
    <row r="8751" spans="1:24">
      <c r="A8751">
        <f>HYPERLINK("https://www.philgeps.gov.ph/GEPSNONPILOT/Tender/SplashBidNoticeAbstractUI.aspx?menuIndex=3&amp;refID=7033650&amp;Result=3","7033650")</f>
        <v>0</v>
      </c>
      <c r="B8751" t="s">
        <v>1876</v>
      </c>
      <c r="C8751" t="s">
        <v>11539</v>
      </c>
      <c r="D8751" t="s">
        <v>18100</v>
      </c>
      <c r="E8751" t="s">
        <v>25777</v>
      </c>
      <c r="F8751" t="s">
        <v>31574</v>
      </c>
      <c r="G8751" t="s">
        <v>31582</v>
      </c>
      <c r="H8751" t="s">
        <v>31591</v>
      </c>
      <c r="I8751" t="s">
        <v>8822</v>
      </c>
      <c r="J8751" t="s">
        <v>37252</v>
      </c>
      <c r="K8751" t="s">
        <v>41189</v>
      </c>
      <c r="M8751" t="s">
        <v>43517</v>
      </c>
      <c r="N8751" t="s">
        <v>45095</v>
      </c>
      <c r="O8751" t="s">
        <v>45096</v>
      </c>
      <c r="P8751">
        <v>0</v>
      </c>
      <c r="Q8751">
        <v>0</v>
      </c>
      <c r="R8751" t="s">
        <v>45104</v>
      </c>
      <c r="S8751" t="s">
        <v>45304</v>
      </c>
      <c r="T8751" t="s">
        <v>46965</v>
      </c>
      <c r="U8751" t="s">
        <v>54741</v>
      </c>
      <c r="W8751" t="s">
        <v>43517</v>
      </c>
      <c r="X8751" t="s">
        <v>45105</v>
      </c>
    </row>
    <row r="8752" spans="1:24">
      <c r="A8752">
        <f>HYPERLINK("https://www.philgeps.gov.ph/GEPSNONPILOT/Tender/SplashBidNoticeAbstractUI.aspx?menuIndex=3&amp;refID=7033684&amp;Result=3","7033684")</f>
        <v>0</v>
      </c>
      <c r="B8752" t="s">
        <v>2445</v>
      </c>
      <c r="C8752" t="s">
        <v>11540</v>
      </c>
      <c r="D8752" t="s">
        <v>18053</v>
      </c>
      <c r="E8752" t="s">
        <v>25778</v>
      </c>
      <c r="F8752" t="s">
        <v>31574</v>
      </c>
      <c r="G8752" t="s">
        <v>31581</v>
      </c>
      <c r="H8752" t="s">
        <v>31590</v>
      </c>
      <c r="I8752" t="s">
        <v>8258</v>
      </c>
      <c r="J8752" t="s">
        <v>33712</v>
      </c>
      <c r="K8752" t="s">
        <v>41184</v>
      </c>
      <c r="M8752" t="s">
        <v>44173</v>
      </c>
      <c r="N8752" t="s">
        <v>45095</v>
      </c>
      <c r="O8752" t="s">
        <v>45096</v>
      </c>
      <c r="P8752">
        <v>0</v>
      </c>
      <c r="Q8752">
        <v>1</v>
      </c>
      <c r="R8752" t="s">
        <v>45104</v>
      </c>
      <c r="S8752" t="s">
        <v>45304</v>
      </c>
      <c r="T8752" t="s">
        <v>47158</v>
      </c>
      <c r="U8752" t="s">
        <v>54742</v>
      </c>
      <c r="W8752" t="s">
        <v>44173</v>
      </c>
      <c r="X8752" t="s">
        <v>45105</v>
      </c>
    </row>
    <row r="8753" spans="1:24">
      <c r="A8753">
        <f>HYPERLINK("https://www.philgeps.gov.ph/GEPSNONPILOT/Tender/SplashBidNoticeAbstractUI.aspx?menuIndex=3&amp;refID=7033685&amp;Result=3","7033685")</f>
        <v>0</v>
      </c>
      <c r="B8753" t="s">
        <v>352</v>
      </c>
      <c r="C8753" t="s">
        <v>11541</v>
      </c>
      <c r="D8753" t="s">
        <v>18023</v>
      </c>
      <c r="E8753" t="s">
        <v>25779</v>
      </c>
      <c r="F8753" t="s">
        <v>31574</v>
      </c>
      <c r="G8753" t="s">
        <v>31582</v>
      </c>
      <c r="H8753" t="s">
        <v>31590</v>
      </c>
      <c r="I8753" t="s">
        <v>31606</v>
      </c>
      <c r="J8753" t="s">
        <v>37253</v>
      </c>
      <c r="K8753" t="s">
        <v>41186</v>
      </c>
      <c r="M8753" t="s">
        <v>41840</v>
      </c>
      <c r="N8753" t="s">
        <v>45095</v>
      </c>
      <c r="O8753" t="s">
        <v>45096</v>
      </c>
      <c r="P8753">
        <v>0</v>
      </c>
      <c r="Q8753">
        <v>2</v>
      </c>
      <c r="R8753" t="s">
        <v>45104</v>
      </c>
      <c r="S8753" t="s">
        <v>45304</v>
      </c>
      <c r="T8753" t="s">
        <v>46924</v>
      </c>
      <c r="U8753" t="s">
        <v>54743</v>
      </c>
      <c r="W8753" t="s">
        <v>41840</v>
      </c>
      <c r="X8753" t="s">
        <v>45105</v>
      </c>
    </row>
    <row r="8754" spans="1:24">
      <c r="A8754">
        <f>HYPERLINK("https://www.philgeps.gov.ph/GEPSNONPILOT/Tender/SplashBidNoticeAbstractUI.aspx?menuIndex=3&amp;refID=7033648&amp;Result=3","7033648")</f>
        <v>0</v>
      </c>
      <c r="B8754" t="s">
        <v>2446</v>
      </c>
      <c r="C8754" t="s">
        <v>11542</v>
      </c>
      <c r="D8754" t="s">
        <v>18101</v>
      </c>
      <c r="E8754" t="s">
        <v>25780</v>
      </c>
      <c r="F8754" t="s">
        <v>31574</v>
      </c>
      <c r="G8754" t="s">
        <v>31582</v>
      </c>
      <c r="H8754" t="s">
        <v>31590</v>
      </c>
      <c r="I8754" t="s">
        <v>14544</v>
      </c>
      <c r="J8754" t="s">
        <v>37254</v>
      </c>
      <c r="K8754" t="s">
        <v>41193</v>
      </c>
      <c r="M8754" t="s">
        <v>44174</v>
      </c>
      <c r="N8754" t="s">
        <v>45095</v>
      </c>
      <c r="O8754" t="s">
        <v>45096</v>
      </c>
      <c r="P8754">
        <v>0</v>
      </c>
      <c r="Q8754">
        <v>0</v>
      </c>
      <c r="R8754" t="s">
        <v>45104</v>
      </c>
      <c r="S8754" t="s">
        <v>45304</v>
      </c>
      <c r="T8754" t="s">
        <v>46939</v>
      </c>
      <c r="U8754" t="s">
        <v>54744</v>
      </c>
      <c r="W8754" t="s">
        <v>44174</v>
      </c>
      <c r="X8754" t="s">
        <v>45105</v>
      </c>
    </row>
    <row r="8755" spans="1:24">
      <c r="A8755">
        <f>HYPERLINK("https://www.philgeps.gov.ph/GEPSNONPILOT/Tender/SplashBidNoticeAbstractUI.aspx?menuIndex=3&amp;refID=7033694&amp;Result=3","7033694")</f>
        <v>0</v>
      </c>
      <c r="B8755" t="s">
        <v>2447</v>
      </c>
      <c r="C8755" t="s">
        <v>5803</v>
      </c>
      <c r="D8755" t="s">
        <v>18027</v>
      </c>
      <c r="E8755" t="s">
        <v>18788</v>
      </c>
      <c r="F8755" t="s">
        <v>31574</v>
      </c>
      <c r="G8755" t="s">
        <v>31582</v>
      </c>
      <c r="H8755" t="s">
        <v>31590</v>
      </c>
      <c r="I8755" t="s">
        <v>4327</v>
      </c>
      <c r="J8755" t="s">
        <v>31741</v>
      </c>
      <c r="K8755" t="s">
        <v>41196</v>
      </c>
      <c r="M8755" t="s">
        <v>44175</v>
      </c>
      <c r="N8755" t="s">
        <v>45095</v>
      </c>
      <c r="O8755" t="s">
        <v>45096</v>
      </c>
      <c r="P8755">
        <v>0</v>
      </c>
      <c r="Q8755">
        <v>2</v>
      </c>
      <c r="R8755" t="s">
        <v>45104</v>
      </c>
      <c r="S8755" t="s">
        <v>45304</v>
      </c>
      <c r="T8755" t="s">
        <v>47183</v>
      </c>
      <c r="U8755" t="s">
        <v>54745</v>
      </c>
      <c r="W8755" t="s">
        <v>44175</v>
      </c>
      <c r="X8755" t="s">
        <v>45105</v>
      </c>
    </row>
    <row r="8756" spans="1:24">
      <c r="A8756">
        <f>HYPERLINK("https://www.philgeps.gov.ph/GEPSNONPILOT/Tender/SplashBidNoticeAbstractUI.aspx?menuIndex=3&amp;refID=7033669&amp;Result=3","7033669")</f>
        <v>0</v>
      </c>
      <c r="B8756" t="s">
        <v>706</v>
      </c>
      <c r="C8756" t="s">
        <v>11543</v>
      </c>
      <c r="D8756" t="s">
        <v>18022</v>
      </c>
      <c r="E8756" t="s">
        <v>25781</v>
      </c>
      <c r="F8756" t="s">
        <v>31574</v>
      </c>
      <c r="G8756" t="s">
        <v>31581</v>
      </c>
      <c r="H8756" t="s">
        <v>31590</v>
      </c>
      <c r="I8756" t="s">
        <v>31619</v>
      </c>
      <c r="J8756" t="s">
        <v>34518</v>
      </c>
      <c r="K8756" t="s">
        <v>41193</v>
      </c>
      <c r="M8756" t="s">
        <v>42215</v>
      </c>
      <c r="N8756" t="s">
        <v>45095</v>
      </c>
      <c r="O8756" t="s">
        <v>45096</v>
      </c>
      <c r="P8756">
        <v>0</v>
      </c>
      <c r="Q8756">
        <v>22</v>
      </c>
      <c r="R8756" t="s">
        <v>45104</v>
      </c>
      <c r="S8756" t="s">
        <v>45304</v>
      </c>
      <c r="T8756" t="s">
        <v>47159</v>
      </c>
      <c r="U8756" t="s">
        <v>54746</v>
      </c>
      <c r="V8756" t="s">
        <v>60758</v>
      </c>
      <c r="W8756" t="s">
        <v>42215</v>
      </c>
      <c r="X8756" t="s">
        <v>45105</v>
      </c>
    </row>
    <row r="8757" spans="1:24">
      <c r="A8757">
        <f>HYPERLINK("https://www.philgeps.gov.ph/GEPSNONPILOT/Tender/SplashBidNoticeAbstractUI.aspx?menuIndex=3&amp;refID=7033693&amp;Result=3","7033693")</f>
        <v>0</v>
      </c>
      <c r="B8757" t="s">
        <v>2426</v>
      </c>
      <c r="C8757" t="s">
        <v>11544</v>
      </c>
      <c r="D8757" t="s">
        <v>18022</v>
      </c>
      <c r="E8757" t="s">
        <v>20329</v>
      </c>
      <c r="F8757" t="s">
        <v>31580</v>
      </c>
      <c r="G8757" t="s">
        <v>31582</v>
      </c>
      <c r="H8757" t="s">
        <v>31590</v>
      </c>
      <c r="I8757" t="s">
        <v>31689</v>
      </c>
      <c r="J8757" t="s">
        <v>37255</v>
      </c>
      <c r="K8757" t="s">
        <v>41193</v>
      </c>
      <c r="M8757" t="s">
        <v>44153</v>
      </c>
      <c r="N8757" t="s">
        <v>45095</v>
      </c>
      <c r="O8757" t="s">
        <v>45096</v>
      </c>
      <c r="P8757">
        <v>0</v>
      </c>
      <c r="Q8757">
        <v>1</v>
      </c>
      <c r="R8757" t="s">
        <v>45104</v>
      </c>
      <c r="S8757" t="s">
        <v>45304</v>
      </c>
      <c r="T8757" t="s">
        <v>46920</v>
      </c>
      <c r="U8757" t="s">
        <v>54747</v>
      </c>
      <c r="W8757" t="s">
        <v>44153</v>
      </c>
      <c r="X8757" t="s">
        <v>45105</v>
      </c>
    </row>
    <row r="8758" spans="1:24">
      <c r="A8758">
        <f>HYPERLINK("https://www.philgeps.gov.ph/GEPSNONPILOT/Tender/SplashBidNoticeAbstractUI.aspx?menuIndex=3&amp;refID=7033644&amp;Result=3","7033644")</f>
        <v>0</v>
      </c>
      <c r="B8758" t="s">
        <v>627</v>
      </c>
      <c r="C8758" t="s">
        <v>11545</v>
      </c>
      <c r="D8758" t="s">
        <v>18092</v>
      </c>
      <c r="E8758" t="s">
        <v>25782</v>
      </c>
      <c r="F8758" t="s">
        <v>31576</v>
      </c>
      <c r="G8758" t="s">
        <v>31583</v>
      </c>
      <c r="H8758" t="s">
        <v>31590</v>
      </c>
      <c r="I8758" t="s">
        <v>31615</v>
      </c>
      <c r="J8758" t="s">
        <v>37256</v>
      </c>
      <c r="K8758" t="s">
        <v>41192</v>
      </c>
      <c r="M8758" t="s">
        <v>43091</v>
      </c>
      <c r="N8758" t="s">
        <v>45095</v>
      </c>
      <c r="O8758" t="s">
        <v>45096</v>
      </c>
      <c r="P8758">
        <v>0</v>
      </c>
      <c r="Q8758">
        <v>4</v>
      </c>
      <c r="R8758" t="s">
        <v>45104</v>
      </c>
      <c r="S8758" t="s">
        <v>45304</v>
      </c>
      <c r="T8758" t="s">
        <v>47183</v>
      </c>
      <c r="U8758" t="s">
        <v>54748</v>
      </c>
      <c r="W8758" t="s">
        <v>42131</v>
      </c>
      <c r="X8758" t="s">
        <v>45105</v>
      </c>
    </row>
    <row r="8759" spans="1:24">
      <c r="A8759">
        <f>HYPERLINK("https://www.philgeps.gov.ph/GEPSNONPILOT/Tender/SplashBidNoticeAbstractUI.aspx?menuIndex=3&amp;refID=7033649&amp;Result=3","7033649")</f>
        <v>0</v>
      </c>
      <c r="B8759" t="s">
        <v>1008</v>
      </c>
      <c r="C8759" t="s">
        <v>11546</v>
      </c>
      <c r="D8759" t="s">
        <v>18035</v>
      </c>
      <c r="E8759" t="s">
        <v>25783</v>
      </c>
      <c r="F8759" t="s">
        <v>31574</v>
      </c>
      <c r="G8759" t="s">
        <v>31581</v>
      </c>
      <c r="H8759" t="s">
        <v>31590</v>
      </c>
      <c r="I8759" t="s">
        <v>31693</v>
      </c>
      <c r="J8759" t="s">
        <v>37257</v>
      </c>
      <c r="K8759" t="s">
        <v>41190</v>
      </c>
      <c r="M8759" t="s">
        <v>42548</v>
      </c>
      <c r="N8759" t="s">
        <v>45095</v>
      </c>
      <c r="O8759" t="s">
        <v>45096</v>
      </c>
      <c r="P8759">
        <v>0</v>
      </c>
      <c r="Q8759">
        <v>1</v>
      </c>
      <c r="R8759" t="s">
        <v>45104</v>
      </c>
      <c r="S8759" t="s">
        <v>45304</v>
      </c>
      <c r="T8759" t="s">
        <v>47125</v>
      </c>
      <c r="U8759" t="s">
        <v>54749</v>
      </c>
      <c r="V8759" t="s">
        <v>60759</v>
      </c>
      <c r="W8759" t="s">
        <v>42548</v>
      </c>
      <c r="X8759" t="s">
        <v>45105</v>
      </c>
    </row>
    <row r="8760" spans="1:24">
      <c r="A8760">
        <f>HYPERLINK("https://www.philgeps.gov.ph/GEPSNONPILOT/Tender/SplashBidNoticeAbstractUI.aspx?menuIndex=3&amp;refID=7033672&amp;Result=3","7033672")</f>
        <v>0</v>
      </c>
      <c r="B8760" t="s">
        <v>2448</v>
      </c>
      <c r="C8760" t="s">
        <v>11547</v>
      </c>
      <c r="D8760" t="s">
        <v>18047</v>
      </c>
      <c r="E8760" t="s">
        <v>25784</v>
      </c>
      <c r="F8760" t="s">
        <v>31574</v>
      </c>
      <c r="G8760" t="s">
        <v>31582</v>
      </c>
      <c r="H8760" t="s">
        <v>31591</v>
      </c>
      <c r="I8760" t="s">
        <v>8822</v>
      </c>
      <c r="J8760" t="s">
        <v>32120</v>
      </c>
      <c r="K8760" t="s">
        <v>41189</v>
      </c>
      <c r="M8760" t="s">
        <v>44176</v>
      </c>
      <c r="N8760" t="s">
        <v>45095</v>
      </c>
      <c r="O8760" t="s">
        <v>45096</v>
      </c>
      <c r="P8760">
        <v>0</v>
      </c>
      <c r="Q8760">
        <v>0</v>
      </c>
      <c r="R8760" t="s">
        <v>45104</v>
      </c>
      <c r="S8760" t="s">
        <v>45304</v>
      </c>
      <c r="T8760" t="s">
        <v>47113</v>
      </c>
      <c r="U8760" t="s">
        <v>54750</v>
      </c>
      <c r="W8760" t="s">
        <v>44176</v>
      </c>
      <c r="X8760" t="s">
        <v>45105</v>
      </c>
    </row>
    <row r="8761" spans="1:24">
      <c r="A8761">
        <f>HYPERLINK("https://www.philgeps.gov.ph/GEPSNONPILOT/Tender/SplashBidNoticeAbstractUI.aspx?menuIndex=3&amp;refID=7033673&amp;Result=3","7033673")</f>
        <v>0</v>
      </c>
      <c r="B8761" t="s">
        <v>2099</v>
      </c>
      <c r="C8761" t="s">
        <v>11548</v>
      </c>
      <c r="D8761" t="s">
        <v>18070</v>
      </c>
      <c r="E8761" t="s">
        <v>18258</v>
      </c>
      <c r="F8761" t="s">
        <v>31574</v>
      </c>
      <c r="G8761" t="s">
        <v>31583</v>
      </c>
      <c r="H8761" t="s">
        <v>31591</v>
      </c>
      <c r="I8761" t="s">
        <v>4046</v>
      </c>
      <c r="J8761" t="s">
        <v>37258</v>
      </c>
      <c r="K8761" t="s">
        <v>41196</v>
      </c>
      <c r="M8761" t="s">
        <v>43776</v>
      </c>
      <c r="N8761" t="s">
        <v>45095</v>
      </c>
      <c r="O8761" t="s">
        <v>45096</v>
      </c>
      <c r="P8761">
        <v>0</v>
      </c>
      <c r="Q8761">
        <v>0</v>
      </c>
      <c r="R8761" t="s">
        <v>45104</v>
      </c>
      <c r="S8761" t="s">
        <v>45304</v>
      </c>
      <c r="T8761" t="s">
        <v>47164</v>
      </c>
      <c r="U8761" t="s">
        <v>54751</v>
      </c>
      <c r="W8761" t="s">
        <v>43776</v>
      </c>
      <c r="X8761" t="s">
        <v>45105</v>
      </c>
    </row>
    <row r="8762" spans="1:24">
      <c r="A8762">
        <f>HYPERLINK("https://www.philgeps.gov.ph/GEPSNONPILOT/Tender/SplashBidNoticeAbstractUI.aspx?menuIndex=3&amp;refID=7033697&amp;Result=3","7033697")</f>
        <v>0</v>
      </c>
      <c r="B8762" t="s">
        <v>2449</v>
      </c>
      <c r="C8762" t="s">
        <v>11549</v>
      </c>
      <c r="D8762" t="s">
        <v>18069</v>
      </c>
      <c r="E8762" t="s">
        <v>25785</v>
      </c>
      <c r="F8762" t="s">
        <v>31574</v>
      </c>
      <c r="G8762" t="s">
        <v>31582</v>
      </c>
      <c r="H8762" t="s">
        <v>31591</v>
      </c>
      <c r="I8762" t="s">
        <v>8822</v>
      </c>
      <c r="J8762" t="s">
        <v>31947</v>
      </c>
      <c r="K8762" t="s">
        <v>41185</v>
      </c>
      <c r="M8762" t="s">
        <v>44177</v>
      </c>
      <c r="N8762" t="s">
        <v>45095</v>
      </c>
      <c r="O8762" t="s">
        <v>45096</v>
      </c>
      <c r="P8762">
        <v>0</v>
      </c>
      <c r="Q8762">
        <v>1</v>
      </c>
      <c r="R8762" t="s">
        <v>45104</v>
      </c>
      <c r="S8762" t="s">
        <v>45304</v>
      </c>
      <c r="T8762" t="s">
        <v>47183</v>
      </c>
      <c r="U8762" t="s">
        <v>54752</v>
      </c>
      <c r="W8762" t="s">
        <v>44177</v>
      </c>
      <c r="X8762" t="s">
        <v>45105</v>
      </c>
    </row>
    <row r="8763" spans="1:24">
      <c r="A8763">
        <f>HYPERLINK("https://www.philgeps.gov.ph/GEPSNONPILOT/Tender/SplashBidNoticeAbstractUI.aspx?menuIndex=3&amp;refID=7033698&amp;Result=3","7033698")</f>
        <v>0</v>
      </c>
      <c r="B8763" t="s">
        <v>2427</v>
      </c>
      <c r="C8763" t="s">
        <v>11550</v>
      </c>
      <c r="D8763" t="s">
        <v>18098</v>
      </c>
      <c r="E8763" t="s">
        <v>25786</v>
      </c>
      <c r="F8763" t="s">
        <v>31574</v>
      </c>
      <c r="G8763" t="s">
        <v>31581</v>
      </c>
      <c r="H8763" t="s">
        <v>31590</v>
      </c>
      <c r="I8763" t="s">
        <v>31627</v>
      </c>
      <c r="J8763" t="s">
        <v>31947</v>
      </c>
      <c r="K8763" t="s">
        <v>41186</v>
      </c>
      <c r="M8763" t="s">
        <v>44154</v>
      </c>
      <c r="N8763" t="s">
        <v>45095</v>
      </c>
      <c r="O8763" t="s">
        <v>45096</v>
      </c>
      <c r="P8763">
        <v>0</v>
      </c>
      <c r="Q8763">
        <v>3</v>
      </c>
      <c r="R8763" t="s">
        <v>45104</v>
      </c>
      <c r="S8763" t="s">
        <v>45304</v>
      </c>
      <c r="T8763" t="s">
        <v>47154</v>
      </c>
      <c r="U8763" t="s">
        <v>54681</v>
      </c>
      <c r="V8763" t="s">
        <v>60760</v>
      </c>
      <c r="W8763" t="s">
        <v>44154</v>
      </c>
      <c r="X8763" t="s">
        <v>45105</v>
      </c>
    </row>
    <row r="8764" spans="1:24">
      <c r="A8764">
        <f>HYPERLINK("https://www.philgeps.gov.ph/GEPSNONPILOT/Tender/SplashBidNoticeAbstractUI.aspx?menuIndex=3&amp;refID=7033707&amp;Result=3","7033707")</f>
        <v>0</v>
      </c>
      <c r="B8764" t="s">
        <v>2450</v>
      </c>
      <c r="C8764" t="s">
        <v>11551</v>
      </c>
      <c r="D8764" t="s">
        <v>18102</v>
      </c>
      <c r="E8764" t="s">
        <v>25787</v>
      </c>
      <c r="F8764" t="s">
        <v>31574</v>
      </c>
      <c r="G8764" t="s">
        <v>31582</v>
      </c>
      <c r="H8764" t="s">
        <v>31591</v>
      </c>
      <c r="I8764" t="s">
        <v>4046</v>
      </c>
      <c r="J8764" t="s">
        <v>37259</v>
      </c>
      <c r="K8764" t="s">
        <v>41243</v>
      </c>
      <c r="M8764" t="s">
        <v>44178</v>
      </c>
      <c r="N8764" t="s">
        <v>45095</v>
      </c>
      <c r="O8764" t="s">
        <v>45096</v>
      </c>
      <c r="P8764">
        <v>0</v>
      </c>
      <c r="Q8764">
        <v>4</v>
      </c>
      <c r="R8764" t="s">
        <v>45104</v>
      </c>
      <c r="S8764" t="s">
        <v>45304</v>
      </c>
      <c r="T8764" t="s">
        <v>46977</v>
      </c>
      <c r="U8764" t="s">
        <v>54753</v>
      </c>
      <c r="W8764" t="s">
        <v>44178</v>
      </c>
      <c r="X8764" t="s">
        <v>45105</v>
      </c>
    </row>
    <row r="8765" spans="1:24">
      <c r="A8765">
        <f>HYPERLINK("https://www.philgeps.gov.ph/GEPSNONPILOT/Tender/SplashBidNoticeAbstractUI.aspx?menuIndex=3&amp;refID=7033696&amp;Result=3","7033696")</f>
        <v>0</v>
      </c>
      <c r="B8765" t="s">
        <v>2451</v>
      </c>
      <c r="C8765" t="s">
        <v>11552</v>
      </c>
      <c r="D8765" t="s">
        <v>18052</v>
      </c>
      <c r="E8765" t="s">
        <v>25788</v>
      </c>
      <c r="F8765" t="s">
        <v>31574</v>
      </c>
      <c r="G8765" t="s">
        <v>31581</v>
      </c>
      <c r="H8765" t="s">
        <v>31590</v>
      </c>
      <c r="I8765" t="s">
        <v>31612</v>
      </c>
      <c r="J8765" t="s">
        <v>31727</v>
      </c>
      <c r="K8765" t="s">
        <v>41190</v>
      </c>
      <c r="M8765" t="s">
        <v>44179</v>
      </c>
      <c r="N8765" t="s">
        <v>45095</v>
      </c>
      <c r="O8765" t="s">
        <v>45096</v>
      </c>
      <c r="P8765">
        <v>0</v>
      </c>
      <c r="Q8765">
        <v>2</v>
      </c>
      <c r="R8765" t="s">
        <v>45104</v>
      </c>
      <c r="S8765" t="s">
        <v>45304</v>
      </c>
      <c r="T8765" t="s">
        <v>47064</v>
      </c>
      <c r="U8765" t="s">
        <v>54754</v>
      </c>
      <c r="W8765" t="s">
        <v>44179</v>
      </c>
      <c r="X8765" t="s">
        <v>45105</v>
      </c>
    </row>
    <row r="8766" spans="1:24">
      <c r="A8766">
        <f>HYPERLINK("https://www.philgeps.gov.ph/GEPSNONPILOT/Tender/SplashBidNoticeAbstractUI.aspx?menuIndex=3&amp;refID=7033736&amp;Result=3","7033736")</f>
        <v>0</v>
      </c>
      <c r="B8766" t="s">
        <v>2452</v>
      </c>
      <c r="C8766" t="s">
        <v>11553</v>
      </c>
      <c r="D8766" t="s">
        <v>18066</v>
      </c>
      <c r="E8766" t="s">
        <v>18422</v>
      </c>
      <c r="F8766" t="s">
        <v>31574</v>
      </c>
      <c r="G8766" t="s">
        <v>31582</v>
      </c>
      <c r="H8766" t="s">
        <v>31591</v>
      </c>
      <c r="I8766" t="s">
        <v>8822</v>
      </c>
      <c r="J8766" t="s">
        <v>33424</v>
      </c>
      <c r="K8766" t="s">
        <v>41191</v>
      </c>
      <c r="M8766" t="s">
        <v>44180</v>
      </c>
      <c r="N8766" t="s">
        <v>45095</v>
      </c>
      <c r="O8766" t="s">
        <v>45096</v>
      </c>
      <c r="P8766">
        <v>0</v>
      </c>
      <c r="Q8766">
        <v>0</v>
      </c>
      <c r="R8766" t="s">
        <v>45104</v>
      </c>
      <c r="S8766" t="s">
        <v>45304</v>
      </c>
      <c r="T8766" t="s">
        <v>47154</v>
      </c>
      <c r="U8766" t="s">
        <v>54755</v>
      </c>
      <c r="W8766" t="s">
        <v>44180</v>
      </c>
      <c r="X8766" t="s">
        <v>45105</v>
      </c>
    </row>
    <row r="8767" spans="1:24">
      <c r="A8767">
        <f>HYPERLINK("https://www.philgeps.gov.ph/GEPSNONPILOT/Tender/SplashBidNoticeAbstractUI.aspx?menuIndex=3&amp;refID=7033699&amp;Result=3","7033699")</f>
        <v>0</v>
      </c>
      <c r="B8767" t="s">
        <v>510</v>
      </c>
      <c r="C8767" t="s">
        <v>11554</v>
      </c>
      <c r="D8767" t="s">
        <v>18053</v>
      </c>
      <c r="E8767" t="s">
        <v>25789</v>
      </c>
      <c r="F8767" t="s">
        <v>31574</v>
      </c>
      <c r="G8767" t="s">
        <v>31582</v>
      </c>
      <c r="H8767" t="s">
        <v>31591</v>
      </c>
      <c r="I8767" t="s">
        <v>31663</v>
      </c>
      <c r="J8767" t="s">
        <v>37260</v>
      </c>
      <c r="K8767" t="s">
        <v>41200</v>
      </c>
      <c r="M8767" t="s">
        <v>42006</v>
      </c>
      <c r="N8767" t="s">
        <v>45095</v>
      </c>
      <c r="O8767" t="s">
        <v>45096</v>
      </c>
      <c r="P8767">
        <v>0</v>
      </c>
      <c r="Q8767">
        <v>4</v>
      </c>
      <c r="R8767" t="s">
        <v>45104</v>
      </c>
      <c r="S8767" t="s">
        <v>45304</v>
      </c>
      <c r="T8767" t="s">
        <v>47000</v>
      </c>
      <c r="U8767" t="s">
        <v>54756</v>
      </c>
      <c r="W8767" t="s">
        <v>42006</v>
      </c>
      <c r="X8767" t="s">
        <v>45105</v>
      </c>
    </row>
    <row r="8768" spans="1:24">
      <c r="A8768">
        <f>HYPERLINK("https://www.philgeps.gov.ph/GEPSNONPILOT/Tender/SplashBidNoticeAbstractUI.aspx?menuIndex=3&amp;refID=7033704&amp;Result=3","7033704")</f>
        <v>0</v>
      </c>
      <c r="B8768" t="s">
        <v>2453</v>
      </c>
      <c r="C8768" t="s">
        <v>11555</v>
      </c>
      <c r="D8768" t="s">
        <v>18084</v>
      </c>
      <c r="E8768" t="s">
        <v>25790</v>
      </c>
      <c r="F8768" t="s">
        <v>31574</v>
      </c>
      <c r="G8768" t="s">
        <v>31582</v>
      </c>
      <c r="H8768" t="s">
        <v>31591</v>
      </c>
      <c r="I8768" t="s">
        <v>8822</v>
      </c>
      <c r="J8768" t="s">
        <v>37261</v>
      </c>
      <c r="K8768" t="s">
        <v>41184</v>
      </c>
      <c r="M8768" t="s">
        <v>44181</v>
      </c>
      <c r="N8768" t="s">
        <v>45095</v>
      </c>
      <c r="O8768" t="s">
        <v>45096</v>
      </c>
      <c r="P8768">
        <v>0</v>
      </c>
      <c r="Q8768">
        <v>1</v>
      </c>
      <c r="R8768" t="s">
        <v>45104</v>
      </c>
      <c r="S8768" t="s">
        <v>45304</v>
      </c>
      <c r="T8768" t="s">
        <v>47058</v>
      </c>
      <c r="U8768" t="s">
        <v>54757</v>
      </c>
      <c r="W8768" t="s">
        <v>44181</v>
      </c>
      <c r="X8768" t="s">
        <v>45105</v>
      </c>
    </row>
    <row r="8769" spans="1:24">
      <c r="A8769">
        <f>HYPERLINK("https://www.philgeps.gov.ph/GEPSNONPILOT/Tender/SplashBidNoticeAbstractUI.aspx?menuIndex=3&amp;refID=7033723&amp;Result=3","7033723")</f>
        <v>0</v>
      </c>
      <c r="B8769" t="s">
        <v>290</v>
      </c>
      <c r="C8769" t="s">
        <v>11556</v>
      </c>
      <c r="D8769" t="s">
        <v>18043</v>
      </c>
      <c r="E8769" t="s">
        <v>25791</v>
      </c>
      <c r="F8769" t="s">
        <v>31574</v>
      </c>
      <c r="G8769" t="s">
        <v>31581</v>
      </c>
      <c r="H8769" t="s">
        <v>31590</v>
      </c>
      <c r="I8769" t="s">
        <v>31617</v>
      </c>
      <c r="J8769" t="s">
        <v>37262</v>
      </c>
      <c r="K8769" t="s">
        <v>41193</v>
      </c>
      <c r="M8769" t="s">
        <v>41776</v>
      </c>
      <c r="N8769" t="s">
        <v>45095</v>
      </c>
      <c r="O8769" t="s">
        <v>45096</v>
      </c>
      <c r="P8769">
        <v>0</v>
      </c>
      <c r="Q8769">
        <v>0</v>
      </c>
      <c r="R8769" t="s">
        <v>45104</v>
      </c>
      <c r="S8769" t="s">
        <v>45304</v>
      </c>
      <c r="T8769" t="s">
        <v>47159</v>
      </c>
      <c r="U8769" t="s">
        <v>48030</v>
      </c>
      <c r="W8769" t="s">
        <v>41776</v>
      </c>
      <c r="X8769" t="s">
        <v>45105</v>
      </c>
    </row>
    <row r="8770" spans="1:24">
      <c r="A8770">
        <f>HYPERLINK("https://www.philgeps.gov.ph/GEPSNONPILOT/Tender/SplashBidNoticeAbstractUI.aspx?menuIndex=3&amp;refID=7033735&amp;Result=3","7033735")</f>
        <v>0</v>
      </c>
      <c r="B8770" t="s">
        <v>1443</v>
      </c>
      <c r="C8770" t="s">
        <v>11557</v>
      </c>
      <c r="D8770" t="s">
        <v>18074</v>
      </c>
      <c r="E8770" t="s">
        <v>25792</v>
      </c>
      <c r="F8770" t="s">
        <v>31574</v>
      </c>
      <c r="G8770" t="s">
        <v>31582</v>
      </c>
      <c r="H8770" t="s">
        <v>31591</v>
      </c>
      <c r="I8770" t="s">
        <v>8822</v>
      </c>
      <c r="J8770" t="s">
        <v>37263</v>
      </c>
      <c r="K8770" t="s">
        <v>41198</v>
      </c>
      <c r="M8770" t="s">
        <v>43523</v>
      </c>
      <c r="N8770" t="s">
        <v>45095</v>
      </c>
      <c r="O8770" t="s">
        <v>45096</v>
      </c>
      <c r="P8770">
        <v>0</v>
      </c>
      <c r="Q8770">
        <v>0</v>
      </c>
      <c r="R8770" t="s">
        <v>45104</v>
      </c>
      <c r="S8770" t="s">
        <v>45304</v>
      </c>
      <c r="T8770" t="s">
        <v>47239</v>
      </c>
      <c r="U8770" t="s">
        <v>54758</v>
      </c>
      <c r="V8770" t="s">
        <v>60477</v>
      </c>
      <c r="W8770" t="s">
        <v>43523</v>
      </c>
      <c r="X8770" t="s">
        <v>45105</v>
      </c>
    </row>
    <row r="8771" spans="1:24">
      <c r="A8771">
        <f>HYPERLINK("https://www.philgeps.gov.ph/GEPSNONPILOT/Tender/SplashBidNoticeAbstractUI.aspx?menuIndex=3&amp;refID=7033726&amp;Result=3","7033726")</f>
        <v>0</v>
      </c>
      <c r="B8771" t="s">
        <v>249</v>
      </c>
      <c r="C8771" t="s">
        <v>11558</v>
      </c>
      <c r="D8771" t="s">
        <v>18039</v>
      </c>
      <c r="E8771" t="s">
        <v>20021</v>
      </c>
      <c r="F8771" t="s">
        <v>31574</v>
      </c>
      <c r="G8771" t="s">
        <v>31582</v>
      </c>
      <c r="H8771" t="s">
        <v>31590</v>
      </c>
      <c r="I8771" t="s">
        <v>31631</v>
      </c>
      <c r="J8771" t="s">
        <v>37264</v>
      </c>
      <c r="K8771" t="s">
        <v>41229</v>
      </c>
      <c r="M8771" t="s">
        <v>44182</v>
      </c>
      <c r="N8771" t="s">
        <v>45095</v>
      </c>
      <c r="O8771" t="s">
        <v>45096</v>
      </c>
      <c r="P8771">
        <v>0</v>
      </c>
      <c r="Q8771">
        <v>1</v>
      </c>
      <c r="R8771" t="s">
        <v>45104</v>
      </c>
      <c r="S8771" t="s">
        <v>45304</v>
      </c>
      <c r="T8771" t="s">
        <v>47263</v>
      </c>
      <c r="U8771" t="s">
        <v>54759</v>
      </c>
      <c r="V8771" t="s">
        <v>58996</v>
      </c>
      <c r="W8771" t="s">
        <v>44182</v>
      </c>
      <c r="X8771" t="s">
        <v>45105</v>
      </c>
    </row>
    <row r="8772" spans="1:24">
      <c r="A8772">
        <f>HYPERLINK("https://www.philgeps.gov.ph/GEPSNONPILOT/Tender/SplashBidNoticeAbstractUI.aspx?menuIndex=3&amp;refID=7033715&amp;Result=3","7033715")</f>
        <v>0</v>
      </c>
      <c r="B8772" t="s">
        <v>1443</v>
      </c>
      <c r="C8772" t="s">
        <v>11559</v>
      </c>
      <c r="D8772" t="s">
        <v>18074</v>
      </c>
      <c r="E8772" t="s">
        <v>25793</v>
      </c>
      <c r="F8772" t="s">
        <v>31574</v>
      </c>
      <c r="G8772" t="s">
        <v>31582</v>
      </c>
      <c r="H8772" t="s">
        <v>31591</v>
      </c>
      <c r="I8772" t="s">
        <v>8822</v>
      </c>
      <c r="J8772" t="s">
        <v>37265</v>
      </c>
      <c r="K8772" t="s">
        <v>41284</v>
      </c>
      <c r="M8772" t="s">
        <v>43523</v>
      </c>
      <c r="N8772" t="s">
        <v>45095</v>
      </c>
      <c r="O8772" t="s">
        <v>45096</v>
      </c>
      <c r="P8772">
        <v>0</v>
      </c>
      <c r="Q8772">
        <v>0</v>
      </c>
      <c r="R8772" t="s">
        <v>45104</v>
      </c>
      <c r="S8772" t="s">
        <v>45304</v>
      </c>
      <c r="T8772" t="s">
        <v>47239</v>
      </c>
      <c r="U8772" t="s">
        <v>54760</v>
      </c>
      <c r="V8772" t="s">
        <v>60477</v>
      </c>
      <c r="W8772" t="s">
        <v>43523</v>
      </c>
      <c r="X8772" t="s">
        <v>45105</v>
      </c>
    </row>
    <row r="8773" spans="1:24">
      <c r="A8773">
        <f>HYPERLINK("https://www.philgeps.gov.ph/GEPSNONPILOT/Tender/SplashBidNoticeAbstractUI.aspx?menuIndex=3&amp;refID=7033741&amp;Result=3","7033741")</f>
        <v>0</v>
      </c>
      <c r="B8773" t="s">
        <v>290</v>
      </c>
      <c r="C8773" t="s">
        <v>11560</v>
      </c>
      <c r="D8773" t="s">
        <v>18043</v>
      </c>
      <c r="E8773" t="s">
        <v>25794</v>
      </c>
      <c r="F8773" t="s">
        <v>31574</v>
      </c>
      <c r="G8773" t="s">
        <v>31581</v>
      </c>
      <c r="H8773" t="s">
        <v>31590</v>
      </c>
      <c r="I8773" t="s">
        <v>31602</v>
      </c>
      <c r="J8773" t="s">
        <v>31726</v>
      </c>
      <c r="K8773" t="s">
        <v>41193</v>
      </c>
      <c r="M8773" t="s">
        <v>41776</v>
      </c>
      <c r="N8773" t="s">
        <v>45095</v>
      </c>
      <c r="O8773" t="s">
        <v>45096</v>
      </c>
      <c r="P8773">
        <v>0</v>
      </c>
      <c r="Q8773">
        <v>0</v>
      </c>
      <c r="R8773" t="s">
        <v>45104</v>
      </c>
      <c r="S8773" t="s">
        <v>45304</v>
      </c>
      <c r="T8773" t="s">
        <v>47159</v>
      </c>
      <c r="U8773" t="s">
        <v>48030</v>
      </c>
      <c r="W8773" t="s">
        <v>41776</v>
      </c>
      <c r="X8773" t="s">
        <v>45105</v>
      </c>
    </row>
    <row r="8774" spans="1:24">
      <c r="A8774">
        <f>HYPERLINK("https://www.philgeps.gov.ph/GEPSNONPILOT/Tender/SplashBidNoticeAbstractUI.aspx?menuIndex=3&amp;refID=7033720&amp;Result=3","7033720")</f>
        <v>0</v>
      </c>
      <c r="B8774" t="s">
        <v>247</v>
      </c>
      <c r="C8774" t="s">
        <v>11561</v>
      </c>
      <c r="D8774" t="s">
        <v>18072</v>
      </c>
      <c r="E8774" t="s">
        <v>25795</v>
      </c>
      <c r="F8774" t="s">
        <v>31575</v>
      </c>
      <c r="G8774" t="s">
        <v>31583</v>
      </c>
      <c r="H8774" t="s">
        <v>31590</v>
      </c>
      <c r="I8774" t="s">
        <v>7185</v>
      </c>
      <c r="J8774" t="s">
        <v>37266</v>
      </c>
      <c r="K8774" t="s">
        <v>41190</v>
      </c>
      <c r="M8774" t="s">
        <v>41733</v>
      </c>
      <c r="N8774" t="s">
        <v>45095</v>
      </c>
      <c r="O8774" t="s">
        <v>45096</v>
      </c>
      <c r="P8774">
        <v>0</v>
      </c>
      <c r="Q8774">
        <v>1</v>
      </c>
      <c r="R8774" t="s">
        <v>45104</v>
      </c>
      <c r="S8774" t="s">
        <v>45304</v>
      </c>
      <c r="T8774" t="s">
        <v>46926</v>
      </c>
      <c r="U8774" t="s">
        <v>54761</v>
      </c>
      <c r="W8774" t="s">
        <v>41733</v>
      </c>
      <c r="X8774" t="s">
        <v>45105</v>
      </c>
    </row>
    <row r="8775" spans="1:24">
      <c r="A8775">
        <f>HYPERLINK("https://www.philgeps.gov.ph/GEPSNONPILOT/Tender/SplashBidNoticeAbstractUI.aspx?menuIndex=3&amp;refID=7033729&amp;Result=3","7033729")</f>
        <v>0</v>
      </c>
      <c r="B8775" t="s">
        <v>1338</v>
      </c>
      <c r="C8775" t="s">
        <v>11562</v>
      </c>
      <c r="D8775" t="s">
        <v>18043</v>
      </c>
      <c r="E8775" t="s">
        <v>25796</v>
      </c>
      <c r="F8775" t="s">
        <v>31574</v>
      </c>
      <c r="G8775" t="s">
        <v>31584</v>
      </c>
      <c r="H8775" t="s">
        <v>31590</v>
      </c>
      <c r="I8775" t="s">
        <v>31594</v>
      </c>
      <c r="J8775" t="s">
        <v>31927</v>
      </c>
      <c r="K8775" t="s">
        <v>41186</v>
      </c>
      <c r="M8775" t="s">
        <v>42910</v>
      </c>
      <c r="N8775" t="s">
        <v>45095</v>
      </c>
      <c r="O8775" t="s">
        <v>45096</v>
      </c>
      <c r="P8775">
        <v>0</v>
      </c>
      <c r="Q8775">
        <v>2</v>
      </c>
      <c r="R8775" t="s">
        <v>45104</v>
      </c>
      <c r="S8775" t="s">
        <v>45304</v>
      </c>
      <c r="T8775" t="s">
        <v>47164</v>
      </c>
      <c r="U8775" t="s">
        <v>54762</v>
      </c>
      <c r="V8775" t="s">
        <v>60224</v>
      </c>
      <c r="W8775" t="s">
        <v>42910</v>
      </c>
      <c r="X8775" t="s">
        <v>45105</v>
      </c>
    </row>
    <row r="8776" spans="1:24">
      <c r="A8776">
        <f>HYPERLINK("https://www.philgeps.gov.ph/GEPSNONPILOT/Tender/SplashBidNoticeAbstractUI.aspx?menuIndex=3&amp;refID=7033730&amp;Result=3","7033730")</f>
        <v>0</v>
      </c>
      <c r="B8776" t="s">
        <v>290</v>
      </c>
      <c r="C8776" t="s">
        <v>11563</v>
      </c>
      <c r="D8776" t="s">
        <v>18043</v>
      </c>
      <c r="E8776" t="s">
        <v>25797</v>
      </c>
      <c r="F8776" t="s">
        <v>31574</v>
      </c>
      <c r="G8776" t="s">
        <v>31581</v>
      </c>
      <c r="H8776" t="s">
        <v>31590</v>
      </c>
      <c r="I8776" t="s">
        <v>31617</v>
      </c>
      <c r="J8776" t="s">
        <v>37262</v>
      </c>
      <c r="K8776" t="s">
        <v>41193</v>
      </c>
      <c r="M8776" t="s">
        <v>41776</v>
      </c>
      <c r="N8776" t="s">
        <v>45095</v>
      </c>
      <c r="O8776" t="s">
        <v>45096</v>
      </c>
      <c r="P8776">
        <v>0</v>
      </c>
      <c r="Q8776">
        <v>0</v>
      </c>
      <c r="R8776" t="s">
        <v>45104</v>
      </c>
      <c r="S8776" t="s">
        <v>45304</v>
      </c>
      <c r="T8776" t="s">
        <v>47159</v>
      </c>
      <c r="U8776" t="s">
        <v>48030</v>
      </c>
      <c r="W8776" t="s">
        <v>41776</v>
      </c>
      <c r="X8776" t="s">
        <v>45105</v>
      </c>
    </row>
    <row r="8777" spans="1:24">
      <c r="A8777">
        <f>HYPERLINK("https://www.philgeps.gov.ph/GEPSNONPILOT/Tender/SplashBidNoticeAbstractUI.aspx?menuIndex=3&amp;refID=7033747&amp;Result=3","7033747")</f>
        <v>0</v>
      </c>
      <c r="B8777" t="s">
        <v>2454</v>
      </c>
      <c r="C8777" t="s">
        <v>11564</v>
      </c>
      <c r="D8777" t="s">
        <v>18094</v>
      </c>
      <c r="E8777" t="s">
        <v>25798</v>
      </c>
      <c r="F8777" t="s">
        <v>31574</v>
      </c>
      <c r="G8777" t="s">
        <v>31585</v>
      </c>
      <c r="H8777" t="s">
        <v>31590</v>
      </c>
      <c r="I8777" t="s">
        <v>4046</v>
      </c>
      <c r="J8777" t="s">
        <v>37267</v>
      </c>
      <c r="K8777" t="s">
        <v>41265</v>
      </c>
      <c r="M8777" t="s">
        <v>44183</v>
      </c>
      <c r="N8777" t="s">
        <v>45095</v>
      </c>
      <c r="O8777" t="s">
        <v>45096</v>
      </c>
      <c r="P8777">
        <v>0</v>
      </c>
      <c r="Q8777">
        <v>0</v>
      </c>
      <c r="R8777" t="s">
        <v>45104</v>
      </c>
      <c r="S8777" t="s">
        <v>45304</v>
      </c>
      <c r="T8777" t="s">
        <v>47206</v>
      </c>
      <c r="U8777" t="s">
        <v>54763</v>
      </c>
      <c r="V8777" t="s">
        <v>60761</v>
      </c>
      <c r="W8777" t="s">
        <v>44183</v>
      </c>
      <c r="X8777" t="s">
        <v>45105</v>
      </c>
    </row>
    <row r="8778" spans="1:24">
      <c r="A8778">
        <f>HYPERLINK("https://www.philgeps.gov.ph/GEPSNONPILOT/Tender/SplashBidNoticeAbstractUI.aspx?menuIndex=3&amp;refID=7033742&amp;Result=3","7033742")</f>
        <v>0</v>
      </c>
      <c r="B8778" t="s">
        <v>1014</v>
      </c>
      <c r="C8778" t="s">
        <v>11565</v>
      </c>
      <c r="D8778" t="s">
        <v>18059</v>
      </c>
      <c r="E8778" t="s">
        <v>25799</v>
      </c>
      <c r="F8778" t="s">
        <v>31574</v>
      </c>
      <c r="G8778" t="s">
        <v>31585</v>
      </c>
      <c r="H8778" t="s">
        <v>31591</v>
      </c>
      <c r="I8778" t="s">
        <v>31623</v>
      </c>
      <c r="J8778" t="s">
        <v>37268</v>
      </c>
      <c r="K8778" t="s">
        <v>41202</v>
      </c>
      <c r="M8778" t="s">
        <v>42555</v>
      </c>
      <c r="N8778" t="s">
        <v>45095</v>
      </c>
      <c r="O8778" t="s">
        <v>45096</v>
      </c>
      <c r="P8778">
        <v>0</v>
      </c>
      <c r="Q8778">
        <v>1</v>
      </c>
      <c r="R8778" t="s">
        <v>45104</v>
      </c>
      <c r="S8778" t="s">
        <v>45304</v>
      </c>
      <c r="T8778" t="s">
        <v>46977</v>
      </c>
      <c r="U8778" t="s">
        <v>54764</v>
      </c>
      <c r="W8778" t="s">
        <v>42555</v>
      </c>
      <c r="X8778" t="s">
        <v>45105</v>
      </c>
    </row>
    <row r="8779" spans="1:24">
      <c r="A8779">
        <f>HYPERLINK("https://www.philgeps.gov.ph/GEPSNONPILOT/Tender/SplashBidNoticeAbstractUI.aspx?menuIndex=3&amp;refID=7033749&amp;Result=3","7033749")</f>
        <v>0</v>
      </c>
      <c r="B8779" t="s">
        <v>1449</v>
      </c>
      <c r="C8779" t="s">
        <v>11566</v>
      </c>
      <c r="D8779" t="s">
        <v>18088</v>
      </c>
      <c r="E8779" t="s">
        <v>25800</v>
      </c>
      <c r="F8779" t="s">
        <v>31574</v>
      </c>
      <c r="G8779" t="s">
        <v>31582</v>
      </c>
      <c r="H8779" t="s">
        <v>31591</v>
      </c>
      <c r="I8779" t="s">
        <v>8822</v>
      </c>
      <c r="J8779" t="s">
        <v>37269</v>
      </c>
      <c r="K8779" t="s">
        <v>41335</v>
      </c>
      <c r="M8779" t="s">
        <v>43028</v>
      </c>
      <c r="N8779" t="s">
        <v>45095</v>
      </c>
      <c r="O8779" t="s">
        <v>45096</v>
      </c>
      <c r="P8779">
        <v>0</v>
      </c>
      <c r="Q8779">
        <v>1</v>
      </c>
      <c r="R8779" t="s">
        <v>45104</v>
      </c>
      <c r="S8779" t="s">
        <v>45304</v>
      </c>
      <c r="T8779" t="s">
        <v>46941</v>
      </c>
      <c r="U8779" t="s">
        <v>54765</v>
      </c>
      <c r="V8779" t="s">
        <v>60272</v>
      </c>
      <c r="W8779" t="s">
        <v>43028</v>
      </c>
      <c r="X8779" t="s">
        <v>45105</v>
      </c>
    </row>
    <row r="8780" spans="1:24">
      <c r="A8780">
        <f>HYPERLINK("https://www.philgeps.gov.ph/GEPSNONPILOT/Tender/SplashBidNoticeAbstractUI.aspx?menuIndex=3&amp;refID=7033750&amp;Result=3","7033750")</f>
        <v>0</v>
      </c>
      <c r="B8780" t="s">
        <v>1029</v>
      </c>
      <c r="C8780" t="s">
        <v>11567</v>
      </c>
      <c r="E8780" t="s">
        <v>25801</v>
      </c>
      <c r="F8780" t="s">
        <v>31574</v>
      </c>
      <c r="G8780" t="s">
        <v>31581</v>
      </c>
      <c r="H8780" t="s">
        <v>31590</v>
      </c>
      <c r="I8780" t="s">
        <v>8569</v>
      </c>
      <c r="J8780" t="s">
        <v>37270</v>
      </c>
      <c r="K8780" t="s">
        <v>41184</v>
      </c>
      <c r="M8780" t="s">
        <v>43982</v>
      </c>
      <c r="N8780" t="s">
        <v>45095</v>
      </c>
      <c r="O8780" t="s">
        <v>45096</v>
      </c>
      <c r="P8780">
        <v>0</v>
      </c>
      <c r="Q8780">
        <v>1</v>
      </c>
      <c r="R8780" t="s">
        <v>45104</v>
      </c>
      <c r="S8780" t="s">
        <v>45304</v>
      </c>
      <c r="T8780" t="s">
        <v>47092</v>
      </c>
      <c r="U8780" t="s">
        <v>54017</v>
      </c>
      <c r="W8780" t="s">
        <v>43982</v>
      </c>
      <c r="X8780" t="s">
        <v>45105</v>
      </c>
    </row>
    <row r="8781" spans="1:24">
      <c r="A8781">
        <f>HYPERLINK("https://www.philgeps.gov.ph/GEPSNONPILOT/Tender/SplashBidNoticeAbstractUI.aspx?menuIndex=3&amp;refID=7033788&amp;Result=3","7033788")</f>
        <v>0</v>
      </c>
      <c r="B8781" t="s">
        <v>2455</v>
      </c>
      <c r="C8781" t="s">
        <v>11568</v>
      </c>
      <c r="E8781" t="s">
        <v>25802</v>
      </c>
      <c r="F8781" t="s">
        <v>31574</v>
      </c>
      <c r="G8781" t="s">
        <v>31582</v>
      </c>
      <c r="H8781" t="s">
        <v>31590</v>
      </c>
      <c r="I8781" t="s">
        <v>4046</v>
      </c>
      <c r="J8781" t="s">
        <v>37271</v>
      </c>
      <c r="K8781" t="s">
        <v>41186</v>
      </c>
      <c r="M8781" t="s">
        <v>44184</v>
      </c>
      <c r="N8781" t="s">
        <v>45095</v>
      </c>
      <c r="O8781" t="s">
        <v>45096</v>
      </c>
      <c r="P8781">
        <v>0</v>
      </c>
      <c r="Q8781">
        <v>0</v>
      </c>
      <c r="R8781" t="s">
        <v>45104</v>
      </c>
      <c r="S8781" t="s">
        <v>45304</v>
      </c>
      <c r="T8781" t="s">
        <v>46965</v>
      </c>
      <c r="U8781" t="s">
        <v>51835</v>
      </c>
      <c r="W8781" t="s">
        <v>44184</v>
      </c>
      <c r="X8781" t="s">
        <v>45105</v>
      </c>
    </row>
    <row r="8782" spans="1:24">
      <c r="A8782">
        <f>HYPERLINK("https://www.philgeps.gov.ph/GEPSNONPILOT/Tender/SplashBidNoticeAbstractUI.aspx?menuIndex=3&amp;refID=7033746&amp;Result=3","7033746")</f>
        <v>0</v>
      </c>
      <c r="B8782" t="s">
        <v>779</v>
      </c>
      <c r="C8782" t="s">
        <v>11569</v>
      </c>
      <c r="D8782" t="s">
        <v>18081</v>
      </c>
      <c r="E8782" t="s">
        <v>25803</v>
      </c>
      <c r="F8782" t="s">
        <v>31574</v>
      </c>
      <c r="G8782" t="s">
        <v>31582</v>
      </c>
      <c r="H8782" t="s">
        <v>31590</v>
      </c>
      <c r="I8782" t="s">
        <v>31602</v>
      </c>
      <c r="J8782" t="s">
        <v>37272</v>
      </c>
      <c r="K8782" t="s">
        <v>41200</v>
      </c>
      <c r="L8782" t="s">
        <v>779</v>
      </c>
      <c r="M8782" t="s">
        <v>42293</v>
      </c>
      <c r="N8782" t="s">
        <v>45095</v>
      </c>
      <c r="O8782" t="s">
        <v>45096</v>
      </c>
      <c r="P8782">
        <v>0</v>
      </c>
      <c r="Q8782">
        <v>0</v>
      </c>
      <c r="R8782" t="s">
        <v>45104</v>
      </c>
      <c r="S8782" t="s">
        <v>45304</v>
      </c>
      <c r="T8782" t="s">
        <v>47266</v>
      </c>
      <c r="U8782" t="s">
        <v>54766</v>
      </c>
      <c r="V8782" t="s">
        <v>60755</v>
      </c>
      <c r="W8782" t="s">
        <v>42293</v>
      </c>
      <c r="X8782" t="s">
        <v>45105</v>
      </c>
    </row>
    <row r="8783" spans="1:24">
      <c r="A8783">
        <f>HYPERLINK("https://www.philgeps.gov.ph/GEPSNONPILOT/Tender/SplashBidNoticeAbstractUI.aspx?menuIndex=3&amp;refID=7033772&amp;Result=3","7033772")</f>
        <v>0</v>
      </c>
      <c r="B8783" t="s">
        <v>2432</v>
      </c>
      <c r="C8783" t="s">
        <v>11570</v>
      </c>
      <c r="D8783" t="s">
        <v>18043</v>
      </c>
      <c r="E8783" t="s">
        <v>21096</v>
      </c>
      <c r="F8783" t="s">
        <v>31574</v>
      </c>
      <c r="G8783" t="s">
        <v>31582</v>
      </c>
      <c r="H8783" t="s">
        <v>31590</v>
      </c>
      <c r="I8783" t="s">
        <v>4046</v>
      </c>
      <c r="J8783" t="s">
        <v>37273</v>
      </c>
      <c r="K8783" t="s">
        <v>41190</v>
      </c>
      <c r="M8783" t="s">
        <v>44159</v>
      </c>
      <c r="N8783" t="s">
        <v>45095</v>
      </c>
      <c r="O8783" t="s">
        <v>45096</v>
      </c>
      <c r="P8783">
        <v>0</v>
      </c>
      <c r="Q8783">
        <v>0</v>
      </c>
      <c r="R8783" t="s">
        <v>45104</v>
      </c>
      <c r="S8783" t="s">
        <v>45304</v>
      </c>
      <c r="T8783" t="s">
        <v>46992</v>
      </c>
      <c r="U8783" t="s">
        <v>54767</v>
      </c>
      <c r="V8783" t="s">
        <v>60762</v>
      </c>
      <c r="W8783" t="s">
        <v>44159</v>
      </c>
      <c r="X8783" t="s">
        <v>45105</v>
      </c>
    </row>
    <row r="8784" spans="1:24">
      <c r="A8784">
        <f>HYPERLINK("https://www.philgeps.gov.ph/GEPSNONPILOT/Tender/SplashBidNoticeAbstractUI.aspx?menuIndex=3&amp;refID=7033787&amp;Result=3","7033787")</f>
        <v>0</v>
      </c>
      <c r="B8784" t="s">
        <v>2456</v>
      </c>
      <c r="C8784" t="s">
        <v>6703</v>
      </c>
      <c r="D8784" t="s">
        <v>18064</v>
      </c>
      <c r="E8784" t="s">
        <v>25804</v>
      </c>
      <c r="F8784" t="s">
        <v>31574</v>
      </c>
      <c r="G8784" t="s">
        <v>31582</v>
      </c>
      <c r="H8784" t="s">
        <v>31591</v>
      </c>
      <c r="I8784" t="s">
        <v>8822</v>
      </c>
      <c r="J8784" t="s">
        <v>32849</v>
      </c>
      <c r="K8784" t="s">
        <v>41238</v>
      </c>
      <c r="M8784" t="s">
        <v>44185</v>
      </c>
      <c r="N8784" t="s">
        <v>45095</v>
      </c>
      <c r="O8784" t="s">
        <v>45096</v>
      </c>
      <c r="P8784">
        <v>0</v>
      </c>
      <c r="Q8784">
        <v>0</v>
      </c>
      <c r="R8784" t="s">
        <v>45104</v>
      </c>
      <c r="S8784" t="s">
        <v>45304</v>
      </c>
      <c r="T8784" t="s">
        <v>47159</v>
      </c>
      <c r="U8784" t="s">
        <v>54768</v>
      </c>
      <c r="W8784" t="s">
        <v>44185</v>
      </c>
      <c r="X8784" t="s">
        <v>45105</v>
      </c>
    </row>
    <row r="8785" spans="1:24">
      <c r="A8785">
        <f>HYPERLINK("https://www.philgeps.gov.ph/GEPSNONPILOT/Tender/SplashBidNoticeAbstractUI.aspx?menuIndex=3&amp;refID=7033769&amp;Result=3","7033769")</f>
        <v>0</v>
      </c>
      <c r="B8785" t="s">
        <v>2457</v>
      </c>
      <c r="C8785" t="s">
        <v>11571</v>
      </c>
      <c r="D8785" t="s">
        <v>18093</v>
      </c>
      <c r="E8785" t="s">
        <v>25805</v>
      </c>
      <c r="F8785" t="s">
        <v>31574</v>
      </c>
      <c r="G8785" t="s">
        <v>31582</v>
      </c>
      <c r="H8785" t="s">
        <v>31591</v>
      </c>
      <c r="I8785" t="s">
        <v>8822</v>
      </c>
      <c r="J8785" t="s">
        <v>31819</v>
      </c>
      <c r="K8785" t="s">
        <v>41243</v>
      </c>
      <c r="L8785" t="s">
        <v>2457</v>
      </c>
      <c r="M8785" t="s">
        <v>44186</v>
      </c>
      <c r="N8785" t="s">
        <v>45095</v>
      </c>
      <c r="O8785" t="s">
        <v>45096</v>
      </c>
      <c r="P8785">
        <v>0</v>
      </c>
      <c r="Q8785">
        <v>1</v>
      </c>
      <c r="R8785" t="s">
        <v>45104</v>
      </c>
      <c r="S8785" t="s">
        <v>45304</v>
      </c>
      <c r="T8785" t="s">
        <v>47000</v>
      </c>
      <c r="U8785" t="s">
        <v>54769</v>
      </c>
      <c r="V8785" t="s">
        <v>60763</v>
      </c>
      <c r="W8785" t="s">
        <v>44186</v>
      </c>
      <c r="X8785" t="s">
        <v>45105</v>
      </c>
    </row>
    <row r="8786" spans="1:24">
      <c r="A8786">
        <f>HYPERLINK("https://www.philgeps.gov.ph/GEPSNONPILOT/Tender/SplashBidNoticeAbstractUI.aspx?menuIndex=3&amp;refID=7033754&amp;Result=3","7033754")</f>
        <v>0</v>
      </c>
      <c r="B8786" t="s">
        <v>290</v>
      </c>
      <c r="C8786" t="s">
        <v>11572</v>
      </c>
      <c r="D8786" t="s">
        <v>18043</v>
      </c>
      <c r="E8786" t="s">
        <v>25806</v>
      </c>
      <c r="F8786" t="s">
        <v>31574</v>
      </c>
      <c r="G8786" t="s">
        <v>31581</v>
      </c>
      <c r="H8786" t="s">
        <v>31590</v>
      </c>
      <c r="I8786" t="s">
        <v>3539</v>
      </c>
      <c r="J8786" t="s">
        <v>37274</v>
      </c>
      <c r="K8786" t="s">
        <v>41193</v>
      </c>
      <c r="M8786" t="s">
        <v>41776</v>
      </c>
      <c r="N8786" t="s">
        <v>45095</v>
      </c>
      <c r="O8786" t="s">
        <v>45096</v>
      </c>
      <c r="P8786">
        <v>0</v>
      </c>
      <c r="Q8786">
        <v>0</v>
      </c>
      <c r="R8786" t="s">
        <v>45104</v>
      </c>
      <c r="S8786" t="s">
        <v>45304</v>
      </c>
      <c r="T8786" t="s">
        <v>47159</v>
      </c>
      <c r="U8786" t="s">
        <v>48030</v>
      </c>
      <c r="W8786" t="s">
        <v>41776</v>
      </c>
      <c r="X8786" t="s">
        <v>45105</v>
      </c>
    </row>
    <row r="8787" spans="1:24">
      <c r="A8787">
        <f>HYPERLINK("https://www.philgeps.gov.ph/GEPSNONPILOT/Tender/SplashBidNoticeAbstractUI.aspx?menuIndex=3&amp;refID=7033713&amp;Result=3","7033713")</f>
        <v>0</v>
      </c>
      <c r="B8787" t="s">
        <v>1338</v>
      </c>
      <c r="C8787" t="s">
        <v>11573</v>
      </c>
      <c r="D8787" t="s">
        <v>18043</v>
      </c>
      <c r="E8787" t="s">
        <v>25807</v>
      </c>
      <c r="F8787" t="s">
        <v>31574</v>
      </c>
      <c r="G8787" t="s">
        <v>31584</v>
      </c>
      <c r="H8787" t="s">
        <v>31590</v>
      </c>
      <c r="I8787" t="s">
        <v>31612</v>
      </c>
      <c r="J8787" t="s">
        <v>31935</v>
      </c>
      <c r="K8787" t="s">
        <v>41186</v>
      </c>
      <c r="M8787" t="s">
        <v>42910</v>
      </c>
      <c r="N8787" t="s">
        <v>45095</v>
      </c>
      <c r="O8787" t="s">
        <v>45096</v>
      </c>
      <c r="P8787">
        <v>0</v>
      </c>
      <c r="Q8787">
        <v>4</v>
      </c>
      <c r="R8787" t="s">
        <v>45104</v>
      </c>
      <c r="S8787" t="s">
        <v>45304</v>
      </c>
      <c r="T8787" t="s">
        <v>47164</v>
      </c>
      <c r="U8787" t="s">
        <v>54770</v>
      </c>
      <c r="V8787" t="s">
        <v>60224</v>
      </c>
      <c r="W8787" t="s">
        <v>42910</v>
      </c>
      <c r="X8787" t="s">
        <v>45105</v>
      </c>
    </row>
    <row r="8788" spans="1:24">
      <c r="A8788">
        <f>HYPERLINK("https://www.philgeps.gov.ph/GEPSNONPILOT/Tender/SplashBidNoticeAbstractUI.aspx?menuIndex=3&amp;refID=7033780&amp;Result=3","7033780")</f>
        <v>0</v>
      </c>
      <c r="B8788" t="s">
        <v>2427</v>
      </c>
      <c r="C8788" t="s">
        <v>11574</v>
      </c>
      <c r="D8788" t="s">
        <v>18052</v>
      </c>
      <c r="E8788" t="s">
        <v>25808</v>
      </c>
      <c r="F8788" t="s">
        <v>31574</v>
      </c>
      <c r="G8788" t="s">
        <v>31581</v>
      </c>
      <c r="H8788" t="s">
        <v>31590</v>
      </c>
      <c r="I8788" t="s">
        <v>31605</v>
      </c>
      <c r="J8788" t="s">
        <v>32290</v>
      </c>
      <c r="K8788" t="s">
        <v>41186</v>
      </c>
      <c r="M8788" t="s">
        <v>44154</v>
      </c>
      <c r="N8788" t="s">
        <v>45095</v>
      </c>
      <c r="O8788" t="s">
        <v>45096</v>
      </c>
      <c r="P8788">
        <v>0</v>
      </c>
      <c r="Q8788">
        <v>1</v>
      </c>
      <c r="R8788" t="s">
        <v>45104</v>
      </c>
      <c r="S8788" t="s">
        <v>45304</v>
      </c>
      <c r="T8788" t="s">
        <v>47154</v>
      </c>
      <c r="U8788" t="s">
        <v>54681</v>
      </c>
      <c r="V8788" t="s">
        <v>60748</v>
      </c>
      <c r="W8788" t="s">
        <v>44154</v>
      </c>
      <c r="X8788" t="s">
        <v>45105</v>
      </c>
    </row>
    <row r="8789" spans="1:24">
      <c r="A8789">
        <f>HYPERLINK("https://www.philgeps.gov.ph/GEPSNONPILOT/Tender/SplashBidNoticeAbstractUI.aspx?menuIndex=3&amp;refID=7033752&amp;Result=3","7033752")</f>
        <v>0</v>
      </c>
      <c r="B8789" t="s">
        <v>951</v>
      </c>
      <c r="C8789" t="s">
        <v>11575</v>
      </c>
      <c r="D8789" t="s">
        <v>18074</v>
      </c>
      <c r="E8789" t="s">
        <v>25809</v>
      </c>
      <c r="F8789" t="s">
        <v>31574</v>
      </c>
      <c r="G8789" t="s">
        <v>31582</v>
      </c>
      <c r="H8789" t="s">
        <v>31590</v>
      </c>
      <c r="I8789" t="s">
        <v>14544</v>
      </c>
      <c r="J8789" t="s">
        <v>37275</v>
      </c>
      <c r="K8789" t="s">
        <v>41190</v>
      </c>
      <c r="M8789" t="s">
        <v>42478</v>
      </c>
      <c r="N8789" t="s">
        <v>45095</v>
      </c>
      <c r="O8789" t="s">
        <v>45096</v>
      </c>
      <c r="P8789">
        <v>0</v>
      </c>
      <c r="Q8789">
        <v>0</v>
      </c>
      <c r="R8789" t="s">
        <v>45104</v>
      </c>
      <c r="S8789" t="s">
        <v>45304</v>
      </c>
      <c r="T8789" t="s">
        <v>47158</v>
      </c>
      <c r="U8789" t="s">
        <v>54771</v>
      </c>
      <c r="V8789" t="s">
        <v>60083</v>
      </c>
      <c r="W8789" t="s">
        <v>42478</v>
      </c>
      <c r="X8789" t="s">
        <v>45105</v>
      </c>
    </row>
    <row r="8790" spans="1:24">
      <c r="A8790">
        <f>HYPERLINK("https://www.philgeps.gov.ph/GEPSNONPILOT/Tender/SplashBidNoticeAbstractUI.aspx?menuIndex=3&amp;refID=7033764&amp;Result=3","7033764")</f>
        <v>0</v>
      </c>
      <c r="B8790" t="s">
        <v>2211</v>
      </c>
      <c r="C8790" t="s">
        <v>11576</v>
      </c>
      <c r="D8790" t="s">
        <v>18034</v>
      </c>
      <c r="E8790" t="s">
        <v>25810</v>
      </c>
      <c r="F8790" t="s">
        <v>31574</v>
      </c>
      <c r="G8790" t="s">
        <v>31582</v>
      </c>
      <c r="H8790" t="s">
        <v>31591</v>
      </c>
      <c r="I8790" t="s">
        <v>8822</v>
      </c>
      <c r="J8790" t="s">
        <v>37276</v>
      </c>
      <c r="K8790" t="s">
        <v>41191</v>
      </c>
      <c r="M8790" t="s">
        <v>43901</v>
      </c>
      <c r="N8790" t="s">
        <v>45095</v>
      </c>
      <c r="O8790" t="s">
        <v>45096</v>
      </c>
      <c r="P8790">
        <v>0</v>
      </c>
      <c r="Q8790">
        <v>0</v>
      </c>
      <c r="R8790" t="s">
        <v>45104</v>
      </c>
      <c r="S8790" t="s">
        <v>45304</v>
      </c>
      <c r="T8790" t="s">
        <v>46985</v>
      </c>
      <c r="U8790" t="s">
        <v>53698</v>
      </c>
      <c r="W8790" t="s">
        <v>43901</v>
      </c>
      <c r="X8790" t="s">
        <v>45105</v>
      </c>
    </row>
    <row r="8791" spans="1:24">
      <c r="A8791">
        <f>HYPERLINK("https://www.philgeps.gov.ph/GEPSNONPILOT/Tender/SplashBidNoticeAbstractUI.aspx?menuIndex=3&amp;refID=7033770&amp;Result=3","7033770")</f>
        <v>0</v>
      </c>
      <c r="B8791" t="s">
        <v>2458</v>
      </c>
      <c r="C8791" t="s">
        <v>11577</v>
      </c>
      <c r="D8791" t="s">
        <v>18033</v>
      </c>
      <c r="E8791" t="s">
        <v>25811</v>
      </c>
      <c r="F8791" t="s">
        <v>31574</v>
      </c>
      <c r="G8791" t="s">
        <v>31583</v>
      </c>
      <c r="H8791" t="s">
        <v>31590</v>
      </c>
      <c r="I8791" t="s">
        <v>31600</v>
      </c>
      <c r="J8791" t="s">
        <v>37277</v>
      </c>
      <c r="K8791" t="s">
        <v>41193</v>
      </c>
      <c r="M8791" t="s">
        <v>44187</v>
      </c>
      <c r="N8791" t="s">
        <v>45095</v>
      </c>
      <c r="O8791" t="s">
        <v>45096</v>
      </c>
      <c r="P8791">
        <v>0</v>
      </c>
      <c r="Q8791">
        <v>0</v>
      </c>
      <c r="R8791" t="s">
        <v>45104</v>
      </c>
      <c r="S8791" t="s">
        <v>45304</v>
      </c>
      <c r="T8791" t="s">
        <v>46957</v>
      </c>
      <c r="U8791" t="s">
        <v>54772</v>
      </c>
      <c r="W8791" t="s">
        <v>44187</v>
      </c>
      <c r="X8791" t="s">
        <v>45105</v>
      </c>
    </row>
    <row r="8792" spans="1:24">
      <c r="A8792">
        <f>HYPERLINK("https://www.philgeps.gov.ph/GEPSNONPILOT/Tender/SplashBidNoticeAbstractUI.aspx?menuIndex=3&amp;refID=7033786&amp;Result=3","7033786")</f>
        <v>0</v>
      </c>
      <c r="B8792" t="s">
        <v>161</v>
      </c>
      <c r="C8792" t="s">
        <v>11578</v>
      </c>
      <c r="E8792" t="s">
        <v>25812</v>
      </c>
      <c r="F8792" t="s">
        <v>31574</v>
      </c>
      <c r="G8792" t="s">
        <v>31581</v>
      </c>
      <c r="H8792" t="s">
        <v>31593</v>
      </c>
      <c r="I8792" t="s">
        <v>31623</v>
      </c>
      <c r="J8792" t="s">
        <v>32232</v>
      </c>
      <c r="K8792" t="s">
        <v>41184</v>
      </c>
      <c r="M8792" t="s">
        <v>41645</v>
      </c>
      <c r="N8792" t="s">
        <v>45095</v>
      </c>
      <c r="O8792" t="s">
        <v>45096</v>
      </c>
      <c r="P8792">
        <v>0</v>
      </c>
      <c r="Q8792">
        <v>0</v>
      </c>
      <c r="R8792" t="s">
        <v>45104</v>
      </c>
      <c r="S8792" t="s">
        <v>45304</v>
      </c>
      <c r="T8792" t="s">
        <v>46985</v>
      </c>
      <c r="U8792" t="s">
        <v>54773</v>
      </c>
      <c r="W8792" t="s">
        <v>41645</v>
      </c>
      <c r="X8792" t="s">
        <v>45105</v>
      </c>
    </row>
    <row r="8793" spans="1:24">
      <c r="A8793">
        <f>HYPERLINK("https://www.philgeps.gov.ph/GEPSNONPILOT/Tender/SplashBidNoticeAbstractUI.aspx?menuIndex=3&amp;refID=7033804&amp;Result=3","7033804")</f>
        <v>0</v>
      </c>
      <c r="B8793" t="s">
        <v>2459</v>
      </c>
      <c r="C8793" t="s">
        <v>11579</v>
      </c>
      <c r="D8793" t="s">
        <v>18035</v>
      </c>
      <c r="E8793" t="s">
        <v>25813</v>
      </c>
      <c r="F8793" t="s">
        <v>31574</v>
      </c>
      <c r="G8793" t="s">
        <v>31582</v>
      </c>
      <c r="H8793" t="s">
        <v>31591</v>
      </c>
      <c r="I8793" t="s">
        <v>8822</v>
      </c>
      <c r="J8793" t="s">
        <v>31727</v>
      </c>
      <c r="K8793" t="s">
        <v>41186</v>
      </c>
      <c r="M8793" t="s">
        <v>44188</v>
      </c>
      <c r="N8793" t="s">
        <v>45095</v>
      </c>
      <c r="O8793" t="s">
        <v>45096</v>
      </c>
      <c r="P8793">
        <v>0</v>
      </c>
      <c r="Q8793">
        <v>0</v>
      </c>
      <c r="R8793" t="s">
        <v>45104</v>
      </c>
      <c r="S8793" t="s">
        <v>45304</v>
      </c>
      <c r="T8793" t="s">
        <v>47159</v>
      </c>
      <c r="U8793" t="s">
        <v>51926</v>
      </c>
      <c r="W8793" t="s">
        <v>44188</v>
      </c>
      <c r="X8793" t="s">
        <v>45105</v>
      </c>
    </row>
    <row r="8794" spans="1:24">
      <c r="A8794">
        <f>HYPERLINK("https://www.philgeps.gov.ph/GEPSNONPILOT/Tender/SplashBidNoticeAbstractUI.aspx?menuIndex=3&amp;refID=7033795&amp;Result=3","7033795")</f>
        <v>0</v>
      </c>
      <c r="B8794" t="s">
        <v>2460</v>
      </c>
      <c r="C8794" t="s">
        <v>4147</v>
      </c>
      <c r="D8794" t="s">
        <v>18023</v>
      </c>
      <c r="E8794" t="s">
        <v>18422</v>
      </c>
      <c r="F8794" t="s">
        <v>31575</v>
      </c>
      <c r="G8794" t="s">
        <v>31582</v>
      </c>
      <c r="H8794" t="s">
        <v>31590</v>
      </c>
      <c r="I8794" t="s">
        <v>31600</v>
      </c>
      <c r="J8794" t="s">
        <v>37278</v>
      </c>
      <c r="K8794" t="s">
        <v>41193</v>
      </c>
      <c r="M8794" t="s">
        <v>44189</v>
      </c>
      <c r="N8794" t="s">
        <v>45095</v>
      </c>
      <c r="O8794" t="s">
        <v>45096</v>
      </c>
      <c r="P8794">
        <v>0</v>
      </c>
      <c r="Q8794">
        <v>0</v>
      </c>
      <c r="R8794" t="s">
        <v>45104</v>
      </c>
      <c r="S8794" t="s">
        <v>45304</v>
      </c>
      <c r="T8794" t="s">
        <v>46984</v>
      </c>
      <c r="U8794" t="s">
        <v>54774</v>
      </c>
      <c r="W8794" t="s">
        <v>44189</v>
      </c>
      <c r="X8794" t="s">
        <v>45105</v>
      </c>
    </row>
    <row r="8795" spans="1:24">
      <c r="A8795">
        <f>HYPERLINK("https://www.philgeps.gov.ph/GEPSNONPILOT/Tender/SplashBidNoticeAbstractUI.aspx?menuIndex=3&amp;refID=7033789&amp;Result=3","7033789")</f>
        <v>0</v>
      </c>
      <c r="B8795" t="s">
        <v>290</v>
      </c>
      <c r="C8795" t="s">
        <v>11580</v>
      </c>
      <c r="D8795" t="s">
        <v>18043</v>
      </c>
      <c r="E8795" t="s">
        <v>25814</v>
      </c>
      <c r="F8795" t="s">
        <v>31574</v>
      </c>
      <c r="G8795" t="s">
        <v>31581</v>
      </c>
      <c r="H8795" t="s">
        <v>31590</v>
      </c>
      <c r="I8795" t="s">
        <v>3539</v>
      </c>
      <c r="J8795" t="s">
        <v>37279</v>
      </c>
      <c r="K8795" t="s">
        <v>41193</v>
      </c>
      <c r="M8795" t="s">
        <v>41776</v>
      </c>
      <c r="N8795" t="s">
        <v>45095</v>
      </c>
      <c r="O8795" t="s">
        <v>45096</v>
      </c>
      <c r="P8795">
        <v>0</v>
      </c>
      <c r="Q8795">
        <v>0</v>
      </c>
      <c r="R8795" t="s">
        <v>45104</v>
      </c>
      <c r="S8795" t="s">
        <v>45304</v>
      </c>
      <c r="T8795" t="s">
        <v>47159</v>
      </c>
      <c r="U8795" t="s">
        <v>48030</v>
      </c>
      <c r="W8795" t="s">
        <v>41776</v>
      </c>
      <c r="X8795" t="s">
        <v>45105</v>
      </c>
    </row>
    <row r="8796" spans="1:24">
      <c r="A8796">
        <f>HYPERLINK("https://www.philgeps.gov.ph/GEPSNONPILOT/Tender/SplashBidNoticeAbstractUI.aspx?menuIndex=3&amp;refID=7033806&amp;Result=3","7033806")</f>
        <v>0</v>
      </c>
      <c r="B8796" t="s">
        <v>2452</v>
      </c>
      <c r="C8796" t="s">
        <v>11581</v>
      </c>
      <c r="D8796" t="s">
        <v>18066</v>
      </c>
      <c r="E8796" t="s">
        <v>18788</v>
      </c>
      <c r="F8796" t="s">
        <v>31574</v>
      </c>
      <c r="G8796" t="s">
        <v>31582</v>
      </c>
      <c r="H8796" t="s">
        <v>31591</v>
      </c>
      <c r="I8796" t="s">
        <v>8822</v>
      </c>
      <c r="J8796" t="s">
        <v>37280</v>
      </c>
      <c r="K8796" t="s">
        <v>41191</v>
      </c>
      <c r="M8796" t="s">
        <v>44180</v>
      </c>
      <c r="N8796" t="s">
        <v>45095</v>
      </c>
      <c r="O8796" t="s">
        <v>45096</v>
      </c>
      <c r="P8796">
        <v>0</v>
      </c>
      <c r="Q8796">
        <v>0</v>
      </c>
      <c r="R8796" t="s">
        <v>45104</v>
      </c>
      <c r="S8796" t="s">
        <v>45304</v>
      </c>
      <c r="T8796" t="s">
        <v>47154</v>
      </c>
      <c r="U8796" t="s">
        <v>54775</v>
      </c>
      <c r="W8796" t="s">
        <v>44180</v>
      </c>
      <c r="X8796" t="s">
        <v>45105</v>
      </c>
    </row>
    <row r="8797" spans="1:24">
      <c r="A8797">
        <f>HYPERLINK("https://www.philgeps.gov.ph/GEPSNONPILOT/Tender/SplashBidNoticeAbstractUI.aspx?menuIndex=3&amp;refID=7033791&amp;Result=3","7033791")</f>
        <v>0</v>
      </c>
      <c r="B8797" t="s">
        <v>249</v>
      </c>
      <c r="C8797" t="s">
        <v>11582</v>
      </c>
      <c r="D8797" t="s">
        <v>18039</v>
      </c>
      <c r="E8797" t="s">
        <v>18577</v>
      </c>
      <c r="F8797" t="s">
        <v>31574</v>
      </c>
      <c r="G8797" t="s">
        <v>31582</v>
      </c>
      <c r="H8797" t="s">
        <v>31590</v>
      </c>
      <c r="I8797" t="s">
        <v>31599</v>
      </c>
      <c r="J8797" t="s">
        <v>37281</v>
      </c>
      <c r="K8797" t="s">
        <v>41186</v>
      </c>
      <c r="M8797" t="s">
        <v>44182</v>
      </c>
      <c r="N8797" t="s">
        <v>45095</v>
      </c>
      <c r="O8797" t="s">
        <v>45096</v>
      </c>
      <c r="P8797">
        <v>0</v>
      </c>
      <c r="Q8797">
        <v>4</v>
      </c>
      <c r="R8797" t="s">
        <v>45104</v>
      </c>
      <c r="S8797" t="s">
        <v>45304</v>
      </c>
      <c r="T8797" t="s">
        <v>47263</v>
      </c>
      <c r="U8797" t="s">
        <v>54776</v>
      </c>
      <c r="V8797" t="s">
        <v>58996</v>
      </c>
      <c r="W8797" t="s">
        <v>44182</v>
      </c>
      <c r="X8797" t="s">
        <v>45105</v>
      </c>
    </row>
    <row r="8798" spans="1:24">
      <c r="A8798">
        <f>HYPERLINK("https://www.philgeps.gov.ph/GEPSNONPILOT/Tender/SplashBidNoticeAbstractUI.aspx?menuIndex=3&amp;refID=7033792&amp;Result=3","7033792")</f>
        <v>0</v>
      </c>
      <c r="B8798" t="s">
        <v>2454</v>
      </c>
      <c r="C8798" t="s">
        <v>3460</v>
      </c>
      <c r="D8798" t="s">
        <v>18094</v>
      </c>
      <c r="E8798" t="s">
        <v>25815</v>
      </c>
      <c r="F8798" t="s">
        <v>31574</v>
      </c>
      <c r="G8798" t="s">
        <v>31585</v>
      </c>
      <c r="H8798" t="s">
        <v>31590</v>
      </c>
      <c r="I8798" t="s">
        <v>7185</v>
      </c>
      <c r="J8798" t="s">
        <v>37282</v>
      </c>
      <c r="K8798" t="s">
        <v>41186</v>
      </c>
      <c r="M8798" t="s">
        <v>44183</v>
      </c>
      <c r="N8798" t="s">
        <v>45095</v>
      </c>
      <c r="O8798" t="s">
        <v>45096</v>
      </c>
      <c r="P8798">
        <v>0</v>
      </c>
      <c r="Q8798">
        <v>1</v>
      </c>
      <c r="R8798" t="s">
        <v>45104</v>
      </c>
      <c r="S8798" t="s">
        <v>45304</v>
      </c>
      <c r="T8798" t="s">
        <v>47206</v>
      </c>
      <c r="U8798" t="s">
        <v>54777</v>
      </c>
      <c r="V8798" t="s">
        <v>60761</v>
      </c>
      <c r="W8798" t="s">
        <v>44183</v>
      </c>
      <c r="X8798" t="s">
        <v>45105</v>
      </c>
    </row>
    <row r="8799" spans="1:24">
      <c r="A8799">
        <f>HYPERLINK("https://www.philgeps.gov.ph/GEPSNONPILOT/Tender/SplashBidNoticeAbstractUI.aspx?menuIndex=3&amp;refID=7033776&amp;Result=3","7033776")</f>
        <v>0</v>
      </c>
      <c r="B8799" t="s">
        <v>1311</v>
      </c>
      <c r="C8799" t="s">
        <v>11583</v>
      </c>
      <c r="D8799" t="s">
        <v>18040</v>
      </c>
      <c r="E8799" t="s">
        <v>25816</v>
      </c>
      <c r="F8799" t="s">
        <v>31574</v>
      </c>
      <c r="G8799" t="s">
        <v>31582</v>
      </c>
      <c r="H8799" t="s">
        <v>31591</v>
      </c>
      <c r="I8799" t="s">
        <v>8822</v>
      </c>
      <c r="J8799" t="s">
        <v>37283</v>
      </c>
      <c r="K8799" t="s">
        <v>41192</v>
      </c>
      <c r="M8799" t="s">
        <v>42881</v>
      </c>
      <c r="N8799" t="s">
        <v>45095</v>
      </c>
      <c r="O8799" t="s">
        <v>45096</v>
      </c>
      <c r="P8799">
        <v>0</v>
      </c>
      <c r="Q8799">
        <v>0</v>
      </c>
      <c r="R8799" t="s">
        <v>45104</v>
      </c>
      <c r="S8799" t="s">
        <v>45304</v>
      </c>
      <c r="T8799" t="s">
        <v>46992</v>
      </c>
      <c r="U8799" t="s">
        <v>54778</v>
      </c>
      <c r="V8799" t="s">
        <v>60217</v>
      </c>
      <c r="W8799" t="s">
        <v>42881</v>
      </c>
      <c r="X8799" t="s">
        <v>45105</v>
      </c>
    </row>
    <row r="8800" spans="1:24">
      <c r="A8800">
        <f>HYPERLINK("https://www.philgeps.gov.ph/GEPSNONPILOT/Tender/SplashBidNoticeAbstractUI.aspx?menuIndex=3&amp;refID=7033794&amp;Result=3","7033794")</f>
        <v>0</v>
      </c>
      <c r="B8800" t="s">
        <v>2404</v>
      </c>
      <c r="C8800" t="s">
        <v>11584</v>
      </c>
      <c r="D8800" t="s">
        <v>18052</v>
      </c>
      <c r="E8800" t="s">
        <v>25817</v>
      </c>
      <c r="F8800" t="s">
        <v>31574</v>
      </c>
      <c r="G8800" t="s">
        <v>31581</v>
      </c>
      <c r="H8800" t="s">
        <v>31590</v>
      </c>
      <c r="I8800" t="s">
        <v>31623</v>
      </c>
      <c r="J8800" t="s">
        <v>37284</v>
      </c>
      <c r="K8800" t="s">
        <v>41186</v>
      </c>
      <c r="M8800" t="s">
        <v>44131</v>
      </c>
      <c r="N8800" t="s">
        <v>45095</v>
      </c>
      <c r="O8800" t="s">
        <v>45096</v>
      </c>
      <c r="P8800">
        <v>0</v>
      </c>
      <c r="Q8800">
        <v>0</v>
      </c>
      <c r="R8800" t="s">
        <v>45104</v>
      </c>
      <c r="S8800" t="s">
        <v>45304</v>
      </c>
      <c r="T8800" t="s">
        <v>47158</v>
      </c>
      <c r="U8800" t="s">
        <v>54779</v>
      </c>
      <c r="W8800" t="s">
        <v>44131</v>
      </c>
      <c r="X8800" t="s">
        <v>45105</v>
      </c>
    </row>
    <row r="8801" spans="1:24">
      <c r="A8801">
        <f>HYPERLINK("https://www.philgeps.gov.ph/GEPSNONPILOT/Tender/SplashBidNoticeAbstractUI.aspx?menuIndex=3&amp;refID=7033800&amp;Result=3","7033800")</f>
        <v>0</v>
      </c>
      <c r="B8801" t="s">
        <v>135</v>
      </c>
      <c r="C8801" t="s">
        <v>11585</v>
      </c>
      <c r="D8801" t="s">
        <v>18022</v>
      </c>
      <c r="E8801" t="s">
        <v>25818</v>
      </c>
      <c r="F8801" t="s">
        <v>31574</v>
      </c>
      <c r="G8801" t="s">
        <v>31582</v>
      </c>
      <c r="H8801" t="s">
        <v>31590</v>
      </c>
      <c r="I8801" t="s">
        <v>4327</v>
      </c>
      <c r="J8801" t="s">
        <v>37285</v>
      </c>
      <c r="K8801" t="s">
        <v>41184</v>
      </c>
      <c r="M8801" t="s">
        <v>43553</v>
      </c>
      <c r="N8801" t="s">
        <v>45095</v>
      </c>
      <c r="O8801" t="s">
        <v>45096</v>
      </c>
      <c r="P8801">
        <v>0</v>
      </c>
      <c r="Q8801">
        <v>6</v>
      </c>
      <c r="R8801" t="s">
        <v>45104</v>
      </c>
      <c r="S8801" t="s">
        <v>45304</v>
      </c>
      <c r="T8801" t="s">
        <v>47093</v>
      </c>
      <c r="U8801" t="s">
        <v>54780</v>
      </c>
      <c r="W8801" t="s">
        <v>43553</v>
      </c>
      <c r="X8801" t="s">
        <v>45105</v>
      </c>
    </row>
    <row r="8802" spans="1:24">
      <c r="A8802">
        <f>HYPERLINK("https://www.philgeps.gov.ph/GEPSNONPILOT/Tender/SplashBidNoticeAbstractUI.aspx?menuIndex=3&amp;refID=7033809&amp;Result=3","7033809")</f>
        <v>0</v>
      </c>
      <c r="B8802" t="s">
        <v>2461</v>
      </c>
      <c r="C8802" t="s">
        <v>11586</v>
      </c>
      <c r="D8802" t="s">
        <v>18039</v>
      </c>
      <c r="E8802" t="s">
        <v>19961</v>
      </c>
      <c r="F8802" t="s">
        <v>31574</v>
      </c>
      <c r="G8802" t="s">
        <v>31582</v>
      </c>
      <c r="H8802" t="s">
        <v>31590</v>
      </c>
      <c r="I8802" t="s">
        <v>5717</v>
      </c>
      <c r="J8802" t="s">
        <v>37286</v>
      </c>
      <c r="K8802" t="s">
        <v>41196</v>
      </c>
      <c r="M8802" t="s">
        <v>44190</v>
      </c>
      <c r="N8802" t="s">
        <v>45095</v>
      </c>
      <c r="O8802" t="s">
        <v>45096</v>
      </c>
      <c r="P8802">
        <v>0</v>
      </c>
      <c r="Q8802">
        <v>7</v>
      </c>
      <c r="R8802" t="s">
        <v>45104</v>
      </c>
      <c r="S8802" t="s">
        <v>45304</v>
      </c>
      <c r="T8802" t="s">
        <v>46977</v>
      </c>
      <c r="U8802" t="s">
        <v>54781</v>
      </c>
      <c r="W8802" t="s">
        <v>44190</v>
      </c>
      <c r="X8802" t="s">
        <v>45105</v>
      </c>
    </row>
    <row r="8803" spans="1:24">
      <c r="A8803">
        <f>HYPERLINK("https://www.philgeps.gov.ph/GEPSNONPILOT/Tender/SplashBidNoticeAbstractUI.aspx?menuIndex=3&amp;refID=7033808&amp;Result=3","7033808")</f>
        <v>0</v>
      </c>
      <c r="B8803" t="s">
        <v>2462</v>
      </c>
      <c r="C8803" t="s">
        <v>11587</v>
      </c>
      <c r="D8803" t="s">
        <v>18066</v>
      </c>
      <c r="E8803" t="s">
        <v>25819</v>
      </c>
      <c r="F8803" t="s">
        <v>31574</v>
      </c>
      <c r="G8803" t="s">
        <v>31582</v>
      </c>
      <c r="H8803" t="s">
        <v>31591</v>
      </c>
      <c r="I8803" t="s">
        <v>8822</v>
      </c>
      <c r="J8803" t="s">
        <v>34980</v>
      </c>
      <c r="K8803" t="s">
        <v>41235</v>
      </c>
      <c r="M8803" t="s">
        <v>44191</v>
      </c>
      <c r="N8803" t="s">
        <v>45095</v>
      </c>
      <c r="O8803" t="s">
        <v>45096</v>
      </c>
      <c r="P8803">
        <v>0</v>
      </c>
      <c r="Q8803">
        <v>2</v>
      </c>
      <c r="R8803" t="s">
        <v>45104</v>
      </c>
      <c r="S8803" t="s">
        <v>45304</v>
      </c>
      <c r="T8803" t="s">
        <v>47265</v>
      </c>
      <c r="U8803" t="s">
        <v>54782</v>
      </c>
      <c r="W8803" t="s">
        <v>44191</v>
      </c>
      <c r="X8803" t="s">
        <v>45105</v>
      </c>
    </row>
    <row r="8804" spans="1:24">
      <c r="A8804">
        <f>HYPERLINK("https://www.philgeps.gov.ph/GEPSNONPILOT/Tender/SplashBidNoticeAbstractUI.aspx?menuIndex=3&amp;refID=7033819&amp;Result=3","7033819")</f>
        <v>0</v>
      </c>
      <c r="B8804" t="s">
        <v>1449</v>
      </c>
      <c r="C8804" t="s">
        <v>11588</v>
      </c>
      <c r="D8804" t="s">
        <v>18088</v>
      </c>
      <c r="E8804" t="s">
        <v>25820</v>
      </c>
      <c r="F8804" t="s">
        <v>31574</v>
      </c>
      <c r="G8804" t="s">
        <v>31582</v>
      </c>
      <c r="H8804" t="s">
        <v>31591</v>
      </c>
      <c r="I8804" t="s">
        <v>8822</v>
      </c>
      <c r="J8804" t="s">
        <v>37287</v>
      </c>
      <c r="K8804" t="s">
        <v>41202</v>
      </c>
      <c r="M8804" t="s">
        <v>43028</v>
      </c>
      <c r="N8804" t="s">
        <v>45095</v>
      </c>
      <c r="O8804" t="s">
        <v>45096</v>
      </c>
      <c r="P8804">
        <v>0</v>
      </c>
      <c r="Q8804">
        <v>0</v>
      </c>
      <c r="R8804" t="s">
        <v>45104</v>
      </c>
      <c r="S8804" t="s">
        <v>45304</v>
      </c>
      <c r="T8804" t="s">
        <v>46941</v>
      </c>
      <c r="U8804" t="s">
        <v>54783</v>
      </c>
      <c r="V8804" t="s">
        <v>60272</v>
      </c>
      <c r="W8804" t="s">
        <v>43028</v>
      </c>
      <c r="X8804" t="s">
        <v>45105</v>
      </c>
    </row>
    <row r="8805" spans="1:24">
      <c r="A8805">
        <f>HYPERLINK("https://www.philgeps.gov.ph/GEPSNONPILOT/Tender/SplashBidNoticeAbstractUI.aspx?menuIndex=3&amp;refID=7033835&amp;Result=3","7033835")</f>
        <v>0</v>
      </c>
      <c r="B8805" t="s">
        <v>2455</v>
      </c>
      <c r="C8805" t="s">
        <v>11589</v>
      </c>
      <c r="E8805" t="s">
        <v>25821</v>
      </c>
      <c r="F8805" t="s">
        <v>31574</v>
      </c>
      <c r="G8805" t="s">
        <v>31582</v>
      </c>
      <c r="H8805" t="s">
        <v>31591</v>
      </c>
      <c r="I8805" t="s">
        <v>8822</v>
      </c>
      <c r="J8805" t="s">
        <v>34707</v>
      </c>
      <c r="K8805" t="s">
        <v>41198</v>
      </c>
      <c r="M8805" t="s">
        <v>44184</v>
      </c>
      <c r="N8805" t="s">
        <v>45095</v>
      </c>
      <c r="O8805" t="s">
        <v>45096</v>
      </c>
      <c r="P8805">
        <v>0</v>
      </c>
      <c r="Q8805">
        <v>2</v>
      </c>
      <c r="R8805" t="s">
        <v>45104</v>
      </c>
      <c r="S8805" t="s">
        <v>45304</v>
      </c>
      <c r="T8805" t="s">
        <v>46965</v>
      </c>
      <c r="U8805" t="s">
        <v>51835</v>
      </c>
      <c r="W8805" t="s">
        <v>44184</v>
      </c>
      <c r="X8805" t="s">
        <v>45105</v>
      </c>
    </row>
    <row r="8806" spans="1:24">
      <c r="A8806">
        <f>HYPERLINK("https://www.philgeps.gov.ph/GEPSNONPILOT/Tender/SplashBidNoticeAbstractUI.aspx?menuIndex=3&amp;refID=7033831&amp;Result=3","7033831")</f>
        <v>0</v>
      </c>
      <c r="B8806" t="s">
        <v>1554</v>
      </c>
      <c r="C8806" t="s">
        <v>11590</v>
      </c>
      <c r="D8806" t="s">
        <v>18056</v>
      </c>
      <c r="E8806" t="s">
        <v>25822</v>
      </c>
      <c r="F8806" t="s">
        <v>31574</v>
      </c>
      <c r="G8806" t="s">
        <v>31581</v>
      </c>
      <c r="H8806" t="s">
        <v>31591</v>
      </c>
      <c r="I8806" t="s">
        <v>8822</v>
      </c>
      <c r="J8806" t="s">
        <v>37288</v>
      </c>
      <c r="K8806" t="s">
        <v>41217</v>
      </c>
      <c r="M8806" t="s">
        <v>43153</v>
      </c>
      <c r="N8806" t="s">
        <v>45095</v>
      </c>
      <c r="O8806" t="s">
        <v>45096</v>
      </c>
      <c r="P8806">
        <v>0</v>
      </c>
      <c r="Q8806">
        <v>0</v>
      </c>
      <c r="R8806" t="s">
        <v>45104</v>
      </c>
      <c r="S8806" t="s">
        <v>45304</v>
      </c>
      <c r="T8806" t="s">
        <v>47159</v>
      </c>
      <c r="U8806" t="s">
        <v>54784</v>
      </c>
      <c r="W8806" t="s">
        <v>43153</v>
      </c>
      <c r="X8806" t="s">
        <v>45105</v>
      </c>
    </row>
    <row r="8807" spans="1:24">
      <c r="A8807">
        <f>HYPERLINK("https://www.philgeps.gov.ph/GEPSNONPILOT/Tender/SplashBidNoticeAbstractUI.aspx?menuIndex=3&amp;refID=7033823&amp;Result=3","7033823")</f>
        <v>0</v>
      </c>
      <c r="B8807" t="s">
        <v>2432</v>
      </c>
      <c r="C8807" t="s">
        <v>11591</v>
      </c>
      <c r="D8807" t="s">
        <v>18043</v>
      </c>
      <c r="E8807" t="s">
        <v>21096</v>
      </c>
      <c r="F8807" t="s">
        <v>31574</v>
      </c>
      <c r="G8807" t="s">
        <v>31582</v>
      </c>
      <c r="H8807" t="s">
        <v>31590</v>
      </c>
      <c r="I8807" t="s">
        <v>4046</v>
      </c>
      <c r="J8807" t="s">
        <v>37289</v>
      </c>
      <c r="K8807" t="s">
        <v>41190</v>
      </c>
      <c r="M8807" t="s">
        <v>44159</v>
      </c>
      <c r="N8807" t="s">
        <v>45095</v>
      </c>
      <c r="O8807" t="s">
        <v>45096</v>
      </c>
      <c r="P8807">
        <v>0</v>
      </c>
      <c r="Q8807">
        <v>0</v>
      </c>
      <c r="R8807" t="s">
        <v>45104</v>
      </c>
      <c r="S8807" t="s">
        <v>45304</v>
      </c>
      <c r="T8807" t="s">
        <v>46992</v>
      </c>
      <c r="U8807" t="s">
        <v>54785</v>
      </c>
      <c r="V8807" t="s">
        <v>60762</v>
      </c>
      <c r="W8807" t="s">
        <v>44159</v>
      </c>
      <c r="X8807" t="s">
        <v>45105</v>
      </c>
    </row>
    <row r="8808" spans="1:24">
      <c r="A8808">
        <f>HYPERLINK("https://www.philgeps.gov.ph/GEPSNONPILOT/Tender/SplashBidNoticeAbstractUI.aspx?menuIndex=3&amp;refID=7033836&amp;Result=3","7033836")</f>
        <v>0</v>
      </c>
      <c r="B8808" t="s">
        <v>2456</v>
      </c>
      <c r="C8808" t="s">
        <v>6703</v>
      </c>
      <c r="D8808" t="s">
        <v>18064</v>
      </c>
      <c r="E8808" t="s">
        <v>25823</v>
      </c>
      <c r="F8808" t="s">
        <v>31574</v>
      </c>
      <c r="G8808" t="s">
        <v>31582</v>
      </c>
      <c r="H8808" t="s">
        <v>31591</v>
      </c>
      <c r="I8808" t="s">
        <v>8822</v>
      </c>
      <c r="J8808" t="s">
        <v>31952</v>
      </c>
      <c r="K8808" t="s">
        <v>41278</v>
      </c>
      <c r="M8808" t="s">
        <v>44185</v>
      </c>
      <c r="N8808" t="s">
        <v>45095</v>
      </c>
      <c r="O8808" t="s">
        <v>45096</v>
      </c>
      <c r="P8808">
        <v>0</v>
      </c>
      <c r="Q8808">
        <v>0</v>
      </c>
      <c r="R8808" t="s">
        <v>45104</v>
      </c>
      <c r="S8808" t="s">
        <v>45304</v>
      </c>
      <c r="T8808" t="s">
        <v>47159</v>
      </c>
      <c r="U8808" t="s">
        <v>54786</v>
      </c>
      <c r="W8808" t="s">
        <v>44185</v>
      </c>
      <c r="X8808" t="s">
        <v>45105</v>
      </c>
    </row>
    <row r="8809" spans="1:24">
      <c r="A8809">
        <f>HYPERLINK("https://www.philgeps.gov.ph/GEPSNONPILOT/Tender/SplashBidNoticeAbstractUI.aspx?menuIndex=3&amp;refID=7033829&amp;Result=3","7033829")</f>
        <v>0</v>
      </c>
      <c r="B8809" t="s">
        <v>2427</v>
      </c>
      <c r="C8809" t="s">
        <v>11592</v>
      </c>
      <c r="D8809" t="s">
        <v>18052</v>
      </c>
      <c r="E8809" t="s">
        <v>25824</v>
      </c>
      <c r="F8809" t="s">
        <v>31574</v>
      </c>
      <c r="G8809" t="s">
        <v>31581</v>
      </c>
      <c r="H8809" t="s">
        <v>31590</v>
      </c>
      <c r="I8809" t="s">
        <v>31605</v>
      </c>
      <c r="J8809" t="s">
        <v>32017</v>
      </c>
      <c r="K8809" t="s">
        <v>41186</v>
      </c>
      <c r="M8809" t="s">
        <v>44154</v>
      </c>
      <c r="N8809" t="s">
        <v>45095</v>
      </c>
      <c r="O8809" t="s">
        <v>45096</v>
      </c>
      <c r="P8809">
        <v>0</v>
      </c>
      <c r="Q8809">
        <v>1</v>
      </c>
      <c r="R8809" t="s">
        <v>45104</v>
      </c>
      <c r="S8809" t="s">
        <v>45304</v>
      </c>
      <c r="T8809" t="s">
        <v>47154</v>
      </c>
      <c r="U8809" t="s">
        <v>54681</v>
      </c>
      <c r="V8809" t="s">
        <v>60748</v>
      </c>
      <c r="W8809" t="s">
        <v>44154</v>
      </c>
      <c r="X8809" t="s">
        <v>45105</v>
      </c>
    </row>
    <row r="8810" spans="1:24">
      <c r="A8810">
        <f>HYPERLINK("https://www.philgeps.gov.ph/GEPSNONPILOT/Tender/SplashBidNoticeAbstractUI.aspx?menuIndex=3&amp;refID=7033828&amp;Result=3","7033828")</f>
        <v>0</v>
      </c>
      <c r="B8810" t="s">
        <v>1774</v>
      </c>
      <c r="C8810" t="s">
        <v>11593</v>
      </c>
      <c r="D8810" t="s">
        <v>18087</v>
      </c>
      <c r="E8810" t="s">
        <v>25825</v>
      </c>
      <c r="F8810" t="s">
        <v>31574</v>
      </c>
      <c r="G8810" t="s">
        <v>31583</v>
      </c>
      <c r="H8810" t="s">
        <v>31590</v>
      </c>
      <c r="I8810" t="s">
        <v>4046</v>
      </c>
      <c r="J8810" t="s">
        <v>32459</v>
      </c>
      <c r="K8810" t="s">
        <v>41186</v>
      </c>
      <c r="M8810" t="s">
        <v>43404</v>
      </c>
      <c r="N8810" t="s">
        <v>45095</v>
      </c>
      <c r="O8810" t="s">
        <v>45096</v>
      </c>
      <c r="P8810">
        <v>0</v>
      </c>
      <c r="Q8810">
        <v>0</v>
      </c>
      <c r="R8810" t="s">
        <v>45104</v>
      </c>
      <c r="S8810" t="s">
        <v>45304</v>
      </c>
      <c r="T8810" t="s">
        <v>47154</v>
      </c>
      <c r="U8810" t="s">
        <v>52024</v>
      </c>
      <c r="W8810" t="s">
        <v>43404</v>
      </c>
      <c r="X8810" t="s">
        <v>45105</v>
      </c>
    </row>
    <row r="8811" spans="1:24">
      <c r="A8811">
        <f>HYPERLINK("https://www.philgeps.gov.ph/GEPSNONPILOT/Tender/SplashBidNoticeAbstractUI.aspx?menuIndex=3&amp;refID=7033820&amp;Result=3","7033820")</f>
        <v>0</v>
      </c>
      <c r="B8811" t="s">
        <v>2454</v>
      </c>
      <c r="C8811" t="s">
        <v>11594</v>
      </c>
      <c r="D8811" t="s">
        <v>18094</v>
      </c>
      <c r="E8811" t="s">
        <v>25826</v>
      </c>
      <c r="F8811" t="s">
        <v>31574</v>
      </c>
      <c r="G8811" t="s">
        <v>31585</v>
      </c>
      <c r="H8811" t="s">
        <v>31590</v>
      </c>
      <c r="I8811" t="s">
        <v>4046</v>
      </c>
      <c r="J8811" t="s">
        <v>37290</v>
      </c>
      <c r="K8811" t="s">
        <v>41365</v>
      </c>
      <c r="M8811" t="s">
        <v>44183</v>
      </c>
      <c r="N8811" t="s">
        <v>45095</v>
      </c>
      <c r="O8811" t="s">
        <v>45096</v>
      </c>
      <c r="P8811">
        <v>0</v>
      </c>
      <c r="Q8811">
        <v>0</v>
      </c>
      <c r="R8811" t="s">
        <v>45104</v>
      </c>
      <c r="S8811" t="s">
        <v>45304</v>
      </c>
      <c r="T8811" t="s">
        <v>47206</v>
      </c>
      <c r="U8811" t="s">
        <v>54787</v>
      </c>
      <c r="V8811" t="s">
        <v>60761</v>
      </c>
      <c r="W8811" t="s">
        <v>44183</v>
      </c>
      <c r="X8811" t="s">
        <v>45105</v>
      </c>
    </row>
    <row r="8812" spans="1:24">
      <c r="A8812">
        <f>HYPERLINK("https://www.philgeps.gov.ph/GEPSNONPILOT/Tender/SplashBidNoticeAbstractUI.aspx?menuIndex=3&amp;refID=7033824&amp;Result=3","7033824")</f>
        <v>0</v>
      </c>
      <c r="B8812" t="s">
        <v>669</v>
      </c>
      <c r="C8812" t="s">
        <v>11595</v>
      </c>
      <c r="D8812" t="s">
        <v>18050</v>
      </c>
      <c r="E8812" t="s">
        <v>25827</v>
      </c>
      <c r="F8812" t="s">
        <v>31574</v>
      </c>
      <c r="G8812" t="s">
        <v>31582</v>
      </c>
      <c r="H8812" t="s">
        <v>31591</v>
      </c>
      <c r="I8812" t="s">
        <v>8822</v>
      </c>
      <c r="J8812" t="s">
        <v>32739</v>
      </c>
      <c r="K8812" t="s">
        <v>41260</v>
      </c>
      <c r="M8812" t="s">
        <v>42174</v>
      </c>
      <c r="N8812" t="s">
        <v>45095</v>
      </c>
      <c r="O8812" t="s">
        <v>45096</v>
      </c>
      <c r="P8812">
        <v>0</v>
      </c>
      <c r="Q8812">
        <v>0</v>
      </c>
      <c r="R8812" t="s">
        <v>45104</v>
      </c>
      <c r="S8812" t="s">
        <v>45304</v>
      </c>
      <c r="T8812" t="s">
        <v>47000</v>
      </c>
      <c r="U8812" t="s">
        <v>52518</v>
      </c>
      <c r="W8812" t="s">
        <v>42174</v>
      </c>
      <c r="X8812" t="s">
        <v>45105</v>
      </c>
    </row>
    <row r="8813" spans="1:24">
      <c r="A8813">
        <f>HYPERLINK("https://www.philgeps.gov.ph/GEPSNONPILOT/Tender/SplashBidNoticeAbstractUI.aspx?menuIndex=3&amp;refID=7033850&amp;Result=3","7033850")</f>
        <v>0</v>
      </c>
      <c r="B8813" t="s">
        <v>2463</v>
      </c>
      <c r="C8813" t="s">
        <v>11596</v>
      </c>
      <c r="D8813" t="s">
        <v>18033</v>
      </c>
      <c r="E8813" t="s">
        <v>25828</v>
      </c>
      <c r="F8813" t="s">
        <v>31574</v>
      </c>
      <c r="G8813" t="s">
        <v>31582</v>
      </c>
      <c r="H8813" t="s">
        <v>31590</v>
      </c>
      <c r="I8813" t="s">
        <v>31602</v>
      </c>
      <c r="J8813" t="s">
        <v>34014</v>
      </c>
      <c r="K8813" t="s">
        <v>41190</v>
      </c>
      <c r="M8813" t="s">
        <v>44192</v>
      </c>
      <c r="N8813" t="s">
        <v>45095</v>
      </c>
      <c r="O8813" t="s">
        <v>45096</v>
      </c>
      <c r="P8813">
        <v>0</v>
      </c>
      <c r="Q8813">
        <v>0</v>
      </c>
      <c r="R8813" t="s">
        <v>45104</v>
      </c>
      <c r="S8813" t="s">
        <v>45304</v>
      </c>
      <c r="T8813" t="s">
        <v>46966</v>
      </c>
      <c r="U8813" t="s">
        <v>54788</v>
      </c>
      <c r="W8813" t="s">
        <v>44192</v>
      </c>
      <c r="X8813" t="s">
        <v>45105</v>
      </c>
    </row>
    <row r="8814" spans="1:24">
      <c r="A8814">
        <f>HYPERLINK("https://www.philgeps.gov.ph/GEPSNONPILOT/Tender/SplashBidNoticeAbstractUI.aspx?menuIndex=3&amp;refID=7033814&amp;Result=3","7033814")</f>
        <v>0</v>
      </c>
      <c r="B8814" t="s">
        <v>2451</v>
      </c>
      <c r="C8814" t="s">
        <v>11597</v>
      </c>
      <c r="D8814" t="s">
        <v>18052</v>
      </c>
      <c r="E8814" t="s">
        <v>25829</v>
      </c>
      <c r="F8814" t="s">
        <v>31574</v>
      </c>
      <c r="G8814" t="s">
        <v>31585</v>
      </c>
      <c r="H8814" t="s">
        <v>31590</v>
      </c>
      <c r="I8814" t="s">
        <v>31704</v>
      </c>
      <c r="J8814" t="s">
        <v>33346</v>
      </c>
      <c r="K8814" t="s">
        <v>41190</v>
      </c>
      <c r="M8814" t="s">
        <v>44179</v>
      </c>
      <c r="N8814" t="s">
        <v>45095</v>
      </c>
      <c r="O8814" t="s">
        <v>45096</v>
      </c>
      <c r="P8814">
        <v>0</v>
      </c>
      <c r="Q8814">
        <v>1</v>
      </c>
      <c r="R8814" t="s">
        <v>45104</v>
      </c>
      <c r="S8814" t="s">
        <v>45304</v>
      </c>
      <c r="T8814" t="s">
        <v>47064</v>
      </c>
      <c r="U8814" t="s">
        <v>54789</v>
      </c>
      <c r="W8814" t="s">
        <v>44179</v>
      </c>
      <c r="X8814" t="s">
        <v>45105</v>
      </c>
    </row>
    <row r="8815" spans="1:24">
      <c r="A8815">
        <f>HYPERLINK("https://www.philgeps.gov.ph/GEPSNONPILOT/Tender/SplashBidNoticeAbstractUI.aspx?menuIndex=3&amp;refID=7033853&amp;Result=3","7033853")</f>
        <v>0</v>
      </c>
      <c r="B8815" t="s">
        <v>348</v>
      </c>
      <c r="C8815" t="s">
        <v>11598</v>
      </c>
      <c r="D8815" t="s">
        <v>18065</v>
      </c>
      <c r="E8815" t="s">
        <v>25830</v>
      </c>
      <c r="F8815" t="s">
        <v>31574</v>
      </c>
      <c r="G8815" t="s">
        <v>31583</v>
      </c>
      <c r="H8815" t="s">
        <v>31590</v>
      </c>
      <c r="I8815" t="s">
        <v>4046</v>
      </c>
      <c r="J8815" t="s">
        <v>37291</v>
      </c>
      <c r="K8815" t="s">
        <v>41184</v>
      </c>
      <c r="M8815" t="s">
        <v>41836</v>
      </c>
      <c r="N8815" t="s">
        <v>45095</v>
      </c>
      <c r="O8815" t="s">
        <v>45096</v>
      </c>
      <c r="Q8815">
        <v>3</v>
      </c>
      <c r="R8815" t="s">
        <v>45104</v>
      </c>
      <c r="S8815" t="s">
        <v>45317</v>
      </c>
      <c r="T8815" t="s">
        <v>46957</v>
      </c>
      <c r="U8815" t="s">
        <v>48153</v>
      </c>
      <c r="W8815" t="s">
        <v>41836</v>
      </c>
      <c r="X8815" t="s">
        <v>45105</v>
      </c>
    </row>
    <row r="8816" spans="1:24">
      <c r="A8816">
        <f>HYPERLINK("https://www.philgeps.gov.ph/GEPSNONPILOT/Tender/SplashBidNoticeAbstractUI.aspx?menuIndex=3&amp;refID=7033813&amp;Result=3","7033813")</f>
        <v>0</v>
      </c>
      <c r="B8816" t="s">
        <v>1774</v>
      </c>
      <c r="C8816" t="s">
        <v>11599</v>
      </c>
      <c r="D8816" t="s">
        <v>18087</v>
      </c>
      <c r="E8816" t="s">
        <v>25831</v>
      </c>
      <c r="F8816" t="s">
        <v>31574</v>
      </c>
      <c r="G8816" t="s">
        <v>31583</v>
      </c>
      <c r="H8816" t="s">
        <v>31590</v>
      </c>
      <c r="I8816" t="s">
        <v>4046</v>
      </c>
      <c r="J8816" t="s">
        <v>32114</v>
      </c>
      <c r="K8816" t="s">
        <v>41186</v>
      </c>
      <c r="M8816" t="s">
        <v>43404</v>
      </c>
      <c r="N8816" t="s">
        <v>45095</v>
      </c>
      <c r="O8816" t="s">
        <v>45096</v>
      </c>
      <c r="P8816">
        <v>0</v>
      </c>
      <c r="Q8816">
        <v>0</v>
      </c>
      <c r="R8816" t="s">
        <v>45104</v>
      </c>
      <c r="S8816" t="s">
        <v>45304</v>
      </c>
      <c r="T8816" t="s">
        <v>47154</v>
      </c>
      <c r="U8816" t="s">
        <v>52024</v>
      </c>
      <c r="W8816" t="s">
        <v>43404</v>
      </c>
      <c r="X8816" t="s">
        <v>45105</v>
      </c>
    </row>
    <row r="8817" spans="1:24">
      <c r="A8817">
        <f>HYPERLINK("https://www.philgeps.gov.ph/GEPSNONPILOT/Tender/SplashBidNoticeAbstractUI.aspx?menuIndex=3&amp;refID=7033845&amp;Result=3","7033845")</f>
        <v>0</v>
      </c>
      <c r="B8817" t="s">
        <v>2457</v>
      </c>
      <c r="C8817" t="s">
        <v>11600</v>
      </c>
      <c r="E8817" t="s">
        <v>25832</v>
      </c>
      <c r="F8817" t="s">
        <v>31574</v>
      </c>
      <c r="G8817" t="s">
        <v>31582</v>
      </c>
      <c r="H8817" t="s">
        <v>31591</v>
      </c>
      <c r="I8817" t="s">
        <v>8822</v>
      </c>
      <c r="J8817" t="s">
        <v>31819</v>
      </c>
      <c r="K8817" t="s">
        <v>41243</v>
      </c>
      <c r="L8817" t="s">
        <v>2457</v>
      </c>
      <c r="M8817" t="s">
        <v>44186</v>
      </c>
      <c r="N8817" t="s">
        <v>45095</v>
      </c>
      <c r="O8817" t="s">
        <v>45096</v>
      </c>
      <c r="P8817">
        <v>0</v>
      </c>
      <c r="Q8817">
        <v>0</v>
      </c>
      <c r="R8817" t="s">
        <v>45104</v>
      </c>
      <c r="S8817" t="s">
        <v>45304</v>
      </c>
      <c r="T8817" t="s">
        <v>47000</v>
      </c>
      <c r="U8817" t="s">
        <v>54769</v>
      </c>
      <c r="V8817" t="s">
        <v>60763</v>
      </c>
      <c r="W8817" t="s">
        <v>44186</v>
      </c>
      <c r="X8817" t="s">
        <v>45105</v>
      </c>
    </row>
    <row r="8818" spans="1:24">
      <c r="A8818">
        <f>HYPERLINK("https://www.philgeps.gov.ph/GEPSNONPILOT/Tender/SplashBidNoticeAbstractUI.aspx?menuIndex=3&amp;refID=7033826&amp;Result=3","7033826")</f>
        <v>0</v>
      </c>
      <c r="B8818" t="s">
        <v>2459</v>
      </c>
      <c r="C8818" t="s">
        <v>11601</v>
      </c>
      <c r="D8818" t="s">
        <v>18035</v>
      </c>
      <c r="E8818" t="s">
        <v>25833</v>
      </c>
      <c r="F8818" t="s">
        <v>31574</v>
      </c>
      <c r="G8818" t="s">
        <v>31582</v>
      </c>
      <c r="H8818" t="s">
        <v>31591</v>
      </c>
      <c r="I8818" t="s">
        <v>8822</v>
      </c>
      <c r="J8818" t="s">
        <v>31789</v>
      </c>
      <c r="K8818" t="s">
        <v>41186</v>
      </c>
      <c r="M8818" t="s">
        <v>44188</v>
      </c>
      <c r="N8818" t="s">
        <v>45095</v>
      </c>
      <c r="O8818" t="s">
        <v>45096</v>
      </c>
      <c r="P8818">
        <v>0</v>
      </c>
      <c r="Q8818">
        <v>0</v>
      </c>
      <c r="R8818" t="s">
        <v>45104</v>
      </c>
      <c r="S8818" t="s">
        <v>45304</v>
      </c>
      <c r="T8818" t="s">
        <v>47159</v>
      </c>
      <c r="U8818" t="s">
        <v>51926</v>
      </c>
      <c r="W8818" t="s">
        <v>44188</v>
      </c>
      <c r="X8818" t="s">
        <v>45105</v>
      </c>
    </row>
    <row r="8819" spans="1:24">
      <c r="A8819">
        <f>HYPERLINK("https://www.philgeps.gov.ph/GEPSNONPILOT/Tender/SplashBidNoticeAbstractUI.aspx?menuIndex=3&amp;refID=7033818&amp;Result=3","7033818")</f>
        <v>0</v>
      </c>
      <c r="B8819" t="s">
        <v>2455</v>
      </c>
      <c r="C8819" t="s">
        <v>11602</v>
      </c>
      <c r="E8819" t="s">
        <v>25834</v>
      </c>
      <c r="F8819" t="s">
        <v>31574</v>
      </c>
      <c r="G8819" t="s">
        <v>31582</v>
      </c>
      <c r="H8819" t="s">
        <v>31591</v>
      </c>
      <c r="I8819" t="s">
        <v>8822</v>
      </c>
      <c r="J8819" t="s">
        <v>37292</v>
      </c>
      <c r="K8819" t="s">
        <v>41189</v>
      </c>
      <c r="M8819" t="s">
        <v>44184</v>
      </c>
      <c r="N8819" t="s">
        <v>45095</v>
      </c>
      <c r="O8819" t="s">
        <v>45096</v>
      </c>
      <c r="P8819">
        <v>0</v>
      </c>
      <c r="Q8819">
        <v>0</v>
      </c>
      <c r="R8819" t="s">
        <v>45104</v>
      </c>
      <c r="S8819" t="s">
        <v>45304</v>
      </c>
      <c r="T8819" t="s">
        <v>46965</v>
      </c>
      <c r="U8819" t="s">
        <v>51835</v>
      </c>
      <c r="W8819" t="s">
        <v>44184</v>
      </c>
      <c r="X8819" t="s">
        <v>45105</v>
      </c>
    </row>
    <row r="8820" spans="1:24">
      <c r="A8820">
        <f>HYPERLINK("https://www.philgeps.gov.ph/GEPSNONPILOT/Tender/SplashBidNoticeAbstractUI.aspx?menuIndex=3&amp;refID=7033902&amp;Result=3","7033902")</f>
        <v>0</v>
      </c>
      <c r="B8820" t="s">
        <v>2464</v>
      </c>
      <c r="C8820" t="s">
        <v>11603</v>
      </c>
      <c r="D8820" t="s">
        <v>18042</v>
      </c>
      <c r="E8820" t="s">
        <v>25835</v>
      </c>
      <c r="F8820" t="s">
        <v>31574</v>
      </c>
      <c r="G8820" t="s">
        <v>31582</v>
      </c>
      <c r="H8820" t="s">
        <v>31590</v>
      </c>
      <c r="I8820" t="s">
        <v>31601</v>
      </c>
      <c r="J8820" t="s">
        <v>37293</v>
      </c>
      <c r="K8820" t="s">
        <v>41186</v>
      </c>
      <c r="M8820" t="s">
        <v>44193</v>
      </c>
      <c r="N8820" t="s">
        <v>45095</v>
      </c>
      <c r="O8820" t="s">
        <v>45096</v>
      </c>
      <c r="P8820">
        <v>0</v>
      </c>
      <c r="Q8820">
        <v>2</v>
      </c>
      <c r="R8820" t="s">
        <v>45104</v>
      </c>
      <c r="S8820" t="s">
        <v>45304</v>
      </c>
      <c r="T8820" t="s">
        <v>46992</v>
      </c>
      <c r="U8820" t="s">
        <v>54790</v>
      </c>
      <c r="W8820" t="s">
        <v>44193</v>
      </c>
      <c r="X8820" t="s">
        <v>45105</v>
      </c>
    </row>
    <row r="8821" spans="1:24">
      <c r="A8821">
        <f>HYPERLINK("https://www.philgeps.gov.ph/GEPSNONPILOT/Tender/SplashBidNoticeAbstractUI.aspx?menuIndex=3&amp;refID=7033847&amp;Result=3","7033847")</f>
        <v>0</v>
      </c>
      <c r="B8821" t="s">
        <v>2454</v>
      </c>
      <c r="C8821" t="s">
        <v>11604</v>
      </c>
      <c r="D8821" t="s">
        <v>18094</v>
      </c>
      <c r="E8821" t="s">
        <v>25836</v>
      </c>
      <c r="F8821" t="s">
        <v>31574</v>
      </c>
      <c r="G8821" t="s">
        <v>31585</v>
      </c>
      <c r="H8821" t="s">
        <v>31590</v>
      </c>
      <c r="I8821" t="s">
        <v>4046</v>
      </c>
      <c r="J8821" t="s">
        <v>37294</v>
      </c>
      <c r="K8821" t="s">
        <v>41192</v>
      </c>
      <c r="M8821" t="s">
        <v>44183</v>
      </c>
      <c r="N8821" t="s">
        <v>45095</v>
      </c>
      <c r="O8821" t="s">
        <v>45096</v>
      </c>
      <c r="P8821">
        <v>0</v>
      </c>
      <c r="Q8821">
        <v>0</v>
      </c>
      <c r="R8821" t="s">
        <v>45104</v>
      </c>
      <c r="S8821" t="s">
        <v>45304</v>
      </c>
      <c r="T8821" t="s">
        <v>47273</v>
      </c>
      <c r="U8821" t="s">
        <v>54791</v>
      </c>
      <c r="V8821" t="s">
        <v>60761</v>
      </c>
      <c r="W8821" t="s">
        <v>44183</v>
      </c>
      <c r="X8821" t="s">
        <v>45105</v>
      </c>
    </row>
    <row r="8822" spans="1:24">
      <c r="A8822">
        <f>HYPERLINK("https://www.philgeps.gov.ph/GEPSNONPILOT/Tender/SplashBidNoticeAbstractUI.aspx?menuIndex=3&amp;refID=7033844&amp;Result=3","7033844")</f>
        <v>0</v>
      </c>
      <c r="B8822" t="s">
        <v>2448</v>
      </c>
      <c r="C8822" t="s">
        <v>11605</v>
      </c>
      <c r="D8822" t="s">
        <v>18047</v>
      </c>
      <c r="E8822" t="s">
        <v>25837</v>
      </c>
      <c r="F8822" t="s">
        <v>31574</v>
      </c>
      <c r="G8822" t="s">
        <v>31582</v>
      </c>
      <c r="H8822" t="s">
        <v>31591</v>
      </c>
      <c r="I8822" t="s">
        <v>8822</v>
      </c>
      <c r="J8822" t="s">
        <v>32101</v>
      </c>
      <c r="K8822" t="s">
        <v>41198</v>
      </c>
      <c r="M8822" t="s">
        <v>44176</v>
      </c>
      <c r="N8822" t="s">
        <v>45095</v>
      </c>
      <c r="O8822" t="s">
        <v>45096</v>
      </c>
      <c r="P8822">
        <v>0</v>
      </c>
      <c r="Q8822">
        <v>0</v>
      </c>
      <c r="R8822" t="s">
        <v>45104</v>
      </c>
      <c r="S8822" t="s">
        <v>45304</v>
      </c>
      <c r="T8822" t="s">
        <v>46977</v>
      </c>
      <c r="U8822" t="s">
        <v>54792</v>
      </c>
      <c r="W8822" t="s">
        <v>44176</v>
      </c>
      <c r="X8822" t="s">
        <v>45105</v>
      </c>
    </row>
    <row r="8823" spans="1:24">
      <c r="A8823">
        <f>HYPERLINK("https://www.philgeps.gov.ph/GEPSNONPILOT/Tender/SplashBidNoticeAbstractUI.aspx?menuIndex=3&amp;refID=7033877&amp;Result=3","7033877")</f>
        <v>0</v>
      </c>
      <c r="B8823" t="s">
        <v>348</v>
      </c>
      <c r="C8823" t="s">
        <v>11606</v>
      </c>
      <c r="D8823" t="s">
        <v>18065</v>
      </c>
      <c r="E8823" t="s">
        <v>25838</v>
      </c>
      <c r="F8823" t="s">
        <v>31574</v>
      </c>
      <c r="G8823" t="s">
        <v>31583</v>
      </c>
      <c r="H8823" t="s">
        <v>31590</v>
      </c>
      <c r="I8823" t="s">
        <v>31607</v>
      </c>
      <c r="J8823" t="s">
        <v>31727</v>
      </c>
      <c r="K8823" t="s">
        <v>41184</v>
      </c>
      <c r="M8823" t="s">
        <v>41836</v>
      </c>
      <c r="N8823" t="s">
        <v>45095</v>
      </c>
      <c r="O8823" t="s">
        <v>45096</v>
      </c>
      <c r="Q8823">
        <v>2</v>
      </c>
      <c r="R8823" t="s">
        <v>45104</v>
      </c>
      <c r="S8823" t="s">
        <v>45318</v>
      </c>
      <c r="T8823" t="s">
        <v>46957</v>
      </c>
      <c r="U8823" t="s">
        <v>48153</v>
      </c>
      <c r="W8823" t="s">
        <v>41836</v>
      </c>
      <c r="X8823" t="s">
        <v>45105</v>
      </c>
    </row>
    <row r="8824" spans="1:24">
      <c r="A8824">
        <f>HYPERLINK("https://www.philgeps.gov.ph/GEPSNONPILOT/Tender/SplashBidNoticeAbstractUI.aspx?menuIndex=3&amp;refID=7033856&amp;Result=3","7033856")</f>
        <v>0</v>
      </c>
      <c r="B8824" t="s">
        <v>951</v>
      </c>
      <c r="C8824" t="s">
        <v>11607</v>
      </c>
      <c r="D8824" t="s">
        <v>18074</v>
      </c>
      <c r="E8824" t="s">
        <v>25839</v>
      </c>
      <c r="F8824" t="s">
        <v>31574</v>
      </c>
      <c r="G8824" t="s">
        <v>31582</v>
      </c>
      <c r="H8824" t="s">
        <v>31590</v>
      </c>
      <c r="I8824" t="s">
        <v>3487</v>
      </c>
      <c r="J8824" t="s">
        <v>31843</v>
      </c>
      <c r="K8824" t="s">
        <v>41190</v>
      </c>
      <c r="M8824" t="s">
        <v>42478</v>
      </c>
      <c r="N8824" t="s">
        <v>45095</v>
      </c>
      <c r="O8824" t="s">
        <v>45096</v>
      </c>
      <c r="P8824">
        <v>0</v>
      </c>
      <c r="Q8824">
        <v>0</v>
      </c>
      <c r="R8824" t="s">
        <v>45104</v>
      </c>
      <c r="S8824" t="s">
        <v>45304</v>
      </c>
      <c r="T8824" t="s">
        <v>47158</v>
      </c>
      <c r="U8824" t="s">
        <v>54793</v>
      </c>
      <c r="V8824" t="s">
        <v>60083</v>
      </c>
      <c r="W8824" t="s">
        <v>42478</v>
      </c>
      <c r="X8824" t="s">
        <v>45105</v>
      </c>
    </row>
    <row r="8825" spans="1:24">
      <c r="A8825">
        <f>HYPERLINK("https://www.philgeps.gov.ph/GEPSNONPILOT/Tender/SplashBidNoticeAbstractUI.aspx?menuIndex=3&amp;refID=7033891&amp;Result=3","7033891")</f>
        <v>0</v>
      </c>
      <c r="B8825" t="s">
        <v>2454</v>
      </c>
      <c r="C8825" t="s">
        <v>11608</v>
      </c>
      <c r="D8825" t="s">
        <v>18094</v>
      </c>
      <c r="E8825" t="s">
        <v>25064</v>
      </c>
      <c r="F8825" t="s">
        <v>31574</v>
      </c>
      <c r="G8825" t="s">
        <v>31582</v>
      </c>
      <c r="H8825" t="s">
        <v>31590</v>
      </c>
      <c r="I8825" t="s">
        <v>4046</v>
      </c>
      <c r="J8825" t="s">
        <v>37295</v>
      </c>
      <c r="K8825" t="s">
        <v>41186</v>
      </c>
      <c r="M8825" t="s">
        <v>44183</v>
      </c>
      <c r="N8825" t="s">
        <v>45095</v>
      </c>
      <c r="O8825" t="s">
        <v>45096</v>
      </c>
      <c r="P8825">
        <v>0</v>
      </c>
      <c r="Q8825">
        <v>0</v>
      </c>
      <c r="R8825" t="s">
        <v>45104</v>
      </c>
      <c r="S8825" t="s">
        <v>45304</v>
      </c>
      <c r="T8825" t="s">
        <v>47273</v>
      </c>
      <c r="U8825" t="s">
        <v>54794</v>
      </c>
      <c r="V8825" t="s">
        <v>60761</v>
      </c>
      <c r="W8825" t="s">
        <v>44183</v>
      </c>
      <c r="X8825" t="s">
        <v>45105</v>
      </c>
    </row>
    <row r="8826" spans="1:24">
      <c r="A8826">
        <f>HYPERLINK("https://www.philgeps.gov.ph/GEPSNONPILOT/Tender/SplashBidNoticeAbstractUI.aspx?menuIndex=3&amp;refID=7033900&amp;Result=3","7033900")</f>
        <v>0</v>
      </c>
      <c r="B8826" t="s">
        <v>1555</v>
      </c>
      <c r="C8826" t="s">
        <v>11609</v>
      </c>
      <c r="D8826" t="s">
        <v>18056</v>
      </c>
      <c r="E8826" t="s">
        <v>25840</v>
      </c>
      <c r="F8826" t="s">
        <v>31575</v>
      </c>
      <c r="G8826" t="s">
        <v>31585</v>
      </c>
      <c r="H8826" t="s">
        <v>31590</v>
      </c>
      <c r="I8826" t="s">
        <v>4046</v>
      </c>
      <c r="J8826" t="s">
        <v>37296</v>
      </c>
      <c r="K8826" t="s">
        <v>41186</v>
      </c>
      <c r="M8826" t="s">
        <v>43154</v>
      </c>
      <c r="N8826" t="s">
        <v>45095</v>
      </c>
      <c r="O8826" t="s">
        <v>45096</v>
      </c>
      <c r="P8826">
        <v>0</v>
      </c>
      <c r="Q8826">
        <v>0</v>
      </c>
      <c r="R8826" t="s">
        <v>45104</v>
      </c>
      <c r="S8826" t="s">
        <v>45304</v>
      </c>
      <c r="T8826" t="s">
        <v>47159</v>
      </c>
      <c r="U8826" t="s">
        <v>54795</v>
      </c>
      <c r="W8826" t="s">
        <v>43154</v>
      </c>
      <c r="X8826" t="s">
        <v>45105</v>
      </c>
    </row>
    <row r="8827" spans="1:24">
      <c r="A8827">
        <f>HYPERLINK("https://www.philgeps.gov.ph/GEPSNONPILOT/Tender/SplashBidNoticeAbstractUI.aspx?menuIndex=3&amp;refID=7033872&amp;Result=3","7033872")</f>
        <v>0</v>
      </c>
      <c r="B8827" t="s">
        <v>2457</v>
      </c>
      <c r="C8827" t="s">
        <v>11610</v>
      </c>
      <c r="D8827" t="s">
        <v>18093</v>
      </c>
      <c r="E8827" t="s">
        <v>25841</v>
      </c>
      <c r="F8827" t="s">
        <v>31574</v>
      </c>
      <c r="G8827" t="s">
        <v>31582</v>
      </c>
      <c r="H8827" t="s">
        <v>31591</v>
      </c>
      <c r="I8827" t="s">
        <v>8822</v>
      </c>
      <c r="J8827" t="s">
        <v>31819</v>
      </c>
      <c r="K8827" t="s">
        <v>41243</v>
      </c>
      <c r="L8827" t="s">
        <v>2457</v>
      </c>
      <c r="M8827" t="s">
        <v>44186</v>
      </c>
      <c r="N8827" t="s">
        <v>45095</v>
      </c>
      <c r="O8827" t="s">
        <v>45096</v>
      </c>
      <c r="P8827">
        <v>0</v>
      </c>
      <c r="Q8827">
        <v>1</v>
      </c>
      <c r="R8827" t="s">
        <v>45104</v>
      </c>
      <c r="S8827" t="s">
        <v>45304</v>
      </c>
      <c r="T8827" t="s">
        <v>47000</v>
      </c>
      <c r="U8827" t="s">
        <v>54769</v>
      </c>
      <c r="V8827" t="s">
        <v>60763</v>
      </c>
      <c r="W8827" t="s">
        <v>44186</v>
      </c>
      <c r="X8827" t="s">
        <v>45105</v>
      </c>
    </row>
    <row r="8828" spans="1:24">
      <c r="A8828">
        <f>HYPERLINK("https://www.philgeps.gov.ph/GEPSNONPILOT/Tender/SplashBidNoticeAbstractUI.aspx?menuIndex=3&amp;refID=7033873&amp;Result=3","7033873")</f>
        <v>0</v>
      </c>
      <c r="B8828" t="s">
        <v>2427</v>
      </c>
      <c r="C8828" t="s">
        <v>11611</v>
      </c>
      <c r="D8828" t="s">
        <v>18052</v>
      </c>
      <c r="E8828" t="s">
        <v>25842</v>
      </c>
      <c r="F8828" t="s">
        <v>31574</v>
      </c>
      <c r="G8828" t="s">
        <v>31581</v>
      </c>
      <c r="H8828" t="s">
        <v>31590</v>
      </c>
      <c r="I8828" t="s">
        <v>31661</v>
      </c>
      <c r="J8828" t="s">
        <v>31845</v>
      </c>
      <c r="K8828" t="s">
        <v>41186</v>
      </c>
      <c r="M8828" t="s">
        <v>44154</v>
      </c>
      <c r="N8828" t="s">
        <v>45095</v>
      </c>
      <c r="O8828" t="s">
        <v>45096</v>
      </c>
      <c r="P8828">
        <v>0</v>
      </c>
      <c r="Q8828">
        <v>4</v>
      </c>
      <c r="R8828" t="s">
        <v>45104</v>
      </c>
      <c r="S8828" t="s">
        <v>45304</v>
      </c>
      <c r="T8828" t="s">
        <v>47154</v>
      </c>
      <c r="U8828" t="s">
        <v>54681</v>
      </c>
      <c r="V8828" t="s">
        <v>60748</v>
      </c>
      <c r="W8828" t="s">
        <v>44154</v>
      </c>
      <c r="X8828" t="s">
        <v>45105</v>
      </c>
    </row>
    <row r="8829" spans="1:24">
      <c r="A8829">
        <f>HYPERLINK("https://www.philgeps.gov.ph/GEPSNONPILOT/Tender/SplashBidNoticeAbstractUI.aspx?menuIndex=3&amp;refID=7033881&amp;Result=3","7033881")</f>
        <v>0</v>
      </c>
      <c r="B8829" t="s">
        <v>301</v>
      </c>
      <c r="C8829" t="s">
        <v>11612</v>
      </c>
      <c r="D8829" t="s">
        <v>18060</v>
      </c>
      <c r="E8829" t="s">
        <v>25843</v>
      </c>
      <c r="F8829" t="s">
        <v>31574</v>
      </c>
      <c r="G8829" t="s">
        <v>31582</v>
      </c>
      <c r="H8829" t="s">
        <v>31590</v>
      </c>
      <c r="I8829" t="s">
        <v>7162</v>
      </c>
      <c r="J8829" t="s">
        <v>37297</v>
      </c>
      <c r="K8829" t="s">
        <v>41193</v>
      </c>
      <c r="M8829" t="s">
        <v>41787</v>
      </c>
      <c r="N8829" t="s">
        <v>45095</v>
      </c>
      <c r="O8829" t="s">
        <v>45096</v>
      </c>
      <c r="P8829">
        <v>0</v>
      </c>
      <c r="Q8829">
        <v>5</v>
      </c>
      <c r="R8829" t="s">
        <v>45104</v>
      </c>
      <c r="S8829" t="s">
        <v>45304</v>
      </c>
      <c r="T8829" t="s">
        <v>47196</v>
      </c>
      <c r="U8829" t="s">
        <v>54796</v>
      </c>
      <c r="W8829" t="s">
        <v>41787</v>
      </c>
      <c r="X8829" t="s">
        <v>45105</v>
      </c>
    </row>
    <row r="8830" spans="1:24">
      <c r="A8830">
        <f>HYPERLINK("https://www.philgeps.gov.ph/GEPSNONPILOT/Tender/SplashBidNoticeAbstractUI.aspx?menuIndex=3&amp;refID=7033865&amp;Result=3","7033865")</f>
        <v>0</v>
      </c>
      <c r="B8830" t="s">
        <v>2432</v>
      </c>
      <c r="C8830" t="s">
        <v>11613</v>
      </c>
      <c r="D8830" t="s">
        <v>18043</v>
      </c>
      <c r="E8830" t="s">
        <v>21096</v>
      </c>
      <c r="F8830" t="s">
        <v>31574</v>
      </c>
      <c r="G8830" t="s">
        <v>31582</v>
      </c>
      <c r="H8830" t="s">
        <v>31590</v>
      </c>
      <c r="I8830" t="s">
        <v>31602</v>
      </c>
      <c r="J8830" t="s">
        <v>37298</v>
      </c>
      <c r="K8830" t="s">
        <v>41190</v>
      </c>
      <c r="M8830" t="s">
        <v>44159</v>
      </c>
      <c r="N8830" t="s">
        <v>45095</v>
      </c>
      <c r="O8830" t="s">
        <v>45096</v>
      </c>
      <c r="P8830">
        <v>0</v>
      </c>
      <c r="Q8830">
        <v>0</v>
      </c>
      <c r="R8830" t="s">
        <v>45104</v>
      </c>
      <c r="S8830" t="s">
        <v>45304</v>
      </c>
      <c r="T8830" t="s">
        <v>46992</v>
      </c>
      <c r="U8830" t="s">
        <v>54797</v>
      </c>
      <c r="V8830" t="s">
        <v>60762</v>
      </c>
      <c r="W8830" t="s">
        <v>44159</v>
      </c>
      <c r="X8830" t="s">
        <v>45105</v>
      </c>
    </row>
    <row r="8831" spans="1:24">
      <c r="A8831">
        <f>HYPERLINK("https://www.philgeps.gov.ph/GEPSNONPILOT/Tender/SplashBidNoticeAbstractUI.aspx?menuIndex=3&amp;refID=7033860&amp;Result=3","7033860")</f>
        <v>0</v>
      </c>
      <c r="B8831" t="s">
        <v>2463</v>
      </c>
      <c r="C8831" t="s">
        <v>11614</v>
      </c>
      <c r="D8831" t="s">
        <v>18033</v>
      </c>
      <c r="E8831" t="s">
        <v>25844</v>
      </c>
      <c r="F8831" t="s">
        <v>31574</v>
      </c>
      <c r="G8831" t="s">
        <v>31582</v>
      </c>
      <c r="H8831" t="s">
        <v>31590</v>
      </c>
      <c r="I8831" t="s">
        <v>5717</v>
      </c>
      <c r="J8831" t="s">
        <v>37299</v>
      </c>
      <c r="K8831" t="s">
        <v>41191</v>
      </c>
      <c r="M8831" t="s">
        <v>44192</v>
      </c>
      <c r="N8831" t="s">
        <v>45095</v>
      </c>
      <c r="O8831" t="s">
        <v>45096</v>
      </c>
      <c r="P8831">
        <v>0</v>
      </c>
      <c r="Q8831">
        <v>2</v>
      </c>
      <c r="R8831" t="s">
        <v>45104</v>
      </c>
      <c r="S8831" t="s">
        <v>45304</v>
      </c>
      <c r="T8831" t="s">
        <v>46966</v>
      </c>
      <c r="U8831" t="s">
        <v>54788</v>
      </c>
      <c r="W8831" t="s">
        <v>44192</v>
      </c>
      <c r="X8831" t="s">
        <v>45105</v>
      </c>
    </row>
    <row r="8832" spans="1:24">
      <c r="A8832">
        <f>HYPERLINK("https://www.philgeps.gov.ph/GEPSNONPILOT/Tender/SplashBidNoticeAbstractUI.aspx?menuIndex=3&amp;refID=7033916&amp;Result=3","7033916")</f>
        <v>0</v>
      </c>
      <c r="B8832" t="s">
        <v>2454</v>
      </c>
      <c r="C8832" t="s">
        <v>11615</v>
      </c>
      <c r="D8832" t="s">
        <v>18094</v>
      </c>
      <c r="E8832" t="s">
        <v>25845</v>
      </c>
      <c r="F8832" t="s">
        <v>31574</v>
      </c>
      <c r="G8832" t="s">
        <v>31588</v>
      </c>
      <c r="H8832" t="s">
        <v>31590</v>
      </c>
      <c r="I8832" t="s">
        <v>4046</v>
      </c>
      <c r="J8832" t="s">
        <v>37300</v>
      </c>
      <c r="K8832" t="s">
        <v>41186</v>
      </c>
      <c r="M8832" t="s">
        <v>44183</v>
      </c>
      <c r="N8832" t="s">
        <v>45095</v>
      </c>
      <c r="O8832" t="s">
        <v>45096</v>
      </c>
      <c r="P8832">
        <v>0</v>
      </c>
      <c r="Q8832">
        <v>0</v>
      </c>
      <c r="R8832" t="s">
        <v>45104</v>
      </c>
      <c r="S8832" t="s">
        <v>45304</v>
      </c>
      <c r="T8832" t="s">
        <v>47273</v>
      </c>
      <c r="U8832" t="s">
        <v>54798</v>
      </c>
      <c r="V8832" t="s">
        <v>60761</v>
      </c>
      <c r="W8832" t="s">
        <v>44183</v>
      </c>
      <c r="X8832" t="s">
        <v>45105</v>
      </c>
    </row>
    <row r="8833" spans="1:24">
      <c r="A8833">
        <f>HYPERLINK("https://www.philgeps.gov.ph/GEPSNONPILOT/Tender/SplashBidNoticeAbstractUI.aspx?menuIndex=3&amp;refID=7033864&amp;Result=3","7033864")</f>
        <v>0</v>
      </c>
      <c r="B8833" t="s">
        <v>2452</v>
      </c>
      <c r="C8833" t="s">
        <v>11616</v>
      </c>
      <c r="D8833" t="s">
        <v>18066</v>
      </c>
      <c r="E8833" t="s">
        <v>18316</v>
      </c>
      <c r="F8833" t="s">
        <v>31574</v>
      </c>
      <c r="G8833" t="s">
        <v>31582</v>
      </c>
      <c r="H8833" t="s">
        <v>31591</v>
      </c>
      <c r="I8833" t="s">
        <v>8822</v>
      </c>
      <c r="J8833" t="s">
        <v>31878</v>
      </c>
      <c r="K8833" t="s">
        <v>41191</v>
      </c>
      <c r="M8833" t="s">
        <v>44180</v>
      </c>
      <c r="N8833" t="s">
        <v>45095</v>
      </c>
      <c r="O8833" t="s">
        <v>45096</v>
      </c>
      <c r="P8833">
        <v>0</v>
      </c>
      <c r="Q8833">
        <v>0</v>
      </c>
      <c r="R8833" t="s">
        <v>45104</v>
      </c>
      <c r="S8833" t="s">
        <v>45304</v>
      </c>
      <c r="T8833" t="s">
        <v>46985</v>
      </c>
      <c r="U8833" t="s">
        <v>54799</v>
      </c>
      <c r="W8833" t="s">
        <v>44180</v>
      </c>
      <c r="X8833" t="s">
        <v>45105</v>
      </c>
    </row>
    <row r="8834" spans="1:24">
      <c r="A8834">
        <f>HYPERLINK("https://www.philgeps.gov.ph/GEPSNONPILOT/Tender/SplashBidNoticeAbstractUI.aspx?menuIndex=3&amp;refID=7033910&amp;Result=3","7033910")</f>
        <v>0</v>
      </c>
      <c r="B8834" t="s">
        <v>2465</v>
      </c>
      <c r="C8834" t="s">
        <v>11617</v>
      </c>
      <c r="D8834" t="s">
        <v>18053</v>
      </c>
      <c r="E8834" t="s">
        <v>25846</v>
      </c>
      <c r="F8834" t="s">
        <v>31574</v>
      </c>
      <c r="G8834" t="s">
        <v>31582</v>
      </c>
      <c r="H8834" t="s">
        <v>31591</v>
      </c>
      <c r="I8834" t="s">
        <v>8822</v>
      </c>
      <c r="J8834" t="s">
        <v>37301</v>
      </c>
      <c r="K8834" t="s">
        <v>41296</v>
      </c>
      <c r="M8834" t="s">
        <v>44194</v>
      </c>
      <c r="N8834" t="s">
        <v>45095</v>
      </c>
      <c r="O8834" t="s">
        <v>45096</v>
      </c>
      <c r="P8834">
        <v>0</v>
      </c>
      <c r="Q8834">
        <v>0</v>
      </c>
      <c r="R8834" t="s">
        <v>45104</v>
      </c>
      <c r="S8834" t="s">
        <v>45304</v>
      </c>
      <c r="T8834" t="s">
        <v>46943</v>
      </c>
      <c r="U8834" t="s">
        <v>54800</v>
      </c>
      <c r="W8834" t="s">
        <v>44194</v>
      </c>
      <c r="X8834" t="s">
        <v>45105</v>
      </c>
    </row>
    <row r="8835" spans="1:24">
      <c r="A8835">
        <f>HYPERLINK("https://www.philgeps.gov.ph/GEPSNONPILOT/Tender/SplashBidNoticeAbstractUI.aspx?menuIndex=3&amp;refID=7033905&amp;Result=3","7033905")</f>
        <v>0</v>
      </c>
      <c r="B8835" t="s">
        <v>2432</v>
      </c>
      <c r="C8835" t="s">
        <v>11618</v>
      </c>
      <c r="D8835" t="s">
        <v>18043</v>
      </c>
      <c r="E8835" t="s">
        <v>21096</v>
      </c>
      <c r="F8835" t="s">
        <v>31574</v>
      </c>
      <c r="G8835" t="s">
        <v>31582</v>
      </c>
      <c r="H8835" t="s">
        <v>31590</v>
      </c>
      <c r="I8835" t="s">
        <v>31602</v>
      </c>
      <c r="J8835" t="s">
        <v>37302</v>
      </c>
      <c r="K8835" t="s">
        <v>41190</v>
      </c>
      <c r="M8835" t="s">
        <v>44159</v>
      </c>
      <c r="N8835" t="s">
        <v>45095</v>
      </c>
      <c r="O8835" t="s">
        <v>45096</v>
      </c>
      <c r="P8835">
        <v>0</v>
      </c>
      <c r="Q8835">
        <v>0</v>
      </c>
      <c r="R8835" t="s">
        <v>45104</v>
      </c>
      <c r="S8835" t="s">
        <v>45304</v>
      </c>
      <c r="T8835" t="s">
        <v>46992</v>
      </c>
      <c r="U8835" t="s">
        <v>54801</v>
      </c>
      <c r="V8835" t="s">
        <v>60762</v>
      </c>
      <c r="W8835" t="s">
        <v>44159</v>
      </c>
      <c r="X8835" t="s">
        <v>45105</v>
      </c>
    </row>
    <row r="8836" spans="1:24">
      <c r="A8836">
        <f>HYPERLINK("https://www.philgeps.gov.ph/GEPSNONPILOT/Tender/SplashBidNoticeAbstractUI.aspx?menuIndex=3&amp;refID=7033917&amp;Result=3","7033917")</f>
        <v>0</v>
      </c>
      <c r="B8836" t="s">
        <v>1449</v>
      </c>
      <c r="C8836" t="s">
        <v>11619</v>
      </c>
      <c r="D8836" t="s">
        <v>18088</v>
      </c>
      <c r="E8836" t="s">
        <v>25847</v>
      </c>
      <c r="F8836" t="s">
        <v>31574</v>
      </c>
      <c r="G8836" t="s">
        <v>31582</v>
      </c>
      <c r="H8836" t="s">
        <v>31591</v>
      </c>
      <c r="I8836" t="s">
        <v>8822</v>
      </c>
      <c r="J8836" t="s">
        <v>37303</v>
      </c>
      <c r="K8836" t="s">
        <v>41189</v>
      </c>
      <c r="M8836" t="s">
        <v>43028</v>
      </c>
      <c r="N8836" t="s">
        <v>45095</v>
      </c>
      <c r="O8836" t="s">
        <v>45096</v>
      </c>
      <c r="P8836">
        <v>0</v>
      </c>
      <c r="Q8836">
        <v>0</v>
      </c>
      <c r="R8836" t="s">
        <v>45104</v>
      </c>
      <c r="S8836" t="s">
        <v>45304</v>
      </c>
      <c r="T8836" t="s">
        <v>46941</v>
      </c>
      <c r="U8836" t="s">
        <v>54802</v>
      </c>
      <c r="V8836" t="s">
        <v>60272</v>
      </c>
      <c r="W8836" t="s">
        <v>43028</v>
      </c>
      <c r="X8836" t="s">
        <v>45105</v>
      </c>
    </row>
    <row r="8837" spans="1:24">
      <c r="A8837">
        <f>HYPERLINK("https://www.philgeps.gov.ph/GEPSNONPILOT/Tender/SplashBidNoticeAbstractUI.aspx?menuIndex=3&amp;refID=7033911&amp;Result=3","7033911")</f>
        <v>0</v>
      </c>
      <c r="B8837" t="s">
        <v>2466</v>
      </c>
      <c r="C8837" t="s">
        <v>11620</v>
      </c>
      <c r="D8837" t="s">
        <v>18107</v>
      </c>
      <c r="E8837" t="s">
        <v>25848</v>
      </c>
      <c r="F8837" t="s">
        <v>31574</v>
      </c>
      <c r="G8837" t="s">
        <v>31582</v>
      </c>
      <c r="H8837" t="s">
        <v>31591</v>
      </c>
      <c r="I8837" t="s">
        <v>8822</v>
      </c>
      <c r="J8837" t="s">
        <v>36023</v>
      </c>
      <c r="K8837" t="s">
        <v>41196</v>
      </c>
      <c r="M8837" t="s">
        <v>44195</v>
      </c>
      <c r="N8837" t="s">
        <v>45095</v>
      </c>
      <c r="O8837" t="s">
        <v>45096</v>
      </c>
      <c r="P8837">
        <v>0</v>
      </c>
      <c r="Q8837">
        <v>0</v>
      </c>
      <c r="R8837" t="s">
        <v>45104</v>
      </c>
      <c r="S8837" t="s">
        <v>45304</v>
      </c>
      <c r="T8837" t="s">
        <v>47154</v>
      </c>
      <c r="U8837" t="s">
        <v>54803</v>
      </c>
      <c r="W8837" t="s">
        <v>44195</v>
      </c>
      <c r="X8837" t="s">
        <v>45105</v>
      </c>
    </row>
    <row r="8838" spans="1:24">
      <c r="A8838">
        <f>HYPERLINK("https://www.philgeps.gov.ph/GEPSNONPILOT/Tender/SplashBidNoticeAbstractUI.aspx?menuIndex=3&amp;refID=7033857&amp;Result=3","7033857")</f>
        <v>0</v>
      </c>
      <c r="B8838" t="s">
        <v>2467</v>
      </c>
      <c r="C8838" t="s">
        <v>5043</v>
      </c>
      <c r="D8838" t="s">
        <v>18059</v>
      </c>
      <c r="E8838" t="s">
        <v>25849</v>
      </c>
      <c r="F8838" t="s">
        <v>31574</v>
      </c>
      <c r="G8838" t="s">
        <v>31583</v>
      </c>
      <c r="H8838" t="s">
        <v>31590</v>
      </c>
      <c r="I8838" t="s">
        <v>6800</v>
      </c>
      <c r="J8838" t="s">
        <v>37304</v>
      </c>
      <c r="K8838" t="s">
        <v>41193</v>
      </c>
      <c r="M8838" t="s">
        <v>44196</v>
      </c>
      <c r="N8838" t="s">
        <v>45095</v>
      </c>
      <c r="O8838" t="s">
        <v>45096</v>
      </c>
      <c r="P8838">
        <v>0</v>
      </c>
      <c r="Q8838">
        <v>0</v>
      </c>
      <c r="R8838" t="s">
        <v>45104</v>
      </c>
      <c r="S8838" t="s">
        <v>45304</v>
      </c>
      <c r="T8838" t="s">
        <v>47159</v>
      </c>
      <c r="U8838" t="s">
        <v>54804</v>
      </c>
      <c r="W8838" t="s">
        <v>44196</v>
      </c>
      <c r="X8838" t="s">
        <v>45105</v>
      </c>
    </row>
    <row r="8839" spans="1:24">
      <c r="A8839">
        <f>HYPERLINK("https://www.philgeps.gov.ph/GEPSNONPILOT/Tender/SplashBidNoticeAbstractUI.aspx?menuIndex=3&amp;refID=7033904&amp;Result=3","7033904")</f>
        <v>0</v>
      </c>
      <c r="B8839" t="s">
        <v>2468</v>
      </c>
      <c r="C8839" t="s">
        <v>11621</v>
      </c>
      <c r="D8839" t="s">
        <v>18040</v>
      </c>
      <c r="E8839" t="s">
        <v>25850</v>
      </c>
      <c r="F8839" t="s">
        <v>31574</v>
      </c>
      <c r="G8839" t="s">
        <v>31582</v>
      </c>
      <c r="H8839" t="s">
        <v>31591</v>
      </c>
      <c r="I8839" t="s">
        <v>8822</v>
      </c>
      <c r="J8839" t="s">
        <v>37305</v>
      </c>
      <c r="K8839" t="s">
        <v>41208</v>
      </c>
      <c r="M8839" t="s">
        <v>44197</v>
      </c>
      <c r="N8839" t="s">
        <v>45095</v>
      </c>
      <c r="O8839" t="s">
        <v>45096</v>
      </c>
      <c r="P8839">
        <v>0</v>
      </c>
      <c r="Q8839">
        <v>2</v>
      </c>
      <c r="R8839" t="s">
        <v>45104</v>
      </c>
      <c r="S8839" t="s">
        <v>45304</v>
      </c>
      <c r="T8839" t="s">
        <v>47158</v>
      </c>
      <c r="U8839" t="s">
        <v>54805</v>
      </c>
      <c r="W8839" t="s">
        <v>44197</v>
      </c>
      <c r="X8839" t="s">
        <v>45105</v>
      </c>
    </row>
    <row r="8840" spans="1:24">
      <c r="A8840">
        <f>HYPERLINK("https://www.philgeps.gov.ph/GEPSNONPILOT/Tender/SplashBidNoticeAbstractUI.aspx?menuIndex=3&amp;refID=7033923&amp;Result=3","7033923")</f>
        <v>0</v>
      </c>
      <c r="B8840" t="s">
        <v>2451</v>
      </c>
      <c r="C8840" t="s">
        <v>11622</v>
      </c>
      <c r="D8840" t="s">
        <v>18052</v>
      </c>
      <c r="E8840" t="s">
        <v>25851</v>
      </c>
      <c r="F8840" t="s">
        <v>31574</v>
      </c>
      <c r="G8840" t="s">
        <v>31581</v>
      </c>
      <c r="H8840" t="s">
        <v>31590</v>
      </c>
      <c r="I8840" t="s">
        <v>31648</v>
      </c>
      <c r="J8840" t="s">
        <v>31727</v>
      </c>
      <c r="K8840" t="s">
        <v>41190</v>
      </c>
      <c r="M8840" t="s">
        <v>44179</v>
      </c>
      <c r="N8840" t="s">
        <v>45095</v>
      </c>
      <c r="O8840" t="s">
        <v>45096</v>
      </c>
      <c r="P8840">
        <v>0</v>
      </c>
      <c r="Q8840">
        <v>2</v>
      </c>
      <c r="R8840" t="s">
        <v>45104</v>
      </c>
      <c r="S8840" t="s">
        <v>45304</v>
      </c>
      <c r="T8840" t="s">
        <v>46973</v>
      </c>
      <c r="U8840" t="s">
        <v>54806</v>
      </c>
      <c r="W8840" t="s">
        <v>44179</v>
      </c>
      <c r="X8840" t="s">
        <v>45105</v>
      </c>
    </row>
    <row r="8841" spans="1:24">
      <c r="A8841">
        <f>HYPERLINK("https://www.philgeps.gov.ph/GEPSNONPILOT/Tender/SplashBidNoticeAbstractUI.aspx?menuIndex=3&amp;refID=7033859&amp;Result=3","7033859")</f>
        <v>0</v>
      </c>
      <c r="B8841" t="s">
        <v>161</v>
      </c>
      <c r="C8841" t="s">
        <v>11623</v>
      </c>
      <c r="E8841" t="s">
        <v>25852</v>
      </c>
      <c r="F8841" t="s">
        <v>31574</v>
      </c>
      <c r="G8841" t="s">
        <v>31581</v>
      </c>
      <c r="H8841" t="s">
        <v>31590</v>
      </c>
      <c r="I8841" t="s">
        <v>3873</v>
      </c>
      <c r="J8841" t="s">
        <v>37306</v>
      </c>
      <c r="K8841" t="s">
        <v>41184</v>
      </c>
      <c r="M8841" t="s">
        <v>41645</v>
      </c>
      <c r="N8841" t="s">
        <v>45095</v>
      </c>
      <c r="O8841" t="s">
        <v>45096</v>
      </c>
      <c r="P8841">
        <v>0</v>
      </c>
      <c r="Q8841">
        <v>0</v>
      </c>
      <c r="R8841" t="s">
        <v>45104</v>
      </c>
      <c r="S8841" t="s">
        <v>45304</v>
      </c>
      <c r="T8841" t="s">
        <v>46985</v>
      </c>
      <c r="U8841" t="s">
        <v>54807</v>
      </c>
      <c r="W8841" t="s">
        <v>41645</v>
      </c>
      <c r="X8841" t="s">
        <v>45105</v>
      </c>
    </row>
    <row r="8842" spans="1:24">
      <c r="A8842">
        <f>HYPERLINK("https://www.philgeps.gov.ph/GEPSNONPILOT/Tender/SplashBidNoticeAbstractUI.aspx?menuIndex=3&amp;refID=7033936&amp;Result=3","7033936")</f>
        <v>0</v>
      </c>
      <c r="B8842" t="s">
        <v>2469</v>
      </c>
      <c r="C8842" t="s">
        <v>11624</v>
      </c>
      <c r="D8842" t="s">
        <v>18060</v>
      </c>
      <c r="E8842" t="s">
        <v>25853</v>
      </c>
      <c r="F8842" t="s">
        <v>31574</v>
      </c>
      <c r="G8842" t="s">
        <v>31582</v>
      </c>
      <c r="H8842" t="s">
        <v>31591</v>
      </c>
      <c r="I8842" t="s">
        <v>8822</v>
      </c>
      <c r="J8842" t="s">
        <v>32001</v>
      </c>
      <c r="K8842" t="s">
        <v>41186</v>
      </c>
      <c r="M8842" t="s">
        <v>44198</v>
      </c>
      <c r="N8842" t="s">
        <v>45095</v>
      </c>
      <c r="O8842" t="s">
        <v>45096</v>
      </c>
      <c r="P8842">
        <v>0</v>
      </c>
      <c r="Q8842">
        <v>0</v>
      </c>
      <c r="R8842" t="s">
        <v>45104</v>
      </c>
      <c r="S8842" t="s">
        <v>45304</v>
      </c>
      <c r="T8842" t="s">
        <v>46985</v>
      </c>
      <c r="U8842" t="s">
        <v>54808</v>
      </c>
      <c r="W8842" t="s">
        <v>44198</v>
      </c>
      <c r="X8842" t="s">
        <v>45105</v>
      </c>
    </row>
    <row r="8843" spans="1:24">
      <c r="A8843">
        <f>HYPERLINK("https://www.philgeps.gov.ph/GEPSNONPILOT/Tender/SplashBidNoticeAbstractUI.aspx?menuIndex=3&amp;refID=7033932&amp;Result=3","7033932")</f>
        <v>0</v>
      </c>
      <c r="B8843" t="s">
        <v>348</v>
      </c>
      <c r="C8843" t="s">
        <v>11625</v>
      </c>
      <c r="D8843" t="s">
        <v>18065</v>
      </c>
      <c r="E8843" t="s">
        <v>25854</v>
      </c>
      <c r="F8843" t="s">
        <v>31574</v>
      </c>
      <c r="G8843" t="s">
        <v>31583</v>
      </c>
      <c r="H8843" t="s">
        <v>31590</v>
      </c>
      <c r="I8843" t="s">
        <v>4046</v>
      </c>
      <c r="J8843" t="s">
        <v>31789</v>
      </c>
      <c r="K8843" t="s">
        <v>41184</v>
      </c>
      <c r="M8843" t="s">
        <v>41836</v>
      </c>
      <c r="N8843" t="s">
        <v>45095</v>
      </c>
      <c r="O8843" t="s">
        <v>45096</v>
      </c>
      <c r="Q8843">
        <v>2</v>
      </c>
      <c r="R8843" t="s">
        <v>45104</v>
      </c>
      <c r="S8843" t="s">
        <v>45319</v>
      </c>
      <c r="T8843" t="s">
        <v>46957</v>
      </c>
      <c r="U8843" t="s">
        <v>48153</v>
      </c>
      <c r="W8843" t="s">
        <v>41836</v>
      </c>
      <c r="X8843" t="s">
        <v>45105</v>
      </c>
    </row>
    <row r="8844" spans="1:24">
      <c r="A8844">
        <f>HYPERLINK("https://www.philgeps.gov.ph/GEPSNONPILOT/Tender/SplashBidNoticeAbstractUI.aspx?menuIndex=3&amp;refID=7033863&amp;Result=3","7033863")</f>
        <v>0</v>
      </c>
      <c r="B8844" t="s">
        <v>2437</v>
      </c>
      <c r="C8844" t="s">
        <v>11626</v>
      </c>
      <c r="D8844" t="s">
        <v>18079</v>
      </c>
      <c r="E8844" t="s">
        <v>25855</v>
      </c>
      <c r="F8844" t="s">
        <v>31574</v>
      </c>
      <c r="G8844" t="s">
        <v>31588</v>
      </c>
      <c r="H8844" t="s">
        <v>31591</v>
      </c>
      <c r="I8844" t="s">
        <v>8822</v>
      </c>
      <c r="J8844" t="s">
        <v>37307</v>
      </c>
      <c r="K8844" t="s">
        <v>41189</v>
      </c>
      <c r="M8844" t="s">
        <v>44164</v>
      </c>
      <c r="N8844" t="s">
        <v>45095</v>
      </c>
      <c r="O8844" t="s">
        <v>45096</v>
      </c>
      <c r="P8844">
        <v>0</v>
      </c>
      <c r="Q8844">
        <v>0</v>
      </c>
      <c r="R8844" t="s">
        <v>45104</v>
      </c>
      <c r="S8844" t="s">
        <v>45304</v>
      </c>
      <c r="T8844" t="s">
        <v>47000</v>
      </c>
      <c r="U8844" t="s">
        <v>54809</v>
      </c>
      <c r="W8844" t="s">
        <v>44164</v>
      </c>
      <c r="X8844" t="s">
        <v>45105</v>
      </c>
    </row>
    <row r="8845" spans="1:24">
      <c r="A8845">
        <f>HYPERLINK("https://www.philgeps.gov.ph/GEPSNONPILOT/Tender/SplashBidNoticeAbstractUI.aspx?menuIndex=3&amp;refID=7033987&amp;Result=3","7033987")</f>
        <v>0</v>
      </c>
      <c r="B8845" t="s">
        <v>283</v>
      </c>
      <c r="C8845" t="s">
        <v>11627</v>
      </c>
      <c r="D8845" t="s">
        <v>18036</v>
      </c>
      <c r="E8845" t="s">
        <v>25856</v>
      </c>
      <c r="F8845" t="s">
        <v>31574</v>
      </c>
      <c r="G8845" t="s">
        <v>31582</v>
      </c>
      <c r="H8845" t="s">
        <v>31592</v>
      </c>
      <c r="I8845" t="s">
        <v>31619</v>
      </c>
      <c r="J8845" t="s">
        <v>37308</v>
      </c>
      <c r="K8845" t="s">
        <v>41189</v>
      </c>
      <c r="M8845" t="s">
        <v>43060</v>
      </c>
      <c r="N8845" t="s">
        <v>45095</v>
      </c>
      <c r="O8845" t="s">
        <v>45096</v>
      </c>
      <c r="P8845">
        <v>0</v>
      </c>
      <c r="Q8845">
        <v>8</v>
      </c>
      <c r="R8845" t="s">
        <v>45104</v>
      </c>
      <c r="S8845" t="s">
        <v>45304</v>
      </c>
      <c r="T8845" t="s">
        <v>46943</v>
      </c>
      <c r="U8845" t="s">
        <v>51067</v>
      </c>
      <c r="V8845" t="s">
        <v>60764</v>
      </c>
      <c r="W8845" t="s">
        <v>43060</v>
      </c>
      <c r="X8845" t="s">
        <v>45105</v>
      </c>
    </row>
    <row r="8846" spans="1:24">
      <c r="A8846">
        <f>HYPERLINK("https://www.philgeps.gov.ph/GEPSNONPILOT/Tender/SplashBidNoticeAbstractUI.aspx?menuIndex=3&amp;refID=7033986&amp;Result=3","7033986")</f>
        <v>0</v>
      </c>
      <c r="B8846" t="s">
        <v>2470</v>
      </c>
      <c r="C8846" t="s">
        <v>11628</v>
      </c>
      <c r="D8846" t="s">
        <v>18070</v>
      </c>
      <c r="E8846" t="s">
        <v>25012</v>
      </c>
      <c r="F8846" t="s">
        <v>31574</v>
      </c>
      <c r="G8846" t="s">
        <v>31582</v>
      </c>
      <c r="H8846" t="s">
        <v>31591</v>
      </c>
      <c r="I8846" t="s">
        <v>8822</v>
      </c>
      <c r="J8846" t="s">
        <v>32550</v>
      </c>
      <c r="K8846" t="s">
        <v>41243</v>
      </c>
      <c r="M8846" t="s">
        <v>44199</v>
      </c>
      <c r="N8846" t="s">
        <v>45095</v>
      </c>
      <c r="O8846" t="s">
        <v>45096</v>
      </c>
      <c r="P8846">
        <v>0</v>
      </c>
      <c r="Q8846">
        <v>0</v>
      </c>
      <c r="R8846" t="s">
        <v>45104</v>
      </c>
      <c r="S8846" t="s">
        <v>45304</v>
      </c>
      <c r="T8846" t="s">
        <v>46965</v>
      </c>
      <c r="U8846" t="s">
        <v>54810</v>
      </c>
      <c r="V8846" t="s">
        <v>60765</v>
      </c>
      <c r="W8846" t="s">
        <v>44199</v>
      </c>
      <c r="X8846" t="s">
        <v>45105</v>
      </c>
    </row>
    <row r="8847" spans="1:24">
      <c r="A8847">
        <f>HYPERLINK("https://www.philgeps.gov.ph/GEPSNONPILOT/Tender/SplashBidNoticeAbstractUI.aspx?menuIndex=3&amp;refID=7033937&amp;Result=3","7033937")</f>
        <v>0</v>
      </c>
      <c r="B8847" t="s">
        <v>2467</v>
      </c>
      <c r="C8847" t="s">
        <v>5917</v>
      </c>
      <c r="D8847" t="s">
        <v>18059</v>
      </c>
      <c r="E8847" t="s">
        <v>25857</v>
      </c>
      <c r="F8847" t="s">
        <v>31574</v>
      </c>
      <c r="G8847" t="s">
        <v>31583</v>
      </c>
      <c r="H8847" t="s">
        <v>31590</v>
      </c>
      <c r="I8847" t="s">
        <v>6800</v>
      </c>
      <c r="J8847" t="s">
        <v>37309</v>
      </c>
      <c r="K8847" t="s">
        <v>41193</v>
      </c>
      <c r="M8847" t="s">
        <v>44196</v>
      </c>
      <c r="N8847" t="s">
        <v>45095</v>
      </c>
      <c r="O8847" t="s">
        <v>45096</v>
      </c>
      <c r="P8847">
        <v>0</v>
      </c>
      <c r="Q8847">
        <v>0</v>
      </c>
      <c r="R8847" t="s">
        <v>45104</v>
      </c>
      <c r="S8847" t="s">
        <v>45304</v>
      </c>
      <c r="T8847" t="s">
        <v>47159</v>
      </c>
      <c r="U8847" t="s">
        <v>54811</v>
      </c>
      <c r="W8847" t="s">
        <v>44196</v>
      </c>
      <c r="X8847" t="s">
        <v>45105</v>
      </c>
    </row>
    <row r="8848" spans="1:24">
      <c r="A8848">
        <f>HYPERLINK("https://www.philgeps.gov.ph/GEPSNONPILOT/Tender/SplashBidNoticeAbstractUI.aspx?menuIndex=3&amp;refID=7033983&amp;Result=3","7033983")</f>
        <v>0</v>
      </c>
      <c r="B8848" t="s">
        <v>2471</v>
      </c>
      <c r="C8848" t="s">
        <v>11629</v>
      </c>
      <c r="D8848" t="s">
        <v>18060</v>
      </c>
      <c r="E8848" t="s">
        <v>25858</v>
      </c>
      <c r="F8848" t="s">
        <v>31574</v>
      </c>
      <c r="G8848" t="s">
        <v>31581</v>
      </c>
      <c r="H8848" t="s">
        <v>31590</v>
      </c>
      <c r="I8848" t="s">
        <v>31615</v>
      </c>
      <c r="J8848" t="s">
        <v>31789</v>
      </c>
      <c r="K8848" t="s">
        <v>41193</v>
      </c>
      <c r="M8848" t="s">
        <v>44200</v>
      </c>
      <c r="N8848" t="s">
        <v>45095</v>
      </c>
      <c r="O8848" t="s">
        <v>45096</v>
      </c>
      <c r="P8848">
        <v>0</v>
      </c>
      <c r="Q8848">
        <v>0</v>
      </c>
      <c r="R8848" t="s">
        <v>45104</v>
      </c>
      <c r="S8848" t="s">
        <v>45304</v>
      </c>
      <c r="T8848" t="s">
        <v>46985</v>
      </c>
      <c r="U8848" t="s">
        <v>54812</v>
      </c>
      <c r="W8848" t="s">
        <v>44200</v>
      </c>
      <c r="X8848" t="s">
        <v>45105</v>
      </c>
    </row>
    <row r="8849" spans="1:24">
      <c r="A8849">
        <f>HYPERLINK("https://www.philgeps.gov.ph/GEPSNONPILOT/Tender/SplashBidNoticeAbstractUI.aspx?menuIndex=3&amp;refID=7033927&amp;Result=3","7033927")</f>
        <v>0</v>
      </c>
      <c r="B8849" t="s">
        <v>2472</v>
      </c>
      <c r="C8849" t="s">
        <v>11630</v>
      </c>
      <c r="D8849" t="s">
        <v>18022</v>
      </c>
      <c r="E8849" t="s">
        <v>25859</v>
      </c>
      <c r="F8849" t="s">
        <v>31574</v>
      </c>
      <c r="G8849" t="s">
        <v>31582</v>
      </c>
      <c r="H8849" t="s">
        <v>31590</v>
      </c>
      <c r="I8849" t="s">
        <v>3487</v>
      </c>
      <c r="J8849" t="s">
        <v>31727</v>
      </c>
      <c r="K8849" t="s">
        <v>41193</v>
      </c>
      <c r="M8849" t="s">
        <v>44201</v>
      </c>
      <c r="N8849" t="s">
        <v>45095</v>
      </c>
      <c r="O8849" t="s">
        <v>45096</v>
      </c>
      <c r="P8849">
        <v>0</v>
      </c>
      <c r="Q8849">
        <v>1</v>
      </c>
      <c r="R8849" t="s">
        <v>45104</v>
      </c>
      <c r="S8849" t="s">
        <v>45304</v>
      </c>
      <c r="T8849" t="s">
        <v>47301</v>
      </c>
      <c r="U8849" t="s">
        <v>54813</v>
      </c>
      <c r="W8849" t="s">
        <v>44201</v>
      </c>
      <c r="X8849" t="s">
        <v>45105</v>
      </c>
    </row>
    <row r="8850" spans="1:24">
      <c r="A8850">
        <f>HYPERLINK("https://www.philgeps.gov.ph/GEPSNONPILOT/Tender/SplashBidNoticeAbstractUI.aspx?menuIndex=3&amp;refID=7033994&amp;Result=3","7033994")</f>
        <v>0</v>
      </c>
      <c r="B8850" t="s">
        <v>1449</v>
      </c>
      <c r="C8850" t="s">
        <v>11631</v>
      </c>
      <c r="D8850" t="s">
        <v>18088</v>
      </c>
      <c r="E8850" t="s">
        <v>25860</v>
      </c>
      <c r="F8850" t="s">
        <v>31574</v>
      </c>
      <c r="G8850" t="s">
        <v>31582</v>
      </c>
      <c r="H8850" t="s">
        <v>31591</v>
      </c>
      <c r="I8850" t="s">
        <v>8822</v>
      </c>
      <c r="J8850" t="s">
        <v>37310</v>
      </c>
      <c r="K8850" t="s">
        <v>41255</v>
      </c>
      <c r="M8850" t="s">
        <v>43028</v>
      </c>
      <c r="N8850" t="s">
        <v>45095</v>
      </c>
      <c r="O8850" t="s">
        <v>45096</v>
      </c>
      <c r="P8850">
        <v>0</v>
      </c>
      <c r="Q8850">
        <v>0</v>
      </c>
      <c r="R8850" t="s">
        <v>45104</v>
      </c>
      <c r="S8850" t="s">
        <v>45304</v>
      </c>
      <c r="T8850" t="s">
        <v>46941</v>
      </c>
      <c r="U8850" t="s">
        <v>54814</v>
      </c>
      <c r="V8850" t="s">
        <v>60272</v>
      </c>
      <c r="W8850" t="s">
        <v>43028</v>
      </c>
      <c r="X8850" t="s">
        <v>45105</v>
      </c>
    </row>
    <row r="8851" spans="1:24">
      <c r="A8851">
        <f>HYPERLINK("https://www.philgeps.gov.ph/GEPSNONPILOT/Tender/SplashBidNoticeAbstractUI.aspx?menuIndex=3&amp;refID=7033977&amp;Result=3","7033977")</f>
        <v>0</v>
      </c>
      <c r="B8851" t="s">
        <v>2473</v>
      </c>
      <c r="C8851" t="s">
        <v>6052</v>
      </c>
      <c r="D8851" t="s">
        <v>18033</v>
      </c>
      <c r="E8851" t="s">
        <v>25861</v>
      </c>
      <c r="F8851" t="s">
        <v>31574</v>
      </c>
      <c r="G8851" t="s">
        <v>31583</v>
      </c>
      <c r="H8851" t="s">
        <v>31590</v>
      </c>
      <c r="I8851" t="s">
        <v>4046</v>
      </c>
      <c r="J8851" t="s">
        <v>37311</v>
      </c>
      <c r="K8851" t="s">
        <v>41193</v>
      </c>
      <c r="M8851" t="s">
        <v>44202</v>
      </c>
      <c r="N8851" t="s">
        <v>45095</v>
      </c>
      <c r="O8851" t="s">
        <v>45096</v>
      </c>
      <c r="P8851">
        <v>0</v>
      </c>
      <c r="Q8851">
        <v>0</v>
      </c>
      <c r="R8851" t="s">
        <v>45104</v>
      </c>
      <c r="S8851" t="s">
        <v>45304</v>
      </c>
      <c r="T8851" t="s">
        <v>46957</v>
      </c>
      <c r="U8851" t="s">
        <v>54815</v>
      </c>
      <c r="W8851" t="s">
        <v>44202</v>
      </c>
      <c r="X8851" t="s">
        <v>45105</v>
      </c>
    </row>
    <row r="8852" spans="1:24">
      <c r="A8852">
        <f>HYPERLINK("https://www.philgeps.gov.ph/GEPSNONPILOT/Tender/SplashBidNoticeAbstractUI.aspx?menuIndex=3&amp;refID=7033980&amp;Result=3","7033980")</f>
        <v>0</v>
      </c>
      <c r="B8852" t="s">
        <v>2454</v>
      </c>
      <c r="C8852" t="s">
        <v>11632</v>
      </c>
      <c r="D8852" t="s">
        <v>18094</v>
      </c>
      <c r="E8852" t="s">
        <v>20393</v>
      </c>
      <c r="F8852" t="s">
        <v>31574</v>
      </c>
      <c r="G8852" t="s">
        <v>31588</v>
      </c>
      <c r="H8852" t="s">
        <v>31590</v>
      </c>
      <c r="I8852" t="s">
        <v>4046</v>
      </c>
      <c r="J8852" t="s">
        <v>37312</v>
      </c>
      <c r="K8852" t="s">
        <v>41186</v>
      </c>
      <c r="M8852" t="s">
        <v>44183</v>
      </c>
      <c r="N8852" t="s">
        <v>45095</v>
      </c>
      <c r="O8852" t="s">
        <v>45096</v>
      </c>
      <c r="P8852">
        <v>0</v>
      </c>
      <c r="Q8852">
        <v>0</v>
      </c>
      <c r="R8852" t="s">
        <v>45104</v>
      </c>
      <c r="S8852" t="s">
        <v>45304</v>
      </c>
      <c r="T8852" t="s">
        <v>47273</v>
      </c>
      <c r="U8852" t="s">
        <v>54816</v>
      </c>
      <c r="V8852" t="s">
        <v>60761</v>
      </c>
      <c r="W8852" t="s">
        <v>44183</v>
      </c>
      <c r="X8852" t="s">
        <v>45105</v>
      </c>
    </row>
    <row r="8853" spans="1:24">
      <c r="A8853">
        <f>HYPERLINK("https://www.philgeps.gov.ph/GEPSNONPILOT/Tender/SplashBidNoticeAbstractUI.aspx?menuIndex=3&amp;refID=7033985&amp;Result=3","7033985")</f>
        <v>0</v>
      </c>
      <c r="B8853" t="s">
        <v>2474</v>
      </c>
      <c r="C8853" t="s">
        <v>11633</v>
      </c>
      <c r="D8853" t="s">
        <v>18044</v>
      </c>
      <c r="E8853" t="s">
        <v>25862</v>
      </c>
      <c r="F8853" t="s">
        <v>31574</v>
      </c>
      <c r="G8853" t="s">
        <v>31582</v>
      </c>
      <c r="H8853" t="s">
        <v>31590</v>
      </c>
      <c r="I8853" t="s">
        <v>7185</v>
      </c>
      <c r="J8853" t="s">
        <v>37313</v>
      </c>
      <c r="K8853" t="s">
        <v>41196</v>
      </c>
      <c r="M8853" t="s">
        <v>44203</v>
      </c>
      <c r="N8853" t="s">
        <v>45095</v>
      </c>
      <c r="O8853" t="s">
        <v>45096</v>
      </c>
      <c r="P8853">
        <v>0</v>
      </c>
      <c r="Q8853">
        <v>2</v>
      </c>
      <c r="R8853" t="s">
        <v>45104</v>
      </c>
      <c r="S8853" t="s">
        <v>45304</v>
      </c>
      <c r="T8853" t="s">
        <v>47183</v>
      </c>
      <c r="U8853" t="s">
        <v>54817</v>
      </c>
      <c r="W8853" t="s">
        <v>61739</v>
      </c>
      <c r="X8853" t="s">
        <v>45105</v>
      </c>
    </row>
    <row r="8854" spans="1:24">
      <c r="A8854">
        <f>HYPERLINK("https://www.philgeps.gov.ph/GEPSNONPILOT/Tender/SplashBidNoticeAbstractUI.aspx?menuIndex=3&amp;refID=7033964&amp;Result=3","7033964")</f>
        <v>0</v>
      </c>
      <c r="B8854" t="s">
        <v>348</v>
      </c>
      <c r="C8854" t="s">
        <v>11634</v>
      </c>
      <c r="D8854" t="s">
        <v>18065</v>
      </c>
      <c r="E8854" t="s">
        <v>25863</v>
      </c>
      <c r="F8854" t="s">
        <v>31574</v>
      </c>
      <c r="G8854" t="s">
        <v>31583</v>
      </c>
      <c r="H8854" t="s">
        <v>31590</v>
      </c>
      <c r="I8854" t="s">
        <v>31607</v>
      </c>
      <c r="J8854" t="s">
        <v>37314</v>
      </c>
      <c r="K8854" t="s">
        <v>41186</v>
      </c>
      <c r="M8854" t="s">
        <v>41836</v>
      </c>
      <c r="N8854" t="s">
        <v>45095</v>
      </c>
      <c r="O8854" t="s">
        <v>45096</v>
      </c>
      <c r="Q8854">
        <v>5</v>
      </c>
      <c r="R8854" t="s">
        <v>45104</v>
      </c>
      <c r="S8854" t="s">
        <v>45320</v>
      </c>
      <c r="T8854" t="s">
        <v>46957</v>
      </c>
      <c r="U8854" t="s">
        <v>48153</v>
      </c>
      <c r="W8854" t="s">
        <v>41836</v>
      </c>
      <c r="X8854" t="s">
        <v>45105</v>
      </c>
    </row>
    <row r="8855" spans="1:24">
      <c r="A8855">
        <f>HYPERLINK("https://www.philgeps.gov.ph/GEPSNONPILOT/Tender/SplashBidNoticeAbstractUI.aspx?menuIndex=3&amp;refID=7033962&amp;Result=3","7033962")</f>
        <v>0</v>
      </c>
      <c r="B8855" t="s">
        <v>669</v>
      </c>
      <c r="C8855" t="s">
        <v>11635</v>
      </c>
      <c r="D8855" t="s">
        <v>18050</v>
      </c>
      <c r="E8855" t="s">
        <v>25864</v>
      </c>
      <c r="F8855" t="s">
        <v>31574</v>
      </c>
      <c r="G8855" t="s">
        <v>31582</v>
      </c>
      <c r="H8855" t="s">
        <v>31591</v>
      </c>
      <c r="I8855" t="s">
        <v>8822</v>
      </c>
      <c r="J8855" t="s">
        <v>32739</v>
      </c>
      <c r="K8855" t="s">
        <v>41260</v>
      </c>
      <c r="M8855" t="s">
        <v>42174</v>
      </c>
      <c r="N8855" t="s">
        <v>45095</v>
      </c>
      <c r="O8855" t="s">
        <v>45096</v>
      </c>
      <c r="P8855">
        <v>0</v>
      </c>
      <c r="Q8855">
        <v>2</v>
      </c>
      <c r="R8855" t="s">
        <v>45104</v>
      </c>
      <c r="S8855" t="s">
        <v>45304</v>
      </c>
      <c r="T8855" t="s">
        <v>47000</v>
      </c>
      <c r="U8855" t="s">
        <v>54818</v>
      </c>
      <c r="W8855" t="s">
        <v>42174</v>
      </c>
      <c r="X8855" t="s">
        <v>45105</v>
      </c>
    </row>
    <row r="8856" spans="1:24">
      <c r="A8856">
        <f>HYPERLINK("https://www.philgeps.gov.ph/GEPSNONPILOT/Tender/SplashBidNoticeAbstractUI.aspx?menuIndex=3&amp;refID=7033974&amp;Result=3","7033974")</f>
        <v>0</v>
      </c>
      <c r="B8856" t="s">
        <v>544</v>
      </c>
      <c r="C8856" t="s">
        <v>11636</v>
      </c>
      <c r="D8856" t="s">
        <v>18056</v>
      </c>
      <c r="E8856" t="s">
        <v>25865</v>
      </c>
      <c r="F8856" t="s">
        <v>31574</v>
      </c>
      <c r="G8856" t="s">
        <v>31582</v>
      </c>
      <c r="H8856" t="s">
        <v>31590</v>
      </c>
      <c r="I8856" t="s">
        <v>3539</v>
      </c>
      <c r="J8856" t="s">
        <v>33507</v>
      </c>
      <c r="K8856" t="s">
        <v>41192</v>
      </c>
      <c r="M8856" t="s">
        <v>42041</v>
      </c>
      <c r="N8856" t="s">
        <v>45095</v>
      </c>
      <c r="O8856" t="s">
        <v>45096</v>
      </c>
      <c r="P8856">
        <v>0</v>
      </c>
      <c r="Q8856">
        <v>3</v>
      </c>
      <c r="R8856" t="s">
        <v>45104</v>
      </c>
      <c r="S8856" t="s">
        <v>45304</v>
      </c>
      <c r="T8856" t="s">
        <v>46977</v>
      </c>
      <c r="U8856" t="s">
        <v>54819</v>
      </c>
      <c r="W8856" t="s">
        <v>42041</v>
      </c>
      <c r="X8856" t="s">
        <v>45105</v>
      </c>
    </row>
    <row r="8857" spans="1:24">
      <c r="A8857">
        <f>HYPERLINK("https://www.philgeps.gov.ph/GEPSNONPILOT/Tender/SplashBidNoticeAbstractUI.aspx?menuIndex=3&amp;refID=7033996&amp;Result=3","7033996")</f>
        <v>0</v>
      </c>
      <c r="B8857" t="s">
        <v>671</v>
      </c>
      <c r="C8857" t="s">
        <v>11637</v>
      </c>
      <c r="D8857" t="s">
        <v>18022</v>
      </c>
      <c r="E8857" t="s">
        <v>25866</v>
      </c>
      <c r="F8857" t="s">
        <v>31574</v>
      </c>
      <c r="G8857" t="s">
        <v>31585</v>
      </c>
      <c r="H8857" t="s">
        <v>31590</v>
      </c>
      <c r="I8857" t="s">
        <v>31638</v>
      </c>
      <c r="J8857" t="s">
        <v>37315</v>
      </c>
      <c r="K8857" t="s">
        <v>41192</v>
      </c>
      <c r="M8857" t="s">
        <v>44204</v>
      </c>
      <c r="N8857" t="s">
        <v>45095</v>
      </c>
      <c r="O8857" t="s">
        <v>45096</v>
      </c>
      <c r="P8857">
        <v>0</v>
      </c>
      <c r="Q8857">
        <v>0</v>
      </c>
      <c r="R8857" t="s">
        <v>45104</v>
      </c>
      <c r="S8857" t="s">
        <v>45304</v>
      </c>
      <c r="T8857" t="s">
        <v>46979</v>
      </c>
      <c r="U8857" t="s">
        <v>54820</v>
      </c>
      <c r="W8857" t="s">
        <v>44204</v>
      </c>
      <c r="X8857" t="s">
        <v>45105</v>
      </c>
    </row>
    <row r="8858" spans="1:24">
      <c r="A8858">
        <f>HYPERLINK("https://www.philgeps.gov.ph/GEPSNONPILOT/Tender/SplashBidNoticeAbstractUI.aspx?menuIndex=3&amp;refID=7033944&amp;Result=3","7033944")</f>
        <v>0</v>
      </c>
      <c r="B8858" t="s">
        <v>2454</v>
      </c>
      <c r="C8858" t="s">
        <v>11632</v>
      </c>
      <c r="D8858" t="s">
        <v>18094</v>
      </c>
      <c r="E8858" t="s">
        <v>25867</v>
      </c>
      <c r="F8858" t="s">
        <v>31574</v>
      </c>
      <c r="G8858" t="s">
        <v>31588</v>
      </c>
      <c r="H8858" t="s">
        <v>31590</v>
      </c>
      <c r="I8858" t="s">
        <v>4046</v>
      </c>
      <c r="J8858" t="s">
        <v>37316</v>
      </c>
      <c r="K8858" t="s">
        <v>41186</v>
      </c>
      <c r="M8858" t="s">
        <v>44183</v>
      </c>
      <c r="N8858" t="s">
        <v>45095</v>
      </c>
      <c r="O8858" t="s">
        <v>45096</v>
      </c>
      <c r="P8858">
        <v>0</v>
      </c>
      <c r="Q8858">
        <v>0</v>
      </c>
      <c r="R8858" t="s">
        <v>45104</v>
      </c>
      <c r="S8858" t="s">
        <v>45304</v>
      </c>
      <c r="T8858" t="s">
        <v>47273</v>
      </c>
      <c r="U8858" t="s">
        <v>54821</v>
      </c>
      <c r="V8858" t="s">
        <v>60761</v>
      </c>
      <c r="W8858" t="s">
        <v>44183</v>
      </c>
      <c r="X8858" t="s">
        <v>45105</v>
      </c>
    </row>
    <row r="8859" spans="1:24">
      <c r="A8859">
        <f>HYPERLINK("https://www.philgeps.gov.ph/GEPSNONPILOT/Tender/SplashBidNoticeAbstractUI.aspx?menuIndex=3&amp;refID=7033968&amp;Result=3","7033968")</f>
        <v>0</v>
      </c>
      <c r="B8859" t="s">
        <v>2454</v>
      </c>
      <c r="C8859" t="s">
        <v>11632</v>
      </c>
      <c r="D8859" t="s">
        <v>18094</v>
      </c>
      <c r="E8859" t="s">
        <v>25868</v>
      </c>
      <c r="F8859" t="s">
        <v>31574</v>
      </c>
      <c r="G8859" t="s">
        <v>31588</v>
      </c>
      <c r="H8859" t="s">
        <v>31590</v>
      </c>
      <c r="I8859" t="s">
        <v>4046</v>
      </c>
      <c r="J8859" t="s">
        <v>37312</v>
      </c>
      <c r="K8859" t="s">
        <v>41186</v>
      </c>
      <c r="M8859" t="s">
        <v>44183</v>
      </c>
      <c r="N8859" t="s">
        <v>45095</v>
      </c>
      <c r="O8859" t="s">
        <v>45096</v>
      </c>
      <c r="P8859">
        <v>0</v>
      </c>
      <c r="Q8859">
        <v>0</v>
      </c>
      <c r="R8859" t="s">
        <v>45104</v>
      </c>
      <c r="S8859" t="s">
        <v>45304</v>
      </c>
      <c r="T8859" t="s">
        <v>47273</v>
      </c>
      <c r="U8859" t="s">
        <v>54822</v>
      </c>
      <c r="V8859" t="s">
        <v>60761</v>
      </c>
      <c r="W8859" t="s">
        <v>44183</v>
      </c>
      <c r="X8859" t="s">
        <v>45105</v>
      </c>
    </row>
    <row r="8860" spans="1:24">
      <c r="A8860">
        <f>HYPERLINK("https://www.philgeps.gov.ph/GEPSNONPILOT/Tender/SplashBidNoticeAbstractUI.aspx?menuIndex=3&amp;refID=7033960&amp;Result=3","7033960")</f>
        <v>0</v>
      </c>
      <c r="B8860" t="s">
        <v>2472</v>
      </c>
      <c r="C8860" t="s">
        <v>11638</v>
      </c>
      <c r="E8860" t="s">
        <v>25869</v>
      </c>
      <c r="F8860" t="s">
        <v>31574</v>
      </c>
      <c r="G8860" t="s">
        <v>31582</v>
      </c>
      <c r="H8860" t="s">
        <v>31590</v>
      </c>
      <c r="I8860" t="s">
        <v>3487</v>
      </c>
      <c r="J8860" t="s">
        <v>34450</v>
      </c>
      <c r="K8860" t="s">
        <v>41193</v>
      </c>
      <c r="M8860" t="s">
        <v>44201</v>
      </c>
      <c r="N8860" t="s">
        <v>45095</v>
      </c>
      <c r="O8860" t="s">
        <v>45096</v>
      </c>
      <c r="P8860">
        <v>0</v>
      </c>
      <c r="Q8860">
        <v>0</v>
      </c>
      <c r="R8860" t="s">
        <v>45104</v>
      </c>
      <c r="S8860" t="s">
        <v>45304</v>
      </c>
      <c r="T8860" t="s">
        <v>47301</v>
      </c>
      <c r="U8860" t="s">
        <v>54823</v>
      </c>
      <c r="W8860" t="s">
        <v>44201</v>
      </c>
      <c r="X8860" t="s">
        <v>45105</v>
      </c>
    </row>
    <row r="8861" spans="1:24">
      <c r="A8861">
        <f>HYPERLINK("https://www.philgeps.gov.ph/GEPSNONPILOT/Tender/SplashBidNoticeAbstractUI.aspx?menuIndex=3&amp;refID=7033951&amp;Result=3","7033951")</f>
        <v>0</v>
      </c>
      <c r="B8861" t="s">
        <v>348</v>
      </c>
      <c r="C8861" t="s">
        <v>11639</v>
      </c>
      <c r="D8861" t="s">
        <v>18065</v>
      </c>
      <c r="E8861" t="s">
        <v>25870</v>
      </c>
      <c r="F8861" t="s">
        <v>31574</v>
      </c>
      <c r="G8861" t="s">
        <v>31583</v>
      </c>
      <c r="H8861" t="s">
        <v>31590</v>
      </c>
      <c r="I8861" t="s">
        <v>31607</v>
      </c>
      <c r="J8861" t="s">
        <v>37317</v>
      </c>
      <c r="K8861" t="s">
        <v>41186</v>
      </c>
      <c r="M8861" t="s">
        <v>41836</v>
      </c>
      <c r="N8861" t="s">
        <v>45095</v>
      </c>
      <c r="O8861" t="s">
        <v>45096</v>
      </c>
      <c r="Q8861">
        <v>4</v>
      </c>
      <c r="R8861" t="s">
        <v>45104</v>
      </c>
      <c r="S8861" t="s">
        <v>45319</v>
      </c>
      <c r="T8861" t="s">
        <v>46957</v>
      </c>
      <c r="U8861" t="s">
        <v>48153</v>
      </c>
      <c r="W8861" t="s">
        <v>41836</v>
      </c>
      <c r="X8861" t="s">
        <v>45105</v>
      </c>
    </row>
    <row r="8862" spans="1:24">
      <c r="A8862">
        <f>HYPERLINK("https://www.philgeps.gov.ph/GEPSNONPILOT/Tender/SplashBidNoticeAbstractUI.aspx?menuIndex=3&amp;refID=7033998&amp;Result=3","7033998")</f>
        <v>0</v>
      </c>
      <c r="B8862" t="s">
        <v>161</v>
      </c>
      <c r="C8862" t="s">
        <v>11640</v>
      </c>
      <c r="E8862" t="s">
        <v>25871</v>
      </c>
      <c r="F8862" t="s">
        <v>31574</v>
      </c>
      <c r="G8862" t="s">
        <v>31581</v>
      </c>
      <c r="H8862" t="s">
        <v>31590</v>
      </c>
      <c r="I8862" t="s">
        <v>3873</v>
      </c>
      <c r="J8862" t="s">
        <v>33035</v>
      </c>
      <c r="K8862" t="s">
        <v>41184</v>
      </c>
      <c r="M8862" t="s">
        <v>41645</v>
      </c>
      <c r="N8862" t="s">
        <v>45095</v>
      </c>
      <c r="O8862" t="s">
        <v>45096</v>
      </c>
      <c r="P8862">
        <v>0</v>
      </c>
      <c r="Q8862">
        <v>0</v>
      </c>
      <c r="R8862" t="s">
        <v>45104</v>
      </c>
      <c r="S8862" t="s">
        <v>45304</v>
      </c>
      <c r="T8862" t="s">
        <v>46985</v>
      </c>
      <c r="U8862" t="s">
        <v>54824</v>
      </c>
      <c r="W8862" t="s">
        <v>41645</v>
      </c>
      <c r="X8862" t="s">
        <v>45105</v>
      </c>
    </row>
    <row r="8863" spans="1:24">
      <c r="A8863">
        <f>HYPERLINK("https://www.philgeps.gov.ph/GEPSNONPILOT/Tender/SplashBidNoticeAbstractUI.aspx?menuIndex=3&amp;refID=7033997&amp;Result=3","7033997")</f>
        <v>0</v>
      </c>
      <c r="B8863" t="s">
        <v>951</v>
      </c>
      <c r="C8863" t="s">
        <v>11641</v>
      </c>
      <c r="D8863" t="s">
        <v>18074</v>
      </c>
      <c r="E8863" t="s">
        <v>25872</v>
      </c>
      <c r="F8863" t="s">
        <v>31574</v>
      </c>
      <c r="G8863" t="s">
        <v>31582</v>
      </c>
      <c r="H8863" t="s">
        <v>31590</v>
      </c>
      <c r="I8863" t="s">
        <v>31600</v>
      </c>
      <c r="J8863" t="s">
        <v>37318</v>
      </c>
      <c r="K8863" t="s">
        <v>41190</v>
      </c>
      <c r="M8863" t="s">
        <v>42478</v>
      </c>
      <c r="N8863" t="s">
        <v>45095</v>
      </c>
      <c r="O8863" t="s">
        <v>45096</v>
      </c>
      <c r="P8863">
        <v>0</v>
      </c>
      <c r="Q8863">
        <v>1</v>
      </c>
      <c r="R8863" t="s">
        <v>45104</v>
      </c>
      <c r="S8863" t="s">
        <v>45304</v>
      </c>
      <c r="T8863" t="s">
        <v>47158</v>
      </c>
      <c r="U8863" t="s">
        <v>54825</v>
      </c>
      <c r="V8863" t="s">
        <v>60083</v>
      </c>
      <c r="W8863" t="s">
        <v>42478</v>
      </c>
      <c r="X8863" t="s">
        <v>45105</v>
      </c>
    </row>
    <row r="8864" spans="1:24">
      <c r="A8864">
        <f>HYPERLINK("https://www.philgeps.gov.ph/GEPSNONPILOT/Tender/SplashBidNoticeAbstractUI.aspx?menuIndex=3&amp;refID=7034031&amp;Result=3","7034031")</f>
        <v>0</v>
      </c>
      <c r="B8864" t="s">
        <v>2454</v>
      </c>
      <c r="C8864" t="s">
        <v>11642</v>
      </c>
      <c r="D8864" t="s">
        <v>18094</v>
      </c>
      <c r="E8864" t="s">
        <v>25873</v>
      </c>
      <c r="F8864" t="s">
        <v>31574</v>
      </c>
      <c r="G8864" t="s">
        <v>31584</v>
      </c>
      <c r="H8864" t="s">
        <v>31590</v>
      </c>
      <c r="I8864" t="s">
        <v>31607</v>
      </c>
      <c r="J8864" t="s">
        <v>32144</v>
      </c>
      <c r="K8864" t="s">
        <v>41186</v>
      </c>
      <c r="M8864" t="s">
        <v>44183</v>
      </c>
      <c r="N8864" t="s">
        <v>45095</v>
      </c>
      <c r="O8864" t="s">
        <v>45096</v>
      </c>
      <c r="P8864">
        <v>0</v>
      </c>
      <c r="Q8864">
        <v>1</v>
      </c>
      <c r="R8864" t="s">
        <v>45104</v>
      </c>
      <c r="S8864" t="s">
        <v>45304</v>
      </c>
      <c r="T8864" t="s">
        <v>47273</v>
      </c>
      <c r="U8864" t="s">
        <v>54826</v>
      </c>
      <c r="V8864" t="s">
        <v>60761</v>
      </c>
      <c r="W8864" t="s">
        <v>44183</v>
      </c>
      <c r="X8864" t="s">
        <v>45105</v>
      </c>
    </row>
    <row r="8865" spans="1:24">
      <c r="A8865">
        <f>HYPERLINK("https://www.philgeps.gov.ph/GEPSNONPILOT/Tender/SplashBidNoticeAbstractUI.aspx?menuIndex=3&amp;refID=7034013&amp;Result=3","7034013")</f>
        <v>0</v>
      </c>
      <c r="B8865" t="s">
        <v>332</v>
      </c>
      <c r="C8865" t="s">
        <v>11643</v>
      </c>
      <c r="D8865" t="s">
        <v>18040</v>
      </c>
      <c r="E8865" t="s">
        <v>18137</v>
      </c>
      <c r="F8865" t="s">
        <v>31574</v>
      </c>
      <c r="G8865" t="s">
        <v>31582</v>
      </c>
      <c r="H8865" t="s">
        <v>31591</v>
      </c>
      <c r="I8865" t="s">
        <v>8822</v>
      </c>
      <c r="J8865" t="s">
        <v>37319</v>
      </c>
      <c r="K8865" t="s">
        <v>41184</v>
      </c>
      <c r="M8865" t="s">
        <v>41820</v>
      </c>
      <c r="N8865" t="s">
        <v>45095</v>
      </c>
      <c r="O8865" t="s">
        <v>45096</v>
      </c>
      <c r="P8865">
        <v>0</v>
      </c>
      <c r="Q8865">
        <v>0</v>
      </c>
      <c r="R8865" t="s">
        <v>45104</v>
      </c>
      <c r="S8865" t="s">
        <v>45304</v>
      </c>
      <c r="T8865" t="s">
        <v>47000</v>
      </c>
      <c r="U8865" t="s">
        <v>54827</v>
      </c>
      <c r="W8865" t="s">
        <v>41820</v>
      </c>
      <c r="X8865" t="s">
        <v>45105</v>
      </c>
    </row>
    <row r="8866" spans="1:24">
      <c r="A8866">
        <f>HYPERLINK("https://www.philgeps.gov.ph/GEPSNONPILOT/Tender/SplashBidNoticeAbstractUI.aspx?menuIndex=3&amp;refID=7034005&amp;Result=3","7034005")</f>
        <v>0</v>
      </c>
      <c r="B8866" t="s">
        <v>2454</v>
      </c>
      <c r="C8866" t="s">
        <v>11632</v>
      </c>
      <c r="D8866" t="s">
        <v>18094</v>
      </c>
      <c r="E8866" t="s">
        <v>25874</v>
      </c>
      <c r="F8866" t="s">
        <v>31574</v>
      </c>
      <c r="G8866" t="s">
        <v>31588</v>
      </c>
      <c r="H8866" t="s">
        <v>31590</v>
      </c>
      <c r="I8866" t="s">
        <v>4046</v>
      </c>
      <c r="J8866" t="s">
        <v>37312</v>
      </c>
      <c r="K8866" t="s">
        <v>41186</v>
      </c>
      <c r="M8866" t="s">
        <v>44183</v>
      </c>
      <c r="N8866" t="s">
        <v>45095</v>
      </c>
      <c r="O8866" t="s">
        <v>45096</v>
      </c>
      <c r="P8866">
        <v>0</v>
      </c>
      <c r="Q8866">
        <v>0</v>
      </c>
      <c r="R8866" t="s">
        <v>45104</v>
      </c>
      <c r="S8866" t="s">
        <v>45304</v>
      </c>
      <c r="T8866" t="s">
        <v>47273</v>
      </c>
      <c r="U8866" t="s">
        <v>54828</v>
      </c>
      <c r="V8866" t="s">
        <v>60761</v>
      </c>
      <c r="W8866" t="s">
        <v>44183</v>
      </c>
      <c r="X8866" t="s">
        <v>45105</v>
      </c>
    </row>
    <row r="8867" spans="1:24">
      <c r="A8867">
        <f>HYPERLINK("https://www.philgeps.gov.ph/GEPSNONPILOT/Tender/SplashBidNoticeAbstractUI.aspx?menuIndex=3&amp;refID=7034027&amp;Result=3","7034027")</f>
        <v>0</v>
      </c>
      <c r="B8867" t="s">
        <v>2383</v>
      </c>
      <c r="C8867" t="s">
        <v>11644</v>
      </c>
      <c r="D8867" t="s">
        <v>18087</v>
      </c>
      <c r="E8867" t="s">
        <v>25875</v>
      </c>
      <c r="F8867" t="s">
        <v>31574</v>
      </c>
      <c r="G8867" t="s">
        <v>31582</v>
      </c>
      <c r="H8867" t="s">
        <v>31590</v>
      </c>
      <c r="I8867" t="s">
        <v>8822</v>
      </c>
      <c r="J8867" t="s">
        <v>37320</v>
      </c>
      <c r="K8867" t="s">
        <v>41184</v>
      </c>
      <c r="M8867" t="s">
        <v>44107</v>
      </c>
      <c r="N8867" t="s">
        <v>45095</v>
      </c>
      <c r="O8867" t="s">
        <v>45096</v>
      </c>
      <c r="P8867">
        <v>0</v>
      </c>
      <c r="Q8867">
        <v>1</v>
      </c>
      <c r="R8867" t="s">
        <v>45104</v>
      </c>
      <c r="S8867" t="s">
        <v>45304</v>
      </c>
      <c r="T8867" t="s">
        <v>46988</v>
      </c>
      <c r="U8867" t="s">
        <v>54829</v>
      </c>
      <c r="W8867" t="s">
        <v>44107</v>
      </c>
      <c r="X8867" t="s">
        <v>45105</v>
      </c>
    </row>
    <row r="8868" spans="1:24">
      <c r="A8868">
        <f>HYPERLINK("https://www.philgeps.gov.ph/GEPSNONPILOT/Tender/SplashBidNoticeAbstractUI.aspx?menuIndex=3&amp;refID=7033999&amp;Result=3","7033999")</f>
        <v>0</v>
      </c>
      <c r="B8868" t="s">
        <v>2467</v>
      </c>
      <c r="C8868" t="s">
        <v>11645</v>
      </c>
      <c r="D8868" t="s">
        <v>18059</v>
      </c>
      <c r="E8868" t="s">
        <v>25876</v>
      </c>
      <c r="F8868" t="s">
        <v>31574</v>
      </c>
      <c r="G8868" t="s">
        <v>31583</v>
      </c>
      <c r="H8868" t="s">
        <v>31590</v>
      </c>
      <c r="I8868" t="s">
        <v>4354</v>
      </c>
      <c r="J8868" t="s">
        <v>37321</v>
      </c>
      <c r="K8868" t="s">
        <v>41193</v>
      </c>
      <c r="M8868" t="s">
        <v>44196</v>
      </c>
      <c r="N8868" t="s">
        <v>45095</v>
      </c>
      <c r="O8868" t="s">
        <v>45096</v>
      </c>
      <c r="P8868">
        <v>0</v>
      </c>
      <c r="Q8868">
        <v>0</v>
      </c>
      <c r="R8868" t="s">
        <v>45104</v>
      </c>
      <c r="S8868" t="s">
        <v>45304</v>
      </c>
      <c r="T8868" t="s">
        <v>47159</v>
      </c>
      <c r="U8868" t="s">
        <v>54830</v>
      </c>
      <c r="W8868" t="s">
        <v>44196</v>
      </c>
      <c r="X8868" t="s">
        <v>45105</v>
      </c>
    </row>
    <row r="8869" spans="1:24">
      <c r="A8869">
        <f>HYPERLINK("https://www.philgeps.gov.ph/GEPSNONPILOT/Tender/SplashBidNoticeAbstractUI.aspx?menuIndex=3&amp;refID=7034009&amp;Result=3","7034009")</f>
        <v>0</v>
      </c>
      <c r="B8869" t="s">
        <v>2475</v>
      </c>
      <c r="C8869" t="s">
        <v>11646</v>
      </c>
      <c r="D8869" t="s">
        <v>18072</v>
      </c>
      <c r="E8869" t="s">
        <v>18175</v>
      </c>
      <c r="F8869" t="s">
        <v>31574</v>
      </c>
      <c r="G8869" t="s">
        <v>31582</v>
      </c>
      <c r="H8869" t="s">
        <v>31591</v>
      </c>
      <c r="I8869" t="s">
        <v>8822</v>
      </c>
      <c r="J8869" t="s">
        <v>37322</v>
      </c>
      <c r="K8869" t="s">
        <v>41194</v>
      </c>
      <c r="M8869" t="s">
        <v>44205</v>
      </c>
      <c r="N8869" t="s">
        <v>45095</v>
      </c>
      <c r="O8869" t="s">
        <v>45096</v>
      </c>
      <c r="P8869">
        <v>0</v>
      </c>
      <c r="Q8869">
        <v>0</v>
      </c>
      <c r="R8869" t="s">
        <v>45104</v>
      </c>
      <c r="S8869" t="s">
        <v>45304</v>
      </c>
      <c r="T8869" t="s">
        <v>46932</v>
      </c>
      <c r="U8869" t="s">
        <v>54831</v>
      </c>
      <c r="W8869" t="s">
        <v>44205</v>
      </c>
      <c r="X8869" t="s">
        <v>45105</v>
      </c>
    </row>
    <row r="8870" spans="1:24">
      <c r="A8870">
        <f>HYPERLINK("https://www.philgeps.gov.ph/GEPSNONPILOT/Tender/SplashBidNoticeAbstractUI.aspx?menuIndex=3&amp;refID=7034004&amp;Result=3","7034004")</f>
        <v>0</v>
      </c>
      <c r="B8870" t="s">
        <v>682</v>
      </c>
      <c r="C8870" t="s">
        <v>11647</v>
      </c>
      <c r="D8870" t="s">
        <v>18079</v>
      </c>
      <c r="E8870" t="s">
        <v>25877</v>
      </c>
      <c r="F8870" t="s">
        <v>31574</v>
      </c>
      <c r="G8870" t="s">
        <v>31582</v>
      </c>
      <c r="H8870" t="s">
        <v>31590</v>
      </c>
      <c r="I8870" t="s">
        <v>6800</v>
      </c>
      <c r="J8870" t="s">
        <v>31894</v>
      </c>
      <c r="K8870" t="s">
        <v>41186</v>
      </c>
      <c r="M8870" t="s">
        <v>42189</v>
      </c>
      <c r="N8870" t="s">
        <v>45095</v>
      </c>
      <c r="O8870" t="s">
        <v>45096</v>
      </c>
      <c r="P8870">
        <v>0</v>
      </c>
      <c r="Q8870">
        <v>6</v>
      </c>
      <c r="R8870" t="s">
        <v>45104</v>
      </c>
      <c r="S8870" t="s">
        <v>45304</v>
      </c>
      <c r="T8870" t="s">
        <v>47106</v>
      </c>
      <c r="U8870" t="s">
        <v>48907</v>
      </c>
      <c r="W8870" t="s">
        <v>42189</v>
      </c>
      <c r="X8870" t="s">
        <v>45105</v>
      </c>
    </row>
    <row r="8871" spans="1:24">
      <c r="A8871">
        <f>HYPERLINK("https://www.philgeps.gov.ph/GEPSNONPILOT/Tender/SplashBidNoticeAbstractUI.aspx?menuIndex=3&amp;refID=7034000&amp;Result=3","7034000")</f>
        <v>0</v>
      </c>
      <c r="B8871" t="s">
        <v>2476</v>
      </c>
      <c r="C8871" t="s">
        <v>11648</v>
      </c>
      <c r="D8871" t="s">
        <v>18060</v>
      </c>
      <c r="E8871" t="s">
        <v>25878</v>
      </c>
      <c r="F8871" t="s">
        <v>31574</v>
      </c>
      <c r="G8871" t="s">
        <v>31582</v>
      </c>
      <c r="H8871" t="s">
        <v>31590</v>
      </c>
      <c r="I8871" t="s">
        <v>31615</v>
      </c>
      <c r="J8871" t="s">
        <v>37323</v>
      </c>
      <c r="K8871" t="s">
        <v>41185</v>
      </c>
      <c r="M8871" t="s">
        <v>44206</v>
      </c>
      <c r="N8871" t="s">
        <v>45095</v>
      </c>
      <c r="O8871" t="s">
        <v>45096</v>
      </c>
      <c r="P8871">
        <v>0</v>
      </c>
      <c r="Q8871">
        <v>6</v>
      </c>
      <c r="R8871" t="s">
        <v>45104</v>
      </c>
      <c r="S8871" t="s">
        <v>45304</v>
      </c>
      <c r="T8871" t="s">
        <v>46939</v>
      </c>
      <c r="U8871" t="s">
        <v>54832</v>
      </c>
      <c r="V8871" t="s">
        <v>60766</v>
      </c>
      <c r="W8871" t="s">
        <v>44206</v>
      </c>
      <c r="X8871" t="s">
        <v>45105</v>
      </c>
    </row>
    <row r="8872" spans="1:24">
      <c r="A8872">
        <f>HYPERLINK("https://www.philgeps.gov.ph/GEPSNONPILOT/Tender/SplashBidNoticeAbstractUI.aspx?menuIndex=3&amp;refID=7034019&amp;Result=3","7034019")</f>
        <v>0</v>
      </c>
      <c r="B8872" t="s">
        <v>2126</v>
      </c>
      <c r="C8872" t="s">
        <v>11649</v>
      </c>
      <c r="D8872" t="s">
        <v>18072</v>
      </c>
      <c r="E8872" t="s">
        <v>25879</v>
      </c>
      <c r="F8872" t="s">
        <v>31574</v>
      </c>
      <c r="G8872" t="s">
        <v>31582</v>
      </c>
      <c r="H8872" t="s">
        <v>31590</v>
      </c>
      <c r="I8872" t="s">
        <v>4046</v>
      </c>
      <c r="J8872" t="s">
        <v>37324</v>
      </c>
      <c r="K8872" t="s">
        <v>41184</v>
      </c>
      <c r="M8872" t="s">
        <v>43808</v>
      </c>
      <c r="N8872" t="s">
        <v>45095</v>
      </c>
      <c r="O8872" t="s">
        <v>45096</v>
      </c>
      <c r="P8872">
        <v>0</v>
      </c>
      <c r="Q8872">
        <v>0</v>
      </c>
      <c r="R8872" t="s">
        <v>45104</v>
      </c>
      <c r="S8872" t="s">
        <v>45304</v>
      </c>
      <c r="T8872" t="s">
        <v>47000</v>
      </c>
      <c r="U8872" t="s">
        <v>54833</v>
      </c>
      <c r="W8872" t="s">
        <v>43808</v>
      </c>
      <c r="X8872" t="s">
        <v>45105</v>
      </c>
    </row>
    <row r="8873" spans="1:24">
      <c r="A8873">
        <f>HYPERLINK("https://www.philgeps.gov.ph/GEPSNONPILOT/Tender/SplashBidNoticeAbstractUI.aspx?menuIndex=3&amp;refID=7034045&amp;Result=3","7034045")</f>
        <v>0</v>
      </c>
      <c r="B8873" t="s">
        <v>2475</v>
      </c>
      <c r="C8873" t="s">
        <v>11650</v>
      </c>
      <c r="D8873" t="s">
        <v>18072</v>
      </c>
      <c r="E8873" t="s">
        <v>18192</v>
      </c>
      <c r="F8873" t="s">
        <v>31574</v>
      </c>
      <c r="G8873" t="s">
        <v>31582</v>
      </c>
      <c r="H8873" t="s">
        <v>31590</v>
      </c>
      <c r="I8873" t="s">
        <v>31619</v>
      </c>
      <c r="J8873" t="s">
        <v>37325</v>
      </c>
      <c r="K8873" t="s">
        <v>41194</v>
      </c>
      <c r="M8873" t="s">
        <v>44205</v>
      </c>
      <c r="N8873" t="s">
        <v>45095</v>
      </c>
      <c r="O8873" t="s">
        <v>45096</v>
      </c>
      <c r="P8873">
        <v>0</v>
      </c>
      <c r="Q8873">
        <v>1</v>
      </c>
      <c r="R8873" t="s">
        <v>45104</v>
      </c>
      <c r="S8873" t="s">
        <v>45304</v>
      </c>
      <c r="T8873" t="s">
        <v>46932</v>
      </c>
      <c r="U8873" t="s">
        <v>54831</v>
      </c>
      <c r="W8873" t="s">
        <v>44205</v>
      </c>
      <c r="X8873" t="s">
        <v>45105</v>
      </c>
    </row>
    <row r="8874" spans="1:24">
      <c r="A8874">
        <f>HYPERLINK("https://www.philgeps.gov.ph/GEPSNONPILOT/Tender/SplashBidNoticeAbstractUI.aspx?menuIndex=3&amp;refID=7034020&amp;Result=3","7034020")</f>
        <v>0</v>
      </c>
      <c r="B8874" t="s">
        <v>2477</v>
      </c>
      <c r="C8874" t="s">
        <v>11651</v>
      </c>
      <c r="D8874" t="s">
        <v>18072</v>
      </c>
      <c r="E8874" t="s">
        <v>25880</v>
      </c>
      <c r="F8874" t="s">
        <v>31574</v>
      </c>
      <c r="G8874" t="s">
        <v>31582</v>
      </c>
      <c r="H8874" t="s">
        <v>31590</v>
      </c>
      <c r="I8874" t="s">
        <v>31625</v>
      </c>
      <c r="J8874" t="s">
        <v>32076</v>
      </c>
      <c r="K8874" t="s">
        <v>41186</v>
      </c>
      <c r="M8874" t="s">
        <v>44207</v>
      </c>
      <c r="N8874" t="s">
        <v>45095</v>
      </c>
      <c r="O8874" t="s">
        <v>45096</v>
      </c>
      <c r="P8874">
        <v>0</v>
      </c>
      <c r="Q8874">
        <v>0</v>
      </c>
      <c r="R8874" t="s">
        <v>45104</v>
      </c>
      <c r="S8874" t="s">
        <v>45304</v>
      </c>
      <c r="T8874" t="s">
        <v>47159</v>
      </c>
      <c r="U8874" t="s">
        <v>54834</v>
      </c>
      <c r="W8874" t="s">
        <v>44207</v>
      </c>
      <c r="X8874" t="s">
        <v>45105</v>
      </c>
    </row>
    <row r="8875" spans="1:24">
      <c r="A8875">
        <f>HYPERLINK("https://www.philgeps.gov.ph/GEPSNONPILOT/Tender/SplashBidNoticeAbstractUI.aspx?menuIndex=3&amp;refID=7034040&amp;Result=3","7034040")</f>
        <v>0</v>
      </c>
      <c r="B8875" t="s">
        <v>1338</v>
      </c>
      <c r="C8875" t="s">
        <v>11652</v>
      </c>
      <c r="D8875" t="s">
        <v>18043</v>
      </c>
      <c r="E8875" t="s">
        <v>25881</v>
      </c>
      <c r="F8875" t="s">
        <v>31574</v>
      </c>
      <c r="G8875" t="s">
        <v>31584</v>
      </c>
      <c r="H8875" t="s">
        <v>31590</v>
      </c>
      <c r="I8875" t="s">
        <v>3901</v>
      </c>
      <c r="J8875" t="s">
        <v>31962</v>
      </c>
      <c r="K8875" t="s">
        <v>41186</v>
      </c>
      <c r="M8875" t="s">
        <v>42910</v>
      </c>
      <c r="N8875" t="s">
        <v>45095</v>
      </c>
      <c r="O8875" t="s">
        <v>45096</v>
      </c>
      <c r="P8875">
        <v>0</v>
      </c>
      <c r="Q8875">
        <v>2</v>
      </c>
      <c r="R8875" t="s">
        <v>45104</v>
      </c>
      <c r="S8875" t="s">
        <v>45304</v>
      </c>
      <c r="T8875" t="s">
        <v>47164</v>
      </c>
      <c r="U8875" t="s">
        <v>54835</v>
      </c>
      <c r="V8875" t="s">
        <v>60224</v>
      </c>
      <c r="W8875" t="s">
        <v>42910</v>
      </c>
      <c r="X8875" t="s">
        <v>45105</v>
      </c>
    </row>
    <row r="8876" spans="1:24">
      <c r="A8876">
        <f>HYPERLINK("https://www.philgeps.gov.ph/GEPSNONPILOT/Tender/SplashBidNoticeAbstractUI.aspx?menuIndex=3&amp;refID=7034043&amp;Result=3","7034043")</f>
        <v>0</v>
      </c>
      <c r="B8876" t="s">
        <v>682</v>
      </c>
      <c r="C8876" t="s">
        <v>11653</v>
      </c>
      <c r="D8876" t="s">
        <v>18079</v>
      </c>
      <c r="E8876" t="s">
        <v>25882</v>
      </c>
      <c r="F8876" t="s">
        <v>31574</v>
      </c>
      <c r="G8876" t="s">
        <v>31582</v>
      </c>
      <c r="H8876" t="s">
        <v>31591</v>
      </c>
      <c r="I8876" t="s">
        <v>8822</v>
      </c>
      <c r="J8876" t="s">
        <v>37326</v>
      </c>
      <c r="K8876" t="s">
        <v>41192</v>
      </c>
      <c r="M8876" t="s">
        <v>42189</v>
      </c>
      <c r="N8876" t="s">
        <v>45095</v>
      </c>
      <c r="O8876" t="s">
        <v>45096</v>
      </c>
      <c r="P8876">
        <v>0</v>
      </c>
      <c r="Q8876">
        <v>0</v>
      </c>
      <c r="R8876" t="s">
        <v>45104</v>
      </c>
      <c r="S8876" t="s">
        <v>45304</v>
      </c>
      <c r="T8876" t="s">
        <v>47050</v>
      </c>
      <c r="U8876" t="s">
        <v>48907</v>
      </c>
      <c r="W8876" t="s">
        <v>42189</v>
      </c>
      <c r="X8876" t="s">
        <v>45105</v>
      </c>
    </row>
    <row r="8877" spans="1:24">
      <c r="A8877">
        <f>HYPERLINK("https://www.philgeps.gov.ph/GEPSNONPILOT/Tender/SplashBidNoticeAbstractUI.aspx?menuIndex=3&amp;refID=7034033&amp;Result=3","7034033")</f>
        <v>0</v>
      </c>
      <c r="B8877" t="s">
        <v>283</v>
      </c>
      <c r="C8877" t="s">
        <v>11654</v>
      </c>
      <c r="D8877" t="s">
        <v>18036</v>
      </c>
      <c r="E8877" t="s">
        <v>25883</v>
      </c>
      <c r="F8877" t="s">
        <v>31574</v>
      </c>
      <c r="G8877" t="s">
        <v>31582</v>
      </c>
      <c r="H8877" t="s">
        <v>31590</v>
      </c>
      <c r="I8877" t="s">
        <v>31594</v>
      </c>
      <c r="J8877" t="s">
        <v>31730</v>
      </c>
      <c r="K8877" t="s">
        <v>41192</v>
      </c>
      <c r="M8877" t="s">
        <v>43060</v>
      </c>
      <c r="N8877" t="s">
        <v>45095</v>
      </c>
      <c r="O8877" t="s">
        <v>45096</v>
      </c>
      <c r="P8877">
        <v>0</v>
      </c>
      <c r="Q8877">
        <v>32</v>
      </c>
      <c r="R8877" t="s">
        <v>45104</v>
      </c>
      <c r="S8877" t="s">
        <v>45304</v>
      </c>
      <c r="T8877" t="s">
        <v>46943</v>
      </c>
      <c r="U8877" t="s">
        <v>51067</v>
      </c>
      <c r="V8877" t="s">
        <v>60764</v>
      </c>
      <c r="W8877" t="s">
        <v>43060</v>
      </c>
      <c r="X8877" t="s">
        <v>45105</v>
      </c>
    </row>
    <row r="8878" spans="1:24">
      <c r="A8878">
        <f>HYPERLINK("https://www.philgeps.gov.ph/GEPSNONPILOT/Tender/SplashBidNoticeAbstractUI.aspx?menuIndex=3&amp;refID=7034044&amp;Result=3","7034044")</f>
        <v>0</v>
      </c>
      <c r="B8878" t="s">
        <v>2478</v>
      </c>
      <c r="C8878" t="s">
        <v>11655</v>
      </c>
      <c r="D8878" t="s">
        <v>18054</v>
      </c>
      <c r="E8878" t="s">
        <v>21009</v>
      </c>
      <c r="F8878" t="s">
        <v>31574</v>
      </c>
      <c r="G8878" t="s">
        <v>31582</v>
      </c>
      <c r="H8878" t="s">
        <v>31590</v>
      </c>
      <c r="I8878" t="s">
        <v>31614</v>
      </c>
      <c r="J8878" t="s">
        <v>31935</v>
      </c>
      <c r="K8878" t="s">
        <v>41186</v>
      </c>
      <c r="M8878" t="s">
        <v>44208</v>
      </c>
      <c r="N8878" t="s">
        <v>45095</v>
      </c>
      <c r="O8878" t="s">
        <v>45096</v>
      </c>
      <c r="P8878">
        <v>0</v>
      </c>
      <c r="Q8878">
        <v>4</v>
      </c>
      <c r="R8878" t="s">
        <v>45104</v>
      </c>
      <c r="S8878" t="s">
        <v>45304</v>
      </c>
      <c r="T8878" t="s">
        <v>47010</v>
      </c>
      <c r="U8878" t="s">
        <v>54836</v>
      </c>
      <c r="W8878" t="s">
        <v>44208</v>
      </c>
      <c r="X8878" t="s">
        <v>45105</v>
      </c>
    </row>
    <row r="8879" spans="1:24">
      <c r="A8879">
        <f>HYPERLINK("https://www.philgeps.gov.ph/GEPSNONPILOT/Tender/SplashBidNoticeAbstractUI.aspx?menuIndex=3&amp;refID=7034039&amp;Result=3","7034039")</f>
        <v>0</v>
      </c>
      <c r="B8879" t="s">
        <v>2126</v>
      </c>
      <c r="C8879" t="s">
        <v>11656</v>
      </c>
      <c r="D8879" t="s">
        <v>18072</v>
      </c>
      <c r="E8879" t="s">
        <v>25884</v>
      </c>
      <c r="F8879" t="s">
        <v>31574</v>
      </c>
      <c r="G8879" t="s">
        <v>31582</v>
      </c>
      <c r="H8879" t="s">
        <v>31591</v>
      </c>
      <c r="I8879" t="s">
        <v>31601</v>
      </c>
      <c r="J8879" t="s">
        <v>37327</v>
      </c>
      <c r="K8879" t="s">
        <v>41184</v>
      </c>
      <c r="M8879" t="s">
        <v>43808</v>
      </c>
      <c r="N8879" t="s">
        <v>45095</v>
      </c>
      <c r="O8879" t="s">
        <v>45096</v>
      </c>
      <c r="P8879">
        <v>0</v>
      </c>
      <c r="Q8879">
        <v>0</v>
      </c>
      <c r="R8879" t="s">
        <v>45104</v>
      </c>
      <c r="S8879" t="s">
        <v>45304</v>
      </c>
      <c r="T8879" t="s">
        <v>47000</v>
      </c>
      <c r="U8879" t="s">
        <v>54833</v>
      </c>
      <c r="W8879" t="s">
        <v>43808</v>
      </c>
      <c r="X8879" t="s">
        <v>45105</v>
      </c>
    </row>
    <row r="8880" spans="1:24">
      <c r="A8880">
        <f>HYPERLINK("https://www.philgeps.gov.ph/GEPSNONPILOT/Tender/SplashBidNoticeAbstractUI.aspx?menuIndex=3&amp;refID=7034034&amp;Result=3","7034034")</f>
        <v>0</v>
      </c>
      <c r="B8880" t="s">
        <v>348</v>
      </c>
      <c r="C8880" t="s">
        <v>11657</v>
      </c>
      <c r="D8880" t="s">
        <v>18065</v>
      </c>
      <c r="E8880" t="s">
        <v>25885</v>
      </c>
      <c r="F8880" t="s">
        <v>31574</v>
      </c>
      <c r="G8880" t="s">
        <v>31583</v>
      </c>
      <c r="H8880" t="s">
        <v>31590</v>
      </c>
      <c r="I8880" t="s">
        <v>31607</v>
      </c>
      <c r="J8880" t="s">
        <v>37328</v>
      </c>
      <c r="K8880" t="s">
        <v>41186</v>
      </c>
      <c r="M8880" t="s">
        <v>41836</v>
      </c>
      <c r="N8880" t="s">
        <v>45095</v>
      </c>
      <c r="O8880" t="s">
        <v>45096</v>
      </c>
      <c r="Q8880">
        <v>8</v>
      </c>
      <c r="R8880" t="s">
        <v>45104</v>
      </c>
      <c r="S8880" t="s">
        <v>45320</v>
      </c>
      <c r="T8880" t="s">
        <v>46957</v>
      </c>
      <c r="U8880" t="s">
        <v>48153</v>
      </c>
      <c r="W8880" t="s">
        <v>41836</v>
      </c>
      <c r="X8880" t="s">
        <v>45105</v>
      </c>
    </row>
    <row r="8881" spans="1:24">
      <c r="A8881">
        <f>HYPERLINK("https://www.philgeps.gov.ph/GEPSNONPILOT/Tender/SplashBidNoticeAbstractUI.aspx?menuIndex=3&amp;refID=7034048&amp;Result=3","7034048")</f>
        <v>0</v>
      </c>
      <c r="B8881" t="s">
        <v>2479</v>
      </c>
      <c r="C8881" t="s">
        <v>11658</v>
      </c>
      <c r="E8881" t="s">
        <v>25886</v>
      </c>
      <c r="F8881" t="s">
        <v>31574</v>
      </c>
      <c r="G8881" t="s">
        <v>31581</v>
      </c>
      <c r="H8881" t="s">
        <v>31590</v>
      </c>
      <c r="I8881" t="s">
        <v>4327</v>
      </c>
      <c r="J8881" t="s">
        <v>37329</v>
      </c>
      <c r="K8881" t="s">
        <v>41184</v>
      </c>
      <c r="M8881" t="s">
        <v>44209</v>
      </c>
      <c r="N8881" t="s">
        <v>45095</v>
      </c>
      <c r="O8881" t="s">
        <v>45096</v>
      </c>
      <c r="P8881">
        <v>0</v>
      </c>
      <c r="Q8881">
        <v>3</v>
      </c>
      <c r="R8881" t="s">
        <v>45104</v>
      </c>
      <c r="S8881" t="s">
        <v>45304</v>
      </c>
      <c r="T8881" t="s">
        <v>47158</v>
      </c>
      <c r="U8881" t="s">
        <v>54837</v>
      </c>
      <c r="W8881" t="s">
        <v>44209</v>
      </c>
      <c r="X8881" t="s">
        <v>45105</v>
      </c>
    </row>
    <row r="8882" spans="1:24">
      <c r="A8882">
        <f>HYPERLINK("https://www.philgeps.gov.ph/GEPSNONPILOT/Tender/SplashBidNoticeAbstractUI.aspx?menuIndex=3&amp;refID=7034041&amp;Result=3","7034041")</f>
        <v>0</v>
      </c>
      <c r="B8882" t="s">
        <v>2480</v>
      </c>
      <c r="C8882" t="s">
        <v>11659</v>
      </c>
      <c r="D8882" t="s">
        <v>18037</v>
      </c>
      <c r="E8882" t="s">
        <v>19923</v>
      </c>
      <c r="F8882" t="s">
        <v>31574</v>
      </c>
      <c r="G8882" t="s">
        <v>31583</v>
      </c>
      <c r="H8882" t="s">
        <v>31592</v>
      </c>
      <c r="I8882" t="s">
        <v>31596</v>
      </c>
      <c r="J8882" t="s">
        <v>31845</v>
      </c>
      <c r="K8882" t="s">
        <v>41238</v>
      </c>
      <c r="M8882" t="s">
        <v>44210</v>
      </c>
      <c r="N8882" t="s">
        <v>45095</v>
      </c>
      <c r="O8882" t="s">
        <v>45096</v>
      </c>
      <c r="P8882">
        <v>0</v>
      </c>
      <c r="Q8882">
        <v>0</v>
      </c>
      <c r="R8882" t="s">
        <v>45104</v>
      </c>
      <c r="S8882" t="s">
        <v>45304</v>
      </c>
      <c r="T8882" t="s">
        <v>47351</v>
      </c>
      <c r="U8882" t="s">
        <v>54838</v>
      </c>
      <c r="W8882" t="s">
        <v>44210</v>
      </c>
      <c r="X8882" t="s">
        <v>45105</v>
      </c>
    </row>
    <row r="8883" spans="1:24">
      <c r="A8883">
        <f>HYPERLINK("https://www.philgeps.gov.ph/GEPSNONPILOT/Tender/SplashBidNoticeAbstractUI.aspx?menuIndex=3&amp;refID=7034070&amp;Result=3","7034070")</f>
        <v>0</v>
      </c>
      <c r="B8883" t="s">
        <v>2473</v>
      </c>
      <c r="C8883" t="s">
        <v>11660</v>
      </c>
      <c r="D8883" t="s">
        <v>18033</v>
      </c>
      <c r="E8883" t="s">
        <v>25887</v>
      </c>
      <c r="F8883" t="s">
        <v>31574</v>
      </c>
      <c r="G8883" t="s">
        <v>31583</v>
      </c>
      <c r="H8883" t="s">
        <v>31590</v>
      </c>
      <c r="I8883" t="s">
        <v>4046</v>
      </c>
      <c r="J8883" t="s">
        <v>37330</v>
      </c>
      <c r="K8883" t="s">
        <v>41193</v>
      </c>
      <c r="M8883" t="s">
        <v>44202</v>
      </c>
      <c r="N8883" t="s">
        <v>45095</v>
      </c>
      <c r="O8883" t="s">
        <v>45096</v>
      </c>
      <c r="P8883">
        <v>0</v>
      </c>
      <c r="Q8883">
        <v>0</v>
      </c>
      <c r="R8883" t="s">
        <v>45104</v>
      </c>
      <c r="S8883" t="s">
        <v>45304</v>
      </c>
      <c r="T8883" t="s">
        <v>46957</v>
      </c>
      <c r="U8883" t="s">
        <v>54839</v>
      </c>
      <c r="W8883" t="s">
        <v>44202</v>
      </c>
      <c r="X8883" t="s">
        <v>45105</v>
      </c>
    </row>
    <row r="8884" spans="1:24">
      <c r="A8884">
        <f>HYPERLINK("https://www.philgeps.gov.ph/GEPSNONPILOT/Tender/SplashBidNoticeAbstractUI.aspx?menuIndex=3&amp;refID=7034058&amp;Result=3","7034058")</f>
        <v>0</v>
      </c>
      <c r="B8884" t="s">
        <v>296</v>
      </c>
      <c r="C8884" t="s">
        <v>11661</v>
      </c>
      <c r="D8884" t="s">
        <v>18040</v>
      </c>
      <c r="E8884" t="s">
        <v>25888</v>
      </c>
      <c r="F8884" t="s">
        <v>31574</v>
      </c>
      <c r="G8884" t="s">
        <v>31582</v>
      </c>
      <c r="H8884" t="s">
        <v>31591</v>
      </c>
      <c r="I8884" t="s">
        <v>8822</v>
      </c>
      <c r="J8884" t="s">
        <v>31935</v>
      </c>
      <c r="K8884" t="s">
        <v>41186</v>
      </c>
      <c r="M8884" t="s">
        <v>41782</v>
      </c>
      <c r="N8884" t="s">
        <v>45095</v>
      </c>
      <c r="O8884" t="s">
        <v>45096</v>
      </c>
      <c r="P8884">
        <v>0</v>
      </c>
      <c r="Q8884">
        <v>0</v>
      </c>
      <c r="R8884" t="s">
        <v>45104</v>
      </c>
      <c r="S8884" t="s">
        <v>45304</v>
      </c>
      <c r="T8884" t="s">
        <v>46988</v>
      </c>
      <c r="U8884" t="s">
        <v>54840</v>
      </c>
      <c r="V8884" t="s">
        <v>59950</v>
      </c>
      <c r="W8884" t="s">
        <v>41782</v>
      </c>
      <c r="X8884" t="s">
        <v>45105</v>
      </c>
    </row>
    <row r="8885" spans="1:24">
      <c r="A8885">
        <f>HYPERLINK("https://www.philgeps.gov.ph/GEPSNONPILOT/Tender/SplashBidNoticeAbstractUI.aspx?menuIndex=3&amp;refID=7034054&amp;Result=3","7034054")</f>
        <v>0</v>
      </c>
      <c r="B8885" t="s">
        <v>2481</v>
      </c>
      <c r="C8885" t="s">
        <v>11662</v>
      </c>
      <c r="D8885" t="s">
        <v>18027</v>
      </c>
      <c r="E8885" t="s">
        <v>24795</v>
      </c>
      <c r="F8885" t="s">
        <v>31574</v>
      </c>
      <c r="G8885" t="s">
        <v>31582</v>
      </c>
      <c r="H8885" t="s">
        <v>31590</v>
      </c>
      <c r="I8885" t="s">
        <v>31619</v>
      </c>
      <c r="J8885" t="s">
        <v>37331</v>
      </c>
      <c r="K8885" t="s">
        <v>41190</v>
      </c>
      <c r="M8885" t="s">
        <v>44211</v>
      </c>
      <c r="N8885" t="s">
        <v>45095</v>
      </c>
      <c r="O8885" t="s">
        <v>45096</v>
      </c>
      <c r="P8885">
        <v>0</v>
      </c>
      <c r="Q8885">
        <v>3</v>
      </c>
      <c r="R8885" t="s">
        <v>45104</v>
      </c>
      <c r="S8885" t="s">
        <v>45304</v>
      </c>
      <c r="T8885" t="s">
        <v>47183</v>
      </c>
      <c r="U8885" t="s">
        <v>54841</v>
      </c>
      <c r="W8885" t="s">
        <v>44211</v>
      </c>
      <c r="X8885" t="s">
        <v>45105</v>
      </c>
    </row>
    <row r="8886" spans="1:24">
      <c r="A8886">
        <f>HYPERLINK("https://www.philgeps.gov.ph/GEPSNONPILOT/Tender/SplashBidNoticeAbstractUI.aspx?menuIndex=3&amp;refID=7034053&amp;Result=3","7034053")</f>
        <v>0</v>
      </c>
      <c r="B8886" t="s">
        <v>29</v>
      </c>
      <c r="C8886" t="s">
        <v>11663</v>
      </c>
      <c r="D8886" t="s">
        <v>18026</v>
      </c>
      <c r="E8886" t="s">
        <v>25889</v>
      </c>
      <c r="F8886" t="s">
        <v>31574</v>
      </c>
      <c r="G8886" t="s">
        <v>31582</v>
      </c>
      <c r="H8886" t="s">
        <v>31592</v>
      </c>
      <c r="I8886" t="s">
        <v>4046</v>
      </c>
      <c r="J8886" t="s">
        <v>37332</v>
      </c>
      <c r="K8886" t="s">
        <v>41196</v>
      </c>
      <c r="M8886" t="s">
        <v>41511</v>
      </c>
      <c r="N8886" t="s">
        <v>45095</v>
      </c>
      <c r="O8886" t="s">
        <v>45096</v>
      </c>
      <c r="P8886">
        <v>0</v>
      </c>
      <c r="Q8886">
        <v>2</v>
      </c>
      <c r="R8886" t="s">
        <v>45104</v>
      </c>
      <c r="S8886" t="s">
        <v>45304</v>
      </c>
      <c r="T8886" t="s">
        <v>47164</v>
      </c>
      <c r="U8886" t="s">
        <v>51189</v>
      </c>
      <c r="W8886" t="s">
        <v>41511</v>
      </c>
      <c r="X8886" t="s">
        <v>45105</v>
      </c>
    </row>
    <row r="8887" spans="1:24">
      <c r="A8887">
        <f>HYPERLINK("https://www.philgeps.gov.ph/GEPSNONPILOT/Tender/SplashBidNoticeAbstractUI.aspx?menuIndex=3&amp;refID=7034055&amp;Result=3","7034055")</f>
        <v>0</v>
      </c>
      <c r="B8887" t="s">
        <v>1338</v>
      </c>
      <c r="C8887" t="s">
        <v>11664</v>
      </c>
      <c r="D8887" t="s">
        <v>18043</v>
      </c>
      <c r="E8887" t="s">
        <v>25890</v>
      </c>
      <c r="F8887" t="s">
        <v>31574</v>
      </c>
      <c r="G8887" t="s">
        <v>31581</v>
      </c>
      <c r="H8887" t="s">
        <v>31590</v>
      </c>
      <c r="I8887" t="s">
        <v>31638</v>
      </c>
      <c r="J8887" t="s">
        <v>31947</v>
      </c>
      <c r="K8887" t="s">
        <v>41186</v>
      </c>
      <c r="M8887" t="s">
        <v>42910</v>
      </c>
      <c r="N8887" t="s">
        <v>45095</v>
      </c>
      <c r="O8887" t="s">
        <v>45096</v>
      </c>
      <c r="P8887">
        <v>0</v>
      </c>
      <c r="Q8887">
        <v>0</v>
      </c>
      <c r="R8887" t="s">
        <v>45104</v>
      </c>
      <c r="S8887" t="s">
        <v>45304</v>
      </c>
      <c r="T8887" t="s">
        <v>47164</v>
      </c>
      <c r="U8887" t="s">
        <v>54842</v>
      </c>
      <c r="V8887" t="s">
        <v>60224</v>
      </c>
      <c r="W8887" t="s">
        <v>42910</v>
      </c>
      <c r="X8887" t="s">
        <v>45105</v>
      </c>
    </row>
    <row r="8888" spans="1:24">
      <c r="A8888">
        <f>HYPERLINK("https://www.philgeps.gov.ph/GEPSNONPILOT/Tender/SplashBidNoticeAbstractUI.aspx?menuIndex=3&amp;refID=7034064&amp;Result=3","7034064")</f>
        <v>0</v>
      </c>
      <c r="B8888" t="s">
        <v>2269</v>
      </c>
      <c r="C8888" t="s">
        <v>11665</v>
      </c>
      <c r="D8888" t="s">
        <v>18066</v>
      </c>
      <c r="E8888" t="s">
        <v>25891</v>
      </c>
      <c r="F8888" t="s">
        <v>31574</v>
      </c>
      <c r="G8888" t="s">
        <v>31581</v>
      </c>
      <c r="H8888" t="s">
        <v>31590</v>
      </c>
      <c r="I8888" t="s">
        <v>31599</v>
      </c>
      <c r="J8888" t="s">
        <v>37333</v>
      </c>
      <c r="K8888" t="s">
        <v>41184</v>
      </c>
      <c r="M8888" t="s">
        <v>43970</v>
      </c>
      <c r="N8888" t="s">
        <v>45095</v>
      </c>
      <c r="O8888" t="s">
        <v>45096</v>
      </c>
      <c r="Q8888">
        <v>1</v>
      </c>
      <c r="R8888" t="s">
        <v>45104</v>
      </c>
      <c r="S8888" t="s">
        <v>45321</v>
      </c>
      <c r="T8888" t="s">
        <v>46913</v>
      </c>
      <c r="U8888" t="s">
        <v>53978</v>
      </c>
      <c r="W8888" t="s">
        <v>43970</v>
      </c>
      <c r="X8888" t="s">
        <v>45105</v>
      </c>
    </row>
    <row r="8889" spans="1:24">
      <c r="A8889">
        <f>HYPERLINK("https://www.philgeps.gov.ph/GEPSNONPILOT/Tender/SplashBidNoticeAbstractUI.aspx?menuIndex=3&amp;refID=7034052&amp;Result=3","7034052")</f>
        <v>0</v>
      </c>
      <c r="B8889" t="s">
        <v>2482</v>
      </c>
      <c r="C8889" t="s">
        <v>11666</v>
      </c>
      <c r="D8889" t="s">
        <v>18064</v>
      </c>
      <c r="E8889" t="s">
        <v>25892</v>
      </c>
      <c r="F8889" t="s">
        <v>31574</v>
      </c>
      <c r="G8889" t="s">
        <v>31581</v>
      </c>
      <c r="H8889" t="s">
        <v>31591</v>
      </c>
      <c r="I8889" t="s">
        <v>31638</v>
      </c>
      <c r="J8889" t="s">
        <v>37334</v>
      </c>
      <c r="K8889" t="s">
        <v>41192</v>
      </c>
      <c r="M8889" t="s">
        <v>44212</v>
      </c>
      <c r="N8889" t="s">
        <v>45095</v>
      </c>
      <c r="O8889" t="s">
        <v>45096</v>
      </c>
      <c r="P8889">
        <v>0</v>
      </c>
      <c r="Q8889">
        <v>1</v>
      </c>
      <c r="R8889" t="s">
        <v>45104</v>
      </c>
      <c r="S8889" t="s">
        <v>45304</v>
      </c>
      <c r="T8889" t="s">
        <v>47159</v>
      </c>
      <c r="U8889" t="s">
        <v>54843</v>
      </c>
      <c r="W8889" t="s">
        <v>44212</v>
      </c>
      <c r="X8889" t="s">
        <v>45105</v>
      </c>
    </row>
    <row r="8890" spans="1:24">
      <c r="A8890">
        <f>HYPERLINK("https://www.philgeps.gov.ph/GEPSNONPILOT/Tender/SplashBidNoticeAbstractUI.aspx?menuIndex=3&amp;refID=7034098&amp;Result=3","7034098")</f>
        <v>0</v>
      </c>
      <c r="B8890" t="s">
        <v>2483</v>
      </c>
      <c r="C8890" t="s">
        <v>11667</v>
      </c>
      <c r="D8890" t="s">
        <v>18101</v>
      </c>
      <c r="E8890" t="s">
        <v>25893</v>
      </c>
      <c r="F8890" t="s">
        <v>31574</v>
      </c>
      <c r="G8890" t="s">
        <v>31582</v>
      </c>
      <c r="H8890" t="s">
        <v>31590</v>
      </c>
      <c r="I8890" t="s">
        <v>4046</v>
      </c>
      <c r="J8890" t="s">
        <v>37335</v>
      </c>
      <c r="K8890" t="s">
        <v>41186</v>
      </c>
      <c r="L8890" t="s">
        <v>2483</v>
      </c>
      <c r="M8890" t="s">
        <v>44213</v>
      </c>
      <c r="N8890" t="s">
        <v>45095</v>
      </c>
      <c r="O8890" t="s">
        <v>45096</v>
      </c>
      <c r="P8890">
        <v>0</v>
      </c>
      <c r="Q8890">
        <v>1</v>
      </c>
      <c r="R8890" t="s">
        <v>45104</v>
      </c>
      <c r="S8890" t="s">
        <v>45304</v>
      </c>
      <c r="T8890" t="s">
        <v>46933</v>
      </c>
      <c r="U8890" t="s">
        <v>54844</v>
      </c>
      <c r="V8890" t="s">
        <v>60767</v>
      </c>
      <c r="W8890" t="s">
        <v>44213</v>
      </c>
      <c r="X8890" t="s">
        <v>45105</v>
      </c>
    </row>
    <row r="8891" spans="1:24">
      <c r="A8891">
        <f>HYPERLINK("https://www.philgeps.gov.ph/GEPSNONPILOT/Tender/SplashBidNoticeAbstractUI.aspx?menuIndex=3&amp;refID=7034051&amp;Result=3","7034051")</f>
        <v>0</v>
      </c>
      <c r="B8891" t="s">
        <v>190</v>
      </c>
      <c r="C8891" t="s">
        <v>5059</v>
      </c>
      <c r="D8891" t="s">
        <v>18036</v>
      </c>
      <c r="E8891" t="s">
        <v>25894</v>
      </c>
      <c r="F8891" t="s">
        <v>31574</v>
      </c>
      <c r="G8891" t="s">
        <v>31581</v>
      </c>
      <c r="H8891" t="s">
        <v>31590</v>
      </c>
      <c r="I8891" t="s">
        <v>8258</v>
      </c>
      <c r="J8891" t="s">
        <v>37336</v>
      </c>
      <c r="K8891" t="s">
        <v>41190</v>
      </c>
      <c r="M8891" t="s">
        <v>43336</v>
      </c>
      <c r="N8891" t="s">
        <v>45095</v>
      </c>
      <c r="O8891" t="s">
        <v>45096</v>
      </c>
      <c r="P8891">
        <v>0</v>
      </c>
      <c r="Q8891">
        <v>12</v>
      </c>
      <c r="R8891" t="s">
        <v>45104</v>
      </c>
      <c r="S8891" t="s">
        <v>45304</v>
      </c>
      <c r="T8891" t="s">
        <v>47050</v>
      </c>
      <c r="U8891" t="s">
        <v>54845</v>
      </c>
      <c r="W8891" t="s">
        <v>43336</v>
      </c>
      <c r="X8891" t="s">
        <v>45105</v>
      </c>
    </row>
    <row r="8892" spans="1:24">
      <c r="A8892">
        <f>HYPERLINK("https://www.philgeps.gov.ph/GEPSNONPILOT/Tender/SplashBidNoticeAbstractUI.aspx?menuIndex=3&amp;refID=7034081&amp;Result=3","7034081")</f>
        <v>0</v>
      </c>
      <c r="B8892" t="s">
        <v>2454</v>
      </c>
      <c r="C8892" t="s">
        <v>11668</v>
      </c>
      <c r="D8892" t="s">
        <v>18094</v>
      </c>
      <c r="E8892" t="s">
        <v>18364</v>
      </c>
      <c r="F8892" t="s">
        <v>31574</v>
      </c>
      <c r="G8892" t="s">
        <v>31585</v>
      </c>
      <c r="H8892" t="s">
        <v>31591</v>
      </c>
      <c r="I8892" t="s">
        <v>8822</v>
      </c>
      <c r="J8892" t="s">
        <v>31771</v>
      </c>
      <c r="K8892" t="s">
        <v>41198</v>
      </c>
      <c r="M8892" t="s">
        <v>44183</v>
      </c>
      <c r="N8892" t="s">
        <v>45095</v>
      </c>
      <c r="O8892" t="s">
        <v>45096</v>
      </c>
      <c r="P8892">
        <v>0</v>
      </c>
      <c r="Q8892">
        <v>0</v>
      </c>
      <c r="R8892" t="s">
        <v>45104</v>
      </c>
      <c r="S8892" t="s">
        <v>45304</v>
      </c>
      <c r="T8892" t="s">
        <v>47206</v>
      </c>
      <c r="U8892" t="s">
        <v>54846</v>
      </c>
      <c r="V8892" t="s">
        <v>60761</v>
      </c>
      <c r="W8892" t="s">
        <v>44183</v>
      </c>
      <c r="X8892" t="s">
        <v>45105</v>
      </c>
    </row>
    <row r="8893" spans="1:24">
      <c r="A8893">
        <f>HYPERLINK("https://www.philgeps.gov.ph/GEPSNONPILOT/Tender/SplashBidNoticeAbstractUI.aspx?menuIndex=3&amp;refID=7034084&amp;Result=3","7034084")</f>
        <v>0</v>
      </c>
      <c r="B8893" t="s">
        <v>2484</v>
      </c>
      <c r="C8893" t="s">
        <v>11669</v>
      </c>
      <c r="D8893" t="s">
        <v>18065</v>
      </c>
      <c r="E8893" t="s">
        <v>18227</v>
      </c>
      <c r="F8893" t="s">
        <v>31574</v>
      </c>
      <c r="G8893" t="s">
        <v>31583</v>
      </c>
      <c r="H8893" t="s">
        <v>31590</v>
      </c>
      <c r="I8893" t="s">
        <v>31615</v>
      </c>
      <c r="J8893" t="s">
        <v>37337</v>
      </c>
      <c r="K8893" t="s">
        <v>41196</v>
      </c>
      <c r="M8893" t="s">
        <v>44214</v>
      </c>
      <c r="N8893" t="s">
        <v>45095</v>
      </c>
      <c r="O8893" t="s">
        <v>45096</v>
      </c>
      <c r="P8893">
        <v>0</v>
      </c>
      <c r="Q8893">
        <v>0</v>
      </c>
      <c r="R8893" t="s">
        <v>45104</v>
      </c>
      <c r="S8893" t="s">
        <v>45304</v>
      </c>
      <c r="T8893" t="s">
        <v>46969</v>
      </c>
      <c r="U8893" t="s">
        <v>54847</v>
      </c>
      <c r="W8893" t="s">
        <v>44214</v>
      </c>
      <c r="X8893" t="s">
        <v>45105</v>
      </c>
    </row>
    <row r="8894" spans="1:24">
      <c r="A8894">
        <f>HYPERLINK("https://www.philgeps.gov.ph/GEPSNONPILOT/Tender/SplashBidNoticeAbstractUI.aspx?menuIndex=3&amp;refID=7034076&amp;Result=3","7034076")</f>
        <v>0</v>
      </c>
      <c r="B8894" t="s">
        <v>2476</v>
      </c>
      <c r="C8894" t="s">
        <v>11670</v>
      </c>
      <c r="D8894" t="s">
        <v>18060</v>
      </c>
      <c r="E8894" t="s">
        <v>25895</v>
      </c>
      <c r="F8894" t="s">
        <v>31574</v>
      </c>
      <c r="G8894" t="s">
        <v>31582</v>
      </c>
      <c r="H8894" t="s">
        <v>31590</v>
      </c>
      <c r="I8894" t="s">
        <v>31615</v>
      </c>
      <c r="J8894" t="s">
        <v>33327</v>
      </c>
      <c r="K8894" t="s">
        <v>41186</v>
      </c>
      <c r="M8894" t="s">
        <v>44206</v>
      </c>
      <c r="N8894" t="s">
        <v>45095</v>
      </c>
      <c r="O8894" t="s">
        <v>45096</v>
      </c>
      <c r="P8894">
        <v>0</v>
      </c>
      <c r="Q8894">
        <v>5</v>
      </c>
      <c r="R8894" t="s">
        <v>45104</v>
      </c>
      <c r="S8894" t="s">
        <v>45304</v>
      </c>
      <c r="T8894" t="s">
        <v>46939</v>
      </c>
      <c r="U8894" t="s">
        <v>54848</v>
      </c>
      <c r="V8894" t="s">
        <v>60766</v>
      </c>
      <c r="W8894" t="s">
        <v>44206</v>
      </c>
      <c r="X8894" t="s">
        <v>45105</v>
      </c>
    </row>
    <row r="8895" spans="1:24">
      <c r="A8895">
        <f>HYPERLINK("https://www.philgeps.gov.ph/GEPSNONPILOT/Tender/SplashBidNoticeAbstractUI.aspx?menuIndex=3&amp;refID=7034072&amp;Result=3","7034072")</f>
        <v>0</v>
      </c>
      <c r="B8895" t="s">
        <v>682</v>
      </c>
      <c r="C8895" t="s">
        <v>11671</v>
      </c>
      <c r="D8895" t="s">
        <v>18079</v>
      </c>
      <c r="E8895" t="s">
        <v>25896</v>
      </c>
      <c r="F8895" t="s">
        <v>31574</v>
      </c>
      <c r="G8895" t="s">
        <v>31582</v>
      </c>
      <c r="H8895" t="s">
        <v>31591</v>
      </c>
      <c r="I8895" t="s">
        <v>8822</v>
      </c>
      <c r="J8895" t="s">
        <v>37338</v>
      </c>
      <c r="K8895" t="s">
        <v>41189</v>
      </c>
      <c r="M8895" t="s">
        <v>42189</v>
      </c>
      <c r="N8895" t="s">
        <v>45095</v>
      </c>
      <c r="O8895" t="s">
        <v>45096</v>
      </c>
      <c r="P8895">
        <v>0</v>
      </c>
      <c r="Q8895">
        <v>0</v>
      </c>
      <c r="R8895" t="s">
        <v>45104</v>
      </c>
      <c r="S8895" t="s">
        <v>45304</v>
      </c>
      <c r="T8895" t="s">
        <v>47134</v>
      </c>
      <c r="U8895" t="s">
        <v>48907</v>
      </c>
      <c r="W8895" t="s">
        <v>42189</v>
      </c>
      <c r="X8895" t="s">
        <v>45105</v>
      </c>
    </row>
    <row r="8896" spans="1:24">
      <c r="A8896">
        <f>HYPERLINK("https://www.philgeps.gov.ph/GEPSNONPILOT/Tender/SplashBidNoticeAbstractUI.aspx?menuIndex=3&amp;refID=7034102&amp;Result=3","7034102")</f>
        <v>0</v>
      </c>
      <c r="B8896" t="s">
        <v>682</v>
      </c>
      <c r="C8896" t="s">
        <v>11672</v>
      </c>
      <c r="D8896" t="s">
        <v>18079</v>
      </c>
      <c r="E8896" t="s">
        <v>25897</v>
      </c>
      <c r="F8896" t="s">
        <v>31574</v>
      </c>
      <c r="G8896" t="s">
        <v>31582</v>
      </c>
      <c r="H8896" t="s">
        <v>31591</v>
      </c>
      <c r="I8896" t="s">
        <v>8822</v>
      </c>
      <c r="J8896" t="s">
        <v>37339</v>
      </c>
      <c r="K8896" t="s">
        <v>41189</v>
      </c>
      <c r="M8896" t="s">
        <v>42189</v>
      </c>
      <c r="N8896" t="s">
        <v>45095</v>
      </c>
      <c r="O8896" t="s">
        <v>45096</v>
      </c>
      <c r="P8896">
        <v>0</v>
      </c>
      <c r="Q8896">
        <v>0</v>
      </c>
      <c r="R8896" t="s">
        <v>45104</v>
      </c>
      <c r="S8896" t="s">
        <v>45304</v>
      </c>
      <c r="T8896" t="s">
        <v>46973</v>
      </c>
      <c r="U8896" t="s">
        <v>48907</v>
      </c>
      <c r="W8896" t="s">
        <v>42189</v>
      </c>
      <c r="X8896" t="s">
        <v>45105</v>
      </c>
    </row>
    <row r="8897" spans="1:24">
      <c r="A8897">
        <f>HYPERLINK("https://www.philgeps.gov.ph/GEPSNONPILOT/Tender/SplashBidNoticeAbstractUI.aspx?menuIndex=3&amp;refID=7034096&amp;Result=3","7034096")</f>
        <v>0</v>
      </c>
      <c r="B8897" t="s">
        <v>348</v>
      </c>
      <c r="C8897" t="s">
        <v>11673</v>
      </c>
      <c r="D8897" t="s">
        <v>18065</v>
      </c>
      <c r="E8897" t="s">
        <v>25898</v>
      </c>
      <c r="F8897" t="s">
        <v>31574</v>
      </c>
      <c r="G8897" t="s">
        <v>31583</v>
      </c>
      <c r="H8897" t="s">
        <v>31590</v>
      </c>
      <c r="I8897" t="s">
        <v>31607</v>
      </c>
      <c r="J8897" t="s">
        <v>37340</v>
      </c>
      <c r="K8897" t="s">
        <v>41186</v>
      </c>
      <c r="M8897" t="s">
        <v>41836</v>
      </c>
      <c r="N8897" t="s">
        <v>45095</v>
      </c>
      <c r="O8897" t="s">
        <v>45096</v>
      </c>
      <c r="Q8897">
        <v>6</v>
      </c>
      <c r="R8897" t="s">
        <v>45104</v>
      </c>
      <c r="S8897" t="s">
        <v>45232</v>
      </c>
      <c r="T8897" t="s">
        <v>46957</v>
      </c>
      <c r="U8897" t="s">
        <v>48153</v>
      </c>
      <c r="W8897" t="s">
        <v>41836</v>
      </c>
      <c r="X8897" t="s">
        <v>45105</v>
      </c>
    </row>
    <row r="8898" spans="1:24">
      <c r="A8898">
        <f>HYPERLINK("https://www.philgeps.gov.ph/GEPSNONPILOT/Tender/SplashBidNoticeAbstractUI.aspx?menuIndex=3&amp;refID=7034099&amp;Result=3","7034099")</f>
        <v>0</v>
      </c>
      <c r="B8898" t="s">
        <v>180</v>
      </c>
      <c r="C8898" t="s">
        <v>11674</v>
      </c>
      <c r="D8898" t="s">
        <v>18066</v>
      </c>
      <c r="E8898" t="s">
        <v>25899</v>
      </c>
      <c r="F8898" t="s">
        <v>31574</v>
      </c>
      <c r="G8898" t="s">
        <v>31582</v>
      </c>
      <c r="H8898" t="s">
        <v>31590</v>
      </c>
      <c r="I8898" t="s">
        <v>8258</v>
      </c>
      <c r="J8898" t="s">
        <v>37341</v>
      </c>
      <c r="K8898" t="s">
        <v>41196</v>
      </c>
      <c r="M8898" t="s">
        <v>41665</v>
      </c>
      <c r="N8898" t="s">
        <v>45095</v>
      </c>
      <c r="O8898" t="s">
        <v>45096</v>
      </c>
      <c r="P8898">
        <v>0</v>
      </c>
      <c r="Q8898">
        <v>1</v>
      </c>
      <c r="R8898" t="s">
        <v>45104</v>
      </c>
      <c r="S8898" t="s">
        <v>45304</v>
      </c>
      <c r="T8898" t="s">
        <v>46932</v>
      </c>
      <c r="U8898" t="s">
        <v>54849</v>
      </c>
      <c r="W8898" t="s">
        <v>41665</v>
      </c>
      <c r="X8898" t="s">
        <v>45105</v>
      </c>
    </row>
    <row r="8899" spans="1:24">
      <c r="A8899">
        <f>HYPERLINK("https://www.philgeps.gov.ph/GEPSNONPILOT/Tender/SplashBidNoticeAbstractUI.aspx?menuIndex=3&amp;refID=7034112&amp;Result=3","7034112")</f>
        <v>0</v>
      </c>
      <c r="B8899" t="s">
        <v>386</v>
      </c>
      <c r="C8899" t="s">
        <v>11675</v>
      </c>
      <c r="D8899" t="s">
        <v>18052</v>
      </c>
      <c r="E8899" t="s">
        <v>25900</v>
      </c>
      <c r="F8899" t="s">
        <v>31574</v>
      </c>
      <c r="G8899" t="s">
        <v>31581</v>
      </c>
      <c r="H8899" t="s">
        <v>31590</v>
      </c>
      <c r="I8899" t="s">
        <v>31600</v>
      </c>
      <c r="J8899" t="s">
        <v>37342</v>
      </c>
      <c r="K8899" t="s">
        <v>41186</v>
      </c>
      <c r="M8899" t="s">
        <v>41877</v>
      </c>
      <c r="N8899" t="s">
        <v>45095</v>
      </c>
      <c r="O8899" t="s">
        <v>45096</v>
      </c>
      <c r="P8899">
        <v>0</v>
      </c>
      <c r="Q8899">
        <v>2</v>
      </c>
      <c r="R8899" t="s">
        <v>45104</v>
      </c>
      <c r="S8899" t="s">
        <v>45304</v>
      </c>
      <c r="T8899" t="s">
        <v>47159</v>
      </c>
      <c r="U8899" t="s">
        <v>54850</v>
      </c>
      <c r="V8899" t="s">
        <v>60768</v>
      </c>
      <c r="W8899" t="s">
        <v>41877</v>
      </c>
      <c r="X8899" t="s">
        <v>45105</v>
      </c>
    </row>
    <row r="8900" spans="1:24">
      <c r="A8900">
        <f>HYPERLINK("https://www.philgeps.gov.ph/GEPSNONPILOT/Tender/SplashBidNoticeAbstractUI.aspx?menuIndex=3&amp;refID=7034071&amp;Result=3","7034071")</f>
        <v>0</v>
      </c>
      <c r="B8900" t="s">
        <v>348</v>
      </c>
      <c r="C8900" t="s">
        <v>11676</v>
      </c>
      <c r="D8900" t="s">
        <v>18065</v>
      </c>
      <c r="E8900" t="s">
        <v>25901</v>
      </c>
      <c r="F8900" t="s">
        <v>31574</v>
      </c>
      <c r="G8900" t="s">
        <v>31583</v>
      </c>
      <c r="H8900" t="s">
        <v>31590</v>
      </c>
      <c r="I8900" t="s">
        <v>31607</v>
      </c>
      <c r="J8900" t="s">
        <v>32068</v>
      </c>
      <c r="K8900" t="s">
        <v>41186</v>
      </c>
      <c r="M8900" t="s">
        <v>41836</v>
      </c>
      <c r="N8900" t="s">
        <v>45095</v>
      </c>
      <c r="O8900" t="s">
        <v>45096</v>
      </c>
      <c r="Q8900">
        <v>7</v>
      </c>
      <c r="R8900" t="s">
        <v>45104</v>
      </c>
      <c r="S8900" t="s">
        <v>45322</v>
      </c>
      <c r="T8900" t="s">
        <v>46957</v>
      </c>
      <c r="U8900" t="s">
        <v>48153</v>
      </c>
      <c r="W8900" t="s">
        <v>41836</v>
      </c>
      <c r="X8900" t="s">
        <v>45105</v>
      </c>
    </row>
    <row r="8901" spans="1:24">
      <c r="A8901">
        <f>HYPERLINK("https://www.philgeps.gov.ph/GEPSNONPILOT/Tender/SplashBidNoticeAbstractUI.aspx?menuIndex=3&amp;refID=7034110&amp;Result=3","7034110")</f>
        <v>0</v>
      </c>
      <c r="B8901" t="s">
        <v>336</v>
      </c>
      <c r="C8901" t="s">
        <v>11677</v>
      </c>
      <c r="D8901" t="s">
        <v>18056</v>
      </c>
      <c r="E8901" t="s">
        <v>19127</v>
      </c>
      <c r="F8901" t="s">
        <v>31574</v>
      </c>
      <c r="G8901" t="s">
        <v>31582</v>
      </c>
      <c r="H8901" t="s">
        <v>31591</v>
      </c>
      <c r="I8901" t="s">
        <v>8822</v>
      </c>
      <c r="J8901" t="s">
        <v>31821</v>
      </c>
      <c r="K8901" t="s">
        <v>41266</v>
      </c>
      <c r="M8901" t="s">
        <v>41824</v>
      </c>
      <c r="N8901" t="s">
        <v>45095</v>
      </c>
      <c r="O8901" t="s">
        <v>45096</v>
      </c>
      <c r="P8901">
        <v>0</v>
      </c>
      <c r="Q8901">
        <v>0</v>
      </c>
      <c r="R8901" t="s">
        <v>45104</v>
      </c>
      <c r="S8901" t="s">
        <v>45304</v>
      </c>
      <c r="T8901" t="s">
        <v>47010</v>
      </c>
      <c r="U8901" t="s">
        <v>54851</v>
      </c>
      <c r="W8901" t="s">
        <v>41824</v>
      </c>
      <c r="X8901" t="s">
        <v>45105</v>
      </c>
    </row>
    <row r="8902" spans="1:24">
      <c r="A8902">
        <f>HYPERLINK("https://www.philgeps.gov.ph/GEPSNONPILOT/Tender/SplashBidNoticeAbstractUI.aspx?menuIndex=3&amp;refID=7034101&amp;Result=3","7034101")</f>
        <v>0</v>
      </c>
      <c r="B8902" t="s">
        <v>283</v>
      </c>
      <c r="C8902" t="s">
        <v>11678</v>
      </c>
      <c r="E8902" t="s">
        <v>25902</v>
      </c>
      <c r="F8902" t="s">
        <v>31574</v>
      </c>
      <c r="G8902" t="s">
        <v>31582</v>
      </c>
      <c r="H8902" t="s">
        <v>31590</v>
      </c>
      <c r="I8902" t="s">
        <v>31619</v>
      </c>
      <c r="J8902" t="s">
        <v>37343</v>
      </c>
      <c r="K8902" t="s">
        <v>41192</v>
      </c>
      <c r="M8902" t="s">
        <v>43060</v>
      </c>
      <c r="N8902" t="s">
        <v>45095</v>
      </c>
      <c r="O8902" t="s">
        <v>45096</v>
      </c>
      <c r="P8902">
        <v>0</v>
      </c>
      <c r="Q8902">
        <v>13</v>
      </c>
      <c r="R8902" t="s">
        <v>45104</v>
      </c>
      <c r="S8902" t="s">
        <v>45304</v>
      </c>
      <c r="T8902" t="s">
        <v>46943</v>
      </c>
      <c r="U8902" t="s">
        <v>51067</v>
      </c>
      <c r="V8902" t="s">
        <v>60288</v>
      </c>
      <c r="W8902" t="s">
        <v>43060</v>
      </c>
      <c r="X8902" t="s">
        <v>45105</v>
      </c>
    </row>
    <row r="8903" spans="1:24">
      <c r="A8903">
        <f>HYPERLINK("https://www.philgeps.gov.ph/GEPSNONPILOT/Tender/SplashBidNoticeAbstractUI.aspx?menuIndex=3&amp;refID=7034094&amp;Result=3","7034094")</f>
        <v>0</v>
      </c>
      <c r="B8903" t="s">
        <v>669</v>
      </c>
      <c r="C8903" t="s">
        <v>11679</v>
      </c>
      <c r="D8903" t="s">
        <v>18050</v>
      </c>
      <c r="E8903" t="s">
        <v>25903</v>
      </c>
      <c r="F8903" t="s">
        <v>31574</v>
      </c>
      <c r="G8903" t="s">
        <v>31582</v>
      </c>
      <c r="H8903" t="s">
        <v>31591</v>
      </c>
      <c r="I8903" t="s">
        <v>8822</v>
      </c>
      <c r="J8903" t="s">
        <v>33252</v>
      </c>
      <c r="K8903" t="s">
        <v>41189</v>
      </c>
      <c r="M8903" t="s">
        <v>42174</v>
      </c>
      <c r="N8903" t="s">
        <v>45095</v>
      </c>
      <c r="O8903" t="s">
        <v>45096</v>
      </c>
      <c r="P8903">
        <v>0</v>
      </c>
      <c r="Q8903">
        <v>0</v>
      </c>
      <c r="R8903" t="s">
        <v>45104</v>
      </c>
      <c r="S8903" t="s">
        <v>45304</v>
      </c>
      <c r="T8903" t="s">
        <v>47000</v>
      </c>
      <c r="U8903" t="s">
        <v>52518</v>
      </c>
      <c r="W8903" t="s">
        <v>42174</v>
      </c>
      <c r="X8903" t="s">
        <v>45105</v>
      </c>
    </row>
    <row r="8904" spans="1:24">
      <c r="A8904">
        <f>HYPERLINK("https://www.philgeps.gov.ph/GEPSNONPILOT/Tender/SplashBidNoticeAbstractUI.aspx?menuIndex=3&amp;refID=7034117&amp;Result=3","7034117")</f>
        <v>0</v>
      </c>
      <c r="B8904" t="s">
        <v>2454</v>
      </c>
      <c r="C8904" t="s">
        <v>11680</v>
      </c>
      <c r="D8904" t="s">
        <v>18094</v>
      </c>
      <c r="E8904" t="s">
        <v>25750</v>
      </c>
      <c r="F8904" t="s">
        <v>31574</v>
      </c>
      <c r="G8904" t="s">
        <v>31582</v>
      </c>
      <c r="H8904" t="s">
        <v>31591</v>
      </c>
      <c r="I8904" t="s">
        <v>8822</v>
      </c>
      <c r="J8904" t="s">
        <v>37344</v>
      </c>
      <c r="K8904" t="s">
        <v>41198</v>
      </c>
      <c r="M8904" t="s">
        <v>44183</v>
      </c>
      <c r="N8904" t="s">
        <v>45095</v>
      </c>
      <c r="O8904" t="s">
        <v>45096</v>
      </c>
      <c r="P8904">
        <v>0</v>
      </c>
      <c r="Q8904">
        <v>0</v>
      </c>
      <c r="R8904" t="s">
        <v>45104</v>
      </c>
      <c r="S8904" t="s">
        <v>45304</v>
      </c>
      <c r="T8904" t="s">
        <v>47206</v>
      </c>
      <c r="U8904" t="s">
        <v>54852</v>
      </c>
      <c r="V8904" t="s">
        <v>60761</v>
      </c>
      <c r="W8904" t="s">
        <v>44183</v>
      </c>
      <c r="X8904" t="s">
        <v>45105</v>
      </c>
    </row>
    <row r="8905" spans="1:24">
      <c r="A8905">
        <f>HYPERLINK("https://www.philgeps.gov.ph/GEPSNONPILOT/Tender/SplashBidNoticeAbstractUI.aspx?menuIndex=3&amp;refID=7034059&amp;Result=3","7034059")</f>
        <v>0</v>
      </c>
      <c r="B8905" t="s">
        <v>345</v>
      </c>
      <c r="C8905" t="s">
        <v>11681</v>
      </c>
      <c r="D8905" t="s">
        <v>18039</v>
      </c>
      <c r="E8905" t="s">
        <v>25904</v>
      </c>
      <c r="F8905" t="s">
        <v>31574</v>
      </c>
      <c r="G8905" t="s">
        <v>31582</v>
      </c>
      <c r="H8905" t="s">
        <v>31591</v>
      </c>
      <c r="I8905" t="s">
        <v>8822</v>
      </c>
      <c r="J8905" t="s">
        <v>37345</v>
      </c>
      <c r="K8905" t="s">
        <v>41200</v>
      </c>
      <c r="M8905" t="s">
        <v>44215</v>
      </c>
      <c r="N8905" t="s">
        <v>45095</v>
      </c>
      <c r="O8905" t="s">
        <v>45096</v>
      </c>
      <c r="P8905">
        <v>0</v>
      </c>
      <c r="Q8905">
        <v>1</v>
      </c>
      <c r="R8905" t="s">
        <v>45104</v>
      </c>
      <c r="S8905" t="s">
        <v>45304</v>
      </c>
      <c r="T8905" t="s">
        <v>47010</v>
      </c>
      <c r="U8905" t="s">
        <v>54853</v>
      </c>
      <c r="W8905" t="s">
        <v>44215</v>
      </c>
      <c r="X8905" t="s">
        <v>45105</v>
      </c>
    </row>
    <row r="8906" spans="1:24">
      <c r="A8906">
        <f>HYPERLINK("https://www.philgeps.gov.ph/GEPSNONPILOT/Tender/SplashBidNoticeAbstractUI.aspx?menuIndex=3&amp;refID=7034136&amp;Result=3","7034136")</f>
        <v>0</v>
      </c>
      <c r="B8906" t="s">
        <v>2462</v>
      </c>
      <c r="C8906" t="s">
        <v>11682</v>
      </c>
      <c r="D8906" t="s">
        <v>18066</v>
      </c>
      <c r="E8906" t="s">
        <v>25905</v>
      </c>
      <c r="F8906" t="s">
        <v>31574</v>
      </c>
      <c r="G8906" t="s">
        <v>31582</v>
      </c>
      <c r="H8906" t="s">
        <v>31591</v>
      </c>
      <c r="I8906" t="s">
        <v>8822</v>
      </c>
      <c r="J8906" t="s">
        <v>32537</v>
      </c>
      <c r="K8906" t="s">
        <v>41200</v>
      </c>
      <c r="M8906" t="s">
        <v>44191</v>
      </c>
      <c r="N8906" t="s">
        <v>45095</v>
      </c>
      <c r="O8906" t="s">
        <v>45096</v>
      </c>
      <c r="P8906">
        <v>0</v>
      </c>
      <c r="Q8906">
        <v>1</v>
      </c>
      <c r="R8906" t="s">
        <v>45104</v>
      </c>
      <c r="S8906" t="s">
        <v>45304</v>
      </c>
      <c r="T8906" t="s">
        <v>47265</v>
      </c>
      <c r="U8906" t="s">
        <v>54854</v>
      </c>
      <c r="W8906" t="s">
        <v>44191</v>
      </c>
      <c r="X8906" t="s">
        <v>45105</v>
      </c>
    </row>
    <row r="8907" spans="1:24">
      <c r="A8907">
        <f>HYPERLINK("https://www.philgeps.gov.ph/GEPSNONPILOT/Tender/SplashBidNoticeAbstractUI.aspx?menuIndex=3&amp;refID=7034137&amp;Result=3","7034137")</f>
        <v>0</v>
      </c>
      <c r="B8907" t="s">
        <v>2473</v>
      </c>
      <c r="C8907" t="s">
        <v>11683</v>
      </c>
      <c r="D8907" t="s">
        <v>18033</v>
      </c>
      <c r="E8907" t="s">
        <v>25906</v>
      </c>
      <c r="F8907" t="s">
        <v>31574</v>
      </c>
      <c r="G8907" t="s">
        <v>31583</v>
      </c>
      <c r="H8907" t="s">
        <v>31590</v>
      </c>
      <c r="I8907" t="s">
        <v>4046</v>
      </c>
      <c r="J8907" t="s">
        <v>37330</v>
      </c>
      <c r="K8907" t="s">
        <v>41193</v>
      </c>
      <c r="M8907" t="s">
        <v>44202</v>
      </c>
      <c r="N8907" t="s">
        <v>45095</v>
      </c>
      <c r="O8907" t="s">
        <v>45096</v>
      </c>
      <c r="P8907">
        <v>0</v>
      </c>
      <c r="Q8907">
        <v>0</v>
      </c>
      <c r="R8907" t="s">
        <v>45104</v>
      </c>
      <c r="S8907" t="s">
        <v>45304</v>
      </c>
      <c r="T8907" t="s">
        <v>46957</v>
      </c>
      <c r="U8907" t="s">
        <v>54839</v>
      </c>
      <c r="W8907" t="s">
        <v>44202</v>
      </c>
      <c r="X8907" t="s">
        <v>45105</v>
      </c>
    </row>
    <row r="8908" spans="1:24">
      <c r="A8908">
        <f>HYPERLINK("https://www.philgeps.gov.ph/GEPSNONPILOT/Tender/SplashBidNoticeAbstractUI.aspx?menuIndex=3&amp;refID=7034133&amp;Result=3","7034133")</f>
        <v>0</v>
      </c>
      <c r="B8908" t="s">
        <v>386</v>
      </c>
      <c r="C8908" t="s">
        <v>11684</v>
      </c>
      <c r="D8908" t="s">
        <v>18052</v>
      </c>
      <c r="E8908" t="s">
        <v>25907</v>
      </c>
      <c r="F8908" t="s">
        <v>31574</v>
      </c>
      <c r="G8908" t="s">
        <v>31581</v>
      </c>
      <c r="H8908" t="s">
        <v>31590</v>
      </c>
      <c r="I8908" t="s">
        <v>31600</v>
      </c>
      <c r="J8908" t="s">
        <v>37346</v>
      </c>
      <c r="K8908" t="s">
        <v>41196</v>
      </c>
      <c r="M8908" t="s">
        <v>41877</v>
      </c>
      <c r="N8908" t="s">
        <v>45095</v>
      </c>
      <c r="O8908" t="s">
        <v>45096</v>
      </c>
      <c r="P8908">
        <v>0</v>
      </c>
      <c r="Q8908">
        <v>1</v>
      </c>
      <c r="R8908" t="s">
        <v>45104</v>
      </c>
      <c r="S8908" t="s">
        <v>45304</v>
      </c>
      <c r="T8908" t="s">
        <v>47159</v>
      </c>
      <c r="U8908" t="s">
        <v>54855</v>
      </c>
      <c r="V8908" t="s">
        <v>60768</v>
      </c>
      <c r="W8908" t="s">
        <v>41877</v>
      </c>
      <c r="X8908" t="s">
        <v>45105</v>
      </c>
    </row>
    <row r="8909" spans="1:24">
      <c r="A8909">
        <f>HYPERLINK("https://www.philgeps.gov.ph/GEPSNONPILOT/Tender/SplashBidNoticeAbstractUI.aspx?menuIndex=3&amp;refID=7034134&amp;Result=3","7034134")</f>
        <v>0</v>
      </c>
      <c r="B8909" t="s">
        <v>283</v>
      </c>
      <c r="C8909" t="s">
        <v>11685</v>
      </c>
      <c r="D8909" t="s">
        <v>18036</v>
      </c>
      <c r="E8909" t="s">
        <v>25908</v>
      </c>
      <c r="F8909" t="s">
        <v>31574</v>
      </c>
      <c r="G8909" t="s">
        <v>31582</v>
      </c>
      <c r="H8909" t="s">
        <v>31590</v>
      </c>
      <c r="I8909" t="s">
        <v>31594</v>
      </c>
      <c r="J8909" t="s">
        <v>37347</v>
      </c>
      <c r="K8909" t="s">
        <v>41192</v>
      </c>
      <c r="M8909" t="s">
        <v>43060</v>
      </c>
      <c r="N8909" t="s">
        <v>45095</v>
      </c>
      <c r="O8909" t="s">
        <v>45096</v>
      </c>
      <c r="P8909">
        <v>0</v>
      </c>
      <c r="Q8909">
        <v>33</v>
      </c>
      <c r="R8909" t="s">
        <v>45104</v>
      </c>
      <c r="S8909" t="s">
        <v>45304</v>
      </c>
      <c r="T8909" t="s">
        <v>46943</v>
      </c>
      <c r="U8909" t="s">
        <v>51067</v>
      </c>
      <c r="V8909" t="s">
        <v>60288</v>
      </c>
      <c r="W8909" t="s">
        <v>43060</v>
      </c>
      <c r="X8909" t="s">
        <v>45105</v>
      </c>
    </row>
    <row r="8910" spans="1:24">
      <c r="A8910">
        <f>HYPERLINK("https://www.philgeps.gov.ph/GEPSNONPILOT/Tender/SplashBidNoticeAbstractUI.aspx?menuIndex=3&amp;refID=7034122&amp;Result=3","7034122")</f>
        <v>0</v>
      </c>
      <c r="B8910" t="s">
        <v>2473</v>
      </c>
      <c r="C8910" t="s">
        <v>11686</v>
      </c>
      <c r="D8910" t="s">
        <v>18033</v>
      </c>
      <c r="E8910" t="s">
        <v>25909</v>
      </c>
      <c r="F8910" t="s">
        <v>31574</v>
      </c>
      <c r="G8910" t="s">
        <v>31583</v>
      </c>
      <c r="H8910" t="s">
        <v>31590</v>
      </c>
      <c r="I8910" t="s">
        <v>4046</v>
      </c>
      <c r="J8910" t="s">
        <v>37330</v>
      </c>
      <c r="K8910" t="s">
        <v>41193</v>
      </c>
      <c r="M8910" t="s">
        <v>44202</v>
      </c>
      <c r="N8910" t="s">
        <v>45095</v>
      </c>
      <c r="O8910" t="s">
        <v>45096</v>
      </c>
      <c r="P8910">
        <v>0</v>
      </c>
      <c r="Q8910">
        <v>0</v>
      </c>
      <c r="R8910" t="s">
        <v>45104</v>
      </c>
      <c r="S8910" t="s">
        <v>45304</v>
      </c>
      <c r="T8910" t="s">
        <v>46957</v>
      </c>
      <c r="U8910" t="s">
        <v>54839</v>
      </c>
      <c r="W8910" t="s">
        <v>44202</v>
      </c>
      <c r="X8910" t="s">
        <v>45105</v>
      </c>
    </row>
    <row r="8911" spans="1:24">
      <c r="A8911">
        <f>HYPERLINK("https://www.philgeps.gov.ph/GEPSNONPILOT/Tender/SplashBidNoticeAbstractUI.aspx?menuIndex=3&amp;refID=7034063&amp;Result=3","7034063")</f>
        <v>0</v>
      </c>
      <c r="B8911" t="s">
        <v>283</v>
      </c>
      <c r="C8911" t="s">
        <v>11687</v>
      </c>
      <c r="E8911" t="s">
        <v>25910</v>
      </c>
      <c r="F8911" t="s">
        <v>31574</v>
      </c>
      <c r="G8911" t="s">
        <v>31582</v>
      </c>
      <c r="H8911" t="s">
        <v>31590</v>
      </c>
      <c r="I8911" t="s">
        <v>4327</v>
      </c>
      <c r="J8911" t="s">
        <v>37348</v>
      </c>
      <c r="K8911" t="s">
        <v>41192</v>
      </c>
      <c r="M8911" t="s">
        <v>43060</v>
      </c>
      <c r="N8911" t="s">
        <v>45095</v>
      </c>
      <c r="O8911" t="s">
        <v>45096</v>
      </c>
      <c r="P8911">
        <v>0</v>
      </c>
      <c r="Q8911">
        <v>4</v>
      </c>
      <c r="R8911" t="s">
        <v>45104</v>
      </c>
      <c r="S8911" t="s">
        <v>45304</v>
      </c>
      <c r="T8911" t="s">
        <v>46943</v>
      </c>
      <c r="U8911" t="s">
        <v>51067</v>
      </c>
      <c r="V8911" t="s">
        <v>60288</v>
      </c>
      <c r="W8911" t="s">
        <v>43060</v>
      </c>
      <c r="X8911" t="s">
        <v>45105</v>
      </c>
    </row>
    <row r="8912" spans="1:24">
      <c r="A8912">
        <f>HYPERLINK("https://www.philgeps.gov.ph/GEPSNONPILOT/Tender/SplashBidNoticeAbstractUI.aspx?menuIndex=3&amp;refID=7034132&amp;Result=3","7034132")</f>
        <v>0</v>
      </c>
      <c r="B8912" t="s">
        <v>2421</v>
      </c>
      <c r="C8912" t="s">
        <v>11688</v>
      </c>
      <c r="D8912" t="s">
        <v>18070</v>
      </c>
      <c r="E8912" t="s">
        <v>25911</v>
      </c>
      <c r="F8912" t="s">
        <v>31574</v>
      </c>
      <c r="G8912" t="s">
        <v>31582</v>
      </c>
      <c r="H8912" t="s">
        <v>31590</v>
      </c>
      <c r="I8912" t="s">
        <v>31615</v>
      </c>
      <c r="J8912" t="s">
        <v>32120</v>
      </c>
      <c r="K8912" t="s">
        <v>41186</v>
      </c>
      <c r="M8912" t="s">
        <v>44148</v>
      </c>
      <c r="N8912" t="s">
        <v>45095</v>
      </c>
      <c r="O8912" t="s">
        <v>45096</v>
      </c>
      <c r="P8912">
        <v>0</v>
      </c>
      <c r="Q8912">
        <v>4</v>
      </c>
      <c r="R8912" t="s">
        <v>45104</v>
      </c>
      <c r="S8912" t="s">
        <v>45304</v>
      </c>
      <c r="T8912" t="s">
        <v>47336</v>
      </c>
      <c r="U8912" t="s">
        <v>54856</v>
      </c>
      <c r="W8912" t="s">
        <v>44148</v>
      </c>
      <c r="X8912" t="s">
        <v>45105</v>
      </c>
    </row>
    <row r="8913" spans="1:24">
      <c r="A8913">
        <f>HYPERLINK("https://www.philgeps.gov.ph/GEPSNONPILOT/Tender/SplashBidNoticeAbstractUI.aspx?menuIndex=3&amp;refID=7034126&amp;Result=3","7034126")</f>
        <v>0</v>
      </c>
      <c r="B8913" t="s">
        <v>2485</v>
      </c>
      <c r="C8913" t="s">
        <v>11689</v>
      </c>
      <c r="D8913" t="s">
        <v>18084</v>
      </c>
      <c r="E8913" t="s">
        <v>25912</v>
      </c>
      <c r="F8913" t="s">
        <v>31574</v>
      </c>
      <c r="G8913" t="s">
        <v>31582</v>
      </c>
      <c r="H8913" t="s">
        <v>31591</v>
      </c>
      <c r="I8913" t="s">
        <v>8822</v>
      </c>
      <c r="J8913" t="s">
        <v>37349</v>
      </c>
      <c r="K8913" t="s">
        <v>41203</v>
      </c>
      <c r="M8913" t="s">
        <v>44216</v>
      </c>
      <c r="N8913" t="s">
        <v>45095</v>
      </c>
      <c r="O8913" t="s">
        <v>45096</v>
      </c>
      <c r="P8913">
        <v>0</v>
      </c>
      <c r="Q8913">
        <v>18</v>
      </c>
      <c r="R8913" t="s">
        <v>45104</v>
      </c>
      <c r="S8913" t="s">
        <v>45304</v>
      </c>
      <c r="T8913" t="s">
        <v>46988</v>
      </c>
      <c r="U8913" t="s">
        <v>54857</v>
      </c>
      <c r="W8913" t="s">
        <v>61740</v>
      </c>
      <c r="X8913" t="s">
        <v>45105</v>
      </c>
    </row>
    <row r="8914" spans="1:24">
      <c r="A8914">
        <f>HYPERLINK("https://www.philgeps.gov.ph/GEPSNONPILOT/Tender/SplashBidNoticeAbstractUI.aspx?menuIndex=3&amp;refID=7034121&amp;Result=3","7034121")</f>
        <v>0</v>
      </c>
      <c r="B8914" t="s">
        <v>2486</v>
      </c>
      <c r="C8914" t="s">
        <v>11690</v>
      </c>
      <c r="D8914" t="s">
        <v>18028</v>
      </c>
      <c r="E8914" t="s">
        <v>25913</v>
      </c>
      <c r="F8914" t="s">
        <v>31574</v>
      </c>
      <c r="G8914" t="s">
        <v>31581</v>
      </c>
      <c r="H8914" t="s">
        <v>31590</v>
      </c>
      <c r="I8914" t="s">
        <v>6800</v>
      </c>
      <c r="J8914" t="s">
        <v>37350</v>
      </c>
      <c r="K8914" t="s">
        <v>41186</v>
      </c>
      <c r="M8914" t="s">
        <v>44217</v>
      </c>
      <c r="N8914" t="s">
        <v>45095</v>
      </c>
      <c r="O8914" t="s">
        <v>45096</v>
      </c>
      <c r="P8914">
        <v>0</v>
      </c>
      <c r="Q8914">
        <v>3</v>
      </c>
      <c r="R8914" t="s">
        <v>45104</v>
      </c>
      <c r="S8914" t="s">
        <v>45304</v>
      </c>
      <c r="T8914" t="s">
        <v>47159</v>
      </c>
      <c r="U8914" t="s">
        <v>54858</v>
      </c>
      <c r="W8914" t="s">
        <v>44217</v>
      </c>
      <c r="X8914" t="s">
        <v>45105</v>
      </c>
    </row>
    <row r="8915" spans="1:24">
      <c r="A8915">
        <f>HYPERLINK("https://www.philgeps.gov.ph/GEPSNONPILOT/Tender/SplashBidNoticeAbstractUI.aspx?menuIndex=3&amp;refID=7034119&amp;Result=3","7034119")</f>
        <v>0</v>
      </c>
      <c r="B8915" t="s">
        <v>348</v>
      </c>
      <c r="C8915" t="s">
        <v>11691</v>
      </c>
      <c r="D8915" t="s">
        <v>18065</v>
      </c>
      <c r="E8915" t="s">
        <v>25914</v>
      </c>
      <c r="F8915" t="s">
        <v>31574</v>
      </c>
      <c r="G8915" t="s">
        <v>31583</v>
      </c>
      <c r="H8915" t="s">
        <v>31590</v>
      </c>
      <c r="I8915" t="s">
        <v>31607</v>
      </c>
      <c r="J8915" t="s">
        <v>33168</v>
      </c>
      <c r="K8915" t="s">
        <v>41186</v>
      </c>
      <c r="M8915" t="s">
        <v>41836</v>
      </c>
      <c r="N8915" t="s">
        <v>45095</v>
      </c>
      <c r="O8915" t="s">
        <v>45096</v>
      </c>
      <c r="Q8915">
        <v>2</v>
      </c>
      <c r="R8915" t="s">
        <v>45104</v>
      </c>
      <c r="S8915" t="s">
        <v>45323</v>
      </c>
      <c r="T8915" t="s">
        <v>46957</v>
      </c>
      <c r="U8915" t="s">
        <v>48153</v>
      </c>
      <c r="W8915" t="s">
        <v>41836</v>
      </c>
      <c r="X8915" t="s">
        <v>45105</v>
      </c>
    </row>
    <row r="8916" spans="1:24">
      <c r="A8916">
        <f>HYPERLINK("https://www.philgeps.gov.ph/GEPSNONPILOT/Tender/SplashBidNoticeAbstractUI.aspx?menuIndex=3&amp;refID=7034062&amp;Result=3","7034062")</f>
        <v>0</v>
      </c>
      <c r="B8916" t="s">
        <v>2383</v>
      </c>
      <c r="C8916" t="s">
        <v>11692</v>
      </c>
      <c r="D8916" t="s">
        <v>18087</v>
      </c>
      <c r="E8916" t="s">
        <v>25915</v>
      </c>
      <c r="F8916" t="s">
        <v>31574</v>
      </c>
      <c r="G8916" t="s">
        <v>31582</v>
      </c>
      <c r="H8916" t="s">
        <v>31590</v>
      </c>
      <c r="I8916" t="s">
        <v>31615</v>
      </c>
      <c r="J8916" t="s">
        <v>31819</v>
      </c>
      <c r="K8916" t="s">
        <v>41184</v>
      </c>
      <c r="M8916" t="s">
        <v>44107</v>
      </c>
      <c r="N8916" t="s">
        <v>45095</v>
      </c>
      <c r="O8916" t="s">
        <v>45096</v>
      </c>
      <c r="P8916">
        <v>0</v>
      </c>
      <c r="Q8916">
        <v>4</v>
      </c>
      <c r="R8916" t="s">
        <v>45104</v>
      </c>
      <c r="S8916" t="s">
        <v>45304</v>
      </c>
      <c r="T8916" t="s">
        <v>46988</v>
      </c>
      <c r="U8916" t="s">
        <v>54859</v>
      </c>
      <c r="W8916" t="s">
        <v>44107</v>
      </c>
      <c r="X8916" t="s">
        <v>45105</v>
      </c>
    </row>
    <row r="8917" spans="1:24">
      <c r="A8917">
        <f>HYPERLINK("https://www.philgeps.gov.ph/GEPSNONPILOT/Tender/SplashBidNoticeAbstractUI.aspx?menuIndex=3&amp;refID=7034127&amp;Result=3","7034127")</f>
        <v>0</v>
      </c>
      <c r="B8917" t="s">
        <v>682</v>
      </c>
      <c r="C8917" t="s">
        <v>11693</v>
      </c>
      <c r="D8917" t="s">
        <v>18079</v>
      </c>
      <c r="E8917" t="s">
        <v>25916</v>
      </c>
      <c r="F8917" t="s">
        <v>31574</v>
      </c>
      <c r="G8917" t="s">
        <v>31582</v>
      </c>
      <c r="H8917" t="s">
        <v>31591</v>
      </c>
      <c r="I8917" t="s">
        <v>8822</v>
      </c>
      <c r="J8917" t="s">
        <v>37351</v>
      </c>
      <c r="K8917" t="s">
        <v>41189</v>
      </c>
      <c r="M8917" t="s">
        <v>42189</v>
      </c>
      <c r="N8917" t="s">
        <v>45095</v>
      </c>
      <c r="O8917" t="s">
        <v>45096</v>
      </c>
      <c r="P8917">
        <v>0</v>
      </c>
      <c r="Q8917">
        <v>0</v>
      </c>
      <c r="R8917" t="s">
        <v>45104</v>
      </c>
      <c r="S8917" t="s">
        <v>45304</v>
      </c>
      <c r="T8917" t="s">
        <v>47228</v>
      </c>
      <c r="U8917" t="s">
        <v>48907</v>
      </c>
      <c r="W8917" t="s">
        <v>42189</v>
      </c>
      <c r="X8917" t="s">
        <v>45105</v>
      </c>
    </row>
    <row r="8918" spans="1:24">
      <c r="A8918">
        <f>HYPERLINK("https://www.philgeps.gov.ph/GEPSNONPILOT/Tender/SplashBidNoticeAbstractUI.aspx?menuIndex=3&amp;refID=7034108&amp;Result=3","7034108")</f>
        <v>0</v>
      </c>
      <c r="B8918" t="s">
        <v>1843</v>
      </c>
      <c r="C8918" t="s">
        <v>11694</v>
      </c>
      <c r="D8918" t="s">
        <v>18037</v>
      </c>
      <c r="E8918" t="s">
        <v>25917</v>
      </c>
      <c r="F8918" t="s">
        <v>31574</v>
      </c>
      <c r="G8918" t="s">
        <v>31581</v>
      </c>
      <c r="H8918" t="s">
        <v>31590</v>
      </c>
      <c r="I8918" t="s">
        <v>31699</v>
      </c>
      <c r="J8918" t="s">
        <v>32017</v>
      </c>
      <c r="K8918" t="s">
        <v>41190</v>
      </c>
      <c r="M8918" t="s">
        <v>43481</v>
      </c>
      <c r="N8918" t="s">
        <v>45095</v>
      </c>
      <c r="O8918" t="s">
        <v>45096</v>
      </c>
      <c r="P8918">
        <v>0</v>
      </c>
      <c r="Q8918">
        <v>0</v>
      </c>
      <c r="R8918" t="s">
        <v>45104</v>
      </c>
      <c r="S8918" t="s">
        <v>45304</v>
      </c>
      <c r="T8918" t="s">
        <v>47178</v>
      </c>
      <c r="U8918" t="s">
        <v>54860</v>
      </c>
      <c r="W8918" t="s">
        <v>43481</v>
      </c>
      <c r="X8918" t="s">
        <v>45105</v>
      </c>
    </row>
    <row r="8919" spans="1:24">
      <c r="A8919">
        <f>HYPERLINK("https://www.philgeps.gov.ph/GEPSNONPILOT/Tender/SplashBidNoticeAbstractUI.aspx?menuIndex=3&amp;refID=7034107&amp;Result=3","7034107")</f>
        <v>0</v>
      </c>
      <c r="B8919" t="s">
        <v>728</v>
      </c>
      <c r="C8919" t="s">
        <v>11695</v>
      </c>
      <c r="D8919" t="s">
        <v>18053</v>
      </c>
      <c r="E8919" t="s">
        <v>25918</v>
      </c>
      <c r="F8919" t="s">
        <v>31574</v>
      </c>
      <c r="G8919" t="s">
        <v>31582</v>
      </c>
      <c r="H8919" t="s">
        <v>31590</v>
      </c>
      <c r="I8919" t="s">
        <v>31615</v>
      </c>
      <c r="J8919" t="s">
        <v>37352</v>
      </c>
      <c r="K8919" t="s">
        <v>41186</v>
      </c>
      <c r="M8919" t="s">
        <v>42238</v>
      </c>
      <c r="N8919" t="s">
        <v>45095</v>
      </c>
      <c r="O8919" t="s">
        <v>45096</v>
      </c>
      <c r="P8919">
        <v>0</v>
      </c>
      <c r="Q8919">
        <v>11</v>
      </c>
      <c r="R8919" t="s">
        <v>45104</v>
      </c>
      <c r="S8919" t="s">
        <v>45304</v>
      </c>
      <c r="T8919" t="s">
        <v>46952</v>
      </c>
      <c r="U8919" t="s">
        <v>54861</v>
      </c>
      <c r="W8919" t="s">
        <v>42238</v>
      </c>
      <c r="X8919" t="s">
        <v>45105</v>
      </c>
    </row>
    <row r="8920" spans="1:24">
      <c r="A8920">
        <f>HYPERLINK("https://www.philgeps.gov.ph/GEPSNONPILOT/Tender/SplashBidNoticeAbstractUI.aspx?menuIndex=3&amp;refID=7034105&amp;Result=3","7034105")</f>
        <v>0</v>
      </c>
      <c r="B8920" t="s">
        <v>2482</v>
      </c>
      <c r="C8920" t="s">
        <v>11696</v>
      </c>
      <c r="D8920" t="s">
        <v>18064</v>
      </c>
      <c r="E8920" t="s">
        <v>25919</v>
      </c>
      <c r="F8920" t="s">
        <v>31574</v>
      </c>
      <c r="G8920" t="s">
        <v>31581</v>
      </c>
      <c r="H8920" t="s">
        <v>31591</v>
      </c>
      <c r="I8920" t="s">
        <v>31638</v>
      </c>
      <c r="J8920" t="s">
        <v>37353</v>
      </c>
      <c r="K8920" t="s">
        <v>41192</v>
      </c>
      <c r="M8920" t="s">
        <v>44212</v>
      </c>
      <c r="N8920" t="s">
        <v>45095</v>
      </c>
      <c r="O8920" t="s">
        <v>45096</v>
      </c>
      <c r="P8920">
        <v>0</v>
      </c>
      <c r="Q8920">
        <v>1</v>
      </c>
      <c r="R8920" t="s">
        <v>45104</v>
      </c>
      <c r="S8920" t="s">
        <v>45304</v>
      </c>
      <c r="T8920" t="s">
        <v>47159</v>
      </c>
      <c r="U8920" t="s">
        <v>54862</v>
      </c>
      <c r="W8920" t="s">
        <v>44212</v>
      </c>
      <c r="X8920" t="s">
        <v>45105</v>
      </c>
    </row>
    <row r="8921" spans="1:24">
      <c r="A8921">
        <f>HYPERLINK("https://www.philgeps.gov.ph/GEPSNONPILOT/Tender/SplashBidNoticeAbstractUI.aspx?menuIndex=3&amp;refID=7034183&amp;Result=3","7034183")</f>
        <v>0</v>
      </c>
      <c r="B8921" t="s">
        <v>127</v>
      </c>
      <c r="C8921" t="s">
        <v>11697</v>
      </c>
      <c r="D8921" t="s">
        <v>18022</v>
      </c>
      <c r="E8921" t="s">
        <v>25920</v>
      </c>
      <c r="F8921" t="s">
        <v>31574</v>
      </c>
      <c r="G8921" t="s">
        <v>31582</v>
      </c>
      <c r="H8921" t="s">
        <v>31590</v>
      </c>
      <c r="I8921" t="s">
        <v>31603</v>
      </c>
      <c r="J8921" t="s">
        <v>37354</v>
      </c>
      <c r="K8921" t="s">
        <v>41186</v>
      </c>
      <c r="M8921" t="s">
        <v>44100</v>
      </c>
      <c r="N8921" t="s">
        <v>45095</v>
      </c>
      <c r="O8921" t="s">
        <v>45096</v>
      </c>
      <c r="P8921">
        <v>0</v>
      </c>
      <c r="Q8921">
        <v>7</v>
      </c>
      <c r="R8921" t="s">
        <v>45104</v>
      </c>
      <c r="S8921" t="s">
        <v>45304</v>
      </c>
      <c r="T8921" t="s">
        <v>46995</v>
      </c>
      <c r="U8921" t="s">
        <v>54863</v>
      </c>
      <c r="W8921" t="s">
        <v>44100</v>
      </c>
      <c r="X8921" t="s">
        <v>45105</v>
      </c>
    </row>
    <row r="8922" spans="1:24">
      <c r="A8922">
        <f>HYPERLINK("https://www.philgeps.gov.ph/GEPSNONPILOT/Tender/SplashBidNoticeAbstractUI.aspx?menuIndex=3&amp;refID=7034104&amp;Result=3","7034104")</f>
        <v>0</v>
      </c>
      <c r="B8922" t="s">
        <v>2487</v>
      </c>
      <c r="C8922" t="s">
        <v>11698</v>
      </c>
      <c r="E8922" t="s">
        <v>25921</v>
      </c>
      <c r="F8922" t="s">
        <v>31574</v>
      </c>
      <c r="G8922" t="s">
        <v>31582</v>
      </c>
      <c r="H8922" t="s">
        <v>31591</v>
      </c>
      <c r="I8922" t="s">
        <v>8822</v>
      </c>
      <c r="J8922" t="s">
        <v>31727</v>
      </c>
      <c r="K8922" t="s">
        <v>41266</v>
      </c>
      <c r="M8922" t="s">
        <v>44218</v>
      </c>
      <c r="N8922" t="s">
        <v>45095</v>
      </c>
      <c r="O8922" t="s">
        <v>45096</v>
      </c>
      <c r="P8922">
        <v>0</v>
      </c>
      <c r="Q8922">
        <v>0</v>
      </c>
      <c r="R8922" t="s">
        <v>45104</v>
      </c>
      <c r="S8922" t="s">
        <v>45304</v>
      </c>
      <c r="T8922" t="s">
        <v>47083</v>
      </c>
      <c r="U8922" t="s">
        <v>54864</v>
      </c>
      <c r="W8922" t="s">
        <v>44218</v>
      </c>
      <c r="X8922" t="s">
        <v>45105</v>
      </c>
    </row>
    <row r="8923" spans="1:24">
      <c r="A8923">
        <f>HYPERLINK("https://www.philgeps.gov.ph/GEPSNONPILOT/Tender/SplashBidNoticeAbstractUI.aspx?menuIndex=3&amp;refID=7034145&amp;Result=3","7034145")</f>
        <v>0</v>
      </c>
      <c r="B8923" t="s">
        <v>2482</v>
      </c>
      <c r="C8923" t="s">
        <v>11699</v>
      </c>
      <c r="D8923" t="s">
        <v>18064</v>
      </c>
      <c r="E8923" t="s">
        <v>25922</v>
      </c>
      <c r="F8923" t="s">
        <v>31574</v>
      </c>
      <c r="G8923" t="s">
        <v>31581</v>
      </c>
      <c r="H8923" t="s">
        <v>31591</v>
      </c>
      <c r="I8923" t="s">
        <v>31638</v>
      </c>
      <c r="J8923" t="s">
        <v>37355</v>
      </c>
      <c r="K8923" t="s">
        <v>41192</v>
      </c>
      <c r="M8923" t="s">
        <v>44212</v>
      </c>
      <c r="N8923" t="s">
        <v>45095</v>
      </c>
      <c r="O8923" t="s">
        <v>45096</v>
      </c>
      <c r="P8923">
        <v>0</v>
      </c>
      <c r="Q8923">
        <v>1</v>
      </c>
      <c r="R8923" t="s">
        <v>45104</v>
      </c>
      <c r="S8923" t="s">
        <v>45304</v>
      </c>
      <c r="T8923" t="s">
        <v>47159</v>
      </c>
      <c r="U8923" t="s">
        <v>54865</v>
      </c>
      <c r="W8923" t="s">
        <v>44212</v>
      </c>
      <c r="X8923" t="s">
        <v>45105</v>
      </c>
    </row>
    <row r="8924" spans="1:24">
      <c r="A8924">
        <f>HYPERLINK("https://www.philgeps.gov.ph/GEPSNONPILOT/Tender/SplashBidNoticeAbstractUI.aspx?menuIndex=3&amp;refID=7034158&amp;Result=3","7034158")</f>
        <v>0</v>
      </c>
      <c r="B8924" t="s">
        <v>296</v>
      </c>
      <c r="C8924" t="s">
        <v>11700</v>
      </c>
      <c r="D8924" t="s">
        <v>18040</v>
      </c>
      <c r="E8924" t="s">
        <v>25923</v>
      </c>
      <c r="F8924" t="s">
        <v>31574</v>
      </c>
      <c r="G8924" t="s">
        <v>31582</v>
      </c>
      <c r="H8924" t="s">
        <v>31590</v>
      </c>
      <c r="I8924" t="s">
        <v>3487</v>
      </c>
      <c r="J8924" t="s">
        <v>32019</v>
      </c>
      <c r="K8924" t="s">
        <v>41190</v>
      </c>
      <c r="M8924" t="s">
        <v>41782</v>
      </c>
      <c r="N8924" t="s">
        <v>45095</v>
      </c>
      <c r="O8924" t="s">
        <v>45096</v>
      </c>
      <c r="P8924">
        <v>0</v>
      </c>
      <c r="Q8924">
        <v>3</v>
      </c>
      <c r="R8924" t="s">
        <v>45104</v>
      </c>
      <c r="S8924" t="s">
        <v>45304</v>
      </c>
      <c r="T8924" t="s">
        <v>47050</v>
      </c>
      <c r="U8924" t="s">
        <v>54866</v>
      </c>
      <c r="V8924" t="s">
        <v>59950</v>
      </c>
      <c r="W8924" t="s">
        <v>41782</v>
      </c>
      <c r="X8924" t="s">
        <v>45105</v>
      </c>
    </row>
    <row r="8925" spans="1:24">
      <c r="A8925">
        <f>HYPERLINK("https://www.philgeps.gov.ph/GEPSNONPILOT/Tender/SplashBidNoticeAbstractUI.aspx?menuIndex=3&amp;refID=7034178&amp;Result=3","7034178")</f>
        <v>0</v>
      </c>
      <c r="B8925" t="s">
        <v>1029</v>
      </c>
      <c r="C8925" t="s">
        <v>11701</v>
      </c>
      <c r="E8925" t="s">
        <v>25924</v>
      </c>
      <c r="F8925" t="s">
        <v>31574</v>
      </c>
      <c r="G8925" t="s">
        <v>31581</v>
      </c>
      <c r="H8925" t="s">
        <v>31590</v>
      </c>
      <c r="I8925" t="s">
        <v>7185</v>
      </c>
      <c r="J8925" t="s">
        <v>37356</v>
      </c>
      <c r="K8925" t="s">
        <v>41184</v>
      </c>
      <c r="M8925" t="s">
        <v>43982</v>
      </c>
      <c r="N8925" t="s">
        <v>45095</v>
      </c>
      <c r="O8925" t="s">
        <v>45096</v>
      </c>
      <c r="P8925">
        <v>0</v>
      </c>
      <c r="Q8925">
        <v>3</v>
      </c>
      <c r="R8925" t="s">
        <v>45104</v>
      </c>
      <c r="S8925" t="s">
        <v>45304</v>
      </c>
      <c r="T8925" t="s">
        <v>47092</v>
      </c>
      <c r="U8925" t="s">
        <v>54017</v>
      </c>
      <c r="W8925" t="s">
        <v>43982</v>
      </c>
      <c r="X8925" t="s">
        <v>45105</v>
      </c>
    </row>
    <row r="8926" spans="1:24">
      <c r="A8926">
        <f>HYPERLINK("https://www.philgeps.gov.ph/GEPSNONPILOT/Tender/SplashBidNoticeAbstractUI.aspx?menuIndex=3&amp;refID=7034156&amp;Result=3","7034156")</f>
        <v>0</v>
      </c>
      <c r="B8926" t="s">
        <v>2488</v>
      </c>
      <c r="C8926" t="s">
        <v>11702</v>
      </c>
      <c r="D8926" t="s">
        <v>18045</v>
      </c>
      <c r="E8926" t="s">
        <v>25925</v>
      </c>
      <c r="F8926" t="s">
        <v>31574</v>
      </c>
      <c r="G8926" t="s">
        <v>31582</v>
      </c>
      <c r="H8926" t="s">
        <v>31590</v>
      </c>
      <c r="I8926" t="s">
        <v>31619</v>
      </c>
      <c r="J8926" t="s">
        <v>33866</v>
      </c>
      <c r="K8926" t="s">
        <v>41189</v>
      </c>
      <c r="M8926" t="s">
        <v>44219</v>
      </c>
      <c r="N8926" t="s">
        <v>45095</v>
      </c>
      <c r="O8926" t="s">
        <v>45096</v>
      </c>
      <c r="P8926">
        <v>0</v>
      </c>
      <c r="Q8926">
        <v>6</v>
      </c>
      <c r="R8926" t="s">
        <v>45104</v>
      </c>
      <c r="S8926" t="s">
        <v>45304</v>
      </c>
      <c r="T8926" t="s">
        <v>47010</v>
      </c>
      <c r="U8926" t="s">
        <v>54867</v>
      </c>
      <c r="V8926" t="s">
        <v>60769</v>
      </c>
      <c r="W8926" t="s">
        <v>44219</v>
      </c>
      <c r="X8926" t="s">
        <v>45105</v>
      </c>
    </row>
    <row r="8927" spans="1:24">
      <c r="A8927">
        <f>HYPERLINK("https://www.philgeps.gov.ph/GEPSNONPILOT/Tender/SplashBidNoticeAbstractUI.aspx?menuIndex=3&amp;refID=7034186&amp;Result=3","7034186")</f>
        <v>0</v>
      </c>
      <c r="B8927" t="s">
        <v>348</v>
      </c>
      <c r="C8927" t="s">
        <v>11703</v>
      </c>
      <c r="D8927" t="s">
        <v>18065</v>
      </c>
      <c r="E8927" t="s">
        <v>25926</v>
      </c>
      <c r="F8927" t="s">
        <v>31574</v>
      </c>
      <c r="G8927" t="s">
        <v>31583</v>
      </c>
      <c r="H8927" t="s">
        <v>31590</v>
      </c>
      <c r="I8927" t="s">
        <v>31607</v>
      </c>
      <c r="J8927" t="s">
        <v>32110</v>
      </c>
      <c r="K8927" t="s">
        <v>41186</v>
      </c>
      <c r="M8927" t="s">
        <v>41836</v>
      </c>
      <c r="N8927" t="s">
        <v>45095</v>
      </c>
      <c r="O8927" t="s">
        <v>45096</v>
      </c>
      <c r="Q8927">
        <v>6</v>
      </c>
      <c r="R8927" t="s">
        <v>45104</v>
      </c>
      <c r="S8927" t="s">
        <v>45324</v>
      </c>
      <c r="T8927" t="s">
        <v>46957</v>
      </c>
      <c r="U8927" t="s">
        <v>48153</v>
      </c>
      <c r="W8927" t="s">
        <v>41836</v>
      </c>
      <c r="X8927" t="s">
        <v>45105</v>
      </c>
    </row>
    <row r="8928" spans="1:24">
      <c r="A8928">
        <f>HYPERLINK("https://www.philgeps.gov.ph/GEPSNONPILOT/Tender/SplashBidNoticeAbstractUI.aspx?menuIndex=3&amp;refID=7034164&amp;Result=3","7034164")</f>
        <v>0</v>
      </c>
      <c r="B8928" t="s">
        <v>283</v>
      </c>
      <c r="C8928" t="s">
        <v>11704</v>
      </c>
      <c r="D8928" t="s">
        <v>18036</v>
      </c>
      <c r="E8928" t="s">
        <v>25927</v>
      </c>
      <c r="F8928" t="s">
        <v>31574</v>
      </c>
      <c r="G8928" t="s">
        <v>31582</v>
      </c>
      <c r="H8928" t="s">
        <v>31590</v>
      </c>
      <c r="I8928" t="s">
        <v>31594</v>
      </c>
      <c r="J8928" t="s">
        <v>37357</v>
      </c>
      <c r="K8928" t="s">
        <v>41192</v>
      </c>
      <c r="M8928" t="s">
        <v>43060</v>
      </c>
      <c r="N8928" t="s">
        <v>45095</v>
      </c>
      <c r="O8928" t="s">
        <v>45096</v>
      </c>
      <c r="P8928">
        <v>0</v>
      </c>
      <c r="Q8928">
        <v>30</v>
      </c>
      <c r="R8928" t="s">
        <v>45104</v>
      </c>
      <c r="S8928" t="s">
        <v>45304</v>
      </c>
      <c r="T8928" t="s">
        <v>46943</v>
      </c>
      <c r="U8928" t="s">
        <v>51067</v>
      </c>
      <c r="V8928" t="s">
        <v>60288</v>
      </c>
      <c r="W8928" t="s">
        <v>43060</v>
      </c>
      <c r="X8928" t="s">
        <v>45105</v>
      </c>
    </row>
    <row r="8929" spans="1:24">
      <c r="A8929">
        <f>HYPERLINK("https://www.philgeps.gov.ph/GEPSNONPILOT/Tender/SplashBidNoticeAbstractUI.aspx?menuIndex=3&amp;refID=7034155&amp;Result=3","7034155")</f>
        <v>0</v>
      </c>
      <c r="B8929" t="s">
        <v>1114</v>
      </c>
      <c r="C8929" t="s">
        <v>11705</v>
      </c>
      <c r="D8929" t="s">
        <v>18022</v>
      </c>
      <c r="E8929" t="s">
        <v>25928</v>
      </c>
      <c r="F8929" t="s">
        <v>31574</v>
      </c>
      <c r="G8929" t="s">
        <v>31581</v>
      </c>
      <c r="H8929" t="s">
        <v>31590</v>
      </c>
      <c r="I8929" t="s">
        <v>31638</v>
      </c>
      <c r="J8929" t="s">
        <v>32049</v>
      </c>
      <c r="K8929" t="s">
        <v>41193</v>
      </c>
      <c r="M8929" t="s">
        <v>42663</v>
      </c>
      <c r="N8929" t="s">
        <v>45095</v>
      </c>
      <c r="O8929" t="s">
        <v>45096</v>
      </c>
      <c r="P8929">
        <v>0</v>
      </c>
      <c r="Q8929">
        <v>1</v>
      </c>
      <c r="R8929" t="s">
        <v>45104</v>
      </c>
      <c r="S8929" t="s">
        <v>45304</v>
      </c>
      <c r="T8929" t="s">
        <v>47165</v>
      </c>
      <c r="U8929" t="s">
        <v>54868</v>
      </c>
      <c r="V8929" t="s">
        <v>60770</v>
      </c>
      <c r="W8929" t="s">
        <v>42663</v>
      </c>
      <c r="X8929" t="s">
        <v>45105</v>
      </c>
    </row>
    <row r="8930" spans="1:24">
      <c r="A8930">
        <f>HYPERLINK("https://www.philgeps.gov.ph/GEPSNONPILOT/Tender/SplashBidNoticeAbstractUI.aspx?menuIndex=3&amp;refID=7034142&amp;Result=3","7034142")</f>
        <v>0</v>
      </c>
      <c r="B8930" t="s">
        <v>348</v>
      </c>
      <c r="C8930" t="s">
        <v>11706</v>
      </c>
      <c r="D8930" t="s">
        <v>18065</v>
      </c>
      <c r="E8930" t="s">
        <v>25929</v>
      </c>
      <c r="F8930" t="s">
        <v>31574</v>
      </c>
      <c r="G8930" t="s">
        <v>31583</v>
      </c>
      <c r="H8930" t="s">
        <v>31590</v>
      </c>
      <c r="I8930" t="s">
        <v>31607</v>
      </c>
      <c r="J8930" t="s">
        <v>37358</v>
      </c>
      <c r="K8930" t="s">
        <v>41186</v>
      </c>
      <c r="M8930" t="s">
        <v>41836</v>
      </c>
      <c r="N8930" t="s">
        <v>45095</v>
      </c>
      <c r="O8930" t="s">
        <v>45096</v>
      </c>
      <c r="Q8930">
        <v>6</v>
      </c>
      <c r="R8930" t="s">
        <v>45104</v>
      </c>
      <c r="S8930" t="s">
        <v>45325</v>
      </c>
      <c r="T8930" t="s">
        <v>46957</v>
      </c>
      <c r="U8930" t="s">
        <v>48153</v>
      </c>
      <c r="W8930" t="s">
        <v>41836</v>
      </c>
      <c r="X8930" t="s">
        <v>45105</v>
      </c>
    </row>
    <row r="8931" spans="1:24">
      <c r="A8931">
        <f>HYPERLINK("https://www.philgeps.gov.ph/GEPSNONPILOT/Tender/SplashBidNoticeAbstractUI.aspx?menuIndex=3&amp;refID=7034169&amp;Result=3","7034169")</f>
        <v>0</v>
      </c>
      <c r="B8931" t="s">
        <v>348</v>
      </c>
      <c r="C8931" t="s">
        <v>11707</v>
      </c>
      <c r="D8931" t="s">
        <v>18065</v>
      </c>
      <c r="E8931" t="s">
        <v>25930</v>
      </c>
      <c r="F8931" t="s">
        <v>31574</v>
      </c>
      <c r="G8931" t="s">
        <v>31583</v>
      </c>
      <c r="H8931" t="s">
        <v>31590</v>
      </c>
      <c r="I8931" t="s">
        <v>31607</v>
      </c>
      <c r="J8931" t="s">
        <v>32508</v>
      </c>
      <c r="K8931" t="s">
        <v>41186</v>
      </c>
      <c r="M8931" t="s">
        <v>41836</v>
      </c>
      <c r="N8931" t="s">
        <v>45095</v>
      </c>
      <c r="O8931" t="s">
        <v>45096</v>
      </c>
      <c r="Q8931">
        <v>5</v>
      </c>
      <c r="R8931" t="s">
        <v>45104</v>
      </c>
      <c r="S8931" t="s">
        <v>45326</v>
      </c>
      <c r="T8931" t="s">
        <v>46957</v>
      </c>
      <c r="U8931" t="s">
        <v>48153</v>
      </c>
      <c r="W8931" t="s">
        <v>41836</v>
      </c>
      <c r="X8931" t="s">
        <v>45105</v>
      </c>
    </row>
    <row r="8932" spans="1:24">
      <c r="A8932">
        <f>HYPERLINK("https://www.philgeps.gov.ph/GEPSNONPILOT/Tender/SplashBidNoticeAbstractUI.aspx?menuIndex=3&amp;refID=7034163&amp;Result=3","7034163")</f>
        <v>0</v>
      </c>
      <c r="B8932" t="s">
        <v>1101</v>
      </c>
      <c r="C8932" t="s">
        <v>6068</v>
      </c>
      <c r="D8932" t="s">
        <v>18103</v>
      </c>
      <c r="E8932" t="s">
        <v>25931</v>
      </c>
      <c r="F8932" t="s">
        <v>31574</v>
      </c>
      <c r="G8932" t="s">
        <v>31584</v>
      </c>
      <c r="H8932" t="s">
        <v>31590</v>
      </c>
      <c r="I8932" t="s">
        <v>5717</v>
      </c>
      <c r="J8932" t="s">
        <v>31830</v>
      </c>
      <c r="K8932" t="s">
        <v>41190</v>
      </c>
      <c r="M8932" t="s">
        <v>42650</v>
      </c>
      <c r="N8932" t="s">
        <v>45095</v>
      </c>
      <c r="O8932" t="s">
        <v>45096</v>
      </c>
      <c r="P8932">
        <v>0</v>
      </c>
      <c r="Q8932">
        <v>4</v>
      </c>
      <c r="R8932" t="s">
        <v>45104</v>
      </c>
      <c r="S8932" t="s">
        <v>45304</v>
      </c>
      <c r="T8932" t="s">
        <v>47154</v>
      </c>
      <c r="U8932" t="s">
        <v>50027</v>
      </c>
      <c r="W8932" t="s">
        <v>42650</v>
      </c>
      <c r="X8932" t="s">
        <v>45105</v>
      </c>
    </row>
    <row r="8933" spans="1:24">
      <c r="A8933">
        <f>HYPERLINK("https://www.philgeps.gov.ph/GEPSNONPILOT/Tender/SplashBidNoticeAbstractUI.aspx?menuIndex=3&amp;refID=7034182&amp;Result=3","7034182")</f>
        <v>0</v>
      </c>
      <c r="B8933" t="s">
        <v>2473</v>
      </c>
      <c r="C8933" t="s">
        <v>11708</v>
      </c>
      <c r="D8933" t="s">
        <v>18033</v>
      </c>
      <c r="E8933" t="s">
        <v>25932</v>
      </c>
      <c r="F8933" t="s">
        <v>31574</v>
      </c>
      <c r="G8933" t="s">
        <v>31583</v>
      </c>
      <c r="H8933" t="s">
        <v>31590</v>
      </c>
      <c r="I8933" t="s">
        <v>4046</v>
      </c>
      <c r="J8933" t="s">
        <v>37330</v>
      </c>
      <c r="K8933" t="s">
        <v>41193</v>
      </c>
      <c r="M8933" t="s">
        <v>44202</v>
      </c>
      <c r="N8933" t="s">
        <v>45095</v>
      </c>
      <c r="O8933" t="s">
        <v>45096</v>
      </c>
      <c r="P8933">
        <v>0</v>
      </c>
      <c r="Q8933">
        <v>0</v>
      </c>
      <c r="R8933" t="s">
        <v>45104</v>
      </c>
      <c r="S8933" t="s">
        <v>45304</v>
      </c>
      <c r="T8933" t="s">
        <v>46957</v>
      </c>
      <c r="U8933" t="s">
        <v>54839</v>
      </c>
      <c r="W8933" t="s">
        <v>44202</v>
      </c>
      <c r="X8933" t="s">
        <v>45105</v>
      </c>
    </row>
    <row r="8934" spans="1:24">
      <c r="A8934">
        <f>HYPERLINK("https://www.philgeps.gov.ph/GEPSNONPILOT/Tender/SplashBidNoticeAbstractUI.aspx?menuIndex=3&amp;refID=7034154&amp;Result=3","7034154")</f>
        <v>0</v>
      </c>
      <c r="B8934" t="s">
        <v>2485</v>
      </c>
      <c r="C8934" t="s">
        <v>11709</v>
      </c>
      <c r="D8934" t="s">
        <v>18084</v>
      </c>
      <c r="E8934" t="s">
        <v>25933</v>
      </c>
      <c r="F8934" t="s">
        <v>31574</v>
      </c>
      <c r="G8934" t="s">
        <v>31582</v>
      </c>
      <c r="H8934" t="s">
        <v>31591</v>
      </c>
      <c r="I8934" t="s">
        <v>8822</v>
      </c>
      <c r="J8934" t="s">
        <v>37359</v>
      </c>
      <c r="K8934" t="s">
        <v>41192</v>
      </c>
      <c r="M8934" t="s">
        <v>44216</v>
      </c>
      <c r="N8934" t="s">
        <v>45095</v>
      </c>
      <c r="O8934" t="s">
        <v>45096</v>
      </c>
      <c r="P8934">
        <v>0</v>
      </c>
      <c r="Q8934">
        <v>17</v>
      </c>
      <c r="R8934" t="s">
        <v>45104</v>
      </c>
      <c r="S8934" t="s">
        <v>45304</v>
      </c>
      <c r="T8934" t="s">
        <v>46988</v>
      </c>
      <c r="U8934" t="s">
        <v>54857</v>
      </c>
      <c r="W8934" t="s">
        <v>61740</v>
      </c>
      <c r="X8934" t="s">
        <v>45105</v>
      </c>
    </row>
    <row r="8935" spans="1:24">
      <c r="A8935">
        <f>HYPERLINK("https://www.philgeps.gov.ph/GEPSNONPILOT/Tender/SplashBidNoticeAbstractUI.aspx?menuIndex=3&amp;refID=7034194&amp;Result=3","7034194")</f>
        <v>0</v>
      </c>
      <c r="B8935" t="s">
        <v>283</v>
      </c>
      <c r="C8935" t="s">
        <v>11710</v>
      </c>
      <c r="D8935" t="s">
        <v>18036</v>
      </c>
      <c r="E8935" t="s">
        <v>25934</v>
      </c>
      <c r="F8935" t="s">
        <v>31574</v>
      </c>
      <c r="G8935" t="s">
        <v>31582</v>
      </c>
      <c r="H8935" t="s">
        <v>31590</v>
      </c>
      <c r="I8935" t="s">
        <v>31608</v>
      </c>
      <c r="J8935" t="s">
        <v>32101</v>
      </c>
      <c r="K8935" t="s">
        <v>41186</v>
      </c>
      <c r="M8935" t="s">
        <v>43060</v>
      </c>
      <c r="N8935" t="s">
        <v>45095</v>
      </c>
      <c r="O8935" t="s">
        <v>45096</v>
      </c>
      <c r="P8935">
        <v>0</v>
      </c>
      <c r="Q8935">
        <v>6</v>
      </c>
      <c r="R8935" t="s">
        <v>45104</v>
      </c>
      <c r="S8935" t="s">
        <v>45304</v>
      </c>
      <c r="T8935" t="s">
        <v>46943</v>
      </c>
      <c r="U8935" t="s">
        <v>54869</v>
      </c>
      <c r="V8935" t="s">
        <v>60764</v>
      </c>
      <c r="W8935" t="s">
        <v>43060</v>
      </c>
      <c r="X8935" t="s">
        <v>45105</v>
      </c>
    </row>
    <row r="8936" spans="1:24">
      <c r="A8936">
        <f>HYPERLINK("https://www.philgeps.gov.ph/GEPSNONPILOT/Tender/SplashBidNoticeAbstractUI.aspx?menuIndex=3&amp;refID=7034191&amp;Result=3","7034191")</f>
        <v>0</v>
      </c>
      <c r="B8936" t="s">
        <v>1487</v>
      </c>
      <c r="C8936" t="s">
        <v>11711</v>
      </c>
      <c r="D8936" t="s">
        <v>18047</v>
      </c>
      <c r="E8936" t="s">
        <v>25935</v>
      </c>
      <c r="F8936" t="s">
        <v>31574</v>
      </c>
      <c r="G8936" t="s">
        <v>31582</v>
      </c>
      <c r="H8936" t="s">
        <v>31590</v>
      </c>
      <c r="I8936" t="s">
        <v>31615</v>
      </c>
      <c r="J8936" t="s">
        <v>35044</v>
      </c>
      <c r="K8936" t="s">
        <v>41186</v>
      </c>
      <c r="M8936" t="s">
        <v>43072</v>
      </c>
      <c r="N8936" t="s">
        <v>45095</v>
      </c>
      <c r="O8936" t="s">
        <v>45096</v>
      </c>
      <c r="P8936">
        <v>0</v>
      </c>
      <c r="Q8936">
        <v>1</v>
      </c>
      <c r="R8936" t="s">
        <v>45104</v>
      </c>
      <c r="S8936" t="s">
        <v>45304</v>
      </c>
      <c r="T8936" t="s">
        <v>47352</v>
      </c>
      <c r="U8936" t="s">
        <v>54870</v>
      </c>
      <c r="W8936" t="s">
        <v>43072</v>
      </c>
      <c r="X8936" t="s">
        <v>45105</v>
      </c>
    </row>
    <row r="8937" spans="1:24">
      <c r="A8937">
        <f>HYPERLINK("https://www.philgeps.gov.ph/GEPSNONPILOT/Tender/SplashBidNoticeAbstractUI.aspx?menuIndex=3&amp;refID=7034187&amp;Result=3","7034187")</f>
        <v>0</v>
      </c>
      <c r="B8937" t="s">
        <v>2482</v>
      </c>
      <c r="C8937" t="s">
        <v>11712</v>
      </c>
      <c r="D8937" t="s">
        <v>18064</v>
      </c>
      <c r="E8937" t="s">
        <v>25936</v>
      </c>
      <c r="F8937" t="s">
        <v>31574</v>
      </c>
      <c r="G8937" t="s">
        <v>31581</v>
      </c>
      <c r="H8937" t="s">
        <v>31591</v>
      </c>
      <c r="I8937" t="s">
        <v>31638</v>
      </c>
      <c r="J8937" t="s">
        <v>37360</v>
      </c>
      <c r="K8937" t="s">
        <v>41192</v>
      </c>
      <c r="M8937" t="s">
        <v>44212</v>
      </c>
      <c r="N8937" t="s">
        <v>45095</v>
      </c>
      <c r="O8937" t="s">
        <v>45096</v>
      </c>
      <c r="P8937">
        <v>0</v>
      </c>
      <c r="Q8937">
        <v>1</v>
      </c>
      <c r="R8937" t="s">
        <v>45104</v>
      </c>
      <c r="S8937" t="s">
        <v>45304</v>
      </c>
      <c r="T8937" t="s">
        <v>47159</v>
      </c>
      <c r="U8937" t="s">
        <v>54871</v>
      </c>
      <c r="W8937" t="s">
        <v>44212</v>
      </c>
      <c r="X8937" t="s">
        <v>45105</v>
      </c>
    </row>
    <row r="8938" spans="1:24">
      <c r="A8938">
        <f>HYPERLINK("https://www.philgeps.gov.ph/GEPSNONPILOT/Tender/SplashBidNoticeAbstractUI.aspx?menuIndex=3&amp;refID=7034146&amp;Result=3","7034146")</f>
        <v>0</v>
      </c>
      <c r="B8938" t="s">
        <v>2236</v>
      </c>
      <c r="C8938" t="s">
        <v>11713</v>
      </c>
      <c r="D8938" t="s">
        <v>18084</v>
      </c>
      <c r="E8938" t="s">
        <v>25937</v>
      </c>
      <c r="F8938" t="s">
        <v>31574</v>
      </c>
      <c r="G8938" t="s">
        <v>31583</v>
      </c>
      <c r="H8938" t="s">
        <v>31590</v>
      </c>
      <c r="I8938" t="s">
        <v>31612</v>
      </c>
      <c r="J8938" t="s">
        <v>37361</v>
      </c>
      <c r="K8938" t="s">
        <v>41193</v>
      </c>
      <c r="M8938" t="s">
        <v>43933</v>
      </c>
      <c r="N8938" t="s">
        <v>45095</v>
      </c>
      <c r="O8938" t="s">
        <v>45096</v>
      </c>
      <c r="P8938">
        <v>0</v>
      </c>
      <c r="Q8938">
        <v>4</v>
      </c>
      <c r="R8938" t="s">
        <v>45104</v>
      </c>
      <c r="S8938" t="s">
        <v>45304</v>
      </c>
      <c r="T8938" t="s">
        <v>46949</v>
      </c>
      <c r="U8938" t="s">
        <v>54872</v>
      </c>
      <c r="W8938" t="s">
        <v>43933</v>
      </c>
      <c r="X8938" t="s">
        <v>45105</v>
      </c>
    </row>
    <row r="8939" spans="1:24">
      <c r="A8939">
        <f>HYPERLINK("https://www.philgeps.gov.ph/GEPSNONPILOT/Tender/SplashBidNoticeAbstractUI.aspx?menuIndex=3&amp;refID=7034193&amp;Result=3","7034193")</f>
        <v>0</v>
      </c>
      <c r="B8939" t="s">
        <v>759</v>
      </c>
      <c r="C8939" t="s">
        <v>11714</v>
      </c>
      <c r="D8939" t="s">
        <v>18039</v>
      </c>
      <c r="E8939" t="s">
        <v>25938</v>
      </c>
      <c r="F8939" t="s">
        <v>31574</v>
      </c>
      <c r="G8939" t="s">
        <v>31582</v>
      </c>
      <c r="H8939" t="s">
        <v>31590</v>
      </c>
      <c r="I8939" t="s">
        <v>8258</v>
      </c>
      <c r="J8939" t="s">
        <v>37362</v>
      </c>
      <c r="K8939" t="s">
        <v>41184</v>
      </c>
      <c r="M8939" t="s">
        <v>43501</v>
      </c>
      <c r="N8939" t="s">
        <v>45095</v>
      </c>
      <c r="O8939" t="s">
        <v>45096</v>
      </c>
      <c r="P8939">
        <v>0</v>
      </c>
      <c r="Q8939">
        <v>4</v>
      </c>
      <c r="R8939" t="s">
        <v>45104</v>
      </c>
      <c r="S8939" t="s">
        <v>45304</v>
      </c>
      <c r="T8939" t="s">
        <v>46992</v>
      </c>
      <c r="U8939" t="s">
        <v>54873</v>
      </c>
      <c r="V8939" t="s">
        <v>60771</v>
      </c>
      <c r="W8939" t="s">
        <v>43501</v>
      </c>
      <c r="X8939" t="s">
        <v>45105</v>
      </c>
    </row>
    <row r="8940" spans="1:24">
      <c r="A8940">
        <f>HYPERLINK("https://www.philgeps.gov.ph/GEPSNONPILOT/Tender/SplashBidNoticeAbstractUI.aspx?menuIndex=3&amp;refID=7034150&amp;Result=3","7034150")</f>
        <v>0</v>
      </c>
      <c r="B8940" t="s">
        <v>2473</v>
      </c>
      <c r="C8940" t="s">
        <v>11715</v>
      </c>
      <c r="D8940" t="s">
        <v>18033</v>
      </c>
      <c r="E8940" t="s">
        <v>25939</v>
      </c>
      <c r="F8940" t="s">
        <v>31574</v>
      </c>
      <c r="G8940" t="s">
        <v>31583</v>
      </c>
      <c r="H8940" t="s">
        <v>31590</v>
      </c>
      <c r="I8940" t="s">
        <v>4046</v>
      </c>
      <c r="J8940" t="s">
        <v>37330</v>
      </c>
      <c r="K8940" t="s">
        <v>41193</v>
      </c>
      <c r="M8940" t="s">
        <v>44202</v>
      </c>
      <c r="N8940" t="s">
        <v>45095</v>
      </c>
      <c r="O8940" t="s">
        <v>45096</v>
      </c>
      <c r="P8940">
        <v>0</v>
      </c>
      <c r="Q8940">
        <v>0</v>
      </c>
      <c r="R8940" t="s">
        <v>45104</v>
      </c>
      <c r="S8940" t="s">
        <v>45304</v>
      </c>
      <c r="T8940" t="s">
        <v>46957</v>
      </c>
      <c r="U8940" t="s">
        <v>54839</v>
      </c>
      <c r="W8940" t="s">
        <v>44202</v>
      </c>
      <c r="X8940" t="s">
        <v>45105</v>
      </c>
    </row>
    <row r="8941" spans="1:24">
      <c r="A8941">
        <f>HYPERLINK("https://www.philgeps.gov.ph/GEPSNONPILOT/Tender/SplashBidNoticeAbstractUI.aspx?menuIndex=3&amp;refID=7034190&amp;Result=3","7034190")</f>
        <v>0</v>
      </c>
      <c r="B8941" t="s">
        <v>951</v>
      </c>
      <c r="C8941" t="s">
        <v>11716</v>
      </c>
      <c r="D8941" t="s">
        <v>18074</v>
      </c>
      <c r="E8941" t="s">
        <v>25940</v>
      </c>
      <c r="F8941" t="s">
        <v>31574</v>
      </c>
      <c r="G8941" t="s">
        <v>31582</v>
      </c>
      <c r="H8941" t="s">
        <v>31590</v>
      </c>
      <c r="I8941" t="s">
        <v>31600</v>
      </c>
      <c r="J8941" t="s">
        <v>37363</v>
      </c>
      <c r="K8941" t="s">
        <v>41190</v>
      </c>
      <c r="M8941" t="s">
        <v>42478</v>
      </c>
      <c r="N8941" t="s">
        <v>45095</v>
      </c>
      <c r="O8941" t="s">
        <v>45096</v>
      </c>
      <c r="P8941">
        <v>0</v>
      </c>
      <c r="Q8941">
        <v>1</v>
      </c>
      <c r="R8941" t="s">
        <v>45104</v>
      </c>
      <c r="S8941" t="s">
        <v>45304</v>
      </c>
      <c r="T8941" t="s">
        <v>47158</v>
      </c>
      <c r="U8941" t="s">
        <v>54874</v>
      </c>
      <c r="V8941" t="s">
        <v>60083</v>
      </c>
      <c r="W8941" t="s">
        <v>42478</v>
      </c>
      <c r="X8941" t="s">
        <v>45105</v>
      </c>
    </row>
    <row r="8942" spans="1:24">
      <c r="A8942">
        <f>HYPERLINK("https://www.philgeps.gov.ph/GEPSNONPILOT/Tender/SplashBidNoticeAbstractUI.aspx?menuIndex=3&amp;refID=7034198&amp;Result=3","7034198")</f>
        <v>0</v>
      </c>
      <c r="B8942" t="s">
        <v>2062</v>
      </c>
      <c r="C8942" t="s">
        <v>11717</v>
      </c>
      <c r="D8942" t="s">
        <v>18023</v>
      </c>
      <c r="E8942" t="s">
        <v>25941</v>
      </c>
      <c r="F8942" t="s">
        <v>31574</v>
      </c>
      <c r="G8942" t="s">
        <v>31581</v>
      </c>
      <c r="H8942" t="s">
        <v>31591</v>
      </c>
      <c r="I8942" t="s">
        <v>4046</v>
      </c>
      <c r="J8942" t="s">
        <v>37364</v>
      </c>
      <c r="K8942" t="s">
        <v>41196</v>
      </c>
      <c r="M8942" t="s">
        <v>43736</v>
      </c>
      <c r="N8942" t="s">
        <v>45095</v>
      </c>
      <c r="O8942" t="s">
        <v>45096</v>
      </c>
      <c r="P8942">
        <v>0</v>
      </c>
      <c r="Q8942">
        <v>1</v>
      </c>
      <c r="R8942" t="s">
        <v>45104</v>
      </c>
      <c r="S8942" t="s">
        <v>45304</v>
      </c>
      <c r="T8942" t="s">
        <v>47158</v>
      </c>
      <c r="U8942" t="s">
        <v>54875</v>
      </c>
      <c r="V8942" t="s">
        <v>60772</v>
      </c>
      <c r="W8942" t="s">
        <v>43736</v>
      </c>
      <c r="X8942" t="s">
        <v>45105</v>
      </c>
    </row>
    <row r="8943" spans="1:24">
      <c r="A8943">
        <f>HYPERLINK("https://www.philgeps.gov.ph/GEPSNONPILOT/Tender/SplashBidNoticeAbstractUI.aspx?menuIndex=3&amp;refID=7034201&amp;Result=3","7034201")</f>
        <v>0</v>
      </c>
      <c r="B8943" t="s">
        <v>2489</v>
      </c>
      <c r="C8943" t="s">
        <v>11718</v>
      </c>
      <c r="D8943" t="s">
        <v>18055</v>
      </c>
      <c r="E8943" t="s">
        <v>25942</v>
      </c>
      <c r="F8943" t="s">
        <v>31574</v>
      </c>
      <c r="G8943" t="s">
        <v>31582</v>
      </c>
      <c r="H8943" t="s">
        <v>31591</v>
      </c>
      <c r="I8943" t="s">
        <v>8822</v>
      </c>
      <c r="J8943" t="s">
        <v>32504</v>
      </c>
      <c r="K8943" t="s">
        <v>41260</v>
      </c>
      <c r="L8943" t="s">
        <v>2489</v>
      </c>
      <c r="M8943" t="s">
        <v>44220</v>
      </c>
      <c r="N8943" t="s">
        <v>45095</v>
      </c>
      <c r="O8943" t="s">
        <v>45096</v>
      </c>
      <c r="P8943">
        <v>0</v>
      </c>
      <c r="Q8943">
        <v>8</v>
      </c>
      <c r="R8943" t="s">
        <v>45104</v>
      </c>
      <c r="S8943" t="s">
        <v>45304</v>
      </c>
      <c r="T8943" t="s">
        <v>47100</v>
      </c>
      <c r="U8943" t="s">
        <v>54876</v>
      </c>
      <c r="W8943" t="s">
        <v>44220</v>
      </c>
      <c r="X8943" t="s">
        <v>45105</v>
      </c>
    </row>
    <row r="8944" spans="1:24">
      <c r="A8944">
        <f>HYPERLINK("https://www.philgeps.gov.ph/GEPSNONPILOT/Tender/SplashBidNoticeAbstractUI.aspx?menuIndex=3&amp;refID=7034228&amp;Result=3","7034228")</f>
        <v>0</v>
      </c>
      <c r="B8944" t="s">
        <v>2490</v>
      </c>
      <c r="C8944" t="s">
        <v>11719</v>
      </c>
      <c r="D8944" t="s">
        <v>18048</v>
      </c>
      <c r="E8944" t="s">
        <v>25943</v>
      </c>
      <c r="F8944" t="s">
        <v>31574</v>
      </c>
      <c r="G8944" t="s">
        <v>31581</v>
      </c>
      <c r="H8944" t="s">
        <v>31590</v>
      </c>
      <c r="I8944" t="s">
        <v>31608</v>
      </c>
      <c r="J8944" t="s">
        <v>31843</v>
      </c>
      <c r="K8944" t="s">
        <v>41186</v>
      </c>
      <c r="M8944" t="s">
        <v>44221</v>
      </c>
      <c r="N8944" t="s">
        <v>45095</v>
      </c>
      <c r="O8944" t="s">
        <v>45096</v>
      </c>
      <c r="P8944">
        <v>0</v>
      </c>
      <c r="Q8944">
        <v>1</v>
      </c>
      <c r="R8944" t="s">
        <v>45104</v>
      </c>
      <c r="S8944" t="s">
        <v>45304</v>
      </c>
      <c r="T8944" t="s">
        <v>47183</v>
      </c>
      <c r="U8944" t="s">
        <v>54877</v>
      </c>
      <c r="W8944" t="s">
        <v>44221</v>
      </c>
      <c r="X8944" t="s">
        <v>45105</v>
      </c>
    </row>
    <row r="8945" spans="1:24">
      <c r="A8945">
        <f>HYPERLINK("https://www.philgeps.gov.ph/GEPSNONPILOT/Tender/SplashBidNoticeAbstractUI.aspx?menuIndex=3&amp;refID=7034221&amp;Result=3","7034221")</f>
        <v>0</v>
      </c>
      <c r="B8945" t="s">
        <v>726</v>
      </c>
      <c r="C8945" t="s">
        <v>11720</v>
      </c>
      <c r="D8945" t="s">
        <v>18058</v>
      </c>
      <c r="E8945" t="s">
        <v>25944</v>
      </c>
      <c r="F8945" t="s">
        <v>31574</v>
      </c>
      <c r="G8945" t="s">
        <v>31581</v>
      </c>
      <c r="H8945" t="s">
        <v>31590</v>
      </c>
      <c r="I8945" t="s">
        <v>31655</v>
      </c>
      <c r="J8945" t="s">
        <v>31727</v>
      </c>
      <c r="K8945" t="s">
        <v>41184</v>
      </c>
      <c r="M8945" t="s">
        <v>42236</v>
      </c>
      <c r="N8945" t="s">
        <v>45095</v>
      </c>
      <c r="O8945" t="s">
        <v>45096</v>
      </c>
      <c r="P8945">
        <v>0</v>
      </c>
      <c r="Q8945">
        <v>2</v>
      </c>
      <c r="R8945" t="s">
        <v>45104</v>
      </c>
      <c r="S8945" t="s">
        <v>45304</v>
      </c>
      <c r="T8945" t="s">
        <v>47097</v>
      </c>
      <c r="U8945" t="s">
        <v>54878</v>
      </c>
      <c r="W8945" t="s">
        <v>42236</v>
      </c>
      <c r="X8945" t="s">
        <v>45105</v>
      </c>
    </row>
    <row r="8946" spans="1:24">
      <c r="A8946">
        <f>HYPERLINK("https://www.philgeps.gov.ph/GEPSNONPILOT/Tender/SplashBidNoticeAbstractUI.aspx?menuIndex=3&amp;refID=7034238&amp;Result=3","7034238")</f>
        <v>0</v>
      </c>
      <c r="B8946" t="s">
        <v>180</v>
      </c>
      <c r="C8946" t="s">
        <v>11721</v>
      </c>
      <c r="D8946" t="s">
        <v>18066</v>
      </c>
      <c r="E8946" t="s">
        <v>25945</v>
      </c>
      <c r="F8946" t="s">
        <v>31574</v>
      </c>
      <c r="G8946" t="s">
        <v>31582</v>
      </c>
      <c r="H8946" t="s">
        <v>31590</v>
      </c>
      <c r="I8946" t="s">
        <v>4046</v>
      </c>
      <c r="J8946" t="s">
        <v>37365</v>
      </c>
      <c r="K8946" t="s">
        <v>41196</v>
      </c>
      <c r="M8946" t="s">
        <v>41665</v>
      </c>
      <c r="N8946" t="s">
        <v>45095</v>
      </c>
      <c r="O8946" t="s">
        <v>45096</v>
      </c>
      <c r="P8946">
        <v>0</v>
      </c>
      <c r="Q8946">
        <v>0</v>
      </c>
      <c r="R8946" t="s">
        <v>45104</v>
      </c>
      <c r="S8946" t="s">
        <v>45304</v>
      </c>
      <c r="T8946" t="s">
        <v>46932</v>
      </c>
      <c r="U8946" t="s">
        <v>54879</v>
      </c>
      <c r="W8946" t="s">
        <v>41665</v>
      </c>
      <c r="X8946" t="s">
        <v>45105</v>
      </c>
    </row>
    <row r="8947" spans="1:24">
      <c r="A8947">
        <f>HYPERLINK("https://www.philgeps.gov.ph/GEPSNONPILOT/Tender/SplashBidNoticeAbstractUI.aspx?menuIndex=3&amp;refID=7034212&amp;Result=3","7034212")</f>
        <v>0</v>
      </c>
      <c r="B8947" t="s">
        <v>2473</v>
      </c>
      <c r="C8947" t="s">
        <v>11722</v>
      </c>
      <c r="D8947" t="s">
        <v>18033</v>
      </c>
      <c r="E8947" t="s">
        <v>25946</v>
      </c>
      <c r="F8947" t="s">
        <v>31574</v>
      </c>
      <c r="G8947" t="s">
        <v>31583</v>
      </c>
      <c r="H8947" t="s">
        <v>31590</v>
      </c>
      <c r="I8947" t="s">
        <v>4046</v>
      </c>
      <c r="J8947" t="s">
        <v>37330</v>
      </c>
      <c r="K8947" t="s">
        <v>41193</v>
      </c>
      <c r="M8947" t="s">
        <v>44202</v>
      </c>
      <c r="N8947" t="s">
        <v>45095</v>
      </c>
      <c r="O8947" t="s">
        <v>45096</v>
      </c>
      <c r="P8947">
        <v>0</v>
      </c>
      <c r="Q8947">
        <v>0</v>
      </c>
      <c r="R8947" t="s">
        <v>45104</v>
      </c>
      <c r="S8947" t="s">
        <v>45304</v>
      </c>
      <c r="T8947" t="s">
        <v>46957</v>
      </c>
      <c r="U8947" t="s">
        <v>54839</v>
      </c>
      <c r="W8947" t="s">
        <v>44202</v>
      </c>
      <c r="X8947" t="s">
        <v>45105</v>
      </c>
    </row>
    <row r="8948" spans="1:24">
      <c r="A8948">
        <f>HYPERLINK("https://www.philgeps.gov.ph/GEPSNONPILOT/Tender/SplashBidNoticeAbstractUI.aspx?menuIndex=3&amp;refID=7034208&amp;Result=3","7034208")</f>
        <v>0</v>
      </c>
      <c r="B8948" t="s">
        <v>296</v>
      </c>
      <c r="C8948" t="s">
        <v>11723</v>
      </c>
      <c r="D8948" t="s">
        <v>18040</v>
      </c>
      <c r="E8948" t="s">
        <v>25947</v>
      </c>
      <c r="F8948" t="s">
        <v>31574</v>
      </c>
      <c r="G8948" t="s">
        <v>31582</v>
      </c>
      <c r="H8948" t="s">
        <v>31590</v>
      </c>
      <c r="I8948" t="s">
        <v>7185</v>
      </c>
      <c r="J8948" t="s">
        <v>37366</v>
      </c>
      <c r="K8948" t="s">
        <v>41190</v>
      </c>
      <c r="M8948" t="s">
        <v>41782</v>
      </c>
      <c r="N8948" t="s">
        <v>45095</v>
      </c>
      <c r="O8948" t="s">
        <v>45096</v>
      </c>
      <c r="P8948">
        <v>0</v>
      </c>
      <c r="Q8948">
        <v>0</v>
      </c>
      <c r="R8948" t="s">
        <v>45104</v>
      </c>
      <c r="S8948" t="s">
        <v>45304</v>
      </c>
      <c r="T8948" t="s">
        <v>47235</v>
      </c>
      <c r="U8948" t="s">
        <v>54880</v>
      </c>
      <c r="V8948" t="s">
        <v>59950</v>
      </c>
      <c r="W8948" t="s">
        <v>41782</v>
      </c>
      <c r="X8948" t="s">
        <v>45105</v>
      </c>
    </row>
    <row r="8949" spans="1:24">
      <c r="A8949">
        <f>HYPERLINK("https://www.philgeps.gov.ph/GEPSNONPILOT/Tender/SplashBidNoticeAbstractUI.aspx?menuIndex=3&amp;refID=7034227&amp;Result=3","7034227")</f>
        <v>0</v>
      </c>
      <c r="B8949" t="s">
        <v>2491</v>
      </c>
      <c r="C8949" t="s">
        <v>11724</v>
      </c>
      <c r="D8949" t="s">
        <v>18030</v>
      </c>
      <c r="E8949" t="s">
        <v>25826</v>
      </c>
      <c r="F8949" t="s">
        <v>31574</v>
      </c>
      <c r="G8949" t="s">
        <v>31582</v>
      </c>
      <c r="H8949" t="s">
        <v>31591</v>
      </c>
      <c r="I8949" t="s">
        <v>8822</v>
      </c>
      <c r="J8949" t="s">
        <v>37367</v>
      </c>
      <c r="K8949" t="s">
        <v>41192</v>
      </c>
      <c r="M8949" t="s">
        <v>44222</v>
      </c>
      <c r="N8949" t="s">
        <v>45095</v>
      </c>
      <c r="O8949" t="s">
        <v>45096</v>
      </c>
      <c r="P8949">
        <v>0</v>
      </c>
      <c r="Q8949">
        <v>1</v>
      </c>
      <c r="R8949" t="s">
        <v>45104</v>
      </c>
      <c r="S8949" t="s">
        <v>45304</v>
      </c>
      <c r="T8949" t="s">
        <v>47162</v>
      </c>
      <c r="U8949" t="s">
        <v>54881</v>
      </c>
      <c r="W8949" t="s">
        <v>44222</v>
      </c>
      <c r="X8949" t="s">
        <v>45105</v>
      </c>
    </row>
    <row r="8950" spans="1:24">
      <c r="A8950">
        <f>HYPERLINK("https://www.philgeps.gov.ph/GEPSNONPILOT/Tender/SplashBidNoticeAbstractUI.aspx?menuIndex=3&amp;refID=7034205&amp;Result=3","7034205")</f>
        <v>0</v>
      </c>
      <c r="B8950" t="s">
        <v>2492</v>
      </c>
      <c r="C8950" t="s">
        <v>11725</v>
      </c>
      <c r="D8950" t="s">
        <v>18022</v>
      </c>
      <c r="E8950" t="s">
        <v>25948</v>
      </c>
      <c r="F8950" t="s">
        <v>31574</v>
      </c>
      <c r="G8950" t="s">
        <v>31584</v>
      </c>
      <c r="H8950" t="s">
        <v>31590</v>
      </c>
      <c r="I8950" t="s">
        <v>5717</v>
      </c>
      <c r="J8950" t="s">
        <v>37368</v>
      </c>
      <c r="K8950" t="s">
        <v>41186</v>
      </c>
      <c r="M8950" t="s">
        <v>44223</v>
      </c>
      <c r="N8950" t="s">
        <v>45095</v>
      </c>
      <c r="O8950" t="s">
        <v>45096</v>
      </c>
      <c r="P8950">
        <v>0</v>
      </c>
      <c r="Q8950">
        <v>18</v>
      </c>
      <c r="R8950" t="s">
        <v>45104</v>
      </c>
      <c r="S8950" t="s">
        <v>45304</v>
      </c>
      <c r="T8950" t="s">
        <v>47159</v>
      </c>
      <c r="U8950" t="s">
        <v>54882</v>
      </c>
      <c r="W8950" t="s">
        <v>61741</v>
      </c>
      <c r="X8950" t="s">
        <v>45105</v>
      </c>
    </row>
    <row r="8951" spans="1:24">
      <c r="A8951">
        <f>HYPERLINK("https://www.philgeps.gov.ph/GEPSNONPILOT/Tender/SplashBidNoticeAbstractUI.aspx?menuIndex=3&amp;refID=7034232&amp;Result=3","7034232")</f>
        <v>0</v>
      </c>
      <c r="B8951" t="s">
        <v>2482</v>
      </c>
      <c r="C8951" t="s">
        <v>11726</v>
      </c>
      <c r="D8951" t="s">
        <v>18064</v>
      </c>
      <c r="E8951" t="s">
        <v>25936</v>
      </c>
      <c r="F8951" t="s">
        <v>31574</v>
      </c>
      <c r="G8951" t="s">
        <v>31581</v>
      </c>
      <c r="H8951" t="s">
        <v>31591</v>
      </c>
      <c r="I8951" t="s">
        <v>31638</v>
      </c>
      <c r="J8951" t="s">
        <v>37369</v>
      </c>
      <c r="K8951" t="s">
        <v>41192</v>
      </c>
      <c r="M8951" t="s">
        <v>44212</v>
      </c>
      <c r="N8951" t="s">
        <v>45095</v>
      </c>
      <c r="O8951" t="s">
        <v>45096</v>
      </c>
      <c r="P8951">
        <v>0</v>
      </c>
      <c r="Q8951">
        <v>2</v>
      </c>
      <c r="R8951" t="s">
        <v>45104</v>
      </c>
      <c r="S8951" t="s">
        <v>45304</v>
      </c>
      <c r="T8951" t="s">
        <v>47159</v>
      </c>
      <c r="U8951" t="s">
        <v>54883</v>
      </c>
      <c r="W8951" t="s">
        <v>44212</v>
      </c>
      <c r="X8951" t="s">
        <v>45105</v>
      </c>
    </row>
    <row r="8952" spans="1:24">
      <c r="A8952">
        <f>HYPERLINK("https://www.philgeps.gov.ph/GEPSNONPILOT/Tender/SplashBidNoticeAbstractUI.aspx?menuIndex=3&amp;refID=7034261&amp;Result=3","7034261")</f>
        <v>0</v>
      </c>
      <c r="B8952" t="s">
        <v>720</v>
      </c>
      <c r="C8952" t="s">
        <v>11727</v>
      </c>
      <c r="D8952" t="s">
        <v>18048</v>
      </c>
      <c r="E8952" t="s">
        <v>25523</v>
      </c>
      <c r="F8952" t="s">
        <v>31574</v>
      </c>
      <c r="G8952" t="s">
        <v>31582</v>
      </c>
      <c r="H8952" t="s">
        <v>31591</v>
      </c>
      <c r="I8952" t="s">
        <v>4046</v>
      </c>
      <c r="J8952" t="s">
        <v>37370</v>
      </c>
      <c r="K8952" t="s">
        <v>41192</v>
      </c>
      <c r="M8952" t="s">
        <v>42230</v>
      </c>
      <c r="N8952" t="s">
        <v>45095</v>
      </c>
      <c r="O8952" t="s">
        <v>45096</v>
      </c>
      <c r="P8952">
        <v>0</v>
      </c>
      <c r="Q8952">
        <v>0</v>
      </c>
      <c r="R8952" t="s">
        <v>45104</v>
      </c>
      <c r="S8952" t="s">
        <v>45304</v>
      </c>
      <c r="T8952" t="s">
        <v>46979</v>
      </c>
      <c r="U8952" t="s">
        <v>54884</v>
      </c>
      <c r="W8952" t="s">
        <v>42230</v>
      </c>
      <c r="X8952" t="s">
        <v>45105</v>
      </c>
    </row>
    <row r="8953" spans="1:24">
      <c r="A8953">
        <f>HYPERLINK("https://www.philgeps.gov.ph/GEPSNONPILOT/Tender/SplashBidNoticeAbstractUI.aspx?menuIndex=3&amp;refID=7034239&amp;Result=3","7034239")</f>
        <v>0</v>
      </c>
      <c r="B8953" t="s">
        <v>1409</v>
      </c>
      <c r="C8953" t="s">
        <v>11728</v>
      </c>
      <c r="D8953" t="s">
        <v>18050</v>
      </c>
      <c r="E8953" t="s">
        <v>25949</v>
      </c>
      <c r="F8953" t="s">
        <v>31574</v>
      </c>
      <c r="G8953" t="s">
        <v>31583</v>
      </c>
      <c r="H8953" t="s">
        <v>31590</v>
      </c>
      <c r="I8953" t="s">
        <v>31602</v>
      </c>
      <c r="J8953" t="s">
        <v>37371</v>
      </c>
      <c r="K8953" t="s">
        <v>41186</v>
      </c>
      <c r="M8953" t="s">
        <v>42985</v>
      </c>
      <c r="N8953" t="s">
        <v>45095</v>
      </c>
      <c r="O8953" t="s">
        <v>45096</v>
      </c>
      <c r="P8953">
        <v>0</v>
      </c>
      <c r="Q8953">
        <v>0</v>
      </c>
      <c r="R8953" t="s">
        <v>45104</v>
      </c>
      <c r="S8953" t="s">
        <v>45304</v>
      </c>
      <c r="T8953" t="s">
        <v>46949</v>
      </c>
      <c r="U8953" t="s">
        <v>54885</v>
      </c>
      <c r="W8953" t="s">
        <v>42985</v>
      </c>
      <c r="X8953" t="s">
        <v>45105</v>
      </c>
    </row>
    <row r="8954" spans="1:24">
      <c r="A8954">
        <f>HYPERLINK("https://www.philgeps.gov.ph/GEPSNONPILOT/Tender/SplashBidNoticeAbstractUI.aspx?menuIndex=3&amp;refID=7034253&amp;Result=3","7034253")</f>
        <v>0</v>
      </c>
      <c r="B8954" t="s">
        <v>2493</v>
      </c>
      <c r="C8954" t="s">
        <v>11729</v>
      </c>
      <c r="E8954" t="s">
        <v>25950</v>
      </c>
      <c r="F8954" t="s">
        <v>31574</v>
      </c>
      <c r="G8954" t="s">
        <v>31582</v>
      </c>
      <c r="H8954" t="s">
        <v>31591</v>
      </c>
      <c r="I8954" t="s">
        <v>8822</v>
      </c>
      <c r="J8954" t="s">
        <v>32621</v>
      </c>
      <c r="K8954" t="s">
        <v>41259</v>
      </c>
      <c r="M8954" t="s">
        <v>44224</v>
      </c>
      <c r="N8954" t="s">
        <v>45095</v>
      </c>
      <c r="O8954" t="s">
        <v>45096</v>
      </c>
      <c r="P8954">
        <v>0</v>
      </c>
      <c r="Q8954">
        <v>1</v>
      </c>
      <c r="R8954" t="s">
        <v>45104</v>
      </c>
      <c r="S8954" t="s">
        <v>45304</v>
      </c>
      <c r="T8954" t="s">
        <v>47083</v>
      </c>
      <c r="U8954" t="s">
        <v>54886</v>
      </c>
      <c r="W8954" t="s">
        <v>44224</v>
      </c>
      <c r="X8954" t="s">
        <v>45105</v>
      </c>
    </row>
    <row r="8955" spans="1:24">
      <c r="A8955">
        <f>HYPERLINK("https://www.philgeps.gov.ph/GEPSNONPILOT/Tender/SplashBidNoticeAbstractUI.aspx?menuIndex=3&amp;refID=7034241&amp;Result=3","7034241")</f>
        <v>0</v>
      </c>
      <c r="B8955" t="s">
        <v>63</v>
      </c>
      <c r="C8955" t="s">
        <v>11730</v>
      </c>
      <c r="D8955" t="s">
        <v>18049</v>
      </c>
      <c r="E8955" t="s">
        <v>25951</v>
      </c>
      <c r="F8955" t="s">
        <v>31574</v>
      </c>
      <c r="G8955" t="s">
        <v>31581</v>
      </c>
      <c r="H8955" t="s">
        <v>31590</v>
      </c>
      <c r="I8955" t="s">
        <v>3873</v>
      </c>
      <c r="J8955" t="s">
        <v>32215</v>
      </c>
      <c r="K8955" t="s">
        <v>41193</v>
      </c>
      <c r="M8955" t="s">
        <v>42536</v>
      </c>
      <c r="N8955" t="s">
        <v>45095</v>
      </c>
      <c r="O8955" t="s">
        <v>45096</v>
      </c>
      <c r="P8955">
        <v>0</v>
      </c>
      <c r="Q8955">
        <v>0</v>
      </c>
      <c r="R8955" t="s">
        <v>45104</v>
      </c>
      <c r="S8955" t="s">
        <v>45304</v>
      </c>
      <c r="T8955" t="s">
        <v>47162</v>
      </c>
      <c r="U8955" t="s">
        <v>54887</v>
      </c>
      <c r="W8955" t="s">
        <v>42536</v>
      </c>
      <c r="X8955" t="s">
        <v>45105</v>
      </c>
    </row>
    <row r="8956" spans="1:24">
      <c r="A8956">
        <f>HYPERLINK("https://www.philgeps.gov.ph/GEPSNONPILOT/Tender/SplashBidNoticeAbstractUI.aspx?menuIndex=3&amp;refID=7034249&amp;Result=3","7034249")</f>
        <v>0</v>
      </c>
      <c r="B8956" t="s">
        <v>2473</v>
      </c>
      <c r="C8956" t="s">
        <v>11731</v>
      </c>
      <c r="D8956" t="s">
        <v>18033</v>
      </c>
      <c r="E8956" t="s">
        <v>24685</v>
      </c>
      <c r="F8956" t="s">
        <v>31574</v>
      </c>
      <c r="G8956" t="s">
        <v>31583</v>
      </c>
      <c r="H8956" t="s">
        <v>31590</v>
      </c>
      <c r="I8956" t="s">
        <v>4046</v>
      </c>
      <c r="J8956" t="s">
        <v>37330</v>
      </c>
      <c r="K8956" t="s">
        <v>41193</v>
      </c>
      <c r="M8956" t="s">
        <v>44202</v>
      </c>
      <c r="N8956" t="s">
        <v>45095</v>
      </c>
      <c r="O8956" t="s">
        <v>45096</v>
      </c>
      <c r="P8956">
        <v>0</v>
      </c>
      <c r="Q8956">
        <v>0</v>
      </c>
      <c r="R8956" t="s">
        <v>45104</v>
      </c>
      <c r="S8956" t="s">
        <v>45304</v>
      </c>
      <c r="T8956" t="s">
        <v>46957</v>
      </c>
      <c r="U8956" t="s">
        <v>54839</v>
      </c>
      <c r="W8956" t="s">
        <v>44202</v>
      </c>
      <c r="X8956" t="s">
        <v>45105</v>
      </c>
    </row>
    <row r="8957" spans="1:24">
      <c r="A8957">
        <f>HYPERLINK("https://www.philgeps.gov.ph/GEPSNONPILOT/Tender/SplashBidNoticeAbstractUI.aspx?menuIndex=3&amp;refID=7034265&amp;Result=3","7034265")</f>
        <v>0</v>
      </c>
      <c r="B8957" t="s">
        <v>62</v>
      </c>
      <c r="C8957" t="s">
        <v>11732</v>
      </c>
      <c r="D8957" t="s">
        <v>18048</v>
      </c>
      <c r="E8957" t="s">
        <v>25952</v>
      </c>
      <c r="F8957" t="s">
        <v>31574</v>
      </c>
      <c r="G8957" t="s">
        <v>31588</v>
      </c>
      <c r="H8957" t="s">
        <v>31593</v>
      </c>
      <c r="I8957" t="s">
        <v>31593</v>
      </c>
      <c r="J8957" t="s">
        <v>37372</v>
      </c>
      <c r="K8957" t="s">
        <v>41184</v>
      </c>
      <c r="L8957" t="s">
        <v>62</v>
      </c>
      <c r="M8957" t="s">
        <v>43390</v>
      </c>
      <c r="N8957" t="s">
        <v>45095</v>
      </c>
      <c r="O8957" t="s">
        <v>45096</v>
      </c>
      <c r="Q8957">
        <v>4</v>
      </c>
      <c r="R8957" t="s">
        <v>45104</v>
      </c>
      <c r="S8957" t="s">
        <v>45327</v>
      </c>
      <c r="T8957" t="s">
        <v>46908</v>
      </c>
      <c r="U8957" t="s">
        <v>54888</v>
      </c>
      <c r="W8957" t="s">
        <v>43390</v>
      </c>
      <c r="X8957" t="s">
        <v>45105</v>
      </c>
    </row>
    <row r="8958" spans="1:24">
      <c r="A8958">
        <f>HYPERLINK("https://www.philgeps.gov.ph/GEPSNONPILOT/Tender/SplashBidNoticeAbstractUI.aspx?menuIndex=3&amp;refID=7034240&amp;Result=3","7034240")</f>
        <v>0</v>
      </c>
      <c r="B8958" t="s">
        <v>161</v>
      </c>
      <c r="C8958" t="s">
        <v>11733</v>
      </c>
      <c r="E8958" t="s">
        <v>25953</v>
      </c>
      <c r="F8958" t="s">
        <v>31574</v>
      </c>
      <c r="G8958" t="s">
        <v>31581</v>
      </c>
      <c r="H8958" t="s">
        <v>31590</v>
      </c>
      <c r="I8958" t="s">
        <v>3487</v>
      </c>
      <c r="J8958" t="s">
        <v>31727</v>
      </c>
      <c r="K8958" t="s">
        <v>41184</v>
      </c>
      <c r="M8958" t="s">
        <v>41645</v>
      </c>
      <c r="N8958" t="s">
        <v>45095</v>
      </c>
      <c r="O8958" t="s">
        <v>45096</v>
      </c>
      <c r="P8958">
        <v>0</v>
      </c>
      <c r="Q8958">
        <v>0</v>
      </c>
      <c r="R8958" t="s">
        <v>45104</v>
      </c>
      <c r="S8958" t="s">
        <v>45304</v>
      </c>
      <c r="T8958" t="s">
        <v>46985</v>
      </c>
      <c r="U8958" t="s">
        <v>54889</v>
      </c>
      <c r="W8958" t="s">
        <v>41645</v>
      </c>
      <c r="X8958" t="s">
        <v>45105</v>
      </c>
    </row>
    <row r="8959" spans="1:24">
      <c r="A8959">
        <f>HYPERLINK("https://www.philgeps.gov.ph/GEPSNONPILOT/Tender/SplashBidNoticeAbstractUI.aspx?menuIndex=3&amp;refID=7034259&amp;Result=3","7034259")</f>
        <v>0</v>
      </c>
      <c r="B8959" t="s">
        <v>2494</v>
      </c>
      <c r="C8959" t="s">
        <v>11734</v>
      </c>
      <c r="D8959" t="s">
        <v>18081</v>
      </c>
      <c r="E8959" t="s">
        <v>18227</v>
      </c>
      <c r="F8959" t="s">
        <v>31574</v>
      </c>
      <c r="G8959" t="s">
        <v>31582</v>
      </c>
      <c r="H8959" t="s">
        <v>31590</v>
      </c>
      <c r="I8959" t="s">
        <v>4046</v>
      </c>
      <c r="J8959" t="s">
        <v>37373</v>
      </c>
      <c r="K8959" t="s">
        <v>41196</v>
      </c>
      <c r="L8959" t="s">
        <v>2494</v>
      </c>
      <c r="M8959" t="s">
        <v>44225</v>
      </c>
      <c r="N8959" t="s">
        <v>45095</v>
      </c>
      <c r="O8959" t="s">
        <v>45096</v>
      </c>
      <c r="P8959">
        <v>0</v>
      </c>
      <c r="Q8959">
        <v>0</v>
      </c>
      <c r="R8959" t="s">
        <v>45104</v>
      </c>
      <c r="S8959" t="s">
        <v>45304</v>
      </c>
      <c r="T8959" t="s">
        <v>46966</v>
      </c>
      <c r="U8959" t="s">
        <v>54890</v>
      </c>
      <c r="V8959" t="s">
        <v>60773</v>
      </c>
      <c r="W8959" t="s">
        <v>44225</v>
      </c>
      <c r="X8959" t="s">
        <v>45105</v>
      </c>
    </row>
    <row r="8960" spans="1:24">
      <c r="A8960">
        <f>HYPERLINK("https://www.philgeps.gov.ph/GEPSNONPILOT/Tender/SplashBidNoticeAbstractUI.aspx?menuIndex=3&amp;refID=7034300&amp;Result=3","7034300")</f>
        <v>0</v>
      </c>
      <c r="B8960" t="s">
        <v>2495</v>
      </c>
      <c r="C8960" t="s">
        <v>11735</v>
      </c>
      <c r="E8960" t="s">
        <v>25954</v>
      </c>
      <c r="F8960" t="s">
        <v>31575</v>
      </c>
      <c r="G8960" t="s">
        <v>31581</v>
      </c>
      <c r="H8960" t="s">
        <v>31590</v>
      </c>
      <c r="I8960" t="s">
        <v>31621</v>
      </c>
      <c r="J8960" t="s">
        <v>37374</v>
      </c>
      <c r="K8960" t="s">
        <v>41189</v>
      </c>
      <c r="M8960" t="s">
        <v>44226</v>
      </c>
      <c r="N8960" t="s">
        <v>45095</v>
      </c>
      <c r="O8960" t="s">
        <v>45096</v>
      </c>
      <c r="P8960">
        <v>0</v>
      </c>
      <c r="Q8960">
        <v>1</v>
      </c>
      <c r="R8960" t="s">
        <v>45104</v>
      </c>
      <c r="S8960" t="s">
        <v>45304</v>
      </c>
      <c r="T8960" t="s">
        <v>47154</v>
      </c>
      <c r="U8960" t="s">
        <v>54891</v>
      </c>
      <c r="W8960" t="s">
        <v>44226</v>
      </c>
      <c r="X8960" t="s">
        <v>45105</v>
      </c>
    </row>
    <row r="8961" spans="1:24">
      <c r="A8961">
        <f>HYPERLINK("https://www.philgeps.gov.ph/GEPSNONPILOT/Tender/SplashBidNoticeAbstractUI.aspx?menuIndex=3&amp;refID=7034234&amp;Result=3","7034234")</f>
        <v>0</v>
      </c>
      <c r="B8961" t="s">
        <v>1585</v>
      </c>
      <c r="C8961" t="s">
        <v>11736</v>
      </c>
      <c r="D8961" t="s">
        <v>18043</v>
      </c>
      <c r="E8961" t="s">
        <v>25955</v>
      </c>
      <c r="F8961" t="s">
        <v>31574</v>
      </c>
      <c r="G8961" t="s">
        <v>31582</v>
      </c>
      <c r="H8961" t="s">
        <v>31590</v>
      </c>
      <c r="I8961" t="s">
        <v>31631</v>
      </c>
      <c r="J8961" t="s">
        <v>31819</v>
      </c>
      <c r="K8961" t="s">
        <v>41196</v>
      </c>
      <c r="M8961" t="s">
        <v>43189</v>
      </c>
      <c r="N8961" t="s">
        <v>45095</v>
      </c>
      <c r="O8961" t="s">
        <v>45096</v>
      </c>
      <c r="P8961">
        <v>0</v>
      </c>
      <c r="Q8961">
        <v>2</v>
      </c>
      <c r="R8961" t="s">
        <v>45104</v>
      </c>
      <c r="S8961" t="s">
        <v>45304</v>
      </c>
      <c r="T8961" t="s">
        <v>47100</v>
      </c>
      <c r="U8961" t="s">
        <v>54892</v>
      </c>
      <c r="V8961" t="s">
        <v>60774</v>
      </c>
      <c r="W8961" t="s">
        <v>43189</v>
      </c>
      <c r="X8961" t="s">
        <v>45105</v>
      </c>
    </row>
    <row r="8962" spans="1:24">
      <c r="A8962">
        <f>HYPERLINK("https://www.philgeps.gov.ph/GEPSNONPILOT/Tender/SplashBidNoticeAbstractUI.aspx?menuIndex=3&amp;refID=7034219&amp;Result=3","7034219")</f>
        <v>0</v>
      </c>
      <c r="B8962" t="s">
        <v>2496</v>
      </c>
      <c r="C8962" t="s">
        <v>3983</v>
      </c>
      <c r="D8962" t="s">
        <v>18064</v>
      </c>
      <c r="E8962" t="s">
        <v>25956</v>
      </c>
      <c r="F8962" t="s">
        <v>31574</v>
      </c>
      <c r="G8962" t="s">
        <v>31582</v>
      </c>
      <c r="H8962" t="s">
        <v>31591</v>
      </c>
      <c r="I8962" t="s">
        <v>8822</v>
      </c>
      <c r="J8962" t="s">
        <v>37375</v>
      </c>
      <c r="K8962" t="s">
        <v>41208</v>
      </c>
      <c r="M8962" t="s">
        <v>44227</v>
      </c>
      <c r="N8962" t="s">
        <v>45095</v>
      </c>
      <c r="O8962" t="s">
        <v>45096</v>
      </c>
      <c r="P8962">
        <v>0</v>
      </c>
      <c r="Q8962">
        <v>0</v>
      </c>
      <c r="R8962" t="s">
        <v>45104</v>
      </c>
      <c r="S8962" t="s">
        <v>45304</v>
      </c>
      <c r="T8962" t="s">
        <v>47159</v>
      </c>
      <c r="U8962" t="s">
        <v>54893</v>
      </c>
      <c r="W8962" t="s">
        <v>44227</v>
      </c>
      <c r="X8962" t="s">
        <v>45105</v>
      </c>
    </row>
    <row r="8963" spans="1:24">
      <c r="A8963">
        <f>HYPERLINK("https://www.philgeps.gov.ph/GEPSNONPILOT/Tender/SplashBidNoticeAbstractUI.aspx?menuIndex=3&amp;refID=7034290&amp;Result=3","7034290")</f>
        <v>0</v>
      </c>
      <c r="B8963" t="s">
        <v>89</v>
      </c>
      <c r="C8963" t="s">
        <v>11737</v>
      </c>
      <c r="D8963" t="s">
        <v>18059</v>
      </c>
      <c r="E8963" t="s">
        <v>25957</v>
      </c>
      <c r="F8963" t="s">
        <v>31574</v>
      </c>
      <c r="G8963" t="s">
        <v>31582</v>
      </c>
      <c r="H8963" t="s">
        <v>31590</v>
      </c>
      <c r="I8963" t="s">
        <v>6800</v>
      </c>
      <c r="J8963" t="s">
        <v>37376</v>
      </c>
      <c r="K8963" t="s">
        <v>41184</v>
      </c>
      <c r="M8963" t="s">
        <v>41573</v>
      </c>
      <c r="N8963" t="s">
        <v>45095</v>
      </c>
      <c r="O8963" t="s">
        <v>45096</v>
      </c>
      <c r="P8963">
        <v>0</v>
      </c>
      <c r="Q8963">
        <v>0</v>
      </c>
      <c r="R8963" t="s">
        <v>45104</v>
      </c>
      <c r="S8963" t="s">
        <v>45304</v>
      </c>
      <c r="T8963" t="s">
        <v>47076</v>
      </c>
      <c r="U8963" t="s">
        <v>49035</v>
      </c>
      <c r="W8963" t="s">
        <v>41573</v>
      </c>
      <c r="X8963" t="s">
        <v>45105</v>
      </c>
    </row>
    <row r="8964" spans="1:24">
      <c r="A8964">
        <f>HYPERLINK("https://www.philgeps.gov.ph/GEPSNONPILOT/Tender/SplashBidNoticeAbstractUI.aspx?menuIndex=3&amp;refID=7034297&amp;Result=3","7034297")</f>
        <v>0</v>
      </c>
      <c r="B8964" t="s">
        <v>1409</v>
      </c>
      <c r="C8964" t="s">
        <v>11738</v>
      </c>
      <c r="D8964" t="s">
        <v>18050</v>
      </c>
      <c r="E8964" t="s">
        <v>25958</v>
      </c>
      <c r="F8964" t="s">
        <v>31574</v>
      </c>
      <c r="G8964" t="s">
        <v>31583</v>
      </c>
      <c r="H8964" t="s">
        <v>31590</v>
      </c>
      <c r="I8964" t="s">
        <v>31602</v>
      </c>
      <c r="J8964" t="s">
        <v>37377</v>
      </c>
      <c r="K8964" t="s">
        <v>41194</v>
      </c>
      <c r="M8964" t="s">
        <v>42985</v>
      </c>
      <c r="N8964" t="s">
        <v>45095</v>
      </c>
      <c r="O8964" t="s">
        <v>45096</v>
      </c>
      <c r="P8964">
        <v>0</v>
      </c>
      <c r="Q8964">
        <v>0</v>
      </c>
      <c r="R8964" t="s">
        <v>45104</v>
      </c>
      <c r="S8964" t="s">
        <v>45304</v>
      </c>
      <c r="T8964" t="s">
        <v>46949</v>
      </c>
      <c r="U8964" t="s">
        <v>54894</v>
      </c>
      <c r="W8964" t="s">
        <v>42985</v>
      </c>
      <c r="X8964" t="s">
        <v>45105</v>
      </c>
    </row>
    <row r="8965" spans="1:24">
      <c r="A8965">
        <f>HYPERLINK("https://www.philgeps.gov.ph/GEPSNONPILOT/Tender/SplashBidNoticeAbstractUI.aspx?menuIndex=3&amp;refID=7034296&amp;Result=3","7034296")</f>
        <v>0</v>
      </c>
      <c r="B8965" t="s">
        <v>1572</v>
      </c>
      <c r="C8965" t="s">
        <v>11739</v>
      </c>
      <c r="D8965" t="s">
        <v>18070</v>
      </c>
      <c r="E8965" t="s">
        <v>25959</v>
      </c>
      <c r="F8965" t="s">
        <v>31574</v>
      </c>
      <c r="G8965" t="s">
        <v>31582</v>
      </c>
      <c r="H8965" t="s">
        <v>31591</v>
      </c>
      <c r="I8965" t="s">
        <v>8822</v>
      </c>
      <c r="J8965" t="s">
        <v>31781</v>
      </c>
      <c r="K8965" t="s">
        <v>41192</v>
      </c>
      <c r="M8965" t="s">
        <v>43175</v>
      </c>
      <c r="N8965" t="s">
        <v>45095</v>
      </c>
      <c r="O8965" t="s">
        <v>45096</v>
      </c>
      <c r="P8965">
        <v>0</v>
      </c>
      <c r="Q8965">
        <v>0</v>
      </c>
      <c r="R8965" t="s">
        <v>45104</v>
      </c>
      <c r="S8965" t="s">
        <v>45304</v>
      </c>
      <c r="T8965" t="s">
        <v>47000</v>
      </c>
      <c r="U8965" t="s">
        <v>54895</v>
      </c>
      <c r="W8965" t="s">
        <v>43175</v>
      </c>
      <c r="X8965" t="s">
        <v>45105</v>
      </c>
    </row>
    <row r="8966" spans="1:24">
      <c r="A8966">
        <f>HYPERLINK("https://www.philgeps.gov.ph/GEPSNONPILOT/Tender/SplashBidNoticeAbstractUI.aspx?menuIndex=3&amp;refID=7034222&amp;Result=3","7034222")</f>
        <v>0</v>
      </c>
      <c r="B8966" t="s">
        <v>1586</v>
      </c>
      <c r="C8966" t="s">
        <v>11740</v>
      </c>
      <c r="E8966" t="s">
        <v>25960</v>
      </c>
      <c r="F8966" t="s">
        <v>31574</v>
      </c>
      <c r="G8966" t="s">
        <v>31581</v>
      </c>
      <c r="H8966" t="s">
        <v>31590</v>
      </c>
      <c r="I8966" t="s">
        <v>31652</v>
      </c>
      <c r="J8966" t="s">
        <v>37378</v>
      </c>
      <c r="K8966" t="s">
        <v>41184</v>
      </c>
      <c r="M8966" t="s">
        <v>43190</v>
      </c>
      <c r="N8966" t="s">
        <v>45095</v>
      </c>
      <c r="O8966" t="s">
        <v>45096</v>
      </c>
      <c r="P8966">
        <v>0</v>
      </c>
      <c r="Q8966">
        <v>0</v>
      </c>
      <c r="R8966" t="s">
        <v>45104</v>
      </c>
      <c r="S8966" t="s">
        <v>45304</v>
      </c>
      <c r="T8966" t="s">
        <v>47083</v>
      </c>
      <c r="U8966" t="s">
        <v>54896</v>
      </c>
      <c r="V8966" t="s">
        <v>60352</v>
      </c>
      <c r="W8966" t="s">
        <v>61710</v>
      </c>
      <c r="X8966" t="s">
        <v>45105</v>
      </c>
    </row>
    <row r="8967" spans="1:24">
      <c r="A8967">
        <f>HYPERLINK("https://www.philgeps.gov.ph/GEPSNONPILOT/Tender/SplashBidNoticeAbstractUI.aspx?menuIndex=3&amp;refID=7034295&amp;Result=3","7034295")</f>
        <v>0</v>
      </c>
      <c r="B8967" t="s">
        <v>2497</v>
      </c>
      <c r="C8967" t="s">
        <v>11741</v>
      </c>
      <c r="D8967" t="s">
        <v>18066</v>
      </c>
      <c r="E8967" t="s">
        <v>18316</v>
      </c>
      <c r="F8967" t="s">
        <v>31574</v>
      </c>
      <c r="G8967" t="s">
        <v>31582</v>
      </c>
      <c r="H8967" t="s">
        <v>31591</v>
      </c>
      <c r="I8967" t="s">
        <v>7162</v>
      </c>
      <c r="J8967" t="s">
        <v>32493</v>
      </c>
      <c r="K8967" t="s">
        <v>41191</v>
      </c>
      <c r="M8967" t="s">
        <v>44228</v>
      </c>
      <c r="N8967" t="s">
        <v>45095</v>
      </c>
      <c r="O8967" t="s">
        <v>45096</v>
      </c>
      <c r="P8967">
        <v>0</v>
      </c>
      <c r="Q8967">
        <v>0</v>
      </c>
      <c r="R8967" t="s">
        <v>45104</v>
      </c>
      <c r="S8967" t="s">
        <v>45304</v>
      </c>
      <c r="T8967" t="s">
        <v>47154</v>
      </c>
      <c r="U8967" t="s">
        <v>54897</v>
      </c>
      <c r="W8967" t="s">
        <v>44228</v>
      </c>
      <c r="X8967" t="s">
        <v>45105</v>
      </c>
    </row>
    <row r="8968" spans="1:24">
      <c r="A8968">
        <f>HYPERLINK("https://www.philgeps.gov.ph/GEPSNONPILOT/Tender/SplashBidNoticeAbstractUI.aspx?menuIndex=3&amp;refID=7034294&amp;Result=3","7034294")</f>
        <v>0</v>
      </c>
      <c r="B8968" t="s">
        <v>2498</v>
      </c>
      <c r="C8968" t="s">
        <v>4999</v>
      </c>
      <c r="D8968" t="s">
        <v>18027</v>
      </c>
      <c r="E8968" t="s">
        <v>19831</v>
      </c>
      <c r="F8968" t="s">
        <v>31574</v>
      </c>
      <c r="G8968" t="s">
        <v>31582</v>
      </c>
      <c r="H8968" t="s">
        <v>31590</v>
      </c>
      <c r="I8968" t="s">
        <v>3487</v>
      </c>
      <c r="J8968" t="s">
        <v>37379</v>
      </c>
      <c r="K8968" t="s">
        <v>41184</v>
      </c>
      <c r="M8968" t="s">
        <v>44229</v>
      </c>
      <c r="N8968" t="s">
        <v>45095</v>
      </c>
      <c r="O8968" t="s">
        <v>45096</v>
      </c>
      <c r="P8968">
        <v>0</v>
      </c>
      <c r="Q8968">
        <v>0</v>
      </c>
      <c r="R8968" t="s">
        <v>45104</v>
      </c>
      <c r="S8968" t="s">
        <v>45304</v>
      </c>
      <c r="T8968" t="s">
        <v>47076</v>
      </c>
      <c r="U8968" t="s">
        <v>54898</v>
      </c>
      <c r="W8968" t="s">
        <v>44229</v>
      </c>
      <c r="X8968" t="s">
        <v>45105</v>
      </c>
    </row>
    <row r="8969" spans="1:24">
      <c r="A8969">
        <f>HYPERLINK("https://www.philgeps.gov.ph/GEPSNONPILOT/Tender/SplashBidNoticeAbstractUI.aspx?menuIndex=3&amp;refID=7034283&amp;Result=3","7034283")</f>
        <v>0</v>
      </c>
      <c r="B8969" t="s">
        <v>159</v>
      </c>
      <c r="C8969" t="s">
        <v>11742</v>
      </c>
      <c r="D8969" t="s">
        <v>18046</v>
      </c>
      <c r="E8969" t="s">
        <v>25961</v>
      </c>
      <c r="F8969" t="s">
        <v>31574</v>
      </c>
      <c r="G8969" t="s">
        <v>31582</v>
      </c>
      <c r="H8969" t="s">
        <v>31590</v>
      </c>
      <c r="I8969" t="s">
        <v>14544</v>
      </c>
      <c r="J8969" t="s">
        <v>32367</v>
      </c>
      <c r="K8969" t="s">
        <v>41186</v>
      </c>
      <c r="M8969" t="s">
        <v>43387</v>
      </c>
      <c r="N8969" t="s">
        <v>45095</v>
      </c>
      <c r="O8969" t="s">
        <v>45096</v>
      </c>
      <c r="P8969">
        <v>0</v>
      </c>
      <c r="Q8969">
        <v>0</v>
      </c>
      <c r="R8969" t="s">
        <v>45104</v>
      </c>
      <c r="S8969" t="s">
        <v>45304</v>
      </c>
      <c r="T8969" t="s">
        <v>47154</v>
      </c>
      <c r="U8969" t="s">
        <v>47772</v>
      </c>
      <c r="V8969" t="s">
        <v>59890</v>
      </c>
      <c r="W8969" t="s">
        <v>43387</v>
      </c>
      <c r="X8969" t="s">
        <v>45105</v>
      </c>
    </row>
    <row r="8970" spans="1:24">
      <c r="A8970">
        <f>HYPERLINK("https://www.philgeps.gov.ph/GEPSNONPILOT/Tender/SplashBidNoticeAbstractUI.aspx?menuIndex=3&amp;refID=7034306&amp;Result=3","7034306")</f>
        <v>0</v>
      </c>
      <c r="B8970" t="s">
        <v>241</v>
      </c>
      <c r="C8970" t="s">
        <v>11743</v>
      </c>
      <c r="D8970" t="s">
        <v>18072</v>
      </c>
      <c r="E8970" t="s">
        <v>18422</v>
      </c>
      <c r="F8970" t="s">
        <v>31574</v>
      </c>
      <c r="G8970" t="s">
        <v>31582</v>
      </c>
      <c r="H8970" t="s">
        <v>31590</v>
      </c>
      <c r="I8970" t="s">
        <v>4046</v>
      </c>
      <c r="J8970" t="s">
        <v>37380</v>
      </c>
      <c r="K8970" t="s">
        <v>41191</v>
      </c>
      <c r="M8970" t="s">
        <v>41727</v>
      </c>
      <c r="N8970" t="s">
        <v>45095</v>
      </c>
      <c r="O8970" t="s">
        <v>45096</v>
      </c>
      <c r="P8970">
        <v>0</v>
      </c>
      <c r="Q8970">
        <v>0</v>
      </c>
      <c r="R8970" t="s">
        <v>45104</v>
      </c>
      <c r="S8970" t="s">
        <v>45304</v>
      </c>
      <c r="T8970" t="s">
        <v>47159</v>
      </c>
      <c r="U8970" t="s">
        <v>54899</v>
      </c>
      <c r="W8970" t="s">
        <v>41727</v>
      </c>
      <c r="X8970" t="s">
        <v>45105</v>
      </c>
    </row>
    <row r="8971" spans="1:24">
      <c r="A8971">
        <f>HYPERLINK("https://www.philgeps.gov.ph/GEPSNONPILOT/Tender/SplashBidNoticeAbstractUI.aspx?menuIndex=3&amp;refID=7034308&amp;Result=3","7034308")</f>
        <v>0</v>
      </c>
      <c r="B8971" t="s">
        <v>2499</v>
      </c>
      <c r="C8971" t="s">
        <v>3983</v>
      </c>
      <c r="D8971" t="s">
        <v>18064</v>
      </c>
      <c r="E8971" t="s">
        <v>25962</v>
      </c>
      <c r="F8971" t="s">
        <v>31574</v>
      </c>
      <c r="G8971" t="s">
        <v>31582</v>
      </c>
      <c r="H8971" t="s">
        <v>31591</v>
      </c>
      <c r="I8971" t="s">
        <v>8822</v>
      </c>
      <c r="J8971" t="s">
        <v>31838</v>
      </c>
      <c r="K8971" t="s">
        <v>41226</v>
      </c>
      <c r="M8971" t="s">
        <v>44230</v>
      </c>
      <c r="N8971" t="s">
        <v>45095</v>
      </c>
      <c r="O8971" t="s">
        <v>45096</v>
      </c>
      <c r="P8971">
        <v>0</v>
      </c>
      <c r="Q8971">
        <v>0</v>
      </c>
      <c r="R8971" t="s">
        <v>45104</v>
      </c>
      <c r="S8971" t="s">
        <v>45304</v>
      </c>
      <c r="T8971" t="s">
        <v>47159</v>
      </c>
      <c r="U8971" t="s">
        <v>54900</v>
      </c>
      <c r="W8971" t="s">
        <v>44230</v>
      </c>
      <c r="X8971" t="s">
        <v>45105</v>
      </c>
    </row>
    <row r="8972" spans="1:24">
      <c r="A8972">
        <f>HYPERLINK("https://www.philgeps.gov.ph/GEPSNONPILOT/Tender/SplashBidNoticeAbstractUI.aspx?menuIndex=3&amp;refID=7034293&amp;Result=3","7034293")</f>
        <v>0</v>
      </c>
      <c r="B8972" t="s">
        <v>2341</v>
      </c>
      <c r="C8972" t="s">
        <v>11744</v>
      </c>
      <c r="D8972" t="s">
        <v>18041</v>
      </c>
      <c r="E8972" t="s">
        <v>25963</v>
      </c>
      <c r="F8972" t="s">
        <v>31575</v>
      </c>
      <c r="G8972" t="s">
        <v>31581</v>
      </c>
      <c r="H8972" t="s">
        <v>31590</v>
      </c>
      <c r="I8972" t="s">
        <v>5717</v>
      </c>
      <c r="J8972" t="s">
        <v>31727</v>
      </c>
      <c r="K8972" t="s">
        <v>41192</v>
      </c>
      <c r="M8972" t="s">
        <v>44056</v>
      </c>
      <c r="N8972" t="s">
        <v>45095</v>
      </c>
      <c r="O8972" t="s">
        <v>45096</v>
      </c>
      <c r="P8972">
        <v>0</v>
      </c>
      <c r="Q8972">
        <v>1</v>
      </c>
      <c r="R8972" t="s">
        <v>45104</v>
      </c>
      <c r="S8972" t="s">
        <v>45304</v>
      </c>
      <c r="T8972" t="s">
        <v>47158</v>
      </c>
      <c r="U8972" t="s">
        <v>54901</v>
      </c>
      <c r="W8972" t="s">
        <v>44056</v>
      </c>
      <c r="X8972" t="s">
        <v>45105</v>
      </c>
    </row>
    <row r="8973" spans="1:24">
      <c r="A8973">
        <f>HYPERLINK("https://www.philgeps.gov.ph/GEPSNONPILOT/Tender/SplashBidNoticeAbstractUI.aspx?menuIndex=3&amp;refID=7034322&amp;Result=3","7034322")</f>
        <v>0</v>
      </c>
      <c r="B8973" t="s">
        <v>89</v>
      </c>
      <c r="C8973" t="s">
        <v>11745</v>
      </c>
      <c r="D8973" t="s">
        <v>18059</v>
      </c>
      <c r="E8973" t="s">
        <v>25964</v>
      </c>
      <c r="F8973" t="s">
        <v>31574</v>
      </c>
      <c r="G8973" t="s">
        <v>31582</v>
      </c>
      <c r="H8973" t="s">
        <v>31590</v>
      </c>
      <c r="I8973" t="s">
        <v>6800</v>
      </c>
      <c r="J8973" t="s">
        <v>37381</v>
      </c>
      <c r="K8973" t="s">
        <v>41184</v>
      </c>
      <c r="M8973" t="s">
        <v>41573</v>
      </c>
      <c r="N8973" t="s">
        <v>45095</v>
      </c>
      <c r="O8973" t="s">
        <v>45096</v>
      </c>
      <c r="P8973">
        <v>0</v>
      </c>
      <c r="Q8973">
        <v>0</v>
      </c>
      <c r="R8973" t="s">
        <v>45104</v>
      </c>
      <c r="S8973" t="s">
        <v>45304</v>
      </c>
      <c r="T8973" t="s">
        <v>47076</v>
      </c>
      <c r="U8973" t="s">
        <v>49035</v>
      </c>
      <c r="W8973" t="s">
        <v>41573</v>
      </c>
      <c r="X8973" t="s">
        <v>45105</v>
      </c>
    </row>
    <row r="8974" spans="1:24">
      <c r="A8974">
        <f>HYPERLINK("https://www.philgeps.gov.ph/GEPSNONPILOT/Tender/SplashBidNoticeAbstractUI.aspx?menuIndex=3&amp;refID=7034321&amp;Result=3","7034321")</f>
        <v>0</v>
      </c>
      <c r="B8974" t="s">
        <v>961</v>
      </c>
      <c r="C8974" t="s">
        <v>11746</v>
      </c>
      <c r="D8974" t="s">
        <v>18023</v>
      </c>
      <c r="E8974" t="s">
        <v>25965</v>
      </c>
      <c r="F8974" t="s">
        <v>31574</v>
      </c>
      <c r="G8974" t="s">
        <v>31581</v>
      </c>
      <c r="H8974" t="s">
        <v>31590</v>
      </c>
      <c r="I8974" t="s">
        <v>31612</v>
      </c>
      <c r="J8974" t="s">
        <v>34379</v>
      </c>
      <c r="K8974" t="s">
        <v>41193</v>
      </c>
      <c r="M8974" t="s">
        <v>44231</v>
      </c>
      <c r="N8974" t="s">
        <v>45095</v>
      </c>
      <c r="O8974" t="s">
        <v>45096</v>
      </c>
      <c r="P8974">
        <v>0</v>
      </c>
      <c r="Q8974">
        <v>2</v>
      </c>
      <c r="R8974" t="s">
        <v>45104</v>
      </c>
      <c r="S8974" t="s">
        <v>45304</v>
      </c>
      <c r="T8974" t="s">
        <v>47067</v>
      </c>
      <c r="U8974" t="s">
        <v>54902</v>
      </c>
      <c r="W8974" t="s">
        <v>44231</v>
      </c>
      <c r="X8974" t="s">
        <v>45105</v>
      </c>
    </row>
    <row r="8975" spans="1:24">
      <c r="A8975">
        <f>HYPERLINK("https://www.philgeps.gov.ph/GEPSNONPILOT/Tender/SplashBidNoticeAbstractUI.aspx?menuIndex=3&amp;refID=7034313&amp;Result=3","7034313")</f>
        <v>0</v>
      </c>
      <c r="B8975" t="s">
        <v>990</v>
      </c>
      <c r="C8975" t="s">
        <v>11747</v>
      </c>
      <c r="D8975" t="s">
        <v>18107</v>
      </c>
      <c r="E8975" t="s">
        <v>25966</v>
      </c>
      <c r="F8975" t="s">
        <v>31574</v>
      </c>
      <c r="G8975" t="s">
        <v>31582</v>
      </c>
      <c r="H8975" t="s">
        <v>31590</v>
      </c>
      <c r="I8975" t="s">
        <v>4046</v>
      </c>
      <c r="J8975" t="s">
        <v>37382</v>
      </c>
      <c r="K8975" t="s">
        <v>41196</v>
      </c>
      <c r="M8975" t="s">
        <v>42525</v>
      </c>
      <c r="N8975" t="s">
        <v>45095</v>
      </c>
      <c r="O8975" t="s">
        <v>45096</v>
      </c>
      <c r="P8975">
        <v>0</v>
      </c>
      <c r="Q8975">
        <v>0</v>
      </c>
      <c r="R8975" t="s">
        <v>45104</v>
      </c>
      <c r="S8975" t="s">
        <v>45304</v>
      </c>
      <c r="T8975" t="s">
        <v>47183</v>
      </c>
      <c r="U8975" t="s">
        <v>54903</v>
      </c>
      <c r="W8975" t="s">
        <v>42525</v>
      </c>
      <c r="X8975" t="s">
        <v>45105</v>
      </c>
    </row>
    <row r="8976" spans="1:24">
      <c r="A8976">
        <f>HYPERLINK("https://www.philgeps.gov.ph/GEPSNONPILOT/Tender/SplashBidNoticeAbstractUI.aspx?menuIndex=3&amp;refID=7034311&amp;Result=3","7034311")</f>
        <v>0</v>
      </c>
      <c r="B8976" t="s">
        <v>2490</v>
      </c>
      <c r="C8976" t="s">
        <v>11748</v>
      </c>
      <c r="D8976" t="s">
        <v>18048</v>
      </c>
      <c r="E8976" t="s">
        <v>25967</v>
      </c>
      <c r="F8976" t="s">
        <v>31574</v>
      </c>
      <c r="G8976" t="s">
        <v>31581</v>
      </c>
      <c r="H8976" t="s">
        <v>31590</v>
      </c>
      <c r="I8976" t="s">
        <v>31594</v>
      </c>
      <c r="J8976" t="s">
        <v>37383</v>
      </c>
      <c r="K8976" t="s">
        <v>41186</v>
      </c>
      <c r="M8976" t="s">
        <v>44221</v>
      </c>
      <c r="N8976" t="s">
        <v>45095</v>
      </c>
      <c r="O8976" t="s">
        <v>45096</v>
      </c>
      <c r="P8976">
        <v>0</v>
      </c>
      <c r="Q8976">
        <v>14</v>
      </c>
      <c r="R8976" t="s">
        <v>45104</v>
      </c>
      <c r="S8976" t="s">
        <v>45304</v>
      </c>
      <c r="T8976" t="s">
        <v>47183</v>
      </c>
      <c r="U8976" t="s">
        <v>54904</v>
      </c>
      <c r="W8976" t="s">
        <v>44221</v>
      </c>
      <c r="X8976" t="s">
        <v>45105</v>
      </c>
    </row>
    <row r="8977" spans="1:24">
      <c r="A8977">
        <f>HYPERLINK("https://www.philgeps.gov.ph/GEPSNONPILOT/Tender/SplashBidNoticeAbstractUI.aspx?menuIndex=3&amp;refID=7034270&amp;Result=3","7034270")</f>
        <v>0</v>
      </c>
      <c r="B8977" t="s">
        <v>2490</v>
      </c>
      <c r="C8977" t="s">
        <v>11749</v>
      </c>
      <c r="D8977" t="s">
        <v>18048</v>
      </c>
      <c r="E8977" t="s">
        <v>25968</v>
      </c>
      <c r="F8977" t="s">
        <v>31574</v>
      </c>
      <c r="G8977" t="s">
        <v>31581</v>
      </c>
      <c r="H8977" t="s">
        <v>31590</v>
      </c>
      <c r="I8977" t="s">
        <v>31594</v>
      </c>
      <c r="J8977" t="s">
        <v>37384</v>
      </c>
      <c r="K8977" t="s">
        <v>41186</v>
      </c>
      <c r="M8977" t="s">
        <v>44221</v>
      </c>
      <c r="N8977" t="s">
        <v>45095</v>
      </c>
      <c r="O8977" t="s">
        <v>45096</v>
      </c>
      <c r="P8977">
        <v>0</v>
      </c>
      <c r="Q8977">
        <v>6</v>
      </c>
      <c r="R8977" t="s">
        <v>45104</v>
      </c>
      <c r="S8977" t="s">
        <v>45304</v>
      </c>
      <c r="T8977" t="s">
        <v>47183</v>
      </c>
      <c r="U8977" t="s">
        <v>54905</v>
      </c>
      <c r="W8977" t="s">
        <v>44221</v>
      </c>
      <c r="X8977" t="s">
        <v>45105</v>
      </c>
    </row>
    <row r="8978" spans="1:24">
      <c r="A8978">
        <f>HYPERLINK("https://www.philgeps.gov.ph/GEPSNONPILOT/Tender/SplashBidNoticeAbstractUI.aspx?menuIndex=3&amp;refID=7034326&amp;Result=3","7034326")</f>
        <v>0</v>
      </c>
      <c r="B8978" t="s">
        <v>2500</v>
      </c>
      <c r="C8978" t="s">
        <v>11750</v>
      </c>
      <c r="D8978" t="s">
        <v>18022</v>
      </c>
      <c r="E8978" t="s">
        <v>18377</v>
      </c>
      <c r="F8978" t="s">
        <v>31575</v>
      </c>
      <c r="G8978" t="s">
        <v>31582</v>
      </c>
      <c r="H8978" t="s">
        <v>31590</v>
      </c>
      <c r="I8978" t="s">
        <v>4354</v>
      </c>
      <c r="J8978" t="s">
        <v>37385</v>
      </c>
      <c r="K8978" t="s">
        <v>41193</v>
      </c>
      <c r="M8978" t="s">
        <v>44232</v>
      </c>
      <c r="N8978" t="s">
        <v>45095</v>
      </c>
      <c r="O8978" t="s">
        <v>45096</v>
      </c>
      <c r="P8978">
        <v>0</v>
      </c>
      <c r="Q8978">
        <v>8</v>
      </c>
      <c r="R8978" t="s">
        <v>45104</v>
      </c>
      <c r="S8978" t="s">
        <v>45304</v>
      </c>
      <c r="T8978" t="s">
        <v>46914</v>
      </c>
      <c r="U8978" t="s">
        <v>54906</v>
      </c>
      <c r="W8978" t="s">
        <v>44232</v>
      </c>
      <c r="X8978" t="s">
        <v>45105</v>
      </c>
    </row>
    <row r="8979" spans="1:24">
      <c r="A8979">
        <f>HYPERLINK("https://www.philgeps.gov.ph/GEPSNONPILOT/Tender/SplashBidNoticeAbstractUI.aspx?menuIndex=3&amp;refID=7034302&amp;Result=3","7034302")</f>
        <v>0</v>
      </c>
      <c r="B8979" t="s">
        <v>726</v>
      </c>
      <c r="C8979" t="s">
        <v>11751</v>
      </c>
      <c r="D8979" t="s">
        <v>18058</v>
      </c>
      <c r="E8979" t="s">
        <v>25969</v>
      </c>
      <c r="F8979" t="s">
        <v>31574</v>
      </c>
      <c r="G8979" t="s">
        <v>31585</v>
      </c>
      <c r="H8979" t="s">
        <v>31590</v>
      </c>
      <c r="I8979" t="s">
        <v>4046</v>
      </c>
      <c r="J8979" t="s">
        <v>37386</v>
      </c>
      <c r="K8979" t="s">
        <v>41186</v>
      </c>
      <c r="M8979" t="s">
        <v>44233</v>
      </c>
      <c r="N8979" t="s">
        <v>45095</v>
      </c>
      <c r="O8979" t="s">
        <v>45096</v>
      </c>
      <c r="P8979">
        <v>0</v>
      </c>
      <c r="Q8979">
        <v>1</v>
      </c>
      <c r="R8979" t="s">
        <v>45104</v>
      </c>
      <c r="S8979" t="s">
        <v>45304</v>
      </c>
      <c r="T8979" t="s">
        <v>47168</v>
      </c>
      <c r="U8979" t="s">
        <v>54907</v>
      </c>
      <c r="W8979" t="s">
        <v>44233</v>
      </c>
      <c r="X8979" t="s">
        <v>45105</v>
      </c>
    </row>
    <row r="8980" spans="1:24">
      <c r="A8980">
        <f>HYPERLINK("https://www.philgeps.gov.ph/GEPSNONPILOT/Tender/SplashBidNoticeAbstractUI.aspx?menuIndex=3&amp;refID=7034282&amp;Result=3","7034282")</f>
        <v>0</v>
      </c>
      <c r="B8980" t="s">
        <v>2482</v>
      </c>
      <c r="C8980" t="s">
        <v>11752</v>
      </c>
      <c r="D8980" t="s">
        <v>18064</v>
      </c>
      <c r="E8980" t="s">
        <v>25970</v>
      </c>
      <c r="F8980" t="s">
        <v>31574</v>
      </c>
      <c r="G8980" t="s">
        <v>31581</v>
      </c>
      <c r="H8980" t="s">
        <v>31591</v>
      </c>
      <c r="I8980" t="s">
        <v>31638</v>
      </c>
      <c r="J8980" t="s">
        <v>37387</v>
      </c>
      <c r="K8980" t="s">
        <v>41186</v>
      </c>
      <c r="M8980" t="s">
        <v>44212</v>
      </c>
      <c r="N8980" t="s">
        <v>45095</v>
      </c>
      <c r="O8980" t="s">
        <v>45096</v>
      </c>
      <c r="P8980">
        <v>0</v>
      </c>
      <c r="Q8980">
        <v>1</v>
      </c>
      <c r="R8980" t="s">
        <v>45104</v>
      </c>
      <c r="S8980" t="s">
        <v>45304</v>
      </c>
      <c r="T8980" t="s">
        <v>47159</v>
      </c>
      <c r="U8980" t="s">
        <v>54908</v>
      </c>
      <c r="W8980" t="s">
        <v>44212</v>
      </c>
      <c r="X8980" t="s">
        <v>45105</v>
      </c>
    </row>
    <row r="8981" spans="1:24">
      <c r="A8981">
        <f>HYPERLINK("https://www.philgeps.gov.ph/GEPSNONPILOT/Tender/SplashBidNoticeAbstractUI.aspx?menuIndex=3&amp;refID=7034312&amp;Result=3","7034312")</f>
        <v>0</v>
      </c>
      <c r="B8981" t="s">
        <v>2501</v>
      </c>
      <c r="C8981" t="s">
        <v>11753</v>
      </c>
      <c r="D8981" t="s">
        <v>18041</v>
      </c>
      <c r="E8981" t="s">
        <v>25971</v>
      </c>
      <c r="F8981" t="s">
        <v>31574</v>
      </c>
      <c r="G8981" t="s">
        <v>31581</v>
      </c>
      <c r="H8981" t="s">
        <v>31590</v>
      </c>
      <c r="I8981" t="s">
        <v>4046</v>
      </c>
      <c r="J8981" t="s">
        <v>37388</v>
      </c>
      <c r="K8981" t="s">
        <v>41190</v>
      </c>
      <c r="M8981" t="s">
        <v>44234</v>
      </c>
      <c r="N8981" t="s">
        <v>45095</v>
      </c>
      <c r="O8981" t="s">
        <v>45096</v>
      </c>
      <c r="P8981">
        <v>0</v>
      </c>
      <c r="Q8981">
        <v>0</v>
      </c>
      <c r="R8981" t="s">
        <v>45104</v>
      </c>
      <c r="S8981" t="s">
        <v>45304</v>
      </c>
      <c r="T8981" t="s">
        <v>46988</v>
      </c>
      <c r="U8981" t="s">
        <v>54909</v>
      </c>
      <c r="W8981" t="s">
        <v>44234</v>
      </c>
      <c r="X8981" t="s">
        <v>45105</v>
      </c>
    </row>
    <row r="8982" spans="1:24">
      <c r="A8982">
        <f>HYPERLINK("https://www.philgeps.gov.ph/GEPSNONPILOT/Tender/SplashBidNoticeAbstractUI.aspx?menuIndex=3&amp;refID=7034347&amp;Result=3","7034347")</f>
        <v>0</v>
      </c>
      <c r="B8982" t="s">
        <v>73</v>
      </c>
      <c r="C8982" t="s">
        <v>11754</v>
      </c>
      <c r="D8982" t="s">
        <v>18041</v>
      </c>
      <c r="E8982" t="s">
        <v>25972</v>
      </c>
      <c r="F8982" t="s">
        <v>31574</v>
      </c>
      <c r="G8982" t="s">
        <v>31582</v>
      </c>
      <c r="H8982" t="s">
        <v>31590</v>
      </c>
      <c r="I8982" t="s">
        <v>7185</v>
      </c>
      <c r="J8982" t="s">
        <v>37389</v>
      </c>
      <c r="K8982" t="s">
        <v>41184</v>
      </c>
      <c r="M8982" t="s">
        <v>41557</v>
      </c>
      <c r="N8982" t="s">
        <v>45095</v>
      </c>
      <c r="O8982" t="s">
        <v>45096</v>
      </c>
      <c r="P8982">
        <v>0</v>
      </c>
      <c r="Q8982">
        <v>3</v>
      </c>
      <c r="R8982" t="s">
        <v>45104</v>
      </c>
      <c r="S8982" t="s">
        <v>45304</v>
      </c>
      <c r="T8982" t="s">
        <v>47266</v>
      </c>
      <c r="U8982" t="s">
        <v>54910</v>
      </c>
      <c r="V8982" t="s">
        <v>59867</v>
      </c>
      <c r="W8982" t="s">
        <v>41557</v>
      </c>
      <c r="X8982" t="s">
        <v>45105</v>
      </c>
    </row>
    <row r="8983" spans="1:24">
      <c r="A8983">
        <f>HYPERLINK("https://www.philgeps.gov.ph/GEPSNONPILOT/Tender/SplashBidNoticeAbstractUI.aspx?menuIndex=3&amp;refID=7034357&amp;Result=3","7034357")</f>
        <v>0</v>
      </c>
      <c r="B8983" t="s">
        <v>2489</v>
      </c>
      <c r="C8983" t="s">
        <v>11755</v>
      </c>
      <c r="D8983" t="s">
        <v>18055</v>
      </c>
      <c r="E8983" t="s">
        <v>25973</v>
      </c>
      <c r="F8983" t="s">
        <v>31574</v>
      </c>
      <c r="G8983" t="s">
        <v>31582</v>
      </c>
      <c r="H8983" t="s">
        <v>31591</v>
      </c>
      <c r="I8983" t="s">
        <v>8822</v>
      </c>
      <c r="J8983" t="s">
        <v>32504</v>
      </c>
      <c r="K8983" t="s">
        <v>41246</v>
      </c>
      <c r="L8983" t="s">
        <v>2489</v>
      </c>
      <c r="M8983" t="s">
        <v>44220</v>
      </c>
      <c r="N8983" t="s">
        <v>45095</v>
      </c>
      <c r="O8983" t="s">
        <v>45096</v>
      </c>
      <c r="P8983">
        <v>0</v>
      </c>
      <c r="Q8983">
        <v>7</v>
      </c>
      <c r="R8983" t="s">
        <v>45104</v>
      </c>
      <c r="S8983" t="s">
        <v>45304</v>
      </c>
      <c r="T8983" t="s">
        <v>47100</v>
      </c>
      <c r="U8983" t="s">
        <v>54911</v>
      </c>
      <c r="W8983" t="s">
        <v>44220</v>
      </c>
      <c r="X8983" t="s">
        <v>45105</v>
      </c>
    </row>
    <row r="8984" spans="1:24">
      <c r="A8984">
        <f>HYPERLINK("https://www.philgeps.gov.ph/GEPSNONPILOT/Tender/SplashBidNoticeAbstractUI.aspx?menuIndex=3&amp;refID=7034344&amp;Result=3","7034344")</f>
        <v>0</v>
      </c>
      <c r="B8984" t="s">
        <v>2502</v>
      </c>
      <c r="C8984" t="s">
        <v>4999</v>
      </c>
      <c r="D8984" t="s">
        <v>18027</v>
      </c>
      <c r="E8984" t="s">
        <v>19831</v>
      </c>
      <c r="F8984" t="s">
        <v>31574</v>
      </c>
      <c r="G8984" t="s">
        <v>31582</v>
      </c>
      <c r="H8984" t="s">
        <v>31590</v>
      </c>
      <c r="I8984" t="s">
        <v>3487</v>
      </c>
      <c r="J8984" t="s">
        <v>37390</v>
      </c>
      <c r="K8984" t="s">
        <v>41184</v>
      </c>
      <c r="M8984" t="s">
        <v>44235</v>
      </c>
      <c r="N8984" t="s">
        <v>45095</v>
      </c>
      <c r="O8984" t="s">
        <v>45096</v>
      </c>
      <c r="P8984">
        <v>0</v>
      </c>
      <c r="Q8984">
        <v>0</v>
      </c>
      <c r="R8984" t="s">
        <v>45104</v>
      </c>
      <c r="S8984" t="s">
        <v>45304</v>
      </c>
      <c r="T8984" t="s">
        <v>47191</v>
      </c>
      <c r="U8984" t="s">
        <v>54912</v>
      </c>
      <c r="W8984" t="s">
        <v>44235</v>
      </c>
      <c r="X8984" t="s">
        <v>45105</v>
      </c>
    </row>
    <row r="8985" spans="1:24">
      <c r="A8985">
        <f>HYPERLINK("https://www.philgeps.gov.ph/GEPSNONPILOT/Tender/SplashBidNoticeAbstractUI.aspx?menuIndex=3&amp;refID=7034350&amp;Result=3","7034350")</f>
        <v>0</v>
      </c>
      <c r="B8985" t="s">
        <v>89</v>
      </c>
      <c r="C8985" t="s">
        <v>4947</v>
      </c>
      <c r="D8985" t="s">
        <v>18059</v>
      </c>
      <c r="E8985" t="s">
        <v>25974</v>
      </c>
      <c r="F8985" t="s">
        <v>31574</v>
      </c>
      <c r="G8985" t="s">
        <v>31582</v>
      </c>
      <c r="H8985" t="s">
        <v>31590</v>
      </c>
      <c r="I8985" t="s">
        <v>6800</v>
      </c>
      <c r="J8985" t="s">
        <v>37391</v>
      </c>
      <c r="K8985" t="s">
        <v>41184</v>
      </c>
      <c r="M8985" t="s">
        <v>41573</v>
      </c>
      <c r="N8985" t="s">
        <v>45095</v>
      </c>
      <c r="O8985" t="s">
        <v>45096</v>
      </c>
      <c r="P8985">
        <v>0</v>
      </c>
      <c r="Q8985">
        <v>0</v>
      </c>
      <c r="R8985" t="s">
        <v>45104</v>
      </c>
      <c r="S8985" t="s">
        <v>45304</v>
      </c>
      <c r="T8985" t="s">
        <v>47076</v>
      </c>
      <c r="U8985" t="s">
        <v>49035</v>
      </c>
      <c r="W8985" t="s">
        <v>41573</v>
      </c>
      <c r="X8985" t="s">
        <v>45105</v>
      </c>
    </row>
    <row r="8986" spans="1:24">
      <c r="A8986">
        <f>HYPERLINK("https://www.philgeps.gov.ph/GEPSNONPILOT/Tender/SplashBidNoticeAbstractUI.aspx?menuIndex=3&amp;refID=7034328&amp;Result=3","7034328")</f>
        <v>0</v>
      </c>
      <c r="B8986" t="s">
        <v>62</v>
      </c>
      <c r="C8986" t="s">
        <v>11756</v>
      </c>
      <c r="D8986" t="s">
        <v>18037</v>
      </c>
      <c r="E8986" t="s">
        <v>25975</v>
      </c>
      <c r="F8986" t="s">
        <v>31574</v>
      </c>
      <c r="G8986" t="s">
        <v>31588</v>
      </c>
      <c r="H8986" t="s">
        <v>31593</v>
      </c>
      <c r="I8986" t="s">
        <v>31593</v>
      </c>
      <c r="J8986" t="s">
        <v>37392</v>
      </c>
      <c r="K8986" t="s">
        <v>41184</v>
      </c>
      <c r="L8986" t="s">
        <v>62</v>
      </c>
      <c r="M8986" t="s">
        <v>43390</v>
      </c>
      <c r="N8986" t="s">
        <v>45095</v>
      </c>
      <c r="O8986" t="s">
        <v>45096</v>
      </c>
      <c r="Q8986">
        <v>4</v>
      </c>
      <c r="R8986" t="s">
        <v>45104</v>
      </c>
      <c r="S8986" t="s">
        <v>45328</v>
      </c>
      <c r="T8986" t="s">
        <v>47353</v>
      </c>
      <c r="U8986" t="s">
        <v>54913</v>
      </c>
      <c r="W8986" t="s">
        <v>43390</v>
      </c>
      <c r="X8986" t="s">
        <v>45105</v>
      </c>
    </row>
    <row r="8987" spans="1:24">
      <c r="A8987">
        <f>HYPERLINK("https://www.philgeps.gov.ph/GEPSNONPILOT/Tender/SplashBidNoticeAbstractUI.aspx?menuIndex=3&amp;refID=7034353&amp;Result=3","7034353")</f>
        <v>0</v>
      </c>
      <c r="B8987" t="s">
        <v>2503</v>
      </c>
      <c r="C8987" t="s">
        <v>11757</v>
      </c>
      <c r="D8987" t="s">
        <v>18066</v>
      </c>
      <c r="E8987" t="s">
        <v>18422</v>
      </c>
      <c r="F8987" t="s">
        <v>31574</v>
      </c>
      <c r="G8987" t="s">
        <v>31582</v>
      </c>
      <c r="H8987" t="s">
        <v>31591</v>
      </c>
      <c r="I8987" t="s">
        <v>8822</v>
      </c>
      <c r="J8987" t="s">
        <v>36742</v>
      </c>
      <c r="K8987" t="s">
        <v>41191</v>
      </c>
      <c r="M8987" t="s">
        <v>44236</v>
      </c>
      <c r="N8987" t="s">
        <v>45095</v>
      </c>
      <c r="O8987" t="s">
        <v>45096</v>
      </c>
      <c r="P8987">
        <v>0</v>
      </c>
      <c r="Q8987">
        <v>0</v>
      </c>
      <c r="R8987" t="s">
        <v>45104</v>
      </c>
      <c r="S8987" t="s">
        <v>45304</v>
      </c>
      <c r="T8987" t="s">
        <v>47154</v>
      </c>
      <c r="U8987" t="s">
        <v>54914</v>
      </c>
      <c r="W8987" t="s">
        <v>44236</v>
      </c>
      <c r="X8987" t="s">
        <v>45105</v>
      </c>
    </row>
    <row r="8988" spans="1:24">
      <c r="A8988">
        <f>HYPERLINK("https://www.philgeps.gov.ph/GEPSNONPILOT/Tender/SplashBidNoticeAbstractUI.aspx?menuIndex=3&amp;refID=7034342&amp;Result=3","7034342")</f>
        <v>0</v>
      </c>
      <c r="B8988" t="s">
        <v>2495</v>
      </c>
      <c r="C8988" t="s">
        <v>11758</v>
      </c>
      <c r="E8988" t="s">
        <v>25976</v>
      </c>
      <c r="F8988" t="s">
        <v>31575</v>
      </c>
      <c r="G8988" t="s">
        <v>31581</v>
      </c>
      <c r="H8988" t="s">
        <v>31590</v>
      </c>
      <c r="I8988" t="s">
        <v>31621</v>
      </c>
      <c r="J8988" t="s">
        <v>37393</v>
      </c>
      <c r="K8988" t="s">
        <v>41189</v>
      </c>
      <c r="M8988" t="s">
        <v>44226</v>
      </c>
      <c r="N8988" t="s">
        <v>45095</v>
      </c>
      <c r="O8988" t="s">
        <v>45096</v>
      </c>
      <c r="P8988">
        <v>0</v>
      </c>
      <c r="Q8988">
        <v>1</v>
      </c>
      <c r="R8988" t="s">
        <v>45104</v>
      </c>
      <c r="S8988" t="s">
        <v>45304</v>
      </c>
      <c r="T8988" t="s">
        <v>47154</v>
      </c>
      <c r="U8988" t="s">
        <v>54891</v>
      </c>
      <c r="W8988" t="s">
        <v>44226</v>
      </c>
      <c r="X8988" t="s">
        <v>45105</v>
      </c>
    </row>
    <row r="8989" spans="1:24">
      <c r="A8989">
        <f>HYPERLINK("https://www.philgeps.gov.ph/GEPSNONPILOT/Tender/SplashBidNoticeAbstractUI.aspx?menuIndex=3&amp;refID=7034382&amp;Result=3","7034382")</f>
        <v>0</v>
      </c>
      <c r="B8989" t="s">
        <v>62</v>
      </c>
      <c r="C8989" t="s">
        <v>11759</v>
      </c>
      <c r="D8989" t="s">
        <v>18043</v>
      </c>
      <c r="E8989" t="s">
        <v>25977</v>
      </c>
      <c r="F8989" t="s">
        <v>31574</v>
      </c>
      <c r="G8989" t="s">
        <v>31588</v>
      </c>
      <c r="H8989" t="s">
        <v>31593</v>
      </c>
      <c r="I8989" t="s">
        <v>31593</v>
      </c>
      <c r="J8989" t="s">
        <v>37394</v>
      </c>
      <c r="K8989" t="s">
        <v>41184</v>
      </c>
      <c r="L8989" t="s">
        <v>62</v>
      </c>
      <c r="M8989" t="s">
        <v>43390</v>
      </c>
      <c r="N8989" t="s">
        <v>45095</v>
      </c>
      <c r="O8989" t="s">
        <v>45096</v>
      </c>
      <c r="Q8989">
        <v>4</v>
      </c>
      <c r="R8989" t="s">
        <v>45104</v>
      </c>
      <c r="S8989" t="s">
        <v>45329</v>
      </c>
      <c r="T8989" t="s">
        <v>47018</v>
      </c>
      <c r="U8989" t="s">
        <v>54915</v>
      </c>
      <c r="W8989" t="s">
        <v>43390</v>
      </c>
      <c r="X8989" t="s">
        <v>45105</v>
      </c>
    </row>
    <row r="8990" spans="1:24">
      <c r="A8990">
        <f>HYPERLINK("https://www.philgeps.gov.ph/GEPSNONPILOT/Tender/SplashBidNoticeAbstractUI.aspx?menuIndex=3&amp;refID=7034380&amp;Result=3","7034380")</f>
        <v>0</v>
      </c>
      <c r="B8990" t="s">
        <v>951</v>
      </c>
      <c r="C8990" t="s">
        <v>11760</v>
      </c>
      <c r="D8990" t="s">
        <v>18074</v>
      </c>
      <c r="E8990" t="s">
        <v>25978</v>
      </c>
      <c r="F8990" t="s">
        <v>31574</v>
      </c>
      <c r="G8990" t="s">
        <v>31582</v>
      </c>
      <c r="H8990" t="s">
        <v>31590</v>
      </c>
      <c r="I8990" t="s">
        <v>31600</v>
      </c>
      <c r="J8990" t="s">
        <v>37395</v>
      </c>
      <c r="K8990" t="s">
        <v>41190</v>
      </c>
      <c r="M8990" t="s">
        <v>42478</v>
      </c>
      <c r="N8990" t="s">
        <v>45095</v>
      </c>
      <c r="O8990" t="s">
        <v>45096</v>
      </c>
      <c r="P8990">
        <v>0</v>
      </c>
      <c r="Q8990">
        <v>1</v>
      </c>
      <c r="R8990" t="s">
        <v>45104</v>
      </c>
      <c r="S8990" t="s">
        <v>45304</v>
      </c>
      <c r="T8990" t="s">
        <v>47158</v>
      </c>
      <c r="U8990" t="s">
        <v>54916</v>
      </c>
      <c r="V8990" t="s">
        <v>60083</v>
      </c>
      <c r="W8990" t="s">
        <v>42478</v>
      </c>
      <c r="X8990" t="s">
        <v>45105</v>
      </c>
    </row>
    <row r="8991" spans="1:24">
      <c r="A8991">
        <f>HYPERLINK("https://www.philgeps.gov.ph/GEPSNONPILOT/Tender/SplashBidNoticeAbstractUI.aspx?menuIndex=3&amp;refID=7034338&amp;Result=3","7034338")</f>
        <v>0</v>
      </c>
      <c r="B8991" t="s">
        <v>2490</v>
      </c>
      <c r="C8991" t="s">
        <v>11761</v>
      </c>
      <c r="D8991" t="s">
        <v>18048</v>
      </c>
      <c r="E8991" t="s">
        <v>25979</v>
      </c>
      <c r="F8991" t="s">
        <v>31574</v>
      </c>
      <c r="G8991" t="s">
        <v>31581</v>
      </c>
      <c r="H8991" t="s">
        <v>31590</v>
      </c>
      <c r="I8991" t="s">
        <v>31608</v>
      </c>
      <c r="J8991" t="s">
        <v>35082</v>
      </c>
      <c r="K8991" t="s">
        <v>41186</v>
      </c>
      <c r="M8991" t="s">
        <v>44221</v>
      </c>
      <c r="N8991" t="s">
        <v>45095</v>
      </c>
      <c r="O8991" t="s">
        <v>45096</v>
      </c>
      <c r="P8991">
        <v>0</v>
      </c>
      <c r="Q8991">
        <v>2</v>
      </c>
      <c r="R8991" t="s">
        <v>45104</v>
      </c>
      <c r="S8991" t="s">
        <v>45304</v>
      </c>
      <c r="T8991" t="s">
        <v>47183</v>
      </c>
      <c r="U8991" t="s">
        <v>54917</v>
      </c>
      <c r="W8991" t="s">
        <v>44221</v>
      </c>
      <c r="X8991" t="s">
        <v>45105</v>
      </c>
    </row>
    <row r="8992" spans="1:24">
      <c r="A8992">
        <f>HYPERLINK("https://www.philgeps.gov.ph/GEPSNONPILOT/Tender/SplashBidNoticeAbstractUI.aspx?menuIndex=3&amp;refID=7034372&amp;Result=3","7034372")</f>
        <v>0</v>
      </c>
      <c r="B8992" t="s">
        <v>1368</v>
      </c>
      <c r="C8992" t="s">
        <v>11762</v>
      </c>
      <c r="D8992" t="s">
        <v>18031</v>
      </c>
      <c r="E8992" t="s">
        <v>19701</v>
      </c>
      <c r="F8992" t="s">
        <v>31574</v>
      </c>
      <c r="G8992" t="s">
        <v>31587</v>
      </c>
      <c r="H8992" t="s">
        <v>31593</v>
      </c>
      <c r="I8992" t="s">
        <v>31593</v>
      </c>
      <c r="J8992" t="s">
        <v>37396</v>
      </c>
      <c r="K8992" t="s">
        <v>41316</v>
      </c>
      <c r="M8992" t="s">
        <v>42941</v>
      </c>
      <c r="N8992" t="s">
        <v>45095</v>
      </c>
      <c r="O8992" t="s">
        <v>45096</v>
      </c>
      <c r="P8992">
        <v>0</v>
      </c>
      <c r="Q8992">
        <v>0</v>
      </c>
      <c r="R8992" t="s">
        <v>45104</v>
      </c>
      <c r="S8992" t="s">
        <v>45304</v>
      </c>
      <c r="T8992" t="s">
        <v>47176</v>
      </c>
      <c r="U8992" t="s">
        <v>54918</v>
      </c>
      <c r="W8992" t="s">
        <v>42941</v>
      </c>
      <c r="X8992" t="s">
        <v>45105</v>
      </c>
    </row>
    <row r="8993" spans="1:24">
      <c r="A8993">
        <f>HYPERLINK("https://www.philgeps.gov.ph/GEPSNONPILOT/Tender/SplashBidNoticeAbstractUI.aspx?menuIndex=3&amp;refID=7034356&amp;Result=3","7034356")</f>
        <v>0</v>
      </c>
      <c r="B8993" t="s">
        <v>1703</v>
      </c>
      <c r="C8993" t="s">
        <v>11763</v>
      </c>
      <c r="D8993" t="s">
        <v>18035</v>
      </c>
      <c r="E8993" t="s">
        <v>25980</v>
      </c>
      <c r="F8993" t="s">
        <v>31574</v>
      </c>
      <c r="G8993" t="s">
        <v>31582</v>
      </c>
      <c r="H8993" t="s">
        <v>31590</v>
      </c>
      <c r="I8993" t="s">
        <v>31691</v>
      </c>
      <c r="J8993" t="s">
        <v>37397</v>
      </c>
      <c r="K8993" t="s">
        <v>41196</v>
      </c>
      <c r="M8993" t="s">
        <v>43319</v>
      </c>
      <c r="N8993" t="s">
        <v>45095</v>
      </c>
      <c r="O8993" t="s">
        <v>45096</v>
      </c>
      <c r="P8993">
        <v>0</v>
      </c>
      <c r="Q8993">
        <v>3</v>
      </c>
      <c r="R8993" t="s">
        <v>45104</v>
      </c>
      <c r="S8993" t="s">
        <v>45304</v>
      </c>
      <c r="T8993" t="s">
        <v>47000</v>
      </c>
      <c r="U8993" t="s">
        <v>54919</v>
      </c>
      <c r="W8993" t="s">
        <v>61742</v>
      </c>
      <c r="X8993" t="s">
        <v>45105</v>
      </c>
    </row>
    <row r="8994" spans="1:24">
      <c r="A8994">
        <f>HYPERLINK("https://www.philgeps.gov.ph/GEPSNONPILOT/Tender/SplashBidNoticeAbstractUI.aspx?menuIndex=3&amp;refID=7034401&amp;Result=3","7034401")</f>
        <v>0</v>
      </c>
      <c r="B8994" t="s">
        <v>1554</v>
      </c>
      <c r="C8994" t="s">
        <v>11764</v>
      </c>
      <c r="D8994" t="s">
        <v>18056</v>
      </c>
      <c r="E8994" t="s">
        <v>25981</v>
      </c>
      <c r="F8994" t="s">
        <v>31574</v>
      </c>
      <c r="G8994" t="s">
        <v>31582</v>
      </c>
      <c r="H8994" t="s">
        <v>31590</v>
      </c>
      <c r="I8994" t="s">
        <v>31653</v>
      </c>
      <c r="J8994" t="s">
        <v>37398</v>
      </c>
      <c r="K8994" t="s">
        <v>41198</v>
      </c>
      <c r="M8994" t="s">
        <v>44237</v>
      </c>
      <c r="N8994" t="s">
        <v>45095</v>
      </c>
      <c r="O8994" t="s">
        <v>45096</v>
      </c>
      <c r="Q8994">
        <v>0</v>
      </c>
      <c r="R8994" t="s">
        <v>45104</v>
      </c>
      <c r="S8994" t="s">
        <v>45330</v>
      </c>
      <c r="T8994" t="s">
        <v>47000</v>
      </c>
      <c r="U8994" t="s">
        <v>54920</v>
      </c>
      <c r="V8994" t="s">
        <v>60775</v>
      </c>
      <c r="W8994" t="s">
        <v>44237</v>
      </c>
      <c r="X8994" t="s">
        <v>45105</v>
      </c>
    </row>
    <row r="8995" spans="1:24">
      <c r="A8995">
        <f>HYPERLINK("https://www.philgeps.gov.ph/GEPSNONPILOT/Tender/SplashBidNoticeAbstractUI.aspx?menuIndex=3&amp;refID=7034279&amp;Result=3","7034279")</f>
        <v>0</v>
      </c>
      <c r="B8995" t="s">
        <v>334</v>
      </c>
      <c r="C8995" t="s">
        <v>11765</v>
      </c>
      <c r="D8995" t="s">
        <v>18050</v>
      </c>
      <c r="E8995" t="s">
        <v>25982</v>
      </c>
      <c r="F8995" t="s">
        <v>31574</v>
      </c>
      <c r="G8995" t="s">
        <v>31581</v>
      </c>
      <c r="H8995" t="s">
        <v>31590</v>
      </c>
      <c r="I8995" t="s">
        <v>3489</v>
      </c>
      <c r="J8995" t="s">
        <v>32918</v>
      </c>
      <c r="K8995" t="s">
        <v>41210</v>
      </c>
      <c r="M8995" t="s">
        <v>41822</v>
      </c>
      <c r="N8995" t="s">
        <v>45095</v>
      </c>
      <c r="O8995" t="s">
        <v>45096</v>
      </c>
      <c r="P8995">
        <v>0</v>
      </c>
      <c r="Q8995">
        <v>0</v>
      </c>
      <c r="R8995" t="s">
        <v>45104</v>
      </c>
      <c r="S8995" t="s">
        <v>45304</v>
      </c>
      <c r="T8995" t="s">
        <v>46936</v>
      </c>
      <c r="U8995" t="s">
        <v>54921</v>
      </c>
      <c r="W8995" t="s">
        <v>61663</v>
      </c>
      <c r="X8995" t="s">
        <v>45105</v>
      </c>
    </row>
    <row r="8996" spans="1:24">
      <c r="A8996">
        <f>HYPERLINK("https://www.philgeps.gov.ph/GEPSNONPILOT/Tender/SplashBidNoticeAbstractUI.aspx?menuIndex=3&amp;refID=7034378&amp;Result=3","7034378")</f>
        <v>0</v>
      </c>
      <c r="B8996" t="s">
        <v>89</v>
      </c>
      <c r="C8996" t="s">
        <v>11766</v>
      </c>
      <c r="D8996" t="s">
        <v>18059</v>
      </c>
      <c r="E8996" t="s">
        <v>25983</v>
      </c>
      <c r="F8996" t="s">
        <v>31574</v>
      </c>
      <c r="G8996" t="s">
        <v>31582</v>
      </c>
      <c r="H8996" t="s">
        <v>31590</v>
      </c>
      <c r="I8996" t="s">
        <v>4327</v>
      </c>
      <c r="J8996" t="s">
        <v>31754</v>
      </c>
      <c r="K8996" t="s">
        <v>41184</v>
      </c>
      <c r="M8996" t="s">
        <v>41573</v>
      </c>
      <c r="N8996" t="s">
        <v>45095</v>
      </c>
      <c r="O8996" t="s">
        <v>45096</v>
      </c>
      <c r="P8996">
        <v>0</v>
      </c>
      <c r="Q8996">
        <v>0</v>
      </c>
      <c r="R8996" t="s">
        <v>45104</v>
      </c>
      <c r="S8996" t="s">
        <v>45304</v>
      </c>
      <c r="T8996" t="s">
        <v>47076</v>
      </c>
      <c r="U8996" t="s">
        <v>49035</v>
      </c>
      <c r="W8996" t="s">
        <v>41573</v>
      </c>
      <c r="X8996" t="s">
        <v>45105</v>
      </c>
    </row>
    <row r="8997" spans="1:24">
      <c r="A8997">
        <f>HYPERLINK("https://www.philgeps.gov.ph/GEPSNONPILOT/Tender/SplashBidNoticeAbstractUI.aspx?menuIndex=3&amp;refID=7034361&amp;Result=3","7034361")</f>
        <v>0</v>
      </c>
      <c r="B8997" t="s">
        <v>720</v>
      </c>
      <c r="C8997" t="s">
        <v>11767</v>
      </c>
      <c r="D8997" t="s">
        <v>18048</v>
      </c>
      <c r="E8997" t="s">
        <v>25984</v>
      </c>
      <c r="F8997" t="s">
        <v>31574</v>
      </c>
      <c r="G8997" t="s">
        <v>31582</v>
      </c>
      <c r="H8997" t="s">
        <v>31591</v>
      </c>
      <c r="I8997" t="s">
        <v>4046</v>
      </c>
      <c r="J8997" t="s">
        <v>37399</v>
      </c>
      <c r="K8997" t="s">
        <v>41185</v>
      </c>
      <c r="M8997" t="s">
        <v>42230</v>
      </c>
      <c r="N8997" t="s">
        <v>45095</v>
      </c>
      <c r="O8997" t="s">
        <v>45096</v>
      </c>
      <c r="P8997">
        <v>0</v>
      </c>
      <c r="Q8997">
        <v>0</v>
      </c>
      <c r="R8997" t="s">
        <v>45104</v>
      </c>
      <c r="S8997" t="s">
        <v>45304</v>
      </c>
      <c r="T8997" t="s">
        <v>47043</v>
      </c>
      <c r="U8997" t="s">
        <v>54922</v>
      </c>
      <c r="W8997" t="s">
        <v>42230</v>
      </c>
      <c r="X8997" t="s">
        <v>45105</v>
      </c>
    </row>
    <row r="8998" spans="1:24">
      <c r="A8998">
        <f>HYPERLINK("https://www.philgeps.gov.ph/GEPSNONPILOT/Tender/SplashBidNoticeAbstractUI.aspx?menuIndex=3&amp;refID=7034391&amp;Result=3","7034391")</f>
        <v>0</v>
      </c>
      <c r="B8998" t="s">
        <v>73</v>
      </c>
      <c r="C8998" t="s">
        <v>11768</v>
      </c>
      <c r="D8998" t="s">
        <v>18041</v>
      </c>
      <c r="E8998" t="s">
        <v>25985</v>
      </c>
      <c r="F8998" t="s">
        <v>31574</v>
      </c>
      <c r="G8998" t="s">
        <v>31582</v>
      </c>
      <c r="H8998" t="s">
        <v>31590</v>
      </c>
      <c r="I8998" t="s">
        <v>31672</v>
      </c>
      <c r="J8998" t="s">
        <v>31935</v>
      </c>
      <c r="K8998" t="s">
        <v>41184</v>
      </c>
      <c r="M8998" t="s">
        <v>41557</v>
      </c>
      <c r="N8998" t="s">
        <v>45095</v>
      </c>
      <c r="O8998" t="s">
        <v>45096</v>
      </c>
      <c r="P8998">
        <v>0</v>
      </c>
      <c r="Q8998">
        <v>1</v>
      </c>
      <c r="R8998" t="s">
        <v>45104</v>
      </c>
      <c r="S8998" t="s">
        <v>45304</v>
      </c>
      <c r="T8998" t="s">
        <v>47266</v>
      </c>
      <c r="U8998" t="s">
        <v>54923</v>
      </c>
      <c r="V8998" t="s">
        <v>59867</v>
      </c>
      <c r="W8998" t="s">
        <v>41557</v>
      </c>
      <c r="X8998" t="s">
        <v>45105</v>
      </c>
    </row>
    <row r="8999" spans="1:24">
      <c r="A8999">
        <f>HYPERLINK("https://www.philgeps.gov.ph/GEPSNONPILOT/Tender/SplashBidNoticeAbstractUI.aspx?menuIndex=3&amp;refID=7034402&amp;Result=3","7034402")</f>
        <v>0</v>
      </c>
      <c r="B8999" t="s">
        <v>2437</v>
      </c>
      <c r="C8999" t="s">
        <v>11769</v>
      </c>
      <c r="D8999" t="s">
        <v>18079</v>
      </c>
      <c r="E8999" t="s">
        <v>25986</v>
      </c>
      <c r="F8999" t="s">
        <v>31574</v>
      </c>
      <c r="G8999" t="s">
        <v>31588</v>
      </c>
      <c r="H8999" t="s">
        <v>31591</v>
      </c>
      <c r="I8999" t="s">
        <v>8822</v>
      </c>
      <c r="J8999" t="s">
        <v>37400</v>
      </c>
      <c r="K8999" t="s">
        <v>41186</v>
      </c>
      <c r="M8999" t="s">
        <v>44164</v>
      </c>
      <c r="N8999" t="s">
        <v>45095</v>
      </c>
      <c r="O8999" t="s">
        <v>45096</v>
      </c>
      <c r="P8999">
        <v>0</v>
      </c>
      <c r="Q8999">
        <v>0</v>
      </c>
      <c r="R8999" t="s">
        <v>45104</v>
      </c>
      <c r="S8999" t="s">
        <v>45304</v>
      </c>
      <c r="T8999" t="s">
        <v>47000</v>
      </c>
      <c r="U8999" t="s">
        <v>54924</v>
      </c>
      <c r="W8999" t="s">
        <v>44164</v>
      </c>
      <c r="X8999" t="s">
        <v>45105</v>
      </c>
    </row>
    <row r="9000" spans="1:24">
      <c r="A9000">
        <f>HYPERLINK("https://www.philgeps.gov.ph/GEPSNONPILOT/Tender/SplashBidNoticeAbstractUI.aspx?menuIndex=3&amp;refID=7034358&amp;Result=3","7034358")</f>
        <v>0</v>
      </c>
      <c r="B9000" t="s">
        <v>497</v>
      </c>
      <c r="C9000" t="s">
        <v>11770</v>
      </c>
      <c r="D9000" t="s">
        <v>18052</v>
      </c>
      <c r="E9000" t="s">
        <v>25987</v>
      </c>
      <c r="F9000" t="s">
        <v>31574</v>
      </c>
      <c r="G9000" t="s">
        <v>31582</v>
      </c>
      <c r="H9000" t="s">
        <v>31590</v>
      </c>
      <c r="I9000" t="s">
        <v>4327</v>
      </c>
      <c r="J9000" t="s">
        <v>37401</v>
      </c>
      <c r="K9000" t="s">
        <v>41186</v>
      </c>
      <c r="M9000" t="s">
        <v>41993</v>
      </c>
      <c r="N9000" t="s">
        <v>45095</v>
      </c>
      <c r="O9000" t="s">
        <v>45096</v>
      </c>
      <c r="P9000">
        <v>0</v>
      </c>
      <c r="Q9000">
        <v>0</v>
      </c>
      <c r="R9000" t="s">
        <v>45104</v>
      </c>
      <c r="S9000" t="s">
        <v>45304</v>
      </c>
      <c r="T9000" t="s">
        <v>47010</v>
      </c>
      <c r="U9000" t="s">
        <v>54925</v>
      </c>
      <c r="W9000" t="s">
        <v>41993</v>
      </c>
      <c r="X9000" t="s">
        <v>45105</v>
      </c>
    </row>
    <row r="9001" spans="1:24">
      <c r="A9001">
        <f>HYPERLINK("https://www.philgeps.gov.ph/GEPSNONPILOT/Tender/SplashBidNoticeAbstractUI.aspx?menuIndex=3&amp;refID=7034370&amp;Result=3","7034370")</f>
        <v>0</v>
      </c>
      <c r="B9001" t="s">
        <v>1971</v>
      </c>
      <c r="C9001" t="s">
        <v>11771</v>
      </c>
      <c r="D9001" t="s">
        <v>18027</v>
      </c>
      <c r="E9001" t="s">
        <v>25988</v>
      </c>
      <c r="F9001" t="s">
        <v>31574</v>
      </c>
      <c r="G9001" t="s">
        <v>31582</v>
      </c>
      <c r="H9001" t="s">
        <v>31591</v>
      </c>
      <c r="I9001" t="s">
        <v>8822</v>
      </c>
      <c r="J9001" t="s">
        <v>37402</v>
      </c>
      <c r="K9001" t="s">
        <v>41375</v>
      </c>
      <c r="M9001" t="s">
        <v>43628</v>
      </c>
      <c r="N9001" t="s">
        <v>45095</v>
      </c>
      <c r="O9001" t="s">
        <v>45096</v>
      </c>
      <c r="P9001">
        <v>0</v>
      </c>
      <c r="Q9001">
        <v>1</v>
      </c>
      <c r="R9001" t="s">
        <v>45104</v>
      </c>
      <c r="S9001" t="s">
        <v>45304</v>
      </c>
      <c r="T9001" t="s">
        <v>46988</v>
      </c>
      <c r="U9001" t="s">
        <v>54926</v>
      </c>
      <c r="W9001" t="s">
        <v>43628</v>
      </c>
      <c r="X9001" t="s">
        <v>45105</v>
      </c>
    </row>
    <row r="9002" spans="1:24">
      <c r="A9002">
        <f>HYPERLINK("https://www.philgeps.gov.ph/GEPSNONPILOT/Tender/SplashBidNoticeAbstractUI.aspx?menuIndex=3&amp;refID=7034435&amp;Result=3","7034435")</f>
        <v>0</v>
      </c>
      <c r="B9002" t="s">
        <v>73</v>
      </c>
      <c r="C9002" t="s">
        <v>11772</v>
      </c>
      <c r="D9002" t="s">
        <v>18041</v>
      </c>
      <c r="E9002" t="s">
        <v>25989</v>
      </c>
      <c r="F9002" t="s">
        <v>31574</v>
      </c>
      <c r="G9002" t="s">
        <v>31582</v>
      </c>
      <c r="H9002" t="s">
        <v>31590</v>
      </c>
      <c r="I9002" t="s">
        <v>4046</v>
      </c>
      <c r="J9002" t="s">
        <v>37403</v>
      </c>
      <c r="K9002" t="s">
        <v>41184</v>
      </c>
      <c r="M9002" t="s">
        <v>41557</v>
      </c>
      <c r="N9002" t="s">
        <v>45095</v>
      </c>
      <c r="O9002" t="s">
        <v>45096</v>
      </c>
      <c r="P9002">
        <v>0</v>
      </c>
      <c r="Q9002">
        <v>1</v>
      </c>
      <c r="R9002" t="s">
        <v>45104</v>
      </c>
      <c r="S9002" t="s">
        <v>45304</v>
      </c>
      <c r="T9002" t="s">
        <v>47266</v>
      </c>
      <c r="U9002" t="s">
        <v>54927</v>
      </c>
      <c r="V9002" t="s">
        <v>59867</v>
      </c>
      <c r="W9002" t="s">
        <v>41557</v>
      </c>
      <c r="X9002" t="s">
        <v>45105</v>
      </c>
    </row>
    <row r="9003" spans="1:24">
      <c r="A9003">
        <f>HYPERLINK("https://www.philgeps.gov.ph/GEPSNONPILOT/Tender/SplashBidNoticeAbstractUI.aspx?menuIndex=3&amp;refID=7034407&amp;Result=3","7034407")</f>
        <v>0</v>
      </c>
      <c r="B9003" t="s">
        <v>62</v>
      </c>
      <c r="C9003" t="s">
        <v>11773</v>
      </c>
      <c r="D9003" t="s">
        <v>18037</v>
      </c>
      <c r="E9003" t="s">
        <v>25990</v>
      </c>
      <c r="F9003" t="s">
        <v>31574</v>
      </c>
      <c r="G9003" t="s">
        <v>31588</v>
      </c>
      <c r="H9003" t="s">
        <v>31593</v>
      </c>
      <c r="I9003" t="s">
        <v>31593</v>
      </c>
      <c r="J9003" t="s">
        <v>37404</v>
      </c>
      <c r="K9003" t="s">
        <v>41184</v>
      </c>
      <c r="L9003" t="s">
        <v>62</v>
      </c>
      <c r="M9003" t="s">
        <v>43390</v>
      </c>
      <c r="N9003" t="s">
        <v>45095</v>
      </c>
      <c r="O9003" t="s">
        <v>45096</v>
      </c>
      <c r="Q9003">
        <v>4</v>
      </c>
      <c r="R9003" t="s">
        <v>45104</v>
      </c>
      <c r="S9003" t="s">
        <v>45331</v>
      </c>
      <c r="T9003" t="s">
        <v>47018</v>
      </c>
      <c r="U9003" t="s">
        <v>54928</v>
      </c>
      <c r="W9003" t="s">
        <v>43390</v>
      </c>
      <c r="X9003" t="s">
        <v>45105</v>
      </c>
    </row>
    <row r="9004" spans="1:24">
      <c r="A9004">
        <f>HYPERLINK("https://www.philgeps.gov.ph/GEPSNONPILOT/Tender/SplashBidNoticeAbstractUI.aspx?menuIndex=3&amp;refID=7034408&amp;Result=3","7034408")</f>
        <v>0</v>
      </c>
      <c r="B9004" t="s">
        <v>2503</v>
      </c>
      <c r="C9004" t="s">
        <v>11774</v>
      </c>
      <c r="D9004" t="s">
        <v>18066</v>
      </c>
      <c r="E9004" t="s">
        <v>18788</v>
      </c>
      <c r="F9004" t="s">
        <v>31574</v>
      </c>
      <c r="G9004" t="s">
        <v>31582</v>
      </c>
      <c r="H9004" t="s">
        <v>31591</v>
      </c>
      <c r="I9004" t="s">
        <v>8822</v>
      </c>
      <c r="J9004" t="s">
        <v>31782</v>
      </c>
      <c r="K9004" t="s">
        <v>41191</v>
      </c>
      <c r="M9004" t="s">
        <v>44236</v>
      </c>
      <c r="N9004" t="s">
        <v>45095</v>
      </c>
      <c r="O9004" t="s">
        <v>45096</v>
      </c>
      <c r="P9004">
        <v>0</v>
      </c>
      <c r="Q9004">
        <v>0</v>
      </c>
      <c r="R9004" t="s">
        <v>45104</v>
      </c>
      <c r="S9004" t="s">
        <v>45304</v>
      </c>
      <c r="T9004" t="s">
        <v>46985</v>
      </c>
      <c r="U9004" t="s">
        <v>54929</v>
      </c>
      <c r="W9004" t="s">
        <v>44236</v>
      </c>
      <c r="X9004" t="s">
        <v>45105</v>
      </c>
    </row>
    <row r="9005" spans="1:24">
      <c r="A9005">
        <f>HYPERLINK("https://www.philgeps.gov.ph/GEPSNONPILOT/Tender/SplashBidNoticeAbstractUI.aspx?menuIndex=3&amp;refID=7034403&amp;Result=3","7034403")</f>
        <v>0</v>
      </c>
      <c r="B9005" t="s">
        <v>89</v>
      </c>
      <c r="C9005" t="s">
        <v>11775</v>
      </c>
      <c r="D9005" t="s">
        <v>18059</v>
      </c>
      <c r="E9005" t="s">
        <v>25991</v>
      </c>
      <c r="F9005" t="s">
        <v>31574</v>
      </c>
      <c r="G9005" t="s">
        <v>31582</v>
      </c>
      <c r="H9005" t="s">
        <v>31590</v>
      </c>
      <c r="I9005" t="s">
        <v>4327</v>
      </c>
      <c r="J9005" t="s">
        <v>32029</v>
      </c>
      <c r="K9005" t="s">
        <v>41184</v>
      </c>
      <c r="M9005" t="s">
        <v>41573</v>
      </c>
      <c r="N9005" t="s">
        <v>45095</v>
      </c>
      <c r="O9005" t="s">
        <v>45096</v>
      </c>
      <c r="P9005">
        <v>0</v>
      </c>
      <c r="Q9005">
        <v>0</v>
      </c>
      <c r="R9005" t="s">
        <v>45104</v>
      </c>
      <c r="S9005" t="s">
        <v>45304</v>
      </c>
      <c r="T9005" t="s">
        <v>47076</v>
      </c>
      <c r="U9005" t="s">
        <v>49035</v>
      </c>
      <c r="W9005" t="s">
        <v>41573</v>
      </c>
      <c r="X9005" t="s">
        <v>45105</v>
      </c>
    </row>
    <row r="9006" spans="1:24">
      <c r="A9006">
        <f>HYPERLINK("https://www.philgeps.gov.ph/GEPSNONPILOT/Tender/SplashBidNoticeAbstractUI.aspx?menuIndex=3&amp;refID=7034409&amp;Result=3","7034409")</f>
        <v>0</v>
      </c>
      <c r="B9006" t="s">
        <v>88</v>
      </c>
      <c r="C9006" t="s">
        <v>11776</v>
      </c>
      <c r="D9006" t="s">
        <v>18056</v>
      </c>
      <c r="E9006" t="s">
        <v>25992</v>
      </c>
      <c r="F9006" t="s">
        <v>31574</v>
      </c>
      <c r="G9006" t="s">
        <v>31582</v>
      </c>
      <c r="H9006" t="s">
        <v>31590</v>
      </c>
      <c r="I9006" t="s">
        <v>31602</v>
      </c>
      <c r="J9006" t="s">
        <v>37405</v>
      </c>
      <c r="K9006" t="s">
        <v>41196</v>
      </c>
      <c r="M9006" t="s">
        <v>41572</v>
      </c>
      <c r="N9006" t="s">
        <v>45095</v>
      </c>
      <c r="O9006" t="s">
        <v>45096</v>
      </c>
      <c r="P9006">
        <v>0</v>
      </c>
      <c r="Q9006">
        <v>1</v>
      </c>
      <c r="R9006" t="s">
        <v>45104</v>
      </c>
      <c r="S9006" t="s">
        <v>45304</v>
      </c>
      <c r="T9006" t="s">
        <v>47010</v>
      </c>
      <c r="U9006" t="s">
        <v>54930</v>
      </c>
      <c r="W9006" t="s">
        <v>41572</v>
      </c>
      <c r="X9006" t="s">
        <v>45105</v>
      </c>
    </row>
    <row r="9007" spans="1:24">
      <c r="A9007">
        <f>HYPERLINK("https://www.philgeps.gov.ph/GEPSNONPILOT/Tender/SplashBidNoticeAbstractUI.aspx?menuIndex=3&amp;refID=7034411&amp;Result=3","7034411")</f>
        <v>0</v>
      </c>
      <c r="B9007" t="s">
        <v>73</v>
      </c>
      <c r="C9007" t="s">
        <v>11777</v>
      </c>
      <c r="D9007" t="s">
        <v>18041</v>
      </c>
      <c r="E9007" t="s">
        <v>25993</v>
      </c>
      <c r="F9007" t="s">
        <v>31574</v>
      </c>
      <c r="G9007" t="s">
        <v>31582</v>
      </c>
      <c r="H9007" t="s">
        <v>31590</v>
      </c>
      <c r="I9007" t="s">
        <v>31606</v>
      </c>
      <c r="J9007" t="s">
        <v>37406</v>
      </c>
      <c r="K9007" t="s">
        <v>41184</v>
      </c>
      <c r="M9007" t="s">
        <v>41557</v>
      </c>
      <c r="N9007" t="s">
        <v>45095</v>
      </c>
      <c r="O9007" t="s">
        <v>45096</v>
      </c>
      <c r="P9007">
        <v>0</v>
      </c>
      <c r="Q9007">
        <v>0</v>
      </c>
      <c r="R9007" t="s">
        <v>45104</v>
      </c>
      <c r="S9007" t="s">
        <v>45304</v>
      </c>
      <c r="T9007" t="s">
        <v>47266</v>
      </c>
      <c r="U9007" t="s">
        <v>54931</v>
      </c>
      <c r="V9007" t="s">
        <v>59867</v>
      </c>
      <c r="W9007" t="s">
        <v>41557</v>
      </c>
      <c r="X9007" t="s">
        <v>45105</v>
      </c>
    </row>
    <row r="9008" spans="1:24">
      <c r="A9008">
        <f>HYPERLINK("https://www.philgeps.gov.ph/GEPSNONPILOT/Tender/SplashBidNoticeAbstractUI.aspx?menuIndex=3&amp;refID=7034445&amp;Result=3","7034445")</f>
        <v>0</v>
      </c>
      <c r="B9008" t="s">
        <v>846</v>
      </c>
      <c r="C9008" t="s">
        <v>5246</v>
      </c>
      <c r="D9008" t="s">
        <v>18099</v>
      </c>
      <c r="E9008" t="s">
        <v>22893</v>
      </c>
      <c r="F9008" t="s">
        <v>31574</v>
      </c>
      <c r="G9008" t="s">
        <v>31582</v>
      </c>
      <c r="H9008" t="s">
        <v>31590</v>
      </c>
      <c r="I9008" t="s">
        <v>3489</v>
      </c>
      <c r="J9008" t="s">
        <v>37407</v>
      </c>
      <c r="K9008" t="s">
        <v>41213</v>
      </c>
      <c r="M9008" t="s">
        <v>42365</v>
      </c>
      <c r="N9008" t="s">
        <v>45095</v>
      </c>
      <c r="O9008" t="s">
        <v>45096</v>
      </c>
      <c r="P9008">
        <v>0</v>
      </c>
      <c r="Q9008">
        <v>0</v>
      </c>
      <c r="R9008" t="s">
        <v>45104</v>
      </c>
      <c r="S9008" t="s">
        <v>45304</v>
      </c>
      <c r="T9008" t="s">
        <v>47154</v>
      </c>
      <c r="U9008" t="s">
        <v>49292</v>
      </c>
      <c r="V9008" t="s">
        <v>60057</v>
      </c>
      <c r="W9008" t="s">
        <v>42365</v>
      </c>
      <c r="X9008" t="s">
        <v>45105</v>
      </c>
    </row>
    <row r="9009" spans="1:24">
      <c r="A9009">
        <f>HYPERLINK("https://www.philgeps.gov.ph/GEPSNONPILOT/Tender/SplashBidNoticeAbstractUI.aspx?menuIndex=3&amp;refID=7034419&amp;Result=3","7034419")</f>
        <v>0</v>
      </c>
      <c r="B9009" t="s">
        <v>1428</v>
      </c>
      <c r="C9009" t="s">
        <v>11778</v>
      </c>
      <c r="D9009" t="s">
        <v>18059</v>
      </c>
      <c r="E9009" t="s">
        <v>25994</v>
      </c>
      <c r="F9009" t="s">
        <v>31574</v>
      </c>
      <c r="G9009" t="s">
        <v>31583</v>
      </c>
      <c r="H9009" t="s">
        <v>31590</v>
      </c>
      <c r="I9009" t="s">
        <v>31595</v>
      </c>
      <c r="J9009" t="s">
        <v>37408</v>
      </c>
      <c r="K9009" t="s">
        <v>41186</v>
      </c>
      <c r="M9009" t="s">
        <v>43004</v>
      </c>
      <c r="N9009" t="s">
        <v>45095</v>
      </c>
      <c r="O9009" t="s">
        <v>45096</v>
      </c>
      <c r="P9009">
        <v>0</v>
      </c>
      <c r="Q9009">
        <v>0</v>
      </c>
      <c r="R9009" t="s">
        <v>45104</v>
      </c>
      <c r="S9009" t="s">
        <v>45304</v>
      </c>
      <c r="T9009" t="s">
        <v>47177</v>
      </c>
      <c r="U9009" t="s">
        <v>54932</v>
      </c>
      <c r="W9009" t="s">
        <v>43004</v>
      </c>
      <c r="X9009" t="s">
        <v>45105</v>
      </c>
    </row>
    <row r="9010" spans="1:24">
      <c r="A9010">
        <f>HYPERLINK("https://www.philgeps.gov.ph/GEPSNONPILOT/Tender/SplashBidNoticeAbstractUI.aspx?menuIndex=3&amp;refID=7034442&amp;Result=3","7034442")</f>
        <v>0</v>
      </c>
      <c r="B9010" t="s">
        <v>1554</v>
      </c>
      <c r="C9010" t="s">
        <v>11779</v>
      </c>
      <c r="D9010" t="s">
        <v>18056</v>
      </c>
      <c r="E9010" t="s">
        <v>25995</v>
      </c>
      <c r="F9010" t="s">
        <v>31574</v>
      </c>
      <c r="G9010" t="s">
        <v>31582</v>
      </c>
      <c r="H9010" t="s">
        <v>31590</v>
      </c>
      <c r="I9010" t="s">
        <v>3873</v>
      </c>
      <c r="J9010" t="s">
        <v>37409</v>
      </c>
      <c r="K9010" t="s">
        <v>41198</v>
      </c>
      <c r="M9010" t="s">
        <v>44237</v>
      </c>
      <c r="N9010" t="s">
        <v>45095</v>
      </c>
      <c r="O9010" t="s">
        <v>45096</v>
      </c>
      <c r="P9010">
        <v>0</v>
      </c>
      <c r="Q9010">
        <v>1</v>
      </c>
      <c r="R9010" t="s">
        <v>45104</v>
      </c>
      <c r="S9010" t="s">
        <v>45304</v>
      </c>
      <c r="T9010" t="s">
        <v>47000</v>
      </c>
      <c r="U9010" t="s">
        <v>54933</v>
      </c>
      <c r="V9010" t="s">
        <v>60775</v>
      </c>
      <c r="W9010" t="s">
        <v>44237</v>
      </c>
      <c r="X9010" t="s">
        <v>45105</v>
      </c>
    </row>
    <row r="9011" spans="1:24">
      <c r="A9011">
        <f>HYPERLINK("https://www.philgeps.gov.ph/GEPSNONPILOT/Tender/SplashBidNoticeAbstractUI.aspx?menuIndex=3&amp;refID=7034446&amp;Result=3","7034446")</f>
        <v>0</v>
      </c>
      <c r="B9011" t="s">
        <v>2504</v>
      </c>
      <c r="C9011" t="s">
        <v>11780</v>
      </c>
      <c r="D9011" t="s">
        <v>18052</v>
      </c>
      <c r="E9011" t="s">
        <v>25996</v>
      </c>
      <c r="F9011" t="s">
        <v>31575</v>
      </c>
      <c r="G9011" t="s">
        <v>31582</v>
      </c>
      <c r="H9011" t="s">
        <v>31590</v>
      </c>
      <c r="I9011" t="s">
        <v>31644</v>
      </c>
      <c r="J9011" t="s">
        <v>37410</v>
      </c>
      <c r="K9011" t="s">
        <v>41185</v>
      </c>
      <c r="M9011" t="s">
        <v>44238</v>
      </c>
      <c r="N9011" t="s">
        <v>45095</v>
      </c>
      <c r="O9011" t="s">
        <v>45096</v>
      </c>
      <c r="P9011">
        <v>0</v>
      </c>
      <c r="Q9011">
        <v>2</v>
      </c>
      <c r="R9011" t="s">
        <v>45104</v>
      </c>
      <c r="S9011" t="s">
        <v>45304</v>
      </c>
      <c r="T9011" t="s">
        <v>47019</v>
      </c>
      <c r="U9011" t="s">
        <v>54934</v>
      </c>
      <c r="V9011" t="s">
        <v>60776</v>
      </c>
      <c r="W9011" t="s">
        <v>44238</v>
      </c>
      <c r="X9011" t="s">
        <v>45105</v>
      </c>
    </row>
    <row r="9012" spans="1:24">
      <c r="A9012">
        <f>HYPERLINK("https://www.philgeps.gov.ph/GEPSNONPILOT/Tender/SplashBidNoticeAbstractUI.aspx?menuIndex=3&amp;refID=7034414&amp;Result=3","7034414")</f>
        <v>0</v>
      </c>
      <c r="B9012" t="s">
        <v>1368</v>
      </c>
      <c r="C9012" t="s">
        <v>11781</v>
      </c>
      <c r="D9012" t="s">
        <v>18031</v>
      </c>
      <c r="E9012" t="s">
        <v>18199</v>
      </c>
      <c r="F9012" t="s">
        <v>31574</v>
      </c>
      <c r="G9012" t="s">
        <v>31587</v>
      </c>
      <c r="H9012" t="s">
        <v>31593</v>
      </c>
      <c r="I9012" t="s">
        <v>31593</v>
      </c>
      <c r="J9012" t="s">
        <v>32334</v>
      </c>
      <c r="K9012" t="s">
        <v>41316</v>
      </c>
      <c r="M9012" t="s">
        <v>42941</v>
      </c>
      <c r="N9012" t="s">
        <v>45095</v>
      </c>
      <c r="O9012" t="s">
        <v>45096</v>
      </c>
      <c r="P9012">
        <v>0</v>
      </c>
      <c r="Q9012">
        <v>0</v>
      </c>
      <c r="R9012" t="s">
        <v>45104</v>
      </c>
      <c r="S9012" t="s">
        <v>45304</v>
      </c>
      <c r="T9012" t="s">
        <v>47176</v>
      </c>
      <c r="U9012" t="s">
        <v>54935</v>
      </c>
      <c r="W9012" t="s">
        <v>42941</v>
      </c>
      <c r="X9012" t="s">
        <v>45105</v>
      </c>
    </row>
    <row r="9013" spans="1:24">
      <c r="A9013">
        <f>HYPERLINK("https://www.philgeps.gov.ph/GEPSNONPILOT/Tender/SplashBidNoticeAbstractUI.aspx?menuIndex=3&amp;refID=7034449&amp;Result=3","7034449")</f>
        <v>0</v>
      </c>
      <c r="B9013" t="s">
        <v>2505</v>
      </c>
      <c r="C9013" t="s">
        <v>11782</v>
      </c>
      <c r="D9013" t="s">
        <v>18022</v>
      </c>
      <c r="E9013" t="s">
        <v>25997</v>
      </c>
      <c r="F9013" t="s">
        <v>31574</v>
      </c>
      <c r="G9013" t="s">
        <v>31581</v>
      </c>
      <c r="H9013" t="s">
        <v>31590</v>
      </c>
      <c r="I9013" t="s">
        <v>31608</v>
      </c>
      <c r="J9013" t="s">
        <v>32232</v>
      </c>
      <c r="K9013" t="s">
        <v>41185</v>
      </c>
      <c r="M9013" t="s">
        <v>44239</v>
      </c>
      <c r="N9013" t="s">
        <v>45095</v>
      </c>
      <c r="O9013" t="s">
        <v>45096</v>
      </c>
      <c r="P9013">
        <v>0</v>
      </c>
      <c r="Q9013">
        <v>10</v>
      </c>
      <c r="R9013" t="s">
        <v>45104</v>
      </c>
      <c r="S9013" t="s">
        <v>45304</v>
      </c>
      <c r="T9013" t="s">
        <v>47080</v>
      </c>
      <c r="U9013" t="s">
        <v>54936</v>
      </c>
      <c r="W9013" t="s">
        <v>44239</v>
      </c>
      <c r="X9013" t="s">
        <v>45105</v>
      </c>
    </row>
    <row r="9014" spans="1:24">
      <c r="A9014">
        <f>HYPERLINK("https://www.philgeps.gov.ph/GEPSNONPILOT/Tender/SplashBidNoticeAbstractUI.aspx?menuIndex=3&amp;refID=7034439&amp;Result=3","7034439")</f>
        <v>0</v>
      </c>
      <c r="B9014" t="s">
        <v>1409</v>
      </c>
      <c r="C9014" t="s">
        <v>11783</v>
      </c>
      <c r="D9014" t="s">
        <v>18050</v>
      </c>
      <c r="E9014" t="s">
        <v>25998</v>
      </c>
      <c r="F9014" t="s">
        <v>31574</v>
      </c>
      <c r="G9014" t="s">
        <v>31583</v>
      </c>
      <c r="H9014" t="s">
        <v>31590</v>
      </c>
      <c r="I9014" t="s">
        <v>5717</v>
      </c>
      <c r="J9014" t="s">
        <v>37411</v>
      </c>
      <c r="K9014" t="s">
        <v>41186</v>
      </c>
      <c r="M9014" t="s">
        <v>42985</v>
      </c>
      <c r="N9014" t="s">
        <v>45095</v>
      </c>
      <c r="O9014" t="s">
        <v>45096</v>
      </c>
      <c r="P9014">
        <v>0</v>
      </c>
      <c r="Q9014">
        <v>0</v>
      </c>
      <c r="R9014" t="s">
        <v>45104</v>
      </c>
      <c r="S9014" t="s">
        <v>45304</v>
      </c>
      <c r="T9014" t="s">
        <v>46949</v>
      </c>
      <c r="U9014" t="s">
        <v>54894</v>
      </c>
      <c r="W9014" t="s">
        <v>42985</v>
      </c>
      <c r="X9014" t="s">
        <v>45105</v>
      </c>
    </row>
    <row r="9015" spans="1:24">
      <c r="A9015">
        <f>HYPERLINK("https://www.philgeps.gov.ph/GEPSNONPILOT/Tender/SplashBidNoticeAbstractUI.aspx?menuIndex=3&amp;refID=7034448&amp;Result=3","7034448")</f>
        <v>0</v>
      </c>
      <c r="B9015" t="s">
        <v>2272</v>
      </c>
      <c r="C9015" t="s">
        <v>11784</v>
      </c>
      <c r="D9015" t="s">
        <v>18089</v>
      </c>
      <c r="E9015" t="s">
        <v>18227</v>
      </c>
      <c r="F9015" t="s">
        <v>31574</v>
      </c>
      <c r="G9015" t="s">
        <v>31582</v>
      </c>
      <c r="H9015" t="s">
        <v>31590</v>
      </c>
      <c r="I9015" t="s">
        <v>4046</v>
      </c>
      <c r="J9015" t="s">
        <v>37412</v>
      </c>
      <c r="K9015" t="s">
        <v>41196</v>
      </c>
      <c r="M9015" t="s">
        <v>43976</v>
      </c>
      <c r="N9015" t="s">
        <v>45095</v>
      </c>
      <c r="O9015" t="s">
        <v>45096</v>
      </c>
      <c r="P9015">
        <v>0</v>
      </c>
      <c r="Q9015">
        <v>0</v>
      </c>
      <c r="R9015" t="s">
        <v>45104</v>
      </c>
      <c r="S9015" t="s">
        <v>45304</v>
      </c>
      <c r="T9015" t="s">
        <v>46979</v>
      </c>
      <c r="U9015" t="s">
        <v>54937</v>
      </c>
      <c r="W9015" t="s">
        <v>43976</v>
      </c>
      <c r="X9015" t="s">
        <v>45105</v>
      </c>
    </row>
    <row r="9016" spans="1:24">
      <c r="A9016">
        <f>HYPERLINK("https://www.philgeps.gov.ph/GEPSNONPILOT/Tender/SplashBidNoticeAbstractUI.aspx?menuIndex=3&amp;refID=7034447&amp;Result=3","7034447")</f>
        <v>0</v>
      </c>
      <c r="B9016" t="s">
        <v>2473</v>
      </c>
      <c r="C9016" t="s">
        <v>11785</v>
      </c>
      <c r="D9016" t="s">
        <v>18033</v>
      </c>
      <c r="E9016" t="s">
        <v>19683</v>
      </c>
      <c r="F9016" t="s">
        <v>31574</v>
      </c>
      <c r="G9016" t="s">
        <v>31583</v>
      </c>
      <c r="H9016" t="s">
        <v>31590</v>
      </c>
      <c r="I9016" t="s">
        <v>4046</v>
      </c>
      <c r="J9016" t="s">
        <v>37330</v>
      </c>
      <c r="K9016" t="s">
        <v>41193</v>
      </c>
      <c r="M9016" t="s">
        <v>44202</v>
      </c>
      <c r="N9016" t="s">
        <v>45095</v>
      </c>
      <c r="O9016" t="s">
        <v>45096</v>
      </c>
      <c r="P9016">
        <v>0</v>
      </c>
      <c r="Q9016">
        <v>0</v>
      </c>
      <c r="R9016" t="s">
        <v>45104</v>
      </c>
      <c r="S9016" t="s">
        <v>45304</v>
      </c>
      <c r="T9016" t="s">
        <v>46957</v>
      </c>
      <c r="U9016" t="s">
        <v>54839</v>
      </c>
      <c r="W9016" t="s">
        <v>44202</v>
      </c>
      <c r="X9016" t="s">
        <v>45105</v>
      </c>
    </row>
    <row r="9017" spans="1:24">
      <c r="A9017">
        <f>HYPERLINK("https://www.philgeps.gov.ph/GEPSNONPILOT/Tender/SplashBidNoticeAbstractUI.aspx?menuIndex=3&amp;refID=7034472&amp;Result=3","7034472")</f>
        <v>0</v>
      </c>
      <c r="B9017" t="s">
        <v>1311</v>
      </c>
      <c r="C9017" t="s">
        <v>11786</v>
      </c>
      <c r="D9017" t="s">
        <v>18040</v>
      </c>
      <c r="E9017" t="s">
        <v>25999</v>
      </c>
      <c r="F9017" t="s">
        <v>31574</v>
      </c>
      <c r="G9017" t="s">
        <v>31582</v>
      </c>
      <c r="H9017" t="s">
        <v>31590</v>
      </c>
      <c r="I9017" t="s">
        <v>7185</v>
      </c>
      <c r="J9017" t="s">
        <v>37413</v>
      </c>
      <c r="K9017" t="s">
        <v>41186</v>
      </c>
      <c r="M9017" t="s">
        <v>43023</v>
      </c>
      <c r="N9017" t="s">
        <v>45095</v>
      </c>
      <c r="O9017" t="s">
        <v>45096</v>
      </c>
      <c r="P9017">
        <v>0</v>
      </c>
      <c r="Q9017">
        <v>11</v>
      </c>
      <c r="R9017" t="s">
        <v>45104</v>
      </c>
      <c r="S9017" t="s">
        <v>45304</v>
      </c>
      <c r="T9017" t="s">
        <v>46992</v>
      </c>
      <c r="U9017" t="s">
        <v>54938</v>
      </c>
      <c r="V9017" t="s">
        <v>60268</v>
      </c>
      <c r="W9017" t="s">
        <v>43023</v>
      </c>
      <c r="X9017" t="s">
        <v>45105</v>
      </c>
    </row>
    <row r="9018" spans="1:24">
      <c r="A9018">
        <f>HYPERLINK("https://www.philgeps.gov.ph/GEPSNONPILOT/Tender/SplashBidNoticeAbstractUI.aspx?menuIndex=3&amp;refID=7034416&amp;Result=3","7034416")</f>
        <v>0</v>
      </c>
      <c r="B9018" t="s">
        <v>2506</v>
      </c>
      <c r="C9018" t="s">
        <v>11787</v>
      </c>
      <c r="D9018" t="s">
        <v>18106</v>
      </c>
      <c r="E9018" t="s">
        <v>26000</v>
      </c>
      <c r="F9018" t="s">
        <v>31574</v>
      </c>
      <c r="G9018" t="s">
        <v>31582</v>
      </c>
      <c r="H9018" t="s">
        <v>31591</v>
      </c>
      <c r="I9018" t="s">
        <v>8822</v>
      </c>
      <c r="J9018" t="s">
        <v>37414</v>
      </c>
      <c r="K9018" t="s">
        <v>41196</v>
      </c>
      <c r="M9018" t="s">
        <v>44240</v>
      </c>
      <c r="N9018" t="s">
        <v>45095</v>
      </c>
      <c r="O9018" t="s">
        <v>45096</v>
      </c>
      <c r="P9018">
        <v>0</v>
      </c>
      <c r="Q9018">
        <v>0</v>
      </c>
      <c r="R9018" t="s">
        <v>45104</v>
      </c>
      <c r="S9018" t="s">
        <v>45304</v>
      </c>
      <c r="T9018" t="s">
        <v>46910</v>
      </c>
      <c r="U9018" t="s">
        <v>54939</v>
      </c>
      <c r="W9018" t="s">
        <v>44240</v>
      </c>
      <c r="X9018" t="s">
        <v>45105</v>
      </c>
    </row>
    <row r="9019" spans="1:24">
      <c r="A9019">
        <f>HYPERLINK("https://www.philgeps.gov.ph/GEPSNONPILOT/Tender/SplashBidNoticeAbstractUI.aspx?menuIndex=3&amp;refID=7034470&amp;Result=3","7034470")</f>
        <v>0</v>
      </c>
      <c r="B9019" t="s">
        <v>2500</v>
      </c>
      <c r="C9019" t="s">
        <v>11788</v>
      </c>
      <c r="D9019" t="s">
        <v>18022</v>
      </c>
      <c r="E9019" t="s">
        <v>18936</v>
      </c>
      <c r="F9019" t="s">
        <v>31575</v>
      </c>
      <c r="G9019" t="s">
        <v>31582</v>
      </c>
      <c r="H9019" t="s">
        <v>31590</v>
      </c>
      <c r="I9019" t="s">
        <v>31689</v>
      </c>
      <c r="J9019" t="s">
        <v>31888</v>
      </c>
      <c r="K9019" t="s">
        <v>41193</v>
      </c>
      <c r="M9019" t="s">
        <v>44232</v>
      </c>
      <c r="N9019" t="s">
        <v>45095</v>
      </c>
      <c r="O9019" t="s">
        <v>45096</v>
      </c>
      <c r="P9019">
        <v>0</v>
      </c>
      <c r="Q9019">
        <v>9</v>
      </c>
      <c r="R9019" t="s">
        <v>45104</v>
      </c>
      <c r="S9019" t="s">
        <v>45304</v>
      </c>
      <c r="T9019" t="s">
        <v>46914</v>
      </c>
      <c r="U9019" t="s">
        <v>54940</v>
      </c>
      <c r="W9019" t="s">
        <v>44232</v>
      </c>
      <c r="X9019" t="s">
        <v>45105</v>
      </c>
    </row>
    <row r="9020" spans="1:24">
      <c r="A9020">
        <f>HYPERLINK("https://www.philgeps.gov.ph/GEPSNONPILOT/Tender/SplashBidNoticeAbstractUI.aspx?menuIndex=3&amp;refID=7034438&amp;Result=3","7034438")</f>
        <v>0</v>
      </c>
      <c r="B9020" t="s">
        <v>1368</v>
      </c>
      <c r="C9020" t="s">
        <v>11789</v>
      </c>
      <c r="D9020" t="s">
        <v>18031</v>
      </c>
      <c r="E9020" t="s">
        <v>21499</v>
      </c>
      <c r="F9020" t="s">
        <v>31574</v>
      </c>
      <c r="G9020" t="s">
        <v>31587</v>
      </c>
      <c r="H9020" t="s">
        <v>31593</v>
      </c>
      <c r="I9020" t="s">
        <v>31593</v>
      </c>
      <c r="J9020" t="s">
        <v>37415</v>
      </c>
      <c r="K9020" t="s">
        <v>41316</v>
      </c>
      <c r="M9020" t="s">
        <v>42941</v>
      </c>
      <c r="N9020" t="s">
        <v>45095</v>
      </c>
      <c r="O9020" t="s">
        <v>45096</v>
      </c>
      <c r="P9020">
        <v>0</v>
      </c>
      <c r="Q9020">
        <v>0</v>
      </c>
      <c r="R9020" t="s">
        <v>45104</v>
      </c>
      <c r="S9020" t="s">
        <v>45304</v>
      </c>
      <c r="T9020" t="s">
        <v>47176</v>
      </c>
      <c r="U9020" t="s">
        <v>54941</v>
      </c>
      <c r="W9020" t="s">
        <v>42941</v>
      </c>
      <c r="X9020" t="s">
        <v>45105</v>
      </c>
    </row>
    <row r="9021" spans="1:24">
      <c r="A9021">
        <f>HYPERLINK("https://www.philgeps.gov.ph/GEPSNONPILOT/Tender/SplashBidNoticeAbstractUI.aspx?menuIndex=3&amp;refID=7034421&amp;Result=3","7034421")</f>
        <v>0</v>
      </c>
      <c r="B9021" t="s">
        <v>89</v>
      </c>
      <c r="C9021" t="s">
        <v>11790</v>
      </c>
      <c r="D9021" t="s">
        <v>18059</v>
      </c>
      <c r="E9021" t="s">
        <v>26001</v>
      </c>
      <c r="F9021" t="s">
        <v>31574</v>
      </c>
      <c r="G9021" t="s">
        <v>31582</v>
      </c>
      <c r="H9021" t="s">
        <v>31590</v>
      </c>
      <c r="I9021" t="s">
        <v>4327</v>
      </c>
      <c r="J9021" t="s">
        <v>33346</v>
      </c>
      <c r="K9021" t="s">
        <v>41184</v>
      </c>
      <c r="M9021" t="s">
        <v>41573</v>
      </c>
      <c r="N9021" t="s">
        <v>45095</v>
      </c>
      <c r="O9021" t="s">
        <v>45096</v>
      </c>
      <c r="P9021">
        <v>0</v>
      </c>
      <c r="Q9021">
        <v>0</v>
      </c>
      <c r="R9021" t="s">
        <v>45104</v>
      </c>
      <c r="S9021" t="s">
        <v>45304</v>
      </c>
      <c r="T9021" t="s">
        <v>47076</v>
      </c>
      <c r="U9021" t="s">
        <v>49035</v>
      </c>
      <c r="W9021" t="s">
        <v>41573</v>
      </c>
      <c r="X9021" t="s">
        <v>45105</v>
      </c>
    </row>
    <row r="9022" spans="1:24">
      <c r="A9022">
        <f>HYPERLINK("https://www.philgeps.gov.ph/GEPSNONPILOT/Tender/SplashBidNoticeAbstractUI.aspx?menuIndex=3&amp;refID=7034468&amp;Result=3","7034468")</f>
        <v>0</v>
      </c>
      <c r="B9022" t="s">
        <v>1967</v>
      </c>
      <c r="C9022" t="s">
        <v>11791</v>
      </c>
      <c r="D9022" t="s">
        <v>18081</v>
      </c>
      <c r="E9022" t="s">
        <v>26002</v>
      </c>
      <c r="F9022" t="s">
        <v>31575</v>
      </c>
      <c r="G9022" t="s">
        <v>31582</v>
      </c>
      <c r="H9022" t="s">
        <v>31590</v>
      </c>
      <c r="I9022" t="s">
        <v>31631</v>
      </c>
      <c r="J9022" t="s">
        <v>37416</v>
      </c>
      <c r="K9022" t="s">
        <v>41196</v>
      </c>
      <c r="M9022" t="s">
        <v>43624</v>
      </c>
      <c r="N9022" t="s">
        <v>45095</v>
      </c>
      <c r="O9022" t="s">
        <v>45096</v>
      </c>
      <c r="P9022">
        <v>0</v>
      </c>
      <c r="Q9022">
        <v>0</v>
      </c>
      <c r="R9022" t="s">
        <v>45104</v>
      </c>
      <c r="S9022" t="s">
        <v>45304</v>
      </c>
      <c r="T9022" t="s">
        <v>46910</v>
      </c>
      <c r="U9022" t="s">
        <v>52758</v>
      </c>
      <c r="W9022" t="s">
        <v>43624</v>
      </c>
      <c r="X9022" t="s">
        <v>45105</v>
      </c>
    </row>
    <row r="9023" spans="1:24">
      <c r="A9023">
        <f>HYPERLINK("https://www.philgeps.gov.ph/GEPSNONPILOT/Tender/SplashBidNoticeAbstractUI.aspx?menuIndex=3&amp;refID=7034464&amp;Result=3","7034464")</f>
        <v>0</v>
      </c>
      <c r="B9023" t="s">
        <v>2507</v>
      </c>
      <c r="C9023" t="s">
        <v>11792</v>
      </c>
      <c r="D9023" t="s">
        <v>18086</v>
      </c>
      <c r="E9023" t="s">
        <v>11792</v>
      </c>
      <c r="F9023" t="s">
        <v>31574</v>
      </c>
      <c r="G9023" t="s">
        <v>31581</v>
      </c>
      <c r="H9023" t="s">
        <v>31590</v>
      </c>
      <c r="I9023" t="s">
        <v>31595</v>
      </c>
      <c r="J9023" t="s">
        <v>31964</v>
      </c>
      <c r="K9023" t="s">
        <v>41196</v>
      </c>
      <c r="M9023" t="s">
        <v>44241</v>
      </c>
      <c r="N9023" t="s">
        <v>45095</v>
      </c>
      <c r="O9023" t="s">
        <v>45096</v>
      </c>
      <c r="P9023">
        <v>0</v>
      </c>
      <c r="Q9023">
        <v>3</v>
      </c>
      <c r="R9023" t="s">
        <v>45104</v>
      </c>
      <c r="S9023" t="s">
        <v>45304</v>
      </c>
      <c r="T9023" t="s">
        <v>47158</v>
      </c>
      <c r="U9023" t="s">
        <v>54942</v>
      </c>
      <c r="W9023" t="s">
        <v>44241</v>
      </c>
      <c r="X9023" t="s">
        <v>45105</v>
      </c>
    </row>
    <row r="9024" spans="1:24">
      <c r="A9024">
        <f>HYPERLINK("https://www.philgeps.gov.ph/GEPSNONPILOT/Tender/SplashBidNoticeAbstractUI.aspx?menuIndex=3&amp;refID=7034450&amp;Result=3","7034450")</f>
        <v>0</v>
      </c>
      <c r="B9024" t="s">
        <v>2500</v>
      </c>
      <c r="C9024" t="s">
        <v>11793</v>
      </c>
      <c r="D9024" t="s">
        <v>18022</v>
      </c>
      <c r="E9024" t="s">
        <v>18379</v>
      </c>
      <c r="F9024" t="s">
        <v>31575</v>
      </c>
      <c r="G9024" t="s">
        <v>31582</v>
      </c>
      <c r="H9024" t="s">
        <v>31590</v>
      </c>
      <c r="I9024" t="s">
        <v>3487</v>
      </c>
      <c r="J9024" t="s">
        <v>37417</v>
      </c>
      <c r="K9024" t="s">
        <v>41193</v>
      </c>
      <c r="M9024" t="s">
        <v>44232</v>
      </c>
      <c r="N9024" t="s">
        <v>45095</v>
      </c>
      <c r="O9024" t="s">
        <v>45096</v>
      </c>
      <c r="P9024">
        <v>0</v>
      </c>
      <c r="Q9024">
        <v>3</v>
      </c>
      <c r="R9024" t="s">
        <v>45104</v>
      </c>
      <c r="S9024" t="s">
        <v>45304</v>
      </c>
      <c r="T9024" t="s">
        <v>46914</v>
      </c>
      <c r="U9024" t="s">
        <v>54943</v>
      </c>
      <c r="W9024" t="s">
        <v>44232</v>
      </c>
      <c r="X9024" t="s">
        <v>45105</v>
      </c>
    </row>
    <row r="9025" spans="1:24">
      <c r="A9025">
        <f>HYPERLINK("https://www.philgeps.gov.ph/GEPSNONPILOT/Tender/SplashBidNoticeAbstractUI.aspx?menuIndex=3&amp;refID=7034404&amp;Result=3","7034404")</f>
        <v>0</v>
      </c>
      <c r="B9025" t="s">
        <v>2508</v>
      </c>
      <c r="C9025" t="s">
        <v>11794</v>
      </c>
      <c r="D9025" t="s">
        <v>18070</v>
      </c>
      <c r="E9025" t="s">
        <v>26003</v>
      </c>
      <c r="F9025" t="s">
        <v>31574</v>
      </c>
      <c r="G9025" t="s">
        <v>31582</v>
      </c>
      <c r="H9025" t="s">
        <v>31590</v>
      </c>
      <c r="I9025" t="s">
        <v>31644</v>
      </c>
      <c r="J9025" t="s">
        <v>37418</v>
      </c>
      <c r="K9025" t="s">
        <v>41196</v>
      </c>
      <c r="M9025" t="s">
        <v>44242</v>
      </c>
      <c r="N9025" t="s">
        <v>45095</v>
      </c>
      <c r="O9025" t="s">
        <v>45096</v>
      </c>
      <c r="P9025">
        <v>0</v>
      </c>
      <c r="Q9025">
        <v>0</v>
      </c>
      <c r="R9025" t="s">
        <v>45104</v>
      </c>
      <c r="S9025" t="s">
        <v>45304</v>
      </c>
      <c r="T9025" t="s">
        <v>47183</v>
      </c>
      <c r="U9025" t="s">
        <v>54944</v>
      </c>
      <c r="W9025" t="s">
        <v>44242</v>
      </c>
      <c r="X9025" t="s">
        <v>45105</v>
      </c>
    </row>
    <row r="9026" spans="1:24">
      <c r="A9026">
        <f>HYPERLINK("https://www.philgeps.gov.ph/GEPSNONPILOT/Tender/SplashBidNoticeAbstractUI.aspx?menuIndex=3&amp;refID=7034462&amp;Result=3","7034462")</f>
        <v>0</v>
      </c>
      <c r="B9026" t="s">
        <v>1368</v>
      </c>
      <c r="C9026" t="s">
        <v>11795</v>
      </c>
      <c r="D9026" t="s">
        <v>18031</v>
      </c>
      <c r="E9026" t="s">
        <v>18588</v>
      </c>
      <c r="F9026" t="s">
        <v>31574</v>
      </c>
      <c r="G9026" t="s">
        <v>31587</v>
      </c>
      <c r="H9026" t="s">
        <v>31593</v>
      </c>
      <c r="I9026" t="s">
        <v>31593</v>
      </c>
      <c r="J9026" t="s">
        <v>32334</v>
      </c>
      <c r="K9026" t="s">
        <v>41316</v>
      </c>
      <c r="M9026" t="s">
        <v>42941</v>
      </c>
      <c r="N9026" t="s">
        <v>45095</v>
      </c>
      <c r="O9026" t="s">
        <v>45096</v>
      </c>
      <c r="P9026">
        <v>0</v>
      </c>
      <c r="Q9026">
        <v>0</v>
      </c>
      <c r="R9026" t="s">
        <v>45104</v>
      </c>
      <c r="S9026" t="s">
        <v>45304</v>
      </c>
      <c r="T9026" t="s">
        <v>47176</v>
      </c>
      <c r="U9026" t="s">
        <v>54945</v>
      </c>
      <c r="W9026" t="s">
        <v>42941</v>
      </c>
      <c r="X9026" t="s">
        <v>45105</v>
      </c>
    </row>
    <row r="9027" spans="1:24">
      <c r="A9027">
        <f>HYPERLINK("https://www.philgeps.gov.ph/GEPSNONPILOT/Tender/SplashBidNoticeAbstractUI.aspx?menuIndex=3&amp;refID=7034371&amp;Result=3","7034371")</f>
        <v>0</v>
      </c>
      <c r="B9027" t="s">
        <v>2495</v>
      </c>
      <c r="C9027" t="s">
        <v>11796</v>
      </c>
      <c r="E9027" t="s">
        <v>26004</v>
      </c>
      <c r="F9027" t="s">
        <v>31575</v>
      </c>
      <c r="G9027" t="s">
        <v>31581</v>
      </c>
      <c r="H9027" t="s">
        <v>31590</v>
      </c>
      <c r="I9027" t="s">
        <v>31621</v>
      </c>
      <c r="J9027" t="s">
        <v>37419</v>
      </c>
      <c r="K9027" t="s">
        <v>41189</v>
      </c>
      <c r="M9027" t="s">
        <v>44226</v>
      </c>
      <c r="N9027" t="s">
        <v>45095</v>
      </c>
      <c r="O9027" t="s">
        <v>45096</v>
      </c>
      <c r="P9027">
        <v>0</v>
      </c>
      <c r="Q9027">
        <v>0</v>
      </c>
      <c r="R9027" t="s">
        <v>45104</v>
      </c>
      <c r="S9027" t="s">
        <v>45304</v>
      </c>
      <c r="T9027" t="s">
        <v>47154</v>
      </c>
      <c r="U9027" t="s">
        <v>54891</v>
      </c>
      <c r="W9027" t="s">
        <v>44226</v>
      </c>
      <c r="X9027" t="s">
        <v>45105</v>
      </c>
    </row>
    <row r="9028" spans="1:24">
      <c r="A9028">
        <f>HYPERLINK("https://www.philgeps.gov.ph/GEPSNONPILOT/Tender/SplashBidNoticeAbstractUI.aspx?menuIndex=3&amp;refID=7034499&amp;Result=3","7034499")</f>
        <v>0</v>
      </c>
      <c r="B9028" t="s">
        <v>2421</v>
      </c>
      <c r="C9028" t="s">
        <v>11797</v>
      </c>
      <c r="D9028" t="s">
        <v>18070</v>
      </c>
      <c r="E9028" t="s">
        <v>26005</v>
      </c>
      <c r="F9028" t="s">
        <v>31574</v>
      </c>
      <c r="G9028" t="s">
        <v>31582</v>
      </c>
      <c r="H9028" t="s">
        <v>31590</v>
      </c>
      <c r="I9028" t="s">
        <v>31615</v>
      </c>
      <c r="J9028" t="s">
        <v>32510</v>
      </c>
      <c r="K9028" t="s">
        <v>41186</v>
      </c>
      <c r="M9028" t="s">
        <v>44148</v>
      </c>
      <c r="N9028" t="s">
        <v>45095</v>
      </c>
      <c r="O9028" t="s">
        <v>45096</v>
      </c>
      <c r="P9028">
        <v>0</v>
      </c>
      <c r="Q9028">
        <v>5</v>
      </c>
      <c r="R9028" t="s">
        <v>45104</v>
      </c>
      <c r="S9028" t="s">
        <v>45304</v>
      </c>
      <c r="T9028" t="s">
        <v>47336</v>
      </c>
      <c r="U9028" t="s">
        <v>54946</v>
      </c>
      <c r="W9028" t="s">
        <v>44148</v>
      </c>
      <c r="X9028" t="s">
        <v>45105</v>
      </c>
    </row>
    <row r="9029" spans="1:24">
      <c r="A9029">
        <f>HYPERLINK("https://www.philgeps.gov.ph/GEPSNONPILOT/Tender/SplashBidNoticeAbstractUI.aspx?menuIndex=3&amp;refID=7034491&amp;Result=3","7034491")</f>
        <v>0</v>
      </c>
      <c r="B9029" t="s">
        <v>1368</v>
      </c>
      <c r="C9029" t="s">
        <v>11798</v>
      </c>
      <c r="D9029" t="s">
        <v>18031</v>
      </c>
      <c r="E9029" t="s">
        <v>26006</v>
      </c>
      <c r="F9029" t="s">
        <v>31574</v>
      </c>
      <c r="G9029" t="s">
        <v>31587</v>
      </c>
      <c r="H9029" t="s">
        <v>31593</v>
      </c>
      <c r="I9029" t="s">
        <v>31593</v>
      </c>
      <c r="J9029" t="s">
        <v>32382</v>
      </c>
      <c r="K9029" t="s">
        <v>41316</v>
      </c>
      <c r="M9029" t="s">
        <v>42941</v>
      </c>
      <c r="N9029" t="s">
        <v>45095</v>
      </c>
      <c r="O9029" t="s">
        <v>45096</v>
      </c>
      <c r="P9029">
        <v>0</v>
      </c>
      <c r="Q9029">
        <v>0</v>
      </c>
      <c r="R9029" t="s">
        <v>45104</v>
      </c>
      <c r="S9029" t="s">
        <v>45304</v>
      </c>
      <c r="T9029" t="s">
        <v>47176</v>
      </c>
      <c r="U9029" t="s">
        <v>54947</v>
      </c>
      <c r="W9029" t="s">
        <v>42941</v>
      </c>
      <c r="X9029" t="s">
        <v>45105</v>
      </c>
    </row>
    <row r="9030" spans="1:24">
      <c r="A9030">
        <f>HYPERLINK("https://www.philgeps.gov.ph/GEPSNONPILOT/Tender/SplashBidNoticeAbstractUI.aspx?menuIndex=3&amp;refID=7034498&amp;Result=3","7034498")</f>
        <v>0</v>
      </c>
      <c r="B9030" t="s">
        <v>2509</v>
      </c>
      <c r="C9030" t="s">
        <v>11799</v>
      </c>
      <c r="E9030" t="s">
        <v>26007</v>
      </c>
      <c r="F9030" t="s">
        <v>31574</v>
      </c>
      <c r="G9030" t="s">
        <v>31582</v>
      </c>
      <c r="H9030" t="s">
        <v>31590</v>
      </c>
      <c r="I9030" t="s">
        <v>4046</v>
      </c>
      <c r="J9030" t="s">
        <v>37420</v>
      </c>
      <c r="K9030" t="s">
        <v>41190</v>
      </c>
      <c r="M9030" t="s">
        <v>44243</v>
      </c>
      <c r="N9030" t="s">
        <v>45095</v>
      </c>
      <c r="O9030" t="s">
        <v>45096</v>
      </c>
      <c r="P9030">
        <v>0</v>
      </c>
      <c r="Q9030">
        <v>2</v>
      </c>
      <c r="R9030" t="s">
        <v>45104</v>
      </c>
      <c r="S9030" t="s">
        <v>45304</v>
      </c>
      <c r="T9030" t="s">
        <v>47067</v>
      </c>
      <c r="U9030" t="s">
        <v>54948</v>
      </c>
      <c r="W9030" t="s">
        <v>44243</v>
      </c>
      <c r="X9030" t="s">
        <v>45105</v>
      </c>
    </row>
    <row r="9031" spans="1:24">
      <c r="A9031">
        <f>HYPERLINK("https://www.philgeps.gov.ph/GEPSNONPILOT/Tender/SplashBidNoticeAbstractUI.aspx?menuIndex=3&amp;refID=7034489&amp;Result=3","7034489")</f>
        <v>0</v>
      </c>
      <c r="B9031" t="s">
        <v>2510</v>
      </c>
      <c r="C9031" t="s">
        <v>11800</v>
      </c>
      <c r="D9031" t="s">
        <v>18103</v>
      </c>
      <c r="E9031" t="s">
        <v>18726</v>
      </c>
      <c r="F9031" t="s">
        <v>31575</v>
      </c>
      <c r="G9031" t="s">
        <v>31583</v>
      </c>
      <c r="H9031" t="s">
        <v>31590</v>
      </c>
      <c r="I9031" t="s">
        <v>3487</v>
      </c>
      <c r="J9031" t="s">
        <v>32375</v>
      </c>
      <c r="K9031" t="s">
        <v>41190</v>
      </c>
      <c r="M9031" t="s">
        <v>44244</v>
      </c>
      <c r="N9031" t="s">
        <v>45095</v>
      </c>
      <c r="O9031" t="s">
        <v>45096</v>
      </c>
      <c r="P9031">
        <v>0</v>
      </c>
      <c r="Q9031">
        <v>2</v>
      </c>
      <c r="R9031" t="s">
        <v>45104</v>
      </c>
      <c r="S9031" t="s">
        <v>45304</v>
      </c>
      <c r="T9031" t="s">
        <v>47162</v>
      </c>
      <c r="U9031" t="s">
        <v>54949</v>
      </c>
      <c r="W9031" t="s">
        <v>44244</v>
      </c>
      <c r="X9031" t="s">
        <v>45105</v>
      </c>
    </row>
    <row r="9032" spans="1:24">
      <c r="A9032">
        <f>HYPERLINK("https://www.philgeps.gov.ph/GEPSNONPILOT/Tender/SplashBidNoticeAbstractUI.aspx?menuIndex=3&amp;refID=7034490&amp;Result=3","7034490")</f>
        <v>0</v>
      </c>
      <c r="B9032" t="s">
        <v>62</v>
      </c>
      <c r="C9032" t="s">
        <v>11801</v>
      </c>
      <c r="D9032" t="s">
        <v>18037</v>
      </c>
      <c r="E9032" t="s">
        <v>26008</v>
      </c>
      <c r="F9032" t="s">
        <v>31574</v>
      </c>
      <c r="G9032" t="s">
        <v>31588</v>
      </c>
      <c r="H9032" t="s">
        <v>31590</v>
      </c>
      <c r="I9032" t="s">
        <v>31612</v>
      </c>
      <c r="J9032" t="s">
        <v>37421</v>
      </c>
      <c r="K9032" t="s">
        <v>41184</v>
      </c>
      <c r="L9032" t="s">
        <v>62</v>
      </c>
      <c r="M9032" t="s">
        <v>41546</v>
      </c>
      <c r="N9032" t="s">
        <v>45095</v>
      </c>
      <c r="O9032" t="s">
        <v>45096</v>
      </c>
      <c r="Q9032">
        <v>5</v>
      </c>
      <c r="R9032" t="s">
        <v>45104</v>
      </c>
      <c r="S9032" t="s">
        <v>45332</v>
      </c>
      <c r="T9032" t="s">
        <v>46977</v>
      </c>
      <c r="U9032" t="s">
        <v>54950</v>
      </c>
      <c r="W9032" t="s">
        <v>41546</v>
      </c>
      <c r="X9032" t="s">
        <v>45105</v>
      </c>
    </row>
    <row r="9033" spans="1:24">
      <c r="A9033">
        <f>HYPERLINK("https://www.philgeps.gov.ph/GEPSNONPILOT/Tender/SplashBidNoticeAbstractUI.aspx?menuIndex=3&amp;refID=7034478&amp;Result=3","7034478")</f>
        <v>0</v>
      </c>
      <c r="B9033" t="s">
        <v>1368</v>
      </c>
      <c r="C9033" t="s">
        <v>11802</v>
      </c>
      <c r="D9033" t="s">
        <v>18031</v>
      </c>
      <c r="E9033" t="s">
        <v>19071</v>
      </c>
      <c r="F9033" t="s">
        <v>31574</v>
      </c>
      <c r="G9033" t="s">
        <v>31587</v>
      </c>
      <c r="H9033" t="s">
        <v>31593</v>
      </c>
      <c r="I9033" t="s">
        <v>31593</v>
      </c>
      <c r="J9033" t="s">
        <v>37415</v>
      </c>
      <c r="K9033" t="s">
        <v>41316</v>
      </c>
      <c r="M9033" t="s">
        <v>42941</v>
      </c>
      <c r="N9033" t="s">
        <v>45095</v>
      </c>
      <c r="O9033" t="s">
        <v>45096</v>
      </c>
      <c r="P9033">
        <v>0</v>
      </c>
      <c r="Q9033">
        <v>0</v>
      </c>
      <c r="R9033" t="s">
        <v>45104</v>
      </c>
      <c r="S9033" t="s">
        <v>45304</v>
      </c>
      <c r="T9033" t="s">
        <v>47176</v>
      </c>
      <c r="U9033" t="s">
        <v>54951</v>
      </c>
      <c r="W9033" t="s">
        <v>42941</v>
      </c>
      <c r="X9033" t="s">
        <v>45105</v>
      </c>
    </row>
    <row r="9034" spans="1:24">
      <c r="A9034">
        <f>HYPERLINK("https://www.philgeps.gov.ph/GEPSNONPILOT/Tender/SplashBidNoticeAbstractUI.aspx?menuIndex=3&amp;refID=7034452&amp;Result=3","7034452")</f>
        <v>0</v>
      </c>
      <c r="B9034" t="s">
        <v>2511</v>
      </c>
      <c r="C9034" t="s">
        <v>11803</v>
      </c>
      <c r="D9034" t="s">
        <v>18079</v>
      </c>
      <c r="E9034" t="s">
        <v>26009</v>
      </c>
      <c r="F9034" t="s">
        <v>31574</v>
      </c>
      <c r="G9034" t="s">
        <v>31582</v>
      </c>
      <c r="H9034" t="s">
        <v>31591</v>
      </c>
      <c r="I9034" t="s">
        <v>8822</v>
      </c>
      <c r="J9034" t="s">
        <v>37422</v>
      </c>
      <c r="K9034" t="s">
        <v>41243</v>
      </c>
      <c r="M9034" t="s">
        <v>44245</v>
      </c>
      <c r="N9034" t="s">
        <v>45095</v>
      </c>
      <c r="O9034" t="s">
        <v>45096</v>
      </c>
      <c r="P9034">
        <v>0</v>
      </c>
      <c r="Q9034">
        <v>3</v>
      </c>
      <c r="R9034" t="s">
        <v>45104</v>
      </c>
      <c r="S9034" t="s">
        <v>45304</v>
      </c>
      <c r="T9034" t="s">
        <v>46943</v>
      </c>
      <c r="U9034" t="s">
        <v>54952</v>
      </c>
      <c r="V9034" t="s">
        <v>60777</v>
      </c>
      <c r="W9034" t="s">
        <v>44245</v>
      </c>
      <c r="X9034" t="s">
        <v>45105</v>
      </c>
    </row>
    <row r="9035" spans="1:24">
      <c r="A9035">
        <f>HYPERLINK("https://www.philgeps.gov.ph/GEPSNONPILOT/Tender/SplashBidNoticeAbstractUI.aspx?menuIndex=3&amp;refID=7034480&amp;Result=3","7034480")</f>
        <v>0</v>
      </c>
      <c r="B9035" t="s">
        <v>2512</v>
      </c>
      <c r="C9035" t="s">
        <v>11804</v>
      </c>
      <c r="D9035" t="s">
        <v>18066</v>
      </c>
      <c r="E9035" t="s">
        <v>18422</v>
      </c>
      <c r="F9035" t="s">
        <v>31574</v>
      </c>
      <c r="G9035" t="s">
        <v>31582</v>
      </c>
      <c r="H9035" t="s">
        <v>31591</v>
      </c>
      <c r="I9035" t="s">
        <v>8822</v>
      </c>
      <c r="J9035" t="s">
        <v>36202</v>
      </c>
      <c r="K9035" t="s">
        <v>41191</v>
      </c>
      <c r="M9035" t="s">
        <v>44246</v>
      </c>
      <c r="N9035" t="s">
        <v>45095</v>
      </c>
      <c r="O9035" t="s">
        <v>45096</v>
      </c>
      <c r="P9035">
        <v>0</v>
      </c>
      <c r="Q9035">
        <v>0</v>
      </c>
      <c r="R9035" t="s">
        <v>45104</v>
      </c>
      <c r="S9035" t="s">
        <v>45304</v>
      </c>
      <c r="T9035" t="s">
        <v>47154</v>
      </c>
      <c r="U9035" t="s">
        <v>54953</v>
      </c>
      <c r="W9035" t="s">
        <v>44246</v>
      </c>
      <c r="X9035" t="s">
        <v>45105</v>
      </c>
    </row>
    <row r="9036" spans="1:24">
      <c r="A9036">
        <f>HYPERLINK("https://www.philgeps.gov.ph/GEPSNONPILOT/Tender/SplashBidNoticeAbstractUI.aspx?menuIndex=3&amp;refID=7034476&amp;Result=3","7034476")</f>
        <v>0</v>
      </c>
      <c r="B9036" t="s">
        <v>2265</v>
      </c>
      <c r="C9036" t="s">
        <v>11805</v>
      </c>
      <c r="D9036" t="s">
        <v>18037</v>
      </c>
      <c r="E9036" t="s">
        <v>26010</v>
      </c>
      <c r="F9036" t="s">
        <v>31574</v>
      </c>
      <c r="G9036" t="s">
        <v>31582</v>
      </c>
      <c r="H9036" t="s">
        <v>31590</v>
      </c>
      <c r="I9036" t="s">
        <v>7185</v>
      </c>
      <c r="J9036" t="s">
        <v>37423</v>
      </c>
      <c r="K9036" t="s">
        <v>41193</v>
      </c>
      <c r="M9036" t="s">
        <v>43965</v>
      </c>
      <c r="N9036" t="s">
        <v>45095</v>
      </c>
      <c r="O9036" t="s">
        <v>45096</v>
      </c>
      <c r="Q9036">
        <v>21</v>
      </c>
      <c r="R9036" t="s">
        <v>45104</v>
      </c>
      <c r="S9036" t="s">
        <v>45333</v>
      </c>
      <c r="T9036" t="s">
        <v>47010</v>
      </c>
      <c r="U9036" t="s">
        <v>54954</v>
      </c>
      <c r="W9036" t="s">
        <v>43965</v>
      </c>
      <c r="X9036" t="s">
        <v>45105</v>
      </c>
    </row>
    <row r="9037" spans="1:24">
      <c r="A9037">
        <f>HYPERLINK("https://www.philgeps.gov.ph/GEPSNONPILOT/Tender/SplashBidNoticeAbstractUI.aspx?menuIndex=3&amp;refID=7034484&amp;Result=3","7034484")</f>
        <v>0</v>
      </c>
      <c r="B9037" t="s">
        <v>2513</v>
      </c>
      <c r="C9037" t="s">
        <v>11806</v>
      </c>
      <c r="D9037" t="s">
        <v>18087</v>
      </c>
      <c r="E9037" t="s">
        <v>26011</v>
      </c>
      <c r="F9037" t="s">
        <v>31574</v>
      </c>
      <c r="G9037" t="s">
        <v>31582</v>
      </c>
      <c r="H9037" t="s">
        <v>31590</v>
      </c>
      <c r="I9037" t="s">
        <v>4046</v>
      </c>
      <c r="J9037" t="s">
        <v>37424</v>
      </c>
      <c r="K9037" t="s">
        <v>41190</v>
      </c>
      <c r="M9037" t="s">
        <v>44247</v>
      </c>
      <c r="N9037" t="s">
        <v>45095</v>
      </c>
      <c r="O9037" t="s">
        <v>45096</v>
      </c>
      <c r="P9037">
        <v>0</v>
      </c>
      <c r="Q9037">
        <v>0</v>
      </c>
      <c r="R9037" t="s">
        <v>45104</v>
      </c>
      <c r="S9037" t="s">
        <v>45304</v>
      </c>
      <c r="T9037" t="s">
        <v>46989</v>
      </c>
      <c r="U9037" t="s">
        <v>54955</v>
      </c>
      <c r="W9037" t="s">
        <v>44247</v>
      </c>
      <c r="X9037" t="s">
        <v>45105</v>
      </c>
    </row>
    <row r="9038" spans="1:24">
      <c r="A9038">
        <f>HYPERLINK("https://www.philgeps.gov.ph/GEPSNONPILOT/Tender/SplashBidNoticeAbstractUI.aspx?menuIndex=3&amp;refID=7034521&amp;Result=3","7034521")</f>
        <v>0</v>
      </c>
      <c r="B9038" t="s">
        <v>2473</v>
      </c>
      <c r="C9038" t="s">
        <v>11807</v>
      </c>
      <c r="D9038" t="s">
        <v>18033</v>
      </c>
      <c r="E9038" t="s">
        <v>26012</v>
      </c>
      <c r="F9038" t="s">
        <v>31574</v>
      </c>
      <c r="G9038" t="s">
        <v>31583</v>
      </c>
      <c r="H9038" t="s">
        <v>31590</v>
      </c>
      <c r="I9038" t="s">
        <v>4046</v>
      </c>
      <c r="J9038" t="s">
        <v>37330</v>
      </c>
      <c r="K9038" t="s">
        <v>41193</v>
      </c>
      <c r="M9038" t="s">
        <v>44202</v>
      </c>
      <c r="N9038" t="s">
        <v>45095</v>
      </c>
      <c r="O9038" t="s">
        <v>45096</v>
      </c>
      <c r="P9038">
        <v>0</v>
      </c>
      <c r="Q9038">
        <v>0</v>
      </c>
      <c r="R9038" t="s">
        <v>45104</v>
      </c>
      <c r="S9038" t="s">
        <v>45304</v>
      </c>
      <c r="T9038" t="s">
        <v>46957</v>
      </c>
      <c r="U9038" t="s">
        <v>54839</v>
      </c>
      <c r="W9038" t="s">
        <v>44202</v>
      </c>
      <c r="X9038" t="s">
        <v>45105</v>
      </c>
    </row>
    <row r="9039" spans="1:24">
      <c r="A9039">
        <f>HYPERLINK("https://www.philgeps.gov.ph/GEPSNONPILOT/Tender/SplashBidNoticeAbstractUI.aspx?menuIndex=3&amp;refID=7034512&amp;Result=3","7034512")</f>
        <v>0</v>
      </c>
      <c r="B9039" t="s">
        <v>1682</v>
      </c>
      <c r="C9039" t="s">
        <v>11808</v>
      </c>
      <c r="D9039" t="s">
        <v>18064</v>
      </c>
      <c r="E9039" t="s">
        <v>26013</v>
      </c>
      <c r="F9039" t="s">
        <v>31574</v>
      </c>
      <c r="G9039" t="s">
        <v>31582</v>
      </c>
      <c r="H9039" t="s">
        <v>31591</v>
      </c>
      <c r="I9039" t="s">
        <v>8822</v>
      </c>
      <c r="J9039" t="s">
        <v>32019</v>
      </c>
      <c r="K9039" t="s">
        <v>41185</v>
      </c>
      <c r="M9039" t="s">
        <v>43295</v>
      </c>
      <c r="N9039" t="s">
        <v>45095</v>
      </c>
      <c r="O9039" t="s">
        <v>45096</v>
      </c>
      <c r="P9039">
        <v>0</v>
      </c>
      <c r="Q9039">
        <v>0</v>
      </c>
      <c r="R9039" t="s">
        <v>45104</v>
      </c>
      <c r="S9039" t="s">
        <v>45304</v>
      </c>
      <c r="T9039" t="s">
        <v>47114</v>
      </c>
      <c r="U9039" t="s">
        <v>54956</v>
      </c>
      <c r="W9039" t="s">
        <v>43295</v>
      </c>
      <c r="X9039" t="s">
        <v>45105</v>
      </c>
    </row>
    <row r="9040" spans="1:24">
      <c r="A9040">
        <f>HYPERLINK("https://www.philgeps.gov.ph/GEPSNONPILOT/Tender/SplashBidNoticeAbstractUI.aspx?menuIndex=3&amp;refID=7034455&amp;Result=3","7034455")</f>
        <v>0</v>
      </c>
      <c r="B9040" t="s">
        <v>2489</v>
      </c>
      <c r="C9040" t="s">
        <v>11809</v>
      </c>
      <c r="D9040" t="s">
        <v>18055</v>
      </c>
      <c r="E9040" t="s">
        <v>26014</v>
      </c>
      <c r="F9040" t="s">
        <v>31574</v>
      </c>
      <c r="G9040" t="s">
        <v>31582</v>
      </c>
      <c r="H9040" t="s">
        <v>31591</v>
      </c>
      <c r="I9040" t="s">
        <v>8822</v>
      </c>
      <c r="J9040" t="s">
        <v>34882</v>
      </c>
      <c r="K9040" t="s">
        <v>41200</v>
      </c>
      <c r="L9040" t="s">
        <v>2489</v>
      </c>
      <c r="M9040" t="s">
        <v>44220</v>
      </c>
      <c r="N9040" t="s">
        <v>45095</v>
      </c>
      <c r="O9040" t="s">
        <v>45096</v>
      </c>
      <c r="P9040">
        <v>0</v>
      </c>
      <c r="Q9040">
        <v>10</v>
      </c>
      <c r="R9040" t="s">
        <v>45104</v>
      </c>
      <c r="S9040" t="s">
        <v>45304</v>
      </c>
      <c r="T9040" t="s">
        <v>46987</v>
      </c>
      <c r="U9040" t="s">
        <v>54957</v>
      </c>
      <c r="W9040" t="s">
        <v>44220</v>
      </c>
      <c r="X9040" t="s">
        <v>45105</v>
      </c>
    </row>
    <row r="9041" spans="1:24">
      <c r="A9041">
        <f>HYPERLINK("https://www.philgeps.gov.ph/GEPSNONPILOT/Tender/SplashBidNoticeAbstractUI.aspx?menuIndex=3&amp;refID=7034500&amp;Result=3","7034500")</f>
        <v>0</v>
      </c>
      <c r="B9041" t="s">
        <v>2491</v>
      </c>
      <c r="C9041" t="s">
        <v>11810</v>
      </c>
      <c r="D9041" t="s">
        <v>18030</v>
      </c>
      <c r="E9041" t="s">
        <v>25836</v>
      </c>
      <c r="F9041" t="s">
        <v>31574</v>
      </c>
      <c r="G9041" t="s">
        <v>31582</v>
      </c>
      <c r="H9041" t="s">
        <v>31591</v>
      </c>
      <c r="I9041" t="s">
        <v>8822</v>
      </c>
      <c r="J9041" t="s">
        <v>37425</v>
      </c>
      <c r="K9041" t="s">
        <v>41186</v>
      </c>
      <c r="M9041" t="s">
        <v>44222</v>
      </c>
      <c r="N9041" t="s">
        <v>45095</v>
      </c>
      <c r="O9041" t="s">
        <v>45096</v>
      </c>
      <c r="P9041">
        <v>0</v>
      </c>
      <c r="Q9041">
        <v>0</v>
      </c>
      <c r="R9041" t="s">
        <v>45104</v>
      </c>
      <c r="S9041" t="s">
        <v>45304</v>
      </c>
      <c r="T9041" t="s">
        <v>47162</v>
      </c>
      <c r="U9041" t="s">
        <v>54958</v>
      </c>
      <c r="W9041" t="s">
        <v>44222</v>
      </c>
      <c r="X9041" t="s">
        <v>45105</v>
      </c>
    </row>
    <row r="9042" spans="1:24">
      <c r="A9042">
        <f>HYPERLINK("https://www.philgeps.gov.ph/GEPSNONPILOT/Tender/SplashBidNoticeAbstractUI.aspx?menuIndex=3&amp;refID=7034497&amp;Result=3","7034497")</f>
        <v>0</v>
      </c>
      <c r="B9042" t="s">
        <v>1967</v>
      </c>
      <c r="C9042" t="s">
        <v>11811</v>
      </c>
      <c r="D9042" t="s">
        <v>18081</v>
      </c>
      <c r="E9042" t="s">
        <v>26015</v>
      </c>
      <c r="F9042" t="s">
        <v>31575</v>
      </c>
      <c r="G9042" t="s">
        <v>31582</v>
      </c>
      <c r="H9042" t="s">
        <v>31590</v>
      </c>
      <c r="I9042" t="s">
        <v>31594</v>
      </c>
      <c r="J9042" t="s">
        <v>37426</v>
      </c>
      <c r="K9042" t="s">
        <v>41196</v>
      </c>
      <c r="M9042" t="s">
        <v>43624</v>
      </c>
      <c r="N9042" t="s">
        <v>45095</v>
      </c>
      <c r="O9042" t="s">
        <v>45096</v>
      </c>
      <c r="P9042">
        <v>0</v>
      </c>
      <c r="Q9042">
        <v>6</v>
      </c>
      <c r="R9042" t="s">
        <v>45104</v>
      </c>
      <c r="S9042" t="s">
        <v>45304</v>
      </c>
      <c r="T9042" t="s">
        <v>46937</v>
      </c>
      <c r="U9042" t="s">
        <v>52758</v>
      </c>
      <c r="W9042" t="s">
        <v>43624</v>
      </c>
      <c r="X9042" t="s">
        <v>45105</v>
      </c>
    </row>
    <row r="9043" spans="1:24">
      <c r="A9043">
        <f>HYPERLINK("https://www.philgeps.gov.ph/GEPSNONPILOT/Tender/SplashBidNoticeAbstractUI.aspx?menuIndex=3&amp;refID=7034510&amp;Result=3","7034510")</f>
        <v>0</v>
      </c>
      <c r="B9043" t="s">
        <v>299</v>
      </c>
      <c r="C9043" t="s">
        <v>11812</v>
      </c>
      <c r="D9043" t="s">
        <v>18081</v>
      </c>
      <c r="E9043" t="s">
        <v>26016</v>
      </c>
      <c r="F9043" t="s">
        <v>31574</v>
      </c>
      <c r="G9043" t="s">
        <v>31582</v>
      </c>
      <c r="H9043" t="s">
        <v>31591</v>
      </c>
      <c r="I9043" t="s">
        <v>8822</v>
      </c>
      <c r="J9043" t="s">
        <v>37427</v>
      </c>
      <c r="K9043" t="s">
        <v>41189</v>
      </c>
      <c r="M9043" t="s">
        <v>41785</v>
      </c>
      <c r="N9043" t="s">
        <v>45095</v>
      </c>
      <c r="O9043" t="s">
        <v>45096</v>
      </c>
      <c r="P9043">
        <v>0</v>
      </c>
      <c r="Q9043">
        <v>0</v>
      </c>
      <c r="R9043" t="s">
        <v>45104</v>
      </c>
      <c r="S9043" t="s">
        <v>45304</v>
      </c>
      <c r="T9043" t="s">
        <v>46977</v>
      </c>
      <c r="U9043" t="s">
        <v>54959</v>
      </c>
      <c r="W9043" t="s">
        <v>41785</v>
      </c>
      <c r="X9043" t="s">
        <v>45105</v>
      </c>
    </row>
    <row r="9044" spans="1:24">
      <c r="A9044">
        <f>HYPERLINK("https://www.philgeps.gov.ph/GEPSNONPILOT/Tender/SplashBidNoticeAbstractUI.aspx?menuIndex=3&amp;refID=7034516&amp;Result=3","7034516")</f>
        <v>0</v>
      </c>
      <c r="B9044" t="s">
        <v>1409</v>
      </c>
      <c r="C9044" t="s">
        <v>11813</v>
      </c>
      <c r="D9044" t="s">
        <v>18050</v>
      </c>
      <c r="E9044" t="s">
        <v>26017</v>
      </c>
      <c r="F9044" t="s">
        <v>31574</v>
      </c>
      <c r="G9044" t="s">
        <v>31583</v>
      </c>
      <c r="H9044" t="s">
        <v>31590</v>
      </c>
      <c r="I9044" t="s">
        <v>5717</v>
      </c>
      <c r="J9044" t="s">
        <v>37428</v>
      </c>
      <c r="K9044" t="s">
        <v>41196</v>
      </c>
      <c r="M9044" t="s">
        <v>42985</v>
      </c>
      <c r="N9044" t="s">
        <v>45095</v>
      </c>
      <c r="O9044" t="s">
        <v>45096</v>
      </c>
      <c r="P9044">
        <v>0</v>
      </c>
      <c r="Q9044">
        <v>1</v>
      </c>
      <c r="R9044" t="s">
        <v>45104</v>
      </c>
      <c r="S9044" t="s">
        <v>45304</v>
      </c>
      <c r="T9044" t="s">
        <v>46949</v>
      </c>
      <c r="U9044" t="s">
        <v>54960</v>
      </c>
      <c r="W9044" t="s">
        <v>42985</v>
      </c>
      <c r="X9044" t="s">
        <v>45105</v>
      </c>
    </row>
    <row r="9045" spans="1:24">
      <c r="A9045">
        <f>HYPERLINK("https://www.philgeps.gov.ph/GEPSNONPILOT/Tender/SplashBidNoticeAbstractUI.aspx?menuIndex=3&amp;refID=7034451&amp;Result=3","7034451")</f>
        <v>0</v>
      </c>
      <c r="B9045" t="s">
        <v>135</v>
      </c>
      <c r="C9045" t="s">
        <v>11814</v>
      </c>
      <c r="D9045" t="s">
        <v>18022</v>
      </c>
      <c r="E9045" t="s">
        <v>26018</v>
      </c>
      <c r="F9045" t="s">
        <v>31574</v>
      </c>
      <c r="G9045" t="s">
        <v>31582</v>
      </c>
      <c r="H9045" t="s">
        <v>31590</v>
      </c>
      <c r="I9045" t="s">
        <v>3487</v>
      </c>
      <c r="J9045" t="s">
        <v>37429</v>
      </c>
      <c r="K9045" t="s">
        <v>41184</v>
      </c>
      <c r="M9045" t="s">
        <v>43553</v>
      </c>
      <c r="N9045" t="s">
        <v>45095</v>
      </c>
      <c r="O9045" t="s">
        <v>45096</v>
      </c>
      <c r="P9045">
        <v>0</v>
      </c>
      <c r="Q9045">
        <v>4</v>
      </c>
      <c r="R9045" t="s">
        <v>45104</v>
      </c>
      <c r="S9045" t="s">
        <v>45304</v>
      </c>
      <c r="T9045" t="s">
        <v>47010</v>
      </c>
      <c r="U9045" t="s">
        <v>54961</v>
      </c>
      <c r="W9045" t="s">
        <v>43553</v>
      </c>
      <c r="X9045" t="s">
        <v>45105</v>
      </c>
    </row>
    <row r="9046" spans="1:24">
      <c r="A9046">
        <f>HYPERLINK("https://www.philgeps.gov.ph/GEPSNONPILOT/Tender/SplashBidNoticeAbstractUI.aspx?menuIndex=3&amp;refID=7034456&amp;Result=3","7034456")</f>
        <v>0</v>
      </c>
      <c r="B9046" t="s">
        <v>299</v>
      </c>
      <c r="C9046" t="s">
        <v>11815</v>
      </c>
      <c r="D9046" t="s">
        <v>18081</v>
      </c>
      <c r="E9046" t="s">
        <v>26019</v>
      </c>
      <c r="F9046" t="s">
        <v>31574</v>
      </c>
      <c r="G9046" t="s">
        <v>31582</v>
      </c>
      <c r="H9046" t="s">
        <v>31591</v>
      </c>
      <c r="I9046" t="s">
        <v>8822</v>
      </c>
      <c r="J9046" t="s">
        <v>32550</v>
      </c>
      <c r="K9046" t="s">
        <v>41221</v>
      </c>
      <c r="M9046" t="s">
        <v>41785</v>
      </c>
      <c r="N9046" t="s">
        <v>45095</v>
      </c>
      <c r="O9046" t="s">
        <v>45096</v>
      </c>
      <c r="P9046">
        <v>0</v>
      </c>
      <c r="Q9046">
        <v>0</v>
      </c>
      <c r="R9046" t="s">
        <v>45104</v>
      </c>
      <c r="S9046" t="s">
        <v>45304</v>
      </c>
      <c r="T9046" t="s">
        <v>46977</v>
      </c>
      <c r="U9046" t="s">
        <v>54962</v>
      </c>
      <c r="W9046" t="s">
        <v>41785</v>
      </c>
      <c r="X9046" t="s">
        <v>45105</v>
      </c>
    </row>
    <row r="9047" spans="1:24">
      <c r="A9047">
        <f>HYPERLINK("https://www.philgeps.gov.ph/GEPSNONPILOT/Tender/SplashBidNoticeAbstractUI.aspx?menuIndex=3&amp;refID=7034556&amp;Result=3","7034556")</f>
        <v>0</v>
      </c>
      <c r="B9047" t="s">
        <v>62</v>
      </c>
      <c r="C9047" t="s">
        <v>11816</v>
      </c>
      <c r="D9047" t="s">
        <v>18037</v>
      </c>
      <c r="E9047" t="s">
        <v>26020</v>
      </c>
      <c r="F9047" t="s">
        <v>31574</v>
      </c>
      <c r="G9047" t="s">
        <v>31588</v>
      </c>
      <c r="H9047" t="s">
        <v>31590</v>
      </c>
      <c r="I9047" t="s">
        <v>31633</v>
      </c>
      <c r="J9047" t="s">
        <v>37430</v>
      </c>
      <c r="K9047" t="s">
        <v>41184</v>
      </c>
      <c r="L9047" t="s">
        <v>62</v>
      </c>
      <c r="M9047" t="s">
        <v>41546</v>
      </c>
      <c r="N9047" t="s">
        <v>45095</v>
      </c>
      <c r="O9047" t="s">
        <v>45096</v>
      </c>
      <c r="Q9047">
        <v>6</v>
      </c>
      <c r="R9047" t="s">
        <v>45104</v>
      </c>
      <c r="S9047" t="s">
        <v>45334</v>
      </c>
      <c r="T9047" t="s">
        <v>47354</v>
      </c>
      <c r="U9047" t="s">
        <v>54963</v>
      </c>
      <c r="W9047" t="s">
        <v>41546</v>
      </c>
      <c r="X9047" t="s">
        <v>45105</v>
      </c>
    </row>
    <row r="9048" spans="1:24">
      <c r="A9048">
        <f>HYPERLINK("https://www.philgeps.gov.ph/GEPSNONPILOT/Tender/SplashBidNoticeAbstractUI.aspx?menuIndex=3&amp;refID=7034553&amp;Result=3","7034553")</f>
        <v>0</v>
      </c>
      <c r="B9048" t="s">
        <v>2473</v>
      </c>
      <c r="C9048" t="s">
        <v>11817</v>
      </c>
      <c r="D9048" t="s">
        <v>18033</v>
      </c>
      <c r="E9048" t="s">
        <v>26021</v>
      </c>
      <c r="F9048" t="s">
        <v>31574</v>
      </c>
      <c r="G9048" t="s">
        <v>31583</v>
      </c>
      <c r="H9048" t="s">
        <v>31590</v>
      </c>
      <c r="I9048" t="s">
        <v>4046</v>
      </c>
      <c r="J9048" t="s">
        <v>37330</v>
      </c>
      <c r="K9048" t="s">
        <v>41193</v>
      </c>
      <c r="M9048" t="s">
        <v>44202</v>
      </c>
      <c r="N9048" t="s">
        <v>45095</v>
      </c>
      <c r="O9048" t="s">
        <v>45096</v>
      </c>
      <c r="P9048">
        <v>0</v>
      </c>
      <c r="Q9048">
        <v>0</v>
      </c>
      <c r="R9048" t="s">
        <v>45104</v>
      </c>
      <c r="S9048" t="s">
        <v>45304</v>
      </c>
      <c r="T9048" t="s">
        <v>46957</v>
      </c>
      <c r="U9048" t="s">
        <v>54839</v>
      </c>
      <c r="W9048" t="s">
        <v>44202</v>
      </c>
      <c r="X9048" t="s">
        <v>45105</v>
      </c>
    </row>
    <row r="9049" spans="1:24">
      <c r="A9049">
        <f>HYPERLINK("https://www.philgeps.gov.ph/GEPSNONPILOT/Tender/SplashBidNoticeAbstractUI.aspx?menuIndex=3&amp;refID=7034509&amp;Result=3","7034509")</f>
        <v>0</v>
      </c>
      <c r="B9049" t="s">
        <v>87</v>
      </c>
      <c r="C9049" t="s">
        <v>11818</v>
      </c>
      <c r="D9049" t="s">
        <v>18054</v>
      </c>
      <c r="E9049" t="s">
        <v>26022</v>
      </c>
      <c r="F9049" t="s">
        <v>31574</v>
      </c>
      <c r="G9049" t="s">
        <v>31582</v>
      </c>
      <c r="H9049" t="s">
        <v>31590</v>
      </c>
      <c r="I9049" t="s">
        <v>4677</v>
      </c>
      <c r="J9049" t="s">
        <v>37431</v>
      </c>
      <c r="K9049" t="s">
        <v>41210</v>
      </c>
      <c r="M9049" t="s">
        <v>41571</v>
      </c>
      <c r="N9049" t="s">
        <v>45095</v>
      </c>
      <c r="O9049" t="s">
        <v>45096</v>
      </c>
      <c r="P9049">
        <v>0</v>
      </c>
      <c r="Q9049">
        <v>0</v>
      </c>
      <c r="R9049" t="s">
        <v>45104</v>
      </c>
      <c r="S9049" t="s">
        <v>45304</v>
      </c>
      <c r="T9049" t="s">
        <v>47010</v>
      </c>
      <c r="U9049" t="s">
        <v>54964</v>
      </c>
      <c r="V9049" t="s">
        <v>60778</v>
      </c>
      <c r="W9049" t="s">
        <v>41571</v>
      </c>
      <c r="X9049" t="s">
        <v>45105</v>
      </c>
    </row>
    <row r="9050" spans="1:24">
      <c r="A9050">
        <f>HYPERLINK("https://www.philgeps.gov.ph/GEPSNONPILOT/Tender/SplashBidNoticeAbstractUI.aspx?menuIndex=3&amp;refID=7034518&amp;Result=3","7034518")</f>
        <v>0</v>
      </c>
      <c r="B9050" t="s">
        <v>2500</v>
      </c>
      <c r="C9050" t="s">
        <v>11819</v>
      </c>
      <c r="D9050" t="s">
        <v>18022</v>
      </c>
      <c r="E9050" t="s">
        <v>18754</v>
      </c>
      <c r="F9050" t="s">
        <v>31575</v>
      </c>
      <c r="G9050" t="s">
        <v>31582</v>
      </c>
      <c r="H9050" t="s">
        <v>31590</v>
      </c>
      <c r="I9050" t="s">
        <v>8056</v>
      </c>
      <c r="J9050" t="s">
        <v>37432</v>
      </c>
      <c r="K9050" t="s">
        <v>41193</v>
      </c>
      <c r="M9050" t="s">
        <v>44232</v>
      </c>
      <c r="N9050" t="s">
        <v>45095</v>
      </c>
      <c r="O9050" t="s">
        <v>45096</v>
      </c>
      <c r="P9050">
        <v>0</v>
      </c>
      <c r="Q9050">
        <v>6</v>
      </c>
      <c r="R9050" t="s">
        <v>45104</v>
      </c>
      <c r="S9050" t="s">
        <v>45304</v>
      </c>
      <c r="T9050" t="s">
        <v>46914</v>
      </c>
      <c r="U9050" t="s">
        <v>54965</v>
      </c>
      <c r="W9050" t="s">
        <v>44232</v>
      </c>
      <c r="X9050" t="s">
        <v>45105</v>
      </c>
    </row>
    <row r="9051" spans="1:24">
      <c r="A9051">
        <f>HYPERLINK("https://www.philgeps.gov.ph/GEPSNONPILOT/Tender/SplashBidNoticeAbstractUI.aspx?menuIndex=3&amp;refID=7034544&amp;Result=3","7034544")</f>
        <v>0</v>
      </c>
      <c r="B9051" t="s">
        <v>2514</v>
      </c>
      <c r="C9051" t="s">
        <v>11820</v>
      </c>
      <c r="D9051" t="s">
        <v>18071</v>
      </c>
      <c r="E9051" t="s">
        <v>26023</v>
      </c>
      <c r="F9051" t="s">
        <v>31574</v>
      </c>
      <c r="G9051" t="s">
        <v>31583</v>
      </c>
      <c r="H9051" t="s">
        <v>31590</v>
      </c>
      <c r="I9051" t="s">
        <v>31648</v>
      </c>
      <c r="J9051" t="s">
        <v>37433</v>
      </c>
      <c r="K9051" t="s">
        <v>41186</v>
      </c>
      <c r="M9051" t="s">
        <v>44248</v>
      </c>
      <c r="N9051" t="s">
        <v>45095</v>
      </c>
      <c r="O9051" t="s">
        <v>45096</v>
      </c>
      <c r="P9051">
        <v>0</v>
      </c>
      <c r="Q9051">
        <v>2</v>
      </c>
      <c r="R9051" t="s">
        <v>45104</v>
      </c>
      <c r="S9051" t="s">
        <v>45304</v>
      </c>
      <c r="T9051" t="s">
        <v>47077</v>
      </c>
      <c r="U9051" t="s">
        <v>54966</v>
      </c>
      <c r="W9051" t="s">
        <v>44248</v>
      </c>
      <c r="X9051" t="s">
        <v>45105</v>
      </c>
    </row>
    <row r="9052" spans="1:24">
      <c r="A9052">
        <f>HYPERLINK("https://www.philgeps.gov.ph/GEPSNONPILOT/Tender/SplashBidNoticeAbstractUI.aspx?menuIndex=3&amp;refID=7034547&amp;Result=3","7034547")</f>
        <v>0</v>
      </c>
      <c r="B9052" t="s">
        <v>1368</v>
      </c>
      <c r="C9052" t="s">
        <v>11821</v>
      </c>
      <c r="D9052" t="s">
        <v>18031</v>
      </c>
      <c r="E9052" t="s">
        <v>26024</v>
      </c>
      <c r="F9052" t="s">
        <v>31574</v>
      </c>
      <c r="G9052" t="s">
        <v>31587</v>
      </c>
      <c r="H9052" t="s">
        <v>31593</v>
      </c>
      <c r="I9052" t="s">
        <v>31593</v>
      </c>
      <c r="J9052" t="s">
        <v>31842</v>
      </c>
      <c r="K9052" t="s">
        <v>41316</v>
      </c>
      <c r="M9052" t="s">
        <v>42941</v>
      </c>
      <c r="N9052" t="s">
        <v>45095</v>
      </c>
      <c r="O9052" t="s">
        <v>45096</v>
      </c>
      <c r="P9052">
        <v>0</v>
      </c>
      <c r="Q9052">
        <v>0</v>
      </c>
      <c r="R9052" t="s">
        <v>45104</v>
      </c>
      <c r="S9052" t="s">
        <v>45304</v>
      </c>
      <c r="T9052" t="s">
        <v>47176</v>
      </c>
      <c r="U9052" t="s">
        <v>54967</v>
      </c>
      <c r="W9052" t="s">
        <v>42941</v>
      </c>
      <c r="X9052" t="s">
        <v>45105</v>
      </c>
    </row>
    <row r="9053" spans="1:24">
      <c r="A9053">
        <f>HYPERLINK("https://www.philgeps.gov.ph/GEPSNONPILOT/Tender/SplashBidNoticeAbstractUI.aspx?menuIndex=3&amp;refID=7034523&amp;Result=3","7034523")</f>
        <v>0</v>
      </c>
      <c r="B9053" t="s">
        <v>2515</v>
      </c>
      <c r="C9053" t="s">
        <v>11822</v>
      </c>
      <c r="D9053" t="s">
        <v>18047</v>
      </c>
      <c r="E9053" t="s">
        <v>26025</v>
      </c>
      <c r="F9053" t="s">
        <v>31574</v>
      </c>
      <c r="G9053" t="s">
        <v>31581</v>
      </c>
      <c r="H9053" t="s">
        <v>31590</v>
      </c>
      <c r="I9053" t="s">
        <v>4354</v>
      </c>
      <c r="J9053" t="s">
        <v>37434</v>
      </c>
      <c r="K9053" t="s">
        <v>41191</v>
      </c>
      <c r="M9053" t="s">
        <v>44249</v>
      </c>
      <c r="N9053" t="s">
        <v>45095</v>
      </c>
      <c r="O9053" t="s">
        <v>45096</v>
      </c>
      <c r="P9053">
        <v>0</v>
      </c>
      <c r="Q9053">
        <v>3</v>
      </c>
      <c r="R9053" t="s">
        <v>45104</v>
      </c>
      <c r="S9053" t="s">
        <v>45304</v>
      </c>
      <c r="T9053" t="s">
        <v>47158</v>
      </c>
      <c r="U9053" t="s">
        <v>54968</v>
      </c>
      <c r="W9053" t="s">
        <v>44249</v>
      </c>
      <c r="X9053" t="s">
        <v>45105</v>
      </c>
    </row>
    <row r="9054" spans="1:24">
      <c r="A9054">
        <f>HYPERLINK("https://www.philgeps.gov.ph/GEPSNONPILOT/Tender/SplashBidNoticeAbstractUI.aspx?menuIndex=3&amp;refID=7034539&amp;Result=3","7034539")</f>
        <v>0</v>
      </c>
      <c r="B9054" t="s">
        <v>2516</v>
      </c>
      <c r="C9054" t="s">
        <v>11823</v>
      </c>
      <c r="D9054" t="s">
        <v>18040</v>
      </c>
      <c r="E9054" t="s">
        <v>26026</v>
      </c>
      <c r="F9054" t="s">
        <v>31574</v>
      </c>
      <c r="G9054" t="s">
        <v>31582</v>
      </c>
      <c r="H9054" t="s">
        <v>31591</v>
      </c>
      <c r="I9054" t="s">
        <v>8822</v>
      </c>
      <c r="J9054" t="s">
        <v>31962</v>
      </c>
      <c r="K9054" t="s">
        <v>41191</v>
      </c>
      <c r="M9054" t="s">
        <v>44250</v>
      </c>
      <c r="N9054" t="s">
        <v>45095</v>
      </c>
      <c r="O9054" t="s">
        <v>45096</v>
      </c>
      <c r="P9054">
        <v>0</v>
      </c>
      <c r="Q9054">
        <v>2</v>
      </c>
      <c r="R9054" t="s">
        <v>45104</v>
      </c>
      <c r="S9054" t="s">
        <v>45304</v>
      </c>
      <c r="T9054" t="s">
        <v>47158</v>
      </c>
      <c r="U9054" t="s">
        <v>54969</v>
      </c>
      <c r="W9054" t="s">
        <v>44250</v>
      </c>
      <c r="X9054" t="s">
        <v>45105</v>
      </c>
    </row>
    <row r="9055" spans="1:24">
      <c r="A9055">
        <f>HYPERLINK("https://www.philgeps.gov.ph/GEPSNONPILOT/Tender/SplashBidNoticeAbstractUI.aspx?menuIndex=3&amp;refID=7034522&amp;Result=3","7034522")</f>
        <v>0</v>
      </c>
      <c r="B9055" t="s">
        <v>1368</v>
      </c>
      <c r="C9055" t="s">
        <v>11824</v>
      </c>
      <c r="D9055" t="s">
        <v>18031</v>
      </c>
      <c r="E9055" t="s">
        <v>26027</v>
      </c>
      <c r="F9055" t="s">
        <v>31574</v>
      </c>
      <c r="G9055" t="s">
        <v>31587</v>
      </c>
      <c r="H9055" t="s">
        <v>31593</v>
      </c>
      <c r="I9055" t="s">
        <v>31593</v>
      </c>
      <c r="J9055" t="s">
        <v>32382</v>
      </c>
      <c r="K9055" t="s">
        <v>41316</v>
      </c>
      <c r="M9055" t="s">
        <v>42941</v>
      </c>
      <c r="N9055" t="s">
        <v>45095</v>
      </c>
      <c r="O9055" t="s">
        <v>45096</v>
      </c>
      <c r="P9055">
        <v>0</v>
      </c>
      <c r="Q9055">
        <v>0</v>
      </c>
      <c r="R9055" t="s">
        <v>45104</v>
      </c>
      <c r="S9055" t="s">
        <v>45304</v>
      </c>
      <c r="T9055" t="s">
        <v>47176</v>
      </c>
      <c r="U9055" t="s">
        <v>54970</v>
      </c>
      <c r="W9055" t="s">
        <v>42941</v>
      </c>
      <c r="X9055" t="s">
        <v>45105</v>
      </c>
    </row>
    <row r="9056" spans="1:24">
      <c r="A9056">
        <f>HYPERLINK("https://www.philgeps.gov.ph/GEPSNONPILOT/Tender/SplashBidNoticeAbstractUI.aspx?menuIndex=3&amp;refID=7034503&amp;Result=3","7034503")</f>
        <v>0</v>
      </c>
      <c r="B9056" t="s">
        <v>807</v>
      </c>
      <c r="C9056" t="s">
        <v>11825</v>
      </c>
      <c r="D9056" t="s">
        <v>18047</v>
      </c>
      <c r="E9056" t="s">
        <v>26028</v>
      </c>
      <c r="F9056" t="s">
        <v>31574</v>
      </c>
      <c r="G9056" t="s">
        <v>31582</v>
      </c>
      <c r="H9056" t="s">
        <v>31590</v>
      </c>
      <c r="I9056" t="s">
        <v>4046</v>
      </c>
      <c r="J9056" t="s">
        <v>37435</v>
      </c>
      <c r="K9056" t="s">
        <v>41185</v>
      </c>
      <c r="M9056" t="s">
        <v>42322</v>
      </c>
      <c r="N9056" t="s">
        <v>45095</v>
      </c>
      <c r="O9056" t="s">
        <v>45096</v>
      </c>
      <c r="P9056">
        <v>0</v>
      </c>
      <c r="Q9056">
        <v>0</v>
      </c>
      <c r="R9056" t="s">
        <v>45104</v>
      </c>
      <c r="S9056" t="s">
        <v>45304</v>
      </c>
      <c r="T9056" t="s">
        <v>47301</v>
      </c>
      <c r="U9056" t="s">
        <v>49200</v>
      </c>
      <c r="W9056" t="s">
        <v>42322</v>
      </c>
      <c r="X9056" t="s">
        <v>45105</v>
      </c>
    </row>
    <row r="9057" spans="1:24">
      <c r="A9057">
        <f>HYPERLINK("https://www.philgeps.gov.ph/GEPSNONPILOT/Tender/SplashBidNoticeAbstractUI.aspx?menuIndex=3&amp;refID=7034599&amp;Result=3","7034599")</f>
        <v>0</v>
      </c>
      <c r="B9057" t="s">
        <v>2517</v>
      </c>
      <c r="C9057" t="s">
        <v>11826</v>
      </c>
      <c r="D9057" t="s">
        <v>18066</v>
      </c>
      <c r="E9057" t="s">
        <v>18788</v>
      </c>
      <c r="F9057" t="s">
        <v>31574</v>
      </c>
      <c r="G9057" t="s">
        <v>31582</v>
      </c>
      <c r="H9057" t="s">
        <v>31591</v>
      </c>
      <c r="I9057" t="s">
        <v>8822</v>
      </c>
      <c r="J9057" t="s">
        <v>31962</v>
      </c>
      <c r="K9057" t="s">
        <v>41191</v>
      </c>
      <c r="M9057" t="s">
        <v>44251</v>
      </c>
      <c r="N9057" t="s">
        <v>45095</v>
      </c>
      <c r="O9057" t="s">
        <v>45096</v>
      </c>
      <c r="P9057">
        <v>0</v>
      </c>
      <c r="Q9057">
        <v>0</v>
      </c>
      <c r="R9057" t="s">
        <v>45104</v>
      </c>
      <c r="S9057" t="s">
        <v>45304</v>
      </c>
      <c r="T9057" t="s">
        <v>46985</v>
      </c>
      <c r="U9057" t="s">
        <v>54971</v>
      </c>
      <c r="W9057" t="s">
        <v>44251</v>
      </c>
      <c r="X9057" t="s">
        <v>45105</v>
      </c>
    </row>
    <row r="9058" spans="1:24">
      <c r="A9058">
        <f>HYPERLINK("https://www.philgeps.gov.ph/GEPSNONPILOT/Tender/SplashBidNoticeAbstractUI.aspx?menuIndex=3&amp;refID=7034504&amp;Result=3","7034504")</f>
        <v>0</v>
      </c>
      <c r="B9058" t="s">
        <v>62</v>
      </c>
      <c r="C9058" t="s">
        <v>11827</v>
      </c>
      <c r="D9058" t="s">
        <v>18037</v>
      </c>
      <c r="E9058" t="s">
        <v>26029</v>
      </c>
      <c r="F9058" t="s">
        <v>31574</v>
      </c>
      <c r="G9058" t="s">
        <v>31588</v>
      </c>
      <c r="H9058" t="s">
        <v>31590</v>
      </c>
      <c r="I9058" t="s">
        <v>5717</v>
      </c>
      <c r="J9058" t="s">
        <v>37436</v>
      </c>
      <c r="K9058" t="s">
        <v>41184</v>
      </c>
      <c r="L9058" t="s">
        <v>62</v>
      </c>
      <c r="M9058" t="s">
        <v>41546</v>
      </c>
      <c r="N9058" t="s">
        <v>45095</v>
      </c>
      <c r="O9058" t="s">
        <v>45096</v>
      </c>
      <c r="Q9058">
        <v>6</v>
      </c>
      <c r="R9058" t="s">
        <v>45104</v>
      </c>
      <c r="S9058" t="s">
        <v>45335</v>
      </c>
      <c r="T9058" t="s">
        <v>46977</v>
      </c>
      <c r="U9058" t="s">
        <v>54972</v>
      </c>
      <c r="W9058" t="s">
        <v>41546</v>
      </c>
      <c r="X9058" t="s">
        <v>45105</v>
      </c>
    </row>
    <row r="9059" spans="1:24">
      <c r="A9059">
        <f>HYPERLINK("https://www.philgeps.gov.ph/GEPSNONPILOT/Tender/SplashBidNoticeAbstractUI.aspx?menuIndex=3&amp;refID=7034502&amp;Result=3","7034502")</f>
        <v>0</v>
      </c>
      <c r="B9059" t="s">
        <v>1368</v>
      </c>
      <c r="C9059" t="s">
        <v>11828</v>
      </c>
      <c r="D9059" t="s">
        <v>18031</v>
      </c>
      <c r="E9059" t="s">
        <v>19337</v>
      </c>
      <c r="F9059" t="s">
        <v>31574</v>
      </c>
      <c r="G9059" t="s">
        <v>31587</v>
      </c>
      <c r="H9059" t="s">
        <v>31593</v>
      </c>
      <c r="I9059" t="s">
        <v>31593</v>
      </c>
      <c r="J9059" t="s">
        <v>32382</v>
      </c>
      <c r="K9059" t="s">
        <v>41186</v>
      </c>
      <c r="M9059" t="s">
        <v>42941</v>
      </c>
      <c r="N9059" t="s">
        <v>45095</v>
      </c>
      <c r="O9059" t="s">
        <v>45096</v>
      </c>
      <c r="P9059">
        <v>0</v>
      </c>
      <c r="Q9059">
        <v>1</v>
      </c>
      <c r="R9059" t="s">
        <v>45104</v>
      </c>
      <c r="S9059" t="s">
        <v>45304</v>
      </c>
      <c r="T9059" t="s">
        <v>47176</v>
      </c>
      <c r="U9059" t="s">
        <v>54973</v>
      </c>
      <c r="W9059" t="s">
        <v>42941</v>
      </c>
      <c r="X9059" t="s">
        <v>45105</v>
      </c>
    </row>
    <row r="9060" spans="1:24">
      <c r="A9060">
        <f>HYPERLINK("https://www.philgeps.gov.ph/GEPSNONPILOT/Tender/SplashBidNoticeAbstractUI.aspx?menuIndex=3&amp;refID=7034531&amp;Result=3","7034531")</f>
        <v>0</v>
      </c>
      <c r="B9060" t="s">
        <v>2476</v>
      </c>
      <c r="C9060" t="s">
        <v>11829</v>
      </c>
      <c r="D9060" t="s">
        <v>18060</v>
      </c>
      <c r="E9060" t="s">
        <v>26030</v>
      </c>
      <c r="F9060" t="s">
        <v>31574</v>
      </c>
      <c r="G9060" t="s">
        <v>31582</v>
      </c>
      <c r="H9060" t="s">
        <v>31591</v>
      </c>
      <c r="I9060" t="s">
        <v>8822</v>
      </c>
      <c r="J9060" t="s">
        <v>37437</v>
      </c>
      <c r="K9060" t="s">
        <v>41192</v>
      </c>
      <c r="M9060" t="s">
        <v>44206</v>
      </c>
      <c r="N9060" t="s">
        <v>45095</v>
      </c>
      <c r="O9060" t="s">
        <v>45096</v>
      </c>
      <c r="P9060">
        <v>0</v>
      </c>
      <c r="Q9060">
        <v>3</v>
      </c>
      <c r="R9060" t="s">
        <v>45104</v>
      </c>
      <c r="S9060" t="s">
        <v>45304</v>
      </c>
      <c r="T9060" t="s">
        <v>46939</v>
      </c>
      <c r="U9060" t="s">
        <v>54974</v>
      </c>
      <c r="V9060" t="s">
        <v>60779</v>
      </c>
      <c r="W9060" t="s">
        <v>44206</v>
      </c>
      <c r="X9060" t="s">
        <v>45105</v>
      </c>
    </row>
    <row r="9061" spans="1:24">
      <c r="A9061">
        <f>HYPERLINK("https://www.philgeps.gov.ph/GEPSNONPILOT/Tender/SplashBidNoticeAbstractUI.aspx?menuIndex=3&amp;refID=7034597&amp;Result=3","7034597")</f>
        <v>0</v>
      </c>
      <c r="B9061" t="s">
        <v>299</v>
      </c>
      <c r="C9061" t="s">
        <v>11830</v>
      </c>
      <c r="D9061" t="s">
        <v>18081</v>
      </c>
      <c r="E9061" t="s">
        <v>26031</v>
      </c>
      <c r="F9061" t="s">
        <v>31574</v>
      </c>
      <c r="G9061" t="s">
        <v>31582</v>
      </c>
      <c r="H9061" t="s">
        <v>31591</v>
      </c>
      <c r="I9061" t="s">
        <v>8822</v>
      </c>
      <c r="J9061" t="s">
        <v>37438</v>
      </c>
      <c r="K9061" t="s">
        <v>41203</v>
      </c>
      <c r="M9061" t="s">
        <v>41785</v>
      </c>
      <c r="N9061" t="s">
        <v>45095</v>
      </c>
      <c r="O9061" t="s">
        <v>45096</v>
      </c>
      <c r="P9061">
        <v>0</v>
      </c>
      <c r="Q9061">
        <v>0</v>
      </c>
      <c r="R9061" t="s">
        <v>45104</v>
      </c>
      <c r="S9061" t="s">
        <v>45304</v>
      </c>
      <c r="T9061" t="s">
        <v>46977</v>
      </c>
      <c r="U9061" t="s">
        <v>54975</v>
      </c>
      <c r="W9061" t="s">
        <v>41785</v>
      </c>
      <c r="X9061" t="s">
        <v>45105</v>
      </c>
    </row>
    <row r="9062" spans="1:24">
      <c r="A9062">
        <f>HYPERLINK("https://www.philgeps.gov.ph/GEPSNONPILOT/Tender/SplashBidNoticeAbstractUI.aspx?menuIndex=3&amp;refID=7034598&amp;Result=3","7034598")</f>
        <v>0</v>
      </c>
      <c r="B9062" t="s">
        <v>1368</v>
      </c>
      <c r="C9062" t="s">
        <v>11831</v>
      </c>
      <c r="D9062" t="s">
        <v>18031</v>
      </c>
      <c r="E9062" t="s">
        <v>26032</v>
      </c>
      <c r="F9062" t="s">
        <v>31574</v>
      </c>
      <c r="G9062" t="s">
        <v>31587</v>
      </c>
      <c r="H9062" t="s">
        <v>31593</v>
      </c>
      <c r="I9062" t="s">
        <v>31593</v>
      </c>
      <c r="J9062" t="s">
        <v>31842</v>
      </c>
      <c r="K9062" t="s">
        <v>41316</v>
      </c>
      <c r="M9062" t="s">
        <v>42941</v>
      </c>
      <c r="N9062" t="s">
        <v>45095</v>
      </c>
      <c r="O9062" t="s">
        <v>45096</v>
      </c>
      <c r="P9062">
        <v>0</v>
      </c>
      <c r="Q9062">
        <v>2</v>
      </c>
      <c r="R9062" t="s">
        <v>45104</v>
      </c>
      <c r="S9062" t="s">
        <v>45304</v>
      </c>
      <c r="T9062" t="s">
        <v>47176</v>
      </c>
      <c r="U9062" t="s">
        <v>54976</v>
      </c>
      <c r="W9062" t="s">
        <v>42941</v>
      </c>
      <c r="X9062" t="s">
        <v>45105</v>
      </c>
    </row>
    <row r="9063" spans="1:24">
      <c r="A9063">
        <f>HYPERLINK("https://www.philgeps.gov.ph/GEPSNONPILOT/Tender/SplashBidNoticeAbstractUI.aspx?menuIndex=3&amp;refID=7034559&amp;Result=3","7034559")</f>
        <v>0</v>
      </c>
      <c r="B9063" t="s">
        <v>2518</v>
      </c>
      <c r="C9063" t="s">
        <v>11832</v>
      </c>
      <c r="D9063" t="s">
        <v>18106</v>
      </c>
      <c r="E9063" t="s">
        <v>26000</v>
      </c>
      <c r="F9063" t="s">
        <v>31574</v>
      </c>
      <c r="G9063" t="s">
        <v>31582</v>
      </c>
      <c r="H9063" t="s">
        <v>31591</v>
      </c>
      <c r="I9063" t="s">
        <v>8822</v>
      </c>
      <c r="J9063" t="s">
        <v>37439</v>
      </c>
      <c r="K9063" t="s">
        <v>41192</v>
      </c>
      <c r="M9063" t="s">
        <v>44252</v>
      </c>
      <c r="N9063" t="s">
        <v>45095</v>
      </c>
      <c r="O9063" t="s">
        <v>45096</v>
      </c>
      <c r="P9063">
        <v>0</v>
      </c>
      <c r="Q9063">
        <v>0</v>
      </c>
      <c r="R9063" t="s">
        <v>45104</v>
      </c>
      <c r="S9063" t="s">
        <v>45304</v>
      </c>
      <c r="T9063" t="s">
        <v>46910</v>
      </c>
      <c r="U9063" t="s">
        <v>54977</v>
      </c>
      <c r="W9063" t="s">
        <v>44252</v>
      </c>
      <c r="X9063" t="s">
        <v>45105</v>
      </c>
    </row>
    <row r="9064" spans="1:24">
      <c r="A9064">
        <f>HYPERLINK("https://www.philgeps.gov.ph/GEPSNONPILOT/Tender/SplashBidNoticeAbstractUI.aspx?menuIndex=3&amp;refID=7034583&amp;Result=3","7034583")</f>
        <v>0</v>
      </c>
      <c r="B9064" t="s">
        <v>2519</v>
      </c>
      <c r="C9064" t="s">
        <v>11833</v>
      </c>
      <c r="D9064" t="s">
        <v>18046</v>
      </c>
      <c r="E9064" t="s">
        <v>26033</v>
      </c>
      <c r="F9064" t="s">
        <v>31574</v>
      </c>
      <c r="G9064" t="s">
        <v>31581</v>
      </c>
      <c r="H9064" t="s">
        <v>31590</v>
      </c>
      <c r="I9064" t="s">
        <v>31619</v>
      </c>
      <c r="J9064" t="s">
        <v>37440</v>
      </c>
      <c r="K9064" t="s">
        <v>41186</v>
      </c>
      <c r="M9064" t="s">
        <v>44253</v>
      </c>
      <c r="N9064" t="s">
        <v>45095</v>
      </c>
      <c r="O9064" t="s">
        <v>45096</v>
      </c>
      <c r="P9064">
        <v>0</v>
      </c>
      <c r="Q9064">
        <v>3</v>
      </c>
      <c r="R9064" t="s">
        <v>45104</v>
      </c>
      <c r="S9064" t="s">
        <v>45304</v>
      </c>
      <c r="T9064" t="s">
        <v>46913</v>
      </c>
      <c r="U9064" t="s">
        <v>54978</v>
      </c>
      <c r="W9064" t="s">
        <v>44253</v>
      </c>
      <c r="X9064" t="s">
        <v>45105</v>
      </c>
    </row>
    <row r="9065" spans="1:24">
      <c r="A9065">
        <f>HYPERLINK("https://www.philgeps.gov.ph/GEPSNONPILOT/Tender/SplashBidNoticeAbstractUI.aspx?menuIndex=3&amp;refID=7034594&amp;Result=3","7034594")</f>
        <v>0</v>
      </c>
      <c r="B9065" t="s">
        <v>807</v>
      </c>
      <c r="C9065" t="s">
        <v>11834</v>
      </c>
      <c r="D9065" t="s">
        <v>18047</v>
      </c>
      <c r="E9065" t="s">
        <v>18253</v>
      </c>
      <c r="F9065" t="s">
        <v>31574</v>
      </c>
      <c r="G9065" t="s">
        <v>31582</v>
      </c>
      <c r="H9065" t="s">
        <v>31590</v>
      </c>
      <c r="I9065" t="s">
        <v>4046</v>
      </c>
      <c r="J9065" t="s">
        <v>37441</v>
      </c>
      <c r="K9065" t="s">
        <v>41185</v>
      </c>
      <c r="M9065" t="s">
        <v>42322</v>
      </c>
      <c r="N9065" t="s">
        <v>45095</v>
      </c>
      <c r="O9065" t="s">
        <v>45096</v>
      </c>
      <c r="P9065">
        <v>0</v>
      </c>
      <c r="Q9065">
        <v>0</v>
      </c>
      <c r="R9065" t="s">
        <v>45104</v>
      </c>
      <c r="S9065" t="s">
        <v>45304</v>
      </c>
      <c r="T9065" t="s">
        <v>47301</v>
      </c>
      <c r="U9065" t="s">
        <v>49200</v>
      </c>
      <c r="W9065" t="s">
        <v>42322</v>
      </c>
      <c r="X9065" t="s">
        <v>45105</v>
      </c>
    </row>
    <row r="9066" spans="1:24">
      <c r="A9066">
        <f>HYPERLINK("https://www.philgeps.gov.ph/GEPSNONPILOT/Tender/SplashBidNoticeAbstractUI.aspx?menuIndex=3&amp;refID=7034505&amp;Result=3","7034505")</f>
        <v>0</v>
      </c>
      <c r="B9066" t="s">
        <v>2520</v>
      </c>
      <c r="C9066" t="s">
        <v>11835</v>
      </c>
      <c r="D9066" t="s">
        <v>18084</v>
      </c>
      <c r="E9066" t="s">
        <v>26034</v>
      </c>
      <c r="F9066" t="s">
        <v>31574</v>
      </c>
      <c r="G9066" t="s">
        <v>31584</v>
      </c>
      <c r="H9066" t="s">
        <v>31590</v>
      </c>
      <c r="I9066" t="s">
        <v>3487</v>
      </c>
      <c r="J9066" t="s">
        <v>34716</v>
      </c>
      <c r="K9066" t="s">
        <v>41213</v>
      </c>
      <c r="M9066" t="s">
        <v>44254</v>
      </c>
      <c r="N9066" t="s">
        <v>45095</v>
      </c>
      <c r="O9066" t="s">
        <v>45096</v>
      </c>
      <c r="P9066">
        <v>0</v>
      </c>
      <c r="Q9066">
        <v>6</v>
      </c>
      <c r="R9066" t="s">
        <v>45104</v>
      </c>
      <c r="S9066" t="s">
        <v>45304</v>
      </c>
      <c r="T9066" t="s">
        <v>47154</v>
      </c>
      <c r="U9066" t="s">
        <v>54979</v>
      </c>
      <c r="W9066" t="s">
        <v>44254</v>
      </c>
      <c r="X9066" t="s">
        <v>45105</v>
      </c>
    </row>
    <row r="9067" spans="1:24">
      <c r="A9067">
        <f>HYPERLINK("https://www.philgeps.gov.ph/GEPSNONPILOT/Tender/SplashBidNoticeAbstractUI.aspx?menuIndex=3&amp;refID=7034577&amp;Result=3","7034577")</f>
        <v>0</v>
      </c>
      <c r="B9067" t="s">
        <v>1368</v>
      </c>
      <c r="C9067" t="s">
        <v>11836</v>
      </c>
      <c r="D9067" t="s">
        <v>18031</v>
      </c>
      <c r="E9067" t="s">
        <v>26035</v>
      </c>
      <c r="F9067" t="s">
        <v>31574</v>
      </c>
      <c r="G9067" t="s">
        <v>31587</v>
      </c>
      <c r="H9067" t="s">
        <v>31593</v>
      </c>
      <c r="I9067" t="s">
        <v>31593</v>
      </c>
      <c r="J9067" t="s">
        <v>32382</v>
      </c>
      <c r="K9067" t="s">
        <v>41316</v>
      </c>
      <c r="M9067" t="s">
        <v>42941</v>
      </c>
      <c r="N9067" t="s">
        <v>45095</v>
      </c>
      <c r="O9067" t="s">
        <v>45096</v>
      </c>
      <c r="P9067">
        <v>0</v>
      </c>
      <c r="Q9067">
        <v>0</v>
      </c>
      <c r="R9067" t="s">
        <v>45104</v>
      </c>
      <c r="S9067" t="s">
        <v>45304</v>
      </c>
      <c r="T9067" t="s">
        <v>47176</v>
      </c>
      <c r="U9067" t="s">
        <v>54980</v>
      </c>
      <c r="W9067" t="s">
        <v>42941</v>
      </c>
      <c r="X9067" t="s">
        <v>45105</v>
      </c>
    </row>
    <row r="9068" spans="1:24">
      <c r="A9068">
        <f>HYPERLINK("https://www.philgeps.gov.ph/GEPSNONPILOT/Tender/SplashBidNoticeAbstractUI.aspx?menuIndex=3&amp;refID=7034529&amp;Result=3","7034529")</f>
        <v>0</v>
      </c>
      <c r="B9068" t="s">
        <v>40</v>
      </c>
      <c r="C9068" t="s">
        <v>11837</v>
      </c>
      <c r="D9068" t="s">
        <v>18035</v>
      </c>
      <c r="E9068" t="s">
        <v>26036</v>
      </c>
      <c r="F9068" t="s">
        <v>31574</v>
      </c>
      <c r="G9068" t="s">
        <v>31582</v>
      </c>
      <c r="H9068" t="s">
        <v>31591</v>
      </c>
      <c r="I9068" t="s">
        <v>8822</v>
      </c>
      <c r="J9068" t="s">
        <v>32101</v>
      </c>
      <c r="K9068" t="s">
        <v>41192</v>
      </c>
      <c r="M9068" t="s">
        <v>41523</v>
      </c>
      <c r="N9068" t="s">
        <v>45095</v>
      </c>
      <c r="O9068" t="s">
        <v>45096</v>
      </c>
      <c r="P9068">
        <v>0</v>
      </c>
      <c r="Q9068">
        <v>17</v>
      </c>
      <c r="R9068" t="s">
        <v>45104</v>
      </c>
      <c r="S9068" t="s">
        <v>45304</v>
      </c>
      <c r="T9068" t="s">
        <v>47000</v>
      </c>
      <c r="U9068" t="s">
        <v>54981</v>
      </c>
      <c r="V9068" t="s">
        <v>59850</v>
      </c>
      <c r="W9068" t="s">
        <v>41523</v>
      </c>
      <c r="X9068" t="s">
        <v>45105</v>
      </c>
    </row>
    <row r="9069" spans="1:24">
      <c r="A9069">
        <f>HYPERLINK("https://www.philgeps.gov.ph/GEPSNONPILOT/Tender/SplashBidNoticeAbstractUI.aspx?menuIndex=3&amp;refID=7034585&amp;Result=3","7034585")</f>
        <v>0</v>
      </c>
      <c r="B9069" t="s">
        <v>2473</v>
      </c>
      <c r="C9069" t="s">
        <v>11838</v>
      </c>
      <c r="D9069" t="s">
        <v>18033</v>
      </c>
      <c r="E9069" t="s">
        <v>26037</v>
      </c>
      <c r="F9069" t="s">
        <v>31574</v>
      </c>
      <c r="G9069" t="s">
        <v>31583</v>
      </c>
      <c r="H9069" t="s">
        <v>31590</v>
      </c>
      <c r="I9069" t="s">
        <v>4046</v>
      </c>
      <c r="J9069" t="s">
        <v>37330</v>
      </c>
      <c r="K9069" t="s">
        <v>41193</v>
      </c>
      <c r="M9069" t="s">
        <v>44202</v>
      </c>
      <c r="N9069" t="s">
        <v>45095</v>
      </c>
      <c r="O9069" t="s">
        <v>45096</v>
      </c>
      <c r="P9069">
        <v>0</v>
      </c>
      <c r="Q9069">
        <v>0</v>
      </c>
      <c r="R9069" t="s">
        <v>45104</v>
      </c>
      <c r="S9069" t="s">
        <v>45304</v>
      </c>
      <c r="T9069" t="s">
        <v>46957</v>
      </c>
      <c r="U9069" t="s">
        <v>54839</v>
      </c>
      <c r="W9069" t="s">
        <v>44202</v>
      </c>
      <c r="X9069" t="s">
        <v>45105</v>
      </c>
    </row>
    <row r="9070" spans="1:24">
      <c r="A9070">
        <f>HYPERLINK("https://www.philgeps.gov.ph/GEPSNONPILOT/Tender/SplashBidNoticeAbstractUI.aspx?menuIndex=3&amp;refID=7034606&amp;Result=3","7034606")</f>
        <v>0</v>
      </c>
      <c r="B9070" t="s">
        <v>1396</v>
      </c>
      <c r="C9070" t="s">
        <v>11839</v>
      </c>
      <c r="D9070" t="s">
        <v>18044</v>
      </c>
      <c r="E9070" t="s">
        <v>11839</v>
      </c>
      <c r="F9070" t="s">
        <v>31574</v>
      </c>
      <c r="G9070" t="s">
        <v>31581</v>
      </c>
      <c r="H9070" t="s">
        <v>31590</v>
      </c>
      <c r="I9070" t="s">
        <v>31631</v>
      </c>
      <c r="J9070" t="s">
        <v>32191</v>
      </c>
      <c r="K9070" t="s">
        <v>41184</v>
      </c>
      <c r="M9070" t="s">
        <v>44255</v>
      </c>
      <c r="N9070" t="s">
        <v>45095</v>
      </c>
      <c r="O9070" t="s">
        <v>45096</v>
      </c>
      <c r="P9070">
        <v>0</v>
      </c>
      <c r="Q9070">
        <v>4</v>
      </c>
      <c r="R9070" t="s">
        <v>45104</v>
      </c>
      <c r="S9070" t="s">
        <v>45304</v>
      </c>
      <c r="T9070" t="s">
        <v>47154</v>
      </c>
      <c r="U9070" t="s">
        <v>54982</v>
      </c>
      <c r="W9070" t="s">
        <v>44255</v>
      </c>
      <c r="X9070" t="s">
        <v>45105</v>
      </c>
    </row>
    <row r="9071" spans="1:24">
      <c r="A9071">
        <f>HYPERLINK("https://www.philgeps.gov.ph/GEPSNONPILOT/Tender/SplashBidNoticeAbstractUI.aspx?menuIndex=3&amp;refID=7034579&amp;Result=3","7034579")</f>
        <v>0</v>
      </c>
      <c r="B9071" t="s">
        <v>2476</v>
      </c>
      <c r="C9071" t="s">
        <v>11840</v>
      </c>
      <c r="D9071" t="s">
        <v>18060</v>
      </c>
      <c r="E9071" t="s">
        <v>26038</v>
      </c>
      <c r="F9071" t="s">
        <v>31574</v>
      </c>
      <c r="G9071" t="s">
        <v>31582</v>
      </c>
      <c r="H9071" t="s">
        <v>31591</v>
      </c>
      <c r="I9071" t="s">
        <v>8822</v>
      </c>
      <c r="J9071" t="s">
        <v>37442</v>
      </c>
      <c r="K9071" t="s">
        <v>41192</v>
      </c>
      <c r="M9071" t="s">
        <v>44206</v>
      </c>
      <c r="N9071" t="s">
        <v>45095</v>
      </c>
      <c r="O9071" t="s">
        <v>45096</v>
      </c>
      <c r="P9071">
        <v>0</v>
      </c>
      <c r="Q9071">
        <v>4</v>
      </c>
      <c r="R9071" t="s">
        <v>45104</v>
      </c>
      <c r="S9071" t="s">
        <v>45304</v>
      </c>
      <c r="T9071" t="s">
        <v>46939</v>
      </c>
      <c r="U9071" t="s">
        <v>54983</v>
      </c>
      <c r="V9071" t="s">
        <v>60779</v>
      </c>
      <c r="W9071" t="s">
        <v>44206</v>
      </c>
      <c r="X9071" t="s">
        <v>45105</v>
      </c>
    </row>
    <row r="9072" spans="1:24">
      <c r="A9072">
        <f>HYPERLINK("https://www.philgeps.gov.ph/GEPSNONPILOT/Tender/SplashBidNoticeAbstractUI.aspx?menuIndex=3&amp;refID=7034602&amp;Result=3","7034602")</f>
        <v>0</v>
      </c>
      <c r="B9072" t="s">
        <v>781</v>
      </c>
      <c r="C9072" t="s">
        <v>11841</v>
      </c>
      <c r="D9072" t="s">
        <v>18047</v>
      </c>
      <c r="E9072" t="s">
        <v>26039</v>
      </c>
      <c r="F9072" t="s">
        <v>31574</v>
      </c>
      <c r="G9072" t="s">
        <v>31582</v>
      </c>
      <c r="H9072" t="s">
        <v>31591</v>
      </c>
      <c r="I9072" t="s">
        <v>8822</v>
      </c>
      <c r="J9072" t="s">
        <v>37443</v>
      </c>
      <c r="K9072" t="s">
        <v>41287</v>
      </c>
      <c r="M9072" t="s">
        <v>42316</v>
      </c>
      <c r="N9072" t="s">
        <v>45095</v>
      </c>
      <c r="O9072" t="s">
        <v>45096</v>
      </c>
      <c r="P9072">
        <v>0</v>
      </c>
      <c r="Q9072">
        <v>0</v>
      </c>
      <c r="R9072" t="s">
        <v>45104</v>
      </c>
      <c r="S9072" t="s">
        <v>45304</v>
      </c>
      <c r="T9072" t="s">
        <v>46965</v>
      </c>
      <c r="U9072" t="s">
        <v>49139</v>
      </c>
      <c r="W9072" t="s">
        <v>42316</v>
      </c>
      <c r="X9072" t="s">
        <v>45105</v>
      </c>
    </row>
    <row r="9073" spans="1:24">
      <c r="A9073">
        <f>HYPERLINK("https://www.philgeps.gov.ph/GEPSNONPILOT/Tender/SplashBidNoticeAbstractUI.aspx?menuIndex=3&amp;refID=7034603&amp;Result=3","7034603")</f>
        <v>0</v>
      </c>
      <c r="B9073" t="s">
        <v>265</v>
      </c>
      <c r="C9073" t="s">
        <v>11842</v>
      </c>
      <c r="D9073" t="s">
        <v>18052</v>
      </c>
      <c r="E9073" t="s">
        <v>26040</v>
      </c>
      <c r="F9073" t="s">
        <v>31574</v>
      </c>
      <c r="G9073" t="s">
        <v>31583</v>
      </c>
      <c r="H9073" t="s">
        <v>31590</v>
      </c>
      <c r="I9073" t="s">
        <v>5717</v>
      </c>
      <c r="J9073" t="s">
        <v>32246</v>
      </c>
      <c r="K9073" t="s">
        <v>41184</v>
      </c>
      <c r="M9073" t="s">
        <v>41751</v>
      </c>
      <c r="N9073" t="s">
        <v>45095</v>
      </c>
      <c r="O9073" t="s">
        <v>45096</v>
      </c>
      <c r="P9073">
        <v>0</v>
      </c>
      <c r="Q9073">
        <v>1</v>
      </c>
      <c r="R9073" t="s">
        <v>45104</v>
      </c>
      <c r="S9073" t="s">
        <v>45304</v>
      </c>
      <c r="T9073" t="s">
        <v>47164</v>
      </c>
      <c r="U9073" t="s">
        <v>54984</v>
      </c>
      <c r="W9073" t="s">
        <v>41751</v>
      </c>
      <c r="X9073" t="s">
        <v>45105</v>
      </c>
    </row>
    <row r="9074" spans="1:24">
      <c r="A9074">
        <f>HYPERLINK("https://www.philgeps.gov.ph/GEPSNONPILOT/Tender/SplashBidNoticeAbstractUI.aspx?menuIndex=3&amp;refID=7034601&amp;Result=3","7034601")</f>
        <v>0</v>
      </c>
      <c r="B9074" t="s">
        <v>2500</v>
      </c>
      <c r="C9074" t="s">
        <v>11843</v>
      </c>
      <c r="D9074" t="s">
        <v>18022</v>
      </c>
      <c r="E9074" t="s">
        <v>19469</v>
      </c>
      <c r="F9074" t="s">
        <v>31575</v>
      </c>
      <c r="G9074" t="s">
        <v>31582</v>
      </c>
      <c r="H9074" t="s">
        <v>31590</v>
      </c>
      <c r="I9074" t="s">
        <v>31640</v>
      </c>
      <c r="J9074" t="s">
        <v>31789</v>
      </c>
      <c r="K9074" t="s">
        <v>41196</v>
      </c>
      <c r="M9074" t="s">
        <v>44232</v>
      </c>
      <c r="N9074" t="s">
        <v>45095</v>
      </c>
      <c r="O9074" t="s">
        <v>45096</v>
      </c>
      <c r="P9074">
        <v>0</v>
      </c>
      <c r="Q9074">
        <v>4</v>
      </c>
      <c r="R9074" t="s">
        <v>45104</v>
      </c>
      <c r="S9074" t="s">
        <v>45304</v>
      </c>
      <c r="T9074" t="s">
        <v>46914</v>
      </c>
      <c r="U9074" t="s">
        <v>54985</v>
      </c>
      <c r="W9074" t="s">
        <v>44232</v>
      </c>
      <c r="X9074" t="s">
        <v>45105</v>
      </c>
    </row>
    <row r="9075" spans="1:24">
      <c r="A9075">
        <f>HYPERLINK("https://www.philgeps.gov.ph/GEPSNONPILOT/Tender/SplashBidNoticeAbstractUI.aspx?menuIndex=3&amp;refID=7034608&amp;Result=3","7034608")</f>
        <v>0</v>
      </c>
      <c r="B9075" t="s">
        <v>2421</v>
      </c>
      <c r="C9075" t="s">
        <v>11844</v>
      </c>
      <c r="D9075" t="s">
        <v>18070</v>
      </c>
      <c r="E9075" t="s">
        <v>26041</v>
      </c>
      <c r="F9075" t="s">
        <v>31574</v>
      </c>
      <c r="G9075" t="s">
        <v>31582</v>
      </c>
      <c r="H9075" t="s">
        <v>31590</v>
      </c>
      <c r="I9075" t="s">
        <v>31615</v>
      </c>
      <c r="J9075" t="s">
        <v>32458</v>
      </c>
      <c r="K9075" t="s">
        <v>41186</v>
      </c>
      <c r="M9075" t="s">
        <v>44148</v>
      </c>
      <c r="N9075" t="s">
        <v>45095</v>
      </c>
      <c r="O9075" t="s">
        <v>45096</v>
      </c>
      <c r="P9075">
        <v>0</v>
      </c>
      <c r="Q9075">
        <v>4</v>
      </c>
      <c r="R9075" t="s">
        <v>45104</v>
      </c>
      <c r="S9075" t="s">
        <v>45304</v>
      </c>
      <c r="T9075" t="s">
        <v>47336</v>
      </c>
      <c r="U9075" t="s">
        <v>54986</v>
      </c>
      <c r="W9075" t="s">
        <v>44148</v>
      </c>
      <c r="X9075" t="s">
        <v>45105</v>
      </c>
    </row>
    <row r="9076" spans="1:24">
      <c r="A9076">
        <f>HYPERLINK("https://www.philgeps.gov.ph/GEPSNONPILOT/Tender/SplashBidNoticeAbstractUI.aspx?menuIndex=3&amp;refID=7034573&amp;Result=3","7034573")</f>
        <v>0</v>
      </c>
      <c r="B9076" t="s">
        <v>2500</v>
      </c>
      <c r="C9076" t="s">
        <v>11845</v>
      </c>
      <c r="D9076" t="s">
        <v>18022</v>
      </c>
      <c r="E9076" t="s">
        <v>19676</v>
      </c>
      <c r="F9076" t="s">
        <v>31575</v>
      </c>
      <c r="G9076" t="s">
        <v>31582</v>
      </c>
      <c r="H9076" t="s">
        <v>31590</v>
      </c>
      <c r="I9076" t="s">
        <v>31640</v>
      </c>
      <c r="J9076" t="s">
        <v>32049</v>
      </c>
      <c r="K9076" t="s">
        <v>41191</v>
      </c>
      <c r="M9076" t="s">
        <v>44232</v>
      </c>
      <c r="N9076" t="s">
        <v>45095</v>
      </c>
      <c r="O9076" t="s">
        <v>45096</v>
      </c>
      <c r="P9076">
        <v>0</v>
      </c>
      <c r="Q9076">
        <v>7</v>
      </c>
      <c r="R9076" t="s">
        <v>45104</v>
      </c>
      <c r="S9076" t="s">
        <v>45304</v>
      </c>
      <c r="T9076" t="s">
        <v>46914</v>
      </c>
      <c r="U9076" t="s">
        <v>54987</v>
      </c>
      <c r="W9076" t="s">
        <v>44232</v>
      </c>
      <c r="X9076" t="s">
        <v>45105</v>
      </c>
    </row>
    <row r="9077" spans="1:24">
      <c r="A9077">
        <f>HYPERLINK("https://www.philgeps.gov.ph/GEPSNONPILOT/Tender/SplashBidNoticeAbstractUI.aspx?menuIndex=3&amp;refID=7034613&amp;Result=3","7034613")</f>
        <v>0</v>
      </c>
      <c r="B9077" t="s">
        <v>2504</v>
      </c>
      <c r="C9077" t="s">
        <v>11846</v>
      </c>
      <c r="D9077" t="s">
        <v>18052</v>
      </c>
      <c r="E9077" t="s">
        <v>26042</v>
      </c>
      <c r="F9077" t="s">
        <v>31575</v>
      </c>
      <c r="G9077" t="s">
        <v>31581</v>
      </c>
      <c r="H9077" t="s">
        <v>31590</v>
      </c>
      <c r="I9077" t="s">
        <v>31644</v>
      </c>
      <c r="J9077" t="s">
        <v>37444</v>
      </c>
      <c r="K9077" t="s">
        <v>41186</v>
      </c>
      <c r="M9077" t="s">
        <v>44238</v>
      </c>
      <c r="N9077" t="s">
        <v>45095</v>
      </c>
      <c r="O9077" t="s">
        <v>45096</v>
      </c>
      <c r="P9077">
        <v>0</v>
      </c>
      <c r="Q9077">
        <v>2</v>
      </c>
      <c r="R9077" t="s">
        <v>45104</v>
      </c>
      <c r="S9077" t="s">
        <v>45304</v>
      </c>
      <c r="T9077" t="s">
        <v>47019</v>
      </c>
      <c r="U9077" t="s">
        <v>54988</v>
      </c>
      <c r="V9077" t="s">
        <v>60780</v>
      </c>
      <c r="W9077" t="s">
        <v>44238</v>
      </c>
      <c r="X9077" t="s">
        <v>45105</v>
      </c>
    </row>
    <row r="9078" spans="1:24">
      <c r="A9078">
        <f>HYPERLINK("https://www.philgeps.gov.ph/GEPSNONPILOT/Tender/SplashBidNoticeAbstractUI.aspx?menuIndex=3&amp;refID=7034572&amp;Result=3","7034572")</f>
        <v>0</v>
      </c>
      <c r="B9078" t="s">
        <v>821</v>
      </c>
      <c r="C9078" t="s">
        <v>11847</v>
      </c>
      <c r="D9078" t="s">
        <v>18103</v>
      </c>
      <c r="E9078" t="s">
        <v>24480</v>
      </c>
      <c r="F9078" t="s">
        <v>31574</v>
      </c>
      <c r="G9078" t="s">
        <v>31582</v>
      </c>
      <c r="H9078" t="s">
        <v>31590</v>
      </c>
      <c r="I9078" t="s">
        <v>4046</v>
      </c>
      <c r="J9078" t="s">
        <v>37445</v>
      </c>
      <c r="K9078" t="s">
        <v>41193</v>
      </c>
      <c r="M9078" t="s">
        <v>42339</v>
      </c>
      <c r="N9078" t="s">
        <v>45095</v>
      </c>
      <c r="O9078" t="s">
        <v>45096</v>
      </c>
      <c r="P9078">
        <v>0</v>
      </c>
      <c r="Q9078">
        <v>2</v>
      </c>
      <c r="R9078" t="s">
        <v>45104</v>
      </c>
      <c r="S9078" t="s">
        <v>45304</v>
      </c>
      <c r="T9078" t="s">
        <v>47235</v>
      </c>
      <c r="U9078" t="s">
        <v>54989</v>
      </c>
      <c r="W9078" t="s">
        <v>42339</v>
      </c>
      <c r="X9078" t="s">
        <v>45105</v>
      </c>
    </row>
    <row r="9079" spans="1:24">
      <c r="A9079">
        <f>HYPERLINK("https://www.philgeps.gov.ph/GEPSNONPILOT/Tender/SplashBidNoticeAbstractUI.aspx?menuIndex=3&amp;refID=7034619&amp;Result=3","7034619")</f>
        <v>0</v>
      </c>
      <c r="B9079" t="s">
        <v>2521</v>
      </c>
      <c r="C9079" t="s">
        <v>10858</v>
      </c>
      <c r="D9079" t="s">
        <v>18025</v>
      </c>
      <c r="E9079" t="s">
        <v>26007</v>
      </c>
      <c r="F9079" t="s">
        <v>31574</v>
      </c>
      <c r="G9079" t="s">
        <v>31582</v>
      </c>
      <c r="H9079" t="s">
        <v>31590</v>
      </c>
      <c r="I9079" t="s">
        <v>4046</v>
      </c>
      <c r="J9079" t="s">
        <v>37446</v>
      </c>
      <c r="K9079" t="s">
        <v>41190</v>
      </c>
      <c r="M9079" t="s">
        <v>44256</v>
      </c>
      <c r="N9079" t="s">
        <v>45095</v>
      </c>
      <c r="O9079" t="s">
        <v>45096</v>
      </c>
      <c r="P9079">
        <v>0</v>
      </c>
      <c r="Q9079">
        <v>2</v>
      </c>
      <c r="R9079" t="s">
        <v>45104</v>
      </c>
      <c r="S9079" t="s">
        <v>45304</v>
      </c>
      <c r="T9079" t="s">
        <v>47157</v>
      </c>
      <c r="U9079" t="s">
        <v>54990</v>
      </c>
      <c r="W9079" t="s">
        <v>44256</v>
      </c>
      <c r="X9079" t="s">
        <v>45105</v>
      </c>
    </row>
    <row r="9080" spans="1:24">
      <c r="A9080">
        <f>HYPERLINK("https://www.philgeps.gov.ph/GEPSNONPILOT/Tender/SplashBidNoticeAbstractUI.aspx?menuIndex=3&amp;refID=7034561&amp;Result=3","7034561")</f>
        <v>0</v>
      </c>
      <c r="B9080" t="s">
        <v>1368</v>
      </c>
      <c r="C9080" t="s">
        <v>11848</v>
      </c>
      <c r="D9080" t="s">
        <v>18031</v>
      </c>
      <c r="E9080" t="s">
        <v>26043</v>
      </c>
      <c r="F9080" t="s">
        <v>31574</v>
      </c>
      <c r="G9080" t="s">
        <v>31581</v>
      </c>
      <c r="H9080" t="s">
        <v>31593</v>
      </c>
      <c r="I9080" t="s">
        <v>31593</v>
      </c>
      <c r="J9080" t="s">
        <v>32382</v>
      </c>
      <c r="K9080" t="s">
        <v>41186</v>
      </c>
      <c r="M9080" t="s">
        <v>42941</v>
      </c>
      <c r="N9080" t="s">
        <v>45095</v>
      </c>
      <c r="O9080" t="s">
        <v>45096</v>
      </c>
      <c r="P9080">
        <v>0</v>
      </c>
      <c r="Q9080">
        <v>0</v>
      </c>
      <c r="R9080" t="s">
        <v>45104</v>
      </c>
      <c r="S9080" t="s">
        <v>45304</v>
      </c>
      <c r="T9080" t="s">
        <v>47176</v>
      </c>
      <c r="U9080" t="s">
        <v>54991</v>
      </c>
      <c r="W9080" t="s">
        <v>42941</v>
      </c>
      <c r="X9080" t="s">
        <v>45105</v>
      </c>
    </row>
    <row r="9081" spans="1:24">
      <c r="A9081">
        <f>HYPERLINK("https://www.philgeps.gov.ph/GEPSNONPILOT/Tender/SplashBidNoticeAbstractUI.aspx?menuIndex=3&amp;refID=7034614&amp;Result=3","7034614")</f>
        <v>0</v>
      </c>
      <c r="B9081" t="s">
        <v>2522</v>
      </c>
      <c r="C9081" t="s">
        <v>11849</v>
      </c>
      <c r="D9081" t="s">
        <v>18071</v>
      </c>
      <c r="E9081" t="s">
        <v>26044</v>
      </c>
      <c r="F9081" t="s">
        <v>31574</v>
      </c>
      <c r="G9081" t="s">
        <v>31581</v>
      </c>
      <c r="H9081" t="s">
        <v>31590</v>
      </c>
      <c r="I9081" t="s">
        <v>3489</v>
      </c>
      <c r="J9081" t="s">
        <v>31821</v>
      </c>
      <c r="K9081" t="s">
        <v>41196</v>
      </c>
      <c r="M9081" t="s">
        <v>44257</v>
      </c>
      <c r="N9081" t="s">
        <v>45095</v>
      </c>
      <c r="O9081" t="s">
        <v>45096</v>
      </c>
      <c r="P9081">
        <v>0</v>
      </c>
      <c r="Q9081">
        <v>0</v>
      </c>
      <c r="R9081" t="s">
        <v>45104</v>
      </c>
      <c r="S9081" t="s">
        <v>45304</v>
      </c>
      <c r="T9081" t="s">
        <v>47159</v>
      </c>
      <c r="U9081" t="s">
        <v>54992</v>
      </c>
      <c r="W9081" t="s">
        <v>44257</v>
      </c>
      <c r="X9081" t="s">
        <v>45105</v>
      </c>
    </row>
    <row r="9082" spans="1:24">
      <c r="A9082">
        <f>HYPERLINK("https://www.philgeps.gov.ph/GEPSNONPILOT/Tender/SplashBidNoticeAbstractUI.aspx?menuIndex=3&amp;refID=7034562&amp;Result=3","7034562")</f>
        <v>0</v>
      </c>
      <c r="B9082" t="s">
        <v>299</v>
      </c>
      <c r="C9082" t="s">
        <v>11850</v>
      </c>
      <c r="D9082" t="s">
        <v>18081</v>
      </c>
      <c r="E9082" t="s">
        <v>26045</v>
      </c>
      <c r="F9082" t="s">
        <v>31574</v>
      </c>
      <c r="G9082" t="s">
        <v>31582</v>
      </c>
      <c r="H9082" t="s">
        <v>31591</v>
      </c>
      <c r="I9082" t="s">
        <v>8822</v>
      </c>
      <c r="J9082" t="s">
        <v>32986</v>
      </c>
      <c r="K9082" t="s">
        <v>41279</v>
      </c>
      <c r="M9082" t="s">
        <v>41785</v>
      </c>
      <c r="N9082" t="s">
        <v>45095</v>
      </c>
      <c r="O9082" t="s">
        <v>45096</v>
      </c>
      <c r="P9082">
        <v>0</v>
      </c>
      <c r="Q9082">
        <v>0</v>
      </c>
      <c r="R9082" t="s">
        <v>45104</v>
      </c>
      <c r="S9082" t="s">
        <v>45304</v>
      </c>
      <c r="T9082" t="s">
        <v>46977</v>
      </c>
      <c r="U9082" t="s">
        <v>54975</v>
      </c>
      <c r="W9082" t="s">
        <v>41785</v>
      </c>
      <c r="X9082" t="s">
        <v>45105</v>
      </c>
    </row>
    <row r="9083" spans="1:24">
      <c r="A9083">
        <f>HYPERLINK("https://www.philgeps.gov.ph/GEPSNONPILOT/Tender/SplashBidNoticeAbstractUI.aspx?menuIndex=3&amp;refID=7034569&amp;Result=3","7034569")</f>
        <v>0</v>
      </c>
      <c r="B9083" t="s">
        <v>40</v>
      </c>
      <c r="C9083" t="s">
        <v>11851</v>
      </c>
      <c r="D9083" t="s">
        <v>18035</v>
      </c>
      <c r="E9083" t="s">
        <v>26046</v>
      </c>
      <c r="F9083" t="s">
        <v>31574</v>
      </c>
      <c r="G9083" t="s">
        <v>31582</v>
      </c>
      <c r="H9083" t="s">
        <v>31591</v>
      </c>
      <c r="I9083" t="s">
        <v>8822</v>
      </c>
      <c r="J9083" t="s">
        <v>32530</v>
      </c>
      <c r="K9083" t="s">
        <v>41200</v>
      </c>
      <c r="M9083" t="s">
        <v>41523</v>
      </c>
      <c r="N9083" t="s">
        <v>45095</v>
      </c>
      <c r="O9083" t="s">
        <v>45096</v>
      </c>
      <c r="P9083">
        <v>0</v>
      </c>
      <c r="Q9083">
        <v>15</v>
      </c>
      <c r="R9083" t="s">
        <v>45104</v>
      </c>
      <c r="S9083" t="s">
        <v>45304</v>
      </c>
      <c r="T9083" t="s">
        <v>47000</v>
      </c>
      <c r="U9083" t="s">
        <v>54993</v>
      </c>
      <c r="V9083" t="s">
        <v>59850</v>
      </c>
      <c r="W9083" t="s">
        <v>41523</v>
      </c>
      <c r="X9083" t="s">
        <v>45105</v>
      </c>
    </row>
    <row r="9084" spans="1:24">
      <c r="A9084">
        <f>HYPERLINK("https://www.philgeps.gov.ph/GEPSNONPILOT/Tender/SplashBidNoticeAbstractUI.aspx?menuIndex=3&amp;refID=7034610&amp;Result=3","7034610")</f>
        <v>0</v>
      </c>
      <c r="B9084" t="s">
        <v>2523</v>
      </c>
      <c r="C9084" t="s">
        <v>3489</v>
      </c>
      <c r="D9084" t="s">
        <v>18027</v>
      </c>
      <c r="E9084" t="s">
        <v>25641</v>
      </c>
      <c r="F9084" t="s">
        <v>31574</v>
      </c>
      <c r="G9084" t="s">
        <v>31582</v>
      </c>
      <c r="H9084" t="s">
        <v>31590</v>
      </c>
      <c r="I9084" t="s">
        <v>3489</v>
      </c>
      <c r="J9084" t="s">
        <v>32000</v>
      </c>
      <c r="K9084" t="s">
        <v>41190</v>
      </c>
      <c r="M9084" t="s">
        <v>44258</v>
      </c>
      <c r="N9084" t="s">
        <v>45095</v>
      </c>
      <c r="O9084" t="s">
        <v>45096</v>
      </c>
      <c r="P9084">
        <v>0</v>
      </c>
      <c r="Q9084">
        <v>0</v>
      </c>
      <c r="R9084" t="s">
        <v>45104</v>
      </c>
      <c r="S9084" t="s">
        <v>45304</v>
      </c>
      <c r="T9084" t="s">
        <v>47003</v>
      </c>
      <c r="U9084" t="s">
        <v>54994</v>
      </c>
      <c r="W9084" t="s">
        <v>44258</v>
      </c>
      <c r="X9084" t="s">
        <v>45105</v>
      </c>
    </row>
    <row r="9085" spans="1:24">
      <c r="A9085">
        <f>HYPERLINK("https://www.philgeps.gov.ph/GEPSNONPILOT/Tender/SplashBidNoticeAbstractUI.aspx?menuIndex=3&amp;refID=7034615&amp;Result=3","7034615")</f>
        <v>0</v>
      </c>
      <c r="B9085" t="s">
        <v>1353</v>
      </c>
      <c r="C9085" t="s">
        <v>11852</v>
      </c>
      <c r="D9085" t="s">
        <v>18031</v>
      </c>
      <c r="E9085" t="s">
        <v>26047</v>
      </c>
      <c r="F9085" t="s">
        <v>31574</v>
      </c>
      <c r="G9085" t="s">
        <v>31582</v>
      </c>
      <c r="H9085" t="s">
        <v>31590</v>
      </c>
      <c r="I9085" t="s">
        <v>31601</v>
      </c>
      <c r="J9085" t="s">
        <v>37447</v>
      </c>
      <c r="K9085" t="s">
        <v>41184</v>
      </c>
      <c r="M9085" t="s">
        <v>42925</v>
      </c>
      <c r="N9085" t="s">
        <v>45095</v>
      </c>
      <c r="O9085" t="s">
        <v>45096</v>
      </c>
      <c r="P9085">
        <v>0</v>
      </c>
      <c r="Q9085">
        <v>7</v>
      </c>
      <c r="R9085" t="s">
        <v>45104</v>
      </c>
      <c r="S9085" t="s">
        <v>45304</v>
      </c>
      <c r="T9085" t="s">
        <v>47158</v>
      </c>
      <c r="U9085" t="s">
        <v>54995</v>
      </c>
      <c r="W9085" t="s">
        <v>42925</v>
      </c>
      <c r="X9085" t="s">
        <v>45105</v>
      </c>
    </row>
    <row r="9086" spans="1:24">
      <c r="A9086">
        <f>HYPERLINK("https://www.philgeps.gov.ph/GEPSNONPILOT/Tender/SplashBidNoticeAbstractUI.aspx?menuIndex=3&amp;refID=7034623&amp;Result=3","7034623")</f>
        <v>0</v>
      </c>
      <c r="B9086" t="s">
        <v>2515</v>
      </c>
      <c r="C9086" t="s">
        <v>11853</v>
      </c>
      <c r="D9086" t="s">
        <v>18047</v>
      </c>
      <c r="E9086" t="s">
        <v>26048</v>
      </c>
      <c r="F9086" t="s">
        <v>31574</v>
      </c>
      <c r="G9086" t="s">
        <v>31581</v>
      </c>
      <c r="H9086" t="s">
        <v>31590</v>
      </c>
      <c r="I9086" t="s">
        <v>3487</v>
      </c>
      <c r="J9086" t="s">
        <v>37448</v>
      </c>
      <c r="K9086" t="s">
        <v>41191</v>
      </c>
      <c r="M9086" t="s">
        <v>44249</v>
      </c>
      <c r="N9086" t="s">
        <v>45095</v>
      </c>
      <c r="O9086" t="s">
        <v>45096</v>
      </c>
      <c r="P9086">
        <v>0</v>
      </c>
      <c r="Q9086">
        <v>3</v>
      </c>
      <c r="R9086" t="s">
        <v>45104</v>
      </c>
      <c r="S9086" t="s">
        <v>45304</v>
      </c>
      <c r="T9086" t="s">
        <v>47158</v>
      </c>
      <c r="U9086" t="s">
        <v>54996</v>
      </c>
      <c r="W9086" t="s">
        <v>44249</v>
      </c>
      <c r="X9086" t="s">
        <v>45105</v>
      </c>
    </row>
    <row r="9087" spans="1:24">
      <c r="A9087">
        <f>HYPERLINK("https://www.philgeps.gov.ph/GEPSNONPILOT/Tender/SplashBidNoticeAbstractUI.aspx?menuIndex=3&amp;refID=7034616&amp;Result=3","7034616")</f>
        <v>0</v>
      </c>
      <c r="B9087" t="s">
        <v>40</v>
      </c>
      <c r="C9087" t="s">
        <v>11854</v>
      </c>
      <c r="D9087" t="s">
        <v>18035</v>
      </c>
      <c r="E9087" t="s">
        <v>26049</v>
      </c>
      <c r="F9087" t="s">
        <v>31574</v>
      </c>
      <c r="G9087" t="s">
        <v>31582</v>
      </c>
      <c r="H9087" t="s">
        <v>31591</v>
      </c>
      <c r="I9087" t="s">
        <v>8822</v>
      </c>
      <c r="J9087" t="s">
        <v>34070</v>
      </c>
      <c r="K9087" t="s">
        <v>41198</v>
      </c>
      <c r="M9087" t="s">
        <v>41523</v>
      </c>
      <c r="N9087" t="s">
        <v>45095</v>
      </c>
      <c r="O9087" t="s">
        <v>45096</v>
      </c>
      <c r="P9087">
        <v>0</v>
      </c>
      <c r="Q9087">
        <v>14</v>
      </c>
      <c r="R9087" t="s">
        <v>45104</v>
      </c>
      <c r="S9087" t="s">
        <v>45304</v>
      </c>
      <c r="T9087" t="s">
        <v>47000</v>
      </c>
      <c r="U9087" t="s">
        <v>47493</v>
      </c>
      <c r="V9087" t="s">
        <v>59850</v>
      </c>
      <c r="W9087" t="s">
        <v>41523</v>
      </c>
      <c r="X9087" t="s">
        <v>45105</v>
      </c>
    </row>
    <row r="9088" spans="1:24">
      <c r="A9088">
        <f>HYPERLINK("https://www.philgeps.gov.ph/GEPSNONPILOT/Tender/SplashBidNoticeAbstractUI.aspx?menuIndex=3&amp;refID=7034625&amp;Result=3","7034625")</f>
        <v>0</v>
      </c>
      <c r="B9088" t="s">
        <v>2524</v>
      </c>
      <c r="C9088" t="s">
        <v>11855</v>
      </c>
      <c r="D9088" t="s">
        <v>18035</v>
      </c>
      <c r="E9088" t="s">
        <v>26050</v>
      </c>
      <c r="F9088" t="s">
        <v>31574</v>
      </c>
      <c r="G9088" t="s">
        <v>31581</v>
      </c>
      <c r="H9088" t="s">
        <v>31590</v>
      </c>
      <c r="I9088" t="s">
        <v>3489</v>
      </c>
      <c r="J9088" t="s">
        <v>37449</v>
      </c>
      <c r="K9088" t="s">
        <v>41196</v>
      </c>
      <c r="M9088" t="s">
        <v>44259</v>
      </c>
      <c r="N9088" t="s">
        <v>45095</v>
      </c>
      <c r="O9088" t="s">
        <v>45096</v>
      </c>
      <c r="P9088">
        <v>0</v>
      </c>
      <c r="Q9088">
        <v>3</v>
      </c>
      <c r="R9088" t="s">
        <v>45104</v>
      </c>
      <c r="S9088" t="s">
        <v>45304</v>
      </c>
      <c r="T9088" t="s">
        <v>47158</v>
      </c>
      <c r="U9088" t="s">
        <v>54997</v>
      </c>
      <c r="W9088" t="s">
        <v>44259</v>
      </c>
      <c r="X9088" t="s">
        <v>45105</v>
      </c>
    </row>
    <row r="9089" spans="1:24">
      <c r="A9089">
        <f>HYPERLINK("https://www.philgeps.gov.ph/GEPSNONPILOT/Tender/SplashBidNoticeAbstractUI.aspx?menuIndex=3&amp;refID=7034620&amp;Result=3","7034620")</f>
        <v>0</v>
      </c>
      <c r="B9089" t="s">
        <v>1368</v>
      </c>
      <c r="C9089" t="s">
        <v>11856</v>
      </c>
      <c r="D9089" t="s">
        <v>18031</v>
      </c>
      <c r="E9089" t="s">
        <v>26051</v>
      </c>
      <c r="F9089" t="s">
        <v>31574</v>
      </c>
      <c r="G9089" t="s">
        <v>31587</v>
      </c>
      <c r="H9089" t="s">
        <v>31593</v>
      </c>
      <c r="I9089" t="s">
        <v>31593</v>
      </c>
      <c r="J9089" t="s">
        <v>32382</v>
      </c>
      <c r="K9089" t="s">
        <v>41316</v>
      </c>
      <c r="M9089" t="s">
        <v>42941</v>
      </c>
      <c r="N9089" t="s">
        <v>45095</v>
      </c>
      <c r="O9089" t="s">
        <v>45096</v>
      </c>
      <c r="P9089">
        <v>0</v>
      </c>
      <c r="Q9089">
        <v>0</v>
      </c>
      <c r="R9089" t="s">
        <v>45104</v>
      </c>
      <c r="S9089" t="s">
        <v>45304</v>
      </c>
      <c r="T9089" t="s">
        <v>47176</v>
      </c>
      <c r="U9089" t="s">
        <v>54998</v>
      </c>
      <c r="W9089" t="s">
        <v>42941</v>
      </c>
      <c r="X9089" t="s">
        <v>45105</v>
      </c>
    </row>
    <row r="9090" spans="1:24">
      <c r="A9090">
        <f>HYPERLINK("https://www.philgeps.gov.ph/GEPSNONPILOT/Tender/SplashBidNoticeAbstractUI.aspx?menuIndex=3&amp;refID=7034647&amp;Result=3","7034647")</f>
        <v>0</v>
      </c>
      <c r="B9090" t="s">
        <v>2525</v>
      </c>
      <c r="C9090" t="s">
        <v>11857</v>
      </c>
      <c r="D9090" t="s">
        <v>18070</v>
      </c>
      <c r="E9090" t="s">
        <v>11857</v>
      </c>
      <c r="F9090" t="s">
        <v>31574</v>
      </c>
      <c r="G9090" t="s">
        <v>31582</v>
      </c>
      <c r="H9090" t="s">
        <v>31591</v>
      </c>
      <c r="I9090" t="s">
        <v>8822</v>
      </c>
      <c r="J9090" t="s">
        <v>31730</v>
      </c>
      <c r="K9090" t="s">
        <v>41198</v>
      </c>
      <c r="M9090" t="s">
        <v>44260</v>
      </c>
      <c r="N9090" t="s">
        <v>45095</v>
      </c>
      <c r="O9090" t="s">
        <v>45096</v>
      </c>
      <c r="P9090">
        <v>0</v>
      </c>
      <c r="Q9090">
        <v>2</v>
      </c>
      <c r="R9090" t="s">
        <v>45104</v>
      </c>
      <c r="S9090" t="s">
        <v>45304</v>
      </c>
      <c r="T9090" t="s">
        <v>47142</v>
      </c>
      <c r="U9090" t="s">
        <v>54999</v>
      </c>
      <c r="W9090" t="s">
        <v>44260</v>
      </c>
      <c r="X9090" t="s">
        <v>45105</v>
      </c>
    </row>
    <row r="9091" spans="1:24">
      <c r="A9091">
        <f>HYPERLINK("https://www.philgeps.gov.ph/GEPSNONPILOT/Tender/SplashBidNoticeAbstractUI.aspx?menuIndex=3&amp;refID=7034622&amp;Result=3","7034622")</f>
        <v>0</v>
      </c>
      <c r="B9091" t="s">
        <v>781</v>
      </c>
      <c r="C9091" t="s">
        <v>11858</v>
      </c>
      <c r="D9091" t="s">
        <v>18047</v>
      </c>
      <c r="E9091" t="s">
        <v>26052</v>
      </c>
      <c r="F9091" t="s">
        <v>31574</v>
      </c>
      <c r="G9091" t="s">
        <v>31582</v>
      </c>
      <c r="H9091" t="s">
        <v>31591</v>
      </c>
      <c r="I9091" t="s">
        <v>8822</v>
      </c>
      <c r="J9091" t="s">
        <v>37450</v>
      </c>
      <c r="K9091" t="s">
        <v>41260</v>
      </c>
      <c r="M9091" t="s">
        <v>42316</v>
      </c>
      <c r="N9091" t="s">
        <v>45095</v>
      </c>
      <c r="O9091" t="s">
        <v>45096</v>
      </c>
      <c r="P9091">
        <v>0</v>
      </c>
      <c r="Q9091">
        <v>0</v>
      </c>
      <c r="R9091" t="s">
        <v>45104</v>
      </c>
      <c r="S9091" t="s">
        <v>45304</v>
      </c>
      <c r="T9091" t="s">
        <v>46965</v>
      </c>
      <c r="U9091" t="s">
        <v>49139</v>
      </c>
      <c r="W9091" t="s">
        <v>42316</v>
      </c>
      <c r="X9091" t="s">
        <v>45105</v>
      </c>
    </row>
    <row r="9092" spans="1:24">
      <c r="A9092">
        <f>HYPERLINK("https://www.philgeps.gov.ph/GEPSNONPILOT/Tender/SplashBidNoticeAbstractUI.aspx?menuIndex=3&amp;refID=7034643&amp;Result=3","7034643")</f>
        <v>0</v>
      </c>
      <c r="B9092" t="s">
        <v>1971</v>
      </c>
      <c r="C9092" t="s">
        <v>11859</v>
      </c>
      <c r="D9092" t="s">
        <v>18027</v>
      </c>
      <c r="E9092" t="s">
        <v>26053</v>
      </c>
      <c r="F9092" t="s">
        <v>31574</v>
      </c>
      <c r="G9092" t="s">
        <v>31582</v>
      </c>
      <c r="H9092" t="s">
        <v>31591</v>
      </c>
      <c r="I9092" t="s">
        <v>8822</v>
      </c>
      <c r="J9092" t="s">
        <v>37451</v>
      </c>
      <c r="K9092" t="s">
        <v>41376</v>
      </c>
      <c r="M9092" t="s">
        <v>43628</v>
      </c>
      <c r="N9092" t="s">
        <v>45095</v>
      </c>
      <c r="O9092" t="s">
        <v>45096</v>
      </c>
      <c r="P9092">
        <v>0</v>
      </c>
      <c r="Q9092">
        <v>0</v>
      </c>
      <c r="R9092" t="s">
        <v>45104</v>
      </c>
      <c r="S9092" t="s">
        <v>45304</v>
      </c>
      <c r="T9092" t="s">
        <v>46988</v>
      </c>
      <c r="U9092" t="s">
        <v>55000</v>
      </c>
      <c r="W9092" t="s">
        <v>43628</v>
      </c>
      <c r="X9092" t="s">
        <v>45105</v>
      </c>
    </row>
    <row r="9093" spans="1:24">
      <c r="A9093">
        <f>HYPERLINK("https://www.philgeps.gov.ph/GEPSNONPILOT/Tender/SplashBidNoticeAbstractUI.aspx?menuIndex=3&amp;refID=7034646&amp;Result=3","7034646")</f>
        <v>0</v>
      </c>
      <c r="B9093" t="s">
        <v>1368</v>
      </c>
      <c r="C9093" t="s">
        <v>11860</v>
      </c>
      <c r="D9093" t="s">
        <v>18031</v>
      </c>
      <c r="E9093" t="s">
        <v>20348</v>
      </c>
      <c r="F9093" t="s">
        <v>31574</v>
      </c>
      <c r="G9093" t="s">
        <v>31587</v>
      </c>
      <c r="H9093" t="s">
        <v>31593</v>
      </c>
      <c r="I9093" t="s">
        <v>31593</v>
      </c>
      <c r="J9093" t="s">
        <v>32382</v>
      </c>
      <c r="K9093" t="s">
        <v>41316</v>
      </c>
      <c r="M9093" t="s">
        <v>42941</v>
      </c>
      <c r="N9093" t="s">
        <v>45095</v>
      </c>
      <c r="O9093" t="s">
        <v>45096</v>
      </c>
      <c r="P9093">
        <v>0</v>
      </c>
      <c r="Q9093">
        <v>0</v>
      </c>
      <c r="R9093" t="s">
        <v>45104</v>
      </c>
      <c r="S9093" t="s">
        <v>45304</v>
      </c>
      <c r="T9093" t="s">
        <v>47176</v>
      </c>
      <c r="U9093" t="s">
        <v>55001</v>
      </c>
      <c r="W9093" t="s">
        <v>42941</v>
      </c>
      <c r="X9093" t="s">
        <v>45105</v>
      </c>
    </row>
    <row r="9094" spans="1:24">
      <c r="A9094">
        <f>HYPERLINK("https://www.philgeps.gov.ph/GEPSNONPILOT/Tender/SplashBidNoticeAbstractUI.aspx?menuIndex=3&amp;refID=7034639&amp;Result=3","7034639")</f>
        <v>0</v>
      </c>
      <c r="B9094" t="s">
        <v>2476</v>
      </c>
      <c r="C9094" t="s">
        <v>11861</v>
      </c>
      <c r="D9094" t="s">
        <v>18060</v>
      </c>
      <c r="E9094" t="s">
        <v>26054</v>
      </c>
      <c r="F9094" t="s">
        <v>31574</v>
      </c>
      <c r="G9094" t="s">
        <v>31582</v>
      </c>
      <c r="H9094" t="s">
        <v>31591</v>
      </c>
      <c r="I9094" t="s">
        <v>8822</v>
      </c>
      <c r="J9094" t="s">
        <v>37452</v>
      </c>
      <c r="K9094" t="s">
        <v>41192</v>
      </c>
      <c r="M9094" t="s">
        <v>44206</v>
      </c>
      <c r="N9094" t="s">
        <v>45095</v>
      </c>
      <c r="O9094" t="s">
        <v>45096</v>
      </c>
      <c r="P9094">
        <v>0</v>
      </c>
      <c r="Q9094">
        <v>3</v>
      </c>
      <c r="R9094" t="s">
        <v>45104</v>
      </c>
      <c r="S9094" t="s">
        <v>45304</v>
      </c>
      <c r="T9094" t="s">
        <v>46939</v>
      </c>
      <c r="U9094" t="s">
        <v>55002</v>
      </c>
      <c r="V9094" t="s">
        <v>60779</v>
      </c>
      <c r="W9094" t="s">
        <v>44206</v>
      </c>
      <c r="X9094" t="s">
        <v>45105</v>
      </c>
    </row>
    <row r="9095" spans="1:24">
      <c r="A9095">
        <f>HYPERLINK("https://www.philgeps.gov.ph/GEPSNONPILOT/Tender/SplashBidNoticeAbstractUI.aspx?menuIndex=3&amp;refID=7034624&amp;Result=3","7034624")</f>
        <v>0</v>
      </c>
      <c r="B9095" t="s">
        <v>2514</v>
      </c>
      <c r="C9095" t="s">
        <v>11862</v>
      </c>
      <c r="D9095" t="s">
        <v>18071</v>
      </c>
      <c r="E9095" t="s">
        <v>26055</v>
      </c>
      <c r="F9095" t="s">
        <v>31574</v>
      </c>
      <c r="G9095" t="s">
        <v>31583</v>
      </c>
      <c r="H9095" t="s">
        <v>31590</v>
      </c>
      <c r="I9095" t="s">
        <v>31622</v>
      </c>
      <c r="J9095" t="s">
        <v>34972</v>
      </c>
      <c r="K9095" t="s">
        <v>41186</v>
      </c>
      <c r="M9095" t="s">
        <v>44248</v>
      </c>
      <c r="N9095" t="s">
        <v>45095</v>
      </c>
      <c r="O9095" t="s">
        <v>45096</v>
      </c>
      <c r="P9095">
        <v>0</v>
      </c>
      <c r="Q9095">
        <v>4</v>
      </c>
      <c r="R9095" t="s">
        <v>45104</v>
      </c>
      <c r="S9095" t="s">
        <v>45304</v>
      </c>
      <c r="T9095" t="s">
        <v>47077</v>
      </c>
      <c r="U9095" t="s">
        <v>55003</v>
      </c>
      <c r="W9095" t="s">
        <v>44248</v>
      </c>
      <c r="X9095" t="s">
        <v>45105</v>
      </c>
    </row>
    <row r="9096" spans="1:24">
      <c r="A9096">
        <f>HYPERLINK("https://www.philgeps.gov.ph/GEPSNONPILOT/Tender/SplashBidNoticeAbstractUI.aspx?menuIndex=3&amp;refID=7034633&amp;Result=3","7034633")</f>
        <v>0</v>
      </c>
      <c r="B9096" t="s">
        <v>2491</v>
      </c>
      <c r="C9096" t="s">
        <v>11863</v>
      </c>
      <c r="D9096" t="s">
        <v>18030</v>
      </c>
      <c r="E9096" t="s">
        <v>25064</v>
      </c>
      <c r="F9096" t="s">
        <v>31574</v>
      </c>
      <c r="G9096" t="s">
        <v>31582</v>
      </c>
      <c r="H9096" t="s">
        <v>31591</v>
      </c>
      <c r="I9096" t="s">
        <v>8822</v>
      </c>
      <c r="J9096" t="s">
        <v>37453</v>
      </c>
      <c r="K9096" t="s">
        <v>41186</v>
      </c>
      <c r="M9096" t="s">
        <v>44222</v>
      </c>
      <c r="N9096" t="s">
        <v>45095</v>
      </c>
      <c r="O9096" t="s">
        <v>45096</v>
      </c>
      <c r="P9096">
        <v>0</v>
      </c>
      <c r="Q9096">
        <v>0</v>
      </c>
      <c r="R9096" t="s">
        <v>45104</v>
      </c>
      <c r="S9096" t="s">
        <v>45304</v>
      </c>
      <c r="T9096" t="s">
        <v>47162</v>
      </c>
      <c r="U9096" t="s">
        <v>55004</v>
      </c>
      <c r="W9096" t="s">
        <v>44222</v>
      </c>
      <c r="X9096" t="s">
        <v>45105</v>
      </c>
    </row>
    <row r="9097" spans="1:24">
      <c r="A9097">
        <f>HYPERLINK("https://www.philgeps.gov.ph/GEPSNONPILOT/Tender/SplashBidNoticeAbstractUI.aspx?menuIndex=3&amp;refID=7034631&amp;Result=3","7034631")</f>
        <v>0</v>
      </c>
      <c r="B9097" t="s">
        <v>201</v>
      </c>
      <c r="C9097" t="s">
        <v>3711</v>
      </c>
      <c r="D9097" t="s">
        <v>18045</v>
      </c>
      <c r="E9097" t="s">
        <v>26056</v>
      </c>
      <c r="F9097" t="s">
        <v>31574</v>
      </c>
      <c r="G9097" t="s">
        <v>31582</v>
      </c>
      <c r="H9097" t="s">
        <v>31590</v>
      </c>
      <c r="I9097" t="s">
        <v>31615</v>
      </c>
      <c r="J9097" t="s">
        <v>32085</v>
      </c>
      <c r="K9097" t="s">
        <v>41184</v>
      </c>
      <c r="M9097" t="s">
        <v>41686</v>
      </c>
      <c r="N9097" t="s">
        <v>45095</v>
      </c>
      <c r="O9097" t="s">
        <v>45096</v>
      </c>
      <c r="P9097">
        <v>0</v>
      </c>
      <c r="Q9097">
        <v>3</v>
      </c>
      <c r="R9097" t="s">
        <v>45104</v>
      </c>
      <c r="S9097" t="s">
        <v>45304</v>
      </c>
      <c r="T9097" t="s">
        <v>46939</v>
      </c>
      <c r="U9097" t="s">
        <v>55005</v>
      </c>
      <c r="V9097" t="s">
        <v>60781</v>
      </c>
      <c r="W9097" t="s">
        <v>41686</v>
      </c>
      <c r="X9097" t="s">
        <v>45105</v>
      </c>
    </row>
    <row r="9098" spans="1:24">
      <c r="A9098">
        <f>HYPERLINK("https://www.philgeps.gov.ph/GEPSNONPILOT/Tender/SplashBidNoticeAbstractUI.aspx?menuIndex=3&amp;refID=7034638&amp;Result=3","7034638")</f>
        <v>0</v>
      </c>
      <c r="B9098" t="s">
        <v>2526</v>
      </c>
      <c r="C9098" t="s">
        <v>11864</v>
      </c>
      <c r="D9098" t="s">
        <v>18022</v>
      </c>
      <c r="E9098" t="s">
        <v>26057</v>
      </c>
      <c r="F9098" t="s">
        <v>31574</v>
      </c>
      <c r="G9098" t="s">
        <v>31582</v>
      </c>
      <c r="H9098" t="s">
        <v>31591</v>
      </c>
      <c r="I9098" t="s">
        <v>8822</v>
      </c>
      <c r="J9098" t="s">
        <v>37454</v>
      </c>
      <c r="K9098" t="s">
        <v>41184</v>
      </c>
      <c r="M9098" t="s">
        <v>44261</v>
      </c>
      <c r="N9098" t="s">
        <v>45095</v>
      </c>
      <c r="O9098" t="s">
        <v>45096</v>
      </c>
      <c r="P9098">
        <v>0</v>
      </c>
      <c r="Q9098">
        <v>1</v>
      </c>
      <c r="R9098" t="s">
        <v>45104</v>
      </c>
      <c r="S9098" t="s">
        <v>45304</v>
      </c>
      <c r="T9098" t="s">
        <v>47263</v>
      </c>
      <c r="U9098" t="s">
        <v>55006</v>
      </c>
      <c r="W9098" t="s">
        <v>44261</v>
      </c>
      <c r="X9098" t="s">
        <v>45105</v>
      </c>
    </row>
    <row r="9099" spans="1:24">
      <c r="A9099">
        <f>HYPERLINK("https://www.philgeps.gov.ph/GEPSNONPILOT/Tender/SplashBidNoticeAbstractUI.aspx?menuIndex=3&amp;refID=7034627&amp;Result=3","7034627")</f>
        <v>0</v>
      </c>
      <c r="B9099" t="s">
        <v>1432</v>
      </c>
      <c r="C9099" t="s">
        <v>11865</v>
      </c>
      <c r="D9099" t="s">
        <v>18035</v>
      </c>
      <c r="E9099" t="s">
        <v>26058</v>
      </c>
      <c r="F9099" t="s">
        <v>31574</v>
      </c>
      <c r="G9099" t="s">
        <v>31584</v>
      </c>
      <c r="H9099" t="s">
        <v>31590</v>
      </c>
      <c r="I9099" t="s">
        <v>8258</v>
      </c>
      <c r="J9099" t="s">
        <v>37455</v>
      </c>
      <c r="K9099" t="s">
        <v>41184</v>
      </c>
      <c r="M9099" t="s">
        <v>43008</v>
      </c>
      <c r="N9099" t="s">
        <v>45095</v>
      </c>
      <c r="O9099" t="s">
        <v>45096</v>
      </c>
      <c r="Q9099">
        <v>1</v>
      </c>
      <c r="R9099" t="s">
        <v>45104</v>
      </c>
      <c r="S9099" t="s">
        <v>45336</v>
      </c>
      <c r="T9099" t="s">
        <v>46985</v>
      </c>
      <c r="U9099" t="s">
        <v>55007</v>
      </c>
      <c r="W9099" t="s">
        <v>43008</v>
      </c>
      <c r="X9099" t="s">
        <v>45105</v>
      </c>
    </row>
    <row r="9100" spans="1:24">
      <c r="A9100">
        <f>HYPERLINK("https://www.philgeps.gov.ph/GEPSNONPILOT/Tender/SplashBidNoticeAbstractUI.aspx?menuIndex=3&amp;refID=7034650&amp;Result=3","7034650")</f>
        <v>0</v>
      </c>
      <c r="B9100" t="s">
        <v>2514</v>
      </c>
      <c r="C9100" t="s">
        <v>11866</v>
      </c>
      <c r="D9100" t="s">
        <v>18071</v>
      </c>
      <c r="E9100" t="s">
        <v>26059</v>
      </c>
      <c r="F9100" t="s">
        <v>31574</v>
      </c>
      <c r="G9100" t="s">
        <v>31583</v>
      </c>
      <c r="H9100" t="s">
        <v>31590</v>
      </c>
      <c r="I9100" t="s">
        <v>31647</v>
      </c>
      <c r="J9100" t="s">
        <v>37456</v>
      </c>
      <c r="K9100" t="s">
        <v>41186</v>
      </c>
      <c r="M9100" t="s">
        <v>44248</v>
      </c>
      <c r="N9100" t="s">
        <v>45095</v>
      </c>
      <c r="O9100" t="s">
        <v>45096</v>
      </c>
      <c r="P9100">
        <v>0</v>
      </c>
      <c r="Q9100">
        <v>2</v>
      </c>
      <c r="R9100" t="s">
        <v>45104</v>
      </c>
      <c r="S9100" t="s">
        <v>45304</v>
      </c>
      <c r="T9100" t="s">
        <v>47077</v>
      </c>
      <c r="U9100" t="s">
        <v>55008</v>
      </c>
      <c r="W9100" t="s">
        <v>44248</v>
      </c>
      <c r="X9100" t="s">
        <v>45105</v>
      </c>
    </row>
    <row r="9101" spans="1:24">
      <c r="A9101">
        <f>HYPERLINK("https://www.philgeps.gov.ph/GEPSNONPILOT/Tender/SplashBidNoticeAbstractUI.aspx?menuIndex=3&amp;refID=7034636&amp;Result=3","7034636")</f>
        <v>0</v>
      </c>
      <c r="B9101" t="s">
        <v>781</v>
      </c>
      <c r="C9101" t="s">
        <v>11867</v>
      </c>
      <c r="D9101" t="s">
        <v>18047</v>
      </c>
      <c r="E9101" t="s">
        <v>26060</v>
      </c>
      <c r="F9101" t="s">
        <v>31574</v>
      </c>
      <c r="G9101" t="s">
        <v>31582</v>
      </c>
      <c r="H9101" t="s">
        <v>31591</v>
      </c>
      <c r="I9101" t="s">
        <v>8822</v>
      </c>
      <c r="J9101" t="s">
        <v>37457</v>
      </c>
      <c r="K9101" t="s">
        <v>41329</v>
      </c>
      <c r="M9101" t="s">
        <v>42316</v>
      </c>
      <c r="N9101" t="s">
        <v>45095</v>
      </c>
      <c r="O9101" t="s">
        <v>45096</v>
      </c>
      <c r="P9101">
        <v>0</v>
      </c>
      <c r="Q9101">
        <v>0</v>
      </c>
      <c r="R9101" t="s">
        <v>45104</v>
      </c>
      <c r="S9101" t="s">
        <v>45304</v>
      </c>
      <c r="T9101" t="s">
        <v>46965</v>
      </c>
      <c r="U9101" t="s">
        <v>49139</v>
      </c>
      <c r="W9101" t="s">
        <v>42316</v>
      </c>
      <c r="X9101" t="s">
        <v>45105</v>
      </c>
    </row>
    <row r="9102" spans="1:24">
      <c r="A9102">
        <f>HYPERLINK("https://www.philgeps.gov.ph/GEPSNONPILOT/Tender/SplashBidNoticeAbstractUI.aspx?menuIndex=3&amp;refID=7034670&amp;Result=3","7034670")</f>
        <v>0</v>
      </c>
      <c r="B9102" t="s">
        <v>2500</v>
      </c>
      <c r="C9102" t="s">
        <v>11868</v>
      </c>
      <c r="D9102" t="s">
        <v>18022</v>
      </c>
      <c r="E9102" t="s">
        <v>19843</v>
      </c>
      <c r="F9102" t="s">
        <v>31575</v>
      </c>
      <c r="G9102" t="s">
        <v>31582</v>
      </c>
      <c r="H9102" t="s">
        <v>31590</v>
      </c>
      <c r="I9102" t="s">
        <v>8258</v>
      </c>
      <c r="J9102" t="s">
        <v>31727</v>
      </c>
      <c r="K9102" t="s">
        <v>41193</v>
      </c>
      <c r="M9102" t="s">
        <v>44232</v>
      </c>
      <c r="N9102" t="s">
        <v>45095</v>
      </c>
      <c r="O9102" t="s">
        <v>45096</v>
      </c>
      <c r="P9102">
        <v>0</v>
      </c>
      <c r="Q9102">
        <v>6</v>
      </c>
      <c r="R9102" t="s">
        <v>45104</v>
      </c>
      <c r="S9102" t="s">
        <v>45304</v>
      </c>
      <c r="T9102" t="s">
        <v>46914</v>
      </c>
      <c r="U9102" t="s">
        <v>55009</v>
      </c>
      <c r="W9102" t="s">
        <v>44232</v>
      </c>
      <c r="X9102" t="s">
        <v>45105</v>
      </c>
    </row>
    <row r="9103" spans="1:24">
      <c r="A9103">
        <f>HYPERLINK("https://www.philgeps.gov.ph/GEPSNONPILOT/Tender/SplashBidNoticeAbstractUI.aspx?menuIndex=3&amp;refID=7034629&amp;Result=3","7034629")</f>
        <v>0</v>
      </c>
      <c r="B9103" t="s">
        <v>341</v>
      </c>
      <c r="C9103" t="s">
        <v>11869</v>
      </c>
      <c r="D9103" t="s">
        <v>18086</v>
      </c>
      <c r="E9103" t="s">
        <v>26061</v>
      </c>
      <c r="F9103" t="s">
        <v>31574</v>
      </c>
      <c r="G9103" t="s">
        <v>31582</v>
      </c>
      <c r="H9103" t="s">
        <v>31591</v>
      </c>
      <c r="I9103" t="s">
        <v>4046</v>
      </c>
      <c r="J9103" t="s">
        <v>37458</v>
      </c>
      <c r="K9103" t="s">
        <v>41189</v>
      </c>
      <c r="M9103" t="s">
        <v>41829</v>
      </c>
      <c r="N9103" t="s">
        <v>45095</v>
      </c>
      <c r="O9103" t="s">
        <v>45096</v>
      </c>
      <c r="P9103">
        <v>0</v>
      </c>
      <c r="Q9103">
        <v>0</v>
      </c>
      <c r="R9103" t="s">
        <v>45104</v>
      </c>
      <c r="S9103" t="s">
        <v>45304</v>
      </c>
      <c r="T9103" t="s">
        <v>46977</v>
      </c>
      <c r="U9103" t="s">
        <v>55010</v>
      </c>
      <c r="W9103" t="s">
        <v>41829</v>
      </c>
      <c r="X9103" t="s">
        <v>45105</v>
      </c>
    </row>
    <row r="9104" spans="1:24">
      <c r="A9104">
        <f>HYPERLINK("https://www.philgeps.gov.ph/GEPSNONPILOT/Tender/SplashBidNoticeAbstractUI.aspx?menuIndex=3&amp;refID=7034651&amp;Result=3","7034651")</f>
        <v>0</v>
      </c>
      <c r="B9104" t="s">
        <v>846</v>
      </c>
      <c r="C9104" t="s">
        <v>11870</v>
      </c>
      <c r="D9104" t="s">
        <v>18099</v>
      </c>
      <c r="E9104" t="s">
        <v>26062</v>
      </c>
      <c r="F9104" t="s">
        <v>31574</v>
      </c>
      <c r="G9104" t="s">
        <v>31582</v>
      </c>
      <c r="H9104" t="s">
        <v>31590</v>
      </c>
      <c r="I9104" t="s">
        <v>8822</v>
      </c>
      <c r="J9104" t="s">
        <v>37459</v>
      </c>
      <c r="K9104" t="s">
        <v>41213</v>
      </c>
      <c r="M9104" t="s">
        <v>42365</v>
      </c>
      <c r="N9104" t="s">
        <v>45095</v>
      </c>
      <c r="O9104" t="s">
        <v>45096</v>
      </c>
      <c r="P9104">
        <v>0</v>
      </c>
      <c r="Q9104">
        <v>0</v>
      </c>
      <c r="R9104" t="s">
        <v>45104</v>
      </c>
      <c r="S9104" t="s">
        <v>45304</v>
      </c>
      <c r="T9104" t="s">
        <v>47154</v>
      </c>
      <c r="U9104" t="s">
        <v>49292</v>
      </c>
      <c r="V9104" t="s">
        <v>60057</v>
      </c>
      <c r="W9104" t="s">
        <v>42365</v>
      </c>
      <c r="X9104" t="s">
        <v>45105</v>
      </c>
    </row>
    <row r="9105" spans="1:24">
      <c r="A9105">
        <f>HYPERLINK("https://www.philgeps.gov.ph/GEPSNONPILOT/Tender/SplashBidNoticeAbstractUI.aspx?menuIndex=3&amp;refID=7034652&amp;Result=3","7034652")</f>
        <v>0</v>
      </c>
      <c r="B9105" t="s">
        <v>623</v>
      </c>
      <c r="C9105" t="s">
        <v>11871</v>
      </c>
      <c r="D9105" t="s">
        <v>18031</v>
      </c>
      <c r="E9105" t="s">
        <v>26063</v>
      </c>
      <c r="F9105" t="s">
        <v>31574</v>
      </c>
      <c r="G9105" t="s">
        <v>31582</v>
      </c>
      <c r="H9105" t="s">
        <v>31590</v>
      </c>
      <c r="I9105" t="s">
        <v>31608</v>
      </c>
      <c r="J9105" t="s">
        <v>31781</v>
      </c>
      <c r="K9105" t="s">
        <v>41185</v>
      </c>
      <c r="M9105" t="s">
        <v>42127</v>
      </c>
      <c r="N9105" t="s">
        <v>45095</v>
      </c>
      <c r="O9105" t="s">
        <v>45096</v>
      </c>
      <c r="P9105">
        <v>0</v>
      </c>
      <c r="Q9105">
        <v>6</v>
      </c>
      <c r="R9105" t="s">
        <v>45104</v>
      </c>
      <c r="S9105" t="s">
        <v>45304</v>
      </c>
      <c r="T9105" t="s">
        <v>46977</v>
      </c>
      <c r="U9105" t="s">
        <v>55011</v>
      </c>
      <c r="V9105" t="s">
        <v>59995</v>
      </c>
      <c r="W9105" t="s">
        <v>42127</v>
      </c>
      <c r="X9105" t="s">
        <v>45105</v>
      </c>
    </row>
    <row r="9106" spans="1:24">
      <c r="A9106">
        <f>HYPERLINK("https://www.philgeps.gov.ph/GEPSNONPILOT/Tender/SplashBidNoticeAbstractUI.aspx?menuIndex=3&amp;refID=7034671&amp;Result=3","7034671")</f>
        <v>0</v>
      </c>
      <c r="B9106" t="s">
        <v>807</v>
      </c>
      <c r="C9106" t="s">
        <v>11872</v>
      </c>
      <c r="D9106" t="s">
        <v>18047</v>
      </c>
      <c r="E9106" t="s">
        <v>24038</v>
      </c>
      <c r="F9106" t="s">
        <v>31574</v>
      </c>
      <c r="G9106" t="s">
        <v>31582</v>
      </c>
      <c r="H9106" t="s">
        <v>31590</v>
      </c>
      <c r="I9106" t="s">
        <v>4046</v>
      </c>
      <c r="J9106" t="s">
        <v>37460</v>
      </c>
      <c r="K9106" t="s">
        <v>41185</v>
      </c>
      <c r="M9106" t="s">
        <v>42322</v>
      </c>
      <c r="N9106" t="s">
        <v>45095</v>
      </c>
      <c r="O9106" t="s">
        <v>45096</v>
      </c>
      <c r="P9106">
        <v>0</v>
      </c>
      <c r="Q9106">
        <v>0</v>
      </c>
      <c r="R9106" t="s">
        <v>45104</v>
      </c>
      <c r="S9106" t="s">
        <v>45304</v>
      </c>
      <c r="T9106" t="s">
        <v>47301</v>
      </c>
      <c r="U9106" t="s">
        <v>49200</v>
      </c>
      <c r="W9106" t="s">
        <v>42322</v>
      </c>
      <c r="X9106" t="s">
        <v>45105</v>
      </c>
    </row>
    <row r="9107" spans="1:24">
      <c r="A9107">
        <f>HYPERLINK("https://www.philgeps.gov.ph/GEPSNONPILOT/Tender/SplashBidNoticeAbstractUI.aspx?menuIndex=3&amp;refID=7034655&amp;Result=3","7034655")</f>
        <v>0</v>
      </c>
      <c r="B9107" t="s">
        <v>40</v>
      </c>
      <c r="C9107" t="s">
        <v>11873</v>
      </c>
      <c r="D9107" t="s">
        <v>18035</v>
      </c>
      <c r="E9107" t="s">
        <v>26064</v>
      </c>
      <c r="F9107" t="s">
        <v>31574</v>
      </c>
      <c r="G9107" t="s">
        <v>31582</v>
      </c>
      <c r="H9107" t="s">
        <v>31591</v>
      </c>
      <c r="I9107" t="s">
        <v>8822</v>
      </c>
      <c r="J9107" t="s">
        <v>33252</v>
      </c>
      <c r="K9107" t="s">
        <v>41200</v>
      </c>
      <c r="M9107" t="s">
        <v>41523</v>
      </c>
      <c r="N9107" t="s">
        <v>45095</v>
      </c>
      <c r="O9107" t="s">
        <v>45096</v>
      </c>
      <c r="P9107">
        <v>0</v>
      </c>
      <c r="Q9107">
        <v>12</v>
      </c>
      <c r="R9107" t="s">
        <v>45104</v>
      </c>
      <c r="S9107" t="s">
        <v>45304</v>
      </c>
      <c r="T9107" t="s">
        <v>47000</v>
      </c>
      <c r="U9107" t="s">
        <v>47493</v>
      </c>
      <c r="V9107" t="s">
        <v>59850</v>
      </c>
      <c r="W9107" t="s">
        <v>41523</v>
      </c>
      <c r="X9107" t="s">
        <v>45105</v>
      </c>
    </row>
    <row r="9108" spans="1:24">
      <c r="A9108">
        <f>HYPERLINK("https://www.philgeps.gov.ph/GEPSNONPILOT/Tender/SplashBidNoticeAbstractUI.aspx?menuIndex=3&amp;refID=7034673&amp;Result=3","7034673")</f>
        <v>0</v>
      </c>
      <c r="B9108" t="s">
        <v>1368</v>
      </c>
      <c r="C9108" t="s">
        <v>11860</v>
      </c>
      <c r="D9108" t="s">
        <v>18031</v>
      </c>
      <c r="E9108" t="s">
        <v>26065</v>
      </c>
      <c r="F9108" t="s">
        <v>31574</v>
      </c>
      <c r="G9108" t="s">
        <v>31587</v>
      </c>
      <c r="H9108" t="s">
        <v>31593</v>
      </c>
      <c r="I9108" t="s">
        <v>31593</v>
      </c>
      <c r="J9108" t="s">
        <v>32382</v>
      </c>
      <c r="K9108" t="s">
        <v>41316</v>
      </c>
      <c r="M9108" t="s">
        <v>42941</v>
      </c>
      <c r="N9108" t="s">
        <v>45095</v>
      </c>
      <c r="O9108" t="s">
        <v>45096</v>
      </c>
      <c r="P9108">
        <v>0</v>
      </c>
      <c r="Q9108">
        <v>0</v>
      </c>
      <c r="R9108" t="s">
        <v>45104</v>
      </c>
      <c r="S9108" t="s">
        <v>45304</v>
      </c>
      <c r="T9108" t="s">
        <v>47176</v>
      </c>
      <c r="U9108" t="s">
        <v>55001</v>
      </c>
      <c r="W9108" t="s">
        <v>42941</v>
      </c>
      <c r="X9108" t="s">
        <v>45105</v>
      </c>
    </row>
    <row r="9109" spans="1:24">
      <c r="A9109">
        <f>HYPERLINK("https://www.philgeps.gov.ph/GEPSNONPILOT/Tender/SplashBidNoticeAbstractUI.aspx?menuIndex=3&amp;refID=7034688&amp;Result=3","7034688")</f>
        <v>0</v>
      </c>
      <c r="B9109" t="s">
        <v>290</v>
      </c>
      <c r="C9109" t="s">
        <v>11874</v>
      </c>
      <c r="D9109" t="s">
        <v>18043</v>
      </c>
      <c r="E9109" t="s">
        <v>26066</v>
      </c>
      <c r="F9109" t="s">
        <v>31574</v>
      </c>
      <c r="G9109" t="s">
        <v>31582</v>
      </c>
      <c r="H9109" t="s">
        <v>31590</v>
      </c>
      <c r="I9109" t="s">
        <v>5717</v>
      </c>
      <c r="J9109" t="s">
        <v>37461</v>
      </c>
      <c r="K9109" t="s">
        <v>41196</v>
      </c>
      <c r="M9109" t="s">
        <v>43891</v>
      </c>
      <c r="N9109" t="s">
        <v>45095</v>
      </c>
      <c r="O9109" t="s">
        <v>45096</v>
      </c>
      <c r="P9109">
        <v>0</v>
      </c>
      <c r="Q9109">
        <v>10</v>
      </c>
      <c r="R9109" t="s">
        <v>45104</v>
      </c>
      <c r="S9109" t="s">
        <v>45304</v>
      </c>
      <c r="T9109" t="s">
        <v>47232</v>
      </c>
      <c r="U9109" t="s">
        <v>55012</v>
      </c>
      <c r="W9109" t="s">
        <v>43891</v>
      </c>
      <c r="X9109" t="s">
        <v>45105</v>
      </c>
    </row>
    <row r="9110" spans="1:24">
      <c r="A9110">
        <f>HYPERLINK("https://www.philgeps.gov.ph/GEPSNONPILOT/Tender/SplashBidNoticeAbstractUI.aspx?menuIndex=3&amp;refID=7034682&amp;Result=3","7034682")</f>
        <v>0</v>
      </c>
      <c r="B9110" t="s">
        <v>1554</v>
      </c>
      <c r="C9110" t="s">
        <v>11875</v>
      </c>
      <c r="D9110" t="s">
        <v>18056</v>
      </c>
      <c r="E9110" t="s">
        <v>26067</v>
      </c>
      <c r="F9110" t="s">
        <v>31574</v>
      </c>
      <c r="G9110" t="s">
        <v>31582</v>
      </c>
      <c r="H9110" t="s">
        <v>31590</v>
      </c>
      <c r="I9110" t="s">
        <v>7185</v>
      </c>
      <c r="J9110" t="s">
        <v>37462</v>
      </c>
      <c r="K9110" t="s">
        <v>41185</v>
      </c>
      <c r="M9110" t="s">
        <v>44237</v>
      </c>
      <c r="N9110" t="s">
        <v>45095</v>
      </c>
      <c r="O9110" t="s">
        <v>45096</v>
      </c>
      <c r="P9110">
        <v>0</v>
      </c>
      <c r="Q9110">
        <v>1</v>
      </c>
      <c r="R9110" t="s">
        <v>45104</v>
      </c>
      <c r="S9110" t="s">
        <v>45304</v>
      </c>
      <c r="T9110" t="s">
        <v>47000</v>
      </c>
      <c r="U9110" t="s">
        <v>55013</v>
      </c>
      <c r="V9110" t="s">
        <v>60775</v>
      </c>
      <c r="W9110" t="s">
        <v>44237</v>
      </c>
      <c r="X9110" t="s">
        <v>45105</v>
      </c>
    </row>
    <row r="9111" spans="1:24">
      <c r="A9111">
        <f>HYPERLINK("https://www.philgeps.gov.ph/GEPSNONPILOT/Tender/SplashBidNoticeAbstractUI.aspx?menuIndex=3&amp;refID=7034674&amp;Result=3","7034674")</f>
        <v>0</v>
      </c>
      <c r="B9111" t="s">
        <v>82</v>
      </c>
      <c r="C9111" t="s">
        <v>11876</v>
      </c>
      <c r="D9111" t="s">
        <v>18058</v>
      </c>
      <c r="E9111" t="s">
        <v>26068</v>
      </c>
      <c r="F9111" t="s">
        <v>31574</v>
      </c>
      <c r="G9111" t="s">
        <v>31582</v>
      </c>
      <c r="H9111" t="s">
        <v>31590</v>
      </c>
      <c r="I9111" t="s">
        <v>31676</v>
      </c>
      <c r="J9111" t="s">
        <v>37463</v>
      </c>
      <c r="K9111" t="s">
        <v>41192</v>
      </c>
      <c r="M9111" t="s">
        <v>41566</v>
      </c>
      <c r="N9111" t="s">
        <v>45095</v>
      </c>
      <c r="O9111" t="s">
        <v>45096</v>
      </c>
      <c r="P9111">
        <v>0</v>
      </c>
      <c r="Q9111">
        <v>2</v>
      </c>
      <c r="R9111" t="s">
        <v>45104</v>
      </c>
      <c r="S9111" t="s">
        <v>45304</v>
      </c>
      <c r="T9111" t="s">
        <v>47170</v>
      </c>
      <c r="U9111" t="s">
        <v>55014</v>
      </c>
      <c r="V9111" t="s">
        <v>60782</v>
      </c>
      <c r="W9111" t="s">
        <v>41566</v>
      </c>
      <c r="X9111" t="s">
        <v>45105</v>
      </c>
    </row>
    <row r="9112" spans="1:24">
      <c r="A9112">
        <f>HYPERLINK("https://www.philgeps.gov.ph/GEPSNONPILOT/Tender/SplashBidNoticeAbstractUI.aspx?menuIndex=3&amp;refID=7034677&amp;Result=3","7034677")</f>
        <v>0</v>
      </c>
      <c r="B9112" t="s">
        <v>2527</v>
      </c>
      <c r="C9112" t="s">
        <v>11877</v>
      </c>
      <c r="D9112" t="s">
        <v>18046</v>
      </c>
      <c r="E9112" t="s">
        <v>26069</v>
      </c>
      <c r="F9112" t="s">
        <v>31574</v>
      </c>
      <c r="G9112" t="s">
        <v>31582</v>
      </c>
      <c r="H9112" t="s">
        <v>31590</v>
      </c>
      <c r="I9112" t="s">
        <v>4046</v>
      </c>
      <c r="J9112" t="s">
        <v>37464</v>
      </c>
      <c r="K9112" t="s">
        <v>41193</v>
      </c>
      <c r="M9112" t="s">
        <v>44262</v>
      </c>
      <c r="N9112" t="s">
        <v>45095</v>
      </c>
      <c r="O9112" t="s">
        <v>45096</v>
      </c>
      <c r="P9112">
        <v>0</v>
      </c>
      <c r="Q9112">
        <v>0</v>
      </c>
      <c r="R9112" t="s">
        <v>45104</v>
      </c>
      <c r="S9112" t="s">
        <v>45304</v>
      </c>
      <c r="T9112" t="s">
        <v>47050</v>
      </c>
      <c r="U9112" t="s">
        <v>55015</v>
      </c>
      <c r="W9112" t="s">
        <v>44262</v>
      </c>
      <c r="X9112" t="s">
        <v>45105</v>
      </c>
    </row>
    <row r="9113" spans="1:24">
      <c r="A9113">
        <f>HYPERLINK("https://www.philgeps.gov.ph/GEPSNONPILOT/Tender/SplashBidNoticeAbstractUI.aspx?menuIndex=3&amp;refID=7034686&amp;Result=3","7034686")</f>
        <v>0</v>
      </c>
      <c r="B9113" t="s">
        <v>2528</v>
      </c>
      <c r="C9113" t="s">
        <v>11878</v>
      </c>
      <c r="D9113" t="s">
        <v>18039</v>
      </c>
      <c r="E9113" t="s">
        <v>26070</v>
      </c>
      <c r="F9113" t="s">
        <v>31574</v>
      </c>
      <c r="G9113" t="s">
        <v>31582</v>
      </c>
      <c r="H9113" t="s">
        <v>31591</v>
      </c>
      <c r="I9113" t="s">
        <v>8822</v>
      </c>
      <c r="J9113" t="s">
        <v>36123</v>
      </c>
      <c r="K9113" t="s">
        <v>41198</v>
      </c>
      <c r="M9113" t="s">
        <v>44263</v>
      </c>
      <c r="N9113" t="s">
        <v>45095</v>
      </c>
      <c r="O9113" t="s">
        <v>45096</v>
      </c>
      <c r="P9113">
        <v>0</v>
      </c>
      <c r="Q9113">
        <v>0</v>
      </c>
      <c r="R9113" t="s">
        <v>45104</v>
      </c>
      <c r="S9113" t="s">
        <v>45304</v>
      </c>
      <c r="T9113" t="s">
        <v>46992</v>
      </c>
      <c r="U9113" t="s">
        <v>55016</v>
      </c>
      <c r="W9113" t="s">
        <v>44263</v>
      </c>
      <c r="X9113" t="s">
        <v>45105</v>
      </c>
    </row>
    <row r="9114" spans="1:24">
      <c r="A9114">
        <f>HYPERLINK("https://www.philgeps.gov.ph/GEPSNONPILOT/Tender/SplashBidNoticeAbstractUI.aspx?menuIndex=3&amp;refID=7034696&amp;Result=3","7034696")</f>
        <v>0</v>
      </c>
      <c r="B9114" t="s">
        <v>319</v>
      </c>
      <c r="C9114" t="s">
        <v>11879</v>
      </c>
      <c r="D9114" t="s">
        <v>18065</v>
      </c>
      <c r="E9114" t="s">
        <v>26071</v>
      </c>
      <c r="F9114" t="s">
        <v>31574</v>
      </c>
      <c r="G9114" t="s">
        <v>31582</v>
      </c>
      <c r="H9114" t="s">
        <v>31590</v>
      </c>
      <c r="I9114" t="s">
        <v>31623</v>
      </c>
      <c r="J9114" t="s">
        <v>35140</v>
      </c>
      <c r="K9114" t="s">
        <v>41193</v>
      </c>
      <c r="M9114" t="s">
        <v>41807</v>
      </c>
      <c r="N9114" t="s">
        <v>45095</v>
      </c>
      <c r="O9114" t="s">
        <v>45096</v>
      </c>
      <c r="P9114">
        <v>0</v>
      </c>
      <c r="Q9114">
        <v>1</v>
      </c>
      <c r="R9114" t="s">
        <v>45104</v>
      </c>
      <c r="S9114" t="s">
        <v>45304</v>
      </c>
      <c r="T9114" t="s">
        <v>47050</v>
      </c>
      <c r="U9114" t="s">
        <v>55017</v>
      </c>
      <c r="W9114" t="s">
        <v>61662</v>
      </c>
      <c r="X9114" t="s">
        <v>45105</v>
      </c>
    </row>
    <row r="9115" spans="1:24">
      <c r="A9115">
        <f>HYPERLINK("https://www.philgeps.gov.ph/GEPSNONPILOT/Tender/SplashBidNoticeAbstractUI.aspx?menuIndex=3&amp;refID=7034690&amp;Result=3","7034690")</f>
        <v>0</v>
      </c>
      <c r="B9115" t="s">
        <v>2529</v>
      </c>
      <c r="C9115" t="s">
        <v>11880</v>
      </c>
      <c r="D9115" t="s">
        <v>18056</v>
      </c>
      <c r="E9115" t="s">
        <v>26072</v>
      </c>
      <c r="F9115" t="s">
        <v>31574</v>
      </c>
      <c r="G9115" t="s">
        <v>31582</v>
      </c>
      <c r="H9115" t="s">
        <v>31590</v>
      </c>
      <c r="I9115" t="s">
        <v>31615</v>
      </c>
      <c r="J9115" t="s">
        <v>37465</v>
      </c>
      <c r="K9115" t="s">
        <v>41196</v>
      </c>
      <c r="M9115" t="s">
        <v>44264</v>
      </c>
      <c r="N9115" t="s">
        <v>45095</v>
      </c>
      <c r="O9115" t="s">
        <v>45096</v>
      </c>
      <c r="P9115">
        <v>0</v>
      </c>
      <c r="Q9115">
        <v>5</v>
      </c>
      <c r="R9115" t="s">
        <v>45104</v>
      </c>
      <c r="S9115" t="s">
        <v>45304</v>
      </c>
      <c r="T9115" t="s">
        <v>47304</v>
      </c>
      <c r="U9115" t="s">
        <v>55018</v>
      </c>
      <c r="W9115" t="s">
        <v>44264</v>
      </c>
      <c r="X9115" t="s">
        <v>45105</v>
      </c>
    </row>
    <row r="9116" spans="1:24">
      <c r="A9116">
        <f>HYPERLINK("https://www.philgeps.gov.ph/GEPSNONPILOT/Tender/SplashBidNoticeAbstractUI.aspx?menuIndex=3&amp;refID=7034695&amp;Result=3","7034695")</f>
        <v>0</v>
      </c>
      <c r="B9116" t="s">
        <v>2530</v>
      </c>
      <c r="C9116" t="s">
        <v>11881</v>
      </c>
      <c r="D9116" t="s">
        <v>18025</v>
      </c>
      <c r="E9116" t="s">
        <v>26007</v>
      </c>
      <c r="F9116" t="s">
        <v>31574</v>
      </c>
      <c r="G9116" t="s">
        <v>31582</v>
      </c>
      <c r="H9116" t="s">
        <v>31590</v>
      </c>
      <c r="I9116" t="s">
        <v>4046</v>
      </c>
      <c r="J9116" t="s">
        <v>37466</v>
      </c>
      <c r="K9116" t="s">
        <v>41190</v>
      </c>
      <c r="M9116" t="s">
        <v>44265</v>
      </c>
      <c r="N9116" t="s">
        <v>45095</v>
      </c>
      <c r="O9116" t="s">
        <v>45096</v>
      </c>
      <c r="P9116">
        <v>0</v>
      </c>
      <c r="Q9116">
        <v>1</v>
      </c>
      <c r="R9116" t="s">
        <v>45104</v>
      </c>
      <c r="S9116" t="s">
        <v>45304</v>
      </c>
      <c r="T9116" t="s">
        <v>47124</v>
      </c>
      <c r="U9116" t="s">
        <v>55019</v>
      </c>
      <c r="W9116" t="s">
        <v>44265</v>
      </c>
      <c r="X9116" t="s">
        <v>45105</v>
      </c>
    </row>
    <row r="9117" spans="1:24">
      <c r="A9117">
        <f>HYPERLINK("https://www.philgeps.gov.ph/GEPSNONPILOT/Tender/SplashBidNoticeAbstractUI.aspx?menuIndex=3&amp;refID=7034675&amp;Result=3","7034675")</f>
        <v>0</v>
      </c>
      <c r="B9117" t="s">
        <v>2514</v>
      </c>
      <c r="C9117" t="s">
        <v>11882</v>
      </c>
      <c r="D9117" t="s">
        <v>18071</v>
      </c>
      <c r="E9117" t="s">
        <v>26073</v>
      </c>
      <c r="F9117" t="s">
        <v>31574</v>
      </c>
      <c r="G9117" t="s">
        <v>31583</v>
      </c>
      <c r="H9117" t="s">
        <v>31590</v>
      </c>
      <c r="I9117" t="s">
        <v>31622</v>
      </c>
      <c r="J9117" t="s">
        <v>37467</v>
      </c>
      <c r="K9117" t="s">
        <v>41186</v>
      </c>
      <c r="M9117" t="s">
        <v>44248</v>
      </c>
      <c r="N9117" t="s">
        <v>45095</v>
      </c>
      <c r="O9117" t="s">
        <v>45096</v>
      </c>
      <c r="P9117">
        <v>0</v>
      </c>
      <c r="Q9117">
        <v>0</v>
      </c>
      <c r="R9117" t="s">
        <v>45104</v>
      </c>
      <c r="S9117" t="s">
        <v>45304</v>
      </c>
      <c r="T9117" t="s">
        <v>47077</v>
      </c>
      <c r="U9117" t="s">
        <v>55020</v>
      </c>
      <c r="W9117" t="s">
        <v>44248</v>
      </c>
      <c r="X9117" t="s">
        <v>45105</v>
      </c>
    </row>
    <row r="9118" spans="1:24">
      <c r="A9118">
        <f>HYPERLINK("https://www.philgeps.gov.ph/GEPSNONPILOT/Tender/SplashBidNoticeAbstractUI.aspx?menuIndex=3&amp;refID=7034664&amp;Result=3","7034664")</f>
        <v>0</v>
      </c>
      <c r="B9118" t="s">
        <v>1554</v>
      </c>
      <c r="C9118" t="s">
        <v>11883</v>
      </c>
      <c r="D9118" t="s">
        <v>18056</v>
      </c>
      <c r="E9118" t="s">
        <v>26074</v>
      </c>
      <c r="F9118" t="s">
        <v>31574</v>
      </c>
      <c r="G9118" t="s">
        <v>31582</v>
      </c>
      <c r="H9118" t="s">
        <v>31590</v>
      </c>
      <c r="I9118" t="s">
        <v>31625</v>
      </c>
      <c r="J9118" t="s">
        <v>37468</v>
      </c>
      <c r="K9118" t="s">
        <v>41198</v>
      </c>
      <c r="M9118" t="s">
        <v>44237</v>
      </c>
      <c r="N9118" t="s">
        <v>45095</v>
      </c>
      <c r="O9118" t="s">
        <v>45096</v>
      </c>
      <c r="P9118">
        <v>0</v>
      </c>
      <c r="Q9118">
        <v>0</v>
      </c>
      <c r="R9118" t="s">
        <v>45104</v>
      </c>
      <c r="S9118" t="s">
        <v>45304</v>
      </c>
      <c r="T9118" t="s">
        <v>47000</v>
      </c>
      <c r="U9118" t="s">
        <v>55021</v>
      </c>
      <c r="V9118" t="s">
        <v>60775</v>
      </c>
      <c r="W9118" t="s">
        <v>44237</v>
      </c>
      <c r="X9118" t="s">
        <v>45105</v>
      </c>
    </row>
    <row r="9119" spans="1:24">
      <c r="A9119">
        <f>HYPERLINK("https://www.philgeps.gov.ph/GEPSNONPILOT/Tender/SplashBidNoticeAbstractUI.aspx?menuIndex=3&amp;refID=7034692&amp;Result=3","7034692")</f>
        <v>0</v>
      </c>
      <c r="B9119" t="s">
        <v>1554</v>
      </c>
      <c r="C9119" t="s">
        <v>11884</v>
      </c>
      <c r="D9119" t="s">
        <v>18056</v>
      </c>
      <c r="E9119" t="s">
        <v>26075</v>
      </c>
      <c r="F9119" t="s">
        <v>31574</v>
      </c>
      <c r="G9119" t="s">
        <v>31582</v>
      </c>
      <c r="H9119" t="s">
        <v>31590</v>
      </c>
      <c r="I9119" t="s">
        <v>7185</v>
      </c>
      <c r="J9119" t="s">
        <v>37469</v>
      </c>
      <c r="K9119" t="s">
        <v>41185</v>
      </c>
      <c r="M9119" t="s">
        <v>44237</v>
      </c>
      <c r="N9119" t="s">
        <v>45095</v>
      </c>
      <c r="O9119" t="s">
        <v>45096</v>
      </c>
      <c r="P9119">
        <v>0</v>
      </c>
      <c r="Q9119">
        <v>2</v>
      </c>
      <c r="R9119" t="s">
        <v>45104</v>
      </c>
      <c r="S9119" t="s">
        <v>45304</v>
      </c>
      <c r="T9119" t="s">
        <v>47000</v>
      </c>
      <c r="U9119" t="s">
        <v>55022</v>
      </c>
      <c r="V9119" t="s">
        <v>60775</v>
      </c>
      <c r="W9119" t="s">
        <v>44237</v>
      </c>
      <c r="X9119" t="s">
        <v>45105</v>
      </c>
    </row>
    <row r="9120" spans="1:24">
      <c r="A9120">
        <f>HYPERLINK("https://www.philgeps.gov.ph/GEPSNONPILOT/Tender/SplashBidNoticeAbstractUI.aspx?menuIndex=3&amp;refID=7034665&amp;Result=3","7034665")</f>
        <v>0</v>
      </c>
      <c r="B9120" t="s">
        <v>1368</v>
      </c>
      <c r="C9120" t="s">
        <v>11860</v>
      </c>
      <c r="D9120" t="s">
        <v>18031</v>
      </c>
      <c r="E9120" t="s">
        <v>26076</v>
      </c>
      <c r="F9120" t="s">
        <v>31574</v>
      </c>
      <c r="G9120" t="s">
        <v>31587</v>
      </c>
      <c r="H9120" t="s">
        <v>31593</v>
      </c>
      <c r="I9120" t="s">
        <v>31593</v>
      </c>
      <c r="J9120" t="s">
        <v>32382</v>
      </c>
      <c r="K9120" t="s">
        <v>41316</v>
      </c>
      <c r="M9120" t="s">
        <v>42941</v>
      </c>
      <c r="N9120" t="s">
        <v>45095</v>
      </c>
      <c r="O9120" t="s">
        <v>45096</v>
      </c>
      <c r="P9120">
        <v>0</v>
      </c>
      <c r="Q9120">
        <v>0</v>
      </c>
      <c r="R9120" t="s">
        <v>45104</v>
      </c>
      <c r="S9120" t="s">
        <v>45304</v>
      </c>
      <c r="T9120" t="s">
        <v>47176</v>
      </c>
      <c r="U9120" t="s">
        <v>55001</v>
      </c>
      <c r="W9120" t="s">
        <v>42941</v>
      </c>
      <c r="X9120" t="s">
        <v>45105</v>
      </c>
    </row>
    <row r="9121" spans="1:24">
      <c r="A9121">
        <f>HYPERLINK("https://www.philgeps.gov.ph/GEPSNONPILOT/Tender/SplashBidNoticeAbstractUI.aspx?menuIndex=3&amp;refID=7034694&amp;Result=3","7034694")</f>
        <v>0</v>
      </c>
      <c r="B9121" t="s">
        <v>1368</v>
      </c>
      <c r="C9121" t="s">
        <v>11885</v>
      </c>
      <c r="D9121" t="s">
        <v>18031</v>
      </c>
      <c r="E9121" t="s">
        <v>26077</v>
      </c>
      <c r="F9121" t="s">
        <v>31574</v>
      </c>
      <c r="G9121" t="s">
        <v>31587</v>
      </c>
      <c r="H9121" t="s">
        <v>31593</v>
      </c>
      <c r="I9121" t="s">
        <v>31593</v>
      </c>
      <c r="J9121" t="s">
        <v>31842</v>
      </c>
      <c r="K9121" t="s">
        <v>41316</v>
      </c>
      <c r="M9121" t="s">
        <v>42941</v>
      </c>
      <c r="N9121" t="s">
        <v>45095</v>
      </c>
      <c r="O9121" t="s">
        <v>45096</v>
      </c>
      <c r="P9121">
        <v>0</v>
      </c>
      <c r="Q9121">
        <v>0</v>
      </c>
      <c r="R9121" t="s">
        <v>45104</v>
      </c>
      <c r="S9121" t="s">
        <v>45304</v>
      </c>
      <c r="T9121" t="s">
        <v>47176</v>
      </c>
      <c r="U9121" t="s">
        <v>55023</v>
      </c>
      <c r="W9121" t="s">
        <v>42941</v>
      </c>
      <c r="X9121" t="s">
        <v>45105</v>
      </c>
    </row>
    <row r="9122" spans="1:24">
      <c r="A9122">
        <f>HYPERLINK("https://www.philgeps.gov.ph/GEPSNONPILOT/Tender/SplashBidNoticeAbstractUI.aspx?menuIndex=3&amp;refID=7034699&amp;Result=3","7034699")</f>
        <v>0</v>
      </c>
      <c r="B9122" t="s">
        <v>2531</v>
      </c>
      <c r="C9122" t="s">
        <v>11886</v>
      </c>
      <c r="D9122" t="s">
        <v>18060</v>
      </c>
      <c r="E9122" t="s">
        <v>26078</v>
      </c>
      <c r="F9122" t="s">
        <v>31574</v>
      </c>
      <c r="G9122" t="s">
        <v>31585</v>
      </c>
      <c r="H9122" t="s">
        <v>31590</v>
      </c>
      <c r="I9122" t="s">
        <v>31676</v>
      </c>
      <c r="J9122" t="s">
        <v>32355</v>
      </c>
      <c r="K9122" t="s">
        <v>41186</v>
      </c>
      <c r="M9122" t="s">
        <v>44266</v>
      </c>
      <c r="N9122" t="s">
        <v>45095</v>
      </c>
      <c r="O9122" t="s">
        <v>45096</v>
      </c>
      <c r="P9122">
        <v>0</v>
      </c>
      <c r="Q9122">
        <v>4</v>
      </c>
      <c r="R9122" t="s">
        <v>45104</v>
      </c>
      <c r="S9122" t="s">
        <v>45304</v>
      </c>
      <c r="T9122" t="s">
        <v>47161</v>
      </c>
      <c r="U9122" t="s">
        <v>55024</v>
      </c>
      <c r="V9122" t="s">
        <v>60783</v>
      </c>
      <c r="W9122" t="s">
        <v>44266</v>
      </c>
      <c r="X9122" t="s">
        <v>45105</v>
      </c>
    </row>
    <row r="9123" spans="1:24">
      <c r="A9123">
        <f>HYPERLINK("https://www.philgeps.gov.ph/GEPSNONPILOT/Tender/SplashBidNoticeAbstractUI.aspx?menuIndex=3&amp;refID=7034706&amp;Result=3","7034706")</f>
        <v>0</v>
      </c>
      <c r="B9123" t="s">
        <v>751</v>
      </c>
      <c r="C9123" t="s">
        <v>11887</v>
      </c>
      <c r="D9123" t="s">
        <v>18065</v>
      </c>
      <c r="E9123" t="s">
        <v>26079</v>
      </c>
      <c r="F9123" t="s">
        <v>31574</v>
      </c>
      <c r="G9123" t="s">
        <v>31582</v>
      </c>
      <c r="H9123" t="s">
        <v>31590</v>
      </c>
      <c r="I9123" t="s">
        <v>31615</v>
      </c>
      <c r="J9123" t="s">
        <v>31771</v>
      </c>
      <c r="K9123" t="s">
        <v>41186</v>
      </c>
      <c r="M9123" t="s">
        <v>42265</v>
      </c>
      <c r="N9123" t="s">
        <v>45095</v>
      </c>
      <c r="O9123" t="s">
        <v>45096</v>
      </c>
      <c r="P9123">
        <v>0</v>
      </c>
      <c r="Q9123">
        <v>4</v>
      </c>
      <c r="R9123" t="s">
        <v>45104</v>
      </c>
      <c r="S9123" t="s">
        <v>45304</v>
      </c>
      <c r="T9123" t="s">
        <v>47265</v>
      </c>
      <c r="U9123" t="s">
        <v>55025</v>
      </c>
      <c r="W9123" t="s">
        <v>42265</v>
      </c>
      <c r="X9123" t="s">
        <v>45105</v>
      </c>
    </row>
    <row r="9124" spans="1:24">
      <c r="A9124">
        <f>HYPERLINK("https://www.philgeps.gov.ph/GEPSNONPILOT/Tender/SplashBidNoticeAbstractUI.aspx?menuIndex=3&amp;refID=7034712&amp;Result=3","7034712")</f>
        <v>0</v>
      </c>
      <c r="B9124" t="s">
        <v>2528</v>
      </c>
      <c r="C9124" t="s">
        <v>11888</v>
      </c>
      <c r="D9124" t="s">
        <v>18039</v>
      </c>
      <c r="E9124" t="s">
        <v>26080</v>
      </c>
      <c r="F9124" t="s">
        <v>31574</v>
      </c>
      <c r="G9124" t="s">
        <v>31582</v>
      </c>
      <c r="H9124" t="s">
        <v>31591</v>
      </c>
      <c r="I9124" t="s">
        <v>8822</v>
      </c>
      <c r="J9124" t="s">
        <v>37470</v>
      </c>
      <c r="K9124" t="s">
        <v>41192</v>
      </c>
      <c r="M9124" t="s">
        <v>44263</v>
      </c>
      <c r="N9124" t="s">
        <v>45095</v>
      </c>
      <c r="O9124" t="s">
        <v>45096</v>
      </c>
      <c r="P9124">
        <v>0</v>
      </c>
      <c r="Q9124">
        <v>0</v>
      </c>
      <c r="R9124" t="s">
        <v>45104</v>
      </c>
      <c r="S9124" t="s">
        <v>45304</v>
      </c>
      <c r="T9124" t="s">
        <v>46992</v>
      </c>
      <c r="U9124" t="s">
        <v>55026</v>
      </c>
      <c r="W9124" t="s">
        <v>44263</v>
      </c>
      <c r="X9124" t="s">
        <v>45105</v>
      </c>
    </row>
    <row r="9125" spans="1:24">
      <c r="A9125">
        <f>HYPERLINK("https://www.philgeps.gov.ph/GEPSNONPILOT/Tender/SplashBidNoticeAbstractUI.aspx?menuIndex=3&amp;refID=7034713&amp;Result=3","7034713")</f>
        <v>0</v>
      </c>
      <c r="B9125" t="s">
        <v>1554</v>
      </c>
      <c r="C9125" t="s">
        <v>11889</v>
      </c>
      <c r="D9125" t="s">
        <v>18056</v>
      </c>
      <c r="E9125" t="s">
        <v>26081</v>
      </c>
      <c r="F9125" t="s">
        <v>31574</v>
      </c>
      <c r="G9125" t="s">
        <v>31582</v>
      </c>
      <c r="H9125" t="s">
        <v>31590</v>
      </c>
      <c r="I9125" t="s">
        <v>3873</v>
      </c>
      <c r="J9125" t="s">
        <v>37471</v>
      </c>
      <c r="K9125" t="s">
        <v>41198</v>
      </c>
      <c r="M9125" t="s">
        <v>44237</v>
      </c>
      <c r="N9125" t="s">
        <v>45095</v>
      </c>
      <c r="O9125" t="s">
        <v>45096</v>
      </c>
      <c r="P9125">
        <v>0</v>
      </c>
      <c r="Q9125">
        <v>1</v>
      </c>
      <c r="R9125" t="s">
        <v>45104</v>
      </c>
      <c r="S9125" t="s">
        <v>45304</v>
      </c>
      <c r="T9125" t="s">
        <v>47000</v>
      </c>
      <c r="U9125" t="s">
        <v>55027</v>
      </c>
      <c r="V9125" t="s">
        <v>60775</v>
      </c>
      <c r="W9125" t="s">
        <v>44237</v>
      </c>
      <c r="X9125" t="s">
        <v>45105</v>
      </c>
    </row>
    <row r="9126" spans="1:24">
      <c r="A9126">
        <f>HYPERLINK("https://www.philgeps.gov.ph/GEPSNONPILOT/Tender/SplashBidNoticeAbstractUI.aspx?menuIndex=3&amp;refID=7034727&amp;Result=3","7034727")</f>
        <v>0</v>
      </c>
      <c r="B9126" t="s">
        <v>1368</v>
      </c>
      <c r="C9126" t="s">
        <v>11890</v>
      </c>
      <c r="D9126" t="s">
        <v>18031</v>
      </c>
      <c r="E9126" t="s">
        <v>22173</v>
      </c>
      <c r="F9126" t="s">
        <v>31574</v>
      </c>
      <c r="G9126" t="s">
        <v>31587</v>
      </c>
      <c r="H9126" t="s">
        <v>31593</v>
      </c>
      <c r="I9126" t="s">
        <v>31593</v>
      </c>
      <c r="J9126" t="s">
        <v>31842</v>
      </c>
      <c r="K9126" t="s">
        <v>41316</v>
      </c>
      <c r="M9126" t="s">
        <v>42941</v>
      </c>
      <c r="N9126" t="s">
        <v>45095</v>
      </c>
      <c r="O9126" t="s">
        <v>45096</v>
      </c>
      <c r="P9126">
        <v>0</v>
      </c>
      <c r="Q9126">
        <v>0</v>
      </c>
      <c r="R9126" t="s">
        <v>45104</v>
      </c>
      <c r="S9126" t="s">
        <v>45304</v>
      </c>
      <c r="T9126" t="s">
        <v>47176</v>
      </c>
      <c r="U9126" t="s">
        <v>55028</v>
      </c>
      <c r="W9126" t="s">
        <v>42941</v>
      </c>
      <c r="X9126" t="s">
        <v>45105</v>
      </c>
    </row>
    <row r="9127" spans="1:24">
      <c r="A9127">
        <f>HYPERLINK("https://www.philgeps.gov.ph/GEPSNONPILOT/Tender/SplashBidNoticeAbstractUI.aspx?menuIndex=3&amp;refID=7034719&amp;Result=3","7034719")</f>
        <v>0</v>
      </c>
      <c r="B9127" t="s">
        <v>1029</v>
      </c>
      <c r="C9127" t="s">
        <v>11891</v>
      </c>
      <c r="E9127" t="s">
        <v>26082</v>
      </c>
      <c r="F9127" t="s">
        <v>31574</v>
      </c>
      <c r="G9127" t="s">
        <v>31582</v>
      </c>
      <c r="H9127" t="s">
        <v>31590</v>
      </c>
      <c r="I9127" t="s">
        <v>31615</v>
      </c>
      <c r="J9127" t="s">
        <v>37472</v>
      </c>
      <c r="K9127" t="s">
        <v>41243</v>
      </c>
      <c r="M9127" t="s">
        <v>42570</v>
      </c>
      <c r="N9127" t="s">
        <v>45095</v>
      </c>
      <c r="O9127" t="s">
        <v>45096</v>
      </c>
      <c r="P9127">
        <v>0</v>
      </c>
      <c r="Q9127">
        <v>8</v>
      </c>
      <c r="R9127" t="s">
        <v>45104</v>
      </c>
      <c r="S9127" t="s">
        <v>45304</v>
      </c>
      <c r="T9127" t="s">
        <v>46919</v>
      </c>
      <c r="U9127" t="s">
        <v>55029</v>
      </c>
      <c r="W9127" t="s">
        <v>42570</v>
      </c>
      <c r="X9127" t="s">
        <v>45105</v>
      </c>
    </row>
    <row r="9128" spans="1:24">
      <c r="A9128">
        <f>HYPERLINK("https://www.philgeps.gov.ph/GEPSNONPILOT/Tender/SplashBidNoticeAbstractUI.aspx?menuIndex=3&amp;refID=7034729&amp;Result=3","7034729")</f>
        <v>0</v>
      </c>
      <c r="B9128" t="s">
        <v>2491</v>
      </c>
      <c r="C9128" t="s">
        <v>11892</v>
      </c>
      <c r="D9128" t="s">
        <v>18030</v>
      </c>
      <c r="E9128" t="s">
        <v>25845</v>
      </c>
      <c r="F9128" t="s">
        <v>31574</v>
      </c>
      <c r="G9128" t="s">
        <v>31582</v>
      </c>
      <c r="H9128" t="s">
        <v>31591</v>
      </c>
      <c r="I9128" t="s">
        <v>8822</v>
      </c>
      <c r="J9128" t="s">
        <v>37453</v>
      </c>
      <c r="K9128" t="s">
        <v>41186</v>
      </c>
      <c r="M9128" t="s">
        <v>44222</v>
      </c>
      <c r="N9128" t="s">
        <v>45095</v>
      </c>
      <c r="O9128" t="s">
        <v>45096</v>
      </c>
      <c r="P9128">
        <v>0</v>
      </c>
      <c r="Q9128">
        <v>0</v>
      </c>
      <c r="R9128" t="s">
        <v>45104</v>
      </c>
      <c r="S9128" t="s">
        <v>45304</v>
      </c>
      <c r="T9128" t="s">
        <v>47162</v>
      </c>
      <c r="U9128" t="s">
        <v>55004</v>
      </c>
      <c r="W9128" t="s">
        <v>44222</v>
      </c>
      <c r="X9128" t="s">
        <v>45105</v>
      </c>
    </row>
    <row r="9129" spans="1:24">
      <c r="A9129">
        <f>HYPERLINK("https://www.philgeps.gov.ph/GEPSNONPILOT/Tender/SplashBidNoticeAbstractUI.aspx?menuIndex=3&amp;refID=7034709&amp;Result=3","7034709")</f>
        <v>0</v>
      </c>
      <c r="B9129" t="s">
        <v>2532</v>
      </c>
      <c r="C9129" t="s">
        <v>11893</v>
      </c>
      <c r="D9129" t="s">
        <v>18076</v>
      </c>
      <c r="E9129" t="s">
        <v>26083</v>
      </c>
      <c r="F9129" t="s">
        <v>31574</v>
      </c>
      <c r="G9129" t="s">
        <v>31581</v>
      </c>
      <c r="H9129" t="s">
        <v>31590</v>
      </c>
      <c r="I9129" t="s">
        <v>14544</v>
      </c>
      <c r="J9129" t="s">
        <v>36593</v>
      </c>
      <c r="K9129" t="s">
        <v>41196</v>
      </c>
      <c r="M9129" t="s">
        <v>44267</v>
      </c>
      <c r="N9129" t="s">
        <v>45095</v>
      </c>
      <c r="O9129" t="s">
        <v>45096</v>
      </c>
      <c r="P9129">
        <v>0</v>
      </c>
      <c r="Q9129">
        <v>0</v>
      </c>
      <c r="R9129" t="s">
        <v>45104</v>
      </c>
      <c r="S9129" t="s">
        <v>45304</v>
      </c>
      <c r="T9129" t="s">
        <v>47158</v>
      </c>
      <c r="U9129" t="s">
        <v>55030</v>
      </c>
      <c r="W9129" t="s">
        <v>44267</v>
      </c>
      <c r="X9129" t="s">
        <v>45105</v>
      </c>
    </row>
    <row r="9130" spans="1:24">
      <c r="A9130">
        <f>HYPERLINK("https://www.philgeps.gov.ph/GEPSNONPILOT/Tender/SplashBidNoticeAbstractUI.aspx?menuIndex=3&amp;refID=7034715&amp;Result=3","7034715")</f>
        <v>0</v>
      </c>
      <c r="B9130" t="s">
        <v>1743</v>
      </c>
      <c r="C9130" t="s">
        <v>11894</v>
      </c>
      <c r="D9130" t="s">
        <v>18075</v>
      </c>
      <c r="E9130" t="s">
        <v>26084</v>
      </c>
      <c r="F9130" t="s">
        <v>31574</v>
      </c>
      <c r="G9130" t="s">
        <v>31581</v>
      </c>
      <c r="H9130" t="s">
        <v>31590</v>
      </c>
      <c r="I9130" t="s">
        <v>3539</v>
      </c>
      <c r="J9130" t="s">
        <v>34527</v>
      </c>
      <c r="K9130" t="s">
        <v>41211</v>
      </c>
      <c r="M9130" t="s">
        <v>43365</v>
      </c>
      <c r="N9130" t="s">
        <v>45095</v>
      </c>
      <c r="O9130" t="s">
        <v>45096</v>
      </c>
      <c r="P9130">
        <v>0</v>
      </c>
      <c r="Q9130">
        <v>3</v>
      </c>
      <c r="R9130" t="s">
        <v>45104</v>
      </c>
      <c r="S9130" t="s">
        <v>45304</v>
      </c>
      <c r="T9130" t="s">
        <v>47067</v>
      </c>
      <c r="U9130" t="s">
        <v>55031</v>
      </c>
      <c r="V9130" t="s">
        <v>60594</v>
      </c>
      <c r="W9130" t="s">
        <v>43365</v>
      </c>
      <c r="X9130" t="s">
        <v>45105</v>
      </c>
    </row>
    <row r="9131" spans="1:24">
      <c r="A9131">
        <f>HYPERLINK("https://www.philgeps.gov.ph/GEPSNONPILOT/Tender/SplashBidNoticeAbstractUI.aspx?menuIndex=3&amp;refID=7034716&amp;Result=3","7034716")</f>
        <v>0</v>
      </c>
      <c r="B9131" t="s">
        <v>1187</v>
      </c>
      <c r="C9131" t="s">
        <v>11895</v>
      </c>
      <c r="D9131" t="s">
        <v>18093</v>
      </c>
      <c r="E9131" t="s">
        <v>26085</v>
      </c>
      <c r="F9131" t="s">
        <v>31574</v>
      </c>
      <c r="G9131" t="s">
        <v>31582</v>
      </c>
      <c r="H9131" t="s">
        <v>31590</v>
      </c>
      <c r="I9131" t="s">
        <v>8258</v>
      </c>
      <c r="J9131" t="s">
        <v>37473</v>
      </c>
      <c r="K9131" t="s">
        <v>41186</v>
      </c>
      <c r="M9131" t="s">
        <v>42746</v>
      </c>
      <c r="N9131" t="s">
        <v>45095</v>
      </c>
      <c r="O9131" t="s">
        <v>45096</v>
      </c>
      <c r="P9131">
        <v>0</v>
      </c>
      <c r="Q9131">
        <v>9</v>
      </c>
      <c r="R9131" t="s">
        <v>45104</v>
      </c>
      <c r="S9131" t="s">
        <v>45304</v>
      </c>
      <c r="T9131" t="s">
        <v>47156</v>
      </c>
      <c r="U9131" t="s">
        <v>55032</v>
      </c>
      <c r="V9131" t="s">
        <v>60784</v>
      </c>
      <c r="W9131" t="s">
        <v>61743</v>
      </c>
      <c r="X9131" t="s">
        <v>45105</v>
      </c>
    </row>
    <row r="9132" spans="1:24">
      <c r="A9132">
        <f>HYPERLINK("https://www.philgeps.gov.ph/GEPSNONPILOT/Tender/SplashBidNoticeAbstractUI.aspx?menuIndex=3&amp;refID=7034728&amp;Result=3","7034728")</f>
        <v>0</v>
      </c>
      <c r="B9132" t="s">
        <v>2533</v>
      </c>
      <c r="C9132" t="s">
        <v>11896</v>
      </c>
      <c r="D9132" t="s">
        <v>18072</v>
      </c>
      <c r="E9132" t="s">
        <v>18227</v>
      </c>
      <c r="F9132" t="s">
        <v>31574</v>
      </c>
      <c r="G9132" t="s">
        <v>31581</v>
      </c>
      <c r="H9132" t="s">
        <v>31591</v>
      </c>
      <c r="I9132" t="s">
        <v>8822</v>
      </c>
      <c r="J9132" t="s">
        <v>31883</v>
      </c>
      <c r="K9132" t="s">
        <v>41200</v>
      </c>
      <c r="M9132" t="s">
        <v>44268</v>
      </c>
      <c r="N9132" t="s">
        <v>45095</v>
      </c>
      <c r="O9132" t="s">
        <v>45096</v>
      </c>
      <c r="P9132">
        <v>0</v>
      </c>
      <c r="Q9132">
        <v>1</v>
      </c>
      <c r="R9132" t="s">
        <v>45104</v>
      </c>
      <c r="S9132" t="s">
        <v>45304</v>
      </c>
      <c r="T9132" t="s">
        <v>46979</v>
      </c>
      <c r="U9132" t="s">
        <v>55033</v>
      </c>
      <c r="W9132" t="s">
        <v>44268</v>
      </c>
      <c r="X9132" t="s">
        <v>45105</v>
      </c>
    </row>
    <row r="9133" spans="1:24">
      <c r="A9133">
        <f>HYPERLINK("https://www.philgeps.gov.ph/GEPSNONPILOT/Tender/SplashBidNoticeAbstractUI.aspx?menuIndex=3&amp;refID=7034707&amp;Result=3","7034707")</f>
        <v>0</v>
      </c>
      <c r="B9133" t="s">
        <v>1368</v>
      </c>
      <c r="C9133" t="s">
        <v>11897</v>
      </c>
      <c r="D9133" t="s">
        <v>18031</v>
      </c>
      <c r="E9133" t="s">
        <v>26086</v>
      </c>
      <c r="F9133" t="s">
        <v>31574</v>
      </c>
      <c r="G9133" t="s">
        <v>31587</v>
      </c>
      <c r="H9133" t="s">
        <v>31593</v>
      </c>
      <c r="I9133" t="s">
        <v>31593</v>
      </c>
      <c r="J9133" t="s">
        <v>32382</v>
      </c>
      <c r="K9133" t="s">
        <v>41316</v>
      </c>
      <c r="M9133" t="s">
        <v>42941</v>
      </c>
      <c r="N9133" t="s">
        <v>45095</v>
      </c>
      <c r="O9133" t="s">
        <v>45096</v>
      </c>
      <c r="P9133">
        <v>0</v>
      </c>
      <c r="Q9133">
        <v>0</v>
      </c>
      <c r="R9133" t="s">
        <v>45104</v>
      </c>
      <c r="S9133" t="s">
        <v>45304</v>
      </c>
      <c r="T9133" t="s">
        <v>47176</v>
      </c>
      <c r="U9133" t="s">
        <v>55034</v>
      </c>
      <c r="W9133" t="s">
        <v>42941</v>
      </c>
      <c r="X9133" t="s">
        <v>45105</v>
      </c>
    </row>
    <row r="9134" spans="1:24">
      <c r="A9134">
        <f>HYPERLINK("https://www.philgeps.gov.ph/GEPSNONPILOT/Tender/SplashBidNoticeAbstractUI.aspx?menuIndex=3&amp;refID=7034740&amp;Result=3","7034740")</f>
        <v>0</v>
      </c>
      <c r="B9134" t="s">
        <v>2534</v>
      </c>
      <c r="C9134" t="s">
        <v>11898</v>
      </c>
      <c r="D9134" t="s">
        <v>18022</v>
      </c>
      <c r="E9134" t="s">
        <v>26087</v>
      </c>
      <c r="F9134" t="s">
        <v>31574</v>
      </c>
      <c r="G9134" t="s">
        <v>31582</v>
      </c>
      <c r="H9134" t="s">
        <v>31592</v>
      </c>
      <c r="I9134" t="s">
        <v>14544</v>
      </c>
      <c r="J9134" t="s">
        <v>32232</v>
      </c>
      <c r="K9134" t="s">
        <v>41213</v>
      </c>
      <c r="M9134" t="s">
        <v>44269</v>
      </c>
      <c r="N9134" t="s">
        <v>45095</v>
      </c>
      <c r="O9134" t="s">
        <v>45096</v>
      </c>
      <c r="P9134">
        <v>0</v>
      </c>
      <c r="Q9134">
        <v>0</v>
      </c>
      <c r="R9134" t="s">
        <v>45104</v>
      </c>
      <c r="S9134" t="s">
        <v>45304</v>
      </c>
      <c r="T9134" t="s">
        <v>47183</v>
      </c>
      <c r="U9134" t="s">
        <v>55035</v>
      </c>
      <c r="W9134" t="s">
        <v>44269</v>
      </c>
      <c r="X9134" t="s">
        <v>45105</v>
      </c>
    </row>
    <row r="9135" spans="1:24">
      <c r="A9135">
        <f>HYPERLINK("https://www.philgeps.gov.ph/GEPSNONPILOT/Tender/SplashBidNoticeAbstractUI.aspx?menuIndex=3&amp;refID=7034718&amp;Result=3","7034718")</f>
        <v>0</v>
      </c>
      <c r="B9135" t="s">
        <v>1368</v>
      </c>
      <c r="C9135" t="s">
        <v>11899</v>
      </c>
      <c r="D9135" t="s">
        <v>18031</v>
      </c>
      <c r="E9135" t="s">
        <v>26088</v>
      </c>
      <c r="F9135" t="s">
        <v>31574</v>
      </c>
      <c r="G9135" t="s">
        <v>31587</v>
      </c>
      <c r="H9135" t="s">
        <v>31593</v>
      </c>
      <c r="I9135" t="s">
        <v>31593</v>
      </c>
      <c r="J9135" t="s">
        <v>32382</v>
      </c>
      <c r="K9135" t="s">
        <v>41316</v>
      </c>
      <c r="M9135" t="s">
        <v>42941</v>
      </c>
      <c r="N9135" t="s">
        <v>45095</v>
      </c>
      <c r="O9135" t="s">
        <v>45096</v>
      </c>
      <c r="P9135">
        <v>0</v>
      </c>
      <c r="Q9135">
        <v>0</v>
      </c>
      <c r="R9135" t="s">
        <v>45104</v>
      </c>
      <c r="S9135" t="s">
        <v>45304</v>
      </c>
      <c r="T9135" t="s">
        <v>47176</v>
      </c>
      <c r="U9135" t="s">
        <v>55036</v>
      </c>
      <c r="W9135" t="s">
        <v>42941</v>
      </c>
      <c r="X9135" t="s">
        <v>45105</v>
      </c>
    </row>
    <row r="9136" spans="1:24">
      <c r="A9136">
        <f>HYPERLINK("https://www.philgeps.gov.ph/GEPSNONPILOT/Tender/SplashBidNoticeAbstractUI.aspx?menuIndex=3&amp;refID=7034726&amp;Result=3","7034726")</f>
        <v>0</v>
      </c>
      <c r="B9136" t="s">
        <v>674</v>
      </c>
      <c r="C9136" t="s">
        <v>11900</v>
      </c>
      <c r="D9136" t="s">
        <v>18071</v>
      </c>
      <c r="E9136" t="s">
        <v>26089</v>
      </c>
      <c r="F9136" t="s">
        <v>31574</v>
      </c>
      <c r="G9136" t="s">
        <v>31581</v>
      </c>
      <c r="H9136" t="s">
        <v>31590</v>
      </c>
      <c r="I9136" t="s">
        <v>31611</v>
      </c>
      <c r="J9136" t="s">
        <v>37474</v>
      </c>
      <c r="K9136" t="s">
        <v>41191</v>
      </c>
      <c r="M9136" t="s">
        <v>42180</v>
      </c>
      <c r="N9136" t="s">
        <v>45095</v>
      </c>
      <c r="O9136" t="s">
        <v>45096</v>
      </c>
      <c r="P9136">
        <v>0</v>
      </c>
      <c r="Q9136">
        <v>1</v>
      </c>
      <c r="R9136" t="s">
        <v>45104</v>
      </c>
      <c r="S9136" t="s">
        <v>45304</v>
      </c>
      <c r="T9136" t="s">
        <v>47159</v>
      </c>
      <c r="U9136" t="s">
        <v>55037</v>
      </c>
      <c r="W9136" t="s">
        <v>42180</v>
      </c>
      <c r="X9136" t="s">
        <v>45105</v>
      </c>
    </row>
    <row r="9137" spans="1:24">
      <c r="A9137">
        <f>HYPERLINK("https://www.philgeps.gov.ph/GEPSNONPILOT/Tender/SplashBidNoticeAbstractUI.aspx?menuIndex=3&amp;refID=7034739&amp;Result=3","7034739")</f>
        <v>0</v>
      </c>
      <c r="B9137" t="s">
        <v>290</v>
      </c>
      <c r="C9137" t="s">
        <v>11901</v>
      </c>
      <c r="D9137" t="s">
        <v>18043</v>
      </c>
      <c r="E9137" t="s">
        <v>26090</v>
      </c>
      <c r="F9137" t="s">
        <v>31574</v>
      </c>
      <c r="G9137" t="s">
        <v>31582</v>
      </c>
      <c r="H9137" t="s">
        <v>31590</v>
      </c>
      <c r="I9137" t="s">
        <v>31600</v>
      </c>
      <c r="J9137" t="s">
        <v>37475</v>
      </c>
      <c r="K9137" t="s">
        <v>41196</v>
      </c>
      <c r="M9137" t="s">
        <v>43891</v>
      </c>
      <c r="N9137" t="s">
        <v>45095</v>
      </c>
      <c r="O9137" t="s">
        <v>45096</v>
      </c>
      <c r="Q9137">
        <v>5</v>
      </c>
      <c r="R9137" t="s">
        <v>45104</v>
      </c>
      <c r="S9137" t="s">
        <v>45337</v>
      </c>
      <c r="T9137" t="s">
        <v>46923</v>
      </c>
      <c r="U9137" t="s">
        <v>55038</v>
      </c>
      <c r="W9137" t="s">
        <v>43891</v>
      </c>
      <c r="X9137" t="s">
        <v>45105</v>
      </c>
    </row>
    <row r="9138" spans="1:24">
      <c r="A9138">
        <f>HYPERLINK("https://www.philgeps.gov.ph/GEPSNONPILOT/Tender/SplashBidNoticeAbstractUI.aspx?menuIndex=3&amp;refID=7034730&amp;Result=3","7034730")</f>
        <v>0</v>
      </c>
      <c r="B9138" t="s">
        <v>2528</v>
      </c>
      <c r="C9138" t="s">
        <v>11902</v>
      </c>
      <c r="D9138" t="s">
        <v>18039</v>
      </c>
      <c r="E9138" t="s">
        <v>26091</v>
      </c>
      <c r="F9138" t="s">
        <v>31574</v>
      </c>
      <c r="G9138" t="s">
        <v>31582</v>
      </c>
      <c r="H9138" t="s">
        <v>31591</v>
      </c>
      <c r="I9138" t="s">
        <v>8822</v>
      </c>
      <c r="J9138" t="s">
        <v>32101</v>
      </c>
      <c r="K9138" t="s">
        <v>41198</v>
      </c>
      <c r="M9138" t="s">
        <v>44263</v>
      </c>
      <c r="N9138" t="s">
        <v>45095</v>
      </c>
      <c r="O9138" t="s">
        <v>45096</v>
      </c>
      <c r="P9138">
        <v>0</v>
      </c>
      <c r="Q9138">
        <v>0</v>
      </c>
      <c r="R9138" t="s">
        <v>45104</v>
      </c>
      <c r="S9138" t="s">
        <v>45304</v>
      </c>
      <c r="T9138" t="s">
        <v>46992</v>
      </c>
      <c r="U9138" t="s">
        <v>55039</v>
      </c>
      <c r="W9138" t="s">
        <v>44263</v>
      </c>
      <c r="X9138" t="s">
        <v>45105</v>
      </c>
    </row>
    <row r="9139" spans="1:24">
      <c r="A9139">
        <f>HYPERLINK("https://www.philgeps.gov.ph/GEPSNONPILOT/Tender/SplashBidNoticeAbstractUI.aspx?menuIndex=3&amp;refID=7034733&amp;Result=3","7034733")</f>
        <v>0</v>
      </c>
      <c r="B9139" t="s">
        <v>1554</v>
      </c>
      <c r="C9139" t="s">
        <v>11903</v>
      </c>
      <c r="D9139" t="s">
        <v>18056</v>
      </c>
      <c r="E9139" t="s">
        <v>26092</v>
      </c>
      <c r="F9139" t="s">
        <v>31574</v>
      </c>
      <c r="G9139" t="s">
        <v>31582</v>
      </c>
      <c r="H9139" t="s">
        <v>31590</v>
      </c>
      <c r="I9139" t="s">
        <v>8569</v>
      </c>
      <c r="J9139" t="s">
        <v>37476</v>
      </c>
      <c r="K9139" t="s">
        <v>41186</v>
      </c>
      <c r="M9139" t="s">
        <v>44237</v>
      </c>
      <c r="N9139" t="s">
        <v>45095</v>
      </c>
      <c r="O9139" t="s">
        <v>45096</v>
      </c>
      <c r="P9139">
        <v>0</v>
      </c>
      <c r="Q9139">
        <v>3</v>
      </c>
      <c r="R9139" t="s">
        <v>45104</v>
      </c>
      <c r="S9139" t="s">
        <v>45304</v>
      </c>
      <c r="T9139" t="s">
        <v>47000</v>
      </c>
      <c r="U9139" t="s">
        <v>55040</v>
      </c>
      <c r="V9139" t="s">
        <v>60775</v>
      </c>
      <c r="W9139" t="s">
        <v>44237</v>
      </c>
      <c r="X9139" t="s">
        <v>45105</v>
      </c>
    </row>
    <row r="9140" spans="1:24">
      <c r="A9140">
        <f>HYPERLINK("https://www.philgeps.gov.ph/GEPSNONPILOT/Tender/SplashBidNoticeAbstractUI.aspx?menuIndex=3&amp;refID=7034737&amp;Result=3","7034737")</f>
        <v>0</v>
      </c>
      <c r="B9140" t="s">
        <v>2535</v>
      </c>
      <c r="C9140" t="s">
        <v>11904</v>
      </c>
      <c r="D9140" t="s">
        <v>18066</v>
      </c>
      <c r="E9140" t="s">
        <v>18788</v>
      </c>
      <c r="F9140" t="s">
        <v>31574</v>
      </c>
      <c r="G9140" t="s">
        <v>31582</v>
      </c>
      <c r="H9140" t="s">
        <v>31592</v>
      </c>
      <c r="I9140" t="s">
        <v>31616</v>
      </c>
      <c r="J9140" t="s">
        <v>31780</v>
      </c>
      <c r="K9140" t="s">
        <v>41191</v>
      </c>
      <c r="M9140" t="s">
        <v>44270</v>
      </c>
      <c r="N9140" t="s">
        <v>45095</v>
      </c>
      <c r="O9140" t="s">
        <v>45096</v>
      </c>
      <c r="P9140">
        <v>0</v>
      </c>
      <c r="Q9140">
        <v>0</v>
      </c>
      <c r="R9140" t="s">
        <v>45104</v>
      </c>
      <c r="S9140" t="s">
        <v>45304</v>
      </c>
      <c r="T9140" t="s">
        <v>47154</v>
      </c>
      <c r="U9140" t="s">
        <v>55041</v>
      </c>
      <c r="W9140" t="s">
        <v>44270</v>
      </c>
      <c r="X9140" t="s">
        <v>45105</v>
      </c>
    </row>
    <row r="9141" spans="1:24">
      <c r="A9141">
        <f>HYPERLINK("https://www.philgeps.gov.ph/GEPSNONPILOT/Tender/SplashBidNoticeAbstractUI.aspx?menuIndex=3&amp;refID=7034732&amp;Result=3","7034732")</f>
        <v>0</v>
      </c>
      <c r="B9141" t="s">
        <v>2536</v>
      </c>
      <c r="C9141" t="s">
        <v>11905</v>
      </c>
      <c r="D9141" t="s">
        <v>18072</v>
      </c>
      <c r="E9141" t="s">
        <v>26093</v>
      </c>
      <c r="F9141" t="s">
        <v>31574</v>
      </c>
      <c r="G9141" t="s">
        <v>31582</v>
      </c>
      <c r="H9141" t="s">
        <v>31590</v>
      </c>
      <c r="I9141" t="s">
        <v>31625</v>
      </c>
      <c r="J9141" t="s">
        <v>32421</v>
      </c>
      <c r="K9141" t="s">
        <v>41184</v>
      </c>
      <c r="M9141" t="s">
        <v>44271</v>
      </c>
      <c r="N9141" t="s">
        <v>45095</v>
      </c>
      <c r="O9141" t="s">
        <v>45096</v>
      </c>
      <c r="P9141">
        <v>0</v>
      </c>
      <c r="Q9141">
        <v>0</v>
      </c>
      <c r="R9141" t="s">
        <v>45104</v>
      </c>
      <c r="S9141" t="s">
        <v>45304</v>
      </c>
      <c r="T9141" t="s">
        <v>47067</v>
      </c>
      <c r="U9141" t="s">
        <v>55042</v>
      </c>
      <c r="W9141" t="s">
        <v>44271</v>
      </c>
      <c r="X9141" t="s">
        <v>45105</v>
      </c>
    </row>
    <row r="9142" spans="1:24">
      <c r="A9142">
        <f>HYPERLINK("https://www.philgeps.gov.ph/GEPSNONPILOT/Tender/SplashBidNoticeAbstractUI.aspx?menuIndex=3&amp;refID=7034741&amp;Result=3","7034741")</f>
        <v>0</v>
      </c>
      <c r="B9142" t="s">
        <v>1368</v>
      </c>
      <c r="C9142" t="s">
        <v>11906</v>
      </c>
      <c r="D9142" t="s">
        <v>18031</v>
      </c>
      <c r="E9142" t="s">
        <v>26094</v>
      </c>
      <c r="F9142" t="s">
        <v>31574</v>
      </c>
      <c r="G9142" t="s">
        <v>31587</v>
      </c>
      <c r="H9142" t="s">
        <v>31593</v>
      </c>
      <c r="I9142" t="s">
        <v>31593</v>
      </c>
      <c r="J9142" t="s">
        <v>32334</v>
      </c>
      <c r="K9142" t="s">
        <v>41316</v>
      </c>
      <c r="M9142" t="s">
        <v>42941</v>
      </c>
      <c r="N9142" t="s">
        <v>45095</v>
      </c>
      <c r="O9142" t="s">
        <v>45096</v>
      </c>
      <c r="P9142">
        <v>0</v>
      </c>
      <c r="Q9142">
        <v>0</v>
      </c>
      <c r="R9142" t="s">
        <v>45104</v>
      </c>
      <c r="S9142" t="s">
        <v>45304</v>
      </c>
      <c r="T9142" t="s">
        <v>47176</v>
      </c>
      <c r="U9142" t="s">
        <v>55043</v>
      </c>
      <c r="W9142" t="s">
        <v>42941</v>
      </c>
      <c r="X9142" t="s">
        <v>45105</v>
      </c>
    </row>
    <row r="9143" spans="1:24">
      <c r="A9143">
        <f>HYPERLINK("https://www.philgeps.gov.ph/GEPSNONPILOT/Tender/SplashBidNoticeAbstractUI.aspx?menuIndex=3&amp;refID=7034770&amp;Result=3","7034770")</f>
        <v>0</v>
      </c>
      <c r="B9143" t="s">
        <v>1187</v>
      </c>
      <c r="C9143" t="s">
        <v>11907</v>
      </c>
      <c r="D9143" t="s">
        <v>18093</v>
      </c>
      <c r="E9143" t="s">
        <v>26095</v>
      </c>
      <c r="F9143" t="s">
        <v>31574</v>
      </c>
      <c r="G9143" t="s">
        <v>31582</v>
      </c>
      <c r="H9143" t="s">
        <v>31590</v>
      </c>
      <c r="I9143" t="s">
        <v>31644</v>
      </c>
      <c r="J9143" t="s">
        <v>37477</v>
      </c>
      <c r="K9143" t="s">
        <v>41192</v>
      </c>
      <c r="M9143" t="s">
        <v>42746</v>
      </c>
      <c r="N9143" t="s">
        <v>45095</v>
      </c>
      <c r="O9143" t="s">
        <v>45096</v>
      </c>
      <c r="P9143">
        <v>0</v>
      </c>
      <c r="Q9143">
        <v>5</v>
      </c>
      <c r="R9143" t="s">
        <v>45104</v>
      </c>
      <c r="S9143" t="s">
        <v>45304</v>
      </c>
      <c r="T9143" t="s">
        <v>47156</v>
      </c>
      <c r="U9143" t="s">
        <v>55044</v>
      </c>
      <c r="V9143" t="s">
        <v>60784</v>
      </c>
      <c r="W9143" t="s">
        <v>61743</v>
      </c>
      <c r="X9143" t="s">
        <v>45105</v>
      </c>
    </row>
    <row r="9144" spans="1:24">
      <c r="A9144">
        <f>HYPERLINK("https://www.philgeps.gov.ph/GEPSNONPILOT/Tender/SplashBidNoticeAbstractUI.aspx?menuIndex=3&amp;refID=7034747&amp;Result=3","7034747")</f>
        <v>0</v>
      </c>
      <c r="B9144" t="s">
        <v>2421</v>
      </c>
      <c r="C9144" t="s">
        <v>11908</v>
      </c>
      <c r="D9144" t="s">
        <v>18070</v>
      </c>
      <c r="E9144" t="s">
        <v>26096</v>
      </c>
      <c r="F9144" t="s">
        <v>31574</v>
      </c>
      <c r="G9144" t="s">
        <v>31582</v>
      </c>
      <c r="H9144" t="s">
        <v>31590</v>
      </c>
      <c r="I9144" t="s">
        <v>31615</v>
      </c>
      <c r="J9144" t="s">
        <v>37478</v>
      </c>
      <c r="K9144" t="s">
        <v>41186</v>
      </c>
      <c r="M9144" t="s">
        <v>44148</v>
      </c>
      <c r="N9144" t="s">
        <v>45095</v>
      </c>
      <c r="O9144" t="s">
        <v>45096</v>
      </c>
      <c r="P9144">
        <v>0</v>
      </c>
      <c r="Q9144">
        <v>3</v>
      </c>
      <c r="R9144" t="s">
        <v>45104</v>
      </c>
      <c r="S9144" t="s">
        <v>45304</v>
      </c>
      <c r="T9144" t="s">
        <v>47336</v>
      </c>
      <c r="U9144" t="s">
        <v>55045</v>
      </c>
      <c r="W9144" t="s">
        <v>44148</v>
      </c>
      <c r="X9144" t="s">
        <v>45105</v>
      </c>
    </row>
    <row r="9145" spans="1:24">
      <c r="A9145">
        <f>HYPERLINK("https://www.philgeps.gov.ph/GEPSNONPILOT/Tender/SplashBidNoticeAbstractUI.aspx?menuIndex=3&amp;refID=7034743&amp;Result=3","7034743")</f>
        <v>0</v>
      </c>
      <c r="B9145" t="s">
        <v>1187</v>
      </c>
      <c r="C9145" t="s">
        <v>11909</v>
      </c>
      <c r="D9145" t="s">
        <v>18093</v>
      </c>
      <c r="E9145" t="s">
        <v>26097</v>
      </c>
      <c r="F9145" t="s">
        <v>31574</v>
      </c>
      <c r="G9145" t="s">
        <v>31582</v>
      </c>
      <c r="H9145" t="s">
        <v>31590</v>
      </c>
      <c r="I9145" t="s">
        <v>31644</v>
      </c>
      <c r="J9145" t="s">
        <v>37479</v>
      </c>
      <c r="K9145" t="s">
        <v>41192</v>
      </c>
      <c r="M9145" t="s">
        <v>42746</v>
      </c>
      <c r="N9145" t="s">
        <v>45095</v>
      </c>
      <c r="O9145" t="s">
        <v>45096</v>
      </c>
      <c r="P9145">
        <v>0</v>
      </c>
      <c r="Q9145">
        <v>0</v>
      </c>
      <c r="R9145" t="s">
        <v>45104</v>
      </c>
      <c r="S9145" t="s">
        <v>45304</v>
      </c>
      <c r="T9145" t="s">
        <v>47156</v>
      </c>
      <c r="U9145" t="s">
        <v>55046</v>
      </c>
      <c r="V9145" t="s">
        <v>60785</v>
      </c>
      <c r="W9145" t="s">
        <v>61743</v>
      </c>
      <c r="X9145" t="s">
        <v>45105</v>
      </c>
    </row>
    <row r="9146" spans="1:24">
      <c r="A9146">
        <f>HYPERLINK("https://www.philgeps.gov.ph/GEPSNONPILOT/Tender/SplashBidNoticeAbstractUI.aspx?menuIndex=3&amp;refID=7034783&amp;Result=3","7034783")</f>
        <v>0</v>
      </c>
      <c r="B9146" t="s">
        <v>1554</v>
      </c>
      <c r="C9146" t="s">
        <v>11910</v>
      </c>
      <c r="D9146" t="s">
        <v>18056</v>
      </c>
      <c r="E9146" t="s">
        <v>26098</v>
      </c>
      <c r="F9146" t="s">
        <v>31574</v>
      </c>
      <c r="G9146" t="s">
        <v>31581</v>
      </c>
      <c r="H9146" t="s">
        <v>31591</v>
      </c>
      <c r="I9146" t="s">
        <v>8822</v>
      </c>
      <c r="J9146" t="s">
        <v>37480</v>
      </c>
      <c r="K9146" t="s">
        <v>41190</v>
      </c>
      <c r="M9146" t="s">
        <v>43153</v>
      </c>
      <c r="N9146" t="s">
        <v>45095</v>
      </c>
      <c r="O9146" t="s">
        <v>45096</v>
      </c>
      <c r="P9146">
        <v>0</v>
      </c>
      <c r="Q9146">
        <v>0</v>
      </c>
      <c r="R9146" t="s">
        <v>45104</v>
      </c>
      <c r="S9146" t="s">
        <v>45304</v>
      </c>
      <c r="T9146" t="s">
        <v>47159</v>
      </c>
      <c r="U9146" t="s">
        <v>55047</v>
      </c>
      <c r="W9146" t="s">
        <v>43153</v>
      </c>
      <c r="X9146" t="s">
        <v>45105</v>
      </c>
    </row>
    <row r="9147" spans="1:24">
      <c r="A9147">
        <f>HYPERLINK("https://www.philgeps.gov.ph/GEPSNONPILOT/Tender/SplashBidNoticeAbstractUI.aspx?menuIndex=3&amp;refID=7034784&amp;Result=3","7034784")</f>
        <v>0</v>
      </c>
      <c r="B9147" t="s">
        <v>319</v>
      </c>
      <c r="C9147" t="s">
        <v>11911</v>
      </c>
      <c r="D9147" t="s">
        <v>18065</v>
      </c>
      <c r="E9147" t="s">
        <v>26099</v>
      </c>
      <c r="F9147" t="s">
        <v>31574</v>
      </c>
      <c r="G9147" t="s">
        <v>31581</v>
      </c>
      <c r="H9147" t="s">
        <v>31590</v>
      </c>
      <c r="I9147" t="s">
        <v>4327</v>
      </c>
      <c r="J9147" t="s">
        <v>37481</v>
      </c>
      <c r="K9147" t="s">
        <v>41193</v>
      </c>
      <c r="M9147" t="s">
        <v>41807</v>
      </c>
      <c r="N9147" t="s">
        <v>45095</v>
      </c>
      <c r="O9147" t="s">
        <v>45096</v>
      </c>
      <c r="P9147">
        <v>0</v>
      </c>
      <c r="Q9147">
        <v>3</v>
      </c>
      <c r="R9147" t="s">
        <v>45104</v>
      </c>
      <c r="S9147" t="s">
        <v>45304</v>
      </c>
      <c r="T9147" t="s">
        <v>47050</v>
      </c>
      <c r="U9147" t="s">
        <v>55048</v>
      </c>
      <c r="W9147" t="s">
        <v>61662</v>
      </c>
      <c r="X9147" t="s">
        <v>45105</v>
      </c>
    </row>
    <row r="9148" spans="1:24">
      <c r="A9148">
        <f>HYPERLINK("https://www.philgeps.gov.ph/GEPSNONPILOT/Tender/SplashBidNoticeAbstractUI.aspx?menuIndex=3&amp;refID=7034775&amp;Result=3","7034775")</f>
        <v>0</v>
      </c>
      <c r="B9148" t="s">
        <v>1575</v>
      </c>
      <c r="C9148" t="s">
        <v>11912</v>
      </c>
      <c r="D9148" t="s">
        <v>18065</v>
      </c>
      <c r="E9148" t="s">
        <v>26100</v>
      </c>
      <c r="F9148" t="s">
        <v>31574</v>
      </c>
      <c r="G9148" t="s">
        <v>31582</v>
      </c>
      <c r="H9148" t="s">
        <v>31590</v>
      </c>
      <c r="I9148" t="s">
        <v>31662</v>
      </c>
      <c r="J9148" t="s">
        <v>37482</v>
      </c>
      <c r="K9148" t="s">
        <v>41185</v>
      </c>
      <c r="M9148" t="s">
        <v>43178</v>
      </c>
      <c r="N9148" t="s">
        <v>45095</v>
      </c>
      <c r="O9148" t="s">
        <v>45096</v>
      </c>
      <c r="Q9148">
        <v>5</v>
      </c>
      <c r="R9148" t="s">
        <v>45104</v>
      </c>
      <c r="S9148" t="s">
        <v>45338</v>
      </c>
      <c r="T9148" t="s">
        <v>47158</v>
      </c>
      <c r="U9148" t="s">
        <v>55049</v>
      </c>
      <c r="V9148" t="s">
        <v>60343</v>
      </c>
      <c r="W9148" t="s">
        <v>43178</v>
      </c>
      <c r="X9148" t="s">
        <v>45105</v>
      </c>
    </row>
    <row r="9149" spans="1:24">
      <c r="A9149">
        <f>HYPERLINK("https://www.philgeps.gov.ph/GEPSNONPILOT/Tender/SplashBidNoticeAbstractUI.aspx?menuIndex=3&amp;refID=7034781&amp;Result=3","7034781")</f>
        <v>0</v>
      </c>
      <c r="B9149" t="s">
        <v>2527</v>
      </c>
      <c r="C9149" t="s">
        <v>11877</v>
      </c>
      <c r="D9149" t="s">
        <v>18046</v>
      </c>
      <c r="E9149" t="s">
        <v>26101</v>
      </c>
      <c r="F9149" t="s">
        <v>31574</v>
      </c>
      <c r="G9149" t="s">
        <v>31582</v>
      </c>
      <c r="H9149" t="s">
        <v>31590</v>
      </c>
      <c r="I9149" t="s">
        <v>4046</v>
      </c>
      <c r="J9149" t="s">
        <v>37483</v>
      </c>
      <c r="K9149" t="s">
        <v>41193</v>
      </c>
      <c r="M9149" t="s">
        <v>44262</v>
      </c>
      <c r="N9149" t="s">
        <v>45095</v>
      </c>
      <c r="O9149" t="s">
        <v>45096</v>
      </c>
      <c r="P9149">
        <v>0</v>
      </c>
      <c r="Q9149">
        <v>0</v>
      </c>
      <c r="R9149" t="s">
        <v>45104</v>
      </c>
      <c r="S9149" t="s">
        <v>45304</v>
      </c>
      <c r="T9149" t="s">
        <v>47050</v>
      </c>
      <c r="U9149" t="s">
        <v>55050</v>
      </c>
      <c r="W9149" t="s">
        <v>44262</v>
      </c>
      <c r="X9149" t="s">
        <v>45105</v>
      </c>
    </row>
    <row r="9150" spans="1:24">
      <c r="A9150">
        <f>HYPERLINK("https://www.philgeps.gov.ph/GEPSNONPILOT/Tender/SplashBidNoticeAbstractUI.aspx?menuIndex=3&amp;refID=7034773&amp;Result=3","7034773")</f>
        <v>0</v>
      </c>
      <c r="B9150" t="s">
        <v>1368</v>
      </c>
      <c r="C9150" t="s">
        <v>11913</v>
      </c>
      <c r="D9150" t="s">
        <v>18031</v>
      </c>
      <c r="E9150" t="s">
        <v>26102</v>
      </c>
      <c r="F9150" t="s">
        <v>31574</v>
      </c>
      <c r="G9150" t="s">
        <v>31587</v>
      </c>
      <c r="H9150" t="s">
        <v>31593</v>
      </c>
      <c r="I9150" t="s">
        <v>31593</v>
      </c>
      <c r="J9150" t="s">
        <v>31842</v>
      </c>
      <c r="K9150" t="s">
        <v>41316</v>
      </c>
      <c r="M9150" t="s">
        <v>42941</v>
      </c>
      <c r="N9150" t="s">
        <v>45095</v>
      </c>
      <c r="O9150" t="s">
        <v>45096</v>
      </c>
      <c r="P9150">
        <v>0</v>
      </c>
      <c r="Q9150">
        <v>0</v>
      </c>
      <c r="R9150" t="s">
        <v>45104</v>
      </c>
      <c r="S9150" t="s">
        <v>45304</v>
      </c>
      <c r="T9150" t="s">
        <v>47176</v>
      </c>
      <c r="U9150" t="s">
        <v>55051</v>
      </c>
      <c r="W9150" t="s">
        <v>42941</v>
      </c>
      <c r="X9150" t="s">
        <v>45105</v>
      </c>
    </row>
    <row r="9151" spans="1:24">
      <c r="A9151">
        <f>HYPERLINK("https://www.philgeps.gov.ph/GEPSNONPILOT/Tender/SplashBidNoticeAbstractUI.aspx?menuIndex=3&amp;refID=7034794&amp;Result=3","7034794")</f>
        <v>0</v>
      </c>
      <c r="B9151" t="s">
        <v>265</v>
      </c>
      <c r="C9151" t="s">
        <v>11914</v>
      </c>
      <c r="D9151" t="s">
        <v>18052</v>
      </c>
      <c r="E9151" t="s">
        <v>26103</v>
      </c>
      <c r="F9151" t="s">
        <v>31574</v>
      </c>
      <c r="G9151" t="s">
        <v>31583</v>
      </c>
      <c r="H9151" t="s">
        <v>31590</v>
      </c>
      <c r="I9151" t="s">
        <v>5717</v>
      </c>
      <c r="J9151" t="s">
        <v>32216</v>
      </c>
      <c r="K9151" t="s">
        <v>41184</v>
      </c>
      <c r="M9151" t="s">
        <v>41751</v>
      </c>
      <c r="N9151" t="s">
        <v>45095</v>
      </c>
      <c r="O9151" t="s">
        <v>45096</v>
      </c>
      <c r="P9151">
        <v>0</v>
      </c>
      <c r="Q9151">
        <v>12</v>
      </c>
      <c r="R9151" t="s">
        <v>45104</v>
      </c>
      <c r="S9151" t="s">
        <v>45304</v>
      </c>
      <c r="T9151" t="s">
        <v>47164</v>
      </c>
      <c r="U9151" t="s">
        <v>55052</v>
      </c>
      <c r="W9151" t="s">
        <v>41751</v>
      </c>
      <c r="X9151" t="s">
        <v>45105</v>
      </c>
    </row>
    <row r="9152" spans="1:24">
      <c r="A9152">
        <f>HYPERLINK("https://www.philgeps.gov.ph/GEPSNONPILOT/Tender/SplashBidNoticeAbstractUI.aspx?menuIndex=3&amp;refID=7034754&amp;Result=3","7034754")</f>
        <v>0</v>
      </c>
      <c r="B9152" t="s">
        <v>2086</v>
      </c>
      <c r="C9152" t="s">
        <v>11915</v>
      </c>
      <c r="D9152" t="s">
        <v>18026</v>
      </c>
      <c r="E9152" t="s">
        <v>26104</v>
      </c>
      <c r="F9152" t="s">
        <v>31574</v>
      </c>
      <c r="G9152" t="s">
        <v>31582</v>
      </c>
      <c r="H9152" t="s">
        <v>31591</v>
      </c>
      <c r="I9152" t="s">
        <v>8822</v>
      </c>
      <c r="J9152" t="s">
        <v>37484</v>
      </c>
      <c r="K9152" t="s">
        <v>41189</v>
      </c>
      <c r="M9152" t="s">
        <v>43761</v>
      </c>
      <c r="N9152" t="s">
        <v>45095</v>
      </c>
      <c r="O9152" t="s">
        <v>45096</v>
      </c>
      <c r="Q9152">
        <v>0</v>
      </c>
      <c r="R9152" t="s">
        <v>45104</v>
      </c>
      <c r="S9152" t="s">
        <v>45339</v>
      </c>
      <c r="T9152" t="s">
        <v>47000</v>
      </c>
      <c r="U9152" t="s">
        <v>55053</v>
      </c>
      <c r="W9152" t="s">
        <v>43761</v>
      </c>
      <c r="X9152" t="s">
        <v>45105</v>
      </c>
    </row>
    <row r="9153" spans="1:24">
      <c r="A9153">
        <f>HYPERLINK("https://www.philgeps.gov.ph/GEPSNONPILOT/Tender/SplashBidNoticeAbstractUI.aspx?menuIndex=3&amp;refID=7034793&amp;Result=3","7034793")</f>
        <v>0</v>
      </c>
      <c r="B9153" t="s">
        <v>2491</v>
      </c>
      <c r="C9153" t="s">
        <v>11916</v>
      </c>
      <c r="D9153" t="s">
        <v>18030</v>
      </c>
      <c r="E9153" t="s">
        <v>25867</v>
      </c>
      <c r="F9153" t="s">
        <v>31574</v>
      </c>
      <c r="G9153" t="s">
        <v>31582</v>
      </c>
      <c r="H9153" t="s">
        <v>31591</v>
      </c>
      <c r="I9153" t="s">
        <v>8822</v>
      </c>
      <c r="J9153" t="s">
        <v>37485</v>
      </c>
      <c r="K9153" t="s">
        <v>41186</v>
      </c>
      <c r="M9153" t="s">
        <v>44222</v>
      </c>
      <c r="N9153" t="s">
        <v>45095</v>
      </c>
      <c r="O9153" t="s">
        <v>45096</v>
      </c>
      <c r="P9153">
        <v>0</v>
      </c>
      <c r="Q9153">
        <v>0</v>
      </c>
      <c r="R9153" t="s">
        <v>45104</v>
      </c>
      <c r="S9153" t="s">
        <v>45304</v>
      </c>
      <c r="T9153" t="s">
        <v>47162</v>
      </c>
      <c r="U9153" t="s">
        <v>55004</v>
      </c>
      <c r="W9153" t="s">
        <v>44222</v>
      </c>
      <c r="X9153" t="s">
        <v>45105</v>
      </c>
    </row>
    <row r="9154" spans="1:24">
      <c r="A9154">
        <f>HYPERLINK("https://www.philgeps.gov.ph/GEPSNONPILOT/Tender/SplashBidNoticeAbstractUI.aspx?menuIndex=3&amp;refID=7034786&amp;Result=3","7034786")</f>
        <v>0</v>
      </c>
      <c r="B9154" t="s">
        <v>1881</v>
      </c>
      <c r="C9154" t="s">
        <v>11917</v>
      </c>
      <c r="D9154" t="s">
        <v>18022</v>
      </c>
      <c r="E9154" t="s">
        <v>26105</v>
      </c>
      <c r="F9154" t="s">
        <v>31574</v>
      </c>
      <c r="G9154" t="s">
        <v>31581</v>
      </c>
      <c r="H9154" t="s">
        <v>31590</v>
      </c>
      <c r="I9154" t="s">
        <v>8258</v>
      </c>
      <c r="J9154" t="s">
        <v>37486</v>
      </c>
      <c r="K9154" t="s">
        <v>41193</v>
      </c>
      <c r="M9154" t="s">
        <v>44272</v>
      </c>
      <c r="N9154" t="s">
        <v>45095</v>
      </c>
      <c r="O9154" t="s">
        <v>45096</v>
      </c>
      <c r="Q9154">
        <v>4</v>
      </c>
      <c r="R9154" t="s">
        <v>45104</v>
      </c>
      <c r="S9154" t="s">
        <v>45340</v>
      </c>
      <c r="T9154" t="s">
        <v>46973</v>
      </c>
      <c r="U9154" t="s">
        <v>55054</v>
      </c>
      <c r="V9154" t="s">
        <v>60786</v>
      </c>
      <c r="W9154" t="s">
        <v>44272</v>
      </c>
      <c r="X9154" t="s">
        <v>45105</v>
      </c>
    </row>
    <row r="9155" spans="1:24">
      <c r="A9155">
        <f>HYPERLINK("https://www.philgeps.gov.ph/GEPSNONPILOT/Tender/SplashBidNoticeAbstractUI.aspx?menuIndex=3&amp;refID=7034791&amp;Result=3","7034791")</f>
        <v>0</v>
      </c>
      <c r="B9155" t="s">
        <v>249</v>
      </c>
      <c r="C9155" t="s">
        <v>11918</v>
      </c>
      <c r="D9155" t="s">
        <v>18070</v>
      </c>
      <c r="E9155" t="s">
        <v>26106</v>
      </c>
      <c r="F9155" t="s">
        <v>31574</v>
      </c>
      <c r="G9155" t="s">
        <v>31583</v>
      </c>
      <c r="H9155" t="s">
        <v>31590</v>
      </c>
      <c r="I9155" t="s">
        <v>31631</v>
      </c>
      <c r="J9155" t="s">
        <v>31728</v>
      </c>
      <c r="K9155" t="s">
        <v>41193</v>
      </c>
      <c r="M9155" t="s">
        <v>43343</v>
      </c>
      <c r="N9155" t="s">
        <v>45095</v>
      </c>
      <c r="O9155" t="s">
        <v>45096</v>
      </c>
      <c r="P9155">
        <v>0</v>
      </c>
      <c r="Q9155">
        <v>0</v>
      </c>
      <c r="R9155" t="s">
        <v>45104</v>
      </c>
      <c r="S9155" t="s">
        <v>45304</v>
      </c>
      <c r="T9155" t="s">
        <v>47162</v>
      </c>
      <c r="U9155" t="s">
        <v>55055</v>
      </c>
      <c r="W9155" t="s">
        <v>43343</v>
      </c>
      <c r="X9155" t="s">
        <v>45105</v>
      </c>
    </row>
    <row r="9156" spans="1:24">
      <c r="A9156">
        <f>HYPERLINK("https://www.philgeps.gov.ph/GEPSNONPILOT/Tender/SplashBidNoticeAbstractUI.aspx?menuIndex=3&amp;refID=7034788&amp;Result=3","7034788")</f>
        <v>0</v>
      </c>
      <c r="B9156" t="s">
        <v>1368</v>
      </c>
      <c r="C9156" t="s">
        <v>11919</v>
      </c>
      <c r="D9156" t="s">
        <v>18031</v>
      </c>
      <c r="E9156" t="s">
        <v>26107</v>
      </c>
      <c r="F9156" t="s">
        <v>31574</v>
      </c>
      <c r="G9156" t="s">
        <v>31587</v>
      </c>
      <c r="H9156" t="s">
        <v>31593</v>
      </c>
      <c r="I9156" t="s">
        <v>31593</v>
      </c>
      <c r="J9156" t="s">
        <v>32334</v>
      </c>
      <c r="K9156" t="s">
        <v>41316</v>
      </c>
      <c r="M9156" t="s">
        <v>42941</v>
      </c>
      <c r="N9156" t="s">
        <v>45095</v>
      </c>
      <c r="O9156" t="s">
        <v>45096</v>
      </c>
      <c r="P9156">
        <v>0</v>
      </c>
      <c r="Q9156">
        <v>0</v>
      </c>
      <c r="R9156" t="s">
        <v>45104</v>
      </c>
      <c r="S9156" t="s">
        <v>45304</v>
      </c>
      <c r="T9156" t="s">
        <v>47176</v>
      </c>
      <c r="U9156" t="s">
        <v>55056</v>
      </c>
      <c r="W9156" t="s">
        <v>42941</v>
      </c>
      <c r="X9156" t="s">
        <v>45105</v>
      </c>
    </row>
    <row r="9157" spans="1:24">
      <c r="A9157">
        <f>HYPERLINK("https://www.philgeps.gov.ph/GEPSNONPILOT/Tender/SplashBidNoticeAbstractUI.aspx?menuIndex=3&amp;refID=7034796&amp;Result=3","7034796")</f>
        <v>0</v>
      </c>
      <c r="B9157" t="s">
        <v>1368</v>
      </c>
      <c r="C9157" t="s">
        <v>11920</v>
      </c>
      <c r="D9157" t="s">
        <v>18031</v>
      </c>
      <c r="E9157" t="s">
        <v>18450</v>
      </c>
      <c r="F9157" t="s">
        <v>31574</v>
      </c>
      <c r="G9157" t="s">
        <v>31587</v>
      </c>
      <c r="H9157" t="s">
        <v>31593</v>
      </c>
      <c r="I9157" t="s">
        <v>31593</v>
      </c>
      <c r="J9157" t="s">
        <v>31842</v>
      </c>
      <c r="K9157" t="s">
        <v>41316</v>
      </c>
      <c r="M9157" t="s">
        <v>42941</v>
      </c>
      <c r="N9157" t="s">
        <v>45095</v>
      </c>
      <c r="O9157" t="s">
        <v>45096</v>
      </c>
      <c r="P9157">
        <v>0</v>
      </c>
      <c r="Q9157">
        <v>0</v>
      </c>
      <c r="R9157" t="s">
        <v>45104</v>
      </c>
      <c r="S9157" t="s">
        <v>45304</v>
      </c>
      <c r="T9157" t="s">
        <v>47176</v>
      </c>
      <c r="U9157" t="s">
        <v>55057</v>
      </c>
      <c r="W9157" t="s">
        <v>42941</v>
      </c>
      <c r="X9157" t="s">
        <v>45105</v>
      </c>
    </row>
    <row r="9158" spans="1:24">
      <c r="A9158">
        <f>HYPERLINK("https://www.philgeps.gov.ph/GEPSNONPILOT/Tender/SplashBidNoticeAbstractUI.aspx?menuIndex=3&amp;refID=7034753&amp;Result=3","7034753")</f>
        <v>0</v>
      </c>
      <c r="B9158" t="s">
        <v>2537</v>
      </c>
      <c r="C9158" t="s">
        <v>11881</v>
      </c>
      <c r="D9158" t="s">
        <v>18025</v>
      </c>
      <c r="E9158" t="s">
        <v>26007</v>
      </c>
      <c r="F9158" t="s">
        <v>31574</v>
      </c>
      <c r="G9158" t="s">
        <v>31582</v>
      </c>
      <c r="H9158" t="s">
        <v>31590</v>
      </c>
      <c r="I9158" t="s">
        <v>4046</v>
      </c>
      <c r="J9158" t="s">
        <v>37487</v>
      </c>
      <c r="K9158" t="s">
        <v>41190</v>
      </c>
      <c r="M9158" t="s">
        <v>44273</v>
      </c>
      <c r="N9158" t="s">
        <v>45095</v>
      </c>
      <c r="O9158" t="s">
        <v>45096</v>
      </c>
      <c r="P9158">
        <v>0</v>
      </c>
      <c r="Q9158">
        <v>1</v>
      </c>
      <c r="R9158" t="s">
        <v>45104</v>
      </c>
      <c r="S9158" t="s">
        <v>45304</v>
      </c>
      <c r="T9158" t="s">
        <v>47083</v>
      </c>
      <c r="U9158" t="s">
        <v>55058</v>
      </c>
      <c r="W9158" t="s">
        <v>44273</v>
      </c>
      <c r="X9158" t="s">
        <v>45105</v>
      </c>
    </row>
    <row r="9159" spans="1:24">
      <c r="A9159">
        <f>HYPERLINK("https://www.philgeps.gov.ph/GEPSNONPILOT/Tender/SplashBidNoticeAbstractUI.aspx?menuIndex=3&amp;refID=7034823&amp;Result=3","7034823")</f>
        <v>0</v>
      </c>
      <c r="B9159" t="s">
        <v>2082</v>
      </c>
      <c r="C9159" t="s">
        <v>11921</v>
      </c>
      <c r="D9159" t="s">
        <v>18079</v>
      </c>
      <c r="E9159" t="s">
        <v>24180</v>
      </c>
      <c r="F9159" t="s">
        <v>31574</v>
      </c>
      <c r="G9159" t="s">
        <v>31582</v>
      </c>
      <c r="H9159" t="s">
        <v>31591</v>
      </c>
      <c r="I9159" t="s">
        <v>8822</v>
      </c>
      <c r="J9159" t="s">
        <v>37488</v>
      </c>
      <c r="K9159" t="s">
        <v>41186</v>
      </c>
      <c r="M9159" t="s">
        <v>43757</v>
      </c>
      <c r="N9159" t="s">
        <v>45095</v>
      </c>
      <c r="O9159" t="s">
        <v>45096</v>
      </c>
      <c r="P9159">
        <v>0</v>
      </c>
      <c r="Q9159">
        <v>0</v>
      </c>
      <c r="R9159" t="s">
        <v>45104</v>
      </c>
      <c r="S9159" t="s">
        <v>45304</v>
      </c>
      <c r="T9159" t="s">
        <v>46981</v>
      </c>
      <c r="U9159" t="s">
        <v>55059</v>
      </c>
      <c r="W9159" t="s">
        <v>43757</v>
      </c>
      <c r="X9159" t="s">
        <v>45105</v>
      </c>
    </row>
    <row r="9160" spans="1:24">
      <c r="A9160">
        <f>HYPERLINK("https://www.philgeps.gov.ph/GEPSNONPILOT/Tender/SplashBidNoticeAbstractUI.aspx?menuIndex=3&amp;refID=7034756&amp;Result=3","7034756")</f>
        <v>0</v>
      </c>
      <c r="B9160" t="s">
        <v>1368</v>
      </c>
      <c r="C9160" t="s">
        <v>11922</v>
      </c>
      <c r="D9160" t="s">
        <v>18031</v>
      </c>
      <c r="E9160" t="s">
        <v>19648</v>
      </c>
      <c r="F9160" t="s">
        <v>31574</v>
      </c>
      <c r="G9160" t="s">
        <v>31587</v>
      </c>
      <c r="H9160" t="s">
        <v>31593</v>
      </c>
      <c r="I9160" t="s">
        <v>31593</v>
      </c>
      <c r="J9160" t="s">
        <v>32382</v>
      </c>
      <c r="K9160" t="s">
        <v>41316</v>
      </c>
      <c r="M9160" t="s">
        <v>42941</v>
      </c>
      <c r="N9160" t="s">
        <v>45095</v>
      </c>
      <c r="O9160" t="s">
        <v>45096</v>
      </c>
      <c r="P9160">
        <v>0</v>
      </c>
      <c r="Q9160">
        <v>0</v>
      </c>
      <c r="R9160" t="s">
        <v>45104</v>
      </c>
      <c r="S9160" t="s">
        <v>45304</v>
      </c>
      <c r="T9160" t="s">
        <v>47176</v>
      </c>
      <c r="U9160" t="s">
        <v>55060</v>
      </c>
      <c r="W9160" t="s">
        <v>42941</v>
      </c>
      <c r="X9160" t="s">
        <v>45105</v>
      </c>
    </row>
    <row r="9161" spans="1:24">
      <c r="A9161">
        <f>HYPERLINK("https://www.philgeps.gov.ph/GEPSNONPILOT/Tender/SplashBidNoticeAbstractUI.aspx?menuIndex=3&amp;refID=7034761&amp;Result=3","7034761")</f>
        <v>0</v>
      </c>
      <c r="B9161" t="s">
        <v>180</v>
      </c>
      <c r="C9161" t="s">
        <v>11923</v>
      </c>
      <c r="D9161" t="s">
        <v>18066</v>
      </c>
      <c r="E9161" t="s">
        <v>26108</v>
      </c>
      <c r="F9161" t="s">
        <v>31574</v>
      </c>
      <c r="G9161" t="s">
        <v>31582</v>
      </c>
      <c r="H9161" t="s">
        <v>31591</v>
      </c>
      <c r="I9161" t="s">
        <v>8822</v>
      </c>
      <c r="J9161" t="s">
        <v>36313</v>
      </c>
      <c r="K9161" t="s">
        <v>41192</v>
      </c>
      <c r="M9161" t="s">
        <v>41665</v>
      </c>
      <c r="N9161" t="s">
        <v>45095</v>
      </c>
      <c r="O9161" t="s">
        <v>45096</v>
      </c>
      <c r="P9161">
        <v>0</v>
      </c>
      <c r="Q9161">
        <v>2</v>
      </c>
      <c r="R9161" t="s">
        <v>45104</v>
      </c>
      <c r="S9161" t="s">
        <v>45304</v>
      </c>
      <c r="T9161" t="s">
        <v>46977</v>
      </c>
      <c r="U9161" t="s">
        <v>55061</v>
      </c>
      <c r="W9161" t="s">
        <v>41665</v>
      </c>
      <c r="X9161" t="s">
        <v>45105</v>
      </c>
    </row>
    <row r="9162" spans="1:24">
      <c r="A9162">
        <f>HYPERLINK("https://www.philgeps.gov.ph/GEPSNONPILOT/Tender/SplashBidNoticeAbstractUI.aspx?menuIndex=3&amp;refID=7034813&amp;Result=3","7034813")</f>
        <v>0</v>
      </c>
      <c r="B9162" t="s">
        <v>1368</v>
      </c>
      <c r="C9162" t="s">
        <v>11924</v>
      </c>
      <c r="D9162" t="s">
        <v>18031</v>
      </c>
      <c r="E9162" t="s">
        <v>26109</v>
      </c>
      <c r="F9162" t="s">
        <v>31574</v>
      </c>
      <c r="G9162" t="s">
        <v>31587</v>
      </c>
      <c r="H9162" t="s">
        <v>31593</v>
      </c>
      <c r="I9162" t="s">
        <v>31593</v>
      </c>
      <c r="J9162" t="s">
        <v>32382</v>
      </c>
      <c r="K9162" t="s">
        <v>41316</v>
      </c>
      <c r="M9162" t="s">
        <v>42941</v>
      </c>
      <c r="N9162" t="s">
        <v>45095</v>
      </c>
      <c r="O9162" t="s">
        <v>45096</v>
      </c>
      <c r="P9162">
        <v>0</v>
      </c>
      <c r="Q9162">
        <v>1</v>
      </c>
      <c r="R9162" t="s">
        <v>45104</v>
      </c>
      <c r="S9162" t="s">
        <v>45304</v>
      </c>
      <c r="T9162" t="s">
        <v>47176</v>
      </c>
      <c r="U9162" t="s">
        <v>55062</v>
      </c>
      <c r="W9162" t="s">
        <v>42941</v>
      </c>
      <c r="X9162" t="s">
        <v>45105</v>
      </c>
    </row>
    <row r="9163" spans="1:24">
      <c r="A9163">
        <f>HYPERLINK("https://www.philgeps.gov.ph/GEPSNONPILOT/Tender/SplashBidNoticeAbstractUI.aspx?menuIndex=3&amp;refID=7034822&amp;Result=3","7034822")</f>
        <v>0</v>
      </c>
      <c r="B9163" t="s">
        <v>1299</v>
      </c>
      <c r="C9163" t="s">
        <v>11925</v>
      </c>
      <c r="D9163" t="s">
        <v>18076</v>
      </c>
      <c r="E9163" t="s">
        <v>26110</v>
      </c>
      <c r="F9163" t="s">
        <v>31574</v>
      </c>
      <c r="G9163" t="s">
        <v>31582</v>
      </c>
      <c r="H9163" t="s">
        <v>31590</v>
      </c>
      <c r="I9163" t="s">
        <v>6800</v>
      </c>
      <c r="J9163" t="s">
        <v>37489</v>
      </c>
      <c r="K9163" t="s">
        <v>41186</v>
      </c>
      <c r="M9163" t="s">
        <v>42869</v>
      </c>
      <c r="N9163" t="s">
        <v>45095</v>
      </c>
      <c r="O9163" t="s">
        <v>45096</v>
      </c>
      <c r="P9163">
        <v>0</v>
      </c>
      <c r="Q9163">
        <v>3</v>
      </c>
      <c r="R9163" t="s">
        <v>45104</v>
      </c>
      <c r="S9163" t="s">
        <v>45304</v>
      </c>
      <c r="T9163" t="s">
        <v>46938</v>
      </c>
      <c r="U9163" t="s">
        <v>55063</v>
      </c>
      <c r="W9163" t="s">
        <v>42869</v>
      </c>
      <c r="X9163" t="s">
        <v>45105</v>
      </c>
    </row>
    <row r="9164" spans="1:24">
      <c r="A9164">
        <f>HYPERLINK("https://www.philgeps.gov.ph/GEPSNONPILOT/Tender/SplashBidNoticeAbstractUI.aspx?menuIndex=3&amp;refID=7034821&amp;Result=3","7034821")</f>
        <v>0</v>
      </c>
      <c r="B9164" t="s">
        <v>2086</v>
      </c>
      <c r="C9164" t="s">
        <v>11926</v>
      </c>
      <c r="D9164" t="s">
        <v>18026</v>
      </c>
      <c r="E9164" t="s">
        <v>26111</v>
      </c>
      <c r="F9164" t="s">
        <v>31574</v>
      </c>
      <c r="G9164" t="s">
        <v>31582</v>
      </c>
      <c r="H9164" t="s">
        <v>31591</v>
      </c>
      <c r="I9164" t="s">
        <v>8822</v>
      </c>
      <c r="J9164" t="s">
        <v>37490</v>
      </c>
      <c r="K9164" t="s">
        <v>41377</v>
      </c>
      <c r="M9164" t="s">
        <v>43761</v>
      </c>
      <c r="N9164" t="s">
        <v>45095</v>
      </c>
      <c r="O9164" t="s">
        <v>45096</v>
      </c>
      <c r="Q9164">
        <v>0</v>
      </c>
      <c r="R9164" t="s">
        <v>45104</v>
      </c>
      <c r="S9164" t="s">
        <v>45341</v>
      </c>
      <c r="T9164" t="s">
        <v>47000</v>
      </c>
      <c r="U9164" t="s">
        <v>55053</v>
      </c>
      <c r="W9164" t="s">
        <v>43761</v>
      </c>
      <c r="X9164" t="s">
        <v>45105</v>
      </c>
    </row>
    <row r="9165" spans="1:24">
      <c r="A9165">
        <f>HYPERLINK("https://www.philgeps.gov.ph/GEPSNONPILOT/Tender/SplashBidNoticeAbstractUI.aspx?menuIndex=3&amp;refID=7034809&amp;Result=3","7034809")</f>
        <v>0</v>
      </c>
      <c r="B9165" t="s">
        <v>951</v>
      </c>
      <c r="C9165" t="s">
        <v>11927</v>
      </c>
      <c r="D9165" t="s">
        <v>18074</v>
      </c>
      <c r="E9165" t="s">
        <v>26112</v>
      </c>
      <c r="F9165" t="s">
        <v>31574</v>
      </c>
      <c r="G9165" t="s">
        <v>31582</v>
      </c>
      <c r="H9165" t="s">
        <v>31590</v>
      </c>
      <c r="I9165" t="s">
        <v>31600</v>
      </c>
      <c r="J9165" t="s">
        <v>37491</v>
      </c>
      <c r="K9165" t="s">
        <v>41190</v>
      </c>
      <c r="M9165" t="s">
        <v>42478</v>
      </c>
      <c r="N9165" t="s">
        <v>45095</v>
      </c>
      <c r="O9165" t="s">
        <v>45096</v>
      </c>
      <c r="P9165">
        <v>0</v>
      </c>
      <c r="Q9165">
        <v>1</v>
      </c>
      <c r="R9165" t="s">
        <v>45104</v>
      </c>
      <c r="S9165" t="s">
        <v>45304</v>
      </c>
      <c r="T9165" t="s">
        <v>47158</v>
      </c>
      <c r="U9165" t="s">
        <v>55064</v>
      </c>
      <c r="V9165" t="s">
        <v>60083</v>
      </c>
      <c r="W9165" t="s">
        <v>42478</v>
      </c>
      <c r="X9165" t="s">
        <v>45105</v>
      </c>
    </row>
    <row r="9166" spans="1:24">
      <c r="A9166">
        <f>HYPERLINK("https://www.philgeps.gov.ph/GEPSNONPILOT/Tender/SplashBidNoticeAbstractUI.aspx?menuIndex=3&amp;refID=7034766&amp;Result=3","7034766")</f>
        <v>0</v>
      </c>
      <c r="B9166" t="s">
        <v>1971</v>
      </c>
      <c r="C9166" t="s">
        <v>11928</v>
      </c>
      <c r="D9166" t="s">
        <v>18027</v>
      </c>
      <c r="E9166" t="s">
        <v>26113</v>
      </c>
      <c r="F9166" t="s">
        <v>31574</v>
      </c>
      <c r="G9166" t="s">
        <v>31582</v>
      </c>
      <c r="H9166" t="s">
        <v>31591</v>
      </c>
      <c r="I9166" t="s">
        <v>8822</v>
      </c>
      <c r="J9166" t="s">
        <v>37492</v>
      </c>
      <c r="K9166" t="s">
        <v>41378</v>
      </c>
      <c r="M9166" t="s">
        <v>43628</v>
      </c>
      <c r="N9166" t="s">
        <v>45095</v>
      </c>
      <c r="O9166" t="s">
        <v>45096</v>
      </c>
      <c r="P9166">
        <v>0</v>
      </c>
      <c r="Q9166">
        <v>0</v>
      </c>
      <c r="R9166" t="s">
        <v>45104</v>
      </c>
      <c r="S9166" t="s">
        <v>45304</v>
      </c>
      <c r="T9166" t="s">
        <v>46988</v>
      </c>
      <c r="U9166" t="s">
        <v>55065</v>
      </c>
      <c r="W9166" t="s">
        <v>43628</v>
      </c>
      <c r="X9166" t="s">
        <v>45105</v>
      </c>
    </row>
    <row r="9167" spans="1:24">
      <c r="A9167">
        <f>HYPERLINK("https://www.philgeps.gov.ph/GEPSNONPILOT/Tender/SplashBidNoticeAbstractUI.aspx?menuIndex=3&amp;refID=7034814&amp;Result=3","7034814")</f>
        <v>0</v>
      </c>
      <c r="B9167" t="s">
        <v>497</v>
      </c>
      <c r="C9167" t="s">
        <v>11929</v>
      </c>
      <c r="D9167" t="s">
        <v>18113</v>
      </c>
      <c r="E9167" t="s">
        <v>26114</v>
      </c>
      <c r="F9167" t="s">
        <v>31574</v>
      </c>
      <c r="G9167" t="s">
        <v>31585</v>
      </c>
      <c r="H9167" t="s">
        <v>31591</v>
      </c>
      <c r="I9167" t="s">
        <v>8822</v>
      </c>
      <c r="J9167" t="s">
        <v>37493</v>
      </c>
      <c r="K9167" t="s">
        <v>41274</v>
      </c>
      <c r="M9167" t="s">
        <v>41993</v>
      </c>
      <c r="N9167" t="s">
        <v>45095</v>
      </c>
      <c r="O9167" t="s">
        <v>45096</v>
      </c>
      <c r="P9167">
        <v>0</v>
      </c>
      <c r="Q9167">
        <v>1</v>
      </c>
      <c r="R9167" t="s">
        <v>45104</v>
      </c>
      <c r="S9167" t="s">
        <v>45304</v>
      </c>
      <c r="T9167" t="s">
        <v>46985</v>
      </c>
      <c r="U9167" t="s">
        <v>55066</v>
      </c>
      <c r="W9167" t="s">
        <v>41993</v>
      </c>
      <c r="X9167" t="s">
        <v>45105</v>
      </c>
    </row>
    <row r="9168" spans="1:24">
      <c r="A9168">
        <f>HYPERLINK("https://www.philgeps.gov.ph/GEPSNONPILOT/Tender/SplashBidNoticeAbstractUI.aspx?menuIndex=3&amp;refID=7034853&amp;Result=3","7034853")</f>
        <v>0</v>
      </c>
      <c r="B9168" t="s">
        <v>759</v>
      </c>
      <c r="C9168" t="s">
        <v>11930</v>
      </c>
      <c r="D9168" t="s">
        <v>18039</v>
      </c>
      <c r="E9168" t="s">
        <v>26115</v>
      </c>
      <c r="F9168" t="s">
        <v>31574</v>
      </c>
      <c r="G9168" t="s">
        <v>31582</v>
      </c>
      <c r="H9168" t="s">
        <v>31590</v>
      </c>
      <c r="I9168" t="s">
        <v>7185</v>
      </c>
      <c r="J9168" t="s">
        <v>32049</v>
      </c>
      <c r="K9168" t="s">
        <v>41184</v>
      </c>
      <c r="M9168" t="s">
        <v>43501</v>
      </c>
      <c r="N9168" t="s">
        <v>45095</v>
      </c>
      <c r="O9168" t="s">
        <v>45096</v>
      </c>
      <c r="P9168">
        <v>0</v>
      </c>
      <c r="Q9168">
        <v>5</v>
      </c>
      <c r="R9168" t="s">
        <v>45104</v>
      </c>
      <c r="S9168" t="s">
        <v>45304</v>
      </c>
      <c r="T9168" t="s">
        <v>46992</v>
      </c>
      <c r="U9168" t="s">
        <v>54873</v>
      </c>
      <c r="V9168" t="s">
        <v>60771</v>
      </c>
      <c r="W9168" t="s">
        <v>43501</v>
      </c>
      <c r="X9168" t="s">
        <v>45105</v>
      </c>
    </row>
    <row r="9169" spans="1:24">
      <c r="A9169">
        <f>HYPERLINK("https://www.philgeps.gov.ph/GEPSNONPILOT/Tender/SplashBidNoticeAbstractUI.aspx?menuIndex=3&amp;refID=7034852&amp;Result=3","7034852")</f>
        <v>0</v>
      </c>
      <c r="B9169" t="s">
        <v>91</v>
      </c>
      <c r="C9169" t="s">
        <v>11931</v>
      </c>
      <c r="D9169" t="s">
        <v>18060</v>
      </c>
      <c r="E9169" t="s">
        <v>26116</v>
      </c>
      <c r="F9169" t="s">
        <v>31574</v>
      </c>
      <c r="G9169" t="s">
        <v>31582</v>
      </c>
      <c r="H9169" t="s">
        <v>31590</v>
      </c>
      <c r="I9169" t="s">
        <v>7185</v>
      </c>
      <c r="J9169" t="s">
        <v>37494</v>
      </c>
      <c r="K9169" t="s">
        <v>41196</v>
      </c>
      <c r="M9169" t="s">
        <v>42330</v>
      </c>
      <c r="N9169" t="s">
        <v>45095</v>
      </c>
      <c r="O9169" t="s">
        <v>45096</v>
      </c>
      <c r="P9169">
        <v>0</v>
      </c>
      <c r="Q9169">
        <v>5</v>
      </c>
      <c r="R9169" t="s">
        <v>45104</v>
      </c>
      <c r="S9169" t="s">
        <v>45304</v>
      </c>
      <c r="T9169" t="s">
        <v>46965</v>
      </c>
      <c r="U9169" t="s">
        <v>55067</v>
      </c>
      <c r="W9169" t="s">
        <v>42330</v>
      </c>
      <c r="X9169" t="s">
        <v>45105</v>
      </c>
    </row>
    <row r="9170" spans="1:24">
      <c r="A9170">
        <f>HYPERLINK("https://www.philgeps.gov.ph/GEPSNONPILOT/Tender/SplashBidNoticeAbstractUI.aspx?menuIndex=3&amp;refID=7034843&amp;Result=3","7034843")</f>
        <v>0</v>
      </c>
      <c r="B9170" t="s">
        <v>2491</v>
      </c>
      <c r="C9170" t="s">
        <v>11932</v>
      </c>
      <c r="D9170" t="s">
        <v>18030</v>
      </c>
      <c r="E9170" t="s">
        <v>25868</v>
      </c>
      <c r="F9170" t="s">
        <v>31574</v>
      </c>
      <c r="G9170" t="s">
        <v>31582</v>
      </c>
      <c r="H9170" t="s">
        <v>31591</v>
      </c>
      <c r="I9170" t="s">
        <v>8822</v>
      </c>
      <c r="J9170" t="s">
        <v>37495</v>
      </c>
      <c r="K9170" t="s">
        <v>41186</v>
      </c>
      <c r="M9170" t="s">
        <v>44222</v>
      </c>
      <c r="N9170" t="s">
        <v>45095</v>
      </c>
      <c r="O9170" t="s">
        <v>45096</v>
      </c>
      <c r="P9170">
        <v>0</v>
      </c>
      <c r="Q9170">
        <v>0</v>
      </c>
      <c r="R9170" t="s">
        <v>45104</v>
      </c>
      <c r="S9170" t="s">
        <v>45304</v>
      </c>
      <c r="T9170" t="s">
        <v>47162</v>
      </c>
      <c r="U9170" t="s">
        <v>55068</v>
      </c>
      <c r="W9170" t="s">
        <v>44222</v>
      </c>
      <c r="X9170" t="s">
        <v>45105</v>
      </c>
    </row>
    <row r="9171" spans="1:24">
      <c r="A9171">
        <f>HYPERLINK("https://www.philgeps.gov.ph/GEPSNONPILOT/Tender/SplashBidNoticeAbstractUI.aspx?menuIndex=3&amp;refID=7034842&amp;Result=3","7034842")</f>
        <v>0</v>
      </c>
      <c r="B9171" t="s">
        <v>2538</v>
      </c>
      <c r="C9171" t="s">
        <v>11933</v>
      </c>
      <c r="D9171" t="s">
        <v>18064</v>
      </c>
      <c r="E9171" t="s">
        <v>26117</v>
      </c>
      <c r="F9171" t="s">
        <v>31574</v>
      </c>
      <c r="G9171" t="s">
        <v>31582</v>
      </c>
      <c r="H9171" t="s">
        <v>31591</v>
      </c>
      <c r="I9171" t="s">
        <v>8822</v>
      </c>
      <c r="J9171" t="s">
        <v>33160</v>
      </c>
      <c r="K9171" t="s">
        <v>41198</v>
      </c>
      <c r="M9171" t="s">
        <v>44274</v>
      </c>
      <c r="N9171" t="s">
        <v>45095</v>
      </c>
      <c r="O9171" t="s">
        <v>45096</v>
      </c>
      <c r="P9171">
        <v>0</v>
      </c>
      <c r="Q9171">
        <v>15</v>
      </c>
      <c r="R9171" t="s">
        <v>45104</v>
      </c>
      <c r="S9171" t="s">
        <v>45304</v>
      </c>
      <c r="T9171" t="s">
        <v>47100</v>
      </c>
      <c r="U9171" t="s">
        <v>55069</v>
      </c>
      <c r="W9171" t="s">
        <v>44274</v>
      </c>
      <c r="X9171" t="s">
        <v>45105</v>
      </c>
    </row>
    <row r="9172" spans="1:24">
      <c r="A9172">
        <f>HYPERLINK("https://www.philgeps.gov.ph/GEPSNONPILOT/Tender/SplashBidNoticeAbstractUI.aspx?menuIndex=3&amp;refID=7034840&amp;Result=3","7034840")</f>
        <v>0</v>
      </c>
      <c r="B9172" t="s">
        <v>1524</v>
      </c>
      <c r="C9172" t="s">
        <v>11934</v>
      </c>
      <c r="D9172" t="s">
        <v>18083</v>
      </c>
      <c r="E9172" t="s">
        <v>26118</v>
      </c>
      <c r="F9172" t="s">
        <v>31574</v>
      </c>
      <c r="G9172" t="s">
        <v>31582</v>
      </c>
      <c r="H9172" t="s">
        <v>31591</v>
      </c>
      <c r="I9172" t="s">
        <v>8822</v>
      </c>
      <c r="J9172" t="s">
        <v>37496</v>
      </c>
      <c r="K9172" t="s">
        <v>41268</v>
      </c>
      <c r="M9172" t="s">
        <v>43115</v>
      </c>
      <c r="N9172" t="s">
        <v>45095</v>
      </c>
      <c r="O9172" t="s">
        <v>45096</v>
      </c>
      <c r="Q9172">
        <v>0</v>
      </c>
      <c r="R9172" t="s">
        <v>45104</v>
      </c>
      <c r="S9172" t="s">
        <v>45342</v>
      </c>
      <c r="T9172" t="s">
        <v>47000</v>
      </c>
      <c r="U9172" t="s">
        <v>55070</v>
      </c>
      <c r="V9172" t="s">
        <v>60787</v>
      </c>
      <c r="W9172" t="s">
        <v>43115</v>
      </c>
      <c r="X9172" t="s">
        <v>45105</v>
      </c>
    </row>
    <row r="9173" spans="1:24">
      <c r="A9173">
        <f>HYPERLINK("https://www.philgeps.gov.ph/GEPSNONPILOT/Tender/SplashBidNoticeAbstractUI.aspx?menuIndex=3&amp;refID=7034751&amp;Result=3","7034751")</f>
        <v>0</v>
      </c>
      <c r="B9173" t="s">
        <v>683</v>
      </c>
      <c r="C9173" t="s">
        <v>11935</v>
      </c>
      <c r="D9173" t="s">
        <v>18059</v>
      </c>
      <c r="E9173" t="s">
        <v>26119</v>
      </c>
      <c r="F9173" t="s">
        <v>31574</v>
      </c>
      <c r="G9173" t="s">
        <v>31581</v>
      </c>
      <c r="H9173" t="s">
        <v>31590</v>
      </c>
      <c r="I9173" t="s">
        <v>31602</v>
      </c>
      <c r="J9173" t="s">
        <v>37497</v>
      </c>
      <c r="K9173" t="s">
        <v>41184</v>
      </c>
      <c r="M9173" t="s">
        <v>42190</v>
      </c>
      <c r="N9173" t="s">
        <v>45095</v>
      </c>
      <c r="O9173" t="s">
        <v>45096</v>
      </c>
      <c r="P9173">
        <v>0</v>
      </c>
      <c r="Q9173">
        <v>0</v>
      </c>
      <c r="R9173" t="s">
        <v>45104</v>
      </c>
      <c r="S9173" t="s">
        <v>45304</v>
      </c>
      <c r="T9173" t="s">
        <v>47159</v>
      </c>
      <c r="U9173" t="s">
        <v>55071</v>
      </c>
      <c r="W9173" t="s">
        <v>42190</v>
      </c>
      <c r="X9173" t="s">
        <v>45105</v>
      </c>
    </row>
    <row r="9174" spans="1:24">
      <c r="A9174">
        <f>HYPERLINK("https://www.philgeps.gov.ph/GEPSNONPILOT/Tender/SplashBidNoticeAbstractUI.aspx?menuIndex=3&amp;refID=7034846&amp;Result=3","7034846")</f>
        <v>0</v>
      </c>
      <c r="B9174" t="s">
        <v>1482</v>
      </c>
      <c r="C9174" t="s">
        <v>11936</v>
      </c>
      <c r="D9174" t="s">
        <v>18037</v>
      </c>
      <c r="E9174" t="s">
        <v>26120</v>
      </c>
      <c r="F9174" t="s">
        <v>31574</v>
      </c>
      <c r="G9174" t="s">
        <v>31582</v>
      </c>
      <c r="H9174" t="s">
        <v>31590</v>
      </c>
      <c r="I9174" t="s">
        <v>31608</v>
      </c>
      <c r="J9174" t="s">
        <v>37498</v>
      </c>
      <c r="K9174" t="s">
        <v>41200</v>
      </c>
      <c r="M9174" t="s">
        <v>43067</v>
      </c>
      <c r="N9174" t="s">
        <v>45095</v>
      </c>
      <c r="O9174" t="s">
        <v>45096</v>
      </c>
      <c r="P9174">
        <v>0</v>
      </c>
      <c r="Q9174">
        <v>7</v>
      </c>
      <c r="R9174" t="s">
        <v>45104</v>
      </c>
      <c r="S9174" t="s">
        <v>45304</v>
      </c>
      <c r="T9174" t="s">
        <v>47063</v>
      </c>
      <c r="U9174" t="s">
        <v>51078</v>
      </c>
      <c r="W9174" t="s">
        <v>43067</v>
      </c>
      <c r="X9174" t="s">
        <v>45105</v>
      </c>
    </row>
    <row r="9175" spans="1:24">
      <c r="A9175">
        <f>HYPERLINK("https://www.philgeps.gov.ph/GEPSNONPILOT/Tender/SplashBidNoticeAbstractUI.aspx?menuIndex=3&amp;refID=7034815&amp;Result=3","7034815")</f>
        <v>0</v>
      </c>
      <c r="B9175" t="s">
        <v>38</v>
      </c>
      <c r="C9175" t="s">
        <v>11937</v>
      </c>
      <c r="D9175" t="s">
        <v>18033</v>
      </c>
      <c r="E9175" t="s">
        <v>26121</v>
      </c>
      <c r="F9175" t="s">
        <v>31574</v>
      </c>
      <c r="G9175" t="s">
        <v>31582</v>
      </c>
      <c r="H9175" t="s">
        <v>31591</v>
      </c>
      <c r="I9175" t="s">
        <v>8822</v>
      </c>
      <c r="J9175" t="s">
        <v>32411</v>
      </c>
      <c r="K9175" t="s">
        <v>41379</v>
      </c>
      <c r="M9175" t="s">
        <v>43276</v>
      </c>
      <c r="N9175" t="s">
        <v>45095</v>
      </c>
      <c r="O9175" t="s">
        <v>45096</v>
      </c>
      <c r="P9175">
        <v>0</v>
      </c>
      <c r="Q9175">
        <v>0</v>
      </c>
      <c r="R9175" t="s">
        <v>45104</v>
      </c>
      <c r="S9175" t="s">
        <v>45304</v>
      </c>
      <c r="T9175" t="s">
        <v>47010</v>
      </c>
      <c r="U9175" t="s">
        <v>49667</v>
      </c>
      <c r="V9175" t="s">
        <v>59888</v>
      </c>
      <c r="W9175" t="s">
        <v>43276</v>
      </c>
      <c r="X9175" t="s">
        <v>45105</v>
      </c>
    </row>
    <row r="9176" spans="1:24">
      <c r="A9176">
        <f>HYPERLINK("https://www.philgeps.gov.ph/GEPSNONPILOT/Tender/SplashBidNoticeAbstractUI.aspx?menuIndex=3&amp;refID=7034832&amp;Result=3","7034832")</f>
        <v>0</v>
      </c>
      <c r="B9176" t="s">
        <v>249</v>
      </c>
      <c r="C9176" t="s">
        <v>11938</v>
      </c>
      <c r="D9176" t="s">
        <v>18070</v>
      </c>
      <c r="E9176" t="s">
        <v>26122</v>
      </c>
      <c r="F9176" t="s">
        <v>31574</v>
      </c>
      <c r="G9176" t="s">
        <v>31583</v>
      </c>
      <c r="H9176" t="s">
        <v>31590</v>
      </c>
      <c r="I9176" t="s">
        <v>31595</v>
      </c>
      <c r="J9176" t="s">
        <v>37499</v>
      </c>
      <c r="K9176" t="s">
        <v>41193</v>
      </c>
      <c r="M9176" t="s">
        <v>43343</v>
      </c>
      <c r="N9176" t="s">
        <v>45095</v>
      </c>
      <c r="O9176" t="s">
        <v>45096</v>
      </c>
      <c r="P9176">
        <v>0</v>
      </c>
      <c r="Q9176">
        <v>1</v>
      </c>
      <c r="R9176" t="s">
        <v>45104</v>
      </c>
      <c r="S9176" t="s">
        <v>45304</v>
      </c>
      <c r="T9176" t="s">
        <v>47162</v>
      </c>
      <c r="U9176" t="s">
        <v>55072</v>
      </c>
      <c r="W9176" t="s">
        <v>43343</v>
      </c>
      <c r="X9176" t="s">
        <v>45105</v>
      </c>
    </row>
    <row r="9177" spans="1:24">
      <c r="A9177">
        <f>HYPERLINK("https://www.philgeps.gov.ph/GEPSNONPILOT/Tender/SplashBidNoticeAbstractUI.aspx?menuIndex=3&amp;refID=7034808&amp;Result=3","7034808")</f>
        <v>0</v>
      </c>
      <c r="B9177" t="s">
        <v>2527</v>
      </c>
      <c r="C9177" t="s">
        <v>11939</v>
      </c>
      <c r="D9177" t="s">
        <v>18046</v>
      </c>
      <c r="E9177" t="s">
        <v>26123</v>
      </c>
      <c r="F9177" t="s">
        <v>31574</v>
      </c>
      <c r="G9177" t="s">
        <v>31582</v>
      </c>
      <c r="H9177" t="s">
        <v>31590</v>
      </c>
      <c r="I9177" t="s">
        <v>31602</v>
      </c>
      <c r="J9177" t="s">
        <v>37500</v>
      </c>
      <c r="K9177" t="s">
        <v>41193</v>
      </c>
      <c r="M9177" t="s">
        <v>44262</v>
      </c>
      <c r="N9177" t="s">
        <v>45095</v>
      </c>
      <c r="O9177" t="s">
        <v>45096</v>
      </c>
      <c r="P9177">
        <v>0</v>
      </c>
      <c r="Q9177">
        <v>0</v>
      </c>
      <c r="R9177" t="s">
        <v>45104</v>
      </c>
      <c r="S9177" t="s">
        <v>45304</v>
      </c>
      <c r="T9177" t="s">
        <v>47050</v>
      </c>
      <c r="U9177" t="s">
        <v>55073</v>
      </c>
      <c r="W9177" t="s">
        <v>44262</v>
      </c>
      <c r="X9177" t="s">
        <v>45105</v>
      </c>
    </row>
    <row r="9178" spans="1:24">
      <c r="A9178">
        <f>HYPERLINK("https://www.philgeps.gov.ph/GEPSNONPILOT/Tender/SplashBidNoticeAbstractUI.aspx?menuIndex=3&amp;refID=7034837&amp;Result=3","7034837")</f>
        <v>0</v>
      </c>
      <c r="B9178" t="s">
        <v>1833</v>
      </c>
      <c r="C9178" t="s">
        <v>11940</v>
      </c>
      <c r="D9178" t="s">
        <v>18036</v>
      </c>
      <c r="E9178" t="s">
        <v>26124</v>
      </c>
      <c r="F9178" t="s">
        <v>31574</v>
      </c>
      <c r="G9178" t="s">
        <v>31582</v>
      </c>
      <c r="H9178" t="s">
        <v>31590</v>
      </c>
      <c r="I9178" t="s">
        <v>31614</v>
      </c>
      <c r="J9178" t="s">
        <v>37501</v>
      </c>
      <c r="K9178" t="s">
        <v>41186</v>
      </c>
      <c r="M9178" t="s">
        <v>43469</v>
      </c>
      <c r="N9178" t="s">
        <v>45095</v>
      </c>
      <c r="O9178" t="s">
        <v>45096</v>
      </c>
      <c r="P9178">
        <v>0</v>
      </c>
      <c r="Q9178">
        <v>1</v>
      </c>
      <c r="R9178" t="s">
        <v>45104</v>
      </c>
      <c r="S9178" t="s">
        <v>45304</v>
      </c>
      <c r="T9178" t="s">
        <v>47076</v>
      </c>
      <c r="U9178" t="s">
        <v>55074</v>
      </c>
      <c r="V9178" t="s">
        <v>60788</v>
      </c>
      <c r="W9178" t="s">
        <v>43469</v>
      </c>
      <c r="X9178" t="s">
        <v>45105</v>
      </c>
    </row>
    <row r="9179" spans="1:24">
      <c r="A9179">
        <f>HYPERLINK("https://www.philgeps.gov.ph/GEPSNONPILOT/Tender/SplashBidNoticeAbstractUI.aspx?menuIndex=3&amp;refID=7034855&amp;Result=3","7034855")</f>
        <v>0</v>
      </c>
      <c r="B9179" t="s">
        <v>249</v>
      </c>
      <c r="C9179" t="s">
        <v>7085</v>
      </c>
      <c r="D9179" t="s">
        <v>18070</v>
      </c>
      <c r="E9179" t="s">
        <v>26125</v>
      </c>
      <c r="F9179" t="s">
        <v>31574</v>
      </c>
      <c r="G9179" t="s">
        <v>31583</v>
      </c>
      <c r="H9179" t="s">
        <v>31590</v>
      </c>
      <c r="I9179" t="s">
        <v>31594</v>
      </c>
      <c r="J9179" t="s">
        <v>37502</v>
      </c>
      <c r="K9179" t="s">
        <v>41186</v>
      </c>
      <c r="M9179" t="s">
        <v>43343</v>
      </c>
      <c r="N9179" t="s">
        <v>45095</v>
      </c>
      <c r="O9179" t="s">
        <v>45096</v>
      </c>
      <c r="P9179">
        <v>0</v>
      </c>
      <c r="Q9179">
        <v>1</v>
      </c>
      <c r="R9179" t="s">
        <v>45104</v>
      </c>
      <c r="S9179" t="s">
        <v>45304</v>
      </c>
      <c r="T9179" t="s">
        <v>47162</v>
      </c>
      <c r="U9179" t="s">
        <v>55075</v>
      </c>
      <c r="W9179" t="s">
        <v>43343</v>
      </c>
      <c r="X9179" t="s">
        <v>45105</v>
      </c>
    </row>
    <row r="9180" spans="1:24">
      <c r="A9180">
        <f>HYPERLINK("https://www.philgeps.gov.ph/GEPSNONPILOT/Tender/SplashBidNoticeAbstractUI.aspx?menuIndex=3&amp;refID=7034824&amp;Result=3","7034824")</f>
        <v>0</v>
      </c>
      <c r="B9180" t="s">
        <v>181</v>
      </c>
      <c r="C9180" t="s">
        <v>11941</v>
      </c>
      <c r="D9180" t="s">
        <v>18040</v>
      </c>
      <c r="E9180" t="s">
        <v>26126</v>
      </c>
      <c r="F9180" t="s">
        <v>31574</v>
      </c>
      <c r="G9180" t="s">
        <v>31581</v>
      </c>
      <c r="H9180" t="s">
        <v>31590</v>
      </c>
      <c r="I9180" t="s">
        <v>31623</v>
      </c>
      <c r="J9180" t="s">
        <v>37503</v>
      </c>
      <c r="K9180" t="s">
        <v>41193</v>
      </c>
      <c r="M9180" t="s">
        <v>44275</v>
      </c>
      <c r="N9180" t="s">
        <v>45095</v>
      </c>
      <c r="O9180" t="s">
        <v>45096</v>
      </c>
      <c r="P9180">
        <v>0</v>
      </c>
      <c r="Q9180">
        <v>2</v>
      </c>
      <c r="R9180" t="s">
        <v>45104</v>
      </c>
      <c r="S9180" t="s">
        <v>45304</v>
      </c>
      <c r="T9180" t="s">
        <v>47164</v>
      </c>
      <c r="U9180" t="s">
        <v>55076</v>
      </c>
      <c r="V9180" t="s">
        <v>59895</v>
      </c>
      <c r="W9180" t="s">
        <v>44275</v>
      </c>
      <c r="X9180" t="s">
        <v>45105</v>
      </c>
    </row>
    <row r="9181" spans="1:24">
      <c r="A9181">
        <f>HYPERLINK("https://www.philgeps.gov.ph/GEPSNONPILOT/Tender/SplashBidNoticeAbstractUI.aspx?menuIndex=3&amp;refID=7034868&amp;Result=3","7034868")</f>
        <v>0</v>
      </c>
      <c r="B9181" t="s">
        <v>249</v>
      </c>
      <c r="C9181" t="s">
        <v>8218</v>
      </c>
      <c r="D9181" t="s">
        <v>18070</v>
      </c>
      <c r="E9181" t="s">
        <v>26127</v>
      </c>
      <c r="F9181" t="s">
        <v>31574</v>
      </c>
      <c r="G9181" t="s">
        <v>31583</v>
      </c>
      <c r="H9181" t="s">
        <v>31590</v>
      </c>
      <c r="I9181" t="s">
        <v>31599</v>
      </c>
      <c r="J9181" t="s">
        <v>32258</v>
      </c>
      <c r="K9181" t="s">
        <v>41196</v>
      </c>
      <c r="M9181" t="s">
        <v>43343</v>
      </c>
      <c r="N9181" t="s">
        <v>45095</v>
      </c>
      <c r="O9181" t="s">
        <v>45096</v>
      </c>
      <c r="P9181">
        <v>0</v>
      </c>
      <c r="Q9181">
        <v>0</v>
      </c>
      <c r="R9181" t="s">
        <v>45104</v>
      </c>
      <c r="S9181" t="s">
        <v>45304</v>
      </c>
      <c r="T9181" t="s">
        <v>47162</v>
      </c>
      <c r="U9181" t="s">
        <v>55077</v>
      </c>
      <c r="W9181" t="s">
        <v>43343</v>
      </c>
      <c r="X9181" t="s">
        <v>45105</v>
      </c>
    </row>
    <row r="9182" spans="1:24">
      <c r="A9182">
        <f>HYPERLINK("https://www.philgeps.gov.ph/GEPSNONPILOT/Tender/SplashBidNoticeAbstractUI.aspx?menuIndex=3&amp;refID=7034805&amp;Result=3","7034805")</f>
        <v>0</v>
      </c>
      <c r="B9182" t="s">
        <v>2539</v>
      </c>
      <c r="C9182" t="s">
        <v>11881</v>
      </c>
      <c r="D9182" t="s">
        <v>18025</v>
      </c>
      <c r="E9182" t="s">
        <v>26007</v>
      </c>
      <c r="F9182" t="s">
        <v>31574</v>
      </c>
      <c r="G9182" t="s">
        <v>31582</v>
      </c>
      <c r="H9182" t="s">
        <v>31590</v>
      </c>
      <c r="I9182" t="s">
        <v>4046</v>
      </c>
      <c r="J9182" t="s">
        <v>37504</v>
      </c>
      <c r="K9182" t="s">
        <v>41190</v>
      </c>
      <c r="M9182" t="s">
        <v>44276</v>
      </c>
      <c r="N9182" t="s">
        <v>45095</v>
      </c>
      <c r="O9182" t="s">
        <v>45096</v>
      </c>
      <c r="P9182">
        <v>0</v>
      </c>
      <c r="Q9182">
        <v>1</v>
      </c>
      <c r="R9182" t="s">
        <v>45104</v>
      </c>
      <c r="S9182" t="s">
        <v>45304</v>
      </c>
      <c r="T9182" t="s">
        <v>47083</v>
      </c>
      <c r="U9182" t="s">
        <v>55078</v>
      </c>
      <c r="W9182" t="s">
        <v>44276</v>
      </c>
      <c r="X9182" t="s">
        <v>45105</v>
      </c>
    </row>
    <row r="9183" spans="1:24">
      <c r="A9183">
        <f>HYPERLINK("https://www.philgeps.gov.ph/GEPSNONPILOT/Tender/SplashBidNoticeAbstractUI.aspx?menuIndex=3&amp;refID=7034865&amp;Result=3","7034865")</f>
        <v>0</v>
      </c>
      <c r="B9183" t="s">
        <v>1575</v>
      </c>
      <c r="C9183" t="s">
        <v>11942</v>
      </c>
      <c r="D9183" t="s">
        <v>18065</v>
      </c>
      <c r="E9183" t="s">
        <v>26128</v>
      </c>
      <c r="F9183" t="s">
        <v>31574</v>
      </c>
      <c r="G9183" t="s">
        <v>31582</v>
      </c>
      <c r="H9183" t="s">
        <v>31590</v>
      </c>
      <c r="I9183" t="s">
        <v>31683</v>
      </c>
      <c r="J9183" t="s">
        <v>32510</v>
      </c>
      <c r="K9183" t="s">
        <v>41192</v>
      </c>
      <c r="M9183" t="s">
        <v>43178</v>
      </c>
      <c r="N9183" t="s">
        <v>45095</v>
      </c>
      <c r="O9183" t="s">
        <v>45096</v>
      </c>
      <c r="Q9183">
        <v>1</v>
      </c>
      <c r="R9183" t="s">
        <v>45104</v>
      </c>
      <c r="S9183" t="s">
        <v>45343</v>
      </c>
      <c r="T9183" t="s">
        <v>47158</v>
      </c>
      <c r="U9183" t="s">
        <v>55079</v>
      </c>
      <c r="V9183" t="s">
        <v>60343</v>
      </c>
      <c r="W9183" t="s">
        <v>43178</v>
      </c>
      <c r="X9183" t="s">
        <v>45105</v>
      </c>
    </row>
    <row r="9184" spans="1:24">
      <c r="A9184">
        <f>HYPERLINK("https://www.philgeps.gov.ph/GEPSNONPILOT/Tender/SplashBidNoticeAbstractUI.aspx?menuIndex=3&amp;refID=7034870&amp;Result=3","7034870")</f>
        <v>0</v>
      </c>
      <c r="B9184" t="s">
        <v>91</v>
      </c>
      <c r="C9184" t="s">
        <v>11943</v>
      </c>
      <c r="D9184" t="s">
        <v>18060</v>
      </c>
      <c r="E9184" t="s">
        <v>26129</v>
      </c>
      <c r="F9184" t="s">
        <v>31574</v>
      </c>
      <c r="G9184" t="s">
        <v>31582</v>
      </c>
      <c r="H9184" t="s">
        <v>31590</v>
      </c>
      <c r="I9184" t="s">
        <v>31602</v>
      </c>
      <c r="J9184" t="s">
        <v>37505</v>
      </c>
      <c r="K9184" t="s">
        <v>41189</v>
      </c>
      <c r="M9184" t="s">
        <v>42330</v>
      </c>
      <c r="N9184" t="s">
        <v>45095</v>
      </c>
      <c r="O9184" t="s">
        <v>45096</v>
      </c>
      <c r="P9184">
        <v>0</v>
      </c>
      <c r="Q9184">
        <v>2</v>
      </c>
      <c r="R9184" t="s">
        <v>45104</v>
      </c>
      <c r="S9184" t="s">
        <v>45304</v>
      </c>
      <c r="T9184" t="s">
        <v>46965</v>
      </c>
      <c r="U9184" t="s">
        <v>55080</v>
      </c>
      <c r="W9184" t="s">
        <v>42330</v>
      </c>
      <c r="X9184" t="s">
        <v>45105</v>
      </c>
    </row>
    <row r="9185" spans="1:24">
      <c r="A9185">
        <f>HYPERLINK("https://www.philgeps.gov.ph/GEPSNONPILOT/Tender/SplashBidNoticeAbstractUI.aspx?menuIndex=3&amp;refID=7034866&amp;Result=3","7034866")</f>
        <v>0</v>
      </c>
      <c r="B9185" t="s">
        <v>1971</v>
      </c>
      <c r="C9185" t="s">
        <v>11944</v>
      </c>
      <c r="D9185" t="s">
        <v>18027</v>
      </c>
      <c r="E9185" t="s">
        <v>26130</v>
      </c>
      <c r="F9185" t="s">
        <v>31574</v>
      </c>
      <c r="G9185" t="s">
        <v>31582</v>
      </c>
      <c r="H9185" t="s">
        <v>31591</v>
      </c>
      <c r="I9185" t="s">
        <v>8822</v>
      </c>
      <c r="J9185" t="s">
        <v>37506</v>
      </c>
      <c r="K9185" t="s">
        <v>41380</v>
      </c>
      <c r="M9185" t="s">
        <v>43628</v>
      </c>
      <c r="N9185" t="s">
        <v>45095</v>
      </c>
      <c r="O9185" t="s">
        <v>45096</v>
      </c>
      <c r="P9185">
        <v>0</v>
      </c>
      <c r="Q9185">
        <v>0</v>
      </c>
      <c r="R9185" t="s">
        <v>45104</v>
      </c>
      <c r="S9185" t="s">
        <v>45304</v>
      </c>
      <c r="T9185" t="s">
        <v>46988</v>
      </c>
      <c r="U9185" t="s">
        <v>55081</v>
      </c>
      <c r="W9185" t="s">
        <v>43628</v>
      </c>
      <c r="X9185" t="s">
        <v>45105</v>
      </c>
    </row>
    <row r="9186" spans="1:24">
      <c r="A9186">
        <f>HYPERLINK("https://www.philgeps.gov.ph/GEPSNONPILOT/Tender/SplashBidNoticeAbstractUI.aspx?menuIndex=3&amp;refID=7034859&amp;Result=3","7034859")</f>
        <v>0</v>
      </c>
      <c r="B9186" t="s">
        <v>2145</v>
      </c>
      <c r="C9186" t="s">
        <v>11945</v>
      </c>
      <c r="D9186" t="s">
        <v>18034</v>
      </c>
      <c r="E9186" t="s">
        <v>26131</v>
      </c>
      <c r="F9186" t="s">
        <v>31574</v>
      </c>
      <c r="G9186" t="s">
        <v>31582</v>
      </c>
      <c r="H9186" t="s">
        <v>31591</v>
      </c>
      <c r="I9186" t="s">
        <v>8822</v>
      </c>
      <c r="J9186" t="s">
        <v>37507</v>
      </c>
      <c r="K9186" t="s">
        <v>41242</v>
      </c>
      <c r="M9186" t="s">
        <v>43827</v>
      </c>
      <c r="N9186" t="s">
        <v>45095</v>
      </c>
      <c r="O9186" t="s">
        <v>45096</v>
      </c>
      <c r="P9186">
        <v>0</v>
      </c>
      <c r="Q9186">
        <v>0</v>
      </c>
      <c r="R9186" t="s">
        <v>45104</v>
      </c>
      <c r="S9186" t="s">
        <v>45304</v>
      </c>
      <c r="T9186" t="s">
        <v>46977</v>
      </c>
      <c r="U9186" t="s">
        <v>55082</v>
      </c>
      <c r="V9186" t="s">
        <v>60789</v>
      </c>
      <c r="W9186" t="s">
        <v>43827</v>
      </c>
      <c r="X9186" t="s">
        <v>45105</v>
      </c>
    </row>
    <row r="9187" spans="1:24">
      <c r="A9187">
        <f>HYPERLINK("https://www.philgeps.gov.ph/GEPSNONPILOT/Tender/SplashBidNoticeAbstractUI.aspx?menuIndex=3&amp;refID=7034869&amp;Result=3","7034869")</f>
        <v>0</v>
      </c>
      <c r="B9187" t="s">
        <v>497</v>
      </c>
      <c r="C9187" t="s">
        <v>11946</v>
      </c>
      <c r="D9187" t="s">
        <v>18052</v>
      </c>
      <c r="E9187" t="s">
        <v>26132</v>
      </c>
      <c r="F9187" t="s">
        <v>31574</v>
      </c>
      <c r="G9187" t="s">
        <v>31585</v>
      </c>
      <c r="H9187" t="s">
        <v>31590</v>
      </c>
      <c r="I9187" t="s">
        <v>31655</v>
      </c>
      <c r="J9187" t="s">
        <v>37508</v>
      </c>
      <c r="K9187" t="s">
        <v>41289</v>
      </c>
      <c r="M9187" t="s">
        <v>41993</v>
      </c>
      <c r="N9187" t="s">
        <v>45095</v>
      </c>
      <c r="O9187" t="s">
        <v>45096</v>
      </c>
      <c r="P9187">
        <v>0</v>
      </c>
      <c r="Q9187">
        <v>8</v>
      </c>
      <c r="R9187" t="s">
        <v>45104</v>
      </c>
      <c r="S9187" t="s">
        <v>45304</v>
      </c>
      <c r="T9187" t="s">
        <v>46985</v>
      </c>
      <c r="U9187" t="s">
        <v>55083</v>
      </c>
      <c r="W9187" t="s">
        <v>41993</v>
      </c>
      <c r="X9187" t="s">
        <v>45105</v>
      </c>
    </row>
    <row r="9188" spans="1:24">
      <c r="A9188">
        <f>HYPERLINK("https://www.philgeps.gov.ph/GEPSNONPILOT/Tender/SplashBidNoticeAbstractUI.aspx?menuIndex=3&amp;refID=7034857&amp;Result=3","7034857")</f>
        <v>0</v>
      </c>
      <c r="B9188" t="s">
        <v>181</v>
      </c>
      <c r="C9188" t="s">
        <v>11947</v>
      </c>
      <c r="D9188" t="s">
        <v>18040</v>
      </c>
      <c r="E9188" t="s">
        <v>26133</v>
      </c>
      <c r="F9188" t="s">
        <v>31574</v>
      </c>
      <c r="G9188" t="s">
        <v>31581</v>
      </c>
      <c r="H9188" t="s">
        <v>31590</v>
      </c>
      <c r="I9188" t="s">
        <v>31623</v>
      </c>
      <c r="J9188" t="s">
        <v>37509</v>
      </c>
      <c r="K9188" t="s">
        <v>41193</v>
      </c>
      <c r="M9188" t="s">
        <v>44275</v>
      </c>
      <c r="N9188" t="s">
        <v>45095</v>
      </c>
      <c r="O9188" t="s">
        <v>45096</v>
      </c>
      <c r="P9188">
        <v>0</v>
      </c>
      <c r="Q9188">
        <v>0</v>
      </c>
      <c r="R9188" t="s">
        <v>45104</v>
      </c>
      <c r="S9188" t="s">
        <v>45304</v>
      </c>
      <c r="T9188" t="s">
        <v>47164</v>
      </c>
      <c r="U9188" t="s">
        <v>55084</v>
      </c>
      <c r="V9188" t="s">
        <v>59895</v>
      </c>
      <c r="W9188" t="s">
        <v>44275</v>
      </c>
      <c r="X9188" t="s">
        <v>45105</v>
      </c>
    </row>
    <row r="9189" spans="1:24">
      <c r="A9189">
        <f>HYPERLINK("https://www.philgeps.gov.ph/GEPSNONPILOT/Tender/SplashBidNoticeAbstractUI.aspx?menuIndex=3&amp;refID=7034909&amp;Result=3","7034909")</f>
        <v>0</v>
      </c>
      <c r="B9189" t="s">
        <v>2540</v>
      </c>
      <c r="C9189" t="s">
        <v>11948</v>
      </c>
      <c r="D9189" t="s">
        <v>18113</v>
      </c>
      <c r="E9189" t="s">
        <v>26134</v>
      </c>
      <c r="F9189" t="s">
        <v>31574</v>
      </c>
      <c r="G9189" t="s">
        <v>31588</v>
      </c>
      <c r="H9189" t="s">
        <v>31591</v>
      </c>
      <c r="I9189" t="s">
        <v>8822</v>
      </c>
      <c r="J9189" t="s">
        <v>32942</v>
      </c>
      <c r="K9189" t="s">
        <v>41202</v>
      </c>
      <c r="M9189" t="s">
        <v>44277</v>
      </c>
      <c r="N9189" t="s">
        <v>45095</v>
      </c>
      <c r="O9189" t="s">
        <v>45096</v>
      </c>
      <c r="P9189">
        <v>0</v>
      </c>
      <c r="Q9189">
        <v>2</v>
      </c>
      <c r="R9189" t="s">
        <v>45104</v>
      </c>
      <c r="S9189" t="s">
        <v>45304</v>
      </c>
      <c r="T9189" t="s">
        <v>47134</v>
      </c>
      <c r="U9189" t="s">
        <v>55085</v>
      </c>
      <c r="W9189" t="s">
        <v>44277</v>
      </c>
      <c r="X9189" t="s">
        <v>45105</v>
      </c>
    </row>
    <row r="9190" spans="1:24">
      <c r="A9190">
        <f>HYPERLINK("https://www.philgeps.gov.ph/GEPSNONPILOT/Tender/SplashBidNoticeAbstractUI.aspx?menuIndex=3&amp;refID=7034854&amp;Result=3","7034854")</f>
        <v>0</v>
      </c>
      <c r="B9190" t="s">
        <v>38</v>
      </c>
      <c r="C9190" t="s">
        <v>11949</v>
      </c>
      <c r="D9190" t="s">
        <v>18033</v>
      </c>
      <c r="E9190" t="s">
        <v>26135</v>
      </c>
      <c r="F9190" t="s">
        <v>31574</v>
      </c>
      <c r="G9190" t="s">
        <v>31582</v>
      </c>
      <c r="H9190" t="s">
        <v>31591</v>
      </c>
      <c r="I9190" t="s">
        <v>8822</v>
      </c>
      <c r="J9190" t="s">
        <v>37510</v>
      </c>
      <c r="K9190" t="s">
        <v>41297</v>
      </c>
      <c r="M9190" t="s">
        <v>43276</v>
      </c>
      <c r="N9190" t="s">
        <v>45095</v>
      </c>
      <c r="O9190" t="s">
        <v>45096</v>
      </c>
      <c r="P9190">
        <v>0</v>
      </c>
      <c r="Q9190">
        <v>1</v>
      </c>
      <c r="R9190" t="s">
        <v>45104</v>
      </c>
      <c r="S9190" t="s">
        <v>45304</v>
      </c>
      <c r="T9190" t="s">
        <v>47010</v>
      </c>
      <c r="U9190" t="s">
        <v>49667</v>
      </c>
      <c r="V9190" t="s">
        <v>59888</v>
      </c>
      <c r="W9190" t="s">
        <v>43276</v>
      </c>
      <c r="X9190" t="s">
        <v>45105</v>
      </c>
    </row>
    <row r="9191" spans="1:24">
      <c r="A9191">
        <f>HYPERLINK("https://www.philgeps.gov.ph/GEPSNONPILOT/Tender/SplashBidNoticeAbstractUI.aspx?menuIndex=3&amp;refID=7034904&amp;Result=3","7034904")</f>
        <v>0</v>
      </c>
      <c r="B9191" t="s">
        <v>265</v>
      </c>
      <c r="C9191" t="s">
        <v>11950</v>
      </c>
      <c r="D9191" t="s">
        <v>18098</v>
      </c>
      <c r="E9191" t="s">
        <v>26136</v>
      </c>
      <c r="F9191" t="s">
        <v>31574</v>
      </c>
      <c r="G9191" t="s">
        <v>31583</v>
      </c>
      <c r="H9191" t="s">
        <v>31590</v>
      </c>
      <c r="I9191" t="s">
        <v>6800</v>
      </c>
      <c r="J9191" t="s">
        <v>37511</v>
      </c>
      <c r="K9191" t="s">
        <v>41184</v>
      </c>
      <c r="M9191" t="s">
        <v>41751</v>
      </c>
      <c r="N9191" t="s">
        <v>45095</v>
      </c>
      <c r="O9191" t="s">
        <v>45096</v>
      </c>
      <c r="P9191">
        <v>0</v>
      </c>
      <c r="Q9191">
        <v>1</v>
      </c>
      <c r="R9191" t="s">
        <v>45104</v>
      </c>
      <c r="S9191" t="s">
        <v>45304</v>
      </c>
      <c r="T9191" t="s">
        <v>46969</v>
      </c>
      <c r="U9191" t="s">
        <v>55086</v>
      </c>
      <c r="W9191" t="s">
        <v>41751</v>
      </c>
      <c r="X9191" t="s">
        <v>45105</v>
      </c>
    </row>
    <row r="9192" spans="1:24">
      <c r="A9192">
        <f>HYPERLINK("https://www.philgeps.gov.ph/GEPSNONPILOT/Tender/SplashBidNoticeAbstractUI.aspx?menuIndex=3&amp;refID=7034906&amp;Result=3","7034906")</f>
        <v>0</v>
      </c>
      <c r="B9192" t="s">
        <v>1971</v>
      </c>
      <c r="C9192" t="s">
        <v>11951</v>
      </c>
      <c r="D9192" t="s">
        <v>18027</v>
      </c>
      <c r="E9192" t="s">
        <v>26137</v>
      </c>
      <c r="F9192" t="s">
        <v>31574</v>
      </c>
      <c r="G9192" t="s">
        <v>31582</v>
      </c>
      <c r="H9192" t="s">
        <v>31591</v>
      </c>
      <c r="I9192" t="s">
        <v>8822</v>
      </c>
      <c r="J9192" t="s">
        <v>37512</v>
      </c>
      <c r="K9192" t="s">
        <v>41381</v>
      </c>
      <c r="M9192" t="s">
        <v>43628</v>
      </c>
      <c r="N9192" t="s">
        <v>45095</v>
      </c>
      <c r="O9192" t="s">
        <v>45096</v>
      </c>
      <c r="P9192">
        <v>0</v>
      </c>
      <c r="Q9192">
        <v>0</v>
      </c>
      <c r="R9192" t="s">
        <v>45104</v>
      </c>
      <c r="S9192" t="s">
        <v>45304</v>
      </c>
      <c r="T9192" t="s">
        <v>46988</v>
      </c>
      <c r="U9192" t="s">
        <v>55087</v>
      </c>
      <c r="W9192" t="s">
        <v>43628</v>
      </c>
      <c r="X9192" t="s">
        <v>45105</v>
      </c>
    </row>
    <row r="9193" spans="1:24">
      <c r="A9193">
        <f>HYPERLINK("https://www.philgeps.gov.ph/GEPSNONPILOT/Tender/SplashBidNoticeAbstractUI.aspx?menuIndex=3&amp;refID=7034875&amp;Result=3","7034875")</f>
        <v>0</v>
      </c>
      <c r="B9193" t="s">
        <v>1554</v>
      </c>
      <c r="C9193" t="s">
        <v>11952</v>
      </c>
      <c r="D9193" t="s">
        <v>18056</v>
      </c>
      <c r="E9193" t="s">
        <v>26138</v>
      </c>
      <c r="F9193" t="s">
        <v>31574</v>
      </c>
      <c r="G9193" t="s">
        <v>31581</v>
      </c>
      <c r="H9193" t="s">
        <v>31591</v>
      </c>
      <c r="I9193" t="s">
        <v>8822</v>
      </c>
      <c r="J9193" t="s">
        <v>37513</v>
      </c>
      <c r="K9193" t="s">
        <v>41217</v>
      </c>
      <c r="M9193" t="s">
        <v>43153</v>
      </c>
      <c r="N9193" t="s">
        <v>45095</v>
      </c>
      <c r="O9193" t="s">
        <v>45096</v>
      </c>
      <c r="P9193">
        <v>0</v>
      </c>
      <c r="Q9193">
        <v>0</v>
      </c>
      <c r="R9193" t="s">
        <v>45104</v>
      </c>
      <c r="S9193" t="s">
        <v>45304</v>
      </c>
      <c r="T9193" t="s">
        <v>47159</v>
      </c>
      <c r="U9193" t="s">
        <v>55088</v>
      </c>
      <c r="W9193" t="s">
        <v>43153</v>
      </c>
      <c r="X9193" t="s">
        <v>45105</v>
      </c>
    </row>
    <row r="9194" spans="1:24">
      <c r="A9194">
        <f>HYPERLINK("https://www.philgeps.gov.ph/GEPSNONPILOT/Tender/SplashBidNoticeAbstractUI.aspx?menuIndex=3&amp;refID=7034903&amp;Result=3","7034903")</f>
        <v>0</v>
      </c>
      <c r="B9194" t="s">
        <v>2541</v>
      </c>
      <c r="C9194" t="s">
        <v>11953</v>
      </c>
      <c r="D9194" t="s">
        <v>18075</v>
      </c>
      <c r="E9194" t="s">
        <v>26139</v>
      </c>
      <c r="F9194" t="s">
        <v>31574</v>
      </c>
      <c r="G9194" t="s">
        <v>31582</v>
      </c>
      <c r="H9194" t="s">
        <v>31591</v>
      </c>
      <c r="I9194" t="s">
        <v>8822</v>
      </c>
      <c r="J9194" t="s">
        <v>37514</v>
      </c>
      <c r="K9194" t="s">
        <v>41288</v>
      </c>
      <c r="M9194" t="s">
        <v>44278</v>
      </c>
      <c r="N9194" t="s">
        <v>45095</v>
      </c>
      <c r="O9194" t="s">
        <v>45096</v>
      </c>
      <c r="P9194">
        <v>0</v>
      </c>
      <c r="Q9194">
        <v>0</v>
      </c>
      <c r="R9194" t="s">
        <v>45104</v>
      </c>
      <c r="S9194" t="s">
        <v>45304</v>
      </c>
      <c r="T9194" t="s">
        <v>47154</v>
      </c>
      <c r="U9194" t="s">
        <v>55089</v>
      </c>
      <c r="W9194" t="s">
        <v>44278</v>
      </c>
      <c r="X9194" t="s">
        <v>45105</v>
      </c>
    </row>
    <row r="9195" spans="1:24">
      <c r="A9195">
        <f>HYPERLINK("https://www.philgeps.gov.ph/GEPSNONPILOT/Tender/SplashBidNoticeAbstractUI.aspx?menuIndex=3&amp;refID=7034871&amp;Result=3","7034871")</f>
        <v>0</v>
      </c>
      <c r="B9195" t="s">
        <v>38</v>
      </c>
      <c r="C9195" t="s">
        <v>11954</v>
      </c>
      <c r="D9195" t="s">
        <v>18033</v>
      </c>
      <c r="E9195" t="s">
        <v>26140</v>
      </c>
      <c r="F9195" t="s">
        <v>31574</v>
      </c>
      <c r="G9195" t="s">
        <v>31582</v>
      </c>
      <c r="H9195" t="s">
        <v>31591</v>
      </c>
      <c r="I9195" t="s">
        <v>8822</v>
      </c>
      <c r="J9195" t="s">
        <v>37315</v>
      </c>
      <c r="K9195" t="s">
        <v>41209</v>
      </c>
      <c r="M9195" t="s">
        <v>43276</v>
      </c>
      <c r="N9195" t="s">
        <v>45095</v>
      </c>
      <c r="O9195" t="s">
        <v>45096</v>
      </c>
      <c r="P9195">
        <v>0</v>
      </c>
      <c r="Q9195">
        <v>0</v>
      </c>
      <c r="R9195" t="s">
        <v>45104</v>
      </c>
      <c r="S9195" t="s">
        <v>45304</v>
      </c>
      <c r="T9195" t="s">
        <v>47010</v>
      </c>
      <c r="U9195" t="s">
        <v>49667</v>
      </c>
      <c r="W9195" t="s">
        <v>43276</v>
      </c>
      <c r="X9195" t="s">
        <v>45105</v>
      </c>
    </row>
    <row r="9196" spans="1:24">
      <c r="A9196">
        <f>HYPERLINK("https://www.philgeps.gov.ph/GEPSNONPILOT/Tender/SplashBidNoticeAbstractUI.aspx?menuIndex=3&amp;refID=7034897&amp;Result=3","7034897")</f>
        <v>0</v>
      </c>
      <c r="B9196" t="s">
        <v>951</v>
      </c>
      <c r="C9196" t="s">
        <v>11955</v>
      </c>
      <c r="D9196" t="s">
        <v>18074</v>
      </c>
      <c r="E9196" t="s">
        <v>26141</v>
      </c>
      <c r="F9196" t="s">
        <v>31574</v>
      </c>
      <c r="G9196" t="s">
        <v>31582</v>
      </c>
      <c r="H9196" t="s">
        <v>31590</v>
      </c>
      <c r="I9196" t="s">
        <v>4046</v>
      </c>
      <c r="J9196" t="s">
        <v>37515</v>
      </c>
      <c r="K9196" t="s">
        <v>41186</v>
      </c>
      <c r="M9196" t="s">
        <v>42478</v>
      </c>
      <c r="N9196" t="s">
        <v>45095</v>
      </c>
      <c r="O9196" t="s">
        <v>45096</v>
      </c>
      <c r="P9196">
        <v>0</v>
      </c>
      <c r="Q9196">
        <v>0</v>
      </c>
      <c r="R9196" t="s">
        <v>45104</v>
      </c>
      <c r="S9196" t="s">
        <v>45304</v>
      </c>
      <c r="T9196" t="s">
        <v>47158</v>
      </c>
      <c r="U9196" t="s">
        <v>55090</v>
      </c>
      <c r="V9196" t="s">
        <v>60083</v>
      </c>
      <c r="W9196" t="s">
        <v>42478</v>
      </c>
      <c r="X9196" t="s">
        <v>45105</v>
      </c>
    </row>
    <row r="9197" spans="1:24">
      <c r="A9197">
        <f>HYPERLINK("https://www.philgeps.gov.ph/GEPSNONPILOT/Tender/SplashBidNoticeAbstractUI.aspx?menuIndex=3&amp;refID=7034874&amp;Result=3","7034874")</f>
        <v>0</v>
      </c>
      <c r="B9197" t="s">
        <v>2542</v>
      </c>
      <c r="C9197" t="s">
        <v>11956</v>
      </c>
      <c r="E9197" t="s">
        <v>26142</v>
      </c>
      <c r="F9197" t="s">
        <v>31574</v>
      </c>
      <c r="G9197" t="s">
        <v>31587</v>
      </c>
      <c r="H9197" t="s">
        <v>31593</v>
      </c>
      <c r="I9197" t="s">
        <v>31593</v>
      </c>
      <c r="J9197" t="s">
        <v>37516</v>
      </c>
      <c r="K9197" t="s">
        <v>41184</v>
      </c>
      <c r="M9197" t="s">
        <v>44279</v>
      </c>
      <c r="N9197" t="s">
        <v>45095</v>
      </c>
      <c r="O9197" t="s">
        <v>45096</v>
      </c>
      <c r="P9197">
        <v>0</v>
      </c>
      <c r="Q9197">
        <v>4</v>
      </c>
      <c r="R9197" t="s">
        <v>45104</v>
      </c>
      <c r="S9197" t="s">
        <v>45304</v>
      </c>
      <c r="T9197" t="s">
        <v>47159</v>
      </c>
      <c r="U9197" t="s">
        <v>55091</v>
      </c>
      <c r="W9197" t="s">
        <v>44279</v>
      </c>
      <c r="X9197" t="s">
        <v>45105</v>
      </c>
    </row>
    <row r="9198" spans="1:24">
      <c r="A9198">
        <f>HYPERLINK("https://www.philgeps.gov.ph/GEPSNONPILOT/Tender/SplashBidNoticeAbstractUI.aspx?menuIndex=3&amp;refID=7034908&amp;Result=3","7034908")</f>
        <v>0</v>
      </c>
      <c r="B9198" t="s">
        <v>1978</v>
      </c>
      <c r="C9198" t="s">
        <v>11957</v>
      </c>
      <c r="D9198" t="s">
        <v>18079</v>
      </c>
      <c r="E9198" t="s">
        <v>26143</v>
      </c>
      <c r="F9198" t="s">
        <v>31574</v>
      </c>
      <c r="G9198" t="s">
        <v>31582</v>
      </c>
      <c r="H9198" t="s">
        <v>31590</v>
      </c>
      <c r="I9198" t="s">
        <v>14544</v>
      </c>
      <c r="J9198" t="s">
        <v>37517</v>
      </c>
      <c r="K9198" t="s">
        <v>41190</v>
      </c>
      <c r="M9198" t="s">
        <v>43635</v>
      </c>
      <c r="N9198" t="s">
        <v>45095</v>
      </c>
      <c r="O9198" t="s">
        <v>45096</v>
      </c>
      <c r="P9198">
        <v>0</v>
      </c>
      <c r="Q9198">
        <v>2</v>
      </c>
      <c r="R9198" t="s">
        <v>45104</v>
      </c>
      <c r="S9198" t="s">
        <v>45304</v>
      </c>
      <c r="T9198" t="s">
        <v>47000</v>
      </c>
      <c r="U9198" t="s">
        <v>55092</v>
      </c>
      <c r="W9198" t="s">
        <v>43635</v>
      </c>
      <c r="X9198" t="s">
        <v>45105</v>
      </c>
    </row>
    <row r="9199" spans="1:24">
      <c r="A9199">
        <f>HYPERLINK("https://www.philgeps.gov.ph/GEPSNONPILOT/Tender/SplashBidNoticeAbstractUI.aspx?menuIndex=3&amp;refID=7034894&amp;Result=3","7034894")</f>
        <v>0</v>
      </c>
      <c r="B9199" t="s">
        <v>2541</v>
      </c>
      <c r="C9199" t="s">
        <v>11958</v>
      </c>
      <c r="D9199" t="s">
        <v>18075</v>
      </c>
      <c r="E9199" t="s">
        <v>26144</v>
      </c>
      <c r="F9199" t="s">
        <v>31574</v>
      </c>
      <c r="G9199" t="s">
        <v>31582</v>
      </c>
      <c r="H9199" t="s">
        <v>31591</v>
      </c>
      <c r="I9199" t="s">
        <v>8822</v>
      </c>
      <c r="J9199" t="s">
        <v>37518</v>
      </c>
      <c r="K9199" t="s">
        <v>41315</v>
      </c>
      <c r="M9199" t="s">
        <v>44278</v>
      </c>
      <c r="N9199" t="s">
        <v>45095</v>
      </c>
      <c r="O9199" t="s">
        <v>45096</v>
      </c>
      <c r="P9199">
        <v>0</v>
      </c>
      <c r="Q9199">
        <v>1</v>
      </c>
      <c r="R9199" t="s">
        <v>45104</v>
      </c>
      <c r="S9199" t="s">
        <v>45304</v>
      </c>
      <c r="T9199" t="s">
        <v>47010</v>
      </c>
      <c r="U9199" t="s">
        <v>55093</v>
      </c>
      <c r="W9199" t="s">
        <v>44278</v>
      </c>
      <c r="X9199" t="s">
        <v>45105</v>
      </c>
    </row>
    <row r="9200" spans="1:24">
      <c r="A9200">
        <f>HYPERLINK("https://www.philgeps.gov.ph/GEPSNONPILOT/Tender/SplashBidNoticeAbstractUI.aspx?menuIndex=3&amp;refID=7034910&amp;Result=3","7034910")</f>
        <v>0</v>
      </c>
      <c r="B9200" t="s">
        <v>2541</v>
      </c>
      <c r="C9200" t="s">
        <v>11959</v>
      </c>
      <c r="D9200" t="s">
        <v>18075</v>
      </c>
      <c r="E9200" t="s">
        <v>21452</v>
      </c>
      <c r="F9200" t="s">
        <v>31574</v>
      </c>
      <c r="G9200" t="s">
        <v>31582</v>
      </c>
      <c r="H9200" t="s">
        <v>31591</v>
      </c>
      <c r="I9200" t="s">
        <v>8822</v>
      </c>
      <c r="J9200" t="s">
        <v>37519</v>
      </c>
      <c r="K9200" t="s">
        <v>41241</v>
      </c>
      <c r="M9200" t="s">
        <v>44278</v>
      </c>
      <c r="N9200" t="s">
        <v>45095</v>
      </c>
      <c r="O9200" t="s">
        <v>45096</v>
      </c>
      <c r="P9200">
        <v>0</v>
      </c>
      <c r="Q9200">
        <v>0</v>
      </c>
      <c r="R9200" t="s">
        <v>45104</v>
      </c>
      <c r="S9200" t="s">
        <v>45304</v>
      </c>
      <c r="T9200" t="s">
        <v>47154</v>
      </c>
      <c r="U9200" t="s">
        <v>55094</v>
      </c>
      <c r="W9200" t="s">
        <v>44278</v>
      </c>
      <c r="X9200" t="s">
        <v>45105</v>
      </c>
    </row>
    <row r="9201" spans="1:24">
      <c r="A9201">
        <f>HYPERLINK("https://www.philgeps.gov.ph/GEPSNONPILOT/Tender/SplashBidNoticeAbstractUI.aspx?menuIndex=3&amp;refID=7034889&amp;Result=3","7034889")</f>
        <v>0</v>
      </c>
      <c r="B9201" t="s">
        <v>1299</v>
      </c>
      <c r="C9201" t="s">
        <v>11960</v>
      </c>
      <c r="D9201" t="s">
        <v>18076</v>
      </c>
      <c r="E9201" t="s">
        <v>26145</v>
      </c>
      <c r="F9201" t="s">
        <v>31574</v>
      </c>
      <c r="G9201" t="s">
        <v>31582</v>
      </c>
      <c r="H9201" t="s">
        <v>31590</v>
      </c>
      <c r="I9201" t="s">
        <v>31600</v>
      </c>
      <c r="J9201" t="s">
        <v>37520</v>
      </c>
      <c r="K9201" t="s">
        <v>41185</v>
      </c>
      <c r="M9201" t="s">
        <v>42869</v>
      </c>
      <c r="N9201" t="s">
        <v>45095</v>
      </c>
      <c r="O9201" t="s">
        <v>45096</v>
      </c>
      <c r="P9201">
        <v>0</v>
      </c>
      <c r="Q9201">
        <v>0</v>
      </c>
      <c r="R9201" t="s">
        <v>45104</v>
      </c>
      <c r="S9201" t="s">
        <v>45304</v>
      </c>
      <c r="T9201" t="s">
        <v>47265</v>
      </c>
      <c r="U9201" t="s">
        <v>55095</v>
      </c>
      <c r="W9201" t="s">
        <v>42869</v>
      </c>
      <c r="X9201" t="s">
        <v>45105</v>
      </c>
    </row>
    <row r="9202" spans="1:24">
      <c r="A9202">
        <f>HYPERLINK("https://www.philgeps.gov.ph/GEPSNONPILOT/Tender/SplashBidNoticeAbstractUI.aspx?menuIndex=3&amp;refID=7034890&amp;Result=3","7034890")</f>
        <v>0</v>
      </c>
      <c r="B9202" t="s">
        <v>795</v>
      </c>
      <c r="C9202" t="s">
        <v>11961</v>
      </c>
      <c r="D9202" t="s">
        <v>18033</v>
      </c>
      <c r="E9202" t="s">
        <v>26146</v>
      </c>
      <c r="F9202" t="s">
        <v>31574</v>
      </c>
      <c r="G9202" t="s">
        <v>31582</v>
      </c>
      <c r="H9202" t="s">
        <v>31590</v>
      </c>
      <c r="I9202" t="s">
        <v>31605</v>
      </c>
      <c r="J9202" t="s">
        <v>37521</v>
      </c>
      <c r="K9202" t="s">
        <v>41184</v>
      </c>
      <c r="M9202" t="s">
        <v>42309</v>
      </c>
      <c r="N9202" t="s">
        <v>45095</v>
      </c>
      <c r="O9202" t="s">
        <v>45096</v>
      </c>
      <c r="P9202">
        <v>0</v>
      </c>
      <c r="Q9202">
        <v>6</v>
      </c>
      <c r="R9202" t="s">
        <v>45104</v>
      </c>
      <c r="S9202" t="s">
        <v>45304</v>
      </c>
      <c r="T9202" t="s">
        <v>47000</v>
      </c>
      <c r="U9202" t="s">
        <v>55096</v>
      </c>
      <c r="W9202" t="s">
        <v>42309</v>
      </c>
      <c r="X9202" t="s">
        <v>45105</v>
      </c>
    </row>
    <row r="9203" spans="1:24">
      <c r="A9203">
        <f>HYPERLINK("https://www.philgeps.gov.ph/GEPSNONPILOT/Tender/SplashBidNoticeAbstractUI.aspx?menuIndex=3&amp;refID=7034935&amp;Result=3","7034935")</f>
        <v>0</v>
      </c>
      <c r="B9203" t="s">
        <v>280</v>
      </c>
      <c r="C9203" t="s">
        <v>11962</v>
      </c>
      <c r="D9203" t="s">
        <v>18089</v>
      </c>
      <c r="E9203" t="s">
        <v>26147</v>
      </c>
      <c r="F9203" t="s">
        <v>31574</v>
      </c>
      <c r="G9203" t="s">
        <v>31582</v>
      </c>
      <c r="H9203" t="s">
        <v>31591</v>
      </c>
      <c r="I9203" t="s">
        <v>8822</v>
      </c>
      <c r="J9203" t="s">
        <v>32361</v>
      </c>
      <c r="K9203" t="s">
        <v>41192</v>
      </c>
      <c r="M9203" t="s">
        <v>41766</v>
      </c>
      <c r="N9203" t="s">
        <v>45095</v>
      </c>
      <c r="O9203" t="s">
        <v>45096</v>
      </c>
      <c r="P9203">
        <v>0</v>
      </c>
      <c r="Q9203">
        <v>0</v>
      </c>
      <c r="R9203" t="s">
        <v>45104</v>
      </c>
      <c r="S9203" t="s">
        <v>45304</v>
      </c>
      <c r="T9203" t="s">
        <v>46977</v>
      </c>
      <c r="U9203" t="s">
        <v>55097</v>
      </c>
      <c r="V9203" t="s">
        <v>60790</v>
      </c>
      <c r="W9203" t="s">
        <v>41766</v>
      </c>
      <c r="X9203" t="s">
        <v>45105</v>
      </c>
    </row>
    <row r="9204" spans="1:24">
      <c r="A9204">
        <f>HYPERLINK("https://www.philgeps.gov.ph/GEPSNONPILOT/Tender/SplashBidNoticeAbstractUI.aspx?menuIndex=3&amp;refID=7034919&amp;Result=3","7034919")</f>
        <v>0</v>
      </c>
      <c r="B9204" t="s">
        <v>2543</v>
      </c>
      <c r="C9204" t="s">
        <v>11963</v>
      </c>
      <c r="D9204" t="s">
        <v>18022</v>
      </c>
      <c r="E9204" t="s">
        <v>26148</v>
      </c>
      <c r="F9204" t="s">
        <v>31574</v>
      </c>
      <c r="G9204" t="s">
        <v>31581</v>
      </c>
      <c r="H9204" t="s">
        <v>31592</v>
      </c>
      <c r="I9204" t="s">
        <v>31638</v>
      </c>
      <c r="J9204" t="s">
        <v>35563</v>
      </c>
      <c r="K9204" t="s">
        <v>41193</v>
      </c>
      <c r="M9204" t="s">
        <v>44280</v>
      </c>
      <c r="N9204" t="s">
        <v>45095</v>
      </c>
      <c r="O9204" t="s">
        <v>45096</v>
      </c>
      <c r="P9204">
        <v>0</v>
      </c>
      <c r="Q9204">
        <v>4</v>
      </c>
      <c r="R9204" t="s">
        <v>45104</v>
      </c>
      <c r="S9204" t="s">
        <v>45304</v>
      </c>
      <c r="T9204" t="s">
        <v>47191</v>
      </c>
      <c r="U9204" t="s">
        <v>55098</v>
      </c>
      <c r="W9204" t="s">
        <v>44280</v>
      </c>
      <c r="X9204" t="s">
        <v>45105</v>
      </c>
    </row>
    <row r="9205" spans="1:24">
      <c r="A9205">
        <f>HYPERLINK("https://www.philgeps.gov.ph/GEPSNONPILOT/Tender/SplashBidNoticeAbstractUI.aspx?menuIndex=3&amp;refID=7034929&amp;Result=3","7034929")</f>
        <v>0</v>
      </c>
      <c r="B9205" t="s">
        <v>2541</v>
      </c>
      <c r="C9205" t="s">
        <v>11964</v>
      </c>
      <c r="D9205" t="s">
        <v>18075</v>
      </c>
      <c r="E9205" t="s">
        <v>26149</v>
      </c>
      <c r="F9205" t="s">
        <v>31574</v>
      </c>
      <c r="G9205" t="s">
        <v>31582</v>
      </c>
      <c r="H9205" t="s">
        <v>31591</v>
      </c>
      <c r="I9205" t="s">
        <v>8822</v>
      </c>
      <c r="J9205" t="s">
        <v>37522</v>
      </c>
      <c r="K9205" t="s">
        <v>41208</v>
      </c>
      <c r="M9205" t="s">
        <v>44278</v>
      </c>
      <c r="N9205" t="s">
        <v>45095</v>
      </c>
      <c r="O9205" t="s">
        <v>45096</v>
      </c>
      <c r="P9205">
        <v>0</v>
      </c>
      <c r="Q9205">
        <v>0</v>
      </c>
      <c r="R9205" t="s">
        <v>45104</v>
      </c>
      <c r="S9205" t="s">
        <v>45304</v>
      </c>
      <c r="T9205" t="s">
        <v>47154</v>
      </c>
      <c r="U9205" t="s">
        <v>55099</v>
      </c>
      <c r="W9205" t="s">
        <v>44278</v>
      </c>
      <c r="X9205" t="s">
        <v>45105</v>
      </c>
    </row>
    <row r="9206" spans="1:24">
      <c r="A9206">
        <f>HYPERLINK("https://www.philgeps.gov.ph/GEPSNONPILOT/Tender/SplashBidNoticeAbstractUI.aspx?menuIndex=3&amp;refID=7034924&amp;Result=3","7034924")</f>
        <v>0</v>
      </c>
      <c r="B9206" t="s">
        <v>2538</v>
      </c>
      <c r="C9206" t="s">
        <v>11965</v>
      </c>
      <c r="D9206" t="s">
        <v>18042</v>
      </c>
      <c r="E9206" t="s">
        <v>18386</v>
      </c>
      <c r="F9206" t="s">
        <v>31574</v>
      </c>
      <c r="G9206" t="s">
        <v>31582</v>
      </c>
      <c r="H9206" t="s">
        <v>31591</v>
      </c>
      <c r="I9206" t="s">
        <v>8822</v>
      </c>
      <c r="J9206" t="s">
        <v>33160</v>
      </c>
      <c r="K9206" t="s">
        <v>41198</v>
      </c>
      <c r="M9206" t="s">
        <v>44274</v>
      </c>
      <c r="N9206" t="s">
        <v>45095</v>
      </c>
      <c r="O9206" t="s">
        <v>45096</v>
      </c>
      <c r="P9206">
        <v>0</v>
      </c>
      <c r="Q9206">
        <v>12</v>
      </c>
      <c r="R9206" t="s">
        <v>45104</v>
      </c>
      <c r="S9206" t="s">
        <v>45304</v>
      </c>
      <c r="T9206" t="s">
        <v>47100</v>
      </c>
      <c r="U9206" t="s">
        <v>55100</v>
      </c>
      <c r="W9206" t="s">
        <v>44274</v>
      </c>
      <c r="X9206" t="s">
        <v>45105</v>
      </c>
    </row>
    <row r="9207" spans="1:24">
      <c r="A9207">
        <f>HYPERLINK("https://www.philgeps.gov.ph/GEPSNONPILOT/Tender/SplashBidNoticeAbstractUI.aspx?menuIndex=3&amp;refID=7034920&amp;Result=3","7034920")</f>
        <v>0</v>
      </c>
      <c r="B9207" t="s">
        <v>2544</v>
      </c>
      <c r="C9207" t="s">
        <v>11966</v>
      </c>
      <c r="D9207" t="s">
        <v>18088</v>
      </c>
      <c r="E9207" t="s">
        <v>26150</v>
      </c>
      <c r="F9207" t="s">
        <v>31574</v>
      </c>
      <c r="G9207" t="s">
        <v>31582</v>
      </c>
      <c r="H9207" t="s">
        <v>31590</v>
      </c>
      <c r="I9207" t="s">
        <v>31666</v>
      </c>
      <c r="J9207" t="s">
        <v>31741</v>
      </c>
      <c r="K9207" t="s">
        <v>41192</v>
      </c>
      <c r="M9207" t="s">
        <v>44281</v>
      </c>
      <c r="N9207" t="s">
        <v>45095</v>
      </c>
      <c r="O9207" t="s">
        <v>45096</v>
      </c>
      <c r="P9207">
        <v>0</v>
      </c>
      <c r="Q9207">
        <v>2</v>
      </c>
      <c r="R9207" t="s">
        <v>45104</v>
      </c>
      <c r="S9207" t="s">
        <v>45304</v>
      </c>
      <c r="T9207" t="s">
        <v>46932</v>
      </c>
      <c r="U9207" t="s">
        <v>55101</v>
      </c>
      <c r="W9207" t="s">
        <v>44281</v>
      </c>
      <c r="X9207" t="s">
        <v>45105</v>
      </c>
    </row>
    <row r="9208" spans="1:24">
      <c r="A9208">
        <f>HYPERLINK("https://www.philgeps.gov.ph/GEPSNONPILOT/Tender/SplashBidNoticeAbstractUI.aspx?menuIndex=3&amp;refID=7034930&amp;Result=3","7034930")</f>
        <v>0</v>
      </c>
      <c r="B9208" t="s">
        <v>2472</v>
      </c>
      <c r="C9208" t="s">
        <v>11967</v>
      </c>
      <c r="D9208" t="s">
        <v>18022</v>
      </c>
      <c r="E9208" t="s">
        <v>26151</v>
      </c>
      <c r="F9208" t="s">
        <v>31574</v>
      </c>
      <c r="G9208" t="s">
        <v>31582</v>
      </c>
      <c r="H9208" t="s">
        <v>31590</v>
      </c>
      <c r="I9208" t="s">
        <v>3487</v>
      </c>
      <c r="J9208" t="s">
        <v>31727</v>
      </c>
      <c r="K9208" t="s">
        <v>41193</v>
      </c>
      <c r="M9208" t="s">
        <v>44201</v>
      </c>
      <c r="N9208" t="s">
        <v>45095</v>
      </c>
      <c r="O9208" t="s">
        <v>45096</v>
      </c>
      <c r="P9208">
        <v>0</v>
      </c>
      <c r="Q9208">
        <v>1</v>
      </c>
      <c r="R9208" t="s">
        <v>45104</v>
      </c>
      <c r="S9208" t="s">
        <v>45304</v>
      </c>
      <c r="T9208" t="s">
        <v>47301</v>
      </c>
      <c r="U9208" t="s">
        <v>55102</v>
      </c>
      <c r="W9208" t="s">
        <v>44201</v>
      </c>
      <c r="X9208" t="s">
        <v>45105</v>
      </c>
    </row>
    <row r="9209" spans="1:24">
      <c r="A9209">
        <f>HYPERLINK("https://www.philgeps.gov.ph/GEPSNONPILOT/Tender/SplashBidNoticeAbstractUI.aspx?menuIndex=3&amp;refID=7034937&amp;Result=3","7034937")</f>
        <v>0</v>
      </c>
      <c r="B9209" t="s">
        <v>836</v>
      </c>
      <c r="C9209" t="s">
        <v>11968</v>
      </c>
      <c r="D9209" t="s">
        <v>18096</v>
      </c>
      <c r="E9209" t="s">
        <v>26152</v>
      </c>
      <c r="F9209" t="s">
        <v>31574</v>
      </c>
      <c r="G9209" t="s">
        <v>31582</v>
      </c>
      <c r="H9209" t="s">
        <v>31590</v>
      </c>
      <c r="I9209" t="s">
        <v>31620</v>
      </c>
      <c r="J9209" t="s">
        <v>37523</v>
      </c>
      <c r="K9209" t="s">
        <v>41184</v>
      </c>
      <c r="M9209" t="s">
        <v>42355</v>
      </c>
      <c r="N9209" t="s">
        <v>45095</v>
      </c>
      <c r="O9209" t="s">
        <v>45096</v>
      </c>
      <c r="P9209">
        <v>0</v>
      </c>
      <c r="Q9209">
        <v>1</v>
      </c>
      <c r="R9209" t="s">
        <v>45104</v>
      </c>
      <c r="S9209" t="s">
        <v>45304</v>
      </c>
      <c r="T9209" t="s">
        <v>47197</v>
      </c>
      <c r="U9209" t="s">
        <v>55103</v>
      </c>
      <c r="W9209" t="s">
        <v>61680</v>
      </c>
      <c r="X9209" t="s">
        <v>45105</v>
      </c>
    </row>
    <row r="9210" spans="1:24">
      <c r="A9210">
        <f>HYPERLINK("https://www.philgeps.gov.ph/GEPSNONPILOT/Tender/SplashBidNoticeAbstractUI.aspx?menuIndex=3&amp;refID=7034931&amp;Result=3","7034931")</f>
        <v>0</v>
      </c>
      <c r="B9210" t="s">
        <v>1971</v>
      </c>
      <c r="C9210" t="s">
        <v>11969</v>
      </c>
      <c r="D9210" t="s">
        <v>18027</v>
      </c>
      <c r="E9210" t="s">
        <v>26153</v>
      </c>
      <c r="F9210" t="s">
        <v>31574</v>
      </c>
      <c r="G9210" t="s">
        <v>31582</v>
      </c>
      <c r="H9210" t="s">
        <v>31591</v>
      </c>
      <c r="I9210" t="s">
        <v>8822</v>
      </c>
      <c r="J9210" t="s">
        <v>37524</v>
      </c>
      <c r="K9210" t="s">
        <v>41192</v>
      </c>
      <c r="M9210" t="s">
        <v>43628</v>
      </c>
      <c r="N9210" t="s">
        <v>45095</v>
      </c>
      <c r="O9210" t="s">
        <v>45096</v>
      </c>
      <c r="P9210">
        <v>0</v>
      </c>
      <c r="Q9210">
        <v>0</v>
      </c>
      <c r="R9210" t="s">
        <v>45104</v>
      </c>
      <c r="S9210" t="s">
        <v>45304</v>
      </c>
      <c r="T9210" t="s">
        <v>46988</v>
      </c>
      <c r="U9210" t="s">
        <v>55104</v>
      </c>
      <c r="W9210" t="s">
        <v>43628</v>
      </c>
      <c r="X9210" t="s">
        <v>45105</v>
      </c>
    </row>
    <row r="9211" spans="1:24">
      <c r="A9211">
        <f>HYPERLINK("https://www.philgeps.gov.ph/GEPSNONPILOT/Tender/SplashBidNoticeAbstractUI.aspx?menuIndex=3&amp;refID=7034951&amp;Result=3","7034951")</f>
        <v>0</v>
      </c>
      <c r="B9211" t="s">
        <v>836</v>
      </c>
      <c r="C9211" t="s">
        <v>11970</v>
      </c>
      <c r="D9211" t="s">
        <v>18096</v>
      </c>
      <c r="E9211" t="s">
        <v>26154</v>
      </c>
      <c r="F9211" t="s">
        <v>31574</v>
      </c>
      <c r="G9211" t="s">
        <v>31582</v>
      </c>
      <c r="H9211" t="s">
        <v>31590</v>
      </c>
      <c r="I9211" t="s">
        <v>6800</v>
      </c>
      <c r="J9211" t="s">
        <v>37525</v>
      </c>
      <c r="K9211" t="s">
        <v>41184</v>
      </c>
      <c r="M9211" t="s">
        <v>42355</v>
      </c>
      <c r="N9211" t="s">
        <v>45095</v>
      </c>
      <c r="O9211" t="s">
        <v>45096</v>
      </c>
      <c r="P9211">
        <v>0</v>
      </c>
      <c r="Q9211">
        <v>1</v>
      </c>
      <c r="R9211" t="s">
        <v>45104</v>
      </c>
      <c r="S9211" t="s">
        <v>45304</v>
      </c>
      <c r="T9211" t="s">
        <v>47197</v>
      </c>
      <c r="U9211" t="s">
        <v>55105</v>
      </c>
      <c r="W9211" t="s">
        <v>61680</v>
      </c>
      <c r="X9211" t="s">
        <v>45105</v>
      </c>
    </row>
    <row r="9212" spans="1:24">
      <c r="A9212">
        <f>HYPERLINK("https://www.philgeps.gov.ph/GEPSNONPILOT/Tender/SplashBidNoticeAbstractUI.aspx?menuIndex=3&amp;refID=7034945&amp;Result=3","7034945")</f>
        <v>0</v>
      </c>
      <c r="B9212" t="s">
        <v>1971</v>
      </c>
      <c r="C9212" t="s">
        <v>11971</v>
      </c>
      <c r="D9212" t="s">
        <v>18027</v>
      </c>
      <c r="E9212" t="s">
        <v>26155</v>
      </c>
      <c r="F9212" t="s">
        <v>31574</v>
      </c>
      <c r="G9212" t="s">
        <v>31582</v>
      </c>
      <c r="H9212" t="s">
        <v>31591</v>
      </c>
      <c r="I9212" t="s">
        <v>8822</v>
      </c>
      <c r="J9212" t="s">
        <v>37526</v>
      </c>
      <c r="K9212" t="s">
        <v>41192</v>
      </c>
      <c r="M9212" t="s">
        <v>43628</v>
      </c>
      <c r="N9212" t="s">
        <v>45095</v>
      </c>
      <c r="O9212" t="s">
        <v>45096</v>
      </c>
      <c r="P9212">
        <v>0</v>
      </c>
      <c r="Q9212">
        <v>0</v>
      </c>
      <c r="R9212" t="s">
        <v>45104</v>
      </c>
      <c r="S9212" t="s">
        <v>45304</v>
      </c>
      <c r="T9212" t="s">
        <v>46988</v>
      </c>
      <c r="U9212" t="s">
        <v>55106</v>
      </c>
      <c r="W9212" t="s">
        <v>43628</v>
      </c>
      <c r="X9212" t="s">
        <v>45105</v>
      </c>
    </row>
    <row r="9213" spans="1:24">
      <c r="A9213">
        <f>HYPERLINK("https://www.philgeps.gov.ph/GEPSNONPILOT/Tender/SplashBidNoticeAbstractUI.aspx?menuIndex=3&amp;refID=7034943&amp;Result=3","7034943")</f>
        <v>0</v>
      </c>
      <c r="B9213" t="s">
        <v>1586</v>
      </c>
      <c r="C9213" t="s">
        <v>11972</v>
      </c>
      <c r="E9213" t="s">
        <v>26156</v>
      </c>
      <c r="F9213" t="s">
        <v>31574</v>
      </c>
      <c r="G9213" t="s">
        <v>31581</v>
      </c>
      <c r="H9213" t="s">
        <v>31590</v>
      </c>
      <c r="I9213" t="s">
        <v>31595</v>
      </c>
      <c r="J9213" t="s">
        <v>32236</v>
      </c>
      <c r="K9213" t="s">
        <v>41184</v>
      </c>
      <c r="M9213" t="s">
        <v>43190</v>
      </c>
      <c r="N9213" t="s">
        <v>45095</v>
      </c>
      <c r="O9213" t="s">
        <v>45096</v>
      </c>
      <c r="P9213">
        <v>0</v>
      </c>
      <c r="Q9213">
        <v>20</v>
      </c>
      <c r="R9213" t="s">
        <v>45104</v>
      </c>
      <c r="S9213" t="s">
        <v>45304</v>
      </c>
      <c r="T9213" t="s">
        <v>47083</v>
      </c>
      <c r="U9213" t="s">
        <v>55107</v>
      </c>
      <c r="V9213" t="s">
        <v>60352</v>
      </c>
      <c r="W9213" t="s">
        <v>61710</v>
      </c>
      <c r="X9213" t="s">
        <v>45105</v>
      </c>
    </row>
    <row r="9214" spans="1:24">
      <c r="A9214">
        <f>HYPERLINK("https://www.philgeps.gov.ph/GEPSNONPILOT/Tender/SplashBidNoticeAbstractUI.aspx?menuIndex=3&amp;refID=7034927&amp;Result=3","7034927")</f>
        <v>0</v>
      </c>
      <c r="B9214" t="s">
        <v>836</v>
      </c>
      <c r="C9214" t="s">
        <v>11973</v>
      </c>
      <c r="D9214" t="s">
        <v>18096</v>
      </c>
      <c r="E9214" t="s">
        <v>26157</v>
      </c>
      <c r="F9214" t="s">
        <v>31574</v>
      </c>
      <c r="G9214" t="s">
        <v>31582</v>
      </c>
      <c r="H9214" t="s">
        <v>31590</v>
      </c>
      <c r="I9214" t="s">
        <v>31620</v>
      </c>
      <c r="J9214" t="s">
        <v>37527</v>
      </c>
      <c r="K9214" t="s">
        <v>41184</v>
      </c>
      <c r="M9214" t="s">
        <v>42355</v>
      </c>
      <c r="N9214" t="s">
        <v>45095</v>
      </c>
      <c r="O9214" t="s">
        <v>45096</v>
      </c>
      <c r="P9214">
        <v>0</v>
      </c>
      <c r="Q9214">
        <v>0</v>
      </c>
      <c r="R9214" t="s">
        <v>45104</v>
      </c>
      <c r="S9214" t="s">
        <v>45304</v>
      </c>
      <c r="T9214" t="s">
        <v>47197</v>
      </c>
      <c r="U9214" t="s">
        <v>55108</v>
      </c>
      <c r="W9214" t="s">
        <v>61680</v>
      </c>
      <c r="X9214" t="s">
        <v>45105</v>
      </c>
    </row>
    <row r="9215" spans="1:24">
      <c r="A9215">
        <f>HYPERLINK("https://www.philgeps.gov.ph/GEPSNONPILOT/Tender/SplashBidNoticeAbstractUI.aspx?menuIndex=3&amp;refID=7034948&amp;Result=3","7034948")</f>
        <v>0</v>
      </c>
      <c r="B9215" t="s">
        <v>2472</v>
      </c>
      <c r="C9215" t="s">
        <v>11974</v>
      </c>
      <c r="D9215" t="s">
        <v>18022</v>
      </c>
      <c r="E9215" t="s">
        <v>26158</v>
      </c>
      <c r="F9215" t="s">
        <v>31574</v>
      </c>
      <c r="G9215" t="s">
        <v>31582</v>
      </c>
      <c r="H9215" t="s">
        <v>31590</v>
      </c>
      <c r="I9215" t="s">
        <v>3487</v>
      </c>
      <c r="J9215" t="s">
        <v>31727</v>
      </c>
      <c r="K9215" t="s">
        <v>41193</v>
      </c>
      <c r="M9215" t="s">
        <v>44201</v>
      </c>
      <c r="N9215" t="s">
        <v>45095</v>
      </c>
      <c r="O9215" t="s">
        <v>45096</v>
      </c>
      <c r="P9215">
        <v>0</v>
      </c>
      <c r="Q9215">
        <v>0</v>
      </c>
      <c r="R9215" t="s">
        <v>45104</v>
      </c>
      <c r="S9215" t="s">
        <v>45304</v>
      </c>
      <c r="T9215" t="s">
        <v>47301</v>
      </c>
      <c r="U9215" t="s">
        <v>55109</v>
      </c>
      <c r="W9215" t="s">
        <v>44201</v>
      </c>
      <c r="X9215" t="s">
        <v>45105</v>
      </c>
    </row>
    <row r="9216" spans="1:24">
      <c r="A9216">
        <f>HYPERLINK("https://www.philgeps.gov.ph/GEPSNONPILOT/Tender/SplashBidNoticeAbstractUI.aspx?menuIndex=3&amp;refID=7034911&amp;Result=3","7034911")</f>
        <v>0</v>
      </c>
      <c r="B9216" t="s">
        <v>2545</v>
      </c>
      <c r="C9216" t="s">
        <v>11975</v>
      </c>
      <c r="D9216" t="s">
        <v>18070</v>
      </c>
      <c r="E9216" t="s">
        <v>18553</v>
      </c>
      <c r="F9216" t="s">
        <v>31574</v>
      </c>
      <c r="G9216" t="s">
        <v>31581</v>
      </c>
      <c r="H9216" t="s">
        <v>31590</v>
      </c>
      <c r="I9216" t="s">
        <v>31663</v>
      </c>
      <c r="J9216" t="s">
        <v>37528</v>
      </c>
      <c r="K9216" t="s">
        <v>41193</v>
      </c>
      <c r="M9216" t="s">
        <v>44282</v>
      </c>
      <c r="N9216" t="s">
        <v>45095</v>
      </c>
      <c r="O9216" t="s">
        <v>45096</v>
      </c>
      <c r="P9216">
        <v>0</v>
      </c>
      <c r="Q9216">
        <v>3</v>
      </c>
      <c r="R9216" t="s">
        <v>45104</v>
      </c>
      <c r="S9216" t="s">
        <v>45304</v>
      </c>
      <c r="T9216" t="s">
        <v>47158</v>
      </c>
      <c r="U9216" t="s">
        <v>55110</v>
      </c>
      <c r="V9216" t="s">
        <v>60791</v>
      </c>
      <c r="W9216" t="s">
        <v>44282</v>
      </c>
      <c r="X9216" t="s">
        <v>45105</v>
      </c>
    </row>
    <row r="9217" spans="1:24">
      <c r="A9217">
        <f>HYPERLINK("https://www.philgeps.gov.ph/GEPSNONPILOT/Tender/SplashBidNoticeAbstractUI.aspx?menuIndex=3&amp;refID=7034941&amp;Result=3","7034941")</f>
        <v>0</v>
      </c>
      <c r="B9217" t="s">
        <v>2538</v>
      </c>
      <c r="C9217" t="s">
        <v>11976</v>
      </c>
      <c r="D9217" t="s">
        <v>18064</v>
      </c>
      <c r="E9217" t="s">
        <v>26159</v>
      </c>
      <c r="F9217" t="s">
        <v>31574</v>
      </c>
      <c r="G9217" t="s">
        <v>31582</v>
      </c>
      <c r="H9217" t="s">
        <v>31591</v>
      </c>
      <c r="I9217" t="s">
        <v>8822</v>
      </c>
      <c r="J9217" t="s">
        <v>33160</v>
      </c>
      <c r="K9217" t="s">
        <v>41198</v>
      </c>
      <c r="M9217" t="s">
        <v>44274</v>
      </c>
      <c r="N9217" t="s">
        <v>45095</v>
      </c>
      <c r="O9217" t="s">
        <v>45096</v>
      </c>
      <c r="P9217">
        <v>0</v>
      </c>
      <c r="Q9217">
        <v>15</v>
      </c>
      <c r="R9217" t="s">
        <v>45104</v>
      </c>
      <c r="S9217" t="s">
        <v>45304</v>
      </c>
      <c r="T9217" t="s">
        <v>47100</v>
      </c>
      <c r="U9217" t="s">
        <v>55111</v>
      </c>
      <c r="W9217" t="s">
        <v>44274</v>
      </c>
      <c r="X9217" t="s">
        <v>45105</v>
      </c>
    </row>
    <row r="9218" spans="1:24">
      <c r="A9218">
        <f>HYPERLINK("https://www.philgeps.gov.ph/GEPSNONPILOT/Tender/SplashBidNoticeAbstractUI.aspx?menuIndex=3&amp;refID=7034955&amp;Result=3","7034955")</f>
        <v>0</v>
      </c>
      <c r="B9218" t="s">
        <v>2546</v>
      </c>
      <c r="C9218" t="s">
        <v>11977</v>
      </c>
      <c r="D9218" t="s">
        <v>18094</v>
      </c>
      <c r="E9218" t="s">
        <v>26160</v>
      </c>
      <c r="F9218" t="s">
        <v>31574</v>
      </c>
      <c r="G9218" t="s">
        <v>31581</v>
      </c>
      <c r="H9218" t="s">
        <v>31590</v>
      </c>
      <c r="I9218" t="s">
        <v>4046</v>
      </c>
      <c r="J9218" t="s">
        <v>37529</v>
      </c>
      <c r="K9218" t="s">
        <v>41203</v>
      </c>
      <c r="M9218" t="s">
        <v>44283</v>
      </c>
      <c r="N9218" t="s">
        <v>45095</v>
      </c>
      <c r="O9218" t="s">
        <v>45096</v>
      </c>
      <c r="P9218">
        <v>0</v>
      </c>
      <c r="Q9218">
        <v>0</v>
      </c>
      <c r="R9218" t="s">
        <v>45104</v>
      </c>
      <c r="S9218" t="s">
        <v>45304</v>
      </c>
      <c r="T9218" t="s">
        <v>47159</v>
      </c>
      <c r="U9218" t="s">
        <v>55112</v>
      </c>
      <c r="W9218" t="s">
        <v>44283</v>
      </c>
      <c r="X9218" t="s">
        <v>45105</v>
      </c>
    </row>
    <row r="9219" spans="1:24">
      <c r="A9219">
        <f>HYPERLINK("https://www.philgeps.gov.ph/GEPSNONPILOT/Tender/SplashBidNoticeAbstractUI.aspx?menuIndex=3&amp;refID=7034944&amp;Result=3","7034944")</f>
        <v>0</v>
      </c>
      <c r="B9219" t="s">
        <v>836</v>
      </c>
      <c r="C9219" t="s">
        <v>11978</v>
      </c>
      <c r="D9219" t="s">
        <v>18096</v>
      </c>
      <c r="E9219" t="s">
        <v>26161</v>
      </c>
      <c r="F9219" t="s">
        <v>31574</v>
      </c>
      <c r="G9219" t="s">
        <v>31582</v>
      </c>
      <c r="H9219" t="s">
        <v>31590</v>
      </c>
      <c r="I9219" t="s">
        <v>31620</v>
      </c>
      <c r="J9219" t="s">
        <v>37530</v>
      </c>
      <c r="K9219" t="s">
        <v>41184</v>
      </c>
      <c r="M9219" t="s">
        <v>42355</v>
      </c>
      <c r="N9219" t="s">
        <v>45095</v>
      </c>
      <c r="O9219" t="s">
        <v>45096</v>
      </c>
      <c r="P9219">
        <v>0</v>
      </c>
      <c r="Q9219">
        <v>1</v>
      </c>
      <c r="R9219" t="s">
        <v>45104</v>
      </c>
      <c r="S9219" t="s">
        <v>45304</v>
      </c>
      <c r="T9219" t="s">
        <v>47197</v>
      </c>
      <c r="U9219" t="s">
        <v>55113</v>
      </c>
      <c r="W9219" t="s">
        <v>61680</v>
      </c>
      <c r="X9219" t="s">
        <v>45105</v>
      </c>
    </row>
    <row r="9220" spans="1:24">
      <c r="A9220">
        <f>HYPERLINK("https://www.philgeps.gov.ph/GEPSNONPILOT/Tender/SplashBidNoticeAbstractUI.aspx?menuIndex=3&amp;refID=7034917&amp;Result=3","7034917")</f>
        <v>0</v>
      </c>
      <c r="B9220" t="s">
        <v>2541</v>
      </c>
      <c r="C9220" t="s">
        <v>11979</v>
      </c>
      <c r="D9220" t="s">
        <v>18075</v>
      </c>
      <c r="E9220" t="s">
        <v>26162</v>
      </c>
      <c r="F9220" t="s">
        <v>31574</v>
      </c>
      <c r="G9220" t="s">
        <v>31582</v>
      </c>
      <c r="H9220" t="s">
        <v>31591</v>
      </c>
      <c r="I9220" t="s">
        <v>8822</v>
      </c>
      <c r="J9220" t="s">
        <v>37531</v>
      </c>
      <c r="K9220" t="s">
        <v>41217</v>
      </c>
      <c r="M9220" t="s">
        <v>44278</v>
      </c>
      <c r="N9220" t="s">
        <v>45095</v>
      </c>
      <c r="O9220" t="s">
        <v>45096</v>
      </c>
      <c r="P9220">
        <v>0</v>
      </c>
      <c r="Q9220">
        <v>0</v>
      </c>
      <c r="R9220" t="s">
        <v>45104</v>
      </c>
      <c r="S9220" t="s">
        <v>45304</v>
      </c>
      <c r="T9220" t="s">
        <v>47154</v>
      </c>
      <c r="U9220" t="s">
        <v>55114</v>
      </c>
      <c r="W9220" t="s">
        <v>44278</v>
      </c>
      <c r="X9220" t="s">
        <v>45105</v>
      </c>
    </row>
    <row r="9221" spans="1:24">
      <c r="A9221">
        <f>HYPERLINK("https://www.philgeps.gov.ph/GEPSNONPILOT/Tender/SplashBidNoticeAbstractUI.aspx?menuIndex=3&amp;refID=7034959&amp;Result=3","7034959")</f>
        <v>0</v>
      </c>
      <c r="B9221" t="s">
        <v>836</v>
      </c>
      <c r="C9221" t="s">
        <v>5223</v>
      </c>
      <c r="D9221" t="s">
        <v>18096</v>
      </c>
      <c r="E9221" t="s">
        <v>20030</v>
      </c>
      <c r="F9221" t="s">
        <v>31574</v>
      </c>
      <c r="G9221" t="s">
        <v>31582</v>
      </c>
      <c r="H9221" t="s">
        <v>31590</v>
      </c>
      <c r="I9221" t="s">
        <v>6800</v>
      </c>
      <c r="J9221" t="s">
        <v>37532</v>
      </c>
      <c r="K9221" t="s">
        <v>41184</v>
      </c>
      <c r="M9221" t="s">
        <v>42355</v>
      </c>
      <c r="N9221" t="s">
        <v>45095</v>
      </c>
      <c r="O9221" t="s">
        <v>45096</v>
      </c>
      <c r="P9221">
        <v>0</v>
      </c>
      <c r="Q9221">
        <v>3</v>
      </c>
      <c r="R9221" t="s">
        <v>45104</v>
      </c>
      <c r="S9221" t="s">
        <v>45304</v>
      </c>
      <c r="T9221" t="s">
        <v>47197</v>
      </c>
      <c r="U9221" t="s">
        <v>49270</v>
      </c>
      <c r="W9221" t="s">
        <v>61680</v>
      </c>
      <c r="X9221" t="s">
        <v>45105</v>
      </c>
    </row>
    <row r="9222" spans="1:24">
      <c r="A9222">
        <f>HYPERLINK("https://www.philgeps.gov.ph/GEPSNONPILOT/Tender/SplashBidNoticeAbstractUI.aspx?menuIndex=3&amp;refID=7034966&amp;Result=3","7034966")</f>
        <v>0</v>
      </c>
      <c r="B9222" t="s">
        <v>2063</v>
      </c>
      <c r="C9222" t="s">
        <v>11980</v>
      </c>
      <c r="E9222" t="s">
        <v>26163</v>
      </c>
      <c r="F9222" t="s">
        <v>31574</v>
      </c>
      <c r="G9222" t="s">
        <v>31582</v>
      </c>
      <c r="H9222" t="s">
        <v>31590</v>
      </c>
      <c r="I9222" t="s">
        <v>3901</v>
      </c>
      <c r="J9222" t="s">
        <v>37533</v>
      </c>
      <c r="K9222" t="s">
        <v>41184</v>
      </c>
      <c r="M9222" t="s">
        <v>43737</v>
      </c>
      <c r="N9222" t="s">
        <v>45095</v>
      </c>
      <c r="O9222" t="s">
        <v>45096</v>
      </c>
      <c r="P9222">
        <v>0</v>
      </c>
      <c r="Q9222">
        <v>1</v>
      </c>
      <c r="R9222" t="s">
        <v>45104</v>
      </c>
      <c r="S9222" t="s">
        <v>45304</v>
      </c>
      <c r="T9222" t="s">
        <v>47305</v>
      </c>
      <c r="U9222" t="s">
        <v>53186</v>
      </c>
      <c r="W9222" t="s">
        <v>43737</v>
      </c>
      <c r="X9222" t="s">
        <v>45105</v>
      </c>
    </row>
    <row r="9223" spans="1:24">
      <c r="A9223">
        <f>HYPERLINK("https://www.philgeps.gov.ph/GEPSNONPILOT/Tender/SplashBidNoticeAbstractUI.aspx?menuIndex=3&amp;refID=7034915&amp;Result=3","7034915")</f>
        <v>0</v>
      </c>
      <c r="B9223" t="s">
        <v>2491</v>
      </c>
      <c r="C9223" t="s">
        <v>11981</v>
      </c>
      <c r="D9223" t="s">
        <v>18030</v>
      </c>
      <c r="E9223" t="s">
        <v>20393</v>
      </c>
      <c r="F9223" t="s">
        <v>31574</v>
      </c>
      <c r="G9223" t="s">
        <v>31582</v>
      </c>
      <c r="H9223" t="s">
        <v>31591</v>
      </c>
      <c r="I9223" t="s">
        <v>8822</v>
      </c>
      <c r="J9223" t="s">
        <v>37534</v>
      </c>
      <c r="K9223" t="s">
        <v>41269</v>
      </c>
      <c r="M9223" t="s">
        <v>44222</v>
      </c>
      <c r="N9223" t="s">
        <v>45095</v>
      </c>
      <c r="O9223" t="s">
        <v>45096</v>
      </c>
      <c r="P9223">
        <v>0</v>
      </c>
      <c r="Q9223">
        <v>0</v>
      </c>
      <c r="R9223" t="s">
        <v>45104</v>
      </c>
      <c r="S9223" t="s">
        <v>45304</v>
      </c>
      <c r="T9223" t="s">
        <v>47162</v>
      </c>
      <c r="U9223" t="s">
        <v>55115</v>
      </c>
      <c r="W9223" t="s">
        <v>44222</v>
      </c>
      <c r="X9223" t="s">
        <v>45105</v>
      </c>
    </row>
    <row r="9224" spans="1:24">
      <c r="A9224">
        <f>HYPERLINK("https://www.philgeps.gov.ph/GEPSNONPILOT/Tender/SplashBidNoticeAbstractUI.aspx?menuIndex=3&amp;refID=7034958&amp;Result=3","7034958")</f>
        <v>0</v>
      </c>
      <c r="B9224" t="s">
        <v>2547</v>
      </c>
      <c r="C9224" t="s">
        <v>11982</v>
      </c>
      <c r="D9224" t="s">
        <v>18043</v>
      </c>
      <c r="E9224" t="s">
        <v>26164</v>
      </c>
      <c r="F9224" t="s">
        <v>31574</v>
      </c>
      <c r="G9224" t="s">
        <v>31582</v>
      </c>
      <c r="H9224" t="s">
        <v>31590</v>
      </c>
      <c r="I9224" t="s">
        <v>8258</v>
      </c>
      <c r="J9224" t="s">
        <v>37535</v>
      </c>
      <c r="K9224" t="s">
        <v>41186</v>
      </c>
      <c r="M9224" t="s">
        <v>44284</v>
      </c>
      <c r="N9224" t="s">
        <v>45095</v>
      </c>
      <c r="O9224" t="s">
        <v>45096</v>
      </c>
      <c r="P9224">
        <v>0</v>
      </c>
      <c r="Q9224">
        <v>4</v>
      </c>
      <c r="R9224" t="s">
        <v>45104</v>
      </c>
      <c r="S9224" t="s">
        <v>45304</v>
      </c>
      <c r="T9224" t="s">
        <v>46988</v>
      </c>
      <c r="U9224" t="s">
        <v>55116</v>
      </c>
      <c r="V9224" t="s">
        <v>60792</v>
      </c>
      <c r="W9224" t="s">
        <v>44284</v>
      </c>
      <c r="X9224" t="s">
        <v>45105</v>
      </c>
    </row>
    <row r="9225" spans="1:24">
      <c r="A9225">
        <f>HYPERLINK("https://www.philgeps.gov.ph/GEPSNONPILOT/Tender/SplashBidNoticeAbstractUI.aspx?menuIndex=3&amp;refID=7034999&amp;Result=3","7034999")</f>
        <v>0</v>
      </c>
      <c r="B9225" t="s">
        <v>1971</v>
      </c>
      <c r="C9225" t="s">
        <v>11983</v>
      </c>
      <c r="D9225" t="s">
        <v>18027</v>
      </c>
      <c r="E9225" t="s">
        <v>26165</v>
      </c>
      <c r="F9225" t="s">
        <v>31574</v>
      </c>
      <c r="G9225" t="s">
        <v>31582</v>
      </c>
      <c r="H9225" t="s">
        <v>31591</v>
      </c>
      <c r="I9225" t="s">
        <v>8822</v>
      </c>
      <c r="J9225" t="s">
        <v>37536</v>
      </c>
      <c r="K9225" t="s">
        <v>41244</v>
      </c>
      <c r="M9225" t="s">
        <v>43628</v>
      </c>
      <c r="N9225" t="s">
        <v>45095</v>
      </c>
      <c r="O9225" t="s">
        <v>45096</v>
      </c>
      <c r="P9225">
        <v>0</v>
      </c>
      <c r="Q9225">
        <v>0</v>
      </c>
      <c r="R9225" t="s">
        <v>45104</v>
      </c>
      <c r="S9225" t="s">
        <v>45304</v>
      </c>
      <c r="T9225" t="s">
        <v>46988</v>
      </c>
      <c r="U9225" t="s">
        <v>55117</v>
      </c>
      <c r="W9225" t="s">
        <v>43628</v>
      </c>
      <c r="X9225" t="s">
        <v>45105</v>
      </c>
    </row>
    <row r="9226" spans="1:24">
      <c r="A9226">
        <f>HYPERLINK("https://www.philgeps.gov.ph/GEPSNONPILOT/Tender/SplashBidNoticeAbstractUI.aspx?menuIndex=3&amp;refID=7034956&amp;Result=3","7034956")</f>
        <v>0</v>
      </c>
      <c r="B9226" t="s">
        <v>2548</v>
      </c>
      <c r="C9226" t="s">
        <v>11984</v>
      </c>
      <c r="D9226" t="s">
        <v>18066</v>
      </c>
      <c r="E9226" t="s">
        <v>26166</v>
      </c>
      <c r="F9226" t="s">
        <v>31574</v>
      </c>
      <c r="G9226" t="s">
        <v>31582</v>
      </c>
      <c r="H9226" t="s">
        <v>31591</v>
      </c>
      <c r="I9226" t="s">
        <v>8822</v>
      </c>
      <c r="J9226" t="s">
        <v>37537</v>
      </c>
      <c r="K9226" t="s">
        <v>41200</v>
      </c>
      <c r="M9226" t="s">
        <v>44285</v>
      </c>
      <c r="N9226" t="s">
        <v>45095</v>
      </c>
      <c r="O9226" t="s">
        <v>45096</v>
      </c>
      <c r="P9226">
        <v>0</v>
      </c>
      <c r="Q9226">
        <v>0</v>
      </c>
      <c r="R9226" t="s">
        <v>45104</v>
      </c>
      <c r="S9226" t="s">
        <v>45304</v>
      </c>
      <c r="T9226" t="s">
        <v>47355</v>
      </c>
      <c r="U9226" t="s">
        <v>55118</v>
      </c>
      <c r="W9226" t="s">
        <v>44285</v>
      </c>
      <c r="X9226" t="s">
        <v>45105</v>
      </c>
    </row>
    <row r="9227" spans="1:24">
      <c r="A9227">
        <f>HYPERLINK("https://www.philgeps.gov.ph/GEPSNONPILOT/Tender/SplashBidNoticeAbstractUI.aspx?menuIndex=3&amp;refID=7034921&amp;Result=3","7034921")</f>
        <v>0</v>
      </c>
      <c r="B9227" t="s">
        <v>2541</v>
      </c>
      <c r="C9227" t="s">
        <v>11985</v>
      </c>
      <c r="D9227" t="s">
        <v>18075</v>
      </c>
      <c r="E9227" t="s">
        <v>26167</v>
      </c>
      <c r="F9227" t="s">
        <v>31574</v>
      </c>
      <c r="G9227" t="s">
        <v>31582</v>
      </c>
      <c r="H9227" t="s">
        <v>31591</v>
      </c>
      <c r="I9227" t="s">
        <v>8822</v>
      </c>
      <c r="J9227" t="s">
        <v>37538</v>
      </c>
      <c r="K9227" t="s">
        <v>41194</v>
      </c>
      <c r="M9227" t="s">
        <v>44278</v>
      </c>
      <c r="N9227" t="s">
        <v>45095</v>
      </c>
      <c r="O9227" t="s">
        <v>45096</v>
      </c>
      <c r="P9227">
        <v>0</v>
      </c>
      <c r="Q9227">
        <v>0</v>
      </c>
      <c r="R9227" t="s">
        <v>45104</v>
      </c>
      <c r="S9227" t="s">
        <v>45304</v>
      </c>
      <c r="T9227" t="s">
        <v>47154</v>
      </c>
      <c r="U9227" t="s">
        <v>55119</v>
      </c>
      <c r="W9227" t="s">
        <v>44278</v>
      </c>
      <c r="X9227" t="s">
        <v>45105</v>
      </c>
    </row>
    <row r="9228" spans="1:24">
      <c r="A9228">
        <f>HYPERLINK("https://www.philgeps.gov.ph/GEPSNONPILOT/Tender/SplashBidNoticeAbstractUI.aspx?menuIndex=3&amp;refID=7034960&amp;Result=3","7034960")</f>
        <v>0</v>
      </c>
      <c r="B9228" t="s">
        <v>1554</v>
      </c>
      <c r="C9228" t="s">
        <v>11986</v>
      </c>
      <c r="D9228" t="s">
        <v>18056</v>
      </c>
      <c r="E9228" t="s">
        <v>26168</v>
      </c>
      <c r="F9228" t="s">
        <v>31574</v>
      </c>
      <c r="G9228" t="s">
        <v>31581</v>
      </c>
      <c r="H9228" t="s">
        <v>31591</v>
      </c>
      <c r="I9228" t="s">
        <v>8822</v>
      </c>
      <c r="J9228" t="s">
        <v>37539</v>
      </c>
      <c r="K9228" t="s">
        <v>41217</v>
      </c>
      <c r="M9228" t="s">
        <v>43153</v>
      </c>
      <c r="N9228" t="s">
        <v>45095</v>
      </c>
      <c r="O9228" t="s">
        <v>45096</v>
      </c>
      <c r="P9228">
        <v>0</v>
      </c>
      <c r="Q9228">
        <v>1</v>
      </c>
      <c r="R9228" t="s">
        <v>45104</v>
      </c>
      <c r="S9228" t="s">
        <v>45304</v>
      </c>
      <c r="T9228" t="s">
        <v>47159</v>
      </c>
      <c r="U9228" t="s">
        <v>55120</v>
      </c>
      <c r="W9228" t="s">
        <v>43153</v>
      </c>
      <c r="X9228" t="s">
        <v>45105</v>
      </c>
    </row>
    <row r="9229" spans="1:24">
      <c r="A9229">
        <f>HYPERLINK("https://www.philgeps.gov.ph/GEPSNONPILOT/Tender/SplashBidNoticeAbstractUI.aspx?menuIndex=3&amp;refID=7034963&amp;Result=3","7034963")</f>
        <v>0</v>
      </c>
      <c r="B9229" t="s">
        <v>836</v>
      </c>
      <c r="C9229" t="s">
        <v>5240</v>
      </c>
      <c r="D9229" t="s">
        <v>18096</v>
      </c>
      <c r="E9229" t="s">
        <v>20030</v>
      </c>
      <c r="F9229" t="s">
        <v>31574</v>
      </c>
      <c r="G9229" t="s">
        <v>31582</v>
      </c>
      <c r="H9229" t="s">
        <v>31590</v>
      </c>
      <c r="I9229" t="s">
        <v>4354</v>
      </c>
      <c r="J9229" t="s">
        <v>37540</v>
      </c>
      <c r="K9229" t="s">
        <v>41184</v>
      </c>
      <c r="M9229" t="s">
        <v>42355</v>
      </c>
      <c r="N9229" t="s">
        <v>45095</v>
      </c>
      <c r="O9229" t="s">
        <v>45096</v>
      </c>
      <c r="P9229">
        <v>0</v>
      </c>
      <c r="Q9229">
        <v>0</v>
      </c>
      <c r="R9229" t="s">
        <v>45104</v>
      </c>
      <c r="S9229" t="s">
        <v>45304</v>
      </c>
      <c r="T9229" t="s">
        <v>47197</v>
      </c>
      <c r="U9229" t="s">
        <v>49286</v>
      </c>
      <c r="W9229" t="s">
        <v>61680</v>
      </c>
      <c r="X9229" t="s">
        <v>45105</v>
      </c>
    </row>
    <row r="9230" spans="1:24">
      <c r="A9230">
        <f>HYPERLINK("https://www.philgeps.gov.ph/GEPSNONPILOT/Tender/SplashBidNoticeAbstractUI.aspx?menuIndex=3&amp;refID=7034988&amp;Result=3","7034988")</f>
        <v>0</v>
      </c>
      <c r="B9230" t="s">
        <v>1971</v>
      </c>
      <c r="C9230" t="s">
        <v>11987</v>
      </c>
      <c r="D9230" t="s">
        <v>18027</v>
      </c>
      <c r="E9230" t="s">
        <v>26169</v>
      </c>
      <c r="F9230" t="s">
        <v>31574</v>
      </c>
      <c r="G9230" t="s">
        <v>31582</v>
      </c>
      <c r="H9230" t="s">
        <v>31591</v>
      </c>
      <c r="I9230" t="s">
        <v>8822</v>
      </c>
      <c r="J9230" t="s">
        <v>37541</v>
      </c>
      <c r="K9230" t="s">
        <v>41185</v>
      </c>
      <c r="M9230" t="s">
        <v>43628</v>
      </c>
      <c r="N9230" t="s">
        <v>45095</v>
      </c>
      <c r="O9230" t="s">
        <v>45096</v>
      </c>
      <c r="P9230">
        <v>0</v>
      </c>
      <c r="Q9230">
        <v>0</v>
      </c>
      <c r="R9230" t="s">
        <v>45104</v>
      </c>
      <c r="S9230" t="s">
        <v>45304</v>
      </c>
      <c r="T9230" t="s">
        <v>46988</v>
      </c>
      <c r="U9230" t="s">
        <v>55121</v>
      </c>
      <c r="W9230" t="s">
        <v>43628</v>
      </c>
      <c r="X9230" t="s">
        <v>45105</v>
      </c>
    </row>
    <row r="9231" spans="1:24">
      <c r="A9231">
        <f>HYPERLINK("https://www.philgeps.gov.ph/GEPSNONPILOT/Tender/SplashBidNoticeAbstractUI.aspx?menuIndex=3&amp;refID=7034990&amp;Result=3","7034990")</f>
        <v>0</v>
      </c>
      <c r="B9231" t="s">
        <v>2549</v>
      </c>
      <c r="C9231" t="s">
        <v>11988</v>
      </c>
      <c r="D9231" t="s">
        <v>18052</v>
      </c>
      <c r="E9231" t="s">
        <v>18227</v>
      </c>
      <c r="F9231" t="s">
        <v>31574</v>
      </c>
      <c r="G9231" t="s">
        <v>31582</v>
      </c>
      <c r="H9231" t="s">
        <v>31590</v>
      </c>
      <c r="I9231" t="s">
        <v>31638</v>
      </c>
      <c r="J9231" t="s">
        <v>34117</v>
      </c>
      <c r="K9231" t="s">
        <v>41190</v>
      </c>
      <c r="L9231" t="s">
        <v>2549</v>
      </c>
      <c r="M9231" t="s">
        <v>44286</v>
      </c>
      <c r="N9231" t="s">
        <v>45095</v>
      </c>
      <c r="O9231" t="s">
        <v>45096</v>
      </c>
      <c r="P9231">
        <v>0</v>
      </c>
      <c r="Q9231">
        <v>0</v>
      </c>
      <c r="R9231" t="s">
        <v>45104</v>
      </c>
      <c r="S9231" t="s">
        <v>45304</v>
      </c>
      <c r="T9231" t="s">
        <v>46999</v>
      </c>
      <c r="U9231" t="s">
        <v>55122</v>
      </c>
      <c r="V9231" t="s">
        <v>60793</v>
      </c>
      <c r="W9231" t="s">
        <v>44286</v>
      </c>
      <c r="X9231" t="s">
        <v>45105</v>
      </c>
    </row>
    <row r="9232" spans="1:24">
      <c r="A9232">
        <f>HYPERLINK("https://www.philgeps.gov.ph/GEPSNONPILOT/Tender/SplashBidNoticeAbstractUI.aspx?menuIndex=3&amp;refID=7034982&amp;Result=3","7034982")</f>
        <v>0</v>
      </c>
      <c r="B9232" t="s">
        <v>935</v>
      </c>
      <c r="C9232" t="s">
        <v>11989</v>
      </c>
      <c r="D9232" t="s">
        <v>18075</v>
      </c>
      <c r="E9232" t="s">
        <v>26170</v>
      </c>
      <c r="F9232" t="s">
        <v>31574</v>
      </c>
      <c r="G9232" t="s">
        <v>31582</v>
      </c>
      <c r="H9232" t="s">
        <v>31590</v>
      </c>
      <c r="I9232" t="s">
        <v>4354</v>
      </c>
      <c r="J9232" t="s">
        <v>37542</v>
      </c>
      <c r="K9232" t="s">
        <v>41184</v>
      </c>
      <c r="M9232" t="s">
        <v>42462</v>
      </c>
      <c r="N9232" t="s">
        <v>45095</v>
      </c>
      <c r="O9232" t="s">
        <v>45096</v>
      </c>
      <c r="P9232">
        <v>0</v>
      </c>
      <c r="Q9232">
        <v>1</v>
      </c>
      <c r="R9232" t="s">
        <v>45104</v>
      </c>
      <c r="S9232" t="s">
        <v>45304</v>
      </c>
      <c r="T9232" t="s">
        <v>47164</v>
      </c>
      <c r="U9232" t="s">
        <v>55123</v>
      </c>
      <c r="W9232" t="s">
        <v>42462</v>
      </c>
      <c r="X9232" t="s">
        <v>45105</v>
      </c>
    </row>
    <row r="9233" spans="1:24">
      <c r="A9233">
        <f>HYPERLINK("https://www.philgeps.gov.ph/GEPSNONPILOT/Tender/SplashBidNoticeAbstractUI.aspx?menuIndex=3&amp;refID=7034998&amp;Result=3","7034998")</f>
        <v>0</v>
      </c>
      <c r="B9233" t="s">
        <v>265</v>
      </c>
      <c r="C9233" t="s">
        <v>11990</v>
      </c>
      <c r="D9233" t="s">
        <v>18052</v>
      </c>
      <c r="E9233" t="s">
        <v>26171</v>
      </c>
      <c r="F9233" t="s">
        <v>31574</v>
      </c>
      <c r="G9233" t="s">
        <v>31581</v>
      </c>
      <c r="H9233" t="s">
        <v>31590</v>
      </c>
      <c r="I9233" t="s">
        <v>4046</v>
      </c>
      <c r="J9233" t="s">
        <v>32355</v>
      </c>
      <c r="K9233" t="s">
        <v>41184</v>
      </c>
      <c r="M9233" t="s">
        <v>41751</v>
      </c>
      <c r="N9233" t="s">
        <v>45095</v>
      </c>
      <c r="O9233" t="s">
        <v>45096</v>
      </c>
      <c r="P9233">
        <v>0</v>
      </c>
      <c r="Q9233">
        <v>1</v>
      </c>
      <c r="R9233" t="s">
        <v>45104</v>
      </c>
      <c r="S9233" t="s">
        <v>45304</v>
      </c>
      <c r="T9233" t="s">
        <v>46969</v>
      </c>
      <c r="U9233" t="s">
        <v>55124</v>
      </c>
      <c r="W9233" t="s">
        <v>41751</v>
      </c>
      <c r="X9233" t="s">
        <v>45105</v>
      </c>
    </row>
    <row r="9234" spans="1:24">
      <c r="A9234">
        <f>HYPERLINK("https://www.philgeps.gov.ph/GEPSNONPILOT/Tender/SplashBidNoticeAbstractUI.aspx?menuIndex=3&amp;refID=7034985&amp;Result=3","7034985")</f>
        <v>0</v>
      </c>
      <c r="B9234" t="s">
        <v>2063</v>
      </c>
      <c r="C9234" t="s">
        <v>11991</v>
      </c>
      <c r="E9234" t="s">
        <v>26172</v>
      </c>
      <c r="F9234" t="s">
        <v>31574</v>
      </c>
      <c r="G9234" t="s">
        <v>31582</v>
      </c>
      <c r="H9234" t="s">
        <v>31590</v>
      </c>
      <c r="I9234" t="s">
        <v>31671</v>
      </c>
      <c r="J9234" t="s">
        <v>37543</v>
      </c>
      <c r="K9234" t="s">
        <v>41184</v>
      </c>
      <c r="M9234" t="s">
        <v>43737</v>
      </c>
      <c r="N9234" t="s">
        <v>45095</v>
      </c>
      <c r="O9234" t="s">
        <v>45096</v>
      </c>
      <c r="P9234">
        <v>0</v>
      </c>
      <c r="Q9234">
        <v>6</v>
      </c>
      <c r="R9234" t="s">
        <v>45104</v>
      </c>
      <c r="S9234" t="s">
        <v>45304</v>
      </c>
      <c r="T9234" t="s">
        <v>47305</v>
      </c>
      <c r="U9234" t="s">
        <v>53186</v>
      </c>
      <c r="W9234" t="s">
        <v>43737</v>
      </c>
      <c r="X9234" t="s">
        <v>45105</v>
      </c>
    </row>
    <row r="9235" spans="1:24">
      <c r="A9235">
        <f>HYPERLINK("https://www.philgeps.gov.ph/GEPSNONPILOT/Tender/SplashBidNoticeAbstractUI.aspx?menuIndex=3&amp;refID=7034981&amp;Result=3","7034981")</f>
        <v>0</v>
      </c>
      <c r="B9235" t="s">
        <v>1971</v>
      </c>
      <c r="C9235" t="s">
        <v>11992</v>
      </c>
      <c r="D9235" t="s">
        <v>18027</v>
      </c>
      <c r="E9235" t="s">
        <v>26173</v>
      </c>
      <c r="F9235" t="s">
        <v>31574</v>
      </c>
      <c r="G9235" t="s">
        <v>31582</v>
      </c>
      <c r="H9235" t="s">
        <v>31591</v>
      </c>
      <c r="I9235" t="s">
        <v>8822</v>
      </c>
      <c r="J9235" t="s">
        <v>37544</v>
      </c>
      <c r="K9235" t="s">
        <v>41329</v>
      </c>
      <c r="M9235" t="s">
        <v>43628</v>
      </c>
      <c r="N9235" t="s">
        <v>45095</v>
      </c>
      <c r="O9235" t="s">
        <v>45096</v>
      </c>
      <c r="P9235">
        <v>0</v>
      </c>
      <c r="Q9235">
        <v>0</v>
      </c>
      <c r="R9235" t="s">
        <v>45104</v>
      </c>
      <c r="S9235" t="s">
        <v>45304</v>
      </c>
      <c r="T9235" t="s">
        <v>46988</v>
      </c>
      <c r="U9235" t="s">
        <v>55125</v>
      </c>
      <c r="W9235" t="s">
        <v>43628</v>
      </c>
      <c r="X9235" t="s">
        <v>45105</v>
      </c>
    </row>
    <row r="9236" spans="1:24">
      <c r="A9236">
        <f>HYPERLINK("https://www.philgeps.gov.ph/GEPSNONPILOT/Tender/SplashBidNoticeAbstractUI.aspx?menuIndex=3&amp;refID=7034996&amp;Result=3","7034996")</f>
        <v>0</v>
      </c>
      <c r="B9236" t="s">
        <v>2063</v>
      </c>
      <c r="C9236" t="s">
        <v>11993</v>
      </c>
      <c r="E9236" t="s">
        <v>26174</v>
      </c>
      <c r="F9236" t="s">
        <v>31574</v>
      </c>
      <c r="G9236" t="s">
        <v>31582</v>
      </c>
      <c r="H9236" t="s">
        <v>31590</v>
      </c>
      <c r="I9236" t="s">
        <v>31717</v>
      </c>
      <c r="J9236" t="s">
        <v>32510</v>
      </c>
      <c r="K9236" t="s">
        <v>41184</v>
      </c>
      <c r="M9236" t="s">
        <v>43737</v>
      </c>
      <c r="N9236" t="s">
        <v>45095</v>
      </c>
      <c r="O9236" t="s">
        <v>45096</v>
      </c>
      <c r="P9236">
        <v>0</v>
      </c>
      <c r="Q9236">
        <v>3</v>
      </c>
      <c r="R9236" t="s">
        <v>45104</v>
      </c>
      <c r="S9236" t="s">
        <v>45304</v>
      </c>
      <c r="T9236" t="s">
        <v>47305</v>
      </c>
      <c r="U9236" t="s">
        <v>53186</v>
      </c>
      <c r="W9236" t="s">
        <v>43737</v>
      </c>
      <c r="X9236" t="s">
        <v>45105</v>
      </c>
    </row>
    <row r="9237" spans="1:24">
      <c r="A9237">
        <f>HYPERLINK("https://www.philgeps.gov.ph/GEPSNONPILOT/Tender/SplashBidNoticeAbstractUI.aspx?menuIndex=3&amp;refID=7034983&amp;Result=3","7034983")</f>
        <v>0</v>
      </c>
      <c r="B9237" t="s">
        <v>495</v>
      </c>
      <c r="C9237" t="s">
        <v>11994</v>
      </c>
      <c r="D9237" t="s">
        <v>18099</v>
      </c>
      <c r="E9237" t="s">
        <v>26175</v>
      </c>
      <c r="F9237" t="s">
        <v>31574</v>
      </c>
      <c r="G9237" t="s">
        <v>31582</v>
      </c>
      <c r="H9237" t="s">
        <v>31591</v>
      </c>
      <c r="I9237" t="s">
        <v>8822</v>
      </c>
      <c r="J9237" t="s">
        <v>37545</v>
      </c>
      <c r="K9237" t="s">
        <v>41221</v>
      </c>
      <c r="M9237" t="s">
        <v>44169</v>
      </c>
      <c r="N9237" t="s">
        <v>45095</v>
      </c>
      <c r="O9237" t="s">
        <v>45096</v>
      </c>
      <c r="P9237">
        <v>0</v>
      </c>
      <c r="Q9237">
        <v>0</v>
      </c>
      <c r="R9237" t="s">
        <v>45104</v>
      </c>
      <c r="S9237" t="s">
        <v>45304</v>
      </c>
      <c r="T9237" t="s">
        <v>47134</v>
      </c>
      <c r="U9237" t="s">
        <v>55126</v>
      </c>
      <c r="W9237" t="s">
        <v>44169</v>
      </c>
      <c r="X9237" t="s">
        <v>45105</v>
      </c>
    </row>
    <row r="9238" spans="1:24">
      <c r="A9238">
        <f>HYPERLINK("https://www.philgeps.gov.ph/GEPSNONPILOT/Tender/SplashBidNoticeAbstractUI.aspx?menuIndex=3&amp;refID=7034975&amp;Result=3","7034975")</f>
        <v>0</v>
      </c>
      <c r="B9238" t="s">
        <v>495</v>
      </c>
      <c r="C9238" t="s">
        <v>11995</v>
      </c>
      <c r="D9238" t="s">
        <v>18099</v>
      </c>
      <c r="E9238" t="s">
        <v>26176</v>
      </c>
      <c r="F9238" t="s">
        <v>31574</v>
      </c>
      <c r="G9238" t="s">
        <v>31582</v>
      </c>
      <c r="H9238" t="s">
        <v>31591</v>
      </c>
      <c r="I9238" t="s">
        <v>8822</v>
      </c>
      <c r="J9238" t="s">
        <v>37546</v>
      </c>
      <c r="K9238" t="s">
        <v>41203</v>
      </c>
      <c r="M9238" t="s">
        <v>44169</v>
      </c>
      <c r="N9238" t="s">
        <v>45095</v>
      </c>
      <c r="O9238" t="s">
        <v>45096</v>
      </c>
      <c r="P9238">
        <v>0</v>
      </c>
      <c r="Q9238">
        <v>0</v>
      </c>
      <c r="R9238" t="s">
        <v>45104</v>
      </c>
      <c r="S9238" t="s">
        <v>45304</v>
      </c>
      <c r="T9238" t="s">
        <v>47134</v>
      </c>
      <c r="U9238" t="s">
        <v>55126</v>
      </c>
      <c r="W9238" t="s">
        <v>44169</v>
      </c>
      <c r="X9238" t="s">
        <v>45105</v>
      </c>
    </row>
    <row r="9239" spans="1:24">
      <c r="A9239">
        <f>HYPERLINK("https://www.philgeps.gov.ph/GEPSNONPILOT/Tender/SplashBidNoticeAbstractUI.aspx?menuIndex=3&amp;refID=7034980&amp;Result=3","7034980")</f>
        <v>0</v>
      </c>
      <c r="B9239" t="s">
        <v>468</v>
      </c>
      <c r="C9239" t="s">
        <v>11996</v>
      </c>
      <c r="D9239" t="s">
        <v>18083</v>
      </c>
      <c r="E9239" t="s">
        <v>26177</v>
      </c>
      <c r="F9239" t="s">
        <v>31574</v>
      </c>
      <c r="G9239" t="s">
        <v>31588</v>
      </c>
      <c r="H9239" t="s">
        <v>31591</v>
      </c>
      <c r="I9239" t="s">
        <v>8822</v>
      </c>
      <c r="J9239" t="s">
        <v>37547</v>
      </c>
      <c r="K9239" t="s">
        <v>41265</v>
      </c>
      <c r="M9239" t="s">
        <v>41962</v>
      </c>
      <c r="N9239" t="s">
        <v>45095</v>
      </c>
      <c r="O9239" t="s">
        <v>45096</v>
      </c>
      <c r="P9239">
        <v>0</v>
      </c>
      <c r="Q9239">
        <v>0</v>
      </c>
      <c r="R9239" t="s">
        <v>45104</v>
      </c>
      <c r="S9239" t="s">
        <v>45304</v>
      </c>
      <c r="T9239" t="s">
        <v>46977</v>
      </c>
      <c r="U9239" t="s">
        <v>55127</v>
      </c>
      <c r="W9239" t="s">
        <v>41962</v>
      </c>
      <c r="X9239" t="s">
        <v>45105</v>
      </c>
    </row>
    <row r="9240" spans="1:24">
      <c r="A9240">
        <f>HYPERLINK("https://www.philgeps.gov.ph/GEPSNONPILOT/Tender/SplashBidNoticeAbstractUI.aspx?menuIndex=3&amp;refID=7035000&amp;Result=3","7035000")</f>
        <v>0</v>
      </c>
      <c r="B9240" t="s">
        <v>935</v>
      </c>
      <c r="C9240" t="s">
        <v>11997</v>
      </c>
      <c r="D9240" t="s">
        <v>18075</v>
      </c>
      <c r="E9240" t="s">
        <v>26178</v>
      </c>
      <c r="F9240" t="s">
        <v>31574</v>
      </c>
      <c r="G9240" t="s">
        <v>31582</v>
      </c>
      <c r="H9240" t="s">
        <v>31590</v>
      </c>
      <c r="I9240" t="s">
        <v>3487</v>
      </c>
      <c r="J9240" t="s">
        <v>37548</v>
      </c>
      <c r="K9240" t="s">
        <v>41184</v>
      </c>
      <c r="M9240" t="s">
        <v>42462</v>
      </c>
      <c r="N9240" t="s">
        <v>45095</v>
      </c>
      <c r="O9240" t="s">
        <v>45096</v>
      </c>
      <c r="P9240">
        <v>0</v>
      </c>
      <c r="Q9240">
        <v>0</v>
      </c>
      <c r="R9240" t="s">
        <v>45104</v>
      </c>
      <c r="S9240" t="s">
        <v>45304</v>
      </c>
      <c r="T9240" t="s">
        <v>47164</v>
      </c>
      <c r="U9240" t="s">
        <v>55128</v>
      </c>
      <c r="W9240" t="s">
        <v>42462</v>
      </c>
      <c r="X9240" t="s">
        <v>45105</v>
      </c>
    </row>
    <row r="9241" spans="1:24">
      <c r="A9241">
        <f>HYPERLINK("https://www.philgeps.gov.ph/GEPSNONPILOT/Tender/SplashBidNoticeAbstractUI.aspx?menuIndex=3&amp;refID=7034972&amp;Result=3","7034972")</f>
        <v>0</v>
      </c>
      <c r="B9241" t="s">
        <v>2063</v>
      </c>
      <c r="C9241" t="s">
        <v>11998</v>
      </c>
      <c r="E9241" t="s">
        <v>26179</v>
      </c>
      <c r="F9241" t="s">
        <v>31574</v>
      </c>
      <c r="G9241" t="s">
        <v>31582</v>
      </c>
      <c r="H9241" t="s">
        <v>31590</v>
      </c>
      <c r="I9241" t="s">
        <v>8258</v>
      </c>
      <c r="J9241" t="s">
        <v>37549</v>
      </c>
      <c r="K9241" t="s">
        <v>41184</v>
      </c>
      <c r="M9241" t="s">
        <v>43737</v>
      </c>
      <c r="N9241" t="s">
        <v>45095</v>
      </c>
      <c r="O9241" t="s">
        <v>45096</v>
      </c>
      <c r="P9241">
        <v>0</v>
      </c>
      <c r="Q9241">
        <v>5</v>
      </c>
      <c r="R9241" t="s">
        <v>45104</v>
      </c>
      <c r="S9241" t="s">
        <v>45304</v>
      </c>
      <c r="T9241" t="s">
        <v>47305</v>
      </c>
      <c r="U9241" t="s">
        <v>53186</v>
      </c>
      <c r="W9241" t="s">
        <v>43737</v>
      </c>
      <c r="X9241" t="s">
        <v>45105</v>
      </c>
    </row>
    <row r="9242" spans="1:24">
      <c r="A9242">
        <f>HYPERLINK("https://www.philgeps.gov.ph/GEPSNONPILOT/Tender/SplashBidNoticeAbstractUI.aspx?menuIndex=3&amp;refID=7035002&amp;Result=3","7035002")</f>
        <v>0</v>
      </c>
      <c r="B9242" t="s">
        <v>699</v>
      </c>
      <c r="C9242" t="s">
        <v>11999</v>
      </c>
      <c r="D9242" t="s">
        <v>18066</v>
      </c>
      <c r="E9242" t="s">
        <v>26180</v>
      </c>
      <c r="F9242" t="s">
        <v>31574</v>
      </c>
      <c r="G9242" t="s">
        <v>31582</v>
      </c>
      <c r="H9242" t="s">
        <v>31590</v>
      </c>
      <c r="I9242" t="s">
        <v>31600</v>
      </c>
      <c r="J9242" t="s">
        <v>37550</v>
      </c>
      <c r="K9242" t="s">
        <v>41184</v>
      </c>
      <c r="M9242" t="s">
        <v>42206</v>
      </c>
      <c r="N9242" t="s">
        <v>45095</v>
      </c>
      <c r="O9242" t="s">
        <v>45096</v>
      </c>
      <c r="P9242">
        <v>0</v>
      </c>
      <c r="Q9242">
        <v>2</v>
      </c>
      <c r="R9242" t="s">
        <v>45104</v>
      </c>
      <c r="S9242" t="s">
        <v>45304</v>
      </c>
      <c r="T9242" t="s">
        <v>46965</v>
      </c>
      <c r="U9242" t="s">
        <v>48947</v>
      </c>
      <c r="V9242" t="s">
        <v>60013</v>
      </c>
      <c r="W9242" t="s">
        <v>42206</v>
      </c>
      <c r="X9242" t="s">
        <v>45105</v>
      </c>
    </row>
    <row r="9243" spans="1:24">
      <c r="A9243">
        <f>HYPERLINK("https://www.philgeps.gov.ph/GEPSNONPILOT/Tender/SplashBidNoticeAbstractUI.aspx?menuIndex=3&amp;refID=7034977&amp;Result=3","7034977")</f>
        <v>0</v>
      </c>
      <c r="B9243" t="s">
        <v>2550</v>
      </c>
      <c r="C9243" t="s">
        <v>12000</v>
      </c>
      <c r="D9243" t="s">
        <v>18052</v>
      </c>
      <c r="E9243" t="s">
        <v>19469</v>
      </c>
      <c r="F9243" t="s">
        <v>31574</v>
      </c>
      <c r="G9243" t="s">
        <v>31585</v>
      </c>
      <c r="H9243" t="s">
        <v>31590</v>
      </c>
      <c r="I9243" t="s">
        <v>31687</v>
      </c>
      <c r="J9243" t="s">
        <v>37551</v>
      </c>
      <c r="K9243" t="s">
        <v>41213</v>
      </c>
      <c r="M9243" t="s">
        <v>44287</v>
      </c>
      <c r="N9243" t="s">
        <v>45095</v>
      </c>
      <c r="O9243" t="s">
        <v>45096</v>
      </c>
      <c r="P9243">
        <v>0</v>
      </c>
      <c r="Q9243">
        <v>0</v>
      </c>
      <c r="R9243" t="s">
        <v>45104</v>
      </c>
      <c r="S9243" t="s">
        <v>45304</v>
      </c>
      <c r="T9243" t="s">
        <v>47105</v>
      </c>
      <c r="U9243" t="s">
        <v>55129</v>
      </c>
      <c r="W9243" t="s">
        <v>44287</v>
      </c>
      <c r="X9243" t="s">
        <v>45105</v>
      </c>
    </row>
    <row r="9244" spans="1:24">
      <c r="A9244">
        <f>HYPERLINK("https://www.philgeps.gov.ph/GEPSNONPILOT/Tender/SplashBidNoticeAbstractUI.aspx?menuIndex=3&amp;refID=7035015&amp;Result=3","7035015")</f>
        <v>0</v>
      </c>
      <c r="B9244" t="s">
        <v>2063</v>
      </c>
      <c r="C9244" t="s">
        <v>12001</v>
      </c>
      <c r="E9244" t="s">
        <v>26181</v>
      </c>
      <c r="F9244" t="s">
        <v>31574</v>
      </c>
      <c r="G9244" t="s">
        <v>31582</v>
      </c>
      <c r="H9244" t="s">
        <v>31590</v>
      </c>
      <c r="I9244" t="s">
        <v>31686</v>
      </c>
      <c r="J9244" t="s">
        <v>37552</v>
      </c>
      <c r="K9244" t="s">
        <v>41184</v>
      </c>
      <c r="M9244" t="s">
        <v>43737</v>
      </c>
      <c r="N9244" t="s">
        <v>45095</v>
      </c>
      <c r="O9244" t="s">
        <v>45096</v>
      </c>
      <c r="P9244">
        <v>0</v>
      </c>
      <c r="Q9244">
        <v>9</v>
      </c>
      <c r="R9244" t="s">
        <v>45104</v>
      </c>
      <c r="S9244" t="s">
        <v>45304</v>
      </c>
      <c r="T9244" t="s">
        <v>47305</v>
      </c>
      <c r="U9244" t="s">
        <v>53186</v>
      </c>
      <c r="W9244" t="s">
        <v>43737</v>
      </c>
      <c r="X9244" t="s">
        <v>45105</v>
      </c>
    </row>
    <row r="9245" spans="1:24">
      <c r="A9245">
        <f>HYPERLINK("https://www.philgeps.gov.ph/GEPSNONPILOT/Tender/SplashBidNoticeAbstractUI.aspx?menuIndex=3&amp;refID=7035001&amp;Result=3","7035001")</f>
        <v>0</v>
      </c>
      <c r="B9245" t="s">
        <v>2551</v>
      </c>
      <c r="C9245" t="s">
        <v>12002</v>
      </c>
      <c r="D9245" t="s">
        <v>18030</v>
      </c>
      <c r="E9245" t="s">
        <v>26182</v>
      </c>
      <c r="F9245" t="s">
        <v>31574</v>
      </c>
      <c r="G9245" t="s">
        <v>31582</v>
      </c>
      <c r="H9245" t="s">
        <v>31591</v>
      </c>
      <c r="I9245" t="s">
        <v>8822</v>
      </c>
      <c r="J9245" t="s">
        <v>37553</v>
      </c>
      <c r="K9245" t="s">
        <v>41186</v>
      </c>
      <c r="M9245" t="s">
        <v>44288</v>
      </c>
      <c r="N9245" t="s">
        <v>45095</v>
      </c>
      <c r="O9245" t="s">
        <v>45096</v>
      </c>
      <c r="P9245">
        <v>0</v>
      </c>
      <c r="Q9245">
        <v>3</v>
      </c>
      <c r="R9245" t="s">
        <v>45104</v>
      </c>
      <c r="S9245" t="s">
        <v>45304</v>
      </c>
      <c r="T9245" t="s">
        <v>46988</v>
      </c>
      <c r="U9245" t="s">
        <v>55130</v>
      </c>
      <c r="V9245" t="s">
        <v>60794</v>
      </c>
      <c r="W9245" t="s">
        <v>44288</v>
      </c>
      <c r="X9245" t="s">
        <v>45105</v>
      </c>
    </row>
    <row r="9246" spans="1:24">
      <c r="A9246">
        <f>HYPERLINK("https://www.philgeps.gov.ph/GEPSNONPILOT/Tender/SplashBidNoticeAbstractUI.aspx?menuIndex=3&amp;refID=7035011&amp;Result=3","7035011")</f>
        <v>0</v>
      </c>
      <c r="B9246" t="s">
        <v>1971</v>
      </c>
      <c r="C9246" t="s">
        <v>12003</v>
      </c>
      <c r="D9246" t="s">
        <v>18027</v>
      </c>
      <c r="E9246" t="s">
        <v>26183</v>
      </c>
      <c r="F9246" t="s">
        <v>31574</v>
      </c>
      <c r="G9246" t="s">
        <v>31582</v>
      </c>
      <c r="H9246" t="s">
        <v>31591</v>
      </c>
      <c r="I9246" t="s">
        <v>8822</v>
      </c>
      <c r="J9246" t="s">
        <v>37554</v>
      </c>
      <c r="K9246" t="s">
        <v>41382</v>
      </c>
      <c r="M9246" t="s">
        <v>43628</v>
      </c>
      <c r="N9246" t="s">
        <v>45095</v>
      </c>
      <c r="O9246" t="s">
        <v>45096</v>
      </c>
      <c r="P9246">
        <v>0</v>
      </c>
      <c r="Q9246">
        <v>0</v>
      </c>
      <c r="R9246" t="s">
        <v>45104</v>
      </c>
      <c r="S9246" t="s">
        <v>45304</v>
      </c>
      <c r="T9246" t="s">
        <v>46962</v>
      </c>
      <c r="U9246" t="s">
        <v>55131</v>
      </c>
      <c r="W9246" t="s">
        <v>43628</v>
      </c>
      <c r="X9246" t="s">
        <v>45105</v>
      </c>
    </row>
    <row r="9247" spans="1:24">
      <c r="A9247">
        <f>HYPERLINK("https://www.philgeps.gov.ph/GEPSNONPILOT/Tender/SplashBidNoticeAbstractUI.aspx?menuIndex=3&amp;refID=7035010&amp;Result=3","7035010")</f>
        <v>0</v>
      </c>
      <c r="B9247" t="s">
        <v>2063</v>
      </c>
      <c r="C9247" t="s">
        <v>12004</v>
      </c>
      <c r="E9247" t="s">
        <v>26184</v>
      </c>
      <c r="F9247" t="s">
        <v>31574</v>
      </c>
      <c r="G9247" t="s">
        <v>31582</v>
      </c>
      <c r="H9247" t="s">
        <v>31590</v>
      </c>
      <c r="I9247" t="s">
        <v>31710</v>
      </c>
      <c r="J9247" t="s">
        <v>37555</v>
      </c>
      <c r="K9247" t="s">
        <v>41184</v>
      </c>
      <c r="M9247" t="s">
        <v>43737</v>
      </c>
      <c r="N9247" t="s">
        <v>45095</v>
      </c>
      <c r="O9247" t="s">
        <v>45096</v>
      </c>
      <c r="P9247">
        <v>0</v>
      </c>
      <c r="Q9247">
        <v>4</v>
      </c>
      <c r="R9247" t="s">
        <v>45104</v>
      </c>
      <c r="S9247" t="s">
        <v>45304</v>
      </c>
      <c r="T9247" t="s">
        <v>47305</v>
      </c>
      <c r="U9247" t="s">
        <v>53186</v>
      </c>
      <c r="W9247" t="s">
        <v>43737</v>
      </c>
      <c r="X9247" t="s">
        <v>45105</v>
      </c>
    </row>
    <row r="9248" spans="1:24">
      <c r="A9248">
        <f>HYPERLINK("https://www.philgeps.gov.ph/GEPSNONPILOT/Tender/SplashBidNoticeAbstractUI.aspx?menuIndex=3&amp;refID=7035013&amp;Result=3","7035013")</f>
        <v>0</v>
      </c>
      <c r="B9248" t="s">
        <v>935</v>
      </c>
      <c r="C9248" t="s">
        <v>12005</v>
      </c>
      <c r="D9248" t="s">
        <v>18075</v>
      </c>
      <c r="E9248" t="s">
        <v>26185</v>
      </c>
      <c r="F9248" t="s">
        <v>31574</v>
      </c>
      <c r="G9248" t="s">
        <v>31582</v>
      </c>
      <c r="H9248" t="s">
        <v>31590</v>
      </c>
      <c r="I9248" t="s">
        <v>3651</v>
      </c>
      <c r="J9248" t="s">
        <v>37556</v>
      </c>
      <c r="K9248" t="s">
        <v>41184</v>
      </c>
      <c r="M9248" t="s">
        <v>42462</v>
      </c>
      <c r="N9248" t="s">
        <v>45095</v>
      </c>
      <c r="O9248" t="s">
        <v>45096</v>
      </c>
      <c r="P9248">
        <v>0</v>
      </c>
      <c r="Q9248">
        <v>0</v>
      </c>
      <c r="R9248" t="s">
        <v>45104</v>
      </c>
      <c r="S9248" t="s">
        <v>45304</v>
      </c>
      <c r="T9248" t="s">
        <v>47164</v>
      </c>
      <c r="U9248" t="s">
        <v>55132</v>
      </c>
      <c r="W9248" t="s">
        <v>42462</v>
      </c>
      <c r="X9248" t="s">
        <v>45105</v>
      </c>
    </row>
    <row r="9249" spans="1:24">
      <c r="A9249">
        <f>HYPERLINK("https://www.philgeps.gov.ph/GEPSNONPILOT/Tender/SplashBidNoticeAbstractUI.aspx?menuIndex=3&amp;refID=7035008&amp;Result=3","7035008")</f>
        <v>0</v>
      </c>
      <c r="B9249" t="s">
        <v>2548</v>
      </c>
      <c r="C9249" t="s">
        <v>12006</v>
      </c>
      <c r="D9249" t="s">
        <v>18066</v>
      </c>
      <c r="E9249" t="s">
        <v>26186</v>
      </c>
      <c r="F9249" t="s">
        <v>31574</v>
      </c>
      <c r="G9249" t="s">
        <v>31582</v>
      </c>
      <c r="H9249" t="s">
        <v>31591</v>
      </c>
      <c r="I9249" t="s">
        <v>8822</v>
      </c>
      <c r="J9249" t="s">
        <v>37557</v>
      </c>
      <c r="K9249" t="s">
        <v>41200</v>
      </c>
      <c r="M9249" t="s">
        <v>44285</v>
      </c>
      <c r="N9249" t="s">
        <v>45095</v>
      </c>
      <c r="O9249" t="s">
        <v>45096</v>
      </c>
      <c r="P9249">
        <v>0</v>
      </c>
      <c r="Q9249">
        <v>0</v>
      </c>
      <c r="R9249" t="s">
        <v>45104</v>
      </c>
      <c r="S9249" t="s">
        <v>45304</v>
      </c>
      <c r="T9249" t="s">
        <v>46965</v>
      </c>
      <c r="U9249" t="s">
        <v>55118</v>
      </c>
      <c r="W9249" t="s">
        <v>44285</v>
      </c>
      <c r="X9249" t="s">
        <v>45105</v>
      </c>
    </row>
    <row r="9250" spans="1:24">
      <c r="A9250">
        <f>HYPERLINK("https://www.philgeps.gov.ph/GEPSNONPILOT/Tender/SplashBidNoticeAbstractUI.aspx?menuIndex=3&amp;refID=7035009&amp;Result=3","7035009")</f>
        <v>0</v>
      </c>
      <c r="B9250" t="s">
        <v>2298</v>
      </c>
      <c r="C9250" t="s">
        <v>12007</v>
      </c>
      <c r="D9250" t="s">
        <v>18095</v>
      </c>
      <c r="E9250" t="s">
        <v>26187</v>
      </c>
      <c r="F9250" t="s">
        <v>31574</v>
      </c>
      <c r="G9250" t="s">
        <v>31582</v>
      </c>
      <c r="H9250" t="s">
        <v>31590</v>
      </c>
      <c r="I9250" t="s">
        <v>31607</v>
      </c>
      <c r="J9250" t="s">
        <v>37558</v>
      </c>
      <c r="K9250" t="s">
        <v>41185</v>
      </c>
      <c r="M9250" t="s">
        <v>44007</v>
      </c>
      <c r="N9250" t="s">
        <v>45095</v>
      </c>
      <c r="O9250" t="s">
        <v>45096</v>
      </c>
      <c r="P9250">
        <v>0</v>
      </c>
      <c r="Q9250">
        <v>11</v>
      </c>
      <c r="R9250" t="s">
        <v>45104</v>
      </c>
      <c r="S9250" t="s">
        <v>45304</v>
      </c>
      <c r="T9250" t="s">
        <v>46962</v>
      </c>
      <c r="U9250" t="s">
        <v>55133</v>
      </c>
      <c r="W9250" t="s">
        <v>44007</v>
      </c>
      <c r="X9250" t="s">
        <v>45105</v>
      </c>
    </row>
    <row r="9251" spans="1:24">
      <c r="A9251">
        <f>HYPERLINK("https://www.philgeps.gov.ph/GEPSNONPILOT/Tender/SplashBidNoticeAbstractUI.aspx?menuIndex=3&amp;refID=7035014&amp;Result=3","7035014")</f>
        <v>0</v>
      </c>
      <c r="B9251" t="s">
        <v>38</v>
      </c>
      <c r="C9251" t="s">
        <v>12008</v>
      </c>
      <c r="D9251" t="s">
        <v>18033</v>
      </c>
      <c r="E9251" t="s">
        <v>26188</v>
      </c>
      <c r="F9251" t="s">
        <v>31574</v>
      </c>
      <c r="G9251" t="s">
        <v>31582</v>
      </c>
      <c r="H9251" t="s">
        <v>31591</v>
      </c>
      <c r="I9251" t="s">
        <v>8822</v>
      </c>
      <c r="J9251" t="s">
        <v>31771</v>
      </c>
      <c r="K9251" t="s">
        <v>41185</v>
      </c>
      <c r="M9251" t="s">
        <v>43276</v>
      </c>
      <c r="N9251" t="s">
        <v>45095</v>
      </c>
      <c r="O9251" t="s">
        <v>45096</v>
      </c>
      <c r="P9251">
        <v>0</v>
      </c>
      <c r="Q9251">
        <v>0</v>
      </c>
      <c r="R9251" t="s">
        <v>45104</v>
      </c>
      <c r="S9251" t="s">
        <v>45304</v>
      </c>
      <c r="T9251" t="s">
        <v>47010</v>
      </c>
      <c r="U9251" t="s">
        <v>49667</v>
      </c>
      <c r="W9251" t="s">
        <v>43276</v>
      </c>
      <c r="X9251" t="s">
        <v>45105</v>
      </c>
    </row>
    <row r="9252" spans="1:24">
      <c r="A9252">
        <f>HYPERLINK("https://www.philgeps.gov.ph/GEPSNONPILOT/Tender/SplashBidNoticeAbstractUI.aspx?menuIndex=3&amp;refID=7035028&amp;Result=3","7035028")</f>
        <v>0</v>
      </c>
      <c r="B9252" t="s">
        <v>1971</v>
      </c>
      <c r="C9252" t="s">
        <v>12009</v>
      </c>
      <c r="D9252" t="s">
        <v>18027</v>
      </c>
      <c r="E9252" t="s">
        <v>26189</v>
      </c>
      <c r="F9252" t="s">
        <v>31574</v>
      </c>
      <c r="G9252" t="s">
        <v>31582</v>
      </c>
      <c r="H9252" t="s">
        <v>31591</v>
      </c>
      <c r="I9252" t="s">
        <v>8822</v>
      </c>
      <c r="J9252" t="s">
        <v>37559</v>
      </c>
      <c r="K9252" t="s">
        <v>41332</v>
      </c>
      <c r="M9252" t="s">
        <v>43628</v>
      </c>
      <c r="N9252" t="s">
        <v>45095</v>
      </c>
      <c r="O9252" t="s">
        <v>45096</v>
      </c>
      <c r="P9252">
        <v>0</v>
      </c>
      <c r="Q9252">
        <v>1</v>
      </c>
      <c r="R9252" t="s">
        <v>45104</v>
      </c>
      <c r="S9252" t="s">
        <v>45304</v>
      </c>
      <c r="T9252" t="s">
        <v>46962</v>
      </c>
      <c r="U9252" t="s">
        <v>55134</v>
      </c>
      <c r="W9252" t="s">
        <v>43628</v>
      </c>
      <c r="X9252" t="s">
        <v>45105</v>
      </c>
    </row>
    <row r="9253" spans="1:24">
      <c r="A9253">
        <f>HYPERLINK("https://www.philgeps.gov.ph/GEPSNONPILOT/Tender/SplashBidNoticeAbstractUI.aspx?menuIndex=3&amp;refID=7035023&amp;Result=3","7035023")</f>
        <v>0</v>
      </c>
      <c r="B9253" t="s">
        <v>935</v>
      </c>
      <c r="C9253" t="s">
        <v>12010</v>
      </c>
      <c r="D9253" t="s">
        <v>18075</v>
      </c>
      <c r="E9253" t="s">
        <v>26190</v>
      </c>
      <c r="F9253" t="s">
        <v>31574</v>
      </c>
      <c r="G9253" t="s">
        <v>31582</v>
      </c>
      <c r="H9253" t="s">
        <v>31590</v>
      </c>
      <c r="I9253" t="s">
        <v>3651</v>
      </c>
      <c r="J9253" t="s">
        <v>37560</v>
      </c>
      <c r="K9253" t="s">
        <v>41184</v>
      </c>
      <c r="M9253" t="s">
        <v>42462</v>
      </c>
      <c r="N9253" t="s">
        <v>45095</v>
      </c>
      <c r="O9253" t="s">
        <v>45096</v>
      </c>
      <c r="P9253">
        <v>0</v>
      </c>
      <c r="Q9253">
        <v>0</v>
      </c>
      <c r="R9253" t="s">
        <v>45104</v>
      </c>
      <c r="S9253" t="s">
        <v>45304</v>
      </c>
      <c r="T9253" t="s">
        <v>47164</v>
      </c>
      <c r="U9253" t="s">
        <v>55128</v>
      </c>
      <c r="W9253" t="s">
        <v>42462</v>
      </c>
      <c r="X9253" t="s">
        <v>45105</v>
      </c>
    </row>
    <row r="9254" spans="1:24">
      <c r="A9254">
        <f>HYPERLINK("https://www.philgeps.gov.ph/GEPSNONPILOT/Tender/SplashBidNoticeAbstractUI.aspx?menuIndex=3&amp;refID=7035007&amp;Result=3","7035007")</f>
        <v>0</v>
      </c>
      <c r="B9254" t="s">
        <v>1770</v>
      </c>
      <c r="C9254" t="s">
        <v>12011</v>
      </c>
      <c r="D9254" t="s">
        <v>18065</v>
      </c>
      <c r="E9254" t="s">
        <v>26191</v>
      </c>
      <c r="F9254" t="s">
        <v>31574</v>
      </c>
      <c r="G9254" t="s">
        <v>31582</v>
      </c>
      <c r="H9254" t="s">
        <v>31591</v>
      </c>
      <c r="I9254" t="s">
        <v>8822</v>
      </c>
      <c r="J9254" t="s">
        <v>31819</v>
      </c>
      <c r="K9254" t="s">
        <v>41189</v>
      </c>
      <c r="L9254" t="s">
        <v>1770</v>
      </c>
      <c r="M9254" t="s">
        <v>44289</v>
      </c>
      <c r="N9254" t="s">
        <v>45095</v>
      </c>
      <c r="O9254" t="s">
        <v>45096</v>
      </c>
      <c r="P9254">
        <v>0</v>
      </c>
      <c r="Q9254">
        <v>0</v>
      </c>
      <c r="R9254" t="s">
        <v>45104</v>
      </c>
      <c r="S9254" t="s">
        <v>45304</v>
      </c>
      <c r="T9254" t="s">
        <v>46988</v>
      </c>
      <c r="U9254" t="s">
        <v>55135</v>
      </c>
      <c r="V9254" t="s">
        <v>60795</v>
      </c>
      <c r="W9254" t="s">
        <v>44289</v>
      </c>
      <c r="X9254" t="s">
        <v>45105</v>
      </c>
    </row>
    <row r="9255" spans="1:24">
      <c r="A9255">
        <f>HYPERLINK("https://www.philgeps.gov.ph/GEPSNONPILOT/Tender/SplashBidNoticeAbstractUI.aspx?menuIndex=3&amp;refID=7035024&amp;Result=3","7035024")</f>
        <v>0</v>
      </c>
      <c r="B9255" t="s">
        <v>2063</v>
      </c>
      <c r="C9255" t="s">
        <v>12012</v>
      </c>
      <c r="E9255" t="s">
        <v>26192</v>
      </c>
      <c r="F9255" t="s">
        <v>31574</v>
      </c>
      <c r="G9255" t="s">
        <v>31582</v>
      </c>
      <c r="H9255" t="s">
        <v>31590</v>
      </c>
      <c r="I9255" t="s">
        <v>31686</v>
      </c>
      <c r="J9255" t="s">
        <v>35831</v>
      </c>
      <c r="K9255" t="s">
        <v>41184</v>
      </c>
      <c r="M9255" t="s">
        <v>43737</v>
      </c>
      <c r="N9255" t="s">
        <v>45095</v>
      </c>
      <c r="O9255" t="s">
        <v>45096</v>
      </c>
      <c r="P9255">
        <v>0</v>
      </c>
      <c r="Q9255">
        <v>11</v>
      </c>
      <c r="R9255" t="s">
        <v>45104</v>
      </c>
      <c r="S9255" t="s">
        <v>45304</v>
      </c>
      <c r="T9255" t="s">
        <v>47305</v>
      </c>
      <c r="U9255" t="s">
        <v>53186</v>
      </c>
      <c r="W9255" t="s">
        <v>43737</v>
      </c>
      <c r="X9255" t="s">
        <v>45105</v>
      </c>
    </row>
    <row r="9256" spans="1:24">
      <c r="A9256">
        <f>HYPERLINK("https://www.philgeps.gov.ph/GEPSNONPILOT/Tender/SplashBidNoticeAbstractUI.aspx?menuIndex=3&amp;refID=7035005&amp;Result=3","7035005")</f>
        <v>0</v>
      </c>
      <c r="B9256" t="s">
        <v>468</v>
      </c>
      <c r="C9256" t="s">
        <v>11996</v>
      </c>
      <c r="D9256" t="s">
        <v>18083</v>
      </c>
      <c r="E9256" t="s">
        <v>26193</v>
      </c>
      <c r="F9256" t="s">
        <v>31574</v>
      </c>
      <c r="G9256" t="s">
        <v>31588</v>
      </c>
      <c r="H9256" t="s">
        <v>31591</v>
      </c>
      <c r="I9256" t="s">
        <v>8822</v>
      </c>
      <c r="J9256" t="s">
        <v>37561</v>
      </c>
      <c r="K9256" t="s">
        <v>41254</v>
      </c>
      <c r="M9256" t="s">
        <v>41962</v>
      </c>
      <c r="N9256" t="s">
        <v>45095</v>
      </c>
      <c r="O9256" t="s">
        <v>45096</v>
      </c>
      <c r="P9256">
        <v>0</v>
      </c>
      <c r="Q9256">
        <v>0</v>
      </c>
      <c r="R9256" t="s">
        <v>45104</v>
      </c>
      <c r="S9256" t="s">
        <v>45304</v>
      </c>
      <c r="T9256" t="s">
        <v>46977</v>
      </c>
      <c r="U9256" t="s">
        <v>55136</v>
      </c>
      <c r="W9256" t="s">
        <v>41962</v>
      </c>
      <c r="X9256" t="s">
        <v>45105</v>
      </c>
    </row>
    <row r="9257" spans="1:24">
      <c r="A9257">
        <f>HYPERLINK("https://www.philgeps.gov.ph/GEPSNONPILOT/Tender/SplashBidNoticeAbstractUI.aspx?menuIndex=3&amp;refID=7035029&amp;Result=3","7035029")</f>
        <v>0</v>
      </c>
      <c r="B9257" t="s">
        <v>2552</v>
      </c>
      <c r="C9257" t="s">
        <v>12013</v>
      </c>
      <c r="D9257" t="s">
        <v>18066</v>
      </c>
      <c r="E9257" t="s">
        <v>18192</v>
      </c>
      <c r="F9257" t="s">
        <v>31574</v>
      </c>
      <c r="G9257" t="s">
        <v>31583</v>
      </c>
      <c r="H9257" t="s">
        <v>31590</v>
      </c>
      <c r="I9257" t="s">
        <v>3487</v>
      </c>
      <c r="J9257" t="s">
        <v>31845</v>
      </c>
      <c r="K9257" t="s">
        <v>41211</v>
      </c>
      <c r="M9257" t="s">
        <v>44290</v>
      </c>
      <c r="N9257" t="s">
        <v>45095</v>
      </c>
      <c r="O9257" t="s">
        <v>45096</v>
      </c>
      <c r="P9257">
        <v>0</v>
      </c>
      <c r="Q9257">
        <v>2</v>
      </c>
      <c r="R9257" t="s">
        <v>45104</v>
      </c>
      <c r="S9257" t="s">
        <v>45304</v>
      </c>
      <c r="T9257" t="s">
        <v>47154</v>
      </c>
      <c r="U9257" t="s">
        <v>55137</v>
      </c>
      <c r="W9257" t="s">
        <v>44290</v>
      </c>
      <c r="X9257" t="s">
        <v>45105</v>
      </c>
    </row>
    <row r="9258" spans="1:24">
      <c r="A9258">
        <f>HYPERLINK("https://www.philgeps.gov.ph/GEPSNONPILOT/Tender/SplashBidNoticeAbstractUI.aspx?menuIndex=3&amp;refID=7035020&amp;Result=3","7035020")</f>
        <v>0</v>
      </c>
      <c r="B9258" t="s">
        <v>699</v>
      </c>
      <c r="C9258" t="s">
        <v>12014</v>
      </c>
      <c r="D9258" t="s">
        <v>18066</v>
      </c>
      <c r="E9258" t="s">
        <v>26194</v>
      </c>
      <c r="F9258" t="s">
        <v>31574</v>
      </c>
      <c r="G9258" t="s">
        <v>31582</v>
      </c>
      <c r="H9258" t="s">
        <v>31590</v>
      </c>
      <c r="I9258" t="s">
        <v>31600</v>
      </c>
      <c r="J9258" t="s">
        <v>37562</v>
      </c>
      <c r="K9258" t="s">
        <v>41184</v>
      </c>
      <c r="M9258" t="s">
        <v>42206</v>
      </c>
      <c r="N9258" t="s">
        <v>45095</v>
      </c>
      <c r="O9258" t="s">
        <v>45096</v>
      </c>
      <c r="P9258">
        <v>0</v>
      </c>
      <c r="Q9258">
        <v>3</v>
      </c>
      <c r="R9258" t="s">
        <v>45104</v>
      </c>
      <c r="S9258" t="s">
        <v>45304</v>
      </c>
      <c r="T9258" t="s">
        <v>46965</v>
      </c>
      <c r="U9258" t="s">
        <v>48947</v>
      </c>
      <c r="V9258" t="s">
        <v>60013</v>
      </c>
      <c r="W9258" t="s">
        <v>42206</v>
      </c>
      <c r="X9258" t="s">
        <v>45105</v>
      </c>
    </row>
    <row r="9259" spans="1:24">
      <c r="A9259">
        <f>HYPERLINK("https://www.philgeps.gov.ph/GEPSNONPILOT/Tender/SplashBidNoticeAbstractUI.aspx?menuIndex=3&amp;refID=7035019&amp;Result=3","7035019")</f>
        <v>0</v>
      </c>
      <c r="B9259" t="s">
        <v>2063</v>
      </c>
      <c r="C9259" t="s">
        <v>12015</v>
      </c>
      <c r="E9259" t="s">
        <v>26195</v>
      </c>
      <c r="F9259" t="s">
        <v>31574</v>
      </c>
      <c r="G9259" t="s">
        <v>31582</v>
      </c>
      <c r="H9259" t="s">
        <v>31590</v>
      </c>
      <c r="I9259" t="s">
        <v>7162</v>
      </c>
      <c r="J9259" t="s">
        <v>37563</v>
      </c>
      <c r="K9259" t="s">
        <v>41184</v>
      </c>
      <c r="M9259" t="s">
        <v>43737</v>
      </c>
      <c r="N9259" t="s">
        <v>45095</v>
      </c>
      <c r="O9259" t="s">
        <v>45096</v>
      </c>
      <c r="P9259">
        <v>0</v>
      </c>
      <c r="Q9259">
        <v>13</v>
      </c>
      <c r="R9259" t="s">
        <v>45104</v>
      </c>
      <c r="S9259" t="s">
        <v>45304</v>
      </c>
      <c r="T9259" t="s">
        <v>47010</v>
      </c>
      <c r="U9259" t="s">
        <v>53186</v>
      </c>
      <c r="W9259" t="s">
        <v>43737</v>
      </c>
      <c r="X9259" t="s">
        <v>45105</v>
      </c>
    </row>
    <row r="9260" spans="1:24">
      <c r="A9260">
        <f>HYPERLINK("https://www.philgeps.gov.ph/GEPSNONPILOT/Tender/SplashBidNoticeAbstractUI.aspx?menuIndex=3&amp;refID=7035033&amp;Result=3","7035033")</f>
        <v>0</v>
      </c>
      <c r="B9260" t="s">
        <v>2548</v>
      </c>
      <c r="C9260" t="s">
        <v>12016</v>
      </c>
      <c r="D9260" t="s">
        <v>18066</v>
      </c>
      <c r="E9260" t="s">
        <v>26196</v>
      </c>
      <c r="F9260" t="s">
        <v>31574</v>
      </c>
      <c r="G9260" t="s">
        <v>31582</v>
      </c>
      <c r="H9260" t="s">
        <v>31591</v>
      </c>
      <c r="I9260" t="s">
        <v>8822</v>
      </c>
      <c r="J9260" t="s">
        <v>37557</v>
      </c>
      <c r="K9260" t="s">
        <v>41200</v>
      </c>
      <c r="M9260" t="s">
        <v>44285</v>
      </c>
      <c r="N9260" t="s">
        <v>45095</v>
      </c>
      <c r="O9260" t="s">
        <v>45096</v>
      </c>
      <c r="P9260">
        <v>0</v>
      </c>
      <c r="Q9260">
        <v>0</v>
      </c>
      <c r="R9260" t="s">
        <v>45104</v>
      </c>
      <c r="S9260" t="s">
        <v>45304</v>
      </c>
      <c r="T9260" t="s">
        <v>46965</v>
      </c>
      <c r="U9260" t="s">
        <v>55118</v>
      </c>
      <c r="W9260" t="s">
        <v>44285</v>
      </c>
      <c r="X9260" t="s">
        <v>45105</v>
      </c>
    </row>
    <row r="9261" spans="1:24">
      <c r="A9261">
        <f>HYPERLINK("https://www.philgeps.gov.ph/GEPSNONPILOT/Tender/SplashBidNoticeAbstractUI.aspx?menuIndex=3&amp;refID=7035032&amp;Result=3","7035032")</f>
        <v>0</v>
      </c>
      <c r="B9261" t="s">
        <v>1976</v>
      </c>
      <c r="C9261" t="s">
        <v>12017</v>
      </c>
      <c r="D9261" t="s">
        <v>18056</v>
      </c>
      <c r="E9261" t="s">
        <v>26197</v>
      </c>
      <c r="F9261" t="s">
        <v>31574</v>
      </c>
      <c r="G9261" t="s">
        <v>31582</v>
      </c>
      <c r="H9261" t="s">
        <v>31590</v>
      </c>
      <c r="I9261" t="s">
        <v>31691</v>
      </c>
      <c r="J9261" t="s">
        <v>32085</v>
      </c>
      <c r="K9261" t="s">
        <v>41192</v>
      </c>
      <c r="M9261" t="s">
        <v>44291</v>
      </c>
      <c r="N9261" t="s">
        <v>45095</v>
      </c>
      <c r="O9261" t="s">
        <v>45096</v>
      </c>
      <c r="Q9261">
        <v>1</v>
      </c>
      <c r="R9261" t="s">
        <v>45104</v>
      </c>
      <c r="S9261" t="s">
        <v>45344</v>
      </c>
      <c r="T9261" t="s">
        <v>46988</v>
      </c>
      <c r="U9261" t="s">
        <v>55138</v>
      </c>
      <c r="W9261" t="s">
        <v>44291</v>
      </c>
      <c r="X9261" t="s">
        <v>45105</v>
      </c>
    </row>
    <row r="9262" spans="1:24">
      <c r="A9262">
        <f>HYPERLINK("https://www.philgeps.gov.ph/GEPSNONPILOT/Tender/SplashBidNoticeAbstractUI.aspx?menuIndex=3&amp;refID=7035040&amp;Result=3","7035040")</f>
        <v>0</v>
      </c>
      <c r="B9262" t="s">
        <v>1971</v>
      </c>
      <c r="C9262" t="s">
        <v>12018</v>
      </c>
      <c r="D9262" t="s">
        <v>18027</v>
      </c>
      <c r="E9262" t="s">
        <v>26198</v>
      </c>
      <c r="F9262" t="s">
        <v>31574</v>
      </c>
      <c r="G9262" t="s">
        <v>31582</v>
      </c>
      <c r="H9262" t="s">
        <v>31591</v>
      </c>
      <c r="I9262" t="s">
        <v>8822</v>
      </c>
      <c r="J9262" t="s">
        <v>37564</v>
      </c>
      <c r="K9262" t="s">
        <v>41375</v>
      </c>
      <c r="M9262" t="s">
        <v>43628</v>
      </c>
      <c r="N9262" t="s">
        <v>45095</v>
      </c>
      <c r="O9262" t="s">
        <v>45096</v>
      </c>
      <c r="P9262">
        <v>0</v>
      </c>
      <c r="Q9262">
        <v>0</v>
      </c>
      <c r="R9262" t="s">
        <v>45104</v>
      </c>
      <c r="S9262" t="s">
        <v>45304</v>
      </c>
      <c r="T9262" t="s">
        <v>46962</v>
      </c>
      <c r="U9262" t="s">
        <v>55139</v>
      </c>
      <c r="W9262" t="s">
        <v>43628</v>
      </c>
      <c r="X9262" t="s">
        <v>45105</v>
      </c>
    </row>
    <row r="9263" spans="1:24">
      <c r="A9263">
        <f>HYPERLINK("https://www.philgeps.gov.ph/GEPSNONPILOT/Tender/SplashBidNoticeAbstractUI.aspx?menuIndex=3&amp;refID=7035026&amp;Result=3","7035026")</f>
        <v>0</v>
      </c>
      <c r="B9263" t="s">
        <v>38</v>
      </c>
      <c r="C9263" t="s">
        <v>12019</v>
      </c>
      <c r="D9263" t="s">
        <v>18033</v>
      </c>
      <c r="E9263" t="s">
        <v>26199</v>
      </c>
      <c r="F9263" t="s">
        <v>31574</v>
      </c>
      <c r="G9263" t="s">
        <v>31582</v>
      </c>
      <c r="H9263" t="s">
        <v>31591</v>
      </c>
      <c r="I9263" t="s">
        <v>8822</v>
      </c>
      <c r="J9263" t="s">
        <v>37072</v>
      </c>
      <c r="K9263" t="s">
        <v>41383</v>
      </c>
      <c r="M9263" t="s">
        <v>43276</v>
      </c>
      <c r="N9263" t="s">
        <v>45095</v>
      </c>
      <c r="O9263" t="s">
        <v>45096</v>
      </c>
      <c r="P9263">
        <v>0</v>
      </c>
      <c r="Q9263">
        <v>0</v>
      </c>
      <c r="R9263" t="s">
        <v>45104</v>
      </c>
      <c r="S9263" t="s">
        <v>45304</v>
      </c>
      <c r="T9263" t="s">
        <v>47010</v>
      </c>
      <c r="U9263" t="s">
        <v>49667</v>
      </c>
      <c r="W9263" t="s">
        <v>43276</v>
      </c>
      <c r="X9263" t="s">
        <v>45105</v>
      </c>
    </row>
    <row r="9264" spans="1:24">
      <c r="A9264">
        <f>HYPERLINK("https://www.philgeps.gov.ph/GEPSNONPILOT/Tender/SplashBidNoticeAbstractUI.aspx?menuIndex=3&amp;refID=7035060&amp;Result=3","7035060")</f>
        <v>0</v>
      </c>
      <c r="B9264" t="s">
        <v>935</v>
      </c>
      <c r="C9264" t="s">
        <v>12020</v>
      </c>
      <c r="D9264" t="s">
        <v>18075</v>
      </c>
      <c r="E9264" t="s">
        <v>26200</v>
      </c>
      <c r="F9264" t="s">
        <v>31574</v>
      </c>
      <c r="G9264" t="s">
        <v>31582</v>
      </c>
      <c r="H9264" t="s">
        <v>31591</v>
      </c>
      <c r="I9264" t="s">
        <v>8822</v>
      </c>
      <c r="J9264" t="s">
        <v>32232</v>
      </c>
      <c r="K9264" t="s">
        <v>41300</v>
      </c>
      <c r="M9264" t="s">
        <v>42462</v>
      </c>
      <c r="N9264" t="s">
        <v>45095</v>
      </c>
      <c r="O9264" t="s">
        <v>45096</v>
      </c>
      <c r="P9264">
        <v>0</v>
      </c>
      <c r="Q9264">
        <v>0</v>
      </c>
      <c r="R9264" t="s">
        <v>45104</v>
      </c>
      <c r="S9264" t="s">
        <v>45304</v>
      </c>
      <c r="T9264" t="s">
        <v>46920</v>
      </c>
      <c r="U9264" t="s">
        <v>55140</v>
      </c>
      <c r="V9264" t="s">
        <v>60796</v>
      </c>
      <c r="W9264" t="s">
        <v>42462</v>
      </c>
      <c r="X9264" t="s">
        <v>45105</v>
      </c>
    </row>
    <row r="9265" spans="1:24">
      <c r="A9265">
        <f>HYPERLINK("https://www.philgeps.gov.ph/GEPSNONPILOT/Tender/SplashBidNoticeAbstractUI.aspx?menuIndex=3&amp;refID=7035038&amp;Result=3","7035038")</f>
        <v>0</v>
      </c>
      <c r="B9265" t="s">
        <v>1971</v>
      </c>
      <c r="C9265" t="s">
        <v>12021</v>
      </c>
      <c r="D9265" t="s">
        <v>18027</v>
      </c>
      <c r="E9265" t="s">
        <v>26201</v>
      </c>
      <c r="F9265" t="s">
        <v>31574</v>
      </c>
      <c r="G9265" t="s">
        <v>31582</v>
      </c>
      <c r="H9265" t="s">
        <v>31591</v>
      </c>
      <c r="I9265" t="s">
        <v>8822</v>
      </c>
      <c r="J9265" t="s">
        <v>37565</v>
      </c>
      <c r="K9265" t="s">
        <v>41375</v>
      </c>
      <c r="M9265" t="s">
        <v>43628</v>
      </c>
      <c r="N9265" t="s">
        <v>45095</v>
      </c>
      <c r="O9265" t="s">
        <v>45096</v>
      </c>
      <c r="P9265">
        <v>0</v>
      </c>
      <c r="Q9265">
        <v>0</v>
      </c>
      <c r="R9265" t="s">
        <v>45104</v>
      </c>
      <c r="S9265" t="s">
        <v>45304</v>
      </c>
      <c r="T9265" t="s">
        <v>46962</v>
      </c>
      <c r="U9265" t="s">
        <v>55141</v>
      </c>
      <c r="W9265" t="s">
        <v>43628</v>
      </c>
      <c r="X9265" t="s">
        <v>45105</v>
      </c>
    </row>
    <row r="9266" spans="1:24">
      <c r="A9266">
        <f>HYPERLINK("https://www.philgeps.gov.ph/GEPSNONPILOT/Tender/SplashBidNoticeAbstractUI.aspx?menuIndex=3&amp;refID=7035062&amp;Result=3","7035062")</f>
        <v>0</v>
      </c>
      <c r="B9266" t="s">
        <v>135</v>
      </c>
      <c r="C9266" t="s">
        <v>12022</v>
      </c>
      <c r="D9266" t="s">
        <v>18022</v>
      </c>
      <c r="E9266" t="s">
        <v>26202</v>
      </c>
      <c r="F9266" t="s">
        <v>31574</v>
      </c>
      <c r="G9266" t="s">
        <v>31582</v>
      </c>
      <c r="H9266" t="s">
        <v>31590</v>
      </c>
      <c r="I9266" t="s">
        <v>31612</v>
      </c>
      <c r="J9266" t="s">
        <v>37566</v>
      </c>
      <c r="K9266" t="s">
        <v>41184</v>
      </c>
      <c r="M9266" t="s">
        <v>42410</v>
      </c>
      <c r="N9266" t="s">
        <v>45095</v>
      </c>
      <c r="O9266" t="s">
        <v>45096</v>
      </c>
      <c r="P9266">
        <v>0</v>
      </c>
      <c r="Q9266">
        <v>6</v>
      </c>
      <c r="R9266" t="s">
        <v>45104</v>
      </c>
      <c r="S9266" t="s">
        <v>45304</v>
      </c>
      <c r="T9266" t="s">
        <v>47010</v>
      </c>
      <c r="U9266" t="s">
        <v>55142</v>
      </c>
      <c r="W9266" t="s">
        <v>42410</v>
      </c>
      <c r="X9266" t="s">
        <v>45105</v>
      </c>
    </row>
    <row r="9267" spans="1:24">
      <c r="A9267">
        <f>HYPERLINK("https://www.philgeps.gov.ph/GEPSNONPILOT/Tender/SplashBidNoticeAbstractUI.aspx?menuIndex=3&amp;refID=7035039&amp;Result=3","7035039")</f>
        <v>0</v>
      </c>
      <c r="B9267" t="s">
        <v>935</v>
      </c>
      <c r="C9267" t="s">
        <v>12023</v>
      </c>
      <c r="D9267" t="s">
        <v>18075</v>
      </c>
      <c r="E9267" t="s">
        <v>26203</v>
      </c>
      <c r="F9267" t="s">
        <v>31574</v>
      </c>
      <c r="G9267" t="s">
        <v>31582</v>
      </c>
      <c r="H9267" t="s">
        <v>31590</v>
      </c>
      <c r="I9267" t="s">
        <v>8258</v>
      </c>
      <c r="J9267" t="s">
        <v>37567</v>
      </c>
      <c r="K9267" t="s">
        <v>41184</v>
      </c>
      <c r="M9267" t="s">
        <v>42462</v>
      </c>
      <c r="N9267" t="s">
        <v>45095</v>
      </c>
      <c r="O9267" t="s">
        <v>45096</v>
      </c>
      <c r="P9267">
        <v>0</v>
      </c>
      <c r="Q9267">
        <v>1</v>
      </c>
      <c r="R9267" t="s">
        <v>45104</v>
      </c>
      <c r="S9267" t="s">
        <v>45304</v>
      </c>
      <c r="T9267" t="s">
        <v>47164</v>
      </c>
      <c r="U9267" t="s">
        <v>55143</v>
      </c>
      <c r="W9267" t="s">
        <v>42462</v>
      </c>
      <c r="X9267" t="s">
        <v>45105</v>
      </c>
    </row>
    <row r="9268" spans="1:24">
      <c r="A9268">
        <f>HYPERLINK("https://www.philgeps.gov.ph/GEPSNONPILOT/Tender/SplashBidNoticeAbstractUI.aspx?menuIndex=3&amp;refID=7035058&amp;Result=3","7035058")</f>
        <v>0</v>
      </c>
      <c r="B9268" t="s">
        <v>935</v>
      </c>
      <c r="C9268" t="s">
        <v>12024</v>
      </c>
      <c r="D9268" t="s">
        <v>18075</v>
      </c>
      <c r="E9268" t="s">
        <v>26204</v>
      </c>
      <c r="F9268" t="s">
        <v>31574</v>
      </c>
      <c r="G9268" t="s">
        <v>31582</v>
      </c>
      <c r="H9268" t="s">
        <v>31591</v>
      </c>
      <c r="I9268" t="s">
        <v>8822</v>
      </c>
      <c r="J9268" t="s">
        <v>37568</v>
      </c>
      <c r="K9268" t="s">
        <v>41384</v>
      </c>
      <c r="M9268" t="s">
        <v>42462</v>
      </c>
      <c r="N9268" t="s">
        <v>45095</v>
      </c>
      <c r="O9268" t="s">
        <v>45096</v>
      </c>
      <c r="P9268">
        <v>0</v>
      </c>
      <c r="Q9268">
        <v>0</v>
      </c>
      <c r="R9268" t="s">
        <v>45104</v>
      </c>
      <c r="S9268" t="s">
        <v>45304</v>
      </c>
      <c r="T9268" t="s">
        <v>46920</v>
      </c>
      <c r="U9268" t="s">
        <v>55144</v>
      </c>
      <c r="V9268" t="s">
        <v>60796</v>
      </c>
      <c r="W9268" t="s">
        <v>42462</v>
      </c>
      <c r="X9268" t="s">
        <v>45105</v>
      </c>
    </row>
    <row r="9269" spans="1:24">
      <c r="A9269">
        <f>HYPERLINK("https://www.philgeps.gov.ph/GEPSNONPILOT/Tender/SplashBidNoticeAbstractUI.aspx?menuIndex=3&amp;refID=7035050&amp;Result=3","7035050")</f>
        <v>0</v>
      </c>
      <c r="B9269" t="s">
        <v>935</v>
      </c>
      <c r="C9269" t="s">
        <v>12025</v>
      </c>
      <c r="D9269" t="s">
        <v>18075</v>
      </c>
      <c r="E9269" t="s">
        <v>26205</v>
      </c>
      <c r="F9269" t="s">
        <v>31574</v>
      </c>
      <c r="G9269" t="s">
        <v>31582</v>
      </c>
      <c r="H9269" t="s">
        <v>31590</v>
      </c>
      <c r="I9269" t="s">
        <v>31594</v>
      </c>
      <c r="J9269" t="s">
        <v>37569</v>
      </c>
      <c r="K9269" t="s">
        <v>41184</v>
      </c>
      <c r="M9269" t="s">
        <v>42462</v>
      </c>
      <c r="N9269" t="s">
        <v>45095</v>
      </c>
      <c r="O9269" t="s">
        <v>45096</v>
      </c>
      <c r="P9269">
        <v>0</v>
      </c>
      <c r="Q9269">
        <v>3</v>
      </c>
      <c r="R9269" t="s">
        <v>45104</v>
      </c>
      <c r="S9269" t="s">
        <v>45304</v>
      </c>
      <c r="T9269" t="s">
        <v>47164</v>
      </c>
      <c r="U9269" t="s">
        <v>55143</v>
      </c>
      <c r="W9269" t="s">
        <v>42462</v>
      </c>
      <c r="X9269" t="s">
        <v>45105</v>
      </c>
    </row>
    <row r="9270" spans="1:24">
      <c r="A9270">
        <f>HYPERLINK("https://www.philgeps.gov.ph/GEPSNONPILOT/Tender/SplashBidNoticeAbstractUI.aspx?menuIndex=3&amp;refID=7035053&amp;Result=3","7035053")</f>
        <v>0</v>
      </c>
      <c r="B9270" t="s">
        <v>935</v>
      </c>
      <c r="C9270" t="s">
        <v>12026</v>
      </c>
      <c r="D9270" t="s">
        <v>18075</v>
      </c>
      <c r="E9270" t="s">
        <v>26206</v>
      </c>
      <c r="F9270" t="s">
        <v>31574</v>
      </c>
      <c r="G9270" t="s">
        <v>31582</v>
      </c>
      <c r="H9270" t="s">
        <v>31591</v>
      </c>
      <c r="I9270" t="s">
        <v>8822</v>
      </c>
      <c r="J9270" t="s">
        <v>37570</v>
      </c>
      <c r="K9270" t="s">
        <v>41295</v>
      </c>
      <c r="M9270" t="s">
        <v>42462</v>
      </c>
      <c r="N9270" t="s">
        <v>45095</v>
      </c>
      <c r="O9270" t="s">
        <v>45096</v>
      </c>
      <c r="P9270">
        <v>0</v>
      </c>
      <c r="Q9270">
        <v>0</v>
      </c>
      <c r="R9270" t="s">
        <v>45104</v>
      </c>
      <c r="S9270" t="s">
        <v>45304</v>
      </c>
      <c r="T9270" t="s">
        <v>46920</v>
      </c>
      <c r="U9270" t="s">
        <v>55145</v>
      </c>
      <c r="V9270" t="s">
        <v>60796</v>
      </c>
      <c r="W9270" t="s">
        <v>42462</v>
      </c>
      <c r="X9270" t="s">
        <v>45105</v>
      </c>
    </row>
    <row r="9271" spans="1:24">
      <c r="A9271">
        <f>HYPERLINK("https://www.philgeps.gov.ph/GEPSNONPILOT/Tender/SplashBidNoticeAbstractUI.aspx?menuIndex=3&amp;refID=7035043&amp;Result=3","7035043")</f>
        <v>0</v>
      </c>
      <c r="B9271" t="s">
        <v>38</v>
      </c>
      <c r="C9271" t="s">
        <v>12027</v>
      </c>
      <c r="D9271" t="s">
        <v>18033</v>
      </c>
      <c r="E9271" t="s">
        <v>26207</v>
      </c>
      <c r="F9271" t="s">
        <v>31574</v>
      </c>
      <c r="G9271" t="s">
        <v>31582</v>
      </c>
      <c r="H9271" t="s">
        <v>31591</v>
      </c>
      <c r="I9271" t="s">
        <v>8822</v>
      </c>
      <c r="J9271" t="s">
        <v>37571</v>
      </c>
      <c r="K9271" t="s">
        <v>41344</v>
      </c>
      <c r="M9271" t="s">
        <v>43276</v>
      </c>
      <c r="N9271" t="s">
        <v>45095</v>
      </c>
      <c r="O9271" t="s">
        <v>45096</v>
      </c>
      <c r="P9271">
        <v>0</v>
      </c>
      <c r="Q9271">
        <v>0</v>
      </c>
      <c r="R9271" t="s">
        <v>45104</v>
      </c>
      <c r="S9271" t="s">
        <v>45304</v>
      </c>
      <c r="T9271" t="s">
        <v>47010</v>
      </c>
      <c r="U9271" t="s">
        <v>55146</v>
      </c>
      <c r="W9271" t="s">
        <v>43276</v>
      </c>
      <c r="X9271" t="s">
        <v>45105</v>
      </c>
    </row>
    <row r="9272" spans="1:24">
      <c r="A9272">
        <f>HYPERLINK("https://www.philgeps.gov.ph/GEPSNONPILOT/Tender/SplashBidNoticeAbstractUI.aspx?menuIndex=3&amp;refID=7035056&amp;Result=3","7035056")</f>
        <v>0</v>
      </c>
      <c r="B9272" t="s">
        <v>935</v>
      </c>
      <c r="C9272" t="s">
        <v>12028</v>
      </c>
      <c r="D9272" t="s">
        <v>18075</v>
      </c>
      <c r="E9272" t="s">
        <v>26208</v>
      </c>
      <c r="F9272" t="s">
        <v>31578</v>
      </c>
      <c r="G9272" t="s">
        <v>31582</v>
      </c>
      <c r="H9272" t="s">
        <v>31591</v>
      </c>
      <c r="I9272" t="s">
        <v>8822</v>
      </c>
      <c r="J9272" t="s">
        <v>35587</v>
      </c>
      <c r="K9272" t="s">
        <v>41351</v>
      </c>
      <c r="M9272" t="s">
        <v>42462</v>
      </c>
      <c r="N9272" t="s">
        <v>45095</v>
      </c>
      <c r="O9272" t="s">
        <v>45096</v>
      </c>
      <c r="P9272">
        <v>0</v>
      </c>
      <c r="Q9272">
        <v>0</v>
      </c>
      <c r="R9272" t="s">
        <v>45104</v>
      </c>
      <c r="S9272" t="s">
        <v>45304</v>
      </c>
      <c r="T9272" t="s">
        <v>46920</v>
      </c>
      <c r="U9272" t="s">
        <v>55147</v>
      </c>
      <c r="V9272" t="s">
        <v>60796</v>
      </c>
      <c r="W9272" t="s">
        <v>42462</v>
      </c>
      <c r="X9272" t="s">
        <v>45105</v>
      </c>
    </row>
    <row r="9273" spans="1:24">
      <c r="A9273">
        <f>HYPERLINK("https://www.philgeps.gov.ph/GEPSNONPILOT/Tender/SplashBidNoticeAbstractUI.aspx?menuIndex=3&amp;refID=7035049&amp;Result=3","7035049")</f>
        <v>0</v>
      </c>
      <c r="B9273" t="s">
        <v>1971</v>
      </c>
      <c r="C9273" t="s">
        <v>12029</v>
      </c>
      <c r="D9273" t="s">
        <v>18027</v>
      </c>
      <c r="E9273" t="s">
        <v>26209</v>
      </c>
      <c r="F9273" t="s">
        <v>31574</v>
      </c>
      <c r="G9273" t="s">
        <v>31582</v>
      </c>
      <c r="H9273" t="s">
        <v>31591</v>
      </c>
      <c r="I9273" t="s">
        <v>8822</v>
      </c>
      <c r="J9273" t="s">
        <v>37572</v>
      </c>
      <c r="K9273" t="s">
        <v>41203</v>
      </c>
      <c r="M9273" t="s">
        <v>43628</v>
      </c>
      <c r="N9273" t="s">
        <v>45095</v>
      </c>
      <c r="O9273" t="s">
        <v>45096</v>
      </c>
      <c r="P9273">
        <v>0</v>
      </c>
      <c r="Q9273">
        <v>0</v>
      </c>
      <c r="R9273" t="s">
        <v>45104</v>
      </c>
      <c r="S9273" t="s">
        <v>45304</v>
      </c>
      <c r="T9273" t="s">
        <v>46962</v>
      </c>
      <c r="U9273" t="s">
        <v>55148</v>
      </c>
      <c r="W9273" t="s">
        <v>43628</v>
      </c>
      <c r="X9273" t="s">
        <v>45105</v>
      </c>
    </row>
    <row r="9274" spans="1:24">
      <c r="A9274">
        <f>HYPERLINK("https://www.philgeps.gov.ph/GEPSNONPILOT/Tender/SplashBidNoticeAbstractUI.aspx?menuIndex=3&amp;refID=7035034&amp;Result=3","7035034")</f>
        <v>0</v>
      </c>
      <c r="B9274" t="s">
        <v>38</v>
      </c>
      <c r="C9274" t="s">
        <v>12030</v>
      </c>
      <c r="D9274" t="s">
        <v>18033</v>
      </c>
      <c r="E9274" t="s">
        <v>26210</v>
      </c>
      <c r="F9274" t="s">
        <v>31574</v>
      </c>
      <c r="G9274" t="s">
        <v>31582</v>
      </c>
      <c r="H9274" t="s">
        <v>31591</v>
      </c>
      <c r="I9274" t="s">
        <v>8822</v>
      </c>
      <c r="J9274" t="s">
        <v>37573</v>
      </c>
      <c r="K9274" t="s">
        <v>41385</v>
      </c>
      <c r="M9274" t="s">
        <v>43276</v>
      </c>
      <c r="N9274" t="s">
        <v>45095</v>
      </c>
      <c r="O9274" t="s">
        <v>45096</v>
      </c>
      <c r="P9274">
        <v>0</v>
      </c>
      <c r="Q9274">
        <v>1</v>
      </c>
      <c r="R9274" t="s">
        <v>45104</v>
      </c>
      <c r="S9274" t="s">
        <v>45304</v>
      </c>
      <c r="T9274" t="s">
        <v>47010</v>
      </c>
      <c r="U9274" t="s">
        <v>49667</v>
      </c>
      <c r="W9274" t="s">
        <v>43276</v>
      </c>
      <c r="X9274" t="s">
        <v>45105</v>
      </c>
    </row>
    <row r="9275" spans="1:24">
      <c r="A9275">
        <f>HYPERLINK("https://www.philgeps.gov.ph/GEPSNONPILOT/Tender/SplashBidNoticeAbstractUI.aspx?menuIndex=3&amp;refID=7035064&amp;Result=3","7035064")</f>
        <v>0</v>
      </c>
      <c r="B9275" t="s">
        <v>872</v>
      </c>
      <c r="C9275" t="s">
        <v>12031</v>
      </c>
      <c r="D9275" t="s">
        <v>18022</v>
      </c>
      <c r="E9275" t="s">
        <v>26211</v>
      </c>
      <c r="F9275" t="s">
        <v>31574</v>
      </c>
      <c r="G9275" t="s">
        <v>31582</v>
      </c>
      <c r="H9275" t="s">
        <v>31590</v>
      </c>
      <c r="I9275" t="s">
        <v>31608</v>
      </c>
      <c r="J9275" t="s">
        <v>31819</v>
      </c>
      <c r="K9275" t="s">
        <v>41189</v>
      </c>
      <c r="M9275" t="s">
        <v>42392</v>
      </c>
      <c r="N9275" t="s">
        <v>45095</v>
      </c>
      <c r="O9275" t="s">
        <v>45096</v>
      </c>
      <c r="P9275">
        <v>0</v>
      </c>
      <c r="Q9275">
        <v>12</v>
      </c>
      <c r="R9275" t="s">
        <v>45104</v>
      </c>
      <c r="S9275" t="s">
        <v>45304</v>
      </c>
      <c r="T9275" t="s">
        <v>46992</v>
      </c>
      <c r="U9275" t="s">
        <v>55149</v>
      </c>
      <c r="V9275" t="s">
        <v>60797</v>
      </c>
      <c r="W9275" t="s">
        <v>42392</v>
      </c>
      <c r="X9275" t="s">
        <v>45105</v>
      </c>
    </row>
    <row r="9276" spans="1:24">
      <c r="A9276">
        <f>HYPERLINK("https://www.philgeps.gov.ph/GEPSNONPILOT/Tender/SplashBidNoticeAbstractUI.aspx?menuIndex=3&amp;refID=7035055&amp;Result=3","7035055")</f>
        <v>0</v>
      </c>
      <c r="B9276" t="s">
        <v>699</v>
      </c>
      <c r="C9276" t="s">
        <v>12032</v>
      </c>
      <c r="D9276" t="s">
        <v>18066</v>
      </c>
      <c r="E9276" t="s">
        <v>26212</v>
      </c>
      <c r="F9276" t="s">
        <v>31574</v>
      </c>
      <c r="G9276" t="s">
        <v>31582</v>
      </c>
      <c r="H9276" t="s">
        <v>31591</v>
      </c>
      <c r="I9276" t="s">
        <v>31632</v>
      </c>
      <c r="J9276" t="s">
        <v>37574</v>
      </c>
      <c r="K9276" t="s">
        <v>41243</v>
      </c>
      <c r="M9276" t="s">
        <v>42206</v>
      </c>
      <c r="N9276" t="s">
        <v>45095</v>
      </c>
      <c r="O9276" t="s">
        <v>45096</v>
      </c>
      <c r="P9276">
        <v>0</v>
      </c>
      <c r="Q9276">
        <v>1</v>
      </c>
      <c r="R9276" t="s">
        <v>45104</v>
      </c>
      <c r="S9276" t="s">
        <v>45304</v>
      </c>
      <c r="T9276" t="s">
        <v>46965</v>
      </c>
      <c r="U9276" t="s">
        <v>55150</v>
      </c>
      <c r="V9276" t="s">
        <v>60013</v>
      </c>
      <c r="W9276" t="s">
        <v>42206</v>
      </c>
      <c r="X9276" t="s">
        <v>45105</v>
      </c>
    </row>
    <row r="9277" spans="1:24">
      <c r="A9277">
        <f>HYPERLINK("https://www.philgeps.gov.ph/GEPSNONPILOT/Tender/SplashBidNoticeAbstractUI.aspx?menuIndex=3&amp;refID=7035041&amp;Result=3","7035041")</f>
        <v>0</v>
      </c>
      <c r="B9277" t="s">
        <v>1329</v>
      </c>
      <c r="C9277" t="s">
        <v>12033</v>
      </c>
      <c r="E9277" t="s">
        <v>26213</v>
      </c>
      <c r="F9277" t="s">
        <v>31574</v>
      </c>
      <c r="G9277" t="s">
        <v>31582</v>
      </c>
      <c r="H9277" t="s">
        <v>31593</v>
      </c>
      <c r="I9277" t="s">
        <v>31593</v>
      </c>
      <c r="J9277" t="s">
        <v>37575</v>
      </c>
      <c r="K9277" t="s">
        <v>41386</v>
      </c>
      <c r="M9277" t="s">
        <v>44052</v>
      </c>
      <c r="N9277" t="s">
        <v>45095</v>
      </c>
      <c r="O9277" t="s">
        <v>45096</v>
      </c>
      <c r="Q9277">
        <v>6</v>
      </c>
      <c r="R9277" t="s">
        <v>45104</v>
      </c>
      <c r="S9277" t="s">
        <v>45345</v>
      </c>
      <c r="T9277" t="s">
        <v>46984</v>
      </c>
      <c r="U9277" t="s">
        <v>55151</v>
      </c>
      <c r="W9277" t="s">
        <v>44052</v>
      </c>
      <c r="X9277" t="s">
        <v>45105</v>
      </c>
    </row>
    <row r="9278" spans="1:24">
      <c r="A9278">
        <f>HYPERLINK("https://www.philgeps.gov.ph/GEPSNONPILOT/Tender/SplashBidNoticeAbstractUI.aspx?menuIndex=3&amp;refID=7035042&amp;Result=3","7035042")</f>
        <v>0</v>
      </c>
      <c r="B9278" t="s">
        <v>2553</v>
      </c>
      <c r="C9278" t="s">
        <v>12034</v>
      </c>
      <c r="D9278" t="s">
        <v>18068</v>
      </c>
      <c r="E9278" t="s">
        <v>26214</v>
      </c>
      <c r="F9278" t="s">
        <v>31574</v>
      </c>
      <c r="G9278" t="s">
        <v>31582</v>
      </c>
      <c r="H9278" t="s">
        <v>31591</v>
      </c>
      <c r="I9278" t="s">
        <v>8822</v>
      </c>
      <c r="J9278" t="s">
        <v>37576</v>
      </c>
      <c r="K9278" t="s">
        <v>41196</v>
      </c>
      <c r="M9278" t="s">
        <v>44292</v>
      </c>
      <c r="N9278" t="s">
        <v>45095</v>
      </c>
      <c r="O9278" t="s">
        <v>45096</v>
      </c>
      <c r="P9278">
        <v>0</v>
      </c>
      <c r="Q9278">
        <v>0</v>
      </c>
      <c r="R9278" t="s">
        <v>45104</v>
      </c>
      <c r="S9278" t="s">
        <v>45304</v>
      </c>
      <c r="T9278" t="s">
        <v>47159</v>
      </c>
      <c r="U9278" t="s">
        <v>55152</v>
      </c>
      <c r="W9278" t="s">
        <v>44292</v>
      </c>
      <c r="X9278" t="s">
        <v>45105</v>
      </c>
    </row>
    <row r="9279" spans="1:24">
      <c r="A9279">
        <f>HYPERLINK("https://www.philgeps.gov.ph/GEPSNONPILOT/Tender/SplashBidNoticeAbstractUI.aspx?menuIndex=3&amp;refID=7035044&amp;Result=3","7035044")</f>
        <v>0</v>
      </c>
      <c r="B9279" t="s">
        <v>1971</v>
      </c>
      <c r="C9279" t="s">
        <v>12035</v>
      </c>
      <c r="D9279" t="s">
        <v>18027</v>
      </c>
      <c r="E9279" t="s">
        <v>26215</v>
      </c>
      <c r="F9279" t="s">
        <v>31574</v>
      </c>
      <c r="G9279" t="s">
        <v>31582</v>
      </c>
      <c r="H9279" t="s">
        <v>31591</v>
      </c>
      <c r="I9279" t="s">
        <v>8822</v>
      </c>
      <c r="J9279" t="s">
        <v>37577</v>
      </c>
      <c r="K9279" t="s">
        <v>41328</v>
      </c>
      <c r="M9279" t="s">
        <v>43628</v>
      </c>
      <c r="N9279" t="s">
        <v>45095</v>
      </c>
      <c r="O9279" t="s">
        <v>45096</v>
      </c>
      <c r="P9279">
        <v>0</v>
      </c>
      <c r="Q9279">
        <v>0</v>
      </c>
      <c r="R9279" t="s">
        <v>45104</v>
      </c>
      <c r="S9279" t="s">
        <v>45304</v>
      </c>
      <c r="T9279" t="s">
        <v>46962</v>
      </c>
      <c r="U9279" t="s">
        <v>55153</v>
      </c>
      <c r="W9279" t="s">
        <v>43628</v>
      </c>
      <c r="X9279" t="s">
        <v>45105</v>
      </c>
    </row>
    <row r="9280" spans="1:24">
      <c r="A9280">
        <f>HYPERLINK("https://www.philgeps.gov.ph/GEPSNONPILOT/Tender/SplashBidNoticeAbstractUI.aspx?menuIndex=3&amp;refID=7035045&amp;Result=3","7035045")</f>
        <v>0</v>
      </c>
      <c r="B9280" t="s">
        <v>2548</v>
      </c>
      <c r="C9280" t="s">
        <v>12036</v>
      </c>
      <c r="D9280" t="s">
        <v>18066</v>
      </c>
      <c r="E9280" t="s">
        <v>26216</v>
      </c>
      <c r="F9280" t="s">
        <v>31574</v>
      </c>
      <c r="G9280" t="s">
        <v>31582</v>
      </c>
      <c r="H9280" t="s">
        <v>31591</v>
      </c>
      <c r="I9280" t="s">
        <v>8822</v>
      </c>
      <c r="J9280" t="s">
        <v>37578</v>
      </c>
      <c r="K9280" t="s">
        <v>41200</v>
      </c>
      <c r="M9280" t="s">
        <v>44285</v>
      </c>
      <c r="N9280" t="s">
        <v>45095</v>
      </c>
      <c r="O9280" t="s">
        <v>45096</v>
      </c>
      <c r="P9280">
        <v>0</v>
      </c>
      <c r="Q9280">
        <v>0</v>
      </c>
      <c r="R9280" t="s">
        <v>45104</v>
      </c>
      <c r="S9280" t="s">
        <v>45304</v>
      </c>
      <c r="T9280" t="s">
        <v>46965</v>
      </c>
      <c r="U9280" t="s">
        <v>55118</v>
      </c>
      <c r="W9280" t="s">
        <v>44285</v>
      </c>
      <c r="X9280" t="s">
        <v>45105</v>
      </c>
    </row>
    <row r="9281" spans="1:24">
      <c r="A9281">
        <f>HYPERLINK("https://www.philgeps.gov.ph/GEPSNONPILOT/Tender/SplashBidNoticeAbstractUI.aspx?menuIndex=3&amp;refID=7035047&amp;Result=3","7035047")</f>
        <v>0</v>
      </c>
      <c r="B9281" t="s">
        <v>2554</v>
      </c>
      <c r="C9281" t="s">
        <v>12037</v>
      </c>
      <c r="D9281" t="s">
        <v>18027</v>
      </c>
      <c r="E9281" t="s">
        <v>19633</v>
      </c>
      <c r="F9281" t="s">
        <v>31574</v>
      </c>
      <c r="G9281" t="s">
        <v>31582</v>
      </c>
      <c r="H9281" t="s">
        <v>31592</v>
      </c>
      <c r="I9281" t="s">
        <v>31597</v>
      </c>
      <c r="J9281" t="s">
        <v>32232</v>
      </c>
      <c r="K9281" t="s">
        <v>41186</v>
      </c>
      <c r="M9281" t="s">
        <v>44293</v>
      </c>
      <c r="N9281" t="s">
        <v>45095</v>
      </c>
      <c r="O9281" t="s">
        <v>45096</v>
      </c>
      <c r="P9281">
        <v>0</v>
      </c>
      <c r="Q9281">
        <v>1</v>
      </c>
      <c r="R9281" t="s">
        <v>45104</v>
      </c>
      <c r="S9281" t="s">
        <v>45304</v>
      </c>
      <c r="T9281" t="s">
        <v>47164</v>
      </c>
      <c r="U9281" t="s">
        <v>55154</v>
      </c>
      <c r="W9281" t="s">
        <v>44293</v>
      </c>
      <c r="X9281" t="s">
        <v>45105</v>
      </c>
    </row>
    <row r="9282" spans="1:24">
      <c r="A9282">
        <f>HYPERLINK("https://www.philgeps.gov.ph/GEPSNONPILOT/Tender/SplashBidNoticeAbstractUI.aspx?menuIndex=3&amp;refID=7035067&amp;Result=3","7035067")</f>
        <v>0</v>
      </c>
      <c r="B9282" t="s">
        <v>699</v>
      </c>
      <c r="C9282" t="s">
        <v>12038</v>
      </c>
      <c r="D9282" t="s">
        <v>18066</v>
      </c>
      <c r="E9282" t="s">
        <v>26217</v>
      </c>
      <c r="F9282" t="s">
        <v>31574</v>
      </c>
      <c r="G9282" t="s">
        <v>31582</v>
      </c>
      <c r="H9282" t="s">
        <v>31591</v>
      </c>
      <c r="I9282" t="s">
        <v>31632</v>
      </c>
      <c r="J9282" t="s">
        <v>37579</v>
      </c>
      <c r="K9282" t="s">
        <v>41267</v>
      </c>
      <c r="M9282" t="s">
        <v>42206</v>
      </c>
      <c r="N9282" t="s">
        <v>45095</v>
      </c>
      <c r="O9282" t="s">
        <v>45096</v>
      </c>
      <c r="P9282">
        <v>0</v>
      </c>
      <c r="Q9282">
        <v>2</v>
      </c>
      <c r="R9282" t="s">
        <v>45104</v>
      </c>
      <c r="S9282" t="s">
        <v>45304</v>
      </c>
      <c r="T9282" t="s">
        <v>46965</v>
      </c>
      <c r="U9282" t="s">
        <v>55150</v>
      </c>
      <c r="V9282" t="s">
        <v>60013</v>
      </c>
      <c r="W9282" t="s">
        <v>42206</v>
      </c>
      <c r="X9282" t="s">
        <v>45105</v>
      </c>
    </row>
    <row r="9283" spans="1:24">
      <c r="A9283">
        <f>HYPERLINK("https://www.philgeps.gov.ph/GEPSNONPILOT/Tender/SplashBidNoticeAbstractUI.aspx?menuIndex=3&amp;refID=7035072&amp;Result=3","7035072")</f>
        <v>0</v>
      </c>
      <c r="B9283" t="s">
        <v>749</v>
      </c>
      <c r="C9283" t="s">
        <v>12039</v>
      </c>
      <c r="D9283" t="s">
        <v>18036</v>
      </c>
      <c r="E9283" t="s">
        <v>26218</v>
      </c>
      <c r="F9283" t="s">
        <v>31574</v>
      </c>
      <c r="G9283" t="s">
        <v>31582</v>
      </c>
      <c r="H9283" t="s">
        <v>31591</v>
      </c>
      <c r="I9283" t="s">
        <v>8822</v>
      </c>
      <c r="J9283" t="s">
        <v>31771</v>
      </c>
      <c r="K9283" t="s">
        <v>41189</v>
      </c>
      <c r="M9283" t="s">
        <v>42263</v>
      </c>
      <c r="N9283" t="s">
        <v>45095</v>
      </c>
      <c r="O9283" t="s">
        <v>45096</v>
      </c>
      <c r="Q9283">
        <v>0</v>
      </c>
      <c r="R9283" t="s">
        <v>45104</v>
      </c>
      <c r="S9283" t="s">
        <v>45346</v>
      </c>
      <c r="T9283" t="s">
        <v>46992</v>
      </c>
      <c r="U9283" t="s">
        <v>55155</v>
      </c>
      <c r="W9283" t="s">
        <v>42263</v>
      </c>
      <c r="X9283" t="s">
        <v>45105</v>
      </c>
    </row>
    <row r="9284" spans="1:24">
      <c r="A9284">
        <f>HYPERLINK("https://www.philgeps.gov.ph/GEPSNONPILOT/Tender/SplashBidNoticeAbstractUI.aspx?menuIndex=3&amp;refID=7035070&amp;Result=3","7035070")</f>
        <v>0</v>
      </c>
      <c r="B9284" t="s">
        <v>2555</v>
      </c>
      <c r="C9284" t="s">
        <v>12040</v>
      </c>
      <c r="D9284" t="s">
        <v>18065</v>
      </c>
      <c r="E9284" t="s">
        <v>26219</v>
      </c>
      <c r="F9284" t="s">
        <v>31574</v>
      </c>
      <c r="G9284" t="s">
        <v>31582</v>
      </c>
      <c r="H9284" t="s">
        <v>31590</v>
      </c>
      <c r="I9284" t="s">
        <v>4046</v>
      </c>
      <c r="J9284" t="s">
        <v>37580</v>
      </c>
      <c r="K9284" t="s">
        <v>41190</v>
      </c>
      <c r="M9284" t="s">
        <v>44294</v>
      </c>
      <c r="N9284" t="s">
        <v>45095</v>
      </c>
      <c r="O9284" t="s">
        <v>45096</v>
      </c>
      <c r="P9284">
        <v>0</v>
      </c>
      <c r="Q9284">
        <v>0</v>
      </c>
      <c r="R9284" t="s">
        <v>45104</v>
      </c>
      <c r="S9284" t="s">
        <v>45304</v>
      </c>
      <c r="T9284" t="s">
        <v>47158</v>
      </c>
      <c r="U9284" t="s">
        <v>55156</v>
      </c>
      <c r="W9284" t="s">
        <v>44294</v>
      </c>
      <c r="X9284" t="s">
        <v>45105</v>
      </c>
    </row>
    <row r="9285" spans="1:24">
      <c r="A9285">
        <f>HYPERLINK("https://www.philgeps.gov.ph/GEPSNONPILOT/Tender/SplashBidNoticeAbstractUI.aspx?menuIndex=3&amp;refID=7035091&amp;Result=3","7035091")</f>
        <v>0</v>
      </c>
      <c r="B9285" t="s">
        <v>2065</v>
      </c>
      <c r="C9285" t="s">
        <v>12041</v>
      </c>
      <c r="D9285" t="s">
        <v>18094</v>
      </c>
      <c r="E9285" t="s">
        <v>26220</v>
      </c>
      <c r="F9285" t="s">
        <v>31574</v>
      </c>
      <c r="G9285" t="s">
        <v>31582</v>
      </c>
      <c r="H9285" t="s">
        <v>31590</v>
      </c>
      <c r="I9285" t="s">
        <v>8258</v>
      </c>
      <c r="J9285" t="s">
        <v>37581</v>
      </c>
      <c r="K9285" t="s">
        <v>41186</v>
      </c>
      <c r="M9285" t="s">
        <v>43739</v>
      </c>
      <c r="N9285" t="s">
        <v>45095</v>
      </c>
      <c r="O9285" t="s">
        <v>45096</v>
      </c>
      <c r="P9285">
        <v>0</v>
      </c>
      <c r="Q9285">
        <v>3</v>
      </c>
      <c r="R9285" t="s">
        <v>45104</v>
      </c>
      <c r="S9285" t="s">
        <v>45304</v>
      </c>
      <c r="T9285" t="s">
        <v>47134</v>
      </c>
      <c r="U9285" t="s">
        <v>55157</v>
      </c>
      <c r="V9285" t="s">
        <v>60590</v>
      </c>
      <c r="W9285" t="s">
        <v>43739</v>
      </c>
      <c r="X9285" t="s">
        <v>45105</v>
      </c>
    </row>
    <row r="9286" spans="1:24">
      <c r="A9286">
        <f>HYPERLINK("https://www.philgeps.gov.ph/GEPSNONPILOT/Tender/SplashBidNoticeAbstractUI.aspx?menuIndex=3&amp;refID=7035071&amp;Result=3","7035071")</f>
        <v>0</v>
      </c>
      <c r="B9286" t="s">
        <v>2556</v>
      </c>
      <c r="C9286" t="s">
        <v>12042</v>
      </c>
      <c r="D9286" t="s">
        <v>18101</v>
      </c>
      <c r="E9286" t="s">
        <v>26221</v>
      </c>
      <c r="F9286" t="s">
        <v>31574</v>
      </c>
      <c r="G9286" t="s">
        <v>31582</v>
      </c>
      <c r="H9286" t="s">
        <v>31591</v>
      </c>
      <c r="I9286" t="s">
        <v>31663</v>
      </c>
      <c r="J9286" t="s">
        <v>37582</v>
      </c>
      <c r="K9286" t="s">
        <v>41189</v>
      </c>
      <c r="L9286" t="s">
        <v>2556</v>
      </c>
      <c r="M9286" t="s">
        <v>44295</v>
      </c>
      <c r="N9286" t="s">
        <v>45095</v>
      </c>
      <c r="O9286" t="s">
        <v>45096</v>
      </c>
      <c r="P9286">
        <v>0</v>
      </c>
      <c r="Q9286">
        <v>0</v>
      </c>
      <c r="R9286" t="s">
        <v>45104</v>
      </c>
      <c r="S9286" t="s">
        <v>45304</v>
      </c>
      <c r="T9286" t="s">
        <v>47158</v>
      </c>
      <c r="U9286" t="s">
        <v>55158</v>
      </c>
      <c r="W9286" t="s">
        <v>44295</v>
      </c>
      <c r="X9286" t="s">
        <v>45105</v>
      </c>
    </row>
    <row r="9287" spans="1:24">
      <c r="A9287">
        <f>HYPERLINK("https://www.philgeps.gov.ph/GEPSNONPILOT/Tender/SplashBidNoticeAbstractUI.aspx?menuIndex=3&amp;refID=7035096&amp;Result=3","7035096")</f>
        <v>0</v>
      </c>
      <c r="B9287" t="s">
        <v>2557</v>
      </c>
      <c r="C9287" t="s">
        <v>12043</v>
      </c>
      <c r="D9287" t="s">
        <v>18100</v>
      </c>
      <c r="E9287" t="s">
        <v>26222</v>
      </c>
      <c r="F9287" t="s">
        <v>31574</v>
      </c>
      <c r="G9287" t="s">
        <v>31582</v>
      </c>
      <c r="H9287" t="s">
        <v>31591</v>
      </c>
      <c r="I9287" t="s">
        <v>31632</v>
      </c>
      <c r="J9287" t="s">
        <v>32497</v>
      </c>
      <c r="K9287" t="s">
        <v>41192</v>
      </c>
      <c r="M9287" t="s">
        <v>44296</v>
      </c>
      <c r="N9287" t="s">
        <v>45095</v>
      </c>
      <c r="O9287" t="s">
        <v>45096</v>
      </c>
      <c r="P9287">
        <v>0</v>
      </c>
      <c r="Q9287">
        <v>8</v>
      </c>
      <c r="R9287" t="s">
        <v>45104</v>
      </c>
      <c r="S9287" t="s">
        <v>45304</v>
      </c>
      <c r="T9287" t="s">
        <v>47232</v>
      </c>
      <c r="U9287" t="s">
        <v>55159</v>
      </c>
      <c r="W9287" t="s">
        <v>44296</v>
      </c>
      <c r="X9287" t="s">
        <v>45105</v>
      </c>
    </row>
    <row r="9288" spans="1:24">
      <c r="A9288">
        <f>HYPERLINK("https://www.philgeps.gov.ph/GEPSNONPILOT/Tender/SplashBidNoticeAbstractUI.aspx?menuIndex=3&amp;refID=7035090&amp;Result=3","7035090")</f>
        <v>0</v>
      </c>
      <c r="B9288" t="s">
        <v>2557</v>
      </c>
      <c r="C9288" t="s">
        <v>12043</v>
      </c>
      <c r="D9288" t="s">
        <v>18100</v>
      </c>
      <c r="E9288" t="s">
        <v>26223</v>
      </c>
      <c r="F9288" t="s">
        <v>31574</v>
      </c>
      <c r="G9288" t="s">
        <v>31582</v>
      </c>
      <c r="H9288" t="s">
        <v>31591</v>
      </c>
      <c r="I9288" t="s">
        <v>31632</v>
      </c>
      <c r="J9288" t="s">
        <v>32026</v>
      </c>
      <c r="K9288" t="s">
        <v>41189</v>
      </c>
      <c r="M9288" t="s">
        <v>44296</v>
      </c>
      <c r="N9288" t="s">
        <v>45095</v>
      </c>
      <c r="O9288" t="s">
        <v>45096</v>
      </c>
      <c r="P9288">
        <v>0</v>
      </c>
      <c r="Q9288">
        <v>8</v>
      </c>
      <c r="R9288" t="s">
        <v>45104</v>
      </c>
      <c r="S9288" t="s">
        <v>45304</v>
      </c>
      <c r="T9288" t="s">
        <v>47232</v>
      </c>
      <c r="U9288" t="s">
        <v>55160</v>
      </c>
      <c r="W9288" t="s">
        <v>44296</v>
      </c>
      <c r="X9288" t="s">
        <v>45105</v>
      </c>
    </row>
    <row r="9289" spans="1:24">
      <c r="A9289">
        <f>HYPERLINK("https://www.philgeps.gov.ph/GEPSNONPILOT/Tender/SplashBidNoticeAbstractUI.aspx?menuIndex=3&amp;refID=7035084&amp;Result=3","7035084")</f>
        <v>0</v>
      </c>
      <c r="B9289" t="s">
        <v>2558</v>
      </c>
      <c r="C9289" t="s">
        <v>12044</v>
      </c>
      <c r="D9289" t="s">
        <v>18027</v>
      </c>
      <c r="E9289" t="s">
        <v>26224</v>
      </c>
      <c r="F9289" t="s">
        <v>31574</v>
      </c>
      <c r="G9289" t="s">
        <v>31582</v>
      </c>
      <c r="H9289" t="s">
        <v>31591</v>
      </c>
      <c r="I9289" t="s">
        <v>8822</v>
      </c>
      <c r="J9289" t="s">
        <v>31789</v>
      </c>
      <c r="K9289" t="s">
        <v>41185</v>
      </c>
      <c r="M9289" t="s">
        <v>44297</v>
      </c>
      <c r="N9289" t="s">
        <v>45095</v>
      </c>
      <c r="O9289" t="s">
        <v>45096</v>
      </c>
      <c r="P9289">
        <v>0</v>
      </c>
      <c r="Q9289">
        <v>0</v>
      </c>
      <c r="R9289" t="s">
        <v>45104</v>
      </c>
      <c r="S9289" t="s">
        <v>45304</v>
      </c>
      <c r="T9289" t="s">
        <v>47038</v>
      </c>
      <c r="U9289" t="s">
        <v>55161</v>
      </c>
      <c r="W9289" t="s">
        <v>44297</v>
      </c>
      <c r="X9289" t="s">
        <v>45105</v>
      </c>
    </row>
    <row r="9290" spans="1:24">
      <c r="A9290">
        <f>HYPERLINK("https://www.philgeps.gov.ph/GEPSNONPILOT/Tender/SplashBidNoticeAbstractUI.aspx?menuIndex=3&amp;refID=7035089&amp;Result=3","7035089")</f>
        <v>0</v>
      </c>
      <c r="B9290" t="s">
        <v>2559</v>
      </c>
      <c r="C9290" t="s">
        <v>12045</v>
      </c>
      <c r="D9290" t="s">
        <v>18066</v>
      </c>
      <c r="E9290" t="s">
        <v>26225</v>
      </c>
      <c r="F9290" t="s">
        <v>31574</v>
      </c>
      <c r="G9290" t="s">
        <v>31582</v>
      </c>
      <c r="H9290" t="s">
        <v>31590</v>
      </c>
      <c r="I9290" t="s">
        <v>31615</v>
      </c>
      <c r="J9290" t="s">
        <v>31771</v>
      </c>
      <c r="K9290" t="s">
        <v>41184</v>
      </c>
      <c r="M9290" t="s">
        <v>44298</v>
      </c>
      <c r="N9290" t="s">
        <v>45095</v>
      </c>
      <c r="O9290" t="s">
        <v>45096</v>
      </c>
      <c r="P9290">
        <v>0</v>
      </c>
      <c r="Q9290">
        <v>6</v>
      </c>
      <c r="R9290" t="s">
        <v>45104</v>
      </c>
      <c r="S9290" t="s">
        <v>45304</v>
      </c>
      <c r="T9290" t="s">
        <v>47093</v>
      </c>
      <c r="U9290" t="s">
        <v>50537</v>
      </c>
      <c r="W9290" t="s">
        <v>44298</v>
      </c>
      <c r="X9290" t="s">
        <v>45105</v>
      </c>
    </row>
    <row r="9291" spans="1:24">
      <c r="A9291">
        <f>HYPERLINK("https://www.philgeps.gov.ph/GEPSNONPILOT/Tender/SplashBidNoticeAbstractUI.aspx?menuIndex=3&amp;refID=7035083&amp;Result=3","7035083")</f>
        <v>0</v>
      </c>
      <c r="B9291" t="s">
        <v>2557</v>
      </c>
      <c r="C9291" t="s">
        <v>12043</v>
      </c>
      <c r="D9291" t="s">
        <v>18100</v>
      </c>
      <c r="E9291" t="s">
        <v>26226</v>
      </c>
      <c r="F9291" t="s">
        <v>31574</v>
      </c>
      <c r="G9291" t="s">
        <v>31582</v>
      </c>
      <c r="H9291" t="s">
        <v>31591</v>
      </c>
      <c r="I9291" t="s">
        <v>31632</v>
      </c>
      <c r="J9291" t="s">
        <v>31771</v>
      </c>
      <c r="K9291" t="s">
        <v>41243</v>
      </c>
      <c r="M9291" t="s">
        <v>44296</v>
      </c>
      <c r="N9291" t="s">
        <v>45095</v>
      </c>
      <c r="O9291" t="s">
        <v>45096</v>
      </c>
      <c r="P9291">
        <v>0</v>
      </c>
      <c r="Q9291">
        <v>8</v>
      </c>
      <c r="R9291" t="s">
        <v>45104</v>
      </c>
      <c r="S9291" t="s">
        <v>45304</v>
      </c>
      <c r="T9291" t="s">
        <v>47232</v>
      </c>
      <c r="U9291" t="s">
        <v>55162</v>
      </c>
      <c r="W9291" t="s">
        <v>44296</v>
      </c>
      <c r="X9291" t="s">
        <v>45105</v>
      </c>
    </row>
    <row r="9292" spans="1:24">
      <c r="A9292">
        <f>HYPERLINK("https://www.philgeps.gov.ph/GEPSNONPILOT/Tender/SplashBidNoticeAbstractUI.aspx?menuIndex=3&amp;refID=7035085&amp;Result=3","7035085")</f>
        <v>0</v>
      </c>
      <c r="B9292" t="s">
        <v>2560</v>
      </c>
      <c r="C9292" t="s">
        <v>12046</v>
      </c>
      <c r="D9292" t="s">
        <v>18101</v>
      </c>
      <c r="E9292" t="s">
        <v>26227</v>
      </c>
      <c r="F9292" t="s">
        <v>31574</v>
      </c>
      <c r="G9292" t="s">
        <v>31582</v>
      </c>
      <c r="H9292" t="s">
        <v>31591</v>
      </c>
      <c r="I9292" t="s">
        <v>8822</v>
      </c>
      <c r="J9292" t="s">
        <v>37583</v>
      </c>
      <c r="K9292" t="s">
        <v>41245</v>
      </c>
      <c r="L9292" t="s">
        <v>2560</v>
      </c>
      <c r="M9292" t="s">
        <v>44299</v>
      </c>
      <c r="N9292" t="s">
        <v>45095</v>
      </c>
      <c r="O9292" t="s">
        <v>45096</v>
      </c>
      <c r="P9292">
        <v>0</v>
      </c>
      <c r="Q9292">
        <v>0</v>
      </c>
      <c r="R9292" t="s">
        <v>45104</v>
      </c>
      <c r="S9292" t="s">
        <v>45304</v>
      </c>
      <c r="T9292" t="s">
        <v>47097</v>
      </c>
      <c r="U9292" t="s">
        <v>55163</v>
      </c>
      <c r="W9292" t="s">
        <v>44299</v>
      </c>
      <c r="X9292" t="s">
        <v>45105</v>
      </c>
    </row>
    <row r="9293" spans="1:24">
      <c r="A9293">
        <f>HYPERLINK("https://www.philgeps.gov.ph/GEPSNONPILOT/Tender/SplashBidNoticeAbstractUI.aspx?menuIndex=3&amp;refID=7035102&amp;Result=3","7035102")</f>
        <v>0</v>
      </c>
      <c r="B9293" t="s">
        <v>2561</v>
      </c>
      <c r="C9293" t="s">
        <v>12047</v>
      </c>
      <c r="D9293" t="s">
        <v>18056</v>
      </c>
      <c r="E9293" t="s">
        <v>26228</v>
      </c>
      <c r="F9293" t="s">
        <v>31574</v>
      </c>
      <c r="G9293" t="s">
        <v>31582</v>
      </c>
      <c r="H9293" t="s">
        <v>31591</v>
      </c>
      <c r="I9293" t="s">
        <v>8822</v>
      </c>
      <c r="J9293" t="s">
        <v>33149</v>
      </c>
      <c r="K9293" t="s">
        <v>41196</v>
      </c>
      <c r="M9293" t="s">
        <v>44300</v>
      </c>
      <c r="N9293" t="s">
        <v>45095</v>
      </c>
      <c r="O9293" t="s">
        <v>45096</v>
      </c>
      <c r="P9293">
        <v>0</v>
      </c>
      <c r="Q9293">
        <v>0</v>
      </c>
      <c r="R9293" t="s">
        <v>45104</v>
      </c>
      <c r="S9293" t="s">
        <v>45304</v>
      </c>
      <c r="T9293" t="s">
        <v>46910</v>
      </c>
      <c r="U9293" t="s">
        <v>55164</v>
      </c>
      <c r="W9293" t="s">
        <v>44300</v>
      </c>
      <c r="X9293" t="s">
        <v>45105</v>
      </c>
    </row>
    <row r="9294" spans="1:24">
      <c r="A9294">
        <f>HYPERLINK("https://www.philgeps.gov.ph/GEPSNONPILOT/Tender/SplashBidNoticeAbstractUI.aspx?menuIndex=3&amp;refID=7035087&amp;Result=3","7035087")</f>
        <v>0</v>
      </c>
      <c r="B9294" t="s">
        <v>2562</v>
      </c>
      <c r="C9294" t="s">
        <v>12048</v>
      </c>
      <c r="D9294" t="s">
        <v>18055</v>
      </c>
      <c r="E9294" t="s">
        <v>18175</v>
      </c>
      <c r="F9294" t="s">
        <v>31574</v>
      </c>
      <c r="G9294" t="s">
        <v>31582</v>
      </c>
      <c r="H9294" t="s">
        <v>31590</v>
      </c>
      <c r="I9294" t="s">
        <v>31607</v>
      </c>
      <c r="J9294" t="s">
        <v>37584</v>
      </c>
      <c r="K9294" t="s">
        <v>41186</v>
      </c>
      <c r="M9294" t="s">
        <v>44301</v>
      </c>
      <c r="N9294" t="s">
        <v>45095</v>
      </c>
      <c r="O9294" t="s">
        <v>45096</v>
      </c>
      <c r="P9294">
        <v>0</v>
      </c>
      <c r="Q9294">
        <v>1</v>
      </c>
      <c r="R9294" t="s">
        <v>45104</v>
      </c>
      <c r="S9294" t="s">
        <v>45304</v>
      </c>
      <c r="T9294" t="s">
        <v>46920</v>
      </c>
      <c r="U9294" t="s">
        <v>55165</v>
      </c>
      <c r="W9294" t="s">
        <v>44301</v>
      </c>
      <c r="X9294" t="s">
        <v>45105</v>
      </c>
    </row>
    <row r="9295" spans="1:24">
      <c r="A9295">
        <f>HYPERLINK("https://www.philgeps.gov.ph/GEPSNONPILOT/Tender/SplashBidNoticeAbstractUI.aspx?menuIndex=3&amp;refID=7035078&amp;Result=3","7035078")</f>
        <v>0</v>
      </c>
      <c r="B9295" t="s">
        <v>2563</v>
      </c>
      <c r="C9295" t="s">
        <v>12049</v>
      </c>
      <c r="E9295" t="s">
        <v>26229</v>
      </c>
      <c r="F9295" t="s">
        <v>31574</v>
      </c>
      <c r="G9295" t="s">
        <v>31582</v>
      </c>
      <c r="H9295" t="s">
        <v>31590</v>
      </c>
      <c r="I9295" t="s">
        <v>31595</v>
      </c>
      <c r="J9295" t="s">
        <v>31744</v>
      </c>
      <c r="K9295" t="s">
        <v>41184</v>
      </c>
      <c r="M9295" t="s">
        <v>44302</v>
      </c>
      <c r="N9295" t="s">
        <v>45095</v>
      </c>
      <c r="O9295" t="s">
        <v>45096</v>
      </c>
      <c r="P9295">
        <v>0</v>
      </c>
      <c r="Q9295">
        <v>0</v>
      </c>
      <c r="R9295" t="s">
        <v>45104</v>
      </c>
      <c r="S9295" t="s">
        <v>45304</v>
      </c>
      <c r="T9295" t="s">
        <v>47159</v>
      </c>
      <c r="U9295" t="s">
        <v>55166</v>
      </c>
      <c r="V9295" t="s">
        <v>59888</v>
      </c>
      <c r="W9295" t="s">
        <v>44302</v>
      </c>
      <c r="X9295" t="s">
        <v>45105</v>
      </c>
    </row>
    <row r="9296" spans="1:24">
      <c r="A9296">
        <f>HYPERLINK("https://www.philgeps.gov.ph/GEPSNONPILOT/Tender/SplashBidNoticeAbstractUI.aspx?menuIndex=3&amp;refID=7035077&amp;Result=3","7035077")</f>
        <v>0</v>
      </c>
      <c r="B9296" t="s">
        <v>2558</v>
      </c>
      <c r="C9296" t="s">
        <v>12050</v>
      </c>
      <c r="D9296" t="s">
        <v>18027</v>
      </c>
      <c r="E9296" t="s">
        <v>26230</v>
      </c>
      <c r="F9296" t="s">
        <v>31574</v>
      </c>
      <c r="G9296" t="s">
        <v>31582</v>
      </c>
      <c r="H9296" t="s">
        <v>31591</v>
      </c>
      <c r="I9296" t="s">
        <v>8822</v>
      </c>
      <c r="J9296" t="s">
        <v>35780</v>
      </c>
      <c r="K9296" t="s">
        <v>41192</v>
      </c>
      <c r="M9296" t="s">
        <v>44297</v>
      </c>
      <c r="N9296" t="s">
        <v>45095</v>
      </c>
      <c r="O9296" t="s">
        <v>45096</v>
      </c>
      <c r="P9296">
        <v>0</v>
      </c>
      <c r="Q9296">
        <v>0</v>
      </c>
      <c r="R9296" t="s">
        <v>45104</v>
      </c>
      <c r="S9296" t="s">
        <v>45304</v>
      </c>
      <c r="T9296" t="s">
        <v>47038</v>
      </c>
      <c r="U9296" t="s">
        <v>55167</v>
      </c>
      <c r="W9296" t="s">
        <v>44297</v>
      </c>
      <c r="X9296" t="s">
        <v>45105</v>
      </c>
    </row>
    <row r="9297" spans="1:24">
      <c r="A9297">
        <f>HYPERLINK("https://www.philgeps.gov.ph/GEPSNONPILOT/Tender/SplashBidNoticeAbstractUI.aspx?menuIndex=3&amp;refID=7035113&amp;Result=3","7035113")</f>
        <v>0</v>
      </c>
      <c r="B9297" t="s">
        <v>2557</v>
      </c>
      <c r="C9297" t="s">
        <v>12043</v>
      </c>
      <c r="D9297" t="s">
        <v>18100</v>
      </c>
      <c r="E9297" t="s">
        <v>26231</v>
      </c>
      <c r="F9297" t="s">
        <v>31574</v>
      </c>
      <c r="G9297" t="s">
        <v>31582</v>
      </c>
      <c r="H9297" t="s">
        <v>31591</v>
      </c>
      <c r="I9297" t="s">
        <v>31632</v>
      </c>
      <c r="J9297" t="s">
        <v>31730</v>
      </c>
      <c r="K9297" t="s">
        <v>41198</v>
      </c>
      <c r="M9297" t="s">
        <v>44296</v>
      </c>
      <c r="N9297" t="s">
        <v>45095</v>
      </c>
      <c r="O9297" t="s">
        <v>45096</v>
      </c>
      <c r="P9297">
        <v>0</v>
      </c>
      <c r="Q9297">
        <v>8</v>
      </c>
      <c r="R9297" t="s">
        <v>45104</v>
      </c>
      <c r="S9297" t="s">
        <v>45304</v>
      </c>
      <c r="T9297" t="s">
        <v>47232</v>
      </c>
      <c r="U9297" t="s">
        <v>55168</v>
      </c>
      <c r="W9297" t="s">
        <v>44296</v>
      </c>
      <c r="X9297" t="s">
        <v>45105</v>
      </c>
    </row>
    <row r="9298" spans="1:24">
      <c r="A9298">
        <f>HYPERLINK("https://www.philgeps.gov.ph/GEPSNONPILOT/Tender/SplashBidNoticeAbstractUI.aspx?menuIndex=3&amp;refID=7035109&amp;Result=3","7035109")</f>
        <v>0</v>
      </c>
      <c r="B9298" t="s">
        <v>2563</v>
      </c>
      <c r="C9298" t="s">
        <v>12051</v>
      </c>
      <c r="E9298" t="s">
        <v>26232</v>
      </c>
      <c r="F9298" t="s">
        <v>31574</v>
      </c>
      <c r="G9298" t="s">
        <v>31582</v>
      </c>
      <c r="H9298" t="s">
        <v>31590</v>
      </c>
      <c r="I9298" t="s">
        <v>31717</v>
      </c>
      <c r="J9298" t="s">
        <v>31727</v>
      </c>
      <c r="K9298" t="s">
        <v>41184</v>
      </c>
      <c r="M9298" t="s">
        <v>44302</v>
      </c>
      <c r="N9298" t="s">
        <v>45095</v>
      </c>
      <c r="O9298" t="s">
        <v>45096</v>
      </c>
      <c r="P9298">
        <v>0</v>
      </c>
      <c r="Q9298">
        <v>0</v>
      </c>
      <c r="R9298" t="s">
        <v>45104</v>
      </c>
      <c r="S9298" t="s">
        <v>45304</v>
      </c>
      <c r="T9298" t="s">
        <v>47159</v>
      </c>
      <c r="U9298" t="s">
        <v>55169</v>
      </c>
      <c r="V9298" t="s">
        <v>59888</v>
      </c>
      <c r="W9298" t="s">
        <v>44302</v>
      </c>
      <c r="X9298" t="s">
        <v>45105</v>
      </c>
    </row>
    <row r="9299" spans="1:24">
      <c r="A9299">
        <f>HYPERLINK("https://www.philgeps.gov.ph/GEPSNONPILOT/Tender/SplashBidNoticeAbstractUI.aspx?menuIndex=3&amp;refID=7035110&amp;Result=3","7035110")</f>
        <v>0</v>
      </c>
      <c r="B9299" t="s">
        <v>2553</v>
      </c>
      <c r="C9299" t="s">
        <v>12052</v>
      </c>
      <c r="D9299" t="s">
        <v>18068</v>
      </c>
      <c r="E9299" t="s">
        <v>20513</v>
      </c>
      <c r="F9299" t="s">
        <v>31574</v>
      </c>
      <c r="G9299" t="s">
        <v>31582</v>
      </c>
      <c r="H9299" t="s">
        <v>31591</v>
      </c>
      <c r="I9299" t="s">
        <v>8822</v>
      </c>
      <c r="J9299" t="s">
        <v>37585</v>
      </c>
      <c r="K9299" t="s">
        <v>41196</v>
      </c>
      <c r="M9299" t="s">
        <v>44292</v>
      </c>
      <c r="N9299" t="s">
        <v>45095</v>
      </c>
      <c r="O9299" t="s">
        <v>45096</v>
      </c>
      <c r="P9299">
        <v>0</v>
      </c>
      <c r="Q9299">
        <v>0</v>
      </c>
      <c r="R9299" t="s">
        <v>45104</v>
      </c>
      <c r="S9299" t="s">
        <v>45304</v>
      </c>
      <c r="T9299" t="s">
        <v>47159</v>
      </c>
      <c r="U9299" t="s">
        <v>55170</v>
      </c>
      <c r="W9299" t="s">
        <v>44292</v>
      </c>
      <c r="X9299" t="s">
        <v>45105</v>
      </c>
    </row>
    <row r="9300" spans="1:24">
      <c r="A9300">
        <f>HYPERLINK("https://www.philgeps.gov.ph/GEPSNONPILOT/Tender/SplashBidNoticeAbstractUI.aspx?menuIndex=3&amp;refID=7035114&amp;Result=3","7035114")</f>
        <v>0</v>
      </c>
      <c r="B9300" t="s">
        <v>2564</v>
      </c>
      <c r="C9300" t="s">
        <v>12053</v>
      </c>
      <c r="D9300" t="s">
        <v>18022</v>
      </c>
      <c r="E9300" t="s">
        <v>26233</v>
      </c>
      <c r="F9300" t="s">
        <v>31574</v>
      </c>
      <c r="G9300" t="s">
        <v>31582</v>
      </c>
      <c r="H9300" t="s">
        <v>31591</v>
      </c>
      <c r="I9300" t="s">
        <v>8822</v>
      </c>
      <c r="J9300" t="s">
        <v>37586</v>
      </c>
      <c r="K9300" t="s">
        <v>41189</v>
      </c>
      <c r="M9300" t="s">
        <v>44303</v>
      </c>
      <c r="N9300" t="s">
        <v>45095</v>
      </c>
      <c r="O9300" t="s">
        <v>45096</v>
      </c>
      <c r="P9300">
        <v>0</v>
      </c>
      <c r="Q9300">
        <v>9</v>
      </c>
      <c r="R9300" t="s">
        <v>45104</v>
      </c>
      <c r="S9300" t="s">
        <v>45304</v>
      </c>
      <c r="T9300" t="s">
        <v>46988</v>
      </c>
      <c r="U9300" t="s">
        <v>55171</v>
      </c>
      <c r="W9300" t="s">
        <v>44303</v>
      </c>
      <c r="X9300" t="s">
        <v>45105</v>
      </c>
    </row>
    <row r="9301" spans="1:24">
      <c r="A9301">
        <f>HYPERLINK("https://www.philgeps.gov.ph/GEPSNONPILOT/Tender/SplashBidNoticeAbstractUI.aspx?menuIndex=3&amp;refID=7035069&amp;Result=3","7035069")</f>
        <v>0</v>
      </c>
      <c r="B9301" t="s">
        <v>2540</v>
      </c>
      <c r="C9301" t="s">
        <v>11948</v>
      </c>
      <c r="D9301" t="s">
        <v>18113</v>
      </c>
      <c r="E9301" t="s">
        <v>26134</v>
      </c>
      <c r="F9301" t="s">
        <v>31574</v>
      </c>
      <c r="G9301" t="s">
        <v>31582</v>
      </c>
      <c r="H9301" t="s">
        <v>31591</v>
      </c>
      <c r="I9301" t="s">
        <v>8822</v>
      </c>
      <c r="J9301" t="s">
        <v>32942</v>
      </c>
      <c r="K9301" t="s">
        <v>41202</v>
      </c>
      <c r="M9301" t="s">
        <v>44304</v>
      </c>
      <c r="N9301" t="s">
        <v>45095</v>
      </c>
      <c r="O9301" t="s">
        <v>45096</v>
      </c>
      <c r="P9301">
        <v>0</v>
      </c>
      <c r="Q9301">
        <v>1</v>
      </c>
      <c r="R9301" t="s">
        <v>45104</v>
      </c>
      <c r="S9301" t="s">
        <v>45304</v>
      </c>
      <c r="T9301" t="s">
        <v>47356</v>
      </c>
      <c r="U9301" t="s">
        <v>55085</v>
      </c>
      <c r="W9301" t="s">
        <v>44304</v>
      </c>
      <c r="X9301" t="s">
        <v>45105</v>
      </c>
    </row>
    <row r="9302" spans="1:24">
      <c r="A9302">
        <f>HYPERLINK("https://www.philgeps.gov.ph/GEPSNONPILOT/Tender/SplashBidNoticeAbstractUI.aspx?menuIndex=3&amp;refID=7035112&amp;Result=3","7035112")</f>
        <v>0</v>
      </c>
      <c r="B9302" t="s">
        <v>2565</v>
      </c>
      <c r="C9302" t="s">
        <v>12054</v>
      </c>
      <c r="D9302" t="s">
        <v>18027</v>
      </c>
      <c r="E9302" t="s">
        <v>18788</v>
      </c>
      <c r="F9302" t="s">
        <v>31574</v>
      </c>
      <c r="G9302" t="s">
        <v>31582</v>
      </c>
      <c r="H9302" t="s">
        <v>31590</v>
      </c>
      <c r="I9302" t="s">
        <v>7185</v>
      </c>
      <c r="J9302" t="s">
        <v>31727</v>
      </c>
      <c r="K9302" t="s">
        <v>41190</v>
      </c>
      <c r="M9302" t="s">
        <v>44305</v>
      </c>
      <c r="N9302" t="s">
        <v>45095</v>
      </c>
      <c r="O9302" t="s">
        <v>45096</v>
      </c>
      <c r="P9302">
        <v>0</v>
      </c>
      <c r="Q9302">
        <v>0</v>
      </c>
      <c r="R9302" t="s">
        <v>45104</v>
      </c>
      <c r="S9302" t="s">
        <v>45304</v>
      </c>
      <c r="T9302" t="s">
        <v>47183</v>
      </c>
      <c r="U9302" t="s">
        <v>55172</v>
      </c>
      <c r="W9302" t="s">
        <v>44305</v>
      </c>
      <c r="X9302" t="s">
        <v>45105</v>
      </c>
    </row>
    <row r="9303" spans="1:24">
      <c r="A9303">
        <f>HYPERLINK("https://www.philgeps.gov.ph/GEPSNONPILOT/Tender/SplashBidNoticeAbstractUI.aspx?menuIndex=3&amp;refID=7035131&amp;Result=3","7035131")</f>
        <v>0</v>
      </c>
      <c r="B9303" t="s">
        <v>749</v>
      </c>
      <c r="C9303" t="s">
        <v>12055</v>
      </c>
      <c r="D9303" t="s">
        <v>18036</v>
      </c>
      <c r="E9303" t="s">
        <v>26234</v>
      </c>
      <c r="F9303" t="s">
        <v>31574</v>
      </c>
      <c r="G9303" t="s">
        <v>31582</v>
      </c>
      <c r="H9303" t="s">
        <v>31591</v>
      </c>
      <c r="I9303" t="s">
        <v>8822</v>
      </c>
      <c r="J9303" t="s">
        <v>37587</v>
      </c>
      <c r="K9303" t="s">
        <v>41192</v>
      </c>
      <c r="M9303" t="s">
        <v>42263</v>
      </c>
      <c r="N9303" t="s">
        <v>45095</v>
      </c>
      <c r="O9303" t="s">
        <v>45096</v>
      </c>
      <c r="Q9303">
        <v>0</v>
      </c>
      <c r="R9303" t="s">
        <v>45104</v>
      </c>
      <c r="S9303" t="s">
        <v>45347</v>
      </c>
      <c r="T9303" t="s">
        <v>46992</v>
      </c>
      <c r="U9303" t="s">
        <v>55173</v>
      </c>
      <c r="W9303" t="s">
        <v>42263</v>
      </c>
      <c r="X9303" t="s">
        <v>45105</v>
      </c>
    </row>
    <row r="9304" spans="1:24">
      <c r="A9304">
        <f>HYPERLINK("https://www.philgeps.gov.ph/GEPSNONPILOT/Tender/SplashBidNoticeAbstractUI.aspx?menuIndex=3&amp;refID=7035129&amp;Result=3","7035129")</f>
        <v>0</v>
      </c>
      <c r="B9304" t="s">
        <v>2557</v>
      </c>
      <c r="C9304" t="s">
        <v>12043</v>
      </c>
      <c r="D9304" t="s">
        <v>18100</v>
      </c>
      <c r="E9304" t="s">
        <v>26235</v>
      </c>
      <c r="F9304" t="s">
        <v>31574</v>
      </c>
      <c r="G9304" t="s">
        <v>31582</v>
      </c>
      <c r="H9304" t="s">
        <v>31591</v>
      </c>
      <c r="I9304" t="s">
        <v>31632</v>
      </c>
      <c r="J9304" t="s">
        <v>31935</v>
      </c>
      <c r="K9304" t="s">
        <v>41189</v>
      </c>
      <c r="M9304" t="s">
        <v>44296</v>
      </c>
      <c r="N9304" t="s">
        <v>45095</v>
      </c>
      <c r="O9304" t="s">
        <v>45096</v>
      </c>
      <c r="P9304">
        <v>0</v>
      </c>
      <c r="Q9304">
        <v>8</v>
      </c>
      <c r="R9304" t="s">
        <v>45104</v>
      </c>
      <c r="S9304" t="s">
        <v>45304</v>
      </c>
      <c r="T9304" t="s">
        <v>47232</v>
      </c>
      <c r="U9304" t="s">
        <v>55174</v>
      </c>
      <c r="W9304" t="s">
        <v>44296</v>
      </c>
      <c r="X9304" t="s">
        <v>45105</v>
      </c>
    </row>
    <row r="9305" spans="1:24">
      <c r="A9305">
        <f>HYPERLINK("https://www.philgeps.gov.ph/GEPSNONPILOT/Tender/SplashBidNoticeAbstractUI.aspx?menuIndex=3&amp;refID=7035121&amp;Result=3","7035121")</f>
        <v>0</v>
      </c>
      <c r="B9305" t="s">
        <v>2014</v>
      </c>
      <c r="C9305" t="s">
        <v>12056</v>
      </c>
      <c r="D9305" t="s">
        <v>18079</v>
      </c>
      <c r="E9305" t="s">
        <v>26236</v>
      </c>
      <c r="F9305" t="s">
        <v>31574</v>
      </c>
      <c r="G9305" t="s">
        <v>31582</v>
      </c>
      <c r="H9305" t="s">
        <v>31591</v>
      </c>
      <c r="I9305" t="s">
        <v>8822</v>
      </c>
      <c r="J9305" t="s">
        <v>32504</v>
      </c>
      <c r="K9305" t="s">
        <v>41185</v>
      </c>
      <c r="M9305" t="s">
        <v>43676</v>
      </c>
      <c r="N9305" t="s">
        <v>45095</v>
      </c>
      <c r="O9305" t="s">
        <v>45096</v>
      </c>
      <c r="P9305">
        <v>0</v>
      </c>
      <c r="Q9305">
        <v>2</v>
      </c>
      <c r="R9305" t="s">
        <v>45104</v>
      </c>
      <c r="S9305" t="s">
        <v>45304</v>
      </c>
      <c r="T9305" t="s">
        <v>47000</v>
      </c>
      <c r="U9305" t="s">
        <v>55175</v>
      </c>
      <c r="V9305" t="s">
        <v>60560</v>
      </c>
      <c r="W9305" t="s">
        <v>43676</v>
      </c>
      <c r="X9305" t="s">
        <v>45105</v>
      </c>
    </row>
    <row r="9306" spans="1:24">
      <c r="A9306">
        <f>HYPERLINK("https://www.philgeps.gov.ph/GEPSNONPILOT/Tender/SplashBidNoticeAbstractUI.aspx?menuIndex=3&amp;refID=7035127&amp;Result=3","7035127")</f>
        <v>0</v>
      </c>
      <c r="B9306" t="s">
        <v>2014</v>
      </c>
      <c r="C9306" t="s">
        <v>12057</v>
      </c>
      <c r="D9306" t="s">
        <v>18079</v>
      </c>
      <c r="E9306" t="s">
        <v>26237</v>
      </c>
      <c r="F9306" t="s">
        <v>31574</v>
      </c>
      <c r="G9306" t="s">
        <v>31582</v>
      </c>
      <c r="H9306" t="s">
        <v>31591</v>
      </c>
      <c r="I9306" t="s">
        <v>8822</v>
      </c>
      <c r="J9306" t="s">
        <v>34069</v>
      </c>
      <c r="K9306" t="s">
        <v>41200</v>
      </c>
      <c r="M9306" t="s">
        <v>43676</v>
      </c>
      <c r="N9306" t="s">
        <v>45095</v>
      </c>
      <c r="O9306" t="s">
        <v>45096</v>
      </c>
      <c r="P9306">
        <v>0</v>
      </c>
      <c r="Q9306">
        <v>2</v>
      </c>
      <c r="R9306" t="s">
        <v>45104</v>
      </c>
      <c r="S9306" t="s">
        <v>45304</v>
      </c>
      <c r="T9306" t="s">
        <v>47000</v>
      </c>
      <c r="U9306" t="s">
        <v>52960</v>
      </c>
      <c r="V9306" t="s">
        <v>60560</v>
      </c>
      <c r="W9306" t="s">
        <v>43676</v>
      </c>
      <c r="X9306" t="s">
        <v>45105</v>
      </c>
    </row>
    <row r="9307" spans="1:24">
      <c r="A9307">
        <f>HYPERLINK("https://www.philgeps.gov.ph/GEPSNONPILOT/Tender/SplashBidNoticeAbstractUI.aspx?menuIndex=3&amp;refID=7035118&amp;Result=3","7035118")</f>
        <v>0</v>
      </c>
      <c r="B9307" t="s">
        <v>2014</v>
      </c>
      <c r="C9307" t="s">
        <v>12058</v>
      </c>
      <c r="D9307" t="s">
        <v>18079</v>
      </c>
      <c r="E9307" t="s">
        <v>26238</v>
      </c>
      <c r="F9307" t="s">
        <v>31574</v>
      </c>
      <c r="G9307" t="s">
        <v>31582</v>
      </c>
      <c r="H9307" t="s">
        <v>31591</v>
      </c>
      <c r="I9307" t="s">
        <v>8822</v>
      </c>
      <c r="J9307" t="s">
        <v>32504</v>
      </c>
      <c r="K9307" t="s">
        <v>41339</v>
      </c>
      <c r="M9307" t="s">
        <v>43676</v>
      </c>
      <c r="N9307" t="s">
        <v>45095</v>
      </c>
      <c r="O9307" t="s">
        <v>45096</v>
      </c>
      <c r="P9307">
        <v>0</v>
      </c>
      <c r="Q9307">
        <v>0</v>
      </c>
      <c r="R9307" t="s">
        <v>45104</v>
      </c>
      <c r="S9307" t="s">
        <v>45304</v>
      </c>
      <c r="T9307" t="s">
        <v>47000</v>
      </c>
      <c r="U9307" t="s">
        <v>55176</v>
      </c>
      <c r="V9307" t="s">
        <v>60560</v>
      </c>
      <c r="W9307" t="s">
        <v>43676</v>
      </c>
      <c r="X9307" t="s">
        <v>45105</v>
      </c>
    </row>
    <row r="9308" spans="1:24">
      <c r="A9308">
        <f>HYPERLINK("https://www.philgeps.gov.ph/GEPSNONPILOT/Tender/SplashBidNoticeAbstractUI.aspx?menuIndex=3&amp;refID=7035115&amp;Result=3","7035115")</f>
        <v>0</v>
      </c>
      <c r="B9308" t="s">
        <v>2558</v>
      </c>
      <c r="C9308" t="s">
        <v>12059</v>
      </c>
      <c r="D9308" t="s">
        <v>18027</v>
      </c>
      <c r="E9308" t="s">
        <v>26239</v>
      </c>
      <c r="F9308" t="s">
        <v>31574</v>
      </c>
      <c r="G9308" t="s">
        <v>31582</v>
      </c>
      <c r="H9308" t="s">
        <v>31591</v>
      </c>
      <c r="I9308" t="s">
        <v>8822</v>
      </c>
      <c r="J9308" t="s">
        <v>37588</v>
      </c>
      <c r="K9308" t="s">
        <v>41189</v>
      </c>
      <c r="M9308" t="s">
        <v>44297</v>
      </c>
      <c r="N9308" t="s">
        <v>45095</v>
      </c>
      <c r="O9308" t="s">
        <v>45096</v>
      </c>
      <c r="P9308">
        <v>0</v>
      </c>
      <c r="Q9308">
        <v>0</v>
      </c>
      <c r="R9308" t="s">
        <v>45104</v>
      </c>
      <c r="S9308" t="s">
        <v>45304</v>
      </c>
      <c r="T9308" t="s">
        <v>47038</v>
      </c>
      <c r="U9308" t="s">
        <v>55177</v>
      </c>
      <c r="W9308" t="s">
        <v>44297</v>
      </c>
      <c r="X9308" t="s">
        <v>45105</v>
      </c>
    </row>
    <row r="9309" spans="1:24">
      <c r="A9309">
        <f>HYPERLINK("https://www.philgeps.gov.ph/GEPSNONPILOT/Tender/SplashBidNoticeAbstractUI.aspx?menuIndex=3&amp;refID=7035126&amp;Result=3","7035126")</f>
        <v>0</v>
      </c>
      <c r="B9309" t="s">
        <v>2558</v>
      </c>
      <c r="C9309" t="s">
        <v>12060</v>
      </c>
      <c r="D9309" t="s">
        <v>18027</v>
      </c>
      <c r="E9309" t="s">
        <v>26240</v>
      </c>
      <c r="F9309" t="s">
        <v>31574</v>
      </c>
      <c r="G9309" t="s">
        <v>31582</v>
      </c>
      <c r="H9309" t="s">
        <v>31590</v>
      </c>
      <c r="I9309" t="s">
        <v>31714</v>
      </c>
      <c r="J9309" t="s">
        <v>32261</v>
      </c>
      <c r="K9309" t="s">
        <v>41196</v>
      </c>
      <c r="M9309" t="s">
        <v>44297</v>
      </c>
      <c r="N9309" t="s">
        <v>45095</v>
      </c>
      <c r="O9309" t="s">
        <v>45096</v>
      </c>
      <c r="P9309">
        <v>0</v>
      </c>
      <c r="Q9309">
        <v>0</v>
      </c>
      <c r="R9309" t="s">
        <v>45104</v>
      </c>
      <c r="S9309" t="s">
        <v>45304</v>
      </c>
      <c r="T9309" t="s">
        <v>47357</v>
      </c>
      <c r="U9309" t="s">
        <v>55178</v>
      </c>
      <c r="W9309" t="s">
        <v>44297</v>
      </c>
      <c r="X9309" t="s">
        <v>45105</v>
      </c>
    </row>
    <row r="9310" spans="1:24">
      <c r="A9310">
        <f>HYPERLINK("https://www.philgeps.gov.ph/GEPSNONPILOT/Tender/SplashBidNoticeAbstractUI.aspx?menuIndex=3&amp;refID=7035122&amp;Result=3","7035122")</f>
        <v>0</v>
      </c>
      <c r="B9310" t="s">
        <v>749</v>
      </c>
      <c r="C9310" t="s">
        <v>12061</v>
      </c>
      <c r="D9310" t="s">
        <v>18036</v>
      </c>
      <c r="E9310" t="s">
        <v>26241</v>
      </c>
      <c r="F9310" t="s">
        <v>31574</v>
      </c>
      <c r="G9310" t="s">
        <v>31582</v>
      </c>
      <c r="H9310" t="s">
        <v>31591</v>
      </c>
      <c r="I9310" t="s">
        <v>8822</v>
      </c>
      <c r="J9310" t="s">
        <v>37589</v>
      </c>
      <c r="K9310" t="s">
        <v>41192</v>
      </c>
      <c r="M9310" t="s">
        <v>42263</v>
      </c>
      <c r="N9310" t="s">
        <v>45095</v>
      </c>
      <c r="O9310" t="s">
        <v>45096</v>
      </c>
      <c r="Q9310">
        <v>0</v>
      </c>
      <c r="R9310" t="s">
        <v>45104</v>
      </c>
      <c r="S9310" t="s">
        <v>45348</v>
      </c>
      <c r="T9310" t="s">
        <v>46992</v>
      </c>
      <c r="U9310" t="s">
        <v>55179</v>
      </c>
      <c r="W9310" t="s">
        <v>42263</v>
      </c>
      <c r="X9310" t="s">
        <v>45105</v>
      </c>
    </row>
    <row r="9311" spans="1:24">
      <c r="A9311">
        <f>HYPERLINK("https://www.philgeps.gov.ph/GEPSNONPILOT/Tender/SplashBidNoticeAbstractUI.aspx?menuIndex=3&amp;refID=7035116&amp;Result=3","7035116")</f>
        <v>0</v>
      </c>
      <c r="B9311" t="s">
        <v>2566</v>
      </c>
      <c r="C9311" t="s">
        <v>12062</v>
      </c>
      <c r="D9311" t="s">
        <v>18052</v>
      </c>
      <c r="E9311" t="s">
        <v>26242</v>
      </c>
      <c r="F9311" t="s">
        <v>31574</v>
      </c>
      <c r="G9311" t="s">
        <v>31581</v>
      </c>
      <c r="H9311" t="s">
        <v>31590</v>
      </c>
      <c r="I9311" t="s">
        <v>31685</v>
      </c>
      <c r="J9311" t="s">
        <v>31742</v>
      </c>
      <c r="K9311" t="s">
        <v>41186</v>
      </c>
      <c r="M9311" t="s">
        <v>44306</v>
      </c>
      <c r="N9311" t="s">
        <v>45095</v>
      </c>
      <c r="O9311" t="s">
        <v>45096</v>
      </c>
      <c r="P9311">
        <v>0</v>
      </c>
      <c r="Q9311">
        <v>2</v>
      </c>
      <c r="R9311" t="s">
        <v>45104</v>
      </c>
      <c r="S9311" t="s">
        <v>45304</v>
      </c>
      <c r="T9311" t="s">
        <v>47064</v>
      </c>
      <c r="U9311" t="s">
        <v>55180</v>
      </c>
      <c r="W9311" t="s">
        <v>44306</v>
      </c>
      <c r="X9311" t="s">
        <v>45105</v>
      </c>
    </row>
    <row r="9312" spans="1:24">
      <c r="A9312">
        <f>HYPERLINK("https://www.philgeps.gov.ph/GEPSNONPILOT/Tender/SplashBidNoticeAbstractUI.aspx?menuIndex=3&amp;refID=7035148&amp;Result=3","7035148")</f>
        <v>0</v>
      </c>
      <c r="B9312" t="s">
        <v>749</v>
      </c>
      <c r="C9312" t="s">
        <v>12063</v>
      </c>
      <c r="D9312" t="s">
        <v>18036</v>
      </c>
      <c r="E9312" t="s">
        <v>26243</v>
      </c>
      <c r="F9312" t="s">
        <v>31574</v>
      </c>
      <c r="G9312" t="s">
        <v>31582</v>
      </c>
      <c r="H9312" t="s">
        <v>31590</v>
      </c>
      <c r="I9312" t="s">
        <v>31597</v>
      </c>
      <c r="J9312" t="s">
        <v>37590</v>
      </c>
      <c r="K9312" t="s">
        <v>41186</v>
      </c>
      <c r="M9312" t="s">
        <v>42263</v>
      </c>
      <c r="N9312" t="s">
        <v>45095</v>
      </c>
      <c r="O9312" t="s">
        <v>45096</v>
      </c>
      <c r="Q9312">
        <v>1</v>
      </c>
      <c r="R9312" t="s">
        <v>45104</v>
      </c>
      <c r="S9312" t="s">
        <v>45349</v>
      </c>
      <c r="T9312" t="s">
        <v>46992</v>
      </c>
      <c r="U9312" t="s">
        <v>55181</v>
      </c>
      <c r="W9312" t="s">
        <v>42263</v>
      </c>
      <c r="X9312" t="s">
        <v>45105</v>
      </c>
    </row>
    <row r="9313" spans="1:24">
      <c r="A9313">
        <f>HYPERLINK("https://www.philgeps.gov.ph/GEPSNONPILOT/Tender/SplashBidNoticeAbstractUI.aspx?menuIndex=3&amp;refID=7035120&amp;Result=3","7035120")</f>
        <v>0</v>
      </c>
      <c r="B9313" t="s">
        <v>2564</v>
      </c>
      <c r="C9313" t="s">
        <v>12064</v>
      </c>
      <c r="D9313" t="s">
        <v>18022</v>
      </c>
      <c r="E9313" t="s">
        <v>26244</v>
      </c>
      <c r="F9313" t="s">
        <v>31574</v>
      </c>
      <c r="G9313" t="s">
        <v>31582</v>
      </c>
      <c r="H9313" t="s">
        <v>31591</v>
      </c>
      <c r="I9313" t="s">
        <v>8822</v>
      </c>
      <c r="J9313" t="s">
        <v>37591</v>
      </c>
      <c r="K9313" t="s">
        <v>41192</v>
      </c>
      <c r="M9313" t="s">
        <v>44303</v>
      </c>
      <c r="N9313" t="s">
        <v>45095</v>
      </c>
      <c r="O9313" t="s">
        <v>45096</v>
      </c>
      <c r="P9313">
        <v>0</v>
      </c>
      <c r="Q9313">
        <v>10</v>
      </c>
      <c r="R9313" t="s">
        <v>45104</v>
      </c>
      <c r="S9313" t="s">
        <v>45304</v>
      </c>
      <c r="T9313" t="s">
        <v>46988</v>
      </c>
      <c r="U9313" t="s">
        <v>55182</v>
      </c>
      <c r="W9313" t="s">
        <v>44303</v>
      </c>
      <c r="X9313" t="s">
        <v>45105</v>
      </c>
    </row>
    <row r="9314" spans="1:24">
      <c r="A9314">
        <f>HYPERLINK("https://www.philgeps.gov.ph/GEPSNONPILOT/Tender/SplashBidNoticeAbstractUI.aspx?menuIndex=3&amp;refID=7035144&amp;Result=3","7035144")</f>
        <v>0</v>
      </c>
      <c r="B9314" t="s">
        <v>800</v>
      </c>
      <c r="C9314" t="s">
        <v>12065</v>
      </c>
      <c r="D9314" t="s">
        <v>18106</v>
      </c>
      <c r="E9314" t="s">
        <v>26245</v>
      </c>
      <c r="F9314" t="s">
        <v>31576</v>
      </c>
      <c r="G9314" t="s">
        <v>31589</v>
      </c>
      <c r="H9314" t="s">
        <v>31590</v>
      </c>
      <c r="I9314" t="s">
        <v>31676</v>
      </c>
      <c r="J9314" t="s">
        <v>34314</v>
      </c>
      <c r="K9314" t="s">
        <v>41184</v>
      </c>
      <c r="M9314" t="s">
        <v>42314</v>
      </c>
      <c r="N9314" t="s">
        <v>45095</v>
      </c>
      <c r="O9314" t="s">
        <v>45096</v>
      </c>
      <c r="P9314">
        <v>0</v>
      </c>
      <c r="Q9314">
        <v>13</v>
      </c>
      <c r="R9314" t="s">
        <v>45104</v>
      </c>
      <c r="S9314" t="s">
        <v>45304</v>
      </c>
      <c r="T9314" t="s">
        <v>47358</v>
      </c>
      <c r="U9314" t="s">
        <v>55183</v>
      </c>
      <c r="W9314" t="s">
        <v>42314</v>
      </c>
      <c r="X9314" t="s">
        <v>45105</v>
      </c>
    </row>
    <row r="9315" spans="1:24">
      <c r="A9315">
        <f>HYPERLINK("https://www.philgeps.gov.ph/GEPSNONPILOT/Tender/SplashBidNoticeAbstractUI.aspx?menuIndex=3&amp;refID=7035125&amp;Result=3","7035125")</f>
        <v>0</v>
      </c>
      <c r="B9315" t="s">
        <v>2564</v>
      </c>
      <c r="C9315" t="s">
        <v>12066</v>
      </c>
      <c r="D9315" t="s">
        <v>18022</v>
      </c>
      <c r="E9315" t="s">
        <v>26246</v>
      </c>
      <c r="F9315" t="s">
        <v>31574</v>
      </c>
      <c r="G9315" t="s">
        <v>31582</v>
      </c>
      <c r="H9315" t="s">
        <v>31591</v>
      </c>
      <c r="I9315" t="s">
        <v>8822</v>
      </c>
      <c r="J9315" t="s">
        <v>37592</v>
      </c>
      <c r="K9315" t="s">
        <v>41200</v>
      </c>
      <c r="M9315" t="s">
        <v>44303</v>
      </c>
      <c r="N9315" t="s">
        <v>45095</v>
      </c>
      <c r="O9315" t="s">
        <v>45096</v>
      </c>
      <c r="P9315">
        <v>0</v>
      </c>
      <c r="Q9315">
        <v>9</v>
      </c>
      <c r="R9315" t="s">
        <v>45104</v>
      </c>
      <c r="S9315" t="s">
        <v>45304</v>
      </c>
      <c r="T9315" t="s">
        <v>46988</v>
      </c>
      <c r="U9315" t="s">
        <v>55184</v>
      </c>
      <c r="W9315" t="s">
        <v>44303</v>
      </c>
      <c r="X9315" t="s">
        <v>45105</v>
      </c>
    </row>
    <row r="9316" spans="1:24">
      <c r="A9316">
        <f>HYPERLINK("https://www.philgeps.gov.ph/GEPSNONPILOT/Tender/SplashBidNoticeAbstractUI.aspx?menuIndex=3&amp;refID=7035142&amp;Result=3","7035142")</f>
        <v>0</v>
      </c>
      <c r="B9316" t="s">
        <v>749</v>
      </c>
      <c r="C9316" t="s">
        <v>12067</v>
      </c>
      <c r="D9316" t="s">
        <v>18036</v>
      </c>
      <c r="E9316" t="s">
        <v>26247</v>
      </c>
      <c r="F9316" t="s">
        <v>31574</v>
      </c>
      <c r="G9316" t="s">
        <v>31582</v>
      </c>
      <c r="H9316" t="s">
        <v>31591</v>
      </c>
      <c r="I9316" t="s">
        <v>8822</v>
      </c>
      <c r="J9316" t="s">
        <v>37593</v>
      </c>
      <c r="K9316" t="s">
        <v>41192</v>
      </c>
      <c r="M9316" t="s">
        <v>42263</v>
      </c>
      <c r="N9316" t="s">
        <v>45095</v>
      </c>
      <c r="O9316" t="s">
        <v>45096</v>
      </c>
      <c r="Q9316">
        <v>0</v>
      </c>
      <c r="R9316" t="s">
        <v>45104</v>
      </c>
      <c r="S9316" t="s">
        <v>45350</v>
      </c>
      <c r="T9316" t="s">
        <v>46992</v>
      </c>
      <c r="U9316" t="s">
        <v>55185</v>
      </c>
      <c r="W9316" t="s">
        <v>42263</v>
      </c>
      <c r="X9316" t="s">
        <v>45105</v>
      </c>
    </row>
    <row r="9317" spans="1:24">
      <c r="A9317">
        <f>HYPERLINK("https://www.philgeps.gov.ph/GEPSNONPILOT/Tender/SplashBidNoticeAbstractUI.aspx?menuIndex=3&amp;refID=7035132&amp;Result=3","7035132")</f>
        <v>0</v>
      </c>
      <c r="B9317" t="s">
        <v>2564</v>
      </c>
      <c r="C9317" t="s">
        <v>12068</v>
      </c>
      <c r="D9317" t="s">
        <v>18022</v>
      </c>
      <c r="E9317" t="s">
        <v>26248</v>
      </c>
      <c r="F9317" t="s">
        <v>31574</v>
      </c>
      <c r="G9317" t="s">
        <v>31582</v>
      </c>
      <c r="H9317" t="s">
        <v>31591</v>
      </c>
      <c r="I9317" t="s">
        <v>8822</v>
      </c>
      <c r="J9317" t="s">
        <v>37594</v>
      </c>
      <c r="K9317" t="s">
        <v>41189</v>
      </c>
      <c r="M9317" t="s">
        <v>44303</v>
      </c>
      <c r="N9317" t="s">
        <v>45095</v>
      </c>
      <c r="O9317" t="s">
        <v>45096</v>
      </c>
      <c r="P9317">
        <v>0</v>
      </c>
      <c r="Q9317">
        <v>10</v>
      </c>
      <c r="R9317" t="s">
        <v>45104</v>
      </c>
      <c r="S9317" t="s">
        <v>45304</v>
      </c>
      <c r="T9317" t="s">
        <v>46988</v>
      </c>
      <c r="U9317" t="s">
        <v>55186</v>
      </c>
      <c r="W9317" t="s">
        <v>44303</v>
      </c>
      <c r="X9317" t="s">
        <v>45105</v>
      </c>
    </row>
    <row r="9318" spans="1:24">
      <c r="A9318">
        <f>HYPERLINK("https://www.philgeps.gov.ph/GEPSNONPILOT/Tender/SplashBidNoticeAbstractUI.aspx?menuIndex=3&amp;refID=7035139&amp;Result=3","7035139")</f>
        <v>0</v>
      </c>
      <c r="B9318" t="s">
        <v>2014</v>
      </c>
      <c r="C9318" t="s">
        <v>12069</v>
      </c>
      <c r="D9318" t="s">
        <v>18079</v>
      </c>
      <c r="E9318" t="s">
        <v>26249</v>
      </c>
      <c r="F9318" t="s">
        <v>31574</v>
      </c>
      <c r="G9318" t="s">
        <v>31582</v>
      </c>
      <c r="H9318" t="s">
        <v>31591</v>
      </c>
      <c r="I9318" t="s">
        <v>8822</v>
      </c>
      <c r="J9318" t="s">
        <v>34070</v>
      </c>
      <c r="K9318" t="s">
        <v>41189</v>
      </c>
      <c r="M9318" t="s">
        <v>43676</v>
      </c>
      <c r="N9318" t="s">
        <v>45095</v>
      </c>
      <c r="O9318" t="s">
        <v>45096</v>
      </c>
      <c r="P9318">
        <v>0</v>
      </c>
      <c r="Q9318">
        <v>2</v>
      </c>
      <c r="R9318" t="s">
        <v>45104</v>
      </c>
      <c r="S9318" t="s">
        <v>45304</v>
      </c>
      <c r="T9318" t="s">
        <v>47000</v>
      </c>
      <c r="U9318" t="s">
        <v>52960</v>
      </c>
      <c r="V9318" t="s">
        <v>60560</v>
      </c>
      <c r="W9318" t="s">
        <v>43676</v>
      </c>
      <c r="X9318" t="s">
        <v>45105</v>
      </c>
    </row>
    <row r="9319" spans="1:24">
      <c r="A9319">
        <f>HYPERLINK("https://www.philgeps.gov.ph/GEPSNONPILOT/Tender/SplashBidNoticeAbstractUI.aspx?menuIndex=3&amp;refID=7035146&amp;Result=3","7035146")</f>
        <v>0</v>
      </c>
      <c r="B9319" t="s">
        <v>1639</v>
      </c>
      <c r="C9319" t="s">
        <v>12070</v>
      </c>
      <c r="E9319" t="s">
        <v>26250</v>
      </c>
      <c r="F9319" t="s">
        <v>31574</v>
      </c>
      <c r="G9319" t="s">
        <v>31585</v>
      </c>
      <c r="H9319" t="s">
        <v>31590</v>
      </c>
      <c r="I9319" t="s">
        <v>31614</v>
      </c>
      <c r="J9319" t="s">
        <v>37595</v>
      </c>
      <c r="K9319" t="s">
        <v>41184</v>
      </c>
      <c r="M9319" t="s">
        <v>43248</v>
      </c>
      <c r="N9319" t="s">
        <v>45095</v>
      </c>
      <c r="O9319" t="s">
        <v>45096</v>
      </c>
      <c r="P9319">
        <v>0</v>
      </c>
      <c r="Q9319">
        <v>0</v>
      </c>
      <c r="R9319" t="s">
        <v>45104</v>
      </c>
      <c r="S9319" t="s">
        <v>45304</v>
      </c>
      <c r="T9319" t="s">
        <v>47154</v>
      </c>
      <c r="U9319" t="s">
        <v>55187</v>
      </c>
      <c r="W9319" t="s">
        <v>43248</v>
      </c>
      <c r="X9319" t="s">
        <v>45105</v>
      </c>
    </row>
    <row r="9320" spans="1:24">
      <c r="A9320">
        <f>HYPERLINK("https://www.philgeps.gov.ph/GEPSNONPILOT/Tender/SplashBidNoticeAbstractUI.aspx?menuIndex=3&amp;refID=7035150&amp;Result=3","7035150")</f>
        <v>0</v>
      </c>
      <c r="B9320" t="s">
        <v>2558</v>
      </c>
      <c r="C9320" t="s">
        <v>12071</v>
      </c>
      <c r="D9320" t="s">
        <v>18027</v>
      </c>
      <c r="E9320" t="s">
        <v>26251</v>
      </c>
      <c r="F9320" t="s">
        <v>31574</v>
      </c>
      <c r="G9320" t="s">
        <v>31582</v>
      </c>
      <c r="H9320" t="s">
        <v>31590</v>
      </c>
      <c r="I9320" t="s">
        <v>4046</v>
      </c>
      <c r="J9320" t="s">
        <v>37596</v>
      </c>
      <c r="K9320" t="s">
        <v>41196</v>
      </c>
      <c r="M9320" t="s">
        <v>44297</v>
      </c>
      <c r="N9320" t="s">
        <v>45095</v>
      </c>
      <c r="O9320" t="s">
        <v>45096</v>
      </c>
      <c r="P9320">
        <v>0</v>
      </c>
      <c r="Q9320">
        <v>2</v>
      </c>
      <c r="R9320" t="s">
        <v>45104</v>
      </c>
      <c r="S9320" t="s">
        <v>45304</v>
      </c>
      <c r="T9320" t="s">
        <v>47273</v>
      </c>
      <c r="U9320" t="s">
        <v>55188</v>
      </c>
      <c r="W9320" t="s">
        <v>44297</v>
      </c>
      <c r="X9320" t="s">
        <v>45105</v>
      </c>
    </row>
    <row r="9321" spans="1:24">
      <c r="A9321">
        <f>HYPERLINK("https://www.philgeps.gov.ph/GEPSNONPILOT/Tender/SplashBidNoticeAbstractUI.aspx?menuIndex=3&amp;refID=7035133&amp;Result=3","7035133")</f>
        <v>0</v>
      </c>
      <c r="B9321" t="s">
        <v>2014</v>
      </c>
      <c r="C9321" t="s">
        <v>12072</v>
      </c>
      <c r="D9321" t="s">
        <v>18079</v>
      </c>
      <c r="E9321" t="s">
        <v>26252</v>
      </c>
      <c r="F9321" t="s">
        <v>31574</v>
      </c>
      <c r="G9321" t="s">
        <v>31582</v>
      </c>
      <c r="H9321" t="s">
        <v>31591</v>
      </c>
      <c r="I9321" t="s">
        <v>8822</v>
      </c>
      <c r="J9321" t="s">
        <v>34697</v>
      </c>
      <c r="K9321" t="s">
        <v>41198</v>
      </c>
      <c r="M9321" t="s">
        <v>43676</v>
      </c>
      <c r="N9321" t="s">
        <v>45095</v>
      </c>
      <c r="O9321" t="s">
        <v>45096</v>
      </c>
      <c r="P9321">
        <v>0</v>
      </c>
      <c r="Q9321">
        <v>3</v>
      </c>
      <c r="R9321" t="s">
        <v>45104</v>
      </c>
      <c r="S9321" t="s">
        <v>45304</v>
      </c>
      <c r="T9321" t="s">
        <v>47000</v>
      </c>
      <c r="U9321" t="s">
        <v>52960</v>
      </c>
      <c r="V9321" t="s">
        <v>60560</v>
      </c>
      <c r="W9321" t="s">
        <v>43676</v>
      </c>
      <c r="X9321" t="s">
        <v>45105</v>
      </c>
    </row>
    <row r="9322" spans="1:24">
      <c r="A9322">
        <f>HYPERLINK("https://www.philgeps.gov.ph/GEPSNONPILOT/Tender/SplashBidNoticeAbstractUI.aspx?menuIndex=3&amp;refID=7035145&amp;Result=3","7035145")</f>
        <v>0</v>
      </c>
      <c r="B9322" t="s">
        <v>2567</v>
      </c>
      <c r="C9322" t="s">
        <v>12073</v>
      </c>
      <c r="D9322" t="s">
        <v>18022</v>
      </c>
      <c r="E9322" t="s">
        <v>26253</v>
      </c>
      <c r="F9322" t="s">
        <v>31574</v>
      </c>
      <c r="G9322" t="s">
        <v>31582</v>
      </c>
      <c r="H9322" t="s">
        <v>31590</v>
      </c>
      <c r="I9322" t="s">
        <v>3487</v>
      </c>
      <c r="J9322" t="s">
        <v>37597</v>
      </c>
      <c r="K9322" t="s">
        <v>41213</v>
      </c>
      <c r="M9322" t="s">
        <v>44307</v>
      </c>
      <c r="N9322" t="s">
        <v>45095</v>
      </c>
      <c r="O9322" t="s">
        <v>45096</v>
      </c>
      <c r="P9322">
        <v>0</v>
      </c>
      <c r="Q9322">
        <v>4</v>
      </c>
      <c r="R9322" t="s">
        <v>45104</v>
      </c>
      <c r="S9322" t="s">
        <v>45304</v>
      </c>
      <c r="T9322" t="s">
        <v>47050</v>
      </c>
      <c r="U9322" t="s">
        <v>55189</v>
      </c>
      <c r="V9322" t="s">
        <v>60798</v>
      </c>
      <c r="W9322" t="s">
        <v>44307</v>
      </c>
      <c r="X9322" t="s">
        <v>45105</v>
      </c>
    </row>
    <row r="9323" spans="1:24">
      <c r="A9323">
        <f>HYPERLINK("https://www.philgeps.gov.ph/GEPSNONPILOT/Tender/SplashBidNoticeAbstractUI.aspx?menuIndex=3&amp;refID=7035163&amp;Result=3","7035163")</f>
        <v>0</v>
      </c>
      <c r="B9323" t="s">
        <v>1637</v>
      </c>
      <c r="C9323" t="s">
        <v>12074</v>
      </c>
      <c r="D9323" t="s">
        <v>18036</v>
      </c>
      <c r="E9323" t="s">
        <v>26254</v>
      </c>
      <c r="F9323" t="s">
        <v>31574</v>
      </c>
      <c r="G9323" t="s">
        <v>31582</v>
      </c>
      <c r="H9323" t="s">
        <v>31590</v>
      </c>
      <c r="I9323" t="s">
        <v>4046</v>
      </c>
      <c r="J9323" t="s">
        <v>37598</v>
      </c>
      <c r="K9323" t="s">
        <v>41196</v>
      </c>
      <c r="L9323" t="s">
        <v>1637</v>
      </c>
      <c r="M9323" t="s">
        <v>43246</v>
      </c>
      <c r="N9323" t="s">
        <v>45095</v>
      </c>
      <c r="O9323" t="s">
        <v>45096</v>
      </c>
      <c r="P9323">
        <v>0</v>
      </c>
      <c r="Q9323">
        <v>0</v>
      </c>
      <c r="R9323" t="s">
        <v>45104</v>
      </c>
      <c r="S9323" t="s">
        <v>45304</v>
      </c>
      <c r="T9323" t="s">
        <v>47159</v>
      </c>
      <c r="U9323" t="s">
        <v>55190</v>
      </c>
      <c r="W9323" t="s">
        <v>43246</v>
      </c>
      <c r="X9323" t="s">
        <v>45105</v>
      </c>
    </row>
    <row r="9324" spans="1:24">
      <c r="A9324">
        <f>HYPERLINK("https://www.philgeps.gov.ph/GEPSNONPILOT/Tender/SplashBidNoticeAbstractUI.aspx?menuIndex=3&amp;refID=7035161&amp;Result=3","7035161")</f>
        <v>0</v>
      </c>
      <c r="B9324" t="s">
        <v>1637</v>
      </c>
      <c r="C9324" t="s">
        <v>12075</v>
      </c>
      <c r="D9324" t="s">
        <v>18036</v>
      </c>
      <c r="E9324" t="s">
        <v>26255</v>
      </c>
      <c r="F9324" t="s">
        <v>31574</v>
      </c>
      <c r="G9324" t="s">
        <v>31582</v>
      </c>
      <c r="H9324" t="s">
        <v>31590</v>
      </c>
      <c r="I9324" t="s">
        <v>31602</v>
      </c>
      <c r="J9324" t="s">
        <v>37599</v>
      </c>
      <c r="K9324" t="s">
        <v>41196</v>
      </c>
      <c r="L9324" t="s">
        <v>1637</v>
      </c>
      <c r="M9324" t="s">
        <v>43246</v>
      </c>
      <c r="N9324" t="s">
        <v>45095</v>
      </c>
      <c r="O9324" t="s">
        <v>45096</v>
      </c>
      <c r="P9324">
        <v>0</v>
      </c>
      <c r="Q9324">
        <v>0</v>
      </c>
      <c r="R9324" t="s">
        <v>45104</v>
      </c>
      <c r="S9324" t="s">
        <v>45304</v>
      </c>
      <c r="T9324" t="s">
        <v>47159</v>
      </c>
      <c r="U9324" t="s">
        <v>55191</v>
      </c>
      <c r="W9324" t="s">
        <v>43246</v>
      </c>
      <c r="X9324" t="s">
        <v>45105</v>
      </c>
    </row>
    <row r="9325" spans="1:24">
      <c r="A9325">
        <f>HYPERLINK("https://www.philgeps.gov.ph/GEPSNONPILOT/Tender/SplashBidNoticeAbstractUI.aspx?menuIndex=3&amp;refID=7035157&amp;Result=3","7035157")</f>
        <v>0</v>
      </c>
      <c r="B9325" t="s">
        <v>1852</v>
      </c>
      <c r="C9325" t="s">
        <v>12076</v>
      </c>
      <c r="D9325" t="s">
        <v>18022</v>
      </c>
      <c r="E9325" t="s">
        <v>26256</v>
      </c>
      <c r="F9325" t="s">
        <v>31574</v>
      </c>
      <c r="G9325" t="s">
        <v>31582</v>
      </c>
      <c r="H9325" t="s">
        <v>31590</v>
      </c>
      <c r="I9325" t="s">
        <v>4046</v>
      </c>
      <c r="J9325" t="s">
        <v>37600</v>
      </c>
      <c r="K9325" t="s">
        <v>41186</v>
      </c>
      <c r="M9325" t="s">
        <v>43490</v>
      </c>
      <c r="N9325" t="s">
        <v>45095</v>
      </c>
      <c r="O9325" t="s">
        <v>45096</v>
      </c>
      <c r="P9325">
        <v>0</v>
      </c>
      <c r="Q9325">
        <v>1</v>
      </c>
      <c r="R9325" t="s">
        <v>45104</v>
      </c>
      <c r="S9325" t="s">
        <v>45304</v>
      </c>
      <c r="T9325" t="s">
        <v>47125</v>
      </c>
      <c r="U9325" t="s">
        <v>55192</v>
      </c>
      <c r="W9325" t="s">
        <v>43490</v>
      </c>
      <c r="X9325" t="s">
        <v>45105</v>
      </c>
    </row>
    <row r="9326" spans="1:24">
      <c r="A9326">
        <f>HYPERLINK("https://www.philgeps.gov.ph/GEPSNONPILOT/Tender/SplashBidNoticeAbstractUI.aspx?menuIndex=3&amp;refID=7035164&amp;Result=3","7035164")</f>
        <v>0</v>
      </c>
      <c r="B9326" t="s">
        <v>1637</v>
      </c>
      <c r="C9326" t="s">
        <v>12077</v>
      </c>
      <c r="D9326" t="s">
        <v>18036</v>
      </c>
      <c r="E9326" t="s">
        <v>26257</v>
      </c>
      <c r="F9326" t="s">
        <v>31574</v>
      </c>
      <c r="G9326" t="s">
        <v>31582</v>
      </c>
      <c r="H9326" t="s">
        <v>31590</v>
      </c>
      <c r="I9326" t="s">
        <v>4046</v>
      </c>
      <c r="J9326" t="s">
        <v>37601</v>
      </c>
      <c r="K9326" t="s">
        <v>41196</v>
      </c>
      <c r="L9326" t="s">
        <v>1637</v>
      </c>
      <c r="M9326" t="s">
        <v>43246</v>
      </c>
      <c r="N9326" t="s">
        <v>45095</v>
      </c>
      <c r="O9326" t="s">
        <v>45096</v>
      </c>
      <c r="P9326">
        <v>0</v>
      </c>
      <c r="Q9326">
        <v>0</v>
      </c>
      <c r="R9326" t="s">
        <v>45104</v>
      </c>
      <c r="S9326" t="s">
        <v>45304</v>
      </c>
      <c r="T9326" t="s">
        <v>47159</v>
      </c>
      <c r="U9326" t="s">
        <v>55193</v>
      </c>
      <c r="W9326" t="s">
        <v>43246</v>
      </c>
      <c r="X9326" t="s">
        <v>45105</v>
      </c>
    </row>
    <row r="9327" spans="1:24">
      <c r="A9327">
        <f>HYPERLINK("https://www.philgeps.gov.ph/GEPSNONPILOT/Tender/SplashBidNoticeAbstractUI.aspx?menuIndex=3&amp;refID=7035156&amp;Result=3","7035156")</f>
        <v>0</v>
      </c>
      <c r="B9327" t="s">
        <v>2360</v>
      </c>
      <c r="C9327" t="s">
        <v>12078</v>
      </c>
      <c r="D9327" t="s">
        <v>18031</v>
      </c>
      <c r="E9327" t="s">
        <v>26258</v>
      </c>
      <c r="F9327" t="s">
        <v>31574</v>
      </c>
      <c r="G9327" t="s">
        <v>31582</v>
      </c>
      <c r="H9327" t="s">
        <v>31591</v>
      </c>
      <c r="I9327" t="s">
        <v>8822</v>
      </c>
      <c r="J9327" t="s">
        <v>31819</v>
      </c>
      <c r="K9327" t="s">
        <v>41200</v>
      </c>
      <c r="M9327" t="s">
        <v>44080</v>
      </c>
      <c r="N9327" t="s">
        <v>45095</v>
      </c>
      <c r="O9327" t="s">
        <v>45096</v>
      </c>
      <c r="P9327">
        <v>0</v>
      </c>
      <c r="Q9327">
        <v>3</v>
      </c>
      <c r="R9327" t="s">
        <v>45104</v>
      </c>
      <c r="S9327" t="s">
        <v>45304</v>
      </c>
      <c r="T9327" t="s">
        <v>47084</v>
      </c>
      <c r="U9327" t="s">
        <v>54477</v>
      </c>
      <c r="W9327" t="s">
        <v>44080</v>
      </c>
      <c r="X9327" t="s">
        <v>45105</v>
      </c>
    </row>
    <row r="9328" spans="1:24">
      <c r="A9328">
        <f>HYPERLINK("https://www.philgeps.gov.ph/GEPSNONPILOT/Tender/SplashBidNoticeAbstractUI.aspx?menuIndex=3&amp;refID=7035152&amp;Result=3","7035152")</f>
        <v>0</v>
      </c>
      <c r="B9328" t="s">
        <v>2360</v>
      </c>
      <c r="C9328" t="s">
        <v>12079</v>
      </c>
      <c r="D9328" t="s">
        <v>18031</v>
      </c>
      <c r="E9328" t="s">
        <v>26259</v>
      </c>
      <c r="F9328" t="s">
        <v>31574</v>
      </c>
      <c r="G9328" t="s">
        <v>31582</v>
      </c>
      <c r="H9328" t="s">
        <v>31591</v>
      </c>
      <c r="I9328" t="s">
        <v>8822</v>
      </c>
      <c r="J9328" t="s">
        <v>32361</v>
      </c>
      <c r="K9328" t="s">
        <v>41192</v>
      </c>
      <c r="M9328" t="s">
        <v>44080</v>
      </c>
      <c r="N9328" t="s">
        <v>45095</v>
      </c>
      <c r="O9328" t="s">
        <v>45096</v>
      </c>
      <c r="P9328">
        <v>0</v>
      </c>
      <c r="Q9328">
        <v>1</v>
      </c>
      <c r="R9328" t="s">
        <v>45104</v>
      </c>
      <c r="S9328" t="s">
        <v>45304</v>
      </c>
      <c r="T9328" t="s">
        <v>47084</v>
      </c>
      <c r="U9328" t="s">
        <v>54477</v>
      </c>
      <c r="W9328" t="s">
        <v>44080</v>
      </c>
      <c r="X9328" t="s">
        <v>45105</v>
      </c>
    </row>
    <row r="9329" spans="1:24">
      <c r="A9329">
        <f>HYPERLINK("https://www.philgeps.gov.ph/GEPSNONPILOT/Tender/SplashBidNoticeAbstractUI.aspx?menuIndex=3&amp;refID=7035160&amp;Result=3","7035160")</f>
        <v>0</v>
      </c>
      <c r="B9329" t="s">
        <v>1023</v>
      </c>
      <c r="C9329" t="s">
        <v>12080</v>
      </c>
      <c r="E9329" t="s">
        <v>26260</v>
      </c>
      <c r="F9329" t="s">
        <v>31574</v>
      </c>
      <c r="G9329" t="s">
        <v>31581</v>
      </c>
      <c r="H9329" t="s">
        <v>31590</v>
      </c>
      <c r="I9329" t="s">
        <v>31648</v>
      </c>
      <c r="J9329" t="s">
        <v>37602</v>
      </c>
      <c r="K9329" t="s">
        <v>41184</v>
      </c>
      <c r="M9329" t="s">
        <v>44308</v>
      </c>
      <c r="N9329" t="s">
        <v>45095</v>
      </c>
      <c r="O9329" t="s">
        <v>45096</v>
      </c>
      <c r="P9329">
        <v>0</v>
      </c>
      <c r="Q9329">
        <v>2</v>
      </c>
      <c r="R9329" t="s">
        <v>45104</v>
      </c>
      <c r="S9329" t="s">
        <v>45304</v>
      </c>
      <c r="T9329" t="s">
        <v>47165</v>
      </c>
      <c r="U9329" t="s">
        <v>55194</v>
      </c>
      <c r="W9329" t="s">
        <v>61690</v>
      </c>
      <c r="X9329" t="s">
        <v>45105</v>
      </c>
    </row>
    <row r="9330" spans="1:24">
      <c r="A9330">
        <f>HYPERLINK("https://www.philgeps.gov.ph/GEPSNONPILOT/Tender/SplashBidNoticeAbstractUI.aspx?menuIndex=3&amp;refID=7035155&amp;Result=3","7035155")</f>
        <v>0</v>
      </c>
      <c r="B9330" t="s">
        <v>2360</v>
      </c>
      <c r="C9330" t="s">
        <v>12081</v>
      </c>
      <c r="D9330" t="s">
        <v>18031</v>
      </c>
      <c r="E9330" t="s">
        <v>26261</v>
      </c>
      <c r="F9330" t="s">
        <v>31574</v>
      </c>
      <c r="G9330" t="s">
        <v>31582</v>
      </c>
      <c r="H9330" t="s">
        <v>31591</v>
      </c>
      <c r="I9330" t="s">
        <v>8822</v>
      </c>
      <c r="J9330" t="s">
        <v>32361</v>
      </c>
      <c r="K9330" t="s">
        <v>41192</v>
      </c>
      <c r="M9330" t="s">
        <v>44080</v>
      </c>
      <c r="N9330" t="s">
        <v>45095</v>
      </c>
      <c r="O9330" t="s">
        <v>45096</v>
      </c>
      <c r="P9330">
        <v>0</v>
      </c>
      <c r="Q9330">
        <v>1</v>
      </c>
      <c r="R9330" t="s">
        <v>45104</v>
      </c>
      <c r="S9330" t="s">
        <v>45304</v>
      </c>
      <c r="T9330" t="s">
        <v>47084</v>
      </c>
      <c r="U9330" t="s">
        <v>54477</v>
      </c>
      <c r="W9330" t="s">
        <v>44080</v>
      </c>
      <c r="X9330" t="s">
        <v>45105</v>
      </c>
    </row>
    <row r="9331" spans="1:24">
      <c r="A9331">
        <f>HYPERLINK("https://www.philgeps.gov.ph/GEPSNONPILOT/Tender/SplashBidNoticeAbstractUI.aspx?menuIndex=3&amp;refID=7035189&amp;Result=3","7035189")</f>
        <v>0</v>
      </c>
      <c r="B9331" t="s">
        <v>901</v>
      </c>
      <c r="C9331" t="s">
        <v>12082</v>
      </c>
      <c r="D9331" t="s">
        <v>18066</v>
      </c>
      <c r="E9331" t="s">
        <v>26262</v>
      </c>
      <c r="F9331" t="s">
        <v>31574</v>
      </c>
      <c r="G9331" t="s">
        <v>31582</v>
      </c>
      <c r="H9331" t="s">
        <v>31591</v>
      </c>
      <c r="I9331" t="s">
        <v>8822</v>
      </c>
      <c r="J9331" t="s">
        <v>31771</v>
      </c>
      <c r="K9331" t="s">
        <v>41192</v>
      </c>
      <c r="M9331" t="s">
        <v>42425</v>
      </c>
      <c r="N9331" t="s">
        <v>45095</v>
      </c>
      <c r="O9331" t="s">
        <v>45096</v>
      </c>
      <c r="P9331">
        <v>0</v>
      </c>
      <c r="Q9331">
        <v>1</v>
      </c>
      <c r="R9331" t="s">
        <v>45104</v>
      </c>
      <c r="S9331" t="s">
        <v>45304</v>
      </c>
      <c r="T9331" t="s">
        <v>46966</v>
      </c>
      <c r="U9331" t="s">
        <v>55195</v>
      </c>
      <c r="W9331" t="s">
        <v>42425</v>
      </c>
      <c r="X9331" t="s">
        <v>45105</v>
      </c>
    </row>
    <row r="9332" spans="1:24">
      <c r="A9332">
        <f>HYPERLINK("https://www.philgeps.gov.ph/GEPSNONPILOT/Tender/SplashBidNoticeAbstractUI.aspx?menuIndex=3&amp;refID=7035153&amp;Result=3","7035153")</f>
        <v>0</v>
      </c>
      <c r="B9332" t="s">
        <v>2014</v>
      </c>
      <c r="C9332" t="s">
        <v>12083</v>
      </c>
      <c r="D9332" t="s">
        <v>18079</v>
      </c>
      <c r="E9332" t="s">
        <v>26263</v>
      </c>
      <c r="F9332" t="s">
        <v>31574</v>
      </c>
      <c r="G9332" t="s">
        <v>31582</v>
      </c>
      <c r="H9332" t="s">
        <v>31591</v>
      </c>
      <c r="I9332" t="s">
        <v>8822</v>
      </c>
      <c r="J9332" t="s">
        <v>32526</v>
      </c>
      <c r="K9332" t="s">
        <v>41217</v>
      </c>
      <c r="M9332" t="s">
        <v>43676</v>
      </c>
      <c r="N9332" t="s">
        <v>45095</v>
      </c>
      <c r="O9332" t="s">
        <v>45096</v>
      </c>
      <c r="P9332">
        <v>0</v>
      </c>
      <c r="Q9332">
        <v>0</v>
      </c>
      <c r="R9332" t="s">
        <v>45104</v>
      </c>
      <c r="S9332" t="s">
        <v>45304</v>
      </c>
      <c r="T9332" t="s">
        <v>47000</v>
      </c>
      <c r="U9332" t="s">
        <v>55196</v>
      </c>
      <c r="V9332" t="s">
        <v>60560</v>
      </c>
      <c r="W9332" t="s">
        <v>43676</v>
      </c>
      <c r="X9332" t="s">
        <v>45105</v>
      </c>
    </row>
    <row r="9333" spans="1:24">
      <c r="A9333">
        <f>HYPERLINK("https://www.philgeps.gov.ph/GEPSNONPILOT/Tender/SplashBidNoticeAbstractUI.aspx?menuIndex=3&amp;refID=7035191&amp;Result=3","7035191")</f>
        <v>0</v>
      </c>
      <c r="B9333" t="s">
        <v>1604</v>
      </c>
      <c r="C9333" t="s">
        <v>12084</v>
      </c>
      <c r="D9333" t="s">
        <v>18050</v>
      </c>
      <c r="E9333" t="s">
        <v>26264</v>
      </c>
      <c r="F9333" t="s">
        <v>31574</v>
      </c>
      <c r="G9333" t="s">
        <v>31582</v>
      </c>
      <c r="H9333" t="s">
        <v>31591</v>
      </c>
      <c r="I9333" t="s">
        <v>31622</v>
      </c>
      <c r="J9333" t="s">
        <v>37603</v>
      </c>
      <c r="K9333" t="s">
        <v>41188</v>
      </c>
      <c r="M9333" t="s">
        <v>43227</v>
      </c>
      <c r="N9333" t="s">
        <v>45095</v>
      </c>
      <c r="O9333" t="s">
        <v>45096</v>
      </c>
      <c r="Q9333">
        <v>10</v>
      </c>
      <c r="R9333" t="s">
        <v>45104</v>
      </c>
      <c r="S9333" t="s">
        <v>45351</v>
      </c>
      <c r="T9333" t="s">
        <v>47010</v>
      </c>
      <c r="U9333" t="s">
        <v>55197</v>
      </c>
      <c r="W9333" t="s">
        <v>43227</v>
      </c>
      <c r="X9333" t="s">
        <v>45105</v>
      </c>
    </row>
    <row r="9334" spans="1:24">
      <c r="A9334">
        <f>HYPERLINK("https://www.philgeps.gov.ph/GEPSNONPILOT/Tender/SplashBidNoticeAbstractUI.aspx?menuIndex=3&amp;refID=7035186&amp;Result=3","7035186")</f>
        <v>0</v>
      </c>
      <c r="B9334" t="s">
        <v>2568</v>
      </c>
      <c r="C9334" t="s">
        <v>12085</v>
      </c>
      <c r="D9334" t="s">
        <v>18022</v>
      </c>
      <c r="E9334" t="s">
        <v>20123</v>
      </c>
      <c r="F9334" t="s">
        <v>31574</v>
      </c>
      <c r="G9334" t="s">
        <v>31582</v>
      </c>
      <c r="H9334" t="s">
        <v>31592</v>
      </c>
      <c r="I9334" t="s">
        <v>31640</v>
      </c>
      <c r="J9334" t="s">
        <v>33837</v>
      </c>
      <c r="K9334" t="s">
        <v>41191</v>
      </c>
      <c r="M9334" t="s">
        <v>44309</v>
      </c>
      <c r="N9334" t="s">
        <v>45095</v>
      </c>
      <c r="O9334" t="s">
        <v>45096</v>
      </c>
      <c r="P9334">
        <v>0</v>
      </c>
      <c r="Q9334">
        <v>3</v>
      </c>
      <c r="R9334" t="s">
        <v>45104</v>
      </c>
      <c r="S9334" t="s">
        <v>45304</v>
      </c>
      <c r="T9334" t="s">
        <v>46932</v>
      </c>
      <c r="U9334" t="s">
        <v>55198</v>
      </c>
      <c r="W9334" t="s">
        <v>44309</v>
      </c>
      <c r="X9334" t="s">
        <v>45105</v>
      </c>
    </row>
    <row r="9335" spans="1:24">
      <c r="A9335">
        <f>HYPERLINK("https://www.philgeps.gov.ph/GEPSNONPILOT/Tender/SplashBidNoticeAbstractUI.aspx?menuIndex=3&amp;refID=7035166&amp;Result=3","7035166")</f>
        <v>0</v>
      </c>
      <c r="B9335" t="s">
        <v>2569</v>
      </c>
      <c r="C9335" t="s">
        <v>12086</v>
      </c>
      <c r="D9335" t="s">
        <v>18075</v>
      </c>
      <c r="E9335" t="s">
        <v>26265</v>
      </c>
      <c r="F9335" t="s">
        <v>31574</v>
      </c>
      <c r="G9335" t="s">
        <v>31582</v>
      </c>
      <c r="H9335" t="s">
        <v>31590</v>
      </c>
      <c r="I9335" t="s">
        <v>6800</v>
      </c>
      <c r="J9335" t="s">
        <v>37604</v>
      </c>
      <c r="K9335" t="s">
        <v>41191</v>
      </c>
      <c r="M9335" t="s">
        <v>44310</v>
      </c>
      <c r="N9335" t="s">
        <v>45095</v>
      </c>
      <c r="O9335" t="s">
        <v>45096</v>
      </c>
      <c r="P9335">
        <v>0</v>
      </c>
      <c r="Q9335">
        <v>0</v>
      </c>
      <c r="R9335" t="s">
        <v>45104</v>
      </c>
      <c r="S9335" t="s">
        <v>45304</v>
      </c>
      <c r="T9335" t="s">
        <v>47151</v>
      </c>
      <c r="U9335" t="s">
        <v>55199</v>
      </c>
      <c r="V9335" t="s">
        <v>60799</v>
      </c>
      <c r="W9335" t="s">
        <v>44310</v>
      </c>
      <c r="X9335" t="s">
        <v>45105</v>
      </c>
    </row>
    <row r="9336" spans="1:24">
      <c r="A9336">
        <f>HYPERLINK("https://www.philgeps.gov.ph/GEPSNONPILOT/Tender/SplashBidNoticeAbstractUI.aspx?menuIndex=3&amp;refID=7035158&amp;Result=3","7035158")</f>
        <v>0</v>
      </c>
      <c r="B9336" t="s">
        <v>1637</v>
      </c>
      <c r="C9336" t="s">
        <v>12087</v>
      </c>
      <c r="D9336" t="s">
        <v>18036</v>
      </c>
      <c r="E9336" t="s">
        <v>26266</v>
      </c>
      <c r="F9336" t="s">
        <v>31574</v>
      </c>
      <c r="G9336" t="s">
        <v>31582</v>
      </c>
      <c r="H9336" t="s">
        <v>31590</v>
      </c>
      <c r="I9336" t="s">
        <v>4046</v>
      </c>
      <c r="J9336" t="s">
        <v>37605</v>
      </c>
      <c r="K9336" t="s">
        <v>41196</v>
      </c>
      <c r="L9336" t="s">
        <v>1637</v>
      </c>
      <c r="M9336" t="s">
        <v>43246</v>
      </c>
      <c r="N9336" t="s">
        <v>45095</v>
      </c>
      <c r="O9336" t="s">
        <v>45096</v>
      </c>
      <c r="P9336">
        <v>0</v>
      </c>
      <c r="Q9336">
        <v>0</v>
      </c>
      <c r="R9336" t="s">
        <v>45104</v>
      </c>
      <c r="S9336" t="s">
        <v>45304</v>
      </c>
      <c r="T9336" t="s">
        <v>47159</v>
      </c>
      <c r="U9336" t="s">
        <v>55200</v>
      </c>
      <c r="W9336" t="s">
        <v>43246</v>
      </c>
      <c r="X9336" t="s">
        <v>45105</v>
      </c>
    </row>
    <row r="9337" spans="1:24">
      <c r="A9337">
        <f>HYPERLINK("https://www.philgeps.gov.ph/GEPSNONPILOT/Tender/SplashBidNoticeAbstractUI.aspx?menuIndex=3&amp;refID=7035162&amp;Result=3","7035162")</f>
        <v>0</v>
      </c>
      <c r="B9337" t="s">
        <v>1852</v>
      </c>
      <c r="C9337" t="s">
        <v>12088</v>
      </c>
      <c r="D9337" t="s">
        <v>18022</v>
      </c>
      <c r="E9337" t="s">
        <v>26267</v>
      </c>
      <c r="F9337" t="s">
        <v>31574</v>
      </c>
      <c r="G9337" t="s">
        <v>31582</v>
      </c>
      <c r="H9337" t="s">
        <v>31590</v>
      </c>
      <c r="I9337" t="s">
        <v>4046</v>
      </c>
      <c r="J9337" t="s">
        <v>37606</v>
      </c>
      <c r="K9337" t="s">
        <v>41186</v>
      </c>
      <c r="M9337" t="s">
        <v>43490</v>
      </c>
      <c r="N9337" t="s">
        <v>45095</v>
      </c>
      <c r="O9337" t="s">
        <v>45096</v>
      </c>
      <c r="P9337">
        <v>0</v>
      </c>
      <c r="Q9337">
        <v>0</v>
      </c>
      <c r="R9337" t="s">
        <v>45104</v>
      </c>
      <c r="S9337" t="s">
        <v>45304</v>
      </c>
      <c r="T9337" t="s">
        <v>47125</v>
      </c>
      <c r="U9337" t="s">
        <v>55201</v>
      </c>
      <c r="W9337" t="s">
        <v>43490</v>
      </c>
      <c r="X9337" t="s">
        <v>45105</v>
      </c>
    </row>
    <row r="9338" spans="1:24">
      <c r="A9338">
        <f>HYPERLINK("https://www.philgeps.gov.ph/GEPSNONPILOT/Tender/SplashBidNoticeAbstractUI.aspx?menuIndex=3&amp;refID=7035167&amp;Result=3","7035167")</f>
        <v>0</v>
      </c>
      <c r="B9338" t="s">
        <v>1852</v>
      </c>
      <c r="C9338" t="s">
        <v>12088</v>
      </c>
      <c r="D9338" t="s">
        <v>18022</v>
      </c>
      <c r="E9338" t="s">
        <v>26268</v>
      </c>
      <c r="F9338" t="s">
        <v>31574</v>
      </c>
      <c r="G9338" t="s">
        <v>31582</v>
      </c>
      <c r="H9338" t="s">
        <v>31590</v>
      </c>
      <c r="I9338" t="s">
        <v>4046</v>
      </c>
      <c r="J9338" t="s">
        <v>37607</v>
      </c>
      <c r="K9338" t="s">
        <v>41186</v>
      </c>
      <c r="M9338" t="s">
        <v>43490</v>
      </c>
      <c r="N9338" t="s">
        <v>45095</v>
      </c>
      <c r="O9338" t="s">
        <v>45096</v>
      </c>
      <c r="P9338">
        <v>0</v>
      </c>
      <c r="Q9338">
        <v>0</v>
      </c>
      <c r="R9338" t="s">
        <v>45104</v>
      </c>
      <c r="S9338" t="s">
        <v>45304</v>
      </c>
      <c r="T9338" t="s">
        <v>47125</v>
      </c>
      <c r="U9338" t="s">
        <v>55202</v>
      </c>
      <c r="W9338" t="s">
        <v>43490</v>
      </c>
      <c r="X9338" t="s">
        <v>45105</v>
      </c>
    </row>
    <row r="9339" spans="1:24">
      <c r="A9339">
        <f>HYPERLINK("https://www.philgeps.gov.ph/GEPSNONPILOT/Tender/SplashBidNoticeAbstractUI.aspx?menuIndex=3&amp;refID=7035183&amp;Result=3","7035183")</f>
        <v>0</v>
      </c>
      <c r="B9339" t="s">
        <v>901</v>
      </c>
      <c r="C9339" t="s">
        <v>12089</v>
      </c>
      <c r="D9339" t="s">
        <v>18066</v>
      </c>
      <c r="E9339" t="s">
        <v>26269</v>
      </c>
      <c r="F9339" t="s">
        <v>31574</v>
      </c>
      <c r="G9339" t="s">
        <v>31582</v>
      </c>
      <c r="H9339" t="s">
        <v>31591</v>
      </c>
      <c r="I9339" t="s">
        <v>8822</v>
      </c>
      <c r="J9339" t="s">
        <v>37608</v>
      </c>
      <c r="K9339" t="s">
        <v>41196</v>
      </c>
      <c r="M9339" t="s">
        <v>42425</v>
      </c>
      <c r="N9339" t="s">
        <v>45095</v>
      </c>
      <c r="O9339" t="s">
        <v>45096</v>
      </c>
      <c r="P9339">
        <v>0</v>
      </c>
      <c r="Q9339">
        <v>1</v>
      </c>
      <c r="R9339" t="s">
        <v>45104</v>
      </c>
      <c r="S9339" t="s">
        <v>45304</v>
      </c>
      <c r="T9339" t="s">
        <v>46966</v>
      </c>
      <c r="U9339" t="s">
        <v>55203</v>
      </c>
      <c r="W9339" t="s">
        <v>42425</v>
      </c>
      <c r="X9339" t="s">
        <v>45105</v>
      </c>
    </row>
    <row r="9340" spans="1:24">
      <c r="A9340">
        <f>HYPERLINK("https://www.philgeps.gov.ph/GEPSNONPILOT/Tender/SplashBidNoticeAbstractUI.aspx?menuIndex=3&amp;refID=7035177&amp;Result=3","7035177")</f>
        <v>0</v>
      </c>
      <c r="B9340" t="s">
        <v>2570</v>
      </c>
      <c r="C9340" t="s">
        <v>10863</v>
      </c>
      <c r="D9340" t="s">
        <v>18039</v>
      </c>
      <c r="E9340" t="s">
        <v>26270</v>
      </c>
      <c r="F9340" t="s">
        <v>31574</v>
      </c>
      <c r="G9340" t="s">
        <v>31582</v>
      </c>
      <c r="H9340" t="s">
        <v>31591</v>
      </c>
      <c r="I9340" t="s">
        <v>8822</v>
      </c>
      <c r="J9340" t="s">
        <v>31947</v>
      </c>
      <c r="K9340" t="s">
        <v>41185</v>
      </c>
      <c r="M9340" t="s">
        <v>44311</v>
      </c>
      <c r="N9340" t="s">
        <v>45095</v>
      </c>
      <c r="O9340" t="s">
        <v>45096</v>
      </c>
      <c r="P9340">
        <v>0</v>
      </c>
      <c r="Q9340">
        <v>0</v>
      </c>
      <c r="R9340" t="s">
        <v>45104</v>
      </c>
      <c r="S9340" t="s">
        <v>45304</v>
      </c>
      <c r="T9340" t="s">
        <v>47154</v>
      </c>
      <c r="U9340" t="s">
        <v>55204</v>
      </c>
      <c r="V9340" t="s">
        <v>60800</v>
      </c>
      <c r="W9340" t="s">
        <v>44311</v>
      </c>
      <c r="X9340" t="s">
        <v>45105</v>
      </c>
    </row>
    <row r="9341" spans="1:24">
      <c r="A9341">
        <f>HYPERLINK("https://www.philgeps.gov.ph/GEPSNONPILOT/Tender/SplashBidNoticeAbstractUI.aspx?menuIndex=3&amp;refID=7035170&amp;Result=3","7035170")</f>
        <v>0</v>
      </c>
      <c r="B9341" t="s">
        <v>2571</v>
      </c>
      <c r="C9341" t="s">
        <v>12090</v>
      </c>
      <c r="D9341" t="s">
        <v>18076</v>
      </c>
      <c r="E9341" t="s">
        <v>22468</v>
      </c>
      <c r="F9341" t="s">
        <v>31574</v>
      </c>
      <c r="G9341" t="s">
        <v>31582</v>
      </c>
      <c r="H9341" t="s">
        <v>31590</v>
      </c>
      <c r="I9341" t="s">
        <v>4046</v>
      </c>
      <c r="J9341" t="s">
        <v>37609</v>
      </c>
      <c r="K9341" t="s">
        <v>41193</v>
      </c>
      <c r="M9341" t="s">
        <v>44312</v>
      </c>
      <c r="N9341" t="s">
        <v>45095</v>
      </c>
      <c r="O9341" t="s">
        <v>45096</v>
      </c>
      <c r="P9341">
        <v>0</v>
      </c>
      <c r="Q9341">
        <v>0</v>
      </c>
      <c r="R9341" t="s">
        <v>45104</v>
      </c>
      <c r="S9341" t="s">
        <v>45304</v>
      </c>
      <c r="T9341" t="s">
        <v>47183</v>
      </c>
      <c r="U9341" t="s">
        <v>55205</v>
      </c>
      <c r="W9341" t="s">
        <v>44312</v>
      </c>
      <c r="X9341" t="s">
        <v>45105</v>
      </c>
    </row>
    <row r="9342" spans="1:24">
      <c r="A9342">
        <f>HYPERLINK("https://www.philgeps.gov.ph/GEPSNONPILOT/Tender/SplashBidNoticeAbstractUI.aspx?menuIndex=3&amp;refID=7035192&amp;Result=3","7035192")</f>
        <v>0</v>
      </c>
      <c r="B9342" t="s">
        <v>2572</v>
      </c>
      <c r="C9342" t="s">
        <v>12091</v>
      </c>
      <c r="D9342" t="s">
        <v>18031</v>
      </c>
      <c r="E9342" t="s">
        <v>26271</v>
      </c>
      <c r="F9342" t="s">
        <v>31574</v>
      </c>
      <c r="G9342" t="s">
        <v>31588</v>
      </c>
      <c r="H9342" t="s">
        <v>31591</v>
      </c>
      <c r="I9342" t="s">
        <v>8822</v>
      </c>
      <c r="J9342" t="s">
        <v>37610</v>
      </c>
      <c r="K9342" t="s">
        <v>41198</v>
      </c>
      <c r="M9342" t="s">
        <v>44313</v>
      </c>
      <c r="N9342" t="s">
        <v>45095</v>
      </c>
      <c r="O9342" t="s">
        <v>45096</v>
      </c>
      <c r="P9342">
        <v>0</v>
      </c>
      <c r="Q9342">
        <v>16</v>
      </c>
      <c r="R9342" t="s">
        <v>45104</v>
      </c>
      <c r="S9342" t="s">
        <v>45304</v>
      </c>
      <c r="T9342" t="s">
        <v>46988</v>
      </c>
      <c r="U9342" t="s">
        <v>55206</v>
      </c>
      <c r="V9342" t="s">
        <v>60801</v>
      </c>
      <c r="W9342" t="s">
        <v>44313</v>
      </c>
      <c r="X9342" t="s">
        <v>45105</v>
      </c>
    </row>
    <row r="9343" spans="1:24">
      <c r="A9343">
        <f>HYPERLINK("https://www.philgeps.gov.ph/GEPSNONPILOT/Tender/SplashBidNoticeAbstractUI.aspx?menuIndex=3&amp;refID=7035202&amp;Result=3","7035202")</f>
        <v>0</v>
      </c>
      <c r="B9343" t="s">
        <v>901</v>
      </c>
      <c r="C9343" t="s">
        <v>12092</v>
      </c>
      <c r="D9343" t="s">
        <v>18066</v>
      </c>
      <c r="E9343" t="s">
        <v>26272</v>
      </c>
      <c r="F9343" t="s">
        <v>31574</v>
      </c>
      <c r="G9343" t="s">
        <v>31582</v>
      </c>
      <c r="H9343" t="s">
        <v>31591</v>
      </c>
      <c r="I9343" t="s">
        <v>8822</v>
      </c>
      <c r="J9343" t="s">
        <v>37611</v>
      </c>
      <c r="K9343" t="s">
        <v>41333</v>
      </c>
      <c r="M9343" t="s">
        <v>42425</v>
      </c>
      <c r="N9343" t="s">
        <v>45095</v>
      </c>
      <c r="O9343" t="s">
        <v>45096</v>
      </c>
      <c r="P9343">
        <v>0</v>
      </c>
      <c r="Q9343">
        <v>0</v>
      </c>
      <c r="R9343" t="s">
        <v>45104</v>
      </c>
      <c r="S9343" t="s">
        <v>45304</v>
      </c>
      <c r="T9343" t="s">
        <v>46966</v>
      </c>
      <c r="U9343" t="s">
        <v>55207</v>
      </c>
      <c r="W9343" t="s">
        <v>42425</v>
      </c>
      <c r="X9343" t="s">
        <v>45105</v>
      </c>
    </row>
    <row r="9344" spans="1:24">
      <c r="A9344">
        <f>HYPERLINK("https://www.philgeps.gov.ph/GEPSNONPILOT/Tender/SplashBidNoticeAbstractUI.aspx?menuIndex=3&amp;refID=7035204&amp;Result=3","7035204")</f>
        <v>0</v>
      </c>
      <c r="B9344" t="s">
        <v>2573</v>
      </c>
      <c r="C9344" t="s">
        <v>12093</v>
      </c>
      <c r="D9344" t="s">
        <v>18026</v>
      </c>
      <c r="E9344" t="s">
        <v>26273</v>
      </c>
      <c r="F9344" t="s">
        <v>31574</v>
      </c>
      <c r="G9344" t="s">
        <v>31582</v>
      </c>
      <c r="H9344" t="s">
        <v>31590</v>
      </c>
      <c r="I9344" t="s">
        <v>14544</v>
      </c>
      <c r="J9344" t="s">
        <v>37612</v>
      </c>
      <c r="K9344" t="s">
        <v>41190</v>
      </c>
      <c r="M9344" t="s">
        <v>44314</v>
      </c>
      <c r="N9344" t="s">
        <v>45095</v>
      </c>
      <c r="O9344" t="s">
        <v>45096</v>
      </c>
      <c r="P9344">
        <v>0</v>
      </c>
      <c r="Q9344">
        <v>1</v>
      </c>
      <c r="R9344" t="s">
        <v>45104</v>
      </c>
      <c r="S9344" t="s">
        <v>45304</v>
      </c>
      <c r="T9344" t="s">
        <v>47159</v>
      </c>
      <c r="U9344" t="s">
        <v>55208</v>
      </c>
      <c r="W9344" t="s">
        <v>44314</v>
      </c>
      <c r="X9344" t="s">
        <v>45105</v>
      </c>
    </row>
    <row r="9345" spans="1:24">
      <c r="A9345">
        <f>HYPERLINK("https://www.philgeps.gov.ph/GEPSNONPILOT/Tender/SplashBidNoticeAbstractUI.aspx?menuIndex=3&amp;refID=7035199&amp;Result=3","7035199")</f>
        <v>0</v>
      </c>
      <c r="B9345" t="s">
        <v>2572</v>
      </c>
      <c r="C9345" t="s">
        <v>12094</v>
      </c>
      <c r="D9345" t="s">
        <v>18031</v>
      </c>
      <c r="E9345" t="s">
        <v>26274</v>
      </c>
      <c r="F9345" t="s">
        <v>31574</v>
      </c>
      <c r="G9345" t="s">
        <v>31588</v>
      </c>
      <c r="H9345" t="s">
        <v>31591</v>
      </c>
      <c r="I9345" t="s">
        <v>8822</v>
      </c>
      <c r="J9345" t="s">
        <v>37613</v>
      </c>
      <c r="K9345" t="s">
        <v>41198</v>
      </c>
      <c r="M9345" t="s">
        <v>44313</v>
      </c>
      <c r="N9345" t="s">
        <v>45095</v>
      </c>
      <c r="O9345" t="s">
        <v>45096</v>
      </c>
      <c r="P9345">
        <v>0</v>
      </c>
      <c r="Q9345">
        <v>17</v>
      </c>
      <c r="R9345" t="s">
        <v>45104</v>
      </c>
      <c r="S9345" t="s">
        <v>45304</v>
      </c>
      <c r="T9345" t="s">
        <v>46988</v>
      </c>
      <c r="U9345" t="s">
        <v>55209</v>
      </c>
      <c r="V9345" t="s">
        <v>60802</v>
      </c>
      <c r="W9345" t="s">
        <v>44313</v>
      </c>
      <c r="X9345" t="s">
        <v>45105</v>
      </c>
    </row>
    <row r="9346" spans="1:24">
      <c r="A9346">
        <f>HYPERLINK("https://www.philgeps.gov.ph/GEPSNONPILOT/Tender/SplashBidNoticeAbstractUI.aspx?menuIndex=3&amp;refID=7035214&amp;Result=3","7035214")</f>
        <v>0</v>
      </c>
      <c r="B9346" t="s">
        <v>2572</v>
      </c>
      <c r="C9346" t="s">
        <v>12095</v>
      </c>
      <c r="D9346" t="s">
        <v>18031</v>
      </c>
      <c r="E9346" t="s">
        <v>26275</v>
      </c>
      <c r="F9346" t="s">
        <v>31574</v>
      </c>
      <c r="G9346" t="s">
        <v>31588</v>
      </c>
      <c r="H9346" t="s">
        <v>31591</v>
      </c>
      <c r="I9346" t="s">
        <v>8822</v>
      </c>
      <c r="J9346" t="s">
        <v>37614</v>
      </c>
      <c r="K9346" t="s">
        <v>41304</v>
      </c>
      <c r="M9346" t="s">
        <v>44313</v>
      </c>
      <c r="N9346" t="s">
        <v>45095</v>
      </c>
      <c r="O9346" t="s">
        <v>45096</v>
      </c>
      <c r="P9346">
        <v>0</v>
      </c>
      <c r="Q9346">
        <v>16</v>
      </c>
      <c r="R9346" t="s">
        <v>45104</v>
      </c>
      <c r="S9346" t="s">
        <v>45304</v>
      </c>
      <c r="T9346" t="s">
        <v>46988</v>
      </c>
      <c r="U9346" t="s">
        <v>55210</v>
      </c>
      <c r="V9346" t="s">
        <v>60803</v>
      </c>
      <c r="W9346" t="s">
        <v>44313</v>
      </c>
      <c r="X9346" t="s">
        <v>45105</v>
      </c>
    </row>
    <row r="9347" spans="1:24">
      <c r="A9347">
        <f>HYPERLINK("https://www.philgeps.gov.ph/GEPSNONPILOT/Tender/SplashBidNoticeAbstractUI.aspx?menuIndex=3&amp;refID=7035213&amp;Result=3","7035213")</f>
        <v>0</v>
      </c>
      <c r="B9347" t="s">
        <v>2574</v>
      </c>
      <c r="C9347" t="s">
        <v>12096</v>
      </c>
      <c r="D9347" t="s">
        <v>18079</v>
      </c>
      <c r="E9347" t="s">
        <v>24180</v>
      </c>
      <c r="F9347" t="s">
        <v>31574</v>
      </c>
      <c r="G9347" t="s">
        <v>31582</v>
      </c>
      <c r="H9347" t="s">
        <v>31591</v>
      </c>
      <c r="I9347" t="s">
        <v>7162</v>
      </c>
      <c r="J9347" t="s">
        <v>31727</v>
      </c>
      <c r="K9347" t="s">
        <v>41196</v>
      </c>
      <c r="M9347" t="s">
        <v>44315</v>
      </c>
      <c r="N9347" t="s">
        <v>45095</v>
      </c>
      <c r="O9347" t="s">
        <v>45096</v>
      </c>
      <c r="P9347">
        <v>0</v>
      </c>
      <c r="Q9347">
        <v>0</v>
      </c>
      <c r="R9347" t="s">
        <v>45104</v>
      </c>
      <c r="S9347" t="s">
        <v>45304</v>
      </c>
      <c r="T9347" t="s">
        <v>47000</v>
      </c>
      <c r="U9347" t="s">
        <v>55211</v>
      </c>
      <c r="W9347" t="s">
        <v>44315</v>
      </c>
      <c r="X9347" t="s">
        <v>45105</v>
      </c>
    </row>
    <row r="9348" spans="1:24">
      <c r="A9348">
        <f>HYPERLINK("https://www.philgeps.gov.ph/GEPSNONPILOT/Tender/SplashBidNoticeAbstractUI.aspx?menuIndex=3&amp;refID=7035197&amp;Result=3","7035197")</f>
        <v>0</v>
      </c>
      <c r="B9348" t="s">
        <v>901</v>
      </c>
      <c r="C9348" t="s">
        <v>12097</v>
      </c>
      <c r="D9348" t="s">
        <v>18066</v>
      </c>
      <c r="E9348" t="s">
        <v>26276</v>
      </c>
      <c r="F9348" t="s">
        <v>31574</v>
      </c>
      <c r="G9348" t="s">
        <v>31582</v>
      </c>
      <c r="H9348" t="s">
        <v>31591</v>
      </c>
      <c r="I9348" t="s">
        <v>8822</v>
      </c>
      <c r="J9348" t="s">
        <v>37615</v>
      </c>
      <c r="K9348" t="s">
        <v>41282</v>
      </c>
      <c r="M9348" t="s">
        <v>42425</v>
      </c>
      <c r="N9348" t="s">
        <v>45095</v>
      </c>
      <c r="O9348" t="s">
        <v>45096</v>
      </c>
      <c r="P9348">
        <v>0</v>
      </c>
      <c r="Q9348">
        <v>1</v>
      </c>
      <c r="R9348" t="s">
        <v>45104</v>
      </c>
      <c r="S9348" t="s">
        <v>45304</v>
      </c>
      <c r="T9348" t="s">
        <v>46966</v>
      </c>
      <c r="U9348" t="s">
        <v>55212</v>
      </c>
      <c r="W9348" t="s">
        <v>42425</v>
      </c>
      <c r="X9348" t="s">
        <v>45105</v>
      </c>
    </row>
    <row r="9349" spans="1:24">
      <c r="A9349">
        <f>HYPERLINK("https://www.philgeps.gov.ph/GEPSNONPILOT/Tender/SplashBidNoticeAbstractUI.aspx?menuIndex=3&amp;refID=7035212&amp;Result=3","7035212")</f>
        <v>0</v>
      </c>
      <c r="B9349" t="s">
        <v>2572</v>
      </c>
      <c r="C9349" t="s">
        <v>12098</v>
      </c>
      <c r="D9349" t="s">
        <v>18031</v>
      </c>
      <c r="E9349" t="s">
        <v>26277</v>
      </c>
      <c r="F9349" t="s">
        <v>31574</v>
      </c>
      <c r="G9349" t="s">
        <v>31588</v>
      </c>
      <c r="H9349" t="s">
        <v>31591</v>
      </c>
      <c r="I9349" t="s">
        <v>8822</v>
      </c>
      <c r="J9349" t="s">
        <v>37616</v>
      </c>
      <c r="K9349" t="s">
        <v>41202</v>
      </c>
      <c r="M9349" t="s">
        <v>44313</v>
      </c>
      <c r="N9349" t="s">
        <v>45095</v>
      </c>
      <c r="O9349" t="s">
        <v>45096</v>
      </c>
      <c r="P9349">
        <v>0</v>
      </c>
      <c r="Q9349">
        <v>13</v>
      </c>
      <c r="R9349" t="s">
        <v>45104</v>
      </c>
      <c r="S9349" t="s">
        <v>45304</v>
      </c>
      <c r="T9349" t="s">
        <v>46988</v>
      </c>
      <c r="U9349" t="s">
        <v>55213</v>
      </c>
      <c r="V9349" t="s">
        <v>60804</v>
      </c>
      <c r="W9349" t="s">
        <v>44313</v>
      </c>
      <c r="X9349" t="s">
        <v>45105</v>
      </c>
    </row>
    <row r="9350" spans="1:24">
      <c r="A9350">
        <f>HYPERLINK("https://www.philgeps.gov.ph/GEPSNONPILOT/Tender/SplashBidNoticeAbstractUI.aspx?menuIndex=3&amp;refID=7035195&amp;Result=3","7035195")</f>
        <v>0</v>
      </c>
      <c r="B9350" t="s">
        <v>1641</v>
      </c>
      <c r="C9350" t="s">
        <v>12099</v>
      </c>
      <c r="D9350" t="s">
        <v>18056</v>
      </c>
      <c r="E9350" t="s">
        <v>26278</v>
      </c>
      <c r="F9350" t="s">
        <v>31574</v>
      </c>
      <c r="G9350" t="s">
        <v>31582</v>
      </c>
      <c r="H9350" t="s">
        <v>31591</v>
      </c>
      <c r="I9350" t="s">
        <v>7162</v>
      </c>
      <c r="J9350" t="s">
        <v>37617</v>
      </c>
      <c r="K9350" t="s">
        <v>41189</v>
      </c>
      <c r="M9350" t="s">
        <v>43251</v>
      </c>
      <c r="N9350" t="s">
        <v>45095</v>
      </c>
      <c r="O9350" t="s">
        <v>45096</v>
      </c>
      <c r="P9350">
        <v>0</v>
      </c>
      <c r="Q9350">
        <v>2</v>
      </c>
      <c r="R9350" t="s">
        <v>45104</v>
      </c>
      <c r="S9350" t="s">
        <v>45304</v>
      </c>
      <c r="T9350" t="s">
        <v>47000</v>
      </c>
      <c r="U9350" t="s">
        <v>55214</v>
      </c>
      <c r="W9350" t="s">
        <v>43251</v>
      </c>
      <c r="X9350" t="s">
        <v>45105</v>
      </c>
    </row>
    <row r="9351" spans="1:24">
      <c r="A9351">
        <f>HYPERLINK("https://www.philgeps.gov.ph/GEPSNONPILOT/Tender/SplashBidNoticeAbstractUI.aspx?menuIndex=3&amp;refID=7035205&amp;Result=3","7035205")</f>
        <v>0</v>
      </c>
      <c r="B9351" t="s">
        <v>901</v>
      </c>
      <c r="C9351" t="s">
        <v>12100</v>
      </c>
      <c r="D9351" t="s">
        <v>18066</v>
      </c>
      <c r="E9351" t="s">
        <v>26279</v>
      </c>
      <c r="F9351" t="s">
        <v>31574</v>
      </c>
      <c r="G9351" t="s">
        <v>31582</v>
      </c>
      <c r="H9351" t="s">
        <v>31591</v>
      </c>
      <c r="I9351" t="s">
        <v>8822</v>
      </c>
      <c r="J9351" t="s">
        <v>37618</v>
      </c>
      <c r="K9351" t="s">
        <v>41333</v>
      </c>
      <c r="M9351" t="s">
        <v>42425</v>
      </c>
      <c r="N9351" t="s">
        <v>45095</v>
      </c>
      <c r="O9351" t="s">
        <v>45096</v>
      </c>
      <c r="P9351">
        <v>0</v>
      </c>
      <c r="Q9351">
        <v>1</v>
      </c>
      <c r="R9351" t="s">
        <v>45104</v>
      </c>
      <c r="S9351" t="s">
        <v>45304</v>
      </c>
      <c r="T9351" t="s">
        <v>46966</v>
      </c>
      <c r="U9351" t="s">
        <v>55207</v>
      </c>
      <c r="W9351" t="s">
        <v>42425</v>
      </c>
      <c r="X9351" t="s">
        <v>45105</v>
      </c>
    </row>
    <row r="9352" spans="1:24">
      <c r="A9352">
        <f>HYPERLINK("https://www.philgeps.gov.ph/GEPSNONPILOT/Tender/SplashBidNoticeAbstractUI.aspx?menuIndex=3&amp;refID=7035210&amp;Result=3","7035210")</f>
        <v>0</v>
      </c>
      <c r="B9352" t="s">
        <v>553</v>
      </c>
      <c r="C9352" t="s">
        <v>12101</v>
      </c>
      <c r="D9352" t="s">
        <v>18022</v>
      </c>
      <c r="E9352" t="s">
        <v>26280</v>
      </c>
      <c r="F9352" t="s">
        <v>31574</v>
      </c>
      <c r="G9352" t="s">
        <v>31581</v>
      </c>
      <c r="H9352" t="s">
        <v>31593</v>
      </c>
      <c r="I9352" t="s">
        <v>31593</v>
      </c>
      <c r="J9352" t="s">
        <v>31947</v>
      </c>
      <c r="K9352" t="s">
        <v>41184</v>
      </c>
      <c r="M9352" t="s">
        <v>42256</v>
      </c>
      <c r="N9352" t="s">
        <v>45095</v>
      </c>
      <c r="O9352" t="s">
        <v>45096</v>
      </c>
      <c r="Q9352">
        <v>4</v>
      </c>
      <c r="R9352" t="s">
        <v>45104</v>
      </c>
      <c r="S9352" t="s">
        <v>45263</v>
      </c>
      <c r="T9352" t="s">
        <v>46904</v>
      </c>
      <c r="U9352" t="s">
        <v>55215</v>
      </c>
      <c r="V9352" t="s">
        <v>60805</v>
      </c>
      <c r="W9352" t="s">
        <v>42256</v>
      </c>
      <c r="X9352" t="s">
        <v>45105</v>
      </c>
    </row>
    <row r="9353" spans="1:24">
      <c r="A9353">
        <f>HYPERLINK("https://www.philgeps.gov.ph/GEPSNONPILOT/Tender/SplashBidNoticeAbstractUI.aspx?menuIndex=3&amp;refID=7035208&amp;Result=3","7035208")</f>
        <v>0</v>
      </c>
      <c r="B9353" t="s">
        <v>2572</v>
      </c>
      <c r="C9353" t="s">
        <v>12102</v>
      </c>
      <c r="D9353" t="s">
        <v>18031</v>
      </c>
      <c r="E9353" t="s">
        <v>26281</v>
      </c>
      <c r="F9353" t="s">
        <v>31574</v>
      </c>
      <c r="G9353" t="s">
        <v>31588</v>
      </c>
      <c r="H9353" t="s">
        <v>31591</v>
      </c>
      <c r="I9353" t="s">
        <v>8822</v>
      </c>
      <c r="J9353" t="s">
        <v>37619</v>
      </c>
      <c r="K9353" t="s">
        <v>41256</v>
      </c>
      <c r="M9353" t="s">
        <v>44313</v>
      </c>
      <c r="N9353" t="s">
        <v>45095</v>
      </c>
      <c r="O9353" t="s">
        <v>45096</v>
      </c>
      <c r="P9353">
        <v>0</v>
      </c>
      <c r="Q9353">
        <v>17</v>
      </c>
      <c r="R9353" t="s">
        <v>45104</v>
      </c>
      <c r="S9353" t="s">
        <v>45304</v>
      </c>
      <c r="T9353" t="s">
        <v>46988</v>
      </c>
      <c r="U9353" t="s">
        <v>55216</v>
      </c>
      <c r="V9353" t="s">
        <v>60806</v>
      </c>
      <c r="W9353" t="s">
        <v>44313</v>
      </c>
      <c r="X9353" t="s">
        <v>45105</v>
      </c>
    </row>
    <row r="9354" spans="1:24">
      <c r="A9354">
        <f>HYPERLINK("https://www.philgeps.gov.ph/GEPSNONPILOT/Tender/SplashBidNoticeAbstractUI.aspx?menuIndex=3&amp;refID=7035219&amp;Result=3","7035219")</f>
        <v>0</v>
      </c>
      <c r="B9354" t="s">
        <v>2569</v>
      </c>
      <c r="C9354" t="s">
        <v>12103</v>
      </c>
      <c r="D9354" t="s">
        <v>18075</v>
      </c>
      <c r="E9354" t="s">
        <v>26282</v>
      </c>
      <c r="F9354" t="s">
        <v>31574</v>
      </c>
      <c r="G9354" t="s">
        <v>31582</v>
      </c>
      <c r="H9354" t="s">
        <v>31590</v>
      </c>
      <c r="I9354" t="s">
        <v>31615</v>
      </c>
      <c r="J9354" t="s">
        <v>32421</v>
      </c>
      <c r="K9354" t="s">
        <v>41196</v>
      </c>
      <c r="M9354" t="s">
        <v>44310</v>
      </c>
      <c r="N9354" t="s">
        <v>45095</v>
      </c>
      <c r="O9354" t="s">
        <v>45096</v>
      </c>
      <c r="P9354">
        <v>0</v>
      </c>
      <c r="Q9354">
        <v>2</v>
      </c>
      <c r="R9354" t="s">
        <v>45104</v>
      </c>
      <c r="S9354" t="s">
        <v>45304</v>
      </c>
      <c r="T9354" t="s">
        <v>47151</v>
      </c>
      <c r="U9354" t="s">
        <v>55217</v>
      </c>
      <c r="V9354" t="s">
        <v>60799</v>
      </c>
      <c r="W9354" t="s">
        <v>44310</v>
      </c>
      <c r="X9354" t="s">
        <v>45105</v>
      </c>
    </row>
    <row r="9355" spans="1:24">
      <c r="A9355">
        <f>HYPERLINK("https://www.philgeps.gov.ph/GEPSNONPILOT/Tender/SplashBidNoticeAbstractUI.aspx?menuIndex=3&amp;refID=7035206&amp;Result=3","7035206")</f>
        <v>0</v>
      </c>
      <c r="B9355" t="s">
        <v>2572</v>
      </c>
      <c r="C9355" t="s">
        <v>12104</v>
      </c>
      <c r="D9355" t="s">
        <v>18031</v>
      </c>
      <c r="E9355" t="s">
        <v>26283</v>
      </c>
      <c r="F9355" t="s">
        <v>31574</v>
      </c>
      <c r="G9355" t="s">
        <v>31588</v>
      </c>
      <c r="H9355" t="s">
        <v>31591</v>
      </c>
      <c r="I9355" t="s">
        <v>8822</v>
      </c>
      <c r="J9355" t="s">
        <v>37620</v>
      </c>
      <c r="K9355" t="s">
        <v>41256</v>
      </c>
      <c r="M9355" t="s">
        <v>44313</v>
      </c>
      <c r="N9355" t="s">
        <v>45095</v>
      </c>
      <c r="O9355" t="s">
        <v>45096</v>
      </c>
      <c r="P9355">
        <v>0</v>
      </c>
      <c r="Q9355">
        <v>16</v>
      </c>
      <c r="R9355" t="s">
        <v>45104</v>
      </c>
      <c r="S9355" t="s">
        <v>45304</v>
      </c>
      <c r="T9355" t="s">
        <v>46988</v>
      </c>
      <c r="U9355" t="s">
        <v>55218</v>
      </c>
      <c r="V9355" t="s">
        <v>60807</v>
      </c>
      <c r="W9355" t="s">
        <v>44313</v>
      </c>
      <c r="X9355" t="s">
        <v>45105</v>
      </c>
    </row>
    <row r="9356" spans="1:24">
      <c r="A9356">
        <f>HYPERLINK("https://www.philgeps.gov.ph/GEPSNONPILOT/Tender/SplashBidNoticeAbstractUI.aspx?menuIndex=3&amp;refID=7035217&amp;Result=3","7035217")</f>
        <v>0</v>
      </c>
      <c r="B9356" t="s">
        <v>2572</v>
      </c>
      <c r="C9356" t="s">
        <v>12105</v>
      </c>
      <c r="D9356" t="s">
        <v>18031</v>
      </c>
      <c r="E9356" t="s">
        <v>26284</v>
      </c>
      <c r="F9356" t="s">
        <v>31574</v>
      </c>
      <c r="G9356" t="s">
        <v>31588</v>
      </c>
      <c r="H9356" t="s">
        <v>31591</v>
      </c>
      <c r="I9356" t="s">
        <v>8822</v>
      </c>
      <c r="J9356" t="s">
        <v>37621</v>
      </c>
      <c r="K9356" t="s">
        <v>41202</v>
      </c>
      <c r="M9356" t="s">
        <v>44313</v>
      </c>
      <c r="N9356" t="s">
        <v>45095</v>
      </c>
      <c r="O9356" t="s">
        <v>45096</v>
      </c>
      <c r="P9356">
        <v>0</v>
      </c>
      <c r="Q9356">
        <v>12</v>
      </c>
      <c r="R9356" t="s">
        <v>45104</v>
      </c>
      <c r="S9356" t="s">
        <v>45304</v>
      </c>
      <c r="T9356" t="s">
        <v>46988</v>
      </c>
      <c r="U9356" t="s">
        <v>55219</v>
      </c>
      <c r="V9356" t="s">
        <v>60808</v>
      </c>
      <c r="W9356" t="s">
        <v>44313</v>
      </c>
      <c r="X9356" t="s">
        <v>45105</v>
      </c>
    </row>
    <row r="9357" spans="1:24">
      <c r="A9357">
        <f>HYPERLINK("https://www.philgeps.gov.ph/GEPSNONPILOT/Tender/SplashBidNoticeAbstractUI.aspx?menuIndex=3&amp;refID=7035209&amp;Result=3","7035209")</f>
        <v>0</v>
      </c>
      <c r="B9357" t="s">
        <v>2575</v>
      </c>
      <c r="C9357" t="s">
        <v>12106</v>
      </c>
      <c r="D9357" t="s">
        <v>18075</v>
      </c>
      <c r="E9357" t="s">
        <v>26285</v>
      </c>
      <c r="F9357" t="s">
        <v>31574</v>
      </c>
      <c r="G9357" t="s">
        <v>31581</v>
      </c>
      <c r="H9357" t="s">
        <v>31590</v>
      </c>
      <c r="I9357" t="s">
        <v>31648</v>
      </c>
      <c r="J9357" t="s">
        <v>37622</v>
      </c>
      <c r="K9357" t="s">
        <v>41211</v>
      </c>
      <c r="M9357" t="s">
        <v>44316</v>
      </c>
      <c r="N9357" t="s">
        <v>45095</v>
      </c>
      <c r="O9357" t="s">
        <v>45096</v>
      </c>
      <c r="P9357">
        <v>0</v>
      </c>
      <c r="Q9357">
        <v>2</v>
      </c>
      <c r="R9357" t="s">
        <v>45104</v>
      </c>
      <c r="S9357" t="s">
        <v>45304</v>
      </c>
      <c r="T9357" t="s">
        <v>47154</v>
      </c>
      <c r="U9357" t="s">
        <v>55220</v>
      </c>
      <c r="W9357" t="s">
        <v>44316</v>
      </c>
      <c r="X9357" t="s">
        <v>45105</v>
      </c>
    </row>
    <row r="9358" spans="1:24">
      <c r="A9358">
        <f>HYPERLINK("https://www.philgeps.gov.ph/GEPSNONPILOT/Tender/SplashBidNoticeAbstractUI.aspx?menuIndex=3&amp;refID=7035215&amp;Result=3","7035215")</f>
        <v>0</v>
      </c>
      <c r="B9358" t="s">
        <v>894</v>
      </c>
      <c r="C9358" t="s">
        <v>12107</v>
      </c>
      <c r="D9358" t="s">
        <v>18039</v>
      </c>
      <c r="E9358" t="s">
        <v>26286</v>
      </c>
      <c r="F9358" t="s">
        <v>31574</v>
      </c>
      <c r="G9358" t="s">
        <v>31582</v>
      </c>
      <c r="H9358" t="s">
        <v>31590</v>
      </c>
      <c r="I9358" t="s">
        <v>31636</v>
      </c>
      <c r="J9358" t="s">
        <v>31962</v>
      </c>
      <c r="K9358" t="s">
        <v>41190</v>
      </c>
      <c r="M9358" t="s">
        <v>42418</v>
      </c>
      <c r="N9358" t="s">
        <v>45095</v>
      </c>
      <c r="O9358" t="s">
        <v>45096</v>
      </c>
      <c r="P9358">
        <v>0</v>
      </c>
      <c r="Q9358">
        <v>2</v>
      </c>
      <c r="R9358" t="s">
        <v>45104</v>
      </c>
      <c r="S9358" t="s">
        <v>45304</v>
      </c>
      <c r="T9358" t="s">
        <v>47050</v>
      </c>
      <c r="U9358" t="s">
        <v>55221</v>
      </c>
      <c r="W9358" t="s">
        <v>42418</v>
      </c>
      <c r="X9358" t="s">
        <v>45105</v>
      </c>
    </row>
    <row r="9359" spans="1:24">
      <c r="A9359">
        <f>HYPERLINK("https://www.philgeps.gov.ph/GEPSNONPILOT/Tender/SplashBidNoticeAbstractUI.aspx?menuIndex=3&amp;refID=7035221&amp;Result=3","7035221")</f>
        <v>0</v>
      </c>
      <c r="B9359" t="s">
        <v>2576</v>
      </c>
      <c r="C9359" t="s">
        <v>12108</v>
      </c>
      <c r="D9359" t="s">
        <v>18102</v>
      </c>
      <c r="E9359" t="s">
        <v>22444</v>
      </c>
      <c r="F9359" t="s">
        <v>31574</v>
      </c>
      <c r="G9359" t="s">
        <v>31582</v>
      </c>
      <c r="H9359" t="s">
        <v>31590</v>
      </c>
      <c r="I9359" t="s">
        <v>4046</v>
      </c>
      <c r="J9359" t="s">
        <v>37623</v>
      </c>
      <c r="K9359" t="s">
        <v>41186</v>
      </c>
      <c r="M9359" t="s">
        <v>44317</v>
      </c>
      <c r="N9359" t="s">
        <v>45095</v>
      </c>
      <c r="O9359" t="s">
        <v>45096</v>
      </c>
      <c r="P9359">
        <v>0</v>
      </c>
      <c r="Q9359">
        <v>0</v>
      </c>
      <c r="R9359" t="s">
        <v>45104</v>
      </c>
      <c r="S9359" t="s">
        <v>45304</v>
      </c>
      <c r="T9359" t="s">
        <v>47159</v>
      </c>
      <c r="U9359" t="s">
        <v>55222</v>
      </c>
      <c r="W9359" t="s">
        <v>44317</v>
      </c>
      <c r="X9359" t="s">
        <v>45105</v>
      </c>
    </row>
    <row r="9360" spans="1:24">
      <c r="A9360">
        <f>HYPERLINK("https://www.philgeps.gov.ph/GEPSNONPILOT/Tender/SplashBidNoticeAbstractUI.aspx?menuIndex=3&amp;refID=7035203&amp;Result=3","7035203")</f>
        <v>0</v>
      </c>
      <c r="B9360" t="s">
        <v>2572</v>
      </c>
      <c r="C9360" t="s">
        <v>12109</v>
      </c>
      <c r="D9360" t="s">
        <v>18031</v>
      </c>
      <c r="E9360" t="s">
        <v>26287</v>
      </c>
      <c r="F9360" t="s">
        <v>31574</v>
      </c>
      <c r="G9360" t="s">
        <v>31588</v>
      </c>
      <c r="H9360" t="s">
        <v>31591</v>
      </c>
      <c r="I9360" t="s">
        <v>8822</v>
      </c>
      <c r="J9360" t="s">
        <v>37624</v>
      </c>
      <c r="K9360" t="s">
        <v>41202</v>
      </c>
      <c r="M9360" t="s">
        <v>44313</v>
      </c>
      <c r="N9360" t="s">
        <v>45095</v>
      </c>
      <c r="O9360" t="s">
        <v>45096</v>
      </c>
      <c r="P9360">
        <v>0</v>
      </c>
      <c r="Q9360">
        <v>16</v>
      </c>
      <c r="R9360" t="s">
        <v>45104</v>
      </c>
      <c r="S9360" t="s">
        <v>45304</v>
      </c>
      <c r="T9360" t="s">
        <v>46988</v>
      </c>
      <c r="U9360" t="s">
        <v>55223</v>
      </c>
      <c r="V9360" t="s">
        <v>60809</v>
      </c>
      <c r="W9360" t="s">
        <v>44313</v>
      </c>
      <c r="X9360" t="s">
        <v>45105</v>
      </c>
    </row>
    <row r="9361" spans="1:24">
      <c r="A9361">
        <f>HYPERLINK("https://www.philgeps.gov.ph/GEPSNONPILOT/Tender/SplashBidNoticeAbstractUI.aspx?menuIndex=3&amp;refID=7035200&amp;Result=3","7035200")</f>
        <v>0</v>
      </c>
      <c r="B9361" t="s">
        <v>2577</v>
      </c>
      <c r="C9361" t="s">
        <v>12110</v>
      </c>
      <c r="D9361" t="s">
        <v>18102</v>
      </c>
      <c r="E9361" t="s">
        <v>22444</v>
      </c>
      <c r="F9361" t="s">
        <v>31574</v>
      </c>
      <c r="G9361" t="s">
        <v>31582</v>
      </c>
      <c r="H9361" t="s">
        <v>31590</v>
      </c>
      <c r="I9361" t="s">
        <v>31607</v>
      </c>
      <c r="J9361" t="s">
        <v>37625</v>
      </c>
      <c r="K9361" t="s">
        <v>41186</v>
      </c>
      <c r="M9361" t="s">
        <v>44318</v>
      </c>
      <c r="N9361" t="s">
        <v>45095</v>
      </c>
      <c r="O9361" t="s">
        <v>45096</v>
      </c>
      <c r="P9361">
        <v>0</v>
      </c>
      <c r="Q9361">
        <v>0</v>
      </c>
      <c r="R9361" t="s">
        <v>45104</v>
      </c>
      <c r="S9361" t="s">
        <v>45304</v>
      </c>
      <c r="T9361" t="s">
        <v>47177</v>
      </c>
      <c r="U9361" t="s">
        <v>55224</v>
      </c>
      <c r="W9361" t="s">
        <v>44318</v>
      </c>
      <c r="X9361" t="s">
        <v>45105</v>
      </c>
    </row>
    <row r="9362" spans="1:24">
      <c r="A9362">
        <f>HYPERLINK("https://www.philgeps.gov.ph/GEPSNONPILOT/Tender/SplashBidNoticeAbstractUI.aspx?menuIndex=3&amp;refID=7035222&amp;Result=3","7035222")</f>
        <v>0</v>
      </c>
      <c r="B9362" t="s">
        <v>2572</v>
      </c>
      <c r="C9362" t="s">
        <v>12111</v>
      </c>
      <c r="D9362" t="s">
        <v>18031</v>
      </c>
      <c r="E9362" t="s">
        <v>26288</v>
      </c>
      <c r="F9362" t="s">
        <v>31574</v>
      </c>
      <c r="G9362" t="s">
        <v>31588</v>
      </c>
      <c r="H9362" t="s">
        <v>31591</v>
      </c>
      <c r="I9362" t="s">
        <v>8822</v>
      </c>
      <c r="J9362" t="s">
        <v>37626</v>
      </c>
      <c r="K9362" t="s">
        <v>41198</v>
      </c>
      <c r="M9362" t="s">
        <v>44313</v>
      </c>
      <c r="N9362" t="s">
        <v>45095</v>
      </c>
      <c r="O9362" t="s">
        <v>45096</v>
      </c>
      <c r="P9362">
        <v>0</v>
      </c>
      <c r="Q9362">
        <v>13</v>
      </c>
      <c r="R9362" t="s">
        <v>45104</v>
      </c>
      <c r="S9362" t="s">
        <v>45304</v>
      </c>
      <c r="T9362" t="s">
        <v>46988</v>
      </c>
      <c r="U9362" t="s">
        <v>55225</v>
      </c>
      <c r="V9362" t="s">
        <v>60810</v>
      </c>
      <c r="W9362" t="s">
        <v>44313</v>
      </c>
      <c r="X9362" t="s">
        <v>45105</v>
      </c>
    </row>
    <row r="9363" spans="1:24">
      <c r="A9363">
        <f>HYPERLINK("https://www.philgeps.gov.ph/GEPSNONPILOT/Tender/SplashBidNoticeAbstractUI.aspx?menuIndex=3&amp;refID=7035243&amp;Result=3","7035243")</f>
        <v>0</v>
      </c>
      <c r="B9363" t="s">
        <v>2143</v>
      </c>
      <c r="C9363" t="s">
        <v>12112</v>
      </c>
      <c r="E9363" t="s">
        <v>26289</v>
      </c>
      <c r="F9363" t="s">
        <v>31574</v>
      </c>
      <c r="G9363" t="s">
        <v>31582</v>
      </c>
      <c r="H9363" t="s">
        <v>31591</v>
      </c>
      <c r="I9363" t="s">
        <v>8822</v>
      </c>
      <c r="J9363" t="s">
        <v>34743</v>
      </c>
      <c r="K9363" t="s">
        <v>41243</v>
      </c>
      <c r="M9363" t="s">
        <v>43825</v>
      </c>
      <c r="N9363" t="s">
        <v>45095</v>
      </c>
      <c r="O9363" t="s">
        <v>45096</v>
      </c>
      <c r="P9363">
        <v>0</v>
      </c>
      <c r="Q9363">
        <v>0</v>
      </c>
      <c r="R9363" t="s">
        <v>45104</v>
      </c>
      <c r="S9363" t="s">
        <v>45304</v>
      </c>
      <c r="T9363" t="s">
        <v>46992</v>
      </c>
      <c r="U9363" t="s">
        <v>55226</v>
      </c>
      <c r="V9363" t="s">
        <v>60619</v>
      </c>
      <c r="W9363" t="s">
        <v>43825</v>
      </c>
      <c r="X9363" t="s">
        <v>45105</v>
      </c>
    </row>
    <row r="9364" spans="1:24">
      <c r="A9364">
        <f>HYPERLINK("https://www.philgeps.gov.ph/GEPSNONPILOT/Tender/SplashBidNoticeAbstractUI.aspx?menuIndex=3&amp;refID=7035235&amp;Result=3","7035235")</f>
        <v>0</v>
      </c>
      <c r="B9364" t="s">
        <v>2143</v>
      </c>
      <c r="C9364" t="s">
        <v>12113</v>
      </c>
      <c r="E9364" t="s">
        <v>26290</v>
      </c>
      <c r="F9364" t="s">
        <v>31574</v>
      </c>
      <c r="G9364" t="s">
        <v>31582</v>
      </c>
      <c r="H9364" t="s">
        <v>31591</v>
      </c>
      <c r="I9364" t="s">
        <v>8822</v>
      </c>
      <c r="J9364" t="s">
        <v>34743</v>
      </c>
      <c r="K9364" t="s">
        <v>41200</v>
      </c>
      <c r="M9364" t="s">
        <v>43825</v>
      </c>
      <c r="N9364" t="s">
        <v>45095</v>
      </c>
      <c r="O9364" t="s">
        <v>45096</v>
      </c>
      <c r="P9364">
        <v>0</v>
      </c>
      <c r="Q9364">
        <v>0</v>
      </c>
      <c r="R9364" t="s">
        <v>45104</v>
      </c>
      <c r="S9364" t="s">
        <v>45304</v>
      </c>
      <c r="T9364" t="s">
        <v>46992</v>
      </c>
      <c r="U9364" t="s">
        <v>55226</v>
      </c>
      <c r="V9364" t="s">
        <v>60619</v>
      </c>
      <c r="W9364" t="s">
        <v>43825</v>
      </c>
      <c r="X9364" t="s">
        <v>45105</v>
      </c>
    </row>
    <row r="9365" spans="1:24">
      <c r="A9365">
        <f>HYPERLINK("https://www.philgeps.gov.ph/GEPSNONPILOT/Tender/SplashBidNoticeAbstractUI.aspx?menuIndex=3&amp;refID=7035248&amp;Result=3","7035248")</f>
        <v>0</v>
      </c>
      <c r="B9365" t="s">
        <v>2578</v>
      </c>
      <c r="C9365" t="s">
        <v>12114</v>
      </c>
      <c r="D9365" t="s">
        <v>18022</v>
      </c>
      <c r="E9365" t="s">
        <v>26291</v>
      </c>
      <c r="F9365" t="s">
        <v>31574</v>
      </c>
      <c r="G9365" t="s">
        <v>31582</v>
      </c>
      <c r="H9365" t="s">
        <v>31590</v>
      </c>
      <c r="I9365" t="s">
        <v>3487</v>
      </c>
      <c r="J9365" t="s">
        <v>37627</v>
      </c>
      <c r="K9365" t="s">
        <v>41190</v>
      </c>
      <c r="M9365" t="s">
        <v>44319</v>
      </c>
      <c r="N9365" t="s">
        <v>45095</v>
      </c>
      <c r="O9365" t="s">
        <v>45096</v>
      </c>
      <c r="P9365">
        <v>0</v>
      </c>
      <c r="Q9365">
        <v>0</v>
      </c>
      <c r="R9365" t="s">
        <v>45104</v>
      </c>
      <c r="S9365" t="s">
        <v>45304</v>
      </c>
      <c r="T9365" t="s">
        <v>47159</v>
      </c>
      <c r="U9365" t="s">
        <v>55227</v>
      </c>
      <c r="W9365" t="s">
        <v>44319</v>
      </c>
      <c r="X9365" t="s">
        <v>45105</v>
      </c>
    </row>
    <row r="9366" spans="1:24">
      <c r="A9366">
        <f>HYPERLINK("https://www.philgeps.gov.ph/GEPSNONPILOT/Tender/SplashBidNoticeAbstractUI.aspx?menuIndex=3&amp;refID=7035234&amp;Result=3","7035234")</f>
        <v>0</v>
      </c>
      <c r="B9366" t="s">
        <v>2578</v>
      </c>
      <c r="C9366" t="s">
        <v>12115</v>
      </c>
      <c r="D9366" t="s">
        <v>18022</v>
      </c>
      <c r="E9366" t="s">
        <v>26291</v>
      </c>
      <c r="F9366" t="s">
        <v>31574</v>
      </c>
      <c r="G9366" t="s">
        <v>31582</v>
      </c>
      <c r="H9366" t="s">
        <v>31590</v>
      </c>
      <c r="I9366" t="s">
        <v>3487</v>
      </c>
      <c r="J9366" t="s">
        <v>37628</v>
      </c>
      <c r="K9366" t="s">
        <v>41190</v>
      </c>
      <c r="M9366" t="s">
        <v>44319</v>
      </c>
      <c r="N9366" t="s">
        <v>45095</v>
      </c>
      <c r="O9366" t="s">
        <v>45096</v>
      </c>
      <c r="P9366">
        <v>0</v>
      </c>
      <c r="Q9366">
        <v>0</v>
      </c>
      <c r="R9366" t="s">
        <v>45104</v>
      </c>
      <c r="S9366" t="s">
        <v>45304</v>
      </c>
      <c r="T9366" t="s">
        <v>47159</v>
      </c>
      <c r="U9366" t="s">
        <v>55228</v>
      </c>
      <c r="W9366" t="s">
        <v>44319</v>
      </c>
      <c r="X9366" t="s">
        <v>45105</v>
      </c>
    </row>
    <row r="9367" spans="1:24">
      <c r="A9367">
        <f>HYPERLINK("https://www.philgeps.gov.ph/GEPSNONPILOT/Tender/SplashBidNoticeAbstractUI.aspx?menuIndex=3&amp;refID=7035227&amp;Result=3","7035227")</f>
        <v>0</v>
      </c>
      <c r="B9367" t="s">
        <v>2572</v>
      </c>
      <c r="C9367" t="s">
        <v>12116</v>
      </c>
      <c r="D9367" t="s">
        <v>18031</v>
      </c>
      <c r="E9367" t="s">
        <v>26292</v>
      </c>
      <c r="F9367" t="s">
        <v>31574</v>
      </c>
      <c r="G9367" t="s">
        <v>31588</v>
      </c>
      <c r="H9367" t="s">
        <v>31591</v>
      </c>
      <c r="I9367" t="s">
        <v>8822</v>
      </c>
      <c r="J9367" t="s">
        <v>37629</v>
      </c>
      <c r="K9367" t="s">
        <v>41256</v>
      </c>
      <c r="M9367" t="s">
        <v>44313</v>
      </c>
      <c r="N9367" t="s">
        <v>45095</v>
      </c>
      <c r="O9367" t="s">
        <v>45096</v>
      </c>
      <c r="P9367">
        <v>0</v>
      </c>
      <c r="Q9367">
        <v>13</v>
      </c>
      <c r="R9367" t="s">
        <v>45104</v>
      </c>
      <c r="S9367" t="s">
        <v>45304</v>
      </c>
      <c r="T9367" t="s">
        <v>46988</v>
      </c>
      <c r="U9367" t="s">
        <v>55229</v>
      </c>
      <c r="V9367" t="s">
        <v>60811</v>
      </c>
      <c r="W9367" t="s">
        <v>44313</v>
      </c>
      <c r="X9367" t="s">
        <v>45105</v>
      </c>
    </row>
    <row r="9368" spans="1:24">
      <c r="A9368">
        <f>HYPERLINK("https://www.philgeps.gov.ph/GEPSNONPILOT/Tender/SplashBidNoticeAbstractUI.aspx?menuIndex=3&amp;refID=7035247&amp;Result=3","7035247")</f>
        <v>0</v>
      </c>
      <c r="B9368" t="s">
        <v>2143</v>
      </c>
      <c r="C9368" t="s">
        <v>12117</v>
      </c>
      <c r="E9368" t="s">
        <v>26293</v>
      </c>
      <c r="F9368" t="s">
        <v>31574</v>
      </c>
      <c r="G9368" t="s">
        <v>31582</v>
      </c>
      <c r="H9368" t="s">
        <v>31591</v>
      </c>
      <c r="I9368" t="s">
        <v>8822</v>
      </c>
      <c r="J9368" t="s">
        <v>34697</v>
      </c>
      <c r="K9368" t="s">
        <v>41200</v>
      </c>
      <c r="M9368" t="s">
        <v>43825</v>
      </c>
      <c r="N9368" t="s">
        <v>45095</v>
      </c>
      <c r="O9368" t="s">
        <v>45096</v>
      </c>
      <c r="P9368">
        <v>0</v>
      </c>
      <c r="Q9368">
        <v>0</v>
      </c>
      <c r="R9368" t="s">
        <v>45104</v>
      </c>
      <c r="S9368" t="s">
        <v>45304</v>
      </c>
      <c r="T9368" t="s">
        <v>46992</v>
      </c>
      <c r="U9368" t="s">
        <v>55226</v>
      </c>
      <c r="V9368" t="s">
        <v>60619</v>
      </c>
      <c r="W9368" t="s">
        <v>43825</v>
      </c>
      <c r="X9368" t="s">
        <v>45105</v>
      </c>
    </row>
    <row r="9369" spans="1:24">
      <c r="A9369">
        <f>HYPERLINK("https://www.philgeps.gov.ph/GEPSNONPILOT/Tender/SplashBidNoticeAbstractUI.aspx?menuIndex=3&amp;refID=7035229&amp;Result=3","7035229")</f>
        <v>0</v>
      </c>
      <c r="B9369" t="s">
        <v>2576</v>
      </c>
      <c r="C9369" t="s">
        <v>12118</v>
      </c>
      <c r="D9369" t="s">
        <v>18102</v>
      </c>
      <c r="E9369" t="s">
        <v>22468</v>
      </c>
      <c r="F9369" t="s">
        <v>31574</v>
      </c>
      <c r="G9369" t="s">
        <v>31582</v>
      </c>
      <c r="H9369" t="s">
        <v>31590</v>
      </c>
      <c r="I9369" t="s">
        <v>31607</v>
      </c>
      <c r="J9369" t="s">
        <v>37630</v>
      </c>
      <c r="K9369" t="s">
        <v>41186</v>
      </c>
      <c r="M9369" t="s">
        <v>44317</v>
      </c>
      <c r="N9369" t="s">
        <v>45095</v>
      </c>
      <c r="O9369" t="s">
        <v>45096</v>
      </c>
      <c r="P9369">
        <v>0</v>
      </c>
      <c r="Q9369">
        <v>2</v>
      </c>
      <c r="R9369" t="s">
        <v>45104</v>
      </c>
      <c r="S9369" t="s">
        <v>45304</v>
      </c>
      <c r="T9369" t="s">
        <v>47177</v>
      </c>
      <c r="U9369" t="s">
        <v>55230</v>
      </c>
      <c r="W9369" t="s">
        <v>44317</v>
      </c>
      <c r="X9369" t="s">
        <v>45105</v>
      </c>
    </row>
    <row r="9370" spans="1:24">
      <c r="A9370">
        <f>HYPERLINK("https://www.philgeps.gov.ph/GEPSNONPILOT/Tender/SplashBidNoticeAbstractUI.aspx?menuIndex=3&amp;refID=7035226&amp;Result=3","7035226")</f>
        <v>0</v>
      </c>
      <c r="B9370" t="s">
        <v>2568</v>
      </c>
      <c r="C9370" t="s">
        <v>12119</v>
      </c>
      <c r="D9370" t="s">
        <v>18022</v>
      </c>
      <c r="E9370" t="s">
        <v>20123</v>
      </c>
      <c r="F9370" t="s">
        <v>31574</v>
      </c>
      <c r="G9370" t="s">
        <v>31582</v>
      </c>
      <c r="H9370" t="s">
        <v>31590</v>
      </c>
      <c r="I9370" t="s">
        <v>3487</v>
      </c>
      <c r="J9370" t="s">
        <v>37631</v>
      </c>
      <c r="K9370" t="s">
        <v>41196</v>
      </c>
      <c r="M9370" t="s">
        <v>44309</v>
      </c>
      <c r="N9370" t="s">
        <v>45095</v>
      </c>
      <c r="O9370" t="s">
        <v>45096</v>
      </c>
      <c r="P9370">
        <v>0</v>
      </c>
      <c r="Q9370">
        <v>0</v>
      </c>
      <c r="R9370" t="s">
        <v>45104</v>
      </c>
      <c r="S9370" t="s">
        <v>45304</v>
      </c>
      <c r="T9370" t="s">
        <v>46910</v>
      </c>
      <c r="U9370" t="s">
        <v>55231</v>
      </c>
      <c r="W9370" t="s">
        <v>44309</v>
      </c>
      <c r="X9370" t="s">
        <v>45105</v>
      </c>
    </row>
    <row r="9371" spans="1:24">
      <c r="A9371">
        <f>HYPERLINK("https://www.philgeps.gov.ph/GEPSNONPILOT/Tender/SplashBidNoticeAbstractUI.aspx?menuIndex=3&amp;refID=7035265&amp;Result=3","7035265")</f>
        <v>0</v>
      </c>
      <c r="B9371" t="s">
        <v>2366</v>
      </c>
      <c r="C9371" t="s">
        <v>12120</v>
      </c>
      <c r="D9371" t="s">
        <v>18068</v>
      </c>
      <c r="E9371" t="s">
        <v>26294</v>
      </c>
      <c r="F9371" t="s">
        <v>31574</v>
      </c>
      <c r="G9371" t="s">
        <v>31582</v>
      </c>
      <c r="H9371" t="s">
        <v>31591</v>
      </c>
      <c r="I9371" t="s">
        <v>8822</v>
      </c>
      <c r="J9371" t="s">
        <v>37632</v>
      </c>
      <c r="K9371" t="s">
        <v>41200</v>
      </c>
      <c r="M9371" t="s">
        <v>44087</v>
      </c>
      <c r="N9371" t="s">
        <v>45095</v>
      </c>
      <c r="O9371" t="s">
        <v>45096</v>
      </c>
      <c r="P9371">
        <v>0</v>
      </c>
      <c r="Q9371">
        <v>0</v>
      </c>
      <c r="R9371" t="s">
        <v>45104</v>
      </c>
      <c r="S9371" t="s">
        <v>45304</v>
      </c>
      <c r="T9371" t="s">
        <v>47159</v>
      </c>
      <c r="U9371" t="s">
        <v>55232</v>
      </c>
      <c r="W9371" t="s">
        <v>44087</v>
      </c>
      <c r="X9371" t="s">
        <v>45105</v>
      </c>
    </row>
    <row r="9372" spans="1:24">
      <c r="A9372">
        <f>HYPERLINK("https://www.philgeps.gov.ph/GEPSNONPILOT/Tender/SplashBidNoticeAbstractUI.aspx?menuIndex=3&amp;refID=7035238&amp;Result=3","7035238")</f>
        <v>0</v>
      </c>
      <c r="B9372" t="s">
        <v>2143</v>
      </c>
      <c r="C9372" t="s">
        <v>12121</v>
      </c>
      <c r="E9372" t="s">
        <v>26295</v>
      </c>
      <c r="F9372" t="s">
        <v>31574</v>
      </c>
      <c r="G9372" t="s">
        <v>31582</v>
      </c>
      <c r="H9372" t="s">
        <v>31591</v>
      </c>
      <c r="I9372" t="s">
        <v>8822</v>
      </c>
      <c r="J9372" t="s">
        <v>37633</v>
      </c>
      <c r="K9372" t="s">
        <v>41198</v>
      </c>
      <c r="M9372" t="s">
        <v>43825</v>
      </c>
      <c r="N9372" t="s">
        <v>45095</v>
      </c>
      <c r="O9372" t="s">
        <v>45096</v>
      </c>
      <c r="P9372">
        <v>0</v>
      </c>
      <c r="Q9372">
        <v>2</v>
      </c>
      <c r="R9372" t="s">
        <v>45104</v>
      </c>
      <c r="S9372" t="s">
        <v>45304</v>
      </c>
      <c r="T9372" t="s">
        <v>46992</v>
      </c>
      <c r="U9372" t="s">
        <v>55226</v>
      </c>
      <c r="V9372" t="s">
        <v>60619</v>
      </c>
      <c r="W9372" t="s">
        <v>43825</v>
      </c>
      <c r="X9372" t="s">
        <v>45105</v>
      </c>
    </row>
    <row r="9373" spans="1:24">
      <c r="A9373">
        <f>HYPERLINK("https://www.philgeps.gov.ph/GEPSNONPILOT/Tender/SplashBidNoticeAbstractUI.aspx?menuIndex=3&amp;refID=7035263&amp;Result=3","7035263")</f>
        <v>0</v>
      </c>
      <c r="B9373" t="s">
        <v>829</v>
      </c>
      <c r="C9373" t="s">
        <v>12122</v>
      </c>
      <c r="D9373" t="s">
        <v>18022</v>
      </c>
      <c r="E9373" t="s">
        <v>26296</v>
      </c>
      <c r="F9373" t="s">
        <v>31574</v>
      </c>
      <c r="G9373" t="s">
        <v>31582</v>
      </c>
      <c r="H9373" t="s">
        <v>31590</v>
      </c>
      <c r="I9373" t="s">
        <v>31620</v>
      </c>
      <c r="J9373" t="s">
        <v>32101</v>
      </c>
      <c r="K9373" t="s">
        <v>41189</v>
      </c>
      <c r="M9373" t="s">
        <v>42348</v>
      </c>
      <c r="N9373" t="s">
        <v>45095</v>
      </c>
      <c r="O9373" t="s">
        <v>45096</v>
      </c>
      <c r="P9373">
        <v>0</v>
      </c>
      <c r="Q9373">
        <v>18</v>
      </c>
      <c r="R9373" t="s">
        <v>45104</v>
      </c>
      <c r="S9373" t="s">
        <v>45304</v>
      </c>
      <c r="T9373" t="s">
        <v>46999</v>
      </c>
      <c r="U9373" t="s">
        <v>55233</v>
      </c>
      <c r="W9373" t="s">
        <v>42348</v>
      </c>
      <c r="X9373" t="s">
        <v>45105</v>
      </c>
    </row>
    <row r="9374" spans="1:24">
      <c r="A9374">
        <f>HYPERLINK("https://www.philgeps.gov.ph/GEPSNONPILOT/Tender/SplashBidNoticeAbstractUI.aspx?menuIndex=3&amp;refID=7035260&amp;Result=3","7035260")</f>
        <v>0</v>
      </c>
      <c r="B9374" t="s">
        <v>829</v>
      </c>
      <c r="C9374" t="s">
        <v>12123</v>
      </c>
      <c r="D9374" t="s">
        <v>18022</v>
      </c>
      <c r="E9374" t="s">
        <v>26297</v>
      </c>
      <c r="F9374" t="s">
        <v>31574</v>
      </c>
      <c r="G9374" t="s">
        <v>31582</v>
      </c>
      <c r="H9374" t="s">
        <v>31590</v>
      </c>
      <c r="I9374" t="s">
        <v>31620</v>
      </c>
      <c r="J9374" t="s">
        <v>32530</v>
      </c>
      <c r="K9374" t="s">
        <v>41189</v>
      </c>
      <c r="M9374" t="s">
        <v>42348</v>
      </c>
      <c r="N9374" t="s">
        <v>45095</v>
      </c>
      <c r="O9374" t="s">
        <v>45096</v>
      </c>
      <c r="P9374">
        <v>0</v>
      </c>
      <c r="Q9374">
        <v>23</v>
      </c>
      <c r="R9374" t="s">
        <v>45104</v>
      </c>
      <c r="S9374" t="s">
        <v>45304</v>
      </c>
      <c r="T9374" t="s">
        <v>46988</v>
      </c>
      <c r="U9374" t="s">
        <v>55234</v>
      </c>
      <c r="W9374" t="s">
        <v>42348</v>
      </c>
      <c r="X9374" t="s">
        <v>45105</v>
      </c>
    </row>
    <row r="9375" spans="1:24">
      <c r="A9375">
        <f>HYPERLINK("https://www.philgeps.gov.ph/GEPSNONPILOT/Tender/SplashBidNoticeAbstractUI.aspx?menuIndex=3&amp;refID=7035254&amp;Result=3","7035254")</f>
        <v>0</v>
      </c>
      <c r="B9375" t="s">
        <v>2143</v>
      </c>
      <c r="C9375" t="s">
        <v>12124</v>
      </c>
      <c r="E9375" t="s">
        <v>26298</v>
      </c>
      <c r="F9375" t="s">
        <v>31574</v>
      </c>
      <c r="G9375" t="s">
        <v>31582</v>
      </c>
      <c r="H9375" t="s">
        <v>31591</v>
      </c>
      <c r="I9375" t="s">
        <v>8822</v>
      </c>
      <c r="J9375" t="s">
        <v>32504</v>
      </c>
      <c r="K9375" t="s">
        <v>41192</v>
      </c>
      <c r="M9375" t="s">
        <v>43825</v>
      </c>
      <c r="N9375" t="s">
        <v>45095</v>
      </c>
      <c r="O9375" t="s">
        <v>45096</v>
      </c>
      <c r="Q9375">
        <v>0</v>
      </c>
      <c r="R9375" t="s">
        <v>45104</v>
      </c>
      <c r="S9375" t="s">
        <v>45352</v>
      </c>
      <c r="T9375" t="s">
        <v>46992</v>
      </c>
      <c r="U9375" t="s">
        <v>55226</v>
      </c>
      <c r="V9375" t="s">
        <v>60619</v>
      </c>
      <c r="W9375" t="s">
        <v>43825</v>
      </c>
      <c r="X9375" t="s">
        <v>45105</v>
      </c>
    </row>
    <row r="9376" spans="1:24">
      <c r="A9376">
        <f>HYPERLINK("https://www.philgeps.gov.ph/GEPSNONPILOT/Tender/SplashBidNoticeAbstractUI.aspx?menuIndex=3&amp;refID=7035255&amp;Result=3","7035255")</f>
        <v>0</v>
      </c>
      <c r="B9376" t="s">
        <v>2569</v>
      </c>
      <c r="C9376" t="s">
        <v>12125</v>
      </c>
      <c r="D9376" t="s">
        <v>18075</v>
      </c>
      <c r="E9376" t="s">
        <v>26299</v>
      </c>
      <c r="F9376" t="s">
        <v>31574</v>
      </c>
      <c r="G9376" t="s">
        <v>31582</v>
      </c>
      <c r="H9376" t="s">
        <v>31590</v>
      </c>
      <c r="I9376" t="s">
        <v>31615</v>
      </c>
      <c r="J9376" t="s">
        <v>32120</v>
      </c>
      <c r="K9376" t="s">
        <v>41196</v>
      </c>
      <c r="M9376" t="s">
        <v>44310</v>
      </c>
      <c r="N9376" t="s">
        <v>45095</v>
      </c>
      <c r="O9376" t="s">
        <v>45096</v>
      </c>
      <c r="P9376">
        <v>0</v>
      </c>
      <c r="Q9376">
        <v>1</v>
      </c>
      <c r="R9376" t="s">
        <v>45104</v>
      </c>
      <c r="S9376" t="s">
        <v>45304</v>
      </c>
      <c r="T9376" t="s">
        <v>47151</v>
      </c>
      <c r="U9376" t="s">
        <v>55235</v>
      </c>
      <c r="V9376" t="s">
        <v>60799</v>
      </c>
      <c r="W9376" t="s">
        <v>44310</v>
      </c>
      <c r="X9376" t="s">
        <v>45105</v>
      </c>
    </row>
    <row r="9377" spans="1:24">
      <c r="A9377">
        <f>HYPERLINK("https://www.philgeps.gov.ph/GEPSNONPILOT/Tender/SplashBidNoticeAbstractUI.aspx?menuIndex=3&amp;refID=7035252&amp;Result=3","7035252")</f>
        <v>0</v>
      </c>
      <c r="B9377" t="s">
        <v>2579</v>
      </c>
      <c r="C9377" t="s">
        <v>12126</v>
      </c>
      <c r="D9377" t="s">
        <v>18078</v>
      </c>
      <c r="E9377" t="s">
        <v>21659</v>
      </c>
      <c r="F9377" t="s">
        <v>31574</v>
      </c>
      <c r="G9377" t="s">
        <v>31581</v>
      </c>
      <c r="H9377" t="s">
        <v>31590</v>
      </c>
      <c r="I9377" t="s">
        <v>7185</v>
      </c>
      <c r="J9377" t="s">
        <v>32774</v>
      </c>
      <c r="K9377" t="s">
        <v>41193</v>
      </c>
      <c r="M9377" t="s">
        <v>44320</v>
      </c>
      <c r="N9377" t="s">
        <v>45095</v>
      </c>
      <c r="O9377" t="s">
        <v>45096</v>
      </c>
      <c r="P9377">
        <v>0</v>
      </c>
      <c r="Q9377">
        <v>0</v>
      </c>
      <c r="R9377" t="s">
        <v>45104</v>
      </c>
      <c r="S9377" t="s">
        <v>45304</v>
      </c>
      <c r="T9377" t="s">
        <v>46904</v>
      </c>
      <c r="U9377" t="s">
        <v>55236</v>
      </c>
      <c r="W9377" t="s">
        <v>61744</v>
      </c>
      <c r="X9377" t="s">
        <v>45105</v>
      </c>
    </row>
    <row r="9378" spans="1:24">
      <c r="A9378">
        <f>HYPERLINK("https://www.philgeps.gov.ph/GEPSNONPILOT/Tender/SplashBidNoticeAbstractUI.aspx?menuIndex=3&amp;refID=7035261&amp;Result=3","7035261")</f>
        <v>0</v>
      </c>
      <c r="B9378" t="s">
        <v>1554</v>
      </c>
      <c r="C9378" t="s">
        <v>12127</v>
      </c>
      <c r="D9378" t="s">
        <v>18056</v>
      </c>
      <c r="E9378" t="s">
        <v>26300</v>
      </c>
      <c r="F9378" t="s">
        <v>31574</v>
      </c>
      <c r="G9378" t="s">
        <v>31581</v>
      </c>
      <c r="H9378" t="s">
        <v>31590</v>
      </c>
      <c r="I9378" t="s">
        <v>31616</v>
      </c>
      <c r="J9378" t="s">
        <v>37634</v>
      </c>
      <c r="K9378" t="s">
        <v>41191</v>
      </c>
      <c r="M9378" t="s">
        <v>43153</v>
      </c>
      <c r="N9378" t="s">
        <v>45095</v>
      </c>
      <c r="O9378" t="s">
        <v>45096</v>
      </c>
      <c r="P9378">
        <v>0</v>
      </c>
      <c r="Q9378">
        <v>2</v>
      </c>
      <c r="R9378" t="s">
        <v>45104</v>
      </c>
      <c r="S9378" t="s">
        <v>45304</v>
      </c>
      <c r="T9378" t="s">
        <v>47159</v>
      </c>
      <c r="U9378" t="s">
        <v>55237</v>
      </c>
      <c r="W9378" t="s">
        <v>43153</v>
      </c>
      <c r="X9378" t="s">
        <v>45105</v>
      </c>
    </row>
    <row r="9379" spans="1:24">
      <c r="A9379">
        <f>HYPERLINK("https://www.philgeps.gov.ph/GEPSNONPILOT/Tender/SplashBidNoticeAbstractUI.aspx?menuIndex=3&amp;refID=7035268&amp;Result=3","7035268")</f>
        <v>0</v>
      </c>
      <c r="B9379" t="s">
        <v>1623</v>
      </c>
      <c r="C9379" t="s">
        <v>12128</v>
      </c>
      <c r="D9379" t="s">
        <v>18045</v>
      </c>
      <c r="E9379" t="s">
        <v>26301</v>
      </c>
      <c r="F9379" t="s">
        <v>31574</v>
      </c>
      <c r="G9379" t="s">
        <v>31582</v>
      </c>
      <c r="H9379" t="s">
        <v>31590</v>
      </c>
      <c r="I9379" t="s">
        <v>31620</v>
      </c>
      <c r="J9379" t="s">
        <v>31935</v>
      </c>
      <c r="K9379" t="s">
        <v>41185</v>
      </c>
      <c r="M9379" t="s">
        <v>43230</v>
      </c>
      <c r="N9379" t="s">
        <v>45095</v>
      </c>
      <c r="O9379" t="s">
        <v>45096</v>
      </c>
      <c r="P9379">
        <v>0</v>
      </c>
      <c r="Q9379">
        <v>15</v>
      </c>
      <c r="R9379" t="s">
        <v>45104</v>
      </c>
      <c r="S9379" t="s">
        <v>45304</v>
      </c>
      <c r="T9379" t="s">
        <v>47359</v>
      </c>
      <c r="U9379" t="s">
        <v>55238</v>
      </c>
      <c r="W9379" t="s">
        <v>43230</v>
      </c>
      <c r="X9379" t="s">
        <v>45105</v>
      </c>
    </row>
    <row r="9380" spans="1:24">
      <c r="A9380">
        <f>HYPERLINK("https://www.philgeps.gov.ph/GEPSNONPILOT/Tender/SplashBidNoticeAbstractUI.aspx?menuIndex=3&amp;refID=7035258&amp;Result=3","7035258")</f>
        <v>0</v>
      </c>
      <c r="B9380" t="s">
        <v>2569</v>
      </c>
      <c r="C9380" t="s">
        <v>12129</v>
      </c>
      <c r="D9380" t="s">
        <v>18075</v>
      </c>
      <c r="E9380" t="s">
        <v>26302</v>
      </c>
      <c r="F9380" t="s">
        <v>31574</v>
      </c>
      <c r="G9380" t="s">
        <v>31582</v>
      </c>
      <c r="H9380" t="s">
        <v>31590</v>
      </c>
      <c r="I9380" t="s">
        <v>31615</v>
      </c>
      <c r="J9380" t="s">
        <v>32085</v>
      </c>
      <c r="K9380" t="s">
        <v>41196</v>
      </c>
      <c r="M9380" t="s">
        <v>44310</v>
      </c>
      <c r="N9380" t="s">
        <v>45095</v>
      </c>
      <c r="O9380" t="s">
        <v>45096</v>
      </c>
      <c r="P9380">
        <v>0</v>
      </c>
      <c r="Q9380">
        <v>3</v>
      </c>
      <c r="R9380" t="s">
        <v>45104</v>
      </c>
      <c r="S9380" t="s">
        <v>45304</v>
      </c>
      <c r="T9380" t="s">
        <v>47151</v>
      </c>
      <c r="U9380" t="s">
        <v>55239</v>
      </c>
      <c r="V9380" t="s">
        <v>60799</v>
      </c>
      <c r="W9380" t="s">
        <v>44310</v>
      </c>
      <c r="X9380" t="s">
        <v>45105</v>
      </c>
    </row>
    <row r="9381" spans="1:24">
      <c r="A9381">
        <f>HYPERLINK("https://www.philgeps.gov.ph/GEPSNONPILOT/Tender/SplashBidNoticeAbstractUI.aspx?menuIndex=3&amp;refID=7035251&amp;Result=3","7035251")</f>
        <v>0</v>
      </c>
      <c r="B9381" t="s">
        <v>2143</v>
      </c>
      <c r="C9381" t="s">
        <v>12130</v>
      </c>
      <c r="E9381" t="s">
        <v>26303</v>
      </c>
      <c r="F9381" t="s">
        <v>31574</v>
      </c>
      <c r="G9381" t="s">
        <v>31582</v>
      </c>
      <c r="H9381" t="s">
        <v>31591</v>
      </c>
      <c r="I9381" t="s">
        <v>8822</v>
      </c>
      <c r="J9381" t="s">
        <v>34069</v>
      </c>
      <c r="K9381" t="s">
        <v>41200</v>
      </c>
      <c r="M9381" t="s">
        <v>43825</v>
      </c>
      <c r="N9381" t="s">
        <v>45095</v>
      </c>
      <c r="O9381" t="s">
        <v>45096</v>
      </c>
      <c r="P9381">
        <v>0</v>
      </c>
      <c r="Q9381">
        <v>0</v>
      </c>
      <c r="R9381" t="s">
        <v>45104</v>
      </c>
      <c r="S9381" t="s">
        <v>45304</v>
      </c>
      <c r="T9381" t="s">
        <v>46992</v>
      </c>
      <c r="U9381" t="s">
        <v>55226</v>
      </c>
      <c r="V9381" t="s">
        <v>60619</v>
      </c>
      <c r="W9381" t="s">
        <v>43825</v>
      </c>
      <c r="X9381" t="s">
        <v>45105</v>
      </c>
    </row>
    <row r="9382" spans="1:24">
      <c r="A9382">
        <f>HYPERLINK("https://www.philgeps.gov.ph/GEPSNONPILOT/Tender/SplashBidNoticeAbstractUI.aspx?menuIndex=3&amp;refID=7018860&amp;Result=3","7018860")</f>
        <v>0</v>
      </c>
      <c r="B9382" t="s">
        <v>2580</v>
      </c>
      <c r="C9382" t="s">
        <v>12131</v>
      </c>
      <c r="D9382" t="s">
        <v>18028</v>
      </c>
      <c r="E9382" t="s">
        <v>26304</v>
      </c>
      <c r="F9382" t="s">
        <v>31574</v>
      </c>
      <c r="G9382" t="s">
        <v>31582</v>
      </c>
      <c r="H9382" t="s">
        <v>31591</v>
      </c>
      <c r="I9382" t="s">
        <v>7162</v>
      </c>
      <c r="J9382" t="s">
        <v>31730</v>
      </c>
      <c r="K9382" t="s">
        <v>41189</v>
      </c>
      <c r="M9382" t="s">
        <v>44321</v>
      </c>
      <c r="N9382" t="s">
        <v>45095</v>
      </c>
      <c r="O9382" t="s">
        <v>45096</v>
      </c>
      <c r="P9382">
        <v>0</v>
      </c>
      <c r="Q9382">
        <v>3</v>
      </c>
      <c r="R9382" t="s">
        <v>45105</v>
      </c>
      <c r="S9382" t="s">
        <v>45353</v>
      </c>
      <c r="T9382" t="s">
        <v>47360</v>
      </c>
      <c r="U9382" t="s">
        <v>55240</v>
      </c>
      <c r="W9382" t="s">
        <v>44321</v>
      </c>
      <c r="X9382" t="s">
        <v>45114</v>
      </c>
    </row>
    <row r="9383" spans="1:24">
      <c r="A9383">
        <f>HYPERLINK("https://www.philgeps.gov.ph/GEPSNONPILOT/Tender/SplashBidNoticeAbstractUI.aspx?menuIndex=3&amp;refID=7009160&amp;Result=3","7009160")</f>
        <v>0</v>
      </c>
      <c r="B9383" t="s">
        <v>2581</v>
      </c>
      <c r="C9383" t="s">
        <v>12132</v>
      </c>
      <c r="D9383" t="s">
        <v>18075</v>
      </c>
      <c r="E9383" t="s">
        <v>26305</v>
      </c>
      <c r="F9383" t="s">
        <v>31574</v>
      </c>
      <c r="G9383" t="s">
        <v>31582</v>
      </c>
      <c r="H9383" t="s">
        <v>31591</v>
      </c>
      <c r="I9383" t="s">
        <v>8822</v>
      </c>
      <c r="J9383" t="s">
        <v>31935</v>
      </c>
      <c r="K9383" t="s">
        <v>41192</v>
      </c>
      <c r="M9383" t="s">
        <v>44322</v>
      </c>
      <c r="N9383" t="s">
        <v>45095</v>
      </c>
      <c r="O9383" t="s">
        <v>45096</v>
      </c>
      <c r="P9383">
        <v>0</v>
      </c>
      <c r="Q9383">
        <v>0</v>
      </c>
      <c r="R9383" t="s">
        <v>45105</v>
      </c>
      <c r="S9383" t="s">
        <v>45353</v>
      </c>
      <c r="T9383" t="s">
        <v>46980</v>
      </c>
      <c r="U9383" t="s">
        <v>55241</v>
      </c>
      <c r="V9383" t="s">
        <v>60812</v>
      </c>
      <c r="W9383" t="s">
        <v>44322</v>
      </c>
      <c r="X9383" t="s">
        <v>45121</v>
      </c>
    </row>
    <row r="9384" spans="1:24">
      <c r="A9384">
        <f>HYPERLINK("https://www.philgeps.gov.ph/GEPSNONPILOT/Tender/SplashBidNoticeAbstractUI.aspx?menuIndex=3&amp;refID=7035224&amp;Result=3","7035224")</f>
        <v>0</v>
      </c>
      <c r="B9384" t="s">
        <v>2572</v>
      </c>
      <c r="C9384" t="s">
        <v>12133</v>
      </c>
      <c r="D9384" t="s">
        <v>18031</v>
      </c>
      <c r="E9384" t="s">
        <v>26306</v>
      </c>
      <c r="F9384" t="s">
        <v>31574</v>
      </c>
      <c r="G9384" t="s">
        <v>31588</v>
      </c>
      <c r="H9384" t="s">
        <v>31591</v>
      </c>
      <c r="I9384" t="s">
        <v>8822</v>
      </c>
      <c r="J9384" t="s">
        <v>37635</v>
      </c>
      <c r="K9384" t="s">
        <v>41198</v>
      </c>
      <c r="M9384" t="s">
        <v>44313</v>
      </c>
      <c r="N9384" t="s">
        <v>45095</v>
      </c>
      <c r="O9384" t="s">
        <v>45096</v>
      </c>
      <c r="P9384">
        <v>0</v>
      </c>
      <c r="Q9384">
        <v>13</v>
      </c>
      <c r="R9384" t="s">
        <v>45104</v>
      </c>
      <c r="S9384" t="s">
        <v>45304</v>
      </c>
      <c r="T9384" t="s">
        <v>46988</v>
      </c>
      <c r="U9384" t="s">
        <v>55242</v>
      </c>
      <c r="V9384" t="s">
        <v>60813</v>
      </c>
      <c r="W9384" t="s">
        <v>44313</v>
      </c>
      <c r="X9384" t="s">
        <v>45105</v>
      </c>
    </row>
    <row r="9385" spans="1:24">
      <c r="A9385">
        <f>HYPERLINK("https://www.philgeps.gov.ph/GEPSNONPILOT/Tender/SplashBidNoticeAbstractUI.aspx?menuIndex=3&amp;refID=7009153&amp;Result=3","7009153")</f>
        <v>0</v>
      </c>
      <c r="B9385" t="s">
        <v>2581</v>
      </c>
      <c r="C9385" t="s">
        <v>12134</v>
      </c>
      <c r="D9385" t="s">
        <v>18075</v>
      </c>
      <c r="E9385" t="s">
        <v>26307</v>
      </c>
      <c r="F9385" t="s">
        <v>31574</v>
      </c>
      <c r="G9385" t="s">
        <v>31582</v>
      </c>
      <c r="H9385" t="s">
        <v>31591</v>
      </c>
      <c r="I9385" t="s">
        <v>8822</v>
      </c>
      <c r="J9385" t="s">
        <v>32120</v>
      </c>
      <c r="K9385" t="s">
        <v>41219</v>
      </c>
      <c r="M9385" t="s">
        <v>44322</v>
      </c>
      <c r="N9385" t="s">
        <v>45095</v>
      </c>
      <c r="O9385" t="s">
        <v>45096</v>
      </c>
      <c r="P9385">
        <v>0</v>
      </c>
      <c r="Q9385">
        <v>0</v>
      </c>
      <c r="R9385" t="s">
        <v>45105</v>
      </c>
      <c r="S9385" t="s">
        <v>45353</v>
      </c>
      <c r="T9385" t="s">
        <v>46939</v>
      </c>
      <c r="U9385" t="s">
        <v>55243</v>
      </c>
      <c r="V9385" t="s">
        <v>60812</v>
      </c>
      <c r="W9385" t="s">
        <v>44322</v>
      </c>
      <c r="X9385" t="s">
        <v>45121</v>
      </c>
    </row>
    <row r="9386" spans="1:24">
      <c r="A9386">
        <f>HYPERLINK("https://www.philgeps.gov.ph/GEPSNONPILOT/Tender/SplashBidNoticeAbstractUI.aspx?menuIndex=3&amp;refID=6999017&amp;Result=3","6999017")</f>
        <v>0</v>
      </c>
      <c r="B9386" t="s">
        <v>2582</v>
      </c>
      <c r="C9386" t="s">
        <v>12135</v>
      </c>
      <c r="D9386" t="s">
        <v>18026</v>
      </c>
      <c r="E9386" t="s">
        <v>26308</v>
      </c>
      <c r="F9386" t="s">
        <v>31574</v>
      </c>
      <c r="G9386" t="s">
        <v>31582</v>
      </c>
      <c r="H9386" t="s">
        <v>31590</v>
      </c>
      <c r="I9386" t="s">
        <v>4046</v>
      </c>
      <c r="J9386" t="s">
        <v>37636</v>
      </c>
      <c r="K9386" t="s">
        <v>41190</v>
      </c>
      <c r="M9386" t="s">
        <v>44323</v>
      </c>
      <c r="N9386" t="s">
        <v>45095</v>
      </c>
      <c r="O9386" t="s">
        <v>45096</v>
      </c>
      <c r="P9386">
        <v>0</v>
      </c>
      <c r="Q9386">
        <v>0</v>
      </c>
      <c r="R9386" t="s">
        <v>45105</v>
      </c>
      <c r="S9386" t="s">
        <v>45353</v>
      </c>
      <c r="T9386" t="s">
        <v>47077</v>
      </c>
      <c r="U9386" t="s">
        <v>55244</v>
      </c>
      <c r="W9386" t="s">
        <v>44323</v>
      </c>
      <c r="X9386" t="s">
        <v>61781</v>
      </c>
    </row>
    <row r="9387" spans="1:24">
      <c r="A9387">
        <f>HYPERLINK("https://www.philgeps.gov.ph/GEPSNONPILOT/Tender/SplashBidNoticeAbstractUI.aspx?menuIndex=3&amp;refID=7018858&amp;Result=3","7018858")</f>
        <v>0</v>
      </c>
      <c r="B9387" t="s">
        <v>2580</v>
      </c>
      <c r="C9387" t="s">
        <v>12136</v>
      </c>
      <c r="D9387" t="s">
        <v>18028</v>
      </c>
      <c r="E9387" t="s">
        <v>26309</v>
      </c>
      <c r="F9387" t="s">
        <v>31574</v>
      </c>
      <c r="G9387" t="s">
        <v>31582</v>
      </c>
      <c r="H9387" t="s">
        <v>31591</v>
      </c>
      <c r="I9387" t="s">
        <v>8822</v>
      </c>
      <c r="J9387" t="s">
        <v>32906</v>
      </c>
      <c r="K9387" t="s">
        <v>41387</v>
      </c>
      <c r="M9387" t="s">
        <v>44321</v>
      </c>
      <c r="N9387" t="s">
        <v>45095</v>
      </c>
      <c r="O9387" t="s">
        <v>45096</v>
      </c>
      <c r="P9387">
        <v>0</v>
      </c>
      <c r="Q9387">
        <v>2</v>
      </c>
      <c r="R9387" t="s">
        <v>45105</v>
      </c>
      <c r="S9387" t="s">
        <v>45353</v>
      </c>
      <c r="T9387" t="s">
        <v>47360</v>
      </c>
      <c r="U9387" t="s">
        <v>55245</v>
      </c>
      <c r="W9387" t="s">
        <v>44321</v>
      </c>
      <c r="X9387" t="s">
        <v>45114</v>
      </c>
    </row>
    <row r="9388" spans="1:24">
      <c r="A9388">
        <f>HYPERLINK("https://www.philgeps.gov.ph/GEPSNONPILOT/Tender/SplashBidNoticeAbstractUI.aspx?menuIndex=3&amp;refID=7016830&amp;Result=3","7016830")</f>
        <v>0</v>
      </c>
      <c r="B9388" t="s">
        <v>1647</v>
      </c>
      <c r="C9388" t="s">
        <v>12137</v>
      </c>
      <c r="D9388" t="s">
        <v>18033</v>
      </c>
      <c r="E9388" t="s">
        <v>26310</v>
      </c>
      <c r="F9388" t="s">
        <v>31574</v>
      </c>
      <c r="G9388" t="s">
        <v>31582</v>
      </c>
      <c r="H9388" t="s">
        <v>31590</v>
      </c>
      <c r="I9388" t="s">
        <v>31598</v>
      </c>
      <c r="J9388" t="s">
        <v>32407</v>
      </c>
      <c r="K9388" t="s">
        <v>41193</v>
      </c>
      <c r="M9388" t="s">
        <v>43257</v>
      </c>
      <c r="N9388" t="s">
        <v>45095</v>
      </c>
      <c r="O9388" t="s">
        <v>45096</v>
      </c>
      <c r="P9388">
        <v>0</v>
      </c>
      <c r="Q9388">
        <v>21</v>
      </c>
      <c r="R9388" t="s">
        <v>45105</v>
      </c>
      <c r="S9388" t="s">
        <v>45353</v>
      </c>
      <c r="T9388" t="s">
        <v>47010</v>
      </c>
      <c r="U9388" t="s">
        <v>55246</v>
      </c>
      <c r="W9388" t="s">
        <v>43257</v>
      </c>
      <c r="X9388" t="s">
        <v>45115</v>
      </c>
    </row>
    <row r="9389" spans="1:24">
      <c r="A9389">
        <f>HYPERLINK("https://www.philgeps.gov.ph/GEPSNONPILOT/Tender/SplashBidNoticeAbstractUI.aspx?menuIndex=3&amp;refID=7035272&amp;Result=3","7035272")</f>
        <v>0</v>
      </c>
      <c r="B9389" t="s">
        <v>1623</v>
      </c>
      <c r="C9389" t="s">
        <v>12138</v>
      </c>
      <c r="D9389" t="s">
        <v>18045</v>
      </c>
      <c r="E9389" t="s">
        <v>26311</v>
      </c>
      <c r="F9389" t="s">
        <v>31574</v>
      </c>
      <c r="G9389" t="s">
        <v>31582</v>
      </c>
      <c r="H9389" t="s">
        <v>31590</v>
      </c>
      <c r="I9389" t="s">
        <v>3901</v>
      </c>
      <c r="J9389" t="s">
        <v>31771</v>
      </c>
      <c r="K9389" t="s">
        <v>41192</v>
      </c>
      <c r="M9389" t="s">
        <v>43230</v>
      </c>
      <c r="N9389" t="s">
        <v>45095</v>
      </c>
      <c r="O9389" t="s">
        <v>45096</v>
      </c>
      <c r="P9389">
        <v>0</v>
      </c>
      <c r="Q9389">
        <v>5</v>
      </c>
      <c r="R9389" t="s">
        <v>45104</v>
      </c>
      <c r="S9389" t="s">
        <v>45304</v>
      </c>
      <c r="T9389" t="s">
        <v>47359</v>
      </c>
      <c r="U9389" t="s">
        <v>55247</v>
      </c>
      <c r="W9389" t="s">
        <v>43230</v>
      </c>
      <c r="X9389" t="s">
        <v>45105</v>
      </c>
    </row>
    <row r="9390" spans="1:24">
      <c r="A9390">
        <f>HYPERLINK("https://www.philgeps.gov.ph/GEPSNONPILOT/Tender/SplashBidNoticeAbstractUI.aspx?menuIndex=3&amp;refID=7009126&amp;Result=3","7009126")</f>
        <v>0</v>
      </c>
      <c r="B9390" t="s">
        <v>2581</v>
      </c>
      <c r="C9390" t="s">
        <v>12139</v>
      </c>
      <c r="D9390" t="s">
        <v>18075</v>
      </c>
      <c r="E9390" t="s">
        <v>26312</v>
      </c>
      <c r="F9390" t="s">
        <v>31574</v>
      </c>
      <c r="G9390" t="s">
        <v>31582</v>
      </c>
      <c r="H9390" t="s">
        <v>31591</v>
      </c>
      <c r="I9390" t="s">
        <v>8822</v>
      </c>
      <c r="J9390" t="s">
        <v>37637</v>
      </c>
      <c r="K9390" t="s">
        <v>41217</v>
      </c>
      <c r="M9390" t="s">
        <v>44322</v>
      </c>
      <c r="N9390" t="s">
        <v>45095</v>
      </c>
      <c r="O9390" t="s">
        <v>45096</v>
      </c>
      <c r="P9390">
        <v>0</v>
      </c>
      <c r="Q9390">
        <v>0</v>
      </c>
      <c r="R9390" t="s">
        <v>45105</v>
      </c>
      <c r="S9390" t="s">
        <v>45353</v>
      </c>
      <c r="T9390" t="s">
        <v>46939</v>
      </c>
      <c r="U9390" t="s">
        <v>55248</v>
      </c>
      <c r="V9390" t="s">
        <v>60812</v>
      </c>
      <c r="W9390" t="s">
        <v>44322</v>
      </c>
      <c r="X9390" t="s">
        <v>45121</v>
      </c>
    </row>
    <row r="9391" spans="1:24">
      <c r="A9391">
        <f>HYPERLINK("https://www.philgeps.gov.ph/GEPSNONPILOT/Tender/SplashBidNoticeAbstractUI.aspx?menuIndex=3&amp;refID=6816667&amp;Result=3","6816667")</f>
        <v>0</v>
      </c>
      <c r="B9391" t="s">
        <v>211</v>
      </c>
      <c r="C9391" t="s">
        <v>12140</v>
      </c>
      <c r="D9391" t="s">
        <v>18053</v>
      </c>
      <c r="E9391" t="s">
        <v>26313</v>
      </c>
      <c r="F9391" t="s">
        <v>31574</v>
      </c>
      <c r="G9391" t="s">
        <v>31582</v>
      </c>
      <c r="H9391" t="s">
        <v>31591</v>
      </c>
      <c r="I9391" t="s">
        <v>31638</v>
      </c>
      <c r="J9391" t="s">
        <v>32986</v>
      </c>
      <c r="K9391" t="s">
        <v>41256</v>
      </c>
      <c r="M9391" t="s">
        <v>44324</v>
      </c>
      <c r="N9391" t="s">
        <v>45095</v>
      </c>
      <c r="O9391" t="s">
        <v>45096</v>
      </c>
      <c r="P9391">
        <v>0</v>
      </c>
      <c r="Q9391">
        <v>3</v>
      </c>
      <c r="R9391" t="s">
        <v>45105</v>
      </c>
      <c r="S9391" t="s">
        <v>45353</v>
      </c>
      <c r="T9391" t="s">
        <v>47265</v>
      </c>
      <c r="U9391" t="s">
        <v>55249</v>
      </c>
      <c r="V9391" t="s">
        <v>60814</v>
      </c>
      <c r="W9391" t="s">
        <v>44324</v>
      </c>
      <c r="X9391" t="s">
        <v>45208</v>
      </c>
    </row>
    <row r="9392" spans="1:24">
      <c r="A9392">
        <f>HYPERLINK("https://www.philgeps.gov.ph/GEPSNONPILOT/Tender/SplashBidNoticeAbstractUI.aspx?menuIndex=3&amp;refID=7018907&amp;Result=3","7018907")</f>
        <v>0</v>
      </c>
      <c r="B9392" t="s">
        <v>953</v>
      </c>
      <c r="C9392" t="s">
        <v>12141</v>
      </c>
      <c r="D9392" t="s">
        <v>18090</v>
      </c>
      <c r="E9392" t="s">
        <v>26314</v>
      </c>
      <c r="F9392" t="s">
        <v>31574</v>
      </c>
      <c r="G9392" t="s">
        <v>31582</v>
      </c>
      <c r="H9392" t="s">
        <v>31591</v>
      </c>
      <c r="I9392" t="s">
        <v>8822</v>
      </c>
      <c r="J9392" t="s">
        <v>37638</v>
      </c>
      <c r="K9392" t="s">
        <v>41287</v>
      </c>
      <c r="M9392" t="s">
        <v>42480</v>
      </c>
      <c r="N9392" t="s">
        <v>45095</v>
      </c>
      <c r="O9392" t="s">
        <v>45096</v>
      </c>
      <c r="P9392">
        <v>0</v>
      </c>
      <c r="Q9392">
        <v>2</v>
      </c>
      <c r="R9392" t="s">
        <v>45105</v>
      </c>
      <c r="S9392" t="s">
        <v>45353</v>
      </c>
      <c r="T9392" t="s">
        <v>47156</v>
      </c>
      <c r="U9392" t="s">
        <v>55250</v>
      </c>
      <c r="W9392" t="s">
        <v>42480</v>
      </c>
      <c r="X9392" t="s">
        <v>45113</v>
      </c>
    </row>
    <row r="9393" spans="1:24">
      <c r="A9393">
        <f>HYPERLINK("https://www.philgeps.gov.ph/GEPSNONPILOT/Tender/SplashBidNoticeAbstractUI.aspx?menuIndex=3&amp;refID=7020137&amp;Result=3","7020137")</f>
        <v>0</v>
      </c>
      <c r="B9393" t="s">
        <v>1647</v>
      </c>
      <c r="C9393" t="s">
        <v>12142</v>
      </c>
      <c r="D9393" t="s">
        <v>18033</v>
      </c>
      <c r="E9393" t="s">
        <v>26315</v>
      </c>
      <c r="F9393" t="s">
        <v>31574</v>
      </c>
      <c r="G9393" t="s">
        <v>31582</v>
      </c>
      <c r="H9393" t="s">
        <v>31590</v>
      </c>
      <c r="I9393" t="s">
        <v>31598</v>
      </c>
      <c r="J9393" t="s">
        <v>37639</v>
      </c>
      <c r="K9393" t="s">
        <v>41193</v>
      </c>
      <c r="M9393" t="s">
        <v>43257</v>
      </c>
      <c r="N9393" t="s">
        <v>45095</v>
      </c>
      <c r="O9393" t="s">
        <v>45096</v>
      </c>
      <c r="P9393">
        <v>0</v>
      </c>
      <c r="Q9393">
        <v>17</v>
      </c>
      <c r="R9393" t="s">
        <v>45105</v>
      </c>
      <c r="S9393" t="s">
        <v>45353</v>
      </c>
      <c r="T9393" t="s">
        <v>46943</v>
      </c>
      <c r="U9393" t="s">
        <v>55251</v>
      </c>
      <c r="W9393" t="s">
        <v>43257</v>
      </c>
      <c r="X9393" t="s">
        <v>45112</v>
      </c>
    </row>
    <row r="9394" spans="1:24">
      <c r="A9394">
        <f>HYPERLINK("https://www.philgeps.gov.ph/GEPSNONPILOT/Tender/SplashBidNoticeAbstractUI.aspx?menuIndex=3&amp;refID=6929481&amp;Result=3","6929481")</f>
        <v>0</v>
      </c>
      <c r="B9394" t="s">
        <v>2264</v>
      </c>
      <c r="C9394" t="s">
        <v>12143</v>
      </c>
      <c r="D9394" t="s">
        <v>18022</v>
      </c>
      <c r="E9394" t="s">
        <v>26316</v>
      </c>
      <c r="F9394" t="s">
        <v>31574</v>
      </c>
      <c r="G9394" t="s">
        <v>31582</v>
      </c>
      <c r="H9394" t="s">
        <v>31590</v>
      </c>
      <c r="I9394" t="s">
        <v>4327</v>
      </c>
      <c r="J9394" t="s">
        <v>36920</v>
      </c>
      <c r="K9394" t="s">
        <v>41184</v>
      </c>
      <c r="M9394" t="s">
        <v>43964</v>
      </c>
      <c r="N9394" t="s">
        <v>45095</v>
      </c>
      <c r="O9394" t="s">
        <v>45096</v>
      </c>
      <c r="P9394">
        <v>0</v>
      </c>
      <c r="Q9394">
        <v>18</v>
      </c>
      <c r="R9394" t="s">
        <v>45105</v>
      </c>
      <c r="S9394" t="s">
        <v>45353</v>
      </c>
      <c r="T9394" t="s">
        <v>47361</v>
      </c>
      <c r="U9394" t="s">
        <v>55252</v>
      </c>
      <c r="W9394" t="s">
        <v>43964</v>
      </c>
      <c r="X9394" t="s">
        <v>45172</v>
      </c>
    </row>
    <row r="9395" spans="1:24">
      <c r="A9395">
        <f>HYPERLINK("https://www.philgeps.gov.ph/GEPSNONPILOT/Tender/SplashBidNoticeAbstractUI.aspx?menuIndex=3&amp;refID=7022856&amp;Result=3","7022856")</f>
        <v>0</v>
      </c>
      <c r="B9395" t="s">
        <v>965</v>
      </c>
      <c r="C9395" t="s">
        <v>12144</v>
      </c>
      <c r="E9395" t="s">
        <v>26317</v>
      </c>
      <c r="F9395" t="s">
        <v>31574</v>
      </c>
      <c r="G9395" t="s">
        <v>31582</v>
      </c>
      <c r="H9395" t="s">
        <v>31590</v>
      </c>
      <c r="I9395" t="s">
        <v>3901</v>
      </c>
      <c r="J9395" t="s">
        <v>37640</v>
      </c>
      <c r="K9395" t="s">
        <v>41184</v>
      </c>
      <c r="M9395" t="s">
        <v>42494</v>
      </c>
      <c r="N9395" t="s">
        <v>45095</v>
      </c>
      <c r="O9395" t="s">
        <v>45096</v>
      </c>
      <c r="P9395">
        <v>0</v>
      </c>
      <c r="Q9395">
        <v>5</v>
      </c>
      <c r="R9395" t="s">
        <v>45105</v>
      </c>
      <c r="S9395" t="s">
        <v>45353</v>
      </c>
      <c r="T9395" t="s">
        <v>47154</v>
      </c>
      <c r="U9395" t="s">
        <v>55253</v>
      </c>
      <c r="W9395" t="s">
        <v>42494</v>
      </c>
      <c r="X9395" t="s">
        <v>45111</v>
      </c>
    </row>
    <row r="9396" spans="1:24">
      <c r="A9396">
        <f>HYPERLINK("https://www.philgeps.gov.ph/GEPSNONPILOT/Tender/SplashBidNoticeAbstractUI.aspx?menuIndex=3&amp;refID=7023296&amp;Result=3","7023296")</f>
        <v>0</v>
      </c>
      <c r="B9396" t="s">
        <v>211</v>
      </c>
      <c r="C9396" t="s">
        <v>12145</v>
      </c>
      <c r="D9396" t="s">
        <v>18053</v>
      </c>
      <c r="E9396" t="s">
        <v>26318</v>
      </c>
      <c r="F9396" t="s">
        <v>31574</v>
      </c>
      <c r="G9396" t="s">
        <v>31582</v>
      </c>
      <c r="H9396" t="s">
        <v>31591</v>
      </c>
      <c r="I9396" t="s">
        <v>8822</v>
      </c>
      <c r="J9396" t="s">
        <v>37641</v>
      </c>
      <c r="K9396" t="s">
        <v>41388</v>
      </c>
      <c r="M9396" t="s">
        <v>44324</v>
      </c>
      <c r="N9396" t="s">
        <v>45095</v>
      </c>
      <c r="O9396" t="s">
        <v>45096</v>
      </c>
      <c r="Q9396">
        <v>4</v>
      </c>
      <c r="R9396" t="s">
        <v>45105</v>
      </c>
      <c r="S9396" t="s">
        <v>45354</v>
      </c>
      <c r="T9396" t="s">
        <v>47010</v>
      </c>
      <c r="U9396" t="s">
        <v>55254</v>
      </c>
      <c r="V9396" t="s">
        <v>60815</v>
      </c>
      <c r="W9396" t="s">
        <v>44324</v>
      </c>
      <c r="X9396" t="s">
        <v>45111</v>
      </c>
    </row>
    <row r="9397" spans="1:24">
      <c r="A9397">
        <f>HYPERLINK("https://www.philgeps.gov.ph/GEPSNONPILOT/Tender/SplashBidNoticeAbstractUI.aspx?menuIndex=3&amp;refID=7018901&amp;Result=3","7018901")</f>
        <v>0</v>
      </c>
      <c r="B9397" t="s">
        <v>953</v>
      </c>
      <c r="C9397" t="s">
        <v>12146</v>
      </c>
      <c r="D9397" t="s">
        <v>18090</v>
      </c>
      <c r="E9397" t="s">
        <v>26319</v>
      </c>
      <c r="F9397" t="s">
        <v>31574</v>
      </c>
      <c r="G9397" t="s">
        <v>31582</v>
      </c>
      <c r="H9397" t="s">
        <v>31591</v>
      </c>
      <c r="I9397" t="s">
        <v>8822</v>
      </c>
      <c r="J9397" t="s">
        <v>37642</v>
      </c>
      <c r="K9397" t="s">
        <v>41200</v>
      </c>
      <c r="M9397" t="s">
        <v>42480</v>
      </c>
      <c r="N9397" t="s">
        <v>45095</v>
      </c>
      <c r="O9397" t="s">
        <v>45096</v>
      </c>
      <c r="P9397">
        <v>0</v>
      </c>
      <c r="Q9397">
        <v>2</v>
      </c>
      <c r="R9397" t="s">
        <v>45105</v>
      </c>
      <c r="S9397" t="s">
        <v>45353</v>
      </c>
      <c r="T9397" t="s">
        <v>47156</v>
      </c>
      <c r="U9397" t="s">
        <v>55255</v>
      </c>
      <c r="W9397" t="s">
        <v>42480</v>
      </c>
      <c r="X9397" t="s">
        <v>45113</v>
      </c>
    </row>
    <row r="9398" spans="1:24">
      <c r="A9398">
        <f>HYPERLINK("https://www.philgeps.gov.ph/GEPSNONPILOT/Tender/SplashBidNoticeAbstractUI.aspx?menuIndex=3&amp;refID=7019714&amp;Result=3","7019714")</f>
        <v>0</v>
      </c>
      <c r="B9398" t="s">
        <v>2583</v>
      </c>
      <c r="C9398" t="s">
        <v>12147</v>
      </c>
      <c r="D9398" t="s">
        <v>18033</v>
      </c>
      <c r="E9398" t="s">
        <v>26320</v>
      </c>
      <c r="F9398" t="s">
        <v>31574</v>
      </c>
      <c r="G9398" t="s">
        <v>31582</v>
      </c>
      <c r="H9398" t="s">
        <v>31590</v>
      </c>
      <c r="I9398" t="s">
        <v>31660</v>
      </c>
      <c r="J9398" t="s">
        <v>37643</v>
      </c>
      <c r="K9398" t="s">
        <v>41190</v>
      </c>
      <c r="M9398" t="s">
        <v>44325</v>
      </c>
      <c r="N9398" t="s">
        <v>45095</v>
      </c>
      <c r="O9398" t="s">
        <v>45096</v>
      </c>
      <c r="P9398">
        <v>0</v>
      </c>
      <c r="Q9398">
        <v>0</v>
      </c>
      <c r="R9398" t="s">
        <v>45105</v>
      </c>
      <c r="S9398" t="s">
        <v>45353</v>
      </c>
      <c r="T9398" t="s">
        <v>47183</v>
      </c>
      <c r="U9398" t="s">
        <v>55256</v>
      </c>
      <c r="W9398" t="s">
        <v>44325</v>
      </c>
      <c r="X9398" t="s">
        <v>45112</v>
      </c>
    </row>
    <row r="9399" spans="1:24">
      <c r="A9399">
        <f>HYPERLINK("https://www.philgeps.gov.ph/GEPSNONPILOT/Tender/SplashBidNoticeAbstractUI.aspx?menuIndex=3&amp;refID=7025084&amp;Result=3","7025084")</f>
        <v>0</v>
      </c>
      <c r="B9399" t="s">
        <v>2148</v>
      </c>
      <c r="C9399" t="s">
        <v>12148</v>
      </c>
      <c r="D9399" t="s">
        <v>18092</v>
      </c>
      <c r="E9399" t="s">
        <v>26321</v>
      </c>
      <c r="F9399" t="s">
        <v>31574</v>
      </c>
      <c r="G9399" t="s">
        <v>31582</v>
      </c>
      <c r="H9399" t="s">
        <v>31590</v>
      </c>
      <c r="I9399" t="s">
        <v>7185</v>
      </c>
      <c r="J9399" t="s">
        <v>37644</v>
      </c>
      <c r="K9399" t="s">
        <v>41196</v>
      </c>
      <c r="M9399" t="s">
        <v>43830</v>
      </c>
      <c r="N9399" t="s">
        <v>45095</v>
      </c>
      <c r="O9399" t="s">
        <v>45096</v>
      </c>
      <c r="P9399">
        <v>0</v>
      </c>
      <c r="Q9399">
        <v>3</v>
      </c>
      <c r="R9399" t="s">
        <v>45105</v>
      </c>
      <c r="S9399" t="s">
        <v>45353</v>
      </c>
      <c r="T9399" t="s">
        <v>47010</v>
      </c>
      <c r="U9399" t="s">
        <v>55257</v>
      </c>
      <c r="W9399" t="s">
        <v>43830</v>
      </c>
      <c r="X9399" t="s">
        <v>45110</v>
      </c>
    </row>
    <row r="9400" spans="1:24">
      <c r="A9400">
        <f>HYPERLINK("https://www.philgeps.gov.ph/GEPSNONPILOT/Tender/SplashBidNoticeAbstractUI.aspx?menuIndex=3&amp;refID=7019094&amp;Result=3","7019094")</f>
        <v>0</v>
      </c>
      <c r="B9400" t="s">
        <v>2580</v>
      </c>
      <c r="C9400" t="s">
        <v>12149</v>
      </c>
      <c r="D9400" t="s">
        <v>18028</v>
      </c>
      <c r="E9400" t="s">
        <v>26322</v>
      </c>
      <c r="F9400" t="s">
        <v>31574</v>
      </c>
      <c r="G9400" t="s">
        <v>31582</v>
      </c>
      <c r="H9400" t="s">
        <v>31590</v>
      </c>
      <c r="I9400" t="s">
        <v>4327</v>
      </c>
      <c r="J9400" t="s">
        <v>36920</v>
      </c>
      <c r="K9400" t="s">
        <v>41186</v>
      </c>
      <c r="M9400" t="s">
        <v>44321</v>
      </c>
      <c r="N9400" t="s">
        <v>45095</v>
      </c>
      <c r="O9400" t="s">
        <v>45096</v>
      </c>
      <c r="P9400">
        <v>0</v>
      </c>
      <c r="Q9400">
        <v>6</v>
      </c>
      <c r="R9400" t="s">
        <v>45105</v>
      </c>
      <c r="S9400" t="s">
        <v>45353</v>
      </c>
      <c r="T9400" t="s">
        <v>47360</v>
      </c>
      <c r="U9400" t="s">
        <v>55258</v>
      </c>
      <c r="W9400" t="s">
        <v>44321</v>
      </c>
      <c r="X9400" t="s">
        <v>45113</v>
      </c>
    </row>
    <row r="9401" spans="1:24">
      <c r="A9401">
        <f>HYPERLINK("https://www.philgeps.gov.ph/GEPSNONPILOT/Tender/SplashBidNoticeAbstractUI.aspx?menuIndex=3&amp;refID=7024077&amp;Result=3","7024077")</f>
        <v>0</v>
      </c>
      <c r="B9401" t="s">
        <v>211</v>
      </c>
      <c r="C9401" t="s">
        <v>12150</v>
      </c>
      <c r="D9401" t="s">
        <v>18053</v>
      </c>
      <c r="E9401" t="s">
        <v>26323</v>
      </c>
      <c r="F9401" t="s">
        <v>31574</v>
      </c>
      <c r="G9401" t="s">
        <v>31582</v>
      </c>
      <c r="H9401" t="s">
        <v>31591</v>
      </c>
      <c r="I9401" t="s">
        <v>31627</v>
      </c>
      <c r="J9401" t="s">
        <v>37645</v>
      </c>
      <c r="K9401" t="s">
        <v>41243</v>
      </c>
      <c r="M9401" t="s">
        <v>44324</v>
      </c>
      <c r="N9401" t="s">
        <v>45095</v>
      </c>
      <c r="O9401" t="s">
        <v>45096</v>
      </c>
      <c r="Q9401">
        <v>3</v>
      </c>
      <c r="R9401" t="s">
        <v>45105</v>
      </c>
      <c r="S9401" t="s">
        <v>45355</v>
      </c>
      <c r="T9401" t="s">
        <v>47000</v>
      </c>
      <c r="U9401" t="s">
        <v>55259</v>
      </c>
      <c r="V9401" t="s">
        <v>60816</v>
      </c>
      <c r="W9401" t="s">
        <v>44324</v>
      </c>
      <c r="X9401" t="s">
        <v>45111</v>
      </c>
    </row>
    <row r="9402" spans="1:24">
      <c r="A9402">
        <f>HYPERLINK("https://www.philgeps.gov.ph/GEPSNONPILOT/Tender/SplashBidNoticeAbstractUI.aspx?menuIndex=3&amp;refID=7024498&amp;Result=3","7024498")</f>
        <v>0</v>
      </c>
      <c r="B9402" t="s">
        <v>1667</v>
      </c>
      <c r="C9402" t="s">
        <v>12151</v>
      </c>
      <c r="D9402" t="s">
        <v>18093</v>
      </c>
      <c r="E9402" t="s">
        <v>26324</v>
      </c>
      <c r="F9402" t="s">
        <v>31574</v>
      </c>
      <c r="G9402" t="s">
        <v>31582</v>
      </c>
      <c r="H9402" t="s">
        <v>31590</v>
      </c>
      <c r="I9402" t="s">
        <v>3651</v>
      </c>
      <c r="J9402" t="s">
        <v>37646</v>
      </c>
      <c r="K9402" t="s">
        <v>41184</v>
      </c>
      <c r="M9402" t="s">
        <v>43280</v>
      </c>
      <c r="N9402" t="s">
        <v>45095</v>
      </c>
      <c r="O9402" t="s">
        <v>45096</v>
      </c>
      <c r="P9402">
        <v>0</v>
      </c>
      <c r="Q9402">
        <v>1</v>
      </c>
      <c r="R9402" t="s">
        <v>45105</v>
      </c>
      <c r="S9402" t="s">
        <v>45353</v>
      </c>
      <c r="T9402" t="s">
        <v>47000</v>
      </c>
      <c r="U9402" t="s">
        <v>55260</v>
      </c>
      <c r="V9402" t="s">
        <v>60817</v>
      </c>
      <c r="W9402" t="s">
        <v>43280</v>
      </c>
      <c r="X9402" t="s">
        <v>45110</v>
      </c>
    </row>
    <row r="9403" spans="1:24">
      <c r="A9403">
        <f>HYPERLINK("https://www.philgeps.gov.ph/GEPSNONPILOT/Tender/SplashBidNoticeAbstractUI.aspx?menuIndex=3&amp;refID=7024050&amp;Result=3","7024050")</f>
        <v>0</v>
      </c>
      <c r="B9403" t="s">
        <v>211</v>
      </c>
      <c r="C9403" t="s">
        <v>12152</v>
      </c>
      <c r="D9403" t="s">
        <v>18053</v>
      </c>
      <c r="E9403" t="s">
        <v>26325</v>
      </c>
      <c r="F9403" t="s">
        <v>31574</v>
      </c>
      <c r="G9403" t="s">
        <v>31582</v>
      </c>
      <c r="H9403" t="s">
        <v>31591</v>
      </c>
      <c r="I9403" t="s">
        <v>31638</v>
      </c>
      <c r="J9403" t="s">
        <v>37647</v>
      </c>
      <c r="K9403" t="s">
        <v>41256</v>
      </c>
      <c r="M9403" t="s">
        <v>44324</v>
      </c>
      <c r="N9403" t="s">
        <v>45095</v>
      </c>
      <c r="O9403" t="s">
        <v>45096</v>
      </c>
      <c r="Q9403">
        <v>4</v>
      </c>
      <c r="R9403" t="s">
        <v>45105</v>
      </c>
      <c r="S9403" t="s">
        <v>45356</v>
      </c>
      <c r="T9403" t="s">
        <v>47138</v>
      </c>
      <c r="U9403" t="s">
        <v>55261</v>
      </c>
      <c r="V9403" t="s">
        <v>60818</v>
      </c>
      <c r="W9403" t="s">
        <v>44324</v>
      </c>
      <c r="X9403" t="s">
        <v>45111</v>
      </c>
    </row>
    <row r="9404" spans="1:24">
      <c r="A9404">
        <f>HYPERLINK("https://www.philgeps.gov.ph/GEPSNONPILOT/Tender/SplashBidNoticeAbstractUI.aspx?menuIndex=3&amp;refID=7019084&amp;Result=3","7019084")</f>
        <v>0</v>
      </c>
      <c r="B9404" t="s">
        <v>2580</v>
      </c>
      <c r="C9404" t="s">
        <v>12153</v>
      </c>
      <c r="D9404" t="s">
        <v>18028</v>
      </c>
      <c r="E9404" t="s">
        <v>26326</v>
      </c>
      <c r="F9404" t="s">
        <v>31574</v>
      </c>
      <c r="G9404" t="s">
        <v>31582</v>
      </c>
      <c r="H9404" t="s">
        <v>31590</v>
      </c>
      <c r="I9404" t="s">
        <v>31608</v>
      </c>
      <c r="J9404" t="s">
        <v>37648</v>
      </c>
      <c r="K9404" t="s">
        <v>41186</v>
      </c>
      <c r="M9404" t="s">
        <v>44321</v>
      </c>
      <c r="N9404" t="s">
        <v>45095</v>
      </c>
      <c r="O9404" t="s">
        <v>45096</v>
      </c>
      <c r="P9404">
        <v>0</v>
      </c>
      <c r="Q9404">
        <v>6</v>
      </c>
      <c r="R9404" t="s">
        <v>45105</v>
      </c>
      <c r="S9404" t="s">
        <v>45353</v>
      </c>
      <c r="T9404" t="s">
        <v>47360</v>
      </c>
      <c r="U9404" t="s">
        <v>55262</v>
      </c>
      <c r="W9404" t="s">
        <v>44321</v>
      </c>
      <c r="X9404" t="s">
        <v>45113</v>
      </c>
    </row>
    <row r="9405" spans="1:24">
      <c r="A9405">
        <f>HYPERLINK("https://www.philgeps.gov.ph/GEPSNONPILOT/Tender/SplashBidNoticeAbstractUI.aspx?menuIndex=3&amp;refID=7024434&amp;Result=3","7024434")</f>
        <v>0</v>
      </c>
      <c r="B9405" t="s">
        <v>1667</v>
      </c>
      <c r="C9405" t="s">
        <v>12154</v>
      </c>
      <c r="D9405" t="s">
        <v>18093</v>
      </c>
      <c r="E9405" t="s">
        <v>26327</v>
      </c>
      <c r="F9405" t="s">
        <v>31574</v>
      </c>
      <c r="G9405" t="s">
        <v>31582</v>
      </c>
      <c r="H9405" t="s">
        <v>31590</v>
      </c>
      <c r="I9405" t="s">
        <v>3651</v>
      </c>
      <c r="J9405" t="s">
        <v>37649</v>
      </c>
      <c r="K9405" t="s">
        <v>41184</v>
      </c>
      <c r="M9405" t="s">
        <v>43280</v>
      </c>
      <c r="N9405" t="s">
        <v>45095</v>
      </c>
      <c r="O9405" t="s">
        <v>45096</v>
      </c>
      <c r="Q9405">
        <v>2</v>
      </c>
      <c r="R9405" t="s">
        <v>45105</v>
      </c>
      <c r="S9405" t="s">
        <v>45357</v>
      </c>
      <c r="T9405" t="s">
        <v>47000</v>
      </c>
      <c r="U9405" t="s">
        <v>55263</v>
      </c>
      <c r="V9405" t="s">
        <v>60817</v>
      </c>
      <c r="W9405" t="s">
        <v>43280</v>
      </c>
      <c r="X9405" t="s">
        <v>45110</v>
      </c>
    </row>
    <row r="9406" spans="1:24">
      <c r="A9406">
        <f>HYPERLINK("https://www.philgeps.gov.ph/GEPSNONPILOT/Tender/SplashBidNoticeAbstractUI.aspx?menuIndex=3&amp;refID=7024457&amp;Result=3","7024457")</f>
        <v>0</v>
      </c>
      <c r="B9406" t="s">
        <v>1667</v>
      </c>
      <c r="C9406" t="s">
        <v>12155</v>
      </c>
      <c r="D9406" t="s">
        <v>18093</v>
      </c>
      <c r="E9406" t="s">
        <v>26328</v>
      </c>
      <c r="F9406" t="s">
        <v>31574</v>
      </c>
      <c r="G9406" t="s">
        <v>31582</v>
      </c>
      <c r="H9406" t="s">
        <v>31590</v>
      </c>
      <c r="I9406" t="s">
        <v>3651</v>
      </c>
      <c r="J9406" t="s">
        <v>37650</v>
      </c>
      <c r="K9406" t="s">
        <v>41184</v>
      </c>
      <c r="M9406" t="s">
        <v>43280</v>
      </c>
      <c r="N9406" t="s">
        <v>45095</v>
      </c>
      <c r="O9406" t="s">
        <v>45096</v>
      </c>
      <c r="Q9406">
        <v>0</v>
      </c>
      <c r="R9406" t="s">
        <v>45105</v>
      </c>
      <c r="S9406" t="s">
        <v>45358</v>
      </c>
      <c r="T9406" t="s">
        <v>47000</v>
      </c>
      <c r="U9406" t="s">
        <v>55264</v>
      </c>
      <c r="V9406" t="s">
        <v>60817</v>
      </c>
      <c r="W9406" t="s">
        <v>43280</v>
      </c>
      <c r="X9406" t="s">
        <v>45110</v>
      </c>
    </row>
    <row r="9407" spans="1:24">
      <c r="A9407">
        <f>HYPERLINK("https://www.philgeps.gov.ph/GEPSNONPILOT/Tender/SplashBidNoticeAbstractUI.aspx?menuIndex=3&amp;refID=7024422&amp;Result=3","7024422")</f>
        <v>0</v>
      </c>
      <c r="B9407" t="s">
        <v>1667</v>
      </c>
      <c r="C9407" t="s">
        <v>12156</v>
      </c>
      <c r="D9407" t="s">
        <v>18093</v>
      </c>
      <c r="E9407" t="s">
        <v>26329</v>
      </c>
      <c r="F9407" t="s">
        <v>31574</v>
      </c>
      <c r="G9407" t="s">
        <v>31582</v>
      </c>
      <c r="H9407" t="s">
        <v>31590</v>
      </c>
      <c r="I9407" t="s">
        <v>3651</v>
      </c>
      <c r="J9407" t="s">
        <v>37651</v>
      </c>
      <c r="K9407" t="s">
        <v>41184</v>
      </c>
      <c r="M9407" t="s">
        <v>43280</v>
      </c>
      <c r="N9407" t="s">
        <v>45095</v>
      </c>
      <c r="O9407" t="s">
        <v>45096</v>
      </c>
      <c r="Q9407">
        <v>0</v>
      </c>
      <c r="R9407" t="s">
        <v>45105</v>
      </c>
      <c r="S9407" t="s">
        <v>45359</v>
      </c>
      <c r="T9407" t="s">
        <v>47000</v>
      </c>
      <c r="U9407" t="s">
        <v>55265</v>
      </c>
      <c r="V9407" t="s">
        <v>60817</v>
      </c>
      <c r="W9407" t="s">
        <v>43280</v>
      </c>
      <c r="X9407" t="s">
        <v>45110</v>
      </c>
    </row>
    <row r="9408" spans="1:24">
      <c r="A9408">
        <f>HYPERLINK("https://www.philgeps.gov.ph/GEPSNONPILOT/Tender/SplashBidNoticeAbstractUI.aspx?menuIndex=3&amp;refID=7025174&amp;Result=3","7025174")</f>
        <v>0</v>
      </c>
      <c r="B9408" t="s">
        <v>650</v>
      </c>
      <c r="C9408" t="s">
        <v>12157</v>
      </c>
      <c r="D9408" t="s">
        <v>18030</v>
      </c>
      <c r="E9408" t="s">
        <v>26330</v>
      </c>
      <c r="F9408" t="s">
        <v>31574</v>
      </c>
      <c r="G9408" t="s">
        <v>31582</v>
      </c>
      <c r="H9408" t="s">
        <v>31591</v>
      </c>
      <c r="I9408" t="s">
        <v>8822</v>
      </c>
      <c r="J9408" t="s">
        <v>37652</v>
      </c>
      <c r="K9408" t="s">
        <v>41282</v>
      </c>
      <c r="M9408" t="s">
        <v>42154</v>
      </c>
      <c r="N9408" t="s">
        <v>45095</v>
      </c>
      <c r="O9408" t="s">
        <v>45096</v>
      </c>
      <c r="P9408">
        <v>0</v>
      </c>
      <c r="Q9408">
        <v>1</v>
      </c>
      <c r="R9408" t="s">
        <v>45105</v>
      </c>
      <c r="S9408" t="s">
        <v>45353</v>
      </c>
      <c r="T9408" t="s">
        <v>47183</v>
      </c>
      <c r="U9408" t="s">
        <v>48827</v>
      </c>
      <c r="W9408" t="s">
        <v>42154</v>
      </c>
      <c r="X9408" t="s">
        <v>45110</v>
      </c>
    </row>
    <row r="9409" spans="1:24">
      <c r="A9409">
        <f>HYPERLINK("https://www.philgeps.gov.ph/GEPSNONPILOT/Tender/SplashBidNoticeAbstractUI.aspx?menuIndex=3&amp;refID=7024389&amp;Result=3","7024389")</f>
        <v>0</v>
      </c>
      <c r="B9409" t="s">
        <v>1667</v>
      </c>
      <c r="C9409" t="s">
        <v>12158</v>
      </c>
      <c r="D9409" t="s">
        <v>18093</v>
      </c>
      <c r="E9409" t="s">
        <v>26331</v>
      </c>
      <c r="F9409" t="s">
        <v>31574</v>
      </c>
      <c r="G9409" t="s">
        <v>31582</v>
      </c>
      <c r="H9409" t="s">
        <v>31590</v>
      </c>
      <c r="I9409" t="s">
        <v>3651</v>
      </c>
      <c r="J9409" t="s">
        <v>37653</v>
      </c>
      <c r="K9409" t="s">
        <v>41184</v>
      </c>
      <c r="M9409" t="s">
        <v>43280</v>
      </c>
      <c r="N9409" t="s">
        <v>45095</v>
      </c>
      <c r="O9409" t="s">
        <v>45096</v>
      </c>
      <c r="Q9409">
        <v>2</v>
      </c>
      <c r="R9409" t="s">
        <v>45105</v>
      </c>
      <c r="S9409" t="s">
        <v>45360</v>
      </c>
      <c r="T9409" t="s">
        <v>47000</v>
      </c>
      <c r="U9409" t="s">
        <v>55266</v>
      </c>
      <c r="V9409" t="s">
        <v>60817</v>
      </c>
      <c r="W9409" t="s">
        <v>43280</v>
      </c>
      <c r="X9409" t="s">
        <v>45110</v>
      </c>
    </row>
    <row r="9410" spans="1:24">
      <c r="A9410">
        <f>HYPERLINK("https://www.philgeps.gov.ph/GEPSNONPILOT/Tender/SplashBidNoticeAbstractUI.aspx?menuIndex=3&amp;refID=7024575&amp;Result=3","7024575")</f>
        <v>0</v>
      </c>
      <c r="B9410" t="s">
        <v>1667</v>
      </c>
      <c r="C9410" t="s">
        <v>12159</v>
      </c>
      <c r="D9410" t="s">
        <v>18093</v>
      </c>
      <c r="E9410" t="s">
        <v>26332</v>
      </c>
      <c r="F9410" t="s">
        <v>31574</v>
      </c>
      <c r="G9410" t="s">
        <v>31582</v>
      </c>
      <c r="H9410" t="s">
        <v>31590</v>
      </c>
      <c r="I9410" t="s">
        <v>31595</v>
      </c>
      <c r="J9410" t="s">
        <v>37654</v>
      </c>
      <c r="K9410" t="s">
        <v>41184</v>
      </c>
      <c r="M9410" t="s">
        <v>43280</v>
      </c>
      <c r="N9410" t="s">
        <v>45095</v>
      </c>
      <c r="O9410" t="s">
        <v>45096</v>
      </c>
      <c r="Q9410">
        <v>13</v>
      </c>
      <c r="R9410" t="s">
        <v>45105</v>
      </c>
      <c r="S9410" t="s">
        <v>45361</v>
      </c>
      <c r="T9410" t="s">
        <v>46977</v>
      </c>
      <c r="U9410" t="s">
        <v>55267</v>
      </c>
      <c r="V9410" t="s">
        <v>60819</v>
      </c>
      <c r="W9410" t="s">
        <v>43280</v>
      </c>
      <c r="X9410" t="s">
        <v>45110</v>
      </c>
    </row>
    <row r="9411" spans="1:24">
      <c r="A9411">
        <f>HYPERLINK("https://www.philgeps.gov.ph/GEPSNONPILOT/Tender/SplashBidNoticeAbstractUI.aspx?menuIndex=3&amp;refID=7024140&amp;Result=3","7024140")</f>
        <v>0</v>
      </c>
      <c r="B9411" t="s">
        <v>953</v>
      </c>
      <c r="C9411" t="s">
        <v>12160</v>
      </c>
      <c r="D9411" t="s">
        <v>18090</v>
      </c>
      <c r="E9411" t="s">
        <v>26333</v>
      </c>
      <c r="F9411" t="s">
        <v>31574</v>
      </c>
      <c r="G9411" t="s">
        <v>31582</v>
      </c>
      <c r="H9411" t="s">
        <v>31590</v>
      </c>
      <c r="I9411" t="s">
        <v>7185</v>
      </c>
      <c r="J9411" t="s">
        <v>37655</v>
      </c>
      <c r="K9411" t="s">
        <v>41186</v>
      </c>
      <c r="M9411" t="s">
        <v>42480</v>
      </c>
      <c r="N9411" t="s">
        <v>45095</v>
      </c>
      <c r="O9411" t="s">
        <v>45096</v>
      </c>
      <c r="P9411">
        <v>0</v>
      </c>
      <c r="Q9411">
        <v>2</v>
      </c>
      <c r="R9411" t="s">
        <v>45105</v>
      </c>
      <c r="S9411" t="s">
        <v>45353</v>
      </c>
      <c r="T9411" t="s">
        <v>47156</v>
      </c>
      <c r="U9411" t="s">
        <v>55268</v>
      </c>
      <c r="W9411" t="s">
        <v>42480</v>
      </c>
      <c r="X9411" t="s">
        <v>45111</v>
      </c>
    </row>
    <row r="9412" spans="1:24">
      <c r="A9412">
        <f>HYPERLINK("https://www.philgeps.gov.ph/GEPSNONPILOT/Tender/SplashBidNoticeAbstractUI.aspx?menuIndex=3&amp;refID=7024400&amp;Result=3","7024400")</f>
        <v>0</v>
      </c>
      <c r="B9412" t="s">
        <v>1667</v>
      </c>
      <c r="C9412" t="s">
        <v>12161</v>
      </c>
      <c r="D9412" t="s">
        <v>18093</v>
      </c>
      <c r="E9412" t="s">
        <v>26334</v>
      </c>
      <c r="F9412" t="s">
        <v>31574</v>
      </c>
      <c r="G9412" t="s">
        <v>31582</v>
      </c>
      <c r="H9412" t="s">
        <v>31590</v>
      </c>
      <c r="I9412" t="s">
        <v>3651</v>
      </c>
      <c r="J9412" t="s">
        <v>37656</v>
      </c>
      <c r="K9412" t="s">
        <v>41184</v>
      </c>
      <c r="M9412" t="s">
        <v>43280</v>
      </c>
      <c r="N9412" t="s">
        <v>45095</v>
      </c>
      <c r="O9412" t="s">
        <v>45096</v>
      </c>
      <c r="Q9412">
        <v>2</v>
      </c>
      <c r="R9412" t="s">
        <v>45105</v>
      </c>
      <c r="S9412" t="s">
        <v>45362</v>
      </c>
      <c r="T9412" t="s">
        <v>47000</v>
      </c>
      <c r="U9412" t="s">
        <v>55269</v>
      </c>
      <c r="V9412" t="s">
        <v>60817</v>
      </c>
      <c r="W9412" t="s">
        <v>43280</v>
      </c>
      <c r="X9412" t="s">
        <v>45110</v>
      </c>
    </row>
    <row r="9413" spans="1:24">
      <c r="A9413">
        <f>HYPERLINK("https://www.philgeps.gov.ph/GEPSNONPILOT/Tender/SplashBidNoticeAbstractUI.aspx?menuIndex=3&amp;refID=7025220&amp;Result=3","7025220")</f>
        <v>0</v>
      </c>
      <c r="B9413" t="s">
        <v>2148</v>
      </c>
      <c r="C9413" t="s">
        <v>12162</v>
      </c>
      <c r="D9413" t="s">
        <v>18092</v>
      </c>
      <c r="E9413" t="s">
        <v>26335</v>
      </c>
      <c r="F9413" t="s">
        <v>31574</v>
      </c>
      <c r="G9413" t="s">
        <v>31582</v>
      </c>
      <c r="H9413" t="s">
        <v>31590</v>
      </c>
      <c r="I9413" t="s">
        <v>14544</v>
      </c>
      <c r="J9413" t="s">
        <v>37657</v>
      </c>
      <c r="K9413" t="s">
        <v>41196</v>
      </c>
      <c r="M9413" t="s">
        <v>43830</v>
      </c>
      <c r="N9413" t="s">
        <v>45095</v>
      </c>
      <c r="O9413" t="s">
        <v>45096</v>
      </c>
      <c r="P9413">
        <v>0</v>
      </c>
      <c r="Q9413">
        <v>0</v>
      </c>
      <c r="R9413" t="s">
        <v>45105</v>
      </c>
      <c r="S9413" t="s">
        <v>45353</v>
      </c>
      <c r="T9413" t="s">
        <v>47010</v>
      </c>
      <c r="U9413" t="s">
        <v>55270</v>
      </c>
      <c r="W9413" t="s">
        <v>43830</v>
      </c>
      <c r="X9413" t="s">
        <v>45110</v>
      </c>
    </row>
    <row r="9414" spans="1:24">
      <c r="A9414">
        <f>HYPERLINK("https://www.philgeps.gov.ph/GEPSNONPILOT/Tender/SplashBidNoticeAbstractUI.aspx?menuIndex=3&amp;refID=7024379&amp;Result=3","7024379")</f>
        <v>0</v>
      </c>
      <c r="B9414" t="s">
        <v>1667</v>
      </c>
      <c r="C9414" t="s">
        <v>12163</v>
      </c>
      <c r="D9414" t="s">
        <v>18093</v>
      </c>
      <c r="E9414" t="s">
        <v>26336</v>
      </c>
      <c r="F9414" t="s">
        <v>31574</v>
      </c>
      <c r="G9414" t="s">
        <v>31582</v>
      </c>
      <c r="H9414" t="s">
        <v>31590</v>
      </c>
      <c r="I9414" t="s">
        <v>3651</v>
      </c>
      <c r="J9414" t="s">
        <v>37658</v>
      </c>
      <c r="K9414" t="s">
        <v>41184</v>
      </c>
      <c r="M9414" t="s">
        <v>43280</v>
      </c>
      <c r="N9414" t="s">
        <v>45095</v>
      </c>
      <c r="O9414" t="s">
        <v>45096</v>
      </c>
      <c r="Q9414">
        <v>4</v>
      </c>
      <c r="R9414" t="s">
        <v>45105</v>
      </c>
      <c r="S9414" t="s">
        <v>45363</v>
      </c>
      <c r="T9414" t="s">
        <v>47000</v>
      </c>
      <c r="U9414" t="s">
        <v>55271</v>
      </c>
      <c r="V9414" t="s">
        <v>60817</v>
      </c>
      <c r="W9414" t="s">
        <v>43280</v>
      </c>
      <c r="X9414" t="s">
        <v>45110</v>
      </c>
    </row>
    <row r="9415" spans="1:24">
      <c r="A9415">
        <f>HYPERLINK("https://www.philgeps.gov.ph/GEPSNONPILOT/Tender/SplashBidNoticeAbstractUI.aspx?menuIndex=3&amp;refID=7025228&amp;Result=3","7025228")</f>
        <v>0</v>
      </c>
      <c r="B9415" t="s">
        <v>2148</v>
      </c>
      <c r="C9415" t="s">
        <v>3965</v>
      </c>
      <c r="D9415" t="s">
        <v>18092</v>
      </c>
      <c r="E9415" t="s">
        <v>26337</v>
      </c>
      <c r="F9415" t="s">
        <v>31574</v>
      </c>
      <c r="G9415" t="s">
        <v>31582</v>
      </c>
      <c r="H9415" t="s">
        <v>31590</v>
      </c>
      <c r="I9415" t="s">
        <v>4327</v>
      </c>
      <c r="J9415" t="s">
        <v>37659</v>
      </c>
      <c r="K9415" t="s">
        <v>41196</v>
      </c>
      <c r="M9415" t="s">
        <v>43830</v>
      </c>
      <c r="N9415" t="s">
        <v>45095</v>
      </c>
      <c r="O9415" t="s">
        <v>45096</v>
      </c>
      <c r="P9415">
        <v>0</v>
      </c>
      <c r="Q9415">
        <v>6</v>
      </c>
      <c r="R9415" t="s">
        <v>45105</v>
      </c>
      <c r="S9415" t="s">
        <v>45353</v>
      </c>
      <c r="T9415" t="s">
        <v>47010</v>
      </c>
      <c r="U9415" t="s">
        <v>55257</v>
      </c>
      <c r="W9415" t="s">
        <v>43830</v>
      </c>
      <c r="X9415" t="s">
        <v>45110</v>
      </c>
    </row>
    <row r="9416" spans="1:24">
      <c r="A9416">
        <f>HYPERLINK("https://www.philgeps.gov.ph/GEPSNONPILOT/Tender/SplashBidNoticeAbstractUI.aspx?menuIndex=3&amp;refID=7025210&amp;Result=3","7025210")</f>
        <v>0</v>
      </c>
      <c r="B9416" t="s">
        <v>2148</v>
      </c>
      <c r="C9416" t="s">
        <v>12164</v>
      </c>
      <c r="D9416" t="s">
        <v>18092</v>
      </c>
      <c r="E9416" t="s">
        <v>26338</v>
      </c>
      <c r="F9416" t="s">
        <v>31574</v>
      </c>
      <c r="G9416" t="s">
        <v>31582</v>
      </c>
      <c r="H9416" t="s">
        <v>31590</v>
      </c>
      <c r="I9416" t="s">
        <v>31604</v>
      </c>
      <c r="J9416" t="s">
        <v>37660</v>
      </c>
      <c r="K9416" t="s">
        <v>41196</v>
      </c>
      <c r="M9416" t="s">
        <v>43830</v>
      </c>
      <c r="N9416" t="s">
        <v>45095</v>
      </c>
      <c r="O9416" t="s">
        <v>45096</v>
      </c>
      <c r="P9416">
        <v>0</v>
      </c>
      <c r="Q9416">
        <v>2</v>
      </c>
      <c r="R9416" t="s">
        <v>45105</v>
      </c>
      <c r="S9416" t="s">
        <v>45353</v>
      </c>
      <c r="T9416" t="s">
        <v>47010</v>
      </c>
      <c r="U9416" t="s">
        <v>55272</v>
      </c>
      <c r="W9416" t="s">
        <v>43830</v>
      </c>
      <c r="X9416" t="s">
        <v>45110</v>
      </c>
    </row>
    <row r="9417" spans="1:24">
      <c r="A9417">
        <f>HYPERLINK("https://www.philgeps.gov.ph/GEPSNONPILOT/Tender/SplashBidNoticeAbstractUI.aspx?menuIndex=3&amp;refID=7025202&amp;Result=3","7025202")</f>
        <v>0</v>
      </c>
      <c r="B9417" t="s">
        <v>2148</v>
      </c>
      <c r="C9417" t="s">
        <v>12148</v>
      </c>
      <c r="D9417" t="s">
        <v>18092</v>
      </c>
      <c r="E9417" t="s">
        <v>26339</v>
      </c>
      <c r="F9417" t="s">
        <v>31574</v>
      </c>
      <c r="G9417" t="s">
        <v>31582</v>
      </c>
      <c r="H9417" t="s">
        <v>31590</v>
      </c>
      <c r="I9417" t="s">
        <v>7185</v>
      </c>
      <c r="J9417" t="s">
        <v>37661</v>
      </c>
      <c r="K9417" t="s">
        <v>41196</v>
      </c>
      <c r="M9417" t="s">
        <v>43830</v>
      </c>
      <c r="N9417" t="s">
        <v>45095</v>
      </c>
      <c r="O9417" t="s">
        <v>45096</v>
      </c>
      <c r="P9417">
        <v>0</v>
      </c>
      <c r="Q9417">
        <v>3</v>
      </c>
      <c r="R9417" t="s">
        <v>45105</v>
      </c>
      <c r="S9417" t="s">
        <v>45353</v>
      </c>
      <c r="T9417" t="s">
        <v>47010</v>
      </c>
      <c r="U9417" t="s">
        <v>55257</v>
      </c>
      <c r="W9417" t="s">
        <v>43830</v>
      </c>
      <c r="X9417" t="s">
        <v>45110</v>
      </c>
    </row>
    <row r="9418" spans="1:24">
      <c r="A9418">
        <f>HYPERLINK("https://www.philgeps.gov.ph/GEPSNONPILOT/Tender/SplashBidNoticeAbstractUI.aspx?menuIndex=3&amp;refID=7025213&amp;Result=3","7025213")</f>
        <v>0</v>
      </c>
      <c r="B9418" t="s">
        <v>650</v>
      </c>
      <c r="C9418" t="s">
        <v>12165</v>
      </c>
      <c r="D9418" t="s">
        <v>18030</v>
      </c>
      <c r="E9418" t="s">
        <v>26340</v>
      </c>
      <c r="F9418" t="s">
        <v>31574</v>
      </c>
      <c r="G9418" t="s">
        <v>31582</v>
      </c>
      <c r="H9418" t="s">
        <v>31591</v>
      </c>
      <c r="I9418" t="s">
        <v>8822</v>
      </c>
      <c r="J9418" t="s">
        <v>32868</v>
      </c>
      <c r="K9418" t="s">
        <v>41253</v>
      </c>
      <c r="M9418" t="s">
        <v>42154</v>
      </c>
      <c r="N9418" t="s">
        <v>45095</v>
      </c>
      <c r="O9418" t="s">
        <v>45096</v>
      </c>
      <c r="P9418">
        <v>0</v>
      </c>
      <c r="Q9418">
        <v>1</v>
      </c>
      <c r="R9418" t="s">
        <v>45105</v>
      </c>
      <c r="S9418" t="s">
        <v>45353</v>
      </c>
      <c r="T9418" t="s">
        <v>47183</v>
      </c>
      <c r="U9418" t="s">
        <v>48827</v>
      </c>
      <c r="W9418" t="s">
        <v>42154</v>
      </c>
      <c r="X9418" t="s">
        <v>45110</v>
      </c>
    </row>
    <row r="9419" spans="1:24">
      <c r="A9419">
        <f>HYPERLINK("https://www.philgeps.gov.ph/GEPSNONPILOT/Tender/SplashBidNoticeAbstractUI.aspx?menuIndex=3&amp;refID=7025240&amp;Result=3","7025240")</f>
        <v>0</v>
      </c>
      <c r="B9419" t="s">
        <v>2148</v>
      </c>
      <c r="C9419" t="s">
        <v>12166</v>
      </c>
      <c r="D9419" t="s">
        <v>18092</v>
      </c>
      <c r="E9419" t="s">
        <v>26341</v>
      </c>
      <c r="F9419" t="s">
        <v>31574</v>
      </c>
      <c r="G9419" t="s">
        <v>31582</v>
      </c>
      <c r="H9419" t="s">
        <v>31590</v>
      </c>
      <c r="I9419" t="s">
        <v>3651</v>
      </c>
      <c r="J9419" t="s">
        <v>37662</v>
      </c>
      <c r="K9419" t="s">
        <v>41196</v>
      </c>
      <c r="M9419" t="s">
        <v>43830</v>
      </c>
      <c r="N9419" t="s">
        <v>45095</v>
      </c>
      <c r="O9419" t="s">
        <v>45096</v>
      </c>
      <c r="P9419">
        <v>0</v>
      </c>
      <c r="Q9419">
        <v>3</v>
      </c>
      <c r="R9419" t="s">
        <v>45105</v>
      </c>
      <c r="S9419" t="s">
        <v>45353</v>
      </c>
      <c r="T9419" t="s">
        <v>47010</v>
      </c>
      <c r="U9419" t="s">
        <v>55273</v>
      </c>
      <c r="W9419" t="s">
        <v>43830</v>
      </c>
      <c r="X9419" t="s">
        <v>45110</v>
      </c>
    </row>
    <row r="9420" spans="1:24">
      <c r="A9420">
        <f>HYPERLINK("https://www.philgeps.gov.ph/GEPSNONPILOT/Tender/SplashBidNoticeAbstractUI.aspx?menuIndex=3&amp;refID=7025241&amp;Result=3","7025241")</f>
        <v>0</v>
      </c>
      <c r="B9420" t="s">
        <v>650</v>
      </c>
      <c r="C9420" t="s">
        <v>12167</v>
      </c>
      <c r="D9420" t="s">
        <v>18030</v>
      </c>
      <c r="E9420" t="s">
        <v>26342</v>
      </c>
      <c r="F9420" t="s">
        <v>31574</v>
      </c>
      <c r="G9420" t="s">
        <v>31582</v>
      </c>
      <c r="H9420" t="s">
        <v>31591</v>
      </c>
      <c r="I9420" t="s">
        <v>8822</v>
      </c>
      <c r="J9420" t="s">
        <v>37663</v>
      </c>
      <c r="K9420" t="s">
        <v>41196</v>
      </c>
      <c r="M9420" t="s">
        <v>42154</v>
      </c>
      <c r="N9420" t="s">
        <v>45095</v>
      </c>
      <c r="O9420" t="s">
        <v>45096</v>
      </c>
      <c r="P9420">
        <v>0</v>
      </c>
      <c r="Q9420">
        <v>1</v>
      </c>
      <c r="R9420" t="s">
        <v>45105</v>
      </c>
      <c r="S9420" t="s">
        <v>45353</v>
      </c>
      <c r="T9420" t="s">
        <v>47183</v>
      </c>
      <c r="U9420" t="s">
        <v>48827</v>
      </c>
      <c r="W9420" t="s">
        <v>42154</v>
      </c>
      <c r="X9420" t="s">
        <v>45110</v>
      </c>
    </row>
    <row r="9421" spans="1:24">
      <c r="A9421">
        <f>HYPERLINK("https://www.philgeps.gov.ph/GEPSNONPILOT/Tender/SplashBidNoticeAbstractUI.aspx?menuIndex=3&amp;refID=7025318&amp;Result=3","7025318")</f>
        <v>0</v>
      </c>
      <c r="B9421" t="s">
        <v>2584</v>
      </c>
      <c r="C9421" t="s">
        <v>12168</v>
      </c>
      <c r="D9421" t="s">
        <v>18022</v>
      </c>
      <c r="E9421" t="s">
        <v>19843</v>
      </c>
      <c r="F9421" t="s">
        <v>31574</v>
      </c>
      <c r="G9421" t="s">
        <v>31582</v>
      </c>
      <c r="H9421" t="s">
        <v>31590</v>
      </c>
      <c r="I9421" t="s">
        <v>3487</v>
      </c>
      <c r="J9421" t="s">
        <v>31789</v>
      </c>
      <c r="K9421" t="s">
        <v>41186</v>
      </c>
      <c r="M9421" t="s">
        <v>44326</v>
      </c>
      <c r="N9421" t="s">
        <v>45095</v>
      </c>
      <c r="O9421" t="s">
        <v>45096</v>
      </c>
      <c r="P9421">
        <v>0</v>
      </c>
      <c r="Q9421">
        <v>1</v>
      </c>
      <c r="R9421" t="s">
        <v>45105</v>
      </c>
      <c r="S9421" t="s">
        <v>45353</v>
      </c>
      <c r="T9421" t="s">
        <v>47154</v>
      </c>
      <c r="U9421" t="s">
        <v>55274</v>
      </c>
      <c r="W9421" t="s">
        <v>44326</v>
      </c>
      <c r="X9421" t="s">
        <v>45110</v>
      </c>
    </row>
    <row r="9422" spans="1:24">
      <c r="A9422">
        <f>HYPERLINK("https://www.philgeps.gov.ph/GEPSNONPILOT/Tender/SplashBidNoticeAbstractUI.aspx?menuIndex=3&amp;refID=7025185&amp;Result=3","7025185")</f>
        <v>0</v>
      </c>
      <c r="B9422" t="s">
        <v>2156</v>
      </c>
      <c r="C9422" t="s">
        <v>12169</v>
      </c>
      <c r="D9422" t="s">
        <v>18050</v>
      </c>
      <c r="E9422" t="s">
        <v>26343</v>
      </c>
      <c r="F9422" t="s">
        <v>31574</v>
      </c>
      <c r="G9422" t="s">
        <v>31582</v>
      </c>
      <c r="H9422" t="s">
        <v>31591</v>
      </c>
      <c r="I9422" t="s">
        <v>8822</v>
      </c>
      <c r="J9422" t="s">
        <v>37664</v>
      </c>
      <c r="K9422" t="s">
        <v>41200</v>
      </c>
      <c r="M9422" t="s">
        <v>43839</v>
      </c>
      <c r="N9422" t="s">
        <v>45095</v>
      </c>
      <c r="O9422" t="s">
        <v>45096</v>
      </c>
      <c r="P9422">
        <v>0</v>
      </c>
      <c r="Q9422">
        <v>1</v>
      </c>
      <c r="R9422" t="s">
        <v>45105</v>
      </c>
      <c r="S9422" t="s">
        <v>45353</v>
      </c>
      <c r="T9422" t="s">
        <v>47265</v>
      </c>
      <c r="U9422" t="s">
        <v>55275</v>
      </c>
      <c r="W9422" t="s">
        <v>43839</v>
      </c>
      <c r="X9422" t="s">
        <v>45110</v>
      </c>
    </row>
    <row r="9423" spans="1:24">
      <c r="A9423">
        <f>HYPERLINK("https://www.philgeps.gov.ph/GEPSNONPILOT/Tender/SplashBidNoticeAbstractUI.aspx?menuIndex=3&amp;refID=7025393&amp;Result=3","7025393")</f>
        <v>0</v>
      </c>
      <c r="B9423" t="s">
        <v>2156</v>
      </c>
      <c r="C9423" t="s">
        <v>12170</v>
      </c>
      <c r="D9423" t="s">
        <v>18050</v>
      </c>
      <c r="E9423" t="s">
        <v>26344</v>
      </c>
      <c r="F9423" t="s">
        <v>31574</v>
      </c>
      <c r="G9423" t="s">
        <v>31582</v>
      </c>
      <c r="H9423" t="s">
        <v>31591</v>
      </c>
      <c r="I9423" t="s">
        <v>8822</v>
      </c>
      <c r="J9423" t="s">
        <v>32085</v>
      </c>
      <c r="K9423" t="s">
        <v>41192</v>
      </c>
      <c r="M9423" t="s">
        <v>43839</v>
      </c>
      <c r="N9423" t="s">
        <v>45095</v>
      </c>
      <c r="O9423" t="s">
        <v>45096</v>
      </c>
      <c r="Q9423">
        <v>1</v>
      </c>
      <c r="R9423" t="s">
        <v>45105</v>
      </c>
      <c r="S9423" t="s">
        <v>45364</v>
      </c>
      <c r="T9423" t="s">
        <v>47362</v>
      </c>
      <c r="U9423" t="s">
        <v>55276</v>
      </c>
      <c r="W9423" t="s">
        <v>43839</v>
      </c>
      <c r="X9423" t="s">
        <v>45110</v>
      </c>
    </row>
    <row r="9424" spans="1:24">
      <c r="A9424">
        <f>HYPERLINK("https://www.philgeps.gov.ph/GEPSNONPILOT/Tender/SplashBidNoticeAbstractUI.aspx?menuIndex=3&amp;refID=7025248&amp;Result=3","7025248")</f>
        <v>0</v>
      </c>
      <c r="B9424" t="s">
        <v>650</v>
      </c>
      <c r="C9424" t="s">
        <v>12171</v>
      </c>
      <c r="D9424" t="s">
        <v>18030</v>
      </c>
      <c r="E9424" t="s">
        <v>26345</v>
      </c>
      <c r="F9424" t="s">
        <v>31574</v>
      </c>
      <c r="G9424" t="s">
        <v>31582</v>
      </c>
      <c r="H9424" t="s">
        <v>31591</v>
      </c>
      <c r="I9424" t="s">
        <v>8822</v>
      </c>
      <c r="J9424" t="s">
        <v>37665</v>
      </c>
      <c r="K9424" t="s">
        <v>41206</v>
      </c>
      <c r="M9424" t="s">
        <v>42154</v>
      </c>
      <c r="N9424" t="s">
        <v>45095</v>
      </c>
      <c r="O9424" t="s">
        <v>45096</v>
      </c>
      <c r="P9424">
        <v>0</v>
      </c>
      <c r="Q9424">
        <v>1</v>
      </c>
      <c r="R9424" t="s">
        <v>45105</v>
      </c>
      <c r="S9424" t="s">
        <v>45353</v>
      </c>
      <c r="T9424" t="s">
        <v>47183</v>
      </c>
      <c r="U9424" t="s">
        <v>48827</v>
      </c>
      <c r="W9424" t="s">
        <v>42154</v>
      </c>
      <c r="X9424" t="s">
        <v>45110</v>
      </c>
    </row>
    <row r="9425" spans="1:24">
      <c r="A9425">
        <f>HYPERLINK("https://www.philgeps.gov.ph/GEPSNONPILOT/Tender/SplashBidNoticeAbstractUI.aspx?menuIndex=3&amp;refID=7025225&amp;Result=3","7025225")</f>
        <v>0</v>
      </c>
      <c r="B9425" t="s">
        <v>650</v>
      </c>
      <c r="C9425" t="s">
        <v>12172</v>
      </c>
      <c r="D9425" t="s">
        <v>18030</v>
      </c>
      <c r="E9425" t="s">
        <v>26346</v>
      </c>
      <c r="F9425" t="s">
        <v>31574</v>
      </c>
      <c r="G9425" t="s">
        <v>31582</v>
      </c>
      <c r="H9425" t="s">
        <v>31591</v>
      </c>
      <c r="I9425" t="s">
        <v>8822</v>
      </c>
      <c r="J9425" t="s">
        <v>32868</v>
      </c>
      <c r="K9425" t="s">
        <v>41253</v>
      </c>
      <c r="M9425" t="s">
        <v>42154</v>
      </c>
      <c r="N9425" t="s">
        <v>45095</v>
      </c>
      <c r="O9425" t="s">
        <v>45096</v>
      </c>
      <c r="P9425">
        <v>0</v>
      </c>
      <c r="Q9425">
        <v>1</v>
      </c>
      <c r="R9425" t="s">
        <v>45105</v>
      </c>
      <c r="S9425" t="s">
        <v>45353</v>
      </c>
      <c r="T9425" t="s">
        <v>47183</v>
      </c>
      <c r="U9425" t="s">
        <v>48827</v>
      </c>
      <c r="W9425" t="s">
        <v>42154</v>
      </c>
      <c r="X9425" t="s">
        <v>45110</v>
      </c>
    </row>
    <row r="9426" spans="1:24">
      <c r="A9426">
        <f>HYPERLINK("https://www.philgeps.gov.ph/GEPSNONPILOT/Tender/SplashBidNoticeAbstractUI.aspx?menuIndex=3&amp;refID=7025803&amp;Result=3","7025803")</f>
        <v>0</v>
      </c>
      <c r="B9426" t="s">
        <v>2584</v>
      </c>
      <c r="C9426" t="s">
        <v>12173</v>
      </c>
      <c r="D9426" t="s">
        <v>18022</v>
      </c>
      <c r="E9426" t="s">
        <v>20206</v>
      </c>
      <c r="F9426" t="s">
        <v>31574</v>
      </c>
      <c r="G9426" t="s">
        <v>31582</v>
      </c>
      <c r="H9426" t="s">
        <v>31590</v>
      </c>
      <c r="I9426" t="s">
        <v>31596</v>
      </c>
      <c r="J9426" t="s">
        <v>37666</v>
      </c>
      <c r="K9426" t="s">
        <v>41186</v>
      </c>
      <c r="M9426" t="s">
        <v>44326</v>
      </c>
      <c r="N9426" t="s">
        <v>45095</v>
      </c>
      <c r="O9426" t="s">
        <v>45096</v>
      </c>
      <c r="P9426">
        <v>0</v>
      </c>
      <c r="Q9426">
        <v>0</v>
      </c>
      <c r="R9426" t="s">
        <v>45105</v>
      </c>
      <c r="S9426" t="s">
        <v>45353</v>
      </c>
      <c r="T9426" t="s">
        <v>47177</v>
      </c>
      <c r="U9426" t="s">
        <v>55277</v>
      </c>
      <c r="W9426" t="s">
        <v>44326</v>
      </c>
      <c r="X9426" t="s">
        <v>45110</v>
      </c>
    </row>
    <row r="9427" spans="1:24">
      <c r="A9427">
        <f>HYPERLINK("https://www.philgeps.gov.ph/GEPSNONPILOT/Tender/SplashBidNoticeAbstractUI.aspx?menuIndex=3&amp;refID=7025781&amp;Result=3","7025781")</f>
        <v>0</v>
      </c>
      <c r="B9427" t="s">
        <v>1833</v>
      </c>
      <c r="C9427" t="s">
        <v>12174</v>
      </c>
      <c r="D9427" t="s">
        <v>18036</v>
      </c>
      <c r="E9427" t="s">
        <v>26347</v>
      </c>
      <c r="F9427" t="s">
        <v>31574</v>
      </c>
      <c r="G9427" t="s">
        <v>31582</v>
      </c>
      <c r="H9427" t="s">
        <v>31590</v>
      </c>
      <c r="I9427" t="s">
        <v>31602</v>
      </c>
      <c r="J9427" t="s">
        <v>37667</v>
      </c>
      <c r="K9427" t="s">
        <v>41186</v>
      </c>
      <c r="M9427" t="s">
        <v>43469</v>
      </c>
      <c r="N9427" t="s">
        <v>45095</v>
      </c>
      <c r="O9427" t="s">
        <v>45096</v>
      </c>
      <c r="P9427">
        <v>0</v>
      </c>
      <c r="Q9427">
        <v>1</v>
      </c>
      <c r="R9427" t="s">
        <v>45105</v>
      </c>
      <c r="S9427" t="s">
        <v>45353</v>
      </c>
      <c r="T9427" t="s">
        <v>47076</v>
      </c>
      <c r="U9427" t="s">
        <v>55278</v>
      </c>
      <c r="V9427" t="s">
        <v>60820</v>
      </c>
      <c r="W9427" t="s">
        <v>43469</v>
      </c>
      <c r="X9427" t="s">
        <v>45110</v>
      </c>
    </row>
    <row r="9428" spans="1:24">
      <c r="A9428">
        <f>HYPERLINK("https://www.philgeps.gov.ph/GEPSNONPILOT/Tender/SplashBidNoticeAbstractUI.aspx?menuIndex=3&amp;refID=7025420&amp;Result=3","7025420")</f>
        <v>0</v>
      </c>
      <c r="B9428" t="s">
        <v>2584</v>
      </c>
      <c r="C9428" t="s">
        <v>4356</v>
      </c>
      <c r="D9428" t="s">
        <v>18022</v>
      </c>
      <c r="E9428" t="s">
        <v>20688</v>
      </c>
      <c r="F9428" t="s">
        <v>31574</v>
      </c>
      <c r="G9428" t="s">
        <v>31582</v>
      </c>
      <c r="H9428" t="s">
        <v>31590</v>
      </c>
      <c r="I9428" t="s">
        <v>3487</v>
      </c>
      <c r="J9428" t="s">
        <v>31821</v>
      </c>
      <c r="K9428" t="s">
        <v>41186</v>
      </c>
      <c r="M9428" t="s">
        <v>44326</v>
      </c>
      <c r="N9428" t="s">
        <v>45095</v>
      </c>
      <c r="O9428" t="s">
        <v>45096</v>
      </c>
      <c r="P9428">
        <v>0</v>
      </c>
      <c r="Q9428">
        <v>1</v>
      </c>
      <c r="R9428" t="s">
        <v>45105</v>
      </c>
      <c r="S9428" t="s">
        <v>45353</v>
      </c>
      <c r="T9428" t="s">
        <v>47154</v>
      </c>
      <c r="U9428" t="s">
        <v>48408</v>
      </c>
      <c r="W9428" t="s">
        <v>44326</v>
      </c>
      <c r="X9428" t="s">
        <v>45110</v>
      </c>
    </row>
    <row r="9429" spans="1:24">
      <c r="A9429">
        <f>HYPERLINK("https://www.philgeps.gov.ph/GEPSNONPILOT/Tender/SplashBidNoticeAbstractUI.aspx?menuIndex=3&amp;refID=7025336&amp;Result=3","7025336")</f>
        <v>0</v>
      </c>
      <c r="B9429" t="s">
        <v>2584</v>
      </c>
      <c r="C9429" t="s">
        <v>12175</v>
      </c>
      <c r="D9429" t="s">
        <v>18022</v>
      </c>
      <c r="E9429" t="s">
        <v>19894</v>
      </c>
      <c r="F9429" t="s">
        <v>31574</v>
      </c>
      <c r="G9429" t="s">
        <v>31582</v>
      </c>
      <c r="H9429" t="s">
        <v>31590</v>
      </c>
      <c r="I9429" t="s">
        <v>3487</v>
      </c>
      <c r="J9429" t="s">
        <v>31727</v>
      </c>
      <c r="K9429" t="s">
        <v>41186</v>
      </c>
      <c r="M9429" t="s">
        <v>44326</v>
      </c>
      <c r="N9429" t="s">
        <v>45095</v>
      </c>
      <c r="O9429" t="s">
        <v>45096</v>
      </c>
      <c r="P9429">
        <v>0</v>
      </c>
      <c r="Q9429">
        <v>0</v>
      </c>
      <c r="R9429" t="s">
        <v>45105</v>
      </c>
      <c r="S9429" t="s">
        <v>45353</v>
      </c>
      <c r="T9429" t="s">
        <v>47154</v>
      </c>
      <c r="U9429" t="s">
        <v>55279</v>
      </c>
      <c r="W9429" t="s">
        <v>44326</v>
      </c>
      <c r="X9429" t="s">
        <v>45110</v>
      </c>
    </row>
    <row r="9430" spans="1:24">
      <c r="A9430">
        <f>HYPERLINK("https://www.philgeps.gov.ph/GEPSNONPILOT/Tender/SplashBidNoticeAbstractUI.aspx?menuIndex=3&amp;refID=7025574&amp;Result=3","7025574")</f>
        <v>0</v>
      </c>
      <c r="B9430" t="s">
        <v>2584</v>
      </c>
      <c r="C9430" t="s">
        <v>12176</v>
      </c>
      <c r="D9430" t="s">
        <v>18022</v>
      </c>
      <c r="E9430" t="s">
        <v>19149</v>
      </c>
      <c r="F9430" t="s">
        <v>31574</v>
      </c>
      <c r="G9430" t="s">
        <v>31582</v>
      </c>
      <c r="H9430" t="s">
        <v>31590</v>
      </c>
      <c r="I9430" t="s">
        <v>31623</v>
      </c>
      <c r="J9430" t="s">
        <v>31947</v>
      </c>
      <c r="K9430" t="s">
        <v>41186</v>
      </c>
      <c r="M9430" t="s">
        <v>44326</v>
      </c>
      <c r="N9430" t="s">
        <v>45095</v>
      </c>
      <c r="O9430" t="s">
        <v>45096</v>
      </c>
      <c r="P9430">
        <v>0</v>
      </c>
      <c r="Q9430">
        <v>0</v>
      </c>
      <c r="R9430" t="s">
        <v>45105</v>
      </c>
      <c r="S9430" t="s">
        <v>45353</v>
      </c>
      <c r="T9430" t="s">
        <v>47154</v>
      </c>
      <c r="U9430" t="s">
        <v>55280</v>
      </c>
      <c r="W9430" t="s">
        <v>44326</v>
      </c>
      <c r="X9430" t="s">
        <v>45110</v>
      </c>
    </row>
    <row r="9431" spans="1:24">
      <c r="A9431">
        <f>HYPERLINK("https://www.philgeps.gov.ph/GEPSNONPILOT/Tender/SplashBidNoticeAbstractUI.aspx?menuIndex=3&amp;refID=7025498&amp;Result=3","7025498")</f>
        <v>0</v>
      </c>
      <c r="B9431" t="s">
        <v>2585</v>
      </c>
      <c r="C9431" t="s">
        <v>12177</v>
      </c>
      <c r="D9431" t="s">
        <v>18084</v>
      </c>
      <c r="E9431" t="s">
        <v>26348</v>
      </c>
      <c r="F9431" t="s">
        <v>31574</v>
      </c>
      <c r="G9431" t="s">
        <v>31582</v>
      </c>
      <c r="H9431" t="s">
        <v>31591</v>
      </c>
      <c r="I9431" t="s">
        <v>8822</v>
      </c>
      <c r="J9431" t="s">
        <v>31935</v>
      </c>
      <c r="K9431" t="s">
        <v>41186</v>
      </c>
      <c r="M9431" t="s">
        <v>44327</v>
      </c>
      <c r="N9431" t="s">
        <v>45095</v>
      </c>
      <c r="O9431" t="s">
        <v>45096</v>
      </c>
      <c r="P9431">
        <v>0</v>
      </c>
      <c r="Q9431">
        <v>10</v>
      </c>
      <c r="R9431" t="s">
        <v>45105</v>
      </c>
      <c r="S9431" t="s">
        <v>45353</v>
      </c>
      <c r="T9431" t="s">
        <v>47138</v>
      </c>
      <c r="U9431" t="s">
        <v>55281</v>
      </c>
      <c r="W9431" t="s">
        <v>44327</v>
      </c>
      <c r="X9431" t="s">
        <v>45110</v>
      </c>
    </row>
    <row r="9432" spans="1:24">
      <c r="A9432">
        <f>HYPERLINK("https://www.philgeps.gov.ph/GEPSNONPILOT/Tender/SplashBidNoticeAbstractUI.aspx?menuIndex=3&amp;refID=7025754&amp;Result=3","7025754")</f>
        <v>0</v>
      </c>
      <c r="B9432" t="s">
        <v>2584</v>
      </c>
      <c r="C9432" t="s">
        <v>12178</v>
      </c>
      <c r="D9432" t="s">
        <v>18022</v>
      </c>
      <c r="E9432" t="s">
        <v>19404</v>
      </c>
      <c r="F9432" t="s">
        <v>31574</v>
      </c>
      <c r="G9432" t="s">
        <v>31582</v>
      </c>
      <c r="H9432" t="s">
        <v>31590</v>
      </c>
      <c r="I9432" t="s">
        <v>31623</v>
      </c>
      <c r="J9432" t="s">
        <v>32232</v>
      </c>
      <c r="K9432" t="s">
        <v>41186</v>
      </c>
      <c r="M9432" t="s">
        <v>44326</v>
      </c>
      <c r="N9432" t="s">
        <v>45095</v>
      </c>
      <c r="O9432" t="s">
        <v>45096</v>
      </c>
      <c r="P9432">
        <v>0</v>
      </c>
      <c r="Q9432">
        <v>0</v>
      </c>
      <c r="R9432" t="s">
        <v>45105</v>
      </c>
      <c r="S9432" t="s">
        <v>45353</v>
      </c>
      <c r="T9432" t="s">
        <v>47177</v>
      </c>
      <c r="U9432" t="s">
        <v>55282</v>
      </c>
      <c r="W9432" t="s">
        <v>44326</v>
      </c>
      <c r="X9432" t="s">
        <v>45110</v>
      </c>
    </row>
    <row r="9433" spans="1:24">
      <c r="A9433">
        <f>HYPERLINK("https://www.philgeps.gov.ph/GEPSNONPILOT/Tender/SplashBidNoticeAbstractUI.aspx?menuIndex=3&amp;refID=7025451&amp;Result=3","7025451")</f>
        <v>0</v>
      </c>
      <c r="B9433" t="s">
        <v>2584</v>
      </c>
      <c r="C9433" t="s">
        <v>5945</v>
      </c>
      <c r="D9433" t="s">
        <v>18022</v>
      </c>
      <c r="E9433" t="s">
        <v>18191</v>
      </c>
      <c r="F9433" t="s">
        <v>31574</v>
      </c>
      <c r="G9433" t="s">
        <v>31582</v>
      </c>
      <c r="H9433" t="s">
        <v>31590</v>
      </c>
      <c r="I9433" t="s">
        <v>3487</v>
      </c>
      <c r="J9433" t="s">
        <v>32290</v>
      </c>
      <c r="K9433" t="s">
        <v>41186</v>
      </c>
      <c r="M9433" t="s">
        <v>44326</v>
      </c>
      <c r="N9433" t="s">
        <v>45095</v>
      </c>
      <c r="O9433" t="s">
        <v>45096</v>
      </c>
      <c r="P9433">
        <v>0</v>
      </c>
      <c r="Q9433">
        <v>0</v>
      </c>
      <c r="R9433" t="s">
        <v>45105</v>
      </c>
      <c r="S9433" t="s">
        <v>45353</v>
      </c>
      <c r="T9433" t="s">
        <v>47154</v>
      </c>
      <c r="U9433" t="s">
        <v>49691</v>
      </c>
      <c r="W9433" t="s">
        <v>44326</v>
      </c>
      <c r="X9433" t="s">
        <v>45110</v>
      </c>
    </row>
    <row r="9434" spans="1:24">
      <c r="A9434">
        <f>HYPERLINK("https://www.philgeps.gov.ph/GEPSNONPILOT/Tender/SplashBidNoticeAbstractUI.aspx?menuIndex=3&amp;refID=7026100&amp;Result=3","7026100")</f>
        <v>0</v>
      </c>
      <c r="B9434" t="s">
        <v>2586</v>
      </c>
      <c r="C9434" t="s">
        <v>12179</v>
      </c>
      <c r="D9434" t="s">
        <v>18033</v>
      </c>
      <c r="E9434" t="s">
        <v>26349</v>
      </c>
      <c r="F9434" t="s">
        <v>31574</v>
      </c>
      <c r="G9434" t="s">
        <v>31582</v>
      </c>
      <c r="H9434" t="s">
        <v>31590</v>
      </c>
      <c r="I9434" t="s">
        <v>31615</v>
      </c>
      <c r="J9434" t="s">
        <v>31781</v>
      </c>
      <c r="K9434" t="s">
        <v>41186</v>
      </c>
      <c r="M9434" t="s">
        <v>44328</v>
      </c>
      <c r="N9434" t="s">
        <v>45095</v>
      </c>
      <c r="O9434" t="s">
        <v>45096</v>
      </c>
      <c r="P9434">
        <v>0</v>
      </c>
      <c r="Q9434">
        <v>5</v>
      </c>
      <c r="R9434" t="s">
        <v>45105</v>
      </c>
      <c r="S9434" t="s">
        <v>45353</v>
      </c>
      <c r="T9434" t="s">
        <v>46939</v>
      </c>
      <c r="U9434" t="s">
        <v>55283</v>
      </c>
      <c r="W9434" t="s">
        <v>44328</v>
      </c>
      <c r="X9434" t="s">
        <v>45110</v>
      </c>
    </row>
    <row r="9435" spans="1:24">
      <c r="A9435">
        <f>HYPERLINK("https://www.philgeps.gov.ph/GEPSNONPILOT/Tender/SplashBidNoticeAbstractUI.aspx?menuIndex=3&amp;refID=7025445&amp;Result=3","7025445")</f>
        <v>0</v>
      </c>
      <c r="B9435" t="s">
        <v>2349</v>
      </c>
      <c r="C9435" t="s">
        <v>12180</v>
      </c>
      <c r="D9435" t="s">
        <v>18079</v>
      </c>
      <c r="E9435" t="s">
        <v>26350</v>
      </c>
      <c r="F9435" t="s">
        <v>31574</v>
      </c>
      <c r="G9435" t="s">
        <v>31582</v>
      </c>
      <c r="H9435" t="s">
        <v>31591</v>
      </c>
      <c r="I9435" t="s">
        <v>8822</v>
      </c>
      <c r="J9435" t="s">
        <v>37668</v>
      </c>
      <c r="K9435" t="s">
        <v>41188</v>
      </c>
      <c r="M9435" t="s">
        <v>44066</v>
      </c>
      <c r="N9435" t="s">
        <v>45095</v>
      </c>
      <c r="O9435" t="s">
        <v>45096</v>
      </c>
      <c r="P9435">
        <v>0</v>
      </c>
      <c r="Q9435">
        <v>5</v>
      </c>
      <c r="R9435" t="s">
        <v>45105</v>
      </c>
      <c r="S9435" t="s">
        <v>45353</v>
      </c>
      <c r="T9435" t="s">
        <v>47336</v>
      </c>
      <c r="U9435" t="s">
        <v>55284</v>
      </c>
      <c r="V9435" t="s">
        <v>60821</v>
      </c>
      <c r="W9435" t="s">
        <v>44066</v>
      </c>
      <c r="X9435" t="s">
        <v>45110</v>
      </c>
    </row>
    <row r="9436" spans="1:24">
      <c r="A9436">
        <f>HYPERLINK("https://www.philgeps.gov.ph/GEPSNONPILOT/Tender/SplashBidNoticeAbstractUI.aspx?menuIndex=3&amp;refID=7027265&amp;Result=3","7027265")</f>
        <v>0</v>
      </c>
      <c r="B9436" t="s">
        <v>2587</v>
      </c>
      <c r="C9436" t="s">
        <v>12181</v>
      </c>
      <c r="D9436" t="s">
        <v>18040</v>
      </c>
      <c r="E9436" t="s">
        <v>26351</v>
      </c>
      <c r="F9436" t="s">
        <v>31574</v>
      </c>
      <c r="G9436" t="s">
        <v>31582</v>
      </c>
      <c r="H9436" t="s">
        <v>31591</v>
      </c>
      <c r="I9436" t="s">
        <v>31703</v>
      </c>
      <c r="J9436" t="s">
        <v>37669</v>
      </c>
      <c r="K9436" t="s">
        <v>41189</v>
      </c>
      <c r="M9436" t="s">
        <v>44329</v>
      </c>
      <c r="N9436" t="s">
        <v>45095</v>
      </c>
      <c r="O9436" t="s">
        <v>45096</v>
      </c>
      <c r="P9436">
        <v>0</v>
      </c>
      <c r="Q9436">
        <v>1</v>
      </c>
      <c r="R9436" t="s">
        <v>45105</v>
      </c>
      <c r="S9436" t="s">
        <v>45353</v>
      </c>
      <c r="T9436" t="s">
        <v>46977</v>
      </c>
      <c r="U9436" t="s">
        <v>55285</v>
      </c>
      <c r="W9436" t="s">
        <v>44329</v>
      </c>
      <c r="X9436" t="s">
        <v>45109</v>
      </c>
    </row>
    <row r="9437" spans="1:24">
      <c r="A9437">
        <f>HYPERLINK("https://www.philgeps.gov.ph/GEPSNONPILOT/Tender/SplashBidNoticeAbstractUI.aspx?menuIndex=3&amp;refID=7026455&amp;Result=3","7026455")</f>
        <v>0</v>
      </c>
      <c r="B9437" t="s">
        <v>1670</v>
      </c>
      <c r="C9437" t="s">
        <v>12182</v>
      </c>
      <c r="D9437" t="s">
        <v>18042</v>
      </c>
      <c r="E9437" t="s">
        <v>26352</v>
      </c>
      <c r="F9437" t="s">
        <v>31574</v>
      </c>
      <c r="G9437" t="s">
        <v>31582</v>
      </c>
      <c r="H9437" t="s">
        <v>31590</v>
      </c>
      <c r="I9437" t="s">
        <v>31655</v>
      </c>
      <c r="J9437" t="s">
        <v>33514</v>
      </c>
      <c r="K9437" t="s">
        <v>41184</v>
      </c>
      <c r="M9437" t="s">
        <v>43283</v>
      </c>
      <c r="N9437" t="s">
        <v>45095</v>
      </c>
      <c r="O9437" t="s">
        <v>45096</v>
      </c>
      <c r="P9437">
        <v>0</v>
      </c>
      <c r="Q9437">
        <v>6</v>
      </c>
      <c r="R9437" t="s">
        <v>45105</v>
      </c>
      <c r="S9437" t="s">
        <v>45353</v>
      </c>
      <c r="T9437" t="s">
        <v>46988</v>
      </c>
      <c r="U9437" t="s">
        <v>55286</v>
      </c>
      <c r="W9437" t="s">
        <v>43283</v>
      </c>
      <c r="X9437" t="s">
        <v>45110</v>
      </c>
    </row>
    <row r="9438" spans="1:24">
      <c r="A9438">
        <f>HYPERLINK("https://www.philgeps.gov.ph/GEPSNONPILOT/Tender/SplashBidNoticeAbstractUI.aspx?menuIndex=3&amp;refID=7025835&amp;Result=3","7025835")</f>
        <v>0</v>
      </c>
      <c r="B9438" t="s">
        <v>1833</v>
      </c>
      <c r="C9438" t="s">
        <v>12183</v>
      </c>
      <c r="D9438" t="s">
        <v>18036</v>
      </c>
      <c r="E9438" t="s">
        <v>26353</v>
      </c>
      <c r="F9438" t="s">
        <v>31574</v>
      </c>
      <c r="G9438" t="s">
        <v>31582</v>
      </c>
      <c r="H9438" t="s">
        <v>31590</v>
      </c>
      <c r="I9438" t="s">
        <v>14544</v>
      </c>
      <c r="J9438" t="s">
        <v>37670</v>
      </c>
      <c r="K9438" t="s">
        <v>41186</v>
      </c>
      <c r="M9438" t="s">
        <v>43469</v>
      </c>
      <c r="N9438" t="s">
        <v>45095</v>
      </c>
      <c r="O9438" t="s">
        <v>45096</v>
      </c>
      <c r="P9438">
        <v>0</v>
      </c>
      <c r="Q9438">
        <v>1</v>
      </c>
      <c r="R9438" t="s">
        <v>45105</v>
      </c>
      <c r="S9438" t="s">
        <v>45353</v>
      </c>
      <c r="T9438" t="s">
        <v>47076</v>
      </c>
      <c r="U9438" t="s">
        <v>55287</v>
      </c>
      <c r="V9438" t="s">
        <v>60822</v>
      </c>
      <c r="W9438" t="s">
        <v>43469</v>
      </c>
      <c r="X9438" t="s">
        <v>45110</v>
      </c>
    </row>
    <row r="9439" spans="1:24">
      <c r="A9439">
        <f>HYPERLINK("https://www.philgeps.gov.ph/GEPSNONPILOT/Tender/SplashBidNoticeAbstractUI.aspx?menuIndex=3&amp;refID=7025444&amp;Result=3","7025444")</f>
        <v>0</v>
      </c>
      <c r="B9439" t="s">
        <v>1833</v>
      </c>
      <c r="C9439" t="s">
        <v>12184</v>
      </c>
      <c r="D9439" t="s">
        <v>18036</v>
      </c>
      <c r="E9439" t="s">
        <v>21416</v>
      </c>
      <c r="F9439" t="s">
        <v>31574</v>
      </c>
      <c r="G9439" t="s">
        <v>31582</v>
      </c>
      <c r="H9439" t="s">
        <v>31590</v>
      </c>
      <c r="I9439" t="s">
        <v>31619</v>
      </c>
      <c r="J9439" t="s">
        <v>36742</v>
      </c>
      <c r="K9439" t="s">
        <v>41186</v>
      </c>
      <c r="M9439" t="s">
        <v>43469</v>
      </c>
      <c r="N9439" t="s">
        <v>45095</v>
      </c>
      <c r="O9439" t="s">
        <v>45096</v>
      </c>
      <c r="P9439">
        <v>0</v>
      </c>
      <c r="Q9439">
        <v>5</v>
      </c>
      <c r="R9439" t="s">
        <v>45105</v>
      </c>
      <c r="S9439" t="s">
        <v>45353</v>
      </c>
      <c r="T9439" t="s">
        <v>47076</v>
      </c>
      <c r="U9439" t="s">
        <v>55288</v>
      </c>
      <c r="V9439" t="s">
        <v>60823</v>
      </c>
      <c r="W9439" t="s">
        <v>43469</v>
      </c>
      <c r="X9439" t="s">
        <v>45110</v>
      </c>
    </row>
    <row r="9440" spans="1:24">
      <c r="A9440">
        <f>HYPERLINK("https://www.philgeps.gov.ph/GEPSNONPILOT/Tender/SplashBidNoticeAbstractUI.aspx?menuIndex=3&amp;refID=7026379&amp;Result=3","7026379")</f>
        <v>0</v>
      </c>
      <c r="B9440" t="s">
        <v>2588</v>
      </c>
      <c r="C9440" t="s">
        <v>12185</v>
      </c>
      <c r="D9440" t="s">
        <v>18062</v>
      </c>
      <c r="E9440" t="s">
        <v>26354</v>
      </c>
      <c r="F9440" t="s">
        <v>31574</v>
      </c>
      <c r="G9440" t="s">
        <v>31582</v>
      </c>
      <c r="H9440" t="s">
        <v>31591</v>
      </c>
      <c r="I9440" t="s">
        <v>8822</v>
      </c>
      <c r="J9440" t="s">
        <v>32101</v>
      </c>
      <c r="K9440" t="s">
        <v>41293</v>
      </c>
      <c r="M9440" t="s">
        <v>44330</v>
      </c>
      <c r="N9440" t="s">
        <v>45095</v>
      </c>
      <c r="O9440" t="s">
        <v>45096</v>
      </c>
      <c r="P9440">
        <v>0</v>
      </c>
      <c r="Q9440">
        <v>2</v>
      </c>
      <c r="R9440" t="s">
        <v>45105</v>
      </c>
      <c r="S9440" t="s">
        <v>45353</v>
      </c>
      <c r="T9440" t="s">
        <v>46939</v>
      </c>
      <c r="U9440" t="s">
        <v>55289</v>
      </c>
      <c r="V9440" t="s">
        <v>60824</v>
      </c>
      <c r="W9440" t="s">
        <v>44330</v>
      </c>
      <c r="X9440" t="s">
        <v>45110</v>
      </c>
    </row>
    <row r="9441" spans="1:24">
      <c r="A9441">
        <f>HYPERLINK("https://www.philgeps.gov.ph/GEPSNONPILOT/Tender/SplashBidNoticeAbstractUI.aspx?menuIndex=3&amp;refID=7027214&amp;Result=3","7027214")</f>
        <v>0</v>
      </c>
      <c r="B9441" t="s">
        <v>2407</v>
      </c>
      <c r="C9441" t="s">
        <v>12186</v>
      </c>
      <c r="D9441" t="s">
        <v>18083</v>
      </c>
      <c r="E9441" t="s">
        <v>26355</v>
      </c>
      <c r="F9441" t="s">
        <v>31574</v>
      </c>
      <c r="G9441" t="s">
        <v>31582</v>
      </c>
      <c r="H9441" t="s">
        <v>31590</v>
      </c>
      <c r="I9441" t="s">
        <v>31599</v>
      </c>
      <c r="J9441" t="s">
        <v>34069</v>
      </c>
      <c r="K9441" t="s">
        <v>41196</v>
      </c>
      <c r="M9441" t="s">
        <v>44134</v>
      </c>
      <c r="N9441" t="s">
        <v>45095</v>
      </c>
      <c r="O9441" t="s">
        <v>45096</v>
      </c>
      <c r="P9441">
        <v>0</v>
      </c>
      <c r="Q9441">
        <v>3</v>
      </c>
      <c r="R9441" t="s">
        <v>45105</v>
      </c>
      <c r="S9441" t="s">
        <v>45353</v>
      </c>
      <c r="T9441" t="s">
        <v>47345</v>
      </c>
      <c r="U9441" t="s">
        <v>55290</v>
      </c>
      <c r="W9441" t="s">
        <v>44134</v>
      </c>
      <c r="X9441" t="s">
        <v>45109</v>
      </c>
    </row>
    <row r="9442" spans="1:24">
      <c r="A9442">
        <f>HYPERLINK("https://www.philgeps.gov.ph/GEPSNONPILOT/Tender/SplashBidNoticeAbstractUI.aspx?menuIndex=3&amp;refID=7027412&amp;Result=3","7027412")</f>
        <v>0</v>
      </c>
      <c r="B9442" t="s">
        <v>2413</v>
      </c>
      <c r="C9442" t="s">
        <v>12187</v>
      </c>
      <c r="D9442" t="s">
        <v>18052</v>
      </c>
      <c r="E9442" t="s">
        <v>26356</v>
      </c>
      <c r="F9442" t="s">
        <v>31574</v>
      </c>
      <c r="G9442" t="s">
        <v>31582</v>
      </c>
      <c r="H9442" t="s">
        <v>31591</v>
      </c>
      <c r="I9442" t="s">
        <v>8822</v>
      </c>
      <c r="J9442" t="s">
        <v>35706</v>
      </c>
      <c r="K9442" t="s">
        <v>41189</v>
      </c>
      <c r="M9442" t="s">
        <v>44140</v>
      </c>
      <c r="N9442" t="s">
        <v>45095</v>
      </c>
      <c r="O9442" t="s">
        <v>45096</v>
      </c>
      <c r="P9442">
        <v>0</v>
      </c>
      <c r="Q9442">
        <v>3</v>
      </c>
      <c r="R9442" t="s">
        <v>45105</v>
      </c>
      <c r="S9442" t="s">
        <v>45353</v>
      </c>
      <c r="T9442" t="s">
        <v>47235</v>
      </c>
      <c r="U9442" t="s">
        <v>55291</v>
      </c>
      <c r="W9442" t="s">
        <v>44140</v>
      </c>
      <c r="X9442" t="s">
        <v>45109</v>
      </c>
    </row>
    <row r="9443" spans="1:24">
      <c r="A9443">
        <f>HYPERLINK("https://www.philgeps.gov.ph/GEPSNONPILOT/Tender/SplashBidNoticeAbstractUI.aspx?menuIndex=3&amp;refID=7027554&amp;Result=3","7027554")</f>
        <v>0</v>
      </c>
      <c r="B9443" t="s">
        <v>262</v>
      </c>
      <c r="C9443" t="s">
        <v>12188</v>
      </c>
      <c r="D9443" t="s">
        <v>18074</v>
      </c>
      <c r="E9443" t="s">
        <v>26357</v>
      </c>
      <c r="F9443" t="s">
        <v>31574</v>
      </c>
      <c r="G9443" t="s">
        <v>31582</v>
      </c>
      <c r="H9443" t="s">
        <v>31590</v>
      </c>
      <c r="I9443" t="s">
        <v>31630</v>
      </c>
      <c r="J9443" t="s">
        <v>33514</v>
      </c>
      <c r="K9443" t="s">
        <v>41190</v>
      </c>
      <c r="M9443" t="s">
        <v>41748</v>
      </c>
      <c r="N9443" t="s">
        <v>45095</v>
      </c>
      <c r="O9443" t="s">
        <v>45096</v>
      </c>
      <c r="P9443">
        <v>0</v>
      </c>
      <c r="Q9443">
        <v>0</v>
      </c>
      <c r="R9443" t="s">
        <v>45105</v>
      </c>
      <c r="S9443" t="s">
        <v>45353</v>
      </c>
      <c r="T9443" t="s">
        <v>47193</v>
      </c>
      <c r="U9443" t="s">
        <v>55292</v>
      </c>
      <c r="W9443" t="s">
        <v>61745</v>
      </c>
      <c r="X9443" t="s">
        <v>45109</v>
      </c>
    </row>
    <row r="9444" spans="1:24">
      <c r="A9444">
        <f>HYPERLINK("https://www.philgeps.gov.ph/GEPSNONPILOT/Tender/SplashBidNoticeAbstractUI.aspx?menuIndex=3&amp;refID=7027522&amp;Result=3","7027522")</f>
        <v>0</v>
      </c>
      <c r="B9444" t="s">
        <v>262</v>
      </c>
      <c r="C9444" t="s">
        <v>12189</v>
      </c>
      <c r="D9444" t="s">
        <v>18074</v>
      </c>
      <c r="E9444" t="s">
        <v>26358</v>
      </c>
      <c r="F9444" t="s">
        <v>31574</v>
      </c>
      <c r="G9444" t="s">
        <v>31582</v>
      </c>
      <c r="H9444" t="s">
        <v>31590</v>
      </c>
      <c r="I9444" t="s">
        <v>5717</v>
      </c>
      <c r="J9444" t="s">
        <v>37671</v>
      </c>
      <c r="K9444" t="s">
        <v>41190</v>
      </c>
      <c r="M9444" t="s">
        <v>41748</v>
      </c>
      <c r="N9444" t="s">
        <v>45095</v>
      </c>
      <c r="O9444" t="s">
        <v>45096</v>
      </c>
      <c r="P9444">
        <v>0</v>
      </c>
      <c r="Q9444">
        <v>4</v>
      </c>
      <c r="R9444" t="s">
        <v>45105</v>
      </c>
      <c r="S9444" t="s">
        <v>45353</v>
      </c>
      <c r="T9444" t="s">
        <v>47193</v>
      </c>
      <c r="U9444" t="s">
        <v>55293</v>
      </c>
      <c r="W9444" t="s">
        <v>61745</v>
      </c>
      <c r="X9444" t="s">
        <v>45109</v>
      </c>
    </row>
    <row r="9445" spans="1:24">
      <c r="A9445">
        <f>HYPERLINK("https://www.philgeps.gov.ph/GEPSNONPILOT/Tender/SplashBidNoticeAbstractUI.aspx?menuIndex=3&amp;refID=7027618&amp;Result=3","7027618")</f>
        <v>0</v>
      </c>
      <c r="B9445" t="s">
        <v>262</v>
      </c>
      <c r="C9445" t="s">
        <v>12190</v>
      </c>
      <c r="D9445" t="s">
        <v>18074</v>
      </c>
      <c r="E9445" t="s">
        <v>26359</v>
      </c>
      <c r="F9445" t="s">
        <v>31574</v>
      </c>
      <c r="G9445" t="s">
        <v>31582</v>
      </c>
      <c r="H9445" t="s">
        <v>31590</v>
      </c>
      <c r="I9445" t="s">
        <v>14544</v>
      </c>
      <c r="J9445" t="s">
        <v>37672</v>
      </c>
      <c r="K9445" t="s">
        <v>41190</v>
      </c>
      <c r="M9445" t="s">
        <v>41748</v>
      </c>
      <c r="N9445" t="s">
        <v>45095</v>
      </c>
      <c r="O9445" t="s">
        <v>45096</v>
      </c>
      <c r="P9445">
        <v>0</v>
      </c>
      <c r="Q9445">
        <v>0</v>
      </c>
      <c r="R9445" t="s">
        <v>45105</v>
      </c>
      <c r="S9445" t="s">
        <v>45353</v>
      </c>
      <c r="T9445" t="s">
        <v>47245</v>
      </c>
      <c r="U9445" t="s">
        <v>55294</v>
      </c>
      <c r="W9445" t="s">
        <v>61745</v>
      </c>
      <c r="X9445" t="s">
        <v>45109</v>
      </c>
    </row>
    <row r="9446" spans="1:24">
      <c r="A9446">
        <f>HYPERLINK("https://www.philgeps.gov.ph/GEPSNONPILOT/Tender/SplashBidNoticeAbstractUI.aspx?menuIndex=3&amp;refID=7027498&amp;Result=3","7027498")</f>
        <v>0</v>
      </c>
      <c r="B9446" t="s">
        <v>262</v>
      </c>
      <c r="C9446" t="s">
        <v>12191</v>
      </c>
      <c r="D9446" t="s">
        <v>18074</v>
      </c>
      <c r="E9446" t="s">
        <v>26360</v>
      </c>
      <c r="F9446" t="s">
        <v>31574</v>
      </c>
      <c r="G9446" t="s">
        <v>31582</v>
      </c>
      <c r="H9446" t="s">
        <v>31590</v>
      </c>
      <c r="I9446" t="s">
        <v>3539</v>
      </c>
      <c r="J9446" t="s">
        <v>37673</v>
      </c>
      <c r="K9446" t="s">
        <v>41184</v>
      </c>
      <c r="M9446" t="s">
        <v>41748</v>
      </c>
      <c r="N9446" t="s">
        <v>45095</v>
      </c>
      <c r="O9446" t="s">
        <v>45096</v>
      </c>
      <c r="P9446">
        <v>0</v>
      </c>
      <c r="Q9446">
        <v>0</v>
      </c>
      <c r="R9446" t="s">
        <v>45105</v>
      </c>
      <c r="S9446" t="s">
        <v>45353</v>
      </c>
      <c r="T9446" t="s">
        <v>47193</v>
      </c>
      <c r="U9446" t="s">
        <v>55295</v>
      </c>
      <c r="W9446" t="s">
        <v>61745</v>
      </c>
      <c r="X9446" t="s">
        <v>45109</v>
      </c>
    </row>
    <row r="9447" spans="1:24">
      <c r="A9447">
        <f>HYPERLINK("https://www.philgeps.gov.ph/GEPSNONPILOT/Tender/SplashBidNoticeAbstractUI.aspx?menuIndex=3&amp;refID=7027439&amp;Result=3","7027439")</f>
        <v>0</v>
      </c>
      <c r="B9447" t="s">
        <v>262</v>
      </c>
      <c r="C9447" t="s">
        <v>12192</v>
      </c>
      <c r="D9447" t="s">
        <v>18074</v>
      </c>
      <c r="E9447" t="s">
        <v>26361</v>
      </c>
      <c r="F9447" t="s">
        <v>31574</v>
      </c>
      <c r="G9447" t="s">
        <v>31582</v>
      </c>
      <c r="H9447" t="s">
        <v>31590</v>
      </c>
      <c r="I9447" t="s">
        <v>14544</v>
      </c>
      <c r="J9447" t="s">
        <v>37674</v>
      </c>
      <c r="K9447" t="s">
        <v>41190</v>
      </c>
      <c r="M9447" t="s">
        <v>41748</v>
      </c>
      <c r="N9447" t="s">
        <v>45095</v>
      </c>
      <c r="O9447" t="s">
        <v>45096</v>
      </c>
      <c r="P9447">
        <v>0</v>
      </c>
      <c r="Q9447">
        <v>0</v>
      </c>
      <c r="R9447" t="s">
        <v>45105</v>
      </c>
      <c r="S9447" t="s">
        <v>45353</v>
      </c>
      <c r="T9447" t="s">
        <v>47193</v>
      </c>
      <c r="U9447" t="s">
        <v>55296</v>
      </c>
      <c r="W9447" t="s">
        <v>61745</v>
      </c>
      <c r="X9447" t="s">
        <v>45109</v>
      </c>
    </row>
    <row r="9448" spans="1:24">
      <c r="A9448">
        <f>HYPERLINK("https://www.philgeps.gov.ph/GEPSNONPILOT/Tender/SplashBidNoticeAbstractUI.aspx?menuIndex=3&amp;refID=7027760&amp;Result=3","7027760")</f>
        <v>0</v>
      </c>
      <c r="B9448" t="s">
        <v>983</v>
      </c>
      <c r="C9448" t="s">
        <v>12193</v>
      </c>
      <c r="E9448" t="s">
        <v>26362</v>
      </c>
      <c r="F9448" t="s">
        <v>31574</v>
      </c>
      <c r="G9448" t="s">
        <v>31582</v>
      </c>
      <c r="H9448" t="s">
        <v>31591</v>
      </c>
      <c r="I9448" t="s">
        <v>7162</v>
      </c>
      <c r="J9448" t="s">
        <v>32510</v>
      </c>
      <c r="K9448" t="s">
        <v>41352</v>
      </c>
      <c r="M9448" t="s">
        <v>42517</v>
      </c>
      <c r="N9448" t="s">
        <v>45095</v>
      </c>
      <c r="O9448" t="s">
        <v>45096</v>
      </c>
      <c r="P9448">
        <v>0</v>
      </c>
      <c r="Q9448">
        <v>5</v>
      </c>
      <c r="R9448" t="s">
        <v>45105</v>
      </c>
      <c r="S9448" t="s">
        <v>45353</v>
      </c>
      <c r="T9448" t="s">
        <v>47336</v>
      </c>
      <c r="U9448" t="s">
        <v>55297</v>
      </c>
      <c r="W9448" t="s">
        <v>42517</v>
      </c>
      <c r="X9448" t="s">
        <v>45109</v>
      </c>
    </row>
    <row r="9449" spans="1:24">
      <c r="A9449">
        <f>HYPERLINK("https://www.philgeps.gov.ph/GEPSNONPILOT/Tender/SplashBidNoticeAbstractUI.aspx?menuIndex=3&amp;refID=7027423&amp;Result=3","7027423")</f>
        <v>0</v>
      </c>
      <c r="B9449" t="s">
        <v>262</v>
      </c>
      <c r="C9449" t="s">
        <v>12194</v>
      </c>
      <c r="D9449" t="s">
        <v>18074</v>
      </c>
      <c r="E9449" t="s">
        <v>26363</v>
      </c>
      <c r="F9449" t="s">
        <v>31574</v>
      </c>
      <c r="G9449" t="s">
        <v>31582</v>
      </c>
      <c r="H9449" t="s">
        <v>31590</v>
      </c>
      <c r="I9449" t="s">
        <v>31702</v>
      </c>
      <c r="J9449" t="s">
        <v>34485</v>
      </c>
      <c r="K9449" t="s">
        <v>41190</v>
      </c>
      <c r="M9449" t="s">
        <v>41748</v>
      </c>
      <c r="N9449" t="s">
        <v>45095</v>
      </c>
      <c r="O9449" t="s">
        <v>45096</v>
      </c>
      <c r="P9449">
        <v>0</v>
      </c>
      <c r="Q9449">
        <v>2</v>
      </c>
      <c r="R9449" t="s">
        <v>45105</v>
      </c>
      <c r="S9449" t="s">
        <v>45353</v>
      </c>
      <c r="T9449" t="s">
        <v>47193</v>
      </c>
      <c r="U9449" t="s">
        <v>55298</v>
      </c>
      <c r="W9449" t="s">
        <v>61745</v>
      </c>
      <c r="X9449" t="s">
        <v>45109</v>
      </c>
    </row>
    <row r="9450" spans="1:24">
      <c r="A9450">
        <f>HYPERLINK("https://www.philgeps.gov.ph/GEPSNONPILOT/Tender/SplashBidNoticeAbstractUI.aspx?menuIndex=3&amp;refID=7027478&amp;Result=3","7027478")</f>
        <v>0</v>
      </c>
      <c r="B9450" t="s">
        <v>262</v>
      </c>
      <c r="C9450" t="s">
        <v>12195</v>
      </c>
      <c r="D9450" t="s">
        <v>18074</v>
      </c>
      <c r="E9450" t="s">
        <v>26364</v>
      </c>
      <c r="F9450" t="s">
        <v>31574</v>
      </c>
      <c r="G9450" t="s">
        <v>31582</v>
      </c>
      <c r="H9450" t="s">
        <v>31590</v>
      </c>
      <c r="I9450" t="s">
        <v>31603</v>
      </c>
      <c r="J9450" t="s">
        <v>32355</v>
      </c>
      <c r="K9450" t="s">
        <v>41190</v>
      </c>
      <c r="M9450" t="s">
        <v>41748</v>
      </c>
      <c r="N9450" t="s">
        <v>45095</v>
      </c>
      <c r="O9450" t="s">
        <v>45096</v>
      </c>
      <c r="P9450">
        <v>0</v>
      </c>
      <c r="Q9450">
        <v>3</v>
      </c>
      <c r="R9450" t="s">
        <v>45105</v>
      </c>
      <c r="S9450" t="s">
        <v>45353</v>
      </c>
      <c r="T9450" t="s">
        <v>47193</v>
      </c>
      <c r="U9450" t="s">
        <v>55299</v>
      </c>
      <c r="W9450" t="s">
        <v>61745</v>
      </c>
      <c r="X9450" t="s">
        <v>45109</v>
      </c>
    </row>
    <row r="9451" spans="1:24">
      <c r="A9451">
        <f>HYPERLINK("https://www.philgeps.gov.ph/GEPSNONPILOT/Tender/SplashBidNoticeAbstractUI.aspx?menuIndex=3&amp;refID=7028184&amp;Result=3","7028184")</f>
        <v>0</v>
      </c>
      <c r="B9451" t="s">
        <v>2413</v>
      </c>
      <c r="C9451" t="s">
        <v>12196</v>
      </c>
      <c r="D9451" t="s">
        <v>18052</v>
      </c>
      <c r="E9451" t="s">
        <v>26365</v>
      </c>
      <c r="F9451" t="s">
        <v>31574</v>
      </c>
      <c r="G9451" t="s">
        <v>31582</v>
      </c>
      <c r="H9451" t="s">
        <v>31590</v>
      </c>
      <c r="I9451" t="s">
        <v>4046</v>
      </c>
      <c r="J9451" t="s">
        <v>37675</v>
      </c>
      <c r="K9451" t="s">
        <v>41193</v>
      </c>
      <c r="M9451" t="s">
        <v>44140</v>
      </c>
      <c r="N9451" t="s">
        <v>45095</v>
      </c>
      <c r="O9451" t="s">
        <v>45096</v>
      </c>
      <c r="P9451">
        <v>0</v>
      </c>
      <c r="Q9451">
        <v>0</v>
      </c>
      <c r="R9451" t="s">
        <v>45105</v>
      </c>
      <c r="S9451" t="s">
        <v>45353</v>
      </c>
      <c r="T9451" t="s">
        <v>47235</v>
      </c>
      <c r="U9451" t="s">
        <v>55300</v>
      </c>
      <c r="W9451" t="s">
        <v>44140</v>
      </c>
      <c r="X9451" t="s">
        <v>45109</v>
      </c>
    </row>
    <row r="9452" spans="1:24">
      <c r="A9452">
        <f>HYPERLINK("https://www.philgeps.gov.ph/GEPSNONPILOT/Tender/SplashBidNoticeAbstractUI.aspx?menuIndex=3&amp;refID=7027876&amp;Result=3","7027876")</f>
        <v>0</v>
      </c>
      <c r="B9452" t="s">
        <v>1488</v>
      </c>
      <c r="C9452" t="s">
        <v>12197</v>
      </c>
      <c r="D9452" t="s">
        <v>18088</v>
      </c>
      <c r="E9452" t="s">
        <v>26366</v>
      </c>
      <c r="F9452" t="s">
        <v>31574</v>
      </c>
      <c r="G9452" t="s">
        <v>31582</v>
      </c>
      <c r="H9452" t="s">
        <v>31591</v>
      </c>
      <c r="I9452" t="s">
        <v>8822</v>
      </c>
      <c r="J9452" t="s">
        <v>37676</v>
      </c>
      <c r="K9452" t="s">
        <v>41184</v>
      </c>
      <c r="M9452" t="s">
        <v>43073</v>
      </c>
      <c r="N9452" t="s">
        <v>45095</v>
      </c>
      <c r="O9452" t="s">
        <v>45096</v>
      </c>
      <c r="P9452">
        <v>0</v>
      </c>
      <c r="Q9452">
        <v>0</v>
      </c>
      <c r="R9452" t="s">
        <v>45105</v>
      </c>
      <c r="S9452" t="s">
        <v>45353</v>
      </c>
      <c r="T9452" t="s">
        <v>47000</v>
      </c>
      <c r="U9452" t="s">
        <v>55301</v>
      </c>
      <c r="V9452" t="s">
        <v>60825</v>
      </c>
      <c r="W9452" t="s">
        <v>43073</v>
      </c>
      <c r="X9452" t="s">
        <v>45109</v>
      </c>
    </row>
    <row r="9453" spans="1:24">
      <c r="A9453">
        <f>HYPERLINK("https://www.philgeps.gov.ph/GEPSNONPILOT/Tender/SplashBidNoticeAbstractUI.aspx?menuIndex=3&amp;refID=7028238&amp;Result=3","7028238")</f>
        <v>0</v>
      </c>
      <c r="B9453" t="s">
        <v>2547</v>
      </c>
      <c r="C9453" t="s">
        <v>12198</v>
      </c>
      <c r="D9453" t="s">
        <v>18043</v>
      </c>
      <c r="E9453" t="s">
        <v>26367</v>
      </c>
      <c r="F9453" t="s">
        <v>31574</v>
      </c>
      <c r="G9453" t="s">
        <v>31582</v>
      </c>
      <c r="H9453" t="s">
        <v>31591</v>
      </c>
      <c r="I9453" t="s">
        <v>8822</v>
      </c>
      <c r="J9453" t="s">
        <v>37677</v>
      </c>
      <c r="K9453" t="s">
        <v>41189</v>
      </c>
      <c r="M9453" t="s">
        <v>44284</v>
      </c>
      <c r="N9453" t="s">
        <v>45095</v>
      </c>
      <c r="O9453" t="s">
        <v>45096</v>
      </c>
      <c r="P9453">
        <v>0</v>
      </c>
      <c r="Q9453">
        <v>0</v>
      </c>
      <c r="R9453" t="s">
        <v>45105</v>
      </c>
      <c r="S9453" t="s">
        <v>45353</v>
      </c>
      <c r="T9453" t="s">
        <v>46988</v>
      </c>
      <c r="U9453" t="s">
        <v>55302</v>
      </c>
      <c r="V9453" t="s">
        <v>60826</v>
      </c>
      <c r="W9453" t="s">
        <v>44284</v>
      </c>
      <c r="X9453" t="s">
        <v>45109</v>
      </c>
    </row>
    <row r="9454" spans="1:24">
      <c r="A9454">
        <f>HYPERLINK("https://www.philgeps.gov.ph/GEPSNONPILOT/Tender/SplashBidNoticeAbstractUI.aspx?menuIndex=3&amp;refID=7028246&amp;Result=3","7028246")</f>
        <v>0</v>
      </c>
      <c r="B9454" t="s">
        <v>431</v>
      </c>
      <c r="C9454" t="s">
        <v>12199</v>
      </c>
      <c r="D9454" t="s">
        <v>18034</v>
      </c>
      <c r="E9454" t="s">
        <v>26368</v>
      </c>
      <c r="F9454" t="s">
        <v>31574</v>
      </c>
      <c r="G9454" t="s">
        <v>31582</v>
      </c>
      <c r="H9454" t="s">
        <v>31591</v>
      </c>
      <c r="I9454" t="s">
        <v>8822</v>
      </c>
      <c r="J9454" t="s">
        <v>37678</v>
      </c>
      <c r="K9454" t="s">
        <v>41389</v>
      </c>
      <c r="M9454" t="s">
        <v>41924</v>
      </c>
      <c r="N9454" t="s">
        <v>45095</v>
      </c>
      <c r="O9454" t="s">
        <v>45096</v>
      </c>
      <c r="P9454">
        <v>0</v>
      </c>
      <c r="Q9454">
        <v>0</v>
      </c>
      <c r="R9454" t="s">
        <v>45105</v>
      </c>
      <c r="S9454" t="s">
        <v>45353</v>
      </c>
      <c r="T9454" t="s">
        <v>46943</v>
      </c>
      <c r="U9454" t="s">
        <v>48327</v>
      </c>
      <c r="V9454" t="s">
        <v>60827</v>
      </c>
      <c r="W9454" t="s">
        <v>41924</v>
      </c>
      <c r="X9454" t="s">
        <v>45109</v>
      </c>
    </row>
    <row r="9455" spans="1:24">
      <c r="A9455">
        <f>HYPERLINK("https://www.philgeps.gov.ph/GEPSNONPILOT/Tender/SplashBidNoticeAbstractUI.aspx?menuIndex=3&amp;refID=7028194&amp;Result=3","7028194")</f>
        <v>0</v>
      </c>
      <c r="B9455" t="s">
        <v>2583</v>
      </c>
      <c r="C9455" t="s">
        <v>12200</v>
      </c>
      <c r="D9455" t="s">
        <v>18033</v>
      </c>
      <c r="E9455" t="s">
        <v>26369</v>
      </c>
      <c r="F9455" t="s">
        <v>31574</v>
      </c>
      <c r="G9455" t="s">
        <v>31582</v>
      </c>
      <c r="H9455" t="s">
        <v>31591</v>
      </c>
      <c r="I9455" t="s">
        <v>8822</v>
      </c>
      <c r="J9455" t="s">
        <v>37679</v>
      </c>
      <c r="K9455" t="s">
        <v>41192</v>
      </c>
      <c r="M9455" t="s">
        <v>44325</v>
      </c>
      <c r="N9455" t="s">
        <v>45095</v>
      </c>
      <c r="O9455" t="s">
        <v>45096</v>
      </c>
      <c r="P9455">
        <v>0</v>
      </c>
      <c r="Q9455">
        <v>0</v>
      </c>
      <c r="R9455" t="s">
        <v>45105</v>
      </c>
      <c r="S9455" t="s">
        <v>45353</v>
      </c>
      <c r="T9455" t="s">
        <v>47183</v>
      </c>
      <c r="U9455" t="s">
        <v>55303</v>
      </c>
      <c r="W9455" t="s">
        <v>44325</v>
      </c>
      <c r="X9455" t="s">
        <v>45109</v>
      </c>
    </row>
    <row r="9456" spans="1:24">
      <c r="A9456">
        <f>HYPERLINK("https://www.philgeps.gov.ph/GEPSNONPILOT/Tender/SplashBidNoticeAbstractUI.aspx?menuIndex=3&amp;refID=7027594&amp;Result=3","7027594")</f>
        <v>0</v>
      </c>
      <c r="B9456" t="s">
        <v>262</v>
      </c>
      <c r="C9456" t="s">
        <v>12201</v>
      </c>
      <c r="D9456" t="s">
        <v>18074</v>
      </c>
      <c r="E9456" t="s">
        <v>26370</v>
      </c>
      <c r="F9456" t="s">
        <v>31574</v>
      </c>
      <c r="G9456" t="s">
        <v>31582</v>
      </c>
      <c r="H9456" t="s">
        <v>31590</v>
      </c>
      <c r="I9456" t="s">
        <v>3539</v>
      </c>
      <c r="J9456" t="s">
        <v>37680</v>
      </c>
      <c r="K9456" t="s">
        <v>41184</v>
      </c>
      <c r="M9456" t="s">
        <v>41748</v>
      </c>
      <c r="N9456" t="s">
        <v>45095</v>
      </c>
      <c r="O9456" t="s">
        <v>45096</v>
      </c>
      <c r="P9456">
        <v>0</v>
      </c>
      <c r="Q9456">
        <v>0</v>
      </c>
      <c r="R9456" t="s">
        <v>45105</v>
      </c>
      <c r="S9456" t="s">
        <v>45353</v>
      </c>
      <c r="T9456" t="s">
        <v>47245</v>
      </c>
      <c r="U9456" t="s">
        <v>55304</v>
      </c>
      <c r="W9456" t="s">
        <v>61745</v>
      </c>
      <c r="X9456" t="s">
        <v>45109</v>
      </c>
    </row>
    <row r="9457" spans="1:24">
      <c r="A9457">
        <f>HYPERLINK("https://www.philgeps.gov.ph/GEPSNONPILOT/Tender/SplashBidNoticeAbstractUI.aspx?menuIndex=3&amp;refID=7028125&amp;Result=3","7028125")</f>
        <v>0</v>
      </c>
      <c r="B9457" t="s">
        <v>2583</v>
      </c>
      <c r="C9457" t="s">
        <v>12202</v>
      </c>
      <c r="D9457" t="s">
        <v>18033</v>
      </c>
      <c r="E9457" t="s">
        <v>26371</v>
      </c>
      <c r="F9457" t="s">
        <v>31574</v>
      </c>
      <c r="G9457" t="s">
        <v>31582</v>
      </c>
      <c r="H9457" t="s">
        <v>31590</v>
      </c>
      <c r="I9457" t="s">
        <v>31599</v>
      </c>
      <c r="J9457" t="s">
        <v>37681</v>
      </c>
      <c r="K9457" t="s">
        <v>41190</v>
      </c>
      <c r="M9457" t="s">
        <v>44325</v>
      </c>
      <c r="N9457" t="s">
        <v>45095</v>
      </c>
      <c r="O9457" t="s">
        <v>45096</v>
      </c>
      <c r="P9457">
        <v>0</v>
      </c>
      <c r="Q9457">
        <v>1</v>
      </c>
      <c r="R9457" t="s">
        <v>45105</v>
      </c>
      <c r="S9457" t="s">
        <v>45353</v>
      </c>
      <c r="T9457" t="s">
        <v>47183</v>
      </c>
      <c r="U9457" t="s">
        <v>55305</v>
      </c>
      <c r="W9457" t="s">
        <v>44325</v>
      </c>
      <c r="X9457" t="s">
        <v>45109</v>
      </c>
    </row>
    <row r="9458" spans="1:24">
      <c r="A9458">
        <f>HYPERLINK("https://www.philgeps.gov.ph/GEPSNONPILOT/Tender/SplashBidNoticeAbstractUI.aspx?menuIndex=3&amp;refID=7027680&amp;Result=3","7027680")</f>
        <v>0</v>
      </c>
      <c r="B9458" t="s">
        <v>1488</v>
      </c>
      <c r="C9458" t="s">
        <v>12203</v>
      </c>
      <c r="D9458" t="s">
        <v>18088</v>
      </c>
      <c r="E9458" t="s">
        <v>26366</v>
      </c>
      <c r="F9458" t="s">
        <v>31574</v>
      </c>
      <c r="G9458" t="s">
        <v>31582</v>
      </c>
      <c r="H9458" t="s">
        <v>31591</v>
      </c>
      <c r="I9458" t="s">
        <v>8822</v>
      </c>
      <c r="J9458" t="s">
        <v>37682</v>
      </c>
      <c r="K9458" t="s">
        <v>41184</v>
      </c>
      <c r="M9458" t="s">
        <v>43073</v>
      </c>
      <c r="N9458" t="s">
        <v>45095</v>
      </c>
      <c r="O9458" t="s">
        <v>45096</v>
      </c>
      <c r="P9458">
        <v>0</v>
      </c>
      <c r="Q9458">
        <v>0</v>
      </c>
      <c r="R9458" t="s">
        <v>45105</v>
      </c>
      <c r="S9458" t="s">
        <v>45353</v>
      </c>
      <c r="T9458" t="s">
        <v>47000</v>
      </c>
      <c r="U9458" t="s">
        <v>55306</v>
      </c>
      <c r="V9458" t="s">
        <v>60825</v>
      </c>
      <c r="W9458" t="s">
        <v>43073</v>
      </c>
      <c r="X9458" t="s">
        <v>45109</v>
      </c>
    </row>
    <row r="9459" spans="1:24">
      <c r="A9459">
        <f>HYPERLINK("https://www.philgeps.gov.ph/GEPSNONPILOT/Tender/SplashBidNoticeAbstractUI.aspx?menuIndex=3&amp;refID=7028091&amp;Result=3","7028091")</f>
        <v>0</v>
      </c>
      <c r="B9459" t="s">
        <v>2583</v>
      </c>
      <c r="C9459" t="s">
        <v>12204</v>
      </c>
      <c r="D9459" t="s">
        <v>18033</v>
      </c>
      <c r="E9459" t="s">
        <v>26372</v>
      </c>
      <c r="F9459" t="s">
        <v>31574</v>
      </c>
      <c r="G9459" t="s">
        <v>31582</v>
      </c>
      <c r="H9459" t="s">
        <v>31590</v>
      </c>
      <c r="I9459" t="s">
        <v>31629</v>
      </c>
      <c r="J9459" t="s">
        <v>37683</v>
      </c>
      <c r="K9459" t="s">
        <v>41190</v>
      </c>
      <c r="M9459" t="s">
        <v>44325</v>
      </c>
      <c r="N9459" t="s">
        <v>45095</v>
      </c>
      <c r="O9459" t="s">
        <v>45096</v>
      </c>
      <c r="P9459">
        <v>0</v>
      </c>
      <c r="Q9459">
        <v>0</v>
      </c>
      <c r="R9459" t="s">
        <v>45105</v>
      </c>
      <c r="S9459" t="s">
        <v>45353</v>
      </c>
      <c r="T9459" t="s">
        <v>47183</v>
      </c>
      <c r="U9459" t="s">
        <v>55307</v>
      </c>
      <c r="W9459" t="s">
        <v>44325</v>
      </c>
      <c r="X9459" t="s">
        <v>45109</v>
      </c>
    </row>
    <row r="9460" spans="1:24">
      <c r="A9460">
        <f>HYPERLINK("https://www.philgeps.gov.ph/GEPSNONPILOT/Tender/SplashBidNoticeAbstractUI.aspx?menuIndex=3&amp;refID=7028267&amp;Result=3","7028267")</f>
        <v>0</v>
      </c>
      <c r="B9460" t="s">
        <v>2413</v>
      </c>
      <c r="C9460" t="s">
        <v>12205</v>
      </c>
      <c r="D9460" t="s">
        <v>18052</v>
      </c>
      <c r="E9460" t="s">
        <v>26373</v>
      </c>
      <c r="F9460" t="s">
        <v>31574</v>
      </c>
      <c r="G9460" t="s">
        <v>31581</v>
      </c>
      <c r="H9460" t="s">
        <v>31590</v>
      </c>
      <c r="I9460" t="s">
        <v>3651</v>
      </c>
      <c r="J9460" t="s">
        <v>37684</v>
      </c>
      <c r="K9460" t="s">
        <v>41193</v>
      </c>
      <c r="M9460" t="s">
        <v>44140</v>
      </c>
      <c r="N9460" t="s">
        <v>45095</v>
      </c>
      <c r="O9460" t="s">
        <v>45096</v>
      </c>
      <c r="P9460">
        <v>0</v>
      </c>
      <c r="Q9460">
        <v>0</v>
      </c>
      <c r="R9460" t="s">
        <v>45105</v>
      </c>
      <c r="S9460" t="s">
        <v>45353</v>
      </c>
      <c r="T9460" t="s">
        <v>47168</v>
      </c>
      <c r="U9460" t="s">
        <v>55308</v>
      </c>
      <c r="W9460" t="s">
        <v>44140</v>
      </c>
      <c r="X9460" t="s">
        <v>45109</v>
      </c>
    </row>
    <row r="9461" spans="1:24">
      <c r="A9461">
        <f>HYPERLINK("https://www.philgeps.gov.ph/GEPSNONPILOT/Tender/SplashBidNoticeAbstractUI.aspx?menuIndex=3&amp;refID=7027590&amp;Result=3","7027590")</f>
        <v>0</v>
      </c>
      <c r="B9461" t="s">
        <v>1488</v>
      </c>
      <c r="C9461" t="s">
        <v>12206</v>
      </c>
      <c r="D9461" t="s">
        <v>18088</v>
      </c>
      <c r="E9461" t="s">
        <v>26366</v>
      </c>
      <c r="F9461" t="s">
        <v>31574</v>
      </c>
      <c r="G9461" t="s">
        <v>31582</v>
      </c>
      <c r="H9461" t="s">
        <v>31591</v>
      </c>
      <c r="I9461" t="s">
        <v>8822</v>
      </c>
      <c r="J9461" t="s">
        <v>37676</v>
      </c>
      <c r="K9461" t="s">
        <v>41184</v>
      </c>
      <c r="M9461" t="s">
        <v>43073</v>
      </c>
      <c r="N9461" t="s">
        <v>45095</v>
      </c>
      <c r="O9461" t="s">
        <v>45096</v>
      </c>
      <c r="P9461">
        <v>0</v>
      </c>
      <c r="Q9461">
        <v>0</v>
      </c>
      <c r="R9461" t="s">
        <v>45105</v>
      </c>
      <c r="S9461" t="s">
        <v>45353</v>
      </c>
      <c r="T9461" t="s">
        <v>47000</v>
      </c>
      <c r="U9461" t="s">
        <v>55309</v>
      </c>
      <c r="V9461" t="s">
        <v>60825</v>
      </c>
      <c r="W9461" t="s">
        <v>43073</v>
      </c>
      <c r="X9461" t="s">
        <v>45109</v>
      </c>
    </row>
    <row r="9462" spans="1:24">
      <c r="A9462">
        <f>HYPERLINK("https://www.philgeps.gov.ph/GEPSNONPILOT/Tender/SplashBidNoticeAbstractUI.aspx?menuIndex=3&amp;refID=7028601&amp;Result=3","7028601")</f>
        <v>0</v>
      </c>
      <c r="B9462" t="s">
        <v>1005</v>
      </c>
      <c r="C9462" t="s">
        <v>12207</v>
      </c>
      <c r="D9462" t="s">
        <v>18092</v>
      </c>
      <c r="E9462" t="s">
        <v>26374</v>
      </c>
      <c r="F9462" t="s">
        <v>31574</v>
      </c>
      <c r="G9462" t="s">
        <v>31582</v>
      </c>
      <c r="H9462" t="s">
        <v>31591</v>
      </c>
      <c r="I9462" t="s">
        <v>8822</v>
      </c>
      <c r="J9462" t="s">
        <v>35362</v>
      </c>
      <c r="K9462" t="s">
        <v>41390</v>
      </c>
      <c r="M9462" t="s">
        <v>44331</v>
      </c>
      <c r="N9462" t="s">
        <v>45095</v>
      </c>
      <c r="O9462" t="s">
        <v>45096</v>
      </c>
      <c r="P9462">
        <v>0</v>
      </c>
      <c r="Q9462">
        <v>1</v>
      </c>
      <c r="R9462" t="s">
        <v>45105</v>
      </c>
      <c r="S9462" t="s">
        <v>45353</v>
      </c>
      <c r="T9462" t="s">
        <v>46988</v>
      </c>
      <c r="U9462" t="s">
        <v>55310</v>
      </c>
      <c r="W9462" t="s">
        <v>44331</v>
      </c>
      <c r="X9462" t="s">
        <v>45109</v>
      </c>
    </row>
    <row r="9463" spans="1:24">
      <c r="A9463">
        <f>HYPERLINK("https://www.philgeps.gov.ph/GEPSNONPILOT/Tender/SplashBidNoticeAbstractUI.aspx?menuIndex=3&amp;refID=7027920&amp;Result=3","7027920")</f>
        <v>0</v>
      </c>
      <c r="B9463" t="s">
        <v>1488</v>
      </c>
      <c r="C9463" t="s">
        <v>12208</v>
      </c>
      <c r="D9463" t="s">
        <v>18088</v>
      </c>
      <c r="E9463" t="s">
        <v>26366</v>
      </c>
      <c r="F9463" t="s">
        <v>31574</v>
      </c>
      <c r="G9463" t="s">
        <v>31582</v>
      </c>
      <c r="H9463" t="s">
        <v>31591</v>
      </c>
      <c r="I9463" t="s">
        <v>8822</v>
      </c>
      <c r="J9463" t="s">
        <v>37685</v>
      </c>
      <c r="K9463" t="s">
        <v>41184</v>
      </c>
      <c r="M9463" t="s">
        <v>43073</v>
      </c>
      <c r="N9463" t="s">
        <v>45095</v>
      </c>
      <c r="O9463" t="s">
        <v>45096</v>
      </c>
      <c r="P9463">
        <v>0</v>
      </c>
      <c r="Q9463">
        <v>0</v>
      </c>
      <c r="R9463" t="s">
        <v>45105</v>
      </c>
      <c r="S9463" t="s">
        <v>45353</v>
      </c>
      <c r="T9463" t="s">
        <v>47000</v>
      </c>
      <c r="U9463" t="s">
        <v>55311</v>
      </c>
      <c r="V9463" t="s">
        <v>60825</v>
      </c>
      <c r="W9463" t="s">
        <v>43073</v>
      </c>
      <c r="X9463" t="s">
        <v>45109</v>
      </c>
    </row>
    <row r="9464" spans="1:24">
      <c r="A9464">
        <f>HYPERLINK("https://www.philgeps.gov.ph/GEPSNONPILOT/Tender/SplashBidNoticeAbstractUI.aspx?menuIndex=3&amp;refID=7028703&amp;Result=3","7028703")</f>
        <v>0</v>
      </c>
      <c r="B9464" t="s">
        <v>1005</v>
      </c>
      <c r="C9464" t="s">
        <v>12209</v>
      </c>
      <c r="D9464" t="s">
        <v>18092</v>
      </c>
      <c r="E9464" t="s">
        <v>26375</v>
      </c>
      <c r="F9464" t="s">
        <v>31574</v>
      </c>
      <c r="G9464" t="s">
        <v>31582</v>
      </c>
      <c r="H9464" t="s">
        <v>31591</v>
      </c>
      <c r="I9464" t="s">
        <v>8822</v>
      </c>
      <c r="J9464" t="s">
        <v>37686</v>
      </c>
      <c r="K9464" t="s">
        <v>41324</v>
      </c>
      <c r="M9464" t="s">
        <v>44331</v>
      </c>
      <c r="N9464" t="s">
        <v>45095</v>
      </c>
      <c r="O9464" t="s">
        <v>45096</v>
      </c>
      <c r="P9464">
        <v>0</v>
      </c>
      <c r="Q9464">
        <v>1</v>
      </c>
      <c r="R9464" t="s">
        <v>45105</v>
      </c>
      <c r="S9464" t="s">
        <v>45353</v>
      </c>
      <c r="T9464" t="s">
        <v>46988</v>
      </c>
      <c r="U9464" t="s">
        <v>55310</v>
      </c>
      <c r="W9464" t="s">
        <v>44331</v>
      </c>
      <c r="X9464" t="s">
        <v>45109</v>
      </c>
    </row>
    <row r="9465" spans="1:24">
      <c r="A9465">
        <f>HYPERLINK("https://www.philgeps.gov.ph/GEPSNONPILOT/Tender/SplashBidNoticeAbstractUI.aspx?menuIndex=3&amp;refID=7028383&amp;Result=3","7028383")</f>
        <v>0</v>
      </c>
      <c r="B9465" t="s">
        <v>2589</v>
      </c>
      <c r="C9465" t="s">
        <v>12210</v>
      </c>
      <c r="D9465" t="s">
        <v>18065</v>
      </c>
      <c r="E9465" t="s">
        <v>26376</v>
      </c>
      <c r="F9465" t="s">
        <v>31574</v>
      </c>
      <c r="G9465" t="s">
        <v>31582</v>
      </c>
      <c r="H9465" t="s">
        <v>31590</v>
      </c>
      <c r="I9465" t="s">
        <v>31638</v>
      </c>
      <c r="J9465" t="s">
        <v>37687</v>
      </c>
      <c r="K9465" t="s">
        <v>41186</v>
      </c>
      <c r="M9465" t="s">
        <v>44332</v>
      </c>
      <c r="N9465" t="s">
        <v>45095</v>
      </c>
      <c r="O9465" t="s">
        <v>45096</v>
      </c>
      <c r="P9465">
        <v>0</v>
      </c>
      <c r="Q9465">
        <v>0</v>
      </c>
      <c r="R9465" t="s">
        <v>45105</v>
      </c>
      <c r="S9465" t="s">
        <v>45353</v>
      </c>
      <c r="T9465" t="s">
        <v>46988</v>
      </c>
      <c r="U9465" t="s">
        <v>55312</v>
      </c>
      <c r="V9465" t="s">
        <v>60828</v>
      </c>
      <c r="W9465" t="s">
        <v>44332</v>
      </c>
      <c r="X9465" t="s">
        <v>45109</v>
      </c>
    </row>
    <row r="9466" spans="1:24">
      <c r="A9466">
        <f>HYPERLINK("https://www.philgeps.gov.ph/GEPSNONPILOT/Tender/SplashBidNoticeAbstractUI.aspx?menuIndex=3&amp;refID=7028374&amp;Result=3","7028374")</f>
        <v>0</v>
      </c>
      <c r="B9466" t="s">
        <v>2583</v>
      </c>
      <c r="C9466" t="s">
        <v>12211</v>
      </c>
      <c r="D9466" t="s">
        <v>18033</v>
      </c>
      <c r="E9466" t="s">
        <v>26377</v>
      </c>
      <c r="F9466" t="s">
        <v>31574</v>
      </c>
      <c r="G9466" t="s">
        <v>31582</v>
      </c>
      <c r="H9466" t="s">
        <v>31591</v>
      </c>
      <c r="I9466" t="s">
        <v>8822</v>
      </c>
      <c r="J9466" t="s">
        <v>37679</v>
      </c>
      <c r="K9466" t="s">
        <v>41192</v>
      </c>
      <c r="M9466" t="s">
        <v>44325</v>
      </c>
      <c r="N9466" t="s">
        <v>45095</v>
      </c>
      <c r="O9466" t="s">
        <v>45096</v>
      </c>
      <c r="P9466">
        <v>0</v>
      </c>
      <c r="Q9466">
        <v>0</v>
      </c>
      <c r="R9466" t="s">
        <v>45105</v>
      </c>
      <c r="S9466" t="s">
        <v>45353</v>
      </c>
      <c r="T9466" t="s">
        <v>47183</v>
      </c>
      <c r="U9466" t="s">
        <v>55303</v>
      </c>
      <c r="W9466" t="s">
        <v>44325</v>
      </c>
      <c r="X9466" t="s">
        <v>45109</v>
      </c>
    </row>
    <row r="9467" spans="1:24">
      <c r="A9467">
        <f>HYPERLINK("https://www.philgeps.gov.ph/GEPSNONPILOT/Tender/SplashBidNoticeAbstractUI.aspx?menuIndex=3&amp;refID=7028390&amp;Result=3","7028390")</f>
        <v>0</v>
      </c>
      <c r="B9467" t="s">
        <v>2547</v>
      </c>
      <c r="C9467" t="s">
        <v>12212</v>
      </c>
      <c r="D9467" t="s">
        <v>18043</v>
      </c>
      <c r="E9467" t="s">
        <v>26378</v>
      </c>
      <c r="F9467" t="s">
        <v>31574</v>
      </c>
      <c r="G9467" t="s">
        <v>31582</v>
      </c>
      <c r="H9467" t="s">
        <v>31591</v>
      </c>
      <c r="I9467" t="s">
        <v>8822</v>
      </c>
      <c r="J9467" t="s">
        <v>37688</v>
      </c>
      <c r="K9467" t="s">
        <v>41189</v>
      </c>
      <c r="M9467" t="s">
        <v>44284</v>
      </c>
      <c r="N9467" t="s">
        <v>45095</v>
      </c>
      <c r="O9467" t="s">
        <v>45096</v>
      </c>
      <c r="P9467">
        <v>0</v>
      </c>
      <c r="Q9467">
        <v>0</v>
      </c>
      <c r="R9467" t="s">
        <v>45105</v>
      </c>
      <c r="S9467" t="s">
        <v>45353</v>
      </c>
      <c r="T9467" t="s">
        <v>46988</v>
      </c>
      <c r="U9467" t="s">
        <v>55313</v>
      </c>
      <c r="V9467" t="s">
        <v>60829</v>
      </c>
      <c r="W9467" t="s">
        <v>44284</v>
      </c>
      <c r="X9467" t="s">
        <v>45109</v>
      </c>
    </row>
    <row r="9468" spans="1:24">
      <c r="A9468">
        <f>HYPERLINK("https://www.philgeps.gov.ph/GEPSNONPILOT/Tender/SplashBidNoticeAbstractUI.aspx?menuIndex=3&amp;refID=7028608&amp;Result=3","7028608")</f>
        <v>0</v>
      </c>
      <c r="B9468" t="s">
        <v>1833</v>
      </c>
      <c r="C9468" t="s">
        <v>12213</v>
      </c>
      <c r="D9468" t="s">
        <v>18036</v>
      </c>
      <c r="E9468" t="s">
        <v>26379</v>
      </c>
      <c r="F9468" t="s">
        <v>31574</v>
      </c>
      <c r="G9468" t="s">
        <v>31582</v>
      </c>
      <c r="H9468" t="s">
        <v>31590</v>
      </c>
      <c r="I9468" t="s">
        <v>31602</v>
      </c>
      <c r="J9468" t="s">
        <v>32085</v>
      </c>
      <c r="K9468" t="s">
        <v>41186</v>
      </c>
      <c r="M9468" t="s">
        <v>43469</v>
      </c>
      <c r="N9468" t="s">
        <v>45095</v>
      </c>
      <c r="O9468" t="s">
        <v>45096</v>
      </c>
      <c r="P9468">
        <v>0</v>
      </c>
      <c r="Q9468">
        <v>0</v>
      </c>
      <c r="R9468" t="s">
        <v>45105</v>
      </c>
      <c r="S9468" t="s">
        <v>45353</v>
      </c>
      <c r="T9468" t="s">
        <v>47198</v>
      </c>
      <c r="U9468" t="s">
        <v>55314</v>
      </c>
      <c r="V9468" t="s">
        <v>60830</v>
      </c>
      <c r="W9468" t="s">
        <v>43469</v>
      </c>
      <c r="X9468" t="s">
        <v>45109</v>
      </c>
    </row>
    <row r="9469" spans="1:24">
      <c r="A9469">
        <f>HYPERLINK("https://www.philgeps.gov.ph/GEPSNONPILOT/Tender/SplashBidNoticeAbstractUI.aspx?menuIndex=3&amp;refID=7028309&amp;Result=3","7028309")</f>
        <v>0</v>
      </c>
      <c r="B9469" t="s">
        <v>2547</v>
      </c>
      <c r="C9469" t="s">
        <v>12214</v>
      </c>
      <c r="D9469" t="s">
        <v>18043</v>
      </c>
      <c r="E9469" t="s">
        <v>26380</v>
      </c>
      <c r="F9469" t="s">
        <v>31574</v>
      </c>
      <c r="G9469" t="s">
        <v>31582</v>
      </c>
      <c r="H9469" t="s">
        <v>31591</v>
      </c>
      <c r="I9469" t="s">
        <v>8822</v>
      </c>
      <c r="J9469" t="s">
        <v>37688</v>
      </c>
      <c r="K9469" t="s">
        <v>41189</v>
      </c>
      <c r="M9469" t="s">
        <v>44284</v>
      </c>
      <c r="N9469" t="s">
        <v>45095</v>
      </c>
      <c r="O9469" t="s">
        <v>45096</v>
      </c>
      <c r="P9469">
        <v>0</v>
      </c>
      <c r="Q9469">
        <v>0</v>
      </c>
      <c r="R9469" t="s">
        <v>45105</v>
      </c>
      <c r="S9469" t="s">
        <v>45353</v>
      </c>
      <c r="T9469" t="s">
        <v>46988</v>
      </c>
      <c r="U9469" t="s">
        <v>55315</v>
      </c>
      <c r="V9469" t="s">
        <v>60826</v>
      </c>
      <c r="W9469" t="s">
        <v>44284</v>
      </c>
      <c r="X9469" t="s">
        <v>45109</v>
      </c>
    </row>
    <row r="9470" spans="1:24">
      <c r="A9470">
        <f>HYPERLINK("https://www.philgeps.gov.ph/GEPSNONPILOT/Tender/SplashBidNoticeAbstractUI.aspx?menuIndex=3&amp;refID=7028426&amp;Result=3","7028426")</f>
        <v>0</v>
      </c>
      <c r="B9470" t="s">
        <v>2547</v>
      </c>
      <c r="C9470" t="s">
        <v>12215</v>
      </c>
      <c r="D9470" t="s">
        <v>18043</v>
      </c>
      <c r="E9470" t="s">
        <v>26381</v>
      </c>
      <c r="F9470" t="s">
        <v>31574</v>
      </c>
      <c r="G9470" t="s">
        <v>31582</v>
      </c>
      <c r="H9470" t="s">
        <v>31591</v>
      </c>
      <c r="I9470" t="s">
        <v>8822</v>
      </c>
      <c r="J9470" t="s">
        <v>37689</v>
      </c>
      <c r="K9470" t="s">
        <v>41189</v>
      </c>
      <c r="M9470" t="s">
        <v>44284</v>
      </c>
      <c r="N9470" t="s">
        <v>45095</v>
      </c>
      <c r="O9470" t="s">
        <v>45096</v>
      </c>
      <c r="P9470">
        <v>0</v>
      </c>
      <c r="Q9470">
        <v>0</v>
      </c>
      <c r="R9470" t="s">
        <v>45105</v>
      </c>
      <c r="S9470" t="s">
        <v>45353</v>
      </c>
      <c r="T9470" t="s">
        <v>46988</v>
      </c>
      <c r="U9470" t="s">
        <v>55316</v>
      </c>
      <c r="V9470" t="s">
        <v>60826</v>
      </c>
      <c r="W9470" t="s">
        <v>44284</v>
      </c>
      <c r="X9470" t="s">
        <v>45109</v>
      </c>
    </row>
    <row r="9471" spans="1:24">
      <c r="A9471">
        <f>HYPERLINK("https://www.philgeps.gov.ph/GEPSNONPILOT/Tender/SplashBidNoticeAbstractUI.aspx?menuIndex=3&amp;refID=7028694&amp;Result=3","7028694")</f>
        <v>0</v>
      </c>
      <c r="B9471" t="s">
        <v>2590</v>
      </c>
      <c r="C9471" t="s">
        <v>12216</v>
      </c>
      <c r="D9471" t="s">
        <v>18054</v>
      </c>
      <c r="E9471" t="s">
        <v>26382</v>
      </c>
      <c r="F9471" t="s">
        <v>31574</v>
      </c>
      <c r="G9471" t="s">
        <v>31582</v>
      </c>
      <c r="H9471" t="s">
        <v>31590</v>
      </c>
      <c r="I9471" t="s">
        <v>31605</v>
      </c>
      <c r="J9471" t="s">
        <v>37690</v>
      </c>
      <c r="K9471" t="s">
        <v>41192</v>
      </c>
      <c r="M9471" t="s">
        <v>44333</v>
      </c>
      <c r="N9471" t="s">
        <v>45095</v>
      </c>
      <c r="O9471" t="s">
        <v>45096</v>
      </c>
      <c r="P9471">
        <v>0</v>
      </c>
      <c r="Q9471">
        <v>4</v>
      </c>
      <c r="R9471" t="s">
        <v>45105</v>
      </c>
      <c r="S9471" t="s">
        <v>45353</v>
      </c>
      <c r="T9471" t="s">
        <v>47363</v>
      </c>
      <c r="U9471" t="s">
        <v>55317</v>
      </c>
      <c r="V9471" t="s">
        <v>60831</v>
      </c>
      <c r="W9471" t="s">
        <v>44333</v>
      </c>
      <c r="X9471" t="s">
        <v>45109</v>
      </c>
    </row>
    <row r="9472" spans="1:24">
      <c r="A9472">
        <f>HYPERLINK("https://www.philgeps.gov.ph/GEPSNONPILOT/Tender/SplashBidNoticeAbstractUI.aspx?menuIndex=3&amp;refID=7028991&amp;Result=3","7028991")</f>
        <v>0</v>
      </c>
      <c r="B9472" t="s">
        <v>2591</v>
      </c>
      <c r="C9472" t="s">
        <v>12217</v>
      </c>
      <c r="D9472" t="s">
        <v>18059</v>
      </c>
      <c r="E9472" t="s">
        <v>20105</v>
      </c>
      <c r="F9472" t="s">
        <v>31574</v>
      </c>
      <c r="G9472" t="s">
        <v>31582</v>
      </c>
      <c r="H9472" t="s">
        <v>31591</v>
      </c>
      <c r="I9472" t="s">
        <v>8822</v>
      </c>
      <c r="J9472" t="s">
        <v>31771</v>
      </c>
      <c r="K9472" t="s">
        <v>41200</v>
      </c>
      <c r="M9472" t="s">
        <v>44334</v>
      </c>
      <c r="N9472" t="s">
        <v>45095</v>
      </c>
      <c r="O9472" t="s">
        <v>45096</v>
      </c>
      <c r="P9472">
        <v>0</v>
      </c>
      <c r="Q9472">
        <v>0</v>
      </c>
      <c r="R9472" t="s">
        <v>45105</v>
      </c>
      <c r="S9472" t="s">
        <v>45353</v>
      </c>
      <c r="T9472" t="s">
        <v>46977</v>
      </c>
      <c r="U9472" t="s">
        <v>55318</v>
      </c>
      <c r="W9472" t="s">
        <v>44334</v>
      </c>
      <c r="X9472" t="s">
        <v>45109</v>
      </c>
    </row>
    <row r="9473" spans="1:24">
      <c r="A9473">
        <f>HYPERLINK("https://www.philgeps.gov.ph/GEPSNONPILOT/Tender/SplashBidNoticeAbstractUI.aspx?menuIndex=3&amp;refID=7028306&amp;Result=3","7028306")</f>
        <v>0</v>
      </c>
      <c r="B9473" t="s">
        <v>2583</v>
      </c>
      <c r="C9473" t="s">
        <v>12218</v>
      </c>
      <c r="D9473" t="s">
        <v>18033</v>
      </c>
      <c r="E9473" t="s">
        <v>26383</v>
      </c>
      <c r="F9473" t="s">
        <v>31574</v>
      </c>
      <c r="G9473" t="s">
        <v>31582</v>
      </c>
      <c r="H9473" t="s">
        <v>31591</v>
      </c>
      <c r="I9473" t="s">
        <v>8822</v>
      </c>
      <c r="J9473" t="s">
        <v>31819</v>
      </c>
      <c r="K9473" t="s">
        <v>41189</v>
      </c>
      <c r="M9473" t="s">
        <v>44325</v>
      </c>
      <c r="N9473" t="s">
        <v>45095</v>
      </c>
      <c r="O9473" t="s">
        <v>45096</v>
      </c>
      <c r="P9473">
        <v>0</v>
      </c>
      <c r="Q9473">
        <v>2</v>
      </c>
      <c r="R9473" t="s">
        <v>45105</v>
      </c>
      <c r="S9473" t="s">
        <v>45353</v>
      </c>
      <c r="T9473" t="s">
        <v>46977</v>
      </c>
      <c r="U9473" t="s">
        <v>55319</v>
      </c>
      <c r="W9473" t="s">
        <v>44325</v>
      </c>
      <c r="X9473" t="s">
        <v>45109</v>
      </c>
    </row>
    <row r="9474" spans="1:24">
      <c r="A9474">
        <f>HYPERLINK("https://www.philgeps.gov.ph/GEPSNONPILOT/Tender/SplashBidNoticeAbstractUI.aspx?menuIndex=3&amp;refID=7028993&amp;Result=3","7028993")</f>
        <v>0</v>
      </c>
      <c r="B9474" t="s">
        <v>1833</v>
      </c>
      <c r="C9474" t="s">
        <v>12219</v>
      </c>
      <c r="D9474" t="s">
        <v>18036</v>
      </c>
      <c r="E9474" t="s">
        <v>26384</v>
      </c>
      <c r="F9474" t="s">
        <v>31574</v>
      </c>
      <c r="G9474" t="s">
        <v>31582</v>
      </c>
      <c r="H9474" t="s">
        <v>31591</v>
      </c>
      <c r="I9474" t="s">
        <v>8822</v>
      </c>
      <c r="J9474" t="s">
        <v>37315</v>
      </c>
      <c r="K9474" t="s">
        <v>41203</v>
      </c>
      <c r="M9474" t="s">
        <v>43469</v>
      </c>
      <c r="N9474" t="s">
        <v>45095</v>
      </c>
      <c r="O9474" t="s">
        <v>45096</v>
      </c>
      <c r="P9474">
        <v>0</v>
      </c>
      <c r="Q9474">
        <v>0</v>
      </c>
      <c r="R9474" t="s">
        <v>45105</v>
      </c>
      <c r="S9474" t="s">
        <v>45353</v>
      </c>
      <c r="T9474" t="s">
        <v>47198</v>
      </c>
      <c r="U9474" t="s">
        <v>55320</v>
      </c>
      <c r="W9474" t="s">
        <v>43469</v>
      </c>
      <c r="X9474" t="s">
        <v>45109</v>
      </c>
    </row>
    <row r="9475" spans="1:24">
      <c r="A9475">
        <f>HYPERLINK("https://www.philgeps.gov.ph/GEPSNONPILOT/Tender/SplashBidNoticeAbstractUI.aspx?menuIndex=3&amp;refID=7028279&amp;Result=3","7028279")</f>
        <v>0</v>
      </c>
      <c r="B9475" t="s">
        <v>1005</v>
      </c>
      <c r="C9475" t="s">
        <v>12220</v>
      </c>
      <c r="D9475" t="s">
        <v>18092</v>
      </c>
      <c r="E9475" t="s">
        <v>26385</v>
      </c>
      <c r="F9475" t="s">
        <v>31574</v>
      </c>
      <c r="G9475" t="s">
        <v>31582</v>
      </c>
      <c r="H9475" t="s">
        <v>31591</v>
      </c>
      <c r="I9475" t="s">
        <v>8822</v>
      </c>
      <c r="J9475" t="s">
        <v>33279</v>
      </c>
      <c r="K9475" t="s">
        <v>41391</v>
      </c>
      <c r="M9475" t="s">
        <v>44331</v>
      </c>
      <c r="N9475" t="s">
        <v>45095</v>
      </c>
      <c r="O9475" t="s">
        <v>45096</v>
      </c>
      <c r="P9475">
        <v>0</v>
      </c>
      <c r="Q9475">
        <v>1</v>
      </c>
      <c r="R9475" t="s">
        <v>45105</v>
      </c>
      <c r="S9475" t="s">
        <v>45353</v>
      </c>
      <c r="T9475" t="s">
        <v>46988</v>
      </c>
      <c r="U9475" t="s">
        <v>55310</v>
      </c>
      <c r="W9475" t="s">
        <v>44331</v>
      </c>
      <c r="X9475" t="s">
        <v>45109</v>
      </c>
    </row>
    <row r="9476" spans="1:24">
      <c r="A9476">
        <f>HYPERLINK("https://www.philgeps.gov.ph/GEPSNONPILOT/Tender/SplashBidNoticeAbstractUI.aspx?menuIndex=3&amp;refID=7029040&amp;Result=3","7029040")</f>
        <v>0</v>
      </c>
      <c r="B9476" t="s">
        <v>2592</v>
      </c>
      <c r="C9476" t="s">
        <v>12221</v>
      </c>
      <c r="D9476" t="s">
        <v>18023</v>
      </c>
      <c r="E9476" t="s">
        <v>18175</v>
      </c>
      <c r="F9476" t="s">
        <v>31574</v>
      </c>
      <c r="G9476" t="s">
        <v>31582</v>
      </c>
      <c r="H9476" t="s">
        <v>31590</v>
      </c>
      <c r="I9476" t="s">
        <v>4046</v>
      </c>
      <c r="J9476" t="s">
        <v>37691</v>
      </c>
      <c r="K9476" t="s">
        <v>41186</v>
      </c>
      <c r="M9476" t="s">
        <v>44335</v>
      </c>
      <c r="N9476" t="s">
        <v>45095</v>
      </c>
      <c r="O9476" t="s">
        <v>45096</v>
      </c>
      <c r="P9476">
        <v>0</v>
      </c>
      <c r="Q9476">
        <v>0</v>
      </c>
      <c r="R9476" t="s">
        <v>45105</v>
      </c>
      <c r="S9476" t="s">
        <v>45353</v>
      </c>
      <c r="T9476" t="s">
        <v>46904</v>
      </c>
      <c r="U9476" t="s">
        <v>55321</v>
      </c>
      <c r="W9476" t="s">
        <v>44335</v>
      </c>
      <c r="X9476" t="s">
        <v>45109</v>
      </c>
    </row>
    <row r="9477" spans="1:24">
      <c r="A9477">
        <f>HYPERLINK("https://www.philgeps.gov.ph/GEPSNONPILOT/Tender/SplashBidNoticeAbstractUI.aspx?menuIndex=3&amp;refID=7028777&amp;Result=3","7028777")</f>
        <v>0</v>
      </c>
      <c r="B9477" t="s">
        <v>1833</v>
      </c>
      <c r="C9477" t="s">
        <v>12222</v>
      </c>
      <c r="D9477" t="s">
        <v>18036</v>
      </c>
      <c r="E9477" t="s">
        <v>26386</v>
      </c>
      <c r="F9477" t="s">
        <v>31574</v>
      </c>
      <c r="G9477" t="s">
        <v>31582</v>
      </c>
      <c r="H9477" t="s">
        <v>31591</v>
      </c>
      <c r="I9477" t="s">
        <v>8822</v>
      </c>
      <c r="J9477" t="s">
        <v>32019</v>
      </c>
      <c r="K9477" t="s">
        <v>41263</v>
      </c>
      <c r="M9477" t="s">
        <v>43469</v>
      </c>
      <c r="N9477" t="s">
        <v>45095</v>
      </c>
      <c r="O9477" t="s">
        <v>45096</v>
      </c>
      <c r="P9477">
        <v>0</v>
      </c>
      <c r="Q9477">
        <v>0</v>
      </c>
      <c r="R9477" t="s">
        <v>45105</v>
      </c>
      <c r="S9477" t="s">
        <v>45353</v>
      </c>
      <c r="T9477" t="s">
        <v>47076</v>
      </c>
      <c r="U9477" t="s">
        <v>55322</v>
      </c>
      <c r="W9477" t="s">
        <v>43469</v>
      </c>
      <c r="X9477" t="s">
        <v>45109</v>
      </c>
    </row>
    <row r="9478" spans="1:24">
      <c r="A9478">
        <f>HYPERLINK("https://www.philgeps.gov.ph/GEPSNONPILOT/Tender/SplashBidNoticeAbstractUI.aspx?menuIndex=3&amp;refID=7028495&amp;Result=3","7028495")</f>
        <v>0</v>
      </c>
      <c r="B9478" t="s">
        <v>2583</v>
      </c>
      <c r="C9478" t="s">
        <v>12223</v>
      </c>
      <c r="D9478" t="s">
        <v>18033</v>
      </c>
      <c r="E9478" t="s">
        <v>26387</v>
      </c>
      <c r="F9478" t="s">
        <v>31574</v>
      </c>
      <c r="G9478" t="s">
        <v>31582</v>
      </c>
      <c r="H9478" t="s">
        <v>31590</v>
      </c>
      <c r="I9478" t="s">
        <v>4046</v>
      </c>
      <c r="J9478" t="s">
        <v>37692</v>
      </c>
      <c r="K9478" t="s">
        <v>41190</v>
      </c>
      <c r="M9478" t="s">
        <v>44325</v>
      </c>
      <c r="N9478" t="s">
        <v>45095</v>
      </c>
      <c r="O9478" t="s">
        <v>45096</v>
      </c>
      <c r="P9478">
        <v>0</v>
      </c>
      <c r="Q9478">
        <v>0</v>
      </c>
      <c r="R9478" t="s">
        <v>45105</v>
      </c>
      <c r="S9478" t="s">
        <v>45353</v>
      </c>
      <c r="T9478" t="s">
        <v>47183</v>
      </c>
      <c r="U9478" t="s">
        <v>55323</v>
      </c>
      <c r="W9478" t="s">
        <v>44325</v>
      </c>
      <c r="X9478" t="s">
        <v>45109</v>
      </c>
    </row>
    <row r="9479" spans="1:24">
      <c r="A9479">
        <f>HYPERLINK("https://www.philgeps.gov.ph/GEPSNONPILOT/Tender/SplashBidNoticeAbstractUI.aspx?menuIndex=3&amp;refID=7028930&amp;Result=3","7028930")</f>
        <v>0</v>
      </c>
      <c r="B9479" t="s">
        <v>1833</v>
      </c>
      <c r="C9479" t="s">
        <v>12224</v>
      </c>
      <c r="D9479" t="s">
        <v>18036</v>
      </c>
      <c r="E9479" t="s">
        <v>25744</v>
      </c>
      <c r="F9479" t="s">
        <v>31574</v>
      </c>
      <c r="G9479" t="s">
        <v>31582</v>
      </c>
      <c r="H9479" t="s">
        <v>31591</v>
      </c>
      <c r="I9479" t="s">
        <v>8822</v>
      </c>
      <c r="J9479" t="s">
        <v>37315</v>
      </c>
      <c r="K9479" t="s">
        <v>41203</v>
      </c>
      <c r="M9479" t="s">
        <v>43469</v>
      </c>
      <c r="N9479" t="s">
        <v>45095</v>
      </c>
      <c r="O9479" t="s">
        <v>45096</v>
      </c>
      <c r="P9479">
        <v>0</v>
      </c>
      <c r="Q9479">
        <v>1</v>
      </c>
      <c r="R9479" t="s">
        <v>45105</v>
      </c>
      <c r="S9479" t="s">
        <v>45353</v>
      </c>
      <c r="T9479" t="s">
        <v>47198</v>
      </c>
      <c r="U9479" t="s">
        <v>55324</v>
      </c>
      <c r="W9479" t="s">
        <v>43469</v>
      </c>
      <c r="X9479" t="s">
        <v>45109</v>
      </c>
    </row>
    <row r="9480" spans="1:24">
      <c r="A9480">
        <f>HYPERLINK("https://www.philgeps.gov.ph/GEPSNONPILOT/Tender/SplashBidNoticeAbstractUI.aspx?menuIndex=3&amp;refID=7029077&amp;Result=3","7029077")</f>
        <v>0</v>
      </c>
      <c r="B9480" t="s">
        <v>2591</v>
      </c>
      <c r="C9480" t="s">
        <v>12225</v>
      </c>
      <c r="D9480" t="s">
        <v>18059</v>
      </c>
      <c r="E9480" t="s">
        <v>21837</v>
      </c>
      <c r="F9480" t="s">
        <v>31574</v>
      </c>
      <c r="G9480" t="s">
        <v>31582</v>
      </c>
      <c r="H9480" t="s">
        <v>31591</v>
      </c>
      <c r="I9480" t="s">
        <v>8822</v>
      </c>
      <c r="J9480" t="s">
        <v>31771</v>
      </c>
      <c r="K9480" t="s">
        <v>41200</v>
      </c>
      <c r="M9480" t="s">
        <v>44334</v>
      </c>
      <c r="N9480" t="s">
        <v>45095</v>
      </c>
      <c r="O9480" t="s">
        <v>45096</v>
      </c>
      <c r="P9480">
        <v>0</v>
      </c>
      <c r="Q9480">
        <v>0</v>
      </c>
      <c r="R9480" t="s">
        <v>45105</v>
      </c>
      <c r="S9480" t="s">
        <v>45353</v>
      </c>
      <c r="T9480" t="s">
        <v>46977</v>
      </c>
      <c r="U9480" t="s">
        <v>55325</v>
      </c>
      <c r="W9480" t="s">
        <v>44334</v>
      </c>
      <c r="X9480" t="s">
        <v>45109</v>
      </c>
    </row>
    <row r="9481" spans="1:24">
      <c r="A9481">
        <f>HYPERLINK("https://www.philgeps.gov.ph/GEPSNONPILOT/Tender/SplashBidNoticeAbstractUI.aspx?menuIndex=3&amp;refID=7028958&amp;Result=3","7028958")</f>
        <v>0</v>
      </c>
      <c r="B9481" t="s">
        <v>1005</v>
      </c>
      <c r="C9481" t="s">
        <v>12226</v>
      </c>
      <c r="D9481" t="s">
        <v>18092</v>
      </c>
      <c r="E9481" t="s">
        <v>26388</v>
      </c>
      <c r="F9481" t="s">
        <v>31574</v>
      </c>
      <c r="G9481" t="s">
        <v>31582</v>
      </c>
      <c r="H9481" t="s">
        <v>31591</v>
      </c>
      <c r="I9481" t="s">
        <v>8822</v>
      </c>
      <c r="J9481" t="s">
        <v>34059</v>
      </c>
      <c r="K9481" t="s">
        <v>41249</v>
      </c>
      <c r="M9481" t="s">
        <v>44331</v>
      </c>
      <c r="N9481" t="s">
        <v>45095</v>
      </c>
      <c r="O9481" t="s">
        <v>45096</v>
      </c>
      <c r="P9481">
        <v>0</v>
      </c>
      <c r="Q9481">
        <v>1</v>
      </c>
      <c r="R9481" t="s">
        <v>45105</v>
      </c>
      <c r="S9481" t="s">
        <v>45353</v>
      </c>
      <c r="T9481" t="s">
        <v>46988</v>
      </c>
      <c r="U9481" t="s">
        <v>55310</v>
      </c>
      <c r="W9481" t="s">
        <v>44331</v>
      </c>
      <c r="X9481" t="s">
        <v>45109</v>
      </c>
    </row>
    <row r="9482" spans="1:24">
      <c r="A9482">
        <f>HYPERLINK("https://www.philgeps.gov.ph/GEPSNONPILOT/Tender/SplashBidNoticeAbstractUI.aspx?menuIndex=3&amp;refID=7028844&amp;Result=3","7028844")</f>
        <v>0</v>
      </c>
      <c r="B9482" t="s">
        <v>2591</v>
      </c>
      <c r="C9482" t="s">
        <v>12227</v>
      </c>
      <c r="D9482" t="s">
        <v>18059</v>
      </c>
      <c r="E9482" t="s">
        <v>20114</v>
      </c>
      <c r="F9482" t="s">
        <v>31574</v>
      </c>
      <c r="G9482" t="s">
        <v>31582</v>
      </c>
      <c r="H9482" t="s">
        <v>31591</v>
      </c>
      <c r="I9482" t="s">
        <v>8822</v>
      </c>
      <c r="J9482" t="s">
        <v>31771</v>
      </c>
      <c r="K9482" t="s">
        <v>41200</v>
      </c>
      <c r="M9482" t="s">
        <v>44334</v>
      </c>
      <c r="N9482" t="s">
        <v>45095</v>
      </c>
      <c r="O9482" t="s">
        <v>45096</v>
      </c>
      <c r="P9482">
        <v>0</v>
      </c>
      <c r="Q9482">
        <v>0</v>
      </c>
      <c r="R9482" t="s">
        <v>45105</v>
      </c>
      <c r="S9482" t="s">
        <v>45353</v>
      </c>
      <c r="T9482" t="s">
        <v>46977</v>
      </c>
      <c r="U9482" t="s">
        <v>55326</v>
      </c>
      <c r="W9482" t="s">
        <v>44334</v>
      </c>
      <c r="X9482" t="s">
        <v>45109</v>
      </c>
    </row>
    <row r="9483" spans="1:24">
      <c r="A9483">
        <f>HYPERLINK("https://www.philgeps.gov.ph/GEPSNONPILOT/Tender/SplashBidNoticeAbstractUI.aspx?menuIndex=3&amp;refID=7029094&amp;Result=3","7029094")</f>
        <v>0</v>
      </c>
      <c r="B9483" t="s">
        <v>2592</v>
      </c>
      <c r="C9483" t="s">
        <v>12228</v>
      </c>
      <c r="D9483" t="s">
        <v>18023</v>
      </c>
      <c r="E9483" t="s">
        <v>18192</v>
      </c>
      <c r="F9483" t="s">
        <v>31574</v>
      </c>
      <c r="G9483" t="s">
        <v>31582</v>
      </c>
      <c r="H9483" t="s">
        <v>31590</v>
      </c>
      <c r="I9483" t="s">
        <v>4046</v>
      </c>
      <c r="J9483" t="s">
        <v>37693</v>
      </c>
      <c r="K9483" t="s">
        <v>41186</v>
      </c>
      <c r="M9483" t="s">
        <v>44335</v>
      </c>
      <c r="N9483" t="s">
        <v>45095</v>
      </c>
      <c r="O9483" t="s">
        <v>45096</v>
      </c>
      <c r="P9483">
        <v>0</v>
      </c>
      <c r="Q9483">
        <v>0</v>
      </c>
      <c r="R9483" t="s">
        <v>45105</v>
      </c>
      <c r="S9483" t="s">
        <v>45353</v>
      </c>
      <c r="T9483" t="s">
        <v>46904</v>
      </c>
      <c r="U9483" t="s">
        <v>55327</v>
      </c>
      <c r="W9483" t="s">
        <v>44335</v>
      </c>
      <c r="X9483" t="s">
        <v>45109</v>
      </c>
    </row>
    <row r="9484" spans="1:24">
      <c r="A9484">
        <f>HYPERLINK("https://www.philgeps.gov.ph/GEPSNONPILOT/Tender/SplashBidNoticeAbstractUI.aspx?menuIndex=3&amp;refID=7029219&amp;Result=3","7029219")</f>
        <v>0</v>
      </c>
      <c r="B9484" t="s">
        <v>829</v>
      </c>
      <c r="C9484" t="s">
        <v>12229</v>
      </c>
      <c r="D9484" t="s">
        <v>18022</v>
      </c>
      <c r="E9484" t="s">
        <v>26389</v>
      </c>
      <c r="F9484" t="s">
        <v>31574</v>
      </c>
      <c r="G9484" t="s">
        <v>31582</v>
      </c>
      <c r="H9484" t="s">
        <v>31590</v>
      </c>
      <c r="I9484" t="s">
        <v>31620</v>
      </c>
      <c r="J9484" t="s">
        <v>37694</v>
      </c>
      <c r="K9484" t="s">
        <v>41189</v>
      </c>
      <c r="M9484" t="s">
        <v>42348</v>
      </c>
      <c r="N9484" t="s">
        <v>45095</v>
      </c>
      <c r="O9484" t="s">
        <v>45096</v>
      </c>
      <c r="P9484">
        <v>0</v>
      </c>
      <c r="Q9484">
        <v>21</v>
      </c>
      <c r="R9484" t="s">
        <v>45105</v>
      </c>
      <c r="S9484" t="s">
        <v>45353</v>
      </c>
      <c r="T9484" t="s">
        <v>47000</v>
      </c>
      <c r="U9484" t="s">
        <v>55328</v>
      </c>
      <c r="W9484" t="s">
        <v>42348</v>
      </c>
      <c r="X9484" t="s">
        <v>45109</v>
      </c>
    </row>
    <row r="9485" spans="1:24">
      <c r="A9485">
        <f>HYPERLINK("https://www.philgeps.gov.ph/GEPSNONPILOT/Tender/SplashBidNoticeAbstractUI.aspx?menuIndex=3&amp;refID=7029267&amp;Result=3","7029267")</f>
        <v>0</v>
      </c>
      <c r="B9485" t="s">
        <v>2591</v>
      </c>
      <c r="C9485" t="s">
        <v>12230</v>
      </c>
      <c r="D9485" t="s">
        <v>18059</v>
      </c>
      <c r="E9485" t="s">
        <v>25163</v>
      </c>
      <c r="F9485" t="s">
        <v>31574</v>
      </c>
      <c r="G9485" t="s">
        <v>31582</v>
      </c>
      <c r="H9485" t="s">
        <v>31591</v>
      </c>
      <c r="I9485" t="s">
        <v>8822</v>
      </c>
      <c r="J9485" t="s">
        <v>31771</v>
      </c>
      <c r="K9485" t="s">
        <v>41200</v>
      </c>
      <c r="M9485" t="s">
        <v>44334</v>
      </c>
      <c r="N9485" t="s">
        <v>45095</v>
      </c>
      <c r="O9485" t="s">
        <v>45096</v>
      </c>
      <c r="P9485">
        <v>0</v>
      </c>
      <c r="Q9485">
        <v>0</v>
      </c>
      <c r="R9485" t="s">
        <v>45105</v>
      </c>
      <c r="S9485" t="s">
        <v>45353</v>
      </c>
      <c r="T9485" t="s">
        <v>46977</v>
      </c>
      <c r="U9485" t="s">
        <v>55329</v>
      </c>
      <c r="W9485" t="s">
        <v>44334</v>
      </c>
      <c r="X9485" t="s">
        <v>45109</v>
      </c>
    </row>
    <row r="9486" spans="1:24">
      <c r="A9486">
        <f>HYPERLINK("https://www.philgeps.gov.ph/GEPSNONPILOT/Tender/SplashBidNoticeAbstractUI.aspx?menuIndex=3&amp;refID=7029249&amp;Result=3","7029249")</f>
        <v>0</v>
      </c>
      <c r="B9486" t="s">
        <v>829</v>
      </c>
      <c r="C9486" t="s">
        <v>12231</v>
      </c>
      <c r="D9486" t="s">
        <v>18022</v>
      </c>
      <c r="E9486" t="s">
        <v>26390</v>
      </c>
      <c r="F9486" t="s">
        <v>31574</v>
      </c>
      <c r="G9486" t="s">
        <v>31582</v>
      </c>
      <c r="H9486" t="s">
        <v>31590</v>
      </c>
      <c r="I9486" t="s">
        <v>31620</v>
      </c>
      <c r="J9486" t="s">
        <v>37695</v>
      </c>
      <c r="K9486" t="s">
        <v>41189</v>
      </c>
      <c r="M9486" t="s">
        <v>42348</v>
      </c>
      <c r="N9486" t="s">
        <v>45095</v>
      </c>
      <c r="O9486" t="s">
        <v>45096</v>
      </c>
      <c r="P9486">
        <v>0</v>
      </c>
      <c r="Q9486">
        <v>30</v>
      </c>
      <c r="R9486" t="s">
        <v>45105</v>
      </c>
      <c r="S9486" t="s">
        <v>45353</v>
      </c>
      <c r="T9486" t="s">
        <v>47000</v>
      </c>
      <c r="U9486" t="s">
        <v>55330</v>
      </c>
      <c r="W9486" t="s">
        <v>42348</v>
      </c>
      <c r="X9486" t="s">
        <v>45109</v>
      </c>
    </row>
    <row r="9487" spans="1:24">
      <c r="A9487">
        <f>HYPERLINK("https://www.philgeps.gov.ph/GEPSNONPILOT/Tender/SplashBidNoticeAbstractUI.aspx?menuIndex=3&amp;refID=7029204&amp;Result=3","7029204")</f>
        <v>0</v>
      </c>
      <c r="B9487" t="s">
        <v>670</v>
      </c>
      <c r="C9487" t="s">
        <v>12232</v>
      </c>
      <c r="D9487" t="s">
        <v>18022</v>
      </c>
      <c r="E9487" t="s">
        <v>26391</v>
      </c>
      <c r="F9487" t="s">
        <v>31574</v>
      </c>
      <c r="G9487" t="s">
        <v>31582</v>
      </c>
      <c r="H9487" t="s">
        <v>31590</v>
      </c>
      <c r="I9487" t="s">
        <v>31603</v>
      </c>
      <c r="J9487" t="s">
        <v>37696</v>
      </c>
      <c r="K9487" t="s">
        <v>41184</v>
      </c>
      <c r="M9487" t="s">
        <v>44336</v>
      </c>
      <c r="N9487" t="s">
        <v>45095</v>
      </c>
      <c r="O9487" t="s">
        <v>45096</v>
      </c>
      <c r="P9487">
        <v>0</v>
      </c>
      <c r="Q9487">
        <v>22</v>
      </c>
      <c r="R9487" t="s">
        <v>45105</v>
      </c>
      <c r="S9487" t="s">
        <v>45353</v>
      </c>
      <c r="T9487" t="s">
        <v>46992</v>
      </c>
      <c r="U9487" t="s">
        <v>55331</v>
      </c>
      <c r="W9487" t="s">
        <v>44336</v>
      </c>
      <c r="X9487" t="s">
        <v>45109</v>
      </c>
    </row>
    <row r="9488" spans="1:24">
      <c r="A9488">
        <f>HYPERLINK("https://www.philgeps.gov.ph/GEPSNONPILOT/Tender/SplashBidNoticeAbstractUI.aspx?menuIndex=3&amp;refID=7029277&amp;Result=3","7029277")</f>
        <v>0</v>
      </c>
      <c r="B9488" t="s">
        <v>630</v>
      </c>
      <c r="C9488" t="s">
        <v>12233</v>
      </c>
      <c r="D9488" t="s">
        <v>18086</v>
      </c>
      <c r="E9488" t="s">
        <v>26392</v>
      </c>
      <c r="F9488" t="s">
        <v>31574</v>
      </c>
      <c r="G9488" t="s">
        <v>31582</v>
      </c>
      <c r="H9488" t="s">
        <v>31590</v>
      </c>
      <c r="I9488" t="s">
        <v>4046</v>
      </c>
      <c r="J9488" t="s">
        <v>37697</v>
      </c>
      <c r="K9488" t="s">
        <v>41191</v>
      </c>
      <c r="M9488" t="s">
        <v>42134</v>
      </c>
      <c r="N9488" t="s">
        <v>45095</v>
      </c>
      <c r="O9488" t="s">
        <v>45096</v>
      </c>
      <c r="P9488">
        <v>0</v>
      </c>
      <c r="Q9488">
        <v>0</v>
      </c>
      <c r="R9488" t="s">
        <v>45105</v>
      </c>
      <c r="S9488" t="s">
        <v>45353</v>
      </c>
      <c r="T9488" t="s">
        <v>47183</v>
      </c>
      <c r="U9488" t="s">
        <v>55332</v>
      </c>
      <c r="W9488" t="s">
        <v>42134</v>
      </c>
      <c r="X9488" t="s">
        <v>45109</v>
      </c>
    </row>
    <row r="9489" spans="1:24">
      <c r="A9489">
        <f>HYPERLINK("https://www.philgeps.gov.ph/GEPSNONPILOT/Tender/SplashBidNoticeAbstractUI.aspx?menuIndex=3&amp;refID=7029263&amp;Result=3","7029263")</f>
        <v>0</v>
      </c>
      <c r="B9489" t="s">
        <v>630</v>
      </c>
      <c r="C9489" t="s">
        <v>12234</v>
      </c>
      <c r="D9489" t="s">
        <v>18086</v>
      </c>
      <c r="E9489" t="s">
        <v>26393</v>
      </c>
      <c r="F9489" t="s">
        <v>31574</v>
      </c>
      <c r="G9489" t="s">
        <v>31582</v>
      </c>
      <c r="H9489" t="s">
        <v>31590</v>
      </c>
      <c r="I9489" t="s">
        <v>4046</v>
      </c>
      <c r="J9489" t="s">
        <v>37698</v>
      </c>
      <c r="K9489" t="s">
        <v>41191</v>
      </c>
      <c r="M9489" t="s">
        <v>42134</v>
      </c>
      <c r="N9489" t="s">
        <v>45095</v>
      </c>
      <c r="O9489" t="s">
        <v>45096</v>
      </c>
      <c r="P9489">
        <v>0</v>
      </c>
      <c r="Q9489">
        <v>0</v>
      </c>
      <c r="R9489" t="s">
        <v>45105</v>
      </c>
      <c r="S9489" t="s">
        <v>45353</v>
      </c>
      <c r="T9489" t="s">
        <v>47183</v>
      </c>
      <c r="U9489" t="s">
        <v>55333</v>
      </c>
      <c r="W9489" t="s">
        <v>42134</v>
      </c>
      <c r="X9489" t="s">
        <v>45109</v>
      </c>
    </row>
    <row r="9490" spans="1:24">
      <c r="A9490">
        <f>HYPERLINK("https://www.philgeps.gov.ph/GEPSNONPILOT/Tender/SplashBidNoticeAbstractUI.aspx?menuIndex=3&amp;refID=7029852&amp;Result=3","7029852")</f>
        <v>0</v>
      </c>
      <c r="B9490" t="s">
        <v>2593</v>
      </c>
      <c r="C9490" t="s">
        <v>12235</v>
      </c>
      <c r="D9490" t="s">
        <v>18074</v>
      </c>
      <c r="E9490" t="s">
        <v>26394</v>
      </c>
      <c r="F9490" t="s">
        <v>31574</v>
      </c>
      <c r="G9490" t="s">
        <v>31583</v>
      </c>
      <c r="H9490" t="s">
        <v>31590</v>
      </c>
      <c r="I9490" t="s">
        <v>31635</v>
      </c>
      <c r="J9490" t="s">
        <v>31727</v>
      </c>
      <c r="K9490" t="s">
        <v>41186</v>
      </c>
      <c r="M9490" t="s">
        <v>44337</v>
      </c>
      <c r="N9490" t="s">
        <v>45095</v>
      </c>
      <c r="O9490" t="s">
        <v>45096</v>
      </c>
      <c r="P9490">
        <v>0</v>
      </c>
      <c r="Q9490">
        <v>1</v>
      </c>
      <c r="R9490" t="s">
        <v>45105</v>
      </c>
      <c r="S9490" t="s">
        <v>45353</v>
      </c>
      <c r="T9490" t="s">
        <v>46945</v>
      </c>
      <c r="U9490" t="s">
        <v>55334</v>
      </c>
      <c r="W9490" t="s">
        <v>44337</v>
      </c>
      <c r="X9490" t="s">
        <v>45108</v>
      </c>
    </row>
    <row r="9491" spans="1:24">
      <c r="A9491">
        <f>HYPERLINK("https://www.philgeps.gov.ph/GEPSNONPILOT/Tender/SplashBidNoticeAbstractUI.aspx?menuIndex=3&amp;refID=7029856&amp;Result=3","7029856")</f>
        <v>0</v>
      </c>
      <c r="B9491" t="s">
        <v>1118</v>
      </c>
      <c r="C9491" t="s">
        <v>12236</v>
      </c>
      <c r="D9491" t="s">
        <v>18072</v>
      </c>
      <c r="E9491" t="s">
        <v>26395</v>
      </c>
      <c r="F9491" t="s">
        <v>31574</v>
      </c>
      <c r="G9491" t="s">
        <v>31582</v>
      </c>
      <c r="H9491" t="s">
        <v>31591</v>
      </c>
      <c r="I9491" t="s">
        <v>8822</v>
      </c>
      <c r="J9491" t="s">
        <v>37699</v>
      </c>
      <c r="K9491" t="s">
        <v>41357</v>
      </c>
      <c r="M9491" t="s">
        <v>42667</v>
      </c>
      <c r="N9491" t="s">
        <v>45095</v>
      </c>
      <c r="O9491" t="s">
        <v>45096</v>
      </c>
      <c r="P9491">
        <v>0</v>
      </c>
      <c r="Q9491">
        <v>3</v>
      </c>
      <c r="R9491" t="s">
        <v>45105</v>
      </c>
      <c r="S9491" t="s">
        <v>45353</v>
      </c>
      <c r="T9491" t="s">
        <v>46988</v>
      </c>
      <c r="U9491" t="s">
        <v>55335</v>
      </c>
      <c r="V9491" t="s">
        <v>60832</v>
      </c>
      <c r="W9491" t="s">
        <v>42667</v>
      </c>
      <c r="X9491" t="s">
        <v>45108</v>
      </c>
    </row>
    <row r="9492" spans="1:24">
      <c r="A9492">
        <f>HYPERLINK("https://www.philgeps.gov.ph/GEPSNONPILOT/Tender/SplashBidNoticeAbstractUI.aspx?menuIndex=3&amp;refID=7029825&amp;Result=3","7029825")</f>
        <v>0</v>
      </c>
      <c r="B9492" t="s">
        <v>2594</v>
      </c>
      <c r="C9492" t="s">
        <v>12237</v>
      </c>
      <c r="D9492" t="s">
        <v>18047</v>
      </c>
      <c r="E9492" t="s">
        <v>25971</v>
      </c>
      <c r="F9492" t="s">
        <v>31574</v>
      </c>
      <c r="G9492" t="s">
        <v>31582</v>
      </c>
      <c r="H9492" t="s">
        <v>31590</v>
      </c>
      <c r="I9492" t="s">
        <v>4046</v>
      </c>
      <c r="J9492" t="s">
        <v>37700</v>
      </c>
      <c r="K9492" t="s">
        <v>41190</v>
      </c>
      <c r="M9492" t="s">
        <v>41586</v>
      </c>
      <c r="N9492" t="s">
        <v>45095</v>
      </c>
      <c r="O9492" t="s">
        <v>45096</v>
      </c>
      <c r="P9492">
        <v>0</v>
      </c>
      <c r="Q9492">
        <v>0</v>
      </c>
      <c r="R9492" t="s">
        <v>45105</v>
      </c>
      <c r="S9492" t="s">
        <v>45353</v>
      </c>
      <c r="T9492" t="s">
        <v>47074</v>
      </c>
      <c r="U9492" t="s">
        <v>55336</v>
      </c>
      <c r="W9492" t="s">
        <v>41586</v>
      </c>
      <c r="X9492" t="s">
        <v>45108</v>
      </c>
    </row>
    <row r="9493" spans="1:24">
      <c r="A9493">
        <f>HYPERLINK("https://www.philgeps.gov.ph/GEPSNONPILOT/Tender/SplashBidNoticeAbstractUI.aspx?menuIndex=3&amp;refID=7029259&amp;Result=3","7029259")</f>
        <v>0</v>
      </c>
      <c r="B9493" t="s">
        <v>1833</v>
      </c>
      <c r="C9493" t="s">
        <v>12238</v>
      </c>
      <c r="D9493" t="s">
        <v>18036</v>
      </c>
      <c r="E9493" t="s">
        <v>26396</v>
      </c>
      <c r="F9493" t="s">
        <v>31574</v>
      </c>
      <c r="G9493" t="s">
        <v>31582</v>
      </c>
      <c r="H9493" t="s">
        <v>31591</v>
      </c>
      <c r="I9493" t="s">
        <v>8822</v>
      </c>
      <c r="J9493" t="s">
        <v>37701</v>
      </c>
      <c r="K9493" t="s">
        <v>41202</v>
      </c>
      <c r="M9493" t="s">
        <v>43469</v>
      </c>
      <c r="N9493" t="s">
        <v>45095</v>
      </c>
      <c r="O9493" t="s">
        <v>45096</v>
      </c>
      <c r="P9493">
        <v>0</v>
      </c>
      <c r="Q9493">
        <v>1</v>
      </c>
      <c r="R9493" t="s">
        <v>45105</v>
      </c>
      <c r="S9493" t="s">
        <v>45353</v>
      </c>
      <c r="T9493" t="s">
        <v>47198</v>
      </c>
      <c r="U9493" t="s">
        <v>55337</v>
      </c>
      <c r="W9493" t="s">
        <v>43469</v>
      </c>
      <c r="X9493" t="s">
        <v>45109</v>
      </c>
    </row>
    <row r="9494" spans="1:24">
      <c r="A9494">
        <f>HYPERLINK("https://www.philgeps.gov.ph/GEPSNONPILOT/Tender/SplashBidNoticeAbstractUI.aspx?menuIndex=3&amp;refID=7029176&amp;Result=3","7029176")</f>
        <v>0</v>
      </c>
      <c r="B9494" t="s">
        <v>2591</v>
      </c>
      <c r="C9494" t="s">
        <v>12239</v>
      </c>
      <c r="D9494" t="s">
        <v>18059</v>
      </c>
      <c r="E9494" t="s">
        <v>26397</v>
      </c>
      <c r="F9494" t="s">
        <v>31574</v>
      </c>
      <c r="G9494" t="s">
        <v>31582</v>
      </c>
      <c r="H9494" t="s">
        <v>31591</v>
      </c>
      <c r="I9494" t="s">
        <v>8822</v>
      </c>
      <c r="J9494" t="s">
        <v>31771</v>
      </c>
      <c r="K9494" t="s">
        <v>41200</v>
      </c>
      <c r="M9494" t="s">
        <v>44334</v>
      </c>
      <c r="N9494" t="s">
        <v>45095</v>
      </c>
      <c r="O9494" t="s">
        <v>45096</v>
      </c>
      <c r="P9494">
        <v>0</v>
      </c>
      <c r="Q9494">
        <v>0</v>
      </c>
      <c r="R9494" t="s">
        <v>45105</v>
      </c>
      <c r="S9494" t="s">
        <v>45353</v>
      </c>
      <c r="T9494" t="s">
        <v>46977</v>
      </c>
      <c r="U9494" t="s">
        <v>55338</v>
      </c>
      <c r="W9494" t="s">
        <v>44334</v>
      </c>
      <c r="X9494" t="s">
        <v>45109</v>
      </c>
    </row>
    <row r="9495" spans="1:24">
      <c r="A9495">
        <f>HYPERLINK("https://www.philgeps.gov.ph/GEPSNONPILOT/Tender/SplashBidNoticeAbstractUI.aspx?menuIndex=3&amp;refID=7029349&amp;Result=3","7029349")</f>
        <v>0</v>
      </c>
      <c r="B9495" t="s">
        <v>2595</v>
      </c>
      <c r="C9495" t="s">
        <v>12240</v>
      </c>
      <c r="D9495" t="s">
        <v>18034</v>
      </c>
      <c r="E9495" t="s">
        <v>26398</v>
      </c>
      <c r="F9495" t="s">
        <v>31574</v>
      </c>
      <c r="G9495" t="s">
        <v>31582</v>
      </c>
      <c r="H9495" t="s">
        <v>31591</v>
      </c>
      <c r="I9495" t="s">
        <v>8822</v>
      </c>
      <c r="J9495" t="s">
        <v>37702</v>
      </c>
      <c r="K9495" t="s">
        <v>41191</v>
      </c>
      <c r="M9495" t="s">
        <v>44338</v>
      </c>
      <c r="N9495" t="s">
        <v>45095</v>
      </c>
      <c r="O9495" t="s">
        <v>45096</v>
      </c>
      <c r="P9495">
        <v>0</v>
      </c>
      <c r="Q9495">
        <v>3</v>
      </c>
      <c r="R9495" t="s">
        <v>45105</v>
      </c>
      <c r="S9495" t="s">
        <v>45353</v>
      </c>
      <c r="T9495" t="s">
        <v>46904</v>
      </c>
      <c r="U9495" t="s">
        <v>55339</v>
      </c>
      <c r="V9495" t="s">
        <v>60833</v>
      </c>
      <c r="W9495" t="s">
        <v>44338</v>
      </c>
      <c r="X9495" t="s">
        <v>45109</v>
      </c>
    </row>
    <row r="9496" spans="1:24">
      <c r="A9496">
        <f>HYPERLINK("https://www.philgeps.gov.ph/GEPSNONPILOT/Tender/SplashBidNoticeAbstractUI.aspx?menuIndex=3&amp;refID=7029229&amp;Result=3","7029229")</f>
        <v>0</v>
      </c>
      <c r="B9496" t="s">
        <v>2591</v>
      </c>
      <c r="C9496" t="s">
        <v>12241</v>
      </c>
      <c r="D9496" t="s">
        <v>18059</v>
      </c>
      <c r="E9496" t="s">
        <v>26399</v>
      </c>
      <c r="F9496" t="s">
        <v>31574</v>
      </c>
      <c r="G9496" t="s">
        <v>31582</v>
      </c>
      <c r="H9496" t="s">
        <v>31591</v>
      </c>
      <c r="I9496" t="s">
        <v>8822</v>
      </c>
      <c r="J9496" t="s">
        <v>31771</v>
      </c>
      <c r="K9496" t="s">
        <v>41200</v>
      </c>
      <c r="M9496" t="s">
        <v>44334</v>
      </c>
      <c r="N9496" t="s">
        <v>45095</v>
      </c>
      <c r="O9496" t="s">
        <v>45096</v>
      </c>
      <c r="P9496">
        <v>0</v>
      </c>
      <c r="Q9496">
        <v>0</v>
      </c>
      <c r="R9496" t="s">
        <v>45105</v>
      </c>
      <c r="S9496" t="s">
        <v>45353</v>
      </c>
      <c r="T9496" t="s">
        <v>46977</v>
      </c>
      <c r="U9496" t="s">
        <v>55340</v>
      </c>
      <c r="W9496" t="s">
        <v>44334</v>
      </c>
      <c r="X9496" t="s">
        <v>45109</v>
      </c>
    </row>
    <row r="9497" spans="1:24">
      <c r="A9497">
        <f>HYPERLINK("https://www.philgeps.gov.ph/GEPSNONPILOT/Tender/SplashBidNoticeAbstractUI.aspx?menuIndex=3&amp;refID=7029597&amp;Result=3","7029597")</f>
        <v>0</v>
      </c>
      <c r="B9497" t="s">
        <v>1098</v>
      </c>
      <c r="C9497" t="s">
        <v>12242</v>
      </c>
      <c r="D9497" t="s">
        <v>18055</v>
      </c>
      <c r="E9497" t="s">
        <v>26400</v>
      </c>
      <c r="F9497" t="s">
        <v>31574</v>
      </c>
      <c r="G9497" t="s">
        <v>31582</v>
      </c>
      <c r="H9497" t="s">
        <v>31590</v>
      </c>
      <c r="I9497" t="s">
        <v>31631</v>
      </c>
      <c r="J9497" t="s">
        <v>37703</v>
      </c>
      <c r="K9497" t="s">
        <v>41186</v>
      </c>
      <c r="M9497" t="s">
        <v>42647</v>
      </c>
      <c r="N9497" t="s">
        <v>45095</v>
      </c>
      <c r="O9497" t="s">
        <v>45096</v>
      </c>
      <c r="P9497">
        <v>0</v>
      </c>
      <c r="Q9497">
        <v>3</v>
      </c>
      <c r="R9497" t="s">
        <v>45105</v>
      </c>
      <c r="S9497" t="s">
        <v>45353</v>
      </c>
      <c r="T9497" t="s">
        <v>46965</v>
      </c>
      <c r="U9497" t="s">
        <v>55341</v>
      </c>
      <c r="V9497" t="s">
        <v>60834</v>
      </c>
      <c r="W9497" t="s">
        <v>42647</v>
      </c>
      <c r="X9497" t="s">
        <v>45109</v>
      </c>
    </row>
    <row r="9498" spans="1:24">
      <c r="A9498">
        <f>HYPERLINK("https://www.philgeps.gov.ph/GEPSNONPILOT/Tender/SplashBidNoticeAbstractUI.aspx?menuIndex=3&amp;refID=7029376&amp;Result=3","7029376")</f>
        <v>0</v>
      </c>
      <c r="B9498" t="s">
        <v>1833</v>
      </c>
      <c r="C9498" t="s">
        <v>12243</v>
      </c>
      <c r="D9498" t="s">
        <v>18036</v>
      </c>
      <c r="E9498" t="s">
        <v>26401</v>
      </c>
      <c r="F9498" t="s">
        <v>31574</v>
      </c>
      <c r="G9498" t="s">
        <v>31582</v>
      </c>
      <c r="H9498" t="s">
        <v>31591</v>
      </c>
      <c r="I9498" t="s">
        <v>8822</v>
      </c>
      <c r="J9498" t="s">
        <v>32026</v>
      </c>
      <c r="K9498" t="s">
        <v>41189</v>
      </c>
      <c r="M9498" t="s">
        <v>43469</v>
      </c>
      <c r="N9498" t="s">
        <v>45095</v>
      </c>
      <c r="O9498" t="s">
        <v>45096</v>
      </c>
      <c r="P9498">
        <v>0</v>
      </c>
      <c r="Q9498">
        <v>0</v>
      </c>
      <c r="R9498" t="s">
        <v>45105</v>
      </c>
      <c r="S9498" t="s">
        <v>45353</v>
      </c>
      <c r="T9498" t="s">
        <v>47198</v>
      </c>
      <c r="U9498" t="s">
        <v>55342</v>
      </c>
      <c r="W9498" t="s">
        <v>43469</v>
      </c>
      <c r="X9498" t="s">
        <v>45109</v>
      </c>
    </row>
    <row r="9499" spans="1:24">
      <c r="A9499">
        <f>HYPERLINK("https://www.philgeps.gov.ph/GEPSNONPILOT/Tender/SplashBidNoticeAbstractUI.aspx?menuIndex=3&amp;refID=7029345&amp;Result=3","7029345")</f>
        <v>0</v>
      </c>
      <c r="B9499" t="s">
        <v>2591</v>
      </c>
      <c r="C9499" t="s">
        <v>12244</v>
      </c>
      <c r="D9499" t="s">
        <v>18059</v>
      </c>
      <c r="E9499" t="s">
        <v>18434</v>
      </c>
      <c r="F9499" t="s">
        <v>31574</v>
      </c>
      <c r="G9499" t="s">
        <v>31582</v>
      </c>
      <c r="H9499" t="s">
        <v>31591</v>
      </c>
      <c r="I9499" t="s">
        <v>8822</v>
      </c>
      <c r="J9499" t="s">
        <v>31730</v>
      </c>
      <c r="K9499" t="s">
        <v>41200</v>
      </c>
      <c r="M9499" t="s">
        <v>44334</v>
      </c>
      <c r="N9499" t="s">
        <v>45095</v>
      </c>
      <c r="O9499" t="s">
        <v>45096</v>
      </c>
      <c r="P9499">
        <v>0</v>
      </c>
      <c r="Q9499">
        <v>0</v>
      </c>
      <c r="R9499" t="s">
        <v>45105</v>
      </c>
      <c r="S9499" t="s">
        <v>45353</v>
      </c>
      <c r="T9499" t="s">
        <v>46977</v>
      </c>
      <c r="U9499" t="s">
        <v>55343</v>
      </c>
      <c r="W9499" t="s">
        <v>44334</v>
      </c>
      <c r="X9499" t="s">
        <v>45109</v>
      </c>
    </row>
    <row r="9500" spans="1:24">
      <c r="A9500">
        <f>HYPERLINK("https://www.philgeps.gov.ph/GEPSNONPILOT/Tender/SplashBidNoticeAbstractUI.aspx?menuIndex=3&amp;refID=7029311&amp;Result=3","7029311")</f>
        <v>0</v>
      </c>
      <c r="B9500" t="s">
        <v>2591</v>
      </c>
      <c r="C9500" t="s">
        <v>12245</v>
      </c>
      <c r="D9500" t="s">
        <v>18059</v>
      </c>
      <c r="E9500" t="s">
        <v>26402</v>
      </c>
      <c r="F9500" t="s">
        <v>31574</v>
      </c>
      <c r="G9500" t="s">
        <v>31582</v>
      </c>
      <c r="H9500" t="s">
        <v>31591</v>
      </c>
      <c r="I9500" t="s">
        <v>8822</v>
      </c>
      <c r="J9500" t="s">
        <v>37704</v>
      </c>
      <c r="K9500" t="s">
        <v>41200</v>
      </c>
      <c r="M9500" t="s">
        <v>44334</v>
      </c>
      <c r="N9500" t="s">
        <v>45095</v>
      </c>
      <c r="O9500" t="s">
        <v>45096</v>
      </c>
      <c r="P9500">
        <v>0</v>
      </c>
      <c r="Q9500">
        <v>0</v>
      </c>
      <c r="R9500" t="s">
        <v>45105</v>
      </c>
      <c r="S9500" t="s">
        <v>45353</v>
      </c>
      <c r="T9500" t="s">
        <v>46977</v>
      </c>
      <c r="U9500" t="s">
        <v>55344</v>
      </c>
      <c r="W9500" t="s">
        <v>44334</v>
      </c>
      <c r="X9500" t="s">
        <v>45109</v>
      </c>
    </row>
    <row r="9501" spans="1:24">
      <c r="A9501">
        <f>HYPERLINK("https://www.philgeps.gov.ph/GEPSNONPILOT/Tender/SplashBidNoticeAbstractUI.aspx?menuIndex=3&amp;refID=7029299&amp;Result=3","7029299")</f>
        <v>0</v>
      </c>
      <c r="B9501" t="s">
        <v>630</v>
      </c>
      <c r="C9501" t="s">
        <v>12246</v>
      </c>
      <c r="D9501" t="s">
        <v>18086</v>
      </c>
      <c r="E9501" t="s">
        <v>26403</v>
      </c>
      <c r="F9501" t="s">
        <v>31574</v>
      </c>
      <c r="G9501" t="s">
        <v>31582</v>
      </c>
      <c r="H9501" t="s">
        <v>31590</v>
      </c>
      <c r="I9501" t="s">
        <v>4046</v>
      </c>
      <c r="J9501" t="s">
        <v>37705</v>
      </c>
      <c r="K9501" t="s">
        <v>41191</v>
      </c>
      <c r="M9501" t="s">
        <v>42134</v>
      </c>
      <c r="N9501" t="s">
        <v>45095</v>
      </c>
      <c r="O9501" t="s">
        <v>45096</v>
      </c>
      <c r="P9501">
        <v>0</v>
      </c>
      <c r="Q9501">
        <v>0</v>
      </c>
      <c r="R9501" t="s">
        <v>45105</v>
      </c>
      <c r="S9501" t="s">
        <v>45353</v>
      </c>
      <c r="T9501" t="s">
        <v>47183</v>
      </c>
      <c r="U9501" t="s">
        <v>55345</v>
      </c>
      <c r="W9501" t="s">
        <v>42134</v>
      </c>
      <c r="X9501" t="s">
        <v>45109</v>
      </c>
    </row>
    <row r="9502" spans="1:24">
      <c r="A9502">
        <f>HYPERLINK("https://www.philgeps.gov.ph/GEPSNONPILOT/Tender/SplashBidNoticeAbstractUI.aspx?menuIndex=3&amp;refID=7029865&amp;Result=3","7029865")</f>
        <v>0</v>
      </c>
      <c r="B9502" t="s">
        <v>1118</v>
      </c>
      <c r="C9502" t="s">
        <v>12247</v>
      </c>
      <c r="D9502" t="s">
        <v>18072</v>
      </c>
      <c r="E9502" t="s">
        <v>26404</v>
      </c>
      <c r="F9502" t="s">
        <v>31574</v>
      </c>
      <c r="G9502" t="s">
        <v>31582</v>
      </c>
      <c r="H9502" t="s">
        <v>31591</v>
      </c>
      <c r="I9502" t="s">
        <v>8822</v>
      </c>
      <c r="J9502" t="s">
        <v>37706</v>
      </c>
      <c r="K9502" t="s">
        <v>41198</v>
      </c>
      <c r="M9502" t="s">
        <v>42667</v>
      </c>
      <c r="N9502" t="s">
        <v>45095</v>
      </c>
      <c r="O9502" t="s">
        <v>45096</v>
      </c>
      <c r="P9502">
        <v>0</v>
      </c>
      <c r="Q9502">
        <v>4</v>
      </c>
      <c r="R9502" t="s">
        <v>45105</v>
      </c>
      <c r="S9502" t="s">
        <v>45353</v>
      </c>
      <c r="T9502" t="s">
        <v>46988</v>
      </c>
      <c r="U9502" t="s">
        <v>55346</v>
      </c>
      <c r="V9502" t="s">
        <v>60832</v>
      </c>
      <c r="W9502" t="s">
        <v>42667</v>
      </c>
      <c r="X9502" t="s">
        <v>45108</v>
      </c>
    </row>
    <row r="9503" spans="1:24">
      <c r="A9503">
        <f>HYPERLINK("https://www.philgeps.gov.ph/GEPSNONPILOT/Tender/SplashBidNoticeAbstractUI.aspx?menuIndex=3&amp;refID=7029901&amp;Result=3","7029901")</f>
        <v>0</v>
      </c>
      <c r="B9503" t="s">
        <v>690</v>
      </c>
      <c r="C9503" t="s">
        <v>12248</v>
      </c>
      <c r="D9503" t="s">
        <v>18079</v>
      </c>
      <c r="E9503" t="s">
        <v>26405</v>
      </c>
      <c r="F9503" t="s">
        <v>31574</v>
      </c>
      <c r="G9503" t="s">
        <v>31582</v>
      </c>
      <c r="H9503" t="s">
        <v>31590</v>
      </c>
      <c r="I9503" t="s">
        <v>4046</v>
      </c>
      <c r="J9503" t="s">
        <v>37707</v>
      </c>
      <c r="K9503" t="s">
        <v>41186</v>
      </c>
      <c r="M9503" t="s">
        <v>42197</v>
      </c>
      <c r="N9503" t="s">
        <v>45095</v>
      </c>
      <c r="O9503" t="s">
        <v>45096</v>
      </c>
      <c r="P9503">
        <v>0</v>
      </c>
      <c r="Q9503">
        <v>4</v>
      </c>
      <c r="R9503" t="s">
        <v>45105</v>
      </c>
      <c r="S9503" t="s">
        <v>45353</v>
      </c>
      <c r="T9503" t="s">
        <v>46988</v>
      </c>
      <c r="U9503" t="s">
        <v>55347</v>
      </c>
      <c r="V9503" t="s">
        <v>60010</v>
      </c>
      <c r="W9503" t="s">
        <v>42197</v>
      </c>
      <c r="X9503" t="s">
        <v>45108</v>
      </c>
    </row>
    <row r="9504" spans="1:24">
      <c r="A9504">
        <f>HYPERLINK("https://www.philgeps.gov.ph/GEPSNONPILOT/Tender/SplashBidNoticeAbstractUI.aspx?menuIndex=3&amp;refID=7030005&amp;Result=3","7030005")</f>
        <v>0</v>
      </c>
      <c r="B9504" t="s">
        <v>2596</v>
      </c>
      <c r="C9504" t="s">
        <v>12249</v>
      </c>
      <c r="D9504" t="s">
        <v>18107</v>
      </c>
      <c r="E9504" t="s">
        <v>26406</v>
      </c>
      <c r="F9504" t="s">
        <v>31574</v>
      </c>
      <c r="G9504" t="s">
        <v>31581</v>
      </c>
      <c r="H9504" t="s">
        <v>31590</v>
      </c>
      <c r="I9504" t="s">
        <v>31614</v>
      </c>
      <c r="J9504" t="s">
        <v>31728</v>
      </c>
      <c r="K9504" t="s">
        <v>41289</v>
      </c>
      <c r="M9504" t="s">
        <v>44339</v>
      </c>
      <c r="N9504" t="s">
        <v>45095</v>
      </c>
      <c r="O9504" t="s">
        <v>45096</v>
      </c>
      <c r="P9504">
        <v>0</v>
      </c>
      <c r="Q9504">
        <v>1</v>
      </c>
      <c r="R9504" t="s">
        <v>45105</v>
      </c>
      <c r="S9504" t="s">
        <v>45353</v>
      </c>
      <c r="T9504" t="s">
        <v>47158</v>
      </c>
      <c r="U9504" t="s">
        <v>55348</v>
      </c>
      <c r="W9504" t="s">
        <v>44339</v>
      </c>
      <c r="X9504" t="s">
        <v>45108</v>
      </c>
    </row>
    <row r="9505" spans="1:24">
      <c r="A9505">
        <f>HYPERLINK("https://www.philgeps.gov.ph/GEPSNONPILOT/Tender/SplashBidNoticeAbstractUI.aspx?menuIndex=3&amp;refID=7029881&amp;Result=3","7029881")</f>
        <v>0</v>
      </c>
      <c r="B9505" t="s">
        <v>2597</v>
      </c>
      <c r="C9505" t="s">
        <v>12250</v>
      </c>
      <c r="D9505" t="s">
        <v>18070</v>
      </c>
      <c r="E9505" t="s">
        <v>26407</v>
      </c>
      <c r="F9505" t="s">
        <v>31574</v>
      </c>
      <c r="G9505" t="s">
        <v>31582</v>
      </c>
      <c r="H9505" t="s">
        <v>31591</v>
      </c>
      <c r="I9505" t="s">
        <v>8822</v>
      </c>
      <c r="J9505" t="s">
        <v>32026</v>
      </c>
      <c r="K9505" t="s">
        <v>41392</v>
      </c>
      <c r="M9505" t="s">
        <v>44340</v>
      </c>
      <c r="N9505" t="s">
        <v>45095</v>
      </c>
      <c r="O9505" t="s">
        <v>45096</v>
      </c>
      <c r="P9505">
        <v>0</v>
      </c>
      <c r="Q9505">
        <v>0</v>
      </c>
      <c r="R9505" t="s">
        <v>45105</v>
      </c>
      <c r="S9505" t="s">
        <v>45353</v>
      </c>
      <c r="T9505" t="s">
        <v>46992</v>
      </c>
      <c r="U9505" t="s">
        <v>55349</v>
      </c>
      <c r="W9505" t="s">
        <v>44340</v>
      </c>
      <c r="X9505" t="s">
        <v>45108</v>
      </c>
    </row>
    <row r="9506" spans="1:24">
      <c r="A9506">
        <f>HYPERLINK("https://www.philgeps.gov.ph/GEPSNONPILOT/Tender/SplashBidNoticeAbstractUI.aspx?menuIndex=3&amp;refID=7029968&amp;Result=3","7029968")</f>
        <v>0</v>
      </c>
      <c r="B9506" t="s">
        <v>2598</v>
      </c>
      <c r="C9506" t="s">
        <v>12251</v>
      </c>
      <c r="D9506" t="s">
        <v>18074</v>
      </c>
      <c r="E9506" t="s">
        <v>26408</v>
      </c>
      <c r="F9506" t="s">
        <v>31574</v>
      </c>
      <c r="G9506" t="s">
        <v>31581</v>
      </c>
      <c r="H9506" t="s">
        <v>31590</v>
      </c>
      <c r="I9506" t="s">
        <v>31603</v>
      </c>
      <c r="J9506" t="s">
        <v>31930</v>
      </c>
      <c r="K9506" t="s">
        <v>41190</v>
      </c>
      <c r="M9506" t="s">
        <v>44341</v>
      </c>
      <c r="N9506" t="s">
        <v>45095</v>
      </c>
      <c r="O9506" t="s">
        <v>45096</v>
      </c>
      <c r="P9506">
        <v>0</v>
      </c>
      <c r="Q9506">
        <v>4</v>
      </c>
      <c r="R9506" t="s">
        <v>45105</v>
      </c>
      <c r="S9506" t="s">
        <v>45353</v>
      </c>
      <c r="T9506" t="s">
        <v>47158</v>
      </c>
      <c r="U9506" t="s">
        <v>55350</v>
      </c>
      <c r="V9506" t="s">
        <v>60835</v>
      </c>
      <c r="W9506" t="s">
        <v>44341</v>
      </c>
      <c r="X9506" t="s">
        <v>45108</v>
      </c>
    </row>
    <row r="9507" spans="1:24">
      <c r="A9507">
        <f>HYPERLINK("https://www.philgeps.gov.ph/GEPSNONPILOT/Tender/SplashBidNoticeAbstractUI.aspx?menuIndex=3&amp;refID=7030009&amp;Result=3","7030009")</f>
        <v>0</v>
      </c>
      <c r="B9507" t="s">
        <v>2126</v>
      </c>
      <c r="C9507" t="s">
        <v>12252</v>
      </c>
      <c r="D9507" t="s">
        <v>18072</v>
      </c>
      <c r="E9507" t="s">
        <v>26409</v>
      </c>
      <c r="F9507" t="s">
        <v>31574</v>
      </c>
      <c r="G9507" t="s">
        <v>31582</v>
      </c>
      <c r="H9507" t="s">
        <v>31591</v>
      </c>
      <c r="I9507" t="s">
        <v>8822</v>
      </c>
      <c r="J9507" t="s">
        <v>37708</v>
      </c>
      <c r="K9507" t="s">
        <v>41184</v>
      </c>
      <c r="M9507" t="s">
        <v>43808</v>
      </c>
      <c r="N9507" t="s">
        <v>45095</v>
      </c>
      <c r="O9507" t="s">
        <v>45096</v>
      </c>
      <c r="P9507">
        <v>0</v>
      </c>
      <c r="Q9507">
        <v>0</v>
      </c>
      <c r="R9507" t="s">
        <v>45105</v>
      </c>
      <c r="S9507" t="s">
        <v>45353</v>
      </c>
      <c r="T9507" t="s">
        <v>46979</v>
      </c>
      <c r="U9507" t="s">
        <v>55351</v>
      </c>
      <c r="W9507" t="s">
        <v>43808</v>
      </c>
      <c r="X9507" t="s">
        <v>45108</v>
      </c>
    </row>
    <row r="9508" spans="1:24">
      <c r="A9508">
        <f>HYPERLINK("https://www.philgeps.gov.ph/GEPSNONPILOT/Tender/SplashBidNoticeAbstractUI.aspx?menuIndex=3&amp;refID=7030145&amp;Result=3","7030145")</f>
        <v>0</v>
      </c>
      <c r="B9508" t="s">
        <v>2599</v>
      </c>
      <c r="C9508" t="s">
        <v>12253</v>
      </c>
      <c r="D9508" t="s">
        <v>18044</v>
      </c>
      <c r="E9508" t="s">
        <v>26410</v>
      </c>
      <c r="F9508" t="s">
        <v>31574</v>
      </c>
      <c r="G9508" t="s">
        <v>31582</v>
      </c>
      <c r="H9508" t="s">
        <v>31590</v>
      </c>
      <c r="I9508" t="s">
        <v>31715</v>
      </c>
      <c r="J9508" t="s">
        <v>37709</v>
      </c>
      <c r="K9508" t="s">
        <v>41196</v>
      </c>
      <c r="M9508" t="s">
        <v>44342</v>
      </c>
      <c r="N9508" t="s">
        <v>45095</v>
      </c>
      <c r="O9508" t="s">
        <v>45096</v>
      </c>
      <c r="P9508">
        <v>0</v>
      </c>
      <c r="Q9508">
        <v>2</v>
      </c>
      <c r="R9508" t="s">
        <v>45105</v>
      </c>
      <c r="S9508" t="s">
        <v>45353</v>
      </c>
      <c r="T9508" t="s">
        <v>47159</v>
      </c>
      <c r="U9508" t="s">
        <v>55352</v>
      </c>
      <c r="W9508" t="s">
        <v>44342</v>
      </c>
      <c r="X9508" t="s">
        <v>45108</v>
      </c>
    </row>
    <row r="9509" spans="1:24">
      <c r="A9509">
        <f>HYPERLINK("https://www.philgeps.gov.ph/GEPSNONPILOT/Tender/SplashBidNoticeAbstractUI.aspx?menuIndex=3&amp;refID=7029939&amp;Result=3","7029939")</f>
        <v>0</v>
      </c>
      <c r="B9509" t="s">
        <v>690</v>
      </c>
      <c r="C9509" t="s">
        <v>12254</v>
      </c>
      <c r="D9509" t="s">
        <v>18079</v>
      </c>
      <c r="E9509" t="s">
        <v>26411</v>
      </c>
      <c r="F9509" t="s">
        <v>31574</v>
      </c>
      <c r="G9509" t="s">
        <v>31582</v>
      </c>
      <c r="H9509" t="s">
        <v>31590</v>
      </c>
      <c r="I9509" t="s">
        <v>7185</v>
      </c>
      <c r="J9509" t="s">
        <v>37710</v>
      </c>
      <c r="K9509" t="s">
        <v>41186</v>
      </c>
      <c r="M9509" t="s">
        <v>42197</v>
      </c>
      <c r="N9509" t="s">
        <v>45095</v>
      </c>
      <c r="O9509" t="s">
        <v>45096</v>
      </c>
      <c r="P9509">
        <v>0</v>
      </c>
      <c r="Q9509">
        <v>4</v>
      </c>
      <c r="R9509" t="s">
        <v>45105</v>
      </c>
      <c r="S9509" t="s">
        <v>45353</v>
      </c>
      <c r="T9509" t="s">
        <v>46988</v>
      </c>
      <c r="U9509" t="s">
        <v>55353</v>
      </c>
      <c r="V9509" t="s">
        <v>60010</v>
      </c>
      <c r="W9509" t="s">
        <v>42197</v>
      </c>
      <c r="X9509" t="s">
        <v>45108</v>
      </c>
    </row>
    <row r="9510" spans="1:24">
      <c r="A9510">
        <f>HYPERLINK("https://www.philgeps.gov.ph/GEPSNONPILOT/Tender/SplashBidNoticeAbstractUI.aspx?menuIndex=3&amp;refID=7030120&amp;Result=3","7030120")</f>
        <v>0</v>
      </c>
      <c r="B9510" t="s">
        <v>2600</v>
      </c>
      <c r="C9510" t="s">
        <v>12255</v>
      </c>
      <c r="D9510" t="s">
        <v>18077</v>
      </c>
      <c r="E9510" t="s">
        <v>26412</v>
      </c>
      <c r="F9510" t="s">
        <v>31574</v>
      </c>
      <c r="G9510" t="s">
        <v>31582</v>
      </c>
      <c r="H9510" t="s">
        <v>31590</v>
      </c>
      <c r="I9510" t="s">
        <v>31632</v>
      </c>
      <c r="J9510" t="s">
        <v>32367</v>
      </c>
      <c r="K9510" t="s">
        <v>41186</v>
      </c>
      <c r="M9510" t="s">
        <v>44343</v>
      </c>
      <c r="N9510" t="s">
        <v>45095</v>
      </c>
      <c r="O9510" t="s">
        <v>45096</v>
      </c>
      <c r="P9510">
        <v>0</v>
      </c>
      <c r="Q9510">
        <v>0</v>
      </c>
      <c r="R9510" t="s">
        <v>45105</v>
      </c>
      <c r="S9510" t="s">
        <v>45353</v>
      </c>
      <c r="T9510" t="s">
        <v>47000</v>
      </c>
      <c r="U9510" t="s">
        <v>55354</v>
      </c>
      <c r="W9510" t="s">
        <v>44343</v>
      </c>
      <c r="X9510" t="s">
        <v>45108</v>
      </c>
    </row>
    <row r="9511" spans="1:24">
      <c r="A9511">
        <f>HYPERLINK("https://www.philgeps.gov.ph/GEPSNONPILOT/Tender/SplashBidNoticeAbstractUI.aspx?menuIndex=3&amp;refID=7029928&amp;Result=3","7029928")</f>
        <v>0</v>
      </c>
      <c r="B9511" t="s">
        <v>2601</v>
      </c>
      <c r="C9511" t="s">
        <v>12256</v>
      </c>
      <c r="D9511" t="s">
        <v>18047</v>
      </c>
      <c r="E9511" t="s">
        <v>26413</v>
      </c>
      <c r="F9511" t="s">
        <v>31574</v>
      </c>
      <c r="G9511" t="s">
        <v>31582</v>
      </c>
      <c r="H9511" t="s">
        <v>31590</v>
      </c>
      <c r="I9511" t="s">
        <v>4046</v>
      </c>
      <c r="J9511" t="s">
        <v>37711</v>
      </c>
      <c r="K9511" t="s">
        <v>41193</v>
      </c>
      <c r="M9511" t="s">
        <v>44344</v>
      </c>
      <c r="N9511" t="s">
        <v>45095</v>
      </c>
      <c r="O9511" t="s">
        <v>45096</v>
      </c>
      <c r="P9511">
        <v>0</v>
      </c>
      <c r="Q9511">
        <v>0</v>
      </c>
      <c r="R9511" t="s">
        <v>45105</v>
      </c>
      <c r="S9511" t="s">
        <v>45353</v>
      </c>
      <c r="T9511" t="s">
        <v>47159</v>
      </c>
      <c r="U9511" t="s">
        <v>55355</v>
      </c>
      <c r="W9511" t="s">
        <v>44344</v>
      </c>
      <c r="X9511" t="s">
        <v>45108</v>
      </c>
    </row>
    <row r="9512" spans="1:24">
      <c r="A9512">
        <f>HYPERLINK("https://www.philgeps.gov.ph/GEPSNONPILOT/Tender/SplashBidNoticeAbstractUI.aspx?menuIndex=3&amp;refID=7030099&amp;Result=3","7030099")</f>
        <v>0</v>
      </c>
      <c r="B9512" t="s">
        <v>2598</v>
      </c>
      <c r="C9512" t="s">
        <v>12257</v>
      </c>
      <c r="D9512" t="s">
        <v>18074</v>
      </c>
      <c r="E9512" t="s">
        <v>26414</v>
      </c>
      <c r="F9512" t="s">
        <v>31574</v>
      </c>
      <c r="G9512" t="s">
        <v>31581</v>
      </c>
      <c r="H9512" t="s">
        <v>31590</v>
      </c>
      <c r="I9512" t="s">
        <v>3651</v>
      </c>
      <c r="J9512" t="s">
        <v>31727</v>
      </c>
      <c r="K9512" t="s">
        <v>41190</v>
      </c>
      <c r="M9512" t="s">
        <v>44341</v>
      </c>
      <c r="N9512" t="s">
        <v>45095</v>
      </c>
      <c r="O9512" t="s">
        <v>45096</v>
      </c>
      <c r="P9512">
        <v>0</v>
      </c>
      <c r="Q9512">
        <v>0</v>
      </c>
      <c r="R9512" t="s">
        <v>45105</v>
      </c>
      <c r="S9512" t="s">
        <v>45353</v>
      </c>
      <c r="T9512" t="s">
        <v>47158</v>
      </c>
      <c r="U9512" t="s">
        <v>55356</v>
      </c>
      <c r="V9512" t="s">
        <v>60835</v>
      </c>
      <c r="W9512" t="s">
        <v>44341</v>
      </c>
      <c r="X9512" t="s">
        <v>45108</v>
      </c>
    </row>
    <row r="9513" spans="1:24">
      <c r="A9513">
        <f>HYPERLINK("https://www.philgeps.gov.ph/GEPSNONPILOT/Tender/SplashBidNoticeAbstractUI.aspx?menuIndex=3&amp;refID=7030118&amp;Result=3","7030118")</f>
        <v>0</v>
      </c>
      <c r="B9513" t="s">
        <v>2602</v>
      </c>
      <c r="C9513" t="s">
        <v>12258</v>
      </c>
      <c r="D9513" t="s">
        <v>18093</v>
      </c>
      <c r="E9513" t="s">
        <v>26415</v>
      </c>
      <c r="F9513" t="s">
        <v>31574</v>
      </c>
      <c r="G9513" t="s">
        <v>31583</v>
      </c>
      <c r="H9513" t="s">
        <v>31590</v>
      </c>
      <c r="I9513" t="s">
        <v>31623</v>
      </c>
      <c r="J9513" t="s">
        <v>37712</v>
      </c>
      <c r="K9513" t="s">
        <v>41193</v>
      </c>
      <c r="M9513" t="s">
        <v>44345</v>
      </c>
      <c r="N9513" t="s">
        <v>45095</v>
      </c>
      <c r="O9513" t="s">
        <v>45096</v>
      </c>
      <c r="P9513">
        <v>0</v>
      </c>
      <c r="Q9513">
        <v>1</v>
      </c>
      <c r="R9513" t="s">
        <v>45105</v>
      </c>
      <c r="S9513" t="s">
        <v>45353</v>
      </c>
      <c r="T9513" t="s">
        <v>46985</v>
      </c>
      <c r="U9513" t="s">
        <v>55357</v>
      </c>
      <c r="V9513" t="s">
        <v>60836</v>
      </c>
      <c r="W9513" t="s">
        <v>44345</v>
      </c>
      <c r="X9513" t="s">
        <v>45108</v>
      </c>
    </row>
    <row r="9514" spans="1:24">
      <c r="A9514">
        <f>HYPERLINK("https://www.philgeps.gov.ph/GEPSNONPILOT/Tender/SplashBidNoticeAbstractUI.aspx?menuIndex=3&amp;refID=7030151&amp;Result=3","7030151")</f>
        <v>0</v>
      </c>
      <c r="B9514" t="s">
        <v>2602</v>
      </c>
      <c r="C9514" t="s">
        <v>12259</v>
      </c>
      <c r="D9514" t="s">
        <v>18093</v>
      </c>
      <c r="E9514" t="s">
        <v>26416</v>
      </c>
      <c r="F9514" t="s">
        <v>31574</v>
      </c>
      <c r="G9514" t="s">
        <v>31583</v>
      </c>
      <c r="H9514" t="s">
        <v>31590</v>
      </c>
      <c r="I9514" t="s">
        <v>31601</v>
      </c>
      <c r="J9514" t="s">
        <v>37713</v>
      </c>
      <c r="K9514" t="s">
        <v>41193</v>
      </c>
      <c r="M9514" t="s">
        <v>44345</v>
      </c>
      <c r="N9514" t="s">
        <v>45095</v>
      </c>
      <c r="O9514" t="s">
        <v>45096</v>
      </c>
      <c r="P9514">
        <v>0</v>
      </c>
      <c r="Q9514">
        <v>5</v>
      </c>
      <c r="R9514" t="s">
        <v>45105</v>
      </c>
      <c r="S9514" t="s">
        <v>45353</v>
      </c>
      <c r="T9514" t="s">
        <v>46985</v>
      </c>
      <c r="U9514" t="s">
        <v>55357</v>
      </c>
      <c r="V9514" t="s">
        <v>60836</v>
      </c>
      <c r="W9514" t="s">
        <v>44345</v>
      </c>
      <c r="X9514" t="s">
        <v>45108</v>
      </c>
    </row>
    <row r="9515" spans="1:24">
      <c r="A9515">
        <f>HYPERLINK("https://www.philgeps.gov.ph/GEPSNONPILOT/Tender/SplashBidNoticeAbstractUI.aspx?menuIndex=3&amp;refID=7030063&amp;Result=3","7030063")</f>
        <v>0</v>
      </c>
      <c r="B9515" t="s">
        <v>2603</v>
      </c>
      <c r="C9515" t="s">
        <v>12260</v>
      </c>
      <c r="D9515" t="s">
        <v>18043</v>
      </c>
      <c r="E9515" t="s">
        <v>18574</v>
      </c>
      <c r="F9515" t="s">
        <v>31579</v>
      </c>
      <c r="G9515" t="s">
        <v>31583</v>
      </c>
      <c r="H9515" t="s">
        <v>31590</v>
      </c>
      <c r="I9515" t="s">
        <v>3520</v>
      </c>
      <c r="J9515" t="s">
        <v>33412</v>
      </c>
      <c r="K9515" t="s">
        <v>41193</v>
      </c>
      <c r="M9515" t="s">
        <v>44346</v>
      </c>
      <c r="N9515" t="s">
        <v>45095</v>
      </c>
      <c r="O9515" t="s">
        <v>45096</v>
      </c>
      <c r="P9515">
        <v>0</v>
      </c>
      <c r="Q9515">
        <v>1</v>
      </c>
      <c r="R9515" t="s">
        <v>45105</v>
      </c>
      <c r="S9515" t="s">
        <v>45353</v>
      </c>
      <c r="T9515" t="s">
        <v>47162</v>
      </c>
      <c r="U9515" t="s">
        <v>55358</v>
      </c>
      <c r="V9515" t="s">
        <v>60837</v>
      </c>
      <c r="W9515" t="s">
        <v>44346</v>
      </c>
      <c r="X9515" t="s">
        <v>45108</v>
      </c>
    </row>
    <row r="9516" spans="1:24">
      <c r="A9516">
        <f>HYPERLINK("https://www.philgeps.gov.ph/GEPSNONPILOT/Tender/SplashBidNoticeAbstractUI.aspx?menuIndex=3&amp;refID=7029984&amp;Result=3","7029984")</f>
        <v>0</v>
      </c>
      <c r="B9516" t="s">
        <v>2351</v>
      </c>
      <c r="C9516" t="s">
        <v>12261</v>
      </c>
      <c r="D9516" t="s">
        <v>18030</v>
      </c>
      <c r="E9516" t="s">
        <v>26417</v>
      </c>
      <c r="F9516" t="s">
        <v>31574</v>
      </c>
      <c r="G9516" t="s">
        <v>31582</v>
      </c>
      <c r="H9516" t="s">
        <v>31591</v>
      </c>
      <c r="I9516" t="s">
        <v>8822</v>
      </c>
      <c r="J9516" t="s">
        <v>37714</v>
      </c>
      <c r="K9516" t="s">
        <v>41218</v>
      </c>
      <c r="M9516" t="s">
        <v>44068</v>
      </c>
      <c r="N9516" t="s">
        <v>45095</v>
      </c>
      <c r="O9516" t="s">
        <v>45096</v>
      </c>
      <c r="P9516">
        <v>0</v>
      </c>
      <c r="Q9516">
        <v>1</v>
      </c>
      <c r="R9516" t="s">
        <v>45105</v>
      </c>
      <c r="S9516" t="s">
        <v>45353</v>
      </c>
      <c r="T9516" t="s">
        <v>47158</v>
      </c>
      <c r="U9516" t="s">
        <v>55359</v>
      </c>
      <c r="W9516" t="s">
        <v>44068</v>
      </c>
      <c r="X9516" t="s">
        <v>45108</v>
      </c>
    </row>
    <row r="9517" spans="1:24">
      <c r="A9517">
        <f>HYPERLINK("https://www.philgeps.gov.ph/GEPSNONPILOT/Tender/SplashBidNoticeAbstractUI.aspx?menuIndex=3&amp;refID=7030080&amp;Result=3","7030080")</f>
        <v>0</v>
      </c>
      <c r="B9517" t="s">
        <v>2604</v>
      </c>
      <c r="C9517" t="s">
        <v>4825</v>
      </c>
      <c r="D9517" t="s">
        <v>18033</v>
      </c>
      <c r="E9517" t="s">
        <v>18316</v>
      </c>
      <c r="F9517" t="s">
        <v>31574</v>
      </c>
      <c r="G9517" t="s">
        <v>31582</v>
      </c>
      <c r="H9517" t="s">
        <v>31590</v>
      </c>
      <c r="I9517" t="s">
        <v>4046</v>
      </c>
      <c r="J9517" t="s">
        <v>37715</v>
      </c>
      <c r="K9517" t="s">
        <v>41196</v>
      </c>
      <c r="M9517" t="s">
        <v>44347</v>
      </c>
      <c r="N9517" t="s">
        <v>45095</v>
      </c>
      <c r="O9517" t="s">
        <v>45096</v>
      </c>
      <c r="P9517">
        <v>0</v>
      </c>
      <c r="Q9517">
        <v>1</v>
      </c>
      <c r="R9517" t="s">
        <v>45105</v>
      </c>
      <c r="S9517" t="s">
        <v>45353</v>
      </c>
      <c r="T9517" t="s">
        <v>47000</v>
      </c>
      <c r="U9517" t="s">
        <v>55360</v>
      </c>
      <c r="W9517" t="s">
        <v>44347</v>
      </c>
      <c r="X9517" t="s">
        <v>45108</v>
      </c>
    </row>
    <row r="9518" spans="1:24">
      <c r="A9518">
        <f>HYPERLINK("https://www.philgeps.gov.ph/GEPSNONPILOT/Tender/SplashBidNoticeAbstractUI.aspx?menuIndex=3&amp;refID=7030155&amp;Result=3","7030155")</f>
        <v>0</v>
      </c>
      <c r="B9518" t="s">
        <v>690</v>
      </c>
      <c r="C9518" t="s">
        <v>12262</v>
      </c>
      <c r="D9518" t="s">
        <v>18079</v>
      </c>
      <c r="E9518" t="s">
        <v>26418</v>
      </c>
      <c r="F9518" t="s">
        <v>31574</v>
      </c>
      <c r="G9518" t="s">
        <v>31582</v>
      </c>
      <c r="H9518" t="s">
        <v>31591</v>
      </c>
      <c r="I9518" t="s">
        <v>8822</v>
      </c>
      <c r="J9518" t="s">
        <v>37716</v>
      </c>
      <c r="K9518" t="s">
        <v>41185</v>
      </c>
      <c r="M9518" t="s">
        <v>42197</v>
      </c>
      <c r="N9518" t="s">
        <v>45095</v>
      </c>
      <c r="O9518" t="s">
        <v>45096</v>
      </c>
      <c r="P9518">
        <v>0</v>
      </c>
      <c r="Q9518">
        <v>1</v>
      </c>
      <c r="R9518" t="s">
        <v>45105</v>
      </c>
      <c r="S9518" t="s">
        <v>45353</v>
      </c>
      <c r="T9518" t="s">
        <v>47100</v>
      </c>
      <c r="U9518" t="s">
        <v>55361</v>
      </c>
      <c r="V9518" t="s">
        <v>60010</v>
      </c>
      <c r="W9518" t="s">
        <v>42197</v>
      </c>
      <c r="X9518" t="s">
        <v>45108</v>
      </c>
    </row>
    <row r="9519" spans="1:24">
      <c r="A9519">
        <f>HYPERLINK("https://www.philgeps.gov.ph/GEPSNONPILOT/Tender/SplashBidNoticeAbstractUI.aspx?menuIndex=3&amp;refID=7030018&amp;Result=3","7030018")</f>
        <v>0</v>
      </c>
      <c r="B9519" t="s">
        <v>2604</v>
      </c>
      <c r="C9519" t="s">
        <v>12263</v>
      </c>
      <c r="D9519" t="s">
        <v>18033</v>
      </c>
      <c r="E9519" t="s">
        <v>18788</v>
      </c>
      <c r="F9519" t="s">
        <v>31574</v>
      </c>
      <c r="G9519" t="s">
        <v>31582</v>
      </c>
      <c r="H9519" t="s">
        <v>31590</v>
      </c>
      <c r="I9519" t="s">
        <v>4046</v>
      </c>
      <c r="J9519" t="s">
        <v>37717</v>
      </c>
      <c r="K9519" t="s">
        <v>41196</v>
      </c>
      <c r="M9519" t="s">
        <v>44347</v>
      </c>
      <c r="N9519" t="s">
        <v>45095</v>
      </c>
      <c r="O9519" t="s">
        <v>45096</v>
      </c>
      <c r="P9519">
        <v>0</v>
      </c>
      <c r="Q9519">
        <v>1</v>
      </c>
      <c r="R9519" t="s">
        <v>45105</v>
      </c>
      <c r="S9519" t="s">
        <v>45353</v>
      </c>
      <c r="T9519" t="s">
        <v>46979</v>
      </c>
      <c r="U9519" t="s">
        <v>55362</v>
      </c>
      <c r="W9519" t="s">
        <v>44347</v>
      </c>
      <c r="X9519" t="s">
        <v>45108</v>
      </c>
    </row>
    <row r="9520" spans="1:24">
      <c r="A9520">
        <f>HYPERLINK("https://www.philgeps.gov.ph/GEPSNONPILOT/Tender/SplashBidNoticeAbstractUI.aspx?menuIndex=3&amp;refID=7030173&amp;Result=3","7030173")</f>
        <v>0</v>
      </c>
      <c r="B9520" t="s">
        <v>690</v>
      </c>
      <c r="C9520" t="s">
        <v>12264</v>
      </c>
      <c r="D9520" t="s">
        <v>18079</v>
      </c>
      <c r="E9520" t="s">
        <v>26419</v>
      </c>
      <c r="F9520" t="s">
        <v>31574</v>
      </c>
      <c r="G9520" t="s">
        <v>31582</v>
      </c>
      <c r="H9520" t="s">
        <v>31591</v>
      </c>
      <c r="I9520" t="s">
        <v>8822</v>
      </c>
      <c r="J9520" t="s">
        <v>37718</v>
      </c>
      <c r="K9520" t="s">
        <v>41393</v>
      </c>
      <c r="M9520" t="s">
        <v>42197</v>
      </c>
      <c r="N9520" t="s">
        <v>45095</v>
      </c>
      <c r="O9520" t="s">
        <v>45096</v>
      </c>
      <c r="P9520">
        <v>0</v>
      </c>
      <c r="Q9520">
        <v>0</v>
      </c>
      <c r="R9520" t="s">
        <v>45105</v>
      </c>
      <c r="S9520" t="s">
        <v>45353</v>
      </c>
      <c r="T9520" t="s">
        <v>47100</v>
      </c>
      <c r="U9520" t="s">
        <v>55363</v>
      </c>
      <c r="V9520" t="s">
        <v>60010</v>
      </c>
      <c r="W9520" t="s">
        <v>42197</v>
      </c>
      <c r="X9520" t="s">
        <v>45108</v>
      </c>
    </row>
    <row r="9521" spans="1:24">
      <c r="A9521">
        <f>HYPERLINK("https://www.philgeps.gov.ph/GEPSNONPILOT/Tender/SplashBidNoticeAbstractUI.aspx?menuIndex=3&amp;refID=7030351&amp;Result=3","7030351")</f>
        <v>0</v>
      </c>
      <c r="B9521" t="s">
        <v>408</v>
      </c>
      <c r="C9521" t="s">
        <v>12265</v>
      </c>
      <c r="D9521" t="s">
        <v>18059</v>
      </c>
      <c r="E9521" t="s">
        <v>26420</v>
      </c>
      <c r="F9521" t="s">
        <v>31574</v>
      </c>
      <c r="G9521" t="s">
        <v>31582</v>
      </c>
      <c r="H9521" t="s">
        <v>31590</v>
      </c>
      <c r="I9521" t="s">
        <v>31615</v>
      </c>
      <c r="J9521" t="s">
        <v>32421</v>
      </c>
      <c r="K9521" t="s">
        <v>41184</v>
      </c>
      <c r="M9521" t="s">
        <v>41899</v>
      </c>
      <c r="N9521" t="s">
        <v>45095</v>
      </c>
      <c r="O9521" t="s">
        <v>45096</v>
      </c>
      <c r="P9521">
        <v>0</v>
      </c>
      <c r="Q9521">
        <v>1</v>
      </c>
      <c r="R9521" t="s">
        <v>45105</v>
      </c>
      <c r="S9521" t="s">
        <v>45353</v>
      </c>
      <c r="T9521" t="s">
        <v>47197</v>
      </c>
      <c r="U9521" t="s">
        <v>55364</v>
      </c>
      <c r="W9521" t="s">
        <v>41899</v>
      </c>
      <c r="X9521" t="s">
        <v>45108</v>
      </c>
    </row>
    <row r="9522" spans="1:24">
      <c r="A9522">
        <f>HYPERLINK("https://www.philgeps.gov.ph/GEPSNONPILOT/Tender/SplashBidNoticeAbstractUI.aspx?menuIndex=3&amp;refID=7030007&amp;Result=3","7030007")</f>
        <v>0</v>
      </c>
      <c r="B9522" t="s">
        <v>2605</v>
      </c>
      <c r="C9522" t="s">
        <v>12266</v>
      </c>
      <c r="D9522" t="s">
        <v>18023</v>
      </c>
      <c r="E9522" t="s">
        <v>19061</v>
      </c>
      <c r="F9522" t="s">
        <v>31574</v>
      </c>
      <c r="G9522" t="s">
        <v>31582</v>
      </c>
      <c r="H9522" t="s">
        <v>31591</v>
      </c>
      <c r="I9522" t="s">
        <v>8822</v>
      </c>
      <c r="J9522" t="s">
        <v>37719</v>
      </c>
      <c r="K9522" t="s">
        <v>41200</v>
      </c>
      <c r="M9522" t="s">
        <v>44348</v>
      </c>
      <c r="N9522" t="s">
        <v>45095</v>
      </c>
      <c r="O9522" t="s">
        <v>45096</v>
      </c>
      <c r="P9522">
        <v>0</v>
      </c>
      <c r="Q9522">
        <v>26</v>
      </c>
      <c r="R9522" t="s">
        <v>45105</v>
      </c>
      <c r="S9522" t="s">
        <v>45353</v>
      </c>
      <c r="T9522" t="s">
        <v>47304</v>
      </c>
      <c r="U9522" t="s">
        <v>55365</v>
      </c>
      <c r="W9522" t="s">
        <v>44348</v>
      </c>
      <c r="X9522" t="s">
        <v>45108</v>
      </c>
    </row>
    <row r="9523" spans="1:24">
      <c r="A9523">
        <f>HYPERLINK("https://www.philgeps.gov.ph/GEPSNONPILOT/Tender/SplashBidNoticeAbstractUI.aspx?menuIndex=3&amp;refID=7030297&amp;Result=3","7030297")</f>
        <v>0</v>
      </c>
      <c r="B9523" t="s">
        <v>105</v>
      </c>
      <c r="C9523" t="s">
        <v>12267</v>
      </c>
      <c r="D9523" t="s">
        <v>18062</v>
      </c>
      <c r="E9523" t="s">
        <v>26421</v>
      </c>
      <c r="F9523" t="s">
        <v>31574</v>
      </c>
      <c r="G9523" t="s">
        <v>31582</v>
      </c>
      <c r="H9523" t="s">
        <v>31591</v>
      </c>
      <c r="I9523" t="s">
        <v>7162</v>
      </c>
      <c r="J9523" t="s">
        <v>37720</v>
      </c>
      <c r="K9523" t="s">
        <v>41189</v>
      </c>
      <c r="M9523" t="s">
        <v>41589</v>
      </c>
      <c r="N9523" t="s">
        <v>45095</v>
      </c>
      <c r="O9523" t="s">
        <v>45096</v>
      </c>
      <c r="P9523">
        <v>0</v>
      </c>
      <c r="Q9523">
        <v>0</v>
      </c>
      <c r="R9523" t="s">
        <v>45105</v>
      </c>
      <c r="S9523" t="s">
        <v>45353</v>
      </c>
      <c r="T9523" t="s">
        <v>46965</v>
      </c>
      <c r="U9523" t="s">
        <v>55366</v>
      </c>
      <c r="W9523" t="s">
        <v>41589</v>
      </c>
      <c r="X9523" t="s">
        <v>45108</v>
      </c>
    </row>
    <row r="9524" spans="1:24">
      <c r="A9524">
        <f>HYPERLINK("https://www.philgeps.gov.ph/GEPSNONPILOT/Tender/SplashBidNoticeAbstractUI.aspx?menuIndex=3&amp;refID=7030287&amp;Result=3","7030287")</f>
        <v>0</v>
      </c>
      <c r="B9524" t="s">
        <v>2598</v>
      </c>
      <c r="C9524" t="s">
        <v>12268</v>
      </c>
      <c r="D9524" t="s">
        <v>18074</v>
      </c>
      <c r="E9524" t="s">
        <v>26422</v>
      </c>
      <c r="F9524" t="s">
        <v>31574</v>
      </c>
      <c r="G9524" t="s">
        <v>31581</v>
      </c>
      <c r="H9524" t="s">
        <v>31590</v>
      </c>
      <c r="I9524" t="s">
        <v>31602</v>
      </c>
      <c r="J9524" t="s">
        <v>31741</v>
      </c>
      <c r="K9524" t="s">
        <v>41190</v>
      </c>
      <c r="M9524" t="s">
        <v>44341</v>
      </c>
      <c r="N9524" t="s">
        <v>45095</v>
      </c>
      <c r="O9524" t="s">
        <v>45096</v>
      </c>
      <c r="P9524">
        <v>0</v>
      </c>
      <c r="Q9524">
        <v>0</v>
      </c>
      <c r="R9524" t="s">
        <v>45105</v>
      </c>
      <c r="S9524" t="s">
        <v>45353</v>
      </c>
      <c r="T9524" t="s">
        <v>47158</v>
      </c>
      <c r="U9524" t="s">
        <v>55367</v>
      </c>
      <c r="V9524" t="s">
        <v>60835</v>
      </c>
      <c r="W9524" t="s">
        <v>44341</v>
      </c>
      <c r="X9524" t="s">
        <v>45108</v>
      </c>
    </row>
    <row r="9525" spans="1:24">
      <c r="A9525">
        <f>HYPERLINK("https://www.philgeps.gov.ph/GEPSNONPILOT/Tender/SplashBidNoticeAbstractUI.aspx?menuIndex=3&amp;refID=7030358&amp;Result=3","7030358")</f>
        <v>0</v>
      </c>
      <c r="B9525" t="s">
        <v>105</v>
      </c>
      <c r="C9525" t="s">
        <v>12269</v>
      </c>
      <c r="D9525" t="s">
        <v>18062</v>
      </c>
      <c r="E9525" t="s">
        <v>26423</v>
      </c>
      <c r="F9525" t="s">
        <v>31574</v>
      </c>
      <c r="G9525" t="s">
        <v>31582</v>
      </c>
      <c r="H9525" t="s">
        <v>31591</v>
      </c>
      <c r="I9525" t="s">
        <v>8822</v>
      </c>
      <c r="J9525" t="s">
        <v>37721</v>
      </c>
      <c r="K9525" t="s">
        <v>41185</v>
      </c>
      <c r="M9525" t="s">
        <v>41589</v>
      </c>
      <c r="N9525" t="s">
        <v>45095</v>
      </c>
      <c r="O9525" t="s">
        <v>45096</v>
      </c>
      <c r="P9525">
        <v>0</v>
      </c>
      <c r="Q9525">
        <v>0</v>
      </c>
      <c r="R9525" t="s">
        <v>45105</v>
      </c>
      <c r="S9525" t="s">
        <v>45353</v>
      </c>
      <c r="T9525" t="s">
        <v>46965</v>
      </c>
      <c r="U9525" t="s">
        <v>55368</v>
      </c>
      <c r="W9525" t="s">
        <v>41589</v>
      </c>
      <c r="X9525" t="s">
        <v>45108</v>
      </c>
    </row>
    <row r="9526" spans="1:24">
      <c r="A9526">
        <f>HYPERLINK("https://www.philgeps.gov.ph/GEPSNONPILOT/Tender/SplashBidNoticeAbstractUI.aspx?menuIndex=3&amp;refID=7030374&amp;Result=3","7030374")</f>
        <v>0</v>
      </c>
      <c r="B9526" t="s">
        <v>408</v>
      </c>
      <c r="C9526" t="s">
        <v>12270</v>
      </c>
      <c r="D9526" t="s">
        <v>18059</v>
      </c>
      <c r="E9526" t="s">
        <v>26424</v>
      </c>
      <c r="F9526" t="s">
        <v>31574</v>
      </c>
      <c r="G9526" t="s">
        <v>31582</v>
      </c>
      <c r="H9526" t="s">
        <v>31590</v>
      </c>
      <c r="I9526" t="s">
        <v>31602</v>
      </c>
      <c r="J9526" t="s">
        <v>37722</v>
      </c>
      <c r="K9526" t="s">
        <v>41184</v>
      </c>
      <c r="M9526" t="s">
        <v>41899</v>
      </c>
      <c r="N9526" t="s">
        <v>45095</v>
      </c>
      <c r="O9526" t="s">
        <v>45096</v>
      </c>
      <c r="P9526">
        <v>0</v>
      </c>
      <c r="Q9526">
        <v>0</v>
      </c>
      <c r="R9526" t="s">
        <v>45105</v>
      </c>
      <c r="S9526" t="s">
        <v>45353</v>
      </c>
      <c r="T9526" t="s">
        <v>47197</v>
      </c>
      <c r="U9526" t="s">
        <v>55369</v>
      </c>
      <c r="W9526" t="s">
        <v>41899</v>
      </c>
      <c r="X9526" t="s">
        <v>45108</v>
      </c>
    </row>
    <row r="9527" spans="1:24">
      <c r="A9527">
        <f>HYPERLINK("https://www.philgeps.gov.ph/GEPSNONPILOT/Tender/SplashBidNoticeAbstractUI.aspx?menuIndex=3&amp;refID=7030284&amp;Result=3","7030284")</f>
        <v>0</v>
      </c>
      <c r="B9527" t="s">
        <v>178</v>
      </c>
      <c r="C9527" t="s">
        <v>12271</v>
      </c>
      <c r="D9527" t="s">
        <v>18078</v>
      </c>
      <c r="E9527" t="s">
        <v>26425</v>
      </c>
      <c r="F9527" t="s">
        <v>31574</v>
      </c>
      <c r="G9527" t="s">
        <v>31582</v>
      </c>
      <c r="H9527" t="s">
        <v>31590</v>
      </c>
      <c r="I9527" t="s">
        <v>3901</v>
      </c>
      <c r="J9527" t="s">
        <v>37723</v>
      </c>
      <c r="K9527" t="s">
        <v>41200</v>
      </c>
      <c r="M9527" t="s">
        <v>41662</v>
      </c>
      <c r="N9527" t="s">
        <v>45095</v>
      </c>
      <c r="O9527" t="s">
        <v>45096</v>
      </c>
      <c r="P9527">
        <v>0</v>
      </c>
      <c r="Q9527">
        <v>14</v>
      </c>
      <c r="R9527" t="s">
        <v>45105</v>
      </c>
      <c r="S9527" t="s">
        <v>45353</v>
      </c>
      <c r="T9527" t="s">
        <v>47010</v>
      </c>
      <c r="U9527" t="s">
        <v>55370</v>
      </c>
      <c r="V9527" t="s">
        <v>60838</v>
      </c>
      <c r="W9527" t="s">
        <v>41662</v>
      </c>
      <c r="X9527" t="s">
        <v>45108</v>
      </c>
    </row>
    <row r="9528" spans="1:24">
      <c r="A9528">
        <f>HYPERLINK("https://www.philgeps.gov.ph/GEPSNONPILOT/Tender/SplashBidNoticeAbstractUI.aspx?menuIndex=3&amp;refID=7030271&amp;Result=3","7030271")</f>
        <v>0</v>
      </c>
      <c r="B9528" t="s">
        <v>1014</v>
      </c>
      <c r="C9528" t="s">
        <v>12272</v>
      </c>
      <c r="D9528" t="s">
        <v>18059</v>
      </c>
      <c r="E9528" t="s">
        <v>26426</v>
      </c>
      <c r="F9528" t="s">
        <v>31574</v>
      </c>
      <c r="G9528" t="s">
        <v>31585</v>
      </c>
      <c r="H9528" t="s">
        <v>31590</v>
      </c>
      <c r="I9528" t="s">
        <v>31615</v>
      </c>
      <c r="J9528" t="s">
        <v>33343</v>
      </c>
      <c r="K9528" t="s">
        <v>41192</v>
      </c>
      <c r="M9528" t="s">
        <v>44349</v>
      </c>
      <c r="N9528" t="s">
        <v>45095</v>
      </c>
      <c r="O9528" t="s">
        <v>45096</v>
      </c>
      <c r="P9528">
        <v>0</v>
      </c>
      <c r="Q9528">
        <v>3</v>
      </c>
      <c r="R9528" t="s">
        <v>45105</v>
      </c>
      <c r="S9528" t="s">
        <v>45353</v>
      </c>
      <c r="T9528" t="s">
        <v>46988</v>
      </c>
      <c r="U9528" t="s">
        <v>55371</v>
      </c>
      <c r="V9528" t="s">
        <v>60839</v>
      </c>
      <c r="W9528" t="s">
        <v>44349</v>
      </c>
      <c r="X9528" t="s">
        <v>45108</v>
      </c>
    </row>
    <row r="9529" spans="1:24">
      <c r="A9529">
        <f>HYPERLINK("https://www.philgeps.gov.ph/GEPSNONPILOT/Tender/SplashBidNoticeAbstractUI.aspx?menuIndex=3&amp;refID=7030193&amp;Result=3","7030193")</f>
        <v>0</v>
      </c>
      <c r="B9529" t="s">
        <v>2474</v>
      </c>
      <c r="C9529" t="s">
        <v>12273</v>
      </c>
      <c r="D9529" t="s">
        <v>18044</v>
      </c>
      <c r="E9529" t="s">
        <v>26427</v>
      </c>
      <c r="F9529" t="s">
        <v>31574</v>
      </c>
      <c r="G9529" t="s">
        <v>31582</v>
      </c>
      <c r="H9529" t="s">
        <v>31591</v>
      </c>
      <c r="I9529" t="s">
        <v>8822</v>
      </c>
      <c r="J9529" t="s">
        <v>37724</v>
      </c>
      <c r="K9529" t="s">
        <v>41203</v>
      </c>
      <c r="M9529" t="s">
        <v>44350</v>
      </c>
      <c r="N9529" t="s">
        <v>45095</v>
      </c>
      <c r="O9529" t="s">
        <v>45096</v>
      </c>
      <c r="P9529">
        <v>0</v>
      </c>
      <c r="Q9529">
        <v>3</v>
      </c>
      <c r="R9529" t="s">
        <v>45105</v>
      </c>
      <c r="S9529" t="s">
        <v>45353</v>
      </c>
      <c r="T9529" t="s">
        <v>46965</v>
      </c>
      <c r="U9529" t="s">
        <v>55372</v>
      </c>
      <c r="W9529" t="s">
        <v>61739</v>
      </c>
      <c r="X9529" t="s">
        <v>45108</v>
      </c>
    </row>
    <row r="9530" spans="1:24">
      <c r="A9530">
        <f>HYPERLINK("https://www.philgeps.gov.ph/GEPSNONPILOT/Tender/SplashBidNoticeAbstractUI.aspx?menuIndex=3&amp;refID=7030211&amp;Result=3","7030211")</f>
        <v>0</v>
      </c>
      <c r="B9530" t="s">
        <v>2606</v>
      </c>
      <c r="C9530" t="s">
        <v>12274</v>
      </c>
      <c r="D9530" t="s">
        <v>18033</v>
      </c>
      <c r="E9530" t="s">
        <v>26428</v>
      </c>
      <c r="F9530" t="s">
        <v>31574</v>
      </c>
      <c r="G9530" t="s">
        <v>31581</v>
      </c>
      <c r="H9530" t="s">
        <v>31590</v>
      </c>
      <c r="I9530" t="s">
        <v>31605</v>
      </c>
      <c r="J9530" t="s">
        <v>37725</v>
      </c>
      <c r="K9530" t="s">
        <v>41196</v>
      </c>
      <c r="M9530" t="s">
        <v>44351</v>
      </c>
      <c r="N9530" t="s">
        <v>45095</v>
      </c>
      <c r="O9530" t="s">
        <v>45096</v>
      </c>
      <c r="P9530">
        <v>0</v>
      </c>
      <c r="Q9530">
        <v>0</v>
      </c>
      <c r="R9530" t="s">
        <v>45105</v>
      </c>
      <c r="S9530" t="s">
        <v>45353</v>
      </c>
      <c r="T9530" t="s">
        <v>47106</v>
      </c>
      <c r="U9530" t="s">
        <v>55373</v>
      </c>
      <c r="W9530" t="s">
        <v>44351</v>
      </c>
      <c r="X9530" t="s">
        <v>45108</v>
      </c>
    </row>
    <row r="9531" spans="1:24">
      <c r="A9531">
        <f>HYPERLINK("https://www.philgeps.gov.ph/GEPSNONPILOT/Tender/SplashBidNoticeAbstractUI.aspx?menuIndex=3&amp;refID=7030348&amp;Result=3","7030348")</f>
        <v>0</v>
      </c>
      <c r="B9531" t="s">
        <v>2607</v>
      </c>
      <c r="C9531" t="s">
        <v>12275</v>
      </c>
      <c r="D9531" t="s">
        <v>18094</v>
      </c>
      <c r="E9531" t="s">
        <v>19505</v>
      </c>
      <c r="F9531" t="s">
        <v>31574</v>
      </c>
      <c r="G9531" t="s">
        <v>31583</v>
      </c>
      <c r="H9531" t="s">
        <v>31590</v>
      </c>
      <c r="I9531" t="s">
        <v>6800</v>
      </c>
      <c r="J9531" t="s">
        <v>32334</v>
      </c>
      <c r="K9531" t="s">
        <v>41193</v>
      </c>
      <c r="M9531" t="s">
        <v>44352</v>
      </c>
      <c r="N9531" t="s">
        <v>45095</v>
      </c>
      <c r="O9531" t="s">
        <v>45096</v>
      </c>
      <c r="P9531">
        <v>0</v>
      </c>
      <c r="Q9531">
        <v>0</v>
      </c>
      <c r="R9531" t="s">
        <v>45105</v>
      </c>
      <c r="S9531" t="s">
        <v>45353</v>
      </c>
      <c r="T9531" t="s">
        <v>47183</v>
      </c>
      <c r="U9531" t="s">
        <v>55374</v>
      </c>
      <c r="W9531" t="s">
        <v>44352</v>
      </c>
      <c r="X9531" t="s">
        <v>45108</v>
      </c>
    </row>
    <row r="9532" spans="1:24">
      <c r="A9532">
        <f>HYPERLINK("https://www.philgeps.gov.ph/GEPSNONPILOT/Tender/SplashBidNoticeAbstractUI.aspx?menuIndex=3&amp;refID=7030258&amp;Result=3","7030258")</f>
        <v>0</v>
      </c>
      <c r="B9532" t="s">
        <v>408</v>
      </c>
      <c r="C9532" t="s">
        <v>12276</v>
      </c>
      <c r="D9532" t="s">
        <v>18059</v>
      </c>
      <c r="E9532" t="s">
        <v>26429</v>
      </c>
      <c r="F9532" t="s">
        <v>31574</v>
      </c>
      <c r="G9532" t="s">
        <v>31582</v>
      </c>
      <c r="H9532" t="s">
        <v>31590</v>
      </c>
      <c r="I9532" t="s">
        <v>31615</v>
      </c>
      <c r="J9532" t="s">
        <v>31819</v>
      </c>
      <c r="K9532" t="s">
        <v>41184</v>
      </c>
      <c r="M9532" t="s">
        <v>41899</v>
      </c>
      <c r="N9532" t="s">
        <v>45095</v>
      </c>
      <c r="O9532" t="s">
        <v>45096</v>
      </c>
      <c r="P9532">
        <v>0</v>
      </c>
      <c r="Q9532">
        <v>5</v>
      </c>
      <c r="R9532" t="s">
        <v>45105</v>
      </c>
      <c r="S9532" t="s">
        <v>45353</v>
      </c>
      <c r="T9532" t="s">
        <v>47197</v>
      </c>
      <c r="U9532" t="s">
        <v>55375</v>
      </c>
      <c r="W9532" t="s">
        <v>41899</v>
      </c>
      <c r="X9532" t="s">
        <v>45108</v>
      </c>
    </row>
    <row r="9533" spans="1:24">
      <c r="A9533">
        <f>HYPERLINK("https://www.philgeps.gov.ph/GEPSNONPILOT/Tender/SplashBidNoticeAbstractUI.aspx?menuIndex=3&amp;refID=7030423&amp;Result=3","7030423")</f>
        <v>0</v>
      </c>
      <c r="B9533" t="s">
        <v>408</v>
      </c>
      <c r="C9533" t="s">
        <v>12277</v>
      </c>
      <c r="D9533" t="s">
        <v>18059</v>
      </c>
      <c r="E9533" t="s">
        <v>26430</v>
      </c>
      <c r="F9533" t="s">
        <v>31574</v>
      </c>
      <c r="G9533" t="s">
        <v>31582</v>
      </c>
      <c r="H9533" t="s">
        <v>31590</v>
      </c>
      <c r="I9533" t="s">
        <v>31602</v>
      </c>
      <c r="J9533" t="s">
        <v>37722</v>
      </c>
      <c r="K9533" t="s">
        <v>41184</v>
      </c>
      <c r="M9533" t="s">
        <v>41899</v>
      </c>
      <c r="N9533" t="s">
        <v>45095</v>
      </c>
      <c r="O9533" t="s">
        <v>45096</v>
      </c>
      <c r="P9533">
        <v>0</v>
      </c>
      <c r="Q9533">
        <v>0</v>
      </c>
      <c r="R9533" t="s">
        <v>45105</v>
      </c>
      <c r="S9533" t="s">
        <v>45353</v>
      </c>
      <c r="T9533" t="s">
        <v>47197</v>
      </c>
      <c r="U9533" t="s">
        <v>55369</v>
      </c>
      <c r="W9533" t="s">
        <v>41899</v>
      </c>
      <c r="X9533" t="s">
        <v>45108</v>
      </c>
    </row>
    <row r="9534" spans="1:24">
      <c r="A9534">
        <f>HYPERLINK("https://www.philgeps.gov.ph/GEPSNONPILOT/Tender/SplashBidNoticeAbstractUI.aspx?menuIndex=3&amp;refID=7030285&amp;Result=3","7030285")</f>
        <v>0</v>
      </c>
      <c r="B9534" t="s">
        <v>408</v>
      </c>
      <c r="C9534" t="s">
        <v>12278</v>
      </c>
      <c r="D9534" t="s">
        <v>18059</v>
      </c>
      <c r="E9534" t="s">
        <v>26431</v>
      </c>
      <c r="F9534" t="s">
        <v>31574</v>
      </c>
      <c r="G9534" t="s">
        <v>31582</v>
      </c>
      <c r="H9534" t="s">
        <v>31590</v>
      </c>
      <c r="I9534" t="s">
        <v>31615</v>
      </c>
      <c r="J9534" t="s">
        <v>31771</v>
      </c>
      <c r="K9534" t="s">
        <v>41184</v>
      </c>
      <c r="M9534" t="s">
        <v>41899</v>
      </c>
      <c r="N9534" t="s">
        <v>45095</v>
      </c>
      <c r="O9534" t="s">
        <v>45096</v>
      </c>
      <c r="P9534">
        <v>0</v>
      </c>
      <c r="Q9534">
        <v>3</v>
      </c>
      <c r="R9534" t="s">
        <v>45105</v>
      </c>
      <c r="S9534" t="s">
        <v>45353</v>
      </c>
      <c r="T9534" t="s">
        <v>47197</v>
      </c>
      <c r="U9534" t="s">
        <v>55376</v>
      </c>
      <c r="W9534" t="s">
        <v>41899</v>
      </c>
      <c r="X9534" t="s">
        <v>45108</v>
      </c>
    </row>
    <row r="9535" spans="1:24">
      <c r="A9535">
        <f>HYPERLINK("https://www.philgeps.gov.ph/GEPSNONPILOT/Tender/SplashBidNoticeAbstractUI.aspx?menuIndex=3&amp;refID=7030414&amp;Result=3","7030414")</f>
        <v>0</v>
      </c>
      <c r="B9535" t="s">
        <v>408</v>
      </c>
      <c r="C9535" t="s">
        <v>12279</v>
      </c>
      <c r="D9535" t="s">
        <v>18059</v>
      </c>
      <c r="E9535" t="s">
        <v>26432</v>
      </c>
      <c r="F9535" t="s">
        <v>31574</v>
      </c>
      <c r="G9535" t="s">
        <v>31582</v>
      </c>
      <c r="H9535" t="s">
        <v>31590</v>
      </c>
      <c r="I9535" t="s">
        <v>31602</v>
      </c>
      <c r="J9535" t="s">
        <v>32001</v>
      </c>
      <c r="K9535" t="s">
        <v>41184</v>
      </c>
      <c r="M9535" t="s">
        <v>41899</v>
      </c>
      <c r="N9535" t="s">
        <v>45095</v>
      </c>
      <c r="O9535" t="s">
        <v>45096</v>
      </c>
      <c r="P9535">
        <v>0</v>
      </c>
      <c r="Q9535">
        <v>0</v>
      </c>
      <c r="R9535" t="s">
        <v>45105</v>
      </c>
      <c r="S9535" t="s">
        <v>45353</v>
      </c>
      <c r="T9535" t="s">
        <v>47197</v>
      </c>
      <c r="U9535" t="s">
        <v>55369</v>
      </c>
      <c r="W9535" t="s">
        <v>41899</v>
      </c>
      <c r="X9535" t="s">
        <v>45108</v>
      </c>
    </row>
    <row r="9536" spans="1:24">
      <c r="A9536">
        <f>HYPERLINK("https://www.philgeps.gov.ph/GEPSNONPILOT/Tender/SplashBidNoticeAbstractUI.aspx?menuIndex=3&amp;refID=7030369&amp;Result=3","7030369")</f>
        <v>0</v>
      </c>
      <c r="B9536" t="s">
        <v>1211</v>
      </c>
      <c r="C9536" t="s">
        <v>12280</v>
      </c>
      <c r="D9536" t="s">
        <v>18041</v>
      </c>
      <c r="E9536" t="s">
        <v>26433</v>
      </c>
      <c r="F9536" t="s">
        <v>31574</v>
      </c>
      <c r="G9536" t="s">
        <v>31582</v>
      </c>
      <c r="H9536" t="s">
        <v>31590</v>
      </c>
      <c r="I9536" t="s">
        <v>4354</v>
      </c>
      <c r="J9536" t="s">
        <v>37726</v>
      </c>
      <c r="K9536" t="s">
        <v>41191</v>
      </c>
      <c r="M9536" t="s">
        <v>42771</v>
      </c>
      <c r="N9536" t="s">
        <v>45095</v>
      </c>
      <c r="O9536" t="s">
        <v>45096</v>
      </c>
      <c r="P9536">
        <v>0</v>
      </c>
      <c r="Q9536">
        <v>2</v>
      </c>
      <c r="R9536" t="s">
        <v>45105</v>
      </c>
      <c r="S9536" t="s">
        <v>45353</v>
      </c>
      <c r="T9536" t="s">
        <v>47171</v>
      </c>
      <c r="U9536" t="s">
        <v>51681</v>
      </c>
      <c r="W9536" t="s">
        <v>61694</v>
      </c>
      <c r="X9536" t="s">
        <v>45108</v>
      </c>
    </row>
    <row r="9537" spans="1:24">
      <c r="A9537">
        <f>HYPERLINK("https://www.philgeps.gov.ph/GEPSNONPILOT/Tender/SplashBidNoticeAbstractUI.aspx?menuIndex=3&amp;refID=7029992&amp;Result=3","7029992")</f>
        <v>0</v>
      </c>
      <c r="B9537" t="s">
        <v>134</v>
      </c>
      <c r="C9537" t="s">
        <v>12281</v>
      </c>
      <c r="D9537" t="s">
        <v>18066</v>
      </c>
      <c r="E9537" t="s">
        <v>26434</v>
      </c>
      <c r="F9537" t="s">
        <v>31574</v>
      </c>
      <c r="G9537" t="s">
        <v>31582</v>
      </c>
      <c r="H9537" t="s">
        <v>31591</v>
      </c>
      <c r="I9537" t="s">
        <v>8822</v>
      </c>
      <c r="J9537" t="s">
        <v>32026</v>
      </c>
      <c r="K9537" t="s">
        <v>41184</v>
      </c>
      <c r="M9537" t="s">
        <v>41618</v>
      </c>
      <c r="N9537" t="s">
        <v>45095</v>
      </c>
      <c r="O9537" t="s">
        <v>45096</v>
      </c>
      <c r="P9537">
        <v>0</v>
      </c>
      <c r="Q9537">
        <v>2</v>
      </c>
      <c r="R9537" t="s">
        <v>45105</v>
      </c>
      <c r="S9537" t="s">
        <v>45353</v>
      </c>
      <c r="T9537" t="s">
        <v>47000</v>
      </c>
      <c r="U9537" t="s">
        <v>55377</v>
      </c>
      <c r="V9537" t="s">
        <v>59888</v>
      </c>
      <c r="W9537" t="s">
        <v>41618</v>
      </c>
      <c r="X9537" t="s">
        <v>45108</v>
      </c>
    </row>
    <row r="9538" spans="1:24">
      <c r="A9538">
        <f>HYPERLINK("https://www.philgeps.gov.ph/GEPSNONPILOT/Tender/SplashBidNoticeAbstractUI.aspx?menuIndex=3&amp;refID=7030391&amp;Result=3","7030391")</f>
        <v>0</v>
      </c>
      <c r="B9538" t="s">
        <v>105</v>
      </c>
      <c r="C9538" t="s">
        <v>12282</v>
      </c>
      <c r="D9538" t="s">
        <v>18062</v>
      </c>
      <c r="E9538" t="s">
        <v>26435</v>
      </c>
      <c r="F9538" t="s">
        <v>31574</v>
      </c>
      <c r="G9538" t="s">
        <v>31582</v>
      </c>
      <c r="H9538" t="s">
        <v>31591</v>
      </c>
      <c r="I9538" t="s">
        <v>8822</v>
      </c>
      <c r="J9538" t="s">
        <v>37727</v>
      </c>
      <c r="K9538" t="s">
        <v>41243</v>
      </c>
      <c r="M9538" t="s">
        <v>41589</v>
      </c>
      <c r="N9538" t="s">
        <v>45095</v>
      </c>
      <c r="O9538" t="s">
        <v>45096</v>
      </c>
      <c r="P9538">
        <v>0</v>
      </c>
      <c r="Q9538">
        <v>0</v>
      </c>
      <c r="R9538" t="s">
        <v>45105</v>
      </c>
      <c r="S9538" t="s">
        <v>45353</v>
      </c>
      <c r="T9538" t="s">
        <v>46965</v>
      </c>
      <c r="U9538" t="s">
        <v>55378</v>
      </c>
      <c r="W9538" t="s">
        <v>41589</v>
      </c>
      <c r="X9538" t="s">
        <v>45108</v>
      </c>
    </row>
    <row r="9539" spans="1:24">
      <c r="A9539">
        <f>HYPERLINK("https://www.philgeps.gov.ph/GEPSNONPILOT/Tender/SplashBidNoticeAbstractUI.aspx?menuIndex=3&amp;refID=7030416&amp;Result=3","7030416")</f>
        <v>0</v>
      </c>
      <c r="B9539" t="s">
        <v>2211</v>
      </c>
      <c r="C9539" t="s">
        <v>12283</v>
      </c>
      <c r="D9539" t="s">
        <v>18034</v>
      </c>
      <c r="E9539" t="s">
        <v>26436</v>
      </c>
      <c r="F9539" t="s">
        <v>31574</v>
      </c>
      <c r="G9539" t="s">
        <v>31582</v>
      </c>
      <c r="H9539" t="s">
        <v>31591</v>
      </c>
      <c r="I9539" t="s">
        <v>8822</v>
      </c>
      <c r="J9539" t="s">
        <v>37728</v>
      </c>
      <c r="K9539" t="s">
        <v>41191</v>
      </c>
      <c r="M9539" t="s">
        <v>43901</v>
      </c>
      <c r="N9539" t="s">
        <v>45095</v>
      </c>
      <c r="O9539" t="s">
        <v>45096</v>
      </c>
      <c r="P9539">
        <v>0</v>
      </c>
      <c r="Q9539">
        <v>0</v>
      </c>
      <c r="R9539" t="s">
        <v>45105</v>
      </c>
      <c r="S9539" t="s">
        <v>45353</v>
      </c>
      <c r="T9539" t="s">
        <v>46985</v>
      </c>
      <c r="U9539" t="s">
        <v>53698</v>
      </c>
      <c r="W9539" t="s">
        <v>43901</v>
      </c>
      <c r="X9539" t="s">
        <v>45108</v>
      </c>
    </row>
    <row r="9540" spans="1:24">
      <c r="A9540">
        <f>HYPERLINK("https://www.philgeps.gov.ph/GEPSNONPILOT/Tender/SplashBidNoticeAbstractUI.aspx?menuIndex=3&amp;refID=7030398&amp;Result=3","7030398")</f>
        <v>0</v>
      </c>
      <c r="B9540" t="s">
        <v>408</v>
      </c>
      <c r="C9540" t="s">
        <v>12284</v>
      </c>
      <c r="D9540" t="s">
        <v>18059</v>
      </c>
      <c r="E9540" t="s">
        <v>26437</v>
      </c>
      <c r="F9540" t="s">
        <v>31574</v>
      </c>
      <c r="G9540" t="s">
        <v>31582</v>
      </c>
      <c r="H9540" t="s">
        <v>31590</v>
      </c>
      <c r="I9540" t="s">
        <v>14544</v>
      </c>
      <c r="J9540" t="s">
        <v>37729</v>
      </c>
      <c r="K9540" t="s">
        <v>41184</v>
      </c>
      <c r="M9540" t="s">
        <v>41899</v>
      </c>
      <c r="N9540" t="s">
        <v>45095</v>
      </c>
      <c r="O9540" t="s">
        <v>45096</v>
      </c>
      <c r="P9540">
        <v>0</v>
      </c>
      <c r="Q9540">
        <v>1</v>
      </c>
      <c r="R9540" t="s">
        <v>45105</v>
      </c>
      <c r="S9540" t="s">
        <v>45353</v>
      </c>
      <c r="T9540" t="s">
        <v>47197</v>
      </c>
      <c r="U9540" t="s">
        <v>55379</v>
      </c>
      <c r="W9540" t="s">
        <v>41899</v>
      </c>
      <c r="X9540" t="s">
        <v>45108</v>
      </c>
    </row>
    <row r="9541" spans="1:24">
      <c r="A9541">
        <f>HYPERLINK("https://www.philgeps.gov.ph/GEPSNONPILOT/Tender/SplashBidNoticeAbstractUI.aspx?menuIndex=3&amp;refID=7030430&amp;Result=3","7030430")</f>
        <v>0</v>
      </c>
      <c r="B9541" t="s">
        <v>2608</v>
      </c>
      <c r="C9541" t="s">
        <v>12285</v>
      </c>
      <c r="D9541" t="s">
        <v>18024</v>
      </c>
      <c r="E9541" t="s">
        <v>26438</v>
      </c>
      <c r="F9541" t="s">
        <v>31574</v>
      </c>
      <c r="G9541" t="s">
        <v>31581</v>
      </c>
      <c r="H9541" t="s">
        <v>31590</v>
      </c>
      <c r="I9541" t="s">
        <v>6800</v>
      </c>
      <c r="J9541" t="s">
        <v>37730</v>
      </c>
      <c r="K9541" t="s">
        <v>41189</v>
      </c>
      <c r="M9541" t="s">
        <v>44353</v>
      </c>
      <c r="N9541" t="s">
        <v>45095</v>
      </c>
      <c r="O9541" t="s">
        <v>45096</v>
      </c>
      <c r="P9541">
        <v>0</v>
      </c>
      <c r="Q9541">
        <v>0</v>
      </c>
      <c r="R9541" t="s">
        <v>45105</v>
      </c>
      <c r="S9541" t="s">
        <v>45353</v>
      </c>
      <c r="T9541" t="s">
        <v>46962</v>
      </c>
      <c r="U9541" t="s">
        <v>55380</v>
      </c>
      <c r="W9541" t="s">
        <v>44353</v>
      </c>
      <c r="X9541" t="s">
        <v>45108</v>
      </c>
    </row>
    <row r="9542" spans="1:24">
      <c r="A9542">
        <f>HYPERLINK("https://www.philgeps.gov.ph/GEPSNONPILOT/Tender/SplashBidNoticeAbstractUI.aspx?menuIndex=3&amp;refID=7030435&amp;Result=3","7030435")</f>
        <v>0</v>
      </c>
      <c r="B9542" t="s">
        <v>2598</v>
      </c>
      <c r="C9542" t="s">
        <v>12286</v>
      </c>
      <c r="D9542" t="s">
        <v>18074</v>
      </c>
      <c r="E9542" t="s">
        <v>26439</v>
      </c>
      <c r="F9542" t="s">
        <v>31574</v>
      </c>
      <c r="G9542" t="s">
        <v>31581</v>
      </c>
      <c r="H9542" t="s">
        <v>31590</v>
      </c>
      <c r="I9542" t="s">
        <v>31605</v>
      </c>
      <c r="J9542" t="s">
        <v>37731</v>
      </c>
      <c r="K9542" t="s">
        <v>41190</v>
      </c>
      <c r="M9542" t="s">
        <v>44341</v>
      </c>
      <c r="N9542" t="s">
        <v>45095</v>
      </c>
      <c r="O9542" t="s">
        <v>45096</v>
      </c>
      <c r="P9542">
        <v>0</v>
      </c>
      <c r="Q9542">
        <v>1</v>
      </c>
      <c r="R9542" t="s">
        <v>45105</v>
      </c>
      <c r="S9542" t="s">
        <v>45353</v>
      </c>
      <c r="T9542" t="s">
        <v>47158</v>
      </c>
      <c r="U9542" t="s">
        <v>55381</v>
      </c>
      <c r="V9542" t="s">
        <v>60835</v>
      </c>
      <c r="W9542" t="s">
        <v>44341</v>
      </c>
      <c r="X9542" t="s">
        <v>45108</v>
      </c>
    </row>
    <row r="9543" spans="1:24">
      <c r="A9543">
        <f>HYPERLINK("https://www.philgeps.gov.ph/GEPSNONPILOT/Tender/SplashBidNoticeAbstractUI.aspx?menuIndex=3&amp;refID=7030468&amp;Result=3","7030468")</f>
        <v>0</v>
      </c>
      <c r="B9543" t="s">
        <v>2607</v>
      </c>
      <c r="C9543" t="s">
        <v>12287</v>
      </c>
      <c r="D9543" t="s">
        <v>18094</v>
      </c>
      <c r="E9543" t="s">
        <v>19545</v>
      </c>
      <c r="F9543" t="s">
        <v>31574</v>
      </c>
      <c r="G9543" t="s">
        <v>31583</v>
      </c>
      <c r="H9543" t="s">
        <v>31590</v>
      </c>
      <c r="I9543" t="s">
        <v>4327</v>
      </c>
      <c r="J9543" t="s">
        <v>32334</v>
      </c>
      <c r="K9543" t="s">
        <v>41193</v>
      </c>
      <c r="M9543" t="s">
        <v>44352</v>
      </c>
      <c r="N9543" t="s">
        <v>45095</v>
      </c>
      <c r="O9543" t="s">
        <v>45096</v>
      </c>
      <c r="P9543">
        <v>0</v>
      </c>
      <c r="Q9543">
        <v>1</v>
      </c>
      <c r="R9543" t="s">
        <v>45105</v>
      </c>
      <c r="S9543" t="s">
        <v>45353</v>
      </c>
      <c r="T9543" t="s">
        <v>47183</v>
      </c>
      <c r="U9543" t="s">
        <v>55382</v>
      </c>
      <c r="W9543" t="s">
        <v>44352</v>
      </c>
      <c r="X9543" t="s">
        <v>45108</v>
      </c>
    </row>
    <row r="9544" spans="1:24">
      <c r="A9544">
        <f>HYPERLINK("https://www.philgeps.gov.ph/GEPSNONPILOT/Tender/SplashBidNoticeAbstractUI.aspx?menuIndex=3&amp;refID=7030445&amp;Result=3","7030445")</f>
        <v>0</v>
      </c>
      <c r="B9544" t="s">
        <v>998</v>
      </c>
      <c r="C9544" t="s">
        <v>12288</v>
      </c>
      <c r="D9544" t="s">
        <v>18066</v>
      </c>
      <c r="E9544" t="s">
        <v>26440</v>
      </c>
      <c r="F9544" t="s">
        <v>31574</v>
      </c>
      <c r="G9544" t="s">
        <v>31582</v>
      </c>
      <c r="H9544" t="s">
        <v>31590</v>
      </c>
      <c r="I9544" t="s">
        <v>31615</v>
      </c>
      <c r="J9544" t="s">
        <v>31781</v>
      </c>
      <c r="K9544" t="s">
        <v>41192</v>
      </c>
      <c r="M9544" t="s">
        <v>42534</v>
      </c>
      <c r="N9544" t="s">
        <v>45095</v>
      </c>
      <c r="O9544" t="s">
        <v>45096</v>
      </c>
      <c r="P9544">
        <v>0</v>
      </c>
      <c r="Q9544">
        <v>3</v>
      </c>
      <c r="R9544" t="s">
        <v>45105</v>
      </c>
      <c r="S9544" t="s">
        <v>45353</v>
      </c>
      <c r="T9544" t="s">
        <v>46904</v>
      </c>
      <c r="U9544" t="s">
        <v>55383</v>
      </c>
      <c r="W9544" t="s">
        <v>42534</v>
      </c>
      <c r="X9544" t="s">
        <v>45108</v>
      </c>
    </row>
    <row r="9545" spans="1:24">
      <c r="A9545">
        <f>HYPERLINK("https://www.philgeps.gov.ph/GEPSNONPILOT/Tender/SplashBidNoticeAbstractUI.aspx?menuIndex=3&amp;refID=7030504&amp;Result=3","7030504")</f>
        <v>0</v>
      </c>
      <c r="B9545" t="s">
        <v>1014</v>
      </c>
      <c r="C9545" t="s">
        <v>12289</v>
      </c>
      <c r="D9545" t="s">
        <v>18059</v>
      </c>
      <c r="E9545" t="s">
        <v>26441</v>
      </c>
      <c r="F9545" t="s">
        <v>31574</v>
      </c>
      <c r="G9545" t="s">
        <v>31585</v>
      </c>
      <c r="H9545" t="s">
        <v>31590</v>
      </c>
      <c r="I9545" t="s">
        <v>31615</v>
      </c>
      <c r="J9545" t="s">
        <v>31935</v>
      </c>
      <c r="K9545" t="s">
        <v>41196</v>
      </c>
      <c r="M9545" t="s">
        <v>43419</v>
      </c>
      <c r="N9545" t="s">
        <v>45095</v>
      </c>
      <c r="O9545" t="s">
        <v>45096</v>
      </c>
      <c r="P9545">
        <v>0</v>
      </c>
      <c r="Q9545">
        <v>2</v>
      </c>
      <c r="R9545" t="s">
        <v>45105</v>
      </c>
      <c r="S9545" t="s">
        <v>45353</v>
      </c>
      <c r="T9545" t="s">
        <v>47158</v>
      </c>
      <c r="U9545" t="s">
        <v>55384</v>
      </c>
      <c r="W9545" t="s">
        <v>43419</v>
      </c>
      <c r="X9545" t="s">
        <v>45108</v>
      </c>
    </row>
    <row r="9546" spans="1:24">
      <c r="A9546">
        <f>HYPERLINK("https://www.philgeps.gov.ph/GEPSNONPILOT/Tender/SplashBidNoticeAbstractUI.aspx?menuIndex=3&amp;refID=7030441&amp;Result=3","7030441")</f>
        <v>0</v>
      </c>
      <c r="B9546" t="s">
        <v>408</v>
      </c>
      <c r="C9546" t="s">
        <v>12290</v>
      </c>
      <c r="D9546" t="s">
        <v>18059</v>
      </c>
      <c r="E9546" t="s">
        <v>26442</v>
      </c>
      <c r="F9546" t="s">
        <v>31574</v>
      </c>
      <c r="G9546" t="s">
        <v>31582</v>
      </c>
      <c r="H9546" t="s">
        <v>31590</v>
      </c>
      <c r="I9546" t="s">
        <v>31602</v>
      </c>
      <c r="J9546" t="s">
        <v>32497</v>
      </c>
      <c r="K9546" t="s">
        <v>41184</v>
      </c>
      <c r="M9546" t="s">
        <v>41899</v>
      </c>
      <c r="N9546" t="s">
        <v>45095</v>
      </c>
      <c r="O9546" t="s">
        <v>45096</v>
      </c>
      <c r="P9546">
        <v>0</v>
      </c>
      <c r="Q9546">
        <v>0</v>
      </c>
      <c r="R9546" t="s">
        <v>45105</v>
      </c>
      <c r="S9546" t="s">
        <v>45353</v>
      </c>
      <c r="T9546" t="s">
        <v>47197</v>
      </c>
      <c r="U9546" t="s">
        <v>55369</v>
      </c>
      <c r="W9546" t="s">
        <v>41899</v>
      </c>
      <c r="X9546" t="s">
        <v>45108</v>
      </c>
    </row>
    <row r="9547" spans="1:24">
      <c r="A9547">
        <f>HYPERLINK("https://www.philgeps.gov.ph/GEPSNONPILOT/Tender/SplashBidNoticeAbstractUI.aspx?menuIndex=3&amp;refID=7030443&amp;Result=3","7030443")</f>
        <v>0</v>
      </c>
      <c r="B9547" t="s">
        <v>2211</v>
      </c>
      <c r="C9547" t="s">
        <v>12291</v>
      </c>
      <c r="D9547" t="s">
        <v>18034</v>
      </c>
      <c r="E9547" t="s">
        <v>26443</v>
      </c>
      <c r="F9547" t="s">
        <v>31574</v>
      </c>
      <c r="G9547" t="s">
        <v>31582</v>
      </c>
      <c r="H9547" t="s">
        <v>31591</v>
      </c>
      <c r="I9547" t="s">
        <v>8822</v>
      </c>
      <c r="J9547" t="s">
        <v>37732</v>
      </c>
      <c r="K9547" t="s">
        <v>41259</v>
      </c>
      <c r="M9547" t="s">
        <v>43901</v>
      </c>
      <c r="N9547" t="s">
        <v>45095</v>
      </c>
      <c r="O9547" t="s">
        <v>45096</v>
      </c>
      <c r="P9547">
        <v>0</v>
      </c>
      <c r="Q9547">
        <v>0</v>
      </c>
      <c r="R9547" t="s">
        <v>45105</v>
      </c>
      <c r="S9547" t="s">
        <v>45353</v>
      </c>
      <c r="T9547" t="s">
        <v>46985</v>
      </c>
      <c r="U9547" t="s">
        <v>53698</v>
      </c>
      <c r="W9547" t="s">
        <v>43901</v>
      </c>
      <c r="X9547" t="s">
        <v>45108</v>
      </c>
    </row>
    <row r="9548" spans="1:24">
      <c r="A9548">
        <f>HYPERLINK("https://www.philgeps.gov.ph/GEPSNONPILOT/Tender/SplashBidNoticeAbstractUI.aspx?menuIndex=3&amp;refID=7030564&amp;Result=3","7030564")</f>
        <v>0</v>
      </c>
      <c r="B9548" t="s">
        <v>284</v>
      </c>
      <c r="C9548" t="s">
        <v>12292</v>
      </c>
      <c r="E9548" t="s">
        <v>26444</v>
      </c>
      <c r="F9548" t="s">
        <v>31574</v>
      </c>
      <c r="G9548" t="s">
        <v>31582</v>
      </c>
      <c r="H9548" t="s">
        <v>31591</v>
      </c>
      <c r="I9548" t="s">
        <v>8822</v>
      </c>
      <c r="J9548" t="s">
        <v>37733</v>
      </c>
      <c r="K9548" t="s">
        <v>41184</v>
      </c>
      <c r="M9548" t="s">
        <v>41770</v>
      </c>
      <c r="N9548" t="s">
        <v>45095</v>
      </c>
      <c r="O9548" t="s">
        <v>45096</v>
      </c>
      <c r="P9548">
        <v>0</v>
      </c>
      <c r="Q9548">
        <v>1</v>
      </c>
      <c r="R9548" t="s">
        <v>45105</v>
      </c>
      <c r="S9548" t="s">
        <v>45353</v>
      </c>
      <c r="T9548" t="s">
        <v>47159</v>
      </c>
      <c r="U9548" t="s">
        <v>55385</v>
      </c>
      <c r="V9548" t="s">
        <v>60840</v>
      </c>
      <c r="W9548" t="s">
        <v>41770</v>
      </c>
      <c r="X9548" t="s">
        <v>45108</v>
      </c>
    </row>
    <row r="9549" spans="1:24">
      <c r="A9549">
        <f>HYPERLINK("https://www.philgeps.gov.ph/GEPSNONPILOT/Tender/SplashBidNoticeAbstractUI.aspx?menuIndex=3&amp;refID=7030553&amp;Result=3","7030553")</f>
        <v>0</v>
      </c>
      <c r="B9549" t="s">
        <v>284</v>
      </c>
      <c r="C9549" t="s">
        <v>12293</v>
      </c>
      <c r="E9549" t="s">
        <v>26445</v>
      </c>
      <c r="F9549" t="s">
        <v>31574</v>
      </c>
      <c r="G9549" t="s">
        <v>31582</v>
      </c>
      <c r="H9549" t="s">
        <v>31591</v>
      </c>
      <c r="I9549" t="s">
        <v>8822</v>
      </c>
      <c r="J9549" t="s">
        <v>37734</v>
      </c>
      <c r="K9549" t="s">
        <v>41184</v>
      </c>
      <c r="M9549" t="s">
        <v>41770</v>
      </c>
      <c r="N9549" t="s">
        <v>45095</v>
      </c>
      <c r="O9549" t="s">
        <v>45096</v>
      </c>
      <c r="P9549">
        <v>0</v>
      </c>
      <c r="Q9549">
        <v>1</v>
      </c>
      <c r="R9549" t="s">
        <v>45105</v>
      </c>
      <c r="S9549" t="s">
        <v>45353</v>
      </c>
      <c r="T9549" t="s">
        <v>47159</v>
      </c>
      <c r="U9549" t="s">
        <v>55386</v>
      </c>
      <c r="V9549" t="s">
        <v>60840</v>
      </c>
      <c r="W9549" t="s">
        <v>41770</v>
      </c>
      <c r="X9549" t="s">
        <v>45108</v>
      </c>
    </row>
    <row r="9550" spans="1:24">
      <c r="A9550">
        <f>HYPERLINK("https://www.philgeps.gov.ph/GEPSNONPILOT/Tender/SplashBidNoticeAbstractUI.aspx?menuIndex=3&amp;refID=7030494&amp;Result=3","7030494")</f>
        <v>0</v>
      </c>
      <c r="B9550" t="s">
        <v>2211</v>
      </c>
      <c r="C9550" t="s">
        <v>12294</v>
      </c>
      <c r="D9550" t="s">
        <v>18034</v>
      </c>
      <c r="E9550" t="s">
        <v>26446</v>
      </c>
      <c r="F9550" t="s">
        <v>31574</v>
      </c>
      <c r="G9550" t="s">
        <v>31582</v>
      </c>
      <c r="H9550" t="s">
        <v>31591</v>
      </c>
      <c r="I9550" t="s">
        <v>8822</v>
      </c>
      <c r="J9550" t="s">
        <v>37735</v>
      </c>
      <c r="K9550" t="s">
        <v>41186</v>
      </c>
      <c r="M9550" t="s">
        <v>43901</v>
      </c>
      <c r="N9550" t="s">
        <v>45095</v>
      </c>
      <c r="O9550" t="s">
        <v>45096</v>
      </c>
      <c r="P9550">
        <v>0</v>
      </c>
      <c r="Q9550">
        <v>0</v>
      </c>
      <c r="R9550" t="s">
        <v>45105</v>
      </c>
      <c r="S9550" t="s">
        <v>45353</v>
      </c>
      <c r="T9550" t="s">
        <v>46985</v>
      </c>
      <c r="U9550" t="s">
        <v>53698</v>
      </c>
      <c r="W9550" t="s">
        <v>43901</v>
      </c>
      <c r="X9550" t="s">
        <v>45108</v>
      </c>
    </row>
    <row r="9551" spans="1:24">
      <c r="A9551">
        <f>HYPERLINK("https://www.philgeps.gov.ph/GEPSNONPILOT/Tender/SplashBidNoticeAbstractUI.aspx?menuIndex=3&amp;refID=7030542&amp;Result=3","7030542")</f>
        <v>0</v>
      </c>
      <c r="B9551" t="s">
        <v>2211</v>
      </c>
      <c r="C9551" t="s">
        <v>12295</v>
      </c>
      <c r="D9551" t="s">
        <v>18034</v>
      </c>
      <c r="E9551" t="s">
        <v>26447</v>
      </c>
      <c r="F9551" t="s">
        <v>31574</v>
      </c>
      <c r="G9551" t="s">
        <v>31582</v>
      </c>
      <c r="H9551" t="s">
        <v>31591</v>
      </c>
      <c r="I9551" t="s">
        <v>8822</v>
      </c>
      <c r="J9551" t="s">
        <v>37736</v>
      </c>
      <c r="K9551" t="s">
        <v>41190</v>
      </c>
      <c r="M9551" t="s">
        <v>43901</v>
      </c>
      <c r="N9551" t="s">
        <v>45095</v>
      </c>
      <c r="O9551" t="s">
        <v>45096</v>
      </c>
      <c r="P9551">
        <v>0</v>
      </c>
      <c r="Q9551">
        <v>0</v>
      </c>
      <c r="R9551" t="s">
        <v>45105</v>
      </c>
      <c r="S9551" t="s">
        <v>45353</v>
      </c>
      <c r="T9551" t="s">
        <v>46985</v>
      </c>
      <c r="U9551" t="s">
        <v>53698</v>
      </c>
      <c r="W9551" t="s">
        <v>43901</v>
      </c>
      <c r="X9551" t="s">
        <v>45108</v>
      </c>
    </row>
    <row r="9552" spans="1:24">
      <c r="A9552">
        <f>HYPERLINK("https://www.philgeps.gov.ph/GEPSNONPILOT/Tender/SplashBidNoticeAbstractUI.aspx?menuIndex=3&amp;refID=7030539&amp;Result=3","7030539")</f>
        <v>0</v>
      </c>
      <c r="B9552" t="s">
        <v>284</v>
      </c>
      <c r="C9552" t="s">
        <v>12296</v>
      </c>
      <c r="E9552" t="s">
        <v>26448</v>
      </c>
      <c r="F9552" t="s">
        <v>31574</v>
      </c>
      <c r="G9552" t="s">
        <v>31582</v>
      </c>
      <c r="H9552" t="s">
        <v>31591</v>
      </c>
      <c r="I9552" t="s">
        <v>8822</v>
      </c>
      <c r="J9552" t="s">
        <v>37737</v>
      </c>
      <c r="K9552" t="s">
        <v>41184</v>
      </c>
      <c r="M9552" t="s">
        <v>41770</v>
      </c>
      <c r="N9552" t="s">
        <v>45095</v>
      </c>
      <c r="O9552" t="s">
        <v>45096</v>
      </c>
      <c r="P9552">
        <v>0</v>
      </c>
      <c r="Q9552">
        <v>1</v>
      </c>
      <c r="R9552" t="s">
        <v>45105</v>
      </c>
      <c r="S9552" t="s">
        <v>45353</v>
      </c>
      <c r="T9552" t="s">
        <v>47159</v>
      </c>
      <c r="U9552" t="s">
        <v>55387</v>
      </c>
      <c r="V9552" t="s">
        <v>60840</v>
      </c>
      <c r="W9552" t="s">
        <v>41770</v>
      </c>
      <c r="X9552" t="s">
        <v>45108</v>
      </c>
    </row>
    <row r="9553" spans="1:24">
      <c r="A9553">
        <f>HYPERLINK("https://www.philgeps.gov.ph/GEPSNONPILOT/Tender/SplashBidNoticeAbstractUI.aspx?menuIndex=3&amp;refID=7030466&amp;Result=3","7030466")</f>
        <v>0</v>
      </c>
      <c r="B9553" t="s">
        <v>2211</v>
      </c>
      <c r="C9553" t="s">
        <v>12297</v>
      </c>
      <c r="D9553" t="s">
        <v>18034</v>
      </c>
      <c r="E9553" t="s">
        <v>26449</v>
      </c>
      <c r="F9553" t="s">
        <v>31574</v>
      </c>
      <c r="G9553" t="s">
        <v>31582</v>
      </c>
      <c r="H9553" t="s">
        <v>31591</v>
      </c>
      <c r="I9553" t="s">
        <v>8822</v>
      </c>
      <c r="J9553" t="s">
        <v>37738</v>
      </c>
      <c r="K9553" t="s">
        <v>41186</v>
      </c>
      <c r="M9553" t="s">
        <v>43901</v>
      </c>
      <c r="N9553" t="s">
        <v>45095</v>
      </c>
      <c r="O9553" t="s">
        <v>45096</v>
      </c>
      <c r="P9553">
        <v>0</v>
      </c>
      <c r="Q9553">
        <v>0</v>
      </c>
      <c r="R9553" t="s">
        <v>45105</v>
      </c>
      <c r="S9553" t="s">
        <v>45353</v>
      </c>
      <c r="T9553" t="s">
        <v>46985</v>
      </c>
      <c r="U9553" t="s">
        <v>53698</v>
      </c>
      <c r="W9553" t="s">
        <v>43901</v>
      </c>
      <c r="X9553" t="s">
        <v>45108</v>
      </c>
    </row>
    <row r="9554" spans="1:24">
      <c r="A9554">
        <f>HYPERLINK("https://www.philgeps.gov.ph/GEPSNONPILOT/Tender/SplashBidNoticeAbstractUI.aspx?menuIndex=3&amp;refID=7030591&amp;Result=3","7030591")</f>
        <v>0</v>
      </c>
      <c r="B9554" t="s">
        <v>2148</v>
      </c>
      <c r="C9554" t="s">
        <v>12298</v>
      </c>
      <c r="D9554" t="s">
        <v>18092</v>
      </c>
      <c r="E9554" t="s">
        <v>26450</v>
      </c>
      <c r="F9554" t="s">
        <v>31574</v>
      </c>
      <c r="G9554" t="s">
        <v>31582</v>
      </c>
      <c r="H9554" t="s">
        <v>31590</v>
      </c>
      <c r="I9554" t="s">
        <v>8258</v>
      </c>
      <c r="J9554" t="s">
        <v>37739</v>
      </c>
      <c r="K9554" t="s">
        <v>41196</v>
      </c>
      <c r="M9554" t="s">
        <v>43830</v>
      </c>
      <c r="N9554" t="s">
        <v>45095</v>
      </c>
      <c r="O9554" t="s">
        <v>45096</v>
      </c>
      <c r="P9554">
        <v>0</v>
      </c>
      <c r="Q9554">
        <v>2</v>
      </c>
      <c r="R9554" t="s">
        <v>45105</v>
      </c>
      <c r="S9554" t="s">
        <v>45353</v>
      </c>
      <c r="T9554" t="s">
        <v>47010</v>
      </c>
      <c r="U9554" t="s">
        <v>55257</v>
      </c>
      <c r="W9554" t="s">
        <v>43830</v>
      </c>
      <c r="X9554" t="s">
        <v>45108</v>
      </c>
    </row>
    <row r="9555" spans="1:24">
      <c r="A9555">
        <f>HYPERLINK("https://www.philgeps.gov.ph/GEPSNONPILOT/Tender/SplashBidNoticeAbstractUI.aspx?menuIndex=3&amp;refID=7030586&amp;Result=3","7030586")</f>
        <v>0</v>
      </c>
      <c r="B9555" t="s">
        <v>284</v>
      </c>
      <c r="C9555" t="s">
        <v>12299</v>
      </c>
      <c r="E9555" t="s">
        <v>26451</v>
      </c>
      <c r="F9555" t="s">
        <v>31574</v>
      </c>
      <c r="G9555" t="s">
        <v>31582</v>
      </c>
      <c r="H9555" t="s">
        <v>31591</v>
      </c>
      <c r="I9555" t="s">
        <v>8822</v>
      </c>
      <c r="J9555" t="s">
        <v>37740</v>
      </c>
      <c r="K9555" t="s">
        <v>41184</v>
      </c>
      <c r="M9555" t="s">
        <v>41770</v>
      </c>
      <c r="N9555" t="s">
        <v>45095</v>
      </c>
      <c r="O9555" t="s">
        <v>45096</v>
      </c>
      <c r="P9555">
        <v>0</v>
      </c>
      <c r="Q9555">
        <v>1</v>
      </c>
      <c r="R9555" t="s">
        <v>45105</v>
      </c>
      <c r="S9555" t="s">
        <v>45353</v>
      </c>
      <c r="T9555" t="s">
        <v>47159</v>
      </c>
      <c r="U9555" t="s">
        <v>55388</v>
      </c>
      <c r="V9555" t="s">
        <v>60840</v>
      </c>
      <c r="W9555" t="s">
        <v>41770</v>
      </c>
      <c r="X9555" t="s">
        <v>45108</v>
      </c>
    </row>
    <row r="9556" spans="1:24">
      <c r="A9556">
        <f>HYPERLINK("https://www.philgeps.gov.ph/GEPSNONPILOT/Tender/SplashBidNoticeAbstractUI.aspx?menuIndex=3&amp;refID=7030575&amp;Result=3","7030575")</f>
        <v>0</v>
      </c>
      <c r="B9556" t="s">
        <v>284</v>
      </c>
      <c r="C9556" t="s">
        <v>12300</v>
      </c>
      <c r="E9556" t="s">
        <v>26452</v>
      </c>
      <c r="F9556" t="s">
        <v>31574</v>
      </c>
      <c r="G9556" t="s">
        <v>31582</v>
      </c>
      <c r="H9556" t="s">
        <v>31591</v>
      </c>
      <c r="I9556" t="s">
        <v>8822</v>
      </c>
      <c r="J9556" t="s">
        <v>37741</v>
      </c>
      <c r="K9556" t="s">
        <v>41184</v>
      </c>
      <c r="M9556" t="s">
        <v>41770</v>
      </c>
      <c r="N9556" t="s">
        <v>45095</v>
      </c>
      <c r="O9556" t="s">
        <v>45096</v>
      </c>
      <c r="P9556">
        <v>0</v>
      </c>
      <c r="Q9556">
        <v>2</v>
      </c>
      <c r="R9556" t="s">
        <v>45105</v>
      </c>
      <c r="S9556" t="s">
        <v>45353</v>
      </c>
      <c r="T9556" t="s">
        <v>47159</v>
      </c>
      <c r="U9556" t="s">
        <v>55389</v>
      </c>
      <c r="V9556" t="s">
        <v>60840</v>
      </c>
      <c r="W9556" t="s">
        <v>41770</v>
      </c>
      <c r="X9556" t="s">
        <v>45108</v>
      </c>
    </row>
    <row r="9557" spans="1:24">
      <c r="A9557">
        <f>HYPERLINK("https://www.philgeps.gov.ph/GEPSNONPILOT/Tender/SplashBidNoticeAbstractUI.aspx?menuIndex=3&amp;refID=7030569&amp;Result=3","7030569")</f>
        <v>0</v>
      </c>
      <c r="B9557" t="s">
        <v>684</v>
      </c>
      <c r="C9557" t="s">
        <v>12301</v>
      </c>
      <c r="E9557" t="s">
        <v>26453</v>
      </c>
      <c r="F9557" t="s">
        <v>31574</v>
      </c>
      <c r="G9557" t="s">
        <v>31582</v>
      </c>
      <c r="H9557" t="s">
        <v>31591</v>
      </c>
      <c r="I9557" t="s">
        <v>8822</v>
      </c>
      <c r="J9557" t="s">
        <v>37742</v>
      </c>
      <c r="K9557" t="s">
        <v>41184</v>
      </c>
      <c r="M9557" t="s">
        <v>42191</v>
      </c>
      <c r="N9557" t="s">
        <v>45095</v>
      </c>
      <c r="O9557" t="s">
        <v>45096</v>
      </c>
      <c r="P9557">
        <v>0</v>
      </c>
      <c r="Q9557">
        <v>4</v>
      </c>
      <c r="R9557" t="s">
        <v>45105</v>
      </c>
      <c r="S9557" t="s">
        <v>45353</v>
      </c>
      <c r="T9557" t="s">
        <v>46962</v>
      </c>
      <c r="U9557" t="s">
        <v>55390</v>
      </c>
      <c r="V9557" t="s">
        <v>60841</v>
      </c>
      <c r="W9557" t="s">
        <v>42191</v>
      </c>
      <c r="X9557" t="s">
        <v>45108</v>
      </c>
    </row>
    <row r="9558" spans="1:24">
      <c r="A9558">
        <f>HYPERLINK("https://www.philgeps.gov.ph/GEPSNONPILOT/Tender/SplashBidNoticeAbstractUI.aspx?menuIndex=3&amp;refID=7030522&amp;Result=3","7030522")</f>
        <v>0</v>
      </c>
      <c r="B9558" t="s">
        <v>2211</v>
      </c>
      <c r="C9558" t="s">
        <v>12302</v>
      </c>
      <c r="D9558" t="s">
        <v>18034</v>
      </c>
      <c r="E9558" t="s">
        <v>26454</v>
      </c>
      <c r="F9558" t="s">
        <v>31574</v>
      </c>
      <c r="G9558" t="s">
        <v>31582</v>
      </c>
      <c r="H9558" t="s">
        <v>31591</v>
      </c>
      <c r="I9558" t="s">
        <v>8822</v>
      </c>
      <c r="J9558" t="s">
        <v>37743</v>
      </c>
      <c r="K9558" t="s">
        <v>41196</v>
      </c>
      <c r="M9558" t="s">
        <v>43901</v>
      </c>
      <c r="N9558" t="s">
        <v>45095</v>
      </c>
      <c r="O9558" t="s">
        <v>45096</v>
      </c>
      <c r="P9558">
        <v>0</v>
      </c>
      <c r="Q9558">
        <v>0</v>
      </c>
      <c r="R9558" t="s">
        <v>45105</v>
      </c>
      <c r="S9558" t="s">
        <v>45353</v>
      </c>
      <c r="T9558" t="s">
        <v>46985</v>
      </c>
      <c r="U9558" t="s">
        <v>53698</v>
      </c>
      <c r="W9558" t="s">
        <v>43901</v>
      </c>
      <c r="X9558" t="s">
        <v>45108</v>
      </c>
    </row>
    <row r="9559" spans="1:24">
      <c r="A9559">
        <f>HYPERLINK("https://www.philgeps.gov.ph/GEPSNONPILOT/Tender/SplashBidNoticeAbstractUI.aspx?menuIndex=3&amp;refID=7030606&amp;Result=3","7030606")</f>
        <v>0</v>
      </c>
      <c r="B9559" t="s">
        <v>284</v>
      </c>
      <c r="C9559" t="s">
        <v>12303</v>
      </c>
      <c r="E9559" t="s">
        <v>26455</v>
      </c>
      <c r="F9559" t="s">
        <v>31574</v>
      </c>
      <c r="G9559" t="s">
        <v>31582</v>
      </c>
      <c r="H9559" t="s">
        <v>31591</v>
      </c>
      <c r="I9559" t="s">
        <v>8822</v>
      </c>
      <c r="J9559" t="s">
        <v>37744</v>
      </c>
      <c r="K9559" t="s">
        <v>41184</v>
      </c>
      <c r="M9559" t="s">
        <v>41770</v>
      </c>
      <c r="N9559" t="s">
        <v>45095</v>
      </c>
      <c r="O9559" t="s">
        <v>45096</v>
      </c>
      <c r="P9559">
        <v>0</v>
      </c>
      <c r="Q9559">
        <v>1</v>
      </c>
      <c r="R9559" t="s">
        <v>45105</v>
      </c>
      <c r="S9559" t="s">
        <v>45353</v>
      </c>
      <c r="T9559" t="s">
        <v>47159</v>
      </c>
      <c r="U9559" t="s">
        <v>55391</v>
      </c>
      <c r="V9559" t="s">
        <v>60840</v>
      </c>
      <c r="W9559" t="s">
        <v>41770</v>
      </c>
      <c r="X9559" t="s">
        <v>45108</v>
      </c>
    </row>
    <row r="9560" spans="1:24">
      <c r="A9560">
        <f>HYPERLINK("https://www.philgeps.gov.ph/GEPSNONPILOT/Tender/SplashBidNoticeAbstractUI.aspx?menuIndex=3&amp;refID=7030481&amp;Result=3","7030481")</f>
        <v>0</v>
      </c>
      <c r="B9560" t="s">
        <v>2607</v>
      </c>
      <c r="C9560" t="s">
        <v>12304</v>
      </c>
      <c r="D9560" t="s">
        <v>18094</v>
      </c>
      <c r="E9560" t="s">
        <v>19560</v>
      </c>
      <c r="F9560" t="s">
        <v>31574</v>
      </c>
      <c r="G9560" t="s">
        <v>31583</v>
      </c>
      <c r="H9560" t="s">
        <v>31590</v>
      </c>
      <c r="I9560" t="s">
        <v>4327</v>
      </c>
      <c r="J9560" t="s">
        <v>32334</v>
      </c>
      <c r="K9560" t="s">
        <v>41193</v>
      </c>
      <c r="M9560" t="s">
        <v>44352</v>
      </c>
      <c r="N9560" t="s">
        <v>45095</v>
      </c>
      <c r="O9560" t="s">
        <v>45096</v>
      </c>
      <c r="P9560">
        <v>0</v>
      </c>
      <c r="Q9560">
        <v>1</v>
      </c>
      <c r="R9560" t="s">
        <v>45105</v>
      </c>
      <c r="S9560" t="s">
        <v>45353</v>
      </c>
      <c r="T9560" t="s">
        <v>47260</v>
      </c>
      <c r="U9560" t="s">
        <v>55392</v>
      </c>
      <c r="W9560" t="s">
        <v>44352</v>
      </c>
      <c r="X9560" t="s">
        <v>45108</v>
      </c>
    </row>
    <row r="9561" spans="1:24">
      <c r="A9561">
        <f>HYPERLINK("https://www.philgeps.gov.ph/GEPSNONPILOT/Tender/SplashBidNoticeAbstractUI.aspx?menuIndex=3&amp;refID=7030668&amp;Result=3","7030668")</f>
        <v>0</v>
      </c>
      <c r="B9561" t="s">
        <v>346</v>
      </c>
      <c r="C9561" t="s">
        <v>12305</v>
      </c>
      <c r="D9561" t="s">
        <v>18044</v>
      </c>
      <c r="E9561" t="s">
        <v>26456</v>
      </c>
      <c r="F9561" t="s">
        <v>31574</v>
      </c>
      <c r="G9561" t="s">
        <v>31582</v>
      </c>
      <c r="H9561" t="s">
        <v>31590</v>
      </c>
      <c r="I9561" t="s">
        <v>31678</v>
      </c>
      <c r="J9561" t="s">
        <v>37745</v>
      </c>
      <c r="K9561" t="s">
        <v>41184</v>
      </c>
      <c r="M9561" t="s">
        <v>41834</v>
      </c>
      <c r="N9561" t="s">
        <v>45095</v>
      </c>
      <c r="O9561" t="s">
        <v>45096</v>
      </c>
      <c r="P9561">
        <v>0</v>
      </c>
      <c r="Q9561">
        <v>4</v>
      </c>
      <c r="R9561" t="s">
        <v>45105</v>
      </c>
      <c r="S9561" t="s">
        <v>45353</v>
      </c>
      <c r="T9561" t="s">
        <v>46962</v>
      </c>
      <c r="U9561" t="s">
        <v>55393</v>
      </c>
      <c r="W9561" t="s">
        <v>61746</v>
      </c>
      <c r="X9561" t="s">
        <v>45108</v>
      </c>
    </row>
    <row r="9562" spans="1:24">
      <c r="A9562">
        <f>HYPERLINK("https://www.philgeps.gov.ph/GEPSNONPILOT/Tender/SplashBidNoticeAbstractUI.aspx?menuIndex=3&amp;refID=7030670&amp;Result=3","7030670")</f>
        <v>0</v>
      </c>
      <c r="B9562" t="s">
        <v>284</v>
      </c>
      <c r="C9562" t="s">
        <v>12306</v>
      </c>
      <c r="E9562" t="s">
        <v>26457</v>
      </c>
      <c r="F9562" t="s">
        <v>31574</v>
      </c>
      <c r="G9562" t="s">
        <v>31582</v>
      </c>
      <c r="H9562" t="s">
        <v>31593</v>
      </c>
      <c r="I9562" t="s">
        <v>31593</v>
      </c>
      <c r="J9562" t="s">
        <v>35720</v>
      </c>
      <c r="K9562" t="s">
        <v>41225</v>
      </c>
      <c r="M9562" t="s">
        <v>41770</v>
      </c>
      <c r="N9562" t="s">
        <v>45095</v>
      </c>
      <c r="O9562" t="s">
        <v>45096</v>
      </c>
      <c r="P9562">
        <v>0</v>
      </c>
      <c r="Q9562">
        <v>4</v>
      </c>
      <c r="R9562" t="s">
        <v>45105</v>
      </c>
      <c r="S9562" t="s">
        <v>45353</v>
      </c>
      <c r="T9562" t="s">
        <v>46962</v>
      </c>
      <c r="U9562" t="s">
        <v>55394</v>
      </c>
      <c r="V9562" t="s">
        <v>60842</v>
      </c>
      <c r="W9562" t="s">
        <v>41770</v>
      </c>
      <c r="X9562" t="s">
        <v>45108</v>
      </c>
    </row>
    <row r="9563" spans="1:24">
      <c r="A9563">
        <f>HYPERLINK("https://www.philgeps.gov.ph/GEPSNONPILOT/Tender/SplashBidNoticeAbstractUI.aspx?menuIndex=3&amp;refID=7030597&amp;Result=3","7030597")</f>
        <v>0</v>
      </c>
      <c r="B9563" t="s">
        <v>284</v>
      </c>
      <c r="C9563" t="s">
        <v>12307</v>
      </c>
      <c r="E9563" t="s">
        <v>26458</v>
      </c>
      <c r="F9563" t="s">
        <v>31574</v>
      </c>
      <c r="G9563" t="s">
        <v>31582</v>
      </c>
      <c r="H9563" t="s">
        <v>31591</v>
      </c>
      <c r="I9563" t="s">
        <v>8822</v>
      </c>
      <c r="J9563" t="s">
        <v>37746</v>
      </c>
      <c r="K9563" t="s">
        <v>41184</v>
      </c>
      <c r="M9563" t="s">
        <v>41770</v>
      </c>
      <c r="N9563" t="s">
        <v>45095</v>
      </c>
      <c r="O9563" t="s">
        <v>45096</v>
      </c>
      <c r="P9563">
        <v>0</v>
      </c>
      <c r="Q9563">
        <v>0</v>
      </c>
      <c r="R9563" t="s">
        <v>45105</v>
      </c>
      <c r="S9563" t="s">
        <v>45353</v>
      </c>
      <c r="T9563" t="s">
        <v>47159</v>
      </c>
      <c r="U9563" t="s">
        <v>55395</v>
      </c>
      <c r="V9563" t="s">
        <v>60840</v>
      </c>
      <c r="W9563" t="s">
        <v>41770</v>
      </c>
      <c r="X9563" t="s">
        <v>45108</v>
      </c>
    </row>
    <row r="9564" spans="1:24">
      <c r="A9564">
        <f>HYPERLINK("https://www.philgeps.gov.ph/GEPSNONPILOT/Tender/SplashBidNoticeAbstractUI.aspx?menuIndex=3&amp;refID=7030598&amp;Result=3","7030598")</f>
        <v>0</v>
      </c>
      <c r="B9564" t="s">
        <v>2148</v>
      </c>
      <c r="C9564" t="s">
        <v>3965</v>
      </c>
      <c r="D9564" t="s">
        <v>18092</v>
      </c>
      <c r="E9564" t="s">
        <v>26459</v>
      </c>
      <c r="F9564" t="s">
        <v>31574</v>
      </c>
      <c r="G9564" t="s">
        <v>31582</v>
      </c>
      <c r="H9564" t="s">
        <v>31590</v>
      </c>
      <c r="I9564" t="s">
        <v>4327</v>
      </c>
      <c r="J9564" t="s">
        <v>31947</v>
      </c>
      <c r="K9564" t="s">
        <v>41196</v>
      </c>
      <c r="M9564" t="s">
        <v>43830</v>
      </c>
      <c r="N9564" t="s">
        <v>45095</v>
      </c>
      <c r="O9564" t="s">
        <v>45096</v>
      </c>
      <c r="P9564">
        <v>0</v>
      </c>
      <c r="Q9564">
        <v>0</v>
      </c>
      <c r="R9564" t="s">
        <v>45105</v>
      </c>
      <c r="S9564" t="s">
        <v>45353</v>
      </c>
      <c r="T9564" t="s">
        <v>47010</v>
      </c>
      <c r="U9564" t="s">
        <v>55396</v>
      </c>
      <c r="W9564" t="s">
        <v>43830</v>
      </c>
      <c r="X9564" t="s">
        <v>45108</v>
      </c>
    </row>
    <row r="9565" spans="1:24">
      <c r="A9565">
        <f>HYPERLINK("https://www.philgeps.gov.ph/GEPSNONPILOT/Tender/SplashBidNoticeAbstractUI.aspx?menuIndex=3&amp;refID=7030654&amp;Result=3","7030654")</f>
        <v>0</v>
      </c>
      <c r="B9565" t="s">
        <v>2211</v>
      </c>
      <c r="C9565" t="s">
        <v>12308</v>
      </c>
      <c r="D9565" t="s">
        <v>18034</v>
      </c>
      <c r="E9565" t="s">
        <v>26460</v>
      </c>
      <c r="F9565" t="s">
        <v>31574</v>
      </c>
      <c r="G9565" t="s">
        <v>31582</v>
      </c>
      <c r="H9565" t="s">
        <v>31591</v>
      </c>
      <c r="I9565" t="s">
        <v>8822</v>
      </c>
      <c r="J9565" t="s">
        <v>37747</v>
      </c>
      <c r="K9565" t="s">
        <v>41282</v>
      </c>
      <c r="M9565" t="s">
        <v>43901</v>
      </c>
      <c r="N9565" t="s">
        <v>45095</v>
      </c>
      <c r="O9565" t="s">
        <v>45096</v>
      </c>
      <c r="P9565">
        <v>0</v>
      </c>
      <c r="Q9565">
        <v>0</v>
      </c>
      <c r="R9565" t="s">
        <v>45105</v>
      </c>
      <c r="S9565" t="s">
        <v>45353</v>
      </c>
      <c r="T9565" t="s">
        <v>46985</v>
      </c>
      <c r="U9565" t="s">
        <v>53698</v>
      </c>
      <c r="W9565" t="s">
        <v>43901</v>
      </c>
      <c r="X9565" t="s">
        <v>45108</v>
      </c>
    </row>
    <row r="9566" spans="1:24">
      <c r="A9566">
        <f>HYPERLINK("https://www.philgeps.gov.ph/GEPSNONPILOT/Tender/SplashBidNoticeAbstractUI.aspx?menuIndex=3&amp;refID=7030456&amp;Result=3","7030456")</f>
        <v>0</v>
      </c>
      <c r="B9566" t="s">
        <v>2547</v>
      </c>
      <c r="C9566" t="s">
        <v>12309</v>
      </c>
      <c r="D9566" t="s">
        <v>18043</v>
      </c>
      <c r="E9566" t="s">
        <v>26461</v>
      </c>
      <c r="F9566" t="s">
        <v>31574</v>
      </c>
      <c r="G9566" t="s">
        <v>31582</v>
      </c>
      <c r="H9566" t="s">
        <v>31590</v>
      </c>
      <c r="I9566" t="s">
        <v>31630</v>
      </c>
      <c r="J9566" t="s">
        <v>37748</v>
      </c>
      <c r="K9566" t="s">
        <v>41186</v>
      </c>
      <c r="M9566" t="s">
        <v>44284</v>
      </c>
      <c r="N9566" t="s">
        <v>45095</v>
      </c>
      <c r="O9566" t="s">
        <v>45096</v>
      </c>
      <c r="P9566">
        <v>0</v>
      </c>
      <c r="Q9566">
        <v>2</v>
      </c>
      <c r="R9566" t="s">
        <v>45105</v>
      </c>
      <c r="S9566" t="s">
        <v>45353</v>
      </c>
      <c r="T9566" t="s">
        <v>47183</v>
      </c>
      <c r="U9566" t="s">
        <v>55397</v>
      </c>
      <c r="V9566" t="s">
        <v>60826</v>
      </c>
      <c r="W9566" t="s">
        <v>44284</v>
      </c>
      <c r="X9566" t="s">
        <v>45108</v>
      </c>
    </row>
    <row r="9567" spans="1:24">
      <c r="A9567">
        <f>HYPERLINK("https://www.philgeps.gov.ph/GEPSNONPILOT/Tender/SplashBidNoticeAbstractUI.aspx?menuIndex=3&amp;refID=7030615&amp;Result=3","7030615")</f>
        <v>0</v>
      </c>
      <c r="B9567" t="s">
        <v>284</v>
      </c>
      <c r="C9567" t="s">
        <v>12310</v>
      </c>
      <c r="E9567" t="s">
        <v>26462</v>
      </c>
      <c r="F9567" t="s">
        <v>31574</v>
      </c>
      <c r="G9567" t="s">
        <v>31582</v>
      </c>
      <c r="H9567" t="s">
        <v>31591</v>
      </c>
      <c r="I9567" t="s">
        <v>8822</v>
      </c>
      <c r="J9567" t="s">
        <v>37749</v>
      </c>
      <c r="K9567" t="s">
        <v>41184</v>
      </c>
      <c r="M9567" t="s">
        <v>41770</v>
      </c>
      <c r="N9567" t="s">
        <v>45095</v>
      </c>
      <c r="O9567" t="s">
        <v>45096</v>
      </c>
      <c r="P9567">
        <v>0</v>
      </c>
      <c r="Q9567">
        <v>1</v>
      </c>
      <c r="R9567" t="s">
        <v>45105</v>
      </c>
      <c r="S9567" t="s">
        <v>45353</v>
      </c>
      <c r="T9567" t="s">
        <v>47159</v>
      </c>
      <c r="U9567" t="s">
        <v>55398</v>
      </c>
      <c r="V9567" t="s">
        <v>60840</v>
      </c>
      <c r="W9567" t="s">
        <v>41770</v>
      </c>
      <c r="X9567" t="s">
        <v>45108</v>
      </c>
    </row>
    <row r="9568" spans="1:24">
      <c r="A9568">
        <f>HYPERLINK("https://www.philgeps.gov.ph/GEPSNONPILOT/Tender/SplashBidNoticeAbstractUI.aspx?menuIndex=3&amp;refID=7030649&amp;Result=3","7030649")</f>
        <v>0</v>
      </c>
      <c r="B9568" t="s">
        <v>284</v>
      </c>
      <c r="C9568" t="s">
        <v>12311</v>
      </c>
      <c r="E9568" t="s">
        <v>26463</v>
      </c>
      <c r="F9568" t="s">
        <v>31574</v>
      </c>
      <c r="G9568" t="s">
        <v>31582</v>
      </c>
      <c r="H9568" t="s">
        <v>31590</v>
      </c>
      <c r="I9568" t="s">
        <v>4327</v>
      </c>
      <c r="J9568" t="s">
        <v>37750</v>
      </c>
      <c r="K9568" t="s">
        <v>41184</v>
      </c>
      <c r="M9568" t="s">
        <v>41770</v>
      </c>
      <c r="N9568" t="s">
        <v>45095</v>
      </c>
      <c r="O9568" t="s">
        <v>45096</v>
      </c>
      <c r="P9568">
        <v>0</v>
      </c>
      <c r="Q9568">
        <v>4</v>
      </c>
      <c r="R9568" t="s">
        <v>45105</v>
      </c>
      <c r="S9568" t="s">
        <v>45353</v>
      </c>
      <c r="T9568" t="s">
        <v>47159</v>
      </c>
      <c r="U9568" t="s">
        <v>55399</v>
      </c>
      <c r="V9568" t="s">
        <v>60840</v>
      </c>
      <c r="W9568" t="s">
        <v>41770</v>
      </c>
      <c r="X9568" t="s">
        <v>45108</v>
      </c>
    </row>
    <row r="9569" spans="1:24">
      <c r="A9569">
        <f>HYPERLINK("https://www.philgeps.gov.ph/GEPSNONPILOT/Tender/SplashBidNoticeAbstractUI.aspx?menuIndex=3&amp;refID=7030639&amp;Result=3","7030639")</f>
        <v>0</v>
      </c>
      <c r="B9569" t="s">
        <v>284</v>
      </c>
      <c r="C9569" t="s">
        <v>12312</v>
      </c>
      <c r="E9569" t="s">
        <v>26464</v>
      </c>
      <c r="F9569" t="s">
        <v>31574</v>
      </c>
      <c r="G9569" t="s">
        <v>31582</v>
      </c>
      <c r="H9569" t="s">
        <v>31590</v>
      </c>
      <c r="I9569" t="s">
        <v>31608</v>
      </c>
      <c r="J9569" t="s">
        <v>37751</v>
      </c>
      <c r="K9569" t="s">
        <v>41184</v>
      </c>
      <c r="M9569" t="s">
        <v>41770</v>
      </c>
      <c r="N9569" t="s">
        <v>45095</v>
      </c>
      <c r="O9569" t="s">
        <v>45096</v>
      </c>
      <c r="P9569">
        <v>0</v>
      </c>
      <c r="Q9569">
        <v>4</v>
      </c>
      <c r="R9569" t="s">
        <v>45105</v>
      </c>
      <c r="S9569" t="s">
        <v>45353</v>
      </c>
      <c r="T9569" t="s">
        <v>47159</v>
      </c>
      <c r="U9569" t="s">
        <v>55400</v>
      </c>
      <c r="V9569" t="s">
        <v>60840</v>
      </c>
      <c r="W9569" t="s">
        <v>41770</v>
      </c>
      <c r="X9569" t="s">
        <v>45108</v>
      </c>
    </row>
    <row r="9570" spans="1:24">
      <c r="A9570">
        <f>HYPERLINK("https://www.philgeps.gov.ph/GEPSNONPILOT/Tender/SplashBidNoticeAbstractUI.aspx?menuIndex=3&amp;refID=7030636&amp;Result=3","7030636")</f>
        <v>0</v>
      </c>
      <c r="B9570" t="s">
        <v>2609</v>
      </c>
      <c r="C9570" t="s">
        <v>12313</v>
      </c>
      <c r="D9570" t="s">
        <v>18115</v>
      </c>
      <c r="E9570" t="s">
        <v>26465</v>
      </c>
      <c r="F9570" t="s">
        <v>31574</v>
      </c>
      <c r="G9570" t="s">
        <v>31581</v>
      </c>
      <c r="H9570" t="s">
        <v>31590</v>
      </c>
      <c r="I9570" t="s">
        <v>31718</v>
      </c>
      <c r="J9570" t="s">
        <v>32375</v>
      </c>
      <c r="K9570" t="s">
        <v>41206</v>
      </c>
      <c r="M9570" t="s">
        <v>44354</v>
      </c>
      <c r="N9570" t="s">
        <v>45095</v>
      </c>
      <c r="O9570" t="s">
        <v>45096</v>
      </c>
      <c r="P9570">
        <v>0</v>
      </c>
      <c r="Q9570">
        <v>3</v>
      </c>
      <c r="R9570" t="s">
        <v>45105</v>
      </c>
      <c r="S9570" t="s">
        <v>45353</v>
      </c>
      <c r="T9570" t="s">
        <v>46904</v>
      </c>
      <c r="U9570" t="s">
        <v>55401</v>
      </c>
      <c r="W9570" t="s">
        <v>44354</v>
      </c>
      <c r="X9570" t="s">
        <v>45108</v>
      </c>
    </row>
    <row r="9571" spans="1:24">
      <c r="A9571">
        <f>HYPERLINK("https://www.philgeps.gov.ph/GEPSNONPILOT/Tender/SplashBidNoticeAbstractUI.aspx?menuIndex=3&amp;refID=7030610&amp;Result=3","7030610")</f>
        <v>0</v>
      </c>
      <c r="B9571" t="s">
        <v>982</v>
      </c>
      <c r="C9571" t="s">
        <v>12314</v>
      </c>
      <c r="D9571" t="s">
        <v>18072</v>
      </c>
      <c r="E9571" t="s">
        <v>19859</v>
      </c>
      <c r="F9571" t="s">
        <v>31574</v>
      </c>
      <c r="G9571" t="s">
        <v>31582</v>
      </c>
      <c r="H9571" t="s">
        <v>31590</v>
      </c>
      <c r="I9571" t="s">
        <v>7185</v>
      </c>
      <c r="J9571" t="s">
        <v>37752</v>
      </c>
      <c r="K9571" t="s">
        <v>41196</v>
      </c>
      <c r="M9571" t="s">
        <v>42516</v>
      </c>
      <c r="N9571" t="s">
        <v>45095</v>
      </c>
      <c r="O9571" t="s">
        <v>45096</v>
      </c>
      <c r="P9571">
        <v>0</v>
      </c>
      <c r="Q9571">
        <v>1</v>
      </c>
      <c r="R9571" t="s">
        <v>45105</v>
      </c>
      <c r="S9571" t="s">
        <v>45353</v>
      </c>
      <c r="T9571" t="s">
        <v>47301</v>
      </c>
      <c r="U9571" t="s">
        <v>55402</v>
      </c>
      <c r="V9571" t="s">
        <v>60102</v>
      </c>
      <c r="W9571" t="s">
        <v>42516</v>
      </c>
      <c r="X9571" t="s">
        <v>45108</v>
      </c>
    </row>
    <row r="9572" spans="1:24">
      <c r="A9572">
        <f>HYPERLINK("https://www.philgeps.gov.ph/GEPSNONPILOT/Tender/SplashBidNoticeAbstractUI.aspx?menuIndex=3&amp;refID=7030696&amp;Result=3","7030696")</f>
        <v>0</v>
      </c>
      <c r="B9572" t="s">
        <v>346</v>
      </c>
      <c r="C9572" t="s">
        <v>12315</v>
      </c>
      <c r="D9572" t="s">
        <v>18044</v>
      </c>
      <c r="E9572" t="s">
        <v>26466</v>
      </c>
      <c r="F9572" t="s">
        <v>31574</v>
      </c>
      <c r="G9572" t="s">
        <v>31582</v>
      </c>
      <c r="H9572" t="s">
        <v>31590</v>
      </c>
      <c r="I9572" t="s">
        <v>31594</v>
      </c>
      <c r="J9572" t="s">
        <v>37753</v>
      </c>
      <c r="K9572" t="s">
        <v>41190</v>
      </c>
      <c r="M9572" t="s">
        <v>41834</v>
      </c>
      <c r="N9572" t="s">
        <v>45095</v>
      </c>
      <c r="O9572" t="s">
        <v>45096</v>
      </c>
      <c r="P9572">
        <v>0</v>
      </c>
      <c r="Q9572">
        <v>12</v>
      </c>
      <c r="R9572" t="s">
        <v>45105</v>
      </c>
      <c r="S9572" t="s">
        <v>45353</v>
      </c>
      <c r="T9572" t="s">
        <v>46962</v>
      </c>
      <c r="U9572" t="s">
        <v>55403</v>
      </c>
      <c r="W9572" t="s">
        <v>61746</v>
      </c>
      <c r="X9572" t="s">
        <v>45108</v>
      </c>
    </row>
    <row r="9573" spans="1:24">
      <c r="A9573">
        <f>HYPERLINK("https://www.philgeps.gov.ph/GEPSNONPILOT/Tender/SplashBidNoticeAbstractUI.aspx?menuIndex=3&amp;refID=7030520&amp;Result=3","7030520")</f>
        <v>0</v>
      </c>
      <c r="B9573" t="s">
        <v>284</v>
      </c>
      <c r="C9573" t="s">
        <v>12316</v>
      </c>
      <c r="E9573" t="s">
        <v>26467</v>
      </c>
      <c r="F9573" t="s">
        <v>31574</v>
      </c>
      <c r="G9573" t="s">
        <v>31582</v>
      </c>
      <c r="H9573" t="s">
        <v>31591</v>
      </c>
      <c r="I9573" t="s">
        <v>8822</v>
      </c>
      <c r="J9573" t="s">
        <v>37754</v>
      </c>
      <c r="K9573" t="s">
        <v>41184</v>
      </c>
      <c r="M9573" t="s">
        <v>41770</v>
      </c>
      <c r="N9573" t="s">
        <v>45095</v>
      </c>
      <c r="O9573" t="s">
        <v>45096</v>
      </c>
      <c r="P9573">
        <v>0</v>
      </c>
      <c r="Q9573">
        <v>1</v>
      </c>
      <c r="R9573" t="s">
        <v>45105</v>
      </c>
      <c r="S9573" t="s">
        <v>45353</v>
      </c>
      <c r="T9573" t="s">
        <v>47159</v>
      </c>
      <c r="U9573" t="s">
        <v>55404</v>
      </c>
      <c r="V9573" t="s">
        <v>60840</v>
      </c>
      <c r="W9573" t="s">
        <v>41770</v>
      </c>
      <c r="X9573" t="s">
        <v>45108</v>
      </c>
    </row>
    <row r="9574" spans="1:24">
      <c r="A9574">
        <f>HYPERLINK("https://www.philgeps.gov.ph/GEPSNONPILOT/Tender/SplashBidNoticeAbstractUI.aspx?menuIndex=3&amp;refID=7030731&amp;Result=3","7030731")</f>
        <v>0</v>
      </c>
      <c r="B9574" t="s">
        <v>2584</v>
      </c>
      <c r="C9574" t="s">
        <v>12317</v>
      </c>
      <c r="D9574" t="s">
        <v>18022</v>
      </c>
      <c r="E9574" t="s">
        <v>18922</v>
      </c>
      <c r="F9574" t="s">
        <v>31574</v>
      </c>
      <c r="G9574" t="s">
        <v>31582</v>
      </c>
      <c r="H9574" t="s">
        <v>31590</v>
      </c>
      <c r="I9574" t="s">
        <v>3487</v>
      </c>
      <c r="J9574" t="s">
        <v>31789</v>
      </c>
      <c r="K9574" t="s">
        <v>41186</v>
      </c>
      <c r="M9574" t="s">
        <v>44326</v>
      </c>
      <c r="N9574" t="s">
        <v>45095</v>
      </c>
      <c r="O9574" t="s">
        <v>45096</v>
      </c>
      <c r="P9574">
        <v>0</v>
      </c>
      <c r="Q9574">
        <v>0</v>
      </c>
      <c r="R9574" t="s">
        <v>45105</v>
      </c>
      <c r="S9574" t="s">
        <v>45353</v>
      </c>
      <c r="T9574" t="s">
        <v>47154</v>
      </c>
      <c r="U9574" t="s">
        <v>55405</v>
      </c>
      <c r="W9574" t="s">
        <v>44326</v>
      </c>
      <c r="X9574" t="s">
        <v>45108</v>
      </c>
    </row>
    <row r="9575" spans="1:24">
      <c r="A9575">
        <f>HYPERLINK("https://www.philgeps.gov.ph/GEPSNONPILOT/Tender/SplashBidNoticeAbstractUI.aspx?menuIndex=3&amp;refID=7030680&amp;Result=3","7030680")</f>
        <v>0</v>
      </c>
      <c r="B9575" t="s">
        <v>2610</v>
      </c>
      <c r="C9575" t="s">
        <v>12318</v>
      </c>
      <c r="D9575" t="s">
        <v>18056</v>
      </c>
      <c r="E9575" t="s">
        <v>26468</v>
      </c>
      <c r="F9575" t="s">
        <v>31574</v>
      </c>
      <c r="G9575" t="s">
        <v>31581</v>
      </c>
      <c r="H9575" t="s">
        <v>31590</v>
      </c>
      <c r="I9575" t="s">
        <v>31600</v>
      </c>
      <c r="J9575" t="s">
        <v>37755</v>
      </c>
      <c r="K9575" t="s">
        <v>41196</v>
      </c>
      <c r="L9575" t="s">
        <v>2610</v>
      </c>
      <c r="M9575" t="s">
        <v>44355</v>
      </c>
      <c r="N9575" t="s">
        <v>45095</v>
      </c>
      <c r="O9575" t="s">
        <v>45096</v>
      </c>
      <c r="P9575">
        <v>0</v>
      </c>
      <c r="Q9575">
        <v>0</v>
      </c>
      <c r="R9575" t="s">
        <v>45105</v>
      </c>
      <c r="S9575" t="s">
        <v>45353</v>
      </c>
      <c r="T9575" t="s">
        <v>47159</v>
      </c>
      <c r="U9575" t="s">
        <v>55406</v>
      </c>
      <c r="W9575" t="s">
        <v>44355</v>
      </c>
      <c r="X9575" t="s">
        <v>45108</v>
      </c>
    </row>
    <row r="9576" spans="1:24">
      <c r="A9576">
        <f>HYPERLINK("https://www.philgeps.gov.ph/GEPSNONPILOT/Tender/SplashBidNoticeAbstractUI.aspx?menuIndex=3&amp;refID=7030684&amp;Result=3","7030684")</f>
        <v>0</v>
      </c>
      <c r="B9576" t="s">
        <v>346</v>
      </c>
      <c r="C9576" t="s">
        <v>12319</v>
      </c>
      <c r="D9576" t="s">
        <v>18044</v>
      </c>
      <c r="E9576" t="s">
        <v>26469</v>
      </c>
      <c r="F9576" t="s">
        <v>31574</v>
      </c>
      <c r="G9576" t="s">
        <v>31582</v>
      </c>
      <c r="H9576" t="s">
        <v>31590</v>
      </c>
      <c r="I9576" t="s">
        <v>31599</v>
      </c>
      <c r="J9576" t="s">
        <v>37756</v>
      </c>
      <c r="K9576" t="s">
        <v>41190</v>
      </c>
      <c r="M9576" t="s">
        <v>41834</v>
      </c>
      <c r="N9576" t="s">
        <v>45095</v>
      </c>
      <c r="O9576" t="s">
        <v>45096</v>
      </c>
      <c r="P9576">
        <v>0</v>
      </c>
      <c r="Q9576">
        <v>4</v>
      </c>
      <c r="R9576" t="s">
        <v>45105</v>
      </c>
      <c r="S9576" t="s">
        <v>45353</v>
      </c>
      <c r="T9576" t="s">
        <v>46962</v>
      </c>
      <c r="U9576" t="s">
        <v>55407</v>
      </c>
      <c r="W9576" t="s">
        <v>61746</v>
      </c>
      <c r="X9576" t="s">
        <v>45108</v>
      </c>
    </row>
    <row r="9577" spans="1:24">
      <c r="A9577">
        <f>HYPERLINK("https://www.philgeps.gov.ph/GEPSNONPILOT/Tender/SplashBidNoticeAbstractUI.aspx?menuIndex=3&amp;refID=7030631&amp;Result=3","7030631")</f>
        <v>0</v>
      </c>
      <c r="B9577" t="s">
        <v>2211</v>
      </c>
      <c r="C9577" t="s">
        <v>12320</v>
      </c>
      <c r="D9577" t="s">
        <v>18034</v>
      </c>
      <c r="E9577" t="s">
        <v>26470</v>
      </c>
      <c r="F9577" t="s">
        <v>31574</v>
      </c>
      <c r="G9577" t="s">
        <v>31582</v>
      </c>
      <c r="H9577" t="s">
        <v>31591</v>
      </c>
      <c r="I9577" t="s">
        <v>8822</v>
      </c>
      <c r="J9577" t="s">
        <v>37757</v>
      </c>
      <c r="K9577" t="s">
        <v>41215</v>
      </c>
      <c r="M9577" t="s">
        <v>43901</v>
      </c>
      <c r="N9577" t="s">
        <v>45095</v>
      </c>
      <c r="O9577" t="s">
        <v>45096</v>
      </c>
      <c r="P9577">
        <v>0</v>
      </c>
      <c r="Q9577">
        <v>0</v>
      </c>
      <c r="R9577" t="s">
        <v>45105</v>
      </c>
      <c r="S9577" t="s">
        <v>45353</v>
      </c>
      <c r="T9577" t="s">
        <v>46985</v>
      </c>
      <c r="U9577" t="s">
        <v>53698</v>
      </c>
      <c r="W9577" t="s">
        <v>43901</v>
      </c>
      <c r="X9577" t="s">
        <v>45108</v>
      </c>
    </row>
    <row r="9578" spans="1:24">
      <c r="A9578">
        <f>HYPERLINK("https://www.philgeps.gov.ph/GEPSNONPILOT/Tender/SplashBidNoticeAbstractUI.aspx?menuIndex=3&amp;refID=7030609&amp;Result=3","7030609")</f>
        <v>0</v>
      </c>
      <c r="B9578" t="s">
        <v>2211</v>
      </c>
      <c r="C9578" t="s">
        <v>12321</v>
      </c>
      <c r="D9578" t="s">
        <v>18034</v>
      </c>
      <c r="E9578" t="s">
        <v>26471</v>
      </c>
      <c r="F9578" t="s">
        <v>31574</v>
      </c>
      <c r="G9578" t="s">
        <v>31582</v>
      </c>
      <c r="H9578" t="s">
        <v>31591</v>
      </c>
      <c r="I9578" t="s">
        <v>8822</v>
      </c>
      <c r="J9578" t="s">
        <v>37758</v>
      </c>
      <c r="K9578" t="s">
        <v>41191</v>
      </c>
      <c r="M9578" t="s">
        <v>43901</v>
      </c>
      <c r="N9578" t="s">
        <v>45095</v>
      </c>
      <c r="O9578" t="s">
        <v>45096</v>
      </c>
      <c r="P9578">
        <v>0</v>
      </c>
      <c r="Q9578">
        <v>0</v>
      </c>
      <c r="R9578" t="s">
        <v>45105</v>
      </c>
      <c r="S9578" t="s">
        <v>45353</v>
      </c>
      <c r="T9578" t="s">
        <v>46985</v>
      </c>
      <c r="U9578" t="s">
        <v>53698</v>
      </c>
      <c r="W9578" t="s">
        <v>43901</v>
      </c>
      <c r="X9578" t="s">
        <v>45108</v>
      </c>
    </row>
    <row r="9579" spans="1:24">
      <c r="A9579">
        <f>HYPERLINK("https://www.philgeps.gov.ph/GEPSNONPILOT/Tender/SplashBidNoticeAbstractUI.aspx?menuIndex=3&amp;refID=7030678&amp;Result=3","7030678")</f>
        <v>0</v>
      </c>
      <c r="B9579" t="s">
        <v>346</v>
      </c>
      <c r="C9579" t="s">
        <v>12322</v>
      </c>
      <c r="D9579" t="s">
        <v>18044</v>
      </c>
      <c r="E9579" t="s">
        <v>26472</v>
      </c>
      <c r="F9579" t="s">
        <v>31574</v>
      </c>
      <c r="G9579" t="s">
        <v>31582</v>
      </c>
      <c r="H9579" t="s">
        <v>31590</v>
      </c>
      <c r="I9579" t="s">
        <v>7185</v>
      </c>
      <c r="J9579" t="s">
        <v>37759</v>
      </c>
      <c r="K9579" t="s">
        <v>41190</v>
      </c>
      <c r="M9579" t="s">
        <v>41834</v>
      </c>
      <c r="N9579" t="s">
        <v>45095</v>
      </c>
      <c r="O9579" t="s">
        <v>45096</v>
      </c>
      <c r="P9579">
        <v>0</v>
      </c>
      <c r="Q9579">
        <v>7</v>
      </c>
      <c r="R9579" t="s">
        <v>45105</v>
      </c>
      <c r="S9579" t="s">
        <v>45353</v>
      </c>
      <c r="T9579" t="s">
        <v>46962</v>
      </c>
      <c r="U9579" t="s">
        <v>55408</v>
      </c>
      <c r="W9579" t="s">
        <v>61746</v>
      </c>
      <c r="X9579" t="s">
        <v>45108</v>
      </c>
    </row>
    <row r="9580" spans="1:24">
      <c r="A9580">
        <f>HYPERLINK("https://www.philgeps.gov.ph/GEPSNONPILOT/Tender/SplashBidNoticeAbstractUI.aspx?menuIndex=3&amp;refID=7030629&amp;Result=3","7030629")</f>
        <v>0</v>
      </c>
      <c r="B9580" t="s">
        <v>284</v>
      </c>
      <c r="C9580" t="s">
        <v>12323</v>
      </c>
      <c r="E9580" t="s">
        <v>26473</v>
      </c>
      <c r="F9580" t="s">
        <v>31574</v>
      </c>
      <c r="G9580" t="s">
        <v>31582</v>
      </c>
      <c r="H9580" t="s">
        <v>31590</v>
      </c>
      <c r="I9580" t="s">
        <v>3487</v>
      </c>
      <c r="J9580" t="s">
        <v>31789</v>
      </c>
      <c r="K9580" t="s">
        <v>41184</v>
      </c>
      <c r="M9580" t="s">
        <v>41770</v>
      </c>
      <c r="N9580" t="s">
        <v>45095</v>
      </c>
      <c r="O9580" t="s">
        <v>45096</v>
      </c>
      <c r="P9580">
        <v>0</v>
      </c>
      <c r="Q9580">
        <v>1</v>
      </c>
      <c r="R9580" t="s">
        <v>45105</v>
      </c>
      <c r="S9580" t="s">
        <v>45353</v>
      </c>
      <c r="T9580" t="s">
        <v>47159</v>
      </c>
      <c r="U9580" t="s">
        <v>55409</v>
      </c>
      <c r="V9580" t="s">
        <v>60840</v>
      </c>
      <c r="W9580" t="s">
        <v>41770</v>
      </c>
      <c r="X9580" t="s">
        <v>45108</v>
      </c>
    </row>
    <row r="9581" spans="1:24">
      <c r="A9581">
        <f>HYPERLINK("https://www.philgeps.gov.ph/GEPSNONPILOT/Tender/SplashBidNoticeAbstractUI.aspx?menuIndex=3&amp;refID=7030721&amp;Result=3","7030721")</f>
        <v>0</v>
      </c>
      <c r="B9581" t="s">
        <v>346</v>
      </c>
      <c r="C9581" t="s">
        <v>12324</v>
      </c>
      <c r="D9581" t="s">
        <v>18044</v>
      </c>
      <c r="E9581" t="s">
        <v>26474</v>
      </c>
      <c r="F9581" t="s">
        <v>31574</v>
      </c>
      <c r="G9581" t="s">
        <v>31582</v>
      </c>
      <c r="H9581" t="s">
        <v>31591</v>
      </c>
      <c r="I9581" t="s">
        <v>8822</v>
      </c>
      <c r="J9581" t="s">
        <v>37760</v>
      </c>
      <c r="K9581" t="s">
        <v>41186</v>
      </c>
      <c r="M9581" t="s">
        <v>44356</v>
      </c>
      <c r="N9581" t="s">
        <v>45095</v>
      </c>
      <c r="O9581" t="s">
        <v>45096</v>
      </c>
      <c r="P9581">
        <v>0</v>
      </c>
      <c r="Q9581">
        <v>0</v>
      </c>
      <c r="R9581" t="s">
        <v>45105</v>
      </c>
      <c r="S9581" t="s">
        <v>45353</v>
      </c>
      <c r="T9581" t="s">
        <v>46962</v>
      </c>
      <c r="U9581" t="s">
        <v>55410</v>
      </c>
      <c r="W9581" t="s">
        <v>61746</v>
      </c>
      <c r="X9581" t="s">
        <v>45108</v>
      </c>
    </row>
    <row r="9582" spans="1:24">
      <c r="A9582">
        <f>HYPERLINK("https://www.philgeps.gov.ph/GEPSNONPILOT/Tender/SplashBidNoticeAbstractUI.aspx?menuIndex=3&amp;refID=7030739&amp;Result=3","7030739")</f>
        <v>0</v>
      </c>
      <c r="B9582" t="s">
        <v>2611</v>
      </c>
      <c r="C9582" t="s">
        <v>12325</v>
      </c>
      <c r="D9582" t="s">
        <v>18065</v>
      </c>
      <c r="E9582" t="s">
        <v>26475</v>
      </c>
      <c r="F9582" t="s">
        <v>31574</v>
      </c>
      <c r="G9582" t="s">
        <v>31582</v>
      </c>
      <c r="H9582" t="s">
        <v>31591</v>
      </c>
      <c r="I9582" t="s">
        <v>8822</v>
      </c>
      <c r="J9582" t="s">
        <v>31771</v>
      </c>
      <c r="K9582" t="s">
        <v>41189</v>
      </c>
      <c r="M9582" t="s">
        <v>44357</v>
      </c>
      <c r="N9582" t="s">
        <v>45095</v>
      </c>
      <c r="O9582" t="s">
        <v>45096</v>
      </c>
      <c r="P9582">
        <v>0</v>
      </c>
      <c r="Q9582">
        <v>0</v>
      </c>
      <c r="R9582" t="s">
        <v>45105</v>
      </c>
      <c r="S9582" t="s">
        <v>45353</v>
      </c>
      <c r="T9582" t="s">
        <v>47174</v>
      </c>
      <c r="U9582" t="s">
        <v>55411</v>
      </c>
      <c r="V9582" t="s">
        <v>60843</v>
      </c>
      <c r="W9582" t="s">
        <v>61747</v>
      </c>
      <c r="X9582" t="s">
        <v>45108</v>
      </c>
    </row>
    <row r="9583" spans="1:24">
      <c r="A9583">
        <f>HYPERLINK("https://www.philgeps.gov.ph/GEPSNONPILOT/Tender/SplashBidNoticeAbstractUI.aspx?menuIndex=3&amp;refID=7030770&amp;Result=3","7030770")</f>
        <v>0</v>
      </c>
      <c r="B9583" t="s">
        <v>363</v>
      </c>
      <c r="C9583" t="s">
        <v>12326</v>
      </c>
      <c r="D9583" t="s">
        <v>18044</v>
      </c>
      <c r="E9583" t="s">
        <v>26476</v>
      </c>
      <c r="F9583" t="s">
        <v>31574</v>
      </c>
      <c r="G9583" t="s">
        <v>31582</v>
      </c>
      <c r="H9583" t="s">
        <v>31591</v>
      </c>
      <c r="I9583" t="s">
        <v>8822</v>
      </c>
      <c r="J9583" t="s">
        <v>31771</v>
      </c>
      <c r="K9583" t="s">
        <v>41203</v>
      </c>
      <c r="M9583" t="s">
        <v>41853</v>
      </c>
      <c r="N9583" t="s">
        <v>45095</v>
      </c>
      <c r="O9583" t="s">
        <v>45096</v>
      </c>
      <c r="P9583">
        <v>0</v>
      </c>
      <c r="Q9583">
        <v>0</v>
      </c>
      <c r="R9583" t="s">
        <v>45105</v>
      </c>
      <c r="S9583" t="s">
        <v>45353</v>
      </c>
      <c r="T9583" t="s">
        <v>46943</v>
      </c>
      <c r="U9583" t="s">
        <v>55412</v>
      </c>
      <c r="W9583" t="s">
        <v>41853</v>
      </c>
      <c r="X9583" t="s">
        <v>45108</v>
      </c>
    </row>
    <row r="9584" spans="1:24">
      <c r="A9584">
        <f>HYPERLINK("https://www.philgeps.gov.ph/GEPSNONPILOT/Tender/SplashBidNoticeAbstractUI.aspx?menuIndex=3&amp;refID=7030845&amp;Result=3","7030845")</f>
        <v>0</v>
      </c>
      <c r="B9584" t="s">
        <v>2612</v>
      </c>
      <c r="C9584" t="s">
        <v>12327</v>
      </c>
      <c r="D9584" t="s">
        <v>18081</v>
      </c>
      <c r="E9584" t="s">
        <v>25191</v>
      </c>
      <c r="F9584" t="s">
        <v>31574</v>
      </c>
      <c r="G9584" t="s">
        <v>31582</v>
      </c>
      <c r="H9584" t="s">
        <v>31590</v>
      </c>
      <c r="I9584" t="s">
        <v>14034</v>
      </c>
      <c r="J9584" t="s">
        <v>37761</v>
      </c>
      <c r="K9584" t="s">
        <v>41186</v>
      </c>
      <c r="M9584" t="s">
        <v>44358</v>
      </c>
      <c r="N9584" t="s">
        <v>45095</v>
      </c>
      <c r="O9584" t="s">
        <v>45096</v>
      </c>
      <c r="P9584">
        <v>0</v>
      </c>
      <c r="Q9584">
        <v>8</v>
      </c>
      <c r="R9584" t="s">
        <v>45105</v>
      </c>
      <c r="S9584" t="s">
        <v>45353</v>
      </c>
      <c r="T9584" t="s">
        <v>46988</v>
      </c>
      <c r="U9584" t="s">
        <v>55413</v>
      </c>
      <c r="W9584" t="s">
        <v>44358</v>
      </c>
      <c r="X9584" t="s">
        <v>45108</v>
      </c>
    </row>
    <row r="9585" spans="1:24">
      <c r="A9585">
        <f>HYPERLINK("https://www.philgeps.gov.ph/GEPSNONPILOT/Tender/SplashBidNoticeAbstractUI.aspx?menuIndex=3&amp;refID=7030837&amp;Result=3","7030837")</f>
        <v>0</v>
      </c>
      <c r="B9585" t="s">
        <v>2391</v>
      </c>
      <c r="C9585" t="s">
        <v>12328</v>
      </c>
      <c r="D9585" t="s">
        <v>18037</v>
      </c>
      <c r="E9585" t="s">
        <v>26477</v>
      </c>
      <c r="F9585" t="s">
        <v>31574</v>
      </c>
      <c r="G9585" t="s">
        <v>31581</v>
      </c>
      <c r="H9585" t="s">
        <v>31590</v>
      </c>
      <c r="I9585" t="s">
        <v>31622</v>
      </c>
      <c r="J9585" t="s">
        <v>33039</v>
      </c>
      <c r="K9585" t="s">
        <v>41193</v>
      </c>
      <c r="M9585" t="s">
        <v>44117</v>
      </c>
      <c r="N9585" t="s">
        <v>45095</v>
      </c>
      <c r="O9585" t="s">
        <v>45096</v>
      </c>
      <c r="P9585">
        <v>0</v>
      </c>
      <c r="Q9585">
        <v>0</v>
      </c>
      <c r="R9585" t="s">
        <v>45105</v>
      </c>
      <c r="S9585" t="s">
        <v>45353</v>
      </c>
      <c r="T9585" t="s">
        <v>47158</v>
      </c>
      <c r="U9585" t="s">
        <v>54590</v>
      </c>
      <c r="W9585" t="s">
        <v>44117</v>
      </c>
      <c r="X9585" t="s">
        <v>45108</v>
      </c>
    </row>
    <row r="9586" spans="1:24">
      <c r="A9586">
        <f>HYPERLINK("https://www.philgeps.gov.ph/GEPSNONPILOT/Tender/SplashBidNoticeAbstractUI.aspx?menuIndex=3&amp;refID=7030814&amp;Result=3","7030814")</f>
        <v>0</v>
      </c>
      <c r="B9586" t="s">
        <v>159</v>
      </c>
      <c r="C9586" t="s">
        <v>12329</v>
      </c>
      <c r="D9586" t="s">
        <v>18046</v>
      </c>
      <c r="E9586" t="s">
        <v>26478</v>
      </c>
      <c r="F9586" t="s">
        <v>31574</v>
      </c>
      <c r="G9586" t="s">
        <v>31582</v>
      </c>
      <c r="H9586" t="s">
        <v>31590</v>
      </c>
      <c r="I9586" t="s">
        <v>14034</v>
      </c>
      <c r="J9586" t="s">
        <v>32147</v>
      </c>
      <c r="K9586" t="s">
        <v>41186</v>
      </c>
      <c r="M9586" t="s">
        <v>43387</v>
      </c>
      <c r="N9586" t="s">
        <v>45095</v>
      </c>
      <c r="O9586" t="s">
        <v>45096</v>
      </c>
      <c r="P9586">
        <v>0</v>
      </c>
      <c r="Q9586">
        <v>0</v>
      </c>
      <c r="R9586" t="s">
        <v>45105</v>
      </c>
      <c r="S9586" t="s">
        <v>45353</v>
      </c>
      <c r="T9586" t="s">
        <v>47154</v>
      </c>
      <c r="U9586" t="s">
        <v>47772</v>
      </c>
      <c r="V9586" t="s">
        <v>59890</v>
      </c>
      <c r="W9586" t="s">
        <v>43387</v>
      </c>
      <c r="X9586" t="s">
        <v>45108</v>
      </c>
    </row>
    <row r="9587" spans="1:24">
      <c r="A9587">
        <f>HYPERLINK("https://www.philgeps.gov.ph/GEPSNONPILOT/Tender/SplashBidNoticeAbstractUI.aspx?menuIndex=3&amp;refID=7030911&amp;Result=3","7030911")</f>
        <v>0</v>
      </c>
      <c r="B9587" t="s">
        <v>2612</v>
      </c>
      <c r="C9587" t="s">
        <v>12330</v>
      </c>
      <c r="D9587" t="s">
        <v>18081</v>
      </c>
      <c r="E9587" t="s">
        <v>19124</v>
      </c>
      <c r="F9587" t="s">
        <v>31574</v>
      </c>
      <c r="G9587" t="s">
        <v>31582</v>
      </c>
      <c r="H9587" t="s">
        <v>31590</v>
      </c>
      <c r="I9587" t="s">
        <v>31598</v>
      </c>
      <c r="J9587" t="s">
        <v>37762</v>
      </c>
      <c r="K9587" t="s">
        <v>41185</v>
      </c>
      <c r="M9587" t="s">
        <v>44358</v>
      </c>
      <c r="N9587" t="s">
        <v>45095</v>
      </c>
      <c r="O9587" t="s">
        <v>45096</v>
      </c>
      <c r="P9587">
        <v>0</v>
      </c>
      <c r="Q9587">
        <v>12</v>
      </c>
      <c r="R9587" t="s">
        <v>45105</v>
      </c>
      <c r="S9587" t="s">
        <v>45353</v>
      </c>
      <c r="T9587" t="s">
        <v>47063</v>
      </c>
      <c r="U9587" t="s">
        <v>55414</v>
      </c>
      <c r="W9587" t="s">
        <v>44358</v>
      </c>
      <c r="X9587" t="s">
        <v>45108</v>
      </c>
    </row>
    <row r="9588" spans="1:24">
      <c r="A9588">
        <f>HYPERLINK("https://www.philgeps.gov.ph/GEPSNONPILOT/Tender/SplashBidNoticeAbstractUI.aspx?menuIndex=3&amp;refID=7030905&amp;Result=3","7030905")</f>
        <v>0</v>
      </c>
      <c r="B9588" t="s">
        <v>2216</v>
      </c>
      <c r="C9588" t="s">
        <v>12331</v>
      </c>
      <c r="D9588" t="s">
        <v>18025</v>
      </c>
      <c r="E9588" t="s">
        <v>26479</v>
      </c>
      <c r="F9588" t="s">
        <v>31574</v>
      </c>
      <c r="G9588" t="s">
        <v>31582</v>
      </c>
      <c r="H9588" t="s">
        <v>31590</v>
      </c>
      <c r="I9588" t="s">
        <v>7185</v>
      </c>
      <c r="J9588" t="s">
        <v>37763</v>
      </c>
      <c r="K9588" t="s">
        <v>41186</v>
      </c>
      <c r="M9588" t="s">
        <v>43907</v>
      </c>
      <c r="N9588" t="s">
        <v>45095</v>
      </c>
      <c r="O9588" t="s">
        <v>45096</v>
      </c>
      <c r="P9588">
        <v>0</v>
      </c>
      <c r="Q9588">
        <v>3</v>
      </c>
      <c r="R9588" t="s">
        <v>45105</v>
      </c>
      <c r="S9588" t="s">
        <v>45353</v>
      </c>
      <c r="T9588" t="s">
        <v>47183</v>
      </c>
      <c r="U9588" t="s">
        <v>55415</v>
      </c>
      <c r="V9588" t="s">
        <v>60844</v>
      </c>
      <c r="W9588" t="s">
        <v>43907</v>
      </c>
      <c r="X9588" t="s">
        <v>45108</v>
      </c>
    </row>
    <row r="9589" spans="1:24">
      <c r="A9589">
        <f>HYPERLINK("https://www.philgeps.gov.ph/GEPSNONPILOT/Tender/SplashBidNoticeAbstractUI.aspx?menuIndex=3&amp;refID=7030832&amp;Result=3","7030832")</f>
        <v>0</v>
      </c>
      <c r="B9589" t="s">
        <v>2613</v>
      </c>
      <c r="C9589" t="s">
        <v>12332</v>
      </c>
      <c r="D9589" t="s">
        <v>18050</v>
      </c>
      <c r="E9589" t="s">
        <v>19113</v>
      </c>
      <c r="F9589" t="s">
        <v>31575</v>
      </c>
      <c r="G9589" t="s">
        <v>31582</v>
      </c>
      <c r="H9589" t="s">
        <v>31590</v>
      </c>
      <c r="I9589" t="s">
        <v>4046</v>
      </c>
      <c r="J9589" t="s">
        <v>33033</v>
      </c>
      <c r="K9589" t="s">
        <v>41191</v>
      </c>
      <c r="M9589" t="s">
        <v>44359</v>
      </c>
      <c r="N9589" t="s">
        <v>45095</v>
      </c>
      <c r="O9589" t="s">
        <v>45096</v>
      </c>
      <c r="P9589">
        <v>0</v>
      </c>
      <c r="Q9589">
        <v>0</v>
      </c>
      <c r="R9589" t="s">
        <v>45105</v>
      </c>
      <c r="S9589" t="s">
        <v>45353</v>
      </c>
      <c r="T9589" t="s">
        <v>46955</v>
      </c>
      <c r="U9589" t="s">
        <v>55416</v>
      </c>
      <c r="W9589" t="s">
        <v>44359</v>
      </c>
      <c r="X9589" t="s">
        <v>45108</v>
      </c>
    </row>
    <row r="9590" spans="1:24">
      <c r="A9590">
        <f>HYPERLINK("https://www.philgeps.gov.ph/GEPSNONPILOT/Tender/SplashBidNoticeAbstractUI.aspx?menuIndex=3&amp;refID=7030871&amp;Result=3","7030871")</f>
        <v>0</v>
      </c>
      <c r="B9590" t="s">
        <v>2391</v>
      </c>
      <c r="C9590" t="s">
        <v>12333</v>
      </c>
      <c r="D9590" t="s">
        <v>18037</v>
      </c>
      <c r="E9590" t="s">
        <v>26480</v>
      </c>
      <c r="F9590" t="s">
        <v>31574</v>
      </c>
      <c r="G9590" t="s">
        <v>31581</v>
      </c>
      <c r="H9590" t="s">
        <v>31590</v>
      </c>
      <c r="I9590" t="s">
        <v>31605</v>
      </c>
      <c r="J9590" t="s">
        <v>35563</v>
      </c>
      <c r="K9590" t="s">
        <v>41193</v>
      </c>
      <c r="M9590" t="s">
        <v>44117</v>
      </c>
      <c r="N9590" t="s">
        <v>45095</v>
      </c>
      <c r="O9590" t="s">
        <v>45096</v>
      </c>
      <c r="P9590">
        <v>0</v>
      </c>
      <c r="Q9590">
        <v>2</v>
      </c>
      <c r="R9590" t="s">
        <v>45105</v>
      </c>
      <c r="S9590" t="s">
        <v>45353</v>
      </c>
      <c r="T9590" t="s">
        <v>47158</v>
      </c>
      <c r="U9590" t="s">
        <v>55417</v>
      </c>
      <c r="W9590" t="s">
        <v>44117</v>
      </c>
      <c r="X9590" t="s">
        <v>45108</v>
      </c>
    </row>
    <row r="9591" spans="1:24">
      <c r="A9591">
        <f>HYPERLINK("https://www.philgeps.gov.ph/GEPSNONPILOT/Tender/SplashBidNoticeAbstractUI.aspx?menuIndex=3&amp;refID=7030791&amp;Result=3","7030791")</f>
        <v>0</v>
      </c>
      <c r="B9591" t="s">
        <v>976</v>
      </c>
      <c r="C9591" t="s">
        <v>12334</v>
      </c>
      <c r="D9591" t="s">
        <v>18074</v>
      </c>
      <c r="E9591" t="s">
        <v>26481</v>
      </c>
      <c r="F9591" t="s">
        <v>31574</v>
      </c>
      <c r="G9591" t="s">
        <v>31582</v>
      </c>
      <c r="H9591" t="s">
        <v>31590</v>
      </c>
      <c r="I9591" t="s">
        <v>7185</v>
      </c>
      <c r="J9591" t="s">
        <v>31962</v>
      </c>
      <c r="K9591" t="s">
        <v>41196</v>
      </c>
      <c r="M9591" t="s">
        <v>42508</v>
      </c>
      <c r="N9591" t="s">
        <v>45095</v>
      </c>
      <c r="O9591" t="s">
        <v>45096</v>
      </c>
      <c r="P9591">
        <v>0</v>
      </c>
      <c r="Q9591">
        <v>0</v>
      </c>
      <c r="R9591" t="s">
        <v>45105</v>
      </c>
      <c r="S9591" t="s">
        <v>45353</v>
      </c>
      <c r="T9591" t="s">
        <v>46985</v>
      </c>
      <c r="U9591" t="s">
        <v>53566</v>
      </c>
      <c r="V9591" t="s">
        <v>60094</v>
      </c>
      <c r="W9591" t="s">
        <v>42508</v>
      </c>
      <c r="X9591" t="s">
        <v>45108</v>
      </c>
    </row>
    <row r="9592" spans="1:24">
      <c r="A9592">
        <f>HYPERLINK("https://www.philgeps.gov.ph/GEPSNONPILOT/Tender/SplashBidNoticeAbstractUI.aspx?menuIndex=3&amp;refID=7030851&amp;Result=3","7030851")</f>
        <v>0</v>
      </c>
      <c r="B9592" t="s">
        <v>2614</v>
      </c>
      <c r="C9592" t="s">
        <v>12335</v>
      </c>
      <c r="D9592" t="s">
        <v>18033</v>
      </c>
      <c r="E9592" t="s">
        <v>18574</v>
      </c>
      <c r="F9592" t="s">
        <v>31574</v>
      </c>
      <c r="G9592" t="s">
        <v>31582</v>
      </c>
      <c r="H9592" t="s">
        <v>31591</v>
      </c>
      <c r="I9592" t="s">
        <v>8822</v>
      </c>
      <c r="J9592" t="s">
        <v>37764</v>
      </c>
      <c r="K9592" t="s">
        <v>41184</v>
      </c>
      <c r="M9592" t="s">
        <v>44360</v>
      </c>
      <c r="N9592" t="s">
        <v>45095</v>
      </c>
      <c r="O9592" t="s">
        <v>45096</v>
      </c>
      <c r="P9592">
        <v>0</v>
      </c>
      <c r="Q9592">
        <v>0</v>
      </c>
      <c r="R9592" t="s">
        <v>45105</v>
      </c>
      <c r="S9592" t="s">
        <v>45353</v>
      </c>
      <c r="T9592" t="s">
        <v>47183</v>
      </c>
      <c r="U9592" t="s">
        <v>55418</v>
      </c>
      <c r="W9592" t="s">
        <v>44360</v>
      </c>
      <c r="X9592" t="s">
        <v>45108</v>
      </c>
    </row>
    <row r="9593" spans="1:24">
      <c r="A9593">
        <f>HYPERLINK("https://www.philgeps.gov.ph/GEPSNONPILOT/Tender/SplashBidNoticeAbstractUI.aspx?menuIndex=3&amp;refID=7030894&amp;Result=3","7030894")</f>
        <v>0</v>
      </c>
      <c r="B9593" t="s">
        <v>2216</v>
      </c>
      <c r="C9593" t="s">
        <v>12336</v>
      </c>
      <c r="D9593" t="s">
        <v>18025</v>
      </c>
      <c r="E9593" t="s">
        <v>26482</v>
      </c>
      <c r="F9593" t="s">
        <v>31574</v>
      </c>
      <c r="G9593" t="s">
        <v>31582</v>
      </c>
      <c r="H9593" t="s">
        <v>31590</v>
      </c>
      <c r="I9593" t="s">
        <v>14034</v>
      </c>
      <c r="J9593" t="s">
        <v>34225</v>
      </c>
      <c r="K9593" t="s">
        <v>41186</v>
      </c>
      <c r="M9593" t="s">
        <v>43907</v>
      </c>
      <c r="N9593" t="s">
        <v>45095</v>
      </c>
      <c r="O9593" t="s">
        <v>45096</v>
      </c>
      <c r="P9593">
        <v>0</v>
      </c>
      <c r="Q9593">
        <v>2</v>
      </c>
      <c r="R9593" t="s">
        <v>45105</v>
      </c>
      <c r="S9593" t="s">
        <v>45353</v>
      </c>
      <c r="T9593" t="s">
        <v>47183</v>
      </c>
      <c r="U9593" t="s">
        <v>55415</v>
      </c>
      <c r="V9593" t="s">
        <v>60845</v>
      </c>
      <c r="W9593" t="s">
        <v>43907</v>
      </c>
      <c r="X9593" t="s">
        <v>45108</v>
      </c>
    </row>
    <row r="9594" spans="1:24">
      <c r="A9594">
        <f>HYPERLINK("https://www.philgeps.gov.ph/GEPSNONPILOT/Tender/SplashBidNoticeAbstractUI.aspx?menuIndex=3&amp;refID=7030743&amp;Result=3","7030743")</f>
        <v>0</v>
      </c>
      <c r="B9594" t="s">
        <v>363</v>
      </c>
      <c r="C9594" t="s">
        <v>12337</v>
      </c>
      <c r="D9594" t="s">
        <v>18044</v>
      </c>
      <c r="E9594" t="s">
        <v>26483</v>
      </c>
      <c r="F9594" t="s">
        <v>31574</v>
      </c>
      <c r="G9594" t="s">
        <v>31582</v>
      </c>
      <c r="H9594" t="s">
        <v>31591</v>
      </c>
      <c r="I9594" t="s">
        <v>8822</v>
      </c>
      <c r="J9594" t="s">
        <v>31771</v>
      </c>
      <c r="K9594" t="s">
        <v>41189</v>
      </c>
      <c r="M9594" t="s">
        <v>41853</v>
      </c>
      <c r="N9594" t="s">
        <v>45095</v>
      </c>
      <c r="O9594" t="s">
        <v>45096</v>
      </c>
      <c r="P9594">
        <v>0</v>
      </c>
      <c r="Q9594">
        <v>0</v>
      </c>
      <c r="R9594" t="s">
        <v>45105</v>
      </c>
      <c r="S9594" t="s">
        <v>45353</v>
      </c>
      <c r="T9594" t="s">
        <v>47000</v>
      </c>
      <c r="U9594" t="s">
        <v>55419</v>
      </c>
      <c r="W9594" t="s">
        <v>41853</v>
      </c>
      <c r="X9594" t="s">
        <v>45108</v>
      </c>
    </row>
    <row r="9595" spans="1:24">
      <c r="A9595">
        <f>HYPERLINK("https://www.philgeps.gov.ph/GEPSNONPILOT/Tender/SplashBidNoticeAbstractUI.aspx?menuIndex=3&amp;refID=7030880&amp;Result=3","7030880")</f>
        <v>0</v>
      </c>
      <c r="B9595" t="s">
        <v>2611</v>
      </c>
      <c r="C9595" t="s">
        <v>12338</v>
      </c>
      <c r="D9595" t="s">
        <v>18065</v>
      </c>
      <c r="E9595" t="s">
        <v>26484</v>
      </c>
      <c r="F9595" t="s">
        <v>31574</v>
      </c>
      <c r="G9595" t="s">
        <v>31582</v>
      </c>
      <c r="H9595" t="s">
        <v>31590</v>
      </c>
      <c r="I9595" t="s">
        <v>14544</v>
      </c>
      <c r="J9595" t="s">
        <v>37765</v>
      </c>
      <c r="K9595" t="s">
        <v>41184</v>
      </c>
      <c r="M9595" t="s">
        <v>44361</v>
      </c>
      <c r="N9595" t="s">
        <v>45095</v>
      </c>
      <c r="O9595" t="s">
        <v>45096</v>
      </c>
      <c r="P9595">
        <v>0</v>
      </c>
      <c r="Q9595">
        <v>0</v>
      </c>
      <c r="R9595" t="s">
        <v>45105</v>
      </c>
      <c r="S9595" t="s">
        <v>45353</v>
      </c>
      <c r="T9595" t="s">
        <v>47164</v>
      </c>
      <c r="U9595" t="s">
        <v>55420</v>
      </c>
      <c r="W9595" t="s">
        <v>44361</v>
      </c>
      <c r="X9595" t="s">
        <v>45108</v>
      </c>
    </row>
    <row r="9596" spans="1:24">
      <c r="A9596">
        <f>HYPERLINK("https://www.philgeps.gov.ph/GEPSNONPILOT/Tender/SplashBidNoticeAbstractUI.aspx?menuIndex=3&amp;refID=7030809&amp;Result=3","7030809")</f>
        <v>0</v>
      </c>
      <c r="B9596" t="s">
        <v>159</v>
      </c>
      <c r="C9596" t="s">
        <v>12339</v>
      </c>
      <c r="D9596" t="s">
        <v>18046</v>
      </c>
      <c r="E9596" t="s">
        <v>26485</v>
      </c>
      <c r="F9596" t="s">
        <v>31574</v>
      </c>
      <c r="G9596" t="s">
        <v>31582</v>
      </c>
      <c r="H9596" t="s">
        <v>31590</v>
      </c>
      <c r="I9596" t="s">
        <v>31595</v>
      </c>
      <c r="J9596" t="s">
        <v>37766</v>
      </c>
      <c r="K9596" t="s">
        <v>41186</v>
      </c>
      <c r="M9596" t="s">
        <v>43387</v>
      </c>
      <c r="N9596" t="s">
        <v>45095</v>
      </c>
      <c r="O9596" t="s">
        <v>45096</v>
      </c>
      <c r="P9596">
        <v>0</v>
      </c>
      <c r="Q9596">
        <v>2</v>
      </c>
      <c r="R9596" t="s">
        <v>45105</v>
      </c>
      <c r="S9596" t="s">
        <v>45353</v>
      </c>
      <c r="T9596" t="s">
        <v>47154</v>
      </c>
      <c r="U9596" t="s">
        <v>47772</v>
      </c>
      <c r="V9596" t="s">
        <v>59890</v>
      </c>
      <c r="W9596" t="s">
        <v>43387</v>
      </c>
      <c r="X9596" t="s">
        <v>45108</v>
      </c>
    </row>
    <row r="9597" spans="1:24">
      <c r="A9597">
        <f>HYPERLINK("https://www.philgeps.gov.ph/GEPSNONPILOT/Tender/SplashBidNoticeAbstractUI.aspx?menuIndex=3&amp;refID=7030900&amp;Result=3","7030900")</f>
        <v>0</v>
      </c>
      <c r="B9597" t="s">
        <v>1014</v>
      </c>
      <c r="C9597" t="s">
        <v>12340</v>
      </c>
      <c r="D9597" t="s">
        <v>18059</v>
      </c>
      <c r="E9597" t="s">
        <v>26486</v>
      </c>
      <c r="F9597" t="s">
        <v>31574</v>
      </c>
      <c r="G9597" t="s">
        <v>31581</v>
      </c>
      <c r="H9597" t="s">
        <v>31590</v>
      </c>
      <c r="I9597" t="s">
        <v>3487</v>
      </c>
      <c r="J9597" t="s">
        <v>37767</v>
      </c>
      <c r="K9597" t="s">
        <v>41196</v>
      </c>
      <c r="M9597" t="s">
        <v>43419</v>
      </c>
      <c r="N9597" t="s">
        <v>45095</v>
      </c>
      <c r="O9597" t="s">
        <v>45096</v>
      </c>
      <c r="P9597">
        <v>0</v>
      </c>
      <c r="Q9597">
        <v>0</v>
      </c>
      <c r="R9597" t="s">
        <v>45105</v>
      </c>
      <c r="S9597" t="s">
        <v>45353</v>
      </c>
      <c r="T9597" t="s">
        <v>47158</v>
      </c>
      <c r="U9597" t="s">
        <v>55421</v>
      </c>
      <c r="W9597" t="s">
        <v>43419</v>
      </c>
      <c r="X9597" t="s">
        <v>45108</v>
      </c>
    </row>
    <row r="9598" spans="1:24">
      <c r="A9598">
        <f>HYPERLINK("https://www.philgeps.gov.ph/GEPSNONPILOT/Tender/SplashBidNoticeAbstractUI.aspx?menuIndex=3&amp;refID=7030902&amp;Result=3","7030902")</f>
        <v>0</v>
      </c>
      <c r="B9598" t="s">
        <v>2611</v>
      </c>
      <c r="C9598" t="s">
        <v>12341</v>
      </c>
      <c r="D9598" t="s">
        <v>18065</v>
      </c>
      <c r="E9598" t="s">
        <v>26487</v>
      </c>
      <c r="F9598" t="s">
        <v>31574</v>
      </c>
      <c r="G9598" t="s">
        <v>31582</v>
      </c>
      <c r="H9598" t="s">
        <v>31590</v>
      </c>
      <c r="I9598" t="s">
        <v>3489</v>
      </c>
      <c r="J9598" t="s">
        <v>37768</v>
      </c>
      <c r="K9598" t="s">
        <v>41184</v>
      </c>
      <c r="M9598" t="s">
        <v>44361</v>
      </c>
      <c r="N9598" t="s">
        <v>45095</v>
      </c>
      <c r="O9598" t="s">
        <v>45096</v>
      </c>
      <c r="P9598">
        <v>0</v>
      </c>
      <c r="Q9598">
        <v>1</v>
      </c>
      <c r="R9598" t="s">
        <v>45105</v>
      </c>
      <c r="S9598" t="s">
        <v>45353</v>
      </c>
      <c r="T9598" t="s">
        <v>47164</v>
      </c>
      <c r="U9598" t="s">
        <v>55422</v>
      </c>
      <c r="W9598" t="s">
        <v>44361</v>
      </c>
      <c r="X9598" t="s">
        <v>45108</v>
      </c>
    </row>
    <row r="9599" spans="1:24">
      <c r="A9599">
        <f>HYPERLINK("https://www.philgeps.gov.ph/GEPSNONPILOT/Tender/SplashBidNoticeAbstractUI.aspx?menuIndex=3&amp;refID=7030884&amp;Result=3","7030884")</f>
        <v>0</v>
      </c>
      <c r="B9599" t="s">
        <v>2216</v>
      </c>
      <c r="C9599" t="s">
        <v>12342</v>
      </c>
      <c r="D9599" t="s">
        <v>18025</v>
      </c>
      <c r="E9599" t="s">
        <v>26488</v>
      </c>
      <c r="F9599" t="s">
        <v>31574</v>
      </c>
      <c r="G9599" t="s">
        <v>31582</v>
      </c>
      <c r="H9599" t="s">
        <v>31590</v>
      </c>
      <c r="I9599" t="s">
        <v>3489</v>
      </c>
      <c r="J9599" t="s">
        <v>37769</v>
      </c>
      <c r="K9599" t="s">
        <v>41186</v>
      </c>
      <c r="M9599" t="s">
        <v>43907</v>
      </c>
      <c r="N9599" t="s">
        <v>45095</v>
      </c>
      <c r="O9599" t="s">
        <v>45096</v>
      </c>
      <c r="P9599">
        <v>0</v>
      </c>
      <c r="Q9599">
        <v>1</v>
      </c>
      <c r="R9599" t="s">
        <v>45105</v>
      </c>
      <c r="S9599" t="s">
        <v>45353</v>
      </c>
      <c r="T9599" t="s">
        <v>47183</v>
      </c>
      <c r="U9599" t="s">
        <v>55415</v>
      </c>
      <c r="V9599" t="s">
        <v>60846</v>
      </c>
      <c r="W9599" t="s">
        <v>43907</v>
      </c>
      <c r="X9599" t="s">
        <v>45108</v>
      </c>
    </row>
    <row r="9600" spans="1:24">
      <c r="A9600">
        <f>HYPERLINK("https://www.philgeps.gov.ph/GEPSNONPILOT/Tender/SplashBidNoticeAbstractUI.aspx?menuIndex=3&amp;refID=7030925&amp;Result=3","7030925")</f>
        <v>0</v>
      </c>
      <c r="B9600" t="s">
        <v>1014</v>
      </c>
      <c r="C9600" t="s">
        <v>12343</v>
      </c>
      <c r="D9600" t="s">
        <v>18059</v>
      </c>
      <c r="E9600" t="s">
        <v>26489</v>
      </c>
      <c r="F9600" t="s">
        <v>31574</v>
      </c>
      <c r="G9600" t="s">
        <v>31581</v>
      </c>
      <c r="H9600" t="s">
        <v>31590</v>
      </c>
      <c r="I9600" t="s">
        <v>31620</v>
      </c>
      <c r="J9600" t="s">
        <v>37770</v>
      </c>
      <c r="K9600" t="s">
        <v>41196</v>
      </c>
      <c r="M9600" t="s">
        <v>43419</v>
      </c>
      <c r="N9600" t="s">
        <v>45095</v>
      </c>
      <c r="O9600" t="s">
        <v>45096</v>
      </c>
      <c r="P9600">
        <v>0</v>
      </c>
      <c r="Q9600">
        <v>1</v>
      </c>
      <c r="R9600" t="s">
        <v>45105</v>
      </c>
      <c r="S9600" t="s">
        <v>45353</v>
      </c>
      <c r="T9600" t="s">
        <v>47158</v>
      </c>
      <c r="U9600" t="s">
        <v>55423</v>
      </c>
      <c r="W9600" t="s">
        <v>43419</v>
      </c>
      <c r="X9600" t="s">
        <v>45108</v>
      </c>
    </row>
    <row r="9601" spans="1:24">
      <c r="A9601">
        <f>HYPERLINK("https://www.philgeps.gov.ph/GEPSNONPILOT/Tender/SplashBidNoticeAbstractUI.aspx?menuIndex=3&amp;refID=7030878&amp;Result=3","7030878")</f>
        <v>0</v>
      </c>
      <c r="B9601" t="s">
        <v>492</v>
      </c>
      <c r="C9601" t="s">
        <v>12344</v>
      </c>
      <c r="D9601" t="s">
        <v>18027</v>
      </c>
      <c r="E9601" t="s">
        <v>26490</v>
      </c>
      <c r="F9601" t="s">
        <v>31574</v>
      </c>
      <c r="G9601" t="s">
        <v>31588</v>
      </c>
      <c r="H9601" t="s">
        <v>31590</v>
      </c>
      <c r="I9601" t="s">
        <v>31662</v>
      </c>
      <c r="J9601" t="s">
        <v>37771</v>
      </c>
      <c r="K9601" t="s">
        <v>41184</v>
      </c>
      <c r="M9601" t="s">
        <v>41988</v>
      </c>
      <c r="N9601" t="s">
        <v>45095</v>
      </c>
      <c r="O9601" t="s">
        <v>45096</v>
      </c>
      <c r="P9601">
        <v>0</v>
      </c>
      <c r="Q9601">
        <v>5</v>
      </c>
      <c r="R9601" t="s">
        <v>45105</v>
      </c>
      <c r="S9601" t="s">
        <v>45353</v>
      </c>
      <c r="T9601" t="s">
        <v>47162</v>
      </c>
      <c r="U9601" t="s">
        <v>51944</v>
      </c>
      <c r="W9601" t="s">
        <v>41988</v>
      </c>
      <c r="X9601" t="s">
        <v>45108</v>
      </c>
    </row>
    <row r="9602" spans="1:24">
      <c r="A9602">
        <f>HYPERLINK("https://www.philgeps.gov.ph/GEPSNONPILOT/Tender/SplashBidNoticeAbstractUI.aspx?menuIndex=3&amp;refID=7031210&amp;Result=3","7031210")</f>
        <v>0</v>
      </c>
      <c r="B9602" t="s">
        <v>246</v>
      </c>
      <c r="C9602" t="s">
        <v>12345</v>
      </c>
      <c r="D9602" t="s">
        <v>18116</v>
      </c>
      <c r="E9602" t="s">
        <v>26491</v>
      </c>
      <c r="F9602" t="s">
        <v>31574</v>
      </c>
      <c r="G9602" t="s">
        <v>31585</v>
      </c>
      <c r="H9602" t="s">
        <v>31590</v>
      </c>
      <c r="I9602" t="s">
        <v>31599</v>
      </c>
      <c r="J9602" t="s">
        <v>35542</v>
      </c>
      <c r="K9602" t="s">
        <v>41186</v>
      </c>
      <c r="M9602" t="s">
        <v>42490</v>
      </c>
      <c r="N9602" t="s">
        <v>45095</v>
      </c>
      <c r="O9602" t="s">
        <v>45096</v>
      </c>
      <c r="P9602">
        <v>0</v>
      </c>
      <c r="Q9602">
        <v>0</v>
      </c>
      <c r="R9602" t="s">
        <v>45105</v>
      </c>
      <c r="S9602" t="s">
        <v>45353</v>
      </c>
      <c r="T9602" t="s">
        <v>47183</v>
      </c>
      <c r="U9602" t="s">
        <v>55424</v>
      </c>
      <c r="W9602" t="s">
        <v>42490</v>
      </c>
      <c r="X9602" t="s">
        <v>45108</v>
      </c>
    </row>
    <row r="9603" spans="1:24">
      <c r="A9603">
        <f>HYPERLINK("https://www.philgeps.gov.ph/GEPSNONPILOT/Tender/SplashBidNoticeAbstractUI.aspx?menuIndex=3&amp;refID=7030917&amp;Result=3","7030917")</f>
        <v>0</v>
      </c>
      <c r="B9603" t="s">
        <v>2216</v>
      </c>
      <c r="C9603" t="s">
        <v>12346</v>
      </c>
      <c r="D9603" t="s">
        <v>18025</v>
      </c>
      <c r="E9603" t="s">
        <v>26492</v>
      </c>
      <c r="F9603" t="s">
        <v>31574</v>
      </c>
      <c r="G9603" t="s">
        <v>31582</v>
      </c>
      <c r="H9603" t="s">
        <v>31590</v>
      </c>
      <c r="I9603" t="s">
        <v>14544</v>
      </c>
      <c r="J9603" t="s">
        <v>34098</v>
      </c>
      <c r="K9603" t="s">
        <v>41186</v>
      </c>
      <c r="M9603" t="s">
        <v>43907</v>
      </c>
      <c r="N9603" t="s">
        <v>45095</v>
      </c>
      <c r="O9603" t="s">
        <v>45096</v>
      </c>
      <c r="P9603">
        <v>0</v>
      </c>
      <c r="Q9603">
        <v>3</v>
      </c>
      <c r="R9603" t="s">
        <v>45105</v>
      </c>
      <c r="S9603" t="s">
        <v>45353</v>
      </c>
      <c r="T9603" t="s">
        <v>47183</v>
      </c>
      <c r="U9603" t="s">
        <v>55425</v>
      </c>
      <c r="V9603" t="s">
        <v>60847</v>
      </c>
      <c r="W9603" t="s">
        <v>43907</v>
      </c>
      <c r="X9603" t="s">
        <v>45108</v>
      </c>
    </row>
    <row r="9604" spans="1:24">
      <c r="A9604">
        <f>HYPERLINK("https://www.philgeps.gov.ph/GEPSNONPILOT/Tender/SplashBidNoticeAbstractUI.aspx?menuIndex=3&amp;refID=7030942&amp;Result=3","7030942")</f>
        <v>0</v>
      </c>
      <c r="B9604" t="s">
        <v>642</v>
      </c>
      <c r="C9604" t="s">
        <v>12347</v>
      </c>
      <c r="D9604" t="s">
        <v>18052</v>
      </c>
      <c r="E9604" t="s">
        <v>20023</v>
      </c>
      <c r="F9604" t="s">
        <v>31575</v>
      </c>
      <c r="G9604" t="s">
        <v>31582</v>
      </c>
      <c r="H9604" t="s">
        <v>31590</v>
      </c>
      <c r="I9604" t="s">
        <v>31631</v>
      </c>
      <c r="J9604" t="s">
        <v>35764</v>
      </c>
      <c r="K9604" t="s">
        <v>41193</v>
      </c>
      <c r="M9604" t="s">
        <v>42146</v>
      </c>
      <c r="N9604" t="s">
        <v>45095</v>
      </c>
      <c r="O9604" t="s">
        <v>45096</v>
      </c>
      <c r="P9604">
        <v>0</v>
      </c>
      <c r="Q9604">
        <v>0</v>
      </c>
      <c r="R9604" t="s">
        <v>45105</v>
      </c>
      <c r="S9604" t="s">
        <v>45353</v>
      </c>
      <c r="T9604" t="s">
        <v>47000</v>
      </c>
      <c r="U9604" t="s">
        <v>55426</v>
      </c>
      <c r="V9604" t="s">
        <v>60848</v>
      </c>
      <c r="W9604" t="s">
        <v>42146</v>
      </c>
      <c r="X9604" t="s">
        <v>45108</v>
      </c>
    </row>
    <row r="9605" spans="1:24">
      <c r="A9605">
        <f>HYPERLINK("https://www.philgeps.gov.ph/GEPSNONPILOT/Tender/SplashBidNoticeAbstractUI.aspx?menuIndex=3&amp;refID=7030930&amp;Result=3","7030930")</f>
        <v>0</v>
      </c>
      <c r="B9605" t="s">
        <v>2216</v>
      </c>
      <c r="C9605" t="s">
        <v>12348</v>
      </c>
      <c r="D9605" t="s">
        <v>18025</v>
      </c>
      <c r="E9605" t="s">
        <v>26493</v>
      </c>
      <c r="F9605" t="s">
        <v>31574</v>
      </c>
      <c r="G9605" t="s">
        <v>31582</v>
      </c>
      <c r="H9605" t="s">
        <v>31590</v>
      </c>
      <c r="I9605" t="s">
        <v>7185</v>
      </c>
      <c r="J9605" t="s">
        <v>37772</v>
      </c>
      <c r="K9605" t="s">
        <v>41186</v>
      </c>
      <c r="M9605" t="s">
        <v>43907</v>
      </c>
      <c r="N9605" t="s">
        <v>45095</v>
      </c>
      <c r="O9605" t="s">
        <v>45096</v>
      </c>
      <c r="P9605">
        <v>0</v>
      </c>
      <c r="Q9605">
        <v>3</v>
      </c>
      <c r="R9605" t="s">
        <v>45105</v>
      </c>
      <c r="S9605" t="s">
        <v>45353</v>
      </c>
      <c r="T9605" t="s">
        <v>47183</v>
      </c>
      <c r="U9605" t="s">
        <v>55427</v>
      </c>
      <c r="V9605" t="s">
        <v>60849</v>
      </c>
      <c r="W9605" t="s">
        <v>43907</v>
      </c>
      <c r="X9605" t="s">
        <v>45108</v>
      </c>
    </row>
    <row r="9606" spans="1:24">
      <c r="A9606">
        <f>HYPERLINK("https://www.philgeps.gov.ph/GEPSNONPILOT/Tender/SplashBidNoticeAbstractUI.aspx?menuIndex=3&amp;refID=7030928&amp;Result=3","7030928")</f>
        <v>0</v>
      </c>
      <c r="B9606" t="s">
        <v>2611</v>
      </c>
      <c r="C9606" t="s">
        <v>12349</v>
      </c>
      <c r="D9606" t="s">
        <v>18065</v>
      </c>
      <c r="E9606" t="s">
        <v>26494</v>
      </c>
      <c r="F9606" t="s">
        <v>31574</v>
      </c>
      <c r="G9606" t="s">
        <v>31582</v>
      </c>
      <c r="H9606" t="s">
        <v>31590</v>
      </c>
      <c r="I9606" t="s">
        <v>3489</v>
      </c>
      <c r="J9606" t="s">
        <v>31973</v>
      </c>
      <c r="K9606" t="s">
        <v>41184</v>
      </c>
      <c r="M9606" t="s">
        <v>44361</v>
      </c>
      <c r="N9606" t="s">
        <v>45095</v>
      </c>
      <c r="O9606" t="s">
        <v>45096</v>
      </c>
      <c r="P9606">
        <v>0</v>
      </c>
      <c r="Q9606">
        <v>1</v>
      </c>
      <c r="R9606" t="s">
        <v>45105</v>
      </c>
      <c r="S9606" t="s">
        <v>45353</v>
      </c>
      <c r="T9606" t="s">
        <v>47164</v>
      </c>
      <c r="U9606" t="s">
        <v>55428</v>
      </c>
      <c r="W9606" t="s">
        <v>44361</v>
      </c>
      <c r="X9606" t="s">
        <v>45108</v>
      </c>
    </row>
    <row r="9607" spans="1:24">
      <c r="A9607">
        <f>HYPERLINK("https://www.philgeps.gov.ph/GEPSNONPILOT/Tender/SplashBidNoticeAbstractUI.aspx?menuIndex=3&amp;refID=7031208&amp;Result=3","7031208")</f>
        <v>0</v>
      </c>
      <c r="B9607" t="s">
        <v>1012</v>
      </c>
      <c r="C9607" t="s">
        <v>12350</v>
      </c>
      <c r="D9607" t="s">
        <v>18024</v>
      </c>
      <c r="E9607" t="s">
        <v>26495</v>
      </c>
      <c r="F9607" t="s">
        <v>31574</v>
      </c>
      <c r="G9607" t="s">
        <v>31582</v>
      </c>
      <c r="H9607" t="s">
        <v>31590</v>
      </c>
      <c r="I9607" t="s">
        <v>31598</v>
      </c>
      <c r="J9607" t="s">
        <v>32774</v>
      </c>
      <c r="K9607" t="s">
        <v>41186</v>
      </c>
      <c r="M9607" t="s">
        <v>42552</v>
      </c>
      <c r="N9607" t="s">
        <v>45095</v>
      </c>
      <c r="O9607" t="s">
        <v>45096</v>
      </c>
      <c r="P9607">
        <v>0</v>
      </c>
      <c r="Q9607">
        <v>7</v>
      </c>
      <c r="R9607" t="s">
        <v>45105</v>
      </c>
      <c r="S9607" t="s">
        <v>45353</v>
      </c>
      <c r="T9607" t="s">
        <v>47093</v>
      </c>
      <c r="U9607" t="s">
        <v>55429</v>
      </c>
      <c r="W9607" t="s">
        <v>42552</v>
      </c>
      <c r="X9607" t="s">
        <v>45108</v>
      </c>
    </row>
    <row r="9608" spans="1:24">
      <c r="A9608">
        <f>HYPERLINK("https://www.philgeps.gov.ph/GEPSNONPILOT/Tender/SplashBidNoticeAbstractUI.aspx?menuIndex=3&amp;refID=7031378&amp;Result=3","7031378")</f>
        <v>0</v>
      </c>
      <c r="B9608" t="s">
        <v>1012</v>
      </c>
      <c r="C9608" t="s">
        <v>12351</v>
      </c>
      <c r="D9608" t="s">
        <v>18024</v>
      </c>
      <c r="E9608" t="s">
        <v>26496</v>
      </c>
      <c r="F9608" t="s">
        <v>31574</v>
      </c>
      <c r="G9608" t="s">
        <v>31582</v>
      </c>
      <c r="H9608" t="s">
        <v>31590</v>
      </c>
      <c r="I9608" t="s">
        <v>31602</v>
      </c>
      <c r="J9608" t="s">
        <v>37773</v>
      </c>
      <c r="K9608" t="s">
        <v>41189</v>
      </c>
      <c r="M9608" t="s">
        <v>42552</v>
      </c>
      <c r="N9608" t="s">
        <v>45095</v>
      </c>
      <c r="O9608" t="s">
        <v>45096</v>
      </c>
      <c r="P9608">
        <v>0</v>
      </c>
      <c r="Q9608">
        <v>0</v>
      </c>
      <c r="R9608" t="s">
        <v>45105</v>
      </c>
      <c r="S9608" t="s">
        <v>45353</v>
      </c>
      <c r="T9608" t="s">
        <v>47093</v>
      </c>
      <c r="U9608" t="s">
        <v>55430</v>
      </c>
      <c r="W9608" t="s">
        <v>42552</v>
      </c>
      <c r="X9608" t="s">
        <v>45108</v>
      </c>
    </row>
    <row r="9609" spans="1:24">
      <c r="A9609">
        <f>HYPERLINK("https://www.philgeps.gov.ph/GEPSNONPILOT/Tender/SplashBidNoticeAbstractUI.aspx?menuIndex=3&amp;refID=7031029&amp;Result=3","7031029")</f>
        <v>0</v>
      </c>
      <c r="B9609" t="s">
        <v>795</v>
      </c>
      <c r="C9609" t="s">
        <v>12352</v>
      </c>
      <c r="E9609" t="s">
        <v>26497</v>
      </c>
      <c r="F9609" t="s">
        <v>31574</v>
      </c>
      <c r="G9609" t="s">
        <v>31582</v>
      </c>
      <c r="H9609" t="s">
        <v>31592</v>
      </c>
      <c r="I9609" t="s">
        <v>31623</v>
      </c>
      <c r="J9609" t="s">
        <v>32026</v>
      </c>
      <c r="K9609" t="s">
        <v>41210</v>
      </c>
      <c r="M9609" t="s">
        <v>44362</v>
      </c>
      <c r="N9609" t="s">
        <v>45095</v>
      </c>
      <c r="O9609" t="s">
        <v>45096</v>
      </c>
      <c r="P9609">
        <v>0</v>
      </c>
      <c r="Q9609">
        <v>6</v>
      </c>
      <c r="R9609" t="s">
        <v>45105</v>
      </c>
      <c r="S9609" t="s">
        <v>45353</v>
      </c>
      <c r="T9609" t="s">
        <v>47010</v>
      </c>
      <c r="U9609" t="s">
        <v>55431</v>
      </c>
      <c r="W9609" t="s">
        <v>44362</v>
      </c>
      <c r="X9609" t="s">
        <v>45108</v>
      </c>
    </row>
    <row r="9610" spans="1:24">
      <c r="A9610">
        <f>HYPERLINK("https://www.philgeps.gov.ph/GEPSNONPILOT/Tender/SplashBidNoticeAbstractUI.aspx?menuIndex=3&amp;refID=7031352&amp;Result=3","7031352")</f>
        <v>0</v>
      </c>
      <c r="B9610" t="s">
        <v>987</v>
      </c>
      <c r="C9610" t="s">
        <v>12353</v>
      </c>
      <c r="D9610" t="s">
        <v>18066</v>
      </c>
      <c r="E9610" t="s">
        <v>26498</v>
      </c>
      <c r="F9610" t="s">
        <v>31574</v>
      </c>
      <c r="G9610" t="s">
        <v>31582</v>
      </c>
      <c r="H9610" t="s">
        <v>31590</v>
      </c>
      <c r="I9610" t="s">
        <v>31615</v>
      </c>
      <c r="J9610" t="s">
        <v>32510</v>
      </c>
      <c r="K9610" t="s">
        <v>41186</v>
      </c>
      <c r="M9610" t="s">
        <v>42521</v>
      </c>
      <c r="N9610" t="s">
        <v>45095</v>
      </c>
      <c r="O9610" t="s">
        <v>45096</v>
      </c>
      <c r="P9610">
        <v>0</v>
      </c>
      <c r="Q9610">
        <v>8</v>
      </c>
      <c r="R9610" t="s">
        <v>45105</v>
      </c>
      <c r="S9610" t="s">
        <v>45353</v>
      </c>
      <c r="T9610" t="s">
        <v>47000</v>
      </c>
      <c r="U9610" t="s">
        <v>55432</v>
      </c>
      <c r="V9610" t="s">
        <v>60104</v>
      </c>
      <c r="W9610" t="s">
        <v>42521</v>
      </c>
      <c r="X9610" t="s">
        <v>45108</v>
      </c>
    </row>
    <row r="9611" spans="1:24">
      <c r="A9611">
        <f>HYPERLINK("https://www.philgeps.gov.ph/GEPSNONPILOT/Tender/SplashBidNoticeAbstractUI.aspx?menuIndex=3&amp;refID=7031322&amp;Result=3","7031322")</f>
        <v>0</v>
      </c>
      <c r="B9611" t="s">
        <v>320</v>
      </c>
      <c r="C9611" t="s">
        <v>12354</v>
      </c>
      <c r="D9611" t="s">
        <v>18070</v>
      </c>
      <c r="E9611" t="s">
        <v>26499</v>
      </c>
      <c r="F9611" t="s">
        <v>31574</v>
      </c>
      <c r="G9611" t="s">
        <v>31582</v>
      </c>
      <c r="H9611" t="s">
        <v>31591</v>
      </c>
      <c r="I9611" t="s">
        <v>8822</v>
      </c>
      <c r="J9611" t="s">
        <v>32537</v>
      </c>
      <c r="K9611" t="s">
        <v>41379</v>
      </c>
      <c r="M9611" t="s">
        <v>41808</v>
      </c>
      <c r="N9611" t="s">
        <v>45095</v>
      </c>
      <c r="O9611" t="s">
        <v>45096</v>
      </c>
      <c r="P9611">
        <v>0</v>
      </c>
      <c r="Q9611">
        <v>0</v>
      </c>
      <c r="R9611" t="s">
        <v>45105</v>
      </c>
      <c r="S9611" t="s">
        <v>45353</v>
      </c>
      <c r="T9611" t="s">
        <v>46977</v>
      </c>
      <c r="U9611" t="s">
        <v>48333</v>
      </c>
      <c r="W9611" t="s">
        <v>41808</v>
      </c>
      <c r="X9611" t="s">
        <v>45108</v>
      </c>
    </row>
    <row r="9612" spans="1:24">
      <c r="A9612">
        <f>HYPERLINK("https://www.philgeps.gov.ph/GEPSNONPILOT/Tender/SplashBidNoticeAbstractUI.aspx?menuIndex=3&amp;refID=7030938&amp;Result=3","7030938")</f>
        <v>0</v>
      </c>
      <c r="B9612" t="s">
        <v>1877</v>
      </c>
      <c r="C9612" t="s">
        <v>12355</v>
      </c>
      <c r="D9612" t="s">
        <v>18038</v>
      </c>
      <c r="E9612" t="s">
        <v>26500</v>
      </c>
      <c r="F9612" t="s">
        <v>31574</v>
      </c>
      <c r="G9612" t="s">
        <v>31582</v>
      </c>
      <c r="H9612" t="s">
        <v>31590</v>
      </c>
      <c r="I9612" t="s">
        <v>8258</v>
      </c>
      <c r="J9612" t="s">
        <v>31781</v>
      </c>
      <c r="K9612" t="s">
        <v>41184</v>
      </c>
      <c r="M9612" t="s">
        <v>43518</v>
      </c>
      <c r="N9612" t="s">
        <v>45095</v>
      </c>
      <c r="O9612" t="s">
        <v>45096</v>
      </c>
      <c r="P9612">
        <v>0</v>
      </c>
      <c r="Q9612">
        <v>4</v>
      </c>
      <c r="R9612" t="s">
        <v>45105</v>
      </c>
      <c r="S9612" t="s">
        <v>45353</v>
      </c>
      <c r="T9612" t="s">
        <v>47158</v>
      </c>
      <c r="U9612" t="s">
        <v>55433</v>
      </c>
      <c r="W9612" t="s">
        <v>43518</v>
      </c>
      <c r="X9612" t="s">
        <v>45108</v>
      </c>
    </row>
    <row r="9613" spans="1:24">
      <c r="A9613">
        <f>HYPERLINK("https://www.philgeps.gov.ph/GEPSNONPILOT/Tender/SplashBidNoticeAbstractUI.aspx?menuIndex=3&amp;refID=7031122&amp;Result=3","7031122")</f>
        <v>0</v>
      </c>
      <c r="B9613" t="s">
        <v>2608</v>
      </c>
      <c r="C9613" t="s">
        <v>12356</v>
      </c>
      <c r="D9613" t="s">
        <v>18024</v>
      </c>
      <c r="E9613" t="s">
        <v>26501</v>
      </c>
      <c r="F9613" t="s">
        <v>31574</v>
      </c>
      <c r="G9613" t="s">
        <v>31582</v>
      </c>
      <c r="H9613" t="s">
        <v>31590</v>
      </c>
      <c r="I9613" t="s">
        <v>31607</v>
      </c>
      <c r="J9613" t="s">
        <v>32216</v>
      </c>
      <c r="K9613" t="s">
        <v>41189</v>
      </c>
      <c r="M9613" t="s">
        <v>44353</v>
      </c>
      <c r="N9613" t="s">
        <v>45095</v>
      </c>
      <c r="O9613" t="s">
        <v>45096</v>
      </c>
      <c r="P9613">
        <v>0</v>
      </c>
      <c r="Q9613">
        <v>1</v>
      </c>
      <c r="R9613" t="s">
        <v>45105</v>
      </c>
      <c r="S9613" t="s">
        <v>45353</v>
      </c>
      <c r="T9613" t="s">
        <v>46973</v>
      </c>
      <c r="U9613" t="s">
        <v>55434</v>
      </c>
      <c r="W9613" t="s">
        <v>44353</v>
      </c>
      <c r="X9613" t="s">
        <v>45108</v>
      </c>
    </row>
    <row r="9614" spans="1:24">
      <c r="A9614">
        <f>HYPERLINK("https://www.philgeps.gov.ph/GEPSNONPILOT/Tender/SplashBidNoticeAbstractUI.aspx?menuIndex=3&amp;refID=7030929&amp;Result=3","7030929")</f>
        <v>0</v>
      </c>
      <c r="B9614" t="s">
        <v>159</v>
      </c>
      <c r="C9614" t="s">
        <v>12357</v>
      </c>
      <c r="D9614" t="s">
        <v>18046</v>
      </c>
      <c r="E9614" t="s">
        <v>26502</v>
      </c>
      <c r="F9614" t="s">
        <v>31574</v>
      </c>
      <c r="G9614" t="s">
        <v>31582</v>
      </c>
      <c r="H9614" t="s">
        <v>31590</v>
      </c>
      <c r="I9614" t="s">
        <v>31608</v>
      </c>
      <c r="J9614" t="s">
        <v>32464</v>
      </c>
      <c r="K9614" t="s">
        <v>41186</v>
      </c>
      <c r="M9614" t="s">
        <v>43387</v>
      </c>
      <c r="N9614" t="s">
        <v>45095</v>
      </c>
      <c r="O9614" t="s">
        <v>45096</v>
      </c>
      <c r="P9614">
        <v>0</v>
      </c>
      <c r="Q9614">
        <v>1</v>
      </c>
      <c r="R9614" t="s">
        <v>45105</v>
      </c>
      <c r="S9614" t="s">
        <v>45353</v>
      </c>
      <c r="T9614" t="s">
        <v>47154</v>
      </c>
      <c r="U9614" t="s">
        <v>47772</v>
      </c>
      <c r="V9614" t="s">
        <v>59890</v>
      </c>
      <c r="W9614" t="s">
        <v>43387</v>
      </c>
      <c r="X9614" t="s">
        <v>45108</v>
      </c>
    </row>
    <row r="9615" spans="1:24">
      <c r="A9615">
        <f>HYPERLINK("https://www.philgeps.gov.ph/GEPSNONPILOT/Tender/SplashBidNoticeAbstractUI.aspx?menuIndex=3&amp;refID=7030978&amp;Result=3","7030978")</f>
        <v>0</v>
      </c>
      <c r="B9615" t="s">
        <v>642</v>
      </c>
      <c r="C9615" t="s">
        <v>12358</v>
      </c>
      <c r="D9615" t="s">
        <v>18052</v>
      </c>
      <c r="E9615" t="s">
        <v>20433</v>
      </c>
      <c r="F9615" t="s">
        <v>31575</v>
      </c>
      <c r="G9615" t="s">
        <v>31582</v>
      </c>
      <c r="H9615" t="s">
        <v>31590</v>
      </c>
      <c r="I9615" t="s">
        <v>31631</v>
      </c>
      <c r="J9615" t="s">
        <v>37108</v>
      </c>
      <c r="K9615" t="s">
        <v>41193</v>
      </c>
      <c r="M9615" t="s">
        <v>42146</v>
      </c>
      <c r="N9615" t="s">
        <v>45095</v>
      </c>
      <c r="O9615" t="s">
        <v>45096</v>
      </c>
      <c r="P9615">
        <v>0</v>
      </c>
      <c r="Q9615">
        <v>0</v>
      </c>
      <c r="R9615" t="s">
        <v>45105</v>
      </c>
      <c r="S9615" t="s">
        <v>45353</v>
      </c>
      <c r="T9615" t="s">
        <v>47093</v>
      </c>
      <c r="U9615" t="s">
        <v>55435</v>
      </c>
      <c r="V9615" t="s">
        <v>60850</v>
      </c>
      <c r="W9615" t="s">
        <v>42146</v>
      </c>
      <c r="X9615" t="s">
        <v>45108</v>
      </c>
    </row>
    <row r="9616" spans="1:24">
      <c r="A9616">
        <f>HYPERLINK("https://www.philgeps.gov.ph/GEPSNONPILOT/Tender/SplashBidNoticeAbstractUI.aspx?menuIndex=3&amp;refID=7031287&amp;Result=3","7031287")</f>
        <v>0</v>
      </c>
      <c r="B9616" t="s">
        <v>991</v>
      </c>
      <c r="C9616" t="s">
        <v>12359</v>
      </c>
      <c r="D9616" t="s">
        <v>18044</v>
      </c>
      <c r="E9616" t="s">
        <v>26503</v>
      </c>
      <c r="F9616" t="s">
        <v>31574</v>
      </c>
      <c r="G9616" t="s">
        <v>31583</v>
      </c>
      <c r="H9616" t="s">
        <v>31590</v>
      </c>
      <c r="I9616" t="s">
        <v>3651</v>
      </c>
      <c r="J9616" t="s">
        <v>34709</v>
      </c>
      <c r="K9616" t="s">
        <v>41193</v>
      </c>
      <c r="M9616" t="s">
        <v>42526</v>
      </c>
      <c r="N9616" t="s">
        <v>45095</v>
      </c>
      <c r="O9616" t="s">
        <v>45096</v>
      </c>
      <c r="P9616">
        <v>0</v>
      </c>
      <c r="Q9616">
        <v>0</v>
      </c>
      <c r="R9616" t="s">
        <v>45105</v>
      </c>
      <c r="S9616" t="s">
        <v>45353</v>
      </c>
      <c r="T9616" t="s">
        <v>47177</v>
      </c>
      <c r="U9616" t="s">
        <v>51497</v>
      </c>
      <c r="W9616" t="s">
        <v>42526</v>
      </c>
      <c r="X9616" t="s">
        <v>45108</v>
      </c>
    </row>
    <row r="9617" spans="1:24">
      <c r="A9617">
        <f>HYPERLINK("https://www.philgeps.gov.ph/GEPSNONPILOT/Tender/SplashBidNoticeAbstractUI.aspx?menuIndex=3&amp;refID=7031269&amp;Result=3","7031269")</f>
        <v>0</v>
      </c>
      <c r="B9617" t="s">
        <v>320</v>
      </c>
      <c r="C9617" t="s">
        <v>12360</v>
      </c>
      <c r="D9617" t="s">
        <v>18070</v>
      </c>
      <c r="E9617" t="s">
        <v>26504</v>
      </c>
      <c r="F9617" t="s">
        <v>31574</v>
      </c>
      <c r="G9617" t="s">
        <v>31582</v>
      </c>
      <c r="H9617" t="s">
        <v>31591</v>
      </c>
      <c r="I9617" t="s">
        <v>8822</v>
      </c>
      <c r="J9617" t="s">
        <v>37774</v>
      </c>
      <c r="K9617" t="s">
        <v>41189</v>
      </c>
      <c r="M9617" t="s">
        <v>41808</v>
      </c>
      <c r="N9617" t="s">
        <v>45095</v>
      </c>
      <c r="O9617" t="s">
        <v>45096</v>
      </c>
      <c r="P9617">
        <v>0</v>
      </c>
      <c r="Q9617">
        <v>0</v>
      </c>
      <c r="R9617" t="s">
        <v>45105</v>
      </c>
      <c r="S9617" t="s">
        <v>45353</v>
      </c>
      <c r="T9617" t="s">
        <v>46977</v>
      </c>
      <c r="U9617" t="s">
        <v>48333</v>
      </c>
      <c r="W9617" t="s">
        <v>41808</v>
      </c>
      <c r="X9617" t="s">
        <v>45108</v>
      </c>
    </row>
    <row r="9618" spans="1:24">
      <c r="A9618">
        <f>HYPERLINK("https://www.philgeps.gov.ph/GEPSNONPILOT/Tender/SplashBidNoticeAbstractUI.aspx?menuIndex=3&amp;refID=7031199&amp;Result=3","7031199")</f>
        <v>0</v>
      </c>
      <c r="B9618" t="s">
        <v>2547</v>
      </c>
      <c r="C9618" t="s">
        <v>12361</v>
      </c>
      <c r="D9618" t="s">
        <v>18043</v>
      </c>
      <c r="E9618" t="s">
        <v>26505</v>
      </c>
      <c r="F9618" t="s">
        <v>31574</v>
      </c>
      <c r="G9618" t="s">
        <v>31582</v>
      </c>
      <c r="H9618" t="s">
        <v>31590</v>
      </c>
      <c r="I9618" t="s">
        <v>31618</v>
      </c>
      <c r="J9618" t="s">
        <v>31731</v>
      </c>
      <c r="K9618" t="s">
        <v>41186</v>
      </c>
      <c r="M9618" t="s">
        <v>44284</v>
      </c>
      <c r="N9618" t="s">
        <v>45095</v>
      </c>
      <c r="O9618" t="s">
        <v>45096</v>
      </c>
      <c r="P9618">
        <v>0</v>
      </c>
      <c r="Q9618">
        <v>1</v>
      </c>
      <c r="R9618" t="s">
        <v>45105</v>
      </c>
      <c r="S9618" t="s">
        <v>45353</v>
      </c>
      <c r="T9618" t="s">
        <v>47159</v>
      </c>
      <c r="U9618" t="s">
        <v>55436</v>
      </c>
      <c r="V9618" t="s">
        <v>60826</v>
      </c>
      <c r="W9618" t="s">
        <v>44284</v>
      </c>
      <c r="X9618" t="s">
        <v>45108</v>
      </c>
    </row>
    <row r="9619" spans="1:24">
      <c r="A9619">
        <f>HYPERLINK("https://www.philgeps.gov.ph/GEPSNONPILOT/Tender/SplashBidNoticeAbstractUI.aspx?menuIndex=3&amp;refID=7031259&amp;Result=3","7031259")</f>
        <v>0</v>
      </c>
      <c r="B9619" t="s">
        <v>246</v>
      </c>
      <c r="C9619" t="s">
        <v>12362</v>
      </c>
      <c r="D9619" t="s">
        <v>18117</v>
      </c>
      <c r="E9619" t="s">
        <v>26506</v>
      </c>
      <c r="F9619" t="s">
        <v>31574</v>
      </c>
      <c r="G9619" t="s">
        <v>31582</v>
      </c>
      <c r="H9619" t="s">
        <v>31590</v>
      </c>
      <c r="I9619" t="s">
        <v>31599</v>
      </c>
      <c r="J9619" t="s">
        <v>37775</v>
      </c>
      <c r="K9619" t="s">
        <v>41192</v>
      </c>
      <c r="M9619" t="s">
        <v>42490</v>
      </c>
      <c r="N9619" t="s">
        <v>45095</v>
      </c>
      <c r="O9619" t="s">
        <v>45096</v>
      </c>
      <c r="P9619">
        <v>0</v>
      </c>
      <c r="Q9619">
        <v>1</v>
      </c>
      <c r="R9619" t="s">
        <v>45105</v>
      </c>
      <c r="S9619" t="s">
        <v>45353</v>
      </c>
      <c r="T9619" t="s">
        <v>46943</v>
      </c>
      <c r="U9619" t="s">
        <v>55437</v>
      </c>
      <c r="W9619" t="s">
        <v>42490</v>
      </c>
      <c r="X9619" t="s">
        <v>45108</v>
      </c>
    </row>
    <row r="9620" spans="1:24">
      <c r="A9620">
        <f>HYPERLINK("https://www.philgeps.gov.ph/GEPSNONPILOT/Tender/SplashBidNoticeAbstractUI.aspx?menuIndex=3&amp;refID=7031519&amp;Result=3","7031519")</f>
        <v>0</v>
      </c>
      <c r="B9620" t="s">
        <v>991</v>
      </c>
      <c r="C9620" t="s">
        <v>12363</v>
      </c>
      <c r="D9620" t="s">
        <v>18044</v>
      </c>
      <c r="E9620" t="s">
        <v>26507</v>
      </c>
      <c r="F9620" t="s">
        <v>31574</v>
      </c>
      <c r="G9620" t="s">
        <v>31582</v>
      </c>
      <c r="H9620" t="s">
        <v>31590</v>
      </c>
      <c r="I9620" t="s">
        <v>4046</v>
      </c>
      <c r="J9620" t="s">
        <v>37776</v>
      </c>
      <c r="K9620" t="s">
        <v>41193</v>
      </c>
      <c r="M9620" t="s">
        <v>42526</v>
      </c>
      <c r="N9620" t="s">
        <v>45095</v>
      </c>
      <c r="O9620" t="s">
        <v>45096</v>
      </c>
      <c r="P9620">
        <v>0</v>
      </c>
      <c r="Q9620">
        <v>0</v>
      </c>
      <c r="R9620" t="s">
        <v>45105</v>
      </c>
      <c r="S9620" t="s">
        <v>45353</v>
      </c>
      <c r="T9620" t="s">
        <v>47228</v>
      </c>
      <c r="U9620" t="s">
        <v>55438</v>
      </c>
      <c r="W9620" t="s">
        <v>42526</v>
      </c>
      <c r="X9620" t="s">
        <v>45108</v>
      </c>
    </row>
    <row r="9621" spans="1:24">
      <c r="A9621">
        <f>HYPERLINK("https://www.philgeps.gov.ph/GEPSNONPILOT/Tender/SplashBidNoticeAbstractUI.aspx?menuIndex=3&amp;refID=7031388&amp;Result=3","7031388")</f>
        <v>0</v>
      </c>
      <c r="B9621" t="s">
        <v>670</v>
      </c>
      <c r="C9621" t="s">
        <v>12364</v>
      </c>
      <c r="D9621" t="s">
        <v>18022</v>
      </c>
      <c r="E9621" t="s">
        <v>26508</v>
      </c>
      <c r="F9621" t="s">
        <v>31574</v>
      </c>
      <c r="G9621" t="s">
        <v>31582</v>
      </c>
      <c r="H9621" t="s">
        <v>31590</v>
      </c>
      <c r="I9621" t="s">
        <v>31615</v>
      </c>
      <c r="J9621" t="s">
        <v>37777</v>
      </c>
      <c r="K9621" t="s">
        <v>41200</v>
      </c>
      <c r="M9621" t="s">
        <v>44363</v>
      </c>
      <c r="N9621" t="s">
        <v>45095</v>
      </c>
      <c r="O9621" t="s">
        <v>45096</v>
      </c>
      <c r="P9621">
        <v>0</v>
      </c>
      <c r="Q9621">
        <v>21</v>
      </c>
      <c r="R9621" t="s">
        <v>45105</v>
      </c>
      <c r="S9621" t="s">
        <v>45353</v>
      </c>
      <c r="T9621" t="s">
        <v>46992</v>
      </c>
      <c r="U9621" t="s">
        <v>55439</v>
      </c>
      <c r="W9621" t="s">
        <v>44363</v>
      </c>
      <c r="X9621" t="s">
        <v>45108</v>
      </c>
    </row>
    <row r="9622" spans="1:24">
      <c r="A9622">
        <f>HYPERLINK("https://www.philgeps.gov.ph/GEPSNONPILOT/Tender/SplashBidNoticeAbstractUI.aspx?menuIndex=3&amp;refID=7031250&amp;Result=3","7031250")</f>
        <v>0</v>
      </c>
      <c r="B9622" t="s">
        <v>1012</v>
      </c>
      <c r="C9622" t="s">
        <v>12365</v>
      </c>
      <c r="D9622" t="s">
        <v>18024</v>
      </c>
      <c r="E9622" t="s">
        <v>26509</v>
      </c>
      <c r="F9622" t="s">
        <v>31574</v>
      </c>
      <c r="G9622" t="s">
        <v>31582</v>
      </c>
      <c r="H9622" t="s">
        <v>31590</v>
      </c>
      <c r="I9622" t="s">
        <v>31598</v>
      </c>
      <c r="J9622" t="s">
        <v>31819</v>
      </c>
      <c r="K9622" t="s">
        <v>41192</v>
      </c>
      <c r="M9622" t="s">
        <v>42552</v>
      </c>
      <c r="N9622" t="s">
        <v>45095</v>
      </c>
      <c r="O9622" t="s">
        <v>45096</v>
      </c>
      <c r="P9622">
        <v>0</v>
      </c>
      <c r="Q9622">
        <v>15</v>
      </c>
      <c r="R9622" t="s">
        <v>45105</v>
      </c>
      <c r="S9622" t="s">
        <v>45353</v>
      </c>
      <c r="T9622" t="s">
        <v>47093</v>
      </c>
      <c r="U9622" t="s">
        <v>55440</v>
      </c>
      <c r="W9622" t="s">
        <v>42552</v>
      </c>
      <c r="X9622" t="s">
        <v>45108</v>
      </c>
    </row>
    <row r="9623" spans="1:24">
      <c r="A9623">
        <f>HYPERLINK("https://www.philgeps.gov.ph/GEPSNONPILOT/Tender/SplashBidNoticeAbstractUI.aspx?menuIndex=3&amp;refID=7031474&amp;Result=3","7031474")</f>
        <v>0</v>
      </c>
      <c r="B9623" t="s">
        <v>320</v>
      </c>
      <c r="C9623" t="s">
        <v>12366</v>
      </c>
      <c r="D9623" t="s">
        <v>18070</v>
      </c>
      <c r="E9623" t="s">
        <v>26510</v>
      </c>
      <c r="F9623" t="s">
        <v>31574</v>
      </c>
      <c r="G9623" t="s">
        <v>31582</v>
      </c>
      <c r="H9623" t="s">
        <v>31591</v>
      </c>
      <c r="I9623" t="s">
        <v>8822</v>
      </c>
      <c r="J9623" t="s">
        <v>32019</v>
      </c>
      <c r="K9623" t="s">
        <v>41394</v>
      </c>
      <c r="M9623" t="s">
        <v>41808</v>
      </c>
      <c r="N9623" t="s">
        <v>45095</v>
      </c>
      <c r="O9623" t="s">
        <v>45096</v>
      </c>
      <c r="P9623">
        <v>0</v>
      </c>
      <c r="Q9623">
        <v>0</v>
      </c>
      <c r="R9623" t="s">
        <v>45105</v>
      </c>
      <c r="S9623" t="s">
        <v>45353</v>
      </c>
      <c r="T9623" t="s">
        <v>46977</v>
      </c>
      <c r="U9623" t="s">
        <v>48333</v>
      </c>
      <c r="W9623" t="s">
        <v>41808</v>
      </c>
      <c r="X9623" t="s">
        <v>45108</v>
      </c>
    </row>
    <row r="9624" spans="1:24">
      <c r="A9624">
        <f>HYPERLINK("https://www.philgeps.gov.ph/GEPSNONPILOT/Tender/SplashBidNoticeAbstractUI.aspx?menuIndex=3&amp;refID=7031543&amp;Result=3","7031543")</f>
        <v>0</v>
      </c>
      <c r="B9624" t="s">
        <v>2615</v>
      </c>
      <c r="C9624" t="s">
        <v>12367</v>
      </c>
      <c r="D9624" t="s">
        <v>18055</v>
      </c>
      <c r="E9624" t="s">
        <v>18192</v>
      </c>
      <c r="F9624" t="s">
        <v>31574</v>
      </c>
      <c r="G9624" t="s">
        <v>31582</v>
      </c>
      <c r="H9624" t="s">
        <v>31590</v>
      </c>
      <c r="I9624" t="s">
        <v>4046</v>
      </c>
      <c r="J9624" t="s">
        <v>37778</v>
      </c>
      <c r="K9624" t="s">
        <v>41217</v>
      </c>
      <c r="M9624" t="s">
        <v>44364</v>
      </c>
      <c r="N9624" t="s">
        <v>45095</v>
      </c>
      <c r="O9624" t="s">
        <v>45096</v>
      </c>
      <c r="P9624">
        <v>0</v>
      </c>
      <c r="Q9624">
        <v>2</v>
      </c>
      <c r="R9624" t="s">
        <v>45105</v>
      </c>
      <c r="S9624" t="s">
        <v>45353</v>
      </c>
      <c r="T9624" t="s">
        <v>46989</v>
      </c>
      <c r="U9624" t="s">
        <v>55441</v>
      </c>
      <c r="W9624" t="s">
        <v>44364</v>
      </c>
      <c r="X9624" t="s">
        <v>45108</v>
      </c>
    </row>
    <row r="9625" spans="1:24">
      <c r="A9625">
        <f>HYPERLINK("https://www.philgeps.gov.ph/GEPSNONPILOT/Tender/SplashBidNoticeAbstractUI.aspx?menuIndex=3&amp;refID=7031513&amp;Result=3","7031513")</f>
        <v>0</v>
      </c>
      <c r="B9625" t="s">
        <v>2616</v>
      </c>
      <c r="C9625" t="s">
        <v>12368</v>
      </c>
      <c r="D9625" t="s">
        <v>18077</v>
      </c>
      <c r="E9625" t="s">
        <v>26511</v>
      </c>
      <c r="F9625" t="s">
        <v>31574</v>
      </c>
      <c r="G9625" t="s">
        <v>31582</v>
      </c>
      <c r="H9625" t="s">
        <v>31590</v>
      </c>
      <c r="I9625" t="s">
        <v>7162</v>
      </c>
      <c r="J9625" t="s">
        <v>31726</v>
      </c>
      <c r="K9625" t="s">
        <v>41215</v>
      </c>
      <c r="M9625" t="s">
        <v>44365</v>
      </c>
      <c r="N9625" t="s">
        <v>45095</v>
      </c>
      <c r="O9625" t="s">
        <v>45096</v>
      </c>
      <c r="P9625">
        <v>0</v>
      </c>
      <c r="Q9625">
        <v>1</v>
      </c>
      <c r="R9625" t="s">
        <v>45105</v>
      </c>
      <c r="S9625" t="s">
        <v>45353</v>
      </c>
      <c r="T9625" t="s">
        <v>47000</v>
      </c>
      <c r="U9625" t="s">
        <v>55442</v>
      </c>
      <c r="W9625" t="s">
        <v>44365</v>
      </c>
      <c r="X9625" t="s">
        <v>45108</v>
      </c>
    </row>
    <row r="9626" spans="1:24">
      <c r="A9626">
        <f>HYPERLINK("https://www.philgeps.gov.ph/GEPSNONPILOT/Tender/SplashBidNoticeAbstractUI.aspx?menuIndex=3&amp;refID=7031235&amp;Result=3","7031235")</f>
        <v>0</v>
      </c>
      <c r="B9626" t="s">
        <v>1012</v>
      </c>
      <c r="C9626" t="s">
        <v>12369</v>
      </c>
      <c r="D9626" t="s">
        <v>18024</v>
      </c>
      <c r="E9626" t="s">
        <v>26512</v>
      </c>
      <c r="F9626" t="s">
        <v>31574</v>
      </c>
      <c r="G9626" t="s">
        <v>31582</v>
      </c>
      <c r="H9626" t="s">
        <v>31590</v>
      </c>
      <c r="I9626" t="s">
        <v>31615</v>
      </c>
      <c r="J9626" t="s">
        <v>37779</v>
      </c>
      <c r="K9626" t="s">
        <v>41192</v>
      </c>
      <c r="M9626" t="s">
        <v>42552</v>
      </c>
      <c r="N9626" t="s">
        <v>45095</v>
      </c>
      <c r="O9626" t="s">
        <v>45096</v>
      </c>
      <c r="P9626">
        <v>0</v>
      </c>
      <c r="Q9626">
        <v>8</v>
      </c>
      <c r="R9626" t="s">
        <v>45105</v>
      </c>
      <c r="S9626" t="s">
        <v>45353</v>
      </c>
      <c r="T9626" t="s">
        <v>47093</v>
      </c>
      <c r="U9626" t="s">
        <v>55443</v>
      </c>
      <c r="W9626" t="s">
        <v>42552</v>
      </c>
      <c r="X9626" t="s">
        <v>45108</v>
      </c>
    </row>
    <row r="9627" spans="1:24">
      <c r="A9627">
        <f>HYPERLINK("https://www.philgeps.gov.ph/GEPSNONPILOT/Tender/SplashBidNoticeAbstractUI.aspx?menuIndex=3&amp;refID=7031454&amp;Result=3","7031454")</f>
        <v>0</v>
      </c>
      <c r="B9627" t="s">
        <v>320</v>
      </c>
      <c r="C9627" t="s">
        <v>12370</v>
      </c>
      <c r="D9627" t="s">
        <v>18070</v>
      </c>
      <c r="E9627" t="s">
        <v>26513</v>
      </c>
      <c r="F9627" t="s">
        <v>31574</v>
      </c>
      <c r="G9627" t="s">
        <v>31582</v>
      </c>
      <c r="H9627" t="s">
        <v>31591</v>
      </c>
      <c r="I9627" t="s">
        <v>8822</v>
      </c>
      <c r="J9627" t="s">
        <v>32085</v>
      </c>
      <c r="K9627" t="s">
        <v>41395</v>
      </c>
      <c r="M9627" t="s">
        <v>41808</v>
      </c>
      <c r="N9627" t="s">
        <v>45095</v>
      </c>
      <c r="O9627" t="s">
        <v>45096</v>
      </c>
      <c r="P9627">
        <v>0</v>
      </c>
      <c r="Q9627">
        <v>0</v>
      </c>
      <c r="R9627" t="s">
        <v>45105</v>
      </c>
      <c r="S9627" t="s">
        <v>45353</v>
      </c>
      <c r="T9627" t="s">
        <v>46977</v>
      </c>
      <c r="U9627" t="s">
        <v>48333</v>
      </c>
      <c r="W9627" t="s">
        <v>41808</v>
      </c>
      <c r="X9627" t="s">
        <v>45108</v>
      </c>
    </row>
    <row r="9628" spans="1:24">
      <c r="A9628">
        <f>HYPERLINK("https://www.philgeps.gov.ph/GEPSNONPILOT/Tender/SplashBidNoticeAbstractUI.aspx?menuIndex=3&amp;refID=7031521&amp;Result=3","7031521")</f>
        <v>0</v>
      </c>
      <c r="B9628" t="s">
        <v>295</v>
      </c>
      <c r="C9628" t="s">
        <v>12371</v>
      </c>
      <c r="D9628" t="s">
        <v>18089</v>
      </c>
      <c r="E9628" t="s">
        <v>26514</v>
      </c>
      <c r="F9628" t="s">
        <v>31574</v>
      </c>
      <c r="G9628" t="s">
        <v>31582</v>
      </c>
      <c r="H9628" t="s">
        <v>31591</v>
      </c>
      <c r="I9628" t="s">
        <v>8822</v>
      </c>
      <c r="J9628" t="s">
        <v>37780</v>
      </c>
      <c r="K9628" t="s">
        <v>41188</v>
      </c>
      <c r="L9628" t="s">
        <v>295</v>
      </c>
      <c r="M9628" t="s">
        <v>41781</v>
      </c>
      <c r="N9628" t="s">
        <v>45095</v>
      </c>
      <c r="O9628" t="s">
        <v>45096</v>
      </c>
      <c r="P9628">
        <v>0</v>
      </c>
      <c r="Q9628">
        <v>2</v>
      </c>
      <c r="R9628" t="s">
        <v>45105</v>
      </c>
      <c r="S9628" t="s">
        <v>45353</v>
      </c>
      <c r="T9628" t="s">
        <v>47000</v>
      </c>
      <c r="U9628" t="s">
        <v>53554</v>
      </c>
      <c r="W9628" t="s">
        <v>41781</v>
      </c>
      <c r="X9628" t="s">
        <v>45108</v>
      </c>
    </row>
    <row r="9629" spans="1:24">
      <c r="A9629">
        <f>HYPERLINK("https://www.philgeps.gov.ph/GEPSNONPILOT/Tender/SplashBidNoticeAbstractUI.aspx?menuIndex=3&amp;refID=7031497&amp;Result=3","7031497")</f>
        <v>0</v>
      </c>
      <c r="B9629" t="s">
        <v>1079</v>
      </c>
      <c r="C9629" t="s">
        <v>12372</v>
      </c>
      <c r="D9629" t="s">
        <v>18084</v>
      </c>
      <c r="E9629" t="s">
        <v>26515</v>
      </c>
      <c r="F9629" t="s">
        <v>31574</v>
      </c>
      <c r="G9629" t="s">
        <v>31581</v>
      </c>
      <c r="H9629" t="s">
        <v>31590</v>
      </c>
      <c r="I9629" t="s">
        <v>6800</v>
      </c>
      <c r="J9629" t="s">
        <v>37781</v>
      </c>
      <c r="K9629" t="s">
        <v>41196</v>
      </c>
      <c r="M9629" t="s">
        <v>43973</v>
      </c>
      <c r="N9629" t="s">
        <v>45095</v>
      </c>
      <c r="O9629" t="s">
        <v>45096</v>
      </c>
      <c r="P9629">
        <v>0</v>
      </c>
      <c r="Q9629">
        <v>5</v>
      </c>
      <c r="R9629" t="s">
        <v>45105</v>
      </c>
      <c r="S9629" t="s">
        <v>45353</v>
      </c>
      <c r="T9629" t="s">
        <v>46904</v>
      </c>
      <c r="U9629" t="s">
        <v>55444</v>
      </c>
      <c r="V9629" t="s">
        <v>60663</v>
      </c>
      <c r="W9629" t="s">
        <v>43973</v>
      </c>
      <c r="X9629" t="s">
        <v>45108</v>
      </c>
    </row>
    <row r="9630" spans="1:24">
      <c r="A9630">
        <f>HYPERLINK("https://www.philgeps.gov.ph/GEPSNONPILOT/Tender/SplashBidNoticeAbstractUI.aspx?menuIndex=3&amp;refID=7031541&amp;Result=3","7031541")</f>
        <v>0</v>
      </c>
      <c r="B9630" t="s">
        <v>1299</v>
      </c>
      <c r="C9630" t="s">
        <v>12373</v>
      </c>
      <c r="D9630" t="s">
        <v>18076</v>
      </c>
      <c r="E9630" t="s">
        <v>26516</v>
      </c>
      <c r="F9630" t="s">
        <v>31574</v>
      </c>
      <c r="G9630" t="s">
        <v>31582</v>
      </c>
      <c r="H9630" t="s">
        <v>31590</v>
      </c>
      <c r="I9630" t="s">
        <v>31615</v>
      </c>
      <c r="J9630" t="s">
        <v>31771</v>
      </c>
      <c r="K9630" t="s">
        <v>41192</v>
      </c>
      <c r="M9630" t="s">
        <v>42869</v>
      </c>
      <c r="N9630" t="s">
        <v>45095</v>
      </c>
      <c r="O9630" t="s">
        <v>45096</v>
      </c>
      <c r="P9630">
        <v>0</v>
      </c>
      <c r="Q9630">
        <v>5</v>
      </c>
      <c r="R9630" t="s">
        <v>45105</v>
      </c>
      <c r="S9630" t="s">
        <v>45353</v>
      </c>
      <c r="T9630" t="s">
        <v>47265</v>
      </c>
      <c r="U9630" t="s">
        <v>55445</v>
      </c>
      <c r="W9630" t="s">
        <v>42869</v>
      </c>
      <c r="X9630" t="s">
        <v>45108</v>
      </c>
    </row>
    <row r="9631" spans="1:24">
      <c r="A9631">
        <f>HYPERLINK("https://www.philgeps.gov.ph/GEPSNONPILOT/Tender/SplashBidNoticeAbstractUI.aspx?menuIndex=3&amp;refID=7031433&amp;Result=3","7031433")</f>
        <v>0</v>
      </c>
      <c r="B9631" t="s">
        <v>1012</v>
      </c>
      <c r="C9631" t="s">
        <v>12374</v>
      </c>
      <c r="D9631" t="s">
        <v>18024</v>
      </c>
      <c r="E9631" t="s">
        <v>26517</v>
      </c>
      <c r="F9631" t="s">
        <v>31574</v>
      </c>
      <c r="G9631" t="s">
        <v>31582</v>
      </c>
      <c r="H9631" t="s">
        <v>31590</v>
      </c>
      <c r="I9631" t="s">
        <v>31596</v>
      </c>
      <c r="J9631" t="s">
        <v>37782</v>
      </c>
      <c r="K9631" t="s">
        <v>41225</v>
      </c>
      <c r="M9631" t="s">
        <v>42552</v>
      </c>
      <c r="N9631" t="s">
        <v>45095</v>
      </c>
      <c r="O9631" t="s">
        <v>45096</v>
      </c>
      <c r="P9631">
        <v>0</v>
      </c>
      <c r="Q9631">
        <v>2</v>
      </c>
      <c r="R9631" t="s">
        <v>45105</v>
      </c>
      <c r="S9631" t="s">
        <v>45353</v>
      </c>
      <c r="T9631" t="s">
        <v>47093</v>
      </c>
      <c r="U9631" t="s">
        <v>55446</v>
      </c>
      <c r="W9631" t="s">
        <v>42552</v>
      </c>
      <c r="X9631" t="s">
        <v>45108</v>
      </c>
    </row>
    <row r="9632" spans="1:24">
      <c r="A9632">
        <f>HYPERLINK("https://www.philgeps.gov.ph/GEPSNONPILOT/Tender/SplashBidNoticeAbstractUI.aspx?menuIndex=3&amp;refID=7031800&amp;Result=3","7031800")</f>
        <v>0</v>
      </c>
      <c r="B9632" t="s">
        <v>951</v>
      </c>
      <c r="C9632" t="s">
        <v>12375</v>
      </c>
      <c r="D9632" t="s">
        <v>18074</v>
      </c>
      <c r="E9632" t="s">
        <v>26518</v>
      </c>
      <c r="F9632" t="s">
        <v>31574</v>
      </c>
      <c r="G9632" t="s">
        <v>31582</v>
      </c>
      <c r="H9632" t="s">
        <v>31591</v>
      </c>
      <c r="I9632" t="s">
        <v>8822</v>
      </c>
      <c r="J9632" t="s">
        <v>37783</v>
      </c>
      <c r="K9632" t="s">
        <v>41189</v>
      </c>
      <c r="M9632" t="s">
        <v>42478</v>
      </c>
      <c r="N9632" t="s">
        <v>45095</v>
      </c>
      <c r="O9632" t="s">
        <v>45096</v>
      </c>
      <c r="Q9632">
        <v>0</v>
      </c>
      <c r="R9632" t="s">
        <v>45105</v>
      </c>
      <c r="S9632" t="s">
        <v>45365</v>
      </c>
      <c r="T9632" t="s">
        <v>47161</v>
      </c>
      <c r="U9632" t="s">
        <v>55447</v>
      </c>
      <c r="V9632" t="s">
        <v>60083</v>
      </c>
      <c r="W9632" t="s">
        <v>42478</v>
      </c>
      <c r="X9632" t="s">
        <v>45108</v>
      </c>
    </row>
    <row r="9633" spans="1:24">
      <c r="A9633">
        <f>HYPERLINK("https://www.philgeps.gov.ph/GEPSNONPILOT/Tender/SplashBidNoticeAbstractUI.aspx?menuIndex=3&amp;refID=7031682&amp;Result=3","7031682")</f>
        <v>0</v>
      </c>
      <c r="B9633" t="s">
        <v>1224</v>
      </c>
      <c r="C9633" t="s">
        <v>12376</v>
      </c>
      <c r="E9633" t="s">
        <v>26519</v>
      </c>
      <c r="F9633" t="s">
        <v>31574</v>
      </c>
      <c r="G9633" t="s">
        <v>31582</v>
      </c>
      <c r="H9633" t="s">
        <v>31590</v>
      </c>
      <c r="I9633" t="s">
        <v>31614</v>
      </c>
      <c r="J9633" t="s">
        <v>32458</v>
      </c>
      <c r="K9633" t="s">
        <v>41203</v>
      </c>
      <c r="M9633" t="s">
        <v>42786</v>
      </c>
      <c r="N9633" t="s">
        <v>45095</v>
      </c>
      <c r="O9633" t="s">
        <v>45096</v>
      </c>
      <c r="P9633">
        <v>0</v>
      </c>
      <c r="Q9633">
        <v>5</v>
      </c>
      <c r="R9633" t="s">
        <v>45105</v>
      </c>
      <c r="S9633" t="s">
        <v>45353</v>
      </c>
      <c r="T9633" t="s">
        <v>47265</v>
      </c>
      <c r="U9633" t="s">
        <v>55448</v>
      </c>
      <c r="W9633" t="s">
        <v>42786</v>
      </c>
      <c r="X9633" t="s">
        <v>45108</v>
      </c>
    </row>
    <row r="9634" spans="1:24">
      <c r="A9634">
        <f>HYPERLINK("https://www.philgeps.gov.ph/GEPSNONPILOT/Tender/SplashBidNoticeAbstractUI.aspx?menuIndex=3&amp;refID=7031637&amp;Result=3","7031637")</f>
        <v>0</v>
      </c>
      <c r="B9634" t="s">
        <v>2617</v>
      </c>
      <c r="C9634" t="s">
        <v>12377</v>
      </c>
      <c r="D9634" t="s">
        <v>18040</v>
      </c>
      <c r="E9634" t="s">
        <v>26520</v>
      </c>
      <c r="F9634" t="s">
        <v>31574</v>
      </c>
      <c r="G9634" t="s">
        <v>31582</v>
      </c>
      <c r="H9634" t="s">
        <v>31591</v>
      </c>
      <c r="I9634" t="s">
        <v>8822</v>
      </c>
      <c r="J9634" t="s">
        <v>32232</v>
      </c>
      <c r="K9634" t="s">
        <v>41271</v>
      </c>
      <c r="M9634" t="s">
        <v>44366</v>
      </c>
      <c r="N9634" t="s">
        <v>45095</v>
      </c>
      <c r="O9634" t="s">
        <v>45096</v>
      </c>
      <c r="P9634">
        <v>0</v>
      </c>
      <c r="Q9634">
        <v>2</v>
      </c>
      <c r="R9634" t="s">
        <v>45105</v>
      </c>
      <c r="S9634" t="s">
        <v>45353</v>
      </c>
      <c r="T9634" t="s">
        <v>47010</v>
      </c>
      <c r="U9634" t="s">
        <v>55449</v>
      </c>
      <c r="W9634" t="s">
        <v>44366</v>
      </c>
      <c r="X9634" t="s">
        <v>45108</v>
      </c>
    </row>
    <row r="9635" spans="1:24">
      <c r="A9635">
        <f>HYPERLINK("https://www.philgeps.gov.ph/GEPSNONPILOT/Tender/SplashBidNoticeAbstractUI.aspx?menuIndex=3&amp;refID=7031778&amp;Result=3","7031778")</f>
        <v>0</v>
      </c>
      <c r="B9635" t="s">
        <v>643</v>
      </c>
      <c r="C9635" t="s">
        <v>12378</v>
      </c>
      <c r="D9635" t="s">
        <v>18025</v>
      </c>
      <c r="E9635" t="s">
        <v>26521</v>
      </c>
      <c r="F9635" t="s">
        <v>31574</v>
      </c>
      <c r="G9635" t="s">
        <v>31581</v>
      </c>
      <c r="H9635" t="s">
        <v>31590</v>
      </c>
      <c r="I9635" t="s">
        <v>31612</v>
      </c>
      <c r="J9635" t="s">
        <v>32017</v>
      </c>
      <c r="K9635" t="s">
        <v>41196</v>
      </c>
      <c r="M9635" t="s">
        <v>43784</v>
      </c>
      <c r="N9635" t="s">
        <v>45095</v>
      </c>
      <c r="O9635" t="s">
        <v>45096</v>
      </c>
      <c r="P9635">
        <v>0</v>
      </c>
      <c r="Q9635">
        <v>3</v>
      </c>
      <c r="R9635" t="s">
        <v>45105</v>
      </c>
      <c r="S9635" t="s">
        <v>45353</v>
      </c>
      <c r="T9635" t="s">
        <v>47364</v>
      </c>
      <c r="U9635" t="s">
        <v>55450</v>
      </c>
      <c r="W9635" t="s">
        <v>43784</v>
      </c>
      <c r="X9635" t="s">
        <v>45108</v>
      </c>
    </row>
    <row r="9636" spans="1:24">
      <c r="A9636">
        <f>HYPERLINK("https://www.philgeps.gov.ph/GEPSNONPILOT/Tender/SplashBidNoticeAbstractUI.aspx?menuIndex=3&amp;refID=7031442&amp;Result=3","7031442")</f>
        <v>0</v>
      </c>
      <c r="B9636" t="s">
        <v>131</v>
      </c>
      <c r="C9636" t="s">
        <v>12379</v>
      </c>
      <c r="D9636" t="s">
        <v>18022</v>
      </c>
      <c r="E9636" t="s">
        <v>26522</v>
      </c>
      <c r="F9636" t="s">
        <v>31574</v>
      </c>
      <c r="G9636" t="s">
        <v>31582</v>
      </c>
      <c r="H9636" t="s">
        <v>31590</v>
      </c>
      <c r="I9636" t="s">
        <v>31605</v>
      </c>
      <c r="J9636" t="s">
        <v>37784</v>
      </c>
      <c r="K9636" t="s">
        <v>41189</v>
      </c>
      <c r="M9636" t="s">
        <v>44367</v>
      </c>
      <c r="N9636" t="s">
        <v>45095</v>
      </c>
      <c r="O9636" t="s">
        <v>45096</v>
      </c>
      <c r="P9636">
        <v>0</v>
      </c>
      <c r="Q9636">
        <v>21</v>
      </c>
      <c r="R9636" t="s">
        <v>45105</v>
      </c>
      <c r="S9636" t="s">
        <v>45353</v>
      </c>
      <c r="T9636" t="s">
        <v>47072</v>
      </c>
      <c r="U9636" t="s">
        <v>55451</v>
      </c>
      <c r="W9636" t="s">
        <v>44367</v>
      </c>
      <c r="X9636" t="s">
        <v>45108</v>
      </c>
    </row>
    <row r="9637" spans="1:24">
      <c r="A9637">
        <f>HYPERLINK("https://www.philgeps.gov.ph/GEPSNONPILOT/Tender/SplashBidNoticeAbstractUI.aspx?menuIndex=3&amp;refID=7031596&amp;Result=3","7031596")</f>
        <v>0</v>
      </c>
      <c r="B9637" t="s">
        <v>2618</v>
      </c>
      <c r="C9637" t="s">
        <v>12380</v>
      </c>
      <c r="D9637" t="s">
        <v>18022</v>
      </c>
      <c r="E9637" t="s">
        <v>26523</v>
      </c>
      <c r="F9637" t="s">
        <v>31574</v>
      </c>
      <c r="G9637" t="s">
        <v>31582</v>
      </c>
      <c r="H9637" t="s">
        <v>31591</v>
      </c>
      <c r="I9637" t="s">
        <v>31622</v>
      </c>
      <c r="J9637" t="s">
        <v>37785</v>
      </c>
      <c r="K9637" t="s">
        <v>41203</v>
      </c>
      <c r="M9637" t="s">
        <v>44368</v>
      </c>
      <c r="N9637" t="s">
        <v>45095</v>
      </c>
      <c r="O9637" t="s">
        <v>45096</v>
      </c>
      <c r="P9637">
        <v>0</v>
      </c>
      <c r="Q9637">
        <v>3</v>
      </c>
      <c r="R9637" t="s">
        <v>45105</v>
      </c>
      <c r="S9637" t="s">
        <v>45353</v>
      </c>
      <c r="T9637" t="s">
        <v>47010</v>
      </c>
      <c r="U9637" t="s">
        <v>55452</v>
      </c>
      <c r="W9637" t="s">
        <v>44368</v>
      </c>
      <c r="X9637" t="s">
        <v>45108</v>
      </c>
    </row>
    <row r="9638" spans="1:24">
      <c r="A9638">
        <f>HYPERLINK("https://www.philgeps.gov.ph/GEPSNONPILOT/Tender/SplashBidNoticeAbstractUI.aspx?menuIndex=3&amp;refID=7031607&amp;Result=3","7031607")</f>
        <v>0</v>
      </c>
      <c r="B9638" t="s">
        <v>1299</v>
      </c>
      <c r="C9638" t="s">
        <v>12381</v>
      </c>
      <c r="D9638" t="s">
        <v>18076</v>
      </c>
      <c r="E9638" t="s">
        <v>26524</v>
      </c>
      <c r="F9638" t="s">
        <v>31574</v>
      </c>
      <c r="G9638" t="s">
        <v>31582</v>
      </c>
      <c r="H9638" t="s">
        <v>31591</v>
      </c>
      <c r="I9638" t="s">
        <v>8822</v>
      </c>
      <c r="J9638" t="s">
        <v>37786</v>
      </c>
      <c r="K9638" t="s">
        <v>41200</v>
      </c>
      <c r="M9638" t="s">
        <v>42869</v>
      </c>
      <c r="N9638" t="s">
        <v>45095</v>
      </c>
      <c r="O9638" t="s">
        <v>45096</v>
      </c>
      <c r="P9638">
        <v>0</v>
      </c>
      <c r="Q9638">
        <v>0</v>
      </c>
      <c r="R9638" t="s">
        <v>45105</v>
      </c>
      <c r="S9638" t="s">
        <v>45353</v>
      </c>
      <c r="T9638" t="s">
        <v>47265</v>
      </c>
      <c r="U9638" t="s">
        <v>55453</v>
      </c>
      <c r="W9638" t="s">
        <v>42869</v>
      </c>
      <c r="X9638" t="s">
        <v>45108</v>
      </c>
    </row>
    <row r="9639" spans="1:24">
      <c r="A9639">
        <f>HYPERLINK("https://www.philgeps.gov.ph/GEPSNONPILOT/Tender/SplashBidNoticeAbstractUI.aspx?menuIndex=3&amp;refID=7031437&amp;Result=3","7031437")</f>
        <v>0</v>
      </c>
      <c r="B9639" t="s">
        <v>320</v>
      </c>
      <c r="C9639" t="s">
        <v>12382</v>
      </c>
      <c r="D9639" t="s">
        <v>18070</v>
      </c>
      <c r="E9639" t="s">
        <v>26525</v>
      </c>
      <c r="F9639" t="s">
        <v>31574</v>
      </c>
      <c r="G9639" t="s">
        <v>31582</v>
      </c>
      <c r="H9639" t="s">
        <v>31591</v>
      </c>
      <c r="I9639" t="s">
        <v>8822</v>
      </c>
      <c r="J9639" t="s">
        <v>37787</v>
      </c>
      <c r="K9639" t="s">
        <v>41379</v>
      </c>
      <c r="M9639" t="s">
        <v>41808</v>
      </c>
      <c r="N9639" t="s">
        <v>45095</v>
      </c>
      <c r="O9639" t="s">
        <v>45096</v>
      </c>
      <c r="P9639">
        <v>0</v>
      </c>
      <c r="Q9639">
        <v>0</v>
      </c>
      <c r="R9639" t="s">
        <v>45105</v>
      </c>
      <c r="S9639" t="s">
        <v>45353</v>
      </c>
      <c r="T9639" t="s">
        <v>46977</v>
      </c>
      <c r="U9639" t="s">
        <v>48333</v>
      </c>
      <c r="W9639" t="s">
        <v>41808</v>
      </c>
      <c r="X9639" t="s">
        <v>45108</v>
      </c>
    </row>
    <row r="9640" spans="1:24">
      <c r="A9640">
        <f>HYPERLINK("https://www.philgeps.gov.ph/GEPSNONPILOT/Tender/SplashBidNoticeAbstractUI.aspx?menuIndex=3&amp;refID=7031642&amp;Result=3","7031642")</f>
        <v>0</v>
      </c>
      <c r="B9640" t="s">
        <v>1299</v>
      </c>
      <c r="C9640" t="s">
        <v>12383</v>
      </c>
      <c r="D9640" t="s">
        <v>18076</v>
      </c>
      <c r="E9640" t="s">
        <v>26526</v>
      </c>
      <c r="F9640" t="s">
        <v>31574</v>
      </c>
      <c r="G9640" t="s">
        <v>31582</v>
      </c>
      <c r="H9640" t="s">
        <v>31591</v>
      </c>
      <c r="I9640" t="s">
        <v>8822</v>
      </c>
      <c r="J9640" t="s">
        <v>37786</v>
      </c>
      <c r="K9640" t="s">
        <v>41200</v>
      </c>
      <c r="M9640" t="s">
        <v>42869</v>
      </c>
      <c r="N9640" t="s">
        <v>45095</v>
      </c>
      <c r="O9640" t="s">
        <v>45096</v>
      </c>
      <c r="P9640">
        <v>0</v>
      </c>
      <c r="Q9640">
        <v>0</v>
      </c>
      <c r="R9640" t="s">
        <v>45105</v>
      </c>
      <c r="S9640" t="s">
        <v>45353</v>
      </c>
      <c r="T9640" t="s">
        <v>47265</v>
      </c>
      <c r="U9640" t="s">
        <v>55454</v>
      </c>
      <c r="W9640" t="s">
        <v>42869</v>
      </c>
      <c r="X9640" t="s">
        <v>45108</v>
      </c>
    </row>
    <row r="9641" spans="1:24">
      <c r="A9641">
        <f>HYPERLINK("https://www.philgeps.gov.ph/GEPSNONPILOT/Tender/SplashBidNoticeAbstractUI.aspx?menuIndex=3&amp;refID=7032069&amp;Result=3","7032069")</f>
        <v>0</v>
      </c>
      <c r="B9641" t="s">
        <v>535</v>
      </c>
      <c r="C9641" t="s">
        <v>12384</v>
      </c>
      <c r="E9641" t="s">
        <v>26527</v>
      </c>
      <c r="F9641" t="s">
        <v>31574</v>
      </c>
      <c r="G9641" t="s">
        <v>31582</v>
      </c>
      <c r="H9641" t="s">
        <v>31590</v>
      </c>
      <c r="I9641" t="s">
        <v>31594</v>
      </c>
      <c r="J9641" t="s">
        <v>32550</v>
      </c>
      <c r="K9641" t="s">
        <v>41184</v>
      </c>
      <c r="M9641" t="s">
        <v>42032</v>
      </c>
      <c r="N9641" t="s">
        <v>45095</v>
      </c>
      <c r="O9641" t="s">
        <v>45096</v>
      </c>
      <c r="Q9641">
        <v>41</v>
      </c>
      <c r="R9641" t="s">
        <v>45105</v>
      </c>
      <c r="S9641" t="s">
        <v>45366</v>
      </c>
      <c r="T9641" t="s">
        <v>47010</v>
      </c>
      <c r="U9641" t="s">
        <v>55455</v>
      </c>
      <c r="W9641" t="s">
        <v>42032</v>
      </c>
      <c r="X9641" t="s">
        <v>45107</v>
      </c>
    </row>
    <row r="9642" spans="1:24">
      <c r="A9642">
        <f>HYPERLINK("https://www.philgeps.gov.ph/GEPSNONPILOT/Tender/SplashBidNoticeAbstractUI.aspx?menuIndex=3&amp;refID=7031842&amp;Result=3","7031842")</f>
        <v>0</v>
      </c>
      <c r="B9642" t="s">
        <v>2619</v>
      </c>
      <c r="C9642" t="s">
        <v>12385</v>
      </c>
      <c r="D9642" t="s">
        <v>18022</v>
      </c>
      <c r="E9642" t="s">
        <v>26528</v>
      </c>
      <c r="F9642" t="s">
        <v>31575</v>
      </c>
      <c r="G9642" t="s">
        <v>31582</v>
      </c>
      <c r="H9642" t="s">
        <v>31590</v>
      </c>
      <c r="I9642" t="s">
        <v>6800</v>
      </c>
      <c r="J9642" t="s">
        <v>37788</v>
      </c>
      <c r="K9642" t="s">
        <v>41193</v>
      </c>
      <c r="M9642" t="s">
        <v>44369</v>
      </c>
      <c r="N9642" t="s">
        <v>45095</v>
      </c>
      <c r="O9642" t="s">
        <v>45096</v>
      </c>
      <c r="P9642">
        <v>0</v>
      </c>
      <c r="Q9642">
        <v>0</v>
      </c>
      <c r="R9642" t="s">
        <v>45105</v>
      </c>
      <c r="S9642" t="s">
        <v>45353</v>
      </c>
      <c r="T9642" t="s">
        <v>46945</v>
      </c>
      <c r="U9642" t="s">
        <v>55456</v>
      </c>
      <c r="V9642" t="s">
        <v>60851</v>
      </c>
      <c r="W9642" t="s">
        <v>44369</v>
      </c>
      <c r="X9642" t="s">
        <v>45108</v>
      </c>
    </row>
    <row r="9643" spans="1:24">
      <c r="A9643">
        <f>HYPERLINK("https://www.philgeps.gov.ph/GEPSNONPILOT/Tender/SplashBidNoticeAbstractUI.aspx?menuIndex=3&amp;refID=7031658&amp;Result=3","7031658")</f>
        <v>0</v>
      </c>
      <c r="B9643" t="s">
        <v>2620</v>
      </c>
      <c r="C9643" t="s">
        <v>4407</v>
      </c>
      <c r="D9643" t="s">
        <v>18070</v>
      </c>
      <c r="E9643" t="s">
        <v>19193</v>
      </c>
      <c r="F9643" t="s">
        <v>31574</v>
      </c>
      <c r="G9643" t="s">
        <v>31582</v>
      </c>
      <c r="H9643" t="s">
        <v>31590</v>
      </c>
      <c r="I9643" t="s">
        <v>14544</v>
      </c>
      <c r="J9643" t="s">
        <v>37789</v>
      </c>
      <c r="K9643" t="s">
        <v>41186</v>
      </c>
      <c r="M9643" t="s">
        <v>44370</v>
      </c>
      <c r="N9643" t="s">
        <v>45095</v>
      </c>
      <c r="O9643" t="s">
        <v>45096</v>
      </c>
      <c r="P9643">
        <v>0</v>
      </c>
      <c r="Q9643">
        <v>3</v>
      </c>
      <c r="R9643" t="s">
        <v>45105</v>
      </c>
      <c r="S9643" t="s">
        <v>45353</v>
      </c>
      <c r="T9643" t="s">
        <v>47030</v>
      </c>
      <c r="U9643" t="s">
        <v>55457</v>
      </c>
      <c r="W9643" t="s">
        <v>44370</v>
      </c>
      <c r="X9643" t="s">
        <v>45108</v>
      </c>
    </row>
    <row r="9644" spans="1:24">
      <c r="A9644">
        <f>HYPERLINK("https://www.philgeps.gov.ph/GEPSNONPILOT/Tender/SplashBidNoticeAbstractUI.aspx?menuIndex=3&amp;refID=7032070&amp;Result=3","7032070")</f>
        <v>0</v>
      </c>
      <c r="B9644" t="s">
        <v>535</v>
      </c>
      <c r="C9644" t="s">
        <v>12386</v>
      </c>
      <c r="E9644" t="s">
        <v>23271</v>
      </c>
      <c r="F9644" t="s">
        <v>31574</v>
      </c>
      <c r="G9644" t="s">
        <v>31582</v>
      </c>
      <c r="H9644" t="s">
        <v>31590</v>
      </c>
      <c r="I9644" t="s">
        <v>31594</v>
      </c>
      <c r="J9644" t="s">
        <v>37790</v>
      </c>
      <c r="K9644" t="s">
        <v>41184</v>
      </c>
      <c r="M9644" t="s">
        <v>42032</v>
      </c>
      <c r="N9644" t="s">
        <v>45095</v>
      </c>
      <c r="O9644" t="s">
        <v>45096</v>
      </c>
      <c r="Q9644">
        <v>39</v>
      </c>
      <c r="R9644" t="s">
        <v>45105</v>
      </c>
      <c r="S9644" t="s">
        <v>45367</v>
      </c>
      <c r="T9644" t="s">
        <v>47010</v>
      </c>
      <c r="U9644" t="s">
        <v>55458</v>
      </c>
      <c r="W9644" t="s">
        <v>42032</v>
      </c>
      <c r="X9644" t="s">
        <v>45107</v>
      </c>
    </row>
    <row r="9645" spans="1:24">
      <c r="A9645">
        <f>HYPERLINK("https://www.philgeps.gov.ph/GEPSNONPILOT/Tender/SplashBidNoticeAbstractUI.aspx?menuIndex=3&amp;refID=7031959&amp;Result=3","7031959")</f>
        <v>0</v>
      </c>
      <c r="B9645" t="s">
        <v>983</v>
      </c>
      <c r="C9645" t="s">
        <v>12387</v>
      </c>
      <c r="E9645" t="s">
        <v>26529</v>
      </c>
      <c r="F9645" t="s">
        <v>31574</v>
      </c>
      <c r="G9645" t="s">
        <v>31582</v>
      </c>
      <c r="H9645" t="s">
        <v>31591</v>
      </c>
      <c r="I9645" t="s">
        <v>8822</v>
      </c>
      <c r="J9645" t="s">
        <v>37791</v>
      </c>
      <c r="K9645" t="s">
        <v>41296</v>
      </c>
      <c r="M9645" t="s">
        <v>42517</v>
      </c>
      <c r="N9645" t="s">
        <v>45095</v>
      </c>
      <c r="O9645" t="s">
        <v>45096</v>
      </c>
      <c r="P9645">
        <v>0</v>
      </c>
      <c r="Q9645">
        <v>3</v>
      </c>
      <c r="R9645" t="s">
        <v>45105</v>
      </c>
      <c r="S9645" t="s">
        <v>45353</v>
      </c>
      <c r="T9645" t="s">
        <v>47336</v>
      </c>
      <c r="U9645" t="s">
        <v>55459</v>
      </c>
      <c r="W9645" t="s">
        <v>42517</v>
      </c>
      <c r="X9645" t="s">
        <v>45108</v>
      </c>
    </row>
    <row r="9646" spans="1:24">
      <c r="A9646">
        <f>HYPERLINK("https://www.philgeps.gov.ph/GEPSNONPILOT/Tender/SplashBidNoticeAbstractUI.aspx?menuIndex=3&amp;refID=7032033&amp;Result=3","7032033")</f>
        <v>0</v>
      </c>
      <c r="B9646" t="s">
        <v>2621</v>
      </c>
      <c r="C9646" t="s">
        <v>12388</v>
      </c>
      <c r="D9646" t="s">
        <v>18040</v>
      </c>
      <c r="E9646" t="s">
        <v>26530</v>
      </c>
      <c r="F9646" t="s">
        <v>31574</v>
      </c>
      <c r="G9646" t="s">
        <v>31582</v>
      </c>
      <c r="H9646" t="s">
        <v>31590</v>
      </c>
      <c r="I9646" t="s">
        <v>31615</v>
      </c>
      <c r="J9646" t="s">
        <v>31758</v>
      </c>
      <c r="K9646" t="s">
        <v>41186</v>
      </c>
      <c r="M9646" t="s">
        <v>44371</v>
      </c>
      <c r="N9646" t="s">
        <v>45095</v>
      </c>
      <c r="O9646" t="s">
        <v>45096</v>
      </c>
      <c r="Q9646">
        <v>7</v>
      </c>
      <c r="R9646" t="s">
        <v>45105</v>
      </c>
      <c r="S9646" t="s">
        <v>45368</v>
      </c>
      <c r="T9646" t="s">
        <v>46979</v>
      </c>
      <c r="U9646" t="s">
        <v>55460</v>
      </c>
      <c r="V9646" t="s">
        <v>60852</v>
      </c>
      <c r="W9646" t="s">
        <v>44371</v>
      </c>
      <c r="X9646" t="s">
        <v>45107</v>
      </c>
    </row>
    <row r="9647" spans="1:24">
      <c r="A9647">
        <f>HYPERLINK("https://www.philgeps.gov.ph/GEPSNONPILOT/Tender/SplashBidNoticeAbstractUI.aspx?menuIndex=3&amp;refID=7032065&amp;Result=3","7032065")</f>
        <v>0</v>
      </c>
      <c r="B9647" t="s">
        <v>535</v>
      </c>
      <c r="C9647" t="s">
        <v>12389</v>
      </c>
      <c r="E9647" t="s">
        <v>26531</v>
      </c>
      <c r="F9647" t="s">
        <v>31574</v>
      </c>
      <c r="G9647" t="s">
        <v>31582</v>
      </c>
      <c r="H9647" t="s">
        <v>31590</v>
      </c>
      <c r="I9647" t="s">
        <v>31615</v>
      </c>
      <c r="J9647" t="s">
        <v>32026</v>
      </c>
      <c r="K9647" t="s">
        <v>41184</v>
      </c>
      <c r="M9647" t="s">
        <v>42032</v>
      </c>
      <c r="N9647" t="s">
        <v>45095</v>
      </c>
      <c r="O9647" t="s">
        <v>45096</v>
      </c>
      <c r="Q9647">
        <v>3</v>
      </c>
      <c r="R9647" t="s">
        <v>45105</v>
      </c>
      <c r="S9647" t="s">
        <v>45369</v>
      </c>
      <c r="T9647" t="s">
        <v>47010</v>
      </c>
      <c r="U9647" t="s">
        <v>55461</v>
      </c>
      <c r="W9647" t="s">
        <v>42032</v>
      </c>
      <c r="X9647" t="s">
        <v>45107</v>
      </c>
    </row>
    <row r="9648" spans="1:24">
      <c r="A9648">
        <f>HYPERLINK("https://www.philgeps.gov.ph/GEPSNONPILOT/Tender/SplashBidNoticeAbstractUI.aspx?menuIndex=3&amp;refID=7031984&amp;Result=3","7031984")</f>
        <v>0</v>
      </c>
      <c r="B9648" t="s">
        <v>2622</v>
      </c>
      <c r="C9648" t="s">
        <v>12390</v>
      </c>
      <c r="E9648" t="s">
        <v>26532</v>
      </c>
      <c r="F9648" t="s">
        <v>31574</v>
      </c>
      <c r="G9648" t="s">
        <v>31582</v>
      </c>
      <c r="H9648" t="s">
        <v>31592</v>
      </c>
      <c r="I9648" t="s">
        <v>31596</v>
      </c>
      <c r="J9648" t="s">
        <v>37792</v>
      </c>
      <c r="K9648" t="s">
        <v>41281</v>
      </c>
      <c r="M9648" t="s">
        <v>44372</v>
      </c>
      <c r="N9648" t="s">
        <v>45095</v>
      </c>
      <c r="O9648" t="s">
        <v>45096</v>
      </c>
      <c r="P9648">
        <v>0</v>
      </c>
      <c r="Q9648">
        <v>6</v>
      </c>
      <c r="R9648" t="s">
        <v>45105</v>
      </c>
      <c r="S9648" t="s">
        <v>45353</v>
      </c>
      <c r="T9648" t="s">
        <v>47134</v>
      </c>
      <c r="U9648" t="s">
        <v>55462</v>
      </c>
      <c r="V9648" t="s">
        <v>60853</v>
      </c>
      <c r="W9648" t="s">
        <v>61748</v>
      </c>
      <c r="X9648" t="s">
        <v>45107</v>
      </c>
    </row>
    <row r="9649" spans="1:24">
      <c r="A9649">
        <f>HYPERLINK("https://www.philgeps.gov.ph/GEPSNONPILOT/Tender/SplashBidNoticeAbstractUI.aspx?menuIndex=3&amp;refID=7031953&amp;Result=3","7031953")</f>
        <v>0</v>
      </c>
      <c r="B9649" t="s">
        <v>983</v>
      </c>
      <c r="C9649" t="s">
        <v>12391</v>
      </c>
      <c r="E9649" t="s">
        <v>26533</v>
      </c>
      <c r="F9649" t="s">
        <v>31574</v>
      </c>
      <c r="G9649" t="s">
        <v>31582</v>
      </c>
      <c r="H9649" t="s">
        <v>31591</v>
      </c>
      <c r="I9649" t="s">
        <v>8822</v>
      </c>
      <c r="J9649" t="s">
        <v>37793</v>
      </c>
      <c r="K9649" t="s">
        <v>41192</v>
      </c>
      <c r="M9649" t="s">
        <v>42517</v>
      </c>
      <c r="N9649" t="s">
        <v>45095</v>
      </c>
      <c r="O9649" t="s">
        <v>45096</v>
      </c>
      <c r="P9649">
        <v>0</v>
      </c>
      <c r="Q9649">
        <v>1</v>
      </c>
      <c r="R9649" t="s">
        <v>45105</v>
      </c>
      <c r="S9649" t="s">
        <v>45353</v>
      </c>
      <c r="T9649" t="s">
        <v>47336</v>
      </c>
      <c r="U9649" t="s">
        <v>55463</v>
      </c>
      <c r="W9649" t="s">
        <v>42517</v>
      </c>
      <c r="X9649" t="s">
        <v>45108</v>
      </c>
    </row>
    <row r="9650" spans="1:24">
      <c r="A9650">
        <f>HYPERLINK("https://www.philgeps.gov.ph/GEPSNONPILOT/Tender/SplashBidNoticeAbstractUI.aspx?menuIndex=3&amp;refID=7031982&amp;Result=3","7031982")</f>
        <v>0</v>
      </c>
      <c r="B9650" t="s">
        <v>2623</v>
      </c>
      <c r="C9650" t="s">
        <v>12392</v>
      </c>
      <c r="D9650" t="s">
        <v>18118</v>
      </c>
      <c r="E9650" t="s">
        <v>26534</v>
      </c>
      <c r="F9650" t="s">
        <v>31574</v>
      </c>
      <c r="G9650" t="s">
        <v>31582</v>
      </c>
      <c r="H9650" t="s">
        <v>31591</v>
      </c>
      <c r="I9650" t="s">
        <v>8822</v>
      </c>
      <c r="J9650" t="s">
        <v>35780</v>
      </c>
      <c r="K9650" t="s">
        <v>41185</v>
      </c>
      <c r="L9650" t="s">
        <v>2623</v>
      </c>
      <c r="M9650" t="s">
        <v>44373</v>
      </c>
      <c r="N9650" t="s">
        <v>45095</v>
      </c>
      <c r="O9650" t="s">
        <v>45096</v>
      </c>
      <c r="P9650">
        <v>0</v>
      </c>
      <c r="Q9650">
        <v>1</v>
      </c>
      <c r="R9650" t="s">
        <v>45105</v>
      </c>
      <c r="S9650" t="s">
        <v>45353</v>
      </c>
      <c r="T9650" t="s">
        <v>47365</v>
      </c>
      <c r="U9650" t="s">
        <v>55464</v>
      </c>
      <c r="V9650" t="s">
        <v>60854</v>
      </c>
      <c r="W9650" t="s">
        <v>44373</v>
      </c>
      <c r="X9650" t="s">
        <v>45107</v>
      </c>
    </row>
    <row r="9651" spans="1:24">
      <c r="A9651">
        <f>HYPERLINK("https://www.philgeps.gov.ph/GEPSNONPILOT/Tender/SplashBidNoticeAbstractUI.aspx?menuIndex=3&amp;refID=7032025&amp;Result=3","7032025")</f>
        <v>0</v>
      </c>
      <c r="B9651" t="s">
        <v>143</v>
      </c>
      <c r="C9651" t="s">
        <v>12393</v>
      </c>
      <c r="D9651" t="s">
        <v>18075</v>
      </c>
      <c r="E9651" t="s">
        <v>26535</v>
      </c>
      <c r="F9651" t="s">
        <v>31574</v>
      </c>
      <c r="G9651" t="s">
        <v>31582</v>
      </c>
      <c r="H9651" t="s">
        <v>31590</v>
      </c>
      <c r="I9651" t="s">
        <v>31691</v>
      </c>
      <c r="J9651" t="s">
        <v>37794</v>
      </c>
      <c r="K9651" t="s">
        <v>41196</v>
      </c>
      <c r="M9651" t="s">
        <v>41627</v>
      </c>
      <c r="N9651" t="s">
        <v>45095</v>
      </c>
      <c r="O9651" t="s">
        <v>45096</v>
      </c>
      <c r="P9651">
        <v>0</v>
      </c>
      <c r="Q9651">
        <v>1</v>
      </c>
      <c r="R9651" t="s">
        <v>45105</v>
      </c>
      <c r="S9651" t="s">
        <v>45353</v>
      </c>
      <c r="T9651" t="s">
        <v>47272</v>
      </c>
      <c r="U9651" t="s">
        <v>47749</v>
      </c>
      <c r="W9651" t="s">
        <v>41627</v>
      </c>
      <c r="X9651" t="s">
        <v>45107</v>
      </c>
    </row>
    <row r="9652" spans="1:24">
      <c r="A9652">
        <f>HYPERLINK("https://www.philgeps.gov.ph/GEPSNONPILOT/Tender/SplashBidNoticeAbstractUI.aspx?menuIndex=3&amp;refID=7031924&amp;Result=3","7031924")</f>
        <v>0</v>
      </c>
      <c r="B9652" t="s">
        <v>2619</v>
      </c>
      <c r="C9652" t="s">
        <v>12394</v>
      </c>
      <c r="D9652" t="s">
        <v>18022</v>
      </c>
      <c r="E9652" t="s">
        <v>26536</v>
      </c>
      <c r="F9652" t="s">
        <v>31575</v>
      </c>
      <c r="G9652" t="s">
        <v>31582</v>
      </c>
      <c r="H9652" t="s">
        <v>31590</v>
      </c>
      <c r="I9652" t="s">
        <v>4327</v>
      </c>
      <c r="J9652" t="s">
        <v>31727</v>
      </c>
      <c r="K9652" t="s">
        <v>41193</v>
      </c>
      <c r="M9652" t="s">
        <v>44369</v>
      </c>
      <c r="N9652" t="s">
        <v>45095</v>
      </c>
      <c r="O9652" t="s">
        <v>45096</v>
      </c>
      <c r="P9652">
        <v>0</v>
      </c>
      <c r="Q9652">
        <v>5</v>
      </c>
      <c r="R9652" t="s">
        <v>45105</v>
      </c>
      <c r="S9652" t="s">
        <v>45353</v>
      </c>
      <c r="T9652" t="s">
        <v>46945</v>
      </c>
      <c r="U9652" t="s">
        <v>55465</v>
      </c>
      <c r="V9652" t="s">
        <v>60851</v>
      </c>
      <c r="W9652" t="s">
        <v>44369</v>
      </c>
      <c r="X9652" t="s">
        <v>45108</v>
      </c>
    </row>
    <row r="9653" spans="1:24">
      <c r="A9653">
        <f>HYPERLINK("https://www.philgeps.gov.ph/GEPSNONPILOT/Tender/SplashBidNoticeAbstractUI.aspx?menuIndex=3&amp;refID=7032076&amp;Result=3","7032076")</f>
        <v>0</v>
      </c>
      <c r="B9653" t="s">
        <v>1433</v>
      </c>
      <c r="C9653" t="s">
        <v>12395</v>
      </c>
      <c r="D9653" t="s">
        <v>18022</v>
      </c>
      <c r="E9653" t="s">
        <v>26537</v>
      </c>
      <c r="F9653" t="s">
        <v>31574</v>
      </c>
      <c r="G9653" t="s">
        <v>31582</v>
      </c>
      <c r="H9653" t="s">
        <v>31590</v>
      </c>
      <c r="I9653" t="s">
        <v>31608</v>
      </c>
      <c r="J9653" t="s">
        <v>37795</v>
      </c>
      <c r="K9653" t="s">
        <v>41186</v>
      </c>
      <c r="M9653" t="s">
        <v>44374</v>
      </c>
      <c r="N9653" t="s">
        <v>45095</v>
      </c>
      <c r="O9653" t="s">
        <v>45096</v>
      </c>
      <c r="P9653">
        <v>0</v>
      </c>
      <c r="Q9653">
        <v>10</v>
      </c>
      <c r="R9653" t="s">
        <v>45105</v>
      </c>
      <c r="S9653" t="s">
        <v>45353</v>
      </c>
      <c r="T9653" t="s">
        <v>47251</v>
      </c>
      <c r="U9653" t="s">
        <v>55466</v>
      </c>
      <c r="V9653" t="s">
        <v>60855</v>
      </c>
      <c r="W9653" t="s">
        <v>44374</v>
      </c>
      <c r="X9653" t="s">
        <v>45107</v>
      </c>
    </row>
    <row r="9654" spans="1:24">
      <c r="A9654">
        <f>HYPERLINK("https://www.philgeps.gov.ph/GEPSNONPILOT/Tender/SplashBidNoticeAbstractUI.aspx?menuIndex=3&amp;refID=7031957&amp;Result=3","7031957")</f>
        <v>0</v>
      </c>
      <c r="B9654" t="s">
        <v>983</v>
      </c>
      <c r="C9654" t="s">
        <v>12396</v>
      </c>
      <c r="E9654" t="s">
        <v>26538</v>
      </c>
      <c r="F9654" t="s">
        <v>31574</v>
      </c>
      <c r="G9654" t="s">
        <v>31582</v>
      </c>
      <c r="H9654" t="s">
        <v>31591</v>
      </c>
      <c r="I9654" t="s">
        <v>8822</v>
      </c>
      <c r="J9654" t="s">
        <v>37796</v>
      </c>
      <c r="K9654" t="s">
        <v>41320</v>
      </c>
      <c r="M9654" t="s">
        <v>42517</v>
      </c>
      <c r="N9654" t="s">
        <v>45095</v>
      </c>
      <c r="O9654" t="s">
        <v>45096</v>
      </c>
      <c r="P9654">
        <v>0</v>
      </c>
      <c r="Q9654">
        <v>0</v>
      </c>
      <c r="R9654" t="s">
        <v>45105</v>
      </c>
      <c r="S9654" t="s">
        <v>45353</v>
      </c>
      <c r="T9654" t="s">
        <v>47336</v>
      </c>
      <c r="U9654" t="s">
        <v>55467</v>
      </c>
      <c r="W9654" t="s">
        <v>42517</v>
      </c>
      <c r="X9654" t="s">
        <v>45108</v>
      </c>
    </row>
    <row r="9655" spans="1:24">
      <c r="A9655">
        <f>HYPERLINK("https://www.philgeps.gov.ph/GEPSNONPILOT/Tender/SplashBidNoticeAbstractUI.aspx?menuIndex=3&amp;refID=7032104&amp;Result=3","7032104")</f>
        <v>0</v>
      </c>
      <c r="B9655" t="s">
        <v>2293</v>
      </c>
      <c r="C9655" t="s">
        <v>12397</v>
      </c>
      <c r="D9655" t="s">
        <v>18057</v>
      </c>
      <c r="E9655" t="s">
        <v>26539</v>
      </c>
      <c r="F9655" t="s">
        <v>31574</v>
      </c>
      <c r="G9655" t="s">
        <v>31582</v>
      </c>
      <c r="H9655" t="s">
        <v>31593</v>
      </c>
      <c r="I9655" t="s">
        <v>31593</v>
      </c>
      <c r="J9655" t="s">
        <v>37797</v>
      </c>
      <c r="K9655" t="s">
        <v>41259</v>
      </c>
      <c r="M9655" t="s">
        <v>44002</v>
      </c>
      <c r="N9655" t="s">
        <v>45095</v>
      </c>
      <c r="O9655" t="s">
        <v>45096</v>
      </c>
      <c r="P9655">
        <v>0</v>
      </c>
      <c r="Q9655">
        <v>2</v>
      </c>
      <c r="R9655" t="s">
        <v>45105</v>
      </c>
      <c r="S9655" t="s">
        <v>45353</v>
      </c>
      <c r="T9655" t="s">
        <v>46916</v>
      </c>
      <c r="U9655" t="s">
        <v>55468</v>
      </c>
      <c r="V9655" t="s">
        <v>60856</v>
      </c>
      <c r="W9655" t="s">
        <v>44002</v>
      </c>
      <c r="X9655" t="s">
        <v>45107</v>
      </c>
    </row>
    <row r="9656" spans="1:24">
      <c r="A9656">
        <f>HYPERLINK("https://www.philgeps.gov.ph/GEPSNONPILOT/Tender/SplashBidNoticeAbstractUI.aspx?menuIndex=3&amp;refID=7032101&amp;Result=3","7032101")</f>
        <v>0</v>
      </c>
      <c r="B9656" t="s">
        <v>2293</v>
      </c>
      <c r="C9656" t="s">
        <v>12398</v>
      </c>
      <c r="D9656" t="s">
        <v>18057</v>
      </c>
      <c r="E9656" t="s">
        <v>26540</v>
      </c>
      <c r="F9656" t="s">
        <v>31574</v>
      </c>
      <c r="G9656" t="s">
        <v>31582</v>
      </c>
      <c r="H9656" t="s">
        <v>31593</v>
      </c>
      <c r="I9656" t="s">
        <v>31593</v>
      </c>
      <c r="J9656" t="s">
        <v>37798</v>
      </c>
      <c r="K9656" t="s">
        <v>41203</v>
      </c>
      <c r="M9656" t="s">
        <v>44002</v>
      </c>
      <c r="N9656" t="s">
        <v>45095</v>
      </c>
      <c r="O9656" t="s">
        <v>45096</v>
      </c>
      <c r="P9656">
        <v>0</v>
      </c>
      <c r="Q9656">
        <v>3</v>
      </c>
      <c r="R9656" t="s">
        <v>45105</v>
      </c>
      <c r="S9656" t="s">
        <v>45353</v>
      </c>
      <c r="T9656" t="s">
        <v>46916</v>
      </c>
      <c r="U9656" t="s">
        <v>55469</v>
      </c>
      <c r="V9656" t="s">
        <v>60856</v>
      </c>
      <c r="W9656" t="s">
        <v>44002</v>
      </c>
      <c r="X9656" t="s">
        <v>45107</v>
      </c>
    </row>
    <row r="9657" spans="1:24">
      <c r="A9657">
        <f>HYPERLINK("https://www.philgeps.gov.ph/GEPSNONPILOT/Tender/SplashBidNoticeAbstractUI.aspx?menuIndex=3&amp;refID=7031905&amp;Result=3","7031905")</f>
        <v>0</v>
      </c>
      <c r="B9657" t="s">
        <v>2619</v>
      </c>
      <c r="C9657" t="s">
        <v>12399</v>
      </c>
      <c r="D9657" t="s">
        <v>18022</v>
      </c>
      <c r="E9657" t="s">
        <v>26541</v>
      </c>
      <c r="F9657" t="s">
        <v>31575</v>
      </c>
      <c r="G9657" t="s">
        <v>31582</v>
      </c>
      <c r="H9657" t="s">
        <v>31590</v>
      </c>
      <c r="I9657" t="s">
        <v>3487</v>
      </c>
      <c r="J9657" t="s">
        <v>37799</v>
      </c>
      <c r="K9657" t="s">
        <v>41193</v>
      </c>
      <c r="M9657" t="s">
        <v>44369</v>
      </c>
      <c r="N9657" t="s">
        <v>45095</v>
      </c>
      <c r="O9657" t="s">
        <v>45096</v>
      </c>
      <c r="P9657">
        <v>0</v>
      </c>
      <c r="Q9657">
        <v>0</v>
      </c>
      <c r="R9657" t="s">
        <v>45105</v>
      </c>
      <c r="S9657" t="s">
        <v>45353</v>
      </c>
      <c r="T9657" t="s">
        <v>46945</v>
      </c>
      <c r="U9657" t="s">
        <v>55465</v>
      </c>
      <c r="V9657" t="s">
        <v>60851</v>
      </c>
      <c r="W9657" t="s">
        <v>44369</v>
      </c>
      <c r="X9657" t="s">
        <v>45108</v>
      </c>
    </row>
    <row r="9658" spans="1:24">
      <c r="A9658">
        <f>HYPERLINK("https://www.philgeps.gov.ph/GEPSNONPILOT/Tender/SplashBidNoticeAbstractUI.aspx?menuIndex=3&amp;refID=7032109&amp;Result=3","7032109")</f>
        <v>0</v>
      </c>
      <c r="B9658" t="s">
        <v>2293</v>
      </c>
      <c r="C9658" t="s">
        <v>12400</v>
      </c>
      <c r="D9658" t="s">
        <v>18057</v>
      </c>
      <c r="E9658" t="s">
        <v>26542</v>
      </c>
      <c r="F9658" t="s">
        <v>31574</v>
      </c>
      <c r="G9658" t="s">
        <v>31582</v>
      </c>
      <c r="H9658" t="s">
        <v>31593</v>
      </c>
      <c r="I9658" t="s">
        <v>31593</v>
      </c>
      <c r="J9658" t="s">
        <v>37797</v>
      </c>
      <c r="K9658" t="s">
        <v>41259</v>
      </c>
      <c r="M9658" t="s">
        <v>44002</v>
      </c>
      <c r="N9658" t="s">
        <v>45095</v>
      </c>
      <c r="O9658" t="s">
        <v>45096</v>
      </c>
      <c r="P9658">
        <v>0</v>
      </c>
      <c r="Q9658">
        <v>3</v>
      </c>
      <c r="R9658" t="s">
        <v>45105</v>
      </c>
      <c r="S9658" t="s">
        <v>45353</v>
      </c>
      <c r="T9658" t="s">
        <v>46916</v>
      </c>
      <c r="U9658" t="s">
        <v>55470</v>
      </c>
      <c r="V9658" t="s">
        <v>60856</v>
      </c>
      <c r="W9658" t="s">
        <v>44002</v>
      </c>
      <c r="X9658" t="s">
        <v>45107</v>
      </c>
    </row>
    <row r="9659" spans="1:24">
      <c r="A9659">
        <f>HYPERLINK("https://www.philgeps.gov.ph/GEPSNONPILOT/Tender/SplashBidNoticeAbstractUI.aspx?menuIndex=3&amp;refID=7032071&amp;Result=3","7032071")</f>
        <v>0</v>
      </c>
      <c r="B9659" t="s">
        <v>535</v>
      </c>
      <c r="C9659" t="s">
        <v>12401</v>
      </c>
      <c r="E9659" t="s">
        <v>23335</v>
      </c>
      <c r="F9659" t="s">
        <v>31574</v>
      </c>
      <c r="G9659" t="s">
        <v>31582</v>
      </c>
      <c r="H9659" t="s">
        <v>31590</v>
      </c>
      <c r="I9659" t="s">
        <v>8258</v>
      </c>
      <c r="J9659" t="s">
        <v>37800</v>
      </c>
      <c r="K9659" t="s">
        <v>41184</v>
      </c>
      <c r="M9659" t="s">
        <v>42032</v>
      </c>
      <c r="N9659" t="s">
        <v>45095</v>
      </c>
      <c r="O9659" t="s">
        <v>45096</v>
      </c>
      <c r="Q9659">
        <v>7</v>
      </c>
      <c r="R9659" t="s">
        <v>45105</v>
      </c>
      <c r="S9659" t="s">
        <v>45370</v>
      </c>
      <c r="T9659" t="s">
        <v>47010</v>
      </c>
      <c r="U9659" t="s">
        <v>55458</v>
      </c>
      <c r="W9659" t="s">
        <v>42032</v>
      </c>
      <c r="X9659" t="s">
        <v>45107</v>
      </c>
    </row>
    <row r="9660" spans="1:24">
      <c r="A9660">
        <f>HYPERLINK("https://www.philgeps.gov.ph/GEPSNONPILOT/Tender/SplashBidNoticeAbstractUI.aspx?menuIndex=3&amp;refID=7032106&amp;Result=3","7032106")</f>
        <v>0</v>
      </c>
      <c r="B9660" t="s">
        <v>2293</v>
      </c>
      <c r="C9660" t="s">
        <v>12402</v>
      </c>
      <c r="D9660" t="s">
        <v>18057</v>
      </c>
      <c r="E9660" t="s">
        <v>26543</v>
      </c>
      <c r="F9660" t="s">
        <v>31574</v>
      </c>
      <c r="G9660" t="s">
        <v>31582</v>
      </c>
      <c r="H9660" t="s">
        <v>31593</v>
      </c>
      <c r="I9660" t="s">
        <v>31593</v>
      </c>
      <c r="J9660" t="s">
        <v>37797</v>
      </c>
      <c r="K9660" t="s">
        <v>41259</v>
      </c>
      <c r="M9660" t="s">
        <v>44002</v>
      </c>
      <c r="N9660" t="s">
        <v>45095</v>
      </c>
      <c r="O9660" t="s">
        <v>45096</v>
      </c>
      <c r="P9660">
        <v>0</v>
      </c>
      <c r="Q9660">
        <v>2</v>
      </c>
      <c r="R9660" t="s">
        <v>45105</v>
      </c>
      <c r="S9660" t="s">
        <v>45353</v>
      </c>
      <c r="T9660" t="s">
        <v>46916</v>
      </c>
      <c r="U9660" t="s">
        <v>55471</v>
      </c>
      <c r="V9660" t="s">
        <v>60856</v>
      </c>
      <c r="W9660" t="s">
        <v>44002</v>
      </c>
      <c r="X9660" t="s">
        <v>45107</v>
      </c>
    </row>
    <row r="9661" spans="1:24">
      <c r="A9661">
        <f>HYPERLINK("https://www.philgeps.gov.ph/GEPSNONPILOT/Tender/SplashBidNoticeAbstractUI.aspx?menuIndex=3&amp;refID=7031893&amp;Result=3","7031893")</f>
        <v>0</v>
      </c>
      <c r="B9661" t="s">
        <v>2619</v>
      </c>
      <c r="C9661" t="s">
        <v>12403</v>
      </c>
      <c r="D9661" t="s">
        <v>18022</v>
      </c>
      <c r="E9661" t="s">
        <v>26544</v>
      </c>
      <c r="F9661" t="s">
        <v>31575</v>
      </c>
      <c r="G9661" t="s">
        <v>31582</v>
      </c>
      <c r="H9661" t="s">
        <v>31590</v>
      </c>
      <c r="I9661" t="s">
        <v>3487</v>
      </c>
      <c r="J9661" t="s">
        <v>37801</v>
      </c>
      <c r="K9661" t="s">
        <v>41193</v>
      </c>
      <c r="M9661" t="s">
        <v>44369</v>
      </c>
      <c r="N9661" t="s">
        <v>45095</v>
      </c>
      <c r="O9661" t="s">
        <v>45096</v>
      </c>
      <c r="P9661">
        <v>0</v>
      </c>
      <c r="Q9661">
        <v>0</v>
      </c>
      <c r="R9661" t="s">
        <v>45105</v>
      </c>
      <c r="S9661" t="s">
        <v>45353</v>
      </c>
      <c r="T9661" t="s">
        <v>46945</v>
      </c>
      <c r="U9661" t="s">
        <v>55465</v>
      </c>
      <c r="V9661" t="s">
        <v>60851</v>
      </c>
      <c r="W9661" t="s">
        <v>44369</v>
      </c>
      <c r="X9661" t="s">
        <v>45108</v>
      </c>
    </row>
    <row r="9662" spans="1:24">
      <c r="A9662">
        <f>HYPERLINK("https://www.philgeps.gov.ph/GEPSNONPILOT/Tender/SplashBidNoticeAbstractUI.aspx?menuIndex=3&amp;refID=7032177&amp;Result=3","7032177")</f>
        <v>0</v>
      </c>
      <c r="B9662" t="s">
        <v>2624</v>
      </c>
      <c r="C9662" t="s">
        <v>12404</v>
      </c>
      <c r="E9662" t="s">
        <v>26545</v>
      </c>
      <c r="F9662" t="s">
        <v>31574</v>
      </c>
      <c r="G9662" t="s">
        <v>31582</v>
      </c>
      <c r="H9662" t="s">
        <v>31591</v>
      </c>
      <c r="I9662" t="s">
        <v>31640</v>
      </c>
      <c r="J9662" t="s">
        <v>37802</v>
      </c>
      <c r="K9662" t="s">
        <v>41196</v>
      </c>
      <c r="M9662" t="s">
        <v>44375</v>
      </c>
      <c r="N9662" t="s">
        <v>45095</v>
      </c>
      <c r="O9662" t="s">
        <v>45096</v>
      </c>
      <c r="P9662">
        <v>0</v>
      </c>
      <c r="Q9662">
        <v>0</v>
      </c>
      <c r="R9662" t="s">
        <v>45105</v>
      </c>
      <c r="S9662" t="s">
        <v>45353</v>
      </c>
      <c r="T9662" t="s">
        <v>47093</v>
      </c>
      <c r="U9662" t="s">
        <v>55472</v>
      </c>
      <c r="W9662" t="s">
        <v>44375</v>
      </c>
      <c r="X9662" t="s">
        <v>45107</v>
      </c>
    </row>
    <row r="9663" spans="1:24">
      <c r="A9663">
        <f>HYPERLINK("https://www.philgeps.gov.ph/GEPSNONPILOT/Tender/SplashBidNoticeAbstractUI.aspx?menuIndex=3&amp;refID=7032347&amp;Result=3","7032347")</f>
        <v>0</v>
      </c>
      <c r="B9663" t="s">
        <v>2625</v>
      </c>
      <c r="C9663" t="s">
        <v>12405</v>
      </c>
      <c r="D9663" t="s">
        <v>18090</v>
      </c>
      <c r="E9663" t="s">
        <v>26546</v>
      </c>
      <c r="F9663" t="s">
        <v>31574</v>
      </c>
      <c r="G9663" t="s">
        <v>31582</v>
      </c>
      <c r="H9663" t="s">
        <v>31590</v>
      </c>
      <c r="I9663" t="s">
        <v>31615</v>
      </c>
      <c r="J9663" t="s">
        <v>31789</v>
      </c>
      <c r="K9663" t="s">
        <v>41192</v>
      </c>
      <c r="M9663" t="s">
        <v>44376</v>
      </c>
      <c r="N9663" t="s">
        <v>45095</v>
      </c>
      <c r="O9663" t="s">
        <v>45096</v>
      </c>
      <c r="P9663">
        <v>0</v>
      </c>
      <c r="Q9663">
        <v>2</v>
      </c>
      <c r="R9663" t="s">
        <v>45105</v>
      </c>
      <c r="S9663" t="s">
        <v>45353</v>
      </c>
      <c r="T9663" t="s">
        <v>47338</v>
      </c>
      <c r="U9663" t="s">
        <v>55473</v>
      </c>
      <c r="W9663" t="s">
        <v>44376</v>
      </c>
      <c r="X9663" t="s">
        <v>45106</v>
      </c>
    </row>
    <row r="9664" spans="1:24">
      <c r="A9664">
        <f>HYPERLINK("https://www.philgeps.gov.ph/GEPSNONPILOT/Tender/SplashBidNoticeAbstractUI.aspx?menuIndex=3&amp;refID=7032266&amp;Result=3","7032266")</f>
        <v>0</v>
      </c>
      <c r="B9664" t="s">
        <v>2211</v>
      </c>
      <c r="C9664" t="s">
        <v>12406</v>
      </c>
      <c r="D9664" t="s">
        <v>18034</v>
      </c>
      <c r="E9664" t="s">
        <v>26547</v>
      </c>
      <c r="F9664" t="s">
        <v>31574</v>
      </c>
      <c r="G9664" t="s">
        <v>31582</v>
      </c>
      <c r="H9664" t="s">
        <v>31590</v>
      </c>
      <c r="I9664" t="s">
        <v>8258</v>
      </c>
      <c r="J9664" t="s">
        <v>37803</v>
      </c>
      <c r="K9664" t="s">
        <v>41193</v>
      </c>
      <c r="M9664" t="s">
        <v>43927</v>
      </c>
      <c r="N9664" t="s">
        <v>45095</v>
      </c>
      <c r="O9664" t="s">
        <v>45096</v>
      </c>
      <c r="P9664">
        <v>0</v>
      </c>
      <c r="Q9664">
        <v>4</v>
      </c>
      <c r="R9664" t="s">
        <v>45105</v>
      </c>
      <c r="S9664" t="s">
        <v>45353</v>
      </c>
      <c r="T9664" t="s">
        <v>47021</v>
      </c>
      <c r="U9664" t="s">
        <v>55474</v>
      </c>
      <c r="W9664" t="s">
        <v>43927</v>
      </c>
      <c r="X9664" t="s">
        <v>45107</v>
      </c>
    </row>
    <row r="9665" spans="1:24">
      <c r="A9665">
        <f>HYPERLINK("https://www.philgeps.gov.ph/GEPSNONPILOT/Tender/SplashBidNoticeAbstractUI.aspx?menuIndex=3&amp;refID=7032186&amp;Result=3","7032186")</f>
        <v>0</v>
      </c>
      <c r="B9665" t="s">
        <v>910</v>
      </c>
      <c r="C9665" t="s">
        <v>12407</v>
      </c>
      <c r="D9665" t="s">
        <v>18066</v>
      </c>
      <c r="E9665" t="s">
        <v>26548</v>
      </c>
      <c r="F9665" t="s">
        <v>31574</v>
      </c>
      <c r="G9665" t="s">
        <v>31582</v>
      </c>
      <c r="H9665" t="s">
        <v>31590</v>
      </c>
      <c r="I9665" t="s">
        <v>31623</v>
      </c>
      <c r="J9665" t="s">
        <v>37804</v>
      </c>
      <c r="K9665" t="s">
        <v>41184</v>
      </c>
      <c r="M9665" t="s">
        <v>42434</v>
      </c>
      <c r="N9665" t="s">
        <v>45095</v>
      </c>
      <c r="O9665" t="s">
        <v>45096</v>
      </c>
      <c r="P9665">
        <v>0</v>
      </c>
      <c r="Q9665">
        <v>4</v>
      </c>
      <c r="R9665" t="s">
        <v>45105</v>
      </c>
      <c r="S9665" t="s">
        <v>45353</v>
      </c>
      <c r="T9665" t="s">
        <v>47000</v>
      </c>
      <c r="U9665" t="s">
        <v>55475</v>
      </c>
      <c r="W9665" t="s">
        <v>42434</v>
      </c>
      <c r="X9665" t="s">
        <v>45107</v>
      </c>
    </row>
    <row r="9666" spans="1:24">
      <c r="A9666">
        <f>HYPERLINK("https://www.philgeps.gov.ph/GEPSNONPILOT/Tender/SplashBidNoticeAbstractUI.aspx?menuIndex=3&amp;refID=7032264&amp;Result=3","7032264")</f>
        <v>0</v>
      </c>
      <c r="B9666" t="s">
        <v>535</v>
      </c>
      <c r="C9666" t="s">
        <v>12408</v>
      </c>
      <c r="E9666" t="s">
        <v>23458</v>
      </c>
      <c r="F9666" t="s">
        <v>31574</v>
      </c>
      <c r="G9666" t="s">
        <v>31582</v>
      </c>
      <c r="H9666" t="s">
        <v>31590</v>
      </c>
      <c r="I9666" t="s">
        <v>31619</v>
      </c>
      <c r="J9666" t="s">
        <v>37805</v>
      </c>
      <c r="K9666" t="s">
        <v>41184</v>
      </c>
      <c r="M9666" t="s">
        <v>42032</v>
      </c>
      <c r="N9666" t="s">
        <v>45095</v>
      </c>
      <c r="O9666" t="s">
        <v>45096</v>
      </c>
      <c r="Q9666">
        <v>22</v>
      </c>
      <c r="R9666" t="s">
        <v>45105</v>
      </c>
      <c r="S9666" t="s">
        <v>45371</v>
      </c>
      <c r="T9666" t="s">
        <v>47010</v>
      </c>
      <c r="U9666" t="s">
        <v>55476</v>
      </c>
      <c r="W9666" t="s">
        <v>42032</v>
      </c>
      <c r="X9666" t="s">
        <v>45107</v>
      </c>
    </row>
    <row r="9667" spans="1:24">
      <c r="A9667">
        <f>HYPERLINK("https://www.philgeps.gov.ph/GEPSNONPILOT/Tender/SplashBidNoticeAbstractUI.aspx?menuIndex=3&amp;refID=7032269&amp;Result=3","7032269")</f>
        <v>0</v>
      </c>
      <c r="B9667" t="s">
        <v>535</v>
      </c>
      <c r="C9667" t="s">
        <v>12409</v>
      </c>
      <c r="E9667" t="s">
        <v>26549</v>
      </c>
      <c r="F9667" t="s">
        <v>31574</v>
      </c>
      <c r="G9667" t="s">
        <v>31582</v>
      </c>
      <c r="H9667" t="s">
        <v>31590</v>
      </c>
      <c r="I9667" t="s">
        <v>31610</v>
      </c>
      <c r="J9667" t="s">
        <v>32530</v>
      </c>
      <c r="K9667" t="s">
        <v>41184</v>
      </c>
      <c r="M9667" t="s">
        <v>42032</v>
      </c>
      <c r="N9667" t="s">
        <v>45095</v>
      </c>
      <c r="O9667" t="s">
        <v>45096</v>
      </c>
      <c r="Q9667">
        <v>3</v>
      </c>
      <c r="R9667" t="s">
        <v>45105</v>
      </c>
      <c r="S9667" t="s">
        <v>45372</v>
      </c>
      <c r="T9667" t="s">
        <v>47010</v>
      </c>
      <c r="U9667" t="s">
        <v>55477</v>
      </c>
      <c r="W9667" t="s">
        <v>42032</v>
      </c>
      <c r="X9667" t="s">
        <v>45107</v>
      </c>
    </row>
    <row r="9668" spans="1:24">
      <c r="A9668">
        <f>HYPERLINK("https://www.philgeps.gov.ph/GEPSNONPILOT/Tender/SplashBidNoticeAbstractUI.aspx?menuIndex=3&amp;refID=7032220&amp;Result=3","7032220")</f>
        <v>0</v>
      </c>
      <c r="B9668" t="s">
        <v>2626</v>
      </c>
      <c r="C9668" t="s">
        <v>12410</v>
      </c>
      <c r="D9668" t="s">
        <v>18037</v>
      </c>
      <c r="E9668" t="s">
        <v>18227</v>
      </c>
      <c r="F9668" t="s">
        <v>31574</v>
      </c>
      <c r="G9668" t="s">
        <v>31582</v>
      </c>
      <c r="H9668" t="s">
        <v>31590</v>
      </c>
      <c r="I9668" t="s">
        <v>4046</v>
      </c>
      <c r="J9668" t="s">
        <v>37806</v>
      </c>
      <c r="K9668" t="s">
        <v>41193</v>
      </c>
      <c r="M9668" t="s">
        <v>44377</v>
      </c>
      <c r="N9668" t="s">
        <v>45095</v>
      </c>
      <c r="O9668" t="s">
        <v>45096</v>
      </c>
      <c r="P9668">
        <v>0</v>
      </c>
      <c r="Q9668">
        <v>1</v>
      </c>
      <c r="R9668" t="s">
        <v>45105</v>
      </c>
      <c r="S9668" t="s">
        <v>45353</v>
      </c>
      <c r="T9668" t="s">
        <v>47183</v>
      </c>
      <c r="U9668" t="s">
        <v>55478</v>
      </c>
      <c r="W9668" t="s">
        <v>44377</v>
      </c>
      <c r="X9668" t="s">
        <v>45107</v>
      </c>
    </row>
    <row r="9669" spans="1:24">
      <c r="A9669">
        <f>HYPERLINK("https://www.philgeps.gov.ph/GEPSNONPILOT/Tender/SplashBidNoticeAbstractUI.aspx?menuIndex=3&amp;refID=7032288&amp;Result=3","7032288")</f>
        <v>0</v>
      </c>
      <c r="B9669" t="s">
        <v>1881</v>
      </c>
      <c r="C9669" t="s">
        <v>12411</v>
      </c>
      <c r="D9669" t="s">
        <v>18022</v>
      </c>
      <c r="E9669" t="s">
        <v>26550</v>
      </c>
      <c r="F9669" t="s">
        <v>31574</v>
      </c>
      <c r="G9669" t="s">
        <v>31582</v>
      </c>
      <c r="H9669" t="s">
        <v>31590</v>
      </c>
      <c r="I9669" t="s">
        <v>31620</v>
      </c>
      <c r="J9669" t="s">
        <v>37807</v>
      </c>
      <c r="K9669" t="s">
        <v>41186</v>
      </c>
      <c r="M9669" t="s">
        <v>44049</v>
      </c>
      <c r="N9669" t="s">
        <v>45095</v>
      </c>
      <c r="O9669" t="s">
        <v>45096</v>
      </c>
      <c r="Q9669">
        <v>70</v>
      </c>
      <c r="R9669" t="s">
        <v>45105</v>
      </c>
      <c r="S9669" t="s">
        <v>45373</v>
      </c>
      <c r="T9669" t="s">
        <v>47134</v>
      </c>
      <c r="U9669" t="s">
        <v>55479</v>
      </c>
      <c r="W9669" t="s">
        <v>44049</v>
      </c>
      <c r="X9669" t="s">
        <v>45107</v>
      </c>
    </row>
    <row r="9670" spans="1:24">
      <c r="A9670">
        <f>HYPERLINK("https://www.philgeps.gov.ph/GEPSNONPILOT/Tender/SplashBidNoticeAbstractUI.aspx?menuIndex=3&amp;refID=7032356&amp;Result=3","7032356")</f>
        <v>0</v>
      </c>
      <c r="B9670" t="s">
        <v>24</v>
      </c>
      <c r="C9670" t="s">
        <v>12412</v>
      </c>
      <c r="D9670" t="s">
        <v>18056</v>
      </c>
      <c r="E9670" t="s">
        <v>26551</v>
      </c>
      <c r="F9670" t="s">
        <v>31574</v>
      </c>
      <c r="G9670" t="s">
        <v>31582</v>
      </c>
      <c r="H9670" t="s">
        <v>31592</v>
      </c>
      <c r="I9670" t="s">
        <v>31596</v>
      </c>
      <c r="J9670" t="s">
        <v>37808</v>
      </c>
      <c r="K9670" t="s">
        <v>41210</v>
      </c>
      <c r="M9670" t="s">
        <v>42023</v>
      </c>
      <c r="N9670" t="s">
        <v>45095</v>
      </c>
      <c r="O9670" t="s">
        <v>45096</v>
      </c>
      <c r="P9670">
        <v>0</v>
      </c>
      <c r="Q9670">
        <v>2</v>
      </c>
      <c r="R9670" t="s">
        <v>45105</v>
      </c>
      <c r="S9670" t="s">
        <v>45353</v>
      </c>
      <c r="T9670" t="s">
        <v>47093</v>
      </c>
      <c r="U9670" t="s">
        <v>55480</v>
      </c>
      <c r="V9670" t="s">
        <v>60857</v>
      </c>
      <c r="W9670" t="s">
        <v>42023</v>
      </c>
      <c r="X9670" t="s">
        <v>45106</v>
      </c>
    </row>
    <row r="9671" spans="1:24">
      <c r="A9671">
        <f>HYPERLINK("https://www.philgeps.gov.ph/GEPSNONPILOT/Tender/SplashBidNoticeAbstractUI.aspx?menuIndex=3&amp;refID=7032215&amp;Result=3","7032215")</f>
        <v>0</v>
      </c>
      <c r="B9671" t="s">
        <v>2627</v>
      </c>
      <c r="C9671" t="s">
        <v>12413</v>
      </c>
      <c r="D9671" t="s">
        <v>18052</v>
      </c>
      <c r="E9671" t="s">
        <v>26552</v>
      </c>
      <c r="F9671" t="s">
        <v>31574</v>
      </c>
      <c r="G9671" t="s">
        <v>31582</v>
      </c>
      <c r="H9671" t="s">
        <v>31590</v>
      </c>
      <c r="I9671" t="s">
        <v>31596</v>
      </c>
      <c r="J9671" t="s">
        <v>37809</v>
      </c>
      <c r="K9671" t="s">
        <v>41396</v>
      </c>
      <c r="M9671" t="s">
        <v>44378</v>
      </c>
      <c r="N9671" t="s">
        <v>45095</v>
      </c>
      <c r="O9671" t="s">
        <v>45096</v>
      </c>
      <c r="Q9671">
        <v>3</v>
      </c>
      <c r="R9671" t="s">
        <v>45105</v>
      </c>
      <c r="S9671" t="s">
        <v>45374</v>
      </c>
      <c r="T9671" t="s">
        <v>47336</v>
      </c>
      <c r="U9671" t="s">
        <v>55481</v>
      </c>
      <c r="W9671" t="s">
        <v>44378</v>
      </c>
      <c r="X9671" t="s">
        <v>45107</v>
      </c>
    </row>
    <row r="9672" spans="1:24">
      <c r="A9672">
        <f>HYPERLINK("https://www.philgeps.gov.ph/GEPSNONPILOT/Tender/SplashBidNoticeAbstractUI.aspx?menuIndex=3&amp;refID=7032354&amp;Result=3","7032354")</f>
        <v>0</v>
      </c>
      <c r="B9672" t="s">
        <v>2628</v>
      </c>
      <c r="C9672" t="s">
        <v>12414</v>
      </c>
      <c r="D9672" t="s">
        <v>18046</v>
      </c>
      <c r="E9672" t="s">
        <v>23837</v>
      </c>
      <c r="F9672" t="s">
        <v>31574</v>
      </c>
      <c r="G9672" t="s">
        <v>31582</v>
      </c>
      <c r="H9672" t="s">
        <v>31590</v>
      </c>
      <c r="I9672" t="s">
        <v>4046</v>
      </c>
      <c r="J9672" t="s">
        <v>32235</v>
      </c>
      <c r="K9672" t="s">
        <v>41193</v>
      </c>
      <c r="M9672" t="s">
        <v>44379</v>
      </c>
      <c r="N9672" t="s">
        <v>45095</v>
      </c>
      <c r="O9672" t="s">
        <v>45096</v>
      </c>
      <c r="P9672">
        <v>0</v>
      </c>
      <c r="Q9672">
        <v>2</v>
      </c>
      <c r="R9672" t="s">
        <v>45105</v>
      </c>
      <c r="S9672" t="s">
        <v>45353</v>
      </c>
      <c r="T9672" t="s">
        <v>47159</v>
      </c>
      <c r="U9672" t="s">
        <v>55482</v>
      </c>
      <c r="W9672" t="s">
        <v>44379</v>
      </c>
      <c r="X9672" t="s">
        <v>45106</v>
      </c>
    </row>
    <row r="9673" spans="1:24">
      <c r="A9673">
        <f>HYPERLINK("https://www.philgeps.gov.ph/GEPSNONPILOT/Tender/SplashBidNoticeAbstractUI.aspx?menuIndex=3&amp;refID=7032270&amp;Result=3","7032270")</f>
        <v>0</v>
      </c>
      <c r="B9673" t="s">
        <v>2211</v>
      </c>
      <c r="C9673" t="s">
        <v>12415</v>
      </c>
      <c r="D9673" t="s">
        <v>18034</v>
      </c>
      <c r="E9673" t="s">
        <v>26553</v>
      </c>
      <c r="F9673" t="s">
        <v>31574</v>
      </c>
      <c r="G9673" t="s">
        <v>31582</v>
      </c>
      <c r="H9673" t="s">
        <v>31590</v>
      </c>
      <c r="I9673" t="s">
        <v>7185</v>
      </c>
      <c r="J9673" t="s">
        <v>37810</v>
      </c>
      <c r="K9673" t="s">
        <v>41193</v>
      </c>
      <c r="M9673" t="s">
        <v>43927</v>
      </c>
      <c r="N9673" t="s">
        <v>45095</v>
      </c>
      <c r="O9673" t="s">
        <v>45096</v>
      </c>
      <c r="P9673">
        <v>0</v>
      </c>
      <c r="Q9673">
        <v>4</v>
      </c>
      <c r="R9673" t="s">
        <v>45105</v>
      </c>
      <c r="S9673" t="s">
        <v>45353</v>
      </c>
      <c r="T9673" t="s">
        <v>47230</v>
      </c>
      <c r="U9673" t="s">
        <v>55483</v>
      </c>
      <c r="W9673" t="s">
        <v>43927</v>
      </c>
      <c r="X9673" t="s">
        <v>45107</v>
      </c>
    </row>
    <row r="9674" spans="1:24">
      <c r="A9674">
        <f>HYPERLINK("https://www.philgeps.gov.ph/GEPSNONPILOT/Tender/SplashBidNoticeAbstractUI.aspx?menuIndex=3&amp;refID=7032351&amp;Result=3","7032351")</f>
        <v>0</v>
      </c>
      <c r="B9674" t="s">
        <v>2594</v>
      </c>
      <c r="C9674" t="s">
        <v>12416</v>
      </c>
      <c r="D9674" t="s">
        <v>18047</v>
      </c>
      <c r="E9674" t="s">
        <v>26554</v>
      </c>
      <c r="F9674" t="s">
        <v>31574</v>
      </c>
      <c r="G9674" t="s">
        <v>31582</v>
      </c>
      <c r="H9674" t="s">
        <v>31590</v>
      </c>
      <c r="I9674" t="s">
        <v>4046</v>
      </c>
      <c r="J9674" t="s">
        <v>37811</v>
      </c>
      <c r="K9674" t="s">
        <v>41190</v>
      </c>
      <c r="M9674" t="s">
        <v>41586</v>
      </c>
      <c r="N9674" t="s">
        <v>45095</v>
      </c>
      <c r="O9674" t="s">
        <v>45096</v>
      </c>
      <c r="P9674">
        <v>0</v>
      </c>
      <c r="Q9674">
        <v>0</v>
      </c>
      <c r="R9674" t="s">
        <v>45105</v>
      </c>
      <c r="S9674" t="s">
        <v>45353</v>
      </c>
      <c r="T9674" t="s">
        <v>47074</v>
      </c>
      <c r="U9674" t="s">
        <v>55484</v>
      </c>
      <c r="W9674" t="s">
        <v>41586</v>
      </c>
      <c r="X9674" t="s">
        <v>45106</v>
      </c>
    </row>
    <row r="9675" spans="1:24">
      <c r="A9675">
        <f>HYPERLINK("https://www.philgeps.gov.ph/GEPSNONPILOT/Tender/SplashBidNoticeAbstractUI.aspx?menuIndex=3&amp;refID=7032261&amp;Result=3","7032261")</f>
        <v>0</v>
      </c>
      <c r="B9675" t="s">
        <v>2211</v>
      </c>
      <c r="C9675" t="s">
        <v>12417</v>
      </c>
      <c r="D9675" t="s">
        <v>18034</v>
      </c>
      <c r="E9675" t="s">
        <v>26555</v>
      </c>
      <c r="F9675" t="s">
        <v>31574</v>
      </c>
      <c r="G9675" t="s">
        <v>31582</v>
      </c>
      <c r="H9675" t="s">
        <v>31590</v>
      </c>
      <c r="I9675" t="s">
        <v>8258</v>
      </c>
      <c r="J9675" t="s">
        <v>37812</v>
      </c>
      <c r="K9675" t="s">
        <v>41193</v>
      </c>
      <c r="M9675" t="s">
        <v>43927</v>
      </c>
      <c r="N9675" t="s">
        <v>45095</v>
      </c>
      <c r="O9675" t="s">
        <v>45096</v>
      </c>
      <c r="P9675">
        <v>0</v>
      </c>
      <c r="Q9675">
        <v>0</v>
      </c>
      <c r="R9675" t="s">
        <v>45105</v>
      </c>
      <c r="S9675" t="s">
        <v>45353</v>
      </c>
      <c r="T9675" t="s">
        <v>47021</v>
      </c>
      <c r="U9675" t="s">
        <v>55485</v>
      </c>
      <c r="W9675" t="s">
        <v>43927</v>
      </c>
      <c r="X9675" t="s">
        <v>45107</v>
      </c>
    </row>
    <row r="9676" spans="1:24">
      <c r="A9676">
        <f>HYPERLINK("https://www.philgeps.gov.ph/GEPSNONPILOT/Tender/SplashBidNoticeAbstractUI.aspx?menuIndex=3&amp;refID=7032360&amp;Result=3","7032360")</f>
        <v>0</v>
      </c>
      <c r="B9676" t="s">
        <v>2629</v>
      </c>
      <c r="C9676" t="s">
        <v>11581</v>
      </c>
      <c r="E9676" t="s">
        <v>26556</v>
      </c>
      <c r="F9676" t="s">
        <v>31574</v>
      </c>
      <c r="G9676" t="s">
        <v>31582</v>
      </c>
      <c r="H9676" t="s">
        <v>31590</v>
      </c>
      <c r="I9676" t="s">
        <v>8822</v>
      </c>
      <c r="J9676" t="s">
        <v>37813</v>
      </c>
      <c r="K9676" t="s">
        <v>41184</v>
      </c>
      <c r="M9676" t="s">
        <v>44380</v>
      </c>
      <c r="N9676" t="s">
        <v>45095</v>
      </c>
      <c r="O9676" t="s">
        <v>45096</v>
      </c>
      <c r="P9676">
        <v>0</v>
      </c>
      <c r="Q9676">
        <v>0</v>
      </c>
      <c r="R9676" t="s">
        <v>45105</v>
      </c>
      <c r="S9676" t="s">
        <v>45353</v>
      </c>
      <c r="T9676" t="s">
        <v>46918</v>
      </c>
      <c r="U9676" t="s">
        <v>50687</v>
      </c>
      <c r="W9676" t="s">
        <v>44380</v>
      </c>
      <c r="X9676" t="s">
        <v>45106</v>
      </c>
    </row>
    <row r="9677" spans="1:24">
      <c r="A9677">
        <f>HYPERLINK("https://www.philgeps.gov.ph/GEPSNONPILOT/Tender/SplashBidNoticeAbstractUI.aspx?menuIndex=3&amp;refID=7032348&amp;Result=3","7032348")</f>
        <v>0</v>
      </c>
      <c r="B9677" t="s">
        <v>2625</v>
      </c>
      <c r="C9677" t="s">
        <v>12418</v>
      </c>
      <c r="D9677" t="s">
        <v>18090</v>
      </c>
      <c r="E9677" t="s">
        <v>26557</v>
      </c>
      <c r="F9677" t="s">
        <v>31574</v>
      </c>
      <c r="G9677" t="s">
        <v>31582</v>
      </c>
      <c r="H9677" t="s">
        <v>31590</v>
      </c>
      <c r="I9677" t="s">
        <v>31619</v>
      </c>
      <c r="J9677" t="s">
        <v>32058</v>
      </c>
      <c r="K9677" t="s">
        <v>41186</v>
      </c>
      <c r="M9677" t="s">
        <v>44376</v>
      </c>
      <c r="N9677" t="s">
        <v>45095</v>
      </c>
      <c r="O9677" t="s">
        <v>45096</v>
      </c>
      <c r="P9677">
        <v>0</v>
      </c>
      <c r="Q9677">
        <v>5</v>
      </c>
      <c r="R9677" t="s">
        <v>45105</v>
      </c>
      <c r="S9677" t="s">
        <v>45353</v>
      </c>
      <c r="T9677" t="s">
        <v>47338</v>
      </c>
      <c r="U9677" t="s">
        <v>55486</v>
      </c>
      <c r="W9677" t="s">
        <v>44376</v>
      </c>
      <c r="X9677" t="s">
        <v>45106</v>
      </c>
    </row>
    <row r="9678" spans="1:24">
      <c r="A9678">
        <f>HYPERLINK("https://www.philgeps.gov.ph/GEPSNONPILOT/Tender/SplashBidNoticeAbstractUI.aspx?menuIndex=3&amp;refID=7032352&amp;Result=3","7032352")</f>
        <v>0</v>
      </c>
      <c r="B9678" t="s">
        <v>2630</v>
      </c>
      <c r="C9678" t="s">
        <v>12419</v>
      </c>
      <c r="D9678" t="s">
        <v>18044</v>
      </c>
      <c r="E9678" t="s">
        <v>18227</v>
      </c>
      <c r="F9678" t="s">
        <v>31574</v>
      </c>
      <c r="G9678" t="s">
        <v>31582</v>
      </c>
      <c r="H9678" t="s">
        <v>31590</v>
      </c>
      <c r="I9678" t="s">
        <v>3487</v>
      </c>
      <c r="J9678" t="s">
        <v>37814</v>
      </c>
      <c r="K9678" t="s">
        <v>41193</v>
      </c>
      <c r="M9678" t="s">
        <v>44381</v>
      </c>
      <c r="N9678" t="s">
        <v>45095</v>
      </c>
      <c r="O9678" t="s">
        <v>45096</v>
      </c>
      <c r="P9678">
        <v>0</v>
      </c>
      <c r="Q9678">
        <v>0</v>
      </c>
      <c r="R9678" t="s">
        <v>45105</v>
      </c>
      <c r="S9678" t="s">
        <v>45353</v>
      </c>
      <c r="T9678" t="s">
        <v>47366</v>
      </c>
      <c r="U9678" t="s">
        <v>55487</v>
      </c>
      <c r="V9678" t="s">
        <v>55487</v>
      </c>
      <c r="W9678" t="s">
        <v>44381</v>
      </c>
      <c r="X9678" t="s">
        <v>45106</v>
      </c>
    </row>
    <row r="9679" spans="1:24">
      <c r="A9679">
        <f>HYPERLINK("https://www.philgeps.gov.ph/GEPSNONPILOT/Tender/SplashBidNoticeAbstractUI.aspx?menuIndex=3&amp;refID=7032341&amp;Result=3","7032341")</f>
        <v>0</v>
      </c>
      <c r="B9679" t="s">
        <v>2631</v>
      </c>
      <c r="C9679" t="s">
        <v>12420</v>
      </c>
      <c r="D9679" t="s">
        <v>18022</v>
      </c>
      <c r="E9679" t="s">
        <v>26558</v>
      </c>
      <c r="F9679" t="s">
        <v>31574</v>
      </c>
      <c r="G9679" t="s">
        <v>31582</v>
      </c>
      <c r="H9679" t="s">
        <v>31590</v>
      </c>
      <c r="I9679" t="s">
        <v>3487</v>
      </c>
      <c r="J9679" t="s">
        <v>37815</v>
      </c>
      <c r="K9679" t="s">
        <v>41213</v>
      </c>
      <c r="M9679" t="s">
        <v>44382</v>
      </c>
      <c r="N9679" t="s">
        <v>45095</v>
      </c>
      <c r="O9679" t="s">
        <v>45096</v>
      </c>
      <c r="P9679">
        <v>0</v>
      </c>
      <c r="Q9679">
        <v>4</v>
      </c>
      <c r="R9679" t="s">
        <v>45105</v>
      </c>
      <c r="S9679" t="s">
        <v>45353</v>
      </c>
      <c r="T9679" t="s">
        <v>47159</v>
      </c>
      <c r="U9679" t="s">
        <v>55488</v>
      </c>
      <c r="V9679" t="s">
        <v>60858</v>
      </c>
      <c r="W9679" t="s">
        <v>44382</v>
      </c>
      <c r="X9679" t="s">
        <v>45107</v>
      </c>
    </row>
    <row r="9680" spans="1:24">
      <c r="A9680">
        <f>HYPERLINK("https://www.philgeps.gov.ph/GEPSNONPILOT/Tender/SplashBidNoticeAbstractUI.aspx?menuIndex=3&amp;refID=7032488&amp;Result=3","7032488")</f>
        <v>0</v>
      </c>
      <c r="B9680" t="s">
        <v>2632</v>
      </c>
      <c r="C9680" t="s">
        <v>12421</v>
      </c>
      <c r="D9680" t="s">
        <v>18040</v>
      </c>
      <c r="E9680" t="s">
        <v>26559</v>
      </c>
      <c r="F9680" t="s">
        <v>31574</v>
      </c>
      <c r="G9680" t="s">
        <v>31582</v>
      </c>
      <c r="H9680" t="s">
        <v>31590</v>
      </c>
      <c r="I9680" t="s">
        <v>31608</v>
      </c>
      <c r="J9680" t="s">
        <v>37816</v>
      </c>
      <c r="K9680" t="s">
        <v>41196</v>
      </c>
      <c r="M9680" t="s">
        <v>44383</v>
      </c>
      <c r="N9680" t="s">
        <v>45095</v>
      </c>
      <c r="O9680" t="s">
        <v>45096</v>
      </c>
      <c r="P9680">
        <v>0</v>
      </c>
      <c r="Q9680">
        <v>0</v>
      </c>
      <c r="R9680" t="s">
        <v>45105</v>
      </c>
      <c r="S9680" t="s">
        <v>45353</v>
      </c>
      <c r="T9680" t="s">
        <v>46922</v>
      </c>
      <c r="U9680" t="s">
        <v>55489</v>
      </c>
      <c r="V9680" t="s">
        <v>60852</v>
      </c>
      <c r="W9680" t="s">
        <v>44383</v>
      </c>
      <c r="X9680" t="s">
        <v>45106</v>
      </c>
    </row>
    <row r="9681" spans="1:24">
      <c r="A9681">
        <f>HYPERLINK("https://www.philgeps.gov.ph/GEPSNONPILOT/Tender/SplashBidNoticeAbstractUI.aspx?menuIndex=3&amp;refID=7032358&amp;Result=3","7032358")</f>
        <v>0</v>
      </c>
      <c r="B9681" t="s">
        <v>2633</v>
      </c>
      <c r="C9681" t="s">
        <v>12422</v>
      </c>
      <c r="E9681" t="s">
        <v>26560</v>
      </c>
      <c r="F9681" t="s">
        <v>31574</v>
      </c>
      <c r="G9681" t="s">
        <v>31582</v>
      </c>
      <c r="H9681" t="s">
        <v>31590</v>
      </c>
      <c r="I9681" t="s">
        <v>31615</v>
      </c>
      <c r="J9681" t="s">
        <v>31962</v>
      </c>
      <c r="K9681" t="s">
        <v>41184</v>
      </c>
      <c r="M9681" t="s">
        <v>44384</v>
      </c>
      <c r="N9681" t="s">
        <v>45095</v>
      </c>
      <c r="O9681" t="s">
        <v>45096</v>
      </c>
      <c r="P9681">
        <v>0</v>
      </c>
      <c r="Q9681">
        <v>0</v>
      </c>
      <c r="R9681" t="s">
        <v>45105</v>
      </c>
      <c r="S9681" t="s">
        <v>45353</v>
      </c>
      <c r="T9681" t="s">
        <v>46979</v>
      </c>
      <c r="U9681" t="s">
        <v>55490</v>
      </c>
      <c r="W9681" t="s">
        <v>44384</v>
      </c>
      <c r="X9681" t="s">
        <v>45106</v>
      </c>
    </row>
    <row r="9682" spans="1:24">
      <c r="A9682">
        <f>HYPERLINK("https://www.philgeps.gov.ph/GEPSNONPILOT/Tender/SplashBidNoticeAbstractUI.aspx?menuIndex=3&amp;refID=7032504&amp;Result=3","7032504")</f>
        <v>0</v>
      </c>
      <c r="B9682" t="s">
        <v>185</v>
      </c>
      <c r="C9682" t="s">
        <v>12423</v>
      </c>
      <c r="E9682" t="s">
        <v>26561</v>
      </c>
      <c r="F9682" t="s">
        <v>31574</v>
      </c>
      <c r="G9682" t="s">
        <v>31582</v>
      </c>
      <c r="H9682" t="s">
        <v>31591</v>
      </c>
      <c r="I9682" t="s">
        <v>8822</v>
      </c>
      <c r="J9682" t="s">
        <v>32458</v>
      </c>
      <c r="K9682" t="s">
        <v>41220</v>
      </c>
      <c r="M9682" t="s">
        <v>41670</v>
      </c>
      <c r="N9682" t="s">
        <v>45095</v>
      </c>
      <c r="O9682" t="s">
        <v>45096</v>
      </c>
      <c r="P9682">
        <v>0</v>
      </c>
      <c r="Q9682">
        <v>0</v>
      </c>
      <c r="R9682" t="s">
        <v>45105</v>
      </c>
      <c r="S9682" t="s">
        <v>45353</v>
      </c>
      <c r="T9682" t="s">
        <v>47013</v>
      </c>
      <c r="U9682" t="s">
        <v>55491</v>
      </c>
      <c r="W9682" t="s">
        <v>41670</v>
      </c>
      <c r="X9682" t="s">
        <v>45106</v>
      </c>
    </row>
    <row r="9683" spans="1:24">
      <c r="A9683">
        <f>HYPERLINK("https://www.philgeps.gov.ph/GEPSNONPILOT/Tender/SplashBidNoticeAbstractUI.aspx?menuIndex=3&amp;refID=7032464&amp;Result=3","7032464")</f>
        <v>0</v>
      </c>
      <c r="B9683" t="s">
        <v>185</v>
      </c>
      <c r="C9683" t="s">
        <v>12424</v>
      </c>
      <c r="E9683" t="s">
        <v>26562</v>
      </c>
      <c r="F9683" t="s">
        <v>31574</v>
      </c>
      <c r="G9683" t="s">
        <v>31582</v>
      </c>
      <c r="H9683" t="s">
        <v>31591</v>
      </c>
      <c r="I9683" t="s">
        <v>8822</v>
      </c>
      <c r="J9683" t="s">
        <v>32101</v>
      </c>
      <c r="K9683" t="s">
        <v>41189</v>
      </c>
      <c r="M9683" t="s">
        <v>41670</v>
      </c>
      <c r="N9683" t="s">
        <v>45095</v>
      </c>
      <c r="O9683" t="s">
        <v>45096</v>
      </c>
      <c r="P9683">
        <v>0</v>
      </c>
      <c r="Q9683">
        <v>0</v>
      </c>
      <c r="R9683" t="s">
        <v>45105</v>
      </c>
      <c r="S9683" t="s">
        <v>45353</v>
      </c>
      <c r="T9683" t="s">
        <v>47000</v>
      </c>
      <c r="U9683" t="s">
        <v>55492</v>
      </c>
      <c r="W9683" t="s">
        <v>41670</v>
      </c>
      <c r="X9683" t="s">
        <v>45106</v>
      </c>
    </row>
    <row r="9684" spans="1:24">
      <c r="A9684">
        <f>HYPERLINK("https://www.philgeps.gov.ph/GEPSNONPILOT/Tender/SplashBidNoticeAbstractUI.aspx?menuIndex=3&amp;refID=7032502&amp;Result=3","7032502")</f>
        <v>0</v>
      </c>
      <c r="B9684" t="s">
        <v>1315</v>
      </c>
      <c r="C9684" t="s">
        <v>12425</v>
      </c>
      <c r="D9684" t="s">
        <v>18022</v>
      </c>
      <c r="E9684" t="s">
        <v>20652</v>
      </c>
      <c r="F9684" t="s">
        <v>31574</v>
      </c>
      <c r="G9684" t="s">
        <v>31582</v>
      </c>
      <c r="H9684" t="s">
        <v>31590</v>
      </c>
      <c r="I9684" t="s">
        <v>31615</v>
      </c>
      <c r="J9684" t="s">
        <v>33193</v>
      </c>
      <c r="K9684" t="s">
        <v>41190</v>
      </c>
      <c r="M9684" t="s">
        <v>42885</v>
      </c>
      <c r="N9684" t="s">
        <v>45095</v>
      </c>
      <c r="O9684" t="s">
        <v>45096</v>
      </c>
      <c r="P9684">
        <v>0</v>
      </c>
      <c r="Q9684">
        <v>11</v>
      </c>
      <c r="R9684" t="s">
        <v>45105</v>
      </c>
      <c r="S9684" t="s">
        <v>45353</v>
      </c>
      <c r="T9684" t="s">
        <v>47232</v>
      </c>
      <c r="U9684" t="s">
        <v>55493</v>
      </c>
      <c r="W9684" t="s">
        <v>42885</v>
      </c>
      <c r="X9684" t="s">
        <v>45106</v>
      </c>
    </row>
    <row r="9685" spans="1:24">
      <c r="A9685">
        <f>HYPERLINK("https://www.philgeps.gov.ph/GEPSNONPILOT/Tender/SplashBidNoticeAbstractUI.aspx?menuIndex=3&amp;refID=7032519&amp;Result=3","7032519")</f>
        <v>0</v>
      </c>
      <c r="B9685" t="s">
        <v>185</v>
      </c>
      <c r="C9685" t="s">
        <v>12426</v>
      </c>
      <c r="E9685" t="s">
        <v>26563</v>
      </c>
      <c r="F9685" t="s">
        <v>31574</v>
      </c>
      <c r="G9685" t="s">
        <v>31582</v>
      </c>
      <c r="H9685" t="s">
        <v>31591</v>
      </c>
      <c r="I9685" t="s">
        <v>8822</v>
      </c>
      <c r="J9685" t="s">
        <v>32101</v>
      </c>
      <c r="K9685" t="s">
        <v>41209</v>
      </c>
      <c r="M9685" t="s">
        <v>41670</v>
      </c>
      <c r="N9685" t="s">
        <v>45095</v>
      </c>
      <c r="O9685" t="s">
        <v>45096</v>
      </c>
      <c r="P9685">
        <v>0</v>
      </c>
      <c r="Q9685">
        <v>0</v>
      </c>
      <c r="R9685" t="s">
        <v>45105</v>
      </c>
      <c r="S9685" t="s">
        <v>45353</v>
      </c>
      <c r="T9685" t="s">
        <v>46990</v>
      </c>
      <c r="U9685" t="s">
        <v>55494</v>
      </c>
      <c r="W9685" t="s">
        <v>41670</v>
      </c>
      <c r="X9685" t="s">
        <v>45106</v>
      </c>
    </row>
    <row r="9686" spans="1:24">
      <c r="A9686">
        <f>HYPERLINK("https://www.philgeps.gov.ph/GEPSNONPILOT/Tender/SplashBidNoticeAbstractUI.aspx?menuIndex=3&amp;refID=7032497&amp;Result=3","7032497")</f>
        <v>0</v>
      </c>
      <c r="B9686" t="s">
        <v>185</v>
      </c>
      <c r="C9686" t="s">
        <v>12427</v>
      </c>
      <c r="D9686" t="s">
        <v>18078</v>
      </c>
      <c r="E9686" t="s">
        <v>26564</v>
      </c>
      <c r="F9686" t="s">
        <v>31574</v>
      </c>
      <c r="G9686" t="s">
        <v>31582</v>
      </c>
      <c r="H9686" t="s">
        <v>31590</v>
      </c>
      <c r="I9686" t="s">
        <v>4046</v>
      </c>
      <c r="J9686" t="s">
        <v>37817</v>
      </c>
      <c r="K9686" t="s">
        <v>41297</v>
      </c>
      <c r="M9686" t="s">
        <v>41670</v>
      </c>
      <c r="N9686" t="s">
        <v>45095</v>
      </c>
      <c r="O9686" t="s">
        <v>45096</v>
      </c>
      <c r="P9686">
        <v>0</v>
      </c>
      <c r="Q9686">
        <v>0</v>
      </c>
      <c r="R9686" t="s">
        <v>45105</v>
      </c>
      <c r="S9686" t="s">
        <v>45353</v>
      </c>
      <c r="T9686" t="s">
        <v>47011</v>
      </c>
      <c r="U9686" t="s">
        <v>55495</v>
      </c>
      <c r="W9686" t="s">
        <v>41670</v>
      </c>
      <c r="X9686" t="s">
        <v>45106</v>
      </c>
    </row>
    <row r="9687" spans="1:24">
      <c r="A9687">
        <f>HYPERLINK("https://www.philgeps.gov.ph/GEPSNONPILOT/Tender/SplashBidNoticeAbstractUI.aspx?menuIndex=3&amp;refID=7032518&amp;Result=3","7032518")</f>
        <v>0</v>
      </c>
      <c r="B9687" t="s">
        <v>1315</v>
      </c>
      <c r="C9687" t="s">
        <v>12428</v>
      </c>
      <c r="D9687" t="s">
        <v>18022</v>
      </c>
      <c r="E9687" t="s">
        <v>18193</v>
      </c>
      <c r="F9687" t="s">
        <v>31574</v>
      </c>
      <c r="G9687" t="s">
        <v>31582</v>
      </c>
      <c r="H9687" t="s">
        <v>31590</v>
      </c>
      <c r="I9687" t="s">
        <v>4327</v>
      </c>
      <c r="J9687" t="s">
        <v>37421</v>
      </c>
      <c r="K9687" t="s">
        <v>41196</v>
      </c>
      <c r="M9687" t="s">
        <v>42885</v>
      </c>
      <c r="N9687" t="s">
        <v>45095</v>
      </c>
      <c r="O9687" t="s">
        <v>45096</v>
      </c>
      <c r="P9687">
        <v>0</v>
      </c>
      <c r="Q9687">
        <v>16</v>
      </c>
      <c r="R9687" t="s">
        <v>45105</v>
      </c>
      <c r="S9687" t="s">
        <v>45353</v>
      </c>
      <c r="T9687" t="s">
        <v>47266</v>
      </c>
      <c r="U9687" t="s">
        <v>55496</v>
      </c>
      <c r="W9687" t="s">
        <v>42885</v>
      </c>
      <c r="X9687" t="s">
        <v>45106</v>
      </c>
    </row>
    <row r="9688" spans="1:24">
      <c r="A9688">
        <f>HYPERLINK("https://www.philgeps.gov.ph/GEPSNONPILOT/Tender/SplashBidNoticeAbstractUI.aspx?menuIndex=3&amp;refID=7032520&amp;Result=3","7032520")</f>
        <v>0</v>
      </c>
      <c r="B9688" t="s">
        <v>1104</v>
      </c>
      <c r="C9688" t="s">
        <v>12429</v>
      </c>
      <c r="D9688" t="s">
        <v>18033</v>
      </c>
      <c r="E9688" t="s">
        <v>26565</v>
      </c>
      <c r="F9688" t="s">
        <v>31574</v>
      </c>
      <c r="G9688" t="s">
        <v>31582</v>
      </c>
      <c r="H9688" t="s">
        <v>31590</v>
      </c>
      <c r="I9688" t="s">
        <v>6800</v>
      </c>
      <c r="J9688" t="s">
        <v>37818</v>
      </c>
      <c r="K9688" t="s">
        <v>41191</v>
      </c>
      <c r="M9688" t="s">
        <v>42653</v>
      </c>
      <c r="N9688" t="s">
        <v>45095</v>
      </c>
      <c r="O9688" t="s">
        <v>45096</v>
      </c>
      <c r="P9688">
        <v>0</v>
      </c>
      <c r="Q9688">
        <v>2</v>
      </c>
      <c r="R9688" t="s">
        <v>45105</v>
      </c>
      <c r="S9688" t="s">
        <v>45353</v>
      </c>
      <c r="T9688" t="s">
        <v>47164</v>
      </c>
      <c r="U9688" t="s">
        <v>55497</v>
      </c>
      <c r="W9688" t="s">
        <v>42653</v>
      </c>
      <c r="X9688" t="s">
        <v>45106</v>
      </c>
    </row>
    <row r="9689" spans="1:24">
      <c r="A9689">
        <f>HYPERLINK("https://www.philgeps.gov.ph/GEPSNONPILOT/Tender/SplashBidNoticeAbstractUI.aspx?menuIndex=3&amp;refID=7032316&amp;Result=3","7032316")</f>
        <v>0</v>
      </c>
      <c r="B9689" t="s">
        <v>2579</v>
      </c>
      <c r="C9689" t="s">
        <v>12430</v>
      </c>
      <c r="D9689" t="s">
        <v>18078</v>
      </c>
      <c r="E9689" t="s">
        <v>21641</v>
      </c>
      <c r="F9689" t="s">
        <v>31574</v>
      </c>
      <c r="G9689" t="s">
        <v>31581</v>
      </c>
      <c r="H9689" t="s">
        <v>31591</v>
      </c>
      <c r="I9689" t="s">
        <v>31601</v>
      </c>
      <c r="J9689" t="s">
        <v>32028</v>
      </c>
      <c r="K9689" t="s">
        <v>41211</v>
      </c>
      <c r="M9689" t="s">
        <v>44320</v>
      </c>
      <c r="N9689" t="s">
        <v>45095</v>
      </c>
      <c r="O9689" t="s">
        <v>45096</v>
      </c>
      <c r="P9689">
        <v>0</v>
      </c>
      <c r="Q9689">
        <v>0</v>
      </c>
      <c r="R9689" t="s">
        <v>45105</v>
      </c>
      <c r="S9689" t="s">
        <v>45353</v>
      </c>
      <c r="T9689" t="s">
        <v>46904</v>
      </c>
      <c r="U9689" t="s">
        <v>55498</v>
      </c>
      <c r="W9689" t="s">
        <v>61744</v>
      </c>
      <c r="X9689" t="s">
        <v>45107</v>
      </c>
    </row>
    <row r="9690" spans="1:24">
      <c r="A9690">
        <f>HYPERLINK("https://www.philgeps.gov.ph/GEPSNONPILOT/Tender/SplashBidNoticeAbstractUI.aspx?menuIndex=3&amp;refID=7032511&amp;Result=3","7032511")</f>
        <v>0</v>
      </c>
      <c r="B9690" t="s">
        <v>2632</v>
      </c>
      <c r="C9690" t="s">
        <v>12431</v>
      </c>
      <c r="D9690" t="s">
        <v>18040</v>
      </c>
      <c r="E9690" t="s">
        <v>26566</v>
      </c>
      <c r="F9690" t="s">
        <v>31574</v>
      </c>
      <c r="G9690" t="s">
        <v>31582</v>
      </c>
      <c r="H9690" t="s">
        <v>31592</v>
      </c>
      <c r="I9690" t="s">
        <v>31663</v>
      </c>
      <c r="J9690" t="s">
        <v>37819</v>
      </c>
      <c r="K9690" t="s">
        <v>41211</v>
      </c>
      <c r="M9690" t="s">
        <v>44383</v>
      </c>
      <c r="N9690" t="s">
        <v>45095</v>
      </c>
      <c r="O9690" t="s">
        <v>45096</v>
      </c>
      <c r="P9690">
        <v>0</v>
      </c>
      <c r="Q9690">
        <v>0</v>
      </c>
      <c r="R9690" t="s">
        <v>45105</v>
      </c>
      <c r="S9690" t="s">
        <v>45353</v>
      </c>
      <c r="T9690" t="s">
        <v>46922</v>
      </c>
      <c r="U9690" t="s">
        <v>55499</v>
      </c>
      <c r="V9690" t="s">
        <v>60852</v>
      </c>
      <c r="W9690" t="s">
        <v>44383</v>
      </c>
      <c r="X9690" t="s">
        <v>45106</v>
      </c>
    </row>
    <row r="9691" spans="1:24">
      <c r="A9691">
        <f>HYPERLINK("https://www.philgeps.gov.ph/GEPSNONPILOT/Tender/SplashBidNoticeAbstractUI.aspx?menuIndex=3&amp;refID=7032513&amp;Result=3","7032513")</f>
        <v>0</v>
      </c>
      <c r="B9691" t="s">
        <v>185</v>
      </c>
      <c r="C9691" t="s">
        <v>12432</v>
      </c>
      <c r="E9691" t="s">
        <v>26567</v>
      </c>
      <c r="F9691" t="s">
        <v>31574</v>
      </c>
      <c r="G9691" t="s">
        <v>31582</v>
      </c>
      <c r="H9691" t="s">
        <v>31591</v>
      </c>
      <c r="I9691" t="s">
        <v>8822</v>
      </c>
      <c r="J9691" t="s">
        <v>31730</v>
      </c>
      <c r="K9691" t="s">
        <v>41200</v>
      </c>
      <c r="M9691" t="s">
        <v>41670</v>
      </c>
      <c r="N9691" t="s">
        <v>45095</v>
      </c>
      <c r="O9691" t="s">
        <v>45096</v>
      </c>
      <c r="P9691">
        <v>0</v>
      </c>
      <c r="Q9691">
        <v>0</v>
      </c>
      <c r="R9691" t="s">
        <v>45105</v>
      </c>
      <c r="S9691" t="s">
        <v>45353</v>
      </c>
      <c r="T9691" t="s">
        <v>46962</v>
      </c>
      <c r="U9691" t="s">
        <v>55491</v>
      </c>
      <c r="W9691" t="s">
        <v>41670</v>
      </c>
      <c r="X9691" t="s">
        <v>45106</v>
      </c>
    </row>
    <row r="9692" spans="1:24">
      <c r="A9692">
        <f>HYPERLINK("https://www.philgeps.gov.ph/GEPSNONPILOT/Tender/SplashBidNoticeAbstractUI.aspx?menuIndex=3&amp;refID=7032310&amp;Result=3","7032310")</f>
        <v>0</v>
      </c>
      <c r="B9692" t="s">
        <v>2634</v>
      </c>
      <c r="C9692" t="s">
        <v>12433</v>
      </c>
      <c r="D9692" t="s">
        <v>18056</v>
      </c>
      <c r="E9692" t="s">
        <v>26568</v>
      </c>
      <c r="F9692" t="s">
        <v>31574</v>
      </c>
      <c r="G9692" t="s">
        <v>31582</v>
      </c>
      <c r="H9692" t="s">
        <v>31590</v>
      </c>
      <c r="I9692" t="s">
        <v>4046</v>
      </c>
      <c r="J9692" t="s">
        <v>37820</v>
      </c>
      <c r="K9692" t="s">
        <v>41196</v>
      </c>
      <c r="M9692" t="s">
        <v>44385</v>
      </c>
      <c r="N9692" t="s">
        <v>45095</v>
      </c>
      <c r="O9692" t="s">
        <v>45096</v>
      </c>
      <c r="P9692">
        <v>0</v>
      </c>
      <c r="Q9692">
        <v>0</v>
      </c>
      <c r="R9692" t="s">
        <v>45105</v>
      </c>
      <c r="S9692" t="s">
        <v>45353</v>
      </c>
      <c r="T9692" t="s">
        <v>46973</v>
      </c>
      <c r="U9692" t="s">
        <v>55500</v>
      </c>
      <c r="W9692" t="s">
        <v>44385</v>
      </c>
      <c r="X9692" t="s">
        <v>45107</v>
      </c>
    </row>
    <row r="9693" spans="1:24">
      <c r="A9693">
        <f>HYPERLINK("https://www.philgeps.gov.ph/GEPSNONPILOT/Tender/SplashBidNoticeAbstractUI.aspx?menuIndex=3&amp;refID=7032461&amp;Result=3","7032461")</f>
        <v>0</v>
      </c>
      <c r="B9693" t="s">
        <v>185</v>
      </c>
      <c r="C9693" t="s">
        <v>12434</v>
      </c>
      <c r="E9693" t="s">
        <v>26569</v>
      </c>
      <c r="F9693" t="s">
        <v>31574</v>
      </c>
      <c r="G9693" t="s">
        <v>31582</v>
      </c>
      <c r="H9693" t="s">
        <v>31591</v>
      </c>
      <c r="I9693" t="s">
        <v>8822</v>
      </c>
      <c r="J9693" t="s">
        <v>31771</v>
      </c>
      <c r="K9693" t="s">
        <v>41203</v>
      </c>
      <c r="M9693" t="s">
        <v>41670</v>
      </c>
      <c r="N9693" t="s">
        <v>45095</v>
      </c>
      <c r="O9693" t="s">
        <v>45096</v>
      </c>
      <c r="P9693">
        <v>0</v>
      </c>
      <c r="Q9693">
        <v>0</v>
      </c>
      <c r="R9693" t="s">
        <v>45105</v>
      </c>
      <c r="S9693" t="s">
        <v>45353</v>
      </c>
      <c r="T9693" t="s">
        <v>47000</v>
      </c>
      <c r="U9693" t="s">
        <v>55501</v>
      </c>
      <c r="W9693" t="s">
        <v>41670</v>
      </c>
      <c r="X9693" t="s">
        <v>45106</v>
      </c>
    </row>
    <row r="9694" spans="1:24">
      <c r="A9694">
        <f>HYPERLINK("https://www.philgeps.gov.ph/GEPSNONPILOT/Tender/SplashBidNoticeAbstractUI.aspx?menuIndex=3&amp;refID=7032413&amp;Result=3","7032413")</f>
        <v>0</v>
      </c>
      <c r="B9694" t="s">
        <v>2635</v>
      </c>
      <c r="C9694" t="s">
        <v>12435</v>
      </c>
      <c r="D9694" t="s">
        <v>18079</v>
      </c>
      <c r="E9694" t="s">
        <v>26570</v>
      </c>
      <c r="F9694" t="s">
        <v>31579</v>
      </c>
      <c r="G9694" t="s">
        <v>31582</v>
      </c>
      <c r="H9694" t="s">
        <v>31590</v>
      </c>
      <c r="I9694" t="s">
        <v>4046</v>
      </c>
      <c r="J9694" t="s">
        <v>37821</v>
      </c>
      <c r="K9694" t="s">
        <v>41190</v>
      </c>
      <c r="M9694" t="s">
        <v>44386</v>
      </c>
      <c r="N9694" t="s">
        <v>45095</v>
      </c>
      <c r="O9694" t="s">
        <v>45096</v>
      </c>
      <c r="P9694">
        <v>0</v>
      </c>
      <c r="Q9694">
        <v>2</v>
      </c>
      <c r="R9694" t="s">
        <v>45105</v>
      </c>
      <c r="S9694" t="s">
        <v>45353</v>
      </c>
      <c r="T9694" t="s">
        <v>46952</v>
      </c>
      <c r="U9694" t="s">
        <v>55502</v>
      </c>
      <c r="V9694" t="s">
        <v>60859</v>
      </c>
      <c r="W9694" t="s">
        <v>44386</v>
      </c>
      <c r="X9694" t="s">
        <v>45106</v>
      </c>
    </row>
    <row r="9695" spans="1:24">
      <c r="A9695">
        <f>HYPERLINK("https://www.philgeps.gov.ph/GEPSNONPILOT/Tender/SplashBidNoticeAbstractUI.aspx?menuIndex=3&amp;refID=7032509&amp;Result=3","7032509")</f>
        <v>0</v>
      </c>
      <c r="B9695" t="s">
        <v>185</v>
      </c>
      <c r="C9695" t="s">
        <v>12436</v>
      </c>
      <c r="E9695" t="s">
        <v>26571</v>
      </c>
      <c r="F9695" t="s">
        <v>31574</v>
      </c>
      <c r="G9695" t="s">
        <v>31582</v>
      </c>
      <c r="H9695" t="s">
        <v>31591</v>
      </c>
      <c r="I9695" t="s">
        <v>8822</v>
      </c>
      <c r="J9695" t="s">
        <v>31730</v>
      </c>
      <c r="K9695" t="s">
        <v>41200</v>
      </c>
      <c r="M9695" t="s">
        <v>41670</v>
      </c>
      <c r="N9695" t="s">
        <v>45095</v>
      </c>
      <c r="O9695" t="s">
        <v>45096</v>
      </c>
      <c r="P9695">
        <v>0</v>
      </c>
      <c r="Q9695">
        <v>0</v>
      </c>
      <c r="R9695" t="s">
        <v>45105</v>
      </c>
      <c r="S9695" t="s">
        <v>45353</v>
      </c>
      <c r="T9695" t="s">
        <v>46962</v>
      </c>
      <c r="U9695" t="s">
        <v>55491</v>
      </c>
      <c r="W9695" t="s">
        <v>41670</v>
      </c>
      <c r="X9695" t="s">
        <v>45106</v>
      </c>
    </row>
    <row r="9696" spans="1:24">
      <c r="A9696">
        <f>HYPERLINK("https://www.philgeps.gov.ph/GEPSNONPILOT/Tender/SplashBidNoticeAbstractUI.aspx?menuIndex=3&amp;refID=7032396&amp;Result=3","7032396")</f>
        <v>0</v>
      </c>
      <c r="B9696" t="s">
        <v>1963</v>
      </c>
      <c r="C9696" t="s">
        <v>12437</v>
      </c>
      <c r="D9696" t="s">
        <v>18070</v>
      </c>
      <c r="E9696" t="s">
        <v>26572</v>
      </c>
      <c r="F9696" t="s">
        <v>31574</v>
      </c>
      <c r="G9696" t="s">
        <v>31582</v>
      </c>
      <c r="H9696" t="s">
        <v>31590</v>
      </c>
      <c r="I9696" t="s">
        <v>8822</v>
      </c>
      <c r="J9696" t="s">
        <v>37822</v>
      </c>
      <c r="K9696" t="s">
        <v>41202</v>
      </c>
      <c r="M9696" t="s">
        <v>43620</v>
      </c>
      <c r="N9696" t="s">
        <v>45095</v>
      </c>
      <c r="O9696" t="s">
        <v>45096</v>
      </c>
      <c r="P9696">
        <v>0</v>
      </c>
      <c r="Q9696">
        <v>5</v>
      </c>
      <c r="R9696" t="s">
        <v>45105</v>
      </c>
      <c r="S9696" t="s">
        <v>45353</v>
      </c>
      <c r="T9696" t="s">
        <v>46965</v>
      </c>
      <c r="U9696" t="s">
        <v>55503</v>
      </c>
      <c r="W9696" t="s">
        <v>43620</v>
      </c>
      <c r="X9696" t="s">
        <v>45106</v>
      </c>
    </row>
    <row r="9697" spans="1:24">
      <c r="A9697">
        <f>HYPERLINK("https://www.philgeps.gov.ph/GEPSNONPILOT/Tender/SplashBidNoticeAbstractUI.aspx?menuIndex=3&amp;refID=7032458&amp;Result=3","7032458")</f>
        <v>0</v>
      </c>
      <c r="B9697" t="s">
        <v>185</v>
      </c>
      <c r="C9697" t="s">
        <v>12438</v>
      </c>
      <c r="E9697" t="s">
        <v>26573</v>
      </c>
      <c r="F9697" t="s">
        <v>31574</v>
      </c>
      <c r="G9697" t="s">
        <v>31582</v>
      </c>
      <c r="H9697" t="s">
        <v>31591</v>
      </c>
      <c r="I9697" t="s">
        <v>8822</v>
      </c>
      <c r="J9697" t="s">
        <v>37823</v>
      </c>
      <c r="K9697" t="s">
        <v>41189</v>
      </c>
      <c r="M9697" t="s">
        <v>41670</v>
      </c>
      <c r="N9697" t="s">
        <v>45095</v>
      </c>
      <c r="O9697" t="s">
        <v>45096</v>
      </c>
      <c r="P9697">
        <v>0</v>
      </c>
      <c r="Q9697">
        <v>0</v>
      </c>
      <c r="R9697" t="s">
        <v>45105</v>
      </c>
      <c r="S9697" t="s">
        <v>45353</v>
      </c>
      <c r="T9697" t="s">
        <v>47000</v>
      </c>
      <c r="U9697" t="s">
        <v>55504</v>
      </c>
      <c r="W9697" t="s">
        <v>41670</v>
      </c>
      <c r="X9697" t="s">
        <v>45106</v>
      </c>
    </row>
    <row r="9698" spans="1:24">
      <c r="A9698">
        <f>HYPERLINK("https://www.philgeps.gov.ph/GEPSNONPILOT/Tender/SplashBidNoticeAbstractUI.aspx?menuIndex=3&amp;refID=7032376&amp;Result=3","7032376")</f>
        <v>0</v>
      </c>
      <c r="B9698" t="s">
        <v>1970</v>
      </c>
      <c r="C9698" t="s">
        <v>12439</v>
      </c>
      <c r="D9698" t="s">
        <v>18061</v>
      </c>
      <c r="E9698" t="s">
        <v>26574</v>
      </c>
      <c r="F9698" t="s">
        <v>31574</v>
      </c>
      <c r="G9698" t="s">
        <v>31585</v>
      </c>
      <c r="H9698" t="s">
        <v>31590</v>
      </c>
      <c r="I9698" t="s">
        <v>7185</v>
      </c>
      <c r="J9698" t="s">
        <v>37824</v>
      </c>
      <c r="K9698" t="s">
        <v>41189</v>
      </c>
      <c r="M9698" t="s">
        <v>43627</v>
      </c>
      <c r="N9698" t="s">
        <v>45095</v>
      </c>
      <c r="O9698" t="s">
        <v>45096</v>
      </c>
      <c r="P9698">
        <v>0</v>
      </c>
      <c r="Q9698">
        <v>7</v>
      </c>
      <c r="R9698" t="s">
        <v>45105</v>
      </c>
      <c r="S9698" t="s">
        <v>45353</v>
      </c>
      <c r="T9698" t="s">
        <v>47068</v>
      </c>
      <c r="U9698" t="s">
        <v>55505</v>
      </c>
      <c r="W9698" t="s">
        <v>43627</v>
      </c>
      <c r="X9698" t="s">
        <v>45106</v>
      </c>
    </row>
    <row r="9699" spans="1:24">
      <c r="A9699">
        <f>HYPERLINK("https://www.philgeps.gov.ph/GEPSNONPILOT/Tender/SplashBidNoticeAbstractUI.aspx?menuIndex=3&amp;refID=7032441&amp;Result=3","7032441")</f>
        <v>0</v>
      </c>
      <c r="B9699" t="s">
        <v>185</v>
      </c>
      <c r="C9699" t="s">
        <v>12440</v>
      </c>
      <c r="D9699" t="s">
        <v>18078</v>
      </c>
      <c r="E9699" t="s">
        <v>26575</v>
      </c>
      <c r="F9699" t="s">
        <v>31574</v>
      </c>
      <c r="G9699" t="s">
        <v>31582</v>
      </c>
      <c r="H9699" t="s">
        <v>31591</v>
      </c>
      <c r="I9699" t="s">
        <v>8822</v>
      </c>
      <c r="J9699" t="s">
        <v>31771</v>
      </c>
      <c r="K9699" t="s">
        <v>41203</v>
      </c>
      <c r="M9699" t="s">
        <v>41670</v>
      </c>
      <c r="N9699" t="s">
        <v>45095</v>
      </c>
      <c r="O9699" t="s">
        <v>45096</v>
      </c>
      <c r="P9699">
        <v>0</v>
      </c>
      <c r="Q9699">
        <v>0</v>
      </c>
      <c r="R9699" t="s">
        <v>45105</v>
      </c>
      <c r="S9699" t="s">
        <v>45353</v>
      </c>
      <c r="T9699" t="s">
        <v>47000</v>
      </c>
      <c r="U9699" t="s">
        <v>55506</v>
      </c>
      <c r="W9699" t="s">
        <v>41670</v>
      </c>
      <c r="X9699" t="s">
        <v>45106</v>
      </c>
    </row>
    <row r="9700" spans="1:24">
      <c r="A9700">
        <f>HYPERLINK("https://www.philgeps.gov.ph/GEPSNONPILOT/Tender/SplashBidNoticeAbstractUI.aspx?menuIndex=3&amp;refID=7032527&amp;Result=3","7032527")</f>
        <v>0</v>
      </c>
      <c r="B9700" t="s">
        <v>1511</v>
      </c>
      <c r="C9700" t="s">
        <v>12441</v>
      </c>
      <c r="D9700" t="s">
        <v>18022</v>
      </c>
      <c r="E9700" t="s">
        <v>26576</v>
      </c>
      <c r="F9700" t="s">
        <v>31574</v>
      </c>
      <c r="G9700" t="s">
        <v>31582</v>
      </c>
      <c r="H9700" t="s">
        <v>31592</v>
      </c>
      <c r="I9700" t="s">
        <v>31602</v>
      </c>
      <c r="J9700" t="s">
        <v>37825</v>
      </c>
      <c r="K9700" t="s">
        <v>41281</v>
      </c>
      <c r="M9700" t="s">
        <v>44387</v>
      </c>
      <c r="N9700" t="s">
        <v>45095</v>
      </c>
      <c r="O9700" t="s">
        <v>45096</v>
      </c>
      <c r="P9700">
        <v>0</v>
      </c>
      <c r="Q9700">
        <v>2</v>
      </c>
      <c r="R9700" t="s">
        <v>45105</v>
      </c>
      <c r="S9700" t="s">
        <v>45353</v>
      </c>
      <c r="T9700" t="s">
        <v>47244</v>
      </c>
      <c r="U9700" t="s">
        <v>55507</v>
      </c>
      <c r="W9700" t="s">
        <v>44387</v>
      </c>
      <c r="X9700" t="s">
        <v>45106</v>
      </c>
    </row>
    <row r="9701" spans="1:24">
      <c r="A9701">
        <f>HYPERLINK("https://www.philgeps.gov.ph/GEPSNONPILOT/Tender/SplashBidNoticeAbstractUI.aspx?menuIndex=3&amp;refID=7032449&amp;Result=3","7032449")</f>
        <v>0</v>
      </c>
      <c r="B9701" t="s">
        <v>185</v>
      </c>
      <c r="C9701" t="s">
        <v>12442</v>
      </c>
      <c r="E9701" t="s">
        <v>26577</v>
      </c>
      <c r="F9701" t="s">
        <v>31574</v>
      </c>
      <c r="G9701" t="s">
        <v>31582</v>
      </c>
      <c r="H9701" t="s">
        <v>31591</v>
      </c>
      <c r="I9701" t="s">
        <v>8822</v>
      </c>
      <c r="J9701" t="s">
        <v>31730</v>
      </c>
      <c r="K9701" t="s">
        <v>41200</v>
      </c>
      <c r="M9701" t="s">
        <v>41670</v>
      </c>
      <c r="N9701" t="s">
        <v>45095</v>
      </c>
      <c r="O9701" t="s">
        <v>45096</v>
      </c>
      <c r="P9701">
        <v>0</v>
      </c>
      <c r="Q9701">
        <v>0</v>
      </c>
      <c r="R9701" t="s">
        <v>45105</v>
      </c>
      <c r="S9701" t="s">
        <v>45353</v>
      </c>
      <c r="T9701" t="s">
        <v>47000</v>
      </c>
      <c r="U9701" t="s">
        <v>55491</v>
      </c>
      <c r="W9701" t="s">
        <v>41670</v>
      </c>
      <c r="X9701" t="s">
        <v>45106</v>
      </c>
    </row>
    <row r="9702" spans="1:24">
      <c r="A9702">
        <f>HYPERLINK("https://www.philgeps.gov.ph/GEPSNONPILOT/Tender/SplashBidNoticeAbstractUI.aspx?menuIndex=3&amp;refID=7032521&amp;Result=3","7032521")</f>
        <v>0</v>
      </c>
      <c r="B9702" t="s">
        <v>1511</v>
      </c>
      <c r="C9702" t="s">
        <v>12443</v>
      </c>
      <c r="D9702" t="s">
        <v>18022</v>
      </c>
      <c r="E9702" t="s">
        <v>26578</v>
      </c>
      <c r="F9702" t="s">
        <v>31574</v>
      </c>
      <c r="G9702" t="s">
        <v>31582</v>
      </c>
      <c r="H9702" t="s">
        <v>31592</v>
      </c>
      <c r="I9702" t="s">
        <v>4677</v>
      </c>
      <c r="J9702" t="s">
        <v>37826</v>
      </c>
      <c r="K9702" t="s">
        <v>41281</v>
      </c>
      <c r="M9702" t="s">
        <v>44387</v>
      </c>
      <c r="N9702" t="s">
        <v>45095</v>
      </c>
      <c r="O9702" t="s">
        <v>45096</v>
      </c>
      <c r="P9702">
        <v>0</v>
      </c>
      <c r="Q9702">
        <v>7</v>
      </c>
      <c r="R9702" t="s">
        <v>45105</v>
      </c>
      <c r="S9702" t="s">
        <v>45353</v>
      </c>
      <c r="T9702" t="s">
        <v>47336</v>
      </c>
      <c r="U9702" t="s">
        <v>55508</v>
      </c>
      <c r="W9702" t="s">
        <v>44387</v>
      </c>
      <c r="X9702" t="s">
        <v>45106</v>
      </c>
    </row>
    <row r="9703" spans="1:24">
      <c r="A9703">
        <f>HYPERLINK("https://www.philgeps.gov.ph/GEPSNONPILOT/Tender/SplashBidNoticeAbstractUI.aspx?menuIndex=3&amp;refID=7032525&amp;Result=3","7032525")</f>
        <v>0</v>
      </c>
      <c r="B9703" t="s">
        <v>1511</v>
      </c>
      <c r="C9703" t="s">
        <v>12444</v>
      </c>
      <c r="D9703" t="s">
        <v>18022</v>
      </c>
      <c r="E9703" t="s">
        <v>26579</v>
      </c>
      <c r="F9703" t="s">
        <v>31574</v>
      </c>
      <c r="G9703" t="s">
        <v>31582</v>
      </c>
      <c r="H9703" t="s">
        <v>31592</v>
      </c>
      <c r="I9703" t="s">
        <v>31596</v>
      </c>
      <c r="J9703" t="s">
        <v>37827</v>
      </c>
      <c r="K9703" t="s">
        <v>41281</v>
      </c>
      <c r="M9703" t="s">
        <v>44387</v>
      </c>
      <c r="N9703" t="s">
        <v>45095</v>
      </c>
      <c r="O9703" t="s">
        <v>45096</v>
      </c>
      <c r="P9703">
        <v>0</v>
      </c>
      <c r="Q9703">
        <v>9</v>
      </c>
      <c r="R9703" t="s">
        <v>45105</v>
      </c>
      <c r="S9703" t="s">
        <v>45353</v>
      </c>
      <c r="T9703" t="s">
        <v>47247</v>
      </c>
      <c r="U9703" t="s">
        <v>55509</v>
      </c>
      <c r="W9703" t="s">
        <v>44387</v>
      </c>
      <c r="X9703" t="s">
        <v>45106</v>
      </c>
    </row>
    <row r="9704" spans="1:24">
      <c r="A9704">
        <f>HYPERLINK("https://www.philgeps.gov.ph/GEPSNONPILOT/Tender/SplashBidNoticeAbstractUI.aspx?menuIndex=3&amp;refID=7032524&amp;Result=3","7032524")</f>
        <v>0</v>
      </c>
      <c r="B9704" t="s">
        <v>185</v>
      </c>
      <c r="C9704" t="s">
        <v>12445</v>
      </c>
      <c r="E9704" t="s">
        <v>26580</v>
      </c>
      <c r="F9704" t="s">
        <v>31574</v>
      </c>
      <c r="G9704" t="s">
        <v>31582</v>
      </c>
      <c r="H9704" t="s">
        <v>31591</v>
      </c>
      <c r="I9704" t="s">
        <v>8822</v>
      </c>
      <c r="J9704" t="s">
        <v>32101</v>
      </c>
      <c r="K9704" t="s">
        <v>41189</v>
      </c>
      <c r="M9704" t="s">
        <v>41670</v>
      </c>
      <c r="N9704" t="s">
        <v>45095</v>
      </c>
      <c r="O9704" t="s">
        <v>45096</v>
      </c>
      <c r="P9704">
        <v>0</v>
      </c>
      <c r="Q9704">
        <v>0</v>
      </c>
      <c r="R9704" t="s">
        <v>45105</v>
      </c>
      <c r="S9704" t="s">
        <v>45353</v>
      </c>
      <c r="T9704" t="s">
        <v>46987</v>
      </c>
      <c r="U9704" t="s">
        <v>55510</v>
      </c>
      <c r="W9704" t="s">
        <v>41670</v>
      </c>
      <c r="X9704" t="s">
        <v>45106</v>
      </c>
    </row>
    <row r="9705" spans="1:24">
      <c r="A9705">
        <f>HYPERLINK("https://www.philgeps.gov.ph/GEPSNONPILOT/Tender/SplashBidNoticeAbstractUI.aspx?menuIndex=3&amp;refID=7032454&amp;Result=3","7032454")</f>
        <v>0</v>
      </c>
      <c r="B9705" t="s">
        <v>1098</v>
      </c>
      <c r="C9705" t="s">
        <v>12446</v>
      </c>
      <c r="D9705" t="s">
        <v>18055</v>
      </c>
      <c r="E9705" t="s">
        <v>26581</v>
      </c>
      <c r="F9705" t="s">
        <v>31574</v>
      </c>
      <c r="G9705" t="s">
        <v>31582</v>
      </c>
      <c r="H9705" t="s">
        <v>31591</v>
      </c>
      <c r="I9705" t="s">
        <v>8822</v>
      </c>
      <c r="J9705" t="s">
        <v>32550</v>
      </c>
      <c r="K9705" t="s">
        <v>41256</v>
      </c>
      <c r="M9705" t="s">
        <v>42647</v>
      </c>
      <c r="N9705" t="s">
        <v>45095</v>
      </c>
      <c r="O9705" t="s">
        <v>45096</v>
      </c>
      <c r="P9705">
        <v>0</v>
      </c>
      <c r="Q9705">
        <v>96</v>
      </c>
      <c r="R9705" t="s">
        <v>45105</v>
      </c>
      <c r="S9705" t="s">
        <v>45353</v>
      </c>
      <c r="T9705" t="s">
        <v>47161</v>
      </c>
      <c r="U9705" t="s">
        <v>55511</v>
      </c>
      <c r="V9705" t="s">
        <v>60860</v>
      </c>
      <c r="W9705" t="s">
        <v>42647</v>
      </c>
      <c r="X9705" t="s">
        <v>45106</v>
      </c>
    </row>
    <row r="9706" spans="1:24">
      <c r="A9706">
        <f>HYPERLINK("https://www.philgeps.gov.ph/GEPSNONPILOT/Tender/SplashBidNoticeAbstractUI.aspx?menuIndex=3&amp;refID=7032532&amp;Result=3","7032532")</f>
        <v>0</v>
      </c>
      <c r="B9706" t="s">
        <v>1511</v>
      </c>
      <c r="C9706" t="s">
        <v>12447</v>
      </c>
      <c r="D9706" t="s">
        <v>18022</v>
      </c>
      <c r="E9706" t="s">
        <v>26582</v>
      </c>
      <c r="F9706" t="s">
        <v>31574</v>
      </c>
      <c r="G9706" t="s">
        <v>31582</v>
      </c>
      <c r="H9706" t="s">
        <v>31592</v>
      </c>
      <c r="I9706" t="s">
        <v>31656</v>
      </c>
      <c r="J9706" t="s">
        <v>37828</v>
      </c>
      <c r="K9706" t="s">
        <v>41281</v>
      </c>
      <c r="M9706" t="s">
        <v>44387</v>
      </c>
      <c r="N9706" t="s">
        <v>45095</v>
      </c>
      <c r="O9706" t="s">
        <v>45096</v>
      </c>
      <c r="P9706">
        <v>0</v>
      </c>
      <c r="Q9706">
        <v>8</v>
      </c>
      <c r="R9706" t="s">
        <v>45105</v>
      </c>
      <c r="S9706" t="s">
        <v>45353</v>
      </c>
      <c r="T9706" t="s">
        <v>47265</v>
      </c>
      <c r="U9706" t="s">
        <v>55512</v>
      </c>
      <c r="W9706" t="s">
        <v>44387</v>
      </c>
      <c r="X9706" t="s">
        <v>45106</v>
      </c>
    </row>
    <row r="9707" spans="1:24">
      <c r="A9707">
        <f>HYPERLINK("https://www.philgeps.gov.ph/GEPSNONPILOT/Tender/SplashBidNoticeAbstractUI.aspx?menuIndex=3&amp;refID=7032570&amp;Result=3","7032570")</f>
        <v>0</v>
      </c>
      <c r="B9707" t="s">
        <v>2636</v>
      </c>
      <c r="C9707" t="s">
        <v>12448</v>
      </c>
      <c r="D9707" t="s">
        <v>18078</v>
      </c>
      <c r="E9707" t="s">
        <v>26583</v>
      </c>
      <c r="F9707" t="s">
        <v>31574</v>
      </c>
      <c r="G9707" t="s">
        <v>31582</v>
      </c>
      <c r="H9707" t="s">
        <v>31590</v>
      </c>
      <c r="I9707" t="s">
        <v>31636</v>
      </c>
      <c r="J9707" t="s">
        <v>31741</v>
      </c>
      <c r="K9707" t="s">
        <v>41190</v>
      </c>
      <c r="M9707" t="s">
        <v>44388</v>
      </c>
      <c r="N9707" t="s">
        <v>45095</v>
      </c>
      <c r="O9707" t="s">
        <v>45096</v>
      </c>
      <c r="P9707">
        <v>0</v>
      </c>
      <c r="Q9707">
        <v>1</v>
      </c>
      <c r="R9707" t="s">
        <v>45105</v>
      </c>
      <c r="S9707" t="s">
        <v>45353</v>
      </c>
      <c r="T9707" t="s">
        <v>46977</v>
      </c>
      <c r="U9707" t="s">
        <v>55513</v>
      </c>
      <c r="W9707" t="s">
        <v>44388</v>
      </c>
      <c r="X9707" t="s">
        <v>45106</v>
      </c>
    </row>
    <row r="9708" spans="1:24">
      <c r="A9708">
        <f>HYPERLINK("https://www.philgeps.gov.ph/GEPSNONPILOT/Tender/SplashBidNoticeAbstractUI.aspx?menuIndex=3&amp;refID=7032568&amp;Result=3","7032568")</f>
        <v>0</v>
      </c>
      <c r="B9708" t="s">
        <v>2637</v>
      </c>
      <c r="C9708" t="s">
        <v>12449</v>
      </c>
      <c r="D9708" t="s">
        <v>18023</v>
      </c>
      <c r="E9708" t="s">
        <v>18162</v>
      </c>
      <c r="F9708" t="s">
        <v>31574</v>
      </c>
      <c r="G9708" t="s">
        <v>31582</v>
      </c>
      <c r="H9708" t="s">
        <v>31590</v>
      </c>
      <c r="I9708" t="s">
        <v>4046</v>
      </c>
      <c r="J9708" t="s">
        <v>37829</v>
      </c>
      <c r="K9708" t="s">
        <v>41196</v>
      </c>
      <c r="M9708" t="s">
        <v>44389</v>
      </c>
      <c r="N9708" t="s">
        <v>45095</v>
      </c>
      <c r="O9708" t="s">
        <v>45096</v>
      </c>
      <c r="P9708">
        <v>0</v>
      </c>
      <c r="Q9708">
        <v>1</v>
      </c>
      <c r="R9708" t="s">
        <v>45105</v>
      </c>
      <c r="S9708" t="s">
        <v>45353</v>
      </c>
      <c r="T9708" t="s">
        <v>46969</v>
      </c>
      <c r="U9708" t="s">
        <v>55514</v>
      </c>
      <c r="W9708" t="s">
        <v>44389</v>
      </c>
      <c r="X9708" t="s">
        <v>45106</v>
      </c>
    </row>
    <row r="9709" spans="1:24">
      <c r="A9709">
        <f>HYPERLINK("https://www.philgeps.gov.ph/GEPSNONPILOT/Tender/SplashBidNoticeAbstractUI.aspx?menuIndex=3&amp;refID=7032531&amp;Result=3","7032531")</f>
        <v>0</v>
      </c>
      <c r="B9709" t="s">
        <v>670</v>
      </c>
      <c r="C9709" t="s">
        <v>12450</v>
      </c>
      <c r="D9709" t="s">
        <v>18106</v>
      </c>
      <c r="E9709" t="s">
        <v>26584</v>
      </c>
      <c r="F9709" t="s">
        <v>31574</v>
      </c>
      <c r="G9709" t="s">
        <v>31582</v>
      </c>
      <c r="H9709" t="s">
        <v>31590</v>
      </c>
      <c r="I9709" t="s">
        <v>31681</v>
      </c>
      <c r="J9709" t="s">
        <v>37830</v>
      </c>
      <c r="K9709" t="s">
        <v>41225</v>
      </c>
      <c r="M9709" t="s">
        <v>44390</v>
      </c>
      <c r="N9709" t="s">
        <v>45095</v>
      </c>
      <c r="O9709" t="s">
        <v>45096</v>
      </c>
      <c r="P9709">
        <v>0</v>
      </c>
      <c r="Q9709">
        <v>12</v>
      </c>
      <c r="R9709" t="s">
        <v>45105</v>
      </c>
      <c r="S9709" t="s">
        <v>45353</v>
      </c>
      <c r="T9709" t="s">
        <v>46992</v>
      </c>
      <c r="U9709" t="s">
        <v>55515</v>
      </c>
      <c r="W9709" t="s">
        <v>44390</v>
      </c>
      <c r="X9709" t="s">
        <v>45106</v>
      </c>
    </row>
    <row r="9710" spans="1:24">
      <c r="A9710">
        <f>HYPERLINK("https://www.philgeps.gov.ph/GEPSNONPILOT/Tender/SplashBidNoticeAbstractUI.aspx?menuIndex=3&amp;refID=7032553&amp;Result=3","7032553")</f>
        <v>0</v>
      </c>
      <c r="B9710" t="s">
        <v>2638</v>
      </c>
      <c r="C9710" t="s">
        <v>12451</v>
      </c>
      <c r="D9710" t="s">
        <v>18043</v>
      </c>
      <c r="E9710" t="s">
        <v>26585</v>
      </c>
      <c r="F9710" t="s">
        <v>31574</v>
      </c>
      <c r="G9710" t="s">
        <v>31582</v>
      </c>
      <c r="H9710" t="s">
        <v>31590</v>
      </c>
      <c r="I9710" t="s">
        <v>4046</v>
      </c>
      <c r="J9710" t="s">
        <v>37831</v>
      </c>
      <c r="K9710" t="s">
        <v>41196</v>
      </c>
      <c r="M9710" t="s">
        <v>44391</v>
      </c>
      <c r="N9710" t="s">
        <v>45095</v>
      </c>
      <c r="O9710" t="s">
        <v>45096</v>
      </c>
      <c r="P9710">
        <v>0</v>
      </c>
      <c r="Q9710">
        <v>0</v>
      </c>
      <c r="R9710" t="s">
        <v>45105</v>
      </c>
      <c r="S9710" t="s">
        <v>45353</v>
      </c>
      <c r="T9710" t="s">
        <v>46973</v>
      </c>
      <c r="U9710" t="s">
        <v>55516</v>
      </c>
      <c r="V9710" t="s">
        <v>60861</v>
      </c>
      <c r="W9710" t="s">
        <v>44391</v>
      </c>
      <c r="X9710" t="s">
        <v>45106</v>
      </c>
    </row>
    <row r="9711" spans="1:24">
      <c r="A9711">
        <f>HYPERLINK("https://www.philgeps.gov.ph/GEPSNONPILOT/Tender/SplashBidNoticeAbstractUI.aspx?menuIndex=3&amp;refID=7032572&amp;Result=3","7032572")</f>
        <v>0</v>
      </c>
      <c r="B9711" t="s">
        <v>2637</v>
      </c>
      <c r="C9711" t="s">
        <v>12452</v>
      </c>
      <c r="D9711" t="s">
        <v>18023</v>
      </c>
      <c r="E9711" t="s">
        <v>18448</v>
      </c>
      <c r="F9711" t="s">
        <v>31574</v>
      </c>
      <c r="G9711" t="s">
        <v>31582</v>
      </c>
      <c r="H9711" t="s">
        <v>31590</v>
      </c>
      <c r="I9711" t="s">
        <v>4046</v>
      </c>
      <c r="J9711" t="s">
        <v>37832</v>
      </c>
      <c r="K9711" t="s">
        <v>41196</v>
      </c>
      <c r="M9711" t="s">
        <v>44389</v>
      </c>
      <c r="N9711" t="s">
        <v>45095</v>
      </c>
      <c r="O9711" t="s">
        <v>45096</v>
      </c>
      <c r="P9711">
        <v>0</v>
      </c>
      <c r="Q9711">
        <v>1</v>
      </c>
      <c r="R9711" t="s">
        <v>45105</v>
      </c>
      <c r="S9711" t="s">
        <v>45353</v>
      </c>
      <c r="T9711" t="s">
        <v>46969</v>
      </c>
      <c r="U9711" t="s">
        <v>55517</v>
      </c>
      <c r="W9711" t="s">
        <v>44389</v>
      </c>
      <c r="X9711" t="s">
        <v>45106</v>
      </c>
    </row>
    <row r="9712" spans="1:24">
      <c r="A9712">
        <f>HYPERLINK("https://www.philgeps.gov.ph/GEPSNONPILOT/Tender/SplashBidNoticeAbstractUI.aspx?menuIndex=3&amp;refID=7032573&amp;Result=3","7032573")</f>
        <v>0</v>
      </c>
      <c r="B9712" t="s">
        <v>1098</v>
      </c>
      <c r="C9712" t="s">
        <v>12453</v>
      </c>
      <c r="D9712" t="s">
        <v>18055</v>
      </c>
      <c r="E9712" t="s">
        <v>26586</v>
      </c>
      <c r="F9712" t="s">
        <v>31574</v>
      </c>
      <c r="G9712" t="s">
        <v>31582</v>
      </c>
      <c r="H9712" t="s">
        <v>31591</v>
      </c>
      <c r="I9712" t="s">
        <v>8822</v>
      </c>
      <c r="J9712" t="s">
        <v>32550</v>
      </c>
      <c r="K9712" t="s">
        <v>41326</v>
      </c>
      <c r="M9712" t="s">
        <v>42647</v>
      </c>
      <c r="N9712" t="s">
        <v>45095</v>
      </c>
      <c r="O9712" t="s">
        <v>45096</v>
      </c>
      <c r="P9712">
        <v>0</v>
      </c>
      <c r="Q9712">
        <v>93</v>
      </c>
      <c r="R9712" t="s">
        <v>45105</v>
      </c>
      <c r="S9712" t="s">
        <v>45353</v>
      </c>
      <c r="T9712" t="s">
        <v>47010</v>
      </c>
      <c r="U9712" t="s">
        <v>55518</v>
      </c>
      <c r="V9712" t="s">
        <v>60862</v>
      </c>
      <c r="W9712" t="s">
        <v>42647</v>
      </c>
      <c r="X9712" t="s">
        <v>45106</v>
      </c>
    </row>
    <row r="9713" spans="1:24">
      <c r="A9713">
        <f>HYPERLINK("https://www.philgeps.gov.ph/GEPSNONPILOT/Tender/SplashBidNoticeAbstractUI.aspx?menuIndex=3&amp;refID=7032549&amp;Result=3","7032549")</f>
        <v>0</v>
      </c>
      <c r="B9713" t="s">
        <v>2639</v>
      </c>
      <c r="C9713" t="s">
        <v>8176</v>
      </c>
      <c r="D9713" t="s">
        <v>18022</v>
      </c>
      <c r="E9713" t="s">
        <v>20830</v>
      </c>
      <c r="F9713" t="s">
        <v>31574</v>
      </c>
      <c r="G9713" t="s">
        <v>31582</v>
      </c>
      <c r="H9713" t="s">
        <v>31590</v>
      </c>
      <c r="I9713" t="s">
        <v>4327</v>
      </c>
      <c r="J9713" t="s">
        <v>35409</v>
      </c>
      <c r="K9713" t="s">
        <v>41196</v>
      </c>
      <c r="M9713" t="s">
        <v>44392</v>
      </c>
      <c r="N9713" t="s">
        <v>45095</v>
      </c>
      <c r="O9713" t="s">
        <v>45096</v>
      </c>
      <c r="P9713">
        <v>0</v>
      </c>
      <c r="Q9713">
        <v>1</v>
      </c>
      <c r="R9713" t="s">
        <v>45105</v>
      </c>
      <c r="S9713" t="s">
        <v>45353</v>
      </c>
      <c r="T9713" t="s">
        <v>46929</v>
      </c>
      <c r="U9713" t="s">
        <v>55519</v>
      </c>
      <c r="V9713" t="s">
        <v>60863</v>
      </c>
      <c r="W9713" t="s">
        <v>44392</v>
      </c>
      <c r="X9713" t="s">
        <v>45106</v>
      </c>
    </row>
    <row r="9714" spans="1:24">
      <c r="A9714">
        <f>HYPERLINK("https://www.philgeps.gov.ph/GEPSNONPILOT/Tender/SplashBidNoticeAbstractUI.aspx?menuIndex=3&amp;refID=7032556&amp;Result=3","7032556")</f>
        <v>0</v>
      </c>
      <c r="B9714" t="s">
        <v>2640</v>
      </c>
      <c r="C9714" t="s">
        <v>12454</v>
      </c>
      <c r="E9714" t="s">
        <v>26587</v>
      </c>
      <c r="F9714" t="s">
        <v>31574</v>
      </c>
      <c r="G9714" t="s">
        <v>31582</v>
      </c>
      <c r="H9714" t="s">
        <v>31591</v>
      </c>
      <c r="I9714" t="s">
        <v>8822</v>
      </c>
      <c r="J9714" t="s">
        <v>37833</v>
      </c>
      <c r="K9714" t="s">
        <v>41186</v>
      </c>
      <c r="M9714" t="s">
        <v>44393</v>
      </c>
      <c r="N9714" t="s">
        <v>45095</v>
      </c>
      <c r="O9714" t="s">
        <v>45096</v>
      </c>
      <c r="P9714">
        <v>0</v>
      </c>
      <c r="Q9714">
        <v>1</v>
      </c>
      <c r="R9714" t="s">
        <v>45105</v>
      </c>
      <c r="S9714" t="s">
        <v>45353</v>
      </c>
      <c r="T9714" t="s">
        <v>47164</v>
      </c>
      <c r="U9714" t="s">
        <v>55520</v>
      </c>
      <c r="W9714" t="s">
        <v>44393</v>
      </c>
      <c r="X9714" t="s">
        <v>45106</v>
      </c>
    </row>
    <row r="9715" spans="1:24">
      <c r="A9715">
        <f>HYPERLINK("https://www.philgeps.gov.ph/GEPSNONPILOT/Tender/SplashBidNoticeAbstractUI.aspx?menuIndex=3&amp;refID=7032567&amp;Result=3","7032567")</f>
        <v>0</v>
      </c>
      <c r="B9715" t="s">
        <v>1615</v>
      </c>
      <c r="C9715" t="s">
        <v>12455</v>
      </c>
      <c r="D9715" t="s">
        <v>18100</v>
      </c>
      <c r="E9715" t="s">
        <v>26588</v>
      </c>
      <c r="F9715" t="s">
        <v>31579</v>
      </c>
      <c r="G9715" t="s">
        <v>31582</v>
      </c>
      <c r="H9715" t="s">
        <v>31590</v>
      </c>
      <c r="I9715" t="s">
        <v>4046</v>
      </c>
      <c r="J9715" t="s">
        <v>37834</v>
      </c>
      <c r="K9715" t="s">
        <v>41190</v>
      </c>
      <c r="M9715" t="s">
        <v>43220</v>
      </c>
      <c r="N9715" t="s">
        <v>45095</v>
      </c>
      <c r="O9715" t="s">
        <v>45096</v>
      </c>
      <c r="P9715">
        <v>0</v>
      </c>
      <c r="Q9715">
        <v>0</v>
      </c>
      <c r="R9715" t="s">
        <v>45105</v>
      </c>
      <c r="S9715" t="s">
        <v>45353</v>
      </c>
      <c r="T9715" t="s">
        <v>47008</v>
      </c>
      <c r="U9715" t="s">
        <v>55521</v>
      </c>
      <c r="W9715" t="s">
        <v>43220</v>
      </c>
      <c r="X9715" t="s">
        <v>45106</v>
      </c>
    </row>
    <row r="9716" spans="1:24">
      <c r="A9716">
        <f>HYPERLINK("https://www.philgeps.gov.ph/GEPSNONPILOT/Tender/SplashBidNoticeAbstractUI.aspx?menuIndex=3&amp;refID=7032563&amp;Result=3","7032563")</f>
        <v>0</v>
      </c>
      <c r="B9716" t="s">
        <v>1098</v>
      </c>
      <c r="C9716" t="s">
        <v>12456</v>
      </c>
      <c r="D9716" t="s">
        <v>18055</v>
      </c>
      <c r="E9716" t="s">
        <v>26589</v>
      </c>
      <c r="F9716" t="s">
        <v>31574</v>
      </c>
      <c r="G9716" t="s">
        <v>31582</v>
      </c>
      <c r="H9716" t="s">
        <v>31590</v>
      </c>
      <c r="I9716" t="s">
        <v>31615</v>
      </c>
      <c r="J9716" t="s">
        <v>31758</v>
      </c>
      <c r="K9716" t="s">
        <v>41186</v>
      </c>
      <c r="M9716" t="s">
        <v>42647</v>
      </c>
      <c r="N9716" t="s">
        <v>45095</v>
      </c>
      <c r="O9716" t="s">
        <v>45096</v>
      </c>
      <c r="P9716">
        <v>0</v>
      </c>
      <c r="Q9716">
        <v>2</v>
      </c>
      <c r="R9716" t="s">
        <v>45105</v>
      </c>
      <c r="S9716" t="s">
        <v>45353</v>
      </c>
      <c r="T9716" t="s">
        <v>46943</v>
      </c>
      <c r="U9716" t="s">
        <v>55522</v>
      </c>
      <c r="V9716" t="s">
        <v>60864</v>
      </c>
      <c r="W9716" t="s">
        <v>42647</v>
      </c>
      <c r="X9716" t="s">
        <v>45106</v>
      </c>
    </row>
    <row r="9717" spans="1:24">
      <c r="A9717">
        <f>HYPERLINK("https://www.philgeps.gov.ph/GEPSNONPILOT/Tender/SplashBidNoticeAbstractUI.aspx?menuIndex=3&amp;refID=7032547&amp;Result=3","7032547")</f>
        <v>0</v>
      </c>
      <c r="B9717" t="s">
        <v>1098</v>
      </c>
      <c r="C9717" t="s">
        <v>12457</v>
      </c>
      <c r="D9717" t="s">
        <v>18055</v>
      </c>
      <c r="E9717" t="s">
        <v>26590</v>
      </c>
      <c r="F9717" t="s">
        <v>31574</v>
      </c>
      <c r="G9717" t="s">
        <v>31582</v>
      </c>
      <c r="H9717" t="s">
        <v>31590</v>
      </c>
      <c r="I9717" t="s">
        <v>31615</v>
      </c>
      <c r="J9717" t="s">
        <v>37779</v>
      </c>
      <c r="K9717" t="s">
        <v>41186</v>
      </c>
      <c r="M9717" t="s">
        <v>42647</v>
      </c>
      <c r="N9717" t="s">
        <v>45095</v>
      </c>
      <c r="O9717" t="s">
        <v>45096</v>
      </c>
      <c r="P9717">
        <v>0</v>
      </c>
      <c r="Q9717">
        <v>6</v>
      </c>
      <c r="R9717" t="s">
        <v>45105</v>
      </c>
      <c r="S9717" t="s">
        <v>45353</v>
      </c>
      <c r="T9717" t="s">
        <v>47134</v>
      </c>
      <c r="U9717" t="s">
        <v>55523</v>
      </c>
      <c r="V9717" t="s">
        <v>60865</v>
      </c>
      <c r="W9717" t="s">
        <v>42647</v>
      </c>
      <c r="X9717" t="s">
        <v>45106</v>
      </c>
    </row>
    <row r="9718" spans="1:24">
      <c r="A9718">
        <f>HYPERLINK("https://www.philgeps.gov.ph/GEPSNONPILOT/Tender/SplashBidNoticeAbstractUI.aspx?menuIndex=3&amp;refID=7032550&amp;Result=3","7032550")</f>
        <v>0</v>
      </c>
      <c r="B9718" t="s">
        <v>1594</v>
      </c>
      <c r="C9718" t="s">
        <v>12458</v>
      </c>
      <c r="D9718" t="s">
        <v>18022</v>
      </c>
      <c r="E9718" t="s">
        <v>26591</v>
      </c>
      <c r="F9718" t="s">
        <v>31574</v>
      </c>
      <c r="G9718" t="s">
        <v>31582</v>
      </c>
      <c r="H9718" t="s">
        <v>31590</v>
      </c>
      <c r="I9718" t="s">
        <v>31595</v>
      </c>
      <c r="J9718" t="s">
        <v>37835</v>
      </c>
      <c r="K9718" t="s">
        <v>41243</v>
      </c>
      <c r="M9718" t="s">
        <v>44394</v>
      </c>
      <c r="N9718" t="s">
        <v>45095</v>
      </c>
      <c r="O9718" t="s">
        <v>45096</v>
      </c>
      <c r="P9718">
        <v>0</v>
      </c>
      <c r="Q9718">
        <v>8</v>
      </c>
      <c r="R9718" t="s">
        <v>45105</v>
      </c>
      <c r="S9718" t="s">
        <v>45353</v>
      </c>
      <c r="T9718" t="s">
        <v>47266</v>
      </c>
      <c r="U9718" t="s">
        <v>55524</v>
      </c>
      <c r="W9718" t="s">
        <v>43198</v>
      </c>
      <c r="X9718" t="s">
        <v>45106</v>
      </c>
    </row>
    <row r="9719" spans="1:24">
      <c r="A9719">
        <f>HYPERLINK("https://www.philgeps.gov.ph/GEPSNONPILOT/Tender/SplashBidNoticeAbstractUI.aspx?menuIndex=3&amp;refID=7032537&amp;Result=3","7032537")</f>
        <v>0</v>
      </c>
      <c r="B9719" t="s">
        <v>2641</v>
      </c>
      <c r="C9719" t="s">
        <v>12459</v>
      </c>
      <c r="D9719" t="s">
        <v>18095</v>
      </c>
      <c r="E9719" t="s">
        <v>19091</v>
      </c>
      <c r="F9719" t="s">
        <v>31574</v>
      </c>
      <c r="G9719" t="s">
        <v>31582</v>
      </c>
      <c r="H9719" t="s">
        <v>31590</v>
      </c>
      <c r="I9719" t="s">
        <v>31602</v>
      </c>
      <c r="J9719" t="s">
        <v>37836</v>
      </c>
      <c r="K9719" t="s">
        <v>41346</v>
      </c>
      <c r="M9719" t="s">
        <v>44395</v>
      </c>
      <c r="N9719" t="s">
        <v>45095</v>
      </c>
      <c r="O9719" t="s">
        <v>45096</v>
      </c>
      <c r="P9719">
        <v>0</v>
      </c>
      <c r="Q9719">
        <v>2</v>
      </c>
      <c r="R9719" t="s">
        <v>45105</v>
      </c>
      <c r="S9719" t="s">
        <v>45353</v>
      </c>
      <c r="T9719" t="s">
        <v>46992</v>
      </c>
      <c r="U9719" t="s">
        <v>55525</v>
      </c>
      <c r="W9719" t="s">
        <v>44395</v>
      </c>
      <c r="X9719" t="s">
        <v>45106</v>
      </c>
    </row>
    <row r="9720" spans="1:24">
      <c r="A9720">
        <f>HYPERLINK("https://www.philgeps.gov.ph/GEPSNONPILOT/Tender/SplashBidNoticeAbstractUI.aspx?menuIndex=3&amp;refID=7032533&amp;Result=3","7032533")</f>
        <v>0</v>
      </c>
      <c r="B9720" t="s">
        <v>2642</v>
      </c>
      <c r="C9720" t="s">
        <v>12460</v>
      </c>
      <c r="D9720" t="s">
        <v>18040</v>
      </c>
      <c r="E9720" t="s">
        <v>26592</v>
      </c>
      <c r="F9720" t="s">
        <v>31574</v>
      </c>
      <c r="G9720" t="s">
        <v>31582</v>
      </c>
      <c r="H9720" t="s">
        <v>31592</v>
      </c>
      <c r="I9720" t="s">
        <v>31600</v>
      </c>
      <c r="J9720" t="s">
        <v>37837</v>
      </c>
      <c r="K9720" t="s">
        <v>41194</v>
      </c>
      <c r="M9720" t="s">
        <v>44396</v>
      </c>
      <c r="N9720" t="s">
        <v>45095</v>
      </c>
      <c r="O9720" t="s">
        <v>45096</v>
      </c>
      <c r="P9720">
        <v>0</v>
      </c>
      <c r="Q9720">
        <v>2</v>
      </c>
      <c r="R9720" t="s">
        <v>45105</v>
      </c>
      <c r="S9720" t="s">
        <v>45353</v>
      </c>
      <c r="T9720" t="s">
        <v>46926</v>
      </c>
      <c r="U9720" t="s">
        <v>55526</v>
      </c>
      <c r="V9720" t="s">
        <v>60852</v>
      </c>
      <c r="W9720" t="s">
        <v>44396</v>
      </c>
      <c r="X9720" t="s">
        <v>45106</v>
      </c>
    </row>
    <row r="9721" spans="1:24">
      <c r="A9721">
        <f>HYPERLINK("https://www.philgeps.gov.ph/GEPSNONPILOT/Tender/SplashBidNoticeAbstractUI.aspx?menuIndex=3&amp;refID=7032539&amp;Result=3","7032539")</f>
        <v>0</v>
      </c>
      <c r="B9721" t="s">
        <v>2642</v>
      </c>
      <c r="C9721" t="s">
        <v>12461</v>
      </c>
      <c r="D9721" t="s">
        <v>18040</v>
      </c>
      <c r="E9721" t="s">
        <v>26566</v>
      </c>
      <c r="F9721" t="s">
        <v>31574</v>
      </c>
      <c r="G9721" t="s">
        <v>31582</v>
      </c>
      <c r="H9721" t="s">
        <v>31592</v>
      </c>
      <c r="I9721" t="s">
        <v>31605</v>
      </c>
      <c r="J9721" t="s">
        <v>37837</v>
      </c>
      <c r="K9721" t="s">
        <v>41194</v>
      </c>
      <c r="M9721" t="s">
        <v>44396</v>
      </c>
      <c r="N9721" t="s">
        <v>45095</v>
      </c>
      <c r="O9721" t="s">
        <v>45096</v>
      </c>
      <c r="P9721">
        <v>0</v>
      </c>
      <c r="Q9721">
        <v>2</v>
      </c>
      <c r="R9721" t="s">
        <v>45105</v>
      </c>
      <c r="S9721" t="s">
        <v>45353</v>
      </c>
      <c r="T9721" t="s">
        <v>46935</v>
      </c>
      <c r="U9721" t="s">
        <v>55526</v>
      </c>
      <c r="V9721" t="s">
        <v>60852</v>
      </c>
      <c r="W9721" t="s">
        <v>44396</v>
      </c>
      <c r="X9721" t="s">
        <v>45106</v>
      </c>
    </row>
    <row r="9722" spans="1:24">
      <c r="A9722">
        <f>HYPERLINK("https://www.philgeps.gov.ph/GEPSNONPILOT/Tender/SplashBidNoticeAbstractUI.aspx?menuIndex=3&amp;refID=7032661&amp;Result=3","7032661")</f>
        <v>0</v>
      </c>
      <c r="B9722" t="s">
        <v>2479</v>
      </c>
      <c r="C9722" t="s">
        <v>12462</v>
      </c>
      <c r="D9722" t="s">
        <v>18033</v>
      </c>
      <c r="E9722" t="s">
        <v>26593</v>
      </c>
      <c r="F9722" t="s">
        <v>31574</v>
      </c>
      <c r="G9722" t="s">
        <v>31582</v>
      </c>
      <c r="H9722" t="s">
        <v>31590</v>
      </c>
      <c r="I9722" t="s">
        <v>6800</v>
      </c>
      <c r="J9722" t="s">
        <v>37838</v>
      </c>
      <c r="K9722" t="s">
        <v>41184</v>
      </c>
      <c r="M9722" t="s">
        <v>44209</v>
      </c>
      <c r="N9722" t="s">
        <v>45095</v>
      </c>
      <c r="O9722" t="s">
        <v>45096</v>
      </c>
      <c r="P9722">
        <v>0</v>
      </c>
      <c r="Q9722">
        <v>2</v>
      </c>
      <c r="R9722" t="s">
        <v>45105</v>
      </c>
      <c r="S9722" t="s">
        <v>45353</v>
      </c>
      <c r="T9722" t="s">
        <v>46965</v>
      </c>
      <c r="U9722" t="s">
        <v>55527</v>
      </c>
      <c r="V9722" t="s">
        <v>60866</v>
      </c>
      <c r="W9722" t="s">
        <v>44209</v>
      </c>
      <c r="X9722" t="s">
        <v>45106</v>
      </c>
    </row>
    <row r="9723" spans="1:24">
      <c r="A9723">
        <f>HYPERLINK("https://www.philgeps.gov.ph/GEPSNONPILOT/Tender/SplashBidNoticeAbstractUI.aspx?menuIndex=3&amp;refID=7032641&amp;Result=3","7032641")</f>
        <v>0</v>
      </c>
      <c r="B9723" t="s">
        <v>2643</v>
      </c>
      <c r="C9723" t="s">
        <v>12463</v>
      </c>
      <c r="D9723" t="s">
        <v>18081</v>
      </c>
      <c r="E9723" t="s">
        <v>26594</v>
      </c>
      <c r="F9723" t="s">
        <v>31574</v>
      </c>
      <c r="G9723" t="s">
        <v>31582</v>
      </c>
      <c r="H9723" t="s">
        <v>31590</v>
      </c>
      <c r="I9723" t="s">
        <v>31615</v>
      </c>
      <c r="J9723" t="s">
        <v>37839</v>
      </c>
      <c r="K9723" t="s">
        <v>41192</v>
      </c>
      <c r="M9723" t="s">
        <v>44397</v>
      </c>
      <c r="N9723" t="s">
        <v>45095</v>
      </c>
      <c r="O9723" t="s">
        <v>45096</v>
      </c>
      <c r="Q9723">
        <v>9</v>
      </c>
      <c r="R9723" t="s">
        <v>45105</v>
      </c>
      <c r="S9723" t="s">
        <v>45375</v>
      </c>
      <c r="T9723" t="s">
        <v>47367</v>
      </c>
      <c r="U9723" t="s">
        <v>55528</v>
      </c>
      <c r="W9723" t="s">
        <v>44397</v>
      </c>
      <c r="X9723" t="s">
        <v>45106</v>
      </c>
    </row>
    <row r="9724" spans="1:24">
      <c r="A9724">
        <f>HYPERLINK("https://www.philgeps.gov.ph/GEPSNONPILOT/Tender/SplashBidNoticeAbstractUI.aspx?menuIndex=3&amp;refID=7032642&amp;Result=3","7032642")</f>
        <v>0</v>
      </c>
      <c r="B9724" t="s">
        <v>823</v>
      </c>
      <c r="C9724" t="s">
        <v>12464</v>
      </c>
      <c r="D9724" t="s">
        <v>18073</v>
      </c>
      <c r="E9724" t="s">
        <v>26595</v>
      </c>
      <c r="F9724" t="s">
        <v>31574</v>
      </c>
      <c r="G9724" t="s">
        <v>31582</v>
      </c>
      <c r="H9724" t="s">
        <v>31591</v>
      </c>
      <c r="I9724" t="s">
        <v>8822</v>
      </c>
      <c r="J9724" t="s">
        <v>33124</v>
      </c>
      <c r="K9724" t="s">
        <v>41184</v>
      </c>
      <c r="M9724" t="s">
        <v>42700</v>
      </c>
      <c r="N9724" t="s">
        <v>45095</v>
      </c>
      <c r="O9724" t="s">
        <v>45096</v>
      </c>
      <c r="P9724">
        <v>0</v>
      </c>
      <c r="Q9724">
        <v>0</v>
      </c>
      <c r="R9724" t="s">
        <v>45105</v>
      </c>
      <c r="S9724" t="s">
        <v>45353</v>
      </c>
      <c r="T9724" t="s">
        <v>47000</v>
      </c>
      <c r="U9724" t="s">
        <v>55529</v>
      </c>
      <c r="W9724" t="s">
        <v>42700</v>
      </c>
      <c r="X9724" t="s">
        <v>45106</v>
      </c>
    </row>
    <row r="9725" spans="1:24">
      <c r="A9725">
        <f>HYPERLINK("https://www.philgeps.gov.ph/GEPSNONPILOT/Tender/SplashBidNoticeAbstractUI.aspx?menuIndex=3&amp;refID=7032639&amp;Result=3","7032639")</f>
        <v>0</v>
      </c>
      <c r="B9725" t="s">
        <v>2644</v>
      </c>
      <c r="C9725" t="s">
        <v>9629</v>
      </c>
      <c r="D9725" t="s">
        <v>18046</v>
      </c>
      <c r="E9725" t="s">
        <v>26596</v>
      </c>
      <c r="F9725" t="s">
        <v>31574</v>
      </c>
      <c r="G9725" t="s">
        <v>31582</v>
      </c>
      <c r="H9725" t="s">
        <v>31590</v>
      </c>
      <c r="I9725" t="s">
        <v>31636</v>
      </c>
      <c r="J9725" t="s">
        <v>37840</v>
      </c>
      <c r="K9725" t="s">
        <v>41190</v>
      </c>
      <c r="M9725" t="s">
        <v>44398</v>
      </c>
      <c r="N9725" t="s">
        <v>45095</v>
      </c>
      <c r="O9725" t="s">
        <v>45096</v>
      </c>
      <c r="P9725">
        <v>0</v>
      </c>
      <c r="Q9725">
        <v>0</v>
      </c>
      <c r="R9725" t="s">
        <v>45105</v>
      </c>
      <c r="S9725" t="s">
        <v>45353</v>
      </c>
      <c r="T9725" t="s">
        <v>46955</v>
      </c>
      <c r="U9725" t="s">
        <v>55530</v>
      </c>
      <c r="W9725" t="s">
        <v>44398</v>
      </c>
      <c r="X9725" t="s">
        <v>45106</v>
      </c>
    </row>
    <row r="9726" spans="1:24">
      <c r="A9726">
        <f>HYPERLINK("https://www.philgeps.gov.ph/GEPSNONPILOT/Tender/SplashBidNoticeAbstractUI.aspx?menuIndex=3&amp;refID=7032650&amp;Result=3","7032650")</f>
        <v>0</v>
      </c>
      <c r="B9726" t="s">
        <v>823</v>
      </c>
      <c r="C9726" t="s">
        <v>12465</v>
      </c>
      <c r="D9726" t="s">
        <v>18073</v>
      </c>
      <c r="E9726" t="s">
        <v>26597</v>
      </c>
      <c r="F9726" t="s">
        <v>31574</v>
      </c>
      <c r="G9726" t="s">
        <v>31582</v>
      </c>
      <c r="H9726" t="s">
        <v>31591</v>
      </c>
      <c r="I9726" t="s">
        <v>8822</v>
      </c>
      <c r="J9726" t="s">
        <v>32869</v>
      </c>
      <c r="K9726" t="s">
        <v>41184</v>
      </c>
      <c r="M9726" t="s">
        <v>42700</v>
      </c>
      <c r="N9726" t="s">
        <v>45095</v>
      </c>
      <c r="O9726" t="s">
        <v>45096</v>
      </c>
      <c r="P9726">
        <v>0</v>
      </c>
      <c r="Q9726">
        <v>0</v>
      </c>
      <c r="R9726" t="s">
        <v>45105</v>
      </c>
      <c r="S9726" t="s">
        <v>45353</v>
      </c>
      <c r="T9726" t="s">
        <v>47000</v>
      </c>
      <c r="U9726" t="s">
        <v>55531</v>
      </c>
      <c r="W9726" t="s">
        <v>42700</v>
      </c>
      <c r="X9726" t="s">
        <v>45106</v>
      </c>
    </row>
    <row r="9727" spans="1:24">
      <c r="A9727">
        <f>HYPERLINK("https://www.philgeps.gov.ph/GEPSNONPILOT/Tender/SplashBidNoticeAbstractUI.aspx?menuIndex=3&amp;refID=7032640&amp;Result=3","7032640")</f>
        <v>0</v>
      </c>
      <c r="B9727" t="s">
        <v>823</v>
      </c>
      <c r="C9727" t="s">
        <v>12466</v>
      </c>
      <c r="D9727" t="s">
        <v>18073</v>
      </c>
      <c r="E9727" t="s">
        <v>26598</v>
      </c>
      <c r="F9727" t="s">
        <v>31574</v>
      </c>
      <c r="G9727" t="s">
        <v>31582</v>
      </c>
      <c r="H9727" t="s">
        <v>31591</v>
      </c>
      <c r="I9727" t="s">
        <v>8822</v>
      </c>
      <c r="J9727" t="s">
        <v>37841</v>
      </c>
      <c r="K9727" t="s">
        <v>41184</v>
      </c>
      <c r="M9727" t="s">
        <v>42700</v>
      </c>
      <c r="N9727" t="s">
        <v>45095</v>
      </c>
      <c r="O9727" t="s">
        <v>45096</v>
      </c>
      <c r="P9727">
        <v>0</v>
      </c>
      <c r="Q9727">
        <v>0</v>
      </c>
      <c r="R9727" t="s">
        <v>45105</v>
      </c>
      <c r="S9727" t="s">
        <v>45353</v>
      </c>
      <c r="T9727" t="s">
        <v>47000</v>
      </c>
      <c r="U9727" t="s">
        <v>55532</v>
      </c>
      <c r="W9727" t="s">
        <v>42700</v>
      </c>
      <c r="X9727" t="s">
        <v>45106</v>
      </c>
    </row>
    <row r="9728" spans="1:24">
      <c r="A9728">
        <f>HYPERLINK("https://www.philgeps.gov.ph/GEPSNONPILOT/Tender/SplashBidNoticeAbstractUI.aspx?menuIndex=3&amp;refID=7032653&amp;Result=3","7032653")</f>
        <v>0</v>
      </c>
      <c r="B9728" t="s">
        <v>154</v>
      </c>
      <c r="C9728" t="s">
        <v>12467</v>
      </c>
      <c r="D9728" t="s">
        <v>18063</v>
      </c>
      <c r="E9728" t="s">
        <v>26599</v>
      </c>
      <c r="F9728" t="s">
        <v>31574</v>
      </c>
      <c r="G9728" t="s">
        <v>31582</v>
      </c>
      <c r="H9728" t="s">
        <v>31590</v>
      </c>
      <c r="I9728" t="s">
        <v>31619</v>
      </c>
      <c r="J9728" t="s">
        <v>33088</v>
      </c>
      <c r="K9728" t="s">
        <v>41190</v>
      </c>
      <c r="M9728" t="s">
        <v>41638</v>
      </c>
      <c r="N9728" t="s">
        <v>45095</v>
      </c>
      <c r="O9728" t="s">
        <v>45096</v>
      </c>
      <c r="P9728">
        <v>0</v>
      </c>
      <c r="Q9728">
        <v>12</v>
      </c>
      <c r="R9728" t="s">
        <v>45105</v>
      </c>
      <c r="S9728" t="s">
        <v>45353</v>
      </c>
      <c r="T9728" t="s">
        <v>47171</v>
      </c>
      <c r="U9728" t="s">
        <v>55533</v>
      </c>
      <c r="W9728" t="s">
        <v>41638</v>
      </c>
      <c r="X9728" t="s">
        <v>45106</v>
      </c>
    </row>
    <row r="9729" spans="1:24">
      <c r="A9729">
        <f>HYPERLINK("https://www.philgeps.gov.ph/GEPSNONPILOT/Tender/SplashBidNoticeAbstractUI.aspx?menuIndex=3&amp;refID=7032637&amp;Result=3","7032637")</f>
        <v>0</v>
      </c>
      <c r="B9729" t="s">
        <v>823</v>
      </c>
      <c r="C9729" t="s">
        <v>12468</v>
      </c>
      <c r="D9729" t="s">
        <v>18073</v>
      </c>
      <c r="E9729" t="s">
        <v>26600</v>
      </c>
      <c r="F9729" t="s">
        <v>31574</v>
      </c>
      <c r="G9729" t="s">
        <v>31582</v>
      </c>
      <c r="H9729" t="s">
        <v>31591</v>
      </c>
      <c r="I9729" t="s">
        <v>8822</v>
      </c>
      <c r="J9729" t="s">
        <v>37842</v>
      </c>
      <c r="K9729" t="s">
        <v>41184</v>
      </c>
      <c r="M9729" t="s">
        <v>42700</v>
      </c>
      <c r="N9729" t="s">
        <v>45095</v>
      </c>
      <c r="O9729" t="s">
        <v>45096</v>
      </c>
      <c r="P9729">
        <v>0</v>
      </c>
      <c r="Q9729">
        <v>0</v>
      </c>
      <c r="R9729" t="s">
        <v>45105</v>
      </c>
      <c r="S9729" t="s">
        <v>45353</v>
      </c>
      <c r="T9729" t="s">
        <v>47000</v>
      </c>
      <c r="U9729" t="s">
        <v>55534</v>
      </c>
      <c r="W9729" t="s">
        <v>42700</v>
      </c>
      <c r="X9729" t="s">
        <v>45106</v>
      </c>
    </row>
    <row r="9730" spans="1:24">
      <c r="A9730">
        <f>HYPERLINK("https://www.philgeps.gov.ph/GEPSNONPILOT/Tender/SplashBidNoticeAbstractUI.aspx?menuIndex=3&amp;refID=7032648&amp;Result=3","7032648")</f>
        <v>0</v>
      </c>
      <c r="B9730" t="s">
        <v>823</v>
      </c>
      <c r="C9730" t="s">
        <v>12469</v>
      </c>
      <c r="D9730" t="s">
        <v>18073</v>
      </c>
      <c r="E9730" t="s">
        <v>26601</v>
      </c>
      <c r="F9730" t="s">
        <v>31574</v>
      </c>
      <c r="G9730" t="s">
        <v>31582</v>
      </c>
      <c r="H9730" t="s">
        <v>31591</v>
      </c>
      <c r="I9730" t="s">
        <v>8822</v>
      </c>
      <c r="J9730" t="s">
        <v>33124</v>
      </c>
      <c r="K9730" t="s">
        <v>41184</v>
      </c>
      <c r="M9730" t="s">
        <v>42700</v>
      </c>
      <c r="N9730" t="s">
        <v>45095</v>
      </c>
      <c r="O9730" t="s">
        <v>45096</v>
      </c>
      <c r="P9730">
        <v>0</v>
      </c>
      <c r="Q9730">
        <v>0</v>
      </c>
      <c r="R9730" t="s">
        <v>45105</v>
      </c>
      <c r="S9730" t="s">
        <v>45353</v>
      </c>
      <c r="T9730" t="s">
        <v>47000</v>
      </c>
      <c r="U9730" t="s">
        <v>55535</v>
      </c>
      <c r="W9730" t="s">
        <v>42700</v>
      </c>
      <c r="X9730" t="s">
        <v>45106</v>
      </c>
    </row>
    <row r="9731" spans="1:24">
      <c r="A9731">
        <f>HYPERLINK("https://www.philgeps.gov.ph/GEPSNONPILOT/Tender/SplashBidNoticeAbstractUI.aspx?menuIndex=3&amp;refID=7032576&amp;Result=3","7032576")</f>
        <v>0</v>
      </c>
      <c r="B9731" t="s">
        <v>2636</v>
      </c>
      <c r="C9731" t="s">
        <v>12470</v>
      </c>
      <c r="D9731" t="s">
        <v>18078</v>
      </c>
      <c r="E9731" t="s">
        <v>26602</v>
      </c>
      <c r="F9731" t="s">
        <v>31574</v>
      </c>
      <c r="G9731" t="s">
        <v>31582</v>
      </c>
      <c r="H9731" t="s">
        <v>31590</v>
      </c>
      <c r="I9731" t="s">
        <v>31637</v>
      </c>
      <c r="J9731" t="s">
        <v>31947</v>
      </c>
      <c r="K9731" t="s">
        <v>41186</v>
      </c>
      <c r="M9731" t="s">
        <v>44388</v>
      </c>
      <c r="N9731" t="s">
        <v>45095</v>
      </c>
      <c r="O9731" t="s">
        <v>45096</v>
      </c>
      <c r="P9731">
        <v>0</v>
      </c>
      <c r="Q9731">
        <v>1</v>
      </c>
      <c r="R9731" t="s">
        <v>45105</v>
      </c>
      <c r="S9731" t="s">
        <v>45353</v>
      </c>
      <c r="T9731" t="s">
        <v>46977</v>
      </c>
      <c r="U9731" t="s">
        <v>55536</v>
      </c>
      <c r="W9731" t="s">
        <v>44388</v>
      </c>
      <c r="X9731" t="s">
        <v>45106</v>
      </c>
    </row>
    <row r="9732" spans="1:24">
      <c r="A9732">
        <f>HYPERLINK("https://www.philgeps.gov.ph/GEPSNONPILOT/Tender/SplashBidNoticeAbstractUI.aspx?menuIndex=3&amp;refID=7032617&amp;Result=3","7032617")</f>
        <v>0</v>
      </c>
      <c r="B9732" t="s">
        <v>206</v>
      </c>
      <c r="C9732" t="s">
        <v>12471</v>
      </c>
      <c r="D9732" t="s">
        <v>18037</v>
      </c>
      <c r="E9732" t="s">
        <v>26603</v>
      </c>
      <c r="F9732" t="s">
        <v>31574</v>
      </c>
      <c r="G9732" t="s">
        <v>31582</v>
      </c>
      <c r="H9732" t="s">
        <v>31590</v>
      </c>
      <c r="I9732" t="s">
        <v>5717</v>
      </c>
      <c r="J9732" t="s">
        <v>37843</v>
      </c>
      <c r="K9732" t="s">
        <v>41186</v>
      </c>
      <c r="M9732" t="s">
        <v>41691</v>
      </c>
      <c r="N9732" t="s">
        <v>45095</v>
      </c>
      <c r="O9732" t="s">
        <v>45096</v>
      </c>
      <c r="P9732">
        <v>0</v>
      </c>
      <c r="Q9732">
        <v>4</v>
      </c>
      <c r="R9732" t="s">
        <v>45105</v>
      </c>
      <c r="S9732" t="s">
        <v>45353</v>
      </c>
      <c r="T9732" t="s">
        <v>46938</v>
      </c>
      <c r="U9732" t="s">
        <v>55537</v>
      </c>
      <c r="W9732" t="s">
        <v>41691</v>
      </c>
      <c r="X9732" t="s">
        <v>45106</v>
      </c>
    </row>
    <row r="9733" spans="1:24">
      <c r="A9733">
        <f>HYPERLINK("https://www.philgeps.gov.ph/GEPSNONPILOT/Tender/SplashBidNoticeAbstractUI.aspx?menuIndex=3&amp;refID=7032660&amp;Result=3","7032660")</f>
        <v>0</v>
      </c>
      <c r="B9733" t="s">
        <v>2645</v>
      </c>
      <c r="C9733" t="s">
        <v>12472</v>
      </c>
      <c r="D9733" t="s">
        <v>18044</v>
      </c>
      <c r="E9733" t="s">
        <v>20771</v>
      </c>
      <c r="F9733" t="s">
        <v>31574</v>
      </c>
      <c r="G9733" t="s">
        <v>31582</v>
      </c>
      <c r="H9733" t="s">
        <v>31590</v>
      </c>
      <c r="I9733" t="s">
        <v>4046</v>
      </c>
      <c r="J9733" t="s">
        <v>31727</v>
      </c>
      <c r="K9733" t="s">
        <v>41212</v>
      </c>
      <c r="M9733" t="s">
        <v>44399</v>
      </c>
      <c r="N9733" t="s">
        <v>45095</v>
      </c>
      <c r="O9733" t="s">
        <v>45096</v>
      </c>
      <c r="P9733">
        <v>0</v>
      </c>
      <c r="Q9733">
        <v>0</v>
      </c>
      <c r="R9733" t="s">
        <v>45105</v>
      </c>
      <c r="S9733" t="s">
        <v>45353</v>
      </c>
      <c r="T9733" t="s">
        <v>47154</v>
      </c>
      <c r="U9733" t="s">
        <v>55538</v>
      </c>
      <c r="W9733" t="s">
        <v>44399</v>
      </c>
      <c r="X9733" t="s">
        <v>45106</v>
      </c>
    </row>
    <row r="9734" spans="1:24">
      <c r="A9734">
        <f>HYPERLINK("https://www.philgeps.gov.ph/GEPSNONPILOT/Tender/SplashBidNoticeAbstractUI.aspx?menuIndex=3&amp;refID=7032638&amp;Result=3","7032638")</f>
        <v>0</v>
      </c>
      <c r="B9734" t="s">
        <v>823</v>
      </c>
      <c r="C9734" t="s">
        <v>12473</v>
      </c>
      <c r="D9734" t="s">
        <v>18073</v>
      </c>
      <c r="E9734" t="s">
        <v>26604</v>
      </c>
      <c r="F9734" t="s">
        <v>31574</v>
      </c>
      <c r="G9734" t="s">
        <v>31582</v>
      </c>
      <c r="H9734" t="s">
        <v>31591</v>
      </c>
      <c r="I9734" t="s">
        <v>8822</v>
      </c>
      <c r="J9734" t="s">
        <v>37844</v>
      </c>
      <c r="K9734" t="s">
        <v>41184</v>
      </c>
      <c r="M9734" t="s">
        <v>42700</v>
      </c>
      <c r="N9734" t="s">
        <v>45095</v>
      </c>
      <c r="O9734" t="s">
        <v>45096</v>
      </c>
      <c r="P9734">
        <v>0</v>
      </c>
      <c r="Q9734">
        <v>1</v>
      </c>
      <c r="R9734" t="s">
        <v>45105</v>
      </c>
      <c r="S9734" t="s">
        <v>45353</v>
      </c>
      <c r="T9734" t="s">
        <v>47000</v>
      </c>
      <c r="U9734" t="s">
        <v>55539</v>
      </c>
      <c r="W9734" t="s">
        <v>42700</v>
      </c>
      <c r="X9734" t="s">
        <v>45106</v>
      </c>
    </row>
    <row r="9735" spans="1:24">
      <c r="A9735">
        <f>HYPERLINK("https://www.philgeps.gov.ph/GEPSNONPILOT/Tender/SplashBidNoticeAbstractUI.aspx?menuIndex=3&amp;refID=7032644&amp;Result=3","7032644")</f>
        <v>0</v>
      </c>
      <c r="B9735" t="s">
        <v>823</v>
      </c>
      <c r="C9735" t="s">
        <v>12474</v>
      </c>
      <c r="D9735" t="s">
        <v>18073</v>
      </c>
      <c r="E9735" t="s">
        <v>26605</v>
      </c>
      <c r="F9735" t="s">
        <v>31574</v>
      </c>
      <c r="G9735" t="s">
        <v>31582</v>
      </c>
      <c r="H9735" t="s">
        <v>31591</v>
      </c>
      <c r="I9735" t="s">
        <v>8822</v>
      </c>
      <c r="J9735" t="s">
        <v>33124</v>
      </c>
      <c r="K9735" t="s">
        <v>41184</v>
      </c>
      <c r="M9735" t="s">
        <v>42700</v>
      </c>
      <c r="N9735" t="s">
        <v>45095</v>
      </c>
      <c r="O9735" t="s">
        <v>45096</v>
      </c>
      <c r="P9735">
        <v>0</v>
      </c>
      <c r="Q9735">
        <v>0</v>
      </c>
      <c r="R9735" t="s">
        <v>45105</v>
      </c>
      <c r="S9735" t="s">
        <v>45353</v>
      </c>
      <c r="T9735" t="s">
        <v>47000</v>
      </c>
      <c r="U9735" t="s">
        <v>55540</v>
      </c>
      <c r="W9735" t="s">
        <v>42700</v>
      </c>
      <c r="X9735" t="s">
        <v>45106</v>
      </c>
    </row>
    <row r="9736" spans="1:24">
      <c r="A9736">
        <f>HYPERLINK("https://www.philgeps.gov.ph/GEPSNONPILOT/Tender/SplashBidNoticeAbstractUI.aspx?menuIndex=3&amp;refID=7032601&amp;Result=3","7032601")</f>
        <v>0</v>
      </c>
      <c r="B9736" t="s">
        <v>206</v>
      </c>
      <c r="C9736" t="s">
        <v>12475</v>
      </c>
      <c r="D9736" t="s">
        <v>18037</v>
      </c>
      <c r="E9736" t="s">
        <v>26606</v>
      </c>
      <c r="F9736" t="s">
        <v>31574</v>
      </c>
      <c r="G9736" t="s">
        <v>31582</v>
      </c>
      <c r="H9736" t="s">
        <v>31591</v>
      </c>
      <c r="I9736" t="s">
        <v>8822</v>
      </c>
      <c r="J9736" t="s">
        <v>31730</v>
      </c>
      <c r="K9736" t="s">
        <v>41200</v>
      </c>
      <c r="M9736" t="s">
        <v>41691</v>
      </c>
      <c r="N9736" t="s">
        <v>45095</v>
      </c>
      <c r="O9736" t="s">
        <v>45096</v>
      </c>
      <c r="P9736">
        <v>0</v>
      </c>
      <c r="Q9736">
        <v>2</v>
      </c>
      <c r="R9736" t="s">
        <v>45105</v>
      </c>
      <c r="S9736" t="s">
        <v>45353</v>
      </c>
      <c r="T9736" t="s">
        <v>46938</v>
      </c>
      <c r="U9736" t="s">
        <v>55541</v>
      </c>
      <c r="W9736" t="s">
        <v>41691</v>
      </c>
      <c r="X9736" t="s">
        <v>45106</v>
      </c>
    </row>
    <row r="9737" spans="1:24">
      <c r="A9737">
        <f>HYPERLINK("https://www.philgeps.gov.ph/GEPSNONPILOT/Tender/SplashBidNoticeAbstractUI.aspx?menuIndex=3&amp;refID=7032603&amp;Result=3","7032603")</f>
        <v>0</v>
      </c>
      <c r="B9737" t="s">
        <v>1013</v>
      </c>
      <c r="C9737" t="s">
        <v>12476</v>
      </c>
      <c r="D9737" t="s">
        <v>18070</v>
      </c>
      <c r="E9737" t="s">
        <v>26607</v>
      </c>
      <c r="F9737" t="s">
        <v>31574</v>
      </c>
      <c r="G9737" t="s">
        <v>31582</v>
      </c>
      <c r="H9737" t="s">
        <v>31591</v>
      </c>
      <c r="I9737" t="s">
        <v>8822</v>
      </c>
      <c r="J9737" t="s">
        <v>37845</v>
      </c>
      <c r="K9737" t="s">
        <v>41200</v>
      </c>
      <c r="M9737" t="s">
        <v>42553</v>
      </c>
      <c r="N9737" t="s">
        <v>45095</v>
      </c>
      <c r="O9737" t="s">
        <v>45096</v>
      </c>
      <c r="P9737">
        <v>0</v>
      </c>
      <c r="Q9737">
        <v>0</v>
      </c>
      <c r="R9737" t="s">
        <v>45105</v>
      </c>
      <c r="S9737" t="s">
        <v>45353</v>
      </c>
      <c r="T9737" t="s">
        <v>46941</v>
      </c>
      <c r="U9737" t="s">
        <v>49752</v>
      </c>
      <c r="W9737" t="s">
        <v>42553</v>
      </c>
      <c r="X9737" t="s">
        <v>45106</v>
      </c>
    </row>
    <row r="9738" spans="1:24">
      <c r="A9738">
        <f>HYPERLINK("https://www.philgeps.gov.ph/GEPSNONPILOT/Tender/SplashBidNoticeAbstractUI.aspx?menuIndex=3&amp;refID=7032614&amp;Result=3","7032614")</f>
        <v>0</v>
      </c>
      <c r="B9738" t="s">
        <v>2646</v>
      </c>
      <c r="C9738" t="s">
        <v>12477</v>
      </c>
      <c r="D9738" t="s">
        <v>18037</v>
      </c>
      <c r="E9738" t="s">
        <v>22285</v>
      </c>
      <c r="F9738" t="s">
        <v>31574</v>
      </c>
      <c r="G9738" t="s">
        <v>31582</v>
      </c>
      <c r="H9738" t="s">
        <v>31590</v>
      </c>
      <c r="I9738" t="s">
        <v>31614</v>
      </c>
      <c r="J9738" t="s">
        <v>32662</v>
      </c>
      <c r="K9738" t="s">
        <v>41189</v>
      </c>
      <c r="M9738" t="s">
        <v>44400</v>
      </c>
      <c r="N9738" t="s">
        <v>45095</v>
      </c>
      <c r="O9738" t="s">
        <v>45096</v>
      </c>
      <c r="P9738">
        <v>0</v>
      </c>
      <c r="Q9738">
        <v>4</v>
      </c>
      <c r="R9738" t="s">
        <v>45105</v>
      </c>
      <c r="S9738" t="s">
        <v>45353</v>
      </c>
      <c r="T9738" t="s">
        <v>46939</v>
      </c>
      <c r="U9738" t="s">
        <v>55542</v>
      </c>
      <c r="V9738" t="s">
        <v>60867</v>
      </c>
      <c r="W9738" t="s">
        <v>44400</v>
      </c>
      <c r="X9738" t="s">
        <v>45106</v>
      </c>
    </row>
    <row r="9739" spans="1:24">
      <c r="A9739">
        <f>HYPERLINK("https://www.philgeps.gov.ph/GEPSNONPILOT/Tender/SplashBidNoticeAbstractUI.aspx?menuIndex=3&amp;refID=7032579&amp;Result=3","7032579")</f>
        <v>0</v>
      </c>
      <c r="B9739" t="s">
        <v>952</v>
      </c>
      <c r="C9739" t="s">
        <v>12478</v>
      </c>
      <c r="D9739" t="s">
        <v>18058</v>
      </c>
      <c r="E9739" t="s">
        <v>26608</v>
      </c>
      <c r="F9739" t="s">
        <v>31574</v>
      </c>
      <c r="G9739" t="s">
        <v>31582</v>
      </c>
      <c r="H9739" t="s">
        <v>31590</v>
      </c>
      <c r="I9739" t="s">
        <v>31615</v>
      </c>
      <c r="J9739" t="s">
        <v>37846</v>
      </c>
      <c r="K9739" t="s">
        <v>41184</v>
      </c>
      <c r="M9739" t="s">
        <v>44401</v>
      </c>
      <c r="N9739" t="s">
        <v>45095</v>
      </c>
      <c r="O9739" t="s">
        <v>45096</v>
      </c>
      <c r="Q9739">
        <v>5</v>
      </c>
      <c r="R9739" t="s">
        <v>45105</v>
      </c>
      <c r="S9739" t="s">
        <v>45376</v>
      </c>
      <c r="T9739" t="s">
        <v>47151</v>
      </c>
      <c r="U9739" t="s">
        <v>55543</v>
      </c>
      <c r="W9739" t="s">
        <v>61749</v>
      </c>
      <c r="X9739" t="s">
        <v>45106</v>
      </c>
    </row>
    <row r="9740" spans="1:24">
      <c r="A9740">
        <f>HYPERLINK("https://www.philgeps.gov.ph/GEPSNONPILOT/Tender/SplashBidNoticeAbstractUI.aspx?menuIndex=3&amp;refID=7032646&amp;Result=3","7032646")</f>
        <v>0</v>
      </c>
      <c r="B9740" t="s">
        <v>823</v>
      </c>
      <c r="C9740" t="s">
        <v>12479</v>
      </c>
      <c r="D9740" t="s">
        <v>18073</v>
      </c>
      <c r="E9740" t="s">
        <v>26609</v>
      </c>
      <c r="F9740" t="s">
        <v>31574</v>
      </c>
      <c r="G9740" t="s">
        <v>31582</v>
      </c>
      <c r="H9740" t="s">
        <v>31591</v>
      </c>
      <c r="I9740" t="s">
        <v>8822</v>
      </c>
      <c r="J9740" t="s">
        <v>33124</v>
      </c>
      <c r="K9740" t="s">
        <v>41184</v>
      </c>
      <c r="M9740" t="s">
        <v>42700</v>
      </c>
      <c r="N9740" t="s">
        <v>45095</v>
      </c>
      <c r="O9740" t="s">
        <v>45096</v>
      </c>
      <c r="P9740">
        <v>0</v>
      </c>
      <c r="Q9740">
        <v>0</v>
      </c>
      <c r="R9740" t="s">
        <v>45105</v>
      </c>
      <c r="S9740" t="s">
        <v>45353</v>
      </c>
      <c r="T9740" t="s">
        <v>47000</v>
      </c>
      <c r="U9740" t="s">
        <v>55544</v>
      </c>
      <c r="W9740" t="s">
        <v>42700</v>
      </c>
      <c r="X9740" t="s">
        <v>45106</v>
      </c>
    </row>
    <row r="9741" spans="1:24">
      <c r="A9741">
        <f>HYPERLINK("https://www.philgeps.gov.ph/GEPSNONPILOT/Tender/SplashBidNoticeAbstractUI.aspx?menuIndex=3&amp;refID=7032682&amp;Result=3","7032682")</f>
        <v>0</v>
      </c>
      <c r="B9741" t="s">
        <v>1211</v>
      </c>
      <c r="C9741" t="s">
        <v>12480</v>
      </c>
      <c r="D9741" t="s">
        <v>18041</v>
      </c>
      <c r="E9741" t="s">
        <v>26610</v>
      </c>
      <c r="F9741" t="s">
        <v>31574</v>
      </c>
      <c r="G9741" t="s">
        <v>31582</v>
      </c>
      <c r="H9741" t="s">
        <v>31591</v>
      </c>
      <c r="I9741" t="s">
        <v>8822</v>
      </c>
      <c r="J9741" t="s">
        <v>37847</v>
      </c>
      <c r="K9741" t="s">
        <v>41395</v>
      </c>
      <c r="M9741" t="s">
        <v>42771</v>
      </c>
      <c r="N9741" t="s">
        <v>45095</v>
      </c>
      <c r="O9741" t="s">
        <v>45096</v>
      </c>
      <c r="P9741">
        <v>0</v>
      </c>
      <c r="Q9741">
        <v>11</v>
      </c>
      <c r="R9741" t="s">
        <v>45105</v>
      </c>
      <c r="S9741" t="s">
        <v>45353</v>
      </c>
      <c r="T9741" t="s">
        <v>46977</v>
      </c>
      <c r="U9741" t="s">
        <v>55545</v>
      </c>
      <c r="W9741" t="s">
        <v>61750</v>
      </c>
      <c r="X9741" t="s">
        <v>45106</v>
      </c>
    </row>
    <row r="9742" spans="1:24">
      <c r="A9742">
        <f>HYPERLINK("https://www.philgeps.gov.ph/GEPSNONPILOT/Tender/SplashBidNoticeAbstractUI.aspx?menuIndex=3&amp;refID=7032578&amp;Result=3","7032578")</f>
        <v>0</v>
      </c>
      <c r="B9742" t="s">
        <v>2643</v>
      </c>
      <c r="C9742" t="s">
        <v>12481</v>
      </c>
      <c r="D9742" t="s">
        <v>18081</v>
      </c>
      <c r="E9742" t="s">
        <v>26611</v>
      </c>
      <c r="F9742" t="s">
        <v>31574</v>
      </c>
      <c r="G9742" t="s">
        <v>31582</v>
      </c>
      <c r="H9742" t="s">
        <v>31590</v>
      </c>
      <c r="I9742" t="s">
        <v>8822</v>
      </c>
      <c r="J9742" t="s">
        <v>37848</v>
      </c>
      <c r="K9742" t="s">
        <v>41267</v>
      </c>
      <c r="M9742" t="s">
        <v>44397</v>
      </c>
      <c r="N9742" t="s">
        <v>45095</v>
      </c>
      <c r="O9742" t="s">
        <v>45096</v>
      </c>
      <c r="P9742">
        <v>0</v>
      </c>
      <c r="Q9742">
        <v>1</v>
      </c>
      <c r="R9742" t="s">
        <v>45105</v>
      </c>
      <c r="S9742" t="s">
        <v>45353</v>
      </c>
      <c r="T9742" t="s">
        <v>47367</v>
      </c>
      <c r="U9742" t="s">
        <v>55546</v>
      </c>
      <c r="W9742" t="s">
        <v>44397</v>
      </c>
      <c r="X9742" t="s">
        <v>45106</v>
      </c>
    </row>
    <row r="9743" spans="1:24">
      <c r="A9743">
        <f>HYPERLINK("https://www.philgeps.gov.ph/GEPSNONPILOT/Tender/SplashBidNoticeAbstractUI.aspx?menuIndex=3&amp;refID=7032745&amp;Result=3","7032745")</f>
        <v>0</v>
      </c>
      <c r="B9743" t="s">
        <v>1211</v>
      </c>
      <c r="C9743" t="s">
        <v>12482</v>
      </c>
      <c r="D9743" t="s">
        <v>18041</v>
      </c>
      <c r="E9743" t="s">
        <v>26612</v>
      </c>
      <c r="F9743" t="s">
        <v>31574</v>
      </c>
      <c r="G9743" t="s">
        <v>31582</v>
      </c>
      <c r="H9743" t="s">
        <v>31591</v>
      </c>
      <c r="I9743" t="s">
        <v>8822</v>
      </c>
      <c r="J9743" t="s">
        <v>31819</v>
      </c>
      <c r="K9743" t="s">
        <v>41192</v>
      </c>
      <c r="M9743" t="s">
        <v>42771</v>
      </c>
      <c r="N9743" t="s">
        <v>45095</v>
      </c>
      <c r="O9743" t="s">
        <v>45096</v>
      </c>
      <c r="P9743">
        <v>0</v>
      </c>
      <c r="Q9743">
        <v>9</v>
      </c>
      <c r="R9743" t="s">
        <v>45105</v>
      </c>
      <c r="S9743" t="s">
        <v>45353</v>
      </c>
      <c r="T9743" t="s">
        <v>46977</v>
      </c>
      <c r="U9743" t="s">
        <v>55547</v>
      </c>
      <c r="W9743" t="s">
        <v>61750</v>
      </c>
      <c r="X9743" t="s">
        <v>45106</v>
      </c>
    </row>
    <row r="9744" spans="1:24">
      <c r="A9744">
        <f>HYPERLINK("https://www.philgeps.gov.ph/GEPSNONPILOT/Tender/SplashBidNoticeAbstractUI.aspx?menuIndex=3&amp;refID=7032737&amp;Result=3","7032737")</f>
        <v>0</v>
      </c>
      <c r="B9744" t="s">
        <v>2019</v>
      </c>
      <c r="C9744" t="s">
        <v>12483</v>
      </c>
      <c r="E9744" t="s">
        <v>26613</v>
      </c>
      <c r="F9744" t="s">
        <v>31574</v>
      </c>
      <c r="G9744" t="s">
        <v>31582</v>
      </c>
      <c r="H9744" t="s">
        <v>31591</v>
      </c>
      <c r="I9744" t="s">
        <v>8822</v>
      </c>
      <c r="J9744" t="s">
        <v>37849</v>
      </c>
      <c r="K9744" t="s">
        <v>41186</v>
      </c>
      <c r="M9744" t="s">
        <v>44402</v>
      </c>
      <c r="N9744" t="s">
        <v>45095</v>
      </c>
      <c r="O9744" t="s">
        <v>45096</v>
      </c>
      <c r="P9744">
        <v>0</v>
      </c>
      <c r="Q9744">
        <v>0</v>
      </c>
      <c r="R9744" t="s">
        <v>45105</v>
      </c>
      <c r="S9744" t="s">
        <v>45353</v>
      </c>
      <c r="T9744" t="s">
        <v>46992</v>
      </c>
      <c r="U9744" t="s">
        <v>55548</v>
      </c>
      <c r="W9744" t="s">
        <v>44402</v>
      </c>
      <c r="X9744" t="s">
        <v>45106</v>
      </c>
    </row>
    <row r="9745" spans="1:24">
      <c r="A9745">
        <f>HYPERLINK("https://www.philgeps.gov.ph/GEPSNONPILOT/Tender/SplashBidNoticeAbstractUI.aspx?menuIndex=3&amp;refID=7032684&amp;Result=3","7032684")</f>
        <v>0</v>
      </c>
      <c r="B9745" t="s">
        <v>1086</v>
      </c>
      <c r="C9745" t="s">
        <v>12484</v>
      </c>
      <c r="D9745" t="s">
        <v>18048</v>
      </c>
      <c r="E9745" t="s">
        <v>26614</v>
      </c>
      <c r="F9745" t="s">
        <v>31574</v>
      </c>
      <c r="G9745" t="s">
        <v>31582</v>
      </c>
      <c r="H9745" t="s">
        <v>31591</v>
      </c>
      <c r="I9745" t="s">
        <v>8822</v>
      </c>
      <c r="J9745" t="s">
        <v>31819</v>
      </c>
      <c r="K9745" t="s">
        <v>41192</v>
      </c>
      <c r="M9745" t="s">
        <v>42635</v>
      </c>
      <c r="N9745" t="s">
        <v>45095</v>
      </c>
      <c r="O9745" t="s">
        <v>45096</v>
      </c>
      <c r="P9745">
        <v>0</v>
      </c>
      <c r="Q9745">
        <v>0</v>
      </c>
      <c r="R9745" t="s">
        <v>45105</v>
      </c>
      <c r="S9745" t="s">
        <v>45353</v>
      </c>
      <c r="T9745" t="s">
        <v>46979</v>
      </c>
      <c r="U9745" t="s">
        <v>50336</v>
      </c>
      <c r="W9745" t="s">
        <v>42635</v>
      </c>
      <c r="X9745" t="s">
        <v>45106</v>
      </c>
    </row>
    <row r="9746" spans="1:24">
      <c r="A9746">
        <f>HYPERLINK("https://www.philgeps.gov.ph/GEPSNONPILOT/Tender/SplashBidNoticeAbstractUI.aspx?menuIndex=3&amp;refID=7032703&amp;Result=3","7032703")</f>
        <v>0</v>
      </c>
      <c r="B9746" t="s">
        <v>1086</v>
      </c>
      <c r="C9746" t="s">
        <v>12485</v>
      </c>
      <c r="D9746" t="s">
        <v>18048</v>
      </c>
      <c r="E9746" t="s">
        <v>26615</v>
      </c>
      <c r="F9746" t="s">
        <v>31574</v>
      </c>
      <c r="G9746" t="s">
        <v>31582</v>
      </c>
      <c r="H9746" t="s">
        <v>31591</v>
      </c>
      <c r="I9746" t="s">
        <v>8822</v>
      </c>
      <c r="J9746" t="s">
        <v>31771</v>
      </c>
      <c r="K9746" t="s">
        <v>41192</v>
      </c>
      <c r="M9746" t="s">
        <v>42635</v>
      </c>
      <c r="N9746" t="s">
        <v>45095</v>
      </c>
      <c r="O9746" t="s">
        <v>45096</v>
      </c>
      <c r="P9746">
        <v>0</v>
      </c>
      <c r="Q9746">
        <v>1</v>
      </c>
      <c r="R9746" t="s">
        <v>45105</v>
      </c>
      <c r="S9746" t="s">
        <v>45353</v>
      </c>
      <c r="T9746" t="s">
        <v>46922</v>
      </c>
      <c r="U9746" t="s">
        <v>50336</v>
      </c>
      <c r="W9746" t="s">
        <v>42635</v>
      </c>
      <c r="X9746" t="s">
        <v>45106</v>
      </c>
    </row>
    <row r="9747" spans="1:24">
      <c r="A9747">
        <f>HYPERLINK("https://www.philgeps.gov.ph/GEPSNONPILOT/Tender/SplashBidNoticeAbstractUI.aspx?menuIndex=3&amp;refID=7032736&amp;Result=3","7032736")</f>
        <v>0</v>
      </c>
      <c r="B9747" t="s">
        <v>1211</v>
      </c>
      <c r="C9747" t="s">
        <v>12486</v>
      </c>
      <c r="D9747" t="s">
        <v>18041</v>
      </c>
      <c r="E9747" t="s">
        <v>26616</v>
      </c>
      <c r="F9747" t="s">
        <v>31574</v>
      </c>
      <c r="G9747" t="s">
        <v>31582</v>
      </c>
      <c r="H9747" t="s">
        <v>31591</v>
      </c>
      <c r="I9747" t="s">
        <v>8822</v>
      </c>
      <c r="J9747" t="s">
        <v>31935</v>
      </c>
      <c r="K9747" t="s">
        <v>41198</v>
      </c>
      <c r="M9747" t="s">
        <v>42771</v>
      </c>
      <c r="N9747" t="s">
        <v>45095</v>
      </c>
      <c r="O9747" t="s">
        <v>45096</v>
      </c>
      <c r="P9747">
        <v>0</v>
      </c>
      <c r="Q9747">
        <v>8</v>
      </c>
      <c r="R9747" t="s">
        <v>45105</v>
      </c>
      <c r="S9747" t="s">
        <v>45353</v>
      </c>
      <c r="T9747" t="s">
        <v>47093</v>
      </c>
      <c r="U9747" t="s">
        <v>55549</v>
      </c>
      <c r="W9747" t="s">
        <v>61750</v>
      </c>
      <c r="X9747" t="s">
        <v>45106</v>
      </c>
    </row>
    <row r="9748" spans="1:24">
      <c r="A9748">
        <f>HYPERLINK("https://www.philgeps.gov.ph/GEPSNONPILOT/Tender/SplashBidNoticeAbstractUI.aspx?menuIndex=3&amp;refID=7032699&amp;Result=3","7032699")</f>
        <v>0</v>
      </c>
      <c r="B9748" t="s">
        <v>1086</v>
      </c>
      <c r="C9748" t="s">
        <v>12487</v>
      </c>
      <c r="D9748" t="s">
        <v>18048</v>
      </c>
      <c r="E9748" t="s">
        <v>26617</v>
      </c>
      <c r="F9748" t="s">
        <v>31574</v>
      </c>
      <c r="G9748" t="s">
        <v>31582</v>
      </c>
      <c r="H9748" t="s">
        <v>31591</v>
      </c>
      <c r="I9748" t="s">
        <v>8822</v>
      </c>
      <c r="J9748" t="s">
        <v>31819</v>
      </c>
      <c r="K9748" t="s">
        <v>41192</v>
      </c>
      <c r="M9748" t="s">
        <v>42635</v>
      </c>
      <c r="N9748" t="s">
        <v>45095</v>
      </c>
      <c r="O9748" t="s">
        <v>45096</v>
      </c>
      <c r="P9748">
        <v>0</v>
      </c>
      <c r="Q9748">
        <v>2</v>
      </c>
      <c r="R9748" t="s">
        <v>45105</v>
      </c>
      <c r="S9748" t="s">
        <v>45353</v>
      </c>
      <c r="T9748" t="s">
        <v>46922</v>
      </c>
      <c r="U9748" t="s">
        <v>50336</v>
      </c>
      <c r="W9748" t="s">
        <v>42635</v>
      </c>
      <c r="X9748" t="s">
        <v>45106</v>
      </c>
    </row>
    <row r="9749" spans="1:24">
      <c r="A9749">
        <f>HYPERLINK("https://www.philgeps.gov.ph/GEPSNONPILOT/Tender/SplashBidNoticeAbstractUI.aspx?menuIndex=3&amp;refID=7032665&amp;Result=3","7032665")</f>
        <v>0</v>
      </c>
      <c r="B9749" t="s">
        <v>1086</v>
      </c>
      <c r="C9749" t="s">
        <v>12488</v>
      </c>
      <c r="D9749" t="s">
        <v>18048</v>
      </c>
      <c r="E9749" t="s">
        <v>26618</v>
      </c>
      <c r="F9749" t="s">
        <v>31574</v>
      </c>
      <c r="G9749" t="s">
        <v>31582</v>
      </c>
      <c r="H9749" t="s">
        <v>31591</v>
      </c>
      <c r="I9749" t="s">
        <v>8822</v>
      </c>
      <c r="J9749" t="s">
        <v>37850</v>
      </c>
      <c r="K9749" t="s">
        <v>41192</v>
      </c>
      <c r="M9749" t="s">
        <v>42635</v>
      </c>
      <c r="N9749" t="s">
        <v>45095</v>
      </c>
      <c r="O9749" t="s">
        <v>45096</v>
      </c>
      <c r="P9749">
        <v>0</v>
      </c>
      <c r="Q9749">
        <v>0</v>
      </c>
      <c r="R9749" t="s">
        <v>45105</v>
      </c>
      <c r="S9749" t="s">
        <v>45353</v>
      </c>
      <c r="T9749" t="s">
        <v>46979</v>
      </c>
      <c r="U9749" t="s">
        <v>50336</v>
      </c>
      <c r="W9749" t="s">
        <v>42635</v>
      </c>
      <c r="X9749" t="s">
        <v>45106</v>
      </c>
    </row>
    <row r="9750" spans="1:24">
      <c r="A9750">
        <f>HYPERLINK("https://www.philgeps.gov.ph/GEPSNONPILOT/Tender/SplashBidNoticeAbstractUI.aspx?menuIndex=3&amp;refID=7032742&amp;Result=3","7032742")</f>
        <v>0</v>
      </c>
      <c r="B9750" t="s">
        <v>1407</v>
      </c>
      <c r="C9750" t="s">
        <v>12489</v>
      </c>
      <c r="E9750" t="s">
        <v>26619</v>
      </c>
      <c r="F9750" t="s">
        <v>31574</v>
      </c>
      <c r="G9750" t="s">
        <v>31582</v>
      </c>
      <c r="H9750" t="s">
        <v>31590</v>
      </c>
      <c r="I9750" t="s">
        <v>31699</v>
      </c>
      <c r="J9750" t="s">
        <v>37851</v>
      </c>
      <c r="K9750" t="s">
        <v>41192</v>
      </c>
      <c r="M9750" t="s">
        <v>42983</v>
      </c>
      <c r="N9750" t="s">
        <v>45095</v>
      </c>
      <c r="O9750" t="s">
        <v>45096</v>
      </c>
      <c r="Q9750">
        <v>3</v>
      </c>
      <c r="R9750" t="s">
        <v>45105</v>
      </c>
      <c r="S9750" t="s">
        <v>45377</v>
      </c>
      <c r="T9750" t="s">
        <v>46908</v>
      </c>
      <c r="U9750" t="s">
        <v>55550</v>
      </c>
      <c r="W9750" t="s">
        <v>42983</v>
      </c>
      <c r="X9750" t="s">
        <v>45106</v>
      </c>
    </row>
    <row r="9751" spans="1:24">
      <c r="A9751">
        <f>HYPERLINK("https://www.philgeps.gov.ph/GEPSNONPILOT/Tender/SplashBidNoticeAbstractUI.aspx?menuIndex=3&amp;refID=7032723&amp;Result=3","7032723")</f>
        <v>0</v>
      </c>
      <c r="B9751" t="s">
        <v>2028</v>
      </c>
      <c r="C9751" t="s">
        <v>12490</v>
      </c>
      <c r="D9751" t="s">
        <v>18078</v>
      </c>
      <c r="E9751" t="s">
        <v>26620</v>
      </c>
      <c r="F9751" t="s">
        <v>31574</v>
      </c>
      <c r="G9751" t="s">
        <v>31582</v>
      </c>
      <c r="H9751" t="s">
        <v>31590</v>
      </c>
      <c r="I9751" t="s">
        <v>5717</v>
      </c>
      <c r="J9751" t="s">
        <v>37852</v>
      </c>
      <c r="K9751" t="s">
        <v>41186</v>
      </c>
      <c r="M9751" t="s">
        <v>43693</v>
      </c>
      <c r="N9751" t="s">
        <v>45095</v>
      </c>
      <c r="O9751" t="s">
        <v>45096</v>
      </c>
      <c r="P9751">
        <v>0</v>
      </c>
      <c r="Q9751">
        <v>2</v>
      </c>
      <c r="R9751" t="s">
        <v>45105</v>
      </c>
      <c r="S9751" t="s">
        <v>45353</v>
      </c>
      <c r="T9751" t="s">
        <v>46963</v>
      </c>
      <c r="U9751" t="s">
        <v>55551</v>
      </c>
      <c r="W9751" t="s">
        <v>43693</v>
      </c>
      <c r="X9751" t="s">
        <v>45106</v>
      </c>
    </row>
    <row r="9752" spans="1:24">
      <c r="A9752">
        <f>HYPERLINK("https://www.philgeps.gov.ph/GEPSNONPILOT/Tender/SplashBidNoticeAbstractUI.aspx?menuIndex=3&amp;refID=7032700&amp;Result=3","7032700")</f>
        <v>0</v>
      </c>
      <c r="B9752" t="s">
        <v>2592</v>
      </c>
      <c r="C9752" t="s">
        <v>12491</v>
      </c>
      <c r="D9752" t="s">
        <v>18023</v>
      </c>
      <c r="E9752" t="s">
        <v>18162</v>
      </c>
      <c r="F9752" t="s">
        <v>31574</v>
      </c>
      <c r="G9752" t="s">
        <v>31582</v>
      </c>
      <c r="H9752" t="s">
        <v>31590</v>
      </c>
      <c r="I9752" t="s">
        <v>31619</v>
      </c>
      <c r="J9752" t="s">
        <v>31931</v>
      </c>
      <c r="K9752" t="s">
        <v>41186</v>
      </c>
      <c r="M9752" t="s">
        <v>44335</v>
      </c>
      <c r="N9752" t="s">
        <v>45095</v>
      </c>
      <c r="O9752" t="s">
        <v>45096</v>
      </c>
      <c r="P9752">
        <v>0</v>
      </c>
      <c r="Q9752">
        <v>4</v>
      </c>
      <c r="R9752" t="s">
        <v>45105</v>
      </c>
      <c r="S9752" t="s">
        <v>45353</v>
      </c>
      <c r="T9752" t="s">
        <v>46904</v>
      </c>
      <c r="U9752" t="s">
        <v>55552</v>
      </c>
      <c r="W9752" t="s">
        <v>44335</v>
      </c>
      <c r="X9752" t="s">
        <v>45106</v>
      </c>
    </row>
    <row r="9753" spans="1:24">
      <c r="A9753">
        <f>HYPERLINK("https://www.philgeps.gov.ph/GEPSNONPILOT/Tender/SplashBidNoticeAbstractUI.aspx?menuIndex=3&amp;refID=7032710&amp;Result=3","7032710")</f>
        <v>0</v>
      </c>
      <c r="B9753" t="s">
        <v>1086</v>
      </c>
      <c r="C9753" t="s">
        <v>12492</v>
      </c>
      <c r="D9753" t="s">
        <v>18048</v>
      </c>
      <c r="E9753" t="s">
        <v>26621</v>
      </c>
      <c r="F9753" t="s">
        <v>31574</v>
      </c>
      <c r="G9753" t="s">
        <v>31582</v>
      </c>
      <c r="H9753" t="s">
        <v>31591</v>
      </c>
      <c r="I9753" t="s">
        <v>8822</v>
      </c>
      <c r="J9753" t="s">
        <v>32026</v>
      </c>
      <c r="K9753" t="s">
        <v>41192</v>
      </c>
      <c r="M9753" t="s">
        <v>42635</v>
      </c>
      <c r="N9753" t="s">
        <v>45095</v>
      </c>
      <c r="O9753" t="s">
        <v>45096</v>
      </c>
      <c r="P9753">
        <v>0</v>
      </c>
      <c r="Q9753">
        <v>0</v>
      </c>
      <c r="R9753" t="s">
        <v>45105</v>
      </c>
      <c r="S9753" t="s">
        <v>45353</v>
      </c>
      <c r="T9753" t="s">
        <v>46941</v>
      </c>
      <c r="U9753" t="s">
        <v>50336</v>
      </c>
      <c r="W9753" t="s">
        <v>42635</v>
      </c>
      <c r="X9753" t="s">
        <v>45106</v>
      </c>
    </row>
    <row r="9754" spans="1:24">
      <c r="A9754">
        <f>HYPERLINK("https://www.philgeps.gov.ph/GEPSNONPILOT/Tender/SplashBidNoticeAbstractUI.aspx?menuIndex=3&amp;refID=7032728&amp;Result=3","7032728")</f>
        <v>0</v>
      </c>
      <c r="B9754" t="s">
        <v>1211</v>
      </c>
      <c r="C9754" t="s">
        <v>12493</v>
      </c>
      <c r="D9754" t="s">
        <v>18041</v>
      </c>
      <c r="E9754" t="s">
        <v>26622</v>
      </c>
      <c r="F9754" t="s">
        <v>31574</v>
      </c>
      <c r="G9754" t="s">
        <v>31582</v>
      </c>
      <c r="H9754" t="s">
        <v>31591</v>
      </c>
      <c r="I9754" t="s">
        <v>8822</v>
      </c>
      <c r="J9754" t="s">
        <v>37853</v>
      </c>
      <c r="K9754" t="s">
        <v>41189</v>
      </c>
      <c r="M9754" t="s">
        <v>42771</v>
      </c>
      <c r="N9754" t="s">
        <v>45095</v>
      </c>
      <c r="O9754" t="s">
        <v>45096</v>
      </c>
      <c r="P9754">
        <v>0</v>
      </c>
      <c r="Q9754">
        <v>9</v>
      </c>
      <c r="R9754" t="s">
        <v>45105</v>
      </c>
      <c r="S9754" t="s">
        <v>45353</v>
      </c>
      <c r="T9754" t="s">
        <v>46977</v>
      </c>
      <c r="U9754" t="s">
        <v>55553</v>
      </c>
      <c r="W9754" t="s">
        <v>61750</v>
      </c>
      <c r="X9754" t="s">
        <v>45106</v>
      </c>
    </row>
    <row r="9755" spans="1:24">
      <c r="A9755">
        <f>HYPERLINK("https://www.philgeps.gov.ph/GEPSNONPILOT/Tender/SplashBidNoticeAbstractUI.aspx?menuIndex=3&amp;refID=7032716&amp;Result=3","7032716")</f>
        <v>0</v>
      </c>
      <c r="B9755" t="s">
        <v>2019</v>
      </c>
      <c r="C9755" t="s">
        <v>12494</v>
      </c>
      <c r="D9755" t="s">
        <v>18070</v>
      </c>
      <c r="E9755" t="s">
        <v>26623</v>
      </c>
      <c r="F9755" t="s">
        <v>31574</v>
      </c>
      <c r="G9755" t="s">
        <v>31582</v>
      </c>
      <c r="H9755" t="s">
        <v>31591</v>
      </c>
      <c r="I9755" t="s">
        <v>8822</v>
      </c>
      <c r="J9755" t="s">
        <v>34120</v>
      </c>
      <c r="K9755" t="s">
        <v>41186</v>
      </c>
      <c r="M9755" t="s">
        <v>43681</v>
      </c>
      <c r="N9755" t="s">
        <v>45095</v>
      </c>
      <c r="O9755" t="s">
        <v>45096</v>
      </c>
      <c r="P9755">
        <v>0</v>
      </c>
      <c r="Q9755">
        <v>1</v>
      </c>
      <c r="R9755" t="s">
        <v>45105</v>
      </c>
      <c r="S9755" t="s">
        <v>45353</v>
      </c>
      <c r="T9755" t="s">
        <v>46992</v>
      </c>
      <c r="U9755" t="s">
        <v>55554</v>
      </c>
      <c r="W9755" t="s">
        <v>44402</v>
      </c>
      <c r="X9755" t="s">
        <v>45106</v>
      </c>
    </row>
    <row r="9756" spans="1:24">
      <c r="A9756">
        <f>HYPERLINK("https://www.philgeps.gov.ph/GEPSNONPILOT/Tender/SplashBidNoticeAbstractUI.aspx?menuIndex=3&amp;refID=7032718&amp;Result=3","7032718")</f>
        <v>0</v>
      </c>
      <c r="B9756" t="s">
        <v>1086</v>
      </c>
      <c r="C9756" t="s">
        <v>12495</v>
      </c>
      <c r="D9756" t="s">
        <v>18048</v>
      </c>
      <c r="E9756" t="s">
        <v>26624</v>
      </c>
      <c r="F9756" t="s">
        <v>31574</v>
      </c>
      <c r="G9756" t="s">
        <v>31582</v>
      </c>
      <c r="H9756" t="s">
        <v>31591</v>
      </c>
      <c r="I9756" t="s">
        <v>8822</v>
      </c>
      <c r="J9756" t="s">
        <v>32510</v>
      </c>
      <c r="K9756" t="s">
        <v>41192</v>
      </c>
      <c r="M9756" t="s">
        <v>42635</v>
      </c>
      <c r="N9756" t="s">
        <v>45095</v>
      </c>
      <c r="O9756" t="s">
        <v>45096</v>
      </c>
      <c r="P9756">
        <v>0</v>
      </c>
      <c r="Q9756">
        <v>2</v>
      </c>
      <c r="R9756" t="s">
        <v>45105</v>
      </c>
      <c r="S9756" t="s">
        <v>45353</v>
      </c>
      <c r="T9756" t="s">
        <v>46941</v>
      </c>
      <c r="U9756" t="s">
        <v>50336</v>
      </c>
      <c r="W9756" t="s">
        <v>42635</v>
      </c>
      <c r="X9756" t="s">
        <v>45106</v>
      </c>
    </row>
    <row r="9757" spans="1:24">
      <c r="A9757">
        <f>HYPERLINK("https://www.philgeps.gov.ph/GEPSNONPILOT/Tender/SplashBidNoticeAbstractUI.aspx?menuIndex=3&amp;refID=7032704&amp;Result=3","7032704")</f>
        <v>0</v>
      </c>
      <c r="B9757" t="s">
        <v>34</v>
      </c>
      <c r="C9757" t="s">
        <v>12496</v>
      </c>
      <c r="D9757" t="s">
        <v>18029</v>
      </c>
      <c r="E9757" t="s">
        <v>18553</v>
      </c>
      <c r="F9757" t="s">
        <v>31574</v>
      </c>
      <c r="G9757" t="s">
        <v>31582</v>
      </c>
      <c r="H9757" t="s">
        <v>31590</v>
      </c>
      <c r="I9757" t="s">
        <v>31602</v>
      </c>
      <c r="J9757" t="s">
        <v>32019</v>
      </c>
      <c r="K9757" t="s">
        <v>41193</v>
      </c>
      <c r="M9757" t="s">
        <v>41516</v>
      </c>
      <c r="N9757" t="s">
        <v>45095</v>
      </c>
      <c r="O9757" t="s">
        <v>45096</v>
      </c>
      <c r="P9757">
        <v>0</v>
      </c>
      <c r="Q9757">
        <v>0</v>
      </c>
      <c r="R9757" t="s">
        <v>45105</v>
      </c>
      <c r="S9757" t="s">
        <v>45353</v>
      </c>
      <c r="T9757" t="s">
        <v>47000</v>
      </c>
      <c r="U9757" t="s">
        <v>47480</v>
      </c>
      <c r="W9757" t="s">
        <v>41516</v>
      </c>
      <c r="X9757" t="s">
        <v>45106</v>
      </c>
    </row>
    <row r="9758" spans="1:24">
      <c r="A9758">
        <f>HYPERLINK("https://www.philgeps.gov.ph/GEPSNONPILOT/Tender/SplashBidNoticeAbstractUI.aspx?menuIndex=3&amp;refID=7032695&amp;Result=3","7032695")</f>
        <v>0</v>
      </c>
      <c r="B9758" t="s">
        <v>1211</v>
      </c>
      <c r="C9758" t="s">
        <v>12497</v>
      </c>
      <c r="D9758" t="s">
        <v>18041</v>
      </c>
      <c r="E9758" t="s">
        <v>26625</v>
      </c>
      <c r="F9758" t="s">
        <v>31574</v>
      </c>
      <c r="G9758" t="s">
        <v>31582</v>
      </c>
      <c r="H9758" t="s">
        <v>31591</v>
      </c>
      <c r="I9758" t="s">
        <v>8822</v>
      </c>
      <c r="J9758" t="s">
        <v>37854</v>
      </c>
      <c r="K9758" t="s">
        <v>41397</v>
      </c>
      <c r="M9758" t="s">
        <v>42771</v>
      </c>
      <c r="N9758" t="s">
        <v>45095</v>
      </c>
      <c r="O9758" t="s">
        <v>45096</v>
      </c>
      <c r="P9758">
        <v>0</v>
      </c>
      <c r="Q9758">
        <v>11</v>
      </c>
      <c r="R9758" t="s">
        <v>45105</v>
      </c>
      <c r="S9758" t="s">
        <v>45353</v>
      </c>
      <c r="T9758" t="s">
        <v>46977</v>
      </c>
      <c r="U9758" t="s">
        <v>55545</v>
      </c>
      <c r="W9758" t="s">
        <v>61750</v>
      </c>
      <c r="X9758" t="s">
        <v>45106</v>
      </c>
    </row>
    <row r="9759" spans="1:24">
      <c r="A9759">
        <f>HYPERLINK("https://www.philgeps.gov.ph/GEPSNONPILOT/Tender/SplashBidNoticeAbstractUI.aspx?menuIndex=3&amp;refID=7032691&amp;Result=3","7032691")</f>
        <v>0</v>
      </c>
      <c r="B9759" t="s">
        <v>1086</v>
      </c>
      <c r="C9759" t="s">
        <v>12498</v>
      </c>
      <c r="D9759" t="s">
        <v>18048</v>
      </c>
      <c r="E9759" t="s">
        <v>26626</v>
      </c>
      <c r="F9759" t="s">
        <v>31574</v>
      </c>
      <c r="G9759" t="s">
        <v>31582</v>
      </c>
      <c r="H9759" t="s">
        <v>31591</v>
      </c>
      <c r="I9759" t="s">
        <v>8822</v>
      </c>
      <c r="J9759" t="s">
        <v>32026</v>
      </c>
      <c r="K9759" t="s">
        <v>41192</v>
      </c>
      <c r="M9759" t="s">
        <v>42635</v>
      </c>
      <c r="N9759" t="s">
        <v>45095</v>
      </c>
      <c r="O9759" t="s">
        <v>45096</v>
      </c>
      <c r="P9759">
        <v>0</v>
      </c>
      <c r="Q9759">
        <v>0</v>
      </c>
      <c r="R9759" t="s">
        <v>45105</v>
      </c>
      <c r="S9759" t="s">
        <v>45353</v>
      </c>
      <c r="T9759" t="s">
        <v>46979</v>
      </c>
      <c r="U9759" t="s">
        <v>50336</v>
      </c>
      <c r="W9759" t="s">
        <v>42635</v>
      </c>
      <c r="X9759" t="s">
        <v>45106</v>
      </c>
    </row>
    <row r="9760" spans="1:24">
      <c r="A9760">
        <f>HYPERLINK("https://www.philgeps.gov.ph/GEPSNONPILOT/Tender/SplashBidNoticeAbstractUI.aspx?menuIndex=3&amp;refID=7032754&amp;Result=3","7032754")</f>
        <v>0</v>
      </c>
      <c r="B9760" t="s">
        <v>1950</v>
      </c>
      <c r="C9760" t="s">
        <v>12499</v>
      </c>
      <c r="D9760" t="s">
        <v>18035</v>
      </c>
      <c r="E9760" t="s">
        <v>26627</v>
      </c>
      <c r="F9760" t="s">
        <v>31574</v>
      </c>
      <c r="G9760" t="s">
        <v>31582</v>
      </c>
      <c r="H9760" t="s">
        <v>31590</v>
      </c>
      <c r="I9760" t="s">
        <v>31615</v>
      </c>
      <c r="J9760" t="s">
        <v>37855</v>
      </c>
      <c r="K9760" t="s">
        <v>41196</v>
      </c>
      <c r="M9760" t="s">
        <v>44403</v>
      </c>
      <c r="N9760" t="s">
        <v>45095</v>
      </c>
      <c r="O9760" t="s">
        <v>45096</v>
      </c>
      <c r="Q9760">
        <v>5</v>
      </c>
      <c r="R9760" t="s">
        <v>45105</v>
      </c>
      <c r="S9760" t="s">
        <v>45378</v>
      </c>
      <c r="T9760" t="s">
        <v>46943</v>
      </c>
      <c r="U9760" t="s">
        <v>55555</v>
      </c>
      <c r="W9760" t="s">
        <v>44403</v>
      </c>
      <c r="X9760" t="s">
        <v>45106</v>
      </c>
    </row>
    <row r="9761" spans="1:24">
      <c r="A9761">
        <f>HYPERLINK("https://www.philgeps.gov.ph/GEPSNONPILOT/Tender/SplashBidNoticeAbstractUI.aspx?menuIndex=3&amp;refID=7032712&amp;Result=3","7032712")</f>
        <v>0</v>
      </c>
      <c r="B9761" t="s">
        <v>1211</v>
      </c>
      <c r="C9761" t="s">
        <v>12500</v>
      </c>
      <c r="D9761" t="s">
        <v>18041</v>
      </c>
      <c r="E9761" t="s">
        <v>26628</v>
      </c>
      <c r="F9761" t="s">
        <v>31574</v>
      </c>
      <c r="G9761" t="s">
        <v>31582</v>
      </c>
      <c r="H9761" t="s">
        <v>31591</v>
      </c>
      <c r="I9761" t="s">
        <v>8822</v>
      </c>
      <c r="J9761" t="s">
        <v>32662</v>
      </c>
      <c r="K9761" t="s">
        <v>41300</v>
      </c>
      <c r="M9761" t="s">
        <v>42771</v>
      </c>
      <c r="N9761" t="s">
        <v>45095</v>
      </c>
      <c r="O9761" t="s">
        <v>45096</v>
      </c>
      <c r="P9761">
        <v>0</v>
      </c>
      <c r="Q9761">
        <v>11</v>
      </c>
      <c r="R9761" t="s">
        <v>45105</v>
      </c>
      <c r="S9761" t="s">
        <v>45353</v>
      </c>
      <c r="T9761" t="s">
        <v>46977</v>
      </c>
      <c r="U9761" t="s">
        <v>55545</v>
      </c>
      <c r="W9761" t="s">
        <v>61750</v>
      </c>
      <c r="X9761" t="s">
        <v>45106</v>
      </c>
    </row>
    <row r="9762" spans="1:24">
      <c r="A9762">
        <f>HYPERLINK("https://www.philgeps.gov.ph/GEPSNONPILOT/Tender/SplashBidNoticeAbstractUI.aspx?menuIndex=3&amp;refID=7032720&amp;Result=3","7032720")</f>
        <v>0</v>
      </c>
      <c r="B9762" t="s">
        <v>2019</v>
      </c>
      <c r="C9762" t="s">
        <v>12501</v>
      </c>
      <c r="D9762" t="s">
        <v>18070</v>
      </c>
      <c r="E9762" t="s">
        <v>26629</v>
      </c>
      <c r="F9762" t="s">
        <v>31574</v>
      </c>
      <c r="G9762" t="s">
        <v>31582</v>
      </c>
      <c r="H9762" t="s">
        <v>31591</v>
      </c>
      <c r="I9762" t="s">
        <v>8822</v>
      </c>
      <c r="J9762" t="s">
        <v>32232</v>
      </c>
      <c r="K9762" t="s">
        <v>41186</v>
      </c>
      <c r="M9762" t="s">
        <v>43681</v>
      </c>
      <c r="N9762" t="s">
        <v>45095</v>
      </c>
      <c r="O9762" t="s">
        <v>45096</v>
      </c>
      <c r="P9762">
        <v>0</v>
      </c>
      <c r="Q9762">
        <v>0</v>
      </c>
      <c r="R9762" t="s">
        <v>45105</v>
      </c>
      <c r="S9762" t="s">
        <v>45353</v>
      </c>
      <c r="T9762" t="s">
        <v>46992</v>
      </c>
      <c r="U9762" t="s">
        <v>55556</v>
      </c>
      <c r="W9762" t="s">
        <v>44402</v>
      </c>
      <c r="X9762" t="s">
        <v>45106</v>
      </c>
    </row>
    <row r="9763" spans="1:24">
      <c r="A9763">
        <f>HYPERLINK("https://www.philgeps.gov.ph/GEPSNONPILOT/Tender/SplashBidNoticeAbstractUI.aspx?menuIndex=3&amp;refID=7029407&amp;Result=3","7029407")</f>
        <v>0</v>
      </c>
      <c r="B9763" t="s">
        <v>2647</v>
      </c>
      <c r="C9763" t="s">
        <v>12502</v>
      </c>
      <c r="D9763" t="s">
        <v>18119</v>
      </c>
      <c r="E9763" t="s">
        <v>26630</v>
      </c>
      <c r="F9763" t="s">
        <v>31574</v>
      </c>
      <c r="G9763" t="s">
        <v>31582</v>
      </c>
      <c r="H9763" t="s">
        <v>31590</v>
      </c>
      <c r="I9763" t="s">
        <v>31675</v>
      </c>
      <c r="J9763" t="s">
        <v>37856</v>
      </c>
      <c r="K9763" t="s">
        <v>41225</v>
      </c>
      <c r="M9763" t="s">
        <v>44404</v>
      </c>
      <c r="N9763" t="s">
        <v>45095</v>
      </c>
      <c r="O9763" t="s">
        <v>45096</v>
      </c>
      <c r="P9763">
        <v>0</v>
      </c>
      <c r="Q9763">
        <v>3</v>
      </c>
      <c r="R9763" t="s">
        <v>45106</v>
      </c>
      <c r="S9763" t="s">
        <v>45379</v>
      </c>
      <c r="T9763" t="s">
        <v>47336</v>
      </c>
      <c r="U9763" t="s">
        <v>55557</v>
      </c>
      <c r="V9763" t="s">
        <v>60761</v>
      </c>
      <c r="W9763" t="s">
        <v>44404</v>
      </c>
      <c r="X9763" t="s">
        <v>45109</v>
      </c>
    </row>
    <row r="9764" spans="1:24">
      <c r="A9764">
        <f>HYPERLINK("https://www.philgeps.gov.ph/GEPSNONPILOT/Tender/SplashBidNoticeAbstractUI.aspx?menuIndex=3&amp;refID=7030602&amp;Result=3","7030602")</f>
        <v>0</v>
      </c>
      <c r="B9764" t="s">
        <v>2239</v>
      </c>
      <c r="C9764" t="s">
        <v>12503</v>
      </c>
      <c r="D9764" t="s">
        <v>18023</v>
      </c>
      <c r="E9764" t="s">
        <v>26631</v>
      </c>
      <c r="F9764" t="s">
        <v>31574</v>
      </c>
      <c r="G9764" t="s">
        <v>31582</v>
      </c>
      <c r="H9764" t="s">
        <v>31591</v>
      </c>
      <c r="I9764" t="s">
        <v>8822</v>
      </c>
      <c r="J9764" t="s">
        <v>37857</v>
      </c>
      <c r="K9764" t="s">
        <v>41200</v>
      </c>
      <c r="M9764" t="s">
        <v>43936</v>
      </c>
      <c r="N9764" t="s">
        <v>45095</v>
      </c>
      <c r="O9764" t="s">
        <v>45096</v>
      </c>
      <c r="P9764">
        <v>0</v>
      </c>
      <c r="Q9764">
        <v>61</v>
      </c>
      <c r="R9764" t="s">
        <v>45106</v>
      </c>
      <c r="S9764" t="s">
        <v>45379</v>
      </c>
      <c r="T9764" t="s">
        <v>47010</v>
      </c>
      <c r="U9764" t="s">
        <v>55558</v>
      </c>
      <c r="W9764" t="s">
        <v>43936</v>
      </c>
      <c r="X9764" t="s">
        <v>45108</v>
      </c>
    </row>
    <row r="9765" spans="1:24">
      <c r="A9765">
        <f>HYPERLINK("https://www.philgeps.gov.ph/GEPSNONPILOT/Tender/SplashBidNoticeAbstractUI.aspx?menuIndex=3&amp;refID=7032763&amp;Result=3","7032763")</f>
        <v>0</v>
      </c>
      <c r="B9765" t="s">
        <v>1566</v>
      </c>
      <c r="C9765" t="s">
        <v>12504</v>
      </c>
      <c r="E9765" t="s">
        <v>26632</v>
      </c>
      <c r="F9765" t="s">
        <v>31574</v>
      </c>
      <c r="G9765" t="s">
        <v>31582</v>
      </c>
      <c r="H9765" t="s">
        <v>31591</v>
      </c>
      <c r="I9765" t="s">
        <v>8822</v>
      </c>
      <c r="J9765" t="s">
        <v>37858</v>
      </c>
      <c r="K9765" t="s">
        <v>41184</v>
      </c>
      <c r="M9765" t="s">
        <v>43165</v>
      </c>
      <c r="N9765" t="s">
        <v>45095</v>
      </c>
      <c r="O9765" t="s">
        <v>45096</v>
      </c>
      <c r="P9765">
        <v>0</v>
      </c>
      <c r="Q9765">
        <v>9</v>
      </c>
      <c r="R9765" t="s">
        <v>45105</v>
      </c>
      <c r="S9765" t="s">
        <v>45353</v>
      </c>
      <c r="T9765" t="s">
        <v>46914</v>
      </c>
      <c r="U9765" t="s">
        <v>55559</v>
      </c>
      <c r="V9765" t="s">
        <v>59888</v>
      </c>
      <c r="W9765" t="s">
        <v>43165</v>
      </c>
      <c r="X9765" t="s">
        <v>45106</v>
      </c>
    </row>
    <row r="9766" spans="1:24">
      <c r="A9766">
        <f>HYPERLINK("https://www.philgeps.gov.ph/GEPSNONPILOT/Tender/SplashBidNoticeAbstractUI.aspx?menuIndex=3&amp;refID=7029921&amp;Result=3","7029921")</f>
        <v>0</v>
      </c>
      <c r="B9766" t="s">
        <v>59</v>
      </c>
      <c r="C9766" t="s">
        <v>12505</v>
      </c>
      <c r="D9766" t="s">
        <v>18043</v>
      </c>
      <c r="E9766" t="s">
        <v>26633</v>
      </c>
      <c r="F9766" t="s">
        <v>31574</v>
      </c>
      <c r="G9766" t="s">
        <v>31582</v>
      </c>
      <c r="H9766" t="s">
        <v>31590</v>
      </c>
      <c r="I9766" t="s">
        <v>3901</v>
      </c>
      <c r="J9766" t="s">
        <v>32510</v>
      </c>
      <c r="K9766" t="s">
        <v>41200</v>
      </c>
      <c r="M9766" t="s">
        <v>44405</v>
      </c>
      <c r="N9766" t="s">
        <v>45095</v>
      </c>
      <c r="O9766" t="s">
        <v>45096</v>
      </c>
      <c r="P9766">
        <v>0</v>
      </c>
      <c r="Q9766">
        <v>10</v>
      </c>
      <c r="R9766" t="s">
        <v>45106</v>
      </c>
      <c r="S9766" t="s">
        <v>45379</v>
      </c>
      <c r="T9766" t="s">
        <v>47232</v>
      </c>
      <c r="U9766" t="s">
        <v>55560</v>
      </c>
      <c r="W9766" t="s">
        <v>44405</v>
      </c>
      <c r="X9766" t="s">
        <v>45108</v>
      </c>
    </row>
    <row r="9767" spans="1:24">
      <c r="A9767">
        <f>HYPERLINK("https://www.philgeps.gov.ph/GEPSNONPILOT/Tender/SplashBidNoticeAbstractUI.aspx?menuIndex=3&amp;refID=6946275&amp;Result=3","6946275")</f>
        <v>0</v>
      </c>
      <c r="B9767" t="s">
        <v>2648</v>
      </c>
      <c r="C9767" t="s">
        <v>12506</v>
      </c>
      <c r="D9767" t="s">
        <v>18039</v>
      </c>
      <c r="E9767" t="s">
        <v>25750</v>
      </c>
      <c r="F9767" t="s">
        <v>31574</v>
      </c>
      <c r="G9767" t="s">
        <v>31582</v>
      </c>
      <c r="H9767" t="s">
        <v>31590</v>
      </c>
      <c r="I9767" t="s">
        <v>4046</v>
      </c>
      <c r="J9767" t="s">
        <v>37859</v>
      </c>
      <c r="K9767" t="s">
        <v>41186</v>
      </c>
      <c r="M9767" t="s">
        <v>44406</v>
      </c>
      <c r="N9767" t="s">
        <v>45095</v>
      </c>
      <c r="O9767" t="s">
        <v>45096</v>
      </c>
      <c r="P9767">
        <v>0</v>
      </c>
      <c r="Q9767">
        <v>1</v>
      </c>
      <c r="R9767" t="s">
        <v>45106</v>
      </c>
      <c r="S9767" t="s">
        <v>45379</v>
      </c>
      <c r="T9767" t="s">
        <v>47086</v>
      </c>
      <c r="U9767" t="s">
        <v>55561</v>
      </c>
      <c r="W9767" t="s">
        <v>44406</v>
      </c>
      <c r="X9767" t="s">
        <v>45165</v>
      </c>
    </row>
    <row r="9768" spans="1:24">
      <c r="A9768">
        <f>HYPERLINK("https://www.philgeps.gov.ph/GEPSNONPILOT/Tender/SplashBidNoticeAbstractUI.aspx?menuIndex=3&amp;refID=7028878&amp;Result=3","7028878")</f>
        <v>0</v>
      </c>
      <c r="B9768" t="s">
        <v>2649</v>
      </c>
      <c r="C9768" t="s">
        <v>12507</v>
      </c>
      <c r="D9768" t="s">
        <v>18056</v>
      </c>
      <c r="E9768" t="s">
        <v>18575</v>
      </c>
      <c r="F9768" t="s">
        <v>31575</v>
      </c>
      <c r="G9768" t="s">
        <v>31582</v>
      </c>
      <c r="H9768" t="s">
        <v>31590</v>
      </c>
      <c r="I9768" t="s">
        <v>31600</v>
      </c>
      <c r="J9768" t="s">
        <v>37860</v>
      </c>
      <c r="K9768" t="s">
        <v>41196</v>
      </c>
      <c r="M9768" t="s">
        <v>44407</v>
      </c>
      <c r="N9768" t="s">
        <v>45095</v>
      </c>
      <c r="O9768" t="s">
        <v>45096</v>
      </c>
      <c r="P9768">
        <v>0</v>
      </c>
      <c r="Q9768">
        <v>0</v>
      </c>
      <c r="R9768" t="s">
        <v>45106</v>
      </c>
      <c r="S9768" t="s">
        <v>45379</v>
      </c>
      <c r="T9768" t="s">
        <v>46979</v>
      </c>
      <c r="U9768" t="s">
        <v>55562</v>
      </c>
      <c r="W9768" t="s">
        <v>44407</v>
      </c>
      <c r="X9768" t="s">
        <v>45109</v>
      </c>
    </row>
    <row r="9769" spans="1:24">
      <c r="A9769">
        <f>HYPERLINK("https://www.philgeps.gov.ph/GEPSNONPILOT/Tender/SplashBidNoticeAbstractUI.aspx?menuIndex=3&amp;refID=7030021&amp;Result=3","7030021")</f>
        <v>0</v>
      </c>
      <c r="B9769" t="s">
        <v>59</v>
      </c>
      <c r="C9769" t="s">
        <v>12508</v>
      </c>
      <c r="D9769" t="s">
        <v>18048</v>
      </c>
      <c r="E9769" t="s">
        <v>26634</v>
      </c>
      <c r="F9769" t="s">
        <v>31574</v>
      </c>
      <c r="G9769" t="s">
        <v>31582</v>
      </c>
      <c r="H9769" t="s">
        <v>31590</v>
      </c>
      <c r="I9769" t="s">
        <v>3901</v>
      </c>
      <c r="J9769" t="s">
        <v>37861</v>
      </c>
      <c r="K9769" t="s">
        <v>41189</v>
      </c>
      <c r="M9769" t="s">
        <v>44405</v>
      </c>
      <c r="N9769" t="s">
        <v>45095</v>
      </c>
      <c r="O9769" t="s">
        <v>45096</v>
      </c>
      <c r="P9769">
        <v>0</v>
      </c>
      <c r="Q9769">
        <v>3</v>
      </c>
      <c r="R9769" t="s">
        <v>45106</v>
      </c>
      <c r="S9769" t="s">
        <v>45379</v>
      </c>
      <c r="T9769" t="s">
        <v>47232</v>
      </c>
      <c r="U9769" t="s">
        <v>55563</v>
      </c>
      <c r="W9769" t="s">
        <v>44405</v>
      </c>
      <c r="X9769" t="s">
        <v>45108</v>
      </c>
    </row>
    <row r="9770" spans="1:24">
      <c r="A9770">
        <f>HYPERLINK("https://www.philgeps.gov.ph/GEPSNONPILOT/Tender/SplashBidNoticeAbstractUI.aspx?menuIndex=3&amp;refID=7032756&amp;Result=3","7032756")</f>
        <v>0</v>
      </c>
      <c r="B9770" t="s">
        <v>1950</v>
      </c>
      <c r="C9770" t="s">
        <v>12509</v>
      </c>
      <c r="D9770" t="s">
        <v>18035</v>
      </c>
      <c r="E9770" t="s">
        <v>26635</v>
      </c>
      <c r="F9770" t="s">
        <v>31574</v>
      </c>
      <c r="G9770" t="s">
        <v>31582</v>
      </c>
      <c r="H9770" t="s">
        <v>31590</v>
      </c>
      <c r="I9770" t="s">
        <v>31615</v>
      </c>
      <c r="J9770" t="s">
        <v>37862</v>
      </c>
      <c r="K9770" t="s">
        <v>41186</v>
      </c>
      <c r="M9770" t="s">
        <v>44403</v>
      </c>
      <c r="N9770" t="s">
        <v>45095</v>
      </c>
      <c r="O9770" t="s">
        <v>45096</v>
      </c>
      <c r="Q9770">
        <v>3</v>
      </c>
      <c r="R9770" t="s">
        <v>45105</v>
      </c>
      <c r="S9770" t="s">
        <v>45380</v>
      </c>
      <c r="T9770" t="s">
        <v>46943</v>
      </c>
      <c r="U9770" t="s">
        <v>55564</v>
      </c>
      <c r="W9770" t="s">
        <v>44403</v>
      </c>
      <c r="X9770" t="s">
        <v>45106</v>
      </c>
    </row>
    <row r="9771" spans="1:24">
      <c r="A9771">
        <f>HYPERLINK("https://www.philgeps.gov.ph/GEPSNONPILOT/Tender/SplashBidNoticeAbstractUI.aspx?menuIndex=3&amp;refID=7031995&amp;Result=3","7031995")</f>
        <v>0</v>
      </c>
      <c r="B9771" t="s">
        <v>2650</v>
      </c>
      <c r="C9771" t="s">
        <v>12510</v>
      </c>
      <c r="D9771" t="s">
        <v>18041</v>
      </c>
      <c r="E9771" t="s">
        <v>26636</v>
      </c>
      <c r="F9771" t="s">
        <v>31574</v>
      </c>
      <c r="G9771" t="s">
        <v>31582</v>
      </c>
      <c r="H9771" t="s">
        <v>31590</v>
      </c>
      <c r="I9771" t="s">
        <v>3520</v>
      </c>
      <c r="J9771" t="s">
        <v>37863</v>
      </c>
      <c r="K9771" t="s">
        <v>41213</v>
      </c>
      <c r="M9771" t="s">
        <v>44408</v>
      </c>
      <c r="N9771" t="s">
        <v>45095</v>
      </c>
      <c r="O9771" t="s">
        <v>45096</v>
      </c>
      <c r="P9771">
        <v>0</v>
      </c>
      <c r="Q9771">
        <v>0</v>
      </c>
      <c r="R9771" t="s">
        <v>45106</v>
      </c>
      <c r="S9771" t="s">
        <v>45379</v>
      </c>
      <c r="T9771" t="s">
        <v>47010</v>
      </c>
      <c r="U9771" t="s">
        <v>55565</v>
      </c>
      <c r="W9771" t="s">
        <v>44408</v>
      </c>
      <c r="X9771" t="s">
        <v>45107</v>
      </c>
    </row>
    <row r="9772" spans="1:24">
      <c r="A9772">
        <f>HYPERLINK("https://www.philgeps.gov.ph/GEPSNONPILOT/Tender/SplashBidNoticeAbstractUI.aspx?menuIndex=3&amp;refID=7029949&amp;Result=3","7029949")</f>
        <v>0</v>
      </c>
      <c r="B9772" t="s">
        <v>59</v>
      </c>
      <c r="C9772" t="s">
        <v>12511</v>
      </c>
      <c r="D9772" t="s">
        <v>18048</v>
      </c>
      <c r="E9772" t="s">
        <v>26637</v>
      </c>
      <c r="F9772" t="s">
        <v>31574</v>
      </c>
      <c r="G9772" t="s">
        <v>31582</v>
      </c>
      <c r="H9772" t="s">
        <v>31590</v>
      </c>
      <c r="I9772" t="s">
        <v>7162</v>
      </c>
      <c r="J9772" t="s">
        <v>32101</v>
      </c>
      <c r="K9772" t="s">
        <v>41248</v>
      </c>
      <c r="M9772" t="s">
        <v>44405</v>
      </c>
      <c r="N9772" t="s">
        <v>45095</v>
      </c>
      <c r="O9772" t="s">
        <v>45096</v>
      </c>
      <c r="Q9772">
        <v>3</v>
      </c>
      <c r="R9772" t="s">
        <v>45106</v>
      </c>
      <c r="S9772" t="s">
        <v>45381</v>
      </c>
      <c r="T9772" t="s">
        <v>47232</v>
      </c>
      <c r="U9772" t="s">
        <v>55566</v>
      </c>
      <c r="W9772" t="s">
        <v>44405</v>
      </c>
      <c r="X9772" t="s">
        <v>45108</v>
      </c>
    </row>
    <row r="9773" spans="1:24">
      <c r="A9773">
        <f>HYPERLINK("https://www.philgeps.gov.ph/GEPSNONPILOT/Tender/SplashBidNoticeAbstractUI.aspx?menuIndex=3&amp;refID=7031996&amp;Result=3","7031996")</f>
        <v>0</v>
      </c>
      <c r="B9773" t="s">
        <v>1165</v>
      </c>
      <c r="C9773" t="s">
        <v>12512</v>
      </c>
      <c r="D9773" t="s">
        <v>18030</v>
      </c>
      <c r="E9773" t="s">
        <v>26638</v>
      </c>
      <c r="F9773" t="s">
        <v>31574</v>
      </c>
      <c r="G9773" t="s">
        <v>31582</v>
      </c>
      <c r="H9773" t="s">
        <v>31591</v>
      </c>
      <c r="I9773" t="s">
        <v>8822</v>
      </c>
      <c r="J9773" t="s">
        <v>37864</v>
      </c>
      <c r="K9773" t="s">
        <v>41184</v>
      </c>
      <c r="M9773" t="s">
        <v>42724</v>
      </c>
      <c r="N9773" t="s">
        <v>45095</v>
      </c>
      <c r="O9773" t="s">
        <v>45096</v>
      </c>
      <c r="Q9773">
        <v>22</v>
      </c>
      <c r="R9773" t="s">
        <v>45106</v>
      </c>
      <c r="S9773" t="s">
        <v>45382</v>
      </c>
      <c r="T9773" t="s">
        <v>46926</v>
      </c>
      <c r="U9773" t="s">
        <v>50272</v>
      </c>
      <c r="W9773" t="s">
        <v>42724</v>
      </c>
      <c r="X9773" t="s">
        <v>45107</v>
      </c>
    </row>
    <row r="9774" spans="1:24">
      <c r="A9774">
        <f>HYPERLINK("https://www.philgeps.gov.ph/GEPSNONPILOT/Tender/SplashBidNoticeAbstractUI.aspx?menuIndex=3&amp;refID=7031990&amp;Result=3","7031990")</f>
        <v>0</v>
      </c>
      <c r="B9774" t="s">
        <v>2650</v>
      </c>
      <c r="C9774" t="s">
        <v>12513</v>
      </c>
      <c r="D9774" t="s">
        <v>18041</v>
      </c>
      <c r="E9774" t="s">
        <v>26639</v>
      </c>
      <c r="F9774" t="s">
        <v>31574</v>
      </c>
      <c r="G9774" t="s">
        <v>31582</v>
      </c>
      <c r="H9774" t="s">
        <v>31590</v>
      </c>
      <c r="I9774" t="s">
        <v>4046</v>
      </c>
      <c r="J9774" t="s">
        <v>37865</v>
      </c>
      <c r="K9774" t="s">
        <v>41213</v>
      </c>
      <c r="M9774" t="s">
        <v>44408</v>
      </c>
      <c r="N9774" t="s">
        <v>45095</v>
      </c>
      <c r="O9774" t="s">
        <v>45096</v>
      </c>
      <c r="P9774">
        <v>0</v>
      </c>
      <c r="Q9774">
        <v>0</v>
      </c>
      <c r="R9774" t="s">
        <v>45106</v>
      </c>
      <c r="S9774" t="s">
        <v>45379</v>
      </c>
      <c r="T9774" t="s">
        <v>47010</v>
      </c>
      <c r="U9774" t="s">
        <v>55567</v>
      </c>
      <c r="W9774" t="s">
        <v>44408</v>
      </c>
      <c r="X9774" t="s">
        <v>45107</v>
      </c>
    </row>
    <row r="9775" spans="1:24">
      <c r="A9775">
        <f>HYPERLINK("https://www.philgeps.gov.ph/GEPSNONPILOT/Tender/SplashBidNoticeAbstractUI.aspx?menuIndex=3&amp;refID=7031985&amp;Result=3","7031985")</f>
        <v>0</v>
      </c>
      <c r="B9775" t="s">
        <v>901</v>
      </c>
      <c r="C9775" t="s">
        <v>12514</v>
      </c>
      <c r="D9775" t="s">
        <v>18066</v>
      </c>
      <c r="E9775" t="s">
        <v>26640</v>
      </c>
      <c r="F9775" t="s">
        <v>31574</v>
      </c>
      <c r="G9775" t="s">
        <v>31584</v>
      </c>
      <c r="H9775" t="s">
        <v>31590</v>
      </c>
      <c r="I9775" t="s">
        <v>8569</v>
      </c>
      <c r="J9775" t="s">
        <v>32049</v>
      </c>
      <c r="K9775" t="s">
        <v>41193</v>
      </c>
      <c r="M9775" t="s">
        <v>42425</v>
      </c>
      <c r="N9775" t="s">
        <v>45095</v>
      </c>
      <c r="O9775" t="s">
        <v>45096</v>
      </c>
      <c r="P9775">
        <v>0</v>
      </c>
      <c r="Q9775">
        <v>2</v>
      </c>
      <c r="R9775" t="s">
        <v>45106</v>
      </c>
      <c r="S9775" t="s">
        <v>45379</v>
      </c>
      <c r="T9775" t="s">
        <v>47183</v>
      </c>
      <c r="U9775" t="s">
        <v>55568</v>
      </c>
      <c r="W9775" t="s">
        <v>42425</v>
      </c>
      <c r="X9775" t="s">
        <v>45107</v>
      </c>
    </row>
    <row r="9776" spans="1:24">
      <c r="A9776">
        <f>HYPERLINK("https://www.philgeps.gov.ph/GEPSNONPILOT/Tender/SplashBidNoticeAbstractUI.aspx?menuIndex=3&amp;refID=7031991&amp;Result=3","7031991")</f>
        <v>0</v>
      </c>
      <c r="B9776" t="s">
        <v>2650</v>
      </c>
      <c r="C9776" t="s">
        <v>12515</v>
      </c>
      <c r="D9776" t="s">
        <v>18041</v>
      </c>
      <c r="E9776" t="s">
        <v>26641</v>
      </c>
      <c r="F9776" t="s">
        <v>31574</v>
      </c>
      <c r="G9776" t="s">
        <v>31582</v>
      </c>
      <c r="H9776" t="s">
        <v>31590</v>
      </c>
      <c r="I9776" t="s">
        <v>3539</v>
      </c>
      <c r="J9776" t="s">
        <v>32147</v>
      </c>
      <c r="K9776" t="s">
        <v>41213</v>
      </c>
      <c r="M9776" t="s">
        <v>44408</v>
      </c>
      <c r="N9776" t="s">
        <v>45095</v>
      </c>
      <c r="O9776" t="s">
        <v>45096</v>
      </c>
      <c r="P9776">
        <v>0</v>
      </c>
      <c r="Q9776">
        <v>0</v>
      </c>
      <c r="R9776" t="s">
        <v>45106</v>
      </c>
      <c r="S9776" t="s">
        <v>45379</v>
      </c>
      <c r="T9776" t="s">
        <v>47010</v>
      </c>
      <c r="U9776" t="s">
        <v>55569</v>
      </c>
      <c r="W9776" t="s">
        <v>44408</v>
      </c>
      <c r="X9776" t="s">
        <v>45107</v>
      </c>
    </row>
    <row r="9777" spans="1:24">
      <c r="A9777">
        <f>HYPERLINK("https://www.philgeps.gov.ph/GEPSNONPILOT/Tender/SplashBidNoticeAbstractUI.aspx?menuIndex=3&amp;refID=7026183&amp;Result=3","7026183")</f>
        <v>0</v>
      </c>
      <c r="B9777" t="s">
        <v>1181</v>
      </c>
      <c r="C9777" t="s">
        <v>12516</v>
      </c>
      <c r="D9777" t="s">
        <v>18084</v>
      </c>
      <c r="E9777" t="s">
        <v>26642</v>
      </c>
      <c r="F9777" t="s">
        <v>31574</v>
      </c>
      <c r="G9777" t="s">
        <v>31582</v>
      </c>
      <c r="H9777" t="s">
        <v>31591</v>
      </c>
      <c r="I9777" t="s">
        <v>8822</v>
      </c>
      <c r="J9777" t="s">
        <v>37866</v>
      </c>
      <c r="K9777" t="s">
        <v>41189</v>
      </c>
      <c r="M9777" t="s">
        <v>42740</v>
      </c>
      <c r="N9777" t="s">
        <v>45095</v>
      </c>
      <c r="O9777" t="s">
        <v>45096</v>
      </c>
      <c r="P9777">
        <v>0</v>
      </c>
      <c r="Q9777">
        <v>2</v>
      </c>
      <c r="R9777" t="s">
        <v>45106</v>
      </c>
      <c r="S9777" t="s">
        <v>45379</v>
      </c>
      <c r="T9777" t="s">
        <v>47267</v>
      </c>
      <c r="U9777" t="s">
        <v>55570</v>
      </c>
      <c r="W9777" t="s">
        <v>42740</v>
      </c>
      <c r="X9777" t="s">
        <v>45110</v>
      </c>
    </row>
    <row r="9778" spans="1:24">
      <c r="A9778">
        <f>HYPERLINK("https://www.philgeps.gov.ph/GEPSNONPILOT/Tender/SplashBidNoticeAbstractUI.aspx?menuIndex=3&amp;refID=7031992&amp;Result=3","7031992")</f>
        <v>0</v>
      </c>
      <c r="B9778" t="s">
        <v>2650</v>
      </c>
      <c r="C9778" t="s">
        <v>12517</v>
      </c>
      <c r="D9778" t="s">
        <v>18041</v>
      </c>
      <c r="E9778" t="s">
        <v>26643</v>
      </c>
      <c r="F9778" t="s">
        <v>31574</v>
      </c>
      <c r="G9778" t="s">
        <v>31582</v>
      </c>
      <c r="H9778" t="s">
        <v>31590</v>
      </c>
      <c r="I9778" t="s">
        <v>4046</v>
      </c>
      <c r="J9778" t="s">
        <v>32464</v>
      </c>
      <c r="K9778" t="s">
        <v>41213</v>
      </c>
      <c r="M9778" t="s">
        <v>44408</v>
      </c>
      <c r="N9778" t="s">
        <v>45095</v>
      </c>
      <c r="O9778" t="s">
        <v>45096</v>
      </c>
      <c r="P9778">
        <v>0</v>
      </c>
      <c r="Q9778">
        <v>0</v>
      </c>
      <c r="R9778" t="s">
        <v>45106</v>
      </c>
      <c r="S9778" t="s">
        <v>45379</v>
      </c>
      <c r="T9778" t="s">
        <v>47010</v>
      </c>
      <c r="U9778" t="s">
        <v>55571</v>
      </c>
      <c r="W9778" t="s">
        <v>44408</v>
      </c>
      <c r="X9778" t="s">
        <v>45107</v>
      </c>
    </row>
    <row r="9779" spans="1:24">
      <c r="A9779">
        <f>HYPERLINK("https://www.philgeps.gov.ph/GEPSNONPILOT/Tender/SplashBidNoticeAbstractUI.aspx?menuIndex=3&amp;refID=7032764&amp;Result=3","7032764")</f>
        <v>0</v>
      </c>
      <c r="B9779" t="s">
        <v>1566</v>
      </c>
      <c r="C9779" t="s">
        <v>12518</v>
      </c>
      <c r="E9779" t="s">
        <v>26644</v>
      </c>
      <c r="F9779" t="s">
        <v>31574</v>
      </c>
      <c r="G9779" t="s">
        <v>31582</v>
      </c>
      <c r="H9779" t="s">
        <v>31591</v>
      </c>
      <c r="I9779" t="s">
        <v>31593</v>
      </c>
      <c r="J9779" t="s">
        <v>32026</v>
      </c>
      <c r="K9779" t="s">
        <v>41184</v>
      </c>
      <c r="M9779" t="s">
        <v>43165</v>
      </c>
      <c r="N9779" t="s">
        <v>45095</v>
      </c>
      <c r="O9779" t="s">
        <v>45096</v>
      </c>
      <c r="P9779">
        <v>0</v>
      </c>
      <c r="Q9779">
        <v>6</v>
      </c>
      <c r="R9779" t="s">
        <v>45105</v>
      </c>
      <c r="S9779" t="s">
        <v>45353</v>
      </c>
      <c r="T9779" t="s">
        <v>46914</v>
      </c>
      <c r="U9779" t="s">
        <v>55572</v>
      </c>
      <c r="V9779" t="s">
        <v>59888</v>
      </c>
      <c r="W9779" t="s">
        <v>43165</v>
      </c>
      <c r="X9779" t="s">
        <v>45106</v>
      </c>
    </row>
    <row r="9780" spans="1:24">
      <c r="A9780">
        <f>HYPERLINK("https://www.philgeps.gov.ph/GEPSNONPILOT/Tender/SplashBidNoticeAbstractUI.aspx?menuIndex=3&amp;refID=7031582&amp;Result=3","7031582")</f>
        <v>0</v>
      </c>
      <c r="B9780" t="s">
        <v>948</v>
      </c>
      <c r="C9780" t="s">
        <v>12519</v>
      </c>
      <c r="D9780" t="s">
        <v>18066</v>
      </c>
      <c r="E9780" t="s">
        <v>26645</v>
      </c>
      <c r="F9780" t="s">
        <v>31574</v>
      </c>
      <c r="G9780" t="s">
        <v>31582</v>
      </c>
      <c r="H9780" t="s">
        <v>31590</v>
      </c>
      <c r="I9780" t="s">
        <v>7185</v>
      </c>
      <c r="J9780" t="s">
        <v>37867</v>
      </c>
      <c r="K9780" t="s">
        <v>41186</v>
      </c>
      <c r="M9780" t="s">
        <v>42716</v>
      </c>
      <c r="N9780" t="s">
        <v>45095</v>
      </c>
      <c r="O9780" t="s">
        <v>45096</v>
      </c>
      <c r="Q9780">
        <v>1</v>
      </c>
      <c r="R9780" t="s">
        <v>45106</v>
      </c>
      <c r="S9780" t="s">
        <v>45383</v>
      </c>
      <c r="T9780" t="s">
        <v>47000</v>
      </c>
      <c r="U9780" t="s">
        <v>55573</v>
      </c>
      <c r="V9780" t="s">
        <v>60868</v>
      </c>
      <c r="W9780" t="s">
        <v>42716</v>
      </c>
      <c r="X9780" t="s">
        <v>45108</v>
      </c>
    </row>
    <row r="9781" spans="1:24">
      <c r="A9781">
        <f>HYPERLINK("https://www.philgeps.gov.ph/GEPSNONPILOT/Tender/SplashBidNoticeAbstractUI.aspx?menuIndex=3&amp;refID=7032027&amp;Result=3","7032027")</f>
        <v>0</v>
      </c>
      <c r="B9781" t="s">
        <v>2621</v>
      </c>
      <c r="C9781" t="s">
        <v>12520</v>
      </c>
      <c r="D9781" t="s">
        <v>18040</v>
      </c>
      <c r="E9781" t="s">
        <v>26646</v>
      </c>
      <c r="F9781" t="s">
        <v>31574</v>
      </c>
      <c r="G9781" t="s">
        <v>31582</v>
      </c>
      <c r="H9781" t="s">
        <v>31590</v>
      </c>
      <c r="I9781" t="s">
        <v>31615</v>
      </c>
      <c r="J9781" t="s">
        <v>37868</v>
      </c>
      <c r="K9781" t="s">
        <v>41195</v>
      </c>
      <c r="M9781" t="s">
        <v>44371</v>
      </c>
      <c r="N9781" t="s">
        <v>45095</v>
      </c>
      <c r="O9781" t="s">
        <v>45096</v>
      </c>
      <c r="P9781">
        <v>0</v>
      </c>
      <c r="Q9781">
        <v>0</v>
      </c>
      <c r="R9781" t="s">
        <v>45106</v>
      </c>
      <c r="S9781" t="s">
        <v>45379</v>
      </c>
      <c r="T9781" t="s">
        <v>46979</v>
      </c>
      <c r="U9781" t="s">
        <v>55574</v>
      </c>
      <c r="V9781" t="s">
        <v>60852</v>
      </c>
      <c r="W9781" t="s">
        <v>44371</v>
      </c>
      <c r="X9781" t="s">
        <v>45107</v>
      </c>
    </row>
    <row r="9782" spans="1:24">
      <c r="A9782">
        <f>HYPERLINK("https://www.philgeps.gov.ph/GEPSNONPILOT/Tender/SplashBidNoticeAbstractUI.aspx?menuIndex=3&amp;refID=7031972&amp;Result=3","7031972")</f>
        <v>0</v>
      </c>
      <c r="B9782" t="s">
        <v>2651</v>
      </c>
      <c r="C9782" t="s">
        <v>12521</v>
      </c>
      <c r="D9782" t="s">
        <v>18075</v>
      </c>
      <c r="E9782" t="s">
        <v>26647</v>
      </c>
      <c r="F9782" t="s">
        <v>31574</v>
      </c>
      <c r="G9782" t="s">
        <v>31582</v>
      </c>
      <c r="H9782" t="s">
        <v>31590</v>
      </c>
      <c r="I9782" t="s">
        <v>31608</v>
      </c>
      <c r="J9782" t="s">
        <v>37869</v>
      </c>
      <c r="K9782" t="s">
        <v>41192</v>
      </c>
      <c r="M9782" t="s">
        <v>44409</v>
      </c>
      <c r="N9782" t="s">
        <v>45095</v>
      </c>
      <c r="O9782" t="s">
        <v>45096</v>
      </c>
      <c r="P9782">
        <v>0</v>
      </c>
      <c r="Q9782">
        <v>10</v>
      </c>
      <c r="R9782" t="s">
        <v>45106</v>
      </c>
      <c r="S9782" t="s">
        <v>45379</v>
      </c>
      <c r="T9782" t="s">
        <v>47010</v>
      </c>
      <c r="U9782" t="s">
        <v>55575</v>
      </c>
      <c r="W9782" t="s">
        <v>44409</v>
      </c>
      <c r="X9782" t="s">
        <v>45107</v>
      </c>
    </row>
    <row r="9783" spans="1:24">
      <c r="A9783">
        <f>HYPERLINK("https://www.philgeps.gov.ph/GEPSNONPILOT/Tender/SplashBidNoticeAbstractUI.aspx?menuIndex=3&amp;refID=7032085&amp;Result=3","7032085")</f>
        <v>0</v>
      </c>
      <c r="B9783" t="s">
        <v>2652</v>
      </c>
      <c r="C9783" t="s">
        <v>12522</v>
      </c>
      <c r="D9783" t="s">
        <v>18022</v>
      </c>
      <c r="E9783" t="s">
        <v>26648</v>
      </c>
      <c r="F9783" t="s">
        <v>31574</v>
      </c>
      <c r="G9783" t="s">
        <v>31582</v>
      </c>
      <c r="H9783" t="s">
        <v>31590</v>
      </c>
      <c r="I9783" t="s">
        <v>3487</v>
      </c>
      <c r="J9783" t="s">
        <v>34033</v>
      </c>
      <c r="K9783" t="s">
        <v>41193</v>
      </c>
      <c r="M9783" t="s">
        <v>44410</v>
      </c>
      <c r="N9783" t="s">
        <v>45095</v>
      </c>
      <c r="O9783" t="s">
        <v>45096</v>
      </c>
      <c r="P9783">
        <v>0</v>
      </c>
      <c r="Q9783">
        <v>0</v>
      </c>
      <c r="R9783" t="s">
        <v>45106</v>
      </c>
      <c r="S9783" t="s">
        <v>45379</v>
      </c>
      <c r="T9783" t="s">
        <v>47183</v>
      </c>
      <c r="U9783" t="s">
        <v>55576</v>
      </c>
      <c r="W9783" t="s">
        <v>44410</v>
      </c>
      <c r="X9783" t="s">
        <v>45107</v>
      </c>
    </row>
    <row r="9784" spans="1:24">
      <c r="A9784">
        <f>HYPERLINK("https://www.philgeps.gov.ph/GEPSNONPILOT/Tender/SplashBidNoticeAbstractUI.aspx?menuIndex=3&amp;refID=7032240&amp;Result=3","7032240")</f>
        <v>0</v>
      </c>
      <c r="B9784" t="s">
        <v>2653</v>
      </c>
      <c r="C9784" t="s">
        <v>12523</v>
      </c>
      <c r="D9784" t="s">
        <v>18042</v>
      </c>
      <c r="E9784" t="s">
        <v>26649</v>
      </c>
      <c r="F9784" t="s">
        <v>31574</v>
      </c>
      <c r="G9784" t="s">
        <v>31582</v>
      </c>
      <c r="H9784" t="s">
        <v>31590</v>
      </c>
      <c r="I9784" t="s">
        <v>7162</v>
      </c>
      <c r="J9784" t="s">
        <v>37870</v>
      </c>
      <c r="K9784" t="s">
        <v>41186</v>
      </c>
      <c r="M9784" t="s">
        <v>44411</v>
      </c>
      <c r="N9784" t="s">
        <v>45095</v>
      </c>
      <c r="O9784" t="s">
        <v>45096</v>
      </c>
      <c r="P9784">
        <v>0</v>
      </c>
      <c r="Q9784">
        <v>0</v>
      </c>
      <c r="R9784" t="s">
        <v>45106</v>
      </c>
      <c r="S9784" t="s">
        <v>45379</v>
      </c>
      <c r="T9784" t="s">
        <v>46977</v>
      </c>
      <c r="U9784" t="s">
        <v>55577</v>
      </c>
      <c r="W9784" t="s">
        <v>44411</v>
      </c>
      <c r="X9784" t="s">
        <v>45107</v>
      </c>
    </row>
    <row r="9785" spans="1:24">
      <c r="A9785">
        <f>HYPERLINK("https://www.philgeps.gov.ph/GEPSNONPILOT/Tender/SplashBidNoticeAbstractUI.aspx?menuIndex=3&amp;refID=7032197&amp;Result=3","7032197")</f>
        <v>0</v>
      </c>
      <c r="B9785" t="s">
        <v>2654</v>
      </c>
      <c r="C9785" t="s">
        <v>12524</v>
      </c>
      <c r="D9785" t="s">
        <v>18033</v>
      </c>
      <c r="E9785" t="s">
        <v>24761</v>
      </c>
      <c r="F9785" t="s">
        <v>31574</v>
      </c>
      <c r="G9785" t="s">
        <v>31582</v>
      </c>
      <c r="H9785" t="s">
        <v>31590</v>
      </c>
      <c r="I9785" t="s">
        <v>31615</v>
      </c>
      <c r="J9785" t="s">
        <v>37315</v>
      </c>
      <c r="K9785" t="s">
        <v>41184</v>
      </c>
      <c r="M9785" t="s">
        <v>44412</v>
      </c>
      <c r="N9785" t="s">
        <v>45095</v>
      </c>
      <c r="O9785" t="s">
        <v>45096</v>
      </c>
      <c r="P9785">
        <v>0</v>
      </c>
      <c r="Q9785">
        <v>2</v>
      </c>
      <c r="R9785" t="s">
        <v>45106</v>
      </c>
      <c r="S9785" t="s">
        <v>45379</v>
      </c>
      <c r="T9785" t="s">
        <v>46922</v>
      </c>
      <c r="U9785" t="s">
        <v>55578</v>
      </c>
      <c r="W9785" t="s">
        <v>44412</v>
      </c>
      <c r="X9785" t="s">
        <v>45107</v>
      </c>
    </row>
    <row r="9786" spans="1:24">
      <c r="A9786">
        <f>HYPERLINK("https://www.philgeps.gov.ph/GEPSNONPILOT/Tender/SplashBidNoticeAbstractUI.aspx?menuIndex=3&amp;refID=7032257&amp;Result=3","7032257")</f>
        <v>0</v>
      </c>
      <c r="B9786" t="s">
        <v>2655</v>
      </c>
      <c r="C9786" t="s">
        <v>11581</v>
      </c>
      <c r="D9786" t="s">
        <v>18039</v>
      </c>
      <c r="E9786" t="s">
        <v>26270</v>
      </c>
      <c r="F9786" t="s">
        <v>31574</v>
      </c>
      <c r="G9786" t="s">
        <v>31582</v>
      </c>
      <c r="H9786" t="s">
        <v>31591</v>
      </c>
      <c r="I9786" t="s">
        <v>8822</v>
      </c>
      <c r="J9786" t="s">
        <v>31821</v>
      </c>
      <c r="K9786" t="s">
        <v>41185</v>
      </c>
      <c r="M9786" t="s">
        <v>44413</v>
      </c>
      <c r="N9786" t="s">
        <v>45095</v>
      </c>
      <c r="O9786" t="s">
        <v>45096</v>
      </c>
      <c r="P9786">
        <v>0</v>
      </c>
      <c r="Q9786">
        <v>0</v>
      </c>
      <c r="R9786" t="s">
        <v>45106</v>
      </c>
      <c r="S9786" t="s">
        <v>45379</v>
      </c>
      <c r="T9786" t="s">
        <v>46992</v>
      </c>
      <c r="U9786" t="s">
        <v>55579</v>
      </c>
      <c r="V9786" t="s">
        <v>60800</v>
      </c>
      <c r="W9786" t="s">
        <v>44413</v>
      </c>
      <c r="X9786" t="s">
        <v>45107</v>
      </c>
    </row>
    <row r="9787" spans="1:24">
      <c r="A9787">
        <f>HYPERLINK("https://www.philgeps.gov.ph/GEPSNONPILOT/Tender/SplashBidNoticeAbstractUI.aspx?menuIndex=3&amp;refID=7032194&amp;Result=3","7032194")</f>
        <v>0</v>
      </c>
      <c r="B9787" t="s">
        <v>2654</v>
      </c>
      <c r="C9787" t="s">
        <v>12525</v>
      </c>
      <c r="D9787" t="s">
        <v>18033</v>
      </c>
      <c r="E9787" t="s">
        <v>26650</v>
      </c>
      <c r="F9787" t="s">
        <v>31574</v>
      </c>
      <c r="G9787" t="s">
        <v>31582</v>
      </c>
      <c r="H9787" t="s">
        <v>31591</v>
      </c>
      <c r="I9787" t="s">
        <v>8822</v>
      </c>
      <c r="J9787" t="s">
        <v>33387</v>
      </c>
      <c r="K9787" t="s">
        <v>41217</v>
      </c>
      <c r="M9787" t="s">
        <v>44412</v>
      </c>
      <c r="N9787" t="s">
        <v>45095</v>
      </c>
      <c r="O9787" t="s">
        <v>45096</v>
      </c>
      <c r="P9787">
        <v>0</v>
      </c>
      <c r="Q9787">
        <v>0</v>
      </c>
      <c r="R9787" t="s">
        <v>45106</v>
      </c>
      <c r="S9787" t="s">
        <v>45379</v>
      </c>
      <c r="T9787" t="s">
        <v>46922</v>
      </c>
      <c r="U9787" t="s">
        <v>55580</v>
      </c>
      <c r="W9787" t="s">
        <v>44412</v>
      </c>
      <c r="X9787" t="s">
        <v>45107</v>
      </c>
    </row>
    <row r="9788" spans="1:24">
      <c r="A9788">
        <f>HYPERLINK("https://www.philgeps.gov.ph/GEPSNONPILOT/Tender/SplashBidNoticeAbstractUI.aspx?menuIndex=3&amp;refID=7032108&amp;Result=3","7032108")</f>
        <v>0</v>
      </c>
      <c r="B9788" t="s">
        <v>2656</v>
      </c>
      <c r="C9788" t="s">
        <v>12526</v>
      </c>
      <c r="D9788" t="s">
        <v>18035</v>
      </c>
      <c r="E9788" t="s">
        <v>26651</v>
      </c>
      <c r="F9788" t="s">
        <v>31574</v>
      </c>
      <c r="G9788" t="s">
        <v>31582</v>
      </c>
      <c r="H9788" t="s">
        <v>31591</v>
      </c>
      <c r="I9788" t="s">
        <v>8822</v>
      </c>
      <c r="J9788" t="s">
        <v>31771</v>
      </c>
      <c r="K9788" t="s">
        <v>41268</v>
      </c>
      <c r="M9788" t="s">
        <v>44414</v>
      </c>
      <c r="N9788" t="s">
        <v>45095</v>
      </c>
      <c r="O9788" t="s">
        <v>45096</v>
      </c>
      <c r="P9788">
        <v>0</v>
      </c>
      <c r="Q9788">
        <v>46</v>
      </c>
      <c r="R9788" t="s">
        <v>45106</v>
      </c>
      <c r="S9788" t="s">
        <v>45379</v>
      </c>
      <c r="T9788" t="s">
        <v>47000</v>
      </c>
      <c r="U9788" t="s">
        <v>55581</v>
      </c>
      <c r="W9788" t="s">
        <v>44414</v>
      </c>
      <c r="X9788" t="s">
        <v>45107</v>
      </c>
    </row>
    <row r="9789" spans="1:24">
      <c r="A9789">
        <f>HYPERLINK("https://www.philgeps.gov.ph/GEPSNONPILOT/Tender/SplashBidNoticeAbstractUI.aspx?menuIndex=3&amp;refID=7032031&amp;Result=3","7032031")</f>
        <v>0</v>
      </c>
      <c r="B9789" t="s">
        <v>2657</v>
      </c>
      <c r="C9789" t="s">
        <v>12527</v>
      </c>
      <c r="D9789" t="s">
        <v>18055</v>
      </c>
      <c r="E9789" t="s">
        <v>26652</v>
      </c>
      <c r="F9789" t="s">
        <v>31574</v>
      </c>
      <c r="G9789" t="s">
        <v>31582</v>
      </c>
      <c r="H9789" t="s">
        <v>31591</v>
      </c>
      <c r="I9789" t="s">
        <v>8822</v>
      </c>
      <c r="J9789" t="s">
        <v>31789</v>
      </c>
      <c r="K9789" t="s">
        <v>41185</v>
      </c>
      <c r="M9789" t="s">
        <v>44415</v>
      </c>
      <c r="N9789" t="s">
        <v>45095</v>
      </c>
      <c r="O9789" t="s">
        <v>45096</v>
      </c>
      <c r="P9789">
        <v>0</v>
      </c>
      <c r="Q9789">
        <v>3</v>
      </c>
      <c r="R9789" t="s">
        <v>45106</v>
      </c>
      <c r="S9789" t="s">
        <v>45379</v>
      </c>
      <c r="T9789" t="s">
        <v>46965</v>
      </c>
      <c r="U9789" t="s">
        <v>55582</v>
      </c>
      <c r="W9789" t="s">
        <v>44415</v>
      </c>
      <c r="X9789" t="s">
        <v>45107</v>
      </c>
    </row>
    <row r="9790" spans="1:24">
      <c r="A9790">
        <f>HYPERLINK("https://www.philgeps.gov.ph/GEPSNONPILOT/Tender/SplashBidNoticeAbstractUI.aspx?menuIndex=3&amp;refID=7032190&amp;Result=3","7032190")</f>
        <v>0</v>
      </c>
      <c r="B9790" t="s">
        <v>2654</v>
      </c>
      <c r="C9790" t="s">
        <v>12525</v>
      </c>
      <c r="D9790" t="s">
        <v>18033</v>
      </c>
      <c r="E9790" t="s">
        <v>26653</v>
      </c>
      <c r="F9790" t="s">
        <v>31574</v>
      </c>
      <c r="G9790" t="s">
        <v>31582</v>
      </c>
      <c r="H9790" t="s">
        <v>31591</v>
      </c>
      <c r="I9790" t="s">
        <v>8822</v>
      </c>
      <c r="J9790" t="s">
        <v>35234</v>
      </c>
      <c r="K9790" t="s">
        <v>41189</v>
      </c>
      <c r="M9790" t="s">
        <v>44412</v>
      </c>
      <c r="N9790" t="s">
        <v>45095</v>
      </c>
      <c r="O9790" t="s">
        <v>45096</v>
      </c>
      <c r="P9790">
        <v>0</v>
      </c>
      <c r="Q9790">
        <v>0</v>
      </c>
      <c r="R9790" t="s">
        <v>45106</v>
      </c>
      <c r="S9790" t="s">
        <v>45379</v>
      </c>
      <c r="T9790" t="s">
        <v>46922</v>
      </c>
      <c r="U9790" t="s">
        <v>55583</v>
      </c>
      <c r="W9790" t="s">
        <v>44412</v>
      </c>
      <c r="X9790" t="s">
        <v>45107</v>
      </c>
    </row>
    <row r="9791" spans="1:24">
      <c r="A9791">
        <f>HYPERLINK("https://www.philgeps.gov.ph/GEPSNONPILOT/Tender/SplashBidNoticeAbstractUI.aspx?menuIndex=3&amp;refID=7032038&amp;Result=3","7032038")</f>
        <v>0</v>
      </c>
      <c r="B9791" t="s">
        <v>2657</v>
      </c>
      <c r="C9791" t="s">
        <v>12528</v>
      </c>
      <c r="D9791" t="s">
        <v>18055</v>
      </c>
      <c r="E9791" t="s">
        <v>26654</v>
      </c>
      <c r="F9791" t="s">
        <v>31574</v>
      </c>
      <c r="G9791" t="s">
        <v>31582</v>
      </c>
      <c r="H9791" t="s">
        <v>31591</v>
      </c>
      <c r="I9791" t="s">
        <v>8822</v>
      </c>
      <c r="J9791" t="s">
        <v>31741</v>
      </c>
      <c r="K9791" t="s">
        <v>41192</v>
      </c>
      <c r="M9791" t="s">
        <v>44415</v>
      </c>
      <c r="N9791" t="s">
        <v>45095</v>
      </c>
      <c r="O9791" t="s">
        <v>45096</v>
      </c>
      <c r="P9791">
        <v>0</v>
      </c>
      <c r="Q9791">
        <v>2</v>
      </c>
      <c r="R9791" t="s">
        <v>45106</v>
      </c>
      <c r="S9791" t="s">
        <v>45379</v>
      </c>
      <c r="T9791" t="s">
        <v>47063</v>
      </c>
      <c r="U9791" t="s">
        <v>55584</v>
      </c>
      <c r="W9791" t="s">
        <v>44415</v>
      </c>
      <c r="X9791" t="s">
        <v>45107</v>
      </c>
    </row>
    <row r="9792" spans="1:24">
      <c r="A9792">
        <f>HYPERLINK("https://www.philgeps.gov.ph/GEPSNONPILOT/Tender/SplashBidNoticeAbstractUI.aspx?menuIndex=3&amp;refID=7032163&amp;Result=3","7032163")</f>
        <v>0</v>
      </c>
      <c r="B9792" t="s">
        <v>2658</v>
      </c>
      <c r="C9792" t="s">
        <v>12529</v>
      </c>
      <c r="E9792" t="s">
        <v>26655</v>
      </c>
      <c r="F9792" t="s">
        <v>31574</v>
      </c>
      <c r="G9792" t="s">
        <v>31582</v>
      </c>
      <c r="H9792" t="s">
        <v>31591</v>
      </c>
      <c r="I9792" t="s">
        <v>8822</v>
      </c>
      <c r="J9792" t="s">
        <v>37871</v>
      </c>
      <c r="K9792" t="s">
        <v>41184</v>
      </c>
      <c r="M9792" t="s">
        <v>44416</v>
      </c>
      <c r="N9792" t="s">
        <v>45095</v>
      </c>
      <c r="O9792" t="s">
        <v>45096</v>
      </c>
      <c r="P9792">
        <v>0</v>
      </c>
      <c r="Q9792">
        <v>0</v>
      </c>
      <c r="R9792" t="s">
        <v>45106</v>
      </c>
      <c r="S9792" t="s">
        <v>45379</v>
      </c>
      <c r="T9792" t="s">
        <v>46943</v>
      </c>
      <c r="U9792" t="s">
        <v>55585</v>
      </c>
      <c r="W9792" t="s">
        <v>44416</v>
      </c>
      <c r="X9792" t="s">
        <v>45107</v>
      </c>
    </row>
    <row r="9793" spans="1:24">
      <c r="A9793">
        <f>HYPERLINK("https://www.philgeps.gov.ph/GEPSNONPILOT/Tender/SplashBidNoticeAbstractUI.aspx?menuIndex=3&amp;refID=7032091&amp;Result=3","7032091")</f>
        <v>0</v>
      </c>
      <c r="B9793" t="s">
        <v>2652</v>
      </c>
      <c r="C9793" t="s">
        <v>12530</v>
      </c>
      <c r="D9793" t="s">
        <v>18022</v>
      </c>
      <c r="E9793" t="s">
        <v>26656</v>
      </c>
      <c r="F9793" t="s">
        <v>31574</v>
      </c>
      <c r="G9793" t="s">
        <v>31582</v>
      </c>
      <c r="H9793" t="s">
        <v>31590</v>
      </c>
      <c r="I9793" t="s">
        <v>3487</v>
      </c>
      <c r="J9793" t="s">
        <v>37872</v>
      </c>
      <c r="K9793" t="s">
        <v>41193</v>
      </c>
      <c r="M9793" t="s">
        <v>44410</v>
      </c>
      <c r="N9793" t="s">
        <v>45095</v>
      </c>
      <c r="O9793" t="s">
        <v>45096</v>
      </c>
      <c r="P9793">
        <v>0</v>
      </c>
      <c r="Q9793">
        <v>1</v>
      </c>
      <c r="R9793" t="s">
        <v>45106</v>
      </c>
      <c r="S9793" t="s">
        <v>45379</v>
      </c>
      <c r="T9793" t="s">
        <v>47368</v>
      </c>
      <c r="U9793" t="s">
        <v>55576</v>
      </c>
      <c r="W9793" t="s">
        <v>44410</v>
      </c>
      <c r="X9793" t="s">
        <v>45107</v>
      </c>
    </row>
    <row r="9794" spans="1:24">
      <c r="A9794">
        <f>HYPERLINK("https://www.philgeps.gov.ph/GEPSNONPILOT/Tender/SplashBidNoticeAbstractUI.aspx?menuIndex=3&amp;refID=7032093&amp;Result=3","7032093")</f>
        <v>0</v>
      </c>
      <c r="B9794" t="s">
        <v>2652</v>
      </c>
      <c r="C9794" t="s">
        <v>12531</v>
      </c>
      <c r="D9794" t="s">
        <v>18022</v>
      </c>
      <c r="E9794" t="s">
        <v>26657</v>
      </c>
      <c r="F9794" t="s">
        <v>31574</v>
      </c>
      <c r="G9794" t="s">
        <v>31582</v>
      </c>
      <c r="H9794" t="s">
        <v>31590</v>
      </c>
      <c r="I9794" t="s">
        <v>3487</v>
      </c>
      <c r="J9794" t="s">
        <v>31907</v>
      </c>
      <c r="K9794" t="s">
        <v>41193</v>
      </c>
      <c r="M9794" t="s">
        <v>44410</v>
      </c>
      <c r="N9794" t="s">
        <v>45095</v>
      </c>
      <c r="O9794" t="s">
        <v>45096</v>
      </c>
      <c r="P9794">
        <v>0</v>
      </c>
      <c r="Q9794">
        <v>0</v>
      </c>
      <c r="R9794" t="s">
        <v>45106</v>
      </c>
      <c r="S9794" t="s">
        <v>45379</v>
      </c>
      <c r="T9794" t="s">
        <v>47064</v>
      </c>
      <c r="U9794" t="s">
        <v>55576</v>
      </c>
      <c r="W9794" t="s">
        <v>44410</v>
      </c>
      <c r="X9794" t="s">
        <v>45107</v>
      </c>
    </row>
    <row r="9795" spans="1:24">
      <c r="A9795">
        <f>HYPERLINK("https://www.philgeps.gov.ph/GEPSNONPILOT/Tender/SplashBidNoticeAbstractUI.aspx?menuIndex=3&amp;refID=7032045&amp;Result=3","7032045")</f>
        <v>0</v>
      </c>
      <c r="B9795" t="s">
        <v>2656</v>
      </c>
      <c r="C9795" t="s">
        <v>12532</v>
      </c>
      <c r="D9795" t="s">
        <v>18035</v>
      </c>
      <c r="E9795" t="s">
        <v>26658</v>
      </c>
      <c r="F9795" t="s">
        <v>31574</v>
      </c>
      <c r="G9795" t="s">
        <v>31582</v>
      </c>
      <c r="H9795" t="s">
        <v>31590</v>
      </c>
      <c r="I9795" t="s">
        <v>31600</v>
      </c>
      <c r="J9795" t="s">
        <v>37873</v>
      </c>
      <c r="K9795" t="s">
        <v>41190</v>
      </c>
      <c r="M9795" t="s">
        <v>44414</v>
      </c>
      <c r="N9795" t="s">
        <v>45095</v>
      </c>
      <c r="O9795" t="s">
        <v>45096</v>
      </c>
      <c r="Q9795">
        <v>11</v>
      </c>
      <c r="R9795" t="s">
        <v>45106</v>
      </c>
      <c r="S9795" t="s">
        <v>45384</v>
      </c>
      <c r="T9795" t="s">
        <v>47000</v>
      </c>
      <c r="U9795" t="s">
        <v>55586</v>
      </c>
      <c r="W9795" t="s">
        <v>44414</v>
      </c>
      <c r="X9795" t="s">
        <v>45107</v>
      </c>
    </row>
    <row r="9796" spans="1:24">
      <c r="A9796">
        <f>HYPERLINK("https://www.philgeps.gov.ph/GEPSNONPILOT/Tender/SplashBidNoticeAbstractUI.aspx?menuIndex=3&amp;refID=7032088&amp;Result=3","7032088")</f>
        <v>0</v>
      </c>
      <c r="B9796" t="s">
        <v>2652</v>
      </c>
      <c r="C9796" t="s">
        <v>12533</v>
      </c>
      <c r="D9796" t="s">
        <v>18022</v>
      </c>
      <c r="E9796" t="s">
        <v>26659</v>
      </c>
      <c r="F9796" t="s">
        <v>31574</v>
      </c>
      <c r="G9796" t="s">
        <v>31582</v>
      </c>
      <c r="H9796" t="s">
        <v>31590</v>
      </c>
      <c r="I9796" t="s">
        <v>3487</v>
      </c>
      <c r="J9796" t="s">
        <v>37874</v>
      </c>
      <c r="K9796" t="s">
        <v>41193</v>
      </c>
      <c r="M9796" t="s">
        <v>44410</v>
      </c>
      <c r="N9796" t="s">
        <v>45095</v>
      </c>
      <c r="O9796" t="s">
        <v>45096</v>
      </c>
      <c r="P9796">
        <v>0</v>
      </c>
      <c r="Q9796">
        <v>0</v>
      </c>
      <c r="R9796" t="s">
        <v>45106</v>
      </c>
      <c r="S9796" t="s">
        <v>45379</v>
      </c>
      <c r="T9796" t="s">
        <v>47165</v>
      </c>
      <c r="U9796" t="s">
        <v>55576</v>
      </c>
      <c r="W9796" t="s">
        <v>44410</v>
      </c>
      <c r="X9796" t="s">
        <v>45107</v>
      </c>
    </row>
    <row r="9797" spans="1:24">
      <c r="A9797">
        <f>HYPERLINK("https://www.philgeps.gov.ph/GEPSNONPILOT/Tender/SplashBidNoticeAbstractUI.aspx?menuIndex=3&amp;refID=7032095&amp;Result=3","7032095")</f>
        <v>0</v>
      </c>
      <c r="B9797" t="s">
        <v>2652</v>
      </c>
      <c r="C9797" t="s">
        <v>12534</v>
      </c>
      <c r="D9797" t="s">
        <v>18022</v>
      </c>
      <c r="E9797" t="s">
        <v>26660</v>
      </c>
      <c r="F9797" t="s">
        <v>31574</v>
      </c>
      <c r="G9797" t="s">
        <v>31582</v>
      </c>
      <c r="H9797" t="s">
        <v>31590</v>
      </c>
      <c r="I9797" t="s">
        <v>4327</v>
      </c>
      <c r="J9797" t="s">
        <v>32271</v>
      </c>
      <c r="K9797" t="s">
        <v>41193</v>
      </c>
      <c r="M9797" t="s">
        <v>44410</v>
      </c>
      <c r="N9797" t="s">
        <v>45095</v>
      </c>
      <c r="O9797" t="s">
        <v>45096</v>
      </c>
      <c r="P9797">
        <v>0</v>
      </c>
      <c r="Q9797">
        <v>4</v>
      </c>
      <c r="R9797" t="s">
        <v>45106</v>
      </c>
      <c r="S9797" t="s">
        <v>45379</v>
      </c>
      <c r="T9797" t="s">
        <v>47229</v>
      </c>
      <c r="U9797" t="s">
        <v>55576</v>
      </c>
      <c r="W9797" t="s">
        <v>44410</v>
      </c>
      <c r="X9797" t="s">
        <v>45107</v>
      </c>
    </row>
    <row r="9798" spans="1:24">
      <c r="A9798">
        <f>HYPERLINK("https://www.philgeps.gov.ph/GEPSNONPILOT/Tender/SplashBidNoticeAbstractUI.aspx?menuIndex=3&amp;refID=7032290&amp;Result=3","7032290")</f>
        <v>0</v>
      </c>
      <c r="B9798" t="s">
        <v>2332</v>
      </c>
      <c r="C9798" t="s">
        <v>12535</v>
      </c>
      <c r="D9798" t="s">
        <v>18026</v>
      </c>
      <c r="E9798" t="s">
        <v>26661</v>
      </c>
      <c r="F9798" t="s">
        <v>31574</v>
      </c>
      <c r="G9798" t="s">
        <v>31582</v>
      </c>
      <c r="H9798" t="s">
        <v>31591</v>
      </c>
      <c r="I9798" t="s">
        <v>8822</v>
      </c>
      <c r="J9798" t="s">
        <v>37875</v>
      </c>
      <c r="K9798" t="s">
        <v>41304</v>
      </c>
      <c r="M9798" t="s">
        <v>44042</v>
      </c>
      <c r="N9798" t="s">
        <v>45095</v>
      </c>
      <c r="O9798" t="s">
        <v>45096</v>
      </c>
      <c r="P9798">
        <v>0</v>
      </c>
      <c r="Q9798">
        <v>0</v>
      </c>
      <c r="R9798" t="s">
        <v>45106</v>
      </c>
      <c r="S9798" t="s">
        <v>45379</v>
      </c>
      <c r="T9798" t="s">
        <v>46980</v>
      </c>
      <c r="U9798" t="s">
        <v>55587</v>
      </c>
      <c r="W9798" t="s">
        <v>44042</v>
      </c>
      <c r="X9798" t="s">
        <v>45107</v>
      </c>
    </row>
    <row r="9799" spans="1:24">
      <c r="A9799">
        <f>HYPERLINK("https://www.philgeps.gov.ph/GEPSNONPILOT/Tender/SplashBidNoticeAbstractUI.aspx?menuIndex=3&amp;refID=7032090&amp;Result=3","7032090")</f>
        <v>0</v>
      </c>
      <c r="B9799" t="s">
        <v>2656</v>
      </c>
      <c r="C9799" t="s">
        <v>12536</v>
      </c>
      <c r="D9799" t="s">
        <v>18035</v>
      </c>
      <c r="E9799" t="s">
        <v>26662</v>
      </c>
      <c r="F9799" t="s">
        <v>31574</v>
      </c>
      <c r="G9799" t="s">
        <v>31582</v>
      </c>
      <c r="H9799" t="s">
        <v>31590</v>
      </c>
      <c r="I9799" t="s">
        <v>31615</v>
      </c>
      <c r="J9799" t="s">
        <v>37876</v>
      </c>
      <c r="K9799" t="s">
        <v>41186</v>
      </c>
      <c r="M9799" t="s">
        <v>44414</v>
      </c>
      <c r="N9799" t="s">
        <v>45095</v>
      </c>
      <c r="O9799" t="s">
        <v>45096</v>
      </c>
      <c r="P9799">
        <v>0</v>
      </c>
      <c r="Q9799">
        <v>6</v>
      </c>
      <c r="R9799" t="s">
        <v>45106</v>
      </c>
      <c r="S9799" t="s">
        <v>45379</v>
      </c>
      <c r="T9799" t="s">
        <v>47000</v>
      </c>
      <c r="U9799" t="s">
        <v>55588</v>
      </c>
      <c r="W9799" t="s">
        <v>44414</v>
      </c>
      <c r="X9799" t="s">
        <v>45107</v>
      </c>
    </row>
    <row r="9800" spans="1:24">
      <c r="A9800">
        <f>HYPERLINK("https://www.philgeps.gov.ph/GEPSNONPILOT/Tender/SplashBidNoticeAbstractUI.aspx?menuIndex=3&amp;refID=7032087&amp;Result=3","7032087")</f>
        <v>0</v>
      </c>
      <c r="B9800" t="s">
        <v>2652</v>
      </c>
      <c r="C9800" t="s">
        <v>12537</v>
      </c>
      <c r="D9800" t="s">
        <v>18022</v>
      </c>
      <c r="E9800" t="s">
        <v>26663</v>
      </c>
      <c r="F9800" t="s">
        <v>31574</v>
      </c>
      <c r="G9800" t="s">
        <v>31582</v>
      </c>
      <c r="H9800" t="s">
        <v>31590</v>
      </c>
      <c r="I9800" t="s">
        <v>3487</v>
      </c>
      <c r="J9800" t="s">
        <v>37877</v>
      </c>
      <c r="K9800" t="s">
        <v>41193</v>
      </c>
      <c r="M9800" t="s">
        <v>44410</v>
      </c>
      <c r="N9800" t="s">
        <v>45095</v>
      </c>
      <c r="O9800" t="s">
        <v>45096</v>
      </c>
      <c r="P9800">
        <v>0</v>
      </c>
      <c r="Q9800">
        <v>0</v>
      </c>
      <c r="R9800" t="s">
        <v>45106</v>
      </c>
      <c r="S9800" t="s">
        <v>45379</v>
      </c>
      <c r="T9800" t="s">
        <v>47308</v>
      </c>
      <c r="U9800" t="s">
        <v>55576</v>
      </c>
      <c r="W9800" t="s">
        <v>44410</v>
      </c>
      <c r="X9800" t="s">
        <v>45107</v>
      </c>
    </row>
    <row r="9801" spans="1:24">
      <c r="A9801">
        <f>HYPERLINK("https://www.philgeps.gov.ph/GEPSNONPILOT/Tender/SplashBidNoticeAbstractUI.aspx?menuIndex=3&amp;refID=7032096&amp;Result=3","7032096")</f>
        <v>0</v>
      </c>
      <c r="B9801" t="s">
        <v>2652</v>
      </c>
      <c r="C9801" t="s">
        <v>12538</v>
      </c>
      <c r="D9801" t="s">
        <v>18022</v>
      </c>
      <c r="E9801" t="s">
        <v>26664</v>
      </c>
      <c r="F9801" t="s">
        <v>31574</v>
      </c>
      <c r="G9801" t="s">
        <v>31582</v>
      </c>
      <c r="H9801" t="s">
        <v>31590</v>
      </c>
      <c r="I9801" t="s">
        <v>3487</v>
      </c>
      <c r="J9801" t="s">
        <v>37878</v>
      </c>
      <c r="K9801" t="s">
        <v>41193</v>
      </c>
      <c r="M9801" t="s">
        <v>44410</v>
      </c>
      <c r="N9801" t="s">
        <v>45095</v>
      </c>
      <c r="O9801" t="s">
        <v>45096</v>
      </c>
      <c r="P9801">
        <v>0</v>
      </c>
      <c r="Q9801">
        <v>0</v>
      </c>
      <c r="R9801" t="s">
        <v>45106</v>
      </c>
      <c r="S9801" t="s">
        <v>45379</v>
      </c>
      <c r="T9801" t="s">
        <v>47080</v>
      </c>
      <c r="U9801" t="s">
        <v>55576</v>
      </c>
      <c r="W9801" t="s">
        <v>44410</v>
      </c>
      <c r="X9801" t="s">
        <v>45107</v>
      </c>
    </row>
    <row r="9802" spans="1:24">
      <c r="A9802">
        <f>HYPERLINK("https://www.philgeps.gov.ph/GEPSNONPILOT/Tender/SplashBidNoticeAbstractUI.aspx?menuIndex=3&amp;refID=7032337&amp;Result=3","7032337")</f>
        <v>0</v>
      </c>
      <c r="B9802" t="s">
        <v>1407</v>
      </c>
      <c r="C9802" t="s">
        <v>12539</v>
      </c>
      <c r="E9802" t="s">
        <v>26665</v>
      </c>
      <c r="F9802" t="s">
        <v>31574</v>
      </c>
      <c r="G9802" t="s">
        <v>31582</v>
      </c>
      <c r="H9802" t="s">
        <v>31590</v>
      </c>
      <c r="I9802" t="s">
        <v>31699</v>
      </c>
      <c r="J9802" t="s">
        <v>32662</v>
      </c>
      <c r="K9802" t="s">
        <v>41192</v>
      </c>
      <c r="M9802" t="s">
        <v>42983</v>
      </c>
      <c r="N9802" t="s">
        <v>45095</v>
      </c>
      <c r="O9802" t="s">
        <v>45096</v>
      </c>
      <c r="Q9802">
        <v>9</v>
      </c>
      <c r="R9802" t="s">
        <v>45106</v>
      </c>
      <c r="S9802" t="s">
        <v>45385</v>
      </c>
      <c r="T9802" t="s">
        <v>47369</v>
      </c>
      <c r="U9802" t="s">
        <v>55589</v>
      </c>
      <c r="W9802" t="s">
        <v>42983</v>
      </c>
      <c r="X9802" t="s">
        <v>45107</v>
      </c>
    </row>
    <row r="9803" spans="1:24">
      <c r="A9803">
        <f>HYPERLINK("https://www.philgeps.gov.ph/GEPSNONPILOT/Tender/SplashBidNoticeAbstractUI.aspx?menuIndex=3&amp;refID=7026122&amp;Result=3","7026122")</f>
        <v>0</v>
      </c>
      <c r="B9803" t="s">
        <v>469</v>
      </c>
      <c r="C9803" t="s">
        <v>12540</v>
      </c>
      <c r="D9803" t="s">
        <v>18091</v>
      </c>
      <c r="E9803" t="s">
        <v>26666</v>
      </c>
      <c r="F9803" t="s">
        <v>31574</v>
      </c>
      <c r="G9803" t="s">
        <v>31582</v>
      </c>
      <c r="H9803" t="s">
        <v>31591</v>
      </c>
      <c r="I9803" t="s">
        <v>8822</v>
      </c>
      <c r="J9803" t="s">
        <v>37879</v>
      </c>
      <c r="K9803" t="s">
        <v>41185</v>
      </c>
      <c r="M9803" t="s">
        <v>41963</v>
      </c>
      <c r="N9803" t="s">
        <v>45095</v>
      </c>
      <c r="O9803" t="s">
        <v>45096</v>
      </c>
      <c r="P9803">
        <v>0</v>
      </c>
      <c r="Q9803">
        <v>0</v>
      </c>
      <c r="R9803" t="s">
        <v>45107</v>
      </c>
      <c r="S9803" t="s">
        <v>45386</v>
      </c>
      <c r="T9803" t="s">
        <v>47198</v>
      </c>
      <c r="U9803" t="s">
        <v>55590</v>
      </c>
      <c r="W9803" t="s">
        <v>41963</v>
      </c>
      <c r="X9803" t="s">
        <v>45110</v>
      </c>
    </row>
    <row r="9804" spans="1:24">
      <c r="A9804">
        <f>HYPERLINK("https://www.philgeps.gov.ph/GEPSNONPILOT/Tender/SplashBidNoticeAbstractUI.aspx?menuIndex=3&amp;refID=7032333&amp;Result=3","7032333")</f>
        <v>0</v>
      </c>
      <c r="B9804" t="s">
        <v>1407</v>
      </c>
      <c r="C9804" t="s">
        <v>12541</v>
      </c>
      <c r="E9804" t="s">
        <v>26667</v>
      </c>
      <c r="F9804" t="s">
        <v>31574</v>
      </c>
      <c r="G9804" t="s">
        <v>31582</v>
      </c>
      <c r="H9804" t="s">
        <v>31592</v>
      </c>
      <c r="I9804" t="s">
        <v>31596</v>
      </c>
      <c r="J9804" t="s">
        <v>37880</v>
      </c>
      <c r="K9804" t="s">
        <v>41210</v>
      </c>
      <c r="M9804" t="s">
        <v>42983</v>
      </c>
      <c r="N9804" t="s">
        <v>45095</v>
      </c>
      <c r="O9804" t="s">
        <v>45096</v>
      </c>
      <c r="Q9804">
        <v>8</v>
      </c>
      <c r="R9804" t="s">
        <v>45106</v>
      </c>
      <c r="S9804" t="s">
        <v>45387</v>
      </c>
      <c r="T9804" t="s">
        <v>46915</v>
      </c>
      <c r="U9804" t="s">
        <v>55591</v>
      </c>
      <c r="W9804" t="s">
        <v>42983</v>
      </c>
      <c r="X9804" t="s">
        <v>45107</v>
      </c>
    </row>
    <row r="9805" spans="1:24">
      <c r="A9805">
        <f>HYPERLINK("https://www.philgeps.gov.ph/GEPSNONPILOT/Tender/SplashBidNoticeAbstractUI.aspx?menuIndex=3&amp;refID=7032325&amp;Result=3","7032325")</f>
        <v>0</v>
      </c>
      <c r="B9805" t="s">
        <v>2332</v>
      </c>
      <c r="C9805" t="s">
        <v>12542</v>
      </c>
      <c r="D9805" t="s">
        <v>18026</v>
      </c>
      <c r="E9805" t="s">
        <v>26668</v>
      </c>
      <c r="F9805" t="s">
        <v>31574</v>
      </c>
      <c r="G9805" t="s">
        <v>31582</v>
      </c>
      <c r="H9805" t="s">
        <v>31590</v>
      </c>
      <c r="I9805" t="s">
        <v>31615</v>
      </c>
      <c r="J9805" t="s">
        <v>33343</v>
      </c>
      <c r="K9805" t="s">
        <v>41193</v>
      </c>
      <c r="M9805" t="s">
        <v>44042</v>
      </c>
      <c r="N9805" t="s">
        <v>45095</v>
      </c>
      <c r="O9805" t="s">
        <v>45096</v>
      </c>
      <c r="P9805">
        <v>0</v>
      </c>
      <c r="Q9805">
        <v>3</v>
      </c>
      <c r="R9805" t="s">
        <v>45106</v>
      </c>
      <c r="S9805" t="s">
        <v>45379</v>
      </c>
      <c r="T9805" t="s">
        <v>46980</v>
      </c>
      <c r="U9805" t="s">
        <v>55592</v>
      </c>
      <c r="W9805" t="s">
        <v>44042</v>
      </c>
      <c r="X9805" t="s">
        <v>45107</v>
      </c>
    </row>
    <row r="9806" spans="1:24">
      <c r="A9806">
        <f>HYPERLINK("https://www.philgeps.gov.ph/GEPSNONPILOT/Tender/SplashBidNoticeAbstractUI.aspx?menuIndex=3&amp;refID=7025763&amp;Result=3","7025763")</f>
        <v>0</v>
      </c>
      <c r="B9806" t="s">
        <v>469</v>
      </c>
      <c r="C9806" t="s">
        <v>12540</v>
      </c>
      <c r="D9806" t="s">
        <v>18091</v>
      </c>
      <c r="E9806" t="s">
        <v>26669</v>
      </c>
      <c r="F9806" t="s">
        <v>31574</v>
      </c>
      <c r="G9806" t="s">
        <v>31582</v>
      </c>
      <c r="H9806" t="s">
        <v>31591</v>
      </c>
      <c r="I9806" t="s">
        <v>8822</v>
      </c>
      <c r="J9806" t="s">
        <v>37881</v>
      </c>
      <c r="K9806" t="s">
        <v>41217</v>
      </c>
      <c r="M9806" t="s">
        <v>41963</v>
      </c>
      <c r="N9806" t="s">
        <v>45095</v>
      </c>
      <c r="O9806" t="s">
        <v>45096</v>
      </c>
      <c r="P9806">
        <v>0</v>
      </c>
      <c r="Q9806">
        <v>0</v>
      </c>
      <c r="R9806" t="s">
        <v>45107</v>
      </c>
      <c r="S9806" t="s">
        <v>45386</v>
      </c>
      <c r="T9806" t="s">
        <v>47198</v>
      </c>
      <c r="U9806" t="s">
        <v>55593</v>
      </c>
      <c r="W9806" t="s">
        <v>41963</v>
      </c>
      <c r="X9806" t="s">
        <v>45110</v>
      </c>
    </row>
    <row r="9807" spans="1:24">
      <c r="A9807">
        <f>HYPERLINK("https://www.philgeps.gov.ph/GEPSNONPILOT/Tender/SplashBidNoticeAbstractUI.aspx?menuIndex=3&amp;refID=7032343&amp;Result=3","7032343")</f>
        <v>0</v>
      </c>
      <c r="B9807" t="s">
        <v>1085</v>
      </c>
      <c r="C9807" t="s">
        <v>12543</v>
      </c>
      <c r="D9807" t="s">
        <v>18056</v>
      </c>
      <c r="E9807" t="s">
        <v>26670</v>
      </c>
      <c r="F9807" t="s">
        <v>31574</v>
      </c>
      <c r="G9807" t="s">
        <v>31582</v>
      </c>
      <c r="H9807" t="s">
        <v>31590</v>
      </c>
      <c r="I9807" t="s">
        <v>31614</v>
      </c>
      <c r="J9807" t="s">
        <v>37882</v>
      </c>
      <c r="K9807" t="s">
        <v>41184</v>
      </c>
      <c r="M9807" t="s">
        <v>42634</v>
      </c>
      <c r="N9807" t="s">
        <v>45095</v>
      </c>
      <c r="O9807" t="s">
        <v>45096</v>
      </c>
      <c r="P9807">
        <v>0</v>
      </c>
      <c r="Q9807">
        <v>3</v>
      </c>
      <c r="R9807" t="s">
        <v>45106</v>
      </c>
      <c r="S9807" t="s">
        <v>45379</v>
      </c>
      <c r="T9807" t="s">
        <v>47010</v>
      </c>
      <c r="U9807" t="s">
        <v>55594</v>
      </c>
      <c r="V9807" t="s">
        <v>60869</v>
      </c>
      <c r="W9807" t="s">
        <v>42634</v>
      </c>
      <c r="X9807" t="s">
        <v>45107</v>
      </c>
    </row>
    <row r="9808" spans="1:24">
      <c r="A9808">
        <f>HYPERLINK("https://www.philgeps.gov.ph/GEPSNONPILOT/Tender/SplashBidNoticeAbstractUI.aspx?menuIndex=3&amp;refID=7027696&amp;Result=3","7027696")</f>
        <v>0</v>
      </c>
      <c r="B9808" t="s">
        <v>1218</v>
      </c>
      <c r="C9808" t="s">
        <v>12544</v>
      </c>
      <c r="D9808" t="s">
        <v>18054</v>
      </c>
      <c r="E9808" t="s">
        <v>26671</v>
      </c>
      <c r="F9808" t="s">
        <v>31574</v>
      </c>
      <c r="G9808" t="s">
        <v>31582</v>
      </c>
      <c r="H9808" t="s">
        <v>31590</v>
      </c>
      <c r="I9808" t="s">
        <v>31602</v>
      </c>
      <c r="J9808" t="s">
        <v>37883</v>
      </c>
      <c r="K9808" t="s">
        <v>41186</v>
      </c>
      <c r="M9808" t="s">
        <v>42779</v>
      </c>
      <c r="N9808" t="s">
        <v>45095</v>
      </c>
      <c r="O9808" t="s">
        <v>45096</v>
      </c>
      <c r="P9808">
        <v>0</v>
      </c>
      <c r="Q9808">
        <v>0</v>
      </c>
      <c r="R9808" t="s">
        <v>45107</v>
      </c>
      <c r="S9808" t="s">
        <v>45386</v>
      </c>
      <c r="T9808" t="s">
        <v>47000</v>
      </c>
      <c r="U9808" t="s">
        <v>55595</v>
      </c>
      <c r="V9808" t="s">
        <v>60870</v>
      </c>
      <c r="W9808" t="s">
        <v>42779</v>
      </c>
      <c r="X9808" t="s">
        <v>45109</v>
      </c>
    </row>
    <row r="9809" spans="1:24">
      <c r="A9809">
        <f>HYPERLINK("https://www.philgeps.gov.ph/GEPSNONPILOT/Tender/SplashBidNoticeAbstractUI.aspx?menuIndex=3&amp;refID=7026083&amp;Result=3","7026083")</f>
        <v>0</v>
      </c>
      <c r="B9809" t="s">
        <v>469</v>
      </c>
      <c r="C9809" t="s">
        <v>12540</v>
      </c>
      <c r="D9809" t="s">
        <v>18091</v>
      </c>
      <c r="E9809" t="s">
        <v>26672</v>
      </c>
      <c r="F9809" t="s">
        <v>31574</v>
      </c>
      <c r="G9809" t="s">
        <v>31582</v>
      </c>
      <c r="H9809" t="s">
        <v>31591</v>
      </c>
      <c r="I9809" t="s">
        <v>8822</v>
      </c>
      <c r="J9809" t="s">
        <v>37884</v>
      </c>
      <c r="K9809" t="s">
        <v>41217</v>
      </c>
      <c r="M9809" t="s">
        <v>41963</v>
      </c>
      <c r="N9809" t="s">
        <v>45095</v>
      </c>
      <c r="O9809" t="s">
        <v>45096</v>
      </c>
      <c r="P9809">
        <v>0</v>
      </c>
      <c r="Q9809">
        <v>0</v>
      </c>
      <c r="R9809" t="s">
        <v>45107</v>
      </c>
      <c r="S9809" t="s">
        <v>45386</v>
      </c>
      <c r="T9809" t="s">
        <v>47198</v>
      </c>
      <c r="U9809" t="s">
        <v>55596</v>
      </c>
      <c r="W9809" t="s">
        <v>41963</v>
      </c>
      <c r="X9809" t="s">
        <v>45110</v>
      </c>
    </row>
    <row r="9810" spans="1:24">
      <c r="A9810">
        <f>HYPERLINK("https://www.philgeps.gov.ph/GEPSNONPILOT/Tender/SplashBidNoticeAbstractUI.aspx?menuIndex=3&amp;refID=7025738&amp;Result=3","7025738")</f>
        <v>0</v>
      </c>
      <c r="B9810" t="s">
        <v>2659</v>
      </c>
      <c r="C9810" t="s">
        <v>12545</v>
      </c>
      <c r="D9810" t="s">
        <v>18079</v>
      </c>
      <c r="E9810" t="s">
        <v>18227</v>
      </c>
      <c r="F9810" t="s">
        <v>31574</v>
      </c>
      <c r="G9810" t="s">
        <v>31582</v>
      </c>
      <c r="H9810" t="s">
        <v>31590</v>
      </c>
      <c r="I9810" t="s">
        <v>4046</v>
      </c>
      <c r="J9810" t="s">
        <v>37885</v>
      </c>
      <c r="K9810" t="s">
        <v>41190</v>
      </c>
      <c r="M9810" t="s">
        <v>44417</v>
      </c>
      <c r="N9810" t="s">
        <v>45095</v>
      </c>
      <c r="O9810" t="s">
        <v>45096</v>
      </c>
      <c r="P9810">
        <v>0</v>
      </c>
      <c r="Q9810">
        <v>1</v>
      </c>
      <c r="R9810" t="s">
        <v>45107</v>
      </c>
      <c r="S9810" t="s">
        <v>45386</v>
      </c>
      <c r="T9810" t="s">
        <v>46973</v>
      </c>
      <c r="U9810" t="s">
        <v>55597</v>
      </c>
      <c r="W9810" t="s">
        <v>44417</v>
      </c>
      <c r="X9810" t="s">
        <v>45110</v>
      </c>
    </row>
    <row r="9811" spans="1:24">
      <c r="A9811">
        <f>HYPERLINK("https://www.philgeps.gov.ph/GEPSNONPILOT/Tender/SplashBidNoticeAbstractUI.aspx?menuIndex=3&amp;refID=7024734&amp;Result=3","7024734")</f>
        <v>0</v>
      </c>
      <c r="B9811" t="s">
        <v>1389</v>
      </c>
      <c r="C9811" t="s">
        <v>12546</v>
      </c>
      <c r="D9811" t="s">
        <v>18089</v>
      </c>
      <c r="E9811" t="s">
        <v>26673</v>
      </c>
      <c r="F9811" t="s">
        <v>31574</v>
      </c>
      <c r="G9811" t="s">
        <v>31582</v>
      </c>
      <c r="H9811" t="s">
        <v>31591</v>
      </c>
      <c r="I9811" t="s">
        <v>31663</v>
      </c>
      <c r="J9811" t="s">
        <v>34376</v>
      </c>
      <c r="K9811" t="s">
        <v>41217</v>
      </c>
      <c r="M9811" t="s">
        <v>42963</v>
      </c>
      <c r="N9811" t="s">
        <v>45095</v>
      </c>
      <c r="O9811" t="s">
        <v>45096</v>
      </c>
      <c r="P9811">
        <v>0</v>
      </c>
      <c r="Q9811">
        <v>0</v>
      </c>
      <c r="R9811" t="s">
        <v>45107</v>
      </c>
      <c r="S9811" t="s">
        <v>45386</v>
      </c>
      <c r="T9811" t="s">
        <v>47159</v>
      </c>
      <c r="U9811" t="s">
        <v>50834</v>
      </c>
      <c r="V9811" t="s">
        <v>59130</v>
      </c>
      <c r="W9811" t="s">
        <v>42963</v>
      </c>
      <c r="X9811" t="s">
        <v>45110</v>
      </c>
    </row>
    <row r="9812" spans="1:24">
      <c r="A9812">
        <f>HYPERLINK("https://www.philgeps.gov.ph/GEPSNONPILOT/Tender/SplashBidNoticeAbstractUI.aspx?menuIndex=3&amp;refID=7025719&amp;Result=3","7025719")</f>
        <v>0</v>
      </c>
      <c r="B9812" t="s">
        <v>469</v>
      </c>
      <c r="C9812" t="s">
        <v>12540</v>
      </c>
      <c r="D9812" t="s">
        <v>18091</v>
      </c>
      <c r="E9812" t="s">
        <v>26674</v>
      </c>
      <c r="F9812" t="s">
        <v>31574</v>
      </c>
      <c r="G9812" t="s">
        <v>31582</v>
      </c>
      <c r="H9812" t="s">
        <v>31591</v>
      </c>
      <c r="I9812" t="s">
        <v>8822</v>
      </c>
      <c r="J9812" t="s">
        <v>37886</v>
      </c>
      <c r="K9812" t="s">
        <v>41395</v>
      </c>
      <c r="M9812" t="s">
        <v>41963</v>
      </c>
      <c r="N9812" t="s">
        <v>45095</v>
      </c>
      <c r="O9812" t="s">
        <v>45096</v>
      </c>
      <c r="P9812">
        <v>0</v>
      </c>
      <c r="Q9812">
        <v>0</v>
      </c>
      <c r="R9812" t="s">
        <v>45107</v>
      </c>
      <c r="S9812" t="s">
        <v>45386</v>
      </c>
      <c r="T9812" t="s">
        <v>47198</v>
      </c>
      <c r="U9812" t="s">
        <v>55598</v>
      </c>
      <c r="W9812" t="s">
        <v>41963</v>
      </c>
      <c r="X9812" t="s">
        <v>45110</v>
      </c>
    </row>
    <row r="9813" spans="1:24">
      <c r="A9813">
        <f>HYPERLINK("https://www.philgeps.gov.ph/GEPSNONPILOT/Tender/SplashBidNoticeAbstractUI.aspx?menuIndex=3&amp;refID=7032056&amp;Result=3","7032056")</f>
        <v>0</v>
      </c>
      <c r="B9813" t="s">
        <v>2656</v>
      </c>
      <c r="C9813" t="s">
        <v>12547</v>
      </c>
      <c r="D9813" t="s">
        <v>18035</v>
      </c>
      <c r="E9813" t="s">
        <v>26675</v>
      </c>
      <c r="F9813" t="s">
        <v>31574</v>
      </c>
      <c r="G9813" t="s">
        <v>31582</v>
      </c>
      <c r="H9813" t="s">
        <v>31591</v>
      </c>
      <c r="I9813" t="s">
        <v>8822</v>
      </c>
      <c r="J9813" t="s">
        <v>31935</v>
      </c>
      <c r="K9813" t="s">
        <v>41233</v>
      </c>
      <c r="M9813" t="s">
        <v>44414</v>
      </c>
      <c r="N9813" t="s">
        <v>45095</v>
      </c>
      <c r="O9813" t="s">
        <v>45096</v>
      </c>
      <c r="P9813">
        <v>0</v>
      </c>
      <c r="Q9813">
        <v>45</v>
      </c>
      <c r="R9813" t="s">
        <v>45106</v>
      </c>
      <c r="S9813" t="s">
        <v>45379</v>
      </c>
      <c r="T9813" t="s">
        <v>47000</v>
      </c>
      <c r="U9813" t="s">
        <v>55599</v>
      </c>
      <c r="W9813" t="s">
        <v>44414</v>
      </c>
      <c r="X9813" t="s">
        <v>45107</v>
      </c>
    </row>
    <row r="9814" spans="1:24">
      <c r="A9814">
        <f>HYPERLINK("https://www.philgeps.gov.ph/GEPSNONPILOT/Tender/SplashBidNoticeAbstractUI.aspx?menuIndex=3&amp;refID=7032346&amp;Result=3","7032346")</f>
        <v>0</v>
      </c>
      <c r="B9814" t="s">
        <v>1085</v>
      </c>
      <c r="C9814" t="s">
        <v>12548</v>
      </c>
      <c r="D9814" t="s">
        <v>18056</v>
      </c>
      <c r="E9814" t="s">
        <v>26676</v>
      </c>
      <c r="F9814" t="s">
        <v>31574</v>
      </c>
      <c r="G9814" t="s">
        <v>31582</v>
      </c>
      <c r="H9814" t="s">
        <v>31590</v>
      </c>
      <c r="I9814" t="s">
        <v>31614</v>
      </c>
      <c r="J9814" t="s">
        <v>37887</v>
      </c>
      <c r="K9814" t="s">
        <v>41196</v>
      </c>
      <c r="M9814" t="s">
        <v>42634</v>
      </c>
      <c r="N9814" t="s">
        <v>45095</v>
      </c>
      <c r="O9814" t="s">
        <v>45096</v>
      </c>
      <c r="P9814">
        <v>0</v>
      </c>
      <c r="Q9814">
        <v>3</v>
      </c>
      <c r="R9814" t="s">
        <v>45106</v>
      </c>
      <c r="S9814" t="s">
        <v>45379</v>
      </c>
      <c r="T9814" t="s">
        <v>47093</v>
      </c>
      <c r="U9814" t="s">
        <v>55600</v>
      </c>
      <c r="V9814" t="s">
        <v>60869</v>
      </c>
      <c r="W9814" t="s">
        <v>42634</v>
      </c>
      <c r="X9814" t="s">
        <v>45107</v>
      </c>
    </row>
    <row r="9815" spans="1:24">
      <c r="A9815">
        <f>HYPERLINK("https://www.philgeps.gov.ph/GEPSNONPILOT/Tender/SplashBidNoticeAbstractUI.aspx?menuIndex=3&amp;refID=7028326&amp;Result=3","7028326")</f>
        <v>0</v>
      </c>
      <c r="B9815" t="s">
        <v>144</v>
      </c>
      <c r="C9815" t="s">
        <v>12549</v>
      </c>
      <c r="D9815" t="s">
        <v>18076</v>
      </c>
      <c r="E9815" t="s">
        <v>26677</v>
      </c>
      <c r="F9815" t="s">
        <v>31574</v>
      </c>
      <c r="G9815" t="s">
        <v>31582</v>
      </c>
      <c r="H9815" t="s">
        <v>31591</v>
      </c>
      <c r="I9815" t="s">
        <v>8822</v>
      </c>
      <c r="J9815" t="s">
        <v>37888</v>
      </c>
      <c r="K9815" t="s">
        <v>41195</v>
      </c>
      <c r="M9815" t="s">
        <v>44418</v>
      </c>
      <c r="N9815" t="s">
        <v>45095</v>
      </c>
      <c r="O9815" t="s">
        <v>45096</v>
      </c>
      <c r="P9815">
        <v>0</v>
      </c>
      <c r="Q9815">
        <v>0</v>
      </c>
      <c r="R9815" t="s">
        <v>45107</v>
      </c>
      <c r="S9815" t="s">
        <v>45386</v>
      </c>
      <c r="T9815" t="s">
        <v>47370</v>
      </c>
      <c r="U9815" t="s">
        <v>55601</v>
      </c>
      <c r="W9815" t="s">
        <v>44418</v>
      </c>
      <c r="X9815" t="s">
        <v>45109</v>
      </c>
    </row>
    <row r="9816" spans="1:24">
      <c r="A9816">
        <f>HYPERLINK("https://www.philgeps.gov.ph/GEPSNONPILOT/Tender/SplashBidNoticeAbstractUI.aspx?menuIndex=3&amp;refID=7027642&amp;Result=3","7027642")</f>
        <v>0</v>
      </c>
      <c r="B9816" t="s">
        <v>1218</v>
      </c>
      <c r="C9816" t="s">
        <v>12550</v>
      </c>
      <c r="D9816" t="s">
        <v>18054</v>
      </c>
      <c r="E9816" t="s">
        <v>26678</v>
      </c>
      <c r="F9816" t="s">
        <v>31574</v>
      </c>
      <c r="G9816" t="s">
        <v>31582</v>
      </c>
      <c r="H9816" t="s">
        <v>31590</v>
      </c>
      <c r="I9816" t="s">
        <v>4327</v>
      </c>
      <c r="J9816" t="s">
        <v>37889</v>
      </c>
      <c r="K9816" t="s">
        <v>41186</v>
      </c>
      <c r="M9816" t="s">
        <v>42779</v>
      </c>
      <c r="N9816" t="s">
        <v>45095</v>
      </c>
      <c r="O9816" t="s">
        <v>45096</v>
      </c>
      <c r="P9816">
        <v>0</v>
      </c>
      <c r="Q9816">
        <v>3</v>
      </c>
      <c r="R9816" t="s">
        <v>45107</v>
      </c>
      <c r="S9816" t="s">
        <v>45386</v>
      </c>
      <c r="T9816" t="s">
        <v>47000</v>
      </c>
      <c r="U9816" t="s">
        <v>55602</v>
      </c>
      <c r="V9816" t="s">
        <v>60871</v>
      </c>
      <c r="W9816" t="s">
        <v>42779</v>
      </c>
      <c r="X9816" t="s">
        <v>45109</v>
      </c>
    </row>
    <row r="9817" spans="1:24">
      <c r="A9817">
        <f>HYPERLINK("https://www.philgeps.gov.ph/GEPSNONPILOT/Tender/SplashBidNoticeAbstractUI.aspx?menuIndex=3&amp;refID=7028222&amp;Result=3","7028222")</f>
        <v>0</v>
      </c>
      <c r="B9817" t="s">
        <v>144</v>
      </c>
      <c r="C9817" t="s">
        <v>12551</v>
      </c>
      <c r="D9817" t="s">
        <v>18076</v>
      </c>
      <c r="E9817" t="s">
        <v>26679</v>
      </c>
      <c r="F9817" t="s">
        <v>31574</v>
      </c>
      <c r="G9817" t="s">
        <v>31582</v>
      </c>
      <c r="H9817" t="s">
        <v>31591</v>
      </c>
      <c r="I9817" t="s">
        <v>8822</v>
      </c>
      <c r="J9817" t="s">
        <v>37890</v>
      </c>
      <c r="K9817" t="s">
        <v>41199</v>
      </c>
      <c r="M9817" t="s">
        <v>44418</v>
      </c>
      <c r="N9817" t="s">
        <v>45095</v>
      </c>
      <c r="O9817" t="s">
        <v>45096</v>
      </c>
      <c r="P9817">
        <v>0</v>
      </c>
      <c r="Q9817">
        <v>0</v>
      </c>
      <c r="R9817" t="s">
        <v>45107</v>
      </c>
      <c r="S9817" t="s">
        <v>45386</v>
      </c>
      <c r="T9817" t="s">
        <v>47370</v>
      </c>
      <c r="U9817" t="s">
        <v>55603</v>
      </c>
      <c r="W9817" t="s">
        <v>44418</v>
      </c>
      <c r="X9817" t="s">
        <v>45109</v>
      </c>
    </row>
    <row r="9818" spans="1:24">
      <c r="A9818">
        <f>HYPERLINK("https://www.philgeps.gov.ph/GEPSNONPILOT/Tender/SplashBidNoticeAbstractUI.aspx?menuIndex=3&amp;refID=7028487&amp;Result=3","7028487")</f>
        <v>0</v>
      </c>
      <c r="B9818" t="s">
        <v>1528</v>
      </c>
      <c r="C9818" t="s">
        <v>12552</v>
      </c>
      <c r="D9818" t="s">
        <v>18022</v>
      </c>
      <c r="E9818" t="s">
        <v>26680</v>
      </c>
      <c r="F9818" t="s">
        <v>31574</v>
      </c>
      <c r="G9818" t="s">
        <v>31582</v>
      </c>
      <c r="H9818" t="s">
        <v>31591</v>
      </c>
      <c r="I9818" t="s">
        <v>8822</v>
      </c>
      <c r="J9818" t="s">
        <v>37891</v>
      </c>
      <c r="K9818" t="s">
        <v>41378</v>
      </c>
      <c r="M9818" t="s">
        <v>43583</v>
      </c>
      <c r="N9818" t="s">
        <v>45095</v>
      </c>
      <c r="O9818" t="s">
        <v>45096</v>
      </c>
      <c r="P9818">
        <v>0</v>
      </c>
      <c r="Q9818">
        <v>3</v>
      </c>
      <c r="R9818" t="s">
        <v>45107</v>
      </c>
      <c r="S9818" t="s">
        <v>45386</v>
      </c>
      <c r="T9818" t="s">
        <v>47079</v>
      </c>
      <c r="U9818" t="s">
        <v>55604</v>
      </c>
      <c r="V9818" t="s">
        <v>60872</v>
      </c>
      <c r="W9818" t="s">
        <v>43583</v>
      </c>
      <c r="X9818" t="s">
        <v>45109</v>
      </c>
    </row>
    <row r="9819" spans="1:24">
      <c r="A9819">
        <f>HYPERLINK("https://www.philgeps.gov.ph/GEPSNONPILOT/Tender/SplashBidNoticeAbstractUI.aspx?menuIndex=3&amp;refID=7027998&amp;Result=3","7027998")</f>
        <v>0</v>
      </c>
      <c r="B9819" t="s">
        <v>144</v>
      </c>
      <c r="C9819" t="s">
        <v>12553</v>
      </c>
      <c r="D9819" t="s">
        <v>18076</v>
      </c>
      <c r="E9819" t="s">
        <v>26681</v>
      </c>
      <c r="F9819" t="s">
        <v>31574</v>
      </c>
      <c r="G9819" t="s">
        <v>31582</v>
      </c>
      <c r="H9819" t="s">
        <v>31591</v>
      </c>
      <c r="I9819" t="s">
        <v>8822</v>
      </c>
      <c r="J9819" t="s">
        <v>37892</v>
      </c>
      <c r="K9819" t="s">
        <v>41352</v>
      </c>
      <c r="M9819" t="s">
        <v>44418</v>
      </c>
      <c r="N9819" t="s">
        <v>45095</v>
      </c>
      <c r="O9819" t="s">
        <v>45096</v>
      </c>
      <c r="P9819">
        <v>0</v>
      </c>
      <c r="Q9819">
        <v>0</v>
      </c>
      <c r="R9819" t="s">
        <v>45107</v>
      </c>
      <c r="S9819" t="s">
        <v>45386</v>
      </c>
      <c r="T9819" t="s">
        <v>47370</v>
      </c>
      <c r="U9819" t="s">
        <v>55605</v>
      </c>
      <c r="W9819" t="s">
        <v>44418</v>
      </c>
      <c r="X9819" t="s">
        <v>45109</v>
      </c>
    </row>
    <row r="9820" spans="1:24">
      <c r="A9820">
        <f>HYPERLINK("https://www.philgeps.gov.ph/GEPSNONPILOT/Tender/SplashBidNoticeAbstractUI.aspx?menuIndex=3&amp;refID=7028454&amp;Result=3","7028454")</f>
        <v>0</v>
      </c>
      <c r="B9820" t="s">
        <v>144</v>
      </c>
      <c r="C9820" t="s">
        <v>12554</v>
      </c>
      <c r="D9820" t="s">
        <v>18076</v>
      </c>
      <c r="E9820" t="s">
        <v>26682</v>
      </c>
      <c r="F9820" t="s">
        <v>31574</v>
      </c>
      <c r="G9820" t="s">
        <v>31582</v>
      </c>
      <c r="H9820" t="s">
        <v>31591</v>
      </c>
      <c r="I9820" t="s">
        <v>8822</v>
      </c>
      <c r="J9820" t="s">
        <v>37893</v>
      </c>
      <c r="K9820" t="s">
        <v>41201</v>
      </c>
      <c r="M9820" t="s">
        <v>44418</v>
      </c>
      <c r="N9820" t="s">
        <v>45095</v>
      </c>
      <c r="O9820" t="s">
        <v>45096</v>
      </c>
      <c r="P9820">
        <v>0</v>
      </c>
      <c r="Q9820">
        <v>0</v>
      </c>
      <c r="R9820" t="s">
        <v>45107</v>
      </c>
      <c r="S9820" t="s">
        <v>45386</v>
      </c>
      <c r="T9820" t="s">
        <v>47370</v>
      </c>
      <c r="U9820" t="s">
        <v>55606</v>
      </c>
      <c r="W9820" t="s">
        <v>44418</v>
      </c>
      <c r="X9820" t="s">
        <v>45109</v>
      </c>
    </row>
    <row r="9821" spans="1:24">
      <c r="A9821">
        <f>HYPERLINK("https://www.philgeps.gov.ph/GEPSNONPILOT/Tender/SplashBidNoticeAbstractUI.aspx?menuIndex=3&amp;refID=7028781&amp;Result=3","7028781")</f>
        <v>0</v>
      </c>
      <c r="B9821" t="s">
        <v>144</v>
      </c>
      <c r="C9821" t="s">
        <v>12555</v>
      </c>
      <c r="D9821" t="s">
        <v>18076</v>
      </c>
      <c r="E9821" t="s">
        <v>26683</v>
      </c>
      <c r="F9821" t="s">
        <v>31574</v>
      </c>
      <c r="G9821" t="s">
        <v>31582</v>
      </c>
      <c r="H9821" t="s">
        <v>31591</v>
      </c>
      <c r="I9821" t="s">
        <v>8822</v>
      </c>
      <c r="J9821" t="s">
        <v>37894</v>
      </c>
      <c r="K9821" t="s">
        <v>41398</v>
      </c>
      <c r="M9821" t="s">
        <v>44418</v>
      </c>
      <c r="N9821" t="s">
        <v>45095</v>
      </c>
      <c r="O9821" t="s">
        <v>45096</v>
      </c>
      <c r="P9821">
        <v>0</v>
      </c>
      <c r="Q9821">
        <v>0</v>
      </c>
      <c r="R9821" t="s">
        <v>45107</v>
      </c>
      <c r="S9821" t="s">
        <v>45386</v>
      </c>
      <c r="T9821" t="s">
        <v>47370</v>
      </c>
      <c r="U9821" t="s">
        <v>55607</v>
      </c>
      <c r="W9821" t="s">
        <v>44418</v>
      </c>
      <c r="X9821" t="s">
        <v>45109</v>
      </c>
    </row>
    <row r="9822" spans="1:24">
      <c r="A9822">
        <f>HYPERLINK("https://www.philgeps.gov.ph/GEPSNONPILOT/Tender/SplashBidNoticeAbstractUI.aspx?menuIndex=3&amp;refID=7028119&amp;Result=3","7028119")</f>
        <v>0</v>
      </c>
      <c r="B9822" t="s">
        <v>144</v>
      </c>
      <c r="C9822" t="s">
        <v>12556</v>
      </c>
      <c r="D9822" t="s">
        <v>18076</v>
      </c>
      <c r="E9822" t="s">
        <v>26684</v>
      </c>
      <c r="F9822" t="s">
        <v>31574</v>
      </c>
      <c r="G9822" t="s">
        <v>31582</v>
      </c>
      <c r="H9822" t="s">
        <v>31591</v>
      </c>
      <c r="I9822" t="s">
        <v>8822</v>
      </c>
      <c r="J9822" t="s">
        <v>37895</v>
      </c>
      <c r="K9822" t="s">
        <v>41239</v>
      </c>
      <c r="M9822" t="s">
        <v>44418</v>
      </c>
      <c r="N9822" t="s">
        <v>45095</v>
      </c>
      <c r="O9822" t="s">
        <v>45096</v>
      </c>
      <c r="P9822">
        <v>0</v>
      </c>
      <c r="Q9822">
        <v>0</v>
      </c>
      <c r="R9822" t="s">
        <v>45107</v>
      </c>
      <c r="S9822" t="s">
        <v>45386</v>
      </c>
      <c r="T9822" t="s">
        <v>47370</v>
      </c>
      <c r="U9822" t="s">
        <v>55608</v>
      </c>
      <c r="W9822" t="s">
        <v>44418</v>
      </c>
      <c r="X9822" t="s">
        <v>45109</v>
      </c>
    </row>
    <row r="9823" spans="1:24">
      <c r="A9823">
        <f>HYPERLINK("https://www.philgeps.gov.ph/GEPSNONPILOT/Tender/SplashBidNoticeAbstractUI.aspx?menuIndex=3&amp;refID=7028749&amp;Result=3","7028749")</f>
        <v>0</v>
      </c>
      <c r="B9823" t="s">
        <v>1528</v>
      </c>
      <c r="C9823" t="s">
        <v>12557</v>
      </c>
      <c r="D9823" t="s">
        <v>18022</v>
      </c>
      <c r="E9823" t="s">
        <v>26685</v>
      </c>
      <c r="F9823" t="s">
        <v>31574</v>
      </c>
      <c r="G9823" t="s">
        <v>31582</v>
      </c>
      <c r="H9823" t="s">
        <v>31591</v>
      </c>
      <c r="I9823" t="s">
        <v>8822</v>
      </c>
      <c r="J9823" t="s">
        <v>37896</v>
      </c>
      <c r="K9823" t="s">
        <v>41189</v>
      </c>
      <c r="M9823" t="s">
        <v>43583</v>
      </c>
      <c r="N9823" t="s">
        <v>45095</v>
      </c>
      <c r="O9823" t="s">
        <v>45096</v>
      </c>
      <c r="P9823">
        <v>0</v>
      </c>
      <c r="Q9823">
        <v>2</v>
      </c>
      <c r="R9823" t="s">
        <v>45107</v>
      </c>
      <c r="S9823" t="s">
        <v>45386</v>
      </c>
      <c r="T9823" t="s">
        <v>47079</v>
      </c>
      <c r="U9823" t="s">
        <v>55609</v>
      </c>
      <c r="V9823" t="s">
        <v>60872</v>
      </c>
      <c r="W9823" t="s">
        <v>43583</v>
      </c>
      <c r="X9823" t="s">
        <v>45109</v>
      </c>
    </row>
    <row r="9824" spans="1:24">
      <c r="A9824">
        <f>HYPERLINK("https://www.philgeps.gov.ph/GEPSNONPILOT/Tender/SplashBidNoticeAbstractUI.aspx?menuIndex=3&amp;refID=7028846&amp;Result=3","7028846")</f>
        <v>0</v>
      </c>
      <c r="B9824" t="s">
        <v>1528</v>
      </c>
      <c r="C9824" t="s">
        <v>12558</v>
      </c>
      <c r="D9824" t="s">
        <v>18022</v>
      </c>
      <c r="E9824" t="s">
        <v>26686</v>
      </c>
      <c r="F9824" t="s">
        <v>31574</v>
      </c>
      <c r="G9824" t="s">
        <v>31582</v>
      </c>
      <c r="H9824" t="s">
        <v>31591</v>
      </c>
      <c r="I9824" t="s">
        <v>8822</v>
      </c>
      <c r="J9824" t="s">
        <v>37897</v>
      </c>
      <c r="K9824" t="s">
        <v>41243</v>
      </c>
      <c r="M9824" t="s">
        <v>43583</v>
      </c>
      <c r="N9824" t="s">
        <v>45095</v>
      </c>
      <c r="O9824" t="s">
        <v>45096</v>
      </c>
      <c r="P9824">
        <v>0</v>
      </c>
      <c r="Q9824">
        <v>3</v>
      </c>
      <c r="R9824" t="s">
        <v>45107</v>
      </c>
      <c r="S9824" t="s">
        <v>45386</v>
      </c>
      <c r="T9824" t="s">
        <v>47079</v>
      </c>
      <c r="U9824" t="s">
        <v>55610</v>
      </c>
      <c r="V9824" t="s">
        <v>60872</v>
      </c>
      <c r="W9824" t="s">
        <v>43583</v>
      </c>
      <c r="X9824" t="s">
        <v>45109</v>
      </c>
    </row>
    <row r="9825" spans="1:24">
      <c r="A9825">
        <f>HYPERLINK("https://www.philgeps.gov.ph/GEPSNONPILOT/Tender/SplashBidNoticeAbstractUI.aspx?menuIndex=3&amp;refID=7028806&amp;Result=3","7028806")</f>
        <v>0</v>
      </c>
      <c r="B9825" t="s">
        <v>141</v>
      </c>
      <c r="C9825" t="s">
        <v>12559</v>
      </c>
      <c r="D9825" t="s">
        <v>18074</v>
      </c>
      <c r="E9825" t="s">
        <v>26687</v>
      </c>
      <c r="F9825" t="s">
        <v>31574</v>
      </c>
      <c r="G9825" t="s">
        <v>31582</v>
      </c>
      <c r="H9825" t="s">
        <v>31590</v>
      </c>
      <c r="I9825" t="s">
        <v>31615</v>
      </c>
      <c r="J9825" t="s">
        <v>34454</v>
      </c>
      <c r="K9825" t="s">
        <v>41184</v>
      </c>
      <c r="M9825" t="s">
        <v>41625</v>
      </c>
      <c r="N9825" t="s">
        <v>45095</v>
      </c>
      <c r="O9825" t="s">
        <v>45096</v>
      </c>
      <c r="P9825">
        <v>0</v>
      </c>
      <c r="Q9825">
        <v>8</v>
      </c>
      <c r="R9825" t="s">
        <v>45107</v>
      </c>
      <c r="S9825" t="s">
        <v>45386</v>
      </c>
      <c r="T9825" t="s">
        <v>46943</v>
      </c>
      <c r="U9825" t="s">
        <v>55611</v>
      </c>
      <c r="W9825" t="s">
        <v>41625</v>
      </c>
      <c r="X9825" t="s">
        <v>45109</v>
      </c>
    </row>
    <row r="9826" spans="1:24">
      <c r="A9826">
        <f>HYPERLINK("https://www.philgeps.gov.ph/GEPSNONPILOT/Tender/SplashBidNoticeAbstractUI.aspx?menuIndex=3&amp;refID=7028596&amp;Result=3","7028596")</f>
        <v>0</v>
      </c>
      <c r="B9826" t="s">
        <v>144</v>
      </c>
      <c r="C9826" t="s">
        <v>12560</v>
      </c>
      <c r="D9826" t="s">
        <v>18076</v>
      </c>
      <c r="E9826" t="s">
        <v>26688</v>
      </c>
      <c r="F9826" t="s">
        <v>31574</v>
      </c>
      <c r="G9826" t="s">
        <v>31582</v>
      </c>
      <c r="H9826" t="s">
        <v>31591</v>
      </c>
      <c r="I9826" t="s">
        <v>8822</v>
      </c>
      <c r="J9826" t="s">
        <v>37898</v>
      </c>
      <c r="K9826" t="s">
        <v>41247</v>
      </c>
      <c r="M9826" t="s">
        <v>44418</v>
      </c>
      <c r="N9826" t="s">
        <v>45095</v>
      </c>
      <c r="O9826" t="s">
        <v>45096</v>
      </c>
      <c r="P9826">
        <v>0</v>
      </c>
      <c r="Q9826">
        <v>0</v>
      </c>
      <c r="R9826" t="s">
        <v>45107</v>
      </c>
      <c r="S9826" t="s">
        <v>45386</v>
      </c>
      <c r="T9826" t="s">
        <v>47370</v>
      </c>
      <c r="U9826" t="s">
        <v>55612</v>
      </c>
      <c r="W9826" t="s">
        <v>44418</v>
      </c>
      <c r="X9826" t="s">
        <v>45109</v>
      </c>
    </row>
    <row r="9827" spans="1:24">
      <c r="A9827">
        <f>HYPERLINK("https://www.philgeps.gov.ph/GEPSNONPILOT/Tender/SplashBidNoticeAbstractUI.aspx?menuIndex=3&amp;refID=7028907&amp;Result=3","7028907")</f>
        <v>0</v>
      </c>
      <c r="B9827" t="s">
        <v>2660</v>
      </c>
      <c r="C9827" t="s">
        <v>12561</v>
      </c>
      <c r="D9827" t="s">
        <v>18072</v>
      </c>
      <c r="E9827" t="s">
        <v>18975</v>
      </c>
      <c r="F9827" t="s">
        <v>31574</v>
      </c>
      <c r="G9827" t="s">
        <v>31582</v>
      </c>
      <c r="H9827" t="s">
        <v>31590</v>
      </c>
      <c r="I9827" t="s">
        <v>4046</v>
      </c>
      <c r="J9827" t="s">
        <v>37899</v>
      </c>
      <c r="K9827" t="s">
        <v>41186</v>
      </c>
      <c r="M9827" t="s">
        <v>44419</v>
      </c>
      <c r="N9827" t="s">
        <v>45095</v>
      </c>
      <c r="O9827" t="s">
        <v>45096</v>
      </c>
      <c r="P9827">
        <v>0</v>
      </c>
      <c r="Q9827">
        <v>0</v>
      </c>
      <c r="R9827" t="s">
        <v>45107</v>
      </c>
      <c r="S9827" t="s">
        <v>45386</v>
      </c>
      <c r="T9827" t="s">
        <v>47030</v>
      </c>
      <c r="U9827" t="s">
        <v>55613</v>
      </c>
      <c r="W9827" t="s">
        <v>44419</v>
      </c>
      <c r="X9827" t="s">
        <v>45109</v>
      </c>
    </row>
    <row r="9828" spans="1:24">
      <c r="A9828">
        <f>HYPERLINK("https://www.philgeps.gov.ph/GEPSNONPILOT/Tender/SplashBidNoticeAbstractUI.aspx?menuIndex=3&amp;refID=7029816&amp;Result=3","7029816")</f>
        <v>0</v>
      </c>
      <c r="B9828" t="s">
        <v>2661</v>
      </c>
      <c r="C9828" t="s">
        <v>12562</v>
      </c>
      <c r="E9828" t="s">
        <v>18724</v>
      </c>
      <c r="F9828" t="s">
        <v>31574</v>
      </c>
      <c r="G9828" t="s">
        <v>31582</v>
      </c>
      <c r="H9828" t="s">
        <v>31591</v>
      </c>
      <c r="I9828" t="s">
        <v>8822</v>
      </c>
      <c r="J9828" t="s">
        <v>31890</v>
      </c>
      <c r="K9828" t="s">
        <v>41189</v>
      </c>
      <c r="M9828" t="s">
        <v>44420</v>
      </c>
      <c r="N9828" t="s">
        <v>45095</v>
      </c>
      <c r="O9828" t="s">
        <v>45096</v>
      </c>
      <c r="P9828">
        <v>0</v>
      </c>
      <c r="Q9828">
        <v>0</v>
      </c>
      <c r="R9828" t="s">
        <v>45107</v>
      </c>
      <c r="S9828" t="s">
        <v>45386</v>
      </c>
      <c r="T9828" t="s">
        <v>47000</v>
      </c>
      <c r="U9828" t="s">
        <v>55614</v>
      </c>
      <c r="W9828" t="s">
        <v>44420</v>
      </c>
      <c r="X9828" t="s">
        <v>45108</v>
      </c>
    </row>
    <row r="9829" spans="1:24">
      <c r="A9829">
        <f>HYPERLINK("https://www.philgeps.gov.ph/GEPSNONPILOT/Tender/SplashBidNoticeAbstractUI.aspx?menuIndex=3&amp;refID=7028987&amp;Result=3","7028987")</f>
        <v>0</v>
      </c>
      <c r="B9829" t="s">
        <v>2108</v>
      </c>
      <c r="C9829" t="s">
        <v>12563</v>
      </c>
      <c r="D9829" t="s">
        <v>18028</v>
      </c>
      <c r="E9829" t="s">
        <v>26689</v>
      </c>
      <c r="F9829" t="s">
        <v>31574</v>
      </c>
      <c r="G9829" t="s">
        <v>31582</v>
      </c>
      <c r="H9829" t="s">
        <v>31591</v>
      </c>
      <c r="I9829" t="s">
        <v>8822</v>
      </c>
      <c r="J9829" t="s">
        <v>37900</v>
      </c>
      <c r="K9829" t="s">
        <v>41200</v>
      </c>
      <c r="M9829" t="s">
        <v>43787</v>
      </c>
      <c r="N9829" t="s">
        <v>45095</v>
      </c>
      <c r="O9829" t="s">
        <v>45096</v>
      </c>
      <c r="Q9829">
        <v>2</v>
      </c>
      <c r="R9829" t="s">
        <v>45107</v>
      </c>
      <c r="S9829" t="s">
        <v>45388</v>
      </c>
      <c r="T9829" t="s">
        <v>47000</v>
      </c>
      <c r="U9829" t="s">
        <v>55615</v>
      </c>
      <c r="W9829" t="s">
        <v>43787</v>
      </c>
      <c r="X9829" t="s">
        <v>45109</v>
      </c>
    </row>
    <row r="9830" spans="1:24">
      <c r="A9830">
        <f>HYPERLINK("https://www.philgeps.gov.ph/GEPSNONPILOT/Tender/SplashBidNoticeAbstractUI.aspx?menuIndex=3&amp;refID=7029813&amp;Result=3","7029813")</f>
        <v>0</v>
      </c>
      <c r="B9830" t="s">
        <v>2661</v>
      </c>
      <c r="C9830" t="s">
        <v>12564</v>
      </c>
      <c r="E9830" t="s">
        <v>18430</v>
      </c>
      <c r="F9830" t="s">
        <v>31574</v>
      </c>
      <c r="G9830" t="s">
        <v>31582</v>
      </c>
      <c r="H9830" t="s">
        <v>31591</v>
      </c>
      <c r="I9830" t="s">
        <v>8822</v>
      </c>
      <c r="J9830" t="s">
        <v>37901</v>
      </c>
      <c r="K9830" t="s">
        <v>41202</v>
      </c>
      <c r="M9830" t="s">
        <v>44420</v>
      </c>
      <c r="N9830" t="s">
        <v>45095</v>
      </c>
      <c r="O9830" t="s">
        <v>45096</v>
      </c>
      <c r="P9830">
        <v>0</v>
      </c>
      <c r="Q9830">
        <v>0</v>
      </c>
      <c r="R9830" t="s">
        <v>45107</v>
      </c>
      <c r="S9830" t="s">
        <v>45386</v>
      </c>
      <c r="T9830" t="s">
        <v>47000</v>
      </c>
      <c r="U9830" t="s">
        <v>55614</v>
      </c>
      <c r="W9830" t="s">
        <v>44420</v>
      </c>
      <c r="X9830" t="s">
        <v>45108</v>
      </c>
    </row>
    <row r="9831" spans="1:24">
      <c r="A9831">
        <f>HYPERLINK("https://www.philgeps.gov.ph/GEPSNONPILOT/Tender/SplashBidNoticeAbstractUI.aspx?menuIndex=3&amp;refID=7028817&amp;Result=3","7028817")</f>
        <v>0</v>
      </c>
      <c r="B9831" t="s">
        <v>1528</v>
      </c>
      <c r="C9831" t="s">
        <v>12565</v>
      </c>
      <c r="D9831" t="s">
        <v>18022</v>
      </c>
      <c r="E9831" t="s">
        <v>26690</v>
      </c>
      <c r="F9831" t="s">
        <v>31574</v>
      </c>
      <c r="G9831" t="s">
        <v>31582</v>
      </c>
      <c r="H9831" t="s">
        <v>31591</v>
      </c>
      <c r="I9831" t="s">
        <v>8822</v>
      </c>
      <c r="J9831" t="s">
        <v>37902</v>
      </c>
      <c r="K9831" t="s">
        <v>41202</v>
      </c>
      <c r="M9831" t="s">
        <v>43583</v>
      </c>
      <c r="N9831" t="s">
        <v>45095</v>
      </c>
      <c r="O9831" t="s">
        <v>45096</v>
      </c>
      <c r="P9831">
        <v>0</v>
      </c>
      <c r="Q9831">
        <v>3</v>
      </c>
      <c r="R9831" t="s">
        <v>45107</v>
      </c>
      <c r="S9831" t="s">
        <v>45386</v>
      </c>
      <c r="T9831" t="s">
        <v>47079</v>
      </c>
      <c r="U9831" t="s">
        <v>55604</v>
      </c>
      <c r="V9831" t="s">
        <v>60872</v>
      </c>
      <c r="W9831" t="s">
        <v>43583</v>
      </c>
      <c r="X9831" t="s">
        <v>45109</v>
      </c>
    </row>
    <row r="9832" spans="1:24">
      <c r="A9832">
        <f>HYPERLINK("https://www.philgeps.gov.ph/GEPSNONPILOT/Tender/SplashBidNoticeAbstractUI.aspx?menuIndex=3&amp;refID=7029807&amp;Result=3","7029807")</f>
        <v>0</v>
      </c>
      <c r="B9832" t="s">
        <v>1321</v>
      </c>
      <c r="C9832" t="s">
        <v>7183</v>
      </c>
      <c r="D9832" t="s">
        <v>18090</v>
      </c>
      <c r="E9832" t="s">
        <v>26691</v>
      </c>
      <c r="F9832" t="s">
        <v>31574</v>
      </c>
      <c r="G9832" t="s">
        <v>31582</v>
      </c>
      <c r="H9832" t="s">
        <v>31591</v>
      </c>
      <c r="I9832" t="s">
        <v>8822</v>
      </c>
      <c r="J9832" t="s">
        <v>37903</v>
      </c>
      <c r="K9832" t="s">
        <v>41243</v>
      </c>
      <c r="M9832" t="s">
        <v>42891</v>
      </c>
      <c r="N9832" t="s">
        <v>45095</v>
      </c>
      <c r="O9832" t="s">
        <v>45096</v>
      </c>
      <c r="P9832">
        <v>0</v>
      </c>
      <c r="Q9832">
        <v>1</v>
      </c>
      <c r="R9832" t="s">
        <v>45107</v>
      </c>
      <c r="S9832" t="s">
        <v>45386</v>
      </c>
      <c r="T9832" t="s">
        <v>46966</v>
      </c>
      <c r="U9832" t="s">
        <v>55616</v>
      </c>
      <c r="W9832" t="s">
        <v>42891</v>
      </c>
      <c r="X9832" t="s">
        <v>45108</v>
      </c>
    </row>
    <row r="9833" spans="1:24">
      <c r="A9833">
        <f>HYPERLINK("https://www.philgeps.gov.ph/GEPSNONPILOT/Tender/SplashBidNoticeAbstractUI.aspx?menuIndex=3&amp;refID=7029809&amp;Result=3","7029809")</f>
        <v>0</v>
      </c>
      <c r="B9833" t="s">
        <v>2661</v>
      </c>
      <c r="C9833" t="s">
        <v>12566</v>
      </c>
      <c r="E9833" t="s">
        <v>18146</v>
      </c>
      <c r="F9833" t="s">
        <v>31574</v>
      </c>
      <c r="G9833" t="s">
        <v>31582</v>
      </c>
      <c r="H9833" t="s">
        <v>31591</v>
      </c>
      <c r="I9833" t="s">
        <v>8822</v>
      </c>
      <c r="J9833" t="s">
        <v>37904</v>
      </c>
      <c r="K9833" t="s">
        <v>41198</v>
      </c>
      <c r="M9833" t="s">
        <v>44420</v>
      </c>
      <c r="N9833" t="s">
        <v>45095</v>
      </c>
      <c r="O9833" t="s">
        <v>45096</v>
      </c>
      <c r="P9833">
        <v>0</v>
      </c>
      <c r="Q9833">
        <v>0</v>
      </c>
      <c r="R9833" t="s">
        <v>45107</v>
      </c>
      <c r="S9833" t="s">
        <v>45386</v>
      </c>
      <c r="T9833" t="s">
        <v>47000</v>
      </c>
      <c r="U9833" t="s">
        <v>55617</v>
      </c>
      <c r="W9833" t="s">
        <v>44420</v>
      </c>
      <c r="X9833" t="s">
        <v>45108</v>
      </c>
    </row>
    <row r="9834" spans="1:24">
      <c r="A9834">
        <f>HYPERLINK("https://www.philgeps.gov.ph/GEPSNONPILOT/Tender/SplashBidNoticeAbstractUI.aspx?menuIndex=3&amp;refID=7029814&amp;Result=3","7029814")</f>
        <v>0</v>
      </c>
      <c r="B9834" t="s">
        <v>2661</v>
      </c>
      <c r="C9834" t="s">
        <v>12567</v>
      </c>
      <c r="E9834" t="s">
        <v>22090</v>
      </c>
      <c r="F9834" t="s">
        <v>31574</v>
      </c>
      <c r="G9834" t="s">
        <v>31582</v>
      </c>
      <c r="H9834" t="s">
        <v>31591</v>
      </c>
      <c r="I9834" t="s">
        <v>8822</v>
      </c>
      <c r="J9834" t="s">
        <v>37901</v>
      </c>
      <c r="K9834" t="s">
        <v>41202</v>
      </c>
      <c r="M9834" t="s">
        <v>44420</v>
      </c>
      <c r="N9834" t="s">
        <v>45095</v>
      </c>
      <c r="O9834" t="s">
        <v>45096</v>
      </c>
      <c r="P9834">
        <v>0</v>
      </c>
      <c r="Q9834">
        <v>0</v>
      </c>
      <c r="R9834" t="s">
        <v>45107</v>
      </c>
      <c r="S9834" t="s">
        <v>45386</v>
      </c>
      <c r="T9834" t="s">
        <v>47000</v>
      </c>
      <c r="U9834" t="s">
        <v>55614</v>
      </c>
      <c r="W9834" t="s">
        <v>44420</v>
      </c>
      <c r="X9834" t="s">
        <v>45108</v>
      </c>
    </row>
    <row r="9835" spans="1:24">
      <c r="A9835">
        <f>HYPERLINK("https://www.philgeps.gov.ph/GEPSNONPILOT/Tender/SplashBidNoticeAbstractUI.aspx?menuIndex=3&amp;refID=7029108&amp;Result=3","7029108")</f>
        <v>0</v>
      </c>
      <c r="B9835" t="s">
        <v>684</v>
      </c>
      <c r="C9835" t="s">
        <v>12568</v>
      </c>
      <c r="E9835" t="s">
        <v>26692</v>
      </c>
      <c r="F9835" t="s">
        <v>31574</v>
      </c>
      <c r="G9835" t="s">
        <v>31582</v>
      </c>
      <c r="H9835" t="s">
        <v>31590</v>
      </c>
      <c r="I9835" t="s">
        <v>31626</v>
      </c>
      <c r="J9835" t="s">
        <v>37905</v>
      </c>
      <c r="K9835" t="s">
        <v>41184</v>
      </c>
      <c r="M9835" t="s">
        <v>42191</v>
      </c>
      <c r="N9835" t="s">
        <v>45095</v>
      </c>
      <c r="O9835" t="s">
        <v>45096</v>
      </c>
      <c r="P9835">
        <v>0</v>
      </c>
      <c r="Q9835">
        <v>1</v>
      </c>
      <c r="R9835" t="s">
        <v>45107</v>
      </c>
      <c r="S9835" t="s">
        <v>45386</v>
      </c>
      <c r="T9835" t="s">
        <v>47000</v>
      </c>
      <c r="U9835" t="s">
        <v>55618</v>
      </c>
      <c r="V9835" t="s">
        <v>60873</v>
      </c>
      <c r="W9835" t="s">
        <v>42191</v>
      </c>
      <c r="X9835" t="s">
        <v>45109</v>
      </c>
    </row>
    <row r="9836" spans="1:24">
      <c r="A9836">
        <f>HYPERLINK("https://www.philgeps.gov.ph/GEPSNONPILOT/Tender/SplashBidNoticeAbstractUI.aspx?menuIndex=3&amp;refID=7029808&amp;Result=3","7029808")</f>
        <v>0</v>
      </c>
      <c r="B9836" t="s">
        <v>2662</v>
      </c>
      <c r="C9836" t="s">
        <v>4987</v>
      </c>
      <c r="D9836" t="s">
        <v>18056</v>
      </c>
      <c r="E9836" t="s">
        <v>26693</v>
      </c>
      <c r="F9836" t="s">
        <v>31574</v>
      </c>
      <c r="G9836" t="s">
        <v>31582</v>
      </c>
      <c r="H9836" t="s">
        <v>31591</v>
      </c>
      <c r="I9836" t="s">
        <v>8822</v>
      </c>
      <c r="J9836" t="s">
        <v>31947</v>
      </c>
      <c r="K9836" t="s">
        <v>41253</v>
      </c>
      <c r="M9836" t="s">
        <v>44421</v>
      </c>
      <c r="N9836" t="s">
        <v>45095</v>
      </c>
      <c r="O9836" t="s">
        <v>45096</v>
      </c>
      <c r="P9836">
        <v>0</v>
      </c>
      <c r="Q9836">
        <v>0</v>
      </c>
      <c r="R9836" t="s">
        <v>45107</v>
      </c>
      <c r="S9836" t="s">
        <v>45386</v>
      </c>
      <c r="T9836" t="s">
        <v>47164</v>
      </c>
      <c r="U9836" t="s">
        <v>55619</v>
      </c>
      <c r="W9836" t="s">
        <v>44421</v>
      </c>
      <c r="X9836" t="s">
        <v>45108</v>
      </c>
    </row>
    <row r="9837" spans="1:24">
      <c r="A9837">
        <f>HYPERLINK("https://www.philgeps.gov.ph/GEPSNONPILOT/Tender/SplashBidNoticeAbstractUI.aspx?menuIndex=3&amp;refID=7029819&amp;Result=3","7029819")</f>
        <v>0</v>
      </c>
      <c r="B9837" t="s">
        <v>2661</v>
      </c>
      <c r="C9837" t="s">
        <v>12569</v>
      </c>
      <c r="E9837" t="s">
        <v>23335</v>
      </c>
      <c r="F9837" t="s">
        <v>31574</v>
      </c>
      <c r="G9837" t="s">
        <v>31582</v>
      </c>
      <c r="H9837" t="s">
        <v>31591</v>
      </c>
      <c r="I9837" t="s">
        <v>8822</v>
      </c>
      <c r="J9837" t="s">
        <v>37906</v>
      </c>
      <c r="K9837" t="s">
        <v>41189</v>
      </c>
      <c r="M9837" t="s">
        <v>44420</v>
      </c>
      <c r="N9837" t="s">
        <v>45095</v>
      </c>
      <c r="O9837" t="s">
        <v>45096</v>
      </c>
      <c r="P9837">
        <v>0</v>
      </c>
      <c r="Q9837">
        <v>0</v>
      </c>
      <c r="R9837" t="s">
        <v>45107</v>
      </c>
      <c r="S9837" t="s">
        <v>45386</v>
      </c>
      <c r="T9837" t="s">
        <v>47000</v>
      </c>
      <c r="U9837" t="s">
        <v>55614</v>
      </c>
      <c r="W9837" t="s">
        <v>44420</v>
      </c>
      <c r="X9837" t="s">
        <v>45108</v>
      </c>
    </row>
    <row r="9838" spans="1:24">
      <c r="A9838">
        <f>HYPERLINK("https://www.philgeps.gov.ph/GEPSNONPILOT/Tender/SplashBidNoticeAbstractUI.aspx?menuIndex=3&amp;refID=7029811&amp;Result=3","7029811")</f>
        <v>0</v>
      </c>
      <c r="B9838" t="s">
        <v>2661</v>
      </c>
      <c r="C9838" t="s">
        <v>12570</v>
      </c>
      <c r="E9838" t="s">
        <v>18553</v>
      </c>
      <c r="F9838" t="s">
        <v>31574</v>
      </c>
      <c r="G9838" t="s">
        <v>31582</v>
      </c>
      <c r="H9838" t="s">
        <v>31591</v>
      </c>
      <c r="I9838" t="s">
        <v>8822</v>
      </c>
      <c r="J9838" t="s">
        <v>32101</v>
      </c>
      <c r="K9838" t="s">
        <v>41198</v>
      </c>
      <c r="M9838" t="s">
        <v>44420</v>
      </c>
      <c r="N9838" t="s">
        <v>45095</v>
      </c>
      <c r="O9838" t="s">
        <v>45096</v>
      </c>
      <c r="P9838">
        <v>0</v>
      </c>
      <c r="Q9838">
        <v>1</v>
      </c>
      <c r="R9838" t="s">
        <v>45107</v>
      </c>
      <c r="S9838" t="s">
        <v>45386</v>
      </c>
      <c r="T9838" t="s">
        <v>47000</v>
      </c>
      <c r="U9838" t="s">
        <v>55614</v>
      </c>
      <c r="W9838" t="s">
        <v>44420</v>
      </c>
      <c r="X9838" t="s">
        <v>45108</v>
      </c>
    </row>
    <row r="9839" spans="1:24">
      <c r="A9839">
        <f>HYPERLINK("https://www.philgeps.gov.ph/GEPSNONPILOT/Tender/SplashBidNoticeAbstractUI.aspx?menuIndex=3&amp;refID=7029818&amp;Result=3","7029818")</f>
        <v>0</v>
      </c>
      <c r="B9839" t="s">
        <v>2661</v>
      </c>
      <c r="C9839" t="s">
        <v>12571</v>
      </c>
      <c r="E9839" t="s">
        <v>23271</v>
      </c>
      <c r="F9839" t="s">
        <v>31574</v>
      </c>
      <c r="G9839" t="s">
        <v>31582</v>
      </c>
      <c r="H9839" t="s">
        <v>31591</v>
      </c>
      <c r="I9839" t="s">
        <v>8822</v>
      </c>
      <c r="J9839" t="s">
        <v>31890</v>
      </c>
      <c r="K9839" t="s">
        <v>41189</v>
      </c>
      <c r="M9839" t="s">
        <v>44420</v>
      </c>
      <c r="N9839" t="s">
        <v>45095</v>
      </c>
      <c r="O9839" t="s">
        <v>45096</v>
      </c>
      <c r="P9839">
        <v>0</v>
      </c>
      <c r="Q9839">
        <v>0</v>
      </c>
      <c r="R9839" t="s">
        <v>45107</v>
      </c>
      <c r="S9839" t="s">
        <v>45386</v>
      </c>
      <c r="T9839" t="s">
        <v>47000</v>
      </c>
      <c r="U9839" t="s">
        <v>55614</v>
      </c>
      <c r="W9839" t="s">
        <v>44420</v>
      </c>
      <c r="X9839" t="s">
        <v>45108</v>
      </c>
    </row>
    <row r="9840" spans="1:24">
      <c r="A9840">
        <f>HYPERLINK("https://www.philgeps.gov.ph/GEPSNONPILOT/Tender/SplashBidNoticeAbstractUI.aspx?menuIndex=3&amp;refID=7028934&amp;Result=3","7028934")</f>
        <v>0</v>
      </c>
      <c r="B9840" t="s">
        <v>144</v>
      </c>
      <c r="C9840" t="s">
        <v>12572</v>
      </c>
      <c r="D9840" t="s">
        <v>18076</v>
      </c>
      <c r="E9840" t="s">
        <v>26694</v>
      </c>
      <c r="F9840" t="s">
        <v>31574</v>
      </c>
      <c r="G9840" t="s">
        <v>31582</v>
      </c>
      <c r="H9840" t="s">
        <v>31591</v>
      </c>
      <c r="I9840" t="s">
        <v>8822</v>
      </c>
      <c r="J9840" t="s">
        <v>31771</v>
      </c>
      <c r="K9840" t="s">
        <v>41214</v>
      </c>
      <c r="M9840" t="s">
        <v>44418</v>
      </c>
      <c r="N9840" t="s">
        <v>45095</v>
      </c>
      <c r="O9840" t="s">
        <v>45096</v>
      </c>
      <c r="P9840">
        <v>0</v>
      </c>
      <c r="Q9840">
        <v>3</v>
      </c>
      <c r="R9840" t="s">
        <v>45107</v>
      </c>
      <c r="S9840" t="s">
        <v>45386</v>
      </c>
      <c r="T9840" t="s">
        <v>47370</v>
      </c>
      <c r="U9840" t="s">
        <v>55620</v>
      </c>
      <c r="W9840" t="s">
        <v>44418</v>
      </c>
      <c r="X9840" t="s">
        <v>45109</v>
      </c>
    </row>
    <row r="9841" spans="1:24">
      <c r="A9841">
        <f>HYPERLINK("https://www.philgeps.gov.ph/GEPSNONPILOT/Tender/SplashBidNoticeAbstractUI.aspx?menuIndex=3&amp;refID=7029817&amp;Result=3","7029817")</f>
        <v>0</v>
      </c>
      <c r="B9841" t="s">
        <v>2661</v>
      </c>
      <c r="C9841" t="s">
        <v>12573</v>
      </c>
      <c r="E9841" t="s">
        <v>21517</v>
      </c>
      <c r="F9841" t="s">
        <v>31574</v>
      </c>
      <c r="G9841" t="s">
        <v>31582</v>
      </c>
      <c r="H9841" t="s">
        <v>31591</v>
      </c>
      <c r="I9841" t="s">
        <v>8822</v>
      </c>
      <c r="J9841" t="s">
        <v>31890</v>
      </c>
      <c r="K9841" t="s">
        <v>41189</v>
      </c>
      <c r="M9841" t="s">
        <v>44420</v>
      </c>
      <c r="N9841" t="s">
        <v>45095</v>
      </c>
      <c r="O9841" t="s">
        <v>45096</v>
      </c>
      <c r="P9841">
        <v>0</v>
      </c>
      <c r="Q9841">
        <v>0</v>
      </c>
      <c r="R9841" t="s">
        <v>45107</v>
      </c>
      <c r="S9841" t="s">
        <v>45386</v>
      </c>
      <c r="T9841" t="s">
        <v>47000</v>
      </c>
      <c r="U9841" t="s">
        <v>55614</v>
      </c>
      <c r="W9841" t="s">
        <v>44420</v>
      </c>
      <c r="X9841" t="s">
        <v>45108</v>
      </c>
    </row>
    <row r="9842" spans="1:24">
      <c r="A9842">
        <f>HYPERLINK("https://www.philgeps.gov.ph/GEPSNONPILOT/Tender/SplashBidNoticeAbstractUI.aspx?menuIndex=3&amp;refID=7029820&amp;Result=3","7029820")</f>
        <v>0</v>
      </c>
      <c r="B9842" t="s">
        <v>2661</v>
      </c>
      <c r="C9842" t="s">
        <v>12574</v>
      </c>
      <c r="E9842" t="s">
        <v>23458</v>
      </c>
      <c r="F9842" t="s">
        <v>31574</v>
      </c>
      <c r="G9842" t="s">
        <v>31582</v>
      </c>
      <c r="H9842" t="s">
        <v>31591</v>
      </c>
      <c r="I9842" t="s">
        <v>8822</v>
      </c>
      <c r="J9842" t="s">
        <v>35045</v>
      </c>
      <c r="K9842" t="s">
        <v>41243</v>
      </c>
      <c r="M9842" t="s">
        <v>44420</v>
      </c>
      <c r="N9842" t="s">
        <v>45095</v>
      </c>
      <c r="O9842" t="s">
        <v>45096</v>
      </c>
      <c r="P9842">
        <v>0</v>
      </c>
      <c r="Q9842">
        <v>0</v>
      </c>
      <c r="R9842" t="s">
        <v>45107</v>
      </c>
      <c r="S9842" t="s">
        <v>45386</v>
      </c>
      <c r="T9842" t="s">
        <v>47000</v>
      </c>
      <c r="U9842" t="s">
        <v>55614</v>
      </c>
      <c r="W9842" t="s">
        <v>44420</v>
      </c>
      <c r="X9842" t="s">
        <v>45108</v>
      </c>
    </row>
    <row r="9843" spans="1:24">
      <c r="A9843">
        <f>HYPERLINK("https://www.philgeps.gov.ph/GEPSNONPILOT/Tender/SplashBidNoticeAbstractUI.aspx?menuIndex=3&amp;refID=7029823&amp;Result=3","7029823")</f>
        <v>0</v>
      </c>
      <c r="B9843" t="s">
        <v>2661</v>
      </c>
      <c r="C9843" t="s">
        <v>12575</v>
      </c>
      <c r="E9843" t="s">
        <v>26650</v>
      </c>
      <c r="F9843" t="s">
        <v>31574</v>
      </c>
      <c r="G9843" t="s">
        <v>31582</v>
      </c>
      <c r="H9843" t="s">
        <v>31592</v>
      </c>
      <c r="I9843" t="s">
        <v>31689</v>
      </c>
      <c r="J9843" t="s">
        <v>32906</v>
      </c>
      <c r="K9843" t="s">
        <v>41198</v>
      </c>
      <c r="M9843" t="s">
        <v>44420</v>
      </c>
      <c r="N9843" t="s">
        <v>45095</v>
      </c>
      <c r="O9843" t="s">
        <v>45096</v>
      </c>
      <c r="P9843">
        <v>0</v>
      </c>
      <c r="Q9843">
        <v>2</v>
      </c>
      <c r="R9843" t="s">
        <v>45107</v>
      </c>
      <c r="S9843" t="s">
        <v>45386</v>
      </c>
      <c r="T9843" t="s">
        <v>47000</v>
      </c>
      <c r="U9843" t="s">
        <v>55621</v>
      </c>
      <c r="W9843" t="s">
        <v>44420</v>
      </c>
      <c r="X9843" t="s">
        <v>45108</v>
      </c>
    </row>
    <row r="9844" spans="1:24">
      <c r="A9844">
        <f>HYPERLINK("https://www.philgeps.gov.ph/GEPSNONPILOT/Tender/SplashBidNoticeAbstractUI.aspx?menuIndex=3&amp;refID=7029822&amp;Result=3","7029822")</f>
        <v>0</v>
      </c>
      <c r="B9844" t="s">
        <v>2661</v>
      </c>
      <c r="C9844" t="s">
        <v>12576</v>
      </c>
      <c r="E9844" t="s">
        <v>26653</v>
      </c>
      <c r="F9844" t="s">
        <v>31574</v>
      </c>
      <c r="G9844" t="s">
        <v>31582</v>
      </c>
      <c r="H9844" t="s">
        <v>31591</v>
      </c>
      <c r="I9844" t="s">
        <v>8822</v>
      </c>
      <c r="J9844" t="s">
        <v>37907</v>
      </c>
      <c r="K9844" t="s">
        <v>41202</v>
      </c>
      <c r="M9844" t="s">
        <v>44420</v>
      </c>
      <c r="N9844" t="s">
        <v>45095</v>
      </c>
      <c r="O9844" t="s">
        <v>45096</v>
      </c>
      <c r="P9844">
        <v>0</v>
      </c>
      <c r="Q9844">
        <v>0</v>
      </c>
      <c r="R9844" t="s">
        <v>45107</v>
      </c>
      <c r="S9844" t="s">
        <v>45386</v>
      </c>
      <c r="T9844" t="s">
        <v>47000</v>
      </c>
      <c r="U9844" t="s">
        <v>55614</v>
      </c>
      <c r="W9844" t="s">
        <v>44420</v>
      </c>
      <c r="X9844" t="s">
        <v>45108</v>
      </c>
    </row>
    <row r="9845" spans="1:24">
      <c r="A9845">
        <f>HYPERLINK("https://www.philgeps.gov.ph/GEPSNONPILOT/Tender/SplashBidNoticeAbstractUI.aspx?menuIndex=3&amp;refID=7029821&amp;Result=3","7029821")</f>
        <v>0</v>
      </c>
      <c r="B9845" t="s">
        <v>2661</v>
      </c>
      <c r="C9845" t="s">
        <v>12577</v>
      </c>
      <c r="E9845" t="s">
        <v>23458</v>
      </c>
      <c r="F9845" t="s">
        <v>31574</v>
      </c>
      <c r="G9845" t="s">
        <v>31582</v>
      </c>
      <c r="H9845" t="s">
        <v>31591</v>
      </c>
      <c r="I9845" t="s">
        <v>8822</v>
      </c>
      <c r="J9845" t="s">
        <v>32049</v>
      </c>
      <c r="K9845" t="s">
        <v>41189</v>
      </c>
      <c r="M9845" t="s">
        <v>44420</v>
      </c>
      <c r="N9845" t="s">
        <v>45095</v>
      </c>
      <c r="O9845" t="s">
        <v>45096</v>
      </c>
      <c r="P9845">
        <v>0</v>
      </c>
      <c r="Q9845">
        <v>0</v>
      </c>
      <c r="R9845" t="s">
        <v>45107</v>
      </c>
      <c r="S9845" t="s">
        <v>45386</v>
      </c>
      <c r="T9845" t="s">
        <v>47000</v>
      </c>
      <c r="U9845" t="s">
        <v>55614</v>
      </c>
      <c r="W9845" t="s">
        <v>44420</v>
      </c>
      <c r="X9845" t="s">
        <v>45108</v>
      </c>
    </row>
    <row r="9846" spans="1:24">
      <c r="A9846">
        <f>HYPERLINK("https://www.philgeps.gov.ph/GEPSNONPILOT/Tender/SplashBidNoticeAbstractUI.aspx?menuIndex=3&amp;refID=7030064&amp;Result=3","7030064")</f>
        <v>0</v>
      </c>
      <c r="B9846" t="s">
        <v>239</v>
      </c>
      <c r="C9846" t="s">
        <v>12578</v>
      </c>
      <c r="D9846" t="s">
        <v>18024</v>
      </c>
      <c r="E9846" t="s">
        <v>26695</v>
      </c>
      <c r="F9846" t="s">
        <v>31574</v>
      </c>
      <c r="G9846" t="s">
        <v>31582</v>
      </c>
      <c r="H9846" t="s">
        <v>31590</v>
      </c>
      <c r="I9846" t="s">
        <v>31625</v>
      </c>
      <c r="J9846" t="s">
        <v>31821</v>
      </c>
      <c r="K9846" t="s">
        <v>41190</v>
      </c>
      <c r="M9846" t="s">
        <v>41725</v>
      </c>
      <c r="N9846" t="s">
        <v>45095</v>
      </c>
      <c r="O9846" t="s">
        <v>45096</v>
      </c>
      <c r="P9846">
        <v>0</v>
      </c>
      <c r="Q9846">
        <v>1</v>
      </c>
      <c r="R9846" t="s">
        <v>45107</v>
      </c>
      <c r="S9846" t="s">
        <v>45386</v>
      </c>
      <c r="T9846" t="s">
        <v>47177</v>
      </c>
      <c r="U9846" t="s">
        <v>55622</v>
      </c>
      <c r="W9846" t="s">
        <v>41725</v>
      </c>
      <c r="X9846" t="s">
        <v>45108</v>
      </c>
    </row>
    <row r="9847" spans="1:24">
      <c r="A9847">
        <f>HYPERLINK("https://www.philgeps.gov.ph/GEPSNONPILOT/Tender/SplashBidNoticeAbstractUI.aspx?menuIndex=3&amp;refID=7030048&amp;Result=3","7030048")</f>
        <v>0</v>
      </c>
      <c r="B9847" t="s">
        <v>2663</v>
      </c>
      <c r="C9847" t="s">
        <v>12579</v>
      </c>
      <c r="D9847" t="s">
        <v>18076</v>
      </c>
      <c r="E9847" t="s">
        <v>22790</v>
      </c>
      <c r="F9847" t="s">
        <v>31574</v>
      </c>
      <c r="G9847" t="s">
        <v>31582</v>
      </c>
      <c r="H9847" t="s">
        <v>31590</v>
      </c>
      <c r="I9847" t="s">
        <v>4046</v>
      </c>
      <c r="J9847" t="s">
        <v>37908</v>
      </c>
      <c r="K9847" t="s">
        <v>41213</v>
      </c>
      <c r="M9847" t="s">
        <v>44422</v>
      </c>
      <c r="N9847" t="s">
        <v>45095</v>
      </c>
      <c r="O9847" t="s">
        <v>45096</v>
      </c>
      <c r="P9847">
        <v>0</v>
      </c>
      <c r="Q9847">
        <v>0</v>
      </c>
      <c r="R9847" t="s">
        <v>45107</v>
      </c>
      <c r="S9847" t="s">
        <v>45386</v>
      </c>
      <c r="T9847" t="s">
        <v>47212</v>
      </c>
      <c r="U9847" t="s">
        <v>55623</v>
      </c>
      <c r="W9847" t="s">
        <v>44422</v>
      </c>
      <c r="X9847" t="s">
        <v>45108</v>
      </c>
    </row>
    <row r="9848" spans="1:24">
      <c r="A9848">
        <f>HYPERLINK("https://www.philgeps.gov.ph/GEPSNONPILOT/Tender/SplashBidNoticeAbstractUI.aspx?menuIndex=3&amp;refID=7029912&amp;Result=3","7029912")</f>
        <v>0</v>
      </c>
      <c r="B9848" t="s">
        <v>239</v>
      </c>
      <c r="C9848" t="s">
        <v>12580</v>
      </c>
      <c r="D9848" t="s">
        <v>18024</v>
      </c>
      <c r="E9848" t="s">
        <v>19527</v>
      </c>
      <c r="F9848" t="s">
        <v>31574</v>
      </c>
      <c r="G9848" t="s">
        <v>31582</v>
      </c>
      <c r="H9848" t="s">
        <v>31590</v>
      </c>
      <c r="I9848" t="s">
        <v>4354</v>
      </c>
      <c r="J9848" t="s">
        <v>32019</v>
      </c>
      <c r="K9848" t="s">
        <v>41190</v>
      </c>
      <c r="M9848" t="s">
        <v>41725</v>
      </c>
      <c r="N9848" t="s">
        <v>45095</v>
      </c>
      <c r="O9848" t="s">
        <v>45096</v>
      </c>
      <c r="P9848">
        <v>0</v>
      </c>
      <c r="Q9848">
        <v>0</v>
      </c>
      <c r="R9848" t="s">
        <v>45107</v>
      </c>
      <c r="S9848" t="s">
        <v>45386</v>
      </c>
      <c r="T9848" t="s">
        <v>47177</v>
      </c>
      <c r="U9848" t="s">
        <v>55624</v>
      </c>
      <c r="W9848" t="s">
        <v>41725</v>
      </c>
      <c r="X9848" t="s">
        <v>45108</v>
      </c>
    </row>
    <row r="9849" spans="1:24">
      <c r="A9849">
        <f>HYPERLINK("https://www.philgeps.gov.ph/GEPSNONPILOT/Tender/SplashBidNoticeAbstractUI.aspx?menuIndex=3&amp;refID=7030058&amp;Result=3","7030058")</f>
        <v>0</v>
      </c>
      <c r="B9849" t="s">
        <v>141</v>
      </c>
      <c r="C9849" t="s">
        <v>12581</v>
      </c>
      <c r="D9849" t="s">
        <v>18074</v>
      </c>
      <c r="E9849" t="s">
        <v>26696</v>
      </c>
      <c r="F9849" t="s">
        <v>31574</v>
      </c>
      <c r="G9849" t="s">
        <v>31582</v>
      </c>
      <c r="H9849" t="s">
        <v>31591</v>
      </c>
      <c r="I9849" t="s">
        <v>8822</v>
      </c>
      <c r="J9849" t="s">
        <v>37909</v>
      </c>
      <c r="K9849" t="s">
        <v>41184</v>
      </c>
      <c r="M9849" t="s">
        <v>41625</v>
      </c>
      <c r="N9849" t="s">
        <v>45095</v>
      </c>
      <c r="O9849" t="s">
        <v>45096</v>
      </c>
      <c r="P9849">
        <v>0</v>
      </c>
      <c r="Q9849">
        <v>0</v>
      </c>
      <c r="R9849" t="s">
        <v>45107</v>
      </c>
      <c r="S9849" t="s">
        <v>45386</v>
      </c>
      <c r="T9849" t="s">
        <v>46943</v>
      </c>
      <c r="U9849" t="s">
        <v>55625</v>
      </c>
      <c r="W9849" t="s">
        <v>41625</v>
      </c>
      <c r="X9849" t="s">
        <v>45108</v>
      </c>
    </row>
    <row r="9850" spans="1:24">
      <c r="A9850">
        <f>HYPERLINK("https://www.philgeps.gov.ph/GEPSNONPILOT/Tender/SplashBidNoticeAbstractUI.aspx?menuIndex=3&amp;refID=7029854&amp;Result=3","7029854")</f>
        <v>0</v>
      </c>
      <c r="B9850" t="s">
        <v>141</v>
      </c>
      <c r="C9850" t="s">
        <v>12582</v>
      </c>
      <c r="D9850" t="s">
        <v>18074</v>
      </c>
      <c r="E9850" t="s">
        <v>26697</v>
      </c>
      <c r="F9850" t="s">
        <v>31574</v>
      </c>
      <c r="G9850" t="s">
        <v>31582</v>
      </c>
      <c r="H9850" t="s">
        <v>31590</v>
      </c>
      <c r="I9850" t="s">
        <v>31615</v>
      </c>
      <c r="J9850" t="s">
        <v>37910</v>
      </c>
      <c r="K9850" t="s">
        <v>41184</v>
      </c>
      <c r="M9850" t="s">
        <v>41625</v>
      </c>
      <c r="N9850" t="s">
        <v>45095</v>
      </c>
      <c r="O9850" t="s">
        <v>45096</v>
      </c>
      <c r="P9850">
        <v>0</v>
      </c>
      <c r="Q9850">
        <v>7</v>
      </c>
      <c r="R9850" t="s">
        <v>45107</v>
      </c>
      <c r="S9850" t="s">
        <v>45386</v>
      </c>
      <c r="T9850" t="s">
        <v>46943</v>
      </c>
      <c r="U9850" t="s">
        <v>55626</v>
      </c>
      <c r="W9850" t="s">
        <v>41625</v>
      </c>
      <c r="X9850" t="s">
        <v>45108</v>
      </c>
    </row>
    <row r="9851" spans="1:24">
      <c r="A9851">
        <f>HYPERLINK("https://www.philgeps.gov.ph/GEPSNONPILOT/Tender/SplashBidNoticeAbstractUI.aspx?menuIndex=3&amp;refID=7030022&amp;Result=3","7030022")</f>
        <v>0</v>
      </c>
      <c r="B9851" t="s">
        <v>2663</v>
      </c>
      <c r="C9851" t="s">
        <v>12583</v>
      </c>
      <c r="D9851" t="s">
        <v>18076</v>
      </c>
      <c r="E9851" t="s">
        <v>22763</v>
      </c>
      <c r="F9851" t="s">
        <v>31574</v>
      </c>
      <c r="G9851" t="s">
        <v>31582</v>
      </c>
      <c r="H9851" t="s">
        <v>31590</v>
      </c>
      <c r="I9851" t="s">
        <v>4046</v>
      </c>
      <c r="J9851" t="s">
        <v>37911</v>
      </c>
      <c r="K9851" t="s">
        <v>41213</v>
      </c>
      <c r="M9851" t="s">
        <v>44422</v>
      </c>
      <c r="N9851" t="s">
        <v>45095</v>
      </c>
      <c r="O9851" t="s">
        <v>45096</v>
      </c>
      <c r="P9851">
        <v>0</v>
      </c>
      <c r="Q9851">
        <v>0</v>
      </c>
      <c r="R9851" t="s">
        <v>45107</v>
      </c>
      <c r="S9851" t="s">
        <v>45386</v>
      </c>
      <c r="T9851" t="s">
        <v>47212</v>
      </c>
      <c r="U9851" t="s">
        <v>55627</v>
      </c>
      <c r="W9851" t="s">
        <v>44422</v>
      </c>
      <c r="X9851" t="s">
        <v>45108</v>
      </c>
    </row>
    <row r="9852" spans="1:24">
      <c r="A9852">
        <f>HYPERLINK("https://www.philgeps.gov.ph/GEPSNONPILOT/Tender/SplashBidNoticeAbstractUI.aspx?menuIndex=3&amp;refID=7029993&amp;Result=3","7029993")</f>
        <v>0</v>
      </c>
      <c r="B9852" t="s">
        <v>239</v>
      </c>
      <c r="C9852" t="s">
        <v>12584</v>
      </c>
      <c r="D9852" t="s">
        <v>18024</v>
      </c>
      <c r="E9852" t="s">
        <v>23153</v>
      </c>
      <c r="F9852" t="s">
        <v>31574</v>
      </c>
      <c r="G9852" t="s">
        <v>31582</v>
      </c>
      <c r="H9852" t="s">
        <v>31590</v>
      </c>
      <c r="I9852" t="s">
        <v>31603</v>
      </c>
      <c r="J9852" t="s">
        <v>31871</v>
      </c>
      <c r="K9852" t="s">
        <v>41190</v>
      </c>
      <c r="M9852" t="s">
        <v>41725</v>
      </c>
      <c r="N9852" t="s">
        <v>45095</v>
      </c>
      <c r="O9852" t="s">
        <v>45096</v>
      </c>
      <c r="P9852">
        <v>0</v>
      </c>
      <c r="Q9852">
        <v>0</v>
      </c>
      <c r="R9852" t="s">
        <v>45107</v>
      </c>
      <c r="S9852" t="s">
        <v>45386</v>
      </c>
      <c r="T9852" t="s">
        <v>47177</v>
      </c>
      <c r="U9852" t="s">
        <v>55628</v>
      </c>
      <c r="W9852" t="s">
        <v>41725</v>
      </c>
      <c r="X9852" t="s">
        <v>45108</v>
      </c>
    </row>
    <row r="9853" spans="1:24">
      <c r="A9853">
        <f>HYPERLINK("https://www.philgeps.gov.ph/GEPSNONPILOT/Tender/SplashBidNoticeAbstractUI.aspx?menuIndex=3&amp;refID=7029859&amp;Result=3","7029859")</f>
        <v>0</v>
      </c>
      <c r="B9853" t="s">
        <v>141</v>
      </c>
      <c r="C9853" t="s">
        <v>12585</v>
      </c>
      <c r="D9853" t="s">
        <v>18074</v>
      </c>
      <c r="E9853" t="s">
        <v>26698</v>
      </c>
      <c r="F9853" t="s">
        <v>31574</v>
      </c>
      <c r="G9853" t="s">
        <v>31582</v>
      </c>
      <c r="H9853" t="s">
        <v>31590</v>
      </c>
      <c r="I9853" t="s">
        <v>31615</v>
      </c>
      <c r="J9853" t="s">
        <v>32537</v>
      </c>
      <c r="K9853" t="s">
        <v>41184</v>
      </c>
      <c r="M9853" t="s">
        <v>41625</v>
      </c>
      <c r="N9853" t="s">
        <v>45095</v>
      </c>
      <c r="O9853" t="s">
        <v>45096</v>
      </c>
      <c r="P9853">
        <v>0</v>
      </c>
      <c r="Q9853">
        <v>9</v>
      </c>
      <c r="R9853" t="s">
        <v>45107</v>
      </c>
      <c r="S9853" t="s">
        <v>45386</v>
      </c>
      <c r="T9853" t="s">
        <v>46943</v>
      </c>
      <c r="U9853" t="s">
        <v>55629</v>
      </c>
      <c r="W9853" t="s">
        <v>41625</v>
      </c>
      <c r="X9853" t="s">
        <v>45108</v>
      </c>
    </row>
    <row r="9854" spans="1:24">
      <c r="A9854">
        <f>HYPERLINK("https://www.philgeps.gov.ph/GEPSNONPILOT/Tender/SplashBidNoticeAbstractUI.aspx?menuIndex=3&amp;refID=7029947&amp;Result=3","7029947")</f>
        <v>0</v>
      </c>
      <c r="B9854" t="s">
        <v>141</v>
      </c>
      <c r="C9854" t="s">
        <v>12586</v>
      </c>
      <c r="D9854" t="s">
        <v>18074</v>
      </c>
      <c r="E9854" t="s">
        <v>26699</v>
      </c>
      <c r="F9854" t="s">
        <v>31574</v>
      </c>
      <c r="G9854" t="s">
        <v>31582</v>
      </c>
      <c r="H9854" t="s">
        <v>31591</v>
      </c>
      <c r="I9854" t="s">
        <v>8822</v>
      </c>
      <c r="J9854" t="s">
        <v>37912</v>
      </c>
      <c r="K9854" t="s">
        <v>41184</v>
      </c>
      <c r="M9854" t="s">
        <v>41625</v>
      </c>
      <c r="N9854" t="s">
        <v>45095</v>
      </c>
      <c r="O9854" t="s">
        <v>45096</v>
      </c>
      <c r="P9854">
        <v>0</v>
      </c>
      <c r="Q9854">
        <v>0</v>
      </c>
      <c r="R9854" t="s">
        <v>45107</v>
      </c>
      <c r="S9854" t="s">
        <v>45386</v>
      </c>
      <c r="T9854" t="s">
        <v>47093</v>
      </c>
      <c r="U9854" t="s">
        <v>55630</v>
      </c>
      <c r="W9854" t="s">
        <v>41625</v>
      </c>
      <c r="X9854" t="s">
        <v>45108</v>
      </c>
    </row>
    <row r="9855" spans="1:24">
      <c r="A9855">
        <f>HYPERLINK("https://www.philgeps.gov.ph/GEPSNONPILOT/Tender/SplashBidNoticeAbstractUI.aspx?menuIndex=3&amp;refID=7030024&amp;Result=3","7030024")</f>
        <v>0</v>
      </c>
      <c r="B9855" t="s">
        <v>239</v>
      </c>
      <c r="C9855" t="s">
        <v>12587</v>
      </c>
      <c r="D9855" t="s">
        <v>18024</v>
      </c>
      <c r="E9855" t="s">
        <v>26700</v>
      </c>
      <c r="F9855" t="s">
        <v>31574</v>
      </c>
      <c r="G9855" t="s">
        <v>31582</v>
      </c>
      <c r="H9855" t="s">
        <v>31590</v>
      </c>
      <c r="I9855" t="s">
        <v>31602</v>
      </c>
      <c r="J9855" t="s">
        <v>37913</v>
      </c>
      <c r="K9855" t="s">
        <v>41190</v>
      </c>
      <c r="M9855" t="s">
        <v>41725</v>
      </c>
      <c r="N9855" t="s">
        <v>45095</v>
      </c>
      <c r="O9855" t="s">
        <v>45096</v>
      </c>
      <c r="P9855">
        <v>0</v>
      </c>
      <c r="Q9855">
        <v>0</v>
      </c>
      <c r="R9855" t="s">
        <v>45107</v>
      </c>
      <c r="S9855" t="s">
        <v>45386</v>
      </c>
      <c r="T9855" t="s">
        <v>47177</v>
      </c>
      <c r="U9855" t="s">
        <v>55631</v>
      </c>
      <c r="W9855" t="s">
        <v>41725</v>
      </c>
      <c r="X9855" t="s">
        <v>45108</v>
      </c>
    </row>
    <row r="9856" spans="1:24">
      <c r="A9856">
        <f>HYPERLINK("https://www.philgeps.gov.ph/GEPSNONPILOT/Tender/SplashBidNoticeAbstractUI.aspx?menuIndex=3&amp;refID=7029926&amp;Result=3","7029926")</f>
        <v>0</v>
      </c>
      <c r="B9856" t="s">
        <v>239</v>
      </c>
      <c r="C9856" t="s">
        <v>12588</v>
      </c>
      <c r="D9856" t="s">
        <v>18024</v>
      </c>
      <c r="E9856" t="s">
        <v>26701</v>
      </c>
      <c r="F9856" t="s">
        <v>31574</v>
      </c>
      <c r="G9856" t="s">
        <v>31582</v>
      </c>
      <c r="H9856" t="s">
        <v>31590</v>
      </c>
      <c r="I9856" t="s">
        <v>8258</v>
      </c>
      <c r="J9856" t="s">
        <v>34014</v>
      </c>
      <c r="K9856" t="s">
        <v>41190</v>
      </c>
      <c r="M9856" t="s">
        <v>41725</v>
      </c>
      <c r="N9856" t="s">
        <v>45095</v>
      </c>
      <c r="O9856" t="s">
        <v>45096</v>
      </c>
      <c r="P9856">
        <v>0</v>
      </c>
      <c r="Q9856">
        <v>1</v>
      </c>
      <c r="R9856" t="s">
        <v>45107</v>
      </c>
      <c r="S9856" t="s">
        <v>45386</v>
      </c>
      <c r="T9856" t="s">
        <v>47177</v>
      </c>
      <c r="U9856" t="s">
        <v>55632</v>
      </c>
      <c r="W9856" t="s">
        <v>41725</v>
      </c>
      <c r="X9856" t="s">
        <v>45108</v>
      </c>
    </row>
    <row r="9857" spans="1:24">
      <c r="A9857">
        <f>HYPERLINK("https://www.philgeps.gov.ph/GEPSNONPILOT/Tender/SplashBidNoticeAbstractUI.aspx?menuIndex=3&amp;refID=7029875&amp;Result=3","7029875")</f>
        <v>0</v>
      </c>
      <c r="B9857" t="s">
        <v>2664</v>
      </c>
      <c r="C9857" t="s">
        <v>12589</v>
      </c>
      <c r="D9857" t="s">
        <v>18082</v>
      </c>
      <c r="E9857" t="s">
        <v>26702</v>
      </c>
      <c r="F9857" t="s">
        <v>31574</v>
      </c>
      <c r="G9857" t="s">
        <v>31582</v>
      </c>
      <c r="H9857" t="s">
        <v>31590</v>
      </c>
      <c r="I9857" t="s">
        <v>31614</v>
      </c>
      <c r="J9857" t="s">
        <v>33247</v>
      </c>
      <c r="K9857" t="s">
        <v>41200</v>
      </c>
      <c r="M9857" t="s">
        <v>44423</v>
      </c>
      <c r="N9857" t="s">
        <v>45095</v>
      </c>
      <c r="O9857" t="s">
        <v>45096</v>
      </c>
      <c r="P9857">
        <v>0</v>
      </c>
      <c r="Q9857">
        <v>2</v>
      </c>
      <c r="R9857" t="s">
        <v>45107</v>
      </c>
      <c r="S9857" t="s">
        <v>45386</v>
      </c>
      <c r="T9857" t="s">
        <v>46957</v>
      </c>
      <c r="U9857" t="s">
        <v>55633</v>
      </c>
      <c r="V9857" t="s">
        <v>60874</v>
      </c>
      <c r="W9857" t="s">
        <v>44423</v>
      </c>
      <c r="X9857" t="s">
        <v>45108</v>
      </c>
    </row>
    <row r="9858" spans="1:24">
      <c r="A9858">
        <f>HYPERLINK("https://www.philgeps.gov.ph/GEPSNONPILOT/Tender/SplashBidNoticeAbstractUI.aspx?menuIndex=3&amp;refID=7029997&amp;Result=3","7029997")</f>
        <v>0</v>
      </c>
      <c r="B9858" t="s">
        <v>1320</v>
      </c>
      <c r="C9858" t="s">
        <v>12590</v>
      </c>
      <c r="D9858" t="s">
        <v>18033</v>
      </c>
      <c r="E9858" t="s">
        <v>26703</v>
      </c>
      <c r="F9858" t="s">
        <v>31574</v>
      </c>
      <c r="G9858" t="s">
        <v>31582</v>
      </c>
      <c r="H9858" t="s">
        <v>31590</v>
      </c>
      <c r="I9858" t="s">
        <v>4046</v>
      </c>
      <c r="J9858" t="s">
        <v>37914</v>
      </c>
      <c r="K9858" t="s">
        <v>41194</v>
      </c>
      <c r="M9858" t="s">
        <v>42890</v>
      </c>
      <c r="N9858" t="s">
        <v>45095</v>
      </c>
      <c r="O9858" t="s">
        <v>45096</v>
      </c>
      <c r="P9858">
        <v>0</v>
      </c>
      <c r="Q9858">
        <v>1</v>
      </c>
      <c r="R9858" t="s">
        <v>45107</v>
      </c>
      <c r="S9858" t="s">
        <v>45386</v>
      </c>
      <c r="T9858" t="s">
        <v>46971</v>
      </c>
      <c r="U9858" t="s">
        <v>55634</v>
      </c>
      <c r="W9858" t="s">
        <v>42890</v>
      </c>
      <c r="X9858" t="s">
        <v>45108</v>
      </c>
    </row>
    <row r="9859" spans="1:24">
      <c r="A9859">
        <f>HYPERLINK("https://www.philgeps.gov.ph/GEPSNONPILOT/Tender/SplashBidNoticeAbstractUI.aspx?menuIndex=3&amp;refID=7029944&amp;Result=3","7029944")</f>
        <v>0</v>
      </c>
      <c r="B9859" t="s">
        <v>2665</v>
      </c>
      <c r="C9859" t="s">
        <v>12591</v>
      </c>
      <c r="D9859" t="s">
        <v>18044</v>
      </c>
      <c r="E9859" t="s">
        <v>26704</v>
      </c>
      <c r="F9859" t="s">
        <v>31574</v>
      </c>
      <c r="G9859" t="s">
        <v>31582</v>
      </c>
      <c r="H9859" t="s">
        <v>31591</v>
      </c>
      <c r="I9859" t="s">
        <v>31632</v>
      </c>
      <c r="J9859" t="s">
        <v>37915</v>
      </c>
      <c r="K9859" t="s">
        <v>41192</v>
      </c>
      <c r="M9859" t="s">
        <v>44424</v>
      </c>
      <c r="N9859" t="s">
        <v>45095</v>
      </c>
      <c r="O9859" t="s">
        <v>45096</v>
      </c>
      <c r="Q9859">
        <v>2</v>
      </c>
      <c r="R9859" t="s">
        <v>45107</v>
      </c>
      <c r="S9859" t="s">
        <v>45389</v>
      </c>
      <c r="T9859" t="s">
        <v>46910</v>
      </c>
      <c r="U9859" t="s">
        <v>55635</v>
      </c>
      <c r="V9859" t="s">
        <v>60875</v>
      </c>
      <c r="W9859" t="s">
        <v>44424</v>
      </c>
      <c r="X9859" t="s">
        <v>45108</v>
      </c>
    </row>
    <row r="9860" spans="1:24">
      <c r="A9860">
        <f>HYPERLINK("https://www.philgeps.gov.ph/GEPSNONPILOT/Tender/SplashBidNoticeAbstractUI.aspx?menuIndex=3&amp;refID=7030083&amp;Result=3","7030083")</f>
        <v>0</v>
      </c>
      <c r="B9860" t="s">
        <v>239</v>
      </c>
      <c r="C9860" t="s">
        <v>12592</v>
      </c>
      <c r="D9860" t="s">
        <v>18024</v>
      </c>
      <c r="E9860" t="s">
        <v>26705</v>
      </c>
      <c r="F9860" t="s">
        <v>31574</v>
      </c>
      <c r="G9860" t="s">
        <v>31582</v>
      </c>
      <c r="H9860" t="s">
        <v>31590</v>
      </c>
      <c r="I9860" t="s">
        <v>31625</v>
      </c>
      <c r="J9860" t="s">
        <v>31741</v>
      </c>
      <c r="K9860" t="s">
        <v>41190</v>
      </c>
      <c r="M9860" t="s">
        <v>41725</v>
      </c>
      <c r="N9860" t="s">
        <v>45095</v>
      </c>
      <c r="O9860" t="s">
        <v>45096</v>
      </c>
      <c r="P9860">
        <v>0</v>
      </c>
      <c r="Q9860">
        <v>1</v>
      </c>
      <c r="R9860" t="s">
        <v>45107</v>
      </c>
      <c r="S9860" t="s">
        <v>45386</v>
      </c>
      <c r="T9860" t="s">
        <v>47177</v>
      </c>
      <c r="U9860" t="s">
        <v>55636</v>
      </c>
      <c r="W9860" t="s">
        <v>41725</v>
      </c>
      <c r="X9860" t="s">
        <v>45108</v>
      </c>
    </row>
    <row r="9861" spans="1:24">
      <c r="A9861">
        <f>HYPERLINK("https://www.philgeps.gov.ph/GEPSNONPILOT/Tender/SplashBidNoticeAbstractUI.aspx?menuIndex=3&amp;refID=7030011&amp;Result=3","7030011")</f>
        <v>0</v>
      </c>
      <c r="B9861" t="s">
        <v>596</v>
      </c>
      <c r="C9861" t="s">
        <v>12593</v>
      </c>
      <c r="D9861" t="s">
        <v>18034</v>
      </c>
      <c r="E9861" t="s">
        <v>26706</v>
      </c>
      <c r="F9861" t="s">
        <v>31574</v>
      </c>
      <c r="G9861" t="s">
        <v>31582</v>
      </c>
      <c r="H9861" t="s">
        <v>31591</v>
      </c>
      <c r="I9861" t="s">
        <v>8822</v>
      </c>
      <c r="J9861" t="s">
        <v>37916</v>
      </c>
      <c r="K9861" t="s">
        <v>41257</v>
      </c>
      <c r="M9861" t="s">
        <v>42099</v>
      </c>
      <c r="N9861" t="s">
        <v>45095</v>
      </c>
      <c r="O9861" t="s">
        <v>45096</v>
      </c>
      <c r="P9861">
        <v>0</v>
      </c>
      <c r="Q9861">
        <v>0</v>
      </c>
      <c r="R9861" t="s">
        <v>45107</v>
      </c>
      <c r="S9861" t="s">
        <v>45386</v>
      </c>
      <c r="T9861" t="s">
        <v>47176</v>
      </c>
      <c r="U9861" t="s">
        <v>55637</v>
      </c>
      <c r="W9861" t="s">
        <v>42099</v>
      </c>
      <c r="X9861" t="s">
        <v>45108</v>
      </c>
    </row>
    <row r="9862" spans="1:24">
      <c r="A9862">
        <f>HYPERLINK("https://www.philgeps.gov.ph/GEPSNONPILOT/Tender/SplashBidNoticeAbstractUI.aspx?menuIndex=3&amp;refID=7030111&amp;Result=3","7030111")</f>
        <v>0</v>
      </c>
      <c r="B9862" t="s">
        <v>239</v>
      </c>
      <c r="C9862" t="s">
        <v>12594</v>
      </c>
      <c r="D9862" t="s">
        <v>18024</v>
      </c>
      <c r="E9862" t="s">
        <v>23134</v>
      </c>
      <c r="F9862" t="s">
        <v>31574</v>
      </c>
      <c r="G9862" t="s">
        <v>31582</v>
      </c>
      <c r="H9862" t="s">
        <v>31590</v>
      </c>
      <c r="I9862" t="s">
        <v>31603</v>
      </c>
      <c r="J9862" t="s">
        <v>37917</v>
      </c>
      <c r="K9862" t="s">
        <v>41190</v>
      </c>
      <c r="M9862" t="s">
        <v>41725</v>
      </c>
      <c r="N9862" t="s">
        <v>45095</v>
      </c>
      <c r="O9862" t="s">
        <v>45096</v>
      </c>
      <c r="P9862">
        <v>0</v>
      </c>
      <c r="Q9862">
        <v>3</v>
      </c>
      <c r="R9862" t="s">
        <v>45107</v>
      </c>
      <c r="S9862" t="s">
        <v>45386</v>
      </c>
      <c r="T9862" t="s">
        <v>47177</v>
      </c>
      <c r="U9862" t="s">
        <v>48717</v>
      </c>
      <c r="W9862" t="s">
        <v>41725</v>
      </c>
      <c r="X9862" t="s">
        <v>45108</v>
      </c>
    </row>
    <row r="9863" spans="1:24">
      <c r="A9863">
        <f>HYPERLINK("https://www.philgeps.gov.ph/GEPSNONPILOT/Tender/SplashBidNoticeAbstractUI.aspx?menuIndex=3&amp;refID=7029880&amp;Result=3","7029880")</f>
        <v>0</v>
      </c>
      <c r="B9863" t="s">
        <v>2222</v>
      </c>
      <c r="C9863" t="s">
        <v>12595</v>
      </c>
      <c r="D9863" t="s">
        <v>18083</v>
      </c>
      <c r="E9863" t="s">
        <v>26707</v>
      </c>
      <c r="F9863" t="s">
        <v>31574</v>
      </c>
      <c r="G9863" t="s">
        <v>31582</v>
      </c>
      <c r="H9863" t="s">
        <v>31590</v>
      </c>
      <c r="I9863" t="s">
        <v>7162</v>
      </c>
      <c r="J9863" t="s">
        <v>32026</v>
      </c>
      <c r="K9863" t="s">
        <v>41193</v>
      </c>
      <c r="M9863" t="s">
        <v>43914</v>
      </c>
      <c r="N9863" t="s">
        <v>45095</v>
      </c>
      <c r="O9863" t="s">
        <v>45096</v>
      </c>
      <c r="P9863">
        <v>0</v>
      </c>
      <c r="Q9863">
        <v>4</v>
      </c>
      <c r="R9863" t="s">
        <v>45107</v>
      </c>
      <c r="S9863" t="s">
        <v>45386</v>
      </c>
      <c r="T9863" t="s">
        <v>47359</v>
      </c>
      <c r="U9863" t="s">
        <v>55638</v>
      </c>
      <c r="V9863" t="s">
        <v>60876</v>
      </c>
      <c r="W9863" t="s">
        <v>43914</v>
      </c>
      <c r="X9863" t="s">
        <v>45108</v>
      </c>
    </row>
    <row r="9864" spans="1:24">
      <c r="A9864">
        <f>HYPERLINK("https://www.philgeps.gov.ph/GEPSNONPILOT/Tender/SplashBidNoticeAbstractUI.aspx?menuIndex=3&amp;refID=7030215&amp;Result=3","7030215")</f>
        <v>0</v>
      </c>
      <c r="B9864" t="s">
        <v>2394</v>
      </c>
      <c r="C9864" t="s">
        <v>12596</v>
      </c>
      <c r="D9864" t="s">
        <v>18052</v>
      </c>
      <c r="E9864" t="s">
        <v>26708</v>
      </c>
      <c r="F9864" t="s">
        <v>31574</v>
      </c>
      <c r="G9864" t="s">
        <v>31582</v>
      </c>
      <c r="H9864" t="s">
        <v>31590</v>
      </c>
      <c r="I9864" t="s">
        <v>31615</v>
      </c>
      <c r="J9864" t="s">
        <v>31848</v>
      </c>
      <c r="K9864" t="s">
        <v>41196</v>
      </c>
      <c r="M9864" t="s">
        <v>44121</v>
      </c>
      <c r="N9864" t="s">
        <v>45095</v>
      </c>
      <c r="O9864" t="s">
        <v>45096</v>
      </c>
      <c r="P9864">
        <v>0</v>
      </c>
      <c r="Q9864">
        <v>0</v>
      </c>
      <c r="R9864" t="s">
        <v>45107</v>
      </c>
      <c r="S9864" t="s">
        <v>45386</v>
      </c>
      <c r="T9864" t="s">
        <v>47154</v>
      </c>
      <c r="U9864" t="s">
        <v>55639</v>
      </c>
      <c r="W9864" t="s">
        <v>44121</v>
      </c>
      <c r="X9864" t="s">
        <v>45108</v>
      </c>
    </row>
    <row r="9865" spans="1:24">
      <c r="A9865">
        <f>HYPERLINK("https://www.philgeps.gov.ph/GEPSNONPILOT/Tender/SplashBidNoticeAbstractUI.aspx?menuIndex=3&amp;refID=7030124&amp;Result=3","7030124")</f>
        <v>0</v>
      </c>
      <c r="B9865" t="s">
        <v>1320</v>
      </c>
      <c r="C9865" t="s">
        <v>12597</v>
      </c>
      <c r="D9865" t="s">
        <v>18033</v>
      </c>
      <c r="E9865" t="s">
        <v>26709</v>
      </c>
      <c r="F9865" t="s">
        <v>31574</v>
      </c>
      <c r="G9865" t="s">
        <v>31582</v>
      </c>
      <c r="H9865" t="s">
        <v>31590</v>
      </c>
      <c r="I9865" t="s">
        <v>4046</v>
      </c>
      <c r="J9865" t="s">
        <v>32003</v>
      </c>
      <c r="K9865" t="s">
        <v>41194</v>
      </c>
      <c r="M9865" t="s">
        <v>42890</v>
      </c>
      <c r="N9865" t="s">
        <v>45095</v>
      </c>
      <c r="O9865" t="s">
        <v>45096</v>
      </c>
      <c r="P9865">
        <v>0</v>
      </c>
      <c r="Q9865">
        <v>0</v>
      </c>
      <c r="R9865" t="s">
        <v>45107</v>
      </c>
      <c r="S9865" t="s">
        <v>45386</v>
      </c>
      <c r="T9865" t="s">
        <v>47068</v>
      </c>
      <c r="U9865" t="s">
        <v>55640</v>
      </c>
      <c r="W9865" t="s">
        <v>42890</v>
      </c>
      <c r="X9865" t="s">
        <v>45108</v>
      </c>
    </row>
    <row r="9866" spans="1:24">
      <c r="A9866">
        <f>HYPERLINK("https://www.philgeps.gov.ph/GEPSNONPILOT/Tender/SplashBidNoticeAbstractUI.aspx?menuIndex=3&amp;refID=7030187&amp;Result=3","7030187")</f>
        <v>0</v>
      </c>
      <c r="B9866" t="s">
        <v>239</v>
      </c>
      <c r="C9866" t="s">
        <v>12598</v>
      </c>
      <c r="D9866" t="s">
        <v>18024</v>
      </c>
      <c r="E9866" t="s">
        <v>20842</v>
      </c>
      <c r="F9866" t="s">
        <v>31574</v>
      </c>
      <c r="G9866" t="s">
        <v>31582</v>
      </c>
      <c r="H9866" t="s">
        <v>31590</v>
      </c>
      <c r="I9866" t="s">
        <v>31620</v>
      </c>
      <c r="J9866" t="s">
        <v>32066</v>
      </c>
      <c r="K9866" t="s">
        <v>41190</v>
      </c>
      <c r="M9866" t="s">
        <v>41725</v>
      </c>
      <c r="N9866" t="s">
        <v>45095</v>
      </c>
      <c r="O9866" t="s">
        <v>45096</v>
      </c>
      <c r="P9866">
        <v>0</v>
      </c>
      <c r="Q9866">
        <v>2</v>
      </c>
      <c r="R9866" t="s">
        <v>45107</v>
      </c>
      <c r="S9866" t="s">
        <v>45386</v>
      </c>
      <c r="T9866" t="s">
        <v>47177</v>
      </c>
      <c r="U9866" t="s">
        <v>55641</v>
      </c>
      <c r="W9866" t="s">
        <v>41725</v>
      </c>
      <c r="X9866" t="s">
        <v>45108</v>
      </c>
    </row>
    <row r="9867" spans="1:24">
      <c r="A9867">
        <f>HYPERLINK("https://www.philgeps.gov.ph/GEPSNONPILOT/Tender/SplashBidNoticeAbstractUI.aspx?menuIndex=3&amp;refID=7030102&amp;Result=3","7030102")</f>
        <v>0</v>
      </c>
      <c r="B9867" t="s">
        <v>141</v>
      </c>
      <c r="C9867" t="s">
        <v>12599</v>
      </c>
      <c r="D9867" t="s">
        <v>18074</v>
      </c>
      <c r="E9867" t="s">
        <v>26710</v>
      </c>
      <c r="F9867" t="s">
        <v>31574</v>
      </c>
      <c r="G9867" t="s">
        <v>31582</v>
      </c>
      <c r="H9867" t="s">
        <v>31590</v>
      </c>
      <c r="I9867" t="s">
        <v>31618</v>
      </c>
      <c r="J9867" t="s">
        <v>33327</v>
      </c>
      <c r="K9867" t="s">
        <v>41184</v>
      </c>
      <c r="M9867" t="s">
        <v>41625</v>
      </c>
      <c r="N9867" t="s">
        <v>45095</v>
      </c>
      <c r="O9867" t="s">
        <v>45096</v>
      </c>
      <c r="P9867">
        <v>0</v>
      </c>
      <c r="Q9867">
        <v>2</v>
      </c>
      <c r="R9867" t="s">
        <v>45107</v>
      </c>
      <c r="S9867" t="s">
        <v>45386</v>
      </c>
      <c r="T9867" t="s">
        <v>46943</v>
      </c>
      <c r="U9867" t="s">
        <v>55642</v>
      </c>
      <c r="W9867" t="s">
        <v>41625</v>
      </c>
      <c r="X9867" t="s">
        <v>45108</v>
      </c>
    </row>
    <row r="9868" spans="1:24">
      <c r="A9868">
        <f>HYPERLINK("https://www.philgeps.gov.ph/GEPSNONPILOT/Tender/SplashBidNoticeAbstractUI.aspx?menuIndex=3&amp;refID=7030203&amp;Result=3","7030203")</f>
        <v>0</v>
      </c>
      <c r="B9868" t="s">
        <v>116</v>
      </c>
      <c r="C9868" t="s">
        <v>12600</v>
      </c>
      <c r="D9868" t="s">
        <v>18068</v>
      </c>
      <c r="E9868" t="s">
        <v>26711</v>
      </c>
      <c r="F9868" t="s">
        <v>31574</v>
      </c>
      <c r="G9868" t="s">
        <v>31582</v>
      </c>
      <c r="H9868" t="s">
        <v>31591</v>
      </c>
      <c r="I9868" t="s">
        <v>8822</v>
      </c>
      <c r="J9868" t="s">
        <v>31935</v>
      </c>
      <c r="K9868" t="s">
        <v>41217</v>
      </c>
      <c r="M9868" t="s">
        <v>42500</v>
      </c>
      <c r="N9868" t="s">
        <v>45095</v>
      </c>
      <c r="O9868" t="s">
        <v>45096</v>
      </c>
      <c r="P9868">
        <v>0</v>
      </c>
      <c r="Q9868">
        <v>0</v>
      </c>
      <c r="R9868" t="s">
        <v>45107</v>
      </c>
      <c r="S9868" t="s">
        <v>45386</v>
      </c>
      <c r="T9868" t="s">
        <v>46910</v>
      </c>
      <c r="U9868" t="s">
        <v>55643</v>
      </c>
      <c r="V9868" t="s">
        <v>60877</v>
      </c>
      <c r="W9868" t="s">
        <v>42500</v>
      </c>
      <c r="X9868" t="s">
        <v>45108</v>
      </c>
    </row>
    <row r="9869" spans="1:24">
      <c r="A9869">
        <f>HYPERLINK("https://www.philgeps.gov.ph/GEPSNONPILOT/Tender/SplashBidNoticeAbstractUI.aspx?menuIndex=3&amp;refID=7030194&amp;Result=3","7030194")</f>
        <v>0</v>
      </c>
      <c r="B9869" t="s">
        <v>2666</v>
      </c>
      <c r="C9869" t="s">
        <v>12601</v>
      </c>
      <c r="D9869" t="s">
        <v>18073</v>
      </c>
      <c r="E9869" t="s">
        <v>26712</v>
      </c>
      <c r="F9869" t="s">
        <v>31574</v>
      </c>
      <c r="G9869" t="s">
        <v>31585</v>
      </c>
      <c r="H9869" t="s">
        <v>31590</v>
      </c>
      <c r="I9869" t="s">
        <v>31705</v>
      </c>
      <c r="J9869" t="s">
        <v>37918</v>
      </c>
      <c r="K9869" t="s">
        <v>41184</v>
      </c>
      <c r="M9869" t="s">
        <v>44425</v>
      </c>
      <c r="N9869" t="s">
        <v>45095</v>
      </c>
      <c r="O9869" t="s">
        <v>45096</v>
      </c>
      <c r="P9869">
        <v>0</v>
      </c>
      <c r="Q9869">
        <v>2</v>
      </c>
      <c r="R9869" t="s">
        <v>45107</v>
      </c>
      <c r="S9869" t="s">
        <v>45386</v>
      </c>
      <c r="T9869" t="s">
        <v>47064</v>
      </c>
      <c r="U9869" t="s">
        <v>55644</v>
      </c>
      <c r="W9869" t="s">
        <v>44425</v>
      </c>
      <c r="X9869" t="s">
        <v>45108</v>
      </c>
    </row>
    <row r="9870" spans="1:24">
      <c r="A9870">
        <f>HYPERLINK("https://www.philgeps.gov.ph/GEPSNONPILOT/Tender/SplashBidNoticeAbstractUI.aspx?menuIndex=3&amp;refID=7030109&amp;Result=3","7030109")</f>
        <v>0</v>
      </c>
      <c r="B9870" t="s">
        <v>116</v>
      </c>
      <c r="C9870" t="s">
        <v>12602</v>
      </c>
      <c r="D9870" t="s">
        <v>18068</v>
      </c>
      <c r="E9870" t="s">
        <v>26713</v>
      </c>
      <c r="F9870" t="s">
        <v>31574</v>
      </c>
      <c r="G9870" t="s">
        <v>31582</v>
      </c>
      <c r="H9870" t="s">
        <v>31591</v>
      </c>
      <c r="I9870" t="s">
        <v>8822</v>
      </c>
      <c r="J9870" t="s">
        <v>31935</v>
      </c>
      <c r="K9870" t="s">
        <v>41270</v>
      </c>
      <c r="M9870" t="s">
        <v>42500</v>
      </c>
      <c r="N9870" t="s">
        <v>45095</v>
      </c>
      <c r="O9870" t="s">
        <v>45096</v>
      </c>
      <c r="P9870">
        <v>0</v>
      </c>
      <c r="Q9870">
        <v>0</v>
      </c>
      <c r="R9870" t="s">
        <v>45107</v>
      </c>
      <c r="S9870" t="s">
        <v>45386</v>
      </c>
      <c r="T9870" t="s">
        <v>46910</v>
      </c>
      <c r="U9870" t="s">
        <v>55645</v>
      </c>
      <c r="V9870" t="s">
        <v>60878</v>
      </c>
      <c r="W9870" t="s">
        <v>42500</v>
      </c>
      <c r="X9870" t="s">
        <v>45108</v>
      </c>
    </row>
    <row r="9871" spans="1:24">
      <c r="A9871">
        <f>HYPERLINK("https://www.philgeps.gov.ph/GEPSNONPILOT/Tender/SplashBidNoticeAbstractUI.aspx?menuIndex=3&amp;refID=7030090&amp;Result=3","7030090")</f>
        <v>0</v>
      </c>
      <c r="B9871" t="s">
        <v>301</v>
      </c>
      <c r="C9871" t="s">
        <v>12603</v>
      </c>
      <c r="D9871" t="s">
        <v>18060</v>
      </c>
      <c r="E9871" t="s">
        <v>26714</v>
      </c>
      <c r="F9871" t="s">
        <v>31574</v>
      </c>
      <c r="G9871" t="s">
        <v>31582</v>
      </c>
      <c r="H9871" t="s">
        <v>31590</v>
      </c>
      <c r="I9871" t="s">
        <v>31607</v>
      </c>
      <c r="J9871" t="s">
        <v>33343</v>
      </c>
      <c r="K9871" t="s">
        <v>41193</v>
      </c>
      <c r="M9871" t="s">
        <v>43983</v>
      </c>
      <c r="N9871" t="s">
        <v>45095</v>
      </c>
      <c r="O9871" t="s">
        <v>45096</v>
      </c>
      <c r="P9871">
        <v>0</v>
      </c>
      <c r="Q9871">
        <v>1</v>
      </c>
      <c r="R9871" t="s">
        <v>45107</v>
      </c>
      <c r="S9871" t="s">
        <v>45386</v>
      </c>
      <c r="T9871" t="s">
        <v>46977</v>
      </c>
      <c r="U9871" t="s">
        <v>55646</v>
      </c>
      <c r="W9871" t="s">
        <v>41787</v>
      </c>
      <c r="X9871" t="s">
        <v>45108</v>
      </c>
    </row>
    <row r="9872" spans="1:24">
      <c r="A9872">
        <f>HYPERLINK("https://www.philgeps.gov.ph/GEPSNONPILOT/Tender/SplashBidNoticeAbstractUI.aspx?menuIndex=3&amp;refID=7030188&amp;Result=3","7030188")</f>
        <v>0</v>
      </c>
      <c r="B9872" t="s">
        <v>309</v>
      </c>
      <c r="C9872" t="s">
        <v>12604</v>
      </c>
      <c r="D9872" t="s">
        <v>18074</v>
      </c>
      <c r="E9872" t="s">
        <v>26715</v>
      </c>
      <c r="F9872" t="s">
        <v>31574</v>
      </c>
      <c r="G9872" t="s">
        <v>31582</v>
      </c>
      <c r="H9872" t="s">
        <v>31590</v>
      </c>
      <c r="I9872" t="s">
        <v>7185</v>
      </c>
      <c r="J9872" t="s">
        <v>37919</v>
      </c>
      <c r="K9872" t="s">
        <v>41184</v>
      </c>
      <c r="M9872" t="s">
        <v>41795</v>
      </c>
      <c r="N9872" t="s">
        <v>45095</v>
      </c>
      <c r="O9872" t="s">
        <v>45096</v>
      </c>
      <c r="P9872">
        <v>0</v>
      </c>
      <c r="Q9872">
        <v>4</v>
      </c>
      <c r="R9872" t="s">
        <v>45107</v>
      </c>
      <c r="S9872" t="s">
        <v>45386</v>
      </c>
      <c r="T9872" t="s">
        <v>46977</v>
      </c>
      <c r="U9872" t="s">
        <v>55647</v>
      </c>
      <c r="W9872" t="s">
        <v>41795</v>
      </c>
      <c r="X9872" t="s">
        <v>45108</v>
      </c>
    </row>
    <row r="9873" spans="1:24">
      <c r="A9873">
        <f>HYPERLINK("https://www.philgeps.gov.ph/GEPSNONPILOT/Tender/SplashBidNoticeAbstractUI.aspx?menuIndex=3&amp;refID=7030158&amp;Result=3","7030158")</f>
        <v>0</v>
      </c>
      <c r="B9873" t="s">
        <v>2666</v>
      </c>
      <c r="C9873" t="s">
        <v>12605</v>
      </c>
      <c r="D9873" t="s">
        <v>18073</v>
      </c>
      <c r="E9873" t="s">
        <v>26716</v>
      </c>
      <c r="F9873" t="s">
        <v>31574</v>
      </c>
      <c r="G9873" t="s">
        <v>31585</v>
      </c>
      <c r="H9873" t="s">
        <v>31590</v>
      </c>
      <c r="I9873" t="s">
        <v>31705</v>
      </c>
      <c r="J9873" t="s">
        <v>37920</v>
      </c>
      <c r="K9873" t="s">
        <v>41184</v>
      </c>
      <c r="M9873" t="s">
        <v>44425</v>
      </c>
      <c r="N9873" t="s">
        <v>45095</v>
      </c>
      <c r="O9873" t="s">
        <v>45096</v>
      </c>
      <c r="P9873">
        <v>0</v>
      </c>
      <c r="Q9873">
        <v>2</v>
      </c>
      <c r="R9873" t="s">
        <v>45107</v>
      </c>
      <c r="S9873" t="s">
        <v>45386</v>
      </c>
      <c r="T9873" t="s">
        <v>47064</v>
      </c>
      <c r="U9873" t="s">
        <v>55648</v>
      </c>
      <c r="W9873" t="s">
        <v>44425</v>
      </c>
      <c r="X9873" t="s">
        <v>45108</v>
      </c>
    </row>
    <row r="9874" spans="1:24">
      <c r="A9874">
        <f>HYPERLINK("https://www.philgeps.gov.ph/GEPSNONPILOT/Tender/SplashBidNoticeAbstractUI.aspx?menuIndex=3&amp;refID=7030143&amp;Result=3","7030143")</f>
        <v>0</v>
      </c>
      <c r="B9874" t="s">
        <v>116</v>
      </c>
      <c r="C9874" t="s">
        <v>12606</v>
      </c>
      <c r="D9874" t="s">
        <v>18068</v>
      </c>
      <c r="E9874" t="s">
        <v>26717</v>
      </c>
      <c r="F9874" t="s">
        <v>31574</v>
      </c>
      <c r="G9874" t="s">
        <v>31582</v>
      </c>
      <c r="H9874" t="s">
        <v>31591</v>
      </c>
      <c r="I9874" t="s">
        <v>8822</v>
      </c>
      <c r="J9874" t="s">
        <v>31935</v>
      </c>
      <c r="K9874" t="s">
        <v>41240</v>
      </c>
      <c r="M9874" t="s">
        <v>42500</v>
      </c>
      <c r="N9874" t="s">
        <v>45095</v>
      </c>
      <c r="O9874" t="s">
        <v>45096</v>
      </c>
      <c r="P9874">
        <v>0</v>
      </c>
      <c r="Q9874">
        <v>0</v>
      </c>
      <c r="R9874" t="s">
        <v>45107</v>
      </c>
      <c r="S9874" t="s">
        <v>45386</v>
      </c>
      <c r="T9874" t="s">
        <v>46910</v>
      </c>
      <c r="U9874" t="s">
        <v>55649</v>
      </c>
      <c r="V9874" t="s">
        <v>60879</v>
      </c>
      <c r="W9874" t="s">
        <v>42500</v>
      </c>
      <c r="X9874" t="s">
        <v>45108</v>
      </c>
    </row>
    <row r="9875" spans="1:24">
      <c r="A9875">
        <f>HYPERLINK("https://www.philgeps.gov.ph/GEPSNONPILOT/Tender/SplashBidNoticeAbstractUI.aspx?menuIndex=3&amp;refID=7030185&amp;Result=3","7030185")</f>
        <v>0</v>
      </c>
      <c r="B9875" t="s">
        <v>2664</v>
      </c>
      <c r="C9875" t="s">
        <v>12607</v>
      </c>
      <c r="D9875" t="s">
        <v>18082</v>
      </c>
      <c r="E9875" t="s">
        <v>23853</v>
      </c>
      <c r="F9875" t="s">
        <v>31574</v>
      </c>
      <c r="G9875" t="s">
        <v>31582</v>
      </c>
      <c r="H9875" t="s">
        <v>31591</v>
      </c>
      <c r="I9875" t="s">
        <v>8822</v>
      </c>
      <c r="J9875" t="s">
        <v>37921</v>
      </c>
      <c r="K9875" t="s">
        <v>41192</v>
      </c>
      <c r="M9875" t="s">
        <v>44423</v>
      </c>
      <c r="N9875" t="s">
        <v>45095</v>
      </c>
      <c r="O9875" t="s">
        <v>45096</v>
      </c>
      <c r="P9875">
        <v>0</v>
      </c>
      <c r="Q9875">
        <v>2</v>
      </c>
      <c r="R9875" t="s">
        <v>45107</v>
      </c>
      <c r="S9875" t="s">
        <v>45386</v>
      </c>
      <c r="T9875" t="s">
        <v>46904</v>
      </c>
      <c r="U9875" t="s">
        <v>55650</v>
      </c>
      <c r="V9875" t="s">
        <v>60874</v>
      </c>
      <c r="W9875" t="s">
        <v>44423</v>
      </c>
      <c r="X9875" t="s">
        <v>45108</v>
      </c>
    </row>
    <row r="9876" spans="1:24">
      <c r="A9876">
        <f>HYPERLINK("https://www.philgeps.gov.ph/GEPSNONPILOT/Tender/SplashBidNoticeAbstractUI.aspx?menuIndex=3&amp;refID=7030216&amp;Result=3","7030216")</f>
        <v>0</v>
      </c>
      <c r="B9876" t="s">
        <v>219</v>
      </c>
      <c r="C9876" t="s">
        <v>12608</v>
      </c>
      <c r="D9876" t="s">
        <v>18028</v>
      </c>
      <c r="E9876" t="s">
        <v>18975</v>
      </c>
      <c r="F9876" t="s">
        <v>31574</v>
      </c>
      <c r="G9876" t="s">
        <v>31582</v>
      </c>
      <c r="H9876" t="s">
        <v>31591</v>
      </c>
      <c r="I9876" t="s">
        <v>8822</v>
      </c>
      <c r="J9876" t="s">
        <v>31744</v>
      </c>
      <c r="K9876" t="s">
        <v>41191</v>
      </c>
      <c r="M9876" t="s">
        <v>41704</v>
      </c>
      <c r="N9876" t="s">
        <v>45095</v>
      </c>
      <c r="O9876" t="s">
        <v>45096</v>
      </c>
      <c r="P9876">
        <v>0</v>
      </c>
      <c r="Q9876">
        <v>0</v>
      </c>
      <c r="R9876" t="s">
        <v>45107</v>
      </c>
      <c r="S9876" t="s">
        <v>45386</v>
      </c>
      <c r="T9876" t="s">
        <v>46941</v>
      </c>
      <c r="U9876" t="s">
        <v>55651</v>
      </c>
      <c r="V9876" t="s">
        <v>59888</v>
      </c>
      <c r="W9876" t="s">
        <v>41704</v>
      </c>
      <c r="X9876" t="s">
        <v>45108</v>
      </c>
    </row>
    <row r="9877" spans="1:24">
      <c r="A9877">
        <f>HYPERLINK("https://www.philgeps.gov.ph/GEPSNONPILOT/Tender/SplashBidNoticeAbstractUI.aspx?menuIndex=3&amp;refID=7030121&amp;Result=3","7030121")</f>
        <v>0</v>
      </c>
      <c r="B9877" t="s">
        <v>301</v>
      </c>
      <c r="C9877" t="s">
        <v>12609</v>
      </c>
      <c r="D9877" t="s">
        <v>18060</v>
      </c>
      <c r="E9877" t="s">
        <v>26718</v>
      </c>
      <c r="F9877" t="s">
        <v>31574</v>
      </c>
      <c r="G9877" t="s">
        <v>31582</v>
      </c>
      <c r="H9877" t="s">
        <v>31590</v>
      </c>
      <c r="I9877" t="s">
        <v>31607</v>
      </c>
      <c r="J9877" t="s">
        <v>33243</v>
      </c>
      <c r="K9877" t="s">
        <v>41193</v>
      </c>
      <c r="M9877" t="s">
        <v>43983</v>
      </c>
      <c r="N9877" t="s">
        <v>45095</v>
      </c>
      <c r="O9877" t="s">
        <v>45096</v>
      </c>
      <c r="P9877">
        <v>0</v>
      </c>
      <c r="Q9877">
        <v>1</v>
      </c>
      <c r="R9877" t="s">
        <v>45107</v>
      </c>
      <c r="S9877" t="s">
        <v>45386</v>
      </c>
      <c r="T9877" t="s">
        <v>46977</v>
      </c>
      <c r="U9877" t="s">
        <v>55652</v>
      </c>
      <c r="W9877" t="s">
        <v>41787</v>
      </c>
      <c r="X9877" t="s">
        <v>45108</v>
      </c>
    </row>
    <row r="9878" spans="1:24">
      <c r="A9878">
        <f>HYPERLINK("https://www.philgeps.gov.ph/GEPSNONPILOT/Tender/SplashBidNoticeAbstractUI.aspx?menuIndex=3&amp;refID=7030179&amp;Result=3","7030179")</f>
        <v>0</v>
      </c>
      <c r="B9878" t="s">
        <v>2666</v>
      </c>
      <c r="C9878" t="s">
        <v>12610</v>
      </c>
      <c r="D9878" t="s">
        <v>18073</v>
      </c>
      <c r="E9878" t="s">
        <v>26719</v>
      </c>
      <c r="F9878" t="s">
        <v>31574</v>
      </c>
      <c r="G9878" t="s">
        <v>31585</v>
      </c>
      <c r="H9878" t="s">
        <v>31590</v>
      </c>
      <c r="I9878" t="s">
        <v>31705</v>
      </c>
      <c r="J9878" t="s">
        <v>37922</v>
      </c>
      <c r="K9878" t="s">
        <v>41184</v>
      </c>
      <c r="M9878" t="s">
        <v>44425</v>
      </c>
      <c r="N9878" t="s">
        <v>45095</v>
      </c>
      <c r="O9878" t="s">
        <v>45096</v>
      </c>
      <c r="P9878">
        <v>0</v>
      </c>
      <c r="Q9878">
        <v>2</v>
      </c>
      <c r="R9878" t="s">
        <v>45107</v>
      </c>
      <c r="S9878" t="s">
        <v>45386</v>
      </c>
      <c r="T9878" t="s">
        <v>47064</v>
      </c>
      <c r="U9878" t="s">
        <v>55653</v>
      </c>
      <c r="W9878" t="s">
        <v>44425</v>
      </c>
      <c r="X9878" t="s">
        <v>45108</v>
      </c>
    </row>
    <row r="9879" spans="1:24">
      <c r="A9879">
        <f>HYPERLINK("https://www.philgeps.gov.ph/GEPSNONPILOT/Tender/SplashBidNoticeAbstractUI.aspx?menuIndex=3&amp;refID=7030233&amp;Result=3","7030233")</f>
        <v>0</v>
      </c>
      <c r="B9879" t="s">
        <v>2666</v>
      </c>
      <c r="C9879" t="s">
        <v>12611</v>
      </c>
      <c r="D9879" t="s">
        <v>18073</v>
      </c>
      <c r="E9879" t="s">
        <v>26720</v>
      </c>
      <c r="F9879" t="s">
        <v>31574</v>
      </c>
      <c r="G9879" t="s">
        <v>31585</v>
      </c>
      <c r="H9879" t="s">
        <v>31590</v>
      </c>
      <c r="I9879" t="s">
        <v>31719</v>
      </c>
      <c r="J9879" t="s">
        <v>37923</v>
      </c>
      <c r="K9879" t="s">
        <v>41184</v>
      </c>
      <c r="M9879" t="s">
        <v>44425</v>
      </c>
      <c r="N9879" t="s">
        <v>45095</v>
      </c>
      <c r="O9879" t="s">
        <v>45096</v>
      </c>
      <c r="P9879">
        <v>0</v>
      </c>
      <c r="Q9879">
        <v>4</v>
      </c>
      <c r="R9879" t="s">
        <v>45107</v>
      </c>
      <c r="S9879" t="s">
        <v>45386</v>
      </c>
      <c r="T9879" t="s">
        <v>47064</v>
      </c>
      <c r="U9879" t="s">
        <v>55654</v>
      </c>
      <c r="W9879" t="s">
        <v>44425</v>
      </c>
      <c r="X9879" t="s">
        <v>45108</v>
      </c>
    </row>
    <row r="9880" spans="1:24">
      <c r="A9880">
        <f>HYPERLINK("https://www.philgeps.gov.ph/GEPSNONPILOT/Tender/SplashBidNoticeAbstractUI.aspx?menuIndex=3&amp;refID=7030172&amp;Result=3","7030172")</f>
        <v>0</v>
      </c>
      <c r="B9880" t="s">
        <v>1925</v>
      </c>
      <c r="C9880" t="s">
        <v>12612</v>
      </c>
      <c r="D9880" t="s">
        <v>18047</v>
      </c>
      <c r="E9880" t="s">
        <v>26389</v>
      </c>
      <c r="F9880" t="s">
        <v>31575</v>
      </c>
      <c r="G9880" t="s">
        <v>31582</v>
      </c>
      <c r="H9880" t="s">
        <v>31591</v>
      </c>
      <c r="I9880" t="s">
        <v>8822</v>
      </c>
      <c r="J9880" t="s">
        <v>31819</v>
      </c>
      <c r="K9880" t="s">
        <v>41399</v>
      </c>
      <c r="M9880" t="s">
        <v>43577</v>
      </c>
      <c r="N9880" t="s">
        <v>45095</v>
      </c>
      <c r="O9880" t="s">
        <v>45096</v>
      </c>
      <c r="P9880">
        <v>0</v>
      </c>
      <c r="Q9880">
        <v>2</v>
      </c>
      <c r="R9880" t="s">
        <v>45107</v>
      </c>
      <c r="S9880" t="s">
        <v>45386</v>
      </c>
      <c r="T9880" t="s">
        <v>47114</v>
      </c>
      <c r="U9880" t="s">
        <v>55655</v>
      </c>
      <c r="V9880" t="s">
        <v>60880</v>
      </c>
      <c r="W9880" t="s">
        <v>43577</v>
      </c>
      <c r="X9880" t="s">
        <v>45108</v>
      </c>
    </row>
    <row r="9881" spans="1:24">
      <c r="A9881">
        <f>HYPERLINK("https://www.philgeps.gov.ph/GEPSNONPILOT/Tender/SplashBidNoticeAbstractUI.aspx?menuIndex=3&amp;refID=7030130&amp;Result=3","7030130")</f>
        <v>0</v>
      </c>
      <c r="B9881" t="s">
        <v>1351</v>
      </c>
      <c r="C9881" t="s">
        <v>12613</v>
      </c>
      <c r="D9881" t="s">
        <v>18043</v>
      </c>
      <c r="E9881" t="s">
        <v>26721</v>
      </c>
      <c r="F9881" t="s">
        <v>31574</v>
      </c>
      <c r="G9881" t="s">
        <v>31582</v>
      </c>
      <c r="H9881" t="s">
        <v>31591</v>
      </c>
      <c r="I9881" t="s">
        <v>8822</v>
      </c>
      <c r="J9881" t="s">
        <v>34550</v>
      </c>
      <c r="K9881" t="s">
        <v>41357</v>
      </c>
      <c r="M9881" t="s">
        <v>42923</v>
      </c>
      <c r="N9881" t="s">
        <v>45095</v>
      </c>
      <c r="O9881" t="s">
        <v>45096</v>
      </c>
      <c r="P9881">
        <v>0</v>
      </c>
      <c r="Q9881">
        <v>1</v>
      </c>
      <c r="R9881" t="s">
        <v>45107</v>
      </c>
      <c r="S9881" t="s">
        <v>45386</v>
      </c>
      <c r="T9881" t="s">
        <v>46991</v>
      </c>
      <c r="U9881" t="s">
        <v>55656</v>
      </c>
      <c r="W9881" t="s">
        <v>42923</v>
      </c>
      <c r="X9881" t="s">
        <v>45108</v>
      </c>
    </row>
    <row r="9882" spans="1:24">
      <c r="A9882">
        <f>HYPERLINK("https://www.philgeps.gov.ph/GEPSNONPILOT/Tender/SplashBidNoticeAbstractUI.aspx?menuIndex=3&amp;refID=7030383&amp;Result=3","7030383")</f>
        <v>0</v>
      </c>
      <c r="B9882" t="s">
        <v>278</v>
      </c>
      <c r="C9882" t="s">
        <v>12614</v>
      </c>
      <c r="E9882" t="s">
        <v>26722</v>
      </c>
      <c r="F9882" t="s">
        <v>31574</v>
      </c>
      <c r="G9882" t="s">
        <v>31582</v>
      </c>
      <c r="H9882" t="s">
        <v>31590</v>
      </c>
      <c r="I9882" t="s">
        <v>31599</v>
      </c>
      <c r="J9882" t="s">
        <v>34050</v>
      </c>
      <c r="K9882" t="s">
        <v>41184</v>
      </c>
      <c r="M9882" t="s">
        <v>41764</v>
      </c>
      <c r="N9882" t="s">
        <v>45095</v>
      </c>
      <c r="O9882" t="s">
        <v>45096</v>
      </c>
      <c r="P9882">
        <v>0</v>
      </c>
      <c r="Q9882">
        <v>3</v>
      </c>
      <c r="R9882" t="s">
        <v>45107</v>
      </c>
      <c r="S9882" t="s">
        <v>45386</v>
      </c>
      <c r="T9882" t="s">
        <v>47156</v>
      </c>
      <c r="U9882" t="s">
        <v>55657</v>
      </c>
      <c r="V9882" t="s">
        <v>60881</v>
      </c>
      <c r="W9882" t="s">
        <v>41764</v>
      </c>
      <c r="X9882" t="s">
        <v>45108</v>
      </c>
    </row>
    <row r="9883" spans="1:24">
      <c r="A9883">
        <f>HYPERLINK("https://www.philgeps.gov.ph/GEPSNONPILOT/Tender/SplashBidNoticeAbstractUI.aspx?menuIndex=3&amp;refID=7030136&amp;Result=3","7030136")</f>
        <v>0</v>
      </c>
      <c r="B9883" t="s">
        <v>771</v>
      </c>
      <c r="C9883" t="s">
        <v>12615</v>
      </c>
      <c r="D9883" t="s">
        <v>18050</v>
      </c>
      <c r="E9883" t="s">
        <v>26723</v>
      </c>
      <c r="F9883" t="s">
        <v>31574</v>
      </c>
      <c r="G9883" t="s">
        <v>31582</v>
      </c>
      <c r="H9883" t="s">
        <v>31591</v>
      </c>
      <c r="I9883" t="s">
        <v>8822</v>
      </c>
      <c r="J9883" t="s">
        <v>37924</v>
      </c>
      <c r="K9883" t="s">
        <v>41335</v>
      </c>
      <c r="M9883" t="s">
        <v>44426</v>
      </c>
      <c r="N9883" t="s">
        <v>45095</v>
      </c>
      <c r="O9883" t="s">
        <v>45096</v>
      </c>
      <c r="P9883">
        <v>0</v>
      </c>
      <c r="Q9883">
        <v>2</v>
      </c>
      <c r="R9883" t="s">
        <v>45107</v>
      </c>
      <c r="S9883" t="s">
        <v>45386</v>
      </c>
      <c r="T9883" t="s">
        <v>46992</v>
      </c>
      <c r="U9883" t="s">
        <v>55658</v>
      </c>
      <c r="W9883" t="s">
        <v>44426</v>
      </c>
      <c r="X9883" t="s">
        <v>45108</v>
      </c>
    </row>
    <row r="9884" spans="1:24">
      <c r="A9884">
        <f>HYPERLINK("https://www.philgeps.gov.ph/GEPSNONPILOT/Tender/SplashBidNoticeAbstractUI.aspx?menuIndex=3&amp;refID=7030227&amp;Result=3","7030227")</f>
        <v>0</v>
      </c>
      <c r="B9884" t="s">
        <v>1925</v>
      </c>
      <c r="C9884" t="s">
        <v>12616</v>
      </c>
      <c r="D9884" t="s">
        <v>18047</v>
      </c>
      <c r="E9884" t="s">
        <v>26390</v>
      </c>
      <c r="F9884" t="s">
        <v>31575</v>
      </c>
      <c r="G9884" t="s">
        <v>31582</v>
      </c>
      <c r="H9884" t="s">
        <v>31591</v>
      </c>
      <c r="I9884" t="s">
        <v>8822</v>
      </c>
      <c r="J9884" t="s">
        <v>33252</v>
      </c>
      <c r="K9884" t="s">
        <v>41292</v>
      </c>
      <c r="M9884" t="s">
        <v>43577</v>
      </c>
      <c r="N9884" t="s">
        <v>45095</v>
      </c>
      <c r="O9884" t="s">
        <v>45096</v>
      </c>
      <c r="P9884">
        <v>0</v>
      </c>
      <c r="Q9884">
        <v>2</v>
      </c>
      <c r="R9884" t="s">
        <v>45107</v>
      </c>
      <c r="S9884" t="s">
        <v>45386</v>
      </c>
      <c r="T9884" t="s">
        <v>47011</v>
      </c>
      <c r="U9884" t="s">
        <v>55655</v>
      </c>
      <c r="V9884" t="s">
        <v>60880</v>
      </c>
      <c r="W9884" t="s">
        <v>43577</v>
      </c>
      <c r="X9884" t="s">
        <v>45108</v>
      </c>
    </row>
    <row r="9885" spans="1:24">
      <c r="A9885">
        <f>HYPERLINK("https://www.philgeps.gov.ph/GEPSNONPILOT/Tender/SplashBidNoticeAbstractUI.aspx?menuIndex=3&amp;refID=7030281&amp;Result=3","7030281")</f>
        <v>0</v>
      </c>
      <c r="B9885" t="s">
        <v>771</v>
      </c>
      <c r="C9885" t="s">
        <v>12617</v>
      </c>
      <c r="D9885" t="s">
        <v>18050</v>
      </c>
      <c r="E9885" t="s">
        <v>26724</v>
      </c>
      <c r="F9885" t="s">
        <v>31574</v>
      </c>
      <c r="G9885" t="s">
        <v>31582</v>
      </c>
      <c r="H9885" t="s">
        <v>31590</v>
      </c>
      <c r="I9885" t="s">
        <v>7185</v>
      </c>
      <c r="J9885" t="s">
        <v>37925</v>
      </c>
      <c r="K9885" t="s">
        <v>41196</v>
      </c>
      <c r="M9885" t="s">
        <v>42285</v>
      </c>
      <c r="N9885" t="s">
        <v>45095</v>
      </c>
      <c r="O9885" t="s">
        <v>45096</v>
      </c>
      <c r="P9885">
        <v>0</v>
      </c>
      <c r="Q9885">
        <v>4</v>
      </c>
      <c r="R9885" t="s">
        <v>45107</v>
      </c>
      <c r="S9885" t="s">
        <v>45386</v>
      </c>
      <c r="T9885" t="s">
        <v>47166</v>
      </c>
      <c r="U9885" t="s">
        <v>55659</v>
      </c>
      <c r="W9885" t="s">
        <v>42285</v>
      </c>
      <c r="X9885" t="s">
        <v>45108</v>
      </c>
    </row>
    <row r="9886" spans="1:24">
      <c r="A9886">
        <f>HYPERLINK("https://www.philgeps.gov.ph/GEPSNONPILOT/Tender/SplashBidNoticeAbstractUI.aspx?menuIndex=3&amp;refID=7030379&amp;Result=3","7030379")</f>
        <v>0</v>
      </c>
      <c r="B9886" t="s">
        <v>116</v>
      </c>
      <c r="C9886" t="s">
        <v>12618</v>
      </c>
      <c r="D9886" t="s">
        <v>18068</v>
      </c>
      <c r="E9886" t="s">
        <v>26725</v>
      </c>
      <c r="F9886" t="s">
        <v>31574</v>
      </c>
      <c r="G9886" t="s">
        <v>31582</v>
      </c>
      <c r="H9886" t="s">
        <v>31591</v>
      </c>
      <c r="I9886" t="s">
        <v>8822</v>
      </c>
      <c r="J9886" t="s">
        <v>32019</v>
      </c>
      <c r="K9886" t="s">
        <v>41257</v>
      </c>
      <c r="M9886" t="s">
        <v>42500</v>
      </c>
      <c r="N9886" t="s">
        <v>45095</v>
      </c>
      <c r="O9886" t="s">
        <v>45096</v>
      </c>
      <c r="P9886">
        <v>0</v>
      </c>
      <c r="Q9886">
        <v>0</v>
      </c>
      <c r="R9886" t="s">
        <v>45107</v>
      </c>
      <c r="S9886" t="s">
        <v>45386</v>
      </c>
      <c r="T9886" t="s">
        <v>46910</v>
      </c>
      <c r="U9886" t="s">
        <v>55660</v>
      </c>
      <c r="V9886" t="s">
        <v>60882</v>
      </c>
      <c r="W9886" t="s">
        <v>42500</v>
      </c>
      <c r="X9886" t="s">
        <v>45108</v>
      </c>
    </row>
    <row r="9887" spans="1:24">
      <c r="A9887">
        <f>HYPERLINK("https://www.philgeps.gov.ph/GEPSNONPILOT/Tender/SplashBidNoticeAbstractUI.aspx?menuIndex=3&amp;refID=7030292&amp;Result=3","7030292")</f>
        <v>0</v>
      </c>
      <c r="B9887" t="s">
        <v>2667</v>
      </c>
      <c r="C9887" t="s">
        <v>12619</v>
      </c>
      <c r="D9887" t="s">
        <v>18030</v>
      </c>
      <c r="E9887" t="s">
        <v>18422</v>
      </c>
      <c r="F9887" t="s">
        <v>31575</v>
      </c>
      <c r="G9887" t="s">
        <v>31582</v>
      </c>
      <c r="H9887" t="s">
        <v>31592</v>
      </c>
      <c r="I9887" t="s">
        <v>31609</v>
      </c>
      <c r="J9887" t="s">
        <v>31741</v>
      </c>
      <c r="K9887" t="s">
        <v>41212</v>
      </c>
      <c r="M9887" t="s">
        <v>44427</v>
      </c>
      <c r="N9887" t="s">
        <v>45095</v>
      </c>
      <c r="O9887" t="s">
        <v>45096</v>
      </c>
      <c r="P9887">
        <v>0</v>
      </c>
      <c r="Q9887">
        <v>0</v>
      </c>
      <c r="R9887" t="s">
        <v>45107</v>
      </c>
      <c r="S9887" t="s">
        <v>45386</v>
      </c>
      <c r="T9887" t="s">
        <v>47008</v>
      </c>
      <c r="U9887" t="s">
        <v>55661</v>
      </c>
      <c r="W9887" t="s">
        <v>44427</v>
      </c>
      <c r="X9887" t="s">
        <v>45108</v>
      </c>
    </row>
    <row r="9888" spans="1:24">
      <c r="A9888">
        <f>HYPERLINK("https://www.philgeps.gov.ph/GEPSNONPILOT/Tender/SplashBidNoticeAbstractUI.aspx?menuIndex=3&amp;refID=7030241&amp;Result=3","7030241")</f>
        <v>0</v>
      </c>
      <c r="B9888" t="s">
        <v>116</v>
      </c>
      <c r="C9888" t="s">
        <v>12620</v>
      </c>
      <c r="D9888" t="s">
        <v>18068</v>
      </c>
      <c r="E9888" t="s">
        <v>26726</v>
      </c>
      <c r="F9888" t="s">
        <v>31574</v>
      </c>
      <c r="G9888" t="s">
        <v>31582</v>
      </c>
      <c r="H9888" t="s">
        <v>31591</v>
      </c>
      <c r="I9888" t="s">
        <v>8822</v>
      </c>
      <c r="J9888" t="s">
        <v>31935</v>
      </c>
      <c r="K9888" t="s">
        <v>41280</v>
      </c>
      <c r="M9888" t="s">
        <v>42500</v>
      </c>
      <c r="N9888" t="s">
        <v>45095</v>
      </c>
      <c r="O9888" t="s">
        <v>45096</v>
      </c>
      <c r="P9888">
        <v>0</v>
      </c>
      <c r="Q9888">
        <v>0</v>
      </c>
      <c r="R9888" t="s">
        <v>45107</v>
      </c>
      <c r="S9888" t="s">
        <v>45386</v>
      </c>
      <c r="T9888" t="s">
        <v>46910</v>
      </c>
      <c r="U9888" t="s">
        <v>55662</v>
      </c>
      <c r="V9888" t="s">
        <v>60883</v>
      </c>
      <c r="W9888" t="s">
        <v>42500</v>
      </c>
      <c r="X9888" t="s">
        <v>45108</v>
      </c>
    </row>
    <row r="9889" spans="1:24">
      <c r="A9889">
        <f>HYPERLINK("https://www.philgeps.gov.ph/GEPSNONPILOT/Tender/SplashBidNoticeAbstractUI.aspx?menuIndex=3&amp;refID=7030308&amp;Result=3","7030308")</f>
        <v>0</v>
      </c>
      <c r="B9889" t="s">
        <v>2668</v>
      </c>
      <c r="C9889" t="s">
        <v>12621</v>
      </c>
      <c r="D9889" t="s">
        <v>18054</v>
      </c>
      <c r="E9889" t="s">
        <v>26727</v>
      </c>
      <c r="F9889" t="s">
        <v>31574</v>
      </c>
      <c r="G9889" t="s">
        <v>31582</v>
      </c>
      <c r="H9889" t="s">
        <v>31590</v>
      </c>
      <c r="I9889" t="s">
        <v>4046</v>
      </c>
      <c r="J9889" t="s">
        <v>37926</v>
      </c>
      <c r="K9889" t="s">
        <v>41193</v>
      </c>
      <c r="M9889" t="s">
        <v>44428</v>
      </c>
      <c r="N9889" t="s">
        <v>45095</v>
      </c>
      <c r="O9889" t="s">
        <v>45096</v>
      </c>
      <c r="P9889">
        <v>0</v>
      </c>
      <c r="Q9889">
        <v>1</v>
      </c>
      <c r="R9889" t="s">
        <v>45107</v>
      </c>
      <c r="S9889" t="s">
        <v>45386</v>
      </c>
      <c r="T9889" t="s">
        <v>47183</v>
      </c>
      <c r="U9889" t="s">
        <v>55663</v>
      </c>
      <c r="W9889" t="s">
        <v>44428</v>
      </c>
      <c r="X9889" t="s">
        <v>45108</v>
      </c>
    </row>
    <row r="9890" spans="1:24">
      <c r="A9890">
        <f>HYPERLINK("https://www.philgeps.gov.ph/GEPSNONPILOT/Tender/SplashBidNoticeAbstractUI.aspx?menuIndex=3&amp;refID=7030278&amp;Result=3","7030278")</f>
        <v>0</v>
      </c>
      <c r="B9890" t="s">
        <v>116</v>
      </c>
      <c r="C9890" t="s">
        <v>12622</v>
      </c>
      <c r="D9890" t="s">
        <v>18068</v>
      </c>
      <c r="E9890" t="s">
        <v>26728</v>
      </c>
      <c r="F9890" t="s">
        <v>31574</v>
      </c>
      <c r="G9890" t="s">
        <v>31582</v>
      </c>
      <c r="H9890" t="s">
        <v>31591</v>
      </c>
      <c r="I9890" t="s">
        <v>8822</v>
      </c>
      <c r="J9890" t="s">
        <v>37927</v>
      </c>
      <c r="K9890" t="s">
        <v>41273</v>
      </c>
      <c r="M9890" t="s">
        <v>42500</v>
      </c>
      <c r="N9890" t="s">
        <v>45095</v>
      </c>
      <c r="O9890" t="s">
        <v>45096</v>
      </c>
      <c r="P9890">
        <v>0</v>
      </c>
      <c r="Q9890">
        <v>0</v>
      </c>
      <c r="R9890" t="s">
        <v>45107</v>
      </c>
      <c r="S9890" t="s">
        <v>45386</v>
      </c>
      <c r="T9890" t="s">
        <v>46910</v>
      </c>
      <c r="U9890" t="s">
        <v>55664</v>
      </c>
      <c r="V9890" t="s">
        <v>60884</v>
      </c>
      <c r="W9890" t="s">
        <v>42500</v>
      </c>
      <c r="X9890" t="s">
        <v>45108</v>
      </c>
    </row>
    <row r="9891" spans="1:24">
      <c r="A9891">
        <f>HYPERLINK("https://www.philgeps.gov.ph/GEPSNONPILOT/Tender/SplashBidNoticeAbstractUI.aspx?menuIndex=3&amp;refID=7030432&amp;Result=3","7030432")</f>
        <v>0</v>
      </c>
      <c r="B9891" t="s">
        <v>239</v>
      </c>
      <c r="C9891" t="s">
        <v>12623</v>
      </c>
      <c r="D9891" t="s">
        <v>18024</v>
      </c>
      <c r="E9891" t="s">
        <v>26729</v>
      </c>
      <c r="F9891" t="s">
        <v>31574</v>
      </c>
      <c r="G9891" t="s">
        <v>31582</v>
      </c>
      <c r="H9891" t="s">
        <v>31590</v>
      </c>
      <c r="I9891" t="s">
        <v>4354</v>
      </c>
      <c r="J9891" t="s">
        <v>37928</v>
      </c>
      <c r="K9891" t="s">
        <v>41190</v>
      </c>
      <c r="M9891" t="s">
        <v>41725</v>
      </c>
      <c r="N9891" t="s">
        <v>45095</v>
      </c>
      <c r="O9891" t="s">
        <v>45096</v>
      </c>
      <c r="P9891">
        <v>0</v>
      </c>
      <c r="Q9891">
        <v>0</v>
      </c>
      <c r="R9891" t="s">
        <v>45107</v>
      </c>
      <c r="S9891" t="s">
        <v>45386</v>
      </c>
      <c r="T9891" t="s">
        <v>47177</v>
      </c>
      <c r="U9891" t="s">
        <v>48650</v>
      </c>
      <c r="W9891" t="s">
        <v>41725</v>
      </c>
      <c r="X9891" t="s">
        <v>45108</v>
      </c>
    </row>
    <row r="9892" spans="1:24">
      <c r="A9892">
        <f>HYPERLINK("https://www.philgeps.gov.ph/GEPSNONPILOT/Tender/SplashBidNoticeAbstractUI.aspx?menuIndex=3&amp;refID=7030289&amp;Result=3","7030289")</f>
        <v>0</v>
      </c>
      <c r="B9892" t="s">
        <v>2668</v>
      </c>
      <c r="C9892" t="s">
        <v>12624</v>
      </c>
      <c r="D9892" t="s">
        <v>18054</v>
      </c>
      <c r="E9892" t="s">
        <v>26730</v>
      </c>
      <c r="F9892" t="s">
        <v>31574</v>
      </c>
      <c r="G9892" t="s">
        <v>31582</v>
      </c>
      <c r="H9892" t="s">
        <v>31590</v>
      </c>
      <c r="I9892" t="s">
        <v>4046</v>
      </c>
      <c r="J9892" t="s">
        <v>34351</v>
      </c>
      <c r="K9892" t="s">
        <v>41193</v>
      </c>
      <c r="M9892" t="s">
        <v>44428</v>
      </c>
      <c r="N9892" t="s">
        <v>45095</v>
      </c>
      <c r="O9892" t="s">
        <v>45096</v>
      </c>
      <c r="P9892">
        <v>0</v>
      </c>
      <c r="Q9892">
        <v>1</v>
      </c>
      <c r="R9892" t="s">
        <v>45107</v>
      </c>
      <c r="S9892" t="s">
        <v>45386</v>
      </c>
      <c r="T9892" t="s">
        <v>47183</v>
      </c>
      <c r="U9892" t="s">
        <v>55665</v>
      </c>
      <c r="W9892" t="s">
        <v>44428</v>
      </c>
      <c r="X9892" t="s">
        <v>45108</v>
      </c>
    </row>
    <row r="9893" spans="1:24">
      <c r="A9893">
        <f>HYPERLINK("https://www.philgeps.gov.ph/GEPSNONPILOT/Tender/SplashBidNoticeAbstractUI.aspx?menuIndex=3&amp;refID=7030277&amp;Result=3","7030277")</f>
        <v>0</v>
      </c>
      <c r="B9893" t="s">
        <v>1705</v>
      </c>
      <c r="C9893" t="s">
        <v>12625</v>
      </c>
      <c r="E9893" t="s">
        <v>26731</v>
      </c>
      <c r="F9893" t="s">
        <v>31574</v>
      </c>
      <c r="G9893" t="s">
        <v>31585</v>
      </c>
      <c r="H9893" t="s">
        <v>31590</v>
      </c>
      <c r="I9893" t="s">
        <v>7185</v>
      </c>
      <c r="J9893" t="s">
        <v>37929</v>
      </c>
      <c r="K9893" t="s">
        <v>41184</v>
      </c>
      <c r="M9893" t="s">
        <v>44429</v>
      </c>
      <c r="N9893" t="s">
        <v>45095</v>
      </c>
      <c r="O9893" t="s">
        <v>45096</v>
      </c>
      <c r="Q9893">
        <v>7</v>
      </c>
      <c r="R9893" t="s">
        <v>45107</v>
      </c>
      <c r="S9893" t="s">
        <v>45390</v>
      </c>
      <c r="T9893" t="s">
        <v>47076</v>
      </c>
      <c r="U9893" t="s">
        <v>55666</v>
      </c>
      <c r="W9893" t="s">
        <v>44429</v>
      </c>
      <c r="X9893" t="s">
        <v>45108</v>
      </c>
    </row>
    <row r="9894" spans="1:24">
      <c r="A9894">
        <f>HYPERLINK("https://www.philgeps.gov.ph/GEPSNONPILOT/Tender/SplashBidNoticeAbstractUI.aspx?menuIndex=3&amp;refID=7030400&amp;Result=3","7030400")</f>
        <v>0</v>
      </c>
      <c r="B9894" t="s">
        <v>116</v>
      </c>
      <c r="C9894" t="s">
        <v>12626</v>
      </c>
      <c r="D9894" t="s">
        <v>18068</v>
      </c>
      <c r="E9894" t="s">
        <v>26732</v>
      </c>
      <c r="F9894" t="s">
        <v>31574</v>
      </c>
      <c r="G9894" t="s">
        <v>31582</v>
      </c>
      <c r="H9894" t="s">
        <v>31591</v>
      </c>
      <c r="I9894" t="s">
        <v>8822</v>
      </c>
      <c r="J9894" t="s">
        <v>31935</v>
      </c>
      <c r="K9894" t="s">
        <v>41192</v>
      </c>
      <c r="M9894" t="s">
        <v>42500</v>
      </c>
      <c r="N9894" t="s">
        <v>45095</v>
      </c>
      <c r="O9894" t="s">
        <v>45096</v>
      </c>
      <c r="P9894">
        <v>0</v>
      </c>
      <c r="Q9894">
        <v>0</v>
      </c>
      <c r="R9894" t="s">
        <v>45107</v>
      </c>
      <c r="S9894" t="s">
        <v>45386</v>
      </c>
      <c r="T9894" t="s">
        <v>46910</v>
      </c>
      <c r="U9894" t="s">
        <v>55667</v>
      </c>
      <c r="V9894" t="s">
        <v>60885</v>
      </c>
      <c r="W9894" t="s">
        <v>42500</v>
      </c>
      <c r="X9894" t="s">
        <v>45108</v>
      </c>
    </row>
    <row r="9895" spans="1:24">
      <c r="A9895">
        <f>HYPERLINK("https://www.philgeps.gov.ph/GEPSNONPILOT/Tender/SplashBidNoticeAbstractUI.aspx?menuIndex=3&amp;refID=7030282&amp;Result=3","7030282")</f>
        <v>0</v>
      </c>
      <c r="B9895" t="s">
        <v>1925</v>
      </c>
      <c r="C9895" t="s">
        <v>12627</v>
      </c>
      <c r="D9895" t="s">
        <v>18047</v>
      </c>
      <c r="E9895" t="s">
        <v>26297</v>
      </c>
      <c r="F9895" t="s">
        <v>31575</v>
      </c>
      <c r="G9895" t="s">
        <v>31582</v>
      </c>
      <c r="H9895" t="s">
        <v>31591</v>
      </c>
      <c r="I9895" t="s">
        <v>8822</v>
      </c>
      <c r="J9895" t="s">
        <v>33252</v>
      </c>
      <c r="K9895" t="s">
        <v>41400</v>
      </c>
      <c r="M9895" t="s">
        <v>43577</v>
      </c>
      <c r="N9895" t="s">
        <v>45095</v>
      </c>
      <c r="O9895" t="s">
        <v>45096</v>
      </c>
      <c r="P9895">
        <v>0</v>
      </c>
      <c r="Q9895">
        <v>2</v>
      </c>
      <c r="R9895" t="s">
        <v>45107</v>
      </c>
      <c r="S9895" t="s">
        <v>45386</v>
      </c>
      <c r="T9895" t="s">
        <v>47114</v>
      </c>
      <c r="U9895" t="s">
        <v>55655</v>
      </c>
      <c r="V9895" t="s">
        <v>60880</v>
      </c>
      <c r="W9895" t="s">
        <v>43577</v>
      </c>
      <c r="X9895" t="s">
        <v>45108</v>
      </c>
    </row>
    <row r="9896" spans="1:24">
      <c r="A9896">
        <f>HYPERLINK("https://www.philgeps.gov.ph/GEPSNONPILOT/Tender/SplashBidNoticeAbstractUI.aspx?menuIndex=3&amp;refID=7030415&amp;Result=3","7030415")</f>
        <v>0</v>
      </c>
      <c r="B9896" t="s">
        <v>1822</v>
      </c>
      <c r="C9896" t="s">
        <v>12628</v>
      </c>
      <c r="D9896" t="s">
        <v>18099</v>
      </c>
      <c r="E9896" t="s">
        <v>18795</v>
      </c>
      <c r="F9896" t="s">
        <v>31574</v>
      </c>
      <c r="G9896" t="s">
        <v>31582</v>
      </c>
      <c r="H9896" t="s">
        <v>31591</v>
      </c>
      <c r="I9896" t="s">
        <v>31627</v>
      </c>
      <c r="J9896" t="s">
        <v>31947</v>
      </c>
      <c r="K9896" t="s">
        <v>41287</v>
      </c>
      <c r="M9896" t="s">
        <v>43457</v>
      </c>
      <c r="N9896" t="s">
        <v>45095</v>
      </c>
      <c r="O9896" t="s">
        <v>45096</v>
      </c>
      <c r="P9896">
        <v>0</v>
      </c>
      <c r="Q9896">
        <v>0</v>
      </c>
      <c r="R9896" t="s">
        <v>45107</v>
      </c>
      <c r="S9896" t="s">
        <v>45386</v>
      </c>
      <c r="T9896" t="s">
        <v>47076</v>
      </c>
      <c r="U9896" t="s">
        <v>55668</v>
      </c>
      <c r="W9896" t="s">
        <v>43457</v>
      </c>
      <c r="X9896" t="s">
        <v>45108</v>
      </c>
    </row>
    <row r="9897" spans="1:24">
      <c r="A9897">
        <f>HYPERLINK("https://www.philgeps.gov.ph/GEPSNONPILOT/Tender/SplashBidNoticeAbstractUI.aspx?menuIndex=3&amp;refID=7030375&amp;Result=3","7030375")</f>
        <v>0</v>
      </c>
      <c r="B9897" t="s">
        <v>2669</v>
      </c>
      <c r="C9897" t="s">
        <v>12629</v>
      </c>
      <c r="D9897" t="s">
        <v>18037</v>
      </c>
      <c r="E9897" t="s">
        <v>26733</v>
      </c>
      <c r="F9897" t="s">
        <v>31574</v>
      </c>
      <c r="G9897" t="s">
        <v>31582</v>
      </c>
      <c r="H9897" t="s">
        <v>31591</v>
      </c>
      <c r="I9897" t="s">
        <v>8822</v>
      </c>
      <c r="J9897" t="s">
        <v>32019</v>
      </c>
      <c r="K9897" t="s">
        <v>41185</v>
      </c>
      <c r="M9897" t="s">
        <v>44430</v>
      </c>
      <c r="N9897" t="s">
        <v>45095</v>
      </c>
      <c r="O9897" t="s">
        <v>45096</v>
      </c>
      <c r="P9897">
        <v>0</v>
      </c>
      <c r="Q9897">
        <v>0</v>
      </c>
      <c r="R9897" t="s">
        <v>45107</v>
      </c>
      <c r="S9897" t="s">
        <v>45386</v>
      </c>
      <c r="T9897" t="s">
        <v>47371</v>
      </c>
      <c r="U9897" t="s">
        <v>55669</v>
      </c>
      <c r="W9897" t="s">
        <v>44430</v>
      </c>
      <c r="X9897" t="s">
        <v>45108</v>
      </c>
    </row>
    <row r="9898" spans="1:24">
      <c r="A9898">
        <f>HYPERLINK("https://www.philgeps.gov.ph/GEPSNONPILOT/Tender/SplashBidNoticeAbstractUI.aspx?menuIndex=3&amp;refID=7030260&amp;Result=3","7030260")</f>
        <v>0</v>
      </c>
      <c r="B9898" t="s">
        <v>2670</v>
      </c>
      <c r="C9898" t="s">
        <v>12630</v>
      </c>
      <c r="D9898" t="s">
        <v>18102</v>
      </c>
      <c r="E9898" t="s">
        <v>26734</v>
      </c>
      <c r="F9898" t="s">
        <v>31574</v>
      </c>
      <c r="G9898" t="s">
        <v>31582</v>
      </c>
      <c r="H9898" t="s">
        <v>31591</v>
      </c>
      <c r="I9898" t="s">
        <v>4046</v>
      </c>
      <c r="J9898" t="s">
        <v>32290</v>
      </c>
      <c r="K9898" t="s">
        <v>41196</v>
      </c>
      <c r="M9898" t="s">
        <v>44431</v>
      </c>
      <c r="N9898" t="s">
        <v>45095</v>
      </c>
      <c r="O9898" t="s">
        <v>45096</v>
      </c>
      <c r="P9898">
        <v>0</v>
      </c>
      <c r="Q9898">
        <v>0</v>
      </c>
      <c r="R9898" t="s">
        <v>45107</v>
      </c>
      <c r="S9898" t="s">
        <v>45386</v>
      </c>
      <c r="T9898" t="s">
        <v>47019</v>
      </c>
      <c r="U9898" t="s">
        <v>55670</v>
      </c>
      <c r="V9898" t="s">
        <v>60886</v>
      </c>
      <c r="W9898" t="s">
        <v>44431</v>
      </c>
      <c r="X9898" t="s">
        <v>45108</v>
      </c>
    </row>
    <row r="9899" spans="1:24">
      <c r="A9899">
        <f>HYPERLINK("https://www.philgeps.gov.ph/GEPSNONPILOT/Tender/SplashBidNoticeAbstractUI.aspx?menuIndex=3&amp;refID=7030437&amp;Result=3","7030437")</f>
        <v>0</v>
      </c>
      <c r="B9899" t="s">
        <v>668</v>
      </c>
      <c r="C9899" t="s">
        <v>12631</v>
      </c>
      <c r="D9899" t="s">
        <v>18086</v>
      </c>
      <c r="E9899" t="s">
        <v>26735</v>
      </c>
      <c r="F9899" t="s">
        <v>31574</v>
      </c>
      <c r="G9899" t="s">
        <v>31582</v>
      </c>
      <c r="H9899" t="s">
        <v>31591</v>
      </c>
      <c r="I9899" t="s">
        <v>8822</v>
      </c>
      <c r="J9899" t="s">
        <v>31890</v>
      </c>
      <c r="K9899" t="s">
        <v>41257</v>
      </c>
      <c r="M9899" t="s">
        <v>42173</v>
      </c>
      <c r="N9899" t="s">
        <v>45095</v>
      </c>
      <c r="O9899" t="s">
        <v>45096</v>
      </c>
      <c r="P9899">
        <v>0</v>
      </c>
      <c r="Q9899">
        <v>0</v>
      </c>
      <c r="R9899" t="s">
        <v>45107</v>
      </c>
      <c r="S9899" t="s">
        <v>45386</v>
      </c>
      <c r="T9899" t="s">
        <v>46977</v>
      </c>
      <c r="U9899" t="s">
        <v>48872</v>
      </c>
      <c r="W9899" t="s">
        <v>42173</v>
      </c>
      <c r="X9899" t="s">
        <v>45108</v>
      </c>
    </row>
    <row r="9900" spans="1:24">
      <c r="A9900">
        <f>HYPERLINK("https://www.philgeps.gov.ph/GEPSNONPILOT/Tender/SplashBidNoticeAbstractUI.aspx?menuIndex=3&amp;refID=7030390&amp;Result=3","7030390")</f>
        <v>0</v>
      </c>
      <c r="B9900" t="s">
        <v>117</v>
      </c>
      <c r="C9900" t="s">
        <v>12632</v>
      </c>
      <c r="D9900" t="s">
        <v>18046</v>
      </c>
      <c r="E9900" t="s">
        <v>25520</v>
      </c>
      <c r="F9900" t="s">
        <v>31574</v>
      </c>
      <c r="G9900" t="s">
        <v>31582</v>
      </c>
      <c r="H9900" t="s">
        <v>31590</v>
      </c>
      <c r="I9900" t="s">
        <v>4327</v>
      </c>
      <c r="J9900" t="s">
        <v>37930</v>
      </c>
      <c r="K9900" t="s">
        <v>41190</v>
      </c>
      <c r="M9900" t="s">
        <v>41601</v>
      </c>
      <c r="N9900" t="s">
        <v>45095</v>
      </c>
      <c r="O9900" t="s">
        <v>45096</v>
      </c>
      <c r="P9900">
        <v>0</v>
      </c>
      <c r="Q9900">
        <v>0</v>
      </c>
      <c r="R9900" t="s">
        <v>45107</v>
      </c>
      <c r="S9900" t="s">
        <v>45386</v>
      </c>
      <c r="T9900" t="s">
        <v>46941</v>
      </c>
      <c r="U9900" t="s">
        <v>55671</v>
      </c>
      <c r="W9900" t="s">
        <v>41601</v>
      </c>
      <c r="X9900" t="s">
        <v>45108</v>
      </c>
    </row>
    <row r="9901" spans="1:24">
      <c r="A9901">
        <f>HYPERLINK("https://www.philgeps.gov.ph/GEPSNONPILOT/Tender/SplashBidNoticeAbstractUI.aspx?menuIndex=3&amp;refID=7030487&amp;Result=3","7030487")</f>
        <v>0</v>
      </c>
      <c r="B9901" t="s">
        <v>1822</v>
      </c>
      <c r="C9901" t="s">
        <v>12633</v>
      </c>
      <c r="D9901" t="s">
        <v>18099</v>
      </c>
      <c r="E9901" t="s">
        <v>18380</v>
      </c>
      <c r="F9901" t="s">
        <v>31574</v>
      </c>
      <c r="G9901" t="s">
        <v>31582</v>
      </c>
      <c r="H9901" t="s">
        <v>31591</v>
      </c>
      <c r="I9901" t="s">
        <v>31627</v>
      </c>
      <c r="J9901" t="s">
        <v>31741</v>
      </c>
      <c r="K9901" t="s">
        <v>41287</v>
      </c>
      <c r="M9901" t="s">
        <v>43457</v>
      </c>
      <c r="N9901" t="s">
        <v>45095</v>
      </c>
      <c r="O9901" t="s">
        <v>45096</v>
      </c>
      <c r="P9901">
        <v>0</v>
      </c>
      <c r="Q9901">
        <v>0</v>
      </c>
      <c r="R9901" t="s">
        <v>45107</v>
      </c>
      <c r="S9901" t="s">
        <v>45386</v>
      </c>
      <c r="T9901" t="s">
        <v>47076</v>
      </c>
      <c r="U9901" t="s">
        <v>52190</v>
      </c>
      <c r="W9901" t="s">
        <v>43457</v>
      </c>
      <c r="X9901" t="s">
        <v>45108</v>
      </c>
    </row>
    <row r="9902" spans="1:24">
      <c r="A9902">
        <f>HYPERLINK("https://www.philgeps.gov.ph/GEPSNONPILOT/Tender/SplashBidNoticeAbstractUI.aspx?menuIndex=3&amp;refID=7030480&amp;Result=3","7030480")</f>
        <v>0</v>
      </c>
      <c r="B9902" t="s">
        <v>116</v>
      </c>
      <c r="C9902" t="s">
        <v>12634</v>
      </c>
      <c r="D9902" t="s">
        <v>18068</v>
      </c>
      <c r="E9902" t="s">
        <v>26736</v>
      </c>
      <c r="F9902" t="s">
        <v>31574</v>
      </c>
      <c r="G9902" t="s">
        <v>31582</v>
      </c>
      <c r="H9902" t="s">
        <v>31591</v>
      </c>
      <c r="I9902" t="s">
        <v>8822</v>
      </c>
      <c r="J9902" t="s">
        <v>32019</v>
      </c>
      <c r="K9902" t="s">
        <v>41241</v>
      </c>
      <c r="M9902" t="s">
        <v>42500</v>
      </c>
      <c r="N9902" t="s">
        <v>45095</v>
      </c>
      <c r="O9902" t="s">
        <v>45096</v>
      </c>
      <c r="P9902">
        <v>0</v>
      </c>
      <c r="Q9902">
        <v>0</v>
      </c>
      <c r="R9902" t="s">
        <v>45107</v>
      </c>
      <c r="S9902" t="s">
        <v>45386</v>
      </c>
      <c r="T9902" t="s">
        <v>46910</v>
      </c>
      <c r="U9902" t="s">
        <v>55672</v>
      </c>
      <c r="V9902" t="s">
        <v>60887</v>
      </c>
      <c r="W9902" t="s">
        <v>42500</v>
      </c>
      <c r="X9902" t="s">
        <v>45108</v>
      </c>
    </row>
    <row r="9903" spans="1:24">
      <c r="A9903">
        <f>HYPERLINK("https://www.philgeps.gov.ph/GEPSNONPILOT/Tender/SplashBidNoticeAbstractUI.aspx?menuIndex=3&amp;refID=7030261&amp;Result=3","7030261")</f>
        <v>0</v>
      </c>
      <c r="B9903" t="s">
        <v>116</v>
      </c>
      <c r="C9903" t="s">
        <v>12635</v>
      </c>
      <c r="D9903" t="s">
        <v>18068</v>
      </c>
      <c r="E9903" t="s">
        <v>26737</v>
      </c>
      <c r="F9903" t="s">
        <v>31574</v>
      </c>
      <c r="G9903" t="s">
        <v>31582</v>
      </c>
      <c r="H9903" t="s">
        <v>31591</v>
      </c>
      <c r="I9903" t="s">
        <v>8822</v>
      </c>
      <c r="J9903" t="s">
        <v>37931</v>
      </c>
      <c r="K9903" t="s">
        <v>41273</v>
      </c>
      <c r="M9903" t="s">
        <v>42500</v>
      </c>
      <c r="N9903" t="s">
        <v>45095</v>
      </c>
      <c r="O9903" t="s">
        <v>45096</v>
      </c>
      <c r="P9903">
        <v>0</v>
      </c>
      <c r="Q9903">
        <v>0</v>
      </c>
      <c r="R9903" t="s">
        <v>45107</v>
      </c>
      <c r="S9903" t="s">
        <v>45386</v>
      </c>
      <c r="T9903" t="s">
        <v>46910</v>
      </c>
      <c r="U9903" t="s">
        <v>55673</v>
      </c>
      <c r="V9903" t="s">
        <v>60884</v>
      </c>
      <c r="W9903" t="s">
        <v>42500</v>
      </c>
      <c r="X9903" t="s">
        <v>45108</v>
      </c>
    </row>
    <row r="9904" spans="1:24">
      <c r="A9904">
        <f>HYPERLINK("https://www.philgeps.gov.ph/GEPSNONPILOT/Tender/SplashBidNoticeAbstractUI.aspx?menuIndex=3&amp;refID=7030442&amp;Result=3","7030442")</f>
        <v>0</v>
      </c>
      <c r="B9904" t="s">
        <v>1251</v>
      </c>
      <c r="C9904" t="s">
        <v>12636</v>
      </c>
      <c r="D9904" t="s">
        <v>18075</v>
      </c>
      <c r="E9904" t="s">
        <v>26738</v>
      </c>
      <c r="F9904" t="s">
        <v>31574</v>
      </c>
      <c r="G9904" t="s">
        <v>31581</v>
      </c>
      <c r="H9904" t="s">
        <v>31590</v>
      </c>
      <c r="I9904" t="s">
        <v>3539</v>
      </c>
      <c r="J9904" t="s">
        <v>31789</v>
      </c>
      <c r="K9904" t="s">
        <v>41184</v>
      </c>
      <c r="M9904" t="s">
        <v>42818</v>
      </c>
      <c r="N9904" t="s">
        <v>45095</v>
      </c>
      <c r="O9904" t="s">
        <v>45096</v>
      </c>
      <c r="P9904">
        <v>0</v>
      </c>
      <c r="Q9904">
        <v>2</v>
      </c>
      <c r="R9904" t="s">
        <v>45107</v>
      </c>
      <c r="S9904" t="s">
        <v>45386</v>
      </c>
      <c r="T9904" t="s">
        <v>47158</v>
      </c>
      <c r="U9904" t="s">
        <v>55674</v>
      </c>
      <c r="W9904" t="s">
        <v>42818</v>
      </c>
      <c r="X9904" t="s">
        <v>45108</v>
      </c>
    </row>
    <row r="9905" spans="1:24">
      <c r="A9905">
        <f>HYPERLINK("https://www.philgeps.gov.ph/GEPSNONPILOT/Tender/SplashBidNoticeAbstractUI.aspx?menuIndex=3&amp;refID=7030490&amp;Result=3","7030490")</f>
        <v>0</v>
      </c>
      <c r="B9905" t="s">
        <v>239</v>
      </c>
      <c r="C9905" t="s">
        <v>12637</v>
      </c>
      <c r="D9905" t="s">
        <v>18024</v>
      </c>
      <c r="E9905" t="s">
        <v>26739</v>
      </c>
      <c r="F9905" t="s">
        <v>31574</v>
      </c>
      <c r="G9905" t="s">
        <v>31582</v>
      </c>
      <c r="H9905" t="s">
        <v>31590</v>
      </c>
      <c r="I9905" t="s">
        <v>3539</v>
      </c>
      <c r="J9905" t="s">
        <v>33221</v>
      </c>
      <c r="K9905" t="s">
        <v>41190</v>
      </c>
      <c r="M9905" t="s">
        <v>41725</v>
      </c>
      <c r="N9905" t="s">
        <v>45095</v>
      </c>
      <c r="O9905" t="s">
        <v>45096</v>
      </c>
      <c r="P9905">
        <v>0</v>
      </c>
      <c r="Q9905">
        <v>0</v>
      </c>
      <c r="R9905" t="s">
        <v>45107</v>
      </c>
      <c r="S9905" t="s">
        <v>45386</v>
      </c>
      <c r="T9905" t="s">
        <v>47177</v>
      </c>
      <c r="U9905" t="s">
        <v>55675</v>
      </c>
      <c r="W9905" t="s">
        <v>41725</v>
      </c>
      <c r="X9905" t="s">
        <v>45108</v>
      </c>
    </row>
    <row r="9906" spans="1:24">
      <c r="A9906">
        <f>HYPERLINK("https://www.philgeps.gov.ph/GEPSNONPILOT/Tender/SplashBidNoticeAbstractUI.aspx?menuIndex=3&amp;refID=7030272&amp;Result=3","7030272")</f>
        <v>0</v>
      </c>
      <c r="B9906" t="s">
        <v>2668</v>
      </c>
      <c r="C9906" t="s">
        <v>12638</v>
      </c>
      <c r="D9906" t="s">
        <v>18054</v>
      </c>
      <c r="E9906" t="s">
        <v>26740</v>
      </c>
      <c r="F9906" t="s">
        <v>31574</v>
      </c>
      <c r="G9906" t="s">
        <v>31582</v>
      </c>
      <c r="H9906" t="s">
        <v>31590</v>
      </c>
      <c r="I9906" t="s">
        <v>4046</v>
      </c>
      <c r="J9906" t="s">
        <v>37932</v>
      </c>
      <c r="K9906" t="s">
        <v>41193</v>
      </c>
      <c r="M9906" t="s">
        <v>44428</v>
      </c>
      <c r="N9906" t="s">
        <v>45095</v>
      </c>
      <c r="O9906" t="s">
        <v>45096</v>
      </c>
      <c r="P9906">
        <v>0</v>
      </c>
      <c r="Q9906">
        <v>1</v>
      </c>
      <c r="R9906" t="s">
        <v>45107</v>
      </c>
      <c r="S9906" t="s">
        <v>45386</v>
      </c>
      <c r="T9906" t="s">
        <v>47183</v>
      </c>
      <c r="U9906" t="s">
        <v>55676</v>
      </c>
      <c r="W9906" t="s">
        <v>44428</v>
      </c>
      <c r="X9906" t="s">
        <v>45108</v>
      </c>
    </row>
    <row r="9907" spans="1:24">
      <c r="A9907">
        <f>HYPERLINK("https://www.philgeps.gov.ph/GEPSNONPILOT/Tender/SplashBidNoticeAbstractUI.aspx?menuIndex=3&amp;refID=7030503&amp;Result=3","7030503")</f>
        <v>0</v>
      </c>
      <c r="B9907" t="s">
        <v>116</v>
      </c>
      <c r="C9907" t="s">
        <v>12639</v>
      </c>
      <c r="D9907" t="s">
        <v>18068</v>
      </c>
      <c r="E9907" t="s">
        <v>26741</v>
      </c>
      <c r="F9907" t="s">
        <v>31574</v>
      </c>
      <c r="G9907" t="s">
        <v>31582</v>
      </c>
      <c r="H9907" t="s">
        <v>31591</v>
      </c>
      <c r="I9907" t="s">
        <v>8822</v>
      </c>
      <c r="J9907" t="s">
        <v>31935</v>
      </c>
      <c r="K9907" t="s">
        <v>41241</v>
      </c>
      <c r="M9907" t="s">
        <v>42500</v>
      </c>
      <c r="N9907" t="s">
        <v>45095</v>
      </c>
      <c r="O9907" t="s">
        <v>45096</v>
      </c>
      <c r="P9907">
        <v>0</v>
      </c>
      <c r="Q9907">
        <v>0</v>
      </c>
      <c r="R9907" t="s">
        <v>45107</v>
      </c>
      <c r="S9907" t="s">
        <v>45386</v>
      </c>
      <c r="T9907" t="s">
        <v>46910</v>
      </c>
      <c r="U9907" t="s">
        <v>55677</v>
      </c>
      <c r="V9907" t="s">
        <v>60888</v>
      </c>
      <c r="W9907" t="s">
        <v>42500</v>
      </c>
      <c r="X9907" t="s">
        <v>45108</v>
      </c>
    </row>
    <row r="9908" spans="1:24">
      <c r="A9908">
        <f>HYPERLINK("https://www.philgeps.gov.ph/GEPSNONPILOT/Tender/SplashBidNoticeAbstractUI.aspx?menuIndex=3&amp;refID=7030465&amp;Result=3","7030465")</f>
        <v>0</v>
      </c>
      <c r="B9908" t="s">
        <v>239</v>
      </c>
      <c r="C9908" t="s">
        <v>12640</v>
      </c>
      <c r="D9908" t="s">
        <v>18024</v>
      </c>
      <c r="E9908" t="s">
        <v>18410</v>
      </c>
      <c r="F9908" t="s">
        <v>31574</v>
      </c>
      <c r="G9908" t="s">
        <v>31582</v>
      </c>
      <c r="H9908" t="s">
        <v>31590</v>
      </c>
      <c r="I9908" t="s">
        <v>31670</v>
      </c>
      <c r="J9908" t="s">
        <v>31927</v>
      </c>
      <c r="K9908" t="s">
        <v>41190</v>
      </c>
      <c r="M9908" t="s">
        <v>41725</v>
      </c>
      <c r="N9908" t="s">
        <v>45095</v>
      </c>
      <c r="O9908" t="s">
        <v>45096</v>
      </c>
      <c r="P9908">
        <v>0</v>
      </c>
      <c r="Q9908">
        <v>1</v>
      </c>
      <c r="R9908" t="s">
        <v>45107</v>
      </c>
      <c r="S9908" t="s">
        <v>45386</v>
      </c>
      <c r="T9908" t="s">
        <v>47177</v>
      </c>
      <c r="U9908" t="s">
        <v>55678</v>
      </c>
      <c r="W9908" t="s">
        <v>41725</v>
      </c>
      <c r="X9908" t="s">
        <v>45108</v>
      </c>
    </row>
    <row r="9909" spans="1:24">
      <c r="A9909">
        <f>HYPERLINK("https://www.philgeps.gov.ph/GEPSNONPILOT/Tender/SplashBidNoticeAbstractUI.aspx?menuIndex=3&amp;refID=7030506&amp;Result=3","7030506")</f>
        <v>0</v>
      </c>
      <c r="B9909" t="s">
        <v>1588</v>
      </c>
      <c r="C9909" t="s">
        <v>12641</v>
      </c>
      <c r="D9909" t="s">
        <v>18079</v>
      </c>
      <c r="E9909" t="s">
        <v>26742</v>
      </c>
      <c r="F9909" t="s">
        <v>31574</v>
      </c>
      <c r="G9909" t="s">
        <v>31582</v>
      </c>
      <c r="H9909" t="s">
        <v>31591</v>
      </c>
      <c r="I9909" t="s">
        <v>8822</v>
      </c>
      <c r="J9909" t="s">
        <v>37933</v>
      </c>
      <c r="K9909" t="s">
        <v>41189</v>
      </c>
      <c r="M9909" t="s">
        <v>43192</v>
      </c>
      <c r="N9909" t="s">
        <v>45095</v>
      </c>
      <c r="O9909" t="s">
        <v>45096</v>
      </c>
      <c r="P9909">
        <v>0</v>
      </c>
      <c r="Q9909">
        <v>3</v>
      </c>
      <c r="R9909" t="s">
        <v>45107</v>
      </c>
      <c r="S9909" t="s">
        <v>45386</v>
      </c>
      <c r="T9909" t="s">
        <v>47097</v>
      </c>
      <c r="U9909" t="s">
        <v>55679</v>
      </c>
      <c r="W9909" t="s">
        <v>43192</v>
      </c>
      <c r="X9909" t="s">
        <v>45108</v>
      </c>
    </row>
    <row r="9910" spans="1:24">
      <c r="A9910">
        <f>HYPERLINK("https://www.philgeps.gov.ph/GEPSNONPILOT/Tender/SplashBidNoticeAbstractUI.aspx?menuIndex=3&amp;refID=7030512&amp;Result=3","7030512")</f>
        <v>0</v>
      </c>
      <c r="B9910" t="s">
        <v>2671</v>
      </c>
      <c r="C9910" t="s">
        <v>12642</v>
      </c>
      <c r="E9910" t="s">
        <v>26743</v>
      </c>
      <c r="F9910" t="s">
        <v>31574</v>
      </c>
      <c r="G9910" t="s">
        <v>31588</v>
      </c>
      <c r="H9910" t="s">
        <v>31591</v>
      </c>
      <c r="I9910" t="s">
        <v>8822</v>
      </c>
      <c r="J9910" t="s">
        <v>37934</v>
      </c>
      <c r="K9910" t="s">
        <v>41203</v>
      </c>
      <c r="M9910" t="s">
        <v>44432</v>
      </c>
      <c r="N9910" t="s">
        <v>45095</v>
      </c>
      <c r="O9910" t="s">
        <v>45096</v>
      </c>
      <c r="P9910">
        <v>0</v>
      </c>
      <c r="Q9910">
        <v>0</v>
      </c>
      <c r="R9910" t="s">
        <v>45107</v>
      </c>
      <c r="S9910" t="s">
        <v>45386</v>
      </c>
      <c r="T9910" t="s">
        <v>46977</v>
      </c>
      <c r="U9910" t="s">
        <v>55680</v>
      </c>
      <c r="W9910" t="s">
        <v>44432</v>
      </c>
      <c r="X9910" t="s">
        <v>45108</v>
      </c>
    </row>
    <row r="9911" spans="1:24">
      <c r="A9911">
        <f>HYPERLINK("https://www.philgeps.gov.ph/GEPSNONPILOT/Tender/SplashBidNoticeAbstractUI.aspx?menuIndex=3&amp;refID=7030585&amp;Result=3","7030585")</f>
        <v>0</v>
      </c>
      <c r="B9911" t="s">
        <v>2672</v>
      </c>
      <c r="C9911" t="s">
        <v>12643</v>
      </c>
      <c r="D9911" t="s">
        <v>18088</v>
      </c>
      <c r="E9911" t="s">
        <v>26744</v>
      </c>
      <c r="F9911" t="s">
        <v>31574</v>
      </c>
      <c r="G9911" t="s">
        <v>31582</v>
      </c>
      <c r="H9911" t="s">
        <v>31590</v>
      </c>
      <c r="I9911" t="s">
        <v>3487</v>
      </c>
      <c r="J9911" t="s">
        <v>37935</v>
      </c>
      <c r="K9911" t="s">
        <v>41184</v>
      </c>
      <c r="M9911" t="s">
        <v>44433</v>
      </c>
      <c r="N9911" t="s">
        <v>45095</v>
      </c>
      <c r="O9911" t="s">
        <v>45096</v>
      </c>
      <c r="P9911">
        <v>0</v>
      </c>
      <c r="Q9911">
        <v>0</v>
      </c>
      <c r="R9911" t="s">
        <v>45107</v>
      </c>
      <c r="S9911" t="s">
        <v>45386</v>
      </c>
      <c r="T9911" t="s">
        <v>46914</v>
      </c>
      <c r="U9911" t="s">
        <v>55681</v>
      </c>
      <c r="V9911" t="s">
        <v>60889</v>
      </c>
      <c r="W9911" t="s">
        <v>44433</v>
      </c>
      <c r="X9911" t="s">
        <v>45108</v>
      </c>
    </row>
    <row r="9912" spans="1:24">
      <c r="A9912">
        <f>HYPERLINK("https://www.philgeps.gov.ph/GEPSNONPILOT/Tender/SplashBidNoticeAbstractUI.aspx?menuIndex=3&amp;refID=7030582&amp;Result=3","7030582")</f>
        <v>0</v>
      </c>
      <c r="B9912" t="s">
        <v>239</v>
      </c>
      <c r="C9912" t="s">
        <v>12644</v>
      </c>
      <c r="D9912" t="s">
        <v>18024</v>
      </c>
      <c r="E9912" t="s">
        <v>26745</v>
      </c>
      <c r="F9912" t="s">
        <v>31574</v>
      </c>
      <c r="G9912" t="s">
        <v>31582</v>
      </c>
      <c r="H9912" t="s">
        <v>31590</v>
      </c>
      <c r="I9912" t="s">
        <v>4354</v>
      </c>
      <c r="J9912" t="s">
        <v>37936</v>
      </c>
      <c r="K9912" t="s">
        <v>41190</v>
      </c>
      <c r="M9912" t="s">
        <v>41725</v>
      </c>
      <c r="N9912" t="s">
        <v>45095</v>
      </c>
      <c r="O9912" t="s">
        <v>45096</v>
      </c>
      <c r="P9912">
        <v>0</v>
      </c>
      <c r="Q9912">
        <v>0</v>
      </c>
      <c r="R9912" t="s">
        <v>45107</v>
      </c>
      <c r="S9912" t="s">
        <v>45386</v>
      </c>
      <c r="T9912" t="s">
        <v>47177</v>
      </c>
      <c r="U9912" t="s">
        <v>48650</v>
      </c>
      <c r="W9912" t="s">
        <v>41725</v>
      </c>
      <c r="X9912" t="s">
        <v>45108</v>
      </c>
    </row>
    <row r="9913" spans="1:24">
      <c r="A9913">
        <f>HYPERLINK("https://www.philgeps.gov.ph/GEPSNONPILOT/Tender/SplashBidNoticeAbstractUI.aspx?menuIndex=3&amp;refID=7030531&amp;Result=3","7030531")</f>
        <v>0</v>
      </c>
      <c r="B9913" t="s">
        <v>239</v>
      </c>
      <c r="C9913" t="s">
        <v>12645</v>
      </c>
      <c r="D9913" t="s">
        <v>18024</v>
      </c>
      <c r="E9913" t="s">
        <v>26746</v>
      </c>
      <c r="F9913" t="s">
        <v>31574</v>
      </c>
      <c r="G9913" t="s">
        <v>31582</v>
      </c>
      <c r="H9913" t="s">
        <v>31590</v>
      </c>
      <c r="I9913" t="s">
        <v>3539</v>
      </c>
      <c r="J9913" t="s">
        <v>37937</v>
      </c>
      <c r="K9913" t="s">
        <v>41190</v>
      </c>
      <c r="M9913" t="s">
        <v>41725</v>
      </c>
      <c r="N9913" t="s">
        <v>45095</v>
      </c>
      <c r="O9913" t="s">
        <v>45096</v>
      </c>
      <c r="P9913">
        <v>0</v>
      </c>
      <c r="Q9913">
        <v>0</v>
      </c>
      <c r="R9913" t="s">
        <v>45107</v>
      </c>
      <c r="S9913" t="s">
        <v>45386</v>
      </c>
      <c r="T9913" t="s">
        <v>47177</v>
      </c>
      <c r="U9913" t="s">
        <v>48689</v>
      </c>
      <c r="W9913" t="s">
        <v>41725</v>
      </c>
      <c r="X9913" t="s">
        <v>45108</v>
      </c>
    </row>
    <row r="9914" spans="1:24">
      <c r="A9914">
        <f>HYPERLINK("https://www.philgeps.gov.ph/GEPSNONPILOT/Tender/SplashBidNoticeAbstractUI.aspx?menuIndex=3&amp;refID=7030552&amp;Result=3","7030552")</f>
        <v>0</v>
      </c>
      <c r="B9914" t="s">
        <v>192</v>
      </c>
      <c r="C9914" t="s">
        <v>12646</v>
      </c>
      <c r="D9914" t="s">
        <v>18065</v>
      </c>
      <c r="E9914" t="s">
        <v>26747</v>
      </c>
      <c r="F9914" t="s">
        <v>31574</v>
      </c>
      <c r="G9914" t="s">
        <v>31582</v>
      </c>
      <c r="H9914" t="s">
        <v>31591</v>
      </c>
      <c r="I9914" t="s">
        <v>8822</v>
      </c>
      <c r="J9914" t="s">
        <v>33215</v>
      </c>
      <c r="K9914" t="s">
        <v>41198</v>
      </c>
      <c r="M9914" t="s">
        <v>44434</v>
      </c>
      <c r="N9914" t="s">
        <v>45095</v>
      </c>
      <c r="O9914" t="s">
        <v>45096</v>
      </c>
      <c r="P9914">
        <v>0</v>
      </c>
      <c r="Q9914">
        <v>1</v>
      </c>
      <c r="R9914" t="s">
        <v>45107</v>
      </c>
      <c r="S9914" t="s">
        <v>45386</v>
      </c>
      <c r="T9914" t="s">
        <v>46988</v>
      </c>
      <c r="U9914" t="s">
        <v>55682</v>
      </c>
      <c r="W9914" t="s">
        <v>44434</v>
      </c>
      <c r="X9914" t="s">
        <v>45108</v>
      </c>
    </row>
    <row r="9915" spans="1:24">
      <c r="A9915">
        <f>HYPERLINK("https://www.philgeps.gov.ph/GEPSNONPILOT/Tender/SplashBidNoticeAbstractUI.aspx?menuIndex=3&amp;refID=7030538&amp;Result=3","7030538")</f>
        <v>0</v>
      </c>
      <c r="B9915" t="s">
        <v>1822</v>
      </c>
      <c r="C9915" t="s">
        <v>12647</v>
      </c>
      <c r="D9915" t="s">
        <v>18099</v>
      </c>
      <c r="E9915" t="s">
        <v>21381</v>
      </c>
      <c r="F9915" t="s">
        <v>31574</v>
      </c>
      <c r="G9915" t="s">
        <v>31582</v>
      </c>
      <c r="H9915" t="s">
        <v>31591</v>
      </c>
      <c r="I9915" t="s">
        <v>31627</v>
      </c>
      <c r="J9915" t="s">
        <v>32375</v>
      </c>
      <c r="K9915" t="s">
        <v>41217</v>
      </c>
      <c r="M9915" t="s">
        <v>43457</v>
      </c>
      <c r="N9915" t="s">
        <v>45095</v>
      </c>
      <c r="O9915" t="s">
        <v>45096</v>
      </c>
      <c r="P9915">
        <v>0</v>
      </c>
      <c r="Q9915">
        <v>0</v>
      </c>
      <c r="R9915" t="s">
        <v>45107</v>
      </c>
      <c r="S9915" t="s">
        <v>45386</v>
      </c>
      <c r="T9915" t="s">
        <v>47076</v>
      </c>
      <c r="U9915" t="s">
        <v>55683</v>
      </c>
      <c r="W9915" t="s">
        <v>43457</v>
      </c>
      <c r="X9915" t="s">
        <v>45108</v>
      </c>
    </row>
    <row r="9916" spans="1:24">
      <c r="A9916">
        <f>HYPERLINK("https://www.philgeps.gov.ph/GEPSNONPILOT/Tender/SplashBidNoticeAbstractUI.aspx?menuIndex=3&amp;refID=7030578&amp;Result=3","7030578")</f>
        <v>0</v>
      </c>
      <c r="B9916" t="s">
        <v>192</v>
      </c>
      <c r="C9916" t="s">
        <v>12648</v>
      </c>
      <c r="D9916" t="s">
        <v>18065</v>
      </c>
      <c r="E9916" t="s">
        <v>26748</v>
      </c>
      <c r="F9916" t="s">
        <v>31574</v>
      </c>
      <c r="G9916" t="s">
        <v>31582</v>
      </c>
      <c r="H9916" t="s">
        <v>31591</v>
      </c>
      <c r="I9916" t="s">
        <v>8822</v>
      </c>
      <c r="J9916" t="s">
        <v>37292</v>
      </c>
      <c r="K9916" t="s">
        <v>41200</v>
      </c>
      <c r="M9916" t="s">
        <v>44434</v>
      </c>
      <c r="N9916" t="s">
        <v>45095</v>
      </c>
      <c r="O9916" t="s">
        <v>45096</v>
      </c>
      <c r="P9916">
        <v>0</v>
      </c>
      <c r="Q9916">
        <v>1</v>
      </c>
      <c r="R9916" t="s">
        <v>45107</v>
      </c>
      <c r="S9916" t="s">
        <v>45386</v>
      </c>
      <c r="T9916" t="s">
        <v>46988</v>
      </c>
      <c r="U9916" t="s">
        <v>55684</v>
      </c>
      <c r="W9916" t="s">
        <v>44434</v>
      </c>
      <c r="X9916" t="s">
        <v>45108</v>
      </c>
    </row>
    <row r="9917" spans="1:24">
      <c r="A9917">
        <f>HYPERLINK("https://www.philgeps.gov.ph/GEPSNONPILOT/Tender/SplashBidNoticeAbstractUI.aspx?menuIndex=3&amp;refID=7030590&amp;Result=3","7030590")</f>
        <v>0</v>
      </c>
      <c r="B9917" t="s">
        <v>1120</v>
      </c>
      <c r="C9917" t="s">
        <v>12649</v>
      </c>
      <c r="E9917" t="s">
        <v>26749</v>
      </c>
      <c r="F9917" t="s">
        <v>31574</v>
      </c>
      <c r="G9917" t="s">
        <v>31581</v>
      </c>
      <c r="H9917" t="s">
        <v>31590</v>
      </c>
      <c r="I9917" t="s">
        <v>3487</v>
      </c>
      <c r="J9917" t="s">
        <v>37938</v>
      </c>
      <c r="K9917" t="s">
        <v>41184</v>
      </c>
      <c r="M9917" t="s">
        <v>42671</v>
      </c>
      <c r="N9917" t="s">
        <v>45095</v>
      </c>
      <c r="O9917" t="s">
        <v>45096</v>
      </c>
      <c r="Q9917">
        <v>5</v>
      </c>
      <c r="R9917" t="s">
        <v>45107</v>
      </c>
      <c r="S9917" t="s">
        <v>45391</v>
      </c>
      <c r="T9917" t="s">
        <v>47176</v>
      </c>
      <c r="U9917" t="s">
        <v>47721</v>
      </c>
      <c r="W9917" t="s">
        <v>42671</v>
      </c>
      <c r="X9917" t="s">
        <v>45108</v>
      </c>
    </row>
    <row r="9918" spans="1:24">
      <c r="A9918">
        <f>HYPERLINK("https://www.philgeps.gov.ph/GEPSNONPILOT/Tender/SplashBidNoticeAbstractUI.aspx?menuIndex=3&amp;refID=7030594&amp;Result=3","7030594")</f>
        <v>0</v>
      </c>
      <c r="B9918" t="s">
        <v>192</v>
      </c>
      <c r="C9918" t="s">
        <v>12650</v>
      </c>
      <c r="D9918" t="s">
        <v>18065</v>
      </c>
      <c r="E9918" t="s">
        <v>26750</v>
      </c>
      <c r="F9918" t="s">
        <v>31574</v>
      </c>
      <c r="G9918" t="s">
        <v>31582</v>
      </c>
      <c r="H9918" t="s">
        <v>31591</v>
      </c>
      <c r="I9918" t="s">
        <v>8822</v>
      </c>
      <c r="J9918" t="s">
        <v>37939</v>
      </c>
      <c r="K9918" t="s">
        <v>41349</v>
      </c>
      <c r="M9918" t="s">
        <v>44434</v>
      </c>
      <c r="N9918" t="s">
        <v>45095</v>
      </c>
      <c r="O9918" t="s">
        <v>45096</v>
      </c>
      <c r="P9918">
        <v>0</v>
      </c>
      <c r="Q9918">
        <v>0</v>
      </c>
      <c r="R9918" t="s">
        <v>45107</v>
      </c>
      <c r="S9918" t="s">
        <v>45386</v>
      </c>
      <c r="T9918" t="s">
        <v>46988</v>
      </c>
      <c r="U9918" t="s">
        <v>55685</v>
      </c>
      <c r="W9918" t="s">
        <v>44434</v>
      </c>
      <c r="X9918" t="s">
        <v>45108</v>
      </c>
    </row>
    <row r="9919" spans="1:24">
      <c r="A9919">
        <f>HYPERLINK("https://www.philgeps.gov.ph/GEPSNONPILOT/Tender/SplashBidNoticeAbstractUI.aspx?menuIndex=3&amp;refID=7030562&amp;Result=3","7030562")</f>
        <v>0</v>
      </c>
      <c r="B9919" t="s">
        <v>239</v>
      </c>
      <c r="C9919" t="s">
        <v>12651</v>
      </c>
      <c r="D9919" t="s">
        <v>18024</v>
      </c>
      <c r="E9919" t="s">
        <v>26751</v>
      </c>
      <c r="F9919" t="s">
        <v>31574</v>
      </c>
      <c r="G9919" t="s">
        <v>31582</v>
      </c>
      <c r="H9919" t="s">
        <v>31590</v>
      </c>
      <c r="I9919" t="s">
        <v>6800</v>
      </c>
      <c r="J9919" t="s">
        <v>37940</v>
      </c>
      <c r="K9919" t="s">
        <v>41190</v>
      </c>
      <c r="M9919" t="s">
        <v>41725</v>
      </c>
      <c r="N9919" t="s">
        <v>45095</v>
      </c>
      <c r="O9919" t="s">
        <v>45096</v>
      </c>
      <c r="P9919">
        <v>0</v>
      </c>
      <c r="Q9919">
        <v>1</v>
      </c>
      <c r="R9919" t="s">
        <v>45107</v>
      </c>
      <c r="S9919" t="s">
        <v>45386</v>
      </c>
      <c r="T9919" t="s">
        <v>47177</v>
      </c>
      <c r="U9919" t="s">
        <v>47916</v>
      </c>
      <c r="W9919" t="s">
        <v>41725</v>
      </c>
      <c r="X9919" t="s">
        <v>45108</v>
      </c>
    </row>
    <row r="9920" spans="1:24">
      <c r="A9920">
        <f>HYPERLINK("https://www.philgeps.gov.ph/GEPSNONPILOT/Tender/SplashBidNoticeAbstractUI.aspx?menuIndex=3&amp;refID=7030485&amp;Result=3","7030485")</f>
        <v>0</v>
      </c>
      <c r="B9920" t="s">
        <v>1251</v>
      </c>
      <c r="C9920" t="s">
        <v>12652</v>
      </c>
      <c r="D9920" t="s">
        <v>18075</v>
      </c>
      <c r="E9920" t="s">
        <v>26752</v>
      </c>
      <c r="F9920" t="s">
        <v>31574</v>
      </c>
      <c r="G9920" t="s">
        <v>31581</v>
      </c>
      <c r="H9920" t="s">
        <v>31590</v>
      </c>
      <c r="I9920" t="s">
        <v>3487</v>
      </c>
      <c r="J9920" t="s">
        <v>31843</v>
      </c>
      <c r="K9920" t="s">
        <v>41184</v>
      </c>
      <c r="M9920" t="s">
        <v>42818</v>
      </c>
      <c r="N9920" t="s">
        <v>45095</v>
      </c>
      <c r="O9920" t="s">
        <v>45096</v>
      </c>
      <c r="P9920">
        <v>0</v>
      </c>
      <c r="Q9920">
        <v>10</v>
      </c>
      <c r="R9920" t="s">
        <v>45107</v>
      </c>
      <c r="S9920" t="s">
        <v>45386</v>
      </c>
      <c r="T9920" t="s">
        <v>47158</v>
      </c>
      <c r="U9920" t="s">
        <v>55674</v>
      </c>
      <c r="W9920" t="s">
        <v>42818</v>
      </c>
      <c r="X9920" t="s">
        <v>45108</v>
      </c>
    </row>
    <row r="9921" spans="1:24">
      <c r="A9921">
        <f>HYPERLINK("https://www.philgeps.gov.ph/GEPSNONPILOT/Tender/SplashBidNoticeAbstractUI.aspx?menuIndex=3&amp;refID=7030618&amp;Result=3","7030618")</f>
        <v>0</v>
      </c>
      <c r="B9921" t="s">
        <v>1376</v>
      </c>
      <c r="C9921" t="s">
        <v>12653</v>
      </c>
      <c r="E9921" t="s">
        <v>26753</v>
      </c>
      <c r="F9921" t="s">
        <v>31574</v>
      </c>
      <c r="G9921" t="s">
        <v>31582</v>
      </c>
      <c r="H9921" t="s">
        <v>31590</v>
      </c>
      <c r="I9921" t="s">
        <v>31605</v>
      </c>
      <c r="J9921" t="s">
        <v>37941</v>
      </c>
      <c r="K9921" t="s">
        <v>41184</v>
      </c>
      <c r="M9921" t="s">
        <v>42950</v>
      </c>
      <c r="N9921" t="s">
        <v>45095</v>
      </c>
      <c r="O9921" t="s">
        <v>45096</v>
      </c>
      <c r="P9921">
        <v>0</v>
      </c>
      <c r="Q9921">
        <v>2</v>
      </c>
      <c r="R9921" t="s">
        <v>45107</v>
      </c>
      <c r="S9921" t="s">
        <v>45386</v>
      </c>
      <c r="T9921" t="s">
        <v>47196</v>
      </c>
      <c r="U9921" t="s">
        <v>55686</v>
      </c>
      <c r="W9921" t="s">
        <v>42950</v>
      </c>
      <c r="X9921" t="s">
        <v>45108</v>
      </c>
    </row>
    <row r="9922" spans="1:24">
      <c r="A9922">
        <f>HYPERLINK("https://www.philgeps.gov.ph/GEPSNONPILOT/Tender/SplashBidNoticeAbstractUI.aspx?menuIndex=3&amp;refID=7030492&amp;Result=3","7030492")</f>
        <v>0</v>
      </c>
      <c r="B9922" t="s">
        <v>1376</v>
      </c>
      <c r="C9922" t="s">
        <v>6938</v>
      </c>
      <c r="E9922" t="s">
        <v>26754</v>
      </c>
      <c r="F9922" t="s">
        <v>31574</v>
      </c>
      <c r="G9922" t="s">
        <v>31582</v>
      </c>
      <c r="H9922" t="s">
        <v>31590</v>
      </c>
      <c r="I9922" t="s">
        <v>31614</v>
      </c>
      <c r="J9922" t="s">
        <v>37942</v>
      </c>
      <c r="K9922" t="s">
        <v>41184</v>
      </c>
      <c r="M9922" t="s">
        <v>42950</v>
      </c>
      <c r="N9922" t="s">
        <v>45095</v>
      </c>
      <c r="O9922" t="s">
        <v>45096</v>
      </c>
      <c r="P9922">
        <v>0</v>
      </c>
      <c r="Q9922">
        <v>2</v>
      </c>
      <c r="R9922" t="s">
        <v>45107</v>
      </c>
      <c r="S9922" t="s">
        <v>45386</v>
      </c>
      <c r="T9922" t="s">
        <v>47196</v>
      </c>
      <c r="U9922" t="s">
        <v>55687</v>
      </c>
      <c r="W9922" t="s">
        <v>42950</v>
      </c>
      <c r="X9922" t="s">
        <v>45108</v>
      </c>
    </row>
    <row r="9923" spans="1:24">
      <c r="A9923">
        <f>HYPERLINK("https://www.philgeps.gov.ph/GEPSNONPILOT/Tender/SplashBidNoticeAbstractUI.aspx?menuIndex=3&amp;refID=7030704&amp;Result=3","7030704")</f>
        <v>0</v>
      </c>
      <c r="B9923" t="s">
        <v>124</v>
      </c>
      <c r="C9923" t="s">
        <v>12654</v>
      </c>
      <c r="D9923" t="s">
        <v>18065</v>
      </c>
      <c r="E9923" t="s">
        <v>26755</v>
      </c>
      <c r="F9923" t="s">
        <v>31574</v>
      </c>
      <c r="G9923" t="s">
        <v>31582</v>
      </c>
      <c r="H9923" t="s">
        <v>31590</v>
      </c>
      <c r="I9923" t="s">
        <v>14544</v>
      </c>
      <c r="J9923" t="s">
        <v>37943</v>
      </c>
      <c r="K9923" t="s">
        <v>41184</v>
      </c>
      <c r="M9923" t="s">
        <v>42125</v>
      </c>
      <c r="N9923" t="s">
        <v>45095</v>
      </c>
      <c r="O9923" t="s">
        <v>45096</v>
      </c>
      <c r="Q9923">
        <v>0</v>
      </c>
      <c r="R9923" t="s">
        <v>45107</v>
      </c>
      <c r="S9923" t="s">
        <v>45392</v>
      </c>
      <c r="T9923" t="s">
        <v>47176</v>
      </c>
      <c r="U9923" t="s">
        <v>55688</v>
      </c>
      <c r="W9923" t="s">
        <v>42125</v>
      </c>
      <c r="X9923" t="s">
        <v>45108</v>
      </c>
    </row>
    <row r="9924" spans="1:24">
      <c r="A9924">
        <f>HYPERLINK("https://www.philgeps.gov.ph/GEPSNONPILOT/Tender/SplashBidNoticeAbstractUI.aspx?menuIndex=3&amp;refID=7030646&amp;Result=3","7030646")</f>
        <v>0</v>
      </c>
      <c r="B9924" t="s">
        <v>1868</v>
      </c>
      <c r="C9924" t="s">
        <v>12655</v>
      </c>
      <c r="D9924" t="s">
        <v>18079</v>
      </c>
      <c r="E9924" t="s">
        <v>26756</v>
      </c>
      <c r="F9924" t="s">
        <v>31574</v>
      </c>
      <c r="G9924" t="s">
        <v>31582</v>
      </c>
      <c r="H9924" t="s">
        <v>31590</v>
      </c>
      <c r="I9924" t="s">
        <v>31615</v>
      </c>
      <c r="J9924" t="s">
        <v>33866</v>
      </c>
      <c r="K9924" t="s">
        <v>41186</v>
      </c>
      <c r="M9924" t="s">
        <v>43507</v>
      </c>
      <c r="N9924" t="s">
        <v>45095</v>
      </c>
      <c r="O9924" t="s">
        <v>45096</v>
      </c>
      <c r="P9924">
        <v>0</v>
      </c>
      <c r="Q9924">
        <v>6</v>
      </c>
      <c r="R9924" t="s">
        <v>45107</v>
      </c>
      <c r="S9924" t="s">
        <v>45386</v>
      </c>
      <c r="T9924" t="s">
        <v>46937</v>
      </c>
      <c r="U9924" t="s">
        <v>55689</v>
      </c>
      <c r="V9924" t="s">
        <v>60890</v>
      </c>
      <c r="W9924" t="s">
        <v>43507</v>
      </c>
      <c r="X9924" t="s">
        <v>45108</v>
      </c>
    </row>
    <row r="9925" spans="1:24">
      <c r="A9925">
        <f>HYPERLINK("https://www.philgeps.gov.ph/GEPSNONPILOT/Tender/SplashBidNoticeAbstractUI.aspx?menuIndex=3&amp;refID=7030655&amp;Result=3","7030655")</f>
        <v>0</v>
      </c>
      <c r="B9925" t="s">
        <v>689</v>
      </c>
      <c r="C9925" t="s">
        <v>12656</v>
      </c>
      <c r="D9925" t="s">
        <v>18023</v>
      </c>
      <c r="E9925" t="s">
        <v>26757</v>
      </c>
      <c r="F9925" t="s">
        <v>31574</v>
      </c>
      <c r="G9925" t="s">
        <v>31582</v>
      </c>
      <c r="H9925" t="s">
        <v>31590</v>
      </c>
      <c r="I9925" t="s">
        <v>31615</v>
      </c>
      <c r="J9925" t="s">
        <v>35867</v>
      </c>
      <c r="K9925" t="s">
        <v>41186</v>
      </c>
      <c r="M9925" t="s">
        <v>42196</v>
      </c>
      <c r="N9925" t="s">
        <v>45095</v>
      </c>
      <c r="O9925" t="s">
        <v>45096</v>
      </c>
      <c r="Q9925">
        <v>4</v>
      </c>
      <c r="R9925" t="s">
        <v>45107</v>
      </c>
      <c r="S9925" t="s">
        <v>45393</v>
      </c>
      <c r="T9925" t="s">
        <v>47337</v>
      </c>
      <c r="U9925" t="s">
        <v>55690</v>
      </c>
      <c r="W9925" t="s">
        <v>61677</v>
      </c>
      <c r="X9925" t="s">
        <v>45108</v>
      </c>
    </row>
    <row r="9926" spans="1:24">
      <c r="A9926">
        <f>HYPERLINK("https://www.philgeps.gov.ph/GEPSNONPILOT/Tender/SplashBidNoticeAbstractUI.aspx?menuIndex=3&amp;refID=7030695&amp;Result=3","7030695")</f>
        <v>0</v>
      </c>
      <c r="B9926" t="s">
        <v>2673</v>
      </c>
      <c r="C9926" t="s">
        <v>12657</v>
      </c>
      <c r="D9926" t="s">
        <v>18044</v>
      </c>
      <c r="E9926" t="s">
        <v>18227</v>
      </c>
      <c r="F9926" t="s">
        <v>31575</v>
      </c>
      <c r="G9926" t="s">
        <v>31582</v>
      </c>
      <c r="H9926" t="s">
        <v>31592</v>
      </c>
      <c r="I9926" t="s">
        <v>31607</v>
      </c>
      <c r="J9926" t="s">
        <v>37944</v>
      </c>
      <c r="K9926" t="s">
        <v>41289</v>
      </c>
      <c r="M9926" t="s">
        <v>44435</v>
      </c>
      <c r="N9926" t="s">
        <v>45095</v>
      </c>
      <c r="O9926" t="s">
        <v>45096</v>
      </c>
      <c r="P9926">
        <v>0</v>
      </c>
      <c r="Q9926">
        <v>0</v>
      </c>
      <c r="R9926" t="s">
        <v>45107</v>
      </c>
      <c r="S9926" t="s">
        <v>45386</v>
      </c>
      <c r="T9926" t="s">
        <v>46979</v>
      </c>
      <c r="U9926" t="s">
        <v>55691</v>
      </c>
      <c r="V9926" t="s">
        <v>60891</v>
      </c>
      <c r="W9926" t="s">
        <v>44435</v>
      </c>
      <c r="X9926" t="s">
        <v>45108</v>
      </c>
    </row>
    <row r="9927" spans="1:24">
      <c r="A9927">
        <f>HYPERLINK("https://www.philgeps.gov.ph/GEPSNONPILOT/Tender/SplashBidNoticeAbstractUI.aspx?menuIndex=3&amp;refID=7030625&amp;Result=3","7030625")</f>
        <v>0</v>
      </c>
      <c r="B9927" t="s">
        <v>239</v>
      </c>
      <c r="C9927" t="s">
        <v>12658</v>
      </c>
      <c r="D9927" t="s">
        <v>18024</v>
      </c>
      <c r="E9927" t="s">
        <v>26758</v>
      </c>
      <c r="F9927" t="s">
        <v>31574</v>
      </c>
      <c r="G9927" t="s">
        <v>31582</v>
      </c>
      <c r="H9927" t="s">
        <v>31590</v>
      </c>
      <c r="I9927" t="s">
        <v>6800</v>
      </c>
      <c r="J9927" t="s">
        <v>37945</v>
      </c>
      <c r="K9927" t="s">
        <v>41190</v>
      </c>
      <c r="M9927" t="s">
        <v>41725</v>
      </c>
      <c r="N9927" t="s">
        <v>45095</v>
      </c>
      <c r="O9927" t="s">
        <v>45096</v>
      </c>
      <c r="P9927">
        <v>0</v>
      </c>
      <c r="Q9927">
        <v>0</v>
      </c>
      <c r="R9927" t="s">
        <v>45107</v>
      </c>
      <c r="S9927" t="s">
        <v>45386</v>
      </c>
      <c r="T9927" t="s">
        <v>47177</v>
      </c>
      <c r="U9927" t="s">
        <v>47916</v>
      </c>
      <c r="W9927" t="s">
        <v>41725</v>
      </c>
      <c r="X9927" t="s">
        <v>45108</v>
      </c>
    </row>
    <row r="9928" spans="1:24">
      <c r="A9928">
        <f>HYPERLINK("https://www.philgeps.gov.ph/GEPSNONPILOT/Tender/SplashBidNoticeAbstractUI.aspx?menuIndex=3&amp;refID=7030634&amp;Result=3","7030634")</f>
        <v>0</v>
      </c>
      <c r="B9928" t="s">
        <v>1588</v>
      </c>
      <c r="C9928" t="s">
        <v>12659</v>
      </c>
      <c r="D9928" t="s">
        <v>18079</v>
      </c>
      <c r="E9928" t="s">
        <v>26759</v>
      </c>
      <c r="F9928" t="s">
        <v>31574</v>
      </c>
      <c r="G9928" t="s">
        <v>31582</v>
      </c>
      <c r="H9928" t="s">
        <v>31591</v>
      </c>
      <c r="I9928" t="s">
        <v>8822</v>
      </c>
      <c r="J9928" t="s">
        <v>37946</v>
      </c>
      <c r="K9928" t="s">
        <v>41189</v>
      </c>
      <c r="M9928" t="s">
        <v>43192</v>
      </c>
      <c r="N9928" t="s">
        <v>45095</v>
      </c>
      <c r="O9928" t="s">
        <v>45096</v>
      </c>
      <c r="P9928">
        <v>0</v>
      </c>
      <c r="Q9928">
        <v>3</v>
      </c>
      <c r="R9928" t="s">
        <v>45107</v>
      </c>
      <c r="S9928" t="s">
        <v>45386</v>
      </c>
      <c r="T9928" t="s">
        <v>47097</v>
      </c>
      <c r="U9928" t="s">
        <v>55679</v>
      </c>
      <c r="W9928" t="s">
        <v>43192</v>
      </c>
      <c r="X9928" t="s">
        <v>45108</v>
      </c>
    </row>
    <row r="9929" spans="1:24">
      <c r="A9929">
        <f>HYPERLINK("https://www.philgeps.gov.ph/GEPSNONPILOT/Tender/SplashBidNoticeAbstractUI.aspx?menuIndex=3&amp;refID=7030647&amp;Result=3","7030647")</f>
        <v>0</v>
      </c>
      <c r="B9929" t="s">
        <v>2669</v>
      </c>
      <c r="C9929" t="s">
        <v>12660</v>
      </c>
      <c r="D9929" t="s">
        <v>18037</v>
      </c>
      <c r="E9929" t="s">
        <v>26760</v>
      </c>
      <c r="F9929" t="s">
        <v>31574</v>
      </c>
      <c r="G9929" t="s">
        <v>31582</v>
      </c>
      <c r="H9929" t="s">
        <v>31590</v>
      </c>
      <c r="I9929" t="s">
        <v>4327</v>
      </c>
      <c r="J9929" t="s">
        <v>32026</v>
      </c>
      <c r="K9929" t="s">
        <v>41186</v>
      </c>
      <c r="M9929" t="s">
        <v>44430</v>
      </c>
      <c r="N9929" t="s">
        <v>45095</v>
      </c>
      <c r="O9929" t="s">
        <v>45096</v>
      </c>
      <c r="P9929">
        <v>0</v>
      </c>
      <c r="Q9929">
        <v>1</v>
      </c>
      <c r="R9929" t="s">
        <v>45107</v>
      </c>
      <c r="S9929" t="s">
        <v>45386</v>
      </c>
      <c r="T9929" t="s">
        <v>47371</v>
      </c>
      <c r="U9929" t="s">
        <v>55692</v>
      </c>
      <c r="W9929" t="s">
        <v>44430</v>
      </c>
      <c r="X9929" t="s">
        <v>45108</v>
      </c>
    </row>
    <row r="9930" spans="1:24">
      <c r="A9930">
        <f>HYPERLINK("https://www.philgeps.gov.ph/GEPSNONPILOT/Tender/SplashBidNoticeAbstractUI.aspx?menuIndex=3&amp;refID=7030637&amp;Result=3","7030637")</f>
        <v>0</v>
      </c>
      <c r="B9930" t="s">
        <v>994</v>
      </c>
      <c r="C9930" t="s">
        <v>12661</v>
      </c>
      <c r="D9930" t="s">
        <v>18048</v>
      </c>
      <c r="E9930" t="s">
        <v>26761</v>
      </c>
      <c r="F9930" t="s">
        <v>31574</v>
      </c>
      <c r="G9930" t="s">
        <v>31581</v>
      </c>
      <c r="H9930" t="s">
        <v>31590</v>
      </c>
      <c r="I9930" t="s">
        <v>4046</v>
      </c>
      <c r="J9930" t="s">
        <v>37947</v>
      </c>
      <c r="K9930" t="s">
        <v>41193</v>
      </c>
      <c r="L9930" t="s">
        <v>994</v>
      </c>
      <c r="M9930" t="s">
        <v>42530</v>
      </c>
      <c r="N9930" t="s">
        <v>45095</v>
      </c>
      <c r="O9930" t="s">
        <v>45096</v>
      </c>
      <c r="P9930">
        <v>0</v>
      </c>
      <c r="Q9930">
        <v>0</v>
      </c>
      <c r="R9930" t="s">
        <v>45107</v>
      </c>
      <c r="S9930" t="s">
        <v>45386</v>
      </c>
      <c r="T9930" t="s">
        <v>46949</v>
      </c>
      <c r="U9930" t="s">
        <v>55693</v>
      </c>
      <c r="V9930" t="s">
        <v>60107</v>
      </c>
      <c r="W9930" t="s">
        <v>42530</v>
      </c>
      <c r="X9930" t="s">
        <v>45108</v>
      </c>
    </row>
    <row r="9931" spans="1:24">
      <c r="A9931">
        <f>HYPERLINK("https://www.philgeps.gov.ph/GEPSNONPILOT/Tender/SplashBidNoticeAbstractUI.aspx?menuIndex=3&amp;refID=7030641&amp;Result=3","7030641")</f>
        <v>0</v>
      </c>
      <c r="B9931" t="s">
        <v>239</v>
      </c>
      <c r="C9931" t="s">
        <v>4582</v>
      </c>
      <c r="D9931" t="s">
        <v>18024</v>
      </c>
      <c r="E9931" t="s">
        <v>22902</v>
      </c>
      <c r="F9931" t="s">
        <v>31574</v>
      </c>
      <c r="G9931" t="s">
        <v>31582</v>
      </c>
      <c r="H9931" t="s">
        <v>31590</v>
      </c>
      <c r="I9931" t="s">
        <v>31603</v>
      </c>
      <c r="J9931" t="s">
        <v>32382</v>
      </c>
      <c r="K9931" t="s">
        <v>41190</v>
      </c>
      <c r="M9931" t="s">
        <v>41725</v>
      </c>
      <c r="N9931" t="s">
        <v>45095</v>
      </c>
      <c r="O9931" t="s">
        <v>45096</v>
      </c>
      <c r="P9931">
        <v>0</v>
      </c>
      <c r="Q9931">
        <v>2</v>
      </c>
      <c r="R9931" t="s">
        <v>45107</v>
      </c>
      <c r="S9931" t="s">
        <v>45386</v>
      </c>
      <c r="T9931" t="s">
        <v>47177</v>
      </c>
      <c r="U9931" t="s">
        <v>48717</v>
      </c>
      <c r="W9931" t="s">
        <v>41725</v>
      </c>
      <c r="X9931" t="s">
        <v>45108</v>
      </c>
    </row>
    <row r="9932" spans="1:24">
      <c r="A9932">
        <f>HYPERLINK("https://www.philgeps.gov.ph/GEPSNONPILOT/Tender/SplashBidNoticeAbstractUI.aspx?menuIndex=3&amp;refID=7030691&amp;Result=3","7030691")</f>
        <v>0</v>
      </c>
      <c r="B9932" t="s">
        <v>1383</v>
      </c>
      <c r="C9932" t="s">
        <v>12662</v>
      </c>
      <c r="D9932" t="s">
        <v>18070</v>
      </c>
      <c r="E9932" t="s">
        <v>20421</v>
      </c>
      <c r="F9932" t="s">
        <v>31574</v>
      </c>
      <c r="G9932" t="s">
        <v>31582</v>
      </c>
      <c r="H9932" t="s">
        <v>31591</v>
      </c>
      <c r="I9932" t="s">
        <v>8822</v>
      </c>
      <c r="J9932" t="s">
        <v>31844</v>
      </c>
      <c r="K9932" t="s">
        <v>41184</v>
      </c>
      <c r="M9932" t="s">
        <v>42957</v>
      </c>
      <c r="N9932" t="s">
        <v>45095</v>
      </c>
      <c r="O9932" t="s">
        <v>45096</v>
      </c>
      <c r="P9932">
        <v>0</v>
      </c>
      <c r="Q9932">
        <v>0</v>
      </c>
      <c r="R9932" t="s">
        <v>45107</v>
      </c>
      <c r="S9932" t="s">
        <v>45386</v>
      </c>
      <c r="T9932" t="s">
        <v>47019</v>
      </c>
      <c r="U9932" t="s">
        <v>50816</v>
      </c>
      <c r="W9932" t="s">
        <v>42957</v>
      </c>
      <c r="X9932" t="s">
        <v>45108</v>
      </c>
    </row>
    <row r="9933" spans="1:24">
      <c r="A9933">
        <f>HYPERLINK("https://www.philgeps.gov.ph/GEPSNONPILOT/Tender/SplashBidNoticeAbstractUI.aspx?menuIndex=3&amp;refID=7030718&amp;Result=3","7030718")</f>
        <v>0</v>
      </c>
      <c r="B9933" t="s">
        <v>124</v>
      </c>
      <c r="C9933" t="s">
        <v>12663</v>
      </c>
      <c r="D9933" t="s">
        <v>18065</v>
      </c>
      <c r="E9933" t="s">
        <v>26762</v>
      </c>
      <c r="F9933" t="s">
        <v>31574</v>
      </c>
      <c r="G9933" t="s">
        <v>31582</v>
      </c>
      <c r="H9933" t="s">
        <v>31590</v>
      </c>
      <c r="I9933" t="s">
        <v>31639</v>
      </c>
      <c r="J9933" t="s">
        <v>31741</v>
      </c>
      <c r="K9933" t="s">
        <v>41184</v>
      </c>
      <c r="M9933" t="s">
        <v>42125</v>
      </c>
      <c r="N9933" t="s">
        <v>45095</v>
      </c>
      <c r="O9933" t="s">
        <v>45096</v>
      </c>
      <c r="Q9933">
        <v>1</v>
      </c>
      <c r="R9933" t="s">
        <v>45107</v>
      </c>
      <c r="S9933" t="s">
        <v>45394</v>
      </c>
      <c r="T9933" t="s">
        <v>47176</v>
      </c>
      <c r="U9933" t="s">
        <v>55694</v>
      </c>
      <c r="W9933" t="s">
        <v>42125</v>
      </c>
      <c r="X9933" t="s">
        <v>45108</v>
      </c>
    </row>
    <row r="9934" spans="1:24">
      <c r="A9934">
        <f>HYPERLINK("https://www.philgeps.gov.ph/GEPSNONPILOT/Tender/SplashBidNoticeAbstractUI.aspx?menuIndex=3&amp;refID=7030728&amp;Result=3","7030728")</f>
        <v>0</v>
      </c>
      <c r="B9934" t="s">
        <v>124</v>
      </c>
      <c r="C9934" t="s">
        <v>12664</v>
      </c>
      <c r="D9934" t="s">
        <v>18065</v>
      </c>
      <c r="E9934" t="s">
        <v>26763</v>
      </c>
      <c r="F9934" t="s">
        <v>31574</v>
      </c>
      <c r="G9934" t="s">
        <v>31582</v>
      </c>
      <c r="H9934" t="s">
        <v>31590</v>
      </c>
      <c r="I9934" t="s">
        <v>31636</v>
      </c>
      <c r="J9934" t="s">
        <v>31727</v>
      </c>
      <c r="K9934" t="s">
        <v>41184</v>
      </c>
      <c r="M9934" t="s">
        <v>42125</v>
      </c>
      <c r="N9934" t="s">
        <v>45095</v>
      </c>
      <c r="O9934" t="s">
        <v>45096</v>
      </c>
      <c r="Q9934">
        <v>2</v>
      </c>
      <c r="R9934" t="s">
        <v>45107</v>
      </c>
      <c r="S9934" t="s">
        <v>45395</v>
      </c>
      <c r="T9934" t="s">
        <v>47176</v>
      </c>
      <c r="U9934" t="s">
        <v>55695</v>
      </c>
      <c r="W9934" t="s">
        <v>42125</v>
      </c>
      <c r="X9934" t="s">
        <v>45108</v>
      </c>
    </row>
    <row r="9935" spans="1:24">
      <c r="A9935">
        <f>HYPERLINK("https://www.philgeps.gov.ph/GEPSNONPILOT/Tender/SplashBidNoticeAbstractUI.aspx?menuIndex=3&amp;refID=7030686&amp;Result=3","7030686")</f>
        <v>0</v>
      </c>
      <c r="B9935" t="s">
        <v>721</v>
      </c>
      <c r="C9935" t="s">
        <v>12665</v>
      </c>
      <c r="D9935" t="s">
        <v>18041</v>
      </c>
      <c r="E9935" t="s">
        <v>26764</v>
      </c>
      <c r="F9935" t="s">
        <v>31574</v>
      </c>
      <c r="G9935" t="s">
        <v>31582</v>
      </c>
      <c r="H9935" t="s">
        <v>31590</v>
      </c>
      <c r="I9935" t="s">
        <v>31705</v>
      </c>
      <c r="J9935" t="s">
        <v>34454</v>
      </c>
      <c r="K9935" t="s">
        <v>41192</v>
      </c>
      <c r="M9935" t="s">
        <v>44436</v>
      </c>
      <c r="N9935" t="s">
        <v>45095</v>
      </c>
      <c r="O9935" t="s">
        <v>45096</v>
      </c>
      <c r="P9935">
        <v>0</v>
      </c>
      <c r="Q9935">
        <v>5</v>
      </c>
      <c r="R9935" t="s">
        <v>45107</v>
      </c>
      <c r="S9935" t="s">
        <v>45386</v>
      </c>
      <c r="T9935" t="s">
        <v>47135</v>
      </c>
      <c r="U9935" t="s">
        <v>55696</v>
      </c>
      <c r="V9935" t="s">
        <v>60892</v>
      </c>
      <c r="W9935" t="s">
        <v>44436</v>
      </c>
      <c r="X9935" t="s">
        <v>45108</v>
      </c>
    </row>
    <row r="9936" spans="1:24">
      <c r="A9936">
        <f>HYPERLINK("https://www.philgeps.gov.ph/GEPSNONPILOT/Tender/SplashBidNoticeAbstractUI.aspx?menuIndex=3&amp;refID=7030719&amp;Result=3","7030719")</f>
        <v>0</v>
      </c>
      <c r="B9936" t="s">
        <v>1846</v>
      </c>
      <c r="C9936" t="s">
        <v>12666</v>
      </c>
      <c r="D9936" t="s">
        <v>18066</v>
      </c>
      <c r="E9936" t="s">
        <v>19368</v>
      </c>
      <c r="F9936" t="s">
        <v>31574</v>
      </c>
      <c r="G9936" t="s">
        <v>31582</v>
      </c>
      <c r="H9936" t="s">
        <v>31591</v>
      </c>
      <c r="I9936" t="s">
        <v>8822</v>
      </c>
      <c r="J9936" t="s">
        <v>32026</v>
      </c>
      <c r="K9936" t="s">
        <v>41192</v>
      </c>
      <c r="M9936" t="s">
        <v>43484</v>
      </c>
      <c r="N9936" t="s">
        <v>45095</v>
      </c>
      <c r="O9936" t="s">
        <v>45096</v>
      </c>
      <c r="P9936">
        <v>0</v>
      </c>
      <c r="Q9936">
        <v>1</v>
      </c>
      <c r="R9936" t="s">
        <v>45107</v>
      </c>
      <c r="S9936" t="s">
        <v>45386</v>
      </c>
      <c r="T9936" t="s">
        <v>46926</v>
      </c>
      <c r="U9936" t="s">
        <v>55697</v>
      </c>
      <c r="W9936" t="s">
        <v>43484</v>
      </c>
      <c r="X9936" t="s">
        <v>45108</v>
      </c>
    </row>
    <row r="9937" spans="1:24">
      <c r="A9937">
        <f>HYPERLINK("https://www.philgeps.gov.ph/GEPSNONPILOT/Tender/SplashBidNoticeAbstractUI.aspx?menuIndex=3&amp;refID=7030722&amp;Result=3","7030722")</f>
        <v>0</v>
      </c>
      <c r="B9937" t="s">
        <v>2674</v>
      </c>
      <c r="C9937" t="s">
        <v>12667</v>
      </c>
      <c r="D9937" t="s">
        <v>18079</v>
      </c>
      <c r="E9937" t="s">
        <v>26765</v>
      </c>
      <c r="F9937" t="s">
        <v>31574</v>
      </c>
      <c r="G9937" t="s">
        <v>31582</v>
      </c>
      <c r="H9937" t="s">
        <v>31590</v>
      </c>
      <c r="I9937" t="s">
        <v>31654</v>
      </c>
      <c r="J9937" t="s">
        <v>36929</v>
      </c>
      <c r="K9937" t="s">
        <v>41186</v>
      </c>
      <c r="M9937" t="s">
        <v>44437</v>
      </c>
      <c r="N9937" t="s">
        <v>45095</v>
      </c>
      <c r="O9937" t="s">
        <v>45096</v>
      </c>
      <c r="P9937">
        <v>0</v>
      </c>
      <c r="Q9937">
        <v>4</v>
      </c>
      <c r="R9937" t="s">
        <v>45107</v>
      </c>
      <c r="S9937" t="s">
        <v>45386</v>
      </c>
      <c r="T9937" t="s">
        <v>47166</v>
      </c>
      <c r="U9937" t="s">
        <v>55698</v>
      </c>
      <c r="W9937" t="s">
        <v>44437</v>
      </c>
      <c r="X9937" t="s">
        <v>45108</v>
      </c>
    </row>
    <row r="9938" spans="1:24">
      <c r="A9938">
        <f>HYPERLINK("https://www.philgeps.gov.ph/GEPSNONPILOT/Tender/SplashBidNoticeAbstractUI.aspx?menuIndex=3&amp;refID=7030715&amp;Result=3","7030715")</f>
        <v>0</v>
      </c>
      <c r="B9938" t="s">
        <v>1692</v>
      </c>
      <c r="C9938" t="s">
        <v>12668</v>
      </c>
      <c r="D9938" t="s">
        <v>18037</v>
      </c>
      <c r="E9938" t="s">
        <v>26766</v>
      </c>
      <c r="F9938" t="s">
        <v>31574</v>
      </c>
      <c r="G9938" t="s">
        <v>31582</v>
      </c>
      <c r="H9938" t="s">
        <v>31590</v>
      </c>
      <c r="I9938" t="s">
        <v>4046</v>
      </c>
      <c r="J9938" t="s">
        <v>37948</v>
      </c>
      <c r="K9938" t="s">
        <v>41196</v>
      </c>
      <c r="M9938" t="s">
        <v>43306</v>
      </c>
      <c r="N9938" t="s">
        <v>45095</v>
      </c>
      <c r="O9938" t="s">
        <v>45096</v>
      </c>
      <c r="P9938">
        <v>0</v>
      </c>
      <c r="Q9938">
        <v>1</v>
      </c>
      <c r="R9938" t="s">
        <v>45107</v>
      </c>
      <c r="S9938" t="s">
        <v>45386</v>
      </c>
      <c r="T9938" t="s">
        <v>47368</v>
      </c>
      <c r="U9938" t="s">
        <v>55699</v>
      </c>
      <c r="W9938" t="s">
        <v>43306</v>
      </c>
      <c r="X9938" t="s">
        <v>45108</v>
      </c>
    </row>
    <row r="9939" spans="1:24">
      <c r="A9939">
        <f>HYPERLINK("https://www.philgeps.gov.ph/GEPSNONPILOT/Tender/SplashBidNoticeAbstractUI.aspx?menuIndex=3&amp;refID=7030732&amp;Result=3","7030732")</f>
        <v>0</v>
      </c>
      <c r="B9939" t="s">
        <v>2674</v>
      </c>
      <c r="C9939" t="s">
        <v>12669</v>
      </c>
      <c r="D9939" t="s">
        <v>18079</v>
      </c>
      <c r="E9939" t="s">
        <v>26767</v>
      </c>
      <c r="F9939" t="s">
        <v>31574</v>
      </c>
      <c r="G9939" t="s">
        <v>31582</v>
      </c>
      <c r="H9939" t="s">
        <v>31590</v>
      </c>
      <c r="I9939" t="s">
        <v>31654</v>
      </c>
      <c r="J9939" t="s">
        <v>37949</v>
      </c>
      <c r="K9939" t="s">
        <v>41192</v>
      </c>
      <c r="M9939" t="s">
        <v>44437</v>
      </c>
      <c r="N9939" t="s">
        <v>45095</v>
      </c>
      <c r="O9939" t="s">
        <v>45096</v>
      </c>
      <c r="P9939">
        <v>0</v>
      </c>
      <c r="Q9939">
        <v>5</v>
      </c>
      <c r="R9939" t="s">
        <v>45107</v>
      </c>
      <c r="S9939" t="s">
        <v>45386</v>
      </c>
      <c r="T9939" t="s">
        <v>47166</v>
      </c>
      <c r="U9939" t="s">
        <v>55700</v>
      </c>
      <c r="W9939" t="s">
        <v>44437</v>
      </c>
      <c r="X9939" t="s">
        <v>45108</v>
      </c>
    </row>
    <row r="9940" spans="1:24">
      <c r="A9940">
        <f>HYPERLINK("https://www.philgeps.gov.ph/GEPSNONPILOT/Tender/SplashBidNoticeAbstractUI.aspx?menuIndex=3&amp;refID=7030708&amp;Result=3","7030708")</f>
        <v>0</v>
      </c>
      <c r="B9940" t="s">
        <v>1383</v>
      </c>
      <c r="C9940" t="s">
        <v>12670</v>
      </c>
      <c r="D9940" t="s">
        <v>18070</v>
      </c>
      <c r="E9940" t="s">
        <v>19881</v>
      </c>
      <c r="F9940" t="s">
        <v>31574</v>
      </c>
      <c r="G9940" t="s">
        <v>31582</v>
      </c>
      <c r="H9940" t="s">
        <v>31590</v>
      </c>
      <c r="I9940" t="s">
        <v>4046</v>
      </c>
      <c r="J9940" t="s">
        <v>32026</v>
      </c>
      <c r="K9940" t="s">
        <v>41184</v>
      </c>
      <c r="M9940" t="s">
        <v>42957</v>
      </c>
      <c r="N9940" t="s">
        <v>45095</v>
      </c>
      <c r="O9940" t="s">
        <v>45096</v>
      </c>
      <c r="P9940">
        <v>0</v>
      </c>
      <c r="Q9940">
        <v>0</v>
      </c>
      <c r="R9940" t="s">
        <v>45107</v>
      </c>
      <c r="S9940" t="s">
        <v>45386</v>
      </c>
      <c r="T9940" t="s">
        <v>46920</v>
      </c>
      <c r="U9940" t="s">
        <v>50816</v>
      </c>
      <c r="W9940" t="s">
        <v>42957</v>
      </c>
      <c r="X9940" t="s">
        <v>45108</v>
      </c>
    </row>
    <row r="9941" spans="1:24">
      <c r="A9941">
        <f>HYPERLINK("https://www.philgeps.gov.ph/GEPSNONPILOT/Tender/SplashBidNoticeAbstractUI.aspx?menuIndex=3&amp;refID=7030750&amp;Result=3","7030750")</f>
        <v>0</v>
      </c>
      <c r="B9941" t="s">
        <v>124</v>
      </c>
      <c r="C9941" t="s">
        <v>12671</v>
      </c>
      <c r="D9941" t="s">
        <v>18065</v>
      </c>
      <c r="E9941" t="s">
        <v>26768</v>
      </c>
      <c r="F9941" t="s">
        <v>31574</v>
      </c>
      <c r="G9941" t="s">
        <v>31582</v>
      </c>
      <c r="H9941" t="s">
        <v>31590</v>
      </c>
      <c r="I9941" t="s">
        <v>31619</v>
      </c>
      <c r="J9941" t="s">
        <v>37950</v>
      </c>
      <c r="K9941" t="s">
        <v>41184</v>
      </c>
      <c r="M9941" t="s">
        <v>42125</v>
      </c>
      <c r="N9941" t="s">
        <v>45095</v>
      </c>
      <c r="O9941" t="s">
        <v>45096</v>
      </c>
      <c r="Q9941">
        <v>4</v>
      </c>
      <c r="R9941" t="s">
        <v>45107</v>
      </c>
      <c r="S9941" t="s">
        <v>45396</v>
      </c>
      <c r="T9941" t="s">
        <v>47176</v>
      </c>
      <c r="U9941" t="s">
        <v>55701</v>
      </c>
      <c r="W9941" t="s">
        <v>42125</v>
      </c>
      <c r="X9941" t="s">
        <v>45108</v>
      </c>
    </row>
    <row r="9942" spans="1:24">
      <c r="A9942">
        <f>HYPERLINK("https://www.philgeps.gov.ph/GEPSNONPILOT/Tender/SplashBidNoticeAbstractUI.aspx?menuIndex=3&amp;refID=7030740&amp;Result=3","7030740")</f>
        <v>0</v>
      </c>
      <c r="B9942" t="s">
        <v>2674</v>
      </c>
      <c r="C9942" t="s">
        <v>12672</v>
      </c>
      <c r="D9942" t="s">
        <v>18079</v>
      </c>
      <c r="E9942" t="s">
        <v>26769</v>
      </c>
      <c r="F9942" t="s">
        <v>31574</v>
      </c>
      <c r="G9942" t="s">
        <v>31582</v>
      </c>
      <c r="H9942" t="s">
        <v>31590</v>
      </c>
      <c r="I9942" t="s">
        <v>31644</v>
      </c>
      <c r="J9942" t="s">
        <v>37951</v>
      </c>
      <c r="K9942" t="s">
        <v>41189</v>
      </c>
      <c r="M9942" t="s">
        <v>44437</v>
      </c>
      <c r="N9942" t="s">
        <v>45095</v>
      </c>
      <c r="O9942" t="s">
        <v>45096</v>
      </c>
      <c r="P9942">
        <v>0</v>
      </c>
      <c r="Q9942">
        <v>6</v>
      </c>
      <c r="R9942" t="s">
        <v>45107</v>
      </c>
      <c r="S9942" t="s">
        <v>45386</v>
      </c>
      <c r="T9942" t="s">
        <v>47166</v>
      </c>
      <c r="U9942" t="s">
        <v>55702</v>
      </c>
      <c r="W9942" t="s">
        <v>44437</v>
      </c>
      <c r="X9942" t="s">
        <v>45108</v>
      </c>
    </row>
    <row r="9943" spans="1:24">
      <c r="A9943">
        <f>HYPERLINK("https://www.philgeps.gov.ph/GEPSNONPILOT/Tender/SplashBidNoticeAbstractUI.aspx?menuIndex=3&amp;refID=7030836&amp;Result=3","7030836")</f>
        <v>0</v>
      </c>
      <c r="B9943" t="s">
        <v>450</v>
      </c>
      <c r="C9943" t="s">
        <v>12673</v>
      </c>
      <c r="D9943" t="s">
        <v>18039</v>
      </c>
      <c r="E9943" t="s">
        <v>26770</v>
      </c>
      <c r="F9943" t="s">
        <v>31574</v>
      </c>
      <c r="G9943" t="s">
        <v>31583</v>
      </c>
      <c r="H9943" t="s">
        <v>31590</v>
      </c>
      <c r="I9943" t="s">
        <v>31598</v>
      </c>
      <c r="J9943" t="s">
        <v>31782</v>
      </c>
      <c r="K9943" t="s">
        <v>41186</v>
      </c>
      <c r="M9943" t="s">
        <v>44089</v>
      </c>
      <c r="N9943" t="s">
        <v>45095</v>
      </c>
      <c r="O9943" t="s">
        <v>45096</v>
      </c>
      <c r="P9943">
        <v>0</v>
      </c>
      <c r="Q9943">
        <v>6</v>
      </c>
      <c r="R9943" t="s">
        <v>45107</v>
      </c>
      <c r="S9943" t="s">
        <v>45386</v>
      </c>
      <c r="T9943" t="s">
        <v>46918</v>
      </c>
      <c r="U9943" t="s">
        <v>54496</v>
      </c>
      <c r="W9943" t="s">
        <v>61737</v>
      </c>
      <c r="X9943" t="s">
        <v>45108</v>
      </c>
    </row>
    <row r="9944" spans="1:24">
      <c r="A9944">
        <f>HYPERLINK("https://www.philgeps.gov.ph/GEPSNONPILOT/Tender/SplashBidNoticeAbstractUI.aspx?menuIndex=3&amp;refID=7030752&amp;Result=3","7030752")</f>
        <v>0</v>
      </c>
      <c r="B9944" t="s">
        <v>2674</v>
      </c>
      <c r="C9944" t="s">
        <v>12674</v>
      </c>
      <c r="D9944" t="s">
        <v>18079</v>
      </c>
      <c r="E9944" t="s">
        <v>26771</v>
      </c>
      <c r="F9944" t="s">
        <v>31574</v>
      </c>
      <c r="G9944" t="s">
        <v>31582</v>
      </c>
      <c r="H9944" t="s">
        <v>31590</v>
      </c>
      <c r="I9944" t="s">
        <v>31654</v>
      </c>
      <c r="J9944" t="s">
        <v>32325</v>
      </c>
      <c r="K9944" t="s">
        <v>41186</v>
      </c>
      <c r="M9944" t="s">
        <v>44437</v>
      </c>
      <c r="N9944" t="s">
        <v>45095</v>
      </c>
      <c r="O9944" t="s">
        <v>45096</v>
      </c>
      <c r="P9944">
        <v>0</v>
      </c>
      <c r="Q9944">
        <v>2</v>
      </c>
      <c r="R9944" t="s">
        <v>45107</v>
      </c>
      <c r="S9944" t="s">
        <v>45386</v>
      </c>
      <c r="T9944" t="s">
        <v>47166</v>
      </c>
      <c r="U9944" t="s">
        <v>55703</v>
      </c>
      <c r="W9944" t="s">
        <v>44437</v>
      </c>
      <c r="X9944" t="s">
        <v>45108</v>
      </c>
    </row>
    <row r="9945" spans="1:24">
      <c r="A9945">
        <f>HYPERLINK("https://www.philgeps.gov.ph/GEPSNONPILOT/Tender/SplashBidNoticeAbstractUI.aspx?menuIndex=3&amp;refID=7030717&amp;Result=3","7030717")</f>
        <v>0</v>
      </c>
      <c r="B9945" t="s">
        <v>124</v>
      </c>
      <c r="C9945" t="s">
        <v>12675</v>
      </c>
      <c r="D9945" t="s">
        <v>18065</v>
      </c>
      <c r="E9945" t="s">
        <v>26772</v>
      </c>
      <c r="F9945" t="s">
        <v>31574</v>
      </c>
      <c r="G9945" t="s">
        <v>31582</v>
      </c>
      <c r="H9945" t="s">
        <v>31590</v>
      </c>
      <c r="I9945" t="s">
        <v>31612</v>
      </c>
      <c r="J9945" t="s">
        <v>37952</v>
      </c>
      <c r="K9945" t="s">
        <v>41184</v>
      </c>
      <c r="M9945" t="s">
        <v>42125</v>
      </c>
      <c r="N9945" t="s">
        <v>45095</v>
      </c>
      <c r="O9945" t="s">
        <v>45096</v>
      </c>
      <c r="Q9945">
        <v>3</v>
      </c>
      <c r="R9945" t="s">
        <v>45107</v>
      </c>
      <c r="S9945" t="s">
        <v>45397</v>
      </c>
      <c r="T9945" t="s">
        <v>47176</v>
      </c>
      <c r="U9945" t="s">
        <v>55704</v>
      </c>
      <c r="W9945" t="s">
        <v>42125</v>
      </c>
      <c r="X9945" t="s">
        <v>45108</v>
      </c>
    </row>
    <row r="9946" spans="1:24">
      <c r="A9946">
        <f>HYPERLINK("https://www.philgeps.gov.ph/GEPSNONPILOT/Tender/SplashBidNoticeAbstractUI.aspx?menuIndex=3&amp;refID=7030745&amp;Result=3","7030745")</f>
        <v>0</v>
      </c>
      <c r="B9946" t="s">
        <v>2675</v>
      </c>
      <c r="C9946" t="s">
        <v>12676</v>
      </c>
      <c r="D9946" t="s">
        <v>18023</v>
      </c>
      <c r="E9946" t="s">
        <v>26773</v>
      </c>
      <c r="F9946" t="s">
        <v>31574</v>
      </c>
      <c r="G9946" t="s">
        <v>31582</v>
      </c>
      <c r="H9946" t="s">
        <v>31591</v>
      </c>
      <c r="I9946" t="s">
        <v>8822</v>
      </c>
      <c r="J9946" t="s">
        <v>34483</v>
      </c>
      <c r="K9946" t="s">
        <v>41200</v>
      </c>
      <c r="M9946" t="s">
        <v>44438</v>
      </c>
      <c r="N9946" t="s">
        <v>45095</v>
      </c>
      <c r="O9946" t="s">
        <v>45096</v>
      </c>
      <c r="P9946">
        <v>0</v>
      </c>
      <c r="Q9946">
        <v>51</v>
      </c>
      <c r="R9946" t="s">
        <v>45107</v>
      </c>
      <c r="S9946" t="s">
        <v>45386</v>
      </c>
      <c r="T9946" t="s">
        <v>46932</v>
      </c>
      <c r="U9946" t="s">
        <v>55705</v>
      </c>
      <c r="W9946" t="s">
        <v>44438</v>
      </c>
      <c r="X9946" t="s">
        <v>45108</v>
      </c>
    </row>
    <row r="9947" spans="1:24">
      <c r="A9947">
        <f>HYPERLINK("https://www.philgeps.gov.ph/GEPSNONPILOT/Tender/SplashBidNoticeAbstractUI.aspx?menuIndex=3&amp;refID=7030810&amp;Result=3","7030810")</f>
        <v>0</v>
      </c>
      <c r="B9947" t="s">
        <v>2186</v>
      </c>
      <c r="C9947" t="s">
        <v>12677</v>
      </c>
      <c r="D9947" t="s">
        <v>18056</v>
      </c>
      <c r="E9947" t="s">
        <v>26774</v>
      </c>
      <c r="F9947" t="s">
        <v>31574</v>
      </c>
      <c r="G9947" t="s">
        <v>31582</v>
      </c>
      <c r="H9947" t="s">
        <v>31590</v>
      </c>
      <c r="I9947" t="s">
        <v>31620</v>
      </c>
      <c r="J9947" t="s">
        <v>32361</v>
      </c>
      <c r="K9947" t="s">
        <v>41192</v>
      </c>
      <c r="M9947" t="s">
        <v>43872</v>
      </c>
      <c r="N9947" t="s">
        <v>45095</v>
      </c>
      <c r="O9947" t="s">
        <v>45096</v>
      </c>
      <c r="P9947">
        <v>0</v>
      </c>
      <c r="Q9947">
        <v>10</v>
      </c>
      <c r="R9947" t="s">
        <v>45107</v>
      </c>
      <c r="S9947" t="s">
        <v>45386</v>
      </c>
      <c r="T9947" t="s">
        <v>47000</v>
      </c>
      <c r="U9947" t="s">
        <v>55706</v>
      </c>
      <c r="W9947" t="s">
        <v>43872</v>
      </c>
      <c r="X9947" t="s">
        <v>45108</v>
      </c>
    </row>
    <row r="9948" spans="1:24">
      <c r="A9948">
        <f>HYPERLINK("https://www.philgeps.gov.ph/GEPSNONPILOT/Tender/SplashBidNoticeAbstractUI.aspx?menuIndex=3&amp;refID=7030834&amp;Result=3","7030834")</f>
        <v>0</v>
      </c>
      <c r="B9948" t="s">
        <v>873</v>
      </c>
      <c r="C9948" t="s">
        <v>12678</v>
      </c>
      <c r="D9948" t="s">
        <v>18044</v>
      </c>
      <c r="E9948" t="s">
        <v>26775</v>
      </c>
      <c r="F9948" t="s">
        <v>31574</v>
      </c>
      <c r="G9948" t="s">
        <v>31588</v>
      </c>
      <c r="H9948" t="s">
        <v>31593</v>
      </c>
      <c r="I9948" t="s">
        <v>31593</v>
      </c>
      <c r="J9948" t="s">
        <v>37953</v>
      </c>
      <c r="K9948" t="s">
        <v>41198</v>
      </c>
      <c r="M9948" t="s">
        <v>44439</v>
      </c>
      <c r="N9948" t="s">
        <v>45095</v>
      </c>
      <c r="O9948" t="s">
        <v>45096</v>
      </c>
      <c r="P9948">
        <v>0</v>
      </c>
      <c r="Q9948">
        <v>2</v>
      </c>
      <c r="R9948" t="s">
        <v>45107</v>
      </c>
      <c r="S9948" t="s">
        <v>45386</v>
      </c>
      <c r="T9948" t="s">
        <v>47154</v>
      </c>
      <c r="U9948" t="s">
        <v>55707</v>
      </c>
      <c r="V9948" t="s">
        <v>60893</v>
      </c>
      <c r="W9948" t="s">
        <v>44439</v>
      </c>
      <c r="X9948" t="s">
        <v>45108</v>
      </c>
    </row>
    <row r="9949" spans="1:24">
      <c r="A9949">
        <f>HYPERLINK("https://www.philgeps.gov.ph/GEPSNONPILOT/Tender/SplashBidNoticeAbstractUI.aspx?menuIndex=3&amp;refID=7030709&amp;Result=3","7030709")</f>
        <v>0</v>
      </c>
      <c r="B9949" t="s">
        <v>124</v>
      </c>
      <c r="C9949" t="s">
        <v>12679</v>
      </c>
      <c r="D9949" t="s">
        <v>18065</v>
      </c>
      <c r="E9949" t="s">
        <v>26776</v>
      </c>
      <c r="F9949" t="s">
        <v>31574</v>
      </c>
      <c r="G9949" t="s">
        <v>31582</v>
      </c>
      <c r="H9949" t="s">
        <v>31590</v>
      </c>
      <c r="I9949" t="s">
        <v>31608</v>
      </c>
      <c r="J9949" t="s">
        <v>37954</v>
      </c>
      <c r="K9949" t="s">
        <v>41184</v>
      </c>
      <c r="M9949" t="s">
        <v>42125</v>
      </c>
      <c r="N9949" t="s">
        <v>45095</v>
      </c>
      <c r="O9949" t="s">
        <v>45096</v>
      </c>
      <c r="Q9949">
        <v>4</v>
      </c>
      <c r="R9949" t="s">
        <v>45107</v>
      </c>
      <c r="S9949" t="s">
        <v>45398</v>
      </c>
      <c r="T9949" t="s">
        <v>47176</v>
      </c>
      <c r="U9949" t="s">
        <v>55708</v>
      </c>
      <c r="W9949" t="s">
        <v>42125</v>
      </c>
      <c r="X9949" t="s">
        <v>45108</v>
      </c>
    </row>
    <row r="9950" spans="1:24">
      <c r="A9950">
        <f>HYPERLINK("https://www.philgeps.gov.ph/GEPSNONPILOT/Tender/SplashBidNoticeAbstractUI.aspx?menuIndex=3&amp;refID=7030807&amp;Result=3","7030807")</f>
        <v>0</v>
      </c>
      <c r="B9950" t="s">
        <v>2676</v>
      </c>
      <c r="C9950" t="s">
        <v>12680</v>
      </c>
      <c r="D9950" t="s">
        <v>18025</v>
      </c>
      <c r="E9950" t="s">
        <v>26007</v>
      </c>
      <c r="F9950" t="s">
        <v>31574</v>
      </c>
      <c r="G9950" t="s">
        <v>31582</v>
      </c>
      <c r="H9950" t="s">
        <v>31590</v>
      </c>
      <c r="I9950" t="s">
        <v>4046</v>
      </c>
      <c r="J9950" t="s">
        <v>37955</v>
      </c>
      <c r="K9950" t="s">
        <v>41190</v>
      </c>
      <c r="M9950" t="s">
        <v>44440</v>
      </c>
      <c r="N9950" t="s">
        <v>45095</v>
      </c>
      <c r="O9950" t="s">
        <v>45096</v>
      </c>
      <c r="P9950">
        <v>0</v>
      </c>
      <c r="Q9950">
        <v>2</v>
      </c>
      <c r="R9950" t="s">
        <v>45107</v>
      </c>
      <c r="S9950" t="s">
        <v>45386</v>
      </c>
      <c r="T9950" t="s">
        <v>47159</v>
      </c>
      <c r="U9950" t="s">
        <v>55709</v>
      </c>
      <c r="W9950" t="s">
        <v>44440</v>
      </c>
      <c r="X9950" t="s">
        <v>45108</v>
      </c>
    </row>
    <row r="9951" spans="1:24">
      <c r="A9951">
        <f>HYPERLINK("https://www.philgeps.gov.ph/GEPSNONPILOT/Tender/SplashBidNoticeAbstractUI.aspx?menuIndex=3&amp;refID=7030826&amp;Result=3","7030826")</f>
        <v>0</v>
      </c>
      <c r="B9951" t="s">
        <v>2677</v>
      </c>
      <c r="C9951" t="s">
        <v>12681</v>
      </c>
      <c r="D9951" t="s">
        <v>18033</v>
      </c>
      <c r="E9951" t="s">
        <v>26777</v>
      </c>
      <c r="F9951" t="s">
        <v>31574</v>
      </c>
      <c r="G9951" t="s">
        <v>31582</v>
      </c>
      <c r="H9951" t="s">
        <v>31590</v>
      </c>
      <c r="I9951" t="s">
        <v>4046</v>
      </c>
      <c r="J9951" t="s">
        <v>37956</v>
      </c>
      <c r="K9951" t="s">
        <v>41257</v>
      </c>
      <c r="M9951" t="s">
        <v>44441</v>
      </c>
      <c r="N9951" t="s">
        <v>45095</v>
      </c>
      <c r="O9951" t="s">
        <v>45096</v>
      </c>
      <c r="P9951">
        <v>0</v>
      </c>
      <c r="Q9951">
        <v>0</v>
      </c>
      <c r="R9951" t="s">
        <v>45107</v>
      </c>
      <c r="S9951" t="s">
        <v>45386</v>
      </c>
      <c r="T9951" t="s">
        <v>47372</v>
      </c>
      <c r="U9951" t="s">
        <v>55710</v>
      </c>
      <c r="V9951" t="s">
        <v>60894</v>
      </c>
      <c r="W9951" t="s">
        <v>44441</v>
      </c>
      <c r="X9951" t="s">
        <v>45108</v>
      </c>
    </row>
    <row r="9952" spans="1:24">
      <c r="A9952">
        <f>HYPERLINK("https://www.philgeps.gov.ph/GEPSNONPILOT/Tender/SplashBidNoticeAbstractUI.aspx?menuIndex=3&amp;refID=7030759&amp;Result=3","7030759")</f>
        <v>0</v>
      </c>
      <c r="B9952" t="s">
        <v>124</v>
      </c>
      <c r="C9952" t="s">
        <v>12682</v>
      </c>
      <c r="D9952" t="s">
        <v>18065</v>
      </c>
      <c r="E9952" t="s">
        <v>26778</v>
      </c>
      <c r="F9952" t="s">
        <v>31574</v>
      </c>
      <c r="G9952" t="s">
        <v>31582</v>
      </c>
      <c r="H9952" t="s">
        <v>31590</v>
      </c>
      <c r="I9952" t="s">
        <v>31621</v>
      </c>
      <c r="J9952" t="s">
        <v>32144</v>
      </c>
      <c r="K9952" t="s">
        <v>41184</v>
      </c>
      <c r="M9952" t="s">
        <v>42125</v>
      </c>
      <c r="N9952" t="s">
        <v>45095</v>
      </c>
      <c r="O9952" t="s">
        <v>45096</v>
      </c>
      <c r="Q9952">
        <v>2</v>
      </c>
      <c r="R9952" t="s">
        <v>45107</v>
      </c>
      <c r="S9952" t="s">
        <v>45399</v>
      </c>
      <c r="T9952" t="s">
        <v>47176</v>
      </c>
      <c r="U9952" t="s">
        <v>55711</v>
      </c>
      <c r="W9952" t="s">
        <v>42125</v>
      </c>
      <c r="X9952" t="s">
        <v>45108</v>
      </c>
    </row>
    <row r="9953" spans="1:24">
      <c r="A9953">
        <f>HYPERLINK("https://www.philgeps.gov.ph/GEPSNONPILOT/Tender/SplashBidNoticeAbstractUI.aspx?menuIndex=3&amp;refID=7030799&amp;Result=3","7030799")</f>
        <v>0</v>
      </c>
      <c r="B9953" t="s">
        <v>124</v>
      </c>
      <c r="C9953" t="s">
        <v>12683</v>
      </c>
      <c r="D9953" t="s">
        <v>18065</v>
      </c>
      <c r="E9953" t="s">
        <v>26779</v>
      </c>
      <c r="F9953" t="s">
        <v>31574</v>
      </c>
      <c r="G9953" t="s">
        <v>31582</v>
      </c>
      <c r="H9953" t="s">
        <v>31590</v>
      </c>
      <c r="I9953" t="s">
        <v>8258</v>
      </c>
      <c r="J9953" t="s">
        <v>37957</v>
      </c>
      <c r="K9953" t="s">
        <v>41184</v>
      </c>
      <c r="M9953" t="s">
        <v>42125</v>
      </c>
      <c r="N9953" t="s">
        <v>45095</v>
      </c>
      <c r="O9953" t="s">
        <v>45096</v>
      </c>
      <c r="Q9953">
        <v>10</v>
      </c>
      <c r="R9953" t="s">
        <v>45107</v>
      </c>
      <c r="S9953" t="s">
        <v>45400</v>
      </c>
      <c r="T9953" t="s">
        <v>47176</v>
      </c>
      <c r="U9953" t="s">
        <v>55712</v>
      </c>
      <c r="W9953" t="s">
        <v>42125</v>
      </c>
      <c r="X9953" t="s">
        <v>45108</v>
      </c>
    </row>
    <row r="9954" spans="1:24">
      <c r="A9954">
        <f>HYPERLINK("https://www.philgeps.gov.ph/GEPSNONPILOT/Tender/SplashBidNoticeAbstractUI.aspx?menuIndex=3&amp;refID=7030838&amp;Result=3","7030838")</f>
        <v>0</v>
      </c>
      <c r="B9954" t="s">
        <v>2489</v>
      </c>
      <c r="C9954" t="s">
        <v>12684</v>
      </c>
      <c r="D9954" t="s">
        <v>18055</v>
      </c>
      <c r="E9954" t="s">
        <v>26780</v>
      </c>
      <c r="F9954" t="s">
        <v>31574</v>
      </c>
      <c r="G9954" t="s">
        <v>31582</v>
      </c>
      <c r="H9954" t="s">
        <v>31591</v>
      </c>
      <c r="I9954" t="s">
        <v>8822</v>
      </c>
      <c r="J9954" t="s">
        <v>34360</v>
      </c>
      <c r="K9954" t="s">
        <v>41401</v>
      </c>
      <c r="L9954" t="s">
        <v>2489</v>
      </c>
      <c r="M9954" t="s">
        <v>44220</v>
      </c>
      <c r="N9954" t="s">
        <v>45095</v>
      </c>
      <c r="O9954" t="s">
        <v>45096</v>
      </c>
      <c r="P9954">
        <v>0</v>
      </c>
      <c r="Q9954">
        <v>15</v>
      </c>
      <c r="R9954" t="s">
        <v>45107</v>
      </c>
      <c r="S9954" t="s">
        <v>45386</v>
      </c>
      <c r="T9954" t="s">
        <v>47000</v>
      </c>
      <c r="U9954" t="s">
        <v>55713</v>
      </c>
      <c r="W9954" t="s">
        <v>44220</v>
      </c>
      <c r="X9954" t="s">
        <v>45108</v>
      </c>
    </row>
    <row r="9955" spans="1:24">
      <c r="A9955">
        <f>HYPERLINK("https://www.philgeps.gov.ph/GEPSNONPILOT/Tender/SplashBidNoticeAbstractUI.aspx?menuIndex=3&amp;refID=7030844&amp;Result=3","7030844")</f>
        <v>0</v>
      </c>
      <c r="B9955" t="s">
        <v>124</v>
      </c>
      <c r="C9955" t="s">
        <v>12685</v>
      </c>
      <c r="D9955" t="s">
        <v>18065</v>
      </c>
      <c r="E9955" t="s">
        <v>26781</v>
      </c>
      <c r="F9955" t="s">
        <v>31574</v>
      </c>
      <c r="G9955" t="s">
        <v>31582</v>
      </c>
      <c r="H9955" t="s">
        <v>31590</v>
      </c>
      <c r="I9955" t="s">
        <v>8056</v>
      </c>
      <c r="J9955" t="s">
        <v>32010</v>
      </c>
      <c r="K9955" t="s">
        <v>41184</v>
      </c>
      <c r="M9955" t="s">
        <v>42125</v>
      </c>
      <c r="N9955" t="s">
        <v>45095</v>
      </c>
      <c r="O9955" t="s">
        <v>45096</v>
      </c>
      <c r="Q9955">
        <v>2</v>
      </c>
      <c r="R9955" t="s">
        <v>45107</v>
      </c>
      <c r="S9955" t="s">
        <v>45401</v>
      </c>
      <c r="T9955" t="s">
        <v>47176</v>
      </c>
      <c r="U9955" t="s">
        <v>55714</v>
      </c>
      <c r="W9955" t="s">
        <v>42125</v>
      </c>
      <c r="X9955" t="s">
        <v>45108</v>
      </c>
    </row>
    <row r="9956" spans="1:24">
      <c r="A9956">
        <f>HYPERLINK("https://www.philgeps.gov.ph/GEPSNONPILOT/Tender/SplashBidNoticeAbstractUI.aspx?menuIndex=3&amp;refID=7030804&amp;Result=3","7030804")</f>
        <v>0</v>
      </c>
      <c r="B9956" t="s">
        <v>1882</v>
      </c>
      <c r="C9956" t="s">
        <v>12686</v>
      </c>
      <c r="E9956" t="s">
        <v>26782</v>
      </c>
      <c r="F9956" t="s">
        <v>31574</v>
      </c>
      <c r="G9956" t="s">
        <v>31582</v>
      </c>
      <c r="H9956" t="s">
        <v>31591</v>
      </c>
      <c r="I9956" t="s">
        <v>8822</v>
      </c>
      <c r="J9956" t="s">
        <v>37958</v>
      </c>
      <c r="K9956" t="s">
        <v>41402</v>
      </c>
      <c r="M9956" t="s">
        <v>43525</v>
      </c>
      <c r="N9956" t="s">
        <v>45095</v>
      </c>
      <c r="O9956" t="s">
        <v>45096</v>
      </c>
      <c r="Q9956">
        <v>3</v>
      </c>
      <c r="R9956" t="s">
        <v>45107</v>
      </c>
      <c r="S9956" t="s">
        <v>45402</v>
      </c>
      <c r="T9956" t="s">
        <v>46988</v>
      </c>
      <c r="U9956" t="s">
        <v>54074</v>
      </c>
      <c r="V9956" t="s">
        <v>60687</v>
      </c>
      <c r="W9956" t="s">
        <v>43525</v>
      </c>
      <c r="X9956" t="s">
        <v>45108</v>
      </c>
    </row>
    <row r="9957" spans="1:24">
      <c r="A9957">
        <f>HYPERLINK("https://www.philgeps.gov.ph/GEPSNONPILOT/Tender/SplashBidNoticeAbstractUI.aspx?menuIndex=3&amp;refID=7030777&amp;Result=3","7030777")</f>
        <v>0</v>
      </c>
      <c r="B9957" t="s">
        <v>124</v>
      </c>
      <c r="C9957" t="s">
        <v>12687</v>
      </c>
      <c r="D9957" t="s">
        <v>18065</v>
      </c>
      <c r="E9957" t="s">
        <v>26783</v>
      </c>
      <c r="F9957" t="s">
        <v>31574</v>
      </c>
      <c r="G9957" t="s">
        <v>31582</v>
      </c>
      <c r="H9957" t="s">
        <v>31590</v>
      </c>
      <c r="I9957" t="s">
        <v>31642</v>
      </c>
      <c r="J9957" t="s">
        <v>37959</v>
      </c>
      <c r="K9957" t="s">
        <v>41184</v>
      </c>
      <c r="M9957" t="s">
        <v>42125</v>
      </c>
      <c r="N9957" t="s">
        <v>45095</v>
      </c>
      <c r="O9957" t="s">
        <v>45096</v>
      </c>
      <c r="Q9957">
        <v>2</v>
      </c>
      <c r="R9957" t="s">
        <v>45107</v>
      </c>
      <c r="S9957" t="s">
        <v>45403</v>
      </c>
      <c r="T9957" t="s">
        <v>47176</v>
      </c>
      <c r="U9957" t="s">
        <v>55715</v>
      </c>
      <c r="W9957" t="s">
        <v>42125</v>
      </c>
      <c r="X9957" t="s">
        <v>45108</v>
      </c>
    </row>
    <row r="9958" spans="1:24">
      <c r="A9958">
        <f>HYPERLINK("https://www.philgeps.gov.ph/GEPSNONPILOT/Tender/SplashBidNoticeAbstractUI.aspx?menuIndex=3&amp;refID=7030872&amp;Result=3","7030872")</f>
        <v>0</v>
      </c>
      <c r="B9958" t="s">
        <v>591</v>
      </c>
      <c r="C9958" t="s">
        <v>12688</v>
      </c>
      <c r="D9958" t="s">
        <v>18042</v>
      </c>
      <c r="E9958" t="s">
        <v>20031</v>
      </c>
      <c r="F9958" t="s">
        <v>31574</v>
      </c>
      <c r="G9958" t="s">
        <v>31582</v>
      </c>
      <c r="H9958" t="s">
        <v>31590</v>
      </c>
      <c r="I9958" t="s">
        <v>31608</v>
      </c>
      <c r="J9958" t="s">
        <v>31780</v>
      </c>
      <c r="K9958" t="s">
        <v>41186</v>
      </c>
      <c r="M9958" t="s">
        <v>42093</v>
      </c>
      <c r="N9958" t="s">
        <v>45095</v>
      </c>
      <c r="O9958" t="s">
        <v>45096</v>
      </c>
      <c r="P9958">
        <v>0</v>
      </c>
      <c r="Q9958">
        <v>2</v>
      </c>
      <c r="R9958" t="s">
        <v>45107</v>
      </c>
      <c r="S9958" t="s">
        <v>45386</v>
      </c>
      <c r="T9958" t="s">
        <v>47238</v>
      </c>
      <c r="U9958" t="s">
        <v>55716</v>
      </c>
      <c r="W9958" t="s">
        <v>42093</v>
      </c>
      <c r="X9958" t="s">
        <v>45108</v>
      </c>
    </row>
    <row r="9959" spans="1:24">
      <c r="A9959">
        <f>HYPERLINK("https://www.philgeps.gov.ph/GEPSNONPILOT/Tender/SplashBidNoticeAbstractUI.aspx?menuIndex=3&amp;refID=7030767&amp;Result=3","7030767")</f>
        <v>0</v>
      </c>
      <c r="B9959" t="s">
        <v>124</v>
      </c>
      <c r="C9959" t="s">
        <v>12689</v>
      </c>
      <c r="D9959" t="s">
        <v>18065</v>
      </c>
      <c r="E9959" t="s">
        <v>26784</v>
      </c>
      <c r="F9959" t="s">
        <v>31574</v>
      </c>
      <c r="G9959" t="s">
        <v>31582</v>
      </c>
      <c r="H9959" t="s">
        <v>31590</v>
      </c>
      <c r="I9959" t="s">
        <v>31630</v>
      </c>
      <c r="J9959" t="s">
        <v>31789</v>
      </c>
      <c r="K9959" t="s">
        <v>41184</v>
      </c>
      <c r="M9959" t="s">
        <v>42125</v>
      </c>
      <c r="N9959" t="s">
        <v>45095</v>
      </c>
      <c r="O9959" t="s">
        <v>45096</v>
      </c>
      <c r="Q9959">
        <v>0</v>
      </c>
      <c r="R9959" t="s">
        <v>45107</v>
      </c>
      <c r="S9959" t="s">
        <v>45404</v>
      </c>
      <c r="T9959" t="s">
        <v>47176</v>
      </c>
      <c r="U9959" t="s">
        <v>55717</v>
      </c>
      <c r="W9959" t="s">
        <v>42125</v>
      </c>
      <c r="X9959" t="s">
        <v>45108</v>
      </c>
    </row>
    <row r="9960" spans="1:24">
      <c r="A9960">
        <f>HYPERLINK("https://www.philgeps.gov.ph/GEPSNONPILOT/Tender/SplashBidNoticeAbstractUI.aspx?menuIndex=3&amp;refID=7030842&amp;Result=3","7030842")</f>
        <v>0</v>
      </c>
      <c r="B9960" t="s">
        <v>192</v>
      </c>
      <c r="C9960" t="s">
        <v>12690</v>
      </c>
      <c r="D9960" t="s">
        <v>18065</v>
      </c>
      <c r="E9960" t="s">
        <v>26785</v>
      </c>
      <c r="F9960" t="s">
        <v>31574</v>
      </c>
      <c r="G9960" t="s">
        <v>31582</v>
      </c>
      <c r="H9960" t="s">
        <v>31591</v>
      </c>
      <c r="I9960" t="s">
        <v>8822</v>
      </c>
      <c r="J9960" t="s">
        <v>34059</v>
      </c>
      <c r="K9960" t="s">
        <v>41403</v>
      </c>
      <c r="M9960" t="s">
        <v>44434</v>
      </c>
      <c r="N9960" t="s">
        <v>45095</v>
      </c>
      <c r="O9960" t="s">
        <v>45096</v>
      </c>
      <c r="P9960">
        <v>0</v>
      </c>
      <c r="Q9960">
        <v>1</v>
      </c>
      <c r="R9960" t="s">
        <v>45107</v>
      </c>
      <c r="S9960" t="s">
        <v>45386</v>
      </c>
      <c r="T9960" t="s">
        <v>46988</v>
      </c>
      <c r="U9960" t="s">
        <v>55718</v>
      </c>
      <c r="W9960" t="s">
        <v>44434</v>
      </c>
      <c r="X9960" t="s">
        <v>45108</v>
      </c>
    </row>
    <row r="9961" spans="1:24">
      <c r="A9961">
        <f>HYPERLINK("https://www.philgeps.gov.ph/GEPSNONPILOT/Tender/SplashBidNoticeAbstractUI.aspx?menuIndex=3&amp;refID=7030889&amp;Result=3","7030889")</f>
        <v>0</v>
      </c>
      <c r="B9961" t="s">
        <v>2660</v>
      </c>
      <c r="C9961" t="s">
        <v>12691</v>
      </c>
      <c r="D9961" t="s">
        <v>18072</v>
      </c>
      <c r="E9961" t="s">
        <v>20111</v>
      </c>
      <c r="F9961" t="s">
        <v>31574</v>
      </c>
      <c r="G9961" t="s">
        <v>31581</v>
      </c>
      <c r="H9961" t="s">
        <v>31590</v>
      </c>
      <c r="I9961" t="s">
        <v>31648</v>
      </c>
      <c r="J9961" t="s">
        <v>37960</v>
      </c>
      <c r="K9961" t="s">
        <v>41186</v>
      </c>
      <c r="M9961" t="s">
        <v>44419</v>
      </c>
      <c r="N9961" t="s">
        <v>45095</v>
      </c>
      <c r="O9961" t="s">
        <v>45096</v>
      </c>
      <c r="P9961">
        <v>0</v>
      </c>
      <c r="Q9961">
        <v>0</v>
      </c>
      <c r="R9961" t="s">
        <v>45107</v>
      </c>
      <c r="S9961" t="s">
        <v>45386</v>
      </c>
      <c r="T9961" t="s">
        <v>47030</v>
      </c>
      <c r="U9961" t="s">
        <v>55719</v>
      </c>
      <c r="W9961" t="s">
        <v>44419</v>
      </c>
      <c r="X9961" t="s">
        <v>45108</v>
      </c>
    </row>
    <row r="9962" spans="1:24">
      <c r="A9962">
        <f>HYPERLINK("https://www.philgeps.gov.ph/GEPSNONPILOT/Tender/SplashBidNoticeAbstractUI.aspx?menuIndex=3&amp;refID=7030789&amp;Result=3","7030789")</f>
        <v>0</v>
      </c>
      <c r="B9962" t="s">
        <v>124</v>
      </c>
      <c r="C9962" t="s">
        <v>12692</v>
      </c>
      <c r="D9962" t="s">
        <v>18065</v>
      </c>
      <c r="E9962" t="s">
        <v>26786</v>
      </c>
      <c r="F9962" t="s">
        <v>31574</v>
      </c>
      <c r="G9962" t="s">
        <v>31582</v>
      </c>
      <c r="H9962" t="s">
        <v>31590</v>
      </c>
      <c r="I9962" t="s">
        <v>31599</v>
      </c>
      <c r="J9962" t="s">
        <v>37961</v>
      </c>
      <c r="K9962" t="s">
        <v>41184</v>
      </c>
      <c r="M9962" t="s">
        <v>42125</v>
      </c>
      <c r="N9962" t="s">
        <v>45095</v>
      </c>
      <c r="O9962" t="s">
        <v>45096</v>
      </c>
      <c r="Q9962">
        <v>4</v>
      </c>
      <c r="R9962" t="s">
        <v>45107</v>
      </c>
      <c r="S9962" t="s">
        <v>45405</v>
      </c>
      <c r="T9962" t="s">
        <v>47176</v>
      </c>
      <c r="U9962" t="s">
        <v>55720</v>
      </c>
      <c r="W9962" t="s">
        <v>42125</v>
      </c>
      <c r="X9962" t="s">
        <v>45108</v>
      </c>
    </row>
    <row r="9963" spans="1:24">
      <c r="A9963">
        <f>HYPERLINK("https://www.philgeps.gov.ph/GEPSNONPILOT/Tender/SplashBidNoticeAbstractUI.aspx?menuIndex=3&amp;refID=7030875&amp;Result=3","7030875")</f>
        <v>0</v>
      </c>
      <c r="B9963" t="s">
        <v>450</v>
      </c>
      <c r="C9963" t="s">
        <v>12693</v>
      </c>
      <c r="D9963" t="s">
        <v>18039</v>
      </c>
      <c r="E9963" t="s">
        <v>23465</v>
      </c>
      <c r="F9963" t="s">
        <v>31574</v>
      </c>
      <c r="G9963" t="s">
        <v>31581</v>
      </c>
      <c r="H9963" t="s">
        <v>31590</v>
      </c>
      <c r="I9963" t="s">
        <v>31623</v>
      </c>
      <c r="J9963" t="s">
        <v>37962</v>
      </c>
      <c r="K9963" t="s">
        <v>41186</v>
      </c>
      <c r="M9963" t="s">
        <v>44089</v>
      </c>
      <c r="N9963" t="s">
        <v>45095</v>
      </c>
      <c r="O9963" t="s">
        <v>45096</v>
      </c>
      <c r="P9963">
        <v>0</v>
      </c>
      <c r="Q9963">
        <v>0</v>
      </c>
      <c r="R9963" t="s">
        <v>45107</v>
      </c>
      <c r="S9963" t="s">
        <v>45386</v>
      </c>
      <c r="T9963" t="s">
        <v>46918</v>
      </c>
      <c r="U9963" t="s">
        <v>54496</v>
      </c>
      <c r="W9963" t="s">
        <v>61737</v>
      </c>
      <c r="X9963" t="s">
        <v>45108</v>
      </c>
    </row>
    <row r="9964" spans="1:24">
      <c r="A9964">
        <f>HYPERLINK("https://www.philgeps.gov.ph/GEPSNONPILOT/Tender/SplashBidNoticeAbstractUI.aspx?menuIndex=3&amp;refID=7030923&amp;Result=3","7030923")</f>
        <v>0</v>
      </c>
      <c r="B9964" t="s">
        <v>192</v>
      </c>
      <c r="C9964" t="s">
        <v>12694</v>
      </c>
      <c r="D9964" t="s">
        <v>18065</v>
      </c>
      <c r="E9964" t="s">
        <v>26787</v>
      </c>
      <c r="F9964" t="s">
        <v>31574</v>
      </c>
      <c r="G9964" t="s">
        <v>31582</v>
      </c>
      <c r="H9964" t="s">
        <v>31591</v>
      </c>
      <c r="I9964" t="s">
        <v>8822</v>
      </c>
      <c r="J9964" t="s">
        <v>34071</v>
      </c>
      <c r="K9964" t="s">
        <v>41397</v>
      </c>
      <c r="M9964" t="s">
        <v>44434</v>
      </c>
      <c r="N9964" t="s">
        <v>45095</v>
      </c>
      <c r="O9964" t="s">
        <v>45096</v>
      </c>
      <c r="P9964">
        <v>0</v>
      </c>
      <c r="Q9964">
        <v>1</v>
      </c>
      <c r="R9964" t="s">
        <v>45107</v>
      </c>
      <c r="S9964" t="s">
        <v>45386</v>
      </c>
      <c r="T9964" t="s">
        <v>46988</v>
      </c>
      <c r="U9964" t="s">
        <v>55721</v>
      </c>
      <c r="W9964" t="s">
        <v>44434</v>
      </c>
      <c r="X9964" t="s">
        <v>45108</v>
      </c>
    </row>
    <row r="9965" spans="1:24">
      <c r="A9965">
        <f>HYPERLINK("https://www.philgeps.gov.ph/GEPSNONPILOT/Tender/SplashBidNoticeAbstractUI.aspx?menuIndex=3&amp;refID=7030907&amp;Result=3","7030907")</f>
        <v>0</v>
      </c>
      <c r="B9965" t="s">
        <v>450</v>
      </c>
      <c r="C9965" t="s">
        <v>12695</v>
      </c>
      <c r="D9965" t="s">
        <v>18039</v>
      </c>
      <c r="E9965" t="s">
        <v>26788</v>
      </c>
      <c r="F9965" t="s">
        <v>31574</v>
      </c>
      <c r="G9965" t="s">
        <v>31581</v>
      </c>
      <c r="H9965" t="s">
        <v>31590</v>
      </c>
      <c r="I9965" t="s">
        <v>6800</v>
      </c>
      <c r="J9965" t="s">
        <v>37963</v>
      </c>
      <c r="K9965" t="s">
        <v>41186</v>
      </c>
      <c r="M9965" t="s">
        <v>44089</v>
      </c>
      <c r="N9965" t="s">
        <v>45095</v>
      </c>
      <c r="O9965" t="s">
        <v>45096</v>
      </c>
      <c r="P9965">
        <v>0</v>
      </c>
      <c r="Q9965">
        <v>4</v>
      </c>
      <c r="R9965" t="s">
        <v>45107</v>
      </c>
      <c r="S9965" t="s">
        <v>45386</v>
      </c>
      <c r="T9965" t="s">
        <v>46918</v>
      </c>
      <c r="U9965" t="s">
        <v>54496</v>
      </c>
      <c r="W9965" t="s">
        <v>61737</v>
      </c>
      <c r="X9965" t="s">
        <v>45108</v>
      </c>
    </row>
    <row r="9966" spans="1:24">
      <c r="A9966">
        <f>HYPERLINK("https://www.philgeps.gov.ph/GEPSNONPILOT/Tender/SplashBidNoticeAbstractUI.aspx?menuIndex=3&amp;refID=7030915&amp;Result=3","7030915")</f>
        <v>0</v>
      </c>
      <c r="B9966" t="s">
        <v>124</v>
      </c>
      <c r="C9966" t="s">
        <v>12696</v>
      </c>
      <c r="D9966" t="s">
        <v>18065</v>
      </c>
      <c r="E9966" t="s">
        <v>26789</v>
      </c>
      <c r="F9966" t="s">
        <v>31574</v>
      </c>
      <c r="G9966" t="s">
        <v>31582</v>
      </c>
      <c r="H9966" t="s">
        <v>31590</v>
      </c>
      <c r="I9966" t="s">
        <v>7162</v>
      </c>
      <c r="J9966" t="s">
        <v>37964</v>
      </c>
      <c r="K9966" t="s">
        <v>41184</v>
      </c>
      <c r="M9966" t="s">
        <v>42125</v>
      </c>
      <c r="N9966" t="s">
        <v>45095</v>
      </c>
      <c r="O9966" t="s">
        <v>45096</v>
      </c>
      <c r="Q9966">
        <v>1</v>
      </c>
      <c r="R9966" t="s">
        <v>45107</v>
      </c>
      <c r="S9966" t="s">
        <v>45406</v>
      </c>
      <c r="T9966" t="s">
        <v>47176</v>
      </c>
      <c r="U9966" t="s">
        <v>55722</v>
      </c>
      <c r="W9966" t="s">
        <v>42125</v>
      </c>
      <c r="X9966" t="s">
        <v>45108</v>
      </c>
    </row>
    <row r="9967" spans="1:24">
      <c r="A9967">
        <f>HYPERLINK("https://www.philgeps.gov.ph/GEPSNONPILOT/Tender/SplashBidNoticeAbstractUI.aspx?menuIndex=3&amp;refID=7030963&amp;Result=3","7030963")</f>
        <v>0</v>
      </c>
      <c r="B9967" t="s">
        <v>1689</v>
      </c>
      <c r="C9967" t="s">
        <v>12697</v>
      </c>
      <c r="E9967" t="s">
        <v>26790</v>
      </c>
      <c r="F9967" t="s">
        <v>31574</v>
      </c>
      <c r="G9967" t="s">
        <v>31582</v>
      </c>
      <c r="H9967" t="s">
        <v>31590</v>
      </c>
      <c r="I9967" t="s">
        <v>31653</v>
      </c>
      <c r="J9967" t="s">
        <v>37965</v>
      </c>
      <c r="K9967" t="s">
        <v>41184</v>
      </c>
      <c r="M9967" t="s">
        <v>43303</v>
      </c>
      <c r="N9967" t="s">
        <v>45095</v>
      </c>
      <c r="O9967" t="s">
        <v>45096</v>
      </c>
      <c r="P9967">
        <v>0</v>
      </c>
      <c r="Q9967">
        <v>8</v>
      </c>
      <c r="R9967" t="s">
        <v>45107</v>
      </c>
      <c r="S9967" t="s">
        <v>45386</v>
      </c>
      <c r="T9967" t="s">
        <v>47336</v>
      </c>
      <c r="U9967" t="s">
        <v>55723</v>
      </c>
      <c r="W9967" t="s">
        <v>43303</v>
      </c>
      <c r="X9967" t="s">
        <v>45108</v>
      </c>
    </row>
    <row r="9968" spans="1:24">
      <c r="A9968">
        <f>HYPERLINK("https://www.philgeps.gov.ph/GEPSNONPILOT/Tender/SplashBidNoticeAbstractUI.aspx?menuIndex=3&amp;refID=7030893&amp;Result=3","7030893")</f>
        <v>0</v>
      </c>
      <c r="B9968" t="s">
        <v>124</v>
      </c>
      <c r="C9968" t="s">
        <v>12698</v>
      </c>
      <c r="D9968" t="s">
        <v>18065</v>
      </c>
      <c r="E9968" t="s">
        <v>26791</v>
      </c>
      <c r="F9968" t="s">
        <v>31574</v>
      </c>
      <c r="G9968" t="s">
        <v>31582</v>
      </c>
      <c r="H9968" t="s">
        <v>31590</v>
      </c>
      <c r="I9968" t="s">
        <v>31629</v>
      </c>
      <c r="J9968" t="s">
        <v>37966</v>
      </c>
      <c r="K9968" t="s">
        <v>41184</v>
      </c>
      <c r="M9968" t="s">
        <v>42125</v>
      </c>
      <c r="N9968" t="s">
        <v>45095</v>
      </c>
      <c r="O9968" t="s">
        <v>45096</v>
      </c>
      <c r="Q9968">
        <v>1</v>
      </c>
      <c r="R9968" t="s">
        <v>45107</v>
      </c>
      <c r="S9968" t="s">
        <v>45407</v>
      </c>
      <c r="T9968" t="s">
        <v>47176</v>
      </c>
      <c r="U9968" t="s">
        <v>55724</v>
      </c>
      <c r="W9968" t="s">
        <v>42125</v>
      </c>
      <c r="X9968" t="s">
        <v>45108</v>
      </c>
    </row>
    <row r="9969" spans="1:24">
      <c r="A9969">
        <f>HYPERLINK("https://www.philgeps.gov.ph/GEPSNONPILOT/Tender/SplashBidNoticeAbstractUI.aspx?menuIndex=3&amp;refID=7030890&amp;Result=3","7030890")</f>
        <v>0</v>
      </c>
      <c r="B9969" t="s">
        <v>192</v>
      </c>
      <c r="C9969" t="s">
        <v>12699</v>
      </c>
      <c r="D9969" t="s">
        <v>18065</v>
      </c>
      <c r="E9969" t="s">
        <v>26792</v>
      </c>
      <c r="F9969" t="s">
        <v>31574</v>
      </c>
      <c r="G9969" t="s">
        <v>31582</v>
      </c>
      <c r="H9969" t="s">
        <v>31591</v>
      </c>
      <c r="I9969" t="s">
        <v>8822</v>
      </c>
      <c r="J9969" t="s">
        <v>34059</v>
      </c>
      <c r="K9969" t="s">
        <v>41404</v>
      </c>
      <c r="M9969" t="s">
        <v>44434</v>
      </c>
      <c r="N9969" t="s">
        <v>45095</v>
      </c>
      <c r="O9969" t="s">
        <v>45096</v>
      </c>
      <c r="P9969">
        <v>0</v>
      </c>
      <c r="Q9969">
        <v>0</v>
      </c>
      <c r="R9969" t="s">
        <v>45107</v>
      </c>
      <c r="S9969" t="s">
        <v>45386</v>
      </c>
      <c r="T9969" t="s">
        <v>46988</v>
      </c>
      <c r="U9969" t="s">
        <v>55725</v>
      </c>
      <c r="W9969" t="s">
        <v>44434</v>
      </c>
      <c r="X9969" t="s">
        <v>45108</v>
      </c>
    </row>
    <row r="9970" spans="1:24">
      <c r="A9970">
        <f>HYPERLINK("https://www.philgeps.gov.ph/GEPSNONPILOT/Tender/SplashBidNoticeAbstractUI.aspx?menuIndex=3&amp;refID=7030914&amp;Result=3","7030914")</f>
        <v>0</v>
      </c>
      <c r="B9970" t="s">
        <v>2310</v>
      </c>
      <c r="C9970" t="s">
        <v>12700</v>
      </c>
      <c r="D9970" t="s">
        <v>18075</v>
      </c>
      <c r="E9970" t="s">
        <v>26793</v>
      </c>
      <c r="F9970" t="s">
        <v>31574</v>
      </c>
      <c r="G9970" t="s">
        <v>31582</v>
      </c>
      <c r="H9970" t="s">
        <v>31591</v>
      </c>
      <c r="I9970" t="s">
        <v>8822</v>
      </c>
      <c r="J9970" t="s">
        <v>32019</v>
      </c>
      <c r="K9970" t="s">
        <v>41264</v>
      </c>
      <c r="M9970" t="s">
        <v>44442</v>
      </c>
      <c r="N9970" t="s">
        <v>45095</v>
      </c>
      <c r="O9970" t="s">
        <v>45096</v>
      </c>
      <c r="P9970">
        <v>0</v>
      </c>
      <c r="Q9970">
        <v>0</v>
      </c>
      <c r="R9970" t="s">
        <v>45107</v>
      </c>
      <c r="S9970" t="s">
        <v>45386</v>
      </c>
      <c r="T9970" t="s">
        <v>46930</v>
      </c>
      <c r="U9970" t="s">
        <v>55726</v>
      </c>
      <c r="V9970" t="s">
        <v>60895</v>
      </c>
      <c r="W9970" t="s">
        <v>44442</v>
      </c>
      <c r="X9970" t="s">
        <v>45108</v>
      </c>
    </row>
    <row r="9971" spans="1:24">
      <c r="A9971">
        <f>HYPERLINK("https://www.philgeps.gov.ph/GEPSNONPILOT/Tender/SplashBidNoticeAbstractUI.aspx?menuIndex=3&amp;refID=7030959&amp;Result=3","7030959")</f>
        <v>0</v>
      </c>
      <c r="B9971" t="s">
        <v>192</v>
      </c>
      <c r="C9971" t="s">
        <v>12701</v>
      </c>
      <c r="D9971" t="s">
        <v>18065</v>
      </c>
      <c r="E9971" t="s">
        <v>26794</v>
      </c>
      <c r="F9971" t="s">
        <v>31574</v>
      </c>
      <c r="G9971" t="s">
        <v>31582</v>
      </c>
      <c r="H9971" t="s">
        <v>31591</v>
      </c>
      <c r="I9971" t="s">
        <v>8822</v>
      </c>
      <c r="J9971" t="s">
        <v>34071</v>
      </c>
      <c r="K9971" t="s">
        <v>41322</v>
      </c>
      <c r="M9971" t="s">
        <v>44434</v>
      </c>
      <c r="N9971" t="s">
        <v>45095</v>
      </c>
      <c r="O9971" t="s">
        <v>45096</v>
      </c>
      <c r="P9971">
        <v>0</v>
      </c>
      <c r="Q9971">
        <v>1</v>
      </c>
      <c r="R9971" t="s">
        <v>45107</v>
      </c>
      <c r="S9971" t="s">
        <v>45386</v>
      </c>
      <c r="T9971" t="s">
        <v>46988</v>
      </c>
      <c r="U9971" t="s">
        <v>55727</v>
      </c>
      <c r="W9971" t="s">
        <v>44434</v>
      </c>
      <c r="X9971" t="s">
        <v>45108</v>
      </c>
    </row>
    <row r="9972" spans="1:24">
      <c r="A9972">
        <f>HYPERLINK("https://www.philgeps.gov.ph/GEPSNONPILOT/Tender/SplashBidNoticeAbstractUI.aspx?menuIndex=3&amp;refID=7030954&amp;Result=3","7030954")</f>
        <v>0</v>
      </c>
      <c r="B9972" t="s">
        <v>124</v>
      </c>
      <c r="C9972" t="s">
        <v>12702</v>
      </c>
      <c r="D9972" t="s">
        <v>18065</v>
      </c>
      <c r="E9972" t="s">
        <v>26795</v>
      </c>
      <c r="F9972" t="s">
        <v>31574</v>
      </c>
      <c r="G9972" t="s">
        <v>31582</v>
      </c>
      <c r="H9972" t="s">
        <v>31590</v>
      </c>
      <c r="I9972" t="s">
        <v>31600</v>
      </c>
      <c r="J9972" t="s">
        <v>35313</v>
      </c>
      <c r="K9972" t="s">
        <v>41184</v>
      </c>
      <c r="M9972" t="s">
        <v>42125</v>
      </c>
      <c r="N9972" t="s">
        <v>45095</v>
      </c>
      <c r="O9972" t="s">
        <v>45096</v>
      </c>
      <c r="Q9972">
        <v>2</v>
      </c>
      <c r="R9972" t="s">
        <v>45107</v>
      </c>
      <c r="S9972" t="s">
        <v>45408</v>
      </c>
      <c r="T9972" t="s">
        <v>47176</v>
      </c>
      <c r="U9972" t="s">
        <v>55728</v>
      </c>
      <c r="W9972" t="s">
        <v>42125</v>
      </c>
      <c r="X9972" t="s">
        <v>45108</v>
      </c>
    </row>
    <row r="9973" spans="1:24">
      <c r="A9973">
        <f>HYPERLINK("https://www.philgeps.gov.ph/GEPSNONPILOT/Tender/SplashBidNoticeAbstractUI.aspx?menuIndex=3&amp;refID=7030960&amp;Result=3","7030960")</f>
        <v>0</v>
      </c>
      <c r="B9973" t="s">
        <v>2678</v>
      </c>
      <c r="C9973" t="s">
        <v>12703</v>
      </c>
      <c r="D9973" t="s">
        <v>18066</v>
      </c>
      <c r="E9973" t="s">
        <v>26796</v>
      </c>
      <c r="F9973" t="s">
        <v>31575</v>
      </c>
      <c r="G9973" t="s">
        <v>31582</v>
      </c>
      <c r="H9973" t="s">
        <v>31591</v>
      </c>
      <c r="I9973" t="s">
        <v>8822</v>
      </c>
      <c r="J9973" t="s">
        <v>34743</v>
      </c>
      <c r="K9973" t="s">
        <v>41256</v>
      </c>
      <c r="M9973" t="s">
        <v>44443</v>
      </c>
      <c r="N9973" t="s">
        <v>45095</v>
      </c>
      <c r="O9973" t="s">
        <v>45096</v>
      </c>
      <c r="P9973">
        <v>0</v>
      </c>
      <c r="Q9973">
        <v>4</v>
      </c>
      <c r="R9973" t="s">
        <v>45107</v>
      </c>
      <c r="S9973" t="s">
        <v>45386</v>
      </c>
      <c r="T9973" t="s">
        <v>47161</v>
      </c>
      <c r="U9973" t="s">
        <v>55729</v>
      </c>
      <c r="V9973" t="s">
        <v>60896</v>
      </c>
      <c r="W9973" t="s">
        <v>44443</v>
      </c>
      <c r="X9973" t="s">
        <v>45108</v>
      </c>
    </row>
    <row r="9974" spans="1:24">
      <c r="A9974">
        <f>HYPERLINK("https://www.philgeps.gov.ph/GEPSNONPILOT/Tender/SplashBidNoticeAbstractUI.aspx?menuIndex=3&amp;refID=7030912&amp;Result=3","7030912")</f>
        <v>0</v>
      </c>
      <c r="B9974" t="s">
        <v>994</v>
      </c>
      <c r="C9974" t="s">
        <v>9274</v>
      </c>
      <c r="D9974" t="s">
        <v>18048</v>
      </c>
      <c r="E9974" t="s">
        <v>26761</v>
      </c>
      <c r="F9974" t="s">
        <v>31574</v>
      </c>
      <c r="G9974" t="s">
        <v>31581</v>
      </c>
      <c r="H9974" t="s">
        <v>31590</v>
      </c>
      <c r="I9974" t="s">
        <v>8258</v>
      </c>
      <c r="J9974" t="s">
        <v>37967</v>
      </c>
      <c r="K9974" t="s">
        <v>41193</v>
      </c>
      <c r="L9974" t="s">
        <v>994</v>
      </c>
      <c r="M9974" t="s">
        <v>42530</v>
      </c>
      <c r="N9974" t="s">
        <v>45095</v>
      </c>
      <c r="O9974" t="s">
        <v>45096</v>
      </c>
      <c r="P9974">
        <v>0</v>
      </c>
      <c r="Q9974">
        <v>0</v>
      </c>
      <c r="R9974" t="s">
        <v>45107</v>
      </c>
      <c r="S9974" t="s">
        <v>45386</v>
      </c>
      <c r="T9974" t="s">
        <v>46949</v>
      </c>
      <c r="U9974" t="s">
        <v>55730</v>
      </c>
      <c r="V9974" t="s">
        <v>60107</v>
      </c>
      <c r="W9974" t="s">
        <v>42530</v>
      </c>
      <c r="X9974" t="s">
        <v>45108</v>
      </c>
    </row>
    <row r="9975" spans="1:24">
      <c r="A9975">
        <f>HYPERLINK("https://www.philgeps.gov.ph/GEPSNONPILOT/Tender/SplashBidNoticeAbstractUI.aspx?menuIndex=3&amp;refID=7030933&amp;Result=3","7030933")</f>
        <v>0</v>
      </c>
      <c r="B9975" t="s">
        <v>2489</v>
      </c>
      <c r="C9975" t="s">
        <v>12704</v>
      </c>
      <c r="D9975" t="s">
        <v>18055</v>
      </c>
      <c r="E9975" t="s">
        <v>26797</v>
      </c>
      <c r="F9975" t="s">
        <v>31574</v>
      </c>
      <c r="G9975" t="s">
        <v>31582</v>
      </c>
      <c r="H9975" t="s">
        <v>31591</v>
      </c>
      <c r="I9975" t="s">
        <v>8822</v>
      </c>
      <c r="J9975" t="s">
        <v>34980</v>
      </c>
      <c r="K9975" t="s">
        <v>41405</v>
      </c>
      <c r="L9975" t="s">
        <v>2489</v>
      </c>
      <c r="M9975" t="s">
        <v>44220</v>
      </c>
      <c r="N9975" t="s">
        <v>45095</v>
      </c>
      <c r="O9975" t="s">
        <v>45096</v>
      </c>
      <c r="P9975">
        <v>0</v>
      </c>
      <c r="Q9975">
        <v>19</v>
      </c>
      <c r="R9975" t="s">
        <v>45107</v>
      </c>
      <c r="S9975" t="s">
        <v>45386</v>
      </c>
      <c r="T9975" t="s">
        <v>46988</v>
      </c>
      <c r="U9975" t="s">
        <v>55713</v>
      </c>
      <c r="W9975" t="s">
        <v>44220</v>
      </c>
      <c r="X9975" t="s">
        <v>45108</v>
      </c>
    </row>
    <row r="9976" spans="1:24">
      <c r="A9976">
        <f>HYPERLINK("https://www.philgeps.gov.ph/GEPSNONPILOT/Tender/SplashBidNoticeAbstractUI.aspx?menuIndex=3&amp;refID=7030974&amp;Result=3","7030974")</f>
        <v>0</v>
      </c>
      <c r="B9976" t="s">
        <v>439</v>
      </c>
      <c r="C9976" t="s">
        <v>12705</v>
      </c>
      <c r="D9976" t="s">
        <v>18046</v>
      </c>
      <c r="E9976" t="s">
        <v>26798</v>
      </c>
      <c r="F9976" t="s">
        <v>31574</v>
      </c>
      <c r="G9976" t="s">
        <v>31582</v>
      </c>
      <c r="H9976" t="s">
        <v>31590</v>
      </c>
      <c r="I9976" t="s">
        <v>4354</v>
      </c>
      <c r="J9976" t="s">
        <v>37968</v>
      </c>
      <c r="K9976" t="s">
        <v>41184</v>
      </c>
      <c r="M9976" t="s">
        <v>41932</v>
      </c>
      <c r="N9976" t="s">
        <v>45095</v>
      </c>
      <c r="O9976" t="s">
        <v>45096</v>
      </c>
      <c r="P9976">
        <v>0</v>
      </c>
      <c r="Q9976">
        <v>0</v>
      </c>
      <c r="R9976" t="s">
        <v>45107</v>
      </c>
      <c r="S9976" t="s">
        <v>45386</v>
      </c>
      <c r="T9976" t="s">
        <v>47197</v>
      </c>
      <c r="U9976" t="s">
        <v>55731</v>
      </c>
      <c r="W9976" t="s">
        <v>41932</v>
      </c>
      <c r="X9976" t="s">
        <v>45108</v>
      </c>
    </row>
    <row r="9977" spans="1:24">
      <c r="A9977">
        <f>HYPERLINK("https://www.philgeps.gov.ph/GEPSNONPILOT/Tender/SplashBidNoticeAbstractUI.aspx?menuIndex=3&amp;refID=7030910&amp;Result=3","7030910")</f>
        <v>0</v>
      </c>
      <c r="B9977" t="s">
        <v>591</v>
      </c>
      <c r="C9977" t="s">
        <v>12706</v>
      </c>
      <c r="D9977" t="s">
        <v>18042</v>
      </c>
      <c r="E9977" t="s">
        <v>26799</v>
      </c>
      <c r="F9977" t="s">
        <v>31574</v>
      </c>
      <c r="G9977" t="s">
        <v>31582</v>
      </c>
      <c r="H9977" t="s">
        <v>31590</v>
      </c>
      <c r="I9977" t="s">
        <v>31608</v>
      </c>
      <c r="J9977" t="s">
        <v>32345</v>
      </c>
      <c r="K9977" t="s">
        <v>41186</v>
      </c>
      <c r="M9977" t="s">
        <v>42093</v>
      </c>
      <c r="N9977" t="s">
        <v>45095</v>
      </c>
      <c r="O9977" t="s">
        <v>45096</v>
      </c>
      <c r="P9977">
        <v>0</v>
      </c>
      <c r="Q9977">
        <v>2</v>
      </c>
      <c r="R9977" t="s">
        <v>45107</v>
      </c>
      <c r="S9977" t="s">
        <v>45386</v>
      </c>
      <c r="T9977" t="s">
        <v>47238</v>
      </c>
      <c r="U9977" t="s">
        <v>55732</v>
      </c>
      <c r="W9977" t="s">
        <v>42093</v>
      </c>
      <c r="X9977" t="s">
        <v>45108</v>
      </c>
    </row>
    <row r="9978" spans="1:24">
      <c r="A9978">
        <f>HYPERLINK("https://www.philgeps.gov.ph/GEPSNONPILOT/Tender/SplashBidNoticeAbstractUI.aspx?menuIndex=3&amp;refID=7030990&amp;Result=3","7030990")</f>
        <v>0</v>
      </c>
      <c r="B9978" t="s">
        <v>2679</v>
      </c>
      <c r="C9978" t="s">
        <v>12707</v>
      </c>
      <c r="D9978" t="s">
        <v>18056</v>
      </c>
      <c r="E9978" t="s">
        <v>18230</v>
      </c>
      <c r="F9978" t="s">
        <v>31574</v>
      </c>
      <c r="G9978" t="s">
        <v>31582</v>
      </c>
      <c r="H9978" t="s">
        <v>31591</v>
      </c>
      <c r="I9978" t="s">
        <v>8822</v>
      </c>
      <c r="J9978" t="s">
        <v>37969</v>
      </c>
      <c r="K9978" t="s">
        <v>41184</v>
      </c>
      <c r="M9978" t="s">
        <v>44444</v>
      </c>
      <c r="N9978" t="s">
        <v>45095</v>
      </c>
      <c r="O9978" t="s">
        <v>45096</v>
      </c>
      <c r="P9978">
        <v>0</v>
      </c>
      <c r="Q9978">
        <v>0</v>
      </c>
      <c r="R9978" t="s">
        <v>45107</v>
      </c>
      <c r="S9978" t="s">
        <v>45386</v>
      </c>
      <c r="T9978" t="s">
        <v>47010</v>
      </c>
      <c r="U9978" t="s">
        <v>55733</v>
      </c>
      <c r="W9978" t="s">
        <v>44444</v>
      </c>
      <c r="X9978" t="s">
        <v>45108</v>
      </c>
    </row>
    <row r="9979" spans="1:24">
      <c r="A9979">
        <f>HYPERLINK("https://www.philgeps.gov.ph/GEPSNONPILOT/Tender/SplashBidNoticeAbstractUI.aspx?menuIndex=3&amp;refID=7031021&amp;Result=3","7031021")</f>
        <v>0</v>
      </c>
      <c r="B9979" t="s">
        <v>2568</v>
      </c>
      <c r="C9979" t="s">
        <v>12708</v>
      </c>
      <c r="D9979" t="s">
        <v>18022</v>
      </c>
      <c r="E9979" t="s">
        <v>18316</v>
      </c>
      <c r="F9979" t="s">
        <v>31574</v>
      </c>
      <c r="G9979" t="s">
        <v>31582</v>
      </c>
      <c r="H9979" t="s">
        <v>31590</v>
      </c>
      <c r="I9979" t="s">
        <v>4327</v>
      </c>
      <c r="J9979" t="s">
        <v>31947</v>
      </c>
      <c r="K9979" t="s">
        <v>41190</v>
      </c>
      <c r="M9979" t="s">
        <v>44309</v>
      </c>
      <c r="N9979" t="s">
        <v>45095</v>
      </c>
      <c r="O9979" t="s">
        <v>45096</v>
      </c>
      <c r="P9979">
        <v>0</v>
      </c>
      <c r="Q9979">
        <v>1</v>
      </c>
      <c r="R9979" t="s">
        <v>45107</v>
      </c>
      <c r="S9979" t="s">
        <v>45386</v>
      </c>
      <c r="T9979" t="s">
        <v>46949</v>
      </c>
      <c r="U9979" t="s">
        <v>55734</v>
      </c>
      <c r="W9979" t="s">
        <v>44309</v>
      </c>
      <c r="X9979" t="s">
        <v>45108</v>
      </c>
    </row>
    <row r="9980" spans="1:24">
      <c r="A9980">
        <f>HYPERLINK("https://www.philgeps.gov.ph/GEPSNONPILOT/Tender/SplashBidNoticeAbstractUI.aspx?menuIndex=3&amp;refID=7031015&amp;Result=3","7031015")</f>
        <v>0</v>
      </c>
      <c r="B9980" t="s">
        <v>2240</v>
      </c>
      <c r="C9980" t="s">
        <v>12709</v>
      </c>
      <c r="D9980" t="s">
        <v>18041</v>
      </c>
      <c r="E9980" t="s">
        <v>26800</v>
      </c>
      <c r="F9980" t="s">
        <v>31574</v>
      </c>
      <c r="G9980" t="s">
        <v>31582</v>
      </c>
      <c r="H9980" t="s">
        <v>31590</v>
      </c>
      <c r="I9980" t="s">
        <v>31600</v>
      </c>
      <c r="J9980" t="s">
        <v>37970</v>
      </c>
      <c r="K9980" t="s">
        <v>41191</v>
      </c>
      <c r="M9980" t="s">
        <v>43937</v>
      </c>
      <c r="N9980" t="s">
        <v>45095</v>
      </c>
      <c r="O9980" t="s">
        <v>45096</v>
      </c>
      <c r="P9980">
        <v>0</v>
      </c>
      <c r="Q9980">
        <v>0</v>
      </c>
      <c r="R9980" t="s">
        <v>45107</v>
      </c>
      <c r="S9980" t="s">
        <v>45386</v>
      </c>
      <c r="T9980" t="s">
        <v>47124</v>
      </c>
      <c r="U9980" t="s">
        <v>55735</v>
      </c>
      <c r="W9980" t="s">
        <v>43937</v>
      </c>
      <c r="X9980" t="s">
        <v>45108</v>
      </c>
    </row>
    <row r="9981" spans="1:24">
      <c r="A9981">
        <f>HYPERLINK("https://www.philgeps.gov.ph/GEPSNONPILOT/Tender/SplashBidNoticeAbstractUI.aspx?menuIndex=3&amp;refID=7031020&amp;Result=3","7031020")</f>
        <v>0</v>
      </c>
      <c r="B9981" t="s">
        <v>1689</v>
      </c>
      <c r="C9981" t="s">
        <v>12710</v>
      </c>
      <c r="E9981" t="s">
        <v>26801</v>
      </c>
      <c r="F9981" t="s">
        <v>31574</v>
      </c>
      <c r="G9981" t="s">
        <v>31582</v>
      </c>
      <c r="H9981" t="s">
        <v>31590</v>
      </c>
      <c r="I9981" t="s">
        <v>31609</v>
      </c>
      <c r="J9981" t="s">
        <v>37971</v>
      </c>
      <c r="K9981" t="s">
        <v>41184</v>
      </c>
      <c r="M9981" t="s">
        <v>43303</v>
      </c>
      <c r="N9981" t="s">
        <v>45095</v>
      </c>
      <c r="O9981" t="s">
        <v>45096</v>
      </c>
      <c r="P9981">
        <v>0</v>
      </c>
      <c r="Q9981">
        <v>1</v>
      </c>
      <c r="R9981" t="s">
        <v>45107</v>
      </c>
      <c r="S9981" t="s">
        <v>45386</v>
      </c>
      <c r="T9981" t="s">
        <v>47336</v>
      </c>
      <c r="U9981" t="s">
        <v>55736</v>
      </c>
      <c r="W9981" t="s">
        <v>43303</v>
      </c>
      <c r="X9981" t="s">
        <v>45108</v>
      </c>
    </row>
    <row r="9982" spans="1:24">
      <c r="A9982">
        <f>HYPERLINK("https://www.philgeps.gov.ph/GEPSNONPILOT/Tender/SplashBidNoticeAbstractUI.aspx?menuIndex=3&amp;refID=7030973&amp;Result=3","7030973")</f>
        <v>0</v>
      </c>
      <c r="B9982" t="s">
        <v>2680</v>
      </c>
      <c r="C9982" t="s">
        <v>7105</v>
      </c>
      <c r="D9982" t="s">
        <v>18035</v>
      </c>
      <c r="E9982" t="s">
        <v>26802</v>
      </c>
      <c r="F9982" t="s">
        <v>31574</v>
      </c>
      <c r="G9982" t="s">
        <v>31582</v>
      </c>
      <c r="H9982" t="s">
        <v>31590</v>
      </c>
      <c r="I9982" t="s">
        <v>31612</v>
      </c>
      <c r="J9982" t="s">
        <v>32994</v>
      </c>
      <c r="K9982" t="s">
        <v>41185</v>
      </c>
      <c r="M9982" t="s">
        <v>44445</v>
      </c>
      <c r="N9982" t="s">
        <v>45095</v>
      </c>
      <c r="O9982" t="s">
        <v>45096</v>
      </c>
      <c r="Q9982">
        <v>4</v>
      </c>
      <c r="R9982" t="s">
        <v>45107</v>
      </c>
      <c r="S9982" t="s">
        <v>45247</v>
      </c>
      <c r="T9982" t="s">
        <v>47124</v>
      </c>
      <c r="U9982" t="s">
        <v>55737</v>
      </c>
      <c r="W9982" t="s">
        <v>44445</v>
      </c>
      <c r="X9982" t="s">
        <v>45108</v>
      </c>
    </row>
    <row r="9983" spans="1:24">
      <c r="A9983">
        <f>HYPERLINK("https://www.philgeps.gov.ph/GEPSNONPILOT/Tender/SplashBidNoticeAbstractUI.aspx?menuIndex=3&amp;refID=7031024&amp;Result=3","7031024")</f>
        <v>0</v>
      </c>
      <c r="B9983" t="s">
        <v>192</v>
      </c>
      <c r="C9983" t="s">
        <v>12711</v>
      </c>
      <c r="D9983" t="s">
        <v>18065</v>
      </c>
      <c r="E9983" t="s">
        <v>26803</v>
      </c>
      <c r="F9983" t="s">
        <v>31574</v>
      </c>
      <c r="G9983" t="s">
        <v>31582</v>
      </c>
      <c r="H9983" t="s">
        <v>31591</v>
      </c>
      <c r="I9983" t="s">
        <v>8822</v>
      </c>
      <c r="J9983" t="s">
        <v>35362</v>
      </c>
      <c r="K9983" t="s">
        <v>41406</v>
      </c>
      <c r="M9983" t="s">
        <v>44434</v>
      </c>
      <c r="N9983" t="s">
        <v>45095</v>
      </c>
      <c r="O9983" t="s">
        <v>45096</v>
      </c>
      <c r="P9983">
        <v>0</v>
      </c>
      <c r="Q9983">
        <v>1</v>
      </c>
      <c r="R9983" t="s">
        <v>45107</v>
      </c>
      <c r="S9983" t="s">
        <v>45386</v>
      </c>
      <c r="T9983" t="s">
        <v>46988</v>
      </c>
      <c r="U9983" t="s">
        <v>50437</v>
      </c>
      <c r="W9983" t="s">
        <v>44434</v>
      </c>
      <c r="X9983" t="s">
        <v>45108</v>
      </c>
    </row>
    <row r="9984" spans="1:24">
      <c r="A9984">
        <f>HYPERLINK("https://www.philgeps.gov.ph/GEPSNONPILOT/Tender/SplashBidNoticeAbstractUI.aspx?menuIndex=3&amp;refID=7031006&amp;Result=3","7031006")</f>
        <v>0</v>
      </c>
      <c r="B9984" t="s">
        <v>1689</v>
      </c>
      <c r="C9984" t="s">
        <v>12712</v>
      </c>
      <c r="E9984" t="s">
        <v>26804</v>
      </c>
      <c r="F9984" t="s">
        <v>31574</v>
      </c>
      <c r="G9984" t="s">
        <v>31582</v>
      </c>
      <c r="H9984" t="s">
        <v>31590</v>
      </c>
      <c r="I9984" t="s">
        <v>31598</v>
      </c>
      <c r="J9984" t="s">
        <v>37972</v>
      </c>
      <c r="K9984" t="s">
        <v>41184</v>
      </c>
      <c r="M9984" t="s">
        <v>43303</v>
      </c>
      <c r="N9984" t="s">
        <v>45095</v>
      </c>
      <c r="O9984" t="s">
        <v>45096</v>
      </c>
      <c r="P9984">
        <v>0</v>
      </c>
      <c r="Q9984">
        <v>4</v>
      </c>
      <c r="R9984" t="s">
        <v>45107</v>
      </c>
      <c r="S9984" t="s">
        <v>45386</v>
      </c>
      <c r="T9984" t="s">
        <v>47336</v>
      </c>
      <c r="U9984" t="s">
        <v>55738</v>
      </c>
      <c r="W9984" t="s">
        <v>43303</v>
      </c>
      <c r="X9984" t="s">
        <v>45108</v>
      </c>
    </row>
    <row r="9985" spans="1:24">
      <c r="A9985">
        <f>HYPERLINK("https://www.philgeps.gov.ph/GEPSNONPILOT/Tender/SplashBidNoticeAbstractUI.aspx?menuIndex=3&amp;refID=7030979&amp;Result=3","7030979")</f>
        <v>0</v>
      </c>
      <c r="B9985" t="s">
        <v>1689</v>
      </c>
      <c r="C9985" t="s">
        <v>12713</v>
      </c>
      <c r="E9985" t="s">
        <v>26805</v>
      </c>
      <c r="F9985" t="s">
        <v>31574</v>
      </c>
      <c r="G9985" t="s">
        <v>31582</v>
      </c>
      <c r="H9985" t="s">
        <v>31590</v>
      </c>
      <c r="I9985" t="s">
        <v>31619</v>
      </c>
      <c r="J9985" t="s">
        <v>37973</v>
      </c>
      <c r="K9985" t="s">
        <v>41184</v>
      </c>
      <c r="M9985" t="s">
        <v>43303</v>
      </c>
      <c r="N9985" t="s">
        <v>45095</v>
      </c>
      <c r="O9985" t="s">
        <v>45096</v>
      </c>
      <c r="P9985">
        <v>0</v>
      </c>
      <c r="Q9985">
        <v>10</v>
      </c>
      <c r="R9985" t="s">
        <v>45107</v>
      </c>
      <c r="S9985" t="s">
        <v>45386</v>
      </c>
      <c r="T9985" t="s">
        <v>47336</v>
      </c>
      <c r="U9985" t="s">
        <v>55739</v>
      </c>
      <c r="W9985" t="s">
        <v>43303</v>
      </c>
      <c r="X9985" t="s">
        <v>45108</v>
      </c>
    </row>
    <row r="9986" spans="1:24">
      <c r="A9986">
        <f>HYPERLINK("https://www.philgeps.gov.ph/GEPSNONPILOT/Tender/SplashBidNoticeAbstractUI.aspx?menuIndex=3&amp;refID=7031014&amp;Result=3","7031014")</f>
        <v>0</v>
      </c>
      <c r="B9986" t="s">
        <v>2678</v>
      </c>
      <c r="C9986" t="s">
        <v>12714</v>
      </c>
      <c r="D9986" t="s">
        <v>18066</v>
      </c>
      <c r="E9986" t="s">
        <v>26806</v>
      </c>
      <c r="F9986" t="s">
        <v>31575</v>
      </c>
      <c r="G9986" t="s">
        <v>31582</v>
      </c>
      <c r="H9986" t="s">
        <v>31591</v>
      </c>
      <c r="I9986" t="s">
        <v>8822</v>
      </c>
      <c r="J9986" t="s">
        <v>34743</v>
      </c>
      <c r="K9986" t="s">
        <v>41256</v>
      </c>
      <c r="M9986" t="s">
        <v>44443</v>
      </c>
      <c r="N9986" t="s">
        <v>45095</v>
      </c>
      <c r="O9986" t="s">
        <v>45096</v>
      </c>
      <c r="P9986">
        <v>0</v>
      </c>
      <c r="Q9986">
        <v>3</v>
      </c>
      <c r="R9986" t="s">
        <v>45107</v>
      </c>
      <c r="S9986" t="s">
        <v>45386</v>
      </c>
      <c r="T9986" t="s">
        <v>47161</v>
      </c>
      <c r="U9986" t="s">
        <v>55729</v>
      </c>
      <c r="V9986" t="s">
        <v>60897</v>
      </c>
      <c r="W9986" t="s">
        <v>44443</v>
      </c>
      <c r="X9986" t="s">
        <v>45108</v>
      </c>
    </row>
    <row r="9987" spans="1:24">
      <c r="A9987">
        <f>HYPERLINK("https://www.philgeps.gov.ph/GEPSNONPILOT/Tender/SplashBidNoticeAbstractUI.aspx?menuIndex=3&amp;refID=7030927&amp;Result=3","7030927")</f>
        <v>0</v>
      </c>
      <c r="B9987" t="s">
        <v>439</v>
      </c>
      <c r="C9987" t="s">
        <v>12715</v>
      </c>
      <c r="D9987" t="s">
        <v>18046</v>
      </c>
      <c r="E9987" t="s">
        <v>26807</v>
      </c>
      <c r="F9987" t="s">
        <v>31574</v>
      </c>
      <c r="G9987" t="s">
        <v>31582</v>
      </c>
      <c r="H9987" t="s">
        <v>31590</v>
      </c>
      <c r="I9987" t="s">
        <v>4354</v>
      </c>
      <c r="J9987" t="s">
        <v>37974</v>
      </c>
      <c r="K9987" t="s">
        <v>41184</v>
      </c>
      <c r="M9987" t="s">
        <v>41932</v>
      </c>
      <c r="N9987" t="s">
        <v>45095</v>
      </c>
      <c r="O9987" t="s">
        <v>45096</v>
      </c>
      <c r="P9987">
        <v>0</v>
      </c>
      <c r="Q9987">
        <v>0</v>
      </c>
      <c r="R9987" t="s">
        <v>45107</v>
      </c>
      <c r="S9987" t="s">
        <v>45386</v>
      </c>
      <c r="T9987" t="s">
        <v>47197</v>
      </c>
      <c r="U9987" t="s">
        <v>55731</v>
      </c>
      <c r="W9987" t="s">
        <v>41932</v>
      </c>
      <c r="X9987" t="s">
        <v>45108</v>
      </c>
    </row>
    <row r="9988" spans="1:24">
      <c r="A9988">
        <f>HYPERLINK("https://www.philgeps.gov.ph/GEPSNONPILOT/Tender/SplashBidNoticeAbstractUI.aspx?menuIndex=3&amp;refID=7031004&amp;Result=3","7031004")</f>
        <v>0</v>
      </c>
      <c r="B9988" t="s">
        <v>2681</v>
      </c>
      <c r="C9988" t="s">
        <v>12716</v>
      </c>
      <c r="D9988" t="s">
        <v>18071</v>
      </c>
      <c r="E9988" t="s">
        <v>26808</v>
      </c>
      <c r="F9988" t="s">
        <v>31574</v>
      </c>
      <c r="G9988" t="s">
        <v>31582</v>
      </c>
      <c r="H9988" t="s">
        <v>31591</v>
      </c>
      <c r="I9988" t="s">
        <v>8822</v>
      </c>
      <c r="J9988" t="s">
        <v>37975</v>
      </c>
      <c r="K9988" t="s">
        <v>41200</v>
      </c>
      <c r="M9988" t="s">
        <v>44446</v>
      </c>
      <c r="N9988" t="s">
        <v>45095</v>
      </c>
      <c r="O9988" t="s">
        <v>45096</v>
      </c>
      <c r="P9988">
        <v>0</v>
      </c>
      <c r="Q9988">
        <v>0</v>
      </c>
      <c r="R9988" t="s">
        <v>45107</v>
      </c>
      <c r="S9988" t="s">
        <v>45386</v>
      </c>
      <c r="T9988" t="s">
        <v>46914</v>
      </c>
      <c r="U9988" t="s">
        <v>55740</v>
      </c>
      <c r="V9988" t="s">
        <v>60898</v>
      </c>
      <c r="W9988" t="s">
        <v>44446</v>
      </c>
      <c r="X9988" t="s">
        <v>45108</v>
      </c>
    </row>
    <row r="9989" spans="1:24">
      <c r="A9989">
        <f>HYPERLINK("https://www.philgeps.gov.ph/GEPSNONPILOT/Tender/SplashBidNoticeAbstractUI.aspx?menuIndex=3&amp;refID=7031063&amp;Result=3","7031063")</f>
        <v>0</v>
      </c>
      <c r="B9989" t="s">
        <v>226</v>
      </c>
      <c r="C9989" t="s">
        <v>12717</v>
      </c>
      <c r="D9989" t="s">
        <v>18041</v>
      </c>
      <c r="E9989" t="s">
        <v>26809</v>
      </c>
      <c r="F9989" t="s">
        <v>31574</v>
      </c>
      <c r="G9989" t="s">
        <v>31581</v>
      </c>
      <c r="H9989" t="s">
        <v>31590</v>
      </c>
      <c r="I9989" t="s">
        <v>4046</v>
      </c>
      <c r="J9989" t="s">
        <v>32436</v>
      </c>
      <c r="K9989" t="s">
        <v>41184</v>
      </c>
      <c r="M9989" t="s">
        <v>41711</v>
      </c>
      <c r="N9989" t="s">
        <v>45095</v>
      </c>
      <c r="O9989" t="s">
        <v>45096</v>
      </c>
      <c r="P9989">
        <v>0</v>
      </c>
      <c r="Q9989">
        <v>0</v>
      </c>
      <c r="R9989" t="s">
        <v>45107</v>
      </c>
      <c r="S9989" t="s">
        <v>45386</v>
      </c>
      <c r="T9989" t="s">
        <v>47154</v>
      </c>
      <c r="U9989" t="s">
        <v>48637</v>
      </c>
      <c r="W9989" t="s">
        <v>41711</v>
      </c>
      <c r="X9989" t="s">
        <v>45108</v>
      </c>
    </row>
    <row r="9990" spans="1:24">
      <c r="A9990">
        <f>HYPERLINK("https://www.philgeps.gov.ph/GEPSNONPILOT/Tender/SplashBidNoticeAbstractUI.aspx?menuIndex=3&amp;refID=7030993&amp;Result=3","7030993")</f>
        <v>0</v>
      </c>
      <c r="B9990" t="s">
        <v>1689</v>
      </c>
      <c r="C9990" t="s">
        <v>12718</v>
      </c>
      <c r="E9990" t="s">
        <v>26810</v>
      </c>
      <c r="F9990" t="s">
        <v>31574</v>
      </c>
      <c r="G9990" t="s">
        <v>31582</v>
      </c>
      <c r="H9990" t="s">
        <v>31590</v>
      </c>
      <c r="I9990" t="s">
        <v>31608</v>
      </c>
      <c r="J9990" t="s">
        <v>37976</v>
      </c>
      <c r="K9990" t="s">
        <v>41184</v>
      </c>
      <c r="M9990" t="s">
        <v>43303</v>
      </c>
      <c r="N9990" t="s">
        <v>45095</v>
      </c>
      <c r="O9990" t="s">
        <v>45096</v>
      </c>
      <c r="P9990">
        <v>0</v>
      </c>
      <c r="Q9990">
        <v>9</v>
      </c>
      <c r="R9990" t="s">
        <v>45107</v>
      </c>
      <c r="S9990" t="s">
        <v>45386</v>
      </c>
      <c r="T9990" t="s">
        <v>47336</v>
      </c>
      <c r="U9990" t="s">
        <v>55741</v>
      </c>
      <c r="W9990" t="s">
        <v>43303</v>
      </c>
      <c r="X9990" t="s">
        <v>45108</v>
      </c>
    </row>
    <row r="9991" spans="1:24">
      <c r="A9991">
        <f>HYPERLINK("https://www.philgeps.gov.ph/GEPSNONPILOT/Tender/SplashBidNoticeAbstractUI.aspx?menuIndex=3&amp;refID=7030941&amp;Result=3","7030941")</f>
        <v>0</v>
      </c>
      <c r="B9991" t="s">
        <v>2681</v>
      </c>
      <c r="C9991" t="s">
        <v>12719</v>
      </c>
      <c r="D9991" t="s">
        <v>18071</v>
      </c>
      <c r="E9991" t="s">
        <v>26811</v>
      </c>
      <c r="F9991" t="s">
        <v>31574</v>
      </c>
      <c r="G9991" t="s">
        <v>31582</v>
      </c>
      <c r="H9991" t="s">
        <v>31591</v>
      </c>
      <c r="I9991" t="s">
        <v>8822</v>
      </c>
      <c r="J9991" t="s">
        <v>37977</v>
      </c>
      <c r="K9991" t="s">
        <v>41200</v>
      </c>
      <c r="M9991" t="s">
        <v>44446</v>
      </c>
      <c r="N9991" t="s">
        <v>45095</v>
      </c>
      <c r="O9991" t="s">
        <v>45096</v>
      </c>
      <c r="P9991">
        <v>0</v>
      </c>
      <c r="Q9991">
        <v>0</v>
      </c>
      <c r="R9991" t="s">
        <v>45107</v>
      </c>
      <c r="S9991" t="s">
        <v>45386</v>
      </c>
      <c r="T9991" t="s">
        <v>46914</v>
      </c>
      <c r="U9991" t="s">
        <v>55742</v>
      </c>
      <c r="V9991" t="s">
        <v>60898</v>
      </c>
      <c r="W9991" t="s">
        <v>44446</v>
      </c>
      <c r="X9991" t="s">
        <v>45108</v>
      </c>
    </row>
    <row r="9992" spans="1:24">
      <c r="A9992">
        <f>HYPERLINK("https://www.philgeps.gov.ph/GEPSNONPILOT/Tender/SplashBidNoticeAbstractUI.aspx?menuIndex=3&amp;refID=7031002&amp;Result=3","7031002")</f>
        <v>0</v>
      </c>
      <c r="B9992" t="s">
        <v>132</v>
      </c>
      <c r="C9992" t="s">
        <v>12720</v>
      </c>
      <c r="D9992" t="s">
        <v>18059</v>
      </c>
      <c r="E9992" t="s">
        <v>26812</v>
      </c>
      <c r="F9992" t="s">
        <v>31574</v>
      </c>
      <c r="G9992" t="s">
        <v>31582</v>
      </c>
      <c r="H9992" t="s">
        <v>31590</v>
      </c>
      <c r="I9992" t="s">
        <v>7185</v>
      </c>
      <c r="J9992" t="s">
        <v>37978</v>
      </c>
      <c r="K9992" t="s">
        <v>41190</v>
      </c>
      <c r="M9992" t="s">
        <v>41616</v>
      </c>
      <c r="N9992" t="s">
        <v>45095</v>
      </c>
      <c r="O9992" t="s">
        <v>45096</v>
      </c>
      <c r="P9992">
        <v>0</v>
      </c>
      <c r="Q9992">
        <v>1</v>
      </c>
      <c r="R9992" t="s">
        <v>45107</v>
      </c>
      <c r="S9992" t="s">
        <v>45386</v>
      </c>
      <c r="T9992" t="s">
        <v>47159</v>
      </c>
      <c r="U9992" t="s">
        <v>55743</v>
      </c>
      <c r="W9992" t="s">
        <v>41616</v>
      </c>
      <c r="X9992" t="s">
        <v>45108</v>
      </c>
    </row>
    <row r="9993" spans="1:24">
      <c r="A9993">
        <f>HYPERLINK("https://www.philgeps.gov.ph/GEPSNONPILOT/Tender/SplashBidNoticeAbstractUI.aspx?menuIndex=3&amp;refID=7031096&amp;Result=3","7031096")</f>
        <v>0</v>
      </c>
      <c r="B9993" t="s">
        <v>1689</v>
      </c>
      <c r="C9993" t="s">
        <v>12721</v>
      </c>
      <c r="E9993" t="s">
        <v>26813</v>
      </c>
      <c r="F9993" t="s">
        <v>31574</v>
      </c>
      <c r="G9993" t="s">
        <v>31582</v>
      </c>
      <c r="H9993" t="s">
        <v>31590</v>
      </c>
      <c r="I9993" t="s">
        <v>31615</v>
      </c>
      <c r="J9993" t="s">
        <v>37979</v>
      </c>
      <c r="K9993" t="s">
        <v>41184</v>
      </c>
      <c r="M9993" t="s">
        <v>43303</v>
      </c>
      <c r="N9993" t="s">
        <v>45095</v>
      </c>
      <c r="O9993" t="s">
        <v>45096</v>
      </c>
      <c r="P9993">
        <v>0</v>
      </c>
      <c r="Q9993">
        <v>12</v>
      </c>
      <c r="R9993" t="s">
        <v>45107</v>
      </c>
      <c r="S9993" t="s">
        <v>45386</v>
      </c>
      <c r="T9993" t="s">
        <v>47336</v>
      </c>
      <c r="U9993" t="s">
        <v>55744</v>
      </c>
      <c r="W9993" t="s">
        <v>43303</v>
      </c>
      <c r="X9993" t="s">
        <v>45108</v>
      </c>
    </row>
    <row r="9994" spans="1:24">
      <c r="A9994">
        <f>HYPERLINK("https://www.philgeps.gov.ph/GEPSNONPILOT/Tender/SplashBidNoticeAbstractUI.aspx?menuIndex=3&amp;refID=7031092&amp;Result=3","7031092")</f>
        <v>0</v>
      </c>
      <c r="B9994" t="s">
        <v>29</v>
      </c>
      <c r="C9994" t="s">
        <v>12722</v>
      </c>
      <c r="D9994" t="s">
        <v>18026</v>
      </c>
      <c r="E9994" t="s">
        <v>25889</v>
      </c>
      <c r="F9994" t="s">
        <v>31574</v>
      </c>
      <c r="G9994" t="s">
        <v>31582</v>
      </c>
      <c r="H9994" t="s">
        <v>31590</v>
      </c>
      <c r="I9994" t="s">
        <v>4046</v>
      </c>
      <c r="J9994" t="s">
        <v>37980</v>
      </c>
      <c r="K9994" t="s">
        <v>41196</v>
      </c>
      <c r="M9994" t="s">
        <v>41511</v>
      </c>
      <c r="N9994" t="s">
        <v>45095</v>
      </c>
      <c r="O9994" t="s">
        <v>45096</v>
      </c>
      <c r="P9994">
        <v>0</v>
      </c>
      <c r="Q9994">
        <v>4</v>
      </c>
      <c r="R9994" t="s">
        <v>45107</v>
      </c>
      <c r="S9994" t="s">
        <v>45386</v>
      </c>
      <c r="T9994" t="s">
        <v>47164</v>
      </c>
      <c r="U9994" t="s">
        <v>51189</v>
      </c>
      <c r="W9994" t="s">
        <v>41511</v>
      </c>
      <c r="X9994" t="s">
        <v>45108</v>
      </c>
    </row>
    <row r="9995" spans="1:24">
      <c r="A9995">
        <f>HYPERLINK("https://www.philgeps.gov.ph/GEPSNONPILOT/Tender/SplashBidNoticeAbstractUI.aspx?menuIndex=3&amp;refID=7031089&amp;Result=3","7031089")</f>
        <v>0</v>
      </c>
      <c r="B9995" t="s">
        <v>1689</v>
      </c>
      <c r="C9995" t="s">
        <v>12723</v>
      </c>
      <c r="E9995" t="s">
        <v>26814</v>
      </c>
      <c r="F9995" t="s">
        <v>31574</v>
      </c>
      <c r="G9995" t="s">
        <v>31582</v>
      </c>
      <c r="H9995" t="s">
        <v>31590</v>
      </c>
      <c r="I9995" t="s">
        <v>31640</v>
      </c>
      <c r="J9995" t="s">
        <v>37981</v>
      </c>
      <c r="K9995" t="s">
        <v>41184</v>
      </c>
      <c r="M9995" t="s">
        <v>43303</v>
      </c>
      <c r="N9995" t="s">
        <v>45095</v>
      </c>
      <c r="O9995" t="s">
        <v>45096</v>
      </c>
      <c r="P9995">
        <v>0</v>
      </c>
      <c r="Q9995">
        <v>8</v>
      </c>
      <c r="R9995" t="s">
        <v>45107</v>
      </c>
      <c r="S9995" t="s">
        <v>45386</v>
      </c>
      <c r="T9995" t="s">
        <v>47336</v>
      </c>
      <c r="U9995" t="s">
        <v>55745</v>
      </c>
      <c r="W9995" t="s">
        <v>43303</v>
      </c>
      <c r="X9995" t="s">
        <v>45108</v>
      </c>
    </row>
    <row r="9996" spans="1:24">
      <c r="A9996">
        <f>HYPERLINK("https://www.philgeps.gov.ph/GEPSNONPILOT/Tender/SplashBidNoticeAbstractUI.aspx?menuIndex=3&amp;refID=7031078&amp;Result=3","7031078")</f>
        <v>0</v>
      </c>
      <c r="B9996" t="s">
        <v>2658</v>
      </c>
      <c r="C9996" t="s">
        <v>12724</v>
      </c>
      <c r="E9996" t="s">
        <v>26815</v>
      </c>
      <c r="F9996" t="s">
        <v>31574</v>
      </c>
      <c r="G9996" t="s">
        <v>31582</v>
      </c>
      <c r="H9996" t="s">
        <v>31590</v>
      </c>
      <c r="I9996" t="s">
        <v>31615</v>
      </c>
      <c r="J9996" t="s">
        <v>32537</v>
      </c>
      <c r="K9996" t="s">
        <v>41184</v>
      </c>
      <c r="M9996" t="s">
        <v>44416</v>
      </c>
      <c r="N9996" t="s">
        <v>45095</v>
      </c>
      <c r="O9996" t="s">
        <v>45096</v>
      </c>
      <c r="P9996">
        <v>0</v>
      </c>
      <c r="Q9996">
        <v>6</v>
      </c>
      <c r="R9996" t="s">
        <v>45107</v>
      </c>
      <c r="S9996" t="s">
        <v>45386</v>
      </c>
      <c r="T9996" t="s">
        <v>46943</v>
      </c>
      <c r="U9996" t="s">
        <v>55746</v>
      </c>
      <c r="W9996" t="s">
        <v>44416</v>
      </c>
      <c r="X9996" t="s">
        <v>45108</v>
      </c>
    </row>
    <row r="9997" spans="1:24">
      <c r="A9997">
        <f>HYPERLINK("https://www.philgeps.gov.ph/GEPSNONPILOT/Tender/SplashBidNoticeAbstractUI.aspx?menuIndex=3&amp;refID=7031041&amp;Result=3","7031041")</f>
        <v>0</v>
      </c>
      <c r="B9997" t="s">
        <v>1689</v>
      </c>
      <c r="C9997" t="s">
        <v>12725</v>
      </c>
      <c r="E9997" t="s">
        <v>26816</v>
      </c>
      <c r="F9997" t="s">
        <v>31574</v>
      </c>
      <c r="G9997" t="s">
        <v>31582</v>
      </c>
      <c r="H9997" t="s">
        <v>31590</v>
      </c>
      <c r="I9997" t="s">
        <v>8258</v>
      </c>
      <c r="J9997" t="s">
        <v>37982</v>
      </c>
      <c r="K9997" t="s">
        <v>41184</v>
      </c>
      <c r="M9997" t="s">
        <v>43303</v>
      </c>
      <c r="N9997" t="s">
        <v>45095</v>
      </c>
      <c r="O9997" t="s">
        <v>45096</v>
      </c>
      <c r="P9997">
        <v>0</v>
      </c>
      <c r="Q9997">
        <v>14</v>
      </c>
      <c r="R9997" t="s">
        <v>45107</v>
      </c>
      <c r="S9997" t="s">
        <v>45386</v>
      </c>
      <c r="T9997" t="s">
        <v>47336</v>
      </c>
      <c r="U9997" t="s">
        <v>55747</v>
      </c>
      <c r="W9997" t="s">
        <v>43303</v>
      </c>
      <c r="X9997" t="s">
        <v>45108</v>
      </c>
    </row>
    <row r="9998" spans="1:24">
      <c r="A9998">
        <f>HYPERLINK("https://www.philgeps.gov.ph/GEPSNONPILOT/Tender/SplashBidNoticeAbstractUI.aspx?menuIndex=3&amp;refID=7031097&amp;Result=3","7031097")</f>
        <v>0</v>
      </c>
      <c r="B9998" t="s">
        <v>226</v>
      </c>
      <c r="C9998" t="s">
        <v>12726</v>
      </c>
      <c r="D9998" t="s">
        <v>18041</v>
      </c>
      <c r="E9998" t="s">
        <v>26817</v>
      </c>
      <c r="F9998" t="s">
        <v>31574</v>
      </c>
      <c r="G9998" t="s">
        <v>31581</v>
      </c>
      <c r="H9998" t="s">
        <v>31590</v>
      </c>
      <c r="I9998" t="s">
        <v>3487</v>
      </c>
      <c r="J9998" t="s">
        <v>31873</v>
      </c>
      <c r="K9998" t="s">
        <v>41184</v>
      </c>
      <c r="M9998" t="s">
        <v>41711</v>
      </c>
      <c r="N9998" t="s">
        <v>45095</v>
      </c>
      <c r="O9998" t="s">
        <v>45096</v>
      </c>
      <c r="P9998">
        <v>0</v>
      </c>
      <c r="Q9998">
        <v>0</v>
      </c>
      <c r="R9998" t="s">
        <v>45107</v>
      </c>
      <c r="S9998" t="s">
        <v>45386</v>
      </c>
      <c r="T9998" t="s">
        <v>47159</v>
      </c>
      <c r="U9998" t="s">
        <v>53889</v>
      </c>
      <c r="W9998" t="s">
        <v>41711</v>
      </c>
      <c r="X9998" t="s">
        <v>45108</v>
      </c>
    </row>
    <row r="9999" spans="1:24">
      <c r="A9999">
        <f>HYPERLINK("https://www.philgeps.gov.ph/GEPSNONPILOT/Tender/SplashBidNoticeAbstractUI.aspx?menuIndex=3&amp;refID=7031075&amp;Result=3","7031075")</f>
        <v>0</v>
      </c>
      <c r="B9999" t="s">
        <v>1689</v>
      </c>
      <c r="C9999" t="s">
        <v>12727</v>
      </c>
      <c r="E9999" t="s">
        <v>26818</v>
      </c>
      <c r="F9999" t="s">
        <v>31574</v>
      </c>
      <c r="G9999" t="s">
        <v>31582</v>
      </c>
      <c r="H9999" t="s">
        <v>31590</v>
      </c>
      <c r="I9999" t="s">
        <v>4327</v>
      </c>
      <c r="J9999" t="s">
        <v>37983</v>
      </c>
      <c r="K9999" t="s">
        <v>41184</v>
      </c>
      <c r="M9999" t="s">
        <v>43303</v>
      </c>
      <c r="N9999" t="s">
        <v>45095</v>
      </c>
      <c r="O9999" t="s">
        <v>45096</v>
      </c>
      <c r="P9999">
        <v>0</v>
      </c>
      <c r="Q9999">
        <v>12</v>
      </c>
      <c r="R9999" t="s">
        <v>45107</v>
      </c>
      <c r="S9999" t="s">
        <v>45386</v>
      </c>
      <c r="T9999" t="s">
        <v>47336</v>
      </c>
      <c r="U9999" t="s">
        <v>55748</v>
      </c>
      <c r="W9999" t="s">
        <v>43303</v>
      </c>
      <c r="X9999" t="s">
        <v>45108</v>
      </c>
    </row>
    <row r="10000" spans="1:24">
      <c r="A10000">
        <f>HYPERLINK("https://www.philgeps.gov.ph/GEPSNONPILOT/Tender/SplashBidNoticeAbstractUI.aspx?menuIndex=3&amp;refID=7031031&amp;Result=3","7031031")</f>
        <v>0</v>
      </c>
      <c r="B10000" t="s">
        <v>2679</v>
      </c>
      <c r="C10000" t="s">
        <v>12728</v>
      </c>
      <c r="D10000" t="s">
        <v>18056</v>
      </c>
      <c r="E10000" t="s">
        <v>18626</v>
      </c>
      <c r="F10000" t="s">
        <v>31574</v>
      </c>
      <c r="G10000" t="s">
        <v>31582</v>
      </c>
      <c r="H10000" t="s">
        <v>31591</v>
      </c>
      <c r="I10000" t="s">
        <v>8822</v>
      </c>
      <c r="J10000" t="s">
        <v>37984</v>
      </c>
      <c r="K10000" t="s">
        <v>41184</v>
      </c>
      <c r="M10000" t="s">
        <v>44444</v>
      </c>
      <c r="N10000" t="s">
        <v>45095</v>
      </c>
      <c r="O10000" t="s">
        <v>45096</v>
      </c>
      <c r="P10000">
        <v>0</v>
      </c>
      <c r="Q10000">
        <v>1</v>
      </c>
      <c r="R10000" t="s">
        <v>45107</v>
      </c>
      <c r="S10000" t="s">
        <v>45386</v>
      </c>
      <c r="T10000" t="s">
        <v>47010</v>
      </c>
      <c r="U10000" t="s">
        <v>55733</v>
      </c>
      <c r="W10000" t="s">
        <v>44444</v>
      </c>
      <c r="X10000" t="s">
        <v>45108</v>
      </c>
    </row>
    <row r="10001" spans="1:24">
      <c r="A10001">
        <f>HYPERLINK("https://www.philgeps.gov.ph/GEPSNONPILOT/Tender/SplashBidNoticeAbstractUI.aspx?menuIndex=3&amp;refID=7031139&amp;Result=3","7031139")</f>
        <v>0</v>
      </c>
      <c r="B10001" t="s">
        <v>2682</v>
      </c>
      <c r="C10001" t="s">
        <v>12729</v>
      </c>
      <c r="D10001" t="s">
        <v>18033</v>
      </c>
      <c r="E10001" t="s">
        <v>23284</v>
      </c>
      <c r="F10001" t="s">
        <v>31574</v>
      </c>
      <c r="G10001" t="s">
        <v>31582</v>
      </c>
      <c r="H10001" t="s">
        <v>31590</v>
      </c>
      <c r="I10001" t="s">
        <v>31615</v>
      </c>
      <c r="J10001" t="s">
        <v>36513</v>
      </c>
      <c r="K10001" t="s">
        <v>41200</v>
      </c>
      <c r="M10001" t="s">
        <v>44447</v>
      </c>
      <c r="N10001" t="s">
        <v>45095</v>
      </c>
      <c r="O10001" t="s">
        <v>45096</v>
      </c>
      <c r="P10001">
        <v>0</v>
      </c>
      <c r="Q10001">
        <v>6</v>
      </c>
      <c r="R10001" t="s">
        <v>45107</v>
      </c>
      <c r="S10001" t="s">
        <v>45386</v>
      </c>
      <c r="T10001" t="s">
        <v>47000</v>
      </c>
      <c r="U10001" t="s">
        <v>55749</v>
      </c>
      <c r="V10001" t="s">
        <v>60899</v>
      </c>
      <c r="W10001" t="s">
        <v>44447</v>
      </c>
      <c r="X10001" t="s">
        <v>45108</v>
      </c>
    </row>
    <row r="10002" spans="1:24">
      <c r="A10002">
        <f>HYPERLINK("https://www.philgeps.gov.ph/GEPSNONPILOT/Tender/SplashBidNoticeAbstractUI.aspx?menuIndex=3&amp;refID=7031146&amp;Result=3","7031146")</f>
        <v>0</v>
      </c>
      <c r="B10002" t="s">
        <v>2683</v>
      </c>
      <c r="C10002" t="s">
        <v>12730</v>
      </c>
      <c r="D10002" t="s">
        <v>18047</v>
      </c>
      <c r="E10002" t="s">
        <v>26819</v>
      </c>
      <c r="F10002" t="s">
        <v>31574</v>
      </c>
      <c r="G10002" t="s">
        <v>31582</v>
      </c>
      <c r="H10002" t="s">
        <v>31590</v>
      </c>
      <c r="I10002" t="s">
        <v>31615</v>
      </c>
      <c r="J10002" t="s">
        <v>31728</v>
      </c>
      <c r="K10002" t="s">
        <v>41186</v>
      </c>
      <c r="M10002" t="s">
        <v>44448</v>
      </c>
      <c r="N10002" t="s">
        <v>45095</v>
      </c>
      <c r="O10002" t="s">
        <v>45096</v>
      </c>
      <c r="Q10002">
        <v>0</v>
      </c>
      <c r="R10002" t="s">
        <v>45107</v>
      </c>
      <c r="S10002" t="s">
        <v>45409</v>
      </c>
      <c r="T10002" t="s">
        <v>46904</v>
      </c>
      <c r="U10002" t="s">
        <v>55750</v>
      </c>
      <c r="W10002" t="s">
        <v>44448</v>
      </c>
      <c r="X10002" t="s">
        <v>45108</v>
      </c>
    </row>
    <row r="10003" spans="1:24">
      <c r="A10003">
        <f>HYPERLINK("https://www.philgeps.gov.ph/GEPSNONPILOT/Tender/SplashBidNoticeAbstractUI.aspx?menuIndex=3&amp;refID=7031062&amp;Result=3","7031062")</f>
        <v>0</v>
      </c>
      <c r="B10003" t="s">
        <v>1689</v>
      </c>
      <c r="C10003" t="s">
        <v>12731</v>
      </c>
      <c r="E10003" t="s">
        <v>26820</v>
      </c>
      <c r="F10003" t="s">
        <v>31574</v>
      </c>
      <c r="G10003" t="s">
        <v>31582</v>
      </c>
      <c r="H10003" t="s">
        <v>31590</v>
      </c>
      <c r="I10003" t="s">
        <v>4327</v>
      </c>
      <c r="J10003" t="s">
        <v>37985</v>
      </c>
      <c r="K10003" t="s">
        <v>41184</v>
      </c>
      <c r="M10003" t="s">
        <v>43303</v>
      </c>
      <c r="N10003" t="s">
        <v>45095</v>
      </c>
      <c r="O10003" t="s">
        <v>45096</v>
      </c>
      <c r="P10003">
        <v>0</v>
      </c>
      <c r="Q10003">
        <v>1</v>
      </c>
      <c r="R10003" t="s">
        <v>45107</v>
      </c>
      <c r="S10003" t="s">
        <v>45386</v>
      </c>
      <c r="T10003" t="s">
        <v>47336</v>
      </c>
      <c r="U10003" t="s">
        <v>55751</v>
      </c>
      <c r="W10003" t="s">
        <v>43303</v>
      </c>
      <c r="X10003" t="s">
        <v>45108</v>
      </c>
    </row>
    <row r="10004" spans="1:24">
      <c r="A10004">
        <f>HYPERLINK("https://www.philgeps.gov.ph/GEPSNONPILOT/Tender/SplashBidNoticeAbstractUI.aspx?menuIndex=3&amp;refID=7031131&amp;Result=3","7031131")</f>
        <v>0</v>
      </c>
      <c r="B10004" t="s">
        <v>1689</v>
      </c>
      <c r="C10004" t="s">
        <v>12732</v>
      </c>
      <c r="E10004" t="s">
        <v>26821</v>
      </c>
      <c r="F10004" t="s">
        <v>31574</v>
      </c>
      <c r="G10004" t="s">
        <v>31582</v>
      </c>
      <c r="H10004" t="s">
        <v>31590</v>
      </c>
      <c r="I10004" t="s">
        <v>31603</v>
      </c>
      <c r="J10004" t="s">
        <v>37986</v>
      </c>
      <c r="K10004" t="s">
        <v>41184</v>
      </c>
      <c r="M10004" t="s">
        <v>43303</v>
      </c>
      <c r="N10004" t="s">
        <v>45095</v>
      </c>
      <c r="O10004" t="s">
        <v>45096</v>
      </c>
      <c r="P10004">
        <v>0</v>
      </c>
      <c r="Q10004">
        <v>8</v>
      </c>
      <c r="R10004" t="s">
        <v>45107</v>
      </c>
      <c r="S10004" t="s">
        <v>45386</v>
      </c>
      <c r="T10004" t="s">
        <v>47336</v>
      </c>
      <c r="U10004" t="s">
        <v>55752</v>
      </c>
      <c r="W10004" t="s">
        <v>43303</v>
      </c>
      <c r="X10004" t="s">
        <v>45108</v>
      </c>
    </row>
    <row r="10005" spans="1:24">
      <c r="A10005">
        <f>HYPERLINK("https://www.philgeps.gov.ph/GEPSNONPILOT/Tender/SplashBidNoticeAbstractUI.aspx?menuIndex=3&amp;refID=7031148&amp;Result=3","7031148")</f>
        <v>0</v>
      </c>
      <c r="B10005" t="s">
        <v>226</v>
      </c>
      <c r="C10005" t="s">
        <v>12733</v>
      </c>
      <c r="D10005" t="s">
        <v>18041</v>
      </c>
      <c r="E10005" t="s">
        <v>26822</v>
      </c>
      <c r="F10005" t="s">
        <v>31574</v>
      </c>
      <c r="G10005" t="s">
        <v>31586</v>
      </c>
      <c r="H10005" t="s">
        <v>31590</v>
      </c>
      <c r="I10005" t="s">
        <v>31612</v>
      </c>
      <c r="J10005" t="s">
        <v>31742</v>
      </c>
      <c r="K10005" t="s">
        <v>41184</v>
      </c>
      <c r="M10005" t="s">
        <v>41711</v>
      </c>
      <c r="N10005" t="s">
        <v>45095</v>
      </c>
      <c r="O10005" t="s">
        <v>45096</v>
      </c>
      <c r="P10005">
        <v>0</v>
      </c>
      <c r="Q10005">
        <v>1</v>
      </c>
      <c r="R10005" t="s">
        <v>45107</v>
      </c>
      <c r="S10005" t="s">
        <v>45386</v>
      </c>
      <c r="T10005" t="s">
        <v>47177</v>
      </c>
      <c r="U10005" t="s">
        <v>53889</v>
      </c>
      <c r="W10005" t="s">
        <v>41711</v>
      </c>
      <c r="X10005" t="s">
        <v>45108</v>
      </c>
    </row>
    <row r="10006" spans="1:24">
      <c r="A10006">
        <f>HYPERLINK("https://www.philgeps.gov.ph/GEPSNONPILOT/Tender/SplashBidNoticeAbstractUI.aspx?menuIndex=3&amp;refID=7031114&amp;Result=3","7031114")</f>
        <v>0</v>
      </c>
      <c r="B10006" t="s">
        <v>2489</v>
      </c>
      <c r="C10006" t="s">
        <v>12734</v>
      </c>
      <c r="D10006" t="s">
        <v>18055</v>
      </c>
      <c r="E10006" t="s">
        <v>26823</v>
      </c>
      <c r="F10006" t="s">
        <v>31574</v>
      </c>
      <c r="G10006" t="s">
        <v>31582</v>
      </c>
      <c r="H10006" t="s">
        <v>31591</v>
      </c>
      <c r="I10006" t="s">
        <v>8822</v>
      </c>
      <c r="J10006" t="s">
        <v>33279</v>
      </c>
      <c r="K10006" t="s">
        <v>41310</v>
      </c>
      <c r="L10006" t="s">
        <v>2489</v>
      </c>
      <c r="M10006" t="s">
        <v>44220</v>
      </c>
      <c r="N10006" t="s">
        <v>45095</v>
      </c>
      <c r="O10006" t="s">
        <v>45096</v>
      </c>
      <c r="P10006">
        <v>0</v>
      </c>
      <c r="Q10006">
        <v>17</v>
      </c>
      <c r="R10006" t="s">
        <v>45107</v>
      </c>
      <c r="S10006" t="s">
        <v>45386</v>
      </c>
      <c r="T10006" t="s">
        <v>46962</v>
      </c>
      <c r="U10006" t="s">
        <v>55753</v>
      </c>
      <c r="W10006" t="s">
        <v>44220</v>
      </c>
      <c r="X10006" t="s">
        <v>45108</v>
      </c>
    </row>
    <row r="10007" spans="1:24">
      <c r="A10007">
        <f>HYPERLINK("https://www.philgeps.gov.ph/GEPSNONPILOT/Tender/SplashBidNoticeAbstractUI.aspx?menuIndex=3&amp;refID=7031066&amp;Result=3","7031066")</f>
        <v>0</v>
      </c>
      <c r="B10007" t="s">
        <v>2679</v>
      </c>
      <c r="C10007" t="s">
        <v>12735</v>
      </c>
      <c r="D10007" t="s">
        <v>18056</v>
      </c>
      <c r="E10007" t="s">
        <v>18380</v>
      </c>
      <c r="F10007" t="s">
        <v>31574</v>
      </c>
      <c r="G10007" t="s">
        <v>31582</v>
      </c>
      <c r="H10007" t="s">
        <v>31591</v>
      </c>
      <c r="I10007" t="s">
        <v>8822</v>
      </c>
      <c r="J10007" t="s">
        <v>37987</v>
      </c>
      <c r="K10007" t="s">
        <v>41184</v>
      </c>
      <c r="M10007" t="s">
        <v>44444</v>
      </c>
      <c r="N10007" t="s">
        <v>45095</v>
      </c>
      <c r="O10007" t="s">
        <v>45096</v>
      </c>
      <c r="P10007">
        <v>0</v>
      </c>
      <c r="Q10007">
        <v>1</v>
      </c>
      <c r="R10007" t="s">
        <v>45107</v>
      </c>
      <c r="S10007" t="s">
        <v>45386</v>
      </c>
      <c r="T10007" t="s">
        <v>47010</v>
      </c>
      <c r="U10007" t="s">
        <v>55733</v>
      </c>
      <c r="W10007" t="s">
        <v>44444</v>
      </c>
      <c r="X10007" t="s">
        <v>45108</v>
      </c>
    </row>
    <row r="10008" spans="1:24">
      <c r="A10008">
        <f>HYPERLINK("https://www.philgeps.gov.ph/GEPSNONPILOT/Tender/SplashBidNoticeAbstractUI.aspx?menuIndex=3&amp;refID=7031130&amp;Result=3","7031130")</f>
        <v>0</v>
      </c>
      <c r="B10008" t="s">
        <v>435</v>
      </c>
      <c r="C10008" t="s">
        <v>12736</v>
      </c>
      <c r="D10008" t="s">
        <v>18057</v>
      </c>
      <c r="E10008" t="s">
        <v>26824</v>
      </c>
      <c r="F10008" t="s">
        <v>31575</v>
      </c>
      <c r="G10008" t="s">
        <v>31582</v>
      </c>
      <c r="H10008" t="s">
        <v>31590</v>
      </c>
      <c r="I10008" t="s">
        <v>31594</v>
      </c>
      <c r="J10008" t="s">
        <v>32662</v>
      </c>
      <c r="K10008" t="s">
        <v>41189</v>
      </c>
      <c r="M10008" t="s">
        <v>41928</v>
      </c>
      <c r="N10008" t="s">
        <v>45095</v>
      </c>
      <c r="O10008" t="s">
        <v>45096</v>
      </c>
      <c r="Q10008">
        <v>10</v>
      </c>
      <c r="R10008" t="s">
        <v>45107</v>
      </c>
      <c r="S10008" t="s">
        <v>45410</v>
      </c>
      <c r="T10008" t="s">
        <v>47063</v>
      </c>
      <c r="U10008" t="s">
        <v>55754</v>
      </c>
      <c r="W10008" t="s">
        <v>41928</v>
      </c>
      <c r="X10008" t="s">
        <v>45108</v>
      </c>
    </row>
    <row r="10009" spans="1:24">
      <c r="A10009">
        <f>HYPERLINK("https://www.philgeps.gov.ph/GEPSNONPILOT/Tender/SplashBidNoticeAbstractUI.aspx?menuIndex=3&amp;refID=7031118&amp;Result=3","7031118")</f>
        <v>0</v>
      </c>
      <c r="B10009" t="s">
        <v>2684</v>
      </c>
      <c r="C10009" t="s">
        <v>11881</v>
      </c>
      <c r="D10009" t="s">
        <v>18025</v>
      </c>
      <c r="E10009" t="s">
        <v>26007</v>
      </c>
      <c r="F10009" t="s">
        <v>31574</v>
      </c>
      <c r="G10009" t="s">
        <v>31582</v>
      </c>
      <c r="H10009" t="s">
        <v>31590</v>
      </c>
      <c r="I10009" t="s">
        <v>4046</v>
      </c>
      <c r="J10009" t="s">
        <v>37988</v>
      </c>
      <c r="K10009" t="s">
        <v>41190</v>
      </c>
      <c r="M10009" t="s">
        <v>44449</v>
      </c>
      <c r="N10009" t="s">
        <v>45095</v>
      </c>
      <c r="O10009" t="s">
        <v>45096</v>
      </c>
      <c r="P10009">
        <v>0</v>
      </c>
      <c r="Q10009">
        <v>2</v>
      </c>
      <c r="R10009" t="s">
        <v>45107</v>
      </c>
      <c r="S10009" t="s">
        <v>45386</v>
      </c>
      <c r="T10009" t="s">
        <v>47164</v>
      </c>
      <c r="U10009" t="s">
        <v>55755</v>
      </c>
      <c r="W10009" t="s">
        <v>44449</v>
      </c>
      <c r="X10009" t="s">
        <v>45108</v>
      </c>
    </row>
    <row r="10010" spans="1:24">
      <c r="A10010">
        <f>HYPERLINK("https://www.philgeps.gov.ph/GEPSNONPILOT/Tender/SplashBidNoticeAbstractUI.aspx?menuIndex=3&amp;refID=7031190&amp;Result=3","7031190")</f>
        <v>0</v>
      </c>
      <c r="B10010" t="s">
        <v>2678</v>
      </c>
      <c r="C10010" t="s">
        <v>12737</v>
      </c>
      <c r="D10010" t="s">
        <v>18066</v>
      </c>
      <c r="E10010" t="s">
        <v>26825</v>
      </c>
      <c r="F10010" t="s">
        <v>31575</v>
      </c>
      <c r="G10010" t="s">
        <v>31582</v>
      </c>
      <c r="H10010" t="s">
        <v>31591</v>
      </c>
      <c r="I10010" t="s">
        <v>8822</v>
      </c>
      <c r="J10010" t="s">
        <v>34360</v>
      </c>
      <c r="K10010" t="s">
        <v>41274</v>
      </c>
      <c r="M10010" t="s">
        <v>44443</v>
      </c>
      <c r="N10010" t="s">
        <v>45095</v>
      </c>
      <c r="O10010" t="s">
        <v>45096</v>
      </c>
      <c r="P10010">
        <v>0</v>
      </c>
      <c r="Q10010">
        <v>6</v>
      </c>
      <c r="R10010" t="s">
        <v>45107</v>
      </c>
      <c r="S10010" t="s">
        <v>45386</v>
      </c>
      <c r="T10010" t="s">
        <v>47161</v>
      </c>
      <c r="U10010" t="s">
        <v>55729</v>
      </c>
      <c r="V10010" t="s">
        <v>60897</v>
      </c>
      <c r="W10010" t="s">
        <v>44443</v>
      </c>
      <c r="X10010" t="s">
        <v>45108</v>
      </c>
    </row>
    <row r="10011" spans="1:24">
      <c r="A10011">
        <f>HYPERLINK("https://www.philgeps.gov.ph/GEPSNONPILOT/Tender/SplashBidNoticeAbstractUI.aspx?menuIndex=3&amp;refID=7031113&amp;Result=3","7031113")</f>
        <v>0</v>
      </c>
      <c r="B10011" t="s">
        <v>1689</v>
      </c>
      <c r="C10011" t="s">
        <v>12738</v>
      </c>
      <c r="E10011" t="s">
        <v>26826</v>
      </c>
      <c r="F10011" t="s">
        <v>31574</v>
      </c>
      <c r="G10011" t="s">
        <v>31582</v>
      </c>
      <c r="H10011" t="s">
        <v>31590</v>
      </c>
      <c r="I10011" t="s">
        <v>31600</v>
      </c>
      <c r="J10011" t="s">
        <v>37989</v>
      </c>
      <c r="K10011" t="s">
        <v>41184</v>
      </c>
      <c r="M10011" t="s">
        <v>43303</v>
      </c>
      <c r="N10011" t="s">
        <v>45095</v>
      </c>
      <c r="O10011" t="s">
        <v>45096</v>
      </c>
      <c r="P10011">
        <v>0</v>
      </c>
      <c r="Q10011">
        <v>3</v>
      </c>
      <c r="R10011" t="s">
        <v>45107</v>
      </c>
      <c r="S10011" t="s">
        <v>45386</v>
      </c>
      <c r="T10011" t="s">
        <v>47336</v>
      </c>
      <c r="U10011" t="s">
        <v>55756</v>
      </c>
      <c r="W10011" t="s">
        <v>43303</v>
      </c>
      <c r="X10011" t="s">
        <v>45108</v>
      </c>
    </row>
    <row r="10012" spans="1:24">
      <c r="A10012">
        <f>HYPERLINK("https://www.philgeps.gov.ph/GEPSNONPILOT/Tender/SplashBidNoticeAbstractUI.aspx?menuIndex=3&amp;refID=7031124&amp;Result=3","7031124")</f>
        <v>0</v>
      </c>
      <c r="B10012" t="s">
        <v>132</v>
      </c>
      <c r="C10012" t="s">
        <v>12739</v>
      </c>
      <c r="D10012" t="s">
        <v>18059</v>
      </c>
      <c r="E10012" t="s">
        <v>26827</v>
      </c>
      <c r="F10012" t="s">
        <v>31574</v>
      </c>
      <c r="G10012" t="s">
        <v>31582</v>
      </c>
      <c r="H10012" t="s">
        <v>31590</v>
      </c>
      <c r="I10012" t="s">
        <v>4046</v>
      </c>
      <c r="J10012" t="s">
        <v>37990</v>
      </c>
      <c r="K10012" t="s">
        <v>41190</v>
      </c>
      <c r="M10012" t="s">
        <v>41616</v>
      </c>
      <c r="N10012" t="s">
        <v>45095</v>
      </c>
      <c r="O10012" t="s">
        <v>45096</v>
      </c>
      <c r="P10012">
        <v>0</v>
      </c>
      <c r="Q10012">
        <v>0</v>
      </c>
      <c r="R10012" t="s">
        <v>45107</v>
      </c>
      <c r="S10012" t="s">
        <v>45386</v>
      </c>
      <c r="T10012" t="s">
        <v>47159</v>
      </c>
      <c r="U10012" t="s">
        <v>55757</v>
      </c>
      <c r="W10012" t="s">
        <v>41616</v>
      </c>
      <c r="X10012" t="s">
        <v>45108</v>
      </c>
    </row>
    <row r="10013" spans="1:24">
      <c r="A10013">
        <f>HYPERLINK("https://www.philgeps.gov.ph/GEPSNONPILOT/Tender/SplashBidNoticeAbstractUI.aspx?menuIndex=3&amp;refID=7031111&amp;Result=3","7031111")</f>
        <v>0</v>
      </c>
      <c r="B10013" t="s">
        <v>2685</v>
      </c>
      <c r="C10013" t="s">
        <v>12740</v>
      </c>
      <c r="E10013" t="s">
        <v>26828</v>
      </c>
      <c r="F10013" t="s">
        <v>31574</v>
      </c>
      <c r="G10013" t="s">
        <v>31581</v>
      </c>
      <c r="H10013" t="s">
        <v>31590</v>
      </c>
      <c r="I10013" t="s">
        <v>4046</v>
      </c>
      <c r="J10013" t="s">
        <v>37991</v>
      </c>
      <c r="K10013" t="s">
        <v>41191</v>
      </c>
      <c r="M10013" t="s">
        <v>44450</v>
      </c>
      <c r="N10013" t="s">
        <v>45095</v>
      </c>
      <c r="O10013" t="s">
        <v>45096</v>
      </c>
      <c r="P10013">
        <v>0</v>
      </c>
      <c r="Q10013">
        <v>0</v>
      </c>
      <c r="R10013" t="s">
        <v>45107</v>
      </c>
      <c r="S10013" t="s">
        <v>45386</v>
      </c>
      <c r="T10013" t="s">
        <v>46920</v>
      </c>
      <c r="U10013" t="s">
        <v>55758</v>
      </c>
      <c r="W10013" t="s">
        <v>44450</v>
      </c>
      <c r="X10013" t="s">
        <v>45108</v>
      </c>
    </row>
    <row r="10014" spans="1:24">
      <c r="A10014">
        <f>HYPERLINK("https://www.philgeps.gov.ph/GEPSNONPILOT/Tender/SplashBidNoticeAbstractUI.aspx?menuIndex=3&amp;refID=7031185&amp;Result=3","7031185")</f>
        <v>0</v>
      </c>
      <c r="B10014" t="s">
        <v>2681</v>
      </c>
      <c r="C10014" t="s">
        <v>12741</v>
      </c>
      <c r="D10014" t="s">
        <v>18071</v>
      </c>
      <c r="E10014" t="s">
        <v>26829</v>
      </c>
      <c r="F10014" t="s">
        <v>31574</v>
      </c>
      <c r="G10014" t="s">
        <v>31582</v>
      </c>
      <c r="H10014" t="s">
        <v>31591</v>
      </c>
      <c r="I10014" t="s">
        <v>8822</v>
      </c>
      <c r="J10014" t="s">
        <v>37992</v>
      </c>
      <c r="K10014" t="s">
        <v>41192</v>
      </c>
      <c r="M10014" t="s">
        <v>44446</v>
      </c>
      <c r="N10014" t="s">
        <v>45095</v>
      </c>
      <c r="O10014" t="s">
        <v>45096</v>
      </c>
      <c r="P10014">
        <v>0</v>
      </c>
      <c r="Q10014">
        <v>0</v>
      </c>
      <c r="R10014" t="s">
        <v>45107</v>
      </c>
      <c r="S10014" t="s">
        <v>45386</v>
      </c>
      <c r="T10014" t="s">
        <v>46914</v>
      </c>
      <c r="U10014" t="s">
        <v>55759</v>
      </c>
      <c r="V10014" t="s">
        <v>60898</v>
      </c>
      <c r="W10014" t="s">
        <v>44446</v>
      </c>
      <c r="X10014" t="s">
        <v>45108</v>
      </c>
    </row>
    <row r="10015" spans="1:24">
      <c r="A10015">
        <f>HYPERLINK("https://www.philgeps.gov.ph/GEPSNONPILOT/Tender/SplashBidNoticeAbstractUI.aspx?menuIndex=3&amp;refID=7031193&amp;Result=3","7031193")</f>
        <v>0</v>
      </c>
      <c r="B10015" t="s">
        <v>2686</v>
      </c>
      <c r="C10015" t="s">
        <v>12742</v>
      </c>
      <c r="D10015" t="s">
        <v>18072</v>
      </c>
      <c r="E10015" t="s">
        <v>26830</v>
      </c>
      <c r="F10015" t="s">
        <v>31574</v>
      </c>
      <c r="G10015" t="s">
        <v>31582</v>
      </c>
      <c r="H10015" t="s">
        <v>31591</v>
      </c>
      <c r="I10015" t="s">
        <v>8822</v>
      </c>
      <c r="J10015" t="s">
        <v>37993</v>
      </c>
      <c r="K10015" t="s">
        <v>41263</v>
      </c>
      <c r="M10015" t="s">
        <v>44451</v>
      </c>
      <c r="N10015" t="s">
        <v>45095</v>
      </c>
      <c r="O10015" t="s">
        <v>45096</v>
      </c>
      <c r="P10015">
        <v>0</v>
      </c>
      <c r="Q10015">
        <v>1</v>
      </c>
      <c r="R10015" t="s">
        <v>45107</v>
      </c>
      <c r="S10015" t="s">
        <v>45386</v>
      </c>
      <c r="T10015" t="s">
        <v>46943</v>
      </c>
      <c r="U10015" t="s">
        <v>55760</v>
      </c>
      <c r="W10015" t="s">
        <v>44451</v>
      </c>
      <c r="X10015" t="s">
        <v>45108</v>
      </c>
    </row>
    <row r="10016" spans="1:24">
      <c r="A10016">
        <f>HYPERLINK("https://www.philgeps.gov.ph/GEPSNONPILOT/Tender/SplashBidNoticeAbstractUI.aspx?menuIndex=3&amp;refID=7031164&amp;Result=3","7031164")</f>
        <v>0</v>
      </c>
      <c r="B10016" t="s">
        <v>1689</v>
      </c>
      <c r="C10016" t="s">
        <v>12743</v>
      </c>
      <c r="E10016" t="s">
        <v>26831</v>
      </c>
      <c r="F10016" t="s">
        <v>31574</v>
      </c>
      <c r="G10016" t="s">
        <v>31582</v>
      </c>
      <c r="H10016" t="s">
        <v>31590</v>
      </c>
      <c r="I10016" t="s">
        <v>31603</v>
      </c>
      <c r="J10016" t="s">
        <v>37994</v>
      </c>
      <c r="K10016" t="s">
        <v>41184</v>
      </c>
      <c r="M10016" t="s">
        <v>43303</v>
      </c>
      <c r="N10016" t="s">
        <v>45095</v>
      </c>
      <c r="O10016" t="s">
        <v>45096</v>
      </c>
      <c r="P10016">
        <v>0</v>
      </c>
      <c r="Q10016">
        <v>5</v>
      </c>
      <c r="R10016" t="s">
        <v>45107</v>
      </c>
      <c r="S10016" t="s">
        <v>45386</v>
      </c>
      <c r="T10016" t="s">
        <v>47336</v>
      </c>
      <c r="U10016" t="s">
        <v>55761</v>
      </c>
      <c r="W10016" t="s">
        <v>43303</v>
      </c>
      <c r="X10016" t="s">
        <v>45108</v>
      </c>
    </row>
    <row r="10017" spans="1:24">
      <c r="A10017">
        <f>HYPERLINK("https://www.philgeps.gov.ph/GEPSNONPILOT/Tender/SplashBidNoticeAbstractUI.aspx?menuIndex=3&amp;refID=7031152&amp;Result=3","7031152")</f>
        <v>0</v>
      </c>
      <c r="B10017" t="s">
        <v>1689</v>
      </c>
      <c r="C10017" t="s">
        <v>12744</v>
      </c>
      <c r="E10017" t="s">
        <v>26832</v>
      </c>
      <c r="F10017" t="s">
        <v>31574</v>
      </c>
      <c r="G10017" t="s">
        <v>31582</v>
      </c>
      <c r="H10017" t="s">
        <v>31590</v>
      </c>
      <c r="I10017" t="s">
        <v>31603</v>
      </c>
      <c r="J10017" t="s">
        <v>37995</v>
      </c>
      <c r="K10017" t="s">
        <v>41184</v>
      </c>
      <c r="M10017" t="s">
        <v>43303</v>
      </c>
      <c r="N10017" t="s">
        <v>45095</v>
      </c>
      <c r="O10017" t="s">
        <v>45096</v>
      </c>
      <c r="P10017">
        <v>0</v>
      </c>
      <c r="Q10017">
        <v>6</v>
      </c>
      <c r="R10017" t="s">
        <v>45107</v>
      </c>
      <c r="S10017" t="s">
        <v>45386</v>
      </c>
      <c r="T10017" t="s">
        <v>47336</v>
      </c>
      <c r="U10017" t="s">
        <v>55762</v>
      </c>
      <c r="W10017" t="s">
        <v>43303</v>
      </c>
      <c r="X10017" t="s">
        <v>45108</v>
      </c>
    </row>
    <row r="10018" spans="1:24">
      <c r="A10018">
        <f>HYPERLINK("https://www.philgeps.gov.ph/GEPSNONPILOT/Tender/SplashBidNoticeAbstractUI.aspx?menuIndex=3&amp;refID=7031121&amp;Result=3","7031121")</f>
        <v>0</v>
      </c>
      <c r="B10018" t="s">
        <v>192</v>
      </c>
      <c r="C10018" t="s">
        <v>12745</v>
      </c>
      <c r="D10018" t="s">
        <v>18065</v>
      </c>
      <c r="E10018" t="s">
        <v>26833</v>
      </c>
      <c r="F10018" t="s">
        <v>31574</v>
      </c>
      <c r="G10018" t="s">
        <v>31582</v>
      </c>
      <c r="H10018" t="s">
        <v>31591</v>
      </c>
      <c r="I10018" t="s">
        <v>8822</v>
      </c>
      <c r="J10018" t="s">
        <v>37939</v>
      </c>
      <c r="K10018" t="s">
        <v>41407</v>
      </c>
      <c r="M10018" t="s">
        <v>44434</v>
      </c>
      <c r="N10018" t="s">
        <v>45095</v>
      </c>
      <c r="O10018" t="s">
        <v>45096</v>
      </c>
      <c r="P10018">
        <v>0</v>
      </c>
      <c r="Q10018">
        <v>0</v>
      </c>
      <c r="R10018" t="s">
        <v>45107</v>
      </c>
      <c r="S10018" t="s">
        <v>45386</v>
      </c>
      <c r="T10018" t="s">
        <v>46988</v>
      </c>
      <c r="U10018" t="s">
        <v>55763</v>
      </c>
      <c r="W10018" t="s">
        <v>44434</v>
      </c>
      <c r="X10018" t="s">
        <v>45108</v>
      </c>
    </row>
    <row r="10019" spans="1:24">
      <c r="A10019">
        <f>HYPERLINK("https://www.philgeps.gov.ph/GEPSNONPILOT/Tender/SplashBidNoticeAbstractUI.aspx?menuIndex=3&amp;refID=7031150&amp;Result=3","7031150")</f>
        <v>0</v>
      </c>
      <c r="B10019" t="s">
        <v>2687</v>
      </c>
      <c r="C10019" t="s">
        <v>4941</v>
      </c>
      <c r="D10019" t="s">
        <v>18033</v>
      </c>
      <c r="E10019" t="s">
        <v>18192</v>
      </c>
      <c r="F10019" t="s">
        <v>31574</v>
      </c>
      <c r="G10019" t="s">
        <v>31582</v>
      </c>
      <c r="H10019" t="s">
        <v>31590</v>
      </c>
      <c r="I10019" t="s">
        <v>7162</v>
      </c>
      <c r="J10019" t="s">
        <v>32595</v>
      </c>
      <c r="K10019" t="s">
        <v>41184</v>
      </c>
      <c r="M10019" t="s">
        <v>44452</v>
      </c>
      <c r="N10019" t="s">
        <v>45095</v>
      </c>
      <c r="O10019" t="s">
        <v>45096</v>
      </c>
      <c r="P10019">
        <v>0</v>
      </c>
      <c r="Q10019">
        <v>0</v>
      </c>
      <c r="R10019" t="s">
        <v>45107</v>
      </c>
      <c r="S10019" t="s">
        <v>45386</v>
      </c>
      <c r="T10019" t="s">
        <v>46913</v>
      </c>
      <c r="U10019" t="s">
        <v>55764</v>
      </c>
      <c r="W10019" t="s">
        <v>44452</v>
      </c>
      <c r="X10019" t="s">
        <v>45108</v>
      </c>
    </row>
    <row r="10020" spans="1:24">
      <c r="A10020">
        <f>HYPERLINK("https://www.philgeps.gov.ph/GEPSNONPILOT/Tender/SplashBidNoticeAbstractUI.aspx?menuIndex=3&amp;refID=7031151&amp;Result=3","7031151")</f>
        <v>0</v>
      </c>
      <c r="B10020" t="s">
        <v>2140</v>
      </c>
      <c r="C10020" t="s">
        <v>12746</v>
      </c>
      <c r="D10020" t="s">
        <v>18056</v>
      </c>
      <c r="E10020" t="s">
        <v>26834</v>
      </c>
      <c r="F10020" t="s">
        <v>31574</v>
      </c>
      <c r="G10020" t="s">
        <v>31582</v>
      </c>
      <c r="H10020" t="s">
        <v>31591</v>
      </c>
      <c r="I10020" t="s">
        <v>8822</v>
      </c>
      <c r="J10020" t="s">
        <v>32026</v>
      </c>
      <c r="K10020" t="s">
        <v>41192</v>
      </c>
      <c r="M10020" t="s">
        <v>43822</v>
      </c>
      <c r="N10020" t="s">
        <v>45095</v>
      </c>
      <c r="O10020" t="s">
        <v>45096</v>
      </c>
      <c r="P10020">
        <v>0</v>
      </c>
      <c r="Q10020">
        <v>0</v>
      </c>
      <c r="R10020" t="s">
        <v>45107</v>
      </c>
      <c r="S10020" t="s">
        <v>45386</v>
      </c>
      <c r="T10020" t="s">
        <v>46977</v>
      </c>
      <c r="U10020" t="s">
        <v>55765</v>
      </c>
      <c r="W10020" t="s">
        <v>43822</v>
      </c>
      <c r="X10020" t="s">
        <v>45108</v>
      </c>
    </row>
    <row r="10021" spans="1:24">
      <c r="A10021">
        <f>HYPERLINK("https://www.philgeps.gov.ph/GEPSNONPILOT/Tender/SplashBidNoticeAbstractUI.aspx?menuIndex=3&amp;refID=7031194&amp;Result=3","7031194")</f>
        <v>0</v>
      </c>
      <c r="B10021" t="s">
        <v>1689</v>
      </c>
      <c r="C10021" t="s">
        <v>12747</v>
      </c>
      <c r="E10021" t="s">
        <v>26835</v>
      </c>
      <c r="F10021" t="s">
        <v>31574</v>
      </c>
      <c r="G10021" t="s">
        <v>31582</v>
      </c>
      <c r="H10021" t="s">
        <v>31590</v>
      </c>
      <c r="I10021" t="s">
        <v>6800</v>
      </c>
      <c r="J10021" t="s">
        <v>37996</v>
      </c>
      <c r="K10021" t="s">
        <v>41184</v>
      </c>
      <c r="M10021" t="s">
        <v>43303</v>
      </c>
      <c r="N10021" t="s">
        <v>45095</v>
      </c>
      <c r="O10021" t="s">
        <v>45096</v>
      </c>
      <c r="P10021">
        <v>0</v>
      </c>
      <c r="Q10021">
        <v>0</v>
      </c>
      <c r="R10021" t="s">
        <v>45107</v>
      </c>
      <c r="S10021" t="s">
        <v>45386</v>
      </c>
      <c r="T10021" t="s">
        <v>47336</v>
      </c>
      <c r="U10021" t="s">
        <v>55766</v>
      </c>
      <c r="W10021" t="s">
        <v>43303</v>
      </c>
      <c r="X10021" t="s">
        <v>45108</v>
      </c>
    </row>
    <row r="10022" spans="1:24">
      <c r="A10022">
        <f>HYPERLINK("https://www.philgeps.gov.ph/GEPSNONPILOT/Tender/SplashBidNoticeAbstractUI.aspx?menuIndex=3&amp;refID=7031180&amp;Result=3","7031180")</f>
        <v>0</v>
      </c>
      <c r="B10022" t="s">
        <v>2568</v>
      </c>
      <c r="C10022" t="s">
        <v>12748</v>
      </c>
      <c r="D10022" t="s">
        <v>18022</v>
      </c>
      <c r="E10022" t="s">
        <v>18607</v>
      </c>
      <c r="F10022" t="s">
        <v>31574</v>
      </c>
      <c r="G10022" t="s">
        <v>31582</v>
      </c>
      <c r="H10022" t="s">
        <v>31592</v>
      </c>
      <c r="I10022" t="s">
        <v>31670</v>
      </c>
      <c r="J10022" t="s">
        <v>31727</v>
      </c>
      <c r="K10022" t="s">
        <v>41190</v>
      </c>
      <c r="M10022" t="s">
        <v>44309</v>
      </c>
      <c r="N10022" t="s">
        <v>45095</v>
      </c>
      <c r="O10022" t="s">
        <v>45096</v>
      </c>
      <c r="P10022">
        <v>0</v>
      </c>
      <c r="Q10022">
        <v>5</v>
      </c>
      <c r="R10022" t="s">
        <v>45107</v>
      </c>
      <c r="S10022" t="s">
        <v>45386</v>
      </c>
      <c r="T10022" t="s">
        <v>46949</v>
      </c>
      <c r="U10022" t="s">
        <v>55767</v>
      </c>
      <c r="W10022" t="s">
        <v>44309</v>
      </c>
      <c r="X10022" t="s">
        <v>45108</v>
      </c>
    </row>
    <row r="10023" spans="1:24">
      <c r="A10023">
        <f>HYPERLINK("https://www.philgeps.gov.ph/GEPSNONPILOT/Tender/SplashBidNoticeAbstractUI.aspx?menuIndex=3&amp;refID=7031232&amp;Result=3","7031232")</f>
        <v>0</v>
      </c>
      <c r="B10023" t="s">
        <v>2688</v>
      </c>
      <c r="C10023" t="s">
        <v>11881</v>
      </c>
      <c r="D10023" t="s">
        <v>18025</v>
      </c>
      <c r="E10023" t="s">
        <v>26007</v>
      </c>
      <c r="F10023" t="s">
        <v>31574</v>
      </c>
      <c r="G10023" t="s">
        <v>31582</v>
      </c>
      <c r="H10023" t="s">
        <v>31590</v>
      </c>
      <c r="I10023" t="s">
        <v>4046</v>
      </c>
      <c r="J10023" t="s">
        <v>37997</v>
      </c>
      <c r="K10023" t="s">
        <v>41190</v>
      </c>
      <c r="M10023" t="s">
        <v>44453</v>
      </c>
      <c r="N10023" t="s">
        <v>45095</v>
      </c>
      <c r="O10023" t="s">
        <v>45096</v>
      </c>
      <c r="P10023">
        <v>0</v>
      </c>
      <c r="Q10023">
        <v>2</v>
      </c>
      <c r="R10023" t="s">
        <v>45107</v>
      </c>
      <c r="S10023" t="s">
        <v>45386</v>
      </c>
      <c r="T10023" t="s">
        <v>47154</v>
      </c>
      <c r="U10023" t="s">
        <v>55768</v>
      </c>
      <c r="W10023" t="s">
        <v>44453</v>
      </c>
      <c r="X10023" t="s">
        <v>45108</v>
      </c>
    </row>
    <row r="10024" spans="1:24">
      <c r="A10024">
        <f>HYPERLINK("https://www.philgeps.gov.ph/GEPSNONPILOT/Tender/SplashBidNoticeAbstractUI.aspx?menuIndex=3&amp;refID=7031221&amp;Result=3","7031221")</f>
        <v>0</v>
      </c>
      <c r="B10024" t="s">
        <v>1689</v>
      </c>
      <c r="C10024" t="s">
        <v>12749</v>
      </c>
      <c r="E10024" t="s">
        <v>26836</v>
      </c>
      <c r="F10024" t="s">
        <v>31574</v>
      </c>
      <c r="G10024" t="s">
        <v>31582</v>
      </c>
      <c r="H10024" t="s">
        <v>31590</v>
      </c>
      <c r="I10024" t="s">
        <v>3539</v>
      </c>
      <c r="J10024" t="s">
        <v>37998</v>
      </c>
      <c r="K10024" t="s">
        <v>41184</v>
      </c>
      <c r="M10024" t="s">
        <v>43303</v>
      </c>
      <c r="N10024" t="s">
        <v>45095</v>
      </c>
      <c r="O10024" t="s">
        <v>45096</v>
      </c>
      <c r="P10024">
        <v>0</v>
      </c>
      <c r="Q10024">
        <v>2</v>
      </c>
      <c r="R10024" t="s">
        <v>45107</v>
      </c>
      <c r="S10024" t="s">
        <v>45386</v>
      </c>
      <c r="T10024" t="s">
        <v>47336</v>
      </c>
      <c r="U10024" t="s">
        <v>55769</v>
      </c>
      <c r="W10024" t="s">
        <v>43303</v>
      </c>
      <c r="X10024" t="s">
        <v>45108</v>
      </c>
    </row>
    <row r="10025" spans="1:24">
      <c r="A10025">
        <f>HYPERLINK("https://www.philgeps.gov.ph/GEPSNONPILOT/Tender/SplashBidNoticeAbstractUI.aspx?menuIndex=3&amp;refID=7031257&amp;Result=3","7031257")</f>
        <v>0</v>
      </c>
      <c r="B10025" t="s">
        <v>2489</v>
      </c>
      <c r="C10025" t="s">
        <v>12750</v>
      </c>
      <c r="D10025" t="s">
        <v>18055</v>
      </c>
      <c r="E10025" t="s">
        <v>26837</v>
      </c>
      <c r="F10025" t="s">
        <v>31574</v>
      </c>
      <c r="G10025" t="s">
        <v>31582</v>
      </c>
      <c r="H10025" t="s">
        <v>31591</v>
      </c>
      <c r="I10025" t="s">
        <v>8822</v>
      </c>
      <c r="J10025" t="s">
        <v>34743</v>
      </c>
      <c r="K10025" t="s">
        <v>41198</v>
      </c>
      <c r="L10025" t="s">
        <v>2489</v>
      </c>
      <c r="M10025" t="s">
        <v>44220</v>
      </c>
      <c r="N10025" t="s">
        <v>45095</v>
      </c>
      <c r="O10025" t="s">
        <v>45096</v>
      </c>
      <c r="P10025">
        <v>0</v>
      </c>
      <c r="Q10025">
        <v>19</v>
      </c>
      <c r="R10025" t="s">
        <v>45107</v>
      </c>
      <c r="S10025" t="s">
        <v>45386</v>
      </c>
      <c r="T10025" t="s">
        <v>46962</v>
      </c>
      <c r="U10025" t="s">
        <v>55770</v>
      </c>
      <c r="W10025" t="s">
        <v>44220</v>
      </c>
      <c r="X10025" t="s">
        <v>45108</v>
      </c>
    </row>
    <row r="10026" spans="1:24">
      <c r="A10026">
        <f>HYPERLINK("https://www.philgeps.gov.ph/GEPSNONPILOT/Tender/SplashBidNoticeAbstractUI.aspx?menuIndex=3&amp;refID=7031223&amp;Result=3","7031223")</f>
        <v>0</v>
      </c>
      <c r="B10026" t="s">
        <v>2424</v>
      </c>
      <c r="C10026" t="s">
        <v>12751</v>
      </c>
      <c r="E10026" t="s">
        <v>26838</v>
      </c>
      <c r="F10026" t="s">
        <v>31574</v>
      </c>
      <c r="G10026" t="s">
        <v>31582</v>
      </c>
      <c r="H10026" t="s">
        <v>31591</v>
      </c>
      <c r="I10026" t="s">
        <v>8822</v>
      </c>
      <c r="J10026" t="s">
        <v>37999</v>
      </c>
      <c r="K10026" t="s">
        <v>41408</v>
      </c>
      <c r="M10026" t="s">
        <v>44151</v>
      </c>
      <c r="N10026" t="s">
        <v>45095</v>
      </c>
      <c r="O10026" t="s">
        <v>45096</v>
      </c>
      <c r="Q10026">
        <v>6</v>
      </c>
      <c r="R10026" t="s">
        <v>45107</v>
      </c>
      <c r="S10026" t="s">
        <v>45411</v>
      </c>
      <c r="T10026" t="s">
        <v>47000</v>
      </c>
      <c r="U10026" t="s">
        <v>55771</v>
      </c>
      <c r="W10026" t="s">
        <v>44151</v>
      </c>
      <c r="X10026" t="s">
        <v>45108</v>
      </c>
    </row>
    <row r="10027" spans="1:24">
      <c r="A10027">
        <f>HYPERLINK("https://www.philgeps.gov.ph/GEPSNONPILOT/Tender/SplashBidNoticeAbstractUI.aspx?menuIndex=3&amp;refID=7031271&amp;Result=3","7031271")</f>
        <v>0</v>
      </c>
      <c r="B10027" t="s">
        <v>2678</v>
      </c>
      <c r="C10027" t="s">
        <v>12752</v>
      </c>
      <c r="D10027" t="s">
        <v>18066</v>
      </c>
      <c r="E10027" t="s">
        <v>26839</v>
      </c>
      <c r="F10027" t="s">
        <v>31575</v>
      </c>
      <c r="G10027" t="s">
        <v>31582</v>
      </c>
      <c r="H10027" t="s">
        <v>31591</v>
      </c>
      <c r="I10027" t="s">
        <v>8822</v>
      </c>
      <c r="J10027" t="s">
        <v>37939</v>
      </c>
      <c r="K10027" t="s">
        <v>41235</v>
      </c>
      <c r="M10027" t="s">
        <v>44443</v>
      </c>
      <c r="N10027" t="s">
        <v>45095</v>
      </c>
      <c r="O10027" t="s">
        <v>45096</v>
      </c>
      <c r="P10027">
        <v>0</v>
      </c>
      <c r="Q10027">
        <v>6</v>
      </c>
      <c r="R10027" t="s">
        <v>45107</v>
      </c>
      <c r="S10027" t="s">
        <v>45386</v>
      </c>
      <c r="T10027" t="s">
        <v>47161</v>
      </c>
      <c r="U10027" t="s">
        <v>55729</v>
      </c>
      <c r="V10027" t="s">
        <v>60897</v>
      </c>
      <c r="W10027" t="s">
        <v>44443</v>
      </c>
      <c r="X10027" t="s">
        <v>45108</v>
      </c>
    </row>
    <row r="10028" spans="1:24">
      <c r="A10028">
        <f>HYPERLINK("https://www.philgeps.gov.ph/GEPSNONPILOT/Tender/SplashBidNoticeAbstractUI.aspx?menuIndex=3&amp;refID=7031213&amp;Result=3","7031213")</f>
        <v>0</v>
      </c>
      <c r="B10028" t="s">
        <v>2669</v>
      </c>
      <c r="C10028" t="s">
        <v>12753</v>
      </c>
      <c r="D10028" t="s">
        <v>18037</v>
      </c>
      <c r="E10028" t="s">
        <v>26840</v>
      </c>
      <c r="F10028" t="s">
        <v>31574</v>
      </c>
      <c r="G10028" t="s">
        <v>31582</v>
      </c>
      <c r="H10028" t="s">
        <v>31590</v>
      </c>
      <c r="I10028" t="s">
        <v>31625</v>
      </c>
      <c r="J10028" t="s">
        <v>38000</v>
      </c>
      <c r="K10028" t="s">
        <v>41186</v>
      </c>
      <c r="M10028" t="s">
        <v>44430</v>
      </c>
      <c r="N10028" t="s">
        <v>45095</v>
      </c>
      <c r="O10028" t="s">
        <v>45096</v>
      </c>
      <c r="P10028">
        <v>0</v>
      </c>
      <c r="Q10028">
        <v>3</v>
      </c>
      <c r="R10028" t="s">
        <v>45107</v>
      </c>
      <c r="S10028" t="s">
        <v>45386</v>
      </c>
      <c r="T10028" t="s">
        <v>47371</v>
      </c>
      <c r="U10028" t="s">
        <v>55772</v>
      </c>
      <c r="W10028" t="s">
        <v>44430</v>
      </c>
      <c r="X10028" t="s">
        <v>45108</v>
      </c>
    </row>
    <row r="10029" spans="1:24">
      <c r="A10029">
        <f>HYPERLINK("https://www.philgeps.gov.ph/GEPSNONPILOT/Tender/SplashBidNoticeAbstractUI.aspx?menuIndex=3&amp;refID=7031268&amp;Result=3","7031268")</f>
        <v>0</v>
      </c>
      <c r="B10029" t="s">
        <v>2689</v>
      </c>
      <c r="C10029" t="s">
        <v>12754</v>
      </c>
      <c r="D10029" t="s">
        <v>18027</v>
      </c>
      <c r="E10029" t="s">
        <v>26841</v>
      </c>
      <c r="F10029" t="s">
        <v>31574</v>
      </c>
      <c r="G10029" t="s">
        <v>31582</v>
      </c>
      <c r="H10029" t="s">
        <v>31591</v>
      </c>
      <c r="I10029" t="s">
        <v>8822</v>
      </c>
      <c r="J10029" t="s">
        <v>38001</v>
      </c>
      <c r="K10029" t="s">
        <v>41186</v>
      </c>
      <c r="M10029" t="s">
        <v>44454</v>
      </c>
      <c r="N10029" t="s">
        <v>45095</v>
      </c>
      <c r="O10029" t="s">
        <v>45096</v>
      </c>
      <c r="P10029">
        <v>0</v>
      </c>
      <c r="Q10029">
        <v>0</v>
      </c>
      <c r="R10029" t="s">
        <v>45107</v>
      </c>
      <c r="S10029" t="s">
        <v>45386</v>
      </c>
      <c r="T10029" t="s">
        <v>46933</v>
      </c>
      <c r="U10029" t="s">
        <v>55773</v>
      </c>
      <c r="W10029" t="s">
        <v>44454</v>
      </c>
      <c r="X10029" t="s">
        <v>45108</v>
      </c>
    </row>
    <row r="10030" spans="1:24">
      <c r="A10030">
        <f>HYPERLINK("https://www.philgeps.gov.ph/GEPSNONPILOT/Tender/SplashBidNoticeAbstractUI.aspx?menuIndex=3&amp;refID=7031222&amp;Result=3","7031222")</f>
        <v>0</v>
      </c>
      <c r="B10030" t="s">
        <v>132</v>
      </c>
      <c r="C10030" t="s">
        <v>12755</v>
      </c>
      <c r="D10030" t="s">
        <v>18059</v>
      </c>
      <c r="E10030" t="s">
        <v>26842</v>
      </c>
      <c r="F10030" t="s">
        <v>31574</v>
      </c>
      <c r="G10030" t="s">
        <v>31582</v>
      </c>
      <c r="H10030" t="s">
        <v>31590</v>
      </c>
      <c r="I10030" t="s">
        <v>4046</v>
      </c>
      <c r="J10030" t="s">
        <v>38002</v>
      </c>
      <c r="K10030" t="s">
        <v>41190</v>
      </c>
      <c r="M10030" t="s">
        <v>41616</v>
      </c>
      <c r="N10030" t="s">
        <v>45095</v>
      </c>
      <c r="O10030" t="s">
        <v>45096</v>
      </c>
      <c r="P10030">
        <v>0</v>
      </c>
      <c r="Q10030">
        <v>0</v>
      </c>
      <c r="R10030" t="s">
        <v>45107</v>
      </c>
      <c r="S10030" t="s">
        <v>45386</v>
      </c>
      <c r="T10030" t="s">
        <v>47159</v>
      </c>
      <c r="U10030" t="s">
        <v>55774</v>
      </c>
      <c r="W10030" t="s">
        <v>41616</v>
      </c>
      <c r="X10030" t="s">
        <v>45108</v>
      </c>
    </row>
    <row r="10031" spans="1:24">
      <c r="A10031">
        <f>HYPERLINK("https://www.philgeps.gov.ph/GEPSNONPILOT/Tender/SplashBidNoticeAbstractUI.aspx?menuIndex=3&amp;refID=7031249&amp;Result=3","7031249")</f>
        <v>0</v>
      </c>
      <c r="B10031" t="s">
        <v>2690</v>
      </c>
      <c r="C10031" t="s">
        <v>12756</v>
      </c>
      <c r="D10031" t="s">
        <v>18022</v>
      </c>
      <c r="E10031" t="s">
        <v>12756</v>
      </c>
      <c r="F10031" t="s">
        <v>31574</v>
      </c>
      <c r="G10031" t="s">
        <v>31582</v>
      </c>
      <c r="H10031" t="s">
        <v>31590</v>
      </c>
      <c r="I10031" t="s">
        <v>5717</v>
      </c>
      <c r="J10031" t="s">
        <v>32019</v>
      </c>
      <c r="K10031" t="s">
        <v>41186</v>
      </c>
      <c r="M10031" t="s">
        <v>44455</v>
      </c>
      <c r="N10031" t="s">
        <v>45095</v>
      </c>
      <c r="O10031" t="s">
        <v>45096</v>
      </c>
      <c r="P10031">
        <v>0</v>
      </c>
      <c r="Q10031">
        <v>1</v>
      </c>
      <c r="R10031" t="s">
        <v>45107</v>
      </c>
      <c r="S10031" t="s">
        <v>45386</v>
      </c>
      <c r="T10031" t="s">
        <v>46932</v>
      </c>
      <c r="U10031" t="s">
        <v>51391</v>
      </c>
      <c r="W10031" t="s">
        <v>44455</v>
      </c>
      <c r="X10031" t="s">
        <v>45108</v>
      </c>
    </row>
    <row r="10032" spans="1:24">
      <c r="A10032">
        <f>HYPERLINK("https://www.philgeps.gov.ph/GEPSNONPILOT/Tender/SplashBidNoticeAbstractUI.aspx?menuIndex=3&amp;refID=7031240&amp;Result=3","7031240")</f>
        <v>0</v>
      </c>
      <c r="B10032" t="s">
        <v>2678</v>
      </c>
      <c r="C10032" t="s">
        <v>12757</v>
      </c>
      <c r="D10032" t="s">
        <v>18066</v>
      </c>
      <c r="E10032" t="s">
        <v>26843</v>
      </c>
      <c r="F10032" t="s">
        <v>31575</v>
      </c>
      <c r="G10032" t="s">
        <v>31582</v>
      </c>
      <c r="H10032" t="s">
        <v>31591</v>
      </c>
      <c r="I10032" t="s">
        <v>8822</v>
      </c>
      <c r="J10032" t="s">
        <v>36513</v>
      </c>
      <c r="K10032" t="s">
        <v>41198</v>
      </c>
      <c r="M10032" t="s">
        <v>44443</v>
      </c>
      <c r="N10032" t="s">
        <v>45095</v>
      </c>
      <c r="O10032" t="s">
        <v>45096</v>
      </c>
      <c r="P10032">
        <v>0</v>
      </c>
      <c r="Q10032">
        <v>2</v>
      </c>
      <c r="R10032" t="s">
        <v>45107</v>
      </c>
      <c r="S10032" t="s">
        <v>45386</v>
      </c>
      <c r="T10032" t="s">
        <v>47161</v>
      </c>
      <c r="U10032" t="s">
        <v>55729</v>
      </c>
      <c r="V10032" t="s">
        <v>60897</v>
      </c>
      <c r="W10032" t="s">
        <v>44443</v>
      </c>
      <c r="X10032" t="s">
        <v>45108</v>
      </c>
    </row>
    <row r="10033" spans="1:24">
      <c r="A10033">
        <f>HYPERLINK("https://www.philgeps.gov.ph/GEPSNONPILOT/Tender/SplashBidNoticeAbstractUI.aspx?menuIndex=3&amp;refID=7031233&amp;Result=3","7031233")</f>
        <v>0</v>
      </c>
      <c r="B10033" t="s">
        <v>1689</v>
      </c>
      <c r="C10033" t="s">
        <v>12758</v>
      </c>
      <c r="E10033" t="s">
        <v>26844</v>
      </c>
      <c r="F10033" t="s">
        <v>31574</v>
      </c>
      <c r="G10033" t="s">
        <v>31582</v>
      </c>
      <c r="H10033" t="s">
        <v>31590</v>
      </c>
      <c r="I10033" t="s">
        <v>3651</v>
      </c>
      <c r="J10033" t="s">
        <v>36798</v>
      </c>
      <c r="K10033" t="s">
        <v>41184</v>
      </c>
      <c r="M10033" t="s">
        <v>43303</v>
      </c>
      <c r="N10033" t="s">
        <v>45095</v>
      </c>
      <c r="O10033" t="s">
        <v>45096</v>
      </c>
      <c r="P10033">
        <v>0</v>
      </c>
      <c r="Q10033">
        <v>1</v>
      </c>
      <c r="R10033" t="s">
        <v>45107</v>
      </c>
      <c r="S10033" t="s">
        <v>45386</v>
      </c>
      <c r="T10033" t="s">
        <v>47336</v>
      </c>
      <c r="U10033" t="s">
        <v>55775</v>
      </c>
      <c r="W10033" t="s">
        <v>43303</v>
      </c>
      <c r="X10033" t="s">
        <v>45108</v>
      </c>
    </row>
    <row r="10034" spans="1:24">
      <c r="A10034">
        <f>HYPERLINK("https://www.philgeps.gov.ph/GEPSNONPILOT/Tender/SplashBidNoticeAbstractUI.aspx?menuIndex=3&amp;refID=7031301&amp;Result=3","7031301")</f>
        <v>0</v>
      </c>
      <c r="B10034" t="s">
        <v>1689</v>
      </c>
      <c r="C10034" t="s">
        <v>12759</v>
      </c>
      <c r="E10034" t="s">
        <v>26845</v>
      </c>
      <c r="F10034" t="s">
        <v>31574</v>
      </c>
      <c r="G10034" t="s">
        <v>31582</v>
      </c>
      <c r="H10034" t="s">
        <v>31590</v>
      </c>
      <c r="I10034" t="s">
        <v>3651</v>
      </c>
      <c r="J10034" t="s">
        <v>32530</v>
      </c>
      <c r="K10034" t="s">
        <v>41184</v>
      </c>
      <c r="M10034" t="s">
        <v>43303</v>
      </c>
      <c r="N10034" t="s">
        <v>45095</v>
      </c>
      <c r="O10034" t="s">
        <v>45096</v>
      </c>
      <c r="P10034">
        <v>0</v>
      </c>
      <c r="Q10034">
        <v>0</v>
      </c>
      <c r="R10034" t="s">
        <v>45107</v>
      </c>
      <c r="S10034" t="s">
        <v>45386</v>
      </c>
      <c r="T10034" t="s">
        <v>47336</v>
      </c>
      <c r="U10034" t="s">
        <v>55776</v>
      </c>
      <c r="W10034" t="s">
        <v>43303</v>
      </c>
      <c r="X10034" t="s">
        <v>45108</v>
      </c>
    </row>
    <row r="10035" spans="1:24">
      <c r="A10035">
        <f>HYPERLINK("https://www.philgeps.gov.ph/GEPSNONPILOT/Tender/SplashBidNoticeAbstractUI.aspx?menuIndex=3&amp;refID=7031297&amp;Result=3","7031297")</f>
        <v>0</v>
      </c>
      <c r="B10035" t="s">
        <v>2229</v>
      </c>
      <c r="C10035" t="s">
        <v>12760</v>
      </c>
      <c r="D10035" t="s">
        <v>18079</v>
      </c>
      <c r="E10035" t="s">
        <v>26846</v>
      </c>
      <c r="F10035" t="s">
        <v>31574</v>
      </c>
      <c r="G10035" t="s">
        <v>31582</v>
      </c>
      <c r="H10035" t="s">
        <v>31590</v>
      </c>
      <c r="I10035" t="s">
        <v>31601</v>
      </c>
      <c r="J10035" t="s">
        <v>38003</v>
      </c>
      <c r="K10035" t="s">
        <v>41243</v>
      </c>
      <c r="L10035" t="s">
        <v>2229</v>
      </c>
      <c r="M10035" t="s">
        <v>43922</v>
      </c>
      <c r="N10035" t="s">
        <v>45095</v>
      </c>
      <c r="O10035" t="s">
        <v>45096</v>
      </c>
      <c r="Q10035">
        <v>12</v>
      </c>
      <c r="R10035" t="s">
        <v>45107</v>
      </c>
      <c r="S10035" t="s">
        <v>45412</v>
      </c>
      <c r="T10035" t="s">
        <v>47000</v>
      </c>
      <c r="U10035" t="s">
        <v>55777</v>
      </c>
      <c r="W10035" t="s">
        <v>43922</v>
      </c>
      <c r="X10035" t="s">
        <v>45108</v>
      </c>
    </row>
    <row r="10036" spans="1:24">
      <c r="A10036">
        <f>HYPERLINK("https://www.philgeps.gov.ph/GEPSNONPILOT/Tender/SplashBidNoticeAbstractUI.aspx?menuIndex=3&amp;refID=7031236&amp;Result=3","7031236")</f>
        <v>0</v>
      </c>
      <c r="B10036" t="s">
        <v>1822</v>
      </c>
      <c r="C10036" t="s">
        <v>12761</v>
      </c>
      <c r="D10036" t="s">
        <v>18099</v>
      </c>
      <c r="E10036" t="s">
        <v>21386</v>
      </c>
      <c r="F10036" t="s">
        <v>31574</v>
      </c>
      <c r="G10036" t="s">
        <v>31582</v>
      </c>
      <c r="H10036" t="s">
        <v>31591</v>
      </c>
      <c r="I10036" t="s">
        <v>31627</v>
      </c>
      <c r="J10036" t="s">
        <v>31789</v>
      </c>
      <c r="K10036" t="s">
        <v>41192</v>
      </c>
      <c r="M10036" t="s">
        <v>43457</v>
      </c>
      <c r="N10036" t="s">
        <v>45095</v>
      </c>
      <c r="O10036" t="s">
        <v>45096</v>
      </c>
      <c r="P10036">
        <v>0</v>
      </c>
      <c r="Q10036">
        <v>0</v>
      </c>
      <c r="R10036" t="s">
        <v>45107</v>
      </c>
      <c r="S10036" t="s">
        <v>45386</v>
      </c>
      <c r="T10036" t="s">
        <v>47076</v>
      </c>
      <c r="U10036" t="s">
        <v>52190</v>
      </c>
      <c r="W10036" t="s">
        <v>43457</v>
      </c>
      <c r="X10036" t="s">
        <v>45108</v>
      </c>
    </row>
    <row r="10037" spans="1:24">
      <c r="A10037">
        <f>HYPERLINK("https://www.philgeps.gov.ph/GEPSNONPILOT/Tender/SplashBidNoticeAbstractUI.aspx?menuIndex=3&amp;refID=7031275&amp;Result=3","7031275")</f>
        <v>0</v>
      </c>
      <c r="B10037" t="s">
        <v>1822</v>
      </c>
      <c r="C10037" t="s">
        <v>12762</v>
      </c>
      <c r="D10037" t="s">
        <v>18099</v>
      </c>
      <c r="E10037" t="s">
        <v>21402</v>
      </c>
      <c r="F10037" t="s">
        <v>31574</v>
      </c>
      <c r="G10037" t="s">
        <v>31582</v>
      </c>
      <c r="H10037" t="s">
        <v>31591</v>
      </c>
      <c r="I10037" t="s">
        <v>8822</v>
      </c>
      <c r="J10037" t="s">
        <v>31727</v>
      </c>
      <c r="K10037" t="s">
        <v>41192</v>
      </c>
      <c r="M10037" t="s">
        <v>43457</v>
      </c>
      <c r="N10037" t="s">
        <v>45095</v>
      </c>
      <c r="O10037" t="s">
        <v>45096</v>
      </c>
      <c r="P10037">
        <v>0</v>
      </c>
      <c r="Q10037">
        <v>0</v>
      </c>
      <c r="R10037" t="s">
        <v>45107</v>
      </c>
      <c r="S10037" t="s">
        <v>45386</v>
      </c>
      <c r="T10037" t="s">
        <v>47076</v>
      </c>
      <c r="U10037" t="s">
        <v>55778</v>
      </c>
      <c r="W10037" t="s">
        <v>43457</v>
      </c>
      <c r="X10037" t="s">
        <v>45108</v>
      </c>
    </row>
    <row r="10038" spans="1:24">
      <c r="A10038">
        <f>HYPERLINK("https://www.philgeps.gov.ph/GEPSNONPILOT/Tender/SplashBidNoticeAbstractUI.aspx?menuIndex=3&amp;refID=7031285&amp;Result=3","7031285")</f>
        <v>0</v>
      </c>
      <c r="B10038" t="s">
        <v>24</v>
      </c>
      <c r="C10038" t="s">
        <v>12763</v>
      </c>
      <c r="D10038" t="s">
        <v>18022</v>
      </c>
      <c r="E10038" t="s">
        <v>26847</v>
      </c>
      <c r="F10038" t="s">
        <v>31574</v>
      </c>
      <c r="G10038" t="s">
        <v>31582</v>
      </c>
      <c r="H10038" t="s">
        <v>31591</v>
      </c>
      <c r="I10038" t="s">
        <v>8822</v>
      </c>
      <c r="J10038" t="s">
        <v>38004</v>
      </c>
      <c r="K10038" t="s">
        <v>41198</v>
      </c>
      <c r="M10038" t="s">
        <v>42023</v>
      </c>
      <c r="N10038" t="s">
        <v>45095</v>
      </c>
      <c r="O10038" t="s">
        <v>45096</v>
      </c>
      <c r="Q10038">
        <v>11</v>
      </c>
      <c r="R10038" t="s">
        <v>45107</v>
      </c>
      <c r="S10038" t="s">
        <v>45413</v>
      </c>
      <c r="T10038" t="s">
        <v>47134</v>
      </c>
      <c r="U10038" t="s">
        <v>55779</v>
      </c>
      <c r="V10038" t="s">
        <v>59966</v>
      </c>
      <c r="W10038" t="s">
        <v>42023</v>
      </c>
      <c r="X10038" t="s">
        <v>45108</v>
      </c>
    </row>
    <row r="10039" spans="1:24">
      <c r="A10039">
        <f>HYPERLINK("https://www.philgeps.gov.ph/GEPSNONPILOT/Tender/SplashBidNoticeAbstractUI.aspx?menuIndex=3&amp;refID=7031284&amp;Result=3","7031284")</f>
        <v>0</v>
      </c>
      <c r="B10039" t="s">
        <v>2690</v>
      </c>
      <c r="C10039" t="s">
        <v>12764</v>
      </c>
      <c r="D10039" t="s">
        <v>18022</v>
      </c>
      <c r="E10039" t="s">
        <v>26848</v>
      </c>
      <c r="F10039" t="s">
        <v>31574</v>
      </c>
      <c r="G10039" t="s">
        <v>31582</v>
      </c>
      <c r="H10039" t="s">
        <v>31590</v>
      </c>
      <c r="I10039" t="s">
        <v>31594</v>
      </c>
      <c r="J10039" t="s">
        <v>38005</v>
      </c>
      <c r="K10039" t="s">
        <v>41186</v>
      </c>
      <c r="M10039" t="s">
        <v>44455</v>
      </c>
      <c r="N10039" t="s">
        <v>45095</v>
      </c>
      <c r="O10039" t="s">
        <v>45096</v>
      </c>
      <c r="P10039">
        <v>0</v>
      </c>
      <c r="Q10039">
        <v>12</v>
      </c>
      <c r="R10039" t="s">
        <v>45107</v>
      </c>
      <c r="S10039" t="s">
        <v>45386</v>
      </c>
      <c r="T10039" t="s">
        <v>46932</v>
      </c>
      <c r="U10039" t="s">
        <v>55780</v>
      </c>
      <c r="W10039" t="s">
        <v>44455</v>
      </c>
      <c r="X10039" t="s">
        <v>45108</v>
      </c>
    </row>
    <row r="10040" spans="1:24">
      <c r="A10040">
        <f>HYPERLINK("https://www.philgeps.gov.ph/GEPSNONPILOT/Tender/SplashBidNoticeAbstractUI.aspx?menuIndex=3&amp;refID=7031260&amp;Result=3","7031260")</f>
        <v>0</v>
      </c>
      <c r="B10040" t="s">
        <v>1689</v>
      </c>
      <c r="C10040" t="s">
        <v>12765</v>
      </c>
      <c r="E10040" t="s">
        <v>26849</v>
      </c>
      <c r="F10040" t="s">
        <v>31574</v>
      </c>
      <c r="G10040" t="s">
        <v>31582</v>
      </c>
      <c r="H10040" t="s">
        <v>31590</v>
      </c>
      <c r="I10040" t="s">
        <v>3651</v>
      </c>
      <c r="J10040" t="s">
        <v>38006</v>
      </c>
      <c r="K10040" t="s">
        <v>41184</v>
      </c>
      <c r="M10040" t="s">
        <v>43303</v>
      </c>
      <c r="N10040" t="s">
        <v>45095</v>
      </c>
      <c r="O10040" t="s">
        <v>45096</v>
      </c>
      <c r="P10040">
        <v>0</v>
      </c>
      <c r="Q10040">
        <v>3</v>
      </c>
      <c r="R10040" t="s">
        <v>45107</v>
      </c>
      <c r="S10040" t="s">
        <v>45386</v>
      </c>
      <c r="T10040" t="s">
        <v>47336</v>
      </c>
      <c r="U10040" t="s">
        <v>55781</v>
      </c>
      <c r="W10040" t="s">
        <v>43303</v>
      </c>
      <c r="X10040" t="s">
        <v>45108</v>
      </c>
    </row>
    <row r="10041" spans="1:24">
      <c r="A10041">
        <f>HYPERLINK("https://www.philgeps.gov.ph/GEPSNONPILOT/Tender/SplashBidNoticeAbstractUI.aspx?menuIndex=3&amp;refID=7031319&amp;Result=3","7031319")</f>
        <v>0</v>
      </c>
      <c r="B10041" t="s">
        <v>1245</v>
      </c>
      <c r="C10041" t="s">
        <v>12766</v>
      </c>
      <c r="D10041" t="s">
        <v>18072</v>
      </c>
      <c r="E10041" t="s">
        <v>26850</v>
      </c>
      <c r="F10041" t="s">
        <v>31574</v>
      </c>
      <c r="G10041" t="s">
        <v>31582</v>
      </c>
      <c r="H10041" t="s">
        <v>31590</v>
      </c>
      <c r="I10041" t="s">
        <v>31615</v>
      </c>
      <c r="J10041" t="s">
        <v>32120</v>
      </c>
      <c r="K10041" t="s">
        <v>41186</v>
      </c>
      <c r="L10041" t="s">
        <v>1245</v>
      </c>
      <c r="M10041" t="s">
        <v>42808</v>
      </c>
      <c r="N10041" t="s">
        <v>45095</v>
      </c>
      <c r="O10041" t="s">
        <v>45096</v>
      </c>
      <c r="Q10041">
        <v>3</v>
      </c>
      <c r="R10041" t="s">
        <v>45107</v>
      </c>
      <c r="S10041" t="s">
        <v>45414</v>
      </c>
      <c r="T10041" t="s">
        <v>47164</v>
      </c>
      <c r="U10041" t="s">
        <v>55782</v>
      </c>
      <c r="V10041" t="s">
        <v>57537</v>
      </c>
      <c r="W10041" t="s">
        <v>42808</v>
      </c>
      <c r="X10041" t="s">
        <v>45108</v>
      </c>
    </row>
    <row r="10042" spans="1:24">
      <c r="A10042">
        <f>HYPERLINK("https://www.philgeps.gov.ph/GEPSNONPILOT/Tender/SplashBidNoticeAbstractUI.aspx?menuIndex=3&amp;refID=7031324&amp;Result=3","7031324")</f>
        <v>0</v>
      </c>
      <c r="B10042" t="s">
        <v>1689</v>
      </c>
      <c r="C10042" t="s">
        <v>12767</v>
      </c>
      <c r="E10042" t="s">
        <v>26851</v>
      </c>
      <c r="F10042" t="s">
        <v>31574</v>
      </c>
      <c r="G10042" t="s">
        <v>31582</v>
      </c>
      <c r="H10042" t="s">
        <v>31591</v>
      </c>
      <c r="I10042" t="s">
        <v>8822</v>
      </c>
      <c r="J10042" t="s">
        <v>38007</v>
      </c>
      <c r="K10042" t="s">
        <v>41184</v>
      </c>
      <c r="M10042" t="s">
        <v>43303</v>
      </c>
      <c r="N10042" t="s">
        <v>45095</v>
      </c>
      <c r="O10042" t="s">
        <v>45096</v>
      </c>
      <c r="P10042">
        <v>0</v>
      </c>
      <c r="Q10042">
        <v>2</v>
      </c>
      <c r="R10042" t="s">
        <v>45107</v>
      </c>
      <c r="S10042" t="s">
        <v>45386</v>
      </c>
      <c r="T10042" t="s">
        <v>47336</v>
      </c>
      <c r="U10042" t="s">
        <v>55783</v>
      </c>
      <c r="W10042" t="s">
        <v>43303</v>
      </c>
      <c r="X10042" t="s">
        <v>45108</v>
      </c>
    </row>
    <row r="10043" spans="1:24">
      <c r="A10043">
        <f>HYPERLINK("https://www.philgeps.gov.ph/GEPSNONPILOT/Tender/SplashBidNoticeAbstractUI.aspx?menuIndex=3&amp;refID=7031247&amp;Result=3","7031247")</f>
        <v>0</v>
      </c>
      <c r="B10043" t="s">
        <v>2568</v>
      </c>
      <c r="C10043" t="s">
        <v>12768</v>
      </c>
      <c r="D10043" t="s">
        <v>18022</v>
      </c>
      <c r="E10043" t="s">
        <v>18629</v>
      </c>
      <c r="F10043" t="s">
        <v>31574</v>
      </c>
      <c r="G10043" t="s">
        <v>31582</v>
      </c>
      <c r="H10043" t="s">
        <v>31590</v>
      </c>
      <c r="I10043" t="s">
        <v>5717</v>
      </c>
      <c r="J10043" t="s">
        <v>38008</v>
      </c>
      <c r="K10043" t="s">
        <v>41190</v>
      </c>
      <c r="M10043" t="s">
        <v>44309</v>
      </c>
      <c r="N10043" t="s">
        <v>45095</v>
      </c>
      <c r="O10043" t="s">
        <v>45096</v>
      </c>
      <c r="P10043">
        <v>0</v>
      </c>
      <c r="Q10043">
        <v>0</v>
      </c>
      <c r="R10043" t="s">
        <v>45107</v>
      </c>
      <c r="S10043" t="s">
        <v>45386</v>
      </c>
      <c r="T10043" t="s">
        <v>46949</v>
      </c>
      <c r="U10043" t="s">
        <v>55784</v>
      </c>
      <c r="W10043" t="s">
        <v>44309</v>
      </c>
      <c r="X10043" t="s">
        <v>45108</v>
      </c>
    </row>
    <row r="10044" spans="1:24">
      <c r="A10044">
        <f>HYPERLINK("https://www.philgeps.gov.ph/GEPSNONPILOT/Tender/SplashBidNoticeAbstractUI.aspx?menuIndex=3&amp;refID=7031342&amp;Result=3","7031342")</f>
        <v>0</v>
      </c>
      <c r="B10044" t="s">
        <v>2678</v>
      </c>
      <c r="C10044" t="s">
        <v>12769</v>
      </c>
      <c r="D10044" t="s">
        <v>18066</v>
      </c>
      <c r="E10044" t="s">
        <v>26852</v>
      </c>
      <c r="F10044" t="s">
        <v>31575</v>
      </c>
      <c r="G10044" t="s">
        <v>31582</v>
      </c>
      <c r="H10044" t="s">
        <v>31591</v>
      </c>
      <c r="I10044" t="s">
        <v>8822</v>
      </c>
      <c r="J10044" t="s">
        <v>34697</v>
      </c>
      <c r="K10044" t="s">
        <v>41334</v>
      </c>
      <c r="M10044" t="s">
        <v>44443</v>
      </c>
      <c r="N10044" t="s">
        <v>45095</v>
      </c>
      <c r="O10044" t="s">
        <v>45096</v>
      </c>
      <c r="P10044">
        <v>0</v>
      </c>
      <c r="Q10044">
        <v>4</v>
      </c>
      <c r="R10044" t="s">
        <v>45107</v>
      </c>
      <c r="S10044" t="s">
        <v>45386</v>
      </c>
      <c r="T10044" t="s">
        <v>47161</v>
      </c>
      <c r="U10044" t="s">
        <v>55729</v>
      </c>
      <c r="V10044" t="s">
        <v>60897</v>
      </c>
      <c r="W10044" t="s">
        <v>44443</v>
      </c>
      <c r="X10044" t="s">
        <v>45108</v>
      </c>
    </row>
    <row r="10045" spans="1:24">
      <c r="A10045">
        <f>HYPERLINK("https://www.philgeps.gov.ph/GEPSNONPILOT/Tender/SplashBidNoticeAbstractUI.aspx?menuIndex=3&amp;refID=7031335&amp;Result=3","7031335")</f>
        <v>0</v>
      </c>
      <c r="B10045" t="s">
        <v>132</v>
      </c>
      <c r="C10045" t="s">
        <v>12770</v>
      </c>
      <c r="D10045" t="s">
        <v>18059</v>
      </c>
      <c r="E10045" t="s">
        <v>26853</v>
      </c>
      <c r="F10045" t="s">
        <v>31574</v>
      </c>
      <c r="G10045" t="s">
        <v>31582</v>
      </c>
      <c r="H10045" t="s">
        <v>31590</v>
      </c>
      <c r="I10045" t="s">
        <v>31660</v>
      </c>
      <c r="J10045" t="s">
        <v>32598</v>
      </c>
      <c r="K10045" t="s">
        <v>41190</v>
      </c>
      <c r="M10045" t="s">
        <v>41616</v>
      </c>
      <c r="N10045" t="s">
        <v>45095</v>
      </c>
      <c r="O10045" t="s">
        <v>45096</v>
      </c>
      <c r="P10045">
        <v>0</v>
      </c>
      <c r="Q10045">
        <v>0</v>
      </c>
      <c r="R10045" t="s">
        <v>45107</v>
      </c>
      <c r="S10045" t="s">
        <v>45386</v>
      </c>
      <c r="T10045" t="s">
        <v>47159</v>
      </c>
      <c r="U10045" t="s">
        <v>55785</v>
      </c>
      <c r="W10045" t="s">
        <v>41616</v>
      </c>
      <c r="X10045" t="s">
        <v>45108</v>
      </c>
    </row>
    <row r="10046" spans="1:24">
      <c r="A10046">
        <f>HYPERLINK("https://www.philgeps.gov.ph/GEPSNONPILOT/Tender/SplashBidNoticeAbstractUI.aspx?menuIndex=3&amp;refID=7031401&amp;Result=3","7031401")</f>
        <v>0</v>
      </c>
      <c r="B10046" t="s">
        <v>1822</v>
      </c>
      <c r="C10046" t="s">
        <v>12771</v>
      </c>
      <c r="D10046" t="s">
        <v>18099</v>
      </c>
      <c r="E10046" t="s">
        <v>22824</v>
      </c>
      <c r="F10046" t="s">
        <v>31574</v>
      </c>
      <c r="G10046" t="s">
        <v>31582</v>
      </c>
      <c r="H10046" t="s">
        <v>31591</v>
      </c>
      <c r="I10046" t="s">
        <v>31627</v>
      </c>
      <c r="J10046" t="s">
        <v>31789</v>
      </c>
      <c r="K10046" t="s">
        <v>41192</v>
      </c>
      <c r="M10046" t="s">
        <v>43457</v>
      </c>
      <c r="N10046" t="s">
        <v>45095</v>
      </c>
      <c r="O10046" t="s">
        <v>45096</v>
      </c>
      <c r="P10046">
        <v>0</v>
      </c>
      <c r="Q10046">
        <v>0</v>
      </c>
      <c r="R10046" t="s">
        <v>45107</v>
      </c>
      <c r="S10046" t="s">
        <v>45386</v>
      </c>
      <c r="T10046" t="s">
        <v>47076</v>
      </c>
      <c r="U10046" t="s">
        <v>52190</v>
      </c>
      <c r="W10046" t="s">
        <v>43457</v>
      </c>
      <c r="X10046" t="s">
        <v>45108</v>
      </c>
    </row>
    <row r="10047" spans="1:24">
      <c r="A10047">
        <f>HYPERLINK("https://www.philgeps.gov.ph/GEPSNONPILOT/Tender/SplashBidNoticeAbstractUI.aspx?menuIndex=3&amp;refID=7031354&amp;Result=3","7031354")</f>
        <v>0</v>
      </c>
      <c r="B10047" t="s">
        <v>961</v>
      </c>
      <c r="C10047" t="s">
        <v>12772</v>
      </c>
      <c r="D10047" t="s">
        <v>18023</v>
      </c>
      <c r="E10047" t="s">
        <v>26854</v>
      </c>
      <c r="F10047" t="s">
        <v>31574</v>
      </c>
      <c r="G10047" t="s">
        <v>31582</v>
      </c>
      <c r="H10047" t="s">
        <v>31590</v>
      </c>
      <c r="I10047" t="s">
        <v>3873</v>
      </c>
      <c r="J10047" t="s">
        <v>38009</v>
      </c>
      <c r="K10047" t="s">
        <v>41192</v>
      </c>
      <c r="M10047" t="s">
        <v>44456</v>
      </c>
      <c r="N10047" t="s">
        <v>45095</v>
      </c>
      <c r="O10047" t="s">
        <v>45096</v>
      </c>
      <c r="P10047">
        <v>0</v>
      </c>
      <c r="Q10047">
        <v>0</v>
      </c>
      <c r="R10047" t="s">
        <v>45107</v>
      </c>
      <c r="S10047" t="s">
        <v>45386</v>
      </c>
      <c r="T10047" t="s">
        <v>47010</v>
      </c>
      <c r="U10047" t="s">
        <v>55786</v>
      </c>
      <c r="W10047" t="s">
        <v>44456</v>
      </c>
      <c r="X10047" t="s">
        <v>45108</v>
      </c>
    </row>
    <row r="10048" spans="1:24">
      <c r="A10048">
        <f>HYPERLINK("https://www.philgeps.gov.ph/GEPSNONPILOT/Tender/SplashBidNoticeAbstractUI.aspx?menuIndex=3&amp;refID=7031374&amp;Result=3","7031374")</f>
        <v>0</v>
      </c>
      <c r="B10048" t="s">
        <v>961</v>
      </c>
      <c r="C10048" t="s">
        <v>12773</v>
      </c>
      <c r="D10048" t="s">
        <v>18023</v>
      </c>
      <c r="E10048" t="s">
        <v>26855</v>
      </c>
      <c r="F10048" t="s">
        <v>31574</v>
      </c>
      <c r="G10048" t="s">
        <v>31582</v>
      </c>
      <c r="H10048" t="s">
        <v>31590</v>
      </c>
      <c r="I10048" t="s">
        <v>31625</v>
      </c>
      <c r="J10048" t="s">
        <v>38010</v>
      </c>
      <c r="K10048" t="s">
        <v>41216</v>
      </c>
      <c r="M10048" t="s">
        <v>44456</v>
      </c>
      <c r="N10048" t="s">
        <v>45095</v>
      </c>
      <c r="O10048" t="s">
        <v>45096</v>
      </c>
      <c r="P10048">
        <v>0</v>
      </c>
      <c r="Q10048">
        <v>1</v>
      </c>
      <c r="R10048" t="s">
        <v>45107</v>
      </c>
      <c r="S10048" t="s">
        <v>45386</v>
      </c>
      <c r="T10048" t="s">
        <v>47010</v>
      </c>
      <c r="U10048" t="s">
        <v>55787</v>
      </c>
      <c r="W10048" t="s">
        <v>44456</v>
      </c>
      <c r="X10048" t="s">
        <v>45108</v>
      </c>
    </row>
    <row r="10049" spans="1:24">
      <c r="A10049">
        <f>HYPERLINK("https://www.philgeps.gov.ph/GEPSNONPILOT/Tender/SplashBidNoticeAbstractUI.aspx?menuIndex=3&amp;refID=7031343&amp;Result=3","7031343")</f>
        <v>0</v>
      </c>
      <c r="B10049" t="s">
        <v>1822</v>
      </c>
      <c r="C10049" t="s">
        <v>12774</v>
      </c>
      <c r="D10049" t="s">
        <v>18099</v>
      </c>
      <c r="E10049" t="s">
        <v>20015</v>
      </c>
      <c r="F10049" t="s">
        <v>31574</v>
      </c>
      <c r="G10049" t="s">
        <v>31582</v>
      </c>
      <c r="H10049" t="s">
        <v>31591</v>
      </c>
      <c r="I10049" t="s">
        <v>31627</v>
      </c>
      <c r="J10049" t="s">
        <v>31741</v>
      </c>
      <c r="K10049" t="s">
        <v>41192</v>
      </c>
      <c r="M10049" t="s">
        <v>43457</v>
      </c>
      <c r="N10049" t="s">
        <v>45095</v>
      </c>
      <c r="O10049" t="s">
        <v>45096</v>
      </c>
      <c r="P10049">
        <v>0</v>
      </c>
      <c r="Q10049">
        <v>0</v>
      </c>
      <c r="R10049" t="s">
        <v>45107</v>
      </c>
      <c r="S10049" t="s">
        <v>45386</v>
      </c>
      <c r="T10049" t="s">
        <v>47076</v>
      </c>
      <c r="U10049" t="s">
        <v>52190</v>
      </c>
      <c r="W10049" t="s">
        <v>43457</v>
      </c>
      <c r="X10049" t="s">
        <v>45108</v>
      </c>
    </row>
    <row r="10050" spans="1:24">
      <c r="A10050">
        <f>HYPERLINK("https://www.philgeps.gov.ph/GEPSNONPILOT/Tender/SplashBidNoticeAbstractUI.aspx?menuIndex=3&amp;refID=7031370&amp;Result=3","7031370")</f>
        <v>0</v>
      </c>
      <c r="B10050" t="s">
        <v>29</v>
      </c>
      <c r="C10050" t="s">
        <v>12775</v>
      </c>
      <c r="D10050" t="s">
        <v>18026</v>
      </c>
      <c r="E10050" t="s">
        <v>25889</v>
      </c>
      <c r="F10050" t="s">
        <v>31574</v>
      </c>
      <c r="G10050" t="s">
        <v>31582</v>
      </c>
      <c r="H10050" t="s">
        <v>31590</v>
      </c>
      <c r="I10050" t="s">
        <v>4046</v>
      </c>
      <c r="J10050" t="s">
        <v>38011</v>
      </c>
      <c r="K10050" t="s">
        <v>41196</v>
      </c>
      <c r="M10050" t="s">
        <v>41511</v>
      </c>
      <c r="N10050" t="s">
        <v>45095</v>
      </c>
      <c r="O10050" t="s">
        <v>45096</v>
      </c>
      <c r="P10050">
        <v>0</v>
      </c>
      <c r="Q10050">
        <v>3</v>
      </c>
      <c r="R10050" t="s">
        <v>45107</v>
      </c>
      <c r="S10050" t="s">
        <v>45386</v>
      </c>
      <c r="T10050" t="s">
        <v>47164</v>
      </c>
      <c r="U10050" t="s">
        <v>51189</v>
      </c>
      <c r="W10050" t="s">
        <v>41511</v>
      </c>
      <c r="X10050" t="s">
        <v>45108</v>
      </c>
    </row>
    <row r="10051" spans="1:24">
      <c r="A10051">
        <f>HYPERLINK("https://www.philgeps.gov.ph/GEPSNONPILOT/Tender/SplashBidNoticeAbstractUI.aspx?menuIndex=3&amp;refID=7031413&amp;Result=3","7031413")</f>
        <v>0</v>
      </c>
      <c r="B10051" t="s">
        <v>29</v>
      </c>
      <c r="C10051" t="s">
        <v>12776</v>
      </c>
      <c r="D10051" t="s">
        <v>18026</v>
      </c>
      <c r="E10051" t="s">
        <v>25889</v>
      </c>
      <c r="F10051" t="s">
        <v>31574</v>
      </c>
      <c r="G10051" t="s">
        <v>31582</v>
      </c>
      <c r="H10051" t="s">
        <v>31590</v>
      </c>
      <c r="I10051" t="s">
        <v>4046</v>
      </c>
      <c r="J10051" t="s">
        <v>38012</v>
      </c>
      <c r="K10051" t="s">
        <v>41196</v>
      </c>
      <c r="M10051" t="s">
        <v>41511</v>
      </c>
      <c r="N10051" t="s">
        <v>45095</v>
      </c>
      <c r="O10051" t="s">
        <v>45096</v>
      </c>
      <c r="P10051">
        <v>0</v>
      </c>
      <c r="Q10051">
        <v>3</v>
      </c>
      <c r="R10051" t="s">
        <v>45107</v>
      </c>
      <c r="S10051" t="s">
        <v>45386</v>
      </c>
      <c r="T10051" t="s">
        <v>47164</v>
      </c>
      <c r="U10051" t="s">
        <v>51189</v>
      </c>
      <c r="W10051" t="s">
        <v>41511</v>
      </c>
      <c r="X10051" t="s">
        <v>45108</v>
      </c>
    </row>
    <row r="10052" spans="1:24">
      <c r="A10052">
        <f>HYPERLINK("https://www.philgeps.gov.ph/GEPSNONPILOT/Tender/SplashBidNoticeAbstractUI.aspx?menuIndex=3&amp;refID=7031425&amp;Result=3","7031425")</f>
        <v>0</v>
      </c>
      <c r="B10052" t="s">
        <v>1822</v>
      </c>
      <c r="C10052" t="s">
        <v>12777</v>
      </c>
      <c r="D10052" t="s">
        <v>18099</v>
      </c>
      <c r="E10052" t="s">
        <v>23913</v>
      </c>
      <c r="F10052" t="s">
        <v>31574</v>
      </c>
      <c r="G10052" t="s">
        <v>31582</v>
      </c>
      <c r="H10052" t="s">
        <v>31591</v>
      </c>
      <c r="I10052" t="s">
        <v>31627</v>
      </c>
      <c r="J10052" t="s">
        <v>32497</v>
      </c>
      <c r="K10052" t="s">
        <v>41192</v>
      </c>
      <c r="M10052" t="s">
        <v>43457</v>
      </c>
      <c r="N10052" t="s">
        <v>45095</v>
      </c>
      <c r="O10052" t="s">
        <v>45096</v>
      </c>
      <c r="P10052">
        <v>0</v>
      </c>
      <c r="Q10052">
        <v>0</v>
      </c>
      <c r="R10052" t="s">
        <v>45107</v>
      </c>
      <c r="S10052" t="s">
        <v>45386</v>
      </c>
      <c r="T10052" t="s">
        <v>47076</v>
      </c>
      <c r="U10052" t="s">
        <v>52190</v>
      </c>
      <c r="W10052" t="s">
        <v>43457</v>
      </c>
      <c r="X10052" t="s">
        <v>45108</v>
      </c>
    </row>
    <row r="10053" spans="1:24">
      <c r="A10053">
        <f>HYPERLINK("https://www.philgeps.gov.ph/GEPSNONPILOT/Tender/SplashBidNoticeAbstractUI.aspx?menuIndex=3&amp;refID=7031361&amp;Result=3","7031361")</f>
        <v>0</v>
      </c>
      <c r="B10053" t="s">
        <v>1822</v>
      </c>
      <c r="C10053" t="s">
        <v>12778</v>
      </c>
      <c r="D10053" t="s">
        <v>18099</v>
      </c>
      <c r="E10053" t="s">
        <v>18544</v>
      </c>
      <c r="F10053" t="s">
        <v>31574</v>
      </c>
      <c r="G10053" t="s">
        <v>31582</v>
      </c>
      <c r="H10053" t="s">
        <v>31591</v>
      </c>
      <c r="I10053" t="s">
        <v>31627</v>
      </c>
      <c r="J10053" t="s">
        <v>31741</v>
      </c>
      <c r="K10053" t="s">
        <v>41192</v>
      </c>
      <c r="M10053" t="s">
        <v>43457</v>
      </c>
      <c r="N10053" t="s">
        <v>45095</v>
      </c>
      <c r="O10053" t="s">
        <v>45096</v>
      </c>
      <c r="P10053">
        <v>0</v>
      </c>
      <c r="Q10053">
        <v>0</v>
      </c>
      <c r="R10053" t="s">
        <v>45107</v>
      </c>
      <c r="S10053" t="s">
        <v>45386</v>
      </c>
      <c r="T10053" t="s">
        <v>47076</v>
      </c>
      <c r="U10053" t="s">
        <v>52190</v>
      </c>
      <c r="W10053" t="s">
        <v>43457</v>
      </c>
      <c r="X10053" t="s">
        <v>45108</v>
      </c>
    </row>
    <row r="10054" spans="1:24">
      <c r="A10054">
        <f>HYPERLINK("https://www.philgeps.gov.ph/GEPSNONPILOT/Tender/SplashBidNoticeAbstractUI.aspx?menuIndex=3&amp;refID=7031384&amp;Result=3","7031384")</f>
        <v>0</v>
      </c>
      <c r="B10054" t="s">
        <v>2489</v>
      </c>
      <c r="C10054" t="s">
        <v>12779</v>
      </c>
      <c r="D10054" t="s">
        <v>18055</v>
      </c>
      <c r="E10054" t="s">
        <v>26856</v>
      </c>
      <c r="F10054" t="s">
        <v>31574</v>
      </c>
      <c r="G10054" t="s">
        <v>31582</v>
      </c>
      <c r="H10054" t="s">
        <v>31591</v>
      </c>
      <c r="I10054" t="s">
        <v>8822</v>
      </c>
      <c r="J10054" t="s">
        <v>38013</v>
      </c>
      <c r="K10054" t="s">
        <v>41192</v>
      </c>
      <c r="L10054" t="s">
        <v>2489</v>
      </c>
      <c r="M10054" t="s">
        <v>44220</v>
      </c>
      <c r="N10054" t="s">
        <v>45095</v>
      </c>
      <c r="O10054" t="s">
        <v>45096</v>
      </c>
      <c r="P10054">
        <v>0</v>
      </c>
      <c r="Q10054">
        <v>15</v>
      </c>
      <c r="R10054" t="s">
        <v>45107</v>
      </c>
      <c r="S10054" t="s">
        <v>45386</v>
      </c>
      <c r="T10054" t="s">
        <v>46962</v>
      </c>
      <c r="U10054" t="s">
        <v>55788</v>
      </c>
      <c r="W10054" t="s">
        <v>44220</v>
      </c>
      <c r="X10054" t="s">
        <v>45108</v>
      </c>
    </row>
    <row r="10055" spans="1:24">
      <c r="A10055">
        <f>HYPERLINK("https://www.philgeps.gov.ph/GEPSNONPILOT/Tender/SplashBidNoticeAbstractUI.aspx?menuIndex=3&amp;refID=7031429&amp;Result=3","7031429")</f>
        <v>0</v>
      </c>
      <c r="B10055" t="s">
        <v>132</v>
      </c>
      <c r="C10055" t="s">
        <v>12780</v>
      </c>
      <c r="D10055" t="s">
        <v>18059</v>
      </c>
      <c r="E10055" t="s">
        <v>26857</v>
      </c>
      <c r="F10055" t="s">
        <v>31574</v>
      </c>
      <c r="G10055" t="s">
        <v>31582</v>
      </c>
      <c r="H10055" t="s">
        <v>31590</v>
      </c>
      <c r="I10055" t="s">
        <v>4046</v>
      </c>
      <c r="J10055" t="s">
        <v>38014</v>
      </c>
      <c r="K10055" t="s">
        <v>41190</v>
      </c>
      <c r="M10055" t="s">
        <v>41616</v>
      </c>
      <c r="N10055" t="s">
        <v>45095</v>
      </c>
      <c r="O10055" t="s">
        <v>45096</v>
      </c>
      <c r="P10055">
        <v>0</v>
      </c>
      <c r="Q10055">
        <v>0</v>
      </c>
      <c r="R10055" t="s">
        <v>45107</v>
      </c>
      <c r="S10055" t="s">
        <v>45386</v>
      </c>
      <c r="T10055" t="s">
        <v>47159</v>
      </c>
      <c r="U10055" t="s">
        <v>55789</v>
      </c>
      <c r="W10055" t="s">
        <v>41616</v>
      </c>
      <c r="X10055" t="s">
        <v>45108</v>
      </c>
    </row>
    <row r="10056" spans="1:24">
      <c r="A10056">
        <f>HYPERLINK("https://www.philgeps.gov.ph/GEPSNONPILOT/Tender/SplashBidNoticeAbstractUI.aspx?menuIndex=3&amp;refID=7031406&amp;Result=3","7031406")</f>
        <v>0</v>
      </c>
      <c r="B10056" t="s">
        <v>2669</v>
      </c>
      <c r="C10056" t="s">
        <v>12781</v>
      </c>
      <c r="D10056" t="s">
        <v>18037</v>
      </c>
      <c r="E10056" t="s">
        <v>26858</v>
      </c>
      <c r="F10056" t="s">
        <v>31574</v>
      </c>
      <c r="G10056" t="s">
        <v>31582</v>
      </c>
      <c r="H10056" t="s">
        <v>31590</v>
      </c>
      <c r="I10056" t="s">
        <v>4046</v>
      </c>
      <c r="J10056" t="s">
        <v>38015</v>
      </c>
      <c r="K10056" t="s">
        <v>41186</v>
      </c>
      <c r="M10056" t="s">
        <v>44430</v>
      </c>
      <c r="N10056" t="s">
        <v>45095</v>
      </c>
      <c r="O10056" t="s">
        <v>45096</v>
      </c>
      <c r="P10056">
        <v>0</v>
      </c>
      <c r="Q10056">
        <v>0</v>
      </c>
      <c r="R10056" t="s">
        <v>45107</v>
      </c>
      <c r="S10056" t="s">
        <v>45386</v>
      </c>
      <c r="T10056" t="s">
        <v>47371</v>
      </c>
      <c r="U10056" t="s">
        <v>55790</v>
      </c>
      <c r="W10056" t="s">
        <v>44430</v>
      </c>
      <c r="X10056" t="s">
        <v>45108</v>
      </c>
    </row>
    <row r="10057" spans="1:24">
      <c r="A10057">
        <f>HYPERLINK("https://www.philgeps.gov.ph/GEPSNONPILOT/Tender/SplashBidNoticeAbstractUI.aspx?menuIndex=3&amp;refID=7031424&amp;Result=3","7031424")</f>
        <v>0</v>
      </c>
      <c r="B10057" t="s">
        <v>1390</v>
      </c>
      <c r="C10057" t="s">
        <v>12782</v>
      </c>
      <c r="D10057" t="s">
        <v>18070</v>
      </c>
      <c r="E10057" t="s">
        <v>19127</v>
      </c>
      <c r="F10057" t="s">
        <v>31574</v>
      </c>
      <c r="G10057" t="s">
        <v>31582</v>
      </c>
      <c r="H10057" t="s">
        <v>31591</v>
      </c>
      <c r="I10057" t="s">
        <v>8822</v>
      </c>
      <c r="J10057" t="s">
        <v>32986</v>
      </c>
      <c r="K10057" t="s">
        <v>41235</v>
      </c>
      <c r="M10057" t="s">
        <v>42965</v>
      </c>
      <c r="N10057" t="s">
        <v>45095</v>
      </c>
      <c r="O10057" t="s">
        <v>45096</v>
      </c>
      <c r="P10057">
        <v>0</v>
      </c>
      <c r="Q10057">
        <v>0</v>
      </c>
      <c r="R10057" t="s">
        <v>45107</v>
      </c>
      <c r="S10057" t="s">
        <v>45386</v>
      </c>
      <c r="T10057" t="s">
        <v>46965</v>
      </c>
      <c r="U10057" t="s">
        <v>55791</v>
      </c>
      <c r="V10057" t="s">
        <v>60900</v>
      </c>
      <c r="W10057" t="s">
        <v>42965</v>
      </c>
      <c r="X10057" t="s">
        <v>45108</v>
      </c>
    </row>
    <row r="10058" spans="1:24">
      <c r="A10058">
        <f>HYPERLINK("https://www.philgeps.gov.ph/GEPSNONPILOT/Tender/SplashBidNoticeAbstractUI.aspx?menuIndex=3&amp;refID=7031385&amp;Result=3","7031385")</f>
        <v>0</v>
      </c>
      <c r="B10058" t="s">
        <v>1592</v>
      </c>
      <c r="C10058" t="s">
        <v>12783</v>
      </c>
      <c r="D10058" t="s">
        <v>18072</v>
      </c>
      <c r="E10058" t="s">
        <v>26859</v>
      </c>
      <c r="F10058" t="s">
        <v>31574</v>
      </c>
      <c r="G10058" t="s">
        <v>31582</v>
      </c>
      <c r="H10058" t="s">
        <v>31590</v>
      </c>
      <c r="I10058" t="s">
        <v>31594</v>
      </c>
      <c r="J10058" t="s">
        <v>38016</v>
      </c>
      <c r="K10058" t="s">
        <v>41186</v>
      </c>
      <c r="M10058" t="s">
        <v>43196</v>
      </c>
      <c r="N10058" t="s">
        <v>45095</v>
      </c>
      <c r="O10058" t="s">
        <v>45096</v>
      </c>
      <c r="P10058">
        <v>0</v>
      </c>
      <c r="Q10058">
        <v>11</v>
      </c>
      <c r="R10058" t="s">
        <v>45107</v>
      </c>
      <c r="S10058" t="s">
        <v>45386</v>
      </c>
      <c r="T10058" t="s">
        <v>46977</v>
      </c>
      <c r="U10058" t="s">
        <v>51461</v>
      </c>
      <c r="W10058" t="s">
        <v>43196</v>
      </c>
      <c r="X10058" t="s">
        <v>45108</v>
      </c>
    </row>
    <row r="10059" spans="1:24">
      <c r="A10059">
        <f>HYPERLINK("https://www.philgeps.gov.ph/GEPSNONPILOT/Tender/SplashBidNoticeAbstractUI.aspx?menuIndex=3&amp;refID=7031380&amp;Result=3","7031380")</f>
        <v>0</v>
      </c>
      <c r="B10059" t="s">
        <v>1822</v>
      </c>
      <c r="C10059" t="s">
        <v>12784</v>
      </c>
      <c r="D10059" t="s">
        <v>18099</v>
      </c>
      <c r="E10059" t="s">
        <v>20665</v>
      </c>
      <c r="F10059" t="s">
        <v>31574</v>
      </c>
      <c r="G10059" t="s">
        <v>31582</v>
      </c>
      <c r="H10059" t="s">
        <v>31591</v>
      </c>
      <c r="I10059" t="s">
        <v>8822</v>
      </c>
      <c r="J10059" t="s">
        <v>31947</v>
      </c>
      <c r="K10059" t="s">
        <v>41192</v>
      </c>
      <c r="M10059" t="s">
        <v>43457</v>
      </c>
      <c r="N10059" t="s">
        <v>45095</v>
      </c>
      <c r="O10059" t="s">
        <v>45096</v>
      </c>
      <c r="P10059">
        <v>0</v>
      </c>
      <c r="Q10059">
        <v>0</v>
      </c>
      <c r="R10059" t="s">
        <v>45107</v>
      </c>
      <c r="S10059" t="s">
        <v>45386</v>
      </c>
      <c r="T10059" t="s">
        <v>47076</v>
      </c>
      <c r="U10059" t="s">
        <v>52190</v>
      </c>
      <c r="W10059" t="s">
        <v>43457</v>
      </c>
      <c r="X10059" t="s">
        <v>45108</v>
      </c>
    </row>
    <row r="10060" spans="1:24">
      <c r="A10060">
        <f>HYPERLINK("https://www.philgeps.gov.ph/GEPSNONPILOT/Tender/SplashBidNoticeAbstractUI.aspx?menuIndex=3&amp;refID=7031407&amp;Result=3","7031407")</f>
        <v>0</v>
      </c>
      <c r="B10060" t="s">
        <v>2691</v>
      </c>
      <c r="C10060" t="s">
        <v>12785</v>
      </c>
      <c r="D10060" t="s">
        <v>18075</v>
      </c>
      <c r="E10060" t="s">
        <v>26860</v>
      </c>
      <c r="F10060" t="s">
        <v>31574</v>
      </c>
      <c r="G10060" t="s">
        <v>31582</v>
      </c>
      <c r="H10060" t="s">
        <v>31590</v>
      </c>
      <c r="I10060" t="s">
        <v>31615</v>
      </c>
      <c r="J10060" t="s">
        <v>38017</v>
      </c>
      <c r="K10060" t="s">
        <v>41200</v>
      </c>
      <c r="M10060" t="s">
        <v>44457</v>
      </c>
      <c r="N10060" t="s">
        <v>45095</v>
      </c>
      <c r="O10060" t="s">
        <v>45096</v>
      </c>
      <c r="P10060">
        <v>0</v>
      </c>
      <c r="Q10060">
        <v>16</v>
      </c>
      <c r="R10060" t="s">
        <v>45107</v>
      </c>
      <c r="S10060" t="s">
        <v>45386</v>
      </c>
      <c r="T10060" t="s">
        <v>47000</v>
      </c>
      <c r="U10060" t="s">
        <v>55792</v>
      </c>
      <c r="V10060" t="s">
        <v>60901</v>
      </c>
      <c r="W10060" t="s">
        <v>61751</v>
      </c>
      <c r="X10060" t="s">
        <v>45108</v>
      </c>
    </row>
    <row r="10061" spans="1:24">
      <c r="A10061">
        <f>HYPERLINK("https://www.philgeps.gov.ph/GEPSNONPILOT/Tender/SplashBidNoticeAbstractUI.aspx?menuIndex=3&amp;refID=7031408&amp;Result=3","7031408")</f>
        <v>0</v>
      </c>
      <c r="B10061" t="s">
        <v>2692</v>
      </c>
      <c r="C10061" t="s">
        <v>12786</v>
      </c>
      <c r="D10061" t="s">
        <v>18079</v>
      </c>
      <c r="E10061" t="s">
        <v>26861</v>
      </c>
      <c r="F10061" t="s">
        <v>31574</v>
      </c>
      <c r="G10061" t="s">
        <v>31582</v>
      </c>
      <c r="H10061" t="s">
        <v>31590</v>
      </c>
      <c r="I10061" t="s">
        <v>31599</v>
      </c>
      <c r="J10061" t="s">
        <v>38018</v>
      </c>
      <c r="K10061" t="s">
        <v>41267</v>
      </c>
      <c r="M10061" t="s">
        <v>44458</v>
      </c>
      <c r="N10061" t="s">
        <v>45095</v>
      </c>
      <c r="O10061" t="s">
        <v>45096</v>
      </c>
      <c r="P10061">
        <v>0</v>
      </c>
      <c r="Q10061">
        <v>0</v>
      </c>
      <c r="R10061" t="s">
        <v>45107</v>
      </c>
      <c r="S10061" t="s">
        <v>45386</v>
      </c>
      <c r="T10061" t="s">
        <v>47010</v>
      </c>
      <c r="U10061" t="s">
        <v>55793</v>
      </c>
      <c r="W10061" t="s">
        <v>44458</v>
      </c>
      <c r="X10061" t="s">
        <v>45108</v>
      </c>
    </row>
    <row r="10062" spans="1:24">
      <c r="A10062">
        <f>HYPERLINK("https://www.philgeps.gov.ph/GEPSNONPILOT/Tender/SplashBidNoticeAbstractUI.aspx?menuIndex=3&amp;refID=7031438&amp;Result=3","7031438")</f>
        <v>0</v>
      </c>
      <c r="B10062" t="s">
        <v>2690</v>
      </c>
      <c r="C10062" t="s">
        <v>12787</v>
      </c>
      <c r="D10062" t="s">
        <v>18022</v>
      </c>
      <c r="E10062" t="s">
        <v>12787</v>
      </c>
      <c r="F10062" t="s">
        <v>31574</v>
      </c>
      <c r="G10062" t="s">
        <v>31582</v>
      </c>
      <c r="H10062" t="s">
        <v>31590</v>
      </c>
      <c r="I10062" t="s">
        <v>31594</v>
      </c>
      <c r="J10062" t="s">
        <v>32019</v>
      </c>
      <c r="K10062" t="s">
        <v>41186</v>
      </c>
      <c r="M10062" t="s">
        <v>44455</v>
      </c>
      <c r="N10062" t="s">
        <v>45095</v>
      </c>
      <c r="O10062" t="s">
        <v>45096</v>
      </c>
      <c r="P10062">
        <v>0</v>
      </c>
      <c r="Q10062">
        <v>6</v>
      </c>
      <c r="R10062" t="s">
        <v>45107</v>
      </c>
      <c r="S10062" t="s">
        <v>45386</v>
      </c>
      <c r="T10062" t="s">
        <v>46932</v>
      </c>
      <c r="U10062" t="s">
        <v>55794</v>
      </c>
      <c r="W10062" t="s">
        <v>44455</v>
      </c>
      <c r="X10062" t="s">
        <v>45108</v>
      </c>
    </row>
    <row r="10063" spans="1:24">
      <c r="A10063">
        <f>HYPERLINK("https://www.philgeps.gov.ph/GEPSNONPILOT/Tender/SplashBidNoticeAbstractUI.aspx?menuIndex=3&amp;refID=7031466&amp;Result=3","7031466")</f>
        <v>0</v>
      </c>
      <c r="B10063" t="s">
        <v>132</v>
      </c>
      <c r="C10063" t="s">
        <v>12788</v>
      </c>
      <c r="D10063" t="s">
        <v>18059</v>
      </c>
      <c r="E10063" t="s">
        <v>26862</v>
      </c>
      <c r="F10063" t="s">
        <v>31574</v>
      </c>
      <c r="G10063" t="s">
        <v>31582</v>
      </c>
      <c r="H10063" t="s">
        <v>31590</v>
      </c>
      <c r="I10063" t="s">
        <v>4046</v>
      </c>
      <c r="J10063" t="s">
        <v>38019</v>
      </c>
      <c r="K10063" t="s">
        <v>41190</v>
      </c>
      <c r="M10063" t="s">
        <v>41616</v>
      </c>
      <c r="N10063" t="s">
        <v>45095</v>
      </c>
      <c r="O10063" t="s">
        <v>45096</v>
      </c>
      <c r="P10063">
        <v>0</v>
      </c>
      <c r="Q10063">
        <v>0</v>
      </c>
      <c r="R10063" t="s">
        <v>45107</v>
      </c>
      <c r="S10063" t="s">
        <v>45386</v>
      </c>
      <c r="T10063" t="s">
        <v>47159</v>
      </c>
      <c r="U10063" t="s">
        <v>55795</v>
      </c>
      <c r="W10063" t="s">
        <v>41616</v>
      </c>
      <c r="X10063" t="s">
        <v>45108</v>
      </c>
    </row>
    <row r="10064" spans="1:24">
      <c r="A10064">
        <f>HYPERLINK("https://www.philgeps.gov.ph/GEPSNONPILOT/Tender/SplashBidNoticeAbstractUI.aspx?menuIndex=3&amp;refID=7031444&amp;Result=3","7031444")</f>
        <v>0</v>
      </c>
      <c r="B10064" t="s">
        <v>1822</v>
      </c>
      <c r="C10064" t="s">
        <v>12789</v>
      </c>
      <c r="D10064" t="s">
        <v>18099</v>
      </c>
      <c r="E10064" t="s">
        <v>19969</v>
      </c>
      <c r="F10064" t="s">
        <v>31574</v>
      </c>
      <c r="G10064" t="s">
        <v>31582</v>
      </c>
      <c r="H10064" t="s">
        <v>31591</v>
      </c>
      <c r="I10064" t="s">
        <v>8822</v>
      </c>
      <c r="J10064" t="s">
        <v>31780</v>
      </c>
      <c r="K10064" t="s">
        <v>41192</v>
      </c>
      <c r="M10064" t="s">
        <v>43457</v>
      </c>
      <c r="N10064" t="s">
        <v>45095</v>
      </c>
      <c r="O10064" t="s">
        <v>45096</v>
      </c>
      <c r="P10064">
        <v>0</v>
      </c>
      <c r="Q10064">
        <v>0</v>
      </c>
      <c r="R10064" t="s">
        <v>45107</v>
      </c>
      <c r="S10064" t="s">
        <v>45386</v>
      </c>
      <c r="T10064" t="s">
        <v>47076</v>
      </c>
      <c r="U10064" t="s">
        <v>52190</v>
      </c>
      <c r="W10064" t="s">
        <v>43457</v>
      </c>
      <c r="X10064" t="s">
        <v>45108</v>
      </c>
    </row>
    <row r="10065" spans="1:24">
      <c r="A10065">
        <f>HYPERLINK("https://www.philgeps.gov.ph/GEPSNONPILOT/Tender/SplashBidNoticeAbstractUI.aspx?menuIndex=3&amp;refID=7031481&amp;Result=3","7031481")</f>
        <v>0</v>
      </c>
      <c r="B10065" t="s">
        <v>1822</v>
      </c>
      <c r="C10065" t="s">
        <v>12790</v>
      </c>
      <c r="D10065" t="s">
        <v>18099</v>
      </c>
      <c r="E10065" t="s">
        <v>18577</v>
      </c>
      <c r="F10065" t="s">
        <v>31574</v>
      </c>
      <c r="G10065" t="s">
        <v>31582</v>
      </c>
      <c r="H10065" t="s">
        <v>31591</v>
      </c>
      <c r="I10065" t="s">
        <v>8822</v>
      </c>
      <c r="J10065" t="s">
        <v>31947</v>
      </c>
      <c r="K10065" t="s">
        <v>41191</v>
      </c>
      <c r="M10065" t="s">
        <v>43457</v>
      </c>
      <c r="N10065" t="s">
        <v>45095</v>
      </c>
      <c r="O10065" t="s">
        <v>45096</v>
      </c>
      <c r="P10065">
        <v>0</v>
      </c>
      <c r="Q10065">
        <v>0</v>
      </c>
      <c r="R10065" t="s">
        <v>45107</v>
      </c>
      <c r="S10065" t="s">
        <v>45386</v>
      </c>
      <c r="T10065" t="s">
        <v>47076</v>
      </c>
      <c r="U10065" t="s">
        <v>52190</v>
      </c>
      <c r="W10065" t="s">
        <v>43457</v>
      </c>
      <c r="X10065" t="s">
        <v>45108</v>
      </c>
    </row>
    <row r="10066" spans="1:24">
      <c r="A10066">
        <f>HYPERLINK("https://www.philgeps.gov.ph/GEPSNONPILOT/Tender/SplashBidNoticeAbstractUI.aspx?menuIndex=3&amp;refID=7031471&amp;Result=3","7031471")</f>
        <v>0</v>
      </c>
      <c r="B10066" t="s">
        <v>1218</v>
      </c>
      <c r="C10066" t="s">
        <v>12791</v>
      </c>
      <c r="D10066" t="s">
        <v>18054</v>
      </c>
      <c r="E10066" t="s">
        <v>26863</v>
      </c>
      <c r="F10066" t="s">
        <v>31574</v>
      </c>
      <c r="G10066" t="s">
        <v>31582</v>
      </c>
      <c r="H10066" t="s">
        <v>31591</v>
      </c>
      <c r="I10066" t="s">
        <v>8822</v>
      </c>
      <c r="J10066" t="s">
        <v>34743</v>
      </c>
      <c r="K10066" t="s">
        <v>41243</v>
      </c>
      <c r="M10066" t="s">
        <v>42779</v>
      </c>
      <c r="N10066" t="s">
        <v>45095</v>
      </c>
      <c r="O10066" t="s">
        <v>45096</v>
      </c>
      <c r="P10066">
        <v>0</v>
      </c>
      <c r="Q10066">
        <v>2</v>
      </c>
      <c r="R10066" t="s">
        <v>45107</v>
      </c>
      <c r="S10066" t="s">
        <v>45386</v>
      </c>
      <c r="T10066" t="s">
        <v>47000</v>
      </c>
      <c r="U10066" t="s">
        <v>55796</v>
      </c>
      <c r="V10066" t="s">
        <v>60902</v>
      </c>
      <c r="W10066" t="s">
        <v>42779</v>
      </c>
      <c r="X10066" t="s">
        <v>45108</v>
      </c>
    </row>
    <row r="10067" spans="1:24">
      <c r="A10067">
        <f>HYPERLINK("https://www.philgeps.gov.ph/GEPSNONPILOT/Tender/SplashBidNoticeAbstractUI.aspx?menuIndex=3&amp;refID=7031480&amp;Result=3","7031480")</f>
        <v>0</v>
      </c>
      <c r="B10067" t="s">
        <v>1070</v>
      </c>
      <c r="C10067" t="s">
        <v>12792</v>
      </c>
      <c r="D10067" t="s">
        <v>18069</v>
      </c>
      <c r="E10067" t="s">
        <v>26864</v>
      </c>
      <c r="F10067" t="s">
        <v>31574</v>
      </c>
      <c r="G10067" t="s">
        <v>31581</v>
      </c>
      <c r="H10067" t="s">
        <v>31593</v>
      </c>
      <c r="I10067" t="s">
        <v>31593</v>
      </c>
      <c r="J10067" t="s">
        <v>31724</v>
      </c>
      <c r="K10067" t="s">
        <v>41192</v>
      </c>
      <c r="M10067" t="s">
        <v>42616</v>
      </c>
      <c r="N10067" t="s">
        <v>45095</v>
      </c>
      <c r="O10067" t="s">
        <v>45096</v>
      </c>
      <c r="P10067">
        <v>0</v>
      </c>
      <c r="Q10067">
        <v>0</v>
      </c>
      <c r="R10067" t="s">
        <v>45107</v>
      </c>
      <c r="S10067" t="s">
        <v>45386</v>
      </c>
      <c r="T10067" t="s">
        <v>46979</v>
      </c>
      <c r="U10067" t="s">
        <v>55797</v>
      </c>
      <c r="W10067" t="s">
        <v>42616</v>
      </c>
      <c r="X10067" t="s">
        <v>45108</v>
      </c>
    </row>
    <row r="10068" spans="1:24">
      <c r="A10068">
        <f>HYPERLINK("https://www.philgeps.gov.ph/GEPSNONPILOT/Tender/SplashBidNoticeAbstractUI.aspx?menuIndex=3&amp;refID=7031478&amp;Result=3","7031478")</f>
        <v>0</v>
      </c>
      <c r="B10068" t="s">
        <v>1808</v>
      </c>
      <c r="C10068" t="s">
        <v>12793</v>
      </c>
      <c r="D10068" t="s">
        <v>18070</v>
      </c>
      <c r="E10068" t="s">
        <v>26865</v>
      </c>
      <c r="F10068" t="s">
        <v>31574</v>
      </c>
      <c r="G10068" t="s">
        <v>31582</v>
      </c>
      <c r="H10068" t="s">
        <v>31590</v>
      </c>
      <c r="I10068" t="s">
        <v>4046</v>
      </c>
      <c r="J10068" t="s">
        <v>32258</v>
      </c>
      <c r="K10068" t="s">
        <v>41206</v>
      </c>
      <c r="M10068" t="s">
        <v>43441</v>
      </c>
      <c r="N10068" t="s">
        <v>45095</v>
      </c>
      <c r="O10068" t="s">
        <v>45096</v>
      </c>
      <c r="P10068">
        <v>0</v>
      </c>
      <c r="Q10068">
        <v>0</v>
      </c>
      <c r="R10068" t="s">
        <v>45107</v>
      </c>
      <c r="S10068" t="s">
        <v>45386</v>
      </c>
      <c r="T10068" t="s">
        <v>47177</v>
      </c>
      <c r="U10068" t="s">
        <v>55798</v>
      </c>
      <c r="W10068" t="s">
        <v>43441</v>
      </c>
      <c r="X10068" t="s">
        <v>45108</v>
      </c>
    </row>
    <row r="10069" spans="1:24">
      <c r="A10069">
        <f>HYPERLINK("https://www.philgeps.gov.ph/GEPSNONPILOT/Tender/SplashBidNoticeAbstractUI.aspx?menuIndex=3&amp;refID=7031520&amp;Result=3","7031520")</f>
        <v>0</v>
      </c>
      <c r="B10069" t="s">
        <v>132</v>
      </c>
      <c r="C10069" t="s">
        <v>12794</v>
      </c>
      <c r="D10069" t="s">
        <v>18059</v>
      </c>
      <c r="E10069" t="s">
        <v>26866</v>
      </c>
      <c r="F10069" t="s">
        <v>31574</v>
      </c>
      <c r="G10069" t="s">
        <v>31582</v>
      </c>
      <c r="H10069" t="s">
        <v>31590</v>
      </c>
      <c r="I10069" t="s">
        <v>4046</v>
      </c>
      <c r="J10069" t="s">
        <v>38020</v>
      </c>
      <c r="K10069" t="s">
        <v>41190</v>
      </c>
      <c r="M10069" t="s">
        <v>41616</v>
      </c>
      <c r="N10069" t="s">
        <v>45095</v>
      </c>
      <c r="O10069" t="s">
        <v>45096</v>
      </c>
      <c r="P10069">
        <v>0</v>
      </c>
      <c r="Q10069">
        <v>0</v>
      </c>
      <c r="R10069" t="s">
        <v>45107</v>
      </c>
      <c r="S10069" t="s">
        <v>45386</v>
      </c>
      <c r="T10069" t="s">
        <v>47159</v>
      </c>
      <c r="U10069" t="s">
        <v>55799</v>
      </c>
      <c r="W10069" t="s">
        <v>41616</v>
      </c>
      <c r="X10069" t="s">
        <v>45108</v>
      </c>
    </row>
    <row r="10070" spans="1:24">
      <c r="A10070">
        <f>HYPERLINK("https://www.philgeps.gov.ph/GEPSNONPILOT/Tender/SplashBidNoticeAbstractUI.aspx?menuIndex=3&amp;refID=7031512&amp;Result=3","7031512")</f>
        <v>0</v>
      </c>
      <c r="B10070" t="s">
        <v>1822</v>
      </c>
      <c r="C10070" t="s">
        <v>12795</v>
      </c>
      <c r="D10070" t="s">
        <v>18099</v>
      </c>
      <c r="E10070" t="s">
        <v>19859</v>
      </c>
      <c r="F10070" t="s">
        <v>31574</v>
      </c>
      <c r="G10070" t="s">
        <v>31582</v>
      </c>
      <c r="H10070" t="s">
        <v>31591</v>
      </c>
      <c r="I10070" t="s">
        <v>8822</v>
      </c>
      <c r="J10070" t="s">
        <v>31947</v>
      </c>
      <c r="K10070" t="s">
        <v>41189</v>
      </c>
      <c r="M10070" t="s">
        <v>43457</v>
      </c>
      <c r="N10070" t="s">
        <v>45095</v>
      </c>
      <c r="O10070" t="s">
        <v>45096</v>
      </c>
      <c r="P10070">
        <v>0</v>
      </c>
      <c r="Q10070">
        <v>0</v>
      </c>
      <c r="R10070" t="s">
        <v>45107</v>
      </c>
      <c r="S10070" t="s">
        <v>45386</v>
      </c>
      <c r="T10070" t="s">
        <v>47076</v>
      </c>
      <c r="U10070" t="s">
        <v>52190</v>
      </c>
      <c r="W10070" t="s">
        <v>43457</v>
      </c>
      <c r="X10070" t="s">
        <v>45108</v>
      </c>
    </row>
    <row r="10071" spans="1:24">
      <c r="A10071">
        <f>HYPERLINK("https://www.philgeps.gov.ph/GEPSNONPILOT/Tender/SplashBidNoticeAbstractUI.aspx?menuIndex=3&amp;refID=7031515&amp;Result=3","7031515")</f>
        <v>0</v>
      </c>
      <c r="B10071" t="s">
        <v>2693</v>
      </c>
      <c r="C10071" t="s">
        <v>12796</v>
      </c>
      <c r="D10071" t="s">
        <v>18052</v>
      </c>
      <c r="E10071" t="s">
        <v>26867</v>
      </c>
      <c r="F10071" t="s">
        <v>31574</v>
      </c>
      <c r="G10071" t="s">
        <v>31582</v>
      </c>
      <c r="H10071" t="s">
        <v>31590</v>
      </c>
      <c r="I10071" t="s">
        <v>31602</v>
      </c>
      <c r="J10071" t="s">
        <v>38021</v>
      </c>
      <c r="K10071" t="s">
        <v>41189</v>
      </c>
      <c r="M10071" t="s">
        <v>44459</v>
      </c>
      <c r="N10071" t="s">
        <v>45095</v>
      </c>
      <c r="O10071" t="s">
        <v>45096</v>
      </c>
      <c r="P10071">
        <v>0</v>
      </c>
      <c r="Q10071">
        <v>0</v>
      </c>
      <c r="R10071" t="s">
        <v>45107</v>
      </c>
      <c r="S10071" t="s">
        <v>45386</v>
      </c>
      <c r="T10071" t="s">
        <v>46977</v>
      </c>
      <c r="U10071" t="s">
        <v>55800</v>
      </c>
      <c r="V10071" t="s">
        <v>60903</v>
      </c>
      <c r="W10071" t="s">
        <v>44459</v>
      </c>
      <c r="X10071" t="s">
        <v>45108</v>
      </c>
    </row>
    <row r="10072" spans="1:24">
      <c r="A10072">
        <f>HYPERLINK("https://www.philgeps.gov.ph/GEPSNONPILOT/Tender/SplashBidNoticeAbstractUI.aspx?menuIndex=3&amp;refID=7031465&amp;Result=3","7031465")</f>
        <v>0</v>
      </c>
      <c r="B10072" t="s">
        <v>1903</v>
      </c>
      <c r="C10072" t="s">
        <v>12797</v>
      </c>
      <c r="D10072" t="s">
        <v>18023</v>
      </c>
      <c r="E10072" t="s">
        <v>26868</v>
      </c>
      <c r="F10072" t="s">
        <v>31574</v>
      </c>
      <c r="G10072" t="s">
        <v>31582</v>
      </c>
      <c r="H10072" t="s">
        <v>31591</v>
      </c>
      <c r="I10072" t="s">
        <v>31632</v>
      </c>
      <c r="J10072" t="s">
        <v>38022</v>
      </c>
      <c r="K10072" t="s">
        <v>41184</v>
      </c>
      <c r="M10072" t="s">
        <v>43548</v>
      </c>
      <c r="N10072" t="s">
        <v>45095</v>
      </c>
      <c r="O10072" t="s">
        <v>45096</v>
      </c>
      <c r="P10072">
        <v>0</v>
      </c>
      <c r="Q10072">
        <v>6</v>
      </c>
      <c r="R10072" t="s">
        <v>45107</v>
      </c>
      <c r="S10072" t="s">
        <v>45386</v>
      </c>
      <c r="T10072" t="s">
        <v>47008</v>
      </c>
      <c r="U10072" t="s">
        <v>55801</v>
      </c>
      <c r="V10072" t="s">
        <v>60490</v>
      </c>
      <c r="W10072" t="s">
        <v>43548</v>
      </c>
      <c r="X10072" t="s">
        <v>45108</v>
      </c>
    </row>
    <row r="10073" spans="1:24">
      <c r="A10073">
        <f>HYPERLINK("https://www.philgeps.gov.ph/GEPSNONPILOT/Tender/SplashBidNoticeAbstractUI.aspx?menuIndex=3&amp;refID=7031502&amp;Result=3","7031502")</f>
        <v>0</v>
      </c>
      <c r="B10073" t="s">
        <v>2660</v>
      </c>
      <c r="C10073" t="s">
        <v>12798</v>
      </c>
      <c r="D10073" t="s">
        <v>18072</v>
      </c>
      <c r="E10073" t="s">
        <v>18169</v>
      </c>
      <c r="F10073" t="s">
        <v>31574</v>
      </c>
      <c r="G10073" t="s">
        <v>31582</v>
      </c>
      <c r="H10073" t="s">
        <v>31590</v>
      </c>
      <c r="I10073" t="s">
        <v>4046</v>
      </c>
      <c r="J10073" t="s">
        <v>38023</v>
      </c>
      <c r="K10073" t="s">
        <v>41186</v>
      </c>
      <c r="M10073" t="s">
        <v>44419</v>
      </c>
      <c r="N10073" t="s">
        <v>45095</v>
      </c>
      <c r="O10073" t="s">
        <v>45096</v>
      </c>
      <c r="P10073">
        <v>0</v>
      </c>
      <c r="Q10073">
        <v>0</v>
      </c>
      <c r="R10073" t="s">
        <v>45107</v>
      </c>
      <c r="S10073" t="s">
        <v>45386</v>
      </c>
      <c r="T10073" t="s">
        <v>47030</v>
      </c>
      <c r="U10073" t="s">
        <v>55802</v>
      </c>
      <c r="W10073" t="s">
        <v>44419</v>
      </c>
      <c r="X10073" t="s">
        <v>45108</v>
      </c>
    </row>
    <row r="10074" spans="1:24">
      <c r="A10074">
        <f>HYPERLINK("https://www.philgeps.gov.ph/GEPSNONPILOT/Tender/SplashBidNoticeAbstractUI.aspx?menuIndex=3&amp;refID=7031499&amp;Result=3","7031499")</f>
        <v>0</v>
      </c>
      <c r="B10074" t="s">
        <v>1822</v>
      </c>
      <c r="C10074" t="s">
        <v>12799</v>
      </c>
      <c r="D10074" t="s">
        <v>18099</v>
      </c>
      <c r="E10074" t="s">
        <v>18596</v>
      </c>
      <c r="F10074" t="s">
        <v>31574</v>
      </c>
      <c r="G10074" t="s">
        <v>31582</v>
      </c>
      <c r="H10074" t="s">
        <v>31591</v>
      </c>
      <c r="I10074" t="s">
        <v>31627</v>
      </c>
      <c r="J10074" t="s">
        <v>31947</v>
      </c>
      <c r="K10074" t="s">
        <v>41192</v>
      </c>
      <c r="M10074" t="s">
        <v>43457</v>
      </c>
      <c r="N10074" t="s">
        <v>45095</v>
      </c>
      <c r="O10074" t="s">
        <v>45096</v>
      </c>
      <c r="P10074">
        <v>0</v>
      </c>
      <c r="Q10074">
        <v>0</v>
      </c>
      <c r="R10074" t="s">
        <v>45107</v>
      </c>
      <c r="S10074" t="s">
        <v>45386</v>
      </c>
      <c r="T10074" t="s">
        <v>47076</v>
      </c>
      <c r="U10074" t="s">
        <v>52190</v>
      </c>
      <c r="W10074" t="s">
        <v>43457</v>
      </c>
      <c r="X10074" t="s">
        <v>45108</v>
      </c>
    </row>
    <row r="10075" spans="1:24">
      <c r="A10075">
        <f>HYPERLINK("https://www.philgeps.gov.ph/GEPSNONPILOT/Tender/SplashBidNoticeAbstractUI.aspx?menuIndex=3&amp;refID=7031459&amp;Result=3","7031459")</f>
        <v>0</v>
      </c>
      <c r="B10075" t="s">
        <v>1822</v>
      </c>
      <c r="C10075" t="s">
        <v>12800</v>
      </c>
      <c r="D10075" t="s">
        <v>18099</v>
      </c>
      <c r="E10075" t="s">
        <v>20021</v>
      </c>
      <c r="F10075" t="s">
        <v>31574</v>
      </c>
      <c r="G10075" t="s">
        <v>31582</v>
      </c>
      <c r="H10075" t="s">
        <v>31591</v>
      </c>
      <c r="I10075" t="s">
        <v>31627</v>
      </c>
      <c r="J10075" t="s">
        <v>32375</v>
      </c>
      <c r="K10075" t="s">
        <v>41186</v>
      </c>
      <c r="M10075" t="s">
        <v>43457</v>
      </c>
      <c r="N10075" t="s">
        <v>45095</v>
      </c>
      <c r="O10075" t="s">
        <v>45096</v>
      </c>
      <c r="P10075">
        <v>0</v>
      </c>
      <c r="Q10075">
        <v>0</v>
      </c>
      <c r="R10075" t="s">
        <v>45107</v>
      </c>
      <c r="S10075" t="s">
        <v>45386</v>
      </c>
      <c r="T10075" t="s">
        <v>47076</v>
      </c>
      <c r="U10075" t="s">
        <v>52190</v>
      </c>
      <c r="W10075" t="s">
        <v>43457</v>
      </c>
      <c r="X10075" t="s">
        <v>45108</v>
      </c>
    </row>
    <row r="10076" spans="1:24">
      <c r="A10076">
        <f>HYPERLINK("https://www.philgeps.gov.ph/GEPSNONPILOT/Tender/SplashBidNoticeAbstractUI.aspx?menuIndex=3&amp;refID=7031491&amp;Result=3","7031491")</f>
        <v>0</v>
      </c>
      <c r="B10076" t="s">
        <v>2694</v>
      </c>
      <c r="C10076" t="s">
        <v>12801</v>
      </c>
      <c r="D10076" t="s">
        <v>18046</v>
      </c>
      <c r="E10076" t="s">
        <v>26869</v>
      </c>
      <c r="F10076" t="s">
        <v>31574</v>
      </c>
      <c r="G10076" t="s">
        <v>31582</v>
      </c>
      <c r="H10076" t="s">
        <v>31590</v>
      </c>
      <c r="I10076" t="s">
        <v>31681</v>
      </c>
      <c r="J10076" t="s">
        <v>38024</v>
      </c>
      <c r="K10076" t="s">
        <v>41186</v>
      </c>
      <c r="M10076" t="s">
        <v>44460</v>
      </c>
      <c r="N10076" t="s">
        <v>45095</v>
      </c>
      <c r="O10076" t="s">
        <v>45096</v>
      </c>
      <c r="P10076">
        <v>0</v>
      </c>
      <c r="Q10076">
        <v>3</v>
      </c>
      <c r="R10076" t="s">
        <v>45107</v>
      </c>
      <c r="S10076" t="s">
        <v>45386</v>
      </c>
      <c r="T10076" t="s">
        <v>47162</v>
      </c>
      <c r="U10076" t="s">
        <v>55803</v>
      </c>
      <c r="V10076" t="s">
        <v>60904</v>
      </c>
      <c r="W10076" t="s">
        <v>44460</v>
      </c>
      <c r="X10076" t="s">
        <v>45108</v>
      </c>
    </row>
    <row r="10077" spans="1:24">
      <c r="A10077">
        <f>HYPERLINK("https://www.philgeps.gov.ph/GEPSNONPILOT/Tender/SplashBidNoticeAbstractUI.aspx?menuIndex=3&amp;refID=7031527&amp;Result=3","7031527")</f>
        <v>0</v>
      </c>
      <c r="B10077" t="s">
        <v>1477</v>
      </c>
      <c r="C10077" t="s">
        <v>12802</v>
      </c>
      <c r="D10077" t="s">
        <v>18049</v>
      </c>
      <c r="E10077" t="s">
        <v>26870</v>
      </c>
      <c r="F10077" t="s">
        <v>31574</v>
      </c>
      <c r="G10077" t="s">
        <v>31582</v>
      </c>
      <c r="H10077" t="s">
        <v>31591</v>
      </c>
      <c r="I10077" t="s">
        <v>8822</v>
      </c>
      <c r="J10077" t="s">
        <v>38025</v>
      </c>
      <c r="K10077" t="s">
        <v>41267</v>
      </c>
      <c r="M10077" t="s">
        <v>43059</v>
      </c>
      <c r="N10077" t="s">
        <v>45095</v>
      </c>
      <c r="O10077" t="s">
        <v>45096</v>
      </c>
      <c r="P10077">
        <v>0</v>
      </c>
      <c r="Q10077">
        <v>0</v>
      </c>
      <c r="R10077" t="s">
        <v>45107</v>
      </c>
      <c r="S10077" t="s">
        <v>45386</v>
      </c>
      <c r="T10077" t="s">
        <v>47304</v>
      </c>
      <c r="U10077" t="s">
        <v>55804</v>
      </c>
      <c r="W10077" t="s">
        <v>43059</v>
      </c>
      <c r="X10077" t="s">
        <v>45108</v>
      </c>
    </row>
    <row r="10078" spans="1:24">
      <c r="A10078">
        <f>HYPERLINK("https://www.philgeps.gov.ph/GEPSNONPILOT/Tender/SplashBidNoticeAbstractUI.aspx?menuIndex=3&amp;refID=7031517&amp;Result=3","7031517")</f>
        <v>0</v>
      </c>
      <c r="B10078" t="s">
        <v>29</v>
      </c>
      <c r="C10078" t="s">
        <v>12803</v>
      </c>
      <c r="D10078" t="s">
        <v>18026</v>
      </c>
      <c r="E10078" t="s">
        <v>25889</v>
      </c>
      <c r="F10078" t="s">
        <v>31574</v>
      </c>
      <c r="G10078" t="s">
        <v>31582</v>
      </c>
      <c r="H10078" t="s">
        <v>31590</v>
      </c>
      <c r="I10078" t="s">
        <v>4046</v>
      </c>
      <c r="J10078" t="s">
        <v>38026</v>
      </c>
      <c r="K10078" t="s">
        <v>41196</v>
      </c>
      <c r="M10078" t="s">
        <v>41511</v>
      </c>
      <c r="N10078" t="s">
        <v>45095</v>
      </c>
      <c r="O10078" t="s">
        <v>45096</v>
      </c>
      <c r="P10078">
        <v>0</v>
      </c>
      <c r="Q10078">
        <v>3</v>
      </c>
      <c r="R10078" t="s">
        <v>45107</v>
      </c>
      <c r="S10078" t="s">
        <v>45386</v>
      </c>
      <c r="T10078" t="s">
        <v>47164</v>
      </c>
      <c r="U10078" t="s">
        <v>51189</v>
      </c>
      <c r="W10078" t="s">
        <v>41511</v>
      </c>
      <c r="X10078" t="s">
        <v>45108</v>
      </c>
    </row>
    <row r="10079" spans="1:24">
      <c r="A10079">
        <f>HYPERLINK("https://www.philgeps.gov.ph/GEPSNONPILOT/Tender/SplashBidNoticeAbstractUI.aspx?menuIndex=3&amp;refID=7031457&amp;Result=3","7031457")</f>
        <v>0</v>
      </c>
      <c r="B10079" t="s">
        <v>29</v>
      </c>
      <c r="C10079" t="s">
        <v>12804</v>
      </c>
      <c r="D10079" t="s">
        <v>18026</v>
      </c>
      <c r="E10079" t="s">
        <v>25889</v>
      </c>
      <c r="F10079" t="s">
        <v>31574</v>
      </c>
      <c r="G10079" t="s">
        <v>31582</v>
      </c>
      <c r="H10079" t="s">
        <v>31590</v>
      </c>
      <c r="I10079" t="s">
        <v>4046</v>
      </c>
      <c r="J10079" t="s">
        <v>38012</v>
      </c>
      <c r="K10079" t="s">
        <v>41196</v>
      </c>
      <c r="M10079" t="s">
        <v>41511</v>
      </c>
      <c r="N10079" t="s">
        <v>45095</v>
      </c>
      <c r="O10079" t="s">
        <v>45096</v>
      </c>
      <c r="P10079">
        <v>0</v>
      </c>
      <c r="Q10079">
        <v>2</v>
      </c>
      <c r="R10079" t="s">
        <v>45107</v>
      </c>
      <c r="S10079" t="s">
        <v>45386</v>
      </c>
      <c r="T10079" t="s">
        <v>47164</v>
      </c>
      <c r="U10079" t="s">
        <v>51189</v>
      </c>
      <c r="W10079" t="s">
        <v>41511</v>
      </c>
      <c r="X10079" t="s">
        <v>45108</v>
      </c>
    </row>
    <row r="10080" spans="1:24">
      <c r="A10080">
        <f>HYPERLINK("https://www.philgeps.gov.ph/GEPSNONPILOT/Tender/SplashBidNoticeAbstractUI.aspx?menuIndex=3&amp;refID=7031591&amp;Result=3","7031591")</f>
        <v>0</v>
      </c>
      <c r="B10080" t="s">
        <v>2690</v>
      </c>
      <c r="C10080" t="s">
        <v>12805</v>
      </c>
      <c r="D10080" t="s">
        <v>18022</v>
      </c>
      <c r="E10080" t="s">
        <v>12805</v>
      </c>
      <c r="F10080" t="s">
        <v>31574</v>
      </c>
      <c r="G10080" t="s">
        <v>31582</v>
      </c>
      <c r="H10080" t="s">
        <v>31590</v>
      </c>
      <c r="I10080" t="s">
        <v>31594</v>
      </c>
      <c r="J10080" t="s">
        <v>38027</v>
      </c>
      <c r="K10080" t="s">
        <v>41186</v>
      </c>
      <c r="M10080" t="s">
        <v>44455</v>
      </c>
      <c r="N10080" t="s">
        <v>45095</v>
      </c>
      <c r="O10080" t="s">
        <v>45096</v>
      </c>
      <c r="P10080">
        <v>0</v>
      </c>
      <c r="Q10080">
        <v>5</v>
      </c>
      <c r="R10080" t="s">
        <v>45107</v>
      </c>
      <c r="S10080" t="s">
        <v>45386</v>
      </c>
      <c r="T10080" t="s">
        <v>46932</v>
      </c>
      <c r="U10080" t="s">
        <v>51488</v>
      </c>
      <c r="W10080" t="s">
        <v>44455</v>
      </c>
      <c r="X10080" t="s">
        <v>45108</v>
      </c>
    </row>
    <row r="10081" spans="1:24">
      <c r="A10081">
        <f>HYPERLINK("https://www.philgeps.gov.ph/GEPSNONPILOT/Tender/SplashBidNoticeAbstractUI.aspx?menuIndex=3&amp;refID=7031581&amp;Result=3","7031581")</f>
        <v>0</v>
      </c>
      <c r="B10081" t="s">
        <v>1567</v>
      </c>
      <c r="C10081" t="s">
        <v>12806</v>
      </c>
      <c r="D10081" t="s">
        <v>18084</v>
      </c>
      <c r="E10081" t="s">
        <v>26871</v>
      </c>
      <c r="F10081" t="s">
        <v>31574</v>
      </c>
      <c r="G10081" t="s">
        <v>31582</v>
      </c>
      <c r="H10081" t="s">
        <v>31590</v>
      </c>
      <c r="I10081" t="s">
        <v>31606</v>
      </c>
      <c r="J10081" t="s">
        <v>38028</v>
      </c>
      <c r="K10081" t="s">
        <v>41186</v>
      </c>
      <c r="M10081" t="s">
        <v>43166</v>
      </c>
      <c r="N10081" t="s">
        <v>45095</v>
      </c>
      <c r="O10081" t="s">
        <v>45096</v>
      </c>
      <c r="P10081">
        <v>0</v>
      </c>
      <c r="Q10081">
        <v>7</v>
      </c>
      <c r="R10081" t="s">
        <v>45107</v>
      </c>
      <c r="S10081" t="s">
        <v>45386</v>
      </c>
      <c r="T10081" t="s">
        <v>47000</v>
      </c>
      <c r="U10081" t="s">
        <v>55805</v>
      </c>
      <c r="W10081" t="s">
        <v>43166</v>
      </c>
      <c r="X10081" t="s">
        <v>45108</v>
      </c>
    </row>
    <row r="10082" spans="1:24">
      <c r="A10082">
        <f>HYPERLINK("https://www.philgeps.gov.ph/GEPSNONPILOT/Tender/SplashBidNoticeAbstractUI.aspx?menuIndex=3&amp;refID=7031451&amp;Result=3","7031451")</f>
        <v>0</v>
      </c>
      <c r="B10082" t="s">
        <v>2693</v>
      </c>
      <c r="C10082" t="s">
        <v>12807</v>
      </c>
      <c r="D10082" t="s">
        <v>18052</v>
      </c>
      <c r="E10082" t="s">
        <v>26872</v>
      </c>
      <c r="F10082" t="s">
        <v>31574</v>
      </c>
      <c r="G10082" t="s">
        <v>31582</v>
      </c>
      <c r="H10082" t="s">
        <v>31590</v>
      </c>
      <c r="I10082" t="s">
        <v>31602</v>
      </c>
      <c r="J10082" t="s">
        <v>38029</v>
      </c>
      <c r="K10082" t="s">
        <v>41189</v>
      </c>
      <c r="M10082" t="s">
        <v>44459</v>
      </c>
      <c r="N10082" t="s">
        <v>45095</v>
      </c>
      <c r="O10082" t="s">
        <v>45096</v>
      </c>
      <c r="P10082">
        <v>0</v>
      </c>
      <c r="Q10082">
        <v>0</v>
      </c>
      <c r="R10082" t="s">
        <v>45107</v>
      </c>
      <c r="S10082" t="s">
        <v>45386</v>
      </c>
      <c r="T10082" t="s">
        <v>46977</v>
      </c>
      <c r="U10082" t="s">
        <v>55806</v>
      </c>
      <c r="V10082" t="s">
        <v>60903</v>
      </c>
      <c r="W10082" t="s">
        <v>44459</v>
      </c>
      <c r="X10082" t="s">
        <v>45108</v>
      </c>
    </row>
    <row r="10083" spans="1:24">
      <c r="A10083">
        <f>HYPERLINK("https://www.philgeps.gov.ph/GEPSNONPILOT/Tender/SplashBidNoticeAbstractUI.aspx?menuIndex=3&amp;refID=7031570&amp;Result=3","7031570")</f>
        <v>0</v>
      </c>
      <c r="B10083" t="s">
        <v>2669</v>
      </c>
      <c r="C10083" t="s">
        <v>12808</v>
      </c>
      <c r="D10083" t="s">
        <v>18037</v>
      </c>
      <c r="E10083" t="s">
        <v>26873</v>
      </c>
      <c r="F10083" t="s">
        <v>31574</v>
      </c>
      <c r="G10083" t="s">
        <v>31582</v>
      </c>
      <c r="H10083" t="s">
        <v>31591</v>
      </c>
      <c r="I10083" t="s">
        <v>8822</v>
      </c>
      <c r="J10083" t="s">
        <v>38030</v>
      </c>
      <c r="K10083" t="s">
        <v>41217</v>
      </c>
      <c r="M10083" t="s">
        <v>44430</v>
      </c>
      <c r="N10083" t="s">
        <v>45095</v>
      </c>
      <c r="O10083" t="s">
        <v>45096</v>
      </c>
      <c r="P10083">
        <v>0</v>
      </c>
      <c r="Q10083">
        <v>0</v>
      </c>
      <c r="R10083" t="s">
        <v>45107</v>
      </c>
      <c r="S10083" t="s">
        <v>45386</v>
      </c>
      <c r="T10083" t="s">
        <v>47371</v>
      </c>
      <c r="U10083" t="s">
        <v>55669</v>
      </c>
      <c r="W10083" t="s">
        <v>44430</v>
      </c>
      <c r="X10083" t="s">
        <v>45108</v>
      </c>
    </row>
    <row r="10084" spans="1:24">
      <c r="A10084">
        <f>HYPERLINK("https://www.philgeps.gov.ph/GEPSNONPILOT/Tender/SplashBidNoticeAbstractUI.aspx?menuIndex=3&amp;refID=7031584&amp;Result=3","7031584")</f>
        <v>0</v>
      </c>
      <c r="B10084" t="s">
        <v>2690</v>
      </c>
      <c r="C10084" t="s">
        <v>12809</v>
      </c>
      <c r="D10084" t="s">
        <v>18022</v>
      </c>
      <c r="E10084" t="s">
        <v>12809</v>
      </c>
      <c r="F10084" t="s">
        <v>31574</v>
      </c>
      <c r="G10084" t="s">
        <v>31582</v>
      </c>
      <c r="H10084" t="s">
        <v>31590</v>
      </c>
      <c r="I10084" t="s">
        <v>31594</v>
      </c>
      <c r="J10084" t="s">
        <v>38031</v>
      </c>
      <c r="K10084" t="s">
        <v>41186</v>
      </c>
      <c r="M10084" t="s">
        <v>44455</v>
      </c>
      <c r="N10084" t="s">
        <v>45095</v>
      </c>
      <c r="O10084" t="s">
        <v>45096</v>
      </c>
      <c r="P10084">
        <v>0</v>
      </c>
      <c r="Q10084">
        <v>3</v>
      </c>
      <c r="R10084" t="s">
        <v>45107</v>
      </c>
      <c r="S10084" t="s">
        <v>45386</v>
      </c>
      <c r="T10084" t="s">
        <v>46932</v>
      </c>
      <c r="U10084" t="s">
        <v>51488</v>
      </c>
      <c r="W10084" t="s">
        <v>44455</v>
      </c>
      <c r="X10084" t="s">
        <v>45108</v>
      </c>
    </row>
    <row r="10085" spans="1:24">
      <c r="A10085">
        <f>HYPERLINK("https://www.philgeps.gov.ph/GEPSNONPILOT/Tender/SplashBidNoticeAbstractUI.aspx?menuIndex=3&amp;refID=7031469&amp;Result=3","7031469")</f>
        <v>0</v>
      </c>
      <c r="B10085" t="s">
        <v>1477</v>
      </c>
      <c r="C10085" t="s">
        <v>12810</v>
      </c>
      <c r="D10085" t="s">
        <v>18034</v>
      </c>
      <c r="E10085" t="s">
        <v>26874</v>
      </c>
      <c r="F10085" t="s">
        <v>31574</v>
      </c>
      <c r="G10085" t="s">
        <v>31582</v>
      </c>
      <c r="H10085" t="s">
        <v>31591</v>
      </c>
      <c r="I10085" t="s">
        <v>8822</v>
      </c>
      <c r="J10085" t="s">
        <v>38032</v>
      </c>
      <c r="K10085" t="s">
        <v>41335</v>
      </c>
      <c r="M10085" t="s">
        <v>43059</v>
      </c>
      <c r="N10085" t="s">
        <v>45095</v>
      </c>
      <c r="O10085" t="s">
        <v>45096</v>
      </c>
      <c r="Q10085">
        <v>1</v>
      </c>
      <c r="R10085" t="s">
        <v>45107</v>
      </c>
      <c r="S10085" t="s">
        <v>45235</v>
      </c>
      <c r="T10085" t="s">
        <v>47139</v>
      </c>
      <c r="U10085" t="s">
        <v>55807</v>
      </c>
      <c r="W10085" t="s">
        <v>43059</v>
      </c>
      <c r="X10085" t="s">
        <v>45108</v>
      </c>
    </row>
    <row r="10086" spans="1:24">
      <c r="A10086">
        <f>HYPERLINK("https://www.philgeps.gov.ph/GEPSNONPILOT/Tender/SplashBidNoticeAbstractUI.aspx?menuIndex=3&amp;refID=7031563&amp;Result=3","7031563")</f>
        <v>0</v>
      </c>
      <c r="B10086" t="s">
        <v>132</v>
      </c>
      <c r="C10086" t="s">
        <v>12811</v>
      </c>
      <c r="D10086" t="s">
        <v>18059</v>
      </c>
      <c r="E10086" t="s">
        <v>26875</v>
      </c>
      <c r="F10086" t="s">
        <v>31574</v>
      </c>
      <c r="G10086" t="s">
        <v>31582</v>
      </c>
      <c r="H10086" t="s">
        <v>31590</v>
      </c>
      <c r="I10086" t="s">
        <v>4046</v>
      </c>
      <c r="J10086" t="s">
        <v>38033</v>
      </c>
      <c r="K10086" t="s">
        <v>41190</v>
      </c>
      <c r="M10086" t="s">
        <v>41616</v>
      </c>
      <c r="N10086" t="s">
        <v>45095</v>
      </c>
      <c r="O10086" t="s">
        <v>45096</v>
      </c>
      <c r="P10086">
        <v>0</v>
      </c>
      <c r="Q10086">
        <v>0</v>
      </c>
      <c r="R10086" t="s">
        <v>45107</v>
      </c>
      <c r="S10086" t="s">
        <v>45386</v>
      </c>
      <c r="T10086" t="s">
        <v>47159</v>
      </c>
      <c r="U10086" t="s">
        <v>55808</v>
      </c>
      <c r="W10086" t="s">
        <v>41616</v>
      </c>
      <c r="X10086" t="s">
        <v>45108</v>
      </c>
    </row>
    <row r="10087" spans="1:24">
      <c r="A10087">
        <f>HYPERLINK("https://www.philgeps.gov.ph/GEPSNONPILOT/Tender/SplashBidNoticeAbstractUI.aspx?menuIndex=3&amp;refID=7031561&amp;Result=3","7031561")</f>
        <v>0</v>
      </c>
      <c r="B10087" t="s">
        <v>1822</v>
      </c>
      <c r="C10087" t="s">
        <v>12812</v>
      </c>
      <c r="D10087" t="s">
        <v>18099</v>
      </c>
      <c r="E10087" t="s">
        <v>19916</v>
      </c>
      <c r="F10087" t="s">
        <v>31574</v>
      </c>
      <c r="G10087" t="s">
        <v>31582</v>
      </c>
      <c r="H10087" t="s">
        <v>31591</v>
      </c>
      <c r="I10087" t="s">
        <v>31627</v>
      </c>
      <c r="J10087" t="s">
        <v>31789</v>
      </c>
      <c r="K10087" t="s">
        <v>41185</v>
      </c>
      <c r="M10087" t="s">
        <v>43457</v>
      </c>
      <c r="N10087" t="s">
        <v>45095</v>
      </c>
      <c r="O10087" t="s">
        <v>45096</v>
      </c>
      <c r="P10087">
        <v>0</v>
      </c>
      <c r="Q10087">
        <v>0</v>
      </c>
      <c r="R10087" t="s">
        <v>45107</v>
      </c>
      <c r="S10087" t="s">
        <v>45386</v>
      </c>
      <c r="T10087" t="s">
        <v>47076</v>
      </c>
      <c r="U10087" t="s">
        <v>52190</v>
      </c>
      <c r="W10087" t="s">
        <v>43457</v>
      </c>
      <c r="X10087" t="s">
        <v>45108</v>
      </c>
    </row>
    <row r="10088" spans="1:24">
      <c r="A10088">
        <f>HYPERLINK("https://www.philgeps.gov.ph/GEPSNONPILOT/Tender/SplashBidNoticeAbstractUI.aspx?menuIndex=3&amp;refID=7031566&amp;Result=3","7031566")</f>
        <v>0</v>
      </c>
      <c r="B10088" t="s">
        <v>2690</v>
      </c>
      <c r="C10088" t="s">
        <v>12813</v>
      </c>
      <c r="D10088" t="s">
        <v>18022</v>
      </c>
      <c r="E10088" t="s">
        <v>12813</v>
      </c>
      <c r="F10088" t="s">
        <v>31574</v>
      </c>
      <c r="G10088" t="s">
        <v>31582</v>
      </c>
      <c r="H10088" t="s">
        <v>31590</v>
      </c>
      <c r="I10088" t="s">
        <v>31594</v>
      </c>
      <c r="J10088" t="s">
        <v>32510</v>
      </c>
      <c r="K10088" t="s">
        <v>41186</v>
      </c>
      <c r="M10088" t="s">
        <v>44455</v>
      </c>
      <c r="N10088" t="s">
        <v>45095</v>
      </c>
      <c r="O10088" t="s">
        <v>45096</v>
      </c>
      <c r="P10088">
        <v>0</v>
      </c>
      <c r="Q10088">
        <v>5</v>
      </c>
      <c r="R10088" t="s">
        <v>45107</v>
      </c>
      <c r="S10088" t="s">
        <v>45386</v>
      </c>
      <c r="T10088" t="s">
        <v>46932</v>
      </c>
      <c r="U10088" t="s">
        <v>51488</v>
      </c>
      <c r="W10088" t="s">
        <v>44455</v>
      </c>
      <c r="X10088" t="s">
        <v>45108</v>
      </c>
    </row>
    <row r="10089" spans="1:24">
      <c r="A10089">
        <f>HYPERLINK("https://www.philgeps.gov.ph/GEPSNONPILOT/Tender/SplashBidNoticeAbstractUI.aspx?menuIndex=3&amp;refID=7031583&amp;Result=3","7031583")</f>
        <v>0</v>
      </c>
      <c r="B10089" t="s">
        <v>1482</v>
      </c>
      <c r="C10089" t="s">
        <v>12814</v>
      </c>
      <c r="D10089" t="s">
        <v>18037</v>
      </c>
      <c r="E10089" t="s">
        <v>26876</v>
      </c>
      <c r="F10089" t="s">
        <v>31574</v>
      </c>
      <c r="G10089" t="s">
        <v>31582</v>
      </c>
      <c r="H10089" t="s">
        <v>31590</v>
      </c>
      <c r="I10089" t="s">
        <v>31608</v>
      </c>
      <c r="J10089" t="s">
        <v>38034</v>
      </c>
      <c r="K10089" t="s">
        <v>41189</v>
      </c>
      <c r="M10089" t="s">
        <v>43067</v>
      </c>
      <c r="N10089" t="s">
        <v>45095</v>
      </c>
      <c r="O10089" t="s">
        <v>45096</v>
      </c>
      <c r="P10089">
        <v>0</v>
      </c>
      <c r="Q10089">
        <v>9</v>
      </c>
      <c r="R10089" t="s">
        <v>45107</v>
      </c>
      <c r="S10089" t="s">
        <v>45386</v>
      </c>
      <c r="T10089" t="s">
        <v>46965</v>
      </c>
      <c r="U10089" t="s">
        <v>51078</v>
      </c>
      <c r="W10089" t="s">
        <v>43067</v>
      </c>
      <c r="X10089" t="s">
        <v>45108</v>
      </c>
    </row>
    <row r="10090" spans="1:24">
      <c r="A10090">
        <f>HYPERLINK("https://www.philgeps.gov.ph/GEPSNONPILOT/Tender/SplashBidNoticeAbstractUI.aspx?menuIndex=3&amp;refID=7031608&amp;Result=3","7031608")</f>
        <v>0</v>
      </c>
      <c r="B10090" t="s">
        <v>1822</v>
      </c>
      <c r="C10090" t="s">
        <v>12815</v>
      </c>
      <c r="D10090" t="s">
        <v>18099</v>
      </c>
      <c r="E10090" t="s">
        <v>19935</v>
      </c>
      <c r="F10090" t="s">
        <v>31574</v>
      </c>
      <c r="G10090" t="s">
        <v>31582</v>
      </c>
      <c r="H10090" t="s">
        <v>31591</v>
      </c>
      <c r="I10090" t="s">
        <v>8822</v>
      </c>
      <c r="J10090" t="s">
        <v>31741</v>
      </c>
      <c r="K10090" t="s">
        <v>41185</v>
      </c>
      <c r="M10090" t="s">
        <v>43457</v>
      </c>
      <c r="N10090" t="s">
        <v>45095</v>
      </c>
      <c r="O10090" t="s">
        <v>45096</v>
      </c>
      <c r="P10090">
        <v>0</v>
      </c>
      <c r="Q10090">
        <v>0</v>
      </c>
      <c r="R10090" t="s">
        <v>45107</v>
      </c>
      <c r="S10090" t="s">
        <v>45386</v>
      </c>
      <c r="T10090" t="s">
        <v>47076</v>
      </c>
      <c r="U10090" t="s">
        <v>52190</v>
      </c>
      <c r="W10090" t="s">
        <v>43457</v>
      </c>
      <c r="X10090" t="s">
        <v>45108</v>
      </c>
    </row>
    <row r="10091" spans="1:24">
      <c r="A10091">
        <f>HYPERLINK("https://www.philgeps.gov.ph/GEPSNONPILOT/Tender/SplashBidNoticeAbstractUI.aspx?menuIndex=3&amp;refID=7031558&amp;Result=3","7031558")</f>
        <v>0</v>
      </c>
      <c r="B10091" t="s">
        <v>2694</v>
      </c>
      <c r="C10091" t="s">
        <v>12816</v>
      </c>
      <c r="D10091" t="s">
        <v>18046</v>
      </c>
      <c r="E10091" t="s">
        <v>23759</v>
      </c>
      <c r="F10091" t="s">
        <v>31574</v>
      </c>
      <c r="G10091" t="s">
        <v>31582</v>
      </c>
      <c r="H10091" t="s">
        <v>31591</v>
      </c>
      <c r="I10091" t="s">
        <v>31681</v>
      </c>
      <c r="J10091" t="s">
        <v>38035</v>
      </c>
      <c r="K10091" t="s">
        <v>41186</v>
      </c>
      <c r="M10091" t="s">
        <v>44460</v>
      </c>
      <c r="N10091" t="s">
        <v>45095</v>
      </c>
      <c r="O10091" t="s">
        <v>45096</v>
      </c>
      <c r="P10091">
        <v>0</v>
      </c>
      <c r="Q10091">
        <v>1</v>
      </c>
      <c r="R10091" t="s">
        <v>45107</v>
      </c>
      <c r="S10091" t="s">
        <v>45386</v>
      </c>
      <c r="T10091" t="s">
        <v>47162</v>
      </c>
      <c r="U10091" t="s">
        <v>55809</v>
      </c>
      <c r="V10091" t="s">
        <v>60905</v>
      </c>
      <c r="W10091" t="s">
        <v>44460</v>
      </c>
      <c r="X10091" t="s">
        <v>45108</v>
      </c>
    </row>
    <row r="10092" spans="1:24">
      <c r="A10092">
        <f>HYPERLINK("https://www.philgeps.gov.ph/GEPSNONPILOT/Tender/SplashBidNoticeAbstractUI.aspx?menuIndex=3&amp;refID=7031500&amp;Result=3","7031500")</f>
        <v>0</v>
      </c>
      <c r="B10092" t="s">
        <v>29</v>
      </c>
      <c r="C10092" t="s">
        <v>12817</v>
      </c>
      <c r="D10092" t="s">
        <v>18026</v>
      </c>
      <c r="E10092" t="s">
        <v>25889</v>
      </c>
      <c r="F10092" t="s">
        <v>31574</v>
      </c>
      <c r="G10092" t="s">
        <v>31582</v>
      </c>
      <c r="H10092" t="s">
        <v>31590</v>
      </c>
      <c r="I10092" t="s">
        <v>4046</v>
      </c>
      <c r="J10092" t="s">
        <v>38036</v>
      </c>
      <c r="K10092" t="s">
        <v>41196</v>
      </c>
      <c r="M10092" t="s">
        <v>41511</v>
      </c>
      <c r="N10092" t="s">
        <v>45095</v>
      </c>
      <c r="O10092" t="s">
        <v>45096</v>
      </c>
      <c r="P10092">
        <v>0</v>
      </c>
      <c r="Q10092">
        <v>3</v>
      </c>
      <c r="R10092" t="s">
        <v>45107</v>
      </c>
      <c r="S10092" t="s">
        <v>45386</v>
      </c>
      <c r="T10092" t="s">
        <v>47164</v>
      </c>
      <c r="U10092" t="s">
        <v>51189</v>
      </c>
      <c r="W10092" t="s">
        <v>41511</v>
      </c>
      <c r="X10092" t="s">
        <v>45108</v>
      </c>
    </row>
    <row r="10093" spans="1:24">
      <c r="A10093">
        <f>HYPERLINK("https://www.philgeps.gov.ph/GEPSNONPILOT/Tender/SplashBidNoticeAbstractUI.aspx?menuIndex=3&amp;refID=7031597&amp;Result=3","7031597")</f>
        <v>0</v>
      </c>
      <c r="B10093" t="s">
        <v>1482</v>
      </c>
      <c r="C10093" t="s">
        <v>12818</v>
      </c>
      <c r="D10093" t="s">
        <v>18037</v>
      </c>
      <c r="E10093" t="s">
        <v>26876</v>
      </c>
      <c r="F10093" t="s">
        <v>31574</v>
      </c>
      <c r="G10093" t="s">
        <v>31582</v>
      </c>
      <c r="H10093" t="s">
        <v>31590</v>
      </c>
      <c r="I10093" t="s">
        <v>31608</v>
      </c>
      <c r="J10093" t="s">
        <v>38037</v>
      </c>
      <c r="K10093" t="s">
        <v>41189</v>
      </c>
      <c r="M10093" t="s">
        <v>43067</v>
      </c>
      <c r="N10093" t="s">
        <v>45095</v>
      </c>
      <c r="O10093" t="s">
        <v>45096</v>
      </c>
      <c r="P10093">
        <v>0</v>
      </c>
      <c r="Q10093">
        <v>7</v>
      </c>
      <c r="R10093" t="s">
        <v>45107</v>
      </c>
      <c r="S10093" t="s">
        <v>45386</v>
      </c>
      <c r="T10093" t="s">
        <v>46988</v>
      </c>
      <c r="U10093" t="s">
        <v>51078</v>
      </c>
      <c r="W10093" t="s">
        <v>43067</v>
      </c>
      <c r="X10093" t="s">
        <v>45108</v>
      </c>
    </row>
    <row r="10094" spans="1:24">
      <c r="A10094">
        <f>HYPERLINK("https://www.philgeps.gov.ph/GEPSNONPILOT/Tender/SplashBidNoticeAbstractUI.aspx?menuIndex=3&amp;refID=7031550&amp;Result=3","7031550")</f>
        <v>0</v>
      </c>
      <c r="B10094" t="s">
        <v>1524</v>
      </c>
      <c r="C10094" t="s">
        <v>12819</v>
      </c>
      <c r="D10094" t="s">
        <v>18083</v>
      </c>
      <c r="E10094" t="s">
        <v>26877</v>
      </c>
      <c r="F10094" t="s">
        <v>31574</v>
      </c>
      <c r="G10094" t="s">
        <v>31582</v>
      </c>
      <c r="H10094" t="s">
        <v>31591</v>
      </c>
      <c r="I10094" t="s">
        <v>8822</v>
      </c>
      <c r="J10094" t="s">
        <v>38038</v>
      </c>
      <c r="K10094" t="s">
        <v>41406</v>
      </c>
      <c r="M10094" t="s">
        <v>43115</v>
      </c>
      <c r="N10094" t="s">
        <v>45095</v>
      </c>
      <c r="O10094" t="s">
        <v>45096</v>
      </c>
      <c r="P10094">
        <v>0</v>
      </c>
      <c r="Q10094">
        <v>0</v>
      </c>
      <c r="R10094" t="s">
        <v>45107</v>
      </c>
      <c r="S10094" t="s">
        <v>45386</v>
      </c>
      <c r="T10094" t="s">
        <v>46966</v>
      </c>
      <c r="U10094" t="s">
        <v>55810</v>
      </c>
      <c r="V10094" t="s">
        <v>60906</v>
      </c>
      <c r="W10094" t="s">
        <v>43115</v>
      </c>
      <c r="X10094" t="s">
        <v>45108</v>
      </c>
    </row>
    <row r="10095" spans="1:24">
      <c r="A10095">
        <f>HYPERLINK("https://www.philgeps.gov.ph/GEPSNONPILOT/Tender/SplashBidNoticeAbstractUI.aspx?menuIndex=3&amp;refID=7031609&amp;Result=3","7031609")</f>
        <v>0</v>
      </c>
      <c r="B10095" t="s">
        <v>1971</v>
      </c>
      <c r="C10095" t="s">
        <v>12820</v>
      </c>
      <c r="D10095" t="s">
        <v>18027</v>
      </c>
      <c r="E10095" t="s">
        <v>26878</v>
      </c>
      <c r="F10095" t="s">
        <v>31574</v>
      </c>
      <c r="G10095" t="s">
        <v>31582</v>
      </c>
      <c r="H10095" t="s">
        <v>31592</v>
      </c>
      <c r="I10095" t="s">
        <v>31596</v>
      </c>
      <c r="J10095" t="s">
        <v>38039</v>
      </c>
      <c r="K10095" t="s">
        <v>41281</v>
      </c>
      <c r="M10095" t="s">
        <v>43628</v>
      </c>
      <c r="N10095" t="s">
        <v>45095</v>
      </c>
      <c r="O10095" t="s">
        <v>45096</v>
      </c>
      <c r="P10095">
        <v>0</v>
      </c>
      <c r="Q10095">
        <v>1</v>
      </c>
      <c r="R10095" t="s">
        <v>45107</v>
      </c>
      <c r="S10095" t="s">
        <v>45386</v>
      </c>
      <c r="T10095" t="s">
        <v>46966</v>
      </c>
      <c r="U10095" t="s">
        <v>55811</v>
      </c>
      <c r="W10095" t="s">
        <v>43628</v>
      </c>
      <c r="X10095" t="s">
        <v>45108</v>
      </c>
    </row>
    <row r="10096" spans="1:24">
      <c r="A10096">
        <f>HYPERLINK("https://www.philgeps.gov.ph/GEPSNONPILOT/Tender/SplashBidNoticeAbstractUI.aspx?menuIndex=3&amp;refID=7031624&amp;Result=3","7031624")</f>
        <v>0</v>
      </c>
      <c r="B10096" t="s">
        <v>1070</v>
      </c>
      <c r="C10096" t="s">
        <v>12821</v>
      </c>
      <c r="D10096" t="s">
        <v>18069</v>
      </c>
      <c r="E10096" t="s">
        <v>26879</v>
      </c>
      <c r="F10096" t="s">
        <v>31574</v>
      </c>
      <c r="G10096" t="s">
        <v>31581</v>
      </c>
      <c r="H10096" t="s">
        <v>31590</v>
      </c>
      <c r="I10096" t="s">
        <v>14544</v>
      </c>
      <c r="J10096" t="s">
        <v>38040</v>
      </c>
      <c r="K10096" t="s">
        <v>41196</v>
      </c>
      <c r="M10096" t="s">
        <v>42616</v>
      </c>
      <c r="N10096" t="s">
        <v>45095</v>
      </c>
      <c r="O10096" t="s">
        <v>45096</v>
      </c>
      <c r="P10096">
        <v>0</v>
      </c>
      <c r="Q10096">
        <v>0</v>
      </c>
      <c r="R10096" t="s">
        <v>45107</v>
      </c>
      <c r="S10096" t="s">
        <v>45386</v>
      </c>
      <c r="T10096" t="s">
        <v>47340</v>
      </c>
      <c r="U10096" t="s">
        <v>55812</v>
      </c>
      <c r="W10096" t="s">
        <v>42616</v>
      </c>
      <c r="X10096" t="s">
        <v>45108</v>
      </c>
    </row>
    <row r="10097" spans="1:24">
      <c r="A10097">
        <f>HYPERLINK("https://www.philgeps.gov.ph/GEPSNONPILOT/Tender/SplashBidNoticeAbstractUI.aspx?menuIndex=3&amp;refID=7031604&amp;Result=3","7031604")</f>
        <v>0</v>
      </c>
      <c r="B10097" t="s">
        <v>1250</v>
      </c>
      <c r="C10097" t="s">
        <v>12822</v>
      </c>
      <c r="D10097" t="s">
        <v>18082</v>
      </c>
      <c r="E10097" t="s">
        <v>26880</v>
      </c>
      <c r="F10097" t="s">
        <v>31574</v>
      </c>
      <c r="G10097" t="s">
        <v>31582</v>
      </c>
      <c r="H10097" t="s">
        <v>31590</v>
      </c>
      <c r="I10097" t="s">
        <v>31625</v>
      </c>
      <c r="J10097" t="s">
        <v>38041</v>
      </c>
      <c r="K10097" t="s">
        <v>41243</v>
      </c>
      <c r="M10097" t="s">
        <v>44461</v>
      </c>
      <c r="N10097" t="s">
        <v>45095</v>
      </c>
      <c r="O10097" t="s">
        <v>45096</v>
      </c>
      <c r="Q10097">
        <v>0</v>
      </c>
      <c r="R10097" t="s">
        <v>45107</v>
      </c>
      <c r="S10097" t="s">
        <v>45415</v>
      </c>
      <c r="T10097" t="s">
        <v>47165</v>
      </c>
      <c r="U10097" t="s">
        <v>55813</v>
      </c>
      <c r="V10097" t="s">
        <v>60907</v>
      </c>
      <c r="W10097" t="s">
        <v>44461</v>
      </c>
      <c r="X10097" t="s">
        <v>45108</v>
      </c>
    </row>
    <row r="10098" spans="1:24">
      <c r="A10098">
        <f>HYPERLINK("https://www.philgeps.gov.ph/GEPSNONPILOT/Tender/SplashBidNoticeAbstractUI.aspx?menuIndex=3&amp;refID=7031623&amp;Result=3","7031623")</f>
        <v>0</v>
      </c>
      <c r="B10098" t="s">
        <v>2695</v>
      </c>
      <c r="C10098" t="s">
        <v>12823</v>
      </c>
      <c r="E10098" t="s">
        <v>18175</v>
      </c>
      <c r="F10098" t="s">
        <v>31574</v>
      </c>
      <c r="G10098" t="s">
        <v>31582</v>
      </c>
      <c r="H10098" t="s">
        <v>31591</v>
      </c>
      <c r="I10098" t="s">
        <v>8822</v>
      </c>
      <c r="J10098" t="s">
        <v>38042</v>
      </c>
      <c r="K10098" t="s">
        <v>41184</v>
      </c>
      <c r="M10098" t="s">
        <v>44462</v>
      </c>
      <c r="N10098" t="s">
        <v>45095</v>
      </c>
      <c r="O10098" t="s">
        <v>45096</v>
      </c>
      <c r="P10098">
        <v>0</v>
      </c>
      <c r="Q10098">
        <v>2</v>
      </c>
      <c r="R10098" t="s">
        <v>45107</v>
      </c>
      <c r="S10098" t="s">
        <v>45386</v>
      </c>
      <c r="T10098" t="s">
        <v>47134</v>
      </c>
      <c r="U10098" t="s">
        <v>55814</v>
      </c>
      <c r="W10098" t="s">
        <v>44462</v>
      </c>
      <c r="X10098" t="s">
        <v>45108</v>
      </c>
    </row>
    <row r="10099" spans="1:24">
      <c r="A10099">
        <f>HYPERLINK("https://www.philgeps.gov.ph/GEPSNONPILOT/Tender/SplashBidNoticeAbstractUI.aspx?menuIndex=3&amp;refID=7031530&amp;Result=3","7031530")</f>
        <v>0</v>
      </c>
      <c r="B10099" t="s">
        <v>1822</v>
      </c>
      <c r="C10099" t="s">
        <v>12824</v>
      </c>
      <c r="D10099" t="s">
        <v>18099</v>
      </c>
      <c r="E10099" t="s">
        <v>19875</v>
      </c>
      <c r="F10099" t="s">
        <v>31574</v>
      </c>
      <c r="G10099" t="s">
        <v>31582</v>
      </c>
      <c r="H10099" t="s">
        <v>31591</v>
      </c>
      <c r="I10099" t="s">
        <v>8822</v>
      </c>
      <c r="J10099" t="s">
        <v>31741</v>
      </c>
      <c r="K10099" t="s">
        <v>41192</v>
      </c>
      <c r="M10099" t="s">
        <v>43457</v>
      </c>
      <c r="N10099" t="s">
        <v>45095</v>
      </c>
      <c r="O10099" t="s">
        <v>45096</v>
      </c>
      <c r="P10099">
        <v>0</v>
      </c>
      <c r="Q10099">
        <v>0</v>
      </c>
      <c r="R10099" t="s">
        <v>45107</v>
      </c>
      <c r="S10099" t="s">
        <v>45386</v>
      </c>
      <c r="T10099" t="s">
        <v>47076</v>
      </c>
      <c r="U10099" t="s">
        <v>52190</v>
      </c>
      <c r="W10099" t="s">
        <v>43457</v>
      </c>
      <c r="X10099" t="s">
        <v>45108</v>
      </c>
    </row>
    <row r="10100" spans="1:24">
      <c r="A10100">
        <f>HYPERLINK("https://www.philgeps.gov.ph/GEPSNONPILOT/Tender/SplashBidNoticeAbstractUI.aspx?menuIndex=3&amp;refID=7031611&amp;Result=3","7031611")</f>
        <v>0</v>
      </c>
      <c r="B10100" t="s">
        <v>1477</v>
      </c>
      <c r="C10100" t="s">
        <v>12825</v>
      </c>
      <c r="D10100" t="s">
        <v>18049</v>
      </c>
      <c r="E10100" t="s">
        <v>26881</v>
      </c>
      <c r="F10100" t="s">
        <v>31574</v>
      </c>
      <c r="G10100" t="s">
        <v>31582</v>
      </c>
      <c r="H10100" t="s">
        <v>31591</v>
      </c>
      <c r="I10100" t="s">
        <v>8822</v>
      </c>
      <c r="J10100" t="s">
        <v>38043</v>
      </c>
      <c r="K10100" t="s">
        <v>41267</v>
      </c>
      <c r="M10100" t="s">
        <v>43059</v>
      </c>
      <c r="N10100" t="s">
        <v>45095</v>
      </c>
      <c r="O10100" t="s">
        <v>45096</v>
      </c>
      <c r="P10100">
        <v>0</v>
      </c>
      <c r="Q10100">
        <v>0</v>
      </c>
      <c r="R10100" t="s">
        <v>45107</v>
      </c>
      <c r="S10100" t="s">
        <v>45386</v>
      </c>
      <c r="T10100" t="s">
        <v>47304</v>
      </c>
      <c r="U10100" t="s">
        <v>55815</v>
      </c>
      <c r="W10100" t="s">
        <v>43059</v>
      </c>
      <c r="X10100" t="s">
        <v>45108</v>
      </c>
    </row>
    <row r="10101" spans="1:24">
      <c r="A10101">
        <f>HYPERLINK("https://www.philgeps.gov.ph/GEPSNONPILOT/Tender/SplashBidNoticeAbstractUI.aspx?menuIndex=3&amp;refID=7031595&amp;Result=3","7031595")</f>
        <v>0</v>
      </c>
      <c r="B10101" t="s">
        <v>1524</v>
      </c>
      <c r="C10101" t="s">
        <v>12826</v>
      </c>
      <c r="D10101" t="s">
        <v>18083</v>
      </c>
      <c r="E10101" t="s">
        <v>26882</v>
      </c>
      <c r="F10101" t="s">
        <v>31574</v>
      </c>
      <c r="G10101" t="s">
        <v>31582</v>
      </c>
      <c r="H10101" t="s">
        <v>31591</v>
      </c>
      <c r="I10101" t="s">
        <v>8822</v>
      </c>
      <c r="J10101" t="s">
        <v>38044</v>
      </c>
      <c r="K10101" t="s">
        <v>41406</v>
      </c>
      <c r="M10101" t="s">
        <v>43115</v>
      </c>
      <c r="N10101" t="s">
        <v>45095</v>
      </c>
      <c r="O10101" t="s">
        <v>45096</v>
      </c>
      <c r="P10101">
        <v>0</v>
      </c>
      <c r="Q10101">
        <v>0</v>
      </c>
      <c r="R10101" t="s">
        <v>45107</v>
      </c>
      <c r="S10101" t="s">
        <v>45386</v>
      </c>
      <c r="T10101" t="s">
        <v>46966</v>
      </c>
      <c r="U10101" t="s">
        <v>55816</v>
      </c>
      <c r="V10101" t="s">
        <v>60908</v>
      </c>
      <c r="W10101" t="s">
        <v>43115</v>
      </c>
      <c r="X10101" t="s">
        <v>45108</v>
      </c>
    </row>
    <row r="10102" spans="1:24">
      <c r="A10102">
        <f>HYPERLINK("https://www.philgeps.gov.ph/GEPSNONPILOT/Tender/SplashBidNoticeAbstractUI.aspx?menuIndex=3&amp;refID=7031547&amp;Result=3","7031547")</f>
        <v>0</v>
      </c>
      <c r="B10102" t="s">
        <v>1822</v>
      </c>
      <c r="C10102" t="s">
        <v>12827</v>
      </c>
      <c r="D10102" t="s">
        <v>18099</v>
      </c>
      <c r="E10102" t="s">
        <v>19892</v>
      </c>
      <c r="F10102" t="s">
        <v>31574</v>
      </c>
      <c r="G10102" t="s">
        <v>31582</v>
      </c>
      <c r="H10102" t="s">
        <v>31591</v>
      </c>
      <c r="I10102" t="s">
        <v>8822</v>
      </c>
      <c r="J10102" t="s">
        <v>31741</v>
      </c>
      <c r="K10102" t="s">
        <v>41192</v>
      </c>
      <c r="M10102" t="s">
        <v>43457</v>
      </c>
      <c r="N10102" t="s">
        <v>45095</v>
      </c>
      <c r="O10102" t="s">
        <v>45096</v>
      </c>
      <c r="P10102">
        <v>0</v>
      </c>
      <c r="Q10102">
        <v>0</v>
      </c>
      <c r="R10102" t="s">
        <v>45107</v>
      </c>
      <c r="S10102" t="s">
        <v>45386</v>
      </c>
      <c r="T10102" t="s">
        <v>47076</v>
      </c>
      <c r="U10102" t="s">
        <v>52190</v>
      </c>
      <c r="W10102" t="s">
        <v>43457</v>
      </c>
      <c r="X10102" t="s">
        <v>45108</v>
      </c>
    </row>
    <row r="10103" spans="1:24">
      <c r="A10103">
        <f>HYPERLINK("https://www.philgeps.gov.ph/GEPSNONPILOT/Tender/SplashBidNoticeAbstractUI.aspx?menuIndex=3&amp;refID=7031636&amp;Result=3","7031636")</f>
        <v>0</v>
      </c>
      <c r="B10103" t="s">
        <v>289</v>
      </c>
      <c r="C10103" t="s">
        <v>12828</v>
      </c>
      <c r="D10103" t="s">
        <v>18044</v>
      </c>
      <c r="E10103" t="s">
        <v>26883</v>
      </c>
      <c r="F10103" t="s">
        <v>31574</v>
      </c>
      <c r="G10103" t="s">
        <v>31582</v>
      </c>
      <c r="H10103" t="s">
        <v>31592</v>
      </c>
      <c r="I10103" t="s">
        <v>3539</v>
      </c>
      <c r="J10103" t="s">
        <v>38045</v>
      </c>
      <c r="K10103" t="s">
        <v>41225</v>
      </c>
      <c r="M10103" t="s">
        <v>41775</v>
      </c>
      <c r="N10103" t="s">
        <v>45095</v>
      </c>
      <c r="O10103" t="s">
        <v>45096</v>
      </c>
      <c r="P10103">
        <v>0</v>
      </c>
      <c r="Q10103">
        <v>1</v>
      </c>
      <c r="R10103" t="s">
        <v>45107</v>
      </c>
      <c r="S10103" t="s">
        <v>45386</v>
      </c>
      <c r="T10103" t="s">
        <v>46941</v>
      </c>
      <c r="U10103" t="s">
        <v>55817</v>
      </c>
      <c r="W10103" t="s">
        <v>61661</v>
      </c>
      <c r="X10103" t="s">
        <v>45108</v>
      </c>
    </row>
    <row r="10104" spans="1:24">
      <c r="A10104">
        <f>HYPERLINK("https://www.philgeps.gov.ph/GEPSNONPILOT/Tender/SplashBidNoticeAbstractUI.aspx?menuIndex=3&amp;refID=7031631&amp;Result=3","7031631")</f>
        <v>0</v>
      </c>
      <c r="B10104" t="s">
        <v>1822</v>
      </c>
      <c r="C10104" t="s">
        <v>12829</v>
      </c>
      <c r="D10104" t="s">
        <v>18099</v>
      </c>
      <c r="E10104" t="s">
        <v>22815</v>
      </c>
      <c r="F10104" t="s">
        <v>31574</v>
      </c>
      <c r="G10104" t="s">
        <v>31582</v>
      </c>
      <c r="H10104" t="s">
        <v>31591</v>
      </c>
      <c r="I10104" t="s">
        <v>31627</v>
      </c>
      <c r="J10104" t="s">
        <v>31727</v>
      </c>
      <c r="K10104" t="s">
        <v>41217</v>
      </c>
      <c r="M10104" t="s">
        <v>43457</v>
      </c>
      <c r="N10104" t="s">
        <v>45095</v>
      </c>
      <c r="O10104" t="s">
        <v>45096</v>
      </c>
      <c r="P10104">
        <v>0</v>
      </c>
      <c r="Q10104">
        <v>0</v>
      </c>
      <c r="R10104" t="s">
        <v>45107</v>
      </c>
      <c r="S10104" t="s">
        <v>45386</v>
      </c>
      <c r="T10104" t="s">
        <v>47076</v>
      </c>
      <c r="U10104" t="s">
        <v>52190</v>
      </c>
      <c r="W10104" t="s">
        <v>43457</v>
      </c>
      <c r="X10104" t="s">
        <v>45108</v>
      </c>
    </row>
    <row r="10105" spans="1:24">
      <c r="A10105">
        <f>HYPERLINK("https://www.philgeps.gov.ph/GEPSNONPILOT/Tender/SplashBidNoticeAbstractUI.aspx?menuIndex=3&amp;refID=7031593&amp;Result=3","7031593")</f>
        <v>0</v>
      </c>
      <c r="B10105" t="s">
        <v>2696</v>
      </c>
      <c r="C10105" t="s">
        <v>12830</v>
      </c>
      <c r="D10105" t="s">
        <v>18025</v>
      </c>
      <c r="E10105" t="s">
        <v>26884</v>
      </c>
      <c r="F10105" t="s">
        <v>31574</v>
      </c>
      <c r="G10105" t="s">
        <v>31582</v>
      </c>
      <c r="H10105" t="s">
        <v>31590</v>
      </c>
      <c r="I10105" t="s">
        <v>31615</v>
      </c>
      <c r="J10105" t="s">
        <v>33866</v>
      </c>
      <c r="K10105" t="s">
        <v>41194</v>
      </c>
      <c r="M10105" t="s">
        <v>44463</v>
      </c>
      <c r="N10105" t="s">
        <v>45095</v>
      </c>
      <c r="O10105" t="s">
        <v>45096</v>
      </c>
      <c r="P10105">
        <v>0</v>
      </c>
      <c r="Q10105">
        <v>8</v>
      </c>
      <c r="R10105" t="s">
        <v>45107</v>
      </c>
      <c r="S10105" t="s">
        <v>45386</v>
      </c>
      <c r="T10105" t="s">
        <v>46986</v>
      </c>
      <c r="U10105" t="s">
        <v>55818</v>
      </c>
      <c r="W10105" t="s">
        <v>44463</v>
      </c>
      <c r="X10105" t="s">
        <v>45108</v>
      </c>
    </row>
    <row r="10106" spans="1:24">
      <c r="A10106">
        <f>HYPERLINK("https://www.philgeps.gov.ph/GEPSNONPILOT/Tender/SplashBidNoticeAbstractUI.aspx?menuIndex=3&amp;refID=7031673&amp;Result=3","7031673")</f>
        <v>0</v>
      </c>
      <c r="B10106" t="s">
        <v>1822</v>
      </c>
      <c r="C10106" t="s">
        <v>12831</v>
      </c>
      <c r="D10106" t="s">
        <v>18099</v>
      </c>
      <c r="E10106" t="s">
        <v>26885</v>
      </c>
      <c r="F10106" t="s">
        <v>31574</v>
      </c>
      <c r="G10106" t="s">
        <v>31582</v>
      </c>
      <c r="H10106" t="s">
        <v>31591</v>
      </c>
      <c r="I10106" t="s">
        <v>8822</v>
      </c>
      <c r="J10106" t="s">
        <v>31947</v>
      </c>
      <c r="K10106" t="s">
        <v>41192</v>
      </c>
      <c r="M10106" t="s">
        <v>43457</v>
      </c>
      <c r="N10106" t="s">
        <v>45095</v>
      </c>
      <c r="O10106" t="s">
        <v>45096</v>
      </c>
      <c r="P10106">
        <v>0</v>
      </c>
      <c r="Q10106">
        <v>0</v>
      </c>
      <c r="R10106" t="s">
        <v>45107</v>
      </c>
      <c r="S10106" t="s">
        <v>45386</v>
      </c>
      <c r="T10106" t="s">
        <v>47076</v>
      </c>
      <c r="U10106" t="s">
        <v>52190</v>
      </c>
      <c r="W10106" t="s">
        <v>43457</v>
      </c>
      <c r="X10106" t="s">
        <v>45108</v>
      </c>
    </row>
    <row r="10107" spans="1:24">
      <c r="A10107">
        <f>HYPERLINK("https://www.philgeps.gov.ph/GEPSNONPILOT/Tender/SplashBidNoticeAbstractUI.aspx?menuIndex=3&amp;refID=7031615&amp;Result=3","7031615")</f>
        <v>0</v>
      </c>
      <c r="B10107" t="s">
        <v>2660</v>
      </c>
      <c r="C10107" t="s">
        <v>12832</v>
      </c>
      <c r="D10107" t="s">
        <v>18072</v>
      </c>
      <c r="E10107" t="s">
        <v>18146</v>
      </c>
      <c r="F10107" t="s">
        <v>31574</v>
      </c>
      <c r="G10107" t="s">
        <v>31582</v>
      </c>
      <c r="H10107" t="s">
        <v>31590</v>
      </c>
      <c r="I10107" t="s">
        <v>4046</v>
      </c>
      <c r="J10107" t="s">
        <v>38046</v>
      </c>
      <c r="K10107" t="s">
        <v>41186</v>
      </c>
      <c r="M10107" t="s">
        <v>44419</v>
      </c>
      <c r="N10107" t="s">
        <v>45095</v>
      </c>
      <c r="O10107" t="s">
        <v>45096</v>
      </c>
      <c r="P10107">
        <v>0</v>
      </c>
      <c r="Q10107">
        <v>0</v>
      </c>
      <c r="R10107" t="s">
        <v>45107</v>
      </c>
      <c r="S10107" t="s">
        <v>45386</v>
      </c>
      <c r="T10107" t="s">
        <v>47030</v>
      </c>
      <c r="U10107" t="s">
        <v>55819</v>
      </c>
      <c r="W10107" t="s">
        <v>44419</v>
      </c>
      <c r="X10107" t="s">
        <v>45108</v>
      </c>
    </row>
    <row r="10108" spans="1:24">
      <c r="A10108">
        <f>HYPERLINK("https://www.philgeps.gov.ph/GEPSNONPILOT/Tender/SplashBidNoticeAbstractUI.aspx?menuIndex=3&amp;refID=7031639&amp;Result=3","7031639")</f>
        <v>0</v>
      </c>
      <c r="B10108" t="s">
        <v>1070</v>
      </c>
      <c r="C10108" t="s">
        <v>12833</v>
      </c>
      <c r="D10108" t="s">
        <v>18069</v>
      </c>
      <c r="E10108" t="s">
        <v>26886</v>
      </c>
      <c r="F10108" t="s">
        <v>31574</v>
      </c>
      <c r="G10108" t="s">
        <v>31581</v>
      </c>
      <c r="H10108" t="s">
        <v>31590</v>
      </c>
      <c r="I10108" t="s">
        <v>4046</v>
      </c>
      <c r="J10108" t="s">
        <v>38047</v>
      </c>
      <c r="K10108" t="s">
        <v>41196</v>
      </c>
      <c r="M10108" t="s">
        <v>42616</v>
      </c>
      <c r="N10108" t="s">
        <v>45095</v>
      </c>
      <c r="O10108" t="s">
        <v>45096</v>
      </c>
      <c r="P10108">
        <v>0</v>
      </c>
      <c r="Q10108">
        <v>0</v>
      </c>
      <c r="R10108" t="s">
        <v>45107</v>
      </c>
      <c r="S10108" t="s">
        <v>45386</v>
      </c>
      <c r="T10108" t="s">
        <v>47340</v>
      </c>
      <c r="U10108" t="s">
        <v>55812</v>
      </c>
      <c r="W10108" t="s">
        <v>42616</v>
      </c>
      <c r="X10108" t="s">
        <v>45108</v>
      </c>
    </row>
    <row r="10109" spans="1:24">
      <c r="A10109">
        <f>HYPERLINK("https://www.philgeps.gov.ph/GEPSNONPILOT/Tender/SplashBidNoticeAbstractUI.aspx?menuIndex=3&amp;refID=7031663&amp;Result=3","7031663")</f>
        <v>0</v>
      </c>
      <c r="B10109" t="s">
        <v>2682</v>
      </c>
      <c r="C10109" t="s">
        <v>12834</v>
      </c>
      <c r="D10109" t="s">
        <v>18033</v>
      </c>
      <c r="E10109" t="s">
        <v>25578</v>
      </c>
      <c r="F10109" t="s">
        <v>31574</v>
      </c>
      <c r="G10109" t="s">
        <v>31581</v>
      </c>
      <c r="H10109" t="s">
        <v>31590</v>
      </c>
      <c r="I10109" t="s">
        <v>14544</v>
      </c>
      <c r="J10109" t="s">
        <v>38048</v>
      </c>
      <c r="K10109" t="s">
        <v>41196</v>
      </c>
      <c r="M10109" t="s">
        <v>44447</v>
      </c>
      <c r="N10109" t="s">
        <v>45095</v>
      </c>
      <c r="O10109" t="s">
        <v>45096</v>
      </c>
      <c r="P10109">
        <v>0</v>
      </c>
      <c r="Q10109">
        <v>0</v>
      </c>
      <c r="R10109" t="s">
        <v>45107</v>
      </c>
      <c r="S10109" t="s">
        <v>45386</v>
      </c>
      <c r="T10109" t="s">
        <v>47159</v>
      </c>
      <c r="U10109" t="s">
        <v>55820</v>
      </c>
      <c r="V10109" t="s">
        <v>60909</v>
      </c>
      <c r="W10109" t="s">
        <v>44447</v>
      </c>
      <c r="X10109" t="s">
        <v>45108</v>
      </c>
    </row>
    <row r="10110" spans="1:24">
      <c r="A10110">
        <f>HYPERLINK("https://www.philgeps.gov.ph/GEPSNONPILOT/Tender/SplashBidNoticeAbstractUI.aspx?menuIndex=3&amp;refID=7031638&amp;Result=3","7031638")</f>
        <v>0</v>
      </c>
      <c r="B10110" t="s">
        <v>1822</v>
      </c>
      <c r="C10110" t="s">
        <v>12835</v>
      </c>
      <c r="D10110" t="s">
        <v>18099</v>
      </c>
      <c r="E10110" t="s">
        <v>22879</v>
      </c>
      <c r="F10110" t="s">
        <v>31574</v>
      </c>
      <c r="G10110" t="s">
        <v>31582</v>
      </c>
      <c r="H10110" t="s">
        <v>31591</v>
      </c>
      <c r="I10110" t="s">
        <v>31627</v>
      </c>
      <c r="J10110" t="s">
        <v>31741</v>
      </c>
      <c r="K10110" t="s">
        <v>41287</v>
      </c>
      <c r="M10110" t="s">
        <v>43457</v>
      </c>
      <c r="N10110" t="s">
        <v>45095</v>
      </c>
      <c r="O10110" t="s">
        <v>45096</v>
      </c>
      <c r="P10110">
        <v>0</v>
      </c>
      <c r="Q10110">
        <v>0</v>
      </c>
      <c r="R10110" t="s">
        <v>45107</v>
      </c>
      <c r="S10110" t="s">
        <v>45386</v>
      </c>
      <c r="T10110" t="s">
        <v>47076</v>
      </c>
      <c r="U10110" t="s">
        <v>52190</v>
      </c>
      <c r="W10110" t="s">
        <v>43457</v>
      </c>
      <c r="X10110" t="s">
        <v>45108</v>
      </c>
    </row>
    <row r="10111" spans="1:24">
      <c r="A10111">
        <f>HYPERLINK("https://www.philgeps.gov.ph/GEPSNONPILOT/Tender/SplashBidNoticeAbstractUI.aspx?menuIndex=3&amp;refID=7031670&amp;Result=3","7031670")</f>
        <v>0</v>
      </c>
      <c r="B10111" t="s">
        <v>2439</v>
      </c>
      <c r="C10111" t="s">
        <v>12836</v>
      </c>
      <c r="D10111" t="s">
        <v>18065</v>
      </c>
      <c r="E10111" t="s">
        <v>26887</v>
      </c>
      <c r="F10111" t="s">
        <v>31574</v>
      </c>
      <c r="G10111" t="s">
        <v>31581</v>
      </c>
      <c r="H10111" t="s">
        <v>31590</v>
      </c>
      <c r="I10111" t="s">
        <v>3487</v>
      </c>
      <c r="J10111" t="s">
        <v>38049</v>
      </c>
      <c r="K10111" t="s">
        <v>41186</v>
      </c>
      <c r="M10111" t="s">
        <v>44166</v>
      </c>
      <c r="N10111" t="s">
        <v>45095</v>
      </c>
      <c r="O10111" t="s">
        <v>45096</v>
      </c>
      <c r="P10111">
        <v>0</v>
      </c>
      <c r="Q10111">
        <v>0</v>
      </c>
      <c r="R10111" t="s">
        <v>45107</v>
      </c>
      <c r="S10111" t="s">
        <v>45386</v>
      </c>
      <c r="T10111" t="s">
        <v>47178</v>
      </c>
      <c r="U10111" t="s">
        <v>47578</v>
      </c>
      <c r="W10111" t="s">
        <v>44166</v>
      </c>
      <c r="X10111" t="s">
        <v>45108</v>
      </c>
    </row>
    <row r="10112" spans="1:24">
      <c r="A10112">
        <f>HYPERLINK("https://www.philgeps.gov.ph/GEPSNONPILOT/Tender/SplashBidNoticeAbstractUI.aspx?menuIndex=3&amp;refID=7031657&amp;Result=3","7031657")</f>
        <v>0</v>
      </c>
      <c r="B10112" t="s">
        <v>1236</v>
      </c>
      <c r="C10112" t="s">
        <v>12837</v>
      </c>
      <c r="D10112" t="s">
        <v>18078</v>
      </c>
      <c r="E10112" t="s">
        <v>26888</v>
      </c>
      <c r="F10112" t="s">
        <v>31574</v>
      </c>
      <c r="G10112" t="s">
        <v>31582</v>
      </c>
      <c r="H10112" t="s">
        <v>31590</v>
      </c>
      <c r="I10112" t="s">
        <v>3651</v>
      </c>
      <c r="J10112" t="s">
        <v>31789</v>
      </c>
      <c r="K10112" t="s">
        <v>41185</v>
      </c>
      <c r="M10112" t="s">
        <v>42798</v>
      </c>
      <c r="N10112" t="s">
        <v>45095</v>
      </c>
      <c r="O10112" t="s">
        <v>45096</v>
      </c>
      <c r="P10112">
        <v>0</v>
      </c>
      <c r="Q10112">
        <v>1</v>
      </c>
      <c r="R10112" t="s">
        <v>45107</v>
      </c>
      <c r="S10112" t="s">
        <v>45386</v>
      </c>
      <c r="T10112" t="s">
        <v>46933</v>
      </c>
      <c r="U10112" t="s">
        <v>55821</v>
      </c>
      <c r="W10112" t="s">
        <v>42798</v>
      </c>
      <c r="X10112" t="s">
        <v>45108</v>
      </c>
    </row>
    <row r="10113" spans="1:24">
      <c r="A10113">
        <f>HYPERLINK("https://www.philgeps.gov.ph/GEPSNONPILOT/Tender/SplashBidNoticeAbstractUI.aspx?menuIndex=3&amp;refID=7031667&amp;Result=3","7031667")</f>
        <v>0</v>
      </c>
      <c r="B10113" t="s">
        <v>1822</v>
      </c>
      <c r="C10113" t="s">
        <v>12838</v>
      </c>
      <c r="D10113" t="s">
        <v>18099</v>
      </c>
      <c r="E10113" t="s">
        <v>26889</v>
      </c>
      <c r="F10113" t="s">
        <v>31574</v>
      </c>
      <c r="G10113" t="s">
        <v>31582</v>
      </c>
      <c r="H10113" t="s">
        <v>31591</v>
      </c>
      <c r="I10113" t="s">
        <v>8822</v>
      </c>
      <c r="J10113" t="s">
        <v>31727</v>
      </c>
      <c r="K10113" t="s">
        <v>41287</v>
      </c>
      <c r="M10113" t="s">
        <v>43457</v>
      </c>
      <c r="N10113" t="s">
        <v>45095</v>
      </c>
      <c r="O10113" t="s">
        <v>45096</v>
      </c>
      <c r="P10113">
        <v>0</v>
      </c>
      <c r="Q10113">
        <v>0</v>
      </c>
      <c r="R10113" t="s">
        <v>45107</v>
      </c>
      <c r="S10113" t="s">
        <v>45386</v>
      </c>
      <c r="T10113" t="s">
        <v>47076</v>
      </c>
      <c r="U10113" t="s">
        <v>52190</v>
      </c>
      <c r="W10113" t="s">
        <v>43457</v>
      </c>
      <c r="X10113" t="s">
        <v>45108</v>
      </c>
    </row>
    <row r="10114" spans="1:24">
      <c r="A10114">
        <f>HYPERLINK("https://www.philgeps.gov.ph/GEPSNONPILOT/Tender/SplashBidNoticeAbstractUI.aspx?menuIndex=3&amp;refID=7031686&amp;Result=3","7031686")</f>
        <v>0</v>
      </c>
      <c r="B10114" t="s">
        <v>1822</v>
      </c>
      <c r="C10114" t="s">
        <v>12839</v>
      </c>
      <c r="D10114" t="s">
        <v>18099</v>
      </c>
      <c r="E10114" t="s">
        <v>26890</v>
      </c>
      <c r="F10114" t="s">
        <v>31574</v>
      </c>
      <c r="G10114" t="s">
        <v>31582</v>
      </c>
      <c r="H10114" t="s">
        <v>31591</v>
      </c>
      <c r="I10114" t="s">
        <v>31627</v>
      </c>
      <c r="J10114" t="s">
        <v>32019</v>
      </c>
      <c r="K10114" t="s">
        <v>41274</v>
      </c>
      <c r="M10114" t="s">
        <v>43457</v>
      </c>
      <c r="N10114" t="s">
        <v>45095</v>
      </c>
      <c r="O10114" t="s">
        <v>45096</v>
      </c>
      <c r="P10114">
        <v>0</v>
      </c>
      <c r="Q10114">
        <v>0</v>
      </c>
      <c r="R10114" t="s">
        <v>45107</v>
      </c>
      <c r="S10114" t="s">
        <v>45386</v>
      </c>
      <c r="T10114" t="s">
        <v>47076</v>
      </c>
      <c r="U10114" t="s">
        <v>52190</v>
      </c>
      <c r="W10114" t="s">
        <v>43457</v>
      </c>
      <c r="X10114" t="s">
        <v>45108</v>
      </c>
    </row>
    <row r="10115" spans="1:24">
      <c r="A10115">
        <f>HYPERLINK("https://www.philgeps.gov.ph/GEPSNONPILOT/Tender/SplashBidNoticeAbstractUI.aspx?menuIndex=3&amp;refID=7031661&amp;Result=3","7031661")</f>
        <v>0</v>
      </c>
      <c r="B10115" t="s">
        <v>2697</v>
      </c>
      <c r="C10115" t="s">
        <v>12840</v>
      </c>
      <c r="D10115" t="s">
        <v>18056</v>
      </c>
      <c r="E10115" t="s">
        <v>26891</v>
      </c>
      <c r="F10115" t="s">
        <v>31574</v>
      </c>
      <c r="G10115" t="s">
        <v>31582</v>
      </c>
      <c r="H10115" t="s">
        <v>31590</v>
      </c>
      <c r="I10115" t="s">
        <v>31640</v>
      </c>
      <c r="J10115" t="s">
        <v>38050</v>
      </c>
      <c r="K10115" t="s">
        <v>41186</v>
      </c>
      <c r="M10115" t="s">
        <v>44464</v>
      </c>
      <c r="N10115" t="s">
        <v>45095</v>
      </c>
      <c r="O10115" t="s">
        <v>45096</v>
      </c>
      <c r="P10115">
        <v>0</v>
      </c>
      <c r="Q10115">
        <v>4</v>
      </c>
      <c r="R10115" t="s">
        <v>45107</v>
      </c>
      <c r="S10115" t="s">
        <v>45386</v>
      </c>
      <c r="T10115" t="s">
        <v>46932</v>
      </c>
      <c r="U10115" t="s">
        <v>55822</v>
      </c>
      <c r="W10115" t="s">
        <v>44464</v>
      </c>
      <c r="X10115" t="s">
        <v>45108</v>
      </c>
    </row>
    <row r="10116" spans="1:24">
      <c r="A10116">
        <f>HYPERLINK("https://www.philgeps.gov.ph/GEPSNONPILOT/Tender/SplashBidNoticeAbstractUI.aspx?menuIndex=3&amp;refID=7031650&amp;Result=3","7031650")</f>
        <v>0</v>
      </c>
      <c r="B10116" t="s">
        <v>1822</v>
      </c>
      <c r="C10116" t="s">
        <v>12841</v>
      </c>
      <c r="D10116" t="s">
        <v>18099</v>
      </c>
      <c r="E10116" t="s">
        <v>26892</v>
      </c>
      <c r="F10116" t="s">
        <v>31574</v>
      </c>
      <c r="G10116" t="s">
        <v>31582</v>
      </c>
      <c r="H10116" t="s">
        <v>31591</v>
      </c>
      <c r="I10116" t="s">
        <v>31627</v>
      </c>
      <c r="J10116" t="s">
        <v>31727</v>
      </c>
      <c r="K10116" t="s">
        <v>41217</v>
      </c>
      <c r="M10116" t="s">
        <v>43457</v>
      </c>
      <c r="N10116" t="s">
        <v>45095</v>
      </c>
      <c r="O10116" t="s">
        <v>45096</v>
      </c>
      <c r="P10116">
        <v>0</v>
      </c>
      <c r="Q10116">
        <v>0</v>
      </c>
      <c r="R10116" t="s">
        <v>45107</v>
      </c>
      <c r="S10116" t="s">
        <v>45386</v>
      </c>
      <c r="T10116" t="s">
        <v>47076</v>
      </c>
      <c r="U10116" t="s">
        <v>52190</v>
      </c>
      <c r="W10116" t="s">
        <v>43457</v>
      </c>
      <c r="X10116" t="s">
        <v>45108</v>
      </c>
    </row>
    <row r="10117" spans="1:24">
      <c r="A10117">
        <f>HYPERLINK("https://www.philgeps.gov.ph/GEPSNONPILOT/Tender/SplashBidNoticeAbstractUI.aspx?menuIndex=3&amp;refID=7031679&amp;Result=3","7031679")</f>
        <v>0</v>
      </c>
      <c r="B10117" t="s">
        <v>1822</v>
      </c>
      <c r="C10117" t="s">
        <v>12842</v>
      </c>
      <c r="D10117" t="s">
        <v>18099</v>
      </c>
      <c r="E10117" t="s">
        <v>19695</v>
      </c>
      <c r="F10117" t="s">
        <v>31574</v>
      </c>
      <c r="G10117" t="s">
        <v>31582</v>
      </c>
      <c r="H10117" t="s">
        <v>31590</v>
      </c>
      <c r="I10117" t="s">
        <v>31627</v>
      </c>
      <c r="J10117" t="s">
        <v>31741</v>
      </c>
      <c r="K10117" t="s">
        <v>41192</v>
      </c>
      <c r="M10117" t="s">
        <v>43457</v>
      </c>
      <c r="N10117" t="s">
        <v>45095</v>
      </c>
      <c r="O10117" t="s">
        <v>45096</v>
      </c>
      <c r="P10117">
        <v>0</v>
      </c>
      <c r="Q10117">
        <v>0</v>
      </c>
      <c r="R10117" t="s">
        <v>45107</v>
      </c>
      <c r="S10117" t="s">
        <v>45386</v>
      </c>
      <c r="T10117" t="s">
        <v>47076</v>
      </c>
      <c r="U10117" t="s">
        <v>52190</v>
      </c>
      <c r="W10117" t="s">
        <v>43457</v>
      </c>
      <c r="X10117" t="s">
        <v>45108</v>
      </c>
    </row>
    <row r="10118" spans="1:24">
      <c r="A10118">
        <f>HYPERLINK("https://www.philgeps.gov.ph/GEPSNONPILOT/Tender/SplashBidNoticeAbstractUI.aspx?menuIndex=3&amp;refID=7031680&amp;Result=3","7031680")</f>
        <v>0</v>
      </c>
      <c r="B10118" t="s">
        <v>462</v>
      </c>
      <c r="C10118" t="s">
        <v>12843</v>
      </c>
      <c r="D10118" t="s">
        <v>18033</v>
      </c>
      <c r="E10118" t="s">
        <v>26893</v>
      </c>
      <c r="F10118" t="s">
        <v>31574</v>
      </c>
      <c r="G10118" t="s">
        <v>31582</v>
      </c>
      <c r="H10118" t="s">
        <v>31591</v>
      </c>
      <c r="I10118" t="s">
        <v>8822</v>
      </c>
      <c r="J10118" t="s">
        <v>38051</v>
      </c>
      <c r="K10118" t="s">
        <v>41192</v>
      </c>
      <c r="M10118" t="s">
        <v>41956</v>
      </c>
      <c r="N10118" t="s">
        <v>45095</v>
      </c>
      <c r="O10118" t="s">
        <v>45096</v>
      </c>
      <c r="P10118">
        <v>0</v>
      </c>
      <c r="Q10118">
        <v>0</v>
      </c>
      <c r="R10118" t="s">
        <v>45107</v>
      </c>
      <c r="S10118" t="s">
        <v>45386</v>
      </c>
      <c r="T10118" t="s">
        <v>46966</v>
      </c>
      <c r="U10118" t="s">
        <v>55823</v>
      </c>
      <c r="V10118" t="s">
        <v>60910</v>
      </c>
      <c r="W10118" t="s">
        <v>41956</v>
      </c>
      <c r="X10118" t="s">
        <v>45108</v>
      </c>
    </row>
    <row r="10119" spans="1:24">
      <c r="A10119">
        <f>HYPERLINK("https://www.philgeps.gov.ph/GEPSNONPILOT/Tender/SplashBidNoticeAbstractUI.aspx?menuIndex=3&amp;refID=7031649&amp;Result=3","7031649")</f>
        <v>0</v>
      </c>
      <c r="B10119" t="s">
        <v>2698</v>
      </c>
      <c r="C10119" t="s">
        <v>12844</v>
      </c>
      <c r="D10119" t="s">
        <v>18072</v>
      </c>
      <c r="E10119" t="s">
        <v>26894</v>
      </c>
      <c r="F10119" t="s">
        <v>31574</v>
      </c>
      <c r="G10119" t="s">
        <v>31582</v>
      </c>
      <c r="H10119" t="s">
        <v>31590</v>
      </c>
      <c r="I10119" t="s">
        <v>31595</v>
      </c>
      <c r="J10119" t="s">
        <v>38052</v>
      </c>
      <c r="K10119" t="s">
        <v>41186</v>
      </c>
      <c r="M10119" t="s">
        <v>44465</v>
      </c>
      <c r="N10119" t="s">
        <v>45095</v>
      </c>
      <c r="O10119" t="s">
        <v>45096</v>
      </c>
      <c r="P10119">
        <v>0</v>
      </c>
      <c r="Q10119">
        <v>5</v>
      </c>
      <c r="R10119" t="s">
        <v>45107</v>
      </c>
      <c r="S10119" t="s">
        <v>45386</v>
      </c>
      <c r="T10119" t="s">
        <v>47190</v>
      </c>
      <c r="U10119" t="s">
        <v>55824</v>
      </c>
      <c r="W10119" t="s">
        <v>44465</v>
      </c>
      <c r="X10119" t="s">
        <v>45108</v>
      </c>
    </row>
    <row r="10120" spans="1:24">
      <c r="A10120">
        <f>HYPERLINK("https://www.philgeps.gov.ph/GEPSNONPILOT/Tender/SplashBidNoticeAbstractUI.aspx?menuIndex=3&amp;refID=7031676&amp;Result=3","7031676")</f>
        <v>0</v>
      </c>
      <c r="B10120" t="s">
        <v>2145</v>
      </c>
      <c r="C10120" t="s">
        <v>12845</v>
      </c>
      <c r="D10120" t="s">
        <v>18034</v>
      </c>
      <c r="E10120" t="s">
        <v>26895</v>
      </c>
      <c r="F10120" t="s">
        <v>31574</v>
      </c>
      <c r="G10120" t="s">
        <v>31582</v>
      </c>
      <c r="H10120" t="s">
        <v>31591</v>
      </c>
      <c r="I10120" t="s">
        <v>8822</v>
      </c>
      <c r="J10120" t="s">
        <v>32526</v>
      </c>
      <c r="K10120" t="s">
        <v>41192</v>
      </c>
      <c r="M10120" t="s">
        <v>43827</v>
      </c>
      <c r="N10120" t="s">
        <v>45095</v>
      </c>
      <c r="O10120" t="s">
        <v>45096</v>
      </c>
      <c r="Q10120">
        <v>0</v>
      </c>
      <c r="R10120" t="s">
        <v>45107</v>
      </c>
      <c r="S10120" t="s">
        <v>45416</v>
      </c>
      <c r="T10120" t="s">
        <v>46991</v>
      </c>
      <c r="U10120" t="s">
        <v>55825</v>
      </c>
      <c r="V10120" t="s">
        <v>60620</v>
      </c>
      <c r="W10120" t="s">
        <v>43827</v>
      </c>
      <c r="X10120" t="s">
        <v>45108</v>
      </c>
    </row>
    <row r="10121" spans="1:24">
      <c r="A10121">
        <f>HYPERLINK("https://www.philgeps.gov.ph/GEPSNONPILOT/Tender/SplashBidNoticeAbstractUI.aspx?menuIndex=3&amp;refID=7031659&amp;Result=3","7031659")</f>
        <v>0</v>
      </c>
      <c r="B10121" t="s">
        <v>1822</v>
      </c>
      <c r="C10121" t="s">
        <v>12846</v>
      </c>
      <c r="D10121" t="s">
        <v>18099</v>
      </c>
      <c r="E10121" t="s">
        <v>26896</v>
      </c>
      <c r="F10121" t="s">
        <v>31574</v>
      </c>
      <c r="G10121" t="s">
        <v>31582</v>
      </c>
      <c r="H10121" t="s">
        <v>31591</v>
      </c>
      <c r="I10121" t="s">
        <v>8822</v>
      </c>
      <c r="J10121" t="s">
        <v>31789</v>
      </c>
      <c r="K10121" t="s">
        <v>41287</v>
      </c>
      <c r="M10121" t="s">
        <v>43457</v>
      </c>
      <c r="N10121" t="s">
        <v>45095</v>
      </c>
      <c r="O10121" t="s">
        <v>45096</v>
      </c>
      <c r="P10121">
        <v>0</v>
      </c>
      <c r="Q10121">
        <v>0</v>
      </c>
      <c r="R10121" t="s">
        <v>45107</v>
      </c>
      <c r="S10121" t="s">
        <v>45386</v>
      </c>
      <c r="T10121" t="s">
        <v>47076</v>
      </c>
      <c r="U10121" t="s">
        <v>52190</v>
      </c>
      <c r="W10121" t="s">
        <v>43457</v>
      </c>
      <c r="X10121" t="s">
        <v>45108</v>
      </c>
    </row>
    <row r="10122" spans="1:24">
      <c r="A10122">
        <f>HYPERLINK("https://www.philgeps.gov.ph/GEPSNONPILOT/Tender/SplashBidNoticeAbstractUI.aspx?menuIndex=3&amp;refID=7031695&amp;Result=3","7031695")</f>
        <v>0</v>
      </c>
      <c r="B10122" t="s">
        <v>2323</v>
      </c>
      <c r="C10122" t="s">
        <v>12847</v>
      </c>
      <c r="D10122" t="s">
        <v>18063</v>
      </c>
      <c r="E10122" t="s">
        <v>26897</v>
      </c>
      <c r="F10122" t="s">
        <v>31574</v>
      </c>
      <c r="G10122" t="s">
        <v>31587</v>
      </c>
      <c r="H10122" t="s">
        <v>31593</v>
      </c>
      <c r="I10122" t="s">
        <v>31718</v>
      </c>
      <c r="J10122" t="s">
        <v>38053</v>
      </c>
      <c r="K10122" t="s">
        <v>41200</v>
      </c>
      <c r="M10122" t="s">
        <v>44033</v>
      </c>
      <c r="N10122" t="s">
        <v>45095</v>
      </c>
      <c r="O10122" t="s">
        <v>45096</v>
      </c>
      <c r="P10122">
        <v>0</v>
      </c>
      <c r="Q10122">
        <v>5</v>
      </c>
      <c r="R10122" t="s">
        <v>45107</v>
      </c>
      <c r="S10122" t="s">
        <v>45386</v>
      </c>
      <c r="T10122" t="s">
        <v>47159</v>
      </c>
      <c r="U10122" t="s">
        <v>55826</v>
      </c>
      <c r="V10122" t="s">
        <v>60911</v>
      </c>
      <c r="W10122" t="s">
        <v>61733</v>
      </c>
      <c r="X10122" t="s">
        <v>45108</v>
      </c>
    </row>
    <row r="10123" spans="1:24">
      <c r="A10123">
        <f>HYPERLINK("https://www.philgeps.gov.ph/GEPSNONPILOT/Tender/SplashBidNoticeAbstractUI.aspx?menuIndex=3&amp;refID=7031739&amp;Result=3","7031739")</f>
        <v>0</v>
      </c>
      <c r="B10123" t="s">
        <v>2145</v>
      </c>
      <c r="C10123" t="s">
        <v>12848</v>
      </c>
      <c r="D10123" t="s">
        <v>18034</v>
      </c>
      <c r="E10123" t="s">
        <v>26898</v>
      </c>
      <c r="F10123" t="s">
        <v>31574</v>
      </c>
      <c r="G10123" t="s">
        <v>31582</v>
      </c>
      <c r="H10123" t="s">
        <v>31591</v>
      </c>
      <c r="I10123" t="s">
        <v>8822</v>
      </c>
      <c r="J10123" t="s">
        <v>38054</v>
      </c>
      <c r="K10123" t="s">
        <v>41186</v>
      </c>
      <c r="M10123" t="s">
        <v>43827</v>
      </c>
      <c r="N10123" t="s">
        <v>45095</v>
      </c>
      <c r="O10123" t="s">
        <v>45096</v>
      </c>
      <c r="Q10123">
        <v>0</v>
      </c>
      <c r="R10123" t="s">
        <v>45107</v>
      </c>
      <c r="S10123" t="s">
        <v>45417</v>
      </c>
      <c r="T10123" t="s">
        <v>46991</v>
      </c>
      <c r="U10123" t="s">
        <v>55827</v>
      </c>
      <c r="V10123" t="s">
        <v>60620</v>
      </c>
      <c r="W10123" t="s">
        <v>43827</v>
      </c>
      <c r="X10123" t="s">
        <v>45108</v>
      </c>
    </row>
    <row r="10124" spans="1:24">
      <c r="A10124">
        <f>HYPERLINK("https://www.philgeps.gov.ph/GEPSNONPILOT/Tender/SplashBidNoticeAbstractUI.aspx?menuIndex=3&amp;refID=7031724&amp;Result=3","7031724")</f>
        <v>0</v>
      </c>
      <c r="B10124" t="s">
        <v>2698</v>
      </c>
      <c r="C10124" t="s">
        <v>12849</v>
      </c>
      <c r="D10124" t="s">
        <v>18072</v>
      </c>
      <c r="E10124" t="s">
        <v>26899</v>
      </c>
      <c r="F10124" t="s">
        <v>31574</v>
      </c>
      <c r="G10124" t="s">
        <v>31582</v>
      </c>
      <c r="H10124" t="s">
        <v>31590</v>
      </c>
      <c r="I10124" t="s">
        <v>31595</v>
      </c>
      <c r="J10124" t="s">
        <v>38055</v>
      </c>
      <c r="K10124" t="s">
        <v>41186</v>
      </c>
      <c r="M10124" t="s">
        <v>44465</v>
      </c>
      <c r="N10124" t="s">
        <v>45095</v>
      </c>
      <c r="O10124" t="s">
        <v>45096</v>
      </c>
      <c r="P10124">
        <v>0</v>
      </c>
      <c r="Q10124">
        <v>6</v>
      </c>
      <c r="R10124" t="s">
        <v>45107</v>
      </c>
      <c r="S10124" t="s">
        <v>45386</v>
      </c>
      <c r="T10124" t="s">
        <v>47232</v>
      </c>
      <c r="U10124" t="s">
        <v>55828</v>
      </c>
      <c r="W10124" t="s">
        <v>44465</v>
      </c>
      <c r="X10124" t="s">
        <v>45108</v>
      </c>
    </row>
    <row r="10125" spans="1:24">
      <c r="A10125">
        <f>HYPERLINK("https://www.philgeps.gov.ph/GEPSNONPILOT/Tender/SplashBidNoticeAbstractUI.aspx?menuIndex=3&amp;refID=7031764&amp;Result=3","7031764")</f>
        <v>0</v>
      </c>
      <c r="B10125" t="s">
        <v>2145</v>
      </c>
      <c r="C10125" t="s">
        <v>12850</v>
      </c>
      <c r="D10125" t="s">
        <v>18034</v>
      </c>
      <c r="E10125" t="s">
        <v>26900</v>
      </c>
      <c r="F10125" t="s">
        <v>31574</v>
      </c>
      <c r="G10125" t="s">
        <v>31582</v>
      </c>
      <c r="H10125" t="s">
        <v>31591</v>
      </c>
      <c r="I10125" t="s">
        <v>8822</v>
      </c>
      <c r="J10125" t="s">
        <v>38056</v>
      </c>
      <c r="K10125" t="s">
        <v>41186</v>
      </c>
      <c r="M10125" t="s">
        <v>43827</v>
      </c>
      <c r="N10125" t="s">
        <v>45095</v>
      </c>
      <c r="O10125" t="s">
        <v>45096</v>
      </c>
      <c r="Q10125">
        <v>0</v>
      </c>
      <c r="R10125" t="s">
        <v>45107</v>
      </c>
      <c r="S10125" t="s">
        <v>45418</v>
      </c>
      <c r="T10125" t="s">
        <v>46991</v>
      </c>
      <c r="U10125" t="s">
        <v>55829</v>
      </c>
      <c r="V10125" t="s">
        <v>60912</v>
      </c>
      <c r="W10125" t="s">
        <v>43827</v>
      </c>
      <c r="X10125" t="s">
        <v>45108</v>
      </c>
    </row>
    <row r="10126" spans="1:24">
      <c r="A10126">
        <f>HYPERLINK("https://www.philgeps.gov.ph/GEPSNONPILOT/Tender/SplashBidNoticeAbstractUI.aspx?menuIndex=3&amp;refID=7031741&amp;Result=3","7031741")</f>
        <v>0</v>
      </c>
      <c r="B10126" t="s">
        <v>671</v>
      </c>
      <c r="C10126" t="s">
        <v>12851</v>
      </c>
      <c r="D10126" t="s">
        <v>18022</v>
      </c>
      <c r="E10126" t="s">
        <v>26901</v>
      </c>
      <c r="F10126" t="s">
        <v>31574</v>
      </c>
      <c r="G10126" t="s">
        <v>31582</v>
      </c>
      <c r="H10126" t="s">
        <v>31590</v>
      </c>
      <c r="I10126" t="s">
        <v>31683</v>
      </c>
      <c r="J10126" t="s">
        <v>38057</v>
      </c>
      <c r="K10126" t="s">
        <v>41200</v>
      </c>
      <c r="M10126" t="s">
        <v>44466</v>
      </c>
      <c r="N10126" t="s">
        <v>45095</v>
      </c>
      <c r="O10126" t="s">
        <v>45096</v>
      </c>
      <c r="P10126">
        <v>0</v>
      </c>
      <c r="Q10126">
        <v>2</v>
      </c>
      <c r="R10126" t="s">
        <v>45107</v>
      </c>
      <c r="S10126" t="s">
        <v>45386</v>
      </c>
      <c r="T10126" t="s">
        <v>47000</v>
      </c>
      <c r="U10126" t="s">
        <v>55830</v>
      </c>
      <c r="W10126" t="s">
        <v>44466</v>
      </c>
      <c r="X10126" t="s">
        <v>45108</v>
      </c>
    </row>
    <row r="10127" spans="1:24">
      <c r="A10127">
        <f>HYPERLINK("https://www.philgeps.gov.ph/GEPSNONPILOT/Tender/SplashBidNoticeAbstractUI.aspx?menuIndex=3&amp;refID=7031761&amp;Result=3","7031761")</f>
        <v>0</v>
      </c>
      <c r="B10127" t="s">
        <v>1603</v>
      </c>
      <c r="C10127" t="s">
        <v>12852</v>
      </c>
      <c r="D10127" t="s">
        <v>18022</v>
      </c>
      <c r="E10127" t="s">
        <v>26902</v>
      </c>
      <c r="F10127" t="s">
        <v>31574</v>
      </c>
      <c r="G10127" t="s">
        <v>31582</v>
      </c>
      <c r="H10127" t="s">
        <v>31591</v>
      </c>
      <c r="I10127" t="s">
        <v>8822</v>
      </c>
      <c r="J10127" t="s">
        <v>38058</v>
      </c>
      <c r="K10127" t="s">
        <v>41192</v>
      </c>
      <c r="M10127" t="s">
        <v>43208</v>
      </c>
      <c r="N10127" t="s">
        <v>45095</v>
      </c>
      <c r="O10127" t="s">
        <v>45096</v>
      </c>
      <c r="P10127">
        <v>0</v>
      </c>
      <c r="Q10127">
        <v>97</v>
      </c>
      <c r="R10127" t="s">
        <v>45107</v>
      </c>
      <c r="S10127" t="s">
        <v>45386</v>
      </c>
      <c r="T10127" t="s">
        <v>46929</v>
      </c>
      <c r="U10127" t="s">
        <v>51495</v>
      </c>
      <c r="V10127" t="s">
        <v>60913</v>
      </c>
      <c r="W10127" t="s">
        <v>43208</v>
      </c>
      <c r="X10127" t="s">
        <v>45108</v>
      </c>
    </row>
    <row r="10128" spans="1:24">
      <c r="A10128">
        <f>HYPERLINK("https://www.philgeps.gov.ph/GEPSNONPILOT/Tender/SplashBidNoticeAbstractUI.aspx?menuIndex=3&amp;refID=7031748&amp;Result=3","7031748")</f>
        <v>0</v>
      </c>
      <c r="B10128" t="s">
        <v>2538</v>
      </c>
      <c r="C10128" t="s">
        <v>12853</v>
      </c>
      <c r="D10128" t="s">
        <v>18056</v>
      </c>
      <c r="E10128" t="s">
        <v>26903</v>
      </c>
      <c r="F10128" t="s">
        <v>31574</v>
      </c>
      <c r="G10128" t="s">
        <v>31582</v>
      </c>
      <c r="H10128" t="s">
        <v>31592</v>
      </c>
      <c r="I10128" t="s">
        <v>3489</v>
      </c>
      <c r="J10128" t="s">
        <v>38059</v>
      </c>
      <c r="K10128" t="s">
        <v>41186</v>
      </c>
      <c r="M10128" t="s">
        <v>44274</v>
      </c>
      <c r="N10128" t="s">
        <v>45095</v>
      </c>
      <c r="O10128" t="s">
        <v>45096</v>
      </c>
      <c r="Q10128">
        <v>4</v>
      </c>
      <c r="R10128" t="s">
        <v>45107</v>
      </c>
      <c r="S10128" t="s">
        <v>45419</v>
      </c>
      <c r="T10128" t="s">
        <v>47100</v>
      </c>
      <c r="U10128" t="s">
        <v>55831</v>
      </c>
      <c r="W10128" t="s">
        <v>44274</v>
      </c>
      <c r="X10128" t="s">
        <v>45108</v>
      </c>
    </row>
    <row r="10129" spans="1:24">
      <c r="A10129">
        <f>HYPERLINK("https://www.philgeps.gov.ph/GEPSNONPILOT/Tender/SplashBidNoticeAbstractUI.aspx?menuIndex=3&amp;refID=7031769&amp;Result=3","7031769")</f>
        <v>0</v>
      </c>
      <c r="B10129" t="s">
        <v>841</v>
      </c>
      <c r="C10129" t="s">
        <v>12854</v>
      </c>
      <c r="D10129" t="s">
        <v>18101</v>
      </c>
      <c r="E10129" t="s">
        <v>26904</v>
      </c>
      <c r="F10129" t="s">
        <v>31574</v>
      </c>
      <c r="G10129" t="s">
        <v>31582</v>
      </c>
      <c r="H10129" t="s">
        <v>31591</v>
      </c>
      <c r="I10129" t="s">
        <v>8822</v>
      </c>
      <c r="J10129" t="s">
        <v>38060</v>
      </c>
      <c r="K10129" t="s">
        <v>41203</v>
      </c>
      <c r="L10129" t="s">
        <v>841</v>
      </c>
      <c r="M10129" t="s">
        <v>42360</v>
      </c>
      <c r="N10129" t="s">
        <v>45095</v>
      </c>
      <c r="O10129" t="s">
        <v>45096</v>
      </c>
      <c r="P10129">
        <v>0</v>
      </c>
      <c r="Q10129">
        <v>4</v>
      </c>
      <c r="R10129" t="s">
        <v>45107</v>
      </c>
      <c r="S10129" t="s">
        <v>45386</v>
      </c>
      <c r="T10129" t="s">
        <v>47266</v>
      </c>
      <c r="U10129" t="s">
        <v>55832</v>
      </c>
      <c r="W10129" t="s">
        <v>42360</v>
      </c>
      <c r="X10129" t="s">
        <v>45108</v>
      </c>
    </row>
    <row r="10130" spans="1:24">
      <c r="A10130">
        <f>HYPERLINK("https://www.philgeps.gov.ph/GEPSNONPILOT/Tender/SplashBidNoticeAbstractUI.aspx?menuIndex=3&amp;refID=7031742&amp;Result=3","7031742")</f>
        <v>0</v>
      </c>
      <c r="B10130" t="s">
        <v>1945</v>
      </c>
      <c r="C10130" t="s">
        <v>12855</v>
      </c>
      <c r="D10130" t="s">
        <v>18052</v>
      </c>
      <c r="E10130" t="s">
        <v>26905</v>
      </c>
      <c r="F10130" t="s">
        <v>31574</v>
      </c>
      <c r="G10130" t="s">
        <v>31582</v>
      </c>
      <c r="H10130" t="s">
        <v>31591</v>
      </c>
      <c r="I10130" t="s">
        <v>8822</v>
      </c>
      <c r="J10130" t="s">
        <v>32550</v>
      </c>
      <c r="K10130" t="s">
        <v>41409</v>
      </c>
      <c r="M10130" t="s">
        <v>43600</v>
      </c>
      <c r="N10130" t="s">
        <v>45095</v>
      </c>
      <c r="O10130" t="s">
        <v>45096</v>
      </c>
      <c r="Q10130">
        <v>2</v>
      </c>
      <c r="R10130" t="s">
        <v>45107</v>
      </c>
      <c r="S10130" t="s">
        <v>45420</v>
      </c>
      <c r="T10130" t="s">
        <v>47373</v>
      </c>
      <c r="U10130" t="s">
        <v>52707</v>
      </c>
      <c r="W10130" t="s">
        <v>43600</v>
      </c>
      <c r="X10130" t="s">
        <v>45108</v>
      </c>
    </row>
    <row r="10131" spans="1:24">
      <c r="A10131">
        <f>HYPERLINK("https://www.philgeps.gov.ph/GEPSNONPILOT/Tender/SplashBidNoticeAbstractUI.aspx?menuIndex=3&amp;refID=7031797&amp;Result=3","7031797")</f>
        <v>0</v>
      </c>
      <c r="B10131" t="s">
        <v>2699</v>
      </c>
      <c r="C10131" t="s">
        <v>12856</v>
      </c>
      <c r="D10131" t="s">
        <v>18039</v>
      </c>
      <c r="E10131" t="s">
        <v>19843</v>
      </c>
      <c r="F10131" t="s">
        <v>31574</v>
      </c>
      <c r="G10131" t="s">
        <v>31585</v>
      </c>
      <c r="H10131" t="s">
        <v>31590</v>
      </c>
      <c r="I10131" t="s">
        <v>31622</v>
      </c>
      <c r="J10131" t="s">
        <v>32076</v>
      </c>
      <c r="K10131" t="s">
        <v>41186</v>
      </c>
      <c r="M10131" t="s">
        <v>44467</v>
      </c>
      <c r="N10131" t="s">
        <v>45095</v>
      </c>
      <c r="O10131" t="s">
        <v>45096</v>
      </c>
      <c r="P10131">
        <v>0</v>
      </c>
      <c r="Q10131">
        <v>4</v>
      </c>
      <c r="R10131" t="s">
        <v>45107</v>
      </c>
      <c r="S10131" t="s">
        <v>45386</v>
      </c>
      <c r="T10131" t="s">
        <v>47010</v>
      </c>
      <c r="U10131" t="s">
        <v>55833</v>
      </c>
      <c r="W10131" t="s">
        <v>44467</v>
      </c>
      <c r="X10131" t="s">
        <v>45108</v>
      </c>
    </row>
    <row r="10132" spans="1:24">
      <c r="A10132">
        <f>HYPERLINK("https://www.philgeps.gov.ph/GEPSNONPILOT/Tender/SplashBidNoticeAbstractUI.aspx?menuIndex=3&amp;refID=7031788&amp;Result=3","7031788")</f>
        <v>0</v>
      </c>
      <c r="B10132" t="s">
        <v>2568</v>
      </c>
      <c r="C10132" t="s">
        <v>12857</v>
      </c>
      <c r="D10132" t="s">
        <v>18022</v>
      </c>
      <c r="E10132" t="s">
        <v>20000</v>
      </c>
      <c r="F10132" t="s">
        <v>31574</v>
      </c>
      <c r="G10132" t="s">
        <v>31582</v>
      </c>
      <c r="H10132" t="s">
        <v>31592</v>
      </c>
      <c r="I10132" t="s">
        <v>3487</v>
      </c>
      <c r="J10132" t="s">
        <v>31741</v>
      </c>
      <c r="K10132" t="s">
        <v>41190</v>
      </c>
      <c r="M10132" t="s">
        <v>44309</v>
      </c>
      <c r="N10132" t="s">
        <v>45095</v>
      </c>
      <c r="O10132" t="s">
        <v>45096</v>
      </c>
      <c r="P10132">
        <v>0</v>
      </c>
      <c r="Q10132">
        <v>0</v>
      </c>
      <c r="R10132" t="s">
        <v>45107</v>
      </c>
      <c r="S10132" t="s">
        <v>45386</v>
      </c>
      <c r="T10132" t="s">
        <v>46949</v>
      </c>
      <c r="U10132" t="s">
        <v>55834</v>
      </c>
      <c r="W10132" t="s">
        <v>44309</v>
      </c>
      <c r="X10132" t="s">
        <v>45108</v>
      </c>
    </row>
    <row r="10133" spans="1:24">
      <c r="A10133">
        <f>HYPERLINK("https://www.philgeps.gov.ph/GEPSNONPILOT/Tender/SplashBidNoticeAbstractUI.aspx?menuIndex=3&amp;refID=7031755&amp;Result=3","7031755")</f>
        <v>0</v>
      </c>
      <c r="B10133" t="s">
        <v>1603</v>
      </c>
      <c r="C10133" t="s">
        <v>12858</v>
      </c>
      <c r="D10133" t="s">
        <v>18022</v>
      </c>
      <c r="E10133" t="s">
        <v>26906</v>
      </c>
      <c r="F10133" t="s">
        <v>31574</v>
      </c>
      <c r="G10133" t="s">
        <v>31582</v>
      </c>
      <c r="H10133" t="s">
        <v>31591</v>
      </c>
      <c r="I10133" t="s">
        <v>8822</v>
      </c>
      <c r="J10133" t="s">
        <v>38061</v>
      </c>
      <c r="K10133" t="s">
        <v>41243</v>
      </c>
      <c r="M10133" t="s">
        <v>43208</v>
      </c>
      <c r="N10133" t="s">
        <v>45095</v>
      </c>
      <c r="O10133" t="s">
        <v>45096</v>
      </c>
      <c r="P10133">
        <v>0</v>
      </c>
      <c r="Q10133">
        <v>125</v>
      </c>
      <c r="R10133" t="s">
        <v>45107</v>
      </c>
      <c r="S10133" t="s">
        <v>45386</v>
      </c>
      <c r="T10133" t="s">
        <v>46929</v>
      </c>
      <c r="U10133" t="s">
        <v>51495</v>
      </c>
      <c r="V10133" t="s">
        <v>60914</v>
      </c>
      <c r="W10133" t="s">
        <v>43208</v>
      </c>
      <c r="X10133" t="s">
        <v>45108</v>
      </c>
    </row>
    <row r="10134" spans="1:24">
      <c r="A10134">
        <f>HYPERLINK("https://www.philgeps.gov.ph/GEPSNONPILOT/Tender/SplashBidNoticeAbstractUI.aspx?menuIndex=3&amp;refID=7031718&amp;Result=3","7031718")</f>
        <v>0</v>
      </c>
      <c r="B10134" t="s">
        <v>1822</v>
      </c>
      <c r="C10134" t="s">
        <v>12859</v>
      </c>
      <c r="D10134" t="s">
        <v>18099</v>
      </c>
      <c r="E10134" t="s">
        <v>26907</v>
      </c>
      <c r="F10134" t="s">
        <v>31574</v>
      </c>
      <c r="G10134" t="s">
        <v>31582</v>
      </c>
      <c r="H10134" t="s">
        <v>31591</v>
      </c>
      <c r="I10134" t="s">
        <v>31627</v>
      </c>
      <c r="J10134" t="s">
        <v>31947</v>
      </c>
      <c r="K10134" t="s">
        <v>41185</v>
      </c>
      <c r="M10134" t="s">
        <v>43457</v>
      </c>
      <c r="N10134" t="s">
        <v>45095</v>
      </c>
      <c r="O10134" t="s">
        <v>45096</v>
      </c>
      <c r="P10134">
        <v>0</v>
      </c>
      <c r="Q10134">
        <v>0</v>
      </c>
      <c r="R10134" t="s">
        <v>45107</v>
      </c>
      <c r="S10134" t="s">
        <v>45386</v>
      </c>
      <c r="T10134" t="s">
        <v>47076</v>
      </c>
      <c r="U10134" t="s">
        <v>52190</v>
      </c>
      <c r="W10134" t="s">
        <v>43457</v>
      </c>
      <c r="X10134" t="s">
        <v>45108</v>
      </c>
    </row>
    <row r="10135" spans="1:24">
      <c r="A10135">
        <f>HYPERLINK("https://www.philgeps.gov.ph/GEPSNONPILOT/Tender/SplashBidNoticeAbstractUI.aspx?menuIndex=3&amp;refID=7031795&amp;Result=3","7031795")</f>
        <v>0</v>
      </c>
      <c r="B10135" t="s">
        <v>862</v>
      </c>
      <c r="C10135" t="s">
        <v>12860</v>
      </c>
      <c r="D10135" t="s">
        <v>18071</v>
      </c>
      <c r="E10135" t="s">
        <v>26908</v>
      </c>
      <c r="F10135" t="s">
        <v>31574</v>
      </c>
      <c r="G10135" t="s">
        <v>31582</v>
      </c>
      <c r="H10135" t="s">
        <v>31591</v>
      </c>
      <c r="I10135" t="s">
        <v>8822</v>
      </c>
      <c r="J10135" t="s">
        <v>38062</v>
      </c>
      <c r="K10135" t="s">
        <v>41195</v>
      </c>
      <c r="M10135" t="s">
        <v>42382</v>
      </c>
      <c r="N10135" t="s">
        <v>45095</v>
      </c>
      <c r="O10135" t="s">
        <v>45096</v>
      </c>
      <c r="P10135">
        <v>0</v>
      </c>
      <c r="Q10135">
        <v>0</v>
      </c>
      <c r="R10135" t="s">
        <v>45107</v>
      </c>
      <c r="S10135" t="s">
        <v>45386</v>
      </c>
      <c r="T10135" t="s">
        <v>47183</v>
      </c>
      <c r="U10135" t="s">
        <v>55835</v>
      </c>
      <c r="W10135" t="s">
        <v>42382</v>
      </c>
      <c r="X10135" t="s">
        <v>45108</v>
      </c>
    </row>
    <row r="10136" spans="1:24">
      <c r="A10136">
        <f>HYPERLINK("https://www.philgeps.gov.ph/GEPSNONPILOT/Tender/SplashBidNoticeAbstractUI.aspx?menuIndex=3&amp;refID=7031774&amp;Result=3","7031774")</f>
        <v>0</v>
      </c>
      <c r="B10136" t="s">
        <v>1350</v>
      </c>
      <c r="C10136" t="s">
        <v>12861</v>
      </c>
      <c r="D10136" t="s">
        <v>18057</v>
      </c>
      <c r="E10136" t="s">
        <v>26909</v>
      </c>
      <c r="F10136" t="s">
        <v>31574</v>
      </c>
      <c r="G10136" t="s">
        <v>31582</v>
      </c>
      <c r="H10136" t="s">
        <v>31590</v>
      </c>
      <c r="I10136" t="s">
        <v>31626</v>
      </c>
      <c r="J10136" t="s">
        <v>38063</v>
      </c>
      <c r="K10136" t="s">
        <v>41186</v>
      </c>
      <c r="M10136" t="s">
        <v>42922</v>
      </c>
      <c r="N10136" t="s">
        <v>45095</v>
      </c>
      <c r="O10136" t="s">
        <v>45096</v>
      </c>
      <c r="P10136">
        <v>0</v>
      </c>
      <c r="Q10136">
        <v>10</v>
      </c>
      <c r="R10136" t="s">
        <v>45107</v>
      </c>
      <c r="S10136" t="s">
        <v>45386</v>
      </c>
      <c r="T10136" t="s">
        <v>47139</v>
      </c>
      <c r="U10136" t="s">
        <v>55836</v>
      </c>
      <c r="W10136" t="s">
        <v>42922</v>
      </c>
      <c r="X10136" t="s">
        <v>45108</v>
      </c>
    </row>
    <row r="10137" spans="1:24">
      <c r="A10137">
        <f>HYPERLINK("https://www.philgeps.gov.ph/GEPSNONPILOT/Tender/SplashBidNoticeAbstractUI.aspx?menuIndex=3&amp;refID=7031840&amp;Result=3","7031840")</f>
        <v>0</v>
      </c>
      <c r="B10137" t="s">
        <v>2700</v>
      </c>
      <c r="C10137" t="s">
        <v>12862</v>
      </c>
      <c r="D10137" t="s">
        <v>18056</v>
      </c>
      <c r="E10137" t="s">
        <v>26910</v>
      </c>
      <c r="F10137" t="s">
        <v>31574</v>
      </c>
      <c r="G10137" t="s">
        <v>31582</v>
      </c>
      <c r="H10137" t="s">
        <v>31591</v>
      </c>
      <c r="I10137" t="s">
        <v>8822</v>
      </c>
      <c r="J10137" t="s">
        <v>38064</v>
      </c>
      <c r="K10137" t="s">
        <v>41186</v>
      </c>
      <c r="M10137" t="s">
        <v>44468</v>
      </c>
      <c r="N10137" t="s">
        <v>45095</v>
      </c>
      <c r="O10137" t="s">
        <v>45096</v>
      </c>
      <c r="P10137">
        <v>0</v>
      </c>
      <c r="Q10137">
        <v>0</v>
      </c>
      <c r="R10137" t="s">
        <v>45107</v>
      </c>
      <c r="S10137" t="s">
        <v>45386</v>
      </c>
      <c r="T10137" t="s">
        <v>46932</v>
      </c>
      <c r="U10137" t="s">
        <v>55837</v>
      </c>
      <c r="W10137" t="s">
        <v>44468</v>
      </c>
      <c r="X10137" t="s">
        <v>45108</v>
      </c>
    </row>
    <row r="10138" spans="1:24">
      <c r="A10138">
        <f>HYPERLINK("https://www.philgeps.gov.ph/GEPSNONPILOT/Tender/SplashBidNoticeAbstractUI.aspx?menuIndex=3&amp;refID=7031838&amp;Result=3","7031838")</f>
        <v>0</v>
      </c>
      <c r="B10138" t="s">
        <v>2003</v>
      </c>
      <c r="C10138" t="s">
        <v>12863</v>
      </c>
      <c r="E10138" t="s">
        <v>26911</v>
      </c>
      <c r="F10138" t="s">
        <v>31574</v>
      </c>
      <c r="G10138" t="s">
        <v>31582</v>
      </c>
      <c r="H10138" t="s">
        <v>31591</v>
      </c>
      <c r="I10138" t="s">
        <v>8822</v>
      </c>
      <c r="J10138" t="s">
        <v>38065</v>
      </c>
      <c r="K10138" t="s">
        <v>41189</v>
      </c>
      <c r="M10138" t="s">
        <v>43665</v>
      </c>
      <c r="N10138" t="s">
        <v>45095</v>
      </c>
      <c r="O10138" t="s">
        <v>45096</v>
      </c>
      <c r="Q10138">
        <v>34</v>
      </c>
      <c r="R10138" t="s">
        <v>45107</v>
      </c>
      <c r="S10138" t="s">
        <v>45421</v>
      </c>
      <c r="T10138" t="s">
        <v>46966</v>
      </c>
      <c r="U10138" t="s">
        <v>52971</v>
      </c>
      <c r="W10138" t="s">
        <v>43665</v>
      </c>
      <c r="X10138" t="s">
        <v>45108</v>
      </c>
    </row>
    <row r="10139" spans="1:24">
      <c r="A10139">
        <f>HYPERLINK("https://www.philgeps.gov.ph/GEPSNONPILOT/Tender/SplashBidNoticeAbstractUI.aspx?menuIndex=3&amp;refID=7031835&amp;Result=3","7031835")</f>
        <v>0</v>
      </c>
      <c r="B10139" t="s">
        <v>2003</v>
      </c>
      <c r="C10139" t="s">
        <v>12864</v>
      </c>
      <c r="D10139" t="s">
        <v>18022</v>
      </c>
      <c r="E10139" t="s">
        <v>26912</v>
      </c>
      <c r="F10139" t="s">
        <v>31574</v>
      </c>
      <c r="G10139" t="s">
        <v>31582</v>
      </c>
      <c r="H10139" t="s">
        <v>31591</v>
      </c>
      <c r="I10139" t="s">
        <v>8822</v>
      </c>
      <c r="J10139" t="s">
        <v>38066</v>
      </c>
      <c r="K10139" t="s">
        <v>41243</v>
      </c>
      <c r="M10139" t="s">
        <v>43665</v>
      </c>
      <c r="N10139" t="s">
        <v>45095</v>
      </c>
      <c r="O10139" t="s">
        <v>45096</v>
      </c>
      <c r="Q10139">
        <v>36</v>
      </c>
      <c r="R10139" t="s">
        <v>45107</v>
      </c>
      <c r="S10139" t="s">
        <v>45422</v>
      </c>
      <c r="T10139" t="s">
        <v>46966</v>
      </c>
      <c r="U10139" t="s">
        <v>52971</v>
      </c>
      <c r="W10139" t="s">
        <v>43665</v>
      </c>
      <c r="X10139" t="s">
        <v>45108</v>
      </c>
    </row>
    <row r="10140" spans="1:24">
      <c r="A10140">
        <f>HYPERLINK("https://www.philgeps.gov.ph/GEPSNONPILOT/Tender/SplashBidNoticeAbstractUI.aspx?menuIndex=3&amp;refID=7031841&amp;Result=3","7031841")</f>
        <v>0</v>
      </c>
      <c r="B10140" t="s">
        <v>2003</v>
      </c>
      <c r="C10140" t="s">
        <v>12865</v>
      </c>
      <c r="D10140" t="s">
        <v>18022</v>
      </c>
      <c r="E10140" t="s">
        <v>26913</v>
      </c>
      <c r="F10140" t="s">
        <v>31574</v>
      </c>
      <c r="G10140" t="s">
        <v>31582</v>
      </c>
      <c r="H10140" t="s">
        <v>31591</v>
      </c>
      <c r="I10140" t="s">
        <v>8822</v>
      </c>
      <c r="J10140" t="s">
        <v>38067</v>
      </c>
      <c r="K10140" t="s">
        <v>41192</v>
      </c>
      <c r="M10140" t="s">
        <v>43665</v>
      </c>
      <c r="N10140" t="s">
        <v>45095</v>
      </c>
      <c r="O10140" t="s">
        <v>45096</v>
      </c>
      <c r="Q10140">
        <v>32</v>
      </c>
      <c r="R10140" t="s">
        <v>45107</v>
      </c>
      <c r="S10140" t="s">
        <v>45423</v>
      </c>
      <c r="T10140" t="s">
        <v>46966</v>
      </c>
      <c r="U10140" t="s">
        <v>52971</v>
      </c>
      <c r="W10140" t="s">
        <v>43665</v>
      </c>
      <c r="X10140" t="s">
        <v>45108</v>
      </c>
    </row>
    <row r="10141" spans="1:24">
      <c r="A10141">
        <f>HYPERLINK("https://www.philgeps.gov.ph/GEPSNONPILOT/Tender/SplashBidNoticeAbstractUI.aspx?menuIndex=3&amp;refID=7031833&amp;Result=3","7031833")</f>
        <v>0</v>
      </c>
      <c r="B10141" t="s">
        <v>2003</v>
      </c>
      <c r="C10141" t="s">
        <v>12866</v>
      </c>
      <c r="D10141" t="s">
        <v>18022</v>
      </c>
      <c r="E10141" t="s">
        <v>26914</v>
      </c>
      <c r="F10141" t="s">
        <v>31574</v>
      </c>
      <c r="G10141" t="s">
        <v>31582</v>
      </c>
      <c r="H10141" t="s">
        <v>31591</v>
      </c>
      <c r="I10141" t="s">
        <v>8822</v>
      </c>
      <c r="J10141" t="s">
        <v>38068</v>
      </c>
      <c r="K10141" t="s">
        <v>41200</v>
      </c>
      <c r="M10141" t="s">
        <v>43665</v>
      </c>
      <c r="N10141" t="s">
        <v>45095</v>
      </c>
      <c r="O10141" t="s">
        <v>45096</v>
      </c>
      <c r="Q10141">
        <v>35</v>
      </c>
      <c r="R10141" t="s">
        <v>45107</v>
      </c>
      <c r="S10141" t="s">
        <v>45424</v>
      </c>
      <c r="T10141" t="s">
        <v>46966</v>
      </c>
      <c r="U10141" t="s">
        <v>52971</v>
      </c>
      <c r="W10141" t="s">
        <v>43665</v>
      </c>
      <c r="X10141" t="s">
        <v>45108</v>
      </c>
    </row>
    <row r="10142" spans="1:24">
      <c r="A10142">
        <f>HYPERLINK("https://www.philgeps.gov.ph/GEPSNONPILOT/Tender/SplashBidNoticeAbstractUI.aspx?menuIndex=3&amp;refID=7031798&amp;Result=3","7031798")</f>
        <v>0</v>
      </c>
      <c r="B10142" t="s">
        <v>2693</v>
      </c>
      <c r="C10142" t="s">
        <v>12867</v>
      </c>
      <c r="D10142" t="s">
        <v>18052</v>
      </c>
      <c r="E10142" t="s">
        <v>26915</v>
      </c>
      <c r="F10142" t="s">
        <v>31574</v>
      </c>
      <c r="G10142" t="s">
        <v>31582</v>
      </c>
      <c r="H10142" t="s">
        <v>31591</v>
      </c>
      <c r="I10142" t="s">
        <v>8822</v>
      </c>
      <c r="J10142" t="s">
        <v>38069</v>
      </c>
      <c r="K10142" t="s">
        <v>41198</v>
      </c>
      <c r="M10142" t="s">
        <v>44459</v>
      </c>
      <c r="N10142" t="s">
        <v>45095</v>
      </c>
      <c r="O10142" t="s">
        <v>45096</v>
      </c>
      <c r="P10142">
        <v>0</v>
      </c>
      <c r="Q10142">
        <v>2</v>
      </c>
      <c r="R10142" t="s">
        <v>45107</v>
      </c>
      <c r="S10142" t="s">
        <v>45386</v>
      </c>
      <c r="T10142" t="s">
        <v>46977</v>
      </c>
      <c r="U10142" t="s">
        <v>55838</v>
      </c>
      <c r="V10142" t="s">
        <v>60903</v>
      </c>
      <c r="W10142" t="s">
        <v>44459</v>
      </c>
      <c r="X10142" t="s">
        <v>45108</v>
      </c>
    </row>
    <row r="10143" spans="1:24">
      <c r="A10143">
        <f>HYPERLINK("https://www.philgeps.gov.ph/GEPSNONPILOT/Tender/SplashBidNoticeAbstractUI.aspx?menuIndex=3&amp;refID=7031831&amp;Result=3","7031831")</f>
        <v>0</v>
      </c>
      <c r="B10143" t="s">
        <v>1114</v>
      </c>
      <c r="C10143" t="s">
        <v>12868</v>
      </c>
      <c r="D10143" t="s">
        <v>18022</v>
      </c>
      <c r="E10143" t="s">
        <v>26916</v>
      </c>
      <c r="F10143" t="s">
        <v>31574</v>
      </c>
      <c r="G10143" t="s">
        <v>31581</v>
      </c>
      <c r="H10143" t="s">
        <v>31590</v>
      </c>
      <c r="I10143" t="s">
        <v>8258</v>
      </c>
      <c r="J10143" t="s">
        <v>32232</v>
      </c>
      <c r="K10143" t="s">
        <v>41193</v>
      </c>
      <c r="M10143" t="s">
        <v>42663</v>
      </c>
      <c r="N10143" t="s">
        <v>45095</v>
      </c>
      <c r="O10143" t="s">
        <v>45096</v>
      </c>
      <c r="Q10143">
        <v>2</v>
      </c>
      <c r="R10143" t="s">
        <v>45107</v>
      </c>
      <c r="S10143" t="s">
        <v>45425</v>
      </c>
      <c r="T10143" t="s">
        <v>47080</v>
      </c>
      <c r="U10143" t="s">
        <v>55839</v>
      </c>
      <c r="W10143" t="s">
        <v>42663</v>
      </c>
      <c r="X10143" t="s">
        <v>45108</v>
      </c>
    </row>
    <row r="10144" spans="1:24">
      <c r="A10144">
        <f>HYPERLINK("https://www.philgeps.gov.ph/GEPSNONPILOT/Tender/SplashBidNoticeAbstractUI.aspx?menuIndex=3&amp;refID=7031782&amp;Result=3","7031782")</f>
        <v>0</v>
      </c>
      <c r="B10144" t="s">
        <v>1350</v>
      </c>
      <c r="C10144" t="s">
        <v>12869</v>
      </c>
      <c r="D10144" t="s">
        <v>18057</v>
      </c>
      <c r="E10144" t="s">
        <v>26917</v>
      </c>
      <c r="F10144" t="s">
        <v>31574</v>
      </c>
      <c r="G10144" t="s">
        <v>31582</v>
      </c>
      <c r="H10144" t="s">
        <v>31590</v>
      </c>
      <c r="I10144" t="s">
        <v>31705</v>
      </c>
      <c r="J10144" t="s">
        <v>38070</v>
      </c>
      <c r="K10144" t="s">
        <v>41200</v>
      </c>
      <c r="M10144" t="s">
        <v>42922</v>
      </c>
      <c r="N10144" t="s">
        <v>45095</v>
      </c>
      <c r="O10144" t="s">
        <v>45096</v>
      </c>
      <c r="P10144">
        <v>0</v>
      </c>
      <c r="Q10144">
        <v>9</v>
      </c>
      <c r="R10144" t="s">
        <v>45107</v>
      </c>
      <c r="S10144" t="s">
        <v>45386</v>
      </c>
      <c r="T10144" t="s">
        <v>47000</v>
      </c>
      <c r="U10144" t="s">
        <v>55840</v>
      </c>
      <c r="W10144" t="s">
        <v>42922</v>
      </c>
      <c r="X10144" t="s">
        <v>45108</v>
      </c>
    </row>
    <row r="10145" spans="1:24">
      <c r="A10145">
        <f>HYPERLINK("https://www.philgeps.gov.ph/GEPSNONPILOT/Tender/SplashBidNoticeAbstractUI.aspx?menuIndex=3&amp;refID=7031857&amp;Result=3","7031857")</f>
        <v>0</v>
      </c>
      <c r="B10145" t="s">
        <v>1623</v>
      </c>
      <c r="C10145" t="s">
        <v>12870</v>
      </c>
      <c r="D10145" t="s">
        <v>18045</v>
      </c>
      <c r="E10145" t="s">
        <v>26918</v>
      </c>
      <c r="F10145" t="s">
        <v>31574</v>
      </c>
      <c r="G10145" t="s">
        <v>31582</v>
      </c>
      <c r="H10145" t="s">
        <v>31590</v>
      </c>
      <c r="I10145" t="s">
        <v>7185</v>
      </c>
      <c r="J10145" t="s">
        <v>38071</v>
      </c>
      <c r="K10145" t="s">
        <v>41186</v>
      </c>
      <c r="M10145" t="s">
        <v>43230</v>
      </c>
      <c r="N10145" t="s">
        <v>45095</v>
      </c>
      <c r="O10145" t="s">
        <v>45096</v>
      </c>
      <c r="P10145">
        <v>0</v>
      </c>
      <c r="Q10145">
        <v>4</v>
      </c>
      <c r="R10145" t="s">
        <v>45107</v>
      </c>
      <c r="S10145" t="s">
        <v>45386</v>
      </c>
      <c r="T10145" t="s">
        <v>47359</v>
      </c>
      <c r="U10145" t="s">
        <v>55841</v>
      </c>
      <c r="W10145" t="s">
        <v>43230</v>
      </c>
      <c r="X10145" t="s">
        <v>45108</v>
      </c>
    </row>
    <row r="10146" spans="1:24">
      <c r="A10146">
        <f>HYPERLINK("https://www.philgeps.gov.ph/GEPSNONPILOT/Tender/SplashBidNoticeAbstractUI.aspx?menuIndex=3&amp;refID=7031730&amp;Result=3","7031730")</f>
        <v>0</v>
      </c>
      <c r="B10146" t="s">
        <v>2323</v>
      </c>
      <c r="C10146" t="s">
        <v>12871</v>
      </c>
      <c r="D10146" t="s">
        <v>18063</v>
      </c>
      <c r="E10146" t="s">
        <v>26919</v>
      </c>
      <c r="F10146" t="s">
        <v>31574</v>
      </c>
      <c r="G10146" t="s">
        <v>31587</v>
      </c>
      <c r="H10146" t="s">
        <v>31593</v>
      </c>
      <c r="I10146" t="s">
        <v>31718</v>
      </c>
      <c r="J10146" t="s">
        <v>38072</v>
      </c>
      <c r="K10146" t="s">
        <v>41203</v>
      </c>
      <c r="M10146" t="s">
        <v>44033</v>
      </c>
      <c r="N10146" t="s">
        <v>45095</v>
      </c>
      <c r="O10146" t="s">
        <v>45096</v>
      </c>
      <c r="P10146">
        <v>0</v>
      </c>
      <c r="Q10146">
        <v>5</v>
      </c>
      <c r="R10146" t="s">
        <v>45107</v>
      </c>
      <c r="S10146" t="s">
        <v>45386</v>
      </c>
      <c r="T10146" t="s">
        <v>47159</v>
      </c>
      <c r="U10146" t="s">
        <v>55842</v>
      </c>
      <c r="V10146" t="s">
        <v>60915</v>
      </c>
      <c r="W10146" t="s">
        <v>61733</v>
      </c>
      <c r="X10146" t="s">
        <v>45108</v>
      </c>
    </row>
    <row r="10147" spans="1:24">
      <c r="A10147">
        <f>HYPERLINK("https://www.philgeps.gov.ph/GEPSNONPILOT/Tender/SplashBidNoticeAbstractUI.aspx?menuIndex=3&amp;refID=7031850&amp;Result=3","7031850")</f>
        <v>0</v>
      </c>
      <c r="B10147" t="s">
        <v>1639</v>
      </c>
      <c r="C10147" t="s">
        <v>12872</v>
      </c>
      <c r="E10147" t="s">
        <v>26920</v>
      </c>
      <c r="F10147" t="s">
        <v>31574</v>
      </c>
      <c r="G10147" t="s">
        <v>31582</v>
      </c>
      <c r="H10147" t="s">
        <v>31590</v>
      </c>
      <c r="I10147" t="s">
        <v>31614</v>
      </c>
      <c r="J10147" t="s">
        <v>37074</v>
      </c>
      <c r="K10147" t="s">
        <v>41184</v>
      </c>
      <c r="M10147" t="s">
        <v>44469</v>
      </c>
      <c r="N10147" t="s">
        <v>45095</v>
      </c>
      <c r="O10147" t="s">
        <v>45096</v>
      </c>
      <c r="P10147">
        <v>0</v>
      </c>
      <c r="Q10147">
        <v>2</v>
      </c>
      <c r="R10147" t="s">
        <v>45107</v>
      </c>
      <c r="S10147" t="s">
        <v>45386</v>
      </c>
      <c r="T10147" t="s">
        <v>47000</v>
      </c>
      <c r="U10147" t="s">
        <v>55843</v>
      </c>
      <c r="W10147" t="s">
        <v>44469</v>
      </c>
      <c r="X10147" t="s">
        <v>45108</v>
      </c>
    </row>
    <row r="10148" spans="1:24">
      <c r="A10148">
        <f>HYPERLINK("https://www.philgeps.gov.ph/GEPSNONPILOT/Tender/SplashBidNoticeAbstractUI.aspx?menuIndex=3&amp;refID=7031846&amp;Result=3","7031846")</f>
        <v>0</v>
      </c>
      <c r="B10148" t="s">
        <v>1639</v>
      </c>
      <c r="C10148" t="s">
        <v>12873</v>
      </c>
      <c r="E10148" t="s">
        <v>26921</v>
      </c>
      <c r="F10148" t="s">
        <v>31574</v>
      </c>
      <c r="G10148" t="s">
        <v>31582</v>
      </c>
      <c r="H10148" t="s">
        <v>31590</v>
      </c>
      <c r="I10148" t="s">
        <v>31614</v>
      </c>
      <c r="J10148" t="s">
        <v>32910</v>
      </c>
      <c r="K10148" t="s">
        <v>41184</v>
      </c>
      <c r="M10148" t="s">
        <v>44469</v>
      </c>
      <c r="N10148" t="s">
        <v>45095</v>
      </c>
      <c r="O10148" t="s">
        <v>45096</v>
      </c>
      <c r="P10148">
        <v>0</v>
      </c>
      <c r="Q10148">
        <v>2</v>
      </c>
      <c r="R10148" t="s">
        <v>45107</v>
      </c>
      <c r="S10148" t="s">
        <v>45386</v>
      </c>
      <c r="T10148" t="s">
        <v>47000</v>
      </c>
      <c r="U10148" t="s">
        <v>55844</v>
      </c>
      <c r="W10148" t="s">
        <v>44469</v>
      </c>
      <c r="X10148" t="s">
        <v>45108</v>
      </c>
    </row>
    <row r="10149" spans="1:24">
      <c r="A10149">
        <f>HYPERLINK("https://www.philgeps.gov.ph/GEPSNONPILOT/Tender/SplashBidNoticeAbstractUI.aspx?menuIndex=3&amp;refID=7031720&amp;Result=3","7031720")</f>
        <v>0</v>
      </c>
      <c r="B10149" t="s">
        <v>289</v>
      </c>
      <c r="C10149" t="s">
        <v>12874</v>
      </c>
      <c r="D10149" t="s">
        <v>18044</v>
      </c>
      <c r="E10149" t="s">
        <v>26922</v>
      </c>
      <c r="F10149" t="s">
        <v>31574</v>
      </c>
      <c r="G10149" t="s">
        <v>31582</v>
      </c>
      <c r="H10149" t="s">
        <v>31592</v>
      </c>
      <c r="I10149" t="s">
        <v>4677</v>
      </c>
      <c r="J10149" t="s">
        <v>38073</v>
      </c>
      <c r="K10149" t="s">
        <v>41230</v>
      </c>
      <c r="M10149" t="s">
        <v>41775</v>
      </c>
      <c r="N10149" t="s">
        <v>45095</v>
      </c>
      <c r="O10149" t="s">
        <v>45096</v>
      </c>
      <c r="P10149">
        <v>0</v>
      </c>
      <c r="Q10149">
        <v>3</v>
      </c>
      <c r="R10149" t="s">
        <v>45107</v>
      </c>
      <c r="S10149" t="s">
        <v>45386</v>
      </c>
      <c r="T10149" t="s">
        <v>46941</v>
      </c>
      <c r="U10149" t="s">
        <v>55845</v>
      </c>
      <c r="W10149" t="s">
        <v>61661</v>
      </c>
      <c r="X10149" t="s">
        <v>45108</v>
      </c>
    </row>
    <row r="10150" spans="1:24">
      <c r="A10150">
        <f>HYPERLINK("https://www.philgeps.gov.ph/GEPSNONPILOT/Tender/SplashBidNoticeAbstractUI.aspx?menuIndex=3&amp;refID=7031856&amp;Result=3","7031856")</f>
        <v>0</v>
      </c>
      <c r="B10150" t="s">
        <v>1639</v>
      </c>
      <c r="C10150" t="s">
        <v>12875</v>
      </c>
      <c r="E10150" t="s">
        <v>26923</v>
      </c>
      <c r="F10150" t="s">
        <v>31574</v>
      </c>
      <c r="G10150" t="s">
        <v>31582</v>
      </c>
      <c r="H10150" t="s">
        <v>31591</v>
      </c>
      <c r="I10150" t="s">
        <v>8822</v>
      </c>
      <c r="J10150" t="s">
        <v>38074</v>
      </c>
      <c r="K10150" t="s">
        <v>41184</v>
      </c>
      <c r="M10150" t="s">
        <v>44469</v>
      </c>
      <c r="N10150" t="s">
        <v>45095</v>
      </c>
      <c r="O10150" t="s">
        <v>45096</v>
      </c>
      <c r="P10150">
        <v>0</v>
      </c>
      <c r="Q10150">
        <v>4</v>
      </c>
      <c r="R10150" t="s">
        <v>45107</v>
      </c>
      <c r="S10150" t="s">
        <v>45386</v>
      </c>
      <c r="T10150" t="s">
        <v>47000</v>
      </c>
      <c r="U10150" t="s">
        <v>55846</v>
      </c>
      <c r="W10150" t="s">
        <v>44469</v>
      </c>
      <c r="X10150" t="s">
        <v>45108</v>
      </c>
    </row>
    <row r="10151" spans="1:24">
      <c r="A10151">
        <f>HYPERLINK("https://www.philgeps.gov.ph/GEPSNONPILOT/Tender/SplashBidNoticeAbstractUI.aspx?menuIndex=3&amp;refID=7031830&amp;Result=3","7031830")</f>
        <v>0</v>
      </c>
      <c r="B10151" t="s">
        <v>2003</v>
      </c>
      <c r="C10151" t="s">
        <v>12876</v>
      </c>
      <c r="D10151" t="s">
        <v>18022</v>
      </c>
      <c r="E10151" t="s">
        <v>26924</v>
      </c>
      <c r="F10151" t="s">
        <v>31574</v>
      </c>
      <c r="G10151" t="s">
        <v>31582</v>
      </c>
      <c r="H10151" t="s">
        <v>31591</v>
      </c>
      <c r="I10151" t="s">
        <v>8822</v>
      </c>
      <c r="J10151" t="s">
        <v>38075</v>
      </c>
      <c r="K10151" t="s">
        <v>41200</v>
      </c>
      <c r="M10151" t="s">
        <v>43665</v>
      </c>
      <c r="N10151" t="s">
        <v>45095</v>
      </c>
      <c r="O10151" t="s">
        <v>45096</v>
      </c>
      <c r="Q10151">
        <v>34</v>
      </c>
      <c r="R10151" t="s">
        <v>45107</v>
      </c>
      <c r="S10151" t="s">
        <v>45426</v>
      </c>
      <c r="T10151" t="s">
        <v>46966</v>
      </c>
      <c r="U10151" t="s">
        <v>52971</v>
      </c>
      <c r="W10151" t="s">
        <v>43665</v>
      </c>
      <c r="X10151" t="s">
        <v>45108</v>
      </c>
    </row>
    <row r="10152" spans="1:24">
      <c r="A10152">
        <f>HYPERLINK("https://www.philgeps.gov.ph/GEPSNONPILOT/Tender/SplashBidNoticeAbstractUI.aspx?menuIndex=3&amp;refID=7031702&amp;Result=3","7031702")</f>
        <v>0</v>
      </c>
      <c r="B10152" t="s">
        <v>1822</v>
      </c>
      <c r="C10152" t="s">
        <v>12877</v>
      </c>
      <c r="D10152" t="s">
        <v>18099</v>
      </c>
      <c r="E10152" t="s">
        <v>26925</v>
      </c>
      <c r="F10152" t="s">
        <v>31574</v>
      </c>
      <c r="G10152" t="s">
        <v>31582</v>
      </c>
      <c r="H10152" t="s">
        <v>31591</v>
      </c>
      <c r="I10152" t="s">
        <v>31627</v>
      </c>
      <c r="J10152" t="s">
        <v>31727</v>
      </c>
      <c r="K10152" t="s">
        <v>41217</v>
      </c>
      <c r="M10152" t="s">
        <v>43457</v>
      </c>
      <c r="N10152" t="s">
        <v>45095</v>
      </c>
      <c r="O10152" t="s">
        <v>45096</v>
      </c>
      <c r="P10152">
        <v>0</v>
      </c>
      <c r="Q10152">
        <v>0</v>
      </c>
      <c r="R10152" t="s">
        <v>45107</v>
      </c>
      <c r="S10152" t="s">
        <v>45386</v>
      </c>
      <c r="T10152" t="s">
        <v>47076</v>
      </c>
      <c r="U10152" t="s">
        <v>52190</v>
      </c>
      <c r="W10152" t="s">
        <v>43457</v>
      </c>
      <c r="X10152" t="s">
        <v>45108</v>
      </c>
    </row>
    <row r="10153" spans="1:24">
      <c r="A10153">
        <f>HYPERLINK("https://www.philgeps.gov.ph/GEPSNONPILOT/Tender/SplashBidNoticeAbstractUI.aspx?menuIndex=3&amp;refID=7031820&amp;Result=3","7031820")</f>
        <v>0</v>
      </c>
      <c r="B10153" t="s">
        <v>1970</v>
      </c>
      <c r="C10153" t="s">
        <v>12878</v>
      </c>
      <c r="D10153" t="s">
        <v>18061</v>
      </c>
      <c r="E10153" t="s">
        <v>26926</v>
      </c>
      <c r="F10153" t="s">
        <v>31574</v>
      </c>
      <c r="G10153" t="s">
        <v>31582</v>
      </c>
      <c r="H10153" t="s">
        <v>31592</v>
      </c>
      <c r="I10153" t="s">
        <v>31609</v>
      </c>
      <c r="J10153" t="s">
        <v>38076</v>
      </c>
      <c r="K10153" t="s">
        <v>41200</v>
      </c>
      <c r="M10153" t="s">
        <v>43627</v>
      </c>
      <c r="N10153" t="s">
        <v>45095</v>
      </c>
      <c r="O10153" t="s">
        <v>45096</v>
      </c>
      <c r="P10153">
        <v>0</v>
      </c>
      <c r="Q10153">
        <v>8</v>
      </c>
      <c r="R10153" t="s">
        <v>45107</v>
      </c>
      <c r="S10153" t="s">
        <v>45386</v>
      </c>
      <c r="T10153" t="s">
        <v>47374</v>
      </c>
      <c r="U10153" t="s">
        <v>55847</v>
      </c>
      <c r="W10153" t="s">
        <v>43627</v>
      </c>
      <c r="X10153" t="s">
        <v>45108</v>
      </c>
    </row>
    <row r="10154" spans="1:24">
      <c r="A10154">
        <f>HYPERLINK("https://www.philgeps.gov.ph/GEPSNONPILOT/Tender/SplashBidNoticeAbstractUI.aspx?menuIndex=3&amp;refID=7031845&amp;Result=3","7031845")</f>
        <v>0</v>
      </c>
      <c r="B10154" t="s">
        <v>2003</v>
      </c>
      <c r="C10154" t="s">
        <v>12879</v>
      </c>
      <c r="D10154" t="s">
        <v>18022</v>
      </c>
      <c r="E10154" t="s">
        <v>26927</v>
      </c>
      <c r="F10154" t="s">
        <v>31574</v>
      </c>
      <c r="G10154" t="s">
        <v>31582</v>
      </c>
      <c r="H10154" t="s">
        <v>31591</v>
      </c>
      <c r="I10154" t="s">
        <v>8822</v>
      </c>
      <c r="J10154" t="s">
        <v>38077</v>
      </c>
      <c r="K10154" t="s">
        <v>41186</v>
      </c>
      <c r="M10154" t="s">
        <v>43665</v>
      </c>
      <c r="N10154" t="s">
        <v>45095</v>
      </c>
      <c r="O10154" t="s">
        <v>45096</v>
      </c>
      <c r="Q10154">
        <v>40</v>
      </c>
      <c r="R10154" t="s">
        <v>45107</v>
      </c>
      <c r="S10154" t="s">
        <v>45427</v>
      </c>
      <c r="T10154" t="s">
        <v>46966</v>
      </c>
      <c r="U10154" t="s">
        <v>52971</v>
      </c>
      <c r="W10154" t="s">
        <v>43665</v>
      </c>
      <c r="X10154" t="s">
        <v>45108</v>
      </c>
    </row>
    <row r="10155" spans="1:24">
      <c r="A10155">
        <f>HYPERLINK("https://www.philgeps.gov.ph/GEPSNONPILOT/Tender/SplashBidNoticeAbstractUI.aspx?menuIndex=3&amp;refID=7031844&amp;Result=3","7031844")</f>
        <v>0</v>
      </c>
      <c r="B10155" t="s">
        <v>1545</v>
      </c>
      <c r="C10155" t="s">
        <v>12880</v>
      </c>
      <c r="D10155" t="s">
        <v>18023</v>
      </c>
      <c r="E10155" t="s">
        <v>26928</v>
      </c>
      <c r="F10155" t="s">
        <v>31574</v>
      </c>
      <c r="G10155" t="s">
        <v>31582</v>
      </c>
      <c r="H10155" t="s">
        <v>31591</v>
      </c>
      <c r="I10155" t="s">
        <v>8822</v>
      </c>
      <c r="J10155" t="s">
        <v>34069</v>
      </c>
      <c r="K10155" t="s">
        <v>41410</v>
      </c>
      <c r="M10155" t="s">
        <v>43141</v>
      </c>
      <c r="N10155" t="s">
        <v>45095</v>
      </c>
      <c r="O10155" t="s">
        <v>45096</v>
      </c>
      <c r="P10155">
        <v>0</v>
      </c>
      <c r="Q10155">
        <v>28</v>
      </c>
      <c r="R10155" t="s">
        <v>45107</v>
      </c>
      <c r="S10155" t="s">
        <v>45386</v>
      </c>
      <c r="T10155" t="s">
        <v>46921</v>
      </c>
      <c r="U10155" t="s">
        <v>51303</v>
      </c>
      <c r="W10155" t="s">
        <v>43141</v>
      </c>
      <c r="X10155" t="s">
        <v>45108</v>
      </c>
    </row>
    <row r="10156" spans="1:24">
      <c r="A10156">
        <f>HYPERLINK("https://www.philgeps.gov.ph/GEPSNONPILOT/Tender/SplashBidNoticeAbstractUI.aspx?menuIndex=3&amp;refID=7031710&amp;Result=3","7031710")</f>
        <v>0</v>
      </c>
      <c r="B10156" t="s">
        <v>1822</v>
      </c>
      <c r="C10156" t="s">
        <v>12881</v>
      </c>
      <c r="D10156" t="s">
        <v>18099</v>
      </c>
      <c r="E10156" t="s">
        <v>26929</v>
      </c>
      <c r="F10156" t="s">
        <v>31574</v>
      </c>
      <c r="G10156" t="s">
        <v>31582</v>
      </c>
      <c r="H10156" t="s">
        <v>31591</v>
      </c>
      <c r="I10156" t="s">
        <v>31627</v>
      </c>
      <c r="J10156" t="s">
        <v>31727</v>
      </c>
      <c r="K10156" t="s">
        <v>41217</v>
      </c>
      <c r="M10156" t="s">
        <v>43457</v>
      </c>
      <c r="N10156" t="s">
        <v>45095</v>
      </c>
      <c r="O10156" t="s">
        <v>45096</v>
      </c>
      <c r="P10156">
        <v>0</v>
      </c>
      <c r="Q10156">
        <v>0</v>
      </c>
      <c r="R10156" t="s">
        <v>45107</v>
      </c>
      <c r="S10156" t="s">
        <v>45386</v>
      </c>
      <c r="T10156" t="s">
        <v>47076</v>
      </c>
      <c r="U10156" t="s">
        <v>52190</v>
      </c>
      <c r="W10156" t="s">
        <v>43457</v>
      </c>
      <c r="X10156" t="s">
        <v>45108</v>
      </c>
    </row>
    <row r="10157" spans="1:24">
      <c r="A10157">
        <f>HYPERLINK("https://www.philgeps.gov.ph/GEPSNONPILOT/Tender/SplashBidNoticeAbstractUI.aspx?menuIndex=3&amp;refID=7031812&amp;Result=3","7031812")</f>
        <v>0</v>
      </c>
      <c r="B10157" t="s">
        <v>2150</v>
      </c>
      <c r="C10157" t="s">
        <v>12882</v>
      </c>
      <c r="D10157" t="s">
        <v>18062</v>
      </c>
      <c r="E10157" t="s">
        <v>26930</v>
      </c>
      <c r="F10157" t="s">
        <v>31574</v>
      </c>
      <c r="G10157" t="s">
        <v>31583</v>
      </c>
      <c r="H10157" t="s">
        <v>31590</v>
      </c>
      <c r="I10157" t="s">
        <v>7185</v>
      </c>
      <c r="J10157" t="s">
        <v>38078</v>
      </c>
      <c r="K10157" t="s">
        <v>41193</v>
      </c>
      <c r="M10157" t="s">
        <v>43832</v>
      </c>
      <c r="N10157" t="s">
        <v>45095</v>
      </c>
      <c r="O10157" t="s">
        <v>45096</v>
      </c>
      <c r="Q10157">
        <v>2</v>
      </c>
      <c r="R10157" t="s">
        <v>45107</v>
      </c>
      <c r="S10157" t="s">
        <v>45428</v>
      </c>
      <c r="T10157" t="s">
        <v>47183</v>
      </c>
      <c r="U10157" t="s">
        <v>55848</v>
      </c>
      <c r="W10157" t="s">
        <v>43832</v>
      </c>
      <c r="X10157" t="s">
        <v>45108</v>
      </c>
    </row>
    <row r="10158" spans="1:24">
      <c r="A10158">
        <f>HYPERLINK("https://www.philgeps.gov.ph/GEPSNONPILOT/Tender/SplashBidNoticeAbstractUI.aspx?menuIndex=3&amp;refID=7031808&amp;Result=3","7031808")</f>
        <v>0</v>
      </c>
      <c r="B10158" t="s">
        <v>2699</v>
      </c>
      <c r="C10158" t="s">
        <v>12883</v>
      </c>
      <c r="D10158" t="s">
        <v>18039</v>
      </c>
      <c r="E10158" t="s">
        <v>19894</v>
      </c>
      <c r="F10158" t="s">
        <v>31574</v>
      </c>
      <c r="G10158" t="s">
        <v>31582</v>
      </c>
      <c r="H10158" t="s">
        <v>31590</v>
      </c>
      <c r="I10158" t="s">
        <v>6800</v>
      </c>
      <c r="J10158" t="s">
        <v>37906</v>
      </c>
      <c r="K10158" t="s">
        <v>41186</v>
      </c>
      <c r="M10158" t="s">
        <v>44467</v>
      </c>
      <c r="N10158" t="s">
        <v>45095</v>
      </c>
      <c r="O10158" t="s">
        <v>45096</v>
      </c>
      <c r="P10158">
        <v>0</v>
      </c>
      <c r="Q10158">
        <v>5</v>
      </c>
      <c r="R10158" t="s">
        <v>45107</v>
      </c>
      <c r="S10158" t="s">
        <v>45386</v>
      </c>
      <c r="T10158" t="s">
        <v>47010</v>
      </c>
      <c r="U10158" t="s">
        <v>55849</v>
      </c>
      <c r="W10158" t="s">
        <v>44467</v>
      </c>
      <c r="X10158" t="s">
        <v>45108</v>
      </c>
    </row>
    <row r="10159" spans="1:24">
      <c r="A10159">
        <f>HYPERLINK("https://www.philgeps.gov.ph/GEPSNONPILOT/Tender/SplashBidNoticeAbstractUI.aspx?menuIndex=3&amp;refID=7031816&amp;Result=3","7031816")</f>
        <v>0</v>
      </c>
      <c r="B10159" t="s">
        <v>2699</v>
      </c>
      <c r="C10159" t="s">
        <v>12884</v>
      </c>
      <c r="D10159" t="s">
        <v>18039</v>
      </c>
      <c r="E10159" t="s">
        <v>20688</v>
      </c>
      <c r="F10159" t="s">
        <v>31574</v>
      </c>
      <c r="G10159" t="s">
        <v>31582</v>
      </c>
      <c r="H10159" t="s">
        <v>31590</v>
      </c>
      <c r="I10159" t="s">
        <v>31608</v>
      </c>
      <c r="J10159" t="s">
        <v>32287</v>
      </c>
      <c r="K10159" t="s">
        <v>41186</v>
      </c>
      <c r="M10159" t="s">
        <v>44467</v>
      </c>
      <c r="N10159" t="s">
        <v>45095</v>
      </c>
      <c r="O10159" t="s">
        <v>45096</v>
      </c>
      <c r="P10159">
        <v>0</v>
      </c>
      <c r="Q10159">
        <v>6</v>
      </c>
      <c r="R10159" t="s">
        <v>45107</v>
      </c>
      <c r="S10159" t="s">
        <v>45386</v>
      </c>
      <c r="T10159" t="s">
        <v>47010</v>
      </c>
      <c r="U10159" t="s">
        <v>55850</v>
      </c>
      <c r="W10159" t="s">
        <v>44467</v>
      </c>
      <c r="X10159" t="s">
        <v>45108</v>
      </c>
    </row>
    <row r="10160" spans="1:24">
      <c r="A10160">
        <f>HYPERLINK("https://www.philgeps.gov.ph/GEPSNONPILOT/Tender/SplashBidNoticeAbstractUI.aspx?menuIndex=3&amp;refID=7031859&amp;Result=3","7031859")</f>
        <v>0</v>
      </c>
      <c r="B10160" t="s">
        <v>1545</v>
      </c>
      <c r="C10160" t="s">
        <v>12885</v>
      </c>
      <c r="D10160" t="s">
        <v>18023</v>
      </c>
      <c r="E10160" t="s">
        <v>26931</v>
      </c>
      <c r="F10160" t="s">
        <v>31574</v>
      </c>
      <c r="G10160" t="s">
        <v>31582</v>
      </c>
      <c r="H10160" t="s">
        <v>31591</v>
      </c>
      <c r="I10160" t="s">
        <v>8822</v>
      </c>
      <c r="J10160" t="s">
        <v>33445</v>
      </c>
      <c r="K10160" t="s">
        <v>41411</v>
      </c>
      <c r="M10160" t="s">
        <v>43141</v>
      </c>
      <c r="N10160" t="s">
        <v>45095</v>
      </c>
      <c r="O10160" t="s">
        <v>45096</v>
      </c>
      <c r="P10160">
        <v>0</v>
      </c>
      <c r="Q10160">
        <v>30</v>
      </c>
      <c r="R10160" t="s">
        <v>45107</v>
      </c>
      <c r="S10160" t="s">
        <v>45386</v>
      </c>
      <c r="T10160" t="s">
        <v>46921</v>
      </c>
      <c r="U10160" t="s">
        <v>51303</v>
      </c>
      <c r="W10160" t="s">
        <v>43141</v>
      </c>
      <c r="X10160" t="s">
        <v>45108</v>
      </c>
    </row>
    <row r="10161" spans="1:24">
      <c r="A10161">
        <f>HYPERLINK("https://www.philgeps.gov.ph/GEPSNONPILOT/Tender/SplashBidNoticeAbstractUI.aspx?menuIndex=3&amp;refID=7031826&amp;Result=3","7031826")</f>
        <v>0</v>
      </c>
      <c r="B10161" t="s">
        <v>2699</v>
      </c>
      <c r="C10161" t="s">
        <v>10163</v>
      </c>
      <c r="D10161" t="s">
        <v>18039</v>
      </c>
      <c r="E10161" t="s">
        <v>18191</v>
      </c>
      <c r="F10161" t="s">
        <v>31574</v>
      </c>
      <c r="G10161" t="s">
        <v>31582</v>
      </c>
      <c r="H10161" t="s">
        <v>31591</v>
      </c>
      <c r="I10161" t="s">
        <v>8822</v>
      </c>
      <c r="J10161" t="s">
        <v>31781</v>
      </c>
      <c r="K10161" t="s">
        <v>41198</v>
      </c>
      <c r="M10161" t="s">
        <v>44467</v>
      </c>
      <c r="N10161" t="s">
        <v>45095</v>
      </c>
      <c r="O10161" t="s">
        <v>45096</v>
      </c>
      <c r="P10161">
        <v>0</v>
      </c>
      <c r="Q10161">
        <v>0</v>
      </c>
      <c r="R10161" t="s">
        <v>45107</v>
      </c>
      <c r="S10161" t="s">
        <v>45386</v>
      </c>
      <c r="T10161" t="s">
        <v>47010</v>
      </c>
      <c r="U10161" t="s">
        <v>55851</v>
      </c>
      <c r="W10161" t="s">
        <v>44467</v>
      </c>
      <c r="X10161" t="s">
        <v>45108</v>
      </c>
    </row>
    <row r="10162" spans="1:24">
      <c r="A10162">
        <f>HYPERLINK("https://www.philgeps.gov.ph/GEPSNONPILOT/Tender/SplashBidNoticeAbstractUI.aspx?menuIndex=3&amp;refID=7031805&amp;Result=3","7031805")</f>
        <v>0</v>
      </c>
      <c r="B10162" t="s">
        <v>862</v>
      </c>
      <c r="C10162" t="s">
        <v>12886</v>
      </c>
      <c r="D10162" t="s">
        <v>18071</v>
      </c>
      <c r="E10162" t="s">
        <v>26932</v>
      </c>
      <c r="F10162" t="s">
        <v>31574</v>
      </c>
      <c r="G10162" t="s">
        <v>31582</v>
      </c>
      <c r="H10162" t="s">
        <v>31590</v>
      </c>
      <c r="I10162" t="s">
        <v>4046</v>
      </c>
      <c r="J10162" t="s">
        <v>38079</v>
      </c>
      <c r="K10162" t="s">
        <v>41186</v>
      </c>
      <c r="M10162" t="s">
        <v>42382</v>
      </c>
      <c r="N10162" t="s">
        <v>45095</v>
      </c>
      <c r="O10162" t="s">
        <v>45096</v>
      </c>
      <c r="P10162">
        <v>0</v>
      </c>
      <c r="Q10162">
        <v>0</v>
      </c>
      <c r="R10162" t="s">
        <v>45107</v>
      </c>
      <c r="S10162" t="s">
        <v>45386</v>
      </c>
      <c r="T10162" t="s">
        <v>47183</v>
      </c>
      <c r="U10162" t="s">
        <v>49325</v>
      </c>
      <c r="W10162" t="s">
        <v>42382</v>
      </c>
      <c r="X10162" t="s">
        <v>45108</v>
      </c>
    </row>
    <row r="10163" spans="1:24">
      <c r="A10163">
        <f>HYPERLINK("https://www.philgeps.gov.ph/GEPSNONPILOT/Tender/SplashBidNoticeAbstractUI.aspx?menuIndex=3&amp;refID=7031858&amp;Result=3","7031858")</f>
        <v>0</v>
      </c>
      <c r="B10163" t="s">
        <v>1623</v>
      </c>
      <c r="C10163" t="s">
        <v>12887</v>
      </c>
      <c r="D10163" t="s">
        <v>18045</v>
      </c>
      <c r="E10163" t="s">
        <v>26933</v>
      </c>
      <c r="F10163" t="s">
        <v>31574</v>
      </c>
      <c r="G10163" t="s">
        <v>31582</v>
      </c>
      <c r="H10163" t="s">
        <v>31590</v>
      </c>
      <c r="I10163" t="s">
        <v>7185</v>
      </c>
      <c r="J10163" t="s">
        <v>31935</v>
      </c>
      <c r="K10163" t="s">
        <v>41186</v>
      </c>
      <c r="M10163" t="s">
        <v>43230</v>
      </c>
      <c r="N10163" t="s">
        <v>45095</v>
      </c>
      <c r="O10163" t="s">
        <v>45096</v>
      </c>
      <c r="P10163">
        <v>0</v>
      </c>
      <c r="Q10163">
        <v>3</v>
      </c>
      <c r="R10163" t="s">
        <v>45107</v>
      </c>
      <c r="S10163" t="s">
        <v>45386</v>
      </c>
      <c r="T10163" t="s">
        <v>47359</v>
      </c>
      <c r="U10163" t="s">
        <v>55852</v>
      </c>
      <c r="W10163" t="s">
        <v>43230</v>
      </c>
      <c r="X10163" t="s">
        <v>45108</v>
      </c>
    </row>
    <row r="10164" spans="1:24">
      <c r="A10164">
        <f>HYPERLINK("https://www.philgeps.gov.ph/GEPSNONPILOT/Tender/SplashBidNoticeAbstractUI.aspx?menuIndex=3&amp;refID=7031868&amp;Result=3","7031868")</f>
        <v>0</v>
      </c>
      <c r="B10164" t="s">
        <v>1623</v>
      </c>
      <c r="C10164" t="s">
        <v>12888</v>
      </c>
      <c r="D10164" t="s">
        <v>18045</v>
      </c>
      <c r="E10164" t="s">
        <v>26934</v>
      </c>
      <c r="F10164" t="s">
        <v>31574</v>
      </c>
      <c r="G10164" t="s">
        <v>31582</v>
      </c>
      <c r="H10164" t="s">
        <v>31590</v>
      </c>
      <c r="I10164" t="s">
        <v>7185</v>
      </c>
      <c r="J10164" t="s">
        <v>32026</v>
      </c>
      <c r="K10164" t="s">
        <v>41186</v>
      </c>
      <c r="M10164" t="s">
        <v>43230</v>
      </c>
      <c r="N10164" t="s">
        <v>45095</v>
      </c>
      <c r="O10164" t="s">
        <v>45096</v>
      </c>
      <c r="P10164">
        <v>0</v>
      </c>
      <c r="Q10164">
        <v>3</v>
      </c>
      <c r="R10164" t="s">
        <v>45107</v>
      </c>
      <c r="S10164" t="s">
        <v>45386</v>
      </c>
      <c r="T10164" t="s">
        <v>47359</v>
      </c>
      <c r="U10164" t="s">
        <v>55853</v>
      </c>
      <c r="W10164" t="s">
        <v>43230</v>
      </c>
      <c r="X10164" t="s">
        <v>45108</v>
      </c>
    </row>
    <row r="10165" spans="1:24">
      <c r="A10165">
        <f>HYPERLINK("https://www.philgeps.gov.ph/GEPSNONPILOT/Tender/SplashBidNoticeAbstractUI.aspx?menuIndex=3&amp;refID=7031871&amp;Result=3","7031871")</f>
        <v>0</v>
      </c>
      <c r="B10165" t="s">
        <v>1545</v>
      </c>
      <c r="C10165" t="s">
        <v>12889</v>
      </c>
      <c r="D10165" t="s">
        <v>18023</v>
      </c>
      <c r="E10165" t="s">
        <v>26935</v>
      </c>
      <c r="F10165" t="s">
        <v>31574</v>
      </c>
      <c r="G10165" t="s">
        <v>31582</v>
      </c>
      <c r="H10165" t="s">
        <v>31591</v>
      </c>
      <c r="I10165" t="s">
        <v>8822</v>
      </c>
      <c r="J10165" t="s">
        <v>34596</v>
      </c>
      <c r="K10165" t="s">
        <v>41335</v>
      </c>
      <c r="M10165" t="s">
        <v>43141</v>
      </c>
      <c r="N10165" t="s">
        <v>45095</v>
      </c>
      <c r="O10165" t="s">
        <v>45096</v>
      </c>
      <c r="P10165">
        <v>0</v>
      </c>
      <c r="Q10165">
        <v>23</v>
      </c>
      <c r="R10165" t="s">
        <v>45107</v>
      </c>
      <c r="S10165" t="s">
        <v>45386</v>
      </c>
      <c r="T10165" t="s">
        <v>46921</v>
      </c>
      <c r="U10165" t="s">
        <v>51303</v>
      </c>
      <c r="W10165" t="s">
        <v>43141</v>
      </c>
      <c r="X10165" t="s">
        <v>45108</v>
      </c>
    </row>
    <row r="10166" spans="1:24">
      <c r="A10166">
        <f>HYPERLINK("https://www.philgeps.gov.ph/GEPSNONPILOT/Tender/SplashBidNoticeAbstractUI.aspx?menuIndex=3&amp;refID=7031866&amp;Result=3","7031866")</f>
        <v>0</v>
      </c>
      <c r="B10166" t="s">
        <v>1545</v>
      </c>
      <c r="C10166" t="s">
        <v>12890</v>
      </c>
      <c r="D10166" t="s">
        <v>18023</v>
      </c>
      <c r="E10166" t="s">
        <v>26936</v>
      </c>
      <c r="F10166" t="s">
        <v>31574</v>
      </c>
      <c r="G10166" t="s">
        <v>31582</v>
      </c>
      <c r="H10166" t="s">
        <v>31591</v>
      </c>
      <c r="I10166" t="s">
        <v>8822</v>
      </c>
      <c r="J10166" t="s">
        <v>34596</v>
      </c>
      <c r="K10166" t="s">
        <v>41335</v>
      </c>
      <c r="M10166" t="s">
        <v>43141</v>
      </c>
      <c r="N10166" t="s">
        <v>45095</v>
      </c>
      <c r="O10166" t="s">
        <v>45096</v>
      </c>
      <c r="P10166">
        <v>0</v>
      </c>
      <c r="Q10166">
        <v>25</v>
      </c>
      <c r="R10166" t="s">
        <v>45107</v>
      </c>
      <c r="S10166" t="s">
        <v>45386</v>
      </c>
      <c r="T10166" t="s">
        <v>46921</v>
      </c>
      <c r="U10166" t="s">
        <v>51303</v>
      </c>
      <c r="W10166" t="s">
        <v>43141</v>
      </c>
      <c r="X10166" t="s">
        <v>45108</v>
      </c>
    </row>
    <row r="10167" spans="1:24">
      <c r="A10167">
        <f>HYPERLINK("https://www.philgeps.gov.ph/GEPSNONPILOT/Tender/SplashBidNoticeAbstractUI.aspx?menuIndex=3&amp;refID=7031863&amp;Result=3","7031863")</f>
        <v>0</v>
      </c>
      <c r="B10167" t="s">
        <v>540</v>
      </c>
      <c r="C10167" t="s">
        <v>12891</v>
      </c>
      <c r="D10167" t="s">
        <v>18022</v>
      </c>
      <c r="E10167" t="s">
        <v>26937</v>
      </c>
      <c r="F10167" t="s">
        <v>31574</v>
      </c>
      <c r="G10167" t="s">
        <v>31585</v>
      </c>
      <c r="H10167" t="s">
        <v>31591</v>
      </c>
      <c r="I10167" t="s">
        <v>8822</v>
      </c>
      <c r="J10167" t="s">
        <v>38080</v>
      </c>
      <c r="K10167" t="s">
        <v>41200</v>
      </c>
      <c r="M10167" t="s">
        <v>44470</v>
      </c>
      <c r="N10167" t="s">
        <v>45095</v>
      </c>
      <c r="O10167" t="s">
        <v>45096</v>
      </c>
      <c r="P10167">
        <v>0</v>
      </c>
      <c r="Q10167">
        <v>1</v>
      </c>
      <c r="R10167" t="s">
        <v>45107</v>
      </c>
      <c r="S10167" t="s">
        <v>45386</v>
      </c>
      <c r="T10167" t="s">
        <v>47050</v>
      </c>
      <c r="U10167" t="s">
        <v>55854</v>
      </c>
      <c r="W10167" t="s">
        <v>44470</v>
      </c>
      <c r="X10167" t="s">
        <v>45108</v>
      </c>
    </row>
    <row r="10168" spans="1:24">
      <c r="A10168">
        <f>HYPERLINK("https://www.philgeps.gov.ph/GEPSNONPILOT/Tender/SplashBidNoticeAbstractUI.aspx?menuIndex=3&amp;refID=7031870&amp;Result=3","7031870")</f>
        <v>0</v>
      </c>
      <c r="B10168" t="s">
        <v>1623</v>
      </c>
      <c r="C10168" t="s">
        <v>12892</v>
      </c>
      <c r="D10168" t="s">
        <v>18045</v>
      </c>
      <c r="E10168" t="s">
        <v>26938</v>
      </c>
      <c r="F10168" t="s">
        <v>31574</v>
      </c>
      <c r="G10168" t="s">
        <v>31582</v>
      </c>
      <c r="H10168" t="s">
        <v>31590</v>
      </c>
      <c r="I10168" t="s">
        <v>31620</v>
      </c>
      <c r="J10168" t="s">
        <v>31890</v>
      </c>
      <c r="K10168" t="s">
        <v>41186</v>
      </c>
      <c r="M10168" t="s">
        <v>43230</v>
      </c>
      <c r="N10168" t="s">
        <v>45095</v>
      </c>
      <c r="O10168" t="s">
        <v>45096</v>
      </c>
      <c r="P10168">
        <v>0</v>
      </c>
      <c r="Q10168">
        <v>11</v>
      </c>
      <c r="R10168" t="s">
        <v>45107</v>
      </c>
      <c r="S10168" t="s">
        <v>45386</v>
      </c>
      <c r="T10168" t="s">
        <v>47359</v>
      </c>
      <c r="U10168" t="s">
        <v>55855</v>
      </c>
      <c r="W10168" t="s">
        <v>43230</v>
      </c>
      <c r="X10168" t="s">
        <v>45108</v>
      </c>
    </row>
    <row r="10169" spans="1:24">
      <c r="A10169">
        <f>HYPERLINK("https://www.philgeps.gov.ph/GEPSNONPILOT/Tender/SplashBidNoticeAbstractUI.aspx?menuIndex=3&amp;refID=7031864&amp;Result=3","7031864")</f>
        <v>0</v>
      </c>
      <c r="B10169" t="s">
        <v>2003</v>
      </c>
      <c r="C10169" t="s">
        <v>12893</v>
      </c>
      <c r="D10169" t="s">
        <v>18022</v>
      </c>
      <c r="E10169" t="s">
        <v>26939</v>
      </c>
      <c r="F10169" t="s">
        <v>31574</v>
      </c>
      <c r="G10169" t="s">
        <v>31582</v>
      </c>
      <c r="H10169" t="s">
        <v>31591</v>
      </c>
      <c r="I10169" t="s">
        <v>8822</v>
      </c>
      <c r="J10169" t="s">
        <v>38081</v>
      </c>
      <c r="K10169" t="s">
        <v>41186</v>
      </c>
      <c r="M10169" t="s">
        <v>43665</v>
      </c>
      <c r="N10169" t="s">
        <v>45095</v>
      </c>
      <c r="O10169" t="s">
        <v>45096</v>
      </c>
      <c r="Q10169">
        <v>32</v>
      </c>
      <c r="R10169" t="s">
        <v>45107</v>
      </c>
      <c r="S10169" t="s">
        <v>45429</v>
      </c>
      <c r="T10169" t="s">
        <v>46966</v>
      </c>
      <c r="U10169" t="s">
        <v>52971</v>
      </c>
      <c r="W10169" t="s">
        <v>43665</v>
      </c>
      <c r="X10169" t="s">
        <v>45108</v>
      </c>
    </row>
    <row r="10170" spans="1:24">
      <c r="A10170">
        <f>HYPERLINK("https://www.philgeps.gov.ph/GEPSNONPILOT/Tender/SplashBidNoticeAbstractUI.aspx?menuIndex=3&amp;refID=7031874&amp;Result=3","7031874")</f>
        <v>0</v>
      </c>
      <c r="B10170" t="s">
        <v>1623</v>
      </c>
      <c r="C10170" t="s">
        <v>12894</v>
      </c>
      <c r="D10170" t="s">
        <v>18045</v>
      </c>
      <c r="E10170" t="s">
        <v>26940</v>
      </c>
      <c r="F10170" t="s">
        <v>31574</v>
      </c>
      <c r="G10170" t="s">
        <v>31582</v>
      </c>
      <c r="H10170" t="s">
        <v>31590</v>
      </c>
      <c r="I10170" t="s">
        <v>31620</v>
      </c>
      <c r="J10170" t="s">
        <v>38082</v>
      </c>
      <c r="K10170" t="s">
        <v>41186</v>
      </c>
      <c r="M10170" t="s">
        <v>43230</v>
      </c>
      <c r="N10170" t="s">
        <v>45095</v>
      </c>
      <c r="O10170" t="s">
        <v>45096</v>
      </c>
      <c r="P10170">
        <v>0</v>
      </c>
      <c r="Q10170">
        <v>10</v>
      </c>
      <c r="R10170" t="s">
        <v>45107</v>
      </c>
      <c r="S10170" t="s">
        <v>45386</v>
      </c>
      <c r="T10170" t="s">
        <v>47359</v>
      </c>
      <c r="U10170" t="s">
        <v>55856</v>
      </c>
      <c r="W10170" t="s">
        <v>43230</v>
      </c>
      <c r="X10170" t="s">
        <v>45108</v>
      </c>
    </row>
    <row r="10171" spans="1:24">
      <c r="A10171">
        <f>HYPERLINK("https://www.philgeps.gov.ph/GEPSNONPILOT/Tender/SplashBidNoticeAbstractUI.aspx?menuIndex=3&amp;refID=7031873&amp;Result=3","7031873")</f>
        <v>0</v>
      </c>
      <c r="B10171" t="s">
        <v>1132</v>
      </c>
      <c r="C10171" t="s">
        <v>12895</v>
      </c>
      <c r="D10171" t="s">
        <v>18075</v>
      </c>
      <c r="E10171" t="s">
        <v>26941</v>
      </c>
      <c r="F10171" t="s">
        <v>31574</v>
      </c>
      <c r="G10171" t="s">
        <v>31582</v>
      </c>
      <c r="H10171" t="s">
        <v>31591</v>
      </c>
      <c r="I10171" t="s">
        <v>8822</v>
      </c>
      <c r="J10171" t="s">
        <v>38083</v>
      </c>
      <c r="K10171" t="s">
        <v>41412</v>
      </c>
      <c r="M10171" t="s">
        <v>42683</v>
      </c>
      <c r="N10171" t="s">
        <v>45095</v>
      </c>
      <c r="O10171" t="s">
        <v>45096</v>
      </c>
      <c r="P10171">
        <v>0</v>
      </c>
      <c r="Q10171">
        <v>1</v>
      </c>
      <c r="R10171" t="s">
        <v>45107</v>
      </c>
      <c r="S10171" t="s">
        <v>45386</v>
      </c>
      <c r="T10171" t="s">
        <v>46995</v>
      </c>
      <c r="U10171" t="s">
        <v>55857</v>
      </c>
      <c r="W10171" t="s">
        <v>42683</v>
      </c>
      <c r="X10171" t="s">
        <v>45108</v>
      </c>
    </row>
    <row r="10172" spans="1:24">
      <c r="A10172">
        <f>HYPERLINK("https://www.philgeps.gov.ph/GEPSNONPILOT/Tender/SplashBidNoticeAbstractUI.aspx?menuIndex=3&amp;refID=7031888&amp;Result=3","7031888")</f>
        <v>0</v>
      </c>
      <c r="B10172" t="s">
        <v>2701</v>
      </c>
      <c r="C10172" t="s">
        <v>12896</v>
      </c>
      <c r="D10172" t="s">
        <v>18039</v>
      </c>
      <c r="E10172" t="s">
        <v>19792</v>
      </c>
      <c r="F10172" t="s">
        <v>31574</v>
      </c>
      <c r="G10172" t="s">
        <v>31582</v>
      </c>
      <c r="H10172" t="s">
        <v>31591</v>
      </c>
      <c r="I10172" t="s">
        <v>8822</v>
      </c>
      <c r="J10172" t="s">
        <v>31727</v>
      </c>
      <c r="K10172" t="s">
        <v>41186</v>
      </c>
      <c r="M10172" t="s">
        <v>44471</v>
      </c>
      <c r="N10172" t="s">
        <v>45095</v>
      </c>
      <c r="O10172" t="s">
        <v>45096</v>
      </c>
      <c r="P10172">
        <v>0</v>
      </c>
      <c r="Q10172">
        <v>0</v>
      </c>
      <c r="R10172" t="s">
        <v>45107</v>
      </c>
      <c r="S10172" t="s">
        <v>45386</v>
      </c>
      <c r="T10172" t="s">
        <v>47375</v>
      </c>
      <c r="U10172" t="s">
        <v>55858</v>
      </c>
      <c r="V10172" t="s">
        <v>60916</v>
      </c>
      <c r="W10172" t="s">
        <v>44471</v>
      </c>
      <c r="X10172" t="s">
        <v>45108</v>
      </c>
    </row>
    <row r="10173" spans="1:24">
      <c r="A10173">
        <f>HYPERLINK("https://www.philgeps.gov.ph/GEPSNONPILOT/Tender/SplashBidNoticeAbstractUI.aspx?menuIndex=3&amp;refID=7031892&amp;Result=3","7031892")</f>
        <v>0</v>
      </c>
      <c r="B10173" t="s">
        <v>2003</v>
      </c>
      <c r="C10173" t="s">
        <v>12897</v>
      </c>
      <c r="D10173" t="s">
        <v>18022</v>
      </c>
      <c r="E10173" t="s">
        <v>26942</v>
      </c>
      <c r="F10173" t="s">
        <v>31574</v>
      </c>
      <c r="G10173" t="s">
        <v>31582</v>
      </c>
      <c r="H10173" t="s">
        <v>31591</v>
      </c>
      <c r="I10173" t="s">
        <v>8822</v>
      </c>
      <c r="J10173" t="s">
        <v>38084</v>
      </c>
      <c r="K10173" t="s">
        <v>41186</v>
      </c>
      <c r="M10173" t="s">
        <v>43665</v>
      </c>
      <c r="N10173" t="s">
        <v>45095</v>
      </c>
      <c r="O10173" t="s">
        <v>45096</v>
      </c>
      <c r="Q10173">
        <v>33</v>
      </c>
      <c r="R10173" t="s">
        <v>45107</v>
      </c>
      <c r="S10173" t="s">
        <v>45430</v>
      </c>
      <c r="T10173" t="s">
        <v>46966</v>
      </c>
      <c r="U10173" t="s">
        <v>52971</v>
      </c>
      <c r="W10173" t="s">
        <v>43665</v>
      </c>
      <c r="X10173" t="s">
        <v>45108</v>
      </c>
    </row>
    <row r="10174" spans="1:24">
      <c r="A10174">
        <f>HYPERLINK("https://www.philgeps.gov.ph/GEPSNONPILOT/Tender/SplashBidNoticeAbstractUI.aspx?menuIndex=3&amp;refID=7031887&amp;Result=3","7031887")</f>
        <v>0</v>
      </c>
      <c r="B10174" t="s">
        <v>2003</v>
      </c>
      <c r="C10174" t="s">
        <v>12898</v>
      </c>
      <c r="E10174" t="s">
        <v>26943</v>
      </c>
      <c r="F10174" t="s">
        <v>31574</v>
      </c>
      <c r="G10174" t="s">
        <v>31582</v>
      </c>
      <c r="H10174" t="s">
        <v>31591</v>
      </c>
      <c r="I10174" t="s">
        <v>8822</v>
      </c>
      <c r="J10174" t="s">
        <v>38085</v>
      </c>
      <c r="K10174" t="s">
        <v>41186</v>
      </c>
      <c r="M10174" t="s">
        <v>43665</v>
      </c>
      <c r="N10174" t="s">
        <v>45095</v>
      </c>
      <c r="O10174" t="s">
        <v>45096</v>
      </c>
      <c r="Q10174">
        <v>40</v>
      </c>
      <c r="R10174" t="s">
        <v>45107</v>
      </c>
      <c r="S10174" t="s">
        <v>45431</v>
      </c>
      <c r="T10174" t="s">
        <v>46966</v>
      </c>
      <c r="U10174" t="s">
        <v>52971</v>
      </c>
      <c r="W10174" t="s">
        <v>43665</v>
      </c>
      <c r="X10174" t="s">
        <v>45108</v>
      </c>
    </row>
    <row r="10175" spans="1:24">
      <c r="A10175">
        <f>HYPERLINK("https://www.philgeps.gov.ph/GEPSNONPILOT/Tender/SplashBidNoticeAbstractUI.aspx?menuIndex=3&amp;refID=7031885&amp;Result=3","7031885")</f>
        <v>0</v>
      </c>
      <c r="B10175" t="s">
        <v>2003</v>
      </c>
      <c r="C10175" t="s">
        <v>12899</v>
      </c>
      <c r="D10175" t="s">
        <v>18022</v>
      </c>
      <c r="E10175" t="s">
        <v>26944</v>
      </c>
      <c r="F10175" t="s">
        <v>31574</v>
      </c>
      <c r="G10175" t="s">
        <v>31582</v>
      </c>
      <c r="H10175" t="s">
        <v>31591</v>
      </c>
      <c r="I10175" t="s">
        <v>8822</v>
      </c>
      <c r="J10175" t="s">
        <v>38086</v>
      </c>
      <c r="K10175" t="s">
        <v>41192</v>
      </c>
      <c r="M10175" t="s">
        <v>43665</v>
      </c>
      <c r="N10175" t="s">
        <v>45095</v>
      </c>
      <c r="O10175" t="s">
        <v>45096</v>
      </c>
      <c r="Q10175">
        <v>23</v>
      </c>
      <c r="R10175" t="s">
        <v>45107</v>
      </c>
      <c r="S10175" t="s">
        <v>45432</v>
      </c>
      <c r="T10175" t="s">
        <v>46966</v>
      </c>
      <c r="U10175" t="s">
        <v>52971</v>
      </c>
      <c r="W10175" t="s">
        <v>43665</v>
      </c>
      <c r="X10175" t="s">
        <v>45108</v>
      </c>
    </row>
    <row r="10176" spans="1:24">
      <c r="A10176">
        <f>HYPERLINK("https://www.philgeps.gov.ph/GEPSNONPILOT/Tender/SplashBidNoticeAbstractUI.aspx?menuIndex=3&amp;refID=7031875&amp;Result=3","7031875")</f>
        <v>0</v>
      </c>
      <c r="B10176" t="s">
        <v>2701</v>
      </c>
      <c r="C10176" t="s">
        <v>12900</v>
      </c>
      <c r="D10176" t="s">
        <v>18039</v>
      </c>
      <c r="E10176" t="s">
        <v>20111</v>
      </c>
      <c r="F10176" t="s">
        <v>31574</v>
      </c>
      <c r="G10176" t="s">
        <v>31582</v>
      </c>
      <c r="H10176" t="s">
        <v>31591</v>
      </c>
      <c r="I10176" t="s">
        <v>8822</v>
      </c>
      <c r="J10176" t="s">
        <v>31727</v>
      </c>
      <c r="K10176" t="s">
        <v>41186</v>
      </c>
      <c r="M10176" t="s">
        <v>44471</v>
      </c>
      <c r="N10176" t="s">
        <v>45095</v>
      </c>
      <c r="O10176" t="s">
        <v>45096</v>
      </c>
      <c r="P10176">
        <v>0</v>
      </c>
      <c r="Q10176">
        <v>0</v>
      </c>
      <c r="R10176" t="s">
        <v>45107</v>
      </c>
      <c r="S10176" t="s">
        <v>45386</v>
      </c>
      <c r="T10176" t="s">
        <v>47375</v>
      </c>
      <c r="U10176" t="s">
        <v>55859</v>
      </c>
      <c r="V10176" t="s">
        <v>55859</v>
      </c>
      <c r="W10176" t="s">
        <v>44471</v>
      </c>
      <c r="X10176" t="s">
        <v>45108</v>
      </c>
    </row>
    <row r="10177" spans="1:24">
      <c r="A10177">
        <f>HYPERLINK("https://www.philgeps.gov.ph/GEPSNONPILOT/Tender/SplashBidNoticeAbstractUI.aspx?menuIndex=3&amp;refID=7031876&amp;Result=3","7031876")</f>
        <v>0</v>
      </c>
      <c r="B10177" t="s">
        <v>1545</v>
      </c>
      <c r="C10177" t="s">
        <v>12901</v>
      </c>
      <c r="D10177" t="s">
        <v>18023</v>
      </c>
      <c r="E10177" t="s">
        <v>26945</v>
      </c>
      <c r="F10177" t="s">
        <v>31574</v>
      </c>
      <c r="G10177" t="s">
        <v>31582</v>
      </c>
      <c r="H10177" t="s">
        <v>31591</v>
      </c>
      <c r="I10177" t="s">
        <v>8822</v>
      </c>
      <c r="J10177" t="s">
        <v>38087</v>
      </c>
      <c r="K10177" t="s">
        <v>41413</v>
      </c>
      <c r="M10177" t="s">
        <v>43141</v>
      </c>
      <c r="N10177" t="s">
        <v>45095</v>
      </c>
      <c r="O10177" t="s">
        <v>45096</v>
      </c>
      <c r="P10177">
        <v>0</v>
      </c>
      <c r="Q10177">
        <v>22</v>
      </c>
      <c r="R10177" t="s">
        <v>45107</v>
      </c>
      <c r="S10177" t="s">
        <v>45386</v>
      </c>
      <c r="T10177" t="s">
        <v>46921</v>
      </c>
      <c r="U10177" t="s">
        <v>51303</v>
      </c>
      <c r="W10177" t="s">
        <v>43141</v>
      </c>
      <c r="X10177" t="s">
        <v>45108</v>
      </c>
    </row>
    <row r="10178" spans="1:24">
      <c r="A10178">
        <f>HYPERLINK("https://www.philgeps.gov.ph/GEPSNONPILOT/Tender/SplashBidNoticeAbstractUI.aspx?menuIndex=3&amp;refID=7031881&amp;Result=3","7031881")</f>
        <v>0</v>
      </c>
      <c r="B10178" t="s">
        <v>1623</v>
      </c>
      <c r="C10178" t="s">
        <v>12902</v>
      </c>
      <c r="D10178" t="s">
        <v>18045</v>
      </c>
      <c r="E10178" t="s">
        <v>26946</v>
      </c>
      <c r="F10178" t="s">
        <v>31574</v>
      </c>
      <c r="G10178" t="s">
        <v>31582</v>
      </c>
      <c r="H10178" t="s">
        <v>31590</v>
      </c>
      <c r="I10178" t="s">
        <v>31620</v>
      </c>
      <c r="J10178" t="s">
        <v>32510</v>
      </c>
      <c r="K10178" t="s">
        <v>41203</v>
      </c>
      <c r="M10178" t="s">
        <v>43230</v>
      </c>
      <c r="N10178" t="s">
        <v>45095</v>
      </c>
      <c r="O10178" t="s">
        <v>45096</v>
      </c>
      <c r="P10178">
        <v>0</v>
      </c>
      <c r="Q10178">
        <v>19</v>
      </c>
      <c r="R10178" t="s">
        <v>45107</v>
      </c>
      <c r="S10178" t="s">
        <v>45386</v>
      </c>
      <c r="T10178" t="s">
        <v>47359</v>
      </c>
      <c r="U10178" t="s">
        <v>55860</v>
      </c>
      <c r="W10178" t="s">
        <v>43230</v>
      </c>
      <c r="X10178" t="s">
        <v>45108</v>
      </c>
    </row>
    <row r="10179" spans="1:24">
      <c r="A10179">
        <f>HYPERLINK("https://www.philgeps.gov.ph/GEPSNONPILOT/Tender/SplashBidNoticeAbstractUI.aspx?menuIndex=3&amp;refID=7031896&amp;Result=3","7031896")</f>
        <v>0</v>
      </c>
      <c r="B10179" t="s">
        <v>2003</v>
      </c>
      <c r="C10179" t="s">
        <v>12903</v>
      </c>
      <c r="D10179" t="s">
        <v>18022</v>
      </c>
      <c r="E10179" t="s">
        <v>26947</v>
      </c>
      <c r="F10179" t="s">
        <v>31574</v>
      </c>
      <c r="G10179" t="s">
        <v>31582</v>
      </c>
      <c r="H10179" t="s">
        <v>31591</v>
      </c>
      <c r="I10179" t="s">
        <v>8822</v>
      </c>
      <c r="J10179" t="s">
        <v>38088</v>
      </c>
      <c r="K10179" t="s">
        <v>41186</v>
      </c>
      <c r="M10179" t="s">
        <v>43665</v>
      </c>
      <c r="N10179" t="s">
        <v>45095</v>
      </c>
      <c r="O10179" t="s">
        <v>45096</v>
      </c>
      <c r="Q10179">
        <v>34</v>
      </c>
      <c r="R10179" t="s">
        <v>45107</v>
      </c>
      <c r="S10179" t="s">
        <v>45433</v>
      </c>
      <c r="T10179" t="s">
        <v>46966</v>
      </c>
      <c r="U10179" t="s">
        <v>52971</v>
      </c>
      <c r="W10179" t="s">
        <v>43665</v>
      </c>
      <c r="X10179" t="s">
        <v>45108</v>
      </c>
    </row>
    <row r="10180" spans="1:24">
      <c r="A10180">
        <f>HYPERLINK("https://www.philgeps.gov.ph/GEPSNONPILOT/Tender/SplashBidNoticeAbstractUI.aspx?menuIndex=3&amp;refID=7031903&amp;Result=3","7031903")</f>
        <v>0</v>
      </c>
      <c r="B10180" t="s">
        <v>1266</v>
      </c>
      <c r="C10180" t="s">
        <v>12904</v>
      </c>
      <c r="D10180" t="s">
        <v>18060</v>
      </c>
      <c r="E10180" t="s">
        <v>26948</v>
      </c>
      <c r="F10180" t="s">
        <v>31574</v>
      </c>
      <c r="G10180" t="s">
        <v>31582</v>
      </c>
      <c r="H10180" t="s">
        <v>31591</v>
      </c>
      <c r="I10180" t="s">
        <v>8822</v>
      </c>
      <c r="J10180" t="s">
        <v>38089</v>
      </c>
      <c r="K10180" t="s">
        <v>41200</v>
      </c>
      <c r="M10180" t="s">
        <v>42834</v>
      </c>
      <c r="N10180" t="s">
        <v>45095</v>
      </c>
      <c r="O10180" t="s">
        <v>45096</v>
      </c>
      <c r="P10180">
        <v>0</v>
      </c>
      <c r="Q10180">
        <v>2</v>
      </c>
      <c r="R10180" t="s">
        <v>45107</v>
      </c>
      <c r="S10180" t="s">
        <v>45386</v>
      </c>
      <c r="T10180" t="s">
        <v>46977</v>
      </c>
      <c r="U10180" t="s">
        <v>55861</v>
      </c>
      <c r="W10180" t="s">
        <v>42834</v>
      </c>
      <c r="X10180" t="s">
        <v>45108</v>
      </c>
    </row>
    <row r="10181" spans="1:24">
      <c r="A10181">
        <f>HYPERLINK("https://www.philgeps.gov.ph/GEPSNONPILOT/Tender/SplashBidNoticeAbstractUI.aspx?menuIndex=3&amp;refID=7031904&amp;Result=3","7031904")</f>
        <v>0</v>
      </c>
      <c r="B10181" t="s">
        <v>1156</v>
      </c>
      <c r="C10181" t="s">
        <v>12905</v>
      </c>
      <c r="D10181" t="s">
        <v>18040</v>
      </c>
      <c r="E10181" t="s">
        <v>26949</v>
      </c>
      <c r="F10181" t="s">
        <v>31574</v>
      </c>
      <c r="G10181" t="s">
        <v>31582</v>
      </c>
      <c r="H10181" t="s">
        <v>31591</v>
      </c>
      <c r="I10181" t="s">
        <v>8822</v>
      </c>
      <c r="J10181" t="s">
        <v>38090</v>
      </c>
      <c r="K10181" t="s">
        <v>41260</v>
      </c>
      <c r="M10181" t="s">
        <v>42713</v>
      </c>
      <c r="N10181" t="s">
        <v>45095</v>
      </c>
      <c r="O10181" t="s">
        <v>45096</v>
      </c>
      <c r="P10181">
        <v>0</v>
      </c>
      <c r="Q10181">
        <v>0</v>
      </c>
      <c r="R10181" t="s">
        <v>45107</v>
      </c>
      <c r="S10181" t="s">
        <v>45386</v>
      </c>
      <c r="T10181" t="s">
        <v>46986</v>
      </c>
      <c r="U10181" t="s">
        <v>55862</v>
      </c>
      <c r="V10181" t="s">
        <v>60917</v>
      </c>
      <c r="W10181" t="s">
        <v>42713</v>
      </c>
      <c r="X10181" t="s">
        <v>45108</v>
      </c>
    </row>
    <row r="10182" spans="1:24">
      <c r="A10182">
        <f>HYPERLINK("https://www.philgeps.gov.ph/GEPSNONPILOT/Tender/SplashBidNoticeAbstractUI.aspx?menuIndex=3&amp;refID=6997949-2&amp;Result=3","6997949-2")</f>
        <v>0</v>
      </c>
      <c r="B10182" t="s">
        <v>2702</v>
      </c>
      <c r="C10182" t="s">
        <v>12906</v>
      </c>
      <c r="E10182" t="s">
        <v>26950</v>
      </c>
      <c r="F10182" t="s">
        <v>31574</v>
      </c>
      <c r="G10182" t="s">
        <v>31582</v>
      </c>
      <c r="H10182" t="s">
        <v>31593</v>
      </c>
      <c r="I10182" t="s">
        <v>31593</v>
      </c>
      <c r="J10182" t="s">
        <v>32076</v>
      </c>
      <c r="K10182" t="s">
        <v>41192</v>
      </c>
      <c r="M10182" t="s">
        <v>44472</v>
      </c>
      <c r="N10182" t="s">
        <v>45095</v>
      </c>
      <c r="O10182" t="s">
        <v>45096</v>
      </c>
      <c r="P10182">
        <v>0</v>
      </c>
      <c r="Q10182">
        <v>1</v>
      </c>
      <c r="R10182" t="s">
        <v>45108</v>
      </c>
      <c r="S10182" t="s">
        <v>45434</v>
      </c>
      <c r="T10182" t="s">
        <v>46932</v>
      </c>
      <c r="U10182" t="s">
        <v>55863</v>
      </c>
      <c r="V10182" t="s">
        <v>60918</v>
      </c>
      <c r="W10182" t="s">
        <v>44472</v>
      </c>
      <c r="X10182" t="s">
        <v>45109</v>
      </c>
    </row>
    <row r="10183" spans="1:24">
      <c r="A10183">
        <f>HYPERLINK("https://www.philgeps.gov.ph/GEPSNONPILOT/Tender/SplashBidNoticeAbstractUI.aspx?menuIndex=3&amp;refID=7031877&amp;Result=3","7031877")</f>
        <v>0</v>
      </c>
      <c r="B10183" t="s">
        <v>1623</v>
      </c>
      <c r="C10183" t="s">
        <v>12907</v>
      </c>
      <c r="D10183" t="s">
        <v>18045</v>
      </c>
      <c r="E10183" t="s">
        <v>26951</v>
      </c>
      <c r="F10183" t="s">
        <v>31574</v>
      </c>
      <c r="G10183" t="s">
        <v>31582</v>
      </c>
      <c r="H10183" t="s">
        <v>31590</v>
      </c>
      <c r="I10183" t="s">
        <v>8258</v>
      </c>
      <c r="J10183" t="s">
        <v>31935</v>
      </c>
      <c r="K10183" t="s">
        <v>41186</v>
      </c>
      <c r="M10183" t="s">
        <v>43230</v>
      </c>
      <c r="N10183" t="s">
        <v>45095</v>
      </c>
      <c r="O10183" t="s">
        <v>45096</v>
      </c>
      <c r="P10183">
        <v>0</v>
      </c>
      <c r="Q10183">
        <v>9</v>
      </c>
      <c r="R10183" t="s">
        <v>45107</v>
      </c>
      <c r="S10183" t="s">
        <v>45386</v>
      </c>
      <c r="T10183" t="s">
        <v>47359</v>
      </c>
      <c r="U10183" t="s">
        <v>55864</v>
      </c>
      <c r="W10183" t="s">
        <v>43230</v>
      </c>
      <c r="X10183" t="s">
        <v>45108</v>
      </c>
    </row>
    <row r="10184" spans="1:24">
      <c r="A10184">
        <f>HYPERLINK("https://www.philgeps.gov.ph/GEPSNONPILOT/Tender/SplashBidNoticeAbstractUI.aspx?menuIndex=3&amp;refID=6997958-2&amp;Result=3","6997958-2")</f>
        <v>0</v>
      </c>
      <c r="B10184" t="s">
        <v>2702</v>
      </c>
      <c r="C10184" t="s">
        <v>12908</v>
      </c>
      <c r="D10184" t="s">
        <v>18081</v>
      </c>
      <c r="E10184" t="s">
        <v>26952</v>
      </c>
      <c r="F10184" t="s">
        <v>31574</v>
      </c>
      <c r="G10184" t="s">
        <v>31582</v>
      </c>
      <c r="H10184" t="s">
        <v>31593</v>
      </c>
      <c r="I10184" t="s">
        <v>31593</v>
      </c>
      <c r="J10184" t="s">
        <v>32049</v>
      </c>
      <c r="K10184" t="s">
        <v>41186</v>
      </c>
      <c r="M10184" t="s">
        <v>44472</v>
      </c>
      <c r="N10184" t="s">
        <v>45095</v>
      </c>
      <c r="O10184" t="s">
        <v>45096</v>
      </c>
      <c r="P10184">
        <v>0</v>
      </c>
      <c r="Q10184">
        <v>1</v>
      </c>
      <c r="R10184" t="s">
        <v>45108</v>
      </c>
      <c r="S10184" t="s">
        <v>45434</v>
      </c>
      <c r="T10184" t="s">
        <v>46932</v>
      </c>
      <c r="U10184" t="s">
        <v>55865</v>
      </c>
      <c r="V10184" t="s">
        <v>60919</v>
      </c>
      <c r="W10184" t="s">
        <v>44472</v>
      </c>
      <c r="X10184" t="s">
        <v>45109</v>
      </c>
    </row>
    <row r="10185" spans="1:24">
      <c r="A10185">
        <f>HYPERLINK("https://www.philgeps.gov.ph/GEPSNONPILOT/Tender/SplashBidNoticeAbstractUI.aspx?menuIndex=3&amp;refID=7031958&amp;Result=3","7031958")</f>
        <v>0</v>
      </c>
      <c r="B10185" t="s">
        <v>2703</v>
      </c>
      <c r="C10185" t="s">
        <v>12909</v>
      </c>
      <c r="D10185" t="s">
        <v>18108</v>
      </c>
      <c r="E10185" t="s">
        <v>12909</v>
      </c>
      <c r="F10185" t="s">
        <v>31574</v>
      </c>
      <c r="G10185" t="s">
        <v>31582</v>
      </c>
      <c r="H10185" t="s">
        <v>31590</v>
      </c>
      <c r="I10185" t="s">
        <v>4046</v>
      </c>
      <c r="J10185" t="s">
        <v>38091</v>
      </c>
      <c r="K10185" t="s">
        <v>41186</v>
      </c>
      <c r="M10185" t="s">
        <v>44473</v>
      </c>
      <c r="N10185" t="s">
        <v>45095</v>
      </c>
      <c r="O10185" t="s">
        <v>45096</v>
      </c>
      <c r="P10185">
        <v>0</v>
      </c>
      <c r="Q10185">
        <v>0</v>
      </c>
      <c r="R10185" t="s">
        <v>45107</v>
      </c>
      <c r="S10185" t="s">
        <v>45386</v>
      </c>
      <c r="T10185" t="s">
        <v>47156</v>
      </c>
      <c r="U10185" t="s">
        <v>55866</v>
      </c>
      <c r="W10185" t="s">
        <v>44473</v>
      </c>
      <c r="X10185" t="s">
        <v>45108</v>
      </c>
    </row>
    <row r="10186" spans="1:24">
      <c r="A10186">
        <f>HYPERLINK("https://www.philgeps.gov.ph/GEPSNONPILOT/Tender/SplashBidNoticeAbstractUI.aspx?menuIndex=3&amp;refID=7031933&amp;Result=3","7031933")</f>
        <v>0</v>
      </c>
      <c r="B10186" t="s">
        <v>2704</v>
      </c>
      <c r="C10186" t="s">
        <v>12910</v>
      </c>
      <c r="D10186" t="s">
        <v>18062</v>
      </c>
      <c r="E10186" t="s">
        <v>26953</v>
      </c>
      <c r="F10186" t="s">
        <v>31574</v>
      </c>
      <c r="G10186" t="s">
        <v>31581</v>
      </c>
      <c r="H10186" t="s">
        <v>31591</v>
      </c>
      <c r="I10186" t="s">
        <v>8822</v>
      </c>
      <c r="J10186" t="s">
        <v>38092</v>
      </c>
      <c r="K10186" t="s">
        <v>41184</v>
      </c>
      <c r="M10186" t="s">
        <v>44474</v>
      </c>
      <c r="N10186" t="s">
        <v>45095</v>
      </c>
      <c r="O10186" t="s">
        <v>45096</v>
      </c>
      <c r="P10186">
        <v>0</v>
      </c>
      <c r="Q10186">
        <v>0</v>
      </c>
      <c r="R10186" t="s">
        <v>45107</v>
      </c>
      <c r="S10186" t="s">
        <v>45386</v>
      </c>
      <c r="T10186" t="s">
        <v>46973</v>
      </c>
      <c r="U10186" t="s">
        <v>55867</v>
      </c>
      <c r="W10186" t="s">
        <v>44474</v>
      </c>
      <c r="X10186" t="s">
        <v>45108</v>
      </c>
    </row>
    <row r="10187" spans="1:24">
      <c r="A10187">
        <f>HYPERLINK("https://www.philgeps.gov.ph/GEPSNONPILOT/Tender/SplashBidNoticeAbstractUI.aspx?menuIndex=3&amp;refID=7031954&amp;Result=3","7031954")</f>
        <v>0</v>
      </c>
      <c r="B10187" t="s">
        <v>2696</v>
      </c>
      <c r="C10187" t="s">
        <v>12911</v>
      </c>
      <c r="D10187" t="s">
        <v>18025</v>
      </c>
      <c r="E10187" t="s">
        <v>26954</v>
      </c>
      <c r="F10187" t="s">
        <v>31574</v>
      </c>
      <c r="G10187" t="s">
        <v>31582</v>
      </c>
      <c r="H10187" t="s">
        <v>31590</v>
      </c>
      <c r="I10187" t="s">
        <v>31636</v>
      </c>
      <c r="J10187" t="s">
        <v>31742</v>
      </c>
      <c r="K10187" t="s">
        <v>41184</v>
      </c>
      <c r="M10187" t="s">
        <v>44463</v>
      </c>
      <c r="N10187" t="s">
        <v>45095</v>
      </c>
      <c r="O10187" t="s">
        <v>45096</v>
      </c>
      <c r="P10187">
        <v>0</v>
      </c>
      <c r="Q10187">
        <v>6</v>
      </c>
      <c r="R10187" t="s">
        <v>45107</v>
      </c>
      <c r="S10187" t="s">
        <v>45386</v>
      </c>
      <c r="T10187" t="s">
        <v>47192</v>
      </c>
      <c r="U10187" t="s">
        <v>55868</v>
      </c>
      <c r="W10187" t="s">
        <v>44463</v>
      </c>
      <c r="X10187" t="s">
        <v>45108</v>
      </c>
    </row>
    <row r="10188" spans="1:24">
      <c r="A10188">
        <f>HYPERLINK("https://www.philgeps.gov.ph/GEPSNONPILOT/Tender/SplashBidNoticeAbstractUI.aspx?menuIndex=3&amp;refID=7016892&amp;Result=3","7016892")</f>
        <v>0</v>
      </c>
      <c r="B10188" t="s">
        <v>443</v>
      </c>
      <c r="C10188" t="s">
        <v>12912</v>
      </c>
      <c r="D10188" t="s">
        <v>18062</v>
      </c>
      <c r="E10188" t="s">
        <v>26955</v>
      </c>
      <c r="F10188" t="s">
        <v>31574</v>
      </c>
      <c r="G10188" t="s">
        <v>31582</v>
      </c>
      <c r="H10188" t="s">
        <v>31591</v>
      </c>
      <c r="I10188" t="s">
        <v>8822</v>
      </c>
      <c r="J10188" t="s">
        <v>32526</v>
      </c>
      <c r="K10188" t="s">
        <v>41203</v>
      </c>
      <c r="M10188" t="s">
        <v>44475</v>
      </c>
      <c r="N10188" t="s">
        <v>45095</v>
      </c>
      <c r="O10188" t="s">
        <v>45096</v>
      </c>
      <c r="P10188">
        <v>0</v>
      </c>
      <c r="Q10188">
        <v>0</v>
      </c>
      <c r="R10188" t="s">
        <v>45108</v>
      </c>
      <c r="S10188" t="s">
        <v>45434</v>
      </c>
      <c r="T10188" t="s">
        <v>46966</v>
      </c>
      <c r="U10188" t="s">
        <v>55869</v>
      </c>
      <c r="V10188" t="s">
        <v>60920</v>
      </c>
      <c r="W10188" t="s">
        <v>44475</v>
      </c>
      <c r="X10188" t="s">
        <v>45115</v>
      </c>
    </row>
    <row r="10189" spans="1:24">
      <c r="A10189">
        <f>HYPERLINK("https://www.philgeps.gov.ph/GEPSNONPILOT/Tender/SplashBidNoticeAbstractUI.aspx?menuIndex=3&amp;refID=7016779&amp;Result=3","7016779")</f>
        <v>0</v>
      </c>
      <c r="B10189" t="s">
        <v>443</v>
      </c>
      <c r="C10189" t="s">
        <v>12913</v>
      </c>
      <c r="D10189" t="s">
        <v>18062</v>
      </c>
      <c r="E10189" t="s">
        <v>26956</v>
      </c>
      <c r="F10189" t="s">
        <v>31574</v>
      </c>
      <c r="G10189" t="s">
        <v>31582</v>
      </c>
      <c r="H10189" t="s">
        <v>31591</v>
      </c>
      <c r="I10189" t="s">
        <v>8822</v>
      </c>
      <c r="J10189" t="s">
        <v>33279</v>
      </c>
      <c r="K10189" t="s">
        <v>41200</v>
      </c>
      <c r="M10189" t="s">
        <v>44475</v>
      </c>
      <c r="N10189" t="s">
        <v>45095</v>
      </c>
      <c r="O10189" t="s">
        <v>45096</v>
      </c>
      <c r="P10189">
        <v>0</v>
      </c>
      <c r="Q10189">
        <v>5</v>
      </c>
      <c r="R10189" t="s">
        <v>45108</v>
      </c>
      <c r="S10189" t="s">
        <v>45434</v>
      </c>
      <c r="T10189" t="s">
        <v>46966</v>
      </c>
      <c r="U10189" t="s">
        <v>48547</v>
      </c>
      <c r="V10189" t="s">
        <v>60921</v>
      </c>
      <c r="W10189" t="s">
        <v>44475</v>
      </c>
      <c r="X10189" t="s">
        <v>45115</v>
      </c>
    </row>
    <row r="10190" spans="1:24">
      <c r="A10190">
        <f>HYPERLINK("https://www.philgeps.gov.ph/GEPSNONPILOT/Tender/SplashBidNoticeAbstractUI.aspx?menuIndex=3&amp;refID=7031942&amp;Result=3","7031942")</f>
        <v>0</v>
      </c>
      <c r="B10190" t="s">
        <v>2705</v>
      </c>
      <c r="C10190" t="s">
        <v>12914</v>
      </c>
      <c r="D10190" t="s">
        <v>18071</v>
      </c>
      <c r="E10190" t="s">
        <v>26957</v>
      </c>
      <c r="F10190" t="s">
        <v>31574</v>
      </c>
      <c r="G10190" t="s">
        <v>31582</v>
      </c>
      <c r="H10190" t="s">
        <v>31590</v>
      </c>
      <c r="I10190" t="s">
        <v>31608</v>
      </c>
      <c r="J10190" t="s">
        <v>31771</v>
      </c>
      <c r="K10190" t="s">
        <v>41192</v>
      </c>
      <c r="M10190" t="s">
        <v>44476</v>
      </c>
      <c r="N10190" t="s">
        <v>45095</v>
      </c>
      <c r="O10190" t="s">
        <v>45096</v>
      </c>
      <c r="P10190">
        <v>0</v>
      </c>
      <c r="Q10190">
        <v>5</v>
      </c>
      <c r="R10190" t="s">
        <v>45107</v>
      </c>
      <c r="S10190" t="s">
        <v>45386</v>
      </c>
      <c r="T10190" t="s">
        <v>47010</v>
      </c>
      <c r="U10190" t="s">
        <v>55870</v>
      </c>
      <c r="W10190" t="s">
        <v>44476</v>
      </c>
      <c r="X10190" t="s">
        <v>45108</v>
      </c>
    </row>
    <row r="10191" spans="1:24">
      <c r="A10191">
        <f>HYPERLINK("https://www.philgeps.gov.ph/GEPSNONPILOT/Tender/SplashBidNoticeAbstractUI.aspx?menuIndex=3&amp;refID=7002927-2&amp;Result=3","7002927-2")</f>
        <v>0</v>
      </c>
      <c r="B10191" t="s">
        <v>1286</v>
      </c>
      <c r="C10191" t="s">
        <v>12915</v>
      </c>
      <c r="D10191" t="s">
        <v>18066</v>
      </c>
      <c r="E10191" t="s">
        <v>26958</v>
      </c>
      <c r="F10191" t="s">
        <v>31574</v>
      </c>
      <c r="G10191" t="s">
        <v>31582</v>
      </c>
      <c r="H10191" t="s">
        <v>31593</v>
      </c>
      <c r="I10191" t="s">
        <v>31593</v>
      </c>
      <c r="J10191" t="s">
        <v>31819</v>
      </c>
      <c r="K10191" t="s">
        <v>41202</v>
      </c>
      <c r="M10191" t="s">
        <v>42855</v>
      </c>
      <c r="N10191" t="s">
        <v>45095</v>
      </c>
      <c r="O10191" t="s">
        <v>45096</v>
      </c>
      <c r="P10191">
        <v>0</v>
      </c>
      <c r="Q10191">
        <v>0</v>
      </c>
      <c r="R10191" t="s">
        <v>45108</v>
      </c>
      <c r="S10191" t="s">
        <v>45434</v>
      </c>
      <c r="T10191" t="s">
        <v>46962</v>
      </c>
      <c r="U10191" t="s">
        <v>55871</v>
      </c>
      <c r="W10191" t="s">
        <v>42855</v>
      </c>
      <c r="X10191" t="s">
        <v>45109</v>
      </c>
    </row>
    <row r="10192" spans="1:24">
      <c r="A10192">
        <f>HYPERLINK("https://www.philgeps.gov.ph/GEPSNONPILOT/Tender/SplashBidNoticeAbstractUI.aspx?menuIndex=3&amp;refID=7031961&amp;Result=3","7031961")</f>
        <v>0</v>
      </c>
      <c r="B10192" t="s">
        <v>922</v>
      </c>
      <c r="C10192" t="s">
        <v>5450</v>
      </c>
      <c r="D10192" t="s">
        <v>18041</v>
      </c>
      <c r="E10192" t="s">
        <v>18574</v>
      </c>
      <c r="F10192" t="s">
        <v>31579</v>
      </c>
      <c r="G10192" t="s">
        <v>31582</v>
      </c>
      <c r="H10192" t="s">
        <v>31590</v>
      </c>
      <c r="I10192" t="s">
        <v>31615</v>
      </c>
      <c r="J10192" t="s">
        <v>31947</v>
      </c>
      <c r="K10192" t="s">
        <v>41193</v>
      </c>
      <c r="M10192" t="s">
        <v>42449</v>
      </c>
      <c r="N10192" t="s">
        <v>45095</v>
      </c>
      <c r="O10192" t="s">
        <v>45096</v>
      </c>
      <c r="P10192">
        <v>0</v>
      </c>
      <c r="Q10192">
        <v>0</v>
      </c>
      <c r="R10192" t="s">
        <v>45107</v>
      </c>
      <c r="S10192" t="s">
        <v>45386</v>
      </c>
      <c r="T10192" t="s">
        <v>47019</v>
      </c>
      <c r="U10192" t="s">
        <v>55872</v>
      </c>
      <c r="V10192" t="s">
        <v>60131</v>
      </c>
      <c r="W10192" t="s">
        <v>42449</v>
      </c>
      <c r="X10192" t="s">
        <v>45108</v>
      </c>
    </row>
    <row r="10193" spans="1:24">
      <c r="A10193">
        <f>HYPERLINK("https://www.philgeps.gov.ph/GEPSNONPILOT/Tender/SplashBidNoticeAbstractUI.aspx?menuIndex=3&amp;refID=7002935-2&amp;Result=3","7002935-2")</f>
        <v>0</v>
      </c>
      <c r="B10193" t="s">
        <v>1286</v>
      </c>
      <c r="C10193" t="s">
        <v>12916</v>
      </c>
      <c r="E10193" t="s">
        <v>26959</v>
      </c>
      <c r="F10193" t="s">
        <v>31574</v>
      </c>
      <c r="G10193" t="s">
        <v>31582</v>
      </c>
      <c r="H10193" t="s">
        <v>31593</v>
      </c>
      <c r="I10193" t="s">
        <v>31593</v>
      </c>
      <c r="J10193" t="s">
        <v>32662</v>
      </c>
      <c r="K10193" t="s">
        <v>41190</v>
      </c>
      <c r="M10193" t="s">
        <v>42855</v>
      </c>
      <c r="N10193" t="s">
        <v>45095</v>
      </c>
      <c r="O10193" t="s">
        <v>45096</v>
      </c>
      <c r="P10193">
        <v>0</v>
      </c>
      <c r="Q10193">
        <v>1</v>
      </c>
      <c r="R10193" t="s">
        <v>45108</v>
      </c>
      <c r="S10193" t="s">
        <v>45434</v>
      </c>
      <c r="T10193" t="s">
        <v>46962</v>
      </c>
      <c r="U10193" t="s">
        <v>55873</v>
      </c>
      <c r="W10193" t="s">
        <v>42855</v>
      </c>
      <c r="X10193" t="s">
        <v>45109</v>
      </c>
    </row>
    <row r="10194" spans="1:24">
      <c r="A10194">
        <f>HYPERLINK("https://www.philgeps.gov.ph/GEPSNONPILOT/Tender/SplashBidNoticeAbstractUI.aspx?menuIndex=3&amp;refID=7017536&amp;Result=3","7017536")</f>
        <v>0</v>
      </c>
      <c r="B10194" t="s">
        <v>443</v>
      </c>
      <c r="C10194" t="s">
        <v>12917</v>
      </c>
      <c r="D10194" t="s">
        <v>18062</v>
      </c>
      <c r="E10194" t="s">
        <v>26960</v>
      </c>
      <c r="F10194" t="s">
        <v>31574</v>
      </c>
      <c r="G10194" t="s">
        <v>31582</v>
      </c>
      <c r="H10194" t="s">
        <v>31591</v>
      </c>
      <c r="I10194" t="s">
        <v>8822</v>
      </c>
      <c r="J10194" t="s">
        <v>32526</v>
      </c>
      <c r="K10194" t="s">
        <v>41203</v>
      </c>
      <c r="M10194" t="s">
        <v>44475</v>
      </c>
      <c r="N10194" t="s">
        <v>45095</v>
      </c>
      <c r="O10194" t="s">
        <v>45096</v>
      </c>
      <c r="P10194">
        <v>0</v>
      </c>
      <c r="Q10194">
        <v>0</v>
      </c>
      <c r="R10194" t="s">
        <v>45108</v>
      </c>
      <c r="S10194" t="s">
        <v>45434</v>
      </c>
      <c r="T10194" t="s">
        <v>46966</v>
      </c>
      <c r="U10194" t="s">
        <v>48547</v>
      </c>
      <c r="V10194" t="s">
        <v>60922</v>
      </c>
      <c r="W10194" t="s">
        <v>44475</v>
      </c>
      <c r="X10194" t="s">
        <v>45115</v>
      </c>
    </row>
    <row r="10195" spans="1:24">
      <c r="A10195">
        <f>HYPERLINK("https://www.philgeps.gov.ph/GEPSNONPILOT/Tender/SplashBidNoticeAbstractUI.aspx?menuIndex=3&amp;refID=7031919&amp;Result=3","7031919")</f>
        <v>0</v>
      </c>
      <c r="B10195" t="s">
        <v>1273</v>
      </c>
      <c r="C10195" t="s">
        <v>12918</v>
      </c>
      <c r="D10195" t="s">
        <v>18022</v>
      </c>
      <c r="E10195" t="s">
        <v>26961</v>
      </c>
      <c r="F10195" t="s">
        <v>31574</v>
      </c>
      <c r="G10195" t="s">
        <v>31582</v>
      </c>
      <c r="H10195" t="s">
        <v>31590</v>
      </c>
      <c r="I10195" t="s">
        <v>31608</v>
      </c>
      <c r="J10195" t="s">
        <v>33856</v>
      </c>
      <c r="K10195" t="s">
        <v>41192</v>
      </c>
      <c r="M10195" t="s">
        <v>42841</v>
      </c>
      <c r="N10195" t="s">
        <v>45095</v>
      </c>
      <c r="O10195" t="s">
        <v>45096</v>
      </c>
      <c r="P10195">
        <v>0</v>
      </c>
      <c r="Q10195">
        <v>20</v>
      </c>
      <c r="R10195" t="s">
        <v>45107</v>
      </c>
      <c r="S10195" t="s">
        <v>45386</v>
      </c>
      <c r="T10195" t="s">
        <v>46943</v>
      </c>
      <c r="U10195" t="s">
        <v>55874</v>
      </c>
      <c r="W10195" t="s">
        <v>42841</v>
      </c>
      <c r="X10195" t="s">
        <v>45108</v>
      </c>
    </row>
    <row r="10196" spans="1:24">
      <c r="A10196">
        <f>HYPERLINK("https://www.philgeps.gov.ph/GEPSNONPILOT/Tender/SplashBidNoticeAbstractUI.aspx?menuIndex=3&amp;refID=6944866-2&amp;Result=3","6944866-2")</f>
        <v>0</v>
      </c>
      <c r="B10196" t="s">
        <v>2706</v>
      </c>
      <c r="C10196" t="s">
        <v>12919</v>
      </c>
      <c r="D10196" t="s">
        <v>18055</v>
      </c>
      <c r="E10196" t="s">
        <v>26962</v>
      </c>
      <c r="F10196" t="s">
        <v>31574</v>
      </c>
      <c r="G10196" t="s">
        <v>31582</v>
      </c>
      <c r="H10196" t="s">
        <v>31593</v>
      </c>
      <c r="I10196" t="s">
        <v>31593</v>
      </c>
      <c r="J10196" t="s">
        <v>38093</v>
      </c>
      <c r="K10196" t="s">
        <v>41189</v>
      </c>
      <c r="M10196" t="s">
        <v>44477</v>
      </c>
      <c r="N10196" t="s">
        <v>45095</v>
      </c>
      <c r="O10196" t="s">
        <v>45096</v>
      </c>
      <c r="P10196">
        <v>0</v>
      </c>
      <c r="Q10196">
        <v>0</v>
      </c>
      <c r="R10196" t="s">
        <v>45108</v>
      </c>
      <c r="S10196" t="s">
        <v>45434</v>
      </c>
      <c r="T10196" t="s">
        <v>47376</v>
      </c>
      <c r="U10196" t="s">
        <v>55875</v>
      </c>
      <c r="W10196" t="s">
        <v>44477</v>
      </c>
      <c r="X10196" t="s">
        <v>45109</v>
      </c>
    </row>
    <row r="10197" spans="1:24">
      <c r="A10197">
        <f>HYPERLINK("https://www.philgeps.gov.ph/GEPSNONPILOT/Tender/SplashBidNoticeAbstractUI.aspx?menuIndex=3&amp;refID=7017640&amp;Result=3","7017640")</f>
        <v>0</v>
      </c>
      <c r="B10197" t="s">
        <v>443</v>
      </c>
      <c r="C10197" t="s">
        <v>12920</v>
      </c>
      <c r="D10197" t="s">
        <v>18062</v>
      </c>
      <c r="E10197" t="s">
        <v>26963</v>
      </c>
      <c r="F10197" t="s">
        <v>31574</v>
      </c>
      <c r="G10197" t="s">
        <v>31582</v>
      </c>
      <c r="H10197" t="s">
        <v>31591</v>
      </c>
      <c r="I10197" t="s">
        <v>8822</v>
      </c>
      <c r="J10197" t="s">
        <v>32526</v>
      </c>
      <c r="K10197" t="s">
        <v>41203</v>
      </c>
      <c r="M10197" t="s">
        <v>44475</v>
      </c>
      <c r="N10197" t="s">
        <v>45095</v>
      </c>
      <c r="O10197" t="s">
        <v>45096</v>
      </c>
      <c r="P10197">
        <v>0</v>
      </c>
      <c r="Q10197">
        <v>1</v>
      </c>
      <c r="R10197" t="s">
        <v>45108</v>
      </c>
      <c r="S10197" t="s">
        <v>45434</v>
      </c>
      <c r="T10197" t="s">
        <v>46966</v>
      </c>
      <c r="U10197" t="s">
        <v>48547</v>
      </c>
      <c r="V10197" t="s">
        <v>60923</v>
      </c>
      <c r="W10197" t="s">
        <v>44475</v>
      </c>
      <c r="X10197" t="s">
        <v>45115</v>
      </c>
    </row>
    <row r="10198" spans="1:24">
      <c r="A10198">
        <f>HYPERLINK("https://www.philgeps.gov.ph/GEPSNONPILOT/Tender/SplashBidNoticeAbstractUI.aspx?menuIndex=3&amp;refID=6997964-2&amp;Result=3","6997964-2")</f>
        <v>0</v>
      </c>
      <c r="B10198" t="s">
        <v>2702</v>
      </c>
      <c r="C10198" t="s">
        <v>12921</v>
      </c>
      <c r="D10198" t="s">
        <v>18081</v>
      </c>
      <c r="E10198" t="s">
        <v>26964</v>
      </c>
      <c r="F10198" t="s">
        <v>31574</v>
      </c>
      <c r="G10198" t="s">
        <v>31582</v>
      </c>
      <c r="H10198" t="s">
        <v>31593</v>
      </c>
      <c r="I10198" t="s">
        <v>31593</v>
      </c>
      <c r="J10198" t="s">
        <v>32049</v>
      </c>
      <c r="K10198" t="s">
        <v>41186</v>
      </c>
      <c r="M10198" t="s">
        <v>44472</v>
      </c>
      <c r="N10198" t="s">
        <v>45095</v>
      </c>
      <c r="O10198" t="s">
        <v>45096</v>
      </c>
      <c r="P10198">
        <v>0</v>
      </c>
      <c r="Q10198">
        <v>1</v>
      </c>
      <c r="R10198" t="s">
        <v>45108</v>
      </c>
      <c r="S10198" t="s">
        <v>45434</v>
      </c>
      <c r="T10198" t="s">
        <v>46932</v>
      </c>
      <c r="U10198" t="s">
        <v>55865</v>
      </c>
      <c r="V10198" t="s">
        <v>60924</v>
      </c>
      <c r="W10198" t="s">
        <v>44472</v>
      </c>
      <c r="X10198" t="s">
        <v>45109</v>
      </c>
    </row>
    <row r="10199" spans="1:24">
      <c r="A10199">
        <f>HYPERLINK("https://www.philgeps.gov.ph/GEPSNONPILOT/Tender/SplashBidNoticeAbstractUI.aspx?menuIndex=3&amp;refID=7017692&amp;Result=3","7017692")</f>
        <v>0</v>
      </c>
      <c r="B10199" t="s">
        <v>443</v>
      </c>
      <c r="C10199" t="s">
        <v>12922</v>
      </c>
      <c r="D10199" t="s">
        <v>18062</v>
      </c>
      <c r="E10199" t="s">
        <v>26965</v>
      </c>
      <c r="F10199" t="s">
        <v>31574</v>
      </c>
      <c r="G10199" t="s">
        <v>31582</v>
      </c>
      <c r="H10199" t="s">
        <v>31591</v>
      </c>
      <c r="I10199" t="s">
        <v>8822</v>
      </c>
      <c r="J10199" t="s">
        <v>32526</v>
      </c>
      <c r="K10199" t="s">
        <v>41203</v>
      </c>
      <c r="M10199" t="s">
        <v>44475</v>
      </c>
      <c r="N10199" t="s">
        <v>45095</v>
      </c>
      <c r="O10199" t="s">
        <v>45096</v>
      </c>
      <c r="P10199">
        <v>0</v>
      </c>
      <c r="Q10199">
        <v>0</v>
      </c>
      <c r="R10199" t="s">
        <v>45108</v>
      </c>
      <c r="S10199" t="s">
        <v>45434</v>
      </c>
      <c r="T10199" t="s">
        <v>46966</v>
      </c>
      <c r="U10199" t="s">
        <v>48547</v>
      </c>
      <c r="V10199" t="s">
        <v>60925</v>
      </c>
      <c r="W10199" t="s">
        <v>44475</v>
      </c>
      <c r="X10199" t="s">
        <v>45115</v>
      </c>
    </row>
    <row r="10200" spans="1:24">
      <c r="A10200">
        <f>HYPERLINK("https://www.philgeps.gov.ph/GEPSNONPILOT/Tender/SplashBidNoticeAbstractUI.aspx?menuIndex=3&amp;refID=7017568&amp;Result=3","7017568")</f>
        <v>0</v>
      </c>
      <c r="B10200" t="s">
        <v>443</v>
      </c>
      <c r="C10200" t="s">
        <v>12923</v>
      </c>
      <c r="D10200" t="s">
        <v>18062</v>
      </c>
      <c r="E10200" t="s">
        <v>26966</v>
      </c>
      <c r="F10200" t="s">
        <v>31574</v>
      </c>
      <c r="G10200" t="s">
        <v>31582</v>
      </c>
      <c r="H10200" t="s">
        <v>31591</v>
      </c>
      <c r="I10200" t="s">
        <v>8822</v>
      </c>
      <c r="J10200" t="s">
        <v>32526</v>
      </c>
      <c r="K10200" t="s">
        <v>41203</v>
      </c>
      <c r="M10200" t="s">
        <v>44475</v>
      </c>
      <c r="N10200" t="s">
        <v>45095</v>
      </c>
      <c r="O10200" t="s">
        <v>45096</v>
      </c>
      <c r="P10200">
        <v>0</v>
      </c>
      <c r="Q10200">
        <v>1</v>
      </c>
      <c r="R10200" t="s">
        <v>45108</v>
      </c>
      <c r="S10200" t="s">
        <v>45434</v>
      </c>
      <c r="T10200" t="s">
        <v>46966</v>
      </c>
      <c r="U10200" t="s">
        <v>55869</v>
      </c>
      <c r="V10200" t="s">
        <v>60926</v>
      </c>
      <c r="W10200" t="s">
        <v>44475</v>
      </c>
      <c r="X10200" t="s">
        <v>45115</v>
      </c>
    </row>
    <row r="10201" spans="1:24">
      <c r="A10201">
        <f>HYPERLINK("https://www.philgeps.gov.ph/GEPSNONPILOT/Tender/SplashBidNoticeAbstractUI.aspx?menuIndex=3&amp;refID=7019904&amp;Result=3","7019904")</f>
        <v>0</v>
      </c>
      <c r="B10201" t="s">
        <v>2707</v>
      </c>
      <c r="C10201" t="s">
        <v>12924</v>
      </c>
      <c r="D10201" t="s">
        <v>18056</v>
      </c>
      <c r="E10201" t="s">
        <v>26967</v>
      </c>
      <c r="F10201" t="s">
        <v>31574</v>
      </c>
      <c r="G10201" t="s">
        <v>31582</v>
      </c>
      <c r="H10201" t="s">
        <v>31590</v>
      </c>
      <c r="I10201" t="s">
        <v>4046</v>
      </c>
      <c r="J10201" t="s">
        <v>38094</v>
      </c>
      <c r="K10201" t="s">
        <v>41244</v>
      </c>
      <c r="M10201" t="s">
        <v>44478</v>
      </c>
      <c r="N10201" t="s">
        <v>45095</v>
      </c>
      <c r="O10201" t="s">
        <v>45096</v>
      </c>
      <c r="P10201">
        <v>0</v>
      </c>
      <c r="Q10201">
        <v>0</v>
      </c>
      <c r="R10201" t="s">
        <v>45108</v>
      </c>
      <c r="S10201" t="s">
        <v>45434</v>
      </c>
      <c r="T10201" t="s">
        <v>46921</v>
      </c>
      <c r="U10201" t="s">
        <v>55876</v>
      </c>
      <c r="W10201" t="s">
        <v>44478</v>
      </c>
      <c r="X10201" t="s">
        <v>45112</v>
      </c>
    </row>
    <row r="10202" spans="1:24">
      <c r="A10202">
        <f>HYPERLINK("https://www.philgeps.gov.ph/GEPSNONPILOT/Tender/SplashBidNoticeAbstractUI.aspx?menuIndex=3&amp;refID=7019873&amp;Result=3","7019873")</f>
        <v>0</v>
      </c>
      <c r="B10202" t="s">
        <v>2708</v>
      </c>
      <c r="C10202" t="s">
        <v>12925</v>
      </c>
      <c r="D10202" t="s">
        <v>18056</v>
      </c>
      <c r="E10202" t="s">
        <v>26967</v>
      </c>
      <c r="F10202" t="s">
        <v>31574</v>
      </c>
      <c r="G10202" t="s">
        <v>31582</v>
      </c>
      <c r="H10202" t="s">
        <v>31590</v>
      </c>
      <c r="I10202" t="s">
        <v>4046</v>
      </c>
      <c r="J10202" t="s">
        <v>37455</v>
      </c>
      <c r="K10202" t="s">
        <v>41186</v>
      </c>
      <c r="M10202" t="s">
        <v>44479</v>
      </c>
      <c r="N10202" t="s">
        <v>45095</v>
      </c>
      <c r="O10202" t="s">
        <v>45096</v>
      </c>
      <c r="P10202">
        <v>0</v>
      </c>
      <c r="Q10202">
        <v>0</v>
      </c>
      <c r="R10202" t="s">
        <v>45108</v>
      </c>
      <c r="S10202" t="s">
        <v>45434</v>
      </c>
      <c r="T10202" t="s">
        <v>46930</v>
      </c>
      <c r="U10202" t="s">
        <v>55877</v>
      </c>
      <c r="W10202" t="s">
        <v>44479</v>
      </c>
      <c r="X10202" t="s">
        <v>45112</v>
      </c>
    </row>
    <row r="10203" spans="1:24">
      <c r="A10203">
        <f>HYPERLINK("https://www.philgeps.gov.ph/GEPSNONPILOT/Tender/SplashBidNoticeAbstractUI.aspx?menuIndex=3&amp;refID=7022201&amp;Result=3","7022201")</f>
        <v>0</v>
      </c>
      <c r="B10203" t="s">
        <v>31</v>
      </c>
      <c r="C10203" t="s">
        <v>12926</v>
      </c>
      <c r="E10203" t="s">
        <v>26968</v>
      </c>
      <c r="F10203" t="s">
        <v>31574</v>
      </c>
      <c r="G10203" t="s">
        <v>31581</v>
      </c>
      <c r="H10203" t="s">
        <v>31590</v>
      </c>
      <c r="I10203" t="s">
        <v>3489</v>
      </c>
      <c r="J10203" t="s">
        <v>38095</v>
      </c>
      <c r="K10203" t="s">
        <v>41191</v>
      </c>
      <c r="M10203" t="s">
        <v>41513</v>
      </c>
      <c r="N10203" t="s">
        <v>45095</v>
      </c>
      <c r="O10203" t="s">
        <v>45096</v>
      </c>
      <c r="P10203">
        <v>0</v>
      </c>
      <c r="Q10203">
        <v>1</v>
      </c>
      <c r="R10203" t="s">
        <v>45108</v>
      </c>
      <c r="S10203" t="s">
        <v>45434</v>
      </c>
      <c r="T10203" t="s">
        <v>47183</v>
      </c>
      <c r="U10203" t="s">
        <v>47477</v>
      </c>
      <c r="W10203" t="s">
        <v>41513</v>
      </c>
      <c r="X10203" t="s">
        <v>45111</v>
      </c>
    </row>
    <row r="10204" spans="1:24">
      <c r="A10204">
        <f>HYPERLINK("https://www.philgeps.gov.ph/GEPSNONPILOT/Tender/SplashBidNoticeAbstractUI.aspx?menuIndex=3&amp;refID=7022144&amp;Result=3","7022144")</f>
        <v>0</v>
      </c>
      <c r="B10204" t="s">
        <v>31</v>
      </c>
      <c r="C10204" t="s">
        <v>12927</v>
      </c>
      <c r="E10204" t="s">
        <v>26969</v>
      </c>
      <c r="F10204" t="s">
        <v>31574</v>
      </c>
      <c r="G10204" t="s">
        <v>31581</v>
      </c>
      <c r="H10204" t="s">
        <v>31590</v>
      </c>
      <c r="I10204" t="s">
        <v>14544</v>
      </c>
      <c r="J10204" t="s">
        <v>38096</v>
      </c>
      <c r="K10204" t="s">
        <v>41191</v>
      </c>
      <c r="M10204" t="s">
        <v>41513</v>
      </c>
      <c r="N10204" t="s">
        <v>45095</v>
      </c>
      <c r="O10204" t="s">
        <v>45096</v>
      </c>
      <c r="P10204">
        <v>0</v>
      </c>
      <c r="Q10204">
        <v>0</v>
      </c>
      <c r="R10204" t="s">
        <v>45108</v>
      </c>
      <c r="S10204" t="s">
        <v>45434</v>
      </c>
      <c r="T10204" t="s">
        <v>47183</v>
      </c>
      <c r="U10204" t="s">
        <v>47477</v>
      </c>
      <c r="W10204" t="s">
        <v>41513</v>
      </c>
      <c r="X10204" t="s">
        <v>45111</v>
      </c>
    </row>
    <row r="10205" spans="1:24">
      <c r="A10205">
        <f>HYPERLINK("https://www.philgeps.gov.ph/GEPSNONPILOT/Tender/SplashBidNoticeAbstractUI.aspx?menuIndex=3&amp;refID=7022155&amp;Result=3","7022155")</f>
        <v>0</v>
      </c>
      <c r="B10205" t="s">
        <v>31</v>
      </c>
      <c r="C10205" t="s">
        <v>12928</v>
      </c>
      <c r="E10205" t="s">
        <v>26970</v>
      </c>
      <c r="F10205" t="s">
        <v>31574</v>
      </c>
      <c r="G10205" t="s">
        <v>31581</v>
      </c>
      <c r="H10205" t="s">
        <v>31590</v>
      </c>
      <c r="I10205" t="s">
        <v>3489</v>
      </c>
      <c r="J10205" t="s">
        <v>38097</v>
      </c>
      <c r="K10205" t="s">
        <v>41191</v>
      </c>
      <c r="M10205" t="s">
        <v>41513</v>
      </c>
      <c r="N10205" t="s">
        <v>45095</v>
      </c>
      <c r="O10205" t="s">
        <v>45096</v>
      </c>
      <c r="P10205">
        <v>0</v>
      </c>
      <c r="Q10205">
        <v>1</v>
      </c>
      <c r="R10205" t="s">
        <v>45108</v>
      </c>
      <c r="S10205" t="s">
        <v>45434</v>
      </c>
      <c r="T10205" t="s">
        <v>47183</v>
      </c>
      <c r="U10205" t="s">
        <v>47477</v>
      </c>
      <c r="W10205" t="s">
        <v>41513</v>
      </c>
      <c r="X10205" t="s">
        <v>45111</v>
      </c>
    </row>
    <row r="10206" spans="1:24">
      <c r="A10206">
        <f>HYPERLINK("https://www.philgeps.gov.ph/GEPSNONPILOT/Tender/SplashBidNoticeAbstractUI.aspx?menuIndex=3&amp;refID=7023205&amp;Result=3","7023205")</f>
        <v>0</v>
      </c>
      <c r="B10206" t="s">
        <v>1299</v>
      </c>
      <c r="C10206" t="s">
        <v>12929</v>
      </c>
      <c r="D10206" t="s">
        <v>18076</v>
      </c>
      <c r="E10206" t="s">
        <v>26971</v>
      </c>
      <c r="F10206" t="s">
        <v>31574</v>
      </c>
      <c r="G10206" t="s">
        <v>31582</v>
      </c>
      <c r="H10206" t="s">
        <v>31591</v>
      </c>
      <c r="I10206" t="s">
        <v>8822</v>
      </c>
      <c r="J10206" t="s">
        <v>38098</v>
      </c>
      <c r="K10206" t="s">
        <v>41414</v>
      </c>
      <c r="M10206" t="s">
        <v>42869</v>
      </c>
      <c r="N10206" t="s">
        <v>45095</v>
      </c>
      <c r="O10206" t="s">
        <v>45096</v>
      </c>
      <c r="P10206">
        <v>0</v>
      </c>
      <c r="Q10206">
        <v>0</v>
      </c>
      <c r="R10206" t="s">
        <v>45108</v>
      </c>
      <c r="S10206" t="s">
        <v>45434</v>
      </c>
      <c r="T10206" t="s">
        <v>47265</v>
      </c>
      <c r="U10206" t="s">
        <v>55878</v>
      </c>
      <c r="W10206" t="s">
        <v>42869</v>
      </c>
      <c r="X10206" t="s">
        <v>45111</v>
      </c>
    </row>
    <row r="10207" spans="1:24">
      <c r="A10207">
        <f>HYPERLINK("https://www.philgeps.gov.ph/GEPSNONPILOT/Tender/SplashBidNoticeAbstractUI.aspx?menuIndex=3&amp;refID=7020471&amp;Result=3","7020471")</f>
        <v>0</v>
      </c>
      <c r="B10207" t="s">
        <v>1973</v>
      </c>
      <c r="C10207" t="s">
        <v>12930</v>
      </c>
      <c r="D10207" t="s">
        <v>18060</v>
      </c>
      <c r="E10207" t="s">
        <v>26972</v>
      </c>
      <c r="F10207" t="s">
        <v>31574</v>
      </c>
      <c r="G10207" t="s">
        <v>31582</v>
      </c>
      <c r="H10207" t="s">
        <v>31591</v>
      </c>
      <c r="I10207" t="s">
        <v>8822</v>
      </c>
      <c r="J10207" t="s">
        <v>31781</v>
      </c>
      <c r="K10207" t="s">
        <v>41192</v>
      </c>
      <c r="M10207" t="s">
        <v>43630</v>
      </c>
      <c r="N10207" t="s">
        <v>45095</v>
      </c>
      <c r="O10207" t="s">
        <v>45096</v>
      </c>
      <c r="P10207">
        <v>0</v>
      </c>
      <c r="Q10207">
        <v>0</v>
      </c>
      <c r="R10207" t="s">
        <v>45108</v>
      </c>
      <c r="S10207" t="s">
        <v>45434</v>
      </c>
      <c r="T10207" t="s">
        <v>46910</v>
      </c>
      <c r="U10207" t="s">
        <v>55879</v>
      </c>
      <c r="W10207" t="s">
        <v>43630</v>
      </c>
      <c r="X10207" t="s">
        <v>45112</v>
      </c>
    </row>
    <row r="10208" spans="1:24">
      <c r="A10208">
        <f>HYPERLINK("https://www.philgeps.gov.ph/GEPSNONPILOT/Tender/SplashBidNoticeAbstractUI.aspx?menuIndex=3&amp;refID=7020167&amp;Result=3","7020167")</f>
        <v>0</v>
      </c>
      <c r="B10208" t="s">
        <v>2709</v>
      </c>
      <c r="C10208" t="s">
        <v>12931</v>
      </c>
      <c r="D10208" t="s">
        <v>18056</v>
      </c>
      <c r="E10208" t="s">
        <v>26967</v>
      </c>
      <c r="F10208" t="s">
        <v>31574</v>
      </c>
      <c r="G10208" t="s">
        <v>31582</v>
      </c>
      <c r="H10208" t="s">
        <v>31590</v>
      </c>
      <c r="I10208" t="s">
        <v>4046</v>
      </c>
      <c r="J10208" t="s">
        <v>38099</v>
      </c>
      <c r="K10208" t="s">
        <v>41217</v>
      </c>
      <c r="M10208" t="s">
        <v>44480</v>
      </c>
      <c r="N10208" t="s">
        <v>45095</v>
      </c>
      <c r="O10208" t="s">
        <v>45096</v>
      </c>
      <c r="P10208">
        <v>0</v>
      </c>
      <c r="Q10208">
        <v>0</v>
      </c>
      <c r="R10208" t="s">
        <v>45108</v>
      </c>
      <c r="S10208" t="s">
        <v>45434</v>
      </c>
      <c r="T10208" t="s">
        <v>46930</v>
      </c>
      <c r="U10208" t="s">
        <v>55880</v>
      </c>
      <c r="W10208" t="s">
        <v>44480</v>
      </c>
      <c r="X10208" t="s">
        <v>45112</v>
      </c>
    </row>
    <row r="10209" spans="1:24">
      <c r="A10209">
        <f>HYPERLINK("https://www.philgeps.gov.ph/GEPSNONPILOT/Tender/SplashBidNoticeAbstractUI.aspx?menuIndex=3&amp;refID=7022127&amp;Result=3","7022127")</f>
        <v>0</v>
      </c>
      <c r="B10209" t="s">
        <v>31</v>
      </c>
      <c r="C10209" t="s">
        <v>12932</v>
      </c>
      <c r="E10209" t="s">
        <v>26973</v>
      </c>
      <c r="F10209" t="s">
        <v>31574</v>
      </c>
      <c r="G10209" t="s">
        <v>31581</v>
      </c>
      <c r="H10209" t="s">
        <v>31590</v>
      </c>
      <c r="I10209" t="s">
        <v>4327</v>
      </c>
      <c r="J10209" t="s">
        <v>31789</v>
      </c>
      <c r="K10209" t="s">
        <v>41191</v>
      </c>
      <c r="M10209" t="s">
        <v>41513</v>
      </c>
      <c r="N10209" t="s">
        <v>45095</v>
      </c>
      <c r="O10209" t="s">
        <v>45096</v>
      </c>
      <c r="P10209">
        <v>0</v>
      </c>
      <c r="Q10209">
        <v>10</v>
      </c>
      <c r="R10209" t="s">
        <v>45108</v>
      </c>
      <c r="S10209" t="s">
        <v>45434</v>
      </c>
      <c r="T10209" t="s">
        <v>47183</v>
      </c>
      <c r="U10209" t="s">
        <v>47477</v>
      </c>
      <c r="W10209" t="s">
        <v>41513</v>
      </c>
      <c r="X10209" t="s">
        <v>45111</v>
      </c>
    </row>
    <row r="10210" spans="1:24">
      <c r="A10210">
        <f>HYPERLINK("https://www.philgeps.gov.ph/GEPSNONPILOT/Tender/SplashBidNoticeAbstractUI.aspx?menuIndex=3&amp;refID=7022852&amp;Result=3","7022852")</f>
        <v>0</v>
      </c>
      <c r="B10210" t="s">
        <v>457</v>
      </c>
      <c r="C10210" t="s">
        <v>12933</v>
      </c>
      <c r="D10210" t="s">
        <v>18033</v>
      </c>
      <c r="E10210" t="s">
        <v>26974</v>
      </c>
      <c r="F10210" t="s">
        <v>31574</v>
      </c>
      <c r="G10210" t="s">
        <v>31582</v>
      </c>
      <c r="H10210" t="s">
        <v>31590</v>
      </c>
      <c r="I10210" t="s">
        <v>4046</v>
      </c>
      <c r="J10210" t="s">
        <v>38100</v>
      </c>
      <c r="K10210" t="s">
        <v>41196</v>
      </c>
      <c r="M10210" t="s">
        <v>41951</v>
      </c>
      <c r="N10210" t="s">
        <v>45095</v>
      </c>
      <c r="O10210" t="s">
        <v>45096</v>
      </c>
      <c r="P10210">
        <v>0</v>
      </c>
      <c r="Q10210">
        <v>0</v>
      </c>
      <c r="R10210" t="s">
        <v>45108</v>
      </c>
      <c r="S10210" t="s">
        <v>45434</v>
      </c>
      <c r="T10210" t="s">
        <v>47097</v>
      </c>
      <c r="U10210" t="s">
        <v>48384</v>
      </c>
      <c r="W10210" t="s">
        <v>41951</v>
      </c>
      <c r="X10210" t="s">
        <v>45111</v>
      </c>
    </row>
    <row r="10211" spans="1:24">
      <c r="A10211">
        <f>HYPERLINK("https://www.philgeps.gov.ph/GEPSNONPILOT/Tender/SplashBidNoticeAbstractUI.aspx?menuIndex=3&amp;refID=7024728&amp;Result=3","7024728")</f>
        <v>0</v>
      </c>
      <c r="B10211" t="s">
        <v>2589</v>
      </c>
      <c r="C10211" t="s">
        <v>12934</v>
      </c>
      <c r="D10211" t="s">
        <v>18065</v>
      </c>
      <c r="E10211" t="s">
        <v>26975</v>
      </c>
      <c r="F10211" t="s">
        <v>31574</v>
      </c>
      <c r="G10211" t="s">
        <v>31582</v>
      </c>
      <c r="H10211" t="s">
        <v>31590</v>
      </c>
      <c r="I10211" t="s">
        <v>31605</v>
      </c>
      <c r="J10211" t="s">
        <v>36571</v>
      </c>
      <c r="K10211" t="s">
        <v>41192</v>
      </c>
      <c r="M10211" t="s">
        <v>44332</v>
      </c>
      <c r="N10211" t="s">
        <v>45095</v>
      </c>
      <c r="O10211" t="s">
        <v>45096</v>
      </c>
      <c r="P10211">
        <v>0</v>
      </c>
      <c r="Q10211">
        <v>7</v>
      </c>
      <c r="R10211" t="s">
        <v>45108</v>
      </c>
      <c r="S10211" t="s">
        <v>45434</v>
      </c>
      <c r="T10211" t="s">
        <v>47000</v>
      </c>
      <c r="U10211" t="s">
        <v>55881</v>
      </c>
      <c r="V10211" t="s">
        <v>60927</v>
      </c>
      <c r="W10211" t="s">
        <v>44332</v>
      </c>
      <c r="X10211" t="s">
        <v>45110</v>
      </c>
    </row>
    <row r="10212" spans="1:24">
      <c r="A10212">
        <f>HYPERLINK("https://www.philgeps.gov.ph/GEPSNONPILOT/Tender/SplashBidNoticeAbstractUI.aspx?menuIndex=3&amp;refID=7023830&amp;Result=3","7023830")</f>
        <v>0</v>
      </c>
      <c r="B10212" t="s">
        <v>1034</v>
      </c>
      <c r="C10212" t="s">
        <v>12935</v>
      </c>
      <c r="D10212" t="s">
        <v>18079</v>
      </c>
      <c r="E10212" t="s">
        <v>26976</v>
      </c>
      <c r="F10212" t="s">
        <v>31574</v>
      </c>
      <c r="G10212" t="s">
        <v>31582</v>
      </c>
      <c r="H10212" t="s">
        <v>31591</v>
      </c>
      <c r="I10212" t="s">
        <v>8822</v>
      </c>
      <c r="J10212" t="s">
        <v>38101</v>
      </c>
      <c r="K10212" t="s">
        <v>41186</v>
      </c>
      <c r="M10212" t="s">
        <v>42577</v>
      </c>
      <c r="N10212" t="s">
        <v>45095</v>
      </c>
      <c r="O10212" t="s">
        <v>45096</v>
      </c>
      <c r="P10212">
        <v>0</v>
      </c>
      <c r="Q10212">
        <v>0</v>
      </c>
      <c r="R10212" t="s">
        <v>45108</v>
      </c>
      <c r="S10212" t="s">
        <v>45434</v>
      </c>
      <c r="T10212" t="s">
        <v>47000</v>
      </c>
      <c r="U10212" t="s">
        <v>55882</v>
      </c>
      <c r="W10212" t="s">
        <v>42577</v>
      </c>
      <c r="X10212" t="s">
        <v>45111</v>
      </c>
    </row>
    <row r="10213" spans="1:24">
      <c r="A10213">
        <f>HYPERLINK("https://www.philgeps.gov.ph/GEPSNONPILOT/Tender/SplashBidNoticeAbstractUI.aspx?menuIndex=3&amp;refID=7023821&amp;Result=3","7023821")</f>
        <v>0</v>
      </c>
      <c r="B10213" t="s">
        <v>1034</v>
      </c>
      <c r="C10213" t="s">
        <v>12936</v>
      </c>
      <c r="D10213" t="s">
        <v>18079</v>
      </c>
      <c r="E10213" t="s">
        <v>26977</v>
      </c>
      <c r="F10213" t="s">
        <v>31574</v>
      </c>
      <c r="G10213" t="s">
        <v>31582</v>
      </c>
      <c r="H10213" t="s">
        <v>31591</v>
      </c>
      <c r="I10213" t="s">
        <v>8822</v>
      </c>
      <c r="J10213" t="s">
        <v>32026</v>
      </c>
      <c r="K10213" t="s">
        <v>41189</v>
      </c>
      <c r="M10213" t="s">
        <v>42577</v>
      </c>
      <c r="N10213" t="s">
        <v>45095</v>
      </c>
      <c r="O10213" t="s">
        <v>45096</v>
      </c>
      <c r="P10213">
        <v>0</v>
      </c>
      <c r="Q10213">
        <v>0</v>
      </c>
      <c r="R10213" t="s">
        <v>45108</v>
      </c>
      <c r="S10213" t="s">
        <v>45434</v>
      </c>
      <c r="T10213" t="s">
        <v>47000</v>
      </c>
      <c r="U10213" t="s">
        <v>55883</v>
      </c>
      <c r="W10213" t="s">
        <v>42577</v>
      </c>
      <c r="X10213" t="s">
        <v>45111</v>
      </c>
    </row>
    <row r="10214" spans="1:24">
      <c r="A10214">
        <f>HYPERLINK("https://www.philgeps.gov.ph/GEPSNONPILOT/Tender/SplashBidNoticeAbstractUI.aspx?menuIndex=3&amp;refID=7022968&amp;Result=3","7022968")</f>
        <v>0</v>
      </c>
      <c r="B10214" t="s">
        <v>457</v>
      </c>
      <c r="C10214" t="s">
        <v>12937</v>
      </c>
      <c r="D10214" t="s">
        <v>18033</v>
      </c>
      <c r="E10214" t="s">
        <v>26978</v>
      </c>
      <c r="F10214" t="s">
        <v>31574</v>
      </c>
      <c r="G10214" t="s">
        <v>31582</v>
      </c>
      <c r="H10214" t="s">
        <v>31590</v>
      </c>
      <c r="I10214" t="s">
        <v>4046</v>
      </c>
      <c r="J10214" t="s">
        <v>38102</v>
      </c>
      <c r="K10214" t="s">
        <v>41196</v>
      </c>
      <c r="M10214" t="s">
        <v>41951</v>
      </c>
      <c r="N10214" t="s">
        <v>45095</v>
      </c>
      <c r="O10214" t="s">
        <v>45096</v>
      </c>
      <c r="P10214">
        <v>0</v>
      </c>
      <c r="Q10214">
        <v>2</v>
      </c>
      <c r="R10214" t="s">
        <v>45108</v>
      </c>
      <c r="S10214" t="s">
        <v>45434</v>
      </c>
      <c r="T10214" t="s">
        <v>47097</v>
      </c>
      <c r="U10214" t="s">
        <v>48384</v>
      </c>
      <c r="W10214" t="s">
        <v>41951</v>
      </c>
      <c r="X10214" t="s">
        <v>45111</v>
      </c>
    </row>
    <row r="10215" spans="1:24">
      <c r="A10215">
        <f>HYPERLINK("https://www.philgeps.gov.ph/GEPSNONPILOT/Tender/SplashBidNoticeAbstractUI.aspx?menuIndex=3&amp;refID=7020918&amp;Result=3","7020918")</f>
        <v>0</v>
      </c>
      <c r="B10215" t="s">
        <v>217</v>
      </c>
      <c r="C10215" t="s">
        <v>12938</v>
      </c>
      <c r="D10215" t="s">
        <v>18081</v>
      </c>
      <c r="E10215" t="s">
        <v>26979</v>
      </c>
      <c r="F10215" t="s">
        <v>31574</v>
      </c>
      <c r="G10215" t="s">
        <v>31582</v>
      </c>
      <c r="H10215" t="s">
        <v>31590</v>
      </c>
      <c r="I10215" t="s">
        <v>31648</v>
      </c>
      <c r="J10215" t="s">
        <v>35399</v>
      </c>
      <c r="K10215" t="s">
        <v>41194</v>
      </c>
      <c r="M10215" t="s">
        <v>41702</v>
      </c>
      <c r="N10215" t="s">
        <v>45095</v>
      </c>
      <c r="O10215" t="s">
        <v>45096</v>
      </c>
      <c r="P10215">
        <v>0</v>
      </c>
      <c r="Q10215">
        <v>3</v>
      </c>
      <c r="R10215" t="s">
        <v>45108</v>
      </c>
      <c r="S10215" t="s">
        <v>45434</v>
      </c>
      <c r="T10215" t="s">
        <v>47124</v>
      </c>
      <c r="U10215" t="s">
        <v>55884</v>
      </c>
      <c r="W10215" t="s">
        <v>41702</v>
      </c>
      <c r="X10215" t="s">
        <v>45112</v>
      </c>
    </row>
    <row r="10216" spans="1:24">
      <c r="A10216">
        <f>HYPERLINK("https://www.philgeps.gov.ph/GEPSNONPILOT/Tender/SplashBidNoticeAbstractUI.aspx?menuIndex=3&amp;refID=7023811&amp;Result=3","7023811")</f>
        <v>0</v>
      </c>
      <c r="B10216" t="s">
        <v>1034</v>
      </c>
      <c r="C10216" t="s">
        <v>12939</v>
      </c>
      <c r="D10216" t="s">
        <v>18079</v>
      </c>
      <c r="E10216" t="s">
        <v>26980</v>
      </c>
      <c r="F10216" t="s">
        <v>31574</v>
      </c>
      <c r="G10216" t="s">
        <v>31582</v>
      </c>
      <c r="H10216" t="s">
        <v>31591</v>
      </c>
      <c r="I10216" t="s">
        <v>8822</v>
      </c>
      <c r="J10216" t="s">
        <v>31819</v>
      </c>
      <c r="K10216" t="s">
        <v>41243</v>
      </c>
      <c r="M10216" t="s">
        <v>42577</v>
      </c>
      <c r="N10216" t="s">
        <v>45095</v>
      </c>
      <c r="O10216" t="s">
        <v>45096</v>
      </c>
      <c r="P10216">
        <v>0</v>
      </c>
      <c r="Q10216">
        <v>0</v>
      </c>
      <c r="R10216" t="s">
        <v>45108</v>
      </c>
      <c r="S10216" t="s">
        <v>45434</v>
      </c>
      <c r="T10216" t="s">
        <v>47000</v>
      </c>
      <c r="U10216" t="s">
        <v>55885</v>
      </c>
      <c r="W10216" t="s">
        <v>42577</v>
      </c>
      <c r="X10216" t="s">
        <v>45111</v>
      </c>
    </row>
    <row r="10217" spans="1:24">
      <c r="A10217">
        <f>HYPERLINK("https://www.philgeps.gov.ph/GEPSNONPILOT/Tender/SplashBidNoticeAbstractUI.aspx?menuIndex=3&amp;refID=7024572&amp;Result=3","7024572")</f>
        <v>0</v>
      </c>
      <c r="B10217" t="s">
        <v>2589</v>
      </c>
      <c r="C10217" t="s">
        <v>12940</v>
      </c>
      <c r="D10217" t="s">
        <v>18065</v>
      </c>
      <c r="E10217" t="s">
        <v>26981</v>
      </c>
      <c r="F10217" t="s">
        <v>31574</v>
      </c>
      <c r="G10217" t="s">
        <v>31582</v>
      </c>
      <c r="H10217" t="s">
        <v>31590</v>
      </c>
      <c r="I10217" t="s">
        <v>31676</v>
      </c>
      <c r="J10217" t="s">
        <v>38103</v>
      </c>
      <c r="K10217" t="s">
        <v>41192</v>
      </c>
      <c r="M10217" t="s">
        <v>44332</v>
      </c>
      <c r="N10217" t="s">
        <v>45095</v>
      </c>
      <c r="O10217" t="s">
        <v>45096</v>
      </c>
      <c r="P10217">
        <v>0</v>
      </c>
      <c r="Q10217">
        <v>8</v>
      </c>
      <c r="R10217" t="s">
        <v>45108</v>
      </c>
      <c r="S10217" t="s">
        <v>45434</v>
      </c>
      <c r="T10217" t="s">
        <v>47000</v>
      </c>
      <c r="U10217" t="s">
        <v>55312</v>
      </c>
      <c r="V10217" t="s">
        <v>60928</v>
      </c>
      <c r="W10217" t="s">
        <v>44332</v>
      </c>
      <c r="X10217" t="s">
        <v>45110</v>
      </c>
    </row>
    <row r="10218" spans="1:24">
      <c r="A10218">
        <f>HYPERLINK("https://www.philgeps.gov.ph/GEPSNONPILOT/Tender/SplashBidNoticeAbstractUI.aspx?menuIndex=3&amp;refID=7024775&amp;Result=3","7024775")</f>
        <v>0</v>
      </c>
      <c r="B10218" t="s">
        <v>2710</v>
      </c>
      <c r="C10218" t="s">
        <v>12941</v>
      </c>
      <c r="D10218" t="s">
        <v>18022</v>
      </c>
      <c r="E10218" t="s">
        <v>26982</v>
      </c>
      <c r="F10218" t="s">
        <v>31574</v>
      </c>
      <c r="G10218" t="s">
        <v>31582</v>
      </c>
      <c r="H10218" t="s">
        <v>31591</v>
      </c>
      <c r="I10218" t="s">
        <v>8822</v>
      </c>
      <c r="J10218" t="s">
        <v>38104</v>
      </c>
      <c r="K10218" t="s">
        <v>41186</v>
      </c>
      <c r="M10218" t="s">
        <v>44481</v>
      </c>
      <c r="N10218" t="s">
        <v>45095</v>
      </c>
      <c r="O10218" t="s">
        <v>45096</v>
      </c>
      <c r="P10218">
        <v>0</v>
      </c>
      <c r="Q10218">
        <v>0</v>
      </c>
      <c r="R10218" t="s">
        <v>45108</v>
      </c>
      <c r="S10218" t="s">
        <v>45434</v>
      </c>
      <c r="T10218" t="s">
        <v>46986</v>
      </c>
      <c r="U10218" t="s">
        <v>55886</v>
      </c>
      <c r="W10218" t="s">
        <v>44481</v>
      </c>
      <c r="X10218" t="s">
        <v>45110</v>
      </c>
    </row>
    <row r="10219" spans="1:24">
      <c r="A10219">
        <f>HYPERLINK("https://www.philgeps.gov.ph/GEPSNONPILOT/Tender/SplashBidNoticeAbstractUI.aspx?menuIndex=3&amp;refID=7022181&amp;Result=3","7022181")</f>
        <v>0</v>
      </c>
      <c r="B10219" t="s">
        <v>1395</v>
      </c>
      <c r="C10219" t="s">
        <v>12942</v>
      </c>
      <c r="D10219" t="s">
        <v>18076</v>
      </c>
      <c r="E10219" t="s">
        <v>26983</v>
      </c>
      <c r="F10219" t="s">
        <v>31574</v>
      </c>
      <c r="G10219" t="s">
        <v>31582</v>
      </c>
      <c r="H10219" t="s">
        <v>31591</v>
      </c>
      <c r="I10219" t="s">
        <v>8822</v>
      </c>
      <c r="J10219" t="s">
        <v>31730</v>
      </c>
      <c r="K10219" t="s">
        <v>41189</v>
      </c>
      <c r="M10219" t="s">
        <v>42970</v>
      </c>
      <c r="N10219" t="s">
        <v>45095</v>
      </c>
      <c r="O10219" t="s">
        <v>45096</v>
      </c>
      <c r="P10219">
        <v>0</v>
      </c>
      <c r="Q10219">
        <v>0</v>
      </c>
      <c r="R10219" t="s">
        <v>45108</v>
      </c>
      <c r="S10219" t="s">
        <v>45434</v>
      </c>
      <c r="T10219" t="s">
        <v>46941</v>
      </c>
      <c r="U10219" t="s">
        <v>55887</v>
      </c>
      <c r="W10219" t="s">
        <v>42970</v>
      </c>
      <c r="X10219" t="s">
        <v>45111</v>
      </c>
    </row>
    <row r="10220" spans="1:24">
      <c r="A10220">
        <f>HYPERLINK("https://www.philgeps.gov.ph/GEPSNONPILOT/Tender/SplashBidNoticeAbstractUI.aspx?menuIndex=3&amp;refID=7025515&amp;Result=3","7025515")</f>
        <v>0</v>
      </c>
      <c r="B10220" t="s">
        <v>2650</v>
      </c>
      <c r="C10220" t="s">
        <v>12943</v>
      </c>
      <c r="D10220" t="s">
        <v>18041</v>
      </c>
      <c r="E10220" t="s">
        <v>26984</v>
      </c>
      <c r="F10220" t="s">
        <v>31574</v>
      </c>
      <c r="G10220" t="s">
        <v>31582</v>
      </c>
      <c r="H10220" t="s">
        <v>31590</v>
      </c>
      <c r="I10220" t="s">
        <v>4046</v>
      </c>
      <c r="J10220" t="s">
        <v>32147</v>
      </c>
      <c r="K10220" t="s">
        <v>41213</v>
      </c>
      <c r="M10220" t="s">
        <v>44408</v>
      </c>
      <c r="N10220" t="s">
        <v>45095</v>
      </c>
      <c r="O10220" t="s">
        <v>45096</v>
      </c>
      <c r="P10220">
        <v>0</v>
      </c>
      <c r="Q10220">
        <v>0</v>
      </c>
      <c r="R10220" t="s">
        <v>45108</v>
      </c>
      <c r="S10220" t="s">
        <v>45434</v>
      </c>
      <c r="T10220" t="s">
        <v>46914</v>
      </c>
      <c r="U10220" t="s">
        <v>55888</v>
      </c>
      <c r="W10220" t="s">
        <v>44408</v>
      </c>
      <c r="X10220" t="s">
        <v>45110</v>
      </c>
    </row>
    <row r="10221" spans="1:24">
      <c r="A10221">
        <f>HYPERLINK("https://www.philgeps.gov.ph/GEPSNONPILOT/Tender/SplashBidNoticeAbstractUI.aspx?menuIndex=3&amp;refID=7023323&amp;Result=3","7023323")</f>
        <v>0</v>
      </c>
      <c r="B10221" t="s">
        <v>622</v>
      </c>
      <c r="C10221" t="s">
        <v>12944</v>
      </c>
      <c r="D10221" t="s">
        <v>18025</v>
      </c>
      <c r="E10221" t="s">
        <v>26985</v>
      </c>
      <c r="F10221" t="s">
        <v>31574</v>
      </c>
      <c r="G10221" t="s">
        <v>31582</v>
      </c>
      <c r="H10221" t="s">
        <v>31590</v>
      </c>
      <c r="I10221" t="s">
        <v>31601</v>
      </c>
      <c r="J10221" t="s">
        <v>32986</v>
      </c>
      <c r="K10221" t="s">
        <v>41192</v>
      </c>
      <c r="M10221" t="s">
        <v>42126</v>
      </c>
      <c r="N10221" t="s">
        <v>45095</v>
      </c>
      <c r="O10221" t="s">
        <v>45096</v>
      </c>
      <c r="P10221">
        <v>0</v>
      </c>
      <c r="Q10221">
        <v>9</v>
      </c>
      <c r="R10221" t="s">
        <v>45108</v>
      </c>
      <c r="S10221" t="s">
        <v>45434</v>
      </c>
      <c r="T10221" t="s">
        <v>47247</v>
      </c>
      <c r="U10221" t="s">
        <v>55889</v>
      </c>
      <c r="V10221" t="s">
        <v>60565</v>
      </c>
      <c r="W10221" t="s">
        <v>42126</v>
      </c>
      <c r="X10221" t="s">
        <v>45111</v>
      </c>
    </row>
    <row r="10222" spans="1:24">
      <c r="A10222">
        <f>HYPERLINK("https://www.philgeps.gov.ph/GEPSNONPILOT/Tender/SplashBidNoticeAbstractUI.aspx?menuIndex=3&amp;refID=7025316&amp;Result=3","7025316")</f>
        <v>0</v>
      </c>
      <c r="B10222" t="s">
        <v>2589</v>
      </c>
      <c r="C10222" t="s">
        <v>12945</v>
      </c>
      <c r="D10222" t="s">
        <v>18065</v>
      </c>
      <c r="E10222" t="s">
        <v>26986</v>
      </c>
      <c r="F10222" t="s">
        <v>31574</v>
      </c>
      <c r="G10222" t="s">
        <v>31582</v>
      </c>
      <c r="H10222" t="s">
        <v>31590</v>
      </c>
      <c r="I10222" t="s">
        <v>31676</v>
      </c>
      <c r="J10222" t="s">
        <v>38105</v>
      </c>
      <c r="K10222" t="s">
        <v>41192</v>
      </c>
      <c r="M10222" t="s">
        <v>44332</v>
      </c>
      <c r="N10222" t="s">
        <v>45095</v>
      </c>
      <c r="O10222" t="s">
        <v>45096</v>
      </c>
      <c r="P10222">
        <v>0</v>
      </c>
      <c r="Q10222">
        <v>7</v>
      </c>
      <c r="R10222" t="s">
        <v>45108</v>
      </c>
      <c r="S10222" t="s">
        <v>45434</v>
      </c>
      <c r="T10222" t="s">
        <v>47000</v>
      </c>
      <c r="U10222" t="s">
        <v>55312</v>
      </c>
      <c r="V10222" t="s">
        <v>60927</v>
      </c>
      <c r="W10222" t="s">
        <v>44332</v>
      </c>
      <c r="X10222" t="s">
        <v>45110</v>
      </c>
    </row>
    <row r="10223" spans="1:24">
      <c r="A10223">
        <f>HYPERLINK("https://www.philgeps.gov.ph/GEPSNONPILOT/Tender/SplashBidNoticeAbstractUI.aspx?menuIndex=3&amp;refID=7025404&amp;Result=3","7025404")</f>
        <v>0</v>
      </c>
      <c r="B10223" t="s">
        <v>2711</v>
      </c>
      <c r="C10223" t="s">
        <v>12946</v>
      </c>
      <c r="D10223" t="s">
        <v>18056</v>
      </c>
      <c r="E10223" t="s">
        <v>26967</v>
      </c>
      <c r="F10223" t="s">
        <v>31574</v>
      </c>
      <c r="G10223" t="s">
        <v>31582</v>
      </c>
      <c r="H10223" t="s">
        <v>31590</v>
      </c>
      <c r="I10223" t="s">
        <v>4046</v>
      </c>
      <c r="J10223" t="s">
        <v>38106</v>
      </c>
      <c r="K10223" t="s">
        <v>41185</v>
      </c>
      <c r="M10223" t="s">
        <v>44482</v>
      </c>
      <c r="N10223" t="s">
        <v>45095</v>
      </c>
      <c r="O10223" t="s">
        <v>45096</v>
      </c>
      <c r="P10223">
        <v>0</v>
      </c>
      <c r="Q10223">
        <v>0</v>
      </c>
      <c r="R10223" t="s">
        <v>45108</v>
      </c>
      <c r="S10223" t="s">
        <v>45434</v>
      </c>
      <c r="T10223" t="s">
        <v>46930</v>
      </c>
      <c r="U10223" t="s">
        <v>55890</v>
      </c>
      <c r="W10223" t="s">
        <v>44482</v>
      </c>
      <c r="X10223" t="s">
        <v>45110</v>
      </c>
    </row>
    <row r="10224" spans="1:24">
      <c r="A10224">
        <f>HYPERLINK("https://www.philgeps.gov.ph/GEPSNONPILOT/Tender/SplashBidNoticeAbstractUI.aspx?menuIndex=3&amp;refID=7022179&amp;Result=3","7022179")</f>
        <v>0</v>
      </c>
      <c r="B10224" t="s">
        <v>31</v>
      </c>
      <c r="C10224" t="s">
        <v>12947</v>
      </c>
      <c r="E10224" t="s">
        <v>26987</v>
      </c>
      <c r="F10224" t="s">
        <v>31574</v>
      </c>
      <c r="G10224" t="s">
        <v>31581</v>
      </c>
      <c r="H10224" t="s">
        <v>31590</v>
      </c>
      <c r="I10224" t="s">
        <v>8258</v>
      </c>
      <c r="J10224" t="s">
        <v>38107</v>
      </c>
      <c r="K10224" t="s">
        <v>41193</v>
      </c>
      <c r="M10224" t="s">
        <v>41513</v>
      </c>
      <c r="N10224" t="s">
        <v>45095</v>
      </c>
      <c r="O10224" t="s">
        <v>45096</v>
      </c>
      <c r="P10224">
        <v>0</v>
      </c>
      <c r="Q10224">
        <v>3</v>
      </c>
      <c r="R10224" t="s">
        <v>45108</v>
      </c>
      <c r="S10224" t="s">
        <v>45434</v>
      </c>
      <c r="T10224" t="s">
        <v>47183</v>
      </c>
      <c r="U10224" t="s">
        <v>47477</v>
      </c>
      <c r="W10224" t="s">
        <v>41513</v>
      </c>
      <c r="X10224" t="s">
        <v>45111</v>
      </c>
    </row>
    <row r="10225" spans="1:24">
      <c r="A10225">
        <f>HYPERLINK("https://www.philgeps.gov.ph/GEPSNONPILOT/Tender/SplashBidNoticeAbstractUI.aspx?menuIndex=3&amp;refID=7024976&amp;Result=3","7024976")</f>
        <v>0</v>
      </c>
      <c r="B10225" t="s">
        <v>2589</v>
      </c>
      <c r="C10225" t="s">
        <v>12948</v>
      </c>
      <c r="D10225" t="s">
        <v>18065</v>
      </c>
      <c r="E10225" t="s">
        <v>26988</v>
      </c>
      <c r="F10225" t="s">
        <v>31574</v>
      </c>
      <c r="G10225" t="s">
        <v>31582</v>
      </c>
      <c r="H10225" t="s">
        <v>31590</v>
      </c>
      <c r="I10225" t="s">
        <v>31605</v>
      </c>
      <c r="J10225" t="s">
        <v>38108</v>
      </c>
      <c r="K10225" t="s">
        <v>41192</v>
      </c>
      <c r="M10225" t="s">
        <v>44332</v>
      </c>
      <c r="N10225" t="s">
        <v>45095</v>
      </c>
      <c r="O10225" t="s">
        <v>45096</v>
      </c>
      <c r="P10225">
        <v>0</v>
      </c>
      <c r="Q10225">
        <v>8</v>
      </c>
      <c r="R10225" t="s">
        <v>45108</v>
      </c>
      <c r="S10225" t="s">
        <v>45434</v>
      </c>
      <c r="T10225" t="s">
        <v>47000</v>
      </c>
      <c r="U10225" t="s">
        <v>55312</v>
      </c>
      <c r="V10225" t="s">
        <v>60927</v>
      </c>
      <c r="W10225" t="s">
        <v>44332</v>
      </c>
      <c r="X10225" t="s">
        <v>45110</v>
      </c>
    </row>
    <row r="10226" spans="1:24">
      <c r="A10226">
        <f>HYPERLINK("https://www.philgeps.gov.ph/GEPSNONPILOT/Tender/SplashBidNoticeAbstractUI.aspx?menuIndex=3&amp;refID=7025645&amp;Result=3","7025645")</f>
        <v>0</v>
      </c>
      <c r="B10226" t="s">
        <v>2589</v>
      </c>
      <c r="C10226" t="s">
        <v>12949</v>
      </c>
      <c r="D10226" t="s">
        <v>18065</v>
      </c>
      <c r="E10226" t="s">
        <v>26989</v>
      </c>
      <c r="F10226" t="s">
        <v>31574</v>
      </c>
      <c r="G10226" t="s">
        <v>31582</v>
      </c>
      <c r="H10226" t="s">
        <v>31590</v>
      </c>
      <c r="I10226" t="s">
        <v>31605</v>
      </c>
      <c r="J10226" t="s">
        <v>38109</v>
      </c>
      <c r="K10226" t="s">
        <v>41192</v>
      </c>
      <c r="M10226" t="s">
        <v>44332</v>
      </c>
      <c r="N10226" t="s">
        <v>45095</v>
      </c>
      <c r="O10226" t="s">
        <v>45096</v>
      </c>
      <c r="P10226">
        <v>0</v>
      </c>
      <c r="Q10226">
        <v>8</v>
      </c>
      <c r="R10226" t="s">
        <v>45108</v>
      </c>
      <c r="S10226" t="s">
        <v>45434</v>
      </c>
      <c r="T10226" t="s">
        <v>47000</v>
      </c>
      <c r="U10226" t="s">
        <v>55312</v>
      </c>
      <c r="V10226" t="s">
        <v>60927</v>
      </c>
      <c r="W10226" t="s">
        <v>44332</v>
      </c>
      <c r="X10226" t="s">
        <v>45110</v>
      </c>
    </row>
    <row r="10227" spans="1:24">
      <c r="A10227">
        <f>HYPERLINK("https://www.philgeps.gov.ph/GEPSNONPILOT/Tender/SplashBidNoticeAbstractUI.aspx?menuIndex=3&amp;refID=7025095&amp;Result=3","7025095")</f>
        <v>0</v>
      </c>
      <c r="B10227" t="s">
        <v>160</v>
      </c>
      <c r="C10227" t="s">
        <v>12950</v>
      </c>
      <c r="D10227" t="s">
        <v>18023</v>
      </c>
      <c r="E10227" t="s">
        <v>26990</v>
      </c>
      <c r="F10227" t="s">
        <v>31574</v>
      </c>
      <c r="G10227" t="s">
        <v>31582</v>
      </c>
      <c r="H10227" t="s">
        <v>31590</v>
      </c>
      <c r="I10227" t="s">
        <v>31690</v>
      </c>
      <c r="J10227" t="s">
        <v>38110</v>
      </c>
      <c r="K10227" t="s">
        <v>41186</v>
      </c>
      <c r="M10227" t="s">
        <v>41644</v>
      </c>
      <c r="N10227" t="s">
        <v>45095</v>
      </c>
      <c r="O10227" t="s">
        <v>45096</v>
      </c>
      <c r="P10227">
        <v>0</v>
      </c>
      <c r="Q10227">
        <v>8</v>
      </c>
      <c r="R10227" t="s">
        <v>45108</v>
      </c>
      <c r="S10227" t="s">
        <v>45434</v>
      </c>
      <c r="T10227" t="s">
        <v>47138</v>
      </c>
      <c r="U10227" t="s">
        <v>55891</v>
      </c>
      <c r="W10227" t="s">
        <v>41644</v>
      </c>
      <c r="X10227" t="s">
        <v>45110</v>
      </c>
    </row>
    <row r="10228" spans="1:24">
      <c r="A10228">
        <f>HYPERLINK("https://www.philgeps.gov.ph/GEPSNONPILOT/Tender/SplashBidNoticeAbstractUI.aspx?menuIndex=3&amp;refID=7023422&amp;Result=3","7023422")</f>
        <v>0</v>
      </c>
      <c r="B10228" t="s">
        <v>622</v>
      </c>
      <c r="C10228" t="s">
        <v>12951</v>
      </c>
      <c r="D10228" t="s">
        <v>18025</v>
      </c>
      <c r="E10228" t="s">
        <v>26991</v>
      </c>
      <c r="F10228" t="s">
        <v>31574</v>
      </c>
      <c r="G10228" t="s">
        <v>31582</v>
      </c>
      <c r="H10228" t="s">
        <v>31590</v>
      </c>
      <c r="I10228" t="s">
        <v>31614</v>
      </c>
      <c r="J10228" t="s">
        <v>38111</v>
      </c>
      <c r="K10228" t="s">
        <v>41192</v>
      </c>
      <c r="M10228" t="s">
        <v>42126</v>
      </c>
      <c r="N10228" t="s">
        <v>45095</v>
      </c>
      <c r="O10228" t="s">
        <v>45096</v>
      </c>
      <c r="P10228">
        <v>0</v>
      </c>
      <c r="Q10228">
        <v>6</v>
      </c>
      <c r="R10228" t="s">
        <v>45108</v>
      </c>
      <c r="S10228" t="s">
        <v>45434</v>
      </c>
      <c r="T10228" t="s">
        <v>47247</v>
      </c>
      <c r="U10228" t="s">
        <v>55892</v>
      </c>
      <c r="V10228" t="s">
        <v>60565</v>
      </c>
      <c r="W10228" t="s">
        <v>42126</v>
      </c>
      <c r="X10228" t="s">
        <v>45111</v>
      </c>
    </row>
    <row r="10229" spans="1:24">
      <c r="A10229">
        <f>HYPERLINK("https://www.philgeps.gov.ph/GEPSNONPILOT/Tender/SplashBidNoticeAbstractUI.aspx?menuIndex=3&amp;refID=7024988&amp;Result=3","7024988")</f>
        <v>0</v>
      </c>
      <c r="B10229" t="s">
        <v>2712</v>
      </c>
      <c r="C10229" t="s">
        <v>12952</v>
      </c>
      <c r="D10229" t="s">
        <v>18041</v>
      </c>
      <c r="E10229" t="s">
        <v>26992</v>
      </c>
      <c r="F10229" t="s">
        <v>31574</v>
      </c>
      <c r="G10229" t="s">
        <v>31582</v>
      </c>
      <c r="H10229" t="s">
        <v>31590</v>
      </c>
      <c r="I10229" t="s">
        <v>31604</v>
      </c>
      <c r="J10229" t="s">
        <v>38112</v>
      </c>
      <c r="K10229" t="s">
        <v>41184</v>
      </c>
      <c r="M10229" t="s">
        <v>44483</v>
      </c>
      <c r="N10229" t="s">
        <v>45095</v>
      </c>
      <c r="O10229" t="s">
        <v>45096</v>
      </c>
      <c r="Q10229">
        <v>0</v>
      </c>
      <c r="R10229" t="s">
        <v>45108</v>
      </c>
      <c r="S10229" t="s">
        <v>45435</v>
      </c>
      <c r="T10229" t="s">
        <v>46992</v>
      </c>
      <c r="U10229" t="s">
        <v>55893</v>
      </c>
      <c r="W10229" t="s">
        <v>44483</v>
      </c>
      <c r="X10229" t="s">
        <v>45110</v>
      </c>
    </row>
    <row r="10230" spans="1:24">
      <c r="A10230">
        <f>HYPERLINK("https://www.philgeps.gov.ph/GEPSNONPILOT/Tender/SplashBidNoticeAbstractUI.aspx?menuIndex=3&amp;refID=7025900&amp;Result=3","7025900")</f>
        <v>0</v>
      </c>
      <c r="B10230" t="s">
        <v>116</v>
      </c>
      <c r="C10230" t="s">
        <v>12953</v>
      </c>
      <c r="D10230" t="s">
        <v>18068</v>
      </c>
      <c r="E10230" t="s">
        <v>26993</v>
      </c>
      <c r="F10230" t="s">
        <v>31574</v>
      </c>
      <c r="G10230" t="s">
        <v>31582</v>
      </c>
      <c r="H10230" t="s">
        <v>31591</v>
      </c>
      <c r="I10230" t="s">
        <v>8822</v>
      </c>
      <c r="J10230" t="s">
        <v>32019</v>
      </c>
      <c r="K10230" t="s">
        <v>41206</v>
      </c>
      <c r="M10230" t="s">
        <v>42500</v>
      </c>
      <c r="N10230" t="s">
        <v>45095</v>
      </c>
      <c r="O10230" t="s">
        <v>45096</v>
      </c>
      <c r="P10230">
        <v>0</v>
      </c>
      <c r="Q10230">
        <v>0</v>
      </c>
      <c r="R10230" t="s">
        <v>45108</v>
      </c>
      <c r="S10230" t="s">
        <v>45434</v>
      </c>
      <c r="T10230" t="s">
        <v>47183</v>
      </c>
      <c r="U10230" t="s">
        <v>55894</v>
      </c>
      <c r="V10230" t="s">
        <v>60929</v>
      </c>
      <c r="W10230" t="s">
        <v>42500</v>
      </c>
      <c r="X10230" t="s">
        <v>45110</v>
      </c>
    </row>
    <row r="10231" spans="1:24">
      <c r="A10231">
        <f>HYPERLINK("https://www.philgeps.gov.ph/GEPSNONPILOT/Tender/SplashBidNoticeAbstractUI.aspx?menuIndex=3&amp;refID=7025875&amp;Result=3","7025875")</f>
        <v>0</v>
      </c>
      <c r="B10231" t="s">
        <v>116</v>
      </c>
      <c r="C10231" t="s">
        <v>12954</v>
      </c>
      <c r="D10231" t="s">
        <v>18068</v>
      </c>
      <c r="E10231" t="s">
        <v>26994</v>
      </c>
      <c r="F10231" t="s">
        <v>31574</v>
      </c>
      <c r="G10231" t="s">
        <v>31582</v>
      </c>
      <c r="H10231" t="s">
        <v>31591</v>
      </c>
      <c r="I10231" t="s">
        <v>8822</v>
      </c>
      <c r="J10231" t="s">
        <v>32019</v>
      </c>
      <c r="K10231" t="s">
        <v>41291</v>
      </c>
      <c r="M10231" t="s">
        <v>42500</v>
      </c>
      <c r="N10231" t="s">
        <v>45095</v>
      </c>
      <c r="O10231" t="s">
        <v>45096</v>
      </c>
      <c r="P10231">
        <v>0</v>
      </c>
      <c r="Q10231">
        <v>0</v>
      </c>
      <c r="R10231" t="s">
        <v>45108</v>
      </c>
      <c r="S10231" t="s">
        <v>45434</v>
      </c>
      <c r="T10231" t="s">
        <v>47183</v>
      </c>
      <c r="U10231" t="s">
        <v>55895</v>
      </c>
      <c r="V10231" t="s">
        <v>60930</v>
      </c>
      <c r="W10231" t="s">
        <v>42500</v>
      </c>
      <c r="X10231" t="s">
        <v>45110</v>
      </c>
    </row>
    <row r="10232" spans="1:24">
      <c r="A10232">
        <f>HYPERLINK("https://www.philgeps.gov.ph/GEPSNONPILOT/Tender/SplashBidNoticeAbstractUI.aspx?menuIndex=3&amp;refID=7024964&amp;Result=3","7024964")</f>
        <v>0</v>
      </c>
      <c r="B10232" t="s">
        <v>2712</v>
      </c>
      <c r="C10232" t="s">
        <v>12955</v>
      </c>
      <c r="D10232" t="s">
        <v>18041</v>
      </c>
      <c r="E10232" t="s">
        <v>26995</v>
      </c>
      <c r="F10232" t="s">
        <v>31574</v>
      </c>
      <c r="G10232" t="s">
        <v>31582</v>
      </c>
      <c r="H10232" t="s">
        <v>31590</v>
      </c>
      <c r="I10232" t="s">
        <v>31604</v>
      </c>
      <c r="J10232" t="s">
        <v>38113</v>
      </c>
      <c r="K10232" t="s">
        <v>41184</v>
      </c>
      <c r="M10232" t="s">
        <v>44483</v>
      </c>
      <c r="N10232" t="s">
        <v>45095</v>
      </c>
      <c r="O10232" t="s">
        <v>45096</v>
      </c>
      <c r="P10232">
        <v>0</v>
      </c>
      <c r="Q10232">
        <v>2</v>
      </c>
      <c r="R10232" t="s">
        <v>45108</v>
      </c>
      <c r="S10232" t="s">
        <v>45434</v>
      </c>
      <c r="T10232" t="s">
        <v>47154</v>
      </c>
      <c r="U10232" t="s">
        <v>55893</v>
      </c>
      <c r="W10232" t="s">
        <v>44483</v>
      </c>
      <c r="X10232" t="s">
        <v>45110</v>
      </c>
    </row>
    <row r="10233" spans="1:24">
      <c r="A10233">
        <f>HYPERLINK("https://www.philgeps.gov.ph/GEPSNONPILOT/Tender/SplashBidNoticeAbstractUI.aspx?menuIndex=3&amp;refID=7024840&amp;Result=3","7024840")</f>
        <v>0</v>
      </c>
      <c r="B10233" t="s">
        <v>2589</v>
      </c>
      <c r="C10233" t="s">
        <v>12956</v>
      </c>
      <c r="D10233" t="s">
        <v>18065</v>
      </c>
      <c r="E10233" t="s">
        <v>26996</v>
      </c>
      <c r="F10233" t="s">
        <v>31574</v>
      </c>
      <c r="G10233" t="s">
        <v>31582</v>
      </c>
      <c r="H10233" t="s">
        <v>31590</v>
      </c>
      <c r="I10233" t="s">
        <v>31676</v>
      </c>
      <c r="J10233" t="s">
        <v>38114</v>
      </c>
      <c r="K10233" t="s">
        <v>41192</v>
      </c>
      <c r="M10233" t="s">
        <v>44332</v>
      </c>
      <c r="N10233" t="s">
        <v>45095</v>
      </c>
      <c r="O10233" t="s">
        <v>45096</v>
      </c>
      <c r="P10233">
        <v>0</v>
      </c>
      <c r="Q10233">
        <v>7</v>
      </c>
      <c r="R10233" t="s">
        <v>45108</v>
      </c>
      <c r="S10233" t="s">
        <v>45434</v>
      </c>
      <c r="T10233" t="s">
        <v>47000</v>
      </c>
      <c r="U10233" t="s">
        <v>55312</v>
      </c>
      <c r="V10233" t="s">
        <v>60927</v>
      </c>
      <c r="W10233" t="s">
        <v>44332</v>
      </c>
      <c r="X10233" t="s">
        <v>45110</v>
      </c>
    </row>
    <row r="10234" spans="1:24">
      <c r="A10234">
        <f>HYPERLINK("https://www.philgeps.gov.ph/GEPSNONPILOT/Tender/SplashBidNoticeAbstractUI.aspx?menuIndex=3&amp;refID=7025946&amp;Result=3","7025946")</f>
        <v>0</v>
      </c>
      <c r="B10234" t="s">
        <v>2589</v>
      </c>
      <c r="C10234" t="s">
        <v>12957</v>
      </c>
      <c r="D10234" t="s">
        <v>18065</v>
      </c>
      <c r="E10234" t="s">
        <v>26997</v>
      </c>
      <c r="F10234" t="s">
        <v>31574</v>
      </c>
      <c r="G10234" t="s">
        <v>31582</v>
      </c>
      <c r="H10234" t="s">
        <v>31590</v>
      </c>
      <c r="I10234" t="s">
        <v>31676</v>
      </c>
      <c r="J10234" t="s">
        <v>31883</v>
      </c>
      <c r="K10234" t="s">
        <v>41192</v>
      </c>
      <c r="M10234" t="s">
        <v>44332</v>
      </c>
      <c r="N10234" t="s">
        <v>45095</v>
      </c>
      <c r="O10234" t="s">
        <v>45096</v>
      </c>
      <c r="P10234">
        <v>0</v>
      </c>
      <c r="Q10234">
        <v>6</v>
      </c>
      <c r="R10234" t="s">
        <v>45108</v>
      </c>
      <c r="S10234" t="s">
        <v>45434</v>
      </c>
      <c r="T10234" t="s">
        <v>47000</v>
      </c>
      <c r="U10234" t="s">
        <v>55312</v>
      </c>
      <c r="V10234" t="s">
        <v>60931</v>
      </c>
      <c r="W10234" t="s">
        <v>44332</v>
      </c>
      <c r="X10234" t="s">
        <v>45110</v>
      </c>
    </row>
    <row r="10235" spans="1:24">
      <c r="A10235">
        <f>HYPERLINK("https://www.philgeps.gov.ph/GEPSNONPILOT/Tender/SplashBidNoticeAbstractUI.aspx?menuIndex=3&amp;refID=7024940&amp;Result=3","7024940")</f>
        <v>0</v>
      </c>
      <c r="B10235" t="s">
        <v>2712</v>
      </c>
      <c r="C10235" t="s">
        <v>12958</v>
      </c>
      <c r="D10235" t="s">
        <v>18041</v>
      </c>
      <c r="E10235" t="s">
        <v>26998</v>
      </c>
      <c r="F10235" t="s">
        <v>31574</v>
      </c>
      <c r="G10235" t="s">
        <v>31582</v>
      </c>
      <c r="H10235" t="s">
        <v>31590</v>
      </c>
      <c r="I10235" t="s">
        <v>3487</v>
      </c>
      <c r="J10235" t="s">
        <v>38115</v>
      </c>
      <c r="K10235" t="s">
        <v>41184</v>
      </c>
      <c r="M10235" t="s">
        <v>44483</v>
      </c>
      <c r="N10235" t="s">
        <v>45095</v>
      </c>
      <c r="O10235" t="s">
        <v>45096</v>
      </c>
      <c r="P10235">
        <v>0</v>
      </c>
      <c r="Q10235">
        <v>2</v>
      </c>
      <c r="R10235" t="s">
        <v>45108</v>
      </c>
      <c r="S10235" t="s">
        <v>45434</v>
      </c>
      <c r="T10235" t="s">
        <v>47154</v>
      </c>
      <c r="U10235" t="s">
        <v>55893</v>
      </c>
      <c r="W10235" t="s">
        <v>44483</v>
      </c>
      <c r="X10235" t="s">
        <v>45110</v>
      </c>
    </row>
    <row r="10236" spans="1:24">
      <c r="A10236">
        <f>HYPERLINK("https://www.philgeps.gov.ph/GEPSNONPILOT/Tender/SplashBidNoticeAbstractUI.aspx?menuIndex=3&amp;refID=7025949&amp;Result=3","7025949")</f>
        <v>0</v>
      </c>
      <c r="B10236" t="s">
        <v>2712</v>
      </c>
      <c r="C10236" t="s">
        <v>12959</v>
      </c>
      <c r="D10236" t="s">
        <v>18041</v>
      </c>
      <c r="E10236" t="s">
        <v>26999</v>
      </c>
      <c r="F10236" t="s">
        <v>31574</v>
      </c>
      <c r="G10236" t="s">
        <v>31582</v>
      </c>
      <c r="H10236" t="s">
        <v>31590</v>
      </c>
      <c r="I10236" t="s">
        <v>31602</v>
      </c>
      <c r="J10236" t="s">
        <v>38116</v>
      </c>
      <c r="K10236" t="s">
        <v>41184</v>
      </c>
      <c r="M10236" t="s">
        <v>44483</v>
      </c>
      <c r="N10236" t="s">
        <v>45095</v>
      </c>
      <c r="O10236" t="s">
        <v>45096</v>
      </c>
      <c r="P10236">
        <v>0</v>
      </c>
      <c r="Q10236">
        <v>0</v>
      </c>
      <c r="R10236" t="s">
        <v>45108</v>
      </c>
      <c r="S10236" t="s">
        <v>45434</v>
      </c>
      <c r="T10236" t="s">
        <v>47154</v>
      </c>
      <c r="U10236" t="s">
        <v>55893</v>
      </c>
      <c r="W10236" t="s">
        <v>44483</v>
      </c>
      <c r="X10236" t="s">
        <v>45110</v>
      </c>
    </row>
    <row r="10237" spans="1:24">
      <c r="A10237">
        <f>HYPERLINK("https://www.philgeps.gov.ph/GEPSNONPILOT/Tender/SplashBidNoticeAbstractUI.aspx?menuIndex=3&amp;refID=7024914&amp;Result=3","7024914")</f>
        <v>0</v>
      </c>
      <c r="B10237" t="s">
        <v>2712</v>
      </c>
      <c r="C10237" t="s">
        <v>12960</v>
      </c>
      <c r="D10237" t="s">
        <v>18041</v>
      </c>
      <c r="E10237" t="s">
        <v>27000</v>
      </c>
      <c r="F10237" t="s">
        <v>31574</v>
      </c>
      <c r="G10237" t="s">
        <v>31582</v>
      </c>
      <c r="H10237" t="s">
        <v>31590</v>
      </c>
      <c r="I10237" t="s">
        <v>4046</v>
      </c>
      <c r="J10237" t="s">
        <v>34561</v>
      </c>
      <c r="K10237" t="s">
        <v>41184</v>
      </c>
      <c r="M10237" t="s">
        <v>44483</v>
      </c>
      <c r="N10237" t="s">
        <v>45095</v>
      </c>
      <c r="O10237" t="s">
        <v>45096</v>
      </c>
      <c r="Q10237">
        <v>0</v>
      </c>
      <c r="R10237" t="s">
        <v>45108</v>
      </c>
      <c r="S10237" t="s">
        <v>45436</v>
      </c>
      <c r="T10237" t="s">
        <v>47154</v>
      </c>
      <c r="U10237" t="s">
        <v>55893</v>
      </c>
      <c r="W10237" t="s">
        <v>44483</v>
      </c>
      <c r="X10237" t="s">
        <v>45110</v>
      </c>
    </row>
    <row r="10238" spans="1:24">
      <c r="A10238">
        <f>HYPERLINK("https://www.philgeps.gov.ph/GEPSNONPILOT/Tender/SplashBidNoticeAbstractUI.aspx?menuIndex=3&amp;refID=7025950&amp;Result=3","7025950")</f>
        <v>0</v>
      </c>
      <c r="B10238" t="s">
        <v>116</v>
      </c>
      <c r="C10238" t="s">
        <v>12961</v>
      </c>
      <c r="D10238" t="s">
        <v>18068</v>
      </c>
      <c r="E10238" t="s">
        <v>27001</v>
      </c>
      <c r="F10238" t="s">
        <v>31574</v>
      </c>
      <c r="G10238" t="s">
        <v>31582</v>
      </c>
      <c r="H10238" t="s">
        <v>31591</v>
      </c>
      <c r="I10238" t="s">
        <v>8822</v>
      </c>
      <c r="J10238" t="s">
        <v>32019</v>
      </c>
      <c r="K10238" t="s">
        <v>41291</v>
      </c>
      <c r="M10238" t="s">
        <v>42500</v>
      </c>
      <c r="N10238" t="s">
        <v>45095</v>
      </c>
      <c r="O10238" t="s">
        <v>45096</v>
      </c>
      <c r="P10238">
        <v>0</v>
      </c>
      <c r="Q10238">
        <v>0</v>
      </c>
      <c r="R10238" t="s">
        <v>45108</v>
      </c>
      <c r="S10238" t="s">
        <v>45434</v>
      </c>
      <c r="T10238" t="s">
        <v>47183</v>
      </c>
      <c r="U10238" t="s">
        <v>55896</v>
      </c>
      <c r="V10238" t="s">
        <v>60932</v>
      </c>
      <c r="W10238" t="s">
        <v>42500</v>
      </c>
      <c r="X10238" t="s">
        <v>45110</v>
      </c>
    </row>
    <row r="10239" spans="1:24">
      <c r="A10239">
        <f>HYPERLINK("https://www.philgeps.gov.ph/GEPSNONPILOT/Tender/SplashBidNoticeAbstractUI.aspx?menuIndex=3&amp;refID=7025776&amp;Result=3","7025776")</f>
        <v>0</v>
      </c>
      <c r="B10239" t="s">
        <v>1449</v>
      </c>
      <c r="C10239" t="s">
        <v>12962</v>
      </c>
      <c r="D10239" t="s">
        <v>18088</v>
      </c>
      <c r="E10239" t="s">
        <v>27002</v>
      </c>
      <c r="F10239" t="s">
        <v>31574</v>
      </c>
      <c r="G10239" t="s">
        <v>31582</v>
      </c>
      <c r="H10239" t="s">
        <v>31591</v>
      </c>
      <c r="I10239" t="s">
        <v>8822</v>
      </c>
      <c r="J10239" t="s">
        <v>38117</v>
      </c>
      <c r="K10239" t="s">
        <v>41222</v>
      </c>
      <c r="M10239" t="s">
        <v>43028</v>
      </c>
      <c r="N10239" t="s">
        <v>45095</v>
      </c>
      <c r="O10239" t="s">
        <v>45096</v>
      </c>
      <c r="P10239">
        <v>0</v>
      </c>
      <c r="Q10239">
        <v>0</v>
      </c>
      <c r="R10239" t="s">
        <v>45108</v>
      </c>
      <c r="S10239" t="s">
        <v>45434</v>
      </c>
      <c r="T10239" t="s">
        <v>46926</v>
      </c>
      <c r="U10239" t="s">
        <v>55897</v>
      </c>
      <c r="V10239" t="s">
        <v>60272</v>
      </c>
      <c r="W10239" t="s">
        <v>43028</v>
      </c>
      <c r="X10239" t="s">
        <v>45110</v>
      </c>
    </row>
    <row r="10240" spans="1:24">
      <c r="A10240">
        <f>HYPERLINK("https://www.philgeps.gov.ph/GEPSNONPILOT/Tender/SplashBidNoticeAbstractUI.aspx?menuIndex=3&amp;refID=7025700&amp;Result=3","7025700")</f>
        <v>0</v>
      </c>
      <c r="B10240" t="s">
        <v>1449</v>
      </c>
      <c r="C10240" t="s">
        <v>12963</v>
      </c>
      <c r="D10240" t="s">
        <v>18088</v>
      </c>
      <c r="E10240" t="s">
        <v>27003</v>
      </c>
      <c r="F10240" t="s">
        <v>31574</v>
      </c>
      <c r="G10240" t="s">
        <v>31582</v>
      </c>
      <c r="H10240" t="s">
        <v>31591</v>
      </c>
      <c r="I10240" t="s">
        <v>8822</v>
      </c>
      <c r="J10240" t="s">
        <v>38118</v>
      </c>
      <c r="K10240" t="s">
        <v>41335</v>
      </c>
      <c r="M10240" t="s">
        <v>43028</v>
      </c>
      <c r="N10240" t="s">
        <v>45095</v>
      </c>
      <c r="O10240" t="s">
        <v>45096</v>
      </c>
      <c r="P10240">
        <v>0</v>
      </c>
      <c r="Q10240">
        <v>1</v>
      </c>
      <c r="R10240" t="s">
        <v>45108</v>
      </c>
      <c r="S10240" t="s">
        <v>45434</v>
      </c>
      <c r="T10240" t="s">
        <v>46926</v>
      </c>
      <c r="U10240" t="s">
        <v>55898</v>
      </c>
      <c r="V10240" t="s">
        <v>60272</v>
      </c>
      <c r="W10240" t="s">
        <v>43028</v>
      </c>
      <c r="X10240" t="s">
        <v>45110</v>
      </c>
    </row>
    <row r="10241" spans="1:24">
      <c r="A10241">
        <f>HYPERLINK("https://www.philgeps.gov.ph/GEPSNONPILOT/Tender/SplashBidNoticeAbstractUI.aspx?menuIndex=3&amp;refID=7025816&amp;Result=3","7025816")</f>
        <v>0</v>
      </c>
      <c r="B10241" t="s">
        <v>1449</v>
      </c>
      <c r="C10241" t="s">
        <v>12964</v>
      </c>
      <c r="D10241" t="s">
        <v>18088</v>
      </c>
      <c r="E10241" t="s">
        <v>27004</v>
      </c>
      <c r="F10241" t="s">
        <v>31574</v>
      </c>
      <c r="G10241" t="s">
        <v>31582</v>
      </c>
      <c r="H10241" t="s">
        <v>31591</v>
      </c>
      <c r="I10241" t="s">
        <v>8822</v>
      </c>
      <c r="J10241" t="s">
        <v>38119</v>
      </c>
      <c r="K10241" t="s">
        <v>41240</v>
      </c>
      <c r="M10241" t="s">
        <v>43028</v>
      </c>
      <c r="N10241" t="s">
        <v>45095</v>
      </c>
      <c r="O10241" t="s">
        <v>45096</v>
      </c>
      <c r="P10241">
        <v>0</v>
      </c>
      <c r="Q10241">
        <v>0</v>
      </c>
      <c r="R10241" t="s">
        <v>45108</v>
      </c>
      <c r="S10241" t="s">
        <v>45434</v>
      </c>
      <c r="T10241" t="s">
        <v>46926</v>
      </c>
      <c r="U10241" t="s">
        <v>55899</v>
      </c>
      <c r="V10241" t="s">
        <v>60272</v>
      </c>
      <c r="W10241" t="s">
        <v>43028</v>
      </c>
      <c r="X10241" t="s">
        <v>45110</v>
      </c>
    </row>
    <row r="10242" spans="1:24">
      <c r="A10242">
        <f>HYPERLINK("https://www.philgeps.gov.ph/GEPSNONPILOT/Tender/SplashBidNoticeAbstractUI.aspx?menuIndex=3&amp;refID=7026187&amp;Result=3","7026187")</f>
        <v>0</v>
      </c>
      <c r="B10242" t="s">
        <v>116</v>
      </c>
      <c r="C10242" t="s">
        <v>12965</v>
      </c>
      <c r="D10242" t="s">
        <v>18068</v>
      </c>
      <c r="E10242" t="s">
        <v>27005</v>
      </c>
      <c r="F10242" t="s">
        <v>31574</v>
      </c>
      <c r="G10242" t="s">
        <v>31582</v>
      </c>
      <c r="H10242" t="s">
        <v>31591</v>
      </c>
      <c r="I10242" t="s">
        <v>8822</v>
      </c>
      <c r="J10242" t="s">
        <v>32019</v>
      </c>
      <c r="K10242" t="s">
        <v>41286</v>
      </c>
      <c r="M10242" t="s">
        <v>42500</v>
      </c>
      <c r="N10242" t="s">
        <v>45095</v>
      </c>
      <c r="O10242" t="s">
        <v>45096</v>
      </c>
      <c r="P10242">
        <v>0</v>
      </c>
      <c r="Q10242">
        <v>1</v>
      </c>
      <c r="R10242" t="s">
        <v>45108</v>
      </c>
      <c r="S10242" t="s">
        <v>45434</v>
      </c>
      <c r="T10242" t="s">
        <v>47183</v>
      </c>
      <c r="U10242" t="s">
        <v>55900</v>
      </c>
      <c r="V10242" t="s">
        <v>60933</v>
      </c>
      <c r="W10242" t="s">
        <v>42500</v>
      </c>
      <c r="X10242" t="s">
        <v>45110</v>
      </c>
    </row>
    <row r="10243" spans="1:24">
      <c r="A10243">
        <f>HYPERLINK("https://www.philgeps.gov.ph/GEPSNONPILOT/Tender/SplashBidNoticeAbstractUI.aspx?menuIndex=3&amp;refID=7026132&amp;Result=3","7026132")</f>
        <v>0</v>
      </c>
      <c r="B10243" t="s">
        <v>116</v>
      </c>
      <c r="C10243" t="s">
        <v>12966</v>
      </c>
      <c r="D10243" t="s">
        <v>18068</v>
      </c>
      <c r="E10243" t="s">
        <v>27006</v>
      </c>
      <c r="F10243" t="s">
        <v>31574</v>
      </c>
      <c r="G10243" t="s">
        <v>31582</v>
      </c>
      <c r="H10243" t="s">
        <v>31591</v>
      </c>
      <c r="I10243" t="s">
        <v>8822</v>
      </c>
      <c r="J10243" t="s">
        <v>32019</v>
      </c>
      <c r="K10243" t="s">
        <v>41282</v>
      </c>
      <c r="M10243" t="s">
        <v>42500</v>
      </c>
      <c r="N10243" t="s">
        <v>45095</v>
      </c>
      <c r="O10243" t="s">
        <v>45096</v>
      </c>
      <c r="P10243">
        <v>0</v>
      </c>
      <c r="Q10243">
        <v>0</v>
      </c>
      <c r="R10243" t="s">
        <v>45108</v>
      </c>
      <c r="S10243" t="s">
        <v>45434</v>
      </c>
      <c r="T10243" t="s">
        <v>47183</v>
      </c>
      <c r="U10243" t="s">
        <v>55901</v>
      </c>
      <c r="V10243" t="s">
        <v>60934</v>
      </c>
      <c r="W10243" t="s">
        <v>42500</v>
      </c>
      <c r="X10243" t="s">
        <v>45110</v>
      </c>
    </row>
    <row r="10244" spans="1:24">
      <c r="A10244">
        <f>HYPERLINK("https://www.philgeps.gov.ph/GEPSNONPILOT/Tender/SplashBidNoticeAbstractUI.aspx?menuIndex=3&amp;refID=7025922&amp;Result=3","7025922")</f>
        <v>0</v>
      </c>
      <c r="B10244" t="s">
        <v>116</v>
      </c>
      <c r="C10244" t="s">
        <v>12967</v>
      </c>
      <c r="D10244" t="s">
        <v>18068</v>
      </c>
      <c r="E10244" t="s">
        <v>27007</v>
      </c>
      <c r="F10244" t="s">
        <v>31574</v>
      </c>
      <c r="G10244" t="s">
        <v>31582</v>
      </c>
      <c r="H10244" t="s">
        <v>31591</v>
      </c>
      <c r="I10244" t="s">
        <v>8822</v>
      </c>
      <c r="J10244" t="s">
        <v>32019</v>
      </c>
      <c r="K10244" t="s">
        <v>41191</v>
      </c>
      <c r="M10244" t="s">
        <v>42500</v>
      </c>
      <c r="N10244" t="s">
        <v>45095</v>
      </c>
      <c r="O10244" t="s">
        <v>45096</v>
      </c>
      <c r="P10244">
        <v>0</v>
      </c>
      <c r="Q10244">
        <v>0</v>
      </c>
      <c r="R10244" t="s">
        <v>45108</v>
      </c>
      <c r="S10244" t="s">
        <v>45434</v>
      </c>
      <c r="T10244" t="s">
        <v>47183</v>
      </c>
      <c r="U10244" t="s">
        <v>55902</v>
      </c>
      <c r="V10244" t="s">
        <v>60935</v>
      </c>
      <c r="W10244" t="s">
        <v>42500</v>
      </c>
      <c r="X10244" t="s">
        <v>45110</v>
      </c>
    </row>
    <row r="10245" spans="1:24">
      <c r="A10245">
        <f>HYPERLINK("https://www.philgeps.gov.ph/GEPSNONPILOT/Tender/SplashBidNoticeAbstractUI.aspx?menuIndex=3&amp;refID=7026086&amp;Result=3","7026086")</f>
        <v>0</v>
      </c>
      <c r="B10245" t="s">
        <v>116</v>
      </c>
      <c r="C10245" t="s">
        <v>12968</v>
      </c>
      <c r="D10245" t="s">
        <v>18068</v>
      </c>
      <c r="E10245" t="s">
        <v>27008</v>
      </c>
      <c r="F10245" t="s">
        <v>31574</v>
      </c>
      <c r="G10245" t="s">
        <v>31582</v>
      </c>
      <c r="H10245" t="s">
        <v>31591</v>
      </c>
      <c r="I10245" t="s">
        <v>8822</v>
      </c>
      <c r="J10245" t="s">
        <v>32019</v>
      </c>
      <c r="K10245" t="s">
        <v>41280</v>
      </c>
      <c r="M10245" t="s">
        <v>42500</v>
      </c>
      <c r="N10245" t="s">
        <v>45095</v>
      </c>
      <c r="O10245" t="s">
        <v>45096</v>
      </c>
      <c r="P10245">
        <v>0</v>
      </c>
      <c r="Q10245">
        <v>0</v>
      </c>
      <c r="R10245" t="s">
        <v>45108</v>
      </c>
      <c r="S10245" t="s">
        <v>45434</v>
      </c>
      <c r="T10245" t="s">
        <v>47183</v>
      </c>
      <c r="U10245" t="s">
        <v>55903</v>
      </c>
      <c r="V10245" t="s">
        <v>60936</v>
      </c>
      <c r="W10245" t="s">
        <v>42500</v>
      </c>
      <c r="X10245" t="s">
        <v>45110</v>
      </c>
    </row>
    <row r="10246" spans="1:24">
      <c r="A10246">
        <f>HYPERLINK("https://www.philgeps.gov.ph/GEPSNONPILOT/Tender/SplashBidNoticeAbstractUI.aspx?menuIndex=3&amp;refID=7026075&amp;Result=3","7026075")</f>
        <v>0</v>
      </c>
      <c r="B10246" t="s">
        <v>1449</v>
      </c>
      <c r="C10246" t="s">
        <v>12969</v>
      </c>
      <c r="D10246" t="s">
        <v>18088</v>
      </c>
      <c r="E10246" t="s">
        <v>27009</v>
      </c>
      <c r="F10246" t="s">
        <v>31574</v>
      </c>
      <c r="G10246" t="s">
        <v>31582</v>
      </c>
      <c r="H10246" t="s">
        <v>31591</v>
      </c>
      <c r="I10246" t="s">
        <v>8822</v>
      </c>
      <c r="J10246" t="s">
        <v>38120</v>
      </c>
      <c r="K10246" t="s">
        <v>41363</v>
      </c>
      <c r="M10246" t="s">
        <v>43028</v>
      </c>
      <c r="N10246" t="s">
        <v>45095</v>
      </c>
      <c r="O10246" t="s">
        <v>45096</v>
      </c>
      <c r="P10246">
        <v>0</v>
      </c>
      <c r="Q10246">
        <v>1</v>
      </c>
      <c r="R10246" t="s">
        <v>45108</v>
      </c>
      <c r="S10246" t="s">
        <v>45434</v>
      </c>
      <c r="T10246" t="s">
        <v>46926</v>
      </c>
      <c r="U10246" t="s">
        <v>55904</v>
      </c>
      <c r="V10246" t="s">
        <v>60272</v>
      </c>
      <c r="W10246" t="s">
        <v>43028</v>
      </c>
      <c r="X10246" t="s">
        <v>45110</v>
      </c>
    </row>
    <row r="10247" spans="1:24">
      <c r="A10247">
        <f>HYPERLINK("https://www.philgeps.gov.ph/GEPSNONPILOT/Tender/SplashBidNoticeAbstractUI.aspx?menuIndex=3&amp;refID=7026014&amp;Result=3","7026014")</f>
        <v>0</v>
      </c>
      <c r="B10247" t="s">
        <v>1449</v>
      </c>
      <c r="C10247" t="s">
        <v>12970</v>
      </c>
      <c r="D10247" t="s">
        <v>18088</v>
      </c>
      <c r="E10247" t="s">
        <v>27010</v>
      </c>
      <c r="F10247" t="s">
        <v>31574</v>
      </c>
      <c r="G10247" t="s">
        <v>31582</v>
      </c>
      <c r="H10247" t="s">
        <v>31591</v>
      </c>
      <c r="I10247" t="s">
        <v>8822</v>
      </c>
      <c r="J10247" t="s">
        <v>38121</v>
      </c>
      <c r="K10247" t="s">
        <v>41287</v>
      </c>
      <c r="M10247" t="s">
        <v>43028</v>
      </c>
      <c r="N10247" t="s">
        <v>45095</v>
      </c>
      <c r="O10247" t="s">
        <v>45096</v>
      </c>
      <c r="P10247">
        <v>0</v>
      </c>
      <c r="Q10247">
        <v>0</v>
      </c>
      <c r="R10247" t="s">
        <v>45108</v>
      </c>
      <c r="S10247" t="s">
        <v>45434</v>
      </c>
      <c r="T10247" t="s">
        <v>46926</v>
      </c>
      <c r="U10247" t="s">
        <v>55905</v>
      </c>
      <c r="V10247" t="s">
        <v>60272</v>
      </c>
      <c r="W10247" t="s">
        <v>43028</v>
      </c>
      <c r="X10247" t="s">
        <v>45110</v>
      </c>
    </row>
    <row r="10248" spans="1:24">
      <c r="A10248">
        <f>HYPERLINK("https://www.philgeps.gov.ph/GEPSNONPILOT/Tender/SplashBidNoticeAbstractUI.aspx?menuIndex=3&amp;refID=7026158&amp;Result=3","7026158")</f>
        <v>0</v>
      </c>
      <c r="B10248" t="s">
        <v>116</v>
      </c>
      <c r="C10248" t="s">
        <v>12971</v>
      </c>
      <c r="D10248" t="s">
        <v>18068</v>
      </c>
      <c r="E10248" t="s">
        <v>27011</v>
      </c>
      <c r="F10248" t="s">
        <v>31574</v>
      </c>
      <c r="G10248" t="s">
        <v>31582</v>
      </c>
      <c r="H10248" t="s">
        <v>31591</v>
      </c>
      <c r="I10248" t="s">
        <v>8822</v>
      </c>
      <c r="J10248" t="s">
        <v>32019</v>
      </c>
      <c r="K10248" t="s">
        <v>41186</v>
      </c>
      <c r="M10248" t="s">
        <v>42500</v>
      </c>
      <c r="N10248" t="s">
        <v>45095</v>
      </c>
      <c r="O10248" t="s">
        <v>45096</v>
      </c>
      <c r="P10248">
        <v>0</v>
      </c>
      <c r="Q10248">
        <v>0</v>
      </c>
      <c r="R10248" t="s">
        <v>45108</v>
      </c>
      <c r="S10248" t="s">
        <v>45434</v>
      </c>
      <c r="T10248" t="s">
        <v>47183</v>
      </c>
      <c r="U10248" t="s">
        <v>55906</v>
      </c>
      <c r="V10248" t="s">
        <v>60937</v>
      </c>
      <c r="W10248" t="s">
        <v>42500</v>
      </c>
      <c r="X10248" t="s">
        <v>45110</v>
      </c>
    </row>
    <row r="10249" spans="1:24">
      <c r="A10249">
        <f>HYPERLINK("https://www.philgeps.gov.ph/GEPSNONPILOT/Tender/SplashBidNoticeAbstractUI.aspx?menuIndex=3&amp;refID=7025997&amp;Result=3","7025997")</f>
        <v>0</v>
      </c>
      <c r="B10249" t="s">
        <v>116</v>
      </c>
      <c r="C10249" t="s">
        <v>12972</v>
      </c>
      <c r="D10249" t="s">
        <v>18068</v>
      </c>
      <c r="E10249" t="s">
        <v>27012</v>
      </c>
      <c r="F10249" t="s">
        <v>31574</v>
      </c>
      <c r="G10249" t="s">
        <v>31582</v>
      </c>
      <c r="H10249" t="s">
        <v>31591</v>
      </c>
      <c r="I10249" t="s">
        <v>8822</v>
      </c>
      <c r="J10249" t="s">
        <v>32019</v>
      </c>
      <c r="K10249" t="s">
        <v>41282</v>
      </c>
      <c r="M10249" t="s">
        <v>42500</v>
      </c>
      <c r="N10249" t="s">
        <v>45095</v>
      </c>
      <c r="O10249" t="s">
        <v>45096</v>
      </c>
      <c r="P10249">
        <v>0</v>
      </c>
      <c r="Q10249">
        <v>0</v>
      </c>
      <c r="R10249" t="s">
        <v>45108</v>
      </c>
      <c r="S10249" t="s">
        <v>45434</v>
      </c>
      <c r="T10249" t="s">
        <v>47183</v>
      </c>
      <c r="U10249" t="s">
        <v>55907</v>
      </c>
      <c r="V10249" t="s">
        <v>60938</v>
      </c>
      <c r="W10249" t="s">
        <v>42500</v>
      </c>
      <c r="X10249" t="s">
        <v>45110</v>
      </c>
    </row>
    <row r="10250" spans="1:24">
      <c r="A10250">
        <f>HYPERLINK("https://www.philgeps.gov.ph/GEPSNONPILOT/Tender/SplashBidNoticeAbstractUI.aspx?menuIndex=3&amp;refID=7025970&amp;Result=3","7025970")</f>
        <v>0</v>
      </c>
      <c r="B10250" t="s">
        <v>116</v>
      </c>
      <c r="C10250" t="s">
        <v>12973</v>
      </c>
      <c r="D10250" t="s">
        <v>18068</v>
      </c>
      <c r="E10250" t="s">
        <v>27013</v>
      </c>
      <c r="F10250" t="s">
        <v>31574</v>
      </c>
      <c r="G10250" t="s">
        <v>31582</v>
      </c>
      <c r="H10250" t="s">
        <v>31591</v>
      </c>
      <c r="I10250" t="s">
        <v>8822</v>
      </c>
      <c r="J10250" t="s">
        <v>32019</v>
      </c>
      <c r="K10250" t="s">
        <v>41241</v>
      </c>
      <c r="M10250" t="s">
        <v>42500</v>
      </c>
      <c r="N10250" t="s">
        <v>45095</v>
      </c>
      <c r="O10250" t="s">
        <v>45096</v>
      </c>
      <c r="P10250">
        <v>0</v>
      </c>
      <c r="Q10250">
        <v>0</v>
      </c>
      <c r="R10250" t="s">
        <v>45108</v>
      </c>
      <c r="S10250" t="s">
        <v>45434</v>
      </c>
      <c r="T10250" t="s">
        <v>47183</v>
      </c>
      <c r="U10250" t="s">
        <v>55908</v>
      </c>
      <c r="V10250" t="s">
        <v>60939</v>
      </c>
      <c r="W10250" t="s">
        <v>42500</v>
      </c>
      <c r="X10250" t="s">
        <v>45110</v>
      </c>
    </row>
    <row r="10251" spans="1:24">
      <c r="A10251">
        <f>HYPERLINK("https://www.philgeps.gov.ph/GEPSNONPILOT/Tender/SplashBidNoticeAbstractUI.aspx?menuIndex=3&amp;refID=7026126&amp;Result=3","7026126")</f>
        <v>0</v>
      </c>
      <c r="B10251" t="s">
        <v>1449</v>
      </c>
      <c r="C10251" t="s">
        <v>12974</v>
      </c>
      <c r="D10251" t="s">
        <v>18088</v>
      </c>
      <c r="E10251" t="s">
        <v>27014</v>
      </c>
      <c r="F10251" t="s">
        <v>31574</v>
      </c>
      <c r="G10251" t="s">
        <v>31582</v>
      </c>
      <c r="H10251" t="s">
        <v>31591</v>
      </c>
      <c r="I10251" t="s">
        <v>8822</v>
      </c>
      <c r="J10251" t="s">
        <v>38122</v>
      </c>
      <c r="K10251" t="s">
        <v>41189</v>
      </c>
      <c r="M10251" t="s">
        <v>43028</v>
      </c>
      <c r="N10251" t="s">
        <v>45095</v>
      </c>
      <c r="O10251" t="s">
        <v>45096</v>
      </c>
      <c r="P10251">
        <v>0</v>
      </c>
      <c r="Q10251">
        <v>0</v>
      </c>
      <c r="R10251" t="s">
        <v>45108</v>
      </c>
      <c r="S10251" t="s">
        <v>45434</v>
      </c>
      <c r="T10251" t="s">
        <v>46926</v>
      </c>
      <c r="U10251" t="s">
        <v>55909</v>
      </c>
      <c r="V10251" t="s">
        <v>60272</v>
      </c>
      <c r="W10251" t="s">
        <v>43028</v>
      </c>
      <c r="X10251" t="s">
        <v>45110</v>
      </c>
    </row>
    <row r="10252" spans="1:24">
      <c r="A10252">
        <f>HYPERLINK("https://www.philgeps.gov.ph/GEPSNONPILOT/Tender/SplashBidNoticeAbstractUI.aspx?menuIndex=3&amp;refID=7026451&amp;Result=3","7026451")</f>
        <v>0</v>
      </c>
      <c r="B10252" t="s">
        <v>1931</v>
      </c>
      <c r="C10252" t="s">
        <v>12975</v>
      </c>
      <c r="D10252" t="s">
        <v>18029</v>
      </c>
      <c r="E10252" t="s">
        <v>27015</v>
      </c>
      <c r="F10252" t="s">
        <v>31574</v>
      </c>
      <c r="G10252" t="s">
        <v>31581</v>
      </c>
      <c r="H10252" t="s">
        <v>31590</v>
      </c>
      <c r="I10252" t="s">
        <v>31629</v>
      </c>
      <c r="J10252" t="s">
        <v>33696</v>
      </c>
      <c r="K10252" t="s">
        <v>41213</v>
      </c>
      <c r="M10252" t="s">
        <v>43585</v>
      </c>
      <c r="N10252" t="s">
        <v>45095</v>
      </c>
      <c r="O10252" t="s">
        <v>45096</v>
      </c>
      <c r="P10252">
        <v>0</v>
      </c>
      <c r="Q10252">
        <v>0</v>
      </c>
      <c r="R10252" t="s">
        <v>45108</v>
      </c>
      <c r="S10252" t="s">
        <v>45434</v>
      </c>
      <c r="T10252" t="s">
        <v>46913</v>
      </c>
      <c r="U10252" t="s">
        <v>55910</v>
      </c>
      <c r="W10252" t="s">
        <v>43585</v>
      </c>
      <c r="X10252" t="s">
        <v>45110</v>
      </c>
    </row>
    <row r="10253" spans="1:24">
      <c r="A10253">
        <f>HYPERLINK("https://www.philgeps.gov.ph/GEPSNONPILOT/Tender/SplashBidNoticeAbstractUI.aspx?menuIndex=3&amp;refID=7025983&amp;Result=3","7025983")</f>
        <v>0</v>
      </c>
      <c r="B10253" t="s">
        <v>2712</v>
      </c>
      <c r="C10253" t="s">
        <v>12976</v>
      </c>
      <c r="D10253" t="s">
        <v>18041</v>
      </c>
      <c r="E10253" t="s">
        <v>27016</v>
      </c>
      <c r="F10253" t="s">
        <v>31574</v>
      </c>
      <c r="G10253" t="s">
        <v>31582</v>
      </c>
      <c r="H10253" t="s">
        <v>31590</v>
      </c>
      <c r="I10253" t="s">
        <v>8258</v>
      </c>
      <c r="J10253" t="s">
        <v>38123</v>
      </c>
      <c r="K10253" t="s">
        <v>41184</v>
      </c>
      <c r="M10253" t="s">
        <v>44483</v>
      </c>
      <c r="N10253" t="s">
        <v>45095</v>
      </c>
      <c r="O10253" t="s">
        <v>45096</v>
      </c>
      <c r="P10253">
        <v>0</v>
      </c>
      <c r="Q10253">
        <v>16</v>
      </c>
      <c r="R10253" t="s">
        <v>45108</v>
      </c>
      <c r="S10253" t="s">
        <v>45434</v>
      </c>
      <c r="T10253" t="s">
        <v>47154</v>
      </c>
      <c r="U10253" t="s">
        <v>55893</v>
      </c>
      <c r="W10253" t="s">
        <v>44483</v>
      </c>
      <c r="X10253" t="s">
        <v>45110</v>
      </c>
    </row>
    <row r="10254" spans="1:24">
      <c r="A10254">
        <f>HYPERLINK("https://www.philgeps.gov.ph/GEPSNONPILOT/Tender/SplashBidNoticeAbstractUI.aspx?menuIndex=3&amp;refID=7026359&amp;Result=3","7026359")</f>
        <v>0</v>
      </c>
      <c r="B10254" t="s">
        <v>1670</v>
      </c>
      <c r="C10254" t="s">
        <v>3460</v>
      </c>
      <c r="D10254" t="s">
        <v>18042</v>
      </c>
      <c r="E10254" t="s">
        <v>27017</v>
      </c>
      <c r="F10254" t="s">
        <v>31574</v>
      </c>
      <c r="G10254" t="s">
        <v>31582</v>
      </c>
      <c r="H10254" t="s">
        <v>31590</v>
      </c>
      <c r="I10254" t="s">
        <v>7185</v>
      </c>
      <c r="J10254" t="s">
        <v>38124</v>
      </c>
      <c r="K10254" t="s">
        <v>41184</v>
      </c>
      <c r="M10254" t="s">
        <v>43283</v>
      </c>
      <c r="N10254" t="s">
        <v>45095</v>
      </c>
      <c r="O10254" t="s">
        <v>45096</v>
      </c>
      <c r="P10254">
        <v>0</v>
      </c>
      <c r="Q10254">
        <v>4</v>
      </c>
      <c r="R10254" t="s">
        <v>45108</v>
      </c>
      <c r="S10254" t="s">
        <v>45434</v>
      </c>
      <c r="T10254" t="s">
        <v>47000</v>
      </c>
      <c r="U10254" t="s">
        <v>55911</v>
      </c>
      <c r="W10254" t="s">
        <v>43283</v>
      </c>
      <c r="X10254" t="s">
        <v>45110</v>
      </c>
    </row>
    <row r="10255" spans="1:24">
      <c r="A10255">
        <f>HYPERLINK("https://www.philgeps.gov.ph/GEPSNONPILOT/Tender/SplashBidNoticeAbstractUI.aspx?menuIndex=3&amp;refID=7026403&amp;Result=3","7026403")</f>
        <v>0</v>
      </c>
      <c r="B10255" t="s">
        <v>1871</v>
      </c>
      <c r="C10255" t="s">
        <v>12977</v>
      </c>
      <c r="D10255" t="s">
        <v>18037</v>
      </c>
      <c r="E10255" t="s">
        <v>27018</v>
      </c>
      <c r="F10255" t="s">
        <v>31574</v>
      </c>
      <c r="G10255" t="s">
        <v>31582</v>
      </c>
      <c r="H10255" t="s">
        <v>31591</v>
      </c>
      <c r="I10255" t="s">
        <v>8822</v>
      </c>
      <c r="J10255" t="s">
        <v>38125</v>
      </c>
      <c r="K10255" t="s">
        <v>41207</v>
      </c>
      <c r="M10255" t="s">
        <v>43511</v>
      </c>
      <c r="N10255" t="s">
        <v>45095</v>
      </c>
      <c r="O10255" t="s">
        <v>45096</v>
      </c>
      <c r="P10255">
        <v>0</v>
      </c>
      <c r="Q10255">
        <v>6</v>
      </c>
      <c r="R10255" t="s">
        <v>45108</v>
      </c>
      <c r="S10255" t="s">
        <v>45434</v>
      </c>
      <c r="T10255" t="s">
        <v>46991</v>
      </c>
      <c r="U10255" t="s">
        <v>55912</v>
      </c>
      <c r="W10255" t="s">
        <v>43511</v>
      </c>
      <c r="X10255" t="s">
        <v>45110</v>
      </c>
    </row>
    <row r="10256" spans="1:24">
      <c r="A10256">
        <f>HYPERLINK("https://www.philgeps.gov.ph/GEPSNONPILOT/Tender/SplashBidNoticeAbstractUI.aspx?menuIndex=3&amp;refID=7026193&amp;Result=3","7026193")</f>
        <v>0</v>
      </c>
      <c r="B10256" t="s">
        <v>141</v>
      </c>
      <c r="C10256" t="s">
        <v>12978</v>
      </c>
      <c r="D10256" t="s">
        <v>18074</v>
      </c>
      <c r="E10256" t="s">
        <v>27019</v>
      </c>
      <c r="F10256" t="s">
        <v>31574</v>
      </c>
      <c r="G10256" t="s">
        <v>31581</v>
      </c>
      <c r="H10256" t="s">
        <v>31590</v>
      </c>
      <c r="I10256" t="s">
        <v>31600</v>
      </c>
      <c r="J10256" t="s">
        <v>31930</v>
      </c>
      <c r="K10256" t="s">
        <v>41184</v>
      </c>
      <c r="M10256" t="s">
        <v>41625</v>
      </c>
      <c r="N10256" t="s">
        <v>45095</v>
      </c>
      <c r="O10256" t="s">
        <v>45096</v>
      </c>
      <c r="P10256">
        <v>0</v>
      </c>
      <c r="Q10256">
        <v>0</v>
      </c>
      <c r="R10256" t="s">
        <v>45108</v>
      </c>
      <c r="S10256" t="s">
        <v>45434</v>
      </c>
      <c r="T10256" t="s">
        <v>47159</v>
      </c>
      <c r="U10256" t="s">
        <v>55913</v>
      </c>
      <c r="W10256" t="s">
        <v>41625</v>
      </c>
      <c r="X10256" t="s">
        <v>45110</v>
      </c>
    </row>
    <row r="10257" spans="1:24">
      <c r="A10257">
        <f>HYPERLINK("https://www.philgeps.gov.ph/GEPSNONPILOT/Tender/SplashBidNoticeAbstractUI.aspx?menuIndex=3&amp;refID=7026213&amp;Result=3","7026213")</f>
        <v>0</v>
      </c>
      <c r="B10257" t="s">
        <v>116</v>
      </c>
      <c r="C10257" t="s">
        <v>12979</v>
      </c>
      <c r="D10257" t="s">
        <v>18068</v>
      </c>
      <c r="E10257" t="s">
        <v>27020</v>
      </c>
      <c r="F10257" t="s">
        <v>31574</v>
      </c>
      <c r="G10257" t="s">
        <v>31582</v>
      </c>
      <c r="H10257" t="s">
        <v>31591</v>
      </c>
      <c r="I10257" t="s">
        <v>8822</v>
      </c>
      <c r="J10257" t="s">
        <v>32019</v>
      </c>
      <c r="K10257" t="s">
        <v>41241</v>
      </c>
      <c r="M10257" t="s">
        <v>42500</v>
      </c>
      <c r="N10257" t="s">
        <v>45095</v>
      </c>
      <c r="O10257" t="s">
        <v>45096</v>
      </c>
      <c r="P10257">
        <v>0</v>
      </c>
      <c r="Q10257">
        <v>1</v>
      </c>
      <c r="R10257" t="s">
        <v>45108</v>
      </c>
      <c r="S10257" t="s">
        <v>45434</v>
      </c>
      <c r="T10257" t="s">
        <v>47183</v>
      </c>
      <c r="U10257" t="s">
        <v>55914</v>
      </c>
      <c r="V10257" t="s">
        <v>60940</v>
      </c>
      <c r="W10257" t="s">
        <v>42500</v>
      </c>
      <c r="X10257" t="s">
        <v>45110</v>
      </c>
    </row>
    <row r="10258" spans="1:24">
      <c r="A10258">
        <f>HYPERLINK("https://www.philgeps.gov.ph/GEPSNONPILOT/Tender/SplashBidNoticeAbstractUI.aspx?menuIndex=3&amp;refID=7025964&amp;Result=3","7025964")</f>
        <v>0</v>
      </c>
      <c r="B10258" t="s">
        <v>1449</v>
      </c>
      <c r="C10258" t="s">
        <v>12980</v>
      </c>
      <c r="D10258" t="s">
        <v>18088</v>
      </c>
      <c r="E10258" t="s">
        <v>27021</v>
      </c>
      <c r="F10258" t="s">
        <v>31574</v>
      </c>
      <c r="G10258" t="s">
        <v>31582</v>
      </c>
      <c r="H10258" t="s">
        <v>31591</v>
      </c>
      <c r="I10258" t="s">
        <v>8822</v>
      </c>
      <c r="J10258" t="s">
        <v>38126</v>
      </c>
      <c r="K10258" t="s">
        <v>41287</v>
      </c>
      <c r="M10258" t="s">
        <v>43028</v>
      </c>
      <c r="N10258" t="s">
        <v>45095</v>
      </c>
      <c r="O10258" t="s">
        <v>45096</v>
      </c>
      <c r="P10258">
        <v>0</v>
      </c>
      <c r="Q10258">
        <v>0</v>
      </c>
      <c r="R10258" t="s">
        <v>45108</v>
      </c>
      <c r="S10258" t="s">
        <v>45434</v>
      </c>
      <c r="T10258" t="s">
        <v>46926</v>
      </c>
      <c r="U10258" t="s">
        <v>55915</v>
      </c>
      <c r="V10258" t="s">
        <v>60272</v>
      </c>
      <c r="W10258" t="s">
        <v>43028</v>
      </c>
      <c r="X10258" t="s">
        <v>45110</v>
      </c>
    </row>
    <row r="10259" spans="1:24">
      <c r="A10259">
        <f>HYPERLINK("https://www.philgeps.gov.ph/GEPSNONPILOT/Tender/SplashBidNoticeAbstractUI.aspx?menuIndex=3&amp;refID=7026496&amp;Result=3","7026496")</f>
        <v>0</v>
      </c>
      <c r="B10259" t="s">
        <v>1931</v>
      </c>
      <c r="C10259" t="s">
        <v>12981</v>
      </c>
      <c r="D10259" t="s">
        <v>18029</v>
      </c>
      <c r="E10259" t="s">
        <v>27022</v>
      </c>
      <c r="F10259" t="s">
        <v>31574</v>
      </c>
      <c r="G10259" t="s">
        <v>31581</v>
      </c>
      <c r="H10259" t="s">
        <v>31590</v>
      </c>
      <c r="I10259" t="s">
        <v>31629</v>
      </c>
      <c r="J10259" t="s">
        <v>38127</v>
      </c>
      <c r="K10259" t="s">
        <v>41213</v>
      </c>
      <c r="M10259" t="s">
        <v>43585</v>
      </c>
      <c r="N10259" t="s">
        <v>45095</v>
      </c>
      <c r="O10259" t="s">
        <v>45096</v>
      </c>
      <c r="P10259">
        <v>0</v>
      </c>
      <c r="Q10259">
        <v>0</v>
      </c>
      <c r="R10259" t="s">
        <v>45108</v>
      </c>
      <c r="S10259" t="s">
        <v>45434</v>
      </c>
      <c r="T10259" t="s">
        <v>46918</v>
      </c>
      <c r="U10259" t="s">
        <v>55916</v>
      </c>
      <c r="W10259" t="s">
        <v>43585</v>
      </c>
      <c r="X10259" t="s">
        <v>45110</v>
      </c>
    </row>
    <row r="10260" spans="1:24">
      <c r="A10260">
        <f>HYPERLINK("https://www.philgeps.gov.ph/GEPSNONPILOT/Tender/SplashBidNoticeAbstractUI.aspx?menuIndex=3&amp;refID=7026405&amp;Result=3","7026405")</f>
        <v>0</v>
      </c>
      <c r="B10260" t="s">
        <v>2710</v>
      </c>
      <c r="C10260" t="s">
        <v>12982</v>
      </c>
      <c r="D10260" t="s">
        <v>18022</v>
      </c>
      <c r="E10260" t="s">
        <v>27023</v>
      </c>
      <c r="F10260" t="s">
        <v>31574</v>
      </c>
      <c r="G10260" t="s">
        <v>31582</v>
      </c>
      <c r="H10260" t="s">
        <v>31591</v>
      </c>
      <c r="I10260" t="s">
        <v>8822</v>
      </c>
      <c r="J10260" t="s">
        <v>38128</v>
      </c>
      <c r="K10260" t="s">
        <v>41186</v>
      </c>
      <c r="M10260" t="s">
        <v>44481</v>
      </c>
      <c r="N10260" t="s">
        <v>45095</v>
      </c>
      <c r="O10260" t="s">
        <v>45096</v>
      </c>
      <c r="P10260">
        <v>0</v>
      </c>
      <c r="Q10260">
        <v>0</v>
      </c>
      <c r="R10260" t="s">
        <v>45108</v>
      </c>
      <c r="S10260" t="s">
        <v>45434</v>
      </c>
      <c r="T10260" t="s">
        <v>47142</v>
      </c>
      <c r="U10260" t="s">
        <v>55917</v>
      </c>
      <c r="W10260" t="s">
        <v>44481</v>
      </c>
      <c r="X10260" t="s">
        <v>45110</v>
      </c>
    </row>
    <row r="10261" spans="1:24">
      <c r="A10261">
        <f>HYPERLINK("https://www.philgeps.gov.ph/GEPSNONPILOT/Tender/SplashBidNoticeAbstractUI.aspx?menuIndex=3&amp;refID=7026212&amp;Result=3","7026212")</f>
        <v>0</v>
      </c>
      <c r="B10261" t="s">
        <v>1931</v>
      </c>
      <c r="C10261" t="s">
        <v>12983</v>
      </c>
      <c r="D10261" t="s">
        <v>18029</v>
      </c>
      <c r="E10261" t="s">
        <v>27024</v>
      </c>
      <c r="F10261" t="s">
        <v>31574</v>
      </c>
      <c r="G10261" t="s">
        <v>31581</v>
      </c>
      <c r="H10261" t="s">
        <v>31590</v>
      </c>
      <c r="I10261" t="s">
        <v>31629</v>
      </c>
      <c r="J10261" t="s">
        <v>38129</v>
      </c>
      <c r="K10261" t="s">
        <v>41213</v>
      </c>
      <c r="M10261" t="s">
        <v>43585</v>
      </c>
      <c r="N10261" t="s">
        <v>45095</v>
      </c>
      <c r="O10261" t="s">
        <v>45096</v>
      </c>
      <c r="P10261">
        <v>0</v>
      </c>
      <c r="Q10261">
        <v>0</v>
      </c>
      <c r="R10261" t="s">
        <v>45108</v>
      </c>
      <c r="S10261" t="s">
        <v>45434</v>
      </c>
      <c r="T10261" t="s">
        <v>46946</v>
      </c>
      <c r="U10261" t="s">
        <v>55918</v>
      </c>
      <c r="W10261" t="s">
        <v>43585</v>
      </c>
      <c r="X10261" t="s">
        <v>45110</v>
      </c>
    </row>
    <row r="10262" spans="1:24">
      <c r="A10262">
        <f>HYPERLINK("https://www.philgeps.gov.ph/GEPSNONPILOT/Tender/SplashBidNoticeAbstractUI.aspx?menuIndex=3&amp;refID=7026622&amp;Result=3","7026622")</f>
        <v>0</v>
      </c>
      <c r="B10262" t="s">
        <v>2713</v>
      </c>
      <c r="C10262" t="s">
        <v>12984</v>
      </c>
      <c r="E10262" t="s">
        <v>27025</v>
      </c>
      <c r="F10262" t="s">
        <v>31574</v>
      </c>
      <c r="G10262" t="s">
        <v>31582</v>
      </c>
      <c r="H10262" t="s">
        <v>31591</v>
      </c>
      <c r="I10262" t="s">
        <v>8822</v>
      </c>
      <c r="J10262" t="s">
        <v>38130</v>
      </c>
      <c r="K10262" t="s">
        <v>41192</v>
      </c>
      <c r="M10262" t="s">
        <v>44484</v>
      </c>
      <c r="N10262" t="s">
        <v>45095</v>
      </c>
      <c r="O10262" t="s">
        <v>45096</v>
      </c>
      <c r="P10262">
        <v>0</v>
      </c>
      <c r="Q10262">
        <v>2</v>
      </c>
      <c r="R10262" t="s">
        <v>45108</v>
      </c>
      <c r="S10262" t="s">
        <v>45434</v>
      </c>
      <c r="T10262" t="s">
        <v>46937</v>
      </c>
      <c r="U10262" t="s">
        <v>55919</v>
      </c>
      <c r="W10262" t="s">
        <v>44484</v>
      </c>
      <c r="X10262" t="s">
        <v>45110</v>
      </c>
    </row>
    <row r="10263" spans="1:24">
      <c r="A10263">
        <f>HYPERLINK("https://www.philgeps.gov.ph/GEPSNONPILOT/Tender/SplashBidNoticeAbstractUI.aspx?menuIndex=3&amp;refID=7026293&amp;Result=3","7026293")</f>
        <v>0</v>
      </c>
      <c r="B10263" t="s">
        <v>1931</v>
      </c>
      <c r="C10263" t="s">
        <v>12985</v>
      </c>
      <c r="D10263" t="s">
        <v>18029</v>
      </c>
      <c r="E10263" t="s">
        <v>27026</v>
      </c>
      <c r="F10263" t="s">
        <v>31574</v>
      </c>
      <c r="G10263" t="s">
        <v>31581</v>
      </c>
      <c r="H10263" t="s">
        <v>31590</v>
      </c>
      <c r="I10263" t="s">
        <v>31629</v>
      </c>
      <c r="J10263" t="s">
        <v>38131</v>
      </c>
      <c r="K10263" t="s">
        <v>41213</v>
      </c>
      <c r="M10263" t="s">
        <v>43585</v>
      </c>
      <c r="N10263" t="s">
        <v>45095</v>
      </c>
      <c r="O10263" t="s">
        <v>45096</v>
      </c>
      <c r="P10263">
        <v>0</v>
      </c>
      <c r="Q10263">
        <v>0</v>
      </c>
      <c r="R10263" t="s">
        <v>45108</v>
      </c>
      <c r="S10263" t="s">
        <v>45434</v>
      </c>
      <c r="T10263" t="s">
        <v>46913</v>
      </c>
      <c r="U10263" t="s">
        <v>55920</v>
      </c>
      <c r="W10263" t="s">
        <v>43585</v>
      </c>
      <c r="X10263" t="s">
        <v>45110</v>
      </c>
    </row>
    <row r="10264" spans="1:24">
      <c r="A10264">
        <f>HYPERLINK("https://www.philgeps.gov.ph/GEPSNONPILOT/Tender/SplashBidNoticeAbstractUI.aspx?menuIndex=3&amp;refID=7026621&amp;Result=3","7026621")</f>
        <v>0</v>
      </c>
      <c r="B10264" t="s">
        <v>2470</v>
      </c>
      <c r="C10264" t="s">
        <v>12148</v>
      </c>
      <c r="D10264" t="s">
        <v>18070</v>
      </c>
      <c r="E10264" t="s">
        <v>19544</v>
      </c>
      <c r="F10264" t="s">
        <v>31574</v>
      </c>
      <c r="G10264" t="s">
        <v>31582</v>
      </c>
      <c r="H10264" t="s">
        <v>31590</v>
      </c>
      <c r="I10264" t="s">
        <v>7185</v>
      </c>
      <c r="J10264" t="s">
        <v>32019</v>
      </c>
      <c r="K10264" t="s">
        <v>41191</v>
      </c>
      <c r="M10264" t="s">
        <v>44199</v>
      </c>
      <c r="N10264" t="s">
        <v>45095</v>
      </c>
      <c r="O10264" t="s">
        <v>45096</v>
      </c>
      <c r="P10264">
        <v>0</v>
      </c>
      <c r="Q10264">
        <v>0</v>
      </c>
      <c r="R10264" t="s">
        <v>45108</v>
      </c>
      <c r="S10264" t="s">
        <v>45434</v>
      </c>
      <c r="T10264" t="s">
        <v>46991</v>
      </c>
      <c r="U10264" t="s">
        <v>55921</v>
      </c>
      <c r="V10264" t="s">
        <v>60765</v>
      </c>
      <c r="W10264" t="s">
        <v>44199</v>
      </c>
      <c r="X10264" t="s">
        <v>45110</v>
      </c>
    </row>
    <row r="10265" spans="1:24">
      <c r="A10265">
        <f>HYPERLINK("https://www.philgeps.gov.ph/GEPSNONPILOT/Tender/SplashBidNoticeAbstractUI.aspx?menuIndex=3&amp;refID=7027087&amp;Result=3","7027087")</f>
        <v>0</v>
      </c>
      <c r="B10265" t="s">
        <v>1139</v>
      </c>
      <c r="C10265" t="s">
        <v>12986</v>
      </c>
      <c r="D10265" t="s">
        <v>18023</v>
      </c>
      <c r="E10265" t="s">
        <v>27027</v>
      </c>
      <c r="F10265" t="s">
        <v>31574</v>
      </c>
      <c r="G10265" t="s">
        <v>31582</v>
      </c>
      <c r="H10265" t="s">
        <v>31591</v>
      </c>
      <c r="I10265" t="s">
        <v>14544</v>
      </c>
      <c r="J10265" t="s">
        <v>38132</v>
      </c>
      <c r="K10265" t="s">
        <v>41186</v>
      </c>
      <c r="M10265" t="s">
        <v>42691</v>
      </c>
      <c r="N10265" t="s">
        <v>45095</v>
      </c>
      <c r="O10265" t="s">
        <v>45096</v>
      </c>
      <c r="P10265">
        <v>0</v>
      </c>
      <c r="Q10265">
        <v>2</v>
      </c>
      <c r="R10265" t="s">
        <v>45108</v>
      </c>
      <c r="S10265" t="s">
        <v>45434</v>
      </c>
      <c r="T10265" t="s">
        <v>46973</v>
      </c>
      <c r="U10265" t="s">
        <v>50194</v>
      </c>
      <c r="W10265" t="s">
        <v>42691</v>
      </c>
      <c r="X10265" t="s">
        <v>45109</v>
      </c>
    </row>
    <row r="10266" spans="1:24">
      <c r="A10266">
        <f>HYPERLINK("https://www.philgeps.gov.ph/GEPSNONPILOT/Tender/SplashBidNoticeAbstractUI.aspx?menuIndex=3&amp;refID=7026967&amp;Result=3","7026967")</f>
        <v>0</v>
      </c>
      <c r="B10266" t="s">
        <v>2714</v>
      </c>
      <c r="C10266" t="s">
        <v>12987</v>
      </c>
      <c r="D10266" t="s">
        <v>18046</v>
      </c>
      <c r="E10266" t="s">
        <v>27028</v>
      </c>
      <c r="F10266" t="s">
        <v>31574</v>
      </c>
      <c r="G10266" t="s">
        <v>31582</v>
      </c>
      <c r="H10266" t="s">
        <v>31591</v>
      </c>
      <c r="I10266" t="s">
        <v>8822</v>
      </c>
      <c r="J10266" t="s">
        <v>32986</v>
      </c>
      <c r="K10266" t="s">
        <v>41256</v>
      </c>
      <c r="M10266" t="s">
        <v>44485</v>
      </c>
      <c r="N10266" t="s">
        <v>45095</v>
      </c>
      <c r="O10266" t="s">
        <v>45096</v>
      </c>
      <c r="P10266">
        <v>0</v>
      </c>
      <c r="Q10266">
        <v>2</v>
      </c>
      <c r="R10266" t="s">
        <v>45108</v>
      </c>
      <c r="S10266" t="s">
        <v>45434</v>
      </c>
      <c r="T10266" t="s">
        <v>46943</v>
      </c>
      <c r="U10266" t="s">
        <v>55922</v>
      </c>
      <c r="W10266" t="s">
        <v>44485</v>
      </c>
      <c r="X10266" t="s">
        <v>45110</v>
      </c>
    </row>
    <row r="10267" spans="1:24">
      <c r="A10267">
        <f>HYPERLINK("https://www.philgeps.gov.ph/GEPSNONPILOT/Tender/SplashBidNoticeAbstractUI.aspx?menuIndex=3&amp;refID=7026503&amp;Result=3","7026503")</f>
        <v>0</v>
      </c>
      <c r="B10267" t="s">
        <v>2004</v>
      </c>
      <c r="C10267" t="s">
        <v>12988</v>
      </c>
      <c r="D10267" t="s">
        <v>18062</v>
      </c>
      <c r="E10267" t="s">
        <v>27029</v>
      </c>
      <c r="F10267" t="s">
        <v>31574</v>
      </c>
      <c r="G10267" t="s">
        <v>31582</v>
      </c>
      <c r="H10267" t="s">
        <v>31590</v>
      </c>
      <c r="I10267" t="s">
        <v>31607</v>
      </c>
      <c r="J10267" t="s">
        <v>35045</v>
      </c>
      <c r="K10267" t="s">
        <v>41191</v>
      </c>
      <c r="M10267" t="s">
        <v>43666</v>
      </c>
      <c r="N10267" t="s">
        <v>45095</v>
      </c>
      <c r="O10267" t="s">
        <v>45096</v>
      </c>
      <c r="P10267">
        <v>0</v>
      </c>
      <c r="Q10267">
        <v>7</v>
      </c>
      <c r="R10267" t="s">
        <v>45108</v>
      </c>
      <c r="S10267" t="s">
        <v>45434</v>
      </c>
      <c r="T10267" t="s">
        <v>47265</v>
      </c>
      <c r="U10267" t="s">
        <v>55923</v>
      </c>
      <c r="W10267" t="s">
        <v>43666</v>
      </c>
      <c r="X10267" t="s">
        <v>45110</v>
      </c>
    </row>
    <row r="10268" spans="1:24">
      <c r="A10268">
        <f>HYPERLINK("https://www.philgeps.gov.ph/GEPSNONPILOT/Tender/SplashBidNoticeAbstractUI.aspx?menuIndex=3&amp;refID=7026657&amp;Result=3","7026657")</f>
        <v>0</v>
      </c>
      <c r="B10268" t="s">
        <v>1931</v>
      </c>
      <c r="C10268" t="s">
        <v>12989</v>
      </c>
      <c r="D10268" t="s">
        <v>18029</v>
      </c>
      <c r="E10268" t="s">
        <v>27030</v>
      </c>
      <c r="F10268" t="s">
        <v>31574</v>
      </c>
      <c r="G10268" t="s">
        <v>31581</v>
      </c>
      <c r="H10268" t="s">
        <v>31590</v>
      </c>
      <c r="I10268" t="s">
        <v>31629</v>
      </c>
      <c r="J10268" t="s">
        <v>31742</v>
      </c>
      <c r="K10268" t="s">
        <v>41213</v>
      </c>
      <c r="M10268" t="s">
        <v>43585</v>
      </c>
      <c r="N10268" t="s">
        <v>45095</v>
      </c>
      <c r="O10268" t="s">
        <v>45096</v>
      </c>
      <c r="P10268">
        <v>0</v>
      </c>
      <c r="Q10268">
        <v>0</v>
      </c>
      <c r="R10268" t="s">
        <v>45108</v>
      </c>
      <c r="S10268" t="s">
        <v>45434</v>
      </c>
      <c r="T10268" t="s">
        <v>47094</v>
      </c>
      <c r="U10268" t="s">
        <v>55924</v>
      </c>
      <c r="W10268" t="s">
        <v>43585</v>
      </c>
      <c r="X10268" t="s">
        <v>45110</v>
      </c>
    </row>
    <row r="10269" spans="1:24">
      <c r="A10269">
        <f>HYPERLINK("https://www.philgeps.gov.ph/GEPSNONPILOT/Tender/SplashBidNoticeAbstractUI.aspx?menuIndex=3&amp;refID=7026636&amp;Result=3","7026636")</f>
        <v>0</v>
      </c>
      <c r="B10269" t="s">
        <v>838</v>
      </c>
      <c r="C10269" t="s">
        <v>12990</v>
      </c>
      <c r="D10269" t="s">
        <v>18059</v>
      </c>
      <c r="E10269" t="s">
        <v>27031</v>
      </c>
      <c r="F10269" t="s">
        <v>31574</v>
      </c>
      <c r="G10269" t="s">
        <v>31582</v>
      </c>
      <c r="H10269" t="s">
        <v>31591</v>
      </c>
      <c r="I10269" t="s">
        <v>8822</v>
      </c>
      <c r="J10269" t="s">
        <v>38133</v>
      </c>
      <c r="K10269" t="s">
        <v>41200</v>
      </c>
      <c r="M10269" t="s">
        <v>42357</v>
      </c>
      <c r="N10269" t="s">
        <v>45095</v>
      </c>
      <c r="O10269" t="s">
        <v>45096</v>
      </c>
      <c r="P10269">
        <v>0</v>
      </c>
      <c r="Q10269">
        <v>0</v>
      </c>
      <c r="R10269" t="s">
        <v>45108</v>
      </c>
      <c r="S10269" t="s">
        <v>45434</v>
      </c>
      <c r="T10269" t="s">
        <v>46992</v>
      </c>
      <c r="U10269" t="s">
        <v>55925</v>
      </c>
      <c r="W10269" t="s">
        <v>42357</v>
      </c>
      <c r="X10269" t="s">
        <v>45110</v>
      </c>
    </row>
    <row r="10270" spans="1:24">
      <c r="A10270">
        <f>HYPERLINK("https://www.philgeps.gov.ph/GEPSNONPILOT/Tender/SplashBidNoticeAbstractUI.aspx?menuIndex=3&amp;refID=7027086&amp;Result=3","7027086")</f>
        <v>0</v>
      </c>
      <c r="B10270" t="s">
        <v>1139</v>
      </c>
      <c r="C10270" t="s">
        <v>12991</v>
      </c>
      <c r="D10270" t="s">
        <v>18023</v>
      </c>
      <c r="E10270" t="s">
        <v>27032</v>
      </c>
      <c r="F10270" t="s">
        <v>31574</v>
      </c>
      <c r="G10270" t="s">
        <v>31582</v>
      </c>
      <c r="H10270" t="s">
        <v>31591</v>
      </c>
      <c r="I10270" t="s">
        <v>8822</v>
      </c>
      <c r="J10270" t="s">
        <v>32504</v>
      </c>
      <c r="K10270" t="s">
        <v>41192</v>
      </c>
      <c r="M10270" t="s">
        <v>42691</v>
      </c>
      <c r="N10270" t="s">
        <v>45095</v>
      </c>
      <c r="O10270" t="s">
        <v>45096</v>
      </c>
      <c r="P10270">
        <v>0</v>
      </c>
      <c r="Q10270">
        <v>11</v>
      </c>
      <c r="R10270" t="s">
        <v>45108</v>
      </c>
      <c r="S10270" t="s">
        <v>45434</v>
      </c>
      <c r="T10270" t="s">
        <v>46933</v>
      </c>
      <c r="U10270" t="s">
        <v>55926</v>
      </c>
      <c r="W10270" t="s">
        <v>42691</v>
      </c>
      <c r="X10270" t="s">
        <v>45109</v>
      </c>
    </row>
    <row r="10271" spans="1:24">
      <c r="A10271">
        <f>HYPERLINK("https://www.philgeps.gov.ph/GEPSNONPILOT/Tender/SplashBidNoticeAbstractUI.aspx?menuIndex=3&amp;refID=7027128&amp;Result=3","7027128")</f>
        <v>0</v>
      </c>
      <c r="B10271" t="s">
        <v>652</v>
      </c>
      <c r="C10271" t="s">
        <v>12992</v>
      </c>
      <c r="D10271" t="s">
        <v>18073</v>
      </c>
      <c r="E10271" t="s">
        <v>27033</v>
      </c>
      <c r="F10271" t="s">
        <v>31574</v>
      </c>
      <c r="G10271" t="s">
        <v>31582</v>
      </c>
      <c r="H10271" t="s">
        <v>31590</v>
      </c>
      <c r="I10271" t="s">
        <v>7185</v>
      </c>
      <c r="J10271" t="s">
        <v>38134</v>
      </c>
      <c r="K10271" t="s">
        <v>41190</v>
      </c>
      <c r="M10271" t="s">
        <v>42156</v>
      </c>
      <c r="N10271" t="s">
        <v>45095</v>
      </c>
      <c r="O10271" t="s">
        <v>45096</v>
      </c>
      <c r="P10271">
        <v>0</v>
      </c>
      <c r="Q10271">
        <v>6</v>
      </c>
      <c r="R10271" t="s">
        <v>45108</v>
      </c>
      <c r="S10271" t="s">
        <v>45434</v>
      </c>
      <c r="T10271" t="s">
        <v>47058</v>
      </c>
      <c r="U10271" t="s">
        <v>55927</v>
      </c>
      <c r="W10271" t="s">
        <v>42156</v>
      </c>
      <c r="X10271" t="s">
        <v>45109</v>
      </c>
    </row>
    <row r="10272" spans="1:24">
      <c r="A10272">
        <f>HYPERLINK("https://www.philgeps.gov.ph/GEPSNONPILOT/Tender/SplashBidNoticeAbstractUI.aspx?menuIndex=3&amp;refID=7026593&amp;Result=3","7026593")</f>
        <v>0</v>
      </c>
      <c r="B10272" t="s">
        <v>1931</v>
      </c>
      <c r="C10272" t="s">
        <v>12993</v>
      </c>
      <c r="D10272" t="s">
        <v>18029</v>
      </c>
      <c r="E10272" t="s">
        <v>27034</v>
      </c>
      <c r="F10272" t="s">
        <v>31574</v>
      </c>
      <c r="G10272" t="s">
        <v>31581</v>
      </c>
      <c r="H10272" t="s">
        <v>31590</v>
      </c>
      <c r="I10272" t="s">
        <v>31629</v>
      </c>
      <c r="J10272" t="s">
        <v>38135</v>
      </c>
      <c r="K10272" t="s">
        <v>41213</v>
      </c>
      <c r="M10272" t="s">
        <v>43585</v>
      </c>
      <c r="N10272" t="s">
        <v>45095</v>
      </c>
      <c r="O10272" t="s">
        <v>45096</v>
      </c>
      <c r="P10272">
        <v>0</v>
      </c>
      <c r="Q10272">
        <v>0</v>
      </c>
      <c r="R10272" t="s">
        <v>45108</v>
      </c>
      <c r="S10272" t="s">
        <v>45434</v>
      </c>
      <c r="T10272" t="s">
        <v>47094</v>
      </c>
      <c r="U10272" t="s">
        <v>55928</v>
      </c>
      <c r="W10272" t="s">
        <v>43585</v>
      </c>
      <c r="X10272" t="s">
        <v>45110</v>
      </c>
    </row>
    <row r="10273" spans="1:24">
      <c r="A10273">
        <f>HYPERLINK("https://www.philgeps.gov.ph/GEPSNONPILOT/Tender/SplashBidNoticeAbstractUI.aspx?menuIndex=3&amp;refID=7026649&amp;Result=3","7026649")</f>
        <v>0</v>
      </c>
      <c r="B10273" t="s">
        <v>2713</v>
      </c>
      <c r="C10273" t="s">
        <v>12994</v>
      </c>
      <c r="E10273" t="s">
        <v>27035</v>
      </c>
      <c r="F10273" t="s">
        <v>31574</v>
      </c>
      <c r="G10273" t="s">
        <v>31582</v>
      </c>
      <c r="H10273" t="s">
        <v>31591</v>
      </c>
      <c r="I10273" t="s">
        <v>8822</v>
      </c>
      <c r="J10273" t="s">
        <v>32716</v>
      </c>
      <c r="K10273" t="s">
        <v>41190</v>
      </c>
      <c r="M10273" t="s">
        <v>44484</v>
      </c>
      <c r="N10273" t="s">
        <v>45095</v>
      </c>
      <c r="O10273" t="s">
        <v>45096</v>
      </c>
      <c r="P10273">
        <v>0</v>
      </c>
      <c r="Q10273">
        <v>1</v>
      </c>
      <c r="R10273" t="s">
        <v>45108</v>
      </c>
      <c r="S10273" t="s">
        <v>45434</v>
      </c>
      <c r="T10273" t="s">
        <v>46937</v>
      </c>
      <c r="U10273" t="s">
        <v>55919</v>
      </c>
      <c r="W10273" t="s">
        <v>44484</v>
      </c>
      <c r="X10273" t="s">
        <v>45110</v>
      </c>
    </row>
    <row r="10274" spans="1:24">
      <c r="A10274">
        <f>HYPERLINK("https://www.philgeps.gov.ph/GEPSNONPILOT/Tender/SplashBidNoticeAbstractUI.aspx?menuIndex=3&amp;refID=7027088&amp;Result=3","7027088")</f>
        <v>0</v>
      </c>
      <c r="B10274" t="s">
        <v>1639</v>
      </c>
      <c r="C10274" t="s">
        <v>12995</v>
      </c>
      <c r="E10274" t="s">
        <v>27036</v>
      </c>
      <c r="F10274" t="s">
        <v>31574</v>
      </c>
      <c r="G10274" t="s">
        <v>31582</v>
      </c>
      <c r="H10274" t="s">
        <v>31590</v>
      </c>
      <c r="I10274" t="s">
        <v>31667</v>
      </c>
      <c r="J10274" t="s">
        <v>38136</v>
      </c>
      <c r="K10274" t="s">
        <v>41184</v>
      </c>
      <c r="M10274" t="s">
        <v>43248</v>
      </c>
      <c r="N10274" t="s">
        <v>45095</v>
      </c>
      <c r="O10274" t="s">
        <v>45096</v>
      </c>
      <c r="P10274">
        <v>0</v>
      </c>
      <c r="Q10274">
        <v>0</v>
      </c>
      <c r="R10274" t="s">
        <v>45108</v>
      </c>
      <c r="S10274" t="s">
        <v>45434</v>
      </c>
      <c r="T10274" t="s">
        <v>46914</v>
      </c>
      <c r="U10274" t="s">
        <v>55929</v>
      </c>
      <c r="W10274" t="s">
        <v>43248</v>
      </c>
      <c r="X10274" t="s">
        <v>45109</v>
      </c>
    </row>
    <row r="10275" spans="1:24">
      <c r="A10275">
        <f>HYPERLINK("https://www.philgeps.gov.ph/GEPSNONPILOT/Tender/SplashBidNoticeAbstractUI.aspx?menuIndex=3&amp;refID=7027136&amp;Result=3","7027136")</f>
        <v>0</v>
      </c>
      <c r="B10275" t="s">
        <v>2715</v>
      </c>
      <c r="C10275" t="s">
        <v>12996</v>
      </c>
      <c r="D10275" t="s">
        <v>18090</v>
      </c>
      <c r="E10275" t="s">
        <v>27037</v>
      </c>
      <c r="F10275" t="s">
        <v>31574</v>
      </c>
      <c r="G10275" t="s">
        <v>31582</v>
      </c>
      <c r="H10275" t="s">
        <v>31591</v>
      </c>
      <c r="I10275" t="s">
        <v>8822</v>
      </c>
      <c r="J10275" t="s">
        <v>38137</v>
      </c>
      <c r="K10275" t="s">
        <v>41273</v>
      </c>
      <c r="M10275" t="s">
        <v>44486</v>
      </c>
      <c r="N10275" t="s">
        <v>45095</v>
      </c>
      <c r="O10275" t="s">
        <v>45096</v>
      </c>
      <c r="P10275">
        <v>0</v>
      </c>
      <c r="Q10275">
        <v>1</v>
      </c>
      <c r="R10275" t="s">
        <v>45108</v>
      </c>
      <c r="S10275" t="s">
        <v>45434</v>
      </c>
      <c r="T10275" t="s">
        <v>47183</v>
      </c>
      <c r="U10275" t="s">
        <v>55930</v>
      </c>
      <c r="W10275" t="s">
        <v>44486</v>
      </c>
      <c r="X10275" t="s">
        <v>45109</v>
      </c>
    </row>
    <row r="10276" spans="1:24">
      <c r="A10276">
        <f>HYPERLINK("https://www.philgeps.gov.ph/GEPSNONPILOT/Tender/SplashBidNoticeAbstractUI.aspx?menuIndex=3&amp;refID=7027129&amp;Result=3","7027129")</f>
        <v>0</v>
      </c>
      <c r="B10276" t="s">
        <v>1553</v>
      </c>
      <c r="C10276" t="s">
        <v>12997</v>
      </c>
      <c r="D10276" t="s">
        <v>18068</v>
      </c>
      <c r="E10276" t="s">
        <v>27038</v>
      </c>
      <c r="F10276" t="s">
        <v>31574</v>
      </c>
      <c r="G10276" t="s">
        <v>31582</v>
      </c>
      <c r="H10276" t="s">
        <v>31591</v>
      </c>
      <c r="I10276" t="s">
        <v>8822</v>
      </c>
      <c r="J10276" t="s">
        <v>38138</v>
      </c>
      <c r="K10276" t="s">
        <v>41200</v>
      </c>
      <c r="M10276" t="s">
        <v>43151</v>
      </c>
      <c r="N10276" t="s">
        <v>45095</v>
      </c>
      <c r="O10276" t="s">
        <v>45096</v>
      </c>
      <c r="P10276">
        <v>0</v>
      </c>
      <c r="Q10276">
        <v>1</v>
      </c>
      <c r="R10276" t="s">
        <v>45108</v>
      </c>
      <c r="S10276" t="s">
        <v>45434</v>
      </c>
      <c r="T10276" t="s">
        <v>46992</v>
      </c>
      <c r="U10276" t="s">
        <v>55931</v>
      </c>
      <c r="W10276" t="s">
        <v>43151</v>
      </c>
      <c r="X10276" t="s">
        <v>45109</v>
      </c>
    </row>
    <row r="10277" spans="1:24">
      <c r="A10277">
        <f>HYPERLINK("https://www.philgeps.gov.ph/GEPSNONPILOT/Tender/SplashBidNoticeAbstractUI.aspx?menuIndex=3&amp;refID=7027127&amp;Result=3","7027127")</f>
        <v>0</v>
      </c>
      <c r="B10277" t="s">
        <v>59</v>
      </c>
      <c r="C10277" t="s">
        <v>12998</v>
      </c>
      <c r="D10277" t="s">
        <v>18048</v>
      </c>
      <c r="E10277" t="s">
        <v>27039</v>
      </c>
      <c r="F10277" t="s">
        <v>31574</v>
      </c>
      <c r="G10277" t="s">
        <v>31581</v>
      </c>
      <c r="H10277" t="s">
        <v>31590</v>
      </c>
      <c r="I10277" t="s">
        <v>31623</v>
      </c>
      <c r="J10277" t="s">
        <v>38139</v>
      </c>
      <c r="K10277" t="s">
        <v>41186</v>
      </c>
      <c r="M10277" t="s">
        <v>43751</v>
      </c>
      <c r="N10277" t="s">
        <v>45095</v>
      </c>
      <c r="O10277" t="s">
        <v>45096</v>
      </c>
      <c r="Q10277">
        <v>0</v>
      </c>
      <c r="R10277" t="s">
        <v>45108</v>
      </c>
      <c r="S10277" t="s">
        <v>45437</v>
      </c>
      <c r="T10277" t="s">
        <v>46918</v>
      </c>
      <c r="U10277" t="s">
        <v>55932</v>
      </c>
      <c r="W10277" t="s">
        <v>43751</v>
      </c>
      <c r="X10277" t="s">
        <v>45109</v>
      </c>
    </row>
    <row r="10278" spans="1:24">
      <c r="A10278">
        <f>HYPERLINK("https://www.philgeps.gov.ph/GEPSNONPILOT/Tender/SplashBidNoticeAbstractUI.aspx?menuIndex=3&amp;refID=7026581&amp;Result=3","7026581")</f>
        <v>0</v>
      </c>
      <c r="B10278" t="s">
        <v>2713</v>
      </c>
      <c r="C10278" t="s">
        <v>12999</v>
      </c>
      <c r="E10278" t="s">
        <v>27040</v>
      </c>
      <c r="F10278" t="s">
        <v>31574</v>
      </c>
      <c r="G10278" t="s">
        <v>31582</v>
      </c>
      <c r="H10278" t="s">
        <v>31591</v>
      </c>
      <c r="I10278" t="s">
        <v>8822</v>
      </c>
      <c r="J10278" t="s">
        <v>38140</v>
      </c>
      <c r="K10278" t="s">
        <v>41189</v>
      </c>
      <c r="M10278" t="s">
        <v>44484</v>
      </c>
      <c r="N10278" t="s">
        <v>45095</v>
      </c>
      <c r="O10278" t="s">
        <v>45096</v>
      </c>
      <c r="P10278">
        <v>0</v>
      </c>
      <c r="Q10278">
        <v>4</v>
      </c>
      <c r="R10278" t="s">
        <v>45108</v>
      </c>
      <c r="S10278" t="s">
        <v>45434</v>
      </c>
      <c r="T10278" t="s">
        <v>46937</v>
      </c>
      <c r="U10278" t="s">
        <v>55919</v>
      </c>
      <c r="W10278" t="s">
        <v>44484</v>
      </c>
      <c r="X10278" t="s">
        <v>45110</v>
      </c>
    </row>
    <row r="10279" spans="1:24">
      <c r="A10279">
        <f>HYPERLINK("https://www.philgeps.gov.ph/GEPSNONPILOT/Tender/SplashBidNoticeAbstractUI.aspx?menuIndex=3&amp;refID=7027130&amp;Result=3","7027130")</f>
        <v>0</v>
      </c>
      <c r="B10279" t="s">
        <v>159</v>
      </c>
      <c r="C10279" t="s">
        <v>13000</v>
      </c>
      <c r="D10279" t="s">
        <v>18046</v>
      </c>
      <c r="E10279" t="s">
        <v>27041</v>
      </c>
      <c r="F10279" t="s">
        <v>31574</v>
      </c>
      <c r="G10279" t="s">
        <v>31582</v>
      </c>
      <c r="H10279" t="s">
        <v>31590</v>
      </c>
      <c r="I10279" t="s">
        <v>4046</v>
      </c>
      <c r="J10279" t="s">
        <v>38141</v>
      </c>
      <c r="K10279" t="s">
        <v>41186</v>
      </c>
      <c r="M10279" t="s">
        <v>41643</v>
      </c>
      <c r="N10279" t="s">
        <v>45095</v>
      </c>
      <c r="O10279" t="s">
        <v>45096</v>
      </c>
      <c r="P10279">
        <v>0</v>
      </c>
      <c r="Q10279">
        <v>0</v>
      </c>
      <c r="R10279" t="s">
        <v>45108</v>
      </c>
      <c r="S10279" t="s">
        <v>45434</v>
      </c>
      <c r="T10279" t="s">
        <v>46992</v>
      </c>
      <c r="U10279" t="s">
        <v>47772</v>
      </c>
      <c r="V10279" t="s">
        <v>59890</v>
      </c>
      <c r="W10279" t="s">
        <v>41643</v>
      </c>
      <c r="X10279" t="s">
        <v>45109</v>
      </c>
    </row>
    <row r="10280" spans="1:24">
      <c r="A10280">
        <f>HYPERLINK("https://www.philgeps.gov.ph/GEPSNONPILOT/Tender/SplashBidNoticeAbstractUI.aspx?menuIndex=3&amp;refID=7027141&amp;Result=3","7027141")</f>
        <v>0</v>
      </c>
      <c r="B10280" t="s">
        <v>180</v>
      </c>
      <c r="C10280" t="s">
        <v>13001</v>
      </c>
      <c r="D10280" t="s">
        <v>18066</v>
      </c>
      <c r="E10280" t="s">
        <v>27042</v>
      </c>
      <c r="F10280" t="s">
        <v>31574</v>
      </c>
      <c r="G10280" t="s">
        <v>31582</v>
      </c>
      <c r="H10280" t="s">
        <v>31590</v>
      </c>
      <c r="I10280" t="s">
        <v>4327</v>
      </c>
      <c r="J10280" t="s">
        <v>32811</v>
      </c>
      <c r="K10280" t="s">
        <v>41196</v>
      </c>
      <c r="M10280" t="s">
        <v>41665</v>
      </c>
      <c r="N10280" t="s">
        <v>45095</v>
      </c>
      <c r="O10280" t="s">
        <v>45096</v>
      </c>
      <c r="P10280">
        <v>0</v>
      </c>
      <c r="Q10280">
        <v>0</v>
      </c>
      <c r="R10280" t="s">
        <v>45108</v>
      </c>
      <c r="S10280" t="s">
        <v>45434</v>
      </c>
      <c r="T10280" t="s">
        <v>46932</v>
      </c>
      <c r="U10280" t="s">
        <v>55933</v>
      </c>
      <c r="W10280" t="s">
        <v>41665</v>
      </c>
      <c r="X10280" t="s">
        <v>45109</v>
      </c>
    </row>
    <row r="10281" spans="1:24">
      <c r="A10281">
        <f>HYPERLINK("https://www.philgeps.gov.ph/GEPSNONPILOT/Tender/SplashBidNoticeAbstractUI.aspx?menuIndex=3&amp;refID=7026555&amp;Result=3","7026555")</f>
        <v>0</v>
      </c>
      <c r="B10281" t="s">
        <v>2713</v>
      </c>
      <c r="C10281" t="s">
        <v>13002</v>
      </c>
      <c r="E10281" t="s">
        <v>27043</v>
      </c>
      <c r="F10281" t="s">
        <v>31574</v>
      </c>
      <c r="G10281" t="s">
        <v>31582</v>
      </c>
      <c r="H10281" t="s">
        <v>31591</v>
      </c>
      <c r="I10281" t="s">
        <v>8822</v>
      </c>
      <c r="J10281" t="s">
        <v>38142</v>
      </c>
      <c r="K10281" t="s">
        <v>41192</v>
      </c>
      <c r="M10281" t="s">
        <v>44484</v>
      </c>
      <c r="N10281" t="s">
        <v>45095</v>
      </c>
      <c r="O10281" t="s">
        <v>45096</v>
      </c>
      <c r="P10281">
        <v>0</v>
      </c>
      <c r="Q10281">
        <v>3</v>
      </c>
      <c r="R10281" t="s">
        <v>45108</v>
      </c>
      <c r="S10281" t="s">
        <v>45434</v>
      </c>
      <c r="T10281" t="s">
        <v>46937</v>
      </c>
      <c r="U10281" t="s">
        <v>55919</v>
      </c>
      <c r="W10281" t="s">
        <v>44484</v>
      </c>
      <c r="X10281" t="s">
        <v>45110</v>
      </c>
    </row>
    <row r="10282" spans="1:24">
      <c r="A10282">
        <f>HYPERLINK("https://www.philgeps.gov.ph/GEPSNONPILOT/Tender/SplashBidNoticeAbstractUI.aspx?menuIndex=3&amp;refID=7027147&amp;Result=3","7027147")</f>
        <v>0</v>
      </c>
      <c r="B10282" t="s">
        <v>1553</v>
      </c>
      <c r="C10282" t="s">
        <v>13003</v>
      </c>
      <c r="D10282" t="s">
        <v>18068</v>
      </c>
      <c r="E10282" t="s">
        <v>20407</v>
      </c>
      <c r="F10282" t="s">
        <v>31574</v>
      </c>
      <c r="G10282" t="s">
        <v>31582</v>
      </c>
      <c r="H10282" t="s">
        <v>31591</v>
      </c>
      <c r="I10282" t="s">
        <v>8822</v>
      </c>
      <c r="J10282" t="s">
        <v>38143</v>
      </c>
      <c r="K10282" t="s">
        <v>41200</v>
      </c>
      <c r="M10282" t="s">
        <v>43151</v>
      </c>
      <c r="N10282" t="s">
        <v>45095</v>
      </c>
      <c r="O10282" t="s">
        <v>45096</v>
      </c>
      <c r="P10282">
        <v>0</v>
      </c>
      <c r="Q10282">
        <v>1</v>
      </c>
      <c r="R10282" t="s">
        <v>45108</v>
      </c>
      <c r="S10282" t="s">
        <v>45434</v>
      </c>
      <c r="T10282" t="s">
        <v>46992</v>
      </c>
      <c r="U10282" t="s">
        <v>55934</v>
      </c>
      <c r="W10282" t="s">
        <v>43151</v>
      </c>
      <c r="X10282" t="s">
        <v>45109</v>
      </c>
    </row>
    <row r="10283" spans="1:24">
      <c r="A10283">
        <f>HYPERLINK("https://www.philgeps.gov.ph/GEPSNONPILOT/Tender/SplashBidNoticeAbstractUI.aspx?menuIndex=3&amp;refID=7027162&amp;Result=3","7027162")</f>
        <v>0</v>
      </c>
      <c r="B10283" t="s">
        <v>2455</v>
      </c>
      <c r="C10283" t="s">
        <v>13004</v>
      </c>
      <c r="E10283" t="s">
        <v>27044</v>
      </c>
      <c r="F10283" t="s">
        <v>31574</v>
      </c>
      <c r="G10283" t="s">
        <v>31582</v>
      </c>
      <c r="H10283" t="s">
        <v>31590</v>
      </c>
      <c r="I10283" t="s">
        <v>4046</v>
      </c>
      <c r="J10283" t="s">
        <v>38144</v>
      </c>
      <c r="K10283" t="s">
        <v>41186</v>
      </c>
      <c r="M10283" t="s">
        <v>44184</v>
      </c>
      <c r="N10283" t="s">
        <v>45095</v>
      </c>
      <c r="O10283" t="s">
        <v>45096</v>
      </c>
      <c r="P10283">
        <v>0</v>
      </c>
      <c r="Q10283">
        <v>1</v>
      </c>
      <c r="R10283" t="s">
        <v>45108</v>
      </c>
      <c r="S10283" t="s">
        <v>45434</v>
      </c>
      <c r="T10283" t="s">
        <v>46991</v>
      </c>
      <c r="U10283" t="s">
        <v>51835</v>
      </c>
      <c r="W10283" t="s">
        <v>44184</v>
      </c>
      <c r="X10283" t="s">
        <v>45109</v>
      </c>
    </row>
    <row r="10284" spans="1:24">
      <c r="A10284">
        <f>HYPERLINK("https://www.philgeps.gov.ph/GEPSNONPILOT/Tender/SplashBidNoticeAbstractUI.aspx?menuIndex=3&amp;refID=7027156&amp;Result=3","7027156")</f>
        <v>0</v>
      </c>
      <c r="B10284" t="s">
        <v>2455</v>
      </c>
      <c r="C10284" t="s">
        <v>13005</v>
      </c>
      <c r="E10284" t="s">
        <v>27045</v>
      </c>
      <c r="F10284" t="s">
        <v>31574</v>
      </c>
      <c r="G10284" t="s">
        <v>31582</v>
      </c>
      <c r="H10284" t="s">
        <v>31590</v>
      </c>
      <c r="I10284" t="s">
        <v>4046</v>
      </c>
      <c r="J10284" t="s">
        <v>38145</v>
      </c>
      <c r="K10284" t="s">
        <v>41186</v>
      </c>
      <c r="M10284" t="s">
        <v>44184</v>
      </c>
      <c r="N10284" t="s">
        <v>45095</v>
      </c>
      <c r="O10284" t="s">
        <v>45096</v>
      </c>
      <c r="P10284">
        <v>0</v>
      </c>
      <c r="Q10284">
        <v>4</v>
      </c>
      <c r="R10284" t="s">
        <v>45108</v>
      </c>
      <c r="S10284" t="s">
        <v>45434</v>
      </c>
      <c r="T10284" t="s">
        <v>46991</v>
      </c>
      <c r="U10284" t="s">
        <v>51835</v>
      </c>
      <c r="W10284" t="s">
        <v>44184</v>
      </c>
      <c r="X10284" t="s">
        <v>45109</v>
      </c>
    </row>
    <row r="10285" spans="1:24">
      <c r="A10285">
        <f>HYPERLINK("https://www.philgeps.gov.ph/GEPSNONPILOT/Tender/SplashBidNoticeAbstractUI.aspx?menuIndex=3&amp;refID=7027174&amp;Result=3","7027174")</f>
        <v>0</v>
      </c>
      <c r="B10285" t="s">
        <v>2455</v>
      </c>
      <c r="C10285" t="s">
        <v>13006</v>
      </c>
      <c r="E10285" t="s">
        <v>27046</v>
      </c>
      <c r="F10285" t="s">
        <v>31574</v>
      </c>
      <c r="G10285" t="s">
        <v>31582</v>
      </c>
      <c r="H10285" t="s">
        <v>31590</v>
      </c>
      <c r="I10285" t="s">
        <v>4046</v>
      </c>
      <c r="J10285" t="s">
        <v>38146</v>
      </c>
      <c r="K10285" t="s">
        <v>41186</v>
      </c>
      <c r="M10285" t="s">
        <v>44184</v>
      </c>
      <c r="N10285" t="s">
        <v>45095</v>
      </c>
      <c r="O10285" t="s">
        <v>45096</v>
      </c>
      <c r="P10285">
        <v>0</v>
      </c>
      <c r="Q10285">
        <v>3</v>
      </c>
      <c r="R10285" t="s">
        <v>45108</v>
      </c>
      <c r="S10285" t="s">
        <v>45434</v>
      </c>
      <c r="T10285" t="s">
        <v>46991</v>
      </c>
      <c r="U10285" t="s">
        <v>51835</v>
      </c>
      <c r="W10285" t="s">
        <v>44184</v>
      </c>
      <c r="X10285" t="s">
        <v>45109</v>
      </c>
    </row>
    <row r="10286" spans="1:24">
      <c r="A10286">
        <f>HYPERLINK("https://www.philgeps.gov.ph/GEPSNONPILOT/Tender/SplashBidNoticeAbstractUI.aspx?menuIndex=3&amp;refID=7027169&amp;Result=3","7027169")</f>
        <v>0</v>
      </c>
      <c r="B10286" t="s">
        <v>2169</v>
      </c>
      <c r="C10286" t="s">
        <v>13007</v>
      </c>
      <c r="D10286" t="s">
        <v>18046</v>
      </c>
      <c r="E10286" t="s">
        <v>27047</v>
      </c>
      <c r="F10286" t="s">
        <v>31575</v>
      </c>
      <c r="G10286" t="s">
        <v>31581</v>
      </c>
      <c r="H10286" t="s">
        <v>31590</v>
      </c>
      <c r="I10286" t="s">
        <v>6800</v>
      </c>
      <c r="J10286" t="s">
        <v>31848</v>
      </c>
      <c r="K10286" t="s">
        <v>41186</v>
      </c>
      <c r="M10286" t="s">
        <v>43854</v>
      </c>
      <c r="N10286" t="s">
        <v>45095</v>
      </c>
      <c r="O10286" t="s">
        <v>45096</v>
      </c>
      <c r="P10286">
        <v>0</v>
      </c>
      <c r="Q10286">
        <v>0</v>
      </c>
      <c r="R10286" t="s">
        <v>45108</v>
      </c>
      <c r="S10286" t="s">
        <v>45434</v>
      </c>
      <c r="T10286" t="s">
        <v>47076</v>
      </c>
      <c r="U10286" t="s">
        <v>53566</v>
      </c>
      <c r="V10286" t="s">
        <v>60631</v>
      </c>
      <c r="W10286" t="s">
        <v>61728</v>
      </c>
      <c r="X10286" t="s">
        <v>45109</v>
      </c>
    </row>
    <row r="10287" spans="1:24">
      <c r="A10287">
        <f>HYPERLINK("https://www.philgeps.gov.ph/GEPSNONPILOT/Tender/SplashBidNoticeAbstractUI.aspx?menuIndex=3&amp;refID=7027187&amp;Result=3","7027187")</f>
        <v>0</v>
      </c>
      <c r="B10287" t="s">
        <v>360</v>
      </c>
      <c r="C10287" t="s">
        <v>13008</v>
      </c>
      <c r="D10287" t="s">
        <v>18078</v>
      </c>
      <c r="E10287" t="s">
        <v>27048</v>
      </c>
      <c r="F10287" t="s">
        <v>31574</v>
      </c>
      <c r="G10287" t="s">
        <v>31582</v>
      </c>
      <c r="H10287" t="s">
        <v>31590</v>
      </c>
      <c r="I10287" t="s">
        <v>7185</v>
      </c>
      <c r="J10287" t="s">
        <v>32325</v>
      </c>
      <c r="K10287" t="s">
        <v>41196</v>
      </c>
      <c r="M10287" t="s">
        <v>41850</v>
      </c>
      <c r="N10287" t="s">
        <v>45095</v>
      </c>
      <c r="O10287" t="s">
        <v>45096</v>
      </c>
      <c r="P10287">
        <v>0</v>
      </c>
      <c r="Q10287">
        <v>1</v>
      </c>
      <c r="R10287" t="s">
        <v>45108</v>
      </c>
      <c r="S10287" t="s">
        <v>45434</v>
      </c>
      <c r="T10287" t="s">
        <v>46922</v>
      </c>
      <c r="U10287" t="s">
        <v>55935</v>
      </c>
      <c r="W10287" t="s">
        <v>41850</v>
      </c>
      <c r="X10287" t="s">
        <v>45109</v>
      </c>
    </row>
    <row r="10288" spans="1:24">
      <c r="A10288">
        <f>HYPERLINK("https://www.philgeps.gov.ph/GEPSNONPILOT/Tender/SplashBidNoticeAbstractUI.aspx?menuIndex=3&amp;refID=7027267&amp;Result=3","7027267")</f>
        <v>0</v>
      </c>
      <c r="B10288" t="s">
        <v>2716</v>
      </c>
      <c r="C10288" t="s">
        <v>13009</v>
      </c>
      <c r="D10288" t="s">
        <v>18092</v>
      </c>
      <c r="E10288" t="s">
        <v>27049</v>
      </c>
      <c r="F10288" t="s">
        <v>31574</v>
      </c>
      <c r="G10288" t="s">
        <v>31583</v>
      </c>
      <c r="H10288" t="s">
        <v>31590</v>
      </c>
      <c r="I10288" t="s">
        <v>6800</v>
      </c>
      <c r="J10288" t="s">
        <v>38147</v>
      </c>
      <c r="K10288" t="s">
        <v>41193</v>
      </c>
      <c r="M10288" t="s">
        <v>44487</v>
      </c>
      <c r="N10288" t="s">
        <v>45095</v>
      </c>
      <c r="O10288" t="s">
        <v>45096</v>
      </c>
      <c r="P10288">
        <v>0</v>
      </c>
      <c r="Q10288">
        <v>1</v>
      </c>
      <c r="R10288" t="s">
        <v>45108</v>
      </c>
      <c r="S10288" t="s">
        <v>45434</v>
      </c>
      <c r="T10288" t="s">
        <v>47076</v>
      </c>
      <c r="U10288" t="s">
        <v>55936</v>
      </c>
      <c r="W10288" t="s">
        <v>44487</v>
      </c>
      <c r="X10288" t="s">
        <v>45109</v>
      </c>
    </row>
    <row r="10289" spans="1:24">
      <c r="A10289">
        <f>HYPERLINK("https://www.philgeps.gov.ph/GEPSNONPILOT/Tender/SplashBidNoticeAbstractUI.aspx?menuIndex=3&amp;refID=7027259&amp;Result=3","7027259")</f>
        <v>0</v>
      </c>
      <c r="B10289" t="s">
        <v>180</v>
      </c>
      <c r="C10289" t="s">
        <v>13010</v>
      </c>
      <c r="D10289" t="s">
        <v>18066</v>
      </c>
      <c r="E10289" t="s">
        <v>27050</v>
      </c>
      <c r="F10289" t="s">
        <v>31574</v>
      </c>
      <c r="G10289" t="s">
        <v>31582</v>
      </c>
      <c r="H10289" t="s">
        <v>31590</v>
      </c>
      <c r="I10289" t="s">
        <v>3487</v>
      </c>
      <c r="J10289" t="s">
        <v>38148</v>
      </c>
      <c r="K10289" t="s">
        <v>41196</v>
      </c>
      <c r="M10289" t="s">
        <v>41665</v>
      </c>
      <c r="N10289" t="s">
        <v>45095</v>
      </c>
      <c r="O10289" t="s">
        <v>45096</v>
      </c>
      <c r="P10289">
        <v>0</v>
      </c>
      <c r="Q10289">
        <v>2</v>
      </c>
      <c r="R10289" t="s">
        <v>45108</v>
      </c>
      <c r="S10289" t="s">
        <v>45434</v>
      </c>
      <c r="T10289" t="s">
        <v>46932</v>
      </c>
      <c r="U10289" t="s">
        <v>55937</v>
      </c>
      <c r="W10289" t="s">
        <v>41665</v>
      </c>
      <c r="X10289" t="s">
        <v>45109</v>
      </c>
    </row>
    <row r="10290" spans="1:24">
      <c r="A10290">
        <f>HYPERLINK("https://www.philgeps.gov.ph/GEPSNONPILOT/Tender/SplashBidNoticeAbstractUI.aspx?menuIndex=3&amp;refID=7027227&amp;Result=3","7027227")</f>
        <v>0</v>
      </c>
      <c r="B10290" t="s">
        <v>1595</v>
      </c>
      <c r="C10290" t="s">
        <v>13011</v>
      </c>
      <c r="D10290" t="s">
        <v>18094</v>
      </c>
      <c r="E10290" t="s">
        <v>27051</v>
      </c>
      <c r="F10290" t="s">
        <v>31574</v>
      </c>
      <c r="G10290" t="s">
        <v>31582</v>
      </c>
      <c r="H10290" t="s">
        <v>31591</v>
      </c>
      <c r="I10290" t="s">
        <v>8822</v>
      </c>
      <c r="J10290" t="s">
        <v>38149</v>
      </c>
      <c r="K10290" t="s">
        <v>41198</v>
      </c>
      <c r="M10290" t="s">
        <v>43199</v>
      </c>
      <c r="N10290" t="s">
        <v>45095</v>
      </c>
      <c r="O10290" t="s">
        <v>45096</v>
      </c>
      <c r="P10290">
        <v>0</v>
      </c>
      <c r="Q10290">
        <v>3</v>
      </c>
      <c r="R10290" t="s">
        <v>45108</v>
      </c>
      <c r="S10290" t="s">
        <v>45434</v>
      </c>
      <c r="T10290" t="s">
        <v>47348</v>
      </c>
      <c r="U10290" t="s">
        <v>55938</v>
      </c>
      <c r="W10290" t="s">
        <v>43199</v>
      </c>
      <c r="X10290" t="s">
        <v>45109</v>
      </c>
    </row>
    <row r="10291" spans="1:24">
      <c r="A10291">
        <f>HYPERLINK("https://www.philgeps.gov.ph/GEPSNONPILOT/Tender/SplashBidNoticeAbstractUI.aspx?menuIndex=3&amp;refID=7027225&amp;Result=3","7027225")</f>
        <v>0</v>
      </c>
      <c r="B10291" t="s">
        <v>360</v>
      </c>
      <c r="C10291" t="s">
        <v>13012</v>
      </c>
      <c r="D10291" t="s">
        <v>18078</v>
      </c>
      <c r="E10291" t="s">
        <v>27052</v>
      </c>
      <c r="F10291" t="s">
        <v>31574</v>
      </c>
      <c r="G10291" t="s">
        <v>31582</v>
      </c>
      <c r="H10291" t="s">
        <v>31590</v>
      </c>
      <c r="I10291" t="s">
        <v>5717</v>
      </c>
      <c r="J10291" t="s">
        <v>38150</v>
      </c>
      <c r="K10291" t="s">
        <v>41196</v>
      </c>
      <c r="M10291" t="s">
        <v>41850</v>
      </c>
      <c r="N10291" t="s">
        <v>45095</v>
      </c>
      <c r="O10291" t="s">
        <v>45096</v>
      </c>
      <c r="P10291">
        <v>0</v>
      </c>
      <c r="Q10291">
        <v>2</v>
      </c>
      <c r="R10291" t="s">
        <v>45108</v>
      </c>
      <c r="S10291" t="s">
        <v>45434</v>
      </c>
      <c r="T10291" t="s">
        <v>46937</v>
      </c>
      <c r="U10291" t="s">
        <v>55939</v>
      </c>
      <c r="W10291" t="s">
        <v>41850</v>
      </c>
      <c r="X10291" t="s">
        <v>45109</v>
      </c>
    </row>
    <row r="10292" spans="1:24">
      <c r="A10292">
        <f>HYPERLINK("https://www.philgeps.gov.ph/GEPSNONPILOT/Tender/SplashBidNoticeAbstractUI.aspx?menuIndex=3&amp;refID=7027224&amp;Result=3","7027224")</f>
        <v>0</v>
      </c>
      <c r="B10292" t="s">
        <v>319</v>
      </c>
      <c r="C10292" t="s">
        <v>13013</v>
      </c>
      <c r="D10292" t="s">
        <v>18065</v>
      </c>
      <c r="E10292" t="s">
        <v>27053</v>
      </c>
      <c r="F10292" t="s">
        <v>31574</v>
      </c>
      <c r="G10292" t="s">
        <v>31582</v>
      </c>
      <c r="H10292" t="s">
        <v>31590</v>
      </c>
      <c r="I10292" t="s">
        <v>8258</v>
      </c>
      <c r="J10292" t="s">
        <v>34224</v>
      </c>
      <c r="K10292" t="s">
        <v>41193</v>
      </c>
      <c r="M10292" t="s">
        <v>41807</v>
      </c>
      <c r="N10292" t="s">
        <v>45095</v>
      </c>
      <c r="O10292" t="s">
        <v>45096</v>
      </c>
      <c r="P10292">
        <v>0</v>
      </c>
      <c r="Q10292">
        <v>2</v>
      </c>
      <c r="R10292" t="s">
        <v>45108</v>
      </c>
      <c r="S10292" t="s">
        <v>45434</v>
      </c>
      <c r="T10292" t="s">
        <v>47050</v>
      </c>
      <c r="U10292" t="s">
        <v>55940</v>
      </c>
      <c r="W10292" t="s">
        <v>61662</v>
      </c>
      <c r="X10292" t="s">
        <v>45109</v>
      </c>
    </row>
    <row r="10293" spans="1:24">
      <c r="A10293">
        <f>HYPERLINK("https://www.philgeps.gov.ph/GEPSNONPILOT/Tender/SplashBidNoticeAbstractUI.aspx?menuIndex=3&amp;refID=7027222&amp;Result=3","7027222")</f>
        <v>0</v>
      </c>
      <c r="B10293" t="s">
        <v>1277</v>
      </c>
      <c r="C10293" t="s">
        <v>13014</v>
      </c>
      <c r="D10293" t="s">
        <v>18023</v>
      </c>
      <c r="E10293" t="s">
        <v>27054</v>
      </c>
      <c r="F10293" t="s">
        <v>31574</v>
      </c>
      <c r="G10293" t="s">
        <v>31582</v>
      </c>
      <c r="H10293" t="s">
        <v>31590</v>
      </c>
      <c r="I10293" t="s">
        <v>7185</v>
      </c>
      <c r="J10293" t="s">
        <v>38151</v>
      </c>
      <c r="K10293" t="s">
        <v>41196</v>
      </c>
      <c r="M10293" t="s">
        <v>42845</v>
      </c>
      <c r="N10293" t="s">
        <v>45095</v>
      </c>
      <c r="O10293" t="s">
        <v>45096</v>
      </c>
      <c r="P10293">
        <v>0</v>
      </c>
      <c r="Q10293">
        <v>13</v>
      </c>
      <c r="R10293" t="s">
        <v>45108</v>
      </c>
      <c r="S10293" t="s">
        <v>45434</v>
      </c>
      <c r="T10293" t="s">
        <v>46977</v>
      </c>
      <c r="U10293" t="s">
        <v>55941</v>
      </c>
      <c r="W10293" t="s">
        <v>42845</v>
      </c>
      <c r="X10293" t="s">
        <v>45109</v>
      </c>
    </row>
    <row r="10294" spans="1:24">
      <c r="A10294">
        <f>HYPERLINK("https://www.philgeps.gov.ph/GEPSNONPILOT/Tender/SplashBidNoticeAbstractUI.aspx?menuIndex=3&amp;refID=7027237&amp;Result=3","7027237")</f>
        <v>0</v>
      </c>
      <c r="B10294" t="s">
        <v>1553</v>
      </c>
      <c r="C10294" t="s">
        <v>13015</v>
      </c>
      <c r="D10294" t="s">
        <v>18068</v>
      </c>
      <c r="E10294" t="s">
        <v>20408</v>
      </c>
      <c r="F10294" t="s">
        <v>31574</v>
      </c>
      <c r="G10294" t="s">
        <v>31582</v>
      </c>
      <c r="H10294" t="s">
        <v>31591</v>
      </c>
      <c r="I10294" t="s">
        <v>8822</v>
      </c>
      <c r="J10294" t="s">
        <v>38152</v>
      </c>
      <c r="K10294" t="s">
        <v>41200</v>
      </c>
      <c r="M10294" t="s">
        <v>43151</v>
      </c>
      <c r="N10294" t="s">
        <v>45095</v>
      </c>
      <c r="O10294" t="s">
        <v>45096</v>
      </c>
      <c r="P10294">
        <v>0</v>
      </c>
      <c r="Q10294">
        <v>1</v>
      </c>
      <c r="R10294" t="s">
        <v>45108</v>
      </c>
      <c r="S10294" t="s">
        <v>45434</v>
      </c>
      <c r="T10294" t="s">
        <v>46992</v>
      </c>
      <c r="U10294" t="s">
        <v>55942</v>
      </c>
      <c r="W10294" t="s">
        <v>43151</v>
      </c>
      <c r="X10294" t="s">
        <v>45109</v>
      </c>
    </row>
    <row r="10295" spans="1:24">
      <c r="A10295">
        <f>HYPERLINK("https://www.philgeps.gov.ph/GEPSNONPILOT/Tender/SplashBidNoticeAbstractUI.aspx?menuIndex=3&amp;refID=7027217&amp;Result=3","7027217")</f>
        <v>0</v>
      </c>
      <c r="B10295" t="s">
        <v>180</v>
      </c>
      <c r="C10295" t="s">
        <v>13016</v>
      </c>
      <c r="D10295" t="s">
        <v>18066</v>
      </c>
      <c r="E10295" t="s">
        <v>27055</v>
      </c>
      <c r="F10295" t="s">
        <v>31574</v>
      </c>
      <c r="G10295" t="s">
        <v>31582</v>
      </c>
      <c r="H10295" t="s">
        <v>31590</v>
      </c>
      <c r="I10295" t="s">
        <v>3487</v>
      </c>
      <c r="J10295" t="s">
        <v>38153</v>
      </c>
      <c r="K10295" t="s">
        <v>41196</v>
      </c>
      <c r="M10295" t="s">
        <v>41665</v>
      </c>
      <c r="N10295" t="s">
        <v>45095</v>
      </c>
      <c r="O10295" t="s">
        <v>45096</v>
      </c>
      <c r="P10295">
        <v>0</v>
      </c>
      <c r="Q10295">
        <v>1</v>
      </c>
      <c r="R10295" t="s">
        <v>45108</v>
      </c>
      <c r="S10295" t="s">
        <v>45434</v>
      </c>
      <c r="T10295" t="s">
        <v>46932</v>
      </c>
      <c r="U10295" t="s">
        <v>55943</v>
      </c>
      <c r="W10295" t="s">
        <v>41665</v>
      </c>
      <c r="X10295" t="s">
        <v>45109</v>
      </c>
    </row>
    <row r="10296" spans="1:24">
      <c r="A10296">
        <f>HYPERLINK("https://www.philgeps.gov.ph/GEPSNONPILOT/Tender/SplashBidNoticeAbstractUI.aspx?menuIndex=3&amp;refID=7027387&amp;Result=3","7027387")</f>
        <v>0</v>
      </c>
      <c r="B10296" t="s">
        <v>2589</v>
      </c>
      <c r="C10296" t="s">
        <v>13017</v>
      </c>
      <c r="D10296" t="s">
        <v>18065</v>
      </c>
      <c r="E10296" t="s">
        <v>27056</v>
      </c>
      <c r="F10296" t="s">
        <v>31574</v>
      </c>
      <c r="G10296" t="s">
        <v>31582</v>
      </c>
      <c r="H10296" t="s">
        <v>31590</v>
      </c>
      <c r="I10296" t="s">
        <v>31676</v>
      </c>
      <c r="J10296" t="s">
        <v>38154</v>
      </c>
      <c r="K10296" t="s">
        <v>41192</v>
      </c>
      <c r="M10296" t="s">
        <v>44332</v>
      </c>
      <c r="N10296" t="s">
        <v>45095</v>
      </c>
      <c r="O10296" t="s">
        <v>45096</v>
      </c>
      <c r="P10296">
        <v>0</v>
      </c>
      <c r="Q10296">
        <v>6</v>
      </c>
      <c r="R10296" t="s">
        <v>45108</v>
      </c>
      <c r="S10296" t="s">
        <v>45434</v>
      </c>
      <c r="T10296" t="s">
        <v>47000</v>
      </c>
      <c r="U10296" t="s">
        <v>55312</v>
      </c>
      <c r="V10296" t="s">
        <v>60927</v>
      </c>
      <c r="W10296" t="s">
        <v>44332</v>
      </c>
      <c r="X10296" t="s">
        <v>45109</v>
      </c>
    </row>
    <row r="10297" spans="1:24">
      <c r="A10297">
        <f>HYPERLINK("https://www.philgeps.gov.ph/GEPSNONPILOT/Tender/SplashBidNoticeAbstractUI.aspx?menuIndex=3&amp;refID=7027193&amp;Result=3","7027193")</f>
        <v>0</v>
      </c>
      <c r="B10297" t="s">
        <v>2717</v>
      </c>
      <c r="C10297" t="s">
        <v>13018</v>
      </c>
      <c r="D10297" t="s">
        <v>18079</v>
      </c>
      <c r="E10297" t="s">
        <v>18169</v>
      </c>
      <c r="F10297" t="s">
        <v>31574</v>
      </c>
      <c r="G10297" t="s">
        <v>31582</v>
      </c>
      <c r="H10297" t="s">
        <v>31590</v>
      </c>
      <c r="I10297" t="s">
        <v>31594</v>
      </c>
      <c r="J10297" t="s">
        <v>37901</v>
      </c>
      <c r="K10297" t="s">
        <v>41200</v>
      </c>
      <c r="M10297" t="s">
        <v>44488</v>
      </c>
      <c r="N10297" t="s">
        <v>45095</v>
      </c>
      <c r="O10297" t="s">
        <v>45096</v>
      </c>
      <c r="P10297">
        <v>0</v>
      </c>
      <c r="Q10297">
        <v>12</v>
      </c>
      <c r="R10297" t="s">
        <v>45108</v>
      </c>
      <c r="S10297" t="s">
        <v>45434</v>
      </c>
      <c r="T10297" t="s">
        <v>47377</v>
      </c>
      <c r="U10297" t="s">
        <v>55944</v>
      </c>
      <c r="W10297" t="s">
        <v>44488</v>
      </c>
      <c r="X10297" t="s">
        <v>45109</v>
      </c>
    </row>
    <row r="10298" spans="1:24">
      <c r="A10298">
        <f>HYPERLINK("https://www.philgeps.gov.ph/GEPSNONPILOT/Tender/SplashBidNoticeAbstractUI.aspx?menuIndex=3&amp;refID=7027381&amp;Result=3","7027381")</f>
        <v>0</v>
      </c>
      <c r="B10298" t="s">
        <v>2718</v>
      </c>
      <c r="C10298" t="s">
        <v>13019</v>
      </c>
      <c r="D10298" t="s">
        <v>18072</v>
      </c>
      <c r="E10298" t="s">
        <v>27057</v>
      </c>
      <c r="F10298" t="s">
        <v>31574</v>
      </c>
      <c r="G10298" t="s">
        <v>31582</v>
      </c>
      <c r="H10298" t="s">
        <v>31590</v>
      </c>
      <c r="I10298" t="s">
        <v>4046</v>
      </c>
      <c r="J10298" t="s">
        <v>38155</v>
      </c>
      <c r="K10298" t="s">
        <v>41186</v>
      </c>
      <c r="M10298" t="s">
        <v>44489</v>
      </c>
      <c r="N10298" t="s">
        <v>45095</v>
      </c>
      <c r="O10298" t="s">
        <v>45096</v>
      </c>
      <c r="P10298">
        <v>0</v>
      </c>
      <c r="Q10298">
        <v>0</v>
      </c>
      <c r="R10298" t="s">
        <v>45108</v>
      </c>
      <c r="S10298" t="s">
        <v>45434</v>
      </c>
      <c r="T10298" t="s">
        <v>47154</v>
      </c>
      <c r="U10298" t="s">
        <v>55945</v>
      </c>
      <c r="W10298" t="s">
        <v>44489</v>
      </c>
      <c r="X10298" t="s">
        <v>45109</v>
      </c>
    </row>
    <row r="10299" spans="1:24">
      <c r="A10299">
        <f>HYPERLINK("https://www.philgeps.gov.ph/GEPSNONPILOT/Tender/SplashBidNoticeAbstractUI.aspx?menuIndex=3&amp;refID=7027376&amp;Result=3","7027376")</f>
        <v>0</v>
      </c>
      <c r="B10299" t="s">
        <v>180</v>
      </c>
      <c r="C10299" t="s">
        <v>13020</v>
      </c>
      <c r="D10299" t="s">
        <v>18066</v>
      </c>
      <c r="E10299" t="s">
        <v>27058</v>
      </c>
      <c r="F10299" t="s">
        <v>31574</v>
      </c>
      <c r="G10299" t="s">
        <v>31585</v>
      </c>
      <c r="H10299" t="s">
        <v>31590</v>
      </c>
      <c r="I10299" t="s">
        <v>31662</v>
      </c>
      <c r="J10299" t="s">
        <v>33295</v>
      </c>
      <c r="K10299" t="s">
        <v>41196</v>
      </c>
      <c r="M10299" t="s">
        <v>41665</v>
      </c>
      <c r="N10299" t="s">
        <v>45095</v>
      </c>
      <c r="O10299" t="s">
        <v>45096</v>
      </c>
      <c r="P10299">
        <v>0</v>
      </c>
      <c r="Q10299">
        <v>1</v>
      </c>
      <c r="R10299" t="s">
        <v>45108</v>
      </c>
      <c r="S10299" t="s">
        <v>45434</v>
      </c>
      <c r="T10299" t="s">
        <v>46932</v>
      </c>
      <c r="U10299" t="s">
        <v>55946</v>
      </c>
      <c r="W10299" t="s">
        <v>41665</v>
      </c>
      <c r="X10299" t="s">
        <v>45109</v>
      </c>
    </row>
    <row r="10300" spans="1:24">
      <c r="A10300">
        <f>HYPERLINK("https://www.philgeps.gov.ph/GEPSNONPILOT/Tender/SplashBidNoticeAbstractUI.aspx?menuIndex=3&amp;refID=7027277&amp;Result=3","7027277")</f>
        <v>0</v>
      </c>
      <c r="B10300" t="s">
        <v>2589</v>
      </c>
      <c r="C10300" t="s">
        <v>13021</v>
      </c>
      <c r="D10300" t="s">
        <v>18065</v>
      </c>
      <c r="E10300" t="s">
        <v>27059</v>
      </c>
      <c r="F10300" t="s">
        <v>31574</v>
      </c>
      <c r="G10300" t="s">
        <v>31582</v>
      </c>
      <c r="H10300" t="s">
        <v>31590</v>
      </c>
      <c r="I10300" t="s">
        <v>31605</v>
      </c>
      <c r="J10300" t="s">
        <v>38156</v>
      </c>
      <c r="K10300" t="s">
        <v>41192</v>
      </c>
      <c r="M10300" t="s">
        <v>44332</v>
      </c>
      <c r="N10300" t="s">
        <v>45095</v>
      </c>
      <c r="O10300" t="s">
        <v>45096</v>
      </c>
      <c r="P10300">
        <v>0</v>
      </c>
      <c r="Q10300">
        <v>10</v>
      </c>
      <c r="R10300" t="s">
        <v>45108</v>
      </c>
      <c r="S10300" t="s">
        <v>45434</v>
      </c>
      <c r="T10300" t="s">
        <v>47000</v>
      </c>
      <c r="U10300" t="s">
        <v>55312</v>
      </c>
      <c r="V10300" t="s">
        <v>60927</v>
      </c>
      <c r="W10300" t="s">
        <v>44332</v>
      </c>
      <c r="X10300" t="s">
        <v>45109</v>
      </c>
    </row>
    <row r="10301" spans="1:24">
      <c r="A10301">
        <f>HYPERLINK("https://www.philgeps.gov.ph/GEPSNONPILOT/Tender/SplashBidNoticeAbstractUI.aspx?menuIndex=3&amp;refID=7027442&amp;Result=3","7027442")</f>
        <v>0</v>
      </c>
      <c r="B10301" t="s">
        <v>1028</v>
      </c>
      <c r="C10301" t="s">
        <v>8296</v>
      </c>
      <c r="D10301" t="s">
        <v>18055</v>
      </c>
      <c r="E10301" t="s">
        <v>27060</v>
      </c>
      <c r="F10301" t="s">
        <v>31574</v>
      </c>
      <c r="G10301" t="s">
        <v>31582</v>
      </c>
      <c r="H10301" t="s">
        <v>31590</v>
      </c>
      <c r="I10301" t="s">
        <v>3539</v>
      </c>
      <c r="J10301" t="s">
        <v>38157</v>
      </c>
      <c r="K10301" t="s">
        <v>41295</v>
      </c>
      <c r="M10301" t="s">
        <v>42569</v>
      </c>
      <c r="N10301" t="s">
        <v>45095</v>
      </c>
      <c r="O10301" t="s">
        <v>45096</v>
      </c>
      <c r="Q10301">
        <v>1</v>
      </c>
      <c r="R10301" t="s">
        <v>45108</v>
      </c>
      <c r="S10301" t="s">
        <v>45438</v>
      </c>
      <c r="T10301" t="s">
        <v>46930</v>
      </c>
      <c r="U10301" t="s">
        <v>55947</v>
      </c>
      <c r="W10301" t="s">
        <v>61687</v>
      </c>
      <c r="X10301" t="s">
        <v>45109</v>
      </c>
    </row>
    <row r="10302" spans="1:24">
      <c r="A10302">
        <f>HYPERLINK("https://www.philgeps.gov.ph/GEPSNONPILOT/Tender/SplashBidNoticeAbstractUI.aspx?menuIndex=3&amp;refID=7027440&amp;Result=3","7027440")</f>
        <v>0</v>
      </c>
      <c r="B10302" t="s">
        <v>2718</v>
      </c>
      <c r="C10302" t="s">
        <v>13019</v>
      </c>
      <c r="D10302" t="s">
        <v>18072</v>
      </c>
      <c r="E10302" t="s">
        <v>27061</v>
      </c>
      <c r="F10302" t="s">
        <v>31574</v>
      </c>
      <c r="G10302" t="s">
        <v>31582</v>
      </c>
      <c r="H10302" t="s">
        <v>31590</v>
      </c>
      <c r="I10302" t="s">
        <v>4046</v>
      </c>
      <c r="J10302" t="s">
        <v>38158</v>
      </c>
      <c r="K10302" t="s">
        <v>41186</v>
      </c>
      <c r="M10302" t="s">
        <v>44489</v>
      </c>
      <c r="N10302" t="s">
        <v>45095</v>
      </c>
      <c r="O10302" t="s">
        <v>45096</v>
      </c>
      <c r="P10302">
        <v>0</v>
      </c>
      <c r="Q10302">
        <v>0</v>
      </c>
      <c r="R10302" t="s">
        <v>45108</v>
      </c>
      <c r="S10302" t="s">
        <v>45434</v>
      </c>
      <c r="T10302" t="s">
        <v>47154</v>
      </c>
      <c r="U10302" t="s">
        <v>55948</v>
      </c>
      <c r="W10302" t="s">
        <v>44489</v>
      </c>
      <c r="X10302" t="s">
        <v>45109</v>
      </c>
    </row>
    <row r="10303" spans="1:24">
      <c r="A10303">
        <f>HYPERLINK("https://www.philgeps.gov.ph/GEPSNONPILOT/Tender/SplashBidNoticeAbstractUI.aspx?menuIndex=3&amp;refID=7027405&amp;Result=3","7027405")</f>
        <v>0</v>
      </c>
      <c r="B10303" t="s">
        <v>2225</v>
      </c>
      <c r="C10303" t="s">
        <v>13022</v>
      </c>
      <c r="D10303" t="s">
        <v>18073</v>
      </c>
      <c r="E10303" t="s">
        <v>27062</v>
      </c>
      <c r="F10303" t="s">
        <v>31574</v>
      </c>
      <c r="G10303" t="s">
        <v>31582</v>
      </c>
      <c r="H10303" t="s">
        <v>31590</v>
      </c>
      <c r="I10303" t="s">
        <v>31614</v>
      </c>
      <c r="J10303" t="s">
        <v>38159</v>
      </c>
      <c r="K10303" t="s">
        <v>41194</v>
      </c>
      <c r="M10303" t="s">
        <v>43918</v>
      </c>
      <c r="N10303" t="s">
        <v>45095</v>
      </c>
      <c r="O10303" t="s">
        <v>45096</v>
      </c>
      <c r="P10303">
        <v>0</v>
      </c>
      <c r="Q10303">
        <v>6</v>
      </c>
      <c r="R10303" t="s">
        <v>45108</v>
      </c>
      <c r="S10303" t="s">
        <v>45434</v>
      </c>
      <c r="T10303" t="s">
        <v>47000</v>
      </c>
      <c r="U10303" t="s">
        <v>55949</v>
      </c>
      <c r="W10303" t="s">
        <v>43918</v>
      </c>
      <c r="X10303" t="s">
        <v>45109</v>
      </c>
    </row>
    <row r="10304" spans="1:24">
      <c r="A10304">
        <f>HYPERLINK("https://www.philgeps.gov.ph/GEPSNONPILOT/Tender/SplashBidNoticeAbstractUI.aspx?menuIndex=3&amp;refID=7027165&amp;Result=3","7027165")</f>
        <v>0</v>
      </c>
      <c r="B10304" t="s">
        <v>2455</v>
      </c>
      <c r="C10304" t="s">
        <v>13023</v>
      </c>
      <c r="E10304" t="s">
        <v>27063</v>
      </c>
      <c r="F10304" t="s">
        <v>31574</v>
      </c>
      <c r="G10304" t="s">
        <v>31582</v>
      </c>
      <c r="H10304" t="s">
        <v>31590</v>
      </c>
      <c r="I10304" t="s">
        <v>4046</v>
      </c>
      <c r="J10304" t="s">
        <v>38160</v>
      </c>
      <c r="K10304" t="s">
        <v>41186</v>
      </c>
      <c r="M10304" t="s">
        <v>44184</v>
      </c>
      <c r="N10304" t="s">
        <v>45095</v>
      </c>
      <c r="O10304" t="s">
        <v>45096</v>
      </c>
      <c r="P10304">
        <v>0</v>
      </c>
      <c r="Q10304">
        <v>1</v>
      </c>
      <c r="R10304" t="s">
        <v>45108</v>
      </c>
      <c r="S10304" t="s">
        <v>45434</v>
      </c>
      <c r="T10304" t="s">
        <v>46991</v>
      </c>
      <c r="U10304" t="s">
        <v>51835</v>
      </c>
      <c r="W10304" t="s">
        <v>44184</v>
      </c>
      <c r="X10304" t="s">
        <v>45109</v>
      </c>
    </row>
    <row r="10305" spans="1:24">
      <c r="A10305">
        <f>HYPERLINK("https://www.philgeps.gov.ph/GEPSNONPILOT/Tender/SplashBidNoticeAbstractUI.aspx?menuIndex=3&amp;refID=7027430&amp;Result=3","7027430")</f>
        <v>0</v>
      </c>
      <c r="B10305" t="s">
        <v>180</v>
      </c>
      <c r="C10305" t="s">
        <v>13024</v>
      </c>
      <c r="D10305" t="s">
        <v>18066</v>
      </c>
      <c r="E10305" t="s">
        <v>27064</v>
      </c>
      <c r="F10305" t="s">
        <v>31574</v>
      </c>
      <c r="G10305" t="s">
        <v>31585</v>
      </c>
      <c r="H10305" t="s">
        <v>31590</v>
      </c>
      <c r="I10305" t="s">
        <v>31662</v>
      </c>
      <c r="J10305" t="s">
        <v>33858</v>
      </c>
      <c r="K10305" t="s">
        <v>41196</v>
      </c>
      <c r="M10305" t="s">
        <v>41665</v>
      </c>
      <c r="N10305" t="s">
        <v>45095</v>
      </c>
      <c r="O10305" t="s">
        <v>45096</v>
      </c>
      <c r="P10305">
        <v>0</v>
      </c>
      <c r="Q10305">
        <v>1</v>
      </c>
      <c r="R10305" t="s">
        <v>45108</v>
      </c>
      <c r="S10305" t="s">
        <v>45434</v>
      </c>
      <c r="T10305" t="s">
        <v>46932</v>
      </c>
      <c r="U10305" t="s">
        <v>55950</v>
      </c>
      <c r="W10305" t="s">
        <v>41665</v>
      </c>
      <c r="X10305" t="s">
        <v>45109</v>
      </c>
    </row>
    <row r="10306" spans="1:24">
      <c r="A10306">
        <f>HYPERLINK("https://www.philgeps.gov.ph/GEPSNONPILOT/Tender/SplashBidNoticeAbstractUI.aspx?menuIndex=3&amp;refID=7027401&amp;Result=3","7027401")</f>
        <v>0</v>
      </c>
      <c r="B10306" t="s">
        <v>1349</v>
      </c>
      <c r="C10306" t="s">
        <v>13025</v>
      </c>
      <c r="E10306" t="s">
        <v>27065</v>
      </c>
      <c r="F10306" t="s">
        <v>31574</v>
      </c>
      <c r="G10306" t="s">
        <v>31582</v>
      </c>
      <c r="H10306" t="s">
        <v>31591</v>
      </c>
      <c r="I10306" t="s">
        <v>8822</v>
      </c>
      <c r="J10306" t="s">
        <v>31781</v>
      </c>
      <c r="K10306" t="s">
        <v>41184</v>
      </c>
      <c r="M10306" t="s">
        <v>42921</v>
      </c>
      <c r="N10306" t="s">
        <v>45095</v>
      </c>
      <c r="O10306" t="s">
        <v>45096</v>
      </c>
      <c r="Q10306">
        <v>35</v>
      </c>
      <c r="R10306" t="s">
        <v>45108</v>
      </c>
      <c r="S10306" t="s">
        <v>45439</v>
      </c>
      <c r="T10306" t="s">
        <v>47171</v>
      </c>
      <c r="U10306" t="s">
        <v>55951</v>
      </c>
      <c r="W10306" t="s">
        <v>42921</v>
      </c>
      <c r="X10306" t="s">
        <v>45109</v>
      </c>
    </row>
    <row r="10307" spans="1:24">
      <c r="A10307">
        <f>HYPERLINK("https://www.philgeps.gov.ph/GEPSNONPILOT/Tender/SplashBidNoticeAbstractUI.aspx?menuIndex=3&amp;refID=7027178&amp;Result=3","7027178")</f>
        <v>0</v>
      </c>
      <c r="B10307" t="s">
        <v>2719</v>
      </c>
      <c r="C10307" t="s">
        <v>13026</v>
      </c>
      <c r="D10307" t="s">
        <v>18076</v>
      </c>
      <c r="E10307" t="s">
        <v>19469</v>
      </c>
      <c r="F10307" t="s">
        <v>31574</v>
      </c>
      <c r="G10307" t="s">
        <v>31582</v>
      </c>
      <c r="H10307" t="s">
        <v>31591</v>
      </c>
      <c r="I10307" t="s">
        <v>4046</v>
      </c>
      <c r="J10307" t="s">
        <v>38161</v>
      </c>
      <c r="K10307" t="s">
        <v>41190</v>
      </c>
      <c r="M10307" t="s">
        <v>44490</v>
      </c>
      <c r="N10307" t="s">
        <v>45095</v>
      </c>
      <c r="O10307" t="s">
        <v>45096</v>
      </c>
      <c r="P10307">
        <v>0</v>
      </c>
      <c r="Q10307">
        <v>0</v>
      </c>
      <c r="R10307" t="s">
        <v>45108</v>
      </c>
      <c r="S10307" t="s">
        <v>45434</v>
      </c>
      <c r="T10307" t="s">
        <v>46914</v>
      </c>
      <c r="U10307" t="s">
        <v>55952</v>
      </c>
      <c r="V10307" t="s">
        <v>60941</v>
      </c>
      <c r="W10307" t="s">
        <v>44490</v>
      </c>
      <c r="X10307" t="s">
        <v>45109</v>
      </c>
    </row>
    <row r="10308" spans="1:24">
      <c r="A10308">
        <f>HYPERLINK("https://www.philgeps.gov.ph/GEPSNONPILOT/Tender/SplashBidNoticeAbstractUI.aspx?menuIndex=3&amp;refID=7027408&amp;Result=3","7027408")</f>
        <v>0</v>
      </c>
      <c r="B10308" t="s">
        <v>1452</v>
      </c>
      <c r="C10308" t="s">
        <v>13027</v>
      </c>
      <c r="D10308" t="s">
        <v>18053</v>
      </c>
      <c r="E10308" t="s">
        <v>27066</v>
      </c>
      <c r="F10308" t="s">
        <v>31574</v>
      </c>
      <c r="G10308" t="s">
        <v>31582</v>
      </c>
      <c r="H10308" t="s">
        <v>31591</v>
      </c>
      <c r="I10308" t="s">
        <v>8822</v>
      </c>
      <c r="J10308" t="s">
        <v>31781</v>
      </c>
      <c r="K10308" t="s">
        <v>41243</v>
      </c>
      <c r="M10308" t="s">
        <v>43032</v>
      </c>
      <c r="N10308" t="s">
        <v>45095</v>
      </c>
      <c r="O10308" t="s">
        <v>45096</v>
      </c>
      <c r="P10308">
        <v>0</v>
      </c>
      <c r="Q10308">
        <v>0</v>
      </c>
      <c r="R10308" t="s">
        <v>45108</v>
      </c>
      <c r="S10308" t="s">
        <v>45434</v>
      </c>
      <c r="T10308" t="s">
        <v>46930</v>
      </c>
      <c r="U10308" t="s">
        <v>55953</v>
      </c>
      <c r="W10308" t="s">
        <v>43032</v>
      </c>
      <c r="X10308" t="s">
        <v>45109</v>
      </c>
    </row>
    <row r="10309" spans="1:24">
      <c r="A10309">
        <f>HYPERLINK("https://www.philgeps.gov.ph/GEPSNONPILOT/Tender/SplashBidNoticeAbstractUI.aspx?menuIndex=3&amp;refID=7027354&amp;Result=3","7027354")</f>
        <v>0</v>
      </c>
      <c r="B10309" t="s">
        <v>1553</v>
      </c>
      <c r="C10309" t="s">
        <v>13028</v>
      </c>
      <c r="D10309" t="s">
        <v>18068</v>
      </c>
      <c r="E10309" t="s">
        <v>20421</v>
      </c>
      <c r="F10309" t="s">
        <v>31574</v>
      </c>
      <c r="G10309" t="s">
        <v>31582</v>
      </c>
      <c r="H10309" t="s">
        <v>31591</v>
      </c>
      <c r="I10309" t="s">
        <v>8822</v>
      </c>
      <c r="J10309" t="s">
        <v>38162</v>
      </c>
      <c r="K10309" t="s">
        <v>41200</v>
      </c>
      <c r="M10309" t="s">
        <v>43151</v>
      </c>
      <c r="N10309" t="s">
        <v>45095</v>
      </c>
      <c r="O10309" t="s">
        <v>45096</v>
      </c>
      <c r="P10309">
        <v>0</v>
      </c>
      <c r="Q10309">
        <v>1</v>
      </c>
      <c r="R10309" t="s">
        <v>45108</v>
      </c>
      <c r="S10309" t="s">
        <v>45434</v>
      </c>
      <c r="T10309" t="s">
        <v>46992</v>
      </c>
      <c r="U10309" t="s">
        <v>55954</v>
      </c>
      <c r="W10309" t="s">
        <v>43151</v>
      </c>
      <c r="X10309" t="s">
        <v>45109</v>
      </c>
    </row>
    <row r="10310" spans="1:24">
      <c r="A10310">
        <f>HYPERLINK("https://www.philgeps.gov.ph/GEPSNONPILOT/Tender/SplashBidNoticeAbstractUI.aspx?menuIndex=3&amp;refID=7027371&amp;Result=3","7027371")</f>
        <v>0</v>
      </c>
      <c r="B10310" t="s">
        <v>972</v>
      </c>
      <c r="C10310" t="s">
        <v>13029</v>
      </c>
      <c r="D10310" t="s">
        <v>18102</v>
      </c>
      <c r="E10310" t="s">
        <v>27067</v>
      </c>
      <c r="F10310" t="s">
        <v>31574</v>
      </c>
      <c r="G10310" t="s">
        <v>31583</v>
      </c>
      <c r="H10310" t="s">
        <v>31590</v>
      </c>
      <c r="I10310" t="s">
        <v>31711</v>
      </c>
      <c r="J10310" t="s">
        <v>38163</v>
      </c>
      <c r="K10310" t="s">
        <v>41196</v>
      </c>
      <c r="M10310" t="s">
        <v>42502</v>
      </c>
      <c r="N10310" t="s">
        <v>45095</v>
      </c>
      <c r="O10310" t="s">
        <v>45096</v>
      </c>
      <c r="P10310">
        <v>0</v>
      </c>
      <c r="Q10310">
        <v>1</v>
      </c>
      <c r="R10310" t="s">
        <v>45108</v>
      </c>
      <c r="S10310" t="s">
        <v>45434</v>
      </c>
      <c r="T10310" t="s">
        <v>47157</v>
      </c>
      <c r="U10310" t="s">
        <v>55955</v>
      </c>
      <c r="V10310" t="s">
        <v>60942</v>
      </c>
      <c r="W10310" t="s">
        <v>42502</v>
      </c>
      <c r="X10310" t="s">
        <v>45109</v>
      </c>
    </row>
    <row r="10311" spans="1:24">
      <c r="A10311">
        <f>HYPERLINK("https://www.philgeps.gov.ph/GEPSNONPILOT/Tender/SplashBidNoticeAbstractUI.aspx?menuIndex=3&amp;refID=7027199&amp;Result=3","7027199")</f>
        <v>0</v>
      </c>
      <c r="B10311" t="s">
        <v>1553</v>
      </c>
      <c r="C10311" t="s">
        <v>13030</v>
      </c>
      <c r="D10311" t="s">
        <v>18068</v>
      </c>
      <c r="E10311" t="s">
        <v>20409</v>
      </c>
      <c r="F10311" t="s">
        <v>31574</v>
      </c>
      <c r="G10311" t="s">
        <v>31582</v>
      </c>
      <c r="H10311" t="s">
        <v>31591</v>
      </c>
      <c r="I10311" t="s">
        <v>8822</v>
      </c>
      <c r="J10311" t="s">
        <v>38164</v>
      </c>
      <c r="K10311" t="s">
        <v>41200</v>
      </c>
      <c r="M10311" t="s">
        <v>43151</v>
      </c>
      <c r="N10311" t="s">
        <v>45095</v>
      </c>
      <c r="O10311" t="s">
        <v>45096</v>
      </c>
      <c r="P10311">
        <v>0</v>
      </c>
      <c r="Q10311">
        <v>2</v>
      </c>
      <c r="R10311" t="s">
        <v>45108</v>
      </c>
      <c r="S10311" t="s">
        <v>45434</v>
      </c>
      <c r="T10311" t="s">
        <v>46992</v>
      </c>
      <c r="U10311" t="s">
        <v>55956</v>
      </c>
      <c r="W10311" t="s">
        <v>43151</v>
      </c>
      <c r="X10311" t="s">
        <v>45109</v>
      </c>
    </row>
    <row r="10312" spans="1:24">
      <c r="A10312">
        <f>HYPERLINK("https://www.philgeps.gov.ph/GEPSNONPILOT/Tender/SplashBidNoticeAbstractUI.aspx?menuIndex=3&amp;refID=7027370&amp;Result=3","7027370")</f>
        <v>0</v>
      </c>
      <c r="B10312" t="s">
        <v>1746</v>
      </c>
      <c r="C10312" t="s">
        <v>8285</v>
      </c>
      <c r="E10312" t="s">
        <v>27068</v>
      </c>
      <c r="F10312" t="s">
        <v>31574</v>
      </c>
      <c r="G10312" t="s">
        <v>31582</v>
      </c>
      <c r="H10312" t="s">
        <v>31590</v>
      </c>
      <c r="I10312" t="s">
        <v>31607</v>
      </c>
      <c r="J10312" t="s">
        <v>38165</v>
      </c>
      <c r="K10312" t="s">
        <v>41184</v>
      </c>
      <c r="M10312" t="s">
        <v>43369</v>
      </c>
      <c r="N10312" t="s">
        <v>45095</v>
      </c>
      <c r="O10312" t="s">
        <v>45096</v>
      </c>
      <c r="P10312">
        <v>0</v>
      </c>
      <c r="Q10312">
        <v>0</v>
      </c>
      <c r="R10312" t="s">
        <v>45108</v>
      </c>
      <c r="S10312" t="s">
        <v>45434</v>
      </c>
      <c r="T10312" t="s">
        <v>47212</v>
      </c>
      <c r="U10312" t="s">
        <v>55957</v>
      </c>
      <c r="W10312" t="s">
        <v>43369</v>
      </c>
      <c r="X10312" t="s">
        <v>45109</v>
      </c>
    </row>
    <row r="10313" spans="1:24">
      <c r="A10313">
        <f>HYPERLINK("https://www.philgeps.gov.ph/GEPSNONPILOT/Tender/SplashBidNoticeAbstractUI.aspx?menuIndex=3&amp;refID=7027369&amp;Result=3","7027369")</f>
        <v>0</v>
      </c>
      <c r="B10313" t="s">
        <v>1533</v>
      </c>
      <c r="C10313" t="s">
        <v>13031</v>
      </c>
      <c r="D10313" t="s">
        <v>18022</v>
      </c>
      <c r="E10313" t="s">
        <v>27069</v>
      </c>
      <c r="F10313" t="s">
        <v>31574</v>
      </c>
      <c r="G10313" t="s">
        <v>31581</v>
      </c>
      <c r="H10313" t="s">
        <v>31590</v>
      </c>
      <c r="I10313" t="s">
        <v>14544</v>
      </c>
      <c r="J10313" t="s">
        <v>33085</v>
      </c>
      <c r="K10313" t="s">
        <v>41196</v>
      </c>
      <c r="M10313" t="s">
        <v>43125</v>
      </c>
      <c r="N10313" t="s">
        <v>45095</v>
      </c>
      <c r="O10313" t="s">
        <v>45096</v>
      </c>
      <c r="Q10313">
        <v>1</v>
      </c>
      <c r="R10313" t="s">
        <v>45108</v>
      </c>
      <c r="S10313" t="s">
        <v>45440</v>
      </c>
      <c r="T10313" t="s">
        <v>47110</v>
      </c>
      <c r="U10313" t="s">
        <v>55958</v>
      </c>
      <c r="W10313" t="s">
        <v>43125</v>
      </c>
      <c r="X10313" t="s">
        <v>45109</v>
      </c>
    </row>
    <row r="10314" spans="1:24">
      <c r="A10314">
        <f>HYPERLINK("https://www.philgeps.gov.ph/GEPSNONPILOT/Tender/SplashBidNoticeAbstractUI.aspx?menuIndex=3&amp;refID=7027216&amp;Result=3","7027216")</f>
        <v>0</v>
      </c>
      <c r="B10314" t="s">
        <v>2720</v>
      </c>
      <c r="C10314" t="s">
        <v>13032</v>
      </c>
      <c r="D10314" t="s">
        <v>18070</v>
      </c>
      <c r="E10314" t="s">
        <v>27070</v>
      </c>
      <c r="F10314" t="s">
        <v>31574</v>
      </c>
      <c r="G10314" t="s">
        <v>31582</v>
      </c>
      <c r="H10314" t="s">
        <v>31591</v>
      </c>
      <c r="I10314" t="s">
        <v>31663</v>
      </c>
      <c r="J10314" t="s">
        <v>38166</v>
      </c>
      <c r="K10314" t="s">
        <v>41200</v>
      </c>
      <c r="M10314" t="s">
        <v>44491</v>
      </c>
      <c r="N10314" t="s">
        <v>45095</v>
      </c>
      <c r="O10314" t="s">
        <v>45096</v>
      </c>
      <c r="P10314">
        <v>0</v>
      </c>
      <c r="Q10314">
        <v>2</v>
      </c>
      <c r="R10314" t="s">
        <v>45108</v>
      </c>
      <c r="S10314" t="s">
        <v>45434</v>
      </c>
      <c r="T10314" t="s">
        <v>46986</v>
      </c>
      <c r="U10314" t="s">
        <v>55959</v>
      </c>
      <c r="W10314" t="s">
        <v>44491</v>
      </c>
      <c r="X10314" t="s">
        <v>45109</v>
      </c>
    </row>
    <row r="10315" spans="1:24">
      <c r="A10315">
        <f>HYPERLINK("https://www.philgeps.gov.ph/GEPSNONPILOT/Tender/SplashBidNoticeAbstractUI.aspx?menuIndex=3&amp;refID=7027368&amp;Result=3","7027368")</f>
        <v>0</v>
      </c>
      <c r="B10315" t="s">
        <v>2721</v>
      </c>
      <c r="C10315" t="s">
        <v>13033</v>
      </c>
      <c r="D10315" t="s">
        <v>18068</v>
      </c>
      <c r="E10315" t="s">
        <v>27071</v>
      </c>
      <c r="F10315" t="s">
        <v>31574</v>
      </c>
      <c r="G10315" t="s">
        <v>31582</v>
      </c>
      <c r="H10315" t="s">
        <v>31591</v>
      </c>
      <c r="I10315" t="s">
        <v>8822</v>
      </c>
      <c r="J10315" t="s">
        <v>32504</v>
      </c>
      <c r="K10315" t="s">
        <v>41200</v>
      </c>
      <c r="M10315" t="s">
        <v>44492</v>
      </c>
      <c r="N10315" t="s">
        <v>45095</v>
      </c>
      <c r="O10315" t="s">
        <v>45096</v>
      </c>
      <c r="P10315">
        <v>0</v>
      </c>
      <c r="Q10315">
        <v>0</v>
      </c>
      <c r="R10315" t="s">
        <v>45108</v>
      </c>
      <c r="S10315" t="s">
        <v>45434</v>
      </c>
      <c r="T10315" t="s">
        <v>46966</v>
      </c>
      <c r="U10315" t="s">
        <v>55960</v>
      </c>
      <c r="V10315" t="s">
        <v>60943</v>
      </c>
      <c r="W10315" t="s">
        <v>44492</v>
      </c>
      <c r="X10315" t="s">
        <v>45109</v>
      </c>
    </row>
    <row r="10316" spans="1:24">
      <c r="A10316">
        <f>HYPERLINK("https://www.philgeps.gov.ph/GEPSNONPILOT/Tender/SplashBidNoticeAbstractUI.aspx?menuIndex=3&amp;refID=7027328&amp;Result=3","7027328")</f>
        <v>0</v>
      </c>
      <c r="B10316" t="s">
        <v>2722</v>
      </c>
      <c r="C10316" t="s">
        <v>13034</v>
      </c>
      <c r="D10316" t="s">
        <v>18066</v>
      </c>
      <c r="E10316" t="s">
        <v>27072</v>
      </c>
      <c r="F10316" t="s">
        <v>31575</v>
      </c>
      <c r="G10316" t="s">
        <v>31582</v>
      </c>
      <c r="H10316" t="s">
        <v>31590</v>
      </c>
      <c r="I10316" t="s">
        <v>7162</v>
      </c>
      <c r="J10316" t="s">
        <v>38167</v>
      </c>
      <c r="K10316" t="s">
        <v>41193</v>
      </c>
      <c r="M10316" t="s">
        <v>44493</v>
      </c>
      <c r="N10316" t="s">
        <v>45095</v>
      </c>
      <c r="O10316" t="s">
        <v>45096</v>
      </c>
      <c r="P10316">
        <v>0</v>
      </c>
      <c r="Q10316">
        <v>4</v>
      </c>
      <c r="R10316" t="s">
        <v>45108</v>
      </c>
      <c r="S10316" t="s">
        <v>45434</v>
      </c>
      <c r="T10316" t="s">
        <v>46989</v>
      </c>
      <c r="U10316" t="s">
        <v>55961</v>
      </c>
      <c r="W10316" t="s">
        <v>44493</v>
      </c>
      <c r="X10316" t="s">
        <v>45109</v>
      </c>
    </row>
    <row r="10317" spans="1:24">
      <c r="A10317">
        <f>HYPERLINK("https://www.philgeps.gov.ph/GEPSNONPILOT/Tender/SplashBidNoticeAbstractUI.aspx?menuIndex=3&amp;refID=7027627&amp;Result=3","7027627")</f>
        <v>0</v>
      </c>
      <c r="B10317" t="s">
        <v>1299</v>
      </c>
      <c r="C10317" t="s">
        <v>13035</v>
      </c>
      <c r="D10317" t="s">
        <v>18076</v>
      </c>
      <c r="E10317" t="s">
        <v>27073</v>
      </c>
      <c r="F10317" t="s">
        <v>31574</v>
      </c>
      <c r="G10317" t="s">
        <v>31582</v>
      </c>
      <c r="H10317" t="s">
        <v>31590</v>
      </c>
      <c r="I10317" t="s">
        <v>31600</v>
      </c>
      <c r="J10317" t="s">
        <v>38168</v>
      </c>
      <c r="K10317" t="s">
        <v>41186</v>
      </c>
      <c r="M10317" t="s">
        <v>42869</v>
      </c>
      <c r="N10317" t="s">
        <v>45095</v>
      </c>
      <c r="O10317" t="s">
        <v>45096</v>
      </c>
      <c r="P10317">
        <v>0</v>
      </c>
      <c r="Q10317">
        <v>0</v>
      </c>
      <c r="R10317" t="s">
        <v>45108</v>
      </c>
      <c r="S10317" t="s">
        <v>45434</v>
      </c>
      <c r="T10317" t="s">
        <v>47168</v>
      </c>
      <c r="U10317" t="s">
        <v>55962</v>
      </c>
      <c r="W10317" t="s">
        <v>42869</v>
      </c>
      <c r="X10317" t="s">
        <v>45109</v>
      </c>
    </row>
    <row r="10318" spans="1:24">
      <c r="A10318">
        <f>HYPERLINK("https://www.philgeps.gov.ph/GEPSNONPILOT/Tender/SplashBidNoticeAbstractUI.aspx?menuIndex=3&amp;refID=7027305&amp;Result=3","7027305")</f>
        <v>0</v>
      </c>
      <c r="B10318" t="s">
        <v>972</v>
      </c>
      <c r="C10318" t="s">
        <v>13036</v>
      </c>
      <c r="D10318" t="s">
        <v>18102</v>
      </c>
      <c r="E10318" t="s">
        <v>27074</v>
      </c>
      <c r="F10318" t="s">
        <v>31574</v>
      </c>
      <c r="G10318" t="s">
        <v>31583</v>
      </c>
      <c r="H10318" t="s">
        <v>31590</v>
      </c>
      <c r="I10318" t="s">
        <v>14544</v>
      </c>
      <c r="J10318" t="s">
        <v>38169</v>
      </c>
      <c r="K10318" t="s">
        <v>41196</v>
      </c>
      <c r="M10318" t="s">
        <v>42502</v>
      </c>
      <c r="N10318" t="s">
        <v>45095</v>
      </c>
      <c r="O10318" t="s">
        <v>45096</v>
      </c>
      <c r="P10318">
        <v>0</v>
      </c>
      <c r="Q10318">
        <v>0</v>
      </c>
      <c r="R10318" t="s">
        <v>45108</v>
      </c>
      <c r="S10318" t="s">
        <v>45434</v>
      </c>
      <c r="T10318" t="s">
        <v>47157</v>
      </c>
      <c r="U10318" t="s">
        <v>55963</v>
      </c>
      <c r="V10318" t="s">
        <v>60942</v>
      </c>
      <c r="W10318" t="s">
        <v>42502</v>
      </c>
      <c r="X10318" t="s">
        <v>45109</v>
      </c>
    </row>
    <row r="10319" spans="1:24">
      <c r="A10319">
        <f>HYPERLINK("https://www.philgeps.gov.ph/GEPSNONPILOT/Tender/SplashBidNoticeAbstractUI.aspx?menuIndex=3&amp;refID=7027588&amp;Result=3","7027588")</f>
        <v>0</v>
      </c>
      <c r="B10319" t="s">
        <v>2723</v>
      </c>
      <c r="C10319" t="s">
        <v>13037</v>
      </c>
      <c r="D10319" t="s">
        <v>18039</v>
      </c>
      <c r="E10319" t="s">
        <v>20074</v>
      </c>
      <c r="F10319" t="s">
        <v>31574</v>
      </c>
      <c r="G10319" t="s">
        <v>31582</v>
      </c>
      <c r="H10319" t="s">
        <v>31591</v>
      </c>
      <c r="I10319" t="s">
        <v>8822</v>
      </c>
      <c r="J10319" t="s">
        <v>32019</v>
      </c>
      <c r="K10319" t="s">
        <v>41192</v>
      </c>
      <c r="M10319" t="s">
        <v>44494</v>
      </c>
      <c r="N10319" t="s">
        <v>45095</v>
      </c>
      <c r="O10319" t="s">
        <v>45096</v>
      </c>
      <c r="P10319">
        <v>0</v>
      </c>
      <c r="Q10319">
        <v>0</v>
      </c>
      <c r="R10319" t="s">
        <v>45108</v>
      </c>
      <c r="S10319" t="s">
        <v>45434</v>
      </c>
      <c r="T10319" t="s">
        <v>47125</v>
      </c>
      <c r="U10319" t="s">
        <v>55964</v>
      </c>
      <c r="W10319" t="s">
        <v>44494</v>
      </c>
      <c r="X10319" t="s">
        <v>45109</v>
      </c>
    </row>
    <row r="10320" spans="1:24">
      <c r="A10320">
        <f>HYPERLINK("https://www.philgeps.gov.ph/GEPSNONPILOT/Tender/SplashBidNoticeAbstractUI.aspx?menuIndex=3&amp;refID=7027646&amp;Result=3","7027646")</f>
        <v>0</v>
      </c>
      <c r="B10320" t="s">
        <v>457</v>
      </c>
      <c r="C10320" t="s">
        <v>13038</v>
      </c>
      <c r="D10320" t="s">
        <v>18033</v>
      </c>
      <c r="E10320" t="s">
        <v>27075</v>
      </c>
      <c r="F10320" t="s">
        <v>31574</v>
      </c>
      <c r="G10320" t="s">
        <v>31582</v>
      </c>
      <c r="H10320" t="s">
        <v>31590</v>
      </c>
      <c r="I10320" t="s">
        <v>4046</v>
      </c>
      <c r="J10320" t="s">
        <v>38170</v>
      </c>
      <c r="K10320" t="s">
        <v>41196</v>
      </c>
      <c r="M10320" t="s">
        <v>41951</v>
      </c>
      <c r="N10320" t="s">
        <v>45095</v>
      </c>
      <c r="O10320" t="s">
        <v>45096</v>
      </c>
      <c r="P10320">
        <v>0</v>
      </c>
      <c r="Q10320">
        <v>0</v>
      </c>
      <c r="R10320" t="s">
        <v>45108</v>
      </c>
      <c r="S10320" t="s">
        <v>45434</v>
      </c>
      <c r="T10320" t="s">
        <v>47097</v>
      </c>
      <c r="U10320" t="s">
        <v>48384</v>
      </c>
      <c r="W10320" t="s">
        <v>41951</v>
      </c>
      <c r="X10320" t="s">
        <v>45109</v>
      </c>
    </row>
    <row r="10321" spans="1:24">
      <c r="A10321">
        <f>HYPERLINK("https://www.philgeps.gov.ph/GEPSNONPILOT/Tender/SplashBidNoticeAbstractUI.aspx?menuIndex=3&amp;refID=7027603&amp;Result=3","7027603")</f>
        <v>0</v>
      </c>
      <c r="B10321" t="s">
        <v>2724</v>
      </c>
      <c r="C10321" t="s">
        <v>13039</v>
      </c>
      <c r="D10321" t="s">
        <v>18047</v>
      </c>
      <c r="E10321" t="s">
        <v>27076</v>
      </c>
      <c r="F10321" t="s">
        <v>31574</v>
      </c>
      <c r="G10321" t="s">
        <v>31582</v>
      </c>
      <c r="H10321" t="s">
        <v>31590</v>
      </c>
      <c r="I10321" t="s">
        <v>4046</v>
      </c>
      <c r="J10321" t="s">
        <v>38171</v>
      </c>
      <c r="K10321" t="s">
        <v>41190</v>
      </c>
      <c r="M10321" t="s">
        <v>44495</v>
      </c>
      <c r="N10321" t="s">
        <v>45095</v>
      </c>
      <c r="O10321" t="s">
        <v>45096</v>
      </c>
      <c r="P10321">
        <v>0</v>
      </c>
      <c r="Q10321">
        <v>4</v>
      </c>
      <c r="R10321" t="s">
        <v>45108</v>
      </c>
      <c r="S10321" t="s">
        <v>45434</v>
      </c>
      <c r="T10321" t="s">
        <v>46926</v>
      </c>
      <c r="U10321" t="s">
        <v>55965</v>
      </c>
      <c r="V10321" t="s">
        <v>60944</v>
      </c>
      <c r="W10321" t="s">
        <v>44495</v>
      </c>
      <c r="X10321" t="s">
        <v>45109</v>
      </c>
    </row>
    <row r="10322" spans="1:24">
      <c r="A10322">
        <f>HYPERLINK("https://www.philgeps.gov.ph/GEPSNONPILOT/Tender/SplashBidNoticeAbstractUI.aspx?menuIndex=3&amp;refID=7027632&amp;Result=3","7027632")</f>
        <v>0</v>
      </c>
      <c r="B10322" t="s">
        <v>247</v>
      </c>
      <c r="C10322" t="s">
        <v>13040</v>
      </c>
      <c r="D10322" t="s">
        <v>18072</v>
      </c>
      <c r="E10322" t="s">
        <v>27077</v>
      </c>
      <c r="F10322" t="s">
        <v>31575</v>
      </c>
      <c r="G10322" t="s">
        <v>31582</v>
      </c>
      <c r="H10322" t="s">
        <v>31590</v>
      </c>
      <c r="I10322" t="s">
        <v>4046</v>
      </c>
      <c r="J10322" t="s">
        <v>31947</v>
      </c>
      <c r="K10322" t="s">
        <v>41189</v>
      </c>
      <c r="M10322" t="s">
        <v>41733</v>
      </c>
      <c r="N10322" t="s">
        <v>45095</v>
      </c>
      <c r="O10322" t="s">
        <v>45096</v>
      </c>
      <c r="P10322">
        <v>0</v>
      </c>
      <c r="Q10322">
        <v>0</v>
      </c>
      <c r="R10322" t="s">
        <v>45108</v>
      </c>
      <c r="S10322" t="s">
        <v>45434</v>
      </c>
      <c r="T10322" t="s">
        <v>46918</v>
      </c>
      <c r="U10322" t="s">
        <v>55966</v>
      </c>
      <c r="W10322" t="s">
        <v>41733</v>
      </c>
      <c r="X10322" t="s">
        <v>45109</v>
      </c>
    </row>
    <row r="10323" spans="1:24">
      <c r="A10323">
        <f>HYPERLINK("https://www.philgeps.gov.ph/GEPSNONPILOT/Tender/SplashBidNoticeAbstractUI.aspx?menuIndex=3&amp;refID=7027350&amp;Result=3","7027350")</f>
        <v>0</v>
      </c>
      <c r="B10323" t="s">
        <v>1329</v>
      </c>
      <c r="C10323" t="s">
        <v>13041</v>
      </c>
      <c r="E10323" t="s">
        <v>27078</v>
      </c>
      <c r="F10323" t="s">
        <v>31574</v>
      </c>
      <c r="G10323" t="s">
        <v>31583</v>
      </c>
      <c r="H10323" t="s">
        <v>31590</v>
      </c>
      <c r="I10323" t="s">
        <v>14034</v>
      </c>
      <c r="J10323" t="s">
        <v>34120</v>
      </c>
      <c r="K10323" t="s">
        <v>41196</v>
      </c>
      <c r="M10323" t="s">
        <v>42899</v>
      </c>
      <c r="N10323" t="s">
        <v>45095</v>
      </c>
      <c r="O10323" t="s">
        <v>45096</v>
      </c>
      <c r="Q10323">
        <v>8</v>
      </c>
      <c r="R10323" t="s">
        <v>45108</v>
      </c>
      <c r="S10323" t="s">
        <v>45441</v>
      </c>
      <c r="T10323" t="s">
        <v>46985</v>
      </c>
      <c r="U10323" t="s">
        <v>55967</v>
      </c>
      <c r="W10323" t="s">
        <v>42899</v>
      </c>
      <c r="X10323" t="s">
        <v>45109</v>
      </c>
    </row>
    <row r="10324" spans="1:24">
      <c r="A10324">
        <f>HYPERLINK("https://www.philgeps.gov.ph/GEPSNONPILOT/Tender/SplashBidNoticeAbstractUI.aspx?menuIndex=3&amp;refID=7027589&amp;Result=3","7027589")</f>
        <v>0</v>
      </c>
      <c r="B10324" t="s">
        <v>390</v>
      </c>
      <c r="C10324" t="s">
        <v>13042</v>
      </c>
      <c r="D10324" t="s">
        <v>18033</v>
      </c>
      <c r="E10324" t="s">
        <v>27079</v>
      </c>
      <c r="F10324" t="s">
        <v>31574</v>
      </c>
      <c r="G10324" t="s">
        <v>31582</v>
      </c>
      <c r="H10324" t="s">
        <v>31590</v>
      </c>
      <c r="I10324" t="s">
        <v>6800</v>
      </c>
      <c r="J10324" t="s">
        <v>31733</v>
      </c>
      <c r="K10324" t="s">
        <v>41184</v>
      </c>
      <c r="M10324" t="s">
        <v>41881</v>
      </c>
      <c r="N10324" t="s">
        <v>45095</v>
      </c>
      <c r="O10324" t="s">
        <v>45096</v>
      </c>
      <c r="P10324">
        <v>0</v>
      </c>
      <c r="Q10324">
        <v>4</v>
      </c>
      <c r="R10324" t="s">
        <v>45108</v>
      </c>
      <c r="S10324" t="s">
        <v>45434</v>
      </c>
      <c r="T10324" t="s">
        <v>46937</v>
      </c>
      <c r="U10324" t="s">
        <v>55968</v>
      </c>
      <c r="W10324" t="s">
        <v>41881</v>
      </c>
      <c r="X10324" t="s">
        <v>45109</v>
      </c>
    </row>
    <row r="10325" spans="1:24">
      <c r="A10325">
        <f>HYPERLINK("https://www.philgeps.gov.ph/GEPSNONPILOT/Tender/SplashBidNoticeAbstractUI.aspx?menuIndex=3&amp;refID=7027640&amp;Result=3","7027640")</f>
        <v>0</v>
      </c>
      <c r="B10325" t="s">
        <v>1448</v>
      </c>
      <c r="C10325" t="s">
        <v>13043</v>
      </c>
      <c r="D10325" t="s">
        <v>18043</v>
      </c>
      <c r="E10325" t="s">
        <v>27080</v>
      </c>
      <c r="F10325" t="s">
        <v>31574</v>
      </c>
      <c r="G10325" t="s">
        <v>31582</v>
      </c>
      <c r="H10325" t="s">
        <v>31591</v>
      </c>
      <c r="I10325" t="s">
        <v>8822</v>
      </c>
      <c r="J10325" t="s">
        <v>36513</v>
      </c>
      <c r="K10325" t="s">
        <v>41209</v>
      </c>
      <c r="M10325" t="s">
        <v>43027</v>
      </c>
      <c r="N10325" t="s">
        <v>45095</v>
      </c>
      <c r="O10325" t="s">
        <v>45096</v>
      </c>
      <c r="P10325">
        <v>0</v>
      </c>
      <c r="Q10325">
        <v>3</v>
      </c>
      <c r="R10325" t="s">
        <v>45108</v>
      </c>
      <c r="S10325" t="s">
        <v>45434</v>
      </c>
      <c r="T10325" t="s">
        <v>46922</v>
      </c>
      <c r="U10325" t="s">
        <v>55969</v>
      </c>
      <c r="W10325" t="s">
        <v>43027</v>
      </c>
      <c r="X10325" t="s">
        <v>45109</v>
      </c>
    </row>
    <row r="10326" spans="1:24">
      <c r="A10326">
        <f>HYPERLINK("https://www.philgeps.gov.ph/GEPSNONPILOT/Tender/SplashBidNoticeAbstractUI.aspx?menuIndex=3&amp;refID=7027602&amp;Result=3","7027602")</f>
        <v>0</v>
      </c>
      <c r="B10326" t="s">
        <v>2725</v>
      </c>
      <c r="C10326" t="s">
        <v>13044</v>
      </c>
      <c r="D10326" t="s">
        <v>18071</v>
      </c>
      <c r="E10326" t="s">
        <v>18364</v>
      </c>
      <c r="F10326" t="s">
        <v>31574</v>
      </c>
      <c r="G10326" t="s">
        <v>31582</v>
      </c>
      <c r="H10326" t="s">
        <v>31590</v>
      </c>
      <c r="I10326" t="s">
        <v>31615</v>
      </c>
      <c r="J10326" t="s">
        <v>38172</v>
      </c>
      <c r="K10326" t="s">
        <v>41186</v>
      </c>
      <c r="M10326" t="s">
        <v>44496</v>
      </c>
      <c r="N10326" t="s">
        <v>45095</v>
      </c>
      <c r="O10326" t="s">
        <v>45096</v>
      </c>
      <c r="P10326">
        <v>0</v>
      </c>
      <c r="Q10326">
        <v>0</v>
      </c>
      <c r="R10326" t="s">
        <v>45108</v>
      </c>
      <c r="S10326" t="s">
        <v>45434</v>
      </c>
      <c r="T10326" t="s">
        <v>47010</v>
      </c>
      <c r="U10326" t="s">
        <v>55970</v>
      </c>
      <c r="W10326" t="s">
        <v>44496</v>
      </c>
      <c r="X10326" t="s">
        <v>45109</v>
      </c>
    </row>
    <row r="10327" spans="1:24">
      <c r="A10327">
        <f>HYPERLINK("https://www.philgeps.gov.ph/GEPSNONPILOT/Tender/SplashBidNoticeAbstractUI.aspx?menuIndex=3&amp;refID=7027548&amp;Result=3","7027548")</f>
        <v>0</v>
      </c>
      <c r="B10327" t="s">
        <v>326</v>
      </c>
      <c r="C10327" t="s">
        <v>13045</v>
      </c>
      <c r="D10327" t="s">
        <v>18050</v>
      </c>
      <c r="E10327" t="s">
        <v>27081</v>
      </c>
      <c r="F10327" t="s">
        <v>31574</v>
      </c>
      <c r="G10327" t="s">
        <v>31582</v>
      </c>
      <c r="H10327" t="s">
        <v>31590</v>
      </c>
      <c r="I10327" t="s">
        <v>8822</v>
      </c>
      <c r="J10327" t="s">
        <v>38173</v>
      </c>
      <c r="K10327" t="s">
        <v>41189</v>
      </c>
      <c r="M10327" t="s">
        <v>42218</v>
      </c>
      <c r="N10327" t="s">
        <v>45095</v>
      </c>
      <c r="O10327" t="s">
        <v>45096</v>
      </c>
      <c r="P10327">
        <v>0</v>
      </c>
      <c r="Q10327">
        <v>0</v>
      </c>
      <c r="R10327" t="s">
        <v>45108</v>
      </c>
      <c r="S10327" t="s">
        <v>45434</v>
      </c>
      <c r="T10327" t="s">
        <v>46977</v>
      </c>
      <c r="U10327" t="s">
        <v>55971</v>
      </c>
      <c r="W10327" t="s">
        <v>42218</v>
      </c>
      <c r="X10327" t="s">
        <v>45109</v>
      </c>
    </row>
    <row r="10328" spans="1:24">
      <c r="A10328">
        <f>HYPERLINK("https://www.philgeps.gov.ph/GEPSNONPILOT/Tender/SplashBidNoticeAbstractUI.aspx?menuIndex=3&amp;refID=7027505&amp;Result=3","7027505")</f>
        <v>0</v>
      </c>
      <c r="B10328" t="s">
        <v>2718</v>
      </c>
      <c r="C10328" t="s">
        <v>13046</v>
      </c>
      <c r="D10328" t="s">
        <v>18072</v>
      </c>
      <c r="E10328" t="s">
        <v>27082</v>
      </c>
      <c r="F10328" t="s">
        <v>31574</v>
      </c>
      <c r="G10328" t="s">
        <v>31582</v>
      </c>
      <c r="H10328" t="s">
        <v>31591</v>
      </c>
      <c r="I10328" t="s">
        <v>8822</v>
      </c>
      <c r="J10328" t="s">
        <v>32167</v>
      </c>
      <c r="K10328" t="s">
        <v>41192</v>
      </c>
      <c r="M10328" t="s">
        <v>44489</v>
      </c>
      <c r="N10328" t="s">
        <v>45095</v>
      </c>
      <c r="O10328" t="s">
        <v>45096</v>
      </c>
      <c r="P10328">
        <v>0</v>
      </c>
      <c r="Q10328">
        <v>0</v>
      </c>
      <c r="R10328" t="s">
        <v>45108</v>
      </c>
      <c r="S10328" t="s">
        <v>45434</v>
      </c>
      <c r="T10328" t="s">
        <v>46914</v>
      </c>
      <c r="U10328" t="s">
        <v>55972</v>
      </c>
      <c r="W10328" t="s">
        <v>44489</v>
      </c>
      <c r="X10328" t="s">
        <v>45109</v>
      </c>
    </row>
    <row r="10329" spans="1:24">
      <c r="A10329">
        <f>HYPERLINK("https://www.philgeps.gov.ph/GEPSNONPILOT/Tender/SplashBidNoticeAbstractUI.aspx?menuIndex=3&amp;refID=7027443&amp;Result=3","7027443")</f>
        <v>0</v>
      </c>
      <c r="B10329" t="s">
        <v>2405</v>
      </c>
      <c r="C10329" t="s">
        <v>13047</v>
      </c>
      <c r="D10329" t="s">
        <v>18052</v>
      </c>
      <c r="E10329" t="s">
        <v>19923</v>
      </c>
      <c r="F10329" t="s">
        <v>31574</v>
      </c>
      <c r="G10329" t="s">
        <v>31582</v>
      </c>
      <c r="H10329" t="s">
        <v>31591</v>
      </c>
      <c r="I10329" t="s">
        <v>8822</v>
      </c>
      <c r="J10329" t="s">
        <v>31845</v>
      </c>
      <c r="K10329" t="s">
        <v>41186</v>
      </c>
      <c r="M10329" t="s">
        <v>44132</v>
      </c>
      <c r="N10329" t="s">
        <v>45095</v>
      </c>
      <c r="O10329" t="s">
        <v>45096</v>
      </c>
      <c r="P10329">
        <v>0</v>
      </c>
      <c r="Q10329">
        <v>0</v>
      </c>
      <c r="R10329" t="s">
        <v>45108</v>
      </c>
      <c r="S10329" t="s">
        <v>45434</v>
      </c>
      <c r="T10329" t="s">
        <v>47043</v>
      </c>
      <c r="U10329" t="s">
        <v>50981</v>
      </c>
      <c r="W10329" t="s">
        <v>44132</v>
      </c>
      <c r="X10329" t="s">
        <v>45109</v>
      </c>
    </row>
    <row r="10330" spans="1:24">
      <c r="A10330">
        <f>HYPERLINK("https://www.philgeps.gov.ph/GEPSNONPILOT/Tender/SplashBidNoticeAbstractUI.aspx?menuIndex=3&amp;refID=7027539&amp;Result=3","7027539")</f>
        <v>0</v>
      </c>
      <c r="B10330" t="s">
        <v>2726</v>
      </c>
      <c r="C10330" t="s">
        <v>13048</v>
      </c>
      <c r="D10330" t="s">
        <v>18030</v>
      </c>
      <c r="E10330" t="s">
        <v>24014</v>
      </c>
      <c r="F10330" t="s">
        <v>31574</v>
      </c>
      <c r="G10330" t="s">
        <v>31582</v>
      </c>
      <c r="H10330" t="s">
        <v>31590</v>
      </c>
      <c r="I10330" t="s">
        <v>8258</v>
      </c>
      <c r="J10330" t="s">
        <v>31845</v>
      </c>
      <c r="K10330" t="s">
        <v>41194</v>
      </c>
      <c r="M10330" t="s">
        <v>44497</v>
      </c>
      <c r="N10330" t="s">
        <v>45095</v>
      </c>
      <c r="O10330" t="s">
        <v>45096</v>
      </c>
      <c r="P10330">
        <v>0</v>
      </c>
      <c r="Q10330">
        <v>0</v>
      </c>
      <c r="R10330" t="s">
        <v>45108</v>
      </c>
      <c r="S10330" t="s">
        <v>45434</v>
      </c>
      <c r="T10330" t="s">
        <v>46911</v>
      </c>
      <c r="U10330" t="s">
        <v>55973</v>
      </c>
      <c r="W10330" t="s">
        <v>44497</v>
      </c>
      <c r="X10330" t="s">
        <v>45109</v>
      </c>
    </row>
    <row r="10331" spans="1:24">
      <c r="A10331">
        <f>HYPERLINK("https://www.philgeps.gov.ph/GEPSNONPILOT/Tender/SplashBidNoticeAbstractUI.aspx?menuIndex=3&amp;refID=7027499&amp;Result=3","7027499")</f>
        <v>0</v>
      </c>
      <c r="B10331" t="s">
        <v>712</v>
      </c>
      <c r="C10331" t="s">
        <v>13049</v>
      </c>
      <c r="D10331" t="s">
        <v>18041</v>
      </c>
      <c r="E10331" t="s">
        <v>27083</v>
      </c>
      <c r="F10331" t="s">
        <v>31574</v>
      </c>
      <c r="G10331" t="s">
        <v>31582</v>
      </c>
      <c r="H10331" t="s">
        <v>31590</v>
      </c>
      <c r="I10331" t="s">
        <v>4327</v>
      </c>
      <c r="J10331" t="s">
        <v>31873</v>
      </c>
      <c r="K10331" t="s">
        <v>41184</v>
      </c>
      <c r="M10331" t="s">
        <v>42222</v>
      </c>
      <c r="N10331" t="s">
        <v>45095</v>
      </c>
      <c r="O10331" t="s">
        <v>45096</v>
      </c>
      <c r="P10331">
        <v>0</v>
      </c>
      <c r="Q10331">
        <v>1</v>
      </c>
      <c r="R10331" t="s">
        <v>45108</v>
      </c>
      <c r="S10331" t="s">
        <v>45434</v>
      </c>
      <c r="T10331" t="s">
        <v>47308</v>
      </c>
      <c r="U10331" t="s">
        <v>55974</v>
      </c>
      <c r="W10331" t="s">
        <v>42222</v>
      </c>
      <c r="X10331" t="s">
        <v>45109</v>
      </c>
    </row>
    <row r="10332" spans="1:24">
      <c r="A10332">
        <f>HYPERLINK("https://www.philgeps.gov.ph/GEPSNONPILOT/Tender/SplashBidNoticeAbstractUI.aspx?menuIndex=3&amp;refID=7027151&amp;Result=3","7027151")</f>
        <v>0</v>
      </c>
      <c r="B10332" t="s">
        <v>180</v>
      </c>
      <c r="C10332" t="s">
        <v>13050</v>
      </c>
      <c r="D10332" t="s">
        <v>18066</v>
      </c>
      <c r="E10332" t="s">
        <v>27084</v>
      </c>
      <c r="F10332" t="s">
        <v>31574</v>
      </c>
      <c r="G10332" t="s">
        <v>31582</v>
      </c>
      <c r="H10332" t="s">
        <v>31590</v>
      </c>
      <c r="I10332" t="s">
        <v>4046</v>
      </c>
      <c r="J10332" t="s">
        <v>38174</v>
      </c>
      <c r="K10332" t="s">
        <v>41196</v>
      </c>
      <c r="M10332" t="s">
        <v>41665</v>
      </c>
      <c r="N10332" t="s">
        <v>45095</v>
      </c>
      <c r="O10332" t="s">
        <v>45096</v>
      </c>
      <c r="P10332">
        <v>0</v>
      </c>
      <c r="Q10332">
        <v>0</v>
      </c>
      <c r="R10332" t="s">
        <v>45108</v>
      </c>
      <c r="S10332" t="s">
        <v>45434</v>
      </c>
      <c r="T10332" t="s">
        <v>46932</v>
      </c>
      <c r="U10332" t="s">
        <v>55975</v>
      </c>
      <c r="W10332" t="s">
        <v>41665</v>
      </c>
      <c r="X10332" t="s">
        <v>45109</v>
      </c>
    </row>
    <row r="10333" spans="1:24">
      <c r="A10333">
        <f>HYPERLINK("https://www.philgeps.gov.ph/GEPSNONPILOT/Tender/SplashBidNoticeAbstractUI.aspx?menuIndex=3&amp;refID=7027528&amp;Result=3","7027528")</f>
        <v>0</v>
      </c>
      <c r="B10333" t="s">
        <v>712</v>
      </c>
      <c r="C10333" t="s">
        <v>13051</v>
      </c>
      <c r="D10333" t="s">
        <v>18041</v>
      </c>
      <c r="E10333" t="s">
        <v>27085</v>
      </c>
      <c r="F10333" t="s">
        <v>31574</v>
      </c>
      <c r="G10333" t="s">
        <v>31582</v>
      </c>
      <c r="H10333" t="s">
        <v>31590</v>
      </c>
      <c r="I10333" t="s">
        <v>4046</v>
      </c>
      <c r="J10333" t="s">
        <v>38175</v>
      </c>
      <c r="K10333" t="s">
        <v>41184</v>
      </c>
      <c r="M10333" t="s">
        <v>42222</v>
      </c>
      <c r="N10333" t="s">
        <v>45095</v>
      </c>
      <c r="O10333" t="s">
        <v>45096</v>
      </c>
      <c r="P10333">
        <v>0</v>
      </c>
      <c r="Q10333">
        <v>0</v>
      </c>
      <c r="R10333" t="s">
        <v>45108</v>
      </c>
      <c r="S10333" t="s">
        <v>45434</v>
      </c>
      <c r="T10333" t="s">
        <v>47308</v>
      </c>
      <c r="U10333" t="s">
        <v>55976</v>
      </c>
      <c r="W10333" t="s">
        <v>42222</v>
      </c>
      <c r="X10333" t="s">
        <v>45109</v>
      </c>
    </row>
    <row r="10334" spans="1:24">
      <c r="A10334">
        <f>HYPERLINK("https://www.philgeps.gov.ph/GEPSNONPILOT/Tender/SplashBidNoticeAbstractUI.aspx?menuIndex=3&amp;refID=7027497&amp;Result=3","7027497")</f>
        <v>0</v>
      </c>
      <c r="B10334" t="s">
        <v>309</v>
      </c>
      <c r="C10334" t="s">
        <v>13052</v>
      </c>
      <c r="D10334" t="s">
        <v>18074</v>
      </c>
      <c r="E10334" t="s">
        <v>27086</v>
      </c>
      <c r="F10334" t="s">
        <v>31574</v>
      </c>
      <c r="G10334" t="s">
        <v>31582</v>
      </c>
      <c r="H10334" t="s">
        <v>31590</v>
      </c>
      <c r="I10334" t="s">
        <v>3651</v>
      </c>
      <c r="J10334" t="s">
        <v>35082</v>
      </c>
      <c r="K10334" t="s">
        <v>41184</v>
      </c>
      <c r="M10334" t="s">
        <v>41795</v>
      </c>
      <c r="N10334" t="s">
        <v>45095</v>
      </c>
      <c r="O10334" t="s">
        <v>45096</v>
      </c>
      <c r="P10334">
        <v>0</v>
      </c>
      <c r="Q10334">
        <v>1</v>
      </c>
      <c r="R10334" t="s">
        <v>45108</v>
      </c>
      <c r="S10334" t="s">
        <v>45434</v>
      </c>
      <c r="T10334" t="s">
        <v>47064</v>
      </c>
      <c r="U10334" t="s">
        <v>55977</v>
      </c>
      <c r="W10334" t="s">
        <v>41795</v>
      </c>
      <c r="X10334" t="s">
        <v>45109</v>
      </c>
    </row>
    <row r="10335" spans="1:24">
      <c r="A10335">
        <f>HYPERLINK("https://www.philgeps.gov.ph/GEPSNONPILOT/Tender/SplashBidNoticeAbstractUI.aspx?menuIndex=3&amp;refID=7027471&amp;Result=3","7027471")</f>
        <v>0</v>
      </c>
      <c r="B10335" t="s">
        <v>1050</v>
      </c>
      <c r="C10335" t="s">
        <v>13053</v>
      </c>
      <c r="D10335" t="s">
        <v>18024</v>
      </c>
      <c r="E10335" t="s">
        <v>27087</v>
      </c>
      <c r="F10335" t="s">
        <v>31574</v>
      </c>
      <c r="G10335" t="s">
        <v>31582</v>
      </c>
      <c r="H10335" t="s">
        <v>31590</v>
      </c>
      <c r="I10335" t="s">
        <v>4046</v>
      </c>
      <c r="J10335" t="s">
        <v>38176</v>
      </c>
      <c r="K10335" t="s">
        <v>41196</v>
      </c>
      <c r="M10335" t="s">
        <v>42594</v>
      </c>
      <c r="N10335" t="s">
        <v>45095</v>
      </c>
      <c r="O10335" t="s">
        <v>45096</v>
      </c>
      <c r="P10335">
        <v>0</v>
      </c>
      <c r="Q10335">
        <v>0</v>
      </c>
      <c r="R10335" t="s">
        <v>45108</v>
      </c>
      <c r="S10335" t="s">
        <v>45434</v>
      </c>
      <c r="T10335" t="s">
        <v>47197</v>
      </c>
      <c r="U10335" t="s">
        <v>55978</v>
      </c>
      <c r="W10335" t="s">
        <v>42594</v>
      </c>
      <c r="X10335" t="s">
        <v>45109</v>
      </c>
    </row>
    <row r="10336" spans="1:24">
      <c r="A10336">
        <f>HYPERLINK("https://www.philgeps.gov.ph/GEPSNONPILOT/Tender/SplashBidNoticeAbstractUI.aspx?menuIndex=3&amp;refID=7027502&amp;Result=3","7027502")</f>
        <v>0</v>
      </c>
      <c r="B10336" t="s">
        <v>1050</v>
      </c>
      <c r="C10336" t="s">
        <v>13054</v>
      </c>
      <c r="D10336" t="s">
        <v>18024</v>
      </c>
      <c r="E10336" t="s">
        <v>27088</v>
      </c>
      <c r="F10336" t="s">
        <v>31574</v>
      </c>
      <c r="G10336" t="s">
        <v>31582</v>
      </c>
      <c r="H10336" t="s">
        <v>31590</v>
      </c>
      <c r="I10336" t="s">
        <v>31695</v>
      </c>
      <c r="J10336" t="s">
        <v>36963</v>
      </c>
      <c r="K10336" t="s">
        <v>41189</v>
      </c>
      <c r="M10336" t="s">
        <v>42594</v>
      </c>
      <c r="N10336" t="s">
        <v>45095</v>
      </c>
      <c r="O10336" t="s">
        <v>45096</v>
      </c>
      <c r="P10336">
        <v>0</v>
      </c>
      <c r="Q10336">
        <v>0</v>
      </c>
      <c r="R10336" t="s">
        <v>45108</v>
      </c>
      <c r="S10336" t="s">
        <v>45434</v>
      </c>
      <c r="T10336" t="s">
        <v>47197</v>
      </c>
      <c r="U10336" t="s">
        <v>55979</v>
      </c>
      <c r="W10336" t="s">
        <v>42594</v>
      </c>
      <c r="X10336" t="s">
        <v>45109</v>
      </c>
    </row>
    <row r="10337" spans="1:24">
      <c r="A10337">
        <f>HYPERLINK("https://www.philgeps.gov.ph/GEPSNONPILOT/Tender/SplashBidNoticeAbstractUI.aspx?menuIndex=3&amp;refID=7027455&amp;Result=3","7027455")</f>
        <v>0</v>
      </c>
      <c r="B10337" t="s">
        <v>2589</v>
      </c>
      <c r="C10337" t="s">
        <v>13055</v>
      </c>
      <c r="D10337" t="s">
        <v>18065</v>
      </c>
      <c r="E10337" t="s">
        <v>27089</v>
      </c>
      <c r="F10337" t="s">
        <v>31574</v>
      </c>
      <c r="G10337" t="s">
        <v>31582</v>
      </c>
      <c r="H10337" t="s">
        <v>31590</v>
      </c>
      <c r="I10337" t="s">
        <v>31676</v>
      </c>
      <c r="J10337" t="s">
        <v>32742</v>
      </c>
      <c r="K10337" t="s">
        <v>41192</v>
      </c>
      <c r="M10337" t="s">
        <v>44332</v>
      </c>
      <c r="N10337" t="s">
        <v>45095</v>
      </c>
      <c r="O10337" t="s">
        <v>45096</v>
      </c>
      <c r="P10337">
        <v>0</v>
      </c>
      <c r="Q10337">
        <v>7</v>
      </c>
      <c r="R10337" t="s">
        <v>45108</v>
      </c>
      <c r="S10337" t="s">
        <v>45434</v>
      </c>
      <c r="T10337" t="s">
        <v>47000</v>
      </c>
      <c r="U10337" t="s">
        <v>55312</v>
      </c>
      <c r="V10337" t="s">
        <v>60927</v>
      </c>
      <c r="W10337" t="s">
        <v>44332</v>
      </c>
      <c r="X10337" t="s">
        <v>45109</v>
      </c>
    </row>
    <row r="10338" spans="1:24">
      <c r="A10338">
        <f>HYPERLINK("https://www.philgeps.gov.ph/GEPSNONPILOT/Tender/SplashBidNoticeAbstractUI.aspx?menuIndex=3&amp;refID=7027487&amp;Result=3","7027487")</f>
        <v>0</v>
      </c>
      <c r="B10338" t="s">
        <v>1050</v>
      </c>
      <c r="C10338" t="s">
        <v>13056</v>
      </c>
      <c r="D10338" t="s">
        <v>18024</v>
      </c>
      <c r="E10338" t="s">
        <v>27090</v>
      </c>
      <c r="F10338" t="s">
        <v>31574</v>
      </c>
      <c r="G10338" t="s">
        <v>31582</v>
      </c>
      <c r="H10338" t="s">
        <v>31590</v>
      </c>
      <c r="I10338" t="s">
        <v>31602</v>
      </c>
      <c r="J10338" t="s">
        <v>38177</v>
      </c>
      <c r="K10338" t="s">
        <v>41190</v>
      </c>
      <c r="M10338" t="s">
        <v>42594</v>
      </c>
      <c r="N10338" t="s">
        <v>45095</v>
      </c>
      <c r="O10338" t="s">
        <v>45096</v>
      </c>
      <c r="P10338">
        <v>0</v>
      </c>
      <c r="Q10338">
        <v>0</v>
      </c>
      <c r="R10338" t="s">
        <v>45108</v>
      </c>
      <c r="S10338" t="s">
        <v>45434</v>
      </c>
      <c r="T10338" t="s">
        <v>47197</v>
      </c>
      <c r="U10338" t="s">
        <v>55978</v>
      </c>
      <c r="W10338" t="s">
        <v>42594</v>
      </c>
      <c r="X10338" t="s">
        <v>45109</v>
      </c>
    </row>
    <row r="10339" spans="1:24">
      <c r="A10339">
        <f>HYPERLINK("https://www.philgeps.gov.ph/GEPSNONPILOT/Tender/SplashBidNoticeAbstractUI.aspx?menuIndex=3&amp;refID=7027567&amp;Result=3","7027567")</f>
        <v>0</v>
      </c>
      <c r="B10339" t="s">
        <v>1931</v>
      </c>
      <c r="C10339" t="s">
        <v>13057</v>
      </c>
      <c r="D10339" t="s">
        <v>18029</v>
      </c>
      <c r="E10339" t="s">
        <v>27091</v>
      </c>
      <c r="F10339" t="s">
        <v>31574</v>
      </c>
      <c r="G10339" t="s">
        <v>31581</v>
      </c>
      <c r="H10339" t="s">
        <v>31590</v>
      </c>
      <c r="I10339" t="s">
        <v>31629</v>
      </c>
      <c r="J10339" t="s">
        <v>32020</v>
      </c>
      <c r="K10339" t="s">
        <v>41213</v>
      </c>
      <c r="M10339" t="s">
        <v>43585</v>
      </c>
      <c r="N10339" t="s">
        <v>45095</v>
      </c>
      <c r="O10339" t="s">
        <v>45096</v>
      </c>
      <c r="P10339">
        <v>0</v>
      </c>
      <c r="Q10339">
        <v>0</v>
      </c>
      <c r="R10339" t="s">
        <v>45108</v>
      </c>
      <c r="S10339" t="s">
        <v>45434</v>
      </c>
      <c r="T10339" t="s">
        <v>46982</v>
      </c>
      <c r="U10339" t="s">
        <v>55980</v>
      </c>
      <c r="W10339" t="s">
        <v>43585</v>
      </c>
      <c r="X10339" t="s">
        <v>45109</v>
      </c>
    </row>
    <row r="10340" spans="1:24">
      <c r="A10340">
        <f>HYPERLINK("https://www.philgeps.gov.ph/GEPSNONPILOT/Tender/SplashBidNoticeAbstractUI.aspx?menuIndex=3&amp;refID=7027281&amp;Result=3","7027281")</f>
        <v>0</v>
      </c>
      <c r="B10340" t="s">
        <v>1553</v>
      </c>
      <c r="C10340" t="s">
        <v>13058</v>
      </c>
      <c r="D10340" t="s">
        <v>18068</v>
      </c>
      <c r="E10340" t="s">
        <v>20420</v>
      </c>
      <c r="F10340" t="s">
        <v>31574</v>
      </c>
      <c r="G10340" t="s">
        <v>31582</v>
      </c>
      <c r="H10340" t="s">
        <v>31591</v>
      </c>
      <c r="I10340" t="s">
        <v>8822</v>
      </c>
      <c r="J10340" t="s">
        <v>38178</v>
      </c>
      <c r="K10340" t="s">
        <v>41200</v>
      </c>
      <c r="M10340" t="s">
        <v>43151</v>
      </c>
      <c r="N10340" t="s">
        <v>45095</v>
      </c>
      <c r="O10340" t="s">
        <v>45096</v>
      </c>
      <c r="P10340">
        <v>0</v>
      </c>
      <c r="Q10340">
        <v>1</v>
      </c>
      <c r="R10340" t="s">
        <v>45108</v>
      </c>
      <c r="S10340" t="s">
        <v>45434</v>
      </c>
      <c r="T10340" t="s">
        <v>46992</v>
      </c>
      <c r="U10340" t="s">
        <v>55981</v>
      </c>
      <c r="W10340" t="s">
        <v>43151</v>
      </c>
      <c r="X10340" t="s">
        <v>45109</v>
      </c>
    </row>
    <row r="10341" spans="1:24">
      <c r="A10341">
        <f>HYPERLINK("https://www.philgeps.gov.ph/GEPSNONPILOT/Tender/SplashBidNoticeAbstractUI.aspx?menuIndex=3&amp;refID=7027757&amp;Result=3","7027757")</f>
        <v>0</v>
      </c>
      <c r="B10341" t="s">
        <v>981</v>
      </c>
      <c r="C10341" t="s">
        <v>13059</v>
      </c>
      <c r="D10341" t="s">
        <v>18039</v>
      </c>
      <c r="E10341" t="s">
        <v>27092</v>
      </c>
      <c r="F10341" t="s">
        <v>31574</v>
      </c>
      <c r="G10341" t="s">
        <v>31582</v>
      </c>
      <c r="H10341" t="s">
        <v>31591</v>
      </c>
      <c r="I10341" t="s">
        <v>8822</v>
      </c>
      <c r="J10341" t="s">
        <v>32739</v>
      </c>
      <c r="K10341" t="s">
        <v>41398</v>
      </c>
      <c r="M10341" t="s">
        <v>42515</v>
      </c>
      <c r="N10341" t="s">
        <v>45095</v>
      </c>
      <c r="O10341" t="s">
        <v>45096</v>
      </c>
      <c r="P10341">
        <v>0</v>
      </c>
      <c r="Q10341">
        <v>0</v>
      </c>
      <c r="R10341" t="s">
        <v>45108</v>
      </c>
      <c r="S10341" t="s">
        <v>45434</v>
      </c>
      <c r="T10341" t="s">
        <v>46933</v>
      </c>
      <c r="U10341" t="s">
        <v>55982</v>
      </c>
      <c r="W10341" t="s">
        <v>42515</v>
      </c>
      <c r="X10341" t="s">
        <v>45109</v>
      </c>
    </row>
    <row r="10342" spans="1:24">
      <c r="A10342">
        <f>HYPERLINK("https://www.philgeps.gov.ph/GEPSNONPILOT/Tender/SplashBidNoticeAbstractUI.aspx?menuIndex=3&amp;refID=7027652&amp;Result=3","7027652")</f>
        <v>0</v>
      </c>
      <c r="B10342" t="s">
        <v>2724</v>
      </c>
      <c r="C10342" t="s">
        <v>13060</v>
      </c>
      <c r="D10342" t="s">
        <v>18047</v>
      </c>
      <c r="E10342" t="s">
        <v>27093</v>
      </c>
      <c r="F10342" t="s">
        <v>31574</v>
      </c>
      <c r="G10342" t="s">
        <v>31582</v>
      </c>
      <c r="H10342" t="s">
        <v>31590</v>
      </c>
      <c r="I10342" t="s">
        <v>5222</v>
      </c>
      <c r="J10342" t="s">
        <v>32108</v>
      </c>
      <c r="K10342" t="s">
        <v>41190</v>
      </c>
      <c r="M10342" t="s">
        <v>44495</v>
      </c>
      <c r="N10342" t="s">
        <v>45095</v>
      </c>
      <c r="O10342" t="s">
        <v>45096</v>
      </c>
      <c r="P10342">
        <v>0</v>
      </c>
      <c r="Q10342">
        <v>3</v>
      </c>
      <c r="R10342" t="s">
        <v>45108</v>
      </c>
      <c r="S10342" t="s">
        <v>45434</v>
      </c>
      <c r="T10342" t="s">
        <v>46926</v>
      </c>
      <c r="U10342" t="s">
        <v>55983</v>
      </c>
      <c r="V10342" t="s">
        <v>60944</v>
      </c>
      <c r="W10342" t="s">
        <v>44495</v>
      </c>
      <c r="X10342" t="s">
        <v>45109</v>
      </c>
    </row>
    <row r="10343" spans="1:24">
      <c r="A10343">
        <f>HYPERLINK("https://www.philgeps.gov.ph/GEPSNONPILOT/Tender/SplashBidNoticeAbstractUI.aspx?menuIndex=3&amp;refID=7027676&amp;Result=3","7027676")</f>
        <v>0</v>
      </c>
      <c r="B10343" t="s">
        <v>963</v>
      </c>
      <c r="C10343" t="s">
        <v>13061</v>
      </c>
      <c r="D10343" t="s">
        <v>18081</v>
      </c>
      <c r="E10343" t="s">
        <v>27094</v>
      </c>
      <c r="F10343" t="s">
        <v>31574</v>
      </c>
      <c r="G10343" t="s">
        <v>31582</v>
      </c>
      <c r="H10343" t="s">
        <v>31591</v>
      </c>
      <c r="I10343" t="s">
        <v>8822</v>
      </c>
      <c r="J10343" t="s">
        <v>32530</v>
      </c>
      <c r="K10343" t="s">
        <v>41192</v>
      </c>
      <c r="M10343" t="s">
        <v>42492</v>
      </c>
      <c r="N10343" t="s">
        <v>45095</v>
      </c>
      <c r="O10343" t="s">
        <v>45096</v>
      </c>
      <c r="P10343">
        <v>0</v>
      </c>
      <c r="Q10343">
        <v>0</v>
      </c>
      <c r="R10343" t="s">
        <v>45108</v>
      </c>
      <c r="S10343" t="s">
        <v>45434</v>
      </c>
      <c r="T10343" t="s">
        <v>47000</v>
      </c>
      <c r="U10343" t="s">
        <v>55984</v>
      </c>
      <c r="W10343" t="s">
        <v>61685</v>
      </c>
      <c r="X10343" t="s">
        <v>45109</v>
      </c>
    </row>
    <row r="10344" spans="1:24">
      <c r="A10344">
        <f>HYPERLINK("https://www.philgeps.gov.ph/GEPSNONPILOT/Tender/SplashBidNoticeAbstractUI.aspx?menuIndex=3&amp;refID=7027774&amp;Result=3","7027774")</f>
        <v>0</v>
      </c>
      <c r="B10344" t="s">
        <v>981</v>
      </c>
      <c r="C10344" t="s">
        <v>13062</v>
      </c>
      <c r="D10344" t="s">
        <v>18039</v>
      </c>
      <c r="E10344" t="s">
        <v>27095</v>
      </c>
      <c r="F10344" t="s">
        <v>31574</v>
      </c>
      <c r="G10344" t="s">
        <v>31582</v>
      </c>
      <c r="H10344" t="s">
        <v>31591</v>
      </c>
      <c r="I10344" t="s">
        <v>8822</v>
      </c>
      <c r="J10344" t="s">
        <v>32739</v>
      </c>
      <c r="K10344" t="s">
        <v>41222</v>
      </c>
      <c r="M10344" t="s">
        <v>42515</v>
      </c>
      <c r="N10344" t="s">
        <v>45095</v>
      </c>
      <c r="O10344" t="s">
        <v>45096</v>
      </c>
      <c r="P10344">
        <v>0</v>
      </c>
      <c r="Q10344">
        <v>0</v>
      </c>
      <c r="R10344" t="s">
        <v>45108</v>
      </c>
      <c r="S10344" t="s">
        <v>45434</v>
      </c>
      <c r="T10344" t="s">
        <v>46933</v>
      </c>
      <c r="U10344" t="s">
        <v>55982</v>
      </c>
      <c r="W10344" t="s">
        <v>42515</v>
      </c>
      <c r="X10344" t="s">
        <v>45109</v>
      </c>
    </row>
    <row r="10345" spans="1:24">
      <c r="A10345">
        <f>HYPERLINK("https://www.philgeps.gov.ph/GEPSNONPILOT/Tender/SplashBidNoticeAbstractUI.aspx?menuIndex=3&amp;refID=7027748&amp;Result=3","7027748")</f>
        <v>0</v>
      </c>
      <c r="B10345" t="s">
        <v>271</v>
      </c>
      <c r="C10345" t="s">
        <v>13063</v>
      </c>
      <c r="D10345" t="s">
        <v>18046</v>
      </c>
      <c r="E10345" t="s">
        <v>18162</v>
      </c>
      <c r="F10345" t="s">
        <v>31579</v>
      </c>
      <c r="G10345" t="s">
        <v>31582</v>
      </c>
      <c r="H10345" t="s">
        <v>31590</v>
      </c>
      <c r="I10345" t="s">
        <v>6800</v>
      </c>
      <c r="J10345" t="s">
        <v>35290</v>
      </c>
      <c r="K10345" t="s">
        <v>41193</v>
      </c>
      <c r="M10345" t="s">
        <v>41757</v>
      </c>
      <c r="N10345" t="s">
        <v>45095</v>
      </c>
      <c r="O10345" t="s">
        <v>45096</v>
      </c>
      <c r="P10345">
        <v>0</v>
      </c>
      <c r="Q10345">
        <v>0</v>
      </c>
      <c r="R10345" t="s">
        <v>45108</v>
      </c>
      <c r="S10345" t="s">
        <v>45434</v>
      </c>
      <c r="T10345" t="s">
        <v>46937</v>
      </c>
      <c r="U10345" t="s">
        <v>55985</v>
      </c>
      <c r="W10345" t="s">
        <v>41757</v>
      </c>
      <c r="X10345" t="s">
        <v>45109</v>
      </c>
    </row>
    <row r="10346" spans="1:24">
      <c r="A10346">
        <f>HYPERLINK("https://www.philgeps.gov.ph/GEPSNONPILOT/Tender/SplashBidNoticeAbstractUI.aspx?menuIndex=3&amp;refID=7027287&amp;Result=3","7027287")</f>
        <v>0</v>
      </c>
      <c r="B10346" t="s">
        <v>1123</v>
      </c>
      <c r="C10346" t="s">
        <v>13064</v>
      </c>
      <c r="D10346" t="s">
        <v>18072</v>
      </c>
      <c r="E10346" t="s">
        <v>27096</v>
      </c>
      <c r="F10346" t="s">
        <v>31574</v>
      </c>
      <c r="G10346" t="s">
        <v>31582</v>
      </c>
      <c r="H10346" t="s">
        <v>31591</v>
      </c>
      <c r="I10346" t="s">
        <v>8822</v>
      </c>
      <c r="J10346" t="s">
        <v>34755</v>
      </c>
      <c r="K10346" t="s">
        <v>41202</v>
      </c>
      <c r="M10346" t="s">
        <v>42674</v>
      </c>
      <c r="N10346" t="s">
        <v>45095</v>
      </c>
      <c r="O10346" t="s">
        <v>45096</v>
      </c>
      <c r="P10346">
        <v>0</v>
      </c>
      <c r="Q10346">
        <v>2</v>
      </c>
      <c r="R10346" t="s">
        <v>45108</v>
      </c>
      <c r="S10346" t="s">
        <v>45434</v>
      </c>
      <c r="T10346" t="s">
        <v>47134</v>
      </c>
      <c r="U10346" t="s">
        <v>55986</v>
      </c>
      <c r="W10346" t="s">
        <v>42674</v>
      </c>
      <c r="X10346" t="s">
        <v>45109</v>
      </c>
    </row>
    <row r="10347" spans="1:24">
      <c r="A10347">
        <f>HYPERLINK("https://www.philgeps.gov.ph/GEPSNONPILOT/Tender/SplashBidNoticeAbstractUI.aspx?menuIndex=3&amp;refID=7027720&amp;Result=3","7027720")</f>
        <v>0</v>
      </c>
      <c r="B10347" t="s">
        <v>2573</v>
      </c>
      <c r="C10347" t="s">
        <v>13065</v>
      </c>
      <c r="D10347" t="s">
        <v>18026</v>
      </c>
      <c r="E10347" t="s">
        <v>27097</v>
      </c>
      <c r="F10347" t="s">
        <v>31574</v>
      </c>
      <c r="G10347" t="s">
        <v>31582</v>
      </c>
      <c r="H10347" t="s">
        <v>31590</v>
      </c>
      <c r="I10347" t="s">
        <v>31602</v>
      </c>
      <c r="J10347" t="s">
        <v>31741</v>
      </c>
      <c r="K10347" t="s">
        <v>41190</v>
      </c>
      <c r="M10347" t="s">
        <v>44314</v>
      </c>
      <c r="N10347" t="s">
        <v>45095</v>
      </c>
      <c r="O10347" t="s">
        <v>45096</v>
      </c>
      <c r="P10347">
        <v>0</v>
      </c>
      <c r="Q10347">
        <v>0</v>
      </c>
      <c r="R10347" t="s">
        <v>45108</v>
      </c>
      <c r="S10347" t="s">
        <v>45434</v>
      </c>
      <c r="T10347" t="s">
        <v>47159</v>
      </c>
      <c r="U10347" t="s">
        <v>55987</v>
      </c>
      <c r="W10347" t="s">
        <v>44314</v>
      </c>
      <c r="X10347" t="s">
        <v>45109</v>
      </c>
    </row>
    <row r="10348" spans="1:24">
      <c r="A10348">
        <f>HYPERLINK("https://www.philgeps.gov.ph/GEPSNONPILOT/Tender/SplashBidNoticeAbstractUI.aspx?menuIndex=3&amp;refID=7027769&amp;Result=3","7027769")</f>
        <v>0</v>
      </c>
      <c r="B10348" t="s">
        <v>2573</v>
      </c>
      <c r="C10348" t="s">
        <v>13066</v>
      </c>
      <c r="D10348" t="s">
        <v>18026</v>
      </c>
      <c r="E10348" t="s">
        <v>27098</v>
      </c>
      <c r="F10348" t="s">
        <v>31574</v>
      </c>
      <c r="G10348" t="s">
        <v>31582</v>
      </c>
      <c r="H10348" t="s">
        <v>31590</v>
      </c>
      <c r="I10348" t="s">
        <v>3487</v>
      </c>
      <c r="J10348" t="s">
        <v>32049</v>
      </c>
      <c r="K10348" t="s">
        <v>41190</v>
      </c>
      <c r="M10348" t="s">
        <v>44314</v>
      </c>
      <c r="N10348" t="s">
        <v>45095</v>
      </c>
      <c r="O10348" t="s">
        <v>45096</v>
      </c>
      <c r="P10348">
        <v>0</v>
      </c>
      <c r="Q10348">
        <v>1</v>
      </c>
      <c r="R10348" t="s">
        <v>45108</v>
      </c>
      <c r="S10348" t="s">
        <v>45434</v>
      </c>
      <c r="T10348" t="s">
        <v>47159</v>
      </c>
      <c r="U10348" t="s">
        <v>55988</v>
      </c>
      <c r="W10348" t="s">
        <v>44314</v>
      </c>
      <c r="X10348" t="s">
        <v>45109</v>
      </c>
    </row>
    <row r="10349" spans="1:24">
      <c r="A10349">
        <f>HYPERLINK("https://www.philgeps.gov.ph/GEPSNONPILOT/Tender/SplashBidNoticeAbstractUI.aspx?menuIndex=3&amp;refID=7027762&amp;Result=3","7027762")</f>
        <v>0</v>
      </c>
      <c r="B10349" t="s">
        <v>1538</v>
      </c>
      <c r="C10349" t="s">
        <v>13067</v>
      </c>
      <c r="D10349" t="s">
        <v>18055</v>
      </c>
      <c r="E10349" t="s">
        <v>27099</v>
      </c>
      <c r="F10349" t="s">
        <v>31574</v>
      </c>
      <c r="G10349" t="s">
        <v>31582</v>
      </c>
      <c r="H10349" t="s">
        <v>31591</v>
      </c>
      <c r="I10349" t="s">
        <v>8822</v>
      </c>
      <c r="J10349" t="s">
        <v>31781</v>
      </c>
      <c r="K10349" t="s">
        <v>41198</v>
      </c>
      <c r="M10349" t="s">
        <v>43130</v>
      </c>
      <c r="N10349" t="s">
        <v>45095</v>
      </c>
      <c r="O10349" t="s">
        <v>45096</v>
      </c>
      <c r="P10349">
        <v>0</v>
      </c>
      <c r="Q10349">
        <v>42</v>
      </c>
      <c r="R10349" t="s">
        <v>45108</v>
      </c>
      <c r="S10349" t="s">
        <v>45434</v>
      </c>
      <c r="T10349" t="s">
        <v>46992</v>
      </c>
      <c r="U10349" t="s">
        <v>55989</v>
      </c>
      <c r="W10349" t="s">
        <v>43130</v>
      </c>
      <c r="X10349" t="s">
        <v>45109</v>
      </c>
    </row>
    <row r="10350" spans="1:24">
      <c r="A10350">
        <f>HYPERLINK("https://www.philgeps.gov.ph/GEPSNONPILOT/Tender/SplashBidNoticeAbstractUI.aspx?menuIndex=3&amp;refID=7027697&amp;Result=3","7027697")</f>
        <v>0</v>
      </c>
      <c r="B10350" t="s">
        <v>1448</v>
      </c>
      <c r="C10350" t="s">
        <v>13068</v>
      </c>
      <c r="D10350" t="s">
        <v>18043</v>
      </c>
      <c r="E10350" t="s">
        <v>27100</v>
      </c>
      <c r="F10350" t="s">
        <v>31574</v>
      </c>
      <c r="G10350" t="s">
        <v>31582</v>
      </c>
      <c r="H10350" t="s">
        <v>31591</v>
      </c>
      <c r="I10350" t="s">
        <v>8822</v>
      </c>
      <c r="J10350" t="s">
        <v>36513</v>
      </c>
      <c r="K10350" t="s">
        <v>41209</v>
      </c>
      <c r="M10350" t="s">
        <v>43027</v>
      </c>
      <c r="N10350" t="s">
        <v>45095</v>
      </c>
      <c r="O10350" t="s">
        <v>45096</v>
      </c>
      <c r="P10350">
        <v>0</v>
      </c>
      <c r="Q10350">
        <v>3</v>
      </c>
      <c r="R10350" t="s">
        <v>45108</v>
      </c>
      <c r="S10350" t="s">
        <v>45434</v>
      </c>
      <c r="T10350" t="s">
        <v>46922</v>
      </c>
      <c r="U10350" t="s">
        <v>55969</v>
      </c>
      <c r="W10350" t="s">
        <v>43027</v>
      </c>
      <c r="X10350" t="s">
        <v>45109</v>
      </c>
    </row>
    <row r="10351" spans="1:24">
      <c r="A10351">
        <f>HYPERLINK("https://www.philgeps.gov.ph/GEPSNONPILOT/Tender/SplashBidNoticeAbstractUI.aspx?menuIndex=3&amp;refID=7027707&amp;Result=3","7027707")</f>
        <v>0</v>
      </c>
      <c r="B10351" t="s">
        <v>271</v>
      </c>
      <c r="C10351" t="s">
        <v>13069</v>
      </c>
      <c r="D10351" t="s">
        <v>18046</v>
      </c>
      <c r="E10351" t="s">
        <v>18192</v>
      </c>
      <c r="F10351" t="s">
        <v>31579</v>
      </c>
      <c r="G10351" t="s">
        <v>31582</v>
      </c>
      <c r="H10351" t="s">
        <v>31590</v>
      </c>
      <c r="I10351" t="s">
        <v>6800</v>
      </c>
      <c r="J10351" t="s">
        <v>38179</v>
      </c>
      <c r="K10351" t="s">
        <v>41193</v>
      </c>
      <c r="M10351" t="s">
        <v>41757</v>
      </c>
      <c r="N10351" t="s">
        <v>45095</v>
      </c>
      <c r="O10351" t="s">
        <v>45096</v>
      </c>
      <c r="P10351">
        <v>0</v>
      </c>
      <c r="Q10351">
        <v>0</v>
      </c>
      <c r="R10351" t="s">
        <v>45108</v>
      </c>
      <c r="S10351" t="s">
        <v>45434</v>
      </c>
      <c r="T10351" t="s">
        <v>46937</v>
      </c>
      <c r="U10351" t="s">
        <v>55990</v>
      </c>
      <c r="W10351" t="s">
        <v>41757</v>
      </c>
      <c r="X10351" t="s">
        <v>45109</v>
      </c>
    </row>
    <row r="10352" spans="1:24">
      <c r="A10352">
        <f>HYPERLINK("https://www.philgeps.gov.ph/GEPSNONPILOT/Tender/SplashBidNoticeAbstractUI.aspx?menuIndex=3&amp;refID=7027718&amp;Result=3","7027718")</f>
        <v>0</v>
      </c>
      <c r="B10352" t="s">
        <v>2727</v>
      </c>
      <c r="C10352" t="s">
        <v>13070</v>
      </c>
      <c r="E10352" t="s">
        <v>27101</v>
      </c>
      <c r="F10352" t="s">
        <v>31574</v>
      </c>
      <c r="G10352" t="s">
        <v>31582</v>
      </c>
      <c r="H10352" t="s">
        <v>31591</v>
      </c>
      <c r="I10352" t="s">
        <v>8822</v>
      </c>
      <c r="J10352" t="s">
        <v>32076</v>
      </c>
      <c r="K10352" t="s">
        <v>41184</v>
      </c>
      <c r="M10352" t="s">
        <v>44498</v>
      </c>
      <c r="N10352" t="s">
        <v>45095</v>
      </c>
      <c r="O10352" t="s">
        <v>45096</v>
      </c>
      <c r="P10352">
        <v>0</v>
      </c>
      <c r="Q10352">
        <v>1</v>
      </c>
      <c r="R10352" t="s">
        <v>45108</v>
      </c>
      <c r="S10352" t="s">
        <v>45434</v>
      </c>
      <c r="T10352" t="s">
        <v>46914</v>
      </c>
      <c r="U10352" t="s">
        <v>55991</v>
      </c>
      <c r="V10352" t="s">
        <v>60945</v>
      </c>
      <c r="W10352" t="s">
        <v>44498</v>
      </c>
      <c r="X10352" t="s">
        <v>45109</v>
      </c>
    </row>
    <row r="10353" spans="1:24">
      <c r="A10353">
        <f>HYPERLINK("https://www.philgeps.gov.ph/GEPSNONPILOT/Tender/SplashBidNoticeAbstractUI.aspx?menuIndex=3&amp;refID=7027730&amp;Result=3","7027730")</f>
        <v>0</v>
      </c>
      <c r="B10353" t="s">
        <v>981</v>
      </c>
      <c r="C10353" t="s">
        <v>13071</v>
      </c>
      <c r="D10353" t="s">
        <v>18039</v>
      </c>
      <c r="E10353" t="s">
        <v>27102</v>
      </c>
      <c r="F10353" t="s">
        <v>31574</v>
      </c>
      <c r="G10353" t="s">
        <v>31582</v>
      </c>
      <c r="H10353" t="s">
        <v>31591</v>
      </c>
      <c r="I10353" t="s">
        <v>8822</v>
      </c>
      <c r="J10353" t="s">
        <v>38180</v>
      </c>
      <c r="K10353" t="s">
        <v>41323</v>
      </c>
      <c r="M10353" t="s">
        <v>42515</v>
      </c>
      <c r="N10353" t="s">
        <v>45095</v>
      </c>
      <c r="O10353" t="s">
        <v>45096</v>
      </c>
      <c r="P10353">
        <v>0</v>
      </c>
      <c r="Q10353">
        <v>0</v>
      </c>
      <c r="R10353" t="s">
        <v>45108</v>
      </c>
      <c r="S10353" t="s">
        <v>45434</v>
      </c>
      <c r="T10353" t="s">
        <v>46933</v>
      </c>
      <c r="U10353" t="s">
        <v>55992</v>
      </c>
      <c r="W10353" t="s">
        <v>42515</v>
      </c>
      <c r="X10353" t="s">
        <v>45109</v>
      </c>
    </row>
    <row r="10354" spans="1:24">
      <c r="A10354">
        <f>HYPERLINK("https://www.philgeps.gov.ph/GEPSNONPILOT/Tender/SplashBidNoticeAbstractUI.aspx?menuIndex=3&amp;refID=7027702&amp;Result=3","7027702")</f>
        <v>0</v>
      </c>
      <c r="B10354" t="s">
        <v>2319</v>
      </c>
      <c r="C10354" t="s">
        <v>13072</v>
      </c>
      <c r="E10354" t="s">
        <v>18913</v>
      </c>
      <c r="F10354" t="s">
        <v>31575</v>
      </c>
      <c r="G10354" t="s">
        <v>31582</v>
      </c>
      <c r="H10354" t="s">
        <v>31590</v>
      </c>
      <c r="I10354" t="s">
        <v>31625</v>
      </c>
      <c r="J10354" t="s">
        <v>38181</v>
      </c>
      <c r="K10354" t="s">
        <v>41189</v>
      </c>
      <c r="M10354" t="s">
        <v>44029</v>
      </c>
      <c r="N10354" t="s">
        <v>45095</v>
      </c>
      <c r="O10354" t="s">
        <v>45096</v>
      </c>
      <c r="P10354">
        <v>0</v>
      </c>
      <c r="Q10354">
        <v>2</v>
      </c>
      <c r="R10354" t="s">
        <v>45108</v>
      </c>
      <c r="S10354" t="s">
        <v>45434</v>
      </c>
      <c r="T10354" t="s">
        <v>46913</v>
      </c>
      <c r="U10354" t="s">
        <v>55993</v>
      </c>
      <c r="V10354" t="s">
        <v>60946</v>
      </c>
      <c r="W10354" t="s">
        <v>44029</v>
      </c>
      <c r="X10354" t="s">
        <v>45109</v>
      </c>
    </row>
    <row r="10355" spans="1:24">
      <c r="A10355">
        <f>HYPERLINK("https://www.philgeps.gov.ph/GEPSNONPILOT/Tender/SplashBidNoticeAbstractUI.aspx?menuIndex=3&amp;refID=7027708&amp;Result=3","7027708")</f>
        <v>0</v>
      </c>
      <c r="B10355" t="s">
        <v>2728</v>
      </c>
      <c r="C10355" t="s">
        <v>13073</v>
      </c>
      <c r="D10355" t="s">
        <v>18070</v>
      </c>
      <c r="E10355" t="s">
        <v>27103</v>
      </c>
      <c r="F10355" t="s">
        <v>31575</v>
      </c>
      <c r="G10355" t="s">
        <v>31582</v>
      </c>
      <c r="H10355" t="s">
        <v>31590</v>
      </c>
      <c r="I10355" t="s">
        <v>31615</v>
      </c>
      <c r="J10355" t="s">
        <v>38182</v>
      </c>
      <c r="K10355" t="s">
        <v>41194</v>
      </c>
      <c r="M10355" t="s">
        <v>44499</v>
      </c>
      <c r="N10355" t="s">
        <v>45095</v>
      </c>
      <c r="O10355" t="s">
        <v>45096</v>
      </c>
      <c r="P10355">
        <v>0</v>
      </c>
      <c r="Q10355">
        <v>5</v>
      </c>
      <c r="R10355" t="s">
        <v>45108</v>
      </c>
      <c r="S10355" t="s">
        <v>45434</v>
      </c>
      <c r="T10355" t="s">
        <v>46911</v>
      </c>
      <c r="U10355" t="s">
        <v>55994</v>
      </c>
      <c r="W10355" t="s">
        <v>44499</v>
      </c>
      <c r="X10355" t="s">
        <v>45109</v>
      </c>
    </row>
    <row r="10356" spans="1:24">
      <c r="A10356">
        <f>HYPERLINK("https://www.philgeps.gov.ph/GEPSNONPILOT/Tender/SplashBidNoticeAbstractUI.aspx?menuIndex=3&amp;refID=7027728&amp;Result=3","7027728")</f>
        <v>0</v>
      </c>
      <c r="B10356" t="s">
        <v>247</v>
      </c>
      <c r="C10356" t="s">
        <v>13074</v>
      </c>
      <c r="D10356" t="s">
        <v>18072</v>
      </c>
      <c r="E10356" t="s">
        <v>27104</v>
      </c>
      <c r="F10356" t="s">
        <v>31575</v>
      </c>
      <c r="G10356" t="s">
        <v>31582</v>
      </c>
      <c r="H10356" t="s">
        <v>31590</v>
      </c>
      <c r="I10356" t="s">
        <v>5222</v>
      </c>
      <c r="J10356" t="s">
        <v>38183</v>
      </c>
      <c r="K10356" t="s">
        <v>41191</v>
      </c>
      <c r="M10356" t="s">
        <v>41733</v>
      </c>
      <c r="N10356" t="s">
        <v>45095</v>
      </c>
      <c r="O10356" t="s">
        <v>45096</v>
      </c>
      <c r="P10356">
        <v>0</v>
      </c>
      <c r="Q10356">
        <v>2</v>
      </c>
      <c r="R10356" t="s">
        <v>45108</v>
      </c>
      <c r="S10356" t="s">
        <v>45434</v>
      </c>
      <c r="T10356" t="s">
        <v>46918</v>
      </c>
      <c r="U10356" t="s">
        <v>55995</v>
      </c>
      <c r="W10356" t="s">
        <v>41733</v>
      </c>
      <c r="X10356" t="s">
        <v>45109</v>
      </c>
    </row>
    <row r="10357" spans="1:24">
      <c r="A10357">
        <f>HYPERLINK("https://www.philgeps.gov.ph/GEPSNONPILOT/Tender/SplashBidNoticeAbstractUI.aspx?menuIndex=3&amp;refID=7027679&amp;Result=3","7027679")</f>
        <v>0</v>
      </c>
      <c r="B10357" t="s">
        <v>447</v>
      </c>
      <c r="C10357" t="s">
        <v>13075</v>
      </c>
      <c r="D10357" t="s">
        <v>18044</v>
      </c>
      <c r="E10357" t="s">
        <v>27105</v>
      </c>
      <c r="F10357" t="s">
        <v>31574</v>
      </c>
      <c r="G10357" t="s">
        <v>31582</v>
      </c>
      <c r="H10357" t="s">
        <v>31590</v>
      </c>
      <c r="I10357" t="s">
        <v>3651</v>
      </c>
      <c r="J10357" t="s">
        <v>38184</v>
      </c>
      <c r="K10357" t="s">
        <v>41196</v>
      </c>
      <c r="M10357" t="s">
        <v>41941</v>
      </c>
      <c r="N10357" t="s">
        <v>45095</v>
      </c>
      <c r="O10357" t="s">
        <v>45096</v>
      </c>
      <c r="P10357">
        <v>0</v>
      </c>
      <c r="Q10357">
        <v>0</v>
      </c>
      <c r="R10357" t="s">
        <v>45108</v>
      </c>
      <c r="S10357" t="s">
        <v>45434</v>
      </c>
      <c r="T10357" t="s">
        <v>46930</v>
      </c>
      <c r="U10357" t="s">
        <v>55996</v>
      </c>
      <c r="W10357" t="s">
        <v>41941</v>
      </c>
      <c r="X10357" t="s">
        <v>45109</v>
      </c>
    </row>
    <row r="10358" spans="1:24">
      <c r="A10358">
        <f>HYPERLINK("https://www.philgeps.gov.ph/GEPSNONPILOT/Tender/SplashBidNoticeAbstractUI.aspx?menuIndex=3&amp;refID=7027664&amp;Result=3","7027664")</f>
        <v>0</v>
      </c>
      <c r="B10358" t="s">
        <v>2729</v>
      </c>
      <c r="C10358" t="s">
        <v>4987</v>
      </c>
      <c r="D10358" t="s">
        <v>18039</v>
      </c>
      <c r="E10358" t="s">
        <v>22423</v>
      </c>
      <c r="F10358" t="s">
        <v>31575</v>
      </c>
      <c r="G10358" t="s">
        <v>31582</v>
      </c>
      <c r="H10358" t="s">
        <v>31590</v>
      </c>
      <c r="I10358" t="s">
        <v>4046</v>
      </c>
      <c r="J10358" t="s">
        <v>31727</v>
      </c>
      <c r="K10358" t="s">
        <v>41194</v>
      </c>
      <c r="M10358" t="s">
        <v>44500</v>
      </c>
      <c r="N10358" t="s">
        <v>45095</v>
      </c>
      <c r="O10358" t="s">
        <v>45096</v>
      </c>
      <c r="P10358">
        <v>0</v>
      </c>
      <c r="Q10358">
        <v>0</v>
      </c>
      <c r="R10358" t="s">
        <v>45108</v>
      </c>
      <c r="S10358" t="s">
        <v>45434</v>
      </c>
      <c r="T10358" t="s">
        <v>46979</v>
      </c>
      <c r="U10358" t="s">
        <v>55997</v>
      </c>
      <c r="W10358" t="s">
        <v>44500</v>
      </c>
      <c r="X10358" t="s">
        <v>45109</v>
      </c>
    </row>
    <row r="10359" spans="1:24">
      <c r="A10359">
        <f>HYPERLINK("https://www.philgeps.gov.ph/GEPSNONPILOT/Tender/SplashBidNoticeAbstractUI.aspx?menuIndex=3&amp;refID=7027662&amp;Result=3","7027662")</f>
        <v>0</v>
      </c>
      <c r="B10359" t="s">
        <v>275</v>
      </c>
      <c r="C10359" t="s">
        <v>13076</v>
      </c>
      <c r="D10359" t="s">
        <v>18037</v>
      </c>
      <c r="E10359" t="s">
        <v>27106</v>
      </c>
      <c r="F10359" t="s">
        <v>31574</v>
      </c>
      <c r="G10359" t="s">
        <v>31582</v>
      </c>
      <c r="H10359" t="s">
        <v>31591</v>
      </c>
      <c r="I10359" t="s">
        <v>8822</v>
      </c>
      <c r="J10359" t="s">
        <v>31935</v>
      </c>
      <c r="K10359" t="s">
        <v>41254</v>
      </c>
      <c r="M10359" t="s">
        <v>41761</v>
      </c>
      <c r="N10359" t="s">
        <v>45095</v>
      </c>
      <c r="O10359" t="s">
        <v>45096</v>
      </c>
      <c r="P10359">
        <v>0</v>
      </c>
      <c r="Q10359">
        <v>1</v>
      </c>
      <c r="R10359" t="s">
        <v>45108</v>
      </c>
      <c r="S10359" t="s">
        <v>45434</v>
      </c>
      <c r="T10359" t="s">
        <v>46977</v>
      </c>
      <c r="U10359" t="s">
        <v>55998</v>
      </c>
      <c r="V10359" t="s">
        <v>59911</v>
      </c>
      <c r="W10359" t="s">
        <v>41761</v>
      </c>
      <c r="X10359" t="s">
        <v>45109</v>
      </c>
    </row>
    <row r="10360" spans="1:24">
      <c r="A10360">
        <f>HYPERLINK("https://www.philgeps.gov.ph/GEPSNONPILOT/Tender/SplashBidNoticeAbstractUI.aspx?menuIndex=3&amp;refID=7027785&amp;Result=3","7027785")</f>
        <v>0</v>
      </c>
      <c r="B10360" t="s">
        <v>1931</v>
      </c>
      <c r="C10360" t="s">
        <v>13077</v>
      </c>
      <c r="D10360" t="s">
        <v>18029</v>
      </c>
      <c r="E10360" t="s">
        <v>27107</v>
      </c>
      <c r="F10360" t="s">
        <v>31574</v>
      </c>
      <c r="G10360" t="s">
        <v>31581</v>
      </c>
      <c r="H10360" t="s">
        <v>31590</v>
      </c>
      <c r="I10360" t="s">
        <v>31629</v>
      </c>
      <c r="J10360" t="s">
        <v>31741</v>
      </c>
      <c r="K10360" t="s">
        <v>41213</v>
      </c>
      <c r="M10360" t="s">
        <v>43585</v>
      </c>
      <c r="N10360" t="s">
        <v>45095</v>
      </c>
      <c r="O10360" t="s">
        <v>45096</v>
      </c>
      <c r="P10360">
        <v>0</v>
      </c>
      <c r="Q10360">
        <v>0</v>
      </c>
      <c r="R10360" t="s">
        <v>45108</v>
      </c>
      <c r="S10360" t="s">
        <v>45434</v>
      </c>
      <c r="T10360" t="s">
        <v>46913</v>
      </c>
      <c r="U10360" t="s">
        <v>55999</v>
      </c>
      <c r="W10360" t="s">
        <v>43585</v>
      </c>
      <c r="X10360" t="s">
        <v>45109</v>
      </c>
    </row>
    <row r="10361" spans="1:24">
      <c r="A10361">
        <f>HYPERLINK("https://www.philgeps.gov.ph/GEPSNONPILOT/Tender/SplashBidNoticeAbstractUI.aspx?menuIndex=3&amp;refID=7027781&amp;Result=3","7027781")</f>
        <v>0</v>
      </c>
      <c r="B10361" t="s">
        <v>1299</v>
      </c>
      <c r="C10361" t="s">
        <v>13078</v>
      </c>
      <c r="D10361" t="s">
        <v>18076</v>
      </c>
      <c r="E10361" t="s">
        <v>27108</v>
      </c>
      <c r="F10361" t="s">
        <v>31574</v>
      </c>
      <c r="G10361" t="s">
        <v>31582</v>
      </c>
      <c r="H10361" t="s">
        <v>31591</v>
      </c>
      <c r="I10361" t="s">
        <v>8822</v>
      </c>
      <c r="J10361" t="s">
        <v>38185</v>
      </c>
      <c r="K10361" t="s">
        <v>41198</v>
      </c>
      <c r="M10361" t="s">
        <v>42869</v>
      </c>
      <c r="N10361" t="s">
        <v>45095</v>
      </c>
      <c r="O10361" t="s">
        <v>45096</v>
      </c>
      <c r="P10361">
        <v>0</v>
      </c>
      <c r="Q10361">
        <v>0</v>
      </c>
      <c r="R10361" t="s">
        <v>45108</v>
      </c>
      <c r="S10361" t="s">
        <v>45434</v>
      </c>
      <c r="T10361" t="s">
        <v>47265</v>
      </c>
      <c r="U10361" t="s">
        <v>56000</v>
      </c>
      <c r="W10361" t="s">
        <v>42869</v>
      </c>
      <c r="X10361" t="s">
        <v>45109</v>
      </c>
    </row>
    <row r="10362" spans="1:24">
      <c r="A10362">
        <f>HYPERLINK("https://www.philgeps.gov.ph/GEPSNONPILOT/Tender/SplashBidNoticeAbstractUI.aspx?menuIndex=3&amp;refID=7027776&amp;Result=3","7027776")</f>
        <v>0</v>
      </c>
      <c r="B10362" t="s">
        <v>1448</v>
      </c>
      <c r="C10362" t="s">
        <v>13079</v>
      </c>
      <c r="D10362" t="s">
        <v>18043</v>
      </c>
      <c r="E10362" t="s">
        <v>27109</v>
      </c>
      <c r="F10362" t="s">
        <v>31574</v>
      </c>
      <c r="G10362" t="s">
        <v>31582</v>
      </c>
      <c r="H10362" t="s">
        <v>31591</v>
      </c>
      <c r="I10362" t="s">
        <v>8822</v>
      </c>
      <c r="J10362" t="s">
        <v>32504</v>
      </c>
      <c r="K10362" t="s">
        <v>41279</v>
      </c>
      <c r="M10362" t="s">
        <v>43027</v>
      </c>
      <c r="N10362" t="s">
        <v>45095</v>
      </c>
      <c r="O10362" t="s">
        <v>45096</v>
      </c>
      <c r="P10362">
        <v>0</v>
      </c>
      <c r="Q10362">
        <v>4</v>
      </c>
      <c r="R10362" t="s">
        <v>45108</v>
      </c>
      <c r="S10362" t="s">
        <v>45434</v>
      </c>
      <c r="T10362" t="s">
        <v>46922</v>
      </c>
      <c r="U10362" t="s">
        <v>55969</v>
      </c>
      <c r="W10362" t="s">
        <v>43027</v>
      </c>
      <c r="X10362" t="s">
        <v>45109</v>
      </c>
    </row>
    <row r="10363" spans="1:24">
      <c r="A10363">
        <f>HYPERLINK("https://www.philgeps.gov.ph/GEPSNONPILOT/Tender/SplashBidNoticeAbstractUI.aspx?menuIndex=3&amp;refID=7027825&amp;Result=3","7027825")</f>
        <v>0</v>
      </c>
      <c r="B10363" t="s">
        <v>981</v>
      </c>
      <c r="C10363" t="s">
        <v>13080</v>
      </c>
      <c r="D10363" t="s">
        <v>18039</v>
      </c>
      <c r="E10363" t="s">
        <v>27110</v>
      </c>
      <c r="F10363" t="s">
        <v>31574</v>
      </c>
      <c r="G10363" t="s">
        <v>31582</v>
      </c>
      <c r="H10363" t="s">
        <v>31591</v>
      </c>
      <c r="I10363" t="s">
        <v>8822</v>
      </c>
      <c r="J10363" t="s">
        <v>32739</v>
      </c>
      <c r="K10363" t="s">
        <v>41368</v>
      </c>
      <c r="M10363" t="s">
        <v>42515</v>
      </c>
      <c r="N10363" t="s">
        <v>45095</v>
      </c>
      <c r="O10363" t="s">
        <v>45096</v>
      </c>
      <c r="P10363">
        <v>0</v>
      </c>
      <c r="Q10363">
        <v>0</v>
      </c>
      <c r="R10363" t="s">
        <v>45108</v>
      </c>
      <c r="S10363" t="s">
        <v>45434</v>
      </c>
      <c r="T10363" t="s">
        <v>46933</v>
      </c>
      <c r="U10363" t="s">
        <v>55982</v>
      </c>
      <c r="W10363" t="s">
        <v>42515</v>
      </c>
      <c r="X10363" t="s">
        <v>45109</v>
      </c>
    </row>
    <row r="10364" spans="1:24">
      <c r="A10364">
        <f>HYPERLINK("https://www.philgeps.gov.ph/GEPSNONPILOT/Tender/SplashBidNoticeAbstractUI.aspx?menuIndex=3&amp;refID=7027823&amp;Result=3","7027823")</f>
        <v>0</v>
      </c>
      <c r="B10364" t="s">
        <v>2424</v>
      </c>
      <c r="C10364" t="s">
        <v>13081</v>
      </c>
      <c r="E10364" t="s">
        <v>27111</v>
      </c>
      <c r="F10364" t="s">
        <v>31574</v>
      </c>
      <c r="G10364" t="s">
        <v>31582</v>
      </c>
      <c r="H10364" t="s">
        <v>31590</v>
      </c>
      <c r="I10364" t="s">
        <v>8056</v>
      </c>
      <c r="J10364" t="s">
        <v>38186</v>
      </c>
      <c r="K10364" t="s">
        <v>41186</v>
      </c>
      <c r="M10364" t="s">
        <v>44151</v>
      </c>
      <c r="N10364" t="s">
        <v>45095</v>
      </c>
      <c r="O10364" t="s">
        <v>45096</v>
      </c>
      <c r="Q10364">
        <v>7</v>
      </c>
      <c r="R10364" t="s">
        <v>45108</v>
      </c>
      <c r="S10364" t="s">
        <v>45442</v>
      </c>
      <c r="T10364" t="s">
        <v>47000</v>
      </c>
      <c r="U10364" t="s">
        <v>54670</v>
      </c>
      <c r="W10364" t="s">
        <v>44151</v>
      </c>
      <c r="X10364" t="s">
        <v>45109</v>
      </c>
    </row>
    <row r="10365" spans="1:24">
      <c r="A10365">
        <f>HYPERLINK("https://www.philgeps.gov.ph/GEPSNONPILOT/Tender/SplashBidNoticeAbstractUI.aspx?menuIndex=3&amp;refID=7027838&amp;Result=3","7027838")</f>
        <v>0</v>
      </c>
      <c r="B10365" t="s">
        <v>981</v>
      </c>
      <c r="C10365" t="s">
        <v>13082</v>
      </c>
      <c r="D10365" t="s">
        <v>18039</v>
      </c>
      <c r="E10365" t="s">
        <v>27112</v>
      </c>
      <c r="F10365" t="s">
        <v>31574</v>
      </c>
      <c r="G10365" t="s">
        <v>31582</v>
      </c>
      <c r="H10365" t="s">
        <v>31591</v>
      </c>
      <c r="I10365" t="s">
        <v>8822</v>
      </c>
      <c r="J10365" t="s">
        <v>32739</v>
      </c>
      <c r="K10365" t="s">
        <v>41415</v>
      </c>
      <c r="M10365" t="s">
        <v>42515</v>
      </c>
      <c r="N10365" t="s">
        <v>45095</v>
      </c>
      <c r="O10365" t="s">
        <v>45096</v>
      </c>
      <c r="P10365">
        <v>0</v>
      </c>
      <c r="Q10365">
        <v>0</v>
      </c>
      <c r="R10365" t="s">
        <v>45108</v>
      </c>
      <c r="S10365" t="s">
        <v>45434</v>
      </c>
      <c r="T10365" t="s">
        <v>46933</v>
      </c>
      <c r="U10365" t="s">
        <v>55982</v>
      </c>
      <c r="W10365" t="s">
        <v>42515</v>
      </c>
      <c r="X10365" t="s">
        <v>45109</v>
      </c>
    </row>
    <row r="10366" spans="1:24">
      <c r="A10366">
        <f>HYPERLINK("https://www.philgeps.gov.ph/GEPSNONPILOT/Tender/SplashBidNoticeAbstractUI.aspx?menuIndex=3&amp;refID=7027819&amp;Result=3","7027819")</f>
        <v>0</v>
      </c>
      <c r="B10366" t="s">
        <v>290</v>
      </c>
      <c r="C10366" t="s">
        <v>13083</v>
      </c>
      <c r="D10366" t="s">
        <v>18043</v>
      </c>
      <c r="E10366" t="s">
        <v>27113</v>
      </c>
      <c r="F10366" t="s">
        <v>31574</v>
      </c>
      <c r="G10366" t="s">
        <v>31581</v>
      </c>
      <c r="H10366" t="s">
        <v>31590</v>
      </c>
      <c r="I10366" t="s">
        <v>3489</v>
      </c>
      <c r="J10366" t="s">
        <v>32811</v>
      </c>
      <c r="K10366" t="s">
        <v>41193</v>
      </c>
      <c r="M10366" t="s">
        <v>41776</v>
      </c>
      <c r="N10366" t="s">
        <v>45095</v>
      </c>
      <c r="O10366" t="s">
        <v>45096</v>
      </c>
      <c r="P10366">
        <v>0</v>
      </c>
      <c r="Q10366">
        <v>1</v>
      </c>
      <c r="R10366" t="s">
        <v>45108</v>
      </c>
      <c r="S10366" t="s">
        <v>45434</v>
      </c>
      <c r="T10366" t="s">
        <v>47159</v>
      </c>
      <c r="U10366" t="s">
        <v>48030</v>
      </c>
      <c r="W10366" t="s">
        <v>41776</v>
      </c>
      <c r="X10366" t="s">
        <v>45109</v>
      </c>
    </row>
    <row r="10367" spans="1:24">
      <c r="A10367">
        <f>HYPERLINK("https://www.philgeps.gov.ph/GEPSNONPILOT/Tender/SplashBidNoticeAbstractUI.aspx?menuIndex=3&amp;refID=7027788&amp;Result=3","7027788")</f>
        <v>0</v>
      </c>
      <c r="B10367" t="s">
        <v>271</v>
      </c>
      <c r="C10367" t="s">
        <v>13084</v>
      </c>
      <c r="D10367" t="s">
        <v>18046</v>
      </c>
      <c r="E10367" t="s">
        <v>18448</v>
      </c>
      <c r="F10367" t="s">
        <v>31579</v>
      </c>
      <c r="G10367" t="s">
        <v>31582</v>
      </c>
      <c r="H10367" t="s">
        <v>31590</v>
      </c>
      <c r="I10367" t="s">
        <v>6800</v>
      </c>
      <c r="J10367" t="s">
        <v>32178</v>
      </c>
      <c r="K10367" t="s">
        <v>41193</v>
      </c>
      <c r="M10367" t="s">
        <v>41757</v>
      </c>
      <c r="N10367" t="s">
        <v>45095</v>
      </c>
      <c r="O10367" t="s">
        <v>45096</v>
      </c>
      <c r="P10367">
        <v>0</v>
      </c>
      <c r="Q10367">
        <v>0</v>
      </c>
      <c r="R10367" t="s">
        <v>45108</v>
      </c>
      <c r="S10367" t="s">
        <v>45434</v>
      </c>
      <c r="T10367" t="s">
        <v>46937</v>
      </c>
      <c r="U10367" t="s">
        <v>56001</v>
      </c>
      <c r="W10367" t="s">
        <v>41757</v>
      </c>
      <c r="X10367" t="s">
        <v>45109</v>
      </c>
    </row>
    <row r="10368" spans="1:24">
      <c r="A10368">
        <f>HYPERLINK("https://www.philgeps.gov.ph/GEPSNONPILOT/Tender/SplashBidNoticeAbstractUI.aspx?menuIndex=3&amp;refID=7027778&amp;Result=3","7027778")</f>
        <v>0</v>
      </c>
      <c r="B10368" t="s">
        <v>247</v>
      </c>
      <c r="C10368" t="s">
        <v>13085</v>
      </c>
      <c r="D10368" t="s">
        <v>18072</v>
      </c>
      <c r="E10368" t="s">
        <v>25605</v>
      </c>
      <c r="F10368" t="s">
        <v>31575</v>
      </c>
      <c r="G10368" t="s">
        <v>31582</v>
      </c>
      <c r="H10368" t="s">
        <v>31590</v>
      </c>
      <c r="I10368" t="s">
        <v>4046</v>
      </c>
      <c r="J10368" t="s">
        <v>32019</v>
      </c>
      <c r="K10368" t="s">
        <v>41196</v>
      </c>
      <c r="M10368" t="s">
        <v>41733</v>
      </c>
      <c r="N10368" t="s">
        <v>45095</v>
      </c>
      <c r="O10368" t="s">
        <v>45096</v>
      </c>
      <c r="P10368">
        <v>0</v>
      </c>
      <c r="Q10368">
        <v>0</v>
      </c>
      <c r="R10368" t="s">
        <v>45108</v>
      </c>
      <c r="S10368" t="s">
        <v>45434</v>
      </c>
      <c r="T10368" t="s">
        <v>46918</v>
      </c>
      <c r="U10368" t="s">
        <v>56002</v>
      </c>
      <c r="W10368" t="s">
        <v>41733</v>
      </c>
      <c r="X10368" t="s">
        <v>45109</v>
      </c>
    </row>
    <row r="10369" spans="1:24">
      <c r="A10369">
        <f>HYPERLINK("https://www.philgeps.gov.ph/GEPSNONPILOT/Tender/SplashBidNoticeAbstractUI.aspx?menuIndex=3&amp;refID=7027868&amp;Result=3","7027868")</f>
        <v>0</v>
      </c>
      <c r="B10369" t="s">
        <v>981</v>
      </c>
      <c r="C10369" t="s">
        <v>13086</v>
      </c>
      <c r="D10369" t="s">
        <v>18039</v>
      </c>
      <c r="E10369" t="s">
        <v>27114</v>
      </c>
      <c r="F10369" t="s">
        <v>31574</v>
      </c>
      <c r="G10369" t="s">
        <v>31582</v>
      </c>
      <c r="H10369" t="s">
        <v>31591</v>
      </c>
      <c r="I10369" t="s">
        <v>8822</v>
      </c>
      <c r="J10369" t="s">
        <v>32739</v>
      </c>
      <c r="K10369" t="s">
        <v>41392</v>
      </c>
      <c r="M10369" t="s">
        <v>42515</v>
      </c>
      <c r="N10369" t="s">
        <v>45095</v>
      </c>
      <c r="O10369" t="s">
        <v>45096</v>
      </c>
      <c r="P10369">
        <v>0</v>
      </c>
      <c r="Q10369">
        <v>0</v>
      </c>
      <c r="R10369" t="s">
        <v>45108</v>
      </c>
      <c r="S10369" t="s">
        <v>45434</v>
      </c>
      <c r="T10369" t="s">
        <v>46933</v>
      </c>
      <c r="U10369" t="s">
        <v>55982</v>
      </c>
      <c r="W10369" t="s">
        <v>42515</v>
      </c>
      <c r="X10369" t="s">
        <v>45109</v>
      </c>
    </row>
    <row r="10370" spans="1:24">
      <c r="A10370">
        <f>HYPERLINK("https://www.philgeps.gov.ph/GEPSNONPILOT/Tender/SplashBidNoticeAbstractUI.aspx?menuIndex=3&amp;refID=7027820&amp;Result=3","7027820")</f>
        <v>0</v>
      </c>
      <c r="B10370" t="s">
        <v>247</v>
      </c>
      <c r="C10370" t="s">
        <v>13087</v>
      </c>
      <c r="D10370" t="s">
        <v>18072</v>
      </c>
      <c r="E10370" t="s">
        <v>25618</v>
      </c>
      <c r="F10370" t="s">
        <v>31575</v>
      </c>
      <c r="G10370" t="s">
        <v>31582</v>
      </c>
      <c r="H10370" t="s">
        <v>31590</v>
      </c>
      <c r="I10370" t="s">
        <v>4046</v>
      </c>
      <c r="J10370" t="s">
        <v>31947</v>
      </c>
      <c r="K10370" t="s">
        <v>41287</v>
      </c>
      <c r="M10370" t="s">
        <v>41733</v>
      </c>
      <c r="N10370" t="s">
        <v>45095</v>
      </c>
      <c r="O10370" t="s">
        <v>45096</v>
      </c>
      <c r="P10370">
        <v>0</v>
      </c>
      <c r="Q10370">
        <v>0</v>
      </c>
      <c r="R10370" t="s">
        <v>45108</v>
      </c>
      <c r="S10370" t="s">
        <v>45434</v>
      </c>
      <c r="T10370" t="s">
        <v>46918</v>
      </c>
      <c r="U10370" t="s">
        <v>56003</v>
      </c>
      <c r="W10370" t="s">
        <v>41733</v>
      </c>
      <c r="X10370" t="s">
        <v>45109</v>
      </c>
    </row>
    <row r="10371" spans="1:24">
      <c r="A10371">
        <f>HYPERLINK("https://www.philgeps.gov.ph/GEPSNONPILOT/Tender/SplashBidNoticeAbstractUI.aspx?menuIndex=3&amp;refID=7027657&amp;Result=3","7027657")</f>
        <v>0</v>
      </c>
      <c r="B10371" t="s">
        <v>1751</v>
      </c>
      <c r="C10371" t="s">
        <v>13088</v>
      </c>
      <c r="D10371" t="s">
        <v>18107</v>
      </c>
      <c r="E10371" t="s">
        <v>27115</v>
      </c>
      <c r="F10371" t="s">
        <v>31578</v>
      </c>
      <c r="G10371" t="s">
        <v>31582</v>
      </c>
      <c r="H10371" t="s">
        <v>31591</v>
      </c>
      <c r="I10371" t="s">
        <v>8822</v>
      </c>
      <c r="J10371" t="s">
        <v>38187</v>
      </c>
      <c r="K10371" t="s">
        <v>41246</v>
      </c>
      <c r="M10371" t="s">
        <v>43375</v>
      </c>
      <c r="N10371" t="s">
        <v>45095</v>
      </c>
      <c r="O10371" t="s">
        <v>45096</v>
      </c>
      <c r="P10371">
        <v>0</v>
      </c>
      <c r="Q10371">
        <v>0</v>
      </c>
      <c r="R10371" t="s">
        <v>45108</v>
      </c>
      <c r="S10371" t="s">
        <v>45434</v>
      </c>
      <c r="T10371" t="s">
        <v>46949</v>
      </c>
      <c r="U10371" t="s">
        <v>51924</v>
      </c>
      <c r="W10371" t="s">
        <v>43375</v>
      </c>
      <c r="X10371" t="s">
        <v>45109</v>
      </c>
    </row>
    <row r="10372" spans="1:24">
      <c r="A10372">
        <f>HYPERLINK("https://www.philgeps.gov.ph/GEPSNONPILOT/Tender/SplashBidNoticeAbstractUI.aspx?menuIndex=3&amp;refID=7027661&amp;Result=3","7027661")</f>
        <v>0</v>
      </c>
      <c r="B10372" t="s">
        <v>2105</v>
      </c>
      <c r="C10372" t="s">
        <v>13089</v>
      </c>
      <c r="D10372" t="s">
        <v>18029</v>
      </c>
      <c r="E10372" t="s">
        <v>27116</v>
      </c>
      <c r="F10372" t="s">
        <v>31574</v>
      </c>
      <c r="G10372" t="s">
        <v>31582</v>
      </c>
      <c r="H10372" t="s">
        <v>31590</v>
      </c>
      <c r="I10372" t="s">
        <v>31600</v>
      </c>
      <c r="J10372" t="s">
        <v>38188</v>
      </c>
      <c r="K10372" t="s">
        <v>41196</v>
      </c>
      <c r="M10372" t="s">
        <v>43783</v>
      </c>
      <c r="N10372" t="s">
        <v>45095</v>
      </c>
      <c r="O10372" t="s">
        <v>45096</v>
      </c>
      <c r="P10372">
        <v>0</v>
      </c>
      <c r="Q10372">
        <v>0</v>
      </c>
      <c r="R10372" t="s">
        <v>45108</v>
      </c>
      <c r="S10372" t="s">
        <v>45434</v>
      </c>
      <c r="T10372" t="s">
        <v>46926</v>
      </c>
      <c r="U10372" t="s">
        <v>56004</v>
      </c>
      <c r="W10372" t="s">
        <v>43783</v>
      </c>
      <c r="X10372" t="s">
        <v>45109</v>
      </c>
    </row>
    <row r="10373" spans="1:24">
      <c r="A10373">
        <f>HYPERLINK("https://www.philgeps.gov.ph/GEPSNONPILOT/Tender/SplashBidNoticeAbstractUI.aspx?menuIndex=3&amp;refID=7027853&amp;Result=3","7027853")</f>
        <v>0</v>
      </c>
      <c r="B10373" t="s">
        <v>247</v>
      </c>
      <c r="C10373" t="s">
        <v>13090</v>
      </c>
      <c r="D10373" t="s">
        <v>18072</v>
      </c>
      <c r="E10373" t="s">
        <v>27117</v>
      </c>
      <c r="F10373" t="s">
        <v>31575</v>
      </c>
      <c r="G10373" t="s">
        <v>31582</v>
      </c>
      <c r="H10373" t="s">
        <v>31590</v>
      </c>
      <c r="I10373" t="s">
        <v>4046</v>
      </c>
      <c r="J10373" t="s">
        <v>38189</v>
      </c>
      <c r="K10373" t="s">
        <v>41185</v>
      </c>
      <c r="M10373" t="s">
        <v>41733</v>
      </c>
      <c r="N10373" t="s">
        <v>45095</v>
      </c>
      <c r="O10373" t="s">
        <v>45096</v>
      </c>
      <c r="P10373">
        <v>0</v>
      </c>
      <c r="Q10373">
        <v>0</v>
      </c>
      <c r="R10373" t="s">
        <v>45108</v>
      </c>
      <c r="S10373" t="s">
        <v>45434</v>
      </c>
      <c r="T10373" t="s">
        <v>46918</v>
      </c>
      <c r="U10373" t="s">
        <v>56005</v>
      </c>
      <c r="W10373" t="s">
        <v>41733</v>
      </c>
      <c r="X10373" t="s">
        <v>45109</v>
      </c>
    </row>
    <row r="10374" spans="1:24">
      <c r="A10374">
        <f>HYPERLINK("https://www.philgeps.gov.ph/GEPSNONPILOT/Tender/SplashBidNoticeAbstractUI.aspx?menuIndex=3&amp;refID=7027850&amp;Result=3","7027850")</f>
        <v>0</v>
      </c>
      <c r="B10374" t="s">
        <v>2730</v>
      </c>
      <c r="C10374" t="s">
        <v>13091</v>
      </c>
      <c r="E10374" t="s">
        <v>27118</v>
      </c>
      <c r="F10374" t="s">
        <v>31574</v>
      </c>
      <c r="G10374" t="s">
        <v>31582</v>
      </c>
      <c r="H10374" t="s">
        <v>31591</v>
      </c>
      <c r="I10374" t="s">
        <v>8822</v>
      </c>
      <c r="J10374" t="s">
        <v>38190</v>
      </c>
      <c r="K10374" t="s">
        <v>41184</v>
      </c>
      <c r="M10374" t="s">
        <v>44501</v>
      </c>
      <c r="N10374" t="s">
        <v>45095</v>
      </c>
      <c r="O10374" t="s">
        <v>45096</v>
      </c>
      <c r="P10374">
        <v>0</v>
      </c>
      <c r="Q10374">
        <v>0</v>
      </c>
      <c r="R10374" t="s">
        <v>45108</v>
      </c>
      <c r="S10374" t="s">
        <v>45434</v>
      </c>
      <c r="T10374" t="s">
        <v>46963</v>
      </c>
      <c r="U10374" t="s">
        <v>56006</v>
      </c>
      <c r="V10374" t="s">
        <v>60945</v>
      </c>
      <c r="W10374" t="s">
        <v>44501</v>
      </c>
      <c r="X10374" t="s">
        <v>45109</v>
      </c>
    </row>
    <row r="10375" spans="1:24">
      <c r="A10375">
        <f>HYPERLINK("https://www.philgeps.gov.ph/GEPSNONPILOT/Tender/SplashBidNoticeAbstractUI.aspx?menuIndex=3&amp;refID=7027812&amp;Result=3","7027812")</f>
        <v>0</v>
      </c>
      <c r="B10375" t="s">
        <v>447</v>
      </c>
      <c r="C10375" t="s">
        <v>13092</v>
      </c>
      <c r="D10375" t="s">
        <v>18044</v>
      </c>
      <c r="E10375" t="s">
        <v>27119</v>
      </c>
      <c r="F10375" t="s">
        <v>31574</v>
      </c>
      <c r="G10375" t="s">
        <v>31582</v>
      </c>
      <c r="H10375" t="s">
        <v>31591</v>
      </c>
      <c r="I10375" t="s">
        <v>8822</v>
      </c>
      <c r="J10375" t="s">
        <v>38191</v>
      </c>
      <c r="K10375" t="s">
        <v>41189</v>
      </c>
      <c r="M10375" t="s">
        <v>41941</v>
      </c>
      <c r="N10375" t="s">
        <v>45095</v>
      </c>
      <c r="O10375" t="s">
        <v>45096</v>
      </c>
      <c r="P10375">
        <v>0</v>
      </c>
      <c r="Q10375">
        <v>0</v>
      </c>
      <c r="R10375" t="s">
        <v>45108</v>
      </c>
      <c r="S10375" t="s">
        <v>45434</v>
      </c>
      <c r="T10375" t="s">
        <v>47004</v>
      </c>
      <c r="U10375" t="s">
        <v>56007</v>
      </c>
      <c r="W10375" t="s">
        <v>41941</v>
      </c>
      <c r="X10375" t="s">
        <v>45109</v>
      </c>
    </row>
    <row r="10376" spans="1:24">
      <c r="A10376">
        <f>HYPERLINK("https://www.philgeps.gov.ph/GEPSNONPILOT/Tender/SplashBidNoticeAbstractUI.aspx?menuIndex=3&amp;refID=7027872&amp;Result=3","7027872")</f>
        <v>0</v>
      </c>
      <c r="B10376" t="s">
        <v>1925</v>
      </c>
      <c r="C10376" t="s">
        <v>13093</v>
      </c>
      <c r="D10376" t="s">
        <v>18047</v>
      </c>
      <c r="E10376" t="s">
        <v>27120</v>
      </c>
      <c r="F10376" t="s">
        <v>31575</v>
      </c>
      <c r="G10376" t="s">
        <v>31581</v>
      </c>
      <c r="H10376" t="s">
        <v>31590</v>
      </c>
      <c r="I10376" t="s">
        <v>4046</v>
      </c>
      <c r="J10376" t="s">
        <v>38192</v>
      </c>
      <c r="K10376" t="s">
        <v>41193</v>
      </c>
      <c r="M10376" t="s">
        <v>43577</v>
      </c>
      <c r="N10376" t="s">
        <v>45095</v>
      </c>
      <c r="O10376" t="s">
        <v>45096</v>
      </c>
      <c r="P10376">
        <v>0</v>
      </c>
      <c r="Q10376">
        <v>0</v>
      </c>
      <c r="R10376" t="s">
        <v>45108</v>
      </c>
      <c r="S10376" t="s">
        <v>45434</v>
      </c>
      <c r="T10376" t="s">
        <v>46946</v>
      </c>
      <c r="U10376" t="s">
        <v>56008</v>
      </c>
      <c r="V10376" t="s">
        <v>60506</v>
      </c>
      <c r="W10376" t="s">
        <v>43577</v>
      </c>
      <c r="X10376" t="s">
        <v>45109</v>
      </c>
    </row>
    <row r="10377" spans="1:24">
      <c r="A10377">
        <f>HYPERLINK("https://www.philgeps.gov.ph/GEPSNONPILOT/Tender/SplashBidNoticeAbstractUI.aspx?menuIndex=3&amp;refID=7027799&amp;Result=3","7027799")</f>
        <v>0</v>
      </c>
      <c r="B10377" t="s">
        <v>2731</v>
      </c>
      <c r="C10377" t="s">
        <v>13094</v>
      </c>
      <c r="D10377" t="s">
        <v>18044</v>
      </c>
      <c r="E10377" t="s">
        <v>27121</v>
      </c>
      <c r="F10377" t="s">
        <v>31574</v>
      </c>
      <c r="G10377" t="s">
        <v>31582</v>
      </c>
      <c r="H10377" t="s">
        <v>31590</v>
      </c>
      <c r="I10377" t="s">
        <v>7162</v>
      </c>
      <c r="J10377" t="s">
        <v>38193</v>
      </c>
      <c r="K10377" t="s">
        <v>41213</v>
      </c>
      <c r="M10377" t="s">
        <v>44502</v>
      </c>
      <c r="N10377" t="s">
        <v>45095</v>
      </c>
      <c r="O10377" t="s">
        <v>45096</v>
      </c>
      <c r="P10377">
        <v>0</v>
      </c>
      <c r="Q10377">
        <v>2</v>
      </c>
      <c r="R10377" t="s">
        <v>45108</v>
      </c>
      <c r="S10377" t="s">
        <v>45434</v>
      </c>
      <c r="T10377" t="s">
        <v>47163</v>
      </c>
      <c r="U10377" t="s">
        <v>56009</v>
      </c>
      <c r="W10377" t="s">
        <v>44502</v>
      </c>
      <c r="X10377" t="s">
        <v>45109</v>
      </c>
    </row>
    <row r="10378" spans="1:24">
      <c r="A10378">
        <f>HYPERLINK("https://www.philgeps.gov.ph/GEPSNONPILOT/Tender/SplashBidNoticeAbstractUI.aspx?menuIndex=3&amp;refID=7027789&amp;Result=3","7027789")</f>
        <v>0</v>
      </c>
      <c r="B10378" t="s">
        <v>290</v>
      </c>
      <c r="C10378" t="s">
        <v>13095</v>
      </c>
      <c r="D10378" t="s">
        <v>18043</v>
      </c>
      <c r="E10378" t="s">
        <v>27122</v>
      </c>
      <c r="F10378" t="s">
        <v>31574</v>
      </c>
      <c r="G10378" t="s">
        <v>31581</v>
      </c>
      <c r="H10378" t="s">
        <v>31590</v>
      </c>
      <c r="I10378" t="s">
        <v>3539</v>
      </c>
      <c r="J10378" t="s">
        <v>34299</v>
      </c>
      <c r="K10378" t="s">
        <v>41193</v>
      </c>
      <c r="M10378" t="s">
        <v>41776</v>
      </c>
      <c r="N10378" t="s">
        <v>45095</v>
      </c>
      <c r="O10378" t="s">
        <v>45096</v>
      </c>
      <c r="P10378">
        <v>0</v>
      </c>
      <c r="Q10378">
        <v>0</v>
      </c>
      <c r="R10378" t="s">
        <v>45108</v>
      </c>
      <c r="S10378" t="s">
        <v>45434</v>
      </c>
      <c r="T10378" t="s">
        <v>47159</v>
      </c>
      <c r="U10378" t="s">
        <v>48030</v>
      </c>
      <c r="W10378" t="s">
        <v>41776</v>
      </c>
      <c r="X10378" t="s">
        <v>45109</v>
      </c>
    </row>
    <row r="10379" spans="1:24">
      <c r="A10379">
        <f>HYPERLINK("https://www.philgeps.gov.ph/GEPSNONPILOT/Tender/SplashBidNoticeAbstractUI.aspx?menuIndex=3&amp;refID=7027871&amp;Result=3","7027871")</f>
        <v>0</v>
      </c>
      <c r="B10379" t="s">
        <v>1405</v>
      </c>
      <c r="C10379" t="s">
        <v>13096</v>
      </c>
      <c r="E10379" t="s">
        <v>27123</v>
      </c>
      <c r="F10379" t="s">
        <v>31574</v>
      </c>
      <c r="G10379" t="s">
        <v>31582</v>
      </c>
      <c r="H10379" t="s">
        <v>31590</v>
      </c>
      <c r="I10379" t="s">
        <v>31608</v>
      </c>
      <c r="J10379" t="s">
        <v>34357</v>
      </c>
      <c r="K10379" t="s">
        <v>41184</v>
      </c>
      <c r="M10379" t="s">
        <v>42980</v>
      </c>
      <c r="N10379" t="s">
        <v>45095</v>
      </c>
      <c r="O10379" t="s">
        <v>45096</v>
      </c>
      <c r="Q10379">
        <v>18</v>
      </c>
      <c r="R10379" t="s">
        <v>45108</v>
      </c>
      <c r="S10379" t="s">
        <v>45443</v>
      </c>
      <c r="T10379" t="s">
        <v>47265</v>
      </c>
      <c r="U10379" t="s">
        <v>56010</v>
      </c>
      <c r="W10379" t="s">
        <v>61700</v>
      </c>
      <c r="X10379" t="s">
        <v>45109</v>
      </c>
    </row>
    <row r="10380" spans="1:24">
      <c r="A10380">
        <f>HYPERLINK("https://www.philgeps.gov.ph/GEPSNONPILOT/Tender/SplashBidNoticeAbstractUI.aspx?menuIndex=3&amp;refID=7027805&amp;Result=3","7027805")</f>
        <v>0</v>
      </c>
      <c r="B10380" t="s">
        <v>981</v>
      </c>
      <c r="C10380" t="s">
        <v>13097</v>
      </c>
      <c r="D10380" t="s">
        <v>18039</v>
      </c>
      <c r="E10380" t="s">
        <v>27124</v>
      </c>
      <c r="F10380" t="s">
        <v>31574</v>
      </c>
      <c r="G10380" t="s">
        <v>31582</v>
      </c>
      <c r="H10380" t="s">
        <v>31591</v>
      </c>
      <c r="I10380" t="s">
        <v>8822</v>
      </c>
      <c r="J10380" t="s">
        <v>32739</v>
      </c>
      <c r="K10380" t="s">
        <v>41416</v>
      </c>
      <c r="M10380" t="s">
        <v>42515</v>
      </c>
      <c r="N10380" t="s">
        <v>45095</v>
      </c>
      <c r="O10380" t="s">
        <v>45096</v>
      </c>
      <c r="P10380">
        <v>0</v>
      </c>
      <c r="Q10380">
        <v>0</v>
      </c>
      <c r="R10380" t="s">
        <v>45108</v>
      </c>
      <c r="S10380" t="s">
        <v>45434</v>
      </c>
      <c r="T10380" t="s">
        <v>46933</v>
      </c>
      <c r="U10380" t="s">
        <v>55982</v>
      </c>
      <c r="W10380" t="s">
        <v>42515</v>
      </c>
      <c r="X10380" t="s">
        <v>45109</v>
      </c>
    </row>
    <row r="10381" spans="1:24">
      <c r="A10381">
        <f>HYPERLINK("https://www.philgeps.gov.ph/GEPSNONPILOT/Tender/SplashBidNoticeAbstractUI.aspx?menuIndex=3&amp;refID=7027804&amp;Result=3","7027804")</f>
        <v>0</v>
      </c>
      <c r="B10381" t="s">
        <v>290</v>
      </c>
      <c r="C10381" t="s">
        <v>13098</v>
      </c>
      <c r="D10381" t="s">
        <v>18043</v>
      </c>
      <c r="E10381" t="s">
        <v>27125</v>
      </c>
      <c r="F10381" t="s">
        <v>31574</v>
      </c>
      <c r="G10381" t="s">
        <v>31581</v>
      </c>
      <c r="H10381" t="s">
        <v>31590</v>
      </c>
      <c r="I10381" t="s">
        <v>14034</v>
      </c>
      <c r="J10381" t="s">
        <v>37455</v>
      </c>
      <c r="K10381" t="s">
        <v>41193</v>
      </c>
      <c r="M10381" t="s">
        <v>41776</v>
      </c>
      <c r="N10381" t="s">
        <v>45095</v>
      </c>
      <c r="O10381" t="s">
        <v>45096</v>
      </c>
      <c r="P10381">
        <v>0</v>
      </c>
      <c r="Q10381">
        <v>0</v>
      </c>
      <c r="R10381" t="s">
        <v>45108</v>
      </c>
      <c r="S10381" t="s">
        <v>45434</v>
      </c>
      <c r="T10381" t="s">
        <v>47159</v>
      </c>
      <c r="U10381" t="s">
        <v>48030</v>
      </c>
      <c r="W10381" t="s">
        <v>41776</v>
      </c>
      <c r="X10381" t="s">
        <v>45109</v>
      </c>
    </row>
    <row r="10382" spans="1:24">
      <c r="A10382">
        <f>HYPERLINK("https://www.philgeps.gov.ph/GEPSNONPILOT/Tender/SplashBidNoticeAbstractUI.aspx?menuIndex=3&amp;refID=7027914&amp;Result=3","7027914")</f>
        <v>0</v>
      </c>
      <c r="B10382" t="s">
        <v>2732</v>
      </c>
      <c r="C10382" t="s">
        <v>13099</v>
      </c>
      <c r="E10382" t="s">
        <v>19061</v>
      </c>
      <c r="F10382" t="s">
        <v>31574</v>
      </c>
      <c r="G10382" t="s">
        <v>31582</v>
      </c>
      <c r="H10382" t="s">
        <v>31591</v>
      </c>
      <c r="I10382" t="s">
        <v>8822</v>
      </c>
      <c r="J10382" t="s">
        <v>32550</v>
      </c>
      <c r="K10382" t="s">
        <v>41274</v>
      </c>
      <c r="M10382" t="s">
        <v>44503</v>
      </c>
      <c r="N10382" t="s">
        <v>45095</v>
      </c>
      <c r="O10382" t="s">
        <v>45096</v>
      </c>
      <c r="P10382">
        <v>0</v>
      </c>
      <c r="Q10382">
        <v>2</v>
      </c>
      <c r="R10382" t="s">
        <v>45108</v>
      </c>
      <c r="S10382" t="s">
        <v>45434</v>
      </c>
      <c r="T10382" t="s">
        <v>47093</v>
      </c>
      <c r="U10382" t="s">
        <v>56011</v>
      </c>
      <c r="W10382" t="s">
        <v>44503</v>
      </c>
      <c r="X10382" t="s">
        <v>45109</v>
      </c>
    </row>
    <row r="10383" spans="1:24">
      <c r="A10383">
        <f>HYPERLINK("https://www.philgeps.gov.ph/GEPSNONPILOT/Tender/SplashBidNoticeAbstractUI.aspx?menuIndex=3&amp;refID=7027921&amp;Result=3","7027921")</f>
        <v>0</v>
      </c>
      <c r="B10383" t="s">
        <v>2733</v>
      </c>
      <c r="C10383" t="s">
        <v>13100</v>
      </c>
      <c r="D10383" t="s">
        <v>18033</v>
      </c>
      <c r="E10383" t="s">
        <v>27126</v>
      </c>
      <c r="F10383" t="s">
        <v>31574</v>
      </c>
      <c r="G10383" t="s">
        <v>31581</v>
      </c>
      <c r="H10383" t="s">
        <v>31590</v>
      </c>
      <c r="I10383" t="s">
        <v>4046</v>
      </c>
      <c r="J10383" t="s">
        <v>31780</v>
      </c>
      <c r="K10383" t="s">
        <v>41186</v>
      </c>
      <c r="M10383" t="s">
        <v>44504</v>
      </c>
      <c r="N10383" t="s">
        <v>45095</v>
      </c>
      <c r="O10383" t="s">
        <v>45096</v>
      </c>
      <c r="P10383">
        <v>0</v>
      </c>
      <c r="Q10383">
        <v>2</v>
      </c>
      <c r="R10383" t="s">
        <v>45108</v>
      </c>
      <c r="S10383" t="s">
        <v>45434</v>
      </c>
      <c r="T10383" t="s">
        <v>47183</v>
      </c>
      <c r="U10383" t="s">
        <v>56012</v>
      </c>
      <c r="W10383" t="s">
        <v>61752</v>
      </c>
      <c r="X10383" t="s">
        <v>45109</v>
      </c>
    </row>
    <row r="10384" spans="1:24">
      <c r="A10384">
        <f>HYPERLINK("https://www.philgeps.gov.ph/GEPSNONPILOT/Tender/SplashBidNoticeAbstractUI.aspx?menuIndex=3&amp;refID=7027916&amp;Result=3","7027916")</f>
        <v>0</v>
      </c>
      <c r="B10384" t="s">
        <v>247</v>
      </c>
      <c r="C10384" t="s">
        <v>13101</v>
      </c>
      <c r="D10384" t="s">
        <v>18072</v>
      </c>
      <c r="E10384" t="s">
        <v>27127</v>
      </c>
      <c r="F10384" t="s">
        <v>31575</v>
      </c>
      <c r="G10384" t="s">
        <v>31582</v>
      </c>
      <c r="H10384" t="s">
        <v>31590</v>
      </c>
      <c r="I10384" t="s">
        <v>4046</v>
      </c>
      <c r="J10384" t="s">
        <v>31947</v>
      </c>
      <c r="K10384" t="s">
        <v>41189</v>
      </c>
      <c r="M10384" t="s">
        <v>41733</v>
      </c>
      <c r="N10384" t="s">
        <v>45095</v>
      </c>
      <c r="O10384" t="s">
        <v>45096</v>
      </c>
      <c r="P10384">
        <v>0</v>
      </c>
      <c r="Q10384">
        <v>0</v>
      </c>
      <c r="R10384" t="s">
        <v>45108</v>
      </c>
      <c r="S10384" t="s">
        <v>45434</v>
      </c>
      <c r="T10384" t="s">
        <v>46918</v>
      </c>
      <c r="U10384" t="s">
        <v>56013</v>
      </c>
      <c r="W10384" t="s">
        <v>41733</v>
      </c>
      <c r="X10384" t="s">
        <v>45109</v>
      </c>
    </row>
    <row r="10385" spans="1:24">
      <c r="A10385">
        <f>HYPERLINK("https://www.philgeps.gov.ph/GEPSNONPILOT/Tender/SplashBidNoticeAbstractUI.aspx?menuIndex=3&amp;refID=7027915&amp;Result=3","7027915")</f>
        <v>0</v>
      </c>
      <c r="B10385" t="s">
        <v>1436</v>
      </c>
      <c r="C10385" t="s">
        <v>13102</v>
      </c>
      <c r="D10385" t="s">
        <v>18040</v>
      </c>
      <c r="E10385" t="s">
        <v>27128</v>
      </c>
      <c r="F10385" t="s">
        <v>31574</v>
      </c>
      <c r="G10385" t="s">
        <v>31582</v>
      </c>
      <c r="H10385" t="s">
        <v>31591</v>
      </c>
      <c r="I10385" t="s">
        <v>8822</v>
      </c>
      <c r="J10385" t="s">
        <v>31935</v>
      </c>
      <c r="K10385" t="s">
        <v>41186</v>
      </c>
      <c r="M10385" t="s">
        <v>43012</v>
      </c>
      <c r="N10385" t="s">
        <v>45095</v>
      </c>
      <c r="O10385" t="s">
        <v>45096</v>
      </c>
      <c r="P10385">
        <v>0</v>
      </c>
      <c r="Q10385">
        <v>2</v>
      </c>
      <c r="R10385" t="s">
        <v>45108</v>
      </c>
      <c r="S10385" t="s">
        <v>45434</v>
      </c>
      <c r="T10385" t="s">
        <v>46905</v>
      </c>
      <c r="U10385" t="s">
        <v>56014</v>
      </c>
      <c r="W10385" t="s">
        <v>43012</v>
      </c>
      <c r="X10385" t="s">
        <v>45109</v>
      </c>
    </row>
    <row r="10386" spans="1:24">
      <c r="A10386">
        <f>HYPERLINK("https://www.philgeps.gov.ph/GEPSNONPILOT/Tender/SplashBidNoticeAbstractUI.aspx?menuIndex=3&amp;refID=7027892&amp;Result=3","7027892")</f>
        <v>0</v>
      </c>
      <c r="B10386" t="s">
        <v>247</v>
      </c>
      <c r="C10386" t="s">
        <v>13103</v>
      </c>
      <c r="D10386" t="s">
        <v>18072</v>
      </c>
      <c r="E10386" t="s">
        <v>22872</v>
      </c>
      <c r="F10386" t="s">
        <v>31575</v>
      </c>
      <c r="G10386" t="s">
        <v>31582</v>
      </c>
      <c r="H10386" t="s">
        <v>31590</v>
      </c>
      <c r="I10386" t="s">
        <v>4046</v>
      </c>
      <c r="J10386" t="s">
        <v>31947</v>
      </c>
      <c r="K10386" t="s">
        <v>41186</v>
      </c>
      <c r="M10386" t="s">
        <v>41733</v>
      </c>
      <c r="N10386" t="s">
        <v>45095</v>
      </c>
      <c r="O10386" t="s">
        <v>45096</v>
      </c>
      <c r="P10386">
        <v>0</v>
      </c>
      <c r="Q10386">
        <v>0</v>
      </c>
      <c r="R10386" t="s">
        <v>45108</v>
      </c>
      <c r="S10386" t="s">
        <v>45434</v>
      </c>
      <c r="T10386" t="s">
        <v>46918</v>
      </c>
      <c r="U10386" t="s">
        <v>56013</v>
      </c>
      <c r="W10386" t="s">
        <v>41733</v>
      </c>
      <c r="X10386" t="s">
        <v>45109</v>
      </c>
    </row>
    <row r="10387" spans="1:24">
      <c r="A10387">
        <f>HYPERLINK("https://www.philgeps.gov.ph/GEPSNONPILOT/Tender/SplashBidNoticeAbstractUI.aspx?menuIndex=3&amp;refID=7027959&amp;Result=3","7027959")</f>
        <v>0</v>
      </c>
      <c r="B10387" t="s">
        <v>2732</v>
      </c>
      <c r="C10387" t="s">
        <v>13104</v>
      </c>
      <c r="D10387" t="s">
        <v>18053</v>
      </c>
      <c r="E10387" t="s">
        <v>18367</v>
      </c>
      <c r="F10387" t="s">
        <v>31574</v>
      </c>
      <c r="G10387" t="s">
        <v>31582</v>
      </c>
      <c r="H10387" t="s">
        <v>31591</v>
      </c>
      <c r="I10387" t="s">
        <v>8822</v>
      </c>
      <c r="J10387" t="s">
        <v>31771</v>
      </c>
      <c r="K10387" t="s">
        <v>41263</v>
      </c>
      <c r="M10387" t="s">
        <v>44503</v>
      </c>
      <c r="N10387" t="s">
        <v>45095</v>
      </c>
      <c r="O10387" t="s">
        <v>45096</v>
      </c>
      <c r="P10387">
        <v>0</v>
      </c>
      <c r="Q10387">
        <v>2</v>
      </c>
      <c r="R10387" t="s">
        <v>45108</v>
      </c>
      <c r="S10387" t="s">
        <v>45434</v>
      </c>
      <c r="T10387" t="s">
        <v>47000</v>
      </c>
      <c r="U10387" t="s">
        <v>56015</v>
      </c>
      <c r="W10387" t="s">
        <v>44503</v>
      </c>
      <c r="X10387" t="s">
        <v>45109</v>
      </c>
    </row>
    <row r="10388" spans="1:24">
      <c r="A10388">
        <f>HYPERLINK("https://www.philgeps.gov.ph/GEPSNONPILOT/Tender/SplashBidNoticeAbstractUI.aspx?menuIndex=3&amp;refID=7027936&amp;Result=3","7027936")</f>
        <v>0</v>
      </c>
      <c r="B10388" t="s">
        <v>2732</v>
      </c>
      <c r="C10388" t="s">
        <v>13105</v>
      </c>
      <c r="D10388" t="s">
        <v>18053</v>
      </c>
      <c r="E10388" t="s">
        <v>18722</v>
      </c>
      <c r="F10388" t="s">
        <v>31574</v>
      </c>
      <c r="G10388" t="s">
        <v>31582</v>
      </c>
      <c r="H10388" t="s">
        <v>31591</v>
      </c>
      <c r="I10388" t="s">
        <v>8822</v>
      </c>
      <c r="J10388" t="s">
        <v>32101</v>
      </c>
      <c r="K10388" t="s">
        <v>41245</v>
      </c>
      <c r="M10388" t="s">
        <v>44503</v>
      </c>
      <c r="N10388" t="s">
        <v>45095</v>
      </c>
      <c r="O10388" t="s">
        <v>45096</v>
      </c>
      <c r="P10388">
        <v>0</v>
      </c>
      <c r="Q10388">
        <v>1</v>
      </c>
      <c r="R10388" t="s">
        <v>45108</v>
      </c>
      <c r="S10388" t="s">
        <v>45434</v>
      </c>
      <c r="T10388" t="s">
        <v>47000</v>
      </c>
      <c r="U10388" t="s">
        <v>56016</v>
      </c>
      <c r="W10388" t="s">
        <v>44503</v>
      </c>
      <c r="X10388" t="s">
        <v>45109</v>
      </c>
    </row>
    <row r="10389" spans="1:24">
      <c r="A10389">
        <f>HYPERLINK("https://www.philgeps.gov.ph/GEPSNONPILOT/Tender/SplashBidNoticeAbstractUI.aspx?menuIndex=3&amp;refID=7027956&amp;Result=3","7027956")</f>
        <v>0</v>
      </c>
      <c r="B10389" t="s">
        <v>247</v>
      </c>
      <c r="C10389" t="s">
        <v>13106</v>
      </c>
      <c r="D10389" t="s">
        <v>18072</v>
      </c>
      <c r="E10389" t="s">
        <v>22849</v>
      </c>
      <c r="F10389" t="s">
        <v>31575</v>
      </c>
      <c r="G10389" t="s">
        <v>31582</v>
      </c>
      <c r="H10389" t="s">
        <v>31590</v>
      </c>
      <c r="I10389" t="s">
        <v>4046</v>
      </c>
      <c r="J10389" t="s">
        <v>31947</v>
      </c>
      <c r="K10389" t="s">
        <v>41192</v>
      </c>
      <c r="M10389" t="s">
        <v>41733</v>
      </c>
      <c r="N10389" t="s">
        <v>45095</v>
      </c>
      <c r="O10389" t="s">
        <v>45096</v>
      </c>
      <c r="P10389">
        <v>0</v>
      </c>
      <c r="Q10389">
        <v>0</v>
      </c>
      <c r="R10389" t="s">
        <v>45108</v>
      </c>
      <c r="S10389" t="s">
        <v>45434</v>
      </c>
      <c r="T10389" t="s">
        <v>46918</v>
      </c>
      <c r="U10389" t="s">
        <v>56017</v>
      </c>
      <c r="W10389" t="s">
        <v>41733</v>
      </c>
      <c r="X10389" t="s">
        <v>45109</v>
      </c>
    </row>
    <row r="10390" spans="1:24">
      <c r="A10390">
        <f>HYPERLINK("https://www.philgeps.gov.ph/GEPSNONPILOT/Tender/SplashBidNoticeAbstractUI.aspx?menuIndex=3&amp;refID=7027932&amp;Result=3","7027932")</f>
        <v>0</v>
      </c>
      <c r="B10390" t="s">
        <v>1079</v>
      </c>
      <c r="C10390" t="s">
        <v>13107</v>
      </c>
      <c r="E10390" t="s">
        <v>27129</v>
      </c>
      <c r="F10390" t="s">
        <v>31574</v>
      </c>
      <c r="G10390" t="s">
        <v>31581</v>
      </c>
      <c r="H10390" t="s">
        <v>31590</v>
      </c>
      <c r="I10390" t="s">
        <v>31630</v>
      </c>
      <c r="J10390" t="s">
        <v>32799</v>
      </c>
      <c r="K10390" t="s">
        <v>41184</v>
      </c>
      <c r="M10390" t="s">
        <v>43366</v>
      </c>
      <c r="N10390" t="s">
        <v>45095</v>
      </c>
      <c r="O10390" t="s">
        <v>45096</v>
      </c>
      <c r="P10390">
        <v>0</v>
      </c>
      <c r="Q10390">
        <v>3</v>
      </c>
      <c r="R10390" t="s">
        <v>45108</v>
      </c>
      <c r="S10390" t="s">
        <v>45434</v>
      </c>
      <c r="T10390" t="s">
        <v>47125</v>
      </c>
      <c r="U10390" t="s">
        <v>56018</v>
      </c>
      <c r="V10390" t="s">
        <v>60414</v>
      </c>
      <c r="W10390" t="s">
        <v>43366</v>
      </c>
      <c r="X10390" t="s">
        <v>45109</v>
      </c>
    </row>
    <row r="10391" spans="1:24">
      <c r="A10391">
        <f>HYPERLINK("https://www.philgeps.gov.ph/GEPSNONPILOT/Tender/SplashBidNoticeAbstractUI.aspx?menuIndex=3&amp;refID=7027943&amp;Result=3","7027943")</f>
        <v>0</v>
      </c>
      <c r="B10391" t="s">
        <v>2573</v>
      </c>
      <c r="C10391" t="s">
        <v>13108</v>
      </c>
      <c r="D10391" t="s">
        <v>18026</v>
      </c>
      <c r="E10391" t="s">
        <v>27130</v>
      </c>
      <c r="F10391" t="s">
        <v>31574</v>
      </c>
      <c r="G10391" t="s">
        <v>31582</v>
      </c>
      <c r="H10391" t="s">
        <v>31590</v>
      </c>
      <c r="I10391" t="s">
        <v>31602</v>
      </c>
      <c r="J10391" t="s">
        <v>32167</v>
      </c>
      <c r="K10391" t="s">
        <v>41190</v>
      </c>
      <c r="M10391" t="s">
        <v>44314</v>
      </c>
      <c r="N10391" t="s">
        <v>45095</v>
      </c>
      <c r="O10391" t="s">
        <v>45096</v>
      </c>
      <c r="P10391">
        <v>0</v>
      </c>
      <c r="Q10391">
        <v>0</v>
      </c>
      <c r="R10391" t="s">
        <v>45108</v>
      </c>
      <c r="S10391" t="s">
        <v>45434</v>
      </c>
      <c r="T10391" t="s">
        <v>47159</v>
      </c>
      <c r="U10391" t="s">
        <v>56019</v>
      </c>
      <c r="W10391" t="s">
        <v>44314</v>
      </c>
      <c r="X10391" t="s">
        <v>45109</v>
      </c>
    </row>
    <row r="10392" spans="1:24">
      <c r="A10392">
        <f>HYPERLINK("https://www.philgeps.gov.ph/GEPSNONPILOT/Tender/SplashBidNoticeAbstractUI.aspx?menuIndex=3&amp;refID=7027944&amp;Result=3","7027944")</f>
        <v>0</v>
      </c>
      <c r="B10392" t="s">
        <v>981</v>
      </c>
      <c r="C10392" t="s">
        <v>13109</v>
      </c>
      <c r="D10392" t="s">
        <v>18039</v>
      </c>
      <c r="E10392" t="s">
        <v>27131</v>
      </c>
      <c r="F10392" t="s">
        <v>31574</v>
      </c>
      <c r="G10392" t="s">
        <v>31582</v>
      </c>
      <c r="H10392" t="s">
        <v>31591</v>
      </c>
      <c r="I10392" t="s">
        <v>8822</v>
      </c>
      <c r="J10392" t="s">
        <v>38194</v>
      </c>
      <c r="K10392" t="s">
        <v>41189</v>
      </c>
      <c r="M10392" t="s">
        <v>42515</v>
      </c>
      <c r="N10392" t="s">
        <v>45095</v>
      </c>
      <c r="O10392" t="s">
        <v>45096</v>
      </c>
      <c r="P10392">
        <v>0</v>
      </c>
      <c r="Q10392">
        <v>0</v>
      </c>
      <c r="R10392" t="s">
        <v>45108</v>
      </c>
      <c r="S10392" t="s">
        <v>45434</v>
      </c>
      <c r="T10392" t="s">
        <v>46933</v>
      </c>
      <c r="U10392" t="s">
        <v>56020</v>
      </c>
      <c r="W10392" t="s">
        <v>42515</v>
      </c>
      <c r="X10392" t="s">
        <v>45109</v>
      </c>
    </row>
    <row r="10393" spans="1:24">
      <c r="A10393">
        <f>HYPERLINK("https://www.philgeps.gov.ph/GEPSNONPILOT/Tender/SplashBidNoticeAbstractUI.aspx?menuIndex=3&amp;refID=7027926&amp;Result=3","7027926")</f>
        <v>0</v>
      </c>
      <c r="B10393" t="s">
        <v>981</v>
      </c>
      <c r="C10393" t="s">
        <v>13110</v>
      </c>
      <c r="D10393" t="s">
        <v>18039</v>
      </c>
      <c r="E10393" t="s">
        <v>27132</v>
      </c>
      <c r="F10393" t="s">
        <v>31574</v>
      </c>
      <c r="G10393" t="s">
        <v>31582</v>
      </c>
      <c r="H10393" t="s">
        <v>31591</v>
      </c>
      <c r="I10393" t="s">
        <v>8822</v>
      </c>
      <c r="J10393" t="s">
        <v>38195</v>
      </c>
      <c r="K10393" t="s">
        <v>41200</v>
      </c>
      <c r="M10393" t="s">
        <v>42515</v>
      </c>
      <c r="N10393" t="s">
        <v>45095</v>
      </c>
      <c r="O10393" t="s">
        <v>45096</v>
      </c>
      <c r="P10393">
        <v>0</v>
      </c>
      <c r="Q10393">
        <v>0</v>
      </c>
      <c r="R10393" t="s">
        <v>45108</v>
      </c>
      <c r="S10393" t="s">
        <v>45434</v>
      </c>
      <c r="T10393" t="s">
        <v>46933</v>
      </c>
      <c r="U10393" t="s">
        <v>56021</v>
      </c>
      <c r="W10393" t="s">
        <v>42515</v>
      </c>
      <c r="X10393" t="s">
        <v>45109</v>
      </c>
    </row>
    <row r="10394" spans="1:24">
      <c r="A10394">
        <f>HYPERLINK("https://www.philgeps.gov.ph/GEPSNONPILOT/Tender/SplashBidNoticeAbstractUI.aspx?menuIndex=3&amp;refID=7027962&amp;Result=3","7027962")</f>
        <v>0</v>
      </c>
      <c r="B10394" t="s">
        <v>1942</v>
      </c>
      <c r="C10394" t="s">
        <v>13111</v>
      </c>
      <c r="D10394" t="s">
        <v>18041</v>
      </c>
      <c r="E10394" t="s">
        <v>27133</v>
      </c>
      <c r="F10394" t="s">
        <v>31574</v>
      </c>
      <c r="G10394" t="s">
        <v>31582</v>
      </c>
      <c r="H10394" t="s">
        <v>31591</v>
      </c>
      <c r="I10394" t="s">
        <v>8822</v>
      </c>
      <c r="J10394" t="s">
        <v>38196</v>
      </c>
      <c r="K10394" t="s">
        <v>41255</v>
      </c>
      <c r="M10394" t="s">
        <v>43597</v>
      </c>
      <c r="N10394" t="s">
        <v>45095</v>
      </c>
      <c r="O10394" t="s">
        <v>45096</v>
      </c>
      <c r="P10394">
        <v>0</v>
      </c>
      <c r="Q10394">
        <v>5</v>
      </c>
      <c r="R10394" t="s">
        <v>45108</v>
      </c>
      <c r="S10394" t="s">
        <v>45434</v>
      </c>
      <c r="T10394" t="s">
        <v>47000</v>
      </c>
      <c r="U10394" t="s">
        <v>56022</v>
      </c>
      <c r="W10394" t="s">
        <v>43597</v>
      </c>
      <c r="X10394" t="s">
        <v>45109</v>
      </c>
    </row>
    <row r="10395" spans="1:24">
      <c r="A10395">
        <f>HYPERLINK("https://www.philgeps.gov.ph/GEPSNONPILOT/Tender/SplashBidNoticeAbstractUI.aspx?menuIndex=3&amp;refID=7027934&amp;Result=3","7027934")</f>
        <v>0</v>
      </c>
      <c r="B10395" t="s">
        <v>669</v>
      </c>
      <c r="C10395" t="s">
        <v>13112</v>
      </c>
      <c r="D10395" t="s">
        <v>18050</v>
      </c>
      <c r="E10395" t="s">
        <v>27134</v>
      </c>
      <c r="F10395" t="s">
        <v>31574</v>
      </c>
      <c r="G10395" t="s">
        <v>31582</v>
      </c>
      <c r="H10395" t="s">
        <v>31591</v>
      </c>
      <c r="I10395" t="s">
        <v>8822</v>
      </c>
      <c r="J10395" t="s">
        <v>33252</v>
      </c>
      <c r="K10395" t="s">
        <v>41189</v>
      </c>
      <c r="M10395" t="s">
        <v>42174</v>
      </c>
      <c r="N10395" t="s">
        <v>45095</v>
      </c>
      <c r="O10395" t="s">
        <v>45096</v>
      </c>
      <c r="P10395">
        <v>0</v>
      </c>
      <c r="Q10395">
        <v>1</v>
      </c>
      <c r="R10395" t="s">
        <v>45108</v>
      </c>
      <c r="S10395" t="s">
        <v>45434</v>
      </c>
      <c r="T10395" t="s">
        <v>46926</v>
      </c>
      <c r="U10395" t="s">
        <v>56023</v>
      </c>
      <c r="W10395" t="s">
        <v>42174</v>
      </c>
      <c r="X10395" t="s">
        <v>45109</v>
      </c>
    </row>
    <row r="10396" spans="1:24">
      <c r="A10396">
        <f>HYPERLINK("https://www.philgeps.gov.ph/GEPSNONPILOT/Tender/SplashBidNoticeAbstractUI.aspx?menuIndex=3&amp;refID=7027963&amp;Result=3","7027963")</f>
        <v>0</v>
      </c>
      <c r="B10396" t="s">
        <v>461</v>
      </c>
      <c r="C10396" t="s">
        <v>13113</v>
      </c>
      <c r="D10396" t="s">
        <v>18057</v>
      </c>
      <c r="E10396" t="s">
        <v>27135</v>
      </c>
      <c r="F10396" t="s">
        <v>31574</v>
      </c>
      <c r="G10396" t="s">
        <v>31582</v>
      </c>
      <c r="H10396" t="s">
        <v>31591</v>
      </c>
      <c r="I10396" t="s">
        <v>8822</v>
      </c>
      <c r="J10396" t="s">
        <v>38197</v>
      </c>
      <c r="K10396" t="s">
        <v>41185</v>
      </c>
      <c r="M10396" t="s">
        <v>41955</v>
      </c>
      <c r="N10396" t="s">
        <v>45095</v>
      </c>
      <c r="O10396" t="s">
        <v>45096</v>
      </c>
      <c r="Q10396">
        <v>1</v>
      </c>
      <c r="R10396" t="s">
        <v>45108</v>
      </c>
      <c r="S10396" t="s">
        <v>45444</v>
      </c>
      <c r="T10396" t="s">
        <v>47164</v>
      </c>
      <c r="U10396" t="s">
        <v>56024</v>
      </c>
      <c r="W10396" t="s">
        <v>41955</v>
      </c>
      <c r="X10396" t="s">
        <v>45109</v>
      </c>
    </row>
    <row r="10397" spans="1:24">
      <c r="A10397">
        <f>HYPERLINK("https://www.philgeps.gov.ph/GEPSNONPILOT/Tender/SplashBidNoticeAbstractUI.aspx?menuIndex=3&amp;refID=7027975&amp;Result=3","7027975")</f>
        <v>0</v>
      </c>
      <c r="B10397" t="s">
        <v>2573</v>
      </c>
      <c r="C10397" t="s">
        <v>13114</v>
      </c>
      <c r="D10397" t="s">
        <v>18026</v>
      </c>
      <c r="E10397" t="s">
        <v>18788</v>
      </c>
      <c r="F10397" t="s">
        <v>31574</v>
      </c>
      <c r="G10397" t="s">
        <v>31582</v>
      </c>
      <c r="H10397" t="s">
        <v>31590</v>
      </c>
      <c r="I10397" t="s">
        <v>6800</v>
      </c>
      <c r="J10397" t="s">
        <v>38198</v>
      </c>
      <c r="K10397" t="s">
        <v>41190</v>
      </c>
      <c r="M10397" t="s">
        <v>44314</v>
      </c>
      <c r="N10397" t="s">
        <v>45095</v>
      </c>
      <c r="O10397" t="s">
        <v>45096</v>
      </c>
      <c r="P10397">
        <v>0</v>
      </c>
      <c r="Q10397">
        <v>2</v>
      </c>
      <c r="R10397" t="s">
        <v>45108</v>
      </c>
      <c r="S10397" t="s">
        <v>45434</v>
      </c>
      <c r="T10397" t="s">
        <v>47159</v>
      </c>
      <c r="U10397" t="s">
        <v>51365</v>
      </c>
      <c r="W10397" t="s">
        <v>44314</v>
      </c>
      <c r="X10397" t="s">
        <v>45109</v>
      </c>
    </row>
    <row r="10398" spans="1:24">
      <c r="A10398">
        <f>HYPERLINK("https://www.philgeps.gov.ph/GEPSNONPILOT/Tender/SplashBidNoticeAbstractUI.aspx?menuIndex=3&amp;refID=7027957&amp;Result=3","7027957")</f>
        <v>0</v>
      </c>
      <c r="B10398" t="s">
        <v>981</v>
      </c>
      <c r="C10398" t="s">
        <v>13115</v>
      </c>
      <c r="D10398" t="s">
        <v>18039</v>
      </c>
      <c r="E10398" t="s">
        <v>27136</v>
      </c>
      <c r="F10398" t="s">
        <v>31574</v>
      </c>
      <c r="G10398" t="s">
        <v>31582</v>
      </c>
      <c r="H10398" t="s">
        <v>31591</v>
      </c>
      <c r="I10398" t="s">
        <v>8822</v>
      </c>
      <c r="J10398" t="s">
        <v>31935</v>
      </c>
      <c r="K10398" t="s">
        <v>41192</v>
      </c>
      <c r="M10398" t="s">
        <v>42515</v>
      </c>
      <c r="N10398" t="s">
        <v>45095</v>
      </c>
      <c r="O10398" t="s">
        <v>45096</v>
      </c>
      <c r="P10398">
        <v>0</v>
      </c>
      <c r="Q10398">
        <v>1</v>
      </c>
      <c r="R10398" t="s">
        <v>45108</v>
      </c>
      <c r="S10398" t="s">
        <v>45434</v>
      </c>
      <c r="T10398" t="s">
        <v>46933</v>
      </c>
      <c r="U10398" t="s">
        <v>56025</v>
      </c>
      <c r="W10398" t="s">
        <v>42515</v>
      </c>
      <c r="X10398" t="s">
        <v>45109</v>
      </c>
    </row>
    <row r="10399" spans="1:24">
      <c r="A10399">
        <f>HYPERLINK("https://www.philgeps.gov.ph/GEPSNONPILOT/Tender/SplashBidNoticeAbstractUI.aspx?menuIndex=3&amp;refID=7027970&amp;Result=3","7027970")</f>
        <v>0</v>
      </c>
      <c r="B10399" t="s">
        <v>981</v>
      </c>
      <c r="C10399" t="s">
        <v>13116</v>
      </c>
      <c r="D10399" t="s">
        <v>18039</v>
      </c>
      <c r="E10399" t="s">
        <v>27137</v>
      </c>
      <c r="F10399" t="s">
        <v>31574</v>
      </c>
      <c r="G10399" t="s">
        <v>31582</v>
      </c>
      <c r="H10399" t="s">
        <v>31591</v>
      </c>
      <c r="I10399" t="s">
        <v>8822</v>
      </c>
      <c r="J10399" t="s">
        <v>31935</v>
      </c>
      <c r="K10399" t="s">
        <v>41192</v>
      </c>
      <c r="M10399" t="s">
        <v>42515</v>
      </c>
      <c r="N10399" t="s">
        <v>45095</v>
      </c>
      <c r="O10399" t="s">
        <v>45096</v>
      </c>
      <c r="P10399">
        <v>0</v>
      </c>
      <c r="Q10399">
        <v>0</v>
      </c>
      <c r="R10399" t="s">
        <v>45108</v>
      </c>
      <c r="S10399" t="s">
        <v>45434</v>
      </c>
      <c r="T10399" t="s">
        <v>46933</v>
      </c>
      <c r="U10399" t="s">
        <v>56026</v>
      </c>
      <c r="W10399" t="s">
        <v>42515</v>
      </c>
      <c r="X10399" t="s">
        <v>45109</v>
      </c>
    </row>
    <row r="10400" spans="1:24">
      <c r="A10400">
        <f>HYPERLINK("https://www.philgeps.gov.ph/GEPSNONPILOT/Tender/SplashBidNoticeAbstractUI.aspx?menuIndex=3&amp;refID=7027982&amp;Result=3","7027982")</f>
        <v>0</v>
      </c>
      <c r="B10400" t="s">
        <v>981</v>
      </c>
      <c r="C10400" t="s">
        <v>13117</v>
      </c>
      <c r="D10400" t="s">
        <v>18039</v>
      </c>
      <c r="E10400" t="s">
        <v>27138</v>
      </c>
      <c r="F10400" t="s">
        <v>31574</v>
      </c>
      <c r="G10400" t="s">
        <v>31582</v>
      </c>
      <c r="H10400" t="s">
        <v>31591</v>
      </c>
      <c r="I10400" t="s">
        <v>8822</v>
      </c>
      <c r="J10400" t="s">
        <v>32019</v>
      </c>
      <c r="K10400" t="s">
        <v>41192</v>
      </c>
      <c r="M10400" t="s">
        <v>42515</v>
      </c>
      <c r="N10400" t="s">
        <v>45095</v>
      </c>
      <c r="O10400" t="s">
        <v>45096</v>
      </c>
      <c r="P10400">
        <v>0</v>
      </c>
      <c r="Q10400">
        <v>0</v>
      </c>
      <c r="R10400" t="s">
        <v>45108</v>
      </c>
      <c r="S10400" t="s">
        <v>45434</v>
      </c>
      <c r="T10400" t="s">
        <v>46933</v>
      </c>
      <c r="U10400" t="s">
        <v>56027</v>
      </c>
      <c r="W10400" t="s">
        <v>42515</v>
      </c>
      <c r="X10400" t="s">
        <v>45109</v>
      </c>
    </row>
    <row r="10401" spans="1:24">
      <c r="A10401">
        <f>HYPERLINK("https://www.philgeps.gov.ph/GEPSNONPILOT/Tender/SplashBidNoticeAbstractUI.aspx?menuIndex=3&amp;refID=7027940&amp;Result=3","7027940")</f>
        <v>0</v>
      </c>
      <c r="B10401" t="s">
        <v>2734</v>
      </c>
      <c r="C10401" t="s">
        <v>13118</v>
      </c>
      <c r="D10401" t="s">
        <v>18103</v>
      </c>
      <c r="E10401" t="s">
        <v>19061</v>
      </c>
      <c r="F10401" t="s">
        <v>31574</v>
      </c>
      <c r="G10401" t="s">
        <v>31582</v>
      </c>
      <c r="H10401" t="s">
        <v>31590</v>
      </c>
      <c r="I10401" t="s">
        <v>4046</v>
      </c>
      <c r="J10401" t="s">
        <v>38199</v>
      </c>
      <c r="K10401" t="s">
        <v>41186</v>
      </c>
      <c r="M10401" t="s">
        <v>44505</v>
      </c>
      <c r="N10401" t="s">
        <v>45095</v>
      </c>
      <c r="O10401" t="s">
        <v>45096</v>
      </c>
      <c r="P10401">
        <v>0</v>
      </c>
      <c r="Q10401">
        <v>4</v>
      </c>
      <c r="R10401" t="s">
        <v>45108</v>
      </c>
      <c r="S10401" t="s">
        <v>45434</v>
      </c>
      <c r="T10401" t="s">
        <v>47200</v>
      </c>
      <c r="U10401" t="s">
        <v>56028</v>
      </c>
      <c r="W10401" t="s">
        <v>44505</v>
      </c>
      <c r="X10401" t="s">
        <v>45109</v>
      </c>
    </row>
    <row r="10402" spans="1:24">
      <c r="A10402">
        <f>HYPERLINK("https://www.philgeps.gov.ph/GEPSNONPILOT/Tender/SplashBidNoticeAbstractUI.aspx?menuIndex=3&amp;refID=7027992&amp;Result=3","7027992")</f>
        <v>0</v>
      </c>
      <c r="B10402" t="s">
        <v>1942</v>
      </c>
      <c r="C10402" t="s">
        <v>13119</v>
      </c>
      <c r="D10402" t="s">
        <v>18041</v>
      </c>
      <c r="E10402" t="s">
        <v>27139</v>
      </c>
      <c r="F10402" t="s">
        <v>31574</v>
      </c>
      <c r="G10402" t="s">
        <v>31582</v>
      </c>
      <c r="H10402" t="s">
        <v>31591</v>
      </c>
      <c r="I10402" t="s">
        <v>8822</v>
      </c>
      <c r="J10402" t="s">
        <v>32739</v>
      </c>
      <c r="K10402" t="s">
        <v>41379</v>
      </c>
      <c r="M10402" t="s">
        <v>43597</v>
      </c>
      <c r="N10402" t="s">
        <v>45095</v>
      </c>
      <c r="O10402" t="s">
        <v>45096</v>
      </c>
      <c r="P10402">
        <v>0</v>
      </c>
      <c r="Q10402">
        <v>5</v>
      </c>
      <c r="R10402" t="s">
        <v>45108</v>
      </c>
      <c r="S10402" t="s">
        <v>45434</v>
      </c>
      <c r="T10402" t="s">
        <v>47000</v>
      </c>
      <c r="U10402" t="s">
        <v>56029</v>
      </c>
      <c r="W10402" t="s">
        <v>43597</v>
      </c>
      <c r="X10402" t="s">
        <v>45109</v>
      </c>
    </row>
    <row r="10403" spans="1:24">
      <c r="A10403">
        <f>HYPERLINK("https://www.philgeps.gov.ph/GEPSNONPILOT/Tender/SplashBidNoticeAbstractUI.aspx?menuIndex=3&amp;refID=7028059&amp;Result=3","7028059")</f>
        <v>0</v>
      </c>
      <c r="B10403" t="s">
        <v>366</v>
      </c>
      <c r="C10403" t="s">
        <v>13120</v>
      </c>
      <c r="D10403" t="s">
        <v>18089</v>
      </c>
      <c r="E10403" t="s">
        <v>27140</v>
      </c>
      <c r="F10403" t="s">
        <v>31574</v>
      </c>
      <c r="G10403" t="s">
        <v>31582</v>
      </c>
      <c r="H10403" t="s">
        <v>31590</v>
      </c>
      <c r="I10403" t="s">
        <v>8822</v>
      </c>
      <c r="J10403" t="s">
        <v>38200</v>
      </c>
      <c r="K10403" t="s">
        <v>41192</v>
      </c>
      <c r="M10403" t="s">
        <v>41856</v>
      </c>
      <c r="N10403" t="s">
        <v>45095</v>
      </c>
      <c r="O10403" t="s">
        <v>45096</v>
      </c>
      <c r="P10403">
        <v>0</v>
      </c>
      <c r="Q10403">
        <v>1</v>
      </c>
      <c r="R10403" t="s">
        <v>45108</v>
      </c>
      <c r="S10403" t="s">
        <v>45434</v>
      </c>
      <c r="T10403" t="s">
        <v>46977</v>
      </c>
      <c r="U10403" t="s">
        <v>56030</v>
      </c>
      <c r="W10403" t="s">
        <v>41856</v>
      </c>
      <c r="X10403" t="s">
        <v>45109</v>
      </c>
    </row>
    <row r="10404" spans="1:24">
      <c r="A10404">
        <f>HYPERLINK("https://www.philgeps.gov.ph/GEPSNONPILOT/Tender/SplashBidNoticeAbstractUI.aspx?menuIndex=3&amp;refID=7028010&amp;Result=3","7028010")</f>
        <v>0</v>
      </c>
      <c r="B10404" t="s">
        <v>574</v>
      </c>
      <c r="C10404" t="s">
        <v>13121</v>
      </c>
      <c r="D10404" t="s">
        <v>18040</v>
      </c>
      <c r="E10404" t="s">
        <v>27141</v>
      </c>
      <c r="F10404" t="s">
        <v>31574</v>
      </c>
      <c r="G10404" t="s">
        <v>31582</v>
      </c>
      <c r="H10404" t="s">
        <v>31590</v>
      </c>
      <c r="I10404" t="s">
        <v>31614</v>
      </c>
      <c r="J10404" t="s">
        <v>38201</v>
      </c>
      <c r="K10404" t="s">
        <v>41193</v>
      </c>
      <c r="M10404" t="s">
        <v>42075</v>
      </c>
      <c r="N10404" t="s">
        <v>45095</v>
      </c>
      <c r="O10404" t="s">
        <v>45096</v>
      </c>
      <c r="P10404">
        <v>0</v>
      </c>
      <c r="Q10404">
        <v>3</v>
      </c>
      <c r="R10404" t="s">
        <v>45108</v>
      </c>
      <c r="S10404" t="s">
        <v>45434</v>
      </c>
      <c r="T10404" t="s">
        <v>46943</v>
      </c>
      <c r="U10404" t="s">
        <v>56031</v>
      </c>
      <c r="W10404" t="s">
        <v>42075</v>
      </c>
      <c r="X10404" t="s">
        <v>45109</v>
      </c>
    </row>
    <row r="10405" spans="1:24">
      <c r="A10405">
        <f>HYPERLINK("https://www.philgeps.gov.ph/GEPSNONPILOT/Tender/SplashBidNoticeAbstractUI.aspx?menuIndex=3&amp;refID=7028058&amp;Result=3","7028058")</f>
        <v>0</v>
      </c>
      <c r="B10405" t="s">
        <v>483</v>
      </c>
      <c r="C10405" t="s">
        <v>13122</v>
      </c>
      <c r="D10405" t="s">
        <v>18042</v>
      </c>
      <c r="E10405" t="s">
        <v>27142</v>
      </c>
      <c r="F10405" t="s">
        <v>31574</v>
      </c>
      <c r="G10405" t="s">
        <v>31582</v>
      </c>
      <c r="H10405" t="s">
        <v>31591</v>
      </c>
      <c r="I10405" t="s">
        <v>8822</v>
      </c>
      <c r="J10405" t="s">
        <v>38202</v>
      </c>
      <c r="K10405" t="s">
        <v>41244</v>
      </c>
      <c r="M10405" t="s">
        <v>41979</v>
      </c>
      <c r="N10405" t="s">
        <v>45095</v>
      </c>
      <c r="O10405" t="s">
        <v>45096</v>
      </c>
      <c r="P10405">
        <v>0</v>
      </c>
      <c r="Q10405">
        <v>0</v>
      </c>
      <c r="R10405" t="s">
        <v>45108</v>
      </c>
      <c r="S10405" t="s">
        <v>45434</v>
      </c>
      <c r="T10405" t="s">
        <v>47010</v>
      </c>
      <c r="U10405" t="s">
        <v>56032</v>
      </c>
      <c r="W10405" t="s">
        <v>41979</v>
      </c>
      <c r="X10405" t="s">
        <v>45109</v>
      </c>
    </row>
    <row r="10406" spans="1:24">
      <c r="A10406">
        <f>HYPERLINK("https://www.philgeps.gov.ph/GEPSNONPILOT/Tender/SplashBidNoticeAbstractUI.aspx?menuIndex=3&amp;refID=7028053&amp;Result=3","7028053")</f>
        <v>0</v>
      </c>
      <c r="B10406" t="s">
        <v>981</v>
      </c>
      <c r="C10406" t="s">
        <v>13123</v>
      </c>
      <c r="D10406" t="s">
        <v>18039</v>
      </c>
      <c r="E10406" t="s">
        <v>27143</v>
      </c>
      <c r="F10406" t="s">
        <v>31574</v>
      </c>
      <c r="G10406" t="s">
        <v>31582</v>
      </c>
      <c r="H10406" t="s">
        <v>31591</v>
      </c>
      <c r="I10406" t="s">
        <v>8822</v>
      </c>
      <c r="J10406" t="s">
        <v>31962</v>
      </c>
      <c r="K10406" t="s">
        <v>41192</v>
      </c>
      <c r="M10406" t="s">
        <v>42515</v>
      </c>
      <c r="N10406" t="s">
        <v>45095</v>
      </c>
      <c r="O10406" t="s">
        <v>45096</v>
      </c>
      <c r="P10406">
        <v>0</v>
      </c>
      <c r="Q10406">
        <v>0</v>
      </c>
      <c r="R10406" t="s">
        <v>45108</v>
      </c>
      <c r="S10406" t="s">
        <v>45434</v>
      </c>
      <c r="T10406" t="s">
        <v>46933</v>
      </c>
      <c r="U10406" t="s">
        <v>56033</v>
      </c>
      <c r="W10406" t="s">
        <v>42515</v>
      </c>
      <c r="X10406" t="s">
        <v>45109</v>
      </c>
    </row>
    <row r="10407" spans="1:24">
      <c r="A10407">
        <f>HYPERLINK("https://www.philgeps.gov.ph/GEPSNONPILOT/Tender/SplashBidNoticeAbstractUI.aspx?menuIndex=3&amp;refID=7028009&amp;Result=3","7028009")</f>
        <v>0</v>
      </c>
      <c r="B10407" t="s">
        <v>981</v>
      </c>
      <c r="C10407" t="s">
        <v>13124</v>
      </c>
      <c r="D10407" t="s">
        <v>18039</v>
      </c>
      <c r="E10407" t="s">
        <v>27144</v>
      </c>
      <c r="F10407" t="s">
        <v>31574</v>
      </c>
      <c r="G10407" t="s">
        <v>31582</v>
      </c>
      <c r="H10407" t="s">
        <v>31591</v>
      </c>
      <c r="I10407" t="s">
        <v>8822</v>
      </c>
      <c r="J10407" t="s">
        <v>32232</v>
      </c>
      <c r="K10407" t="s">
        <v>41192</v>
      </c>
      <c r="M10407" t="s">
        <v>42515</v>
      </c>
      <c r="N10407" t="s">
        <v>45095</v>
      </c>
      <c r="O10407" t="s">
        <v>45096</v>
      </c>
      <c r="P10407">
        <v>0</v>
      </c>
      <c r="Q10407">
        <v>0</v>
      </c>
      <c r="R10407" t="s">
        <v>45108</v>
      </c>
      <c r="S10407" t="s">
        <v>45434</v>
      </c>
      <c r="T10407" t="s">
        <v>46933</v>
      </c>
      <c r="U10407" t="s">
        <v>56034</v>
      </c>
      <c r="W10407" t="s">
        <v>42515</v>
      </c>
      <c r="X10407" t="s">
        <v>45109</v>
      </c>
    </row>
    <row r="10408" spans="1:24">
      <c r="A10408">
        <f>HYPERLINK("https://www.philgeps.gov.ph/GEPSNONPILOT/Tender/SplashBidNoticeAbstractUI.aspx?menuIndex=3&amp;refID=7028048&amp;Result=3","7028048")</f>
        <v>0</v>
      </c>
      <c r="B10408" t="s">
        <v>981</v>
      </c>
      <c r="C10408" t="s">
        <v>13125</v>
      </c>
      <c r="D10408" t="s">
        <v>18039</v>
      </c>
      <c r="E10408" t="s">
        <v>27145</v>
      </c>
      <c r="F10408" t="s">
        <v>31574</v>
      </c>
      <c r="G10408" t="s">
        <v>31582</v>
      </c>
      <c r="H10408" t="s">
        <v>31591</v>
      </c>
      <c r="I10408" t="s">
        <v>8822</v>
      </c>
      <c r="J10408" t="s">
        <v>31947</v>
      </c>
      <c r="K10408" t="s">
        <v>41192</v>
      </c>
      <c r="M10408" t="s">
        <v>42515</v>
      </c>
      <c r="N10408" t="s">
        <v>45095</v>
      </c>
      <c r="O10408" t="s">
        <v>45096</v>
      </c>
      <c r="P10408">
        <v>0</v>
      </c>
      <c r="Q10408">
        <v>0</v>
      </c>
      <c r="R10408" t="s">
        <v>45108</v>
      </c>
      <c r="S10408" t="s">
        <v>45434</v>
      </c>
      <c r="T10408" t="s">
        <v>46933</v>
      </c>
      <c r="U10408" t="s">
        <v>56035</v>
      </c>
      <c r="W10408" t="s">
        <v>42515</v>
      </c>
      <c r="X10408" t="s">
        <v>45109</v>
      </c>
    </row>
    <row r="10409" spans="1:24">
      <c r="A10409">
        <f>HYPERLINK("https://www.philgeps.gov.ph/GEPSNONPILOT/Tender/SplashBidNoticeAbstractUI.aspx?menuIndex=3&amp;refID=7028037&amp;Result=3","7028037")</f>
        <v>0</v>
      </c>
      <c r="B10409" t="s">
        <v>1942</v>
      </c>
      <c r="C10409" t="s">
        <v>13126</v>
      </c>
      <c r="D10409" t="s">
        <v>18041</v>
      </c>
      <c r="E10409" t="s">
        <v>27146</v>
      </c>
      <c r="F10409" t="s">
        <v>31574</v>
      </c>
      <c r="G10409" t="s">
        <v>31582</v>
      </c>
      <c r="H10409" t="s">
        <v>31591</v>
      </c>
      <c r="I10409" t="s">
        <v>8822</v>
      </c>
      <c r="J10409" t="s">
        <v>32739</v>
      </c>
      <c r="K10409" t="s">
        <v>41379</v>
      </c>
      <c r="M10409" t="s">
        <v>43597</v>
      </c>
      <c r="N10409" t="s">
        <v>45095</v>
      </c>
      <c r="O10409" t="s">
        <v>45096</v>
      </c>
      <c r="P10409">
        <v>0</v>
      </c>
      <c r="Q10409">
        <v>4</v>
      </c>
      <c r="R10409" t="s">
        <v>45108</v>
      </c>
      <c r="S10409" t="s">
        <v>45434</v>
      </c>
      <c r="T10409" t="s">
        <v>47000</v>
      </c>
      <c r="U10409" t="s">
        <v>56036</v>
      </c>
      <c r="W10409" t="s">
        <v>43597</v>
      </c>
      <c r="X10409" t="s">
        <v>45109</v>
      </c>
    </row>
    <row r="10410" spans="1:24">
      <c r="A10410">
        <f>HYPERLINK("https://www.philgeps.gov.ph/GEPSNONPILOT/Tender/SplashBidNoticeAbstractUI.aspx?menuIndex=3&amp;refID=7028021&amp;Result=3","7028021")</f>
        <v>0</v>
      </c>
      <c r="B10410" t="s">
        <v>2730</v>
      </c>
      <c r="C10410" t="s">
        <v>13127</v>
      </c>
      <c r="E10410" t="s">
        <v>27147</v>
      </c>
      <c r="F10410" t="s">
        <v>31574</v>
      </c>
      <c r="G10410" t="s">
        <v>31582</v>
      </c>
      <c r="H10410" t="s">
        <v>31591</v>
      </c>
      <c r="I10410" t="s">
        <v>8822</v>
      </c>
      <c r="J10410" t="s">
        <v>38203</v>
      </c>
      <c r="K10410" t="s">
        <v>41184</v>
      </c>
      <c r="M10410" t="s">
        <v>44501</v>
      </c>
      <c r="N10410" t="s">
        <v>45095</v>
      </c>
      <c r="O10410" t="s">
        <v>45096</v>
      </c>
      <c r="P10410">
        <v>0</v>
      </c>
      <c r="Q10410">
        <v>0</v>
      </c>
      <c r="R10410" t="s">
        <v>45108</v>
      </c>
      <c r="S10410" t="s">
        <v>45434</v>
      </c>
      <c r="T10410" t="s">
        <v>46963</v>
      </c>
      <c r="U10410" t="s">
        <v>56037</v>
      </c>
      <c r="V10410" t="s">
        <v>60945</v>
      </c>
      <c r="W10410" t="s">
        <v>44501</v>
      </c>
      <c r="X10410" t="s">
        <v>45109</v>
      </c>
    </row>
    <row r="10411" spans="1:24">
      <c r="A10411">
        <f>HYPERLINK("https://www.philgeps.gov.ph/GEPSNONPILOT/Tender/SplashBidNoticeAbstractUI.aspx?menuIndex=3&amp;refID=7028003&amp;Result=3","7028003")</f>
        <v>0</v>
      </c>
      <c r="B10411" t="s">
        <v>1612</v>
      </c>
      <c r="C10411" t="s">
        <v>13128</v>
      </c>
      <c r="D10411" t="s">
        <v>18070</v>
      </c>
      <c r="E10411" t="s">
        <v>27148</v>
      </c>
      <c r="F10411" t="s">
        <v>31574</v>
      </c>
      <c r="G10411" t="s">
        <v>31582</v>
      </c>
      <c r="H10411" t="s">
        <v>31591</v>
      </c>
      <c r="I10411" t="s">
        <v>31641</v>
      </c>
      <c r="J10411" t="s">
        <v>38204</v>
      </c>
      <c r="K10411" t="s">
        <v>41185</v>
      </c>
      <c r="M10411" t="s">
        <v>43217</v>
      </c>
      <c r="N10411" t="s">
        <v>45095</v>
      </c>
      <c r="O10411" t="s">
        <v>45096</v>
      </c>
      <c r="Q10411">
        <v>2</v>
      </c>
      <c r="R10411" t="s">
        <v>45108</v>
      </c>
      <c r="S10411" t="s">
        <v>45445</v>
      </c>
      <c r="T10411" t="s">
        <v>46926</v>
      </c>
      <c r="U10411" t="s">
        <v>51527</v>
      </c>
      <c r="W10411" t="s">
        <v>43217</v>
      </c>
      <c r="X10411" t="s">
        <v>45109</v>
      </c>
    </row>
    <row r="10412" spans="1:24">
      <c r="A10412">
        <f>HYPERLINK("https://www.philgeps.gov.ph/GEPSNONPILOT/Tender/SplashBidNoticeAbstractUI.aspx?menuIndex=3&amp;refID=7028073&amp;Result=3","7028073")</f>
        <v>0</v>
      </c>
      <c r="B10412" t="s">
        <v>483</v>
      </c>
      <c r="C10412" t="s">
        <v>13129</v>
      </c>
      <c r="D10412" t="s">
        <v>18042</v>
      </c>
      <c r="E10412" t="s">
        <v>27149</v>
      </c>
      <c r="F10412" t="s">
        <v>31574</v>
      </c>
      <c r="G10412" t="s">
        <v>31582</v>
      </c>
      <c r="H10412" t="s">
        <v>31591</v>
      </c>
      <c r="I10412" t="s">
        <v>8822</v>
      </c>
      <c r="J10412" t="s">
        <v>32232</v>
      </c>
      <c r="K10412" t="s">
        <v>41206</v>
      </c>
      <c r="M10412" t="s">
        <v>41979</v>
      </c>
      <c r="N10412" t="s">
        <v>45095</v>
      </c>
      <c r="O10412" t="s">
        <v>45096</v>
      </c>
      <c r="P10412">
        <v>0</v>
      </c>
      <c r="Q10412">
        <v>0</v>
      </c>
      <c r="R10412" t="s">
        <v>45108</v>
      </c>
      <c r="S10412" t="s">
        <v>45434</v>
      </c>
      <c r="T10412" t="s">
        <v>47010</v>
      </c>
      <c r="U10412" t="s">
        <v>56038</v>
      </c>
      <c r="W10412" t="s">
        <v>41979</v>
      </c>
      <c r="X10412" t="s">
        <v>45109</v>
      </c>
    </row>
    <row r="10413" spans="1:24">
      <c r="A10413">
        <f>HYPERLINK("https://www.philgeps.gov.ph/GEPSNONPILOT/Tender/SplashBidNoticeAbstractUI.aspx?menuIndex=3&amp;refID=7028074&amp;Result=3","7028074")</f>
        <v>0</v>
      </c>
      <c r="B10413" t="s">
        <v>2735</v>
      </c>
      <c r="C10413" t="s">
        <v>13130</v>
      </c>
      <c r="D10413" t="s">
        <v>18060</v>
      </c>
      <c r="E10413" t="s">
        <v>23838</v>
      </c>
      <c r="F10413" t="s">
        <v>31574</v>
      </c>
      <c r="G10413" t="s">
        <v>31582</v>
      </c>
      <c r="H10413" t="s">
        <v>31591</v>
      </c>
      <c r="I10413" t="s">
        <v>8822</v>
      </c>
      <c r="J10413" t="s">
        <v>38205</v>
      </c>
      <c r="K10413" t="s">
        <v>41200</v>
      </c>
      <c r="M10413" t="s">
        <v>44506</v>
      </c>
      <c r="N10413" t="s">
        <v>45095</v>
      </c>
      <c r="O10413" t="s">
        <v>45096</v>
      </c>
      <c r="P10413">
        <v>0</v>
      </c>
      <c r="Q10413">
        <v>4</v>
      </c>
      <c r="R10413" t="s">
        <v>45108</v>
      </c>
      <c r="S10413" t="s">
        <v>45434</v>
      </c>
      <c r="T10413" t="s">
        <v>46996</v>
      </c>
      <c r="U10413" t="s">
        <v>56039</v>
      </c>
      <c r="W10413" t="s">
        <v>44506</v>
      </c>
      <c r="X10413" t="s">
        <v>45109</v>
      </c>
    </row>
    <row r="10414" spans="1:24">
      <c r="A10414">
        <f>HYPERLINK("https://www.philgeps.gov.ph/GEPSNONPILOT/Tender/SplashBidNoticeAbstractUI.aspx?menuIndex=3&amp;refID=7028024&amp;Result=3","7028024")</f>
        <v>0</v>
      </c>
      <c r="B10414" t="s">
        <v>2735</v>
      </c>
      <c r="C10414" t="s">
        <v>13131</v>
      </c>
      <c r="D10414" t="s">
        <v>18060</v>
      </c>
      <c r="E10414" t="s">
        <v>23831</v>
      </c>
      <c r="F10414" t="s">
        <v>31574</v>
      </c>
      <c r="G10414" t="s">
        <v>31582</v>
      </c>
      <c r="H10414" t="s">
        <v>31591</v>
      </c>
      <c r="I10414" t="s">
        <v>8822</v>
      </c>
      <c r="J10414" t="s">
        <v>38206</v>
      </c>
      <c r="K10414" t="s">
        <v>41256</v>
      </c>
      <c r="M10414" t="s">
        <v>44506</v>
      </c>
      <c r="N10414" t="s">
        <v>45095</v>
      </c>
      <c r="O10414" t="s">
        <v>45096</v>
      </c>
      <c r="P10414">
        <v>0</v>
      </c>
      <c r="Q10414">
        <v>2</v>
      </c>
      <c r="R10414" t="s">
        <v>45108</v>
      </c>
      <c r="S10414" t="s">
        <v>45434</v>
      </c>
      <c r="T10414" t="s">
        <v>46966</v>
      </c>
      <c r="U10414" t="s">
        <v>56040</v>
      </c>
      <c r="W10414" t="s">
        <v>44506</v>
      </c>
      <c r="X10414" t="s">
        <v>45109</v>
      </c>
    </row>
    <row r="10415" spans="1:24">
      <c r="A10415">
        <f>HYPERLINK("https://www.philgeps.gov.ph/GEPSNONPILOT/Tender/SplashBidNoticeAbstractUI.aspx?menuIndex=3&amp;refID=7028013&amp;Result=3","7028013")</f>
        <v>0</v>
      </c>
      <c r="B10415" t="s">
        <v>1942</v>
      </c>
      <c r="C10415" t="s">
        <v>13132</v>
      </c>
      <c r="D10415" t="s">
        <v>18041</v>
      </c>
      <c r="E10415" t="s">
        <v>27150</v>
      </c>
      <c r="F10415" t="s">
        <v>31574</v>
      </c>
      <c r="G10415" t="s">
        <v>31582</v>
      </c>
      <c r="H10415" t="s">
        <v>31591</v>
      </c>
      <c r="I10415" t="s">
        <v>8822</v>
      </c>
      <c r="J10415" t="s">
        <v>32739</v>
      </c>
      <c r="K10415" t="s">
        <v>41379</v>
      </c>
      <c r="M10415" t="s">
        <v>43597</v>
      </c>
      <c r="N10415" t="s">
        <v>45095</v>
      </c>
      <c r="O10415" t="s">
        <v>45096</v>
      </c>
      <c r="P10415">
        <v>0</v>
      </c>
      <c r="Q10415">
        <v>5</v>
      </c>
      <c r="R10415" t="s">
        <v>45108</v>
      </c>
      <c r="S10415" t="s">
        <v>45434</v>
      </c>
      <c r="T10415" t="s">
        <v>47000</v>
      </c>
      <c r="U10415" t="s">
        <v>56041</v>
      </c>
      <c r="W10415" t="s">
        <v>43597</v>
      </c>
      <c r="X10415" t="s">
        <v>45109</v>
      </c>
    </row>
    <row r="10416" spans="1:24">
      <c r="A10416">
        <f>HYPERLINK("https://www.philgeps.gov.ph/GEPSNONPILOT/Tender/SplashBidNoticeAbstractUI.aspx?menuIndex=3&amp;refID=7028078&amp;Result=3","7028078")</f>
        <v>0</v>
      </c>
      <c r="B10416" t="s">
        <v>2733</v>
      </c>
      <c r="C10416" t="s">
        <v>13133</v>
      </c>
      <c r="D10416" t="s">
        <v>18033</v>
      </c>
      <c r="E10416" t="s">
        <v>27151</v>
      </c>
      <c r="F10416" t="s">
        <v>31574</v>
      </c>
      <c r="G10416" t="s">
        <v>31582</v>
      </c>
      <c r="H10416" t="s">
        <v>31590</v>
      </c>
      <c r="I10416" t="s">
        <v>4046</v>
      </c>
      <c r="J10416" t="s">
        <v>38207</v>
      </c>
      <c r="K10416" t="s">
        <v>41186</v>
      </c>
      <c r="M10416" t="s">
        <v>44507</v>
      </c>
      <c r="N10416" t="s">
        <v>45095</v>
      </c>
      <c r="O10416" t="s">
        <v>45096</v>
      </c>
      <c r="P10416">
        <v>0</v>
      </c>
      <c r="Q10416">
        <v>2</v>
      </c>
      <c r="R10416" t="s">
        <v>45108</v>
      </c>
      <c r="S10416" t="s">
        <v>45434</v>
      </c>
      <c r="T10416" t="s">
        <v>47183</v>
      </c>
      <c r="U10416" t="s">
        <v>56042</v>
      </c>
      <c r="W10416" t="s">
        <v>61752</v>
      </c>
      <c r="X10416" t="s">
        <v>45109</v>
      </c>
    </row>
    <row r="10417" spans="1:24">
      <c r="A10417">
        <f>HYPERLINK("https://www.philgeps.gov.ph/GEPSNONPILOT/Tender/SplashBidNoticeAbstractUI.aspx?menuIndex=3&amp;refID=7028075&amp;Result=3","7028075")</f>
        <v>0</v>
      </c>
      <c r="B10417" t="s">
        <v>981</v>
      </c>
      <c r="C10417" t="s">
        <v>13134</v>
      </c>
      <c r="D10417" t="s">
        <v>18039</v>
      </c>
      <c r="E10417" t="s">
        <v>27152</v>
      </c>
      <c r="F10417" t="s">
        <v>31574</v>
      </c>
      <c r="G10417" t="s">
        <v>31582</v>
      </c>
      <c r="H10417" t="s">
        <v>31591</v>
      </c>
      <c r="I10417" t="s">
        <v>8822</v>
      </c>
      <c r="J10417" t="s">
        <v>31962</v>
      </c>
      <c r="K10417" t="s">
        <v>41192</v>
      </c>
      <c r="M10417" t="s">
        <v>42515</v>
      </c>
      <c r="N10417" t="s">
        <v>45095</v>
      </c>
      <c r="O10417" t="s">
        <v>45096</v>
      </c>
      <c r="P10417">
        <v>0</v>
      </c>
      <c r="Q10417">
        <v>0</v>
      </c>
      <c r="R10417" t="s">
        <v>45108</v>
      </c>
      <c r="S10417" t="s">
        <v>45434</v>
      </c>
      <c r="T10417" t="s">
        <v>46933</v>
      </c>
      <c r="U10417" t="s">
        <v>56033</v>
      </c>
      <c r="W10417" t="s">
        <v>42515</v>
      </c>
      <c r="X10417" t="s">
        <v>45109</v>
      </c>
    </row>
    <row r="10418" spans="1:24">
      <c r="A10418">
        <f>HYPERLINK("https://www.philgeps.gov.ph/GEPSNONPILOT/Tender/SplashBidNoticeAbstractUI.aspx?menuIndex=3&amp;refID=7028000&amp;Result=3","7028000")</f>
        <v>0</v>
      </c>
      <c r="B10418" t="s">
        <v>247</v>
      </c>
      <c r="C10418" t="s">
        <v>13135</v>
      </c>
      <c r="D10418" t="s">
        <v>18072</v>
      </c>
      <c r="E10418" t="s">
        <v>24377</v>
      </c>
      <c r="F10418" t="s">
        <v>31575</v>
      </c>
      <c r="G10418" t="s">
        <v>31582</v>
      </c>
      <c r="H10418" t="s">
        <v>31590</v>
      </c>
      <c r="I10418" t="s">
        <v>4046</v>
      </c>
      <c r="J10418" t="s">
        <v>32019</v>
      </c>
      <c r="K10418" t="s">
        <v>41189</v>
      </c>
      <c r="M10418" t="s">
        <v>41733</v>
      </c>
      <c r="N10418" t="s">
        <v>45095</v>
      </c>
      <c r="O10418" t="s">
        <v>45096</v>
      </c>
      <c r="P10418">
        <v>0</v>
      </c>
      <c r="Q10418">
        <v>0</v>
      </c>
      <c r="R10418" t="s">
        <v>45108</v>
      </c>
      <c r="S10418" t="s">
        <v>45434</v>
      </c>
      <c r="T10418" t="s">
        <v>46918</v>
      </c>
      <c r="U10418" t="s">
        <v>56043</v>
      </c>
      <c r="W10418" t="s">
        <v>41733</v>
      </c>
      <c r="X10418" t="s">
        <v>45109</v>
      </c>
    </row>
    <row r="10419" spans="1:24">
      <c r="A10419">
        <f>HYPERLINK("https://www.philgeps.gov.ph/GEPSNONPILOT/Tender/SplashBidNoticeAbstractUI.aspx?menuIndex=3&amp;refID=7028182&amp;Result=3","7028182")</f>
        <v>0</v>
      </c>
      <c r="B10419" t="s">
        <v>326</v>
      </c>
      <c r="C10419" t="s">
        <v>13136</v>
      </c>
      <c r="D10419" t="s">
        <v>18050</v>
      </c>
      <c r="E10419" t="s">
        <v>27153</v>
      </c>
      <c r="F10419" t="s">
        <v>31574</v>
      </c>
      <c r="G10419" t="s">
        <v>31582</v>
      </c>
      <c r="H10419" t="s">
        <v>31590</v>
      </c>
      <c r="I10419" t="s">
        <v>3539</v>
      </c>
      <c r="J10419" t="s">
        <v>38208</v>
      </c>
      <c r="K10419" t="s">
        <v>41196</v>
      </c>
      <c r="M10419" t="s">
        <v>41814</v>
      </c>
      <c r="N10419" t="s">
        <v>45095</v>
      </c>
      <c r="O10419" t="s">
        <v>45096</v>
      </c>
      <c r="P10419">
        <v>0</v>
      </c>
      <c r="Q10419">
        <v>0</v>
      </c>
      <c r="R10419" t="s">
        <v>45108</v>
      </c>
      <c r="S10419" t="s">
        <v>45434</v>
      </c>
      <c r="T10419" t="s">
        <v>47076</v>
      </c>
      <c r="U10419" t="s">
        <v>56044</v>
      </c>
      <c r="W10419" t="s">
        <v>41814</v>
      </c>
      <c r="X10419" t="s">
        <v>45109</v>
      </c>
    </row>
    <row r="10420" spans="1:24">
      <c r="A10420">
        <f>HYPERLINK("https://www.philgeps.gov.ph/GEPSNONPILOT/Tender/SplashBidNoticeAbstractUI.aspx?menuIndex=3&amp;refID=7028171&amp;Result=3","7028171")</f>
        <v>0</v>
      </c>
      <c r="B10420" t="s">
        <v>290</v>
      </c>
      <c r="C10420" t="s">
        <v>13137</v>
      </c>
      <c r="D10420" t="s">
        <v>18043</v>
      </c>
      <c r="E10420" t="s">
        <v>27154</v>
      </c>
      <c r="F10420" t="s">
        <v>31574</v>
      </c>
      <c r="G10420" t="s">
        <v>31581</v>
      </c>
      <c r="H10420" t="s">
        <v>31590</v>
      </c>
      <c r="I10420" t="s">
        <v>31617</v>
      </c>
      <c r="J10420" t="s">
        <v>35677</v>
      </c>
      <c r="K10420" t="s">
        <v>41193</v>
      </c>
      <c r="M10420" t="s">
        <v>41776</v>
      </c>
      <c r="N10420" t="s">
        <v>45095</v>
      </c>
      <c r="O10420" t="s">
        <v>45096</v>
      </c>
      <c r="P10420">
        <v>0</v>
      </c>
      <c r="Q10420">
        <v>0</v>
      </c>
      <c r="R10420" t="s">
        <v>45108</v>
      </c>
      <c r="S10420" t="s">
        <v>45434</v>
      </c>
      <c r="T10420" t="s">
        <v>47159</v>
      </c>
      <c r="U10420" t="s">
        <v>48030</v>
      </c>
      <c r="W10420" t="s">
        <v>41776</v>
      </c>
      <c r="X10420" t="s">
        <v>45109</v>
      </c>
    </row>
    <row r="10421" spans="1:24">
      <c r="A10421">
        <f>HYPERLINK("https://www.philgeps.gov.ph/GEPSNONPILOT/Tender/SplashBidNoticeAbstractUI.aspx?menuIndex=3&amp;refID=7028089&amp;Result=3","7028089")</f>
        <v>0</v>
      </c>
      <c r="B10421" t="s">
        <v>2735</v>
      </c>
      <c r="C10421" t="s">
        <v>13138</v>
      </c>
      <c r="D10421" t="s">
        <v>18060</v>
      </c>
      <c r="E10421" t="s">
        <v>27155</v>
      </c>
      <c r="F10421" t="s">
        <v>31574</v>
      </c>
      <c r="G10421" t="s">
        <v>31582</v>
      </c>
      <c r="H10421" t="s">
        <v>31591</v>
      </c>
      <c r="I10421" t="s">
        <v>8822</v>
      </c>
      <c r="J10421" t="s">
        <v>38209</v>
      </c>
      <c r="K10421" t="s">
        <v>41311</v>
      </c>
      <c r="M10421" t="s">
        <v>44506</v>
      </c>
      <c r="N10421" t="s">
        <v>45095</v>
      </c>
      <c r="O10421" t="s">
        <v>45096</v>
      </c>
      <c r="P10421">
        <v>0</v>
      </c>
      <c r="Q10421">
        <v>5</v>
      </c>
      <c r="R10421" t="s">
        <v>45108</v>
      </c>
      <c r="S10421" t="s">
        <v>45434</v>
      </c>
      <c r="T10421" t="s">
        <v>46941</v>
      </c>
      <c r="U10421" t="s">
        <v>56045</v>
      </c>
      <c r="W10421" t="s">
        <v>44506</v>
      </c>
      <c r="X10421" t="s">
        <v>45109</v>
      </c>
    </row>
    <row r="10422" spans="1:24">
      <c r="A10422">
        <f>HYPERLINK("https://www.philgeps.gov.ph/GEPSNONPILOT/Tender/SplashBidNoticeAbstractUI.aspx?menuIndex=3&amp;refID=7028172&amp;Result=3","7028172")</f>
        <v>0</v>
      </c>
      <c r="B10422" t="s">
        <v>247</v>
      </c>
      <c r="C10422" t="s">
        <v>13139</v>
      </c>
      <c r="D10422" t="s">
        <v>18072</v>
      </c>
      <c r="E10422" t="s">
        <v>27156</v>
      </c>
      <c r="F10422" t="s">
        <v>31575</v>
      </c>
      <c r="G10422" t="s">
        <v>31582</v>
      </c>
      <c r="H10422" t="s">
        <v>31590</v>
      </c>
      <c r="I10422" t="s">
        <v>31607</v>
      </c>
      <c r="J10422" t="s">
        <v>31947</v>
      </c>
      <c r="K10422" t="s">
        <v>41186</v>
      </c>
      <c r="M10422" t="s">
        <v>41733</v>
      </c>
      <c r="N10422" t="s">
        <v>45095</v>
      </c>
      <c r="O10422" t="s">
        <v>45096</v>
      </c>
      <c r="P10422">
        <v>0</v>
      </c>
      <c r="Q10422">
        <v>0</v>
      </c>
      <c r="R10422" t="s">
        <v>45108</v>
      </c>
      <c r="S10422" t="s">
        <v>45434</v>
      </c>
      <c r="T10422" t="s">
        <v>46918</v>
      </c>
      <c r="U10422" t="s">
        <v>56046</v>
      </c>
      <c r="W10422" t="s">
        <v>41733</v>
      </c>
      <c r="X10422" t="s">
        <v>45109</v>
      </c>
    </row>
    <row r="10423" spans="1:24">
      <c r="A10423">
        <f>HYPERLINK("https://www.philgeps.gov.ph/GEPSNONPILOT/Tender/SplashBidNoticeAbstractUI.aspx?menuIndex=3&amp;refID=7028121&amp;Result=3","7028121")</f>
        <v>0</v>
      </c>
      <c r="B10423" t="s">
        <v>483</v>
      </c>
      <c r="C10423" t="s">
        <v>13140</v>
      </c>
      <c r="D10423" t="s">
        <v>18042</v>
      </c>
      <c r="E10423" t="s">
        <v>27157</v>
      </c>
      <c r="F10423" t="s">
        <v>31574</v>
      </c>
      <c r="G10423" t="s">
        <v>31582</v>
      </c>
      <c r="H10423" t="s">
        <v>31591</v>
      </c>
      <c r="I10423" t="s">
        <v>8822</v>
      </c>
      <c r="J10423" t="s">
        <v>31935</v>
      </c>
      <c r="K10423" t="s">
        <v>41293</v>
      </c>
      <c r="M10423" t="s">
        <v>41979</v>
      </c>
      <c r="N10423" t="s">
        <v>45095</v>
      </c>
      <c r="O10423" t="s">
        <v>45096</v>
      </c>
      <c r="P10423">
        <v>0</v>
      </c>
      <c r="Q10423">
        <v>0</v>
      </c>
      <c r="R10423" t="s">
        <v>45108</v>
      </c>
      <c r="S10423" t="s">
        <v>45434</v>
      </c>
      <c r="T10423" t="s">
        <v>47010</v>
      </c>
      <c r="U10423" t="s">
        <v>56047</v>
      </c>
      <c r="W10423" t="s">
        <v>41979</v>
      </c>
      <c r="X10423" t="s">
        <v>45109</v>
      </c>
    </row>
    <row r="10424" spans="1:24">
      <c r="A10424">
        <f>HYPERLINK("https://www.philgeps.gov.ph/GEPSNONPILOT/Tender/SplashBidNoticeAbstractUI.aspx?menuIndex=3&amp;refID=7028161&amp;Result=3","7028161")</f>
        <v>0</v>
      </c>
      <c r="B10424" t="s">
        <v>2736</v>
      </c>
      <c r="C10424" t="s">
        <v>13141</v>
      </c>
      <c r="D10424" t="s">
        <v>18049</v>
      </c>
      <c r="E10424" t="s">
        <v>23271</v>
      </c>
      <c r="F10424" t="s">
        <v>31574</v>
      </c>
      <c r="G10424" t="s">
        <v>31582</v>
      </c>
      <c r="H10424" t="s">
        <v>31591</v>
      </c>
      <c r="I10424" t="s">
        <v>8822</v>
      </c>
      <c r="J10424" t="s">
        <v>38210</v>
      </c>
      <c r="K10424" t="s">
        <v>41240</v>
      </c>
      <c r="M10424" t="s">
        <v>44508</v>
      </c>
      <c r="N10424" t="s">
        <v>45095</v>
      </c>
      <c r="O10424" t="s">
        <v>45096</v>
      </c>
      <c r="P10424">
        <v>0</v>
      </c>
      <c r="Q10424">
        <v>0</v>
      </c>
      <c r="R10424" t="s">
        <v>45108</v>
      </c>
      <c r="S10424" t="s">
        <v>45434</v>
      </c>
      <c r="T10424" t="s">
        <v>46921</v>
      </c>
      <c r="U10424" t="s">
        <v>56048</v>
      </c>
      <c r="V10424" t="s">
        <v>60947</v>
      </c>
      <c r="W10424" t="s">
        <v>44508</v>
      </c>
      <c r="X10424" t="s">
        <v>45109</v>
      </c>
    </row>
    <row r="10425" spans="1:24">
      <c r="A10425">
        <f>HYPERLINK("https://www.philgeps.gov.ph/GEPSNONPILOT/Tender/SplashBidNoticeAbstractUI.aspx?menuIndex=3&amp;refID=7028176&amp;Result=3","7028176")</f>
        <v>0</v>
      </c>
      <c r="B10425" t="s">
        <v>2737</v>
      </c>
      <c r="C10425" t="s">
        <v>13142</v>
      </c>
      <c r="E10425" t="s">
        <v>27158</v>
      </c>
      <c r="F10425" t="s">
        <v>31574</v>
      </c>
      <c r="G10425" t="s">
        <v>31582</v>
      </c>
      <c r="H10425" t="s">
        <v>31590</v>
      </c>
      <c r="I10425" t="s">
        <v>8258</v>
      </c>
      <c r="J10425" t="s">
        <v>38211</v>
      </c>
      <c r="K10425" t="s">
        <v>41184</v>
      </c>
      <c r="M10425" t="s">
        <v>44509</v>
      </c>
      <c r="N10425" t="s">
        <v>45095</v>
      </c>
      <c r="O10425" t="s">
        <v>45096</v>
      </c>
      <c r="P10425">
        <v>0</v>
      </c>
      <c r="Q10425">
        <v>20</v>
      </c>
      <c r="R10425" t="s">
        <v>45108</v>
      </c>
      <c r="S10425" t="s">
        <v>45434</v>
      </c>
      <c r="T10425" t="s">
        <v>47010</v>
      </c>
      <c r="U10425" t="s">
        <v>56049</v>
      </c>
      <c r="W10425" t="s">
        <v>61753</v>
      </c>
      <c r="X10425" t="s">
        <v>45109</v>
      </c>
    </row>
    <row r="10426" spans="1:24">
      <c r="A10426">
        <f>HYPERLINK("https://www.philgeps.gov.ph/GEPSNONPILOT/Tender/SplashBidNoticeAbstractUI.aspx?menuIndex=3&amp;refID=7028001&amp;Result=3","7028001")</f>
        <v>0</v>
      </c>
      <c r="B10426" t="s">
        <v>981</v>
      </c>
      <c r="C10426" t="s">
        <v>13143</v>
      </c>
      <c r="D10426" t="s">
        <v>18039</v>
      </c>
      <c r="E10426" t="s">
        <v>27159</v>
      </c>
      <c r="F10426" t="s">
        <v>31574</v>
      </c>
      <c r="G10426" t="s">
        <v>31582</v>
      </c>
      <c r="H10426" t="s">
        <v>31591</v>
      </c>
      <c r="I10426" t="s">
        <v>8822</v>
      </c>
      <c r="J10426" t="s">
        <v>32232</v>
      </c>
      <c r="K10426" t="s">
        <v>41192</v>
      </c>
      <c r="M10426" t="s">
        <v>42515</v>
      </c>
      <c r="N10426" t="s">
        <v>45095</v>
      </c>
      <c r="O10426" t="s">
        <v>45096</v>
      </c>
      <c r="P10426">
        <v>0</v>
      </c>
      <c r="Q10426">
        <v>0</v>
      </c>
      <c r="R10426" t="s">
        <v>45108</v>
      </c>
      <c r="S10426" t="s">
        <v>45434</v>
      </c>
      <c r="T10426" t="s">
        <v>46933</v>
      </c>
      <c r="U10426" t="s">
        <v>56034</v>
      </c>
      <c r="W10426" t="s">
        <v>42515</v>
      </c>
      <c r="X10426" t="s">
        <v>45109</v>
      </c>
    </row>
    <row r="10427" spans="1:24">
      <c r="A10427">
        <f>HYPERLINK("https://www.philgeps.gov.ph/GEPSNONPILOT/Tender/SplashBidNoticeAbstractUI.aspx?menuIndex=3&amp;refID=7028206&amp;Result=3","7028206")</f>
        <v>0</v>
      </c>
      <c r="B10427" t="s">
        <v>290</v>
      </c>
      <c r="C10427" t="s">
        <v>13144</v>
      </c>
      <c r="D10427" t="s">
        <v>18043</v>
      </c>
      <c r="E10427" t="s">
        <v>27160</v>
      </c>
      <c r="F10427" t="s">
        <v>31574</v>
      </c>
      <c r="G10427" t="s">
        <v>31581</v>
      </c>
      <c r="H10427" t="s">
        <v>31590</v>
      </c>
      <c r="I10427" t="s">
        <v>31711</v>
      </c>
      <c r="J10427" t="s">
        <v>38212</v>
      </c>
      <c r="K10427" t="s">
        <v>41193</v>
      </c>
      <c r="M10427" t="s">
        <v>41776</v>
      </c>
      <c r="N10427" t="s">
        <v>45095</v>
      </c>
      <c r="O10427" t="s">
        <v>45096</v>
      </c>
      <c r="P10427">
        <v>0</v>
      </c>
      <c r="Q10427">
        <v>6</v>
      </c>
      <c r="R10427" t="s">
        <v>45108</v>
      </c>
      <c r="S10427" t="s">
        <v>45434</v>
      </c>
      <c r="T10427" t="s">
        <v>47159</v>
      </c>
      <c r="U10427" t="s">
        <v>48030</v>
      </c>
      <c r="W10427" t="s">
        <v>41776</v>
      </c>
      <c r="X10427" t="s">
        <v>45109</v>
      </c>
    </row>
    <row r="10428" spans="1:24">
      <c r="A10428">
        <f>HYPERLINK("https://www.philgeps.gov.ph/GEPSNONPILOT/Tender/SplashBidNoticeAbstractUI.aspx?menuIndex=3&amp;refID=7028146&amp;Result=3","7028146")</f>
        <v>0</v>
      </c>
      <c r="B10428" t="s">
        <v>1405</v>
      </c>
      <c r="C10428" t="s">
        <v>13145</v>
      </c>
      <c r="E10428" t="s">
        <v>27161</v>
      </c>
      <c r="F10428" t="s">
        <v>31574</v>
      </c>
      <c r="G10428" t="s">
        <v>31582</v>
      </c>
      <c r="H10428" t="s">
        <v>31590</v>
      </c>
      <c r="I10428" t="s">
        <v>31608</v>
      </c>
      <c r="J10428" t="s">
        <v>33827</v>
      </c>
      <c r="K10428" t="s">
        <v>41184</v>
      </c>
      <c r="M10428" t="s">
        <v>42980</v>
      </c>
      <c r="N10428" t="s">
        <v>45095</v>
      </c>
      <c r="O10428" t="s">
        <v>45096</v>
      </c>
      <c r="Q10428">
        <v>8</v>
      </c>
      <c r="R10428" t="s">
        <v>45108</v>
      </c>
      <c r="S10428" t="s">
        <v>45446</v>
      </c>
      <c r="T10428" t="s">
        <v>47265</v>
      </c>
      <c r="U10428" t="s">
        <v>56050</v>
      </c>
      <c r="W10428" t="s">
        <v>61700</v>
      </c>
      <c r="X10428" t="s">
        <v>45109</v>
      </c>
    </row>
    <row r="10429" spans="1:24">
      <c r="A10429">
        <f>HYPERLINK("https://www.philgeps.gov.ph/GEPSNONPILOT/Tender/SplashBidNoticeAbstractUI.aspx?menuIndex=3&amp;refID=7027994&amp;Result=3","7027994")</f>
        <v>0</v>
      </c>
      <c r="B10429" t="s">
        <v>981</v>
      </c>
      <c r="C10429" t="s">
        <v>13146</v>
      </c>
      <c r="D10429" t="s">
        <v>18039</v>
      </c>
      <c r="E10429" t="s">
        <v>27162</v>
      </c>
      <c r="F10429" t="s">
        <v>31574</v>
      </c>
      <c r="G10429" t="s">
        <v>31582</v>
      </c>
      <c r="H10429" t="s">
        <v>31591</v>
      </c>
      <c r="I10429" t="s">
        <v>8822</v>
      </c>
      <c r="J10429" t="s">
        <v>32019</v>
      </c>
      <c r="K10429" t="s">
        <v>41192</v>
      </c>
      <c r="M10429" t="s">
        <v>42515</v>
      </c>
      <c r="N10429" t="s">
        <v>45095</v>
      </c>
      <c r="O10429" t="s">
        <v>45096</v>
      </c>
      <c r="P10429">
        <v>0</v>
      </c>
      <c r="Q10429">
        <v>0</v>
      </c>
      <c r="R10429" t="s">
        <v>45108</v>
      </c>
      <c r="S10429" t="s">
        <v>45434</v>
      </c>
      <c r="T10429" t="s">
        <v>46933</v>
      </c>
      <c r="U10429" t="s">
        <v>56027</v>
      </c>
      <c r="W10429" t="s">
        <v>42515</v>
      </c>
      <c r="X10429" t="s">
        <v>45109</v>
      </c>
    </row>
    <row r="10430" spans="1:24">
      <c r="A10430">
        <f>HYPERLINK("https://www.philgeps.gov.ph/GEPSNONPILOT/Tender/SplashBidNoticeAbstractUI.aspx?menuIndex=3&amp;refID=7028223&amp;Result=3","7028223")</f>
        <v>0</v>
      </c>
      <c r="B10430" t="s">
        <v>247</v>
      </c>
      <c r="C10430" t="s">
        <v>13147</v>
      </c>
      <c r="D10430" t="s">
        <v>18072</v>
      </c>
      <c r="E10430" t="s">
        <v>27163</v>
      </c>
      <c r="F10430" t="s">
        <v>31575</v>
      </c>
      <c r="G10430" t="s">
        <v>31582</v>
      </c>
      <c r="H10430" t="s">
        <v>31590</v>
      </c>
      <c r="I10430" t="s">
        <v>4046</v>
      </c>
      <c r="J10430" t="s">
        <v>31947</v>
      </c>
      <c r="K10430" t="s">
        <v>41189</v>
      </c>
      <c r="M10430" t="s">
        <v>41733</v>
      </c>
      <c r="N10430" t="s">
        <v>45095</v>
      </c>
      <c r="O10430" t="s">
        <v>45096</v>
      </c>
      <c r="P10430">
        <v>0</v>
      </c>
      <c r="Q10430">
        <v>0</v>
      </c>
      <c r="R10430" t="s">
        <v>45108</v>
      </c>
      <c r="S10430" t="s">
        <v>45434</v>
      </c>
      <c r="T10430" t="s">
        <v>46918</v>
      </c>
      <c r="U10430" t="s">
        <v>56051</v>
      </c>
      <c r="W10430" t="s">
        <v>41733</v>
      </c>
      <c r="X10430" t="s">
        <v>45109</v>
      </c>
    </row>
    <row r="10431" spans="1:24">
      <c r="A10431">
        <f>HYPERLINK("https://www.philgeps.gov.ph/GEPSNONPILOT/Tender/SplashBidNoticeAbstractUI.aspx?menuIndex=3&amp;refID=7028133&amp;Result=3","7028133")</f>
        <v>0</v>
      </c>
      <c r="B10431" t="s">
        <v>247</v>
      </c>
      <c r="C10431" t="s">
        <v>13148</v>
      </c>
      <c r="D10431" t="s">
        <v>18072</v>
      </c>
      <c r="E10431" t="s">
        <v>27164</v>
      </c>
      <c r="F10431" t="s">
        <v>31575</v>
      </c>
      <c r="G10431" t="s">
        <v>31582</v>
      </c>
      <c r="H10431" t="s">
        <v>31590</v>
      </c>
      <c r="I10431" t="s">
        <v>4046</v>
      </c>
      <c r="J10431" t="s">
        <v>38213</v>
      </c>
      <c r="K10431" t="s">
        <v>41192</v>
      </c>
      <c r="M10431" t="s">
        <v>41733</v>
      </c>
      <c r="N10431" t="s">
        <v>45095</v>
      </c>
      <c r="O10431" t="s">
        <v>45096</v>
      </c>
      <c r="P10431">
        <v>0</v>
      </c>
      <c r="Q10431">
        <v>0</v>
      </c>
      <c r="R10431" t="s">
        <v>45108</v>
      </c>
      <c r="S10431" t="s">
        <v>45434</v>
      </c>
      <c r="T10431" t="s">
        <v>46918</v>
      </c>
      <c r="U10431" t="s">
        <v>56052</v>
      </c>
      <c r="W10431" t="s">
        <v>41733</v>
      </c>
      <c r="X10431" t="s">
        <v>45109</v>
      </c>
    </row>
    <row r="10432" spans="1:24">
      <c r="A10432">
        <f>HYPERLINK("https://www.philgeps.gov.ph/GEPSNONPILOT/Tender/SplashBidNoticeAbstractUI.aspx?menuIndex=3&amp;refID=7028210&amp;Result=3","7028210")</f>
        <v>0</v>
      </c>
      <c r="B10432" t="s">
        <v>326</v>
      </c>
      <c r="C10432" t="s">
        <v>13149</v>
      </c>
      <c r="D10432" t="s">
        <v>18050</v>
      </c>
      <c r="E10432" t="s">
        <v>27165</v>
      </c>
      <c r="F10432" t="s">
        <v>31574</v>
      </c>
      <c r="G10432" t="s">
        <v>31582</v>
      </c>
      <c r="H10432" t="s">
        <v>31590</v>
      </c>
      <c r="I10432" t="s">
        <v>31599</v>
      </c>
      <c r="J10432" t="s">
        <v>31947</v>
      </c>
      <c r="K10432" t="s">
        <v>41196</v>
      </c>
      <c r="M10432" t="s">
        <v>41814</v>
      </c>
      <c r="N10432" t="s">
        <v>45095</v>
      </c>
      <c r="O10432" t="s">
        <v>45096</v>
      </c>
      <c r="P10432">
        <v>0</v>
      </c>
      <c r="Q10432">
        <v>2</v>
      </c>
      <c r="R10432" t="s">
        <v>45108</v>
      </c>
      <c r="S10432" t="s">
        <v>45434</v>
      </c>
      <c r="T10432" t="s">
        <v>47076</v>
      </c>
      <c r="U10432" t="s">
        <v>56053</v>
      </c>
      <c r="W10432" t="s">
        <v>41814</v>
      </c>
      <c r="X10432" t="s">
        <v>45109</v>
      </c>
    </row>
    <row r="10433" spans="1:24">
      <c r="A10433">
        <f>HYPERLINK("https://www.philgeps.gov.ph/GEPSNONPILOT/Tender/SplashBidNoticeAbstractUI.aspx?menuIndex=3&amp;refID=7028212&amp;Result=3","7028212")</f>
        <v>0</v>
      </c>
      <c r="B10433" t="s">
        <v>1942</v>
      </c>
      <c r="C10433" t="s">
        <v>13150</v>
      </c>
      <c r="D10433" t="s">
        <v>18041</v>
      </c>
      <c r="E10433" t="s">
        <v>27166</v>
      </c>
      <c r="F10433" t="s">
        <v>31574</v>
      </c>
      <c r="G10433" t="s">
        <v>31582</v>
      </c>
      <c r="H10433" t="s">
        <v>31591</v>
      </c>
      <c r="I10433" t="s">
        <v>8822</v>
      </c>
      <c r="J10433" t="s">
        <v>38214</v>
      </c>
      <c r="K10433" t="s">
        <v>41310</v>
      </c>
      <c r="M10433" t="s">
        <v>43597</v>
      </c>
      <c r="N10433" t="s">
        <v>45095</v>
      </c>
      <c r="O10433" t="s">
        <v>45096</v>
      </c>
      <c r="P10433">
        <v>0</v>
      </c>
      <c r="Q10433">
        <v>5</v>
      </c>
      <c r="R10433" t="s">
        <v>45108</v>
      </c>
      <c r="S10433" t="s">
        <v>45434</v>
      </c>
      <c r="T10433" t="s">
        <v>47000</v>
      </c>
      <c r="U10433" t="s">
        <v>56054</v>
      </c>
      <c r="W10433" t="s">
        <v>43597</v>
      </c>
      <c r="X10433" t="s">
        <v>45109</v>
      </c>
    </row>
    <row r="10434" spans="1:24">
      <c r="A10434">
        <f>HYPERLINK("https://www.philgeps.gov.ph/GEPSNONPILOT/Tender/SplashBidNoticeAbstractUI.aspx?menuIndex=3&amp;refID=7028204&amp;Result=3","7028204")</f>
        <v>0</v>
      </c>
      <c r="B10434" t="s">
        <v>1430</v>
      </c>
      <c r="C10434" t="s">
        <v>13151</v>
      </c>
      <c r="D10434" t="s">
        <v>18022</v>
      </c>
      <c r="E10434" t="s">
        <v>27167</v>
      </c>
      <c r="F10434" t="s">
        <v>31574</v>
      </c>
      <c r="G10434" t="s">
        <v>31585</v>
      </c>
      <c r="H10434" t="s">
        <v>31590</v>
      </c>
      <c r="I10434" t="s">
        <v>5717</v>
      </c>
      <c r="J10434" t="s">
        <v>38215</v>
      </c>
      <c r="K10434" t="s">
        <v>41185</v>
      </c>
      <c r="M10434" t="s">
        <v>43006</v>
      </c>
      <c r="N10434" t="s">
        <v>45095</v>
      </c>
      <c r="O10434" t="s">
        <v>45096</v>
      </c>
      <c r="P10434">
        <v>0</v>
      </c>
      <c r="Q10434">
        <v>12</v>
      </c>
      <c r="R10434" t="s">
        <v>45108</v>
      </c>
      <c r="S10434" t="s">
        <v>45434</v>
      </c>
      <c r="T10434" t="s">
        <v>47111</v>
      </c>
      <c r="U10434" t="s">
        <v>56055</v>
      </c>
      <c r="W10434" t="s">
        <v>43006</v>
      </c>
      <c r="X10434" t="s">
        <v>45109</v>
      </c>
    </row>
    <row r="10435" spans="1:24">
      <c r="A10435">
        <f>HYPERLINK("https://www.philgeps.gov.ph/GEPSNONPILOT/Tender/SplashBidNoticeAbstractUI.aspx?menuIndex=3&amp;refID=7028209&amp;Result=3","7028209")</f>
        <v>0</v>
      </c>
      <c r="B10435" t="s">
        <v>439</v>
      </c>
      <c r="C10435" t="s">
        <v>13152</v>
      </c>
      <c r="D10435" t="s">
        <v>18046</v>
      </c>
      <c r="E10435" t="s">
        <v>27168</v>
      </c>
      <c r="F10435" t="s">
        <v>31574</v>
      </c>
      <c r="G10435" t="s">
        <v>31585</v>
      </c>
      <c r="H10435" t="s">
        <v>31590</v>
      </c>
      <c r="I10435" t="s">
        <v>6800</v>
      </c>
      <c r="J10435" t="s">
        <v>38216</v>
      </c>
      <c r="K10435" t="s">
        <v>41184</v>
      </c>
      <c r="M10435" t="s">
        <v>41932</v>
      </c>
      <c r="N10435" t="s">
        <v>45095</v>
      </c>
      <c r="O10435" t="s">
        <v>45096</v>
      </c>
      <c r="P10435">
        <v>0</v>
      </c>
      <c r="Q10435">
        <v>1</v>
      </c>
      <c r="R10435" t="s">
        <v>45108</v>
      </c>
      <c r="S10435" t="s">
        <v>45434</v>
      </c>
      <c r="T10435" t="s">
        <v>47197</v>
      </c>
      <c r="U10435" t="s">
        <v>56056</v>
      </c>
      <c r="W10435" t="s">
        <v>41932</v>
      </c>
      <c r="X10435" t="s">
        <v>45109</v>
      </c>
    </row>
    <row r="10436" spans="1:24">
      <c r="A10436">
        <f>HYPERLINK("https://www.philgeps.gov.ph/GEPSNONPILOT/Tender/SplashBidNoticeAbstractUI.aspx?menuIndex=3&amp;refID=7028128&amp;Result=3","7028128")</f>
        <v>0</v>
      </c>
      <c r="B10436" t="s">
        <v>1399</v>
      </c>
      <c r="C10436" t="s">
        <v>13153</v>
      </c>
      <c r="D10436" t="s">
        <v>18081</v>
      </c>
      <c r="E10436" t="s">
        <v>27169</v>
      </c>
      <c r="F10436" t="s">
        <v>31574</v>
      </c>
      <c r="G10436" t="s">
        <v>31582</v>
      </c>
      <c r="H10436" t="s">
        <v>31591</v>
      </c>
      <c r="I10436" t="s">
        <v>8822</v>
      </c>
      <c r="J10436" t="s">
        <v>33252</v>
      </c>
      <c r="K10436" t="s">
        <v>41200</v>
      </c>
      <c r="M10436" t="s">
        <v>43167</v>
      </c>
      <c r="N10436" t="s">
        <v>45095</v>
      </c>
      <c r="O10436" t="s">
        <v>45096</v>
      </c>
      <c r="P10436">
        <v>0</v>
      </c>
      <c r="Q10436">
        <v>0</v>
      </c>
      <c r="R10436" t="s">
        <v>45108</v>
      </c>
      <c r="S10436" t="s">
        <v>45434</v>
      </c>
      <c r="T10436" t="s">
        <v>46937</v>
      </c>
      <c r="U10436" t="s">
        <v>56057</v>
      </c>
      <c r="V10436" t="s">
        <v>53358</v>
      </c>
      <c r="W10436" t="s">
        <v>43167</v>
      </c>
      <c r="X10436" t="s">
        <v>45109</v>
      </c>
    </row>
    <row r="10437" spans="1:24">
      <c r="A10437">
        <f>HYPERLINK("https://www.philgeps.gov.ph/GEPSNONPILOT/Tender/SplashBidNoticeAbstractUI.aspx?menuIndex=3&amp;refID=7028159&amp;Result=3","7028159")</f>
        <v>0</v>
      </c>
      <c r="B10437" t="s">
        <v>290</v>
      </c>
      <c r="C10437" t="s">
        <v>13154</v>
      </c>
      <c r="D10437" t="s">
        <v>18043</v>
      </c>
      <c r="E10437" t="s">
        <v>27170</v>
      </c>
      <c r="F10437" t="s">
        <v>31574</v>
      </c>
      <c r="G10437" t="s">
        <v>31581</v>
      </c>
      <c r="H10437" t="s">
        <v>31590</v>
      </c>
      <c r="I10437" t="s">
        <v>31599</v>
      </c>
      <c r="J10437" t="s">
        <v>38217</v>
      </c>
      <c r="K10437" t="s">
        <v>41193</v>
      </c>
      <c r="M10437" t="s">
        <v>41776</v>
      </c>
      <c r="N10437" t="s">
        <v>45095</v>
      </c>
      <c r="O10437" t="s">
        <v>45096</v>
      </c>
      <c r="P10437">
        <v>0</v>
      </c>
      <c r="Q10437">
        <v>1</v>
      </c>
      <c r="R10437" t="s">
        <v>45108</v>
      </c>
      <c r="S10437" t="s">
        <v>45434</v>
      </c>
      <c r="T10437" t="s">
        <v>47159</v>
      </c>
      <c r="U10437" t="s">
        <v>48030</v>
      </c>
      <c r="W10437" t="s">
        <v>41776</v>
      </c>
      <c r="X10437" t="s">
        <v>45109</v>
      </c>
    </row>
    <row r="10438" spans="1:24">
      <c r="A10438">
        <f>HYPERLINK("https://www.philgeps.gov.ph/GEPSNONPILOT/Tender/SplashBidNoticeAbstractUI.aspx?menuIndex=3&amp;refID=7028234&amp;Result=3","7028234")</f>
        <v>0</v>
      </c>
      <c r="B10438" t="s">
        <v>439</v>
      </c>
      <c r="C10438" t="s">
        <v>13155</v>
      </c>
      <c r="D10438" t="s">
        <v>18046</v>
      </c>
      <c r="E10438" t="s">
        <v>27171</v>
      </c>
      <c r="F10438" t="s">
        <v>31574</v>
      </c>
      <c r="G10438" t="s">
        <v>31581</v>
      </c>
      <c r="H10438" t="s">
        <v>31590</v>
      </c>
      <c r="I10438" t="s">
        <v>8258</v>
      </c>
      <c r="J10438" t="s">
        <v>38218</v>
      </c>
      <c r="K10438" t="s">
        <v>41184</v>
      </c>
      <c r="M10438" t="s">
        <v>41932</v>
      </c>
      <c r="N10438" t="s">
        <v>45095</v>
      </c>
      <c r="O10438" t="s">
        <v>45096</v>
      </c>
      <c r="P10438">
        <v>0</v>
      </c>
      <c r="Q10438">
        <v>0</v>
      </c>
      <c r="R10438" t="s">
        <v>45108</v>
      </c>
      <c r="S10438" t="s">
        <v>45434</v>
      </c>
      <c r="T10438" t="s">
        <v>47197</v>
      </c>
      <c r="U10438" t="s">
        <v>56058</v>
      </c>
      <c r="W10438" t="s">
        <v>41932</v>
      </c>
      <c r="X10438" t="s">
        <v>45109</v>
      </c>
    </row>
    <row r="10439" spans="1:24">
      <c r="A10439">
        <f>HYPERLINK("https://www.philgeps.gov.ph/GEPSNONPILOT/Tender/SplashBidNoticeAbstractUI.aspx?menuIndex=3&amp;refID=7028201&amp;Result=3","7028201")</f>
        <v>0</v>
      </c>
      <c r="B10439" t="s">
        <v>132</v>
      </c>
      <c r="C10439" t="s">
        <v>13156</v>
      </c>
      <c r="D10439" t="s">
        <v>18059</v>
      </c>
      <c r="E10439" t="s">
        <v>27172</v>
      </c>
      <c r="F10439" t="s">
        <v>31574</v>
      </c>
      <c r="G10439" t="s">
        <v>31582</v>
      </c>
      <c r="H10439" t="s">
        <v>31590</v>
      </c>
      <c r="I10439" t="s">
        <v>4046</v>
      </c>
      <c r="J10439" t="s">
        <v>38219</v>
      </c>
      <c r="K10439" t="s">
        <v>41190</v>
      </c>
      <c r="M10439" t="s">
        <v>41616</v>
      </c>
      <c r="N10439" t="s">
        <v>45095</v>
      </c>
      <c r="O10439" t="s">
        <v>45096</v>
      </c>
      <c r="P10439">
        <v>0</v>
      </c>
      <c r="Q10439">
        <v>0</v>
      </c>
      <c r="R10439" t="s">
        <v>45108</v>
      </c>
      <c r="S10439" t="s">
        <v>45434</v>
      </c>
      <c r="T10439" t="s">
        <v>47159</v>
      </c>
      <c r="U10439" t="s">
        <v>56059</v>
      </c>
      <c r="W10439" t="s">
        <v>41616</v>
      </c>
      <c r="X10439" t="s">
        <v>45109</v>
      </c>
    </row>
    <row r="10440" spans="1:24">
      <c r="A10440">
        <f>HYPERLINK("https://www.philgeps.gov.ph/GEPSNONPILOT/Tender/SplashBidNoticeAbstractUI.aspx?menuIndex=3&amp;refID=7028150&amp;Result=3","7028150")</f>
        <v>0</v>
      </c>
      <c r="B10440" t="s">
        <v>1843</v>
      </c>
      <c r="C10440" t="s">
        <v>13157</v>
      </c>
      <c r="D10440" t="s">
        <v>18037</v>
      </c>
      <c r="E10440" t="s">
        <v>27173</v>
      </c>
      <c r="F10440" t="s">
        <v>31574</v>
      </c>
      <c r="G10440" t="s">
        <v>31581</v>
      </c>
      <c r="H10440" t="s">
        <v>31590</v>
      </c>
      <c r="I10440" t="s">
        <v>4046</v>
      </c>
      <c r="J10440" t="s">
        <v>38220</v>
      </c>
      <c r="K10440" t="s">
        <v>41190</v>
      </c>
      <c r="M10440" t="s">
        <v>43481</v>
      </c>
      <c r="N10440" t="s">
        <v>45095</v>
      </c>
      <c r="O10440" t="s">
        <v>45096</v>
      </c>
      <c r="P10440">
        <v>0</v>
      </c>
      <c r="Q10440">
        <v>0</v>
      </c>
      <c r="R10440" t="s">
        <v>45108</v>
      </c>
      <c r="S10440" t="s">
        <v>45434</v>
      </c>
      <c r="T10440" t="s">
        <v>47178</v>
      </c>
      <c r="U10440" t="s">
        <v>56060</v>
      </c>
      <c r="W10440" t="s">
        <v>43481</v>
      </c>
      <c r="X10440" t="s">
        <v>45109</v>
      </c>
    </row>
    <row r="10441" spans="1:24">
      <c r="A10441">
        <f>HYPERLINK("https://www.philgeps.gov.ph/GEPSNONPILOT/Tender/SplashBidNoticeAbstractUI.aspx?menuIndex=3&amp;refID=7028327&amp;Result=3","7028327")</f>
        <v>0</v>
      </c>
      <c r="B10441" t="s">
        <v>326</v>
      </c>
      <c r="C10441" t="s">
        <v>13158</v>
      </c>
      <c r="D10441" t="s">
        <v>18050</v>
      </c>
      <c r="E10441" t="s">
        <v>27174</v>
      </c>
      <c r="F10441" t="s">
        <v>31574</v>
      </c>
      <c r="G10441" t="s">
        <v>31582</v>
      </c>
      <c r="H10441" t="s">
        <v>31590</v>
      </c>
      <c r="I10441" t="s">
        <v>3539</v>
      </c>
      <c r="J10441" t="s">
        <v>38221</v>
      </c>
      <c r="K10441" t="s">
        <v>41196</v>
      </c>
      <c r="M10441" t="s">
        <v>41814</v>
      </c>
      <c r="N10441" t="s">
        <v>45095</v>
      </c>
      <c r="O10441" t="s">
        <v>45096</v>
      </c>
      <c r="P10441">
        <v>0</v>
      </c>
      <c r="Q10441">
        <v>0</v>
      </c>
      <c r="R10441" t="s">
        <v>45108</v>
      </c>
      <c r="S10441" t="s">
        <v>45434</v>
      </c>
      <c r="T10441" t="s">
        <v>46949</v>
      </c>
      <c r="U10441" t="s">
        <v>56061</v>
      </c>
      <c r="W10441" t="s">
        <v>41814</v>
      </c>
      <c r="X10441" t="s">
        <v>45109</v>
      </c>
    </row>
    <row r="10442" spans="1:24">
      <c r="A10442">
        <f>HYPERLINK("https://www.philgeps.gov.ph/GEPSNONPILOT/Tender/SplashBidNoticeAbstractUI.aspx?menuIndex=3&amp;refID=7028188&amp;Result=3","7028188")</f>
        <v>0</v>
      </c>
      <c r="B10442" t="s">
        <v>290</v>
      </c>
      <c r="C10442" t="s">
        <v>13159</v>
      </c>
      <c r="D10442" t="s">
        <v>18043</v>
      </c>
      <c r="E10442" t="s">
        <v>27175</v>
      </c>
      <c r="F10442" t="s">
        <v>31574</v>
      </c>
      <c r="G10442" t="s">
        <v>31581</v>
      </c>
      <c r="H10442" t="s">
        <v>31590</v>
      </c>
      <c r="I10442" t="s">
        <v>8569</v>
      </c>
      <c r="J10442" t="s">
        <v>31727</v>
      </c>
      <c r="K10442" t="s">
        <v>41193</v>
      </c>
      <c r="M10442" t="s">
        <v>41776</v>
      </c>
      <c r="N10442" t="s">
        <v>45095</v>
      </c>
      <c r="O10442" t="s">
        <v>45096</v>
      </c>
      <c r="P10442">
        <v>0</v>
      </c>
      <c r="Q10442">
        <v>2</v>
      </c>
      <c r="R10442" t="s">
        <v>45108</v>
      </c>
      <c r="S10442" t="s">
        <v>45434</v>
      </c>
      <c r="T10442" t="s">
        <v>47159</v>
      </c>
      <c r="U10442" t="s">
        <v>48030</v>
      </c>
      <c r="W10442" t="s">
        <v>41776</v>
      </c>
      <c r="X10442" t="s">
        <v>45109</v>
      </c>
    </row>
    <row r="10443" spans="1:24">
      <c r="A10443">
        <f>HYPERLINK("https://www.philgeps.gov.ph/GEPSNONPILOT/Tender/SplashBidNoticeAbstractUI.aspx?menuIndex=3&amp;refID=7028233&amp;Result=3","7028233")</f>
        <v>0</v>
      </c>
      <c r="B10443" t="s">
        <v>326</v>
      </c>
      <c r="C10443" t="s">
        <v>13160</v>
      </c>
      <c r="D10443" t="s">
        <v>18050</v>
      </c>
      <c r="E10443" t="s">
        <v>27176</v>
      </c>
      <c r="F10443" t="s">
        <v>31574</v>
      </c>
      <c r="G10443" t="s">
        <v>31582</v>
      </c>
      <c r="H10443" t="s">
        <v>31590</v>
      </c>
      <c r="I10443" t="s">
        <v>31621</v>
      </c>
      <c r="J10443" t="s">
        <v>38222</v>
      </c>
      <c r="K10443" t="s">
        <v>41196</v>
      </c>
      <c r="M10443" t="s">
        <v>41814</v>
      </c>
      <c r="N10443" t="s">
        <v>45095</v>
      </c>
      <c r="O10443" t="s">
        <v>45096</v>
      </c>
      <c r="P10443">
        <v>0</v>
      </c>
      <c r="Q10443">
        <v>2</v>
      </c>
      <c r="R10443" t="s">
        <v>45108</v>
      </c>
      <c r="S10443" t="s">
        <v>45434</v>
      </c>
      <c r="T10443" t="s">
        <v>47076</v>
      </c>
      <c r="U10443" t="s">
        <v>56062</v>
      </c>
      <c r="W10443" t="s">
        <v>41814</v>
      </c>
      <c r="X10443" t="s">
        <v>45109</v>
      </c>
    </row>
    <row r="10444" spans="1:24">
      <c r="A10444">
        <f>HYPERLINK("https://www.philgeps.gov.ph/GEPSNONPILOT/Tender/SplashBidNoticeAbstractUI.aspx?menuIndex=3&amp;refID=7028145&amp;Result=3","7028145")</f>
        <v>0</v>
      </c>
      <c r="B10444" t="s">
        <v>2738</v>
      </c>
      <c r="C10444" t="s">
        <v>13161</v>
      </c>
      <c r="D10444" t="s">
        <v>18027</v>
      </c>
      <c r="E10444" t="s">
        <v>27177</v>
      </c>
      <c r="F10444" t="s">
        <v>31574</v>
      </c>
      <c r="G10444" t="s">
        <v>31582</v>
      </c>
      <c r="H10444" t="s">
        <v>31591</v>
      </c>
      <c r="I10444" t="s">
        <v>8822</v>
      </c>
      <c r="J10444" t="s">
        <v>32942</v>
      </c>
      <c r="K10444" t="s">
        <v>41376</v>
      </c>
      <c r="M10444" t="s">
        <v>44510</v>
      </c>
      <c r="N10444" t="s">
        <v>45095</v>
      </c>
      <c r="O10444" t="s">
        <v>45096</v>
      </c>
      <c r="P10444">
        <v>0</v>
      </c>
      <c r="Q10444">
        <v>0</v>
      </c>
      <c r="R10444" t="s">
        <v>45108</v>
      </c>
      <c r="S10444" t="s">
        <v>45434</v>
      </c>
      <c r="T10444" t="s">
        <v>46943</v>
      </c>
      <c r="U10444" t="s">
        <v>56063</v>
      </c>
      <c r="W10444" t="s">
        <v>44510</v>
      </c>
      <c r="X10444" t="s">
        <v>45109</v>
      </c>
    </row>
    <row r="10445" spans="1:24">
      <c r="A10445">
        <f>HYPERLINK("https://www.philgeps.gov.ph/GEPSNONPILOT/Tender/SplashBidNoticeAbstractUI.aspx?menuIndex=3&amp;refID=7028323&amp;Result=3","7028323")</f>
        <v>0</v>
      </c>
      <c r="B10445" t="s">
        <v>2669</v>
      </c>
      <c r="C10445" t="s">
        <v>13162</v>
      </c>
      <c r="D10445" t="s">
        <v>18037</v>
      </c>
      <c r="E10445" t="s">
        <v>27178</v>
      </c>
      <c r="F10445" t="s">
        <v>31574</v>
      </c>
      <c r="G10445" t="s">
        <v>31582</v>
      </c>
      <c r="H10445" t="s">
        <v>31591</v>
      </c>
      <c r="I10445" t="s">
        <v>8822</v>
      </c>
      <c r="J10445" t="s">
        <v>38223</v>
      </c>
      <c r="K10445" t="s">
        <v>41201</v>
      </c>
      <c r="M10445" t="s">
        <v>44430</v>
      </c>
      <c r="N10445" t="s">
        <v>45095</v>
      </c>
      <c r="O10445" t="s">
        <v>45096</v>
      </c>
      <c r="P10445">
        <v>0</v>
      </c>
      <c r="Q10445">
        <v>0</v>
      </c>
      <c r="R10445" t="s">
        <v>45108</v>
      </c>
      <c r="S10445" t="s">
        <v>45434</v>
      </c>
      <c r="T10445" t="s">
        <v>47371</v>
      </c>
      <c r="U10445" t="s">
        <v>55669</v>
      </c>
      <c r="W10445" t="s">
        <v>44430</v>
      </c>
      <c r="X10445" t="s">
        <v>45109</v>
      </c>
    </row>
    <row r="10446" spans="1:24">
      <c r="A10446">
        <f>HYPERLINK("https://www.philgeps.gov.ph/GEPSNONPILOT/Tender/SplashBidNoticeAbstractUI.aspx?menuIndex=3&amp;refID=7028336&amp;Result=3","7028336")</f>
        <v>0</v>
      </c>
      <c r="B10446" t="s">
        <v>2319</v>
      </c>
      <c r="C10446" t="s">
        <v>13163</v>
      </c>
      <c r="E10446" t="s">
        <v>18927</v>
      </c>
      <c r="F10446" t="s">
        <v>31575</v>
      </c>
      <c r="G10446" t="s">
        <v>31582</v>
      </c>
      <c r="H10446" t="s">
        <v>31590</v>
      </c>
      <c r="I10446" t="s">
        <v>3873</v>
      </c>
      <c r="J10446" t="s">
        <v>38224</v>
      </c>
      <c r="K10446" t="s">
        <v>41189</v>
      </c>
      <c r="M10446" t="s">
        <v>44029</v>
      </c>
      <c r="N10446" t="s">
        <v>45095</v>
      </c>
      <c r="O10446" t="s">
        <v>45096</v>
      </c>
      <c r="P10446">
        <v>0</v>
      </c>
      <c r="Q10446">
        <v>0</v>
      </c>
      <c r="R10446" t="s">
        <v>45108</v>
      </c>
      <c r="S10446" t="s">
        <v>45434</v>
      </c>
      <c r="T10446" t="s">
        <v>46913</v>
      </c>
      <c r="U10446" t="s">
        <v>56064</v>
      </c>
      <c r="W10446" t="s">
        <v>44029</v>
      </c>
      <c r="X10446" t="s">
        <v>45109</v>
      </c>
    </row>
    <row r="10447" spans="1:24">
      <c r="A10447">
        <f>HYPERLINK("https://www.philgeps.gov.ph/GEPSNONPILOT/Tender/SplashBidNoticeAbstractUI.aspx?menuIndex=3&amp;refID=7028362&amp;Result=3","7028362")</f>
        <v>0</v>
      </c>
      <c r="B10447" t="s">
        <v>326</v>
      </c>
      <c r="C10447" t="s">
        <v>13164</v>
      </c>
      <c r="D10447" t="s">
        <v>18050</v>
      </c>
      <c r="E10447" t="s">
        <v>27179</v>
      </c>
      <c r="F10447" t="s">
        <v>31574</v>
      </c>
      <c r="G10447" t="s">
        <v>31582</v>
      </c>
      <c r="H10447" t="s">
        <v>31590</v>
      </c>
      <c r="I10447" t="s">
        <v>31621</v>
      </c>
      <c r="J10447" t="s">
        <v>38225</v>
      </c>
      <c r="K10447" t="s">
        <v>41196</v>
      </c>
      <c r="M10447" t="s">
        <v>41814</v>
      </c>
      <c r="N10447" t="s">
        <v>45095</v>
      </c>
      <c r="O10447" t="s">
        <v>45096</v>
      </c>
      <c r="P10447">
        <v>0</v>
      </c>
      <c r="Q10447">
        <v>4</v>
      </c>
      <c r="R10447" t="s">
        <v>45108</v>
      </c>
      <c r="S10447" t="s">
        <v>45434</v>
      </c>
      <c r="T10447" t="s">
        <v>46949</v>
      </c>
      <c r="U10447" t="s">
        <v>56065</v>
      </c>
      <c r="W10447" t="s">
        <v>41814</v>
      </c>
      <c r="X10447" t="s">
        <v>45109</v>
      </c>
    </row>
    <row r="10448" spans="1:24">
      <c r="A10448">
        <f>HYPERLINK("https://www.philgeps.gov.ph/GEPSNONPILOT/Tender/SplashBidNoticeAbstractUI.aspx?menuIndex=3&amp;refID=7028313&amp;Result=3","7028313")</f>
        <v>0</v>
      </c>
      <c r="B10448" t="s">
        <v>439</v>
      </c>
      <c r="C10448" t="s">
        <v>13165</v>
      </c>
      <c r="D10448" t="s">
        <v>18046</v>
      </c>
      <c r="E10448" t="s">
        <v>27180</v>
      </c>
      <c r="F10448" t="s">
        <v>31574</v>
      </c>
      <c r="G10448" t="s">
        <v>31581</v>
      </c>
      <c r="H10448" t="s">
        <v>31590</v>
      </c>
      <c r="I10448" t="s">
        <v>4327</v>
      </c>
      <c r="J10448" t="s">
        <v>31741</v>
      </c>
      <c r="K10448" t="s">
        <v>41184</v>
      </c>
      <c r="M10448" t="s">
        <v>41932</v>
      </c>
      <c r="N10448" t="s">
        <v>45095</v>
      </c>
      <c r="O10448" t="s">
        <v>45096</v>
      </c>
      <c r="P10448">
        <v>0</v>
      </c>
      <c r="Q10448">
        <v>1</v>
      </c>
      <c r="R10448" t="s">
        <v>45108</v>
      </c>
      <c r="S10448" t="s">
        <v>45434</v>
      </c>
      <c r="T10448" t="s">
        <v>47197</v>
      </c>
      <c r="U10448" t="s">
        <v>56058</v>
      </c>
      <c r="W10448" t="s">
        <v>41932</v>
      </c>
      <c r="X10448" t="s">
        <v>45109</v>
      </c>
    </row>
    <row r="10449" spans="1:24">
      <c r="A10449">
        <f>HYPERLINK("https://www.philgeps.gov.ph/GEPSNONPILOT/Tender/SplashBidNoticeAbstractUI.aspx?menuIndex=3&amp;refID=7028360&amp;Result=3","7028360")</f>
        <v>0</v>
      </c>
      <c r="B10449" t="s">
        <v>439</v>
      </c>
      <c r="C10449" t="s">
        <v>13166</v>
      </c>
      <c r="D10449" t="s">
        <v>18046</v>
      </c>
      <c r="E10449" t="s">
        <v>27181</v>
      </c>
      <c r="F10449" t="s">
        <v>31574</v>
      </c>
      <c r="G10449" t="s">
        <v>31581</v>
      </c>
      <c r="H10449" t="s">
        <v>31590</v>
      </c>
      <c r="I10449" t="s">
        <v>31620</v>
      </c>
      <c r="J10449" t="s">
        <v>38226</v>
      </c>
      <c r="K10449" t="s">
        <v>41184</v>
      </c>
      <c r="M10449" t="s">
        <v>41932</v>
      </c>
      <c r="N10449" t="s">
        <v>45095</v>
      </c>
      <c r="O10449" t="s">
        <v>45096</v>
      </c>
      <c r="P10449">
        <v>0</v>
      </c>
      <c r="Q10449">
        <v>1</v>
      </c>
      <c r="R10449" t="s">
        <v>45108</v>
      </c>
      <c r="S10449" t="s">
        <v>45434</v>
      </c>
      <c r="T10449" t="s">
        <v>47197</v>
      </c>
      <c r="U10449" t="s">
        <v>56058</v>
      </c>
      <c r="W10449" t="s">
        <v>41932</v>
      </c>
      <c r="X10449" t="s">
        <v>45109</v>
      </c>
    </row>
    <row r="10450" spans="1:24">
      <c r="A10450">
        <f>HYPERLINK("https://www.philgeps.gov.ph/GEPSNONPILOT/Tender/SplashBidNoticeAbstractUI.aspx?menuIndex=3&amp;refID=7028376&amp;Result=3","7028376")</f>
        <v>0</v>
      </c>
      <c r="B10450" t="s">
        <v>106</v>
      </c>
      <c r="C10450" t="s">
        <v>13167</v>
      </c>
      <c r="D10450" t="s">
        <v>18044</v>
      </c>
      <c r="E10450" t="s">
        <v>27182</v>
      </c>
      <c r="F10450" t="s">
        <v>31574</v>
      </c>
      <c r="G10450" t="s">
        <v>31582</v>
      </c>
      <c r="H10450" t="s">
        <v>31591</v>
      </c>
      <c r="I10450" t="s">
        <v>7162</v>
      </c>
      <c r="J10450" t="s">
        <v>38227</v>
      </c>
      <c r="K10450" t="s">
        <v>41189</v>
      </c>
      <c r="M10450" t="s">
        <v>41590</v>
      </c>
      <c r="N10450" t="s">
        <v>45095</v>
      </c>
      <c r="O10450" t="s">
        <v>45096</v>
      </c>
      <c r="P10450">
        <v>0</v>
      </c>
      <c r="Q10450">
        <v>4</v>
      </c>
      <c r="R10450" t="s">
        <v>45108</v>
      </c>
      <c r="S10450" t="s">
        <v>45434</v>
      </c>
      <c r="T10450" t="s">
        <v>46966</v>
      </c>
      <c r="U10450" t="s">
        <v>47952</v>
      </c>
      <c r="W10450" t="s">
        <v>41590</v>
      </c>
      <c r="X10450" t="s">
        <v>45109</v>
      </c>
    </row>
    <row r="10451" spans="1:24">
      <c r="A10451">
        <f>HYPERLINK("https://www.philgeps.gov.ph/GEPSNONPILOT/Tender/SplashBidNoticeAbstractUI.aspx?menuIndex=3&amp;refID=7028312&amp;Result=3","7028312")</f>
        <v>0</v>
      </c>
      <c r="B10451" t="s">
        <v>2739</v>
      </c>
      <c r="C10451" t="s">
        <v>13168</v>
      </c>
      <c r="D10451" t="s">
        <v>18086</v>
      </c>
      <c r="E10451" t="s">
        <v>27183</v>
      </c>
      <c r="F10451" t="s">
        <v>31574</v>
      </c>
      <c r="G10451" t="s">
        <v>31582</v>
      </c>
      <c r="H10451" t="s">
        <v>31591</v>
      </c>
      <c r="I10451" t="s">
        <v>8822</v>
      </c>
      <c r="J10451" t="s">
        <v>32497</v>
      </c>
      <c r="K10451" t="s">
        <v>41186</v>
      </c>
      <c r="M10451" t="s">
        <v>44511</v>
      </c>
      <c r="N10451" t="s">
        <v>45095</v>
      </c>
      <c r="O10451" t="s">
        <v>45096</v>
      </c>
      <c r="P10451">
        <v>0</v>
      </c>
      <c r="Q10451">
        <v>0</v>
      </c>
      <c r="R10451" t="s">
        <v>45108</v>
      </c>
      <c r="S10451" t="s">
        <v>45434</v>
      </c>
      <c r="T10451" t="s">
        <v>46937</v>
      </c>
      <c r="U10451" t="s">
        <v>56066</v>
      </c>
      <c r="W10451" t="s">
        <v>44511</v>
      </c>
      <c r="X10451" t="s">
        <v>45109</v>
      </c>
    </row>
    <row r="10452" spans="1:24">
      <c r="A10452">
        <f>HYPERLINK("https://www.philgeps.gov.ph/GEPSNONPILOT/Tender/SplashBidNoticeAbstractUI.aspx?menuIndex=3&amp;refID=7028284&amp;Result=3","7028284")</f>
        <v>0</v>
      </c>
      <c r="B10452" t="s">
        <v>1942</v>
      </c>
      <c r="C10452" t="s">
        <v>13169</v>
      </c>
      <c r="D10452" t="s">
        <v>18041</v>
      </c>
      <c r="E10452" t="s">
        <v>27184</v>
      </c>
      <c r="F10452" t="s">
        <v>31574</v>
      </c>
      <c r="G10452" t="s">
        <v>31582</v>
      </c>
      <c r="H10452" t="s">
        <v>31591</v>
      </c>
      <c r="I10452" t="s">
        <v>8822</v>
      </c>
      <c r="J10452" t="s">
        <v>32739</v>
      </c>
      <c r="K10452" t="s">
        <v>41379</v>
      </c>
      <c r="M10452" t="s">
        <v>43597</v>
      </c>
      <c r="N10452" t="s">
        <v>45095</v>
      </c>
      <c r="O10452" t="s">
        <v>45096</v>
      </c>
      <c r="P10452">
        <v>0</v>
      </c>
      <c r="Q10452">
        <v>6</v>
      </c>
      <c r="R10452" t="s">
        <v>45108</v>
      </c>
      <c r="S10452" t="s">
        <v>45434</v>
      </c>
      <c r="T10452" t="s">
        <v>47000</v>
      </c>
      <c r="U10452" t="s">
        <v>56067</v>
      </c>
      <c r="W10452" t="s">
        <v>43597</v>
      </c>
      <c r="X10452" t="s">
        <v>45109</v>
      </c>
    </row>
    <row r="10453" spans="1:24">
      <c r="A10453">
        <f>HYPERLINK("https://www.philgeps.gov.ph/GEPSNONPILOT/Tender/SplashBidNoticeAbstractUI.aspx?menuIndex=3&amp;refID=7028356&amp;Result=3","7028356")</f>
        <v>0</v>
      </c>
      <c r="B10453" t="s">
        <v>2099</v>
      </c>
      <c r="C10453" t="s">
        <v>13170</v>
      </c>
      <c r="D10453" t="s">
        <v>18070</v>
      </c>
      <c r="E10453" t="s">
        <v>18216</v>
      </c>
      <c r="F10453" t="s">
        <v>31574</v>
      </c>
      <c r="G10453" t="s">
        <v>31582</v>
      </c>
      <c r="H10453" t="s">
        <v>31590</v>
      </c>
      <c r="I10453" t="s">
        <v>8258</v>
      </c>
      <c r="J10453" t="s">
        <v>33899</v>
      </c>
      <c r="K10453" t="s">
        <v>41193</v>
      </c>
      <c r="M10453" t="s">
        <v>43776</v>
      </c>
      <c r="N10453" t="s">
        <v>45095</v>
      </c>
      <c r="O10453" t="s">
        <v>45096</v>
      </c>
      <c r="P10453">
        <v>0</v>
      </c>
      <c r="Q10453">
        <v>1</v>
      </c>
      <c r="R10453" t="s">
        <v>45108</v>
      </c>
      <c r="S10453" t="s">
        <v>45434</v>
      </c>
      <c r="T10453" t="s">
        <v>46931</v>
      </c>
      <c r="U10453" t="s">
        <v>56068</v>
      </c>
      <c r="W10453" t="s">
        <v>43776</v>
      </c>
      <c r="X10453" t="s">
        <v>45109</v>
      </c>
    </row>
    <row r="10454" spans="1:24">
      <c r="A10454">
        <f>HYPERLINK("https://www.philgeps.gov.ph/GEPSNONPILOT/Tender/SplashBidNoticeAbstractUI.aspx?menuIndex=3&amp;refID=7028361&amp;Result=3","7028361")</f>
        <v>0</v>
      </c>
      <c r="B10454" t="s">
        <v>1376</v>
      </c>
      <c r="C10454" t="s">
        <v>13171</v>
      </c>
      <c r="E10454" t="s">
        <v>27185</v>
      </c>
      <c r="F10454" t="s">
        <v>31574</v>
      </c>
      <c r="G10454" t="s">
        <v>31582</v>
      </c>
      <c r="H10454" t="s">
        <v>31593</v>
      </c>
      <c r="I10454" t="s">
        <v>31593</v>
      </c>
      <c r="J10454" t="s">
        <v>31730</v>
      </c>
      <c r="K10454" t="s">
        <v>41184</v>
      </c>
      <c r="M10454" t="s">
        <v>42950</v>
      </c>
      <c r="N10454" t="s">
        <v>45095</v>
      </c>
      <c r="O10454" t="s">
        <v>45096</v>
      </c>
      <c r="P10454">
        <v>0</v>
      </c>
      <c r="Q10454">
        <v>13</v>
      </c>
      <c r="R10454" t="s">
        <v>45108</v>
      </c>
      <c r="S10454" t="s">
        <v>45434</v>
      </c>
      <c r="T10454" t="s">
        <v>47196</v>
      </c>
      <c r="U10454" t="s">
        <v>56069</v>
      </c>
      <c r="W10454" t="s">
        <v>42950</v>
      </c>
      <c r="X10454" t="s">
        <v>45109</v>
      </c>
    </row>
    <row r="10455" spans="1:24">
      <c r="A10455">
        <f>HYPERLINK("https://www.philgeps.gov.ph/GEPSNONPILOT/Tender/SplashBidNoticeAbstractUI.aspx?menuIndex=3&amp;refID=7028274&amp;Result=3","7028274")</f>
        <v>0</v>
      </c>
      <c r="B10455" t="s">
        <v>439</v>
      </c>
      <c r="C10455" t="s">
        <v>13172</v>
      </c>
      <c r="D10455" t="s">
        <v>18046</v>
      </c>
      <c r="E10455" t="s">
        <v>27186</v>
      </c>
      <c r="F10455" t="s">
        <v>31574</v>
      </c>
      <c r="G10455" t="s">
        <v>31581</v>
      </c>
      <c r="H10455" t="s">
        <v>31590</v>
      </c>
      <c r="I10455" t="s">
        <v>6800</v>
      </c>
      <c r="J10455" t="s">
        <v>38228</v>
      </c>
      <c r="K10455" t="s">
        <v>41184</v>
      </c>
      <c r="M10455" t="s">
        <v>41932</v>
      </c>
      <c r="N10455" t="s">
        <v>45095</v>
      </c>
      <c r="O10455" t="s">
        <v>45096</v>
      </c>
      <c r="P10455">
        <v>0</v>
      </c>
      <c r="Q10455">
        <v>1</v>
      </c>
      <c r="R10455" t="s">
        <v>45108</v>
      </c>
      <c r="S10455" t="s">
        <v>45434</v>
      </c>
      <c r="T10455" t="s">
        <v>47197</v>
      </c>
      <c r="U10455" t="s">
        <v>56058</v>
      </c>
      <c r="W10455" t="s">
        <v>41932</v>
      </c>
      <c r="X10455" t="s">
        <v>45109</v>
      </c>
    </row>
    <row r="10456" spans="1:24">
      <c r="A10456">
        <f>HYPERLINK("https://www.philgeps.gov.ph/GEPSNONPILOT/Tender/SplashBidNoticeAbstractUI.aspx?menuIndex=3&amp;refID=7028237&amp;Result=3","7028237")</f>
        <v>0</v>
      </c>
      <c r="B10456" t="s">
        <v>271</v>
      </c>
      <c r="C10456" t="s">
        <v>13173</v>
      </c>
      <c r="D10456" t="s">
        <v>18046</v>
      </c>
      <c r="E10456" t="s">
        <v>18472</v>
      </c>
      <c r="F10456" t="s">
        <v>31579</v>
      </c>
      <c r="G10456" t="s">
        <v>31582</v>
      </c>
      <c r="H10456" t="s">
        <v>31590</v>
      </c>
      <c r="I10456" t="s">
        <v>6800</v>
      </c>
      <c r="J10456" t="s">
        <v>32178</v>
      </c>
      <c r="K10456" t="s">
        <v>41193</v>
      </c>
      <c r="M10456" t="s">
        <v>41757</v>
      </c>
      <c r="N10456" t="s">
        <v>45095</v>
      </c>
      <c r="O10456" t="s">
        <v>45096</v>
      </c>
      <c r="P10456">
        <v>0</v>
      </c>
      <c r="Q10456">
        <v>0</v>
      </c>
      <c r="R10456" t="s">
        <v>45108</v>
      </c>
      <c r="S10456" t="s">
        <v>45434</v>
      </c>
      <c r="T10456" t="s">
        <v>46937</v>
      </c>
      <c r="U10456" t="s">
        <v>56070</v>
      </c>
      <c r="W10456" t="s">
        <v>41757</v>
      </c>
      <c r="X10456" t="s">
        <v>45109</v>
      </c>
    </row>
    <row r="10457" spans="1:24">
      <c r="A10457">
        <f>HYPERLINK("https://www.philgeps.gov.ph/GEPSNONPILOT/Tender/SplashBidNoticeAbstractUI.aspx?menuIndex=3&amp;refID=7028243&amp;Result=3","7028243")</f>
        <v>0</v>
      </c>
      <c r="B10457" t="s">
        <v>461</v>
      </c>
      <c r="C10457" t="s">
        <v>13174</v>
      </c>
      <c r="D10457" t="s">
        <v>18057</v>
      </c>
      <c r="E10457" t="s">
        <v>27187</v>
      </c>
      <c r="F10457" t="s">
        <v>31574</v>
      </c>
      <c r="G10457" t="s">
        <v>31582</v>
      </c>
      <c r="H10457" t="s">
        <v>31591</v>
      </c>
      <c r="I10457" t="s">
        <v>8822</v>
      </c>
      <c r="J10457" t="s">
        <v>38229</v>
      </c>
      <c r="K10457" t="s">
        <v>41189</v>
      </c>
      <c r="M10457" t="s">
        <v>41955</v>
      </c>
      <c r="N10457" t="s">
        <v>45095</v>
      </c>
      <c r="O10457" t="s">
        <v>45096</v>
      </c>
      <c r="P10457">
        <v>0</v>
      </c>
      <c r="Q10457">
        <v>0</v>
      </c>
      <c r="R10457" t="s">
        <v>45108</v>
      </c>
      <c r="S10457" t="s">
        <v>45434</v>
      </c>
      <c r="T10457" t="s">
        <v>47164</v>
      </c>
      <c r="U10457" t="s">
        <v>56071</v>
      </c>
      <c r="W10457" t="s">
        <v>41955</v>
      </c>
      <c r="X10457" t="s">
        <v>45109</v>
      </c>
    </row>
    <row r="10458" spans="1:24">
      <c r="A10458">
        <f>HYPERLINK("https://www.philgeps.gov.ph/GEPSNONPILOT/Tender/SplashBidNoticeAbstractUI.aspx?menuIndex=3&amp;refID=7028271&amp;Result=3","7028271")</f>
        <v>0</v>
      </c>
      <c r="B10458" t="s">
        <v>247</v>
      </c>
      <c r="C10458" t="s">
        <v>13175</v>
      </c>
      <c r="D10458" t="s">
        <v>18072</v>
      </c>
      <c r="E10458" t="s">
        <v>27188</v>
      </c>
      <c r="F10458" t="s">
        <v>31575</v>
      </c>
      <c r="G10458" t="s">
        <v>31582</v>
      </c>
      <c r="H10458" t="s">
        <v>31590</v>
      </c>
      <c r="I10458" t="s">
        <v>4046</v>
      </c>
      <c r="J10458" t="s">
        <v>31947</v>
      </c>
      <c r="K10458" t="s">
        <v>41186</v>
      </c>
      <c r="M10458" t="s">
        <v>41733</v>
      </c>
      <c r="N10458" t="s">
        <v>45095</v>
      </c>
      <c r="O10458" t="s">
        <v>45096</v>
      </c>
      <c r="P10458">
        <v>0</v>
      </c>
      <c r="Q10458">
        <v>0</v>
      </c>
      <c r="R10458" t="s">
        <v>45108</v>
      </c>
      <c r="S10458" t="s">
        <v>45434</v>
      </c>
      <c r="T10458" t="s">
        <v>46918</v>
      </c>
      <c r="U10458" t="s">
        <v>56072</v>
      </c>
      <c r="W10458" t="s">
        <v>41733</v>
      </c>
      <c r="X10458" t="s">
        <v>45109</v>
      </c>
    </row>
    <row r="10459" spans="1:24">
      <c r="A10459">
        <f>HYPERLINK("https://www.philgeps.gov.ph/GEPSNONPILOT/Tender/SplashBidNoticeAbstractUI.aspx?menuIndex=3&amp;refID=7028261&amp;Result=3","7028261")</f>
        <v>0</v>
      </c>
      <c r="B10459" t="s">
        <v>1942</v>
      </c>
      <c r="C10459" t="s">
        <v>13176</v>
      </c>
      <c r="D10459" t="s">
        <v>18041</v>
      </c>
      <c r="E10459" t="s">
        <v>27189</v>
      </c>
      <c r="F10459" t="s">
        <v>31574</v>
      </c>
      <c r="G10459" t="s">
        <v>31582</v>
      </c>
      <c r="H10459" t="s">
        <v>31591</v>
      </c>
      <c r="I10459" t="s">
        <v>8822</v>
      </c>
      <c r="J10459" t="s">
        <v>38196</v>
      </c>
      <c r="K10459" t="s">
        <v>41389</v>
      </c>
      <c r="M10459" t="s">
        <v>43597</v>
      </c>
      <c r="N10459" t="s">
        <v>45095</v>
      </c>
      <c r="O10459" t="s">
        <v>45096</v>
      </c>
      <c r="P10459">
        <v>0</v>
      </c>
      <c r="Q10459">
        <v>5</v>
      </c>
      <c r="R10459" t="s">
        <v>45108</v>
      </c>
      <c r="S10459" t="s">
        <v>45434</v>
      </c>
      <c r="T10459" t="s">
        <v>47000</v>
      </c>
      <c r="U10459" t="s">
        <v>56073</v>
      </c>
      <c r="W10459" t="s">
        <v>43597</v>
      </c>
      <c r="X10459" t="s">
        <v>45109</v>
      </c>
    </row>
    <row r="10460" spans="1:24">
      <c r="A10460">
        <f>HYPERLINK("https://www.philgeps.gov.ph/GEPSNONPILOT/Tender/SplashBidNoticeAbstractUI.aspx?menuIndex=3&amp;refID=7028385&amp;Result=3","7028385")</f>
        <v>0</v>
      </c>
      <c r="B10460" t="s">
        <v>154</v>
      </c>
      <c r="C10460" t="s">
        <v>13177</v>
      </c>
      <c r="D10460" t="s">
        <v>18063</v>
      </c>
      <c r="E10460" t="s">
        <v>27190</v>
      </c>
      <c r="F10460" t="s">
        <v>31574</v>
      </c>
      <c r="G10460" t="s">
        <v>31582</v>
      </c>
      <c r="H10460" t="s">
        <v>31591</v>
      </c>
      <c r="I10460" t="s">
        <v>8822</v>
      </c>
      <c r="J10460" t="s">
        <v>32906</v>
      </c>
      <c r="K10460" t="s">
        <v>41225</v>
      </c>
      <c r="M10460" t="s">
        <v>41638</v>
      </c>
      <c r="N10460" t="s">
        <v>45095</v>
      </c>
      <c r="O10460" t="s">
        <v>45096</v>
      </c>
      <c r="P10460">
        <v>0</v>
      </c>
      <c r="Q10460">
        <v>2</v>
      </c>
      <c r="R10460" t="s">
        <v>45108</v>
      </c>
      <c r="S10460" t="s">
        <v>45434</v>
      </c>
      <c r="T10460" t="s">
        <v>46926</v>
      </c>
      <c r="U10460" t="s">
        <v>56074</v>
      </c>
      <c r="W10460" t="s">
        <v>41638</v>
      </c>
      <c r="X10460" t="s">
        <v>45109</v>
      </c>
    </row>
    <row r="10461" spans="1:24">
      <c r="A10461">
        <f>HYPERLINK("https://www.philgeps.gov.ph/GEPSNONPILOT/Tender/SplashBidNoticeAbstractUI.aspx?menuIndex=3&amp;refID=7028282&amp;Result=3","7028282")</f>
        <v>0</v>
      </c>
      <c r="B10461" t="s">
        <v>2740</v>
      </c>
      <c r="C10461" t="s">
        <v>7362</v>
      </c>
      <c r="D10461" t="s">
        <v>18056</v>
      </c>
      <c r="E10461" t="s">
        <v>27191</v>
      </c>
      <c r="F10461" t="s">
        <v>31574</v>
      </c>
      <c r="G10461" t="s">
        <v>31582</v>
      </c>
      <c r="H10461" t="s">
        <v>31590</v>
      </c>
      <c r="I10461" t="s">
        <v>8258</v>
      </c>
      <c r="J10461" t="s">
        <v>38230</v>
      </c>
      <c r="K10461" t="s">
        <v>41186</v>
      </c>
      <c r="M10461" t="s">
        <v>44512</v>
      </c>
      <c r="N10461" t="s">
        <v>45095</v>
      </c>
      <c r="O10461" t="s">
        <v>45096</v>
      </c>
      <c r="P10461">
        <v>0</v>
      </c>
      <c r="Q10461">
        <v>5</v>
      </c>
      <c r="R10461" t="s">
        <v>45108</v>
      </c>
      <c r="S10461" t="s">
        <v>45434</v>
      </c>
      <c r="T10461" t="s">
        <v>46968</v>
      </c>
      <c r="U10461" t="s">
        <v>56075</v>
      </c>
      <c r="W10461" t="s">
        <v>44512</v>
      </c>
      <c r="X10461" t="s">
        <v>45109</v>
      </c>
    </row>
    <row r="10462" spans="1:24">
      <c r="A10462">
        <f>HYPERLINK("https://www.philgeps.gov.ph/GEPSNONPILOT/Tender/SplashBidNoticeAbstractUI.aspx?menuIndex=3&amp;refID=7028235&amp;Result=3","7028235")</f>
        <v>0</v>
      </c>
      <c r="B10462" t="s">
        <v>132</v>
      </c>
      <c r="C10462" t="s">
        <v>13178</v>
      </c>
      <c r="D10462" t="s">
        <v>18059</v>
      </c>
      <c r="E10462" t="s">
        <v>27192</v>
      </c>
      <c r="F10462" t="s">
        <v>31574</v>
      </c>
      <c r="G10462" t="s">
        <v>31582</v>
      </c>
      <c r="H10462" t="s">
        <v>31590</v>
      </c>
      <c r="I10462" t="s">
        <v>4046</v>
      </c>
      <c r="J10462" t="s">
        <v>38231</v>
      </c>
      <c r="K10462" t="s">
        <v>41190</v>
      </c>
      <c r="M10462" t="s">
        <v>41616</v>
      </c>
      <c r="N10462" t="s">
        <v>45095</v>
      </c>
      <c r="O10462" t="s">
        <v>45096</v>
      </c>
      <c r="P10462">
        <v>0</v>
      </c>
      <c r="Q10462">
        <v>0</v>
      </c>
      <c r="R10462" t="s">
        <v>45108</v>
      </c>
      <c r="S10462" t="s">
        <v>45434</v>
      </c>
      <c r="T10462" t="s">
        <v>47159</v>
      </c>
      <c r="U10462" t="s">
        <v>56076</v>
      </c>
      <c r="W10462" t="s">
        <v>41616</v>
      </c>
      <c r="X10462" t="s">
        <v>45109</v>
      </c>
    </row>
    <row r="10463" spans="1:24">
      <c r="A10463">
        <f>HYPERLINK("https://www.philgeps.gov.ph/GEPSNONPILOT/Tender/SplashBidNoticeAbstractUI.aspx?menuIndex=3&amp;refID=7028467&amp;Result=3","7028467")</f>
        <v>0</v>
      </c>
      <c r="B10463" t="s">
        <v>271</v>
      </c>
      <c r="C10463" t="s">
        <v>13179</v>
      </c>
      <c r="D10463" t="s">
        <v>18046</v>
      </c>
      <c r="E10463" t="s">
        <v>20333</v>
      </c>
      <c r="F10463" t="s">
        <v>31579</v>
      </c>
      <c r="G10463" t="s">
        <v>31582</v>
      </c>
      <c r="H10463" t="s">
        <v>31590</v>
      </c>
      <c r="I10463" t="s">
        <v>6800</v>
      </c>
      <c r="J10463" t="s">
        <v>38232</v>
      </c>
      <c r="K10463" t="s">
        <v>41193</v>
      </c>
      <c r="M10463" t="s">
        <v>41757</v>
      </c>
      <c r="N10463" t="s">
        <v>45095</v>
      </c>
      <c r="O10463" t="s">
        <v>45096</v>
      </c>
      <c r="P10463">
        <v>0</v>
      </c>
      <c r="Q10463">
        <v>0</v>
      </c>
      <c r="R10463" t="s">
        <v>45108</v>
      </c>
      <c r="S10463" t="s">
        <v>45434</v>
      </c>
      <c r="T10463" t="s">
        <v>46937</v>
      </c>
      <c r="U10463" t="s">
        <v>56077</v>
      </c>
      <c r="W10463" t="s">
        <v>41757</v>
      </c>
      <c r="X10463" t="s">
        <v>45109</v>
      </c>
    </row>
    <row r="10464" spans="1:24">
      <c r="A10464">
        <f>HYPERLINK("https://www.philgeps.gov.ph/GEPSNONPILOT/Tender/SplashBidNoticeAbstractUI.aspx?menuIndex=3&amp;refID=7028449&amp;Result=3","7028449")</f>
        <v>0</v>
      </c>
      <c r="B10464" t="s">
        <v>326</v>
      </c>
      <c r="C10464" t="s">
        <v>13180</v>
      </c>
      <c r="D10464" t="s">
        <v>18050</v>
      </c>
      <c r="E10464" t="s">
        <v>27193</v>
      </c>
      <c r="F10464" t="s">
        <v>31574</v>
      </c>
      <c r="G10464" t="s">
        <v>31582</v>
      </c>
      <c r="H10464" t="s">
        <v>31590</v>
      </c>
      <c r="I10464" t="s">
        <v>3539</v>
      </c>
      <c r="J10464" t="s">
        <v>38233</v>
      </c>
      <c r="K10464" t="s">
        <v>41196</v>
      </c>
      <c r="M10464" t="s">
        <v>41814</v>
      </c>
      <c r="N10464" t="s">
        <v>45095</v>
      </c>
      <c r="O10464" t="s">
        <v>45096</v>
      </c>
      <c r="P10464">
        <v>0</v>
      </c>
      <c r="Q10464">
        <v>1</v>
      </c>
      <c r="R10464" t="s">
        <v>45108</v>
      </c>
      <c r="S10464" t="s">
        <v>45434</v>
      </c>
      <c r="T10464" t="s">
        <v>46932</v>
      </c>
      <c r="U10464" t="s">
        <v>56078</v>
      </c>
      <c r="W10464" t="s">
        <v>41814</v>
      </c>
      <c r="X10464" t="s">
        <v>45109</v>
      </c>
    </row>
    <row r="10465" spans="1:24">
      <c r="A10465">
        <f>HYPERLINK("https://www.philgeps.gov.ph/GEPSNONPILOT/Tender/SplashBidNoticeAbstractUI.aspx?menuIndex=3&amp;refID=7028446&amp;Result=3","7028446")</f>
        <v>0</v>
      </c>
      <c r="B10465" t="s">
        <v>1329</v>
      </c>
      <c r="C10465" t="s">
        <v>13181</v>
      </c>
      <c r="E10465" t="s">
        <v>27194</v>
      </c>
      <c r="F10465" t="s">
        <v>31574</v>
      </c>
      <c r="G10465" t="s">
        <v>31582</v>
      </c>
      <c r="H10465" t="s">
        <v>31593</v>
      </c>
      <c r="I10465" t="s">
        <v>31593</v>
      </c>
      <c r="J10465" t="s">
        <v>38234</v>
      </c>
      <c r="K10465" t="s">
        <v>41237</v>
      </c>
      <c r="M10465" t="s">
        <v>44052</v>
      </c>
      <c r="N10465" t="s">
        <v>45095</v>
      </c>
      <c r="O10465" t="s">
        <v>45096</v>
      </c>
      <c r="P10465">
        <v>0</v>
      </c>
      <c r="Q10465">
        <v>8</v>
      </c>
      <c r="R10465" t="s">
        <v>45108</v>
      </c>
      <c r="S10465" t="s">
        <v>45434</v>
      </c>
      <c r="T10465" t="s">
        <v>47162</v>
      </c>
      <c r="U10465" t="s">
        <v>56079</v>
      </c>
      <c r="V10465" t="s">
        <v>60948</v>
      </c>
      <c r="W10465" t="s">
        <v>44052</v>
      </c>
      <c r="X10465" t="s">
        <v>45109</v>
      </c>
    </row>
    <row r="10466" spans="1:24">
      <c r="A10466">
        <f>HYPERLINK("https://www.philgeps.gov.ph/GEPSNONPILOT/Tender/SplashBidNoticeAbstractUI.aspx?menuIndex=3&amp;refID=7028445&amp;Result=3","7028445")</f>
        <v>0</v>
      </c>
      <c r="B10466" t="s">
        <v>2099</v>
      </c>
      <c r="C10466" t="s">
        <v>13182</v>
      </c>
      <c r="D10466" t="s">
        <v>18070</v>
      </c>
      <c r="E10466" t="s">
        <v>18225</v>
      </c>
      <c r="F10466" t="s">
        <v>31574</v>
      </c>
      <c r="G10466" t="s">
        <v>31582</v>
      </c>
      <c r="H10466" t="s">
        <v>31590</v>
      </c>
      <c r="I10466" t="s">
        <v>8258</v>
      </c>
      <c r="J10466" t="s">
        <v>38235</v>
      </c>
      <c r="K10466" t="s">
        <v>41193</v>
      </c>
      <c r="M10466" t="s">
        <v>43776</v>
      </c>
      <c r="N10466" t="s">
        <v>45095</v>
      </c>
      <c r="O10466" t="s">
        <v>45096</v>
      </c>
      <c r="P10466">
        <v>0</v>
      </c>
      <c r="Q10466">
        <v>0</v>
      </c>
      <c r="R10466" t="s">
        <v>45108</v>
      </c>
      <c r="S10466" t="s">
        <v>45434</v>
      </c>
      <c r="T10466" t="s">
        <v>46949</v>
      </c>
      <c r="U10466" t="s">
        <v>56080</v>
      </c>
      <c r="W10466" t="s">
        <v>43776</v>
      </c>
      <c r="X10466" t="s">
        <v>45109</v>
      </c>
    </row>
    <row r="10467" spans="1:24">
      <c r="A10467">
        <f>HYPERLINK("https://www.philgeps.gov.ph/GEPSNONPILOT/Tender/SplashBidNoticeAbstractUI.aspx?menuIndex=3&amp;refID=7028420&amp;Result=3","7028420")</f>
        <v>0</v>
      </c>
      <c r="B10467" t="s">
        <v>271</v>
      </c>
      <c r="C10467" t="s">
        <v>13183</v>
      </c>
      <c r="D10467" t="s">
        <v>18046</v>
      </c>
      <c r="E10467" t="s">
        <v>21063</v>
      </c>
      <c r="F10467" t="s">
        <v>31579</v>
      </c>
      <c r="G10467" t="s">
        <v>31582</v>
      </c>
      <c r="H10467" t="s">
        <v>31590</v>
      </c>
      <c r="I10467" t="s">
        <v>6800</v>
      </c>
      <c r="J10467" t="s">
        <v>38236</v>
      </c>
      <c r="K10467" t="s">
        <v>41193</v>
      </c>
      <c r="M10467" t="s">
        <v>41757</v>
      </c>
      <c r="N10467" t="s">
        <v>45095</v>
      </c>
      <c r="O10467" t="s">
        <v>45096</v>
      </c>
      <c r="P10467">
        <v>0</v>
      </c>
      <c r="Q10467">
        <v>0</v>
      </c>
      <c r="R10467" t="s">
        <v>45108</v>
      </c>
      <c r="S10467" t="s">
        <v>45434</v>
      </c>
      <c r="T10467" t="s">
        <v>46937</v>
      </c>
      <c r="U10467" t="s">
        <v>56081</v>
      </c>
      <c r="W10467" t="s">
        <v>41757</v>
      </c>
      <c r="X10467" t="s">
        <v>45109</v>
      </c>
    </row>
    <row r="10468" spans="1:24">
      <c r="A10468">
        <f>HYPERLINK("https://www.philgeps.gov.ph/GEPSNONPILOT/Tender/SplashBidNoticeAbstractUI.aspx?menuIndex=3&amp;refID=7028443&amp;Result=3","7028443")</f>
        <v>0</v>
      </c>
      <c r="B10468" t="s">
        <v>1595</v>
      </c>
      <c r="C10468" t="s">
        <v>13184</v>
      </c>
      <c r="D10468" t="s">
        <v>18094</v>
      </c>
      <c r="E10468" t="s">
        <v>27195</v>
      </c>
      <c r="F10468" t="s">
        <v>31574</v>
      </c>
      <c r="G10468" t="s">
        <v>31582</v>
      </c>
      <c r="H10468" t="s">
        <v>31591</v>
      </c>
      <c r="I10468" t="s">
        <v>8822</v>
      </c>
      <c r="J10468" t="s">
        <v>38237</v>
      </c>
      <c r="K10468" t="s">
        <v>41243</v>
      </c>
      <c r="M10468" t="s">
        <v>43199</v>
      </c>
      <c r="N10468" t="s">
        <v>45095</v>
      </c>
      <c r="O10468" t="s">
        <v>45096</v>
      </c>
      <c r="P10468">
        <v>0</v>
      </c>
      <c r="Q10468">
        <v>2</v>
      </c>
      <c r="R10468" t="s">
        <v>45108</v>
      </c>
      <c r="S10468" t="s">
        <v>45434</v>
      </c>
      <c r="T10468" t="s">
        <v>47348</v>
      </c>
      <c r="U10468" t="s">
        <v>56082</v>
      </c>
      <c r="W10468" t="s">
        <v>43199</v>
      </c>
      <c r="X10468" t="s">
        <v>45109</v>
      </c>
    </row>
    <row r="10469" spans="1:24">
      <c r="A10469">
        <f>HYPERLINK("https://www.philgeps.gov.ph/GEPSNONPILOT/Tender/SplashBidNoticeAbstractUI.aspx?menuIndex=3&amp;refID=7028393&amp;Result=3","7028393")</f>
        <v>0</v>
      </c>
      <c r="B10469" t="s">
        <v>2741</v>
      </c>
      <c r="C10469" t="s">
        <v>7245</v>
      </c>
      <c r="D10469" t="s">
        <v>18071</v>
      </c>
      <c r="E10469" t="s">
        <v>27196</v>
      </c>
      <c r="F10469" t="s">
        <v>31574</v>
      </c>
      <c r="G10469" t="s">
        <v>31582</v>
      </c>
      <c r="H10469" t="s">
        <v>31592</v>
      </c>
      <c r="I10469" t="s">
        <v>31596</v>
      </c>
      <c r="J10469" t="s">
        <v>32355</v>
      </c>
      <c r="K10469" t="s">
        <v>41197</v>
      </c>
      <c r="M10469" t="s">
        <v>44513</v>
      </c>
      <c r="N10469" t="s">
        <v>45095</v>
      </c>
      <c r="O10469" t="s">
        <v>45096</v>
      </c>
      <c r="Q10469">
        <v>1</v>
      </c>
      <c r="R10469" t="s">
        <v>45108</v>
      </c>
      <c r="S10469" t="s">
        <v>45447</v>
      </c>
      <c r="T10469" t="s">
        <v>47000</v>
      </c>
      <c r="U10469" t="s">
        <v>56083</v>
      </c>
      <c r="W10469" t="s">
        <v>44513</v>
      </c>
      <c r="X10469" t="s">
        <v>45109</v>
      </c>
    </row>
    <row r="10470" spans="1:24">
      <c r="A10470">
        <f>HYPERLINK("https://www.philgeps.gov.ph/GEPSNONPILOT/Tender/SplashBidNoticeAbstractUI.aspx?menuIndex=3&amp;refID=7028442&amp;Result=3","7028442")</f>
        <v>0</v>
      </c>
      <c r="B10470" t="s">
        <v>2742</v>
      </c>
      <c r="C10470" t="s">
        <v>13185</v>
      </c>
      <c r="D10470" t="s">
        <v>18048</v>
      </c>
      <c r="E10470" t="s">
        <v>18169</v>
      </c>
      <c r="F10470" t="s">
        <v>31574</v>
      </c>
      <c r="G10470" t="s">
        <v>31582</v>
      </c>
      <c r="H10470" t="s">
        <v>31590</v>
      </c>
      <c r="I10470" t="s">
        <v>31692</v>
      </c>
      <c r="J10470" t="s">
        <v>38238</v>
      </c>
      <c r="K10470" t="s">
        <v>41184</v>
      </c>
      <c r="M10470" t="s">
        <v>44514</v>
      </c>
      <c r="N10470" t="s">
        <v>45095</v>
      </c>
      <c r="O10470" t="s">
        <v>45096</v>
      </c>
      <c r="P10470">
        <v>0</v>
      </c>
      <c r="Q10470">
        <v>3</v>
      </c>
      <c r="R10470" t="s">
        <v>45108</v>
      </c>
      <c r="S10470" t="s">
        <v>45434</v>
      </c>
      <c r="T10470" t="s">
        <v>46910</v>
      </c>
      <c r="U10470" t="s">
        <v>56084</v>
      </c>
      <c r="V10470" t="s">
        <v>60949</v>
      </c>
      <c r="W10470" t="s">
        <v>44514</v>
      </c>
      <c r="X10470" t="s">
        <v>45109</v>
      </c>
    </row>
    <row r="10471" spans="1:24">
      <c r="A10471">
        <f>HYPERLINK("https://www.philgeps.gov.ph/GEPSNONPILOT/Tender/SplashBidNoticeAbstractUI.aspx?menuIndex=3&amp;refID=7028405&amp;Result=3","7028405")</f>
        <v>0</v>
      </c>
      <c r="B10471" t="s">
        <v>2669</v>
      </c>
      <c r="C10471" t="s">
        <v>13186</v>
      </c>
      <c r="D10471" t="s">
        <v>18037</v>
      </c>
      <c r="E10471" t="s">
        <v>27197</v>
      </c>
      <c r="F10471" t="s">
        <v>31574</v>
      </c>
      <c r="G10471" t="s">
        <v>31582</v>
      </c>
      <c r="H10471" t="s">
        <v>31591</v>
      </c>
      <c r="I10471" t="s">
        <v>8822</v>
      </c>
      <c r="J10471" t="s">
        <v>38239</v>
      </c>
      <c r="K10471" t="s">
        <v>41291</v>
      </c>
      <c r="M10471" t="s">
        <v>44430</v>
      </c>
      <c r="N10471" t="s">
        <v>45095</v>
      </c>
      <c r="O10471" t="s">
        <v>45096</v>
      </c>
      <c r="P10471">
        <v>0</v>
      </c>
      <c r="Q10471">
        <v>0</v>
      </c>
      <c r="R10471" t="s">
        <v>45108</v>
      </c>
      <c r="S10471" t="s">
        <v>45434</v>
      </c>
      <c r="T10471" t="s">
        <v>47371</v>
      </c>
      <c r="U10471" t="s">
        <v>55669</v>
      </c>
      <c r="W10471" t="s">
        <v>44430</v>
      </c>
      <c r="X10471" t="s">
        <v>45109</v>
      </c>
    </row>
    <row r="10472" spans="1:24">
      <c r="A10472">
        <f>HYPERLINK("https://www.philgeps.gov.ph/GEPSNONPILOT/Tender/SplashBidNoticeAbstractUI.aspx?menuIndex=3&amp;refID=7028412&amp;Result=3","7028412")</f>
        <v>0</v>
      </c>
      <c r="B10472" t="s">
        <v>1488</v>
      </c>
      <c r="C10472" t="s">
        <v>13187</v>
      </c>
      <c r="D10472" t="s">
        <v>18088</v>
      </c>
      <c r="E10472" t="s">
        <v>21914</v>
      </c>
      <c r="F10472" t="s">
        <v>31574</v>
      </c>
      <c r="G10472" t="s">
        <v>31582</v>
      </c>
      <c r="H10472" t="s">
        <v>31591</v>
      </c>
      <c r="I10472" t="s">
        <v>8822</v>
      </c>
      <c r="J10472" t="s">
        <v>32049</v>
      </c>
      <c r="K10472" t="s">
        <v>41184</v>
      </c>
      <c r="M10472" t="s">
        <v>43073</v>
      </c>
      <c r="N10472" t="s">
        <v>45095</v>
      </c>
      <c r="O10472" t="s">
        <v>45096</v>
      </c>
      <c r="P10472">
        <v>0</v>
      </c>
      <c r="Q10472">
        <v>0</v>
      </c>
      <c r="R10472" t="s">
        <v>45108</v>
      </c>
      <c r="S10472" t="s">
        <v>45434</v>
      </c>
      <c r="T10472" t="s">
        <v>46966</v>
      </c>
      <c r="U10472" t="s">
        <v>56085</v>
      </c>
      <c r="V10472" t="s">
        <v>60950</v>
      </c>
      <c r="W10472" t="s">
        <v>43073</v>
      </c>
      <c r="X10472" t="s">
        <v>45109</v>
      </c>
    </row>
    <row r="10473" spans="1:24">
      <c r="A10473">
        <f>HYPERLINK("https://www.philgeps.gov.ph/GEPSNONPILOT/Tender/SplashBidNoticeAbstractUI.aspx?menuIndex=3&amp;refID=7028419&amp;Result=3","7028419")</f>
        <v>0</v>
      </c>
      <c r="B10473" t="s">
        <v>2743</v>
      </c>
      <c r="C10473" t="s">
        <v>13188</v>
      </c>
      <c r="D10473" t="s">
        <v>18023</v>
      </c>
      <c r="E10473" t="s">
        <v>27198</v>
      </c>
      <c r="F10473" t="s">
        <v>31574</v>
      </c>
      <c r="G10473" t="s">
        <v>31582</v>
      </c>
      <c r="H10473" t="s">
        <v>31591</v>
      </c>
      <c r="I10473" t="s">
        <v>8822</v>
      </c>
      <c r="J10473" t="s">
        <v>38240</v>
      </c>
      <c r="K10473" t="s">
        <v>41184</v>
      </c>
      <c r="M10473" t="s">
        <v>44515</v>
      </c>
      <c r="N10473" t="s">
        <v>45095</v>
      </c>
      <c r="O10473" t="s">
        <v>45096</v>
      </c>
      <c r="Q10473">
        <v>4</v>
      </c>
      <c r="R10473" t="s">
        <v>45108</v>
      </c>
      <c r="S10473" t="s">
        <v>45448</v>
      </c>
      <c r="T10473" t="s">
        <v>46977</v>
      </c>
      <c r="U10473" t="s">
        <v>56086</v>
      </c>
      <c r="W10473" t="s">
        <v>44515</v>
      </c>
      <c r="X10473" t="s">
        <v>45109</v>
      </c>
    </row>
    <row r="10474" spans="1:24">
      <c r="A10474">
        <f>HYPERLINK("https://www.philgeps.gov.ph/GEPSNONPILOT/Tender/SplashBidNoticeAbstractUI.aspx?menuIndex=3&amp;refID=7028496&amp;Result=3","7028496")</f>
        <v>0</v>
      </c>
      <c r="B10474" t="s">
        <v>271</v>
      </c>
      <c r="C10474" t="s">
        <v>3753</v>
      </c>
      <c r="D10474" t="s">
        <v>18046</v>
      </c>
      <c r="E10474" t="s">
        <v>24480</v>
      </c>
      <c r="F10474" t="s">
        <v>31579</v>
      </c>
      <c r="G10474" t="s">
        <v>31582</v>
      </c>
      <c r="H10474" t="s">
        <v>31591</v>
      </c>
      <c r="I10474" t="s">
        <v>8822</v>
      </c>
      <c r="J10474" t="s">
        <v>32334</v>
      </c>
      <c r="K10474" t="s">
        <v>41186</v>
      </c>
      <c r="M10474" t="s">
        <v>41757</v>
      </c>
      <c r="N10474" t="s">
        <v>45095</v>
      </c>
      <c r="O10474" t="s">
        <v>45096</v>
      </c>
      <c r="P10474">
        <v>0</v>
      </c>
      <c r="Q10474">
        <v>0</v>
      </c>
      <c r="R10474" t="s">
        <v>45108</v>
      </c>
      <c r="S10474" t="s">
        <v>45434</v>
      </c>
      <c r="T10474" t="s">
        <v>46937</v>
      </c>
      <c r="U10474" t="s">
        <v>56087</v>
      </c>
      <c r="W10474" t="s">
        <v>41757</v>
      </c>
      <c r="X10474" t="s">
        <v>45109</v>
      </c>
    </row>
    <row r="10475" spans="1:24">
      <c r="A10475">
        <f>HYPERLINK("https://www.philgeps.gov.ph/GEPSNONPILOT/Tender/SplashBidNoticeAbstractUI.aspx?menuIndex=3&amp;refID=7028468&amp;Result=3","7028468")</f>
        <v>0</v>
      </c>
      <c r="B10475" t="s">
        <v>326</v>
      </c>
      <c r="C10475" t="s">
        <v>13136</v>
      </c>
      <c r="D10475" t="s">
        <v>18050</v>
      </c>
      <c r="E10475" t="s">
        <v>27199</v>
      </c>
      <c r="F10475" t="s">
        <v>31574</v>
      </c>
      <c r="G10475" t="s">
        <v>31582</v>
      </c>
      <c r="H10475" t="s">
        <v>31590</v>
      </c>
      <c r="I10475" t="s">
        <v>3539</v>
      </c>
      <c r="J10475" t="s">
        <v>38241</v>
      </c>
      <c r="K10475" t="s">
        <v>41196</v>
      </c>
      <c r="M10475" t="s">
        <v>41814</v>
      </c>
      <c r="N10475" t="s">
        <v>45095</v>
      </c>
      <c r="O10475" t="s">
        <v>45096</v>
      </c>
      <c r="P10475">
        <v>0</v>
      </c>
      <c r="Q10475">
        <v>2</v>
      </c>
      <c r="R10475" t="s">
        <v>45108</v>
      </c>
      <c r="S10475" t="s">
        <v>45434</v>
      </c>
      <c r="T10475" t="s">
        <v>46937</v>
      </c>
      <c r="U10475" t="s">
        <v>56088</v>
      </c>
      <c r="W10475" t="s">
        <v>41814</v>
      </c>
      <c r="X10475" t="s">
        <v>45109</v>
      </c>
    </row>
    <row r="10476" spans="1:24">
      <c r="A10476">
        <f>HYPERLINK("https://www.philgeps.gov.ph/GEPSNONPILOT/Tender/SplashBidNoticeAbstractUI.aspx?menuIndex=3&amp;refID=7028395&amp;Result=3","7028395")</f>
        <v>0</v>
      </c>
      <c r="B10476" t="s">
        <v>2743</v>
      </c>
      <c r="C10476" t="s">
        <v>13189</v>
      </c>
      <c r="D10476" t="s">
        <v>18023</v>
      </c>
      <c r="E10476" t="s">
        <v>27200</v>
      </c>
      <c r="F10476" t="s">
        <v>31574</v>
      </c>
      <c r="G10476" t="s">
        <v>31582</v>
      </c>
      <c r="H10476" t="s">
        <v>31591</v>
      </c>
      <c r="I10476" t="s">
        <v>8822</v>
      </c>
      <c r="J10476" t="s">
        <v>38242</v>
      </c>
      <c r="K10476" t="s">
        <v>41184</v>
      </c>
      <c r="M10476" t="s">
        <v>44515</v>
      </c>
      <c r="N10476" t="s">
        <v>45095</v>
      </c>
      <c r="O10476" t="s">
        <v>45096</v>
      </c>
      <c r="P10476">
        <v>0</v>
      </c>
      <c r="Q10476">
        <v>3</v>
      </c>
      <c r="R10476" t="s">
        <v>45108</v>
      </c>
      <c r="S10476" t="s">
        <v>45434</v>
      </c>
      <c r="T10476" t="s">
        <v>46977</v>
      </c>
      <c r="U10476" t="s">
        <v>56086</v>
      </c>
      <c r="W10476" t="s">
        <v>44515</v>
      </c>
      <c r="X10476" t="s">
        <v>45109</v>
      </c>
    </row>
    <row r="10477" spans="1:24">
      <c r="A10477">
        <f>HYPERLINK("https://www.philgeps.gov.ph/GEPSNONPILOT/Tender/SplashBidNoticeAbstractUI.aspx?menuIndex=3&amp;refID=7028501&amp;Result=3","7028501")</f>
        <v>0</v>
      </c>
      <c r="B10477" t="s">
        <v>326</v>
      </c>
      <c r="C10477" t="s">
        <v>13190</v>
      </c>
      <c r="D10477" t="s">
        <v>18050</v>
      </c>
      <c r="E10477" t="s">
        <v>27201</v>
      </c>
      <c r="F10477" t="s">
        <v>31574</v>
      </c>
      <c r="G10477" t="s">
        <v>31582</v>
      </c>
      <c r="H10477" t="s">
        <v>31590</v>
      </c>
      <c r="I10477" t="s">
        <v>3539</v>
      </c>
      <c r="J10477" t="s">
        <v>38221</v>
      </c>
      <c r="K10477" t="s">
        <v>41196</v>
      </c>
      <c r="M10477" t="s">
        <v>41814</v>
      </c>
      <c r="N10477" t="s">
        <v>45095</v>
      </c>
      <c r="O10477" t="s">
        <v>45096</v>
      </c>
      <c r="P10477">
        <v>0</v>
      </c>
      <c r="Q10477">
        <v>1</v>
      </c>
      <c r="R10477" t="s">
        <v>45108</v>
      </c>
      <c r="S10477" t="s">
        <v>45434</v>
      </c>
      <c r="T10477" t="s">
        <v>47030</v>
      </c>
      <c r="U10477" t="s">
        <v>56089</v>
      </c>
      <c r="W10477" t="s">
        <v>41814</v>
      </c>
      <c r="X10477" t="s">
        <v>45109</v>
      </c>
    </row>
    <row r="10478" spans="1:24">
      <c r="A10478">
        <f>HYPERLINK("https://www.philgeps.gov.ph/GEPSNONPILOT/Tender/SplashBidNoticeAbstractUI.aspx?menuIndex=3&amp;refID=7028507&amp;Result=3","7028507")</f>
        <v>0</v>
      </c>
      <c r="B10478" t="s">
        <v>2744</v>
      </c>
      <c r="C10478" t="s">
        <v>13191</v>
      </c>
      <c r="D10478" t="s">
        <v>18051</v>
      </c>
      <c r="E10478" t="s">
        <v>27202</v>
      </c>
      <c r="F10478" t="s">
        <v>31574</v>
      </c>
      <c r="G10478" t="s">
        <v>31582</v>
      </c>
      <c r="H10478" t="s">
        <v>31591</v>
      </c>
      <c r="I10478" t="s">
        <v>8822</v>
      </c>
      <c r="J10478" t="s">
        <v>36559</v>
      </c>
      <c r="K10478" t="s">
        <v>41200</v>
      </c>
      <c r="M10478" t="s">
        <v>44516</v>
      </c>
      <c r="N10478" t="s">
        <v>45095</v>
      </c>
      <c r="O10478" t="s">
        <v>45096</v>
      </c>
      <c r="P10478">
        <v>0</v>
      </c>
      <c r="Q10478">
        <v>1</v>
      </c>
      <c r="R10478" t="s">
        <v>45108</v>
      </c>
      <c r="S10478" t="s">
        <v>45434</v>
      </c>
      <c r="T10478" t="s">
        <v>47266</v>
      </c>
      <c r="U10478" t="s">
        <v>56090</v>
      </c>
      <c r="W10478" t="s">
        <v>44516</v>
      </c>
      <c r="X10478" t="s">
        <v>45109</v>
      </c>
    </row>
    <row r="10479" spans="1:24">
      <c r="A10479">
        <f>HYPERLINK("https://www.philgeps.gov.ph/GEPSNONPILOT/Tender/SplashBidNoticeAbstractUI.aspx?menuIndex=3&amp;refID=7028482&amp;Result=3","7028482")</f>
        <v>0</v>
      </c>
      <c r="B10479" t="s">
        <v>800</v>
      </c>
      <c r="C10479" t="s">
        <v>13192</v>
      </c>
      <c r="D10479" t="s">
        <v>18106</v>
      </c>
      <c r="E10479" t="s">
        <v>27203</v>
      </c>
      <c r="F10479" t="s">
        <v>31574</v>
      </c>
      <c r="G10479" t="s">
        <v>31583</v>
      </c>
      <c r="H10479" t="s">
        <v>31590</v>
      </c>
      <c r="I10479" t="s">
        <v>31600</v>
      </c>
      <c r="J10479" t="s">
        <v>38243</v>
      </c>
      <c r="K10479" t="s">
        <v>41184</v>
      </c>
      <c r="M10479" t="s">
        <v>43132</v>
      </c>
      <c r="N10479" t="s">
        <v>45095</v>
      </c>
      <c r="O10479" t="s">
        <v>45096</v>
      </c>
      <c r="P10479">
        <v>0</v>
      </c>
      <c r="Q10479">
        <v>4</v>
      </c>
      <c r="R10479" t="s">
        <v>45108</v>
      </c>
      <c r="S10479" t="s">
        <v>45434</v>
      </c>
      <c r="T10479" t="s">
        <v>47076</v>
      </c>
      <c r="U10479" t="s">
        <v>56091</v>
      </c>
      <c r="W10479" t="s">
        <v>43132</v>
      </c>
      <c r="X10479" t="s">
        <v>45109</v>
      </c>
    </row>
    <row r="10480" spans="1:24">
      <c r="A10480">
        <f>HYPERLINK("https://www.philgeps.gov.ph/GEPSNONPILOT/Tender/SplashBidNoticeAbstractUI.aspx?menuIndex=3&amp;refID=7028526&amp;Result=3","7028526")</f>
        <v>0</v>
      </c>
      <c r="B10480" t="s">
        <v>2473</v>
      </c>
      <c r="C10480" t="s">
        <v>13193</v>
      </c>
      <c r="D10480" t="s">
        <v>18033</v>
      </c>
      <c r="E10480" t="s">
        <v>25686</v>
      </c>
      <c r="F10480" t="s">
        <v>31574</v>
      </c>
      <c r="G10480" t="s">
        <v>31582</v>
      </c>
      <c r="H10480" t="s">
        <v>31590</v>
      </c>
      <c r="I10480" t="s">
        <v>31625</v>
      </c>
      <c r="J10480" t="s">
        <v>38244</v>
      </c>
      <c r="K10480" t="s">
        <v>41186</v>
      </c>
      <c r="M10480" t="s">
        <v>44202</v>
      </c>
      <c r="N10480" t="s">
        <v>45095</v>
      </c>
      <c r="O10480" t="s">
        <v>45096</v>
      </c>
      <c r="P10480">
        <v>0</v>
      </c>
      <c r="Q10480">
        <v>1</v>
      </c>
      <c r="R10480" t="s">
        <v>45108</v>
      </c>
      <c r="S10480" t="s">
        <v>45434</v>
      </c>
      <c r="T10480" t="s">
        <v>47378</v>
      </c>
      <c r="U10480" t="s">
        <v>56092</v>
      </c>
      <c r="V10480" t="s">
        <v>60746</v>
      </c>
      <c r="W10480" t="s">
        <v>44202</v>
      </c>
      <c r="X10480" t="s">
        <v>45109</v>
      </c>
    </row>
    <row r="10481" spans="1:24">
      <c r="A10481">
        <f>HYPERLINK("https://www.philgeps.gov.ph/GEPSNONPILOT/Tender/SplashBidNoticeAbstractUI.aspx?menuIndex=3&amp;refID=7028494&amp;Result=3","7028494")</f>
        <v>0</v>
      </c>
      <c r="B10481" t="s">
        <v>2745</v>
      </c>
      <c r="C10481" t="s">
        <v>13194</v>
      </c>
      <c r="D10481" t="s">
        <v>18056</v>
      </c>
      <c r="E10481" t="s">
        <v>27204</v>
      </c>
      <c r="F10481" t="s">
        <v>31574</v>
      </c>
      <c r="G10481" t="s">
        <v>31582</v>
      </c>
      <c r="H10481" t="s">
        <v>31590</v>
      </c>
      <c r="I10481" t="s">
        <v>7162</v>
      </c>
      <c r="J10481" t="s">
        <v>31741</v>
      </c>
      <c r="K10481" t="s">
        <v>41190</v>
      </c>
      <c r="M10481" t="s">
        <v>44517</v>
      </c>
      <c r="N10481" t="s">
        <v>45095</v>
      </c>
      <c r="O10481" t="s">
        <v>45096</v>
      </c>
      <c r="P10481">
        <v>0</v>
      </c>
      <c r="Q10481">
        <v>2</v>
      </c>
      <c r="R10481" t="s">
        <v>45108</v>
      </c>
      <c r="S10481" t="s">
        <v>45434</v>
      </c>
      <c r="T10481" t="s">
        <v>47154</v>
      </c>
      <c r="U10481" t="s">
        <v>56093</v>
      </c>
      <c r="W10481" t="s">
        <v>44517</v>
      </c>
      <c r="X10481" t="s">
        <v>45109</v>
      </c>
    </row>
    <row r="10482" spans="1:24">
      <c r="A10482">
        <f>HYPERLINK("https://www.philgeps.gov.ph/GEPSNONPILOT/Tender/SplashBidNoticeAbstractUI.aspx?menuIndex=3&amp;refID=7028475&amp;Result=3","7028475")</f>
        <v>0</v>
      </c>
      <c r="B10482" t="s">
        <v>2169</v>
      </c>
      <c r="C10482" t="s">
        <v>13195</v>
      </c>
      <c r="D10482" t="s">
        <v>18046</v>
      </c>
      <c r="E10482" t="s">
        <v>27205</v>
      </c>
      <c r="F10482" t="s">
        <v>31575</v>
      </c>
      <c r="G10482" t="s">
        <v>31581</v>
      </c>
      <c r="H10482" t="s">
        <v>31590</v>
      </c>
      <c r="I10482" t="s">
        <v>31602</v>
      </c>
      <c r="J10482" t="s">
        <v>38245</v>
      </c>
      <c r="K10482" t="s">
        <v>41197</v>
      </c>
      <c r="M10482" t="s">
        <v>43854</v>
      </c>
      <c r="N10482" t="s">
        <v>45095</v>
      </c>
      <c r="O10482" t="s">
        <v>45096</v>
      </c>
      <c r="P10482">
        <v>0</v>
      </c>
      <c r="Q10482">
        <v>0</v>
      </c>
      <c r="R10482" t="s">
        <v>45108</v>
      </c>
      <c r="S10482" t="s">
        <v>45434</v>
      </c>
      <c r="T10482" t="s">
        <v>47064</v>
      </c>
      <c r="U10482" t="s">
        <v>53566</v>
      </c>
      <c r="V10482" t="s">
        <v>60631</v>
      </c>
      <c r="W10482" t="s">
        <v>61728</v>
      </c>
      <c r="X10482" t="s">
        <v>45109</v>
      </c>
    </row>
    <row r="10483" spans="1:24">
      <c r="A10483">
        <f>HYPERLINK("https://www.philgeps.gov.ph/GEPSNONPILOT/Tender/SplashBidNoticeAbstractUI.aspx?menuIndex=3&amp;refID=7028577&amp;Result=3","7028577")</f>
        <v>0</v>
      </c>
      <c r="B10483" t="s">
        <v>2240</v>
      </c>
      <c r="C10483" t="s">
        <v>13196</v>
      </c>
      <c r="D10483" t="s">
        <v>18041</v>
      </c>
      <c r="E10483" t="s">
        <v>27206</v>
      </c>
      <c r="F10483" t="s">
        <v>31574</v>
      </c>
      <c r="G10483" t="s">
        <v>31582</v>
      </c>
      <c r="H10483" t="s">
        <v>31590</v>
      </c>
      <c r="I10483" t="s">
        <v>31600</v>
      </c>
      <c r="J10483" t="s">
        <v>38246</v>
      </c>
      <c r="K10483" t="s">
        <v>41196</v>
      </c>
      <c r="M10483" t="s">
        <v>43937</v>
      </c>
      <c r="N10483" t="s">
        <v>45095</v>
      </c>
      <c r="O10483" t="s">
        <v>45096</v>
      </c>
      <c r="P10483">
        <v>0</v>
      </c>
      <c r="Q10483">
        <v>0</v>
      </c>
      <c r="R10483" t="s">
        <v>45108</v>
      </c>
      <c r="S10483" t="s">
        <v>45434</v>
      </c>
      <c r="T10483" t="s">
        <v>47124</v>
      </c>
      <c r="U10483" t="s">
        <v>55735</v>
      </c>
      <c r="W10483" t="s">
        <v>43937</v>
      </c>
      <c r="X10483" t="s">
        <v>45109</v>
      </c>
    </row>
    <row r="10484" spans="1:24">
      <c r="A10484">
        <f>HYPERLINK("https://www.philgeps.gov.ph/GEPSNONPILOT/Tender/SplashBidNoticeAbstractUI.aspx?menuIndex=3&amp;refID=7028508&amp;Result=3","7028508")</f>
        <v>0</v>
      </c>
      <c r="B10484" t="s">
        <v>1488</v>
      </c>
      <c r="C10484" t="s">
        <v>13197</v>
      </c>
      <c r="D10484" t="s">
        <v>18088</v>
      </c>
      <c r="E10484" t="s">
        <v>21914</v>
      </c>
      <c r="F10484" t="s">
        <v>31574</v>
      </c>
      <c r="G10484" t="s">
        <v>31582</v>
      </c>
      <c r="H10484" t="s">
        <v>31591</v>
      </c>
      <c r="I10484" t="s">
        <v>8822</v>
      </c>
      <c r="J10484" t="s">
        <v>32049</v>
      </c>
      <c r="K10484" t="s">
        <v>41184</v>
      </c>
      <c r="M10484" t="s">
        <v>43073</v>
      </c>
      <c r="N10484" t="s">
        <v>45095</v>
      </c>
      <c r="O10484" t="s">
        <v>45096</v>
      </c>
      <c r="P10484">
        <v>0</v>
      </c>
      <c r="Q10484">
        <v>0</v>
      </c>
      <c r="R10484" t="s">
        <v>45108</v>
      </c>
      <c r="S10484" t="s">
        <v>45434</v>
      </c>
      <c r="T10484" t="s">
        <v>46966</v>
      </c>
      <c r="U10484" t="s">
        <v>56094</v>
      </c>
      <c r="V10484" t="s">
        <v>60950</v>
      </c>
      <c r="W10484" t="s">
        <v>43073</v>
      </c>
      <c r="X10484" t="s">
        <v>45109</v>
      </c>
    </row>
    <row r="10485" spans="1:24">
      <c r="A10485">
        <f>HYPERLINK("https://www.philgeps.gov.ph/GEPSNONPILOT/Tender/SplashBidNoticeAbstractUI.aspx?menuIndex=3&amp;refID=7028394&amp;Result=3","7028394")</f>
        <v>0</v>
      </c>
      <c r="B10485" t="s">
        <v>1376</v>
      </c>
      <c r="C10485" t="s">
        <v>6922</v>
      </c>
      <c r="E10485" t="s">
        <v>27207</v>
      </c>
      <c r="F10485" t="s">
        <v>31574</v>
      </c>
      <c r="G10485" t="s">
        <v>31582</v>
      </c>
      <c r="H10485" t="s">
        <v>31592</v>
      </c>
      <c r="I10485" t="s">
        <v>31596</v>
      </c>
      <c r="J10485" t="s">
        <v>38247</v>
      </c>
      <c r="K10485" t="s">
        <v>41210</v>
      </c>
      <c r="M10485" t="s">
        <v>42950</v>
      </c>
      <c r="N10485" t="s">
        <v>45095</v>
      </c>
      <c r="O10485" t="s">
        <v>45096</v>
      </c>
      <c r="P10485">
        <v>0</v>
      </c>
      <c r="Q10485">
        <v>1</v>
      </c>
      <c r="R10485" t="s">
        <v>45108</v>
      </c>
      <c r="S10485" t="s">
        <v>45434</v>
      </c>
      <c r="T10485" t="s">
        <v>47196</v>
      </c>
      <c r="U10485" t="s">
        <v>50799</v>
      </c>
      <c r="W10485" t="s">
        <v>42950</v>
      </c>
      <c r="X10485" t="s">
        <v>45109</v>
      </c>
    </row>
    <row r="10486" spans="1:24">
      <c r="A10486">
        <f>HYPERLINK("https://www.philgeps.gov.ph/GEPSNONPILOT/Tender/SplashBidNoticeAbstractUI.aspx?menuIndex=3&amp;refID=7028569&amp;Result=3","7028569")</f>
        <v>0</v>
      </c>
      <c r="B10486" t="s">
        <v>2746</v>
      </c>
      <c r="C10486" t="s">
        <v>13198</v>
      </c>
      <c r="D10486" t="s">
        <v>18070</v>
      </c>
      <c r="E10486" t="s">
        <v>27208</v>
      </c>
      <c r="F10486" t="s">
        <v>31574</v>
      </c>
      <c r="G10486" t="s">
        <v>31582</v>
      </c>
      <c r="H10486" t="s">
        <v>31591</v>
      </c>
      <c r="I10486" t="s">
        <v>8822</v>
      </c>
      <c r="J10486" t="s">
        <v>38248</v>
      </c>
      <c r="K10486" t="s">
        <v>41243</v>
      </c>
      <c r="M10486" t="s">
        <v>44518</v>
      </c>
      <c r="N10486" t="s">
        <v>45095</v>
      </c>
      <c r="O10486" t="s">
        <v>45096</v>
      </c>
      <c r="P10486">
        <v>0</v>
      </c>
      <c r="Q10486">
        <v>0</v>
      </c>
      <c r="R10486" t="s">
        <v>45108</v>
      </c>
      <c r="S10486" t="s">
        <v>45434</v>
      </c>
      <c r="T10486" t="s">
        <v>47010</v>
      </c>
      <c r="U10486" t="s">
        <v>56095</v>
      </c>
      <c r="W10486" t="s">
        <v>44518</v>
      </c>
      <c r="X10486" t="s">
        <v>45109</v>
      </c>
    </row>
    <row r="10487" spans="1:24">
      <c r="A10487">
        <f>HYPERLINK("https://www.philgeps.gov.ph/GEPSNONPILOT/Tender/SplashBidNoticeAbstractUI.aspx?menuIndex=3&amp;refID=7028574&amp;Result=3","7028574")</f>
        <v>0</v>
      </c>
      <c r="B10487" t="s">
        <v>1488</v>
      </c>
      <c r="C10487" t="s">
        <v>13199</v>
      </c>
      <c r="D10487" t="s">
        <v>18088</v>
      </c>
      <c r="E10487" t="s">
        <v>21914</v>
      </c>
      <c r="F10487" t="s">
        <v>31574</v>
      </c>
      <c r="G10487" t="s">
        <v>31582</v>
      </c>
      <c r="H10487" t="s">
        <v>31591</v>
      </c>
      <c r="I10487" t="s">
        <v>8822</v>
      </c>
      <c r="J10487" t="s">
        <v>32026</v>
      </c>
      <c r="K10487" t="s">
        <v>41184</v>
      </c>
      <c r="M10487" t="s">
        <v>43073</v>
      </c>
      <c r="N10487" t="s">
        <v>45095</v>
      </c>
      <c r="O10487" t="s">
        <v>45096</v>
      </c>
      <c r="P10487">
        <v>0</v>
      </c>
      <c r="Q10487">
        <v>0</v>
      </c>
      <c r="R10487" t="s">
        <v>45108</v>
      </c>
      <c r="S10487" t="s">
        <v>45434</v>
      </c>
      <c r="T10487" t="s">
        <v>47000</v>
      </c>
      <c r="U10487" t="s">
        <v>56096</v>
      </c>
      <c r="V10487" t="s">
        <v>60951</v>
      </c>
      <c r="W10487" t="s">
        <v>43073</v>
      </c>
      <c r="X10487" t="s">
        <v>45109</v>
      </c>
    </row>
    <row r="10488" spans="1:24">
      <c r="A10488">
        <f>HYPERLINK("https://www.philgeps.gov.ph/GEPSNONPILOT/Tender/SplashBidNoticeAbstractUI.aspx?menuIndex=3&amp;refID=7028531&amp;Result=3","7028531")</f>
        <v>0</v>
      </c>
      <c r="B10488" t="s">
        <v>271</v>
      </c>
      <c r="C10488" t="s">
        <v>13200</v>
      </c>
      <c r="D10488" t="s">
        <v>18046</v>
      </c>
      <c r="E10488" t="s">
        <v>20026</v>
      </c>
      <c r="F10488" t="s">
        <v>31579</v>
      </c>
      <c r="G10488" t="s">
        <v>31582</v>
      </c>
      <c r="H10488" t="s">
        <v>31590</v>
      </c>
      <c r="I10488" t="s">
        <v>6800</v>
      </c>
      <c r="J10488" t="s">
        <v>38249</v>
      </c>
      <c r="K10488" t="s">
        <v>41193</v>
      </c>
      <c r="M10488" t="s">
        <v>41757</v>
      </c>
      <c r="N10488" t="s">
        <v>45095</v>
      </c>
      <c r="O10488" t="s">
        <v>45096</v>
      </c>
      <c r="P10488">
        <v>0</v>
      </c>
      <c r="Q10488">
        <v>0</v>
      </c>
      <c r="R10488" t="s">
        <v>45108</v>
      </c>
      <c r="S10488" t="s">
        <v>45434</v>
      </c>
      <c r="T10488" t="s">
        <v>46937</v>
      </c>
      <c r="U10488" t="s">
        <v>56097</v>
      </c>
      <c r="W10488" t="s">
        <v>41757</v>
      </c>
      <c r="X10488" t="s">
        <v>45109</v>
      </c>
    </row>
    <row r="10489" spans="1:24">
      <c r="A10489">
        <f>HYPERLINK("https://www.philgeps.gov.ph/GEPSNONPILOT/Tender/SplashBidNoticeAbstractUI.aspx?menuIndex=3&amp;refID=7028572&amp;Result=3","7028572")</f>
        <v>0</v>
      </c>
      <c r="B10489" t="s">
        <v>1329</v>
      </c>
      <c r="C10489" t="s">
        <v>13201</v>
      </c>
      <c r="E10489" t="s">
        <v>27209</v>
      </c>
      <c r="F10489" t="s">
        <v>31574</v>
      </c>
      <c r="G10489" t="s">
        <v>31582</v>
      </c>
      <c r="H10489" t="s">
        <v>31593</v>
      </c>
      <c r="I10489" t="s">
        <v>31593</v>
      </c>
      <c r="J10489" t="s">
        <v>38250</v>
      </c>
      <c r="K10489" t="s">
        <v>41237</v>
      </c>
      <c r="M10489" t="s">
        <v>44052</v>
      </c>
      <c r="N10489" t="s">
        <v>45095</v>
      </c>
      <c r="O10489" t="s">
        <v>45096</v>
      </c>
      <c r="P10489">
        <v>0</v>
      </c>
      <c r="Q10489">
        <v>6</v>
      </c>
      <c r="R10489" t="s">
        <v>45108</v>
      </c>
      <c r="S10489" t="s">
        <v>45434</v>
      </c>
      <c r="T10489" t="s">
        <v>47162</v>
      </c>
      <c r="U10489" t="s">
        <v>56079</v>
      </c>
      <c r="V10489" t="s">
        <v>60948</v>
      </c>
      <c r="W10489" t="s">
        <v>44052</v>
      </c>
      <c r="X10489" t="s">
        <v>45109</v>
      </c>
    </row>
    <row r="10490" spans="1:24">
      <c r="A10490">
        <f>HYPERLINK("https://www.philgeps.gov.ph/GEPSNONPILOT/Tender/SplashBidNoticeAbstractUI.aspx?menuIndex=3&amp;refID=7028580&amp;Result=3","7028580")</f>
        <v>0</v>
      </c>
      <c r="B10490" t="s">
        <v>2473</v>
      </c>
      <c r="C10490" t="s">
        <v>13202</v>
      </c>
      <c r="D10490" t="s">
        <v>18033</v>
      </c>
      <c r="E10490" t="s">
        <v>27210</v>
      </c>
      <c r="F10490" t="s">
        <v>31574</v>
      </c>
      <c r="G10490" t="s">
        <v>31582</v>
      </c>
      <c r="H10490" t="s">
        <v>31591</v>
      </c>
      <c r="I10490" t="s">
        <v>7162</v>
      </c>
      <c r="J10490" t="s">
        <v>32839</v>
      </c>
      <c r="K10490" t="s">
        <v>41186</v>
      </c>
      <c r="M10490" t="s">
        <v>44202</v>
      </c>
      <c r="N10490" t="s">
        <v>45095</v>
      </c>
      <c r="O10490" t="s">
        <v>45096</v>
      </c>
      <c r="P10490">
        <v>0</v>
      </c>
      <c r="Q10490">
        <v>3</v>
      </c>
      <c r="R10490" t="s">
        <v>45108</v>
      </c>
      <c r="S10490" t="s">
        <v>45434</v>
      </c>
      <c r="T10490" t="s">
        <v>47378</v>
      </c>
      <c r="U10490" t="s">
        <v>56098</v>
      </c>
      <c r="V10490" t="s">
        <v>60746</v>
      </c>
      <c r="W10490" t="s">
        <v>44202</v>
      </c>
      <c r="X10490" t="s">
        <v>45109</v>
      </c>
    </row>
    <row r="10491" spans="1:24">
      <c r="A10491">
        <f>HYPERLINK("https://www.philgeps.gov.ph/GEPSNONPILOT/Tender/SplashBidNoticeAbstractUI.aspx?menuIndex=3&amp;refID=7028529&amp;Result=3","7028529")</f>
        <v>0</v>
      </c>
      <c r="B10491" t="s">
        <v>1029</v>
      </c>
      <c r="C10491" t="s">
        <v>13203</v>
      </c>
      <c r="E10491" t="s">
        <v>27211</v>
      </c>
      <c r="F10491" t="s">
        <v>31574</v>
      </c>
      <c r="G10491" t="s">
        <v>31581</v>
      </c>
      <c r="H10491" t="s">
        <v>31590</v>
      </c>
      <c r="I10491" t="s">
        <v>3487</v>
      </c>
      <c r="J10491" t="s">
        <v>37937</v>
      </c>
      <c r="K10491" t="s">
        <v>41184</v>
      </c>
      <c r="M10491" t="s">
        <v>43982</v>
      </c>
      <c r="N10491" t="s">
        <v>45095</v>
      </c>
      <c r="O10491" t="s">
        <v>45096</v>
      </c>
      <c r="P10491">
        <v>0</v>
      </c>
      <c r="Q10491">
        <v>9</v>
      </c>
      <c r="R10491" t="s">
        <v>45108</v>
      </c>
      <c r="S10491" t="s">
        <v>45434</v>
      </c>
      <c r="T10491" t="s">
        <v>47197</v>
      </c>
      <c r="U10491" t="s">
        <v>54017</v>
      </c>
      <c r="W10491" t="s">
        <v>43982</v>
      </c>
      <c r="X10491" t="s">
        <v>45109</v>
      </c>
    </row>
    <row r="10492" spans="1:24">
      <c r="A10492">
        <f>HYPERLINK("https://www.philgeps.gov.ph/GEPSNONPILOT/Tender/SplashBidNoticeAbstractUI.aspx?menuIndex=3&amp;refID=7028530&amp;Result=3","7028530")</f>
        <v>0</v>
      </c>
      <c r="B10492" t="s">
        <v>2747</v>
      </c>
      <c r="C10492" t="s">
        <v>13204</v>
      </c>
      <c r="D10492" t="s">
        <v>18081</v>
      </c>
      <c r="E10492" t="s">
        <v>27212</v>
      </c>
      <c r="F10492" t="s">
        <v>31574</v>
      </c>
      <c r="G10492" t="s">
        <v>31582</v>
      </c>
      <c r="H10492" t="s">
        <v>31592</v>
      </c>
      <c r="I10492" t="s">
        <v>31636</v>
      </c>
      <c r="J10492" t="s">
        <v>31789</v>
      </c>
      <c r="K10492" t="s">
        <v>41193</v>
      </c>
      <c r="M10492" t="s">
        <v>44519</v>
      </c>
      <c r="N10492" t="s">
        <v>45095</v>
      </c>
      <c r="O10492" t="s">
        <v>45096</v>
      </c>
      <c r="P10492">
        <v>0</v>
      </c>
      <c r="Q10492">
        <v>2</v>
      </c>
      <c r="R10492" t="s">
        <v>45108</v>
      </c>
      <c r="S10492" t="s">
        <v>45434</v>
      </c>
      <c r="T10492" t="s">
        <v>47183</v>
      </c>
      <c r="U10492" t="s">
        <v>56099</v>
      </c>
      <c r="W10492" t="s">
        <v>44519</v>
      </c>
      <c r="X10492" t="s">
        <v>45109</v>
      </c>
    </row>
    <row r="10493" spans="1:24">
      <c r="A10493">
        <f>HYPERLINK("https://www.philgeps.gov.ph/GEPSNONPILOT/Tender/SplashBidNoticeAbstractUI.aspx?menuIndex=3&amp;refID=7028617&amp;Result=3","7028617")</f>
        <v>0</v>
      </c>
      <c r="B10493" t="s">
        <v>2747</v>
      </c>
      <c r="C10493" t="s">
        <v>13205</v>
      </c>
      <c r="D10493" t="s">
        <v>18081</v>
      </c>
      <c r="E10493" t="s">
        <v>27213</v>
      </c>
      <c r="F10493" t="s">
        <v>31574</v>
      </c>
      <c r="G10493" t="s">
        <v>31582</v>
      </c>
      <c r="H10493" t="s">
        <v>31590</v>
      </c>
      <c r="I10493" t="s">
        <v>31620</v>
      </c>
      <c r="J10493" t="s">
        <v>38251</v>
      </c>
      <c r="K10493" t="s">
        <v>41193</v>
      </c>
      <c r="M10493" t="s">
        <v>44519</v>
      </c>
      <c r="N10493" t="s">
        <v>45095</v>
      </c>
      <c r="O10493" t="s">
        <v>45096</v>
      </c>
      <c r="P10493">
        <v>0</v>
      </c>
      <c r="Q10493">
        <v>7</v>
      </c>
      <c r="R10493" t="s">
        <v>45108</v>
      </c>
      <c r="S10493" t="s">
        <v>45434</v>
      </c>
      <c r="T10493" t="s">
        <v>47183</v>
      </c>
      <c r="U10493" t="s">
        <v>56100</v>
      </c>
      <c r="V10493" t="s">
        <v>60952</v>
      </c>
      <c r="W10493" t="s">
        <v>44519</v>
      </c>
      <c r="X10493" t="s">
        <v>45109</v>
      </c>
    </row>
    <row r="10494" spans="1:24">
      <c r="A10494">
        <f>HYPERLINK("https://www.philgeps.gov.ph/GEPSNONPILOT/Tender/SplashBidNoticeAbstractUI.aspx?menuIndex=3&amp;refID=7028557&amp;Result=3","7028557")</f>
        <v>0</v>
      </c>
      <c r="B10494" t="s">
        <v>1029</v>
      </c>
      <c r="C10494" t="s">
        <v>13206</v>
      </c>
      <c r="E10494" t="s">
        <v>27214</v>
      </c>
      <c r="F10494" t="s">
        <v>31574</v>
      </c>
      <c r="G10494" t="s">
        <v>31581</v>
      </c>
      <c r="H10494" t="s">
        <v>31590</v>
      </c>
      <c r="I10494" t="s">
        <v>3487</v>
      </c>
      <c r="J10494" t="s">
        <v>33906</v>
      </c>
      <c r="K10494" t="s">
        <v>41184</v>
      </c>
      <c r="M10494" t="s">
        <v>43982</v>
      </c>
      <c r="N10494" t="s">
        <v>45095</v>
      </c>
      <c r="O10494" t="s">
        <v>45096</v>
      </c>
      <c r="P10494">
        <v>0</v>
      </c>
      <c r="Q10494">
        <v>7</v>
      </c>
      <c r="R10494" t="s">
        <v>45108</v>
      </c>
      <c r="S10494" t="s">
        <v>45434</v>
      </c>
      <c r="T10494" t="s">
        <v>47154</v>
      </c>
      <c r="U10494" t="s">
        <v>56101</v>
      </c>
      <c r="W10494" t="s">
        <v>43982</v>
      </c>
      <c r="X10494" t="s">
        <v>45109</v>
      </c>
    </row>
    <row r="10495" spans="1:24">
      <c r="A10495">
        <f>HYPERLINK("https://www.philgeps.gov.ph/GEPSNONPILOT/Tender/SplashBidNoticeAbstractUI.aspx?menuIndex=3&amp;refID=7028607&amp;Result=3","7028607")</f>
        <v>0</v>
      </c>
      <c r="B10495" t="s">
        <v>2169</v>
      </c>
      <c r="C10495" t="s">
        <v>13207</v>
      </c>
      <c r="D10495" t="s">
        <v>18046</v>
      </c>
      <c r="E10495" t="s">
        <v>27215</v>
      </c>
      <c r="F10495" t="s">
        <v>31575</v>
      </c>
      <c r="G10495" t="s">
        <v>31581</v>
      </c>
      <c r="H10495" t="s">
        <v>31590</v>
      </c>
      <c r="I10495" t="s">
        <v>31607</v>
      </c>
      <c r="J10495" t="s">
        <v>38252</v>
      </c>
      <c r="K10495" t="s">
        <v>41186</v>
      </c>
      <c r="M10495" t="s">
        <v>43854</v>
      </c>
      <c r="N10495" t="s">
        <v>45095</v>
      </c>
      <c r="O10495" t="s">
        <v>45096</v>
      </c>
      <c r="P10495">
        <v>0</v>
      </c>
      <c r="Q10495">
        <v>6</v>
      </c>
      <c r="R10495" t="s">
        <v>45108</v>
      </c>
      <c r="S10495" t="s">
        <v>45434</v>
      </c>
      <c r="T10495" t="s">
        <v>47064</v>
      </c>
      <c r="U10495" t="s">
        <v>53566</v>
      </c>
      <c r="V10495" t="s">
        <v>60631</v>
      </c>
      <c r="W10495" t="s">
        <v>61728</v>
      </c>
      <c r="X10495" t="s">
        <v>45109</v>
      </c>
    </row>
    <row r="10496" spans="1:24">
      <c r="A10496">
        <f>HYPERLINK("https://www.philgeps.gov.ph/GEPSNONPILOT/Tender/SplashBidNoticeAbstractUI.aspx?menuIndex=3&amp;refID=7028595&amp;Result=3","7028595")</f>
        <v>0</v>
      </c>
      <c r="B10496" t="s">
        <v>271</v>
      </c>
      <c r="C10496" t="s">
        <v>13208</v>
      </c>
      <c r="D10496" t="s">
        <v>18046</v>
      </c>
      <c r="E10496" t="s">
        <v>19124</v>
      </c>
      <c r="F10496" t="s">
        <v>31579</v>
      </c>
      <c r="G10496" t="s">
        <v>31582</v>
      </c>
      <c r="H10496" t="s">
        <v>31590</v>
      </c>
      <c r="I10496" t="s">
        <v>31599</v>
      </c>
      <c r="J10496" t="s">
        <v>38253</v>
      </c>
      <c r="K10496" t="s">
        <v>41193</v>
      </c>
      <c r="M10496" t="s">
        <v>41757</v>
      </c>
      <c r="N10496" t="s">
        <v>45095</v>
      </c>
      <c r="O10496" t="s">
        <v>45096</v>
      </c>
      <c r="P10496">
        <v>0</v>
      </c>
      <c r="Q10496">
        <v>0</v>
      </c>
      <c r="R10496" t="s">
        <v>45108</v>
      </c>
      <c r="S10496" t="s">
        <v>45434</v>
      </c>
      <c r="T10496" t="s">
        <v>46937</v>
      </c>
      <c r="U10496" t="s">
        <v>56102</v>
      </c>
      <c r="W10496" t="s">
        <v>41757</v>
      </c>
      <c r="X10496" t="s">
        <v>45109</v>
      </c>
    </row>
    <row r="10497" spans="1:24">
      <c r="A10497">
        <f>HYPERLINK("https://www.philgeps.gov.ph/GEPSNONPILOT/Tender/SplashBidNoticeAbstractUI.aspx?menuIndex=3&amp;refID=7028616&amp;Result=3","7028616")</f>
        <v>0</v>
      </c>
      <c r="B10497" t="s">
        <v>980</v>
      </c>
      <c r="C10497" t="s">
        <v>13209</v>
      </c>
      <c r="D10497" t="s">
        <v>18076</v>
      </c>
      <c r="E10497" t="s">
        <v>25131</v>
      </c>
      <c r="F10497" t="s">
        <v>31574</v>
      </c>
      <c r="G10497" t="s">
        <v>31582</v>
      </c>
      <c r="H10497" t="s">
        <v>31590</v>
      </c>
      <c r="I10497" t="s">
        <v>31615</v>
      </c>
      <c r="J10497" t="s">
        <v>32120</v>
      </c>
      <c r="K10497" t="s">
        <v>41192</v>
      </c>
      <c r="L10497" t="s">
        <v>980</v>
      </c>
      <c r="M10497" t="s">
        <v>42514</v>
      </c>
      <c r="N10497" t="s">
        <v>45095</v>
      </c>
      <c r="O10497" t="s">
        <v>45096</v>
      </c>
      <c r="P10497">
        <v>0</v>
      </c>
      <c r="Q10497">
        <v>3</v>
      </c>
      <c r="R10497" t="s">
        <v>45108</v>
      </c>
      <c r="S10497" t="s">
        <v>45434</v>
      </c>
      <c r="T10497" t="s">
        <v>47243</v>
      </c>
      <c r="U10497" t="s">
        <v>56103</v>
      </c>
      <c r="V10497" t="s">
        <v>60953</v>
      </c>
      <c r="W10497" t="s">
        <v>42514</v>
      </c>
      <c r="X10497" t="s">
        <v>45109</v>
      </c>
    </row>
    <row r="10498" spans="1:24">
      <c r="A10498">
        <f>HYPERLINK("https://www.philgeps.gov.ph/GEPSNONPILOT/Tender/SplashBidNoticeAbstractUI.aspx?menuIndex=3&amp;refID=7028626&amp;Result=3","7028626")</f>
        <v>0</v>
      </c>
      <c r="B10498" t="s">
        <v>2748</v>
      </c>
      <c r="C10498" t="s">
        <v>13210</v>
      </c>
      <c r="D10498" t="s">
        <v>18068</v>
      </c>
      <c r="E10498" t="s">
        <v>27216</v>
      </c>
      <c r="F10498" t="s">
        <v>31574</v>
      </c>
      <c r="G10498" t="s">
        <v>31582</v>
      </c>
      <c r="H10498" t="s">
        <v>31590</v>
      </c>
      <c r="I10498" t="s">
        <v>31594</v>
      </c>
      <c r="J10498" t="s">
        <v>38254</v>
      </c>
      <c r="K10498" t="s">
        <v>41195</v>
      </c>
      <c r="M10498" t="s">
        <v>44520</v>
      </c>
      <c r="N10498" t="s">
        <v>45095</v>
      </c>
      <c r="O10498" t="s">
        <v>45096</v>
      </c>
      <c r="P10498">
        <v>0</v>
      </c>
      <c r="Q10498">
        <v>7</v>
      </c>
      <c r="R10498" t="s">
        <v>45108</v>
      </c>
      <c r="S10498" t="s">
        <v>45434</v>
      </c>
      <c r="T10498" t="s">
        <v>47079</v>
      </c>
      <c r="U10498" t="s">
        <v>56104</v>
      </c>
      <c r="W10498" t="s">
        <v>44520</v>
      </c>
      <c r="X10498" t="s">
        <v>45109</v>
      </c>
    </row>
    <row r="10499" spans="1:24">
      <c r="A10499">
        <f>HYPERLINK("https://www.philgeps.gov.ph/GEPSNONPILOT/Tender/SplashBidNoticeAbstractUI.aspx?menuIndex=3&amp;refID=7028559&amp;Result=3","7028559")</f>
        <v>0</v>
      </c>
      <c r="B10499" t="s">
        <v>851</v>
      </c>
      <c r="C10499" t="s">
        <v>13211</v>
      </c>
      <c r="D10499" t="s">
        <v>18045</v>
      </c>
      <c r="E10499" t="s">
        <v>27217</v>
      </c>
      <c r="F10499" t="s">
        <v>31574</v>
      </c>
      <c r="G10499" t="s">
        <v>31582</v>
      </c>
      <c r="H10499" t="s">
        <v>31591</v>
      </c>
      <c r="I10499" t="s">
        <v>8822</v>
      </c>
      <c r="J10499" t="s">
        <v>34069</v>
      </c>
      <c r="K10499" t="s">
        <v>41339</v>
      </c>
      <c r="M10499" t="s">
        <v>42370</v>
      </c>
      <c r="N10499" t="s">
        <v>45095</v>
      </c>
      <c r="O10499" t="s">
        <v>45096</v>
      </c>
      <c r="P10499">
        <v>0</v>
      </c>
      <c r="Q10499">
        <v>0</v>
      </c>
      <c r="R10499" t="s">
        <v>45108</v>
      </c>
      <c r="S10499" t="s">
        <v>45434</v>
      </c>
      <c r="T10499" t="s">
        <v>47019</v>
      </c>
      <c r="U10499" t="s">
        <v>56105</v>
      </c>
      <c r="W10499" t="s">
        <v>42370</v>
      </c>
      <c r="X10499" t="s">
        <v>45109</v>
      </c>
    </row>
    <row r="10500" spans="1:24">
      <c r="A10500">
        <f>HYPERLINK("https://www.philgeps.gov.ph/GEPSNONPILOT/Tender/SplashBidNoticeAbstractUI.aspx?menuIndex=3&amp;refID=7028610&amp;Result=3","7028610")</f>
        <v>0</v>
      </c>
      <c r="B10500" t="s">
        <v>1329</v>
      </c>
      <c r="C10500" t="s">
        <v>13212</v>
      </c>
      <c r="E10500" t="s">
        <v>27218</v>
      </c>
      <c r="F10500" t="s">
        <v>31574</v>
      </c>
      <c r="G10500" t="s">
        <v>31582</v>
      </c>
      <c r="H10500" t="s">
        <v>31593</v>
      </c>
      <c r="I10500" t="s">
        <v>31593</v>
      </c>
      <c r="J10500" t="s">
        <v>38255</v>
      </c>
      <c r="K10500" t="s">
        <v>41237</v>
      </c>
      <c r="M10500" t="s">
        <v>44052</v>
      </c>
      <c r="N10500" t="s">
        <v>45095</v>
      </c>
      <c r="O10500" t="s">
        <v>45096</v>
      </c>
      <c r="P10500">
        <v>0</v>
      </c>
      <c r="Q10500">
        <v>5</v>
      </c>
      <c r="R10500" t="s">
        <v>45108</v>
      </c>
      <c r="S10500" t="s">
        <v>45434</v>
      </c>
      <c r="T10500" t="s">
        <v>47162</v>
      </c>
      <c r="U10500" t="s">
        <v>56079</v>
      </c>
      <c r="V10500" t="s">
        <v>60948</v>
      </c>
      <c r="W10500" t="s">
        <v>44052</v>
      </c>
      <c r="X10500" t="s">
        <v>45109</v>
      </c>
    </row>
    <row r="10501" spans="1:24">
      <c r="A10501">
        <f>HYPERLINK("https://www.philgeps.gov.ph/GEPSNONPILOT/Tender/SplashBidNoticeAbstractUI.aspx?menuIndex=3&amp;refID=7028635&amp;Result=3","7028635")</f>
        <v>0</v>
      </c>
      <c r="B10501" t="s">
        <v>1436</v>
      </c>
      <c r="C10501" t="s">
        <v>13213</v>
      </c>
      <c r="D10501" t="s">
        <v>18040</v>
      </c>
      <c r="E10501" t="s">
        <v>27219</v>
      </c>
      <c r="F10501" t="s">
        <v>31574</v>
      </c>
      <c r="G10501" t="s">
        <v>31582</v>
      </c>
      <c r="H10501" t="s">
        <v>31591</v>
      </c>
      <c r="I10501" t="s">
        <v>8822</v>
      </c>
      <c r="J10501" t="s">
        <v>32355</v>
      </c>
      <c r="K10501" t="s">
        <v>41186</v>
      </c>
      <c r="M10501" t="s">
        <v>43012</v>
      </c>
      <c r="N10501" t="s">
        <v>45095</v>
      </c>
      <c r="O10501" t="s">
        <v>45096</v>
      </c>
      <c r="P10501">
        <v>0</v>
      </c>
      <c r="Q10501">
        <v>1</v>
      </c>
      <c r="R10501" t="s">
        <v>45108</v>
      </c>
      <c r="S10501" t="s">
        <v>45434</v>
      </c>
      <c r="T10501" t="s">
        <v>46905</v>
      </c>
      <c r="U10501" t="s">
        <v>56106</v>
      </c>
      <c r="W10501" t="s">
        <v>43012</v>
      </c>
      <c r="X10501" t="s">
        <v>45109</v>
      </c>
    </row>
    <row r="10502" spans="1:24">
      <c r="A10502">
        <f>HYPERLINK("https://www.philgeps.gov.ph/GEPSNONPILOT/Tender/SplashBidNoticeAbstractUI.aspx?menuIndex=3&amp;refID=7028609&amp;Result=3","7028609")</f>
        <v>0</v>
      </c>
      <c r="B10502" t="s">
        <v>2749</v>
      </c>
      <c r="C10502" t="s">
        <v>13214</v>
      </c>
      <c r="D10502" t="s">
        <v>18072</v>
      </c>
      <c r="E10502" t="s">
        <v>27220</v>
      </c>
      <c r="F10502" t="s">
        <v>31574</v>
      </c>
      <c r="G10502" t="s">
        <v>31582</v>
      </c>
      <c r="H10502" t="s">
        <v>31590</v>
      </c>
      <c r="I10502" t="s">
        <v>31619</v>
      </c>
      <c r="J10502" t="s">
        <v>31960</v>
      </c>
      <c r="K10502" t="s">
        <v>41196</v>
      </c>
      <c r="M10502" t="s">
        <v>44521</v>
      </c>
      <c r="N10502" t="s">
        <v>45095</v>
      </c>
      <c r="O10502" t="s">
        <v>45096</v>
      </c>
      <c r="P10502">
        <v>0</v>
      </c>
      <c r="Q10502">
        <v>1</v>
      </c>
      <c r="R10502" t="s">
        <v>45108</v>
      </c>
      <c r="S10502" t="s">
        <v>45434</v>
      </c>
      <c r="T10502" t="s">
        <v>46949</v>
      </c>
      <c r="U10502" t="s">
        <v>56107</v>
      </c>
      <c r="W10502" t="s">
        <v>44521</v>
      </c>
      <c r="X10502" t="s">
        <v>45109</v>
      </c>
    </row>
    <row r="10503" spans="1:24">
      <c r="A10503">
        <f>HYPERLINK("https://www.philgeps.gov.ph/GEPSNONPILOT/Tender/SplashBidNoticeAbstractUI.aspx?menuIndex=3&amp;refID=7028685&amp;Result=3","7028685")</f>
        <v>0</v>
      </c>
      <c r="B10503" t="s">
        <v>1329</v>
      </c>
      <c r="C10503" t="s">
        <v>13215</v>
      </c>
      <c r="E10503" t="s">
        <v>27221</v>
      </c>
      <c r="F10503" t="s">
        <v>31574</v>
      </c>
      <c r="G10503" t="s">
        <v>31582</v>
      </c>
      <c r="H10503" t="s">
        <v>31593</v>
      </c>
      <c r="I10503" t="s">
        <v>31593</v>
      </c>
      <c r="J10503" t="s">
        <v>38256</v>
      </c>
      <c r="K10503" t="s">
        <v>41237</v>
      </c>
      <c r="M10503" t="s">
        <v>44052</v>
      </c>
      <c r="N10503" t="s">
        <v>45095</v>
      </c>
      <c r="O10503" t="s">
        <v>45096</v>
      </c>
      <c r="P10503">
        <v>0</v>
      </c>
      <c r="Q10503">
        <v>6</v>
      </c>
      <c r="R10503" t="s">
        <v>45108</v>
      </c>
      <c r="S10503" t="s">
        <v>45434</v>
      </c>
      <c r="T10503" t="s">
        <v>47162</v>
      </c>
      <c r="U10503" t="s">
        <v>56079</v>
      </c>
      <c r="V10503" t="s">
        <v>60948</v>
      </c>
      <c r="W10503" t="s">
        <v>44052</v>
      </c>
      <c r="X10503" t="s">
        <v>45109</v>
      </c>
    </row>
    <row r="10504" spans="1:24">
      <c r="A10504">
        <f>HYPERLINK("https://www.philgeps.gov.ph/GEPSNONPILOT/Tender/SplashBidNoticeAbstractUI.aspx?menuIndex=3&amp;refID=7028669&amp;Result=3","7028669")</f>
        <v>0</v>
      </c>
      <c r="B10504" t="s">
        <v>768</v>
      </c>
      <c r="C10504" t="s">
        <v>13216</v>
      </c>
      <c r="D10504" t="s">
        <v>18086</v>
      </c>
      <c r="E10504" t="s">
        <v>27222</v>
      </c>
      <c r="F10504" t="s">
        <v>31574</v>
      </c>
      <c r="G10504" t="s">
        <v>31582</v>
      </c>
      <c r="H10504" t="s">
        <v>31591</v>
      </c>
      <c r="I10504" t="s">
        <v>8822</v>
      </c>
      <c r="J10504" t="s">
        <v>38257</v>
      </c>
      <c r="K10504" t="s">
        <v>41189</v>
      </c>
      <c r="M10504" t="s">
        <v>42282</v>
      </c>
      <c r="N10504" t="s">
        <v>45095</v>
      </c>
      <c r="O10504" t="s">
        <v>45096</v>
      </c>
      <c r="P10504">
        <v>0</v>
      </c>
      <c r="Q10504">
        <v>0</v>
      </c>
      <c r="R10504" t="s">
        <v>45108</v>
      </c>
      <c r="S10504" t="s">
        <v>45434</v>
      </c>
      <c r="T10504" t="s">
        <v>46977</v>
      </c>
      <c r="U10504" t="s">
        <v>56108</v>
      </c>
      <c r="W10504" t="s">
        <v>42282</v>
      </c>
      <c r="X10504" t="s">
        <v>45109</v>
      </c>
    </row>
    <row r="10505" spans="1:24">
      <c r="A10505">
        <f>HYPERLINK("https://www.philgeps.gov.ph/GEPSNONPILOT/Tender/SplashBidNoticeAbstractUI.aspx?menuIndex=3&amp;refID=7028648&amp;Result=3","7028648")</f>
        <v>0</v>
      </c>
      <c r="B10505" t="s">
        <v>2669</v>
      </c>
      <c r="C10505" t="s">
        <v>13217</v>
      </c>
      <c r="D10505" t="s">
        <v>18037</v>
      </c>
      <c r="E10505" t="s">
        <v>27223</v>
      </c>
      <c r="F10505" t="s">
        <v>31574</v>
      </c>
      <c r="G10505" t="s">
        <v>31582</v>
      </c>
      <c r="H10505" t="s">
        <v>31591</v>
      </c>
      <c r="I10505" t="s">
        <v>8822</v>
      </c>
      <c r="J10505" t="s">
        <v>38258</v>
      </c>
      <c r="K10505" t="s">
        <v>41185</v>
      </c>
      <c r="M10505" t="s">
        <v>44430</v>
      </c>
      <c r="N10505" t="s">
        <v>45095</v>
      </c>
      <c r="O10505" t="s">
        <v>45096</v>
      </c>
      <c r="P10505">
        <v>0</v>
      </c>
      <c r="Q10505">
        <v>0</v>
      </c>
      <c r="R10505" t="s">
        <v>45108</v>
      </c>
      <c r="S10505" t="s">
        <v>45434</v>
      </c>
      <c r="T10505" t="s">
        <v>47371</v>
      </c>
      <c r="U10505" t="s">
        <v>55669</v>
      </c>
      <c r="W10505" t="s">
        <v>44430</v>
      </c>
      <c r="X10505" t="s">
        <v>45109</v>
      </c>
    </row>
    <row r="10506" spans="1:24">
      <c r="A10506">
        <f>HYPERLINK("https://www.philgeps.gov.ph/GEPSNONPILOT/Tender/SplashBidNoticeAbstractUI.aspx?menuIndex=3&amp;refID=7028664&amp;Result=3","7028664")</f>
        <v>0</v>
      </c>
      <c r="B10506" t="s">
        <v>2750</v>
      </c>
      <c r="C10506" t="s">
        <v>8778</v>
      </c>
      <c r="D10506" t="s">
        <v>18040</v>
      </c>
      <c r="E10506" t="s">
        <v>27224</v>
      </c>
      <c r="F10506" t="s">
        <v>31574</v>
      </c>
      <c r="G10506" t="s">
        <v>31582</v>
      </c>
      <c r="H10506" t="s">
        <v>31590</v>
      </c>
      <c r="I10506" t="s">
        <v>31619</v>
      </c>
      <c r="J10506" t="s">
        <v>32290</v>
      </c>
      <c r="K10506" t="s">
        <v>41186</v>
      </c>
      <c r="M10506" t="s">
        <v>44522</v>
      </c>
      <c r="N10506" t="s">
        <v>45095</v>
      </c>
      <c r="O10506" t="s">
        <v>45096</v>
      </c>
      <c r="P10506">
        <v>0</v>
      </c>
      <c r="Q10506">
        <v>2</v>
      </c>
      <c r="R10506" t="s">
        <v>45108</v>
      </c>
      <c r="S10506" t="s">
        <v>45434</v>
      </c>
      <c r="T10506" t="s">
        <v>47097</v>
      </c>
      <c r="U10506" t="s">
        <v>56109</v>
      </c>
      <c r="V10506" t="s">
        <v>60954</v>
      </c>
      <c r="W10506" t="s">
        <v>44522</v>
      </c>
      <c r="X10506" t="s">
        <v>45109</v>
      </c>
    </row>
    <row r="10507" spans="1:24">
      <c r="A10507">
        <f>HYPERLINK("https://www.philgeps.gov.ph/GEPSNONPILOT/Tender/SplashBidNoticeAbstractUI.aspx?menuIndex=3&amp;refID=7028636&amp;Result=3","7028636")</f>
        <v>0</v>
      </c>
      <c r="B10507" t="s">
        <v>2751</v>
      </c>
      <c r="C10507" t="s">
        <v>13218</v>
      </c>
      <c r="D10507" t="s">
        <v>18049</v>
      </c>
      <c r="E10507" t="s">
        <v>27225</v>
      </c>
      <c r="F10507" t="s">
        <v>31574</v>
      </c>
      <c r="G10507" t="s">
        <v>31582</v>
      </c>
      <c r="H10507" t="s">
        <v>31591</v>
      </c>
      <c r="I10507" t="s">
        <v>8822</v>
      </c>
      <c r="J10507" t="s">
        <v>38259</v>
      </c>
      <c r="K10507" t="s">
        <v>41192</v>
      </c>
      <c r="M10507" t="s">
        <v>44523</v>
      </c>
      <c r="N10507" t="s">
        <v>45095</v>
      </c>
      <c r="O10507" t="s">
        <v>45096</v>
      </c>
      <c r="P10507">
        <v>0</v>
      </c>
      <c r="Q10507">
        <v>1</v>
      </c>
      <c r="R10507" t="s">
        <v>45108</v>
      </c>
      <c r="S10507" t="s">
        <v>45434</v>
      </c>
      <c r="T10507" t="s">
        <v>47134</v>
      </c>
      <c r="U10507" t="s">
        <v>56110</v>
      </c>
      <c r="W10507" t="s">
        <v>44523</v>
      </c>
      <c r="X10507" t="s">
        <v>45109</v>
      </c>
    </row>
    <row r="10508" spans="1:24">
      <c r="A10508">
        <f>HYPERLINK("https://www.philgeps.gov.ph/GEPSNONPILOT/Tender/SplashBidNoticeAbstractUI.aspx?menuIndex=3&amp;refID=7028653&amp;Result=3","7028653")</f>
        <v>0</v>
      </c>
      <c r="B10508" t="s">
        <v>2169</v>
      </c>
      <c r="C10508" t="s">
        <v>13219</v>
      </c>
      <c r="D10508" t="s">
        <v>18046</v>
      </c>
      <c r="E10508" t="s">
        <v>27226</v>
      </c>
      <c r="F10508" t="s">
        <v>31575</v>
      </c>
      <c r="G10508" t="s">
        <v>31581</v>
      </c>
      <c r="H10508" t="s">
        <v>31590</v>
      </c>
      <c r="I10508" t="s">
        <v>31607</v>
      </c>
      <c r="J10508" t="s">
        <v>32017</v>
      </c>
      <c r="K10508" t="s">
        <v>41186</v>
      </c>
      <c r="M10508" t="s">
        <v>43854</v>
      </c>
      <c r="N10508" t="s">
        <v>45095</v>
      </c>
      <c r="O10508" t="s">
        <v>45096</v>
      </c>
      <c r="P10508">
        <v>0</v>
      </c>
      <c r="Q10508">
        <v>6</v>
      </c>
      <c r="R10508" t="s">
        <v>45108</v>
      </c>
      <c r="S10508" t="s">
        <v>45434</v>
      </c>
      <c r="T10508" t="s">
        <v>47064</v>
      </c>
      <c r="U10508" t="s">
        <v>53566</v>
      </c>
      <c r="V10508" t="s">
        <v>60631</v>
      </c>
      <c r="W10508" t="s">
        <v>61728</v>
      </c>
      <c r="X10508" t="s">
        <v>45109</v>
      </c>
    </row>
    <row r="10509" spans="1:24">
      <c r="A10509">
        <f>HYPERLINK("https://www.philgeps.gov.ph/GEPSNONPILOT/Tender/SplashBidNoticeAbstractUI.aspx?menuIndex=3&amp;refID=7028729&amp;Result=3","7028729")</f>
        <v>0</v>
      </c>
      <c r="B10509" t="s">
        <v>2660</v>
      </c>
      <c r="C10509" t="s">
        <v>13220</v>
      </c>
      <c r="D10509" t="s">
        <v>18072</v>
      </c>
      <c r="E10509" t="s">
        <v>19792</v>
      </c>
      <c r="F10509" t="s">
        <v>31574</v>
      </c>
      <c r="G10509" t="s">
        <v>31581</v>
      </c>
      <c r="H10509" t="s">
        <v>31590</v>
      </c>
      <c r="I10509" t="s">
        <v>3487</v>
      </c>
      <c r="J10509" t="s">
        <v>38260</v>
      </c>
      <c r="K10509" t="s">
        <v>41186</v>
      </c>
      <c r="M10509" t="s">
        <v>44419</v>
      </c>
      <c r="N10509" t="s">
        <v>45095</v>
      </c>
      <c r="O10509" t="s">
        <v>45096</v>
      </c>
      <c r="P10509">
        <v>0</v>
      </c>
      <c r="Q10509">
        <v>1</v>
      </c>
      <c r="R10509" t="s">
        <v>45108</v>
      </c>
      <c r="S10509" t="s">
        <v>45434</v>
      </c>
      <c r="T10509" t="s">
        <v>47030</v>
      </c>
      <c r="U10509" t="s">
        <v>56111</v>
      </c>
      <c r="W10509" t="s">
        <v>44419</v>
      </c>
      <c r="X10509" t="s">
        <v>45109</v>
      </c>
    </row>
    <row r="10510" spans="1:24">
      <c r="A10510">
        <f>HYPERLINK("https://www.philgeps.gov.ph/GEPSNONPILOT/Tender/SplashBidNoticeAbstractUI.aspx?menuIndex=3&amp;refID=7028724&amp;Result=3","7028724")</f>
        <v>0</v>
      </c>
      <c r="B10510" t="s">
        <v>1165</v>
      </c>
      <c r="C10510" t="s">
        <v>13221</v>
      </c>
      <c r="D10510" t="s">
        <v>18030</v>
      </c>
      <c r="E10510" t="s">
        <v>27227</v>
      </c>
      <c r="F10510" t="s">
        <v>31574</v>
      </c>
      <c r="G10510" t="s">
        <v>31582</v>
      </c>
      <c r="H10510" t="s">
        <v>31590</v>
      </c>
      <c r="I10510" t="s">
        <v>4046</v>
      </c>
      <c r="J10510" t="s">
        <v>38261</v>
      </c>
      <c r="K10510" t="s">
        <v>41184</v>
      </c>
      <c r="M10510" t="s">
        <v>42724</v>
      </c>
      <c r="N10510" t="s">
        <v>45095</v>
      </c>
      <c r="O10510" t="s">
        <v>45096</v>
      </c>
      <c r="P10510">
        <v>0</v>
      </c>
      <c r="Q10510">
        <v>7</v>
      </c>
      <c r="R10510" t="s">
        <v>45108</v>
      </c>
      <c r="S10510" t="s">
        <v>45434</v>
      </c>
      <c r="T10510" t="s">
        <v>47300</v>
      </c>
      <c r="U10510" t="s">
        <v>56112</v>
      </c>
      <c r="W10510" t="s">
        <v>42724</v>
      </c>
      <c r="X10510" t="s">
        <v>45109</v>
      </c>
    </row>
    <row r="10511" spans="1:24">
      <c r="A10511">
        <f>HYPERLINK("https://www.philgeps.gov.ph/GEPSNONPILOT/Tender/SplashBidNoticeAbstractUI.aspx?menuIndex=3&amp;refID=7028645&amp;Result=3","7028645")</f>
        <v>0</v>
      </c>
      <c r="B10511" t="s">
        <v>1165</v>
      </c>
      <c r="C10511" t="s">
        <v>13222</v>
      </c>
      <c r="D10511" t="s">
        <v>18030</v>
      </c>
      <c r="E10511" t="s">
        <v>27228</v>
      </c>
      <c r="F10511" t="s">
        <v>31574</v>
      </c>
      <c r="G10511" t="s">
        <v>31582</v>
      </c>
      <c r="H10511" t="s">
        <v>31590</v>
      </c>
      <c r="I10511" t="s">
        <v>4046</v>
      </c>
      <c r="J10511" t="s">
        <v>38262</v>
      </c>
      <c r="K10511" t="s">
        <v>41184</v>
      </c>
      <c r="M10511" t="s">
        <v>42724</v>
      </c>
      <c r="N10511" t="s">
        <v>45095</v>
      </c>
      <c r="O10511" t="s">
        <v>45096</v>
      </c>
      <c r="P10511">
        <v>0</v>
      </c>
      <c r="Q10511">
        <v>4</v>
      </c>
      <c r="R10511" t="s">
        <v>45108</v>
      </c>
      <c r="S10511" t="s">
        <v>45434</v>
      </c>
      <c r="T10511" t="s">
        <v>47300</v>
      </c>
      <c r="U10511" t="s">
        <v>56113</v>
      </c>
      <c r="W10511" t="s">
        <v>42724</v>
      </c>
      <c r="X10511" t="s">
        <v>45109</v>
      </c>
    </row>
    <row r="10512" spans="1:24">
      <c r="A10512">
        <f>HYPERLINK("https://www.philgeps.gov.ph/GEPSNONPILOT/Tender/SplashBidNoticeAbstractUI.aspx?menuIndex=3&amp;refID=7028711&amp;Result=3","7028711")</f>
        <v>0</v>
      </c>
      <c r="B10512" t="s">
        <v>980</v>
      </c>
      <c r="C10512" t="s">
        <v>13223</v>
      </c>
      <c r="D10512" t="s">
        <v>18076</v>
      </c>
      <c r="E10512" t="s">
        <v>27229</v>
      </c>
      <c r="F10512" t="s">
        <v>31574</v>
      </c>
      <c r="G10512" t="s">
        <v>31582</v>
      </c>
      <c r="H10512" t="s">
        <v>31590</v>
      </c>
      <c r="I10512" t="s">
        <v>31615</v>
      </c>
      <c r="J10512" t="s">
        <v>31730</v>
      </c>
      <c r="K10512" t="s">
        <v>41192</v>
      </c>
      <c r="L10512" t="s">
        <v>980</v>
      </c>
      <c r="M10512" t="s">
        <v>42514</v>
      </c>
      <c r="N10512" t="s">
        <v>45095</v>
      </c>
      <c r="O10512" t="s">
        <v>45096</v>
      </c>
      <c r="P10512">
        <v>0</v>
      </c>
      <c r="Q10512">
        <v>12</v>
      </c>
      <c r="R10512" t="s">
        <v>45108</v>
      </c>
      <c r="S10512" t="s">
        <v>45434</v>
      </c>
      <c r="T10512" t="s">
        <v>47243</v>
      </c>
      <c r="U10512" t="s">
        <v>56114</v>
      </c>
      <c r="V10512" t="s">
        <v>60953</v>
      </c>
      <c r="W10512" t="s">
        <v>42514</v>
      </c>
      <c r="X10512" t="s">
        <v>45109</v>
      </c>
    </row>
    <row r="10513" spans="1:24">
      <c r="A10513">
        <f>HYPERLINK("https://www.philgeps.gov.ph/GEPSNONPILOT/Tender/SplashBidNoticeAbstractUI.aspx?menuIndex=3&amp;refID=7028718&amp;Result=3","7028718")</f>
        <v>0</v>
      </c>
      <c r="B10513" t="s">
        <v>1329</v>
      </c>
      <c r="C10513" t="s">
        <v>13224</v>
      </c>
      <c r="E10513" t="s">
        <v>27230</v>
      </c>
      <c r="F10513" t="s">
        <v>31574</v>
      </c>
      <c r="G10513" t="s">
        <v>31582</v>
      </c>
      <c r="H10513" t="s">
        <v>31593</v>
      </c>
      <c r="I10513" t="s">
        <v>31593</v>
      </c>
      <c r="J10513" t="s">
        <v>38263</v>
      </c>
      <c r="K10513" t="s">
        <v>41237</v>
      </c>
      <c r="M10513" t="s">
        <v>44052</v>
      </c>
      <c r="N10513" t="s">
        <v>45095</v>
      </c>
      <c r="O10513" t="s">
        <v>45096</v>
      </c>
      <c r="P10513">
        <v>0</v>
      </c>
      <c r="Q10513">
        <v>6</v>
      </c>
      <c r="R10513" t="s">
        <v>45108</v>
      </c>
      <c r="S10513" t="s">
        <v>45434</v>
      </c>
      <c r="T10513" t="s">
        <v>47162</v>
      </c>
      <c r="U10513" t="s">
        <v>56079</v>
      </c>
      <c r="V10513" t="s">
        <v>60948</v>
      </c>
      <c r="W10513" t="s">
        <v>44052</v>
      </c>
      <c r="X10513" t="s">
        <v>45109</v>
      </c>
    </row>
    <row r="10514" spans="1:24">
      <c r="A10514">
        <f>HYPERLINK("https://www.philgeps.gov.ph/GEPSNONPILOT/Tender/SplashBidNoticeAbstractUI.aspx?menuIndex=3&amp;refID=7028701&amp;Result=3","7028701")</f>
        <v>0</v>
      </c>
      <c r="B10514" t="s">
        <v>2747</v>
      </c>
      <c r="C10514" t="s">
        <v>13225</v>
      </c>
      <c r="D10514" t="s">
        <v>18081</v>
      </c>
      <c r="E10514" t="s">
        <v>27231</v>
      </c>
      <c r="F10514" t="s">
        <v>31574</v>
      </c>
      <c r="G10514" t="s">
        <v>31582</v>
      </c>
      <c r="H10514" t="s">
        <v>31590</v>
      </c>
      <c r="I10514" t="s">
        <v>31600</v>
      </c>
      <c r="J10514" t="s">
        <v>38264</v>
      </c>
      <c r="K10514" t="s">
        <v>41193</v>
      </c>
      <c r="M10514" t="s">
        <v>44519</v>
      </c>
      <c r="N10514" t="s">
        <v>45095</v>
      </c>
      <c r="O10514" t="s">
        <v>45096</v>
      </c>
      <c r="P10514">
        <v>0</v>
      </c>
      <c r="Q10514">
        <v>1</v>
      </c>
      <c r="R10514" t="s">
        <v>45108</v>
      </c>
      <c r="S10514" t="s">
        <v>45434</v>
      </c>
      <c r="T10514" t="s">
        <v>47183</v>
      </c>
      <c r="U10514" t="s">
        <v>56115</v>
      </c>
      <c r="V10514" t="s">
        <v>60955</v>
      </c>
      <c r="W10514" t="s">
        <v>44519</v>
      </c>
      <c r="X10514" t="s">
        <v>45109</v>
      </c>
    </row>
    <row r="10515" spans="1:24">
      <c r="A10515">
        <f>HYPERLINK("https://www.philgeps.gov.ph/GEPSNONPILOT/Tender/SplashBidNoticeAbstractUI.aspx?menuIndex=3&amp;refID=7028688&amp;Result=3","7028688")</f>
        <v>0</v>
      </c>
      <c r="B10515" t="s">
        <v>2746</v>
      </c>
      <c r="C10515" t="s">
        <v>13226</v>
      </c>
      <c r="D10515" t="s">
        <v>18070</v>
      </c>
      <c r="E10515" t="s">
        <v>27232</v>
      </c>
      <c r="F10515" t="s">
        <v>31574</v>
      </c>
      <c r="G10515" t="s">
        <v>31582</v>
      </c>
      <c r="H10515" t="s">
        <v>31591</v>
      </c>
      <c r="I10515" t="s">
        <v>8822</v>
      </c>
      <c r="J10515" t="s">
        <v>38265</v>
      </c>
      <c r="K10515" t="s">
        <v>41243</v>
      </c>
      <c r="M10515" t="s">
        <v>44518</v>
      </c>
      <c r="N10515" t="s">
        <v>45095</v>
      </c>
      <c r="O10515" t="s">
        <v>45096</v>
      </c>
      <c r="P10515">
        <v>0</v>
      </c>
      <c r="Q10515">
        <v>0</v>
      </c>
      <c r="R10515" t="s">
        <v>45108</v>
      </c>
      <c r="S10515" t="s">
        <v>45434</v>
      </c>
      <c r="T10515" t="s">
        <v>47000</v>
      </c>
      <c r="U10515" t="s">
        <v>56116</v>
      </c>
      <c r="W10515" t="s">
        <v>44518</v>
      </c>
      <c r="X10515" t="s">
        <v>45109</v>
      </c>
    </row>
    <row r="10516" spans="1:24">
      <c r="A10516">
        <f>HYPERLINK("https://www.philgeps.gov.ph/GEPSNONPILOT/Tender/SplashBidNoticeAbstractUI.aspx?menuIndex=3&amp;refID=7028736&amp;Result=3","7028736")</f>
        <v>0</v>
      </c>
      <c r="B10516" t="s">
        <v>2099</v>
      </c>
      <c r="C10516" t="s">
        <v>13227</v>
      </c>
      <c r="D10516" t="s">
        <v>18070</v>
      </c>
      <c r="E10516" t="s">
        <v>18265</v>
      </c>
      <c r="F10516" t="s">
        <v>31574</v>
      </c>
      <c r="G10516" t="s">
        <v>31583</v>
      </c>
      <c r="H10516" t="s">
        <v>31590</v>
      </c>
      <c r="I10516" t="s">
        <v>8258</v>
      </c>
      <c r="J10516" t="s">
        <v>31780</v>
      </c>
      <c r="K10516" t="s">
        <v>41193</v>
      </c>
      <c r="M10516" t="s">
        <v>43776</v>
      </c>
      <c r="N10516" t="s">
        <v>45095</v>
      </c>
      <c r="O10516" t="s">
        <v>45096</v>
      </c>
      <c r="P10516">
        <v>0</v>
      </c>
      <c r="Q10516">
        <v>0</v>
      </c>
      <c r="R10516" t="s">
        <v>45108</v>
      </c>
      <c r="S10516" t="s">
        <v>45434</v>
      </c>
      <c r="T10516" t="s">
        <v>47278</v>
      </c>
      <c r="U10516" t="s">
        <v>56117</v>
      </c>
      <c r="W10516" t="s">
        <v>43776</v>
      </c>
      <c r="X10516" t="s">
        <v>45109</v>
      </c>
    </row>
    <row r="10517" spans="1:24">
      <c r="A10517">
        <f>HYPERLINK("https://www.philgeps.gov.ph/GEPSNONPILOT/Tender/SplashBidNoticeAbstractUI.aspx?menuIndex=3&amp;refID=7028705&amp;Result=3","7028705")</f>
        <v>0</v>
      </c>
      <c r="B10517" t="s">
        <v>1488</v>
      </c>
      <c r="C10517" t="s">
        <v>13228</v>
      </c>
      <c r="D10517" t="s">
        <v>18088</v>
      </c>
      <c r="E10517" t="s">
        <v>21914</v>
      </c>
      <c r="F10517" t="s">
        <v>31574</v>
      </c>
      <c r="G10517" t="s">
        <v>31582</v>
      </c>
      <c r="H10517" t="s">
        <v>31591</v>
      </c>
      <c r="I10517" t="s">
        <v>8822</v>
      </c>
      <c r="J10517" t="s">
        <v>32076</v>
      </c>
      <c r="K10517" t="s">
        <v>41184</v>
      </c>
      <c r="M10517" t="s">
        <v>43073</v>
      </c>
      <c r="N10517" t="s">
        <v>45095</v>
      </c>
      <c r="O10517" t="s">
        <v>45096</v>
      </c>
      <c r="P10517">
        <v>0</v>
      </c>
      <c r="Q10517">
        <v>0</v>
      </c>
      <c r="R10517" t="s">
        <v>45108</v>
      </c>
      <c r="S10517" t="s">
        <v>45434</v>
      </c>
      <c r="T10517" t="s">
        <v>47000</v>
      </c>
      <c r="U10517" t="s">
        <v>56118</v>
      </c>
      <c r="V10517" t="s">
        <v>60951</v>
      </c>
      <c r="W10517" t="s">
        <v>43073</v>
      </c>
      <c r="X10517" t="s">
        <v>45109</v>
      </c>
    </row>
    <row r="10518" spans="1:24">
      <c r="A10518">
        <f>HYPERLINK("https://www.philgeps.gov.ph/GEPSNONPILOT/Tender/SplashBidNoticeAbstractUI.aspx?menuIndex=3&amp;refID=7028802&amp;Result=3","7028802")</f>
        <v>0</v>
      </c>
      <c r="B10518" t="s">
        <v>2483</v>
      </c>
      <c r="C10518" t="s">
        <v>13229</v>
      </c>
      <c r="D10518" t="s">
        <v>18101</v>
      </c>
      <c r="E10518" t="s">
        <v>27233</v>
      </c>
      <c r="F10518" t="s">
        <v>31574</v>
      </c>
      <c r="G10518" t="s">
        <v>31582</v>
      </c>
      <c r="H10518" t="s">
        <v>31591</v>
      </c>
      <c r="I10518" t="s">
        <v>8822</v>
      </c>
      <c r="J10518" t="s">
        <v>38266</v>
      </c>
      <c r="K10518" t="s">
        <v>41192</v>
      </c>
      <c r="L10518" t="s">
        <v>2483</v>
      </c>
      <c r="M10518" t="s">
        <v>44213</v>
      </c>
      <c r="N10518" t="s">
        <v>45095</v>
      </c>
      <c r="O10518" t="s">
        <v>45096</v>
      </c>
      <c r="P10518">
        <v>0</v>
      </c>
      <c r="Q10518">
        <v>0</v>
      </c>
      <c r="R10518" t="s">
        <v>45108</v>
      </c>
      <c r="S10518" t="s">
        <v>45434</v>
      </c>
      <c r="T10518" t="s">
        <v>46914</v>
      </c>
      <c r="U10518" t="s">
        <v>56119</v>
      </c>
      <c r="V10518" t="s">
        <v>60767</v>
      </c>
      <c r="W10518" t="s">
        <v>44213</v>
      </c>
      <c r="X10518" t="s">
        <v>45109</v>
      </c>
    </row>
    <row r="10519" spans="1:24">
      <c r="A10519">
        <f>HYPERLINK("https://www.philgeps.gov.ph/GEPSNONPILOT/Tender/SplashBidNoticeAbstractUI.aspx?menuIndex=3&amp;refID=7028665&amp;Result=3","7028665")</f>
        <v>0</v>
      </c>
      <c r="B10519" t="s">
        <v>142</v>
      </c>
      <c r="C10519" t="s">
        <v>13230</v>
      </c>
      <c r="D10519" t="s">
        <v>18052</v>
      </c>
      <c r="E10519" t="s">
        <v>27234</v>
      </c>
      <c r="F10519" t="s">
        <v>31574</v>
      </c>
      <c r="G10519" t="s">
        <v>31582</v>
      </c>
      <c r="H10519" t="s">
        <v>31590</v>
      </c>
      <c r="I10519" t="s">
        <v>31599</v>
      </c>
      <c r="J10519" t="s">
        <v>38267</v>
      </c>
      <c r="K10519" t="s">
        <v>41186</v>
      </c>
      <c r="M10519" t="s">
        <v>41626</v>
      </c>
      <c r="N10519" t="s">
        <v>45095</v>
      </c>
      <c r="O10519" t="s">
        <v>45096</v>
      </c>
      <c r="P10519">
        <v>0</v>
      </c>
      <c r="Q10519">
        <v>1</v>
      </c>
      <c r="R10519" t="s">
        <v>45108</v>
      </c>
      <c r="S10519" t="s">
        <v>45434</v>
      </c>
      <c r="T10519" t="s">
        <v>47265</v>
      </c>
      <c r="U10519" t="s">
        <v>56120</v>
      </c>
      <c r="W10519" t="s">
        <v>41626</v>
      </c>
      <c r="X10519" t="s">
        <v>45109</v>
      </c>
    </row>
    <row r="10520" spans="1:24">
      <c r="A10520">
        <f>HYPERLINK("https://www.philgeps.gov.ph/GEPSNONPILOT/Tender/SplashBidNoticeAbstractUI.aspx?menuIndex=3&amp;refID=7028792&amp;Result=3","7028792")</f>
        <v>0</v>
      </c>
      <c r="B10520" t="s">
        <v>1926</v>
      </c>
      <c r="C10520" t="s">
        <v>13231</v>
      </c>
      <c r="D10520" t="s">
        <v>18099</v>
      </c>
      <c r="E10520" t="s">
        <v>27235</v>
      </c>
      <c r="F10520" t="s">
        <v>31574</v>
      </c>
      <c r="G10520" t="s">
        <v>31582</v>
      </c>
      <c r="H10520" t="s">
        <v>31591</v>
      </c>
      <c r="I10520" t="s">
        <v>8822</v>
      </c>
      <c r="J10520" t="s">
        <v>38268</v>
      </c>
      <c r="K10520" t="s">
        <v>41189</v>
      </c>
      <c r="M10520" t="s">
        <v>43578</v>
      </c>
      <c r="N10520" t="s">
        <v>45095</v>
      </c>
      <c r="O10520" t="s">
        <v>45096</v>
      </c>
      <c r="P10520">
        <v>0</v>
      </c>
      <c r="Q10520">
        <v>0</v>
      </c>
      <c r="R10520" t="s">
        <v>45108</v>
      </c>
      <c r="S10520" t="s">
        <v>45434</v>
      </c>
      <c r="T10520" t="s">
        <v>46922</v>
      </c>
      <c r="U10520" t="s">
        <v>56121</v>
      </c>
      <c r="V10520" t="s">
        <v>60507</v>
      </c>
      <c r="W10520" t="s">
        <v>43578</v>
      </c>
      <c r="X10520" t="s">
        <v>45109</v>
      </c>
    </row>
    <row r="10521" spans="1:24">
      <c r="A10521">
        <f>HYPERLINK("https://www.philgeps.gov.ph/GEPSNONPILOT/Tender/SplashBidNoticeAbstractUI.aspx?menuIndex=3&amp;refID=7028785&amp;Result=3","7028785")</f>
        <v>0</v>
      </c>
      <c r="B10521" t="s">
        <v>967</v>
      </c>
      <c r="C10521" t="s">
        <v>13232</v>
      </c>
      <c r="D10521" t="s">
        <v>18027</v>
      </c>
      <c r="E10521" t="s">
        <v>27236</v>
      </c>
      <c r="F10521" t="s">
        <v>31574</v>
      </c>
      <c r="G10521" t="s">
        <v>31582</v>
      </c>
      <c r="H10521" t="s">
        <v>31590</v>
      </c>
      <c r="I10521" t="s">
        <v>6800</v>
      </c>
      <c r="J10521" t="s">
        <v>38269</v>
      </c>
      <c r="K10521" t="s">
        <v>41192</v>
      </c>
      <c r="M10521" t="s">
        <v>42496</v>
      </c>
      <c r="N10521" t="s">
        <v>45095</v>
      </c>
      <c r="O10521" t="s">
        <v>45096</v>
      </c>
      <c r="P10521">
        <v>0</v>
      </c>
      <c r="Q10521">
        <v>0</v>
      </c>
      <c r="R10521" t="s">
        <v>45108</v>
      </c>
      <c r="S10521" t="s">
        <v>45434</v>
      </c>
      <c r="T10521" t="s">
        <v>47124</v>
      </c>
      <c r="U10521" t="s">
        <v>56122</v>
      </c>
      <c r="W10521" t="s">
        <v>42496</v>
      </c>
      <c r="X10521" t="s">
        <v>45109</v>
      </c>
    </row>
    <row r="10522" spans="1:24">
      <c r="A10522">
        <f>HYPERLINK("https://www.philgeps.gov.ph/GEPSNONPILOT/Tender/SplashBidNoticeAbstractUI.aspx?menuIndex=3&amp;refID=7028649&amp;Result=3","7028649")</f>
        <v>0</v>
      </c>
      <c r="B10522" t="s">
        <v>1329</v>
      </c>
      <c r="C10522" t="s">
        <v>13233</v>
      </c>
      <c r="E10522" t="s">
        <v>27237</v>
      </c>
      <c r="F10522" t="s">
        <v>31574</v>
      </c>
      <c r="G10522" t="s">
        <v>31582</v>
      </c>
      <c r="H10522" t="s">
        <v>31593</v>
      </c>
      <c r="I10522" t="s">
        <v>31593</v>
      </c>
      <c r="J10522" t="s">
        <v>38270</v>
      </c>
      <c r="K10522" t="s">
        <v>41237</v>
      </c>
      <c r="M10522" t="s">
        <v>44052</v>
      </c>
      <c r="N10522" t="s">
        <v>45095</v>
      </c>
      <c r="O10522" t="s">
        <v>45096</v>
      </c>
      <c r="P10522">
        <v>0</v>
      </c>
      <c r="Q10522">
        <v>6</v>
      </c>
      <c r="R10522" t="s">
        <v>45108</v>
      </c>
      <c r="S10522" t="s">
        <v>45434</v>
      </c>
      <c r="T10522" t="s">
        <v>47162</v>
      </c>
      <c r="U10522" t="s">
        <v>56079</v>
      </c>
      <c r="V10522" t="s">
        <v>60948</v>
      </c>
      <c r="W10522" t="s">
        <v>44052</v>
      </c>
      <c r="X10522" t="s">
        <v>45109</v>
      </c>
    </row>
    <row r="10523" spans="1:24">
      <c r="A10523">
        <f>HYPERLINK("https://www.philgeps.gov.ph/GEPSNONPILOT/Tender/SplashBidNoticeAbstractUI.aspx?menuIndex=3&amp;refID=7028784&amp;Result=3","7028784")</f>
        <v>0</v>
      </c>
      <c r="B10523" t="s">
        <v>142</v>
      </c>
      <c r="C10523" t="s">
        <v>13234</v>
      </c>
      <c r="D10523" t="s">
        <v>18052</v>
      </c>
      <c r="E10523" t="s">
        <v>21539</v>
      </c>
      <c r="F10523" t="s">
        <v>31574</v>
      </c>
      <c r="G10523" t="s">
        <v>31582</v>
      </c>
      <c r="H10523" t="s">
        <v>31590</v>
      </c>
      <c r="I10523" t="s">
        <v>31625</v>
      </c>
      <c r="J10523" t="s">
        <v>38271</v>
      </c>
      <c r="K10523" t="s">
        <v>41186</v>
      </c>
      <c r="M10523" t="s">
        <v>41626</v>
      </c>
      <c r="N10523" t="s">
        <v>45095</v>
      </c>
      <c r="O10523" t="s">
        <v>45096</v>
      </c>
      <c r="P10523">
        <v>0</v>
      </c>
      <c r="Q10523">
        <v>0</v>
      </c>
      <c r="R10523" t="s">
        <v>45108</v>
      </c>
      <c r="S10523" t="s">
        <v>45434</v>
      </c>
      <c r="T10523" t="s">
        <v>47265</v>
      </c>
      <c r="U10523" t="s">
        <v>56123</v>
      </c>
      <c r="W10523" t="s">
        <v>41626</v>
      </c>
      <c r="X10523" t="s">
        <v>45109</v>
      </c>
    </row>
    <row r="10524" spans="1:24">
      <c r="A10524">
        <f>HYPERLINK("https://www.philgeps.gov.ph/GEPSNONPILOT/Tender/SplashBidNoticeAbstractUI.aspx?menuIndex=3&amp;refID=7028668&amp;Result=3","7028668")</f>
        <v>0</v>
      </c>
      <c r="B10524" t="s">
        <v>2270</v>
      </c>
      <c r="C10524" t="s">
        <v>13235</v>
      </c>
      <c r="D10524" t="s">
        <v>18044</v>
      </c>
      <c r="E10524" t="s">
        <v>27238</v>
      </c>
      <c r="F10524" t="s">
        <v>31574</v>
      </c>
      <c r="G10524" t="s">
        <v>31582</v>
      </c>
      <c r="H10524" t="s">
        <v>31590</v>
      </c>
      <c r="I10524" t="s">
        <v>31615</v>
      </c>
      <c r="J10524" t="s">
        <v>31771</v>
      </c>
      <c r="K10524" t="s">
        <v>41196</v>
      </c>
      <c r="M10524" t="s">
        <v>43980</v>
      </c>
      <c r="N10524" t="s">
        <v>45095</v>
      </c>
      <c r="O10524" t="s">
        <v>45096</v>
      </c>
      <c r="P10524">
        <v>0</v>
      </c>
      <c r="Q10524">
        <v>8</v>
      </c>
      <c r="R10524" t="s">
        <v>45108</v>
      </c>
      <c r="S10524" t="s">
        <v>45434</v>
      </c>
      <c r="T10524" t="s">
        <v>46952</v>
      </c>
      <c r="U10524" t="s">
        <v>56124</v>
      </c>
      <c r="V10524" t="s">
        <v>60956</v>
      </c>
      <c r="W10524" t="s">
        <v>61730</v>
      </c>
      <c r="X10524" t="s">
        <v>45109</v>
      </c>
    </row>
    <row r="10525" spans="1:24">
      <c r="A10525">
        <f>HYPERLINK("https://www.philgeps.gov.ph/GEPSNONPILOT/Tender/SplashBidNoticeAbstractUI.aspx?menuIndex=3&amp;refID=7028789&amp;Result=3","7028789")</f>
        <v>0</v>
      </c>
      <c r="B10525" t="s">
        <v>1165</v>
      </c>
      <c r="C10525" t="s">
        <v>13236</v>
      </c>
      <c r="D10525" t="s">
        <v>18030</v>
      </c>
      <c r="E10525" t="s">
        <v>27239</v>
      </c>
      <c r="F10525" t="s">
        <v>31574</v>
      </c>
      <c r="G10525" t="s">
        <v>31582</v>
      </c>
      <c r="H10525" t="s">
        <v>31590</v>
      </c>
      <c r="I10525" t="s">
        <v>4046</v>
      </c>
      <c r="J10525" t="s">
        <v>38272</v>
      </c>
      <c r="K10525" t="s">
        <v>41184</v>
      </c>
      <c r="M10525" t="s">
        <v>42724</v>
      </c>
      <c r="N10525" t="s">
        <v>45095</v>
      </c>
      <c r="O10525" t="s">
        <v>45096</v>
      </c>
      <c r="P10525">
        <v>0</v>
      </c>
      <c r="Q10525">
        <v>3</v>
      </c>
      <c r="R10525" t="s">
        <v>45108</v>
      </c>
      <c r="S10525" t="s">
        <v>45434</v>
      </c>
      <c r="T10525" t="s">
        <v>47300</v>
      </c>
      <c r="U10525" t="s">
        <v>56125</v>
      </c>
      <c r="W10525" t="s">
        <v>42724</v>
      </c>
      <c r="X10525" t="s">
        <v>45109</v>
      </c>
    </row>
    <row r="10526" spans="1:24">
      <c r="A10526">
        <f>HYPERLINK("https://www.philgeps.gov.ph/GEPSNONPILOT/Tender/SplashBidNoticeAbstractUI.aspx?menuIndex=3&amp;refID=7028827&amp;Result=3","7028827")</f>
        <v>0</v>
      </c>
      <c r="B10526" t="s">
        <v>2752</v>
      </c>
      <c r="C10526" t="s">
        <v>3993</v>
      </c>
      <c r="D10526" t="s">
        <v>18099</v>
      </c>
      <c r="E10526" t="s">
        <v>27240</v>
      </c>
      <c r="F10526" t="s">
        <v>31574</v>
      </c>
      <c r="G10526" t="s">
        <v>31582</v>
      </c>
      <c r="H10526" t="s">
        <v>31590</v>
      </c>
      <c r="I10526" t="s">
        <v>6800</v>
      </c>
      <c r="J10526" t="s">
        <v>38273</v>
      </c>
      <c r="K10526" t="s">
        <v>41186</v>
      </c>
      <c r="M10526" t="s">
        <v>44524</v>
      </c>
      <c r="N10526" t="s">
        <v>45095</v>
      </c>
      <c r="O10526" t="s">
        <v>45096</v>
      </c>
      <c r="P10526">
        <v>0</v>
      </c>
      <c r="Q10526">
        <v>1</v>
      </c>
      <c r="R10526" t="s">
        <v>45108</v>
      </c>
      <c r="S10526" t="s">
        <v>45434</v>
      </c>
      <c r="T10526" t="s">
        <v>47379</v>
      </c>
      <c r="U10526" t="s">
        <v>56126</v>
      </c>
      <c r="W10526" t="s">
        <v>44524</v>
      </c>
      <c r="X10526" t="s">
        <v>45109</v>
      </c>
    </row>
    <row r="10527" spans="1:24">
      <c r="A10527">
        <f>HYPERLINK("https://www.philgeps.gov.ph/GEPSNONPILOT/Tender/SplashBidNoticeAbstractUI.aspx?menuIndex=3&amp;refID=7028651&amp;Result=3","7028651")</f>
        <v>0</v>
      </c>
      <c r="B10527" t="s">
        <v>2753</v>
      </c>
      <c r="C10527" t="s">
        <v>13237</v>
      </c>
      <c r="D10527" t="s">
        <v>18079</v>
      </c>
      <c r="E10527" t="s">
        <v>21373</v>
      </c>
      <c r="F10527" t="s">
        <v>31575</v>
      </c>
      <c r="G10527" t="s">
        <v>31582</v>
      </c>
      <c r="H10527" t="s">
        <v>31590</v>
      </c>
      <c r="I10527" t="s">
        <v>3487</v>
      </c>
      <c r="J10527" t="s">
        <v>38274</v>
      </c>
      <c r="K10527" t="s">
        <v>41184</v>
      </c>
      <c r="M10527" t="s">
        <v>44525</v>
      </c>
      <c r="N10527" t="s">
        <v>45095</v>
      </c>
      <c r="O10527" t="s">
        <v>45096</v>
      </c>
      <c r="P10527">
        <v>0</v>
      </c>
      <c r="Q10527">
        <v>0</v>
      </c>
      <c r="R10527" t="s">
        <v>45108</v>
      </c>
      <c r="S10527" t="s">
        <v>45434</v>
      </c>
      <c r="T10527" t="s">
        <v>46943</v>
      </c>
      <c r="U10527" t="s">
        <v>56127</v>
      </c>
      <c r="W10527" t="s">
        <v>44525</v>
      </c>
      <c r="X10527" t="s">
        <v>45109</v>
      </c>
    </row>
    <row r="10528" spans="1:24">
      <c r="A10528">
        <f>HYPERLINK("https://www.philgeps.gov.ph/GEPSNONPILOT/Tender/SplashBidNoticeAbstractUI.aspx?menuIndex=3&amp;refID=7028821&amp;Result=3","7028821")</f>
        <v>0</v>
      </c>
      <c r="B10528" t="s">
        <v>2754</v>
      </c>
      <c r="C10528" t="s">
        <v>13238</v>
      </c>
      <c r="D10528" t="s">
        <v>18058</v>
      </c>
      <c r="E10528" t="s">
        <v>18274</v>
      </c>
      <c r="F10528" t="s">
        <v>31574</v>
      </c>
      <c r="G10528" t="s">
        <v>31582</v>
      </c>
      <c r="H10528" t="s">
        <v>31590</v>
      </c>
      <c r="I10528" t="s">
        <v>4046</v>
      </c>
      <c r="J10528" t="s">
        <v>38275</v>
      </c>
      <c r="K10528" t="s">
        <v>41191</v>
      </c>
      <c r="M10528" t="s">
        <v>44526</v>
      </c>
      <c r="N10528" t="s">
        <v>45095</v>
      </c>
      <c r="O10528" t="s">
        <v>45096</v>
      </c>
      <c r="P10528">
        <v>0</v>
      </c>
      <c r="Q10528">
        <v>1</v>
      </c>
      <c r="R10528" t="s">
        <v>45108</v>
      </c>
      <c r="S10528" t="s">
        <v>45434</v>
      </c>
      <c r="T10528" t="s">
        <v>47380</v>
      </c>
      <c r="U10528" t="s">
        <v>56128</v>
      </c>
      <c r="V10528" t="s">
        <v>60957</v>
      </c>
      <c r="W10528" t="s">
        <v>44526</v>
      </c>
      <c r="X10528" t="s">
        <v>45109</v>
      </c>
    </row>
    <row r="10529" spans="1:24">
      <c r="A10529">
        <f>HYPERLINK("https://www.philgeps.gov.ph/GEPSNONPILOT/Tender/SplashBidNoticeAbstractUI.aspx?menuIndex=3&amp;refID=7028829&amp;Result=3","7028829")</f>
        <v>0</v>
      </c>
      <c r="B10529" t="s">
        <v>2105</v>
      </c>
      <c r="C10529" t="s">
        <v>13239</v>
      </c>
      <c r="D10529" t="s">
        <v>18029</v>
      </c>
      <c r="E10529" t="s">
        <v>27241</v>
      </c>
      <c r="F10529" t="s">
        <v>31574</v>
      </c>
      <c r="G10529" t="s">
        <v>31581</v>
      </c>
      <c r="H10529" t="s">
        <v>31590</v>
      </c>
      <c r="I10529" t="s">
        <v>31602</v>
      </c>
      <c r="J10529" t="s">
        <v>38276</v>
      </c>
      <c r="K10529" t="s">
        <v>41196</v>
      </c>
      <c r="M10529" t="s">
        <v>43783</v>
      </c>
      <c r="N10529" t="s">
        <v>45095</v>
      </c>
      <c r="O10529" t="s">
        <v>45096</v>
      </c>
      <c r="P10529">
        <v>0</v>
      </c>
      <c r="Q10529">
        <v>0</v>
      </c>
      <c r="R10529" t="s">
        <v>45108</v>
      </c>
      <c r="S10529" t="s">
        <v>45434</v>
      </c>
      <c r="T10529" t="s">
        <v>46926</v>
      </c>
      <c r="U10529" t="s">
        <v>56129</v>
      </c>
      <c r="W10529" t="s">
        <v>43783</v>
      </c>
      <c r="X10529" t="s">
        <v>45109</v>
      </c>
    </row>
    <row r="10530" spans="1:24">
      <c r="A10530">
        <f>HYPERLINK("https://www.philgeps.gov.ph/GEPSNONPILOT/Tender/SplashBidNoticeAbstractUI.aspx?menuIndex=3&amp;refID=7028684&amp;Result=3","7028684")</f>
        <v>0</v>
      </c>
      <c r="B10530" t="s">
        <v>2169</v>
      </c>
      <c r="C10530" t="s">
        <v>13240</v>
      </c>
      <c r="D10530" t="s">
        <v>18046</v>
      </c>
      <c r="E10530" t="s">
        <v>27242</v>
      </c>
      <c r="F10530" t="s">
        <v>31575</v>
      </c>
      <c r="G10530" t="s">
        <v>31581</v>
      </c>
      <c r="H10530" t="s">
        <v>31590</v>
      </c>
      <c r="I10530" t="s">
        <v>31607</v>
      </c>
      <c r="J10530" t="s">
        <v>31727</v>
      </c>
      <c r="K10530" t="s">
        <v>41186</v>
      </c>
      <c r="M10530" t="s">
        <v>43854</v>
      </c>
      <c r="N10530" t="s">
        <v>45095</v>
      </c>
      <c r="O10530" t="s">
        <v>45096</v>
      </c>
      <c r="P10530">
        <v>0</v>
      </c>
      <c r="Q10530">
        <v>6</v>
      </c>
      <c r="R10530" t="s">
        <v>45108</v>
      </c>
      <c r="S10530" t="s">
        <v>45434</v>
      </c>
      <c r="T10530" t="s">
        <v>47064</v>
      </c>
      <c r="U10530" t="s">
        <v>53566</v>
      </c>
      <c r="V10530" t="s">
        <v>60631</v>
      </c>
      <c r="W10530" t="s">
        <v>61728</v>
      </c>
      <c r="X10530" t="s">
        <v>45109</v>
      </c>
    </row>
    <row r="10531" spans="1:24">
      <c r="A10531">
        <f>HYPERLINK("https://www.philgeps.gov.ph/GEPSNONPILOT/Tender/SplashBidNoticeAbstractUI.aspx?menuIndex=3&amp;refID=7028805&amp;Result=3","7028805")</f>
        <v>0</v>
      </c>
      <c r="B10531" t="s">
        <v>1925</v>
      </c>
      <c r="C10531" t="s">
        <v>13241</v>
      </c>
      <c r="D10531" t="s">
        <v>18047</v>
      </c>
      <c r="E10531" t="s">
        <v>27243</v>
      </c>
      <c r="F10531" t="s">
        <v>31575</v>
      </c>
      <c r="G10531" t="s">
        <v>31582</v>
      </c>
      <c r="H10531" t="s">
        <v>31590</v>
      </c>
      <c r="I10531" t="s">
        <v>31608</v>
      </c>
      <c r="J10531" t="s">
        <v>33344</v>
      </c>
      <c r="K10531" t="s">
        <v>41193</v>
      </c>
      <c r="M10531" t="s">
        <v>43577</v>
      </c>
      <c r="N10531" t="s">
        <v>45095</v>
      </c>
      <c r="O10531" t="s">
        <v>45096</v>
      </c>
      <c r="P10531">
        <v>0</v>
      </c>
      <c r="Q10531">
        <v>7</v>
      </c>
      <c r="R10531" t="s">
        <v>45108</v>
      </c>
      <c r="S10531" t="s">
        <v>45434</v>
      </c>
      <c r="T10531" t="s">
        <v>47161</v>
      </c>
      <c r="U10531" t="s">
        <v>56130</v>
      </c>
      <c r="V10531" t="s">
        <v>60880</v>
      </c>
      <c r="W10531" t="s">
        <v>43577</v>
      </c>
      <c r="X10531" t="s">
        <v>45109</v>
      </c>
    </row>
    <row r="10532" spans="1:24">
      <c r="A10532">
        <f>HYPERLINK("https://www.philgeps.gov.ph/GEPSNONPILOT/Tender/SplashBidNoticeAbstractUI.aspx?menuIndex=3&amp;refID=7028771&amp;Result=3","7028771")</f>
        <v>0</v>
      </c>
      <c r="B10532" t="s">
        <v>2609</v>
      </c>
      <c r="C10532" t="s">
        <v>13242</v>
      </c>
      <c r="D10532" t="s">
        <v>18120</v>
      </c>
      <c r="E10532" t="s">
        <v>27244</v>
      </c>
      <c r="F10532" t="s">
        <v>31574</v>
      </c>
      <c r="G10532" t="s">
        <v>31582</v>
      </c>
      <c r="H10532" t="s">
        <v>31590</v>
      </c>
      <c r="I10532" t="s">
        <v>31623</v>
      </c>
      <c r="J10532" t="s">
        <v>38277</v>
      </c>
      <c r="K10532" t="s">
        <v>41225</v>
      </c>
      <c r="M10532" t="s">
        <v>44354</v>
      </c>
      <c r="N10532" t="s">
        <v>45095</v>
      </c>
      <c r="O10532" t="s">
        <v>45096</v>
      </c>
      <c r="Q10532">
        <v>0</v>
      </c>
      <c r="R10532" t="s">
        <v>45108</v>
      </c>
      <c r="S10532" t="s">
        <v>45449</v>
      </c>
      <c r="T10532" t="s">
        <v>46939</v>
      </c>
      <c r="U10532" t="s">
        <v>56131</v>
      </c>
      <c r="W10532" t="s">
        <v>44354</v>
      </c>
      <c r="X10532" t="s">
        <v>45109</v>
      </c>
    </row>
    <row r="10533" spans="1:24">
      <c r="A10533">
        <f>HYPERLINK("https://www.philgeps.gov.ph/GEPSNONPILOT/Tender/SplashBidNoticeAbstractUI.aspx?menuIndex=3&amp;refID=7028822&amp;Result=3","7028822")</f>
        <v>0</v>
      </c>
      <c r="B10533" t="s">
        <v>2483</v>
      </c>
      <c r="C10533" t="s">
        <v>13243</v>
      </c>
      <c r="D10533" t="s">
        <v>18101</v>
      </c>
      <c r="E10533" t="s">
        <v>27245</v>
      </c>
      <c r="F10533" t="s">
        <v>31574</v>
      </c>
      <c r="G10533" t="s">
        <v>31582</v>
      </c>
      <c r="H10533" t="s">
        <v>31590</v>
      </c>
      <c r="I10533" t="s">
        <v>31615</v>
      </c>
      <c r="J10533" t="s">
        <v>32421</v>
      </c>
      <c r="K10533" t="s">
        <v>41186</v>
      </c>
      <c r="L10533" t="s">
        <v>2483</v>
      </c>
      <c r="M10533" t="s">
        <v>44213</v>
      </c>
      <c r="N10533" t="s">
        <v>45095</v>
      </c>
      <c r="O10533" t="s">
        <v>45096</v>
      </c>
      <c r="P10533">
        <v>0</v>
      </c>
      <c r="Q10533">
        <v>6</v>
      </c>
      <c r="R10533" t="s">
        <v>45108</v>
      </c>
      <c r="S10533" t="s">
        <v>45434</v>
      </c>
      <c r="T10533" t="s">
        <v>46914</v>
      </c>
      <c r="U10533" t="s">
        <v>56132</v>
      </c>
      <c r="V10533" t="s">
        <v>60767</v>
      </c>
      <c r="W10533" t="s">
        <v>44213</v>
      </c>
      <c r="X10533" t="s">
        <v>45109</v>
      </c>
    </row>
    <row r="10534" spans="1:24">
      <c r="A10534">
        <f>HYPERLINK("https://www.philgeps.gov.ph/GEPSNONPILOT/Tender/SplashBidNoticeAbstractUI.aspx?menuIndex=3&amp;refID=7028825&amp;Result=3","7028825")</f>
        <v>0</v>
      </c>
      <c r="B10534" t="s">
        <v>1329</v>
      </c>
      <c r="C10534" t="s">
        <v>13244</v>
      </c>
      <c r="E10534" t="s">
        <v>27246</v>
      </c>
      <c r="F10534" t="s">
        <v>31574</v>
      </c>
      <c r="G10534" t="s">
        <v>31582</v>
      </c>
      <c r="H10534" t="s">
        <v>31593</v>
      </c>
      <c r="I10534" t="s">
        <v>31593</v>
      </c>
      <c r="J10534" t="s">
        <v>38278</v>
      </c>
      <c r="K10534" t="s">
        <v>41237</v>
      </c>
      <c r="M10534" t="s">
        <v>44052</v>
      </c>
      <c r="N10534" t="s">
        <v>45095</v>
      </c>
      <c r="O10534" t="s">
        <v>45096</v>
      </c>
      <c r="P10534">
        <v>0</v>
      </c>
      <c r="Q10534">
        <v>5</v>
      </c>
      <c r="R10534" t="s">
        <v>45108</v>
      </c>
      <c r="S10534" t="s">
        <v>45434</v>
      </c>
      <c r="T10534" t="s">
        <v>47162</v>
      </c>
      <c r="U10534" t="s">
        <v>56079</v>
      </c>
      <c r="V10534" t="s">
        <v>60948</v>
      </c>
      <c r="W10534" t="s">
        <v>44052</v>
      </c>
      <c r="X10534" t="s">
        <v>45109</v>
      </c>
    </row>
    <row r="10535" spans="1:24">
      <c r="A10535">
        <f>HYPERLINK("https://www.philgeps.gov.ph/GEPSNONPILOT/Tender/SplashBidNoticeAbstractUI.aspx?menuIndex=3&amp;refID=7028759&amp;Result=3","7028759")</f>
        <v>0</v>
      </c>
      <c r="B10535" t="s">
        <v>1165</v>
      </c>
      <c r="C10535" t="s">
        <v>13245</v>
      </c>
      <c r="D10535" t="s">
        <v>18030</v>
      </c>
      <c r="E10535" t="s">
        <v>27247</v>
      </c>
      <c r="F10535" t="s">
        <v>31574</v>
      </c>
      <c r="G10535" t="s">
        <v>31582</v>
      </c>
      <c r="H10535" t="s">
        <v>31590</v>
      </c>
      <c r="I10535" t="s">
        <v>4046</v>
      </c>
      <c r="J10535" t="s">
        <v>33507</v>
      </c>
      <c r="K10535" t="s">
        <v>41184</v>
      </c>
      <c r="M10535" t="s">
        <v>42724</v>
      </c>
      <c r="N10535" t="s">
        <v>45095</v>
      </c>
      <c r="O10535" t="s">
        <v>45096</v>
      </c>
      <c r="P10535">
        <v>0</v>
      </c>
      <c r="Q10535">
        <v>6</v>
      </c>
      <c r="R10535" t="s">
        <v>45108</v>
      </c>
      <c r="S10535" t="s">
        <v>45434</v>
      </c>
      <c r="T10535" t="s">
        <v>47300</v>
      </c>
      <c r="U10535" t="s">
        <v>56112</v>
      </c>
      <c r="W10535" t="s">
        <v>42724</v>
      </c>
      <c r="X10535" t="s">
        <v>45109</v>
      </c>
    </row>
    <row r="10536" spans="1:24">
      <c r="A10536">
        <f>HYPERLINK("https://www.philgeps.gov.ph/GEPSNONPILOT/Tender/SplashBidNoticeAbstractUI.aspx?menuIndex=3&amp;refID=7028760&amp;Result=3","7028760")</f>
        <v>0</v>
      </c>
      <c r="B10536" t="s">
        <v>1329</v>
      </c>
      <c r="C10536" t="s">
        <v>13246</v>
      </c>
      <c r="E10536" t="s">
        <v>27248</v>
      </c>
      <c r="F10536" t="s">
        <v>31574</v>
      </c>
      <c r="G10536" t="s">
        <v>31582</v>
      </c>
      <c r="H10536" t="s">
        <v>31593</v>
      </c>
      <c r="I10536" t="s">
        <v>31593</v>
      </c>
      <c r="J10536" t="s">
        <v>38256</v>
      </c>
      <c r="K10536" t="s">
        <v>41237</v>
      </c>
      <c r="M10536" t="s">
        <v>44052</v>
      </c>
      <c r="N10536" t="s">
        <v>45095</v>
      </c>
      <c r="O10536" t="s">
        <v>45096</v>
      </c>
      <c r="P10536">
        <v>0</v>
      </c>
      <c r="Q10536">
        <v>6</v>
      </c>
      <c r="R10536" t="s">
        <v>45108</v>
      </c>
      <c r="S10536" t="s">
        <v>45434</v>
      </c>
      <c r="T10536" t="s">
        <v>47162</v>
      </c>
      <c r="U10536" t="s">
        <v>56079</v>
      </c>
      <c r="V10536" t="s">
        <v>60948</v>
      </c>
      <c r="W10536" t="s">
        <v>44052</v>
      </c>
      <c r="X10536" t="s">
        <v>45109</v>
      </c>
    </row>
    <row r="10537" spans="1:24">
      <c r="A10537">
        <f>HYPERLINK("https://www.philgeps.gov.ph/GEPSNONPILOT/Tender/SplashBidNoticeAbstractUI.aspx?menuIndex=3&amp;refID=7028743&amp;Result=3","7028743")</f>
        <v>0</v>
      </c>
      <c r="B10537" t="s">
        <v>1746</v>
      </c>
      <c r="C10537" t="s">
        <v>8285</v>
      </c>
      <c r="E10537" t="s">
        <v>27249</v>
      </c>
      <c r="F10537" t="s">
        <v>31574</v>
      </c>
      <c r="G10537" t="s">
        <v>31582</v>
      </c>
      <c r="H10537" t="s">
        <v>31590</v>
      </c>
      <c r="I10537" t="s">
        <v>31607</v>
      </c>
      <c r="J10537" t="s">
        <v>31759</v>
      </c>
      <c r="K10537" t="s">
        <v>41184</v>
      </c>
      <c r="M10537" t="s">
        <v>43369</v>
      </c>
      <c r="N10537" t="s">
        <v>45095</v>
      </c>
      <c r="O10537" t="s">
        <v>45096</v>
      </c>
      <c r="P10537">
        <v>0</v>
      </c>
      <c r="Q10537">
        <v>0</v>
      </c>
      <c r="R10537" t="s">
        <v>45108</v>
      </c>
      <c r="S10537" t="s">
        <v>45434</v>
      </c>
      <c r="T10537" t="s">
        <v>47212</v>
      </c>
      <c r="U10537" t="s">
        <v>56133</v>
      </c>
      <c r="W10537" t="s">
        <v>43369</v>
      </c>
      <c r="X10537" t="s">
        <v>45109</v>
      </c>
    </row>
    <row r="10538" spans="1:24">
      <c r="A10538">
        <f>HYPERLINK("https://www.philgeps.gov.ph/GEPSNONPILOT/Tender/SplashBidNoticeAbstractUI.aspx?menuIndex=3&amp;refID=7028833&amp;Result=3","7028833")</f>
        <v>0</v>
      </c>
      <c r="B10538" t="s">
        <v>2710</v>
      </c>
      <c r="C10538" t="s">
        <v>4157</v>
      </c>
      <c r="D10538" t="s">
        <v>18022</v>
      </c>
      <c r="E10538" t="s">
        <v>27250</v>
      </c>
      <c r="F10538" t="s">
        <v>31574</v>
      </c>
      <c r="G10538" t="s">
        <v>31582</v>
      </c>
      <c r="H10538" t="s">
        <v>31590</v>
      </c>
      <c r="I10538" t="s">
        <v>3487</v>
      </c>
      <c r="J10538" t="s">
        <v>38279</v>
      </c>
      <c r="K10538" t="s">
        <v>41196</v>
      </c>
      <c r="M10538" t="s">
        <v>44481</v>
      </c>
      <c r="N10538" t="s">
        <v>45095</v>
      </c>
      <c r="O10538" t="s">
        <v>45096</v>
      </c>
      <c r="P10538">
        <v>0</v>
      </c>
      <c r="Q10538">
        <v>2</v>
      </c>
      <c r="R10538" t="s">
        <v>45108</v>
      </c>
      <c r="S10538" t="s">
        <v>45434</v>
      </c>
      <c r="T10538" t="s">
        <v>47030</v>
      </c>
      <c r="U10538" t="s">
        <v>56134</v>
      </c>
      <c r="W10538" t="s">
        <v>44481</v>
      </c>
      <c r="X10538" t="s">
        <v>45109</v>
      </c>
    </row>
    <row r="10539" spans="1:24">
      <c r="A10539">
        <f>HYPERLINK("https://www.philgeps.gov.ph/GEPSNONPILOT/Tender/SplashBidNoticeAbstractUI.aspx?menuIndex=3&amp;refID=7028737&amp;Result=3","7028737")</f>
        <v>0</v>
      </c>
      <c r="B10539" t="s">
        <v>681</v>
      </c>
      <c r="C10539" t="s">
        <v>13247</v>
      </c>
      <c r="D10539" t="s">
        <v>18039</v>
      </c>
      <c r="E10539" t="s">
        <v>27251</v>
      </c>
      <c r="F10539" t="s">
        <v>31574</v>
      </c>
      <c r="G10539" t="s">
        <v>31582</v>
      </c>
      <c r="H10539" t="s">
        <v>31590</v>
      </c>
      <c r="I10539" t="s">
        <v>31620</v>
      </c>
      <c r="J10539" t="s">
        <v>32101</v>
      </c>
      <c r="K10539" t="s">
        <v>41184</v>
      </c>
      <c r="M10539" t="s">
        <v>42188</v>
      </c>
      <c r="N10539" t="s">
        <v>45095</v>
      </c>
      <c r="O10539" t="s">
        <v>45096</v>
      </c>
      <c r="Q10539">
        <v>13</v>
      </c>
      <c r="R10539" t="s">
        <v>45108</v>
      </c>
      <c r="S10539" t="s">
        <v>45450</v>
      </c>
      <c r="T10539" t="s">
        <v>47333</v>
      </c>
      <c r="U10539" t="s">
        <v>56135</v>
      </c>
      <c r="W10539" t="s">
        <v>42188</v>
      </c>
      <c r="X10539" t="s">
        <v>45109</v>
      </c>
    </row>
    <row r="10540" spans="1:24">
      <c r="A10540">
        <f>HYPERLINK("https://www.philgeps.gov.ph/GEPSNONPILOT/Tender/SplashBidNoticeAbstractUI.aspx?menuIndex=3&amp;refID=7028841&amp;Result=3","7028841")</f>
        <v>0</v>
      </c>
      <c r="B10540" t="s">
        <v>2754</v>
      </c>
      <c r="C10540" t="s">
        <v>13248</v>
      </c>
      <c r="D10540" t="s">
        <v>18058</v>
      </c>
      <c r="E10540" t="s">
        <v>18268</v>
      </c>
      <c r="F10540" t="s">
        <v>31574</v>
      </c>
      <c r="G10540" t="s">
        <v>31582</v>
      </c>
      <c r="H10540" t="s">
        <v>31590</v>
      </c>
      <c r="I10540" t="s">
        <v>4046</v>
      </c>
      <c r="J10540" t="s">
        <v>38280</v>
      </c>
      <c r="K10540" t="s">
        <v>41191</v>
      </c>
      <c r="M10540" t="s">
        <v>44526</v>
      </c>
      <c r="N10540" t="s">
        <v>45095</v>
      </c>
      <c r="O10540" t="s">
        <v>45096</v>
      </c>
      <c r="P10540">
        <v>0</v>
      </c>
      <c r="Q10540">
        <v>0</v>
      </c>
      <c r="R10540" t="s">
        <v>45108</v>
      </c>
      <c r="S10540" t="s">
        <v>45434</v>
      </c>
      <c r="T10540" t="s">
        <v>47380</v>
      </c>
      <c r="U10540" t="s">
        <v>56136</v>
      </c>
      <c r="V10540" t="s">
        <v>60957</v>
      </c>
      <c r="W10540" t="s">
        <v>44526</v>
      </c>
      <c r="X10540" t="s">
        <v>45109</v>
      </c>
    </row>
    <row r="10541" spans="1:24">
      <c r="A10541">
        <f>HYPERLINK("https://www.philgeps.gov.ph/GEPSNONPILOT/Tender/SplashBidNoticeAbstractUI.aspx?menuIndex=3&amp;refID=7028885&amp;Result=3","7028885")</f>
        <v>0</v>
      </c>
      <c r="B10541" t="s">
        <v>1741</v>
      </c>
      <c r="C10541" t="s">
        <v>13249</v>
      </c>
      <c r="D10541" t="s">
        <v>18096</v>
      </c>
      <c r="E10541" t="s">
        <v>27252</v>
      </c>
      <c r="F10541" t="s">
        <v>31574</v>
      </c>
      <c r="G10541" t="s">
        <v>31582</v>
      </c>
      <c r="H10541" t="s">
        <v>31591</v>
      </c>
      <c r="I10541" t="s">
        <v>8822</v>
      </c>
      <c r="J10541" t="s">
        <v>38281</v>
      </c>
      <c r="K10541" t="s">
        <v>41200</v>
      </c>
      <c r="M10541" t="s">
        <v>43362</v>
      </c>
      <c r="N10541" t="s">
        <v>45095</v>
      </c>
      <c r="O10541" t="s">
        <v>45096</v>
      </c>
      <c r="P10541">
        <v>0</v>
      </c>
      <c r="Q10541">
        <v>0</v>
      </c>
      <c r="R10541" t="s">
        <v>45108</v>
      </c>
      <c r="S10541" t="s">
        <v>45434</v>
      </c>
      <c r="T10541" t="s">
        <v>46977</v>
      </c>
      <c r="U10541" t="s">
        <v>56137</v>
      </c>
      <c r="W10541" t="s">
        <v>43362</v>
      </c>
      <c r="X10541" t="s">
        <v>45109</v>
      </c>
    </row>
    <row r="10542" spans="1:24">
      <c r="A10542">
        <f>HYPERLINK("https://www.philgeps.gov.ph/GEPSNONPILOT/Tender/SplashBidNoticeAbstractUI.aspx?menuIndex=3&amp;refID=7028750&amp;Result=3","7028750")</f>
        <v>0</v>
      </c>
      <c r="B10542" t="s">
        <v>142</v>
      </c>
      <c r="C10542" t="s">
        <v>13250</v>
      </c>
      <c r="D10542" t="s">
        <v>18052</v>
      </c>
      <c r="E10542" t="s">
        <v>21528</v>
      </c>
      <c r="F10542" t="s">
        <v>31574</v>
      </c>
      <c r="G10542" t="s">
        <v>31582</v>
      </c>
      <c r="H10542" t="s">
        <v>31590</v>
      </c>
      <c r="I10542" t="s">
        <v>31625</v>
      </c>
      <c r="J10542" t="s">
        <v>34033</v>
      </c>
      <c r="K10542" t="s">
        <v>41186</v>
      </c>
      <c r="M10542" t="s">
        <v>41626</v>
      </c>
      <c r="N10542" t="s">
        <v>45095</v>
      </c>
      <c r="O10542" t="s">
        <v>45096</v>
      </c>
      <c r="P10542">
        <v>0</v>
      </c>
      <c r="Q10542">
        <v>1</v>
      </c>
      <c r="R10542" t="s">
        <v>45108</v>
      </c>
      <c r="S10542" t="s">
        <v>45434</v>
      </c>
      <c r="T10542" t="s">
        <v>47265</v>
      </c>
      <c r="U10542" t="s">
        <v>56138</v>
      </c>
      <c r="W10542" t="s">
        <v>41626</v>
      </c>
      <c r="X10542" t="s">
        <v>45109</v>
      </c>
    </row>
    <row r="10543" spans="1:24">
      <c r="A10543">
        <f>HYPERLINK("https://www.philgeps.gov.ph/GEPSNONPILOT/Tender/SplashBidNoticeAbstractUI.aspx?menuIndex=3&amp;refID=7028887&amp;Result=3","7028887")</f>
        <v>0</v>
      </c>
      <c r="B10543" t="s">
        <v>2754</v>
      </c>
      <c r="C10543" t="s">
        <v>13251</v>
      </c>
      <c r="D10543" t="s">
        <v>18058</v>
      </c>
      <c r="E10543" t="s">
        <v>18277</v>
      </c>
      <c r="F10543" t="s">
        <v>31574</v>
      </c>
      <c r="G10543" t="s">
        <v>31582</v>
      </c>
      <c r="H10543" t="s">
        <v>31590</v>
      </c>
      <c r="I10543" t="s">
        <v>4046</v>
      </c>
      <c r="J10543" t="s">
        <v>38282</v>
      </c>
      <c r="K10543" t="s">
        <v>41191</v>
      </c>
      <c r="M10543" t="s">
        <v>44526</v>
      </c>
      <c r="N10543" t="s">
        <v>45095</v>
      </c>
      <c r="O10543" t="s">
        <v>45096</v>
      </c>
      <c r="P10543">
        <v>0</v>
      </c>
      <c r="Q10543">
        <v>0</v>
      </c>
      <c r="R10543" t="s">
        <v>45108</v>
      </c>
      <c r="S10543" t="s">
        <v>45434</v>
      </c>
      <c r="T10543" t="s">
        <v>47380</v>
      </c>
      <c r="U10543" t="s">
        <v>56139</v>
      </c>
      <c r="V10543" t="s">
        <v>60957</v>
      </c>
      <c r="W10543" t="s">
        <v>44526</v>
      </c>
      <c r="X10543" t="s">
        <v>45109</v>
      </c>
    </row>
    <row r="10544" spans="1:24">
      <c r="A10544">
        <f>HYPERLINK("https://www.philgeps.gov.ph/GEPSNONPILOT/Tender/SplashBidNoticeAbstractUI.aspx?menuIndex=3&amp;refID=7028834&amp;Result=3","7028834")</f>
        <v>0</v>
      </c>
      <c r="B10544" t="s">
        <v>967</v>
      </c>
      <c r="C10544" t="s">
        <v>13252</v>
      </c>
      <c r="D10544" t="s">
        <v>18027</v>
      </c>
      <c r="E10544" t="s">
        <v>27253</v>
      </c>
      <c r="F10544" t="s">
        <v>31574</v>
      </c>
      <c r="G10544" t="s">
        <v>31582</v>
      </c>
      <c r="H10544" t="s">
        <v>31590</v>
      </c>
      <c r="I10544" t="s">
        <v>6800</v>
      </c>
      <c r="J10544" t="s">
        <v>38283</v>
      </c>
      <c r="K10544" t="s">
        <v>41192</v>
      </c>
      <c r="M10544" t="s">
        <v>42496</v>
      </c>
      <c r="N10544" t="s">
        <v>45095</v>
      </c>
      <c r="O10544" t="s">
        <v>45096</v>
      </c>
      <c r="P10544">
        <v>0</v>
      </c>
      <c r="Q10544">
        <v>2</v>
      </c>
      <c r="R10544" t="s">
        <v>45108</v>
      </c>
      <c r="S10544" t="s">
        <v>45434</v>
      </c>
      <c r="T10544" t="s">
        <v>47124</v>
      </c>
      <c r="U10544" t="s">
        <v>56140</v>
      </c>
      <c r="W10544" t="s">
        <v>42496</v>
      </c>
      <c r="X10544" t="s">
        <v>45109</v>
      </c>
    </row>
    <row r="10545" spans="1:24">
      <c r="A10545">
        <f>HYPERLINK("https://www.philgeps.gov.ph/GEPSNONPILOT/Tender/SplashBidNoticeAbstractUI.aspx?menuIndex=3&amp;refID=7028884&amp;Result=3","7028884")</f>
        <v>0</v>
      </c>
      <c r="B10545" t="s">
        <v>967</v>
      </c>
      <c r="C10545" t="s">
        <v>13253</v>
      </c>
      <c r="D10545" t="s">
        <v>18027</v>
      </c>
      <c r="E10545" t="s">
        <v>27254</v>
      </c>
      <c r="F10545" t="s">
        <v>31574</v>
      </c>
      <c r="G10545" t="s">
        <v>31582</v>
      </c>
      <c r="H10545" t="s">
        <v>31590</v>
      </c>
      <c r="I10545" t="s">
        <v>4354</v>
      </c>
      <c r="J10545" t="s">
        <v>38284</v>
      </c>
      <c r="K10545" t="s">
        <v>41192</v>
      </c>
      <c r="M10545" t="s">
        <v>42496</v>
      </c>
      <c r="N10545" t="s">
        <v>45095</v>
      </c>
      <c r="O10545" t="s">
        <v>45096</v>
      </c>
      <c r="P10545">
        <v>0</v>
      </c>
      <c r="Q10545">
        <v>1</v>
      </c>
      <c r="R10545" t="s">
        <v>45108</v>
      </c>
      <c r="S10545" t="s">
        <v>45434</v>
      </c>
      <c r="T10545" t="s">
        <v>47124</v>
      </c>
      <c r="U10545" t="s">
        <v>56141</v>
      </c>
      <c r="W10545" t="s">
        <v>42496</v>
      </c>
      <c r="X10545" t="s">
        <v>45109</v>
      </c>
    </row>
    <row r="10546" spans="1:24">
      <c r="A10546">
        <f>HYPERLINK("https://www.philgeps.gov.ph/GEPSNONPILOT/Tender/SplashBidNoticeAbstractUI.aspx?menuIndex=3&amp;refID=7028769&amp;Result=3","7028769")</f>
        <v>0</v>
      </c>
      <c r="B10546" t="s">
        <v>2755</v>
      </c>
      <c r="C10546" t="s">
        <v>13254</v>
      </c>
      <c r="D10546" t="s">
        <v>18024</v>
      </c>
      <c r="E10546" t="s">
        <v>27255</v>
      </c>
      <c r="F10546" t="s">
        <v>31574</v>
      </c>
      <c r="G10546" t="s">
        <v>31582</v>
      </c>
      <c r="H10546" t="s">
        <v>31590</v>
      </c>
      <c r="I10546" t="s">
        <v>4046</v>
      </c>
      <c r="J10546" t="s">
        <v>38285</v>
      </c>
      <c r="K10546" t="s">
        <v>41196</v>
      </c>
      <c r="M10546" t="s">
        <v>44527</v>
      </c>
      <c r="N10546" t="s">
        <v>45095</v>
      </c>
      <c r="O10546" t="s">
        <v>45096</v>
      </c>
      <c r="P10546">
        <v>0</v>
      </c>
      <c r="Q10546">
        <v>0</v>
      </c>
      <c r="R10546" t="s">
        <v>45108</v>
      </c>
      <c r="S10546" t="s">
        <v>45434</v>
      </c>
      <c r="T10546" t="s">
        <v>47159</v>
      </c>
      <c r="U10546" t="s">
        <v>56142</v>
      </c>
      <c r="W10546" t="s">
        <v>44527</v>
      </c>
      <c r="X10546" t="s">
        <v>45109</v>
      </c>
    </row>
    <row r="10547" spans="1:24">
      <c r="A10547">
        <f>HYPERLINK("https://www.philgeps.gov.ph/GEPSNONPILOT/Tender/SplashBidNoticeAbstractUI.aspx?menuIndex=3&amp;refID=7028840&amp;Result=3","7028840")</f>
        <v>0</v>
      </c>
      <c r="B10547" t="s">
        <v>768</v>
      </c>
      <c r="C10547" t="s">
        <v>13255</v>
      </c>
      <c r="D10547" t="s">
        <v>18086</v>
      </c>
      <c r="E10547" t="s">
        <v>27256</v>
      </c>
      <c r="F10547" t="s">
        <v>31574</v>
      </c>
      <c r="G10547" t="s">
        <v>31582</v>
      </c>
      <c r="H10547" t="s">
        <v>31591</v>
      </c>
      <c r="I10547" t="s">
        <v>8822</v>
      </c>
      <c r="J10547" t="s">
        <v>38286</v>
      </c>
      <c r="K10547" t="s">
        <v>41192</v>
      </c>
      <c r="M10547" t="s">
        <v>42282</v>
      </c>
      <c r="N10547" t="s">
        <v>45095</v>
      </c>
      <c r="O10547" t="s">
        <v>45096</v>
      </c>
      <c r="P10547">
        <v>0</v>
      </c>
      <c r="Q10547">
        <v>0</v>
      </c>
      <c r="R10547" t="s">
        <v>45108</v>
      </c>
      <c r="S10547" t="s">
        <v>45434</v>
      </c>
      <c r="T10547" t="s">
        <v>47093</v>
      </c>
      <c r="U10547" t="s">
        <v>56143</v>
      </c>
      <c r="W10547" t="s">
        <v>42282</v>
      </c>
      <c r="X10547" t="s">
        <v>45109</v>
      </c>
    </row>
    <row r="10548" spans="1:24">
      <c r="A10548">
        <f>HYPERLINK("https://www.philgeps.gov.ph/GEPSNONPILOT/Tender/SplashBidNoticeAbstractUI.aspx?menuIndex=3&amp;refID=7028877&amp;Result=3","7028877")</f>
        <v>0</v>
      </c>
      <c r="B10548" t="s">
        <v>2756</v>
      </c>
      <c r="C10548" t="s">
        <v>13256</v>
      </c>
      <c r="D10548" t="s">
        <v>18055</v>
      </c>
      <c r="E10548" t="s">
        <v>27257</v>
      </c>
      <c r="F10548" t="s">
        <v>31574</v>
      </c>
      <c r="G10548" t="s">
        <v>31585</v>
      </c>
      <c r="H10548" t="s">
        <v>31591</v>
      </c>
      <c r="I10548" t="s">
        <v>8822</v>
      </c>
      <c r="J10548" t="s">
        <v>31935</v>
      </c>
      <c r="K10548" t="s">
        <v>41189</v>
      </c>
      <c r="M10548" t="s">
        <v>44528</v>
      </c>
      <c r="N10548" t="s">
        <v>45095</v>
      </c>
      <c r="O10548" t="s">
        <v>45096</v>
      </c>
      <c r="P10548">
        <v>0</v>
      </c>
      <c r="Q10548">
        <v>16</v>
      </c>
      <c r="R10548" t="s">
        <v>45108</v>
      </c>
      <c r="S10548" t="s">
        <v>45434</v>
      </c>
      <c r="T10548" t="s">
        <v>47154</v>
      </c>
      <c r="U10548" t="s">
        <v>56144</v>
      </c>
      <c r="W10548" t="s">
        <v>44528</v>
      </c>
      <c r="X10548" t="s">
        <v>45109</v>
      </c>
    </row>
    <row r="10549" spans="1:24">
      <c r="A10549">
        <f>HYPERLINK("https://www.philgeps.gov.ph/GEPSNONPILOT/Tender/SplashBidNoticeAbstractUI.aspx?menuIndex=3&amp;refID=7028756&amp;Result=3","7028756")</f>
        <v>0</v>
      </c>
      <c r="B10549" t="s">
        <v>980</v>
      </c>
      <c r="C10549" t="s">
        <v>13257</v>
      </c>
      <c r="D10549" t="s">
        <v>18076</v>
      </c>
      <c r="E10549" t="s">
        <v>19706</v>
      </c>
      <c r="F10549" t="s">
        <v>31574</v>
      </c>
      <c r="G10549" t="s">
        <v>31582</v>
      </c>
      <c r="H10549" t="s">
        <v>31590</v>
      </c>
      <c r="I10549" t="s">
        <v>31599</v>
      </c>
      <c r="J10549" t="s">
        <v>38287</v>
      </c>
      <c r="K10549" t="s">
        <v>41185</v>
      </c>
      <c r="L10549" t="s">
        <v>980</v>
      </c>
      <c r="M10549" t="s">
        <v>42514</v>
      </c>
      <c r="N10549" t="s">
        <v>45095</v>
      </c>
      <c r="O10549" t="s">
        <v>45096</v>
      </c>
      <c r="P10549">
        <v>0</v>
      </c>
      <c r="Q10549">
        <v>2</v>
      </c>
      <c r="R10549" t="s">
        <v>45108</v>
      </c>
      <c r="S10549" t="s">
        <v>45434</v>
      </c>
      <c r="T10549" t="s">
        <v>47243</v>
      </c>
      <c r="U10549" t="s">
        <v>56145</v>
      </c>
      <c r="V10549" t="s">
        <v>60953</v>
      </c>
      <c r="W10549" t="s">
        <v>42514</v>
      </c>
      <c r="X10549" t="s">
        <v>45109</v>
      </c>
    </row>
    <row r="10550" spans="1:24">
      <c r="A10550">
        <f>HYPERLINK("https://www.philgeps.gov.ph/GEPSNONPILOT/Tender/SplashBidNoticeAbstractUI.aspx?menuIndex=3&amp;refID=7028845&amp;Result=3","7028845")</f>
        <v>0</v>
      </c>
      <c r="B10550" t="s">
        <v>1741</v>
      </c>
      <c r="C10550" t="s">
        <v>13258</v>
      </c>
      <c r="D10550" t="s">
        <v>18096</v>
      </c>
      <c r="E10550" t="s">
        <v>27258</v>
      </c>
      <c r="F10550" t="s">
        <v>31574</v>
      </c>
      <c r="G10550" t="s">
        <v>31582</v>
      </c>
      <c r="H10550" t="s">
        <v>31590</v>
      </c>
      <c r="I10550" t="s">
        <v>31615</v>
      </c>
      <c r="J10550" t="s">
        <v>35680</v>
      </c>
      <c r="K10550" t="s">
        <v>41191</v>
      </c>
      <c r="M10550" t="s">
        <v>43362</v>
      </c>
      <c r="N10550" t="s">
        <v>45095</v>
      </c>
      <c r="O10550" t="s">
        <v>45096</v>
      </c>
      <c r="P10550">
        <v>0</v>
      </c>
      <c r="Q10550">
        <v>2</v>
      </c>
      <c r="R10550" t="s">
        <v>45108</v>
      </c>
      <c r="S10550" t="s">
        <v>45434</v>
      </c>
      <c r="T10550" t="s">
        <v>46977</v>
      </c>
      <c r="U10550" t="s">
        <v>56146</v>
      </c>
      <c r="W10550" t="s">
        <v>43362</v>
      </c>
      <c r="X10550" t="s">
        <v>45109</v>
      </c>
    </row>
    <row r="10551" spans="1:24">
      <c r="A10551">
        <f>HYPERLINK("https://www.philgeps.gov.ph/GEPSNONPILOT/Tender/SplashBidNoticeAbstractUI.aspx?menuIndex=3&amp;refID=7028849&amp;Result=3","7028849")</f>
        <v>0</v>
      </c>
      <c r="B10551" t="s">
        <v>2105</v>
      </c>
      <c r="C10551" t="s">
        <v>9877</v>
      </c>
      <c r="D10551" t="s">
        <v>18029</v>
      </c>
      <c r="E10551" t="s">
        <v>24298</v>
      </c>
      <c r="F10551" t="s">
        <v>31574</v>
      </c>
      <c r="G10551" t="s">
        <v>31581</v>
      </c>
      <c r="H10551" t="s">
        <v>31590</v>
      </c>
      <c r="I10551" t="s">
        <v>4354</v>
      </c>
      <c r="J10551" t="s">
        <v>38288</v>
      </c>
      <c r="K10551" t="s">
        <v>41196</v>
      </c>
      <c r="M10551" t="s">
        <v>43783</v>
      </c>
      <c r="N10551" t="s">
        <v>45095</v>
      </c>
      <c r="O10551" t="s">
        <v>45096</v>
      </c>
      <c r="P10551">
        <v>0</v>
      </c>
      <c r="Q10551">
        <v>1</v>
      </c>
      <c r="R10551" t="s">
        <v>45108</v>
      </c>
      <c r="S10551" t="s">
        <v>45434</v>
      </c>
      <c r="T10551" t="s">
        <v>46926</v>
      </c>
      <c r="U10551" t="s">
        <v>56147</v>
      </c>
      <c r="W10551" t="s">
        <v>43783</v>
      </c>
      <c r="X10551" t="s">
        <v>45109</v>
      </c>
    </row>
    <row r="10552" spans="1:24">
      <c r="A10552">
        <f>HYPERLINK("https://www.philgeps.gov.ph/GEPSNONPILOT/Tender/SplashBidNoticeAbstractUI.aspx?menuIndex=3&amp;refID=7028848&amp;Result=3","7028848")</f>
        <v>0</v>
      </c>
      <c r="B10552" t="s">
        <v>851</v>
      </c>
      <c r="C10552" t="s">
        <v>13259</v>
      </c>
      <c r="D10552" t="s">
        <v>18045</v>
      </c>
      <c r="E10552" t="s">
        <v>27259</v>
      </c>
      <c r="F10552" t="s">
        <v>31574</v>
      </c>
      <c r="G10552" t="s">
        <v>31582</v>
      </c>
      <c r="H10552" t="s">
        <v>31591</v>
      </c>
      <c r="I10552" t="s">
        <v>8822</v>
      </c>
      <c r="J10552" t="s">
        <v>38289</v>
      </c>
      <c r="K10552" t="s">
        <v>41214</v>
      </c>
      <c r="M10552" t="s">
        <v>42370</v>
      </c>
      <c r="N10552" t="s">
        <v>45095</v>
      </c>
      <c r="O10552" t="s">
        <v>45096</v>
      </c>
      <c r="P10552">
        <v>0</v>
      </c>
      <c r="Q10552">
        <v>0</v>
      </c>
      <c r="R10552" t="s">
        <v>45108</v>
      </c>
      <c r="S10552" t="s">
        <v>45434</v>
      </c>
      <c r="T10552" t="s">
        <v>47019</v>
      </c>
      <c r="U10552" t="s">
        <v>56148</v>
      </c>
      <c r="W10552" t="s">
        <v>42370</v>
      </c>
      <c r="X10552" t="s">
        <v>45109</v>
      </c>
    </row>
    <row r="10553" spans="1:24">
      <c r="A10553">
        <f>HYPERLINK("https://www.philgeps.gov.ph/GEPSNONPILOT/Tender/SplashBidNoticeAbstractUI.aspx?menuIndex=3&amp;refID=7028922&amp;Result=3","7028922")</f>
        <v>0</v>
      </c>
      <c r="B10553" t="s">
        <v>2710</v>
      </c>
      <c r="C10553" t="s">
        <v>13260</v>
      </c>
      <c r="D10553" t="s">
        <v>18022</v>
      </c>
      <c r="E10553" t="s">
        <v>27260</v>
      </c>
      <c r="F10553" t="s">
        <v>31574</v>
      </c>
      <c r="G10553" t="s">
        <v>31582</v>
      </c>
      <c r="H10553" t="s">
        <v>31590</v>
      </c>
      <c r="I10553" t="s">
        <v>3487</v>
      </c>
      <c r="J10553" t="s">
        <v>38290</v>
      </c>
      <c r="K10553" t="s">
        <v>41196</v>
      </c>
      <c r="M10553" t="s">
        <v>44481</v>
      </c>
      <c r="N10553" t="s">
        <v>45095</v>
      </c>
      <c r="O10553" t="s">
        <v>45096</v>
      </c>
      <c r="P10553">
        <v>0</v>
      </c>
      <c r="Q10553">
        <v>0</v>
      </c>
      <c r="R10553" t="s">
        <v>45108</v>
      </c>
      <c r="S10553" t="s">
        <v>45434</v>
      </c>
      <c r="T10553" t="s">
        <v>47030</v>
      </c>
      <c r="U10553" t="s">
        <v>56149</v>
      </c>
      <c r="W10553" t="s">
        <v>44481</v>
      </c>
      <c r="X10553" t="s">
        <v>45109</v>
      </c>
    </row>
    <row r="10554" spans="1:24">
      <c r="A10554">
        <f>HYPERLINK("https://www.philgeps.gov.ph/GEPSNONPILOT/Tender/SplashBidNoticeAbstractUI.aspx?menuIndex=3&amp;refID=7028918&amp;Result=3","7028918")</f>
        <v>0</v>
      </c>
      <c r="B10554" t="s">
        <v>1925</v>
      </c>
      <c r="C10554" t="s">
        <v>13261</v>
      </c>
      <c r="D10554" t="s">
        <v>18047</v>
      </c>
      <c r="E10554" t="s">
        <v>27261</v>
      </c>
      <c r="F10554" t="s">
        <v>31575</v>
      </c>
      <c r="G10554" t="s">
        <v>31582</v>
      </c>
      <c r="H10554" t="s">
        <v>31591</v>
      </c>
      <c r="I10554" t="s">
        <v>8822</v>
      </c>
      <c r="J10554" t="s">
        <v>33252</v>
      </c>
      <c r="K10554" t="s">
        <v>41340</v>
      </c>
      <c r="M10554" t="s">
        <v>43577</v>
      </c>
      <c r="N10554" t="s">
        <v>45095</v>
      </c>
      <c r="O10554" t="s">
        <v>45096</v>
      </c>
      <c r="P10554">
        <v>0</v>
      </c>
      <c r="Q10554">
        <v>1</v>
      </c>
      <c r="R10554" t="s">
        <v>45108</v>
      </c>
      <c r="S10554" t="s">
        <v>45434</v>
      </c>
      <c r="T10554" t="s">
        <v>47161</v>
      </c>
      <c r="U10554" t="s">
        <v>55655</v>
      </c>
      <c r="V10554" t="s">
        <v>60880</v>
      </c>
      <c r="W10554" t="s">
        <v>43577</v>
      </c>
      <c r="X10554" t="s">
        <v>45109</v>
      </c>
    </row>
    <row r="10555" spans="1:24">
      <c r="A10555">
        <f>HYPERLINK("https://www.philgeps.gov.ph/GEPSNONPILOT/Tender/SplashBidNoticeAbstractUI.aspx?menuIndex=3&amp;refID=7028860&amp;Result=3","7028860")</f>
        <v>0</v>
      </c>
      <c r="B10555" t="s">
        <v>2754</v>
      </c>
      <c r="C10555" t="s">
        <v>13262</v>
      </c>
      <c r="D10555" t="s">
        <v>18058</v>
      </c>
      <c r="E10555" t="s">
        <v>18280</v>
      </c>
      <c r="F10555" t="s">
        <v>31574</v>
      </c>
      <c r="G10555" t="s">
        <v>31582</v>
      </c>
      <c r="H10555" t="s">
        <v>31590</v>
      </c>
      <c r="I10555" t="s">
        <v>4046</v>
      </c>
      <c r="J10555" t="s">
        <v>38291</v>
      </c>
      <c r="K10555" t="s">
        <v>41191</v>
      </c>
      <c r="M10555" t="s">
        <v>44526</v>
      </c>
      <c r="N10555" t="s">
        <v>45095</v>
      </c>
      <c r="O10555" t="s">
        <v>45096</v>
      </c>
      <c r="P10555">
        <v>0</v>
      </c>
      <c r="Q10555">
        <v>0</v>
      </c>
      <c r="R10555" t="s">
        <v>45108</v>
      </c>
      <c r="S10555" t="s">
        <v>45434</v>
      </c>
      <c r="T10555" t="s">
        <v>47380</v>
      </c>
      <c r="U10555" t="s">
        <v>56150</v>
      </c>
      <c r="V10555" t="s">
        <v>60957</v>
      </c>
      <c r="W10555" t="s">
        <v>44526</v>
      </c>
      <c r="X10555" t="s">
        <v>45109</v>
      </c>
    </row>
    <row r="10556" spans="1:24">
      <c r="A10556">
        <f>HYPERLINK("https://www.philgeps.gov.ph/GEPSNONPILOT/Tender/SplashBidNoticeAbstractUI.aspx?menuIndex=3&amp;refID=7028920&amp;Result=3","7028920")</f>
        <v>0</v>
      </c>
      <c r="B10556" t="s">
        <v>81</v>
      </c>
      <c r="C10556" t="s">
        <v>13263</v>
      </c>
      <c r="D10556" t="s">
        <v>18057</v>
      </c>
      <c r="E10556" t="s">
        <v>27262</v>
      </c>
      <c r="F10556" t="s">
        <v>31574</v>
      </c>
      <c r="G10556" t="s">
        <v>31583</v>
      </c>
      <c r="H10556" t="s">
        <v>31590</v>
      </c>
      <c r="I10556" t="s">
        <v>3901</v>
      </c>
      <c r="J10556" t="s">
        <v>31726</v>
      </c>
      <c r="K10556" t="s">
        <v>41186</v>
      </c>
      <c r="M10556" t="s">
        <v>41565</v>
      </c>
      <c r="N10556" t="s">
        <v>45095</v>
      </c>
      <c r="O10556" t="s">
        <v>45096</v>
      </c>
      <c r="P10556">
        <v>0</v>
      </c>
      <c r="Q10556">
        <v>4</v>
      </c>
      <c r="R10556" t="s">
        <v>45108</v>
      </c>
      <c r="S10556" t="s">
        <v>45434</v>
      </c>
      <c r="T10556" t="s">
        <v>47159</v>
      </c>
      <c r="U10556" t="s">
        <v>56151</v>
      </c>
      <c r="W10556" t="s">
        <v>61651</v>
      </c>
      <c r="X10556" t="s">
        <v>45109</v>
      </c>
    </row>
    <row r="10557" spans="1:24">
      <c r="A10557">
        <f>HYPERLINK("https://www.philgeps.gov.ph/GEPSNONPILOT/Tender/SplashBidNoticeAbstractUI.aspx?menuIndex=3&amp;refID=7028913&amp;Result=3","7028913")</f>
        <v>0</v>
      </c>
      <c r="B10557" t="s">
        <v>1165</v>
      </c>
      <c r="C10557" t="s">
        <v>13264</v>
      </c>
      <c r="D10557" t="s">
        <v>18030</v>
      </c>
      <c r="E10557" t="s">
        <v>27263</v>
      </c>
      <c r="F10557" t="s">
        <v>31574</v>
      </c>
      <c r="G10557" t="s">
        <v>31582</v>
      </c>
      <c r="H10557" t="s">
        <v>31590</v>
      </c>
      <c r="I10557" t="s">
        <v>31615</v>
      </c>
      <c r="J10557" t="s">
        <v>38292</v>
      </c>
      <c r="K10557" t="s">
        <v>41184</v>
      </c>
      <c r="M10557" t="s">
        <v>42724</v>
      </c>
      <c r="N10557" t="s">
        <v>45095</v>
      </c>
      <c r="O10557" t="s">
        <v>45096</v>
      </c>
      <c r="P10557">
        <v>0</v>
      </c>
      <c r="Q10557">
        <v>16</v>
      </c>
      <c r="R10557" t="s">
        <v>45108</v>
      </c>
      <c r="S10557" t="s">
        <v>45434</v>
      </c>
      <c r="T10557" t="s">
        <v>47300</v>
      </c>
      <c r="U10557" t="s">
        <v>56152</v>
      </c>
      <c r="W10557" t="s">
        <v>42724</v>
      </c>
      <c r="X10557" t="s">
        <v>45109</v>
      </c>
    </row>
    <row r="10558" spans="1:24">
      <c r="A10558">
        <f>HYPERLINK("https://www.philgeps.gov.ph/GEPSNONPILOT/Tender/SplashBidNoticeAbstractUI.aspx?menuIndex=3&amp;refID=7028870&amp;Result=3","7028870")</f>
        <v>0</v>
      </c>
      <c r="B10558" t="s">
        <v>1488</v>
      </c>
      <c r="C10558" t="s">
        <v>13265</v>
      </c>
      <c r="D10558" t="s">
        <v>18088</v>
      </c>
      <c r="E10558" t="s">
        <v>21914</v>
      </c>
      <c r="F10558" t="s">
        <v>31574</v>
      </c>
      <c r="G10558" t="s">
        <v>31582</v>
      </c>
      <c r="H10558" t="s">
        <v>31591</v>
      </c>
      <c r="I10558" t="s">
        <v>8822</v>
      </c>
      <c r="J10558" t="s">
        <v>38293</v>
      </c>
      <c r="K10558" t="s">
        <v>41184</v>
      </c>
      <c r="M10558" t="s">
        <v>43073</v>
      </c>
      <c r="N10558" t="s">
        <v>45095</v>
      </c>
      <c r="O10558" t="s">
        <v>45096</v>
      </c>
      <c r="P10558">
        <v>0</v>
      </c>
      <c r="Q10558">
        <v>0</v>
      </c>
      <c r="R10558" t="s">
        <v>45108</v>
      </c>
      <c r="S10558" t="s">
        <v>45434</v>
      </c>
      <c r="T10558" t="s">
        <v>47000</v>
      </c>
      <c r="U10558" t="s">
        <v>56153</v>
      </c>
      <c r="V10558" t="s">
        <v>60951</v>
      </c>
      <c r="W10558" t="s">
        <v>43073</v>
      </c>
      <c r="X10558" t="s">
        <v>45109</v>
      </c>
    </row>
    <row r="10559" spans="1:24">
      <c r="A10559">
        <f>HYPERLINK("https://www.philgeps.gov.ph/GEPSNONPILOT/Tender/SplashBidNoticeAbstractUI.aspx?menuIndex=3&amp;refID=7028927&amp;Result=3","7028927")</f>
        <v>0</v>
      </c>
      <c r="B10559" t="s">
        <v>2757</v>
      </c>
      <c r="C10559" t="s">
        <v>13266</v>
      </c>
      <c r="D10559" t="s">
        <v>18056</v>
      </c>
      <c r="E10559" t="s">
        <v>27264</v>
      </c>
      <c r="F10559" t="s">
        <v>31574</v>
      </c>
      <c r="G10559" t="s">
        <v>31582</v>
      </c>
      <c r="H10559" t="s">
        <v>31591</v>
      </c>
      <c r="I10559" t="s">
        <v>8822</v>
      </c>
      <c r="J10559" t="s">
        <v>38294</v>
      </c>
      <c r="K10559" t="s">
        <v>41192</v>
      </c>
      <c r="M10559" t="s">
        <v>44529</v>
      </c>
      <c r="N10559" t="s">
        <v>45095</v>
      </c>
      <c r="O10559" t="s">
        <v>45096</v>
      </c>
      <c r="P10559">
        <v>0</v>
      </c>
      <c r="Q10559">
        <v>3</v>
      </c>
      <c r="R10559" t="s">
        <v>45108</v>
      </c>
      <c r="S10559" t="s">
        <v>45434</v>
      </c>
      <c r="T10559" t="s">
        <v>46914</v>
      </c>
      <c r="U10559" t="s">
        <v>56154</v>
      </c>
      <c r="V10559" t="s">
        <v>60958</v>
      </c>
      <c r="W10559" t="s">
        <v>44529</v>
      </c>
      <c r="X10559" t="s">
        <v>45109</v>
      </c>
    </row>
    <row r="10560" spans="1:24">
      <c r="A10560">
        <f>HYPERLINK("https://www.philgeps.gov.ph/GEPSNONPILOT/Tender/SplashBidNoticeAbstractUI.aspx?menuIndex=3&amp;refID=7028842&amp;Result=3","7028842")</f>
        <v>0</v>
      </c>
      <c r="B10560" t="s">
        <v>2483</v>
      </c>
      <c r="C10560" t="s">
        <v>13267</v>
      </c>
      <c r="D10560" t="s">
        <v>18101</v>
      </c>
      <c r="E10560" t="s">
        <v>27265</v>
      </c>
      <c r="F10560" t="s">
        <v>31574</v>
      </c>
      <c r="G10560" t="s">
        <v>31582</v>
      </c>
      <c r="H10560" t="s">
        <v>31590</v>
      </c>
      <c r="I10560" t="s">
        <v>3489</v>
      </c>
      <c r="J10560" t="s">
        <v>38295</v>
      </c>
      <c r="K10560" t="s">
        <v>41186</v>
      </c>
      <c r="L10560" t="s">
        <v>2483</v>
      </c>
      <c r="M10560" t="s">
        <v>44213</v>
      </c>
      <c r="N10560" t="s">
        <v>45095</v>
      </c>
      <c r="O10560" t="s">
        <v>45096</v>
      </c>
      <c r="P10560">
        <v>0</v>
      </c>
      <c r="Q10560">
        <v>1</v>
      </c>
      <c r="R10560" t="s">
        <v>45108</v>
      </c>
      <c r="S10560" t="s">
        <v>45434</v>
      </c>
      <c r="T10560" t="s">
        <v>46914</v>
      </c>
      <c r="U10560" t="s">
        <v>56155</v>
      </c>
      <c r="V10560" t="s">
        <v>60767</v>
      </c>
      <c r="W10560" t="s">
        <v>44213</v>
      </c>
      <c r="X10560" t="s">
        <v>45109</v>
      </c>
    </row>
    <row r="10561" spans="1:24">
      <c r="A10561">
        <f>HYPERLINK("https://www.philgeps.gov.ph/GEPSNONPILOT/Tender/SplashBidNoticeAbstractUI.aspx?menuIndex=3&amp;refID=7028981&amp;Result=3","7028981")</f>
        <v>0</v>
      </c>
      <c r="B10561" t="s">
        <v>461</v>
      </c>
      <c r="C10561" t="s">
        <v>13268</v>
      </c>
      <c r="D10561" t="s">
        <v>18057</v>
      </c>
      <c r="E10561" t="s">
        <v>27266</v>
      </c>
      <c r="F10561" t="s">
        <v>31574</v>
      </c>
      <c r="G10561" t="s">
        <v>31582</v>
      </c>
      <c r="H10561" t="s">
        <v>31591</v>
      </c>
      <c r="I10561" t="s">
        <v>8822</v>
      </c>
      <c r="J10561" t="s">
        <v>38296</v>
      </c>
      <c r="K10561" t="s">
        <v>41192</v>
      </c>
      <c r="M10561" t="s">
        <v>41955</v>
      </c>
      <c r="N10561" t="s">
        <v>45095</v>
      </c>
      <c r="O10561" t="s">
        <v>45096</v>
      </c>
      <c r="P10561">
        <v>0</v>
      </c>
      <c r="Q10561">
        <v>0</v>
      </c>
      <c r="R10561" t="s">
        <v>45108</v>
      </c>
      <c r="S10561" t="s">
        <v>45434</v>
      </c>
      <c r="T10561" t="s">
        <v>47154</v>
      </c>
      <c r="U10561" t="s">
        <v>56156</v>
      </c>
      <c r="W10561" t="s">
        <v>41955</v>
      </c>
      <c r="X10561" t="s">
        <v>45109</v>
      </c>
    </row>
    <row r="10562" spans="1:24">
      <c r="A10562">
        <f>HYPERLINK("https://www.philgeps.gov.ph/GEPSNONPILOT/Tender/SplashBidNoticeAbstractUI.aspx?menuIndex=3&amp;refID=7028947&amp;Result=3","7028947")</f>
        <v>0</v>
      </c>
      <c r="B10562" t="s">
        <v>2467</v>
      </c>
      <c r="C10562" t="s">
        <v>13269</v>
      </c>
      <c r="D10562" t="s">
        <v>18059</v>
      </c>
      <c r="E10562" t="s">
        <v>27267</v>
      </c>
      <c r="F10562" t="s">
        <v>31574</v>
      </c>
      <c r="G10562" t="s">
        <v>31583</v>
      </c>
      <c r="H10562" t="s">
        <v>31590</v>
      </c>
      <c r="I10562" t="s">
        <v>31623</v>
      </c>
      <c r="J10562" t="s">
        <v>38297</v>
      </c>
      <c r="K10562" t="s">
        <v>41193</v>
      </c>
      <c r="M10562" t="s">
        <v>44196</v>
      </c>
      <c r="N10562" t="s">
        <v>45095</v>
      </c>
      <c r="O10562" t="s">
        <v>45096</v>
      </c>
      <c r="P10562">
        <v>0</v>
      </c>
      <c r="Q10562">
        <v>0</v>
      </c>
      <c r="R10562" t="s">
        <v>45108</v>
      </c>
      <c r="S10562" t="s">
        <v>45434</v>
      </c>
      <c r="T10562" t="s">
        <v>47159</v>
      </c>
      <c r="U10562" t="s">
        <v>56157</v>
      </c>
      <c r="W10562" t="s">
        <v>44196</v>
      </c>
      <c r="X10562" t="s">
        <v>45109</v>
      </c>
    </row>
    <row r="10563" spans="1:24">
      <c r="A10563">
        <f>HYPERLINK("https://www.philgeps.gov.ph/GEPSNONPILOT/Tender/SplashBidNoticeAbstractUI.aspx?menuIndex=3&amp;refID=7028843&amp;Result=3","7028843")</f>
        <v>0</v>
      </c>
      <c r="B10563" t="s">
        <v>1079</v>
      </c>
      <c r="C10563" t="s">
        <v>13270</v>
      </c>
      <c r="E10563" t="s">
        <v>27268</v>
      </c>
      <c r="F10563" t="s">
        <v>31574</v>
      </c>
      <c r="G10563" t="s">
        <v>31581</v>
      </c>
      <c r="H10563" t="s">
        <v>31590</v>
      </c>
      <c r="I10563" t="s">
        <v>3539</v>
      </c>
      <c r="J10563" t="s">
        <v>34709</v>
      </c>
      <c r="K10563" t="s">
        <v>41184</v>
      </c>
      <c r="M10563" t="s">
        <v>43366</v>
      </c>
      <c r="N10563" t="s">
        <v>45095</v>
      </c>
      <c r="O10563" t="s">
        <v>45096</v>
      </c>
      <c r="P10563">
        <v>0</v>
      </c>
      <c r="Q10563">
        <v>1</v>
      </c>
      <c r="R10563" t="s">
        <v>45108</v>
      </c>
      <c r="S10563" t="s">
        <v>45434</v>
      </c>
      <c r="T10563" t="s">
        <v>47125</v>
      </c>
      <c r="U10563" t="s">
        <v>56158</v>
      </c>
      <c r="V10563" t="s">
        <v>60414</v>
      </c>
      <c r="W10563" t="s">
        <v>43366</v>
      </c>
      <c r="X10563" t="s">
        <v>45109</v>
      </c>
    </row>
    <row r="10564" spans="1:24">
      <c r="A10564">
        <f>HYPERLINK("https://www.philgeps.gov.ph/GEPSNONPILOT/Tender/SplashBidNoticeAbstractUI.aspx?menuIndex=3&amp;refID=7028989&amp;Result=3","7028989")</f>
        <v>0</v>
      </c>
      <c r="B10564" t="s">
        <v>2758</v>
      </c>
      <c r="C10564" t="s">
        <v>5290</v>
      </c>
      <c r="E10564" t="s">
        <v>27269</v>
      </c>
      <c r="F10564" t="s">
        <v>31574</v>
      </c>
      <c r="G10564" t="s">
        <v>31582</v>
      </c>
      <c r="H10564" t="s">
        <v>31590</v>
      </c>
      <c r="I10564" t="s">
        <v>6800</v>
      </c>
      <c r="J10564" t="s">
        <v>38298</v>
      </c>
      <c r="K10564" t="s">
        <v>41192</v>
      </c>
      <c r="M10564" t="s">
        <v>44530</v>
      </c>
      <c r="N10564" t="s">
        <v>45095</v>
      </c>
      <c r="O10564" t="s">
        <v>45096</v>
      </c>
      <c r="P10564">
        <v>0</v>
      </c>
      <c r="Q10564">
        <v>3</v>
      </c>
      <c r="R10564" t="s">
        <v>45108</v>
      </c>
      <c r="S10564" t="s">
        <v>45434</v>
      </c>
      <c r="T10564" t="s">
        <v>46936</v>
      </c>
      <c r="U10564" t="s">
        <v>56159</v>
      </c>
      <c r="W10564" t="s">
        <v>44530</v>
      </c>
      <c r="X10564" t="s">
        <v>45109</v>
      </c>
    </row>
    <row r="10565" spans="1:24">
      <c r="A10565">
        <f>HYPERLINK("https://www.philgeps.gov.ph/GEPSNONPILOT/Tender/SplashBidNoticeAbstractUI.aspx?menuIndex=3&amp;refID=7028963&amp;Result=3","7028963")</f>
        <v>0</v>
      </c>
      <c r="B10565" t="s">
        <v>980</v>
      </c>
      <c r="C10565" t="s">
        <v>13271</v>
      </c>
      <c r="D10565" t="s">
        <v>18076</v>
      </c>
      <c r="E10565" t="s">
        <v>19725</v>
      </c>
      <c r="F10565" t="s">
        <v>31574</v>
      </c>
      <c r="G10565" t="s">
        <v>31582</v>
      </c>
      <c r="H10565" t="s">
        <v>31590</v>
      </c>
      <c r="I10565" t="s">
        <v>31608</v>
      </c>
      <c r="J10565" t="s">
        <v>38299</v>
      </c>
      <c r="K10565" t="s">
        <v>41185</v>
      </c>
      <c r="L10565" t="s">
        <v>980</v>
      </c>
      <c r="M10565" t="s">
        <v>42514</v>
      </c>
      <c r="N10565" t="s">
        <v>45095</v>
      </c>
      <c r="O10565" t="s">
        <v>45096</v>
      </c>
      <c r="P10565">
        <v>0</v>
      </c>
      <c r="Q10565">
        <v>4</v>
      </c>
      <c r="R10565" t="s">
        <v>45108</v>
      </c>
      <c r="S10565" t="s">
        <v>45434</v>
      </c>
      <c r="T10565" t="s">
        <v>47243</v>
      </c>
      <c r="U10565" t="s">
        <v>56160</v>
      </c>
      <c r="V10565" t="s">
        <v>60953</v>
      </c>
      <c r="W10565" t="s">
        <v>42514</v>
      </c>
      <c r="X10565" t="s">
        <v>45109</v>
      </c>
    </row>
    <row r="10566" spans="1:24">
      <c r="A10566">
        <f>HYPERLINK("https://www.philgeps.gov.ph/GEPSNONPILOT/Tender/SplashBidNoticeAbstractUI.aspx?menuIndex=3&amp;refID=7028906&amp;Result=3","7028906")</f>
        <v>0</v>
      </c>
      <c r="B10566" t="s">
        <v>1808</v>
      </c>
      <c r="C10566" t="s">
        <v>13272</v>
      </c>
      <c r="D10566" t="s">
        <v>18070</v>
      </c>
      <c r="E10566" t="s">
        <v>27270</v>
      </c>
      <c r="F10566" t="s">
        <v>31574</v>
      </c>
      <c r="G10566" t="s">
        <v>31582</v>
      </c>
      <c r="H10566" t="s">
        <v>31591</v>
      </c>
      <c r="I10566" t="s">
        <v>8822</v>
      </c>
      <c r="J10566" t="s">
        <v>31730</v>
      </c>
      <c r="K10566" t="s">
        <v>41243</v>
      </c>
      <c r="M10566" t="s">
        <v>43441</v>
      </c>
      <c r="N10566" t="s">
        <v>45095</v>
      </c>
      <c r="O10566" t="s">
        <v>45096</v>
      </c>
      <c r="P10566">
        <v>0</v>
      </c>
      <c r="Q10566">
        <v>0</v>
      </c>
      <c r="R10566" t="s">
        <v>45108</v>
      </c>
      <c r="S10566" t="s">
        <v>45434</v>
      </c>
      <c r="T10566" t="s">
        <v>47139</v>
      </c>
      <c r="U10566" t="s">
        <v>56161</v>
      </c>
      <c r="W10566" t="s">
        <v>43441</v>
      </c>
      <c r="X10566" t="s">
        <v>45109</v>
      </c>
    </row>
    <row r="10567" spans="1:24">
      <c r="A10567">
        <f>HYPERLINK("https://www.philgeps.gov.ph/GEPSNONPILOT/Tender/SplashBidNoticeAbstractUI.aspx?menuIndex=3&amp;refID=7028950&amp;Result=3","7028950")</f>
        <v>0</v>
      </c>
      <c r="B10567" t="s">
        <v>851</v>
      </c>
      <c r="C10567" t="s">
        <v>13273</v>
      </c>
      <c r="D10567" t="s">
        <v>18045</v>
      </c>
      <c r="E10567" t="s">
        <v>27271</v>
      </c>
      <c r="F10567" t="s">
        <v>31574</v>
      </c>
      <c r="G10567" t="s">
        <v>31582</v>
      </c>
      <c r="H10567" t="s">
        <v>31591</v>
      </c>
      <c r="I10567" t="s">
        <v>8822</v>
      </c>
      <c r="J10567" t="s">
        <v>34070</v>
      </c>
      <c r="K10567" t="s">
        <v>41339</v>
      </c>
      <c r="M10567" t="s">
        <v>42370</v>
      </c>
      <c r="N10567" t="s">
        <v>45095</v>
      </c>
      <c r="O10567" t="s">
        <v>45096</v>
      </c>
      <c r="P10567">
        <v>0</v>
      </c>
      <c r="Q10567">
        <v>0</v>
      </c>
      <c r="R10567" t="s">
        <v>45108</v>
      </c>
      <c r="S10567" t="s">
        <v>45434</v>
      </c>
      <c r="T10567" t="s">
        <v>47019</v>
      </c>
      <c r="U10567" t="s">
        <v>56105</v>
      </c>
      <c r="W10567" t="s">
        <v>42370</v>
      </c>
      <c r="X10567" t="s">
        <v>45109</v>
      </c>
    </row>
    <row r="10568" spans="1:24">
      <c r="A10568">
        <f>HYPERLINK("https://www.philgeps.gov.ph/GEPSNONPILOT/Tender/SplashBidNoticeAbstractUI.aspx?menuIndex=3&amp;refID=7028945&amp;Result=3","7028945")</f>
        <v>0</v>
      </c>
      <c r="B10568" t="s">
        <v>980</v>
      </c>
      <c r="C10568" t="s">
        <v>13274</v>
      </c>
      <c r="D10568" t="s">
        <v>18076</v>
      </c>
      <c r="E10568" t="s">
        <v>19710</v>
      </c>
      <c r="F10568" t="s">
        <v>31574</v>
      </c>
      <c r="G10568" t="s">
        <v>31582</v>
      </c>
      <c r="H10568" t="s">
        <v>31590</v>
      </c>
      <c r="I10568" t="s">
        <v>7185</v>
      </c>
      <c r="J10568" t="s">
        <v>38300</v>
      </c>
      <c r="K10568" t="s">
        <v>41185</v>
      </c>
      <c r="L10568" t="s">
        <v>980</v>
      </c>
      <c r="M10568" t="s">
        <v>42514</v>
      </c>
      <c r="N10568" t="s">
        <v>45095</v>
      </c>
      <c r="O10568" t="s">
        <v>45096</v>
      </c>
      <c r="P10568">
        <v>0</v>
      </c>
      <c r="Q10568">
        <v>5</v>
      </c>
      <c r="R10568" t="s">
        <v>45108</v>
      </c>
      <c r="S10568" t="s">
        <v>45434</v>
      </c>
      <c r="T10568" t="s">
        <v>47243</v>
      </c>
      <c r="U10568" t="s">
        <v>56162</v>
      </c>
      <c r="V10568" t="s">
        <v>60953</v>
      </c>
      <c r="W10568" t="s">
        <v>42514</v>
      </c>
      <c r="X10568" t="s">
        <v>45109</v>
      </c>
    </row>
    <row r="10569" spans="1:24">
      <c r="A10569">
        <f>HYPERLINK("https://www.philgeps.gov.ph/GEPSNONPILOT/Tender/SplashBidNoticeAbstractUI.aspx?menuIndex=3&amp;refID=7028946&amp;Result=3","7028946")</f>
        <v>0</v>
      </c>
      <c r="B10569" t="s">
        <v>2756</v>
      </c>
      <c r="C10569" t="s">
        <v>13275</v>
      </c>
      <c r="D10569" t="s">
        <v>18055</v>
      </c>
      <c r="E10569" t="s">
        <v>27272</v>
      </c>
      <c r="F10569" t="s">
        <v>31574</v>
      </c>
      <c r="G10569" t="s">
        <v>31585</v>
      </c>
      <c r="H10569" t="s">
        <v>31591</v>
      </c>
      <c r="I10569" t="s">
        <v>8822</v>
      </c>
      <c r="J10569" t="s">
        <v>32076</v>
      </c>
      <c r="K10569" t="s">
        <v>41200</v>
      </c>
      <c r="M10569" t="s">
        <v>44528</v>
      </c>
      <c r="N10569" t="s">
        <v>45095</v>
      </c>
      <c r="O10569" t="s">
        <v>45096</v>
      </c>
      <c r="P10569">
        <v>0</v>
      </c>
      <c r="Q10569">
        <v>17</v>
      </c>
      <c r="R10569" t="s">
        <v>45108</v>
      </c>
      <c r="S10569" t="s">
        <v>45434</v>
      </c>
      <c r="T10569" t="s">
        <v>47159</v>
      </c>
      <c r="U10569" t="s">
        <v>56163</v>
      </c>
      <c r="W10569" t="s">
        <v>44528</v>
      </c>
      <c r="X10569" t="s">
        <v>45109</v>
      </c>
    </row>
    <row r="10570" spans="1:24">
      <c r="A10570">
        <f>HYPERLINK("https://www.philgeps.gov.ph/GEPSNONPILOT/Tender/SplashBidNoticeAbstractUI.aspx?menuIndex=3&amp;refID=7029066&amp;Result=3","7029066")</f>
        <v>0</v>
      </c>
      <c r="B10570" t="s">
        <v>2710</v>
      </c>
      <c r="C10570" t="s">
        <v>13276</v>
      </c>
      <c r="D10570" t="s">
        <v>18022</v>
      </c>
      <c r="E10570" t="s">
        <v>27273</v>
      </c>
      <c r="F10570" t="s">
        <v>31574</v>
      </c>
      <c r="G10570" t="s">
        <v>31582</v>
      </c>
      <c r="H10570" t="s">
        <v>31590</v>
      </c>
      <c r="I10570" t="s">
        <v>3487</v>
      </c>
      <c r="J10570" t="s">
        <v>38301</v>
      </c>
      <c r="K10570" t="s">
        <v>41196</v>
      </c>
      <c r="M10570" t="s">
        <v>44481</v>
      </c>
      <c r="N10570" t="s">
        <v>45095</v>
      </c>
      <c r="O10570" t="s">
        <v>45096</v>
      </c>
      <c r="P10570">
        <v>0</v>
      </c>
      <c r="Q10570">
        <v>0</v>
      </c>
      <c r="R10570" t="s">
        <v>45108</v>
      </c>
      <c r="S10570" t="s">
        <v>45434</v>
      </c>
      <c r="T10570" t="s">
        <v>47192</v>
      </c>
      <c r="U10570" t="s">
        <v>56164</v>
      </c>
      <c r="W10570" t="s">
        <v>44481</v>
      </c>
      <c r="X10570" t="s">
        <v>45109</v>
      </c>
    </row>
    <row r="10571" spans="1:24">
      <c r="A10571">
        <f>HYPERLINK("https://www.philgeps.gov.ph/GEPSNONPILOT/Tender/SplashBidNoticeAbstractUI.aspx?menuIndex=3&amp;refID=7028939&amp;Result=3","7028939")</f>
        <v>0</v>
      </c>
      <c r="B10571" t="s">
        <v>2751</v>
      </c>
      <c r="C10571" t="s">
        <v>13277</v>
      </c>
      <c r="D10571" t="s">
        <v>18049</v>
      </c>
      <c r="E10571" t="s">
        <v>27274</v>
      </c>
      <c r="F10571" t="s">
        <v>31574</v>
      </c>
      <c r="G10571" t="s">
        <v>31582</v>
      </c>
      <c r="H10571" t="s">
        <v>31591</v>
      </c>
      <c r="I10571" t="s">
        <v>7162</v>
      </c>
      <c r="J10571" t="s">
        <v>38302</v>
      </c>
      <c r="K10571" t="s">
        <v>41238</v>
      </c>
      <c r="M10571" t="s">
        <v>44523</v>
      </c>
      <c r="N10571" t="s">
        <v>45095</v>
      </c>
      <c r="O10571" t="s">
        <v>45096</v>
      </c>
      <c r="P10571">
        <v>0</v>
      </c>
      <c r="Q10571">
        <v>2</v>
      </c>
      <c r="R10571" t="s">
        <v>45108</v>
      </c>
      <c r="S10571" t="s">
        <v>45434</v>
      </c>
      <c r="T10571" t="s">
        <v>47134</v>
      </c>
      <c r="U10571" t="s">
        <v>56165</v>
      </c>
      <c r="W10571" t="s">
        <v>44523</v>
      </c>
      <c r="X10571" t="s">
        <v>45109</v>
      </c>
    </row>
    <row r="10572" spans="1:24">
      <c r="A10572">
        <f>HYPERLINK("https://www.philgeps.gov.ph/GEPSNONPILOT/Tender/SplashBidNoticeAbstractUI.aspx?menuIndex=3&amp;refID=7028994&amp;Result=3","7028994")</f>
        <v>0</v>
      </c>
      <c r="B10572" t="s">
        <v>154</v>
      </c>
      <c r="C10572" t="s">
        <v>13278</v>
      </c>
      <c r="D10572" t="s">
        <v>18063</v>
      </c>
      <c r="E10572" t="s">
        <v>27275</v>
      </c>
      <c r="F10572" t="s">
        <v>31574</v>
      </c>
      <c r="G10572" t="s">
        <v>31582</v>
      </c>
      <c r="H10572" t="s">
        <v>31591</v>
      </c>
      <c r="I10572" t="s">
        <v>7162</v>
      </c>
      <c r="J10572" t="s">
        <v>32530</v>
      </c>
      <c r="K10572" t="s">
        <v>41190</v>
      </c>
      <c r="M10572" t="s">
        <v>41638</v>
      </c>
      <c r="N10572" t="s">
        <v>45095</v>
      </c>
      <c r="O10572" t="s">
        <v>45096</v>
      </c>
      <c r="P10572">
        <v>0</v>
      </c>
      <c r="Q10572">
        <v>4</v>
      </c>
      <c r="R10572" t="s">
        <v>45108</v>
      </c>
      <c r="S10572" t="s">
        <v>45434</v>
      </c>
      <c r="T10572" t="s">
        <v>46923</v>
      </c>
      <c r="U10572" t="s">
        <v>56166</v>
      </c>
      <c r="W10572" t="s">
        <v>41638</v>
      </c>
      <c r="X10572" t="s">
        <v>45109</v>
      </c>
    </row>
    <row r="10573" spans="1:24">
      <c r="A10573">
        <f>HYPERLINK("https://www.philgeps.gov.ph/GEPSNONPILOT/Tender/SplashBidNoticeAbstractUI.aspx?menuIndex=3&amp;refID=7029025&amp;Result=3","7029025")</f>
        <v>0</v>
      </c>
      <c r="B10573" t="s">
        <v>851</v>
      </c>
      <c r="C10573" t="s">
        <v>13279</v>
      </c>
      <c r="D10573" t="s">
        <v>18045</v>
      </c>
      <c r="E10573" t="s">
        <v>27276</v>
      </c>
      <c r="F10573" t="s">
        <v>31574</v>
      </c>
      <c r="G10573" t="s">
        <v>31582</v>
      </c>
      <c r="H10573" t="s">
        <v>31591</v>
      </c>
      <c r="I10573" t="s">
        <v>8822</v>
      </c>
      <c r="J10573" t="s">
        <v>34707</v>
      </c>
      <c r="K10573" t="s">
        <v>41222</v>
      </c>
      <c r="M10573" t="s">
        <v>42370</v>
      </c>
      <c r="N10573" t="s">
        <v>45095</v>
      </c>
      <c r="O10573" t="s">
        <v>45096</v>
      </c>
      <c r="P10573">
        <v>0</v>
      </c>
      <c r="Q10573">
        <v>0</v>
      </c>
      <c r="R10573" t="s">
        <v>45108</v>
      </c>
      <c r="S10573" t="s">
        <v>45434</v>
      </c>
      <c r="T10573" t="s">
        <v>47019</v>
      </c>
      <c r="U10573" t="s">
        <v>56105</v>
      </c>
      <c r="W10573" t="s">
        <v>42370</v>
      </c>
      <c r="X10573" t="s">
        <v>45109</v>
      </c>
    </row>
    <row r="10574" spans="1:24">
      <c r="A10574">
        <f>HYPERLINK("https://www.philgeps.gov.ph/GEPSNONPILOT/Tender/SplashBidNoticeAbstractUI.aspx?menuIndex=3&amp;refID=7029046&amp;Result=3","7029046")</f>
        <v>0</v>
      </c>
      <c r="B10574" t="s">
        <v>258</v>
      </c>
      <c r="C10574" t="s">
        <v>13280</v>
      </c>
      <c r="E10574" t="s">
        <v>24014</v>
      </c>
      <c r="F10574" t="s">
        <v>31574</v>
      </c>
      <c r="G10574" t="s">
        <v>31582</v>
      </c>
      <c r="H10574" t="s">
        <v>31590</v>
      </c>
      <c r="I10574" t="s">
        <v>4046</v>
      </c>
      <c r="J10574" t="s">
        <v>38303</v>
      </c>
      <c r="K10574" t="s">
        <v>41191</v>
      </c>
      <c r="M10574" t="s">
        <v>41744</v>
      </c>
      <c r="N10574" t="s">
        <v>45095</v>
      </c>
      <c r="O10574" t="s">
        <v>45096</v>
      </c>
      <c r="P10574">
        <v>0</v>
      </c>
      <c r="Q10574">
        <v>0</v>
      </c>
      <c r="R10574" t="s">
        <v>45108</v>
      </c>
      <c r="S10574" t="s">
        <v>45434</v>
      </c>
      <c r="T10574" t="s">
        <v>47000</v>
      </c>
      <c r="U10574" t="s">
        <v>52199</v>
      </c>
      <c r="V10574" t="s">
        <v>60959</v>
      </c>
      <c r="W10574" t="s">
        <v>41744</v>
      </c>
      <c r="X10574" t="s">
        <v>45109</v>
      </c>
    </row>
    <row r="10575" spans="1:24">
      <c r="A10575">
        <f>HYPERLINK("https://www.philgeps.gov.ph/GEPSNONPILOT/Tender/SplashBidNoticeAbstractUI.aspx?menuIndex=3&amp;refID=7029006&amp;Result=3","7029006")</f>
        <v>0</v>
      </c>
      <c r="B10575" t="s">
        <v>2757</v>
      </c>
      <c r="C10575" t="s">
        <v>13281</v>
      </c>
      <c r="D10575" t="s">
        <v>18056</v>
      </c>
      <c r="E10575" t="s">
        <v>27277</v>
      </c>
      <c r="F10575" t="s">
        <v>31574</v>
      </c>
      <c r="G10575" t="s">
        <v>31582</v>
      </c>
      <c r="H10575" t="s">
        <v>31591</v>
      </c>
      <c r="I10575" t="s">
        <v>8822</v>
      </c>
      <c r="J10575" t="s">
        <v>38304</v>
      </c>
      <c r="K10575" t="s">
        <v>41185</v>
      </c>
      <c r="M10575" t="s">
        <v>44529</v>
      </c>
      <c r="N10575" t="s">
        <v>45095</v>
      </c>
      <c r="O10575" t="s">
        <v>45096</v>
      </c>
      <c r="P10575">
        <v>0</v>
      </c>
      <c r="Q10575">
        <v>2</v>
      </c>
      <c r="R10575" t="s">
        <v>45108</v>
      </c>
      <c r="S10575" t="s">
        <v>45434</v>
      </c>
      <c r="T10575" t="s">
        <v>46914</v>
      </c>
      <c r="U10575" t="s">
        <v>56167</v>
      </c>
      <c r="V10575" t="s">
        <v>60958</v>
      </c>
      <c r="W10575" t="s">
        <v>44529</v>
      </c>
      <c r="X10575" t="s">
        <v>45109</v>
      </c>
    </row>
    <row r="10576" spans="1:24">
      <c r="A10576">
        <f>HYPERLINK("https://www.philgeps.gov.ph/GEPSNONPILOT/Tender/SplashBidNoticeAbstractUI.aspx?menuIndex=3&amp;refID=7029031&amp;Result=3","7029031")</f>
        <v>0</v>
      </c>
      <c r="B10576" t="s">
        <v>2759</v>
      </c>
      <c r="C10576" t="s">
        <v>13282</v>
      </c>
      <c r="D10576" t="s">
        <v>18081</v>
      </c>
      <c r="E10576" t="s">
        <v>27278</v>
      </c>
      <c r="F10576" t="s">
        <v>31574</v>
      </c>
      <c r="G10576" t="s">
        <v>31582</v>
      </c>
      <c r="H10576" t="s">
        <v>31591</v>
      </c>
      <c r="I10576" t="s">
        <v>8822</v>
      </c>
      <c r="J10576" t="s">
        <v>38305</v>
      </c>
      <c r="K10576" t="s">
        <v>41200</v>
      </c>
      <c r="M10576" t="s">
        <v>44531</v>
      </c>
      <c r="N10576" t="s">
        <v>45095</v>
      </c>
      <c r="O10576" t="s">
        <v>45096</v>
      </c>
      <c r="P10576">
        <v>0</v>
      </c>
      <c r="Q10576">
        <v>1</v>
      </c>
      <c r="R10576" t="s">
        <v>45108</v>
      </c>
      <c r="S10576" t="s">
        <v>45434</v>
      </c>
      <c r="T10576" t="s">
        <v>46968</v>
      </c>
      <c r="U10576" t="s">
        <v>56168</v>
      </c>
      <c r="W10576" t="s">
        <v>44531</v>
      </c>
      <c r="X10576" t="s">
        <v>45109</v>
      </c>
    </row>
    <row r="10577" spans="1:24">
      <c r="A10577">
        <f>HYPERLINK("https://www.philgeps.gov.ph/GEPSNONPILOT/Tender/SplashBidNoticeAbstractUI.aspx?menuIndex=3&amp;refID=7029027&amp;Result=3","7029027")</f>
        <v>0</v>
      </c>
      <c r="B10577" t="s">
        <v>2751</v>
      </c>
      <c r="C10577" t="s">
        <v>13283</v>
      </c>
      <c r="D10577" t="s">
        <v>18049</v>
      </c>
      <c r="E10577" t="s">
        <v>27279</v>
      </c>
      <c r="F10577" t="s">
        <v>31574</v>
      </c>
      <c r="G10577" t="s">
        <v>31582</v>
      </c>
      <c r="H10577" t="s">
        <v>31590</v>
      </c>
      <c r="I10577" t="s">
        <v>8822</v>
      </c>
      <c r="J10577" t="s">
        <v>38306</v>
      </c>
      <c r="K10577" t="s">
        <v>41247</v>
      </c>
      <c r="M10577" t="s">
        <v>44523</v>
      </c>
      <c r="N10577" t="s">
        <v>45095</v>
      </c>
      <c r="O10577" t="s">
        <v>45096</v>
      </c>
      <c r="P10577">
        <v>0</v>
      </c>
      <c r="Q10577">
        <v>1</v>
      </c>
      <c r="R10577" t="s">
        <v>45108</v>
      </c>
      <c r="S10577" t="s">
        <v>45434</v>
      </c>
      <c r="T10577" t="s">
        <v>47134</v>
      </c>
      <c r="U10577" t="s">
        <v>56169</v>
      </c>
      <c r="W10577" t="s">
        <v>44523</v>
      </c>
      <c r="X10577" t="s">
        <v>45109</v>
      </c>
    </row>
    <row r="10578" spans="1:24">
      <c r="A10578">
        <f>HYPERLINK("https://www.philgeps.gov.ph/GEPSNONPILOT/Tender/SplashBidNoticeAbstractUI.aspx?menuIndex=3&amp;refID=7028997&amp;Result=3","7028997")</f>
        <v>0</v>
      </c>
      <c r="B10578" t="s">
        <v>2467</v>
      </c>
      <c r="C10578" t="s">
        <v>13284</v>
      </c>
      <c r="D10578" t="s">
        <v>18059</v>
      </c>
      <c r="E10578" t="s">
        <v>27280</v>
      </c>
      <c r="F10578" t="s">
        <v>31574</v>
      </c>
      <c r="G10578" t="s">
        <v>31583</v>
      </c>
      <c r="H10578" t="s">
        <v>31590</v>
      </c>
      <c r="I10578" t="s">
        <v>4327</v>
      </c>
      <c r="J10578" t="s">
        <v>35094</v>
      </c>
      <c r="K10578" t="s">
        <v>41193</v>
      </c>
      <c r="M10578" t="s">
        <v>44196</v>
      </c>
      <c r="N10578" t="s">
        <v>45095</v>
      </c>
      <c r="O10578" t="s">
        <v>45096</v>
      </c>
      <c r="P10578">
        <v>0</v>
      </c>
      <c r="Q10578">
        <v>0</v>
      </c>
      <c r="R10578" t="s">
        <v>45108</v>
      </c>
      <c r="S10578" t="s">
        <v>45434</v>
      </c>
      <c r="T10578" t="s">
        <v>47159</v>
      </c>
      <c r="U10578" t="s">
        <v>56170</v>
      </c>
      <c r="W10578" t="s">
        <v>44196</v>
      </c>
      <c r="X10578" t="s">
        <v>45109</v>
      </c>
    </row>
    <row r="10579" spans="1:24">
      <c r="A10579">
        <f>HYPERLINK("https://www.philgeps.gov.ph/GEPSNONPILOT/Tender/SplashBidNoticeAbstractUI.aspx?menuIndex=3&amp;refID=7029013&amp;Result=3","7029013")</f>
        <v>0</v>
      </c>
      <c r="B10579" t="s">
        <v>2752</v>
      </c>
      <c r="C10579" t="s">
        <v>13285</v>
      </c>
      <c r="D10579" t="s">
        <v>18099</v>
      </c>
      <c r="E10579" t="s">
        <v>27281</v>
      </c>
      <c r="F10579" t="s">
        <v>31574</v>
      </c>
      <c r="G10579" t="s">
        <v>31582</v>
      </c>
      <c r="H10579" t="s">
        <v>31590</v>
      </c>
      <c r="I10579" t="s">
        <v>7185</v>
      </c>
      <c r="J10579" t="s">
        <v>38307</v>
      </c>
      <c r="K10579" t="s">
        <v>41186</v>
      </c>
      <c r="M10579" t="s">
        <v>44524</v>
      </c>
      <c r="N10579" t="s">
        <v>45095</v>
      </c>
      <c r="O10579" t="s">
        <v>45096</v>
      </c>
      <c r="P10579">
        <v>0</v>
      </c>
      <c r="Q10579">
        <v>4</v>
      </c>
      <c r="R10579" t="s">
        <v>45108</v>
      </c>
      <c r="S10579" t="s">
        <v>45434</v>
      </c>
      <c r="T10579" t="s">
        <v>47379</v>
      </c>
      <c r="U10579" t="s">
        <v>56126</v>
      </c>
      <c r="W10579" t="s">
        <v>44524</v>
      </c>
      <c r="X10579" t="s">
        <v>45109</v>
      </c>
    </row>
    <row r="10580" spans="1:24">
      <c r="A10580">
        <f>HYPERLINK("https://www.philgeps.gov.ph/GEPSNONPILOT/Tender/SplashBidNoticeAbstractUI.aspx?menuIndex=3&amp;refID=7028996&amp;Result=3","7028996")</f>
        <v>0</v>
      </c>
      <c r="B10580" t="s">
        <v>1926</v>
      </c>
      <c r="C10580" t="s">
        <v>13286</v>
      </c>
      <c r="D10580" t="s">
        <v>18099</v>
      </c>
      <c r="E10580" t="s">
        <v>27282</v>
      </c>
      <c r="F10580" t="s">
        <v>31574</v>
      </c>
      <c r="G10580" t="s">
        <v>31582</v>
      </c>
      <c r="H10580" t="s">
        <v>31591</v>
      </c>
      <c r="I10580" t="s">
        <v>8822</v>
      </c>
      <c r="J10580" t="s">
        <v>38308</v>
      </c>
      <c r="K10580" t="s">
        <v>41189</v>
      </c>
      <c r="M10580" t="s">
        <v>43578</v>
      </c>
      <c r="N10580" t="s">
        <v>45095</v>
      </c>
      <c r="O10580" t="s">
        <v>45096</v>
      </c>
      <c r="Q10580">
        <v>0</v>
      </c>
      <c r="R10580" t="s">
        <v>45108</v>
      </c>
      <c r="S10580" t="s">
        <v>45451</v>
      </c>
      <c r="T10580" t="s">
        <v>46922</v>
      </c>
      <c r="U10580" t="s">
        <v>56171</v>
      </c>
      <c r="V10580" t="s">
        <v>60507</v>
      </c>
      <c r="W10580" t="s">
        <v>43578</v>
      </c>
      <c r="X10580" t="s">
        <v>45109</v>
      </c>
    </row>
    <row r="10581" spans="1:24">
      <c r="A10581">
        <f>HYPERLINK("https://www.philgeps.gov.ph/GEPSNONPILOT/Tender/SplashBidNoticeAbstractUI.aspx?menuIndex=3&amp;refID=7029069&amp;Result=3","7029069")</f>
        <v>0</v>
      </c>
      <c r="B10581" t="s">
        <v>681</v>
      </c>
      <c r="C10581" t="s">
        <v>13287</v>
      </c>
      <c r="D10581" t="s">
        <v>18039</v>
      </c>
      <c r="E10581" t="s">
        <v>27283</v>
      </c>
      <c r="F10581" t="s">
        <v>31574</v>
      </c>
      <c r="G10581" t="s">
        <v>31582</v>
      </c>
      <c r="H10581" t="s">
        <v>31590</v>
      </c>
      <c r="I10581" t="s">
        <v>31620</v>
      </c>
      <c r="J10581" t="s">
        <v>32510</v>
      </c>
      <c r="K10581" t="s">
        <v>41184</v>
      </c>
      <c r="M10581" t="s">
        <v>42188</v>
      </c>
      <c r="N10581" t="s">
        <v>45095</v>
      </c>
      <c r="O10581" t="s">
        <v>45096</v>
      </c>
      <c r="Q10581">
        <v>15</v>
      </c>
      <c r="R10581" t="s">
        <v>45108</v>
      </c>
      <c r="S10581" t="s">
        <v>45452</v>
      </c>
      <c r="T10581" t="s">
        <v>47221</v>
      </c>
      <c r="U10581" t="s">
        <v>56172</v>
      </c>
      <c r="W10581" t="s">
        <v>42188</v>
      </c>
      <c r="X10581" t="s">
        <v>45109</v>
      </c>
    </row>
    <row r="10582" spans="1:24">
      <c r="A10582">
        <f>HYPERLINK("https://www.philgeps.gov.ph/GEPSNONPILOT/Tender/SplashBidNoticeAbstractUI.aspx?menuIndex=3&amp;refID=7029009&amp;Result=3","7029009")</f>
        <v>0</v>
      </c>
      <c r="B10582" t="s">
        <v>2710</v>
      </c>
      <c r="C10582" t="s">
        <v>13288</v>
      </c>
      <c r="D10582" t="s">
        <v>18022</v>
      </c>
      <c r="E10582" t="s">
        <v>27284</v>
      </c>
      <c r="F10582" t="s">
        <v>31574</v>
      </c>
      <c r="G10582" t="s">
        <v>31582</v>
      </c>
      <c r="H10582" t="s">
        <v>31590</v>
      </c>
      <c r="I10582" t="s">
        <v>3487</v>
      </c>
      <c r="J10582" t="s">
        <v>33087</v>
      </c>
      <c r="K10582" t="s">
        <v>41196</v>
      </c>
      <c r="M10582" t="s">
        <v>44481</v>
      </c>
      <c r="N10582" t="s">
        <v>45095</v>
      </c>
      <c r="O10582" t="s">
        <v>45096</v>
      </c>
      <c r="P10582">
        <v>0</v>
      </c>
      <c r="Q10582">
        <v>1</v>
      </c>
      <c r="R10582" t="s">
        <v>45108</v>
      </c>
      <c r="S10582" t="s">
        <v>45434</v>
      </c>
      <c r="T10582" t="s">
        <v>47381</v>
      </c>
      <c r="U10582" t="s">
        <v>56173</v>
      </c>
      <c r="W10582" t="s">
        <v>44481</v>
      </c>
      <c r="X10582" t="s">
        <v>45109</v>
      </c>
    </row>
    <row r="10583" spans="1:24">
      <c r="A10583">
        <f>HYPERLINK("https://www.philgeps.gov.ph/GEPSNONPILOT/Tender/SplashBidNoticeAbstractUI.aspx?menuIndex=3&amp;refID=7029113&amp;Result=3","7029113")</f>
        <v>0</v>
      </c>
      <c r="B10583" t="s">
        <v>38</v>
      </c>
      <c r="C10583" t="s">
        <v>13289</v>
      </c>
      <c r="D10583" t="s">
        <v>18033</v>
      </c>
      <c r="E10583" t="s">
        <v>27285</v>
      </c>
      <c r="F10583" t="s">
        <v>31574</v>
      </c>
      <c r="G10583" t="s">
        <v>31582</v>
      </c>
      <c r="H10583" t="s">
        <v>31590</v>
      </c>
      <c r="I10583" t="s">
        <v>14544</v>
      </c>
      <c r="J10583" t="s">
        <v>31780</v>
      </c>
      <c r="K10583" t="s">
        <v>41194</v>
      </c>
      <c r="M10583" t="s">
        <v>41663</v>
      </c>
      <c r="N10583" t="s">
        <v>45095</v>
      </c>
      <c r="O10583" t="s">
        <v>45096</v>
      </c>
      <c r="P10583">
        <v>0</v>
      </c>
      <c r="Q10583">
        <v>0</v>
      </c>
      <c r="R10583" t="s">
        <v>45108</v>
      </c>
      <c r="S10583" t="s">
        <v>45434</v>
      </c>
      <c r="T10583" t="s">
        <v>46985</v>
      </c>
      <c r="U10583" t="s">
        <v>56174</v>
      </c>
      <c r="V10583" t="s">
        <v>59888</v>
      </c>
      <c r="W10583" t="s">
        <v>41663</v>
      </c>
      <c r="X10583" t="s">
        <v>45109</v>
      </c>
    </row>
    <row r="10584" spans="1:24">
      <c r="A10584">
        <f>HYPERLINK("https://www.philgeps.gov.ph/GEPSNONPILOT/Tender/SplashBidNoticeAbstractUI.aspx?menuIndex=3&amp;refID=7029068&amp;Result=3","7029068")</f>
        <v>0</v>
      </c>
      <c r="B10584" t="s">
        <v>1925</v>
      </c>
      <c r="C10584" t="s">
        <v>13290</v>
      </c>
      <c r="D10584" t="s">
        <v>18047</v>
      </c>
      <c r="E10584" t="s">
        <v>27286</v>
      </c>
      <c r="F10584" t="s">
        <v>31575</v>
      </c>
      <c r="G10584" t="s">
        <v>31582</v>
      </c>
      <c r="H10584" t="s">
        <v>31591</v>
      </c>
      <c r="I10584" t="s">
        <v>8822</v>
      </c>
      <c r="J10584" t="s">
        <v>33252</v>
      </c>
      <c r="K10584" t="s">
        <v>41363</v>
      </c>
      <c r="M10584" t="s">
        <v>43577</v>
      </c>
      <c r="N10584" t="s">
        <v>45095</v>
      </c>
      <c r="O10584" t="s">
        <v>45096</v>
      </c>
      <c r="P10584">
        <v>0</v>
      </c>
      <c r="Q10584">
        <v>2</v>
      </c>
      <c r="R10584" t="s">
        <v>45108</v>
      </c>
      <c r="S10584" t="s">
        <v>45434</v>
      </c>
      <c r="T10584" t="s">
        <v>47000</v>
      </c>
      <c r="U10584" t="s">
        <v>55655</v>
      </c>
      <c r="V10584" t="s">
        <v>60880</v>
      </c>
      <c r="W10584" t="s">
        <v>43577</v>
      </c>
      <c r="X10584" t="s">
        <v>45109</v>
      </c>
    </row>
    <row r="10585" spans="1:24">
      <c r="A10585">
        <f>HYPERLINK("https://www.philgeps.gov.ph/GEPSNONPILOT/Tender/SplashBidNoticeAbstractUI.aspx?menuIndex=3&amp;refID=7029072&amp;Result=3","7029072")</f>
        <v>0</v>
      </c>
      <c r="B10585" t="s">
        <v>199</v>
      </c>
      <c r="C10585" t="s">
        <v>13291</v>
      </c>
      <c r="D10585" t="s">
        <v>18053</v>
      </c>
      <c r="E10585" t="s">
        <v>27287</v>
      </c>
      <c r="F10585" t="s">
        <v>31574</v>
      </c>
      <c r="G10585" t="s">
        <v>31582</v>
      </c>
      <c r="H10585" t="s">
        <v>31590</v>
      </c>
      <c r="I10585" t="s">
        <v>31614</v>
      </c>
      <c r="J10585" t="s">
        <v>38309</v>
      </c>
      <c r="K10585" t="s">
        <v>41196</v>
      </c>
      <c r="M10585" t="s">
        <v>41684</v>
      </c>
      <c r="N10585" t="s">
        <v>45095</v>
      </c>
      <c r="O10585" t="s">
        <v>45096</v>
      </c>
      <c r="P10585">
        <v>0</v>
      </c>
      <c r="Q10585">
        <v>5</v>
      </c>
      <c r="R10585" t="s">
        <v>45108</v>
      </c>
      <c r="S10585" t="s">
        <v>45434</v>
      </c>
      <c r="T10585" t="s">
        <v>46921</v>
      </c>
      <c r="U10585" t="s">
        <v>56175</v>
      </c>
      <c r="W10585" t="s">
        <v>41684</v>
      </c>
      <c r="X10585" t="s">
        <v>45109</v>
      </c>
    </row>
    <row r="10586" spans="1:24">
      <c r="A10586">
        <f>HYPERLINK("https://www.philgeps.gov.ph/GEPSNONPILOT/Tender/SplashBidNoticeAbstractUI.aspx?menuIndex=3&amp;refID=7029079&amp;Result=3","7029079")</f>
        <v>0</v>
      </c>
      <c r="B10586" t="s">
        <v>806</v>
      </c>
      <c r="C10586" t="s">
        <v>13292</v>
      </c>
      <c r="D10586" t="s">
        <v>18025</v>
      </c>
      <c r="E10586" t="s">
        <v>25071</v>
      </c>
      <c r="F10586" t="s">
        <v>31574</v>
      </c>
      <c r="G10586" t="s">
        <v>31582</v>
      </c>
      <c r="H10586" t="s">
        <v>31591</v>
      </c>
      <c r="I10586" t="s">
        <v>8822</v>
      </c>
      <c r="J10586" t="s">
        <v>38310</v>
      </c>
      <c r="K10586" t="s">
        <v>41257</v>
      </c>
      <c r="M10586" t="s">
        <v>42321</v>
      </c>
      <c r="N10586" t="s">
        <v>45095</v>
      </c>
      <c r="O10586" t="s">
        <v>45096</v>
      </c>
      <c r="P10586">
        <v>0</v>
      </c>
      <c r="Q10586">
        <v>0</v>
      </c>
      <c r="R10586" t="s">
        <v>45108</v>
      </c>
      <c r="S10586" t="s">
        <v>45434</v>
      </c>
      <c r="T10586" t="s">
        <v>46921</v>
      </c>
      <c r="U10586" t="s">
        <v>56176</v>
      </c>
      <c r="V10586" t="s">
        <v>60960</v>
      </c>
      <c r="W10586" t="s">
        <v>42321</v>
      </c>
      <c r="X10586" t="s">
        <v>45109</v>
      </c>
    </row>
    <row r="10587" spans="1:24">
      <c r="A10587">
        <f>HYPERLINK("https://www.philgeps.gov.ph/GEPSNONPILOT/Tender/SplashBidNoticeAbstractUI.aspx?menuIndex=3&amp;refID=7029109&amp;Result=3","7029109")</f>
        <v>0</v>
      </c>
      <c r="B10587" t="s">
        <v>1488</v>
      </c>
      <c r="C10587" t="s">
        <v>13293</v>
      </c>
      <c r="D10587" t="s">
        <v>18088</v>
      </c>
      <c r="E10587" t="s">
        <v>21914</v>
      </c>
      <c r="F10587" t="s">
        <v>31574</v>
      </c>
      <c r="G10587" t="s">
        <v>31582</v>
      </c>
      <c r="H10587" t="s">
        <v>31591</v>
      </c>
      <c r="I10587" t="s">
        <v>8822</v>
      </c>
      <c r="J10587" t="s">
        <v>31771</v>
      </c>
      <c r="K10587" t="s">
        <v>41184</v>
      </c>
      <c r="M10587" t="s">
        <v>43073</v>
      </c>
      <c r="N10587" t="s">
        <v>45095</v>
      </c>
      <c r="O10587" t="s">
        <v>45096</v>
      </c>
      <c r="P10587">
        <v>0</v>
      </c>
      <c r="Q10587">
        <v>0</v>
      </c>
      <c r="R10587" t="s">
        <v>45108</v>
      </c>
      <c r="S10587" t="s">
        <v>45434</v>
      </c>
      <c r="T10587" t="s">
        <v>47000</v>
      </c>
      <c r="U10587" t="s">
        <v>56177</v>
      </c>
      <c r="V10587" t="s">
        <v>60951</v>
      </c>
      <c r="W10587" t="s">
        <v>43073</v>
      </c>
      <c r="X10587" t="s">
        <v>45109</v>
      </c>
    </row>
    <row r="10588" spans="1:24">
      <c r="A10588">
        <f>HYPERLINK("https://www.philgeps.gov.ph/GEPSNONPILOT/Tender/SplashBidNoticeAbstractUI.aspx?menuIndex=3&amp;refID=7029071&amp;Result=3","7029071")</f>
        <v>0</v>
      </c>
      <c r="B10588" t="s">
        <v>2760</v>
      </c>
      <c r="C10588" t="s">
        <v>13294</v>
      </c>
      <c r="D10588" t="s">
        <v>18056</v>
      </c>
      <c r="E10588" t="s">
        <v>27288</v>
      </c>
      <c r="F10588" t="s">
        <v>31574</v>
      </c>
      <c r="G10588" t="s">
        <v>31582</v>
      </c>
      <c r="H10588" t="s">
        <v>31591</v>
      </c>
      <c r="I10588" t="s">
        <v>8822</v>
      </c>
      <c r="J10588" t="s">
        <v>31789</v>
      </c>
      <c r="K10588" t="s">
        <v>41184</v>
      </c>
      <c r="M10588" t="s">
        <v>44532</v>
      </c>
      <c r="N10588" t="s">
        <v>45095</v>
      </c>
      <c r="O10588" t="s">
        <v>45096</v>
      </c>
      <c r="P10588">
        <v>0</v>
      </c>
      <c r="Q10588">
        <v>0</v>
      </c>
      <c r="R10588" t="s">
        <v>45108</v>
      </c>
      <c r="S10588" t="s">
        <v>45434</v>
      </c>
      <c r="T10588" t="s">
        <v>46930</v>
      </c>
      <c r="U10588" t="s">
        <v>56178</v>
      </c>
      <c r="W10588" t="s">
        <v>44532</v>
      </c>
      <c r="X10588" t="s">
        <v>45109</v>
      </c>
    </row>
    <row r="10589" spans="1:24">
      <c r="A10589">
        <f>HYPERLINK("https://www.philgeps.gov.ph/GEPSNONPILOT/Tender/SplashBidNoticeAbstractUI.aspx?menuIndex=3&amp;refID=7029124&amp;Result=3","7029124")</f>
        <v>0</v>
      </c>
      <c r="B10589" t="s">
        <v>1286</v>
      </c>
      <c r="C10589" t="s">
        <v>13295</v>
      </c>
      <c r="D10589" t="s">
        <v>18066</v>
      </c>
      <c r="E10589" t="s">
        <v>27289</v>
      </c>
      <c r="F10589" t="s">
        <v>31574</v>
      </c>
      <c r="G10589" t="s">
        <v>31582</v>
      </c>
      <c r="H10589" t="s">
        <v>31592</v>
      </c>
      <c r="I10589" t="s">
        <v>31596</v>
      </c>
      <c r="J10589" t="s">
        <v>38311</v>
      </c>
      <c r="K10589" t="s">
        <v>41187</v>
      </c>
      <c r="M10589" t="s">
        <v>42855</v>
      </c>
      <c r="N10589" t="s">
        <v>45095</v>
      </c>
      <c r="O10589" t="s">
        <v>45096</v>
      </c>
      <c r="P10589">
        <v>0</v>
      </c>
      <c r="Q10589">
        <v>1</v>
      </c>
      <c r="R10589" t="s">
        <v>45108</v>
      </c>
      <c r="S10589" t="s">
        <v>45434</v>
      </c>
      <c r="T10589" t="s">
        <v>47000</v>
      </c>
      <c r="U10589" t="s">
        <v>56179</v>
      </c>
      <c r="W10589" t="s">
        <v>42855</v>
      </c>
      <c r="X10589" t="s">
        <v>45109</v>
      </c>
    </row>
    <row r="10590" spans="1:24">
      <c r="A10590">
        <f>HYPERLINK("https://www.philgeps.gov.ph/GEPSNONPILOT/Tender/SplashBidNoticeAbstractUI.aspx?menuIndex=3&amp;refID=7029154&amp;Result=3","7029154")</f>
        <v>0</v>
      </c>
      <c r="B10590" t="s">
        <v>38</v>
      </c>
      <c r="C10590" t="s">
        <v>13296</v>
      </c>
      <c r="D10590" t="s">
        <v>18033</v>
      </c>
      <c r="E10590" t="s">
        <v>27290</v>
      </c>
      <c r="F10590" t="s">
        <v>31574</v>
      </c>
      <c r="G10590" t="s">
        <v>31582</v>
      </c>
      <c r="H10590" t="s">
        <v>31590</v>
      </c>
      <c r="I10590" t="s">
        <v>4046</v>
      </c>
      <c r="J10590" t="s">
        <v>32839</v>
      </c>
      <c r="K10590" t="s">
        <v>41213</v>
      </c>
      <c r="M10590" t="s">
        <v>41663</v>
      </c>
      <c r="N10590" t="s">
        <v>45095</v>
      </c>
      <c r="O10590" t="s">
        <v>45096</v>
      </c>
      <c r="P10590">
        <v>0</v>
      </c>
      <c r="Q10590">
        <v>1</v>
      </c>
      <c r="R10590" t="s">
        <v>45108</v>
      </c>
      <c r="S10590" t="s">
        <v>45434</v>
      </c>
      <c r="T10590" t="s">
        <v>46985</v>
      </c>
      <c r="U10590" t="s">
        <v>56180</v>
      </c>
      <c r="V10590" t="s">
        <v>59888</v>
      </c>
      <c r="W10590" t="s">
        <v>41663</v>
      </c>
      <c r="X10590" t="s">
        <v>45109</v>
      </c>
    </row>
    <row r="10591" spans="1:24">
      <c r="A10591">
        <f>HYPERLINK("https://www.philgeps.gov.ph/GEPSNONPILOT/Tender/SplashBidNoticeAbstractUI.aspx?menuIndex=3&amp;refID=7029099&amp;Result=3","7029099")</f>
        <v>0</v>
      </c>
      <c r="B10591" t="s">
        <v>706</v>
      </c>
      <c r="C10591" t="s">
        <v>13297</v>
      </c>
      <c r="D10591" t="s">
        <v>18108</v>
      </c>
      <c r="E10591" t="s">
        <v>27291</v>
      </c>
      <c r="F10591" t="s">
        <v>31574</v>
      </c>
      <c r="G10591" t="s">
        <v>31582</v>
      </c>
      <c r="H10591" t="s">
        <v>31591</v>
      </c>
      <c r="I10591" t="s">
        <v>8822</v>
      </c>
      <c r="J10591" t="s">
        <v>38312</v>
      </c>
      <c r="K10591" t="s">
        <v>41188</v>
      </c>
      <c r="M10591" t="s">
        <v>43938</v>
      </c>
      <c r="N10591" t="s">
        <v>45095</v>
      </c>
      <c r="O10591" t="s">
        <v>45096</v>
      </c>
      <c r="Q10591">
        <v>8</v>
      </c>
      <c r="R10591" t="s">
        <v>45108</v>
      </c>
      <c r="S10591" t="s">
        <v>45453</v>
      </c>
      <c r="T10591" t="s">
        <v>47166</v>
      </c>
      <c r="U10591" t="s">
        <v>56181</v>
      </c>
      <c r="W10591" t="s">
        <v>43938</v>
      </c>
      <c r="X10591" t="s">
        <v>45109</v>
      </c>
    </row>
    <row r="10592" spans="1:24">
      <c r="A10592">
        <f>HYPERLINK("https://www.philgeps.gov.ph/GEPSNONPILOT/Tender/SplashBidNoticeAbstractUI.aspx?menuIndex=3&amp;refID=7029114&amp;Result=3","7029114")</f>
        <v>0</v>
      </c>
      <c r="B10592" t="s">
        <v>2669</v>
      </c>
      <c r="C10592" t="s">
        <v>13298</v>
      </c>
      <c r="D10592" t="s">
        <v>18037</v>
      </c>
      <c r="E10592" t="s">
        <v>27292</v>
      </c>
      <c r="F10592" t="s">
        <v>31574</v>
      </c>
      <c r="G10592" t="s">
        <v>31582</v>
      </c>
      <c r="H10592" t="s">
        <v>31591</v>
      </c>
      <c r="I10592" t="s">
        <v>8822</v>
      </c>
      <c r="J10592" t="s">
        <v>38258</v>
      </c>
      <c r="K10592" t="s">
        <v>41233</v>
      </c>
      <c r="M10592" t="s">
        <v>44430</v>
      </c>
      <c r="N10592" t="s">
        <v>45095</v>
      </c>
      <c r="O10592" t="s">
        <v>45096</v>
      </c>
      <c r="P10592">
        <v>0</v>
      </c>
      <c r="Q10592">
        <v>0</v>
      </c>
      <c r="R10592" t="s">
        <v>45108</v>
      </c>
      <c r="S10592" t="s">
        <v>45434</v>
      </c>
      <c r="T10592" t="s">
        <v>47371</v>
      </c>
      <c r="U10592" t="s">
        <v>55669</v>
      </c>
      <c r="W10592" t="s">
        <v>44430</v>
      </c>
      <c r="X10592" t="s">
        <v>45109</v>
      </c>
    </row>
    <row r="10593" spans="1:24">
      <c r="A10593">
        <f>HYPERLINK("https://www.philgeps.gov.ph/GEPSNONPILOT/Tender/SplashBidNoticeAbstractUI.aspx?menuIndex=3&amp;refID=7029226&amp;Result=3","7029226")</f>
        <v>0</v>
      </c>
      <c r="B10593" t="s">
        <v>1488</v>
      </c>
      <c r="C10593" t="s">
        <v>13299</v>
      </c>
      <c r="D10593" t="s">
        <v>18088</v>
      </c>
      <c r="E10593" t="s">
        <v>21914</v>
      </c>
      <c r="F10593" t="s">
        <v>31574</v>
      </c>
      <c r="G10593" t="s">
        <v>31582</v>
      </c>
      <c r="H10593" t="s">
        <v>31591</v>
      </c>
      <c r="I10593" t="s">
        <v>8822</v>
      </c>
      <c r="J10593" t="s">
        <v>35867</v>
      </c>
      <c r="K10593" t="s">
        <v>41184</v>
      </c>
      <c r="M10593" t="s">
        <v>43073</v>
      </c>
      <c r="N10593" t="s">
        <v>45095</v>
      </c>
      <c r="O10593" t="s">
        <v>45096</v>
      </c>
      <c r="P10593">
        <v>0</v>
      </c>
      <c r="Q10593">
        <v>0</v>
      </c>
      <c r="R10593" t="s">
        <v>45108</v>
      </c>
      <c r="S10593" t="s">
        <v>45434</v>
      </c>
      <c r="T10593" t="s">
        <v>47000</v>
      </c>
      <c r="U10593" t="s">
        <v>56182</v>
      </c>
      <c r="V10593" t="s">
        <v>60951</v>
      </c>
      <c r="W10593" t="s">
        <v>43073</v>
      </c>
      <c r="X10593" t="s">
        <v>45109</v>
      </c>
    </row>
    <row r="10594" spans="1:24">
      <c r="A10594">
        <f>HYPERLINK("https://www.philgeps.gov.ph/GEPSNONPILOT/Tender/SplashBidNoticeAbstractUI.aspx?menuIndex=3&amp;refID=7029195&amp;Result=3","7029195")</f>
        <v>0</v>
      </c>
      <c r="B10594" t="s">
        <v>2761</v>
      </c>
      <c r="C10594" t="s">
        <v>13300</v>
      </c>
      <c r="D10594" t="s">
        <v>18081</v>
      </c>
      <c r="E10594" t="s">
        <v>27293</v>
      </c>
      <c r="F10594" t="s">
        <v>31574</v>
      </c>
      <c r="G10594" t="s">
        <v>31582</v>
      </c>
      <c r="H10594" t="s">
        <v>31590</v>
      </c>
      <c r="I10594" t="s">
        <v>4046</v>
      </c>
      <c r="J10594" t="s">
        <v>38313</v>
      </c>
      <c r="K10594" t="s">
        <v>41196</v>
      </c>
      <c r="M10594" t="s">
        <v>44533</v>
      </c>
      <c r="N10594" t="s">
        <v>45095</v>
      </c>
      <c r="O10594" t="s">
        <v>45096</v>
      </c>
      <c r="P10594">
        <v>0</v>
      </c>
      <c r="Q10594">
        <v>0</v>
      </c>
      <c r="R10594" t="s">
        <v>45108</v>
      </c>
      <c r="S10594" t="s">
        <v>45434</v>
      </c>
      <c r="T10594" t="s">
        <v>46968</v>
      </c>
      <c r="U10594" t="s">
        <v>56183</v>
      </c>
      <c r="W10594" t="s">
        <v>44533</v>
      </c>
      <c r="X10594" t="s">
        <v>45109</v>
      </c>
    </row>
    <row r="10595" spans="1:24">
      <c r="A10595">
        <f>HYPERLINK("https://www.philgeps.gov.ph/GEPSNONPILOT/Tender/SplashBidNoticeAbstractUI.aspx?menuIndex=3&amp;refID=7029136&amp;Result=3","7029136")</f>
        <v>0</v>
      </c>
      <c r="B10595" t="s">
        <v>2126</v>
      </c>
      <c r="C10595" t="s">
        <v>13301</v>
      </c>
      <c r="D10595" t="s">
        <v>18072</v>
      </c>
      <c r="E10595" t="s">
        <v>27294</v>
      </c>
      <c r="F10595" t="s">
        <v>31574</v>
      </c>
      <c r="G10595" t="s">
        <v>31582</v>
      </c>
      <c r="H10595" t="s">
        <v>31590</v>
      </c>
      <c r="I10595" t="s">
        <v>8822</v>
      </c>
      <c r="J10595" t="s">
        <v>31821</v>
      </c>
      <c r="K10595" t="s">
        <v>41184</v>
      </c>
      <c r="M10595" t="s">
        <v>43808</v>
      </c>
      <c r="N10595" t="s">
        <v>45095</v>
      </c>
      <c r="O10595" t="s">
        <v>45096</v>
      </c>
      <c r="P10595">
        <v>0</v>
      </c>
      <c r="Q10595">
        <v>0</v>
      </c>
      <c r="R10595" t="s">
        <v>45108</v>
      </c>
      <c r="S10595" t="s">
        <v>45434</v>
      </c>
      <c r="T10595" t="s">
        <v>46979</v>
      </c>
      <c r="U10595" t="s">
        <v>56184</v>
      </c>
      <c r="W10595" t="s">
        <v>43808</v>
      </c>
      <c r="X10595" t="s">
        <v>45109</v>
      </c>
    </row>
    <row r="10596" spans="1:24">
      <c r="A10596">
        <f>HYPERLINK("https://www.philgeps.gov.ph/GEPSNONPILOT/Tender/SplashBidNoticeAbstractUI.aspx?menuIndex=3&amp;refID=7029179&amp;Result=3","7029179")</f>
        <v>0</v>
      </c>
      <c r="B10596" t="s">
        <v>980</v>
      </c>
      <c r="C10596" t="s">
        <v>13302</v>
      </c>
      <c r="D10596" t="s">
        <v>18076</v>
      </c>
      <c r="E10596" t="s">
        <v>19746</v>
      </c>
      <c r="F10596" t="s">
        <v>31574</v>
      </c>
      <c r="G10596" t="s">
        <v>31582</v>
      </c>
      <c r="H10596" t="s">
        <v>31590</v>
      </c>
      <c r="I10596" t="s">
        <v>8258</v>
      </c>
      <c r="J10596" t="s">
        <v>38314</v>
      </c>
      <c r="K10596" t="s">
        <v>41185</v>
      </c>
      <c r="L10596" t="s">
        <v>980</v>
      </c>
      <c r="M10596" t="s">
        <v>42514</v>
      </c>
      <c r="N10596" t="s">
        <v>45095</v>
      </c>
      <c r="O10596" t="s">
        <v>45096</v>
      </c>
      <c r="P10596">
        <v>0</v>
      </c>
      <c r="Q10596">
        <v>3</v>
      </c>
      <c r="R10596" t="s">
        <v>45108</v>
      </c>
      <c r="S10596" t="s">
        <v>45434</v>
      </c>
      <c r="T10596" t="s">
        <v>47243</v>
      </c>
      <c r="U10596" t="s">
        <v>56185</v>
      </c>
      <c r="V10596" t="s">
        <v>60953</v>
      </c>
      <c r="W10596" t="s">
        <v>42514</v>
      </c>
      <c r="X10596" t="s">
        <v>45109</v>
      </c>
    </row>
    <row r="10597" spans="1:24">
      <c r="A10597">
        <f>HYPERLINK("https://www.philgeps.gov.ph/GEPSNONPILOT/Tender/SplashBidNoticeAbstractUI.aspx?menuIndex=3&amp;refID=7029186&amp;Result=3","7029186")</f>
        <v>0</v>
      </c>
      <c r="B10597" t="s">
        <v>2762</v>
      </c>
      <c r="C10597" t="s">
        <v>13303</v>
      </c>
      <c r="D10597" t="s">
        <v>18045</v>
      </c>
      <c r="E10597" t="s">
        <v>19404</v>
      </c>
      <c r="F10597" t="s">
        <v>31574</v>
      </c>
      <c r="G10597" t="s">
        <v>31582</v>
      </c>
      <c r="H10597" t="s">
        <v>31591</v>
      </c>
      <c r="I10597" t="s">
        <v>8822</v>
      </c>
      <c r="J10597" t="s">
        <v>38315</v>
      </c>
      <c r="K10597" t="s">
        <v>41209</v>
      </c>
      <c r="M10597" t="s">
        <v>44534</v>
      </c>
      <c r="N10597" t="s">
        <v>45095</v>
      </c>
      <c r="O10597" t="s">
        <v>45096</v>
      </c>
      <c r="Q10597">
        <v>0</v>
      </c>
      <c r="R10597" t="s">
        <v>45108</v>
      </c>
      <c r="S10597" t="s">
        <v>45454</v>
      </c>
      <c r="T10597" t="s">
        <v>46943</v>
      </c>
      <c r="U10597" t="s">
        <v>56186</v>
      </c>
      <c r="W10597" t="s">
        <v>44534</v>
      </c>
      <c r="X10597" t="s">
        <v>45109</v>
      </c>
    </row>
    <row r="10598" spans="1:24">
      <c r="A10598">
        <f>HYPERLINK("https://www.philgeps.gov.ph/GEPSNONPILOT/Tender/SplashBidNoticeAbstractUI.aspx?menuIndex=3&amp;refID=7029151&amp;Result=3","7029151")</f>
        <v>0</v>
      </c>
      <c r="B10598" t="s">
        <v>1925</v>
      </c>
      <c r="C10598" t="s">
        <v>13304</v>
      </c>
      <c r="D10598" t="s">
        <v>18047</v>
      </c>
      <c r="E10598" t="s">
        <v>27295</v>
      </c>
      <c r="F10598" t="s">
        <v>31575</v>
      </c>
      <c r="G10598" t="s">
        <v>31582</v>
      </c>
      <c r="H10598" t="s">
        <v>31591</v>
      </c>
      <c r="I10598" t="s">
        <v>8822</v>
      </c>
      <c r="J10598" t="s">
        <v>33252</v>
      </c>
      <c r="K10598" t="s">
        <v>41292</v>
      </c>
      <c r="M10598" t="s">
        <v>43577</v>
      </c>
      <c r="N10598" t="s">
        <v>45095</v>
      </c>
      <c r="O10598" t="s">
        <v>45096</v>
      </c>
      <c r="P10598">
        <v>0</v>
      </c>
      <c r="Q10598">
        <v>2</v>
      </c>
      <c r="R10598" t="s">
        <v>45108</v>
      </c>
      <c r="S10598" t="s">
        <v>45434</v>
      </c>
      <c r="T10598" t="s">
        <v>46977</v>
      </c>
      <c r="U10598" t="s">
        <v>55655</v>
      </c>
      <c r="V10598" t="s">
        <v>60880</v>
      </c>
      <c r="W10598" t="s">
        <v>43577</v>
      </c>
      <c r="X10598" t="s">
        <v>45109</v>
      </c>
    </row>
    <row r="10599" spans="1:24">
      <c r="A10599">
        <f>HYPERLINK("https://www.philgeps.gov.ph/GEPSNONPILOT/Tender/SplashBidNoticeAbstractUI.aspx?menuIndex=3&amp;refID=7029236&amp;Result=3","7029236")</f>
        <v>0</v>
      </c>
      <c r="B10599" t="s">
        <v>980</v>
      </c>
      <c r="C10599" t="s">
        <v>13305</v>
      </c>
      <c r="D10599" t="s">
        <v>18076</v>
      </c>
      <c r="E10599" t="s">
        <v>19802</v>
      </c>
      <c r="F10599" t="s">
        <v>31574</v>
      </c>
      <c r="G10599" t="s">
        <v>31582</v>
      </c>
      <c r="H10599" t="s">
        <v>31590</v>
      </c>
      <c r="I10599" t="s">
        <v>4046</v>
      </c>
      <c r="J10599" t="s">
        <v>38316</v>
      </c>
      <c r="K10599" t="s">
        <v>41192</v>
      </c>
      <c r="L10599" t="s">
        <v>980</v>
      </c>
      <c r="M10599" t="s">
        <v>42514</v>
      </c>
      <c r="N10599" t="s">
        <v>45095</v>
      </c>
      <c r="O10599" t="s">
        <v>45096</v>
      </c>
      <c r="P10599">
        <v>0</v>
      </c>
      <c r="Q10599">
        <v>2</v>
      </c>
      <c r="R10599" t="s">
        <v>45108</v>
      </c>
      <c r="S10599" t="s">
        <v>45434</v>
      </c>
      <c r="T10599" t="s">
        <v>47243</v>
      </c>
      <c r="U10599" t="s">
        <v>56187</v>
      </c>
      <c r="V10599" t="s">
        <v>60953</v>
      </c>
      <c r="W10599" t="s">
        <v>42514</v>
      </c>
      <c r="X10599" t="s">
        <v>45109</v>
      </c>
    </row>
    <row r="10600" spans="1:24">
      <c r="A10600">
        <f>HYPERLINK("https://www.philgeps.gov.ph/GEPSNONPILOT/Tender/SplashBidNoticeAbstractUI.aspx?menuIndex=3&amp;refID=7029215&amp;Result=3","7029215")</f>
        <v>0</v>
      </c>
      <c r="B10600" t="s">
        <v>980</v>
      </c>
      <c r="C10600" t="s">
        <v>13306</v>
      </c>
      <c r="D10600" t="s">
        <v>18076</v>
      </c>
      <c r="E10600" t="s">
        <v>19779</v>
      </c>
      <c r="F10600" t="s">
        <v>31574</v>
      </c>
      <c r="G10600" t="s">
        <v>31582</v>
      </c>
      <c r="H10600" t="s">
        <v>31591</v>
      </c>
      <c r="I10600" t="s">
        <v>8822</v>
      </c>
      <c r="J10600" t="s">
        <v>38317</v>
      </c>
      <c r="K10600" t="s">
        <v>41191</v>
      </c>
      <c r="L10600" t="s">
        <v>980</v>
      </c>
      <c r="M10600" t="s">
        <v>42514</v>
      </c>
      <c r="N10600" t="s">
        <v>45095</v>
      </c>
      <c r="O10600" t="s">
        <v>45096</v>
      </c>
      <c r="P10600">
        <v>0</v>
      </c>
      <c r="Q10600">
        <v>1</v>
      </c>
      <c r="R10600" t="s">
        <v>45108</v>
      </c>
      <c r="S10600" t="s">
        <v>45434</v>
      </c>
      <c r="T10600" t="s">
        <v>47243</v>
      </c>
      <c r="U10600" t="s">
        <v>56188</v>
      </c>
      <c r="V10600" t="s">
        <v>60953</v>
      </c>
      <c r="W10600" t="s">
        <v>42514</v>
      </c>
      <c r="X10600" t="s">
        <v>45109</v>
      </c>
    </row>
    <row r="10601" spans="1:24">
      <c r="A10601">
        <f>HYPERLINK("https://www.philgeps.gov.ph/GEPSNONPILOT/Tender/SplashBidNoticeAbstractUI.aspx?menuIndex=3&amp;refID=7029163&amp;Result=3","7029163")</f>
        <v>0</v>
      </c>
      <c r="B10601" t="s">
        <v>706</v>
      </c>
      <c r="C10601" t="s">
        <v>13307</v>
      </c>
      <c r="D10601" t="s">
        <v>18108</v>
      </c>
      <c r="E10601" t="s">
        <v>27296</v>
      </c>
      <c r="F10601" t="s">
        <v>31574</v>
      </c>
      <c r="G10601" t="s">
        <v>31582</v>
      </c>
      <c r="H10601" t="s">
        <v>31591</v>
      </c>
      <c r="I10601" t="s">
        <v>8822</v>
      </c>
      <c r="J10601" t="s">
        <v>38318</v>
      </c>
      <c r="K10601" t="s">
        <v>41188</v>
      </c>
      <c r="M10601" t="s">
        <v>43938</v>
      </c>
      <c r="N10601" t="s">
        <v>45095</v>
      </c>
      <c r="O10601" t="s">
        <v>45096</v>
      </c>
      <c r="Q10601">
        <v>11</v>
      </c>
      <c r="R10601" t="s">
        <v>45108</v>
      </c>
      <c r="S10601" t="s">
        <v>45455</v>
      </c>
      <c r="T10601" t="s">
        <v>47166</v>
      </c>
      <c r="U10601" t="s">
        <v>56189</v>
      </c>
      <c r="W10601" t="s">
        <v>43938</v>
      </c>
      <c r="X10601" t="s">
        <v>45109</v>
      </c>
    </row>
    <row r="10602" spans="1:24">
      <c r="A10602">
        <f>HYPERLINK("https://www.philgeps.gov.ph/GEPSNONPILOT/Tender/SplashBidNoticeAbstractUI.aspx?menuIndex=3&amp;refID=7029273&amp;Result=3","7029273")</f>
        <v>0</v>
      </c>
      <c r="B10602" t="s">
        <v>2763</v>
      </c>
      <c r="C10602" t="s">
        <v>13308</v>
      </c>
      <c r="D10602" t="s">
        <v>18048</v>
      </c>
      <c r="E10602" t="s">
        <v>27297</v>
      </c>
      <c r="F10602" t="s">
        <v>31574</v>
      </c>
      <c r="G10602" t="s">
        <v>31582</v>
      </c>
      <c r="H10602" t="s">
        <v>31590</v>
      </c>
      <c r="I10602" t="s">
        <v>31676</v>
      </c>
      <c r="J10602" t="s">
        <v>36820</v>
      </c>
      <c r="K10602" t="s">
        <v>41185</v>
      </c>
      <c r="M10602" t="s">
        <v>44535</v>
      </c>
      <c r="N10602" t="s">
        <v>45095</v>
      </c>
      <c r="O10602" t="s">
        <v>45096</v>
      </c>
      <c r="P10602">
        <v>0</v>
      </c>
      <c r="Q10602">
        <v>3</v>
      </c>
      <c r="R10602" t="s">
        <v>45108</v>
      </c>
      <c r="S10602" t="s">
        <v>45434</v>
      </c>
      <c r="T10602" t="s">
        <v>47100</v>
      </c>
      <c r="U10602" t="s">
        <v>56190</v>
      </c>
      <c r="W10602" t="s">
        <v>44535</v>
      </c>
      <c r="X10602" t="s">
        <v>45109</v>
      </c>
    </row>
    <row r="10603" spans="1:24">
      <c r="A10603">
        <f>HYPERLINK("https://www.philgeps.gov.ph/GEPSNONPILOT/Tender/SplashBidNoticeAbstractUI.aspx?menuIndex=3&amp;refID=7029234&amp;Result=3","7029234")</f>
        <v>0</v>
      </c>
      <c r="B10603" t="s">
        <v>1925</v>
      </c>
      <c r="C10603" t="s">
        <v>13309</v>
      </c>
      <c r="D10603" t="s">
        <v>18047</v>
      </c>
      <c r="E10603" t="s">
        <v>27298</v>
      </c>
      <c r="F10603" t="s">
        <v>31575</v>
      </c>
      <c r="G10603" t="s">
        <v>31582</v>
      </c>
      <c r="H10603" t="s">
        <v>31591</v>
      </c>
      <c r="I10603" t="s">
        <v>8822</v>
      </c>
      <c r="J10603" t="s">
        <v>33252</v>
      </c>
      <c r="K10603" t="s">
        <v>41292</v>
      </c>
      <c r="M10603" t="s">
        <v>43577</v>
      </c>
      <c r="N10603" t="s">
        <v>45095</v>
      </c>
      <c r="O10603" t="s">
        <v>45096</v>
      </c>
      <c r="P10603">
        <v>0</v>
      </c>
      <c r="Q10603">
        <v>2</v>
      </c>
      <c r="R10603" t="s">
        <v>45108</v>
      </c>
      <c r="S10603" t="s">
        <v>45434</v>
      </c>
      <c r="T10603" t="s">
        <v>47348</v>
      </c>
      <c r="U10603" t="s">
        <v>55655</v>
      </c>
      <c r="V10603" t="s">
        <v>60880</v>
      </c>
      <c r="W10603" t="s">
        <v>43577</v>
      </c>
      <c r="X10603" t="s">
        <v>45109</v>
      </c>
    </row>
    <row r="10604" spans="1:24">
      <c r="A10604">
        <f>HYPERLINK("https://www.philgeps.gov.ph/GEPSNONPILOT/Tender/SplashBidNoticeAbstractUI.aspx?menuIndex=3&amp;refID=7029242&amp;Result=3","7029242")</f>
        <v>0</v>
      </c>
      <c r="B10604" t="s">
        <v>2117</v>
      </c>
      <c r="C10604" t="s">
        <v>13310</v>
      </c>
      <c r="D10604" t="s">
        <v>18070</v>
      </c>
      <c r="E10604" t="s">
        <v>20688</v>
      </c>
      <c r="F10604" t="s">
        <v>31574</v>
      </c>
      <c r="G10604" t="s">
        <v>31582</v>
      </c>
      <c r="H10604" t="s">
        <v>31592</v>
      </c>
      <c r="I10604" t="s">
        <v>8258</v>
      </c>
      <c r="J10604" t="s">
        <v>38319</v>
      </c>
      <c r="K10604" t="s">
        <v>41196</v>
      </c>
      <c r="M10604" t="s">
        <v>44536</v>
      </c>
      <c r="N10604" t="s">
        <v>45095</v>
      </c>
      <c r="O10604" t="s">
        <v>45096</v>
      </c>
      <c r="P10604">
        <v>0</v>
      </c>
      <c r="Q10604">
        <v>28</v>
      </c>
      <c r="R10604" t="s">
        <v>45108</v>
      </c>
      <c r="S10604" t="s">
        <v>45434</v>
      </c>
      <c r="T10604" t="s">
        <v>46921</v>
      </c>
      <c r="U10604" t="s">
        <v>56191</v>
      </c>
      <c r="W10604" t="s">
        <v>44536</v>
      </c>
      <c r="X10604" t="s">
        <v>45109</v>
      </c>
    </row>
    <row r="10605" spans="1:24">
      <c r="A10605">
        <f>HYPERLINK("https://www.philgeps.gov.ph/GEPSNONPILOT/Tender/SplashBidNoticeAbstractUI.aspx?menuIndex=3&amp;refID=7029260&amp;Result=3","7029260")</f>
        <v>0</v>
      </c>
      <c r="B10605" t="s">
        <v>1376</v>
      </c>
      <c r="C10605" t="s">
        <v>13311</v>
      </c>
      <c r="E10605" t="s">
        <v>27299</v>
      </c>
      <c r="F10605" t="s">
        <v>31574</v>
      </c>
      <c r="G10605" t="s">
        <v>31582</v>
      </c>
      <c r="H10605" t="s">
        <v>31591</v>
      </c>
      <c r="I10605" t="s">
        <v>8822</v>
      </c>
      <c r="J10605" t="s">
        <v>38320</v>
      </c>
      <c r="K10605" t="s">
        <v>41184</v>
      </c>
      <c r="M10605" t="s">
        <v>42950</v>
      </c>
      <c r="N10605" t="s">
        <v>45095</v>
      </c>
      <c r="O10605" t="s">
        <v>45096</v>
      </c>
      <c r="P10605">
        <v>0</v>
      </c>
      <c r="Q10605">
        <v>0</v>
      </c>
      <c r="R10605" t="s">
        <v>45108</v>
      </c>
      <c r="S10605" t="s">
        <v>45434</v>
      </c>
      <c r="T10605" t="s">
        <v>47196</v>
      </c>
      <c r="U10605" t="s">
        <v>51044</v>
      </c>
      <c r="W10605" t="s">
        <v>42950</v>
      </c>
      <c r="X10605" t="s">
        <v>45109</v>
      </c>
    </row>
    <row r="10606" spans="1:24">
      <c r="A10606">
        <f>HYPERLINK("https://www.philgeps.gov.ph/GEPSNONPILOT/Tender/SplashBidNoticeAbstractUI.aspx?menuIndex=3&amp;refID=7029271&amp;Result=3","7029271")</f>
        <v>0</v>
      </c>
      <c r="B10606" t="s">
        <v>2762</v>
      </c>
      <c r="C10606" t="s">
        <v>13312</v>
      </c>
      <c r="D10606" t="s">
        <v>18045</v>
      </c>
      <c r="E10606" t="s">
        <v>20206</v>
      </c>
      <c r="F10606" t="s">
        <v>31574</v>
      </c>
      <c r="G10606" t="s">
        <v>31582</v>
      </c>
      <c r="H10606" t="s">
        <v>31591</v>
      </c>
      <c r="I10606" t="s">
        <v>8822</v>
      </c>
      <c r="J10606" t="s">
        <v>38321</v>
      </c>
      <c r="K10606" t="s">
        <v>41186</v>
      </c>
      <c r="M10606" t="s">
        <v>44534</v>
      </c>
      <c r="N10606" t="s">
        <v>45095</v>
      </c>
      <c r="O10606" t="s">
        <v>45096</v>
      </c>
      <c r="Q10606">
        <v>0</v>
      </c>
      <c r="R10606" t="s">
        <v>45108</v>
      </c>
      <c r="S10606" t="s">
        <v>45456</v>
      </c>
      <c r="T10606" t="s">
        <v>46943</v>
      </c>
      <c r="U10606" t="s">
        <v>56192</v>
      </c>
      <c r="W10606" t="s">
        <v>44534</v>
      </c>
      <c r="X10606" t="s">
        <v>45109</v>
      </c>
    </row>
    <row r="10607" spans="1:24">
      <c r="A10607">
        <f>HYPERLINK("https://www.philgeps.gov.ph/GEPSNONPILOT/Tender/SplashBidNoticeAbstractUI.aspx?menuIndex=3&amp;refID=7029280&amp;Result=3","7029280")</f>
        <v>0</v>
      </c>
      <c r="B10607" t="s">
        <v>2117</v>
      </c>
      <c r="C10607" t="s">
        <v>13313</v>
      </c>
      <c r="D10607" t="s">
        <v>18070</v>
      </c>
      <c r="E10607" t="s">
        <v>18191</v>
      </c>
      <c r="F10607" t="s">
        <v>31574</v>
      </c>
      <c r="G10607" t="s">
        <v>31582</v>
      </c>
      <c r="H10607" t="s">
        <v>31590</v>
      </c>
      <c r="I10607" t="s">
        <v>7185</v>
      </c>
      <c r="J10607" t="s">
        <v>38322</v>
      </c>
      <c r="K10607" t="s">
        <v>41196</v>
      </c>
      <c r="M10607" t="s">
        <v>44536</v>
      </c>
      <c r="N10607" t="s">
        <v>45095</v>
      </c>
      <c r="O10607" t="s">
        <v>45096</v>
      </c>
      <c r="P10607">
        <v>0</v>
      </c>
      <c r="Q10607">
        <v>26</v>
      </c>
      <c r="R10607" t="s">
        <v>45108</v>
      </c>
      <c r="S10607" t="s">
        <v>45434</v>
      </c>
      <c r="T10607" t="s">
        <v>46935</v>
      </c>
      <c r="U10607" t="s">
        <v>56193</v>
      </c>
      <c r="W10607" t="s">
        <v>44536</v>
      </c>
      <c r="X10607" t="s">
        <v>45109</v>
      </c>
    </row>
    <row r="10608" spans="1:24">
      <c r="A10608">
        <f>HYPERLINK("https://www.philgeps.gov.ph/GEPSNONPILOT/Tender/SplashBidNoticeAbstractUI.aspx?menuIndex=3&amp;refID=7029290&amp;Result=3","7029290")</f>
        <v>0</v>
      </c>
      <c r="B10608" t="s">
        <v>1925</v>
      </c>
      <c r="C10608" t="s">
        <v>13314</v>
      </c>
      <c r="D10608" t="s">
        <v>18047</v>
      </c>
      <c r="E10608" t="s">
        <v>27300</v>
      </c>
      <c r="F10608" t="s">
        <v>31575</v>
      </c>
      <c r="G10608" t="s">
        <v>31582</v>
      </c>
      <c r="H10608" t="s">
        <v>31591</v>
      </c>
      <c r="I10608" t="s">
        <v>8822</v>
      </c>
      <c r="J10608" t="s">
        <v>31819</v>
      </c>
      <c r="K10608" t="s">
        <v>41417</v>
      </c>
      <c r="M10608" t="s">
        <v>43577</v>
      </c>
      <c r="N10608" t="s">
        <v>45095</v>
      </c>
      <c r="O10608" t="s">
        <v>45096</v>
      </c>
      <c r="P10608">
        <v>0</v>
      </c>
      <c r="Q10608">
        <v>2</v>
      </c>
      <c r="R10608" t="s">
        <v>45108</v>
      </c>
      <c r="S10608" t="s">
        <v>45434</v>
      </c>
      <c r="T10608" t="s">
        <v>47290</v>
      </c>
      <c r="U10608" t="s">
        <v>55655</v>
      </c>
      <c r="V10608" t="s">
        <v>60880</v>
      </c>
      <c r="W10608" t="s">
        <v>43577</v>
      </c>
      <c r="X10608" t="s">
        <v>45109</v>
      </c>
    </row>
    <row r="10609" spans="1:24">
      <c r="A10609">
        <f>HYPERLINK("https://www.philgeps.gov.ph/GEPSNONPILOT/Tender/SplashBidNoticeAbstractUI.aspx?menuIndex=3&amp;refID=7029264&amp;Result=3","7029264")</f>
        <v>0</v>
      </c>
      <c r="B10609" t="s">
        <v>800</v>
      </c>
      <c r="C10609" t="s">
        <v>13315</v>
      </c>
      <c r="D10609" t="s">
        <v>18106</v>
      </c>
      <c r="E10609" t="s">
        <v>27301</v>
      </c>
      <c r="F10609" t="s">
        <v>31574</v>
      </c>
      <c r="G10609" t="s">
        <v>31582</v>
      </c>
      <c r="H10609" t="s">
        <v>31590</v>
      </c>
      <c r="I10609" t="s">
        <v>8822</v>
      </c>
      <c r="J10609" t="s">
        <v>38323</v>
      </c>
      <c r="K10609" t="s">
        <v>41184</v>
      </c>
      <c r="M10609" t="s">
        <v>42314</v>
      </c>
      <c r="N10609" t="s">
        <v>45095</v>
      </c>
      <c r="O10609" t="s">
        <v>45096</v>
      </c>
      <c r="Q10609">
        <v>3</v>
      </c>
      <c r="R10609" t="s">
        <v>45108</v>
      </c>
      <c r="S10609" t="s">
        <v>45457</v>
      </c>
      <c r="T10609" t="s">
        <v>47336</v>
      </c>
      <c r="U10609" t="s">
        <v>56194</v>
      </c>
      <c r="W10609" t="s">
        <v>42314</v>
      </c>
      <c r="X10609" t="s">
        <v>45109</v>
      </c>
    </row>
    <row r="10610" spans="1:24">
      <c r="A10610">
        <f>HYPERLINK("https://www.philgeps.gov.ph/GEPSNONPILOT/Tender/SplashBidNoticeAbstractUI.aspx?menuIndex=3&amp;refID=7029296&amp;Result=3","7029296")</f>
        <v>0</v>
      </c>
      <c r="B10610" t="s">
        <v>2762</v>
      </c>
      <c r="C10610" t="s">
        <v>13316</v>
      </c>
      <c r="D10610" t="s">
        <v>18045</v>
      </c>
      <c r="E10610" t="s">
        <v>27302</v>
      </c>
      <c r="F10610" t="s">
        <v>31574</v>
      </c>
      <c r="G10610" t="s">
        <v>31582</v>
      </c>
      <c r="H10610" t="s">
        <v>31590</v>
      </c>
      <c r="I10610" t="s">
        <v>31615</v>
      </c>
      <c r="J10610" t="s">
        <v>32510</v>
      </c>
      <c r="K10610" t="s">
        <v>41186</v>
      </c>
      <c r="M10610" t="s">
        <v>44534</v>
      </c>
      <c r="N10610" t="s">
        <v>45095</v>
      </c>
      <c r="O10610" t="s">
        <v>45096</v>
      </c>
      <c r="P10610">
        <v>0</v>
      </c>
      <c r="Q10610">
        <v>5</v>
      </c>
      <c r="R10610" t="s">
        <v>45108</v>
      </c>
      <c r="S10610" t="s">
        <v>45434</v>
      </c>
      <c r="T10610" t="s">
        <v>46943</v>
      </c>
      <c r="U10610" t="s">
        <v>56195</v>
      </c>
      <c r="W10610" t="s">
        <v>44534</v>
      </c>
      <c r="X10610" t="s">
        <v>45109</v>
      </c>
    </row>
    <row r="10611" spans="1:24">
      <c r="A10611">
        <f>HYPERLINK("https://www.philgeps.gov.ph/GEPSNONPILOT/Tender/SplashBidNoticeAbstractUI.aspx?menuIndex=3&amp;refID=7029291&amp;Result=3","7029291")</f>
        <v>0</v>
      </c>
      <c r="B10611" t="s">
        <v>1376</v>
      </c>
      <c r="C10611" t="s">
        <v>13317</v>
      </c>
      <c r="E10611" t="s">
        <v>27303</v>
      </c>
      <c r="F10611" t="s">
        <v>31574</v>
      </c>
      <c r="G10611" t="s">
        <v>31582</v>
      </c>
      <c r="H10611" t="s">
        <v>31591</v>
      </c>
      <c r="I10611" t="s">
        <v>8822</v>
      </c>
      <c r="J10611" t="s">
        <v>32550</v>
      </c>
      <c r="K10611" t="s">
        <v>41184</v>
      </c>
      <c r="M10611" t="s">
        <v>42950</v>
      </c>
      <c r="N10611" t="s">
        <v>45095</v>
      </c>
      <c r="O10611" t="s">
        <v>45096</v>
      </c>
      <c r="P10611">
        <v>0</v>
      </c>
      <c r="Q10611">
        <v>1</v>
      </c>
      <c r="R10611" t="s">
        <v>45108</v>
      </c>
      <c r="S10611" t="s">
        <v>45434</v>
      </c>
      <c r="T10611" t="s">
        <v>47196</v>
      </c>
      <c r="U10611" t="s">
        <v>51044</v>
      </c>
      <c r="W10611" t="s">
        <v>42950</v>
      </c>
      <c r="X10611" t="s">
        <v>45109</v>
      </c>
    </row>
    <row r="10612" spans="1:24">
      <c r="A10612">
        <f>HYPERLINK("https://www.philgeps.gov.ph/GEPSNONPILOT/Tender/SplashBidNoticeAbstractUI.aspx?menuIndex=3&amp;refID=7029261&amp;Result=3","7029261")</f>
        <v>0</v>
      </c>
      <c r="B10612" t="s">
        <v>980</v>
      </c>
      <c r="C10612" t="s">
        <v>13318</v>
      </c>
      <c r="D10612" t="s">
        <v>18076</v>
      </c>
      <c r="E10612" t="s">
        <v>19880</v>
      </c>
      <c r="F10612" t="s">
        <v>31574</v>
      </c>
      <c r="G10612" t="s">
        <v>31582</v>
      </c>
      <c r="H10612" t="s">
        <v>31590</v>
      </c>
      <c r="I10612" t="s">
        <v>4046</v>
      </c>
      <c r="J10612" t="s">
        <v>38324</v>
      </c>
      <c r="K10612" t="s">
        <v>41192</v>
      </c>
      <c r="L10612" t="s">
        <v>980</v>
      </c>
      <c r="M10612" t="s">
        <v>42514</v>
      </c>
      <c r="N10612" t="s">
        <v>45095</v>
      </c>
      <c r="O10612" t="s">
        <v>45096</v>
      </c>
      <c r="P10612">
        <v>0</v>
      </c>
      <c r="Q10612">
        <v>2</v>
      </c>
      <c r="R10612" t="s">
        <v>45108</v>
      </c>
      <c r="S10612" t="s">
        <v>45434</v>
      </c>
      <c r="T10612" t="s">
        <v>47243</v>
      </c>
      <c r="U10612" t="s">
        <v>56196</v>
      </c>
      <c r="V10612" t="s">
        <v>60953</v>
      </c>
      <c r="W10612" t="s">
        <v>42514</v>
      </c>
      <c r="X10612" t="s">
        <v>45109</v>
      </c>
    </row>
    <row r="10613" spans="1:24">
      <c r="A10613">
        <f>HYPERLINK("https://www.philgeps.gov.ph/GEPSNONPILOT/Tender/SplashBidNoticeAbstractUI.aspx?menuIndex=3&amp;refID=7029316&amp;Result=3","7029316")</f>
        <v>0</v>
      </c>
      <c r="B10613" t="s">
        <v>2764</v>
      </c>
      <c r="C10613" t="s">
        <v>13319</v>
      </c>
      <c r="D10613" t="s">
        <v>18053</v>
      </c>
      <c r="E10613" t="s">
        <v>19061</v>
      </c>
      <c r="F10613" t="s">
        <v>31574</v>
      </c>
      <c r="G10613" t="s">
        <v>31582</v>
      </c>
      <c r="H10613" t="s">
        <v>31590</v>
      </c>
      <c r="I10613" t="s">
        <v>31631</v>
      </c>
      <c r="J10613" t="s">
        <v>38325</v>
      </c>
      <c r="K10613" t="s">
        <v>41186</v>
      </c>
      <c r="M10613" t="s">
        <v>44537</v>
      </c>
      <c r="N10613" t="s">
        <v>45095</v>
      </c>
      <c r="O10613" t="s">
        <v>45096</v>
      </c>
      <c r="P10613">
        <v>0</v>
      </c>
      <c r="Q10613">
        <v>4</v>
      </c>
      <c r="R10613" t="s">
        <v>45108</v>
      </c>
      <c r="S10613" t="s">
        <v>45434</v>
      </c>
      <c r="T10613" t="s">
        <v>47336</v>
      </c>
      <c r="U10613" t="s">
        <v>56197</v>
      </c>
      <c r="W10613" t="s">
        <v>44537</v>
      </c>
      <c r="X10613" t="s">
        <v>45109</v>
      </c>
    </row>
    <row r="10614" spans="1:24">
      <c r="A10614">
        <f>HYPERLINK("https://www.philgeps.gov.ph/GEPSNONPILOT/Tender/SplashBidNoticeAbstractUI.aspx?menuIndex=3&amp;refID=7029315&amp;Result=3","7029315")</f>
        <v>0</v>
      </c>
      <c r="B10614" t="s">
        <v>1376</v>
      </c>
      <c r="C10614" t="s">
        <v>13320</v>
      </c>
      <c r="E10614" t="s">
        <v>27304</v>
      </c>
      <c r="F10614" t="s">
        <v>31574</v>
      </c>
      <c r="G10614" t="s">
        <v>31582</v>
      </c>
      <c r="H10614" t="s">
        <v>31591</v>
      </c>
      <c r="I10614" t="s">
        <v>8822</v>
      </c>
      <c r="J10614" t="s">
        <v>32662</v>
      </c>
      <c r="K10614" t="s">
        <v>41184</v>
      </c>
      <c r="M10614" t="s">
        <v>42950</v>
      </c>
      <c r="N10614" t="s">
        <v>45095</v>
      </c>
      <c r="O10614" t="s">
        <v>45096</v>
      </c>
      <c r="P10614">
        <v>0</v>
      </c>
      <c r="Q10614">
        <v>0</v>
      </c>
      <c r="R10614" t="s">
        <v>45108</v>
      </c>
      <c r="S10614" t="s">
        <v>45434</v>
      </c>
      <c r="T10614" t="s">
        <v>47196</v>
      </c>
      <c r="U10614" t="s">
        <v>51044</v>
      </c>
      <c r="W10614" t="s">
        <v>42950</v>
      </c>
      <c r="X10614" t="s">
        <v>45109</v>
      </c>
    </row>
    <row r="10615" spans="1:24">
      <c r="A10615">
        <f>HYPERLINK("https://www.philgeps.gov.ph/GEPSNONPILOT/Tender/SplashBidNoticeAbstractUI.aspx?menuIndex=3&amp;refID=7029336&amp;Result=3","7029336")</f>
        <v>0</v>
      </c>
      <c r="B10615" t="s">
        <v>725</v>
      </c>
      <c r="C10615" t="s">
        <v>13321</v>
      </c>
      <c r="D10615" t="s">
        <v>18092</v>
      </c>
      <c r="E10615" t="s">
        <v>27305</v>
      </c>
      <c r="F10615" t="s">
        <v>31574</v>
      </c>
      <c r="G10615" t="s">
        <v>31588</v>
      </c>
      <c r="H10615" t="s">
        <v>31591</v>
      </c>
      <c r="I10615" t="s">
        <v>8822</v>
      </c>
      <c r="J10615" t="s">
        <v>38326</v>
      </c>
      <c r="K10615" t="s">
        <v>41263</v>
      </c>
      <c r="M10615" t="s">
        <v>42235</v>
      </c>
      <c r="N10615" t="s">
        <v>45095</v>
      </c>
      <c r="O10615" t="s">
        <v>45096</v>
      </c>
      <c r="P10615">
        <v>0</v>
      </c>
      <c r="Q10615">
        <v>0</v>
      </c>
      <c r="R10615" t="s">
        <v>45108</v>
      </c>
      <c r="S10615" t="s">
        <v>45434</v>
      </c>
      <c r="T10615" t="s">
        <v>46977</v>
      </c>
      <c r="U10615" t="s">
        <v>56198</v>
      </c>
      <c r="W10615" t="s">
        <v>42235</v>
      </c>
      <c r="X10615" t="s">
        <v>45109</v>
      </c>
    </row>
    <row r="10616" spans="1:24">
      <c r="A10616">
        <f>HYPERLINK("https://www.philgeps.gov.ph/GEPSNONPILOT/Tender/SplashBidNoticeAbstractUI.aspx?menuIndex=3&amp;refID=7029332&amp;Result=3","7029332")</f>
        <v>0</v>
      </c>
      <c r="B10616" t="s">
        <v>2765</v>
      </c>
      <c r="C10616" t="s">
        <v>13322</v>
      </c>
      <c r="D10616" t="s">
        <v>18039</v>
      </c>
      <c r="E10616" t="s">
        <v>27306</v>
      </c>
      <c r="F10616" t="s">
        <v>31574</v>
      </c>
      <c r="G10616" t="s">
        <v>31582</v>
      </c>
      <c r="H10616" t="s">
        <v>31591</v>
      </c>
      <c r="I10616" t="s">
        <v>8822</v>
      </c>
      <c r="J10616" t="s">
        <v>38327</v>
      </c>
      <c r="K10616" t="s">
        <v>41189</v>
      </c>
      <c r="M10616" t="s">
        <v>44538</v>
      </c>
      <c r="N10616" t="s">
        <v>45095</v>
      </c>
      <c r="O10616" t="s">
        <v>45096</v>
      </c>
      <c r="P10616">
        <v>0</v>
      </c>
      <c r="Q10616">
        <v>0</v>
      </c>
      <c r="R10616" t="s">
        <v>45108</v>
      </c>
      <c r="S10616" t="s">
        <v>45434</v>
      </c>
      <c r="T10616" t="s">
        <v>47019</v>
      </c>
      <c r="U10616" t="s">
        <v>56199</v>
      </c>
      <c r="W10616" t="s">
        <v>44538</v>
      </c>
      <c r="X10616" t="s">
        <v>45109</v>
      </c>
    </row>
    <row r="10617" spans="1:24">
      <c r="A10617">
        <f>HYPERLINK("https://www.philgeps.gov.ph/GEPSNONPILOT/Tender/SplashBidNoticeAbstractUI.aspx?menuIndex=3&amp;refID=7029337&amp;Result=3","7029337")</f>
        <v>0</v>
      </c>
      <c r="B10617" t="s">
        <v>2045</v>
      </c>
      <c r="C10617" t="s">
        <v>10318</v>
      </c>
      <c r="D10617" t="s">
        <v>18095</v>
      </c>
      <c r="E10617" t="s">
        <v>27307</v>
      </c>
      <c r="F10617" t="s">
        <v>31574</v>
      </c>
      <c r="G10617" t="s">
        <v>31582</v>
      </c>
      <c r="H10617" t="s">
        <v>31590</v>
      </c>
      <c r="I10617" t="s">
        <v>8258</v>
      </c>
      <c r="J10617" t="s">
        <v>38328</v>
      </c>
      <c r="K10617" t="s">
        <v>41184</v>
      </c>
      <c r="M10617" t="s">
        <v>44539</v>
      </c>
      <c r="N10617" t="s">
        <v>45095</v>
      </c>
      <c r="O10617" t="s">
        <v>45096</v>
      </c>
      <c r="P10617">
        <v>0</v>
      </c>
      <c r="Q10617">
        <v>2</v>
      </c>
      <c r="R10617" t="s">
        <v>45108</v>
      </c>
      <c r="S10617" t="s">
        <v>45434</v>
      </c>
      <c r="T10617" t="s">
        <v>47178</v>
      </c>
      <c r="U10617" t="s">
        <v>56200</v>
      </c>
      <c r="V10617" t="s">
        <v>60961</v>
      </c>
      <c r="W10617" t="s">
        <v>44539</v>
      </c>
      <c r="X10617" t="s">
        <v>45109</v>
      </c>
    </row>
    <row r="10618" spans="1:24">
      <c r="A10618">
        <f>HYPERLINK("https://www.philgeps.gov.ph/GEPSNONPILOT/Tender/SplashBidNoticeAbstractUI.aspx?menuIndex=3&amp;refID=7029294&amp;Result=3","7029294")</f>
        <v>0</v>
      </c>
      <c r="B10618" t="s">
        <v>2092</v>
      </c>
      <c r="C10618" t="s">
        <v>13323</v>
      </c>
      <c r="D10618" t="s">
        <v>18030</v>
      </c>
      <c r="E10618" t="s">
        <v>27308</v>
      </c>
      <c r="F10618" t="s">
        <v>31574</v>
      </c>
      <c r="G10618" t="s">
        <v>31582</v>
      </c>
      <c r="H10618" t="s">
        <v>31592</v>
      </c>
      <c r="I10618" t="s">
        <v>31648</v>
      </c>
      <c r="J10618" t="s">
        <v>38329</v>
      </c>
      <c r="K10618" t="s">
        <v>41200</v>
      </c>
      <c r="M10618" t="s">
        <v>43900</v>
      </c>
      <c r="N10618" t="s">
        <v>45095</v>
      </c>
      <c r="O10618" t="s">
        <v>45096</v>
      </c>
      <c r="P10618">
        <v>0</v>
      </c>
      <c r="Q10618">
        <v>7</v>
      </c>
      <c r="R10618" t="s">
        <v>45108</v>
      </c>
      <c r="S10618" t="s">
        <v>45434</v>
      </c>
      <c r="T10618" t="s">
        <v>46992</v>
      </c>
      <c r="U10618" t="s">
        <v>53298</v>
      </c>
      <c r="V10618" t="s">
        <v>60962</v>
      </c>
      <c r="W10618" t="s">
        <v>43900</v>
      </c>
      <c r="X10618" t="s">
        <v>45109</v>
      </c>
    </row>
    <row r="10619" spans="1:24">
      <c r="A10619">
        <f>HYPERLINK("https://www.philgeps.gov.ph/GEPSNONPILOT/Tender/SplashBidNoticeAbstractUI.aspx?menuIndex=3&amp;refID=7029334&amp;Result=3","7029334")</f>
        <v>0</v>
      </c>
      <c r="B10619" t="s">
        <v>1376</v>
      </c>
      <c r="C10619" t="s">
        <v>13324</v>
      </c>
      <c r="E10619" t="s">
        <v>27309</v>
      </c>
      <c r="F10619" t="s">
        <v>31574</v>
      </c>
      <c r="G10619" t="s">
        <v>31582</v>
      </c>
      <c r="H10619" t="s">
        <v>31591</v>
      </c>
      <c r="I10619" t="s">
        <v>8822</v>
      </c>
      <c r="J10619" t="s">
        <v>37901</v>
      </c>
      <c r="K10619" t="s">
        <v>41184</v>
      </c>
      <c r="M10619" t="s">
        <v>42950</v>
      </c>
      <c r="N10619" t="s">
        <v>45095</v>
      </c>
      <c r="O10619" t="s">
        <v>45096</v>
      </c>
      <c r="P10619">
        <v>0</v>
      </c>
      <c r="Q10619">
        <v>0</v>
      </c>
      <c r="R10619" t="s">
        <v>45108</v>
      </c>
      <c r="S10619" t="s">
        <v>45434</v>
      </c>
      <c r="T10619" t="s">
        <v>47196</v>
      </c>
      <c r="U10619" t="s">
        <v>51044</v>
      </c>
      <c r="W10619" t="s">
        <v>42950</v>
      </c>
      <c r="X10619" t="s">
        <v>45109</v>
      </c>
    </row>
    <row r="10620" spans="1:24">
      <c r="A10620">
        <f>HYPERLINK("https://www.philgeps.gov.ph/GEPSNONPILOT/Tender/SplashBidNoticeAbstractUI.aspx?menuIndex=3&amp;refID=7029318&amp;Result=3","7029318")</f>
        <v>0</v>
      </c>
      <c r="B10620" t="s">
        <v>2669</v>
      </c>
      <c r="C10620" t="s">
        <v>13325</v>
      </c>
      <c r="D10620" t="s">
        <v>18037</v>
      </c>
      <c r="E10620" t="s">
        <v>27310</v>
      </c>
      <c r="F10620" t="s">
        <v>31574</v>
      </c>
      <c r="G10620" t="s">
        <v>31582</v>
      </c>
      <c r="H10620" t="s">
        <v>31591</v>
      </c>
      <c r="I10620" t="s">
        <v>8822</v>
      </c>
      <c r="J10620" t="s">
        <v>38330</v>
      </c>
      <c r="K10620" t="s">
        <v>41245</v>
      </c>
      <c r="M10620" t="s">
        <v>44430</v>
      </c>
      <c r="N10620" t="s">
        <v>45095</v>
      </c>
      <c r="O10620" t="s">
        <v>45096</v>
      </c>
      <c r="P10620">
        <v>0</v>
      </c>
      <c r="Q10620">
        <v>0</v>
      </c>
      <c r="R10620" t="s">
        <v>45108</v>
      </c>
      <c r="S10620" t="s">
        <v>45434</v>
      </c>
      <c r="T10620" t="s">
        <v>47371</v>
      </c>
      <c r="U10620" t="s">
        <v>55669</v>
      </c>
      <c r="W10620" t="s">
        <v>44430</v>
      </c>
      <c r="X10620" t="s">
        <v>45109</v>
      </c>
    </row>
    <row r="10621" spans="1:24">
      <c r="A10621">
        <f>HYPERLINK("https://www.philgeps.gov.ph/GEPSNONPILOT/Tender/SplashBidNoticeAbstractUI.aspx?menuIndex=3&amp;refID=7029343&amp;Result=3","7029343")</f>
        <v>0</v>
      </c>
      <c r="B10621" t="s">
        <v>1344</v>
      </c>
      <c r="C10621" t="s">
        <v>13326</v>
      </c>
      <c r="D10621" t="s">
        <v>18075</v>
      </c>
      <c r="E10621" t="s">
        <v>27311</v>
      </c>
      <c r="F10621" t="s">
        <v>31574</v>
      </c>
      <c r="G10621" t="s">
        <v>31582</v>
      </c>
      <c r="H10621" t="s">
        <v>31591</v>
      </c>
      <c r="I10621" t="s">
        <v>8822</v>
      </c>
      <c r="J10621" t="s">
        <v>31781</v>
      </c>
      <c r="K10621" t="s">
        <v>41198</v>
      </c>
      <c r="M10621" t="s">
        <v>42916</v>
      </c>
      <c r="N10621" t="s">
        <v>45095</v>
      </c>
      <c r="O10621" t="s">
        <v>45096</v>
      </c>
      <c r="Q10621">
        <v>2</v>
      </c>
      <c r="R10621" t="s">
        <v>45108</v>
      </c>
      <c r="S10621" t="s">
        <v>45458</v>
      </c>
      <c r="T10621" t="s">
        <v>47000</v>
      </c>
      <c r="U10621" t="s">
        <v>56201</v>
      </c>
      <c r="V10621" t="s">
        <v>60963</v>
      </c>
      <c r="W10621" t="s">
        <v>42916</v>
      </c>
      <c r="X10621" t="s">
        <v>45109</v>
      </c>
    </row>
    <row r="10622" spans="1:24">
      <c r="A10622">
        <f>HYPERLINK("https://www.philgeps.gov.ph/GEPSNONPILOT/Tender/SplashBidNoticeAbstractUI.aspx?menuIndex=3&amp;refID=7029335&amp;Result=3","7029335")</f>
        <v>0</v>
      </c>
      <c r="B10622" t="s">
        <v>28</v>
      </c>
      <c r="C10622" t="s">
        <v>13327</v>
      </c>
      <c r="D10622" t="s">
        <v>18053</v>
      </c>
      <c r="E10622" t="s">
        <v>27312</v>
      </c>
      <c r="F10622" t="s">
        <v>31574</v>
      </c>
      <c r="G10622" t="s">
        <v>31582</v>
      </c>
      <c r="H10622" t="s">
        <v>31591</v>
      </c>
      <c r="I10622" t="s">
        <v>8822</v>
      </c>
      <c r="J10622" t="s">
        <v>38331</v>
      </c>
      <c r="K10622" t="s">
        <v>41188</v>
      </c>
      <c r="M10622" t="s">
        <v>44540</v>
      </c>
      <c r="N10622" t="s">
        <v>45095</v>
      </c>
      <c r="O10622" t="s">
        <v>45096</v>
      </c>
      <c r="Q10622">
        <v>0</v>
      </c>
      <c r="R10622" t="s">
        <v>45108</v>
      </c>
      <c r="S10622" t="s">
        <v>45459</v>
      </c>
      <c r="T10622" t="s">
        <v>47000</v>
      </c>
      <c r="U10622" t="s">
        <v>56202</v>
      </c>
      <c r="W10622" t="s">
        <v>44540</v>
      </c>
      <c r="X10622" t="s">
        <v>45109</v>
      </c>
    </row>
    <row r="10623" spans="1:24">
      <c r="A10623">
        <f>HYPERLINK("https://www.philgeps.gov.ph/GEPSNONPILOT/Tender/SplashBidNoticeAbstractUI.aspx?menuIndex=3&amp;refID=7029351&amp;Result=3","7029351")</f>
        <v>0</v>
      </c>
      <c r="B10623" t="s">
        <v>1376</v>
      </c>
      <c r="C10623" t="s">
        <v>13328</v>
      </c>
      <c r="E10623" t="s">
        <v>27313</v>
      </c>
      <c r="F10623" t="s">
        <v>31574</v>
      </c>
      <c r="G10623" t="s">
        <v>31582</v>
      </c>
      <c r="H10623" t="s">
        <v>31591</v>
      </c>
      <c r="I10623" t="s">
        <v>8822</v>
      </c>
      <c r="J10623" t="s">
        <v>37901</v>
      </c>
      <c r="K10623" t="s">
        <v>41184</v>
      </c>
      <c r="M10623" t="s">
        <v>42950</v>
      </c>
      <c r="N10623" t="s">
        <v>45095</v>
      </c>
      <c r="O10623" t="s">
        <v>45096</v>
      </c>
      <c r="P10623">
        <v>0</v>
      </c>
      <c r="Q10623">
        <v>0</v>
      </c>
      <c r="R10623" t="s">
        <v>45108</v>
      </c>
      <c r="S10623" t="s">
        <v>45434</v>
      </c>
      <c r="T10623" t="s">
        <v>47196</v>
      </c>
      <c r="U10623" t="s">
        <v>51044</v>
      </c>
      <c r="W10623" t="s">
        <v>42950</v>
      </c>
      <c r="X10623" t="s">
        <v>45109</v>
      </c>
    </row>
    <row r="10624" spans="1:24">
      <c r="A10624">
        <f>HYPERLINK("https://www.philgeps.gov.ph/GEPSNONPILOT/Tender/SplashBidNoticeAbstractUI.aspx?menuIndex=3&amp;refID=7029359&amp;Result=3","7029359")</f>
        <v>0</v>
      </c>
      <c r="B10624" t="s">
        <v>28</v>
      </c>
      <c r="C10624" t="s">
        <v>13329</v>
      </c>
      <c r="D10624" t="s">
        <v>18053</v>
      </c>
      <c r="E10624" t="s">
        <v>27314</v>
      </c>
      <c r="F10624" t="s">
        <v>31574</v>
      </c>
      <c r="G10624" t="s">
        <v>31582</v>
      </c>
      <c r="H10624" t="s">
        <v>31591</v>
      </c>
      <c r="I10624" t="s">
        <v>8822</v>
      </c>
      <c r="J10624" t="s">
        <v>38332</v>
      </c>
      <c r="K10624" t="s">
        <v>41188</v>
      </c>
      <c r="M10624" t="s">
        <v>44540</v>
      </c>
      <c r="N10624" t="s">
        <v>45095</v>
      </c>
      <c r="O10624" t="s">
        <v>45096</v>
      </c>
      <c r="Q10624">
        <v>0</v>
      </c>
      <c r="R10624" t="s">
        <v>45108</v>
      </c>
      <c r="S10624" t="s">
        <v>45460</v>
      </c>
      <c r="T10624" t="s">
        <v>47000</v>
      </c>
      <c r="U10624" t="s">
        <v>56203</v>
      </c>
      <c r="W10624" t="s">
        <v>44540</v>
      </c>
      <c r="X10624" t="s">
        <v>45109</v>
      </c>
    </row>
    <row r="10625" spans="1:24">
      <c r="A10625">
        <f>HYPERLINK("https://www.philgeps.gov.ph/GEPSNONPILOT/Tender/SplashBidNoticeAbstractUI.aspx?menuIndex=3&amp;refID=7029371&amp;Result=3","7029371")</f>
        <v>0</v>
      </c>
      <c r="B10625" t="s">
        <v>822</v>
      </c>
      <c r="C10625" t="s">
        <v>13330</v>
      </c>
      <c r="D10625" t="s">
        <v>18022</v>
      </c>
      <c r="E10625" t="s">
        <v>27315</v>
      </c>
      <c r="F10625" t="s">
        <v>31574</v>
      </c>
      <c r="G10625" t="s">
        <v>31583</v>
      </c>
      <c r="H10625" t="s">
        <v>31590</v>
      </c>
      <c r="I10625" t="s">
        <v>31594</v>
      </c>
      <c r="J10625" t="s">
        <v>31789</v>
      </c>
      <c r="K10625" t="s">
        <v>41193</v>
      </c>
      <c r="M10625" t="s">
        <v>42341</v>
      </c>
      <c r="N10625" t="s">
        <v>45095</v>
      </c>
      <c r="O10625" t="s">
        <v>45096</v>
      </c>
      <c r="Q10625">
        <v>7</v>
      </c>
      <c r="R10625" t="s">
        <v>45108</v>
      </c>
      <c r="S10625" t="s">
        <v>45461</v>
      </c>
      <c r="T10625" t="s">
        <v>47125</v>
      </c>
      <c r="U10625" t="s">
        <v>56204</v>
      </c>
      <c r="W10625" t="s">
        <v>42341</v>
      </c>
      <c r="X10625" t="s">
        <v>45109</v>
      </c>
    </row>
    <row r="10626" spans="1:24">
      <c r="A10626">
        <f>HYPERLINK("https://www.philgeps.gov.ph/GEPSNONPILOT/Tender/SplashBidNoticeAbstractUI.aspx?menuIndex=3&amp;refID=7029364&amp;Result=3","7029364")</f>
        <v>0</v>
      </c>
      <c r="B10626" t="s">
        <v>822</v>
      </c>
      <c r="C10626" t="s">
        <v>13331</v>
      </c>
      <c r="D10626" t="s">
        <v>18022</v>
      </c>
      <c r="E10626" t="s">
        <v>24295</v>
      </c>
      <c r="F10626" t="s">
        <v>31574</v>
      </c>
      <c r="G10626" t="s">
        <v>31583</v>
      </c>
      <c r="H10626" t="s">
        <v>31590</v>
      </c>
      <c r="I10626" t="s">
        <v>31594</v>
      </c>
      <c r="J10626" t="s">
        <v>31727</v>
      </c>
      <c r="K10626" t="s">
        <v>41193</v>
      </c>
      <c r="M10626" t="s">
        <v>42341</v>
      </c>
      <c r="N10626" t="s">
        <v>45095</v>
      </c>
      <c r="O10626" t="s">
        <v>45096</v>
      </c>
      <c r="Q10626">
        <v>13</v>
      </c>
      <c r="R10626" t="s">
        <v>45108</v>
      </c>
      <c r="S10626" t="s">
        <v>45462</v>
      </c>
      <c r="T10626" t="s">
        <v>47125</v>
      </c>
      <c r="U10626" t="s">
        <v>56205</v>
      </c>
      <c r="W10626" t="s">
        <v>42341</v>
      </c>
      <c r="X10626" t="s">
        <v>45109</v>
      </c>
    </row>
    <row r="10627" spans="1:24">
      <c r="A10627">
        <f>HYPERLINK("https://www.philgeps.gov.ph/GEPSNONPILOT/Tender/SplashBidNoticeAbstractUI.aspx?menuIndex=3&amp;refID=7029395&amp;Result=3","7029395")</f>
        <v>0</v>
      </c>
      <c r="B10627" t="s">
        <v>822</v>
      </c>
      <c r="C10627" t="s">
        <v>13332</v>
      </c>
      <c r="D10627" t="s">
        <v>18022</v>
      </c>
      <c r="E10627" t="s">
        <v>19487</v>
      </c>
      <c r="F10627" t="s">
        <v>31574</v>
      </c>
      <c r="G10627" t="s">
        <v>31583</v>
      </c>
      <c r="H10627" t="s">
        <v>31590</v>
      </c>
      <c r="I10627" t="s">
        <v>31594</v>
      </c>
      <c r="J10627" t="s">
        <v>31962</v>
      </c>
      <c r="K10627" t="s">
        <v>41193</v>
      </c>
      <c r="M10627" t="s">
        <v>42341</v>
      </c>
      <c r="N10627" t="s">
        <v>45095</v>
      </c>
      <c r="O10627" t="s">
        <v>45096</v>
      </c>
      <c r="Q10627">
        <v>4</v>
      </c>
      <c r="R10627" t="s">
        <v>45108</v>
      </c>
      <c r="S10627" t="s">
        <v>45463</v>
      </c>
      <c r="T10627" t="s">
        <v>47125</v>
      </c>
      <c r="U10627" t="s">
        <v>56206</v>
      </c>
      <c r="W10627" t="s">
        <v>42341</v>
      </c>
      <c r="X10627" t="s">
        <v>45109</v>
      </c>
    </row>
    <row r="10628" spans="1:24">
      <c r="A10628">
        <f>HYPERLINK("https://www.philgeps.gov.ph/GEPSNONPILOT/Tender/SplashBidNoticeAbstractUI.aspx?menuIndex=3&amp;refID=7029368&amp;Result=3","7029368")</f>
        <v>0</v>
      </c>
      <c r="B10628" t="s">
        <v>822</v>
      </c>
      <c r="C10628" t="s">
        <v>13333</v>
      </c>
      <c r="D10628" t="s">
        <v>18022</v>
      </c>
      <c r="E10628" t="s">
        <v>22221</v>
      </c>
      <c r="F10628" t="s">
        <v>31574</v>
      </c>
      <c r="G10628" t="s">
        <v>31583</v>
      </c>
      <c r="H10628" t="s">
        <v>31590</v>
      </c>
      <c r="I10628" t="s">
        <v>31594</v>
      </c>
      <c r="J10628" t="s">
        <v>31741</v>
      </c>
      <c r="K10628" t="s">
        <v>41193</v>
      </c>
      <c r="M10628" t="s">
        <v>42341</v>
      </c>
      <c r="N10628" t="s">
        <v>45095</v>
      </c>
      <c r="O10628" t="s">
        <v>45096</v>
      </c>
      <c r="Q10628">
        <v>6</v>
      </c>
      <c r="R10628" t="s">
        <v>45108</v>
      </c>
      <c r="S10628" t="s">
        <v>45464</v>
      </c>
      <c r="T10628" t="s">
        <v>47125</v>
      </c>
      <c r="U10628" t="s">
        <v>56207</v>
      </c>
      <c r="W10628" t="s">
        <v>42341</v>
      </c>
      <c r="X10628" t="s">
        <v>45109</v>
      </c>
    </row>
    <row r="10629" spans="1:24">
      <c r="A10629">
        <f>HYPERLINK("https://www.philgeps.gov.ph/GEPSNONPILOT/Tender/SplashBidNoticeAbstractUI.aspx?menuIndex=3&amp;refID=7029366&amp;Result=3","7029366")</f>
        <v>0</v>
      </c>
      <c r="B10629" t="s">
        <v>1376</v>
      </c>
      <c r="C10629" t="s">
        <v>13334</v>
      </c>
      <c r="E10629" t="s">
        <v>27316</v>
      </c>
      <c r="F10629" t="s">
        <v>31574</v>
      </c>
      <c r="G10629" t="s">
        <v>31582</v>
      </c>
      <c r="H10629" t="s">
        <v>31591</v>
      </c>
      <c r="I10629" t="s">
        <v>8822</v>
      </c>
      <c r="J10629" t="s">
        <v>37901</v>
      </c>
      <c r="K10629" t="s">
        <v>41184</v>
      </c>
      <c r="M10629" t="s">
        <v>42950</v>
      </c>
      <c r="N10629" t="s">
        <v>45095</v>
      </c>
      <c r="O10629" t="s">
        <v>45096</v>
      </c>
      <c r="P10629">
        <v>0</v>
      </c>
      <c r="Q10629">
        <v>0</v>
      </c>
      <c r="R10629" t="s">
        <v>45108</v>
      </c>
      <c r="S10629" t="s">
        <v>45434</v>
      </c>
      <c r="T10629" t="s">
        <v>47196</v>
      </c>
      <c r="U10629" t="s">
        <v>51044</v>
      </c>
      <c r="W10629" t="s">
        <v>42950</v>
      </c>
      <c r="X10629" t="s">
        <v>45109</v>
      </c>
    </row>
    <row r="10630" spans="1:24">
      <c r="A10630">
        <f>HYPERLINK("https://www.philgeps.gov.ph/GEPSNONPILOT/Tender/SplashBidNoticeAbstractUI.aspx?menuIndex=3&amp;refID=7029386&amp;Result=3","7029386")</f>
        <v>0</v>
      </c>
      <c r="B10630" t="s">
        <v>2092</v>
      </c>
      <c r="C10630" t="s">
        <v>13335</v>
      </c>
      <c r="D10630" t="s">
        <v>18030</v>
      </c>
      <c r="E10630" t="s">
        <v>27308</v>
      </c>
      <c r="F10630" t="s">
        <v>31574</v>
      </c>
      <c r="G10630" t="s">
        <v>31582</v>
      </c>
      <c r="H10630" t="s">
        <v>31592</v>
      </c>
      <c r="I10630" t="s">
        <v>31648</v>
      </c>
      <c r="J10630" t="s">
        <v>38333</v>
      </c>
      <c r="K10630" t="s">
        <v>41200</v>
      </c>
      <c r="M10630" t="s">
        <v>43900</v>
      </c>
      <c r="N10630" t="s">
        <v>45095</v>
      </c>
      <c r="O10630" t="s">
        <v>45096</v>
      </c>
      <c r="P10630">
        <v>0</v>
      </c>
      <c r="Q10630">
        <v>5</v>
      </c>
      <c r="R10630" t="s">
        <v>45108</v>
      </c>
      <c r="S10630" t="s">
        <v>45434</v>
      </c>
      <c r="T10630" t="s">
        <v>46992</v>
      </c>
      <c r="U10630" t="s">
        <v>53298</v>
      </c>
      <c r="V10630" t="s">
        <v>60604</v>
      </c>
      <c r="W10630" t="s">
        <v>43900</v>
      </c>
      <c r="X10630" t="s">
        <v>45109</v>
      </c>
    </row>
    <row r="10631" spans="1:24">
      <c r="A10631">
        <f>HYPERLINK("https://www.philgeps.gov.ph/GEPSNONPILOT/Tender/SplashBidNoticeAbstractUI.aspx?menuIndex=3&amp;refID=7029394&amp;Result=3","7029394")</f>
        <v>0</v>
      </c>
      <c r="B10631" t="s">
        <v>2766</v>
      </c>
      <c r="C10631" t="s">
        <v>13336</v>
      </c>
      <c r="D10631" t="s">
        <v>18040</v>
      </c>
      <c r="E10631" t="s">
        <v>21063</v>
      </c>
      <c r="F10631" t="s">
        <v>31574</v>
      </c>
      <c r="G10631" t="s">
        <v>31582</v>
      </c>
      <c r="H10631" t="s">
        <v>31590</v>
      </c>
      <c r="I10631" t="s">
        <v>31689</v>
      </c>
      <c r="J10631" t="s">
        <v>38334</v>
      </c>
      <c r="K10631" t="s">
        <v>41184</v>
      </c>
      <c r="M10631" t="s">
        <v>44541</v>
      </c>
      <c r="N10631" t="s">
        <v>45095</v>
      </c>
      <c r="O10631" t="s">
        <v>45096</v>
      </c>
      <c r="Q10631">
        <v>5</v>
      </c>
      <c r="R10631" t="s">
        <v>45108</v>
      </c>
      <c r="S10631" t="s">
        <v>45465</v>
      </c>
      <c r="T10631" t="s">
        <v>47162</v>
      </c>
      <c r="U10631" t="s">
        <v>56208</v>
      </c>
      <c r="V10631" t="s">
        <v>60964</v>
      </c>
      <c r="W10631" t="s">
        <v>44541</v>
      </c>
      <c r="X10631" t="s">
        <v>45109</v>
      </c>
    </row>
    <row r="10632" spans="1:24">
      <c r="A10632">
        <f>HYPERLINK("https://www.philgeps.gov.ph/GEPSNONPILOT/Tender/SplashBidNoticeAbstractUI.aspx?menuIndex=3&amp;refID=7029380&amp;Result=3","7029380")</f>
        <v>0</v>
      </c>
      <c r="B10632" t="s">
        <v>1376</v>
      </c>
      <c r="C10632" t="s">
        <v>13337</v>
      </c>
      <c r="E10632" t="s">
        <v>27317</v>
      </c>
      <c r="F10632" t="s">
        <v>31574</v>
      </c>
      <c r="G10632" t="s">
        <v>31582</v>
      </c>
      <c r="H10632" t="s">
        <v>31591</v>
      </c>
      <c r="I10632" t="s">
        <v>8822</v>
      </c>
      <c r="J10632" t="s">
        <v>37901</v>
      </c>
      <c r="K10632" t="s">
        <v>41184</v>
      </c>
      <c r="M10632" t="s">
        <v>42950</v>
      </c>
      <c r="N10632" t="s">
        <v>45095</v>
      </c>
      <c r="O10632" t="s">
        <v>45096</v>
      </c>
      <c r="P10632">
        <v>0</v>
      </c>
      <c r="Q10632">
        <v>0</v>
      </c>
      <c r="R10632" t="s">
        <v>45108</v>
      </c>
      <c r="S10632" t="s">
        <v>45434</v>
      </c>
      <c r="T10632" t="s">
        <v>47196</v>
      </c>
      <c r="U10632" t="s">
        <v>51044</v>
      </c>
      <c r="W10632" t="s">
        <v>42950</v>
      </c>
      <c r="X10632" t="s">
        <v>45109</v>
      </c>
    </row>
    <row r="10633" spans="1:24">
      <c r="A10633">
        <f>HYPERLINK("https://www.philgeps.gov.ph/GEPSNONPILOT/Tender/SplashBidNoticeAbstractUI.aspx?menuIndex=3&amp;refID=7029377&amp;Result=3","7029377")</f>
        <v>0</v>
      </c>
      <c r="B10633" t="s">
        <v>822</v>
      </c>
      <c r="C10633" t="s">
        <v>13338</v>
      </c>
      <c r="D10633" t="s">
        <v>18022</v>
      </c>
      <c r="E10633" t="s">
        <v>27318</v>
      </c>
      <c r="F10633" t="s">
        <v>31574</v>
      </c>
      <c r="G10633" t="s">
        <v>31583</v>
      </c>
      <c r="H10633" t="s">
        <v>31590</v>
      </c>
      <c r="I10633" t="s">
        <v>31594</v>
      </c>
      <c r="J10633" t="s">
        <v>31789</v>
      </c>
      <c r="K10633" t="s">
        <v>41193</v>
      </c>
      <c r="M10633" t="s">
        <v>42341</v>
      </c>
      <c r="N10633" t="s">
        <v>45095</v>
      </c>
      <c r="O10633" t="s">
        <v>45096</v>
      </c>
      <c r="Q10633">
        <v>8</v>
      </c>
      <c r="R10633" t="s">
        <v>45108</v>
      </c>
      <c r="S10633" t="s">
        <v>45466</v>
      </c>
      <c r="T10633" t="s">
        <v>47125</v>
      </c>
      <c r="U10633" t="s">
        <v>56209</v>
      </c>
      <c r="W10633" t="s">
        <v>42341</v>
      </c>
      <c r="X10633" t="s">
        <v>45109</v>
      </c>
    </row>
    <row r="10634" spans="1:24">
      <c r="A10634">
        <f>HYPERLINK("https://www.philgeps.gov.ph/GEPSNONPILOT/Tender/SplashBidNoticeAbstractUI.aspx?menuIndex=3&amp;refID=7029384&amp;Result=3","7029384")</f>
        <v>0</v>
      </c>
      <c r="B10634" t="s">
        <v>725</v>
      </c>
      <c r="C10634" t="s">
        <v>13339</v>
      </c>
      <c r="D10634" t="s">
        <v>18092</v>
      </c>
      <c r="E10634" t="s">
        <v>27319</v>
      </c>
      <c r="F10634" t="s">
        <v>31574</v>
      </c>
      <c r="G10634" t="s">
        <v>31588</v>
      </c>
      <c r="H10634" t="s">
        <v>31590</v>
      </c>
      <c r="I10634" t="s">
        <v>14544</v>
      </c>
      <c r="J10634" t="s">
        <v>38335</v>
      </c>
      <c r="K10634" t="s">
        <v>41193</v>
      </c>
      <c r="M10634" t="s">
        <v>42235</v>
      </c>
      <c r="N10634" t="s">
        <v>45095</v>
      </c>
      <c r="O10634" t="s">
        <v>45096</v>
      </c>
      <c r="P10634">
        <v>0</v>
      </c>
      <c r="Q10634">
        <v>0</v>
      </c>
      <c r="R10634" t="s">
        <v>45108</v>
      </c>
      <c r="S10634" t="s">
        <v>45434</v>
      </c>
      <c r="T10634" t="s">
        <v>46977</v>
      </c>
      <c r="U10634" t="s">
        <v>56210</v>
      </c>
      <c r="V10634" t="s">
        <v>60965</v>
      </c>
      <c r="W10634" t="s">
        <v>42235</v>
      </c>
      <c r="X10634" t="s">
        <v>45109</v>
      </c>
    </row>
    <row r="10635" spans="1:24">
      <c r="A10635">
        <f>HYPERLINK("https://www.philgeps.gov.ph/GEPSNONPILOT/Tender/SplashBidNoticeAbstractUI.aspx?menuIndex=3&amp;refID=7029396&amp;Result=3","7029396")</f>
        <v>0</v>
      </c>
      <c r="B10635" t="s">
        <v>2669</v>
      </c>
      <c r="C10635" t="s">
        <v>13340</v>
      </c>
      <c r="D10635" t="s">
        <v>18037</v>
      </c>
      <c r="E10635" t="s">
        <v>27320</v>
      </c>
      <c r="F10635" t="s">
        <v>31574</v>
      </c>
      <c r="G10635" t="s">
        <v>31582</v>
      </c>
      <c r="H10635" t="s">
        <v>31591</v>
      </c>
      <c r="I10635" t="s">
        <v>8822</v>
      </c>
      <c r="J10635" t="s">
        <v>32019</v>
      </c>
      <c r="K10635" t="s">
        <v>41185</v>
      </c>
      <c r="M10635" t="s">
        <v>44430</v>
      </c>
      <c r="N10635" t="s">
        <v>45095</v>
      </c>
      <c r="O10635" t="s">
        <v>45096</v>
      </c>
      <c r="P10635">
        <v>0</v>
      </c>
      <c r="Q10635">
        <v>0</v>
      </c>
      <c r="R10635" t="s">
        <v>45108</v>
      </c>
      <c r="S10635" t="s">
        <v>45434</v>
      </c>
      <c r="T10635" t="s">
        <v>47371</v>
      </c>
      <c r="U10635" t="s">
        <v>55669</v>
      </c>
      <c r="W10635" t="s">
        <v>44430</v>
      </c>
      <c r="X10635" t="s">
        <v>45109</v>
      </c>
    </row>
    <row r="10636" spans="1:24">
      <c r="A10636">
        <f>HYPERLINK("https://www.philgeps.gov.ph/GEPSNONPILOT/Tender/SplashBidNoticeAbstractUI.aspx?menuIndex=3&amp;refID=7029378&amp;Result=3","7029378")</f>
        <v>0</v>
      </c>
      <c r="B10636" t="s">
        <v>851</v>
      </c>
      <c r="C10636" t="s">
        <v>13341</v>
      </c>
      <c r="D10636" t="s">
        <v>18045</v>
      </c>
      <c r="E10636" t="s">
        <v>27321</v>
      </c>
      <c r="F10636" t="s">
        <v>31574</v>
      </c>
      <c r="G10636" t="s">
        <v>31583</v>
      </c>
      <c r="H10636" t="s">
        <v>31590</v>
      </c>
      <c r="I10636" t="s">
        <v>4046</v>
      </c>
      <c r="J10636" t="s">
        <v>32497</v>
      </c>
      <c r="K10636" t="s">
        <v>41191</v>
      </c>
      <c r="M10636" t="s">
        <v>42370</v>
      </c>
      <c r="N10636" t="s">
        <v>45095</v>
      </c>
      <c r="O10636" t="s">
        <v>45096</v>
      </c>
      <c r="P10636">
        <v>0</v>
      </c>
      <c r="Q10636">
        <v>1</v>
      </c>
      <c r="R10636" t="s">
        <v>45108</v>
      </c>
      <c r="S10636" t="s">
        <v>45434</v>
      </c>
      <c r="T10636" t="s">
        <v>47382</v>
      </c>
      <c r="U10636" t="s">
        <v>47721</v>
      </c>
      <c r="W10636" t="s">
        <v>42370</v>
      </c>
      <c r="X10636" t="s">
        <v>45109</v>
      </c>
    </row>
    <row r="10637" spans="1:24">
      <c r="A10637">
        <f>HYPERLINK("https://www.philgeps.gov.ph/GEPSNONPILOT/Tender/SplashBidNoticeAbstractUI.aspx?menuIndex=3&amp;refID=7029373&amp;Result=3","7029373")</f>
        <v>0</v>
      </c>
      <c r="B10637" t="s">
        <v>28</v>
      </c>
      <c r="C10637" t="s">
        <v>13342</v>
      </c>
      <c r="D10637" t="s">
        <v>18053</v>
      </c>
      <c r="E10637" t="s">
        <v>27322</v>
      </c>
      <c r="F10637" t="s">
        <v>31574</v>
      </c>
      <c r="G10637" t="s">
        <v>31582</v>
      </c>
      <c r="H10637" t="s">
        <v>31591</v>
      </c>
      <c r="I10637" t="s">
        <v>8822</v>
      </c>
      <c r="J10637" t="s">
        <v>38336</v>
      </c>
      <c r="K10637" t="s">
        <v>41188</v>
      </c>
      <c r="M10637" t="s">
        <v>44540</v>
      </c>
      <c r="N10637" t="s">
        <v>45095</v>
      </c>
      <c r="O10637" t="s">
        <v>45096</v>
      </c>
      <c r="Q10637">
        <v>0</v>
      </c>
      <c r="R10637" t="s">
        <v>45108</v>
      </c>
      <c r="S10637" t="s">
        <v>45467</v>
      </c>
      <c r="T10637" t="s">
        <v>47000</v>
      </c>
      <c r="U10637" t="s">
        <v>56202</v>
      </c>
      <c r="W10637" t="s">
        <v>44540</v>
      </c>
      <c r="X10637" t="s">
        <v>45109</v>
      </c>
    </row>
    <row r="10638" spans="1:24">
      <c r="A10638">
        <f>HYPERLINK("https://www.philgeps.gov.ph/GEPSNONPILOT/Tender/SplashBidNoticeAbstractUI.aspx?menuIndex=3&amp;refID=7029388&amp;Result=3","7029388")</f>
        <v>0</v>
      </c>
      <c r="B10638" t="s">
        <v>822</v>
      </c>
      <c r="C10638" t="s">
        <v>13343</v>
      </c>
      <c r="D10638" t="s">
        <v>18022</v>
      </c>
      <c r="E10638" t="s">
        <v>27323</v>
      </c>
      <c r="F10638" t="s">
        <v>31574</v>
      </c>
      <c r="G10638" t="s">
        <v>31583</v>
      </c>
      <c r="H10638" t="s">
        <v>31590</v>
      </c>
      <c r="I10638" t="s">
        <v>31594</v>
      </c>
      <c r="J10638" t="s">
        <v>32232</v>
      </c>
      <c r="K10638" t="s">
        <v>41193</v>
      </c>
      <c r="M10638" t="s">
        <v>42341</v>
      </c>
      <c r="N10638" t="s">
        <v>45095</v>
      </c>
      <c r="O10638" t="s">
        <v>45096</v>
      </c>
      <c r="Q10638">
        <v>6</v>
      </c>
      <c r="R10638" t="s">
        <v>45108</v>
      </c>
      <c r="S10638" t="s">
        <v>45463</v>
      </c>
      <c r="T10638" t="s">
        <v>47125</v>
      </c>
      <c r="U10638" t="s">
        <v>56211</v>
      </c>
      <c r="W10638" t="s">
        <v>42341</v>
      </c>
      <c r="X10638" t="s">
        <v>45109</v>
      </c>
    </row>
    <row r="10639" spans="1:24">
      <c r="A10639">
        <f>HYPERLINK("https://www.philgeps.gov.ph/GEPSNONPILOT/Tender/SplashBidNoticeAbstractUI.aspx?menuIndex=3&amp;refID=7029399&amp;Result=3","7029399")</f>
        <v>0</v>
      </c>
      <c r="B10639" t="s">
        <v>1376</v>
      </c>
      <c r="C10639" t="s">
        <v>13344</v>
      </c>
      <c r="E10639" t="s">
        <v>27324</v>
      </c>
      <c r="F10639" t="s">
        <v>31574</v>
      </c>
      <c r="G10639" t="s">
        <v>31582</v>
      </c>
      <c r="H10639" t="s">
        <v>31591</v>
      </c>
      <c r="I10639" t="s">
        <v>8822</v>
      </c>
      <c r="J10639" t="s">
        <v>32101</v>
      </c>
      <c r="K10639" t="s">
        <v>41184</v>
      </c>
      <c r="M10639" t="s">
        <v>42950</v>
      </c>
      <c r="N10639" t="s">
        <v>45095</v>
      </c>
      <c r="O10639" t="s">
        <v>45096</v>
      </c>
      <c r="P10639">
        <v>0</v>
      </c>
      <c r="Q10639">
        <v>0</v>
      </c>
      <c r="R10639" t="s">
        <v>45108</v>
      </c>
      <c r="S10639" t="s">
        <v>45434</v>
      </c>
      <c r="T10639" t="s">
        <v>47196</v>
      </c>
      <c r="U10639" t="s">
        <v>51044</v>
      </c>
      <c r="W10639" t="s">
        <v>42950</v>
      </c>
      <c r="X10639" t="s">
        <v>45109</v>
      </c>
    </row>
    <row r="10640" spans="1:24">
      <c r="A10640">
        <f>HYPERLINK("https://www.philgeps.gov.ph/GEPSNONPILOT/Tender/SplashBidNoticeAbstractUI.aspx?menuIndex=3&amp;refID=7029356&amp;Result=3","7029356")</f>
        <v>0</v>
      </c>
      <c r="B10640" t="s">
        <v>822</v>
      </c>
      <c r="C10640" t="s">
        <v>13345</v>
      </c>
      <c r="D10640" t="s">
        <v>18022</v>
      </c>
      <c r="E10640" t="s">
        <v>19085</v>
      </c>
      <c r="F10640" t="s">
        <v>31574</v>
      </c>
      <c r="G10640" t="s">
        <v>31583</v>
      </c>
      <c r="H10640" t="s">
        <v>31590</v>
      </c>
      <c r="I10640" t="s">
        <v>31594</v>
      </c>
      <c r="J10640" t="s">
        <v>31789</v>
      </c>
      <c r="K10640" t="s">
        <v>41193</v>
      </c>
      <c r="M10640" t="s">
        <v>42341</v>
      </c>
      <c r="N10640" t="s">
        <v>45095</v>
      </c>
      <c r="O10640" t="s">
        <v>45096</v>
      </c>
      <c r="Q10640">
        <v>9</v>
      </c>
      <c r="R10640" t="s">
        <v>45108</v>
      </c>
      <c r="S10640" t="s">
        <v>45468</v>
      </c>
      <c r="T10640" t="s">
        <v>47125</v>
      </c>
      <c r="U10640" t="s">
        <v>56212</v>
      </c>
      <c r="W10640" t="s">
        <v>42341</v>
      </c>
      <c r="X10640" t="s">
        <v>45109</v>
      </c>
    </row>
    <row r="10641" spans="1:24">
      <c r="A10641">
        <f>HYPERLINK("https://www.philgeps.gov.ph/GEPSNONPILOT/Tender/SplashBidNoticeAbstractUI.aspx?menuIndex=3&amp;refID=7029443&amp;Result=3","7029443")</f>
        <v>0</v>
      </c>
      <c r="B10641" t="s">
        <v>2092</v>
      </c>
      <c r="C10641" t="s">
        <v>13346</v>
      </c>
      <c r="D10641" t="s">
        <v>18030</v>
      </c>
      <c r="E10641" t="s">
        <v>27325</v>
      </c>
      <c r="F10641" t="s">
        <v>31574</v>
      </c>
      <c r="G10641" t="s">
        <v>31582</v>
      </c>
      <c r="H10641" t="s">
        <v>31592</v>
      </c>
      <c r="I10641" t="s">
        <v>31648</v>
      </c>
      <c r="J10641" t="s">
        <v>38337</v>
      </c>
      <c r="K10641" t="s">
        <v>41200</v>
      </c>
      <c r="M10641" t="s">
        <v>43900</v>
      </c>
      <c r="N10641" t="s">
        <v>45095</v>
      </c>
      <c r="O10641" t="s">
        <v>45096</v>
      </c>
      <c r="P10641">
        <v>0</v>
      </c>
      <c r="Q10641">
        <v>6</v>
      </c>
      <c r="R10641" t="s">
        <v>45108</v>
      </c>
      <c r="S10641" t="s">
        <v>45434</v>
      </c>
      <c r="T10641" t="s">
        <v>46992</v>
      </c>
      <c r="U10641" t="s">
        <v>53298</v>
      </c>
      <c r="V10641" t="s">
        <v>60962</v>
      </c>
      <c r="W10641" t="s">
        <v>43900</v>
      </c>
      <c r="X10641" t="s">
        <v>45109</v>
      </c>
    </row>
    <row r="10642" spans="1:24">
      <c r="A10642">
        <f>HYPERLINK("https://www.philgeps.gov.ph/GEPSNONPILOT/Tender/SplashBidNoticeAbstractUI.aspx?menuIndex=3&amp;refID=7029353&amp;Result=3","7029353")</f>
        <v>0</v>
      </c>
      <c r="B10642" t="s">
        <v>2765</v>
      </c>
      <c r="C10642" t="s">
        <v>13347</v>
      </c>
      <c r="D10642" t="s">
        <v>18039</v>
      </c>
      <c r="E10642" t="s">
        <v>27326</v>
      </c>
      <c r="F10642" t="s">
        <v>31574</v>
      </c>
      <c r="G10642" t="s">
        <v>31582</v>
      </c>
      <c r="H10642" t="s">
        <v>31591</v>
      </c>
      <c r="I10642" t="s">
        <v>8822</v>
      </c>
      <c r="J10642" t="s">
        <v>38338</v>
      </c>
      <c r="K10642" t="s">
        <v>41192</v>
      </c>
      <c r="M10642" t="s">
        <v>44538</v>
      </c>
      <c r="N10642" t="s">
        <v>45095</v>
      </c>
      <c r="O10642" t="s">
        <v>45096</v>
      </c>
      <c r="P10642">
        <v>0</v>
      </c>
      <c r="Q10642">
        <v>0</v>
      </c>
      <c r="R10642" t="s">
        <v>45108</v>
      </c>
      <c r="S10642" t="s">
        <v>45434</v>
      </c>
      <c r="T10642" t="s">
        <v>47019</v>
      </c>
      <c r="U10642" t="s">
        <v>56213</v>
      </c>
      <c r="W10642" t="s">
        <v>44538</v>
      </c>
      <c r="X10642" t="s">
        <v>45109</v>
      </c>
    </row>
    <row r="10643" spans="1:24">
      <c r="A10643">
        <f>HYPERLINK("https://www.philgeps.gov.ph/GEPSNONPILOT/Tender/SplashBidNoticeAbstractUI.aspx?menuIndex=3&amp;refID=7029416&amp;Result=3","7029416")</f>
        <v>0</v>
      </c>
      <c r="B10643" t="s">
        <v>1376</v>
      </c>
      <c r="C10643" t="s">
        <v>13348</v>
      </c>
      <c r="E10643" t="s">
        <v>27327</v>
      </c>
      <c r="F10643" t="s">
        <v>31574</v>
      </c>
      <c r="G10643" t="s">
        <v>31582</v>
      </c>
      <c r="H10643" t="s">
        <v>31591</v>
      </c>
      <c r="I10643" t="s">
        <v>8822</v>
      </c>
      <c r="J10643" t="s">
        <v>32510</v>
      </c>
      <c r="K10643" t="s">
        <v>41184</v>
      </c>
      <c r="M10643" t="s">
        <v>42950</v>
      </c>
      <c r="N10643" t="s">
        <v>45095</v>
      </c>
      <c r="O10643" t="s">
        <v>45096</v>
      </c>
      <c r="P10643">
        <v>0</v>
      </c>
      <c r="Q10643">
        <v>0</v>
      </c>
      <c r="R10643" t="s">
        <v>45108</v>
      </c>
      <c r="S10643" t="s">
        <v>45434</v>
      </c>
      <c r="T10643" t="s">
        <v>47383</v>
      </c>
      <c r="U10643" t="s">
        <v>51044</v>
      </c>
      <c r="W10643" t="s">
        <v>42950</v>
      </c>
      <c r="X10643" t="s">
        <v>45109</v>
      </c>
    </row>
    <row r="10644" spans="1:24">
      <c r="A10644">
        <f>HYPERLINK("https://www.philgeps.gov.ph/GEPSNONPILOT/Tender/SplashBidNoticeAbstractUI.aspx?menuIndex=3&amp;refID=7029429&amp;Result=3","7029429")</f>
        <v>0</v>
      </c>
      <c r="B10644" t="s">
        <v>1376</v>
      </c>
      <c r="C10644" t="s">
        <v>13349</v>
      </c>
      <c r="E10644" t="s">
        <v>27328</v>
      </c>
      <c r="F10644" t="s">
        <v>31574</v>
      </c>
      <c r="G10644" t="s">
        <v>31582</v>
      </c>
      <c r="H10644" t="s">
        <v>31591</v>
      </c>
      <c r="I10644" t="s">
        <v>8822</v>
      </c>
      <c r="J10644" t="s">
        <v>32026</v>
      </c>
      <c r="K10644" t="s">
        <v>41184</v>
      </c>
      <c r="M10644" t="s">
        <v>42950</v>
      </c>
      <c r="N10644" t="s">
        <v>45095</v>
      </c>
      <c r="O10644" t="s">
        <v>45096</v>
      </c>
      <c r="P10644">
        <v>0</v>
      </c>
      <c r="Q10644">
        <v>0</v>
      </c>
      <c r="R10644" t="s">
        <v>45108</v>
      </c>
      <c r="S10644" t="s">
        <v>45434</v>
      </c>
      <c r="T10644" t="s">
        <v>47196</v>
      </c>
      <c r="U10644" t="s">
        <v>51044</v>
      </c>
      <c r="W10644" t="s">
        <v>42950</v>
      </c>
      <c r="X10644" t="s">
        <v>45109</v>
      </c>
    </row>
    <row r="10645" spans="1:24">
      <c r="A10645">
        <f>HYPERLINK("https://www.philgeps.gov.ph/GEPSNONPILOT/Tender/SplashBidNoticeAbstractUI.aspx?menuIndex=3&amp;refID=7029434&amp;Result=3","7029434")</f>
        <v>0</v>
      </c>
      <c r="B10645" t="s">
        <v>1032</v>
      </c>
      <c r="C10645" t="s">
        <v>13350</v>
      </c>
      <c r="E10645" t="s">
        <v>27329</v>
      </c>
      <c r="F10645" t="s">
        <v>31574</v>
      </c>
      <c r="G10645" t="s">
        <v>31582</v>
      </c>
      <c r="H10645" t="s">
        <v>31590</v>
      </c>
      <c r="I10645" t="s">
        <v>31594</v>
      </c>
      <c r="J10645" t="s">
        <v>32530</v>
      </c>
      <c r="K10645" t="s">
        <v>41192</v>
      </c>
      <c r="M10645" t="s">
        <v>42573</v>
      </c>
      <c r="N10645" t="s">
        <v>45095</v>
      </c>
      <c r="O10645" t="s">
        <v>45096</v>
      </c>
      <c r="Q10645">
        <v>33</v>
      </c>
      <c r="R10645" t="s">
        <v>45108</v>
      </c>
      <c r="S10645" t="s">
        <v>45469</v>
      </c>
      <c r="T10645" t="s">
        <v>47063</v>
      </c>
      <c r="U10645" t="s">
        <v>49811</v>
      </c>
      <c r="W10645" t="s">
        <v>42573</v>
      </c>
      <c r="X10645" t="s">
        <v>45109</v>
      </c>
    </row>
    <row r="10646" spans="1:24">
      <c r="A10646">
        <f>HYPERLINK("https://www.philgeps.gov.ph/GEPSNONPILOT/Tender/SplashBidNoticeAbstractUI.aspx?menuIndex=3&amp;refID=7029440&amp;Result=3","7029440")</f>
        <v>0</v>
      </c>
      <c r="B10646" t="s">
        <v>1376</v>
      </c>
      <c r="C10646" t="s">
        <v>13351</v>
      </c>
      <c r="E10646" t="s">
        <v>27330</v>
      </c>
      <c r="F10646" t="s">
        <v>31574</v>
      </c>
      <c r="G10646" t="s">
        <v>31582</v>
      </c>
      <c r="H10646" t="s">
        <v>31591</v>
      </c>
      <c r="I10646" t="s">
        <v>8822</v>
      </c>
      <c r="J10646" t="s">
        <v>38339</v>
      </c>
      <c r="K10646" t="s">
        <v>41184</v>
      </c>
      <c r="M10646" t="s">
        <v>42950</v>
      </c>
      <c r="N10646" t="s">
        <v>45095</v>
      </c>
      <c r="O10646" t="s">
        <v>45096</v>
      </c>
      <c r="P10646">
        <v>0</v>
      </c>
      <c r="Q10646">
        <v>0</v>
      </c>
      <c r="R10646" t="s">
        <v>45108</v>
      </c>
      <c r="S10646" t="s">
        <v>45434</v>
      </c>
      <c r="T10646" t="s">
        <v>47196</v>
      </c>
      <c r="U10646" t="s">
        <v>51044</v>
      </c>
      <c r="W10646" t="s">
        <v>42950</v>
      </c>
      <c r="X10646" t="s">
        <v>45109</v>
      </c>
    </row>
    <row r="10647" spans="1:24">
      <c r="A10647">
        <f>HYPERLINK("https://www.philgeps.gov.ph/GEPSNONPILOT/Tender/SplashBidNoticeAbstractUI.aspx?menuIndex=3&amp;refID=7029411&amp;Result=3","7029411")</f>
        <v>0</v>
      </c>
      <c r="B10647" t="s">
        <v>1032</v>
      </c>
      <c r="C10647" t="s">
        <v>13352</v>
      </c>
      <c r="E10647" t="s">
        <v>27331</v>
      </c>
      <c r="F10647" t="s">
        <v>31574</v>
      </c>
      <c r="G10647" t="s">
        <v>31582</v>
      </c>
      <c r="H10647" t="s">
        <v>31590</v>
      </c>
      <c r="I10647" t="s">
        <v>31594</v>
      </c>
      <c r="J10647" t="s">
        <v>38340</v>
      </c>
      <c r="K10647" t="s">
        <v>41192</v>
      </c>
      <c r="M10647" t="s">
        <v>42573</v>
      </c>
      <c r="N10647" t="s">
        <v>45095</v>
      </c>
      <c r="O10647" t="s">
        <v>45096</v>
      </c>
      <c r="P10647">
        <v>0</v>
      </c>
      <c r="Q10647">
        <v>20</v>
      </c>
      <c r="R10647" t="s">
        <v>45108</v>
      </c>
      <c r="S10647" t="s">
        <v>45434</v>
      </c>
      <c r="T10647" t="s">
        <v>46965</v>
      </c>
      <c r="U10647" t="s">
        <v>49811</v>
      </c>
      <c r="W10647" t="s">
        <v>42573</v>
      </c>
      <c r="X10647" t="s">
        <v>45109</v>
      </c>
    </row>
    <row r="10648" spans="1:24">
      <c r="A10648">
        <f>HYPERLINK("https://www.philgeps.gov.ph/GEPSNONPILOT/Tender/SplashBidNoticeAbstractUI.aspx?menuIndex=3&amp;refID=7029410&amp;Result=3","7029410")</f>
        <v>0</v>
      </c>
      <c r="B10648" t="s">
        <v>28</v>
      </c>
      <c r="C10648" t="s">
        <v>13353</v>
      </c>
      <c r="D10648" t="s">
        <v>18053</v>
      </c>
      <c r="E10648" t="s">
        <v>27332</v>
      </c>
      <c r="F10648" t="s">
        <v>31574</v>
      </c>
      <c r="G10648" t="s">
        <v>31582</v>
      </c>
      <c r="H10648" t="s">
        <v>31591</v>
      </c>
      <c r="I10648" t="s">
        <v>8822</v>
      </c>
      <c r="J10648" t="s">
        <v>38341</v>
      </c>
      <c r="K10648" t="s">
        <v>41188</v>
      </c>
      <c r="M10648" t="s">
        <v>44540</v>
      </c>
      <c r="N10648" t="s">
        <v>45095</v>
      </c>
      <c r="O10648" t="s">
        <v>45096</v>
      </c>
      <c r="Q10648">
        <v>0</v>
      </c>
      <c r="R10648" t="s">
        <v>45108</v>
      </c>
      <c r="S10648" t="s">
        <v>45470</v>
      </c>
      <c r="T10648" t="s">
        <v>47000</v>
      </c>
      <c r="U10648" t="s">
        <v>56214</v>
      </c>
      <c r="W10648" t="s">
        <v>44540</v>
      </c>
      <c r="X10648" t="s">
        <v>45109</v>
      </c>
    </row>
    <row r="10649" spans="1:24">
      <c r="A10649">
        <f>HYPERLINK("https://www.philgeps.gov.ph/GEPSNONPILOT/Tender/SplashBidNoticeAbstractUI.aspx?menuIndex=3&amp;refID=7029480&amp;Result=3","7029480")</f>
        <v>0</v>
      </c>
      <c r="B10649" t="s">
        <v>2767</v>
      </c>
      <c r="C10649" t="s">
        <v>13354</v>
      </c>
      <c r="D10649" t="s">
        <v>18048</v>
      </c>
      <c r="E10649" t="s">
        <v>27333</v>
      </c>
      <c r="F10649" t="s">
        <v>31574</v>
      </c>
      <c r="G10649" t="s">
        <v>31582</v>
      </c>
      <c r="H10649" t="s">
        <v>31591</v>
      </c>
      <c r="I10649" t="s">
        <v>8822</v>
      </c>
      <c r="J10649" t="s">
        <v>38342</v>
      </c>
      <c r="K10649" t="s">
        <v>41192</v>
      </c>
      <c r="M10649" t="s">
        <v>44542</v>
      </c>
      <c r="N10649" t="s">
        <v>45095</v>
      </c>
      <c r="O10649" t="s">
        <v>45096</v>
      </c>
      <c r="P10649">
        <v>0</v>
      </c>
      <c r="Q10649">
        <v>1</v>
      </c>
      <c r="R10649" t="s">
        <v>45108</v>
      </c>
      <c r="S10649" t="s">
        <v>45434</v>
      </c>
      <c r="T10649" t="s">
        <v>47247</v>
      </c>
      <c r="U10649" t="s">
        <v>56215</v>
      </c>
      <c r="V10649" t="s">
        <v>60966</v>
      </c>
      <c r="W10649" t="s">
        <v>61754</v>
      </c>
      <c r="X10649" t="s">
        <v>45109</v>
      </c>
    </row>
    <row r="10650" spans="1:24">
      <c r="A10650">
        <f>HYPERLINK("https://www.philgeps.gov.ph/GEPSNONPILOT/Tender/SplashBidNoticeAbstractUI.aspx?menuIndex=3&amp;refID=7029432&amp;Result=3","7029432")</f>
        <v>0</v>
      </c>
      <c r="B10650" t="s">
        <v>2768</v>
      </c>
      <c r="C10650" t="s">
        <v>13355</v>
      </c>
      <c r="D10650" t="s">
        <v>18046</v>
      </c>
      <c r="E10650" t="s">
        <v>27334</v>
      </c>
      <c r="F10650" t="s">
        <v>31574</v>
      </c>
      <c r="G10650" t="s">
        <v>31582</v>
      </c>
      <c r="H10650" t="s">
        <v>31590</v>
      </c>
      <c r="I10650" t="s">
        <v>31645</v>
      </c>
      <c r="J10650" t="s">
        <v>38343</v>
      </c>
      <c r="K10650" t="s">
        <v>41191</v>
      </c>
      <c r="M10650" t="s">
        <v>44543</v>
      </c>
      <c r="N10650" t="s">
        <v>45095</v>
      </c>
      <c r="O10650" t="s">
        <v>45096</v>
      </c>
      <c r="P10650">
        <v>0</v>
      </c>
      <c r="Q10650">
        <v>1</v>
      </c>
      <c r="R10650" t="s">
        <v>45108</v>
      </c>
      <c r="S10650" t="s">
        <v>45434</v>
      </c>
      <c r="T10650" t="s">
        <v>46963</v>
      </c>
      <c r="U10650" t="s">
        <v>56216</v>
      </c>
      <c r="W10650" t="s">
        <v>44543</v>
      </c>
      <c r="X10650" t="s">
        <v>45109</v>
      </c>
    </row>
    <row r="10651" spans="1:24">
      <c r="A10651">
        <f>HYPERLINK("https://www.philgeps.gov.ph/GEPSNONPILOT/Tender/SplashBidNoticeAbstractUI.aspx?menuIndex=3&amp;refID=7029472&amp;Result=3","7029472")</f>
        <v>0</v>
      </c>
      <c r="B10651" t="s">
        <v>1639</v>
      </c>
      <c r="C10651" t="s">
        <v>13356</v>
      </c>
      <c r="E10651" t="s">
        <v>27335</v>
      </c>
      <c r="F10651" t="s">
        <v>31574</v>
      </c>
      <c r="G10651" t="s">
        <v>31582</v>
      </c>
      <c r="H10651" t="s">
        <v>31590</v>
      </c>
      <c r="I10651" t="s">
        <v>31599</v>
      </c>
      <c r="J10651" t="s">
        <v>31758</v>
      </c>
      <c r="K10651" t="s">
        <v>41184</v>
      </c>
      <c r="M10651" t="s">
        <v>43248</v>
      </c>
      <c r="N10651" t="s">
        <v>45095</v>
      </c>
      <c r="O10651" t="s">
        <v>45096</v>
      </c>
      <c r="P10651">
        <v>0</v>
      </c>
      <c r="Q10651">
        <v>2</v>
      </c>
      <c r="R10651" t="s">
        <v>45108</v>
      </c>
      <c r="S10651" t="s">
        <v>45434</v>
      </c>
      <c r="T10651" t="s">
        <v>46992</v>
      </c>
      <c r="U10651" t="s">
        <v>56217</v>
      </c>
      <c r="W10651" t="s">
        <v>43248</v>
      </c>
      <c r="X10651" t="s">
        <v>45109</v>
      </c>
    </row>
    <row r="10652" spans="1:24">
      <c r="A10652">
        <f>HYPERLINK("https://www.philgeps.gov.ph/GEPSNONPILOT/Tender/SplashBidNoticeAbstractUI.aspx?menuIndex=3&amp;refID=7029433&amp;Result=3","7029433")</f>
        <v>0</v>
      </c>
      <c r="B10652" t="s">
        <v>1978</v>
      </c>
      <c r="C10652" t="s">
        <v>13357</v>
      </c>
      <c r="D10652" t="s">
        <v>18079</v>
      </c>
      <c r="E10652" t="s">
        <v>27336</v>
      </c>
      <c r="F10652" t="s">
        <v>31574</v>
      </c>
      <c r="G10652" t="s">
        <v>31588</v>
      </c>
      <c r="H10652" t="s">
        <v>31591</v>
      </c>
      <c r="I10652" t="s">
        <v>8822</v>
      </c>
      <c r="J10652" t="s">
        <v>32101</v>
      </c>
      <c r="K10652" t="s">
        <v>41189</v>
      </c>
      <c r="M10652" t="s">
        <v>43635</v>
      </c>
      <c r="N10652" t="s">
        <v>45095</v>
      </c>
      <c r="O10652" t="s">
        <v>45096</v>
      </c>
      <c r="Q10652">
        <v>1</v>
      </c>
      <c r="R10652" t="s">
        <v>45108</v>
      </c>
      <c r="S10652" t="s">
        <v>45471</v>
      </c>
      <c r="T10652" t="s">
        <v>46926</v>
      </c>
      <c r="U10652" t="s">
        <v>49578</v>
      </c>
      <c r="W10652" t="s">
        <v>43635</v>
      </c>
      <c r="X10652" t="s">
        <v>45109</v>
      </c>
    </row>
    <row r="10653" spans="1:24">
      <c r="A10653">
        <f>HYPERLINK("https://www.philgeps.gov.ph/GEPSNONPILOT/Tender/SplashBidNoticeAbstractUI.aspx?menuIndex=3&amp;refID=7029462&amp;Result=3","7029462")</f>
        <v>0</v>
      </c>
      <c r="B10653" t="s">
        <v>2769</v>
      </c>
      <c r="C10653" t="s">
        <v>13358</v>
      </c>
      <c r="D10653" t="s">
        <v>18027</v>
      </c>
      <c r="E10653" t="s">
        <v>27337</v>
      </c>
      <c r="F10653" t="s">
        <v>31574</v>
      </c>
      <c r="G10653" t="s">
        <v>31581</v>
      </c>
      <c r="H10653" t="s">
        <v>31590</v>
      </c>
      <c r="I10653" t="s">
        <v>31603</v>
      </c>
      <c r="J10653" t="s">
        <v>32677</v>
      </c>
      <c r="K10653" t="s">
        <v>41196</v>
      </c>
      <c r="M10653" t="s">
        <v>44544</v>
      </c>
      <c r="N10653" t="s">
        <v>45095</v>
      </c>
      <c r="O10653" t="s">
        <v>45096</v>
      </c>
      <c r="P10653">
        <v>0</v>
      </c>
      <c r="Q10653">
        <v>8</v>
      </c>
      <c r="R10653" t="s">
        <v>45108</v>
      </c>
      <c r="S10653" t="s">
        <v>45434</v>
      </c>
      <c r="T10653" t="s">
        <v>47154</v>
      </c>
      <c r="U10653" t="s">
        <v>54891</v>
      </c>
      <c r="V10653" t="s">
        <v>60967</v>
      </c>
      <c r="W10653" t="s">
        <v>44544</v>
      </c>
      <c r="X10653" t="s">
        <v>45109</v>
      </c>
    </row>
    <row r="10654" spans="1:24">
      <c r="A10654">
        <f>HYPERLINK("https://www.philgeps.gov.ph/GEPSNONPILOT/Tender/SplashBidNoticeAbstractUI.aspx?menuIndex=3&amp;refID=7029406&amp;Result=3","7029406")</f>
        <v>0</v>
      </c>
      <c r="B10654" t="s">
        <v>1376</v>
      </c>
      <c r="C10654" t="s">
        <v>13359</v>
      </c>
      <c r="E10654" t="s">
        <v>27338</v>
      </c>
      <c r="F10654" t="s">
        <v>31574</v>
      </c>
      <c r="G10654" t="s">
        <v>31582</v>
      </c>
      <c r="H10654" t="s">
        <v>31591</v>
      </c>
      <c r="I10654" t="s">
        <v>8822</v>
      </c>
      <c r="J10654" t="s">
        <v>31771</v>
      </c>
      <c r="K10654" t="s">
        <v>41184</v>
      </c>
      <c r="M10654" t="s">
        <v>42950</v>
      </c>
      <c r="N10654" t="s">
        <v>45095</v>
      </c>
      <c r="O10654" t="s">
        <v>45096</v>
      </c>
      <c r="P10654">
        <v>0</v>
      </c>
      <c r="Q10654">
        <v>0</v>
      </c>
      <c r="R10654" t="s">
        <v>45108</v>
      </c>
      <c r="S10654" t="s">
        <v>45434</v>
      </c>
      <c r="T10654" t="s">
        <v>47196</v>
      </c>
      <c r="U10654" t="s">
        <v>51044</v>
      </c>
      <c r="W10654" t="s">
        <v>42950</v>
      </c>
      <c r="X10654" t="s">
        <v>45109</v>
      </c>
    </row>
    <row r="10655" spans="1:24">
      <c r="A10655">
        <f>HYPERLINK("https://www.philgeps.gov.ph/GEPSNONPILOT/Tender/SplashBidNoticeAbstractUI.aspx?menuIndex=3&amp;refID=7029468&amp;Result=3","7029468")</f>
        <v>0</v>
      </c>
      <c r="B10655" t="s">
        <v>2767</v>
      </c>
      <c r="C10655" t="s">
        <v>13360</v>
      </c>
      <c r="D10655" t="s">
        <v>18048</v>
      </c>
      <c r="E10655" t="s">
        <v>27339</v>
      </c>
      <c r="F10655" t="s">
        <v>31574</v>
      </c>
      <c r="G10655" t="s">
        <v>31582</v>
      </c>
      <c r="H10655" t="s">
        <v>31591</v>
      </c>
      <c r="I10655" t="s">
        <v>8822</v>
      </c>
      <c r="J10655" t="s">
        <v>38344</v>
      </c>
      <c r="K10655" t="s">
        <v>41189</v>
      </c>
      <c r="M10655" t="s">
        <v>44542</v>
      </c>
      <c r="N10655" t="s">
        <v>45095</v>
      </c>
      <c r="O10655" t="s">
        <v>45096</v>
      </c>
      <c r="P10655">
        <v>0</v>
      </c>
      <c r="Q10655">
        <v>1</v>
      </c>
      <c r="R10655" t="s">
        <v>45108</v>
      </c>
      <c r="S10655" t="s">
        <v>45434</v>
      </c>
      <c r="T10655" t="s">
        <v>47247</v>
      </c>
      <c r="U10655" t="s">
        <v>56218</v>
      </c>
      <c r="V10655" t="s">
        <v>60968</v>
      </c>
      <c r="W10655" t="s">
        <v>61754</v>
      </c>
      <c r="X10655" t="s">
        <v>45109</v>
      </c>
    </row>
    <row r="10656" spans="1:24">
      <c r="A10656">
        <f>HYPERLINK("https://www.philgeps.gov.ph/GEPSNONPILOT/Tender/SplashBidNoticeAbstractUI.aspx?menuIndex=3&amp;refID=7029451&amp;Result=3","7029451")</f>
        <v>0</v>
      </c>
      <c r="B10656" t="s">
        <v>2769</v>
      </c>
      <c r="C10656" t="s">
        <v>13361</v>
      </c>
      <c r="D10656" t="s">
        <v>18027</v>
      </c>
      <c r="E10656" t="s">
        <v>27340</v>
      </c>
      <c r="F10656" t="s">
        <v>31574</v>
      </c>
      <c r="G10656" t="s">
        <v>31581</v>
      </c>
      <c r="H10656" t="s">
        <v>31590</v>
      </c>
      <c r="I10656" t="s">
        <v>31602</v>
      </c>
      <c r="J10656" t="s">
        <v>31742</v>
      </c>
      <c r="K10656" t="s">
        <v>41211</v>
      </c>
      <c r="M10656" t="s">
        <v>44544</v>
      </c>
      <c r="N10656" t="s">
        <v>45095</v>
      </c>
      <c r="O10656" t="s">
        <v>45096</v>
      </c>
      <c r="P10656">
        <v>0</v>
      </c>
      <c r="Q10656">
        <v>0</v>
      </c>
      <c r="R10656" t="s">
        <v>45108</v>
      </c>
      <c r="S10656" t="s">
        <v>45434</v>
      </c>
      <c r="T10656" t="s">
        <v>47154</v>
      </c>
      <c r="U10656" t="s">
        <v>54891</v>
      </c>
      <c r="V10656" t="s">
        <v>60969</v>
      </c>
      <c r="W10656" t="s">
        <v>44544</v>
      </c>
      <c r="X10656" t="s">
        <v>45109</v>
      </c>
    </row>
    <row r="10657" spans="1:24">
      <c r="A10657">
        <f>HYPERLINK("https://www.philgeps.gov.ph/GEPSNONPILOT/Tender/SplashBidNoticeAbstractUI.aspx?menuIndex=3&amp;refID=7029529&amp;Result=3","7029529")</f>
        <v>0</v>
      </c>
      <c r="B10657" t="s">
        <v>2770</v>
      </c>
      <c r="C10657" t="s">
        <v>13362</v>
      </c>
      <c r="D10657" t="s">
        <v>18027</v>
      </c>
      <c r="E10657" t="s">
        <v>27341</v>
      </c>
      <c r="F10657" t="s">
        <v>31574</v>
      </c>
      <c r="G10657" t="s">
        <v>31582</v>
      </c>
      <c r="H10657" t="s">
        <v>31590</v>
      </c>
      <c r="I10657" t="s">
        <v>31675</v>
      </c>
      <c r="J10657" t="s">
        <v>38345</v>
      </c>
      <c r="K10657" t="s">
        <v>41225</v>
      </c>
      <c r="M10657" t="s">
        <v>44545</v>
      </c>
      <c r="N10657" t="s">
        <v>45095</v>
      </c>
      <c r="O10657" t="s">
        <v>45096</v>
      </c>
      <c r="Q10657">
        <v>1</v>
      </c>
      <c r="R10657" t="s">
        <v>45108</v>
      </c>
      <c r="S10657" t="s">
        <v>45472</v>
      </c>
      <c r="T10657" t="s">
        <v>47304</v>
      </c>
      <c r="U10657" t="s">
        <v>56219</v>
      </c>
      <c r="W10657" t="s">
        <v>44545</v>
      </c>
      <c r="X10657" t="s">
        <v>45109</v>
      </c>
    </row>
    <row r="10658" spans="1:24">
      <c r="A10658">
        <f>HYPERLINK("https://www.philgeps.gov.ph/GEPSNONPILOT/Tender/SplashBidNoticeAbstractUI.aspx?menuIndex=3&amp;refID=7029458&amp;Result=3","7029458")</f>
        <v>0</v>
      </c>
      <c r="B10658" t="s">
        <v>2092</v>
      </c>
      <c r="C10658" t="s">
        <v>13363</v>
      </c>
      <c r="D10658" t="s">
        <v>18030</v>
      </c>
      <c r="E10658" t="s">
        <v>27325</v>
      </c>
      <c r="F10658" t="s">
        <v>31574</v>
      </c>
      <c r="G10658" t="s">
        <v>31582</v>
      </c>
      <c r="H10658" t="s">
        <v>31592</v>
      </c>
      <c r="I10658" t="s">
        <v>31648</v>
      </c>
      <c r="J10658" t="s">
        <v>33359</v>
      </c>
      <c r="K10658" t="s">
        <v>41200</v>
      </c>
      <c r="M10658" t="s">
        <v>43900</v>
      </c>
      <c r="N10658" t="s">
        <v>45095</v>
      </c>
      <c r="O10658" t="s">
        <v>45096</v>
      </c>
      <c r="P10658">
        <v>0</v>
      </c>
      <c r="Q10658">
        <v>5</v>
      </c>
      <c r="R10658" t="s">
        <v>45108</v>
      </c>
      <c r="S10658" t="s">
        <v>45434</v>
      </c>
      <c r="T10658" t="s">
        <v>46992</v>
      </c>
      <c r="U10658" t="s">
        <v>53298</v>
      </c>
      <c r="V10658" t="s">
        <v>60609</v>
      </c>
      <c r="W10658" t="s">
        <v>43900</v>
      </c>
      <c r="X10658" t="s">
        <v>45109</v>
      </c>
    </row>
    <row r="10659" spans="1:24">
      <c r="A10659">
        <f>HYPERLINK("https://www.philgeps.gov.ph/GEPSNONPILOT/Tender/SplashBidNoticeAbstractUI.aspx?menuIndex=3&amp;refID=7029543&amp;Result=3","7029543")</f>
        <v>0</v>
      </c>
      <c r="B10659" t="s">
        <v>540</v>
      </c>
      <c r="C10659" t="s">
        <v>13364</v>
      </c>
      <c r="D10659" t="s">
        <v>18022</v>
      </c>
      <c r="E10659" t="s">
        <v>27342</v>
      </c>
      <c r="F10659" t="s">
        <v>31574</v>
      </c>
      <c r="G10659" t="s">
        <v>31582</v>
      </c>
      <c r="H10659" t="s">
        <v>31590</v>
      </c>
      <c r="I10659" t="s">
        <v>31680</v>
      </c>
      <c r="J10659" t="s">
        <v>38346</v>
      </c>
      <c r="K10659" t="s">
        <v>41281</v>
      </c>
      <c r="M10659" t="s">
        <v>43692</v>
      </c>
      <c r="N10659" t="s">
        <v>45095</v>
      </c>
      <c r="O10659" t="s">
        <v>45096</v>
      </c>
      <c r="P10659">
        <v>0</v>
      </c>
      <c r="Q10659">
        <v>5</v>
      </c>
      <c r="R10659" t="s">
        <v>45108</v>
      </c>
      <c r="S10659" t="s">
        <v>45434</v>
      </c>
      <c r="T10659" t="s">
        <v>46977</v>
      </c>
      <c r="U10659" t="s">
        <v>56220</v>
      </c>
      <c r="W10659" t="s">
        <v>43692</v>
      </c>
      <c r="X10659" t="s">
        <v>45109</v>
      </c>
    </row>
    <row r="10660" spans="1:24">
      <c r="A10660">
        <f>HYPERLINK("https://www.philgeps.gov.ph/GEPSNONPILOT/Tender/SplashBidNoticeAbstractUI.aspx?menuIndex=3&amp;refID=7029525&amp;Result=3","7029525")</f>
        <v>0</v>
      </c>
      <c r="B10660" t="s">
        <v>124</v>
      </c>
      <c r="C10660" t="s">
        <v>13365</v>
      </c>
      <c r="D10660" t="s">
        <v>18065</v>
      </c>
      <c r="E10660" t="s">
        <v>27343</v>
      </c>
      <c r="F10660" t="s">
        <v>31576</v>
      </c>
      <c r="G10660" t="s">
        <v>31583</v>
      </c>
      <c r="H10660" t="s">
        <v>31591</v>
      </c>
      <c r="I10660" t="s">
        <v>8822</v>
      </c>
      <c r="J10660" t="s">
        <v>38347</v>
      </c>
      <c r="K10660" t="s">
        <v>41305</v>
      </c>
      <c r="M10660" t="s">
        <v>42182</v>
      </c>
      <c r="N10660" t="s">
        <v>45095</v>
      </c>
      <c r="O10660" t="s">
        <v>45096</v>
      </c>
      <c r="P10660">
        <v>0</v>
      </c>
      <c r="Q10660">
        <v>1</v>
      </c>
      <c r="R10660" t="s">
        <v>45108</v>
      </c>
      <c r="S10660" t="s">
        <v>45434</v>
      </c>
      <c r="T10660" t="s">
        <v>47183</v>
      </c>
      <c r="U10660" t="s">
        <v>56221</v>
      </c>
      <c r="W10660" t="s">
        <v>42182</v>
      </c>
      <c r="X10660" t="s">
        <v>45109</v>
      </c>
    </row>
    <row r="10661" spans="1:24">
      <c r="A10661">
        <f>HYPERLINK("https://www.philgeps.gov.ph/GEPSNONPILOT/Tender/SplashBidNoticeAbstractUI.aspx?menuIndex=3&amp;refID=7029436&amp;Result=3","7029436")</f>
        <v>0</v>
      </c>
      <c r="B10661" t="s">
        <v>2771</v>
      </c>
      <c r="C10661" t="s">
        <v>13366</v>
      </c>
      <c r="D10661" t="s">
        <v>18053</v>
      </c>
      <c r="E10661" t="s">
        <v>27344</v>
      </c>
      <c r="F10661" t="s">
        <v>31574</v>
      </c>
      <c r="G10661" t="s">
        <v>31582</v>
      </c>
      <c r="H10661" t="s">
        <v>31591</v>
      </c>
      <c r="I10661" t="s">
        <v>8822</v>
      </c>
      <c r="J10661" t="s">
        <v>38348</v>
      </c>
      <c r="K10661" t="s">
        <v>41418</v>
      </c>
      <c r="M10661" t="s">
        <v>44546</v>
      </c>
      <c r="N10661" t="s">
        <v>45095</v>
      </c>
      <c r="O10661" t="s">
        <v>45096</v>
      </c>
      <c r="P10661">
        <v>0</v>
      </c>
      <c r="Q10661">
        <v>0</v>
      </c>
      <c r="R10661" t="s">
        <v>45108</v>
      </c>
      <c r="S10661" t="s">
        <v>45434</v>
      </c>
      <c r="T10661" t="s">
        <v>46930</v>
      </c>
      <c r="U10661" t="s">
        <v>56222</v>
      </c>
      <c r="W10661" t="s">
        <v>44546</v>
      </c>
      <c r="X10661" t="s">
        <v>45109</v>
      </c>
    </row>
    <row r="10662" spans="1:24">
      <c r="A10662">
        <f>HYPERLINK("https://www.philgeps.gov.ph/GEPSNONPILOT/Tender/SplashBidNoticeAbstractUI.aspx?menuIndex=3&amp;refID=7029454&amp;Result=3","7029454")</f>
        <v>0</v>
      </c>
      <c r="B10662" t="s">
        <v>2768</v>
      </c>
      <c r="C10662" t="s">
        <v>13367</v>
      </c>
      <c r="D10662" t="s">
        <v>18046</v>
      </c>
      <c r="E10662" t="s">
        <v>27345</v>
      </c>
      <c r="F10662" t="s">
        <v>31574</v>
      </c>
      <c r="G10662" t="s">
        <v>31582</v>
      </c>
      <c r="H10662" t="s">
        <v>31591</v>
      </c>
      <c r="I10662" t="s">
        <v>8822</v>
      </c>
      <c r="J10662" t="s">
        <v>38349</v>
      </c>
      <c r="K10662" t="s">
        <v>41192</v>
      </c>
      <c r="M10662" t="s">
        <v>44543</v>
      </c>
      <c r="N10662" t="s">
        <v>45095</v>
      </c>
      <c r="O10662" t="s">
        <v>45096</v>
      </c>
      <c r="P10662">
        <v>0</v>
      </c>
      <c r="Q10662">
        <v>0</v>
      </c>
      <c r="R10662" t="s">
        <v>45108</v>
      </c>
      <c r="S10662" t="s">
        <v>45434</v>
      </c>
      <c r="T10662" t="s">
        <v>46963</v>
      </c>
      <c r="U10662" t="s">
        <v>56223</v>
      </c>
      <c r="W10662" t="s">
        <v>44543</v>
      </c>
      <c r="X10662" t="s">
        <v>45109</v>
      </c>
    </row>
    <row r="10663" spans="1:24">
      <c r="A10663">
        <f>HYPERLINK("https://www.philgeps.gov.ph/GEPSNONPILOT/Tender/SplashBidNoticeAbstractUI.aspx?menuIndex=3&amp;refID=7029571&amp;Result=3","7029571")</f>
        <v>0</v>
      </c>
      <c r="B10663" t="s">
        <v>1503</v>
      </c>
      <c r="C10663" t="s">
        <v>13368</v>
      </c>
      <c r="D10663" t="s">
        <v>18030</v>
      </c>
      <c r="E10663" t="s">
        <v>27346</v>
      </c>
      <c r="F10663" t="s">
        <v>31574</v>
      </c>
      <c r="G10663" t="s">
        <v>31582</v>
      </c>
      <c r="H10663" t="s">
        <v>31591</v>
      </c>
      <c r="I10663" t="s">
        <v>8822</v>
      </c>
      <c r="J10663" t="s">
        <v>38350</v>
      </c>
      <c r="K10663" t="s">
        <v>41334</v>
      </c>
      <c r="M10663" t="s">
        <v>43224</v>
      </c>
      <c r="N10663" t="s">
        <v>45095</v>
      </c>
      <c r="O10663" t="s">
        <v>45096</v>
      </c>
      <c r="P10663">
        <v>0</v>
      </c>
      <c r="Q10663">
        <v>18</v>
      </c>
      <c r="R10663" t="s">
        <v>45108</v>
      </c>
      <c r="S10663" t="s">
        <v>45434</v>
      </c>
      <c r="T10663" t="s">
        <v>46966</v>
      </c>
      <c r="U10663" t="s">
        <v>51540</v>
      </c>
      <c r="V10663" t="s">
        <v>60368</v>
      </c>
      <c r="W10663" t="s">
        <v>43224</v>
      </c>
      <c r="X10663" t="s">
        <v>45109</v>
      </c>
    </row>
    <row r="10664" spans="1:24">
      <c r="A10664">
        <f>HYPERLINK("https://www.philgeps.gov.ph/GEPSNONPILOT/Tender/SplashBidNoticeAbstractUI.aspx?menuIndex=3&amp;refID=7029408&amp;Result=3","7029408")</f>
        <v>0</v>
      </c>
      <c r="B10664" t="s">
        <v>2771</v>
      </c>
      <c r="C10664" t="s">
        <v>13369</v>
      </c>
      <c r="D10664" t="s">
        <v>18053</v>
      </c>
      <c r="E10664" t="s">
        <v>27347</v>
      </c>
      <c r="F10664" t="s">
        <v>31574</v>
      </c>
      <c r="G10664" t="s">
        <v>31582</v>
      </c>
      <c r="H10664" t="s">
        <v>31591</v>
      </c>
      <c r="I10664" t="s">
        <v>8822</v>
      </c>
      <c r="J10664" t="s">
        <v>38351</v>
      </c>
      <c r="K10664" t="s">
        <v>41185</v>
      </c>
      <c r="M10664" t="s">
        <v>44546</v>
      </c>
      <c r="N10664" t="s">
        <v>45095</v>
      </c>
      <c r="O10664" t="s">
        <v>45096</v>
      </c>
      <c r="P10664">
        <v>0</v>
      </c>
      <c r="Q10664">
        <v>1</v>
      </c>
      <c r="R10664" t="s">
        <v>45108</v>
      </c>
      <c r="S10664" t="s">
        <v>45434</v>
      </c>
      <c r="T10664" t="s">
        <v>46930</v>
      </c>
      <c r="U10664" t="s">
        <v>56224</v>
      </c>
      <c r="W10664" t="s">
        <v>44546</v>
      </c>
      <c r="X10664" t="s">
        <v>45109</v>
      </c>
    </row>
    <row r="10665" spans="1:24">
      <c r="A10665">
        <f>HYPERLINK("https://www.philgeps.gov.ph/GEPSNONPILOT/Tender/SplashBidNoticeAbstractUI.aspx?menuIndex=3&amp;refID=7029513&amp;Result=3","7029513")</f>
        <v>0</v>
      </c>
      <c r="B10665" t="s">
        <v>2772</v>
      </c>
      <c r="C10665" t="s">
        <v>13370</v>
      </c>
      <c r="D10665" t="s">
        <v>18071</v>
      </c>
      <c r="E10665" t="s">
        <v>27348</v>
      </c>
      <c r="F10665" t="s">
        <v>31574</v>
      </c>
      <c r="G10665" t="s">
        <v>31582</v>
      </c>
      <c r="H10665" t="s">
        <v>31591</v>
      </c>
      <c r="I10665" t="s">
        <v>8822</v>
      </c>
      <c r="J10665" t="s">
        <v>38352</v>
      </c>
      <c r="K10665" t="s">
        <v>41189</v>
      </c>
      <c r="M10665" t="s">
        <v>44547</v>
      </c>
      <c r="N10665" t="s">
        <v>45095</v>
      </c>
      <c r="O10665" t="s">
        <v>45096</v>
      </c>
      <c r="P10665">
        <v>0</v>
      </c>
      <c r="Q10665">
        <v>0</v>
      </c>
      <c r="R10665" t="s">
        <v>45108</v>
      </c>
      <c r="S10665" t="s">
        <v>45434</v>
      </c>
      <c r="T10665" t="s">
        <v>47000</v>
      </c>
      <c r="U10665" t="s">
        <v>56225</v>
      </c>
      <c r="V10665" t="s">
        <v>60970</v>
      </c>
      <c r="W10665" t="s">
        <v>61755</v>
      </c>
      <c r="X10665" t="s">
        <v>45109</v>
      </c>
    </row>
    <row r="10666" spans="1:24">
      <c r="A10666">
        <f>HYPERLINK("https://www.philgeps.gov.ph/GEPSNONPILOT/Tender/SplashBidNoticeAbstractUI.aspx?menuIndex=3&amp;refID=7029568&amp;Result=3","7029568")</f>
        <v>0</v>
      </c>
      <c r="B10666" t="s">
        <v>1032</v>
      </c>
      <c r="C10666" t="s">
        <v>13371</v>
      </c>
      <c r="E10666" t="s">
        <v>27349</v>
      </c>
      <c r="F10666" t="s">
        <v>31574</v>
      </c>
      <c r="G10666" t="s">
        <v>31582</v>
      </c>
      <c r="H10666" t="s">
        <v>31590</v>
      </c>
      <c r="I10666" t="s">
        <v>31660</v>
      </c>
      <c r="J10666" t="s">
        <v>38353</v>
      </c>
      <c r="K10666" t="s">
        <v>41185</v>
      </c>
      <c r="M10666" t="s">
        <v>42573</v>
      </c>
      <c r="N10666" t="s">
        <v>45095</v>
      </c>
      <c r="O10666" t="s">
        <v>45096</v>
      </c>
      <c r="Q10666">
        <v>0</v>
      </c>
      <c r="R10666" t="s">
        <v>45108</v>
      </c>
      <c r="S10666" t="s">
        <v>45473</v>
      </c>
      <c r="T10666" t="s">
        <v>47138</v>
      </c>
      <c r="U10666" t="s">
        <v>49811</v>
      </c>
      <c r="W10666" t="s">
        <v>42573</v>
      </c>
      <c r="X10666" t="s">
        <v>45109</v>
      </c>
    </row>
    <row r="10667" spans="1:24">
      <c r="A10667">
        <f>HYPERLINK("https://www.philgeps.gov.ph/GEPSNONPILOT/Tender/SplashBidNoticeAbstractUI.aspx?menuIndex=3&amp;refID=7029570&amp;Result=3","7029570")</f>
        <v>0</v>
      </c>
      <c r="B10667" t="s">
        <v>1503</v>
      </c>
      <c r="C10667" t="s">
        <v>13372</v>
      </c>
      <c r="D10667" t="s">
        <v>18030</v>
      </c>
      <c r="E10667" t="s">
        <v>27350</v>
      </c>
      <c r="F10667" t="s">
        <v>31574</v>
      </c>
      <c r="G10667" t="s">
        <v>31582</v>
      </c>
      <c r="H10667" t="s">
        <v>31591</v>
      </c>
      <c r="I10667" t="s">
        <v>8822</v>
      </c>
      <c r="J10667" t="s">
        <v>38354</v>
      </c>
      <c r="K10667" t="s">
        <v>41419</v>
      </c>
      <c r="M10667" t="s">
        <v>43224</v>
      </c>
      <c r="N10667" t="s">
        <v>45095</v>
      </c>
      <c r="O10667" t="s">
        <v>45096</v>
      </c>
      <c r="P10667">
        <v>0</v>
      </c>
      <c r="Q10667">
        <v>16</v>
      </c>
      <c r="R10667" t="s">
        <v>45108</v>
      </c>
      <c r="S10667" t="s">
        <v>45434</v>
      </c>
      <c r="T10667" t="s">
        <v>46966</v>
      </c>
      <c r="U10667" t="s">
        <v>56226</v>
      </c>
      <c r="V10667" t="s">
        <v>60368</v>
      </c>
      <c r="W10667" t="s">
        <v>43224</v>
      </c>
      <c r="X10667" t="s">
        <v>45109</v>
      </c>
    </row>
    <row r="10668" spans="1:24">
      <c r="A10668">
        <f>HYPERLINK("https://www.philgeps.gov.ph/GEPSNONPILOT/Tender/SplashBidNoticeAbstractUI.aspx?menuIndex=3&amp;refID=7029492&amp;Result=3","7029492")</f>
        <v>0</v>
      </c>
      <c r="B10668" t="s">
        <v>1639</v>
      </c>
      <c r="C10668" t="s">
        <v>13373</v>
      </c>
      <c r="E10668" t="s">
        <v>27351</v>
      </c>
      <c r="F10668" t="s">
        <v>31574</v>
      </c>
      <c r="G10668" t="s">
        <v>31582</v>
      </c>
      <c r="H10668" t="s">
        <v>31590</v>
      </c>
      <c r="I10668" t="s">
        <v>31594</v>
      </c>
      <c r="J10668" t="s">
        <v>38355</v>
      </c>
      <c r="K10668" t="s">
        <v>41184</v>
      </c>
      <c r="M10668" t="s">
        <v>43248</v>
      </c>
      <c r="N10668" t="s">
        <v>45095</v>
      </c>
      <c r="O10668" t="s">
        <v>45096</v>
      </c>
      <c r="P10668">
        <v>0</v>
      </c>
      <c r="Q10668">
        <v>8</v>
      </c>
      <c r="R10668" t="s">
        <v>45108</v>
      </c>
      <c r="S10668" t="s">
        <v>45434</v>
      </c>
      <c r="T10668" t="s">
        <v>46992</v>
      </c>
      <c r="U10668" t="s">
        <v>56227</v>
      </c>
      <c r="W10668" t="s">
        <v>43248</v>
      </c>
      <c r="X10668" t="s">
        <v>45109</v>
      </c>
    </row>
    <row r="10669" spans="1:24">
      <c r="A10669">
        <f>HYPERLINK("https://www.philgeps.gov.ph/GEPSNONPILOT/Tender/SplashBidNoticeAbstractUI.aspx?menuIndex=3&amp;refID=7029362&amp;Result=3","7029362")</f>
        <v>0</v>
      </c>
      <c r="B10669" t="s">
        <v>1978</v>
      </c>
      <c r="C10669" t="s">
        <v>13374</v>
      </c>
      <c r="D10669" t="s">
        <v>18079</v>
      </c>
      <c r="E10669" t="s">
        <v>27352</v>
      </c>
      <c r="F10669" t="s">
        <v>31574</v>
      </c>
      <c r="G10669" t="s">
        <v>31588</v>
      </c>
      <c r="H10669" t="s">
        <v>31591</v>
      </c>
      <c r="I10669" t="s">
        <v>8822</v>
      </c>
      <c r="J10669" t="s">
        <v>38356</v>
      </c>
      <c r="K10669" t="s">
        <v>41420</v>
      </c>
      <c r="M10669" t="s">
        <v>43635</v>
      </c>
      <c r="N10669" t="s">
        <v>45095</v>
      </c>
      <c r="O10669" t="s">
        <v>45096</v>
      </c>
      <c r="Q10669">
        <v>2</v>
      </c>
      <c r="R10669" t="s">
        <v>45108</v>
      </c>
      <c r="S10669" t="s">
        <v>45335</v>
      </c>
      <c r="T10669" t="s">
        <v>46926</v>
      </c>
      <c r="U10669" t="s">
        <v>49578</v>
      </c>
      <c r="W10669" t="s">
        <v>43635</v>
      </c>
      <c r="X10669" t="s">
        <v>45109</v>
      </c>
    </row>
    <row r="10670" spans="1:24">
      <c r="A10670">
        <f>HYPERLINK("https://www.philgeps.gov.ph/GEPSNONPILOT/Tender/SplashBidNoticeAbstractUI.aspx?menuIndex=3&amp;refID=7029487&amp;Result=3","7029487")</f>
        <v>0</v>
      </c>
      <c r="B10670" t="s">
        <v>1639</v>
      </c>
      <c r="C10670" t="s">
        <v>13375</v>
      </c>
      <c r="E10670" t="s">
        <v>27353</v>
      </c>
      <c r="F10670" t="s">
        <v>31574</v>
      </c>
      <c r="G10670" t="s">
        <v>31582</v>
      </c>
      <c r="H10670" t="s">
        <v>31590</v>
      </c>
      <c r="I10670" t="s">
        <v>31599</v>
      </c>
      <c r="J10670" t="s">
        <v>38357</v>
      </c>
      <c r="K10670" t="s">
        <v>41184</v>
      </c>
      <c r="M10670" t="s">
        <v>43248</v>
      </c>
      <c r="N10670" t="s">
        <v>45095</v>
      </c>
      <c r="O10670" t="s">
        <v>45096</v>
      </c>
      <c r="P10670">
        <v>0</v>
      </c>
      <c r="Q10670">
        <v>2</v>
      </c>
      <c r="R10670" t="s">
        <v>45108</v>
      </c>
      <c r="S10670" t="s">
        <v>45434</v>
      </c>
      <c r="T10670" t="s">
        <v>46992</v>
      </c>
      <c r="U10670" t="s">
        <v>56228</v>
      </c>
      <c r="W10670" t="s">
        <v>43248</v>
      </c>
      <c r="X10670" t="s">
        <v>45109</v>
      </c>
    </row>
    <row r="10671" spans="1:24">
      <c r="A10671">
        <f>HYPERLINK("https://www.philgeps.gov.ph/GEPSNONPILOT/Tender/SplashBidNoticeAbstractUI.aspx?menuIndex=3&amp;refID=7029567&amp;Result=3","7029567")</f>
        <v>0</v>
      </c>
      <c r="B10671" t="s">
        <v>889</v>
      </c>
      <c r="C10671" t="s">
        <v>13376</v>
      </c>
      <c r="D10671" t="s">
        <v>18023</v>
      </c>
      <c r="E10671" t="s">
        <v>27354</v>
      </c>
      <c r="F10671" t="s">
        <v>31574</v>
      </c>
      <c r="G10671" t="s">
        <v>31582</v>
      </c>
      <c r="H10671" t="s">
        <v>31590</v>
      </c>
      <c r="I10671" t="s">
        <v>31615</v>
      </c>
      <c r="J10671" t="s">
        <v>38358</v>
      </c>
      <c r="K10671" t="s">
        <v>41189</v>
      </c>
      <c r="M10671" t="s">
        <v>42411</v>
      </c>
      <c r="N10671" t="s">
        <v>45095</v>
      </c>
      <c r="O10671" t="s">
        <v>45096</v>
      </c>
      <c r="P10671">
        <v>0</v>
      </c>
      <c r="Q10671">
        <v>11</v>
      </c>
      <c r="R10671" t="s">
        <v>45108</v>
      </c>
      <c r="S10671" t="s">
        <v>45434</v>
      </c>
      <c r="T10671" t="s">
        <v>47011</v>
      </c>
      <c r="U10671" t="s">
        <v>56229</v>
      </c>
      <c r="W10671" t="s">
        <v>42411</v>
      </c>
      <c r="X10671" t="s">
        <v>45109</v>
      </c>
    </row>
    <row r="10672" spans="1:24">
      <c r="A10672">
        <f>HYPERLINK("https://www.philgeps.gov.ph/GEPSNONPILOT/Tender/SplashBidNoticeAbstractUI.aspx?menuIndex=3&amp;refID=7029572&amp;Result=3","7029572")</f>
        <v>0</v>
      </c>
      <c r="B10672" t="s">
        <v>2437</v>
      </c>
      <c r="C10672" t="s">
        <v>13377</v>
      </c>
      <c r="D10672" t="s">
        <v>18079</v>
      </c>
      <c r="E10672" t="s">
        <v>27355</v>
      </c>
      <c r="F10672" t="s">
        <v>31574</v>
      </c>
      <c r="G10672" t="s">
        <v>31588</v>
      </c>
      <c r="H10672" t="s">
        <v>31591</v>
      </c>
      <c r="I10672" t="s">
        <v>8822</v>
      </c>
      <c r="J10672" t="s">
        <v>32523</v>
      </c>
      <c r="K10672" t="s">
        <v>41192</v>
      </c>
      <c r="M10672" t="s">
        <v>44164</v>
      </c>
      <c r="N10672" t="s">
        <v>45095</v>
      </c>
      <c r="O10672" t="s">
        <v>45096</v>
      </c>
      <c r="P10672">
        <v>0</v>
      </c>
      <c r="Q10672">
        <v>1</v>
      </c>
      <c r="R10672" t="s">
        <v>45108</v>
      </c>
      <c r="S10672" t="s">
        <v>45434</v>
      </c>
      <c r="T10672" t="s">
        <v>47000</v>
      </c>
      <c r="U10672" t="s">
        <v>56230</v>
      </c>
      <c r="W10672" t="s">
        <v>44164</v>
      </c>
      <c r="X10672" t="s">
        <v>45109</v>
      </c>
    </row>
    <row r="10673" spans="1:24">
      <c r="A10673">
        <f>HYPERLINK("https://www.philgeps.gov.ph/GEPSNONPILOT/Tender/SplashBidNoticeAbstractUI.aspx?menuIndex=3&amp;refID=7029566&amp;Result=3","7029566")</f>
        <v>0</v>
      </c>
      <c r="B10673" t="s">
        <v>1032</v>
      </c>
      <c r="C10673" t="s">
        <v>13378</v>
      </c>
      <c r="E10673" t="s">
        <v>27356</v>
      </c>
      <c r="F10673" t="s">
        <v>31574</v>
      </c>
      <c r="G10673" t="s">
        <v>31582</v>
      </c>
      <c r="H10673" t="s">
        <v>31590</v>
      </c>
      <c r="I10673" t="s">
        <v>31660</v>
      </c>
      <c r="J10673" t="s">
        <v>38359</v>
      </c>
      <c r="K10673" t="s">
        <v>41185</v>
      </c>
      <c r="M10673" t="s">
        <v>42573</v>
      </c>
      <c r="N10673" t="s">
        <v>45095</v>
      </c>
      <c r="O10673" t="s">
        <v>45096</v>
      </c>
      <c r="Q10673">
        <v>1</v>
      </c>
      <c r="R10673" t="s">
        <v>45108</v>
      </c>
      <c r="S10673" t="s">
        <v>45474</v>
      </c>
      <c r="T10673" t="s">
        <v>46977</v>
      </c>
      <c r="U10673" t="s">
        <v>49811</v>
      </c>
      <c r="W10673" t="s">
        <v>42573</v>
      </c>
      <c r="X10673" t="s">
        <v>45109</v>
      </c>
    </row>
    <row r="10674" spans="1:24">
      <c r="A10674">
        <f>HYPERLINK("https://www.philgeps.gov.ph/GEPSNONPILOT/Tender/SplashBidNoticeAbstractUI.aspx?menuIndex=3&amp;refID=7029495&amp;Result=3","7029495")</f>
        <v>0</v>
      </c>
      <c r="B10674" t="s">
        <v>2240</v>
      </c>
      <c r="C10674" t="s">
        <v>13379</v>
      </c>
      <c r="D10674" t="s">
        <v>18041</v>
      </c>
      <c r="E10674" t="s">
        <v>27357</v>
      </c>
      <c r="F10674" t="s">
        <v>31574</v>
      </c>
      <c r="G10674" t="s">
        <v>31582</v>
      </c>
      <c r="H10674" t="s">
        <v>31590</v>
      </c>
      <c r="I10674" t="s">
        <v>31600</v>
      </c>
      <c r="J10674" t="s">
        <v>38360</v>
      </c>
      <c r="K10674" t="s">
        <v>41191</v>
      </c>
      <c r="M10674" t="s">
        <v>43937</v>
      </c>
      <c r="N10674" t="s">
        <v>45095</v>
      </c>
      <c r="O10674" t="s">
        <v>45096</v>
      </c>
      <c r="P10674">
        <v>0</v>
      </c>
      <c r="Q10674">
        <v>0</v>
      </c>
      <c r="R10674" t="s">
        <v>45108</v>
      </c>
      <c r="S10674" t="s">
        <v>45434</v>
      </c>
      <c r="T10674" t="s">
        <v>47124</v>
      </c>
      <c r="U10674" t="s">
        <v>55735</v>
      </c>
      <c r="W10674" t="s">
        <v>43937</v>
      </c>
      <c r="X10674" t="s">
        <v>45109</v>
      </c>
    </row>
    <row r="10675" spans="1:24">
      <c r="A10675">
        <f>HYPERLINK("https://www.philgeps.gov.ph/GEPSNONPILOT/Tender/SplashBidNoticeAbstractUI.aspx?menuIndex=3&amp;refID=7029573&amp;Result=3","7029573")</f>
        <v>0</v>
      </c>
      <c r="B10675" t="s">
        <v>2773</v>
      </c>
      <c r="C10675" t="s">
        <v>13380</v>
      </c>
      <c r="D10675" t="s">
        <v>18072</v>
      </c>
      <c r="E10675" t="s">
        <v>27358</v>
      </c>
      <c r="F10675" t="s">
        <v>31574</v>
      </c>
      <c r="G10675" t="s">
        <v>31582</v>
      </c>
      <c r="H10675" t="s">
        <v>31591</v>
      </c>
      <c r="I10675" t="s">
        <v>8822</v>
      </c>
      <c r="J10675" t="s">
        <v>38361</v>
      </c>
      <c r="K10675" t="s">
        <v>41189</v>
      </c>
      <c r="M10675" t="s">
        <v>44548</v>
      </c>
      <c r="N10675" t="s">
        <v>45095</v>
      </c>
      <c r="O10675" t="s">
        <v>45096</v>
      </c>
      <c r="P10675">
        <v>0</v>
      </c>
      <c r="Q10675">
        <v>0</v>
      </c>
      <c r="R10675" t="s">
        <v>45108</v>
      </c>
      <c r="S10675" t="s">
        <v>45434</v>
      </c>
      <c r="T10675" t="s">
        <v>47076</v>
      </c>
      <c r="U10675" t="s">
        <v>56231</v>
      </c>
      <c r="W10675" t="s">
        <v>44548</v>
      </c>
      <c r="X10675" t="s">
        <v>45109</v>
      </c>
    </row>
    <row r="10676" spans="1:24">
      <c r="A10676">
        <f>HYPERLINK("https://www.philgeps.gov.ph/GEPSNONPILOT/Tender/SplashBidNoticeAbstractUI.aspx?menuIndex=3&amp;refID=7029552&amp;Result=3","7029552")</f>
        <v>0</v>
      </c>
      <c r="B10676" t="s">
        <v>1503</v>
      </c>
      <c r="C10676" t="s">
        <v>13381</v>
      </c>
      <c r="D10676" t="s">
        <v>18030</v>
      </c>
      <c r="E10676" t="s">
        <v>27359</v>
      </c>
      <c r="F10676" t="s">
        <v>31574</v>
      </c>
      <c r="G10676" t="s">
        <v>31582</v>
      </c>
      <c r="H10676" t="s">
        <v>31591</v>
      </c>
      <c r="I10676" t="s">
        <v>8822</v>
      </c>
      <c r="J10676" t="s">
        <v>38362</v>
      </c>
      <c r="K10676" t="s">
        <v>41200</v>
      </c>
      <c r="M10676" t="s">
        <v>43224</v>
      </c>
      <c r="N10676" t="s">
        <v>45095</v>
      </c>
      <c r="O10676" t="s">
        <v>45096</v>
      </c>
      <c r="P10676">
        <v>0</v>
      </c>
      <c r="Q10676">
        <v>42</v>
      </c>
      <c r="R10676" t="s">
        <v>45108</v>
      </c>
      <c r="S10676" t="s">
        <v>45434</v>
      </c>
      <c r="T10676" t="s">
        <v>46966</v>
      </c>
      <c r="U10676" t="s">
        <v>51536</v>
      </c>
      <c r="V10676" t="s">
        <v>60368</v>
      </c>
      <c r="W10676" t="s">
        <v>43224</v>
      </c>
      <c r="X10676" t="s">
        <v>45109</v>
      </c>
    </row>
    <row r="10677" spans="1:24">
      <c r="A10677">
        <f>HYPERLINK("https://www.philgeps.gov.ph/GEPSNONPILOT/Tender/SplashBidNoticeAbstractUI.aspx?menuIndex=3&amp;refID=7029562&amp;Result=3","7029562")</f>
        <v>0</v>
      </c>
      <c r="B10677" t="s">
        <v>1503</v>
      </c>
      <c r="C10677" t="s">
        <v>13382</v>
      </c>
      <c r="D10677" t="s">
        <v>18030</v>
      </c>
      <c r="E10677" t="s">
        <v>27360</v>
      </c>
      <c r="F10677" t="s">
        <v>31574</v>
      </c>
      <c r="G10677" t="s">
        <v>31582</v>
      </c>
      <c r="H10677" t="s">
        <v>31591</v>
      </c>
      <c r="I10677" t="s">
        <v>8822</v>
      </c>
      <c r="J10677" t="s">
        <v>38363</v>
      </c>
      <c r="K10677" t="s">
        <v>41198</v>
      </c>
      <c r="M10677" t="s">
        <v>43224</v>
      </c>
      <c r="N10677" t="s">
        <v>45095</v>
      </c>
      <c r="O10677" t="s">
        <v>45096</v>
      </c>
      <c r="P10677">
        <v>0</v>
      </c>
      <c r="Q10677">
        <v>17</v>
      </c>
      <c r="R10677" t="s">
        <v>45108</v>
      </c>
      <c r="S10677" t="s">
        <v>45434</v>
      </c>
      <c r="T10677" t="s">
        <v>46966</v>
      </c>
      <c r="U10677" t="s">
        <v>51531</v>
      </c>
      <c r="V10677" t="s">
        <v>60368</v>
      </c>
      <c r="W10677" t="s">
        <v>43224</v>
      </c>
      <c r="X10677" t="s">
        <v>45109</v>
      </c>
    </row>
    <row r="10678" spans="1:24">
      <c r="A10678">
        <f>HYPERLINK("https://www.philgeps.gov.ph/GEPSNONPILOT/Tender/SplashBidNoticeAbstractUI.aspx?menuIndex=3&amp;refID=7029560&amp;Result=3","7029560")</f>
        <v>0</v>
      </c>
      <c r="B10678" t="s">
        <v>1032</v>
      </c>
      <c r="C10678" t="s">
        <v>13383</v>
      </c>
      <c r="E10678" t="s">
        <v>27361</v>
      </c>
      <c r="F10678" t="s">
        <v>31574</v>
      </c>
      <c r="G10678" t="s">
        <v>31582</v>
      </c>
      <c r="H10678" t="s">
        <v>31590</v>
      </c>
      <c r="I10678" t="s">
        <v>31594</v>
      </c>
      <c r="J10678" t="s">
        <v>38364</v>
      </c>
      <c r="K10678" t="s">
        <v>41192</v>
      </c>
      <c r="M10678" t="s">
        <v>42573</v>
      </c>
      <c r="N10678" t="s">
        <v>45095</v>
      </c>
      <c r="O10678" t="s">
        <v>45096</v>
      </c>
      <c r="Q10678">
        <v>11</v>
      </c>
      <c r="R10678" t="s">
        <v>45108</v>
      </c>
      <c r="S10678" t="s">
        <v>45388</v>
      </c>
      <c r="T10678" t="s">
        <v>47000</v>
      </c>
      <c r="U10678" t="s">
        <v>49811</v>
      </c>
      <c r="W10678" t="s">
        <v>42573</v>
      </c>
      <c r="X10678" t="s">
        <v>45109</v>
      </c>
    </row>
    <row r="10679" spans="1:24">
      <c r="A10679">
        <f>HYPERLINK("https://www.philgeps.gov.ph/GEPSNONPILOT/Tender/SplashBidNoticeAbstractUI.aspx?menuIndex=3&amp;refID=7029558&amp;Result=3","7029558")</f>
        <v>0</v>
      </c>
      <c r="B10679" t="s">
        <v>1079</v>
      </c>
      <c r="C10679" t="s">
        <v>13384</v>
      </c>
      <c r="D10679" t="s">
        <v>18084</v>
      </c>
      <c r="E10679" t="s">
        <v>27362</v>
      </c>
      <c r="F10679" t="s">
        <v>31574</v>
      </c>
      <c r="G10679" t="s">
        <v>31581</v>
      </c>
      <c r="H10679" t="s">
        <v>31590</v>
      </c>
      <c r="I10679" t="s">
        <v>3487</v>
      </c>
      <c r="J10679" t="s">
        <v>38365</v>
      </c>
      <c r="K10679" t="s">
        <v>41196</v>
      </c>
      <c r="M10679" t="s">
        <v>43380</v>
      </c>
      <c r="N10679" t="s">
        <v>45095</v>
      </c>
      <c r="O10679" t="s">
        <v>45096</v>
      </c>
      <c r="P10679">
        <v>0</v>
      </c>
      <c r="Q10679">
        <v>4</v>
      </c>
      <c r="R10679" t="s">
        <v>45108</v>
      </c>
      <c r="S10679" t="s">
        <v>45434</v>
      </c>
      <c r="T10679" t="s">
        <v>47158</v>
      </c>
      <c r="U10679" t="s">
        <v>56232</v>
      </c>
      <c r="V10679" t="s">
        <v>60133</v>
      </c>
      <c r="W10679" t="s">
        <v>43380</v>
      </c>
      <c r="X10679" t="s">
        <v>45109</v>
      </c>
    </row>
    <row r="10680" spans="1:24">
      <c r="A10680">
        <f>HYPERLINK("https://www.philgeps.gov.ph/GEPSNONPILOT/Tender/SplashBidNoticeAbstractUI.aspx?menuIndex=3&amp;refID=7029574&amp;Result=3","7029574")</f>
        <v>0</v>
      </c>
      <c r="B10680" t="s">
        <v>1503</v>
      </c>
      <c r="C10680" t="s">
        <v>13385</v>
      </c>
      <c r="D10680" t="s">
        <v>18030</v>
      </c>
      <c r="E10680" t="s">
        <v>27363</v>
      </c>
      <c r="F10680" t="s">
        <v>31574</v>
      </c>
      <c r="G10680" t="s">
        <v>31582</v>
      </c>
      <c r="H10680" t="s">
        <v>31591</v>
      </c>
      <c r="I10680" t="s">
        <v>8822</v>
      </c>
      <c r="J10680" t="s">
        <v>38366</v>
      </c>
      <c r="K10680" t="s">
        <v>41342</v>
      </c>
      <c r="M10680" t="s">
        <v>43224</v>
      </c>
      <c r="N10680" t="s">
        <v>45095</v>
      </c>
      <c r="O10680" t="s">
        <v>45096</v>
      </c>
      <c r="P10680">
        <v>0</v>
      </c>
      <c r="Q10680">
        <v>16</v>
      </c>
      <c r="R10680" t="s">
        <v>45108</v>
      </c>
      <c r="S10680" t="s">
        <v>45434</v>
      </c>
      <c r="T10680" t="s">
        <v>46966</v>
      </c>
      <c r="U10680" t="s">
        <v>51550</v>
      </c>
      <c r="V10680" t="s">
        <v>60368</v>
      </c>
      <c r="W10680" t="s">
        <v>43224</v>
      </c>
      <c r="X10680" t="s">
        <v>45109</v>
      </c>
    </row>
    <row r="10681" spans="1:24">
      <c r="A10681">
        <f>HYPERLINK("https://www.philgeps.gov.ph/GEPSNONPILOT/Tender/SplashBidNoticeAbstractUI.aspx?menuIndex=3&amp;refID=7029547&amp;Result=3","7029547")</f>
        <v>0</v>
      </c>
      <c r="B10681" t="s">
        <v>1503</v>
      </c>
      <c r="C10681" t="s">
        <v>13386</v>
      </c>
      <c r="D10681" t="s">
        <v>18030</v>
      </c>
      <c r="E10681" t="s">
        <v>27364</v>
      </c>
      <c r="F10681" t="s">
        <v>31574</v>
      </c>
      <c r="G10681" t="s">
        <v>31582</v>
      </c>
      <c r="H10681" t="s">
        <v>31591</v>
      </c>
      <c r="I10681" t="s">
        <v>8822</v>
      </c>
      <c r="J10681" t="s">
        <v>38367</v>
      </c>
      <c r="K10681" t="s">
        <v>41189</v>
      </c>
      <c r="M10681" t="s">
        <v>43224</v>
      </c>
      <c r="N10681" t="s">
        <v>45095</v>
      </c>
      <c r="O10681" t="s">
        <v>45096</v>
      </c>
      <c r="P10681">
        <v>0</v>
      </c>
      <c r="Q10681">
        <v>27</v>
      </c>
      <c r="R10681" t="s">
        <v>45108</v>
      </c>
      <c r="S10681" t="s">
        <v>45434</v>
      </c>
      <c r="T10681" t="s">
        <v>46966</v>
      </c>
      <c r="U10681" t="s">
        <v>51532</v>
      </c>
      <c r="V10681" t="s">
        <v>60368</v>
      </c>
      <c r="W10681" t="s">
        <v>43224</v>
      </c>
      <c r="X10681" t="s">
        <v>45109</v>
      </c>
    </row>
    <row r="10682" spans="1:24">
      <c r="A10682">
        <f>HYPERLINK("https://www.philgeps.gov.ph/GEPSNONPILOT/Tender/SplashBidNoticeAbstractUI.aspx?menuIndex=3&amp;refID=7029556&amp;Result=3","7029556")</f>
        <v>0</v>
      </c>
      <c r="B10682" t="s">
        <v>1032</v>
      </c>
      <c r="C10682" t="s">
        <v>13387</v>
      </c>
      <c r="E10682" t="s">
        <v>27365</v>
      </c>
      <c r="F10682" t="s">
        <v>31574</v>
      </c>
      <c r="G10682" t="s">
        <v>31582</v>
      </c>
      <c r="H10682" t="s">
        <v>31590</v>
      </c>
      <c r="I10682" t="s">
        <v>31594</v>
      </c>
      <c r="J10682" t="s">
        <v>38368</v>
      </c>
      <c r="K10682" t="s">
        <v>41192</v>
      </c>
      <c r="M10682" t="s">
        <v>42573</v>
      </c>
      <c r="N10682" t="s">
        <v>45095</v>
      </c>
      <c r="O10682" t="s">
        <v>45096</v>
      </c>
      <c r="Q10682">
        <v>22</v>
      </c>
      <c r="R10682" t="s">
        <v>45108</v>
      </c>
      <c r="S10682" t="s">
        <v>45475</v>
      </c>
      <c r="T10682" t="s">
        <v>47010</v>
      </c>
      <c r="U10682" t="s">
        <v>49811</v>
      </c>
      <c r="W10682" t="s">
        <v>42573</v>
      </c>
      <c r="X10682" t="s">
        <v>45109</v>
      </c>
    </row>
    <row r="10683" spans="1:24">
      <c r="A10683">
        <f>HYPERLINK("https://www.philgeps.gov.ph/GEPSNONPILOT/Tender/SplashBidNoticeAbstractUI.aspx?menuIndex=3&amp;refID=7029614&amp;Result=3","7029614")</f>
        <v>0</v>
      </c>
      <c r="B10683" t="s">
        <v>877</v>
      </c>
      <c r="C10683" t="s">
        <v>13388</v>
      </c>
      <c r="D10683" t="s">
        <v>18096</v>
      </c>
      <c r="E10683" t="s">
        <v>27366</v>
      </c>
      <c r="F10683" t="s">
        <v>31574</v>
      </c>
      <c r="G10683" t="s">
        <v>31582</v>
      </c>
      <c r="H10683" t="s">
        <v>31590</v>
      </c>
      <c r="I10683" t="s">
        <v>4046</v>
      </c>
      <c r="J10683" t="s">
        <v>38369</v>
      </c>
      <c r="K10683" t="s">
        <v>41196</v>
      </c>
      <c r="M10683" t="s">
        <v>42398</v>
      </c>
      <c r="N10683" t="s">
        <v>45095</v>
      </c>
      <c r="O10683" t="s">
        <v>45096</v>
      </c>
      <c r="P10683">
        <v>0</v>
      </c>
      <c r="Q10683">
        <v>0</v>
      </c>
      <c r="R10683" t="s">
        <v>45108</v>
      </c>
      <c r="S10683" t="s">
        <v>45434</v>
      </c>
      <c r="T10683" t="s">
        <v>46988</v>
      </c>
      <c r="U10683" t="s">
        <v>56233</v>
      </c>
      <c r="W10683" t="s">
        <v>42398</v>
      </c>
      <c r="X10683" t="s">
        <v>45109</v>
      </c>
    </row>
    <row r="10684" spans="1:24">
      <c r="A10684">
        <f>HYPERLINK("https://www.philgeps.gov.ph/GEPSNONPILOT/Tender/SplashBidNoticeAbstractUI.aspx?menuIndex=3&amp;refID=7029608&amp;Result=3","7029608")</f>
        <v>0</v>
      </c>
      <c r="B10684" t="s">
        <v>877</v>
      </c>
      <c r="C10684" t="s">
        <v>13389</v>
      </c>
      <c r="D10684" t="s">
        <v>18096</v>
      </c>
      <c r="E10684" t="s">
        <v>27367</v>
      </c>
      <c r="F10684" t="s">
        <v>31574</v>
      </c>
      <c r="G10684" t="s">
        <v>31582</v>
      </c>
      <c r="H10684" t="s">
        <v>31590</v>
      </c>
      <c r="I10684" t="s">
        <v>31602</v>
      </c>
      <c r="J10684" t="s">
        <v>38370</v>
      </c>
      <c r="K10684" t="s">
        <v>41196</v>
      </c>
      <c r="M10684" t="s">
        <v>42398</v>
      </c>
      <c r="N10684" t="s">
        <v>45095</v>
      </c>
      <c r="O10684" t="s">
        <v>45096</v>
      </c>
      <c r="P10684">
        <v>0</v>
      </c>
      <c r="Q10684">
        <v>0</v>
      </c>
      <c r="R10684" t="s">
        <v>45108</v>
      </c>
      <c r="S10684" t="s">
        <v>45434</v>
      </c>
      <c r="T10684" t="s">
        <v>46988</v>
      </c>
      <c r="U10684" t="s">
        <v>56234</v>
      </c>
      <c r="W10684" t="s">
        <v>42398</v>
      </c>
      <c r="X10684" t="s">
        <v>45109</v>
      </c>
    </row>
    <row r="10685" spans="1:24">
      <c r="A10685">
        <f>HYPERLINK("https://www.philgeps.gov.ph/GEPSNONPILOT/Tender/SplashBidNoticeAbstractUI.aspx?menuIndex=3&amp;refID=7029604&amp;Result=3","7029604")</f>
        <v>0</v>
      </c>
      <c r="B10685" t="s">
        <v>877</v>
      </c>
      <c r="C10685" t="s">
        <v>13390</v>
      </c>
      <c r="D10685" t="s">
        <v>18096</v>
      </c>
      <c r="E10685" t="s">
        <v>27368</v>
      </c>
      <c r="F10685" t="s">
        <v>31574</v>
      </c>
      <c r="G10685" t="s">
        <v>31582</v>
      </c>
      <c r="H10685" t="s">
        <v>31590</v>
      </c>
      <c r="I10685" t="s">
        <v>4046</v>
      </c>
      <c r="J10685" t="s">
        <v>38371</v>
      </c>
      <c r="K10685" t="s">
        <v>41196</v>
      </c>
      <c r="M10685" t="s">
        <v>42398</v>
      </c>
      <c r="N10685" t="s">
        <v>45095</v>
      </c>
      <c r="O10685" t="s">
        <v>45096</v>
      </c>
      <c r="P10685">
        <v>0</v>
      </c>
      <c r="Q10685">
        <v>1</v>
      </c>
      <c r="R10685" t="s">
        <v>45108</v>
      </c>
      <c r="S10685" t="s">
        <v>45434</v>
      </c>
      <c r="T10685" t="s">
        <v>46988</v>
      </c>
      <c r="U10685" t="s">
        <v>56234</v>
      </c>
      <c r="W10685" t="s">
        <v>42398</v>
      </c>
      <c r="X10685" t="s">
        <v>45109</v>
      </c>
    </row>
    <row r="10686" spans="1:24">
      <c r="A10686">
        <f>HYPERLINK("https://www.philgeps.gov.ph/GEPSNONPILOT/Tender/SplashBidNoticeAbstractUI.aspx?menuIndex=3&amp;refID=7029583&amp;Result=3","7029583")</f>
        <v>0</v>
      </c>
      <c r="B10686" t="s">
        <v>2774</v>
      </c>
      <c r="C10686" t="s">
        <v>12619</v>
      </c>
      <c r="D10686" t="s">
        <v>18030</v>
      </c>
      <c r="E10686" t="s">
        <v>18607</v>
      </c>
      <c r="F10686" t="s">
        <v>31575</v>
      </c>
      <c r="G10686" t="s">
        <v>31582</v>
      </c>
      <c r="H10686" t="s">
        <v>31592</v>
      </c>
      <c r="I10686" t="s">
        <v>31623</v>
      </c>
      <c r="J10686" t="s">
        <v>38372</v>
      </c>
      <c r="K10686" t="s">
        <v>41212</v>
      </c>
      <c r="M10686" t="s">
        <v>44549</v>
      </c>
      <c r="N10686" t="s">
        <v>45095</v>
      </c>
      <c r="O10686" t="s">
        <v>45096</v>
      </c>
      <c r="P10686">
        <v>0</v>
      </c>
      <c r="Q10686">
        <v>0</v>
      </c>
      <c r="R10686" t="s">
        <v>45108</v>
      </c>
      <c r="S10686" t="s">
        <v>45434</v>
      </c>
      <c r="T10686" t="s">
        <v>46946</v>
      </c>
      <c r="U10686" t="s">
        <v>56235</v>
      </c>
      <c r="W10686" t="s">
        <v>44549</v>
      </c>
      <c r="X10686" t="s">
        <v>45109</v>
      </c>
    </row>
    <row r="10687" spans="1:24">
      <c r="A10687">
        <f>HYPERLINK("https://www.philgeps.gov.ph/GEPSNONPILOT/Tender/SplashBidNoticeAbstractUI.aspx?menuIndex=3&amp;refID=7029584&amp;Result=3","7029584")</f>
        <v>0</v>
      </c>
      <c r="B10687" t="s">
        <v>753</v>
      </c>
      <c r="C10687" t="s">
        <v>13391</v>
      </c>
      <c r="D10687" t="s">
        <v>18073</v>
      </c>
      <c r="E10687" t="s">
        <v>27369</v>
      </c>
      <c r="F10687" t="s">
        <v>31574</v>
      </c>
      <c r="G10687" t="s">
        <v>31582</v>
      </c>
      <c r="H10687" t="s">
        <v>31591</v>
      </c>
      <c r="I10687" t="s">
        <v>8822</v>
      </c>
      <c r="J10687" t="s">
        <v>38373</v>
      </c>
      <c r="K10687" t="s">
        <v>41217</v>
      </c>
      <c r="M10687" t="s">
        <v>44079</v>
      </c>
      <c r="N10687" t="s">
        <v>45095</v>
      </c>
      <c r="O10687" t="s">
        <v>45096</v>
      </c>
      <c r="P10687">
        <v>0</v>
      </c>
      <c r="Q10687">
        <v>6</v>
      </c>
      <c r="R10687" t="s">
        <v>45108</v>
      </c>
      <c r="S10687" t="s">
        <v>45434</v>
      </c>
      <c r="T10687" t="s">
        <v>47106</v>
      </c>
      <c r="U10687" t="s">
        <v>56236</v>
      </c>
      <c r="W10687" t="s">
        <v>61736</v>
      </c>
      <c r="X10687" t="s">
        <v>45109</v>
      </c>
    </row>
    <row r="10688" spans="1:24">
      <c r="A10688">
        <f>HYPERLINK("https://www.philgeps.gov.ph/GEPSNONPILOT/Tender/SplashBidNoticeAbstractUI.aspx?menuIndex=3&amp;refID=7029594&amp;Result=3","7029594")</f>
        <v>0</v>
      </c>
      <c r="B10688" t="s">
        <v>753</v>
      </c>
      <c r="C10688" t="s">
        <v>13392</v>
      </c>
      <c r="D10688" t="s">
        <v>18073</v>
      </c>
      <c r="E10688" t="s">
        <v>27370</v>
      </c>
      <c r="F10688" t="s">
        <v>31574</v>
      </c>
      <c r="G10688" t="s">
        <v>31582</v>
      </c>
      <c r="H10688" t="s">
        <v>31591</v>
      </c>
      <c r="I10688" t="s">
        <v>8822</v>
      </c>
      <c r="J10688" t="s">
        <v>38374</v>
      </c>
      <c r="K10688" t="s">
        <v>41283</v>
      </c>
      <c r="M10688" t="s">
        <v>44079</v>
      </c>
      <c r="N10688" t="s">
        <v>45095</v>
      </c>
      <c r="O10688" t="s">
        <v>45096</v>
      </c>
      <c r="P10688">
        <v>0</v>
      </c>
      <c r="Q10688">
        <v>6</v>
      </c>
      <c r="R10688" t="s">
        <v>45108</v>
      </c>
      <c r="S10688" t="s">
        <v>45434</v>
      </c>
      <c r="T10688" t="s">
        <v>47134</v>
      </c>
      <c r="U10688" t="s">
        <v>54475</v>
      </c>
      <c r="W10688" t="s">
        <v>61736</v>
      </c>
      <c r="X10688" t="s">
        <v>45109</v>
      </c>
    </row>
    <row r="10689" spans="1:24">
      <c r="A10689">
        <f>HYPERLINK("https://www.philgeps.gov.ph/GEPSNONPILOT/Tender/SplashBidNoticeAbstractUI.aspx?menuIndex=3&amp;refID=7029579&amp;Result=3","7029579")</f>
        <v>0</v>
      </c>
      <c r="B10689" t="s">
        <v>2215</v>
      </c>
      <c r="C10689" t="s">
        <v>13393</v>
      </c>
      <c r="E10689" t="s">
        <v>27371</v>
      </c>
      <c r="F10689" t="s">
        <v>31574</v>
      </c>
      <c r="G10689" t="s">
        <v>31582</v>
      </c>
      <c r="H10689" t="s">
        <v>31590</v>
      </c>
      <c r="I10689" t="s">
        <v>4327</v>
      </c>
      <c r="J10689" t="s">
        <v>31819</v>
      </c>
      <c r="K10689" t="s">
        <v>41184</v>
      </c>
      <c r="M10689" t="s">
        <v>43906</v>
      </c>
      <c r="N10689" t="s">
        <v>45095</v>
      </c>
      <c r="O10689" t="s">
        <v>45096</v>
      </c>
      <c r="P10689">
        <v>0</v>
      </c>
      <c r="Q10689">
        <v>1</v>
      </c>
      <c r="R10689" t="s">
        <v>45108</v>
      </c>
      <c r="S10689" t="s">
        <v>45434</v>
      </c>
      <c r="T10689" t="s">
        <v>47084</v>
      </c>
      <c r="U10689" t="s">
        <v>56237</v>
      </c>
      <c r="W10689" t="s">
        <v>43906</v>
      </c>
      <c r="X10689" t="s">
        <v>45109</v>
      </c>
    </row>
    <row r="10690" spans="1:24">
      <c r="A10690">
        <f>HYPERLINK("https://www.philgeps.gov.ph/GEPSNONPILOT/Tender/SplashBidNoticeAbstractUI.aspx?menuIndex=3&amp;refID=7029682&amp;Result=3","7029682")</f>
        <v>0</v>
      </c>
      <c r="B10690" t="s">
        <v>2775</v>
      </c>
      <c r="C10690" t="s">
        <v>13394</v>
      </c>
      <c r="D10690" t="s">
        <v>18024</v>
      </c>
      <c r="E10690" t="s">
        <v>27372</v>
      </c>
      <c r="F10690" t="s">
        <v>31574</v>
      </c>
      <c r="G10690" t="s">
        <v>31582</v>
      </c>
      <c r="H10690" t="s">
        <v>31591</v>
      </c>
      <c r="I10690" t="s">
        <v>8822</v>
      </c>
      <c r="J10690" t="s">
        <v>38375</v>
      </c>
      <c r="K10690" t="s">
        <v>41198</v>
      </c>
      <c r="M10690" t="s">
        <v>44550</v>
      </c>
      <c r="N10690" t="s">
        <v>45095</v>
      </c>
      <c r="O10690" t="s">
        <v>45096</v>
      </c>
      <c r="P10690">
        <v>0</v>
      </c>
      <c r="Q10690">
        <v>6</v>
      </c>
      <c r="R10690" t="s">
        <v>45108</v>
      </c>
      <c r="S10690" t="s">
        <v>45434</v>
      </c>
      <c r="T10690" t="s">
        <v>47010</v>
      </c>
      <c r="U10690" t="s">
        <v>56238</v>
      </c>
      <c r="W10690" t="s">
        <v>44550</v>
      </c>
      <c r="X10690" t="s">
        <v>45109</v>
      </c>
    </row>
    <row r="10691" spans="1:24">
      <c r="A10691">
        <f>HYPERLINK("https://www.philgeps.gov.ph/GEPSNONPILOT/Tender/SplashBidNoticeAbstractUI.aspx?menuIndex=3&amp;refID=7029645&amp;Result=3","7029645")</f>
        <v>0</v>
      </c>
      <c r="B10691" t="s">
        <v>2337</v>
      </c>
      <c r="C10691" t="s">
        <v>13395</v>
      </c>
      <c r="D10691" t="s">
        <v>18084</v>
      </c>
      <c r="E10691" t="s">
        <v>27373</v>
      </c>
      <c r="F10691" t="s">
        <v>31574</v>
      </c>
      <c r="G10691" t="s">
        <v>31583</v>
      </c>
      <c r="H10691" t="s">
        <v>31590</v>
      </c>
      <c r="I10691" t="s">
        <v>8258</v>
      </c>
      <c r="J10691" t="s">
        <v>38376</v>
      </c>
      <c r="K10691" t="s">
        <v>41184</v>
      </c>
      <c r="M10691" t="s">
        <v>44047</v>
      </c>
      <c r="N10691" t="s">
        <v>45095</v>
      </c>
      <c r="O10691" t="s">
        <v>45096</v>
      </c>
      <c r="P10691">
        <v>0</v>
      </c>
      <c r="Q10691">
        <v>23</v>
      </c>
      <c r="R10691" t="s">
        <v>45108</v>
      </c>
      <c r="S10691" t="s">
        <v>45434</v>
      </c>
      <c r="T10691" t="s">
        <v>47162</v>
      </c>
      <c r="U10691" t="s">
        <v>56239</v>
      </c>
      <c r="V10691" t="s">
        <v>60711</v>
      </c>
      <c r="W10691" t="s">
        <v>44047</v>
      </c>
      <c r="X10691" t="s">
        <v>45109</v>
      </c>
    </row>
    <row r="10692" spans="1:24">
      <c r="A10692">
        <f>HYPERLINK("https://www.philgeps.gov.ph/GEPSNONPILOT/Tender/SplashBidNoticeAbstractUI.aspx?menuIndex=3&amp;refID=7029668&amp;Result=3","7029668")</f>
        <v>0</v>
      </c>
      <c r="B10692" t="s">
        <v>920</v>
      </c>
      <c r="C10692" t="s">
        <v>13396</v>
      </c>
      <c r="D10692" t="s">
        <v>18031</v>
      </c>
      <c r="E10692" t="s">
        <v>27374</v>
      </c>
      <c r="F10692" t="s">
        <v>31574</v>
      </c>
      <c r="G10692" t="s">
        <v>31582</v>
      </c>
      <c r="H10692" t="s">
        <v>31590</v>
      </c>
      <c r="I10692" t="s">
        <v>31640</v>
      </c>
      <c r="J10692" t="s">
        <v>38377</v>
      </c>
      <c r="K10692" t="s">
        <v>41186</v>
      </c>
      <c r="M10692" t="s">
        <v>42446</v>
      </c>
      <c r="N10692" t="s">
        <v>45095</v>
      </c>
      <c r="O10692" t="s">
        <v>45096</v>
      </c>
      <c r="Q10692">
        <v>13</v>
      </c>
      <c r="R10692" t="s">
        <v>45108</v>
      </c>
      <c r="S10692" t="s">
        <v>45476</v>
      </c>
      <c r="T10692" t="s">
        <v>47101</v>
      </c>
      <c r="U10692" t="s">
        <v>56240</v>
      </c>
      <c r="W10692" t="s">
        <v>42446</v>
      </c>
      <c r="X10692" t="s">
        <v>45109</v>
      </c>
    </row>
    <row r="10693" spans="1:24">
      <c r="A10693">
        <f>HYPERLINK("https://www.philgeps.gov.ph/GEPSNONPILOT/Tender/SplashBidNoticeAbstractUI.aspx?menuIndex=3&amp;refID=7029651&amp;Result=3","7029651")</f>
        <v>0</v>
      </c>
      <c r="B10693" t="s">
        <v>2776</v>
      </c>
      <c r="C10693" t="s">
        <v>13397</v>
      </c>
      <c r="D10693" t="s">
        <v>18092</v>
      </c>
      <c r="E10693" t="s">
        <v>27375</v>
      </c>
      <c r="F10693" t="s">
        <v>31574</v>
      </c>
      <c r="G10693" t="s">
        <v>31582</v>
      </c>
      <c r="H10693" t="s">
        <v>31591</v>
      </c>
      <c r="I10693" t="s">
        <v>8822</v>
      </c>
      <c r="J10693" t="s">
        <v>37101</v>
      </c>
      <c r="K10693" t="s">
        <v>41192</v>
      </c>
      <c r="M10693" t="s">
        <v>44551</v>
      </c>
      <c r="N10693" t="s">
        <v>45095</v>
      </c>
      <c r="O10693" t="s">
        <v>45096</v>
      </c>
      <c r="P10693">
        <v>0</v>
      </c>
      <c r="Q10693">
        <v>0</v>
      </c>
      <c r="R10693" t="s">
        <v>45108</v>
      </c>
      <c r="S10693" t="s">
        <v>45434</v>
      </c>
      <c r="T10693" t="s">
        <v>46966</v>
      </c>
      <c r="U10693" t="s">
        <v>56241</v>
      </c>
      <c r="W10693" t="s">
        <v>44551</v>
      </c>
      <c r="X10693" t="s">
        <v>45109</v>
      </c>
    </row>
    <row r="10694" spans="1:24">
      <c r="A10694">
        <f>HYPERLINK("https://www.philgeps.gov.ph/GEPSNONPILOT/Tender/SplashBidNoticeAbstractUI.aspx?menuIndex=3&amp;refID=7029625&amp;Result=3","7029625")</f>
        <v>0</v>
      </c>
      <c r="B10694" t="s">
        <v>2337</v>
      </c>
      <c r="C10694" t="s">
        <v>13398</v>
      </c>
      <c r="D10694" t="s">
        <v>18084</v>
      </c>
      <c r="E10694" t="s">
        <v>27376</v>
      </c>
      <c r="F10694" t="s">
        <v>31574</v>
      </c>
      <c r="G10694" t="s">
        <v>31583</v>
      </c>
      <c r="H10694" t="s">
        <v>31590</v>
      </c>
      <c r="I10694" t="s">
        <v>31594</v>
      </c>
      <c r="J10694" t="s">
        <v>31728</v>
      </c>
      <c r="K10694" t="s">
        <v>41184</v>
      </c>
      <c r="M10694" t="s">
        <v>44047</v>
      </c>
      <c r="N10694" t="s">
        <v>45095</v>
      </c>
      <c r="O10694" t="s">
        <v>45096</v>
      </c>
      <c r="P10694">
        <v>0</v>
      </c>
      <c r="Q10694">
        <v>14</v>
      </c>
      <c r="R10694" t="s">
        <v>45108</v>
      </c>
      <c r="S10694" t="s">
        <v>45434</v>
      </c>
      <c r="T10694" t="s">
        <v>47162</v>
      </c>
      <c r="U10694" t="s">
        <v>56242</v>
      </c>
      <c r="V10694" t="s">
        <v>60711</v>
      </c>
      <c r="W10694" t="s">
        <v>44047</v>
      </c>
      <c r="X10694" t="s">
        <v>45109</v>
      </c>
    </row>
    <row r="10695" spans="1:24">
      <c r="A10695">
        <f>HYPERLINK("https://www.philgeps.gov.ph/GEPSNONPILOT/Tender/SplashBidNoticeAbstractUI.aspx?menuIndex=3&amp;refID=7029580&amp;Result=3","7029580")</f>
        <v>0</v>
      </c>
      <c r="B10695" t="s">
        <v>2437</v>
      </c>
      <c r="C10695" t="s">
        <v>13399</v>
      </c>
      <c r="D10695" t="s">
        <v>18079</v>
      </c>
      <c r="E10695" t="s">
        <v>27377</v>
      </c>
      <c r="F10695" t="s">
        <v>31574</v>
      </c>
      <c r="G10695" t="s">
        <v>31588</v>
      </c>
      <c r="H10695" t="s">
        <v>31590</v>
      </c>
      <c r="I10695" t="s">
        <v>8258</v>
      </c>
      <c r="J10695" t="s">
        <v>38378</v>
      </c>
      <c r="K10695" t="s">
        <v>41196</v>
      </c>
      <c r="M10695" t="s">
        <v>44164</v>
      </c>
      <c r="N10695" t="s">
        <v>45095</v>
      </c>
      <c r="O10695" t="s">
        <v>45096</v>
      </c>
      <c r="P10695">
        <v>0</v>
      </c>
      <c r="Q10695">
        <v>5</v>
      </c>
      <c r="R10695" t="s">
        <v>45108</v>
      </c>
      <c r="S10695" t="s">
        <v>45434</v>
      </c>
      <c r="T10695" t="s">
        <v>47000</v>
      </c>
      <c r="U10695" t="s">
        <v>56243</v>
      </c>
      <c r="W10695" t="s">
        <v>44164</v>
      </c>
      <c r="X10695" t="s">
        <v>45109</v>
      </c>
    </row>
    <row r="10696" spans="1:24">
      <c r="A10696">
        <f>HYPERLINK("https://www.philgeps.gov.ph/GEPSNONPILOT/Tender/SplashBidNoticeAbstractUI.aspx?menuIndex=3&amp;refID=7029629&amp;Result=3","7029629")</f>
        <v>0</v>
      </c>
      <c r="B10696" t="s">
        <v>2777</v>
      </c>
      <c r="C10696" t="s">
        <v>13400</v>
      </c>
      <c r="D10696" t="s">
        <v>18100</v>
      </c>
      <c r="E10696" t="s">
        <v>27378</v>
      </c>
      <c r="F10696" t="s">
        <v>31574</v>
      </c>
      <c r="G10696" t="s">
        <v>31582</v>
      </c>
      <c r="H10696" t="s">
        <v>31591</v>
      </c>
      <c r="I10696" t="s">
        <v>8822</v>
      </c>
      <c r="J10696" t="s">
        <v>38379</v>
      </c>
      <c r="K10696" t="s">
        <v>41336</v>
      </c>
      <c r="M10696" t="s">
        <v>44552</v>
      </c>
      <c r="N10696" t="s">
        <v>45095</v>
      </c>
      <c r="O10696" t="s">
        <v>45096</v>
      </c>
      <c r="P10696">
        <v>0</v>
      </c>
      <c r="Q10696">
        <v>7</v>
      </c>
      <c r="R10696" t="s">
        <v>45108</v>
      </c>
      <c r="S10696" t="s">
        <v>45434</v>
      </c>
      <c r="T10696" t="s">
        <v>47000</v>
      </c>
      <c r="U10696" t="s">
        <v>56244</v>
      </c>
      <c r="V10696" t="s">
        <v>60971</v>
      </c>
      <c r="W10696" t="s">
        <v>44552</v>
      </c>
      <c r="X10696" t="s">
        <v>45109</v>
      </c>
    </row>
    <row r="10697" spans="1:24">
      <c r="A10697">
        <f>HYPERLINK("https://www.philgeps.gov.ph/GEPSNONPILOT/Tender/SplashBidNoticeAbstractUI.aspx?menuIndex=3&amp;refID=7029698&amp;Result=3","7029698")</f>
        <v>0</v>
      </c>
      <c r="B10697" t="s">
        <v>2650</v>
      </c>
      <c r="C10697" t="s">
        <v>13401</v>
      </c>
      <c r="D10697" t="s">
        <v>18041</v>
      </c>
      <c r="E10697" t="s">
        <v>27379</v>
      </c>
      <c r="F10697" t="s">
        <v>31574</v>
      </c>
      <c r="G10697" t="s">
        <v>31582</v>
      </c>
      <c r="H10697" t="s">
        <v>31590</v>
      </c>
      <c r="I10697" t="s">
        <v>3520</v>
      </c>
      <c r="J10697" t="s">
        <v>32007</v>
      </c>
      <c r="K10697" t="s">
        <v>41213</v>
      </c>
      <c r="M10697" t="s">
        <v>44408</v>
      </c>
      <c r="N10697" t="s">
        <v>45095</v>
      </c>
      <c r="O10697" t="s">
        <v>45096</v>
      </c>
      <c r="P10697">
        <v>0</v>
      </c>
      <c r="Q10697">
        <v>0</v>
      </c>
      <c r="R10697" t="s">
        <v>45108</v>
      </c>
      <c r="S10697" t="s">
        <v>45434</v>
      </c>
      <c r="T10697" t="s">
        <v>46914</v>
      </c>
      <c r="U10697" t="s">
        <v>56245</v>
      </c>
      <c r="W10697" t="s">
        <v>44408</v>
      </c>
      <c r="X10697" t="s">
        <v>45109</v>
      </c>
    </row>
    <row r="10698" spans="1:24">
      <c r="A10698">
        <f>HYPERLINK("https://www.philgeps.gov.ph/GEPSNONPILOT/Tender/SplashBidNoticeAbstractUI.aspx?menuIndex=3&amp;refID=7029685&amp;Result=3","7029685")</f>
        <v>0</v>
      </c>
      <c r="B10698" t="s">
        <v>2650</v>
      </c>
      <c r="C10698" t="s">
        <v>13402</v>
      </c>
      <c r="D10698" t="s">
        <v>18041</v>
      </c>
      <c r="E10698" t="s">
        <v>27379</v>
      </c>
      <c r="F10698" t="s">
        <v>31574</v>
      </c>
      <c r="G10698" t="s">
        <v>31582</v>
      </c>
      <c r="H10698" t="s">
        <v>31590</v>
      </c>
      <c r="I10698" t="s">
        <v>3520</v>
      </c>
      <c r="J10698" t="s">
        <v>32007</v>
      </c>
      <c r="K10698" t="s">
        <v>41213</v>
      </c>
      <c r="M10698" t="s">
        <v>44408</v>
      </c>
      <c r="N10698" t="s">
        <v>45095</v>
      </c>
      <c r="O10698" t="s">
        <v>45096</v>
      </c>
      <c r="P10698">
        <v>0</v>
      </c>
      <c r="Q10698">
        <v>0</v>
      </c>
      <c r="R10698" t="s">
        <v>45108</v>
      </c>
      <c r="S10698" t="s">
        <v>45434</v>
      </c>
      <c r="T10698" t="s">
        <v>46914</v>
      </c>
      <c r="U10698" t="s">
        <v>56246</v>
      </c>
      <c r="W10698" t="s">
        <v>44408</v>
      </c>
      <c r="X10698" t="s">
        <v>45109</v>
      </c>
    </row>
    <row r="10699" spans="1:24">
      <c r="A10699">
        <f>HYPERLINK("https://www.philgeps.gov.ph/GEPSNONPILOT/Tender/SplashBidNoticeAbstractUI.aspx?menuIndex=3&amp;refID=7029637&amp;Result=3","7029637")</f>
        <v>0</v>
      </c>
      <c r="B10699" t="s">
        <v>2777</v>
      </c>
      <c r="C10699" t="s">
        <v>13403</v>
      </c>
      <c r="D10699" t="s">
        <v>18100</v>
      </c>
      <c r="E10699" t="s">
        <v>27380</v>
      </c>
      <c r="F10699" t="s">
        <v>31574</v>
      </c>
      <c r="G10699" t="s">
        <v>31582</v>
      </c>
      <c r="H10699" t="s">
        <v>31591</v>
      </c>
      <c r="I10699" t="s">
        <v>8822</v>
      </c>
      <c r="J10699" t="s">
        <v>38380</v>
      </c>
      <c r="K10699" t="s">
        <v>41406</v>
      </c>
      <c r="M10699" t="s">
        <v>44552</v>
      </c>
      <c r="N10699" t="s">
        <v>45095</v>
      </c>
      <c r="O10699" t="s">
        <v>45096</v>
      </c>
      <c r="P10699">
        <v>0</v>
      </c>
      <c r="Q10699">
        <v>3</v>
      </c>
      <c r="R10699" t="s">
        <v>45108</v>
      </c>
      <c r="S10699" t="s">
        <v>45434</v>
      </c>
      <c r="T10699" t="s">
        <v>47000</v>
      </c>
      <c r="U10699" t="s">
        <v>56244</v>
      </c>
      <c r="V10699" t="s">
        <v>60972</v>
      </c>
      <c r="W10699" t="s">
        <v>44552</v>
      </c>
      <c r="X10699" t="s">
        <v>45109</v>
      </c>
    </row>
    <row r="10700" spans="1:24">
      <c r="A10700">
        <f>HYPERLINK("https://www.philgeps.gov.ph/GEPSNONPILOT/Tender/SplashBidNoticeAbstractUI.aspx?menuIndex=3&amp;refID=7029610&amp;Result=3","7029610")</f>
        <v>0</v>
      </c>
      <c r="B10700" t="s">
        <v>877</v>
      </c>
      <c r="C10700" t="s">
        <v>13404</v>
      </c>
      <c r="D10700" t="s">
        <v>18096</v>
      </c>
      <c r="E10700" t="s">
        <v>27381</v>
      </c>
      <c r="F10700" t="s">
        <v>31574</v>
      </c>
      <c r="G10700" t="s">
        <v>31582</v>
      </c>
      <c r="H10700" t="s">
        <v>31590</v>
      </c>
      <c r="I10700" t="s">
        <v>5717</v>
      </c>
      <c r="J10700" t="s">
        <v>38381</v>
      </c>
      <c r="K10700" t="s">
        <v>41196</v>
      </c>
      <c r="M10700" t="s">
        <v>42398</v>
      </c>
      <c r="N10700" t="s">
        <v>45095</v>
      </c>
      <c r="O10700" t="s">
        <v>45096</v>
      </c>
      <c r="P10700">
        <v>0</v>
      </c>
      <c r="Q10700">
        <v>0</v>
      </c>
      <c r="R10700" t="s">
        <v>45108</v>
      </c>
      <c r="S10700" t="s">
        <v>45434</v>
      </c>
      <c r="T10700" t="s">
        <v>46988</v>
      </c>
      <c r="U10700" t="s">
        <v>56247</v>
      </c>
      <c r="W10700" t="s">
        <v>42398</v>
      </c>
      <c r="X10700" t="s">
        <v>45109</v>
      </c>
    </row>
    <row r="10701" spans="1:24">
      <c r="A10701">
        <f>HYPERLINK("https://www.philgeps.gov.ph/GEPSNONPILOT/Tender/SplashBidNoticeAbstractUI.aspx?menuIndex=3&amp;refID=7029686&amp;Result=3","7029686")</f>
        <v>0</v>
      </c>
      <c r="B10701" t="s">
        <v>1160</v>
      </c>
      <c r="C10701" t="s">
        <v>13405</v>
      </c>
      <c r="D10701" t="s">
        <v>18036</v>
      </c>
      <c r="E10701" t="s">
        <v>27382</v>
      </c>
      <c r="F10701" t="s">
        <v>31574</v>
      </c>
      <c r="G10701" t="s">
        <v>31582</v>
      </c>
      <c r="H10701" t="s">
        <v>31591</v>
      </c>
      <c r="I10701" t="s">
        <v>8822</v>
      </c>
      <c r="J10701" t="s">
        <v>32026</v>
      </c>
      <c r="K10701" t="s">
        <v>41200</v>
      </c>
      <c r="M10701" t="s">
        <v>42718</v>
      </c>
      <c r="N10701" t="s">
        <v>45095</v>
      </c>
      <c r="O10701" t="s">
        <v>45096</v>
      </c>
      <c r="P10701">
        <v>0</v>
      </c>
      <c r="Q10701">
        <v>1</v>
      </c>
      <c r="R10701" t="s">
        <v>45108</v>
      </c>
      <c r="S10701" t="s">
        <v>45434</v>
      </c>
      <c r="T10701" t="s">
        <v>47000</v>
      </c>
      <c r="U10701" t="s">
        <v>56248</v>
      </c>
      <c r="V10701" t="s">
        <v>60973</v>
      </c>
      <c r="W10701" t="s">
        <v>42718</v>
      </c>
      <c r="X10701" t="s">
        <v>45109</v>
      </c>
    </row>
    <row r="10702" spans="1:24">
      <c r="A10702">
        <f>HYPERLINK("https://www.philgeps.gov.ph/GEPSNONPILOT/Tender/SplashBidNoticeAbstractUI.aspx?menuIndex=3&amp;refID=7029687&amp;Result=3","7029687")</f>
        <v>0</v>
      </c>
      <c r="B10702" t="s">
        <v>1032</v>
      </c>
      <c r="C10702" t="s">
        <v>13406</v>
      </c>
      <c r="E10702" t="s">
        <v>27383</v>
      </c>
      <c r="F10702" t="s">
        <v>31574</v>
      </c>
      <c r="G10702" t="s">
        <v>31582</v>
      </c>
      <c r="H10702" t="s">
        <v>31590</v>
      </c>
      <c r="I10702" t="s">
        <v>31626</v>
      </c>
      <c r="J10702" t="s">
        <v>38382</v>
      </c>
      <c r="K10702" t="s">
        <v>41192</v>
      </c>
      <c r="M10702" t="s">
        <v>42573</v>
      </c>
      <c r="N10702" t="s">
        <v>45095</v>
      </c>
      <c r="O10702" t="s">
        <v>45096</v>
      </c>
      <c r="Q10702">
        <v>8</v>
      </c>
      <c r="R10702" t="s">
        <v>45108</v>
      </c>
      <c r="S10702" t="s">
        <v>45477</v>
      </c>
      <c r="T10702" t="s">
        <v>47004</v>
      </c>
      <c r="U10702" t="s">
        <v>56249</v>
      </c>
      <c r="W10702" t="s">
        <v>42573</v>
      </c>
      <c r="X10702" t="s">
        <v>45109</v>
      </c>
    </row>
    <row r="10703" spans="1:24">
      <c r="A10703">
        <f>HYPERLINK("https://www.philgeps.gov.ph/GEPSNONPILOT/Tender/SplashBidNoticeAbstractUI.aspx?menuIndex=3&amp;refID=7029620&amp;Result=3","7029620")</f>
        <v>0</v>
      </c>
      <c r="B10703" t="s">
        <v>877</v>
      </c>
      <c r="C10703" t="s">
        <v>13407</v>
      </c>
      <c r="D10703" t="s">
        <v>18096</v>
      </c>
      <c r="E10703" t="s">
        <v>27384</v>
      </c>
      <c r="F10703" t="s">
        <v>31574</v>
      </c>
      <c r="G10703" t="s">
        <v>31582</v>
      </c>
      <c r="H10703" t="s">
        <v>31590</v>
      </c>
      <c r="I10703" t="s">
        <v>6800</v>
      </c>
      <c r="J10703" t="s">
        <v>38383</v>
      </c>
      <c r="K10703" t="s">
        <v>41196</v>
      </c>
      <c r="M10703" t="s">
        <v>42398</v>
      </c>
      <c r="N10703" t="s">
        <v>45095</v>
      </c>
      <c r="O10703" t="s">
        <v>45096</v>
      </c>
      <c r="P10703">
        <v>0</v>
      </c>
      <c r="Q10703">
        <v>2</v>
      </c>
      <c r="R10703" t="s">
        <v>45108</v>
      </c>
      <c r="S10703" t="s">
        <v>45434</v>
      </c>
      <c r="T10703" t="s">
        <v>46988</v>
      </c>
      <c r="U10703" t="s">
        <v>56250</v>
      </c>
      <c r="W10703" t="s">
        <v>42398</v>
      </c>
      <c r="X10703" t="s">
        <v>45109</v>
      </c>
    </row>
    <row r="10704" spans="1:24">
      <c r="A10704">
        <f>HYPERLINK("https://www.philgeps.gov.ph/GEPSNONPILOT/Tender/SplashBidNoticeAbstractUI.aspx?menuIndex=3&amp;refID=7029714&amp;Result=3","7029714")</f>
        <v>0</v>
      </c>
      <c r="B10704" t="s">
        <v>2650</v>
      </c>
      <c r="C10704" t="s">
        <v>13408</v>
      </c>
      <c r="D10704" t="s">
        <v>18041</v>
      </c>
      <c r="E10704" t="s">
        <v>27385</v>
      </c>
      <c r="F10704" t="s">
        <v>31574</v>
      </c>
      <c r="G10704" t="s">
        <v>31582</v>
      </c>
      <c r="H10704" t="s">
        <v>31590</v>
      </c>
      <c r="I10704" t="s">
        <v>4046</v>
      </c>
      <c r="J10704" t="s">
        <v>38384</v>
      </c>
      <c r="K10704" t="s">
        <v>41213</v>
      </c>
      <c r="M10704" t="s">
        <v>44408</v>
      </c>
      <c r="N10704" t="s">
        <v>45095</v>
      </c>
      <c r="O10704" t="s">
        <v>45096</v>
      </c>
      <c r="P10704">
        <v>0</v>
      </c>
      <c r="Q10704">
        <v>0</v>
      </c>
      <c r="R10704" t="s">
        <v>45108</v>
      </c>
      <c r="S10704" t="s">
        <v>45434</v>
      </c>
      <c r="T10704" t="s">
        <v>46930</v>
      </c>
      <c r="U10704" t="s">
        <v>56251</v>
      </c>
      <c r="W10704" t="s">
        <v>44408</v>
      </c>
      <c r="X10704" t="s">
        <v>45109</v>
      </c>
    </row>
    <row r="10705" spans="1:24">
      <c r="A10705">
        <f>HYPERLINK("https://www.philgeps.gov.ph/GEPSNONPILOT/Tender/SplashBidNoticeAbstractUI.aspx?menuIndex=3&amp;refID=7029719&amp;Result=3","7029719")</f>
        <v>0</v>
      </c>
      <c r="B10705" t="s">
        <v>1032</v>
      </c>
      <c r="C10705" t="s">
        <v>13409</v>
      </c>
      <c r="E10705" t="s">
        <v>27386</v>
      </c>
      <c r="F10705" t="s">
        <v>31574</v>
      </c>
      <c r="G10705" t="s">
        <v>31582</v>
      </c>
      <c r="H10705" t="s">
        <v>31590</v>
      </c>
      <c r="I10705" t="s">
        <v>31594</v>
      </c>
      <c r="J10705" t="s">
        <v>38385</v>
      </c>
      <c r="K10705" t="s">
        <v>41192</v>
      </c>
      <c r="M10705" t="s">
        <v>42573</v>
      </c>
      <c r="N10705" t="s">
        <v>45095</v>
      </c>
      <c r="O10705" t="s">
        <v>45096</v>
      </c>
      <c r="P10705">
        <v>0</v>
      </c>
      <c r="Q10705">
        <v>14</v>
      </c>
      <c r="R10705" t="s">
        <v>45108</v>
      </c>
      <c r="S10705" t="s">
        <v>45434</v>
      </c>
      <c r="T10705" t="s">
        <v>46962</v>
      </c>
      <c r="U10705" t="s">
        <v>56252</v>
      </c>
      <c r="W10705" t="s">
        <v>42573</v>
      </c>
      <c r="X10705" t="s">
        <v>45109</v>
      </c>
    </row>
    <row r="10706" spans="1:24">
      <c r="A10706">
        <f>HYPERLINK("https://www.philgeps.gov.ph/GEPSNONPILOT/Tender/SplashBidNoticeAbstractUI.aspx?menuIndex=3&amp;refID=7029711&amp;Result=3","7029711")</f>
        <v>0</v>
      </c>
      <c r="B10706" t="s">
        <v>2650</v>
      </c>
      <c r="C10706" t="s">
        <v>13410</v>
      </c>
      <c r="D10706" t="s">
        <v>18041</v>
      </c>
      <c r="E10706" t="s">
        <v>27387</v>
      </c>
      <c r="F10706" t="s">
        <v>31574</v>
      </c>
      <c r="G10706" t="s">
        <v>31582</v>
      </c>
      <c r="H10706" t="s">
        <v>31590</v>
      </c>
      <c r="I10706" t="s">
        <v>3520</v>
      </c>
      <c r="J10706" t="s">
        <v>38386</v>
      </c>
      <c r="K10706" t="s">
        <v>41213</v>
      </c>
      <c r="M10706" t="s">
        <v>44408</v>
      </c>
      <c r="N10706" t="s">
        <v>45095</v>
      </c>
      <c r="O10706" t="s">
        <v>45096</v>
      </c>
      <c r="P10706">
        <v>0</v>
      </c>
      <c r="Q10706">
        <v>0</v>
      </c>
      <c r="R10706" t="s">
        <v>45108</v>
      </c>
      <c r="S10706" t="s">
        <v>45434</v>
      </c>
      <c r="T10706" t="s">
        <v>46914</v>
      </c>
      <c r="U10706" t="s">
        <v>56253</v>
      </c>
      <c r="W10706" t="s">
        <v>44408</v>
      </c>
      <c r="X10706" t="s">
        <v>45109</v>
      </c>
    </row>
    <row r="10707" spans="1:24">
      <c r="A10707">
        <f>HYPERLINK("https://www.philgeps.gov.ph/GEPSNONPILOT/Tender/SplashBidNoticeAbstractUI.aspx?menuIndex=3&amp;refID=7029727&amp;Result=3","7029727")</f>
        <v>0</v>
      </c>
      <c r="B10707" t="s">
        <v>1032</v>
      </c>
      <c r="C10707" t="s">
        <v>13411</v>
      </c>
      <c r="E10707" t="s">
        <v>27388</v>
      </c>
      <c r="F10707" t="s">
        <v>31574</v>
      </c>
      <c r="G10707" t="s">
        <v>31582</v>
      </c>
      <c r="H10707" t="s">
        <v>31590</v>
      </c>
      <c r="I10707" t="s">
        <v>31594</v>
      </c>
      <c r="J10707" t="s">
        <v>38387</v>
      </c>
      <c r="K10707" t="s">
        <v>41185</v>
      </c>
      <c r="M10707" t="s">
        <v>42573</v>
      </c>
      <c r="N10707" t="s">
        <v>45095</v>
      </c>
      <c r="O10707" t="s">
        <v>45096</v>
      </c>
      <c r="P10707">
        <v>0</v>
      </c>
      <c r="Q10707">
        <v>8</v>
      </c>
      <c r="R10707" t="s">
        <v>45108</v>
      </c>
      <c r="S10707" t="s">
        <v>45434</v>
      </c>
      <c r="T10707" t="s">
        <v>47151</v>
      </c>
      <c r="U10707" t="s">
        <v>56254</v>
      </c>
      <c r="W10707" t="s">
        <v>42573</v>
      </c>
      <c r="X10707" t="s">
        <v>45109</v>
      </c>
    </row>
    <row r="10708" spans="1:24">
      <c r="A10708">
        <f>HYPERLINK("https://www.philgeps.gov.ph/GEPSNONPILOT/Tender/SplashBidNoticeAbstractUI.aspx?menuIndex=3&amp;refID=7029720&amp;Result=3","7029720")</f>
        <v>0</v>
      </c>
      <c r="B10708" t="s">
        <v>2650</v>
      </c>
      <c r="C10708" t="s">
        <v>13412</v>
      </c>
      <c r="D10708" t="s">
        <v>18041</v>
      </c>
      <c r="E10708" t="s">
        <v>27389</v>
      </c>
      <c r="F10708" t="s">
        <v>31574</v>
      </c>
      <c r="G10708" t="s">
        <v>31582</v>
      </c>
      <c r="H10708" t="s">
        <v>31590</v>
      </c>
      <c r="I10708" t="s">
        <v>3520</v>
      </c>
      <c r="J10708" t="s">
        <v>32382</v>
      </c>
      <c r="K10708" t="s">
        <v>41213</v>
      </c>
      <c r="M10708" t="s">
        <v>44408</v>
      </c>
      <c r="N10708" t="s">
        <v>45095</v>
      </c>
      <c r="O10708" t="s">
        <v>45096</v>
      </c>
      <c r="P10708">
        <v>0</v>
      </c>
      <c r="Q10708">
        <v>0</v>
      </c>
      <c r="R10708" t="s">
        <v>45108</v>
      </c>
      <c r="S10708" t="s">
        <v>45434</v>
      </c>
      <c r="T10708" t="s">
        <v>46914</v>
      </c>
      <c r="U10708" t="s">
        <v>56255</v>
      </c>
      <c r="W10708" t="s">
        <v>44408</v>
      </c>
      <c r="X10708" t="s">
        <v>45109</v>
      </c>
    </row>
    <row r="10709" spans="1:24">
      <c r="A10709">
        <f>HYPERLINK("https://www.philgeps.gov.ph/GEPSNONPILOT/Tender/SplashBidNoticeAbstractUI.aspx?menuIndex=3&amp;refID=7029712&amp;Result=3","7029712")</f>
        <v>0</v>
      </c>
      <c r="B10709" t="s">
        <v>2775</v>
      </c>
      <c r="C10709" t="s">
        <v>13413</v>
      </c>
      <c r="D10709" t="s">
        <v>18024</v>
      </c>
      <c r="E10709" t="s">
        <v>27390</v>
      </c>
      <c r="F10709" t="s">
        <v>31574</v>
      </c>
      <c r="G10709" t="s">
        <v>31582</v>
      </c>
      <c r="H10709" t="s">
        <v>31591</v>
      </c>
      <c r="I10709" t="s">
        <v>8822</v>
      </c>
      <c r="J10709" t="s">
        <v>38388</v>
      </c>
      <c r="K10709" t="s">
        <v>41376</v>
      </c>
      <c r="M10709" t="s">
        <v>44550</v>
      </c>
      <c r="N10709" t="s">
        <v>45095</v>
      </c>
      <c r="O10709" t="s">
        <v>45096</v>
      </c>
      <c r="P10709">
        <v>0</v>
      </c>
      <c r="Q10709">
        <v>5</v>
      </c>
      <c r="R10709" t="s">
        <v>45108</v>
      </c>
      <c r="S10709" t="s">
        <v>45434</v>
      </c>
      <c r="T10709" t="s">
        <v>47010</v>
      </c>
      <c r="U10709" t="s">
        <v>56256</v>
      </c>
      <c r="W10709" t="s">
        <v>44550</v>
      </c>
      <c r="X10709" t="s">
        <v>45109</v>
      </c>
    </row>
    <row r="10710" spans="1:24">
      <c r="A10710">
        <f>HYPERLINK("https://www.philgeps.gov.ph/GEPSNONPILOT/Tender/SplashBidNoticeAbstractUI.aspx?menuIndex=3&amp;refID=7029709&amp;Result=3","7029709")</f>
        <v>0</v>
      </c>
      <c r="B10710" t="s">
        <v>1160</v>
      </c>
      <c r="C10710" t="s">
        <v>13414</v>
      </c>
      <c r="D10710" t="s">
        <v>18036</v>
      </c>
      <c r="E10710" t="s">
        <v>27391</v>
      </c>
      <c r="F10710" t="s">
        <v>31574</v>
      </c>
      <c r="G10710" t="s">
        <v>31582</v>
      </c>
      <c r="H10710" t="s">
        <v>31590</v>
      </c>
      <c r="I10710" t="s">
        <v>31599</v>
      </c>
      <c r="J10710" t="s">
        <v>38389</v>
      </c>
      <c r="K10710" t="s">
        <v>41196</v>
      </c>
      <c r="M10710" t="s">
        <v>42718</v>
      </c>
      <c r="N10710" t="s">
        <v>45095</v>
      </c>
      <c r="O10710" t="s">
        <v>45096</v>
      </c>
      <c r="P10710">
        <v>0</v>
      </c>
      <c r="Q10710">
        <v>2</v>
      </c>
      <c r="R10710" t="s">
        <v>45108</v>
      </c>
      <c r="S10710" t="s">
        <v>45434</v>
      </c>
      <c r="T10710" t="s">
        <v>47000</v>
      </c>
      <c r="U10710" t="s">
        <v>56257</v>
      </c>
      <c r="V10710" t="s">
        <v>60974</v>
      </c>
      <c r="W10710" t="s">
        <v>42718</v>
      </c>
      <c r="X10710" t="s">
        <v>45109</v>
      </c>
    </row>
    <row r="10711" spans="1:24">
      <c r="A10711">
        <f>HYPERLINK("https://www.philgeps.gov.ph/GEPSNONPILOT/Tender/SplashBidNoticeAbstractUI.aspx?menuIndex=3&amp;refID=7029634&amp;Result=3","7029634")</f>
        <v>0</v>
      </c>
      <c r="B10711" t="s">
        <v>2777</v>
      </c>
      <c r="C10711" t="s">
        <v>13415</v>
      </c>
      <c r="D10711" t="s">
        <v>18100</v>
      </c>
      <c r="E10711" t="s">
        <v>27392</v>
      </c>
      <c r="F10711" t="s">
        <v>31574</v>
      </c>
      <c r="G10711" t="s">
        <v>31582</v>
      </c>
      <c r="H10711" t="s">
        <v>31591</v>
      </c>
      <c r="I10711" t="s">
        <v>8822</v>
      </c>
      <c r="J10711" t="s">
        <v>38390</v>
      </c>
      <c r="K10711" t="s">
        <v>41285</v>
      </c>
      <c r="M10711" t="s">
        <v>44552</v>
      </c>
      <c r="N10711" t="s">
        <v>45095</v>
      </c>
      <c r="O10711" t="s">
        <v>45096</v>
      </c>
      <c r="P10711">
        <v>0</v>
      </c>
      <c r="Q10711">
        <v>3</v>
      </c>
      <c r="R10711" t="s">
        <v>45108</v>
      </c>
      <c r="S10711" t="s">
        <v>45434</v>
      </c>
      <c r="T10711" t="s">
        <v>47000</v>
      </c>
      <c r="U10711" t="s">
        <v>56244</v>
      </c>
      <c r="V10711" t="s">
        <v>60975</v>
      </c>
      <c r="W10711" t="s">
        <v>44552</v>
      </c>
      <c r="X10711" t="s">
        <v>45109</v>
      </c>
    </row>
    <row r="10712" spans="1:24">
      <c r="A10712">
        <f>HYPERLINK("https://www.philgeps.gov.ph/GEPSNONPILOT/Tender/SplashBidNoticeAbstractUI.aspx?menuIndex=3&amp;refID=7029754&amp;Result=3","7029754")</f>
        <v>0</v>
      </c>
      <c r="B10712" t="s">
        <v>1032</v>
      </c>
      <c r="C10712" t="s">
        <v>13416</v>
      </c>
      <c r="E10712" t="s">
        <v>27393</v>
      </c>
      <c r="F10712" t="s">
        <v>31574</v>
      </c>
      <c r="G10712" t="s">
        <v>31582</v>
      </c>
      <c r="H10712" t="s">
        <v>31590</v>
      </c>
      <c r="I10712" t="s">
        <v>4327</v>
      </c>
      <c r="J10712" t="s">
        <v>32510</v>
      </c>
      <c r="K10712" t="s">
        <v>41185</v>
      </c>
      <c r="M10712" t="s">
        <v>42573</v>
      </c>
      <c r="N10712" t="s">
        <v>45095</v>
      </c>
      <c r="O10712" t="s">
        <v>45096</v>
      </c>
      <c r="P10712">
        <v>0</v>
      </c>
      <c r="Q10712">
        <v>7</v>
      </c>
      <c r="R10712" t="s">
        <v>45108</v>
      </c>
      <c r="S10712" t="s">
        <v>45434</v>
      </c>
      <c r="T10712" t="s">
        <v>47384</v>
      </c>
      <c r="U10712" t="s">
        <v>56258</v>
      </c>
      <c r="W10712" t="s">
        <v>42573</v>
      </c>
      <c r="X10712" t="s">
        <v>45109</v>
      </c>
    </row>
    <row r="10713" spans="1:24">
      <c r="A10713">
        <f>HYPERLINK("https://www.philgeps.gov.ph/GEPSNONPILOT/Tender/SplashBidNoticeAbstractUI.aspx?menuIndex=3&amp;refID=7029763&amp;Result=3","7029763")</f>
        <v>0</v>
      </c>
      <c r="B10713" t="s">
        <v>2778</v>
      </c>
      <c r="C10713" t="s">
        <v>13417</v>
      </c>
      <c r="D10713" t="s">
        <v>18053</v>
      </c>
      <c r="E10713" t="s">
        <v>27394</v>
      </c>
      <c r="F10713" t="s">
        <v>31574</v>
      </c>
      <c r="G10713" t="s">
        <v>31582</v>
      </c>
      <c r="H10713" t="s">
        <v>31591</v>
      </c>
      <c r="I10713" t="s">
        <v>8822</v>
      </c>
      <c r="J10713" t="s">
        <v>38391</v>
      </c>
      <c r="K10713" t="s">
        <v>41192</v>
      </c>
      <c r="M10713" t="s">
        <v>44553</v>
      </c>
      <c r="N10713" t="s">
        <v>45095</v>
      </c>
      <c r="O10713" t="s">
        <v>45096</v>
      </c>
      <c r="P10713">
        <v>0</v>
      </c>
      <c r="Q10713">
        <v>1</v>
      </c>
      <c r="R10713" t="s">
        <v>45108</v>
      </c>
      <c r="S10713" t="s">
        <v>45434</v>
      </c>
      <c r="T10713" t="s">
        <v>46914</v>
      </c>
      <c r="U10713" t="s">
        <v>56259</v>
      </c>
      <c r="W10713" t="s">
        <v>44553</v>
      </c>
      <c r="X10713" t="s">
        <v>45109</v>
      </c>
    </row>
    <row r="10714" spans="1:24">
      <c r="A10714">
        <f>HYPERLINK("https://www.philgeps.gov.ph/GEPSNONPILOT/Tender/SplashBidNoticeAbstractUI.aspx?menuIndex=3&amp;refID=7029761&amp;Result=3","7029761")</f>
        <v>0</v>
      </c>
      <c r="B10714" t="s">
        <v>1032</v>
      </c>
      <c r="C10714" t="s">
        <v>13418</v>
      </c>
      <c r="E10714" t="s">
        <v>27395</v>
      </c>
      <c r="F10714" t="s">
        <v>31574</v>
      </c>
      <c r="G10714" t="s">
        <v>31582</v>
      </c>
      <c r="H10714" t="s">
        <v>31590</v>
      </c>
      <c r="I10714" t="s">
        <v>31594</v>
      </c>
      <c r="J10714" t="s">
        <v>37478</v>
      </c>
      <c r="K10714" t="s">
        <v>41185</v>
      </c>
      <c r="M10714" t="s">
        <v>42573</v>
      </c>
      <c r="N10714" t="s">
        <v>45095</v>
      </c>
      <c r="O10714" t="s">
        <v>45096</v>
      </c>
      <c r="P10714">
        <v>0</v>
      </c>
      <c r="Q10714">
        <v>30</v>
      </c>
      <c r="R10714" t="s">
        <v>45108</v>
      </c>
      <c r="S10714" t="s">
        <v>45434</v>
      </c>
      <c r="T10714" t="s">
        <v>47385</v>
      </c>
      <c r="U10714" t="s">
        <v>56260</v>
      </c>
      <c r="W10714" t="s">
        <v>42573</v>
      </c>
      <c r="X10714" t="s">
        <v>45109</v>
      </c>
    </row>
    <row r="10715" spans="1:24">
      <c r="A10715">
        <f>HYPERLINK("https://www.philgeps.gov.ph/GEPSNONPILOT/Tender/SplashBidNoticeAbstractUI.aspx?menuIndex=3&amp;refID=7029644&amp;Result=3","7029644")</f>
        <v>0</v>
      </c>
      <c r="B10715" t="s">
        <v>2777</v>
      </c>
      <c r="C10715" t="s">
        <v>13419</v>
      </c>
      <c r="D10715" t="s">
        <v>18100</v>
      </c>
      <c r="E10715" t="s">
        <v>27396</v>
      </c>
      <c r="F10715" t="s">
        <v>31574</v>
      </c>
      <c r="G10715" t="s">
        <v>31582</v>
      </c>
      <c r="H10715" t="s">
        <v>31591</v>
      </c>
      <c r="I10715" t="s">
        <v>8822</v>
      </c>
      <c r="J10715" t="s">
        <v>38392</v>
      </c>
      <c r="K10715" t="s">
        <v>41256</v>
      </c>
      <c r="M10715" t="s">
        <v>44552</v>
      </c>
      <c r="N10715" t="s">
        <v>45095</v>
      </c>
      <c r="O10715" t="s">
        <v>45096</v>
      </c>
      <c r="P10715">
        <v>0</v>
      </c>
      <c r="Q10715">
        <v>6</v>
      </c>
      <c r="R10715" t="s">
        <v>45108</v>
      </c>
      <c r="S10715" t="s">
        <v>45434</v>
      </c>
      <c r="T10715" t="s">
        <v>47000</v>
      </c>
      <c r="U10715" t="s">
        <v>56244</v>
      </c>
      <c r="V10715" t="s">
        <v>60976</v>
      </c>
      <c r="W10715" t="s">
        <v>44552</v>
      </c>
      <c r="X10715" t="s">
        <v>45109</v>
      </c>
    </row>
    <row r="10716" spans="1:24">
      <c r="A10716">
        <f>HYPERLINK("https://www.philgeps.gov.ph/GEPSNONPILOT/Tender/SplashBidNoticeAbstractUI.aspx?menuIndex=3&amp;refID=7029752&amp;Result=3","7029752")</f>
        <v>0</v>
      </c>
      <c r="B10716" t="s">
        <v>1032</v>
      </c>
      <c r="C10716" t="s">
        <v>13420</v>
      </c>
      <c r="E10716" t="s">
        <v>27397</v>
      </c>
      <c r="F10716" t="s">
        <v>31574</v>
      </c>
      <c r="G10716" t="s">
        <v>31582</v>
      </c>
      <c r="H10716" t="s">
        <v>31590</v>
      </c>
      <c r="I10716" t="s">
        <v>4327</v>
      </c>
      <c r="J10716" t="s">
        <v>33856</v>
      </c>
      <c r="K10716" t="s">
        <v>41185</v>
      </c>
      <c r="M10716" t="s">
        <v>42573</v>
      </c>
      <c r="N10716" t="s">
        <v>45095</v>
      </c>
      <c r="O10716" t="s">
        <v>45096</v>
      </c>
      <c r="P10716">
        <v>0</v>
      </c>
      <c r="Q10716">
        <v>3</v>
      </c>
      <c r="R10716" t="s">
        <v>45108</v>
      </c>
      <c r="S10716" t="s">
        <v>45434</v>
      </c>
      <c r="T10716" t="s">
        <v>47375</v>
      </c>
      <c r="U10716" t="s">
        <v>56261</v>
      </c>
      <c r="W10716" t="s">
        <v>42573</v>
      </c>
      <c r="X10716" t="s">
        <v>45109</v>
      </c>
    </row>
    <row r="10717" spans="1:24">
      <c r="A10717">
        <f>HYPERLINK("https://www.philgeps.gov.ph/GEPSNONPILOT/Tender/SplashBidNoticeAbstractUI.aspx?menuIndex=3&amp;refID=7029764&amp;Result=3","7029764")</f>
        <v>0</v>
      </c>
      <c r="B10717" t="s">
        <v>1032</v>
      </c>
      <c r="C10717" t="s">
        <v>13421</v>
      </c>
      <c r="E10717" t="s">
        <v>27398</v>
      </c>
      <c r="F10717" t="s">
        <v>31574</v>
      </c>
      <c r="G10717" t="s">
        <v>31582</v>
      </c>
      <c r="H10717" t="s">
        <v>31590</v>
      </c>
      <c r="I10717" t="s">
        <v>31594</v>
      </c>
      <c r="J10717" t="s">
        <v>33856</v>
      </c>
      <c r="K10717" t="s">
        <v>41185</v>
      </c>
      <c r="M10717" t="s">
        <v>42573</v>
      </c>
      <c r="N10717" t="s">
        <v>45095</v>
      </c>
      <c r="O10717" t="s">
        <v>45096</v>
      </c>
      <c r="P10717">
        <v>0</v>
      </c>
      <c r="Q10717">
        <v>14</v>
      </c>
      <c r="R10717" t="s">
        <v>45108</v>
      </c>
      <c r="S10717" t="s">
        <v>45434</v>
      </c>
      <c r="T10717" t="s">
        <v>47386</v>
      </c>
      <c r="U10717" t="s">
        <v>56262</v>
      </c>
      <c r="W10717" t="s">
        <v>42573</v>
      </c>
      <c r="X10717" t="s">
        <v>45109</v>
      </c>
    </row>
    <row r="10718" spans="1:24">
      <c r="A10718">
        <f>HYPERLINK("https://www.philgeps.gov.ph/GEPSNONPILOT/Tender/SplashBidNoticeAbstractUI.aspx?menuIndex=3&amp;refID=7029738&amp;Result=3","7029738")</f>
        <v>0</v>
      </c>
      <c r="B10718" t="s">
        <v>1032</v>
      </c>
      <c r="C10718" t="s">
        <v>13422</v>
      </c>
      <c r="E10718" t="s">
        <v>27399</v>
      </c>
      <c r="F10718" t="s">
        <v>31574</v>
      </c>
      <c r="G10718" t="s">
        <v>31582</v>
      </c>
      <c r="H10718" t="s">
        <v>31590</v>
      </c>
      <c r="I10718" t="s">
        <v>31626</v>
      </c>
      <c r="J10718" t="s">
        <v>38393</v>
      </c>
      <c r="K10718" t="s">
        <v>41192</v>
      </c>
      <c r="M10718" t="s">
        <v>42573</v>
      </c>
      <c r="N10718" t="s">
        <v>45095</v>
      </c>
      <c r="O10718" t="s">
        <v>45096</v>
      </c>
      <c r="P10718">
        <v>0</v>
      </c>
      <c r="Q10718">
        <v>9</v>
      </c>
      <c r="R10718" t="s">
        <v>45108</v>
      </c>
      <c r="S10718" t="s">
        <v>45434</v>
      </c>
      <c r="T10718" t="s">
        <v>47202</v>
      </c>
      <c r="U10718" t="s">
        <v>56263</v>
      </c>
      <c r="W10718" t="s">
        <v>42573</v>
      </c>
      <c r="X10718" t="s">
        <v>45109</v>
      </c>
    </row>
    <row r="10719" spans="1:24">
      <c r="A10719">
        <f>HYPERLINK("https://www.philgeps.gov.ph/GEPSNONPILOT/Tender/SplashBidNoticeAbstractUI.aspx?menuIndex=3&amp;refID=7029771&amp;Result=3","7029771")</f>
        <v>0</v>
      </c>
      <c r="B10719" t="s">
        <v>1032</v>
      </c>
      <c r="C10719" t="s">
        <v>13423</v>
      </c>
      <c r="D10719" t="s">
        <v>18065</v>
      </c>
      <c r="E10719" t="s">
        <v>27400</v>
      </c>
      <c r="F10719" t="s">
        <v>31574</v>
      </c>
      <c r="G10719" t="s">
        <v>31582</v>
      </c>
      <c r="H10719" t="s">
        <v>31591</v>
      </c>
      <c r="I10719" t="s">
        <v>8822</v>
      </c>
      <c r="J10719" t="s">
        <v>32076</v>
      </c>
      <c r="K10719" t="s">
        <v>41189</v>
      </c>
      <c r="M10719" t="s">
        <v>42573</v>
      </c>
      <c r="N10719" t="s">
        <v>45095</v>
      </c>
      <c r="O10719" t="s">
        <v>45096</v>
      </c>
      <c r="P10719">
        <v>0</v>
      </c>
      <c r="Q10719">
        <v>6</v>
      </c>
      <c r="R10719" t="s">
        <v>45108</v>
      </c>
      <c r="S10719" t="s">
        <v>45434</v>
      </c>
      <c r="T10719" t="s">
        <v>46972</v>
      </c>
      <c r="U10719" t="s">
        <v>56264</v>
      </c>
      <c r="W10719" t="s">
        <v>42573</v>
      </c>
      <c r="X10719" t="s">
        <v>45109</v>
      </c>
    </row>
    <row r="10720" spans="1:24">
      <c r="A10720">
        <f>HYPERLINK("https://www.philgeps.gov.ph/GEPSNONPILOT/Tender/SplashBidNoticeAbstractUI.aspx?menuIndex=3&amp;refID=7029730&amp;Result=3","7029730")</f>
        <v>0</v>
      </c>
      <c r="B10720" t="s">
        <v>1032</v>
      </c>
      <c r="C10720" t="s">
        <v>13424</v>
      </c>
      <c r="E10720" t="s">
        <v>27401</v>
      </c>
      <c r="F10720" t="s">
        <v>31574</v>
      </c>
      <c r="G10720" t="s">
        <v>31582</v>
      </c>
      <c r="H10720" t="s">
        <v>31590</v>
      </c>
      <c r="I10720" t="s">
        <v>31594</v>
      </c>
      <c r="J10720" t="s">
        <v>32026</v>
      </c>
      <c r="K10720" t="s">
        <v>41192</v>
      </c>
      <c r="M10720" t="s">
        <v>42573</v>
      </c>
      <c r="N10720" t="s">
        <v>45095</v>
      </c>
      <c r="O10720" t="s">
        <v>45096</v>
      </c>
      <c r="P10720">
        <v>0</v>
      </c>
      <c r="Q10720">
        <v>24</v>
      </c>
      <c r="R10720" t="s">
        <v>45108</v>
      </c>
      <c r="S10720" t="s">
        <v>45434</v>
      </c>
      <c r="T10720" t="s">
        <v>47198</v>
      </c>
      <c r="U10720" t="s">
        <v>56265</v>
      </c>
      <c r="W10720" t="s">
        <v>42573</v>
      </c>
      <c r="X10720" t="s">
        <v>45109</v>
      </c>
    </row>
    <row r="10721" spans="1:24">
      <c r="A10721">
        <f>HYPERLINK("https://www.philgeps.gov.ph/GEPSNONPILOT/Tender/SplashBidNoticeAbstractUI.aspx?menuIndex=3&amp;refID=7029705&amp;Result=3","7029705")</f>
        <v>0</v>
      </c>
      <c r="B10721" t="s">
        <v>2650</v>
      </c>
      <c r="C10721" t="s">
        <v>13425</v>
      </c>
      <c r="D10721" t="s">
        <v>18041</v>
      </c>
      <c r="E10721" t="s">
        <v>27402</v>
      </c>
      <c r="F10721" t="s">
        <v>31574</v>
      </c>
      <c r="G10721" t="s">
        <v>31582</v>
      </c>
      <c r="H10721" t="s">
        <v>31590</v>
      </c>
      <c r="I10721" t="s">
        <v>4046</v>
      </c>
      <c r="J10721" t="s">
        <v>38394</v>
      </c>
      <c r="K10721" t="s">
        <v>41213</v>
      </c>
      <c r="M10721" t="s">
        <v>44408</v>
      </c>
      <c r="N10721" t="s">
        <v>45095</v>
      </c>
      <c r="O10721" t="s">
        <v>45096</v>
      </c>
      <c r="P10721">
        <v>0</v>
      </c>
      <c r="Q10721">
        <v>0</v>
      </c>
      <c r="R10721" t="s">
        <v>45108</v>
      </c>
      <c r="S10721" t="s">
        <v>45434</v>
      </c>
      <c r="T10721" t="s">
        <v>46914</v>
      </c>
      <c r="U10721" t="s">
        <v>56266</v>
      </c>
      <c r="W10721" t="s">
        <v>44408</v>
      </c>
      <c r="X10721" t="s">
        <v>45109</v>
      </c>
    </row>
    <row r="10722" spans="1:24">
      <c r="A10722">
        <f>HYPERLINK("https://www.philgeps.gov.ph/GEPSNONPILOT/Tender/SplashBidNoticeAbstractUI.aspx?menuIndex=3&amp;refID=7029747&amp;Result=3","7029747")</f>
        <v>0</v>
      </c>
      <c r="B10722" t="s">
        <v>1032</v>
      </c>
      <c r="C10722" t="s">
        <v>13426</v>
      </c>
      <c r="E10722" t="s">
        <v>27403</v>
      </c>
      <c r="F10722" t="s">
        <v>31574</v>
      </c>
      <c r="G10722" t="s">
        <v>31582</v>
      </c>
      <c r="H10722" t="s">
        <v>31590</v>
      </c>
      <c r="I10722" t="s">
        <v>31594</v>
      </c>
      <c r="J10722" t="s">
        <v>38395</v>
      </c>
      <c r="K10722" t="s">
        <v>41185</v>
      </c>
      <c r="M10722" t="s">
        <v>42573</v>
      </c>
      <c r="N10722" t="s">
        <v>45095</v>
      </c>
      <c r="O10722" t="s">
        <v>45096</v>
      </c>
      <c r="P10722">
        <v>0</v>
      </c>
      <c r="Q10722">
        <v>6</v>
      </c>
      <c r="R10722" t="s">
        <v>45108</v>
      </c>
      <c r="S10722" t="s">
        <v>45434</v>
      </c>
      <c r="T10722" t="s">
        <v>47387</v>
      </c>
      <c r="U10722" t="s">
        <v>56267</v>
      </c>
      <c r="W10722" t="s">
        <v>42573</v>
      </c>
      <c r="X10722" t="s">
        <v>45109</v>
      </c>
    </row>
    <row r="10723" spans="1:24">
      <c r="A10723">
        <f>HYPERLINK("https://www.philgeps.gov.ph/GEPSNONPILOT/Tender/SplashBidNoticeAbstractUI.aspx?menuIndex=3&amp;refID=7010666&amp;Result=3","7010666")</f>
        <v>0</v>
      </c>
      <c r="B10723" t="s">
        <v>575</v>
      </c>
      <c r="C10723" t="s">
        <v>13427</v>
      </c>
      <c r="D10723" t="s">
        <v>18027</v>
      </c>
      <c r="E10723" t="s">
        <v>27404</v>
      </c>
      <c r="F10723" t="s">
        <v>31574</v>
      </c>
      <c r="G10723" t="s">
        <v>31582</v>
      </c>
      <c r="H10723" t="s">
        <v>31590</v>
      </c>
      <c r="I10723" t="s">
        <v>31638</v>
      </c>
      <c r="J10723" t="s">
        <v>38396</v>
      </c>
      <c r="K10723" t="s">
        <v>41184</v>
      </c>
      <c r="M10723" t="s">
        <v>42076</v>
      </c>
      <c r="N10723" t="s">
        <v>45095</v>
      </c>
      <c r="O10723" t="s">
        <v>45096</v>
      </c>
      <c r="P10723">
        <v>0</v>
      </c>
      <c r="Q10723">
        <v>6</v>
      </c>
      <c r="R10723" t="s">
        <v>45109</v>
      </c>
      <c r="S10723" t="s">
        <v>45478</v>
      </c>
      <c r="T10723" t="s">
        <v>47180</v>
      </c>
      <c r="U10723" t="s">
        <v>56268</v>
      </c>
      <c r="W10723" t="s">
        <v>42076</v>
      </c>
      <c r="X10723" t="s">
        <v>45118</v>
      </c>
    </row>
    <row r="10724" spans="1:24">
      <c r="A10724">
        <f>HYPERLINK("https://www.philgeps.gov.ph/GEPSNONPILOT/Tender/SplashBidNoticeAbstractUI.aspx?menuIndex=3&amp;refID=7010636&amp;Result=3","7010636")</f>
        <v>0</v>
      </c>
      <c r="B10724" t="s">
        <v>575</v>
      </c>
      <c r="C10724" t="s">
        <v>13428</v>
      </c>
      <c r="D10724" t="s">
        <v>18027</v>
      </c>
      <c r="E10724" t="s">
        <v>27405</v>
      </c>
      <c r="F10724" t="s">
        <v>31574</v>
      </c>
      <c r="G10724" t="s">
        <v>31582</v>
      </c>
      <c r="H10724" t="s">
        <v>31590</v>
      </c>
      <c r="I10724" t="s">
        <v>31612</v>
      </c>
      <c r="J10724" t="s">
        <v>38397</v>
      </c>
      <c r="K10724" t="s">
        <v>41184</v>
      </c>
      <c r="M10724" t="s">
        <v>42076</v>
      </c>
      <c r="N10724" t="s">
        <v>45095</v>
      </c>
      <c r="O10724" t="s">
        <v>45096</v>
      </c>
      <c r="P10724">
        <v>0</v>
      </c>
      <c r="Q10724">
        <v>6</v>
      </c>
      <c r="R10724" t="s">
        <v>45109</v>
      </c>
      <c r="S10724" t="s">
        <v>45478</v>
      </c>
      <c r="T10724" t="s">
        <v>47180</v>
      </c>
      <c r="U10724" t="s">
        <v>56269</v>
      </c>
      <c r="W10724" t="s">
        <v>42076</v>
      </c>
      <c r="X10724" t="s">
        <v>45118</v>
      </c>
    </row>
    <row r="10725" spans="1:24">
      <c r="A10725">
        <f>HYPERLINK("https://www.philgeps.gov.ph/GEPSNONPILOT/Tender/SplashBidNoticeAbstractUI.aspx?menuIndex=3&amp;refID=7009563&amp;Result=3","7009563")</f>
        <v>0</v>
      </c>
      <c r="B10725" t="s">
        <v>575</v>
      </c>
      <c r="C10725" t="s">
        <v>13429</v>
      </c>
      <c r="D10725" t="s">
        <v>18027</v>
      </c>
      <c r="E10725" t="s">
        <v>27406</v>
      </c>
      <c r="F10725" t="s">
        <v>31574</v>
      </c>
      <c r="G10725" t="s">
        <v>31582</v>
      </c>
      <c r="H10725" t="s">
        <v>31590</v>
      </c>
      <c r="I10725" t="s">
        <v>3520</v>
      </c>
      <c r="J10725" t="s">
        <v>38398</v>
      </c>
      <c r="K10725" t="s">
        <v>41184</v>
      </c>
      <c r="M10725" t="s">
        <v>42076</v>
      </c>
      <c r="N10725" t="s">
        <v>45095</v>
      </c>
      <c r="O10725" t="s">
        <v>45096</v>
      </c>
      <c r="P10725">
        <v>0</v>
      </c>
      <c r="Q10725">
        <v>5</v>
      </c>
      <c r="R10725" t="s">
        <v>45109</v>
      </c>
      <c r="S10725" t="s">
        <v>45478</v>
      </c>
      <c r="T10725" t="s">
        <v>47180</v>
      </c>
      <c r="U10725" t="s">
        <v>56270</v>
      </c>
      <c r="W10725" t="s">
        <v>42076</v>
      </c>
      <c r="X10725" t="s">
        <v>45119</v>
      </c>
    </row>
    <row r="10726" spans="1:24">
      <c r="A10726">
        <f>HYPERLINK("https://www.philgeps.gov.ph/GEPSNONPILOT/Tender/SplashBidNoticeAbstractUI.aspx?menuIndex=3&amp;refID=6898330-2&amp;Result=3","6898330-2")</f>
        <v>0</v>
      </c>
      <c r="B10726" t="s">
        <v>873</v>
      </c>
      <c r="C10726" t="s">
        <v>13430</v>
      </c>
      <c r="D10726" t="s">
        <v>18044</v>
      </c>
      <c r="E10726" t="s">
        <v>27407</v>
      </c>
      <c r="F10726" t="s">
        <v>31574</v>
      </c>
      <c r="G10726" t="s">
        <v>31582</v>
      </c>
      <c r="H10726" t="s">
        <v>31593</v>
      </c>
      <c r="I10726" t="s">
        <v>31593</v>
      </c>
      <c r="J10726" t="s">
        <v>38399</v>
      </c>
      <c r="K10726" t="s">
        <v>41200</v>
      </c>
      <c r="M10726" t="s">
        <v>44439</v>
      </c>
      <c r="N10726" t="s">
        <v>45095</v>
      </c>
      <c r="O10726" t="s">
        <v>45096</v>
      </c>
      <c r="P10726">
        <v>0</v>
      </c>
      <c r="Q10726">
        <v>2</v>
      </c>
      <c r="R10726" t="s">
        <v>45109</v>
      </c>
      <c r="S10726" t="s">
        <v>45478</v>
      </c>
      <c r="T10726" t="s">
        <v>46930</v>
      </c>
      <c r="U10726" t="s">
        <v>56271</v>
      </c>
      <c r="V10726" t="s">
        <v>60977</v>
      </c>
      <c r="W10726" t="s">
        <v>44439</v>
      </c>
      <c r="X10726" t="s">
        <v>45110</v>
      </c>
    </row>
    <row r="10727" spans="1:24">
      <c r="A10727">
        <f>HYPERLINK("https://www.philgeps.gov.ph/GEPSNONPILOT/Tender/SplashBidNoticeAbstractUI.aspx?menuIndex=3&amp;refID=7029785&amp;Result=3","7029785")</f>
        <v>0</v>
      </c>
      <c r="B10727" t="s">
        <v>1032</v>
      </c>
      <c r="C10727" t="s">
        <v>13431</v>
      </c>
      <c r="D10727" t="s">
        <v>18041</v>
      </c>
      <c r="E10727" t="s">
        <v>27408</v>
      </c>
      <c r="F10727" t="s">
        <v>31574</v>
      </c>
      <c r="G10727" t="s">
        <v>31582</v>
      </c>
      <c r="H10727" t="s">
        <v>31591</v>
      </c>
      <c r="I10727" t="s">
        <v>8822</v>
      </c>
      <c r="J10727" t="s">
        <v>31730</v>
      </c>
      <c r="K10727" t="s">
        <v>41243</v>
      </c>
      <c r="M10727" t="s">
        <v>42573</v>
      </c>
      <c r="N10727" t="s">
        <v>45095</v>
      </c>
      <c r="O10727" t="s">
        <v>45096</v>
      </c>
      <c r="Q10727">
        <v>2</v>
      </c>
      <c r="R10727" t="s">
        <v>45108</v>
      </c>
      <c r="S10727" t="s">
        <v>45479</v>
      </c>
      <c r="T10727" t="s">
        <v>47259</v>
      </c>
      <c r="U10727" t="s">
        <v>56272</v>
      </c>
      <c r="W10727" t="s">
        <v>42573</v>
      </c>
      <c r="X10727" t="s">
        <v>45109</v>
      </c>
    </row>
    <row r="10728" spans="1:24">
      <c r="A10728">
        <f>HYPERLINK("https://www.philgeps.gov.ph/GEPSNONPILOT/Tender/SplashBidNoticeAbstractUI.aspx?menuIndex=3&amp;refID=7013261&amp;Result=3","7013261")</f>
        <v>0</v>
      </c>
      <c r="B10728" t="s">
        <v>2730</v>
      </c>
      <c r="C10728" t="s">
        <v>13432</v>
      </c>
      <c r="E10728" t="s">
        <v>27409</v>
      </c>
      <c r="F10728" t="s">
        <v>31574</v>
      </c>
      <c r="G10728" t="s">
        <v>31583</v>
      </c>
      <c r="H10728" t="s">
        <v>31590</v>
      </c>
      <c r="I10728" t="s">
        <v>14544</v>
      </c>
      <c r="J10728" t="s">
        <v>32506</v>
      </c>
      <c r="K10728" t="s">
        <v>41184</v>
      </c>
      <c r="M10728" t="s">
        <v>44501</v>
      </c>
      <c r="N10728" t="s">
        <v>45095</v>
      </c>
      <c r="O10728" t="s">
        <v>45096</v>
      </c>
      <c r="P10728">
        <v>0</v>
      </c>
      <c r="Q10728">
        <v>0</v>
      </c>
      <c r="R10728" t="s">
        <v>45109</v>
      </c>
      <c r="S10728" t="s">
        <v>45478</v>
      </c>
      <c r="T10728" t="s">
        <v>46963</v>
      </c>
      <c r="U10728" t="s">
        <v>56273</v>
      </c>
      <c r="V10728" t="s">
        <v>60945</v>
      </c>
      <c r="W10728" t="s">
        <v>44501</v>
      </c>
      <c r="X10728" t="s">
        <v>45117</v>
      </c>
    </row>
    <row r="10729" spans="1:24">
      <c r="A10729">
        <f>HYPERLINK("https://www.philgeps.gov.ph/GEPSNONPILOT/Tender/SplashBidNoticeAbstractUI.aspx?menuIndex=3&amp;refID=6940397&amp;Result=3","6940397")</f>
        <v>0</v>
      </c>
      <c r="B10729" t="s">
        <v>1181</v>
      </c>
      <c r="C10729" t="s">
        <v>13433</v>
      </c>
      <c r="D10729" t="s">
        <v>18084</v>
      </c>
      <c r="E10729" t="s">
        <v>27410</v>
      </c>
      <c r="F10729" t="s">
        <v>31574</v>
      </c>
      <c r="G10729" t="s">
        <v>31582</v>
      </c>
      <c r="H10729" t="s">
        <v>31591</v>
      </c>
      <c r="I10729" t="s">
        <v>8822</v>
      </c>
      <c r="J10729" t="s">
        <v>38400</v>
      </c>
      <c r="K10729" t="s">
        <v>41243</v>
      </c>
      <c r="M10729" t="s">
        <v>42740</v>
      </c>
      <c r="N10729" t="s">
        <v>45095</v>
      </c>
      <c r="O10729" t="s">
        <v>45096</v>
      </c>
      <c r="P10729">
        <v>0</v>
      </c>
      <c r="Q10729">
        <v>2</v>
      </c>
      <c r="R10729" t="s">
        <v>45109</v>
      </c>
      <c r="S10729" t="s">
        <v>45478</v>
      </c>
      <c r="T10729" t="s">
        <v>47267</v>
      </c>
      <c r="U10729" t="s">
        <v>56274</v>
      </c>
      <c r="W10729" t="s">
        <v>42740</v>
      </c>
      <c r="X10729" t="s">
        <v>45168</v>
      </c>
    </row>
    <row r="10730" spans="1:24">
      <c r="A10730">
        <f>HYPERLINK("https://www.philgeps.gov.ph/GEPSNONPILOT/Tender/SplashBidNoticeAbstractUI.aspx?menuIndex=3&amp;refID=7013200&amp;Result=3","7013200")</f>
        <v>0</v>
      </c>
      <c r="B10730" t="s">
        <v>2730</v>
      </c>
      <c r="C10730" t="s">
        <v>13434</v>
      </c>
      <c r="E10730" t="s">
        <v>27411</v>
      </c>
      <c r="F10730" t="s">
        <v>31574</v>
      </c>
      <c r="G10730" t="s">
        <v>31583</v>
      </c>
      <c r="H10730" t="s">
        <v>31590</v>
      </c>
      <c r="I10730" t="s">
        <v>14544</v>
      </c>
      <c r="J10730" t="s">
        <v>38401</v>
      </c>
      <c r="K10730" t="s">
        <v>41184</v>
      </c>
      <c r="M10730" t="s">
        <v>44501</v>
      </c>
      <c r="N10730" t="s">
        <v>45095</v>
      </c>
      <c r="O10730" t="s">
        <v>45096</v>
      </c>
      <c r="P10730">
        <v>0</v>
      </c>
      <c r="Q10730">
        <v>0</v>
      </c>
      <c r="R10730" t="s">
        <v>45109</v>
      </c>
      <c r="S10730" t="s">
        <v>45478</v>
      </c>
      <c r="T10730" t="s">
        <v>46963</v>
      </c>
      <c r="U10730" t="s">
        <v>56275</v>
      </c>
      <c r="V10730" t="s">
        <v>60945</v>
      </c>
      <c r="W10730" t="s">
        <v>44501</v>
      </c>
      <c r="X10730" t="s">
        <v>45117</v>
      </c>
    </row>
    <row r="10731" spans="1:24">
      <c r="A10731">
        <f>HYPERLINK("https://www.philgeps.gov.ph/GEPSNONPILOT/Tender/SplashBidNoticeAbstractUI.aspx?menuIndex=3&amp;refID=7013160&amp;Result=3","7013160")</f>
        <v>0</v>
      </c>
      <c r="B10731" t="s">
        <v>2730</v>
      </c>
      <c r="C10731" t="s">
        <v>13435</v>
      </c>
      <c r="E10731" t="s">
        <v>27412</v>
      </c>
      <c r="F10731" t="s">
        <v>31574</v>
      </c>
      <c r="G10731" t="s">
        <v>31583</v>
      </c>
      <c r="H10731" t="s">
        <v>31590</v>
      </c>
      <c r="I10731" t="s">
        <v>6800</v>
      </c>
      <c r="J10731" t="s">
        <v>36983</v>
      </c>
      <c r="K10731" t="s">
        <v>41184</v>
      </c>
      <c r="M10731" t="s">
        <v>44501</v>
      </c>
      <c r="N10731" t="s">
        <v>45095</v>
      </c>
      <c r="O10731" t="s">
        <v>45096</v>
      </c>
      <c r="P10731">
        <v>0</v>
      </c>
      <c r="Q10731">
        <v>1</v>
      </c>
      <c r="R10731" t="s">
        <v>45109</v>
      </c>
      <c r="S10731" t="s">
        <v>45478</v>
      </c>
      <c r="T10731" t="s">
        <v>46963</v>
      </c>
      <c r="U10731" t="s">
        <v>56276</v>
      </c>
      <c r="V10731" t="s">
        <v>60945</v>
      </c>
      <c r="W10731" t="s">
        <v>44501</v>
      </c>
      <c r="X10731" t="s">
        <v>45117</v>
      </c>
    </row>
    <row r="10732" spans="1:24">
      <c r="A10732">
        <f>HYPERLINK("https://www.philgeps.gov.ph/GEPSNONPILOT/Tender/SplashBidNoticeAbstractUI.aspx?menuIndex=3&amp;refID=7012922&amp;Result=3","7012922")</f>
        <v>0</v>
      </c>
      <c r="B10732" t="s">
        <v>2730</v>
      </c>
      <c r="C10732" t="s">
        <v>13091</v>
      </c>
      <c r="E10732" t="s">
        <v>27413</v>
      </c>
      <c r="F10732" t="s">
        <v>31574</v>
      </c>
      <c r="G10732" t="s">
        <v>31582</v>
      </c>
      <c r="H10732" t="s">
        <v>31590</v>
      </c>
      <c r="I10732" t="s">
        <v>8822</v>
      </c>
      <c r="J10732" t="s">
        <v>38190</v>
      </c>
      <c r="K10732" t="s">
        <v>41184</v>
      </c>
      <c r="M10732" t="s">
        <v>44501</v>
      </c>
      <c r="N10732" t="s">
        <v>45095</v>
      </c>
      <c r="O10732" t="s">
        <v>45096</v>
      </c>
      <c r="Q10732">
        <v>0</v>
      </c>
      <c r="R10732" t="s">
        <v>45109</v>
      </c>
      <c r="S10732" t="s">
        <v>45480</v>
      </c>
      <c r="T10732" t="s">
        <v>46955</v>
      </c>
      <c r="U10732" t="s">
        <v>56277</v>
      </c>
      <c r="V10732" t="s">
        <v>60945</v>
      </c>
      <c r="W10732" t="s">
        <v>44501</v>
      </c>
      <c r="X10732" t="s">
        <v>45117</v>
      </c>
    </row>
    <row r="10733" spans="1:24">
      <c r="A10733">
        <f>HYPERLINK("https://www.philgeps.gov.ph/GEPSNONPILOT/Tender/SplashBidNoticeAbstractUI.aspx?menuIndex=3&amp;refID=7013094&amp;Result=3","7013094")</f>
        <v>0</v>
      </c>
      <c r="B10733" t="s">
        <v>2730</v>
      </c>
      <c r="C10733" t="s">
        <v>13127</v>
      </c>
      <c r="E10733" t="s">
        <v>27147</v>
      </c>
      <c r="F10733" t="s">
        <v>31574</v>
      </c>
      <c r="G10733" t="s">
        <v>31582</v>
      </c>
      <c r="H10733" t="s">
        <v>31590</v>
      </c>
      <c r="I10733" t="s">
        <v>8822</v>
      </c>
      <c r="J10733" t="s">
        <v>38203</v>
      </c>
      <c r="K10733" t="s">
        <v>41184</v>
      </c>
      <c r="M10733" t="s">
        <v>44501</v>
      </c>
      <c r="N10733" t="s">
        <v>45095</v>
      </c>
      <c r="O10733" t="s">
        <v>45096</v>
      </c>
      <c r="Q10733">
        <v>0</v>
      </c>
      <c r="R10733" t="s">
        <v>45109</v>
      </c>
      <c r="S10733" t="s">
        <v>45481</v>
      </c>
      <c r="T10733" t="s">
        <v>46955</v>
      </c>
      <c r="U10733" t="s">
        <v>56278</v>
      </c>
      <c r="V10733" t="s">
        <v>60945</v>
      </c>
      <c r="W10733" t="s">
        <v>44501</v>
      </c>
      <c r="X10733" t="s">
        <v>45117</v>
      </c>
    </row>
    <row r="10734" spans="1:24">
      <c r="A10734">
        <f>HYPERLINK("https://www.philgeps.gov.ph/GEPSNONPILOT/Tender/SplashBidNoticeAbstractUI.aspx?menuIndex=3&amp;refID=7012855&amp;Result=3","7012855")</f>
        <v>0</v>
      </c>
      <c r="B10734" t="s">
        <v>2730</v>
      </c>
      <c r="C10734" t="s">
        <v>13436</v>
      </c>
      <c r="E10734" t="s">
        <v>27414</v>
      </c>
      <c r="F10734" t="s">
        <v>31574</v>
      </c>
      <c r="G10734" t="s">
        <v>31582</v>
      </c>
      <c r="H10734" t="s">
        <v>31590</v>
      </c>
      <c r="I10734" t="s">
        <v>31605</v>
      </c>
      <c r="J10734" t="s">
        <v>38402</v>
      </c>
      <c r="K10734" t="s">
        <v>41184</v>
      </c>
      <c r="M10734" t="s">
        <v>44501</v>
      </c>
      <c r="N10734" t="s">
        <v>45095</v>
      </c>
      <c r="O10734" t="s">
        <v>45096</v>
      </c>
      <c r="P10734">
        <v>0</v>
      </c>
      <c r="Q10734">
        <v>0</v>
      </c>
      <c r="R10734" t="s">
        <v>45109</v>
      </c>
      <c r="S10734" t="s">
        <v>45478</v>
      </c>
      <c r="T10734" t="s">
        <v>46963</v>
      </c>
      <c r="U10734" t="s">
        <v>56279</v>
      </c>
      <c r="V10734" t="s">
        <v>60945</v>
      </c>
      <c r="W10734" t="s">
        <v>44501</v>
      </c>
      <c r="X10734" t="s">
        <v>45117</v>
      </c>
    </row>
    <row r="10735" spans="1:24">
      <c r="A10735">
        <f>HYPERLINK("https://www.philgeps.gov.ph/GEPSNONPILOT/Tender/SplashBidNoticeAbstractUI.aspx?menuIndex=3&amp;refID=7013390&amp;Result=3","7013390")</f>
        <v>0</v>
      </c>
      <c r="B10735" t="s">
        <v>2730</v>
      </c>
      <c r="C10735" t="s">
        <v>13437</v>
      </c>
      <c r="E10735" t="s">
        <v>27415</v>
      </c>
      <c r="F10735" t="s">
        <v>31574</v>
      </c>
      <c r="G10735" t="s">
        <v>31583</v>
      </c>
      <c r="H10735" t="s">
        <v>31590</v>
      </c>
      <c r="I10735" t="s">
        <v>14544</v>
      </c>
      <c r="J10735" t="s">
        <v>33773</v>
      </c>
      <c r="K10735" t="s">
        <v>41184</v>
      </c>
      <c r="M10735" t="s">
        <v>44501</v>
      </c>
      <c r="N10735" t="s">
        <v>45095</v>
      </c>
      <c r="O10735" t="s">
        <v>45096</v>
      </c>
      <c r="P10735">
        <v>0</v>
      </c>
      <c r="Q10735">
        <v>0</v>
      </c>
      <c r="R10735" t="s">
        <v>45109</v>
      </c>
      <c r="S10735" t="s">
        <v>45478</v>
      </c>
      <c r="T10735" t="s">
        <v>46963</v>
      </c>
      <c r="U10735" t="s">
        <v>56280</v>
      </c>
      <c r="V10735" t="s">
        <v>60945</v>
      </c>
      <c r="W10735" t="s">
        <v>44501</v>
      </c>
      <c r="X10735" t="s">
        <v>45117</v>
      </c>
    </row>
    <row r="10736" spans="1:24">
      <c r="A10736">
        <f>HYPERLINK("https://www.philgeps.gov.ph/GEPSNONPILOT/Tender/SplashBidNoticeAbstractUI.aspx?menuIndex=3&amp;refID=7012148&amp;Result=3","7012148")</f>
        <v>0</v>
      </c>
      <c r="B10736" t="s">
        <v>2730</v>
      </c>
      <c r="C10736" t="s">
        <v>13438</v>
      </c>
      <c r="E10736" t="s">
        <v>27416</v>
      </c>
      <c r="F10736" t="s">
        <v>31574</v>
      </c>
      <c r="G10736" t="s">
        <v>31582</v>
      </c>
      <c r="H10736" t="s">
        <v>31590</v>
      </c>
      <c r="I10736" t="s">
        <v>3487</v>
      </c>
      <c r="J10736" t="s">
        <v>38403</v>
      </c>
      <c r="K10736" t="s">
        <v>41184</v>
      </c>
      <c r="M10736" t="s">
        <v>44501</v>
      </c>
      <c r="N10736" t="s">
        <v>45095</v>
      </c>
      <c r="O10736" t="s">
        <v>45096</v>
      </c>
      <c r="P10736">
        <v>0</v>
      </c>
      <c r="Q10736">
        <v>1</v>
      </c>
      <c r="R10736" t="s">
        <v>45109</v>
      </c>
      <c r="S10736" t="s">
        <v>45478</v>
      </c>
      <c r="T10736" t="s">
        <v>46963</v>
      </c>
      <c r="U10736" t="s">
        <v>56281</v>
      </c>
      <c r="V10736" t="s">
        <v>60945</v>
      </c>
      <c r="W10736" t="s">
        <v>44501</v>
      </c>
      <c r="X10736" t="s">
        <v>45117</v>
      </c>
    </row>
    <row r="10737" spans="1:24">
      <c r="A10737">
        <f>HYPERLINK("https://www.philgeps.gov.ph/GEPSNONPILOT/Tender/SplashBidNoticeAbstractUI.aspx?menuIndex=3&amp;refID=7012296&amp;Result=3","7012296")</f>
        <v>0</v>
      </c>
      <c r="B10737" t="s">
        <v>2730</v>
      </c>
      <c r="C10737" t="s">
        <v>13439</v>
      </c>
      <c r="E10737" t="s">
        <v>27417</v>
      </c>
      <c r="F10737" t="s">
        <v>31574</v>
      </c>
      <c r="G10737" t="s">
        <v>31582</v>
      </c>
      <c r="H10737" t="s">
        <v>31590</v>
      </c>
      <c r="I10737" t="s">
        <v>3539</v>
      </c>
      <c r="J10737" t="s">
        <v>38404</v>
      </c>
      <c r="K10737" t="s">
        <v>41184</v>
      </c>
      <c r="M10737" t="s">
        <v>44501</v>
      </c>
      <c r="N10737" t="s">
        <v>45095</v>
      </c>
      <c r="O10737" t="s">
        <v>45096</v>
      </c>
      <c r="P10737">
        <v>0</v>
      </c>
      <c r="Q10737">
        <v>0</v>
      </c>
      <c r="R10737" t="s">
        <v>45109</v>
      </c>
      <c r="S10737" t="s">
        <v>45478</v>
      </c>
      <c r="T10737" t="s">
        <v>46963</v>
      </c>
      <c r="U10737" t="s">
        <v>56282</v>
      </c>
      <c r="V10737" t="s">
        <v>60945</v>
      </c>
      <c r="W10737" t="s">
        <v>44501</v>
      </c>
      <c r="X10737" t="s">
        <v>45117</v>
      </c>
    </row>
    <row r="10738" spans="1:24">
      <c r="A10738">
        <f>HYPERLINK("https://www.philgeps.gov.ph/GEPSNONPILOT/Tender/SplashBidNoticeAbstractUI.aspx?menuIndex=3&amp;refID=7013358&amp;Result=3","7013358")</f>
        <v>0</v>
      </c>
      <c r="B10738" t="s">
        <v>2730</v>
      </c>
      <c r="C10738" t="s">
        <v>13440</v>
      </c>
      <c r="E10738" t="s">
        <v>27418</v>
      </c>
      <c r="F10738" t="s">
        <v>31574</v>
      </c>
      <c r="G10738" t="s">
        <v>31583</v>
      </c>
      <c r="H10738" t="s">
        <v>31590</v>
      </c>
      <c r="I10738" t="s">
        <v>14544</v>
      </c>
      <c r="J10738" t="s">
        <v>32506</v>
      </c>
      <c r="K10738" t="s">
        <v>41184</v>
      </c>
      <c r="M10738" t="s">
        <v>44501</v>
      </c>
      <c r="N10738" t="s">
        <v>45095</v>
      </c>
      <c r="O10738" t="s">
        <v>45096</v>
      </c>
      <c r="P10738">
        <v>0</v>
      </c>
      <c r="Q10738">
        <v>0</v>
      </c>
      <c r="R10738" t="s">
        <v>45109</v>
      </c>
      <c r="S10738" t="s">
        <v>45478</v>
      </c>
      <c r="T10738" t="s">
        <v>46963</v>
      </c>
      <c r="U10738" t="s">
        <v>56283</v>
      </c>
      <c r="V10738" t="s">
        <v>60945</v>
      </c>
      <c r="W10738" t="s">
        <v>44501</v>
      </c>
      <c r="X10738" t="s">
        <v>45117</v>
      </c>
    </row>
    <row r="10739" spans="1:24">
      <c r="A10739">
        <f>HYPERLINK("https://www.philgeps.gov.ph/GEPSNONPILOT/Tender/SplashBidNoticeAbstractUI.aspx?menuIndex=3&amp;refID=6964801&amp;Result=3","6964801")</f>
        <v>0</v>
      </c>
      <c r="B10739" t="s">
        <v>2779</v>
      </c>
      <c r="C10739" t="s">
        <v>13441</v>
      </c>
      <c r="D10739" t="s">
        <v>18065</v>
      </c>
      <c r="E10739" t="s">
        <v>27419</v>
      </c>
      <c r="F10739" t="s">
        <v>31574</v>
      </c>
      <c r="G10739" t="s">
        <v>31582</v>
      </c>
      <c r="H10739" t="s">
        <v>31591</v>
      </c>
      <c r="I10739" t="s">
        <v>8822</v>
      </c>
      <c r="J10739" t="s">
        <v>32019</v>
      </c>
      <c r="K10739" t="s">
        <v>41192</v>
      </c>
      <c r="M10739" t="s">
        <v>44554</v>
      </c>
      <c r="N10739" t="s">
        <v>45095</v>
      </c>
      <c r="O10739" t="s">
        <v>45096</v>
      </c>
      <c r="P10739">
        <v>0</v>
      </c>
      <c r="Q10739">
        <v>1</v>
      </c>
      <c r="R10739" t="s">
        <v>45109</v>
      </c>
      <c r="S10739" t="s">
        <v>45478</v>
      </c>
      <c r="T10739" t="s">
        <v>46985</v>
      </c>
      <c r="U10739" t="s">
        <v>56284</v>
      </c>
      <c r="W10739" t="s">
        <v>44554</v>
      </c>
      <c r="X10739" t="s">
        <v>45148</v>
      </c>
    </row>
    <row r="10740" spans="1:24">
      <c r="A10740">
        <f>HYPERLINK("https://www.philgeps.gov.ph/GEPSNONPILOT/Tender/SplashBidNoticeAbstractUI.aspx?menuIndex=3&amp;refID=7029790&amp;Result=3","7029790")</f>
        <v>0</v>
      </c>
      <c r="B10740" t="s">
        <v>1032</v>
      </c>
      <c r="C10740" t="s">
        <v>13442</v>
      </c>
      <c r="D10740" t="s">
        <v>18041</v>
      </c>
      <c r="E10740" t="s">
        <v>27420</v>
      </c>
      <c r="F10740" t="s">
        <v>31574</v>
      </c>
      <c r="G10740" t="s">
        <v>31582</v>
      </c>
      <c r="H10740" t="s">
        <v>31591</v>
      </c>
      <c r="I10740" t="s">
        <v>8822</v>
      </c>
      <c r="J10740" t="s">
        <v>31771</v>
      </c>
      <c r="K10740" t="s">
        <v>41200</v>
      </c>
      <c r="M10740" t="s">
        <v>42573</v>
      </c>
      <c r="N10740" t="s">
        <v>45095</v>
      </c>
      <c r="O10740" t="s">
        <v>45096</v>
      </c>
      <c r="Q10740">
        <v>1</v>
      </c>
      <c r="R10740" t="s">
        <v>45108</v>
      </c>
      <c r="S10740" t="s">
        <v>45482</v>
      </c>
      <c r="T10740" t="s">
        <v>47024</v>
      </c>
      <c r="U10740" t="s">
        <v>56285</v>
      </c>
      <c r="W10740" t="s">
        <v>42573</v>
      </c>
      <c r="X10740" t="s">
        <v>45109</v>
      </c>
    </row>
    <row r="10741" spans="1:24">
      <c r="A10741">
        <f>HYPERLINK("https://www.philgeps.gov.ph/GEPSNONPILOT/Tender/SplashBidNoticeAbstractUI.aspx?menuIndex=3&amp;refID=7013728&amp;Result=3","7013728")</f>
        <v>0</v>
      </c>
      <c r="B10741" t="s">
        <v>2730</v>
      </c>
      <c r="C10741" t="s">
        <v>13443</v>
      </c>
      <c r="E10741" t="s">
        <v>27421</v>
      </c>
      <c r="F10741" t="s">
        <v>31574</v>
      </c>
      <c r="G10741" t="s">
        <v>31583</v>
      </c>
      <c r="H10741" t="s">
        <v>31590</v>
      </c>
      <c r="I10741" t="s">
        <v>5717</v>
      </c>
      <c r="J10741" t="s">
        <v>31805</v>
      </c>
      <c r="K10741" t="s">
        <v>41184</v>
      </c>
      <c r="M10741" t="s">
        <v>44501</v>
      </c>
      <c r="N10741" t="s">
        <v>45095</v>
      </c>
      <c r="O10741" t="s">
        <v>45096</v>
      </c>
      <c r="P10741">
        <v>0</v>
      </c>
      <c r="Q10741">
        <v>2</v>
      </c>
      <c r="R10741" t="s">
        <v>45109</v>
      </c>
      <c r="S10741" t="s">
        <v>45478</v>
      </c>
      <c r="T10741" t="s">
        <v>46963</v>
      </c>
      <c r="U10741" t="s">
        <v>56286</v>
      </c>
      <c r="V10741" t="s">
        <v>60945</v>
      </c>
      <c r="W10741" t="s">
        <v>44501</v>
      </c>
      <c r="X10741" t="s">
        <v>45117</v>
      </c>
    </row>
    <row r="10742" spans="1:24">
      <c r="A10742">
        <f>HYPERLINK("https://www.philgeps.gov.ph/GEPSNONPILOT/Tender/SplashBidNoticeAbstractUI.aspx?menuIndex=3&amp;refID=7013622&amp;Result=3","7013622")</f>
        <v>0</v>
      </c>
      <c r="B10742" t="s">
        <v>2730</v>
      </c>
      <c r="C10742" t="s">
        <v>13444</v>
      </c>
      <c r="E10742" t="s">
        <v>27422</v>
      </c>
      <c r="F10742" t="s">
        <v>31574</v>
      </c>
      <c r="G10742" t="s">
        <v>31583</v>
      </c>
      <c r="H10742" t="s">
        <v>31590</v>
      </c>
      <c r="I10742" t="s">
        <v>14544</v>
      </c>
      <c r="J10742" t="s">
        <v>36428</v>
      </c>
      <c r="K10742" t="s">
        <v>41184</v>
      </c>
      <c r="M10742" t="s">
        <v>44501</v>
      </c>
      <c r="N10742" t="s">
        <v>45095</v>
      </c>
      <c r="O10742" t="s">
        <v>45096</v>
      </c>
      <c r="P10742">
        <v>0</v>
      </c>
      <c r="Q10742">
        <v>0</v>
      </c>
      <c r="R10742" t="s">
        <v>45109</v>
      </c>
      <c r="S10742" t="s">
        <v>45478</v>
      </c>
      <c r="T10742" t="s">
        <v>46963</v>
      </c>
      <c r="U10742" t="s">
        <v>56287</v>
      </c>
      <c r="V10742" t="s">
        <v>60945</v>
      </c>
      <c r="W10742" t="s">
        <v>44501</v>
      </c>
      <c r="X10742" t="s">
        <v>45117</v>
      </c>
    </row>
    <row r="10743" spans="1:24">
      <c r="A10743">
        <f>HYPERLINK("https://www.philgeps.gov.ph/GEPSNONPILOT/Tender/SplashBidNoticeAbstractUI.aspx?menuIndex=3&amp;refID=7013760&amp;Result=3","7013760")</f>
        <v>0</v>
      </c>
      <c r="B10743" t="s">
        <v>2730</v>
      </c>
      <c r="C10743" t="s">
        <v>13445</v>
      </c>
      <c r="E10743" t="s">
        <v>27423</v>
      </c>
      <c r="F10743" t="s">
        <v>31574</v>
      </c>
      <c r="G10743" t="s">
        <v>31582</v>
      </c>
      <c r="H10743" t="s">
        <v>31590</v>
      </c>
      <c r="I10743" t="s">
        <v>4327</v>
      </c>
      <c r="J10743" t="s">
        <v>38405</v>
      </c>
      <c r="K10743" t="s">
        <v>41184</v>
      </c>
      <c r="M10743" t="s">
        <v>44501</v>
      </c>
      <c r="N10743" t="s">
        <v>45095</v>
      </c>
      <c r="O10743" t="s">
        <v>45096</v>
      </c>
      <c r="P10743">
        <v>0</v>
      </c>
      <c r="Q10743">
        <v>3</v>
      </c>
      <c r="R10743" t="s">
        <v>45109</v>
      </c>
      <c r="S10743" t="s">
        <v>45478</v>
      </c>
      <c r="T10743" t="s">
        <v>46963</v>
      </c>
      <c r="U10743" t="s">
        <v>56288</v>
      </c>
      <c r="V10743" t="s">
        <v>60945</v>
      </c>
      <c r="W10743" t="s">
        <v>44501</v>
      </c>
      <c r="X10743" t="s">
        <v>45117</v>
      </c>
    </row>
    <row r="10744" spans="1:24">
      <c r="A10744">
        <f>HYPERLINK("https://www.philgeps.gov.ph/GEPSNONPILOT/Tender/SplashBidNoticeAbstractUI.aspx?menuIndex=3&amp;refID=7010650&amp;Result=3","7010650")</f>
        <v>0</v>
      </c>
      <c r="B10744" t="s">
        <v>575</v>
      </c>
      <c r="C10744" t="s">
        <v>13446</v>
      </c>
      <c r="D10744" t="s">
        <v>18027</v>
      </c>
      <c r="E10744" t="s">
        <v>27424</v>
      </c>
      <c r="F10744" t="s">
        <v>31574</v>
      </c>
      <c r="G10744" t="s">
        <v>31582</v>
      </c>
      <c r="H10744" t="s">
        <v>31590</v>
      </c>
      <c r="I10744" t="s">
        <v>31614</v>
      </c>
      <c r="J10744" t="s">
        <v>38406</v>
      </c>
      <c r="K10744" t="s">
        <v>41184</v>
      </c>
      <c r="M10744" t="s">
        <v>42076</v>
      </c>
      <c r="N10744" t="s">
        <v>45095</v>
      </c>
      <c r="O10744" t="s">
        <v>45096</v>
      </c>
      <c r="P10744">
        <v>0</v>
      </c>
      <c r="Q10744">
        <v>3</v>
      </c>
      <c r="R10744" t="s">
        <v>45109</v>
      </c>
      <c r="S10744" t="s">
        <v>45478</v>
      </c>
      <c r="T10744" t="s">
        <v>47180</v>
      </c>
      <c r="U10744" t="s">
        <v>56289</v>
      </c>
      <c r="W10744" t="s">
        <v>42076</v>
      </c>
      <c r="X10744" t="s">
        <v>45118</v>
      </c>
    </row>
    <row r="10745" spans="1:24">
      <c r="A10745">
        <f>HYPERLINK("https://www.philgeps.gov.ph/GEPSNONPILOT/Tender/SplashBidNoticeAbstractUI.aspx?menuIndex=3&amp;refID=6851319-2&amp;Result=3","6851319-2")</f>
        <v>0</v>
      </c>
      <c r="B10745" t="s">
        <v>1329</v>
      </c>
      <c r="C10745" t="s">
        <v>13447</v>
      </c>
      <c r="D10745" t="s">
        <v>18022</v>
      </c>
      <c r="E10745" t="s">
        <v>27425</v>
      </c>
      <c r="F10745" t="s">
        <v>31574</v>
      </c>
      <c r="G10745" t="s">
        <v>31582</v>
      </c>
      <c r="H10745" t="s">
        <v>31593</v>
      </c>
      <c r="I10745" t="s">
        <v>31593</v>
      </c>
      <c r="J10745" t="s">
        <v>38407</v>
      </c>
      <c r="K10745" t="s">
        <v>41225</v>
      </c>
      <c r="M10745" t="s">
        <v>44052</v>
      </c>
      <c r="N10745" t="s">
        <v>45095</v>
      </c>
      <c r="O10745" t="s">
        <v>45096</v>
      </c>
      <c r="P10745">
        <v>0</v>
      </c>
      <c r="Q10745">
        <v>1</v>
      </c>
      <c r="R10745" t="s">
        <v>45109</v>
      </c>
      <c r="S10745" t="s">
        <v>45478</v>
      </c>
      <c r="T10745" t="s">
        <v>46984</v>
      </c>
      <c r="U10745" t="s">
        <v>56290</v>
      </c>
      <c r="V10745" t="s">
        <v>60978</v>
      </c>
      <c r="W10745" t="s">
        <v>44052</v>
      </c>
      <c r="X10745" t="s">
        <v>45110</v>
      </c>
    </row>
    <row r="10746" spans="1:24">
      <c r="A10746">
        <f>HYPERLINK("https://www.philgeps.gov.ph/GEPSNONPILOT/Tender/SplashBidNoticeAbstractUI.aspx?menuIndex=3&amp;refID=7013550&amp;Result=3","7013550")</f>
        <v>0</v>
      </c>
      <c r="B10746" t="s">
        <v>2730</v>
      </c>
      <c r="C10746" t="s">
        <v>13448</v>
      </c>
      <c r="E10746" t="s">
        <v>27426</v>
      </c>
      <c r="F10746" t="s">
        <v>31574</v>
      </c>
      <c r="G10746" t="s">
        <v>31582</v>
      </c>
      <c r="H10746" t="s">
        <v>31590</v>
      </c>
      <c r="I10746" t="s">
        <v>14544</v>
      </c>
      <c r="J10746" t="s">
        <v>38408</v>
      </c>
      <c r="K10746" t="s">
        <v>41184</v>
      </c>
      <c r="M10746" t="s">
        <v>44501</v>
      </c>
      <c r="N10746" t="s">
        <v>45095</v>
      </c>
      <c r="O10746" t="s">
        <v>45096</v>
      </c>
      <c r="P10746">
        <v>0</v>
      </c>
      <c r="Q10746">
        <v>0</v>
      </c>
      <c r="R10746" t="s">
        <v>45109</v>
      </c>
      <c r="S10746" t="s">
        <v>45478</v>
      </c>
      <c r="T10746" t="s">
        <v>46963</v>
      </c>
      <c r="U10746" t="s">
        <v>56291</v>
      </c>
      <c r="V10746" t="s">
        <v>60945</v>
      </c>
      <c r="W10746" t="s">
        <v>44501</v>
      </c>
      <c r="X10746" t="s">
        <v>45117</v>
      </c>
    </row>
    <row r="10747" spans="1:24">
      <c r="A10747">
        <f>HYPERLINK("https://www.philgeps.gov.ph/GEPSNONPILOT/Tender/SplashBidNoticeAbstractUI.aspx?menuIndex=3&amp;refID=7013501&amp;Result=3","7013501")</f>
        <v>0</v>
      </c>
      <c r="B10747" t="s">
        <v>2730</v>
      </c>
      <c r="C10747" t="s">
        <v>13449</v>
      </c>
      <c r="E10747" t="s">
        <v>27427</v>
      </c>
      <c r="F10747" t="s">
        <v>31574</v>
      </c>
      <c r="G10747" t="s">
        <v>31582</v>
      </c>
      <c r="H10747" t="s">
        <v>31590</v>
      </c>
      <c r="I10747" t="s">
        <v>14544</v>
      </c>
      <c r="J10747" t="s">
        <v>38409</v>
      </c>
      <c r="K10747" t="s">
        <v>41184</v>
      </c>
      <c r="M10747" t="s">
        <v>44501</v>
      </c>
      <c r="N10747" t="s">
        <v>45095</v>
      </c>
      <c r="O10747" t="s">
        <v>45096</v>
      </c>
      <c r="P10747">
        <v>0</v>
      </c>
      <c r="Q10747">
        <v>0</v>
      </c>
      <c r="R10747" t="s">
        <v>45109</v>
      </c>
      <c r="S10747" t="s">
        <v>45478</v>
      </c>
      <c r="T10747" t="s">
        <v>46963</v>
      </c>
      <c r="U10747" t="s">
        <v>56292</v>
      </c>
      <c r="V10747" t="s">
        <v>60945</v>
      </c>
      <c r="W10747" t="s">
        <v>44501</v>
      </c>
      <c r="X10747" t="s">
        <v>45117</v>
      </c>
    </row>
    <row r="10748" spans="1:24">
      <c r="A10748">
        <f>HYPERLINK("https://www.philgeps.gov.ph/GEPSNONPILOT/Tender/SplashBidNoticeAbstractUI.aspx?menuIndex=3&amp;refID=7013736&amp;Result=3","7013736")</f>
        <v>0</v>
      </c>
      <c r="B10748" t="s">
        <v>443</v>
      </c>
      <c r="C10748" t="s">
        <v>13450</v>
      </c>
      <c r="D10748" t="s">
        <v>18062</v>
      </c>
      <c r="E10748" t="s">
        <v>27428</v>
      </c>
      <c r="F10748" t="s">
        <v>31574</v>
      </c>
      <c r="G10748" t="s">
        <v>31582</v>
      </c>
      <c r="H10748" t="s">
        <v>31591</v>
      </c>
      <c r="I10748" t="s">
        <v>8822</v>
      </c>
      <c r="J10748" t="s">
        <v>33268</v>
      </c>
      <c r="K10748" t="s">
        <v>41421</v>
      </c>
      <c r="M10748" t="s">
        <v>41936</v>
      </c>
      <c r="N10748" t="s">
        <v>45095</v>
      </c>
      <c r="O10748" t="s">
        <v>45096</v>
      </c>
      <c r="P10748">
        <v>0</v>
      </c>
      <c r="Q10748">
        <v>6</v>
      </c>
      <c r="R10748" t="s">
        <v>45109</v>
      </c>
      <c r="S10748" t="s">
        <v>45478</v>
      </c>
      <c r="T10748" t="s">
        <v>46922</v>
      </c>
      <c r="U10748" t="s">
        <v>48547</v>
      </c>
      <c r="V10748" t="s">
        <v>60979</v>
      </c>
      <c r="W10748" t="s">
        <v>41936</v>
      </c>
      <c r="X10748" t="s">
        <v>45117</v>
      </c>
    </row>
    <row r="10749" spans="1:24">
      <c r="A10749">
        <f>HYPERLINK("https://www.philgeps.gov.ph/GEPSNONPILOT/Tender/SplashBidNoticeAbstractUI.aspx?menuIndex=3&amp;refID=7015474&amp;Result=3","7015474")</f>
        <v>0</v>
      </c>
      <c r="B10749" t="s">
        <v>2780</v>
      </c>
      <c r="C10749" t="s">
        <v>13451</v>
      </c>
      <c r="D10749" t="s">
        <v>18050</v>
      </c>
      <c r="E10749" t="s">
        <v>24535</v>
      </c>
      <c r="F10749" t="s">
        <v>31575</v>
      </c>
      <c r="G10749" t="s">
        <v>31582</v>
      </c>
      <c r="H10749" t="s">
        <v>31590</v>
      </c>
      <c r="I10749" t="s">
        <v>4046</v>
      </c>
      <c r="J10749" t="s">
        <v>34033</v>
      </c>
      <c r="K10749" t="s">
        <v>41195</v>
      </c>
      <c r="M10749" t="s">
        <v>44555</v>
      </c>
      <c r="N10749" t="s">
        <v>45095</v>
      </c>
      <c r="O10749" t="s">
        <v>45096</v>
      </c>
      <c r="P10749">
        <v>0</v>
      </c>
      <c r="Q10749">
        <v>1</v>
      </c>
      <c r="R10749" t="s">
        <v>45109</v>
      </c>
      <c r="S10749" t="s">
        <v>45478</v>
      </c>
      <c r="T10749" t="s">
        <v>46963</v>
      </c>
      <c r="U10749" t="s">
        <v>56293</v>
      </c>
      <c r="W10749" t="s">
        <v>44555</v>
      </c>
      <c r="X10749" t="s">
        <v>45116</v>
      </c>
    </row>
    <row r="10750" spans="1:24">
      <c r="A10750">
        <f>HYPERLINK("https://www.philgeps.gov.ph/GEPSNONPILOT/Tender/SplashBidNoticeAbstractUI.aspx?menuIndex=3&amp;refID=6964814&amp;Result=3","6964814")</f>
        <v>0</v>
      </c>
      <c r="B10750" t="s">
        <v>2779</v>
      </c>
      <c r="C10750" t="s">
        <v>13452</v>
      </c>
      <c r="D10750" t="s">
        <v>18065</v>
      </c>
      <c r="E10750" t="s">
        <v>27429</v>
      </c>
      <c r="F10750" t="s">
        <v>31574</v>
      </c>
      <c r="G10750" t="s">
        <v>31582</v>
      </c>
      <c r="H10750" t="s">
        <v>31591</v>
      </c>
      <c r="I10750" t="s">
        <v>8822</v>
      </c>
      <c r="J10750" t="s">
        <v>38410</v>
      </c>
      <c r="K10750" t="s">
        <v>41185</v>
      </c>
      <c r="M10750" t="s">
        <v>44554</v>
      </c>
      <c r="N10750" t="s">
        <v>45095</v>
      </c>
      <c r="O10750" t="s">
        <v>45096</v>
      </c>
      <c r="P10750">
        <v>0</v>
      </c>
      <c r="Q10750">
        <v>1</v>
      </c>
      <c r="R10750" t="s">
        <v>45109</v>
      </c>
      <c r="S10750" t="s">
        <v>45478</v>
      </c>
      <c r="T10750" t="s">
        <v>46985</v>
      </c>
      <c r="U10750" t="s">
        <v>56294</v>
      </c>
      <c r="W10750" t="s">
        <v>44554</v>
      </c>
      <c r="X10750" t="s">
        <v>45148</v>
      </c>
    </row>
    <row r="10751" spans="1:24">
      <c r="A10751">
        <f>HYPERLINK("https://www.philgeps.gov.ph/GEPSNONPILOT/Tender/SplashBidNoticeAbstractUI.aspx?menuIndex=3&amp;refID=7013578&amp;Result=3","7013578")</f>
        <v>0</v>
      </c>
      <c r="B10751" t="s">
        <v>2730</v>
      </c>
      <c r="C10751" t="s">
        <v>13453</v>
      </c>
      <c r="E10751" t="s">
        <v>27430</v>
      </c>
      <c r="F10751" t="s">
        <v>31574</v>
      </c>
      <c r="G10751" t="s">
        <v>31583</v>
      </c>
      <c r="H10751" t="s">
        <v>31590</v>
      </c>
      <c r="I10751" t="s">
        <v>14544</v>
      </c>
      <c r="J10751" t="s">
        <v>38411</v>
      </c>
      <c r="K10751" t="s">
        <v>41184</v>
      </c>
      <c r="M10751" t="s">
        <v>44501</v>
      </c>
      <c r="N10751" t="s">
        <v>45095</v>
      </c>
      <c r="O10751" t="s">
        <v>45096</v>
      </c>
      <c r="P10751">
        <v>0</v>
      </c>
      <c r="Q10751">
        <v>0</v>
      </c>
      <c r="R10751" t="s">
        <v>45109</v>
      </c>
      <c r="S10751" t="s">
        <v>45478</v>
      </c>
      <c r="T10751" t="s">
        <v>46963</v>
      </c>
      <c r="U10751" t="s">
        <v>56295</v>
      </c>
      <c r="V10751" t="s">
        <v>60945</v>
      </c>
      <c r="W10751" t="s">
        <v>44501</v>
      </c>
      <c r="X10751" t="s">
        <v>45117</v>
      </c>
    </row>
    <row r="10752" spans="1:24">
      <c r="A10752">
        <f>HYPERLINK("https://www.philgeps.gov.ph/GEPSNONPILOT/Tender/SplashBidNoticeAbstractUI.aspx?menuIndex=3&amp;refID=7015442&amp;Result=3","7015442")</f>
        <v>0</v>
      </c>
      <c r="B10752" t="s">
        <v>443</v>
      </c>
      <c r="C10752" t="s">
        <v>13454</v>
      </c>
      <c r="D10752" t="s">
        <v>18062</v>
      </c>
      <c r="E10752" t="s">
        <v>27431</v>
      </c>
      <c r="F10752" t="s">
        <v>31574</v>
      </c>
      <c r="G10752" t="s">
        <v>31582</v>
      </c>
      <c r="H10752" t="s">
        <v>31591</v>
      </c>
      <c r="I10752" t="s">
        <v>8822</v>
      </c>
      <c r="J10752" t="s">
        <v>32526</v>
      </c>
      <c r="K10752" t="s">
        <v>41320</v>
      </c>
      <c r="M10752" t="s">
        <v>41936</v>
      </c>
      <c r="N10752" t="s">
        <v>45095</v>
      </c>
      <c r="O10752" t="s">
        <v>45096</v>
      </c>
      <c r="P10752">
        <v>0</v>
      </c>
      <c r="Q10752">
        <v>0</v>
      </c>
      <c r="R10752" t="s">
        <v>45109</v>
      </c>
      <c r="S10752" t="s">
        <v>45478</v>
      </c>
      <c r="T10752" t="s">
        <v>46922</v>
      </c>
      <c r="U10752" t="s">
        <v>48547</v>
      </c>
      <c r="V10752" t="s">
        <v>60980</v>
      </c>
      <c r="W10752" t="s">
        <v>41936</v>
      </c>
      <c r="X10752" t="s">
        <v>45116</v>
      </c>
    </row>
    <row r="10753" spans="1:24">
      <c r="A10753">
        <f>HYPERLINK("https://www.philgeps.gov.ph/GEPSNONPILOT/Tender/SplashBidNoticeAbstractUI.aspx?menuIndex=3&amp;refID=7015250&amp;Result=3","7015250")</f>
        <v>0</v>
      </c>
      <c r="B10753" t="s">
        <v>443</v>
      </c>
      <c r="C10753" t="s">
        <v>13455</v>
      </c>
      <c r="D10753" t="s">
        <v>18062</v>
      </c>
      <c r="E10753" t="s">
        <v>27432</v>
      </c>
      <c r="F10753" t="s">
        <v>31574</v>
      </c>
      <c r="G10753" t="s">
        <v>31582</v>
      </c>
      <c r="H10753" t="s">
        <v>31591</v>
      </c>
      <c r="I10753" t="s">
        <v>8822</v>
      </c>
      <c r="J10753" t="s">
        <v>32526</v>
      </c>
      <c r="K10753" t="s">
        <v>41320</v>
      </c>
      <c r="M10753" t="s">
        <v>41936</v>
      </c>
      <c r="N10753" t="s">
        <v>45095</v>
      </c>
      <c r="O10753" t="s">
        <v>45096</v>
      </c>
      <c r="P10753">
        <v>0</v>
      </c>
      <c r="Q10753">
        <v>1</v>
      </c>
      <c r="R10753" t="s">
        <v>45109</v>
      </c>
      <c r="S10753" t="s">
        <v>45478</v>
      </c>
      <c r="T10753" t="s">
        <v>46922</v>
      </c>
      <c r="U10753" t="s">
        <v>48547</v>
      </c>
      <c r="V10753" t="s">
        <v>60981</v>
      </c>
      <c r="W10753" t="s">
        <v>41936</v>
      </c>
      <c r="X10753" t="s">
        <v>45116</v>
      </c>
    </row>
    <row r="10754" spans="1:24">
      <c r="A10754">
        <f>HYPERLINK("https://www.philgeps.gov.ph/GEPSNONPILOT/Tender/SplashBidNoticeAbstractUI.aspx?menuIndex=3&amp;refID=7013892&amp;Result=3","7013892")</f>
        <v>0</v>
      </c>
      <c r="B10754" t="s">
        <v>2730</v>
      </c>
      <c r="C10754" t="s">
        <v>13456</v>
      </c>
      <c r="E10754" t="s">
        <v>27433</v>
      </c>
      <c r="F10754" t="s">
        <v>31574</v>
      </c>
      <c r="G10754" t="s">
        <v>31583</v>
      </c>
      <c r="H10754" t="s">
        <v>31590</v>
      </c>
      <c r="I10754" t="s">
        <v>31600</v>
      </c>
      <c r="J10754" t="s">
        <v>38412</v>
      </c>
      <c r="K10754" t="s">
        <v>41184</v>
      </c>
      <c r="M10754" t="s">
        <v>44501</v>
      </c>
      <c r="N10754" t="s">
        <v>45095</v>
      </c>
      <c r="O10754" t="s">
        <v>45096</v>
      </c>
      <c r="P10754">
        <v>0</v>
      </c>
      <c r="Q10754">
        <v>0</v>
      </c>
      <c r="R10754" t="s">
        <v>45109</v>
      </c>
      <c r="S10754" t="s">
        <v>45478</v>
      </c>
      <c r="T10754" t="s">
        <v>46963</v>
      </c>
      <c r="U10754" t="s">
        <v>56296</v>
      </c>
      <c r="V10754" t="s">
        <v>60945</v>
      </c>
      <c r="W10754" t="s">
        <v>44501</v>
      </c>
      <c r="X10754" t="s">
        <v>45117</v>
      </c>
    </row>
    <row r="10755" spans="1:24">
      <c r="A10755">
        <f>HYPERLINK("https://www.philgeps.gov.ph/GEPSNONPILOT/Tender/SplashBidNoticeAbstractUI.aspx?menuIndex=3&amp;refID=7015184&amp;Result=3","7015184")</f>
        <v>0</v>
      </c>
      <c r="B10755" t="s">
        <v>443</v>
      </c>
      <c r="C10755" t="s">
        <v>13457</v>
      </c>
      <c r="D10755" t="s">
        <v>18062</v>
      </c>
      <c r="E10755" t="s">
        <v>27434</v>
      </c>
      <c r="F10755" t="s">
        <v>31574</v>
      </c>
      <c r="G10755" t="s">
        <v>31582</v>
      </c>
      <c r="H10755" t="s">
        <v>31591</v>
      </c>
      <c r="I10755" t="s">
        <v>8822</v>
      </c>
      <c r="J10755" t="s">
        <v>32526</v>
      </c>
      <c r="K10755" t="s">
        <v>41228</v>
      </c>
      <c r="M10755" t="s">
        <v>41936</v>
      </c>
      <c r="N10755" t="s">
        <v>45095</v>
      </c>
      <c r="O10755" t="s">
        <v>45096</v>
      </c>
      <c r="P10755">
        <v>0</v>
      </c>
      <c r="Q10755">
        <v>1</v>
      </c>
      <c r="R10755" t="s">
        <v>45109</v>
      </c>
      <c r="S10755" t="s">
        <v>45478</v>
      </c>
      <c r="T10755" t="s">
        <v>46922</v>
      </c>
      <c r="U10755" t="s">
        <v>48547</v>
      </c>
      <c r="V10755" t="s">
        <v>60982</v>
      </c>
      <c r="W10755" t="s">
        <v>41936</v>
      </c>
      <c r="X10755" t="s">
        <v>45116</v>
      </c>
    </row>
    <row r="10756" spans="1:24">
      <c r="A10756">
        <f>HYPERLINK("https://www.philgeps.gov.ph/GEPSNONPILOT/Tender/SplashBidNoticeAbstractUI.aspx?menuIndex=3&amp;refID=7013924&amp;Result=3","7013924")</f>
        <v>0</v>
      </c>
      <c r="B10756" t="s">
        <v>2730</v>
      </c>
      <c r="C10756" t="s">
        <v>3328</v>
      </c>
      <c r="E10756" t="s">
        <v>27435</v>
      </c>
      <c r="F10756" t="s">
        <v>31574</v>
      </c>
      <c r="G10756" t="s">
        <v>31583</v>
      </c>
      <c r="H10756" t="s">
        <v>31590</v>
      </c>
      <c r="I10756" t="s">
        <v>6800</v>
      </c>
      <c r="J10756" t="s">
        <v>32772</v>
      </c>
      <c r="K10756" t="s">
        <v>41184</v>
      </c>
      <c r="M10756" t="s">
        <v>44501</v>
      </c>
      <c r="N10756" t="s">
        <v>45095</v>
      </c>
      <c r="O10756" t="s">
        <v>45096</v>
      </c>
      <c r="P10756">
        <v>0</v>
      </c>
      <c r="Q10756">
        <v>2</v>
      </c>
      <c r="R10756" t="s">
        <v>45109</v>
      </c>
      <c r="S10756" t="s">
        <v>45478</v>
      </c>
      <c r="T10756" t="s">
        <v>46963</v>
      </c>
      <c r="U10756" t="s">
        <v>56297</v>
      </c>
      <c r="V10756" t="s">
        <v>60945</v>
      </c>
      <c r="W10756" t="s">
        <v>44501</v>
      </c>
      <c r="X10756" t="s">
        <v>45117</v>
      </c>
    </row>
    <row r="10757" spans="1:24">
      <c r="A10757">
        <f>HYPERLINK("https://www.philgeps.gov.ph/GEPSNONPILOT/Tender/SplashBidNoticeAbstractUI.aspx?menuIndex=3&amp;refID=7013430&amp;Result=3","7013430")</f>
        <v>0</v>
      </c>
      <c r="B10757" t="s">
        <v>2730</v>
      </c>
      <c r="C10757" t="s">
        <v>13458</v>
      </c>
      <c r="E10757" t="s">
        <v>27436</v>
      </c>
      <c r="F10757" t="s">
        <v>31574</v>
      </c>
      <c r="G10757" t="s">
        <v>31583</v>
      </c>
      <c r="H10757" t="s">
        <v>31590</v>
      </c>
      <c r="I10757" t="s">
        <v>14544</v>
      </c>
      <c r="J10757" t="s">
        <v>38413</v>
      </c>
      <c r="K10757" t="s">
        <v>41184</v>
      </c>
      <c r="M10757" t="s">
        <v>44501</v>
      </c>
      <c r="N10757" t="s">
        <v>45095</v>
      </c>
      <c r="O10757" t="s">
        <v>45096</v>
      </c>
      <c r="P10757">
        <v>0</v>
      </c>
      <c r="Q10757">
        <v>0</v>
      </c>
      <c r="R10757" t="s">
        <v>45109</v>
      </c>
      <c r="S10757" t="s">
        <v>45478</v>
      </c>
      <c r="T10757" t="s">
        <v>46963</v>
      </c>
      <c r="U10757" t="s">
        <v>56298</v>
      </c>
      <c r="V10757" t="s">
        <v>60945</v>
      </c>
      <c r="W10757" t="s">
        <v>44501</v>
      </c>
      <c r="X10757" t="s">
        <v>45117</v>
      </c>
    </row>
    <row r="10758" spans="1:24">
      <c r="A10758">
        <f>HYPERLINK("https://www.philgeps.gov.ph/GEPSNONPILOT/Tender/SplashBidNoticeAbstractUI.aspx?menuIndex=3&amp;refID=7013481&amp;Result=3","7013481")</f>
        <v>0</v>
      </c>
      <c r="B10758" t="s">
        <v>2730</v>
      </c>
      <c r="C10758" t="s">
        <v>13459</v>
      </c>
      <c r="E10758" t="s">
        <v>27437</v>
      </c>
      <c r="F10758" t="s">
        <v>31574</v>
      </c>
      <c r="G10758" t="s">
        <v>31583</v>
      </c>
      <c r="H10758" t="s">
        <v>31590</v>
      </c>
      <c r="I10758" t="s">
        <v>14544</v>
      </c>
      <c r="J10758" t="s">
        <v>38414</v>
      </c>
      <c r="K10758" t="s">
        <v>41184</v>
      </c>
      <c r="M10758" t="s">
        <v>44501</v>
      </c>
      <c r="N10758" t="s">
        <v>45095</v>
      </c>
      <c r="O10758" t="s">
        <v>45096</v>
      </c>
      <c r="P10758">
        <v>0</v>
      </c>
      <c r="Q10758">
        <v>0</v>
      </c>
      <c r="R10758" t="s">
        <v>45109</v>
      </c>
      <c r="S10758" t="s">
        <v>45478</v>
      </c>
      <c r="T10758" t="s">
        <v>46963</v>
      </c>
      <c r="U10758" t="s">
        <v>56299</v>
      </c>
      <c r="V10758" t="s">
        <v>60945</v>
      </c>
      <c r="W10758" t="s">
        <v>44501</v>
      </c>
      <c r="X10758" t="s">
        <v>45117</v>
      </c>
    </row>
    <row r="10759" spans="1:24">
      <c r="A10759">
        <f>HYPERLINK("https://www.philgeps.gov.ph/GEPSNONPILOT/Tender/SplashBidNoticeAbstractUI.aspx?menuIndex=3&amp;refID=7013798&amp;Result=3","7013798")</f>
        <v>0</v>
      </c>
      <c r="B10759" t="s">
        <v>2730</v>
      </c>
      <c r="C10759" t="s">
        <v>13460</v>
      </c>
      <c r="E10759" t="s">
        <v>27438</v>
      </c>
      <c r="F10759" t="s">
        <v>31574</v>
      </c>
      <c r="G10759" t="s">
        <v>31583</v>
      </c>
      <c r="H10759" t="s">
        <v>31590</v>
      </c>
      <c r="I10759" t="s">
        <v>31622</v>
      </c>
      <c r="J10759" t="s">
        <v>38415</v>
      </c>
      <c r="K10759" t="s">
        <v>41184</v>
      </c>
      <c r="M10759" t="s">
        <v>44501</v>
      </c>
      <c r="N10759" t="s">
        <v>45095</v>
      </c>
      <c r="O10759" t="s">
        <v>45096</v>
      </c>
      <c r="P10759">
        <v>0</v>
      </c>
      <c r="Q10759">
        <v>0</v>
      </c>
      <c r="R10759" t="s">
        <v>45109</v>
      </c>
      <c r="S10759" t="s">
        <v>45478</v>
      </c>
      <c r="T10759" t="s">
        <v>46963</v>
      </c>
      <c r="U10759" t="s">
        <v>56300</v>
      </c>
      <c r="V10759" t="s">
        <v>60945</v>
      </c>
      <c r="W10759" t="s">
        <v>44501</v>
      </c>
      <c r="X10759" t="s">
        <v>45117</v>
      </c>
    </row>
    <row r="10760" spans="1:24">
      <c r="A10760">
        <f>HYPERLINK("https://www.philgeps.gov.ph/GEPSNONPILOT/Tender/SplashBidNoticeAbstractUI.aspx?menuIndex=3&amp;refID=7014016&amp;Result=3","7014016")</f>
        <v>0</v>
      </c>
      <c r="B10760" t="s">
        <v>2730</v>
      </c>
      <c r="C10760" t="s">
        <v>13461</v>
      </c>
      <c r="E10760" t="s">
        <v>27439</v>
      </c>
      <c r="F10760" t="s">
        <v>31574</v>
      </c>
      <c r="G10760" t="s">
        <v>31583</v>
      </c>
      <c r="H10760" t="s">
        <v>31590</v>
      </c>
      <c r="I10760" t="s">
        <v>5717</v>
      </c>
      <c r="J10760" t="s">
        <v>35877</v>
      </c>
      <c r="K10760" t="s">
        <v>41184</v>
      </c>
      <c r="M10760" t="s">
        <v>44501</v>
      </c>
      <c r="N10760" t="s">
        <v>45095</v>
      </c>
      <c r="O10760" t="s">
        <v>45096</v>
      </c>
      <c r="P10760">
        <v>0</v>
      </c>
      <c r="Q10760">
        <v>2</v>
      </c>
      <c r="R10760" t="s">
        <v>45109</v>
      </c>
      <c r="S10760" t="s">
        <v>45478</v>
      </c>
      <c r="T10760" t="s">
        <v>46963</v>
      </c>
      <c r="U10760" t="s">
        <v>56301</v>
      </c>
      <c r="V10760" t="s">
        <v>60945</v>
      </c>
      <c r="W10760" t="s">
        <v>44501</v>
      </c>
      <c r="X10760" t="s">
        <v>45117</v>
      </c>
    </row>
    <row r="10761" spans="1:24">
      <c r="A10761">
        <f>HYPERLINK("https://www.philgeps.gov.ph/GEPSNONPILOT/Tender/SplashBidNoticeAbstractUI.aspx?menuIndex=3&amp;refID=7016696&amp;Result=3","7016696")</f>
        <v>0</v>
      </c>
      <c r="B10761" t="s">
        <v>2730</v>
      </c>
      <c r="C10761" t="s">
        <v>13462</v>
      </c>
      <c r="E10761" t="s">
        <v>27440</v>
      </c>
      <c r="F10761" t="s">
        <v>31574</v>
      </c>
      <c r="G10761" t="s">
        <v>31583</v>
      </c>
      <c r="H10761" t="s">
        <v>31590</v>
      </c>
      <c r="I10761" t="s">
        <v>3539</v>
      </c>
      <c r="J10761" t="s">
        <v>38416</v>
      </c>
      <c r="K10761" t="s">
        <v>41184</v>
      </c>
      <c r="M10761" t="s">
        <v>44501</v>
      </c>
      <c r="N10761" t="s">
        <v>45095</v>
      </c>
      <c r="O10761" t="s">
        <v>45096</v>
      </c>
      <c r="P10761">
        <v>0</v>
      </c>
      <c r="Q10761">
        <v>0</v>
      </c>
      <c r="R10761" t="s">
        <v>45109</v>
      </c>
      <c r="S10761" t="s">
        <v>45478</v>
      </c>
      <c r="T10761" t="s">
        <v>46963</v>
      </c>
      <c r="U10761" t="s">
        <v>56302</v>
      </c>
      <c r="V10761" t="s">
        <v>60983</v>
      </c>
      <c r="W10761" t="s">
        <v>44501</v>
      </c>
      <c r="X10761" t="s">
        <v>45115</v>
      </c>
    </row>
    <row r="10762" spans="1:24">
      <c r="A10762">
        <f>HYPERLINK("https://www.philgeps.gov.ph/GEPSNONPILOT/Tender/SplashBidNoticeAbstractUI.aspx?menuIndex=3&amp;refID=7014026&amp;Result=3","7014026")</f>
        <v>0</v>
      </c>
      <c r="B10762" t="s">
        <v>2730</v>
      </c>
      <c r="C10762" t="s">
        <v>13463</v>
      </c>
      <c r="E10762" t="s">
        <v>27439</v>
      </c>
      <c r="F10762" t="s">
        <v>31574</v>
      </c>
      <c r="G10762" t="s">
        <v>31583</v>
      </c>
      <c r="H10762" t="s">
        <v>31590</v>
      </c>
      <c r="I10762" t="s">
        <v>3539</v>
      </c>
      <c r="J10762" t="s">
        <v>32029</v>
      </c>
      <c r="K10762" t="s">
        <v>41184</v>
      </c>
      <c r="M10762" t="s">
        <v>44501</v>
      </c>
      <c r="N10762" t="s">
        <v>45095</v>
      </c>
      <c r="O10762" t="s">
        <v>45096</v>
      </c>
      <c r="P10762">
        <v>0</v>
      </c>
      <c r="Q10762">
        <v>0</v>
      </c>
      <c r="R10762" t="s">
        <v>45109</v>
      </c>
      <c r="S10762" t="s">
        <v>45478</v>
      </c>
      <c r="T10762" t="s">
        <v>46963</v>
      </c>
      <c r="U10762" t="s">
        <v>56303</v>
      </c>
      <c r="V10762" t="s">
        <v>60983</v>
      </c>
      <c r="W10762" t="s">
        <v>44501</v>
      </c>
      <c r="X10762" t="s">
        <v>45117</v>
      </c>
    </row>
    <row r="10763" spans="1:24">
      <c r="A10763">
        <f>HYPERLINK("https://www.philgeps.gov.ph/GEPSNONPILOT/Tender/SplashBidNoticeAbstractUI.aspx?menuIndex=3&amp;refID=7016680&amp;Result=3","7016680")</f>
        <v>0</v>
      </c>
      <c r="B10763" t="s">
        <v>2730</v>
      </c>
      <c r="C10763" t="s">
        <v>13464</v>
      </c>
      <c r="E10763" t="s">
        <v>27441</v>
      </c>
      <c r="F10763" t="s">
        <v>31574</v>
      </c>
      <c r="G10763" t="s">
        <v>31583</v>
      </c>
      <c r="H10763" t="s">
        <v>31590</v>
      </c>
      <c r="I10763" t="s">
        <v>3539</v>
      </c>
      <c r="J10763" t="s">
        <v>38416</v>
      </c>
      <c r="K10763" t="s">
        <v>41184</v>
      </c>
      <c r="M10763" t="s">
        <v>44501</v>
      </c>
      <c r="N10763" t="s">
        <v>45095</v>
      </c>
      <c r="O10763" t="s">
        <v>45096</v>
      </c>
      <c r="P10763">
        <v>0</v>
      </c>
      <c r="Q10763">
        <v>0</v>
      </c>
      <c r="R10763" t="s">
        <v>45109</v>
      </c>
      <c r="S10763" t="s">
        <v>45478</v>
      </c>
      <c r="T10763" t="s">
        <v>46963</v>
      </c>
      <c r="U10763" t="s">
        <v>56304</v>
      </c>
      <c r="V10763" t="s">
        <v>60945</v>
      </c>
      <c r="W10763" t="s">
        <v>44501</v>
      </c>
      <c r="X10763" t="s">
        <v>45115</v>
      </c>
    </row>
    <row r="10764" spans="1:24">
      <c r="A10764">
        <f>HYPERLINK("https://www.philgeps.gov.ph/GEPSNONPILOT/Tender/SplashBidNoticeAbstractUI.aspx?menuIndex=3&amp;refID=7016644&amp;Result=3","7016644")</f>
        <v>0</v>
      </c>
      <c r="B10764" t="s">
        <v>2730</v>
      </c>
      <c r="C10764" t="s">
        <v>13465</v>
      </c>
      <c r="E10764" t="s">
        <v>27442</v>
      </c>
      <c r="F10764" t="s">
        <v>31574</v>
      </c>
      <c r="G10764" t="s">
        <v>31583</v>
      </c>
      <c r="H10764" t="s">
        <v>31590</v>
      </c>
      <c r="I10764" t="s">
        <v>3539</v>
      </c>
      <c r="J10764" t="s">
        <v>38416</v>
      </c>
      <c r="K10764" t="s">
        <v>41184</v>
      </c>
      <c r="M10764" t="s">
        <v>44501</v>
      </c>
      <c r="N10764" t="s">
        <v>45095</v>
      </c>
      <c r="O10764" t="s">
        <v>45096</v>
      </c>
      <c r="P10764">
        <v>0</v>
      </c>
      <c r="Q10764">
        <v>0</v>
      </c>
      <c r="R10764" t="s">
        <v>45109</v>
      </c>
      <c r="S10764" t="s">
        <v>45478</v>
      </c>
      <c r="T10764" t="s">
        <v>46963</v>
      </c>
      <c r="U10764" t="s">
        <v>56305</v>
      </c>
      <c r="V10764" t="s">
        <v>60945</v>
      </c>
      <c r="W10764" t="s">
        <v>44501</v>
      </c>
      <c r="X10764" t="s">
        <v>45115</v>
      </c>
    </row>
    <row r="10765" spans="1:24">
      <c r="A10765">
        <f>HYPERLINK("https://www.philgeps.gov.ph/GEPSNONPILOT/Tender/SplashBidNoticeAbstractUI.aspx?menuIndex=3&amp;refID=7016625&amp;Result=3","7016625")</f>
        <v>0</v>
      </c>
      <c r="B10765" t="s">
        <v>2730</v>
      </c>
      <c r="C10765" t="s">
        <v>13466</v>
      </c>
      <c r="E10765" t="s">
        <v>27443</v>
      </c>
      <c r="F10765" t="s">
        <v>31574</v>
      </c>
      <c r="G10765" t="s">
        <v>31583</v>
      </c>
      <c r="H10765" t="s">
        <v>31590</v>
      </c>
      <c r="I10765" t="s">
        <v>3539</v>
      </c>
      <c r="J10765" t="s">
        <v>32955</v>
      </c>
      <c r="K10765" t="s">
        <v>41184</v>
      </c>
      <c r="M10765" t="s">
        <v>44501</v>
      </c>
      <c r="N10765" t="s">
        <v>45095</v>
      </c>
      <c r="O10765" t="s">
        <v>45096</v>
      </c>
      <c r="P10765">
        <v>0</v>
      </c>
      <c r="Q10765">
        <v>0</v>
      </c>
      <c r="R10765" t="s">
        <v>45109</v>
      </c>
      <c r="S10765" t="s">
        <v>45478</v>
      </c>
      <c r="T10765" t="s">
        <v>46963</v>
      </c>
      <c r="U10765" t="s">
        <v>56306</v>
      </c>
      <c r="V10765" t="s">
        <v>60945</v>
      </c>
      <c r="W10765" t="s">
        <v>44501</v>
      </c>
      <c r="X10765" t="s">
        <v>45115</v>
      </c>
    </row>
    <row r="10766" spans="1:24">
      <c r="A10766">
        <f>HYPERLINK("https://www.philgeps.gov.ph/GEPSNONPILOT/Tender/SplashBidNoticeAbstractUI.aspx?menuIndex=3&amp;refID=7015957&amp;Result=3","7015957")</f>
        <v>0</v>
      </c>
      <c r="B10766" t="s">
        <v>443</v>
      </c>
      <c r="C10766" t="s">
        <v>13467</v>
      </c>
      <c r="D10766" t="s">
        <v>18062</v>
      </c>
      <c r="E10766" t="s">
        <v>27444</v>
      </c>
      <c r="F10766" t="s">
        <v>31574</v>
      </c>
      <c r="G10766" t="s">
        <v>31582</v>
      </c>
      <c r="H10766" t="s">
        <v>31591</v>
      </c>
      <c r="I10766" t="s">
        <v>8822</v>
      </c>
      <c r="J10766" t="s">
        <v>34697</v>
      </c>
      <c r="K10766" t="s">
        <v>41329</v>
      </c>
      <c r="M10766" t="s">
        <v>41936</v>
      </c>
      <c r="N10766" t="s">
        <v>45095</v>
      </c>
      <c r="O10766" t="s">
        <v>45096</v>
      </c>
      <c r="P10766">
        <v>0</v>
      </c>
      <c r="Q10766">
        <v>4</v>
      </c>
      <c r="R10766" t="s">
        <v>45109</v>
      </c>
      <c r="S10766" t="s">
        <v>45478</v>
      </c>
      <c r="T10766" t="s">
        <v>46922</v>
      </c>
      <c r="U10766" t="s">
        <v>48547</v>
      </c>
      <c r="V10766" t="s">
        <v>60984</v>
      </c>
      <c r="W10766" t="s">
        <v>41936</v>
      </c>
      <c r="X10766" t="s">
        <v>45116</v>
      </c>
    </row>
    <row r="10767" spans="1:24">
      <c r="A10767">
        <f>HYPERLINK("https://www.philgeps.gov.ph/GEPSNONPILOT/Tender/SplashBidNoticeAbstractUI.aspx?menuIndex=3&amp;refID=7016662&amp;Result=3","7016662")</f>
        <v>0</v>
      </c>
      <c r="B10767" t="s">
        <v>2730</v>
      </c>
      <c r="C10767" t="s">
        <v>13468</v>
      </c>
      <c r="E10767" t="s">
        <v>27445</v>
      </c>
      <c r="F10767" t="s">
        <v>31574</v>
      </c>
      <c r="G10767" t="s">
        <v>31583</v>
      </c>
      <c r="H10767" t="s">
        <v>31590</v>
      </c>
      <c r="I10767" t="s">
        <v>3539</v>
      </c>
      <c r="J10767" t="s">
        <v>32955</v>
      </c>
      <c r="K10767" t="s">
        <v>41184</v>
      </c>
      <c r="M10767" t="s">
        <v>44501</v>
      </c>
      <c r="N10767" t="s">
        <v>45095</v>
      </c>
      <c r="O10767" t="s">
        <v>45096</v>
      </c>
      <c r="P10767">
        <v>0</v>
      </c>
      <c r="Q10767">
        <v>0</v>
      </c>
      <c r="R10767" t="s">
        <v>45109</v>
      </c>
      <c r="S10767" t="s">
        <v>45478</v>
      </c>
      <c r="T10767" t="s">
        <v>46963</v>
      </c>
      <c r="U10767" t="s">
        <v>56307</v>
      </c>
      <c r="V10767" t="s">
        <v>60945</v>
      </c>
      <c r="W10767" t="s">
        <v>44501</v>
      </c>
      <c r="X10767" t="s">
        <v>45115</v>
      </c>
    </row>
    <row r="10768" spans="1:24">
      <c r="A10768">
        <f>HYPERLINK("https://www.philgeps.gov.ph/GEPSNONPILOT/Tender/SplashBidNoticeAbstractUI.aspx?menuIndex=3&amp;refID=7015607&amp;Result=3","7015607")</f>
        <v>0</v>
      </c>
      <c r="B10768" t="s">
        <v>443</v>
      </c>
      <c r="C10768" t="s">
        <v>13469</v>
      </c>
      <c r="D10768" t="s">
        <v>18062</v>
      </c>
      <c r="E10768" t="s">
        <v>27446</v>
      </c>
      <c r="F10768" t="s">
        <v>31574</v>
      </c>
      <c r="G10768" t="s">
        <v>31582</v>
      </c>
      <c r="H10768" t="s">
        <v>31591</v>
      </c>
      <c r="I10768" t="s">
        <v>8822</v>
      </c>
      <c r="J10768" t="s">
        <v>34070</v>
      </c>
      <c r="K10768" t="s">
        <v>41209</v>
      </c>
      <c r="M10768" t="s">
        <v>41936</v>
      </c>
      <c r="N10768" t="s">
        <v>45095</v>
      </c>
      <c r="O10768" t="s">
        <v>45096</v>
      </c>
      <c r="P10768">
        <v>0</v>
      </c>
      <c r="Q10768">
        <v>4</v>
      </c>
      <c r="R10768" t="s">
        <v>45109</v>
      </c>
      <c r="S10768" t="s">
        <v>45478</v>
      </c>
      <c r="T10768" t="s">
        <v>46922</v>
      </c>
      <c r="U10768" t="s">
        <v>48547</v>
      </c>
      <c r="V10768" t="s">
        <v>60985</v>
      </c>
      <c r="W10768" t="s">
        <v>41936</v>
      </c>
      <c r="X10768" t="s">
        <v>45116</v>
      </c>
    </row>
    <row r="10769" spans="1:24">
      <c r="A10769">
        <f>HYPERLINK("https://www.philgeps.gov.ph/GEPSNONPILOT/Tender/SplashBidNoticeAbstractUI.aspx?menuIndex=3&amp;refID=7016654&amp;Result=3","7016654")</f>
        <v>0</v>
      </c>
      <c r="B10769" t="s">
        <v>2730</v>
      </c>
      <c r="C10769" t="s">
        <v>13470</v>
      </c>
      <c r="E10769" t="s">
        <v>27447</v>
      </c>
      <c r="F10769" t="s">
        <v>31574</v>
      </c>
      <c r="G10769" t="s">
        <v>31583</v>
      </c>
      <c r="H10769" t="s">
        <v>31590</v>
      </c>
      <c r="I10769" t="s">
        <v>3539</v>
      </c>
      <c r="J10769" t="s">
        <v>38416</v>
      </c>
      <c r="K10769" t="s">
        <v>41184</v>
      </c>
      <c r="M10769" t="s">
        <v>44501</v>
      </c>
      <c r="N10769" t="s">
        <v>45095</v>
      </c>
      <c r="O10769" t="s">
        <v>45096</v>
      </c>
      <c r="P10769">
        <v>0</v>
      </c>
      <c r="Q10769">
        <v>0</v>
      </c>
      <c r="R10769" t="s">
        <v>45109</v>
      </c>
      <c r="S10769" t="s">
        <v>45478</v>
      </c>
      <c r="T10769" t="s">
        <v>46963</v>
      </c>
      <c r="U10769" t="s">
        <v>56308</v>
      </c>
      <c r="V10769" t="s">
        <v>60945</v>
      </c>
      <c r="W10769" t="s">
        <v>44501</v>
      </c>
      <c r="X10769" t="s">
        <v>45115</v>
      </c>
    </row>
    <row r="10770" spans="1:24">
      <c r="A10770">
        <f>HYPERLINK("https://www.philgeps.gov.ph/GEPSNONPILOT/Tender/SplashBidNoticeAbstractUI.aspx?menuIndex=3&amp;refID=7016233&amp;Result=3","7016233")</f>
        <v>0</v>
      </c>
      <c r="B10770" t="s">
        <v>1302</v>
      </c>
      <c r="C10770" t="s">
        <v>13471</v>
      </c>
      <c r="D10770" t="s">
        <v>18076</v>
      </c>
      <c r="E10770" t="s">
        <v>27448</v>
      </c>
      <c r="F10770" t="s">
        <v>31574</v>
      </c>
      <c r="G10770" t="s">
        <v>31582</v>
      </c>
      <c r="H10770" t="s">
        <v>31591</v>
      </c>
      <c r="I10770" t="s">
        <v>8822</v>
      </c>
      <c r="J10770" t="s">
        <v>38417</v>
      </c>
      <c r="K10770" t="s">
        <v>41192</v>
      </c>
      <c r="M10770" t="s">
        <v>42872</v>
      </c>
      <c r="N10770" t="s">
        <v>45095</v>
      </c>
      <c r="O10770" t="s">
        <v>45096</v>
      </c>
      <c r="P10770">
        <v>0</v>
      </c>
      <c r="Q10770">
        <v>0</v>
      </c>
      <c r="R10770" t="s">
        <v>45109</v>
      </c>
      <c r="S10770" t="s">
        <v>45478</v>
      </c>
      <c r="T10770" t="s">
        <v>47156</v>
      </c>
      <c r="U10770" t="s">
        <v>56309</v>
      </c>
      <c r="W10770" t="s">
        <v>42872</v>
      </c>
      <c r="X10770" t="s">
        <v>45116</v>
      </c>
    </row>
    <row r="10771" spans="1:24">
      <c r="A10771">
        <f>HYPERLINK("https://www.philgeps.gov.ph/GEPSNONPILOT/Tender/SplashBidNoticeAbstractUI.aspx?menuIndex=3&amp;refID=7017311&amp;Result=3","7017311")</f>
        <v>0</v>
      </c>
      <c r="B10771" t="s">
        <v>179</v>
      </c>
      <c r="C10771" t="s">
        <v>13472</v>
      </c>
      <c r="D10771" t="s">
        <v>18101</v>
      </c>
      <c r="E10771" t="s">
        <v>27449</v>
      </c>
      <c r="F10771" t="s">
        <v>31574</v>
      </c>
      <c r="G10771" t="s">
        <v>31582</v>
      </c>
      <c r="H10771" t="s">
        <v>31590</v>
      </c>
      <c r="I10771" t="s">
        <v>31599</v>
      </c>
      <c r="J10771" t="s">
        <v>31947</v>
      </c>
      <c r="K10771" t="s">
        <v>41186</v>
      </c>
      <c r="M10771" t="s">
        <v>41664</v>
      </c>
      <c r="N10771" t="s">
        <v>45095</v>
      </c>
      <c r="O10771" t="s">
        <v>45096</v>
      </c>
      <c r="P10771">
        <v>0</v>
      </c>
      <c r="Q10771">
        <v>1</v>
      </c>
      <c r="R10771" t="s">
        <v>45109</v>
      </c>
      <c r="S10771" t="s">
        <v>45478</v>
      </c>
      <c r="T10771" t="s">
        <v>46992</v>
      </c>
      <c r="U10771" t="s">
        <v>56310</v>
      </c>
      <c r="W10771" t="s">
        <v>41664</v>
      </c>
      <c r="X10771" t="s">
        <v>45115</v>
      </c>
    </row>
    <row r="10772" spans="1:24">
      <c r="A10772">
        <f>HYPERLINK("https://www.philgeps.gov.ph/GEPSNONPILOT/Tender/SplashBidNoticeAbstractUI.aspx?menuIndex=3&amp;refID=7018106&amp;Result=3","7018106")</f>
        <v>0</v>
      </c>
      <c r="B10772" t="s">
        <v>2730</v>
      </c>
      <c r="C10772" t="s">
        <v>13473</v>
      </c>
      <c r="E10772" t="s">
        <v>27450</v>
      </c>
      <c r="F10772" t="s">
        <v>31574</v>
      </c>
      <c r="G10772" t="s">
        <v>31583</v>
      </c>
      <c r="H10772" t="s">
        <v>31590</v>
      </c>
      <c r="I10772" t="s">
        <v>3539</v>
      </c>
      <c r="J10772" t="s">
        <v>32955</v>
      </c>
      <c r="K10772" t="s">
        <v>41184</v>
      </c>
      <c r="M10772" t="s">
        <v>44501</v>
      </c>
      <c r="N10772" t="s">
        <v>45095</v>
      </c>
      <c r="O10772" t="s">
        <v>45096</v>
      </c>
      <c r="P10772">
        <v>0</v>
      </c>
      <c r="Q10772">
        <v>0</v>
      </c>
      <c r="R10772" t="s">
        <v>45109</v>
      </c>
      <c r="S10772" t="s">
        <v>45478</v>
      </c>
      <c r="T10772" t="s">
        <v>46963</v>
      </c>
      <c r="U10772" t="s">
        <v>56311</v>
      </c>
      <c r="V10772" t="s">
        <v>60945</v>
      </c>
      <c r="W10772" t="s">
        <v>44501</v>
      </c>
      <c r="X10772" t="s">
        <v>45115</v>
      </c>
    </row>
    <row r="10773" spans="1:24">
      <c r="A10773">
        <f>HYPERLINK("https://www.philgeps.gov.ph/GEPSNONPILOT/Tender/SplashBidNoticeAbstractUI.aspx?menuIndex=3&amp;refID=7016852&amp;Result=3","7016852")</f>
        <v>0</v>
      </c>
      <c r="B10773" t="s">
        <v>443</v>
      </c>
      <c r="C10773" t="s">
        <v>13474</v>
      </c>
      <c r="D10773" t="s">
        <v>18062</v>
      </c>
      <c r="E10773" t="s">
        <v>27451</v>
      </c>
      <c r="F10773" t="s">
        <v>31574</v>
      </c>
      <c r="G10773" t="s">
        <v>31582</v>
      </c>
      <c r="H10773" t="s">
        <v>31591</v>
      </c>
      <c r="I10773" t="s">
        <v>8822</v>
      </c>
      <c r="J10773" t="s">
        <v>32504</v>
      </c>
      <c r="K10773" t="s">
        <v>41203</v>
      </c>
      <c r="M10773" t="s">
        <v>41936</v>
      </c>
      <c r="N10773" t="s">
        <v>45095</v>
      </c>
      <c r="O10773" t="s">
        <v>45096</v>
      </c>
      <c r="P10773">
        <v>0</v>
      </c>
      <c r="Q10773">
        <v>1</v>
      </c>
      <c r="R10773" t="s">
        <v>45109</v>
      </c>
      <c r="S10773" t="s">
        <v>45478</v>
      </c>
      <c r="T10773" t="s">
        <v>46922</v>
      </c>
      <c r="U10773" t="s">
        <v>48547</v>
      </c>
      <c r="V10773" t="s">
        <v>60986</v>
      </c>
      <c r="W10773" t="s">
        <v>41936</v>
      </c>
      <c r="X10773" t="s">
        <v>45115</v>
      </c>
    </row>
    <row r="10774" spans="1:24">
      <c r="A10774">
        <f>HYPERLINK("https://www.philgeps.gov.ph/GEPSNONPILOT/Tender/SplashBidNoticeAbstractUI.aspx?menuIndex=3&amp;refID=7017514&amp;Result=3","7017514")</f>
        <v>0</v>
      </c>
      <c r="B10774" t="s">
        <v>2717</v>
      </c>
      <c r="C10774" t="s">
        <v>13475</v>
      </c>
      <c r="D10774" t="s">
        <v>18079</v>
      </c>
      <c r="E10774" t="s">
        <v>19127</v>
      </c>
      <c r="F10774" t="s">
        <v>31574</v>
      </c>
      <c r="G10774" t="s">
        <v>31582</v>
      </c>
      <c r="H10774" t="s">
        <v>31590</v>
      </c>
      <c r="I10774" t="s">
        <v>31594</v>
      </c>
      <c r="J10774" t="s">
        <v>31730</v>
      </c>
      <c r="K10774" t="s">
        <v>41200</v>
      </c>
      <c r="M10774" t="s">
        <v>44488</v>
      </c>
      <c r="N10774" t="s">
        <v>45095</v>
      </c>
      <c r="O10774" t="s">
        <v>45096</v>
      </c>
      <c r="Q10774">
        <v>22</v>
      </c>
      <c r="R10774" t="s">
        <v>45109</v>
      </c>
      <c r="S10774" t="s">
        <v>45483</v>
      </c>
      <c r="T10774" t="s">
        <v>47388</v>
      </c>
      <c r="U10774" t="s">
        <v>56312</v>
      </c>
      <c r="W10774" t="s">
        <v>44488</v>
      </c>
      <c r="X10774" t="s">
        <v>45115</v>
      </c>
    </row>
    <row r="10775" spans="1:24">
      <c r="A10775">
        <f>HYPERLINK("https://www.philgeps.gov.ph/GEPSNONPILOT/Tender/SplashBidNoticeAbstractUI.aspx?menuIndex=3&amp;refID=7017398&amp;Result=3","7017398")</f>
        <v>0</v>
      </c>
      <c r="B10775" t="s">
        <v>2781</v>
      </c>
      <c r="C10775" t="s">
        <v>13476</v>
      </c>
      <c r="D10775" t="s">
        <v>18033</v>
      </c>
      <c r="E10775" t="s">
        <v>18162</v>
      </c>
      <c r="F10775" t="s">
        <v>31574</v>
      </c>
      <c r="G10775" t="s">
        <v>31582</v>
      </c>
      <c r="H10775" t="s">
        <v>31590</v>
      </c>
      <c r="I10775" t="s">
        <v>4046</v>
      </c>
      <c r="J10775" t="s">
        <v>38418</v>
      </c>
      <c r="K10775" t="s">
        <v>41196</v>
      </c>
      <c r="M10775" t="s">
        <v>44556</v>
      </c>
      <c r="N10775" t="s">
        <v>45095</v>
      </c>
      <c r="O10775" t="s">
        <v>45096</v>
      </c>
      <c r="P10775">
        <v>0</v>
      </c>
      <c r="Q10775">
        <v>2</v>
      </c>
      <c r="R10775" t="s">
        <v>45109</v>
      </c>
      <c r="S10775" t="s">
        <v>45478</v>
      </c>
      <c r="T10775" t="s">
        <v>46966</v>
      </c>
      <c r="U10775" t="s">
        <v>56313</v>
      </c>
      <c r="V10775" t="s">
        <v>60987</v>
      </c>
      <c r="W10775" t="s">
        <v>44556</v>
      </c>
      <c r="X10775" t="s">
        <v>45115</v>
      </c>
    </row>
    <row r="10776" spans="1:24">
      <c r="A10776">
        <f>HYPERLINK("https://www.philgeps.gov.ph/GEPSNONPILOT/Tender/SplashBidNoticeAbstractUI.aspx?menuIndex=3&amp;refID=7018128&amp;Result=3","7018128")</f>
        <v>0</v>
      </c>
      <c r="B10776" t="s">
        <v>2730</v>
      </c>
      <c r="C10776" t="s">
        <v>13477</v>
      </c>
      <c r="E10776" t="s">
        <v>27452</v>
      </c>
      <c r="F10776" t="s">
        <v>31574</v>
      </c>
      <c r="G10776" t="s">
        <v>31583</v>
      </c>
      <c r="H10776" t="s">
        <v>31590</v>
      </c>
      <c r="I10776" t="s">
        <v>4327</v>
      </c>
      <c r="J10776" t="s">
        <v>32012</v>
      </c>
      <c r="K10776" t="s">
        <v>41184</v>
      </c>
      <c r="M10776" t="s">
        <v>44501</v>
      </c>
      <c r="N10776" t="s">
        <v>45095</v>
      </c>
      <c r="O10776" t="s">
        <v>45096</v>
      </c>
      <c r="P10776">
        <v>0</v>
      </c>
      <c r="Q10776">
        <v>2</v>
      </c>
      <c r="R10776" t="s">
        <v>45109</v>
      </c>
      <c r="S10776" t="s">
        <v>45478</v>
      </c>
      <c r="T10776" t="s">
        <v>46963</v>
      </c>
      <c r="U10776" t="s">
        <v>56314</v>
      </c>
      <c r="V10776" t="s">
        <v>60945</v>
      </c>
      <c r="W10776" t="s">
        <v>44501</v>
      </c>
      <c r="X10776" t="s">
        <v>45115</v>
      </c>
    </row>
    <row r="10777" spans="1:24">
      <c r="A10777">
        <f>HYPERLINK("https://www.philgeps.gov.ph/GEPSNONPILOT/Tender/SplashBidNoticeAbstractUI.aspx?menuIndex=3&amp;refID=7018151&amp;Result=3","7018151")</f>
        <v>0</v>
      </c>
      <c r="B10777" t="s">
        <v>2730</v>
      </c>
      <c r="C10777" t="s">
        <v>13478</v>
      </c>
      <c r="E10777" t="s">
        <v>27453</v>
      </c>
      <c r="F10777" t="s">
        <v>31574</v>
      </c>
      <c r="G10777" t="s">
        <v>31583</v>
      </c>
      <c r="H10777" t="s">
        <v>31590</v>
      </c>
      <c r="I10777" t="s">
        <v>3487</v>
      </c>
      <c r="J10777" t="s">
        <v>33977</v>
      </c>
      <c r="K10777" t="s">
        <v>41184</v>
      </c>
      <c r="M10777" t="s">
        <v>44501</v>
      </c>
      <c r="N10777" t="s">
        <v>45095</v>
      </c>
      <c r="O10777" t="s">
        <v>45096</v>
      </c>
      <c r="P10777">
        <v>0</v>
      </c>
      <c r="Q10777">
        <v>0</v>
      </c>
      <c r="R10777" t="s">
        <v>45109</v>
      </c>
      <c r="S10777" t="s">
        <v>45478</v>
      </c>
      <c r="T10777" t="s">
        <v>46963</v>
      </c>
      <c r="U10777" t="s">
        <v>56315</v>
      </c>
      <c r="V10777" t="s">
        <v>60945</v>
      </c>
      <c r="W10777" t="s">
        <v>44501</v>
      </c>
      <c r="X10777" t="s">
        <v>45115</v>
      </c>
    </row>
    <row r="10778" spans="1:24">
      <c r="A10778">
        <f>HYPERLINK("https://www.philgeps.gov.ph/GEPSNONPILOT/Tender/SplashBidNoticeAbstractUI.aspx?menuIndex=3&amp;refID=7018188&amp;Result=3","7018188")</f>
        <v>0</v>
      </c>
      <c r="B10778" t="s">
        <v>2730</v>
      </c>
      <c r="C10778" t="s">
        <v>13479</v>
      </c>
      <c r="E10778" t="s">
        <v>27454</v>
      </c>
      <c r="F10778" t="s">
        <v>31574</v>
      </c>
      <c r="G10778" t="s">
        <v>31582</v>
      </c>
      <c r="H10778" t="s">
        <v>31590</v>
      </c>
      <c r="I10778" t="s">
        <v>7185</v>
      </c>
      <c r="J10778" t="s">
        <v>38419</v>
      </c>
      <c r="K10778" t="s">
        <v>41184</v>
      </c>
      <c r="M10778" t="s">
        <v>44501</v>
      </c>
      <c r="N10778" t="s">
        <v>45095</v>
      </c>
      <c r="O10778" t="s">
        <v>45096</v>
      </c>
      <c r="P10778">
        <v>0</v>
      </c>
      <c r="Q10778">
        <v>1</v>
      </c>
      <c r="R10778" t="s">
        <v>45109</v>
      </c>
      <c r="S10778" t="s">
        <v>45478</v>
      </c>
      <c r="T10778" t="s">
        <v>46963</v>
      </c>
      <c r="U10778" t="s">
        <v>56316</v>
      </c>
      <c r="V10778" t="s">
        <v>60945</v>
      </c>
      <c r="W10778" t="s">
        <v>44501</v>
      </c>
      <c r="X10778" t="s">
        <v>45115</v>
      </c>
    </row>
    <row r="10779" spans="1:24">
      <c r="A10779">
        <f>HYPERLINK("https://www.philgeps.gov.ph/GEPSNONPILOT/Tender/SplashBidNoticeAbstractUI.aspx?menuIndex=3&amp;refID=7017400&amp;Result=3","7017400")</f>
        <v>0</v>
      </c>
      <c r="B10779" t="s">
        <v>179</v>
      </c>
      <c r="C10779" t="s">
        <v>13480</v>
      </c>
      <c r="D10779" t="s">
        <v>18101</v>
      </c>
      <c r="E10779" t="s">
        <v>27455</v>
      </c>
      <c r="F10779" t="s">
        <v>31574</v>
      </c>
      <c r="G10779" t="s">
        <v>31582</v>
      </c>
      <c r="H10779" t="s">
        <v>31591</v>
      </c>
      <c r="I10779" t="s">
        <v>8822</v>
      </c>
      <c r="J10779" t="s">
        <v>35596</v>
      </c>
      <c r="K10779" t="s">
        <v>41189</v>
      </c>
      <c r="M10779" t="s">
        <v>41664</v>
      </c>
      <c r="N10779" t="s">
        <v>45095</v>
      </c>
      <c r="O10779" t="s">
        <v>45096</v>
      </c>
      <c r="P10779">
        <v>0</v>
      </c>
      <c r="Q10779">
        <v>0</v>
      </c>
      <c r="R10779" t="s">
        <v>45109</v>
      </c>
      <c r="S10779" t="s">
        <v>45478</v>
      </c>
      <c r="T10779" t="s">
        <v>46992</v>
      </c>
      <c r="U10779" t="s">
        <v>56317</v>
      </c>
      <c r="V10779" t="s">
        <v>60988</v>
      </c>
      <c r="W10779" t="s">
        <v>41664</v>
      </c>
      <c r="X10779" t="s">
        <v>45115</v>
      </c>
    </row>
    <row r="10780" spans="1:24">
      <c r="A10780">
        <f>HYPERLINK("https://www.philgeps.gov.ph/GEPSNONPILOT/Tender/SplashBidNoticeAbstractUI.aspx?menuIndex=3&amp;refID=7019398&amp;Result=3","7019398")</f>
        <v>0</v>
      </c>
      <c r="B10780" t="s">
        <v>2782</v>
      </c>
      <c r="C10780" t="s">
        <v>13481</v>
      </c>
      <c r="D10780" t="s">
        <v>18102</v>
      </c>
      <c r="E10780" t="s">
        <v>27456</v>
      </c>
      <c r="F10780" t="s">
        <v>31574</v>
      </c>
      <c r="G10780" t="s">
        <v>31582</v>
      </c>
      <c r="H10780" t="s">
        <v>31590</v>
      </c>
      <c r="I10780" t="s">
        <v>31602</v>
      </c>
      <c r="J10780" t="s">
        <v>38420</v>
      </c>
      <c r="K10780" t="s">
        <v>41186</v>
      </c>
      <c r="M10780" t="s">
        <v>44557</v>
      </c>
      <c r="N10780" t="s">
        <v>45095</v>
      </c>
      <c r="O10780" t="s">
        <v>45096</v>
      </c>
      <c r="P10780">
        <v>0</v>
      </c>
      <c r="Q10780">
        <v>0</v>
      </c>
      <c r="R10780" t="s">
        <v>45109</v>
      </c>
      <c r="S10780" t="s">
        <v>45478</v>
      </c>
      <c r="T10780" t="s">
        <v>47159</v>
      </c>
      <c r="U10780" t="s">
        <v>56318</v>
      </c>
      <c r="W10780" t="s">
        <v>44557</v>
      </c>
      <c r="X10780" t="s">
        <v>45112</v>
      </c>
    </row>
    <row r="10781" spans="1:24">
      <c r="A10781">
        <f>HYPERLINK("https://www.philgeps.gov.ph/GEPSNONPILOT/Tender/SplashBidNoticeAbstractUI.aspx?menuIndex=3&amp;refID=7017435&amp;Result=3","7017435")</f>
        <v>0</v>
      </c>
      <c r="B10781" t="s">
        <v>2781</v>
      </c>
      <c r="C10781" t="s">
        <v>13482</v>
      </c>
      <c r="D10781" t="s">
        <v>18033</v>
      </c>
      <c r="E10781" t="s">
        <v>18192</v>
      </c>
      <c r="F10781" t="s">
        <v>31574</v>
      </c>
      <c r="G10781" t="s">
        <v>31582</v>
      </c>
      <c r="H10781" t="s">
        <v>31590</v>
      </c>
      <c r="I10781" t="s">
        <v>4046</v>
      </c>
      <c r="J10781" t="s">
        <v>38421</v>
      </c>
      <c r="K10781" t="s">
        <v>41196</v>
      </c>
      <c r="M10781" t="s">
        <v>44556</v>
      </c>
      <c r="N10781" t="s">
        <v>45095</v>
      </c>
      <c r="O10781" t="s">
        <v>45096</v>
      </c>
      <c r="P10781">
        <v>0</v>
      </c>
      <c r="Q10781">
        <v>0</v>
      </c>
      <c r="R10781" t="s">
        <v>45109</v>
      </c>
      <c r="S10781" t="s">
        <v>45478</v>
      </c>
      <c r="T10781" t="s">
        <v>46922</v>
      </c>
      <c r="U10781" t="s">
        <v>56319</v>
      </c>
      <c r="V10781" t="s">
        <v>60989</v>
      </c>
      <c r="W10781" t="s">
        <v>44556</v>
      </c>
      <c r="X10781" t="s">
        <v>45115</v>
      </c>
    </row>
    <row r="10782" spans="1:24">
      <c r="A10782">
        <f>HYPERLINK("https://www.philgeps.gov.ph/GEPSNONPILOT/Tender/SplashBidNoticeAbstractUI.aspx?menuIndex=3&amp;refID=7019227&amp;Result=3","7019227")</f>
        <v>0</v>
      </c>
      <c r="B10782" t="s">
        <v>2730</v>
      </c>
      <c r="C10782" t="s">
        <v>13483</v>
      </c>
      <c r="E10782" t="s">
        <v>27457</v>
      </c>
      <c r="F10782" t="s">
        <v>31574</v>
      </c>
      <c r="G10782" t="s">
        <v>31583</v>
      </c>
      <c r="H10782" t="s">
        <v>31590</v>
      </c>
      <c r="I10782" t="s">
        <v>14544</v>
      </c>
      <c r="J10782" t="s">
        <v>38422</v>
      </c>
      <c r="K10782" t="s">
        <v>41184</v>
      </c>
      <c r="M10782" t="s">
        <v>44501</v>
      </c>
      <c r="N10782" t="s">
        <v>45095</v>
      </c>
      <c r="O10782" t="s">
        <v>45096</v>
      </c>
      <c r="P10782">
        <v>0</v>
      </c>
      <c r="Q10782">
        <v>0</v>
      </c>
      <c r="R10782" t="s">
        <v>45109</v>
      </c>
      <c r="S10782" t="s">
        <v>45478</v>
      </c>
      <c r="T10782" t="s">
        <v>46963</v>
      </c>
      <c r="U10782" t="s">
        <v>56320</v>
      </c>
      <c r="V10782" t="s">
        <v>60945</v>
      </c>
      <c r="W10782" t="s">
        <v>44501</v>
      </c>
      <c r="X10782" t="s">
        <v>45112</v>
      </c>
    </row>
    <row r="10783" spans="1:24">
      <c r="A10783">
        <f>HYPERLINK("https://www.philgeps.gov.ph/GEPSNONPILOT/Tender/SplashBidNoticeAbstractUI.aspx?menuIndex=3&amp;refID=7019220&amp;Result=3","7019220")</f>
        <v>0</v>
      </c>
      <c r="B10783" t="s">
        <v>2730</v>
      </c>
      <c r="C10783" t="s">
        <v>13484</v>
      </c>
      <c r="E10783" t="s">
        <v>27458</v>
      </c>
      <c r="F10783" t="s">
        <v>31574</v>
      </c>
      <c r="G10783" t="s">
        <v>31583</v>
      </c>
      <c r="H10783" t="s">
        <v>31590</v>
      </c>
      <c r="I10783" t="s">
        <v>14544</v>
      </c>
      <c r="J10783" t="s">
        <v>32506</v>
      </c>
      <c r="K10783" t="s">
        <v>41184</v>
      </c>
      <c r="M10783" t="s">
        <v>44501</v>
      </c>
      <c r="N10783" t="s">
        <v>45095</v>
      </c>
      <c r="O10783" t="s">
        <v>45096</v>
      </c>
      <c r="P10783">
        <v>0</v>
      </c>
      <c r="Q10783">
        <v>0</v>
      </c>
      <c r="R10783" t="s">
        <v>45109</v>
      </c>
      <c r="S10783" t="s">
        <v>45478</v>
      </c>
      <c r="T10783" t="s">
        <v>46963</v>
      </c>
      <c r="U10783" t="s">
        <v>56321</v>
      </c>
      <c r="V10783" t="s">
        <v>60945</v>
      </c>
      <c r="W10783" t="s">
        <v>44501</v>
      </c>
      <c r="X10783" t="s">
        <v>45112</v>
      </c>
    </row>
    <row r="10784" spans="1:24">
      <c r="A10784">
        <f>HYPERLINK("https://www.philgeps.gov.ph/GEPSNONPILOT/Tender/SplashBidNoticeAbstractUI.aspx?menuIndex=3&amp;refID=7019214&amp;Result=3","7019214")</f>
        <v>0</v>
      </c>
      <c r="B10784" t="s">
        <v>2730</v>
      </c>
      <c r="C10784" t="s">
        <v>13485</v>
      </c>
      <c r="E10784" t="s">
        <v>27459</v>
      </c>
      <c r="F10784" t="s">
        <v>31574</v>
      </c>
      <c r="G10784" t="s">
        <v>31583</v>
      </c>
      <c r="H10784" t="s">
        <v>31590</v>
      </c>
      <c r="I10784" t="s">
        <v>14034</v>
      </c>
      <c r="J10784" t="s">
        <v>38423</v>
      </c>
      <c r="K10784" t="s">
        <v>41184</v>
      </c>
      <c r="M10784" t="s">
        <v>44501</v>
      </c>
      <c r="N10784" t="s">
        <v>45095</v>
      </c>
      <c r="O10784" t="s">
        <v>45096</v>
      </c>
      <c r="P10784">
        <v>0</v>
      </c>
      <c r="Q10784">
        <v>1</v>
      </c>
      <c r="R10784" t="s">
        <v>45109</v>
      </c>
      <c r="S10784" t="s">
        <v>45478</v>
      </c>
      <c r="T10784" t="s">
        <v>46963</v>
      </c>
      <c r="U10784" t="s">
        <v>56322</v>
      </c>
      <c r="V10784" t="s">
        <v>60945</v>
      </c>
      <c r="W10784" t="s">
        <v>44501</v>
      </c>
      <c r="X10784" t="s">
        <v>45112</v>
      </c>
    </row>
    <row r="10785" spans="1:24">
      <c r="A10785">
        <f>HYPERLINK("https://www.philgeps.gov.ph/GEPSNONPILOT/Tender/SplashBidNoticeAbstractUI.aspx?menuIndex=3&amp;refID=7018086&amp;Result=3","7018086")</f>
        <v>0</v>
      </c>
      <c r="B10785" t="s">
        <v>2730</v>
      </c>
      <c r="C10785" t="s">
        <v>13486</v>
      </c>
      <c r="E10785" t="s">
        <v>27460</v>
      </c>
      <c r="F10785" t="s">
        <v>31574</v>
      </c>
      <c r="G10785" t="s">
        <v>31583</v>
      </c>
      <c r="H10785" t="s">
        <v>31590</v>
      </c>
      <c r="I10785" t="s">
        <v>3539</v>
      </c>
      <c r="J10785" t="s">
        <v>32955</v>
      </c>
      <c r="K10785" t="s">
        <v>41184</v>
      </c>
      <c r="M10785" t="s">
        <v>44501</v>
      </c>
      <c r="N10785" t="s">
        <v>45095</v>
      </c>
      <c r="O10785" t="s">
        <v>45096</v>
      </c>
      <c r="P10785">
        <v>0</v>
      </c>
      <c r="Q10785">
        <v>0</v>
      </c>
      <c r="R10785" t="s">
        <v>45109</v>
      </c>
      <c r="S10785" t="s">
        <v>45478</v>
      </c>
      <c r="T10785" t="s">
        <v>46963</v>
      </c>
      <c r="U10785" t="s">
        <v>56323</v>
      </c>
      <c r="V10785" t="s">
        <v>60945</v>
      </c>
      <c r="W10785" t="s">
        <v>44501</v>
      </c>
      <c r="X10785" t="s">
        <v>45115</v>
      </c>
    </row>
    <row r="10786" spans="1:24">
      <c r="A10786">
        <f>HYPERLINK("https://www.philgeps.gov.ph/GEPSNONPILOT/Tender/SplashBidNoticeAbstractUI.aspx?menuIndex=3&amp;refID=7019255&amp;Result=3","7019255")</f>
        <v>0</v>
      </c>
      <c r="B10786" t="s">
        <v>2730</v>
      </c>
      <c r="C10786" t="s">
        <v>13487</v>
      </c>
      <c r="E10786" t="s">
        <v>27461</v>
      </c>
      <c r="F10786" t="s">
        <v>31574</v>
      </c>
      <c r="G10786" t="s">
        <v>31583</v>
      </c>
      <c r="H10786" t="s">
        <v>31590</v>
      </c>
      <c r="I10786" t="s">
        <v>14544</v>
      </c>
      <c r="J10786" t="s">
        <v>36428</v>
      </c>
      <c r="K10786" t="s">
        <v>41184</v>
      </c>
      <c r="M10786" t="s">
        <v>44501</v>
      </c>
      <c r="N10786" t="s">
        <v>45095</v>
      </c>
      <c r="O10786" t="s">
        <v>45096</v>
      </c>
      <c r="P10786">
        <v>0</v>
      </c>
      <c r="Q10786">
        <v>0</v>
      </c>
      <c r="R10786" t="s">
        <v>45109</v>
      </c>
      <c r="S10786" t="s">
        <v>45478</v>
      </c>
      <c r="T10786" t="s">
        <v>46963</v>
      </c>
      <c r="U10786" t="s">
        <v>56324</v>
      </c>
      <c r="V10786" t="s">
        <v>60945</v>
      </c>
      <c r="W10786" t="s">
        <v>44501</v>
      </c>
      <c r="X10786" t="s">
        <v>45112</v>
      </c>
    </row>
    <row r="10787" spans="1:24">
      <c r="A10787">
        <f>HYPERLINK("https://www.philgeps.gov.ph/GEPSNONPILOT/Tender/SplashBidNoticeAbstractUI.aspx?menuIndex=3&amp;refID=7019689&amp;Result=3","7019689")</f>
        <v>0</v>
      </c>
      <c r="B10787" t="s">
        <v>2782</v>
      </c>
      <c r="C10787" t="s">
        <v>13488</v>
      </c>
      <c r="D10787" t="s">
        <v>18102</v>
      </c>
      <c r="E10787" t="s">
        <v>27462</v>
      </c>
      <c r="F10787" t="s">
        <v>31574</v>
      </c>
      <c r="G10787" t="s">
        <v>31582</v>
      </c>
      <c r="H10787" t="s">
        <v>31590</v>
      </c>
      <c r="I10787" t="s">
        <v>31602</v>
      </c>
      <c r="J10787" t="s">
        <v>38424</v>
      </c>
      <c r="K10787" t="s">
        <v>41186</v>
      </c>
      <c r="M10787" t="s">
        <v>44557</v>
      </c>
      <c r="N10787" t="s">
        <v>45095</v>
      </c>
      <c r="O10787" t="s">
        <v>45096</v>
      </c>
      <c r="P10787">
        <v>0</v>
      </c>
      <c r="Q10787">
        <v>0</v>
      </c>
      <c r="R10787" t="s">
        <v>45109</v>
      </c>
      <c r="S10787" t="s">
        <v>45478</v>
      </c>
      <c r="T10787" t="s">
        <v>47159</v>
      </c>
      <c r="U10787" t="s">
        <v>56325</v>
      </c>
      <c r="W10787" t="s">
        <v>44557</v>
      </c>
      <c r="X10787" t="s">
        <v>45112</v>
      </c>
    </row>
    <row r="10788" spans="1:24">
      <c r="A10788">
        <f>HYPERLINK("https://www.philgeps.gov.ph/GEPSNONPILOT/Tender/SplashBidNoticeAbstractUI.aspx?menuIndex=3&amp;refID=7019432&amp;Result=3","7019432")</f>
        <v>0</v>
      </c>
      <c r="B10788" t="s">
        <v>2782</v>
      </c>
      <c r="C10788" t="s">
        <v>13489</v>
      </c>
      <c r="D10788" t="s">
        <v>18102</v>
      </c>
      <c r="E10788" t="s">
        <v>27463</v>
      </c>
      <c r="F10788" t="s">
        <v>31574</v>
      </c>
      <c r="G10788" t="s">
        <v>31582</v>
      </c>
      <c r="H10788" t="s">
        <v>31590</v>
      </c>
      <c r="I10788" t="s">
        <v>31602</v>
      </c>
      <c r="J10788" t="s">
        <v>38425</v>
      </c>
      <c r="K10788" t="s">
        <v>41186</v>
      </c>
      <c r="M10788" t="s">
        <v>44557</v>
      </c>
      <c r="N10788" t="s">
        <v>45095</v>
      </c>
      <c r="O10788" t="s">
        <v>45096</v>
      </c>
      <c r="P10788">
        <v>0</v>
      </c>
      <c r="Q10788">
        <v>0</v>
      </c>
      <c r="R10788" t="s">
        <v>45109</v>
      </c>
      <c r="S10788" t="s">
        <v>45478</v>
      </c>
      <c r="T10788" t="s">
        <v>47159</v>
      </c>
      <c r="U10788" t="s">
        <v>56326</v>
      </c>
      <c r="W10788" t="s">
        <v>44557</v>
      </c>
      <c r="X10788" t="s">
        <v>45112</v>
      </c>
    </row>
    <row r="10789" spans="1:24">
      <c r="A10789">
        <f>HYPERLINK("https://www.philgeps.gov.ph/GEPSNONPILOT/Tender/SplashBidNoticeAbstractUI.aspx?menuIndex=3&amp;refID=7018057&amp;Result=3","7018057")</f>
        <v>0</v>
      </c>
      <c r="B10789" t="s">
        <v>2730</v>
      </c>
      <c r="C10789" t="s">
        <v>13490</v>
      </c>
      <c r="E10789" t="s">
        <v>27464</v>
      </c>
      <c r="F10789" t="s">
        <v>31574</v>
      </c>
      <c r="G10789" t="s">
        <v>31582</v>
      </c>
      <c r="H10789" t="s">
        <v>31590</v>
      </c>
      <c r="I10789" t="s">
        <v>7185</v>
      </c>
      <c r="J10789" t="s">
        <v>38426</v>
      </c>
      <c r="K10789" t="s">
        <v>41184</v>
      </c>
      <c r="M10789" t="s">
        <v>44501</v>
      </c>
      <c r="N10789" t="s">
        <v>45095</v>
      </c>
      <c r="O10789" t="s">
        <v>45096</v>
      </c>
      <c r="P10789">
        <v>0</v>
      </c>
      <c r="Q10789">
        <v>3</v>
      </c>
      <c r="R10789" t="s">
        <v>45109</v>
      </c>
      <c r="S10789" t="s">
        <v>45478</v>
      </c>
      <c r="T10789" t="s">
        <v>46963</v>
      </c>
      <c r="U10789" t="s">
        <v>56327</v>
      </c>
      <c r="V10789" t="s">
        <v>60945</v>
      </c>
      <c r="W10789" t="s">
        <v>44501</v>
      </c>
      <c r="X10789" t="s">
        <v>45115</v>
      </c>
    </row>
    <row r="10790" spans="1:24">
      <c r="A10790">
        <f>HYPERLINK("https://www.philgeps.gov.ph/GEPSNONPILOT/Tender/SplashBidNoticeAbstractUI.aspx?menuIndex=3&amp;refID=7019513&amp;Result=3","7019513")</f>
        <v>0</v>
      </c>
      <c r="B10790" t="s">
        <v>2782</v>
      </c>
      <c r="C10790" t="s">
        <v>13491</v>
      </c>
      <c r="D10790" t="s">
        <v>18102</v>
      </c>
      <c r="E10790" t="s">
        <v>27465</v>
      </c>
      <c r="F10790" t="s">
        <v>31574</v>
      </c>
      <c r="G10790" t="s">
        <v>31582</v>
      </c>
      <c r="H10790" t="s">
        <v>31590</v>
      </c>
      <c r="I10790" t="s">
        <v>31619</v>
      </c>
      <c r="J10790" t="s">
        <v>38427</v>
      </c>
      <c r="K10790" t="s">
        <v>41186</v>
      </c>
      <c r="M10790" t="s">
        <v>44557</v>
      </c>
      <c r="N10790" t="s">
        <v>45095</v>
      </c>
      <c r="O10790" t="s">
        <v>45096</v>
      </c>
      <c r="P10790">
        <v>0</v>
      </c>
      <c r="Q10790">
        <v>3</v>
      </c>
      <c r="R10790" t="s">
        <v>45109</v>
      </c>
      <c r="S10790" t="s">
        <v>45478</v>
      </c>
      <c r="T10790" t="s">
        <v>47159</v>
      </c>
      <c r="U10790" t="s">
        <v>56328</v>
      </c>
      <c r="W10790" t="s">
        <v>44557</v>
      </c>
      <c r="X10790" t="s">
        <v>45112</v>
      </c>
    </row>
    <row r="10791" spans="1:24">
      <c r="A10791">
        <f>HYPERLINK("https://www.philgeps.gov.ph/GEPSNONPILOT/Tender/SplashBidNoticeAbstractUI.aspx?menuIndex=3&amp;refID=7019295&amp;Result=3","7019295")</f>
        <v>0</v>
      </c>
      <c r="B10791" t="s">
        <v>46</v>
      </c>
      <c r="C10791" t="s">
        <v>13492</v>
      </c>
      <c r="E10791" t="s">
        <v>27466</v>
      </c>
      <c r="F10791" t="s">
        <v>31574</v>
      </c>
      <c r="G10791" t="s">
        <v>31582</v>
      </c>
      <c r="H10791" t="s">
        <v>31590</v>
      </c>
      <c r="I10791" t="s">
        <v>31598</v>
      </c>
      <c r="J10791" t="s">
        <v>37315</v>
      </c>
      <c r="K10791" t="s">
        <v>41184</v>
      </c>
      <c r="M10791" t="s">
        <v>41529</v>
      </c>
      <c r="N10791" t="s">
        <v>45095</v>
      </c>
      <c r="O10791" t="s">
        <v>45096</v>
      </c>
      <c r="Q10791">
        <v>13</v>
      </c>
      <c r="R10791" t="s">
        <v>45109</v>
      </c>
      <c r="S10791" t="s">
        <v>45484</v>
      </c>
      <c r="T10791" t="s">
        <v>46914</v>
      </c>
      <c r="U10791" t="s">
        <v>56329</v>
      </c>
      <c r="W10791" t="s">
        <v>41529</v>
      </c>
      <c r="X10791" t="s">
        <v>45112</v>
      </c>
    </row>
    <row r="10792" spans="1:24">
      <c r="A10792">
        <f>HYPERLINK("https://www.philgeps.gov.ph/GEPSNONPILOT/Tender/SplashBidNoticeAbstractUI.aspx?menuIndex=3&amp;refID=7019231&amp;Result=3","7019231")</f>
        <v>0</v>
      </c>
      <c r="B10792" t="s">
        <v>2730</v>
      </c>
      <c r="C10792" t="s">
        <v>13493</v>
      </c>
      <c r="E10792" t="s">
        <v>27467</v>
      </c>
      <c r="F10792" t="s">
        <v>31574</v>
      </c>
      <c r="G10792" t="s">
        <v>31583</v>
      </c>
      <c r="H10792" t="s">
        <v>31590</v>
      </c>
      <c r="I10792" t="s">
        <v>14544</v>
      </c>
      <c r="J10792" t="s">
        <v>38428</v>
      </c>
      <c r="K10792" t="s">
        <v>41184</v>
      </c>
      <c r="M10792" t="s">
        <v>44501</v>
      </c>
      <c r="N10792" t="s">
        <v>45095</v>
      </c>
      <c r="O10792" t="s">
        <v>45096</v>
      </c>
      <c r="P10792">
        <v>0</v>
      </c>
      <c r="Q10792">
        <v>0</v>
      </c>
      <c r="R10792" t="s">
        <v>45109</v>
      </c>
      <c r="S10792" t="s">
        <v>45478</v>
      </c>
      <c r="T10792" t="s">
        <v>46963</v>
      </c>
      <c r="U10792" t="s">
        <v>56330</v>
      </c>
      <c r="V10792" t="s">
        <v>60945</v>
      </c>
      <c r="W10792" t="s">
        <v>44501</v>
      </c>
      <c r="X10792" t="s">
        <v>45112</v>
      </c>
    </row>
    <row r="10793" spans="1:24">
      <c r="A10793">
        <f>HYPERLINK("https://www.philgeps.gov.ph/GEPSNONPILOT/Tender/SplashBidNoticeAbstractUI.aspx?menuIndex=3&amp;refID=7019435&amp;Result=3","7019435")</f>
        <v>0</v>
      </c>
      <c r="B10793" t="s">
        <v>2730</v>
      </c>
      <c r="C10793" t="s">
        <v>13494</v>
      </c>
      <c r="E10793" t="s">
        <v>27468</v>
      </c>
      <c r="F10793" t="s">
        <v>31574</v>
      </c>
      <c r="G10793" t="s">
        <v>31582</v>
      </c>
      <c r="H10793" t="s">
        <v>31590</v>
      </c>
      <c r="I10793" t="s">
        <v>7185</v>
      </c>
      <c r="J10793" t="s">
        <v>38429</v>
      </c>
      <c r="K10793" t="s">
        <v>41184</v>
      </c>
      <c r="M10793" t="s">
        <v>44501</v>
      </c>
      <c r="N10793" t="s">
        <v>45095</v>
      </c>
      <c r="O10793" t="s">
        <v>45096</v>
      </c>
      <c r="P10793">
        <v>0</v>
      </c>
      <c r="Q10793">
        <v>1</v>
      </c>
      <c r="R10793" t="s">
        <v>45109</v>
      </c>
      <c r="S10793" t="s">
        <v>45478</v>
      </c>
      <c r="T10793" t="s">
        <v>46963</v>
      </c>
      <c r="U10793" t="s">
        <v>56331</v>
      </c>
      <c r="V10793" t="s">
        <v>60945</v>
      </c>
      <c r="W10793" t="s">
        <v>44501</v>
      </c>
      <c r="X10793" t="s">
        <v>45112</v>
      </c>
    </row>
    <row r="10794" spans="1:24">
      <c r="A10794">
        <f>HYPERLINK("https://www.philgeps.gov.ph/GEPSNONPILOT/Tender/SplashBidNoticeAbstractUI.aspx?menuIndex=3&amp;refID=7019500&amp;Result=3","7019500")</f>
        <v>0</v>
      </c>
      <c r="B10794" t="s">
        <v>59</v>
      </c>
      <c r="C10794" t="s">
        <v>13495</v>
      </c>
      <c r="D10794" t="s">
        <v>18048</v>
      </c>
      <c r="E10794" t="s">
        <v>27469</v>
      </c>
      <c r="F10794" t="s">
        <v>31574</v>
      </c>
      <c r="G10794" t="s">
        <v>31581</v>
      </c>
      <c r="H10794" t="s">
        <v>31590</v>
      </c>
      <c r="I10794" t="s">
        <v>31623</v>
      </c>
      <c r="J10794" t="s">
        <v>32290</v>
      </c>
      <c r="K10794" t="s">
        <v>41190</v>
      </c>
      <c r="M10794" t="s">
        <v>43751</v>
      </c>
      <c r="N10794" t="s">
        <v>45095</v>
      </c>
      <c r="O10794" t="s">
        <v>45096</v>
      </c>
      <c r="P10794">
        <v>0</v>
      </c>
      <c r="Q10794">
        <v>1</v>
      </c>
      <c r="R10794" t="s">
        <v>45109</v>
      </c>
      <c r="S10794" t="s">
        <v>45478</v>
      </c>
      <c r="T10794" t="s">
        <v>46949</v>
      </c>
      <c r="U10794" t="s">
        <v>56332</v>
      </c>
      <c r="W10794" t="s">
        <v>43751</v>
      </c>
      <c r="X10794" t="s">
        <v>45112</v>
      </c>
    </row>
    <row r="10795" spans="1:24">
      <c r="A10795">
        <f>HYPERLINK("https://www.philgeps.gov.ph/GEPSNONPILOT/Tender/SplashBidNoticeAbstractUI.aspx?menuIndex=3&amp;refID=7019601&amp;Result=3","7019601")</f>
        <v>0</v>
      </c>
      <c r="B10795" t="s">
        <v>2782</v>
      </c>
      <c r="C10795" t="s">
        <v>13496</v>
      </c>
      <c r="D10795" t="s">
        <v>18102</v>
      </c>
      <c r="E10795" t="s">
        <v>27470</v>
      </c>
      <c r="F10795" t="s">
        <v>31574</v>
      </c>
      <c r="G10795" t="s">
        <v>31582</v>
      </c>
      <c r="H10795" t="s">
        <v>31590</v>
      </c>
      <c r="I10795" t="s">
        <v>31600</v>
      </c>
      <c r="J10795" t="s">
        <v>38430</v>
      </c>
      <c r="K10795" t="s">
        <v>41186</v>
      </c>
      <c r="M10795" t="s">
        <v>44557</v>
      </c>
      <c r="N10795" t="s">
        <v>45095</v>
      </c>
      <c r="O10795" t="s">
        <v>45096</v>
      </c>
      <c r="P10795">
        <v>0</v>
      </c>
      <c r="Q10795">
        <v>1</v>
      </c>
      <c r="R10795" t="s">
        <v>45109</v>
      </c>
      <c r="S10795" t="s">
        <v>45478</v>
      </c>
      <c r="T10795" t="s">
        <v>47159</v>
      </c>
      <c r="U10795" t="s">
        <v>56333</v>
      </c>
      <c r="W10795" t="s">
        <v>44557</v>
      </c>
      <c r="X10795" t="s">
        <v>45112</v>
      </c>
    </row>
    <row r="10796" spans="1:24">
      <c r="A10796">
        <f>HYPERLINK("https://www.philgeps.gov.ph/GEPSNONPILOT/Tender/SplashBidNoticeAbstractUI.aspx?menuIndex=3&amp;refID=7019211&amp;Result=3","7019211")</f>
        <v>0</v>
      </c>
      <c r="B10796" t="s">
        <v>2730</v>
      </c>
      <c r="C10796" t="s">
        <v>13497</v>
      </c>
      <c r="E10796" t="s">
        <v>27471</v>
      </c>
      <c r="F10796" t="s">
        <v>31574</v>
      </c>
      <c r="G10796" t="s">
        <v>31583</v>
      </c>
      <c r="H10796" t="s">
        <v>31590</v>
      </c>
      <c r="I10796" t="s">
        <v>14544</v>
      </c>
      <c r="J10796" t="s">
        <v>38431</v>
      </c>
      <c r="K10796" t="s">
        <v>41184</v>
      </c>
      <c r="M10796" t="s">
        <v>44501</v>
      </c>
      <c r="N10796" t="s">
        <v>45095</v>
      </c>
      <c r="O10796" t="s">
        <v>45096</v>
      </c>
      <c r="P10796">
        <v>0</v>
      </c>
      <c r="Q10796">
        <v>0</v>
      </c>
      <c r="R10796" t="s">
        <v>45109</v>
      </c>
      <c r="S10796" t="s">
        <v>45478</v>
      </c>
      <c r="T10796" t="s">
        <v>46963</v>
      </c>
      <c r="U10796" t="s">
        <v>56334</v>
      </c>
      <c r="V10796" t="s">
        <v>60945</v>
      </c>
      <c r="W10796" t="s">
        <v>44501</v>
      </c>
      <c r="X10796" t="s">
        <v>45112</v>
      </c>
    </row>
    <row r="10797" spans="1:24">
      <c r="A10797">
        <f>HYPERLINK("https://www.philgeps.gov.ph/GEPSNONPILOT/Tender/SplashBidNoticeAbstractUI.aspx?menuIndex=3&amp;refID=7019749&amp;Result=3","7019749")</f>
        <v>0</v>
      </c>
      <c r="B10797" t="s">
        <v>2782</v>
      </c>
      <c r="C10797" t="s">
        <v>13488</v>
      </c>
      <c r="D10797" t="s">
        <v>18102</v>
      </c>
      <c r="E10797" t="s">
        <v>27472</v>
      </c>
      <c r="F10797" t="s">
        <v>31574</v>
      </c>
      <c r="G10797" t="s">
        <v>31582</v>
      </c>
      <c r="H10797" t="s">
        <v>31590</v>
      </c>
      <c r="I10797" t="s">
        <v>31602</v>
      </c>
      <c r="J10797" t="s">
        <v>38432</v>
      </c>
      <c r="K10797" t="s">
        <v>41186</v>
      </c>
      <c r="M10797" t="s">
        <v>44557</v>
      </c>
      <c r="N10797" t="s">
        <v>45095</v>
      </c>
      <c r="O10797" t="s">
        <v>45096</v>
      </c>
      <c r="Q10797">
        <v>0</v>
      </c>
      <c r="R10797" t="s">
        <v>45109</v>
      </c>
      <c r="S10797" t="s">
        <v>45485</v>
      </c>
      <c r="T10797" t="s">
        <v>47159</v>
      </c>
      <c r="U10797" t="s">
        <v>56335</v>
      </c>
      <c r="W10797" t="s">
        <v>44557</v>
      </c>
      <c r="X10797" t="s">
        <v>45112</v>
      </c>
    </row>
    <row r="10798" spans="1:24">
      <c r="A10798">
        <f>HYPERLINK("https://www.philgeps.gov.ph/GEPSNONPILOT/Tender/SplashBidNoticeAbstractUI.aspx?menuIndex=3&amp;refID=7019815&amp;Result=3","7019815")</f>
        <v>0</v>
      </c>
      <c r="B10798" t="s">
        <v>46</v>
      </c>
      <c r="C10798" t="s">
        <v>13498</v>
      </c>
      <c r="E10798" t="s">
        <v>27473</v>
      </c>
      <c r="F10798" t="s">
        <v>31574</v>
      </c>
      <c r="G10798" t="s">
        <v>31582</v>
      </c>
      <c r="H10798" t="s">
        <v>31590</v>
      </c>
      <c r="I10798" t="s">
        <v>31598</v>
      </c>
      <c r="J10798" t="s">
        <v>38433</v>
      </c>
      <c r="K10798" t="s">
        <v>41184</v>
      </c>
      <c r="M10798" t="s">
        <v>41529</v>
      </c>
      <c r="N10798" t="s">
        <v>45095</v>
      </c>
      <c r="O10798" t="s">
        <v>45096</v>
      </c>
      <c r="Q10798">
        <v>9</v>
      </c>
      <c r="R10798" t="s">
        <v>45109</v>
      </c>
      <c r="S10798" t="s">
        <v>45486</v>
      </c>
      <c r="T10798" t="s">
        <v>46914</v>
      </c>
      <c r="U10798" t="s">
        <v>56336</v>
      </c>
      <c r="W10798" t="s">
        <v>41529</v>
      </c>
      <c r="X10798" t="s">
        <v>45112</v>
      </c>
    </row>
    <row r="10799" spans="1:24">
      <c r="A10799">
        <f>HYPERLINK("https://www.philgeps.gov.ph/GEPSNONPILOT/Tender/SplashBidNoticeAbstractUI.aspx?menuIndex=3&amp;refID=7019497&amp;Result=3","7019497")</f>
        <v>0</v>
      </c>
      <c r="B10799" t="s">
        <v>2730</v>
      </c>
      <c r="C10799" t="s">
        <v>13499</v>
      </c>
      <c r="E10799" t="s">
        <v>27474</v>
      </c>
      <c r="F10799" t="s">
        <v>31574</v>
      </c>
      <c r="G10799" t="s">
        <v>31583</v>
      </c>
      <c r="H10799" t="s">
        <v>31590</v>
      </c>
      <c r="I10799" t="s">
        <v>7185</v>
      </c>
      <c r="J10799" t="s">
        <v>38434</v>
      </c>
      <c r="K10799" t="s">
        <v>41184</v>
      </c>
      <c r="M10799" t="s">
        <v>44501</v>
      </c>
      <c r="N10799" t="s">
        <v>45095</v>
      </c>
      <c r="O10799" t="s">
        <v>45096</v>
      </c>
      <c r="P10799">
        <v>0</v>
      </c>
      <c r="Q10799">
        <v>1</v>
      </c>
      <c r="R10799" t="s">
        <v>45109</v>
      </c>
      <c r="S10799" t="s">
        <v>45478</v>
      </c>
      <c r="T10799" t="s">
        <v>46963</v>
      </c>
      <c r="U10799" t="s">
        <v>56337</v>
      </c>
      <c r="V10799" t="s">
        <v>60945</v>
      </c>
      <c r="W10799" t="s">
        <v>44501</v>
      </c>
      <c r="X10799" t="s">
        <v>45112</v>
      </c>
    </row>
    <row r="10800" spans="1:24">
      <c r="A10800">
        <f>HYPERLINK("https://www.philgeps.gov.ph/GEPSNONPILOT/Tender/SplashBidNoticeAbstractUI.aspx?menuIndex=3&amp;refID=7018238&amp;Result=3","7018238")</f>
        <v>0</v>
      </c>
      <c r="B10800" t="s">
        <v>2730</v>
      </c>
      <c r="C10800" t="s">
        <v>13500</v>
      </c>
      <c r="E10800" t="s">
        <v>27475</v>
      </c>
      <c r="F10800" t="s">
        <v>31574</v>
      </c>
      <c r="G10800" t="s">
        <v>31582</v>
      </c>
      <c r="H10800" t="s">
        <v>31590</v>
      </c>
      <c r="I10800" t="s">
        <v>3651</v>
      </c>
      <c r="J10800" t="s">
        <v>38435</v>
      </c>
      <c r="K10800" t="s">
        <v>41184</v>
      </c>
      <c r="M10800" t="s">
        <v>44501</v>
      </c>
      <c r="N10800" t="s">
        <v>45095</v>
      </c>
      <c r="O10800" t="s">
        <v>45096</v>
      </c>
      <c r="P10800">
        <v>0</v>
      </c>
      <c r="Q10800">
        <v>0</v>
      </c>
      <c r="R10800" t="s">
        <v>45109</v>
      </c>
      <c r="S10800" t="s">
        <v>45478</v>
      </c>
      <c r="T10800" t="s">
        <v>46963</v>
      </c>
      <c r="U10800" t="s">
        <v>56338</v>
      </c>
      <c r="V10800" t="s">
        <v>60945</v>
      </c>
      <c r="W10800" t="s">
        <v>44501</v>
      </c>
      <c r="X10800" t="s">
        <v>45115</v>
      </c>
    </row>
    <row r="10801" spans="1:24">
      <c r="A10801">
        <f>HYPERLINK("https://www.philgeps.gov.ph/GEPSNONPILOT/Tender/SplashBidNoticeAbstractUI.aspx?menuIndex=3&amp;refID=7019812&amp;Result=3","7019812")</f>
        <v>0</v>
      </c>
      <c r="B10801" t="s">
        <v>2782</v>
      </c>
      <c r="C10801" t="s">
        <v>13501</v>
      </c>
      <c r="D10801" t="s">
        <v>18102</v>
      </c>
      <c r="E10801" t="s">
        <v>27476</v>
      </c>
      <c r="F10801" t="s">
        <v>31574</v>
      </c>
      <c r="G10801" t="s">
        <v>31582</v>
      </c>
      <c r="H10801" t="s">
        <v>31590</v>
      </c>
      <c r="I10801" t="s">
        <v>14544</v>
      </c>
      <c r="J10801" t="s">
        <v>38436</v>
      </c>
      <c r="K10801" t="s">
        <v>41186</v>
      </c>
      <c r="M10801" t="s">
        <v>44557</v>
      </c>
      <c r="N10801" t="s">
        <v>45095</v>
      </c>
      <c r="O10801" t="s">
        <v>45096</v>
      </c>
      <c r="P10801">
        <v>0</v>
      </c>
      <c r="Q10801">
        <v>1</v>
      </c>
      <c r="R10801" t="s">
        <v>45109</v>
      </c>
      <c r="S10801" t="s">
        <v>45478</v>
      </c>
      <c r="T10801" t="s">
        <v>47159</v>
      </c>
      <c r="U10801" t="s">
        <v>56339</v>
      </c>
      <c r="W10801" t="s">
        <v>44557</v>
      </c>
      <c r="X10801" t="s">
        <v>45112</v>
      </c>
    </row>
    <row r="10802" spans="1:24">
      <c r="A10802">
        <f>HYPERLINK("https://www.philgeps.gov.ph/GEPSNONPILOT/Tender/SplashBidNoticeAbstractUI.aspx?menuIndex=3&amp;refID=7019908&amp;Result=3","7019908")</f>
        <v>0</v>
      </c>
      <c r="B10802" t="s">
        <v>2783</v>
      </c>
      <c r="C10802" t="s">
        <v>13502</v>
      </c>
      <c r="D10802" t="s">
        <v>18044</v>
      </c>
      <c r="E10802" t="s">
        <v>27477</v>
      </c>
      <c r="F10802" t="s">
        <v>31574</v>
      </c>
      <c r="G10802" t="s">
        <v>31582</v>
      </c>
      <c r="H10802" t="s">
        <v>31591</v>
      </c>
      <c r="I10802" t="s">
        <v>8822</v>
      </c>
      <c r="J10802" t="s">
        <v>32085</v>
      </c>
      <c r="K10802" t="s">
        <v>41189</v>
      </c>
      <c r="M10802" t="s">
        <v>44558</v>
      </c>
      <c r="N10802" t="s">
        <v>45095</v>
      </c>
      <c r="O10802" t="s">
        <v>45096</v>
      </c>
      <c r="P10802">
        <v>0</v>
      </c>
      <c r="Q10802">
        <v>0</v>
      </c>
      <c r="R10802" t="s">
        <v>45109</v>
      </c>
      <c r="S10802" t="s">
        <v>45478</v>
      </c>
      <c r="T10802" t="s">
        <v>47128</v>
      </c>
      <c r="U10802" t="s">
        <v>56340</v>
      </c>
      <c r="W10802" t="s">
        <v>44558</v>
      </c>
      <c r="X10802" t="s">
        <v>45112</v>
      </c>
    </row>
    <row r="10803" spans="1:24">
      <c r="A10803">
        <f>HYPERLINK("https://www.philgeps.gov.ph/GEPSNONPILOT/Tender/SplashBidNoticeAbstractUI.aspx?menuIndex=3&amp;refID=7019898&amp;Result=3","7019898")</f>
        <v>0</v>
      </c>
      <c r="B10803" t="s">
        <v>2730</v>
      </c>
      <c r="C10803" t="s">
        <v>13503</v>
      </c>
      <c r="E10803" t="s">
        <v>27478</v>
      </c>
      <c r="F10803" t="s">
        <v>31574</v>
      </c>
      <c r="G10803" t="s">
        <v>31582</v>
      </c>
      <c r="H10803" t="s">
        <v>31590</v>
      </c>
      <c r="I10803" t="s">
        <v>3487</v>
      </c>
      <c r="J10803" t="s">
        <v>38437</v>
      </c>
      <c r="K10803" t="s">
        <v>41184</v>
      </c>
      <c r="M10803" t="s">
        <v>44501</v>
      </c>
      <c r="N10803" t="s">
        <v>45095</v>
      </c>
      <c r="O10803" t="s">
        <v>45096</v>
      </c>
      <c r="P10803">
        <v>0</v>
      </c>
      <c r="Q10803">
        <v>0</v>
      </c>
      <c r="R10803" t="s">
        <v>45109</v>
      </c>
      <c r="S10803" t="s">
        <v>45478</v>
      </c>
      <c r="T10803" t="s">
        <v>46963</v>
      </c>
      <c r="U10803" t="s">
        <v>56341</v>
      </c>
      <c r="V10803" t="s">
        <v>60945</v>
      </c>
      <c r="W10803" t="s">
        <v>44501</v>
      </c>
      <c r="X10803" t="s">
        <v>45112</v>
      </c>
    </row>
    <row r="10804" spans="1:24">
      <c r="A10804">
        <f>HYPERLINK("https://www.philgeps.gov.ph/GEPSNONPILOT/Tender/SplashBidNoticeAbstractUI.aspx?menuIndex=3&amp;refID=7019845&amp;Result=3","7019845")</f>
        <v>0</v>
      </c>
      <c r="B10804" t="s">
        <v>46</v>
      </c>
      <c r="C10804" t="s">
        <v>13504</v>
      </c>
      <c r="E10804" t="s">
        <v>27479</v>
      </c>
      <c r="F10804" t="s">
        <v>31574</v>
      </c>
      <c r="G10804" t="s">
        <v>31582</v>
      </c>
      <c r="H10804" t="s">
        <v>31590</v>
      </c>
      <c r="I10804" t="s">
        <v>31598</v>
      </c>
      <c r="J10804" t="s">
        <v>33408</v>
      </c>
      <c r="K10804" t="s">
        <v>41184</v>
      </c>
      <c r="M10804" t="s">
        <v>41529</v>
      </c>
      <c r="N10804" t="s">
        <v>45095</v>
      </c>
      <c r="O10804" t="s">
        <v>45096</v>
      </c>
      <c r="Q10804">
        <v>7</v>
      </c>
      <c r="R10804" t="s">
        <v>45109</v>
      </c>
      <c r="S10804" t="s">
        <v>45487</v>
      </c>
      <c r="T10804" t="s">
        <v>46914</v>
      </c>
      <c r="U10804" t="s">
        <v>56342</v>
      </c>
      <c r="W10804" t="s">
        <v>41529</v>
      </c>
      <c r="X10804" t="s">
        <v>45112</v>
      </c>
    </row>
    <row r="10805" spans="1:24">
      <c r="A10805">
        <f>HYPERLINK("https://www.philgeps.gov.ph/GEPSNONPILOT/Tender/SplashBidNoticeAbstractUI.aspx?menuIndex=3&amp;refID=7018260&amp;Result=3","7018260")</f>
        <v>0</v>
      </c>
      <c r="B10805" t="s">
        <v>2730</v>
      </c>
      <c r="C10805" t="s">
        <v>13505</v>
      </c>
      <c r="E10805" t="s">
        <v>27480</v>
      </c>
      <c r="F10805" t="s">
        <v>31574</v>
      </c>
      <c r="G10805" t="s">
        <v>31583</v>
      </c>
      <c r="H10805" t="s">
        <v>31590</v>
      </c>
      <c r="I10805" t="s">
        <v>7185</v>
      </c>
      <c r="J10805" t="s">
        <v>38438</v>
      </c>
      <c r="K10805" t="s">
        <v>41184</v>
      </c>
      <c r="M10805" t="s">
        <v>44501</v>
      </c>
      <c r="N10805" t="s">
        <v>45095</v>
      </c>
      <c r="O10805" t="s">
        <v>45096</v>
      </c>
      <c r="P10805">
        <v>0</v>
      </c>
      <c r="Q10805">
        <v>1</v>
      </c>
      <c r="R10805" t="s">
        <v>45109</v>
      </c>
      <c r="S10805" t="s">
        <v>45478</v>
      </c>
      <c r="T10805" t="s">
        <v>46963</v>
      </c>
      <c r="U10805" t="s">
        <v>56343</v>
      </c>
      <c r="V10805" t="s">
        <v>60945</v>
      </c>
      <c r="W10805" t="s">
        <v>44501</v>
      </c>
      <c r="X10805" t="s">
        <v>45115</v>
      </c>
    </row>
    <row r="10806" spans="1:24">
      <c r="A10806">
        <f>HYPERLINK("https://www.philgeps.gov.ph/GEPSNONPILOT/Tender/SplashBidNoticeAbstractUI.aspx?menuIndex=3&amp;refID=7019876&amp;Result=3","7019876")</f>
        <v>0</v>
      </c>
      <c r="B10806" t="s">
        <v>2782</v>
      </c>
      <c r="C10806" t="s">
        <v>13506</v>
      </c>
      <c r="D10806" t="s">
        <v>18102</v>
      </c>
      <c r="E10806" t="s">
        <v>27481</v>
      </c>
      <c r="F10806" t="s">
        <v>31574</v>
      </c>
      <c r="G10806" t="s">
        <v>31582</v>
      </c>
      <c r="H10806" t="s">
        <v>31590</v>
      </c>
      <c r="I10806" t="s">
        <v>7185</v>
      </c>
      <c r="J10806" t="s">
        <v>38439</v>
      </c>
      <c r="K10806" t="s">
        <v>41186</v>
      </c>
      <c r="M10806" t="s">
        <v>44557</v>
      </c>
      <c r="N10806" t="s">
        <v>45095</v>
      </c>
      <c r="O10806" t="s">
        <v>45096</v>
      </c>
      <c r="P10806">
        <v>0</v>
      </c>
      <c r="Q10806">
        <v>1</v>
      </c>
      <c r="R10806" t="s">
        <v>45109</v>
      </c>
      <c r="S10806" t="s">
        <v>45478</v>
      </c>
      <c r="T10806" t="s">
        <v>47159</v>
      </c>
      <c r="U10806" t="s">
        <v>56344</v>
      </c>
      <c r="W10806" t="s">
        <v>44557</v>
      </c>
      <c r="X10806" t="s">
        <v>45112</v>
      </c>
    </row>
    <row r="10807" spans="1:24">
      <c r="A10807">
        <f>HYPERLINK("https://www.philgeps.gov.ph/GEPSNONPILOT/Tender/SplashBidNoticeAbstractUI.aspx?menuIndex=3&amp;refID=7019881&amp;Result=3","7019881")</f>
        <v>0</v>
      </c>
      <c r="B10807" t="s">
        <v>46</v>
      </c>
      <c r="C10807" t="s">
        <v>13507</v>
      </c>
      <c r="E10807" t="s">
        <v>27482</v>
      </c>
      <c r="F10807" t="s">
        <v>31574</v>
      </c>
      <c r="G10807" t="s">
        <v>31582</v>
      </c>
      <c r="H10807" t="s">
        <v>31590</v>
      </c>
      <c r="I10807" t="s">
        <v>31598</v>
      </c>
      <c r="J10807" t="s">
        <v>38440</v>
      </c>
      <c r="K10807" t="s">
        <v>41184</v>
      </c>
      <c r="M10807" t="s">
        <v>41529</v>
      </c>
      <c r="N10807" t="s">
        <v>45095</v>
      </c>
      <c r="O10807" t="s">
        <v>45096</v>
      </c>
      <c r="Q10807">
        <v>27</v>
      </c>
      <c r="R10807" t="s">
        <v>45109</v>
      </c>
      <c r="S10807" t="s">
        <v>45488</v>
      </c>
      <c r="T10807" t="s">
        <v>46914</v>
      </c>
      <c r="U10807" t="s">
        <v>56345</v>
      </c>
      <c r="W10807" t="s">
        <v>41529</v>
      </c>
      <c r="X10807" t="s">
        <v>45112</v>
      </c>
    </row>
    <row r="10808" spans="1:24">
      <c r="A10808">
        <f>HYPERLINK("https://www.philgeps.gov.ph/GEPSNONPILOT/Tender/SplashBidNoticeAbstractUI.aspx?menuIndex=3&amp;refID=7019938&amp;Result=3","7019938")</f>
        <v>0</v>
      </c>
      <c r="B10808" t="s">
        <v>2782</v>
      </c>
      <c r="C10808" t="s">
        <v>13508</v>
      </c>
      <c r="D10808" t="s">
        <v>18102</v>
      </c>
      <c r="E10808" t="s">
        <v>27483</v>
      </c>
      <c r="F10808" t="s">
        <v>31574</v>
      </c>
      <c r="G10808" t="s">
        <v>31582</v>
      </c>
      <c r="H10808" t="s">
        <v>31590</v>
      </c>
      <c r="I10808" t="s">
        <v>31602</v>
      </c>
      <c r="J10808" t="s">
        <v>38441</v>
      </c>
      <c r="K10808" t="s">
        <v>41186</v>
      </c>
      <c r="M10808" t="s">
        <v>44557</v>
      </c>
      <c r="N10808" t="s">
        <v>45095</v>
      </c>
      <c r="O10808" t="s">
        <v>45096</v>
      </c>
      <c r="P10808">
        <v>0</v>
      </c>
      <c r="Q10808">
        <v>0</v>
      </c>
      <c r="R10808" t="s">
        <v>45109</v>
      </c>
      <c r="S10808" t="s">
        <v>45478</v>
      </c>
      <c r="T10808" t="s">
        <v>47159</v>
      </c>
      <c r="U10808" t="s">
        <v>56346</v>
      </c>
      <c r="W10808" t="s">
        <v>44557</v>
      </c>
      <c r="X10808" t="s">
        <v>45112</v>
      </c>
    </row>
    <row r="10809" spans="1:24">
      <c r="A10809">
        <f>HYPERLINK("https://www.philgeps.gov.ph/GEPSNONPILOT/Tender/SplashBidNoticeAbstractUI.aspx?menuIndex=3&amp;refID=7019867&amp;Result=3","7019867")</f>
        <v>0</v>
      </c>
      <c r="B10809" t="s">
        <v>46</v>
      </c>
      <c r="C10809" t="s">
        <v>13509</v>
      </c>
      <c r="E10809" t="s">
        <v>27484</v>
      </c>
      <c r="F10809" t="s">
        <v>31574</v>
      </c>
      <c r="G10809" t="s">
        <v>31582</v>
      </c>
      <c r="H10809" t="s">
        <v>31590</v>
      </c>
      <c r="I10809" t="s">
        <v>31598</v>
      </c>
      <c r="J10809" t="s">
        <v>32019</v>
      </c>
      <c r="K10809" t="s">
        <v>41184</v>
      </c>
      <c r="M10809" t="s">
        <v>41529</v>
      </c>
      <c r="N10809" t="s">
        <v>45095</v>
      </c>
      <c r="O10809" t="s">
        <v>45096</v>
      </c>
      <c r="Q10809">
        <v>11</v>
      </c>
      <c r="R10809" t="s">
        <v>45109</v>
      </c>
      <c r="S10809" t="s">
        <v>45489</v>
      </c>
      <c r="T10809" t="s">
        <v>46914</v>
      </c>
      <c r="U10809" t="s">
        <v>56347</v>
      </c>
      <c r="W10809" t="s">
        <v>41529</v>
      </c>
      <c r="X10809" t="s">
        <v>45112</v>
      </c>
    </row>
    <row r="10810" spans="1:24">
      <c r="A10810">
        <f>HYPERLINK("https://www.philgeps.gov.ph/GEPSNONPILOT/Tender/SplashBidNoticeAbstractUI.aspx?menuIndex=3&amp;refID=7019837&amp;Result=3","7019837")</f>
        <v>0</v>
      </c>
      <c r="B10810" t="s">
        <v>46</v>
      </c>
      <c r="C10810" t="s">
        <v>13510</v>
      </c>
      <c r="E10810" t="s">
        <v>27485</v>
      </c>
      <c r="F10810" t="s">
        <v>31574</v>
      </c>
      <c r="G10810" t="s">
        <v>31582</v>
      </c>
      <c r="H10810" t="s">
        <v>31590</v>
      </c>
      <c r="I10810" t="s">
        <v>31598</v>
      </c>
      <c r="J10810" t="s">
        <v>32121</v>
      </c>
      <c r="K10810" t="s">
        <v>41184</v>
      </c>
      <c r="M10810" t="s">
        <v>41529</v>
      </c>
      <c r="N10810" t="s">
        <v>45095</v>
      </c>
      <c r="O10810" t="s">
        <v>45096</v>
      </c>
      <c r="Q10810">
        <v>22</v>
      </c>
      <c r="R10810" t="s">
        <v>45109</v>
      </c>
      <c r="S10810" t="s">
        <v>45490</v>
      </c>
      <c r="T10810" t="s">
        <v>46914</v>
      </c>
      <c r="U10810" t="s">
        <v>56348</v>
      </c>
      <c r="W10810" t="s">
        <v>41529</v>
      </c>
      <c r="X10810" t="s">
        <v>45112</v>
      </c>
    </row>
    <row r="10811" spans="1:24">
      <c r="A10811">
        <f>HYPERLINK("https://www.philgeps.gov.ph/GEPSNONPILOT/Tender/SplashBidNoticeAbstractUI.aspx?menuIndex=3&amp;refID=7019834&amp;Result=3","7019834")</f>
        <v>0</v>
      </c>
      <c r="B10811" t="s">
        <v>2784</v>
      </c>
      <c r="C10811" t="s">
        <v>13511</v>
      </c>
      <c r="D10811" t="s">
        <v>18096</v>
      </c>
      <c r="E10811" t="s">
        <v>18227</v>
      </c>
      <c r="F10811" t="s">
        <v>31574</v>
      </c>
      <c r="G10811" t="s">
        <v>31582</v>
      </c>
      <c r="H10811" t="s">
        <v>31591</v>
      </c>
      <c r="I10811" t="s">
        <v>8822</v>
      </c>
      <c r="J10811" t="s">
        <v>32019</v>
      </c>
      <c r="K10811" t="s">
        <v>41192</v>
      </c>
      <c r="M10811" t="s">
        <v>44559</v>
      </c>
      <c r="N10811" t="s">
        <v>45095</v>
      </c>
      <c r="O10811" t="s">
        <v>45096</v>
      </c>
      <c r="P10811">
        <v>0</v>
      </c>
      <c r="Q10811">
        <v>0</v>
      </c>
      <c r="R10811" t="s">
        <v>45109</v>
      </c>
      <c r="S10811" t="s">
        <v>45478</v>
      </c>
      <c r="T10811" t="s">
        <v>46910</v>
      </c>
      <c r="U10811" t="s">
        <v>56349</v>
      </c>
      <c r="W10811" t="s">
        <v>44559</v>
      </c>
      <c r="X10811" t="s">
        <v>45112</v>
      </c>
    </row>
    <row r="10812" spans="1:24">
      <c r="A10812">
        <f>HYPERLINK("https://www.philgeps.gov.ph/GEPSNONPILOT/Tender/SplashBidNoticeAbstractUI.aspx?menuIndex=3&amp;refID=7019887&amp;Result=3","7019887")</f>
        <v>0</v>
      </c>
      <c r="B10812" t="s">
        <v>46</v>
      </c>
      <c r="C10812" t="s">
        <v>13512</v>
      </c>
      <c r="E10812" t="s">
        <v>27486</v>
      </c>
      <c r="F10812" t="s">
        <v>31574</v>
      </c>
      <c r="G10812" t="s">
        <v>31582</v>
      </c>
      <c r="H10812" t="s">
        <v>31590</v>
      </c>
      <c r="I10812" t="s">
        <v>31598</v>
      </c>
      <c r="J10812" t="s">
        <v>35296</v>
      </c>
      <c r="K10812" t="s">
        <v>41184</v>
      </c>
      <c r="M10812" t="s">
        <v>41529</v>
      </c>
      <c r="N10812" t="s">
        <v>45095</v>
      </c>
      <c r="O10812" t="s">
        <v>45096</v>
      </c>
      <c r="Q10812">
        <v>17</v>
      </c>
      <c r="R10812" t="s">
        <v>45109</v>
      </c>
      <c r="S10812" t="s">
        <v>45491</v>
      </c>
      <c r="T10812" t="s">
        <v>46914</v>
      </c>
      <c r="U10812" t="s">
        <v>56350</v>
      </c>
      <c r="W10812" t="s">
        <v>41529</v>
      </c>
      <c r="X10812" t="s">
        <v>45112</v>
      </c>
    </row>
    <row r="10813" spans="1:24">
      <c r="A10813">
        <f>HYPERLINK("https://www.philgeps.gov.ph/GEPSNONPILOT/Tender/SplashBidNoticeAbstractUI.aspx?menuIndex=3&amp;refID=7019827&amp;Result=3","7019827")</f>
        <v>0</v>
      </c>
      <c r="B10813" t="s">
        <v>46</v>
      </c>
      <c r="C10813" t="s">
        <v>13513</v>
      </c>
      <c r="E10813" t="s">
        <v>27487</v>
      </c>
      <c r="F10813" t="s">
        <v>31574</v>
      </c>
      <c r="G10813" t="s">
        <v>31582</v>
      </c>
      <c r="H10813" t="s">
        <v>31590</v>
      </c>
      <c r="I10813" t="s">
        <v>31598</v>
      </c>
      <c r="J10813" t="s">
        <v>32232</v>
      </c>
      <c r="K10813" t="s">
        <v>41184</v>
      </c>
      <c r="M10813" t="s">
        <v>41529</v>
      </c>
      <c r="N10813" t="s">
        <v>45095</v>
      </c>
      <c r="O10813" t="s">
        <v>45096</v>
      </c>
      <c r="Q10813">
        <v>8</v>
      </c>
      <c r="R10813" t="s">
        <v>45109</v>
      </c>
      <c r="S10813" t="s">
        <v>45492</v>
      </c>
      <c r="T10813" t="s">
        <v>46914</v>
      </c>
      <c r="U10813" t="s">
        <v>56351</v>
      </c>
      <c r="W10813" t="s">
        <v>41529</v>
      </c>
      <c r="X10813" t="s">
        <v>45112</v>
      </c>
    </row>
    <row r="10814" spans="1:24">
      <c r="A10814">
        <f>HYPERLINK("https://www.philgeps.gov.ph/GEPSNONPILOT/Tender/SplashBidNoticeAbstractUI.aspx?menuIndex=3&amp;refID=7019923&amp;Result=3","7019923")</f>
        <v>0</v>
      </c>
      <c r="B10814" t="s">
        <v>2730</v>
      </c>
      <c r="C10814" t="s">
        <v>13514</v>
      </c>
      <c r="E10814" t="s">
        <v>27478</v>
      </c>
      <c r="F10814" t="s">
        <v>31574</v>
      </c>
      <c r="G10814" t="s">
        <v>31583</v>
      </c>
      <c r="H10814" t="s">
        <v>31590</v>
      </c>
      <c r="I10814" t="s">
        <v>3487</v>
      </c>
      <c r="J10814" t="s">
        <v>33977</v>
      </c>
      <c r="K10814" t="s">
        <v>41184</v>
      </c>
      <c r="M10814" t="s">
        <v>44501</v>
      </c>
      <c r="N10814" t="s">
        <v>45095</v>
      </c>
      <c r="O10814" t="s">
        <v>45096</v>
      </c>
      <c r="P10814">
        <v>0</v>
      </c>
      <c r="Q10814">
        <v>0</v>
      </c>
      <c r="R10814" t="s">
        <v>45109</v>
      </c>
      <c r="S10814" t="s">
        <v>45478</v>
      </c>
      <c r="T10814" t="s">
        <v>46963</v>
      </c>
      <c r="U10814" t="s">
        <v>56352</v>
      </c>
      <c r="V10814" t="s">
        <v>60945</v>
      </c>
      <c r="W10814" t="s">
        <v>44501</v>
      </c>
      <c r="X10814" t="s">
        <v>45112</v>
      </c>
    </row>
    <row r="10815" spans="1:24">
      <c r="A10815">
        <f>HYPERLINK("https://www.philgeps.gov.ph/GEPSNONPILOT/Tender/SplashBidNoticeAbstractUI.aspx?menuIndex=3&amp;refID=7019849&amp;Result=3","7019849")</f>
        <v>0</v>
      </c>
      <c r="B10815" t="s">
        <v>2730</v>
      </c>
      <c r="C10815" t="s">
        <v>13515</v>
      </c>
      <c r="E10815" t="s">
        <v>27488</v>
      </c>
      <c r="F10815" t="s">
        <v>31574</v>
      </c>
      <c r="G10815" t="s">
        <v>31582</v>
      </c>
      <c r="H10815" t="s">
        <v>31590</v>
      </c>
      <c r="I10815" t="s">
        <v>3487</v>
      </c>
      <c r="J10815" t="s">
        <v>38442</v>
      </c>
      <c r="K10815" t="s">
        <v>41184</v>
      </c>
      <c r="M10815" t="s">
        <v>44501</v>
      </c>
      <c r="N10815" t="s">
        <v>45095</v>
      </c>
      <c r="O10815" t="s">
        <v>45096</v>
      </c>
      <c r="P10815">
        <v>0</v>
      </c>
      <c r="Q10815">
        <v>0</v>
      </c>
      <c r="R10815" t="s">
        <v>45109</v>
      </c>
      <c r="S10815" t="s">
        <v>45478</v>
      </c>
      <c r="T10815" t="s">
        <v>46963</v>
      </c>
      <c r="U10815" t="s">
        <v>56353</v>
      </c>
      <c r="V10815" t="s">
        <v>60945</v>
      </c>
      <c r="W10815" t="s">
        <v>44501</v>
      </c>
      <c r="X10815" t="s">
        <v>45112</v>
      </c>
    </row>
    <row r="10816" spans="1:24">
      <c r="A10816">
        <f>HYPERLINK("https://www.philgeps.gov.ph/GEPSNONPILOT/Tender/SplashBidNoticeAbstractUI.aspx?menuIndex=3&amp;refID=7019987&amp;Result=3","7019987")</f>
        <v>0</v>
      </c>
      <c r="B10816" t="s">
        <v>2730</v>
      </c>
      <c r="C10816" t="s">
        <v>13516</v>
      </c>
      <c r="E10816" t="s">
        <v>27489</v>
      </c>
      <c r="F10816" t="s">
        <v>31574</v>
      </c>
      <c r="G10816" t="s">
        <v>31583</v>
      </c>
      <c r="H10816" t="s">
        <v>31590</v>
      </c>
      <c r="I10816" t="s">
        <v>14544</v>
      </c>
      <c r="J10816" t="s">
        <v>38443</v>
      </c>
      <c r="K10816" t="s">
        <v>41184</v>
      </c>
      <c r="M10816" t="s">
        <v>44501</v>
      </c>
      <c r="N10816" t="s">
        <v>45095</v>
      </c>
      <c r="O10816" t="s">
        <v>45096</v>
      </c>
      <c r="P10816">
        <v>0</v>
      </c>
      <c r="Q10816">
        <v>0</v>
      </c>
      <c r="R10816" t="s">
        <v>45109</v>
      </c>
      <c r="S10816" t="s">
        <v>45478</v>
      </c>
      <c r="T10816" t="s">
        <v>46963</v>
      </c>
      <c r="U10816" t="s">
        <v>56354</v>
      </c>
      <c r="V10816" t="s">
        <v>60945</v>
      </c>
      <c r="W10816" t="s">
        <v>44501</v>
      </c>
      <c r="X10816" t="s">
        <v>45112</v>
      </c>
    </row>
    <row r="10817" spans="1:24">
      <c r="A10817">
        <f>HYPERLINK("https://www.philgeps.gov.ph/GEPSNONPILOT/Tender/SplashBidNoticeAbstractUI.aspx?menuIndex=3&amp;refID=7019974&amp;Result=3","7019974")</f>
        <v>0</v>
      </c>
      <c r="B10817" t="s">
        <v>2730</v>
      </c>
      <c r="C10817" t="s">
        <v>13517</v>
      </c>
      <c r="E10817" t="s">
        <v>27490</v>
      </c>
      <c r="F10817" t="s">
        <v>31574</v>
      </c>
      <c r="G10817" t="s">
        <v>31583</v>
      </c>
      <c r="H10817" t="s">
        <v>31590</v>
      </c>
      <c r="I10817" t="s">
        <v>3487</v>
      </c>
      <c r="J10817" t="s">
        <v>32147</v>
      </c>
      <c r="K10817" t="s">
        <v>41184</v>
      </c>
      <c r="M10817" t="s">
        <v>44501</v>
      </c>
      <c r="N10817" t="s">
        <v>45095</v>
      </c>
      <c r="O10817" t="s">
        <v>45096</v>
      </c>
      <c r="P10817">
        <v>0</v>
      </c>
      <c r="Q10817">
        <v>0</v>
      </c>
      <c r="R10817" t="s">
        <v>45109</v>
      </c>
      <c r="S10817" t="s">
        <v>45478</v>
      </c>
      <c r="T10817" t="s">
        <v>46963</v>
      </c>
      <c r="U10817" t="s">
        <v>56355</v>
      </c>
      <c r="V10817" t="s">
        <v>60945</v>
      </c>
      <c r="W10817" t="s">
        <v>44501</v>
      </c>
      <c r="X10817" t="s">
        <v>45112</v>
      </c>
    </row>
    <row r="10818" spans="1:24">
      <c r="A10818">
        <f>HYPERLINK("https://www.philgeps.gov.ph/GEPSNONPILOT/Tender/SplashBidNoticeAbstractUI.aspx?menuIndex=3&amp;refID=7019939&amp;Result=3","7019939")</f>
        <v>0</v>
      </c>
      <c r="B10818" t="s">
        <v>2730</v>
      </c>
      <c r="C10818" t="s">
        <v>13518</v>
      </c>
      <c r="E10818" t="s">
        <v>27491</v>
      </c>
      <c r="F10818" t="s">
        <v>31574</v>
      </c>
      <c r="G10818" t="s">
        <v>31583</v>
      </c>
      <c r="H10818" t="s">
        <v>31590</v>
      </c>
      <c r="I10818" t="s">
        <v>3487</v>
      </c>
      <c r="J10818" t="s">
        <v>33977</v>
      </c>
      <c r="K10818" t="s">
        <v>41184</v>
      </c>
      <c r="M10818" t="s">
        <v>44501</v>
      </c>
      <c r="N10818" t="s">
        <v>45095</v>
      </c>
      <c r="O10818" t="s">
        <v>45096</v>
      </c>
      <c r="P10818">
        <v>0</v>
      </c>
      <c r="Q10818">
        <v>0</v>
      </c>
      <c r="R10818" t="s">
        <v>45109</v>
      </c>
      <c r="S10818" t="s">
        <v>45478</v>
      </c>
      <c r="T10818" t="s">
        <v>46963</v>
      </c>
      <c r="U10818" t="s">
        <v>56356</v>
      </c>
      <c r="V10818" t="s">
        <v>60945</v>
      </c>
      <c r="W10818" t="s">
        <v>44501</v>
      </c>
      <c r="X10818" t="s">
        <v>45112</v>
      </c>
    </row>
    <row r="10819" spans="1:24">
      <c r="A10819">
        <f>HYPERLINK("https://www.philgeps.gov.ph/GEPSNONPILOT/Tender/SplashBidNoticeAbstractUI.aspx?menuIndex=3&amp;refID=7020004&amp;Result=3","7020004")</f>
        <v>0</v>
      </c>
      <c r="B10819" t="s">
        <v>2783</v>
      </c>
      <c r="C10819" t="s">
        <v>13519</v>
      </c>
      <c r="D10819" t="s">
        <v>18044</v>
      </c>
      <c r="E10819" t="s">
        <v>27492</v>
      </c>
      <c r="F10819" t="s">
        <v>31574</v>
      </c>
      <c r="G10819" t="s">
        <v>31582</v>
      </c>
      <c r="H10819" t="s">
        <v>31591</v>
      </c>
      <c r="I10819" t="s">
        <v>8822</v>
      </c>
      <c r="J10819" t="s">
        <v>38444</v>
      </c>
      <c r="K10819" t="s">
        <v>41200</v>
      </c>
      <c r="M10819" t="s">
        <v>44558</v>
      </c>
      <c r="N10819" t="s">
        <v>45095</v>
      </c>
      <c r="O10819" t="s">
        <v>45096</v>
      </c>
      <c r="P10819">
        <v>0</v>
      </c>
      <c r="Q10819">
        <v>0</v>
      </c>
      <c r="R10819" t="s">
        <v>45109</v>
      </c>
      <c r="S10819" t="s">
        <v>45478</v>
      </c>
      <c r="T10819" t="s">
        <v>47128</v>
      </c>
      <c r="U10819" t="s">
        <v>56357</v>
      </c>
      <c r="W10819" t="s">
        <v>44558</v>
      </c>
      <c r="X10819" t="s">
        <v>45112</v>
      </c>
    </row>
    <row r="10820" spans="1:24">
      <c r="A10820">
        <f>HYPERLINK("https://www.philgeps.gov.ph/GEPSNONPILOT/Tender/SplashBidNoticeAbstractUI.aspx?menuIndex=3&amp;refID=7019954&amp;Result=3","7019954")</f>
        <v>0</v>
      </c>
      <c r="B10820" t="s">
        <v>2730</v>
      </c>
      <c r="C10820" t="s">
        <v>13520</v>
      </c>
      <c r="E10820" t="s">
        <v>27493</v>
      </c>
      <c r="F10820" t="s">
        <v>31574</v>
      </c>
      <c r="G10820" t="s">
        <v>31583</v>
      </c>
      <c r="H10820" t="s">
        <v>31590</v>
      </c>
      <c r="I10820" t="s">
        <v>3487</v>
      </c>
      <c r="J10820" t="s">
        <v>33977</v>
      </c>
      <c r="K10820" t="s">
        <v>41184</v>
      </c>
      <c r="M10820" t="s">
        <v>44501</v>
      </c>
      <c r="N10820" t="s">
        <v>45095</v>
      </c>
      <c r="O10820" t="s">
        <v>45096</v>
      </c>
      <c r="P10820">
        <v>0</v>
      </c>
      <c r="Q10820">
        <v>0</v>
      </c>
      <c r="R10820" t="s">
        <v>45109</v>
      </c>
      <c r="S10820" t="s">
        <v>45478</v>
      </c>
      <c r="T10820" t="s">
        <v>46963</v>
      </c>
      <c r="U10820" t="s">
        <v>56358</v>
      </c>
      <c r="V10820" t="s">
        <v>60945</v>
      </c>
      <c r="W10820" t="s">
        <v>44501</v>
      </c>
      <c r="X10820" t="s">
        <v>45112</v>
      </c>
    </row>
    <row r="10821" spans="1:24">
      <c r="A10821">
        <f>HYPERLINK("https://www.philgeps.gov.ph/GEPSNONPILOT/Tender/SplashBidNoticeAbstractUI.aspx?menuIndex=3&amp;refID=7019861&amp;Result=3","7019861")</f>
        <v>0</v>
      </c>
      <c r="B10821" t="s">
        <v>46</v>
      </c>
      <c r="C10821" t="s">
        <v>13521</v>
      </c>
      <c r="E10821" t="s">
        <v>27494</v>
      </c>
      <c r="F10821" t="s">
        <v>31574</v>
      </c>
      <c r="G10821" t="s">
        <v>31582</v>
      </c>
      <c r="H10821" t="s">
        <v>31590</v>
      </c>
      <c r="I10821" t="s">
        <v>31598</v>
      </c>
      <c r="J10821" t="s">
        <v>32020</v>
      </c>
      <c r="K10821" t="s">
        <v>41184</v>
      </c>
      <c r="M10821" t="s">
        <v>41529</v>
      </c>
      <c r="N10821" t="s">
        <v>45095</v>
      </c>
      <c r="O10821" t="s">
        <v>45096</v>
      </c>
      <c r="Q10821">
        <v>5</v>
      </c>
      <c r="R10821" t="s">
        <v>45109</v>
      </c>
      <c r="S10821" t="s">
        <v>45493</v>
      </c>
      <c r="T10821" t="s">
        <v>46914</v>
      </c>
      <c r="U10821" t="s">
        <v>56359</v>
      </c>
      <c r="W10821" t="s">
        <v>41529</v>
      </c>
      <c r="X10821" t="s">
        <v>45112</v>
      </c>
    </row>
    <row r="10822" spans="1:24">
      <c r="A10822">
        <f>HYPERLINK("https://www.philgeps.gov.ph/GEPSNONPILOT/Tender/SplashBidNoticeAbstractUI.aspx?menuIndex=3&amp;refID=7020073&amp;Result=3","7020073")</f>
        <v>0</v>
      </c>
      <c r="B10822" t="s">
        <v>2730</v>
      </c>
      <c r="C10822" t="s">
        <v>13522</v>
      </c>
      <c r="E10822" t="s">
        <v>27495</v>
      </c>
      <c r="F10822" t="s">
        <v>31574</v>
      </c>
      <c r="G10822" t="s">
        <v>31583</v>
      </c>
      <c r="H10822" t="s">
        <v>31590</v>
      </c>
      <c r="I10822" t="s">
        <v>14544</v>
      </c>
      <c r="J10822" t="s">
        <v>38445</v>
      </c>
      <c r="K10822" t="s">
        <v>41184</v>
      </c>
      <c r="M10822" t="s">
        <v>44501</v>
      </c>
      <c r="N10822" t="s">
        <v>45095</v>
      </c>
      <c r="O10822" t="s">
        <v>45096</v>
      </c>
      <c r="P10822">
        <v>0</v>
      </c>
      <c r="Q10822">
        <v>0</v>
      </c>
      <c r="R10822" t="s">
        <v>45109</v>
      </c>
      <c r="S10822" t="s">
        <v>45478</v>
      </c>
      <c r="T10822" t="s">
        <v>46963</v>
      </c>
      <c r="U10822" t="s">
        <v>56360</v>
      </c>
      <c r="V10822" t="s">
        <v>60945</v>
      </c>
      <c r="W10822" t="s">
        <v>44501</v>
      </c>
      <c r="X10822" t="s">
        <v>45112</v>
      </c>
    </row>
    <row r="10823" spans="1:24">
      <c r="A10823">
        <f>HYPERLINK("https://www.philgeps.gov.ph/GEPSNONPILOT/Tender/SplashBidNoticeAbstractUI.aspx?menuIndex=3&amp;refID=7019996&amp;Result=3","7019996")</f>
        <v>0</v>
      </c>
      <c r="B10823" t="s">
        <v>2782</v>
      </c>
      <c r="C10823" t="s">
        <v>13508</v>
      </c>
      <c r="D10823" t="s">
        <v>18102</v>
      </c>
      <c r="E10823" t="s">
        <v>27496</v>
      </c>
      <c r="F10823" t="s">
        <v>31574</v>
      </c>
      <c r="G10823" t="s">
        <v>31582</v>
      </c>
      <c r="H10823" t="s">
        <v>31590</v>
      </c>
      <c r="I10823" t="s">
        <v>31602</v>
      </c>
      <c r="J10823" t="s">
        <v>31726</v>
      </c>
      <c r="K10823" t="s">
        <v>41186</v>
      </c>
      <c r="M10823" t="s">
        <v>44557</v>
      </c>
      <c r="N10823" t="s">
        <v>45095</v>
      </c>
      <c r="O10823" t="s">
        <v>45096</v>
      </c>
      <c r="P10823">
        <v>0</v>
      </c>
      <c r="Q10823">
        <v>0</v>
      </c>
      <c r="R10823" t="s">
        <v>45109</v>
      </c>
      <c r="S10823" t="s">
        <v>45478</v>
      </c>
      <c r="T10823" t="s">
        <v>47159</v>
      </c>
      <c r="U10823" t="s">
        <v>56361</v>
      </c>
      <c r="W10823" t="s">
        <v>44557</v>
      </c>
      <c r="X10823" t="s">
        <v>45112</v>
      </c>
    </row>
    <row r="10824" spans="1:24">
      <c r="A10824">
        <f>HYPERLINK("https://www.philgeps.gov.ph/GEPSNONPILOT/Tender/SplashBidNoticeAbstractUI.aspx?menuIndex=3&amp;refID=7020075&amp;Result=3","7020075")</f>
        <v>0</v>
      </c>
      <c r="B10824" t="s">
        <v>2784</v>
      </c>
      <c r="C10824" t="s">
        <v>13523</v>
      </c>
      <c r="D10824" t="s">
        <v>18096</v>
      </c>
      <c r="E10824" t="s">
        <v>18379</v>
      </c>
      <c r="F10824" t="s">
        <v>31574</v>
      </c>
      <c r="G10824" t="s">
        <v>31582</v>
      </c>
      <c r="H10824" t="s">
        <v>31590</v>
      </c>
      <c r="I10824" t="s">
        <v>31615</v>
      </c>
      <c r="J10824" t="s">
        <v>31947</v>
      </c>
      <c r="K10824" t="s">
        <v>41191</v>
      </c>
      <c r="M10824" t="s">
        <v>44559</v>
      </c>
      <c r="N10824" t="s">
        <v>45095</v>
      </c>
      <c r="O10824" t="s">
        <v>45096</v>
      </c>
      <c r="P10824">
        <v>0</v>
      </c>
      <c r="Q10824">
        <v>2</v>
      </c>
      <c r="R10824" t="s">
        <v>45109</v>
      </c>
      <c r="S10824" t="s">
        <v>45478</v>
      </c>
      <c r="T10824" t="s">
        <v>46910</v>
      </c>
      <c r="U10824" t="s">
        <v>56362</v>
      </c>
      <c r="W10824" t="s">
        <v>44559</v>
      </c>
      <c r="X10824" t="s">
        <v>45112</v>
      </c>
    </row>
    <row r="10825" spans="1:24">
      <c r="A10825">
        <f>HYPERLINK("https://www.philgeps.gov.ph/GEPSNONPILOT/Tender/SplashBidNoticeAbstractUI.aspx?menuIndex=3&amp;refID=7020086&amp;Result=3","7020086")</f>
        <v>0</v>
      </c>
      <c r="B10825" t="s">
        <v>2730</v>
      </c>
      <c r="C10825" t="s">
        <v>13524</v>
      </c>
      <c r="E10825" t="s">
        <v>27497</v>
      </c>
      <c r="F10825" t="s">
        <v>31574</v>
      </c>
      <c r="G10825" t="s">
        <v>31583</v>
      </c>
      <c r="H10825" t="s">
        <v>31590</v>
      </c>
      <c r="I10825" t="s">
        <v>14544</v>
      </c>
      <c r="J10825" t="s">
        <v>38446</v>
      </c>
      <c r="K10825" t="s">
        <v>41184</v>
      </c>
      <c r="M10825" t="s">
        <v>44501</v>
      </c>
      <c r="N10825" t="s">
        <v>45095</v>
      </c>
      <c r="O10825" t="s">
        <v>45096</v>
      </c>
      <c r="P10825">
        <v>0</v>
      </c>
      <c r="Q10825">
        <v>0</v>
      </c>
      <c r="R10825" t="s">
        <v>45109</v>
      </c>
      <c r="S10825" t="s">
        <v>45478</v>
      </c>
      <c r="T10825" t="s">
        <v>46963</v>
      </c>
      <c r="U10825" t="s">
        <v>56363</v>
      </c>
      <c r="V10825" t="s">
        <v>60945</v>
      </c>
      <c r="W10825" t="s">
        <v>44501</v>
      </c>
      <c r="X10825" t="s">
        <v>45112</v>
      </c>
    </row>
    <row r="10826" spans="1:24">
      <c r="A10826">
        <f>HYPERLINK("https://www.philgeps.gov.ph/GEPSNONPILOT/Tender/SplashBidNoticeAbstractUI.aspx?menuIndex=3&amp;refID=7020009&amp;Result=3","7020009")</f>
        <v>0</v>
      </c>
      <c r="B10826" t="s">
        <v>2784</v>
      </c>
      <c r="C10826" t="s">
        <v>13525</v>
      </c>
      <c r="D10826" t="s">
        <v>18096</v>
      </c>
      <c r="E10826" t="s">
        <v>18377</v>
      </c>
      <c r="F10826" t="s">
        <v>31574</v>
      </c>
      <c r="G10826" t="s">
        <v>31582</v>
      </c>
      <c r="H10826" t="s">
        <v>31591</v>
      </c>
      <c r="I10826" t="s">
        <v>8822</v>
      </c>
      <c r="J10826" t="s">
        <v>31947</v>
      </c>
      <c r="K10826" t="s">
        <v>41347</v>
      </c>
      <c r="M10826" t="s">
        <v>44559</v>
      </c>
      <c r="N10826" t="s">
        <v>45095</v>
      </c>
      <c r="O10826" t="s">
        <v>45096</v>
      </c>
      <c r="P10826">
        <v>0</v>
      </c>
      <c r="Q10826">
        <v>0</v>
      </c>
      <c r="R10826" t="s">
        <v>45109</v>
      </c>
      <c r="S10826" t="s">
        <v>45478</v>
      </c>
      <c r="T10826" t="s">
        <v>46910</v>
      </c>
      <c r="U10826" t="s">
        <v>56364</v>
      </c>
      <c r="W10826" t="s">
        <v>44559</v>
      </c>
      <c r="X10826" t="s">
        <v>45112</v>
      </c>
    </row>
    <row r="10827" spans="1:24">
      <c r="A10827">
        <f>HYPERLINK("https://www.philgeps.gov.ph/GEPSNONPILOT/Tender/SplashBidNoticeAbstractUI.aspx?menuIndex=3&amp;refID=7020539&amp;Result=3","7020539")</f>
        <v>0</v>
      </c>
      <c r="B10827" t="s">
        <v>2782</v>
      </c>
      <c r="C10827" t="s">
        <v>13526</v>
      </c>
      <c r="D10827" t="s">
        <v>18102</v>
      </c>
      <c r="E10827" t="s">
        <v>27498</v>
      </c>
      <c r="F10827" t="s">
        <v>31574</v>
      </c>
      <c r="G10827" t="s">
        <v>31582</v>
      </c>
      <c r="H10827" t="s">
        <v>31590</v>
      </c>
      <c r="I10827" t="s">
        <v>31594</v>
      </c>
      <c r="J10827" t="s">
        <v>35581</v>
      </c>
      <c r="K10827" t="s">
        <v>41186</v>
      </c>
      <c r="M10827" t="s">
        <v>44557</v>
      </c>
      <c r="N10827" t="s">
        <v>45095</v>
      </c>
      <c r="O10827" t="s">
        <v>45096</v>
      </c>
      <c r="P10827">
        <v>0</v>
      </c>
      <c r="Q10827">
        <v>1</v>
      </c>
      <c r="R10827" t="s">
        <v>45109</v>
      </c>
      <c r="S10827" t="s">
        <v>45478</v>
      </c>
      <c r="T10827" t="s">
        <v>47159</v>
      </c>
      <c r="U10827" t="s">
        <v>56365</v>
      </c>
      <c r="W10827" t="s">
        <v>44557</v>
      </c>
      <c r="X10827" t="s">
        <v>45112</v>
      </c>
    </row>
    <row r="10828" spans="1:24">
      <c r="A10828">
        <f>HYPERLINK("https://www.philgeps.gov.ph/GEPSNONPILOT/Tender/SplashBidNoticeAbstractUI.aspx?menuIndex=3&amp;refID=7020280&amp;Result=3","7020280")</f>
        <v>0</v>
      </c>
      <c r="B10828" t="s">
        <v>2457</v>
      </c>
      <c r="C10828" t="s">
        <v>13527</v>
      </c>
      <c r="D10828" t="s">
        <v>18093</v>
      </c>
      <c r="E10828" t="s">
        <v>27499</v>
      </c>
      <c r="F10828" t="s">
        <v>31574</v>
      </c>
      <c r="G10828" t="s">
        <v>31582</v>
      </c>
      <c r="H10828" t="s">
        <v>31591</v>
      </c>
      <c r="I10828" t="s">
        <v>8822</v>
      </c>
      <c r="J10828" t="s">
        <v>31730</v>
      </c>
      <c r="K10828" t="s">
        <v>41198</v>
      </c>
      <c r="L10828" t="s">
        <v>2457</v>
      </c>
      <c r="M10828" t="s">
        <v>44186</v>
      </c>
      <c r="N10828" t="s">
        <v>45095</v>
      </c>
      <c r="O10828" t="s">
        <v>45096</v>
      </c>
      <c r="P10828">
        <v>0</v>
      </c>
      <c r="Q10828">
        <v>0</v>
      </c>
      <c r="R10828" t="s">
        <v>45109</v>
      </c>
      <c r="S10828" t="s">
        <v>45478</v>
      </c>
      <c r="T10828" t="s">
        <v>46922</v>
      </c>
      <c r="U10828" t="s">
        <v>54769</v>
      </c>
      <c r="V10828" t="s">
        <v>60763</v>
      </c>
      <c r="W10828" t="s">
        <v>44186</v>
      </c>
      <c r="X10828" t="s">
        <v>45112</v>
      </c>
    </row>
    <row r="10829" spans="1:24">
      <c r="A10829">
        <f>HYPERLINK("https://www.philgeps.gov.ph/GEPSNONPILOT/Tender/SplashBidNoticeAbstractUI.aspx?menuIndex=3&amp;refID=7020581&amp;Result=3","7020581")</f>
        <v>0</v>
      </c>
      <c r="B10829" t="s">
        <v>2730</v>
      </c>
      <c r="C10829" t="s">
        <v>13528</v>
      </c>
      <c r="E10829" t="s">
        <v>27500</v>
      </c>
      <c r="F10829" t="s">
        <v>31574</v>
      </c>
      <c r="G10829" t="s">
        <v>31583</v>
      </c>
      <c r="H10829" t="s">
        <v>31590</v>
      </c>
      <c r="I10829" t="s">
        <v>5717</v>
      </c>
      <c r="J10829" t="s">
        <v>38447</v>
      </c>
      <c r="K10829" t="s">
        <v>41184</v>
      </c>
      <c r="M10829" t="s">
        <v>44501</v>
      </c>
      <c r="N10829" t="s">
        <v>45095</v>
      </c>
      <c r="O10829" t="s">
        <v>45096</v>
      </c>
      <c r="P10829">
        <v>0</v>
      </c>
      <c r="Q10829">
        <v>1</v>
      </c>
      <c r="R10829" t="s">
        <v>45109</v>
      </c>
      <c r="S10829" t="s">
        <v>45478</v>
      </c>
      <c r="T10829" t="s">
        <v>46963</v>
      </c>
      <c r="U10829" t="s">
        <v>56366</v>
      </c>
      <c r="V10829" t="s">
        <v>60945</v>
      </c>
      <c r="W10829" t="s">
        <v>44501</v>
      </c>
      <c r="X10829" t="s">
        <v>45112</v>
      </c>
    </row>
    <row r="10830" spans="1:24">
      <c r="A10830">
        <f>HYPERLINK("https://www.philgeps.gov.ph/GEPSNONPILOT/Tender/SplashBidNoticeAbstractUI.aspx?menuIndex=3&amp;refID=7020133&amp;Result=3","7020133")</f>
        <v>0</v>
      </c>
      <c r="B10830" t="s">
        <v>2782</v>
      </c>
      <c r="C10830" t="s">
        <v>13529</v>
      </c>
      <c r="D10830" t="s">
        <v>18102</v>
      </c>
      <c r="E10830" t="s">
        <v>27501</v>
      </c>
      <c r="F10830" t="s">
        <v>31574</v>
      </c>
      <c r="G10830" t="s">
        <v>31582</v>
      </c>
      <c r="H10830" t="s">
        <v>31590</v>
      </c>
      <c r="I10830" t="s">
        <v>31602</v>
      </c>
      <c r="J10830" t="s">
        <v>38448</v>
      </c>
      <c r="K10830" t="s">
        <v>41186</v>
      </c>
      <c r="M10830" t="s">
        <v>44557</v>
      </c>
      <c r="N10830" t="s">
        <v>45095</v>
      </c>
      <c r="O10830" t="s">
        <v>45096</v>
      </c>
      <c r="P10830">
        <v>0</v>
      </c>
      <c r="Q10830">
        <v>0</v>
      </c>
      <c r="R10830" t="s">
        <v>45109</v>
      </c>
      <c r="S10830" t="s">
        <v>45478</v>
      </c>
      <c r="T10830" t="s">
        <v>47159</v>
      </c>
      <c r="U10830" t="s">
        <v>56367</v>
      </c>
      <c r="W10830" t="s">
        <v>44557</v>
      </c>
      <c r="X10830" t="s">
        <v>45112</v>
      </c>
    </row>
    <row r="10831" spans="1:24">
      <c r="A10831">
        <f>HYPERLINK("https://www.philgeps.gov.ph/GEPSNONPILOT/Tender/SplashBidNoticeAbstractUI.aspx?menuIndex=3&amp;refID=7020215&amp;Result=3","7020215")</f>
        <v>0</v>
      </c>
      <c r="B10831" t="s">
        <v>2730</v>
      </c>
      <c r="C10831" t="s">
        <v>13530</v>
      </c>
      <c r="E10831" t="s">
        <v>27502</v>
      </c>
      <c r="F10831" t="s">
        <v>31574</v>
      </c>
      <c r="G10831" t="s">
        <v>31582</v>
      </c>
      <c r="H10831" t="s">
        <v>31590</v>
      </c>
      <c r="I10831" t="s">
        <v>7185</v>
      </c>
      <c r="J10831" t="s">
        <v>38449</v>
      </c>
      <c r="K10831" t="s">
        <v>41184</v>
      </c>
      <c r="M10831" t="s">
        <v>44501</v>
      </c>
      <c r="N10831" t="s">
        <v>45095</v>
      </c>
      <c r="O10831" t="s">
        <v>45096</v>
      </c>
      <c r="P10831">
        <v>0</v>
      </c>
      <c r="Q10831">
        <v>1</v>
      </c>
      <c r="R10831" t="s">
        <v>45109</v>
      </c>
      <c r="S10831" t="s">
        <v>45478</v>
      </c>
      <c r="T10831" t="s">
        <v>46963</v>
      </c>
      <c r="U10831" t="s">
        <v>56368</v>
      </c>
      <c r="V10831" t="s">
        <v>60945</v>
      </c>
      <c r="W10831" t="s">
        <v>44501</v>
      </c>
      <c r="X10831" t="s">
        <v>45112</v>
      </c>
    </row>
    <row r="10832" spans="1:24">
      <c r="A10832">
        <f>HYPERLINK("https://www.philgeps.gov.ph/GEPSNONPILOT/Tender/SplashBidNoticeAbstractUI.aspx?menuIndex=3&amp;refID=7020093&amp;Result=3","7020093")</f>
        <v>0</v>
      </c>
      <c r="B10832" t="s">
        <v>2730</v>
      </c>
      <c r="C10832" t="s">
        <v>13531</v>
      </c>
      <c r="E10832" t="s">
        <v>27503</v>
      </c>
      <c r="F10832" t="s">
        <v>31574</v>
      </c>
      <c r="G10832" t="s">
        <v>31583</v>
      </c>
      <c r="H10832" t="s">
        <v>31590</v>
      </c>
      <c r="I10832" t="s">
        <v>7185</v>
      </c>
      <c r="J10832" t="s">
        <v>38450</v>
      </c>
      <c r="K10832" t="s">
        <v>41184</v>
      </c>
      <c r="M10832" t="s">
        <v>44501</v>
      </c>
      <c r="N10832" t="s">
        <v>45095</v>
      </c>
      <c r="O10832" t="s">
        <v>45096</v>
      </c>
      <c r="P10832">
        <v>0</v>
      </c>
      <c r="Q10832">
        <v>1</v>
      </c>
      <c r="R10832" t="s">
        <v>45109</v>
      </c>
      <c r="S10832" t="s">
        <v>45478</v>
      </c>
      <c r="T10832" t="s">
        <v>46963</v>
      </c>
      <c r="U10832" t="s">
        <v>56369</v>
      </c>
      <c r="V10832" t="s">
        <v>60945</v>
      </c>
      <c r="W10832" t="s">
        <v>44501</v>
      </c>
      <c r="X10832" t="s">
        <v>45112</v>
      </c>
    </row>
    <row r="10833" spans="1:24">
      <c r="A10833">
        <f>HYPERLINK("https://www.philgeps.gov.ph/GEPSNONPILOT/Tender/SplashBidNoticeAbstractUI.aspx?menuIndex=3&amp;refID=7020246&amp;Result=3","7020246")</f>
        <v>0</v>
      </c>
      <c r="B10833" t="s">
        <v>2730</v>
      </c>
      <c r="C10833" t="s">
        <v>13532</v>
      </c>
      <c r="E10833" t="s">
        <v>27504</v>
      </c>
      <c r="F10833" t="s">
        <v>31574</v>
      </c>
      <c r="G10833" t="s">
        <v>31582</v>
      </c>
      <c r="H10833" t="s">
        <v>31590</v>
      </c>
      <c r="I10833" t="s">
        <v>3487</v>
      </c>
      <c r="J10833" t="s">
        <v>31873</v>
      </c>
      <c r="K10833" t="s">
        <v>41184</v>
      </c>
      <c r="M10833" t="s">
        <v>44501</v>
      </c>
      <c r="N10833" t="s">
        <v>45095</v>
      </c>
      <c r="O10833" t="s">
        <v>45096</v>
      </c>
      <c r="P10833">
        <v>0</v>
      </c>
      <c r="Q10833">
        <v>0</v>
      </c>
      <c r="R10833" t="s">
        <v>45109</v>
      </c>
      <c r="S10833" t="s">
        <v>45478</v>
      </c>
      <c r="T10833" t="s">
        <v>46963</v>
      </c>
      <c r="U10833" t="s">
        <v>56370</v>
      </c>
      <c r="V10833" t="s">
        <v>60945</v>
      </c>
      <c r="W10833" t="s">
        <v>44501</v>
      </c>
      <c r="X10833" t="s">
        <v>45112</v>
      </c>
    </row>
    <row r="10834" spans="1:24">
      <c r="A10834">
        <f>HYPERLINK("https://www.philgeps.gov.ph/GEPSNONPILOT/Tender/SplashBidNoticeAbstractUI.aspx?menuIndex=3&amp;refID=7020709&amp;Result=3","7020709")</f>
        <v>0</v>
      </c>
      <c r="B10834" t="s">
        <v>2782</v>
      </c>
      <c r="C10834" t="s">
        <v>13533</v>
      </c>
      <c r="D10834" t="s">
        <v>18102</v>
      </c>
      <c r="E10834" t="s">
        <v>27505</v>
      </c>
      <c r="F10834" t="s">
        <v>31574</v>
      </c>
      <c r="G10834" t="s">
        <v>31582</v>
      </c>
      <c r="H10834" t="s">
        <v>31590</v>
      </c>
      <c r="I10834" t="s">
        <v>31620</v>
      </c>
      <c r="J10834" t="s">
        <v>32581</v>
      </c>
      <c r="K10834" t="s">
        <v>41186</v>
      </c>
      <c r="M10834" t="s">
        <v>44557</v>
      </c>
      <c r="N10834" t="s">
        <v>45095</v>
      </c>
      <c r="O10834" t="s">
        <v>45096</v>
      </c>
      <c r="P10834">
        <v>0</v>
      </c>
      <c r="Q10834">
        <v>2</v>
      </c>
      <c r="R10834" t="s">
        <v>45109</v>
      </c>
      <c r="S10834" t="s">
        <v>45478</v>
      </c>
      <c r="T10834" t="s">
        <v>47159</v>
      </c>
      <c r="U10834" t="s">
        <v>56371</v>
      </c>
      <c r="W10834" t="s">
        <v>44557</v>
      </c>
      <c r="X10834" t="s">
        <v>45112</v>
      </c>
    </row>
    <row r="10835" spans="1:24">
      <c r="A10835">
        <f>HYPERLINK("https://www.philgeps.gov.ph/GEPSNONPILOT/Tender/SplashBidNoticeAbstractUI.aspx?menuIndex=3&amp;refID=7020144&amp;Result=3","7020144")</f>
        <v>0</v>
      </c>
      <c r="B10835" t="s">
        <v>2457</v>
      </c>
      <c r="C10835" t="s">
        <v>13534</v>
      </c>
      <c r="D10835" t="s">
        <v>18093</v>
      </c>
      <c r="E10835" t="s">
        <v>27506</v>
      </c>
      <c r="F10835" t="s">
        <v>31574</v>
      </c>
      <c r="G10835" t="s">
        <v>31582</v>
      </c>
      <c r="H10835" t="s">
        <v>31591</v>
      </c>
      <c r="I10835" t="s">
        <v>8822</v>
      </c>
      <c r="J10835" t="s">
        <v>32019</v>
      </c>
      <c r="K10835" t="s">
        <v>41186</v>
      </c>
      <c r="L10835" t="s">
        <v>2457</v>
      </c>
      <c r="M10835" t="s">
        <v>44186</v>
      </c>
      <c r="N10835" t="s">
        <v>45095</v>
      </c>
      <c r="O10835" t="s">
        <v>45096</v>
      </c>
      <c r="P10835">
        <v>0</v>
      </c>
      <c r="Q10835">
        <v>1</v>
      </c>
      <c r="R10835" t="s">
        <v>45109</v>
      </c>
      <c r="S10835" t="s">
        <v>45478</v>
      </c>
      <c r="T10835" t="s">
        <v>46922</v>
      </c>
      <c r="U10835" t="s">
        <v>54769</v>
      </c>
      <c r="V10835" t="s">
        <v>60763</v>
      </c>
      <c r="W10835" t="s">
        <v>44186</v>
      </c>
      <c r="X10835" t="s">
        <v>45112</v>
      </c>
    </row>
    <row r="10836" spans="1:24">
      <c r="A10836">
        <f>HYPERLINK("https://www.philgeps.gov.ph/GEPSNONPILOT/Tender/SplashBidNoticeAbstractUI.aspx?menuIndex=3&amp;refID=7020287&amp;Result=3","7020287")</f>
        <v>0</v>
      </c>
      <c r="B10836" t="s">
        <v>2730</v>
      </c>
      <c r="C10836" t="s">
        <v>13535</v>
      </c>
      <c r="E10836" t="s">
        <v>27507</v>
      </c>
      <c r="F10836" t="s">
        <v>31574</v>
      </c>
      <c r="G10836" t="s">
        <v>31583</v>
      </c>
      <c r="H10836" t="s">
        <v>31590</v>
      </c>
      <c r="I10836" t="s">
        <v>7185</v>
      </c>
      <c r="J10836" t="s">
        <v>36806</v>
      </c>
      <c r="K10836" t="s">
        <v>41184</v>
      </c>
      <c r="M10836" t="s">
        <v>44501</v>
      </c>
      <c r="N10836" t="s">
        <v>45095</v>
      </c>
      <c r="O10836" t="s">
        <v>45096</v>
      </c>
      <c r="P10836">
        <v>0</v>
      </c>
      <c r="Q10836">
        <v>2</v>
      </c>
      <c r="R10836" t="s">
        <v>45109</v>
      </c>
      <c r="S10836" t="s">
        <v>45478</v>
      </c>
      <c r="T10836" t="s">
        <v>46963</v>
      </c>
      <c r="U10836" t="s">
        <v>56372</v>
      </c>
      <c r="V10836" t="s">
        <v>60945</v>
      </c>
      <c r="W10836" t="s">
        <v>44501</v>
      </c>
      <c r="X10836" t="s">
        <v>45112</v>
      </c>
    </row>
    <row r="10837" spans="1:24">
      <c r="A10837">
        <f>HYPERLINK("https://www.philgeps.gov.ph/GEPSNONPILOT/Tender/SplashBidNoticeAbstractUI.aspx?menuIndex=3&amp;refID=7020623&amp;Result=3","7020623")</f>
        <v>0</v>
      </c>
      <c r="B10837" t="s">
        <v>2785</v>
      </c>
      <c r="C10837" t="s">
        <v>13536</v>
      </c>
      <c r="E10837" t="s">
        <v>27508</v>
      </c>
      <c r="F10837" t="s">
        <v>31574</v>
      </c>
      <c r="G10837" t="s">
        <v>31585</v>
      </c>
      <c r="H10837" t="s">
        <v>31590</v>
      </c>
      <c r="I10837" t="s">
        <v>31690</v>
      </c>
      <c r="J10837" t="s">
        <v>32121</v>
      </c>
      <c r="K10837" t="s">
        <v>41186</v>
      </c>
      <c r="M10837" t="s">
        <v>44560</v>
      </c>
      <c r="N10837" t="s">
        <v>45095</v>
      </c>
      <c r="O10837" t="s">
        <v>45096</v>
      </c>
      <c r="P10837">
        <v>0</v>
      </c>
      <c r="Q10837">
        <v>1</v>
      </c>
      <c r="R10837" t="s">
        <v>45109</v>
      </c>
      <c r="S10837" t="s">
        <v>45478</v>
      </c>
      <c r="T10837" t="s">
        <v>47183</v>
      </c>
      <c r="U10837" t="s">
        <v>56373</v>
      </c>
      <c r="V10837" t="s">
        <v>60990</v>
      </c>
      <c r="W10837" t="s">
        <v>44560</v>
      </c>
      <c r="X10837" t="s">
        <v>45112</v>
      </c>
    </row>
    <row r="10838" spans="1:24">
      <c r="A10838">
        <f>HYPERLINK("https://www.philgeps.gov.ph/GEPSNONPILOT/Tender/SplashBidNoticeAbstractUI.aspx?menuIndex=3&amp;refID=7020459&amp;Result=3","7020459")</f>
        <v>0</v>
      </c>
      <c r="B10838" t="s">
        <v>2457</v>
      </c>
      <c r="C10838" t="s">
        <v>13537</v>
      </c>
      <c r="E10838" t="s">
        <v>27509</v>
      </c>
      <c r="F10838" t="s">
        <v>31574</v>
      </c>
      <c r="G10838" t="s">
        <v>31582</v>
      </c>
      <c r="H10838" t="s">
        <v>31591</v>
      </c>
      <c r="I10838" t="s">
        <v>8822</v>
      </c>
      <c r="J10838" t="s">
        <v>31819</v>
      </c>
      <c r="K10838" t="s">
        <v>41243</v>
      </c>
      <c r="L10838" t="s">
        <v>2457</v>
      </c>
      <c r="M10838" t="s">
        <v>44186</v>
      </c>
      <c r="N10838" t="s">
        <v>45095</v>
      </c>
      <c r="O10838" t="s">
        <v>45096</v>
      </c>
      <c r="P10838">
        <v>0</v>
      </c>
      <c r="Q10838">
        <v>0</v>
      </c>
      <c r="R10838" t="s">
        <v>45109</v>
      </c>
      <c r="S10838" t="s">
        <v>45478</v>
      </c>
      <c r="T10838" t="s">
        <v>46922</v>
      </c>
      <c r="U10838" t="s">
        <v>54769</v>
      </c>
      <c r="V10838" t="s">
        <v>60763</v>
      </c>
      <c r="W10838" t="s">
        <v>44186</v>
      </c>
      <c r="X10838" t="s">
        <v>45112</v>
      </c>
    </row>
    <row r="10839" spans="1:24">
      <c r="A10839">
        <f>HYPERLINK("https://www.philgeps.gov.ph/GEPSNONPILOT/Tender/SplashBidNoticeAbstractUI.aspx?menuIndex=3&amp;refID=7020777&amp;Result=3","7020777")</f>
        <v>0</v>
      </c>
      <c r="B10839" t="s">
        <v>2730</v>
      </c>
      <c r="C10839" t="s">
        <v>13538</v>
      </c>
      <c r="E10839" t="s">
        <v>27510</v>
      </c>
      <c r="F10839" t="s">
        <v>31574</v>
      </c>
      <c r="G10839" t="s">
        <v>31582</v>
      </c>
      <c r="H10839" t="s">
        <v>31590</v>
      </c>
      <c r="I10839" t="s">
        <v>7185</v>
      </c>
      <c r="J10839" t="s">
        <v>34580</v>
      </c>
      <c r="K10839" t="s">
        <v>41184</v>
      </c>
      <c r="M10839" t="s">
        <v>44501</v>
      </c>
      <c r="N10839" t="s">
        <v>45095</v>
      </c>
      <c r="O10839" t="s">
        <v>45096</v>
      </c>
      <c r="P10839">
        <v>0</v>
      </c>
      <c r="Q10839">
        <v>0</v>
      </c>
      <c r="R10839" t="s">
        <v>45109</v>
      </c>
      <c r="S10839" t="s">
        <v>45478</v>
      </c>
      <c r="T10839" t="s">
        <v>46963</v>
      </c>
      <c r="U10839" t="s">
        <v>56374</v>
      </c>
      <c r="V10839" t="s">
        <v>60945</v>
      </c>
      <c r="W10839" t="s">
        <v>44501</v>
      </c>
      <c r="X10839" t="s">
        <v>45112</v>
      </c>
    </row>
    <row r="10840" spans="1:24">
      <c r="A10840">
        <f>HYPERLINK("https://www.philgeps.gov.ph/GEPSNONPILOT/Tender/SplashBidNoticeAbstractUI.aspx?menuIndex=3&amp;refID=7020718&amp;Result=3","7020718")</f>
        <v>0</v>
      </c>
      <c r="B10840" t="s">
        <v>2730</v>
      </c>
      <c r="C10840" t="s">
        <v>13539</v>
      </c>
      <c r="E10840" t="s">
        <v>27511</v>
      </c>
      <c r="F10840" t="s">
        <v>31574</v>
      </c>
      <c r="G10840" t="s">
        <v>31583</v>
      </c>
      <c r="H10840" t="s">
        <v>31590</v>
      </c>
      <c r="I10840" t="s">
        <v>14544</v>
      </c>
      <c r="J10840" t="s">
        <v>38451</v>
      </c>
      <c r="K10840" t="s">
        <v>41184</v>
      </c>
      <c r="M10840" t="s">
        <v>44501</v>
      </c>
      <c r="N10840" t="s">
        <v>45095</v>
      </c>
      <c r="O10840" t="s">
        <v>45096</v>
      </c>
      <c r="P10840">
        <v>0</v>
      </c>
      <c r="Q10840">
        <v>0</v>
      </c>
      <c r="R10840" t="s">
        <v>45109</v>
      </c>
      <c r="S10840" t="s">
        <v>45478</v>
      </c>
      <c r="T10840" t="s">
        <v>46963</v>
      </c>
      <c r="U10840" t="s">
        <v>56375</v>
      </c>
      <c r="V10840" t="s">
        <v>60945</v>
      </c>
      <c r="W10840" t="s">
        <v>44501</v>
      </c>
      <c r="X10840" t="s">
        <v>45112</v>
      </c>
    </row>
    <row r="10841" spans="1:24">
      <c r="A10841">
        <f>HYPERLINK("https://www.philgeps.gov.ph/GEPSNONPILOT/Tender/SplashBidNoticeAbstractUI.aspx?menuIndex=3&amp;refID=7021733&amp;Result=3","7021733")</f>
        <v>0</v>
      </c>
      <c r="B10841" t="s">
        <v>46</v>
      </c>
      <c r="C10841" t="s">
        <v>13540</v>
      </c>
      <c r="E10841" t="s">
        <v>27512</v>
      </c>
      <c r="F10841" t="s">
        <v>31574</v>
      </c>
      <c r="G10841" t="s">
        <v>31582</v>
      </c>
      <c r="H10841" t="s">
        <v>31590</v>
      </c>
      <c r="I10841" t="s">
        <v>31598</v>
      </c>
      <c r="J10841" t="s">
        <v>31935</v>
      </c>
      <c r="K10841" t="s">
        <v>41184</v>
      </c>
      <c r="M10841" t="s">
        <v>41529</v>
      </c>
      <c r="N10841" t="s">
        <v>45095</v>
      </c>
      <c r="O10841" t="s">
        <v>45096</v>
      </c>
      <c r="Q10841">
        <v>9</v>
      </c>
      <c r="R10841" t="s">
        <v>45109</v>
      </c>
      <c r="S10841" t="s">
        <v>45494</v>
      </c>
      <c r="T10841" t="s">
        <v>46914</v>
      </c>
      <c r="U10841" t="s">
        <v>56376</v>
      </c>
      <c r="W10841" t="s">
        <v>41529</v>
      </c>
      <c r="X10841" t="s">
        <v>45111</v>
      </c>
    </row>
    <row r="10842" spans="1:24">
      <c r="A10842">
        <f>HYPERLINK("https://www.philgeps.gov.ph/GEPSNONPILOT/Tender/SplashBidNoticeAbstractUI.aspx?menuIndex=3&amp;refID=7020987&amp;Result=3","7020987")</f>
        <v>0</v>
      </c>
      <c r="B10842" t="s">
        <v>179</v>
      </c>
      <c r="C10842" t="s">
        <v>13541</v>
      </c>
      <c r="D10842" t="s">
        <v>18101</v>
      </c>
      <c r="E10842" t="s">
        <v>27513</v>
      </c>
      <c r="F10842" t="s">
        <v>31574</v>
      </c>
      <c r="G10842" t="s">
        <v>31582</v>
      </c>
      <c r="H10842" t="s">
        <v>31590</v>
      </c>
      <c r="I10842" t="s">
        <v>31615</v>
      </c>
      <c r="J10842" t="s">
        <v>32019</v>
      </c>
      <c r="K10842" t="s">
        <v>41186</v>
      </c>
      <c r="M10842" t="s">
        <v>41664</v>
      </c>
      <c r="N10842" t="s">
        <v>45095</v>
      </c>
      <c r="O10842" t="s">
        <v>45096</v>
      </c>
      <c r="P10842">
        <v>0</v>
      </c>
      <c r="Q10842">
        <v>4</v>
      </c>
      <c r="R10842" t="s">
        <v>45109</v>
      </c>
      <c r="S10842" t="s">
        <v>45478</v>
      </c>
      <c r="T10842" t="s">
        <v>46992</v>
      </c>
      <c r="U10842" t="s">
        <v>56377</v>
      </c>
      <c r="V10842" t="s">
        <v>60991</v>
      </c>
      <c r="W10842" t="s">
        <v>41664</v>
      </c>
      <c r="X10842" t="s">
        <v>45112</v>
      </c>
    </row>
    <row r="10843" spans="1:24">
      <c r="A10843">
        <f>HYPERLINK("https://www.philgeps.gov.ph/GEPSNONPILOT/Tender/SplashBidNoticeAbstractUI.aspx?menuIndex=3&amp;refID=7020596&amp;Result=3","7020596")</f>
        <v>0</v>
      </c>
      <c r="B10843" t="s">
        <v>2457</v>
      </c>
      <c r="C10843" t="s">
        <v>13542</v>
      </c>
      <c r="D10843" t="s">
        <v>18093</v>
      </c>
      <c r="E10843" t="s">
        <v>27514</v>
      </c>
      <c r="F10843" t="s">
        <v>31574</v>
      </c>
      <c r="G10843" t="s">
        <v>31582</v>
      </c>
      <c r="H10843" t="s">
        <v>31591</v>
      </c>
      <c r="I10843" t="s">
        <v>8822</v>
      </c>
      <c r="J10843" t="s">
        <v>31819</v>
      </c>
      <c r="K10843" t="s">
        <v>41243</v>
      </c>
      <c r="L10843" t="s">
        <v>2457</v>
      </c>
      <c r="M10843" t="s">
        <v>44186</v>
      </c>
      <c r="N10843" t="s">
        <v>45095</v>
      </c>
      <c r="O10843" t="s">
        <v>45096</v>
      </c>
      <c r="P10843">
        <v>0</v>
      </c>
      <c r="Q10843">
        <v>0</v>
      </c>
      <c r="R10843" t="s">
        <v>45109</v>
      </c>
      <c r="S10843" t="s">
        <v>45478</v>
      </c>
      <c r="T10843" t="s">
        <v>46922</v>
      </c>
      <c r="U10843" t="s">
        <v>54769</v>
      </c>
      <c r="V10843" t="s">
        <v>60763</v>
      </c>
      <c r="W10843" t="s">
        <v>44186</v>
      </c>
      <c r="X10843" t="s">
        <v>45112</v>
      </c>
    </row>
    <row r="10844" spans="1:24">
      <c r="A10844">
        <f>HYPERLINK("https://www.philgeps.gov.ph/GEPSNONPILOT/Tender/SplashBidNoticeAbstractUI.aspx?menuIndex=3&amp;refID=7021718&amp;Result=3","7021718")</f>
        <v>0</v>
      </c>
      <c r="B10844" t="s">
        <v>46</v>
      </c>
      <c r="C10844" t="s">
        <v>13543</v>
      </c>
      <c r="E10844" t="s">
        <v>27515</v>
      </c>
      <c r="F10844" t="s">
        <v>31574</v>
      </c>
      <c r="G10844" t="s">
        <v>31582</v>
      </c>
      <c r="H10844" t="s">
        <v>31590</v>
      </c>
      <c r="I10844" t="s">
        <v>31598</v>
      </c>
      <c r="J10844" t="s">
        <v>32090</v>
      </c>
      <c r="K10844" t="s">
        <v>41184</v>
      </c>
      <c r="M10844" t="s">
        <v>41529</v>
      </c>
      <c r="N10844" t="s">
        <v>45095</v>
      </c>
      <c r="O10844" t="s">
        <v>45096</v>
      </c>
      <c r="Q10844">
        <v>4</v>
      </c>
      <c r="R10844" t="s">
        <v>45109</v>
      </c>
      <c r="S10844" t="s">
        <v>45495</v>
      </c>
      <c r="T10844" t="s">
        <v>46914</v>
      </c>
      <c r="U10844" t="s">
        <v>56378</v>
      </c>
      <c r="W10844" t="s">
        <v>41529</v>
      </c>
      <c r="X10844" t="s">
        <v>45111</v>
      </c>
    </row>
    <row r="10845" spans="1:24">
      <c r="A10845">
        <f>HYPERLINK("https://www.philgeps.gov.ph/GEPSNONPILOT/Tender/SplashBidNoticeAbstractUI.aspx?menuIndex=3&amp;refID=7020993&amp;Result=3","7020993")</f>
        <v>0</v>
      </c>
      <c r="B10845" t="s">
        <v>2730</v>
      </c>
      <c r="C10845" t="s">
        <v>13544</v>
      </c>
      <c r="E10845" t="s">
        <v>27516</v>
      </c>
      <c r="F10845" t="s">
        <v>31574</v>
      </c>
      <c r="G10845" t="s">
        <v>31582</v>
      </c>
      <c r="H10845" t="s">
        <v>31590</v>
      </c>
      <c r="I10845" t="s">
        <v>7185</v>
      </c>
      <c r="J10845" t="s">
        <v>38452</v>
      </c>
      <c r="K10845" t="s">
        <v>41184</v>
      </c>
      <c r="M10845" t="s">
        <v>44501</v>
      </c>
      <c r="N10845" t="s">
        <v>45095</v>
      </c>
      <c r="O10845" t="s">
        <v>45096</v>
      </c>
      <c r="P10845">
        <v>0</v>
      </c>
      <c r="Q10845">
        <v>1</v>
      </c>
      <c r="R10845" t="s">
        <v>45109</v>
      </c>
      <c r="S10845" t="s">
        <v>45478</v>
      </c>
      <c r="T10845" t="s">
        <v>46963</v>
      </c>
      <c r="U10845" t="s">
        <v>56379</v>
      </c>
      <c r="V10845" t="s">
        <v>60945</v>
      </c>
      <c r="W10845" t="s">
        <v>44501</v>
      </c>
      <c r="X10845" t="s">
        <v>45112</v>
      </c>
    </row>
    <row r="10846" spans="1:24">
      <c r="A10846">
        <f>HYPERLINK("https://www.philgeps.gov.ph/GEPSNONPILOT/Tender/SplashBidNoticeAbstractUI.aspx?menuIndex=3&amp;refID=7021716&amp;Result=3","7021716")</f>
        <v>0</v>
      </c>
      <c r="B10846" t="s">
        <v>2786</v>
      </c>
      <c r="C10846" t="s">
        <v>13545</v>
      </c>
      <c r="E10846" t="s">
        <v>27517</v>
      </c>
      <c r="F10846" t="s">
        <v>31574</v>
      </c>
      <c r="G10846" t="s">
        <v>31582</v>
      </c>
      <c r="H10846" t="s">
        <v>31590</v>
      </c>
      <c r="I10846" t="s">
        <v>5717</v>
      </c>
      <c r="J10846" t="s">
        <v>38453</v>
      </c>
      <c r="K10846" t="s">
        <v>41186</v>
      </c>
      <c r="M10846" t="s">
        <v>44561</v>
      </c>
      <c r="N10846" t="s">
        <v>45095</v>
      </c>
      <c r="O10846" t="s">
        <v>45096</v>
      </c>
      <c r="Q10846">
        <v>3</v>
      </c>
      <c r="R10846" t="s">
        <v>45109</v>
      </c>
      <c r="S10846" t="s">
        <v>45496</v>
      </c>
      <c r="T10846" t="s">
        <v>46926</v>
      </c>
      <c r="U10846" t="s">
        <v>56380</v>
      </c>
      <c r="W10846" t="s">
        <v>44561</v>
      </c>
      <c r="X10846" t="s">
        <v>45111</v>
      </c>
    </row>
    <row r="10847" spans="1:24">
      <c r="A10847">
        <f>HYPERLINK("https://www.philgeps.gov.ph/GEPSNONPILOT/Tender/SplashBidNoticeAbstractUI.aspx?menuIndex=3&amp;refID=7021709&amp;Result=3","7021709")</f>
        <v>0</v>
      </c>
      <c r="B10847" t="s">
        <v>46</v>
      </c>
      <c r="C10847" t="s">
        <v>13546</v>
      </c>
      <c r="E10847" t="s">
        <v>27518</v>
      </c>
      <c r="F10847" t="s">
        <v>31574</v>
      </c>
      <c r="G10847" t="s">
        <v>31582</v>
      </c>
      <c r="H10847" t="s">
        <v>31590</v>
      </c>
      <c r="I10847" t="s">
        <v>31598</v>
      </c>
      <c r="J10847" t="s">
        <v>38454</v>
      </c>
      <c r="K10847" t="s">
        <v>41184</v>
      </c>
      <c r="M10847" t="s">
        <v>41529</v>
      </c>
      <c r="N10847" t="s">
        <v>45095</v>
      </c>
      <c r="O10847" t="s">
        <v>45096</v>
      </c>
      <c r="Q10847">
        <v>11</v>
      </c>
      <c r="R10847" t="s">
        <v>45109</v>
      </c>
      <c r="S10847" t="s">
        <v>45497</v>
      </c>
      <c r="T10847" t="s">
        <v>46914</v>
      </c>
      <c r="U10847" t="s">
        <v>56381</v>
      </c>
      <c r="W10847" t="s">
        <v>41529</v>
      </c>
      <c r="X10847" t="s">
        <v>45111</v>
      </c>
    </row>
    <row r="10848" spans="1:24">
      <c r="A10848">
        <f>HYPERLINK("https://www.philgeps.gov.ph/GEPSNONPILOT/Tender/SplashBidNoticeAbstractUI.aspx?menuIndex=3&amp;refID=7020397&amp;Result=3","7020397")</f>
        <v>0</v>
      </c>
      <c r="B10848" t="s">
        <v>179</v>
      </c>
      <c r="C10848" t="s">
        <v>13547</v>
      </c>
      <c r="D10848" t="s">
        <v>18101</v>
      </c>
      <c r="E10848" t="s">
        <v>27519</v>
      </c>
      <c r="F10848" t="s">
        <v>31574</v>
      </c>
      <c r="G10848" t="s">
        <v>31582</v>
      </c>
      <c r="H10848" t="s">
        <v>31591</v>
      </c>
      <c r="I10848" t="s">
        <v>8822</v>
      </c>
      <c r="J10848" t="s">
        <v>31935</v>
      </c>
      <c r="K10848" t="s">
        <v>41192</v>
      </c>
      <c r="M10848" t="s">
        <v>41664</v>
      </c>
      <c r="N10848" t="s">
        <v>45095</v>
      </c>
      <c r="O10848" t="s">
        <v>45096</v>
      </c>
      <c r="P10848">
        <v>0</v>
      </c>
      <c r="Q10848">
        <v>1</v>
      </c>
      <c r="R10848" t="s">
        <v>45109</v>
      </c>
      <c r="S10848" t="s">
        <v>45478</v>
      </c>
      <c r="T10848" t="s">
        <v>46992</v>
      </c>
      <c r="U10848" t="s">
        <v>56382</v>
      </c>
      <c r="V10848" t="s">
        <v>60992</v>
      </c>
      <c r="W10848" t="s">
        <v>41664</v>
      </c>
      <c r="X10848" t="s">
        <v>45112</v>
      </c>
    </row>
    <row r="10849" spans="1:24">
      <c r="A10849">
        <f>HYPERLINK("https://www.philgeps.gov.ph/GEPSNONPILOT/Tender/SplashBidNoticeAbstractUI.aspx?menuIndex=3&amp;refID=7020778&amp;Result=3","7020778")</f>
        <v>0</v>
      </c>
      <c r="B10849" t="s">
        <v>179</v>
      </c>
      <c r="C10849" t="s">
        <v>13548</v>
      </c>
      <c r="D10849" t="s">
        <v>18101</v>
      </c>
      <c r="E10849" t="s">
        <v>27520</v>
      </c>
      <c r="F10849" t="s">
        <v>31574</v>
      </c>
      <c r="G10849" t="s">
        <v>31582</v>
      </c>
      <c r="H10849" t="s">
        <v>31590</v>
      </c>
      <c r="I10849" t="s">
        <v>31631</v>
      </c>
      <c r="J10849" t="s">
        <v>32261</v>
      </c>
      <c r="K10849" t="s">
        <v>41186</v>
      </c>
      <c r="M10849" t="s">
        <v>41664</v>
      </c>
      <c r="N10849" t="s">
        <v>45095</v>
      </c>
      <c r="O10849" t="s">
        <v>45096</v>
      </c>
      <c r="P10849">
        <v>0</v>
      </c>
      <c r="Q10849">
        <v>1</v>
      </c>
      <c r="R10849" t="s">
        <v>45109</v>
      </c>
      <c r="S10849" t="s">
        <v>45478</v>
      </c>
      <c r="T10849" t="s">
        <v>46992</v>
      </c>
      <c r="U10849" t="s">
        <v>56383</v>
      </c>
      <c r="W10849" t="s">
        <v>41664</v>
      </c>
      <c r="X10849" t="s">
        <v>45112</v>
      </c>
    </row>
    <row r="10850" spans="1:24">
      <c r="A10850">
        <f>HYPERLINK("https://www.philgeps.gov.ph/GEPSNONPILOT/Tender/SplashBidNoticeAbstractUI.aspx?menuIndex=3&amp;refID=7021183&amp;Result=3","7021183")</f>
        <v>0</v>
      </c>
      <c r="B10850" t="s">
        <v>575</v>
      </c>
      <c r="C10850" t="s">
        <v>13549</v>
      </c>
      <c r="D10850" t="s">
        <v>18027</v>
      </c>
      <c r="E10850" t="s">
        <v>27521</v>
      </c>
      <c r="F10850" t="s">
        <v>31574</v>
      </c>
      <c r="G10850" t="s">
        <v>31582</v>
      </c>
      <c r="H10850" t="s">
        <v>31590</v>
      </c>
      <c r="I10850" t="s">
        <v>31600</v>
      </c>
      <c r="J10850" t="s">
        <v>38455</v>
      </c>
      <c r="K10850" t="s">
        <v>41184</v>
      </c>
      <c r="M10850" t="s">
        <v>42076</v>
      </c>
      <c r="N10850" t="s">
        <v>45095</v>
      </c>
      <c r="O10850" t="s">
        <v>45096</v>
      </c>
      <c r="P10850">
        <v>0</v>
      </c>
      <c r="Q10850">
        <v>1</v>
      </c>
      <c r="R10850" t="s">
        <v>45109</v>
      </c>
      <c r="S10850" t="s">
        <v>45478</v>
      </c>
      <c r="T10850" t="s">
        <v>47180</v>
      </c>
      <c r="U10850" t="s">
        <v>56384</v>
      </c>
      <c r="W10850" t="s">
        <v>42076</v>
      </c>
      <c r="X10850" t="s">
        <v>45112</v>
      </c>
    </row>
    <row r="10851" spans="1:24">
      <c r="A10851">
        <f>HYPERLINK("https://www.philgeps.gov.ph/GEPSNONPILOT/Tender/SplashBidNoticeAbstractUI.aspx?menuIndex=3&amp;refID=7020879&amp;Result=3","7020879")</f>
        <v>0</v>
      </c>
      <c r="B10851" t="s">
        <v>2730</v>
      </c>
      <c r="C10851" t="s">
        <v>13550</v>
      </c>
      <c r="E10851" t="s">
        <v>27510</v>
      </c>
      <c r="F10851" t="s">
        <v>31574</v>
      </c>
      <c r="G10851" t="s">
        <v>31583</v>
      </c>
      <c r="H10851" t="s">
        <v>31590</v>
      </c>
      <c r="I10851" t="s">
        <v>14544</v>
      </c>
      <c r="J10851" t="s">
        <v>38456</v>
      </c>
      <c r="K10851" t="s">
        <v>41184</v>
      </c>
      <c r="M10851" t="s">
        <v>44501</v>
      </c>
      <c r="N10851" t="s">
        <v>45095</v>
      </c>
      <c r="O10851" t="s">
        <v>45096</v>
      </c>
      <c r="P10851">
        <v>0</v>
      </c>
      <c r="Q10851">
        <v>0</v>
      </c>
      <c r="R10851" t="s">
        <v>45109</v>
      </c>
      <c r="S10851" t="s">
        <v>45478</v>
      </c>
      <c r="T10851" t="s">
        <v>46963</v>
      </c>
      <c r="U10851" t="s">
        <v>56385</v>
      </c>
      <c r="V10851" t="s">
        <v>60945</v>
      </c>
      <c r="W10851" t="s">
        <v>44501</v>
      </c>
      <c r="X10851" t="s">
        <v>45112</v>
      </c>
    </row>
    <row r="10852" spans="1:24">
      <c r="A10852">
        <f>HYPERLINK("https://www.philgeps.gov.ph/GEPSNONPILOT/Tender/SplashBidNoticeAbstractUI.aspx?menuIndex=3&amp;refID=7021714&amp;Result=3","7021714")</f>
        <v>0</v>
      </c>
      <c r="B10852" t="s">
        <v>46</v>
      </c>
      <c r="C10852" t="s">
        <v>13551</v>
      </c>
      <c r="E10852" t="s">
        <v>27522</v>
      </c>
      <c r="F10852" t="s">
        <v>31574</v>
      </c>
      <c r="G10852" t="s">
        <v>31582</v>
      </c>
      <c r="H10852" t="s">
        <v>31590</v>
      </c>
      <c r="I10852" t="s">
        <v>31598</v>
      </c>
      <c r="J10852" t="s">
        <v>38457</v>
      </c>
      <c r="K10852" t="s">
        <v>41184</v>
      </c>
      <c r="M10852" t="s">
        <v>41529</v>
      </c>
      <c r="N10852" t="s">
        <v>45095</v>
      </c>
      <c r="O10852" t="s">
        <v>45096</v>
      </c>
      <c r="Q10852">
        <v>11</v>
      </c>
      <c r="R10852" t="s">
        <v>45109</v>
      </c>
      <c r="S10852" t="s">
        <v>45498</v>
      </c>
      <c r="T10852" t="s">
        <v>46914</v>
      </c>
      <c r="U10852" t="s">
        <v>56386</v>
      </c>
      <c r="W10852" t="s">
        <v>41529</v>
      </c>
      <c r="X10852" t="s">
        <v>45111</v>
      </c>
    </row>
    <row r="10853" spans="1:24">
      <c r="A10853">
        <f>HYPERLINK("https://www.philgeps.gov.ph/GEPSNONPILOT/Tender/SplashBidNoticeAbstractUI.aspx?menuIndex=3&amp;refID=7020996&amp;Result=3","7020996")</f>
        <v>0</v>
      </c>
      <c r="B10853" t="s">
        <v>2782</v>
      </c>
      <c r="C10853" t="s">
        <v>13552</v>
      </c>
      <c r="D10853" t="s">
        <v>18102</v>
      </c>
      <c r="E10853" t="s">
        <v>27523</v>
      </c>
      <c r="F10853" t="s">
        <v>31574</v>
      </c>
      <c r="G10853" t="s">
        <v>31582</v>
      </c>
      <c r="H10853" t="s">
        <v>31590</v>
      </c>
      <c r="I10853" t="s">
        <v>3539</v>
      </c>
      <c r="J10853" t="s">
        <v>31804</v>
      </c>
      <c r="K10853" t="s">
        <v>41186</v>
      </c>
      <c r="M10853" t="s">
        <v>44557</v>
      </c>
      <c r="N10853" t="s">
        <v>45095</v>
      </c>
      <c r="O10853" t="s">
        <v>45096</v>
      </c>
      <c r="P10853">
        <v>0</v>
      </c>
      <c r="Q10853">
        <v>0</v>
      </c>
      <c r="R10853" t="s">
        <v>45109</v>
      </c>
      <c r="S10853" t="s">
        <v>45478</v>
      </c>
      <c r="T10853" t="s">
        <v>47159</v>
      </c>
      <c r="U10853" t="s">
        <v>56387</v>
      </c>
      <c r="W10853" t="s">
        <v>44557</v>
      </c>
      <c r="X10853" t="s">
        <v>45112</v>
      </c>
    </row>
    <row r="10854" spans="1:24">
      <c r="A10854">
        <f>HYPERLINK("https://www.philgeps.gov.ph/GEPSNONPILOT/Tender/SplashBidNoticeAbstractUI.aspx?menuIndex=3&amp;refID=7021859&amp;Result=3","7021859")</f>
        <v>0</v>
      </c>
      <c r="B10854" t="s">
        <v>2782</v>
      </c>
      <c r="C10854" t="s">
        <v>13508</v>
      </c>
      <c r="D10854" t="s">
        <v>18102</v>
      </c>
      <c r="E10854" t="s">
        <v>27524</v>
      </c>
      <c r="F10854" t="s">
        <v>31574</v>
      </c>
      <c r="G10854" t="s">
        <v>31582</v>
      </c>
      <c r="H10854" t="s">
        <v>31590</v>
      </c>
      <c r="I10854" t="s">
        <v>31602</v>
      </c>
      <c r="J10854" t="s">
        <v>38458</v>
      </c>
      <c r="K10854" t="s">
        <v>41186</v>
      </c>
      <c r="M10854" t="s">
        <v>44557</v>
      </c>
      <c r="N10854" t="s">
        <v>45095</v>
      </c>
      <c r="O10854" t="s">
        <v>45096</v>
      </c>
      <c r="P10854">
        <v>0</v>
      </c>
      <c r="Q10854">
        <v>0</v>
      </c>
      <c r="R10854" t="s">
        <v>45109</v>
      </c>
      <c r="S10854" t="s">
        <v>45478</v>
      </c>
      <c r="T10854" t="s">
        <v>47159</v>
      </c>
      <c r="U10854" t="s">
        <v>56388</v>
      </c>
      <c r="W10854" t="s">
        <v>44557</v>
      </c>
      <c r="X10854" t="s">
        <v>45111</v>
      </c>
    </row>
    <row r="10855" spans="1:24">
      <c r="A10855">
        <f>HYPERLINK("https://www.philgeps.gov.ph/GEPSNONPILOT/Tender/SplashBidNoticeAbstractUI.aspx?menuIndex=3&amp;refID=7022041&amp;Result=3","7022041")</f>
        <v>0</v>
      </c>
      <c r="B10855" t="s">
        <v>2782</v>
      </c>
      <c r="C10855" t="s">
        <v>13553</v>
      </c>
      <c r="D10855" t="s">
        <v>18102</v>
      </c>
      <c r="E10855" t="s">
        <v>27525</v>
      </c>
      <c r="F10855" t="s">
        <v>31574</v>
      </c>
      <c r="G10855" t="s">
        <v>31582</v>
      </c>
      <c r="H10855" t="s">
        <v>31590</v>
      </c>
      <c r="I10855" t="s">
        <v>31602</v>
      </c>
      <c r="J10855" t="s">
        <v>38459</v>
      </c>
      <c r="K10855" t="s">
        <v>41186</v>
      </c>
      <c r="M10855" t="s">
        <v>44557</v>
      </c>
      <c r="N10855" t="s">
        <v>45095</v>
      </c>
      <c r="O10855" t="s">
        <v>45096</v>
      </c>
      <c r="P10855">
        <v>0</v>
      </c>
      <c r="Q10855">
        <v>0</v>
      </c>
      <c r="R10855" t="s">
        <v>45109</v>
      </c>
      <c r="S10855" t="s">
        <v>45478</v>
      </c>
      <c r="T10855" t="s">
        <v>47159</v>
      </c>
      <c r="U10855" t="s">
        <v>56389</v>
      </c>
      <c r="W10855" t="s">
        <v>44557</v>
      </c>
      <c r="X10855" t="s">
        <v>45111</v>
      </c>
    </row>
    <row r="10856" spans="1:24">
      <c r="A10856">
        <f>HYPERLINK("https://www.philgeps.gov.ph/GEPSNONPILOT/Tender/SplashBidNoticeAbstractUI.aspx?menuIndex=3&amp;refID=7021752&amp;Result=3","7021752")</f>
        <v>0</v>
      </c>
      <c r="B10856" t="s">
        <v>46</v>
      </c>
      <c r="C10856" t="s">
        <v>13554</v>
      </c>
      <c r="E10856" t="s">
        <v>27526</v>
      </c>
      <c r="F10856" t="s">
        <v>31574</v>
      </c>
      <c r="G10856" t="s">
        <v>31582</v>
      </c>
      <c r="H10856" t="s">
        <v>31590</v>
      </c>
      <c r="I10856" t="s">
        <v>31598</v>
      </c>
      <c r="J10856" t="s">
        <v>31741</v>
      </c>
      <c r="K10856" t="s">
        <v>41184</v>
      </c>
      <c r="M10856" t="s">
        <v>41529</v>
      </c>
      <c r="N10856" t="s">
        <v>45095</v>
      </c>
      <c r="O10856" t="s">
        <v>45096</v>
      </c>
      <c r="Q10856">
        <v>5</v>
      </c>
      <c r="R10856" t="s">
        <v>45109</v>
      </c>
      <c r="S10856" t="s">
        <v>45499</v>
      </c>
      <c r="T10856" t="s">
        <v>46914</v>
      </c>
      <c r="U10856" t="s">
        <v>56390</v>
      </c>
      <c r="W10856" t="s">
        <v>41529</v>
      </c>
      <c r="X10856" t="s">
        <v>45111</v>
      </c>
    </row>
    <row r="10857" spans="1:24">
      <c r="A10857">
        <f>HYPERLINK("https://www.philgeps.gov.ph/GEPSNONPILOT/Tender/SplashBidNoticeAbstractUI.aspx?menuIndex=3&amp;refID=7021745&amp;Result=3","7021745")</f>
        <v>0</v>
      </c>
      <c r="B10857" t="s">
        <v>46</v>
      </c>
      <c r="C10857" t="s">
        <v>13555</v>
      </c>
      <c r="E10857" t="s">
        <v>27512</v>
      </c>
      <c r="F10857" t="s">
        <v>31574</v>
      </c>
      <c r="G10857" t="s">
        <v>31582</v>
      </c>
      <c r="H10857" t="s">
        <v>31590</v>
      </c>
      <c r="I10857" t="s">
        <v>31598</v>
      </c>
      <c r="J10857" t="s">
        <v>31724</v>
      </c>
      <c r="K10857" t="s">
        <v>41184</v>
      </c>
      <c r="M10857" t="s">
        <v>41529</v>
      </c>
      <c r="N10857" t="s">
        <v>45095</v>
      </c>
      <c r="O10857" t="s">
        <v>45096</v>
      </c>
      <c r="Q10857">
        <v>8</v>
      </c>
      <c r="R10857" t="s">
        <v>45109</v>
      </c>
      <c r="S10857" t="s">
        <v>45500</v>
      </c>
      <c r="T10857" t="s">
        <v>46914</v>
      </c>
      <c r="U10857" t="s">
        <v>56391</v>
      </c>
      <c r="W10857" t="s">
        <v>41529</v>
      </c>
      <c r="X10857" t="s">
        <v>45111</v>
      </c>
    </row>
    <row r="10858" spans="1:24">
      <c r="A10858">
        <f>HYPERLINK("https://www.philgeps.gov.ph/GEPSNONPILOT/Tender/SplashBidNoticeAbstractUI.aspx?menuIndex=3&amp;refID=7021868&amp;Result=3","7021868")</f>
        <v>0</v>
      </c>
      <c r="B10858" t="s">
        <v>2457</v>
      </c>
      <c r="C10858" t="s">
        <v>13556</v>
      </c>
      <c r="D10858" t="s">
        <v>18093</v>
      </c>
      <c r="E10858" t="s">
        <v>27527</v>
      </c>
      <c r="F10858" t="s">
        <v>31574</v>
      </c>
      <c r="G10858" t="s">
        <v>31582</v>
      </c>
      <c r="H10858" t="s">
        <v>31591</v>
      </c>
      <c r="I10858" t="s">
        <v>8822</v>
      </c>
      <c r="J10858" t="s">
        <v>31819</v>
      </c>
      <c r="K10858" t="s">
        <v>41243</v>
      </c>
      <c r="L10858" t="s">
        <v>2457</v>
      </c>
      <c r="M10858" t="s">
        <v>44186</v>
      </c>
      <c r="N10858" t="s">
        <v>45095</v>
      </c>
      <c r="O10858" t="s">
        <v>45096</v>
      </c>
      <c r="P10858">
        <v>0</v>
      </c>
      <c r="Q10858">
        <v>0</v>
      </c>
      <c r="R10858" t="s">
        <v>45109</v>
      </c>
      <c r="S10858" t="s">
        <v>45478</v>
      </c>
      <c r="T10858" t="s">
        <v>46922</v>
      </c>
      <c r="U10858" t="s">
        <v>54769</v>
      </c>
      <c r="V10858" t="s">
        <v>60763</v>
      </c>
      <c r="W10858" t="s">
        <v>44186</v>
      </c>
      <c r="X10858" t="s">
        <v>45111</v>
      </c>
    </row>
    <row r="10859" spans="1:24">
      <c r="A10859">
        <f>HYPERLINK("https://www.philgeps.gov.ph/GEPSNONPILOT/Tender/SplashBidNoticeAbstractUI.aspx?menuIndex=3&amp;refID=7022143&amp;Result=3","7022143")</f>
        <v>0</v>
      </c>
      <c r="B10859" t="s">
        <v>2730</v>
      </c>
      <c r="C10859" t="s">
        <v>13557</v>
      </c>
      <c r="E10859" t="s">
        <v>27528</v>
      </c>
      <c r="F10859" t="s">
        <v>31574</v>
      </c>
      <c r="G10859" t="s">
        <v>31583</v>
      </c>
      <c r="H10859" t="s">
        <v>31590</v>
      </c>
      <c r="I10859" t="s">
        <v>7185</v>
      </c>
      <c r="J10859" t="s">
        <v>38460</v>
      </c>
      <c r="K10859" t="s">
        <v>41184</v>
      </c>
      <c r="M10859" t="s">
        <v>44501</v>
      </c>
      <c r="N10859" t="s">
        <v>45095</v>
      </c>
      <c r="O10859" t="s">
        <v>45096</v>
      </c>
      <c r="P10859">
        <v>0</v>
      </c>
      <c r="Q10859">
        <v>1</v>
      </c>
      <c r="R10859" t="s">
        <v>45109</v>
      </c>
      <c r="S10859" t="s">
        <v>45478</v>
      </c>
      <c r="T10859" t="s">
        <v>46963</v>
      </c>
      <c r="U10859" t="s">
        <v>56392</v>
      </c>
      <c r="V10859" t="s">
        <v>60945</v>
      </c>
      <c r="W10859" t="s">
        <v>44501</v>
      </c>
      <c r="X10859" t="s">
        <v>45111</v>
      </c>
    </row>
    <row r="10860" spans="1:24">
      <c r="A10860">
        <f>HYPERLINK("https://www.philgeps.gov.ph/GEPSNONPILOT/Tender/SplashBidNoticeAbstractUI.aspx?menuIndex=3&amp;refID=7021761&amp;Result=3","7021761")</f>
        <v>0</v>
      </c>
      <c r="B10860" t="s">
        <v>46</v>
      </c>
      <c r="C10860" t="s">
        <v>13558</v>
      </c>
      <c r="E10860" t="s">
        <v>27529</v>
      </c>
      <c r="F10860" t="s">
        <v>31574</v>
      </c>
      <c r="G10860" t="s">
        <v>31582</v>
      </c>
      <c r="H10860" t="s">
        <v>31590</v>
      </c>
      <c r="I10860" t="s">
        <v>31598</v>
      </c>
      <c r="J10860" t="s">
        <v>33827</v>
      </c>
      <c r="K10860" t="s">
        <v>41184</v>
      </c>
      <c r="M10860" t="s">
        <v>41529</v>
      </c>
      <c r="N10860" t="s">
        <v>45095</v>
      </c>
      <c r="O10860" t="s">
        <v>45096</v>
      </c>
      <c r="Q10860">
        <v>9</v>
      </c>
      <c r="R10860" t="s">
        <v>45109</v>
      </c>
      <c r="S10860" t="s">
        <v>45501</v>
      </c>
      <c r="T10860" t="s">
        <v>46914</v>
      </c>
      <c r="U10860" t="s">
        <v>56393</v>
      </c>
      <c r="W10860" t="s">
        <v>41529</v>
      </c>
      <c r="X10860" t="s">
        <v>45111</v>
      </c>
    </row>
    <row r="10861" spans="1:24">
      <c r="A10861">
        <f>HYPERLINK("https://www.philgeps.gov.ph/GEPSNONPILOT/Tender/SplashBidNoticeAbstractUI.aspx?menuIndex=3&amp;refID=7022167&amp;Result=3","7022167")</f>
        <v>0</v>
      </c>
      <c r="B10861" t="s">
        <v>2643</v>
      </c>
      <c r="C10861" t="s">
        <v>13559</v>
      </c>
      <c r="D10861" t="s">
        <v>18081</v>
      </c>
      <c r="E10861" t="s">
        <v>27530</v>
      </c>
      <c r="F10861" t="s">
        <v>31574</v>
      </c>
      <c r="G10861" t="s">
        <v>31582</v>
      </c>
      <c r="H10861" t="s">
        <v>31590</v>
      </c>
      <c r="I10861" t="s">
        <v>4046</v>
      </c>
      <c r="J10861" t="s">
        <v>38461</v>
      </c>
      <c r="K10861" t="s">
        <v>41193</v>
      </c>
      <c r="M10861" t="s">
        <v>44397</v>
      </c>
      <c r="N10861" t="s">
        <v>45095</v>
      </c>
      <c r="O10861" t="s">
        <v>45096</v>
      </c>
      <c r="P10861">
        <v>0</v>
      </c>
      <c r="Q10861">
        <v>0</v>
      </c>
      <c r="R10861" t="s">
        <v>45109</v>
      </c>
      <c r="S10861" t="s">
        <v>45478</v>
      </c>
      <c r="T10861" t="s">
        <v>47030</v>
      </c>
      <c r="U10861" t="s">
        <v>56394</v>
      </c>
      <c r="W10861" t="s">
        <v>44397</v>
      </c>
      <c r="X10861" t="s">
        <v>45111</v>
      </c>
    </row>
    <row r="10862" spans="1:24">
      <c r="A10862">
        <f>HYPERLINK("https://www.philgeps.gov.ph/GEPSNONPILOT/Tender/SplashBidNoticeAbstractUI.aspx?menuIndex=3&amp;refID=7022112&amp;Result=3","7022112")</f>
        <v>0</v>
      </c>
      <c r="B10862" t="s">
        <v>2730</v>
      </c>
      <c r="C10862" t="s">
        <v>13560</v>
      </c>
      <c r="E10862" t="s">
        <v>27516</v>
      </c>
      <c r="F10862" t="s">
        <v>31574</v>
      </c>
      <c r="G10862" t="s">
        <v>31583</v>
      </c>
      <c r="H10862" t="s">
        <v>31590</v>
      </c>
      <c r="I10862" t="s">
        <v>7185</v>
      </c>
      <c r="J10862" t="s">
        <v>38462</v>
      </c>
      <c r="K10862" t="s">
        <v>41184</v>
      </c>
      <c r="M10862" t="s">
        <v>44501</v>
      </c>
      <c r="N10862" t="s">
        <v>45095</v>
      </c>
      <c r="O10862" t="s">
        <v>45096</v>
      </c>
      <c r="P10862">
        <v>0</v>
      </c>
      <c r="Q10862">
        <v>1</v>
      </c>
      <c r="R10862" t="s">
        <v>45109</v>
      </c>
      <c r="S10862" t="s">
        <v>45478</v>
      </c>
      <c r="T10862" t="s">
        <v>46963</v>
      </c>
      <c r="U10862" t="s">
        <v>56395</v>
      </c>
      <c r="V10862" t="s">
        <v>60945</v>
      </c>
      <c r="W10862" t="s">
        <v>44501</v>
      </c>
      <c r="X10862" t="s">
        <v>45111</v>
      </c>
    </row>
    <row r="10863" spans="1:24">
      <c r="A10863">
        <f>HYPERLINK("https://www.philgeps.gov.ph/GEPSNONPILOT/Tender/SplashBidNoticeAbstractUI.aspx?menuIndex=3&amp;refID=7022267&amp;Result=3","7022267")</f>
        <v>0</v>
      </c>
      <c r="B10863" t="s">
        <v>2730</v>
      </c>
      <c r="C10863" t="s">
        <v>13561</v>
      </c>
      <c r="E10863" t="s">
        <v>27531</v>
      </c>
      <c r="F10863" t="s">
        <v>31574</v>
      </c>
      <c r="G10863" t="s">
        <v>31583</v>
      </c>
      <c r="H10863" t="s">
        <v>31590</v>
      </c>
      <c r="I10863" t="s">
        <v>5717</v>
      </c>
      <c r="J10863" t="s">
        <v>38463</v>
      </c>
      <c r="K10863" t="s">
        <v>41184</v>
      </c>
      <c r="M10863" t="s">
        <v>44501</v>
      </c>
      <c r="N10863" t="s">
        <v>45095</v>
      </c>
      <c r="O10863" t="s">
        <v>45096</v>
      </c>
      <c r="P10863">
        <v>0</v>
      </c>
      <c r="Q10863">
        <v>0</v>
      </c>
      <c r="R10863" t="s">
        <v>45109</v>
      </c>
      <c r="S10863" t="s">
        <v>45478</v>
      </c>
      <c r="T10863" t="s">
        <v>46963</v>
      </c>
      <c r="U10863" t="s">
        <v>56396</v>
      </c>
      <c r="V10863" t="s">
        <v>60945</v>
      </c>
      <c r="W10863" t="s">
        <v>44501</v>
      </c>
      <c r="X10863" t="s">
        <v>45111</v>
      </c>
    </row>
    <row r="10864" spans="1:24">
      <c r="A10864">
        <f>HYPERLINK("https://www.philgeps.gov.ph/GEPSNONPILOT/Tender/SplashBidNoticeAbstractUI.aspx?menuIndex=3&amp;refID=7022219&amp;Result=3","7022219")</f>
        <v>0</v>
      </c>
      <c r="B10864" t="s">
        <v>2730</v>
      </c>
      <c r="C10864" t="s">
        <v>13562</v>
      </c>
      <c r="E10864" t="s">
        <v>27532</v>
      </c>
      <c r="F10864" t="s">
        <v>31574</v>
      </c>
      <c r="G10864" t="s">
        <v>31583</v>
      </c>
      <c r="H10864" t="s">
        <v>31590</v>
      </c>
      <c r="I10864" t="s">
        <v>5717</v>
      </c>
      <c r="J10864" t="s">
        <v>38464</v>
      </c>
      <c r="K10864" t="s">
        <v>41184</v>
      </c>
      <c r="M10864" t="s">
        <v>44501</v>
      </c>
      <c r="N10864" t="s">
        <v>45095</v>
      </c>
      <c r="O10864" t="s">
        <v>45096</v>
      </c>
      <c r="P10864">
        <v>0</v>
      </c>
      <c r="Q10864">
        <v>1</v>
      </c>
      <c r="R10864" t="s">
        <v>45109</v>
      </c>
      <c r="S10864" t="s">
        <v>45478</v>
      </c>
      <c r="T10864" t="s">
        <v>46963</v>
      </c>
      <c r="U10864" t="s">
        <v>56397</v>
      </c>
      <c r="V10864" t="s">
        <v>60945</v>
      </c>
      <c r="W10864" t="s">
        <v>44501</v>
      </c>
      <c r="X10864" t="s">
        <v>45111</v>
      </c>
    </row>
    <row r="10865" spans="1:24">
      <c r="A10865">
        <f>HYPERLINK("https://www.philgeps.gov.ph/GEPSNONPILOT/Tender/SplashBidNoticeAbstractUI.aspx?menuIndex=3&amp;refID=7022360&amp;Result=3","7022360")</f>
        <v>0</v>
      </c>
      <c r="B10865" t="s">
        <v>1895</v>
      </c>
      <c r="C10865" t="s">
        <v>13563</v>
      </c>
      <c r="D10865" t="s">
        <v>18101</v>
      </c>
      <c r="E10865" t="s">
        <v>27533</v>
      </c>
      <c r="F10865" t="s">
        <v>31574</v>
      </c>
      <c r="G10865" t="s">
        <v>31582</v>
      </c>
      <c r="H10865" t="s">
        <v>31591</v>
      </c>
      <c r="I10865" t="s">
        <v>8822</v>
      </c>
      <c r="J10865" t="s">
        <v>32026</v>
      </c>
      <c r="K10865" t="s">
        <v>41209</v>
      </c>
      <c r="M10865" t="s">
        <v>43540</v>
      </c>
      <c r="N10865" t="s">
        <v>45095</v>
      </c>
      <c r="O10865" t="s">
        <v>45096</v>
      </c>
      <c r="P10865">
        <v>0</v>
      </c>
      <c r="Q10865">
        <v>0</v>
      </c>
      <c r="R10865" t="s">
        <v>45109</v>
      </c>
      <c r="S10865" t="s">
        <v>45478</v>
      </c>
      <c r="T10865" t="s">
        <v>46926</v>
      </c>
      <c r="U10865" t="s">
        <v>56398</v>
      </c>
      <c r="V10865" t="s">
        <v>60993</v>
      </c>
      <c r="W10865" t="s">
        <v>43540</v>
      </c>
      <c r="X10865" t="s">
        <v>45111</v>
      </c>
    </row>
    <row r="10866" spans="1:24">
      <c r="A10866">
        <f>HYPERLINK("https://www.philgeps.gov.ph/GEPSNONPILOT/Tender/SplashBidNoticeAbstractUI.aspx?menuIndex=3&amp;refID=7022337&amp;Result=3","7022337")</f>
        <v>0</v>
      </c>
      <c r="B10866" t="s">
        <v>1895</v>
      </c>
      <c r="C10866" t="s">
        <v>13564</v>
      </c>
      <c r="D10866" t="s">
        <v>18101</v>
      </c>
      <c r="E10866" t="s">
        <v>27534</v>
      </c>
      <c r="F10866" t="s">
        <v>31574</v>
      </c>
      <c r="G10866" t="s">
        <v>31582</v>
      </c>
      <c r="H10866" t="s">
        <v>31591</v>
      </c>
      <c r="I10866" t="s">
        <v>8822</v>
      </c>
      <c r="J10866" t="s">
        <v>32026</v>
      </c>
      <c r="K10866" t="s">
        <v>41189</v>
      </c>
      <c r="M10866" t="s">
        <v>43540</v>
      </c>
      <c r="N10866" t="s">
        <v>45095</v>
      </c>
      <c r="O10866" t="s">
        <v>45096</v>
      </c>
      <c r="P10866">
        <v>0</v>
      </c>
      <c r="Q10866">
        <v>0</v>
      </c>
      <c r="R10866" t="s">
        <v>45109</v>
      </c>
      <c r="S10866" t="s">
        <v>45478</v>
      </c>
      <c r="T10866" t="s">
        <v>46926</v>
      </c>
      <c r="U10866" t="s">
        <v>56398</v>
      </c>
      <c r="V10866" t="s">
        <v>60994</v>
      </c>
      <c r="W10866" t="s">
        <v>43540</v>
      </c>
      <c r="X10866" t="s">
        <v>45111</v>
      </c>
    </row>
    <row r="10867" spans="1:24">
      <c r="A10867">
        <f>HYPERLINK("https://www.philgeps.gov.ph/GEPSNONPILOT/Tender/SplashBidNoticeAbstractUI.aspx?menuIndex=3&amp;refID=7022284&amp;Result=3","7022284")</f>
        <v>0</v>
      </c>
      <c r="B10867" t="s">
        <v>1895</v>
      </c>
      <c r="C10867" t="s">
        <v>13565</v>
      </c>
      <c r="D10867" t="s">
        <v>18101</v>
      </c>
      <c r="E10867" t="s">
        <v>27535</v>
      </c>
      <c r="F10867" t="s">
        <v>31574</v>
      </c>
      <c r="G10867" t="s">
        <v>31582</v>
      </c>
      <c r="H10867" t="s">
        <v>31591</v>
      </c>
      <c r="I10867" t="s">
        <v>8822</v>
      </c>
      <c r="J10867" t="s">
        <v>38465</v>
      </c>
      <c r="K10867" t="s">
        <v>41200</v>
      </c>
      <c r="M10867" t="s">
        <v>43540</v>
      </c>
      <c r="N10867" t="s">
        <v>45095</v>
      </c>
      <c r="O10867" t="s">
        <v>45096</v>
      </c>
      <c r="Q10867">
        <v>1</v>
      </c>
      <c r="R10867" t="s">
        <v>45109</v>
      </c>
      <c r="S10867" t="s">
        <v>45502</v>
      </c>
      <c r="T10867" t="s">
        <v>46926</v>
      </c>
      <c r="U10867" t="s">
        <v>56398</v>
      </c>
      <c r="V10867" t="s">
        <v>60995</v>
      </c>
      <c r="W10867" t="s">
        <v>43540</v>
      </c>
      <c r="X10867" t="s">
        <v>45111</v>
      </c>
    </row>
    <row r="10868" spans="1:24">
      <c r="A10868">
        <f>HYPERLINK("https://www.philgeps.gov.ph/GEPSNONPILOT/Tender/SplashBidNoticeAbstractUI.aspx?menuIndex=3&amp;refID=7022185&amp;Result=3","7022185")</f>
        <v>0</v>
      </c>
      <c r="B10868" t="s">
        <v>2730</v>
      </c>
      <c r="C10868" t="s">
        <v>13566</v>
      </c>
      <c r="E10868" t="s">
        <v>27536</v>
      </c>
      <c r="F10868" t="s">
        <v>31574</v>
      </c>
      <c r="G10868" t="s">
        <v>31583</v>
      </c>
      <c r="H10868" t="s">
        <v>31590</v>
      </c>
      <c r="I10868" t="s">
        <v>5717</v>
      </c>
      <c r="J10868" t="s">
        <v>38466</v>
      </c>
      <c r="K10868" t="s">
        <v>41184</v>
      </c>
      <c r="M10868" t="s">
        <v>44501</v>
      </c>
      <c r="N10868" t="s">
        <v>45095</v>
      </c>
      <c r="O10868" t="s">
        <v>45096</v>
      </c>
      <c r="P10868">
        <v>0</v>
      </c>
      <c r="Q10868">
        <v>0</v>
      </c>
      <c r="R10868" t="s">
        <v>45109</v>
      </c>
      <c r="S10868" t="s">
        <v>45478</v>
      </c>
      <c r="T10868" t="s">
        <v>46963</v>
      </c>
      <c r="U10868" t="s">
        <v>56399</v>
      </c>
      <c r="V10868" t="s">
        <v>60945</v>
      </c>
      <c r="W10868" t="s">
        <v>44501</v>
      </c>
      <c r="X10868" t="s">
        <v>45111</v>
      </c>
    </row>
    <row r="10869" spans="1:24">
      <c r="A10869">
        <f>HYPERLINK("https://www.philgeps.gov.ph/GEPSNONPILOT/Tender/SplashBidNoticeAbstractUI.aspx?menuIndex=3&amp;refID=7022314&amp;Result=3","7022314")</f>
        <v>0</v>
      </c>
      <c r="B10869" t="s">
        <v>1895</v>
      </c>
      <c r="C10869" t="s">
        <v>13567</v>
      </c>
      <c r="D10869" t="s">
        <v>18101</v>
      </c>
      <c r="E10869" t="s">
        <v>27537</v>
      </c>
      <c r="F10869" t="s">
        <v>31574</v>
      </c>
      <c r="G10869" t="s">
        <v>31582</v>
      </c>
      <c r="H10869" t="s">
        <v>31591</v>
      </c>
      <c r="I10869" t="s">
        <v>8822</v>
      </c>
      <c r="J10869" t="s">
        <v>32026</v>
      </c>
      <c r="K10869" t="s">
        <v>41189</v>
      </c>
      <c r="M10869" t="s">
        <v>43540</v>
      </c>
      <c r="N10869" t="s">
        <v>45095</v>
      </c>
      <c r="O10869" t="s">
        <v>45096</v>
      </c>
      <c r="P10869">
        <v>0</v>
      </c>
      <c r="Q10869">
        <v>1</v>
      </c>
      <c r="R10869" t="s">
        <v>45109</v>
      </c>
      <c r="S10869" t="s">
        <v>45478</v>
      </c>
      <c r="T10869" t="s">
        <v>46926</v>
      </c>
      <c r="U10869" t="s">
        <v>56398</v>
      </c>
      <c r="V10869" t="s">
        <v>60996</v>
      </c>
      <c r="W10869" t="s">
        <v>43540</v>
      </c>
      <c r="X10869" t="s">
        <v>45111</v>
      </c>
    </row>
    <row r="10870" spans="1:24">
      <c r="A10870">
        <f>HYPERLINK("https://www.philgeps.gov.ph/GEPSNONPILOT/Tender/SplashBidNoticeAbstractUI.aspx?menuIndex=3&amp;refID=7022259&amp;Result=3","7022259")</f>
        <v>0</v>
      </c>
      <c r="B10870" t="s">
        <v>31</v>
      </c>
      <c r="C10870" t="s">
        <v>13568</v>
      </c>
      <c r="E10870" t="s">
        <v>27538</v>
      </c>
      <c r="F10870" t="s">
        <v>31574</v>
      </c>
      <c r="G10870" t="s">
        <v>31582</v>
      </c>
      <c r="H10870" t="s">
        <v>31590</v>
      </c>
      <c r="I10870" t="s">
        <v>8258</v>
      </c>
      <c r="J10870" t="s">
        <v>38467</v>
      </c>
      <c r="K10870" t="s">
        <v>41193</v>
      </c>
      <c r="M10870" t="s">
        <v>41518</v>
      </c>
      <c r="N10870" t="s">
        <v>45095</v>
      </c>
      <c r="O10870" t="s">
        <v>45096</v>
      </c>
      <c r="P10870">
        <v>0</v>
      </c>
      <c r="Q10870">
        <v>5</v>
      </c>
      <c r="R10870" t="s">
        <v>45109</v>
      </c>
      <c r="S10870" t="s">
        <v>45478</v>
      </c>
      <c r="T10870" t="s">
        <v>46991</v>
      </c>
      <c r="U10870" t="s">
        <v>56400</v>
      </c>
      <c r="W10870" t="s">
        <v>41518</v>
      </c>
      <c r="X10870" t="s">
        <v>45111</v>
      </c>
    </row>
    <row r="10871" spans="1:24">
      <c r="A10871">
        <f>HYPERLINK("https://www.philgeps.gov.ph/GEPSNONPILOT/Tender/SplashBidNoticeAbstractUI.aspx?menuIndex=3&amp;refID=7022325&amp;Result=3","7022325")</f>
        <v>0</v>
      </c>
      <c r="B10871" t="s">
        <v>363</v>
      </c>
      <c r="C10871" t="s">
        <v>13569</v>
      </c>
      <c r="D10871" t="s">
        <v>18044</v>
      </c>
      <c r="E10871" t="s">
        <v>27539</v>
      </c>
      <c r="F10871" t="s">
        <v>31574</v>
      </c>
      <c r="G10871" t="s">
        <v>31582</v>
      </c>
      <c r="H10871" t="s">
        <v>31591</v>
      </c>
      <c r="I10871" t="s">
        <v>8822</v>
      </c>
      <c r="J10871" t="s">
        <v>31819</v>
      </c>
      <c r="K10871" t="s">
        <v>41195</v>
      </c>
      <c r="M10871" t="s">
        <v>41853</v>
      </c>
      <c r="N10871" t="s">
        <v>45095</v>
      </c>
      <c r="O10871" t="s">
        <v>45096</v>
      </c>
      <c r="P10871">
        <v>0</v>
      </c>
      <c r="Q10871">
        <v>1</v>
      </c>
      <c r="R10871" t="s">
        <v>45109</v>
      </c>
      <c r="S10871" t="s">
        <v>45478</v>
      </c>
      <c r="T10871" t="s">
        <v>46966</v>
      </c>
      <c r="U10871" t="s">
        <v>56401</v>
      </c>
      <c r="W10871" t="s">
        <v>41853</v>
      </c>
      <c r="X10871" t="s">
        <v>45111</v>
      </c>
    </row>
    <row r="10872" spans="1:24">
      <c r="A10872">
        <f>HYPERLINK("https://www.philgeps.gov.ph/GEPSNONPILOT/Tender/SplashBidNoticeAbstractUI.aspx?menuIndex=3&amp;refID=7022256&amp;Result=3","7022256")</f>
        <v>0</v>
      </c>
      <c r="B10872" t="s">
        <v>1895</v>
      </c>
      <c r="C10872" t="s">
        <v>13570</v>
      </c>
      <c r="D10872" t="s">
        <v>18101</v>
      </c>
      <c r="E10872" t="s">
        <v>27540</v>
      </c>
      <c r="F10872" t="s">
        <v>31574</v>
      </c>
      <c r="G10872" t="s">
        <v>31582</v>
      </c>
      <c r="H10872" t="s">
        <v>31591</v>
      </c>
      <c r="I10872" t="s">
        <v>8822</v>
      </c>
      <c r="J10872" t="s">
        <v>34697</v>
      </c>
      <c r="K10872" t="s">
        <v>41198</v>
      </c>
      <c r="M10872" t="s">
        <v>43540</v>
      </c>
      <c r="N10872" t="s">
        <v>45095</v>
      </c>
      <c r="O10872" t="s">
        <v>45096</v>
      </c>
      <c r="P10872">
        <v>0</v>
      </c>
      <c r="Q10872">
        <v>2</v>
      </c>
      <c r="R10872" t="s">
        <v>45109</v>
      </c>
      <c r="S10872" t="s">
        <v>45478</v>
      </c>
      <c r="T10872" t="s">
        <v>46926</v>
      </c>
      <c r="U10872" t="s">
        <v>56398</v>
      </c>
      <c r="V10872" t="s">
        <v>60997</v>
      </c>
      <c r="W10872" t="s">
        <v>43540</v>
      </c>
      <c r="X10872" t="s">
        <v>45111</v>
      </c>
    </row>
    <row r="10873" spans="1:24">
      <c r="A10873">
        <f>HYPERLINK("https://www.philgeps.gov.ph/GEPSNONPILOT/Tender/SplashBidNoticeAbstractUI.aspx?menuIndex=3&amp;refID=7022395&amp;Result=3","7022395")</f>
        <v>0</v>
      </c>
      <c r="B10873" t="s">
        <v>1663</v>
      </c>
      <c r="C10873" t="s">
        <v>13571</v>
      </c>
      <c r="D10873" t="s">
        <v>18033</v>
      </c>
      <c r="E10873" t="s">
        <v>27541</v>
      </c>
      <c r="F10873" t="s">
        <v>31574</v>
      </c>
      <c r="G10873" t="s">
        <v>31582</v>
      </c>
      <c r="H10873" t="s">
        <v>31591</v>
      </c>
      <c r="I10873" t="s">
        <v>8822</v>
      </c>
      <c r="J10873" t="s">
        <v>31935</v>
      </c>
      <c r="K10873" t="s">
        <v>41185</v>
      </c>
      <c r="M10873" t="s">
        <v>43275</v>
      </c>
      <c r="N10873" t="s">
        <v>45095</v>
      </c>
      <c r="O10873" t="s">
        <v>45096</v>
      </c>
      <c r="P10873">
        <v>0</v>
      </c>
      <c r="Q10873">
        <v>1</v>
      </c>
      <c r="R10873" t="s">
        <v>45109</v>
      </c>
      <c r="S10873" t="s">
        <v>45478</v>
      </c>
      <c r="T10873" t="s">
        <v>46933</v>
      </c>
      <c r="U10873" t="s">
        <v>56402</v>
      </c>
      <c r="W10873" t="s">
        <v>43275</v>
      </c>
      <c r="X10873" t="s">
        <v>45111</v>
      </c>
    </row>
    <row r="10874" spans="1:24">
      <c r="A10874">
        <f>HYPERLINK("https://www.philgeps.gov.ph/GEPSNONPILOT/Tender/SplashBidNoticeAbstractUI.aspx?menuIndex=3&amp;refID=7022294&amp;Result=3","7022294")</f>
        <v>0</v>
      </c>
      <c r="B10874" t="s">
        <v>2730</v>
      </c>
      <c r="C10874" t="s">
        <v>13572</v>
      </c>
      <c r="E10874" t="s">
        <v>27531</v>
      </c>
      <c r="F10874" t="s">
        <v>31574</v>
      </c>
      <c r="G10874" t="s">
        <v>31583</v>
      </c>
      <c r="H10874" t="s">
        <v>31590</v>
      </c>
      <c r="I10874" t="s">
        <v>5717</v>
      </c>
      <c r="J10874" t="s">
        <v>38468</v>
      </c>
      <c r="K10874" t="s">
        <v>41184</v>
      </c>
      <c r="M10874" t="s">
        <v>44501</v>
      </c>
      <c r="N10874" t="s">
        <v>45095</v>
      </c>
      <c r="O10874" t="s">
        <v>45096</v>
      </c>
      <c r="P10874">
        <v>0</v>
      </c>
      <c r="Q10874">
        <v>1</v>
      </c>
      <c r="R10874" t="s">
        <v>45109</v>
      </c>
      <c r="S10874" t="s">
        <v>45478</v>
      </c>
      <c r="T10874" t="s">
        <v>46963</v>
      </c>
      <c r="U10874" t="s">
        <v>56403</v>
      </c>
      <c r="V10874" t="s">
        <v>60945</v>
      </c>
      <c r="W10874" t="s">
        <v>44501</v>
      </c>
      <c r="X10874" t="s">
        <v>45111</v>
      </c>
    </row>
    <row r="10875" spans="1:24">
      <c r="A10875">
        <f>HYPERLINK("https://www.philgeps.gov.ph/GEPSNONPILOT/Tender/SplashBidNoticeAbstractUI.aspx?menuIndex=3&amp;refID=7022248&amp;Result=3","7022248")</f>
        <v>0</v>
      </c>
      <c r="B10875" t="s">
        <v>2457</v>
      </c>
      <c r="C10875" t="s">
        <v>13573</v>
      </c>
      <c r="D10875" t="s">
        <v>18093</v>
      </c>
      <c r="E10875" t="s">
        <v>27542</v>
      </c>
      <c r="F10875" t="s">
        <v>31574</v>
      </c>
      <c r="G10875" t="s">
        <v>31582</v>
      </c>
      <c r="H10875" t="s">
        <v>31591</v>
      </c>
      <c r="I10875" t="s">
        <v>8822</v>
      </c>
      <c r="J10875" t="s">
        <v>31819</v>
      </c>
      <c r="K10875" t="s">
        <v>41243</v>
      </c>
      <c r="L10875" t="s">
        <v>2457</v>
      </c>
      <c r="M10875" t="s">
        <v>44186</v>
      </c>
      <c r="N10875" t="s">
        <v>45095</v>
      </c>
      <c r="O10875" t="s">
        <v>45096</v>
      </c>
      <c r="P10875">
        <v>0</v>
      </c>
      <c r="Q10875">
        <v>0</v>
      </c>
      <c r="R10875" t="s">
        <v>45109</v>
      </c>
      <c r="S10875" t="s">
        <v>45478</v>
      </c>
      <c r="T10875" t="s">
        <v>46922</v>
      </c>
      <c r="U10875" t="s">
        <v>54769</v>
      </c>
      <c r="V10875" t="s">
        <v>60763</v>
      </c>
      <c r="W10875" t="s">
        <v>44186</v>
      </c>
      <c r="X10875" t="s">
        <v>45111</v>
      </c>
    </row>
    <row r="10876" spans="1:24">
      <c r="A10876">
        <f>HYPERLINK("https://www.philgeps.gov.ph/GEPSNONPILOT/Tender/SplashBidNoticeAbstractUI.aspx?menuIndex=3&amp;refID=7022403&amp;Result=3","7022403")</f>
        <v>0</v>
      </c>
      <c r="B10876" t="s">
        <v>779</v>
      </c>
      <c r="C10876" t="s">
        <v>13574</v>
      </c>
      <c r="D10876" t="s">
        <v>18081</v>
      </c>
      <c r="E10876" t="s">
        <v>20151</v>
      </c>
      <c r="F10876" t="s">
        <v>31574</v>
      </c>
      <c r="G10876" t="s">
        <v>31582</v>
      </c>
      <c r="H10876" t="s">
        <v>31590</v>
      </c>
      <c r="I10876" t="s">
        <v>7162</v>
      </c>
      <c r="J10876" t="s">
        <v>33301</v>
      </c>
      <c r="K10876" t="s">
        <v>41189</v>
      </c>
      <c r="L10876" t="s">
        <v>779</v>
      </c>
      <c r="M10876" t="s">
        <v>42293</v>
      </c>
      <c r="N10876" t="s">
        <v>45095</v>
      </c>
      <c r="O10876" t="s">
        <v>45096</v>
      </c>
      <c r="P10876">
        <v>0</v>
      </c>
      <c r="Q10876">
        <v>3</v>
      </c>
      <c r="R10876" t="s">
        <v>45109</v>
      </c>
      <c r="S10876" t="s">
        <v>45478</v>
      </c>
      <c r="T10876" t="s">
        <v>46938</v>
      </c>
      <c r="U10876" t="s">
        <v>56404</v>
      </c>
      <c r="V10876" t="s">
        <v>60755</v>
      </c>
      <c r="W10876" t="s">
        <v>42293</v>
      </c>
      <c r="X10876" t="s">
        <v>45111</v>
      </c>
    </row>
    <row r="10877" spans="1:24">
      <c r="A10877">
        <f>HYPERLINK("https://www.philgeps.gov.ph/GEPSNONPILOT/Tender/SplashBidNoticeAbstractUI.aspx?menuIndex=3&amp;refID=7022371&amp;Result=3","7022371")</f>
        <v>0</v>
      </c>
      <c r="B10877" t="s">
        <v>1895</v>
      </c>
      <c r="C10877" t="s">
        <v>13575</v>
      </c>
      <c r="D10877" t="s">
        <v>18101</v>
      </c>
      <c r="E10877" t="s">
        <v>27543</v>
      </c>
      <c r="F10877" t="s">
        <v>31574</v>
      </c>
      <c r="G10877" t="s">
        <v>31582</v>
      </c>
      <c r="H10877" t="s">
        <v>31591</v>
      </c>
      <c r="I10877" t="s">
        <v>8822</v>
      </c>
      <c r="J10877" t="s">
        <v>31935</v>
      </c>
      <c r="K10877" t="s">
        <v>41203</v>
      </c>
      <c r="M10877" t="s">
        <v>43540</v>
      </c>
      <c r="N10877" t="s">
        <v>45095</v>
      </c>
      <c r="O10877" t="s">
        <v>45096</v>
      </c>
      <c r="P10877">
        <v>0</v>
      </c>
      <c r="Q10877">
        <v>0</v>
      </c>
      <c r="R10877" t="s">
        <v>45109</v>
      </c>
      <c r="S10877" t="s">
        <v>45478</v>
      </c>
      <c r="T10877" t="s">
        <v>46926</v>
      </c>
      <c r="U10877" t="s">
        <v>56398</v>
      </c>
      <c r="V10877" t="s">
        <v>60998</v>
      </c>
      <c r="W10877" t="s">
        <v>43540</v>
      </c>
      <c r="X10877" t="s">
        <v>45111</v>
      </c>
    </row>
    <row r="10878" spans="1:24">
      <c r="A10878">
        <f>HYPERLINK("https://www.philgeps.gov.ph/GEPSNONPILOT/Tender/SplashBidNoticeAbstractUI.aspx?menuIndex=3&amp;refID=7022239&amp;Result=3","7022239")</f>
        <v>0</v>
      </c>
      <c r="B10878" t="s">
        <v>179</v>
      </c>
      <c r="C10878" t="s">
        <v>13576</v>
      </c>
      <c r="D10878" t="s">
        <v>18101</v>
      </c>
      <c r="E10878" t="s">
        <v>27544</v>
      </c>
      <c r="F10878" t="s">
        <v>31574</v>
      </c>
      <c r="G10878" t="s">
        <v>31582</v>
      </c>
      <c r="H10878" t="s">
        <v>31590</v>
      </c>
      <c r="I10878" t="s">
        <v>31615</v>
      </c>
      <c r="J10878" t="s">
        <v>32101</v>
      </c>
      <c r="K10878" t="s">
        <v>41186</v>
      </c>
      <c r="M10878" t="s">
        <v>41664</v>
      </c>
      <c r="N10878" t="s">
        <v>45095</v>
      </c>
      <c r="O10878" t="s">
        <v>45096</v>
      </c>
      <c r="P10878">
        <v>0</v>
      </c>
      <c r="Q10878">
        <v>6</v>
      </c>
      <c r="R10878" t="s">
        <v>45109</v>
      </c>
      <c r="S10878" t="s">
        <v>45478</v>
      </c>
      <c r="T10878" t="s">
        <v>46992</v>
      </c>
      <c r="U10878" t="s">
        <v>56405</v>
      </c>
      <c r="V10878" t="s">
        <v>60999</v>
      </c>
      <c r="W10878" t="s">
        <v>41664</v>
      </c>
      <c r="X10878" t="s">
        <v>45111</v>
      </c>
    </row>
    <row r="10879" spans="1:24">
      <c r="A10879">
        <f>HYPERLINK("https://www.philgeps.gov.ph/GEPSNONPILOT/Tender/SplashBidNoticeAbstractUI.aspx?menuIndex=3&amp;refID=7022413&amp;Result=3","7022413")</f>
        <v>0</v>
      </c>
      <c r="B10879" t="s">
        <v>1895</v>
      </c>
      <c r="C10879" t="s">
        <v>13577</v>
      </c>
      <c r="D10879" t="s">
        <v>18101</v>
      </c>
      <c r="E10879" t="s">
        <v>27545</v>
      </c>
      <c r="F10879" t="s">
        <v>31574</v>
      </c>
      <c r="G10879" t="s">
        <v>31582</v>
      </c>
      <c r="H10879" t="s">
        <v>31591</v>
      </c>
      <c r="I10879" t="s">
        <v>8822</v>
      </c>
      <c r="J10879" t="s">
        <v>33343</v>
      </c>
      <c r="K10879" t="s">
        <v>41186</v>
      </c>
      <c r="M10879" t="s">
        <v>43540</v>
      </c>
      <c r="N10879" t="s">
        <v>45095</v>
      </c>
      <c r="O10879" t="s">
        <v>45096</v>
      </c>
      <c r="P10879">
        <v>0</v>
      </c>
      <c r="Q10879">
        <v>1</v>
      </c>
      <c r="R10879" t="s">
        <v>45109</v>
      </c>
      <c r="S10879" t="s">
        <v>45478</v>
      </c>
      <c r="T10879" t="s">
        <v>46926</v>
      </c>
      <c r="U10879" t="s">
        <v>56398</v>
      </c>
      <c r="V10879" t="s">
        <v>61000</v>
      </c>
      <c r="W10879" t="s">
        <v>43540</v>
      </c>
      <c r="X10879" t="s">
        <v>45111</v>
      </c>
    </row>
    <row r="10880" spans="1:24">
      <c r="A10880">
        <f>HYPERLINK("https://www.philgeps.gov.ph/GEPSNONPILOT/Tender/SplashBidNoticeAbstractUI.aspx?menuIndex=3&amp;refID=7022393&amp;Result=3","7022393")</f>
        <v>0</v>
      </c>
      <c r="B10880" t="s">
        <v>363</v>
      </c>
      <c r="C10880" t="s">
        <v>13578</v>
      </c>
      <c r="D10880" t="s">
        <v>18044</v>
      </c>
      <c r="E10880" t="s">
        <v>27546</v>
      </c>
      <c r="F10880" t="s">
        <v>31574</v>
      </c>
      <c r="G10880" t="s">
        <v>31582</v>
      </c>
      <c r="H10880" t="s">
        <v>31591</v>
      </c>
      <c r="I10880" t="s">
        <v>8822</v>
      </c>
      <c r="J10880" t="s">
        <v>32101</v>
      </c>
      <c r="K10880" t="s">
        <v>41184</v>
      </c>
      <c r="M10880" t="s">
        <v>41853</v>
      </c>
      <c r="N10880" t="s">
        <v>45095</v>
      </c>
      <c r="O10880" t="s">
        <v>45096</v>
      </c>
      <c r="P10880">
        <v>0</v>
      </c>
      <c r="Q10880">
        <v>1</v>
      </c>
      <c r="R10880" t="s">
        <v>45109</v>
      </c>
      <c r="S10880" t="s">
        <v>45478</v>
      </c>
      <c r="T10880" t="s">
        <v>47019</v>
      </c>
      <c r="U10880" t="s">
        <v>56406</v>
      </c>
      <c r="W10880" t="s">
        <v>41853</v>
      </c>
      <c r="X10880" t="s">
        <v>45111</v>
      </c>
    </row>
    <row r="10881" spans="1:24">
      <c r="A10881">
        <f>HYPERLINK("https://www.philgeps.gov.ph/GEPSNONPILOT/Tender/SplashBidNoticeAbstractUI.aspx?menuIndex=3&amp;refID=7022533&amp;Result=3","7022533")</f>
        <v>0</v>
      </c>
      <c r="B10881" t="s">
        <v>1663</v>
      </c>
      <c r="C10881" t="s">
        <v>13579</v>
      </c>
      <c r="D10881" t="s">
        <v>18033</v>
      </c>
      <c r="E10881" t="s">
        <v>27547</v>
      </c>
      <c r="F10881" t="s">
        <v>31574</v>
      </c>
      <c r="G10881" t="s">
        <v>31582</v>
      </c>
      <c r="H10881" t="s">
        <v>31591</v>
      </c>
      <c r="I10881" t="s">
        <v>8822</v>
      </c>
      <c r="J10881" t="s">
        <v>32026</v>
      </c>
      <c r="K10881" t="s">
        <v>41293</v>
      </c>
      <c r="M10881" t="s">
        <v>43275</v>
      </c>
      <c r="N10881" t="s">
        <v>45095</v>
      </c>
      <c r="O10881" t="s">
        <v>45096</v>
      </c>
      <c r="P10881">
        <v>0</v>
      </c>
      <c r="Q10881">
        <v>0</v>
      </c>
      <c r="R10881" t="s">
        <v>45109</v>
      </c>
      <c r="S10881" t="s">
        <v>45478</v>
      </c>
      <c r="T10881" t="s">
        <v>46933</v>
      </c>
      <c r="U10881" t="s">
        <v>56407</v>
      </c>
      <c r="W10881" t="s">
        <v>43275</v>
      </c>
      <c r="X10881" t="s">
        <v>45111</v>
      </c>
    </row>
    <row r="10882" spans="1:24">
      <c r="A10882">
        <f>HYPERLINK("https://www.philgeps.gov.ph/GEPSNONPILOT/Tender/SplashBidNoticeAbstractUI.aspx?menuIndex=3&amp;refID=7022534&amp;Result=3","7022534")</f>
        <v>0</v>
      </c>
      <c r="B10882" t="s">
        <v>2782</v>
      </c>
      <c r="C10882" t="s">
        <v>13580</v>
      </c>
      <c r="D10882" t="s">
        <v>18102</v>
      </c>
      <c r="E10882" t="s">
        <v>27548</v>
      </c>
      <c r="F10882" t="s">
        <v>31574</v>
      </c>
      <c r="G10882" t="s">
        <v>31582</v>
      </c>
      <c r="H10882" t="s">
        <v>31590</v>
      </c>
      <c r="I10882" t="s">
        <v>31619</v>
      </c>
      <c r="J10882" t="s">
        <v>38469</v>
      </c>
      <c r="K10882" t="s">
        <v>41186</v>
      </c>
      <c r="M10882" t="s">
        <v>44557</v>
      </c>
      <c r="N10882" t="s">
        <v>45095</v>
      </c>
      <c r="O10882" t="s">
        <v>45096</v>
      </c>
      <c r="P10882">
        <v>0</v>
      </c>
      <c r="Q10882">
        <v>2</v>
      </c>
      <c r="R10882" t="s">
        <v>45109</v>
      </c>
      <c r="S10882" t="s">
        <v>45478</v>
      </c>
      <c r="T10882" t="s">
        <v>47159</v>
      </c>
      <c r="U10882" t="s">
        <v>56408</v>
      </c>
      <c r="W10882" t="s">
        <v>44557</v>
      </c>
      <c r="X10882" t="s">
        <v>45111</v>
      </c>
    </row>
    <row r="10883" spans="1:24">
      <c r="A10883">
        <f>HYPERLINK("https://www.philgeps.gov.ph/GEPSNONPILOT/Tender/SplashBidNoticeAbstractUI.aspx?menuIndex=3&amp;refID=7022429&amp;Result=3","7022429")</f>
        <v>0</v>
      </c>
      <c r="B10883" t="s">
        <v>1895</v>
      </c>
      <c r="C10883" t="s">
        <v>13581</v>
      </c>
      <c r="D10883" t="s">
        <v>18101</v>
      </c>
      <c r="E10883" t="s">
        <v>27549</v>
      </c>
      <c r="F10883" t="s">
        <v>31574</v>
      </c>
      <c r="G10883" t="s">
        <v>31582</v>
      </c>
      <c r="H10883" t="s">
        <v>31591</v>
      </c>
      <c r="I10883" t="s">
        <v>8822</v>
      </c>
      <c r="J10883" t="s">
        <v>31935</v>
      </c>
      <c r="K10883" t="s">
        <v>41186</v>
      </c>
      <c r="M10883" t="s">
        <v>43540</v>
      </c>
      <c r="N10883" t="s">
        <v>45095</v>
      </c>
      <c r="O10883" t="s">
        <v>45096</v>
      </c>
      <c r="P10883">
        <v>0</v>
      </c>
      <c r="Q10883">
        <v>0</v>
      </c>
      <c r="R10883" t="s">
        <v>45109</v>
      </c>
      <c r="S10883" t="s">
        <v>45478</v>
      </c>
      <c r="T10883" t="s">
        <v>46926</v>
      </c>
      <c r="U10883" t="s">
        <v>56398</v>
      </c>
      <c r="V10883" t="s">
        <v>61001</v>
      </c>
      <c r="W10883" t="s">
        <v>43540</v>
      </c>
      <c r="X10883" t="s">
        <v>45111</v>
      </c>
    </row>
    <row r="10884" spans="1:24">
      <c r="A10884">
        <f>HYPERLINK("https://www.philgeps.gov.ph/GEPSNONPILOT/Tender/SplashBidNoticeAbstractUI.aspx?menuIndex=3&amp;refID=7022361&amp;Result=3","7022361")</f>
        <v>0</v>
      </c>
      <c r="B10884" t="s">
        <v>2730</v>
      </c>
      <c r="C10884" t="s">
        <v>13582</v>
      </c>
      <c r="E10884" t="s">
        <v>27550</v>
      </c>
      <c r="F10884" t="s">
        <v>31574</v>
      </c>
      <c r="G10884" t="s">
        <v>31582</v>
      </c>
      <c r="H10884" t="s">
        <v>31590</v>
      </c>
      <c r="I10884" t="s">
        <v>7185</v>
      </c>
      <c r="J10884" t="s">
        <v>38470</v>
      </c>
      <c r="K10884" t="s">
        <v>41184</v>
      </c>
      <c r="M10884" t="s">
        <v>44501</v>
      </c>
      <c r="N10884" t="s">
        <v>45095</v>
      </c>
      <c r="O10884" t="s">
        <v>45096</v>
      </c>
      <c r="P10884">
        <v>0</v>
      </c>
      <c r="Q10884">
        <v>1</v>
      </c>
      <c r="R10884" t="s">
        <v>45109</v>
      </c>
      <c r="S10884" t="s">
        <v>45478</v>
      </c>
      <c r="T10884" t="s">
        <v>46963</v>
      </c>
      <c r="U10884" t="s">
        <v>56409</v>
      </c>
      <c r="V10884" t="s">
        <v>60945</v>
      </c>
      <c r="W10884" t="s">
        <v>44501</v>
      </c>
      <c r="X10884" t="s">
        <v>45111</v>
      </c>
    </row>
    <row r="10885" spans="1:24">
      <c r="A10885">
        <f>HYPERLINK("https://www.philgeps.gov.ph/GEPSNONPILOT/Tender/SplashBidNoticeAbstractUI.aspx?menuIndex=3&amp;refID=7022553&amp;Result=3","7022553")</f>
        <v>0</v>
      </c>
      <c r="B10885" t="s">
        <v>1663</v>
      </c>
      <c r="C10885" t="s">
        <v>13583</v>
      </c>
      <c r="D10885" t="s">
        <v>18033</v>
      </c>
      <c r="E10885" t="s">
        <v>27551</v>
      </c>
      <c r="F10885" t="s">
        <v>31574</v>
      </c>
      <c r="G10885" t="s">
        <v>31582</v>
      </c>
      <c r="H10885" t="s">
        <v>31591</v>
      </c>
      <c r="I10885" t="s">
        <v>8822</v>
      </c>
      <c r="J10885" t="s">
        <v>31730</v>
      </c>
      <c r="K10885" t="s">
        <v>41252</v>
      </c>
      <c r="M10885" t="s">
        <v>43275</v>
      </c>
      <c r="N10885" t="s">
        <v>45095</v>
      </c>
      <c r="O10885" t="s">
        <v>45096</v>
      </c>
      <c r="P10885">
        <v>0</v>
      </c>
      <c r="Q10885">
        <v>1</v>
      </c>
      <c r="R10885" t="s">
        <v>45109</v>
      </c>
      <c r="S10885" t="s">
        <v>45478</v>
      </c>
      <c r="T10885" t="s">
        <v>46933</v>
      </c>
      <c r="U10885" t="s">
        <v>56410</v>
      </c>
      <c r="W10885" t="s">
        <v>43275</v>
      </c>
      <c r="X10885" t="s">
        <v>45111</v>
      </c>
    </row>
    <row r="10886" spans="1:24">
      <c r="A10886">
        <f>HYPERLINK("https://www.philgeps.gov.ph/GEPSNONPILOT/Tender/SplashBidNoticeAbstractUI.aspx?menuIndex=3&amp;refID=7022474&amp;Result=3","7022474")</f>
        <v>0</v>
      </c>
      <c r="B10886" t="s">
        <v>1663</v>
      </c>
      <c r="C10886" t="s">
        <v>13584</v>
      </c>
      <c r="D10886" t="s">
        <v>18033</v>
      </c>
      <c r="E10886" t="s">
        <v>27552</v>
      </c>
      <c r="F10886" t="s">
        <v>31574</v>
      </c>
      <c r="G10886" t="s">
        <v>31582</v>
      </c>
      <c r="H10886" t="s">
        <v>31591</v>
      </c>
      <c r="I10886" t="s">
        <v>8822</v>
      </c>
      <c r="J10886" t="s">
        <v>32101</v>
      </c>
      <c r="K10886" t="s">
        <v>41274</v>
      </c>
      <c r="M10886" t="s">
        <v>43275</v>
      </c>
      <c r="N10886" t="s">
        <v>45095</v>
      </c>
      <c r="O10886" t="s">
        <v>45096</v>
      </c>
      <c r="P10886">
        <v>0</v>
      </c>
      <c r="Q10886">
        <v>0</v>
      </c>
      <c r="R10886" t="s">
        <v>45109</v>
      </c>
      <c r="S10886" t="s">
        <v>45478</v>
      </c>
      <c r="T10886" t="s">
        <v>46933</v>
      </c>
      <c r="U10886" t="s">
        <v>56411</v>
      </c>
      <c r="W10886" t="s">
        <v>43275</v>
      </c>
      <c r="X10886" t="s">
        <v>45111</v>
      </c>
    </row>
    <row r="10887" spans="1:24">
      <c r="A10887">
        <f>HYPERLINK("https://www.philgeps.gov.ph/GEPSNONPILOT/Tender/SplashBidNoticeAbstractUI.aspx?menuIndex=3&amp;refID=7022837&amp;Result=3","7022837")</f>
        <v>0</v>
      </c>
      <c r="B10887" t="s">
        <v>31</v>
      </c>
      <c r="C10887" t="s">
        <v>13585</v>
      </c>
      <c r="E10887" t="s">
        <v>27553</v>
      </c>
      <c r="F10887" t="s">
        <v>31574</v>
      </c>
      <c r="G10887" t="s">
        <v>31582</v>
      </c>
      <c r="H10887" t="s">
        <v>31590</v>
      </c>
      <c r="I10887" t="s">
        <v>8258</v>
      </c>
      <c r="J10887" t="s">
        <v>38471</v>
      </c>
      <c r="K10887" t="s">
        <v>41193</v>
      </c>
      <c r="M10887" t="s">
        <v>41518</v>
      </c>
      <c r="N10887" t="s">
        <v>45095</v>
      </c>
      <c r="O10887" t="s">
        <v>45096</v>
      </c>
      <c r="P10887">
        <v>0</v>
      </c>
      <c r="Q10887">
        <v>5</v>
      </c>
      <c r="R10887" t="s">
        <v>45109</v>
      </c>
      <c r="S10887" t="s">
        <v>45478</v>
      </c>
      <c r="T10887" t="s">
        <v>46991</v>
      </c>
      <c r="U10887" t="s">
        <v>56412</v>
      </c>
      <c r="W10887" t="s">
        <v>41518</v>
      </c>
      <c r="X10887" t="s">
        <v>45111</v>
      </c>
    </row>
    <row r="10888" spans="1:24">
      <c r="A10888">
        <f>HYPERLINK("https://www.philgeps.gov.ph/GEPSNONPILOT/Tender/SplashBidNoticeAbstractUI.aspx?menuIndex=3&amp;refID=7022507&amp;Result=3","7022507")</f>
        <v>0</v>
      </c>
      <c r="B10888" t="s">
        <v>1663</v>
      </c>
      <c r="C10888" t="s">
        <v>13586</v>
      </c>
      <c r="D10888" t="s">
        <v>18033</v>
      </c>
      <c r="E10888" t="s">
        <v>27554</v>
      </c>
      <c r="F10888" t="s">
        <v>31574</v>
      </c>
      <c r="G10888" t="s">
        <v>31582</v>
      </c>
      <c r="H10888" t="s">
        <v>31591</v>
      </c>
      <c r="I10888" t="s">
        <v>8822</v>
      </c>
      <c r="J10888" t="s">
        <v>31771</v>
      </c>
      <c r="K10888" t="s">
        <v>41192</v>
      </c>
      <c r="M10888" t="s">
        <v>43275</v>
      </c>
      <c r="N10888" t="s">
        <v>45095</v>
      </c>
      <c r="O10888" t="s">
        <v>45096</v>
      </c>
      <c r="P10888">
        <v>0</v>
      </c>
      <c r="Q10888">
        <v>0</v>
      </c>
      <c r="R10888" t="s">
        <v>45109</v>
      </c>
      <c r="S10888" t="s">
        <v>45478</v>
      </c>
      <c r="T10888" t="s">
        <v>46933</v>
      </c>
      <c r="U10888" t="s">
        <v>56413</v>
      </c>
      <c r="W10888" t="s">
        <v>43275</v>
      </c>
      <c r="X10888" t="s">
        <v>45111</v>
      </c>
    </row>
    <row r="10889" spans="1:24">
      <c r="A10889">
        <f>HYPERLINK("https://www.philgeps.gov.ph/GEPSNONPILOT/Tender/SplashBidNoticeAbstractUI.aspx?menuIndex=3&amp;refID=7022512&amp;Result=3","7022512")</f>
        <v>0</v>
      </c>
      <c r="B10889" t="s">
        <v>2730</v>
      </c>
      <c r="C10889" t="s">
        <v>13587</v>
      </c>
      <c r="E10889" t="s">
        <v>27555</v>
      </c>
      <c r="F10889" t="s">
        <v>31574</v>
      </c>
      <c r="G10889" t="s">
        <v>31583</v>
      </c>
      <c r="H10889" t="s">
        <v>31590</v>
      </c>
      <c r="I10889" t="s">
        <v>14544</v>
      </c>
      <c r="J10889" t="s">
        <v>38472</v>
      </c>
      <c r="K10889" t="s">
        <v>41184</v>
      </c>
      <c r="M10889" t="s">
        <v>44501</v>
      </c>
      <c r="N10889" t="s">
        <v>45095</v>
      </c>
      <c r="O10889" t="s">
        <v>45096</v>
      </c>
      <c r="P10889">
        <v>0</v>
      </c>
      <c r="Q10889">
        <v>0</v>
      </c>
      <c r="R10889" t="s">
        <v>45109</v>
      </c>
      <c r="S10889" t="s">
        <v>45478</v>
      </c>
      <c r="T10889" t="s">
        <v>46963</v>
      </c>
      <c r="U10889" t="s">
        <v>56414</v>
      </c>
      <c r="V10889" t="s">
        <v>60945</v>
      </c>
      <c r="W10889" t="s">
        <v>44501</v>
      </c>
      <c r="X10889" t="s">
        <v>45111</v>
      </c>
    </row>
    <row r="10890" spans="1:24">
      <c r="A10890">
        <f>HYPERLINK("https://www.philgeps.gov.ph/GEPSNONPILOT/Tender/SplashBidNoticeAbstractUI.aspx?menuIndex=3&amp;refID=7022780&amp;Result=3","7022780")</f>
        <v>0</v>
      </c>
      <c r="B10890" t="s">
        <v>31</v>
      </c>
      <c r="C10890" t="s">
        <v>13588</v>
      </c>
      <c r="E10890" t="s">
        <v>27556</v>
      </c>
      <c r="F10890" t="s">
        <v>31574</v>
      </c>
      <c r="G10890" t="s">
        <v>31582</v>
      </c>
      <c r="H10890" t="s">
        <v>31590</v>
      </c>
      <c r="I10890" t="s">
        <v>31615</v>
      </c>
      <c r="J10890" t="s">
        <v>32101</v>
      </c>
      <c r="K10890" t="s">
        <v>41189</v>
      </c>
      <c r="M10890" t="s">
        <v>41518</v>
      </c>
      <c r="N10890" t="s">
        <v>45095</v>
      </c>
      <c r="O10890" t="s">
        <v>45096</v>
      </c>
      <c r="P10890">
        <v>0</v>
      </c>
      <c r="Q10890">
        <v>5</v>
      </c>
      <c r="R10890" t="s">
        <v>45109</v>
      </c>
      <c r="S10890" t="s">
        <v>45478</v>
      </c>
      <c r="T10890" t="s">
        <v>46991</v>
      </c>
      <c r="U10890" t="s">
        <v>56415</v>
      </c>
      <c r="W10890" t="s">
        <v>41518</v>
      </c>
      <c r="X10890" t="s">
        <v>45111</v>
      </c>
    </row>
    <row r="10891" spans="1:24">
      <c r="A10891">
        <f>HYPERLINK("https://www.philgeps.gov.ph/GEPSNONPILOT/Tender/SplashBidNoticeAbstractUI.aspx?menuIndex=3&amp;refID=7022432&amp;Result=3","7022432")</f>
        <v>0</v>
      </c>
      <c r="B10891" t="s">
        <v>2782</v>
      </c>
      <c r="C10891" t="s">
        <v>13580</v>
      </c>
      <c r="D10891" t="s">
        <v>18102</v>
      </c>
      <c r="E10891" t="s">
        <v>27557</v>
      </c>
      <c r="F10891" t="s">
        <v>31574</v>
      </c>
      <c r="G10891" t="s">
        <v>31582</v>
      </c>
      <c r="H10891" t="s">
        <v>31590</v>
      </c>
      <c r="I10891" t="s">
        <v>31619</v>
      </c>
      <c r="J10891" t="s">
        <v>32436</v>
      </c>
      <c r="K10891" t="s">
        <v>41186</v>
      </c>
      <c r="M10891" t="s">
        <v>44557</v>
      </c>
      <c r="N10891" t="s">
        <v>45095</v>
      </c>
      <c r="O10891" t="s">
        <v>45096</v>
      </c>
      <c r="P10891">
        <v>0</v>
      </c>
      <c r="Q10891">
        <v>2</v>
      </c>
      <c r="R10891" t="s">
        <v>45109</v>
      </c>
      <c r="S10891" t="s">
        <v>45478</v>
      </c>
      <c r="T10891" t="s">
        <v>47159</v>
      </c>
      <c r="U10891" t="s">
        <v>56416</v>
      </c>
      <c r="W10891" t="s">
        <v>44557</v>
      </c>
      <c r="X10891" t="s">
        <v>45111</v>
      </c>
    </row>
    <row r="10892" spans="1:24">
      <c r="A10892">
        <f>HYPERLINK("https://www.philgeps.gov.ph/GEPSNONPILOT/Tender/SplashBidNoticeAbstractUI.aspx?menuIndex=3&amp;refID=7022640&amp;Result=3","7022640")</f>
        <v>0</v>
      </c>
      <c r="B10892" t="s">
        <v>31</v>
      </c>
      <c r="C10892" t="s">
        <v>13589</v>
      </c>
      <c r="E10892" t="s">
        <v>27558</v>
      </c>
      <c r="F10892" t="s">
        <v>31574</v>
      </c>
      <c r="G10892" t="s">
        <v>31582</v>
      </c>
      <c r="H10892" t="s">
        <v>31591</v>
      </c>
      <c r="I10892" t="s">
        <v>8822</v>
      </c>
      <c r="J10892" t="s">
        <v>38473</v>
      </c>
      <c r="K10892" t="s">
        <v>41422</v>
      </c>
      <c r="M10892" t="s">
        <v>41518</v>
      </c>
      <c r="N10892" t="s">
        <v>45095</v>
      </c>
      <c r="O10892" t="s">
        <v>45096</v>
      </c>
      <c r="P10892">
        <v>0</v>
      </c>
      <c r="Q10892">
        <v>2</v>
      </c>
      <c r="R10892" t="s">
        <v>45109</v>
      </c>
      <c r="S10892" t="s">
        <v>45478</v>
      </c>
      <c r="T10892" t="s">
        <v>46991</v>
      </c>
      <c r="U10892" t="s">
        <v>56417</v>
      </c>
      <c r="W10892" t="s">
        <v>41518</v>
      </c>
      <c r="X10892" t="s">
        <v>45111</v>
      </c>
    </row>
    <row r="10893" spans="1:24">
      <c r="A10893">
        <f>HYPERLINK("https://www.philgeps.gov.ph/GEPSNONPILOT/Tender/SplashBidNoticeAbstractUI.aspx?menuIndex=3&amp;refID=7022737&amp;Result=3","7022737")</f>
        <v>0</v>
      </c>
      <c r="B10893" t="s">
        <v>2782</v>
      </c>
      <c r="C10893" t="s">
        <v>13590</v>
      </c>
      <c r="D10893" t="s">
        <v>18102</v>
      </c>
      <c r="E10893" t="s">
        <v>27559</v>
      </c>
      <c r="F10893" t="s">
        <v>31574</v>
      </c>
      <c r="G10893" t="s">
        <v>31582</v>
      </c>
      <c r="H10893" t="s">
        <v>31590</v>
      </c>
      <c r="I10893" t="s">
        <v>31608</v>
      </c>
      <c r="J10893" t="s">
        <v>38474</v>
      </c>
      <c r="K10893" t="s">
        <v>41186</v>
      </c>
      <c r="M10893" t="s">
        <v>44557</v>
      </c>
      <c r="N10893" t="s">
        <v>45095</v>
      </c>
      <c r="O10893" t="s">
        <v>45096</v>
      </c>
      <c r="P10893">
        <v>0</v>
      </c>
      <c r="Q10893">
        <v>1</v>
      </c>
      <c r="R10893" t="s">
        <v>45109</v>
      </c>
      <c r="S10893" t="s">
        <v>45478</v>
      </c>
      <c r="T10893" t="s">
        <v>47159</v>
      </c>
      <c r="U10893" t="s">
        <v>56418</v>
      </c>
      <c r="W10893" t="s">
        <v>44557</v>
      </c>
      <c r="X10893" t="s">
        <v>45111</v>
      </c>
    </row>
    <row r="10894" spans="1:24">
      <c r="A10894">
        <f>HYPERLINK("https://www.philgeps.gov.ph/GEPSNONPILOT/Tender/SplashBidNoticeAbstractUI.aspx?menuIndex=3&amp;refID=7022613&amp;Result=3","7022613")</f>
        <v>0</v>
      </c>
      <c r="B10894" t="s">
        <v>1663</v>
      </c>
      <c r="C10894" t="s">
        <v>13591</v>
      </c>
      <c r="D10894" t="s">
        <v>18033</v>
      </c>
      <c r="E10894" t="s">
        <v>27560</v>
      </c>
      <c r="F10894" t="s">
        <v>31574</v>
      </c>
      <c r="G10894" t="s">
        <v>31582</v>
      </c>
      <c r="H10894" t="s">
        <v>31591</v>
      </c>
      <c r="I10894" t="s">
        <v>8822</v>
      </c>
      <c r="J10894" t="s">
        <v>31771</v>
      </c>
      <c r="K10894" t="s">
        <v>41192</v>
      </c>
      <c r="M10894" t="s">
        <v>43275</v>
      </c>
      <c r="N10894" t="s">
        <v>45095</v>
      </c>
      <c r="O10894" t="s">
        <v>45096</v>
      </c>
      <c r="P10894">
        <v>0</v>
      </c>
      <c r="Q10894">
        <v>0</v>
      </c>
      <c r="R10894" t="s">
        <v>45109</v>
      </c>
      <c r="S10894" t="s">
        <v>45478</v>
      </c>
      <c r="T10894" t="s">
        <v>46933</v>
      </c>
      <c r="U10894" t="s">
        <v>56419</v>
      </c>
      <c r="W10894" t="s">
        <v>43275</v>
      </c>
      <c r="X10894" t="s">
        <v>45111</v>
      </c>
    </row>
    <row r="10895" spans="1:24">
      <c r="A10895">
        <f>HYPERLINK("https://www.philgeps.gov.ph/GEPSNONPILOT/Tender/SplashBidNoticeAbstractUI.aspx?menuIndex=3&amp;refID=7022857&amp;Result=3","7022857")</f>
        <v>0</v>
      </c>
      <c r="B10895" t="s">
        <v>201</v>
      </c>
      <c r="C10895" t="s">
        <v>5975</v>
      </c>
      <c r="D10895" t="s">
        <v>18045</v>
      </c>
      <c r="E10895" t="s">
        <v>27561</v>
      </c>
      <c r="F10895" t="s">
        <v>31574</v>
      </c>
      <c r="G10895" t="s">
        <v>31582</v>
      </c>
      <c r="H10895" t="s">
        <v>31590</v>
      </c>
      <c r="I10895" t="s">
        <v>31605</v>
      </c>
      <c r="J10895" t="s">
        <v>38475</v>
      </c>
      <c r="K10895" t="s">
        <v>41184</v>
      </c>
      <c r="M10895" t="s">
        <v>41686</v>
      </c>
      <c r="N10895" t="s">
        <v>45095</v>
      </c>
      <c r="O10895" t="s">
        <v>45096</v>
      </c>
      <c r="P10895">
        <v>0</v>
      </c>
      <c r="Q10895">
        <v>0</v>
      </c>
      <c r="R10895" t="s">
        <v>45109</v>
      </c>
      <c r="S10895" t="s">
        <v>45478</v>
      </c>
      <c r="T10895" t="s">
        <v>47097</v>
      </c>
      <c r="U10895" t="s">
        <v>56420</v>
      </c>
      <c r="V10895" t="s">
        <v>61002</v>
      </c>
      <c r="W10895" t="s">
        <v>41686</v>
      </c>
      <c r="X10895" t="s">
        <v>45111</v>
      </c>
    </row>
    <row r="10896" spans="1:24">
      <c r="A10896">
        <f>HYPERLINK("https://www.philgeps.gov.ph/GEPSNONPILOT/Tender/SplashBidNoticeAbstractUI.aspx?menuIndex=3&amp;refID=7022755&amp;Result=3","7022755")</f>
        <v>0</v>
      </c>
      <c r="B10896" t="s">
        <v>31</v>
      </c>
      <c r="C10896" t="s">
        <v>13592</v>
      </c>
      <c r="E10896" t="s">
        <v>27562</v>
      </c>
      <c r="F10896" t="s">
        <v>31574</v>
      </c>
      <c r="G10896" t="s">
        <v>31582</v>
      </c>
      <c r="H10896" t="s">
        <v>31590</v>
      </c>
      <c r="I10896" t="s">
        <v>31605</v>
      </c>
      <c r="J10896" t="s">
        <v>38476</v>
      </c>
      <c r="K10896" t="s">
        <v>41193</v>
      </c>
      <c r="M10896" t="s">
        <v>41518</v>
      </c>
      <c r="N10896" t="s">
        <v>45095</v>
      </c>
      <c r="O10896" t="s">
        <v>45096</v>
      </c>
      <c r="P10896">
        <v>0</v>
      </c>
      <c r="Q10896">
        <v>1</v>
      </c>
      <c r="R10896" t="s">
        <v>45109</v>
      </c>
      <c r="S10896" t="s">
        <v>45478</v>
      </c>
      <c r="T10896" t="s">
        <v>46991</v>
      </c>
      <c r="U10896" t="s">
        <v>56421</v>
      </c>
      <c r="W10896" t="s">
        <v>41518</v>
      </c>
      <c r="X10896" t="s">
        <v>45111</v>
      </c>
    </row>
    <row r="10897" spans="1:24">
      <c r="A10897">
        <f>HYPERLINK("https://www.philgeps.gov.ph/GEPSNONPILOT/Tender/SplashBidNoticeAbstractUI.aspx?menuIndex=3&amp;refID=7022575&amp;Result=3","7022575")</f>
        <v>0</v>
      </c>
      <c r="B10897" t="s">
        <v>179</v>
      </c>
      <c r="C10897" t="s">
        <v>13593</v>
      </c>
      <c r="D10897" t="s">
        <v>18101</v>
      </c>
      <c r="E10897" t="s">
        <v>27563</v>
      </c>
      <c r="F10897" t="s">
        <v>31574</v>
      </c>
      <c r="G10897" t="s">
        <v>31585</v>
      </c>
      <c r="H10897" t="s">
        <v>31590</v>
      </c>
      <c r="I10897" t="s">
        <v>4046</v>
      </c>
      <c r="J10897" t="s">
        <v>38477</v>
      </c>
      <c r="K10897" t="s">
        <v>41186</v>
      </c>
      <c r="M10897" t="s">
        <v>41664</v>
      </c>
      <c r="N10897" t="s">
        <v>45095</v>
      </c>
      <c r="O10897" t="s">
        <v>45096</v>
      </c>
      <c r="P10897">
        <v>0</v>
      </c>
      <c r="Q10897">
        <v>0</v>
      </c>
      <c r="R10897" t="s">
        <v>45109</v>
      </c>
      <c r="S10897" t="s">
        <v>45478</v>
      </c>
      <c r="T10897" t="s">
        <v>46992</v>
      </c>
      <c r="U10897" t="s">
        <v>56422</v>
      </c>
      <c r="V10897" t="s">
        <v>60988</v>
      </c>
      <c r="W10897" t="s">
        <v>41664</v>
      </c>
      <c r="X10897" t="s">
        <v>45111</v>
      </c>
    </row>
    <row r="10898" spans="1:24">
      <c r="A10898">
        <f>HYPERLINK("https://www.philgeps.gov.ph/GEPSNONPILOT/Tender/SplashBidNoticeAbstractUI.aspx?menuIndex=3&amp;refID=7022606&amp;Result=3","7022606")</f>
        <v>0</v>
      </c>
      <c r="B10898" t="s">
        <v>2730</v>
      </c>
      <c r="C10898" t="s">
        <v>13594</v>
      </c>
      <c r="E10898" t="s">
        <v>27564</v>
      </c>
      <c r="F10898" t="s">
        <v>31574</v>
      </c>
      <c r="G10898" t="s">
        <v>31583</v>
      </c>
      <c r="H10898" t="s">
        <v>31590</v>
      </c>
      <c r="I10898" t="s">
        <v>14544</v>
      </c>
      <c r="J10898" t="s">
        <v>38478</v>
      </c>
      <c r="K10898" t="s">
        <v>41184</v>
      </c>
      <c r="M10898" t="s">
        <v>44501</v>
      </c>
      <c r="N10898" t="s">
        <v>45095</v>
      </c>
      <c r="O10898" t="s">
        <v>45096</v>
      </c>
      <c r="P10898">
        <v>0</v>
      </c>
      <c r="Q10898">
        <v>0</v>
      </c>
      <c r="R10898" t="s">
        <v>45109</v>
      </c>
      <c r="S10898" t="s">
        <v>45478</v>
      </c>
      <c r="T10898" t="s">
        <v>46963</v>
      </c>
      <c r="U10898" t="s">
        <v>56423</v>
      </c>
      <c r="V10898" t="s">
        <v>60945</v>
      </c>
      <c r="W10898" t="s">
        <v>44501</v>
      </c>
      <c r="X10898" t="s">
        <v>45111</v>
      </c>
    </row>
    <row r="10899" spans="1:24">
      <c r="A10899">
        <f>HYPERLINK("https://www.philgeps.gov.ph/GEPSNONPILOT/Tender/SplashBidNoticeAbstractUI.aspx?menuIndex=3&amp;refID=7022593&amp;Result=3","7022593")</f>
        <v>0</v>
      </c>
      <c r="B10899" t="s">
        <v>1663</v>
      </c>
      <c r="C10899" t="s">
        <v>13595</v>
      </c>
      <c r="D10899" t="s">
        <v>18033</v>
      </c>
      <c r="E10899" t="s">
        <v>27565</v>
      </c>
      <c r="F10899" t="s">
        <v>31574</v>
      </c>
      <c r="G10899" t="s">
        <v>31582</v>
      </c>
      <c r="H10899" t="s">
        <v>31591</v>
      </c>
      <c r="I10899" t="s">
        <v>8822</v>
      </c>
      <c r="J10899" t="s">
        <v>31730</v>
      </c>
      <c r="K10899" t="s">
        <v>41252</v>
      </c>
      <c r="M10899" t="s">
        <v>43275</v>
      </c>
      <c r="N10899" t="s">
        <v>45095</v>
      </c>
      <c r="O10899" t="s">
        <v>45096</v>
      </c>
      <c r="P10899">
        <v>0</v>
      </c>
      <c r="Q10899">
        <v>1</v>
      </c>
      <c r="R10899" t="s">
        <v>45109</v>
      </c>
      <c r="S10899" t="s">
        <v>45478</v>
      </c>
      <c r="T10899" t="s">
        <v>46933</v>
      </c>
      <c r="U10899" t="s">
        <v>56424</v>
      </c>
      <c r="W10899" t="s">
        <v>43275</v>
      </c>
      <c r="X10899" t="s">
        <v>45111</v>
      </c>
    </row>
    <row r="10900" spans="1:24">
      <c r="A10900">
        <f>HYPERLINK("https://www.philgeps.gov.ph/GEPSNONPILOT/Tender/SplashBidNoticeAbstractUI.aspx?menuIndex=3&amp;refID=7022612&amp;Result=3","7022612")</f>
        <v>0</v>
      </c>
      <c r="B10900" t="s">
        <v>2782</v>
      </c>
      <c r="C10900" t="s">
        <v>13596</v>
      </c>
      <c r="D10900" t="s">
        <v>18102</v>
      </c>
      <c r="E10900" t="s">
        <v>27566</v>
      </c>
      <c r="F10900" t="s">
        <v>31574</v>
      </c>
      <c r="G10900" t="s">
        <v>31582</v>
      </c>
      <c r="H10900" t="s">
        <v>31590</v>
      </c>
      <c r="I10900" t="s">
        <v>31637</v>
      </c>
      <c r="J10900" t="s">
        <v>31727</v>
      </c>
      <c r="K10900" t="s">
        <v>41186</v>
      </c>
      <c r="M10900" t="s">
        <v>44557</v>
      </c>
      <c r="N10900" t="s">
        <v>45095</v>
      </c>
      <c r="O10900" t="s">
        <v>45096</v>
      </c>
      <c r="P10900">
        <v>0</v>
      </c>
      <c r="Q10900">
        <v>1</v>
      </c>
      <c r="R10900" t="s">
        <v>45109</v>
      </c>
      <c r="S10900" t="s">
        <v>45478</v>
      </c>
      <c r="T10900" t="s">
        <v>47159</v>
      </c>
      <c r="U10900" t="s">
        <v>56425</v>
      </c>
      <c r="W10900" t="s">
        <v>44557</v>
      </c>
      <c r="X10900" t="s">
        <v>45111</v>
      </c>
    </row>
    <row r="10901" spans="1:24">
      <c r="A10901">
        <f>HYPERLINK("https://www.philgeps.gov.ph/GEPSNONPILOT/Tender/SplashBidNoticeAbstractUI.aspx?menuIndex=3&amp;refID=7022939&amp;Result=3","7022939")</f>
        <v>0</v>
      </c>
      <c r="B10901" t="s">
        <v>1119</v>
      </c>
      <c r="C10901" t="s">
        <v>13597</v>
      </c>
      <c r="D10901" t="s">
        <v>18025</v>
      </c>
      <c r="E10901" t="s">
        <v>27567</v>
      </c>
      <c r="F10901" t="s">
        <v>31574</v>
      </c>
      <c r="G10901" t="s">
        <v>31582</v>
      </c>
      <c r="H10901" t="s">
        <v>31591</v>
      </c>
      <c r="I10901" t="s">
        <v>8822</v>
      </c>
      <c r="J10901" t="s">
        <v>38479</v>
      </c>
      <c r="K10901" t="s">
        <v>41266</v>
      </c>
      <c r="M10901" t="s">
        <v>42669</v>
      </c>
      <c r="N10901" t="s">
        <v>45095</v>
      </c>
      <c r="O10901" t="s">
        <v>45096</v>
      </c>
      <c r="P10901">
        <v>0</v>
      </c>
      <c r="Q10901">
        <v>2</v>
      </c>
      <c r="R10901" t="s">
        <v>45109</v>
      </c>
      <c r="S10901" t="s">
        <v>45478</v>
      </c>
      <c r="T10901" t="s">
        <v>46926</v>
      </c>
      <c r="U10901" t="s">
        <v>56426</v>
      </c>
      <c r="W10901" t="s">
        <v>42669</v>
      </c>
      <c r="X10901" t="s">
        <v>45111</v>
      </c>
    </row>
    <row r="10902" spans="1:24">
      <c r="A10902">
        <f>HYPERLINK("https://www.philgeps.gov.ph/GEPSNONPILOT/Tender/SplashBidNoticeAbstractUI.aspx?menuIndex=3&amp;refID=7022571&amp;Result=3","7022571")</f>
        <v>0</v>
      </c>
      <c r="B10902" t="s">
        <v>1663</v>
      </c>
      <c r="C10902" t="s">
        <v>13598</v>
      </c>
      <c r="D10902" t="s">
        <v>18033</v>
      </c>
      <c r="E10902" t="s">
        <v>27568</v>
      </c>
      <c r="F10902" t="s">
        <v>31574</v>
      </c>
      <c r="G10902" t="s">
        <v>31582</v>
      </c>
      <c r="H10902" t="s">
        <v>31591</v>
      </c>
      <c r="I10902" t="s">
        <v>8822</v>
      </c>
      <c r="J10902" t="s">
        <v>31771</v>
      </c>
      <c r="K10902" t="s">
        <v>41189</v>
      </c>
      <c r="M10902" t="s">
        <v>43275</v>
      </c>
      <c r="N10902" t="s">
        <v>45095</v>
      </c>
      <c r="O10902" t="s">
        <v>45096</v>
      </c>
      <c r="P10902">
        <v>0</v>
      </c>
      <c r="Q10902">
        <v>0</v>
      </c>
      <c r="R10902" t="s">
        <v>45109</v>
      </c>
      <c r="S10902" t="s">
        <v>45478</v>
      </c>
      <c r="T10902" t="s">
        <v>46933</v>
      </c>
      <c r="U10902" t="s">
        <v>56427</v>
      </c>
      <c r="W10902" t="s">
        <v>43275</v>
      </c>
      <c r="X10902" t="s">
        <v>45111</v>
      </c>
    </row>
    <row r="10903" spans="1:24">
      <c r="A10903">
        <f>HYPERLINK("https://www.philgeps.gov.ph/GEPSNONPILOT/Tender/SplashBidNoticeAbstractUI.aspx?menuIndex=3&amp;refID=7023375&amp;Result=3","7023375")</f>
        <v>0</v>
      </c>
      <c r="B10903" t="s">
        <v>201</v>
      </c>
      <c r="C10903" t="s">
        <v>13599</v>
      </c>
      <c r="D10903" t="s">
        <v>18045</v>
      </c>
      <c r="E10903" t="s">
        <v>27569</v>
      </c>
      <c r="F10903" t="s">
        <v>31574</v>
      </c>
      <c r="G10903" t="s">
        <v>31582</v>
      </c>
      <c r="H10903" t="s">
        <v>31590</v>
      </c>
      <c r="I10903" t="s">
        <v>31598</v>
      </c>
      <c r="J10903" t="s">
        <v>33408</v>
      </c>
      <c r="K10903" t="s">
        <v>41184</v>
      </c>
      <c r="M10903" t="s">
        <v>41970</v>
      </c>
      <c r="N10903" t="s">
        <v>45095</v>
      </c>
      <c r="O10903" t="s">
        <v>45096</v>
      </c>
      <c r="P10903">
        <v>0</v>
      </c>
      <c r="Q10903">
        <v>7</v>
      </c>
      <c r="R10903" t="s">
        <v>45109</v>
      </c>
      <c r="S10903" t="s">
        <v>45478</v>
      </c>
      <c r="T10903" t="s">
        <v>47097</v>
      </c>
      <c r="U10903" t="s">
        <v>56428</v>
      </c>
      <c r="V10903" t="s">
        <v>61003</v>
      </c>
      <c r="W10903" t="s">
        <v>41970</v>
      </c>
      <c r="X10903" t="s">
        <v>45111</v>
      </c>
    </row>
    <row r="10904" spans="1:24">
      <c r="A10904">
        <f>HYPERLINK("https://www.philgeps.gov.ph/GEPSNONPILOT/Tender/SplashBidNoticeAbstractUI.aspx?menuIndex=3&amp;refID=7023453&amp;Result=3","7023453")</f>
        <v>0</v>
      </c>
      <c r="B10904" t="s">
        <v>201</v>
      </c>
      <c r="C10904" t="s">
        <v>13599</v>
      </c>
      <c r="D10904" t="s">
        <v>18045</v>
      </c>
      <c r="E10904" t="s">
        <v>27570</v>
      </c>
      <c r="F10904" t="s">
        <v>31574</v>
      </c>
      <c r="G10904" t="s">
        <v>31582</v>
      </c>
      <c r="H10904" t="s">
        <v>31590</v>
      </c>
      <c r="I10904" t="s">
        <v>31598</v>
      </c>
      <c r="J10904" t="s">
        <v>32120</v>
      </c>
      <c r="K10904" t="s">
        <v>41184</v>
      </c>
      <c r="M10904" t="s">
        <v>41970</v>
      </c>
      <c r="N10904" t="s">
        <v>45095</v>
      </c>
      <c r="O10904" t="s">
        <v>45096</v>
      </c>
      <c r="P10904">
        <v>0</v>
      </c>
      <c r="Q10904">
        <v>10</v>
      </c>
      <c r="R10904" t="s">
        <v>45109</v>
      </c>
      <c r="S10904" t="s">
        <v>45478</v>
      </c>
      <c r="T10904" t="s">
        <v>47097</v>
      </c>
      <c r="U10904" t="s">
        <v>56428</v>
      </c>
      <c r="V10904" t="s">
        <v>61003</v>
      </c>
      <c r="W10904" t="s">
        <v>41970</v>
      </c>
      <c r="X10904" t="s">
        <v>45111</v>
      </c>
    </row>
    <row r="10905" spans="1:24">
      <c r="A10905">
        <f>HYPERLINK("https://www.philgeps.gov.ph/GEPSNONPILOT/Tender/SplashBidNoticeAbstractUI.aspx?menuIndex=3&amp;refID=7023394&amp;Result=3","7023394")</f>
        <v>0</v>
      </c>
      <c r="B10905" t="s">
        <v>2782</v>
      </c>
      <c r="C10905" t="s">
        <v>13600</v>
      </c>
      <c r="D10905" t="s">
        <v>18102</v>
      </c>
      <c r="E10905" t="s">
        <v>27571</v>
      </c>
      <c r="F10905" t="s">
        <v>31574</v>
      </c>
      <c r="G10905" t="s">
        <v>31582</v>
      </c>
      <c r="H10905" t="s">
        <v>31590</v>
      </c>
      <c r="I10905" t="s">
        <v>6800</v>
      </c>
      <c r="J10905" t="s">
        <v>38480</v>
      </c>
      <c r="K10905" t="s">
        <v>41186</v>
      </c>
      <c r="M10905" t="s">
        <v>44557</v>
      </c>
      <c r="N10905" t="s">
        <v>45095</v>
      </c>
      <c r="O10905" t="s">
        <v>45096</v>
      </c>
      <c r="P10905">
        <v>0</v>
      </c>
      <c r="Q10905">
        <v>0</v>
      </c>
      <c r="R10905" t="s">
        <v>45109</v>
      </c>
      <c r="S10905" t="s">
        <v>45478</v>
      </c>
      <c r="T10905" t="s">
        <v>47159</v>
      </c>
      <c r="U10905" t="s">
        <v>56429</v>
      </c>
      <c r="W10905" t="s">
        <v>44557</v>
      </c>
      <c r="X10905" t="s">
        <v>45111</v>
      </c>
    </row>
    <row r="10906" spans="1:24">
      <c r="A10906">
        <f>HYPERLINK("https://www.philgeps.gov.ph/GEPSNONPILOT/Tender/SplashBidNoticeAbstractUI.aspx?menuIndex=3&amp;refID=7023487&amp;Result=3","7023487")</f>
        <v>0</v>
      </c>
      <c r="B10906" t="s">
        <v>2787</v>
      </c>
      <c r="C10906" t="s">
        <v>13601</v>
      </c>
      <c r="D10906" t="s">
        <v>18058</v>
      </c>
      <c r="E10906" t="s">
        <v>27572</v>
      </c>
      <c r="F10906" t="s">
        <v>31574</v>
      </c>
      <c r="G10906" t="s">
        <v>31582</v>
      </c>
      <c r="H10906" t="s">
        <v>31590</v>
      </c>
      <c r="I10906" t="s">
        <v>4327</v>
      </c>
      <c r="J10906" t="s">
        <v>38481</v>
      </c>
      <c r="K10906" t="s">
        <v>41196</v>
      </c>
      <c r="M10906" t="s">
        <v>44562</v>
      </c>
      <c r="N10906" t="s">
        <v>45095</v>
      </c>
      <c r="O10906" t="s">
        <v>45096</v>
      </c>
      <c r="P10906">
        <v>0</v>
      </c>
      <c r="Q10906">
        <v>6</v>
      </c>
      <c r="R10906" t="s">
        <v>45109</v>
      </c>
      <c r="S10906" t="s">
        <v>45478</v>
      </c>
      <c r="T10906" t="s">
        <v>46910</v>
      </c>
      <c r="U10906" t="s">
        <v>56430</v>
      </c>
      <c r="W10906" t="s">
        <v>44562</v>
      </c>
      <c r="X10906" t="s">
        <v>45111</v>
      </c>
    </row>
    <row r="10907" spans="1:24">
      <c r="A10907">
        <f>HYPERLINK("https://www.philgeps.gov.ph/GEPSNONPILOT/Tender/SplashBidNoticeAbstractUI.aspx?menuIndex=3&amp;refID=7023244&amp;Result=3","7023244")</f>
        <v>0</v>
      </c>
      <c r="B10907" t="s">
        <v>201</v>
      </c>
      <c r="C10907" t="s">
        <v>13599</v>
      </c>
      <c r="D10907" t="s">
        <v>18045</v>
      </c>
      <c r="E10907" t="s">
        <v>27573</v>
      </c>
      <c r="F10907" t="s">
        <v>31574</v>
      </c>
      <c r="G10907" t="s">
        <v>31582</v>
      </c>
      <c r="H10907" t="s">
        <v>31590</v>
      </c>
      <c r="I10907" t="s">
        <v>31598</v>
      </c>
      <c r="J10907" t="s">
        <v>37937</v>
      </c>
      <c r="K10907" t="s">
        <v>41184</v>
      </c>
      <c r="M10907" t="s">
        <v>41970</v>
      </c>
      <c r="N10907" t="s">
        <v>45095</v>
      </c>
      <c r="O10907" t="s">
        <v>45096</v>
      </c>
      <c r="P10907">
        <v>0</v>
      </c>
      <c r="Q10907">
        <v>5</v>
      </c>
      <c r="R10907" t="s">
        <v>45109</v>
      </c>
      <c r="S10907" t="s">
        <v>45478</v>
      </c>
      <c r="T10907" t="s">
        <v>47097</v>
      </c>
      <c r="U10907" t="s">
        <v>56428</v>
      </c>
      <c r="V10907" t="s">
        <v>61003</v>
      </c>
      <c r="W10907" t="s">
        <v>41970</v>
      </c>
      <c r="X10907" t="s">
        <v>45111</v>
      </c>
    </row>
    <row r="10908" spans="1:24">
      <c r="A10908">
        <f>HYPERLINK("https://www.philgeps.gov.ph/GEPSNONPILOT/Tender/SplashBidNoticeAbstractUI.aspx?menuIndex=3&amp;refID=7023349&amp;Result=3","7023349")</f>
        <v>0</v>
      </c>
      <c r="B10908" t="s">
        <v>179</v>
      </c>
      <c r="C10908" t="s">
        <v>13602</v>
      </c>
      <c r="D10908" t="s">
        <v>18101</v>
      </c>
      <c r="E10908" t="s">
        <v>27574</v>
      </c>
      <c r="F10908" t="s">
        <v>31574</v>
      </c>
      <c r="G10908" t="s">
        <v>31582</v>
      </c>
      <c r="H10908" t="s">
        <v>31590</v>
      </c>
      <c r="I10908" t="s">
        <v>31644</v>
      </c>
      <c r="J10908" t="s">
        <v>38482</v>
      </c>
      <c r="K10908" t="s">
        <v>41186</v>
      </c>
      <c r="M10908" t="s">
        <v>41664</v>
      </c>
      <c r="N10908" t="s">
        <v>45095</v>
      </c>
      <c r="O10908" t="s">
        <v>45096</v>
      </c>
      <c r="P10908">
        <v>0</v>
      </c>
      <c r="Q10908">
        <v>1</v>
      </c>
      <c r="R10908" t="s">
        <v>45109</v>
      </c>
      <c r="S10908" t="s">
        <v>45478</v>
      </c>
      <c r="T10908" t="s">
        <v>46992</v>
      </c>
      <c r="U10908" t="s">
        <v>56431</v>
      </c>
      <c r="V10908" t="s">
        <v>61004</v>
      </c>
      <c r="W10908" t="s">
        <v>41664</v>
      </c>
      <c r="X10908" t="s">
        <v>45111</v>
      </c>
    </row>
    <row r="10909" spans="1:24">
      <c r="A10909">
        <f>HYPERLINK("https://www.philgeps.gov.ph/GEPSNONPILOT/Tender/SplashBidNoticeAbstractUI.aspx?menuIndex=3&amp;refID=7023399&amp;Result=3","7023399")</f>
        <v>0</v>
      </c>
      <c r="B10909" t="s">
        <v>201</v>
      </c>
      <c r="C10909" t="s">
        <v>13603</v>
      </c>
      <c r="D10909" t="s">
        <v>18045</v>
      </c>
      <c r="E10909" t="s">
        <v>27575</v>
      </c>
      <c r="F10909" t="s">
        <v>31574</v>
      </c>
      <c r="G10909" t="s">
        <v>31582</v>
      </c>
      <c r="H10909" t="s">
        <v>31590</v>
      </c>
      <c r="I10909" t="s">
        <v>31594</v>
      </c>
      <c r="J10909" t="s">
        <v>38483</v>
      </c>
      <c r="K10909" t="s">
        <v>41184</v>
      </c>
      <c r="M10909" t="s">
        <v>41970</v>
      </c>
      <c r="N10909" t="s">
        <v>45095</v>
      </c>
      <c r="O10909" t="s">
        <v>45096</v>
      </c>
      <c r="P10909">
        <v>0</v>
      </c>
      <c r="Q10909">
        <v>13</v>
      </c>
      <c r="R10909" t="s">
        <v>45109</v>
      </c>
      <c r="S10909" t="s">
        <v>45478</v>
      </c>
      <c r="T10909" t="s">
        <v>47097</v>
      </c>
      <c r="U10909" t="s">
        <v>56428</v>
      </c>
      <c r="V10909" t="s">
        <v>61005</v>
      </c>
      <c r="W10909" t="s">
        <v>41970</v>
      </c>
      <c r="X10909" t="s">
        <v>45111</v>
      </c>
    </row>
    <row r="10910" spans="1:24">
      <c r="A10910">
        <f>HYPERLINK("https://www.philgeps.gov.ph/GEPSNONPILOT/Tender/SplashBidNoticeAbstractUI.aspx?menuIndex=3&amp;refID=7023335&amp;Result=3","7023335")</f>
        <v>0</v>
      </c>
      <c r="B10910" t="s">
        <v>201</v>
      </c>
      <c r="C10910" t="s">
        <v>13599</v>
      </c>
      <c r="D10910" t="s">
        <v>18045</v>
      </c>
      <c r="E10910" t="s">
        <v>27576</v>
      </c>
      <c r="F10910" t="s">
        <v>31574</v>
      </c>
      <c r="G10910" t="s">
        <v>31582</v>
      </c>
      <c r="H10910" t="s">
        <v>31590</v>
      </c>
      <c r="I10910" t="s">
        <v>31598</v>
      </c>
      <c r="J10910" t="s">
        <v>31947</v>
      </c>
      <c r="K10910" t="s">
        <v>41184</v>
      </c>
      <c r="M10910" t="s">
        <v>41970</v>
      </c>
      <c r="N10910" t="s">
        <v>45095</v>
      </c>
      <c r="O10910" t="s">
        <v>45096</v>
      </c>
      <c r="P10910">
        <v>0</v>
      </c>
      <c r="Q10910">
        <v>6</v>
      </c>
      <c r="R10910" t="s">
        <v>45109</v>
      </c>
      <c r="S10910" t="s">
        <v>45478</v>
      </c>
      <c r="T10910" t="s">
        <v>47097</v>
      </c>
      <c r="U10910" t="s">
        <v>56428</v>
      </c>
      <c r="V10910" t="s">
        <v>61003</v>
      </c>
      <c r="W10910" t="s">
        <v>41970</v>
      </c>
      <c r="X10910" t="s">
        <v>45111</v>
      </c>
    </row>
    <row r="10911" spans="1:24">
      <c r="A10911">
        <f>HYPERLINK("https://www.philgeps.gov.ph/GEPSNONPILOT/Tender/SplashBidNoticeAbstractUI.aspx?menuIndex=3&amp;refID=7023215&amp;Result=3","7023215")</f>
        <v>0</v>
      </c>
      <c r="B10911" t="s">
        <v>2782</v>
      </c>
      <c r="C10911" t="s">
        <v>13604</v>
      </c>
      <c r="D10911" t="s">
        <v>18102</v>
      </c>
      <c r="E10911" t="s">
        <v>27577</v>
      </c>
      <c r="F10911" t="s">
        <v>31574</v>
      </c>
      <c r="G10911" t="s">
        <v>31582</v>
      </c>
      <c r="H10911" t="s">
        <v>31590</v>
      </c>
      <c r="I10911" t="s">
        <v>4354</v>
      </c>
      <c r="J10911" t="s">
        <v>38484</v>
      </c>
      <c r="K10911" t="s">
        <v>41186</v>
      </c>
      <c r="M10911" t="s">
        <v>44557</v>
      </c>
      <c r="N10911" t="s">
        <v>45095</v>
      </c>
      <c r="O10911" t="s">
        <v>45096</v>
      </c>
      <c r="P10911">
        <v>0</v>
      </c>
      <c r="Q10911">
        <v>0</v>
      </c>
      <c r="R10911" t="s">
        <v>45109</v>
      </c>
      <c r="S10911" t="s">
        <v>45478</v>
      </c>
      <c r="T10911" t="s">
        <v>47159</v>
      </c>
      <c r="U10911" t="s">
        <v>56432</v>
      </c>
      <c r="W10911" t="s">
        <v>44557</v>
      </c>
      <c r="X10911" t="s">
        <v>45111</v>
      </c>
    </row>
    <row r="10912" spans="1:24">
      <c r="A10912">
        <f>HYPERLINK("https://www.philgeps.gov.ph/GEPSNONPILOT/Tender/SplashBidNoticeAbstractUI.aspx?menuIndex=3&amp;refID=7023019&amp;Result=3","7023019")</f>
        <v>0</v>
      </c>
      <c r="B10912" t="s">
        <v>1663</v>
      </c>
      <c r="C10912" t="s">
        <v>13605</v>
      </c>
      <c r="D10912" t="s">
        <v>18033</v>
      </c>
      <c r="E10912" t="s">
        <v>27578</v>
      </c>
      <c r="F10912" t="s">
        <v>31574</v>
      </c>
      <c r="G10912" t="s">
        <v>31582</v>
      </c>
      <c r="H10912" t="s">
        <v>31590</v>
      </c>
      <c r="I10912" t="s">
        <v>31620</v>
      </c>
      <c r="J10912" t="s">
        <v>38485</v>
      </c>
      <c r="K10912" t="s">
        <v>41186</v>
      </c>
      <c r="M10912" t="s">
        <v>43275</v>
      </c>
      <c r="N10912" t="s">
        <v>45095</v>
      </c>
      <c r="O10912" t="s">
        <v>45096</v>
      </c>
      <c r="P10912">
        <v>0</v>
      </c>
      <c r="Q10912">
        <v>17</v>
      </c>
      <c r="R10912" t="s">
        <v>45109</v>
      </c>
      <c r="S10912" t="s">
        <v>45478</v>
      </c>
      <c r="T10912" t="s">
        <v>46933</v>
      </c>
      <c r="U10912" t="s">
        <v>56433</v>
      </c>
      <c r="W10912" t="s">
        <v>43275</v>
      </c>
      <c r="X10912" t="s">
        <v>45111</v>
      </c>
    </row>
    <row r="10913" spans="1:24">
      <c r="A10913">
        <f>HYPERLINK("https://www.philgeps.gov.ph/GEPSNONPILOT/Tender/SplashBidNoticeAbstractUI.aspx?menuIndex=3&amp;refID=7023660&amp;Result=3","7023660")</f>
        <v>0</v>
      </c>
      <c r="B10913" t="s">
        <v>2782</v>
      </c>
      <c r="C10913" t="s">
        <v>13606</v>
      </c>
      <c r="D10913" t="s">
        <v>18102</v>
      </c>
      <c r="E10913" t="s">
        <v>27579</v>
      </c>
      <c r="F10913" t="s">
        <v>31574</v>
      </c>
      <c r="G10913" t="s">
        <v>31582</v>
      </c>
      <c r="H10913" t="s">
        <v>31590</v>
      </c>
      <c r="I10913" t="s">
        <v>6800</v>
      </c>
      <c r="J10913" t="s">
        <v>38486</v>
      </c>
      <c r="K10913" t="s">
        <v>41186</v>
      </c>
      <c r="M10913" t="s">
        <v>44557</v>
      </c>
      <c r="N10913" t="s">
        <v>45095</v>
      </c>
      <c r="O10913" t="s">
        <v>45096</v>
      </c>
      <c r="P10913">
        <v>0</v>
      </c>
      <c r="Q10913">
        <v>0</v>
      </c>
      <c r="R10913" t="s">
        <v>45109</v>
      </c>
      <c r="S10913" t="s">
        <v>45478</v>
      </c>
      <c r="T10913" t="s">
        <v>47159</v>
      </c>
      <c r="U10913" t="s">
        <v>56434</v>
      </c>
      <c r="W10913" t="s">
        <v>44557</v>
      </c>
      <c r="X10913" t="s">
        <v>45111</v>
      </c>
    </row>
    <row r="10914" spans="1:24">
      <c r="A10914">
        <f>HYPERLINK("https://www.philgeps.gov.ph/GEPSNONPILOT/Tender/SplashBidNoticeAbstractUI.aspx?menuIndex=3&amp;refID=7023356&amp;Result=3","7023356")</f>
        <v>0</v>
      </c>
      <c r="B10914" t="s">
        <v>201</v>
      </c>
      <c r="C10914" t="s">
        <v>13599</v>
      </c>
      <c r="D10914" t="s">
        <v>18045</v>
      </c>
      <c r="E10914" t="s">
        <v>27580</v>
      </c>
      <c r="F10914" t="s">
        <v>31574</v>
      </c>
      <c r="G10914" t="s">
        <v>31582</v>
      </c>
      <c r="H10914" t="s">
        <v>31590</v>
      </c>
      <c r="I10914" t="s">
        <v>31598</v>
      </c>
      <c r="J10914" t="s">
        <v>32020</v>
      </c>
      <c r="K10914" t="s">
        <v>41184</v>
      </c>
      <c r="M10914" t="s">
        <v>41970</v>
      </c>
      <c r="N10914" t="s">
        <v>45095</v>
      </c>
      <c r="O10914" t="s">
        <v>45096</v>
      </c>
      <c r="P10914">
        <v>0</v>
      </c>
      <c r="Q10914">
        <v>6</v>
      </c>
      <c r="R10914" t="s">
        <v>45109</v>
      </c>
      <c r="S10914" t="s">
        <v>45478</v>
      </c>
      <c r="T10914" t="s">
        <v>47097</v>
      </c>
      <c r="U10914" t="s">
        <v>56428</v>
      </c>
      <c r="V10914" t="s">
        <v>61003</v>
      </c>
      <c r="W10914" t="s">
        <v>41970</v>
      </c>
      <c r="X10914" t="s">
        <v>45111</v>
      </c>
    </row>
    <row r="10915" spans="1:24">
      <c r="A10915">
        <f>HYPERLINK("https://www.philgeps.gov.ph/GEPSNONPILOT/Tender/SplashBidNoticeAbstractUI.aspx?menuIndex=3&amp;refID=7023014&amp;Result=3","7023014")</f>
        <v>0</v>
      </c>
      <c r="B10915" t="s">
        <v>2730</v>
      </c>
      <c r="C10915" t="s">
        <v>13607</v>
      </c>
      <c r="E10915" t="s">
        <v>27581</v>
      </c>
      <c r="F10915" t="s">
        <v>31574</v>
      </c>
      <c r="G10915" t="s">
        <v>31583</v>
      </c>
      <c r="H10915" t="s">
        <v>31590</v>
      </c>
      <c r="I10915" t="s">
        <v>14544</v>
      </c>
      <c r="J10915" t="s">
        <v>38487</v>
      </c>
      <c r="K10915" t="s">
        <v>41184</v>
      </c>
      <c r="M10915" t="s">
        <v>44501</v>
      </c>
      <c r="N10915" t="s">
        <v>45095</v>
      </c>
      <c r="O10915" t="s">
        <v>45096</v>
      </c>
      <c r="P10915">
        <v>0</v>
      </c>
      <c r="Q10915">
        <v>0</v>
      </c>
      <c r="R10915" t="s">
        <v>45109</v>
      </c>
      <c r="S10915" t="s">
        <v>45478</v>
      </c>
      <c r="T10915" t="s">
        <v>46963</v>
      </c>
      <c r="U10915" t="s">
        <v>56435</v>
      </c>
      <c r="V10915" t="s">
        <v>60945</v>
      </c>
      <c r="W10915" t="s">
        <v>44501</v>
      </c>
      <c r="X10915" t="s">
        <v>45111</v>
      </c>
    </row>
    <row r="10916" spans="1:24">
      <c r="A10916">
        <f>HYPERLINK("https://www.philgeps.gov.ph/GEPSNONPILOT/Tender/SplashBidNoticeAbstractUI.aspx?menuIndex=3&amp;refID=7022979&amp;Result=3","7022979")</f>
        <v>0</v>
      </c>
      <c r="B10916" t="s">
        <v>2730</v>
      </c>
      <c r="C10916" t="s">
        <v>13608</v>
      </c>
      <c r="E10916" t="s">
        <v>27516</v>
      </c>
      <c r="F10916" t="s">
        <v>31574</v>
      </c>
      <c r="G10916" t="s">
        <v>31582</v>
      </c>
      <c r="H10916" t="s">
        <v>31590</v>
      </c>
      <c r="I10916" t="s">
        <v>7185</v>
      </c>
      <c r="J10916" t="s">
        <v>38488</v>
      </c>
      <c r="K10916" t="s">
        <v>41184</v>
      </c>
      <c r="M10916" t="s">
        <v>44501</v>
      </c>
      <c r="N10916" t="s">
        <v>45095</v>
      </c>
      <c r="O10916" t="s">
        <v>45096</v>
      </c>
      <c r="P10916">
        <v>0</v>
      </c>
      <c r="Q10916">
        <v>1</v>
      </c>
      <c r="R10916" t="s">
        <v>45109</v>
      </c>
      <c r="S10916" t="s">
        <v>45478</v>
      </c>
      <c r="T10916" t="s">
        <v>46963</v>
      </c>
      <c r="U10916" t="s">
        <v>56436</v>
      </c>
      <c r="V10916" t="s">
        <v>60945</v>
      </c>
      <c r="W10916" t="s">
        <v>44501</v>
      </c>
      <c r="X10916" t="s">
        <v>45111</v>
      </c>
    </row>
    <row r="10917" spans="1:24">
      <c r="A10917">
        <f>HYPERLINK("https://www.philgeps.gov.ph/GEPSNONPILOT/Tender/SplashBidNoticeAbstractUI.aspx?menuIndex=3&amp;refID=7023495&amp;Result=3","7023495")</f>
        <v>0</v>
      </c>
      <c r="B10917" t="s">
        <v>201</v>
      </c>
      <c r="C10917" t="s">
        <v>13599</v>
      </c>
      <c r="D10917" t="s">
        <v>18045</v>
      </c>
      <c r="E10917" t="s">
        <v>27582</v>
      </c>
      <c r="F10917" t="s">
        <v>31574</v>
      </c>
      <c r="G10917" t="s">
        <v>31582</v>
      </c>
      <c r="H10917" t="s">
        <v>31590</v>
      </c>
      <c r="I10917" t="s">
        <v>31598</v>
      </c>
      <c r="J10917" t="s">
        <v>32026</v>
      </c>
      <c r="K10917" t="s">
        <v>41184</v>
      </c>
      <c r="M10917" t="s">
        <v>41970</v>
      </c>
      <c r="N10917" t="s">
        <v>45095</v>
      </c>
      <c r="O10917" t="s">
        <v>45096</v>
      </c>
      <c r="P10917">
        <v>0</v>
      </c>
      <c r="Q10917">
        <v>8</v>
      </c>
      <c r="R10917" t="s">
        <v>45109</v>
      </c>
      <c r="S10917" t="s">
        <v>45478</v>
      </c>
      <c r="T10917" t="s">
        <v>47097</v>
      </c>
      <c r="U10917" t="s">
        <v>56428</v>
      </c>
      <c r="V10917" t="s">
        <v>61003</v>
      </c>
      <c r="W10917" t="s">
        <v>41970</v>
      </c>
      <c r="X10917" t="s">
        <v>45111</v>
      </c>
    </row>
    <row r="10918" spans="1:24">
      <c r="A10918">
        <f>HYPERLINK("https://www.philgeps.gov.ph/GEPSNONPILOT/Tender/SplashBidNoticeAbstractUI.aspx?menuIndex=3&amp;refID=7023547&amp;Result=3","7023547")</f>
        <v>0</v>
      </c>
      <c r="B10918" t="s">
        <v>201</v>
      </c>
      <c r="C10918" t="s">
        <v>13599</v>
      </c>
      <c r="D10918" t="s">
        <v>18045</v>
      </c>
      <c r="E10918" t="s">
        <v>27583</v>
      </c>
      <c r="F10918" t="s">
        <v>31574</v>
      </c>
      <c r="G10918" t="s">
        <v>31582</v>
      </c>
      <c r="H10918" t="s">
        <v>31590</v>
      </c>
      <c r="I10918" t="s">
        <v>31598</v>
      </c>
      <c r="J10918" t="s">
        <v>33359</v>
      </c>
      <c r="K10918" t="s">
        <v>41184</v>
      </c>
      <c r="M10918" t="s">
        <v>41970</v>
      </c>
      <c r="N10918" t="s">
        <v>45095</v>
      </c>
      <c r="O10918" t="s">
        <v>45096</v>
      </c>
      <c r="P10918">
        <v>0</v>
      </c>
      <c r="Q10918">
        <v>11</v>
      </c>
      <c r="R10918" t="s">
        <v>45109</v>
      </c>
      <c r="S10918" t="s">
        <v>45478</v>
      </c>
      <c r="T10918" t="s">
        <v>47097</v>
      </c>
      <c r="U10918" t="s">
        <v>56428</v>
      </c>
      <c r="V10918" t="s">
        <v>61003</v>
      </c>
      <c r="W10918" t="s">
        <v>41970</v>
      </c>
      <c r="X10918" t="s">
        <v>45111</v>
      </c>
    </row>
    <row r="10919" spans="1:24">
      <c r="A10919">
        <f>HYPERLINK("https://www.philgeps.gov.ph/GEPSNONPILOT/Tender/SplashBidNoticeAbstractUI.aspx?menuIndex=3&amp;refID=7023715&amp;Result=3","7023715")</f>
        <v>0</v>
      </c>
      <c r="B10919" t="s">
        <v>2788</v>
      </c>
      <c r="C10919" t="s">
        <v>13609</v>
      </c>
      <c r="D10919" t="s">
        <v>18059</v>
      </c>
      <c r="E10919" t="s">
        <v>27584</v>
      </c>
      <c r="F10919" t="s">
        <v>31574</v>
      </c>
      <c r="G10919" t="s">
        <v>31582</v>
      </c>
      <c r="H10919" t="s">
        <v>31591</v>
      </c>
      <c r="I10919" t="s">
        <v>8822</v>
      </c>
      <c r="J10919" t="s">
        <v>31883</v>
      </c>
      <c r="K10919" t="s">
        <v>41192</v>
      </c>
      <c r="M10919" t="s">
        <v>44563</v>
      </c>
      <c r="N10919" t="s">
        <v>45095</v>
      </c>
      <c r="O10919" t="s">
        <v>45096</v>
      </c>
      <c r="P10919">
        <v>0</v>
      </c>
      <c r="Q10919">
        <v>0</v>
      </c>
      <c r="R10919" t="s">
        <v>45109</v>
      </c>
      <c r="S10919" t="s">
        <v>45478</v>
      </c>
      <c r="T10919" t="s">
        <v>46938</v>
      </c>
      <c r="U10919" t="s">
        <v>56437</v>
      </c>
      <c r="V10919" t="s">
        <v>61006</v>
      </c>
      <c r="W10919" t="s">
        <v>44563</v>
      </c>
      <c r="X10919" t="s">
        <v>45111</v>
      </c>
    </row>
    <row r="10920" spans="1:24">
      <c r="A10920">
        <f>HYPERLINK("https://www.philgeps.gov.ph/GEPSNONPILOT/Tender/SplashBidNoticeAbstractUI.aspx?menuIndex=3&amp;refID=7023530&amp;Result=3","7023530")</f>
        <v>0</v>
      </c>
      <c r="B10920" t="s">
        <v>201</v>
      </c>
      <c r="C10920" t="s">
        <v>13599</v>
      </c>
      <c r="D10920" t="s">
        <v>18045</v>
      </c>
      <c r="E10920" t="s">
        <v>27585</v>
      </c>
      <c r="F10920" t="s">
        <v>31574</v>
      </c>
      <c r="G10920" t="s">
        <v>31582</v>
      </c>
      <c r="H10920" t="s">
        <v>31590</v>
      </c>
      <c r="I10920" t="s">
        <v>31598</v>
      </c>
      <c r="J10920" t="s">
        <v>34357</v>
      </c>
      <c r="K10920" t="s">
        <v>41184</v>
      </c>
      <c r="M10920" t="s">
        <v>41970</v>
      </c>
      <c r="N10920" t="s">
        <v>45095</v>
      </c>
      <c r="O10920" t="s">
        <v>45096</v>
      </c>
      <c r="P10920">
        <v>0</v>
      </c>
      <c r="Q10920">
        <v>11</v>
      </c>
      <c r="R10920" t="s">
        <v>45109</v>
      </c>
      <c r="S10920" t="s">
        <v>45478</v>
      </c>
      <c r="T10920" t="s">
        <v>47097</v>
      </c>
      <c r="U10920" t="s">
        <v>56428</v>
      </c>
      <c r="V10920" t="s">
        <v>61003</v>
      </c>
      <c r="W10920" t="s">
        <v>41970</v>
      </c>
      <c r="X10920" t="s">
        <v>45111</v>
      </c>
    </row>
    <row r="10921" spans="1:24">
      <c r="A10921">
        <f>HYPERLINK("https://www.philgeps.gov.ph/GEPSNONPILOT/Tender/SplashBidNoticeAbstractUI.aspx?menuIndex=3&amp;refID=7023940&amp;Result=3","7023940")</f>
        <v>0</v>
      </c>
      <c r="B10921" t="s">
        <v>143</v>
      </c>
      <c r="C10921" t="s">
        <v>13610</v>
      </c>
      <c r="D10921" t="s">
        <v>18075</v>
      </c>
      <c r="E10921" t="s">
        <v>27586</v>
      </c>
      <c r="F10921" t="s">
        <v>31574</v>
      </c>
      <c r="G10921" t="s">
        <v>31582</v>
      </c>
      <c r="H10921" t="s">
        <v>31591</v>
      </c>
      <c r="I10921" t="s">
        <v>8822</v>
      </c>
      <c r="J10921" t="s">
        <v>38489</v>
      </c>
      <c r="K10921" t="s">
        <v>41190</v>
      </c>
      <c r="M10921" t="s">
        <v>41627</v>
      </c>
      <c r="N10921" t="s">
        <v>45095</v>
      </c>
      <c r="O10921" t="s">
        <v>45096</v>
      </c>
      <c r="P10921">
        <v>0</v>
      </c>
      <c r="Q10921">
        <v>0</v>
      </c>
      <c r="R10921" t="s">
        <v>45109</v>
      </c>
      <c r="S10921" t="s">
        <v>45478</v>
      </c>
      <c r="T10921" t="s">
        <v>47303</v>
      </c>
      <c r="U10921" t="s">
        <v>56438</v>
      </c>
      <c r="W10921" t="s">
        <v>41627</v>
      </c>
      <c r="X10921" t="s">
        <v>45111</v>
      </c>
    </row>
    <row r="10922" spans="1:24">
      <c r="A10922">
        <f>HYPERLINK("https://www.philgeps.gov.ph/GEPSNONPILOT/Tender/SplashBidNoticeAbstractUI.aspx?menuIndex=3&amp;refID=7024069&amp;Result=3","7024069")</f>
        <v>0</v>
      </c>
      <c r="B10922" t="s">
        <v>2045</v>
      </c>
      <c r="C10922" t="s">
        <v>13611</v>
      </c>
      <c r="D10922" t="s">
        <v>18095</v>
      </c>
      <c r="E10922" t="s">
        <v>27587</v>
      </c>
      <c r="F10922" t="s">
        <v>31574</v>
      </c>
      <c r="G10922" t="s">
        <v>31582</v>
      </c>
      <c r="H10922" t="s">
        <v>31591</v>
      </c>
      <c r="I10922" t="s">
        <v>8822</v>
      </c>
      <c r="J10922" t="s">
        <v>38490</v>
      </c>
      <c r="K10922" t="s">
        <v>41189</v>
      </c>
      <c r="M10922" t="s">
        <v>43712</v>
      </c>
      <c r="N10922" t="s">
        <v>45095</v>
      </c>
      <c r="O10922" t="s">
        <v>45096</v>
      </c>
      <c r="P10922">
        <v>0</v>
      </c>
      <c r="Q10922">
        <v>1</v>
      </c>
      <c r="R10922" t="s">
        <v>45109</v>
      </c>
      <c r="S10922" t="s">
        <v>45478</v>
      </c>
      <c r="T10922" t="s">
        <v>46926</v>
      </c>
      <c r="U10922" t="s">
        <v>56439</v>
      </c>
      <c r="W10922" t="s">
        <v>43712</v>
      </c>
      <c r="X10922" t="s">
        <v>45111</v>
      </c>
    </row>
    <row r="10923" spans="1:24">
      <c r="A10923">
        <f>HYPERLINK("https://www.philgeps.gov.ph/GEPSNONPILOT/Tender/SplashBidNoticeAbstractUI.aspx?menuIndex=3&amp;refID=7023755&amp;Result=3","7023755")</f>
        <v>0</v>
      </c>
      <c r="B10923" t="s">
        <v>1216</v>
      </c>
      <c r="C10923" t="s">
        <v>13612</v>
      </c>
      <c r="D10923" t="s">
        <v>18040</v>
      </c>
      <c r="E10923" t="s">
        <v>27588</v>
      </c>
      <c r="F10923" t="s">
        <v>31574</v>
      </c>
      <c r="G10923" t="s">
        <v>31582</v>
      </c>
      <c r="H10923" t="s">
        <v>31591</v>
      </c>
      <c r="I10923" t="s">
        <v>31703</v>
      </c>
      <c r="J10923" t="s">
        <v>38491</v>
      </c>
      <c r="K10923" t="s">
        <v>41243</v>
      </c>
      <c r="M10923" t="s">
        <v>42777</v>
      </c>
      <c r="N10923" t="s">
        <v>45095</v>
      </c>
      <c r="O10923" t="s">
        <v>45096</v>
      </c>
      <c r="P10923">
        <v>0</v>
      </c>
      <c r="Q10923">
        <v>9</v>
      </c>
      <c r="R10923" t="s">
        <v>45109</v>
      </c>
      <c r="S10923" t="s">
        <v>45478</v>
      </c>
      <c r="T10923" t="s">
        <v>47265</v>
      </c>
      <c r="U10923" t="s">
        <v>56440</v>
      </c>
      <c r="W10923" t="s">
        <v>42777</v>
      </c>
      <c r="X10923" t="s">
        <v>45111</v>
      </c>
    </row>
    <row r="10924" spans="1:24">
      <c r="A10924">
        <f>HYPERLINK("https://www.philgeps.gov.ph/GEPSNONPILOT/Tender/SplashBidNoticeAbstractUI.aspx?menuIndex=3&amp;refID=7024138&amp;Result=3","7024138")</f>
        <v>0</v>
      </c>
      <c r="B10924" t="s">
        <v>2045</v>
      </c>
      <c r="C10924" t="s">
        <v>13613</v>
      </c>
      <c r="D10924" t="s">
        <v>18095</v>
      </c>
      <c r="E10924" t="s">
        <v>27589</v>
      </c>
      <c r="F10924" t="s">
        <v>31574</v>
      </c>
      <c r="G10924" t="s">
        <v>31582</v>
      </c>
      <c r="H10924" t="s">
        <v>31591</v>
      </c>
      <c r="I10924" t="s">
        <v>8822</v>
      </c>
      <c r="J10924" t="s">
        <v>38492</v>
      </c>
      <c r="K10924" t="s">
        <v>41298</v>
      </c>
      <c r="M10924" t="s">
        <v>43712</v>
      </c>
      <c r="N10924" t="s">
        <v>45095</v>
      </c>
      <c r="O10924" t="s">
        <v>45096</v>
      </c>
      <c r="P10924">
        <v>0</v>
      </c>
      <c r="Q10924">
        <v>2</v>
      </c>
      <c r="R10924" t="s">
        <v>45109</v>
      </c>
      <c r="S10924" t="s">
        <v>45478</v>
      </c>
      <c r="T10924" t="s">
        <v>46926</v>
      </c>
      <c r="U10924" t="s">
        <v>56441</v>
      </c>
      <c r="W10924" t="s">
        <v>43712</v>
      </c>
      <c r="X10924" t="s">
        <v>45111</v>
      </c>
    </row>
    <row r="10925" spans="1:24">
      <c r="A10925">
        <f>HYPERLINK("https://www.philgeps.gov.ph/GEPSNONPILOT/Tender/SplashBidNoticeAbstractUI.aspx?menuIndex=3&amp;refID=7023928&amp;Result=3","7023928")</f>
        <v>0</v>
      </c>
      <c r="B10925" t="s">
        <v>143</v>
      </c>
      <c r="C10925" t="s">
        <v>13614</v>
      </c>
      <c r="D10925" t="s">
        <v>18075</v>
      </c>
      <c r="E10925" t="s">
        <v>27590</v>
      </c>
      <c r="F10925" t="s">
        <v>31574</v>
      </c>
      <c r="G10925" t="s">
        <v>31582</v>
      </c>
      <c r="H10925" t="s">
        <v>31591</v>
      </c>
      <c r="I10925" t="s">
        <v>8822</v>
      </c>
      <c r="J10925" t="s">
        <v>38493</v>
      </c>
      <c r="K10925" t="s">
        <v>41191</v>
      </c>
      <c r="M10925" t="s">
        <v>41627</v>
      </c>
      <c r="N10925" t="s">
        <v>45095</v>
      </c>
      <c r="O10925" t="s">
        <v>45096</v>
      </c>
      <c r="P10925">
        <v>0</v>
      </c>
      <c r="Q10925">
        <v>0</v>
      </c>
      <c r="R10925" t="s">
        <v>45109</v>
      </c>
      <c r="S10925" t="s">
        <v>45478</v>
      </c>
      <c r="T10925" t="s">
        <v>47303</v>
      </c>
      <c r="U10925" t="s">
        <v>56442</v>
      </c>
      <c r="W10925" t="s">
        <v>41627</v>
      </c>
      <c r="X10925" t="s">
        <v>45111</v>
      </c>
    </row>
    <row r="10926" spans="1:24">
      <c r="A10926">
        <f>HYPERLINK("https://www.philgeps.gov.ph/GEPSNONPILOT/Tender/SplashBidNoticeAbstractUI.aspx?menuIndex=3&amp;refID=7023489&amp;Result=3","7023489")</f>
        <v>0</v>
      </c>
      <c r="B10926" t="s">
        <v>2730</v>
      </c>
      <c r="C10926" t="s">
        <v>13615</v>
      </c>
      <c r="E10926" t="s">
        <v>27581</v>
      </c>
      <c r="F10926" t="s">
        <v>31574</v>
      </c>
      <c r="G10926" t="s">
        <v>31582</v>
      </c>
      <c r="H10926" t="s">
        <v>31590</v>
      </c>
      <c r="I10926" t="s">
        <v>14544</v>
      </c>
      <c r="J10926" t="s">
        <v>38494</v>
      </c>
      <c r="K10926" t="s">
        <v>41184</v>
      </c>
      <c r="M10926" t="s">
        <v>44501</v>
      </c>
      <c r="N10926" t="s">
        <v>45095</v>
      </c>
      <c r="O10926" t="s">
        <v>45096</v>
      </c>
      <c r="P10926">
        <v>0</v>
      </c>
      <c r="Q10926">
        <v>0</v>
      </c>
      <c r="R10926" t="s">
        <v>45109</v>
      </c>
      <c r="S10926" t="s">
        <v>45478</v>
      </c>
      <c r="T10926" t="s">
        <v>46963</v>
      </c>
      <c r="U10926" t="s">
        <v>56443</v>
      </c>
      <c r="V10926" t="s">
        <v>60945</v>
      </c>
      <c r="W10926" t="s">
        <v>44501</v>
      </c>
      <c r="X10926" t="s">
        <v>45111</v>
      </c>
    </row>
    <row r="10927" spans="1:24">
      <c r="A10927">
        <f>HYPERLINK("https://www.philgeps.gov.ph/GEPSNONPILOT/Tender/SplashBidNoticeAbstractUI.aspx?menuIndex=3&amp;refID=7023942&amp;Result=3","7023942")</f>
        <v>0</v>
      </c>
      <c r="B10927" t="s">
        <v>143</v>
      </c>
      <c r="C10927" t="s">
        <v>13616</v>
      </c>
      <c r="D10927" t="s">
        <v>18075</v>
      </c>
      <c r="E10927" t="s">
        <v>27591</v>
      </c>
      <c r="F10927" t="s">
        <v>31574</v>
      </c>
      <c r="G10927" t="s">
        <v>31582</v>
      </c>
      <c r="H10927" t="s">
        <v>31591</v>
      </c>
      <c r="I10927" t="s">
        <v>8822</v>
      </c>
      <c r="J10927" t="s">
        <v>38495</v>
      </c>
      <c r="K10927" t="s">
        <v>41273</v>
      </c>
      <c r="M10927" t="s">
        <v>41627</v>
      </c>
      <c r="N10927" t="s">
        <v>45095</v>
      </c>
      <c r="O10927" t="s">
        <v>45096</v>
      </c>
      <c r="P10927">
        <v>0</v>
      </c>
      <c r="Q10927">
        <v>0</v>
      </c>
      <c r="R10927" t="s">
        <v>45109</v>
      </c>
      <c r="S10927" t="s">
        <v>45478</v>
      </c>
      <c r="T10927" t="s">
        <v>47303</v>
      </c>
      <c r="U10927" t="s">
        <v>56444</v>
      </c>
      <c r="W10927" t="s">
        <v>41627</v>
      </c>
      <c r="X10927" t="s">
        <v>45111</v>
      </c>
    </row>
    <row r="10928" spans="1:24">
      <c r="A10928">
        <f>HYPERLINK("https://www.philgeps.gov.ph/GEPSNONPILOT/Tender/SplashBidNoticeAbstractUI.aspx?menuIndex=3&amp;refID=7024131&amp;Result=3","7024131")</f>
        <v>0</v>
      </c>
      <c r="B10928" t="s">
        <v>2045</v>
      </c>
      <c r="C10928" t="s">
        <v>13617</v>
      </c>
      <c r="D10928" t="s">
        <v>18095</v>
      </c>
      <c r="E10928" t="s">
        <v>27592</v>
      </c>
      <c r="F10928" t="s">
        <v>31574</v>
      </c>
      <c r="G10928" t="s">
        <v>31582</v>
      </c>
      <c r="H10928" t="s">
        <v>31591</v>
      </c>
      <c r="I10928" t="s">
        <v>8822</v>
      </c>
      <c r="J10928" t="s">
        <v>38496</v>
      </c>
      <c r="K10928" t="s">
        <v>41192</v>
      </c>
      <c r="M10928" t="s">
        <v>43712</v>
      </c>
      <c r="N10928" t="s">
        <v>45095</v>
      </c>
      <c r="O10928" t="s">
        <v>45096</v>
      </c>
      <c r="P10928">
        <v>0</v>
      </c>
      <c r="Q10928">
        <v>0</v>
      </c>
      <c r="R10928" t="s">
        <v>45109</v>
      </c>
      <c r="S10928" t="s">
        <v>45478</v>
      </c>
      <c r="T10928" t="s">
        <v>46926</v>
      </c>
      <c r="U10928" t="s">
        <v>56445</v>
      </c>
      <c r="W10928" t="s">
        <v>43712</v>
      </c>
      <c r="X10928" t="s">
        <v>45111</v>
      </c>
    </row>
    <row r="10929" spans="1:24">
      <c r="A10929">
        <f>HYPERLINK("https://www.philgeps.gov.ph/GEPSNONPILOT/Tender/SplashBidNoticeAbstractUI.aspx?menuIndex=3&amp;refID=7024115&amp;Result=3","7024115")</f>
        <v>0</v>
      </c>
      <c r="B10929" t="s">
        <v>2045</v>
      </c>
      <c r="C10929" t="s">
        <v>13618</v>
      </c>
      <c r="D10929" t="s">
        <v>18095</v>
      </c>
      <c r="E10929" t="s">
        <v>27593</v>
      </c>
      <c r="F10929" t="s">
        <v>31574</v>
      </c>
      <c r="G10929" t="s">
        <v>31582</v>
      </c>
      <c r="H10929" t="s">
        <v>31591</v>
      </c>
      <c r="I10929" t="s">
        <v>8822</v>
      </c>
      <c r="J10929" t="s">
        <v>38497</v>
      </c>
      <c r="K10929" t="s">
        <v>41419</v>
      </c>
      <c r="M10929" t="s">
        <v>43712</v>
      </c>
      <c r="N10929" t="s">
        <v>45095</v>
      </c>
      <c r="O10929" t="s">
        <v>45096</v>
      </c>
      <c r="P10929">
        <v>0</v>
      </c>
      <c r="Q10929">
        <v>1</v>
      </c>
      <c r="R10929" t="s">
        <v>45109</v>
      </c>
      <c r="S10929" t="s">
        <v>45478</v>
      </c>
      <c r="T10929" t="s">
        <v>46926</v>
      </c>
      <c r="U10929" t="s">
        <v>56446</v>
      </c>
      <c r="W10929" t="s">
        <v>43712</v>
      </c>
      <c r="X10929" t="s">
        <v>45111</v>
      </c>
    </row>
    <row r="10930" spans="1:24">
      <c r="A10930">
        <f>HYPERLINK("https://www.philgeps.gov.ph/GEPSNONPILOT/Tender/SplashBidNoticeAbstractUI.aspx?menuIndex=3&amp;refID=7024063&amp;Result=3","7024063")</f>
        <v>0</v>
      </c>
      <c r="B10930" t="s">
        <v>2045</v>
      </c>
      <c r="C10930" t="s">
        <v>13619</v>
      </c>
      <c r="D10930" t="s">
        <v>18095</v>
      </c>
      <c r="E10930" t="s">
        <v>27594</v>
      </c>
      <c r="F10930" t="s">
        <v>31574</v>
      </c>
      <c r="G10930" t="s">
        <v>31582</v>
      </c>
      <c r="H10930" t="s">
        <v>31591</v>
      </c>
      <c r="I10930" t="s">
        <v>8822</v>
      </c>
      <c r="J10930" t="s">
        <v>38498</v>
      </c>
      <c r="K10930" t="s">
        <v>41217</v>
      </c>
      <c r="M10930" t="s">
        <v>43712</v>
      </c>
      <c r="N10930" t="s">
        <v>45095</v>
      </c>
      <c r="O10930" t="s">
        <v>45096</v>
      </c>
      <c r="P10930">
        <v>0</v>
      </c>
      <c r="Q10930">
        <v>3</v>
      </c>
      <c r="R10930" t="s">
        <v>45109</v>
      </c>
      <c r="S10930" t="s">
        <v>45478</v>
      </c>
      <c r="T10930" t="s">
        <v>46926</v>
      </c>
      <c r="U10930" t="s">
        <v>56447</v>
      </c>
      <c r="W10930" t="s">
        <v>43712</v>
      </c>
      <c r="X10930" t="s">
        <v>45111</v>
      </c>
    </row>
    <row r="10931" spans="1:24">
      <c r="A10931">
        <f>HYPERLINK("https://www.philgeps.gov.ph/GEPSNONPILOT/Tender/SplashBidNoticeAbstractUI.aspx?menuIndex=3&amp;refID=7024133&amp;Result=3","7024133")</f>
        <v>0</v>
      </c>
      <c r="B10931" t="s">
        <v>2045</v>
      </c>
      <c r="C10931" t="s">
        <v>13620</v>
      </c>
      <c r="D10931" t="s">
        <v>18095</v>
      </c>
      <c r="E10931" t="s">
        <v>27595</v>
      </c>
      <c r="F10931" t="s">
        <v>31574</v>
      </c>
      <c r="G10931" t="s">
        <v>31582</v>
      </c>
      <c r="H10931" t="s">
        <v>31591</v>
      </c>
      <c r="I10931" t="s">
        <v>8822</v>
      </c>
      <c r="J10931" t="s">
        <v>38499</v>
      </c>
      <c r="K10931" t="s">
        <v>41186</v>
      </c>
      <c r="M10931" t="s">
        <v>43712</v>
      </c>
      <c r="N10931" t="s">
        <v>45095</v>
      </c>
      <c r="O10931" t="s">
        <v>45096</v>
      </c>
      <c r="P10931">
        <v>0</v>
      </c>
      <c r="Q10931">
        <v>0</v>
      </c>
      <c r="R10931" t="s">
        <v>45109</v>
      </c>
      <c r="S10931" t="s">
        <v>45478</v>
      </c>
      <c r="T10931" t="s">
        <v>46926</v>
      </c>
      <c r="U10931" t="s">
        <v>56448</v>
      </c>
      <c r="W10931" t="s">
        <v>43712</v>
      </c>
      <c r="X10931" t="s">
        <v>45111</v>
      </c>
    </row>
    <row r="10932" spans="1:24">
      <c r="A10932">
        <f>HYPERLINK("https://www.philgeps.gov.ph/GEPSNONPILOT/Tender/SplashBidNoticeAbstractUI.aspx?menuIndex=3&amp;refID=7024123&amp;Result=3","7024123")</f>
        <v>0</v>
      </c>
      <c r="B10932" t="s">
        <v>2045</v>
      </c>
      <c r="C10932" t="s">
        <v>13621</v>
      </c>
      <c r="D10932" t="s">
        <v>18095</v>
      </c>
      <c r="E10932" t="s">
        <v>27596</v>
      </c>
      <c r="F10932" t="s">
        <v>31574</v>
      </c>
      <c r="G10932" t="s">
        <v>31582</v>
      </c>
      <c r="H10932" t="s">
        <v>31591</v>
      </c>
      <c r="I10932" t="s">
        <v>8822</v>
      </c>
      <c r="J10932" t="s">
        <v>38500</v>
      </c>
      <c r="K10932" t="s">
        <v>41419</v>
      </c>
      <c r="M10932" t="s">
        <v>43712</v>
      </c>
      <c r="N10932" t="s">
        <v>45095</v>
      </c>
      <c r="O10932" t="s">
        <v>45096</v>
      </c>
      <c r="P10932">
        <v>0</v>
      </c>
      <c r="Q10932">
        <v>1</v>
      </c>
      <c r="R10932" t="s">
        <v>45109</v>
      </c>
      <c r="S10932" t="s">
        <v>45478</v>
      </c>
      <c r="T10932" t="s">
        <v>46926</v>
      </c>
      <c r="U10932" t="s">
        <v>56449</v>
      </c>
      <c r="W10932" t="s">
        <v>43712</v>
      </c>
      <c r="X10932" t="s">
        <v>45111</v>
      </c>
    </row>
    <row r="10933" spans="1:24">
      <c r="A10933">
        <f>HYPERLINK("https://www.philgeps.gov.ph/GEPSNONPILOT/Tender/SplashBidNoticeAbstractUI.aspx?menuIndex=3&amp;refID=7023937&amp;Result=3","7023937")</f>
        <v>0</v>
      </c>
      <c r="B10933" t="s">
        <v>143</v>
      </c>
      <c r="C10933" t="s">
        <v>13622</v>
      </c>
      <c r="D10933" t="s">
        <v>18075</v>
      </c>
      <c r="E10933" t="s">
        <v>27597</v>
      </c>
      <c r="F10933" t="s">
        <v>31574</v>
      </c>
      <c r="G10933" t="s">
        <v>31582</v>
      </c>
      <c r="H10933" t="s">
        <v>31591</v>
      </c>
      <c r="I10933" t="s">
        <v>8822</v>
      </c>
      <c r="J10933" t="s">
        <v>38501</v>
      </c>
      <c r="K10933" t="s">
        <v>41259</v>
      </c>
      <c r="M10933" t="s">
        <v>41627</v>
      </c>
      <c r="N10933" t="s">
        <v>45095</v>
      </c>
      <c r="O10933" t="s">
        <v>45096</v>
      </c>
      <c r="P10933">
        <v>0</v>
      </c>
      <c r="Q10933">
        <v>0</v>
      </c>
      <c r="R10933" t="s">
        <v>45109</v>
      </c>
      <c r="S10933" t="s">
        <v>45478</v>
      </c>
      <c r="T10933" t="s">
        <v>47303</v>
      </c>
      <c r="U10933" t="s">
        <v>56450</v>
      </c>
      <c r="W10933" t="s">
        <v>41627</v>
      </c>
      <c r="X10933" t="s">
        <v>45111</v>
      </c>
    </row>
    <row r="10934" spans="1:24">
      <c r="A10934">
        <f>HYPERLINK("https://www.philgeps.gov.ph/GEPSNONPILOT/Tender/SplashBidNoticeAbstractUI.aspx?menuIndex=3&amp;refID=7024166&amp;Result=3","7024166")</f>
        <v>0</v>
      </c>
      <c r="B10934" t="s">
        <v>2045</v>
      </c>
      <c r="C10934" t="s">
        <v>13623</v>
      </c>
      <c r="D10934" t="s">
        <v>18095</v>
      </c>
      <c r="E10934" t="s">
        <v>27598</v>
      </c>
      <c r="F10934" t="s">
        <v>31574</v>
      </c>
      <c r="G10934" t="s">
        <v>31582</v>
      </c>
      <c r="H10934" t="s">
        <v>31591</v>
      </c>
      <c r="I10934" t="s">
        <v>8822</v>
      </c>
      <c r="J10934" t="s">
        <v>38502</v>
      </c>
      <c r="K10934" t="s">
        <v>41192</v>
      </c>
      <c r="M10934" t="s">
        <v>43712</v>
      </c>
      <c r="N10934" t="s">
        <v>45095</v>
      </c>
      <c r="O10934" t="s">
        <v>45096</v>
      </c>
      <c r="P10934">
        <v>0</v>
      </c>
      <c r="Q10934">
        <v>0</v>
      </c>
      <c r="R10934" t="s">
        <v>45109</v>
      </c>
      <c r="S10934" t="s">
        <v>45478</v>
      </c>
      <c r="T10934" t="s">
        <v>46926</v>
      </c>
      <c r="U10934" t="s">
        <v>56451</v>
      </c>
      <c r="W10934" t="s">
        <v>43712</v>
      </c>
      <c r="X10934" t="s">
        <v>45111</v>
      </c>
    </row>
    <row r="10935" spans="1:24">
      <c r="A10935">
        <f>HYPERLINK("https://www.philgeps.gov.ph/GEPSNONPILOT/Tender/SplashBidNoticeAbstractUI.aspx?menuIndex=3&amp;refID=7024108&amp;Result=3","7024108")</f>
        <v>0</v>
      </c>
      <c r="B10935" t="s">
        <v>2045</v>
      </c>
      <c r="C10935" t="s">
        <v>13624</v>
      </c>
      <c r="D10935" t="s">
        <v>18095</v>
      </c>
      <c r="E10935" t="s">
        <v>27599</v>
      </c>
      <c r="F10935" t="s">
        <v>31574</v>
      </c>
      <c r="G10935" t="s">
        <v>31582</v>
      </c>
      <c r="H10935" t="s">
        <v>31591</v>
      </c>
      <c r="I10935" t="s">
        <v>8822</v>
      </c>
      <c r="J10935" t="s">
        <v>38503</v>
      </c>
      <c r="K10935" t="s">
        <v>41192</v>
      </c>
      <c r="M10935" t="s">
        <v>43712</v>
      </c>
      <c r="N10935" t="s">
        <v>45095</v>
      </c>
      <c r="O10935" t="s">
        <v>45096</v>
      </c>
      <c r="P10935">
        <v>0</v>
      </c>
      <c r="Q10935">
        <v>0</v>
      </c>
      <c r="R10935" t="s">
        <v>45109</v>
      </c>
      <c r="S10935" t="s">
        <v>45478</v>
      </c>
      <c r="T10935" t="s">
        <v>46926</v>
      </c>
      <c r="U10935" t="s">
        <v>56452</v>
      </c>
      <c r="W10935" t="s">
        <v>43712</v>
      </c>
      <c r="X10935" t="s">
        <v>45111</v>
      </c>
    </row>
    <row r="10936" spans="1:24">
      <c r="A10936">
        <f>HYPERLINK("https://www.philgeps.gov.ph/GEPSNONPILOT/Tender/SplashBidNoticeAbstractUI.aspx?menuIndex=3&amp;refID=7024111&amp;Result=3","7024111")</f>
        <v>0</v>
      </c>
      <c r="B10936" t="s">
        <v>2045</v>
      </c>
      <c r="C10936" t="s">
        <v>13625</v>
      </c>
      <c r="D10936" t="s">
        <v>18095</v>
      </c>
      <c r="E10936" t="s">
        <v>27600</v>
      </c>
      <c r="F10936" t="s">
        <v>31574</v>
      </c>
      <c r="G10936" t="s">
        <v>31582</v>
      </c>
      <c r="H10936" t="s">
        <v>31591</v>
      </c>
      <c r="I10936" t="s">
        <v>8822</v>
      </c>
      <c r="J10936" t="s">
        <v>38504</v>
      </c>
      <c r="K10936" t="s">
        <v>41316</v>
      </c>
      <c r="M10936" t="s">
        <v>43712</v>
      </c>
      <c r="N10936" t="s">
        <v>45095</v>
      </c>
      <c r="O10936" t="s">
        <v>45096</v>
      </c>
      <c r="P10936">
        <v>0</v>
      </c>
      <c r="Q10936">
        <v>0</v>
      </c>
      <c r="R10936" t="s">
        <v>45109</v>
      </c>
      <c r="S10936" t="s">
        <v>45478</v>
      </c>
      <c r="T10936" t="s">
        <v>46926</v>
      </c>
      <c r="U10936" t="s">
        <v>56453</v>
      </c>
      <c r="W10936" t="s">
        <v>43712</v>
      </c>
      <c r="X10936" t="s">
        <v>45111</v>
      </c>
    </row>
    <row r="10937" spans="1:24">
      <c r="A10937">
        <f>HYPERLINK("https://www.philgeps.gov.ph/GEPSNONPILOT/Tender/SplashBidNoticeAbstractUI.aspx?menuIndex=3&amp;refID=7024142&amp;Result=3","7024142")</f>
        <v>0</v>
      </c>
      <c r="B10937" t="s">
        <v>2045</v>
      </c>
      <c r="C10937" t="s">
        <v>13626</v>
      </c>
      <c r="D10937" t="s">
        <v>18095</v>
      </c>
      <c r="E10937" t="s">
        <v>27601</v>
      </c>
      <c r="F10937" t="s">
        <v>31574</v>
      </c>
      <c r="G10937" t="s">
        <v>31582</v>
      </c>
      <c r="H10937" t="s">
        <v>31591</v>
      </c>
      <c r="I10937" t="s">
        <v>8822</v>
      </c>
      <c r="J10937" t="s">
        <v>38505</v>
      </c>
      <c r="K10937" t="s">
        <v>41192</v>
      </c>
      <c r="M10937" t="s">
        <v>43712</v>
      </c>
      <c r="N10937" t="s">
        <v>45095</v>
      </c>
      <c r="O10937" t="s">
        <v>45096</v>
      </c>
      <c r="P10937">
        <v>0</v>
      </c>
      <c r="Q10937">
        <v>1</v>
      </c>
      <c r="R10937" t="s">
        <v>45109</v>
      </c>
      <c r="S10937" t="s">
        <v>45478</v>
      </c>
      <c r="T10937" t="s">
        <v>46926</v>
      </c>
      <c r="U10937" t="s">
        <v>56454</v>
      </c>
      <c r="W10937" t="s">
        <v>43712</v>
      </c>
      <c r="X10937" t="s">
        <v>45111</v>
      </c>
    </row>
    <row r="10938" spans="1:24">
      <c r="A10938">
        <f>HYPERLINK("https://www.philgeps.gov.ph/GEPSNONPILOT/Tender/SplashBidNoticeAbstractUI.aspx?menuIndex=3&amp;refID=7024118&amp;Result=3","7024118")</f>
        <v>0</v>
      </c>
      <c r="B10938" t="s">
        <v>2045</v>
      </c>
      <c r="C10938" t="s">
        <v>13627</v>
      </c>
      <c r="D10938" t="s">
        <v>18095</v>
      </c>
      <c r="E10938" t="s">
        <v>27602</v>
      </c>
      <c r="F10938" t="s">
        <v>31574</v>
      </c>
      <c r="G10938" t="s">
        <v>31582</v>
      </c>
      <c r="H10938" t="s">
        <v>31591</v>
      </c>
      <c r="I10938" t="s">
        <v>8822</v>
      </c>
      <c r="J10938" t="s">
        <v>38506</v>
      </c>
      <c r="K10938" t="s">
        <v>41287</v>
      </c>
      <c r="M10938" t="s">
        <v>43712</v>
      </c>
      <c r="N10938" t="s">
        <v>45095</v>
      </c>
      <c r="O10938" t="s">
        <v>45096</v>
      </c>
      <c r="P10938">
        <v>0</v>
      </c>
      <c r="Q10938">
        <v>0</v>
      </c>
      <c r="R10938" t="s">
        <v>45109</v>
      </c>
      <c r="S10938" t="s">
        <v>45478</v>
      </c>
      <c r="T10938" t="s">
        <v>46926</v>
      </c>
      <c r="U10938" t="s">
        <v>56455</v>
      </c>
      <c r="W10938" t="s">
        <v>43712</v>
      </c>
      <c r="X10938" t="s">
        <v>45111</v>
      </c>
    </row>
    <row r="10939" spans="1:24">
      <c r="A10939">
        <f>HYPERLINK("https://www.philgeps.gov.ph/GEPSNONPILOT/Tender/SplashBidNoticeAbstractUI.aspx?menuIndex=3&amp;refID=7024096&amp;Result=3","7024096")</f>
        <v>0</v>
      </c>
      <c r="B10939" t="s">
        <v>2045</v>
      </c>
      <c r="C10939" t="s">
        <v>13628</v>
      </c>
      <c r="D10939" t="s">
        <v>18095</v>
      </c>
      <c r="E10939" t="s">
        <v>27603</v>
      </c>
      <c r="F10939" t="s">
        <v>31574</v>
      </c>
      <c r="G10939" t="s">
        <v>31582</v>
      </c>
      <c r="H10939" t="s">
        <v>31591</v>
      </c>
      <c r="I10939" t="s">
        <v>8822</v>
      </c>
      <c r="J10939" t="s">
        <v>38507</v>
      </c>
      <c r="K10939" t="s">
        <v>41192</v>
      </c>
      <c r="M10939" t="s">
        <v>43712</v>
      </c>
      <c r="N10939" t="s">
        <v>45095</v>
      </c>
      <c r="O10939" t="s">
        <v>45096</v>
      </c>
      <c r="P10939">
        <v>0</v>
      </c>
      <c r="Q10939">
        <v>0</v>
      </c>
      <c r="R10939" t="s">
        <v>45109</v>
      </c>
      <c r="S10939" t="s">
        <v>45478</v>
      </c>
      <c r="T10939" t="s">
        <v>46926</v>
      </c>
      <c r="U10939" t="s">
        <v>56456</v>
      </c>
      <c r="W10939" t="s">
        <v>43712</v>
      </c>
      <c r="X10939" t="s">
        <v>45111</v>
      </c>
    </row>
    <row r="10940" spans="1:24">
      <c r="A10940">
        <f>HYPERLINK("https://www.philgeps.gov.ph/GEPSNONPILOT/Tender/SplashBidNoticeAbstractUI.aspx?menuIndex=3&amp;refID=7024127&amp;Result=3","7024127")</f>
        <v>0</v>
      </c>
      <c r="B10940" t="s">
        <v>2045</v>
      </c>
      <c r="C10940" t="s">
        <v>13629</v>
      </c>
      <c r="D10940" t="s">
        <v>18095</v>
      </c>
      <c r="E10940" t="s">
        <v>27604</v>
      </c>
      <c r="F10940" t="s">
        <v>31574</v>
      </c>
      <c r="G10940" t="s">
        <v>31582</v>
      </c>
      <c r="H10940" t="s">
        <v>31591</v>
      </c>
      <c r="I10940" t="s">
        <v>8822</v>
      </c>
      <c r="J10940" t="s">
        <v>38508</v>
      </c>
      <c r="K10940" t="s">
        <v>41287</v>
      </c>
      <c r="M10940" t="s">
        <v>43712</v>
      </c>
      <c r="N10940" t="s">
        <v>45095</v>
      </c>
      <c r="O10940" t="s">
        <v>45096</v>
      </c>
      <c r="P10940">
        <v>0</v>
      </c>
      <c r="Q10940">
        <v>0</v>
      </c>
      <c r="R10940" t="s">
        <v>45109</v>
      </c>
      <c r="S10940" t="s">
        <v>45478</v>
      </c>
      <c r="T10940" t="s">
        <v>46926</v>
      </c>
      <c r="U10940" t="s">
        <v>56457</v>
      </c>
      <c r="W10940" t="s">
        <v>43712</v>
      </c>
      <c r="X10940" t="s">
        <v>45111</v>
      </c>
    </row>
    <row r="10941" spans="1:24">
      <c r="A10941">
        <f>HYPERLINK("https://www.philgeps.gov.ph/GEPSNONPILOT/Tender/SplashBidNoticeAbstractUI.aspx?menuIndex=3&amp;refID=7024102&amp;Result=3","7024102")</f>
        <v>0</v>
      </c>
      <c r="B10941" t="s">
        <v>2045</v>
      </c>
      <c r="C10941" t="s">
        <v>13630</v>
      </c>
      <c r="D10941" t="s">
        <v>18095</v>
      </c>
      <c r="E10941" t="s">
        <v>27605</v>
      </c>
      <c r="F10941" t="s">
        <v>31574</v>
      </c>
      <c r="G10941" t="s">
        <v>31582</v>
      </c>
      <c r="H10941" t="s">
        <v>31591</v>
      </c>
      <c r="I10941" t="s">
        <v>8822</v>
      </c>
      <c r="J10941" t="s">
        <v>38509</v>
      </c>
      <c r="K10941" t="s">
        <v>41192</v>
      </c>
      <c r="M10941" t="s">
        <v>43712</v>
      </c>
      <c r="N10941" t="s">
        <v>45095</v>
      </c>
      <c r="O10941" t="s">
        <v>45096</v>
      </c>
      <c r="P10941">
        <v>0</v>
      </c>
      <c r="Q10941">
        <v>0</v>
      </c>
      <c r="R10941" t="s">
        <v>45109</v>
      </c>
      <c r="S10941" t="s">
        <v>45478</v>
      </c>
      <c r="T10941" t="s">
        <v>46926</v>
      </c>
      <c r="U10941" t="s">
        <v>56458</v>
      </c>
      <c r="W10941" t="s">
        <v>43712</v>
      </c>
      <c r="X10941" t="s">
        <v>45111</v>
      </c>
    </row>
    <row r="10942" spans="1:24">
      <c r="A10942">
        <f>HYPERLINK("https://www.philgeps.gov.ph/GEPSNONPILOT/Tender/SplashBidNoticeAbstractUI.aspx?menuIndex=3&amp;refID=7024170&amp;Result=3","7024170")</f>
        <v>0</v>
      </c>
      <c r="B10942" t="s">
        <v>2045</v>
      </c>
      <c r="C10942" t="s">
        <v>13631</v>
      </c>
      <c r="D10942" t="s">
        <v>18095</v>
      </c>
      <c r="E10942" t="s">
        <v>27606</v>
      </c>
      <c r="F10942" t="s">
        <v>31574</v>
      </c>
      <c r="G10942" t="s">
        <v>31582</v>
      </c>
      <c r="H10942" t="s">
        <v>31591</v>
      </c>
      <c r="I10942" t="s">
        <v>8822</v>
      </c>
      <c r="J10942" t="s">
        <v>38510</v>
      </c>
      <c r="K10942" t="s">
        <v>41192</v>
      </c>
      <c r="M10942" t="s">
        <v>43712</v>
      </c>
      <c r="N10942" t="s">
        <v>45095</v>
      </c>
      <c r="O10942" t="s">
        <v>45096</v>
      </c>
      <c r="P10942">
        <v>0</v>
      </c>
      <c r="Q10942">
        <v>1</v>
      </c>
      <c r="R10942" t="s">
        <v>45109</v>
      </c>
      <c r="S10942" t="s">
        <v>45478</v>
      </c>
      <c r="T10942" t="s">
        <v>46926</v>
      </c>
      <c r="U10942" t="s">
        <v>56459</v>
      </c>
      <c r="W10942" t="s">
        <v>43712</v>
      </c>
      <c r="X10942" t="s">
        <v>45111</v>
      </c>
    </row>
    <row r="10943" spans="1:24">
      <c r="A10943">
        <f>HYPERLINK("https://www.philgeps.gov.ph/GEPSNONPILOT/Tender/SplashBidNoticeAbstractUI.aspx?menuIndex=3&amp;refID=7024202&amp;Result=3","7024202")</f>
        <v>0</v>
      </c>
      <c r="B10943" t="s">
        <v>2045</v>
      </c>
      <c r="C10943" t="s">
        <v>13632</v>
      </c>
      <c r="D10943" t="s">
        <v>18095</v>
      </c>
      <c r="E10943" t="s">
        <v>27607</v>
      </c>
      <c r="F10943" t="s">
        <v>31574</v>
      </c>
      <c r="G10943" t="s">
        <v>31582</v>
      </c>
      <c r="H10943" t="s">
        <v>31591</v>
      </c>
      <c r="I10943" t="s">
        <v>8822</v>
      </c>
      <c r="J10943" t="s">
        <v>38511</v>
      </c>
      <c r="K10943" t="s">
        <v>41219</v>
      </c>
      <c r="M10943" t="s">
        <v>43712</v>
      </c>
      <c r="N10943" t="s">
        <v>45095</v>
      </c>
      <c r="O10943" t="s">
        <v>45096</v>
      </c>
      <c r="P10943">
        <v>0</v>
      </c>
      <c r="Q10943">
        <v>0</v>
      </c>
      <c r="R10943" t="s">
        <v>45109</v>
      </c>
      <c r="S10943" t="s">
        <v>45478</v>
      </c>
      <c r="T10943" t="s">
        <v>46926</v>
      </c>
      <c r="U10943" t="s">
        <v>56460</v>
      </c>
      <c r="W10943" t="s">
        <v>43712</v>
      </c>
      <c r="X10943" t="s">
        <v>45111</v>
      </c>
    </row>
    <row r="10944" spans="1:24">
      <c r="A10944">
        <f>HYPERLINK("https://www.philgeps.gov.ph/GEPSNONPILOT/Tender/SplashBidNoticeAbstractUI.aspx?menuIndex=3&amp;refID=7024180&amp;Result=3","7024180")</f>
        <v>0</v>
      </c>
      <c r="B10944" t="s">
        <v>2045</v>
      </c>
      <c r="C10944" t="s">
        <v>13633</v>
      </c>
      <c r="D10944" t="s">
        <v>18095</v>
      </c>
      <c r="E10944" t="s">
        <v>27608</v>
      </c>
      <c r="F10944" t="s">
        <v>31574</v>
      </c>
      <c r="G10944" t="s">
        <v>31582</v>
      </c>
      <c r="H10944" t="s">
        <v>31591</v>
      </c>
      <c r="I10944" t="s">
        <v>8822</v>
      </c>
      <c r="J10944" t="s">
        <v>38512</v>
      </c>
      <c r="K10944" t="s">
        <v>41192</v>
      </c>
      <c r="M10944" t="s">
        <v>43712</v>
      </c>
      <c r="N10944" t="s">
        <v>45095</v>
      </c>
      <c r="O10944" t="s">
        <v>45096</v>
      </c>
      <c r="P10944">
        <v>0</v>
      </c>
      <c r="Q10944">
        <v>0</v>
      </c>
      <c r="R10944" t="s">
        <v>45109</v>
      </c>
      <c r="S10944" t="s">
        <v>45478</v>
      </c>
      <c r="T10944" t="s">
        <v>46926</v>
      </c>
      <c r="U10944" t="s">
        <v>56461</v>
      </c>
      <c r="W10944" t="s">
        <v>43712</v>
      </c>
      <c r="X10944" t="s">
        <v>45111</v>
      </c>
    </row>
    <row r="10945" spans="1:24">
      <c r="A10945">
        <f>HYPERLINK("https://www.philgeps.gov.ph/GEPSNONPILOT/Tender/SplashBidNoticeAbstractUI.aspx?menuIndex=3&amp;refID=7024222&amp;Result=3","7024222")</f>
        <v>0</v>
      </c>
      <c r="B10945" t="s">
        <v>2045</v>
      </c>
      <c r="C10945" t="s">
        <v>13634</v>
      </c>
      <c r="D10945" t="s">
        <v>18095</v>
      </c>
      <c r="E10945" t="s">
        <v>27609</v>
      </c>
      <c r="F10945" t="s">
        <v>31574</v>
      </c>
      <c r="G10945" t="s">
        <v>31582</v>
      </c>
      <c r="H10945" t="s">
        <v>31591</v>
      </c>
      <c r="I10945" t="s">
        <v>8822</v>
      </c>
      <c r="J10945" t="s">
        <v>38513</v>
      </c>
      <c r="K10945" t="s">
        <v>41189</v>
      </c>
      <c r="M10945" t="s">
        <v>43712</v>
      </c>
      <c r="N10945" t="s">
        <v>45095</v>
      </c>
      <c r="O10945" t="s">
        <v>45096</v>
      </c>
      <c r="P10945">
        <v>0</v>
      </c>
      <c r="Q10945">
        <v>1</v>
      </c>
      <c r="R10945" t="s">
        <v>45109</v>
      </c>
      <c r="S10945" t="s">
        <v>45478</v>
      </c>
      <c r="T10945" t="s">
        <v>46926</v>
      </c>
      <c r="U10945" t="s">
        <v>56462</v>
      </c>
      <c r="W10945" t="s">
        <v>43712</v>
      </c>
      <c r="X10945" t="s">
        <v>45111</v>
      </c>
    </row>
    <row r="10946" spans="1:24">
      <c r="A10946">
        <f>HYPERLINK("https://www.philgeps.gov.ph/GEPSNONPILOT/Tender/SplashBidNoticeAbstractUI.aspx?menuIndex=3&amp;refID=7024214&amp;Result=3","7024214")</f>
        <v>0</v>
      </c>
      <c r="B10946" t="s">
        <v>2045</v>
      </c>
      <c r="C10946" t="s">
        <v>13635</v>
      </c>
      <c r="D10946" t="s">
        <v>18095</v>
      </c>
      <c r="E10946" t="s">
        <v>27610</v>
      </c>
      <c r="F10946" t="s">
        <v>31574</v>
      </c>
      <c r="G10946" t="s">
        <v>31582</v>
      </c>
      <c r="H10946" t="s">
        <v>31591</v>
      </c>
      <c r="I10946" t="s">
        <v>8822</v>
      </c>
      <c r="J10946" t="s">
        <v>38514</v>
      </c>
      <c r="K10946" t="s">
        <v>41192</v>
      </c>
      <c r="M10946" t="s">
        <v>43712</v>
      </c>
      <c r="N10946" t="s">
        <v>45095</v>
      </c>
      <c r="O10946" t="s">
        <v>45096</v>
      </c>
      <c r="P10946">
        <v>0</v>
      </c>
      <c r="Q10946">
        <v>0</v>
      </c>
      <c r="R10946" t="s">
        <v>45109</v>
      </c>
      <c r="S10946" t="s">
        <v>45478</v>
      </c>
      <c r="T10946" t="s">
        <v>46926</v>
      </c>
      <c r="U10946" t="s">
        <v>56463</v>
      </c>
      <c r="W10946" t="s">
        <v>43712</v>
      </c>
      <c r="X10946" t="s">
        <v>45111</v>
      </c>
    </row>
    <row r="10947" spans="1:24">
      <c r="A10947">
        <f>HYPERLINK("https://www.philgeps.gov.ph/GEPSNONPILOT/Tender/SplashBidNoticeAbstractUI.aspx?menuIndex=3&amp;refID=7024237&amp;Result=3","7024237")</f>
        <v>0</v>
      </c>
      <c r="B10947" t="s">
        <v>2045</v>
      </c>
      <c r="C10947" t="s">
        <v>13636</v>
      </c>
      <c r="D10947" t="s">
        <v>18095</v>
      </c>
      <c r="E10947" t="s">
        <v>27611</v>
      </c>
      <c r="F10947" t="s">
        <v>31574</v>
      </c>
      <c r="G10947" t="s">
        <v>31582</v>
      </c>
      <c r="H10947" t="s">
        <v>31591</v>
      </c>
      <c r="I10947" t="s">
        <v>8822</v>
      </c>
      <c r="J10947" t="s">
        <v>38515</v>
      </c>
      <c r="K10947" t="s">
        <v>41257</v>
      </c>
      <c r="M10947" t="s">
        <v>43712</v>
      </c>
      <c r="N10947" t="s">
        <v>45095</v>
      </c>
      <c r="O10947" t="s">
        <v>45096</v>
      </c>
      <c r="P10947">
        <v>0</v>
      </c>
      <c r="Q10947">
        <v>0</v>
      </c>
      <c r="R10947" t="s">
        <v>45109</v>
      </c>
      <c r="S10947" t="s">
        <v>45478</v>
      </c>
      <c r="T10947" t="s">
        <v>46926</v>
      </c>
      <c r="U10947" t="s">
        <v>56464</v>
      </c>
      <c r="W10947" t="s">
        <v>43712</v>
      </c>
      <c r="X10947" t="s">
        <v>45111</v>
      </c>
    </row>
    <row r="10948" spans="1:24">
      <c r="A10948">
        <f>HYPERLINK("https://www.philgeps.gov.ph/GEPSNONPILOT/Tender/SplashBidNoticeAbstractUI.aspx?menuIndex=3&amp;refID=7024176&amp;Result=3","7024176")</f>
        <v>0</v>
      </c>
      <c r="B10948" t="s">
        <v>2045</v>
      </c>
      <c r="C10948" t="s">
        <v>13637</v>
      </c>
      <c r="D10948" t="s">
        <v>18095</v>
      </c>
      <c r="E10948" t="s">
        <v>27612</v>
      </c>
      <c r="F10948" t="s">
        <v>31574</v>
      </c>
      <c r="G10948" t="s">
        <v>31582</v>
      </c>
      <c r="H10948" t="s">
        <v>31591</v>
      </c>
      <c r="I10948" t="s">
        <v>8822</v>
      </c>
      <c r="J10948" t="s">
        <v>38516</v>
      </c>
      <c r="K10948" t="s">
        <v>41399</v>
      </c>
      <c r="M10948" t="s">
        <v>43712</v>
      </c>
      <c r="N10948" t="s">
        <v>45095</v>
      </c>
      <c r="O10948" t="s">
        <v>45096</v>
      </c>
      <c r="P10948">
        <v>0</v>
      </c>
      <c r="Q10948">
        <v>0</v>
      </c>
      <c r="R10948" t="s">
        <v>45109</v>
      </c>
      <c r="S10948" t="s">
        <v>45478</v>
      </c>
      <c r="T10948" t="s">
        <v>46926</v>
      </c>
      <c r="U10948" t="s">
        <v>56465</v>
      </c>
      <c r="W10948" t="s">
        <v>43712</v>
      </c>
      <c r="X10948" t="s">
        <v>45111</v>
      </c>
    </row>
    <row r="10949" spans="1:24">
      <c r="A10949">
        <f>HYPERLINK("https://www.philgeps.gov.ph/GEPSNONPILOT/Tender/SplashBidNoticeAbstractUI.aspx?menuIndex=3&amp;refID=7024235&amp;Result=3","7024235")</f>
        <v>0</v>
      </c>
      <c r="B10949" t="s">
        <v>2045</v>
      </c>
      <c r="C10949" t="s">
        <v>13638</v>
      </c>
      <c r="D10949" t="s">
        <v>18095</v>
      </c>
      <c r="E10949" t="s">
        <v>27613</v>
      </c>
      <c r="F10949" t="s">
        <v>31574</v>
      </c>
      <c r="G10949" t="s">
        <v>31582</v>
      </c>
      <c r="H10949" t="s">
        <v>31591</v>
      </c>
      <c r="I10949" t="s">
        <v>8822</v>
      </c>
      <c r="J10949" t="s">
        <v>38517</v>
      </c>
      <c r="K10949" t="s">
        <v>41268</v>
      </c>
      <c r="M10949" t="s">
        <v>43712</v>
      </c>
      <c r="N10949" t="s">
        <v>45095</v>
      </c>
      <c r="O10949" t="s">
        <v>45096</v>
      </c>
      <c r="P10949">
        <v>0</v>
      </c>
      <c r="Q10949">
        <v>1</v>
      </c>
      <c r="R10949" t="s">
        <v>45109</v>
      </c>
      <c r="S10949" t="s">
        <v>45478</v>
      </c>
      <c r="T10949" t="s">
        <v>46926</v>
      </c>
      <c r="U10949" t="s">
        <v>56466</v>
      </c>
      <c r="W10949" t="s">
        <v>43712</v>
      </c>
      <c r="X10949" t="s">
        <v>45111</v>
      </c>
    </row>
    <row r="10950" spans="1:24">
      <c r="A10950">
        <f>HYPERLINK("https://www.philgeps.gov.ph/GEPSNONPILOT/Tender/SplashBidNoticeAbstractUI.aspx?menuIndex=3&amp;refID=7024207&amp;Result=3","7024207")</f>
        <v>0</v>
      </c>
      <c r="B10950" t="s">
        <v>2045</v>
      </c>
      <c r="C10950" t="s">
        <v>13639</v>
      </c>
      <c r="D10950" t="s">
        <v>18095</v>
      </c>
      <c r="E10950" t="s">
        <v>27614</v>
      </c>
      <c r="F10950" t="s">
        <v>31574</v>
      </c>
      <c r="G10950" t="s">
        <v>31582</v>
      </c>
      <c r="H10950" t="s">
        <v>31591</v>
      </c>
      <c r="I10950" t="s">
        <v>8822</v>
      </c>
      <c r="J10950" t="s">
        <v>38518</v>
      </c>
      <c r="K10950" t="s">
        <v>41192</v>
      </c>
      <c r="M10950" t="s">
        <v>43712</v>
      </c>
      <c r="N10950" t="s">
        <v>45095</v>
      </c>
      <c r="O10950" t="s">
        <v>45096</v>
      </c>
      <c r="P10950">
        <v>0</v>
      </c>
      <c r="Q10950">
        <v>1</v>
      </c>
      <c r="R10950" t="s">
        <v>45109</v>
      </c>
      <c r="S10950" t="s">
        <v>45478</v>
      </c>
      <c r="T10950" t="s">
        <v>46926</v>
      </c>
      <c r="U10950" t="s">
        <v>56467</v>
      </c>
      <c r="W10950" t="s">
        <v>43712</v>
      </c>
      <c r="X10950" t="s">
        <v>45111</v>
      </c>
    </row>
    <row r="10951" spans="1:24">
      <c r="A10951">
        <f>HYPERLINK("https://www.philgeps.gov.ph/GEPSNONPILOT/Tender/SplashBidNoticeAbstractUI.aspx?menuIndex=3&amp;refID=7024228&amp;Result=3","7024228")</f>
        <v>0</v>
      </c>
      <c r="B10951" t="s">
        <v>2045</v>
      </c>
      <c r="C10951" t="s">
        <v>13640</v>
      </c>
      <c r="D10951" t="s">
        <v>18095</v>
      </c>
      <c r="E10951" t="s">
        <v>27615</v>
      </c>
      <c r="F10951" t="s">
        <v>31574</v>
      </c>
      <c r="G10951" t="s">
        <v>31582</v>
      </c>
      <c r="H10951" t="s">
        <v>31591</v>
      </c>
      <c r="I10951" t="s">
        <v>8822</v>
      </c>
      <c r="J10951" t="s">
        <v>38519</v>
      </c>
      <c r="K10951" t="s">
        <v>41256</v>
      </c>
      <c r="M10951" t="s">
        <v>43712</v>
      </c>
      <c r="N10951" t="s">
        <v>45095</v>
      </c>
      <c r="O10951" t="s">
        <v>45096</v>
      </c>
      <c r="P10951">
        <v>0</v>
      </c>
      <c r="Q10951">
        <v>1</v>
      </c>
      <c r="R10951" t="s">
        <v>45109</v>
      </c>
      <c r="S10951" t="s">
        <v>45478</v>
      </c>
      <c r="T10951" t="s">
        <v>46926</v>
      </c>
      <c r="U10951" t="s">
        <v>56468</v>
      </c>
      <c r="W10951" t="s">
        <v>43712</v>
      </c>
      <c r="X10951" t="s">
        <v>45111</v>
      </c>
    </row>
    <row r="10952" spans="1:24">
      <c r="A10952">
        <f>HYPERLINK("https://www.philgeps.gov.ph/GEPSNONPILOT/Tender/SplashBidNoticeAbstractUI.aspx?menuIndex=3&amp;refID=7024232&amp;Result=3","7024232")</f>
        <v>0</v>
      </c>
      <c r="B10952" t="s">
        <v>2045</v>
      </c>
      <c r="C10952" t="s">
        <v>13641</v>
      </c>
      <c r="D10952" t="s">
        <v>18095</v>
      </c>
      <c r="E10952" t="s">
        <v>27616</v>
      </c>
      <c r="F10952" t="s">
        <v>31574</v>
      </c>
      <c r="G10952" t="s">
        <v>31582</v>
      </c>
      <c r="H10952" t="s">
        <v>31591</v>
      </c>
      <c r="I10952" t="s">
        <v>8822</v>
      </c>
      <c r="J10952" t="s">
        <v>38520</v>
      </c>
      <c r="K10952" t="s">
        <v>41304</v>
      </c>
      <c r="M10952" t="s">
        <v>43712</v>
      </c>
      <c r="N10952" t="s">
        <v>45095</v>
      </c>
      <c r="O10952" t="s">
        <v>45096</v>
      </c>
      <c r="P10952">
        <v>0</v>
      </c>
      <c r="Q10952">
        <v>1</v>
      </c>
      <c r="R10952" t="s">
        <v>45109</v>
      </c>
      <c r="S10952" t="s">
        <v>45478</v>
      </c>
      <c r="T10952" t="s">
        <v>46926</v>
      </c>
      <c r="U10952" t="s">
        <v>56469</v>
      </c>
      <c r="W10952" t="s">
        <v>43712</v>
      </c>
      <c r="X10952" t="s">
        <v>45111</v>
      </c>
    </row>
    <row r="10953" spans="1:24">
      <c r="A10953">
        <f>HYPERLINK("https://www.philgeps.gov.ph/GEPSNONPILOT/Tender/SplashBidNoticeAbstractUI.aspx?menuIndex=3&amp;refID=7024198&amp;Result=3","7024198")</f>
        <v>0</v>
      </c>
      <c r="B10953" t="s">
        <v>2045</v>
      </c>
      <c r="C10953" t="s">
        <v>13642</v>
      </c>
      <c r="D10953" t="s">
        <v>18095</v>
      </c>
      <c r="E10953" t="s">
        <v>27617</v>
      </c>
      <c r="F10953" t="s">
        <v>31574</v>
      </c>
      <c r="G10953" t="s">
        <v>31582</v>
      </c>
      <c r="H10953" t="s">
        <v>31591</v>
      </c>
      <c r="I10953" t="s">
        <v>8822</v>
      </c>
      <c r="J10953" t="s">
        <v>38521</v>
      </c>
      <c r="K10953" t="s">
        <v>41192</v>
      </c>
      <c r="M10953" t="s">
        <v>43712</v>
      </c>
      <c r="N10953" t="s">
        <v>45095</v>
      </c>
      <c r="O10953" t="s">
        <v>45096</v>
      </c>
      <c r="P10953">
        <v>0</v>
      </c>
      <c r="Q10953">
        <v>0</v>
      </c>
      <c r="R10953" t="s">
        <v>45109</v>
      </c>
      <c r="S10953" t="s">
        <v>45478</v>
      </c>
      <c r="T10953" t="s">
        <v>46926</v>
      </c>
      <c r="U10953" t="s">
        <v>56470</v>
      </c>
      <c r="W10953" t="s">
        <v>43712</v>
      </c>
      <c r="X10953" t="s">
        <v>45111</v>
      </c>
    </row>
    <row r="10954" spans="1:24">
      <c r="A10954">
        <f>HYPERLINK("https://www.philgeps.gov.ph/GEPSNONPILOT/Tender/SplashBidNoticeAbstractUI.aspx?menuIndex=3&amp;refID=7024225&amp;Result=3","7024225")</f>
        <v>0</v>
      </c>
      <c r="B10954" t="s">
        <v>2045</v>
      </c>
      <c r="C10954" t="s">
        <v>13643</v>
      </c>
      <c r="D10954" t="s">
        <v>18095</v>
      </c>
      <c r="E10954" t="s">
        <v>27618</v>
      </c>
      <c r="F10954" t="s">
        <v>31574</v>
      </c>
      <c r="G10954" t="s">
        <v>31582</v>
      </c>
      <c r="H10954" t="s">
        <v>31591</v>
      </c>
      <c r="I10954" t="s">
        <v>8822</v>
      </c>
      <c r="J10954" t="s">
        <v>38522</v>
      </c>
      <c r="K10954" t="s">
        <v>41234</v>
      </c>
      <c r="M10954" t="s">
        <v>43712</v>
      </c>
      <c r="N10954" t="s">
        <v>45095</v>
      </c>
      <c r="O10954" t="s">
        <v>45096</v>
      </c>
      <c r="P10954">
        <v>0</v>
      </c>
      <c r="Q10954">
        <v>0</v>
      </c>
      <c r="R10954" t="s">
        <v>45109</v>
      </c>
      <c r="S10954" t="s">
        <v>45478</v>
      </c>
      <c r="T10954" t="s">
        <v>46926</v>
      </c>
      <c r="U10954" t="s">
        <v>56471</v>
      </c>
      <c r="W10954" t="s">
        <v>43712</v>
      </c>
      <c r="X10954" t="s">
        <v>45111</v>
      </c>
    </row>
    <row r="10955" spans="1:24">
      <c r="A10955">
        <f>HYPERLINK("https://www.philgeps.gov.ph/GEPSNONPILOT/Tender/SplashBidNoticeAbstractUI.aspx?menuIndex=3&amp;refID=7024219&amp;Result=3","7024219")</f>
        <v>0</v>
      </c>
      <c r="B10955" t="s">
        <v>2045</v>
      </c>
      <c r="C10955" t="s">
        <v>13644</v>
      </c>
      <c r="D10955" t="s">
        <v>18095</v>
      </c>
      <c r="E10955" t="s">
        <v>27619</v>
      </c>
      <c r="F10955" t="s">
        <v>31574</v>
      </c>
      <c r="G10955" t="s">
        <v>31582</v>
      </c>
      <c r="H10955" t="s">
        <v>31591</v>
      </c>
      <c r="I10955" t="s">
        <v>8822</v>
      </c>
      <c r="J10955" t="s">
        <v>38523</v>
      </c>
      <c r="K10955" t="s">
        <v>41260</v>
      </c>
      <c r="M10955" t="s">
        <v>43712</v>
      </c>
      <c r="N10955" t="s">
        <v>45095</v>
      </c>
      <c r="O10955" t="s">
        <v>45096</v>
      </c>
      <c r="P10955">
        <v>0</v>
      </c>
      <c r="Q10955">
        <v>1</v>
      </c>
      <c r="R10955" t="s">
        <v>45109</v>
      </c>
      <c r="S10955" t="s">
        <v>45478</v>
      </c>
      <c r="T10955" t="s">
        <v>46926</v>
      </c>
      <c r="U10955" t="s">
        <v>56472</v>
      </c>
      <c r="W10955" t="s">
        <v>43712</v>
      </c>
      <c r="X10955" t="s">
        <v>45111</v>
      </c>
    </row>
    <row r="10956" spans="1:24">
      <c r="A10956">
        <f>HYPERLINK("https://www.philgeps.gov.ph/GEPSNONPILOT/Tender/SplashBidNoticeAbstractUI.aspx?menuIndex=3&amp;refID=7024212&amp;Result=3","7024212")</f>
        <v>0</v>
      </c>
      <c r="B10956" t="s">
        <v>2045</v>
      </c>
      <c r="C10956" t="s">
        <v>13645</v>
      </c>
      <c r="D10956" t="s">
        <v>18095</v>
      </c>
      <c r="E10956" t="s">
        <v>27620</v>
      </c>
      <c r="F10956" t="s">
        <v>31574</v>
      </c>
      <c r="G10956" t="s">
        <v>31582</v>
      </c>
      <c r="H10956" t="s">
        <v>31591</v>
      </c>
      <c r="I10956" t="s">
        <v>8822</v>
      </c>
      <c r="J10956" t="s">
        <v>38524</v>
      </c>
      <c r="K10956" t="s">
        <v>41217</v>
      </c>
      <c r="M10956" t="s">
        <v>43712</v>
      </c>
      <c r="N10956" t="s">
        <v>45095</v>
      </c>
      <c r="O10956" t="s">
        <v>45096</v>
      </c>
      <c r="P10956">
        <v>0</v>
      </c>
      <c r="Q10956">
        <v>0</v>
      </c>
      <c r="R10956" t="s">
        <v>45109</v>
      </c>
      <c r="S10956" t="s">
        <v>45478</v>
      </c>
      <c r="T10956" t="s">
        <v>46926</v>
      </c>
      <c r="U10956" t="s">
        <v>56473</v>
      </c>
      <c r="W10956" t="s">
        <v>43712</v>
      </c>
      <c r="X10956" t="s">
        <v>45111</v>
      </c>
    </row>
    <row r="10957" spans="1:24">
      <c r="A10957">
        <f>HYPERLINK("https://www.philgeps.gov.ph/GEPSNONPILOT/Tender/SplashBidNoticeAbstractUI.aspx?menuIndex=3&amp;refID=7024279&amp;Result=3","7024279")</f>
        <v>0</v>
      </c>
      <c r="B10957" t="s">
        <v>956</v>
      </c>
      <c r="C10957" t="s">
        <v>13646</v>
      </c>
      <c r="D10957" t="s">
        <v>18094</v>
      </c>
      <c r="E10957" t="s">
        <v>27621</v>
      </c>
      <c r="F10957" t="s">
        <v>31574</v>
      </c>
      <c r="G10957" t="s">
        <v>31582</v>
      </c>
      <c r="H10957" t="s">
        <v>31593</v>
      </c>
      <c r="I10957" t="s">
        <v>31593</v>
      </c>
      <c r="J10957" t="s">
        <v>38525</v>
      </c>
      <c r="K10957" t="s">
        <v>41200</v>
      </c>
      <c r="M10957" t="s">
        <v>42483</v>
      </c>
      <c r="N10957" t="s">
        <v>45095</v>
      </c>
      <c r="O10957" t="s">
        <v>45096</v>
      </c>
      <c r="P10957">
        <v>0</v>
      </c>
      <c r="Q10957">
        <v>3</v>
      </c>
      <c r="R10957" t="s">
        <v>45109</v>
      </c>
      <c r="S10957" t="s">
        <v>45478</v>
      </c>
      <c r="T10957" t="s">
        <v>46914</v>
      </c>
      <c r="U10957" t="s">
        <v>56474</v>
      </c>
      <c r="W10957" t="s">
        <v>42483</v>
      </c>
      <c r="X10957" t="s">
        <v>45110</v>
      </c>
    </row>
    <row r="10958" spans="1:24">
      <c r="A10958">
        <f>HYPERLINK("https://www.philgeps.gov.ph/GEPSNONPILOT/Tender/SplashBidNoticeAbstractUI.aspx?menuIndex=3&amp;refID=7024280&amp;Result=3","7024280")</f>
        <v>0</v>
      </c>
      <c r="B10958" t="s">
        <v>956</v>
      </c>
      <c r="C10958" t="s">
        <v>13647</v>
      </c>
      <c r="D10958" t="s">
        <v>18094</v>
      </c>
      <c r="E10958" t="s">
        <v>27622</v>
      </c>
      <c r="F10958" t="s">
        <v>31574</v>
      </c>
      <c r="G10958" t="s">
        <v>31582</v>
      </c>
      <c r="H10958" t="s">
        <v>31593</v>
      </c>
      <c r="I10958" t="s">
        <v>31593</v>
      </c>
      <c r="J10958" t="s">
        <v>38526</v>
      </c>
      <c r="K10958" t="s">
        <v>41310</v>
      </c>
      <c r="M10958" t="s">
        <v>42483</v>
      </c>
      <c r="N10958" t="s">
        <v>45095</v>
      </c>
      <c r="O10958" t="s">
        <v>45096</v>
      </c>
      <c r="P10958">
        <v>0</v>
      </c>
      <c r="Q10958">
        <v>3</v>
      </c>
      <c r="R10958" t="s">
        <v>45109</v>
      </c>
      <c r="S10958" t="s">
        <v>45478</v>
      </c>
      <c r="T10958" t="s">
        <v>46914</v>
      </c>
      <c r="U10958" t="s">
        <v>56474</v>
      </c>
      <c r="W10958" t="s">
        <v>42483</v>
      </c>
      <c r="X10958" t="s">
        <v>45110</v>
      </c>
    </row>
    <row r="10959" spans="1:24">
      <c r="A10959">
        <f>HYPERLINK("https://www.philgeps.gov.ph/GEPSNONPILOT/Tender/SplashBidNoticeAbstractUI.aspx?menuIndex=3&amp;refID=7024190&amp;Result=3","7024190")</f>
        <v>0</v>
      </c>
      <c r="B10959" t="s">
        <v>2045</v>
      </c>
      <c r="C10959" t="s">
        <v>13648</v>
      </c>
      <c r="D10959" t="s">
        <v>18095</v>
      </c>
      <c r="E10959" t="s">
        <v>27623</v>
      </c>
      <c r="F10959" t="s">
        <v>31574</v>
      </c>
      <c r="G10959" t="s">
        <v>31582</v>
      </c>
      <c r="H10959" t="s">
        <v>31591</v>
      </c>
      <c r="I10959" t="s">
        <v>8822</v>
      </c>
      <c r="J10959" t="s">
        <v>38527</v>
      </c>
      <c r="K10959" t="s">
        <v>41300</v>
      </c>
      <c r="M10959" t="s">
        <v>43712</v>
      </c>
      <c r="N10959" t="s">
        <v>45095</v>
      </c>
      <c r="O10959" t="s">
        <v>45096</v>
      </c>
      <c r="P10959">
        <v>0</v>
      </c>
      <c r="Q10959">
        <v>0</v>
      </c>
      <c r="R10959" t="s">
        <v>45109</v>
      </c>
      <c r="S10959" t="s">
        <v>45478</v>
      </c>
      <c r="T10959" t="s">
        <v>46926</v>
      </c>
      <c r="U10959" t="s">
        <v>56475</v>
      </c>
      <c r="W10959" t="s">
        <v>43712</v>
      </c>
      <c r="X10959" t="s">
        <v>45111</v>
      </c>
    </row>
    <row r="10960" spans="1:24">
      <c r="A10960">
        <f>HYPERLINK("https://www.philgeps.gov.ph/GEPSNONPILOT/Tender/SplashBidNoticeAbstractUI.aspx?menuIndex=3&amp;refID=7024305&amp;Result=3","7024305")</f>
        <v>0</v>
      </c>
      <c r="B10960" t="s">
        <v>255</v>
      </c>
      <c r="C10960" t="s">
        <v>13649</v>
      </c>
      <c r="D10960" t="s">
        <v>18082</v>
      </c>
      <c r="E10960" t="s">
        <v>27624</v>
      </c>
      <c r="F10960" t="s">
        <v>31574</v>
      </c>
      <c r="G10960" t="s">
        <v>31582</v>
      </c>
      <c r="H10960" t="s">
        <v>31591</v>
      </c>
      <c r="I10960" t="s">
        <v>8822</v>
      </c>
      <c r="J10960" t="s">
        <v>33574</v>
      </c>
      <c r="K10960" t="s">
        <v>41192</v>
      </c>
      <c r="M10960" t="s">
        <v>41741</v>
      </c>
      <c r="N10960" t="s">
        <v>45095</v>
      </c>
      <c r="O10960" t="s">
        <v>45096</v>
      </c>
      <c r="P10960">
        <v>0</v>
      </c>
      <c r="Q10960">
        <v>1</v>
      </c>
      <c r="R10960" t="s">
        <v>45109</v>
      </c>
      <c r="S10960" t="s">
        <v>45478</v>
      </c>
      <c r="T10960" t="s">
        <v>46926</v>
      </c>
      <c r="U10960" t="s">
        <v>56476</v>
      </c>
      <c r="W10960" t="s">
        <v>41741</v>
      </c>
      <c r="X10960" t="s">
        <v>45110</v>
      </c>
    </row>
    <row r="10961" spans="1:24">
      <c r="A10961">
        <f>HYPERLINK("https://www.philgeps.gov.ph/GEPSNONPILOT/Tender/SplashBidNoticeAbstractUI.aspx?menuIndex=3&amp;refID=7024281&amp;Result=3","7024281")</f>
        <v>0</v>
      </c>
      <c r="B10961" t="s">
        <v>956</v>
      </c>
      <c r="C10961" t="s">
        <v>13650</v>
      </c>
      <c r="D10961" t="s">
        <v>18094</v>
      </c>
      <c r="E10961" t="s">
        <v>27625</v>
      </c>
      <c r="F10961" t="s">
        <v>31574</v>
      </c>
      <c r="G10961" t="s">
        <v>31582</v>
      </c>
      <c r="H10961" t="s">
        <v>31593</v>
      </c>
      <c r="I10961" t="s">
        <v>31593</v>
      </c>
      <c r="J10961" t="s">
        <v>38528</v>
      </c>
      <c r="K10961" t="s">
        <v>41186</v>
      </c>
      <c r="M10961" t="s">
        <v>42483</v>
      </c>
      <c r="N10961" t="s">
        <v>45095</v>
      </c>
      <c r="O10961" t="s">
        <v>45096</v>
      </c>
      <c r="Q10961">
        <v>2</v>
      </c>
      <c r="R10961" t="s">
        <v>45109</v>
      </c>
      <c r="S10961" t="s">
        <v>45306</v>
      </c>
      <c r="T10961" t="s">
        <v>46913</v>
      </c>
      <c r="U10961" t="s">
        <v>56474</v>
      </c>
      <c r="W10961" t="s">
        <v>42483</v>
      </c>
      <c r="X10961" t="s">
        <v>45110</v>
      </c>
    </row>
    <row r="10962" spans="1:24">
      <c r="A10962">
        <f>HYPERLINK("https://www.philgeps.gov.ph/GEPSNONPILOT/Tender/SplashBidNoticeAbstractUI.aspx?menuIndex=3&amp;refID=7024304&amp;Result=3","7024304")</f>
        <v>0</v>
      </c>
      <c r="B10962" t="s">
        <v>2611</v>
      </c>
      <c r="C10962" t="s">
        <v>13651</v>
      </c>
      <c r="D10962" t="s">
        <v>18065</v>
      </c>
      <c r="E10962" t="s">
        <v>27626</v>
      </c>
      <c r="F10962" t="s">
        <v>31574</v>
      </c>
      <c r="G10962" t="s">
        <v>31582</v>
      </c>
      <c r="H10962" t="s">
        <v>31591</v>
      </c>
      <c r="I10962" t="s">
        <v>8822</v>
      </c>
      <c r="J10962" t="s">
        <v>38529</v>
      </c>
      <c r="K10962" t="s">
        <v>41372</v>
      </c>
      <c r="M10962" t="s">
        <v>44357</v>
      </c>
      <c r="N10962" t="s">
        <v>45095</v>
      </c>
      <c r="O10962" t="s">
        <v>45096</v>
      </c>
      <c r="P10962">
        <v>0</v>
      </c>
      <c r="Q10962">
        <v>5</v>
      </c>
      <c r="R10962" t="s">
        <v>45109</v>
      </c>
      <c r="S10962" t="s">
        <v>45478</v>
      </c>
      <c r="T10962" t="s">
        <v>47263</v>
      </c>
      <c r="U10962" t="s">
        <v>56477</v>
      </c>
      <c r="V10962" t="s">
        <v>61007</v>
      </c>
      <c r="W10962" t="s">
        <v>61747</v>
      </c>
      <c r="X10962" t="s">
        <v>45110</v>
      </c>
    </row>
    <row r="10963" spans="1:24">
      <c r="A10963">
        <f>HYPERLINK("https://www.philgeps.gov.ph/GEPSNONPILOT/Tender/SplashBidNoticeAbstractUI.aspx?menuIndex=3&amp;refID=7024340&amp;Result=3","7024340")</f>
        <v>0</v>
      </c>
      <c r="B10963" t="s">
        <v>2611</v>
      </c>
      <c r="C10963" t="s">
        <v>13652</v>
      </c>
      <c r="D10963" t="s">
        <v>18065</v>
      </c>
      <c r="E10963" t="s">
        <v>27627</v>
      </c>
      <c r="F10963" t="s">
        <v>31574</v>
      </c>
      <c r="G10963" t="s">
        <v>31582</v>
      </c>
      <c r="H10963" t="s">
        <v>31591</v>
      </c>
      <c r="I10963" t="s">
        <v>8822</v>
      </c>
      <c r="J10963" t="s">
        <v>38530</v>
      </c>
      <c r="K10963" t="s">
        <v>41235</v>
      </c>
      <c r="M10963" t="s">
        <v>44357</v>
      </c>
      <c r="N10963" t="s">
        <v>45095</v>
      </c>
      <c r="O10963" t="s">
        <v>45096</v>
      </c>
      <c r="P10963">
        <v>0</v>
      </c>
      <c r="Q10963">
        <v>4</v>
      </c>
      <c r="R10963" t="s">
        <v>45109</v>
      </c>
      <c r="S10963" t="s">
        <v>45478</v>
      </c>
      <c r="T10963" t="s">
        <v>47174</v>
      </c>
      <c r="U10963" t="s">
        <v>56478</v>
      </c>
      <c r="V10963" t="s">
        <v>61007</v>
      </c>
      <c r="W10963" t="s">
        <v>61747</v>
      </c>
      <c r="X10963" t="s">
        <v>45110</v>
      </c>
    </row>
    <row r="10964" spans="1:24">
      <c r="A10964">
        <f>HYPERLINK("https://www.philgeps.gov.ph/GEPSNONPILOT/Tender/SplashBidNoticeAbstractUI.aspx?menuIndex=3&amp;refID=7024325&amp;Result=3","7024325")</f>
        <v>0</v>
      </c>
      <c r="B10964" t="s">
        <v>59</v>
      </c>
      <c r="C10964" t="s">
        <v>13653</v>
      </c>
      <c r="D10964" t="s">
        <v>18048</v>
      </c>
      <c r="E10964" t="s">
        <v>27628</v>
      </c>
      <c r="F10964" t="s">
        <v>31574</v>
      </c>
      <c r="G10964" t="s">
        <v>31584</v>
      </c>
      <c r="H10964" t="s">
        <v>31590</v>
      </c>
      <c r="I10964" t="s">
        <v>3487</v>
      </c>
      <c r="J10964" t="s">
        <v>38531</v>
      </c>
      <c r="K10964" t="s">
        <v>41186</v>
      </c>
      <c r="M10964" t="s">
        <v>43751</v>
      </c>
      <c r="N10964" t="s">
        <v>45095</v>
      </c>
      <c r="O10964" t="s">
        <v>45096</v>
      </c>
      <c r="P10964">
        <v>0</v>
      </c>
      <c r="Q10964">
        <v>5</v>
      </c>
      <c r="R10964" t="s">
        <v>45109</v>
      </c>
      <c r="S10964" t="s">
        <v>45478</v>
      </c>
      <c r="T10964" t="s">
        <v>46949</v>
      </c>
      <c r="U10964" t="s">
        <v>56479</v>
      </c>
      <c r="W10964" t="s">
        <v>43751</v>
      </c>
      <c r="X10964" t="s">
        <v>45110</v>
      </c>
    </row>
    <row r="10965" spans="1:24">
      <c r="A10965">
        <f>HYPERLINK("https://www.philgeps.gov.ph/GEPSNONPILOT/Tender/SplashBidNoticeAbstractUI.aspx?menuIndex=3&amp;refID=7024324&amp;Result=3","7024324")</f>
        <v>0</v>
      </c>
      <c r="B10965" t="s">
        <v>1688</v>
      </c>
      <c r="C10965" t="s">
        <v>13654</v>
      </c>
      <c r="D10965" t="s">
        <v>18033</v>
      </c>
      <c r="E10965" t="s">
        <v>18722</v>
      </c>
      <c r="F10965" t="s">
        <v>31574</v>
      </c>
      <c r="G10965" t="s">
        <v>31582</v>
      </c>
      <c r="H10965" t="s">
        <v>31590</v>
      </c>
      <c r="I10965" t="s">
        <v>4046</v>
      </c>
      <c r="J10965" t="s">
        <v>32553</v>
      </c>
      <c r="K10965" t="s">
        <v>41196</v>
      </c>
      <c r="M10965" t="s">
        <v>43302</v>
      </c>
      <c r="N10965" t="s">
        <v>45095</v>
      </c>
      <c r="O10965" t="s">
        <v>45096</v>
      </c>
      <c r="P10965">
        <v>0</v>
      </c>
      <c r="Q10965">
        <v>0</v>
      </c>
      <c r="R10965" t="s">
        <v>45109</v>
      </c>
      <c r="S10965" t="s">
        <v>45478</v>
      </c>
      <c r="T10965" t="s">
        <v>46923</v>
      </c>
      <c r="U10965" t="s">
        <v>52199</v>
      </c>
      <c r="W10965" t="s">
        <v>43302</v>
      </c>
      <c r="X10965" t="s">
        <v>45110</v>
      </c>
    </row>
    <row r="10966" spans="1:24">
      <c r="A10966">
        <f>HYPERLINK("https://www.philgeps.gov.ph/GEPSNONPILOT/Tender/SplashBidNoticeAbstractUI.aspx?menuIndex=3&amp;refID=7024376&amp;Result=3","7024376")</f>
        <v>0</v>
      </c>
      <c r="B10966" t="s">
        <v>2789</v>
      </c>
      <c r="C10966" t="s">
        <v>13655</v>
      </c>
      <c r="D10966" t="s">
        <v>18036</v>
      </c>
      <c r="E10966" t="s">
        <v>27629</v>
      </c>
      <c r="F10966" t="s">
        <v>31574</v>
      </c>
      <c r="G10966" t="s">
        <v>31582</v>
      </c>
      <c r="H10966" t="s">
        <v>31591</v>
      </c>
      <c r="I10966" t="s">
        <v>8822</v>
      </c>
      <c r="J10966" t="s">
        <v>31935</v>
      </c>
      <c r="K10966" t="s">
        <v>41233</v>
      </c>
      <c r="M10966" t="s">
        <v>44564</v>
      </c>
      <c r="N10966" t="s">
        <v>45095</v>
      </c>
      <c r="O10966" t="s">
        <v>45096</v>
      </c>
      <c r="P10966">
        <v>0</v>
      </c>
      <c r="Q10966">
        <v>1</v>
      </c>
      <c r="R10966" t="s">
        <v>45109</v>
      </c>
      <c r="S10966" t="s">
        <v>45478</v>
      </c>
      <c r="T10966" t="s">
        <v>46922</v>
      </c>
      <c r="U10966" t="s">
        <v>56480</v>
      </c>
      <c r="V10966" t="s">
        <v>61008</v>
      </c>
      <c r="W10966" t="s">
        <v>61756</v>
      </c>
      <c r="X10966" t="s">
        <v>45110</v>
      </c>
    </row>
    <row r="10967" spans="1:24">
      <c r="A10967">
        <f>HYPERLINK("https://www.philgeps.gov.ph/GEPSNONPILOT/Tender/SplashBidNoticeAbstractUI.aspx?menuIndex=3&amp;refID=7024320&amp;Result=3","7024320")</f>
        <v>0</v>
      </c>
      <c r="B10967" t="s">
        <v>1688</v>
      </c>
      <c r="C10967" t="s">
        <v>13656</v>
      </c>
      <c r="D10967" t="s">
        <v>18033</v>
      </c>
      <c r="E10967" t="s">
        <v>19061</v>
      </c>
      <c r="F10967" t="s">
        <v>31574</v>
      </c>
      <c r="G10967" t="s">
        <v>31582</v>
      </c>
      <c r="H10967" t="s">
        <v>31590</v>
      </c>
      <c r="I10967" t="s">
        <v>4046</v>
      </c>
      <c r="J10967" t="s">
        <v>38532</v>
      </c>
      <c r="K10967" t="s">
        <v>41196</v>
      </c>
      <c r="M10967" t="s">
        <v>43302</v>
      </c>
      <c r="N10967" t="s">
        <v>45095</v>
      </c>
      <c r="O10967" t="s">
        <v>45096</v>
      </c>
      <c r="P10967">
        <v>0</v>
      </c>
      <c r="Q10967">
        <v>0</v>
      </c>
      <c r="R10967" t="s">
        <v>45109</v>
      </c>
      <c r="S10967" t="s">
        <v>45478</v>
      </c>
      <c r="T10967" t="s">
        <v>46923</v>
      </c>
      <c r="U10967" t="s">
        <v>52199</v>
      </c>
      <c r="W10967" t="s">
        <v>43302</v>
      </c>
      <c r="X10967" t="s">
        <v>45110</v>
      </c>
    </row>
    <row r="10968" spans="1:24">
      <c r="A10968">
        <f>HYPERLINK("https://www.philgeps.gov.ph/GEPSNONPILOT/Tender/SplashBidNoticeAbstractUI.aspx?menuIndex=3&amp;refID=7024310&amp;Result=3","7024310")</f>
        <v>0</v>
      </c>
      <c r="B10968" t="s">
        <v>2611</v>
      </c>
      <c r="C10968" t="s">
        <v>13657</v>
      </c>
      <c r="D10968" t="s">
        <v>18065</v>
      </c>
      <c r="E10968" t="s">
        <v>27630</v>
      </c>
      <c r="F10968" t="s">
        <v>31574</v>
      </c>
      <c r="G10968" t="s">
        <v>31582</v>
      </c>
      <c r="H10968" t="s">
        <v>31591</v>
      </c>
      <c r="I10968" t="s">
        <v>8822</v>
      </c>
      <c r="J10968" t="s">
        <v>37939</v>
      </c>
      <c r="K10968" t="s">
        <v>41335</v>
      </c>
      <c r="M10968" t="s">
        <v>44357</v>
      </c>
      <c r="N10968" t="s">
        <v>45095</v>
      </c>
      <c r="O10968" t="s">
        <v>45096</v>
      </c>
      <c r="P10968">
        <v>0</v>
      </c>
      <c r="Q10968">
        <v>4</v>
      </c>
      <c r="R10968" t="s">
        <v>45109</v>
      </c>
      <c r="S10968" t="s">
        <v>45478</v>
      </c>
      <c r="T10968" t="s">
        <v>47263</v>
      </c>
      <c r="U10968" t="s">
        <v>56481</v>
      </c>
      <c r="V10968" t="s">
        <v>61007</v>
      </c>
      <c r="W10968" t="s">
        <v>61747</v>
      </c>
      <c r="X10968" t="s">
        <v>45110</v>
      </c>
    </row>
    <row r="10969" spans="1:24">
      <c r="A10969">
        <f>HYPERLINK("https://www.philgeps.gov.ph/GEPSNONPILOT/Tender/SplashBidNoticeAbstractUI.aspx?menuIndex=3&amp;refID=7024328&amp;Result=3","7024328")</f>
        <v>0</v>
      </c>
      <c r="B10969" t="s">
        <v>1688</v>
      </c>
      <c r="C10969" t="s">
        <v>13654</v>
      </c>
      <c r="D10969" t="s">
        <v>18033</v>
      </c>
      <c r="E10969" t="s">
        <v>18367</v>
      </c>
      <c r="F10969" t="s">
        <v>31574</v>
      </c>
      <c r="G10969" t="s">
        <v>31582</v>
      </c>
      <c r="H10969" t="s">
        <v>31590</v>
      </c>
      <c r="I10969" t="s">
        <v>4046</v>
      </c>
      <c r="J10969" t="s">
        <v>36181</v>
      </c>
      <c r="K10969" t="s">
        <v>41196</v>
      </c>
      <c r="M10969" t="s">
        <v>43302</v>
      </c>
      <c r="N10969" t="s">
        <v>45095</v>
      </c>
      <c r="O10969" t="s">
        <v>45096</v>
      </c>
      <c r="P10969">
        <v>0</v>
      </c>
      <c r="Q10969">
        <v>0</v>
      </c>
      <c r="R10969" t="s">
        <v>45109</v>
      </c>
      <c r="S10969" t="s">
        <v>45478</v>
      </c>
      <c r="T10969" t="s">
        <v>46923</v>
      </c>
      <c r="U10969" t="s">
        <v>52199</v>
      </c>
      <c r="W10969" t="s">
        <v>43302</v>
      </c>
      <c r="X10969" t="s">
        <v>45110</v>
      </c>
    </row>
    <row r="10970" spans="1:24">
      <c r="A10970">
        <f>HYPERLINK("https://www.philgeps.gov.ph/GEPSNONPILOT/Tender/SplashBidNoticeAbstractUI.aspx?menuIndex=3&amp;refID=7024366&amp;Result=3","7024366")</f>
        <v>0</v>
      </c>
      <c r="B10970" t="s">
        <v>2789</v>
      </c>
      <c r="C10970" t="s">
        <v>13658</v>
      </c>
      <c r="D10970" t="s">
        <v>18036</v>
      </c>
      <c r="E10970" t="s">
        <v>27631</v>
      </c>
      <c r="F10970" t="s">
        <v>31574</v>
      </c>
      <c r="G10970" t="s">
        <v>31582</v>
      </c>
      <c r="H10970" t="s">
        <v>31591</v>
      </c>
      <c r="I10970" t="s">
        <v>8822</v>
      </c>
      <c r="J10970" t="s">
        <v>31935</v>
      </c>
      <c r="K10970" t="s">
        <v>41233</v>
      </c>
      <c r="M10970" t="s">
        <v>44564</v>
      </c>
      <c r="N10970" t="s">
        <v>45095</v>
      </c>
      <c r="O10970" t="s">
        <v>45096</v>
      </c>
      <c r="P10970">
        <v>0</v>
      </c>
      <c r="Q10970">
        <v>0</v>
      </c>
      <c r="R10970" t="s">
        <v>45109</v>
      </c>
      <c r="S10970" t="s">
        <v>45478</v>
      </c>
      <c r="T10970" t="s">
        <v>46922</v>
      </c>
      <c r="U10970" t="s">
        <v>56480</v>
      </c>
      <c r="V10970" t="s">
        <v>61008</v>
      </c>
      <c r="W10970" t="s">
        <v>61756</v>
      </c>
      <c r="X10970" t="s">
        <v>45110</v>
      </c>
    </row>
    <row r="10971" spans="1:24">
      <c r="A10971">
        <f>HYPERLINK("https://www.philgeps.gov.ph/GEPSNONPILOT/Tender/SplashBidNoticeAbstractUI.aspx?menuIndex=3&amp;refID=7024429&amp;Result=3","7024429")</f>
        <v>0</v>
      </c>
      <c r="B10971" t="s">
        <v>349</v>
      </c>
      <c r="C10971" t="s">
        <v>13659</v>
      </c>
      <c r="D10971" t="s">
        <v>18071</v>
      </c>
      <c r="E10971" t="s">
        <v>27632</v>
      </c>
      <c r="F10971" t="s">
        <v>31574</v>
      </c>
      <c r="G10971" t="s">
        <v>31582</v>
      </c>
      <c r="H10971" t="s">
        <v>31591</v>
      </c>
      <c r="I10971" t="s">
        <v>8822</v>
      </c>
      <c r="J10971" t="s">
        <v>34866</v>
      </c>
      <c r="K10971" t="s">
        <v>41274</v>
      </c>
      <c r="M10971" t="s">
        <v>43363</v>
      </c>
      <c r="N10971" t="s">
        <v>45095</v>
      </c>
      <c r="O10971" t="s">
        <v>45096</v>
      </c>
      <c r="P10971">
        <v>0</v>
      </c>
      <c r="Q10971">
        <v>0</v>
      </c>
      <c r="R10971" t="s">
        <v>45109</v>
      </c>
      <c r="S10971" t="s">
        <v>45478</v>
      </c>
      <c r="T10971" t="s">
        <v>47066</v>
      </c>
      <c r="U10971" t="s">
        <v>56482</v>
      </c>
      <c r="W10971" t="s">
        <v>43363</v>
      </c>
      <c r="X10971" t="s">
        <v>45110</v>
      </c>
    </row>
    <row r="10972" spans="1:24">
      <c r="A10972">
        <f>HYPERLINK("https://www.philgeps.gov.ph/GEPSNONPILOT/Tender/SplashBidNoticeAbstractUI.aspx?menuIndex=3&amp;refID=7024333&amp;Result=3","7024333")</f>
        <v>0</v>
      </c>
      <c r="B10972" t="s">
        <v>1320</v>
      </c>
      <c r="C10972" t="s">
        <v>9756</v>
      </c>
      <c r="D10972" t="s">
        <v>18033</v>
      </c>
      <c r="E10972" t="s">
        <v>27633</v>
      </c>
      <c r="F10972" t="s">
        <v>31574</v>
      </c>
      <c r="G10972" t="s">
        <v>31582</v>
      </c>
      <c r="H10972" t="s">
        <v>31590</v>
      </c>
      <c r="I10972" t="s">
        <v>4046</v>
      </c>
      <c r="J10972" t="s">
        <v>38533</v>
      </c>
      <c r="K10972" t="s">
        <v>41194</v>
      </c>
      <c r="M10972" t="s">
        <v>42890</v>
      </c>
      <c r="N10972" t="s">
        <v>45095</v>
      </c>
      <c r="O10972" t="s">
        <v>45096</v>
      </c>
      <c r="P10972">
        <v>0</v>
      </c>
      <c r="Q10972">
        <v>1</v>
      </c>
      <c r="R10972" t="s">
        <v>45109</v>
      </c>
      <c r="S10972" t="s">
        <v>45478</v>
      </c>
      <c r="T10972" t="s">
        <v>47158</v>
      </c>
      <c r="U10972" t="s">
        <v>56483</v>
      </c>
      <c r="W10972" t="s">
        <v>42890</v>
      </c>
      <c r="X10972" t="s">
        <v>45110</v>
      </c>
    </row>
    <row r="10973" spans="1:24">
      <c r="A10973">
        <f>HYPERLINK("https://www.philgeps.gov.ph/GEPSNONPILOT/Tender/SplashBidNoticeAbstractUI.aspx?menuIndex=3&amp;refID=7024346&amp;Result=3","7024346")</f>
        <v>0</v>
      </c>
      <c r="B10973" t="s">
        <v>779</v>
      </c>
      <c r="C10973" t="s">
        <v>13660</v>
      </c>
      <c r="D10973" t="s">
        <v>18081</v>
      </c>
      <c r="E10973" t="s">
        <v>27634</v>
      </c>
      <c r="F10973" t="s">
        <v>31574</v>
      </c>
      <c r="G10973" t="s">
        <v>31582</v>
      </c>
      <c r="H10973" t="s">
        <v>31590</v>
      </c>
      <c r="I10973" t="s">
        <v>31615</v>
      </c>
      <c r="J10973" t="s">
        <v>33343</v>
      </c>
      <c r="K10973" t="s">
        <v>41193</v>
      </c>
      <c r="L10973" t="s">
        <v>779</v>
      </c>
      <c r="M10973" t="s">
        <v>42293</v>
      </c>
      <c r="N10973" t="s">
        <v>45095</v>
      </c>
      <c r="O10973" t="s">
        <v>45096</v>
      </c>
      <c r="P10973">
        <v>0</v>
      </c>
      <c r="Q10973">
        <v>3</v>
      </c>
      <c r="R10973" t="s">
        <v>45109</v>
      </c>
      <c r="S10973" t="s">
        <v>45478</v>
      </c>
      <c r="T10973" t="s">
        <v>46938</v>
      </c>
      <c r="U10973" t="s">
        <v>56484</v>
      </c>
      <c r="V10973" t="s">
        <v>60755</v>
      </c>
      <c r="W10973" t="s">
        <v>42293</v>
      </c>
      <c r="X10973" t="s">
        <v>45110</v>
      </c>
    </row>
    <row r="10974" spans="1:24">
      <c r="A10974">
        <f>HYPERLINK("https://www.philgeps.gov.ph/GEPSNONPILOT/Tender/SplashBidNoticeAbstractUI.aspx?menuIndex=3&amp;refID=7024317&amp;Result=3","7024317")</f>
        <v>0</v>
      </c>
      <c r="B10974" t="s">
        <v>2611</v>
      </c>
      <c r="C10974" t="s">
        <v>13661</v>
      </c>
      <c r="D10974" t="s">
        <v>18065</v>
      </c>
      <c r="E10974" t="s">
        <v>27635</v>
      </c>
      <c r="F10974" t="s">
        <v>31574</v>
      </c>
      <c r="G10974" t="s">
        <v>31582</v>
      </c>
      <c r="H10974" t="s">
        <v>31591</v>
      </c>
      <c r="I10974" t="s">
        <v>8822</v>
      </c>
      <c r="J10974" t="s">
        <v>37939</v>
      </c>
      <c r="K10974" t="s">
        <v>41202</v>
      </c>
      <c r="M10974" t="s">
        <v>44357</v>
      </c>
      <c r="N10974" t="s">
        <v>45095</v>
      </c>
      <c r="O10974" t="s">
        <v>45096</v>
      </c>
      <c r="P10974">
        <v>0</v>
      </c>
      <c r="Q10974">
        <v>4</v>
      </c>
      <c r="R10974" t="s">
        <v>45109</v>
      </c>
      <c r="S10974" t="s">
        <v>45478</v>
      </c>
      <c r="T10974" t="s">
        <v>47263</v>
      </c>
      <c r="U10974" t="s">
        <v>56485</v>
      </c>
      <c r="V10974" t="s">
        <v>61007</v>
      </c>
      <c r="W10974" t="s">
        <v>61747</v>
      </c>
      <c r="X10974" t="s">
        <v>45110</v>
      </c>
    </row>
    <row r="10975" spans="1:24">
      <c r="A10975">
        <f>HYPERLINK("https://www.philgeps.gov.ph/GEPSNONPILOT/Tender/SplashBidNoticeAbstractUI.aspx?menuIndex=3&amp;refID=7024397&amp;Result=3","7024397")</f>
        <v>0</v>
      </c>
      <c r="B10975" t="s">
        <v>374</v>
      </c>
      <c r="C10975" t="s">
        <v>13662</v>
      </c>
      <c r="D10975" t="s">
        <v>18079</v>
      </c>
      <c r="E10975" t="s">
        <v>27636</v>
      </c>
      <c r="F10975" t="s">
        <v>31574</v>
      </c>
      <c r="G10975" t="s">
        <v>31582</v>
      </c>
      <c r="H10975" t="s">
        <v>31591</v>
      </c>
      <c r="I10975" t="s">
        <v>8822</v>
      </c>
      <c r="J10975" t="s">
        <v>38534</v>
      </c>
      <c r="K10975" t="s">
        <v>41184</v>
      </c>
      <c r="M10975" t="s">
        <v>41864</v>
      </c>
      <c r="N10975" t="s">
        <v>45095</v>
      </c>
      <c r="O10975" t="s">
        <v>45096</v>
      </c>
      <c r="P10975">
        <v>0</v>
      </c>
      <c r="Q10975">
        <v>3</v>
      </c>
      <c r="R10975" t="s">
        <v>45109</v>
      </c>
      <c r="S10975" t="s">
        <v>45478</v>
      </c>
      <c r="T10975" t="s">
        <v>47030</v>
      </c>
      <c r="U10975" t="s">
        <v>56486</v>
      </c>
      <c r="W10975" t="s">
        <v>41864</v>
      </c>
      <c r="X10975" t="s">
        <v>45110</v>
      </c>
    </row>
    <row r="10976" spans="1:24">
      <c r="A10976">
        <f>HYPERLINK("https://www.philgeps.gov.ph/GEPSNONPILOT/Tender/SplashBidNoticeAbstractUI.aspx?menuIndex=3&amp;refID=7024390&amp;Result=3","7024390")</f>
        <v>0</v>
      </c>
      <c r="B10976" t="s">
        <v>2611</v>
      </c>
      <c r="C10976" t="s">
        <v>13663</v>
      </c>
      <c r="E10976" t="s">
        <v>27637</v>
      </c>
      <c r="F10976" t="s">
        <v>31574</v>
      </c>
      <c r="G10976" t="s">
        <v>31582</v>
      </c>
      <c r="H10976" t="s">
        <v>31591</v>
      </c>
      <c r="I10976" t="s">
        <v>8822</v>
      </c>
      <c r="J10976" t="s">
        <v>38535</v>
      </c>
      <c r="K10976" t="s">
        <v>41330</v>
      </c>
      <c r="M10976" t="s">
        <v>44357</v>
      </c>
      <c r="N10976" t="s">
        <v>45095</v>
      </c>
      <c r="O10976" t="s">
        <v>45096</v>
      </c>
      <c r="P10976">
        <v>0</v>
      </c>
      <c r="Q10976">
        <v>5</v>
      </c>
      <c r="R10976" t="s">
        <v>45109</v>
      </c>
      <c r="S10976" t="s">
        <v>45478</v>
      </c>
      <c r="T10976" t="s">
        <v>47174</v>
      </c>
      <c r="U10976" t="s">
        <v>56487</v>
      </c>
      <c r="V10976" t="s">
        <v>61007</v>
      </c>
      <c r="W10976" t="s">
        <v>61747</v>
      </c>
      <c r="X10976" t="s">
        <v>45110</v>
      </c>
    </row>
    <row r="10977" spans="1:24">
      <c r="A10977">
        <f>HYPERLINK("https://www.philgeps.gov.ph/GEPSNONPILOT/Tender/SplashBidNoticeAbstractUI.aspx?menuIndex=3&amp;refID=7024363&amp;Result=3","7024363")</f>
        <v>0</v>
      </c>
      <c r="B10977" t="s">
        <v>349</v>
      </c>
      <c r="C10977" t="s">
        <v>13664</v>
      </c>
      <c r="D10977" t="s">
        <v>18071</v>
      </c>
      <c r="E10977" t="s">
        <v>27638</v>
      </c>
      <c r="F10977" t="s">
        <v>31574</v>
      </c>
      <c r="G10977" t="s">
        <v>31582</v>
      </c>
      <c r="H10977" t="s">
        <v>31591</v>
      </c>
      <c r="I10977" t="s">
        <v>8822</v>
      </c>
      <c r="J10977" t="s">
        <v>38536</v>
      </c>
      <c r="K10977" t="s">
        <v>41423</v>
      </c>
      <c r="M10977" t="s">
        <v>43363</v>
      </c>
      <c r="N10977" t="s">
        <v>45095</v>
      </c>
      <c r="O10977" t="s">
        <v>45096</v>
      </c>
      <c r="P10977">
        <v>0</v>
      </c>
      <c r="Q10977">
        <v>1</v>
      </c>
      <c r="R10977" t="s">
        <v>45109</v>
      </c>
      <c r="S10977" t="s">
        <v>45478</v>
      </c>
      <c r="T10977" t="s">
        <v>47066</v>
      </c>
      <c r="U10977" t="s">
        <v>56488</v>
      </c>
      <c r="W10977" t="s">
        <v>43363</v>
      </c>
      <c r="X10977" t="s">
        <v>45110</v>
      </c>
    </row>
    <row r="10978" spans="1:24">
      <c r="A10978">
        <f>HYPERLINK("https://www.philgeps.gov.ph/GEPSNONPILOT/Tender/SplashBidNoticeAbstractUI.aspx?menuIndex=3&amp;refID=7024401&amp;Result=3","7024401")</f>
        <v>0</v>
      </c>
      <c r="B10978" t="s">
        <v>349</v>
      </c>
      <c r="C10978" t="s">
        <v>13665</v>
      </c>
      <c r="D10978" t="s">
        <v>18071</v>
      </c>
      <c r="E10978" t="s">
        <v>27639</v>
      </c>
      <c r="F10978" t="s">
        <v>31574</v>
      </c>
      <c r="G10978" t="s">
        <v>31582</v>
      </c>
      <c r="H10978" t="s">
        <v>31591</v>
      </c>
      <c r="I10978" t="s">
        <v>8822</v>
      </c>
      <c r="J10978" t="s">
        <v>38537</v>
      </c>
      <c r="K10978" t="s">
        <v>41357</v>
      </c>
      <c r="M10978" t="s">
        <v>43363</v>
      </c>
      <c r="N10978" t="s">
        <v>45095</v>
      </c>
      <c r="O10978" t="s">
        <v>45096</v>
      </c>
      <c r="P10978">
        <v>0</v>
      </c>
      <c r="Q10978">
        <v>0</v>
      </c>
      <c r="R10978" t="s">
        <v>45109</v>
      </c>
      <c r="S10978" t="s">
        <v>45478</v>
      </c>
      <c r="T10978" t="s">
        <v>47066</v>
      </c>
      <c r="U10978" t="s">
        <v>56489</v>
      </c>
      <c r="W10978" t="s">
        <v>43363</v>
      </c>
      <c r="X10978" t="s">
        <v>45110</v>
      </c>
    </row>
    <row r="10979" spans="1:24">
      <c r="A10979">
        <f>HYPERLINK("https://www.philgeps.gov.ph/GEPSNONPILOT/Tender/SplashBidNoticeAbstractUI.aspx?menuIndex=3&amp;refID=7024394&amp;Result=3","7024394")</f>
        <v>0</v>
      </c>
      <c r="B10979" t="s">
        <v>2789</v>
      </c>
      <c r="C10979" t="s">
        <v>13666</v>
      </c>
      <c r="D10979" t="s">
        <v>18036</v>
      </c>
      <c r="E10979" t="s">
        <v>27640</v>
      </c>
      <c r="F10979" t="s">
        <v>31574</v>
      </c>
      <c r="G10979" t="s">
        <v>31582</v>
      </c>
      <c r="H10979" t="s">
        <v>31591</v>
      </c>
      <c r="I10979" t="s">
        <v>8822</v>
      </c>
      <c r="J10979" t="s">
        <v>38538</v>
      </c>
      <c r="K10979" t="s">
        <v>41192</v>
      </c>
      <c r="M10979" t="s">
        <v>44564</v>
      </c>
      <c r="N10979" t="s">
        <v>45095</v>
      </c>
      <c r="O10979" t="s">
        <v>45096</v>
      </c>
      <c r="P10979">
        <v>0</v>
      </c>
      <c r="Q10979">
        <v>0</v>
      </c>
      <c r="R10979" t="s">
        <v>45109</v>
      </c>
      <c r="S10979" t="s">
        <v>45478</v>
      </c>
      <c r="T10979" t="s">
        <v>46922</v>
      </c>
      <c r="U10979" t="s">
        <v>56490</v>
      </c>
      <c r="V10979" t="s">
        <v>61008</v>
      </c>
      <c r="W10979" t="s">
        <v>61756</v>
      </c>
      <c r="X10979" t="s">
        <v>45110</v>
      </c>
    </row>
    <row r="10980" spans="1:24">
      <c r="A10980">
        <f>HYPERLINK("https://www.philgeps.gov.ph/GEPSNONPILOT/Tender/SplashBidNoticeAbstractUI.aspx?menuIndex=3&amp;refID=7024412&amp;Result=3","7024412")</f>
        <v>0</v>
      </c>
      <c r="B10980" t="s">
        <v>2790</v>
      </c>
      <c r="C10980" t="s">
        <v>13667</v>
      </c>
      <c r="D10980" t="s">
        <v>18040</v>
      </c>
      <c r="E10980" t="s">
        <v>27641</v>
      </c>
      <c r="F10980" t="s">
        <v>31574</v>
      </c>
      <c r="G10980" t="s">
        <v>31582</v>
      </c>
      <c r="H10980" t="s">
        <v>31590</v>
      </c>
      <c r="I10980" t="s">
        <v>31615</v>
      </c>
      <c r="J10980" t="s">
        <v>32197</v>
      </c>
      <c r="K10980" t="s">
        <v>41194</v>
      </c>
      <c r="M10980" t="s">
        <v>44565</v>
      </c>
      <c r="N10980" t="s">
        <v>45095</v>
      </c>
      <c r="O10980" t="s">
        <v>45096</v>
      </c>
      <c r="P10980">
        <v>0</v>
      </c>
      <c r="Q10980">
        <v>6</v>
      </c>
      <c r="R10980" t="s">
        <v>45109</v>
      </c>
      <c r="S10980" t="s">
        <v>45478</v>
      </c>
      <c r="T10980" t="s">
        <v>46979</v>
      </c>
      <c r="U10980" t="s">
        <v>56491</v>
      </c>
      <c r="V10980" t="s">
        <v>61009</v>
      </c>
      <c r="W10980" t="s">
        <v>44565</v>
      </c>
      <c r="X10980" t="s">
        <v>45110</v>
      </c>
    </row>
    <row r="10981" spans="1:24">
      <c r="A10981">
        <f>HYPERLINK("https://www.philgeps.gov.ph/GEPSNONPILOT/Tender/SplashBidNoticeAbstractUI.aspx?menuIndex=3&amp;refID=7024385&amp;Result=3","7024385")</f>
        <v>0</v>
      </c>
      <c r="B10981" t="s">
        <v>2789</v>
      </c>
      <c r="C10981" t="s">
        <v>13668</v>
      </c>
      <c r="D10981" t="s">
        <v>18036</v>
      </c>
      <c r="E10981" t="s">
        <v>27642</v>
      </c>
      <c r="F10981" t="s">
        <v>31574</v>
      </c>
      <c r="G10981" t="s">
        <v>31582</v>
      </c>
      <c r="H10981" t="s">
        <v>31591</v>
      </c>
      <c r="I10981" t="s">
        <v>8822</v>
      </c>
      <c r="J10981" t="s">
        <v>31724</v>
      </c>
      <c r="K10981" t="s">
        <v>41293</v>
      </c>
      <c r="M10981" t="s">
        <v>44564</v>
      </c>
      <c r="N10981" t="s">
        <v>45095</v>
      </c>
      <c r="O10981" t="s">
        <v>45096</v>
      </c>
      <c r="P10981">
        <v>0</v>
      </c>
      <c r="Q10981">
        <v>0</v>
      </c>
      <c r="R10981" t="s">
        <v>45109</v>
      </c>
      <c r="S10981" t="s">
        <v>45478</v>
      </c>
      <c r="T10981" t="s">
        <v>46922</v>
      </c>
      <c r="U10981" t="s">
        <v>56490</v>
      </c>
      <c r="V10981" t="s">
        <v>61008</v>
      </c>
      <c r="W10981" t="s">
        <v>61756</v>
      </c>
      <c r="X10981" t="s">
        <v>45110</v>
      </c>
    </row>
    <row r="10982" spans="1:24">
      <c r="A10982">
        <f>HYPERLINK("https://www.philgeps.gov.ph/GEPSNONPILOT/Tender/SplashBidNoticeAbstractUI.aspx?menuIndex=3&amp;refID=7024496&amp;Result=3","7024496")</f>
        <v>0</v>
      </c>
      <c r="B10982" t="s">
        <v>2791</v>
      </c>
      <c r="C10982" t="s">
        <v>13669</v>
      </c>
      <c r="D10982" t="s">
        <v>18079</v>
      </c>
      <c r="E10982" t="s">
        <v>27643</v>
      </c>
      <c r="F10982" t="s">
        <v>31574</v>
      </c>
      <c r="G10982" t="s">
        <v>31582</v>
      </c>
      <c r="H10982" t="s">
        <v>31590</v>
      </c>
      <c r="I10982" t="s">
        <v>6800</v>
      </c>
      <c r="J10982" t="s">
        <v>31964</v>
      </c>
      <c r="K10982" t="s">
        <v>41186</v>
      </c>
      <c r="M10982" t="s">
        <v>44566</v>
      </c>
      <c r="N10982" t="s">
        <v>45095</v>
      </c>
      <c r="O10982" t="s">
        <v>45096</v>
      </c>
      <c r="P10982">
        <v>0</v>
      </c>
      <c r="Q10982">
        <v>8</v>
      </c>
      <c r="R10982" t="s">
        <v>45109</v>
      </c>
      <c r="S10982" t="s">
        <v>45478</v>
      </c>
      <c r="T10982" t="s">
        <v>47159</v>
      </c>
      <c r="U10982" t="s">
        <v>56492</v>
      </c>
      <c r="W10982" t="s">
        <v>44566</v>
      </c>
      <c r="X10982" t="s">
        <v>45110</v>
      </c>
    </row>
    <row r="10983" spans="1:24">
      <c r="A10983">
        <f>HYPERLINK("https://www.philgeps.gov.ph/GEPSNONPILOT/Tender/SplashBidNoticeAbstractUI.aspx?menuIndex=3&amp;refID=7024441&amp;Result=3","7024441")</f>
        <v>0</v>
      </c>
      <c r="B10983" t="s">
        <v>2791</v>
      </c>
      <c r="C10983" t="s">
        <v>13670</v>
      </c>
      <c r="D10983" t="s">
        <v>18079</v>
      </c>
      <c r="E10983" t="s">
        <v>27644</v>
      </c>
      <c r="F10983" t="s">
        <v>31574</v>
      </c>
      <c r="G10983" t="s">
        <v>31582</v>
      </c>
      <c r="H10983" t="s">
        <v>31590</v>
      </c>
      <c r="I10983" t="s">
        <v>8258</v>
      </c>
      <c r="J10983" t="s">
        <v>38539</v>
      </c>
      <c r="K10983" t="s">
        <v>41186</v>
      </c>
      <c r="M10983" t="s">
        <v>44566</v>
      </c>
      <c r="N10983" t="s">
        <v>45095</v>
      </c>
      <c r="O10983" t="s">
        <v>45096</v>
      </c>
      <c r="P10983">
        <v>0</v>
      </c>
      <c r="Q10983">
        <v>0</v>
      </c>
      <c r="R10983" t="s">
        <v>45109</v>
      </c>
      <c r="S10983" t="s">
        <v>45478</v>
      </c>
      <c r="T10983" t="s">
        <v>47154</v>
      </c>
      <c r="U10983" t="s">
        <v>56493</v>
      </c>
      <c r="W10983" t="s">
        <v>44566</v>
      </c>
      <c r="X10983" t="s">
        <v>45110</v>
      </c>
    </row>
    <row r="10984" spans="1:24">
      <c r="A10984">
        <f>HYPERLINK("https://www.philgeps.gov.ph/GEPSNONPILOT/Tender/SplashBidNoticeAbstractUI.aspx?menuIndex=3&amp;refID=7024537&amp;Result=3","7024537")</f>
        <v>0</v>
      </c>
      <c r="B10984" t="s">
        <v>1181</v>
      </c>
      <c r="C10984" t="s">
        <v>13671</v>
      </c>
      <c r="D10984" t="s">
        <v>18084</v>
      </c>
      <c r="E10984" t="s">
        <v>27645</v>
      </c>
      <c r="F10984" t="s">
        <v>31574</v>
      </c>
      <c r="G10984" t="s">
        <v>31582</v>
      </c>
      <c r="H10984" t="s">
        <v>31590</v>
      </c>
      <c r="I10984" t="s">
        <v>31612</v>
      </c>
      <c r="J10984" t="s">
        <v>38540</v>
      </c>
      <c r="K10984" t="s">
        <v>41184</v>
      </c>
      <c r="M10984" t="s">
        <v>42740</v>
      </c>
      <c r="N10984" t="s">
        <v>45095</v>
      </c>
      <c r="O10984" t="s">
        <v>45096</v>
      </c>
      <c r="P10984">
        <v>0</v>
      </c>
      <c r="Q10984">
        <v>9</v>
      </c>
      <c r="R10984" t="s">
        <v>45109</v>
      </c>
      <c r="S10984" t="s">
        <v>45478</v>
      </c>
      <c r="T10984" t="s">
        <v>46962</v>
      </c>
      <c r="U10984" t="s">
        <v>56494</v>
      </c>
      <c r="W10984" t="s">
        <v>42740</v>
      </c>
      <c r="X10984" t="s">
        <v>45110</v>
      </c>
    </row>
    <row r="10985" spans="1:24">
      <c r="A10985">
        <f>HYPERLINK("https://www.philgeps.gov.ph/GEPSNONPILOT/Tender/SplashBidNoticeAbstractUI.aspx?menuIndex=3&amp;refID=7024609&amp;Result=3","7024609")</f>
        <v>0</v>
      </c>
      <c r="B10985" t="s">
        <v>1181</v>
      </c>
      <c r="C10985" t="s">
        <v>13672</v>
      </c>
      <c r="D10985" t="s">
        <v>18084</v>
      </c>
      <c r="E10985" t="s">
        <v>27646</v>
      </c>
      <c r="F10985" t="s">
        <v>31574</v>
      </c>
      <c r="G10985" t="s">
        <v>31582</v>
      </c>
      <c r="H10985" t="s">
        <v>31590</v>
      </c>
      <c r="I10985" t="s">
        <v>31601</v>
      </c>
      <c r="J10985" t="s">
        <v>38541</v>
      </c>
      <c r="K10985" t="s">
        <v>41184</v>
      </c>
      <c r="M10985" t="s">
        <v>42740</v>
      </c>
      <c r="N10985" t="s">
        <v>45095</v>
      </c>
      <c r="O10985" t="s">
        <v>45096</v>
      </c>
      <c r="P10985">
        <v>0</v>
      </c>
      <c r="Q10985">
        <v>13</v>
      </c>
      <c r="R10985" t="s">
        <v>45109</v>
      </c>
      <c r="S10985" t="s">
        <v>45478</v>
      </c>
      <c r="T10985" t="s">
        <v>47267</v>
      </c>
      <c r="U10985" t="s">
        <v>56494</v>
      </c>
      <c r="W10985" t="s">
        <v>42740</v>
      </c>
      <c r="X10985" t="s">
        <v>45110</v>
      </c>
    </row>
    <row r="10986" spans="1:24">
      <c r="A10986">
        <f>HYPERLINK("https://www.philgeps.gov.ph/GEPSNONPILOT/Tender/SplashBidNoticeAbstractUI.aspx?menuIndex=3&amp;refID=7024550&amp;Result=3","7024550")</f>
        <v>0</v>
      </c>
      <c r="B10986" t="s">
        <v>2792</v>
      </c>
      <c r="C10986" t="s">
        <v>10111</v>
      </c>
      <c r="D10986" t="s">
        <v>18040</v>
      </c>
      <c r="E10986" t="s">
        <v>22574</v>
      </c>
      <c r="F10986" t="s">
        <v>31574</v>
      </c>
      <c r="G10986" t="s">
        <v>31582</v>
      </c>
      <c r="H10986" t="s">
        <v>31590</v>
      </c>
      <c r="I10986" t="s">
        <v>4327</v>
      </c>
      <c r="J10986" t="s">
        <v>38542</v>
      </c>
      <c r="K10986" t="s">
        <v>41191</v>
      </c>
      <c r="M10986" t="s">
        <v>44567</v>
      </c>
      <c r="N10986" t="s">
        <v>45095</v>
      </c>
      <c r="O10986" t="s">
        <v>45096</v>
      </c>
      <c r="P10986">
        <v>0</v>
      </c>
      <c r="Q10986">
        <v>3</v>
      </c>
      <c r="R10986" t="s">
        <v>45109</v>
      </c>
      <c r="S10986" t="s">
        <v>45478</v>
      </c>
      <c r="T10986" t="s">
        <v>47159</v>
      </c>
      <c r="U10986" t="s">
        <v>56495</v>
      </c>
      <c r="W10986" t="s">
        <v>44567</v>
      </c>
      <c r="X10986" t="s">
        <v>45110</v>
      </c>
    </row>
    <row r="10987" spans="1:24">
      <c r="A10987">
        <f>HYPERLINK("https://www.philgeps.gov.ph/GEPSNONPILOT/Tender/SplashBidNoticeAbstractUI.aspx?menuIndex=3&amp;refID=7024597&amp;Result=3","7024597")</f>
        <v>0</v>
      </c>
      <c r="B10987" t="s">
        <v>2782</v>
      </c>
      <c r="C10987" t="s">
        <v>13673</v>
      </c>
      <c r="D10987" t="s">
        <v>18102</v>
      </c>
      <c r="E10987" t="s">
        <v>27647</v>
      </c>
      <c r="F10987" t="s">
        <v>31574</v>
      </c>
      <c r="G10987" t="s">
        <v>31582</v>
      </c>
      <c r="H10987" t="s">
        <v>31591</v>
      </c>
      <c r="I10987" t="s">
        <v>8822</v>
      </c>
      <c r="J10987" t="s">
        <v>38543</v>
      </c>
      <c r="K10987" t="s">
        <v>41189</v>
      </c>
      <c r="M10987" t="s">
        <v>44557</v>
      </c>
      <c r="N10987" t="s">
        <v>45095</v>
      </c>
      <c r="O10987" t="s">
        <v>45096</v>
      </c>
      <c r="P10987">
        <v>0</v>
      </c>
      <c r="Q10987">
        <v>0</v>
      </c>
      <c r="R10987" t="s">
        <v>45109</v>
      </c>
      <c r="S10987" t="s">
        <v>45478</v>
      </c>
      <c r="T10987" t="s">
        <v>47159</v>
      </c>
      <c r="U10987" t="s">
        <v>56496</v>
      </c>
      <c r="W10987" t="s">
        <v>44557</v>
      </c>
      <c r="X10987" t="s">
        <v>45110</v>
      </c>
    </row>
    <row r="10988" spans="1:24">
      <c r="A10988">
        <f>HYPERLINK("https://www.philgeps.gov.ph/GEPSNONPILOT/Tender/SplashBidNoticeAbstractUI.aspx?menuIndex=3&amp;refID=7024603&amp;Result=3","7024603")</f>
        <v>0</v>
      </c>
      <c r="B10988" t="s">
        <v>2719</v>
      </c>
      <c r="C10988" t="s">
        <v>13674</v>
      </c>
      <c r="D10988" t="s">
        <v>18076</v>
      </c>
      <c r="E10988" t="s">
        <v>18377</v>
      </c>
      <c r="F10988" t="s">
        <v>31574</v>
      </c>
      <c r="G10988" t="s">
        <v>31582</v>
      </c>
      <c r="H10988" t="s">
        <v>31590</v>
      </c>
      <c r="I10988" t="s">
        <v>31619</v>
      </c>
      <c r="J10988" t="s">
        <v>38544</v>
      </c>
      <c r="K10988" t="s">
        <v>41190</v>
      </c>
      <c r="M10988" t="s">
        <v>44490</v>
      </c>
      <c r="N10988" t="s">
        <v>45095</v>
      </c>
      <c r="O10988" t="s">
        <v>45096</v>
      </c>
      <c r="P10988">
        <v>0</v>
      </c>
      <c r="Q10988">
        <v>7</v>
      </c>
      <c r="R10988" t="s">
        <v>45109</v>
      </c>
      <c r="S10988" t="s">
        <v>45478</v>
      </c>
      <c r="T10988" t="s">
        <v>46914</v>
      </c>
      <c r="U10988" t="s">
        <v>56497</v>
      </c>
      <c r="V10988" t="s">
        <v>61010</v>
      </c>
      <c r="W10988" t="s">
        <v>44490</v>
      </c>
      <c r="X10988" t="s">
        <v>45110</v>
      </c>
    </row>
    <row r="10989" spans="1:24">
      <c r="A10989">
        <f>HYPERLINK("https://www.philgeps.gov.ph/GEPSNONPILOT/Tender/SplashBidNoticeAbstractUI.aspx?menuIndex=3&amp;refID=7024460&amp;Result=3","7024460")</f>
        <v>0</v>
      </c>
      <c r="B10989" t="s">
        <v>349</v>
      </c>
      <c r="C10989" t="s">
        <v>13675</v>
      </c>
      <c r="D10989" t="s">
        <v>18071</v>
      </c>
      <c r="E10989" t="s">
        <v>27648</v>
      </c>
      <c r="F10989" t="s">
        <v>31574</v>
      </c>
      <c r="G10989" t="s">
        <v>31582</v>
      </c>
      <c r="H10989" t="s">
        <v>31591</v>
      </c>
      <c r="I10989" t="s">
        <v>8822</v>
      </c>
      <c r="J10989" t="s">
        <v>38545</v>
      </c>
      <c r="K10989" t="s">
        <v>41192</v>
      </c>
      <c r="M10989" t="s">
        <v>43363</v>
      </c>
      <c r="N10989" t="s">
        <v>45095</v>
      </c>
      <c r="O10989" t="s">
        <v>45096</v>
      </c>
      <c r="P10989">
        <v>0</v>
      </c>
      <c r="Q10989">
        <v>0</v>
      </c>
      <c r="R10989" t="s">
        <v>45109</v>
      </c>
      <c r="S10989" t="s">
        <v>45478</v>
      </c>
      <c r="T10989" t="s">
        <v>47066</v>
      </c>
      <c r="U10989" t="s">
        <v>56498</v>
      </c>
      <c r="W10989" t="s">
        <v>43363</v>
      </c>
      <c r="X10989" t="s">
        <v>45110</v>
      </c>
    </row>
    <row r="10990" spans="1:24">
      <c r="A10990">
        <f>HYPERLINK("https://www.philgeps.gov.ph/GEPSNONPILOT/Tender/SplashBidNoticeAbstractUI.aspx?menuIndex=3&amp;refID=7024590&amp;Result=3","7024590")</f>
        <v>0</v>
      </c>
      <c r="B10990" t="s">
        <v>2345</v>
      </c>
      <c r="C10990" t="s">
        <v>13676</v>
      </c>
      <c r="D10990" t="s">
        <v>18060</v>
      </c>
      <c r="E10990" t="s">
        <v>27649</v>
      </c>
      <c r="F10990" t="s">
        <v>31574</v>
      </c>
      <c r="G10990" t="s">
        <v>31582</v>
      </c>
      <c r="H10990" t="s">
        <v>31590</v>
      </c>
      <c r="I10990" t="s">
        <v>31594</v>
      </c>
      <c r="J10990" t="s">
        <v>33343</v>
      </c>
      <c r="K10990" t="s">
        <v>41194</v>
      </c>
      <c r="M10990" t="s">
        <v>44061</v>
      </c>
      <c r="N10990" t="s">
        <v>45095</v>
      </c>
      <c r="O10990" t="s">
        <v>45096</v>
      </c>
      <c r="P10990">
        <v>0</v>
      </c>
      <c r="Q10990">
        <v>15</v>
      </c>
      <c r="R10990" t="s">
        <v>45109</v>
      </c>
      <c r="S10990" t="s">
        <v>45478</v>
      </c>
      <c r="T10990" t="s">
        <v>46922</v>
      </c>
      <c r="U10990" t="s">
        <v>56499</v>
      </c>
      <c r="W10990" t="s">
        <v>61734</v>
      </c>
      <c r="X10990" t="s">
        <v>45110</v>
      </c>
    </row>
    <row r="10991" spans="1:24">
      <c r="A10991">
        <f>HYPERLINK("https://www.philgeps.gov.ph/GEPSNONPILOT/Tender/SplashBidNoticeAbstractUI.aspx?menuIndex=3&amp;refID=7024577&amp;Result=3","7024577")</f>
        <v>0</v>
      </c>
      <c r="B10991" t="s">
        <v>2719</v>
      </c>
      <c r="C10991" t="s">
        <v>5906</v>
      </c>
      <c r="D10991" t="s">
        <v>18076</v>
      </c>
      <c r="E10991" t="s">
        <v>18227</v>
      </c>
      <c r="F10991" t="s">
        <v>31574</v>
      </c>
      <c r="G10991" t="s">
        <v>31582</v>
      </c>
      <c r="H10991" t="s">
        <v>31590</v>
      </c>
      <c r="I10991" t="s">
        <v>31595</v>
      </c>
      <c r="J10991" t="s">
        <v>38546</v>
      </c>
      <c r="K10991" t="s">
        <v>41190</v>
      </c>
      <c r="M10991" t="s">
        <v>44490</v>
      </c>
      <c r="N10991" t="s">
        <v>45095</v>
      </c>
      <c r="O10991" t="s">
        <v>45096</v>
      </c>
      <c r="P10991">
        <v>0</v>
      </c>
      <c r="Q10991">
        <v>6</v>
      </c>
      <c r="R10991" t="s">
        <v>45109</v>
      </c>
      <c r="S10991" t="s">
        <v>45478</v>
      </c>
      <c r="T10991" t="s">
        <v>46914</v>
      </c>
      <c r="U10991" t="s">
        <v>56500</v>
      </c>
      <c r="V10991" t="s">
        <v>61011</v>
      </c>
      <c r="W10991" t="s">
        <v>44490</v>
      </c>
      <c r="X10991" t="s">
        <v>45110</v>
      </c>
    </row>
    <row r="10992" spans="1:24">
      <c r="A10992">
        <f>HYPERLINK("https://www.philgeps.gov.ph/GEPSNONPILOT/Tender/SplashBidNoticeAbstractUI.aspx?menuIndex=3&amp;refID=7024626&amp;Result=3","7024626")</f>
        <v>0</v>
      </c>
      <c r="B10992" t="s">
        <v>2793</v>
      </c>
      <c r="C10992" t="s">
        <v>13677</v>
      </c>
      <c r="D10992" t="s">
        <v>18078</v>
      </c>
      <c r="E10992" t="s">
        <v>27650</v>
      </c>
      <c r="F10992" t="s">
        <v>31574</v>
      </c>
      <c r="G10992" t="s">
        <v>31582</v>
      </c>
      <c r="H10992" t="s">
        <v>31591</v>
      </c>
      <c r="I10992" t="s">
        <v>8822</v>
      </c>
      <c r="J10992" t="s">
        <v>38547</v>
      </c>
      <c r="K10992" t="s">
        <v>41200</v>
      </c>
      <c r="M10992" t="s">
        <v>44568</v>
      </c>
      <c r="N10992" t="s">
        <v>45095</v>
      </c>
      <c r="O10992" t="s">
        <v>45096</v>
      </c>
      <c r="P10992">
        <v>0</v>
      </c>
      <c r="Q10992">
        <v>2</v>
      </c>
      <c r="R10992" t="s">
        <v>45109</v>
      </c>
      <c r="S10992" t="s">
        <v>45478</v>
      </c>
      <c r="T10992" t="s">
        <v>46984</v>
      </c>
      <c r="U10992" t="s">
        <v>56501</v>
      </c>
      <c r="V10992" t="s">
        <v>61012</v>
      </c>
      <c r="W10992" t="s">
        <v>44568</v>
      </c>
      <c r="X10992" t="s">
        <v>45110</v>
      </c>
    </row>
    <row r="10993" spans="1:24">
      <c r="A10993">
        <f>HYPERLINK("https://www.philgeps.gov.ph/GEPSNONPILOT/Tender/SplashBidNoticeAbstractUI.aspx?menuIndex=3&amp;refID=7024598&amp;Result=3","7024598")</f>
        <v>0</v>
      </c>
      <c r="B10993" t="s">
        <v>2791</v>
      </c>
      <c r="C10993" t="s">
        <v>13678</v>
      </c>
      <c r="D10993" t="s">
        <v>18079</v>
      </c>
      <c r="E10993" t="s">
        <v>27651</v>
      </c>
      <c r="F10993" t="s">
        <v>31574</v>
      </c>
      <c r="G10993" t="s">
        <v>31582</v>
      </c>
      <c r="H10993" t="s">
        <v>31590</v>
      </c>
      <c r="I10993" t="s">
        <v>31605</v>
      </c>
      <c r="J10993" t="s">
        <v>32473</v>
      </c>
      <c r="K10993" t="s">
        <v>41186</v>
      </c>
      <c r="M10993" t="s">
        <v>44566</v>
      </c>
      <c r="N10993" t="s">
        <v>45095</v>
      </c>
      <c r="O10993" t="s">
        <v>45096</v>
      </c>
      <c r="P10993">
        <v>0</v>
      </c>
      <c r="Q10993">
        <v>4</v>
      </c>
      <c r="R10993" t="s">
        <v>45109</v>
      </c>
      <c r="S10993" t="s">
        <v>45478</v>
      </c>
      <c r="T10993" t="s">
        <v>47177</v>
      </c>
      <c r="U10993" t="s">
        <v>56502</v>
      </c>
      <c r="W10993" t="s">
        <v>44566</v>
      </c>
      <c r="X10993" t="s">
        <v>45110</v>
      </c>
    </row>
    <row r="10994" spans="1:24">
      <c r="A10994">
        <f>HYPERLINK("https://www.philgeps.gov.ph/GEPSNONPILOT/Tender/SplashBidNoticeAbstractUI.aspx?menuIndex=3&amp;refID=7024528&amp;Result=3","7024528")</f>
        <v>0</v>
      </c>
      <c r="B10994" t="s">
        <v>2794</v>
      </c>
      <c r="C10994" t="s">
        <v>13679</v>
      </c>
      <c r="D10994" t="s">
        <v>18042</v>
      </c>
      <c r="E10994" t="s">
        <v>27652</v>
      </c>
      <c r="F10994" t="s">
        <v>31574</v>
      </c>
      <c r="G10994" t="s">
        <v>31582</v>
      </c>
      <c r="H10994" t="s">
        <v>31591</v>
      </c>
      <c r="I10994" t="s">
        <v>8822</v>
      </c>
      <c r="J10994" t="s">
        <v>38548</v>
      </c>
      <c r="K10994" t="s">
        <v>41203</v>
      </c>
      <c r="M10994" t="s">
        <v>44569</v>
      </c>
      <c r="N10994" t="s">
        <v>45095</v>
      </c>
      <c r="O10994" t="s">
        <v>45096</v>
      </c>
      <c r="P10994">
        <v>0</v>
      </c>
      <c r="Q10994">
        <v>4</v>
      </c>
      <c r="R10994" t="s">
        <v>45109</v>
      </c>
      <c r="S10994" t="s">
        <v>45478</v>
      </c>
      <c r="T10994" t="s">
        <v>47000</v>
      </c>
      <c r="U10994" t="s">
        <v>56503</v>
      </c>
      <c r="W10994" t="s">
        <v>44569</v>
      </c>
      <c r="X10994" t="s">
        <v>45110</v>
      </c>
    </row>
    <row r="10995" spans="1:24">
      <c r="A10995">
        <f>HYPERLINK("https://www.philgeps.gov.ph/GEPSNONPILOT/Tender/SplashBidNoticeAbstractUI.aspx?menuIndex=3&amp;refID=7024611&amp;Result=3","7024611")</f>
        <v>0</v>
      </c>
      <c r="B10995" t="s">
        <v>386</v>
      </c>
      <c r="C10995" t="s">
        <v>13680</v>
      </c>
      <c r="D10995" t="s">
        <v>18052</v>
      </c>
      <c r="E10995" t="s">
        <v>27653</v>
      </c>
      <c r="F10995" t="s">
        <v>31574</v>
      </c>
      <c r="G10995" t="s">
        <v>31582</v>
      </c>
      <c r="H10995" t="s">
        <v>31590</v>
      </c>
      <c r="I10995" t="s">
        <v>31600</v>
      </c>
      <c r="J10995" t="s">
        <v>38549</v>
      </c>
      <c r="K10995" t="s">
        <v>41186</v>
      </c>
      <c r="M10995" t="s">
        <v>41877</v>
      </c>
      <c r="N10995" t="s">
        <v>45095</v>
      </c>
      <c r="O10995" t="s">
        <v>45096</v>
      </c>
      <c r="Q10995">
        <v>3</v>
      </c>
      <c r="R10995" t="s">
        <v>45109</v>
      </c>
      <c r="S10995" t="s">
        <v>45503</v>
      </c>
      <c r="T10995" t="s">
        <v>47000</v>
      </c>
      <c r="U10995" t="s">
        <v>56504</v>
      </c>
      <c r="V10995" t="s">
        <v>59932</v>
      </c>
      <c r="W10995" t="s">
        <v>41877</v>
      </c>
      <c r="X10995" t="s">
        <v>45110</v>
      </c>
    </row>
    <row r="10996" spans="1:24">
      <c r="A10996">
        <f>HYPERLINK("https://www.philgeps.gov.ph/GEPSNONPILOT/Tender/SplashBidNoticeAbstractUI.aspx?menuIndex=3&amp;refID=7024490&amp;Result=3","7024490")</f>
        <v>0</v>
      </c>
      <c r="B10996" t="s">
        <v>1181</v>
      </c>
      <c r="C10996" t="s">
        <v>13681</v>
      </c>
      <c r="D10996" t="s">
        <v>18084</v>
      </c>
      <c r="E10996" t="s">
        <v>27654</v>
      </c>
      <c r="F10996" t="s">
        <v>31574</v>
      </c>
      <c r="G10996" t="s">
        <v>31582</v>
      </c>
      <c r="H10996" t="s">
        <v>31590</v>
      </c>
      <c r="I10996" t="s">
        <v>31689</v>
      </c>
      <c r="J10996" t="s">
        <v>32101</v>
      </c>
      <c r="K10996" t="s">
        <v>41184</v>
      </c>
      <c r="M10996" t="s">
        <v>42740</v>
      </c>
      <c r="N10996" t="s">
        <v>45095</v>
      </c>
      <c r="O10996" t="s">
        <v>45096</v>
      </c>
      <c r="P10996">
        <v>0</v>
      </c>
      <c r="Q10996">
        <v>1</v>
      </c>
      <c r="R10996" t="s">
        <v>45109</v>
      </c>
      <c r="S10996" t="s">
        <v>45478</v>
      </c>
      <c r="T10996" t="s">
        <v>47267</v>
      </c>
      <c r="U10996" t="s">
        <v>56494</v>
      </c>
      <c r="W10996" t="s">
        <v>42740</v>
      </c>
      <c r="X10996" t="s">
        <v>45110</v>
      </c>
    </row>
    <row r="10997" spans="1:24">
      <c r="A10997">
        <f>HYPERLINK("https://www.philgeps.gov.ph/GEPSNONPILOT/Tender/SplashBidNoticeAbstractUI.aspx?menuIndex=3&amp;refID=7024638&amp;Result=3","7024638")</f>
        <v>0</v>
      </c>
      <c r="B10997" t="s">
        <v>1181</v>
      </c>
      <c r="C10997" t="s">
        <v>13682</v>
      </c>
      <c r="D10997" t="s">
        <v>18084</v>
      </c>
      <c r="E10997" t="s">
        <v>27655</v>
      </c>
      <c r="F10997" t="s">
        <v>31574</v>
      </c>
      <c r="G10997" t="s">
        <v>31582</v>
      </c>
      <c r="H10997" t="s">
        <v>31590</v>
      </c>
      <c r="I10997" t="s">
        <v>31615</v>
      </c>
      <c r="J10997" t="s">
        <v>38550</v>
      </c>
      <c r="K10997" t="s">
        <v>41184</v>
      </c>
      <c r="M10997" t="s">
        <v>42740</v>
      </c>
      <c r="N10997" t="s">
        <v>45095</v>
      </c>
      <c r="O10997" t="s">
        <v>45096</v>
      </c>
      <c r="P10997">
        <v>0</v>
      </c>
      <c r="Q10997">
        <v>11</v>
      </c>
      <c r="R10997" t="s">
        <v>45109</v>
      </c>
      <c r="S10997" t="s">
        <v>45478</v>
      </c>
      <c r="T10997" t="s">
        <v>47267</v>
      </c>
      <c r="U10997" t="s">
        <v>56494</v>
      </c>
      <c r="W10997" t="s">
        <v>42740</v>
      </c>
      <c r="X10997" t="s">
        <v>45110</v>
      </c>
    </row>
    <row r="10998" spans="1:24">
      <c r="A10998">
        <f>HYPERLINK("https://www.philgeps.gov.ph/GEPSNONPILOT/Tender/SplashBidNoticeAbstractUI.aspx?menuIndex=3&amp;refID=7024589&amp;Result=3","7024589")</f>
        <v>0</v>
      </c>
      <c r="B10998" t="s">
        <v>2795</v>
      </c>
      <c r="C10998" t="s">
        <v>13683</v>
      </c>
      <c r="D10998" t="s">
        <v>18050</v>
      </c>
      <c r="E10998" t="s">
        <v>27656</v>
      </c>
      <c r="F10998" t="s">
        <v>31574</v>
      </c>
      <c r="G10998" t="s">
        <v>31582</v>
      </c>
      <c r="H10998" t="s">
        <v>31591</v>
      </c>
      <c r="I10998" t="s">
        <v>8822</v>
      </c>
      <c r="J10998" t="s">
        <v>32049</v>
      </c>
      <c r="K10998" t="s">
        <v>41329</v>
      </c>
      <c r="M10998" t="s">
        <v>44570</v>
      </c>
      <c r="N10998" t="s">
        <v>45095</v>
      </c>
      <c r="O10998" t="s">
        <v>45096</v>
      </c>
      <c r="P10998">
        <v>0</v>
      </c>
      <c r="Q10998">
        <v>0</v>
      </c>
      <c r="R10998" t="s">
        <v>45109</v>
      </c>
      <c r="S10998" t="s">
        <v>45478</v>
      </c>
      <c r="T10998" t="s">
        <v>47111</v>
      </c>
      <c r="U10998" t="s">
        <v>56505</v>
      </c>
      <c r="W10998" t="s">
        <v>44570</v>
      </c>
      <c r="X10998" t="s">
        <v>45110</v>
      </c>
    </row>
    <row r="10999" spans="1:24">
      <c r="A10999">
        <f>HYPERLINK("https://www.philgeps.gov.ph/GEPSNONPILOT/Tender/SplashBidNoticeAbstractUI.aspx?menuIndex=3&amp;refID=7024615&amp;Result=3","7024615")</f>
        <v>0</v>
      </c>
      <c r="B10999" t="s">
        <v>2345</v>
      </c>
      <c r="C10999" t="s">
        <v>13684</v>
      </c>
      <c r="D10999" t="s">
        <v>18060</v>
      </c>
      <c r="E10999" t="s">
        <v>27657</v>
      </c>
      <c r="F10999" t="s">
        <v>31574</v>
      </c>
      <c r="G10999" t="s">
        <v>31582</v>
      </c>
      <c r="H10999" t="s">
        <v>31590</v>
      </c>
      <c r="I10999" t="s">
        <v>7185</v>
      </c>
      <c r="J10999" t="s">
        <v>38551</v>
      </c>
      <c r="K10999" t="s">
        <v>41206</v>
      </c>
      <c r="M10999" t="s">
        <v>44061</v>
      </c>
      <c r="N10999" t="s">
        <v>45095</v>
      </c>
      <c r="O10999" t="s">
        <v>45096</v>
      </c>
      <c r="P10999">
        <v>0</v>
      </c>
      <c r="Q10999">
        <v>6</v>
      </c>
      <c r="R10999" t="s">
        <v>45109</v>
      </c>
      <c r="S10999" t="s">
        <v>45478</v>
      </c>
      <c r="T10999" t="s">
        <v>46922</v>
      </c>
      <c r="U10999" t="s">
        <v>56506</v>
      </c>
      <c r="W10999" t="s">
        <v>61734</v>
      </c>
      <c r="X10999" t="s">
        <v>45110</v>
      </c>
    </row>
    <row r="11000" spans="1:24">
      <c r="A11000">
        <f>HYPERLINK("https://www.philgeps.gov.ph/GEPSNONPILOT/Tender/SplashBidNoticeAbstractUI.aspx?menuIndex=3&amp;refID=7024666&amp;Result=3","7024666")</f>
        <v>0</v>
      </c>
      <c r="B11000" t="s">
        <v>1688</v>
      </c>
      <c r="C11000" t="s">
        <v>13685</v>
      </c>
      <c r="D11000" t="s">
        <v>18033</v>
      </c>
      <c r="E11000" t="s">
        <v>19368</v>
      </c>
      <c r="F11000" t="s">
        <v>31574</v>
      </c>
      <c r="G11000" t="s">
        <v>31582</v>
      </c>
      <c r="H11000" t="s">
        <v>31590</v>
      </c>
      <c r="I11000" t="s">
        <v>31612</v>
      </c>
      <c r="J11000" t="s">
        <v>31843</v>
      </c>
      <c r="K11000" t="s">
        <v>41196</v>
      </c>
      <c r="M11000" t="s">
        <v>43302</v>
      </c>
      <c r="N11000" t="s">
        <v>45095</v>
      </c>
      <c r="O11000" t="s">
        <v>45096</v>
      </c>
      <c r="P11000">
        <v>0</v>
      </c>
      <c r="Q11000">
        <v>0</v>
      </c>
      <c r="R11000" t="s">
        <v>45109</v>
      </c>
      <c r="S11000" t="s">
        <v>45478</v>
      </c>
      <c r="T11000" t="s">
        <v>46923</v>
      </c>
      <c r="U11000" t="s">
        <v>56507</v>
      </c>
      <c r="W11000" t="s">
        <v>43302</v>
      </c>
      <c r="X11000" t="s">
        <v>45110</v>
      </c>
    </row>
    <row r="11001" spans="1:24">
      <c r="A11001">
        <f>HYPERLINK("https://www.philgeps.gov.ph/GEPSNONPILOT/Tender/SplashBidNoticeAbstractUI.aspx?menuIndex=3&amp;refID=7024670&amp;Result=3","7024670")</f>
        <v>0</v>
      </c>
      <c r="B11001" t="s">
        <v>2719</v>
      </c>
      <c r="C11001" t="s">
        <v>13686</v>
      </c>
      <c r="D11001" t="s">
        <v>18076</v>
      </c>
      <c r="E11001" t="s">
        <v>18936</v>
      </c>
      <c r="F11001" t="s">
        <v>31574</v>
      </c>
      <c r="G11001" t="s">
        <v>31582</v>
      </c>
      <c r="H11001" t="s">
        <v>31590</v>
      </c>
      <c r="I11001" t="s">
        <v>4046</v>
      </c>
      <c r="J11001" t="s">
        <v>38552</v>
      </c>
      <c r="K11001" t="s">
        <v>41190</v>
      </c>
      <c r="M11001" t="s">
        <v>44490</v>
      </c>
      <c r="N11001" t="s">
        <v>45095</v>
      </c>
      <c r="O11001" t="s">
        <v>45096</v>
      </c>
      <c r="P11001">
        <v>0</v>
      </c>
      <c r="Q11001">
        <v>0</v>
      </c>
      <c r="R11001" t="s">
        <v>45109</v>
      </c>
      <c r="S11001" t="s">
        <v>45478</v>
      </c>
      <c r="T11001" t="s">
        <v>46914</v>
      </c>
      <c r="U11001" t="s">
        <v>56508</v>
      </c>
      <c r="V11001" t="s">
        <v>61013</v>
      </c>
      <c r="W11001" t="s">
        <v>44490</v>
      </c>
      <c r="X11001" t="s">
        <v>45110</v>
      </c>
    </row>
    <row r="11002" spans="1:24">
      <c r="A11002">
        <f>HYPERLINK("https://www.philgeps.gov.ph/GEPSNONPILOT/Tender/SplashBidNoticeAbstractUI.aspx?menuIndex=3&amp;refID=7024631&amp;Result=3","7024631")</f>
        <v>0</v>
      </c>
      <c r="B11002" t="s">
        <v>2345</v>
      </c>
      <c r="C11002" t="s">
        <v>13687</v>
      </c>
      <c r="D11002" t="s">
        <v>18060</v>
      </c>
      <c r="E11002" t="s">
        <v>27658</v>
      </c>
      <c r="F11002" t="s">
        <v>31574</v>
      </c>
      <c r="G11002" t="s">
        <v>31582</v>
      </c>
      <c r="H11002" t="s">
        <v>31590</v>
      </c>
      <c r="I11002" t="s">
        <v>7185</v>
      </c>
      <c r="J11002" t="s">
        <v>35587</v>
      </c>
      <c r="K11002" t="s">
        <v>41194</v>
      </c>
      <c r="M11002" t="s">
        <v>44061</v>
      </c>
      <c r="N11002" t="s">
        <v>45095</v>
      </c>
      <c r="O11002" t="s">
        <v>45096</v>
      </c>
      <c r="P11002">
        <v>0</v>
      </c>
      <c r="Q11002">
        <v>4</v>
      </c>
      <c r="R11002" t="s">
        <v>45109</v>
      </c>
      <c r="S11002" t="s">
        <v>45478</v>
      </c>
      <c r="T11002" t="s">
        <v>46922</v>
      </c>
      <c r="U11002" t="s">
        <v>56509</v>
      </c>
      <c r="W11002" t="s">
        <v>61734</v>
      </c>
      <c r="X11002" t="s">
        <v>45110</v>
      </c>
    </row>
    <row r="11003" spans="1:24">
      <c r="A11003">
        <f>HYPERLINK("https://www.philgeps.gov.ph/GEPSNONPILOT/Tender/SplashBidNoticeAbstractUI.aspx?menuIndex=3&amp;refID=7024720&amp;Result=3","7024720")</f>
        <v>0</v>
      </c>
      <c r="B11003" t="s">
        <v>1931</v>
      </c>
      <c r="C11003" t="s">
        <v>13688</v>
      </c>
      <c r="D11003" t="s">
        <v>18029</v>
      </c>
      <c r="E11003" t="s">
        <v>22173</v>
      </c>
      <c r="F11003" t="s">
        <v>31574</v>
      </c>
      <c r="G11003" t="s">
        <v>31581</v>
      </c>
      <c r="H11003" t="s">
        <v>31590</v>
      </c>
      <c r="I11003" t="s">
        <v>31629</v>
      </c>
      <c r="J11003" t="s">
        <v>34132</v>
      </c>
      <c r="K11003" t="s">
        <v>41213</v>
      </c>
      <c r="M11003" t="s">
        <v>43585</v>
      </c>
      <c r="N11003" t="s">
        <v>45095</v>
      </c>
      <c r="O11003" t="s">
        <v>45096</v>
      </c>
      <c r="P11003">
        <v>0</v>
      </c>
      <c r="Q11003">
        <v>0</v>
      </c>
      <c r="R11003" t="s">
        <v>45109</v>
      </c>
      <c r="S11003" t="s">
        <v>45478</v>
      </c>
      <c r="T11003" t="s">
        <v>46963</v>
      </c>
      <c r="U11003" t="s">
        <v>56510</v>
      </c>
      <c r="W11003" t="s">
        <v>43585</v>
      </c>
      <c r="X11003" t="s">
        <v>45110</v>
      </c>
    </row>
    <row r="11004" spans="1:24">
      <c r="A11004">
        <f>HYPERLINK("https://www.philgeps.gov.ph/GEPSNONPILOT/Tender/SplashBidNoticeAbstractUI.aspx?menuIndex=3&amp;refID=7024723&amp;Result=3","7024723")</f>
        <v>0</v>
      </c>
      <c r="B11004" t="s">
        <v>2796</v>
      </c>
      <c r="C11004" t="s">
        <v>13689</v>
      </c>
      <c r="D11004" t="s">
        <v>18046</v>
      </c>
      <c r="E11004" t="s">
        <v>27659</v>
      </c>
      <c r="F11004" t="s">
        <v>31574</v>
      </c>
      <c r="G11004" t="s">
        <v>31582</v>
      </c>
      <c r="H11004" t="s">
        <v>31590</v>
      </c>
      <c r="I11004" t="s">
        <v>31600</v>
      </c>
      <c r="J11004" t="s">
        <v>38553</v>
      </c>
      <c r="K11004" t="s">
        <v>41196</v>
      </c>
      <c r="M11004" t="s">
        <v>44571</v>
      </c>
      <c r="N11004" t="s">
        <v>45095</v>
      </c>
      <c r="O11004" t="s">
        <v>45096</v>
      </c>
      <c r="P11004">
        <v>0</v>
      </c>
      <c r="Q11004">
        <v>0</v>
      </c>
      <c r="R11004" t="s">
        <v>45109</v>
      </c>
      <c r="S11004" t="s">
        <v>45478</v>
      </c>
      <c r="T11004" t="s">
        <v>46986</v>
      </c>
      <c r="U11004" t="s">
        <v>56511</v>
      </c>
      <c r="W11004" t="s">
        <v>61757</v>
      </c>
      <c r="X11004" t="s">
        <v>45110</v>
      </c>
    </row>
    <row r="11005" spans="1:24">
      <c r="A11005">
        <f>HYPERLINK("https://www.philgeps.gov.ph/GEPSNONPILOT/Tender/SplashBidNoticeAbstractUI.aspx?menuIndex=3&amp;refID=7024807&amp;Result=3","7024807")</f>
        <v>0</v>
      </c>
      <c r="B11005" t="s">
        <v>2797</v>
      </c>
      <c r="C11005" t="s">
        <v>13690</v>
      </c>
      <c r="D11005" t="s">
        <v>18024</v>
      </c>
      <c r="E11005" t="s">
        <v>27660</v>
      </c>
      <c r="F11005" t="s">
        <v>31574</v>
      </c>
      <c r="G11005" t="s">
        <v>31582</v>
      </c>
      <c r="H11005" t="s">
        <v>31590</v>
      </c>
      <c r="I11005" t="s">
        <v>3489</v>
      </c>
      <c r="J11005" t="s">
        <v>31829</v>
      </c>
      <c r="K11005" t="s">
        <v>41193</v>
      </c>
      <c r="M11005" t="s">
        <v>44572</v>
      </c>
      <c r="N11005" t="s">
        <v>45095</v>
      </c>
      <c r="O11005" t="s">
        <v>45096</v>
      </c>
      <c r="P11005">
        <v>0</v>
      </c>
      <c r="Q11005">
        <v>0</v>
      </c>
      <c r="R11005" t="s">
        <v>45109</v>
      </c>
      <c r="S11005" t="s">
        <v>45478</v>
      </c>
      <c r="T11005" t="s">
        <v>47265</v>
      </c>
      <c r="U11005" t="s">
        <v>56512</v>
      </c>
      <c r="W11005" t="s">
        <v>44572</v>
      </c>
      <c r="X11005" t="s">
        <v>45110</v>
      </c>
    </row>
    <row r="11006" spans="1:24">
      <c r="A11006">
        <f>HYPERLINK("https://www.philgeps.gov.ph/GEPSNONPILOT/Tender/SplashBidNoticeAbstractUI.aspx?menuIndex=3&amp;refID=7024762&amp;Result=3","7024762")</f>
        <v>0</v>
      </c>
      <c r="B11006" t="s">
        <v>1676</v>
      </c>
      <c r="C11006" t="s">
        <v>13691</v>
      </c>
      <c r="D11006" t="s">
        <v>18090</v>
      </c>
      <c r="E11006" t="s">
        <v>27661</v>
      </c>
      <c r="F11006" t="s">
        <v>31574</v>
      </c>
      <c r="G11006" t="s">
        <v>31582</v>
      </c>
      <c r="H11006" t="s">
        <v>31590</v>
      </c>
      <c r="I11006" t="s">
        <v>31629</v>
      </c>
      <c r="J11006" t="s">
        <v>38554</v>
      </c>
      <c r="K11006" t="s">
        <v>41200</v>
      </c>
      <c r="L11006" t="s">
        <v>1676</v>
      </c>
      <c r="M11006" t="s">
        <v>43289</v>
      </c>
      <c r="N11006" t="s">
        <v>45095</v>
      </c>
      <c r="O11006" t="s">
        <v>45096</v>
      </c>
      <c r="P11006">
        <v>0</v>
      </c>
      <c r="Q11006">
        <v>1</v>
      </c>
      <c r="R11006" t="s">
        <v>45109</v>
      </c>
      <c r="S11006" t="s">
        <v>45478</v>
      </c>
      <c r="T11006" t="s">
        <v>47097</v>
      </c>
      <c r="U11006" t="s">
        <v>56513</v>
      </c>
      <c r="V11006" t="s">
        <v>61014</v>
      </c>
      <c r="W11006" t="s">
        <v>43289</v>
      </c>
      <c r="X11006" t="s">
        <v>45110</v>
      </c>
    </row>
    <row r="11007" spans="1:24">
      <c r="A11007">
        <f>HYPERLINK("https://www.philgeps.gov.ph/GEPSNONPILOT/Tender/SplashBidNoticeAbstractUI.aspx?menuIndex=3&amp;refID=7024793&amp;Result=3","7024793")</f>
        <v>0</v>
      </c>
      <c r="B11007" t="s">
        <v>2798</v>
      </c>
      <c r="C11007" t="s">
        <v>13692</v>
      </c>
      <c r="D11007" t="s">
        <v>18047</v>
      </c>
      <c r="E11007" t="s">
        <v>27662</v>
      </c>
      <c r="F11007" t="s">
        <v>31574</v>
      </c>
      <c r="G11007" t="s">
        <v>31582</v>
      </c>
      <c r="H11007" t="s">
        <v>31591</v>
      </c>
      <c r="I11007" t="s">
        <v>8822</v>
      </c>
      <c r="J11007" t="s">
        <v>38555</v>
      </c>
      <c r="K11007" t="s">
        <v>41301</v>
      </c>
      <c r="M11007" t="s">
        <v>44573</v>
      </c>
      <c r="N11007" t="s">
        <v>45095</v>
      </c>
      <c r="O11007" t="s">
        <v>45096</v>
      </c>
      <c r="Q11007">
        <v>4</v>
      </c>
      <c r="R11007" t="s">
        <v>45109</v>
      </c>
      <c r="S11007" t="s">
        <v>45504</v>
      </c>
      <c r="T11007" t="s">
        <v>46979</v>
      </c>
      <c r="U11007" t="s">
        <v>56514</v>
      </c>
      <c r="W11007" t="s">
        <v>44573</v>
      </c>
      <c r="X11007" t="s">
        <v>45110</v>
      </c>
    </row>
    <row r="11008" spans="1:24">
      <c r="A11008">
        <f>HYPERLINK("https://www.philgeps.gov.ph/GEPSNONPILOT/Tender/SplashBidNoticeAbstractUI.aspx?menuIndex=3&amp;refID=7024806&amp;Result=3","7024806")</f>
        <v>0</v>
      </c>
      <c r="B11008" t="s">
        <v>176</v>
      </c>
      <c r="C11008" t="s">
        <v>13693</v>
      </c>
      <c r="D11008" t="s">
        <v>18059</v>
      </c>
      <c r="E11008" t="s">
        <v>27663</v>
      </c>
      <c r="F11008" t="s">
        <v>31574</v>
      </c>
      <c r="G11008" t="s">
        <v>31582</v>
      </c>
      <c r="H11008" t="s">
        <v>31590</v>
      </c>
      <c r="I11008" t="s">
        <v>31615</v>
      </c>
      <c r="J11008" t="s">
        <v>32375</v>
      </c>
      <c r="K11008" t="s">
        <v>41193</v>
      </c>
      <c r="M11008" t="s">
        <v>41660</v>
      </c>
      <c r="N11008" t="s">
        <v>45095</v>
      </c>
      <c r="O11008" t="s">
        <v>45096</v>
      </c>
      <c r="P11008">
        <v>0</v>
      </c>
      <c r="Q11008">
        <v>1</v>
      </c>
      <c r="R11008" t="s">
        <v>45109</v>
      </c>
      <c r="S11008" t="s">
        <v>45478</v>
      </c>
      <c r="T11008" t="s">
        <v>46938</v>
      </c>
      <c r="U11008" t="s">
        <v>56515</v>
      </c>
      <c r="W11008" t="s">
        <v>41660</v>
      </c>
      <c r="X11008" t="s">
        <v>45110</v>
      </c>
    </row>
    <row r="11009" spans="1:24">
      <c r="A11009">
        <f>HYPERLINK("https://www.philgeps.gov.ph/GEPSNONPILOT/Tender/SplashBidNoticeAbstractUI.aspx?menuIndex=3&amp;refID=7024706&amp;Result=3","7024706")</f>
        <v>0</v>
      </c>
      <c r="B11009" t="s">
        <v>1749</v>
      </c>
      <c r="C11009" t="s">
        <v>13694</v>
      </c>
      <c r="D11009" t="s">
        <v>18023</v>
      </c>
      <c r="E11009" t="s">
        <v>19165</v>
      </c>
      <c r="F11009" t="s">
        <v>31574</v>
      </c>
      <c r="G11009" t="s">
        <v>31582</v>
      </c>
      <c r="H11009" t="s">
        <v>31590</v>
      </c>
      <c r="I11009" t="s">
        <v>31608</v>
      </c>
      <c r="J11009" t="s">
        <v>38556</v>
      </c>
      <c r="K11009" t="s">
        <v>41289</v>
      </c>
      <c r="M11009" t="s">
        <v>43373</v>
      </c>
      <c r="N11009" t="s">
        <v>45095</v>
      </c>
      <c r="O11009" t="s">
        <v>45096</v>
      </c>
      <c r="P11009">
        <v>0</v>
      </c>
      <c r="Q11009">
        <v>2</v>
      </c>
      <c r="R11009" t="s">
        <v>45109</v>
      </c>
      <c r="S11009" t="s">
        <v>45478</v>
      </c>
      <c r="T11009" t="s">
        <v>46979</v>
      </c>
      <c r="U11009" t="s">
        <v>56516</v>
      </c>
      <c r="V11009" t="s">
        <v>61015</v>
      </c>
      <c r="W11009" t="s">
        <v>43373</v>
      </c>
      <c r="X11009" t="s">
        <v>45110</v>
      </c>
    </row>
    <row r="11010" spans="1:24">
      <c r="A11010">
        <f>HYPERLINK("https://www.philgeps.gov.ph/GEPSNONPILOT/Tender/SplashBidNoticeAbstractUI.aspx?menuIndex=3&amp;refID=7024753&amp;Result=3","7024753")</f>
        <v>0</v>
      </c>
      <c r="B11010" t="s">
        <v>1931</v>
      </c>
      <c r="C11010" t="s">
        <v>13695</v>
      </c>
      <c r="D11010" t="s">
        <v>18029</v>
      </c>
      <c r="E11010" t="s">
        <v>26094</v>
      </c>
      <c r="F11010" t="s">
        <v>31574</v>
      </c>
      <c r="G11010" t="s">
        <v>31581</v>
      </c>
      <c r="H11010" t="s">
        <v>31590</v>
      </c>
      <c r="I11010" t="s">
        <v>31629</v>
      </c>
      <c r="J11010" t="s">
        <v>38557</v>
      </c>
      <c r="K11010" t="s">
        <v>41213</v>
      </c>
      <c r="M11010" t="s">
        <v>43585</v>
      </c>
      <c r="N11010" t="s">
        <v>45095</v>
      </c>
      <c r="O11010" t="s">
        <v>45096</v>
      </c>
      <c r="P11010">
        <v>0</v>
      </c>
      <c r="Q11010">
        <v>0</v>
      </c>
      <c r="R11010" t="s">
        <v>45109</v>
      </c>
      <c r="S11010" t="s">
        <v>45478</v>
      </c>
      <c r="T11010" t="s">
        <v>46973</v>
      </c>
      <c r="U11010" t="s">
        <v>56517</v>
      </c>
      <c r="W11010" t="s">
        <v>43585</v>
      </c>
      <c r="X11010" t="s">
        <v>45110</v>
      </c>
    </row>
    <row r="11011" spans="1:24">
      <c r="A11011">
        <f>HYPERLINK("https://www.philgeps.gov.ph/GEPSNONPILOT/Tender/SplashBidNoticeAbstractUI.aspx?menuIndex=3&amp;refID=7024783&amp;Result=3","7024783")</f>
        <v>0</v>
      </c>
      <c r="B11011" t="s">
        <v>2799</v>
      </c>
      <c r="C11011" t="s">
        <v>13696</v>
      </c>
      <c r="D11011" t="s">
        <v>18079</v>
      </c>
      <c r="E11011" t="s">
        <v>27664</v>
      </c>
      <c r="F11011" t="s">
        <v>31574</v>
      </c>
      <c r="G11011" t="s">
        <v>31582</v>
      </c>
      <c r="H11011" t="s">
        <v>31593</v>
      </c>
      <c r="I11011" t="s">
        <v>31593</v>
      </c>
      <c r="J11011" t="s">
        <v>32026</v>
      </c>
      <c r="K11011" t="s">
        <v>41200</v>
      </c>
      <c r="M11011" t="s">
        <v>44574</v>
      </c>
      <c r="N11011" t="s">
        <v>45095</v>
      </c>
      <c r="O11011" t="s">
        <v>45096</v>
      </c>
      <c r="P11011">
        <v>0</v>
      </c>
      <c r="Q11011">
        <v>6</v>
      </c>
      <c r="R11011" t="s">
        <v>45109</v>
      </c>
      <c r="S11011" t="s">
        <v>45478</v>
      </c>
      <c r="T11011" t="s">
        <v>46991</v>
      </c>
      <c r="U11011" t="s">
        <v>56518</v>
      </c>
      <c r="W11011" t="s">
        <v>44574</v>
      </c>
      <c r="X11011" t="s">
        <v>45110</v>
      </c>
    </row>
    <row r="11012" spans="1:24">
      <c r="A11012">
        <f>HYPERLINK("https://www.philgeps.gov.ph/GEPSNONPILOT/Tender/SplashBidNoticeAbstractUI.aspx?menuIndex=3&amp;refID=7024673&amp;Result=3","7024673")</f>
        <v>0</v>
      </c>
      <c r="B11012" t="s">
        <v>2800</v>
      </c>
      <c r="C11012" t="s">
        <v>13697</v>
      </c>
      <c r="D11012" t="s">
        <v>18083</v>
      </c>
      <c r="E11012" t="s">
        <v>27665</v>
      </c>
      <c r="F11012" t="s">
        <v>31575</v>
      </c>
      <c r="G11012" t="s">
        <v>31582</v>
      </c>
      <c r="H11012" t="s">
        <v>31591</v>
      </c>
      <c r="I11012" t="s">
        <v>8822</v>
      </c>
      <c r="J11012" t="s">
        <v>38558</v>
      </c>
      <c r="K11012" t="s">
        <v>41290</v>
      </c>
      <c r="M11012" t="s">
        <v>44575</v>
      </c>
      <c r="N11012" t="s">
        <v>45095</v>
      </c>
      <c r="O11012" t="s">
        <v>45096</v>
      </c>
      <c r="P11012">
        <v>0</v>
      </c>
      <c r="Q11012">
        <v>0</v>
      </c>
      <c r="R11012" t="s">
        <v>45109</v>
      </c>
      <c r="S11012" t="s">
        <v>45478</v>
      </c>
      <c r="T11012" t="s">
        <v>46963</v>
      </c>
      <c r="U11012" t="s">
        <v>56519</v>
      </c>
      <c r="W11012" t="s">
        <v>44575</v>
      </c>
      <c r="X11012" t="s">
        <v>45110</v>
      </c>
    </row>
    <row r="11013" spans="1:24">
      <c r="A11013">
        <f>HYPERLINK("https://www.philgeps.gov.ph/GEPSNONPILOT/Tender/SplashBidNoticeAbstractUI.aspx?menuIndex=3&amp;refID=7024804&amp;Result=3","7024804")</f>
        <v>0</v>
      </c>
      <c r="B11013" t="s">
        <v>1120</v>
      </c>
      <c r="C11013" t="s">
        <v>13698</v>
      </c>
      <c r="E11013" t="s">
        <v>27666</v>
      </c>
      <c r="F11013" t="s">
        <v>31574</v>
      </c>
      <c r="G11013" t="s">
        <v>31581</v>
      </c>
      <c r="H11013" t="s">
        <v>31591</v>
      </c>
      <c r="I11013" t="s">
        <v>8822</v>
      </c>
      <c r="J11013" t="s">
        <v>38559</v>
      </c>
      <c r="K11013" t="s">
        <v>41186</v>
      </c>
      <c r="M11013" t="s">
        <v>42817</v>
      </c>
      <c r="N11013" t="s">
        <v>45095</v>
      </c>
      <c r="O11013" t="s">
        <v>45096</v>
      </c>
      <c r="Q11013">
        <v>1</v>
      </c>
      <c r="R11013" t="s">
        <v>45109</v>
      </c>
      <c r="S11013" t="s">
        <v>45505</v>
      </c>
      <c r="T11013" t="s">
        <v>47176</v>
      </c>
      <c r="U11013" t="s">
        <v>56520</v>
      </c>
      <c r="W11013" t="s">
        <v>42817</v>
      </c>
      <c r="X11013" t="s">
        <v>45110</v>
      </c>
    </row>
    <row r="11014" spans="1:24">
      <c r="A11014">
        <f>HYPERLINK("https://www.philgeps.gov.ph/GEPSNONPILOT/Tender/SplashBidNoticeAbstractUI.aspx?menuIndex=3&amp;refID=7024816&amp;Result=3","7024816")</f>
        <v>0</v>
      </c>
      <c r="B11014" t="s">
        <v>2801</v>
      </c>
      <c r="C11014" t="s">
        <v>4780</v>
      </c>
      <c r="D11014" t="s">
        <v>18043</v>
      </c>
      <c r="E11014" t="s">
        <v>18553</v>
      </c>
      <c r="F11014" t="s">
        <v>31574</v>
      </c>
      <c r="G11014" t="s">
        <v>31582</v>
      </c>
      <c r="H11014" t="s">
        <v>31590</v>
      </c>
      <c r="I11014" t="s">
        <v>4046</v>
      </c>
      <c r="J11014" t="s">
        <v>38560</v>
      </c>
      <c r="K11014" t="s">
        <v>41190</v>
      </c>
      <c r="M11014" t="s">
        <v>44576</v>
      </c>
      <c r="N11014" t="s">
        <v>45095</v>
      </c>
      <c r="O11014" t="s">
        <v>45096</v>
      </c>
      <c r="P11014">
        <v>0</v>
      </c>
      <c r="Q11014">
        <v>0</v>
      </c>
      <c r="R11014" t="s">
        <v>45109</v>
      </c>
      <c r="S11014" t="s">
        <v>45478</v>
      </c>
      <c r="T11014" t="s">
        <v>46991</v>
      </c>
      <c r="U11014" t="s">
        <v>56521</v>
      </c>
      <c r="W11014" t="s">
        <v>44576</v>
      </c>
      <c r="X11014" t="s">
        <v>45110</v>
      </c>
    </row>
    <row r="11015" spans="1:24">
      <c r="A11015">
        <f>HYPERLINK("https://www.philgeps.gov.ph/GEPSNONPILOT/Tender/SplashBidNoticeAbstractUI.aspx?menuIndex=3&amp;refID=7024825&amp;Result=3","7024825")</f>
        <v>0</v>
      </c>
      <c r="B11015" t="s">
        <v>2798</v>
      </c>
      <c r="C11015" t="s">
        <v>13699</v>
      </c>
      <c r="D11015" t="s">
        <v>18047</v>
      </c>
      <c r="E11015" t="s">
        <v>27667</v>
      </c>
      <c r="F11015" t="s">
        <v>31574</v>
      </c>
      <c r="G11015" t="s">
        <v>31582</v>
      </c>
      <c r="H11015" t="s">
        <v>31591</v>
      </c>
      <c r="I11015" t="s">
        <v>8822</v>
      </c>
      <c r="J11015" t="s">
        <v>34071</v>
      </c>
      <c r="K11015" t="s">
        <v>41326</v>
      </c>
      <c r="M11015" t="s">
        <v>44573</v>
      </c>
      <c r="N11015" t="s">
        <v>45095</v>
      </c>
      <c r="O11015" t="s">
        <v>45096</v>
      </c>
      <c r="Q11015">
        <v>7</v>
      </c>
      <c r="R11015" t="s">
        <v>45109</v>
      </c>
      <c r="S11015" t="s">
        <v>45506</v>
      </c>
      <c r="T11015" t="s">
        <v>46979</v>
      </c>
      <c r="U11015" t="s">
        <v>56514</v>
      </c>
      <c r="W11015" t="s">
        <v>44573</v>
      </c>
      <c r="X11015" t="s">
        <v>45110</v>
      </c>
    </row>
    <row r="11016" spans="1:24">
      <c r="A11016">
        <f>HYPERLINK("https://www.philgeps.gov.ph/GEPSNONPILOT/Tender/SplashBidNoticeAbstractUI.aspx?menuIndex=3&amp;refID=7024831&amp;Result=3","7024831")</f>
        <v>0</v>
      </c>
      <c r="B11016" t="s">
        <v>124</v>
      </c>
      <c r="C11016" t="s">
        <v>13700</v>
      </c>
      <c r="D11016" t="s">
        <v>18065</v>
      </c>
      <c r="E11016" t="s">
        <v>27668</v>
      </c>
      <c r="F11016" t="s">
        <v>31574</v>
      </c>
      <c r="G11016" t="s">
        <v>31582</v>
      </c>
      <c r="H11016" t="s">
        <v>31590</v>
      </c>
      <c r="I11016" t="s">
        <v>31608</v>
      </c>
      <c r="J11016" t="s">
        <v>38561</v>
      </c>
      <c r="K11016" t="s">
        <v>41184</v>
      </c>
      <c r="M11016" t="s">
        <v>42125</v>
      </c>
      <c r="N11016" t="s">
        <v>45095</v>
      </c>
      <c r="O11016" t="s">
        <v>45096</v>
      </c>
      <c r="Q11016">
        <v>11</v>
      </c>
      <c r="R11016" t="s">
        <v>45109</v>
      </c>
      <c r="S11016" t="s">
        <v>45507</v>
      </c>
      <c r="T11016" t="s">
        <v>47003</v>
      </c>
      <c r="U11016" t="s">
        <v>56522</v>
      </c>
      <c r="W11016" t="s">
        <v>42125</v>
      </c>
      <c r="X11016" t="s">
        <v>45110</v>
      </c>
    </row>
    <row r="11017" spans="1:24">
      <c r="A11017">
        <f>HYPERLINK("https://www.philgeps.gov.ph/GEPSNONPILOT/Tender/SplashBidNoticeAbstractUI.aspx?menuIndex=3&amp;refID=7024675&amp;Result=3","7024675")</f>
        <v>0</v>
      </c>
      <c r="B11017" t="s">
        <v>1596</v>
      </c>
      <c r="C11017" t="s">
        <v>13701</v>
      </c>
      <c r="D11017" t="s">
        <v>18025</v>
      </c>
      <c r="E11017" t="s">
        <v>19027</v>
      </c>
      <c r="F11017" t="s">
        <v>31574</v>
      </c>
      <c r="G11017" t="s">
        <v>31582</v>
      </c>
      <c r="H11017" t="s">
        <v>31590</v>
      </c>
      <c r="I11017" t="s">
        <v>8258</v>
      </c>
      <c r="J11017" t="s">
        <v>38562</v>
      </c>
      <c r="K11017" t="s">
        <v>41186</v>
      </c>
      <c r="M11017" t="s">
        <v>43200</v>
      </c>
      <c r="N11017" t="s">
        <v>45095</v>
      </c>
      <c r="O11017" t="s">
        <v>45096</v>
      </c>
      <c r="P11017">
        <v>0</v>
      </c>
      <c r="Q11017">
        <v>4</v>
      </c>
      <c r="R11017" t="s">
        <v>45109</v>
      </c>
      <c r="S11017" t="s">
        <v>45478</v>
      </c>
      <c r="T11017" t="s">
        <v>46991</v>
      </c>
      <c r="U11017" t="s">
        <v>56523</v>
      </c>
      <c r="W11017" t="s">
        <v>43200</v>
      </c>
      <c r="X11017" t="s">
        <v>45110</v>
      </c>
    </row>
    <row r="11018" spans="1:24">
      <c r="A11018">
        <f>HYPERLINK("https://www.philgeps.gov.ph/GEPSNONPILOT/Tender/SplashBidNoticeAbstractUI.aspx?menuIndex=3&amp;refID=7024810&amp;Result=3","7024810")</f>
        <v>0</v>
      </c>
      <c r="B11018" t="s">
        <v>1931</v>
      </c>
      <c r="C11018" t="s">
        <v>13702</v>
      </c>
      <c r="D11018" t="s">
        <v>18029</v>
      </c>
      <c r="E11018" t="s">
        <v>19648</v>
      </c>
      <c r="F11018" t="s">
        <v>31574</v>
      </c>
      <c r="G11018" t="s">
        <v>31581</v>
      </c>
      <c r="H11018" t="s">
        <v>31590</v>
      </c>
      <c r="I11018" t="s">
        <v>31629</v>
      </c>
      <c r="J11018" t="s">
        <v>38563</v>
      </c>
      <c r="K11018" t="s">
        <v>41213</v>
      </c>
      <c r="M11018" t="s">
        <v>43585</v>
      </c>
      <c r="N11018" t="s">
        <v>45095</v>
      </c>
      <c r="O11018" t="s">
        <v>45096</v>
      </c>
      <c r="P11018">
        <v>0</v>
      </c>
      <c r="Q11018">
        <v>0</v>
      </c>
      <c r="R11018" t="s">
        <v>45109</v>
      </c>
      <c r="S11018" t="s">
        <v>45478</v>
      </c>
      <c r="T11018" t="s">
        <v>47228</v>
      </c>
      <c r="U11018" t="s">
        <v>56524</v>
      </c>
      <c r="W11018" t="s">
        <v>43585</v>
      </c>
      <c r="X11018" t="s">
        <v>45110</v>
      </c>
    </row>
    <row r="11019" spans="1:24">
      <c r="A11019">
        <f>HYPERLINK("https://www.philgeps.gov.ph/GEPSNONPILOT/Tender/SplashBidNoticeAbstractUI.aspx?menuIndex=3&amp;refID=7024827&amp;Result=3","7024827")</f>
        <v>0</v>
      </c>
      <c r="B11019" t="s">
        <v>2796</v>
      </c>
      <c r="C11019" t="s">
        <v>13703</v>
      </c>
      <c r="D11019" t="s">
        <v>18046</v>
      </c>
      <c r="E11019" t="s">
        <v>27669</v>
      </c>
      <c r="F11019" t="s">
        <v>31574</v>
      </c>
      <c r="G11019" t="s">
        <v>31582</v>
      </c>
      <c r="H11019" t="s">
        <v>31590</v>
      </c>
      <c r="I11019" t="s">
        <v>31596</v>
      </c>
      <c r="J11019" t="s">
        <v>32026</v>
      </c>
      <c r="K11019" t="s">
        <v>41196</v>
      </c>
      <c r="M11019" t="s">
        <v>44571</v>
      </c>
      <c r="N11019" t="s">
        <v>45095</v>
      </c>
      <c r="O11019" t="s">
        <v>45096</v>
      </c>
      <c r="P11019">
        <v>0</v>
      </c>
      <c r="Q11019">
        <v>0</v>
      </c>
      <c r="R11019" t="s">
        <v>45109</v>
      </c>
      <c r="S11019" t="s">
        <v>45478</v>
      </c>
      <c r="T11019" t="s">
        <v>46986</v>
      </c>
      <c r="U11019" t="s">
        <v>56525</v>
      </c>
      <c r="W11019" t="s">
        <v>61757</v>
      </c>
      <c r="X11019" t="s">
        <v>45110</v>
      </c>
    </row>
    <row r="11020" spans="1:24">
      <c r="A11020">
        <f>HYPERLINK("https://www.philgeps.gov.ph/GEPSNONPILOT/Tender/SplashBidNoticeAbstractUI.aspx?menuIndex=3&amp;refID=7024833&amp;Result=3","7024833")</f>
        <v>0</v>
      </c>
      <c r="B11020" t="s">
        <v>2802</v>
      </c>
      <c r="C11020" t="s">
        <v>13704</v>
      </c>
      <c r="D11020" t="s">
        <v>18077</v>
      </c>
      <c r="E11020" t="s">
        <v>27670</v>
      </c>
      <c r="F11020" t="s">
        <v>31574</v>
      </c>
      <c r="G11020" t="s">
        <v>31583</v>
      </c>
      <c r="H11020" t="s">
        <v>31590</v>
      </c>
      <c r="I11020" t="s">
        <v>31661</v>
      </c>
      <c r="J11020" t="s">
        <v>37601</v>
      </c>
      <c r="K11020" t="s">
        <v>41196</v>
      </c>
      <c r="M11020" t="s">
        <v>44577</v>
      </c>
      <c r="N11020" t="s">
        <v>45095</v>
      </c>
      <c r="O11020" t="s">
        <v>45096</v>
      </c>
      <c r="P11020">
        <v>0</v>
      </c>
      <c r="Q11020">
        <v>6</v>
      </c>
      <c r="R11020" t="s">
        <v>45109</v>
      </c>
      <c r="S11020" t="s">
        <v>45478</v>
      </c>
      <c r="T11020" t="s">
        <v>46937</v>
      </c>
      <c r="U11020" t="s">
        <v>56526</v>
      </c>
      <c r="W11020" t="s">
        <v>44577</v>
      </c>
      <c r="X11020" t="s">
        <v>45110</v>
      </c>
    </row>
    <row r="11021" spans="1:24">
      <c r="A11021">
        <f>HYPERLINK("https://www.philgeps.gov.ph/GEPSNONPILOT/Tender/SplashBidNoticeAbstractUI.aspx?menuIndex=3&amp;refID=7024701&amp;Result=3","7024701")</f>
        <v>0</v>
      </c>
      <c r="B11021" t="s">
        <v>642</v>
      </c>
      <c r="C11021" t="s">
        <v>13705</v>
      </c>
      <c r="D11021" t="s">
        <v>18052</v>
      </c>
      <c r="E11021" t="s">
        <v>20420</v>
      </c>
      <c r="F11021" t="s">
        <v>31575</v>
      </c>
      <c r="G11021" t="s">
        <v>31585</v>
      </c>
      <c r="H11021" t="s">
        <v>31591</v>
      </c>
      <c r="I11021" t="s">
        <v>8822</v>
      </c>
      <c r="J11021" t="s">
        <v>38564</v>
      </c>
      <c r="K11021" t="s">
        <v>41200</v>
      </c>
      <c r="M11021" t="s">
        <v>42146</v>
      </c>
      <c r="N11021" t="s">
        <v>45095</v>
      </c>
      <c r="O11021" t="s">
        <v>45096</v>
      </c>
      <c r="P11021">
        <v>0</v>
      </c>
      <c r="Q11021">
        <v>3</v>
      </c>
      <c r="R11021" t="s">
        <v>45109</v>
      </c>
      <c r="S11021" t="s">
        <v>45478</v>
      </c>
      <c r="T11021" t="s">
        <v>46966</v>
      </c>
      <c r="U11021" t="s">
        <v>56527</v>
      </c>
      <c r="V11021" t="s">
        <v>60487</v>
      </c>
      <c r="W11021" t="s">
        <v>42146</v>
      </c>
      <c r="X11021" t="s">
        <v>45110</v>
      </c>
    </row>
    <row r="11022" spans="1:24">
      <c r="A11022">
        <f>HYPERLINK("https://www.philgeps.gov.ph/GEPSNONPILOT/Tender/SplashBidNoticeAbstractUI.aspx?menuIndex=3&amp;refID=7024839&amp;Result=3","7024839")</f>
        <v>0</v>
      </c>
      <c r="B11022" t="s">
        <v>1596</v>
      </c>
      <c r="C11022" t="s">
        <v>13706</v>
      </c>
      <c r="D11022" t="s">
        <v>18025</v>
      </c>
      <c r="E11022" t="s">
        <v>19165</v>
      </c>
      <c r="F11022" t="s">
        <v>31574</v>
      </c>
      <c r="G11022" t="s">
        <v>31582</v>
      </c>
      <c r="H11022" t="s">
        <v>31590</v>
      </c>
      <c r="I11022" t="s">
        <v>7185</v>
      </c>
      <c r="J11022" t="s">
        <v>38565</v>
      </c>
      <c r="K11022" t="s">
        <v>41186</v>
      </c>
      <c r="M11022" t="s">
        <v>43200</v>
      </c>
      <c r="N11022" t="s">
        <v>45095</v>
      </c>
      <c r="O11022" t="s">
        <v>45096</v>
      </c>
      <c r="P11022">
        <v>0</v>
      </c>
      <c r="Q11022">
        <v>2</v>
      </c>
      <c r="R11022" t="s">
        <v>45109</v>
      </c>
      <c r="S11022" t="s">
        <v>45478</v>
      </c>
      <c r="T11022" t="s">
        <v>46991</v>
      </c>
      <c r="U11022" t="s">
        <v>56528</v>
      </c>
      <c r="W11022" t="s">
        <v>43200</v>
      </c>
      <c r="X11022" t="s">
        <v>45110</v>
      </c>
    </row>
    <row r="11023" spans="1:24">
      <c r="A11023">
        <f>HYPERLINK("https://www.philgeps.gov.ph/GEPSNONPILOT/Tender/SplashBidNoticeAbstractUI.aspx?menuIndex=3&amp;refID=7024846&amp;Result=3","7024846")</f>
        <v>0</v>
      </c>
      <c r="B11023" t="s">
        <v>2803</v>
      </c>
      <c r="C11023" t="s">
        <v>13707</v>
      </c>
      <c r="D11023" t="s">
        <v>18070</v>
      </c>
      <c r="E11023" t="s">
        <v>27671</v>
      </c>
      <c r="F11023" t="s">
        <v>31574</v>
      </c>
      <c r="G11023" t="s">
        <v>31582</v>
      </c>
      <c r="H11023" t="s">
        <v>31591</v>
      </c>
      <c r="I11023" t="s">
        <v>8822</v>
      </c>
      <c r="J11023" t="s">
        <v>38566</v>
      </c>
      <c r="K11023" t="s">
        <v>41424</v>
      </c>
      <c r="M11023" t="s">
        <v>44578</v>
      </c>
      <c r="N11023" t="s">
        <v>45095</v>
      </c>
      <c r="O11023" t="s">
        <v>45096</v>
      </c>
      <c r="P11023">
        <v>0</v>
      </c>
      <c r="Q11023">
        <v>0</v>
      </c>
      <c r="R11023" t="s">
        <v>45109</v>
      </c>
      <c r="S11023" t="s">
        <v>45478</v>
      </c>
      <c r="T11023" t="s">
        <v>46988</v>
      </c>
      <c r="U11023" t="s">
        <v>56529</v>
      </c>
      <c r="W11023" t="s">
        <v>44578</v>
      </c>
      <c r="X11023" t="s">
        <v>45110</v>
      </c>
    </row>
    <row r="11024" spans="1:24">
      <c r="A11024">
        <f>HYPERLINK("https://www.philgeps.gov.ph/GEPSNONPILOT/Tender/SplashBidNoticeAbstractUI.aspx?menuIndex=3&amp;refID=7024876&amp;Result=3","7024876")</f>
        <v>0</v>
      </c>
      <c r="B11024" t="s">
        <v>1931</v>
      </c>
      <c r="C11024" t="s">
        <v>13708</v>
      </c>
      <c r="D11024" t="s">
        <v>18029</v>
      </c>
      <c r="E11024" t="s">
        <v>26102</v>
      </c>
      <c r="F11024" t="s">
        <v>31574</v>
      </c>
      <c r="G11024" t="s">
        <v>31581</v>
      </c>
      <c r="H11024" t="s">
        <v>31590</v>
      </c>
      <c r="I11024" t="s">
        <v>31629</v>
      </c>
      <c r="J11024" t="s">
        <v>32849</v>
      </c>
      <c r="K11024" t="s">
        <v>41213</v>
      </c>
      <c r="M11024" t="s">
        <v>43585</v>
      </c>
      <c r="N11024" t="s">
        <v>45095</v>
      </c>
      <c r="O11024" t="s">
        <v>45096</v>
      </c>
      <c r="P11024">
        <v>0</v>
      </c>
      <c r="Q11024">
        <v>0</v>
      </c>
      <c r="R11024" t="s">
        <v>45109</v>
      </c>
      <c r="S11024" t="s">
        <v>45478</v>
      </c>
      <c r="T11024" t="s">
        <v>47120</v>
      </c>
      <c r="U11024" t="s">
        <v>56530</v>
      </c>
      <c r="W11024" t="s">
        <v>43585</v>
      </c>
      <c r="X11024" t="s">
        <v>45110</v>
      </c>
    </row>
    <row r="11025" spans="1:24">
      <c r="A11025">
        <f>HYPERLINK("https://www.philgeps.gov.ph/GEPSNONPILOT/Tender/SplashBidNoticeAbstractUI.aspx?menuIndex=3&amp;refID=7024875&amp;Result=3","7024875")</f>
        <v>0</v>
      </c>
      <c r="B11025" t="s">
        <v>1663</v>
      </c>
      <c r="C11025" t="s">
        <v>13709</v>
      </c>
      <c r="D11025" t="s">
        <v>18033</v>
      </c>
      <c r="E11025" t="s">
        <v>27672</v>
      </c>
      <c r="F11025" t="s">
        <v>31574</v>
      </c>
      <c r="G11025" t="s">
        <v>31582</v>
      </c>
      <c r="H11025" t="s">
        <v>31590</v>
      </c>
      <c r="I11025" t="s">
        <v>31649</v>
      </c>
      <c r="J11025" t="s">
        <v>38567</v>
      </c>
      <c r="K11025" t="s">
        <v>41186</v>
      </c>
      <c r="M11025" t="s">
        <v>43275</v>
      </c>
      <c r="N11025" t="s">
        <v>45095</v>
      </c>
      <c r="O11025" t="s">
        <v>45096</v>
      </c>
      <c r="P11025">
        <v>0</v>
      </c>
      <c r="Q11025">
        <v>2</v>
      </c>
      <c r="R11025" t="s">
        <v>45109</v>
      </c>
      <c r="S11025" t="s">
        <v>45478</v>
      </c>
      <c r="T11025" t="s">
        <v>46933</v>
      </c>
      <c r="U11025" t="s">
        <v>56531</v>
      </c>
      <c r="W11025" t="s">
        <v>43275</v>
      </c>
      <c r="X11025" t="s">
        <v>45110</v>
      </c>
    </row>
    <row r="11026" spans="1:24">
      <c r="A11026">
        <f>HYPERLINK("https://www.philgeps.gov.ph/GEPSNONPILOT/Tender/SplashBidNoticeAbstractUI.aspx?menuIndex=3&amp;refID=7024873&amp;Result=3","7024873")</f>
        <v>0</v>
      </c>
      <c r="B11026" t="s">
        <v>483</v>
      </c>
      <c r="C11026" t="s">
        <v>13710</v>
      </c>
      <c r="D11026" t="s">
        <v>18042</v>
      </c>
      <c r="E11026" t="s">
        <v>27673</v>
      </c>
      <c r="F11026" t="s">
        <v>31574</v>
      </c>
      <c r="G11026" t="s">
        <v>31582</v>
      </c>
      <c r="H11026" t="s">
        <v>31590</v>
      </c>
      <c r="I11026" t="s">
        <v>8258</v>
      </c>
      <c r="J11026" t="s">
        <v>38568</v>
      </c>
      <c r="K11026" t="s">
        <v>41186</v>
      </c>
      <c r="M11026" t="s">
        <v>41979</v>
      </c>
      <c r="N11026" t="s">
        <v>45095</v>
      </c>
      <c r="O11026" t="s">
        <v>45096</v>
      </c>
      <c r="P11026">
        <v>0</v>
      </c>
      <c r="Q11026">
        <v>3</v>
      </c>
      <c r="R11026" t="s">
        <v>45109</v>
      </c>
      <c r="S11026" t="s">
        <v>45478</v>
      </c>
      <c r="T11026" t="s">
        <v>47010</v>
      </c>
      <c r="U11026" t="s">
        <v>56532</v>
      </c>
      <c r="W11026" t="s">
        <v>41979</v>
      </c>
      <c r="X11026" t="s">
        <v>45110</v>
      </c>
    </row>
    <row r="11027" spans="1:24">
      <c r="A11027">
        <f>HYPERLINK("https://www.philgeps.gov.ph/GEPSNONPILOT/Tender/SplashBidNoticeAbstractUI.aspx?menuIndex=3&amp;refID=7024853&amp;Result=3","7024853")</f>
        <v>0</v>
      </c>
      <c r="B11027" t="s">
        <v>2719</v>
      </c>
      <c r="C11027" t="s">
        <v>13711</v>
      </c>
      <c r="D11027" t="s">
        <v>18076</v>
      </c>
      <c r="E11027" t="s">
        <v>18754</v>
      </c>
      <c r="F11027" t="s">
        <v>31574</v>
      </c>
      <c r="G11027" t="s">
        <v>31582</v>
      </c>
      <c r="H11027" t="s">
        <v>31591</v>
      </c>
      <c r="I11027" t="s">
        <v>4046</v>
      </c>
      <c r="J11027" t="s">
        <v>31771</v>
      </c>
      <c r="K11027" t="s">
        <v>41190</v>
      </c>
      <c r="M11027" t="s">
        <v>44490</v>
      </c>
      <c r="N11027" t="s">
        <v>45095</v>
      </c>
      <c r="O11027" t="s">
        <v>45096</v>
      </c>
      <c r="P11027">
        <v>0</v>
      </c>
      <c r="Q11027">
        <v>0</v>
      </c>
      <c r="R11027" t="s">
        <v>45109</v>
      </c>
      <c r="S11027" t="s">
        <v>45478</v>
      </c>
      <c r="T11027" t="s">
        <v>46914</v>
      </c>
      <c r="U11027" t="s">
        <v>56533</v>
      </c>
      <c r="V11027" t="s">
        <v>61011</v>
      </c>
      <c r="W11027" t="s">
        <v>44490</v>
      </c>
      <c r="X11027" t="s">
        <v>45110</v>
      </c>
    </row>
    <row r="11028" spans="1:24">
      <c r="A11028">
        <f>HYPERLINK("https://www.philgeps.gov.ph/GEPSNONPILOT/Tender/SplashBidNoticeAbstractUI.aspx?menuIndex=3&amp;refID=7024851&amp;Result=3","7024851")</f>
        <v>0</v>
      </c>
      <c r="B11028" t="s">
        <v>1733</v>
      </c>
      <c r="C11028" t="s">
        <v>13712</v>
      </c>
      <c r="D11028" t="s">
        <v>18040</v>
      </c>
      <c r="E11028" t="s">
        <v>27674</v>
      </c>
      <c r="F11028" t="s">
        <v>31574</v>
      </c>
      <c r="G11028" t="s">
        <v>31582</v>
      </c>
      <c r="H11028" t="s">
        <v>31591</v>
      </c>
      <c r="I11028" t="s">
        <v>8822</v>
      </c>
      <c r="J11028" t="s">
        <v>31935</v>
      </c>
      <c r="K11028" t="s">
        <v>41203</v>
      </c>
      <c r="M11028" t="s">
        <v>43352</v>
      </c>
      <c r="N11028" t="s">
        <v>45095</v>
      </c>
      <c r="O11028" t="s">
        <v>45096</v>
      </c>
      <c r="P11028">
        <v>0</v>
      </c>
      <c r="Q11028">
        <v>0</v>
      </c>
      <c r="R11028" t="s">
        <v>45109</v>
      </c>
      <c r="S11028" t="s">
        <v>45478</v>
      </c>
      <c r="T11028" t="s">
        <v>46923</v>
      </c>
      <c r="U11028" t="s">
        <v>56534</v>
      </c>
      <c r="W11028" t="s">
        <v>43352</v>
      </c>
      <c r="X11028" t="s">
        <v>45110</v>
      </c>
    </row>
    <row r="11029" spans="1:24">
      <c r="A11029">
        <f>HYPERLINK("https://www.philgeps.gov.ph/GEPSNONPILOT/Tender/SplashBidNoticeAbstractUI.aspx?menuIndex=3&amp;refID=7024850&amp;Result=3","7024850")</f>
        <v>0</v>
      </c>
      <c r="B11029" t="s">
        <v>2798</v>
      </c>
      <c r="C11029" t="s">
        <v>13713</v>
      </c>
      <c r="D11029" t="s">
        <v>18047</v>
      </c>
      <c r="E11029" t="s">
        <v>27675</v>
      </c>
      <c r="F11029" t="s">
        <v>31574</v>
      </c>
      <c r="G11029" t="s">
        <v>31582</v>
      </c>
      <c r="H11029" t="s">
        <v>31591</v>
      </c>
      <c r="I11029" t="s">
        <v>8822</v>
      </c>
      <c r="J11029" t="s">
        <v>38569</v>
      </c>
      <c r="K11029" t="s">
        <v>41380</v>
      </c>
      <c r="M11029" t="s">
        <v>44573</v>
      </c>
      <c r="N11029" t="s">
        <v>45095</v>
      </c>
      <c r="O11029" t="s">
        <v>45096</v>
      </c>
      <c r="P11029">
        <v>0</v>
      </c>
      <c r="Q11029">
        <v>3</v>
      </c>
      <c r="R11029" t="s">
        <v>45109</v>
      </c>
      <c r="S11029" t="s">
        <v>45478</v>
      </c>
      <c r="T11029" t="s">
        <v>46979</v>
      </c>
      <c r="U11029" t="s">
        <v>56514</v>
      </c>
      <c r="W11029" t="s">
        <v>44573</v>
      </c>
      <c r="X11029" t="s">
        <v>45110</v>
      </c>
    </row>
    <row r="11030" spans="1:24">
      <c r="A11030">
        <f>HYPERLINK("https://www.philgeps.gov.ph/GEPSNONPILOT/Tender/SplashBidNoticeAbstractUI.aspx?menuIndex=3&amp;refID=7024917&amp;Result=3","7024917")</f>
        <v>0</v>
      </c>
      <c r="B11030" t="s">
        <v>2804</v>
      </c>
      <c r="C11030" t="s">
        <v>13714</v>
      </c>
      <c r="D11030" t="s">
        <v>18070</v>
      </c>
      <c r="E11030" t="s">
        <v>27676</v>
      </c>
      <c r="F11030" t="s">
        <v>31574</v>
      </c>
      <c r="G11030" t="s">
        <v>31582</v>
      </c>
      <c r="H11030" t="s">
        <v>31591</v>
      </c>
      <c r="I11030" t="s">
        <v>8822</v>
      </c>
      <c r="J11030" t="s">
        <v>38570</v>
      </c>
      <c r="K11030" t="s">
        <v>41196</v>
      </c>
      <c r="M11030" t="s">
        <v>44579</v>
      </c>
      <c r="N11030" t="s">
        <v>45095</v>
      </c>
      <c r="O11030" t="s">
        <v>45096</v>
      </c>
      <c r="P11030">
        <v>0</v>
      </c>
      <c r="Q11030">
        <v>1</v>
      </c>
      <c r="R11030" t="s">
        <v>45109</v>
      </c>
      <c r="S11030" t="s">
        <v>45478</v>
      </c>
      <c r="T11030" t="s">
        <v>46922</v>
      </c>
      <c r="U11030" t="s">
        <v>56535</v>
      </c>
      <c r="W11030" t="s">
        <v>44579</v>
      </c>
      <c r="X11030" t="s">
        <v>45110</v>
      </c>
    </row>
    <row r="11031" spans="1:24">
      <c r="A11031">
        <f>HYPERLINK("https://www.philgeps.gov.ph/GEPSNONPILOT/Tender/SplashBidNoticeAbstractUI.aspx?menuIndex=3&amp;refID=7024939&amp;Result=3","7024939")</f>
        <v>0</v>
      </c>
      <c r="B11031" t="s">
        <v>124</v>
      </c>
      <c r="C11031" t="s">
        <v>13715</v>
      </c>
      <c r="D11031" t="s">
        <v>18065</v>
      </c>
      <c r="E11031" t="s">
        <v>27677</v>
      </c>
      <c r="F11031" t="s">
        <v>31574</v>
      </c>
      <c r="G11031" t="s">
        <v>31582</v>
      </c>
      <c r="H11031" t="s">
        <v>31590</v>
      </c>
      <c r="I11031" t="s">
        <v>31621</v>
      </c>
      <c r="J11031" t="s">
        <v>38571</v>
      </c>
      <c r="K11031" t="s">
        <v>41184</v>
      </c>
      <c r="M11031" t="s">
        <v>42125</v>
      </c>
      <c r="N11031" t="s">
        <v>45095</v>
      </c>
      <c r="O11031" t="s">
        <v>45096</v>
      </c>
      <c r="Q11031">
        <v>5</v>
      </c>
      <c r="R11031" t="s">
        <v>45109</v>
      </c>
      <c r="S11031" t="s">
        <v>45508</v>
      </c>
      <c r="T11031" t="s">
        <v>47003</v>
      </c>
      <c r="U11031" t="s">
        <v>56536</v>
      </c>
      <c r="W11031" t="s">
        <v>42125</v>
      </c>
      <c r="X11031" t="s">
        <v>45110</v>
      </c>
    </row>
    <row r="11032" spans="1:24">
      <c r="A11032">
        <f>HYPERLINK("https://www.philgeps.gov.ph/GEPSNONPILOT/Tender/SplashBidNoticeAbstractUI.aspx?menuIndex=3&amp;refID=7024877&amp;Result=3","7024877")</f>
        <v>0</v>
      </c>
      <c r="B11032" t="s">
        <v>2804</v>
      </c>
      <c r="C11032" t="s">
        <v>13716</v>
      </c>
      <c r="D11032" t="s">
        <v>18070</v>
      </c>
      <c r="E11032" t="s">
        <v>27678</v>
      </c>
      <c r="F11032" t="s">
        <v>31574</v>
      </c>
      <c r="G11032" t="s">
        <v>31582</v>
      </c>
      <c r="H11032" t="s">
        <v>31591</v>
      </c>
      <c r="I11032" t="s">
        <v>8822</v>
      </c>
      <c r="J11032" t="s">
        <v>38572</v>
      </c>
      <c r="K11032" t="s">
        <v>41267</v>
      </c>
      <c r="M11032" t="s">
        <v>44579</v>
      </c>
      <c r="N11032" t="s">
        <v>45095</v>
      </c>
      <c r="O11032" t="s">
        <v>45096</v>
      </c>
      <c r="P11032">
        <v>0</v>
      </c>
      <c r="Q11032">
        <v>0</v>
      </c>
      <c r="R11032" t="s">
        <v>45109</v>
      </c>
      <c r="S11032" t="s">
        <v>45478</v>
      </c>
      <c r="T11032" t="s">
        <v>46922</v>
      </c>
      <c r="U11032" t="s">
        <v>56537</v>
      </c>
      <c r="W11032" t="s">
        <v>44579</v>
      </c>
      <c r="X11032" t="s">
        <v>45110</v>
      </c>
    </row>
    <row r="11033" spans="1:24">
      <c r="A11033">
        <f>HYPERLINK("https://www.philgeps.gov.ph/GEPSNONPILOT/Tender/SplashBidNoticeAbstractUI.aspx?menuIndex=3&amp;refID=7024904&amp;Result=3","7024904")</f>
        <v>0</v>
      </c>
      <c r="B11033" t="s">
        <v>2803</v>
      </c>
      <c r="C11033" t="s">
        <v>13717</v>
      </c>
      <c r="D11033" t="s">
        <v>18070</v>
      </c>
      <c r="E11033" t="s">
        <v>27679</v>
      </c>
      <c r="F11033" t="s">
        <v>31574</v>
      </c>
      <c r="G11033" t="s">
        <v>31582</v>
      </c>
      <c r="H11033" t="s">
        <v>31591</v>
      </c>
      <c r="I11033" t="s">
        <v>8822</v>
      </c>
      <c r="J11033" t="s">
        <v>38573</v>
      </c>
      <c r="K11033" t="s">
        <v>41217</v>
      </c>
      <c r="M11033" t="s">
        <v>44578</v>
      </c>
      <c r="N11033" t="s">
        <v>45095</v>
      </c>
      <c r="O11033" t="s">
        <v>45096</v>
      </c>
      <c r="P11033">
        <v>0</v>
      </c>
      <c r="Q11033">
        <v>0</v>
      </c>
      <c r="R11033" t="s">
        <v>45109</v>
      </c>
      <c r="S11033" t="s">
        <v>45478</v>
      </c>
      <c r="T11033" t="s">
        <v>46988</v>
      </c>
      <c r="U11033" t="s">
        <v>56538</v>
      </c>
      <c r="W11033" t="s">
        <v>44578</v>
      </c>
      <c r="X11033" t="s">
        <v>45110</v>
      </c>
    </row>
    <row r="11034" spans="1:24">
      <c r="A11034">
        <f>HYPERLINK("https://www.philgeps.gov.ph/GEPSNONPILOT/Tender/SplashBidNoticeAbstractUI.aspx?menuIndex=3&amp;refID=7024952&amp;Result=3","7024952")</f>
        <v>0</v>
      </c>
      <c r="B11034" t="s">
        <v>2796</v>
      </c>
      <c r="C11034" t="s">
        <v>13718</v>
      </c>
      <c r="D11034" t="s">
        <v>18046</v>
      </c>
      <c r="E11034" t="s">
        <v>27680</v>
      </c>
      <c r="F11034" t="s">
        <v>31574</v>
      </c>
      <c r="G11034" t="s">
        <v>31582</v>
      </c>
      <c r="H11034" t="s">
        <v>31590</v>
      </c>
      <c r="I11034" t="s">
        <v>31600</v>
      </c>
      <c r="J11034" t="s">
        <v>38574</v>
      </c>
      <c r="K11034" t="s">
        <v>41196</v>
      </c>
      <c r="M11034" t="s">
        <v>44571</v>
      </c>
      <c r="N11034" t="s">
        <v>45095</v>
      </c>
      <c r="O11034" t="s">
        <v>45096</v>
      </c>
      <c r="P11034">
        <v>0</v>
      </c>
      <c r="Q11034">
        <v>0</v>
      </c>
      <c r="R11034" t="s">
        <v>45109</v>
      </c>
      <c r="S11034" t="s">
        <v>45478</v>
      </c>
      <c r="T11034" t="s">
        <v>46986</v>
      </c>
      <c r="U11034" t="s">
        <v>56539</v>
      </c>
      <c r="W11034" t="s">
        <v>61757</v>
      </c>
      <c r="X11034" t="s">
        <v>45110</v>
      </c>
    </row>
    <row r="11035" spans="1:24">
      <c r="A11035">
        <f>HYPERLINK("https://www.philgeps.gov.ph/GEPSNONPILOT/Tender/SplashBidNoticeAbstractUI.aspx?menuIndex=3&amp;refID=7024953&amp;Result=3","7024953")</f>
        <v>0</v>
      </c>
      <c r="B11035" t="s">
        <v>124</v>
      </c>
      <c r="C11035" t="s">
        <v>13719</v>
      </c>
      <c r="D11035" t="s">
        <v>18065</v>
      </c>
      <c r="E11035" t="s">
        <v>27681</v>
      </c>
      <c r="F11035" t="s">
        <v>31574</v>
      </c>
      <c r="G11035" t="s">
        <v>31582</v>
      </c>
      <c r="H11035" t="s">
        <v>31590</v>
      </c>
      <c r="I11035" t="s">
        <v>31615</v>
      </c>
      <c r="J11035" t="s">
        <v>38575</v>
      </c>
      <c r="K11035" t="s">
        <v>41184</v>
      </c>
      <c r="M11035" t="s">
        <v>42125</v>
      </c>
      <c r="N11035" t="s">
        <v>45095</v>
      </c>
      <c r="O11035" t="s">
        <v>45096</v>
      </c>
      <c r="Q11035">
        <v>3</v>
      </c>
      <c r="R11035" t="s">
        <v>45109</v>
      </c>
      <c r="S11035" t="s">
        <v>45509</v>
      </c>
      <c r="T11035" t="s">
        <v>47003</v>
      </c>
      <c r="U11035" t="s">
        <v>56540</v>
      </c>
      <c r="W11035" t="s">
        <v>42125</v>
      </c>
      <c r="X11035" t="s">
        <v>45110</v>
      </c>
    </row>
    <row r="11036" spans="1:24">
      <c r="A11036">
        <f>HYPERLINK("https://www.philgeps.gov.ph/GEPSNONPILOT/Tender/SplashBidNoticeAbstractUI.aspx?menuIndex=3&amp;refID=7024935&amp;Result=3","7024935")</f>
        <v>0</v>
      </c>
      <c r="B11036" t="s">
        <v>1872</v>
      </c>
      <c r="C11036" t="s">
        <v>13720</v>
      </c>
      <c r="D11036" t="s">
        <v>18095</v>
      </c>
      <c r="E11036" t="s">
        <v>27682</v>
      </c>
      <c r="F11036" t="s">
        <v>31574</v>
      </c>
      <c r="G11036" t="s">
        <v>31582</v>
      </c>
      <c r="H11036" t="s">
        <v>31590</v>
      </c>
      <c r="I11036" t="s">
        <v>6800</v>
      </c>
      <c r="J11036" t="s">
        <v>38576</v>
      </c>
      <c r="K11036" t="s">
        <v>41196</v>
      </c>
      <c r="M11036" t="s">
        <v>43512</v>
      </c>
      <c r="N11036" t="s">
        <v>45095</v>
      </c>
      <c r="O11036" t="s">
        <v>45096</v>
      </c>
      <c r="P11036">
        <v>0</v>
      </c>
      <c r="Q11036">
        <v>3</v>
      </c>
      <c r="R11036" t="s">
        <v>45109</v>
      </c>
      <c r="S11036" t="s">
        <v>45478</v>
      </c>
      <c r="T11036" t="s">
        <v>47176</v>
      </c>
      <c r="U11036" t="s">
        <v>56541</v>
      </c>
      <c r="W11036" t="s">
        <v>43512</v>
      </c>
      <c r="X11036" t="s">
        <v>45110</v>
      </c>
    </row>
    <row r="11037" spans="1:24">
      <c r="A11037">
        <f>HYPERLINK("https://www.philgeps.gov.ph/GEPSNONPILOT/Tender/SplashBidNoticeAbstractUI.aspx?menuIndex=3&amp;refID=7024997&amp;Result=3","7024997")</f>
        <v>0</v>
      </c>
      <c r="B11037" t="s">
        <v>124</v>
      </c>
      <c r="C11037" t="s">
        <v>13721</v>
      </c>
      <c r="D11037" t="s">
        <v>18065</v>
      </c>
      <c r="E11037" t="s">
        <v>27683</v>
      </c>
      <c r="F11037" t="s">
        <v>31574</v>
      </c>
      <c r="G11037" t="s">
        <v>31582</v>
      </c>
      <c r="H11037" t="s">
        <v>31590</v>
      </c>
      <c r="I11037" t="s">
        <v>14034</v>
      </c>
      <c r="J11037" t="s">
        <v>38577</v>
      </c>
      <c r="K11037" t="s">
        <v>41184</v>
      </c>
      <c r="M11037" t="s">
        <v>42125</v>
      </c>
      <c r="N11037" t="s">
        <v>45095</v>
      </c>
      <c r="O11037" t="s">
        <v>45096</v>
      </c>
      <c r="Q11037">
        <v>2</v>
      </c>
      <c r="R11037" t="s">
        <v>45109</v>
      </c>
      <c r="S11037" t="s">
        <v>45510</v>
      </c>
      <c r="T11037" t="s">
        <v>47003</v>
      </c>
      <c r="U11037" t="s">
        <v>56542</v>
      </c>
      <c r="W11037" t="s">
        <v>42125</v>
      </c>
      <c r="X11037" t="s">
        <v>45110</v>
      </c>
    </row>
    <row r="11038" spans="1:24">
      <c r="A11038">
        <f>HYPERLINK("https://www.philgeps.gov.ph/GEPSNONPILOT/Tender/SplashBidNoticeAbstractUI.aspx?menuIndex=3&amp;refID=7024984&amp;Result=3","7024984")</f>
        <v>0</v>
      </c>
      <c r="B11038" t="s">
        <v>2106</v>
      </c>
      <c r="C11038" t="s">
        <v>13722</v>
      </c>
      <c r="D11038" t="s">
        <v>18037</v>
      </c>
      <c r="E11038" t="s">
        <v>27684</v>
      </c>
      <c r="F11038" t="s">
        <v>31574</v>
      </c>
      <c r="G11038" t="s">
        <v>31582</v>
      </c>
      <c r="H11038" t="s">
        <v>31591</v>
      </c>
      <c r="I11038" t="s">
        <v>8822</v>
      </c>
      <c r="J11038" t="s">
        <v>38578</v>
      </c>
      <c r="K11038" t="s">
        <v>41184</v>
      </c>
      <c r="M11038" t="s">
        <v>43785</v>
      </c>
      <c r="N11038" t="s">
        <v>45095</v>
      </c>
      <c r="O11038" t="s">
        <v>45096</v>
      </c>
      <c r="P11038">
        <v>0</v>
      </c>
      <c r="Q11038">
        <v>1</v>
      </c>
      <c r="R11038" t="s">
        <v>45109</v>
      </c>
      <c r="S11038" t="s">
        <v>45478</v>
      </c>
      <c r="T11038" t="s">
        <v>47265</v>
      </c>
      <c r="U11038" t="s">
        <v>56543</v>
      </c>
      <c r="W11038" t="s">
        <v>43785</v>
      </c>
      <c r="X11038" t="s">
        <v>45110</v>
      </c>
    </row>
    <row r="11039" spans="1:24">
      <c r="A11039">
        <f>HYPERLINK("https://www.philgeps.gov.ph/GEPSNONPILOT/Tender/SplashBidNoticeAbstractUI.aspx?menuIndex=3&amp;refID=7024922&amp;Result=3","7024922")</f>
        <v>0</v>
      </c>
      <c r="B11039" t="s">
        <v>124</v>
      </c>
      <c r="C11039" t="s">
        <v>13723</v>
      </c>
      <c r="D11039" t="s">
        <v>18065</v>
      </c>
      <c r="E11039" t="s">
        <v>27685</v>
      </c>
      <c r="F11039" t="s">
        <v>31574</v>
      </c>
      <c r="G11039" t="s">
        <v>31582</v>
      </c>
      <c r="H11039" t="s">
        <v>31590</v>
      </c>
      <c r="I11039" t="s">
        <v>31615</v>
      </c>
      <c r="J11039" t="s">
        <v>32101</v>
      </c>
      <c r="K11039" t="s">
        <v>41184</v>
      </c>
      <c r="M11039" t="s">
        <v>42125</v>
      </c>
      <c r="N11039" t="s">
        <v>45095</v>
      </c>
      <c r="O11039" t="s">
        <v>45096</v>
      </c>
      <c r="Q11039">
        <v>3</v>
      </c>
      <c r="R11039" t="s">
        <v>45109</v>
      </c>
      <c r="S11039" t="s">
        <v>45511</v>
      </c>
      <c r="T11039" t="s">
        <v>47003</v>
      </c>
      <c r="U11039" t="s">
        <v>56544</v>
      </c>
      <c r="W11039" t="s">
        <v>42125</v>
      </c>
      <c r="X11039" t="s">
        <v>45110</v>
      </c>
    </row>
    <row r="11040" spans="1:24">
      <c r="A11040">
        <f>HYPERLINK("https://www.philgeps.gov.ph/GEPSNONPILOT/Tender/SplashBidNoticeAbstractUI.aspx?menuIndex=3&amp;refID=7024929&amp;Result=3","7024929")</f>
        <v>0</v>
      </c>
      <c r="B11040" t="s">
        <v>2803</v>
      </c>
      <c r="C11040" t="s">
        <v>13724</v>
      </c>
      <c r="D11040" t="s">
        <v>18070</v>
      </c>
      <c r="E11040" t="s">
        <v>27686</v>
      </c>
      <c r="F11040" t="s">
        <v>31574</v>
      </c>
      <c r="G11040" t="s">
        <v>31582</v>
      </c>
      <c r="H11040" t="s">
        <v>31591</v>
      </c>
      <c r="I11040" t="s">
        <v>8822</v>
      </c>
      <c r="J11040" t="s">
        <v>38579</v>
      </c>
      <c r="K11040" t="s">
        <v>41186</v>
      </c>
      <c r="M11040" t="s">
        <v>44578</v>
      </c>
      <c r="N11040" t="s">
        <v>45095</v>
      </c>
      <c r="O11040" t="s">
        <v>45096</v>
      </c>
      <c r="P11040">
        <v>0</v>
      </c>
      <c r="Q11040">
        <v>0</v>
      </c>
      <c r="R11040" t="s">
        <v>45109</v>
      </c>
      <c r="S11040" t="s">
        <v>45478</v>
      </c>
      <c r="T11040" t="s">
        <v>46988</v>
      </c>
      <c r="U11040" t="s">
        <v>56545</v>
      </c>
      <c r="W11040" t="s">
        <v>44578</v>
      </c>
      <c r="X11040" t="s">
        <v>45110</v>
      </c>
    </row>
    <row r="11041" spans="1:24">
      <c r="A11041">
        <f>HYPERLINK("https://www.philgeps.gov.ph/GEPSNONPILOT/Tender/SplashBidNoticeAbstractUI.aspx?menuIndex=3&amp;refID=7024954&amp;Result=3","7024954")</f>
        <v>0</v>
      </c>
      <c r="B11041" t="s">
        <v>1931</v>
      </c>
      <c r="C11041" t="s">
        <v>13708</v>
      </c>
      <c r="D11041" t="s">
        <v>18029</v>
      </c>
      <c r="E11041" t="s">
        <v>26107</v>
      </c>
      <c r="F11041" t="s">
        <v>31574</v>
      </c>
      <c r="G11041" t="s">
        <v>31581</v>
      </c>
      <c r="H11041" t="s">
        <v>31590</v>
      </c>
      <c r="I11041" t="s">
        <v>31629</v>
      </c>
      <c r="J11041" t="s">
        <v>32029</v>
      </c>
      <c r="K11041" t="s">
        <v>41213</v>
      </c>
      <c r="M11041" t="s">
        <v>43585</v>
      </c>
      <c r="N11041" t="s">
        <v>45095</v>
      </c>
      <c r="O11041" t="s">
        <v>45096</v>
      </c>
      <c r="P11041">
        <v>0</v>
      </c>
      <c r="Q11041">
        <v>0</v>
      </c>
      <c r="R11041" t="s">
        <v>45109</v>
      </c>
      <c r="S11041" t="s">
        <v>45478</v>
      </c>
      <c r="T11041" t="s">
        <v>47021</v>
      </c>
      <c r="U11041" t="s">
        <v>56546</v>
      </c>
      <c r="W11041" t="s">
        <v>43585</v>
      </c>
      <c r="X11041" t="s">
        <v>45110</v>
      </c>
    </row>
    <row r="11042" spans="1:24">
      <c r="A11042">
        <f>HYPERLINK("https://www.philgeps.gov.ph/GEPSNONPILOT/Tender/SplashBidNoticeAbstractUI.aspx?menuIndex=3&amp;refID=7024961&amp;Result=3","7024961")</f>
        <v>0</v>
      </c>
      <c r="B11042" t="s">
        <v>2805</v>
      </c>
      <c r="C11042" t="s">
        <v>13725</v>
      </c>
      <c r="D11042" t="s">
        <v>18047</v>
      </c>
      <c r="E11042" t="s">
        <v>24410</v>
      </c>
      <c r="F11042" t="s">
        <v>31574</v>
      </c>
      <c r="G11042" t="s">
        <v>31582</v>
      </c>
      <c r="H11042" t="s">
        <v>31591</v>
      </c>
      <c r="I11042" t="s">
        <v>4046</v>
      </c>
      <c r="J11042" t="s">
        <v>38580</v>
      </c>
      <c r="K11042" t="s">
        <v>41184</v>
      </c>
      <c r="M11042" t="s">
        <v>44580</v>
      </c>
      <c r="N11042" t="s">
        <v>45095</v>
      </c>
      <c r="O11042" t="s">
        <v>45096</v>
      </c>
      <c r="P11042">
        <v>0</v>
      </c>
      <c r="Q11042">
        <v>2</v>
      </c>
      <c r="R11042" t="s">
        <v>45109</v>
      </c>
      <c r="S11042" t="s">
        <v>45478</v>
      </c>
      <c r="T11042" t="s">
        <v>47189</v>
      </c>
      <c r="U11042" t="s">
        <v>56547</v>
      </c>
      <c r="W11042" t="s">
        <v>44580</v>
      </c>
      <c r="X11042" t="s">
        <v>45110</v>
      </c>
    </row>
    <row r="11043" spans="1:24">
      <c r="A11043">
        <f>HYPERLINK("https://www.philgeps.gov.ph/GEPSNONPILOT/Tender/SplashBidNoticeAbstractUI.aspx?menuIndex=3&amp;refID=7024932&amp;Result=3","7024932")</f>
        <v>0</v>
      </c>
      <c r="B11043" t="s">
        <v>2719</v>
      </c>
      <c r="C11043" t="s">
        <v>13726</v>
      </c>
      <c r="D11043" t="s">
        <v>18076</v>
      </c>
      <c r="E11043" t="s">
        <v>19676</v>
      </c>
      <c r="F11043" t="s">
        <v>31574</v>
      </c>
      <c r="G11043" t="s">
        <v>31582</v>
      </c>
      <c r="H11043" t="s">
        <v>31591</v>
      </c>
      <c r="I11043" t="s">
        <v>31695</v>
      </c>
      <c r="J11043" t="s">
        <v>32101</v>
      </c>
      <c r="K11043" t="s">
        <v>41190</v>
      </c>
      <c r="M11043" t="s">
        <v>44490</v>
      </c>
      <c r="N11043" t="s">
        <v>45095</v>
      </c>
      <c r="O11043" t="s">
        <v>45096</v>
      </c>
      <c r="P11043">
        <v>0</v>
      </c>
      <c r="Q11043">
        <v>0</v>
      </c>
      <c r="R11043" t="s">
        <v>45109</v>
      </c>
      <c r="S11043" t="s">
        <v>45478</v>
      </c>
      <c r="T11043" t="s">
        <v>46914</v>
      </c>
      <c r="U11043" t="s">
        <v>56548</v>
      </c>
      <c r="V11043" t="s">
        <v>61011</v>
      </c>
      <c r="W11043" t="s">
        <v>44490</v>
      </c>
      <c r="X11043" t="s">
        <v>45110</v>
      </c>
    </row>
    <row r="11044" spans="1:24">
      <c r="A11044">
        <f>HYPERLINK("https://www.philgeps.gov.ph/GEPSNONPILOT/Tender/SplashBidNoticeAbstractUI.aspx?menuIndex=3&amp;refID=7025004&amp;Result=3","7025004")</f>
        <v>0</v>
      </c>
      <c r="B11044" t="s">
        <v>1541</v>
      </c>
      <c r="C11044" t="s">
        <v>13727</v>
      </c>
      <c r="D11044" t="s">
        <v>18043</v>
      </c>
      <c r="E11044" t="s">
        <v>27687</v>
      </c>
      <c r="F11044" t="s">
        <v>31574</v>
      </c>
      <c r="G11044" t="s">
        <v>31582</v>
      </c>
      <c r="H11044" t="s">
        <v>31591</v>
      </c>
      <c r="I11044" t="s">
        <v>8822</v>
      </c>
      <c r="J11044" t="s">
        <v>38581</v>
      </c>
      <c r="K11044" t="s">
        <v>41203</v>
      </c>
      <c r="M11044" t="s">
        <v>43136</v>
      </c>
      <c r="N11044" t="s">
        <v>45095</v>
      </c>
      <c r="O11044" t="s">
        <v>45096</v>
      </c>
      <c r="P11044">
        <v>0</v>
      </c>
      <c r="Q11044">
        <v>0</v>
      </c>
      <c r="R11044" t="s">
        <v>45109</v>
      </c>
      <c r="S11044" t="s">
        <v>45478</v>
      </c>
      <c r="T11044" t="s">
        <v>47076</v>
      </c>
      <c r="U11044" t="s">
        <v>56549</v>
      </c>
      <c r="W11044" t="s">
        <v>43136</v>
      </c>
      <c r="X11044" t="s">
        <v>45110</v>
      </c>
    </row>
    <row r="11045" spans="1:24">
      <c r="A11045">
        <f>HYPERLINK("https://www.philgeps.gov.ph/GEPSNONPILOT/Tender/SplashBidNoticeAbstractUI.aspx?menuIndex=3&amp;refID=7024957&amp;Result=3","7024957")</f>
        <v>0</v>
      </c>
      <c r="B11045" t="s">
        <v>2806</v>
      </c>
      <c r="C11045" t="s">
        <v>13728</v>
      </c>
      <c r="D11045" t="s">
        <v>18086</v>
      </c>
      <c r="E11045" t="s">
        <v>19792</v>
      </c>
      <c r="F11045" t="s">
        <v>31574</v>
      </c>
      <c r="G11045" t="s">
        <v>31582</v>
      </c>
      <c r="H11045" t="s">
        <v>31591</v>
      </c>
      <c r="I11045" t="s">
        <v>8822</v>
      </c>
      <c r="J11045" t="s">
        <v>31781</v>
      </c>
      <c r="K11045" t="s">
        <v>41200</v>
      </c>
      <c r="M11045" t="s">
        <v>44581</v>
      </c>
      <c r="N11045" t="s">
        <v>45095</v>
      </c>
      <c r="O11045" t="s">
        <v>45096</v>
      </c>
      <c r="P11045">
        <v>0</v>
      </c>
      <c r="Q11045">
        <v>0</v>
      </c>
      <c r="R11045" t="s">
        <v>45109</v>
      </c>
      <c r="S11045" t="s">
        <v>45478</v>
      </c>
      <c r="T11045" t="s">
        <v>47100</v>
      </c>
      <c r="U11045" t="s">
        <v>56550</v>
      </c>
      <c r="W11045" t="s">
        <v>44581</v>
      </c>
      <c r="X11045" t="s">
        <v>45110</v>
      </c>
    </row>
    <row r="11046" spans="1:24">
      <c r="A11046">
        <f>HYPERLINK("https://www.philgeps.gov.ph/GEPSNONPILOT/Tender/SplashBidNoticeAbstractUI.aspx?menuIndex=3&amp;refID=7024884&amp;Result=3","7024884")</f>
        <v>0</v>
      </c>
      <c r="B11046" t="s">
        <v>124</v>
      </c>
      <c r="C11046" t="s">
        <v>13729</v>
      </c>
      <c r="D11046" t="s">
        <v>18065</v>
      </c>
      <c r="E11046" t="s">
        <v>27688</v>
      </c>
      <c r="F11046" t="s">
        <v>31574</v>
      </c>
      <c r="G11046" t="s">
        <v>31582</v>
      </c>
      <c r="H11046" t="s">
        <v>31590</v>
      </c>
      <c r="I11046" t="s">
        <v>31619</v>
      </c>
      <c r="J11046" t="s">
        <v>38582</v>
      </c>
      <c r="K11046" t="s">
        <v>41184</v>
      </c>
      <c r="M11046" t="s">
        <v>42125</v>
      </c>
      <c r="N11046" t="s">
        <v>45095</v>
      </c>
      <c r="O11046" t="s">
        <v>45096</v>
      </c>
      <c r="Q11046">
        <v>14</v>
      </c>
      <c r="R11046" t="s">
        <v>45109</v>
      </c>
      <c r="S11046" t="s">
        <v>45301</v>
      </c>
      <c r="T11046" t="s">
        <v>47003</v>
      </c>
      <c r="U11046" t="s">
        <v>56551</v>
      </c>
      <c r="W11046" t="s">
        <v>42125</v>
      </c>
      <c r="X11046" t="s">
        <v>45110</v>
      </c>
    </row>
    <row r="11047" spans="1:24">
      <c r="A11047">
        <f>HYPERLINK("https://www.philgeps.gov.ph/GEPSNONPILOT/Tender/SplashBidNoticeAbstractUI.aspx?menuIndex=3&amp;refID=7025014&amp;Result=3","7025014")</f>
        <v>0</v>
      </c>
      <c r="B11047" t="s">
        <v>2805</v>
      </c>
      <c r="C11047" t="s">
        <v>13730</v>
      </c>
      <c r="D11047" t="s">
        <v>18047</v>
      </c>
      <c r="E11047" t="s">
        <v>23946</v>
      </c>
      <c r="F11047" t="s">
        <v>31574</v>
      </c>
      <c r="G11047" t="s">
        <v>31582</v>
      </c>
      <c r="H11047" t="s">
        <v>31591</v>
      </c>
      <c r="I11047" t="s">
        <v>4046</v>
      </c>
      <c r="J11047" t="s">
        <v>38583</v>
      </c>
      <c r="K11047" t="s">
        <v>41184</v>
      </c>
      <c r="M11047" t="s">
        <v>44580</v>
      </c>
      <c r="N11047" t="s">
        <v>45095</v>
      </c>
      <c r="O11047" t="s">
        <v>45096</v>
      </c>
      <c r="P11047">
        <v>0</v>
      </c>
      <c r="Q11047">
        <v>1</v>
      </c>
      <c r="R11047" t="s">
        <v>45109</v>
      </c>
      <c r="S11047" t="s">
        <v>45478</v>
      </c>
      <c r="T11047" t="s">
        <v>47318</v>
      </c>
      <c r="U11047" t="s">
        <v>56552</v>
      </c>
      <c r="W11047" t="s">
        <v>44580</v>
      </c>
      <c r="X11047" t="s">
        <v>45110</v>
      </c>
    </row>
    <row r="11048" spans="1:24">
      <c r="A11048">
        <f>HYPERLINK("https://www.philgeps.gov.ph/GEPSNONPILOT/Tender/SplashBidNoticeAbstractUI.aspx?menuIndex=3&amp;refID=7025048&amp;Result=3","7025048")</f>
        <v>0</v>
      </c>
      <c r="B11048" t="s">
        <v>124</v>
      </c>
      <c r="C11048" t="s">
        <v>13731</v>
      </c>
      <c r="D11048" t="s">
        <v>18065</v>
      </c>
      <c r="E11048" t="s">
        <v>27689</v>
      </c>
      <c r="F11048" t="s">
        <v>31574</v>
      </c>
      <c r="G11048" t="s">
        <v>31582</v>
      </c>
      <c r="H11048" t="s">
        <v>31590</v>
      </c>
      <c r="I11048" t="s">
        <v>4046</v>
      </c>
      <c r="J11048" t="s">
        <v>38584</v>
      </c>
      <c r="K11048" t="s">
        <v>41184</v>
      </c>
      <c r="M11048" t="s">
        <v>42125</v>
      </c>
      <c r="N11048" t="s">
        <v>45095</v>
      </c>
      <c r="O11048" t="s">
        <v>45096</v>
      </c>
      <c r="Q11048">
        <v>5</v>
      </c>
      <c r="R11048" t="s">
        <v>45109</v>
      </c>
      <c r="S11048" t="s">
        <v>45512</v>
      </c>
      <c r="T11048" t="s">
        <v>47003</v>
      </c>
      <c r="U11048" t="s">
        <v>56553</v>
      </c>
      <c r="W11048" t="s">
        <v>42125</v>
      </c>
      <c r="X11048" t="s">
        <v>45110</v>
      </c>
    </row>
    <row r="11049" spans="1:24">
      <c r="A11049">
        <f>HYPERLINK("https://www.philgeps.gov.ph/GEPSNONPILOT/Tender/SplashBidNoticeAbstractUI.aspx?menuIndex=3&amp;refID=7025045&amp;Result=3","7025045")</f>
        <v>0</v>
      </c>
      <c r="B11049" t="s">
        <v>2807</v>
      </c>
      <c r="C11049" t="s">
        <v>3478</v>
      </c>
      <c r="E11049" t="s">
        <v>27690</v>
      </c>
      <c r="F11049" t="s">
        <v>31574</v>
      </c>
      <c r="G11049" t="s">
        <v>31582</v>
      </c>
      <c r="H11049" t="s">
        <v>31591</v>
      </c>
      <c r="I11049" t="s">
        <v>8822</v>
      </c>
      <c r="J11049" t="s">
        <v>38585</v>
      </c>
      <c r="K11049" t="s">
        <v>41200</v>
      </c>
      <c r="M11049" t="s">
        <v>44582</v>
      </c>
      <c r="N11049" t="s">
        <v>45095</v>
      </c>
      <c r="O11049" t="s">
        <v>45096</v>
      </c>
      <c r="P11049">
        <v>0</v>
      </c>
      <c r="Q11049">
        <v>29</v>
      </c>
      <c r="R11049" t="s">
        <v>45109</v>
      </c>
      <c r="S11049" t="s">
        <v>45478</v>
      </c>
      <c r="T11049" t="s">
        <v>46906</v>
      </c>
      <c r="U11049" t="s">
        <v>56554</v>
      </c>
      <c r="V11049" t="s">
        <v>61016</v>
      </c>
      <c r="W11049" t="s">
        <v>44582</v>
      </c>
      <c r="X11049" t="s">
        <v>45110</v>
      </c>
    </row>
    <row r="11050" spans="1:24">
      <c r="A11050">
        <f>HYPERLINK("https://www.philgeps.gov.ph/GEPSNONPILOT/Tender/SplashBidNoticeAbstractUI.aspx?menuIndex=3&amp;refID=7025035&amp;Result=3","7025035")</f>
        <v>0</v>
      </c>
      <c r="B11050" t="s">
        <v>1181</v>
      </c>
      <c r="C11050" t="s">
        <v>13732</v>
      </c>
      <c r="D11050" t="s">
        <v>18084</v>
      </c>
      <c r="E11050" t="s">
        <v>27691</v>
      </c>
      <c r="F11050" t="s">
        <v>31574</v>
      </c>
      <c r="G11050" t="s">
        <v>31582</v>
      </c>
      <c r="H11050" t="s">
        <v>31590</v>
      </c>
      <c r="I11050" t="s">
        <v>31601</v>
      </c>
      <c r="J11050" t="s">
        <v>38586</v>
      </c>
      <c r="K11050" t="s">
        <v>41184</v>
      </c>
      <c r="M11050" t="s">
        <v>42740</v>
      </c>
      <c r="N11050" t="s">
        <v>45095</v>
      </c>
      <c r="O11050" t="s">
        <v>45096</v>
      </c>
      <c r="P11050">
        <v>0</v>
      </c>
      <c r="Q11050">
        <v>10</v>
      </c>
      <c r="R11050" t="s">
        <v>45109</v>
      </c>
      <c r="S11050" t="s">
        <v>45478</v>
      </c>
      <c r="T11050" t="s">
        <v>47267</v>
      </c>
      <c r="U11050" t="s">
        <v>56494</v>
      </c>
      <c r="W11050" t="s">
        <v>42740</v>
      </c>
      <c r="X11050" t="s">
        <v>45110</v>
      </c>
    </row>
    <row r="11051" spans="1:24">
      <c r="A11051">
        <f>HYPERLINK("https://www.philgeps.gov.ph/GEPSNONPILOT/Tender/SplashBidNoticeAbstractUI.aspx?menuIndex=3&amp;refID=7025021&amp;Result=3","7025021")</f>
        <v>0</v>
      </c>
      <c r="B11051" t="s">
        <v>1446</v>
      </c>
      <c r="C11051" t="s">
        <v>13733</v>
      </c>
      <c r="D11051" t="s">
        <v>18052</v>
      </c>
      <c r="E11051" t="s">
        <v>25578</v>
      </c>
      <c r="F11051" t="s">
        <v>31574</v>
      </c>
      <c r="G11051" t="s">
        <v>31582</v>
      </c>
      <c r="H11051" t="s">
        <v>31590</v>
      </c>
      <c r="I11051" t="s">
        <v>31619</v>
      </c>
      <c r="J11051" t="s">
        <v>38587</v>
      </c>
      <c r="K11051" t="s">
        <v>41192</v>
      </c>
      <c r="M11051" t="s">
        <v>43025</v>
      </c>
      <c r="N11051" t="s">
        <v>45095</v>
      </c>
      <c r="O11051" t="s">
        <v>45096</v>
      </c>
      <c r="P11051">
        <v>0</v>
      </c>
      <c r="Q11051">
        <v>9</v>
      </c>
      <c r="R11051" t="s">
        <v>45109</v>
      </c>
      <c r="S11051" t="s">
        <v>45478</v>
      </c>
      <c r="T11051" t="s">
        <v>47118</v>
      </c>
      <c r="U11051" t="s">
        <v>50981</v>
      </c>
      <c r="V11051" t="s">
        <v>61017</v>
      </c>
      <c r="W11051" t="s">
        <v>43025</v>
      </c>
      <c r="X11051" t="s">
        <v>45110</v>
      </c>
    </row>
    <row r="11052" spans="1:24">
      <c r="A11052">
        <f>HYPERLINK("https://www.philgeps.gov.ph/GEPSNONPILOT/Tender/SplashBidNoticeAbstractUI.aspx?menuIndex=3&amp;refID=7024906&amp;Result=3","7024906")</f>
        <v>0</v>
      </c>
      <c r="B11052" t="s">
        <v>987</v>
      </c>
      <c r="C11052" t="s">
        <v>13734</v>
      </c>
      <c r="D11052" t="s">
        <v>18066</v>
      </c>
      <c r="E11052" t="s">
        <v>27692</v>
      </c>
      <c r="F11052" t="s">
        <v>31574</v>
      </c>
      <c r="G11052" t="s">
        <v>31582</v>
      </c>
      <c r="H11052" t="s">
        <v>31591</v>
      </c>
      <c r="I11052" t="s">
        <v>8822</v>
      </c>
      <c r="J11052" t="s">
        <v>38588</v>
      </c>
      <c r="K11052" t="s">
        <v>41189</v>
      </c>
      <c r="M11052" t="s">
        <v>42521</v>
      </c>
      <c r="N11052" t="s">
        <v>45095</v>
      </c>
      <c r="O11052" t="s">
        <v>45096</v>
      </c>
      <c r="P11052">
        <v>0</v>
      </c>
      <c r="Q11052">
        <v>0</v>
      </c>
      <c r="R11052" t="s">
        <v>45109</v>
      </c>
      <c r="S11052" t="s">
        <v>45478</v>
      </c>
      <c r="T11052" t="s">
        <v>47000</v>
      </c>
      <c r="U11052" t="s">
        <v>56555</v>
      </c>
      <c r="V11052" t="s">
        <v>60104</v>
      </c>
      <c r="W11052" t="s">
        <v>42521</v>
      </c>
      <c r="X11052" t="s">
        <v>45110</v>
      </c>
    </row>
    <row r="11053" spans="1:24">
      <c r="A11053">
        <f>HYPERLINK("https://www.philgeps.gov.ph/GEPSNONPILOT/Tender/SplashBidNoticeAbstractUI.aspx?menuIndex=3&amp;refID=7025012&amp;Result=3","7025012")</f>
        <v>0</v>
      </c>
      <c r="B11053" t="s">
        <v>2808</v>
      </c>
      <c r="C11053" t="s">
        <v>13735</v>
      </c>
      <c r="D11053" t="s">
        <v>18037</v>
      </c>
      <c r="E11053" t="s">
        <v>27693</v>
      </c>
      <c r="F11053" t="s">
        <v>31574</v>
      </c>
      <c r="G11053" t="s">
        <v>31582</v>
      </c>
      <c r="H11053" t="s">
        <v>31591</v>
      </c>
      <c r="I11053" t="s">
        <v>8822</v>
      </c>
      <c r="J11053" t="s">
        <v>38589</v>
      </c>
      <c r="K11053" t="s">
        <v>41189</v>
      </c>
      <c r="M11053" t="s">
        <v>44583</v>
      </c>
      <c r="N11053" t="s">
        <v>45095</v>
      </c>
      <c r="O11053" t="s">
        <v>45096</v>
      </c>
      <c r="P11053">
        <v>0</v>
      </c>
      <c r="Q11053">
        <v>1</v>
      </c>
      <c r="R11053" t="s">
        <v>45109</v>
      </c>
      <c r="S11053" t="s">
        <v>45478</v>
      </c>
      <c r="T11053" t="s">
        <v>46914</v>
      </c>
      <c r="U11053" t="s">
        <v>56556</v>
      </c>
      <c r="W11053" t="s">
        <v>44583</v>
      </c>
      <c r="X11053" t="s">
        <v>45110</v>
      </c>
    </row>
    <row r="11054" spans="1:24">
      <c r="A11054">
        <f>HYPERLINK("https://www.philgeps.gov.ph/GEPSNONPILOT/Tender/SplashBidNoticeAbstractUI.aspx?menuIndex=3&amp;refID=7025046&amp;Result=3","7025046")</f>
        <v>0</v>
      </c>
      <c r="B11054" t="s">
        <v>2809</v>
      </c>
      <c r="C11054" t="s">
        <v>13736</v>
      </c>
      <c r="D11054" t="s">
        <v>18041</v>
      </c>
      <c r="E11054" t="s">
        <v>27694</v>
      </c>
      <c r="F11054" t="s">
        <v>31574</v>
      </c>
      <c r="G11054" t="s">
        <v>31582</v>
      </c>
      <c r="H11054" t="s">
        <v>31590</v>
      </c>
      <c r="I11054" t="s">
        <v>5717</v>
      </c>
      <c r="J11054" t="s">
        <v>38590</v>
      </c>
      <c r="K11054" t="s">
        <v>41197</v>
      </c>
      <c r="M11054" t="s">
        <v>44584</v>
      </c>
      <c r="N11054" t="s">
        <v>45095</v>
      </c>
      <c r="O11054" t="s">
        <v>45096</v>
      </c>
      <c r="P11054">
        <v>0</v>
      </c>
      <c r="Q11054">
        <v>0</v>
      </c>
      <c r="R11054" t="s">
        <v>45109</v>
      </c>
      <c r="S11054" t="s">
        <v>45478</v>
      </c>
      <c r="T11054" t="s">
        <v>47008</v>
      </c>
      <c r="U11054" t="s">
        <v>56557</v>
      </c>
      <c r="W11054" t="s">
        <v>44584</v>
      </c>
      <c r="X11054" t="s">
        <v>45110</v>
      </c>
    </row>
    <row r="11055" spans="1:24">
      <c r="A11055">
        <f>HYPERLINK("https://www.philgeps.gov.ph/GEPSNONPILOT/Tender/SplashBidNoticeAbstractUI.aspx?menuIndex=3&amp;refID=7025041&amp;Result=3","7025041")</f>
        <v>0</v>
      </c>
      <c r="B11055" t="s">
        <v>1443</v>
      </c>
      <c r="C11055" t="s">
        <v>13737</v>
      </c>
      <c r="D11055" t="s">
        <v>18074</v>
      </c>
      <c r="E11055" t="s">
        <v>27695</v>
      </c>
      <c r="F11055" t="s">
        <v>31574</v>
      </c>
      <c r="G11055" t="s">
        <v>31582</v>
      </c>
      <c r="H11055" t="s">
        <v>31591</v>
      </c>
      <c r="I11055" t="s">
        <v>8822</v>
      </c>
      <c r="J11055" t="s">
        <v>38591</v>
      </c>
      <c r="K11055" t="s">
        <v>41192</v>
      </c>
      <c r="M11055" t="s">
        <v>43523</v>
      </c>
      <c r="N11055" t="s">
        <v>45095</v>
      </c>
      <c r="O11055" t="s">
        <v>45096</v>
      </c>
      <c r="P11055">
        <v>0</v>
      </c>
      <c r="Q11055">
        <v>1</v>
      </c>
      <c r="R11055" t="s">
        <v>45109</v>
      </c>
      <c r="S11055" t="s">
        <v>45478</v>
      </c>
      <c r="T11055" t="s">
        <v>46970</v>
      </c>
      <c r="U11055" t="s">
        <v>56558</v>
      </c>
      <c r="V11055" t="s">
        <v>60477</v>
      </c>
      <c r="W11055" t="s">
        <v>43523</v>
      </c>
      <c r="X11055" t="s">
        <v>45110</v>
      </c>
    </row>
    <row r="11056" spans="1:24">
      <c r="A11056">
        <f>HYPERLINK("https://www.philgeps.gov.ph/GEPSNONPILOT/Tender/SplashBidNoticeAbstractUI.aspx?menuIndex=3&amp;refID=7025010&amp;Result=3","7025010")</f>
        <v>0</v>
      </c>
      <c r="B11056" t="s">
        <v>124</v>
      </c>
      <c r="C11056" t="s">
        <v>13738</v>
      </c>
      <c r="D11056" t="s">
        <v>18065</v>
      </c>
      <c r="E11056" t="s">
        <v>27696</v>
      </c>
      <c r="F11056" t="s">
        <v>31574</v>
      </c>
      <c r="G11056" t="s">
        <v>31582</v>
      </c>
      <c r="H11056" t="s">
        <v>31590</v>
      </c>
      <c r="I11056" t="s">
        <v>31619</v>
      </c>
      <c r="J11056" t="s">
        <v>38592</v>
      </c>
      <c r="K11056" t="s">
        <v>41184</v>
      </c>
      <c r="M11056" t="s">
        <v>42125</v>
      </c>
      <c r="N11056" t="s">
        <v>45095</v>
      </c>
      <c r="O11056" t="s">
        <v>45096</v>
      </c>
      <c r="Q11056">
        <v>10</v>
      </c>
      <c r="R11056" t="s">
        <v>45109</v>
      </c>
      <c r="S11056" t="s">
        <v>45513</v>
      </c>
      <c r="T11056" t="s">
        <v>47003</v>
      </c>
      <c r="U11056" t="s">
        <v>56559</v>
      </c>
      <c r="W11056" t="s">
        <v>42125</v>
      </c>
      <c r="X11056" t="s">
        <v>45110</v>
      </c>
    </row>
    <row r="11057" spans="1:24">
      <c r="A11057">
        <f>HYPERLINK("https://www.philgeps.gov.ph/GEPSNONPILOT/Tender/SplashBidNoticeAbstractUI.aspx?menuIndex=3&amp;refID=7025000&amp;Result=3","7025000")</f>
        <v>0</v>
      </c>
      <c r="B11057" t="s">
        <v>2810</v>
      </c>
      <c r="C11057" t="s">
        <v>13739</v>
      </c>
      <c r="D11057" t="s">
        <v>18055</v>
      </c>
      <c r="E11057" t="s">
        <v>27697</v>
      </c>
      <c r="F11057" t="s">
        <v>31574</v>
      </c>
      <c r="G11057" t="s">
        <v>31582</v>
      </c>
      <c r="H11057" t="s">
        <v>31591</v>
      </c>
      <c r="I11057" t="s">
        <v>8822</v>
      </c>
      <c r="J11057" t="s">
        <v>32318</v>
      </c>
      <c r="K11057" t="s">
        <v>41192</v>
      </c>
      <c r="M11057" t="s">
        <v>44585</v>
      </c>
      <c r="N11057" t="s">
        <v>45095</v>
      </c>
      <c r="O11057" t="s">
        <v>45096</v>
      </c>
      <c r="P11057">
        <v>0</v>
      </c>
      <c r="Q11057">
        <v>1</v>
      </c>
      <c r="R11057" t="s">
        <v>45109</v>
      </c>
      <c r="S11057" t="s">
        <v>45478</v>
      </c>
      <c r="T11057" t="s">
        <v>46929</v>
      </c>
      <c r="U11057" t="s">
        <v>56560</v>
      </c>
      <c r="W11057" t="s">
        <v>44585</v>
      </c>
      <c r="X11057" t="s">
        <v>45110</v>
      </c>
    </row>
    <row r="11058" spans="1:24">
      <c r="A11058">
        <f>HYPERLINK("https://www.philgeps.gov.ph/GEPSNONPILOT/Tender/SplashBidNoticeAbstractUI.aspx?menuIndex=3&amp;refID=7024878&amp;Result=3","7024878")</f>
        <v>0</v>
      </c>
      <c r="B11058" t="s">
        <v>2803</v>
      </c>
      <c r="C11058" t="s">
        <v>13740</v>
      </c>
      <c r="D11058" t="s">
        <v>18070</v>
      </c>
      <c r="E11058" t="s">
        <v>27698</v>
      </c>
      <c r="F11058" t="s">
        <v>31574</v>
      </c>
      <c r="G11058" t="s">
        <v>31582</v>
      </c>
      <c r="H11058" t="s">
        <v>31591</v>
      </c>
      <c r="I11058" t="s">
        <v>8822</v>
      </c>
      <c r="J11058" t="s">
        <v>38593</v>
      </c>
      <c r="K11058" t="s">
        <v>41274</v>
      </c>
      <c r="M11058" t="s">
        <v>44578</v>
      </c>
      <c r="N11058" t="s">
        <v>45095</v>
      </c>
      <c r="O11058" t="s">
        <v>45096</v>
      </c>
      <c r="P11058">
        <v>0</v>
      </c>
      <c r="Q11058">
        <v>0</v>
      </c>
      <c r="R11058" t="s">
        <v>45109</v>
      </c>
      <c r="S11058" t="s">
        <v>45478</v>
      </c>
      <c r="T11058" t="s">
        <v>46988</v>
      </c>
      <c r="U11058" t="s">
        <v>56561</v>
      </c>
      <c r="W11058" t="s">
        <v>44578</v>
      </c>
      <c r="X11058" t="s">
        <v>45110</v>
      </c>
    </row>
    <row r="11059" spans="1:24">
      <c r="A11059">
        <f>HYPERLINK("https://www.philgeps.gov.ph/GEPSNONPILOT/Tender/SplashBidNoticeAbstractUI.aspx?menuIndex=3&amp;refID=7025032&amp;Result=3","7025032")</f>
        <v>0</v>
      </c>
      <c r="B11059" t="s">
        <v>2719</v>
      </c>
      <c r="C11059" t="s">
        <v>13741</v>
      </c>
      <c r="D11059" t="s">
        <v>18076</v>
      </c>
      <c r="E11059" t="s">
        <v>19894</v>
      </c>
      <c r="F11059" t="s">
        <v>31574</v>
      </c>
      <c r="G11059" t="s">
        <v>31582</v>
      </c>
      <c r="H11059" t="s">
        <v>31591</v>
      </c>
      <c r="I11059" t="s">
        <v>4046</v>
      </c>
      <c r="J11059" t="s">
        <v>38594</v>
      </c>
      <c r="K11059" t="s">
        <v>41190</v>
      </c>
      <c r="M11059" t="s">
        <v>44490</v>
      </c>
      <c r="N11059" t="s">
        <v>45095</v>
      </c>
      <c r="O11059" t="s">
        <v>45096</v>
      </c>
      <c r="P11059">
        <v>0</v>
      </c>
      <c r="Q11059">
        <v>0</v>
      </c>
      <c r="R11059" t="s">
        <v>45109</v>
      </c>
      <c r="S11059" t="s">
        <v>45478</v>
      </c>
      <c r="T11059" t="s">
        <v>46914</v>
      </c>
      <c r="U11059" t="s">
        <v>56562</v>
      </c>
      <c r="V11059" t="s">
        <v>61013</v>
      </c>
      <c r="W11059" t="s">
        <v>44490</v>
      </c>
      <c r="X11059" t="s">
        <v>45110</v>
      </c>
    </row>
    <row r="11060" spans="1:24">
      <c r="A11060">
        <f>HYPERLINK("https://www.philgeps.gov.ph/GEPSNONPILOT/Tender/SplashBidNoticeAbstractUI.aspx?menuIndex=3&amp;refID=7025033&amp;Result=3","7025033")</f>
        <v>0</v>
      </c>
      <c r="B11060" t="s">
        <v>124</v>
      </c>
      <c r="C11060" t="s">
        <v>13742</v>
      </c>
      <c r="D11060" t="s">
        <v>18065</v>
      </c>
      <c r="E11060" t="s">
        <v>27699</v>
      </c>
      <c r="F11060" t="s">
        <v>31574</v>
      </c>
      <c r="G11060" t="s">
        <v>31582</v>
      </c>
      <c r="H11060" t="s">
        <v>31590</v>
      </c>
      <c r="I11060" t="s">
        <v>14544</v>
      </c>
      <c r="J11060" t="s">
        <v>38595</v>
      </c>
      <c r="K11060" t="s">
        <v>41184</v>
      </c>
      <c r="M11060" t="s">
        <v>42125</v>
      </c>
      <c r="N11060" t="s">
        <v>45095</v>
      </c>
      <c r="O11060" t="s">
        <v>45096</v>
      </c>
      <c r="Q11060">
        <v>8</v>
      </c>
      <c r="R11060" t="s">
        <v>45109</v>
      </c>
      <c r="S11060" t="s">
        <v>45514</v>
      </c>
      <c r="T11060" t="s">
        <v>47003</v>
      </c>
      <c r="U11060" t="s">
        <v>56563</v>
      </c>
      <c r="W11060" t="s">
        <v>42125</v>
      </c>
      <c r="X11060" t="s">
        <v>45110</v>
      </c>
    </row>
    <row r="11061" spans="1:24">
      <c r="A11061">
        <f>HYPERLINK("https://www.philgeps.gov.ph/GEPSNONPILOT/Tender/SplashBidNoticeAbstractUI.aspx?menuIndex=3&amp;refID=7025076&amp;Result=3","7025076")</f>
        <v>0</v>
      </c>
      <c r="B11061" t="s">
        <v>1443</v>
      </c>
      <c r="C11061" t="s">
        <v>13743</v>
      </c>
      <c r="D11061" t="s">
        <v>18074</v>
      </c>
      <c r="E11061" t="s">
        <v>27700</v>
      </c>
      <c r="F11061" t="s">
        <v>31574</v>
      </c>
      <c r="G11061" t="s">
        <v>31582</v>
      </c>
      <c r="H11061" t="s">
        <v>31591</v>
      </c>
      <c r="I11061" t="s">
        <v>8822</v>
      </c>
      <c r="J11061" t="s">
        <v>38596</v>
      </c>
      <c r="K11061" t="s">
        <v>41200</v>
      </c>
      <c r="M11061" t="s">
        <v>43523</v>
      </c>
      <c r="N11061" t="s">
        <v>45095</v>
      </c>
      <c r="O11061" t="s">
        <v>45096</v>
      </c>
      <c r="P11061">
        <v>0</v>
      </c>
      <c r="Q11061">
        <v>0</v>
      </c>
      <c r="R11061" t="s">
        <v>45109</v>
      </c>
      <c r="S11061" t="s">
        <v>45478</v>
      </c>
      <c r="T11061" t="s">
        <v>46970</v>
      </c>
      <c r="U11061" t="s">
        <v>56564</v>
      </c>
      <c r="V11061" t="s">
        <v>60477</v>
      </c>
      <c r="W11061" t="s">
        <v>43523</v>
      </c>
      <c r="X11061" t="s">
        <v>45110</v>
      </c>
    </row>
    <row r="11062" spans="1:24">
      <c r="A11062">
        <f>HYPERLINK("https://www.philgeps.gov.ph/GEPSNONPILOT/Tender/SplashBidNoticeAbstractUI.aspx?menuIndex=3&amp;refID=7025008&amp;Result=3","7025008")</f>
        <v>0</v>
      </c>
      <c r="B11062" t="s">
        <v>2719</v>
      </c>
      <c r="C11062" t="s">
        <v>13744</v>
      </c>
      <c r="D11062" t="s">
        <v>18076</v>
      </c>
      <c r="E11062" t="s">
        <v>19843</v>
      </c>
      <c r="F11062" t="s">
        <v>31574</v>
      </c>
      <c r="G11062" t="s">
        <v>31582</v>
      </c>
      <c r="H11062" t="s">
        <v>31591</v>
      </c>
      <c r="I11062" t="s">
        <v>4046</v>
      </c>
      <c r="J11062" t="s">
        <v>33359</v>
      </c>
      <c r="K11062" t="s">
        <v>41190</v>
      </c>
      <c r="M11062" t="s">
        <v>44490</v>
      </c>
      <c r="N11062" t="s">
        <v>45095</v>
      </c>
      <c r="O11062" t="s">
        <v>45096</v>
      </c>
      <c r="P11062">
        <v>0</v>
      </c>
      <c r="Q11062">
        <v>0</v>
      </c>
      <c r="R11062" t="s">
        <v>45109</v>
      </c>
      <c r="S11062" t="s">
        <v>45478</v>
      </c>
      <c r="T11062" t="s">
        <v>46914</v>
      </c>
      <c r="U11062" t="s">
        <v>56565</v>
      </c>
      <c r="V11062" t="s">
        <v>61011</v>
      </c>
      <c r="W11062" t="s">
        <v>44490</v>
      </c>
      <c r="X11062" t="s">
        <v>45110</v>
      </c>
    </row>
    <row r="11063" spans="1:24">
      <c r="A11063">
        <f>HYPERLINK("https://www.philgeps.gov.ph/GEPSNONPILOT/Tender/SplashBidNoticeAbstractUI.aspx?menuIndex=3&amp;refID=7025099&amp;Result=3","7025099")</f>
        <v>0</v>
      </c>
      <c r="B11063" t="s">
        <v>1443</v>
      </c>
      <c r="C11063" t="s">
        <v>13745</v>
      </c>
      <c r="D11063" t="s">
        <v>18074</v>
      </c>
      <c r="E11063" t="s">
        <v>27701</v>
      </c>
      <c r="F11063" t="s">
        <v>31574</v>
      </c>
      <c r="G11063" t="s">
        <v>31582</v>
      </c>
      <c r="H11063" t="s">
        <v>31591</v>
      </c>
      <c r="I11063" t="s">
        <v>8822</v>
      </c>
      <c r="J11063" t="s">
        <v>38597</v>
      </c>
      <c r="K11063" t="s">
        <v>41185</v>
      </c>
      <c r="M11063" t="s">
        <v>43523</v>
      </c>
      <c r="N11063" t="s">
        <v>45095</v>
      </c>
      <c r="O11063" t="s">
        <v>45096</v>
      </c>
      <c r="P11063">
        <v>0</v>
      </c>
      <c r="Q11063">
        <v>0</v>
      </c>
      <c r="R11063" t="s">
        <v>45109</v>
      </c>
      <c r="S11063" t="s">
        <v>45478</v>
      </c>
      <c r="T11063" t="s">
        <v>46970</v>
      </c>
      <c r="U11063" t="s">
        <v>56566</v>
      </c>
      <c r="V11063" t="s">
        <v>60477</v>
      </c>
      <c r="W11063" t="s">
        <v>43523</v>
      </c>
      <c r="X11063" t="s">
        <v>45110</v>
      </c>
    </row>
    <row r="11064" spans="1:24">
      <c r="A11064">
        <f>HYPERLINK("https://www.philgeps.gov.ph/GEPSNONPILOT/Tender/SplashBidNoticeAbstractUI.aspx?menuIndex=3&amp;refID=7025132&amp;Result=3","7025132")</f>
        <v>0</v>
      </c>
      <c r="B11064" t="s">
        <v>1443</v>
      </c>
      <c r="C11064" t="s">
        <v>13746</v>
      </c>
      <c r="D11064" t="s">
        <v>18074</v>
      </c>
      <c r="E11064" t="s">
        <v>27702</v>
      </c>
      <c r="F11064" t="s">
        <v>31574</v>
      </c>
      <c r="G11064" t="s">
        <v>31582</v>
      </c>
      <c r="H11064" t="s">
        <v>31591</v>
      </c>
      <c r="I11064" t="s">
        <v>8822</v>
      </c>
      <c r="J11064" t="s">
        <v>38598</v>
      </c>
      <c r="K11064" t="s">
        <v>41415</v>
      </c>
      <c r="M11064" t="s">
        <v>43523</v>
      </c>
      <c r="N11064" t="s">
        <v>45095</v>
      </c>
      <c r="O11064" t="s">
        <v>45096</v>
      </c>
      <c r="P11064">
        <v>0</v>
      </c>
      <c r="Q11064">
        <v>0</v>
      </c>
      <c r="R11064" t="s">
        <v>45109</v>
      </c>
      <c r="S11064" t="s">
        <v>45478</v>
      </c>
      <c r="T11064" t="s">
        <v>46970</v>
      </c>
      <c r="U11064" t="s">
        <v>56567</v>
      </c>
      <c r="V11064" t="s">
        <v>60477</v>
      </c>
      <c r="W11064" t="s">
        <v>43523</v>
      </c>
      <c r="X11064" t="s">
        <v>45110</v>
      </c>
    </row>
    <row r="11065" spans="1:24">
      <c r="A11065">
        <f>HYPERLINK("https://www.philgeps.gov.ph/GEPSNONPILOT/Tender/SplashBidNoticeAbstractUI.aspx?menuIndex=3&amp;refID=7025079&amp;Result=3","7025079")</f>
        <v>0</v>
      </c>
      <c r="B11065" t="s">
        <v>435</v>
      </c>
      <c r="C11065" t="s">
        <v>13747</v>
      </c>
      <c r="D11065" t="s">
        <v>18057</v>
      </c>
      <c r="E11065" t="s">
        <v>27703</v>
      </c>
      <c r="F11065" t="s">
        <v>31575</v>
      </c>
      <c r="G11065" t="s">
        <v>31582</v>
      </c>
      <c r="H11065" t="s">
        <v>31590</v>
      </c>
      <c r="I11065" t="s">
        <v>31619</v>
      </c>
      <c r="J11065" t="s">
        <v>32101</v>
      </c>
      <c r="K11065" t="s">
        <v>41192</v>
      </c>
      <c r="M11065" t="s">
        <v>41928</v>
      </c>
      <c r="N11065" t="s">
        <v>45095</v>
      </c>
      <c r="O11065" t="s">
        <v>45096</v>
      </c>
      <c r="Q11065">
        <v>16</v>
      </c>
      <c r="R11065" t="s">
        <v>45109</v>
      </c>
      <c r="S11065" t="s">
        <v>45515</v>
      </c>
      <c r="T11065" t="s">
        <v>47192</v>
      </c>
      <c r="U11065" t="s">
        <v>56568</v>
      </c>
      <c r="W11065" t="s">
        <v>41928</v>
      </c>
      <c r="X11065" t="s">
        <v>45110</v>
      </c>
    </row>
    <row r="11066" spans="1:24">
      <c r="A11066">
        <f>HYPERLINK("https://www.philgeps.gov.ph/GEPSNONPILOT/Tender/SplashBidNoticeAbstractUI.aspx?menuIndex=3&amp;refID=7025094&amp;Result=3","7025094")</f>
        <v>0</v>
      </c>
      <c r="B11066" t="s">
        <v>2811</v>
      </c>
      <c r="C11066" t="s">
        <v>13748</v>
      </c>
      <c r="D11066" t="s">
        <v>18099</v>
      </c>
      <c r="E11066" t="s">
        <v>27704</v>
      </c>
      <c r="F11066" t="s">
        <v>31574</v>
      </c>
      <c r="G11066" t="s">
        <v>31582</v>
      </c>
      <c r="H11066" t="s">
        <v>31590</v>
      </c>
      <c r="I11066" t="s">
        <v>4046</v>
      </c>
      <c r="J11066" t="s">
        <v>38599</v>
      </c>
      <c r="K11066" t="s">
        <v>41196</v>
      </c>
      <c r="M11066" t="s">
        <v>44586</v>
      </c>
      <c r="N11066" t="s">
        <v>45095</v>
      </c>
      <c r="O11066" t="s">
        <v>45096</v>
      </c>
      <c r="Q11066">
        <v>0</v>
      </c>
      <c r="R11066" t="s">
        <v>45109</v>
      </c>
      <c r="S11066" t="s">
        <v>45516</v>
      </c>
      <c r="T11066" t="s">
        <v>47010</v>
      </c>
      <c r="U11066" t="s">
        <v>56569</v>
      </c>
      <c r="W11066" t="s">
        <v>44586</v>
      </c>
      <c r="X11066" t="s">
        <v>45110</v>
      </c>
    </row>
    <row r="11067" spans="1:24">
      <c r="A11067">
        <f>HYPERLINK("https://www.philgeps.gov.ph/GEPSNONPILOT/Tender/SplashBidNoticeAbstractUI.aspx?menuIndex=3&amp;refID=7025126&amp;Result=3","7025126")</f>
        <v>0</v>
      </c>
      <c r="B11067" t="s">
        <v>469</v>
      </c>
      <c r="C11067" t="s">
        <v>13749</v>
      </c>
      <c r="D11067" t="s">
        <v>18091</v>
      </c>
      <c r="E11067" t="s">
        <v>27705</v>
      </c>
      <c r="F11067" t="s">
        <v>31574</v>
      </c>
      <c r="G11067" t="s">
        <v>31582</v>
      </c>
      <c r="H11067" t="s">
        <v>31591</v>
      </c>
      <c r="I11067" t="s">
        <v>8822</v>
      </c>
      <c r="J11067" t="s">
        <v>32277</v>
      </c>
      <c r="K11067" t="s">
        <v>41368</v>
      </c>
      <c r="M11067" t="s">
        <v>41963</v>
      </c>
      <c r="N11067" t="s">
        <v>45095</v>
      </c>
      <c r="O11067" t="s">
        <v>45096</v>
      </c>
      <c r="P11067">
        <v>0</v>
      </c>
      <c r="Q11067">
        <v>0</v>
      </c>
      <c r="R11067" t="s">
        <v>45109</v>
      </c>
      <c r="S11067" t="s">
        <v>45478</v>
      </c>
      <c r="T11067" t="s">
        <v>46977</v>
      </c>
      <c r="U11067" t="s">
        <v>56570</v>
      </c>
      <c r="W11067" t="s">
        <v>41963</v>
      </c>
      <c r="X11067" t="s">
        <v>45110</v>
      </c>
    </row>
    <row r="11068" spans="1:24">
      <c r="A11068">
        <f>HYPERLINK("https://www.philgeps.gov.ph/GEPSNONPILOT/Tender/SplashBidNoticeAbstractUI.aspx?menuIndex=3&amp;refID=7025128&amp;Result=3","7025128")</f>
        <v>0</v>
      </c>
      <c r="B11068" t="s">
        <v>2782</v>
      </c>
      <c r="C11068" t="s">
        <v>13750</v>
      </c>
      <c r="D11068" t="s">
        <v>18102</v>
      </c>
      <c r="E11068" t="s">
        <v>27706</v>
      </c>
      <c r="F11068" t="s">
        <v>31574</v>
      </c>
      <c r="G11068" t="s">
        <v>31582</v>
      </c>
      <c r="H11068" t="s">
        <v>31591</v>
      </c>
      <c r="I11068" t="s">
        <v>8822</v>
      </c>
      <c r="J11068" t="s">
        <v>36161</v>
      </c>
      <c r="K11068" t="s">
        <v>41196</v>
      </c>
      <c r="M11068" t="s">
        <v>44557</v>
      </c>
      <c r="N11068" t="s">
        <v>45095</v>
      </c>
      <c r="O11068" t="s">
        <v>45096</v>
      </c>
      <c r="P11068">
        <v>0</v>
      </c>
      <c r="Q11068">
        <v>0</v>
      </c>
      <c r="R11068" t="s">
        <v>45109</v>
      </c>
      <c r="S11068" t="s">
        <v>45478</v>
      </c>
      <c r="T11068" t="s">
        <v>47159</v>
      </c>
      <c r="U11068" t="s">
        <v>56571</v>
      </c>
      <c r="W11068" t="s">
        <v>44557</v>
      </c>
      <c r="X11068" t="s">
        <v>45110</v>
      </c>
    </row>
    <row r="11069" spans="1:24">
      <c r="A11069">
        <f>HYPERLINK("https://www.philgeps.gov.ph/GEPSNONPILOT/Tender/SplashBidNoticeAbstractUI.aspx?menuIndex=3&amp;refID=7025119&amp;Result=3","7025119")</f>
        <v>0</v>
      </c>
      <c r="B11069" t="s">
        <v>960</v>
      </c>
      <c r="C11069" t="s">
        <v>13751</v>
      </c>
      <c r="D11069" t="s">
        <v>18052</v>
      </c>
      <c r="E11069" t="s">
        <v>27707</v>
      </c>
      <c r="F11069" t="s">
        <v>31574</v>
      </c>
      <c r="G11069" t="s">
        <v>31582</v>
      </c>
      <c r="H11069" t="s">
        <v>31590</v>
      </c>
      <c r="I11069" t="s">
        <v>31599</v>
      </c>
      <c r="J11069" t="s">
        <v>33919</v>
      </c>
      <c r="K11069" t="s">
        <v>41196</v>
      </c>
      <c r="M11069" t="s">
        <v>42488</v>
      </c>
      <c r="N11069" t="s">
        <v>45095</v>
      </c>
      <c r="O11069" t="s">
        <v>45096</v>
      </c>
      <c r="P11069">
        <v>0</v>
      </c>
      <c r="Q11069">
        <v>1</v>
      </c>
      <c r="R11069" t="s">
        <v>45109</v>
      </c>
      <c r="S11069" t="s">
        <v>45478</v>
      </c>
      <c r="T11069" t="s">
        <v>47089</v>
      </c>
      <c r="U11069" t="s">
        <v>56572</v>
      </c>
      <c r="V11069" t="s">
        <v>61018</v>
      </c>
      <c r="W11069" t="s">
        <v>42488</v>
      </c>
      <c r="X11069" t="s">
        <v>45110</v>
      </c>
    </row>
    <row r="11070" spans="1:24">
      <c r="A11070">
        <f>HYPERLINK("https://www.philgeps.gov.ph/GEPSNONPILOT/Tender/SplashBidNoticeAbstractUI.aspx?menuIndex=3&amp;refID=7025093&amp;Result=3","7025093")</f>
        <v>0</v>
      </c>
      <c r="B11070" t="s">
        <v>2808</v>
      </c>
      <c r="C11070" t="s">
        <v>13752</v>
      </c>
      <c r="D11070" t="s">
        <v>18037</v>
      </c>
      <c r="E11070" t="s">
        <v>27708</v>
      </c>
      <c r="F11070" t="s">
        <v>31574</v>
      </c>
      <c r="G11070" t="s">
        <v>31582</v>
      </c>
      <c r="H11070" t="s">
        <v>31591</v>
      </c>
      <c r="I11070" t="s">
        <v>8822</v>
      </c>
      <c r="J11070" t="s">
        <v>38600</v>
      </c>
      <c r="K11070" t="s">
        <v>41395</v>
      </c>
      <c r="M11070" t="s">
        <v>44583</v>
      </c>
      <c r="N11070" t="s">
        <v>45095</v>
      </c>
      <c r="O11070" t="s">
        <v>45096</v>
      </c>
      <c r="P11070">
        <v>0</v>
      </c>
      <c r="Q11070">
        <v>2</v>
      </c>
      <c r="R11070" t="s">
        <v>45109</v>
      </c>
      <c r="S11070" t="s">
        <v>45478</v>
      </c>
      <c r="T11070" t="s">
        <v>47111</v>
      </c>
      <c r="U11070" t="s">
        <v>56573</v>
      </c>
      <c r="W11070" t="s">
        <v>44583</v>
      </c>
      <c r="X11070" t="s">
        <v>45110</v>
      </c>
    </row>
    <row r="11071" spans="1:24">
      <c r="A11071">
        <f>HYPERLINK("https://www.philgeps.gov.ph/GEPSNONPILOT/Tender/SplashBidNoticeAbstractUI.aspx?menuIndex=3&amp;refID=7025117&amp;Result=3","7025117")</f>
        <v>0</v>
      </c>
      <c r="B11071" t="s">
        <v>1443</v>
      </c>
      <c r="C11071" t="s">
        <v>13753</v>
      </c>
      <c r="D11071" t="s">
        <v>18074</v>
      </c>
      <c r="E11071" t="s">
        <v>27709</v>
      </c>
      <c r="F11071" t="s">
        <v>31574</v>
      </c>
      <c r="G11071" t="s">
        <v>31582</v>
      </c>
      <c r="H11071" t="s">
        <v>31591</v>
      </c>
      <c r="I11071" t="s">
        <v>8822</v>
      </c>
      <c r="J11071" t="s">
        <v>38601</v>
      </c>
      <c r="K11071" t="s">
        <v>41185</v>
      </c>
      <c r="M11071" t="s">
        <v>43523</v>
      </c>
      <c r="N11071" t="s">
        <v>45095</v>
      </c>
      <c r="O11071" t="s">
        <v>45096</v>
      </c>
      <c r="P11071">
        <v>0</v>
      </c>
      <c r="Q11071">
        <v>0</v>
      </c>
      <c r="R11071" t="s">
        <v>45109</v>
      </c>
      <c r="S11071" t="s">
        <v>45478</v>
      </c>
      <c r="T11071" t="s">
        <v>46970</v>
      </c>
      <c r="U11071" t="s">
        <v>56566</v>
      </c>
      <c r="V11071" t="s">
        <v>60477</v>
      </c>
      <c r="W11071" t="s">
        <v>43523</v>
      </c>
      <c r="X11071" t="s">
        <v>45110</v>
      </c>
    </row>
    <row r="11072" spans="1:24">
      <c r="A11072">
        <f>HYPERLINK("https://www.philgeps.gov.ph/GEPSNONPILOT/Tender/SplashBidNoticeAbstractUI.aspx?menuIndex=3&amp;refID=7025125&amp;Result=3","7025125")</f>
        <v>0</v>
      </c>
      <c r="B11072" t="s">
        <v>2796</v>
      </c>
      <c r="C11072" t="s">
        <v>13754</v>
      </c>
      <c r="D11072" t="s">
        <v>18046</v>
      </c>
      <c r="E11072" t="s">
        <v>27710</v>
      </c>
      <c r="F11072" t="s">
        <v>31574</v>
      </c>
      <c r="G11072" t="s">
        <v>31582</v>
      </c>
      <c r="H11072" t="s">
        <v>31590</v>
      </c>
      <c r="I11072" t="s">
        <v>7185</v>
      </c>
      <c r="J11072" t="s">
        <v>38602</v>
      </c>
      <c r="K11072" t="s">
        <v>41196</v>
      </c>
      <c r="M11072" t="s">
        <v>44571</v>
      </c>
      <c r="N11072" t="s">
        <v>45095</v>
      </c>
      <c r="O11072" t="s">
        <v>45096</v>
      </c>
      <c r="P11072">
        <v>0</v>
      </c>
      <c r="Q11072">
        <v>2</v>
      </c>
      <c r="R11072" t="s">
        <v>45109</v>
      </c>
      <c r="S11072" t="s">
        <v>45478</v>
      </c>
      <c r="T11072" t="s">
        <v>46986</v>
      </c>
      <c r="U11072" t="s">
        <v>56574</v>
      </c>
      <c r="W11072" t="s">
        <v>61757</v>
      </c>
      <c r="X11072" t="s">
        <v>45110</v>
      </c>
    </row>
    <row r="11073" spans="1:24">
      <c r="A11073">
        <f>HYPERLINK("https://www.philgeps.gov.ph/GEPSNONPILOT/Tender/SplashBidNoticeAbstractUI.aspx?menuIndex=3&amp;refID=7025112&amp;Result=3","7025112")</f>
        <v>0</v>
      </c>
      <c r="B11073" t="s">
        <v>2812</v>
      </c>
      <c r="C11073" t="s">
        <v>13755</v>
      </c>
      <c r="D11073" t="s">
        <v>18079</v>
      </c>
      <c r="E11073" t="s">
        <v>27711</v>
      </c>
      <c r="F11073" t="s">
        <v>31574</v>
      </c>
      <c r="G11073" t="s">
        <v>31581</v>
      </c>
      <c r="H11073" t="s">
        <v>31590</v>
      </c>
      <c r="I11073" t="s">
        <v>3539</v>
      </c>
      <c r="J11073" t="s">
        <v>32017</v>
      </c>
      <c r="K11073" t="s">
        <v>41193</v>
      </c>
      <c r="M11073" t="s">
        <v>44587</v>
      </c>
      <c r="N11073" t="s">
        <v>45095</v>
      </c>
      <c r="O11073" t="s">
        <v>45096</v>
      </c>
      <c r="P11073">
        <v>0</v>
      </c>
      <c r="Q11073">
        <v>1</v>
      </c>
      <c r="R11073" t="s">
        <v>45109</v>
      </c>
      <c r="S11073" t="s">
        <v>45478</v>
      </c>
      <c r="T11073" t="s">
        <v>47159</v>
      </c>
      <c r="U11073" t="s">
        <v>56575</v>
      </c>
      <c r="W11073" t="s">
        <v>44587</v>
      </c>
      <c r="X11073" t="s">
        <v>45110</v>
      </c>
    </row>
    <row r="11074" spans="1:24">
      <c r="A11074">
        <f>HYPERLINK("https://www.philgeps.gov.ph/GEPSNONPILOT/Tender/SplashBidNoticeAbstractUI.aspx?menuIndex=3&amp;refID=7025087&amp;Result=3","7025087")</f>
        <v>0</v>
      </c>
      <c r="B11074" t="s">
        <v>124</v>
      </c>
      <c r="C11074" t="s">
        <v>13756</v>
      </c>
      <c r="D11074" t="s">
        <v>18065</v>
      </c>
      <c r="E11074" t="s">
        <v>27712</v>
      </c>
      <c r="F11074" t="s">
        <v>31574</v>
      </c>
      <c r="G11074" t="s">
        <v>31582</v>
      </c>
      <c r="H11074" t="s">
        <v>31590</v>
      </c>
      <c r="I11074" t="s">
        <v>31626</v>
      </c>
      <c r="J11074" t="s">
        <v>38603</v>
      </c>
      <c r="K11074" t="s">
        <v>41184</v>
      </c>
      <c r="M11074" t="s">
        <v>42125</v>
      </c>
      <c r="N11074" t="s">
        <v>45095</v>
      </c>
      <c r="O11074" t="s">
        <v>45096</v>
      </c>
      <c r="Q11074">
        <v>6</v>
      </c>
      <c r="R11074" t="s">
        <v>45109</v>
      </c>
      <c r="S11074" t="s">
        <v>45443</v>
      </c>
      <c r="T11074" t="s">
        <v>47003</v>
      </c>
      <c r="U11074" t="s">
        <v>56576</v>
      </c>
      <c r="W11074" t="s">
        <v>42125</v>
      </c>
      <c r="X11074" t="s">
        <v>45110</v>
      </c>
    </row>
    <row r="11075" spans="1:24">
      <c r="A11075">
        <f>HYPERLINK("https://www.philgeps.gov.ph/GEPSNONPILOT/Tender/SplashBidNoticeAbstractUI.aspx?menuIndex=3&amp;refID=7025124&amp;Result=3","7025124")</f>
        <v>0</v>
      </c>
      <c r="B11075" t="s">
        <v>124</v>
      </c>
      <c r="C11075" t="s">
        <v>13757</v>
      </c>
      <c r="D11075" t="s">
        <v>18065</v>
      </c>
      <c r="E11075" t="s">
        <v>27713</v>
      </c>
      <c r="F11075" t="s">
        <v>31574</v>
      </c>
      <c r="G11075" t="s">
        <v>31589</v>
      </c>
      <c r="H11075" t="s">
        <v>31590</v>
      </c>
      <c r="I11075" t="s">
        <v>31635</v>
      </c>
      <c r="J11075" t="s">
        <v>38604</v>
      </c>
      <c r="K11075" t="s">
        <v>41184</v>
      </c>
      <c r="M11075" t="s">
        <v>42125</v>
      </c>
      <c r="N11075" t="s">
        <v>45095</v>
      </c>
      <c r="O11075" t="s">
        <v>45096</v>
      </c>
      <c r="Q11075">
        <v>0</v>
      </c>
      <c r="R11075" t="s">
        <v>45109</v>
      </c>
      <c r="S11075" t="s">
        <v>45517</v>
      </c>
      <c r="T11075" t="s">
        <v>47003</v>
      </c>
      <c r="U11075" t="s">
        <v>56577</v>
      </c>
      <c r="W11075" t="s">
        <v>42125</v>
      </c>
      <c r="X11075" t="s">
        <v>45110</v>
      </c>
    </row>
    <row r="11076" spans="1:24">
      <c r="A11076">
        <f>HYPERLINK("https://www.philgeps.gov.ph/GEPSNONPILOT/Tender/SplashBidNoticeAbstractUI.aspx?menuIndex=3&amp;refID=7025078&amp;Result=3","7025078")</f>
        <v>0</v>
      </c>
      <c r="B11076" t="s">
        <v>2812</v>
      </c>
      <c r="C11076" t="s">
        <v>13755</v>
      </c>
      <c r="D11076" t="s">
        <v>18079</v>
      </c>
      <c r="E11076" t="s">
        <v>27714</v>
      </c>
      <c r="F11076" t="s">
        <v>31574</v>
      </c>
      <c r="G11076" t="s">
        <v>31581</v>
      </c>
      <c r="H11076" t="s">
        <v>31590</v>
      </c>
      <c r="I11076" t="s">
        <v>3539</v>
      </c>
      <c r="J11076" t="s">
        <v>31726</v>
      </c>
      <c r="K11076" t="s">
        <v>41193</v>
      </c>
      <c r="M11076" t="s">
        <v>44587</v>
      </c>
      <c r="N11076" t="s">
        <v>45095</v>
      </c>
      <c r="O11076" t="s">
        <v>45096</v>
      </c>
      <c r="P11076">
        <v>0</v>
      </c>
      <c r="Q11076">
        <v>0</v>
      </c>
      <c r="R11076" t="s">
        <v>45109</v>
      </c>
      <c r="S11076" t="s">
        <v>45478</v>
      </c>
      <c r="T11076" t="s">
        <v>47159</v>
      </c>
      <c r="U11076" t="s">
        <v>56578</v>
      </c>
      <c r="W11076" t="s">
        <v>44587</v>
      </c>
      <c r="X11076" t="s">
        <v>45110</v>
      </c>
    </row>
    <row r="11077" spans="1:24">
      <c r="A11077">
        <f>HYPERLINK("https://www.philgeps.gov.ph/GEPSNONPILOT/Tender/SplashBidNoticeAbstractUI.aspx?menuIndex=3&amp;refID=7025088&amp;Result=3","7025088")</f>
        <v>0</v>
      </c>
      <c r="B11077" t="s">
        <v>1446</v>
      </c>
      <c r="C11077" t="s">
        <v>13758</v>
      </c>
      <c r="D11077" t="s">
        <v>18052</v>
      </c>
      <c r="E11077" t="s">
        <v>25597</v>
      </c>
      <c r="F11077" t="s">
        <v>31574</v>
      </c>
      <c r="G11077" t="s">
        <v>31582</v>
      </c>
      <c r="H11077" t="s">
        <v>31590</v>
      </c>
      <c r="I11077" t="s">
        <v>14544</v>
      </c>
      <c r="J11077" t="s">
        <v>38605</v>
      </c>
      <c r="K11077" t="s">
        <v>41185</v>
      </c>
      <c r="M11077" t="s">
        <v>43025</v>
      </c>
      <c r="N11077" t="s">
        <v>45095</v>
      </c>
      <c r="O11077" t="s">
        <v>45096</v>
      </c>
      <c r="P11077">
        <v>0</v>
      </c>
      <c r="Q11077">
        <v>1</v>
      </c>
      <c r="R11077" t="s">
        <v>45109</v>
      </c>
      <c r="S11077" t="s">
        <v>45478</v>
      </c>
      <c r="T11077" t="s">
        <v>47118</v>
      </c>
      <c r="U11077" t="s">
        <v>50981</v>
      </c>
      <c r="V11077" t="s">
        <v>61019</v>
      </c>
      <c r="W11077" t="s">
        <v>43025</v>
      </c>
      <c r="X11077" t="s">
        <v>45110</v>
      </c>
    </row>
    <row r="11078" spans="1:24">
      <c r="A11078">
        <f>HYPERLINK("https://www.philgeps.gov.ph/GEPSNONPILOT/Tender/SplashBidNoticeAbstractUI.aspx?menuIndex=3&amp;refID=7025115&amp;Result=3","7025115")</f>
        <v>0</v>
      </c>
      <c r="B11078" t="s">
        <v>1446</v>
      </c>
      <c r="C11078" t="s">
        <v>13759</v>
      </c>
      <c r="D11078" t="s">
        <v>18052</v>
      </c>
      <c r="E11078" t="s">
        <v>25624</v>
      </c>
      <c r="F11078" t="s">
        <v>31574</v>
      </c>
      <c r="G11078" t="s">
        <v>31582</v>
      </c>
      <c r="H11078" t="s">
        <v>31590</v>
      </c>
      <c r="I11078" t="s">
        <v>7185</v>
      </c>
      <c r="J11078" t="s">
        <v>38606</v>
      </c>
      <c r="K11078" t="s">
        <v>41186</v>
      </c>
      <c r="M11078" t="s">
        <v>43025</v>
      </c>
      <c r="N11078" t="s">
        <v>45095</v>
      </c>
      <c r="O11078" t="s">
        <v>45096</v>
      </c>
      <c r="P11078">
        <v>0</v>
      </c>
      <c r="Q11078">
        <v>3</v>
      </c>
      <c r="R11078" t="s">
        <v>45109</v>
      </c>
      <c r="S11078" t="s">
        <v>45478</v>
      </c>
      <c r="T11078" t="s">
        <v>47118</v>
      </c>
      <c r="U11078" t="s">
        <v>50981</v>
      </c>
      <c r="V11078" t="s">
        <v>61019</v>
      </c>
      <c r="W11078" t="s">
        <v>43025</v>
      </c>
      <c r="X11078" t="s">
        <v>45110</v>
      </c>
    </row>
    <row r="11079" spans="1:24">
      <c r="A11079">
        <f>HYPERLINK("https://www.philgeps.gov.ph/GEPSNONPILOT/Tender/SplashBidNoticeAbstractUI.aspx?menuIndex=3&amp;refID=7025136&amp;Result=3","7025136")</f>
        <v>0</v>
      </c>
      <c r="B11079" t="s">
        <v>1446</v>
      </c>
      <c r="C11079" t="s">
        <v>13760</v>
      </c>
      <c r="D11079" t="s">
        <v>18052</v>
      </c>
      <c r="E11079" t="s">
        <v>20630</v>
      </c>
      <c r="F11079" t="s">
        <v>31574</v>
      </c>
      <c r="G11079" t="s">
        <v>31582</v>
      </c>
      <c r="H11079" t="s">
        <v>31590</v>
      </c>
      <c r="I11079" t="s">
        <v>31594</v>
      </c>
      <c r="J11079" t="s">
        <v>33474</v>
      </c>
      <c r="K11079" t="s">
        <v>41186</v>
      </c>
      <c r="M11079" t="s">
        <v>43025</v>
      </c>
      <c r="N11079" t="s">
        <v>45095</v>
      </c>
      <c r="O11079" t="s">
        <v>45096</v>
      </c>
      <c r="P11079">
        <v>0</v>
      </c>
      <c r="Q11079">
        <v>3</v>
      </c>
      <c r="R11079" t="s">
        <v>45109</v>
      </c>
      <c r="S11079" t="s">
        <v>45478</v>
      </c>
      <c r="T11079" t="s">
        <v>47118</v>
      </c>
      <c r="U11079" t="s">
        <v>50981</v>
      </c>
      <c r="V11079" t="s">
        <v>61019</v>
      </c>
      <c r="W11079" t="s">
        <v>43025</v>
      </c>
      <c r="X11079" t="s">
        <v>45110</v>
      </c>
    </row>
    <row r="11080" spans="1:24">
      <c r="A11080">
        <f>HYPERLINK("https://www.philgeps.gov.ph/GEPSNONPILOT/Tender/SplashBidNoticeAbstractUI.aspx?menuIndex=3&amp;refID=7025116&amp;Result=3","7025116")</f>
        <v>0</v>
      </c>
      <c r="B11080" t="s">
        <v>2798</v>
      </c>
      <c r="C11080" t="s">
        <v>13761</v>
      </c>
      <c r="D11080" t="s">
        <v>18047</v>
      </c>
      <c r="E11080" t="s">
        <v>27715</v>
      </c>
      <c r="F11080" t="s">
        <v>31574</v>
      </c>
      <c r="G11080" t="s">
        <v>31582</v>
      </c>
      <c r="H11080" t="s">
        <v>31593</v>
      </c>
      <c r="I11080" t="s">
        <v>31593</v>
      </c>
      <c r="J11080" t="s">
        <v>38607</v>
      </c>
      <c r="K11080" t="s">
        <v>41274</v>
      </c>
      <c r="M11080" t="s">
        <v>44588</v>
      </c>
      <c r="N11080" t="s">
        <v>45095</v>
      </c>
      <c r="O11080" t="s">
        <v>45096</v>
      </c>
      <c r="Q11080">
        <v>2</v>
      </c>
      <c r="R11080" t="s">
        <v>45109</v>
      </c>
      <c r="S11080" t="s">
        <v>45518</v>
      </c>
      <c r="T11080" t="s">
        <v>46979</v>
      </c>
      <c r="U11080" t="s">
        <v>56579</v>
      </c>
      <c r="W11080" t="s">
        <v>44588</v>
      </c>
      <c r="X11080" t="s">
        <v>45110</v>
      </c>
    </row>
    <row r="11081" spans="1:24">
      <c r="A11081">
        <f>HYPERLINK("https://www.philgeps.gov.ph/GEPSNONPILOT/Tender/SplashBidNoticeAbstractUI.aspx?menuIndex=3&amp;refID=7025134&amp;Result=3","7025134")</f>
        <v>0</v>
      </c>
      <c r="B11081" t="s">
        <v>124</v>
      </c>
      <c r="C11081" t="s">
        <v>13762</v>
      </c>
      <c r="D11081" t="s">
        <v>18065</v>
      </c>
      <c r="E11081" t="s">
        <v>27716</v>
      </c>
      <c r="F11081" t="s">
        <v>31574</v>
      </c>
      <c r="G11081" t="s">
        <v>31582</v>
      </c>
      <c r="H11081" t="s">
        <v>31590</v>
      </c>
      <c r="I11081" t="s">
        <v>31629</v>
      </c>
      <c r="J11081" t="s">
        <v>38608</v>
      </c>
      <c r="K11081" t="s">
        <v>41184</v>
      </c>
      <c r="M11081" t="s">
        <v>42125</v>
      </c>
      <c r="N11081" t="s">
        <v>45095</v>
      </c>
      <c r="O11081" t="s">
        <v>45096</v>
      </c>
      <c r="Q11081">
        <v>2</v>
      </c>
      <c r="R11081" t="s">
        <v>45109</v>
      </c>
      <c r="S11081" t="s">
        <v>45519</v>
      </c>
      <c r="T11081" t="s">
        <v>47003</v>
      </c>
      <c r="U11081" t="s">
        <v>56580</v>
      </c>
      <c r="W11081" t="s">
        <v>42125</v>
      </c>
      <c r="X11081" t="s">
        <v>45110</v>
      </c>
    </row>
    <row r="11082" spans="1:24">
      <c r="A11082">
        <f>HYPERLINK("https://www.philgeps.gov.ph/GEPSNONPILOT/Tender/SplashBidNoticeAbstractUI.aspx?menuIndex=3&amp;refID=7025183&amp;Result=3","7025183")</f>
        <v>0</v>
      </c>
      <c r="B11082" t="s">
        <v>1446</v>
      </c>
      <c r="C11082" t="s">
        <v>13763</v>
      </c>
      <c r="D11082" t="s">
        <v>18052</v>
      </c>
      <c r="E11082" t="s">
        <v>18193</v>
      </c>
      <c r="F11082" t="s">
        <v>31574</v>
      </c>
      <c r="G11082" t="s">
        <v>31582</v>
      </c>
      <c r="H11082" t="s">
        <v>31590</v>
      </c>
      <c r="I11082" t="s">
        <v>4327</v>
      </c>
      <c r="J11082" t="s">
        <v>32026</v>
      </c>
      <c r="K11082" t="s">
        <v>41186</v>
      </c>
      <c r="M11082" t="s">
        <v>43025</v>
      </c>
      <c r="N11082" t="s">
        <v>45095</v>
      </c>
      <c r="O11082" t="s">
        <v>45096</v>
      </c>
      <c r="P11082">
        <v>0</v>
      </c>
      <c r="Q11082">
        <v>1</v>
      </c>
      <c r="R11082" t="s">
        <v>45109</v>
      </c>
      <c r="S11082" t="s">
        <v>45478</v>
      </c>
      <c r="T11082" t="s">
        <v>47118</v>
      </c>
      <c r="U11082" t="s">
        <v>50981</v>
      </c>
      <c r="V11082" t="s">
        <v>61020</v>
      </c>
      <c r="W11082" t="s">
        <v>43025</v>
      </c>
      <c r="X11082" t="s">
        <v>45110</v>
      </c>
    </row>
    <row r="11083" spans="1:24">
      <c r="A11083">
        <f>HYPERLINK("https://www.philgeps.gov.ph/GEPSNONPILOT/Tender/SplashBidNoticeAbstractUI.aspx?menuIndex=3&amp;refID=7025139&amp;Result=3","7025139")</f>
        <v>0</v>
      </c>
      <c r="B11083" t="s">
        <v>469</v>
      </c>
      <c r="C11083" t="s">
        <v>13764</v>
      </c>
      <c r="D11083" t="s">
        <v>18091</v>
      </c>
      <c r="E11083" t="s">
        <v>27717</v>
      </c>
      <c r="F11083" t="s">
        <v>31574</v>
      </c>
      <c r="G11083" t="s">
        <v>31582</v>
      </c>
      <c r="H11083" t="s">
        <v>31591</v>
      </c>
      <c r="I11083" t="s">
        <v>8822</v>
      </c>
      <c r="J11083" t="s">
        <v>35831</v>
      </c>
      <c r="K11083" t="s">
        <v>41242</v>
      </c>
      <c r="M11083" t="s">
        <v>41963</v>
      </c>
      <c r="N11083" t="s">
        <v>45095</v>
      </c>
      <c r="O11083" t="s">
        <v>45096</v>
      </c>
      <c r="P11083">
        <v>0</v>
      </c>
      <c r="Q11083">
        <v>0</v>
      </c>
      <c r="R11083" t="s">
        <v>45109</v>
      </c>
      <c r="S11083" t="s">
        <v>45478</v>
      </c>
      <c r="T11083" t="s">
        <v>46977</v>
      </c>
      <c r="U11083" t="s">
        <v>56581</v>
      </c>
      <c r="W11083" t="s">
        <v>41963</v>
      </c>
      <c r="X11083" t="s">
        <v>45110</v>
      </c>
    </row>
    <row r="11084" spans="1:24">
      <c r="A11084">
        <f>HYPERLINK("https://www.philgeps.gov.ph/GEPSNONPILOT/Tender/SplashBidNoticeAbstractUI.aspx?menuIndex=3&amp;refID=7025077&amp;Result=3","7025077")</f>
        <v>0</v>
      </c>
      <c r="B11084" t="s">
        <v>1931</v>
      </c>
      <c r="C11084" t="s">
        <v>13765</v>
      </c>
      <c r="D11084" t="s">
        <v>18029</v>
      </c>
      <c r="E11084" t="s">
        <v>18450</v>
      </c>
      <c r="F11084" t="s">
        <v>31574</v>
      </c>
      <c r="G11084" t="s">
        <v>31581</v>
      </c>
      <c r="H11084" t="s">
        <v>31590</v>
      </c>
      <c r="I11084" t="s">
        <v>31629</v>
      </c>
      <c r="J11084" t="s">
        <v>38609</v>
      </c>
      <c r="K11084" t="s">
        <v>41213</v>
      </c>
      <c r="M11084" t="s">
        <v>43585</v>
      </c>
      <c r="N11084" t="s">
        <v>45095</v>
      </c>
      <c r="O11084" t="s">
        <v>45096</v>
      </c>
      <c r="P11084">
        <v>0</v>
      </c>
      <c r="Q11084">
        <v>0</v>
      </c>
      <c r="R11084" t="s">
        <v>45109</v>
      </c>
      <c r="S11084" t="s">
        <v>45478</v>
      </c>
      <c r="T11084" t="s">
        <v>47106</v>
      </c>
      <c r="U11084" t="s">
        <v>56582</v>
      </c>
      <c r="W11084" t="s">
        <v>43585</v>
      </c>
      <c r="X11084" t="s">
        <v>45110</v>
      </c>
    </row>
    <row r="11085" spans="1:24">
      <c r="A11085">
        <f>HYPERLINK("https://www.philgeps.gov.ph/GEPSNONPILOT/Tender/SplashBidNoticeAbstractUI.aspx?menuIndex=3&amp;refID=7025173&amp;Result=3","7025173")</f>
        <v>0</v>
      </c>
      <c r="B11085" t="s">
        <v>1443</v>
      </c>
      <c r="C11085" t="s">
        <v>13766</v>
      </c>
      <c r="D11085" t="s">
        <v>18074</v>
      </c>
      <c r="E11085" t="s">
        <v>27718</v>
      </c>
      <c r="F11085" t="s">
        <v>31574</v>
      </c>
      <c r="G11085" t="s">
        <v>31582</v>
      </c>
      <c r="H11085" t="s">
        <v>31591</v>
      </c>
      <c r="I11085" t="s">
        <v>8822</v>
      </c>
      <c r="J11085" t="s">
        <v>38610</v>
      </c>
      <c r="K11085" t="s">
        <v>41425</v>
      </c>
      <c r="M11085" t="s">
        <v>43523</v>
      </c>
      <c r="N11085" t="s">
        <v>45095</v>
      </c>
      <c r="O11085" t="s">
        <v>45096</v>
      </c>
      <c r="P11085">
        <v>0</v>
      </c>
      <c r="Q11085">
        <v>0</v>
      </c>
      <c r="R11085" t="s">
        <v>45109</v>
      </c>
      <c r="S11085" t="s">
        <v>45478</v>
      </c>
      <c r="T11085" t="s">
        <v>46970</v>
      </c>
      <c r="U11085" t="s">
        <v>56583</v>
      </c>
      <c r="V11085" t="s">
        <v>60477</v>
      </c>
      <c r="W11085" t="s">
        <v>43523</v>
      </c>
      <c r="X11085" t="s">
        <v>45110</v>
      </c>
    </row>
    <row r="11086" spans="1:24">
      <c r="A11086">
        <f>HYPERLINK("https://www.philgeps.gov.ph/GEPSNONPILOT/Tender/SplashBidNoticeAbstractUI.aspx?menuIndex=3&amp;refID=7025172&amp;Result=3","7025172")</f>
        <v>0</v>
      </c>
      <c r="B11086" t="s">
        <v>469</v>
      </c>
      <c r="C11086" t="s">
        <v>13767</v>
      </c>
      <c r="D11086" t="s">
        <v>18091</v>
      </c>
      <c r="E11086" t="s">
        <v>27719</v>
      </c>
      <c r="F11086" t="s">
        <v>31574</v>
      </c>
      <c r="G11086" t="s">
        <v>31582</v>
      </c>
      <c r="H11086" t="s">
        <v>31591</v>
      </c>
      <c r="I11086" t="s">
        <v>8822</v>
      </c>
      <c r="J11086" t="s">
        <v>38611</v>
      </c>
      <c r="K11086" t="s">
        <v>41203</v>
      </c>
      <c r="M11086" t="s">
        <v>41963</v>
      </c>
      <c r="N11086" t="s">
        <v>45095</v>
      </c>
      <c r="O11086" t="s">
        <v>45096</v>
      </c>
      <c r="P11086">
        <v>0</v>
      </c>
      <c r="Q11086">
        <v>0</v>
      </c>
      <c r="R11086" t="s">
        <v>45109</v>
      </c>
      <c r="S11086" t="s">
        <v>45478</v>
      </c>
      <c r="T11086" t="s">
        <v>46977</v>
      </c>
      <c r="U11086" t="s">
        <v>56584</v>
      </c>
      <c r="W11086" t="s">
        <v>41963</v>
      </c>
      <c r="X11086" t="s">
        <v>45110</v>
      </c>
    </row>
    <row r="11087" spans="1:24">
      <c r="A11087">
        <f>HYPERLINK("https://www.philgeps.gov.ph/GEPSNONPILOT/Tender/SplashBidNoticeAbstractUI.aspx?menuIndex=3&amp;refID=7025103&amp;Result=3","7025103")</f>
        <v>0</v>
      </c>
      <c r="B11087" t="s">
        <v>469</v>
      </c>
      <c r="C11087" t="s">
        <v>13768</v>
      </c>
      <c r="D11087" t="s">
        <v>18091</v>
      </c>
      <c r="E11087" t="s">
        <v>27720</v>
      </c>
      <c r="F11087" t="s">
        <v>31574</v>
      </c>
      <c r="G11087" t="s">
        <v>31582</v>
      </c>
      <c r="H11087" t="s">
        <v>31591</v>
      </c>
      <c r="I11087" t="s">
        <v>8822</v>
      </c>
      <c r="J11087" t="s">
        <v>38612</v>
      </c>
      <c r="K11087" t="s">
        <v>41203</v>
      </c>
      <c r="M11087" t="s">
        <v>41963</v>
      </c>
      <c r="N11087" t="s">
        <v>45095</v>
      </c>
      <c r="O11087" t="s">
        <v>45096</v>
      </c>
      <c r="P11087">
        <v>0</v>
      </c>
      <c r="Q11087">
        <v>0</v>
      </c>
      <c r="R11087" t="s">
        <v>45109</v>
      </c>
      <c r="S11087" t="s">
        <v>45478</v>
      </c>
      <c r="T11087" t="s">
        <v>46977</v>
      </c>
      <c r="U11087" t="s">
        <v>56585</v>
      </c>
      <c r="W11087" t="s">
        <v>41963</v>
      </c>
      <c r="X11087" t="s">
        <v>45110</v>
      </c>
    </row>
    <row r="11088" spans="1:24">
      <c r="A11088">
        <f>HYPERLINK("https://www.philgeps.gov.ph/GEPSNONPILOT/Tender/SplashBidNoticeAbstractUI.aspx?menuIndex=3&amp;refID=7025165&amp;Result=3","7025165")</f>
        <v>0</v>
      </c>
      <c r="B11088" t="s">
        <v>1446</v>
      </c>
      <c r="C11088" t="s">
        <v>13769</v>
      </c>
      <c r="D11088" t="s">
        <v>18052</v>
      </c>
      <c r="E11088" t="s">
        <v>20652</v>
      </c>
      <c r="F11088" t="s">
        <v>31574</v>
      </c>
      <c r="G11088" t="s">
        <v>31582</v>
      </c>
      <c r="H11088" t="s">
        <v>31590</v>
      </c>
      <c r="I11088" t="s">
        <v>3539</v>
      </c>
      <c r="J11088" t="s">
        <v>32076</v>
      </c>
      <c r="K11088" t="s">
        <v>41186</v>
      </c>
      <c r="M11088" t="s">
        <v>43025</v>
      </c>
      <c r="N11088" t="s">
        <v>45095</v>
      </c>
      <c r="O11088" t="s">
        <v>45096</v>
      </c>
      <c r="P11088">
        <v>0</v>
      </c>
      <c r="Q11088">
        <v>0</v>
      </c>
      <c r="R11088" t="s">
        <v>45109</v>
      </c>
      <c r="S11088" t="s">
        <v>45478</v>
      </c>
      <c r="T11088" t="s">
        <v>47118</v>
      </c>
      <c r="U11088" t="s">
        <v>50981</v>
      </c>
      <c r="V11088" t="s">
        <v>61021</v>
      </c>
      <c r="W11088" t="s">
        <v>43025</v>
      </c>
      <c r="X11088" t="s">
        <v>45110</v>
      </c>
    </row>
    <row r="11089" spans="1:24">
      <c r="A11089">
        <f>HYPERLINK("https://www.philgeps.gov.ph/GEPSNONPILOT/Tender/SplashBidNoticeAbstractUI.aspx?menuIndex=3&amp;refID=7025159&amp;Result=3","7025159")</f>
        <v>0</v>
      </c>
      <c r="B11089" t="s">
        <v>2808</v>
      </c>
      <c r="C11089" t="s">
        <v>13770</v>
      </c>
      <c r="D11089" t="s">
        <v>18037</v>
      </c>
      <c r="E11089" t="s">
        <v>27721</v>
      </c>
      <c r="F11089" t="s">
        <v>31574</v>
      </c>
      <c r="G11089" t="s">
        <v>31582</v>
      </c>
      <c r="H11089" t="s">
        <v>31591</v>
      </c>
      <c r="I11089" t="s">
        <v>31615</v>
      </c>
      <c r="J11089" t="s">
        <v>32510</v>
      </c>
      <c r="K11089" t="s">
        <v>41186</v>
      </c>
      <c r="M11089" t="s">
        <v>44583</v>
      </c>
      <c r="N11089" t="s">
        <v>45095</v>
      </c>
      <c r="O11089" t="s">
        <v>45096</v>
      </c>
      <c r="P11089">
        <v>0</v>
      </c>
      <c r="Q11089">
        <v>7</v>
      </c>
      <c r="R11089" t="s">
        <v>45109</v>
      </c>
      <c r="S11089" t="s">
        <v>45478</v>
      </c>
      <c r="T11089" t="s">
        <v>46938</v>
      </c>
      <c r="U11089" t="s">
        <v>56586</v>
      </c>
      <c r="W11089" t="s">
        <v>44583</v>
      </c>
      <c r="X11089" t="s">
        <v>45110</v>
      </c>
    </row>
    <row r="11090" spans="1:24">
      <c r="A11090">
        <f>HYPERLINK("https://www.philgeps.gov.ph/GEPSNONPILOT/Tender/SplashBidNoticeAbstractUI.aspx?menuIndex=3&amp;refID=7025162&amp;Result=3","7025162")</f>
        <v>0</v>
      </c>
      <c r="B11090" t="s">
        <v>1443</v>
      </c>
      <c r="C11090" t="s">
        <v>13771</v>
      </c>
      <c r="D11090" t="s">
        <v>18074</v>
      </c>
      <c r="E11090" t="s">
        <v>27722</v>
      </c>
      <c r="F11090" t="s">
        <v>31574</v>
      </c>
      <c r="G11090" t="s">
        <v>31582</v>
      </c>
      <c r="H11090" t="s">
        <v>31591</v>
      </c>
      <c r="I11090" t="s">
        <v>8822</v>
      </c>
      <c r="J11090" t="s">
        <v>38613</v>
      </c>
      <c r="K11090" t="s">
        <v>41200</v>
      </c>
      <c r="M11090" t="s">
        <v>43523</v>
      </c>
      <c r="N11090" t="s">
        <v>45095</v>
      </c>
      <c r="O11090" t="s">
        <v>45096</v>
      </c>
      <c r="P11090">
        <v>0</v>
      </c>
      <c r="Q11090">
        <v>0</v>
      </c>
      <c r="R11090" t="s">
        <v>45109</v>
      </c>
      <c r="S11090" t="s">
        <v>45478</v>
      </c>
      <c r="T11090" t="s">
        <v>46970</v>
      </c>
      <c r="U11090" t="s">
        <v>56587</v>
      </c>
      <c r="V11090" t="s">
        <v>60477</v>
      </c>
      <c r="W11090" t="s">
        <v>43523</v>
      </c>
      <c r="X11090" t="s">
        <v>45110</v>
      </c>
    </row>
    <row r="11091" spans="1:24">
      <c r="A11091">
        <f>HYPERLINK("https://www.philgeps.gov.ph/GEPSNONPILOT/Tender/SplashBidNoticeAbstractUI.aspx?menuIndex=3&amp;refID=7025161&amp;Result=3","7025161")</f>
        <v>0</v>
      </c>
      <c r="B11091" t="s">
        <v>1428</v>
      </c>
      <c r="C11091" t="s">
        <v>13772</v>
      </c>
      <c r="D11091" t="s">
        <v>18059</v>
      </c>
      <c r="E11091" t="s">
        <v>27723</v>
      </c>
      <c r="F11091" t="s">
        <v>31574</v>
      </c>
      <c r="G11091" t="s">
        <v>31582</v>
      </c>
      <c r="H11091" t="s">
        <v>31590</v>
      </c>
      <c r="I11091" t="s">
        <v>31607</v>
      </c>
      <c r="J11091" t="s">
        <v>31883</v>
      </c>
      <c r="K11091" t="s">
        <v>41186</v>
      </c>
      <c r="M11091" t="s">
        <v>43004</v>
      </c>
      <c r="N11091" t="s">
        <v>45095</v>
      </c>
      <c r="O11091" t="s">
        <v>45096</v>
      </c>
      <c r="P11091">
        <v>0</v>
      </c>
      <c r="Q11091">
        <v>3</v>
      </c>
      <c r="R11091" t="s">
        <v>45109</v>
      </c>
      <c r="S11091" t="s">
        <v>45478</v>
      </c>
      <c r="T11091" t="s">
        <v>47177</v>
      </c>
      <c r="U11091" t="s">
        <v>56588</v>
      </c>
      <c r="W11091" t="s">
        <v>43004</v>
      </c>
      <c r="X11091" t="s">
        <v>45110</v>
      </c>
    </row>
    <row r="11092" spans="1:24">
      <c r="A11092">
        <f>HYPERLINK("https://www.philgeps.gov.ph/GEPSNONPILOT/Tender/SplashBidNoticeAbstractUI.aspx?menuIndex=3&amp;refID=7025212&amp;Result=3","7025212")</f>
        <v>0</v>
      </c>
      <c r="B11092" t="s">
        <v>1443</v>
      </c>
      <c r="C11092" t="s">
        <v>13773</v>
      </c>
      <c r="D11092" t="s">
        <v>18074</v>
      </c>
      <c r="E11092" t="s">
        <v>27724</v>
      </c>
      <c r="F11092" t="s">
        <v>31574</v>
      </c>
      <c r="G11092" t="s">
        <v>31582</v>
      </c>
      <c r="H11092" t="s">
        <v>31591</v>
      </c>
      <c r="I11092" t="s">
        <v>8822</v>
      </c>
      <c r="J11092" t="s">
        <v>38614</v>
      </c>
      <c r="K11092" t="s">
        <v>41426</v>
      </c>
      <c r="M11092" t="s">
        <v>43523</v>
      </c>
      <c r="N11092" t="s">
        <v>45095</v>
      </c>
      <c r="O11092" t="s">
        <v>45096</v>
      </c>
      <c r="P11092">
        <v>0</v>
      </c>
      <c r="Q11092">
        <v>0</v>
      </c>
      <c r="R11092" t="s">
        <v>45109</v>
      </c>
      <c r="S11092" t="s">
        <v>45478</v>
      </c>
      <c r="T11092" t="s">
        <v>46970</v>
      </c>
      <c r="U11092" t="s">
        <v>56589</v>
      </c>
      <c r="V11092" t="s">
        <v>60477</v>
      </c>
      <c r="W11092" t="s">
        <v>43523</v>
      </c>
      <c r="X11092" t="s">
        <v>45110</v>
      </c>
    </row>
    <row r="11093" spans="1:24">
      <c r="A11093">
        <f>HYPERLINK("https://www.philgeps.gov.ph/GEPSNONPILOT/Tender/SplashBidNoticeAbstractUI.aspx?menuIndex=3&amp;refID=7025209&amp;Result=3","7025209")</f>
        <v>0</v>
      </c>
      <c r="B11093" t="s">
        <v>1446</v>
      </c>
      <c r="C11093" t="s">
        <v>13774</v>
      </c>
      <c r="D11093" t="s">
        <v>18052</v>
      </c>
      <c r="E11093" t="s">
        <v>18197</v>
      </c>
      <c r="F11093" t="s">
        <v>31574</v>
      </c>
      <c r="G11093" t="s">
        <v>31582</v>
      </c>
      <c r="H11093" t="s">
        <v>31591</v>
      </c>
      <c r="I11093" t="s">
        <v>8822</v>
      </c>
      <c r="J11093" t="s">
        <v>31724</v>
      </c>
      <c r="K11093" t="s">
        <v>41192</v>
      </c>
      <c r="M11093" t="s">
        <v>43025</v>
      </c>
      <c r="N11093" t="s">
        <v>45095</v>
      </c>
      <c r="O11093" t="s">
        <v>45096</v>
      </c>
      <c r="P11093">
        <v>0</v>
      </c>
      <c r="Q11093">
        <v>1</v>
      </c>
      <c r="R11093" t="s">
        <v>45109</v>
      </c>
      <c r="S11093" t="s">
        <v>45478</v>
      </c>
      <c r="T11093" t="s">
        <v>47118</v>
      </c>
      <c r="U11093" t="s">
        <v>50981</v>
      </c>
      <c r="V11093" t="s">
        <v>61021</v>
      </c>
      <c r="W11093" t="s">
        <v>43025</v>
      </c>
      <c r="X11093" t="s">
        <v>45110</v>
      </c>
    </row>
    <row r="11094" spans="1:24">
      <c r="A11094">
        <f>HYPERLINK("https://www.philgeps.gov.ph/GEPSNONPILOT/Tender/SplashBidNoticeAbstractUI.aspx?menuIndex=3&amp;refID=7025180&amp;Result=3","7025180")</f>
        <v>0</v>
      </c>
      <c r="B11094" t="s">
        <v>271</v>
      </c>
      <c r="C11094" t="s">
        <v>13775</v>
      </c>
      <c r="D11094" t="s">
        <v>18046</v>
      </c>
      <c r="E11094" t="s">
        <v>18175</v>
      </c>
      <c r="F11094" t="s">
        <v>31579</v>
      </c>
      <c r="G11094" t="s">
        <v>31582</v>
      </c>
      <c r="H11094" t="s">
        <v>31590</v>
      </c>
      <c r="I11094" t="s">
        <v>6800</v>
      </c>
      <c r="J11094" t="s">
        <v>33977</v>
      </c>
      <c r="K11094" t="s">
        <v>41193</v>
      </c>
      <c r="M11094" t="s">
        <v>41757</v>
      </c>
      <c r="N11094" t="s">
        <v>45095</v>
      </c>
      <c r="O11094" t="s">
        <v>45096</v>
      </c>
      <c r="P11094">
        <v>0</v>
      </c>
      <c r="Q11094">
        <v>0</v>
      </c>
      <c r="R11094" t="s">
        <v>45109</v>
      </c>
      <c r="S11094" t="s">
        <v>45478</v>
      </c>
      <c r="T11094" t="s">
        <v>46937</v>
      </c>
      <c r="U11094" t="s">
        <v>56590</v>
      </c>
      <c r="W11094" t="s">
        <v>41757</v>
      </c>
      <c r="X11094" t="s">
        <v>45110</v>
      </c>
    </row>
    <row r="11095" spans="1:24">
      <c r="A11095">
        <f>HYPERLINK("https://www.philgeps.gov.ph/GEPSNONPILOT/Tender/SplashBidNoticeAbstractUI.aspx?menuIndex=3&amp;refID=7025200&amp;Result=3","7025200")</f>
        <v>0</v>
      </c>
      <c r="B11095" t="s">
        <v>1443</v>
      </c>
      <c r="C11095" t="s">
        <v>13776</v>
      </c>
      <c r="D11095" t="s">
        <v>18074</v>
      </c>
      <c r="E11095" t="s">
        <v>27725</v>
      </c>
      <c r="F11095" t="s">
        <v>31574</v>
      </c>
      <c r="G11095" t="s">
        <v>31582</v>
      </c>
      <c r="H11095" t="s">
        <v>31591</v>
      </c>
      <c r="I11095" t="s">
        <v>8822</v>
      </c>
      <c r="J11095" t="s">
        <v>38615</v>
      </c>
      <c r="K11095" t="s">
        <v>41189</v>
      </c>
      <c r="M11095" t="s">
        <v>43523</v>
      </c>
      <c r="N11095" t="s">
        <v>45095</v>
      </c>
      <c r="O11095" t="s">
        <v>45096</v>
      </c>
      <c r="P11095">
        <v>0</v>
      </c>
      <c r="Q11095">
        <v>0</v>
      </c>
      <c r="R11095" t="s">
        <v>45109</v>
      </c>
      <c r="S11095" t="s">
        <v>45478</v>
      </c>
      <c r="T11095" t="s">
        <v>46970</v>
      </c>
      <c r="U11095" t="s">
        <v>56591</v>
      </c>
      <c r="V11095" t="s">
        <v>60477</v>
      </c>
      <c r="W11095" t="s">
        <v>43523</v>
      </c>
      <c r="X11095" t="s">
        <v>45110</v>
      </c>
    </row>
    <row r="11096" spans="1:24">
      <c r="A11096">
        <f>HYPERLINK("https://www.philgeps.gov.ph/GEPSNONPILOT/Tender/SplashBidNoticeAbstractUI.aspx?menuIndex=3&amp;refID=7025163&amp;Result=3","7025163")</f>
        <v>0</v>
      </c>
      <c r="B11096" t="s">
        <v>124</v>
      </c>
      <c r="C11096" t="s">
        <v>13777</v>
      </c>
      <c r="D11096" t="s">
        <v>18065</v>
      </c>
      <c r="E11096" t="s">
        <v>27726</v>
      </c>
      <c r="F11096" t="s">
        <v>31574</v>
      </c>
      <c r="G11096" t="s">
        <v>31582</v>
      </c>
      <c r="H11096" t="s">
        <v>31590</v>
      </c>
      <c r="I11096" t="s">
        <v>5717</v>
      </c>
      <c r="J11096" t="s">
        <v>38616</v>
      </c>
      <c r="K11096" t="s">
        <v>41184</v>
      </c>
      <c r="M11096" t="s">
        <v>42125</v>
      </c>
      <c r="N11096" t="s">
        <v>45095</v>
      </c>
      <c r="O11096" t="s">
        <v>45096</v>
      </c>
      <c r="Q11096">
        <v>9</v>
      </c>
      <c r="R11096" t="s">
        <v>45109</v>
      </c>
      <c r="S11096" t="s">
        <v>45520</v>
      </c>
      <c r="T11096" t="s">
        <v>47003</v>
      </c>
      <c r="U11096" t="s">
        <v>56592</v>
      </c>
      <c r="W11096" t="s">
        <v>42125</v>
      </c>
      <c r="X11096" t="s">
        <v>45110</v>
      </c>
    </row>
    <row r="11097" spans="1:24">
      <c r="A11097">
        <f>HYPERLINK("https://www.philgeps.gov.ph/GEPSNONPILOT/Tender/SplashBidNoticeAbstractUI.aspx?menuIndex=3&amp;refID=7025145&amp;Result=3","7025145")</f>
        <v>0</v>
      </c>
      <c r="B11097" t="s">
        <v>1443</v>
      </c>
      <c r="C11097" t="s">
        <v>13778</v>
      </c>
      <c r="D11097" t="s">
        <v>18074</v>
      </c>
      <c r="E11097" t="s">
        <v>27727</v>
      </c>
      <c r="F11097" t="s">
        <v>31574</v>
      </c>
      <c r="G11097" t="s">
        <v>31582</v>
      </c>
      <c r="H11097" t="s">
        <v>31591</v>
      </c>
      <c r="I11097" t="s">
        <v>8822</v>
      </c>
      <c r="J11097" t="s">
        <v>38617</v>
      </c>
      <c r="K11097" t="s">
        <v>41200</v>
      </c>
      <c r="M11097" t="s">
        <v>43523</v>
      </c>
      <c r="N11097" t="s">
        <v>45095</v>
      </c>
      <c r="O11097" t="s">
        <v>45096</v>
      </c>
      <c r="P11097">
        <v>0</v>
      </c>
      <c r="Q11097">
        <v>0</v>
      </c>
      <c r="R11097" t="s">
        <v>45109</v>
      </c>
      <c r="S11097" t="s">
        <v>45478</v>
      </c>
      <c r="T11097" t="s">
        <v>46970</v>
      </c>
      <c r="U11097" t="s">
        <v>56593</v>
      </c>
      <c r="V11097" t="s">
        <v>60477</v>
      </c>
      <c r="W11097" t="s">
        <v>43523</v>
      </c>
      <c r="X11097" t="s">
        <v>45110</v>
      </c>
    </row>
    <row r="11098" spans="1:24">
      <c r="A11098">
        <f>HYPERLINK("https://www.philgeps.gov.ph/GEPSNONPILOT/Tender/SplashBidNoticeAbstractUI.aspx?menuIndex=3&amp;refID=7025203&amp;Result=3","7025203")</f>
        <v>0</v>
      </c>
      <c r="B11098" t="s">
        <v>2813</v>
      </c>
      <c r="C11098" t="s">
        <v>13779</v>
      </c>
      <c r="D11098" t="s">
        <v>18058</v>
      </c>
      <c r="E11098" t="s">
        <v>27728</v>
      </c>
      <c r="F11098" t="s">
        <v>31574</v>
      </c>
      <c r="G11098" t="s">
        <v>31582</v>
      </c>
      <c r="H11098" t="s">
        <v>31591</v>
      </c>
      <c r="I11098" t="s">
        <v>8822</v>
      </c>
      <c r="J11098" t="s">
        <v>38618</v>
      </c>
      <c r="K11098" t="s">
        <v>41192</v>
      </c>
      <c r="M11098" t="s">
        <v>44589</v>
      </c>
      <c r="N11098" t="s">
        <v>45095</v>
      </c>
      <c r="O11098" t="s">
        <v>45096</v>
      </c>
      <c r="P11098">
        <v>0</v>
      </c>
      <c r="Q11098">
        <v>5</v>
      </c>
      <c r="R11098" t="s">
        <v>45109</v>
      </c>
      <c r="S11098" t="s">
        <v>45478</v>
      </c>
      <c r="T11098" t="s">
        <v>46922</v>
      </c>
      <c r="U11098" t="s">
        <v>56594</v>
      </c>
      <c r="V11098" t="s">
        <v>61022</v>
      </c>
      <c r="W11098" t="s">
        <v>44589</v>
      </c>
      <c r="X11098" t="s">
        <v>45110</v>
      </c>
    </row>
    <row r="11099" spans="1:24">
      <c r="A11099">
        <f>HYPERLINK("https://www.philgeps.gov.ph/GEPSNONPILOT/Tender/SplashBidNoticeAbstractUI.aspx?menuIndex=3&amp;refID=7025189&amp;Result=3","7025189")</f>
        <v>0</v>
      </c>
      <c r="B11099" t="s">
        <v>1443</v>
      </c>
      <c r="C11099" t="s">
        <v>13780</v>
      </c>
      <c r="D11099" t="s">
        <v>18074</v>
      </c>
      <c r="E11099" t="s">
        <v>27729</v>
      </c>
      <c r="F11099" t="s">
        <v>31574</v>
      </c>
      <c r="G11099" t="s">
        <v>31582</v>
      </c>
      <c r="H11099" t="s">
        <v>31591</v>
      </c>
      <c r="I11099" t="s">
        <v>8822</v>
      </c>
      <c r="J11099" t="s">
        <v>38619</v>
      </c>
      <c r="K11099" t="s">
        <v>41425</v>
      </c>
      <c r="M11099" t="s">
        <v>43523</v>
      </c>
      <c r="N11099" t="s">
        <v>45095</v>
      </c>
      <c r="O11099" t="s">
        <v>45096</v>
      </c>
      <c r="P11099">
        <v>0</v>
      </c>
      <c r="Q11099">
        <v>0</v>
      </c>
      <c r="R11099" t="s">
        <v>45109</v>
      </c>
      <c r="S11099" t="s">
        <v>45478</v>
      </c>
      <c r="T11099" t="s">
        <v>46970</v>
      </c>
      <c r="U11099" t="s">
        <v>56595</v>
      </c>
      <c r="V11099" t="s">
        <v>60477</v>
      </c>
      <c r="W11099" t="s">
        <v>43523</v>
      </c>
      <c r="X11099" t="s">
        <v>45110</v>
      </c>
    </row>
    <row r="11100" spans="1:24">
      <c r="A11100">
        <f>HYPERLINK("https://www.philgeps.gov.ph/GEPSNONPILOT/Tender/SplashBidNoticeAbstractUI.aspx?menuIndex=3&amp;refID=7025233&amp;Result=3","7025233")</f>
        <v>0</v>
      </c>
      <c r="B11100" t="s">
        <v>124</v>
      </c>
      <c r="C11100" t="s">
        <v>13781</v>
      </c>
      <c r="D11100" t="s">
        <v>18065</v>
      </c>
      <c r="E11100" t="s">
        <v>27730</v>
      </c>
      <c r="F11100" t="s">
        <v>31574</v>
      </c>
      <c r="G11100" t="s">
        <v>31582</v>
      </c>
      <c r="H11100" t="s">
        <v>31590</v>
      </c>
      <c r="I11100" t="s">
        <v>31602</v>
      </c>
      <c r="J11100" t="s">
        <v>38620</v>
      </c>
      <c r="K11100" t="s">
        <v>41184</v>
      </c>
      <c r="M11100" t="s">
        <v>42125</v>
      </c>
      <c r="N11100" t="s">
        <v>45095</v>
      </c>
      <c r="O11100" t="s">
        <v>45096</v>
      </c>
      <c r="Q11100">
        <v>0</v>
      </c>
      <c r="R11100" t="s">
        <v>45109</v>
      </c>
      <c r="S11100" t="s">
        <v>45521</v>
      </c>
      <c r="T11100" t="s">
        <v>47003</v>
      </c>
      <c r="U11100" t="s">
        <v>56596</v>
      </c>
      <c r="W11100" t="s">
        <v>42125</v>
      </c>
      <c r="X11100" t="s">
        <v>45110</v>
      </c>
    </row>
    <row r="11101" spans="1:24">
      <c r="A11101">
        <f>HYPERLINK("https://www.philgeps.gov.ph/GEPSNONPILOT/Tender/SplashBidNoticeAbstractUI.aspx?menuIndex=3&amp;refID=7025234&amp;Result=3","7025234")</f>
        <v>0</v>
      </c>
      <c r="B11101" t="s">
        <v>1446</v>
      </c>
      <c r="C11101" t="s">
        <v>13782</v>
      </c>
      <c r="D11101" t="s">
        <v>18052</v>
      </c>
      <c r="E11101" t="s">
        <v>18973</v>
      </c>
      <c r="F11101" t="s">
        <v>31574</v>
      </c>
      <c r="G11101" t="s">
        <v>31582</v>
      </c>
      <c r="H11101" t="s">
        <v>31590</v>
      </c>
      <c r="I11101" t="s">
        <v>3539</v>
      </c>
      <c r="J11101" t="s">
        <v>31789</v>
      </c>
      <c r="K11101" t="s">
        <v>41186</v>
      </c>
      <c r="M11101" t="s">
        <v>43025</v>
      </c>
      <c r="N11101" t="s">
        <v>45095</v>
      </c>
      <c r="O11101" t="s">
        <v>45096</v>
      </c>
      <c r="P11101">
        <v>0</v>
      </c>
      <c r="Q11101">
        <v>0</v>
      </c>
      <c r="R11101" t="s">
        <v>45109</v>
      </c>
      <c r="S11101" t="s">
        <v>45478</v>
      </c>
      <c r="T11101" t="s">
        <v>47118</v>
      </c>
      <c r="U11101" t="s">
        <v>50981</v>
      </c>
      <c r="V11101" t="s">
        <v>61019</v>
      </c>
      <c r="W11101" t="s">
        <v>43025</v>
      </c>
      <c r="X11101" t="s">
        <v>45110</v>
      </c>
    </row>
    <row r="11102" spans="1:24">
      <c r="A11102">
        <f>HYPERLINK("https://www.philgeps.gov.ph/GEPSNONPILOT/Tender/SplashBidNoticeAbstractUI.aspx?menuIndex=3&amp;refID=7025214&amp;Result=3","7025214")</f>
        <v>0</v>
      </c>
      <c r="B11102" t="s">
        <v>2814</v>
      </c>
      <c r="C11102" t="s">
        <v>13783</v>
      </c>
      <c r="D11102" t="s">
        <v>18039</v>
      </c>
      <c r="E11102" t="s">
        <v>23219</v>
      </c>
      <c r="F11102" t="s">
        <v>31574</v>
      </c>
      <c r="G11102" t="s">
        <v>31582</v>
      </c>
      <c r="H11102" t="s">
        <v>31591</v>
      </c>
      <c r="I11102" t="s">
        <v>8822</v>
      </c>
      <c r="J11102" t="s">
        <v>38621</v>
      </c>
      <c r="K11102" t="s">
        <v>41189</v>
      </c>
      <c r="L11102" t="s">
        <v>2814</v>
      </c>
      <c r="M11102" t="s">
        <v>44590</v>
      </c>
      <c r="N11102" t="s">
        <v>45095</v>
      </c>
      <c r="O11102" t="s">
        <v>45096</v>
      </c>
      <c r="P11102">
        <v>0</v>
      </c>
      <c r="Q11102">
        <v>2</v>
      </c>
      <c r="R11102" t="s">
        <v>45109</v>
      </c>
      <c r="S11102" t="s">
        <v>45478</v>
      </c>
      <c r="T11102" t="s">
        <v>46968</v>
      </c>
      <c r="U11102" t="s">
        <v>56597</v>
      </c>
      <c r="W11102" t="s">
        <v>44590</v>
      </c>
      <c r="X11102" t="s">
        <v>45110</v>
      </c>
    </row>
    <row r="11103" spans="1:24">
      <c r="A11103">
        <f>HYPERLINK("https://www.philgeps.gov.ph/GEPSNONPILOT/Tender/SplashBidNoticeAbstractUI.aspx?menuIndex=3&amp;refID=7025229&amp;Result=3","7025229")</f>
        <v>0</v>
      </c>
      <c r="B11103" t="s">
        <v>1443</v>
      </c>
      <c r="C11103" t="s">
        <v>13784</v>
      </c>
      <c r="D11103" t="s">
        <v>18074</v>
      </c>
      <c r="E11103" t="s">
        <v>27731</v>
      </c>
      <c r="F11103" t="s">
        <v>31574</v>
      </c>
      <c r="G11103" t="s">
        <v>31582</v>
      </c>
      <c r="H11103" t="s">
        <v>31591</v>
      </c>
      <c r="I11103" t="s">
        <v>8822</v>
      </c>
      <c r="J11103" t="s">
        <v>38622</v>
      </c>
      <c r="K11103" t="s">
        <v>41427</v>
      </c>
      <c r="M11103" t="s">
        <v>43523</v>
      </c>
      <c r="N11103" t="s">
        <v>45095</v>
      </c>
      <c r="O11103" t="s">
        <v>45096</v>
      </c>
      <c r="P11103">
        <v>0</v>
      </c>
      <c r="Q11103">
        <v>0</v>
      </c>
      <c r="R11103" t="s">
        <v>45109</v>
      </c>
      <c r="S11103" t="s">
        <v>45478</v>
      </c>
      <c r="T11103" t="s">
        <v>46970</v>
      </c>
      <c r="U11103" t="s">
        <v>56598</v>
      </c>
      <c r="V11103" t="s">
        <v>60477</v>
      </c>
      <c r="W11103" t="s">
        <v>43523</v>
      </c>
      <c r="X11103" t="s">
        <v>45110</v>
      </c>
    </row>
    <row r="11104" spans="1:24">
      <c r="A11104">
        <f>HYPERLINK("https://www.philgeps.gov.ph/GEPSNONPILOT/Tender/SplashBidNoticeAbstractUI.aspx?menuIndex=3&amp;refID=7025259&amp;Result=3","7025259")</f>
        <v>0</v>
      </c>
      <c r="B11104" t="s">
        <v>459</v>
      </c>
      <c r="C11104" t="s">
        <v>13785</v>
      </c>
      <c r="D11104" t="s">
        <v>18079</v>
      </c>
      <c r="E11104" t="s">
        <v>27732</v>
      </c>
      <c r="F11104" t="s">
        <v>31574</v>
      </c>
      <c r="G11104" t="s">
        <v>31582</v>
      </c>
      <c r="H11104" t="s">
        <v>31591</v>
      </c>
      <c r="I11104" t="s">
        <v>8822</v>
      </c>
      <c r="J11104" t="s">
        <v>38623</v>
      </c>
      <c r="K11104" t="s">
        <v>41194</v>
      </c>
      <c r="M11104" t="s">
        <v>41953</v>
      </c>
      <c r="N11104" t="s">
        <v>45095</v>
      </c>
      <c r="O11104" t="s">
        <v>45096</v>
      </c>
      <c r="Q11104">
        <v>2</v>
      </c>
      <c r="R11104" t="s">
        <v>45109</v>
      </c>
      <c r="S11104" t="s">
        <v>45522</v>
      </c>
      <c r="T11104" t="s">
        <v>47389</v>
      </c>
      <c r="U11104" t="s">
        <v>56599</v>
      </c>
      <c r="V11104" t="s">
        <v>61023</v>
      </c>
      <c r="W11104" t="s">
        <v>41953</v>
      </c>
      <c r="X11104" t="s">
        <v>45110</v>
      </c>
    </row>
    <row r="11105" spans="1:24">
      <c r="A11105">
        <f>HYPERLINK("https://www.philgeps.gov.ph/GEPSNONPILOT/Tender/SplashBidNoticeAbstractUI.aspx?menuIndex=3&amp;refID=7025160&amp;Result=3","7025160")</f>
        <v>0</v>
      </c>
      <c r="B11105" t="s">
        <v>469</v>
      </c>
      <c r="C11105" t="s">
        <v>13786</v>
      </c>
      <c r="D11105" t="s">
        <v>18091</v>
      </c>
      <c r="E11105" t="s">
        <v>27733</v>
      </c>
      <c r="F11105" t="s">
        <v>31574</v>
      </c>
      <c r="G11105" t="s">
        <v>31582</v>
      </c>
      <c r="H11105" t="s">
        <v>31591</v>
      </c>
      <c r="I11105" t="s">
        <v>8822</v>
      </c>
      <c r="J11105" t="s">
        <v>38624</v>
      </c>
      <c r="K11105" t="s">
        <v>41262</v>
      </c>
      <c r="M11105" t="s">
        <v>41963</v>
      </c>
      <c r="N11105" t="s">
        <v>45095</v>
      </c>
      <c r="O11105" t="s">
        <v>45096</v>
      </c>
      <c r="P11105">
        <v>0</v>
      </c>
      <c r="Q11105">
        <v>0</v>
      </c>
      <c r="R11105" t="s">
        <v>45109</v>
      </c>
      <c r="S11105" t="s">
        <v>45478</v>
      </c>
      <c r="T11105" t="s">
        <v>46977</v>
      </c>
      <c r="U11105" t="s">
        <v>56600</v>
      </c>
      <c r="W11105" t="s">
        <v>41963</v>
      </c>
      <c r="X11105" t="s">
        <v>45110</v>
      </c>
    </row>
    <row r="11106" spans="1:24">
      <c r="A11106">
        <f>HYPERLINK("https://www.philgeps.gov.ph/GEPSNONPILOT/Tender/SplashBidNoticeAbstractUI.aspx?menuIndex=3&amp;refID=7025231&amp;Result=3","7025231")</f>
        <v>0</v>
      </c>
      <c r="B11106" t="s">
        <v>435</v>
      </c>
      <c r="C11106" t="s">
        <v>13787</v>
      </c>
      <c r="D11106" t="s">
        <v>18057</v>
      </c>
      <c r="E11106" t="s">
        <v>27734</v>
      </c>
      <c r="F11106" t="s">
        <v>31575</v>
      </c>
      <c r="G11106" t="s">
        <v>31582</v>
      </c>
      <c r="H11106" t="s">
        <v>31590</v>
      </c>
      <c r="I11106" t="s">
        <v>31594</v>
      </c>
      <c r="J11106" t="s">
        <v>32510</v>
      </c>
      <c r="K11106" t="s">
        <v>41189</v>
      </c>
      <c r="M11106" t="s">
        <v>41928</v>
      </c>
      <c r="N11106" t="s">
        <v>45095</v>
      </c>
      <c r="O11106" t="s">
        <v>45096</v>
      </c>
      <c r="Q11106">
        <v>16</v>
      </c>
      <c r="R11106" t="s">
        <v>45109</v>
      </c>
      <c r="S11106" t="s">
        <v>45523</v>
      </c>
      <c r="T11106" t="s">
        <v>47192</v>
      </c>
      <c r="U11106" t="s">
        <v>56601</v>
      </c>
      <c r="W11106" t="s">
        <v>41928</v>
      </c>
      <c r="X11106" t="s">
        <v>45110</v>
      </c>
    </row>
    <row r="11107" spans="1:24">
      <c r="A11107">
        <f>HYPERLINK("https://www.philgeps.gov.ph/GEPSNONPILOT/Tender/SplashBidNoticeAbstractUI.aspx?menuIndex=3&amp;refID=7025226&amp;Result=3","7025226")</f>
        <v>0</v>
      </c>
      <c r="B11107" t="s">
        <v>1308</v>
      </c>
      <c r="C11107" t="s">
        <v>13788</v>
      </c>
      <c r="D11107" t="s">
        <v>18040</v>
      </c>
      <c r="E11107" t="s">
        <v>27735</v>
      </c>
      <c r="F11107" t="s">
        <v>31574</v>
      </c>
      <c r="G11107" t="s">
        <v>31582</v>
      </c>
      <c r="H11107" t="s">
        <v>31590</v>
      </c>
      <c r="I11107" t="s">
        <v>31615</v>
      </c>
      <c r="J11107" t="s">
        <v>38625</v>
      </c>
      <c r="K11107" t="s">
        <v>41184</v>
      </c>
      <c r="M11107" t="s">
        <v>42878</v>
      </c>
      <c r="N11107" t="s">
        <v>45095</v>
      </c>
      <c r="O11107" t="s">
        <v>45096</v>
      </c>
      <c r="P11107">
        <v>0</v>
      </c>
      <c r="Q11107">
        <v>15</v>
      </c>
      <c r="R11107" t="s">
        <v>45109</v>
      </c>
      <c r="S11107" t="s">
        <v>45478</v>
      </c>
      <c r="T11107" t="s">
        <v>46922</v>
      </c>
      <c r="U11107" t="s">
        <v>56602</v>
      </c>
      <c r="W11107" t="s">
        <v>42878</v>
      </c>
      <c r="X11107" t="s">
        <v>45110</v>
      </c>
    </row>
    <row r="11108" spans="1:24">
      <c r="A11108">
        <f>HYPERLINK("https://www.philgeps.gov.ph/GEPSNONPILOT/Tender/SplashBidNoticeAbstractUI.aspx?menuIndex=3&amp;refID=7025253&amp;Result=3","7025253")</f>
        <v>0</v>
      </c>
      <c r="B11108" t="s">
        <v>2812</v>
      </c>
      <c r="C11108" t="s">
        <v>13789</v>
      </c>
      <c r="D11108" t="s">
        <v>18079</v>
      </c>
      <c r="E11108" t="s">
        <v>27736</v>
      </c>
      <c r="F11108" t="s">
        <v>31574</v>
      </c>
      <c r="G11108" t="s">
        <v>31585</v>
      </c>
      <c r="H11108" t="s">
        <v>31590</v>
      </c>
      <c r="I11108" t="s">
        <v>31615</v>
      </c>
      <c r="J11108" t="s">
        <v>31781</v>
      </c>
      <c r="K11108" t="s">
        <v>41196</v>
      </c>
      <c r="M11108" t="s">
        <v>44587</v>
      </c>
      <c r="N11108" t="s">
        <v>45095</v>
      </c>
      <c r="O11108" t="s">
        <v>45096</v>
      </c>
      <c r="P11108">
        <v>0</v>
      </c>
      <c r="Q11108">
        <v>3</v>
      </c>
      <c r="R11108" t="s">
        <v>45109</v>
      </c>
      <c r="S11108" t="s">
        <v>45478</v>
      </c>
      <c r="T11108" t="s">
        <v>47159</v>
      </c>
      <c r="U11108" t="s">
        <v>56603</v>
      </c>
      <c r="W11108" t="s">
        <v>44587</v>
      </c>
      <c r="X11108" t="s">
        <v>45110</v>
      </c>
    </row>
    <row r="11109" spans="1:24">
      <c r="A11109">
        <f>HYPERLINK("https://www.philgeps.gov.ph/GEPSNONPILOT/Tender/SplashBidNoticeAbstractUI.aspx?menuIndex=3&amp;refID=7025258&amp;Result=3","7025258")</f>
        <v>0</v>
      </c>
      <c r="B11109" t="s">
        <v>1931</v>
      </c>
      <c r="C11109" t="s">
        <v>13790</v>
      </c>
      <c r="D11109" t="s">
        <v>18029</v>
      </c>
      <c r="E11109" t="s">
        <v>26109</v>
      </c>
      <c r="F11109" t="s">
        <v>31574</v>
      </c>
      <c r="G11109" t="s">
        <v>31581</v>
      </c>
      <c r="H11109" t="s">
        <v>31590</v>
      </c>
      <c r="I11109" t="s">
        <v>31629</v>
      </c>
      <c r="J11109" t="s">
        <v>32375</v>
      </c>
      <c r="K11109" t="s">
        <v>41213</v>
      </c>
      <c r="M11109" t="s">
        <v>43585</v>
      </c>
      <c r="N11109" t="s">
        <v>45095</v>
      </c>
      <c r="O11109" t="s">
        <v>45096</v>
      </c>
      <c r="P11109">
        <v>0</v>
      </c>
      <c r="Q11109">
        <v>0</v>
      </c>
      <c r="R11109" t="s">
        <v>45109</v>
      </c>
      <c r="S11109" t="s">
        <v>45478</v>
      </c>
      <c r="T11109" t="s">
        <v>47064</v>
      </c>
      <c r="U11109" t="s">
        <v>56604</v>
      </c>
      <c r="W11109" t="s">
        <v>43585</v>
      </c>
      <c r="X11109" t="s">
        <v>45110</v>
      </c>
    </row>
    <row r="11110" spans="1:24">
      <c r="A11110">
        <f>HYPERLINK("https://www.philgeps.gov.ph/GEPSNONPILOT/Tender/SplashBidNoticeAbstractUI.aspx?menuIndex=3&amp;refID=7025218&amp;Result=3","7025218")</f>
        <v>0</v>
      </c>
      <c r="B11110" t="s">
        <v>1443</v>
      </c>
      <c r="C11110" t="s">
        <v>13791</v>
      </c>
      <c r="D11110" t="s">
        <v>18074</v>
      </c>
      <c r="E11110" t="s">
        <v>27737</v>
      </c>
      <c r="F11110" t="s">
        <v>31574</v>
      </c>
      <c r="G11110" t="s">
        <v>31582</v>
      </c>
      <c r="H11110" t="s">
        <v>31591</v>
      </c>
      <c r="I11110" t="s">
        <v>8822</v>
      </c>
      <c r="J11110" t="s">
        <v>38626</v>
      </c>
      <c r="K11110" t="s">
        <v>41425</v>
      </c>
      <c r="M11110" t="s">
        <v>43523</v>
      </c>
      <c r="N11110" t="s">
        <v>45095</v>
      </c>
      <c r="O11110" t="s">
        <v>45096</v>
      </c>
      <c r="P11110">
        <v>0</v>
      </c>
      <c r="Q11110">
        <v>2</v>
      </c>
      <c r="R11110" t="s">
        <v>45109</v>
      </c>
      <c r="S11110" t="s">
        <v>45478</v>
      </c>
      <c r="T11110" t="s">
        <v>46970</v>
      </c>
      <c r="U11110" t="s">
        <v>56605</v>
      </c>
      <c r="V11110" t="s">
        <v>60477</v>
      </c>
      <c r="W11110" t="s">
        <v>43523</v>
      </c>
      <c r="X11110" t="s">
        <v>45110</v>
      </c>
    </row>
    <row r="11111" spans="1:24">
      <c r="A11111">
        <f>HYPERLINK("https://www.philgeps.gov.ph/GEPSNONPILOT/Tender/SplashBidNoticeAbstractUI.aspx?menuIndex=3&amp;refID=7025250&amp;Result=3","7025250")</f>
        <v>0</v>
      </c>
      <c r="B11111" t="s">
        <v>1446</v>
      </c>
      <c r="C11111" t="s">
        <v>13792</v>
      </c>
      <c r="D11111" t="s">
        <v>18052</v>
      </c>
      <c r="E11111" t="s">
        <v>19027</v>
      </c>
      <c r="F11111" t="s">
        <v>31574</v>
      </c>
      <c r="G11111" t="s">
        <v>31582</v>
      </c>
      <c r="H11111" t="s">
        <v>31591</v>
      </c>
      <c r="I11111" t="s">
        <v>7162</v>
      </c>
      <c r="J11111" t="s">
        <v>31947</v>
      </c>
      <c r="K11111" t="s">
        <v>41192</v>
      </c>
      <c r="M11111" t="s">
        <v>43025</v>
      </c>
      <c r="N11111" t="s">
        <v>45095</v>
      </c>
      <c r="O11111" t="s">
        <v>45096</v>
      </c>
      <c r="P11111">
        <v>0</v>
      </c>
      <c r="Q11111">
        <v>1</v>
      </c>
      <c r="R11111" t="s">
        <v>45109</v>
      </c>
      <c r="S11111" t="s">
        <v>45478</v>
      </c>
      <c r="T11111" t="s">
        <v>47118</v>
      </c>
      <c r="U11111" t="s">
        <v>50981</v>
      </c>
      <c r="V11111" t="s">
        <v>61019</v>
      </c>
      <c r="W11111" t="s">
        <v>43025</v>
      </c>
      <c r="X11111" t="s">
        <v>45110</v>
      </c>
    </row>
    <row r="11112" spans="1:24">
      <c r="A11112">
        <f>HYPERLINK("https://www.philgeps.gov.ph/GEPSNONPILOT/Tender/SplashBidNoticeAbstractUI.aspx?menuIndex=3&amp;refID=7025260&amp;Result=3","7025260")</f>
        <v>0</v>
      </c>
      <c r="B11112" t="s">
        <v>1443</v>
      </c>
      <c r="C11112" t="s">
        <v>13793</v>
      </c>
      <c r="D11112" t="s">
        <v>18074</v>
      </c>
      <c r="E11112" t="s">
        <v>27738</v>
      </c>
      <c r="F11112" t="s">
        <v>31574</v>
      </c>
      <c r="G11112" t="s">
        <v>31582</v>
      </c>
      <c r="H11112" t="s">
        <v>31591</v>
      </c>
      <c r="I11112" t="s">
        <v>8822</v>
      </c>
      <c r="J11112" t="s">
        <v>38627</v>
      </c>
      <c r="K11112" t="s">
        <v>41427</v>
      </c>
      <c r="M11112" t="s">
        <v>43523</v>
      </c>
      <c r="N11112" t="s">
        <v>45095</v>
      </c>
      <c r="O11112" t="s">
        <v>45096</v>
      </c>
      <c r="P11112">
        <v>0</v>
      </c>
      <c r="Q11112">
        <v>0</v>
      </c>
      <c r="R11112" t="s">
        <v>45109</v>
      </c>
      <c r="S11112" t="s">
        <v>45478</v>
      </c>
      <c r="T11112" t="s">
        <v>46970</v>
      </c>
      <c r="U11112" t="s">
        <v>56606</v>
      </c>
      <c r="V11112" t="s">
        <v>60477</v>
      </c>
      <c r="W11112" t="s">
        <v>43523</v>
      </c>
      <c r="X11112" t="s">
        <v>45110</v>
      </c>
    </row>
    <row r="11113" spans="1:24">
      <c r="A11113">
        <f>HYPERLINK("https://www.philgeps.gov.ph/GEPSNONPILOT/Tender/SplashBidNoticeAbstractUI.aspx?menuIndex=3&amp;refID=7025266&amp;Result=3","7025266")</f>
        <v>0</v>
      </c>
      <c r="B11113" t="s">
        <v>1443</v>
      </c>
      <c r="C11113" t="s">
        <v>13794</v>
      </c>
      <c r="D11113" t="s">
        <v>18074</v>
      </c>
      <c r="E11113" t="s">
        <v>27739</v>
      </c>
      <c r="F11113" t="s">
        <v>31574</v>
      </c>
      <c r="G11113" t="s">
        <v>31582</v>
      </c>
      <c r="H11113" t="s">
        <v>31591</v>
      </c>
      <c r="I11113" t="s">
        <v>8822</v>
      </c>
      <c r="J11113" t="s">
        <v>38628</v>
      </c>
      <c r="K11113" t="s">
        <v>41189</v>
      </c>
      <c r="M11113" t="s">
        <v>43523</v>
      </c>
      <c r="N11113" t="s">
        <v>45095</v>
      </c>
      <c r="O11113" t="s">
        <v>45096</v>
      </c>
      <c r="P11113">
        <v>0</v>
      </c>
      <c r="Q11113">
        <v>0</v>
      </c>
      <c r="R11113" t="s">
        <v>45109</v>
      </c>
      <c r="S11113" t="s">
        <v>45478</v>
      </c>
      <c r="T11113" t="s">
        <v>46970</v>
      </c>
      <c r="U11113" t="s">
        <v>56607</v>
      </c>
      <c r="V11113" t="s">
        <v>60477</v>
      </c>
      <c r="W11113" t="s">
        <v>43523</v>
      </c>
      <c r="X11113" t="s">
        <v>45110</v>
      </c>
    </row>
    <row r="11114" spans="1:24">
      <c r="A11114">
        <f>HYPERLINK("https://www.philgeps.gov.ph/GEPSNONPILOT/Tender/SplashBidNoticeAbstractUI.aspx?menuIndex=3&amp;refID=7025261&amp;Result=3","7025261")</f>
        <v>0</v>
      </c>
      <c r="B11114" t="s">
        <v>2608</v>
      </c>
      <c r="C11114" t="s">
        <v>13795</v>
      </c>
      <c r="D11114" t="s">
        <v>18024</v>
      </c>
      <c r="E11114" t="s">
        <v>27740</v>
      </c>
      <c r="F11114" t="s">
        <v>31574</v>
      </c>
      <c r="G11114" t="s">
        <v>31581</v>
      </c>
      <c r="H11114" t="s">
        <v>31590</v>
      </c>
      <c r="I11114" t="s">
        <v>31602</v>
      </c>
      <c r="J11114" t="s">
        <v>38629</v>
      </c>
      <c r="K11114" t="s">
        <v>41189</v>
      </c>
      <c r="M11114" t="s">
        <v>44353</v>
      </c>
      <c r="N11114" t="s">
        <v>45095</v>
      </c>
      <c r="O11114" t="s">
        <v>45096</v>
      </c>
      <c r="P11114">
        <v>0</v>
      </c>
      <c r="Q11114">
        <v>1</v>
      </c>
      <c r="R11114" t="s">
        <v>45109</v>
      </c>
      <c r="S11114" t="s">
        <v>45478</v>
      </c>
      <c r="T11114" t="s">
        <v>46973</v>
      </c>
      <c r="U11114" t="s">
        <v>55380</v>
      </c>
      <c r="W11114" t="s">
        <v>44353</v>
      </c>
      <c r="X11114" t="s">
        <v>45110</v>
      </c>
    </row>
    <row r="11115" spans="1:24">
      <c r="A11115">
        <f>HYPERLINK("https://www.philgeps.gov.ph/GEPSNONPILOT/Tender/SplashBidNoticeAbstractUI.aspx?menuIndex=3&amp;refID=7025251&amp;Result=3","7025251")</f>
        <v>0</v>
      </c>
      <c r="B11115" t="s">
        <v>2608</v>
      </c>
      <c r="C11115" t="s">
        <v>13796</v>
      </c>
      <c r="D11115" t="s">
        <v>18024</v>
      </c>
      <c r="E11115" t="s">
        <v>27741</v>
      </c>
      <c r="F11115" t="s">
        <v>31574</v>
      </c>
      <c r="G11115" t="s">
        <v>31582</v>
      </c>
      <c r="H11115" t="s">
        <v>31590</v>
      </c>
      <c r="I11115" t="s">
        <v>31602</v>
      </c>
      <c r="J11115" t="s">
        <v>38630</v>
      </c>
      <c r="K11115" t="s">
        <v>41189</v>
      </c>
      <c r="M11115" t="s">
        <v>44353</v>
      </c>
      <c r="N11115" t="s">
        <v>45095</v>
      </c>
      <c r="O11115" t="s">
        <v>45096</v>
      </c>
      <c r="P11115">
        <v>0</v>
      </c>
      <c r="Q11115">
        <v>0</v>
      </c>
      <c r="R11115" t="s">
        <v>45109</v>
      </c>
      <c r="S11115" t="s">
        <v>45478</v>
      </c>
      <c r="T11115" t="s">
        <v>47159</v>
      </c>
      <c r="U11115" t="s">
        <v>55434</v>
      </c>
      <c r="W11115" t="s">
        <v>44353</v>
      </c>
      <c r="X11115" t="s">
        <v>45110</v>
      </c>
    </row>
    <row r="11116" spans="1:24">
      <c r="A11116">
        <f>HYPERLINK("https://www.philgeps.gov.ph/GEPSNONPILOT/Tender/SplashBidNoticeAbstractUI.aspx?menuIndex=3&amp;refID=7025249&amp;Result=3","7025249")</f>
        <v>0</v>
      </c>
      <c r="B11116" t="s">
        <v>124</v>
      </c>
      <c r="C11116" t="s">
        <v>13797</v>
      </c>
      <c r="D11116" t="s">
        <v>18065</v>
      </c>
      <c r="E11116" t="s">
        <v>27742</v>
      </c>
      <c r="F11116" t="s">
        <v>31574</v>
      </c>
      <c r="G11116" t="s">
        <v>31582</v>
      </c>
      <c r="H11116" t="s">
        <v>31590</v>
      </c>
      <c r="I11116" t="s">
        <v>31602</v>
      </c>
      <c r="J11116" t="s">
        <v>38631</v>
      </c>
      <c r="K11116" t="s">
        <v>41184</v>
      </c>
      <c r="M11116" t="s">
        <v>42125</v>
      </c>
      <c r="N11116" t="s">
        <v>45095</v>
      </c>
      <c r="O11116" t="s">
        <v>45096</v>
      </c>
      <c r="Q11116">
        <v>0</v>
      </c>
      <c r="R11116" t="s">
        <v>45109</v>
      </c>
      <c r="S11116" t="s">
        <v>45524</v>
      </c>
      <c r="T11116" t="s">
        <v>47003</v>
      </c>
      <c r="U11116" t="s">
        <v>56608</v>
      </c>
      <c r="W11116" t="s">
        <v>42125</v>
      </c>
      <c r="X11116" t="s">
        <v>45110</v>
      </c>
    </row>
    <row r="11117" spans="1:24">
      <c r="A11117">
        <f>HYPERLINK("https://www.philgeps.gov.ph/GEPSNONPILOT/Tender/SplashBidNoticeAbstractUI.aspx?menuIndex=3&amp;refID=7025236&amp;Result=3","7025236")</f>
        <v>0</v>
      </c>
      <c r="B11117" t="s">
        <v>2812</v>
      </c>
      <c r="C11117" t="s">
        <v>13798</v>
      </c>
      <c r="D11117" t="s">
        <v>18079</v>
      </c>
      <c r="E11117" t="s">
        <v>27743</v>
      </c>
      <c r="F11117" t="s">
        <v>31574</v>
      </c>
      <c r="G11117" t="s">
        <v>31582</v>
      </c>
      <c r="H11117" t="s">
        <v>31590</v>
      </c>
      <c r="I11117" t="s">
        <v>4046</v>
      </c>
      <c r="J11117" t="s">
        <v>38632</v>
      </c>
      <c r="K11117" t="s">
        <v>41203</v>
      </c>
      <c r="M11117" t="s">
        <v>44587</v>
      </c>
      <c r="N11117" t="s">
        <v>45095</v>
      </c>
      <c r="O11117" t="s">
        <v>45096</v>
      </c>
      <c r="P11117">
        <v>0</v>
      </c>
      <c r="Q11117">
        <v>0</v>
      </c>
      <c r="R11117" t="s">
        <v>45109</v>
      </c>
      <c r="S11117" t="s">
        <v>45478</v>
      </c>
      <c r="T11117" t="s">
        <v>47159</v>
      </c>
      <c r="U11117" t="s">
        <v>56609</v>
      </c>
      <c r="W11117" t="s">
        <v>44587</v>
      </c>
      <c r="X11117" t="s">
        <v>45110</v>
      </c>
    </row>
    <row r="11118" spans="1:24">
      <c r="A11118">
        <f>HYPERLINK("https://www.philgeps.gov.ph/GEPSNONPILOT/Tender/SplashBidNoticeAbstractUI.aspx?menuIndex=3&amp;refID=7025235&amp;Result=3","7025235")</f>
        <v>0</v>
      </c>
      <c r="B11118" t="s">
        <v>1443</v>
      </c>
      <c r="C11118" t="s">
        <v>13799</v>
      </c>
      <c r="D11118" t="s">
        <v>18074</v>
      </c>
      <c r="E11118" t="s">
        <v>27744</v>
      </c>
      <c r="F11118" t="s">
        <v>31574</v>
      </c>
      <c r="G11118" t="s">
        <v>31582</v>
      </c>
      <c r="H11118" t="s">
        <v>31591</v>
      </c>
      <c r="I11118" t="s">
        <v>8822</v>
      </c>
      <c r="J11118" t="s">
        <v>38633</v>
      </c>
      <c r="K11118" t="s">
        <v>41284</v>
      </c>
      <c r="M11118" t="s">
        <v>43523</v>
      </c>
      <c r="N11118" t="s">
        <v>45095</v>
      </c>
      <c r="O11118" t="s">
        <v>45096</v>
      </c>
      <c r="P11118">
        <v>0</v>
      </c>
      <c r="Q11118">
        <v>1</v>
      </c>
      <c r="R11118" t="s">
        <v>45109</v>
      </c>
      <c r="S11118" t="s">
        <v>45478</v>
      </c>
      <c r="T11118" t="s">
        <v>46970</v>
      </c>
      <c r="U11118" t="s">
        <v>56610</v>
      </c>
      <c r="V11118" t="s">
        <v>60477</v>
      </c>
      <c r="W11118" t="s">
        <v>43523</v>
      </c>
      <c r="X11118" t="s">
        <v>45110</v>
      </c>
    </row>
    <row r="11119" spans="1:24">
      <c r="A11119">
        <f>HYPERLINK("https://www.philgeps.gov.ph/GEPSNONPILOT/Tender/SplashBidNoticeAbstractUI.aspx?menuIndex=3&amp;refID=7025255&amp;Result=3","7025255")</f>
        <v>0</v>
      </c>
      <c r="B11119" t="s">
        <v>124</v>
      </c>
      <c r="C11119" t="s">
        <v>13800</v>
      </c>
      <c r="D11119" t="s">
        <v>18065</v>
      </c>
      <c r="E11119" t="s">
        <v>27745</v>
      </c>
      <c r="F11119" t="s">
        <v>31574</v>
      </c>
      <c r="G11119" t="s">
        <v>31582</v>
      </c>
      <c r="H11119" t="s">
        <v>31590</v>
      </c>
      <c r="I11119" t="s">
        <v>31602</v>
      </c>
      <c r="J11119" t="s">
        <v>38634</v>
      </c>
      <c r="K11119" t="s">
        <v>41184</v>
      </c>
      <c r="M11119" t="s">
        <v>42125</v>
      </c>
      <c r="N11119" t="s">
        <v>45095</v>
      </c>
      <c r="O11119" t="s">
        <v>45096</v>
      </c>
      <c r="Q11119">
        <v>0</v>
      </c>
      <c r="R11119" t="s">
        <v>45109</v>
      </c>
      <c r="S11119" t="s">
        <v>45436</v>
      </c>
      <c r="T11119" t="s">
        <v>47003</v>
      </c>
      <c r="U11119" t="s">
        <v>56611</v>
      </c>
      <c r="W11119" t="s">
        <v>42125</v>
      </c>
      <c r="X11119" t="s">
        <v>45110</v>
      </c>
    </row>
    <row r="11120" spans="1:24">
      <c r="A11120">
        <f>HYPERLINK("https://www.philgeps.gov.ph/GEPSNONPILOT/Tender/SplashBidNoticeAbstractUI.aspx?menuIndex=3&amp;refID=7025239&amp;Result=3","7025239")</f>
        <v>0</v>
      </c>
      <c r="B11120" t="s">
        <v>124</v>
      </c>
      <c r="C11120" t="s">
        <v>13801</v>
      </c>
      <c r="D11120" t="s">
        <v>18065</v>
      </c>
      <c r="E11120" t="s">
        <v>27746</v>
      </c>
      <c r="F11120" t="s">
        <v>31574</v>
      </c>
      <c r="G11120" t="s">
        <v>31582</v>
      </c>
      <c r="H11120" t="s">
        <v>31590</v>
      </c>
      <c r="I11120" t="s">
        <v>31602</v>
      </c>
      <c r="J11120" t="s">
        <v>38635</v>
      </c>
      <c r="K11120" t="s">
        <v>41184</v>
      </c>
      <c r="M11120" t="s">
        <v>42125</v>
      </c>
      <c r="N11120" t="s">
        <v>45095</v>
      </c>
      <c r="O11120" t="s">
        <v>45096</v>
      </c>
      <c r="Q11120">
        <v>0</v>
      </c>
      <c r="R11120" t="s">
        <v>45109</v>
      </c>
      <c r="S11120" t="s">
        <v>45525</v>
      </c>
      <c r="T11120" t="s">
        <v>47003</v>
      </c>
      <c r="U11120" t="s">
        <v>56612</v>
      </c>
      <c r="W11120" t="s">
        <v>42125</v>
      </c>
      <c r="X11120" t="s">
        <v>45110</v>
      </c>
    </row>
    <row r="11121" spans="1:24">
      <c r="A11121">
        <f>HYPERLINK("https://www.philgeps.gov.ph/GEPSNONPILOT/Tender/SplashBidNoticeAbstractUI.aspx?menuIndex=3&amp;refID=7025268&amp;Result=3","7025268")</f>
        <v>0</v>
      </c>
      <c r="B11121" t="s">
        <v>459</v>
      </c>
      <c r="C11121" t="s">
        <v>13802</v>
      </c>
      <c r="D11121" t="s">
        <v>18079</v>
      </c>
      <c r="E11121" t="s">
        <v>27747</v>
      </c>
      <c r="F11121" t="s">
        <v>31574</v>
      </c>
      <c r="G11121" t="s">
        <v>31582</v>
      </c>
      <c r="H11121" t="s">
        <v>31591</v>
      </c>
      <c r="I11121" t="s">
        <v>8822</v>
      </c>
      <c r="J11121" t="s">
        <v>38636</v>
      </c>
      <c r="K11121" t="s">
        <v>41351</v>
      </c>
      <c r="M11121" t="s">
        <v>41953</v>
      </c>
      <c r="N11121" t="s">
        <v>45095</v>
      </c>
      <c r="O11121" t="s">
        <v>45096</v>
      </c>
      <c r="Q11121">
        <v>1</v>
      </c>
      <c r="R11121" t="s">
        <v>45109</v>
      </c>
      <c r="S11121" t="s">
        <v>45526</v>
      </c>
      <c r="T11121" t="s">
        <v>47389</v>
      </c>
      <c r="U11121" t="s">
        <v>56613</v>
      </c>
      <c r="V11121" t="s">
        <v>61023</v>
      </c>
      <c r="W11121" t="s">
        <v>41953</v>
      </c>
      <c r="X11121" t="s">
        <v>45110</v>
      </c>
    </row>
    <row r="11122" spans="1:24">
      <c r="A11122">
        <f>HYPERLINK("https://www.philgeps.gov.ph/GEPSNONPILOT/Tender/SplashBidNoticeAbstractUI.aspx?menuIndex=3&amp;refID=7025244&amp;Result=3","7025244")</f>
        <v>0</v>
      </c>
      <c r="B11122" t="s">
        <v>1443</v>
      </c>
      <c r="C11122" t="s">
        <v>13803</v>
      </c>
      <c r="D11122" t="s">
        <v>18074</v>
      </c>
      <c r="E11122" t="s">
        <v>27748</v>
      </c>
      <c r="F11122" t="s">
        <v>31574</v>
      </c>
      <c r="G11122" t="s">
        <v>31582</v>
      </c>
      <c r="H11122" t="s">
        <v>31591</v>
      </c>
      <c r="I11122" t="s">
        <v>8822</v>
      </c>
      <c r="J11122" t="s">
        <v>38637</v>
      </c>
      <c r="K11122" t="s">
        <v>41284</v>
      </c>
      <c r="M11122" t="s">
        <v>43523</v>
      </c>
      <c r="N11122" t="s">
        <v>45095</v>
      </c>
      <c r="O11122" t="s">
        <v>45096</v>
      </c>
      <c r="P11122">
        <v>0</v>
      </c>
      <c r="Q11122">
        <v>0</v>
      </c>
      <c r="R11122" t="s">
        <v>45109</v>
      </c>
      <c r="S11122" t="s">
        <v>45478</v>
      </c>
      <c r="T11122" t="s">
        <v>46970</v>
      </c>
      <c r="U11122" t="s">
        <v>56614</v>
      </c>
      <c r="V11122" t="s">
        <v>60477</v>
      </c>
      <c r="W11122" t="s">
        <v>43523</v>
      </c>
      <c r="X11122" t="s">
        <v>45110</v>
      </c>
    </row>
    <row r="11123" spans="1:24">
      <c r="A11123">
        <f>HYPERLINK("https://www.philgeps.gov.ph/GEPSNONPILOT/Tender/SplashBidNoticeAbstractUI.aspx?menuIndex=3&amp;refID=7025294&amp;Result=3","7025294")</f>
        <v>0</v>
      </c>
      <c r="B11123" t="s">
        <v>1443</v>
      </c>
      <c r="C11123" t="s">
        <v>13804</v>
      </c>
      <c r="D11123" t="s">
        <v>18074</v>
      </c>
      <c r="E11123" t="s">
        <v>27749</v>
      </c>
      <c r="F11123" t="s">
        <v>31574</v>
      </c>
      <c r="G11123" t="s">
        <v>31582</v>
      </c>
      <c r="H11123" t="s">
        <v>31591</v>
      </c>
      <c r="I11123" t="s">
        <v>8822</v>
      </c>
      <c r="J11123" t="s">
        <v>38638</v>
      </c>
      <c r="K11123" t="s">
        <v>41200</v>
      </c>
      <c r="M11123" t="s">
        <v>43523</v>
      </c>
      <c r="N11123" t="s">
        <v>45095</v>
      </c>
      <c r="O11123" t="s">
        <v>45096</v>
      </c>
      <c r="Q11123">
        <v>0</v>
      </c>
      <c r="R11123" t="s">
        <v>45109</v>
      </c>
      <c r="S11123" t="s">
        <v>45283</v>
      </c>
      <c r="T11123" t="s">
        <v>46970</v>
      </c>
      <c r="U11123" t="s">
        <v>56615</v>
      </c>
      <c r="V11123" t="s">
        <v>60477</v>
      </c>
      <c r="W11123" t="s">
        <v>43523</v>
      </c>
      <c r="X11123" t="s">
        <v>45110</v>
      </c>
    </row>
    <row r="11124" spans="1:24">
      <c r="A11124">
        <f>HYPERLINK("https://www.philgeps.gov.ph/GEPSNONPILOT/Tender/SplashBidNoticeAbstractUI.aspx?menuIndex=3&amp;refID=7025270&amp;Result=3","7025270")</f>
        <v>0</v>
      </c>
      <c r="B11124" t="s">
        <v>2608</v>
      </c>
      <c r="C11124" t="s">
        <v>13805</v>
      </c>
      <c r="D11124" t="s">
        <v>18024</v>
      </c>
      <c r="E11124" t="s">
        <v>27750</v>
      </c>
      <c r="F11124" t="s">
        <v>31574</v>
      </c>
      <c r="G11124" t="s">
        <v>31581</v>
      </c>
      <c r="H11124" t="s">
        <v>31590</v>
      </c>
      <c r="I11124" t="s">
        <v>31602</v>
      </c>
      <c r="J11124" t="s">
        <v>38639</v>
      </c>
      <c r="K11124" t="s">
        <v>41189</v>
      </c>
      <c r="M11124" t="s">
        <v>44353</v>
      </c>
      <c r="N11124" t="s">
        <v>45095</v>
      </c>
      <c r="O11124" t="s">
        <v>45096</v>
      </c>
      <c r="P11124">
        <v>0</v>
      </c>
      <c r="Q11124">
        <v>1</v>
      </c>
      <c r="R11124" t="s">
        <v>45109</v>
      </c>
      <c r="S11124" t="s">
        <v>45478</v>
      </c>
      <c r="T11124" t="s">
        <v>46973</v>
      </c>
      <c r="U11124" t="s">
        <v>55380</v>
      </c>
      <c r="W11124" t="s">
        <v>44353</v>
      </c>
      <c r="X11124" t="s">
        <v>45110</v>
      </c>
    </row>
    <row r="11125" spans="1:24">
      <c r="A11125">
        <f>HYPERLINK("https://www.philgeps.gov.ph/GEPSNONPILOT/Tender/SplashBidNoticeAbstractUI.aspx?menuIndex=3&amp;refID=7025319&amp;Result=3","7025319")</f>
        <v>0</v>
      </c>
      <c r="B11125" t="s">
        <v>1443</v>
      </c>
      <c r="C11125" t="s">
        <v>13806</v>
      </c>
      <c r="D11125" t="s">
        <v>18074</v>
      </c>
      <c r="E11125" t="s">
        <v>27751</v>
      </c>
      <c r="F11125" t="s">
        <v>31574</v>
      </c>
      <c r="G11125" t="s">
        <v>31582</v>
      </c>
      <c r="H11125" t="s">
        <v>31591</v>
      </c>
      <c r="I11125" t="s">
        <v>8822</v>
      </c>
      <c r="J11125" t="s">
        <v>38640</v>
      </c>
      <c r="K11125" t="s">
        <v>41189</v>
      </c>
      <c r="M11125" t="s">
        <v>43523</v>
      </c>
      <c r="N11125" t="s">
        <v>45095</v>
      </c>
      <c r="O11125" t="s">
        <v>45096</v>
      </c>
      <c r="P11125">
        <v>0</v>
      </c>
      <c r="Q11125">
        <v>0</v>
      </c>
      <c r="R11125" t="s">
        <v>45109</v>
      </c>
      <c r="S11125" t="s">
        <v>45478</v>
      </c>
      <c r="T11125" t="s">
        <v>46970</v>
      </c>
      <c r="U11125" t="s">
        <v>56616</v>
      </c>
      <c r="V11125" t="s">
        <v>60477</v>
      </c>
      <c r="W11125" t="s">
        <v>43523</v>
      </c>
      <c r="X11125" t="s">
        <v>45110</v>
      </c>
    </row>
    <row r="11126" spans="1:24">
      <c r="A11126">
        <f>HYPERLINK("https://www.philgeps.gov.ph/GEPSNONPILOT/Tender/SplashBidNoticeAbstractUI.aspx?menuIndex=3&amp;refID=7025288&amp;Result=3","7025288")</f>
        <v>0</v>
      </c>
      <c r="B11126" t="s">
        <v>1931</v>
      </c>
      <c r="C11126" t="s">
        <v>13807</v>
      </c>
      <c r="D11126" t="s">
        <v>18029</v>
      </c>
      <c r="E11126" t="s">
        <v>27752</v>
      </c>
      <c r="F11126" t="s">
        <v>31574</v>
      </c>
      <c r="G11126" t="s">
        <v>31581</v>
      </c>
      <c r="H11126" t="s">
        <v>31590</v>
      </c>
      <c r="I11126" t="s">
        <v>31629</v>
      </c>
      <c r="J11126" t="s">
        <v>32126</v>
      </c>
      <c r="K11126" t="s">
        <v>41213</v>
      </c>
      <c r="M11126" t="s">
        <v>43585</v>
      </c>
      <c r="N11126" t="s">
        <v>45095</v>
      </c>
      <c r="O11126" t="s">
        <v>45096</v>
      </c>
      <c r="P11126">
        <v>0</v>
      </c>
      <c r="Q11126">
        <v>0</v>
      </c>
      <c r="R11126" t="s">
        <v>45109</v>
      </c>
      <c r="S11126" t="s">
        <v>45478</v>
      </c>
      <c r="T11126" t="s">
        <v>47080</v>
      </c>
      <c r="U11126" t="s">
        <v>56617</v>
      </c>
      <c r="W11126" t="s">
        <v>43585</v>
      </c>
      <c r="X11126" t="s">
        <v>45110</v>
      </c>
    </row>
    <row r="11127" spans="1:24">
      <c r="A11127">
        <f>HYPERLINK("https://www.philgeps.gov.ph/GEPSNONPILOT/Tender/SplashBidNoticeAbstractUI.aspx?menuIndex=3&amp;refID=7025331&amp;Result=3","7025331")</f>
        <v>0</v>
      </c>
      <c r="B11127" t="s">
        <v>280</v>
      </c>
      <c r="C11127" t="s">
        <v>13808</v>
      </c>
      <c r="D11127" t="s">
        <v>18089</v>
      </c>
      <c r="E11127" t="s">
        <v>27753</v>
      </c>
      <c r="F11127" t="s">
        <v>31574</v>
      </c>
      <c r="G11127" t="s">
        <v>31582</v>
      </c>
      <c r="H11127" t="s">
        <v>31590</v>
      </c>
      <c r="I11127" t="s">
        <v>4046</v>
      </c>
      <c r="J11127" t="s">
        <v>38641</v>
      </c>
      <c r="K11127" t="s">
        <v>41190</v>
      </c>
      <c r="M11127" t="s">
        <v>41766</v>
      </c>
      <c r="N11127" t="s">
        <v>45095</v>
      </c>
      <c r="O11127" t="s">
        <v>45096</v>
      </c>
      <c r="P11127">
        <v>0</v>
      </c>
      <c r="Q11127">
        <v>0</v>
      </c>
      <c r="R11127" t="s">
        <v>45109</v>
      </c>
      <c r="S11127" t="s">
        <v>45478</v>
      </c>
      <c r="T11127" t="s">
        <v>47064</v>
      </c>
      <c r="U11127" t="s">
        <v>56618</v>
      </c>
      <c r="V11127" t="s">
        <v>60790</v>
      </c>
      <c r="W11127" t="s">
        <v>41766</v>
      </c>
      <c r="X11127" t="s">
        <v>45110</v>
      </c>
    </row>
    <row r="11128" spans="1:24">
      <c r="A11128">
        <f>HYPERLINK("https://www.philgeps.gov.ph/GEPSNONPILOT/Tender/SplashBidNoticeAbstractUI.aspx?menuIndex=3&amp;refID=7025273&amp;Result=3","7025273")</f>
        <v>0</v>
      </c>
      <c r="B11128" t="s">
        <v>1443</v>
      </c>
      <c r="C11128" t="s">
        <v>13809</v>
      </c>
      <c r="D11128" t="s">
        <v>18074</v>
      </c>
      <c r="E11128" t="s">
        <v>27754</v>
      </c>
      <c r="F11128" t="s">
        <v>31574</v>
      </c>
      <c r="G11128" t="s">
        <v>31582</v>
      </c>
      <c r="H11128" t="s">
        <v>31591</v>
      </c>
      <c r="I11128" t="s">
        <v>8822</v>
      </c>
      <c r="J11128" t="s">
        <v>38642</v>
      </c>
      <c r="K11128" t="s">
        <v>41198</v>
      </c>
      <c r="M11128" t="s">
        <v>43523</v>
      </c>
      <c r="N11128" t="s">
        <v>45095</v>
      </c>
      <c r="O11128" t="s">
        <v>45096</v>
      </c>
      <c r="Q11128">
        <v>1</v>
      </c>
      <c r="R11128" t="s">
        <v>45109</v>
      </c>
      <c r="S11128" t="s">
        <v>45527</v>
      </c>
      <c r="T11128" t="s">
        <v>46970</v>
      </c>
      <c r="U11128" t="s">
        <v>56619</v>
      </c>
      <c r="V11128" t="s">
        <v>60477</v>
      </c>
      <c r="W11128" t="s">
        <v>43523</v>
      </c>
      <c r="X11128" t="s">
        <v>45110</v>
      </c>
    </row>
    <row r="11129" spans="1:24">
      <c r="A11129">
        <f>HYPERLINK("https://www.philgeps.gov.ph/GEPSNONPILOT/Tender/SplashBidNoticeAbstractUI.aspx?menuIndex=3&amp;refID=7025287&amp;Result=3","7025287")</f>
        <v>0</v>
      </c>
      <c r="B11129" t="s">
        <v>2608</v>
      </c>
      <c r="C11129" t="s">
        <v>13810</v>
      </c>
      <c r="D11129" t="s">
        <v>18024</v>
      </c>
      <c r="E11129" t="s">
        <v>27755</v>
      </c>
      <c r="F11129" t="s">
        <v>31574</v>
      </c>
      <c r="G11129" t="s">
        <v>31581</v>
      </c>
      <c r="H11129" t="s">
        <v>31590</v>
      </c>
      <c r="I11129" t="s">
        <v>31629</v>
      </c>
      <c r="J11129" t="s">
        <v>38643</v>
      </c>
      <c r="K11129" t="s">
        <v>41189</v>
      </c>
      <c r="M11129" t="s">
        <v>44353</v>
      </c>
      <c r="N11129" t="s">
        <v>45095</v>
      </c>
      <c r="O11129" t="s">
        <v>45096</v>
      </c>
      <c r="P11129">
        <v>0</v>
      </c>
      <c r="Q11129">
        <v>0</v>
      </c>
      <c r="R11129" t="s">
        <v>45109</v>
      </c>
      <c r="S11129" t="s">
        <v>45478</v>
      </c>
      <c r="T11129" t="s">
        <v>46973</v>
      </c>
      <c r="U11129" t="s">
        <v>55380</v>
      </c>
      <c r="W11129" t="s">
        <v>44353</v>
      </c>
      <c r="X11129" t="s">
        <v>45110</v>
      </c>
    </row>
    <row r="11130" spans="1:24">
      <c r="A11130">
        <f>HYPERLINK("https://www.philgeps.gov.ph/GEPSNONPILOT/Tender/SplashBidNoticeAbstractUI.aspx?menuIndex=3&amp;refID=7025307&amp;Result=3","7025307")</f>
        <v>0</v>
      </c>
      <c r="B11130" t="s">
        <v>1443</v>
      </c>
      <c r="C11130" t="s">
        <v>13811</v>
      </c>
      <c r="D11130" t="s">
        <v>18074</v>
      </c>
      <c r="E11130" t="s">
        <v>27756</v>
      </c>
      <c r="F11130" t="s">
        <v>31574</v>
      </c>
      <c r="G11130" t="s">
        <v>31582</v>
      </c>
      <c r="H11130" t="s">
        <v>31591</v>
      </c>
      <c r="I11130" t="s">
        <v>8822</v>
      </c>
      <c r="J11130" t="s">
        <v>38644</v>
      </c>
      <c r="K11130" t="s">
        <v>41189</v>
      </c>
      <c r="M11130" t="s">
        <v>43523</v>
      </c>
      <c r="N11130" t="s">
        <v>45095</v>
      </c>
      <c r="O11130" t="s">
        <v>45096</v>
      </c>
      <c r="Q11130">
        <v>0</v>
      </c>
      <c r="R11130" t="s">
        <v>45109</v>
      </c>
      <c r="S11130" t="s">
        <v>45528</v>
      </c>
      <c r="T11130" t="s">
        <v>46970</v>
      </c>
      <c r="U11130" t="s">
        <v>56620</v>
      </c>
      <c r="V11130" t="s">
        <v>60477</v>
      </c>
      <c r="W11130" t="s">
        <v>43523</v>
      </c>
      <c r="X11130" t="s">
        <v>45110</v>
      </c>
    </row>
    <row r="11131" spans="1:24">
      <c r="A11131">
        <f>HYPERLINK("https://www.philgeps.gov.ph/GEPSNONPILOT/Tender/SplashBidNoticeAbstractUI.aspx?menuIndex=3&amp;refID=7025271&amp;Result=3","7025271")</f>
        <v>0</v>
      </c>
      <c r="B11131" t="s">
        <v>1446</v>
      </c>
      <c r="C11131" t="s">
        <v>13812</v>
      </c>
      <c r="D11131" t="s">
        <v>18052</v>
      </c>
      <c r="E11131" t="s">
        <v>19165</v>
      </c>
      <c r="F11131" t="s">
        <v>31574</v>
      </c>
      <c r="G11131" t="s">
        <v>31582</v>
      </c>
      <c r="H11131" t="s">
        <v>31591</v>
      </c>
      <c r="I11131" t="s">
        <v>8822</v>
      </c>
      <c r="J11131" t="s">
        <v>38645</v>
      </c>
      <c r="K11131" t="s">
        <v>41189</v>
      </c>
      <c r="M11131" t="s">
        <v>43025</v>
      </c>
      <c r="N11131" t="s">
        <v>45095</v>
      </c>
      <c r="O11131" t="s">
        <v>45096</v>
      </c>
      <c r="P11131">
        <v>0</v>
      </c>
      <c r="Q11131">
        <v>1</v>
      </c>
      <c r="R11131" t="s">
        <v>45109</v>
      </c>
      <c r="S11131" t="s">
        <v>45478</v>
      </c>
      <c r="T11131" t="s">
        <v>47118</v>
      </c>
      <c r="U11131" t="s">
        <v>50981</v>
      </c>
      <c r="V11131" t="s">
        <v>61024</v>
      </c>
      <c r="W11131" t="s">
        <v>43025</v>
      </c>
      <c r="X11131" t="s">
        <v>45110</v>
      </c>
    </row>
    <row r="11132" spans="1:24">
      <c r="A11132">
        <f>HYPERLINK("https://www.philgeps.gov.ph/GEPSNONPILOT/Tender/SplashBidNoticeAbstractUI.aspx?menuIndex=3&amp;refID=7025275&amp;Result=3","7025275")</f>
        <v>0</v>
      </c>
      <c r="B11132" t="s">
        <v>2815</v>
      </c>
      <c r="C11132" t="s">
        <v>13813</v>
      </c>
      <c r="D11132" t="s">
        <v>18033</v>
      </c>
      <c r="E11132" t="s">
        <v>27757</v>
      </c>
      <c r="F11132" t="s">
        <v>31575</v>
      </c>
      <c r="G11132" t="s">
        <v>31582</v>
      </c>
      <c r="H11132" t="s">
        <v>31590</v>
      </c>
      <c r="I11132" t="s">
        <v>4046</v>
      </c>
      <c r="J11132" t="s">
        <v>34676</v>
      </c>
      <c r="K11132" t="s">
        <v>41191</v>
      </c>
      <c r="M11132" t="s">
        <v>44591</v>
      </c>
      <c r="N11132" t="s">
        <v>45095</v>
      </c>
      <c r="O11132" t="s">
        <v>45096</v>
      </c>
      <c r="P11132">
        <v>0</v>
      </c>
      <c r="Q11132">
        <v>0</v>
      </c>
      <c r="R11132" t="s">
        <v>45109</v>
      </c>
      <c r="S11132" t="s">
        <v>45478</v>
      </c>
      <c r="T11132" t="s">
        <v>46926</v>
      </c>
      <c r="U11132" t="s">
        <v>48730</v>
      </c>
      <c r="V11132" t="s">
        <v>61025</v>
      </c>
      <c r="W11132" t="s">
        <v>44591</v>
      </c>
      <c r="X11132" t="s">
        <v>45110</v>
      </c>
    </row>
    <row r="11133" spans="1:24">
      <c r="A11133">
        <f>HYPERLINK("https://www.philgeps.gov.ph/GEPSNONPILOT/Tender/SplashBidNoticeAbstractUI.aspx?menuIndex=3&amp;refID=7025341&amp;Result=3","7025341")</f>
        <v>0</v>
      </c>
      <c r="B11133" t="s">
        <v>2650</v>
      </c>
      <c r="C11133" t="s">
        <v>13814</v>
      </c>
      <c r="D11133" t="s">
        <v>18041</v>
      </c>
      <c r="E11133" t="s">
        <v>27758</v>
      </c>
      <c r="F11133" t="s">
        <v>31574</v>
      </c>
      <c r="G11133" t="s">
        <v>31582</v>
      </c>
      <c r="H11133" t="s">
        <v>31590</v>
      </c>
      <c r="I11133" t="s">
        <v>3520</v>
      </c>
      <c r="J11133" t="s">
        <v>38646</v>
      </c>
      <c r="K11133" t="s">
        <v>41213</v>
      </c>
      <c r="M11133" t="s">
        <v>44408</v>
      </c>
      <c r="N11133" t="s">
        <v>45095</v>
      </c>
      <c r="O11133" t="s">
        <v>45096</v>
      </c>
      <c r="P11133">
        <v>0</v>
      </c>
      <c r="Q11133">
        <v>0</v>
      </c>
      <c r="R11133" t="s">
        <v>45109</v>
      </c>
      <c r="S11133" t="s">
        <v>45478</v>
      </c>
      <c r="T11133" t="s">
        <v>46955</v>
      </c>
      <c r="U11133" t="s">
        <v>56621</v>
      </c>
      <c r="W11133" t="s">
        <v>44408</v>
      </c>
      <c r="X11133" t="s">
        <v>45110</v>
      </c>
    </row>
    <row r="11134" spans="1:24">
      <c r="A11134">
        <f>HYPERLINK("https://www.philgeps.gov.ph/GEPSNONPILOT/Tender/SplashBidNoticeAbstractUI.aspx?menuIndex=3&amp;refID=7025274&amp;Result=3","7025274")</f>
        <v>0</v>
      </c>
      <c r="B11134" t="s">
        <v>2816</v>
      </c>
      <c r="C11134" t="s">
        <v>13815</v>
      </c>
      <c r="D11134" t="s">
        <v>18078</v>
      </c>
      <c r="E11134" t="s">
        <v>18192</v>
      </c>
      <c r="F11134" t="s">
        <v>31574</v>
      </c>
      <c r="G11134" t="s">
        <v>31582</v>
      </c>
      <c r="H11134" t="s">
        <v>31591</v>
      </c>
      <c r="I11134" t="s">
        <v>8822</v>
      </c>
      <c r="J11134" t="s">
        <v>38647</v>
      </c>
      <c r="K11134" t="s">
        <v>41186</v>
      </c>
      <c r="M11134" t="s">
        <v>44592</v>
      </c>
      <c r="N11134" t="s">
        <v>45095</v>
      </c>
      <c r="O11134" t="s">
        <v>45096</v>
      </c>
      <c r="P11134">
        <v>0</v>
      </c>
      <c r="Q11134">
        <v>1</v>
      </c>
      <c r="R11134" t="s">
        <v>45109</v>
      </c>
      <c r="S11134" t="s">
        <v>45478</v>
      </c>
      <c r="T11134" t="s">
        <v>46930</v>
      </c>
      <c r="U11134" t="s">
        <v>56622</v>
      </c>
      <c r="W11134" t="s">
        <v>44592</v>
      </c>
      <c r="X11134" t="s">
        <v>45110</v>
      </c>
    </row>
    <row r="11135" spans="1:24">
      <c r="A11135">
        <f>HYPERLINK("https://www.philgeps.gov.ph/GEPSNONPILOT/Tender/SplashBidNoticeAbstractUI.aspx?menuIndex=3&amp;refID=7025345&amp;Result=3","7025345")</f>
        <v>0</v>
      </c>
      <c r="B11135" t="s">
        <v>1931</v>
      </c>
      <c r="C11135" t="s">
        <v>13816</v>
      </c>
      <c r="D11135" t="s">
        <v>18029</v>
      </c>
      <c r="E11135" t="s">
        <v>27759</v>
      </c>
      <c r="F11135" t="s">
        <v>31574</v>
      </c>
      <c r="G11135" t="s">
        <v>31581</v>
      </c>
      <c r="H11135" t="s">
        <v>31590</v>
      </c>
      <c r="I11135" t="s">
        <v>31629</v>
      </c>
      <c r="J11135" t="s">
        <v>38648</v>
      </c>
      <c r="K11135" t="s">
        <v>41213</v>
      </c>
      <c r="M11135" t="s">
        <v>43585</v>
      </c>
      <c r="N11135" t="s">
        <v>45095</v>
      </c>
      <c r="O11135" t="s">
        <v>45096</v>
      </c>
      <c r="P11135">
        <v>0</v>
      </c>
      <c r="Q11135">
        <v>1</v>
      </c>
      <c r="R11135" t="s">
        <v>45109</v>
      </c>
      <c r="S11135" t="s">
        <v>45478</v>
      </c>
      <c r="T11135" t="s">
        <v>46982</v>
      </c>
      <c r="U11135" t="s">
        <v>56623</v>
      </c>
      <c r="W11135" t="s">
        <v>43585</v>
      </c>
      <c r="X11135" t="s">
        <v>45110</v>
      </c>
    </row>
    <row r="11136" spans="1:24">
      <c r="A11136">
        <f>HYPERLINK("https://www.philgeps.gov.ph/GEPSNONPILOT/Tender/SplashBidNoticeAbstractUI.aspx?menuIndex=3&amp;refID=7025277&amp;Result=3","7025277")</f>
        <v>0</v>
      </c>
      <c r="B11136" t="s">
        <v>1443</v>
      </c>
      <c r="C11136" t="s">
        <v>13817</v>
      </c>
      <c r="D11136" t="s">
        <v>18074</v>
      </c>
      <c r="E11136" t="s">
        <v>27760</v>
      </c>
      <c r="F11136" t="s">
        <v>31574</v>
      </c>
      <c r="G11136" t="s">
        <v>31582</v>
      </c>
      <c r="H11136" t="s">
        <v>31591</v>
      </c>
      <c r="I11136" t="s">
        <v>8822</v>
      </c>
      <c r="J11136" t="s">
        <v>38649</v>
      </c>
      <c r="K11136" t="s">
        <v>41198</v>
      </c>
      <c r="M11136" t="s">
        <v>43523</v>
      </c>
      <c r="N11136" t="s">
        <v>45095</v>
      </c>
      <c r="O11136" t="s">
        <v>45096</v>
      </c>
      <c r="P11136">
        <v>0</v>
      </c>
      <c r="Q11136">
        <v>1</v>
      </c>
      <c r="R11136" t="s">
        <v>45109</v>
      </c>
      <c r="S11136" t="s">
        <v>45478</v>
      </c>
      <c r="T11136" t="s">
        <v>46970</v>
      </c>
      <c r="U11136" t="s">
        <v>56624</v>
      </c>
      <c r="V11136" t="s">
        <v>60477</v>
      </c>
      <c r="W11136" t="s">
        <v>43523</v>
      </c>
      <c r="X11136" t="s">
        <v>45110</v>
      </c>
    </row>
    <row r="11137" spans="1:24">
      <c r="A11137">
        <f>HYPERLINK("https://www.philgeps.gov.ph/GEPSNONPILOT/Tender/SplashBidNoticeAbstractUI.aspx?menuIndex=3&amp;refID=7025330&amp;Result=3","7025330")</f>
        <v>0</v>
      </c>
      <c r="B11137" t="s">
        <v>1385</v>
      </c>
      <c r="C11137" t="s">
        <v>13818</v>
      </c>
      <c r="D11137" t="s">
        <v>18103</v>
      </c>
      <c r="E11137" t="s">
        <v>27761</v>
      </c>
      <c r="F11137" t="s">
        <v>31574</v>
      </c>
      <c r="G11137" t="s">
        <v>31581</v>
      </c>
      <c r="H11137" t="s">
        <v>31590</v>
      </c>
      <c r="I11137" t="s">
        <v>4046</v>
      </c>
      <c r="J11137" t="s">
        <v>38650</v>
      </c>
      <c r="K11137" t="s">
        <v>41184</v>
      </c>
      <c r="M11137" t="s">
        <v>42959</v>
      </c>
      <c r="N11137" t="s">
        <v>45095</v>
      </c>
      <c r="O11137" t="s">
        <v>45096</v>
      </c>
      <c r="P11137">
        <v>0</v>
      </c>
      <c r="Q11137">
        <v>4</v>
      </c>
      <c r="R11137" t="s">
        <v>45109</v>
      </c>
      <c r="S11137" t="s">
        <v>45478</v>
      </c>
      <c r="T11137" t="s">
        <v>46937</v>
      </c>
      <c r="U11137" t="s">
        <v>51128</v>
      </c>
      <c r="W11137" t="s">
        <v>42959</v>
      </c>
      <c r="X11137" t="s">
        <v>45110</v>
      </c>
    </row>
    <row r="11138" spans="1:24">
      <c r="A11138">
        <f>HYPERLINK("https://www.philgeps.gov.ph/GEPSNONPILOT/Tender/SplashBidNoticeAbstractUI.aspx?menuIndex=3&amp;refID=7025338&amp;Result=3","7025338")</f>
        <v>0</v>
      </c>
      <c r="B11138" t="s">
        <v>2817</v>
      </c>
      <c r="C11138" t="s">
        <v>13819</v>
      </c>
      <c r="E11138" t="s">
        <v>18175</v>
      </c>
      <c r="F11138" t="s">
        <v>31574</v>
      </c>
      <c r="G11138" t="s">
        <v>31582</v>
      </c>
      <c r="H11138" t="s">
        <v>31590</v>
      </c>
      <c r="I11138" t="s">
        <v>31615</v>
      </c>
      <c r="J11138" t="s">
        <v>31844</v>
      </c>
      <c r="K11138" t="s">
        <v>41184</v>
      </c>
      <c r="M11138" t="s">
        <v>44593</v>
      </c>
      <c r="N11138" t="s">
        <v>45095</v>
      </c>
      <c r="O11138" t="s">
        <v>45096</v>
      </c>
      <c r="P11138">
        <v>0</v>
      </c>
      <c r="Q11138">
        <v>5</v>
      </c>
      <c r="R11138" t="s">
        <v>45109</v>
      </c>
      <c r="S11138" t="s">
        <v>45478</v>
      </c>
      <c r="T11138" t="s">
        <v>46910</v>
      </c>
      <c r="U11138" t="s">
        <v>56625</v>
      </c>
      <c r="W11138" t="s">
        <v>44593</v>
      </c>
      <c r="X11138" t="s">
        <v>45110</v>
      </c>
    </row>
    <row r="11139" spans="1:24">
      <c r="A11139">
        <f>HYPERLINK("https://www.philgeps.gov.ph/GEPSNONPILOT/Tender/SplashBidNoticeAbstractUI.aspx?menuIndex=3&amp;refID=7025340&amp;Result=3","7025340")</f>
        <v>0</v>
      </c>
      <c r="B11139" t="s">
        <v>136</v>
      </c>
      <c r="C11139" t="s">
        <v>13820</v>
      </c>
      <c r="D11139" t="s">
        <v>18071</v>
      </c>
      <c r="E11139" t="s">
        <v>27762</v>
      </c>
      <c r="F11139" t="s">
        <v>31574</v>
      </c>
      <c r="G11139" t="s">
        <v>31582</v>
      </c>
      <c r="H11139" t="s">
        <v>31590</v>
      </c>
      <c r="I11139" t="s">
        <v>31615</v>
      </c>
      <c r="J11139" t="s">
        <v>38651</v>
      </c>
      <c r="K11139" t="s">
        <v>41193</v>
      </c>
      <c r="M11139" t="s">
        <v>41620</v>
      </c>
      <c r="N11139" t="s">
        <v>45095</v>
      </c>
      <c r="O11139" t="s">
        <v>45096</v>
      </c>
      <c r="P11139">
        <v>0</v>
      </c>
      <c r="Q11139">
        <v>5</v>
      </c>
      <c r="R11139" t="s">
        <v>45109</v>
      </c>
      <c r="S11139" t="s">
        <v>45478</v>
      </c>
      <c r="T11139" t="s">
        <v>46991</v>
      </c>
      <c r="U11139" t="s">
        <v>56626</v>
      </c>
      <c r="W11139" t="s">
        <v>41620</v>
      </c>
      <c r="X11139" t="s">
        <v>45110</v>
      </c>
    </row>
    <row r="11140" spans="1:24">
      <c r="A11140">
        <f>HYPERLINK("https://www.philgeps.gov.ph/GEPSNONPILOT/Tender/SplashBidNoticeAbstractUI.aspx?menuIndex=3&amp;refID=7025325&amp;Result=3","7025325")</f>
        <v>0</v>
      </c>
      <c r="B11140" t="s">
        <v>1443</v>
      </c>
      <c r="C11140" t="s">
        <v>13821</v>
      </c>
      <c r="D11140" t="s">
        <v>18074</v>
      </c>
      <c r="E11140" t="s">
        <v>27763</v>
      </c>
      <c r="F11140" t="s">
        <v>31574</v>
      </c>
      <c r="G11140" t="s">
        <v>31582</v>
      </c>
      <c r="H11140" t="s">
        <v>31591</v>
      </c>
      <c r="I11140" t="s">
        <v>8822</v>
      </c>
      <c r="J11140" t="s">
        <v>38652</v>
      </c>
      <c r="K11140" t="s">
        <v>41189</v>
      </c>
      <c r="M11140" t="s">
        <v>43523</v>
      </c>
      <c r="N11140" t="s">
        <v>45095</v>
      </c>
      <c r="O11140" t="s">
        <v>45096</v>
      </c>
      <c r="P11140">
        <v>0</v>
      </c>
      <c r="Q11140">
        <v>1</v>
      </c>
      <c r="R11140" t="s">
        <v>45109</v>
      </c>
      <c r="S11140" t="s">
        <v>45478</v>
      </c>
      <c r="T11140" t="s">
        <v>46970</v>
      </c>
      <c r="U11140" t="s">
        <v>56627</v>
      </c>
      <c r="V11140" t="s">
        <v>60477</v>
      </c>
      <c r="W11140" t="s">
        <v>43523</v>
      </c>
      <c r="X11140" t="s">
        <v>45110</v>
      </c>
    </row>
    <row r="11141" spans="1:24">
      <c r="A11141">
        <f>HYPERLINK("https://www.philgeps.gov.ph/GEPSNONPILOT/Tender/SplashBidNoticeAbstractUI.aspx?menuIndex=3&amp;refID=7025337&amp;Result=3","7025337")</f>
        <v>0</v>
      </c>
      <c r="B11141" t="s">
        <v>1443</v>
      </c>
      <c r="C11141" t="s">
        <v>13822</v>
      </c>
      <c r="D11141" t="s">
        <v>18074</v>
      </c>
      <c r="E11141" t="s">
        <v>27764</v>
      </c>
      <c r="F11141" t="s">
        <v>31574</v>
      </c>
      <c r="G11141" t="s">
        <v>31582</v>
      </c>
      <c r="H11141" t="s">
        <v>31591</v>
      </c>
      <c r="I11141" t="s">
        <v>8822</v>
      </c>
      <c r="J11141" t="s">
        <v>38653</v>
      </c>
      <c r="K11141" t="s">
        <v>41198</v>
      </c>
      <c r="M11141" t="s">
        <v>43523</v>
      </c>
      <c r="N11141" t="s">
        <v>45095</v>
      </c>
      <c r="O11141" t="s">
        <v>45096</v>
      </c>
      <c r="P11141">
        <v>0</v>
      </c>
      <c r="Q11141">
        <v>0</v>
      </c>
      <c r="R11141" t="s">
        <v>45109</v>
      </c>
      <c r="S11141" t="s">
        <v>45478</v>
      </c>
      <c r="T11141" t="s">
        <v>46970</v>
      </c>
      <c r="U11141" t="s">
        <v>56628</v>
      </c>
      <c r="V11141" t="s">
        <v>60477</v>
      </c>
      <c r="W11141" t="s">
        <v>43523</v>
      </c>
      <c r="X11141" t="s">
        <v>45110</v>
      </c>
    </row>
    <row r="11142" spans="1:24">
      <c r="A11142">
        <f>HYPERLINK("https://www.philgeps.gov.ph/GEPSNONPILOT/Tender/SplashBidNoticeAbstractUI.aspx?menuIndex=3&amp;refID=7025346&amp;Result=3","7025346")</f>
        <v>0</v>
      </c>
      <c r="B11142" t="s">
        <v>1443</v>
      </c>
      <c r="C11142" t="s">
        <v>13823</v>
      </c>
      <c r="D11142" t="s">
        <v>18074</v>
      </c>
      <c r="E11142" t="s">
        <v>27765</v>
      </c>
      <c r="F11142" t="s">
        <v>31574</v>
      </c>
      <c r="G11142" t="s">
        <v>31582</v>
      </c>
      <c r="H11142" t="s">
        <v>31591</v>
      </c>
      <c r="I11142" t="s">
        <v>8822</v>
      </c>
      <c r="J11142" t="s">
        <v>38654</v>
      </c>
      <c r="K11142" t="s">
        <v>41189</v>
      </c>
      <c r="M11142" t="s">
        <v>43523</v>
      </c>
      <c r="N11142" t="s">
        <v>45095</v>
      </c>
      <c r="O11142" t="s">
        <v>45096</v>
      </c>
      <c r="P11142">
        <v>0</v>
      </c>
      <c r="Q11142">
        <v>0</v>
      </c>
      <c r="R11142" t="s">
        <v>45109</v>
      </c>
      <c r="S11142" t="s">
        <v>45478</v>
      </c>
      <c r="T11142" t="s">
        <v>46970</v>
      </c>
      <c r="U11142" t="s">
        <v>56629</v>
      </c>
      <c r="V11142" t="s">
        <v>60477</v>
      </c>
      <c r="W11142" t="s">
        <v>43523</v>
      </c>
      <c r="X11142" t="s">
        <v>45110</v>
      </c>
    </row>
    <row r="11143" spans="1:24">
      <c r="A11143">
        <f>HYPERLINK("https://www.philgeps.gov.ph/GEPSNONPILOT/Tender/SplashBidNoticeAbstractUI.aspx?menuIndex=3&amp;refID=7025366&amp;Result=3","7025366")</f>
        <v>0</v>
      </c>
      <c r="B11143" t="s">
        <v>2791</v>
      </c>
      <c r="C11143" t="s">
        <v>13824</v>
      </c>
      <c r="D11143" t="s">
        <v>18079</v>
      </c>
      <c r="E11143" t="s">
        <v>27766</v>
      </c>
      <c r="F11143" t="s">
        <v>31574</v>
      </c>
      <c r="G11143" t="s">
        <v>31582</v>
      </c>
      <c r="H11143" t="s">
        <v>31590</v>
      </c>
      <c r="I11143" t="s">
        <v>3489</v>
      </c>
      <c r="J11143" t="s">
        <v>31927</v>
      </c>
      <c r="K11143" t="s">
        <v>41186</v>
      </c>
      <c r="M11143" t="s">
        <v>44566</v>
      </c>
      <c r="N11143" t="s">
        <v>45095</v>
      </c>
      <c r="O11143" t="s">
        <v>45096</v>
      </c>
      <c r="P11143">
        <v>0</v>
      </c>
      <c r="Q11143">
        <v>0</v>
      </c>
      <c r="R11143" t="s">
        <v>45109</v>
      </c>
      <c r="S11143" t="s">
        <v>45478</v>
      </c>
      <c r="T11143" t="s">
        <v>47164</v>
      </c>
      <c r="U11143" t="s">
        <v>56630</v>
      </c>
      <c r="W11143" t="s">
        <v>44566</v>
      </c>
      <c r="X11143" t="s">
        <v>45110</v>
      </c>
    </row>
    <row r="11144" spans="1:24">
      <c r="A11144">
        <f>HYPERLINK("https://www.philgeps.gov.ph/GEPSNONPILOT/Tender/SplashBidNoticeAbstractUI.aspx?menuIndex=3&amp;refID=7025378&amp;Result=3","7025378")</f>
        <v>0</v>
      </c>
      <c r="B11144" t="s">
        <v>1651</v>
      </c>
      <c r="C11144" t="s">
        <v>13825</v>
      </c>
      <c r="D11144" t="s">
        <v>18040</v>
      </c>
      <c r="E11144" t="s">
        <v>27767</v>
      </c>
      <c r="F11144" t="s">
        <v>31574</v>
      </c>
      <c r="G11144" t="s">
        <v>31582</v>
      </c>
      <c r="H11144" t="s">
        <v>31590</v>
      </c>
      <c r="I11144" t="s">
        <v>4046</v>
      </c>
      <c r="J11144" t="s">
        <v>38655</v>
      </c>
      <c r="K11144" t="s">
        <v>41184</v>
      </c>
      <c r="M11144" t="s">
        <v>43262</v>
      </c>
      <c r="N11144" t="s">
        <v>45095</v>
      </c>
      <c r="O11144" t="s">
        <v>45096</v>
      </c>
      <c r="P11144">
        <v>0</v>
      </c>
      <c r="Q11144">
        <v>2</v>
      </c>
      <c r="R11144" t="s">
        <v>45109</v>
      </c>
      <c r="S11144" t="s">
        <v>45478</v>
      </c>
      <c r="T11144" t="s">
        <v>46937</v>
      </c>
      <c r="U11144" t="s">
        <v>56631</v>
      </c>
      <c r="W11144" t="s">
        <v>43262</v>
      </c>
      <c r="X11144" t="s">
        <v>45110</v>
      </c>
    </row>
    <row r="11145" spans="1:24">
      <c r="A11145">
        <f>HYPERLINK("https://www.philgeps.gov.ph/GEPSNONPILOT/Tender/SplashBidNoticeAbstractUI.aspx?menuIndex=3&amp;refID=7025389&amp;Result=3","7025389")</f>
        <v>0</v>
      </c>
      <c r="B11145" t="s">
        <v>2781</v>
      </c>
      <c r="C11145" t="s">
        <v>13826</v>
      </c>
      <c r="D11145" t="s">
        <v>18033</v>
      </c>
      <c r="E11145" t="s">
        <v>18472</v>
      </c>
      <c r="F11145" t="s">
        <v>31574</v>
      </c>
      <c r="G11145" t="s">
        <v>31582</v>
      </c>
      <c r="H11145" t="s">
        <v>31590</v>
      </c>
      <c r="I11145" t="s">
        <v>4046</v>
      </c>
      <c r="J11145" t="s">
        <v>38656</v>
      </c>
      <c r="K11145" t="s">
        <v>41196</v>
      </c>
      <c r="M11145" t="s">
        <v>44556</v>
      </c>
      <c r="N11145" t="s">
        <v>45095</v>
      </c>
      <c r="O11145" t="s">
        <v>45096</v>
      </c>
      <c r="P11145">
        <v>0</v>
      </c>
      <c r="Q11145">
        <v>1</v>
      </c>
      <c r="R11145" t="s">
        <v>45109</v>
      </c>
      <c r="S11145" t="s">
        <v>45478</v>
      </c>
      <c r="T11145" t="s">
        <v>46966</v>
      </c>
      <c r="U11145" t="s">
        <v>56632</v>
      </c>
      <c r="V11145" t="s">
        <v>61026</v>
      </c>
      <c r="W11145" t="s">
        <v>44556</v>
      </c>
      <c r="X11145" t="s">
        <v>45110</v>
      </c>
    </row>
    <row r="11146" spans="1:24">
      <c r="A11146">
        <f>HYPERLINK("https://www.philgeps.gov.ph/GEPSNONPILOT/Tender/SplashBidNoticeAbstractUI.aspx?menuIndex=3&amp;refID=7025354&amp;Result=3","7025354")</f>
        <v>0</v>
      </c>
      <c r="B11146" t="s">
        <v>2781</v>
      </c>
      <c r="C11146" t="s">
        <v>13827</v>
      </c>
      <c r="D11146" t="s">
        <v>18033</v>
      </c>
      <c r="E11146" t="s">
        <v>18448</v>
      </c>
      <c r="F11146" t="s">
        <v>31574</v>
      </c>
      <c r="G11146" t="s">
        <v>31582</v>
      </c>
      <c r="H11146" t="s">
        <v>31590</v>
      </c>
      <c r="I11146" t="s">
        <v>4046</v>
      </c>
      <c r="J11146" t="s">
        <v>38657</v>
      </c>
      <c r="K11146" t="s">
        <v>41196</v>
      </c>
      <c r="M11146" t="s">
        <v>44556</v>
      </c>
      <c r="N11146" t="s">
        <v>45095</v>
      </c>
      <c r="O11146" t="s">
        <v>45096</v>
      </c>
      <c r="P11146">
        <v>0</v>
      </c>
      <c r="Q11146">
        <v>0</v>
      </c>
      <c r="R11146" t="s">
        <v>45109</v>
      </c>
      <c r="S11146" t="s">
        <v>45478</v>
      </c>
      <c r="T11146" t="s">
        <v>46966</v>
      </c>
      <c r="U11146" t="s">
        <v>56633</v>
      </c>
      <c r="V11146" t="s">
        <v>61027</v>
      </c>
      <c r="W11146" t="s">
        <v>44556</v>
      </c>
      <c r="X11146" t="s">
        <v>45110</v>
      </c>
    </row>
    <row r="11147" spans="1:24">
      <c r="A11147">
        <f>HYPERLINK("https://www.philgeps.gov.ph/GEPSNONPILOT/Tender/SplashBidNoticeAbstractUI.aspx?menuIndex=3&amp;refID=7025349&amp;Result=3","7025349")</f>
        <v>0</v>
      </c>
      <c r="B11147" t="s">
        <v>2098</v>
      </c>
      <c r="C11147" t="s">
        <v>13828</v>
      </c>
      <c r="D11147" t="s">
        <v>18030</v>
      </c>
      <c r="E11147" t="s">
        <v>27768</v>
      </c>
      <c r="F11147" t="s">
        <v>31574</v>
      </c>
      <c r="G11147" t="s">
        <v>31582</v>
      </c>
      <c r="H11147" t="s">
        <v>31590</v>
      </c>
      <c r="I11147" t="s">
        <v>31615</v>
      </c>
      <c r="J11147" t="s">
        <v>38658</v>
      </c>
      <c r="K11147" t="s">
        <v>41186</v>
      </c>
      <c r="M11147" t="s">
        <v>43775</v>
      </c>
      <c r="N11147" t="s">
        <v>45095</v>
      </c>
      <c r="O11147" t="s">
        <v>45096</v>
      </c>
      <c r="P11147">
        <v>0</v>
      </c>
      <c r="Q11147">
        <v>6</v>
      </c>
      <c r="R11147" t="s">
        <v>45109</v>
      </c>
      <c r="S11147" t="s">
        <v>45478</v>
      </c>
      <c r="T11147" t="s">
        <v>46966</v>
      </c>
      <c r="U11147" t="s">
        <v>56634</v>
      </c>
      <c r="V11147" t="s">
        <v>61028</v>
      </c>
      <c r="W11147" t="s">
        <v>43775</v>
      </c>
      <c r="X11147" t="s">
        <v>45110</v>
      </c>
    </row>
    <row r="11148" spans="1:24">
      <c r="A11148">
        <f>HYPERLINK("https://www.philgeps.gov.ph/GEPSNONPILOT/Tender/SplashBidNoticeAbstractUI.aspx?menuIndex=3&amp;refID=7025376&amp;Result=3","7025376")</f>
        <v>0</v>
      </c>
      <c r="B11148" t="s">
        <v>2650</v>
      </c>
      <c r="C11148" t="s">
        <v>13402</v>
      </c>
      <c r="D11148" t="s">
        <v>18041</v>
      </c>
      <c r="E11148" t="s">
        <v>27769</v>
      </c>
      <c r="F11148" t="s">
        <v>31574</v>
      </c>
      <c r="G11148" t="s">
        <v>31582</v>
      </c>
      <c r="H11148" t="s">
        <v>31590</v>
      </c>
      <c r="I11148" t="s">
        <v>3520</v>
      </c>
      <c r="J11148" t="s">
        <v>38659</v>
      </c>
      <c r="K11148" t="s">
        <v>41213</v>
      </c>
      <c r="M11148" t="s">
        <v>44408</v>
      </c>
      <c r="N11148" t="s">
        <v>45095</v>
      </c>
      <c r="O11148" t="s">
        <v>45096</v>
      </c>
      <c r="P11148">
        <v>0</v>
      </c>
      <c r="Q11148">
        <v>0</v>
      </c>
      <c r="R11148" t="s">
        <v>45109</v>
      </c>
      <c r="S11148" t="s">
        <v>45478</v>
      </c>
      <c r="T11148" t="s">
        <v>46955</v>
      </c>
      <c r="U11148" t="s">
        <v>56635</v>
      </c>
      <c r="W11148" t="s">
        <v>44408</v>
      </c>
      <c r="X11148" t="s">
        <v>45110</v>
      </c>
    </row>
    <row r="11149" spans="1:24">
      <c r="A11149">
        <f>HYPERLINK("https://www.philgeps.gov.ph/GEPSNONPILOT/Tender/SplashBidNoticeAbstractUI.aspx?menuIndex=3&amp;refID=7025407&amp;Result=3","7025407")</f>
        <v>0</v>
      </c>
      <c r="B11149" t="s">
        <v>2816</v>
      </c>
      <c r="C11149" t="s">
        <v>13829</v>
      </c>
      <c r="D11149" t="s">
        <v>18078</v>
      </c>
      <c r="E11149" t="s">
        <v>18192</v>
      </c>
      <c r="F11149" t="s">
        <v>31574</v>
      </c>
      <c r="G11149" t="s">
        <v>31582</v>
      </c>
      <c r="H11149" t="s">
        <v>31591</v>
      </c>
      <c r="I11149" t="s">
        <v>8822</v>
      </c>
      <c r="J11149" t="s">
        <v>31727</v>
      </c>
      <c r="K11149" t="s">
        <v>41186</v>
      </c>
      <c r="M11149" t="s">
        <v>44592</v>
      </c>
      <c r="N11149" t="s">
        <v>45095</v>
      </c>
      <c r="O11149" t="s">
        <v>45096</v>
      </c>
      <c r="P11149">
        <v>0</v>
      </c>
      <c r="Q11149">
        <v>1</v>
      </c>
      <c r="R11149" t="s">
        <v>45109</v>
      </c>
      <c r="S11149" t="s">
        <v>45478</v>
      </c>
      <c r="T11149" t="s">
        <v>47390</v>
      </c>
      <c r="U11149" t="s">
        <v>56636</v>
      </c>
      <c r="W11149" t="s">
        <v>44592</v>
      </c>
      <c r="X11149" t="s">
        <v>45110</v>
      </c>
    </row>
    <row r="11150" spans="1:24">
      <c r="A11150">
        <f>HYPERLINK("https://www.philgeps.gov.ph/GEPSNONPILOT/Tender/SplashBidNoticeAbstractUI.aspx?menuIndex=3&amp;refID=7025359&amp;Result=3","7025359")</f>
        <v>0</v>
      </c>
      <c r="B11150" t="s">
        <v>1443</v>
      </c>
      <c r="C11150" t="s">
        <v>13830</v>
      </c>
      <c r="D11150" t="s">
        <v>18074</v>
      </c>
      <c r="E11150" t="s">
        <v>27770</v>
      </c>
      <c r="F11150" t="s">
        <v>31574</v>
      </c>
      <c r="G11150" t="s">
        <v>31582</v>
      </c>
      <c r="H11150" t="s">
        <v>31591</v>
      </c>
      <c r="I11150" t="s">
        <v>8822</v>
      </c>
      <c r="J11150" t="s">
        <v>38660</v>
      </c>
      <c r="K11150" t="s">
        <v>41189</v>
      </c>
      <c r="M11150" t="s">
        <v>43523</v>
      </c>
      <c r="N11150" t="s">
        <v>45095</v>
      </c>
      <c r="O11150" t="s">
        <v>45096</v>
      </c>
      <c r="P11150">
        <v>0</v>
      </c>
      <c r="Q11150">
        <v>0</v>
      </c>
      <c r="R11150" t="s">
        <v>45109</v>
      </c>
      <c r="S11150" t="s">
        <v>45478</v>
      </c>
      <c r="T11150" t="s">
        <v>46970</v>
      </c>
      <c r="U11150" t="s">
        <v>56637</v>
      </c>
      <c r="V11150" t="s">
        <v>60477</v>
      </c>
      <c r="W11150" t="s">
        <v>43523</v>
      </c>
      <c r="X11150" t="s">
        <v>45110</v>
      </c>
    </row>
    <row r="11151" spans="1:24">
      <c r="A11151">
        <f>HYPERLINK("https://www.philgeps.gov.ph/GEPSNONPILOT/Tender/SplashBidNoticeAbstractUI.aspx?menuIndex=3&amp;refID=7025399&amp;Result=3","7025399")</f>
        <v>0</v>
      </c>
      <c r="B11151" t="s">
        <v>1651</v>
      </c>
      <c r="C11151" t="s">
        <v>13831</v>
      </c>
      <c r="D11151" t="s">
        <v>18040</v>
      </c>
      <c r="E11151" t="s">
        <v>27771</v>
      </c>
      <c r="F11151" t="s">
        <v>31574</v>
      </c>
      <c r="G11151" t="s">
        <v>31582</v>
      </c>
      <c r="H11151" t="s">
        <v>31590</v>
      </c>
      <c r="I11151" t="s">
        <v>4046</v>
      </c>
      <c r="J11151" t="s">
        <v>38661</v>
      </c>
      <c r="K11151" t="s">
        <v>41184</v>
      </c>
      <c r="M11151" t="s">
        <v>43262</v>
      </c>
      <c r="N11151" t="s">
        <v>45095</v>
      </c>
      <c r="O11151" t="s">
        <v>45096</v>
      </c>
      <c r="P11151">
        <v>0</v>
      </c>
      <c r="Q11151">
        <v>2</v>
      </c>
      <c r="R11151" t="s">
        <v>45109</v>
      </c>
      <c r="S11151" t="s">
        <v>45478</v>
      </c>
      <c r="T11151" t="s">
        <v>46937</v>
      </c>
      <c r="U11151" t="s">
        <v>56638</v>
      </c>
      <c r="W11151" t="s">
        <v>43262</v>
      </c>
      <c r="X11151" t="s">
        <v>45110</v>
      </c>
    </row>
    <row r="11152" spans="1:24">
      <c r="A11152">
        <f>HYPERLINK("https://www.philgeps.gov.ph/GEPSNONPILOT/Tender/SplashBidNoticeAbstractUI.aspx?menuIndex=3&amp;refID=7025374&amp;Result=3","7025374")</f>
        <v>0</v>
      </c>
      <c r="B11152" t="s">
        <v>1443</v>
      </c>
      <c r="C11152" t="s">
        <v>13832</v>
      </c>
      <c r="D11152" t="s">
        <v>18074</v>
      </c>
      <c r="E11152" t="s">
        <v>27772</v>
      </c>
      <c r="F11152" t="s">
        <v>31574</v>
      </c>
      <c r="G11152" t="s">
        <v>31582</v>
      </c>
      <c r="H11152" t="s">
        <v>31591</v>
      </c>
      <c r="I11152" t="s">
        <v>8822</v>
      </c>
      <c r="J11152" t="s">
        <v>38662</v>
      </c>
      <c r="K11152" t="s">
        <v>41189</v>
      </c>
      <c r="M11152" t="s">
        <v>43523</v>
      </c>
      <c r="N11152" t="s">
        <v>45095</v>
      </c>
      <c r="O11152" t="s">
        <v>45096</v>
      </c>
      <c r="P11152">
        <v>0</v>
      </c>
      <c r="Q11152">
        <v>0</v>
      </c>
      <c r="R11152" t="s">
        <v>45109</v>
      </c>
      <c r="S11152" t="s">
        <v>45478</v>
      </c>
      <c r="T11152" t="s">
        <v>46970</v>
      </c>
      <c r="U11152" t="s">
        <v>56639</v>
      </c>
      <c r="V11152" t="s">
        <v>60477</v>
      </c>
      <c r="W11152" t="s">
        <v>43523</v>
      </c>
      <c r="X11152" t="s">
        <v>45110</v>
      </c>
    </row>
    <row r="11153" spans="1:24">
      <c r="A11153">
        <f>HYPERLINK("https://www.philgeps.gov.ph/GEPSNONPILOT/Tender/SplashBidNoticeAbstractUI.aspx?menuIndex=3&amp;refID=7025419&amp;Result=3","7025419")</f>
        <v>0</v>
      </c>
      <c r="B11153" t="s">
        <v>2781</v>
      </c>
      <c r="C11153" t="s">
        <v>13833</v>
      </c>
      <c r="D11153" t="s">
        <v>18033</v>
      </c>
      <c r="E11153" t="s">
        <v>21063</v>
      </c>
      <c r="F11153" t="s">
        <v>31574</v>
      </c>
      <c r="G11153" t="s">
        <v>31582</v>
      </c>
      <c r="H11153" t="s">
        <v>31590</v>
      </c>
      <c r="I11153" t="s">
        <v>4046</v>
      </c>
      <c r="J11153" t="s">
        <v>38663</v>
      </c>
      <c r="K11153" t="s">
        <v>41196</v>
      </c>
      <c r="M11153" t="s">
        <v>44556</v>
      </c>
      <c r="N11153" t="s">
        <v>45095</v>
      </c>
      <c r="O11153" t="s">
        <v>45096</v>
      </c>
      <c r="P11153">
        <v>0</v>
      </c>
      <c r="Q11153">
        <v>1</v>
      </c>
      <c r="R11153" t="s">
        <v>45109</v>
      </c>
      <c r="S11153" t="s">
        <v>45478</v>
      </c>
      <c r="T11153" t="s">
        <v>46966</v>
      </c>
      <c r="U11153" t="s">
        <v>56640</v>
      </c>
      <c r="V11153" t="s">
        <v>61029</v>
      </c>
      <c r="W11153" t="s">
        <v>44556</v>
      </c>
      <c r="X11153" t="s">
        <v>45110</v>
      </c>
    </row>
    <row r="11154" spans="1:24">
      <c r="A11154">
        <f>HYPERLINK("https://www.philgeps.gov.ph/GEPSNONPILOT/Tender/SplashBidNoticeAbstractUI.aspx?menuIndex=3&amp;refID=7025360&amp;Result=3","7025360")</f>
        <v>0</v>
      </c>
      <c r="B11154" t="s">
        <v>1651</v>
      </c>
      <c r="C11154" t="s">
        <v>13834</v>
      </c>
      <c r="D11154" t="s">
        <v>18040</v>
      </c>
      <c r="E11154" t="s">
        <v>27773</v>
      </c>
      <c r="F11154" t="s">
        <v>31574</v>
      </c>
      <c r="G11154" t="s">
        <v>31582</v>
      </c>
      <c r="H11154" t="s">
        <v>31590</v>
      </c>
      <c r="I11154" t="s">
        <v>4046</v>
      </c>
      <c r="J11154" t="s">
        <v>38664</v>
      </c>
      <c r="K11154" t="s">
        <v>41184</v>
      </c>
      <c r="M11154" t="s">
        <v>43262</v>
      </c>
      <c r="N11154" t="s">
        <v>45095</v>
      </c>
      <c r="O11154" t="s">
        <v>45096</v>
      </c>
      <c r="P11154">
        <v>0</v>
      </c>
      <c r="Q11154">
        <v>2</v>
      </c>
      <c r="R11154" t="s">
        <v>45109</v>
      </c>
      <c r="S11154" t="s">
        <v>45478</v>
      </c>
      <c r="T11154" t="s">
        <v>46937</v>
      </c>
      <c r="U11154" t="s">
        <v>56641</v>
      </c>
      <c r="W11154" t="s">
        <v>43262</v>
      </c>
      <c r="X11154" t="s">
        <v>45110</v>
      </c>
    </row>
    <row r="11155" spans="1:24">
      <c r="A11155">
        <f>HYPERLINK("https://www.philgeps.gov.ph/GEPSNONPILOT/Tender/SplashBidNoticeAbstractUI.aspx?menuIndex=3&amp;refID=7025403&amp;Result=3","7025403")</f>
        <v>0</v>
      </c>
      <c r="B11155" t="s">
        <v>1443</v>
      </c>
      <c r="C11155" t="s">
        <v>13835</v>
      </c>
      <c r="D11155" t="s">
        <v>18074</v>
      </c>
      <c r="E11155" t="s">
        <v>27774</v>
      </c>
      <c r="F11155" t="s">
        <v>31574</v>
      </c>
      <c r="G11155" t="s">
        <v>31582</v>
      </c>
      <c r="H11155" t="s">
        <v>31591</v>
      </c>
      <c r="I11155" t="s">
        <v>8822</v>
      </c>
      <c r="J11155" t="s">
        <v>38665</v>
      </c>
      <c r="K11155" t="s">
        <v>41189</v>
      </c>
      <c r="M11155" t="s">
        <v>43523</v>
      </c>
      <c r="N11155" t="s">
        <v>45095</v>
      </c>
      <c r="O11155" t="s">
        <v>45096</v>
      </c>
      <c r="Q11155">
        <v>0</v>
      </c>
      <c r="R11155" t="s">
        <v>45109</v>
      </c>
      <c r="S11155" t="s">
        <v>45529</v>
      </c>
      <c r="T11155" t="s">
        <v>46970</v>
      </c>
      <c r="U11155" t="s">
        <v>56642</v>
      </c>
      <c r="V11155" t="s">
        <v>60477</v>
      </c>
      <c r="W11155" t="s">
        <v>43523</v>
      </c>
      <c r="X11155" t="s">
        <v>45110</v>
      </c>
    </row>
    <row r="11156" spans="1:24">
      <c r="A11156">
        <f>HYPERLINK("https://www.philgeps.gov.ph/GEPSNONPILOT/Tender/SplashBidNoticeAbstractUI.aspx?menuIndex=3&amp;refID=7025415&amp;Result=3","7025415")</f>
        <v>0</v>
      </c>
      <c r="B11156" t="s">
        <v>340</v>
      </c>
      <c r="C11156" t="s">
        <v>13836</v>
      </c>
      <c r="D11156" t="s">
        <v>18077</v>
      </c>
      <c r="E11156" t="s">
        <v>27775</v>
      </c>
      <c r="F11156" t="s">
        <v>31574</v>
      </c>
      <c r="G11156" t="s">
        <v>31582</v>
      </c>
      <c r="H11156" t="s">
        <v>31590</v>
      </c>
      <c r="I11156" t="s">
        <v>8258</v>
      </c>
      <c r="J11156" t="s">
        <v>38666</v>
      </c>
      <c r="K11156" t="s">
        <v>41184</v>
      </c>
      <c r="M11156" t="s">
        <v>41828</v>
      </c>
      <c r="N11156" t="s">
        <v>45095</v>
      </c>
      <c r="O11156" t="s">
        <v>45096</v>
      </c>
      <c r="P11156">
        <v>0</v>
      </c>
      <c r="Q11156">
        <v>4</v>
      </c>
      <c r="R11156" t="s">
        <v>45109</v>
      </c>
      <c r="S11156" t="s">
        <v>45478</v>
      </c>
      <c r="T11156" t="s">
        <v>47265</v>
      </c>
      <c r="U11156" t="s">
        <v>56643</v>
      </c>
      <c r="W11156" t="s">
        <v>41828</v>
      </c>
      <c r="X11156" t="s">
        <v>45110</v>
      </c>
    </row>
    <row r="11157" spans="1:24">
      <c r="A11157">
        <f>HYPERLINK("https://www.philgeps.gov.ph/GEPSNONPILOT/Tender/SplashBidNoticeAbstractUI.aspx?menuIndex=3&amp;refID=7025364&amp;Result=3","7025364")</f>
        <v>0</v>
      </c>
      <c r="B11157" t="s">
        <v>1819</v>
      </c>
      <c r="C11157" t="s">
        <v>13837</v>
      </c>
      <c r="D11157" t="s">
        <v>18027</v>
      </c>
      <c r="E11157" t="s">
        <v>27776</v>
      </c>
      <c r="F11157" t="s">
        <v>31574</v>
      </c>
      <c r="G11157" t="s">
        <v>31582</v>
      </c>
      <c r="H11157" t="s">
        <v>31591</v>
      </c>
      <c r="I11157" t="s">
        <v>8822</v>
      </c>
      <c r="J11157" t="s">
        <v>34070</v>
      </c>
      <c r="K11157" t="s">
        <v>41185</v>
      </c>
      <c r="L11157" t="s">
        <v>1819</v>
      </c>
      <c r="M11157" t="s">
        <v>43454</v>
      </c>
      <c r="N11157" t="s">
        <v>45095</v>
      </c>
      <c r="O11157" t="s">
        <v>45096</v>
      </c>
      <c r="P11157">
        <v>0</v>
      </c>
      <c r="Q11157">
        <v>1</v>
      </c>
      <c r="R11157" t="s">
        <v>45109</v>
      </c>
      <c r="S11157" t="s">
        <v>45478</v>
      </c>
      <c r="T11157" t="s">
        <v>47391</v>
      </c>
      <c r="U11157" t="s">
        <v>56644</v>
      </c>
      <c r="W11157" t="s">
        <v>43454</v>
      </c>
      <c r="X11157" t="s">
        <v>45110</v>
      </c>
    </row>
    <row r="11158" spans="1:24">
      <c r="A11158">
        <f>HYPERLINK("https://www.philgeps.gov.ph/GEPSNONPILOT/Tender/SplashBidNoticeAbstractUI.aspx?menuIndex=3&amp;refID=7025390&amp;Result=3","7025390")</f>
        <v>0</v>
      </c>
      <c r="B11158" t="s">
        <v>1443</v>
      </c>
      <c r="C11158" t="s">
        <v>13838</v>
      </c>
      <c r="D11158" t="s">
        <v>18074</v>
      </c>
      <c r="E11158" t="s">
        <v>27777</v>
      </c>
      <c r="F11158" t="s">
        <v>31574</v>
      </c>
      <c r="G11158" t="s">
        <v>31582</v>
      </c>
      <c r="H11158" t="s">
        <v>31591</v>
      </c>
      <c r="I11158" t="s">
        <v>8822</v>
      </c>
      <c r="J11158" t="s">
        <v>38667</v>
      </c>
      <c r="K11158" t="s">
        <v>41189</v>
      </c>
      <c r="M11158" t="s">
        <v>43523</v>
      </c>
      <c r="N11158" t="s">
        <v>45095</v>
      </c>
      <c r="O11158" t="s">
        <v>45096</v>
      </c>
      <c r="P11158">
        <v>0</v>
      </c>
      <c r="Q11158">
        <v>0</v>
      </c>
      <c r="R11158" t="s">
        <v>45109</v>
      </c>
      <c r="S11158" t="s">
        <v>45478</v>
      </c>
      <c r="T11158" t="s">
        <v>46970</v>
      </c>
      <c r="U11158" t="s">
        <v>56645</v>
      </c>
      <c r="V11158" t="s">
        <v>60477</v>
      </c>
      <c r="W11158" t="s">
        <v>43523</v>
      </c>
      <c r="X11158" t="s">
        <v>45110</v>
      </c>
    </row>
    <row r="11159" spans="1:24">
      <c r="A11159">
        <f>HYPERLINK("https://www.philgeps.gov.ph/GEPSNONPILOT/Tender/SplashBidNoticeAbstractUI.aspx?menuIndex=3&amp;refID=7025386&amp;Result=3","7025386")</f>
        <v>0</v>
      </c>
      <c r="B11159" t="s">
        <v>2791</v>
      </c>
      <c r="C11159" t="s">
        <v>13839</v>
      </c>
      <c r="D11159" t="s">
        <v>18079</v>
      </c>
      <c r="E11159" t="s">
        <v>27778</v>
      </c>
      <c r="F11159" t="s">
        <v>31574</v>
      </c>
      <c r="G11159" t="s">
        <v>31582</v>
      </c>
      <c r="H11159" t="s">
        <v>31590</v>
      </c>
      <c r="I11159" t="s">
        <v>31604</v>
      </c>
      <c r="J11159" t="s">
        <v>38668</v>
      </c>
      <c r="K11159" t="s">
        <v>41186</v>
      </c>
      <c r="M11159" t="s">
        <v>44566</v>
      </c>
      <c r="N11159" t="s">
        <v>45095</v>
      </c>
      <c r="O11159" t="s">
        <v>45096</v>
      </c>
      <c r="P11159">
        <v>0</v>
      </c>
      <c r="Q11159">
        <v>1</v>
      </c>
      <c r="R11159" t="s">
        <v>45109</v>
      </c>
      <c r="S11159" t="s">
        <v>45478</v>
      </c>
      <c r="T11159" t="s">
        <v>47183</v>
      </c>
      <c r="U11159" t="s">
        <v>56646</v>
      </c>
      <c r="W11159" t="s">
        <v>44566</v>
      </c>
      <c r="X11159" t="s">
        <v>45110</v>
      </c>
    </row>
    <row r="11160" spans="1:24">
      <c r="A11160">
        <f>HYPERLINK("https://www.philgeps.gov.ph/GEPSNONPILOT/Tender/SplashBidNoticeAbstractUI.aspx?menuIndex=3&amp;refID=7025412&amp;Result=3","7025412")</f>
        <v>0</v>
      </c>
      <c r="B11160" t="s">
        <v>1651</v>
      </c>
      <c r="C11160" t="s">
        <v>13840</v>
      </c>
      <c r="D11160" t="s">
        <v>18040</v>
      </c>
      <c r="E11160" t="s">
        <v>27779</v>
      </c>
      <c r="F11160" t="s">
        <v>31574</v>
      </c>
      <c r="G11160" t="s">
        <v>31582</v>
      </c>
      <c r="H11160" t="s">
        <v>31590</v>
      </c>
      <c r="I11160" t="s">
        <v>4046</v>
      </c>
      <c r="J11160" t="s">
        <v>38669</v>
      </c>
      <c r="K11160" t="s">
        <v>41184</v>
      </c>
      <c r="M11160" t="s">
        <v>43262</v>
      </c>
      <c r="N11160" t="s">
        <v>45095</v>
      </c>
      <c r="O11160" t="s">
        <v>45096</v>
      </c>
      <c r="P11160">
        <v>0</v>
      </c>
      <c r="Q11160">
        <v>2</v>
      </c>
      <c r="R11160" t="s">
        <v>45109</v>
      </c>
      <c r="S11160" t="s">
        <v>45478</v>
      </c>
      <c r="T11160" t="s">
        <v>46937</v>
      </c>
      <c r="U11160" t="s">
        <v>56647</v>
      </c>
      <c r="W11160" t="s">
        <v>43262</v>
      </c>
      <c r="X11160" t="s">
        <v>45110</v>
      </c>
    </row>
    <row r="11161" spans="1:24">
      <c r="A11161">
        <f>HYPERLINK("https://www.philgeps.gov.ph/GEPSNONPILOT/Tender/SplashBidNoticeAbstractUI.aspx?menuIndex=3&amp;refID=7025430&amp;Result=3","7025430")</f>
        <v>0</v>
      </c>
      <c r="B11161" t="s">
        <v>2818</v>
      </c>
      <c r="C11161" t="s">
        <v>13841</v>
      </c>
      <c r="D11161" t="s">
        <v>18036</v>
      </c>
      <c r="E11161" t="s">
        <v>26549</v>
      </c>
      <c r="F11161" t="s">
        <v>31574</v>
      </c>
      <c r="G11161" t="s">
        <v>31582</v>
      </c>
      <c r="H11161" t="s">
        <v>31591</v>
      </c>
      <c r="I11161" t="s">
        <v>8822</v>
      </c>
      <c r="J11161" t="s">
        <v>38670</v>
      </c>
      <c r="K11161" t="s">
        <v>41189</v>
      </c>
      <c r="M11161" t="s">
        <v>44594</v>
      </c>
      <c r="N11161" t="s">
        <v>45095</v>
      </c>
      <c r="O11161" t="s">
        <v>45096</v>
      </c>
      <c r="P11161">
        <v>0</v>
      </c>
      <c r="Q11161">
        <v>0</v>
      </c>
      <c r="R11161" t="s">
        <v>45109</v>
      </c>
      <c r="S11161" t="s">
        <v>45478</v>
      </c>
      <c r="T11161" t="s">
        <v>47019</v>
      </c>
      <c r="U11161" t="s">
        <v>56648</v>
      </c>
      <c r="W11161" t="s">
        <v>44594</v>
      </c>
      <c r="X11161" t="s">
        <v>45110</v>
      </c>
    </row>
    <row r="11162" spans="1:24">
      <c r="A11162">
        <f>HYPERLINK("https://www.philgeps.gov.ph/GEPSNONPILOT/Tender/SplashBidNoticeAbstractUI.aspx?menuIndex=3&amp;refID=7025434&amp;Result=3","7025434")</f>
        <v>0</v>
      </c>
      <c r="B11162" t="s">
        <v>1443</v>
      </c>
      <c r="C11162" t="s">
        <v>13842</v>
      </c>
      <c r="D11162" t="s">
        <v>18074</v>
      </c>
      <c r="E11162" t="s">
        <v>27780</v>
      </c>
      <c r="F11162" t="s">
        <v>31574</v>
      </c>
      <c r="G11162" t="s">
        <v>31582</v>
      </c>
      <c r="H11162" t="s">
        <v>31590</v>
      </c>
      <c r="I11162" t="s">
        <v>4046</v>
      </c>
      <c r="J11162" t="s">
        <v>31771</v>
      </c>
      <c r="K11162" t="s">
        <v>41191</v>
      </c>
      <c r="M11162" t="s">
        <v>43020</v>
      </c>
      <c r="N11162" t="s">
        <v>45095</v>
      </c>
      <c r="O11162" t="s">
        <v>45096</v>
      </c>
      <c r="P11162">
        <v>0</v>
      </c>
      <c r="Q11162">
        <v>1</v>
      </c>
      <c r="R11162" t="s">
        <v>45109</v>
      </c>
      <c r="S11162" t="s">
        <v>45478</v>
      </c>
      <c r="T11162" t="s">
        <v>46922</v>
      </c>
      <c r="U11162" t="s">
        <v>51052</v>
      </c>
      <c r="V11162" t="s">
        <v>61030</v>
      </c>
      <c r="W11162" t="s">
        <v>43020</v>
      </c>
      <c r="X11162" t="s">
        <v>45110</v>
      </c>
    </row>
    <row r="11163" spans="1:24">
      <c r="A11163">
        <f>HYPERLINK("https://www.philgeps.gov.ph/GEPSNONPILOT/Tender/SplashBidNoticeAbstractUI.aspx?menuIndex=3&amp;refID=7025411&amp;Result=3","7025411")</f>
        <v>0</v>
      </c>
      <c r="B11163" t="s">
        <v>134</v>
      </c>
      <c r="C11163" t="s">
        <v>13843</v>
      </c>
      <c r="D11163" t="s">
        <v>18066</v>
      </c>
      <c r="E11163" t="s">
        <v>27781</v>
      </c>
      <c r="F11163" t="s">
        <v>31574</v>
      </c>
      <c r="G11163" t="s">
        <v>31582</v>
      </c>
      <c r="H11163" t="s">
        <v>31591</v>
      </c>
      <c r="I11163" t="s">
        <v>8822</v>
      </c>
      <c r="J11163" t="s">
        <v>31935</v>
      </c>
      <c r="K11163" t="s">
        <v>41184</v>
      </c>
      <c r="M11163" t="s">
        <v>41618</v>
      </c>
      <c r="N11163" t="s">
        <v>45095</v>
      </c>
      <c r="O11163" t="s">
        <v>45096</v>
      </c>
      <c r="P11163">
        <v>0</v>
      </c>
      <c r="Q11163">
        <v>3</v>
      </c>
      <c r="R11163" t="s">
        <v>45109</v>
      </c>
      <c r="S11163" t="s">
        <v>45478</v>
      </c>
      <c r="T11163" t="s">
        <v>47010</v>
      </c>
      <c r="U11163" t="s">
        <v>56649</v>
      </c>
      <c r="V11163" t="s">
        <v>59888</v>
      </c>
      <c r="W11163" t="s">
        <v>41618</v>
      </c>
      <c r="X11163" t="s">
        <v>45110</v>
      </c>
    </row>
    <row r="11164" spans="1:24">
      <c r="A11164">
        <f>HYPERLINK("https://www.philgeps.gov.ph/GEPSNONPILOT/Tender/SplashBidNoticeAbstractUI.aspx?menuIndex=3&amp;refID=7025537&amp;Result=3","7025537")</f>
        <v>0</v>
      </c>
      <c r="B11164" t="s">
        <v>90</v>
      </c>
      <c r="C11164" t="s">
        <v>13844</v>
      </c>
      <c r="E11164" t="s">
        <v>27782</v>
      </c>
      <c r="F11164" t="s">
        <v>31574</v>
      </c>
      <c r="G11164" t="s">
        <v>31582</v>
      </c>
      <c r="H11164" t="s">
        <v>31591</v>
      </c>
      <c r="I11164" t="s">
        <v>8822</v>
      </c>
      <c r="J11164" t="s">
        <v>38671</v>
      </c>
      <c r="K11164" t="s">
        <v>41184</v>
      </c>
      <c r="M11164" t="s">
        <v>41574</v>
      </c>
      <c r="N11164" t="s">
        <v>45095</v>
      </c>
      <c r="O11164" t="s">
        <v>45096</v>
      </c>
      <c r="Q11164">
        <v>1</v>
      </c>
      <c r="R11164" t="s">
        <v>45109</v>
      </c>
      <c r="S11164" t="s">
        <v>45530</v>
      </c>
      <c r="T11164" t="s">
        <v>46922</v>
      </c>
      <c r="U11164" t="s">
        <v>56650</v>
      </c>
      <c r="W11164" t="s">
        <v>41574</v>
      </c>
      <c r="X11164" t="s">
        <v>45110</v>
      </c>
    </row>
    <row r="11165" spans="1:24">
      <c r="A11165">
        <f>HYPERLINK("https://www.philgeps.gov.ph/GEPSNONPILOT/Tender/SplashBidNoticeAbstractUI.aspx?menuIndex=3&amp;refID=7025440&amp;Result=3","7025440")</f>
        <v>0</v>
      </c>
      <c r="B11165" t="s">
        <v>1651</v>
      </c>
      <c r="C11165" t="s">
        <v>13845</v>
      </c>
      <c r="D11165" t="s">
        <v>18040</v>
      </c>
      <c r="E11165" t="s">
        <v>27783</v>
      </c>
      <c r="F11165" t="s">
        <v>31574</v>
      </c>
      <c r="G11165" t="s">
        <v>31582</v>
      </c>
      <c r="H11165" t="s">
        <v>31590</v>
      </c>
      <c r="I11165" t="s">
        <v>4046</v>
      </c>
      <c r="J11165" t="s">
        <v>38672</v>
      </c>
      <c r="K11165" t="s">
        <v>41184</v>
      </c>
      <c r="M11165" t="s">
        <v>43262</v>
      </c>
      <c r="N11165" t="s">
        <v>45095</v>
      </c>
      <c r="O11165" t="s">
        <v>45096</v>
      </c>
      <c r="P11165">
        <v>0</v>
      </c>
      <c r="Q11165">
        <v>2</v>
      </c>
      <c r="R11165" t="s">
        <v>45109</v>
      </c>
      <c r="S11165" t="s">
        <v>45478</v>
      </c>
      <c r="T11165" t="s">
        <v>46937</v>
      </c>
      <c r="U11165" t="s">
        <v>56651</v>
      </c>
      <c r="W11165" t="s">
        <v>43262</v>
      </c>
      <c r="X11165" t="s">
        <v>45110</v>
      </c>
    </row>
    <row r="11166" spans="1:24">
      <c r="A11166">
        <f>HYPERLINK("https://www.philgeps.gov.ph/GEPSNONPILOT/Tender/SplashBidNoticeAbstractUI.aspx?menuIndex=3&amp;refID=7025435&amp;Result=3","7025435")</f>
        <v>0</v>
      </c>
      <c r="B11166" t="s">
        <v>1443</v>
      </c>
      <c r="C11166" t="s">
        <v>13846</v>
      </c>
      <c r="D11166" t="s">
        <v>18074</v>
      </c>
      <c r="E11166" t="s">
        <v>27784</v>
      </c>
      <c r="F11166" t="s">
        <v>31574</v>
      </c>
      <c r="G11166" t="s">
        <v>31582</v>
      </c>
      <c r="H11166" t="s">
        <v>31591</v>
      </c>
      <c r="I11166" t="s">
        <v>8822</v>
      </c>
      <c r="J11166" t="s">
        <v>38673</v>
      </c>
      <c r="K11166" t="s">
        <v>41200</v>
      </c>
      <c r="M11166" t="s">
        <v>43523</v>
      </c>
      <c r="N11166" t="s">
        <v>45095</v>
      </c>
      <c r="O11166" t="s">
        <v>45096</v>
      </c>
      <c r="P11166">
        <v>0</v>
      </c>
      <c r="Q11166">
        <v>0</v>
      </c>
      <c r="R11166" t="s">
        <v>45109</v>
      </c>
      <c r="S11166" t="s">
        <v>45478</v>
      </c>
      <c r="T11166" t="s">
        <v>46970</v>
      </c>
      <c r="U11166" t="s">
        <v>56652</v>
      </c>
      <c r="V11166" t="s">
        <v>60477</v>
      </c>
      <c r="W11166" t="s">
        <v>43523</v>
      </c>
      <c r="X11166" t="s">
        <v>45110</v>
      </c>
    </row>
    <row r="11167" spans="1:24">
      <c r="A11167">
        <f>HYPERLINK("https://www.philgeps.gov.ph/GEPSNONPILOT/Tender/SplashBidNoticeAbstractUI.aspx?menuIndex=3&amp;refID=7025494&amp;Result=3","7025494")</f>
        <v>0</v>
      </c>
      <c r="B11167" t="s">
        <v>2488</v>
      </c>
      <c r="C11167" t="s">
        <v>13847</v>
      </c>
      <c r="D11167" t="s">
        <v>18045</v>
      </c>
      <c r="E11167" t="s">
        <v>24644</v>
      </c>
      <c r="F11167" t="s">
        <v>31574</v>
      </c>
      <c r="G11167" t="s">
        <v>31582</v>
      </c>
      <c r="H11167" t="s">
        <v>31591</v>
      </c>
      <c r="I11167" t="s">
        <v>31632</v>
      </c>
      <c r="J11167" t="s">
        <v>36170</v>
      </c>
      <c r="K11167" t="s">
        <v>41186</v>
      </c>
      <c r="M11167" t="s">
        <v>44219</v>
      </c>
      <c r="N11167" t="s">
        <v>45095</v>
      </c>
      <c r="O11167" t="s">
        <v>45096</v>
      </c>
      <c r="P11167">
        <v>0</v>
      </c>
      <c r="Q11167">
        <v>2</v>
      </c>
      <c r="R11167" t="s">
        <v>45109</v>
      </c>
      <c r="S11167" t="s">
        <v>45478</v>
      </c>
      <c r="T11167" t="s">
        <v>46930</v>
      </c>
      <c r="U11167" t="s">
        <v>54867</v>
      </c>
      <c r="V11167" t="s">
        <v>61031</v>
      </c>
      <c r="W11167" t="s">
        <v>44219</v>
      </c>
      <c r="X11167" t="s">
        <v>45110</v>
      </c>
    </row>
    <row r="11168" spans="1:24">
      <c r="A11168">
        <f>HYPERLINK("https://www.philgeps.gov.ph/GEPSNONPILOT/Tender/SplashBidNoticeAbstractUI.aspx?menuIndex=3&amp;refID=7025527&amp;Result=3","7025527")</f>
        <v>0</v>
      </c>
      <c r="B11168" t="s">
        <v>90</v>
      </c>
      <c r="C11168" t="s">
        <v>13848</v>
      </c>
      <c r="E11168" t="s">
        <v>27785</v>
      </c>
      <c r="F11168" t="s">
        <v>31574</v>
      </c>
      <c r="G11168" t="s">
        <v>31582</v>
      </c>
      <c r="H11168" t="s">
        <v>31591</v>
      </c>
      <c r="I11168" t="s">
        <v>8822</v>
      </c>
      <c r="J11168" t="s">
        <v>38674</v>
      </c>
      <c r="K11168" t="s">
        <v>41184</v>
      </c>
      <c r="M11168" t="s">
        <v>41574</v>
      </c>
      <c r="N11168" t="s">
        <v>45095</v>
      </c>
      <c r="O11168" t="s">
        <v>45096</v>
      </c>
      <c r="Q11168">
        <v>1</v>
      </c>
      <c r="R11168" t="s">
        <v>45109</v>
      </c>
      <c r="S11168" t="s">
        <v>45531</v>
      </c>
      <c r="T11168" t="s">
        <v>46930</v>
      </c>
      <c r="U11168" t="s">
        <v>56653</v>
      </c>
      <c r="W11168" t="s">
        <v>41574</v>
      </c>
      <c r="X11168" t="s">
        <v>45110</v>
      </c>
    </row>
    <row r="11169" spans="1:24">
      <c r="A11169">
        <f>HYPERLINK("https://www.philgeps.gov.ph/GEPSNONPILOT/Tender/SplashBidNoticeAbstractUI.aspx?menuIndex=3&amp;refID=7025525&amp;Result=3","7025525")</f>
        <v>0</v>
      </c>
      <c r="B11169" t="s">
        <v>1549</v>
      </c>
      <c r="C11169" t="s">
        <v>13849</v>
      </c>
      <c r="D11169" t="s">
        <v>18036</v>
      </c>
      <c r="E11169" t="s">
        <v>19061</v>
      </c>
      <c r="F11169" t="s">
        <v>31574</v>
      </c>
      <c r="G11169" t="s">
        <v>31582</v>
      </c>
      <c r="H11169" t="s">
        <v>31590</v>
      </c>
      <c r="I11169" t="s">
        <v>4046</v>
      </c>
      <c r="J11169" t="s">
        <v>38675</v>
      </c>
      <c r="K11169" t="s">
        <v>41191</v>
      </c>
      <c r="M11169" t="s">
        <v>43147</v>
      </c>
      <c r="N11169" t="s">
        <v>45095</v>
      </c>
      <c r="O11169" t="s">
        <v>45096</v>
      </c>
      <c r="P11169">
        <v>0</v>
      </c>
      <c r="Q11169">
        <v>0</v>
      </c>
      <c r="R11169" t="s">
        <v>45109</v>
      </c>
      <c r="S11169" t="s">
        <v>45478</v>
      </c>
      <c r="T11169" t="s">
        <v>46966</v>
      </c>
      <c r="U11169" t="s">
        <v>56654</v>
      </c>
      <c r="W11169" t="s">
        <v>43147</v>
      </c>
      <c r="X11169" t="s">
        <v>45110</v>
      </c>
    </row>
    <row r="11170" spans="1:24">
      <c r="A11170">
        <f>HYPERLINK("https://www.philgeps.gov.ph/GEPSNONPILOT/Tender/SplashBidNoticeAbstractUI.aspx?menuIndex=3&amp;refID=7025491&amp;Result=3","7025491")</f>
        <v>0</v>
      </c>
      <c r="B11170" t="s">
        <v>991</v>
      </c>
      <c r="C11170" t="s">
        <v>13850</v>
      </c>
      <c r="D11170" t="s">
        <v>18044</v>
      </c>
      <c r="E11170" t="s">
        <v>27786</v>
      </c>
      <c r="F11170" t="s">
        <v>31574</v>
      </c>
      <c r="G11170" t="s">
        <v>31582</v>
      </c>
      <c r="H11170" t="s">
        <v>31590</v>
      </c>
      <c r="I11170" t="s">
        <v>4327</v>
      </c>
      <c r="J11170" t="s">
        <v>38676</v>
      </c>
      <c r="K11170" t="s">
        <v>41193</v>
      </c>
      <c r="M11170" t="s">
        <v>42526</v>
      </c>
      <c r="N11170" t="s">
        <v>45095</v>
      </c>
      <c r="O11170" t="s">
        <v>45096</v>
      </c>
      <c r="P11170">
        <v>0</v>
      </c>
      <c r="Q11170">
        <v>0</v>
      </c>
      <c r="R11170" t="s">
        <v>45109</v>
      </c>
      <c r="S11170" t="s">
        <v>45478</v>
      </c>
      <c r="T11170" t="s">
        <v>47177</v>
      </c>
      <c r="U11170" t="s">
        <v>55438</v>
      </c>
      <c r="W11170" t="s">
        <v>42526</v>
      </c>
      <c r="X11170" t="s">
        <v>45110</v>
      </c>
    </row>
    <row r="11171" spans="1:24">
      <c r="A11171">
        <f>HYPERLINK("https://www.philgeps.gov.ph/GEPSNONPILOT/Tender/SplashBidNoticeAbstractUI.aspx?menuIndex=3&amp;refID=7025524&amp;Result=3","7025524")</f>
        <v>0</v>
      </c>
      <c r="B11171" t="s">
        <v>95</v>
      </c>
      <c r="C11171" t="s">
        <v>13851</v>
      </c>
      <c r="D11171" t="s">
        <v>18062</v>
      </c>
      <c r="E11171" t="s">
        <v>27787</v>
      </c>
      <c r="F11171" t="s">
        <v>31574</v>
      </c>
      <c r="G11171" t="s">
        <v>31582</v>
      </c>
      <c r="H11171" t="s">
        <v>31590</v>
      </c>
      <c r="I11171" t="s">
        <v>31714</v>
      </c>
      <c r="J11171" t="s">
        <v>38677</v>
      </c>
      <c r="K11171" t="s">
        <v>41186</v>
      </c>
      <c r="M11171" t="s">
        <v>41937</v>
      </c>
      <c r="N11171" t="s">
        <v>45095</v>
      </c>
      <c r="O11171" t="s">
        <v>45096</v>
      </c>
      <c r="P11171">
        <v>0</v>
      </c>
      <c r="Q11171">
        <v>2</v>
      </c>
      <c r="R11171" t="s">
        <v>45109</v>
      </c>
      <c r="S11171" t="s">
        <v>45478</v>
      </c>
      <c r="T11171" t="s">
        <v>47000</v>
      </c>
      <c r="U11171" t="s">
        <v>56655</v>
      </c>
      <c r="W11171" t="s">
        <v>41937</v>
      </c>
      <c r="X11171" t="s">
        <v>45110</v>
      </c>
    </row>
    <row r="11172" spans="1:24">
      <c r="A11172">
        <f>HYPERLINK("https://www.philgeps.gov.ph/GEPSNONPILOT/Tender/SplashBidNoticeAbstractUI.aspx?menuIndex=3&amp;refID=7025505&amp;Result=3","7025505")</f>
        <v>0</v>
      </c>
      <c r="B11172" t="s">
        <v>1443</v>
      </c>
      <c r="C11172" t="s">
        <v>13852</v>
      </c>
      <c r="D11172" t="s">
        <v>18074</v>
      </c>
      <c r="E11172" t="s">
        <v>27788</v>
      </c>
      <c r="F11172" t="s">
        <v>31574</v>
      </c>
      <c r="G11172" t="s">
        <v>31582</v>
      </c>
      <c r="H11172" t="s">
        <v>31591</v>
      </c>
      <c r="I11172" t="s">
        <v>8822</v>
      </c>
      <c r="J11172" t="s">
        <v>38678</v>
      </c>
      <c r="K11172" t="s">
        <v>41256</v>
      </c>
      <c r="M11172" t="s">
        <v>43523</v>
      </c>
      <c r="N11172" t="s">
        <v>45095</v>
      </c>
      <c r="O11172" t="s">
        <v>45096</v>
      </c>
      <c r="P11172">
        <v>0</v>
      </c>
      <c r="Q11172">
        <v>0</v>
      </c>
      <c r="R11172" t="s">
        <v>45109</v>
      </c>
      <c r="S11172" t="s">
        <v>45478</v>
      </c>
      <c r="T11172" t="s">
        <v>46970</v>
      </c>
      <c r="U11172" t="s">
        <v>56656</v>
      </c>
      <c r="V11172" t="s">
        <v>60477</v>
      </c>
      <c r="W11172" t="s">
        <v>43523</v>
      </c>
      <c r="X11172" t="s">
        <v>45110</v>
      </c>
    </row>
    <row r="11173" spans="1:24">
      <c r="A11173">
        <f>HYPERLINK("https://www.philgeps.gov.ph/GEPSNONPILOT/Tender/SplashBidNoticeAbstractUI.aspx?menuIndex=3&amp;refID=7025509&amp;Result=3","7025509")</f>
        <v>0</v>
      </c>
      <c r="B11173" t="s">
        <v>1651</v>
      </c>
      <c r="C11173" t="s">
        <v>13853</v>
      </c>
      <c r="D11173" t="s">
        <v>18040</v>
      </c>
      <c r="E11173" t="s">
        <v>27789</v>
      </c>
      <c r="F11173" t="s">
        <v>31574</v>
      </c>
      <c r="G11173" t="s">
        <v>31582</v>
      </c>
      <c r="H11173" t="s">
        <v>31590</v>
      </c>
      <c r="I11173" t="s">
        <v>4046</v>
      </c>
      <c r="J11173" t="s">
        <v>38679</v>
      </c>
      <c r="K11173" t="s">
        <v>41184</v>
      </c>
      <c r="M11173" t="s">
        <v>43262</v>
      </c>
      <c r="N11173" t="s">
        <v>45095</v>
      </c>
      <c r="O11173" t="s">
        <v>45096</v>
      </c>
      <c r="P11173">
        <v>0</v>
      </c>
      <c r="Q11173">
        <v>2</v>
      </c>
      <c r="R11173" t="s">
        <v>45109</v>
      </c>
      <c r="S11173" t="s">
        <v>45478</v>
      </c>
      <c r="T11173" t="s">
        <v>46937</v>
      </c>
      <c r="U11173" t="s">
        <v>56657</v>
      </c>
      <c r="W11173" t="s">
        <v>43262</v>
      </c>
      <c r="X11173" t="s">
        <v>45110</v>
      </c>
    </row>
    <row r="11174" spans="1:24">
      <c r="A11174">
        <f>HYPERLINK("https://www.philgeps.gov.ph/GEPSNONPILOT/Tender/SplashBidNoticeAbstractUI.aspx?menuIndex=3&amp;refID=7025495&amp;Result=3","7025495")</f>
        <v>0</v>
      </c>
      <c r="B11174" t="s">
        <v>2818</v>
      </c>
      <c r="C11174" t="s">
        <v>13854</v>
      </c>
      <c r="D11174" t="s">
        <v>18036</v>
      </c>
      <c r="E11174" t="s">
        <v>26653</v>
      </c>
      <c r="F11174" t="s">
        <v>31574</v>
      </c>
      <c r="G11174" t="s">
        <v>31582</v>
      </c>
      <c r="H11174" t="s">
        <v>31591</v>
      </c>
      <c r="I11174" t="s">
        <v>8822</v>
      </c>
      <c r="J11174" t="s">
        <v>38680</v>
      </c>
      <c r="K11174" t="s">
        <v>41385</v>
      </c>
      <c r="M11174" t="s">
        <v>44594</v>
      </c>
      <c r="N11174" t="s">
        <v>45095</v>
      </c>
      <c r="O11174" t="s">
        <v>45096</v>
      </c>
      <c r="P11174">
        <v>0</v>
      </c>
      <c r="Q11174">
        <v>0</v>
      </c>
      <c r="R11174" t="s">
        <v>45109</v>
      </c>
      <c r="S11174" t="s">
        <v>45478</v>
      </c>
      <c r="T11174" t="s">
        <v>47019</v>
      </c>
      <c r="U11174" t="s">
        <v>56658</v>
      </c>
      <c r="W11174" t="s">
        <v>44594</v>
      </c>
      <c r="X11174" t="s">
        <v>45110</v>
      </c>
    </row>
    <row r="11175" spans="1:24">
      <c r="A11175">
        <f>HYPERLINK("https://www.philgeps.gov.ph/GEPSNONPILOT/Tender/SplashBidNoticeAbstractUI.aspx?menuIndex=3&amp;refID=7025501&amp;Result=3","7025501")</f>
        <v>0</v>
      </c>
      <c r="B11175" t="s">
        <v>2819</v>
      </c>
      <c r="C11175" t="s">
        <v>13855</v>
      </c>
      <c r="D11175" t="s">
        <v>18093</v>
      </c>
      <c r="E11175" t="s">
        <v>18724</v>
      </c>
      <c r="F11175" t="s">
        <v>31574</v>
      </c>
      <c r="G11175" t="s">
        <v>31582</v>
      </c>
      <c r="H11175" t="s">
        <v>31591</v>
      </c>
      <c r="I11175" t="s">
        <v>4046</v>
      </c>
      <c r="J11175" t="s">
        <v>38681</v>
      </c>
      <c r="K11175" t="s">
        <v>41244</v>
      </c>
      <c r="M11175" t="s">
        <v>44595</v>
      </c>
      <c r="N11175" t="s">
        <v>45095</v>
      </c>
      <c r="O11175" t="s">
        <v>45096</v>
      </c>
      <c r="P11175">
        <v>0</v>
      </c>
      <c r="Q11175">
        <v>1</v>
      </c>
      <c r="R11175" t="s">
        <v>45109</v>
      </c>
      <c r="S11175" t="s">
        <v>45478</v>
      </c>
      <c r="T11175" t="s">
        <v>47392</v>
      </c>
      <c r="U11175" t="s">
        <v>56659</v>
      </c>
      <c r="W11175" t="s">
        <v>44595</v>
      </c>
      <c r="X11175" t="s">
        <v>45110</v>
      </c>
    </row>
    <row r="11176" spans="1:24">
      <c r="A11176">
        <f>HYPERLINK("https://www.philgeps.gov.ph/GEPSNONPILOT/Tender/SplashBidNoticeAbstractUI.aspx?menuIndex=3&amp;refID=7025540&amp;Result=3","7025540")</f>
        <v>0</v>
      </c>
      <c r="B11176" t="s">
        <v>1443</v>
      </c>
      <c r="C11176" t="s">
        <v>13856</v>
      </c>
      <c r="D11176" t="s">
        <v>18074</v>
      </c>
      <c r="E11176" t="s">
        <v>27790</v>
      </c>
      <c r="F11176" t="s">
        <v>31574</v>
      </c>
      <c r="G11176" t="s">
        <v>31582</v>
      </c>
      <c r="H11176" t="s">
        <v>31591</v>
      </c>
      <c r="I11176" t="s">
        <v>8822</v>
      </c>
      <c r="J11176" t="s">
        <v>38682</v>
      </c>
      <c r="K11176" t="s">
        <v>41248</v>
      </c>
      <c r="M11176" t="s">
        <v>43523</v>
      </c>
      <c r="N11176" t="s">
        <v>45095</v>
      </c>
      <c r="O11176" t="s">
        <v>45096</v>
      </c>
      <c r="P11176">
        <v>0</v>
      </c>
      <c r="Q11176">
        <v>0</v>
      </c>
      <c r="R11176" t="s">
        <v>45109</v>
      </c>
      <c r="S11176" t="s">
        <v>45478</v>
      </c>
      <c r="T11176" t="s">
        <v>46970</v>
      </c>
      <c r="U11176" t="s">
        <v>56660</v>
      </c>
      <c r="V11176" t="s">
        <v>60477</v>
      </c>
      <c r="W11176" t="s">
        <v>43523</v>
      </c>
      <c r="X11176" t="s">
        <v>45110</v>
      </c>
    </row>
    <row r="11177" spans="1:24">
      <c r="A11177">
        <f>HYPERLINK("https://www.philgeps.gov.ph/GEPSNONPILOT/Tender/SplashBidNoticeAbstractUI.aspx?menuIndex=3&amp;refID=7025504&amp;Result=3","7025504")</f>
        <v>0</v>
      </c>
      <c r="B11177" t="s">
        <v>1784</v>
      </c>
      <c r="C11177" t="s">
        <v>13857</v>
      </c>
      <c r="D11177" t="s">
        <v>18090</v>
      </c>
      <c r="E11177" t="s">
        <v>27791</v>
      </c>
      <c r="F11177" t="s">
        <v>31574</v>
      </c>
      <c r="G11177" t="s">
        <v>31582</v>
      </c>
      <c r="H11177" t="s">
        <v>31592</v>
      </c>
      <c r="I11177" t="s">
        <v>31596</v>
      </c>
      <c r="J11177" t="s">
        <v>35608</v>
      </c>
      <c r="K11177" t="s">
        <v>41187</v>
      </c>
      <c r="M11177" t="s">
        <v>43414</v>
      </c>
      <c r="N11177" t="s">
        <v>45095</v>
      </c>
      <c r="O11177" t="s">
        <v>45096</v>
      </c>
      <c r="P11177">
        <v>0</v>
      </c>
      <c r="Q11177">
        <v>2</v>
      </c>
      <c r="R11177" t="s">
        <v>45109</v>
      </c>
      <c r="S11177" t="s">
        <v>45478</v>
      </c>
      <c r="T11177" t="s">
        <v>46977</v>
      </c>
      <c r="U11177" t="s">
        <v>56661</v>
      </c>
      <c r="W11177" t="s">
        <v>43414</v>
      </c>
      <c r="X11177" t="s">
        <v>45110</v>
      </c>
    </row>
    <row r="11178" spans="1:24">
      <c r="A11178">
        <f>HYPERLINK("https://www.philgeps.gov.ph/GEPSNONPILOT/Tender/SplashBidNoticeAbstractUI.aspx?menuIndex=3&amp;refID=7025547&amp;Result=3","7025547")</f>
        <v>0</v>
      </c>
      <c r="B11178" t="s">
        <v>2093</v>
      </c>
      <c r="C11178" t="s">
        <v>13858</v>
      </c>
      <c r="D11178" t="s">
        <v>18053</v>
      </c>
      <c r="E11178" t="s">
        <v>27792</v>
      </c>
      <c r="F11178" t="s">
        <v>31574</v>
      </c>
      <c r="G11178" t="s">
        <v>31582</v>
      </c>
      <c r="H11178" t="s">
        <v>31590</v>
      </c>
      <c r="I11178" t="s">
        <v>31642</v>
      </c>
      <c r="J11178" t="s">
        <v>38683</v>
      </c>
      <c r="K11178" t="s">
        <v>41186</v>
      </c>
      <c r="M11178" t="s">
        <v>43770</v>
      </c>
      <c r="N11178" t="s">
        <v>45095</v>
      </c>
      <c r="O11178" t="s">
        <v>45096</v>
      </c>
      <c r="P11178">
        <v>0</v>
      </c>
      <c r="Q11178">
        <v>3</v>
      </c>
      <c r="R11178" t="s">
        <v>45109</v>
      </c>
      <c r="S11178" t="s">
        <v>45478</v>
      </c>
      <c r="T11178" t="s">
        <v>47156</v>
      </c>
      <c r="U11178" t="s">
        <v>56662</v>
      </c>
      <c r="V11178" t="s">
        <v>61032</v>
      </c>
      <c r="W11178" t="s">
        <v>43770</v>
      </c>
      <c r="X11178" t="s">
        <v>45110</v>
      </c>
    </row>
    <row r="11179" spans="1:24">
      <c r="A11179">
        <f>HYPERLINK("https://www.philgeps.gov.ph/GEPSNONPILOT/Tender/SplashBidNoticeAbstractUI.aspx?menuIndex=3&amp;refID=7025522&amp;Result=3","7025522")</f>
        <v>0</v>
      </c>
      <c r="B11179" t="s">
        <v>1443</v>
      </c>
      <c r="C11179" t="s">
        <v>13859</v>
      </c>
      <c r="D11179" t="s">
        <v>18074</v>
      </c>
      <c r="E11179" t="s">
        <v>27793</v>
      </c>
      <c r="F11179" t="s">
        <v>31574</v>
      </c>
      <c r="G11179" t="s">
        <v>31582</v>
      </c>
      <c r="H11179" t="s">
        <v>31591</v>
      </c>
      <c r="I11179" t="s">
        <v>8822</v>
      </c>
      <c r="J11179" t="s">
        <v>38684</v>
      </c>
      <c r="K11179" t="s">
        <v>41189</v>
      </c>
      <c r="M11179" t="s">
        <v>43523</v>
      </c>
      <c r="N11179" t="s">
        <v>45095</v>
      </c>
      <c r="O11179" t="s">
        <v>45096</v>
      </c>
      <c r="P11179">
        <v>0</v>
      </c>
      <c r="Q11179">
        <v>0</v>
      </c>
      <c r="R11179" t="s">
        <v>45109</v>
      </c>
      <c r="S11179" t="s">
        <v>45478</v>
      </c>
      <c r="T11179" t="s">
        <v>46970</v>
      </c>
      <c r="U11179" t="s">
        <v>56663</v>
      </c>
      <c r="V11179" t="s">
        <v>60477</v>
      </c>
      <c r="W11179" t="s">
        <v>43523</v>
      </c>
      <c r="X11179" t="s">
        <v>45110</v>
      </c>
    </row>
    <row r="11180" spans="1:24">
      <c r="A11180">
        <f>HYPERLINK("https://www.philgeps.gov.ph/GEPSNONPILOT/Tender/SplashBidNoticeAbstractUI.aspx?menuIndex=3&amp;refID=7025601&amp;Result=3","7025601")</f>
        <v>0</v>
      </c>
      <c r="B11180" t="s">
        <v>1853</v>
      </c>
      <c r="C11180" t="s">
        <v>13860</v>
      </c>
      <c r="D11180" t="s">
        <v>18056</v>
      </c>
      <c r="E11180" t="s">
        <v>27794</v>
      </c>
      <c r="F11180" t="s">
        <v>31574</v>
      </c>
      <c r="G11180" t="s">
        <v>31582</v>
      </c>
      <c r="H11180" t="s">
        <v>31591</v>
      </c>
      <c r="I11180" t="s">
        <v>8822</v>
      </c>
      <c r="J11180" t="s">
        <v>38685</v>
      </c>
      <c r="K11180" t="s">
        <v>41224</v>
      </c>
      <c r="M11180" t="s">
        <v>43491</v>
      </c>
      <c r="N11180" t="s">
        <v>45095</v>
      </c>
      <c r="O11180" t="s">
        <v>45096</v>
      </c>
      <c r="P11180">
        <v>0</v>
      </c>
      <c r="Q11180">
        <v>5</v>
      </c>
      <c r="R11180" t="s">
        <v>45109</v>
      </c>
      <c r="S11180" t="s">
        <v>45478</v>
      </c>
      <c r="T11180" t="s">
        <v>46914</v>
      </c>
      <c r="U11180" t="s">
        <v>56664</v>
      </c>
      <c r="V11180" t="s">
        <v>61033</v>
      </c>
      <c r="W11180" t="s">
        <v>43491</v>
      </c>
      <c r="X11180" t="s">
        <v>45110</v>
      </c>
    </row>
    <row r="11181" spans="1:24">
      <c r="A11181">
        <f>HYPERLINK("https://www.philgeps.gov.ph/GEPSNONPILOT/Tender/SplashBidNoticeAbstractUI.aspx?menuIndex=3&amp;refID=7025541&amp;Result=3","7025541")</f>
        <v>0</v>
      </c>
      <c r="B11181" t="s">
        <v>1942</v>
      </c>
      <c r="C11181" t="s">
        <v>13861</v>
      </c>
      <c r="D11181" t="s">
        <v>18041</v>
      </c>
      <c r="E11181" t="s">
        <v>27795</v>
      </c>
      <c r="F11181" t="s">
        <v>31574</v>
      </c>
      <c r="G11181" t="s">
        <v>31582</v>
      </c>
      <c r="H11181" t="s">
        <v>31591</v>
      </c>
      <c r="I11181" t="s">
        <v>8822</v>
      </c>
      <c r="J11181" t="s">
        <v>38686</v>
      </c>
      <c r="K11181" t="s">
        <v>41294</v>
      </c>
      <c r="M11181" t="s">
        <v>43597</v>
      </c>
      <c r="N11181" t="s">
        <v>45095</v>
      </c>
      <c r="O11181" t="s">
        <v>45096</v>
      </c>
      <c r="P11181">
        <v>0</v>
      </c>
      <c r="Q11181">
        <v>8</v>
      </c>
      <c r="R11181" t="s">
        <v>45109</v>
      </c>
      <c r="S11181" t="s">
        <v>45478</v>
      </c>
      <c r="T11181" t="s">
        <v>47000</v>
      </c>
      <c r="U11181" t="s">
        <v>56665</v>
      </c>
      <c r="W11181" t="s">
        <v>43597</v>
      </c>
      <c r="X11181" t="s">
        <v>45110</v>
      </c>
    </row>
    <row r="11182" spans="1:24">
      <c r="A11182">
        <f>HYPERLINK("https://www.philgeps.gov.ph/GEPSNONPILOT/Tender/SplashBidNoticeAbstractUI.aspx?menuIndex=3&amp;refID=7025600&amp;Result=3","7025600")</f>
        <v>0</v>
      </c>
      <c r="B11182" t="s">
        <v>2627</v>
      </c>
      <c r="C11182" t="s">
        <v>13862</v>
      </c>
      <c r="D11182" t="s">
        <v>18052</v>
      </c>
      <c r="E11182" t="s">
        <v>27796</v>
      </c>
      <c r="F11182" t="s">
        <v>31574</v>
      </c>
      <c r="G11182" t="s">
        <v>31582</v>
      </c>
      <c r="H11182" t="s">
        <v>31590</v>
      </c>
      <c r="I11182" t="s">
        <v>31615</v>
      </c>
      <c r="J11182" t="s">
        <v>32419</v>
      </c>
      <c r="K11182" t="s">
        <v>41192</v>
      </c>
      <c r="M11182" t="s">
        <v>44596</v>
      </c>
      <c r="N11182" t="s">
        <v>45095</v>
      </c>
      <c r="O11182" t="s">
        <v>45096</v>
      </c>
      <c r="P11182">
        <v>0</v>
      </c>
      <c r="Q11182">
        <v>8</v>
      </c>
      <c r="R11182" t="s">
        <v>45109</v>
      </c>
      <c r="S11182" t="s">
        <v>45478</v>
      </c>
      <c r="T11182" t="s">
        <v>47336</v>
      </c>
      <c r="U11182" t="s">
        <v>56666</v>
      </c>
      <c r="W11182" t="s">
        <v>44596</v>
      </c>
      <c r="X11182" t="s">
        <v>45110</v>
      </c>
    </row>
    <row r="11183" spans="1:24">
      <c r="A11183">
        <f>HYPERLINK("https://www.philgeps.gov.ph/GEPSNONPILOT/Tender/SplashBidNoticeAbstractUI.aspx?menuIndex=3&amp;refID=7025490&amp;Result=3","7025490")</f>
        <v>0</v>
      </c>
      <c r="B11183" t="s">
        <v>1443</v>
      </c>
      <c r="C11183" t="s">
        <v>13863</v>
      </c>
      <c r="D11183" t="s">
        <v>18074</v>
      </c>
      <c r="E11183" t="s">
        <v>27797</v>
      </c>
      <c r="F11183" t="s">
        <v>31574</v>
      </c>
      <c r="G11183" t="s">
        <v>31582</v>
      </c>
      <c r="H11183" t="s">
        <v>31591</v>
      </c>
      <c r="I11183" t="s">
        <v>8822</v>
      </c>
      <c r="J11183" t="s">
        <v>38687</v>
      </c>
      <c r="K11183" t="s">
        <v>41189</v>
      </c>
      <c r="M11183" t="s">
        <v>43523</v>
      </c>
      <c r="N11183" t="s">
        <v>45095</v>
      </c>
      <c r="O11183" t="s">
        <v>45096</v>
      </c>
      <c r="P11183">
        <v>0</v>
      </c>
      <c r="Q11183">
        <v>0</v>
      </c>
      <c r="R11183" t="s">
        <v>45109</v>
      </c>
      <c r="S11183" t="s">
        <v>45478</v>
      </c>
      <c r="T11183" t="s">
        <v>46970</v>
      </c>
      <c r="U11183" t="s">
        <v>56667</v>
      </c>
      <c r="V11183" t="s">
        <v>60477</v>
      </c>
      <c r="W11183" t="s">
        <v>43523</v>
      </c>
      <c r="X11183" t="s">
        <v>45110</v>
      </c>
    </row>
    <row r="11184" spans="1:24">
      <c r="A11184">
        <f>HYPERLINK("https://www.philgeps.gov.ph/GEPSNONPILOT/Tender/SplashBidNoticeAbstractUI.aspx?menuIndex=3&amp;refID=7025592&amp;Result=3","7025592")</f>
        <v>0</v>
      </c>
      <c r="B11184" t="s">
        <v>1443</v>
      </c>
      <c r="C11184" t="s">
        <v>13864</v>
      </c>
      <c r="D11184" t="s">
        <v>18074</v>
      </c>
      <c r="E11184" t="s">
        <v>27798</v>
      </c>
      <c r="F11184" t="s">
        <v>31574</v>
      </c>
      <c r="G11184" t="s">
        <v>31582</v>
      </c>
      <c r="H11184" t="s">
        <v>31590</v>
      </c>
      <c r="I11184" t="s">
        <v>4046</v>
      </c>
      <c r="J11184" t="s">
        <v>38688</v>
      </c>
      <c r="K11184" t="s">
        <v>41191</v>
      </c>
      <c r="M11184" t="s">
        <v>43020</v>
      </c>
      <c r="N11184" t="s">
        <v>45095</v>
      </c>
      <c r="O11184" t="s">
        <v>45096</v>
      </c>
      <c r="P11184">
        <v>0</v>
      </c>
      <c r="Q11184">
        <v>3</v>
      </c>
      <c r="R11184" t="s">
        <v>45109</v>
      </c>
      <c r="S11184" t="s">
        <v>45478</v>
      </c>
      <c r="T11184" t="s">
        <v>46922</v>
      </c>
      <c r="U11184" t="s">
        <v>51052</v>
      </c>
      <c r="V11184" t="s">
        <v>61034</v>
      </c>
      <c r="W11184" t="s">
        <v>43020</v>
      </c>
      <c r="X11184" t="s">
        <v>45110</v>
      </c>
    </row>
    <row r="11185" spans="1:24">
      <c r="A11185">
        <f>HYPERLINK("https://www.philgeps.gov.ph/GEPSNONPILOT/Tender/SplashBidNoticeAbstractUI.aspx?menuIndex=3&amp;refID=7025581&amp;Result=3","7025581")</f>
        <v>0</v>
      </c>
      <c r="B11185" t="s">
        <v>1443</v>
      </c>
      <c r="C11185" t="s">
        <v>13865</v>
      </c>
      <c r="D11185" t="s">
        <v>18074</v>
      </c>
      <c r="E11185" t="s">
        <v>27799</v>
      </c>
      <c r="F11185" t="s">
        <v>31574</v>
      </c>
      <c r="G11185" t="s">
        <v>31582</v>
      </c>
      <c r="H11185" t="s">
        <v>31591</v>
      </c>
      <c r="I11185" t="s">
        <v>8822</v>
      </c>
      <c r="J11185" t="s">
        <v>38689</v>
      </c>
      <c r="K11185" t="s">
        <v>41428</v>
      </c>
      <c r="M11185" t="s">
        <v>43523</v>
      </c>
      <c r="N11185" t="s">
        <v>45095</v>
      </c>
      <c r="O11185" t="s">
        <v>45096</v>
      </c>
      <c r="P11185">
        <v>0</v>
      </c>
      <c r="Q11185">
        <v>1</v>
      </c>
      <c r="R11185" t="s">
        <v>45109</v>
      </c>
      <c r="S11185" t="s">
        <v>45478</v>
      </c>
      <c r="T11185" t="s">
        <v>46970</v>
      </c>
      <c r="U11185" t="s">
        <v>56668</v>
      </c>
      <c r="V11185" t="s">
        <v>60477</v>
      </c>
      <c r="W11185" t="s">
        <v>43523</v>
      </c>
      <c r="X11185" t="s">
        <v>45110</v>
      </c>
    </row>
    <row r="11186" spans="1:24">
      <c r="A11186">
        <f>HYPERLINK("https://www.philgeps.gov.ph/GEPSNONPILOT/Tender/SplashBidNoticeAbstractUI.aspx?menuIndex=3&amp;refID=7025593&amp;Result=3","7025593")</f>
        <v>0</v>
      </c>
      <c r="B11186" t="s">
        <v>2041</v>
      </c>
      <c r="C11186" t="s">
        <v>13866</v>
      </c>
      <c r="D11186" t="s">
        <v>18049</v>
      </c>
      <c r="E11186" t="s">
        <v>27800</v>
      </c>
      <c r="F11186" t="s">
        <v>31574</v>
      </c>
      <c r="G11186" t="s">
        <v>31587</v>
      </c>
      <c r="H11186" t="s">
        <v>31593</v>
      </c>
      <c r="I11186" t="s">
        <v>8822</v>
      </c>
      <c r="J11186" t="s">
        <v>38690</v>
      </c>
      <c r="K11186" t="s">
        <v>41200</v>
      </c>
      <c r="M11186" t="s">
        <v>43879</v>
      </c>
      <c r="N11186" t="s">
        <v>45095</v>
      </c>
      <c r="O11186" t="s">
        <v>45096</v>
      </c>
      <c r="P11186">
        <v>0</v>
      </c>
      <c r="Q11186">
        <v>2</v>
      </c>
      <c r="R11186" t="s">
        <v>45109</v>
      </c>
      <c r="S11186" t="s">
        <v>45478</v>
      </c>
      <c r="T11186" t="s">
        <v>46965</v>
      </c>
      <c r="U11186" t="s">
        <v>56669</v>
      </c>
      <c r="W11186" t="s">
        <v>43879</v>
      </c>
      <c r="X11186" t="s">
        <v>45110</v>
      </c>
    </row>
    <row r="11187" spans="1:24">
      <c r="A11187">
        <f>HYPERLINK("https://www.philgeps.gov.ph/GEPSNONPILOT/Tender/SplashBidNoticeAbstractUI.aspx?menuIndex=3&amp;refID=7025480&amp;Result=3","7025480")</f>
        <v>0</v>
      </c>
      <c r="B11187" t="s">
        <v>1651</v>
      </c>
      <c r="C11187" t="s">
        <v>13867</v>
      </c>
      <c r="D11187" t="s">
        <v>18040</v>
      </c>
      <c r="E11187" t="s">
        <v>27801</v>
      </c>
      <c r="F11187" t="s">
        <v>31574</v>
      </c>
      <c r="G11187" t="s">
        <v>31582</v>
      </c>
      <c r="H11187" t="s">
        <v>31590</v>
      </c>
      <c r="I11187" t="s">
        <v>4046</v>
      </c>
      <c r="J11187" t="s">
        <v>38691</v>
      </c>
      <c r="K11187" t="s">
        <v>41184</v>
      </c>
      <c r="M11187" t="s">
        <v>43262</v>
      </c>
      <c r="N11187" t="s">
        <v>45095</v>
      </c>
      <c r="O11187" t="s">
        <v>45096</v>
      </c>
      <c r="P11187">
        <v>0</v>
      </c>
      <c r="Q11187">
        <v>2</v>
      </c>
      <c r="R11187" t="s">
        <v>45109</v>
      </c>
      <c r="S11187" t="s">
        <v>45478</v>
      </c>
      <c r="T11187" t="s">
        <v>46937</v>
      </c>
      <c r="U11187" t="s">
        <v>56670</v>
      </c>
      <c r="W11187" t="s">
        <v>43262</v>
      </c>
      <c r="X11187" t="s">
        <v>45110</v>
      </c>
    </row>
    <row r="11188" spans="1:24">
      <c r="A11188">
        <f>HYPERLINK("https://www.philgeps.gov.ph/GEPSNONPILOT/Tender/SplashBidNoticeAbstractUI.aspx?menuIndex=3&amp;refID=7025573&amp;Result=3","7025573")</f>
        <v>0</v>
      </c>
      <c r="B11188" t="s">
        <v>2782</v>
      </c>
      <c r="C11188" t="s">
        <v>13600</v>
      </c>
      <c r="D11188" t="s">
        <v>18102</v>
      </c>
      <c r="E11188" t="s">
        <v>27802</v>
      </c>
      <c r="F11188" t="s">
        <v>31574</v>
      </c>
      <c r="G11188" t="s">
        <v>31582</v>
      </c>
      <c r="H11188" t="s">
        <v>31590</v>
      </c>
      <c r="I11188" t="s">
        <v>6800</v>
      </c>
      <c r="J11188" t="s">
        <v>38692</v>
      </c>
      <c r="K11188" t="s">
        <v>41186</v>
      </c>
      <c r="M11188" t="s">
        <v>44557</v>
      </c>
      <c r="N11188" t="s">
        <v>45095</v>
      </c>
      <c r="O11188" t="s">
        <v>45096</v>
      </c>
      <c r="P11188">
        <v>0</v>
      </c>
      <c r="Q11188">
        <v>0</v>
      </c>
      <c r="R11188" t="s">
        <v>45109</v>
      </c>
      <c r="S11188" t="s">
        <v>45478</v>
      </c>
      <c r="T11188" t="s">
        <v>47159</v>
      </c>
      <c r="U11188" t="s">
        <v>56671</v>
      </c>
      <c r="W11188" t="s">
        <v>44557</v>
      </c>
      <c r="X11188" t="s">
        <v>45110</v>
      </c>
    </row>
    <row r="11189" spans="1:24">
      <c r="A11189">
        <f>HYPERLINK("https://www.philgeps.gov.ph/GEPSNONPILOT/Tender/SplashBidNoticeAbstractUI.aspx?menuIndex=3&amp;refID=7025560&amp;Result=3","7025560")</f>
        <v>0</v>
      </c>
      <c r="B11189" t="s">
        <v>1488</v>
      </c>
      <c r="C11189" t="s">
        <v>13868</v>
      </c>
      <c r="D11189" t="s">
        <v>18088</v>
      </c>
      <c r="E11189" t="s">
        <v>21914</v>
      </c>
      <c r="F11189" t="s">
        <v>31574</v>
      </c>
      <c r="G11189" t="s">
        <v>31582</v>
      </c>
      <c r="H11189" t="s">
        <v>31591</v>
      </c>
      <c r="I11189" t="s">
        <v>8822</v>
      </c>
      <c r="J11189" t="s">
        <v>32361</v>
      </c>
      <c r="K11189" t="s">
        <v>41184</v>
      </c>
      <c r="M11189" t="s">
        <v>43073</v>
      </c>
      <c r="N11189" t="s">
        <v>45095</v>
      </c>
      <c r="O11189" t="s">
        <v>45096</v>
      </c>
      <c r="P11189">
        <v>0</v>
      </c>
      <c r="Q11189">
        <v>0</v>
      </c>
      <c r="R11189" t="s">
        <v>45109</v>
      </c>
      <c r="S11189" t="s">
        <v>45478</v>
      </c>
      <c r="T11189" t="s">
        <v>46926</v>
      </c>
      <c r="U11189" t="s">
        <v>56672</v>
      </c>
      <c r="V11189" t="s">
        <v>61035</v>
      </c>
      <c r="W11189" t="s">
        <v>43073</v>
      </c>
      <c r="X11189" t="s">
        <v>45110</v>
      </c>
    </row>
    <row r="11190" spans="1:24">
      <c r="A11190">
        <f>HYPERLINK("https://www.philgeps.gov.ph/GEPSNONPILOT/Tender/SplashBidNoticeAbstractUI.aspx?menuIndex=3&amp;refID=7025579&amp;Result=3","7025579")</f>
        <v>0</v>
      </c>
      <c r="B11190" t="s">
        <v>516</v>
      </c>
      <c r="C11190" t="s">
        <v>13869</v>
      </c>
      <c r="D11190" t="s">
        <v>18031</v>
      </c>
      <c r="E11190" t="s">
        <v>27803</v>
      </c>
      <c r="F11190" t="s">
        <v>31574</v>
      </c>
      <c r="G11190" t="s">
        <v>31582</v>
      </c>
      <c r="H11190" t="s">
        <v>31590</v>
      </c>
      <c r="I11190" t="s">
        <v>8258</v>
      </c>
      <c r="J11190" t="s">
        <v>38693</v>
      </c>
      <c r="K11190" t="s">
        <v>41193</v>
      </c>
      <c r="M11190" t="s">
        <v>42012</v>
      </c>
      <c r="N11190" t="s">
        <v>45095</v>
      </c>
      <c r="O11190" t="s">
        <v>45096</v>
      </c>
      <c r="P11190">
        <v>0</v>
      </c>
      <c r="Q11190">
        <v>7</v>
      </c>
      <c r="R11190" t="s">
        <v>45109</v>
      </c>
      <c r="S11190" t="s">
        <v>45478</v>
      </c>
      <c r="T11190" t="s">
        <v>46926</v>
      </c>
      <c r="U11190" t="s">
        <v>48512</v>
      </c>
      <c r="W11190" t="s">
        <v>42012</v>
      </c>
      <c r="X11190" t="s">
        <v>45110</v>
      </c>
    </row>
    <row r="11191" spans="1:24">
      <c r="A11191">
        <f>HYPERLINK("https://www.philgeps.gov.ph/GEPSNONPILOT/Tender/SplashBidNoticeAbstractUI.aspx?menuIndex=3&amp;refID=7025598&amp;Result=3","7025598")</f>
        <v>0</v>
      </c>
      <c r="B11191" t="s">
        <v>1819</v>
      </c>
      <c r="C11191" t="s">
        <v>13870</v>
      </c>
      <c r="D11191" t="s">
        <v>18027</v>
      </c>
      <c r="E11191" t="s">
        <v>27804</v>
      </c>
      <c r="F11191" t="s">
        <v>31574</v>
      </c>
      <c r="G11191" t="s">
        <v>31582</v>
      </c>
      <c r="H11191" t="s">
        <v>31591</v>
      </c>
      <c r="I11191" t="s">
        <v>8822</v>
      </c>
      <c r="J11191" t="s">
        <v>34980</v>
      </c>
      <c r="K11191" t="s">
        <v>41243</v>
      </c>
      <c r="L11191" t="s">
        <v>1819</v>
      </c>
      <c r="M11191" t="s">
        <v>43454</v>
      </c>
      <c r="N11191" t="s">
        <v>45095</v>
      </c>
      <c r="O11191" t="s">
        <v>45096</v>
      </c>
      <c r="P11191">
        <v>0</v>
      </c>
      <c r="Q11191">
        <v>5</v>
      </c>
      <c r="R11191" t="s">
        <v>45109</v>
      </c>
      <c r="S11191" t="s">
        <v>45478</v>
      </c>
      <c r="T11191" t="s">
        <v>47391</v>
      </c>
      <c r="U11191" t="s">
        <v>56644</v>
      </c>
      <c r="W11191" t="s">
        <v>43454</v>
      </c>
      <c r="X11191" t="s">
        <v>45110</v>
      </c>
    </row>
    <row r="11192" spans="1:24">
      <c r="A11192">
        <f>HYPERLINK("https://www.philgeps.gov.ph/GEPSNONPILOT/Tender/SplashBidNoticeAbstractUI.aspx?menuIndex=3&amp;refID=7025568&amp;Result=3","7025568")</f>
        <v>0</v>
      </c>
      <c r="B11192" t="s">
        <v>1942</v>
      </c>
      <c r="C11192" t="s">
        <v>13871</v>
      </c>
      <c r="D11192" t="s">
        <v>18041</v>
      </c>
      <c r="E11192" t="s">
        <v>27805</v>
      </c>
      <c r="F11192" t="s">
        <v>31574</v>
      </c>
      <c r="G11192" t="s">
        <v>31582</v>
      </c>
      <c r="H11192" t="s">
        <v>31591</v>
      </c>
      <c r="I11192" t="s">
        <v>8822</v>
      </c>
      <c r="J11192" t="s">
        <v>38686</v>
      </c>
      <c r="K11192" t="s">
        <v>41242</v>
      </c>
      <c r="M11192" t="s">
        <v>43597</v>
      </c>
      <c r="N11192" t="s">
        <v>45095</v>
      </c>
      <c r="O11192" t="s">
        <v>45096</v>
      </c>
      <c r="P11192">
        <v>0</v>
      </c>
      <c r="Q11192">
        <v>6</v>
      </c>
      <c r="R11192" t="s">
        <v>45109</v>
      </c>
      <c r="S11192" t="s">
        <v>45478</v>
      </c>
      <c r="T11192" t="s">
        <v>47000</v>
      </c>
      <c r="U11192" t="s">
        <v>56673</v>
      </c>
      <c r="W11192" t="s">
        <v>43597</v>
      </c>
      <c r="X11192" t="s">
        <v>45110</v>
      </c>
    </row>
    <row r="11193" spans="1:24">
      <c r="A11193">
        <f>HYPERLINK("https://www.philgeps.gov.ph/GEPSNONPILOT/Tender/SplashBidNoticeAbstractUI.aspx?menuIndex=3&amp;refID=7025621&amp;Result=3","7025621")</f>
        <v>0</v>
      </c>
      <c r="B11193" t="s">
        <v>2820</v>
      </c>
      <c r="C11193" t="s">
        <v>13872</v>
      </c>
      <c r="D11193" t="s">
        <v>18022</v>
      </c>
      <c r="E11193" t="s">
        <v>18227</v>
      </c>
      <c r="F11193" t="s">
        <v>31574</v>
      </c>
      <c r="G11193" t="s">
        <v>31582</v>
      </c>
      <c r="H11193" t="s">
        <v>31590</v>
      </c>
      <c r="I11193" t="s">
        <v>31628</v>
      </c>
      <c r="J11193" t="s">
        <v>38694</v>
      </c>
      <c r="K11193" t="s">
        <v>41186</v>
      </c>
      <c r="M11193" t="s">
        <v>44597</v>
      </c>
      <c r="N11193" t="s">
        <v>45095</v>
      </c>
      <c r="O11193" t="s">
        <v>45096</v>
      </c>
      <c r="Q11193">
        <v>15</v>
      </c>
      <c r="R11193" t="s">
        <v>45109</v>
      </c>
      <c r="S11193" t="s">
        <v>45532</v>
      </c>
      <c r="T11193" t="s">
        <v>47000</v>
      </c>
      <c r="U11193" t="s">
        <v>56674</v>
      </c>
      <c r="W11193" t="s">
        <v>44597</v>
      </c>
      <c r="X11193" t="s">
        <v>45110</v>
      </c>
    </row>
    <row r="11194" spans="1:24">
      <c r="A11194">
        <f>HYPERLINK("https://www.philgeps.gov.ph/GEPSNONPILOT/Tender/SplashBidNoticeAbstractUI.aspx?menuIndex=3&amp;refID=7025585&amp;Result=3","7025585")</f>
        <v>0</v>
      </c>
      <c r="B11194" t="s">
        <v>1819</v>
      </c>
      <c r="C11194" t="s">
        <v>13873</v>
      </c>
      <c r="D11194" t="s">
        <v>18027</v>
      </c>
      <c r="E11194" t="s">
        <v>27806</v>
      </c>
      <c r="F11194" t="s">
        <v>31574</v>
      </c>
      <c r="G11194" t="s">
        <v>31582</v>
      </c>
      <c r="H11194" t="s">
        <v>31591</v>
      </c>
      <c r="I11194" t="s">
        <v>8822</v>
      </c>
      <c r="J11194" t="s">
        <v>38695</v>
      </c>
      <c r="K11194" t="s">
        <v>41267</v>
      </c>
      <c r="L11194" t="s">
        <v>1819</v>
      </c>
      <c r="M11194" t="s">
        <v>43454</v>
      </c>
      <c r="N11194" t="s">
        <v>45095</v>
      </c>
      <c r="O11194" t="s">
        <v>45096</v>
      </c>
      <c r="P11194">
        <v>0</v>
      </c>
      <c r="Q11194">
        <v>8</v>
      </c>
      <c r="R11194" t="s">
        <v>45109</v>
      </c>
      <c r="S11194" t="s">
        <v>45478</v>
      </c>
      <c r="T11194" t="s">
        <v>47391</v>
      </c>
      <c r="U11194" t="s">
        <v>56644</v>
      </c>
      <c r="W11194" t="s">
        <v>43454</v>
      </c>
      <c r="X11194" t="s">
        <v>45110</v>
      </c>
    </row>
    <row r="11195" spans="1:24">
      <c r="A11195">
        <f>HYPERLINK("https://www.philgeps.gov.ph/GEPSNONPILOT/Tender/SplashBidNoticeAbstractUI.aspx?menuIndex=3&amp;refID=7025624&amp;Result=3","7025624")</f>
        <v>0</v>
      </c>
      <c r="B11195" t="s">
        <v>1819</v>
      </c>
      <c r="C11195" t="s">
        <v>13874</v>
      </c>
      <c r="D11195" t="s">
        <v>18027</v>
      </c>
      <c r="E11195" t="s">
        <v>27807</v>
      </c>
      <c r="F11195" t="s">
        <v>31574</v>
      </c>
      <c r="G11195" t="s">
        <v>31582</v>
      </c>
      <c r="H11195" t="s">
        <v>31591</v>
      </c>
      <c r="I11195" t="s">
        <v>8822</v>
      </c>
      <c r="J11195" t="s">
        <v>34697</v>
      </c>
      <c r="K11195" t="s">
        <v>41279</v>
      </c>
      <c r="L11195" t="s">
        <v>1819</v>
      </c>
      <c r="M11195" t="s">
        <v>43454</v>
      </c>
      <c r="N11195" t="s">
        <v>45095</v>
      </c>
      <c r="O11195" t="s">
        <v>45096</v>
      </c>
      <c r="P11195">
        <v>0</v>
      </c>
      <c r="Q11195">
        <v>2</v>
      </c>
      <c r="R11195" t="s">
        <v>45109</v>
      </c>
      <c r="S11195" t="s">
        <v>45478</v>
      </c>
      <c r="T11195" t="s">
        <v>47391</v>
      </c>
      <c r="U11195" t="s">
        <v>56644</v>
      </c>
      <c r="W11195" t="s">
        <v>43454</v>
      </c>
      <c r="X11195" t="s">
        <v>45110</v>
      </c>
    </row>
    <row r="11196" spans="1:24">
      <c r="A11196">
        <f>HYPERLINK("https://www.philgeps.gov.ph/GEPSNONPILOT/Tender/SplashBidNoticeAbstractUI.aspx?menuIndex=3&amp;refID=7025616&amp;Result=3","7025616")</f>
        <v>0</v>
      </c>
      <c r="B11196" t="s">
        <v>40</v>
      </c>
      <c r="C11196" t="s">
        <v>13875</v>
      </c>
      <c r="D11196" t="s">
        <v>18035</v>
      </c>
      <c r="E11196" t="s">
        <v>27808</v>
      </c>
      <c r="F11196" t="s">
        <v>31574</v>
      </c>
      <c r="G11196" t="s">
        <v>31582</v>
      </c>
      <c r="H11196" t="s">
        <v>31591</v>
      </c>
      <c r="I11196" t="s">
        <v>8822</v>
      </c>
      <c r="J11196" t="s">
        <v>38696</v>
      </c>
      <c r="K11196" t="s">
        <v>41202</v>
      </c>
      <c r="M11196" t="s">
        <v>41523</v>
      </c>
      <c r="N11196" t="s">
        <v>45095</v>
      </c>
      <c r="O11196" t="s">
        <v>45096</v>
      </c>
      <c r="Q11196">
        <v>10</v>
      </c>
      <c r="R11196" t="s">
        <v>45109</v>
      </c>
      <c r="S11196" t="s">
        <v>45405</v>
      </c>
      <c r="T11196" t="s">
        <v>46926</v>
      </c>
      <c r="U11196" t="s">
        <v>54993</v>
      </c>
      <c r="V11196" t="s">
        <v>59850</v>
      </c>
      <c r="W11196" t="s">
        <v>41523</v>
      </c>
      <c r="X11196" t="s">
        <v>45110</v>
      </c>
    </row>
    <row r="11197" spans="1:24">
      <c r="A11197">
        <f>HYPERLINK("https://www.philgeps.gov.ph/GEPSNONPILOT/Tender/SplashBidNoticeAbstractUI.aspx?menuIndex=3&amp;refID=7025558&amp;Result=3","7025558")</f>
        <v>0</v>
      </c>
      <c r="B11197" t="s">
        <v>1443</v>
      </c>
      <c r="C11197" t="s">
        <v>13876</v>
      </c>
      <c r="D11197" t="s">
        <v>18074</v>
      </c>
      <c r="E11197" t="s">
        <v>27809</v>
      </c>
      <c r="F11197" t="s">
        <v>31574</v>
      </c>
      <c r="G11197" t="s">
        <v>31582</v>
      </c>
      <c r="H11197" t="s">
        <v>31591</v>
      </c>
      <c r="I11197" t="s">
        <v>8822</v>
      </c>
      <c r="J11197" t="s">
        <v>38697</v>
      </c>
      <c r="K11197" t="s">
        <v>41248</v>
      </c>
      <c r="M11197" t="s">
        <v>43523</v>
      </c>
      <c r="N11197" t="s">
        <v>45095</v>
      </c>
      <c r="O11197" t="s">
        <v>45096</v>
      </c>
      <c r="P11197">
        <v>0</v>
      </c>
      <c r="Q11197">
        <v>0</v>
      </c>
      <c r="R11197" t="s">
        <v>45109</v>
      </c>
      <c r="S11197" t="s">
        <v>45478</v>
      </c>
      <c r="T11197" t="s">
        <v>46970</v>
      </c>
      <c r="U11197" t="s">
        <v>56675</v>
      </c>
      <c r="V11197" t="s">
        <v>60477</v>
      </c>
      <c r="W11197" t="s">
        <v>43523</v>
      </c>
      <c r="X11197" t="s">
        <v>45110</v>
      </c>
    </row>
    <row r="11198" spans="1:24">
      <c r="A11198">
        <f>HYPERLINK("https://www.philgeps.gov.ph/GEPSNONPILOT/Tender/SplashBidNoticeAbstractUI.aspx?menuIndex=3&amp;refID=7025610&amp;Result=3","7025610")</f>
        <v>0</v>
      </c>
      <c r="B11198" t="s">
        <v>1819</v>
      </c>
      <c r="C11198" t="s">
        <v>13877</v>
      </c>
      <c r="D11198" t="s">
        <v>18027</v>
      </c>
      <c r="E11198" t="s">
        <v>27810</v>
      </c>
      <c r="F11198" t="s">
        <v>31574</v>
      </c>
      <c r="G11198" t="s">
        <v>31582</v>
      </c>
      <c r="H11198" t="s">
        <v>31591</v>
      </c>
      <c r="I11198" t="s">
        <v>8822</v>
      </c>
      <c r="J11198" t="s">
        <v>34697</v>
      </c>
      <c r="K11198" t="s">
        <v>41310</v>
      </c>
      <c r="L11198" t="s">
        <v>1819</v>
      </c>
      <c r="M11198" t="s">
        <v>43454</v>
      </c>
      <c r="N11198" t="s">
        <v>45095</v>
      </c>
      <c r="O11198" t="s">
        <v>45096</v>
      </c>
      <c r="P11198">
        <v>0</v>
      </c>
      <c r="Q11198">
        <v>1</v>
      </c>
      <c r="R11198" t="s">
        <v>45109</v>
      </c>
      <c r="S11198" t="s">
        <v>45478</v>
      </c>
      <c r="T11198" t="s">
        <v>47391</v>
      </c>
      <c r="U11198" t="s">
        <v>56644</v>
      </c>
      <c r="W11198" t="s">
        <v>43454</v>
      </c>
      <c r="X11198" t="s">
        <v>45110</v>
      </c>
    </row>
    <row r="11199" spans="1:24">
      <c r="A11199">
        <f>HYPERLINK("https://www.philgeps.gov.ph/GEPSNONPILOT/Tender/SplashBidNoticeAbstractUI.aspx?menuIndex=3&amp;refID=7025627&amp;Result=3","7025627")</f>
        <v>0</v>
      </c>
      <c r="B11199" t="s">
        <v>1028</v>
      </c>
      <c r="C11199" t="s">
        <v>13878</v>
      </c>
      <c r="D11199" t="s">
        <v>18055</v>
      </c>
      <c r="E11199" t="s">
        <v>27811</v>
      </c>
      <c r="F11199" t="s">
        <v>31574</v>
      </c>
      <c r="G11199" t="s">
        <v>31582</v>
      </c>
      <c r="H11199" t="s">
        <v>31590</v>
      </c>
      <c r="I11199" t="s">
        <v>31623</v>
      </c>
      <c r="J11199" t="s">
        <v>38698</v>
      </c>
      <c r="K11199" t="s">
        <v>41250</v>
      </c>
      <c r="M11199" t="s">
        <v>42569</v>
      </c>
      <c r="N11199" t="s">
        <v>45095</v>
      </c>
      <c r="O11199" t="s">
        <v>45096</v>
      </c>
      <c r="P11199">
        <v>0</v>
      </c>
      <c r="Q11199">
        <v>0</v>
      </c>
      <c r="R11199" t="s">
        <v>45109</v>
      </c>
      <c r="S11199" t="s">
        <v>45478</v>
      </c>
      <c r="T11199" t="s">
        <v>46926</v>
      </c>
      <c r="U11199" t="s">
        <v>56676</v>
      </c>
      <c r="W11199" t="s">
        <v>61687</v>
      </c>
      <c r="X11199" t="s">
        <v>45110</v>
      </c>
    </row>
    <row r="11200" spans="1:24">
      <c r="A11200">
        <f>HYPERLINK("https://www.philgeps.gov.ph/GEPSNONPILOT/Tender/SplashBidNoticeAbstractUI.aspx?menuIndex=3&amp;refID=7025548&amp;Result=3","7025548")</f>
        <v>0</v>
      </c>
      <c r="B11200" t="s">
        <v>516</v>
      </c>
      <c r="C11200" t="s">
        <v>13879</v>
      </c>
      <c r="D11200" t="s">
        <v>18031</v>
      </c>
      <c r="E11200" t="s">
        <v>27812</v>
      </c>
      <c r="F11200" t="s">
        <v>31574</v>
      </c>
      <c r="G11200" t="s">
        <v>31582</v>
      </c>
      <c r="H11200" t="s">
        <v>31590</v>
      </c>
      <c r="I11200" t="s">
        <v>31714</v>
      </c>
      <c r="J11200" t="s">
        <v>38699</v>
      </c>
      <c r="K11200" t="s">
        <v>41193</v>
      </c>
      <c r="M11200" t="s">
        <v>42012</v>
      </c>
      <c r="N11200" t="s">
        <v>45095</v>
      </c>
      <c r="O11200" t="s">
        <v>45096</v>
      </c>
      <c r="P11200">
        <v>0</v>
      </c>
      <c r="Q11200">
        <v>1</v>
      </c>
      <c r="R11200" t="s">
        <v>45109</v>
      </c>
      <c r="S11200" t="s">
        <v>45478</v>
      </c>
      <c r="T11200" t="s">
        <v>46926</v>
      </c>
      <c r="U11200" t="s">
        <v>48512</v>
      </c>
      <c r="W11200" t="s">
        <v>42012</v>
      </c>
      <c r="X11200" t="s">
        <v>45110</v>
      </c>
    </row>
    <row r="11201" spans="1:24">
      <c r="A11201">
        <f>HYPERLINK("https://www.philgeps.gov.ph/GEPSNONPILOT/Tender/SplashBidNoticeAbstractUI.aspx?menuIndex=3&amp;refID=7025608&amp;Result=3","7025608")</f>
        <v>0</v>
      </c>
      <c r="B11201" t="s">
        <v>516</v>
      </c>
      <c r="C11201" t="s">
        <v>13880</v>
      </c>
      <c r="D11201" t="s">
        <v>18031</v>
      </c>
      <c r="E11201" t="s">
        <v>27813</v>
      </c>
      <c r="F11201" t="s">
        <v>31574</v>
      </c>
      <c r="G11201" t="s">
        <v>31582</v>
      </c>
      <c r="H11201" t="s">
        <v>31590</v>
      </c>
      <c r="I11201" t="s">
        <v>3651</v>
      </c>
      <c r="J11201" t="s">
        <v>38700</v>
      </c>
      <c r="K11201" t="s">
        <v>41193</v>
      </c>
      <c r="M11201" t="s">
        <v>42012</v>
      </c>
      <c r="N11201" t="s">
        <v>45095</v>
      </c>
      <c r="O11201" t="s">
        <v>45096</v>
      </c>
      <c r="P11201">
        <v>0</v>
      </c>
      <c r="Q11201">
        <v>1</v>
      </c>
      <c r="R11201" t="s">
        <v>45109</v>
      </c>
      <c r="S11201" t="s">
        <v>45478</v>
      </c>
      <c r="T11201" t="s">
        <v>46926</v>
      </c>
      <c r="U11201" t="s">
        <v>48512</v>
      </c>
      <c r="W11201" t="s">
        <v>42012</v>
      </c>
      <c r="X11201" t="s">
        <v>45110</v>
      </c>
    </row>
    <row r="11202" spans="1:24">
      <c r="A11202">
        <f>HYPERLINK("https://www.philgeps.gov.ph/GEPSNONPILOT/Tender/SplashBidNoticeAbstractUI.aspx?menuIndex=3&amp;refID=7025667&amp;Result=3","7025667")</f>
        <v>0</v>
      </c>
      <c r="B11202" t="s">
        <v>1689</v>
      </c>
      <c r="C11202" t="s">
        <v>13881</v>
      </c>
      <c r="E11202" t="s">
        <v>27814</v>
      </c>
      <c r="F11202" t="s">
        <v>31574</v>
      </c>
      <c r="G11202" t="s">
        <v>31582</v>
      </c>
      <c r="H11202" t="s">
        <v>31590</v>
      </c>
      <c r="I11202" t="s">
        <v>31611</v>
      </c>
      <c r="J11202" t="s">
        <v>38701</v>
      </c>
      <c r="K11202" t="s">
        <v>41184</v>
      </c>
      <c r="M11202" t="s">
        <v>44598</v>
      </c>
      <c r="N11202" t="s">
        <v>45095</v>
      </c>
      <c r="O11202" t="s">
        <v>45096</v>
      </c>
      <c r="P11202">
        <v>0</v>
      </c>
      <c r="Q11202">
        <v>0</v>
      </c>
      <c r="R11202" t="s">
        <v>45109</v>
      </c>
      <c r="S11202" t="s">
        <v>45478</v>
      </c>
      <c r="T11202" t="s">
        <v>46923</v>
      </c>
      <c r="U11202" t="s">
        <v>56677</v>
      </c>
      <c r="W11202" t="s">
        <v>44598</v>
      </c>
      <c r="X11202" t="s">
        <v>45110</v>
      </c>
    </row>
    <row r="11203" spans="1:24">
      <c r="A11203">
        <f>HYPERLINK("https://www.philgeps.gov.ph/GEPSNONPILOT/Tender/SplashBidNoticeAbstractUI.aspx?menuIndex=3&amp;refID=7025658&amp;Result=3","7025658")</f>
        <v>0</v>
      </c>
      <c r="B11203" t="s">
        <v>516</v>
      </c>
      <c r="C11203" t="s">
        <v>13882</v>
      </c>
      <c r="D11203" t="s">
        <v>18031</v>
      </c>
      <c r="E11203" t="s">
        <v>27815</v>
      </c>
      <c r="F11203" t="s">
        <v>31574</v>
      </c>
      <c r="G11203" t="s">
        <v>31582</v>
      </c>
      <c r="H11203" t="s">
        <v>31590</v>
      </c>
      <c r="I11203" t="s">
        <v>31599</v>
      </c>
      <c r="J11203" t="s">
        <v>38702</v>
      </c>
      <c r="K11203" t="s">
        <v>41193</v>
      </c>
      <c r="M11203" t="s">
        <v>42012</v>
      </c>
      <c r="N11203" t="s">
        <v>45095</v>
      </c>
      <c r="O11203" t="s">
        <v>45096</v>
      </c>
      <c r="P11203">
        <v>0</v>
      </c>
      <c r="Q11203">
        <v>2</v>
      </c>
      <c r="R11203" t="s">
        <v>45109</v>
      </c>
      <c r="S11203" t="s">
        <v>45478</v>
      </c>
      <c r="T11203" t="s">
        <v>46926</v>
      </c>
      <c r="U11203" t="s">
        <v>48512</v>
      </c>
      <c r="W11203" t="s">
        <v>42012</v>
      </c>
      <c r="X11203" t="s">
        <v>45110</v>
      </c>
    </row>
    <row r="11204" spans="1:24">
      <c r="A11204">
        <f>HYPERLINK("https://www.philgeps.gov.ph/GEPSNONPILOT/Tender/SplashBidNoticeAbstractUI.aspx?menuIndex=3&amp;refID=7025613&amp;Result=3","7025613")</f>
        <v>0</v>
      </c>
      <c r="B11204" t="s">
        <v>1443</v>
      </c>
      <c r="C11204" t="s">
        <v>13883</v>
      </c>
      <c r="D11204" t="s">
        <v>18074</v>
      </c>
      <c r="E11204" t="s">
        <v>27816</v>
      </c>
      <c r="F11204" t="s">
        <v>31574</v>
      </c>
      <c r="G11204" t="s">
        <v>31582</v>
      </c>
      <c r="H11204" t="s">
        <v>31590</v>
      </c>
      <c r="I11204" t="s">
        <v>31630</v>
      </c>
      <c r="J11204" t="s">
        <v>38703</v>
      </c>
      <c r="K11204" t="s">
        <v>41191</v>
      </c>
      <c r="M11204" t="s">
        <v>43020</v>
      </c>
      <c r="N11204" t="s">
        <v>45095</v>
      </c>
      <c r="O11204" t="s">
        <v>45096</v>
      </c>
      <c r="P11204">
        <v>0</v>
      </c>
      <c r="Q11204">
        <v>5</v>
      </c>
      <c r="R11204" t="s">
        <v>45109</v>
      </c>
      <c r="S11204" t="s">
        <v>45478</v>
      </c>
      <c r="T11204" t="s">
        <v>46922</v>
      </c>
      <c r="U11204" t="s">
        <v>56678</v>
      </c>
      <c r="V11204" t="s">
        <v>61036</v>
      </c>
      <c r="W11204" t="s">
        <v>43020</v>
      </c>
      <c r="X11204" t="s">
        <v>45110</v>
      </c>
    </row>
    <row r="11205" spans="1:24">
      <c r="A11205">
        <f>HYPERLINK("https://www.philgeps.gov.ph/GEPSNONPILOT/Tender/SplashBidNoticeAbstractUI.aspx?menuIndex=3&amp;refID=7025650&amp;Result=3","7025650")</f>
        <v>0</v>
      </c>
      <c r="B11205" t="s">
        <v>2821</v>
      </c>
      <c r="C11205" t="s">
        <v>13884</v>
      </c>
      <c r="D11205" t="s">
        <v>18056</v>
      </c>
      <c r="E11205" t="s">
        <v>27817</v>
      </c>
      <c r="F11205" t="s">
        <v>31574</v>
      </c>
      <c r="G11205" t="s">
        <v>31582</v>
      </c>
      <c r="H11205" t="s">
        <v>31590</v>
      </c>
      <c r="I11205" t="s">
        <v>4046</v>
      </c>
      <c r="J11205" t="s">
        <v>38704</v>
      </c>
      <c r="K11205" t="s">
        <v>41185</v>
      </c>
      <c r="M11205" t="s">
        <v>44599</v>
      </c>
      <c r="N11205" t="s">
        <v>45095</v>
      </c>
      <c r="O11205" t="s">
        <v>45096</v>
      </c>
      <c r="P11205">
        <v>0</v>
      </c>
      <c r="Q11205">
        <v>0</v>
      </c>
      <c r="R11205" t="s">
        <v>45109</v>
      </c>
      <c r="S11205" t="s">
        <v>45478</v>
      </c>
      <c r="T11205" t="s">
        <v>46914</v>
      </c>
      <c r="U11205" t="s">
        <v>56679</v>
      </c>
      <c r="V11205" t="s">
        <v>61037</v>
      </c>
      <c r="W11205" t="s">
        <v>44599</v>
      </c>
      <c r="X11205" t="s">
        <v>45110</v>
      </c>
    </row>
    <row r="11206" spans="1:24">
      <c r="A11206">
        <f>HYPERLINK("https://www.philgeps.gov.ph/GEPSNONPILOT/Tender/SplashBidNoticeAbstractUI.aspx?menuIndex=3&amp;refID=7025661&amp;Result=3","7025661")</f>
        <v>0</v>
      </c>
      <c r="B11206" t="s">
        <v>2405</v>
      </c>
      <c r="C11206" t="s">
        <v>13885</v>
      </c>
      <c r="D11206" t="s">
        <v>18052</v>
      </c>
      <c r="E11206" t="s">
        <v>19923</v>
      </c>
      <c r="F11206" t="s">
        <v>31574</v>
      </c>
      <c r="G11206" t="s">
        <v>31582</v>
      </c>
      <c r="H11206" t="s">
        <v>31591</v>
      </c>
      <c r="I11206" t="s">
        <v>8822</v>
      </c>
      <c r="J11206" t="s">
        <v>32246</v>
      </c>
      <c r="K11206" t="s">
        <v>41192</v>
      </c>
      <c r="M11206" t="s">
        <v>44132</v>
      </c>
      <c r="N11206" t="s">
        <v>45095</v>
      </c>
      <c r="O11206" t="s">
        <v>45096</v>
      </c>
      <c r="P11206">
        <v>0</v>
      </c>
      <c r="Q11206">
        <v>0</v>
      </c>
      <c r="R11206" t="s">
        <v>45109</v>
      </c>
      <c r="S11206" t="s">
        <v>45478</v>
      </c>
      <c r="T11206" t="s">
        <v>47043</v>
      </c>
      <c r="U11206" t="s">
        <v>50981</v>
      </c>
      <c r="W11206" t="s">
        <v>44132</v>
      </c>
      <c r="X11206" t="s">
        <v>45110</v>
      </c>
    </row>
    <row r="11207" spans="1:24">
      <c r="A11207">
        <f>HYPERLINK("https://www.philgeps.gov.ph/GEPSNONPILOT/Tender/SplashBidNoticeAbstractUI.aspx?menuIndex=3&amp;refID=7025668&amp;Result=3","7025668")</f>
        <v>0</v>
      </c>
      <c r="B11207" t="s">
        <v>1819</v>
      </c>
      <c r="C11207" t="s">
        <v>13886</v>
      </c>
      <c r="D11207" t="s">
        <v>18027</v>
      </c>
      <c r="E11207" t="s">
        <v>27818</v>
      </c>
      <c r="F11207" t="s">
        <v>31574</v>
      </c>
      <c r="G11207" t="s">
        <v>31582</v>
      </c>
      <c r="H11207" t="s">
        <v>31591</v>
      </c>
      <c r="I11207" t="s">
        <v>8822</v>
      </c>
      <c r="J11207" t="s">
        <v>34743</v>
      </c>
      <c r="K11207" t="s">
        <v>41189</v>
      </c>
      <c r="L11207" t="s">
        <v>1819</v>
      </c>
      <c r="M11207" t="s">
        <v>43454</v>
      </c>
      <c r="N11207" t="s">
        <v>45095</v>
      </c>
      <c r="O11207" t="s">
        <v>45096</v>
      </c>
      <c r="P11207">
        <v>0</v>
      </c>
      <c r="Q11207">
        <v>1</v>
      </c>
      <c r="R11207" t="s">
        <v>45109</v>
      </c>
      <c r="S11207" t="s">
        <v>45478</v>
      </c>
      <c r="T11207" t="s">
        <v>47391</v>
      </c>
      <c r="U11207" t="s">
        <v>56644</v>
      </c>
      <c r="W11207" t="s">
        <v>43454</v>
      </c>
      <c r="X11207" t="s">
        <v>45110</v>
      </c>
    </row>
    <row r="11208" spans="1:24">
      <c r="A11208">
        <f>HYPERLINK("https://www.philgeps.gov.ph/GEPSNONPILOT/Tender/SplashBidNoticeAbstractUI.aspx?menuIndex=3&amp;refID=7025640&amp;Result=3","7025640")</f>
        <v>0</v>
      </c>
      <c r="B11208" t="s">
        <v>2488</v>
      </c>
      <c r="C11208" t="s">
        <v>13887</v>
      </c>
      <c r="D11208" t="s">
        <v>18045</v>
      </c>
      <c r="E11208" t="s">
        <v>23854</v>
      </c>
      <c r="F11208" t="s">
        <v>31574</v>
      </c>
      <c r="G11208" t="s">
        <v>31582</v>
      </c>
      <c r="H11208" t="s">
        <v>31590</v>
      </c>
      <c r="I11208" t="s">
        <v>4046</v>
      </c>
      <c r="J11208" t="s">
        <v>38705</v>
      </c>
      <c r="K11208" t="s">
        <v>41192</v>
      </c>
      <c r="M11208" t="s">
        <v>44219</v>
      </c>
      <c r="N11208" t="s">
        <v>45095</v>
      </c>
      <c r="O11208" t="s">
        <v>45096</v>
      </c>
      <c r="P11208">
        <v>0</v>
      </c>
      <c r="Q11208">
        <v>1</v>
      </c>
      <c r="R11208" t="s">
        <v>45109</v>
      </c>
      <c r="S11208" t="s">
        <v>45478</v>
      </c>
      <c r="T11208" t="s">
        <v>46968</v>
      </c>
      <c r="U11208" t="s">
        <v>54867</v>
      </c>
      <c r="V11208" t="s">
        <v>61038</v>
      </c>
      <c r="W11208" t="s">
        <v>44219</v>
      </c>
      <c r="X11208" t="s">
        <v>45110</v>
      </c>
    </row>
    <row r="11209" spans="1:24">
      <c r="A11209">
        <f>HYPERLINK("https://www.philgeps.gov.ph/GEPSNONPILOT/Tender/SplashBidNoticeAbstractUI.aspx?menuIndex=3&amp;refID=7025655&amp;Result=3","7025655")</f>
        <v>0</v>
      </c>
      <c r="B11209" t="s">
        <v>90</v>
      </c>
      <c r="C11209" t="s">
        <v>13888</v>
      </c>
      <c r="E11209" t="s">
        <v>27819</v>
      </c>
      <c r="F11209" t="s">
        <v>31574</v>
      </c>
      <c r="G11209" t="s">
        <v>31582</v>
      </c>
      <c r="H11209" t="s">
        <v>31591</v>
      </c>
      <c r="I11209" t="s">
        <v>8822</v>
      </c>
      <c r="J11209" t="s">
        <v>38706</v>
      </c>
      <c r="K11209" t="s">
        <v>41184</v>
      </c>
      <c r="M11209" t="s">
        <v>41574</v>
      </c>
      <c r="N11209" t="s">
        <v>45095</v>
      </c>
      <c r="O11209" t="s">
        <v>45096</v>
      </c>
      <c r="Q11209">
        <v>1</v>
      </c>
      <c r="R11209" t="s">
        <v>45109</v>
      </c>
      <c r="S11209" t="s">
        <v>45533</v>
      </c>
      <c r="T11209" t="s">
        <v>47118</v>
      </c>
      <c r="U11209" t="s">
        <v>56680</v>
      </c>
      <c r="W11209" t="s">
        <v>41574</v>
      </c>
      <c r="X11209" t="s">
        <v>45110</v>
      </c>
    </row>
    <row r="11210" spans="1:24">
      <c r="A11210">
        <f>HYPERLINK("https://www.philgeps.gov.ph/GEPSNONPILOT/Tender/SplashBidNoticeAbstractUI.aspx?menuIndex=3&amp;refID=7025633&amp;Result=3","7025633")</f>
        <v>0</v>
      </c>
      <c r="B11210" t="s">
        <v>2812</v>
      </c>
      <c r="C11210" t="s">
        <v>13889</v>
      </c>
      <c r="D11210" t="s">
        <v>18079</v>
      </c>
      <c r="E11210" t="s">
        <v>27820</v>
      </c>
      <c r="F11210" t="s">
        <v>31574</v>
      </c>
      <c r="G11210" t="s">
        <v>31585</v>
      </c>
      <c r="H11210" t="s">
        <v>31590</v>
      </c>
      <c r="I11210" t="s">
        <v>31607</v>
      </c>
      <c r="J11210" t="s">
        <v>38707</v>
      </c>
      <c r="K11210" t="s">
        <v>41193</v>
      </c>
      <c r="M11210" t="s">
        <v>44587</v>
      </c>
      <c r="N11210" t="s">
        <v>45095</v>
      </c>
      <c r="O11210" t="s">
        <v>45096</v>
      </c>
      <c r="P11210">
        <v>0</v>
      </c>
      <c r="Q11210">
        <v>0</v>
      </c>
      <c r="R11210" t="s">
        <v>45109</v>
      </c>
      <c r="S11210" t="s">
        <v>45478</v>
      </c>
      <c r="T11210" t="s">
        <v>47159</v>
      </c>
      <c r="U11210" t="s">
        <v>56681</v>
      </c>
      <c r="W11210" t="s">
        <v>44587</v>
      </c>
      <c r="X11210" t="s">
        <v>45110</v>
      </c>
    </row>
    <row r="11211" spans="1:24">
      <c r="A11211">
        <f>HYPERLINK("https://www.philgeps.gov.ph/GEPSNONPILOT/Tender/SplashBidNoticeAbstractUI.aspx?menuIndex=3&amp;refID=7025696&amp;Result=3","7025696")</f>
        <v>0</v>
      </c>
      <c r="B11211" t="s">
        <v>2822</v>
      </c>
      <c r="C11211" t="s">
        <v>13890</v>
      </c>
      <c r="D11211" t="s">
        <v>18050</v>
      </c>
      <c r="E11211" t="s">
        <v>19072</v>
      </c>
      <c r="F11211" t="s">
        <v>31575</v>
      </c>
      <c r="G11211" t="s">
        <v>31582</v>
      </c>
      <c r="H11211" t="s">
        <v>31590</v>
      </c>
      <c r="I11211" t="s">
        <v>4046</v>
      </c>
      <c r="J11211" t="s">
        <v>38708</v>
      </c>
      <c r="K11211" t="s">
        <v>41192</v>
      </c>
      <c r="M11211" t="s">
        <v>44600</v>
      </c>
      <c r="N11211" t="s">
        <v>45095</v>
      </c>
      <c r="O11211" t="s">
        <v>45096</v>
      </c>
      <c r="P11211">
        <v>0</v>
      </c>
      <c r="Q11211">
        <v>2</v>
      </c>
      <c r="R11211" t="s">
        <v>45109</v>
      </c>
      <c r="S11211" t="s">
        <v>45478</v>
      </c>
      <c r="T11211" t="s">
        <v>46963</v>
      </c>
      <c r="U11211" t="s">
        <v>56682</v>
      </c>
      <c r="W11211" t="s">
        <v>44600</v>
      </c>
      <c r="X11211" t="s">
        <v>45110</v>
      </c>
    </row>
    <row r="11212" spans="1:24">
      <c r="A11212">
        <f>HYPERLINK("https://www.philgeps.gov.ph/GEPSNONPILOT/Tender/SplashBidNoticeAbstractUI.aspx?menuIndex=3&amp;refID=7025654&amp;Result=3","7025654")</f>
        <v>0</v>
      </c>
      <c r="B11212" t="s">
        <v>1443</v>
      </c>
      <c r="C11212" t="s">
        <v>13891</v>
      </c>
      <c r="D11212" t="s">
        <v>18074</v>
      </c>
      <c r="E11212" t="s">
        <v>27821</v>
      </c>
      <c r="F11212" t="s">
        <v>31574</v>
      </c>
      <c r="G11212" t="s">
        <v>31582</v>
      </c>
      <c r="H11212" t="s">
        <v>31591</v>
      </c>
      <c r="I11212" t="s">
        <v>8822</v>
      </c>
      <c r="J11212" t="s">
        <v>38709</v>
      </c>
      <c r="K11212" t="s">
        <v>41428</v>
      </c>
      <c r="M11212" t="s">
        <v>43523</v>
      </c>
      <c r="N11212" t="s">
        <v>45095</v>
      </c>
      <c r="O11212" t="s">
        <v>45096</v>
      </c>
      <c r="P11212">
        <v>0</v>
      </c>
      <c r="Q11212">
        <v>0</v>
      </c>
      <c r="R11212" t="s">
        <v>45109</v>
      </c>
      <c r="S11212" t="s">
        <v>45478</v>
      </c>
      <c r="T11212" t="s">
        <v>46970</v>
      </c>
      <c r="U11212" t="s">
        <v>56668</v>
      </c>
      <c r="V11212" t="s">
        <v>60477</v>
      </c>
      <c r="W11212" t="s">
        <v>43523</v>
      </c>
      <c r="X11212" t="s">
        <v>45110</v>
      </c>
    </row>
    <row r="11213" spans="1:24">
      <c r="A11213">
        <f>HYPERLINK("https://www.philgeps.gov.ph/GEPSNONPILOT/Tender/SplashBidNoticeAbstractUI.aspx?menuIndex=3&amp;refID=7025635&amp;Result=3","7025635")</f>
        <v>0</v>
      </c>
      <c r="B11213" t="s">
        <v>1819</v>
      </c>
      <c r="C11213" t="s">
        <v>13892</v>
      </c>
      <c r="D11213" t="s">
        <v>18027</v>
      </c>
      <c r="E11213" t="s">
        <v>27822</v>
      </c>
      <c r="F11213" t="s">
        <v>31574</v>
      </c>
      <c r="G11213" t="s">
        <v>31582</v>
      </c>
      <c r="H11213" t="s">
        <v>31591</v>
      </c>
      <c r="I11213" t="s">
        <v>8822</v>
      </c>
      <c r="J11213" t="s">
        <v>34697</v>
      </c>
      <c r="K11213" t="s">
        <v>41189</v>
      </c>
      <c r="L11213" t="s">
        <v>1819</v>
      </c>
      <c r="M11213" t="s">
        <v>43454</v>
      </c>
      <c r="N11213" t="s">
        <v>45095</v>
      </c>
      <c r="O11213" t="s">
        <v>45096</v>
      </c>
      <c r="P11213">
        <v>0</v>
      </c>
      <c r="Q11213">
        <v>2</v>
      </c>
      <c r="R11213" t="s">
        <v>45109</v>
      </c>
      <c r="S11213" t="s">
        <v>45478</v>
      </c>
      <c r="T11213" t="s">
        <v>47391</v>
      </c>
      <c r="U11213" t="s">
        <v>56644</v>
      </c>
      <c r="W11213" t="s">
        <v>43454</v>
      </c>
      <c r="X11213" t="s">
        <v>45110</v>
      </c>
    </row>
    <row r="11214" spans="1:24">
      <c r="A11214">
        <f>HYPERLINK("https://www.philgeps.gov.ph/GEPSNONPILOT/Tender/SplashBidNoticeAbstractUI.aspx?menuIndex=3&amp;refID=7025695&amp;Result=3","7025695")</f>
        <v>0</v>
      </c>
      <c r="B11214" t="s">
        <v>2823</v>
      </c>
      <c r="C11214" t="s">
        <v>13893</v>
      </c>
      <c r="D11214" t="s">
        <v>18076</v>
      </c>
      <c r="E11214" t="s">
        <v>27823</v>
      </c>
      <c r="F11214" t="s">
        <v>31574</v>
      </c>
      <c r="G11214" t="s">
        <v>31582</v>
      </c>
      <c r="H11214" t="s">
        <v>31590</v>
      </c>
      <c r="I11214" t="s">
        <v>4046</v>
      </c>
      <c r="J11214" t="s">
        <v>38710</v>
      </c>
      <c r="K11214" t="s">
        <v>41265</v>
      </c>
      <c r="M11214" t="s">
        <v>44601</v>
      </c>
      <c r="N11214" t="s">
        <v>45095</v>
      </c>
      <c r="O11214" t="s">
        <v>45096</v>
      </c>
      <c r="P11214">
        <v>0</v>
      </c>
      <c r="Q11214">
        <v>0</v>
      </c>
      <c r="R11214" t="s">
        <v>45109</v>
      </c>
      <c r="S11214" t="s">
        <v>45478</v>
      </c>
      <c r="T11214" t="s">
        <v>46973</v>
      </c>
      <c r="U11214" t="s">
        <v>56683</v>
      </c>
      <c r="W11214" t="s">
        <v>61758</v>
      </c>
      <c r="X11214" t="s">
        <v>45110</v>
      </c>
    </row>
    <row r="11215" spans="1:24">
      <c r="A11215">
        <f>HYPERLINK("https://www.philgeps.gov.ph/GEPSNONPILOT/Tender/SplashBidNoticeAbstractUI.aspx?menuIndex=3&amp;refID=7025631&amp;Result=3","7025631")</f>
        <v>0</v>
      </c>
      <c r="B11215" t="s">
        <v>2057</v>
      </c>
      <c r="C11215" t="s">
        <v>13894</v>
      </c>
      <c r="D11215" t="s">
        <v>18057</v>
      </c>
      <c r="E11215" t="s">
        <v>27824</v>
      </c>
      <c r="F11215" t="s">
        <v>31574</v>
      </c>
      <c r="G11215" t="s">
        <v>31582</v>
      </c>
      <c r="H11215" t="s">
        <v>31591</v>
      </c>
      <c r="I11215" t="s">
        <v>8822</v>
      </c>
      <c r="J11215" t="s">
        <v>38711</v>
      </c>
      <c r="K11215" t="s">
        <v>41186</v>
      </c>
      <c r="M11215" t="s">
        <v>43727</v>
      </c>
      <c r="N11215" t="s">
        <v>45095</v>
      </c>
      <c r="O11215" t="s">
        <v>45096</v>
      </c>
      <c r="P11215">
        <v>0</v>
      </c>
      <c r="Q11215">
        <v>2</v>
      </c>
      <c r="R11215" t="s">
        <v>45109</v>
      </c>
      <c r="S11215" t="s">
        <v>45478</v>
      </c>
      <c r="T11215" t="s">
        <v>47371</v>
      </c>
      <c r="U11215" t="s">
        <v>56684</v>
      </c>
      <c r="W11215" t="s">
        <v>43727</v>
      </c>
      <c r="X11215" t="s">
        <v>45110</v>
      </c>
    </row>
    <row r="11216" spans="1:24">
      <c r="A11216">
        <f>HYPERLINK("https://www.philgeps.gov.ph/GEPSNONPILOT/Tender/SplashBidNoticeAbstractUI.aspx?menuIndex=3&amp;refID=7025676&amp;Result=3","7025676")</f>
        <v>0</v>
      </c>
      <c r="B11216" t="s">
        <v>991</v>
      </c>
      <c r="C11216" t="s">
        <v>13895</v>
      </c>
      <c r="D11216" t="s">
        <v>18044</v>
      </c>
      <c r="E11216" t="s">
        <v>27825</v>
      </c>
      <c r="F11216" t="s">
        <v>31574</v>
      </c>
      <c r="G11216" t="s">
        <v>31582</v>
      </c>
      <c r="H11216" t="s">
        <v>31590</v>
      </c>
      <c r="I11216" t="s">
        <v>4327</v>
      </c>
      <c r="J11216" t="s">
        <v>38712</v>
      </c>
      <c r="K11216" t="s">
        <v>41193</v>
      </c>
      <c r="M11216" t="s">
        <v>42526</v>
      </c>
      <c r="N11216" t="s">
        <v>45095</v>
      </c>
      <c r="O11216" t="s">
        <v>45096</v>
      </c>
      <c r="P11216">
        <v>0</v>
      </c>
      <c r="Q11216">
        <v>0</v>
      </c>
      <c r="R11216" t="s">
        <v>45109</v>
      </c>
      <c r="S11216" t="s">
        <v>45478</v>
      </c>
      <c r="T11216" t="s">
        <v>47177</v>
      </c>
      <c r="U11216" t="s">
        <v>55438</v>
      </c>
      <c r="W11216" t="s">
        <v>42526</v>
      </c>
      <c r="X11216" t="s">
        <v>45110</v>
      </c>
    </row>
    <row r="11217" spans="1:24">
      <c r="A11217">
        <f>HYPERLINK("https://www.philgeps.gov.ph/GEPSNONPILOT/Tender/SplashBidNoticeAbstractUI.aspx?menuIndex=3&amp;refID=7025679&amp;Result=3","7025679")</f>
        <v>0</v>
      </c>
      <c r="B11217" t="s">
        <v>2823</v>
      </c>
      <c r="C11217" t="s">
        <v>8146</v>
      </c>
      <c r="D11217" t="s">
        <v>18076</v>
      </c>
      <c r="E11217" t="s">
        <v>27826</v>
      </c>
      <c r="F11217" t="s">
        <v>31574</v>
      </c>
      <c r="G11217" t="s">
        <v>31582</v>
      </c>
      <c r="H11217" t="s">
        <v>31591</v>
      </c>
      <c r="I11217" t="s">
        <v>8822</v>
      </c>
      <c r="J11217" t="s">
        <v>38713</v>
      </c>
      <c r="K11217" t="s">
        <v>41221</v>
      </c>
      <c r="M11217" t="s">
        <v>44601</v>
      </c>
      <c r="N11217" t="s">
        <v>45095</v>
      </c>
      <c r="O11217" t="s">
        <v>45096</v>
      </c>
      <c r="P11217">
        <v>0</v>
      </c>
      <c r="Q11217">
        <v>0</v>
      </c>
      <c r="R11217" t="s">
        <v>45109</v>
      </c>
      <c r="S11217" t="s">
        <v>45478</v>
      </c>
      <c r="T11217" t="s">
        <v>47105</v>
      </c>
      <c r="U11217" t="s">
        <v>56685</v>
      </c>
      <c r="W11217" t="s">
        <v>61758</v>
      </c>
      <c r="X11217" t="s">
        <v>45110</v>
      </c>
    </row>
    <row r="11218" spans="1:24">
      <c r="A11218">
        <f>HYPERLINK("https://www.philgeps.gov.ph/GEPSNONPILOT/Tender/SplashBidNoticeAbstractUI.aspx?menuIndex=3&amp;refID=7025687&amp;Result=3","7025687")</f>
        <v>0</v>
      </c>
      <c r="B11218" t="s">
        <v>2041</v>
      </c>
      <c r="C11218" t="s">
        <v>13896</v>
      </c>
      <c r="D11218" t="s">
        <v>18049</v>
      </c>
      <c r="E11218" t="s">
        <v>27827</v>
      </c>
      <c r="F11218" t="s">
        <v>31574</v>
      </c>
      <c r="G11218" t="s">
        <v>31587</v>
      </c>
      <c r="H11218" t="s">
        <v>31593</v>
      </c>
      <c r="I11218" t="s">
        <v>8822</v>
      </c>
      <c r="J11218" t="s">
        <v>32839</v>
      </c>
      <c r="K11218" t="s">
        <v>41192</v>
      </c>
      <c r="M11218" t="s">
        <v>43879</v>
      </c>
      <c r="N11218" t="s">
        <v>45095</v>
      </c>
      <c r="O11218" t="s">
        <v>45096</v>
      </c>
      <c r="P11218">
        <v>0</v>
      </c>
      <c r="Q11218">
        <v>0</v>
      </c>
      <c r="R11218" t="s">
        <v>45109</v>
      </c>
      <c r="S11218" t="s">
        <v>45478</v>
      </c>
      <c r="T11218" t="s">
        <v>46965</v>
      </c>
      <c r="U11218" t="s">
        <v>56686</v>
      </c>
      <c r="W11218" t="s">
        <v>43879</v>
      </c>
      <c r="X11218" t="s">
        <v>45110</v>
      </c>
    </row>
    <row r="11219" spans="1:24">
      <c r="A11219">
        <f>HYPERLINK("https://www.philgeps.gov.ph/GEPSNONPILOT/Tender/SplashBidNoticeAbstractUI.aspx?menuIndex=3&amp;refID=7025673&amp;Result=3","7025673")</f>
        <v>0</v>
      </c>
      <c r="B11219" t="s">
        <v>40</v>
      </c>
      <c r="C11219" t="s">
        <v>13897</v>
      </c>
      <c r="D11219" t="s">
        <v>18035</v>
      </c>
      <c r="E11219" t="s">
        <v>27828</v>
      </c>
      <c r="F11219" t="s">
        <v>31574</v>
      </c>
      <c r="G11219" t="s">
        <v>31582</v>
      </c>
      <c r="H11219" t="s">
        <v>31591</v>
      </c>
      <c r="I11219" t="s">
        <v>8822</v>
      </c>
      <c r="J11219" t="s">
        <v>32739</v>
      </c>
      <c r="K11219" t="s">
        <v>41198</v>
      </c>
      <c r="M11219" t="s">
        <v>41523</v>
      </c>
      <c r="N11219" t="s">
        <v>45095</v>
      </c>
      <c r="O11219" t="s">
        <v>45096</v>
      </c>
      <c r="P11219">
        <v>0</v>
      </c>
      <c r="Q11219">
        <v>24</v>
      </c>
      <c r="R11219" t="s">
        <v>45109</v>
      </c>
      <c r="S11219" t="s">
        <v>45478</v>
      </c>
      <c r="T11219" t="s">
        <v>46926</v>
      </c>
      <c r="U11219" t="s">
        <v>56687</v>
      </c>
      <c r="V11219" t="s">
        <v>59850</v>
      </c>
      <c r="W11219" t="s">
        <v>41523</v>
      </c>
      <c r="X11219" t="s">
        <v>45110</v>
      </c>
    </row>
    <row r="11220" spans="1:24">
      <c r="A11220">
        <f>HYPERLINK("https://www.philgeps.gov.ph/GEPSNONPILOT/Tender/SplashBidNoticeAbstractUI.aspx?menuIndex=3&amp;refID=7025688&amp;Result=3","7025688")</f>
        <v>0</v>
      </c>
      <c r="B11220" t="s">
        <v>2405</v>
      </c>
      <c r="C11220" t="s">
        <v>13898</v>
      </c>
      <c r="D11220" t="s">
        <v>18052</v>
      </c>
      <c r="E11220" t="s">
        <v>19923</v>
      </c>
      <c r="F11220" t="s">
        <v>31574</v>
      </c>
      <c r="G11220" t="s">
        <v>31582</v>
      </c>
      <c r="H11220" t="s">
        <v>31591</v>
      </c>
      <c r="I11220" t="s">
        <v>8822</v>
      </c>
      <c r="J11220" t="s">
        <v>31962</v>
      </c>
      <c r="K11220" t="s">
        <v>41189</v>
      </c>
      <c r="M11220" t="s">
        <v>44132</v>
      </c>
      <c r="N11220" t="s">
        <v>45095</v>
      </c>
      <c r="O11220" t="s">
        <v>45096</v>
      </c>
      <c r="P11220">
        <v>0</v>
      </c>
      <c r="Q11220">
        <v>0</v>
      </c>
      <c r="R11220" t="s">
        <v>45109</v>
      </c>
      <c r="S11220" t="s">
        <v>45478</v>
      </c>
      <c r="T11220" t="s">
        <v>47043</v>
      </c>
      <c r="U11220" t="s">
        <v>50981</v>
      </c>
      <c r="W11220" t="s">
        <v>44132</v>
      </c>
      <c r="X11220" t="s">
        <v>45110</v>
      </c>
    </row>
    <row r="11221" spans="1:24">
      <c r="A11221">
        <f>HYPERLINK("https://www.philgeps.gov.ph/GEPSNONPILOT/Tender/SplashBidNoticeAbstractUI.aspx?menuIndex=3&amp;refID=7025698&amp;Result=3","7025698")</f>
        <v>0</v>
      </c>
      <c r="B11221" t="s">
        <v>1819</v>
      </c>
      <c r="C11221" t="s">
        <v>13899</v>
      </c>
      <c r="D11221" t="s">
        <v>18027</v>
      </c>
      <c r="E11221" t="s">
        <v>27829</v>
      </c>
      <c r="F11221" t="s">
        <v>31574</v>
      </c>
      <c r="G11221" t="s">
        <v>31582</v>
      </c>
      <c r="H11221" t="s">
        <v>31591</v>
      </c>
      <c r="I11221" t="s">
        <v>8822</v>
      </c>
      <c r="J11221" t="s">
        <v>38714</v>
      </c>
      <c r="K11221" t="s">
        <v>41189</v>
      </c>
      <c r="L11221" t="s">
        <v>1819</v>
      </c>
      <c r="M11221" t="s">
        <v>43454</v>
      </c>
      <c r="N11221" t="s">
        <v>45095</v>
      </c>
      <c r="O11221" t="s">
        <v>45096</v>
      </c>
      <c r="P11221">
        <v>0</v>
      </c>
      <c r="Q11221">
        <v>1</v>
      </c>
      <c r="R11221" t="s">
        <v>45109</v>
      </c>
      <c r="S11221" t="s">
        <v>45478</v>
      </c>
      <c r="T11221" t="s">
        <v>47391</v>
      </c>
      <c r="U11221" t="s">
        <v>56644</v>
      </c>
      <c r="W11221" t="s">
        <v>43454</v>
      </c>
      <c r="X11221" t="s">
        <v>45110</v>
      </c>
    </row>
    <row r="11222" spans="1:24">
      <c r="A11222">
        <f>HYPERLINK("https://www.philgeps.gov.ph/GEPSNONPILOT/Tender/SplashBidNoticeAbstractUI.aspx?menuIndex=3&amp;refID=7025704&amp;Result=3","7025704")</f>
        <v>0</v>
      </c>
      <c r="B11222" t="s">
        <v>90</v>
      </c>
      <c r="C11222" t="s">
        <v>13900</v>
      </c>
      <c r="E11222" t="s">
        <v>27830</v>
      </c>
      <c r="F11222" t="s">
        <v>31574</v>
      </c>
      <c r="G11222" t="s">
        <v>31582</v>
      </c>
      <c r="H11222" t="s">
        <v>31591</v>
      </c>
      <c r="I11222" t="s">
        <v>8822</v>
      </c>
      <c r="J11222" t="s">
        <v>38715</v>
      </c>
      <c r="K11222" t="s">
        <v>41184</v>
      </c>
      <c r="M11222" t="s">
        <v>41574</v>
      </c>
      <c r="N11222" t="s">
        <v>45095</v>
      </c>
      <c r="O11222" t="s">
        <v>45096</v>
      </c>
      <c r="Q11222">
        <v>2</v>
      </c>
      <c r="R11222" t="s">
        <v>45109</v>
      </c>
      <c r="S11222" t="s">
        <v>45534</v>
      </c>
      <c r="T11222" t="s">
        <v>46968</v>
      </c>
      <c r="U11222" t="s">
        <v>56688</v>
      </c>
      <c r="W11222" t="s">
        <v>41574</v>
      </c>
      <c r="X11222" t="s">
        <v>45110</v>
      </c>
    </row>
    <row r="11223" spans="1:24">
      <c r="A11223">
        <f>HYPERLINK("https://www.philgeps.gov.ph/GEPSNONPILOT/Tender/SplashBidNoticeAbstractUI.aspx?menuIndex=3&amp;refID=7025706&amp;Result=3","7025706")</f>
        <v>0</v>
      </c>
      <c r="B11223" t="s">
        <v>2751</v>
      </c>
      <c r="C11223" t="s">
        <v>13901</v>
      </c>
      <c r="D11223" t="s">
        <v>18049</v>
      </c>
      <c r="E11223" t="s">
        <v>27831</v>
      </c>
      <c r="F11223" t="s">
        <v>31574</v>
      </c>
      <c r="G11223" t="s">
        <v>31582</v>
      </c>
      <c r="H11223" t="s">
        <v>31590</v>
      </c>
      <c r="I11223" t="s">
        <v>7185</v>
      </c>
      <c r="J11223" t="s">
        <v>38716</v>
      </c>
      <c r="K11223" t="s">
        <v>41186</v>
      </c>
      <c r="M11223" t="s">
        <v>44523</v>
      </c>
      <c r="N11223" t="s">
        <v>45095</v>
      </c>
      <c r="O11223" t="s">
        <v>45096</v>
      </c>
      <c r="P11223">
        <v>0</v>
      </c>
      <c r="Q11223">
        <v>5</v>
      </c>
      <c r="R11223" t="s">
        <v>45109</v>
      </c>
      <c r="S11223" t="s">
        <v>45478</v>
      </c>
      <c r="T11223" t="s">
        <v>46986</v>
      </c>
      <c r="U11223" t="s">
        <v>56689</v>
      </c>
      <c r="W11223" t="s">
        <v>44523</v>
      </c>
      <c r="X11223" t="s">
        <v>45110</v>
      </c>
    </row>
    <row r="11224" spans="1:24">
      <c r="A11224">
        <f>HYPERLINK("https://www.philgeps.gov.ph/GEPSNONPILOT/Tender/SplashBidNoticeAbstractUI.aspx?menuIndex=3&amp;refID=7025694&amp;Result=3","7025694")</f>
        <v>0</v>
      </c>
      <c r="B11224" t="s">
        <v>495</v>
      </c>
      <c r="C11224" t="s">
        <v>13902</v>
      </c>
      <c r="D11224" t="s">
        <v>18099</v>
      </c>
      <c r="E11224" t="s">
        <v>27832</v>
      </c>
      <c r="F11224" t="s">
        <v>31574</v>
      </c>
      <c r="G11224" t="s">
        <v>31582</v>
      </c>
      <c r="H11224" t="s">
        <v>31590</v>
      </c>
      <c r="I11224" t="s">
        <v>6800</v>
      </c>
      <c r="J11224" t="s">
        <v>38717</v>
      </c>
      <c r="K11224" t="s">
        <v>41190</v>
      </c>
      <c r="M11224" t="s">
        <v>41991</v>
      </c>
      <c r="N11224" t="s">
        <v>45095</v>
      </c>
      <c r="O11224" t="s">
        <v>45096</v>
      </c>
      <c r="P11224">
        <v>0</v>
      </c>
      <c r="Q11224">
        <v>2</v>
      </c>
      <c r="R11224" t="s">
        <v>45109</v>
      </c>
      <c r="S11224" t="s">
        <v>45478</v>
      </c>
      <c r="T11224" t="s">
        <v>47243</v>
      </c>
      <c r="U11224" t="s">
        <v>56690</v>
      </c>
      <c r="W11224" t="s">
        <v>41991</v>
      </c>
      <c r="X11224" t="s">
        <v>45110</v>
      </c>
    </row>
    <row r="11225" spans="1:24">
      <c r="A11225">
        <f>HYPERLINK("https://www.philgeps.gov.ph/GEPSNONPILOT/Tender/SplashBidNoticeAbstractUI.aspx?menuIndex=3&amp;refID=7025707&amp;Result=3","7025707")</f>
        <v>0</v>
      </c>
      <c r="B11225" t="s">
        <v>2467</v>
      </c>
      <c r="C11225" t="s">
        <v>13903</v>
      </c>
      <c r="D11225" t="s">
        <v>18059</v>
      </c>
      <c r="E11225" t="s">
        <v>27833</v>
      </c>
      <c r="F11225" t="s">
        <v>31574</v>
      </c>
      <c r="G11225" t="s">
        <v>31582</v>
      </c>
      <c r="H11225" t="s">
        <v>31590</v>
      </c>
      <c r="I11225" t="s">
        <v>31615</v>
      </c>
      <c r="J11225" t="s">
        <v>34483</v>
      </c>
      <c r="K11225" t="s">
        <v>41194</v>
      </c>
      <c r="M11225" t="s">
        <v>44196</v>
      </c>
      <c r="N11225" t="s">
        <v>45095</v>
      </c>
      <c r="O11225" t="s">
        <v>45096</v>
      </c>
      <c r="P11225">
        <v>0</v>
      </c>
      <c r="Q11225">
        <v>5</v>
      </c>
      <c r="R11225" t="s">
        <v>45109</v>
      </c>
      <c r="S11225" t="s">
        <v>45478</v>
      </c>
      <c r="T11225" t="s">
        <v>46926</v>
      </c>
      <c r="U11225" t="s">
        <v>56691</v>
      </c>
      <c r="W11225" t="s">
        <v>44196</v>
      </c>
      <c r="X11225" t="s">
        <v>45110</v>
      </c>
    </row>
    <row r="11226" spans="1:24">
      <c r="A11226">
        <f>HYPERLINK("https://www.philgeps.gov.ph/GEPSNONPILOT/Tender/SplashBidNoticeAbstractUI.aspx?menuIndex=3&amp;refID=7025714&amp;Result=3","7025714")</f>
        <v>0</v>
      </c>
      <c r="B11226" t="s">
        <v>2405</v>
      </c>
      <c r="C11226" t="s">
        <v>13904</v>
      </c>
      <c r="D11226" t="s">
        <v>18052</v>
      </c>
      <c r="E11226" t="s">
        <v>19936</v>
      </c>
      <c r="F11226" t="s">
        <v>31574</v>
      </c>
      <c r="G11226" t="s">
        <v>31582</v>
      </c>
      <c r="H11226" t="s">
        <v>31591</v>
      </c>
      <c r="I11226" t="s">
        <v>8822</v>
      </c>
      <c r="J11226" t="s">
        <v>31744</v>
      </c>
      <c r="K11226" t="s">
        <v>41192</v>
      </c>
      <c r="M11226" t="s">
        <v>44132</v>
      </c>
      <c r="N11226" t="s">
        <v>45095</v>
      </c>
      <c r="O11226" t="s">
        <v>45096</v>
      </c>
      <c r="P11226">
        <v>0</v>
      </c>
      <c r="Q11226">
        <v>0</v>
      </c>
      <c r="R11226" t="s">
        <v>45109</v>
      </c>
      <c r="S11226" t="s">
        <v>45478</v>
      </c>
      <c r="T11226" t="s">
        <v>47043</v>
      </c>
      <c r="U11226" t="s">
        <v>50981</v>
      </c>
      <c r="W11226" t="s">
        <v>44132</v>
      </c>
      <c r="X11226" t="s">
        <v>45110</v>
      </c>
    </row>
    <row r="11227" spans="1:24">
      <c r="A11227">
        <f>HYPERLINK("https://www.philgeps.gov.ph/GEPSNONPILOT/Tender/SplashBidNoticeAbstractUI.aspx?menuIndex=3&amp;refID=7025717&amp;Result=3","7025717")</f>
        <v>0</v>
      </c>
      <c r="B11227" t="s">
        <v>1819</v>
      </c>
      <c r="C11227" t="s">
        <v>13905</v>
      </c>
      <c r="D11227" t="s">
        <v>18027</v>
      </c>
      <c r="E11227" t="s">
        <v>27834</v>
      </c>
      <c r="F11227" t="s">
        <v>31574</v>
      </c>
      <c r="G11227" t="s">
        <v>31582</v>
      </c>
      <c r="H11227" t="s">
        <v>31591</v>
      </c>
      <c r="I11227" t="s">
        <v>8822</v>
      </c>
      <c r="J11227" t="s">
        <v>33215</v>
      </c>
      <c r="K11227" t="s">
        <v>41189</v>
      </c>
      <c r="L11227" t="s">
        <v>1819</v>
      </c>
      <c r="M11227" t="s">
        <v>43454</v>
      </c>
      <c r="N11227" t="s">
        <v>45095</v>
      </c>
      <c r="O11227" t="s">
        <v>45096</v>
      </c>
      <c r="P11227">
        <v>0</v>
      </c>
      <c r="Q11227">
        <v>0</v>
      </c>
      <c r="R11227" t="s">
        <v>45109</v>
      </c>
      <c r="S11227" t="s">
        <v>45478</v>
      </c>
      <c r="T11227" t="s">
        <v>47391</v>
      </c>
      <c r="U11227" t="s">
        <v>56644</v>
      </c>
      <c r="W11227" t="s">
        <v>43454</v>
      </c>
      <c r="X11227" t="s">
        <v>45110</v>
      </c>
    </row>
    <row r="11228" spans="1:24">
      <c r="A11228">
        <f>HYPERLINK("https://www.philgeps.gov.ph/GEPSNONPILOT/Tender/SplashBidNoticeAbstractUI.aspx?menuIndex=3&amp;refID=7025758&amp;Result=3","7025758")</f>
        <v>0</v>
      </c>
      <c r="B11228" t="s">
        <v>1819</v>
      </c>
      <c r="C11228" t="s">
        <v>13906</v>
      </c>
      <c r="D11228" t="s">
        <v>18027</v>
      </c>
      <c r="E11228" t="s">
        <v>27835</v>
      </c>
      <c r="F11228" t="s">
        <v>31574</v>
      </c>
      <c r="G11228" t="s">
        <v>31582</v>
      </c>
      <c r="H11228" t="s">
        <v>31591</v>
      </c>
      <c r="I11228" t="s">
        <v>8822</v>
      </c>
      <c r="J11228" t="s">
        <v>33574</v>
      </c>
      <c r="K11228" t="s">
        <v>41186</v>
      </c>
      <c r="L11228" t="s">
        <v>1819</v>
      </c>
      <c r="M11228" t="s">
        <v>43454</v>
      </c>
      <c r="N11228" t="s">
        <v>45095</v>
      </c>
      <c r="O11228" t="s">
        <v>45096</v>
      </c>
      <c r="P11228">
        <v>0</v>
      </c>
      <c r="Q11228">
        <v>1</v>
      </c>
      <c r="R11228" t="s">
        <v>45109</v>
      </c>
      <c r="S11228" t="s">
        <v>45478</v>
      </c>
      <c r="T11228" t="s">
        <v>47391</v>
      </c>
      <c r="U11228" t="s">
        <v>56644</v>
      </c>
      <c r="W11228" t="s">
        <v>43454</v>
      </c>
      <c r="X11228" t="s">
        <v>45110</v>
      </c>
    </row>
    <row r="11229" spans="1:24">
      <c r="A11229">
        <f>HYPERLINK("https://www.philgeps.gov.ph/GEPSNONPILOT/Tender/SplashBidNoticeAbstractUI.aspx?menuIndex=3&amp;refID=7025721&amp;Result=3","7025721")</f>
        <v>0</v>
      </c>
      <c r="B11229" t="s">
        <v>40</v>
      </c>
      <c r="C11229" t="s">
        <v>13907</v>
      </c>
      <c r="D11229" t="s">
        <v>18035</v>
      </c>
      <c r="E11229" t="s">
        <v>27836</v>
      </c>
      <c r="F11229" t="s">
        <v>31574</v>
      </c>
      <c r="G11229" t="s">
        <v>31582</v>
      </c>
      <c r="H11229" t="s">
        <v>31591</v>
      </c>
      <c r="I11229" t="s">
        <v>8822</v>
      </c>
      <c r="J11229" t="s">
        <v>33574</v>
      </c>
      <c r="K11229" t="s">
        <v>41192</v>
      </c>
      <c r="M11229" t="s">
        <v>41523</v>
      </c>
      <c r="N11229" t="s">
        <v>45095</v>
      </c>
      <c r="O11229" t="s">
        <v>45096</v>
      </c>
      <c r="P11229">
        <v>0</v>
      </c>
      <c r="Q11229">
        <v>20</v>
      </c>
      <c r="R11229" t="s">
        <v>45109</v>
      </c>
      <c r="S11229" t="s">
        <v>45478</v>
      </c>
      <c r="T11229" t="s">
        <v>46926</v>
      </c>
      <c r="U11229" t="s">
        <v>47493</v>
      </c>
      <c r="V11229" t="s">
        <v>59850</v>
      </c>
      <c r="W11229" t="s">
        <v>41523</v>
      </c>
      <c r="X11229" t="s">
        <v>45110</v>
      </c>
    </row>
    <row r="11230" spans="1:24">
      <c r="A11230">
        <f>HYPERLINK("https://www.philgeps.gov.ph/GEPSNONPILOT/Tender/SplashBidNoticeAbstractUI.aspx?menuIndex=3&amp;refID=7025752&amp;Result=3","7025752")</f>
        <v>0</v>
      </c>
      <c r="B11230" t="s">
        <v>239</v>
      </c>
      <c r="C11230" t="s">
        <v>13908</v>
      </c>
      <c r="D11230" t="s">
        <v>18024</v>
      </c>
      <c r="E11230" t="s">
        <v>27837</v>
      </c>
      <c r="F11230" t="s">
        <v>31574</v>
      </c>
      <c r="G11230" t="s">
        <v>31582</v>
      </c>
      <c r="H11230" t="s">
        <v>31590</v>
      </c>
      <c r="I11230" t="s">
        <v>31644</v>
      </c>
      <c r="J11230" t="s">
        <v>32523</v>
      </c>
      <c r="K11230" t="s">
        <v>41190</v>
      </c>
      <c r="M11230" t="s">
        <v>41725</v>
      </c>
      <c r="N11230" t="s">
        <v>45095</v>
      </c>
      <c r="O11230" t="s">
        <v>45096</v>
      </c>
      <c r="P11230">
        <v>0</v>
      </c>
      <c r="Q11230">
        <v>3</v>
      </c>
      <c r="R11230" t="s">
        <v>45109</v>
      </c>
      <c r="S11230" t="s">
        <v>45478</v>
      </c>
      <c r="T11230" t="s">
        <v>47177</v>
      </c>
      <c r="U11230" t="s">
        <v>56692</v>
      </c>
      <c r="W11230" t="s">
        <v>41725</v>
      </c>
      <c r="X11230" t="s">
        <v>45110</v>
      </c>
    </row>
    <row r="11231" spans="1:24">
      <c r="A11231">
        <f>HYPERLINK("https://www.philgeps.gov.ph/GEPSNONPILOT/Tender/SplashBidNoticeAbstractUI.aspx?menuIndex=3&amp;refID=7025742&amp;Result=3","7025742")</f>
        <v>0</v>
      </c>
      <c r="B11231" t="s">
        <v>1819</v>
      </c>
      <c r="C11231" t="s">
        <v>13909</v>
      </c>
      <c r="D11231" t="s">
        <v>18027</v>
      </c>
      <c r="E11231" t="s">
        <v>27838</v>
      </c>
      <c r="F11231" t="s">
        <v>31574</v>
      </c>
      <c r="G11231" t="s">
        <v>31582</v>
      </c>
      <c r="H11231" t="s">
        <v>31591</v>
      </c>
      <c r="I11231" t="s">
        <v>8822</v>
      </c>
      <c r="J11231" t="s">
        <v>34070</v>
      </c>
      <c r="K11231" t="s">
        <v>41368</v>
      </c>
      <c r="L11231" t="s">
        <v>1819</v>
      </c>
      <c r="M11231" t="s">
        <v>43454</v>
      </c>
      <c r="N11231" t="s">
        <v>45095</v>
      </c>
      <c r="O11231" t="s">
        <v>45096</v>
      </c>
      <c r="P11231">
        <v>0</v>
      </c>
      <c r="Q11231">
        <v>0</v>
      </c>
      <c r="R11231" t="s">
        <v>45109</v>
      </c>
      <c r="S11231" t="s">
        <v>45478</v>
      </c>
      <c r="T11231" t="s">
        <v>47391</v>
      </c>
      <c r="U11231" t="s">
        <v>56644</v>
      </c>
      <c r="W11231" t="s">
        <v>43454</v>
      </c>
      <c r="X11231" t="s">
        <v>45110</v>
      </c>
    </row>
    <row r="11232" spans="1:24">
      <c r="A11232">
        <f>HYPERLINK("https://www.philgeps.gov.ph/GEPSNONPILOT/Tender/SplashBidNoticeAbstractUI.aspx?menuIndex=3&amp;refID=7025757&amp;Result=3","7025757")</f>
        <v>0</v>
      </c>
      <c r="B11232" t="s">
        <v>2405</v>
      </c>
      <c r="C11232" t="s">
        <v>13910</v>
      </c>
      <c r="D11232" t="s">
        <v>18052</v>
      </c>
      <c r="E11232" t="s">
        <v>19936</v>
      </c>
      <c r="F11232" t="s">
        <v>31574</v>
      </c>
      <c r="G11232" t="s">
        <v>31582</v>
      </c>
      <c r="H11232" t="s">
        <v>31591</v>
      </c>
      <c r="I11232" t="s">
        <v>8822</v>
      </c>
      <c r="J11232" t="s">
        <v>32214</v>
      </c>
      <c r="K11232" t="s">
        <v>41192</v>
      </c>
      <c r="M11232" t="s">
        <v>44132</v>
      </c>
      <c r="N11232" t="s">
        <v>45095</v>
      </c>
      <c r="O11232" t="s">
        <v>45096</v>
      </c>
      <c r="P11232">
        <v>0</v>
      </c>
      <c r="Q11232">
        <v>0</v>
      </c>
      <c r="R11232" t="s">
        <v>45109</v>
      </c>
      <c r="S11232" t="s">
        <v>45478</v>
      </c>
      <c r="T11232" t="s">
        <v>47043</v>
      </c>
      <c r="U11232" t="s">
        <v>50981</v>
      </c>
      <c r="W11232" t="s">
        <v>44132</v>
      </c>
      <c r="X11232" t="s">
        <v>45110</v>
      </c>
    </row>
    <row r="11233" spans="1:24">
      <c r="A11233">
        <f>HYPERLINK("https://www.philgeps.gov.ph/GEPSNONPILOT/Tender/SplashBidNoticeAbstractUI.aspx?menuIndex=3&amp;refID=7025730&amp;Result=3","7025730")</f>
        <v>0</v>
      </c>
      <c r="B11233" t="s">
        <v>1874</v>
      </c>
      <c r="C11233" t="s">
        <v>13911</v>
      </c>
      <c r="D11233" t="s">
        <v>18087</v>
      </c>
      <c r="E11233" t="s">
        <v>27839</v>
      </c>
      <c r="F11233" t="s">
        <v>31574</v>
      </c>
      <c r="G11233" t="s">
        <v>31582</v>
      </c>
      <c r="H11233" t="s">
        <v>31590</v>
      </c>
      <c r="I11233" t="s">
        <v>31604</v>
      </c>
      <c r="J11233" t="s">
        <v>32682</v>
      </c>
      <c r="K11233" t="s">
        <v>41190</v>
      </c>
      <c r="M11233" t="s">
        <v>43514</v>
      </c>
      <c r="N11233" t="s">
        <v>45095</v>
      </c>
      <c r="O11233" t="s">
        <v>45096</v>
      </c>
      <c r="P11233">
        <v>0</v>
      </c>
      <c r="Q11233">
        <v>0</v>
      </c>
      <c r="R11233" t="s">
        <v>45109</v>
      </c>
      <c r="S11233" t="s">
        <v>45478</v>
      </c>
      <c r="T11233" t="s">
        <v>46918</v>
      </c>
      <c r="U11233" t="s">
        <v>56693</v>
      </c>
      <c r="V11233" t="s">
        <v>61039</v>
      </c>
      <c r="W11233" t="s">
        <v>43514</v>
      </c>
      <c r="X11233" t="s">
        <v>45110</v>
      </c>
    </row>
    <row r="11234" spans="1:24">
      <c r="A11234">
        <f>HYPERLINK("https://www.philgeps.gov.ph/GEPSNONPILOT/Tender/SplashBidNoticeAbstractUI.aspx?menuIndex=3&amp;refID=7025741&amp;Result=3","7025741")</f>
        <v>0</v>
      </c>
      <c r="B11234" t="s">
        <v>90</v>
      </c>
      <c r="C11234" t="s">
        <v>13912</v>
      </c>
      <c r="E11234" t="s">
        <v>27840</v>
      </c>
      <c r="F11234" t="s">
        <v>31574</v>
      </c>
      <c r="G11234" t="s">
        <v>31582</v>
      </c>
      <c r="H11234" t="s">
        <v>31591</v>
      </c>
      <c r="I11234" t="s">
        <v>8822</v>
      </c>
      <c r="J11234" t="s">
        <v>38718</v>
      </c>
      <c r="K11234" t="s">
        <v>41184</v>
      </c>
      <c r="M11234" t="s">
        <v>41574</v>
      </c>
      <c r="N11234" t="s">
        <v>45095</v>
      </c>
      <c r="O11234" t="s">
        <v>45096</v>
      </c>
      <c r="Q11234">
        <v>1</v>
      </c>
      <c r="R11234" t="s">
        <v>45109</v>
      </c>
      <c r="S11234" t="s">
        <v>45535</v>
      </c>
      <c r="T11234" t="s">
        <v>47112</v>
      </c>
      <c r="U11234" t="s">
        <v>56694</v>
      </c>
      <c r="W11234" t="s">
        <v>41574</v>
      </c>
      <c r="X11234" t="s">
        <v>45110</v>
      </c>
    </row>
    <row r="11235" spans="1:24">
      <c r="A11235">
        <f>HYPERLINK("https://www.philgeps.gov.ph/GEPSNONPILOT/Tender/SplashBidNoticeAbstractUI.aspx?menuIndex=3&amp;refID=7025745&amp;Result=3","7025745")</f>
        <v>0</v>
      </c>
      <c r="B11235" t="s">
        <v>1874</v>
      </c>
      <c r="C11235" t="s">
        <v>13913</v>
      </c>
      <c r="D11235" t="s">
        <v>18087</v>
      </c>
      <c r="E11235" t="s">
        <v>27841</v>
      </c>
      <c r="F11235" t="s">
        <v>31574</v>
      </c>
      <c r="G11235" t="s">
        <v>31582</v>
      </c>
      <c r="H11235" t="s">
        <v>31590</v>
      </c>
      <c r="I11235" t="s">
        <v>4046</v>
      </c>
      <c r="J11235" t="s">
        <v>38719</v>
      </c>
      <c r="K11235" t="s">
        <v>41190</v>
      </c>
      <c r="M11235" t="s">
        <v>43514</v>
      </c>
      <c r="N11235" t="s">
        <v>45095</v>
      </c>
      <c r="O11235" t="s">
        <v>45096</v>
      </c>
      <c r="P11235">
        <v>0</v>
      </c>
      <c r="Q11235">
        <v>0</v>
      </c>
      <c r="R11235" t="s">
        <v>45109</v>
      </c>
      <c r="S11235" t="s">
        <v>45478</v>
      </c>
      <c r="T11235" t="s">
        <v>46918</v>
      </c>
      <c r="U11235" t="s">
        <v>49043</v>
      </c>
      <c r="V11235" t="s">
        <v>61039</v>
      </c>
      <c r="W11235" t="s">
        <v>43514</v>
      </c>
      <c r="X11235" t="s">
        <v>45110</v>
      </c>
    </row>
    <row r="11236" spans="1:24">
      <c r="A11236">
        <f>HYPERLINK("https://www.philgeps.gov.ph/GEPSNONPILOT/Tender/SplashBidNoticeAbstractUI.aspx?menuIndex=3&amp;refID=7025736&amp;Result=3","7025736")</f>
        <v>0</v>
      </c>
      <c r="B11236" t="s">
        <v>196</v>
      </c>
      <c r="C11236" t="s">
        <v>13914</v>
      </c>
      <c r="D11236" t="s">
        <v>18046</v>
      </c>
      <c r="E11236" t="s">
        <v>27842</v>
      </c>
      <c r="F11236" t="s">
        <v>31574</v>
      </c>
      <c r="G11236" t="s">
        <v>31582</v>
      </c>
      <c r="H11236" t="s">
        <v>31591</v>
      </c>
      <c r="I11236" t="s">
        <v>8822</v>
      </c>
      <c r="J11236" t="s">
        <v>33252</v>
      </c>
      <c r="K11236" t="s">
        <v>41301</v>
      </c>
      <c r="M11236" t="s">
        <v>41681</v>
      </c>
      <c r="N11236" t="s">
        <v>45095</v>
      </c>
      <c r="O11236" t="s">
        <v>45096</v>
      </c>
      <c r="P11236">
        <v>0</v>
      </c>
      <c r="Q11236">
        <v>1</v>
      </c>
      <c r="R11236" t="s">
        <v>45109</v>
      </c>
      <c r="S11236" t="s">
        <v>45478</v>
      </c>
      <c r="T11236" t="s">
        <v>46922</v>
      </c>
      <c r="U11236" t="s">
        <v>56695</v>
      </c>
      <c r="W11236" t="s">
        <v>41681</v>
      </c>
      <c r="X11236" t="s">
        <v>45110</v>
      </c>
    </row>
    <row r="11237" spans="1:24">
      <c r="A11237">
        <f>HYPERLINK("https://www.philgeps.gov.ph/GEPSNONPILOT/Tender/SplashBidNoticeAbstractUI.aspx?menuIndex=3&amp;refID=7025725&amp;Result=3","7025725")</f>
        <v>0</v>
      </c>
      <c r="B11237" t="s">
        <v>2823</v>
      </c>
      <c r="C11237" t="s">
        <v>13915</v>
      </c>
      <c r="D11237" t="s">
        <v>18076</v>
      </c>
      <c r="E11237" t="s">
        <v>27843</v>
      </c>
      <c r="F11237" t="s">
        <v>31574</v>
      </c>
      <c r="G11237" t="s">
        <v>31582</v>
      </c>
      <c r="H11237" t="s">
        <v>31590</v>
      </c>
      <c r="I11237" t="s">
        <v>4046</v>
      </c>
      <c r="J11237" t="s">
        <v>38720</v>
      </c>
      <c r="K11237" t="s">
        <v>41240</v>
      </c>
      <c r="M11237" t="s">
        <v>44601</v>
      </c>
      <c r="N11237" t="s">
        <v>45095</v>
      </c>
      <c r="O11237" t="s">
        <v>45096</v>
      </c>
      <c r="P11237">
        <v>0</v>
      </c>
      <c r="Q11237">
        <v>0</v>
      </c>
      <c r="R11237" t="s">
        <v>45109</v>
      </c>
      <c r="S11237" t="s">
        <v>45478</v>
      </c>
      <c r="T11237" t="s">
        <v>47228</v>
      </c>
      <c r="U11237" t="s">
        <v>56696</v>
      </c>
      <c r="W11237" t="s">
        <v>61758</v>
      </c>
      <c r="X11237" t="s">
        <v>45110</v>
      </c>
    </row>
    <row r="11238" spans="1:24">
      <c r="A11238">
        <f>HYPERLINK("https://www.philgeps.gov.ph/GEPSNONPILOT/Tender/SplashBidNoticeAbstractUI.aspx?menuIndex=3&amp;refID=7025762&amp;Result=3","7025762")</f>
        <v>0</v>
      </c>
      <c r="B11238" t="s">
        <v>1874</v>
      </c>
      <c r="C11238" t="s">
        <v>13916</v>
      </c>
      <c r="D11238" t="s">
        <v>18087</v>
      </c>
      <c r="E11238" t="s">
        <v>27844</v>
      </c>
      <c r="F11238" t="s">
        <v>31574</v>
      </c>
      <c r="G11238" t="s">
        <v>31582</v>
      </c>
      <c r="H11238" t="s">
        <v>31590</v>
      </c>
      <c r="I11238" t="s">
        <v>4046</v>
      </c>
      <c r="J11238" t="s">
        <v>34429</v>
      </c>
      <c r="K11238" t="s">
        <v>41190</v>
      </c>
      <c r="M11238" t="s">
        <v>43514</v>
      </c>
      <c r="N11238" t="s">
        <v>45095</v>
      </c>
      <c r="O11238" t="s">
        <v>45096</v>
      </c>
      <c r="P11238">
        <v>0</v>
      </c>
      <c r="Q11238">
        <v>0</v>
      </c>
      <c r="R11238" t="s">
        <v>45109</v>
      </c>
      <c r="S11238" t="s">
        <v>45478</v>
      </c>
      <c r="T11238" t="s">
        <v>46918</v>
      </c>
      <c r="U11238" t="s">
        <v>49043</v>
      </c>
      <c r="V11238" t="s">
        <v>61039</v>
      </c>
      <c r="W11238" t="s">
        <v>43514</v>
      </c>
      <c r="X11238" t="s">
        <v>45110</v>
      </c>
    </row>
    <row r="11239" spans="1:24">
      <c r="A11239">
        <f>HYPERLINK("https://www.philgeps.gov.ph/GEPSNONPILOT/Tender/SplashBidNoticeAbstractUI.aspx?menuIndex=3&amp;refID=7025737&amp;Result=3","7025737")</f>
        <v>0</v>
      </c>
      <c r="B11239" t="s">
        <v>2405</v>
      </c>
      <c r="C11239" t="s">
        <v>13917</v>
      </c>
      <c r="D11239" t="s">
        <v>18052</v>
      </c>
      <c r="E11239" t="s">
        <v>19923</v>
      </c>
      <c r="F11239" t="s">
        <v>31574</v>
      </c>
      <c r="G11239" t="s">
        <v>31582</v>
      </c>
      <c r="H11239" t="s">
        <v>31591</v>
      </c>
      <c r="I11239" t="s">
        <v>8822</v>
      </c>
      <c r="J11239" t="s">
        <v>38721</v>
      </c>
      <c r="K11239" t="s">
        <v>41192</v>
      </c>
      <c r="M11239" t="s">
        <v>44132</v>
      </c>
      <c r="N11239" t="s">
        <v>45095</v>
      </c>
      <c r="O11239" t="s">
        <v>45096</v>
      </c>
      <c r="P11239">
        <v>0</v>
      </c>
      <c r="Q11239">
        <v>0</v>
      </c>
      <c r="R11239" t="s">
        <v>45109</v>
      </c>
      <c r="S11239" t="s">
        <v>45478</v>
      </c>
      <c r="T11239" t="s">
        <v>47043</v>
      </c>
      <c r="U11239" t="s">
        <v>50981</v>
      </c>
      <c r="W11239" t="s">
        <v>44132</v>
      </c>
      <c r="X11239" t="s">
        <v>45110</v>
      </c>
    </row>
    <row r="11240" spans="1:24">
      <c r="A11240">
        <f>HYPERLINK("https://www.philgeps.gov.ph/GEPSNONPILOT/Tender/SplashBidNoticeAbstractUI.aspx?menuIndex=3&amp;refID=7025731&amp;Result=3","7025731")</f>
        <v>0</v>
      </c>
      <c r="B11240" t="s">
        <v>1819</v>
      </c>
      <c r="C11240" t="s">
        <v>13918</v>
      </c>
      <c r="D11240" t="s">
        <v>18027</v>
      </c>
      <c r="E11240" t="s">
        <v>27845</v>
      </c>
      <c r="F11240" t="s">
        <v>31574</v>
      </c>
      <c r="G11240" t="s">
        <v>31582</v>
      </c>
      <c r="H11240" t="s">
        <v>31591</v>
      </c>
      <c r="I11240" t="s">
        <v>8822</v>
      </c>
      <c r="J11240" t="s">
        <v>34070</v>
      </c>
      <c r="K11240" t="s">
        <v>41189</v>
      </c>
      <c r="L11240" t="s">
        <v>1819</v>
      </c>
      <c r="M11240" t="s">
        <v>43454</v>
      </c>
      <c r="N11240" t="s">
        <v>45095</v>
      </c>
      <c r="O11240" t="s">
        <v>45096</v>
      </c>
      <c r="P11240">
        <v>0</v>
      </c>
      <c r="Q11240">
        <v>0</v>
      </c>
      <c r="R11240" t="s">
        <v>45109</v>
      </c>
      <c r="S11240" t="s">
        <v>45478</v>
      </c>
      <c r="T11240" t="s">
        <v>47391</v>
      </c>
      <c r="U11240" t="s">
        <v>56644</v>
      </c>
      <c r="W11240" t="s">
        <v>43454</v>
      </c>
      <c r="X11240" t="s">
        <v>45110</v>
      </c>
    </row>
    <row r="11241" spans="1:24">
      <c r="A11241">
        <f>HYPERLINK("https://www.philgeps.gov.ph/GEPSNONPILOT/Tender/SplashBidNoticeAbstractUI.aspx?menuIndex=3&amp;refID=7025728&amp;Result=3","7025728")</f>
        <v>0</v>
      </c>
      <c r="B11241" t="s">
        <v>90</v>
      </c>
      <c r="C11241" t="s">
        <v>13919</v>
      </c>
      <c r="E11241" t="s">
        <v>27846</v>
      </c>
      <c r="F11241" t="s">
        <v>31574</v>
      </c>
      <c r="G11241" t="s">
        <v>31582</v>
      </c>
      <c r="H11241" t="s">
        <v>31591</v>
      </c>
      <c r="I11241" t="s">
        <v>8822</v>
      </c>
      <c r="J11241" t="s">
        <v>38722</v>
      </c>
      <c r="K11241" t="s">
        <v>41184</v>
      </c>
      <c r="M11241" t="s">
        <v>41574</v>
      </c>
      <c r="N11241" t="s">
        <v>45095</v>
      </c>
      <c r="O11241" t="s">
        <v>45096</v>
      </c>
      <c r="Q11241">
        <v>3</v>
      </c>
      <c r="R11241" t="s">
        <v>45109</v>
      </c>
      <c r="S11241" t="s">
        <v>45536</v>
      </c>
      <c r="T11241" t="s">
        <v>46937</v>
      </c>
      <c r="U11241" t="s">
        <v>56697</v>
      </c>
      <c r="W11241" t="s">
        <v>41574</v>
      </c>
      <c r="X11241" t="s">
        <v>45110</v>
      </c>
    </row>
    <row r="11242" spans="1:24">
      <c r="A11242">
        <f>HYPERLINK("https://www.philgeps.gov.ph/GEPSNONPILOT/Tender/SplashBidNoticeAbstractUI.aspx?menuIndex=3&amp;refID=7025734&amp;Result=3","7025734")</f>
        <v>0</v>
      </c>
      <c r="B11242" t="s">
        <v>1443</v>
      </c>
      <c r="C11242" t="s">
        <v>13920</v>
      </c>
      <c r="D11242" t="s">
        <v>18074</v>
      </c>
      <c r="E11242" t="s">
        <v>27847</v>
      </c>
      <c r="F11242" t="s">
        <v>31574</v>
      </c>
      <c r="G11242" t="s">
        <v>31582</v>
      </c>
      <c r="H11242" t="s">
        <v>31591</v>
      </c>
      <c r="I11242" t="s">
        <v>8822</v>
      </c>
      <c r="J11242" t="s">
        <v>38723</v>
      </c>
      <c r="K11242" t="s">
        <v>41271</v>
      </c>
      <c r="M11242" t="s">
        <v>43523</v>
      </c>
      <c r="N11242" t="s">
        <v>45095</v>
      </c>
      <c r="O11242" t="s">
        <v>45096</v>
      </c>
      <c r="P11242">
        <v>0</v>
      </c>
      <c r="Q11242">
        <v>0</v>
      </c>
      <c r="R11242" t="s">
        <v>45109</v>
      </c>
      <c r="S11242" t="s">
        <v>45478</v>
      </c>
      <c r="T11242" t="s">
        <v>46970</v>
      </c>
      <c r="U11242" t="s">
        <v>56698</v>
      </c>
      <c r="V11242" t="s">
        <v>60477</v>
      </c>
      <c r="W11242" t="s">
        <v>43523</v>
      </c>
      <c r="X11242" t="s">
        <v>45110</v>
      </c>
    </row>
    <row r="11243" spans="1:24">
      <c r="A11243">
        <f>HYPERLINK("https://www.philgeps.gov.ph/GEPSNONPILOT/Tender/SplashBidNoticeAbstractUI.aspx?menuIndex=3&amp;refID=7025775&amp;Result=3","7025775")</f>
        <v>0</v>
      </c>
      <c r="B11243" t="s">
        <v>1874</v>
      </c>
      <c r="C11243" t="s">
        <v>13921</v>
      </c>
      <c r="D11243" t="s">
        <v>18087</v>
      </c>
      <c r="E11243" t="s">
        <v>27848</v>
      </c>
      <c r="F11243" t="s">
        <v>31574</v>
      </c>
      <c r="G11243" t="s">
        <v>31582</v>
      </c>
      <c r="H11243" t="s">
        <v>31590</v>
      </c>
      <c r="I11243" t="s">
        <v>4046</v>
      </c>
      <c r="J11243" t="s">
        <v>34812</v>
      </c>
      <c r="K11243" t="s">
        <v>41190</v>
      </c>
      <c r="M11243" t="s">
        <v>43514</v>
      </c>
      <c r="N11243" t="s">
        <v>45095</v>
      </c>
      <c r="O11243" t="s">
        <v>45096</v>
      </c>
      <c r="P11243">
        <v>0</v>
      </c>
      <c r="Q11243">
        <v>0</v>
      </c>
      <c r="R11243" t="s">
        <v>45109</v>
      </c>
      <c r="S11243" t="s">
        <v>45478</v>
      </c>
      <c r="T11243" t="s">
        <v>46918</v>
      </c>
      <c r="U11243" t="s">
        <v>49043</v>
      </c>
      <c r="V11243" t="s">
        <v>61039</v>
      </c>
      <c r="W11243" t="s">
        <v>43514</v>
      </c>
      <c r="X11243" t="s">
        <v>45110</v>
      </c>
    </row>
    <row r="11244" spans="1:24">
      <c r="A11244">
        <f>HYPERLINK("https://www.philgeps.gov.ph/GEPSNONPILOT/Tender/SplashBidNoticeAbstractUI.aspx?menuIndex=3&amp;refID=7025772&amp;Result=3","7025772")</f>
        <v>0</v>
      </c>
      <c r="B11244" t="s">
        <v>2405</v>
      </c>
      <c r="C11244" t="s">
        <v>13922</v>
      </c>
      <c r="D11244" t="s">
        <v>18052</v>
      </c>
      <c r="E11244" t="s">
        <v>25672</v>
      </c>
      <c r="F11244" t="s">
        <v>31574</v>
      </c>
      <c r="G11244" t="s">
        <v>31582</v>
      </c>
      <c r="H11244" t="s">
        <v>31591</v>
      </c>
      <c r="I11244" t="s">
        <v>8822</v>
      </c>
      <c r="J11244" t="s">
        <v>32012</v>
      </c>
      <c r="K11244" t="s">
        <v>41192</v>
      </c>
      <c r="M11244" t="s">
        <v>44132</v>
      </c>
      <c r="N11244" t="s">
        <v>45095</v>
      </c>
      <c r="O11244" t="s">
        <v>45096</v>
      </c>
      <c r="P11244">
        <v>0</v>
      </c>
      <c r="Q11244">
        <v>0</v>
      </c>
      <c r="R11244" t="s">
        <v>45109</v>
      </c>
      <c r="S11244" t="s">
        <v>45478</v>
      </c>
      <c r="T11244" t="s">
        <v>47043</v>
      </c>
      <c r="U11244" t="s">
        <v>50981</v>
      </c>
      <c r="W11244" t="s">
        <v>44132</v>
      </c>
      <c r="X11244" t="s">
        <v>45110</v>
      </c>
    </row>
    <row r="11245" spans="1:24">
      <c r="A11245">
        <f>HYPERLINK("https://www.philgeps.gov.ph/GEPSNONPILOT/Tender/SplashBidNoticeAbstractUI.aspx?menuIndex=3&amp;refID=7025766&amp;Result=3","7025766")</f>
        <v>0</v>
      </c>
      <c r="B11245" t="s">
        <v>1443</v>
      </c>
      <c r="C11245" t="s">
        <v>13923</v>
      </c>
      <c r="D11245" t="s">
        <v>18074</v>
      </c>
      <c r="E11245" t="s">
        <v>27849</v>
      </c>
      <c r="F11245" t="s">
        <v>31574</v>
      </c>
      <c r="G11245" t="s">
        <v>31582</v>
      </c>
      <c r="H11245" t="s">
        <v>31591</v>
      </c>
      <c r="I11245" t="s">
        <v>8822</v>
      </c>
      <c r="J11245" t="s">
        <v>38724</v>
      </c>
      <c r="K11245" t="s">
        <v>41380</v>
      </c>
      <c r="M11245" t="s">
        <v>43523</v>
      </c>
      <c r="N11245" t="s">
        <v>45095</v>
      </c>
      <c r="O11245" t="s">
        <v>45096</v>
      </c>
      <c r="P11245">
        <v>0</v>
      </c>
      <c r="Q11245">
        <v>0</v>
      </c>
      <c r="R11245" t="s">
        <v>45109</v>
      </c>
      <c r="S11245" t="s">
        <v>45478</v>
      </c>
      <c r="T11245" t="s">
        <v>46970</v>
      </c>
      <c r="U11245" t="s">
        <v>56699</v>
      </c>
      <c r="V11245" t="s">
        <v>60477</v>
      </c>
      <c r="W11245" t="s">
        <v>43523</v>
      </c>
      <c r="X11245" t="s">
        <v>45110</v>
      </c>
    </row>
    <row r="11246" spans="1:24">
      <c r="A11246">
        <f>HYPERLINK("https://www.philgeps.gov.ph/GEPSNONPILOT/Tender/SplashBidNoticeAbstractUI.aspx?menuIndex=3&amp;refID=7025767&amp;Result=3","7025767")</f>
        <v>0</v>
      </c>
      <c r="B11246" t="s">
        <v>1689</v>
      </c>
      <c r="C11246" t="s">
        <v>13924</v>
      </c>
      <c r="E11246" t="s">
        <v>27850</v>
      </c>
      <c r="F11246" t="s">
        <v>31574</v>
      </c>
      <c r="G11246" t="s">
        <v>31582</v>
      </c>
      <c r="H11246" t="s">
        <v>31590</v>
      </c>
      <c r="I11246" t="s">
        <v>31621</v>
      </c>
      <c r="J11246" t="s">
        <v>38725</v>
      </c>
      <c r="K11246" t="s">
        <v>41184</v>
      </c>
      <c r="M11246" t="s">
        <v>44598</v>
      </c>
      <c r="N11246" t="s">
        <v>45095</v>
      </c>
      <c r="O11246" t="s">
        <v>45096</v>
      </c>
      <c r="P11246">
        <v>0</v>
      </c>
      <c r="Q11246">
        <v>3</v>
      </c>
      <c r="R11246" t="s">
        <v>45109</v>
      </c>
      <c r="S11246" t="s">
        <v>45478</v>
      </c>
      <c r="T11246" t="s">
        <v>46923</v>
      </c>
      <c r="U11246" t="s">
        <v>56700</v>
      </c>
      <c r="W11246" t="s">
        <v>44598</v>
      </c>
      <c r="X11246" t="s">
        <v>45110</v>
      </c>
    </row>
    <row r="11247" spans="1:24">
      <c r="A11247">
        <f>HYPERLINK("https://www.philgeps.gov.ph/GEPSNONPILOT/Tender/SplashBidNoticeAbstractUI.aspx?menuIndex=3&amp;refID=7025769&amp;Result=3","7025769")</f>
        <v>0</v>
      </c>
      <c r="B11247" t="s">
        <v>131</v>
      </c>
      <c r="C11247" t="s">
        <v>13925</v>
      </c>
      <c r="D11247" t="s">
        <v>18022</v>
      </c>
      <c r="E11247" t="s">
        <v>27851</v>
      </c>
      <c r="F11247" t="s">
        <v>31574</v>
      </c>
      <c r="G11247" t="s">
        <v>31582</v>
      </c>
      <c r="H11247" t="s">
        <v>31590</v>
      </c>
      <c r="I11247" t="s">
        <v>31612</v>
      </c>
      <c r="J11247" t="s">
        <v>38726</v>
      </c>
      <c r="K11247" t="s">
        <v>41263</v>
      </c>
      <c r="M11247" t="s">
        <v>44367</v>
      </c>
      <c r="N11247" t="s">
        <v>45095</v>
      </c>
      <c r="O11247" t="s">
        <v>45096</v>
      </c>
      <c r="Q11247">
        <v>11</v>
      </c>
      <c r="R11247" t="s">
        <v>45109</v>
      </c>
      <c r="S11247" t="s">
        <v>45537</v>
      </c>
      <c r="T11247" t="s">
        <v>47361</v>
      </c>
      <c r="U11247" t="s">
        <v>49732</v>
      </c>
      <c r="W11247" t="s">
        <v>44367</v>
      </c>
      <c r="X11247" t="s">
        <v>45110</v>
      </c>
    </row>
    <row r="11248" spans="1:24">
      <c r="A11248">
        <f>HYPERLINK("https://www.philgeps.gov.ph/GEPSNONPILOT/Tender/SplashBidNoticeAbstractUI.aspx?menuIndex=3&amp;refID=7025806&amp;Result=3","7025806")</f>
        <v>0</v>
      </c>
      <c r="B11248" t="s">
        <v>1429</v>
      </c>
      <c r="C11248" t="s">
        <v>13926</v>
      </c>
      <c r="D11248" t="s">
        <v>18072</v>
      </c>
      <c r="E11248" t="s">
        <v>27852</v>
      </c>
      <c r="F11248" t="s">
        <v>31574</v>
      </c>
      <c r="G11248" t="s">
        <v>31582</v>
      </c>
      <c r="H11248" t="s">
        <v>31590</v>
      </c>
      <c r="I11248" t="s">
        <v>31594</v>
      </c>
      <c r="J11248" t="s">
        <v>38727</v>
      </c>
      <c r="K11248" t="s">
        <v>41192</v>
      </c>
      <c r="M11248" t="s">
        <v>43005</v>
      </c>
      <c r="N11248" t="s">
        <v>45095</v>
      </c>
      <c r="O11248" t="s">
        <v>45096</v>
      </c>
      <c r="P11248">
        <v>0</v>
      </c>
      <c r="Q11248">
        <v>7</v>
      </c>
      <c r="R11248" t="s">
        <v>45109</v>
      </c>
      <c r="S11248" t="s">
        <v>45478</v>
      </c>
      <c r="T11248" t="s">
        <v>47243</v>
      </c>
      <c r="U11248" t="s">
        <v>56701</v>
      </c>
      <c r="V11248" t="s">
        <v>61040</v>
      </c>
      <c r="W11248" t="s">
        <v>43005</v>
      </c>
      <c r="X11248" t="s">
        <v>45110</v>
      </c>
    </row>
    <row r="11249" spans="1:24">
      <c r="A11249">
        <f>HYPERLINK("https://www.philgeps.gov.ph/GEPSNONPILOT/Tender/SplashBidNoticeAbstractUI.aspx?menuIndex=3&amp;refID=7025815&amp;Result=3","7025815")</f>
        <v>0</v>
      </c>
      <c r="B11249" t="s">
        <v>131</v>
      </c>
      <c r="C11249" t="s">
        <v>13927</v>
      </c>
      <c r="D11249" t="s">
        <v>18022</v>
      </c>
      <c r="E11249" t="s">
        <v>27853</v>
      </c>
      <c r="F11249" t="s">
        <v>31574</v>
      </c>
      <c r="G11249" t="s">
        <v>31582</v>
      </c>
      <c r="H11249" t="s">
        <v>31590</v>
      </c>
      <c r="I11249" t="s">
        <v>31700</v>
      </c>
      <c r="J11249" t="s">
        <v>38728</v>
      </c>
      <c r="K11249" t="s">
        <v>41188</v>
      </c>
      <c r="M11249" t="s">
        <v>44367</v>
      </c>
      <c r="N11249" t="s">
        <v>45095</v>
      </c>
      <c r="O11249" t="s">
        <v>45096</v>
      </c>
      <c r="Q11249">
        <v>7</v>
      </c>
      <c r="R11249" t="s">
        <v>45109</v>
      </c>
      <c r="S11249" t="s">
        <v>45538</v>
      </c>
      <c r="T11249" t="s">
        <v>47361</v>
      </c>
      <c r="U11249" t="s">
        <v>56702</v>
      </c>
      <c r="W11249" t="s">
        <v>44367</v>
      </c>
      <c r="X11249" t="s">
        <v>45110</v>
      </c>
    </row>
    <row r="11250" spans="1:24">
      <c r="A11250">
        <f>HYPERLINK("https://www.philgeps.gov.ph/GEPSNONPILOT/Tender/SplashBidNoticeAbstractUI.aspx?menuIndex=3&amp;refID=7025800&amp;Result=3","7025800")</f>
        <v>0</v>
      </c>
      <c r="B11250" t="s">
        <v>2824</v>
      </c>
      <c r="C11250" t="s">
        <v>13928</v>
      </c>
      <c r="D11250" t="s">
        <v>18102</v>
      </c>
      <c r="E11250" t="s">
        <v>27854</v>
      </c>
      <c r="F11250" t="s">
        <v>31574</v>
      </c>
      <c r="G11250" t="s">
        <v>31581</v>
      </c>
      <c r="H11250" t="s">
        <v>31590</v>
      </c>
      <c r="I11250" t="s">
        <v>4327</v>
      </c>
      <c r="J11250" t="s">
        <v>31782</v>
      </c>
      <c r="K11250" t="s">
        <v>41186</v>
      </c>
      <c r="M11250" t="s">
        <v>44602</v>
      </c>
      <c r="N11250" t="s">
        <v>45095</v>
      </c>
      <c r="O11250" t="s">
        <v>45096</v>
      </c>
      <c r="P11250">
        <v>0</v>
      </c>
      <c r="Q11250">
        <v>1</v>
      </c>
      <c r="R11250" t="s">
        <v>45109</v>
      </c>
      <c r="S11250" t="s">
        <v>45478</v>
      </c>
      <c r="T11250" t="s">
        <v>46985</v>
      </c>
      <c r="U11250" t="s">
        <v>56703</v>
      </c>
      <c r="V11250" t="s">
        <v>61041</v>
      </c>
      <c r="W11250" t="s">
        <v>44602</v>
      </c>
      <c r="X11250" t="s">
        <v>45110</v>
      </c>
    </row>
    <row r="11251" spans="1:24">
      <c r="A11251">
        <f>HYPERLINK("https://www.philgeps.gov.ph/GEPSNONPILOT/Tender/SplashBidNoticeAbstractUI.aspx?menuIndex=3&amp;refID=7025813&amp;Result=3","7025813")</f>
        <v>0</v>
      </c>
      <c r="B11251" t="s">
        <v>1819</v>
      </c>
      <c r="C11251" t="s">
        <v>13929</v>
      </c>
      <c r="D11251" t="s">
        <v>18027</v>
      </c>
      <c r="E11251" t="s">
        <v>27855</v>
      </c>
      <c r="F11251" t="s">
        <v>31574</v>
      </c>
      <c r="G11251" t="s">
        <v>31582</v>
      </c>
      <c r="H11251" t="s">
        <v>31591</v>
      </c>
      <c r="I11251" t="s">
        <v>8822</v>
      </c>
      <c r="J11251" t="s">
        <v>32526</v>
      </c>
      <c r="K11251" t="s">
        <v>41192</v>
      </c>
      <c r="L11251" t="s">
        <v>1819</v>
      </c>
      <c r="M11251" t="s">
        <v>43454</v>
      </c>
      <c r="N11251" t="s">
        <v>45095</v>
      </c>
      <c r="O11251" t="s">
        <v>45096</v>
      </c>
      <c r="P11251">
        <v>0</v>
      </c>
      <c r="Q11251">
        <v>0</v>
      </c>
      <c r="R11251" t="s">
        <v>45109</v>
      </c>
      <c r="S11251" t="s">
        <v>45478</v>
      </c>
      <c r="T11251" t="s">
        <v>47391</v>
      </c>
      <c r="U11251" t="s">
        <v>56644</v>
      </c>
      <c r="W11251" t="s">
        <v>43454</v>
      </c>
      <c r="X11251" t="s">
        <v>45110</v>
      </c>
    </row>
    <row r="11252" spans="1:24">
      <c r="A11252">
        <f>HYPERLINK("https://www.philgeps.gov.ph/GEPSNONPILOT/Tender/SplashBidNoticeAbstractUI.aspx?menuIndex=3&amp;refID=7025770&amp;Result=3","7025770")</f>
        <v>0</v>
      </c>
      <c r="B11252" t="s">
        <v>1819</v>
      </c>
      <c r="C11252" t="s">
        <v>13930</v>
      </c>
      <c r="D11252" t="s">
        <v>18027</v>
      </c>
      <c r="E11252" t="s">
        <v>27856</v>
      </c>
      <c r="F11252" t="s">
        <v>31574</v>
      </c>
      <c r="G11252" t="s">
        <v>31582</v>
      </c>
      <c r="H11252" t="s">
        <v>31591</v>
      </c>
      <c r="I11252" t="s">
        <v>8822</v>
      </c>
      <c r="J11252" t="s">
        <v>33252</v>
      </c>
      <c r="K11252" t="s">
        <v>41203</v>
      </c>
      <c r="L11252" t="s">
        <v>1819</v>
      </c>
      <c r="M11252" t="s">
        <v>43454</v>
      </c>
      <c r="N11252" t="s">
        <v>45095</v>
      </c>
      <c r="O11252" t="s">
        <v>45096</v>
      </c>
      <c r="P11252">
        <v>0</v>
      </c>
      <c r="Q11252">
        <v>0</v>
      </c>
      <c r="R11252" t="s">
        <v>45109</v>
      </c>
      <c r="S11252" t="s">
        <v>45478</v>
      </c>
      <c r="T11252" t="s">
        <v>47391</v>
      </c>
      <c r="U11252" t="s">
        <v>56644</v>
      </c>
      <c r="W11252" t="s">
        <v>43454</v>
      </c>
      <c r="X11252" t="s">
        <v>45110</v>
      </c>
    </row>
    <row r="11253" spans="1:24">
      <c r="A11253">
        <f>HYPERLINK("https://www.philgeps.gov.ph/GEPSNONPILOT/Tender/SplashBidNoticeAbstractUI.aspx?menuIndex=3&amp;refID=7025797&amp;Result=3","7025797")</f>
        <v>0</v>
      </c>
      <c r="B11253" t="s">
        <v>1819</v>
      </c>
      <c r="C11253" t="s">
        <v>13931</v>
      </c>
      <c r="D11253" t="s">
        <v>18027</v>
      </c>
      <c r="E11253" t="s">
        <v>27857</v>
      </c>
      <c r="F11253" t="s">
        <v>31574</v>
      </c>
      <c r="G11253" t="s">
        <v>31582</v>
      </c>
      <c r="H11253" t="s">
        <v>31591</v>
      </c>
      <c r="I11253" t="s">
        <v>8822</v>
      </c>
      <c r="J11253" t="s">
        <v>33252</v>
      </c>
      <c r="K11253" t="s">
        <v>41185</v>
      </c>
      <c r="L11253" t="s">
        <v>1819</v>
      </c>
      <c r="M11253" t="s">
        <v>43454</v>
      </c>
      <c r="N11253" t="s">
        <v>45095</v>
      </c>
      <c r="O11253" t="s">
        <v>45096</v>
      </c>
      <c r="P11253">
        <v>0</v>
      </c>
      <c r="Q11253">
        <v>0</v>
      </c>
      <c r="R11253" t="s">
        <v>45109</v>
      </c>
      <c r="S11253" t="s">
        <v>45478</v>
      </c>
      <c r="T11253" t="s">
        <v>47391</v>
      </c>
      <c r="U11253" t="s">
        <v>56644</v>
      </c>
      <c r="W11253" t="s">
        <v>43454</v>
      </c>
      <c r="X11253" t="s">
        <v>45110</v>
      </c>
    </row>
    <row r="11254" spans="1:24">
      <c r="A11254">
        <f>HYPERLINK("https://www.philgeps.gov.ph/GEPSNONPILOT/Tender/SplashBidNoticeAbstractUI.aspx?menuIndex=3&amp;refID=7025798&amp;Result=3","7025798")</f>
        <v>0</v>
      </c>
      <c r="B11254" t="s">
        <v>1028</v>
      </c>
      <c r="C11254" t="s">
        <v>13932</v>
      </c>
      <c r="D11254" t="s">
        <v>18055</v>
      </c>
      <c r="E11254" t="s">
        <v>27858</v>
      </c>
      <c r="F11254" t="s">
        <v>31574</v>
      </c>
      <c r="G11254" t="s">
        <v>31582</v>
      </c>
      <c r="H11254" t="s">
        <v>31590</v>
      </c>
      <c r="I11254" t="s">
        <v>31623</v>
      </c>
      <c r="J11254" t="s">
        <v>38729</v>
      </c>
      <c r="K11254" t="s">
        <v>41250</v>
      </c>
      <c r="M11254" t="s">
        <v>42569</v>
      </c>
      <c r="N11254" t="s">
        <v>45095</v>
      </c>
      <c r="O11254" t="s">
        <v>45096</v>
      </c>
      <c r="P11254">
        <v>0</v>
      </c>
      <c r="Q11254">
        <v>0</v>
      </c>
      <c r="R11254" t="s">
        <v>45109</v>
      </c>
      <c r="S11254" t="s">
        <v>45478</v>
      </c>
      <c r="T11254" t="s">
        <v>46926</v>
      </c>
      <c r="U11254" t="s">
        <v>56704</v>
      </c>
      <c r="W11254" t="s">
        <v>61687</v>
      </c>
      <c r="X11254" t="s">
        <v>45110</v>
      </c>
    </row>
    <row r="11255" spans="1:24">
      <c r="A11255">
        <f>HYPERLINK("https://www.philgeps.gov.ph/GEPSNONPILOT/Tender/SplashBidNoticeAbstractUI.aspx?menuIndex=3&amp;refID=7025785&amp;Result=3","7025785")</f>
        <v>0</v>
      </c>
      <c r="B11255" t="s">
        <v>1819</v>
      </c>
      <c r="C11255" t="s">
        <v>13933</v>
      </c>
      <c r="D11255" t="s">
        <v>18027</v>
      </c>
      <c r="E11255" t="s">
        <v>27859</v>
      </c>
      <c r="F11255" t="s">
        <v>31574</v>
      </c>
      <c r="G11255" t="s">
        <v>31582</v>
      </c>
      <c r="H11255" t="s">
        <v>31591</v>
      </c>
      <c r="I11255" t="s">
        <v>8822</v>
      </c>
      <c r="J11255" t="s">
        <v>33252</v>
      </c>
      <c r="K11255" t="s">
        <v>41185</v>
      </c>
      <c r="L11255" t="s">
        <v>1819</v>
      </c>
      <c r="M11255" t="s">
        <v>43454</v>
      </c>
      <c r="N11255" t="s">
        <v>45095</v>
      </c>
      <c r="O11255" t="s">
        <v>45096</v>
      </c>
      <c r="P11255">
        <v>0</v>
      </c>
      <c r="Q11255">
        <v>0</v>
      </c>
      <c r="R11255" t="s">
        <v>45109</v>
      </c>
      <c r="S11255" t="s">
        <v>45478</v>
      </c>
      <c r="T11255" t="s">
        <v>47391</v>
      </c>
      <c r="U11255" t="s">
        <v>56644</v>
      </c>
      <c r="W11255" t="s">
        <v>43454</v>
      </c>
      <c r="X11255" t="s">
        <v>45110</v>
      </c>
    </row>
    <row r="11256" spans="1:24">
      <c r="A11256">
        <f>HYPERLINK("https://www.philgeps.gov.ph/GEPSNONPILOT/Tender/SplashBidNoticeAbstractUI.aspx?menuIndex=3&amp;refID=7025796&amp;Result=3","7025796")</f>
        <v>0</v>
      </c>
      <c r="B11256" t="s">
        <v>246</v>
      </c>
      <c r="C11256" t="s">
        <v>13934</v>
      </c>
      <c r="D11256" t="s">
        <v>18033</v>
      </c>
      <c r="E11256" t="s">
        <v>27860</v>
      </c>
      <c r="F11256" t="s">
        <v>31574</v>
      </c>
      <c r="G11256" t="s">
        <v>31581</v>
      </c>
      <c r="H11256" t="s">
        <v>31590</v>
      </c>
      <c r="I11256" t="s">
        <v>14544</v>
      </c>
      <c r="J11256" t="s">
        <v>38730</v>
      </c>
      <c r="K11256" t="s">
        <v>41196</v>
      </c>
      <c r="M11256" t="s">
        <v>41732</v>
      </c>
      <c r="N11256" t="s">
        <v>45095</v>
      </c>
      <c r="O11256" t="s">
        <v>45096</v>
      </c>
      <c r="Q11256">
        <v>1</v>
      </c>
      <c r="R11256" t="s">
        <v>45109</v>
      </c>
      <c r="S11256" t="s">
        <v>45539</v>
      </c>
      <c r="T11256" t="s">
        <v>46945</v>
      </c>
      <c r="U11256" t="s">
        <v>56705</v>
      </c>
      <c r="W11256" t="s">
        <v>41732</v>
      </c>
      <c r="X11256" t="s">
        <v>45110</v>
      </c>
    </row>
    <row r="11257" spans="1:24">
      <c r="A11257">
        <f>HYPERLINK("https://www.philgeps.gov.ph/GEPSNONPILOT/Tender/SplashBidNoticeAbstractUI.aspx?menuIndex=3&amp;refID=7025778&amp;Result=3","7025778")</f>
        <v>0</v>
      </c>
      <c r="B11257" t="s">
        <v>516</v>
      </c>
      <c r="C11257" t="s">
        <v>13935</v>
      </c>
      <c r="D11257" t="s">
        <v>18031</v>
      </c>
      <c r="E11257" t="s">
        <v>27861</v>
      </c>
      <c r="F11257" t="s">
        <v>31574</v>
      </c>
      <c r="G11257" t="s">
        <v>31582</v>
      </c>
      <c r="H11257" t="s">
        <v>31590</v>
      </c>
      <c r="I11257" t="s">
        <v>31642</v>
      </c>
      <c r="J11257" t="s">
        <v>38731</v>
      </c>
      <c r="K11257" t="s">
        <v>41193</v>
      </c>
      <c r="M11257" t="s">
        <v>42012</v>
      </c>
      <c r="N11257" t="s">
        <v>45095</v>
      </c>
      <c r="O11257" t="s">
        <v>45096</v>
      </c>
      <c r="P11257">
        <v>0</v>
      </c>
      <c r="Q11257">
        <v>1</v>
      </c>
      <c r="R11257" t="s">
        <v>45109</v>
      </c>
      <c r="S11257" t="s">
        <v>45478</v>
      </c>
      <c r="T11257" t="s">
        <v>46926</v>
      </c>
      <c r="U11257" t="s">
        <v>48512</v>
      </c>
      <c r="W11257" t="s">
        <v>42012</v>
      </c>
      <c r="X11257" t="s">
        <v>45110</v>
      </c>
    </row>
    <row r="11258" spans="1:24">
      <c r="A11258">
        <f>HYPERLINK("https://www.philgeps.gov.ph/GEPSNONPILOT/Tender/SplashBidNoticeAbstractUI.aspx?menuIndex=3&amp;refID=7025799&amp;Result=3","7025799")</f>
        <v>0</v>
      </c>
      <c r="B11258" t="s">
        <v>2107</v>
      </c>
      <c r="C11258" t="s">
        <v>13936</v>
      </c>
      <c r="D11258" t="s">
        <v>18063</v>
      </c>
      <c r="E11258" t="s">
        <v>27862</v>
      </c>
      <c r="F11258" t="s">
        <v>31574</v>
      </c>
      <c r="G11258" t="s">
        <v>31582</v>
      </c>
      <c r="H11258" t="s">
        <v>31590</v>
      </c>
      <c r="I11258" t="s">
        <v>31620</v>
      </c>
      <c r="J11258" t="s">
        <v>31962</v>
      </c>
      <c r="K11258" t="s">
        <v>41196</v>
      </c>
      <c r="M11258" t="s">
        <v>43786</v>
      </c>
      <c r="N11258" t="s">
        <v>45095</v>
      </c>
      <c r="O11258" t="s">
        <v>45096</v>
      </c>
      <c r="P11258">
        <v>0</v>
      </c>
      <c r="Q11258">
        <v>3</v>
      </c>
      <c r="R11258" t="s">
        <v>45109</v>
      </c>
      <c r="S11258" t="s">
        <v>45478</v>
      </c>
      <c r="T11258" t="s">
        <v>47162</v>
      </c>
      <c r="U11258" t="s">
        <v>56706</v>
      </c>
      <c r="W11258" t="s">
        <v>43786</v>
      </c>
      <c r="X11258" t="s">
        <v>45110</v>
      </c>
    </row>
    <row r="11259" spans="1:24">
      <c r="A11259">
        <f>HYPERLINK("https://www.philgeps.gov.ph/GEPSNONPILOT/Tender/SplashBidNoticeAbstractUI.aspx?menuIndex=3&amp;refID=7025779&amp;Result=3","7025779")</f>
        <v>0</v>
      </c>
      <c r="B11259" t="s">
        <v>1443</v>
      </c>
      <c r="C11259" t="s">
        <v>13937</v>
      </c>
      <c r="D11259" t="s">
        <v>18074</v>
      </c>
      <c r="E11259" t="s">
        <v>27863</v>
      </c>
      <c r="F11259" t="s">
        <v>31574</v>
      </c>
      <c r="G11259" t="s">
        <v>31582</v>
      </c>
      <c r="H11259" t="s">
        <v>31590</v>
      </c>
      <c r="I11259" t="s">
        <v>31602</v>
      </c>
      <c r="J11259" t="s">
        <v>38732</v>
      </c>
      <c r="K11259" t="s">
        <v>41191</v>
      </c>
      <c r="M11259" t="s">
        <v>43020</v>
      </c>
      <c r="N11259" t="s">
        <v>45095</v>
      </c>
      <c r="O11259" t="s">
        <v>45096</v>
      </c>
      <c r="Q11259">
        <v>0</v>
      </c>
      <c r="R11259" t="s">
        <v>45109</v>
      </c>
      <c r="S11259" t="s">
        <v>45540</v>
      </c>
      <c r="T11259" t="s">
        <v>46922</v>
      </c>
      <c r="U11259" t="s">
        <v>56707</v>
      </c>
      <c r="V11259" t="s">
        <v>61042</v>
      </c>
      <c r="W11259" t="s">
        <v>43020</v>
      </c>
      <c r="X11259" t="s">
        <v>45110</v>
      </c>
    </row>
    <row r="11260" spans="1:24">
      <c r="A11260">
        <f>HYPERLINK("https://www.philgeps.gov.ph/GEPSNONPILOT/Tender/SplashBidNoticeAbstractUI.aspx?menuIndex=3&amp;refID=7025870&amp;Result=3","7025870")</f>
        <v>0</v>
      </c>
      <c r="B11260" t="s">
        <v>1926</v>
      </c>
      <c r="C11260" t="s">
        <v>13938</v>
      </c>
      <c r="D11260" t="s">
        <v>18099</v>
      </c>
      <c r="E11260" t="s">
        <v>27864</v>
      </c>
      <c r="F11260" t="s">
        <v>31574</v>
      </c>
      <c r="G11260" t="s">
        <v>31582</v>
      </c>
      <c r="H11260" t="s">
        <v>31591</v>
      </c>
      <c r="I11260" t="s">
        <v>8822</v>
      </c>
      <c r="J11260" t="s">
        <v>38733</v>
      </c>
      <c r="K11260" t="s">
        <v>41200</v>
      </c>
      <c r="M11260" t="s">
        <v>43578</v>
      </c>
      <c r="N11260" t="s">
        <v>45095</v>
      </c>
      <c r="O11260" t="s">
        <v>45096</v>
      </c>
      <c r="P11260">
        <v>0</v>
      </c>
      <c r="Q11260">
        <v>0</v>
      </c>
      <c r="R11260" t="s">
        <v>45109</v>
      </c>
      <c r="S11260" t="s">
        <v>45478</v>
      </c>
      <c r="T11260" t="s">
        <v>46926</v>
      </c>
      <c r="U11260" t="s">
        <v>56708</v>
      </c>
      <c r="V11260" t="s">
        <v>60507</v>
      </c>
      <c r="W11260" t="s">
        <v>43578</v>
      </c>
      <c r="X11260" t="s">
        <v>45110</v>
      </c>
    </row>
    <row r="11261" spans="1:24">
      <c r="A11261">
        <f>HYPERLINK("https://www.philgeps.gov.ph/GEPSNONPILOT/Tender/SplashBidNoticeAbstractUI.aspx?menuIndex=3&amp;refID=7025869&amp;Result=3","7025869")</f>
        <v>0</v>
      </c>
      <c r="B11261" t="s">
        <v>2107</v>
      </c>
      <c r="C11261" t="s">
        <v>13939</v>
      </c>
      <c r="D11261" t="s">
        <v>18063</v>
      </c>
      <c r="E11261" t="s">
        <v>27865</v>
      </c>
      <c r="F11261" t="s">
        <v>31574</v>
      </c>
      <c r="G11261" t="s">
        <v>31582</v>
      </c>
      <c r="H11261" t="s">
        <v>31591</v>
      </c>
      <c r="I11261" t="s">
        <v>8822</v>
      </c>
      <c r="J11261" t="s">
        <v>38734</v>
      </c>
      <c r="K11261" t="s">
        <v>41189</v>
      </c>
      <c r="M11261" t="s">
        <v>43786</v>
      </c>
      <c r="N11261" t="s">
        <v>45095</v>
      </c>
      <c r="O11261" t="s">
        <v>45096</v>
      </c>
      <c r="P11261">
        <v>0</v>
      </c>
      <c r="Q11261">
        <v>2</v>
      </c>
      <c r="R11261" t="s">
        <v>45109</v>
      </c>
      <c r="S11261" t="s">
        <v>45478</v>
      </c>
      <c r="T11261" t="s">
        <v>47162</v>
      </c>
      <c r="U11261" t="s">
        <v>56709</v>
      </c>
      <c r="W11261" t="s">
        <v>43786</v>
      </c>
      <c r="X11261" t="s">
        <v>45110</v>
      </c>
    </row>
    <row r="11262" spans="1:24">
      <c r="A11262">
        <f>HYPERLINK("https://www.philgeps.gov.ph/GEPSNONPILOT/Tender/SplashBidNoticeAbstractUI.aspx?menuIndex=3&amp;refID=7025802&amp;Result=3","7025802")</f>
        <v>0</v>
      </c>
      <c r="B11262" t="s">
        <v>130</v>
      </c>
      <c r="C11262" t="s">
        <v>13940</v>
      </c>
      <c r="D11262" t="s">
        <v>18070</v>
      </c>
      <c r="E11262" t="s">
        <v>27866</v>
      </c>
      <c r="F11262" t="s">
        <v>31574</v>
      </c>
      <c r="G11262" t="s">
        <v>31582</v>
      </c>
      <c r="H11262" t="s">
        <v>31591</v>
      </c>
      <c r="I11262" t="s">
        <v>8822</v>
      </c>
      <c r="J11262" t="s">
        <v>38735</v>
      </c>
      <c r="K11262" t="s">
        <v>41416</v>
      </c>
      <c r="M11262" t="s">
        <v>41614</v>
      </c>
      <c r="N11262" t="s">
        <v>45095</v>
      </c>
      <c r="O11262" t="s">
        <v>45096</v>
      </c>
      <c r="P11262">
        <v>0</v>
      </c>
      <c r="Q11262">
        <v>0</v>
      </c>
      <c r="R11262" t="s">
        <v>45109</v>
      </c>
      <c r="S11262" t="s">
        <v>45478</v>
      </c>
      <c r="T11262" t="s">
        <v>46926</v>
      </c>
      <c r="U11262" t="s">
        <v>56710</v>
      </c>
      <c r="V11262" t="s">
        <v>61043</v>
      </c>
      <c r="W11262" t="s">
        <v>41614</v>
      </c>
      <c r="X11262" t="s">
        <v>45110</v>
      </c>
    </row>
    <row r="11263" spans="1:24">
      <c r="A11263">
        <f>HYPERLINK("https://www.philgeps.gov.ph/GEPSNONPILOT/Tender/SplashBidNoticeAbstractUI.aspx?menuIndex=3&amp;refID=7025819&amp;Result=3","7025819")</f>
        <v>0</v>
      </c>
      <c r="B11263" t="s">
        <v>1853</v>
      </c>
      <c r="C11263" t="s">
        <v>13941</v>
      </c>
      <c r="D11263" t="s">
        <v>18056</v>
      </c>
      <c r="E11263" t="s">
        <v>27794</v>
      </c>
      <c r="F11263" t="s">
        <v>31574</v>
      </c>
      <c r="G11263" t="s">
        <v>31582</v>
      </c>
      <c r="H11263" t="s">
        <v>31591</v>
      </c>
      <c r="I11263" t="s">
        <v>8822</v>
      </c>
      <c r="J11263" t="s">
        <v>38736</v>
      </c>
      <c r="K11263" t="s">
        <v>41338</v>
      </c>
      <c r="M11263" t="s">
        <v>43491</v>
      </c>
      <c r="N11263" t="s">
        <v>45095</v>
      </c>
      <c r="O11263" t="s">
        <v>45096</v>
      </c>
      <c r="P11263">
        <v>0</v>
      </c>
      <c r="Q11263">
        <v>5</v>
      </c>
      <c r="R11263" t="s">
        <v>45109</v>
      </c>
      <c r="S11263" t="s">
        <v>45478</v>
      </c>
      <c r="T11263" t="s">
        <v>46914</v>
      </c>
      <c r="U11263" t="s">
        <v>56711</v>
      </c>
      <c r="V11263" t="s">
        <v>61033</v>
      </c>
      <c r="W11263" t="s">
        <v>43491</v>
      </c>
      <c r="X11263" t="s">
        <v>45110</v>
      </c>
    </row>
    <row r="11264" spans="1:24">
      <c r="A11264">
        <f>HYPERLINK("https://www.philgeps.gov.ph/GEPSNONPILOT/Tender/SplashBidNoticeAbstractUI.aspx?menuIndex=3&amp;refID=7025795&amp;Result=3","7025795")</f>
        <v>0</v>
      </c>
      <c r="B11264" t="s">
        <v>991</v>
      </c>
      <c r="C11264" t="s">
        <v>13895</v>
      </c>
      <c r="D11264" t="s">
        <v>18044</v>
      </c>
      <c r="E11264" t="s">
        <v>27867</v>
      </c>
      <c r="F11264" t="s">
        <v>31574</v>
      </c>
      <c r="G11264" t="s">
        <v>31582</v>
      </c>
      <c r="H11264" t="s">
        <v>31590</v>
      </c>
      <c r="I11264" t="s">
        <v>4327</v>
      </c>
      <c r="J11264" t="s">
        <v>38737</v>
      </c>
      <c r="K11264" t="s">
        <v>41193</v>
      </c>
      <c r="M11264" t="s">
        <v>42526</v>
      </c>
      <c r="N11264" t="s">
        <v>45095</v>
      </c>
      <c r="O11264" t="s">
        <v>45096</v>
      </c>
      <c r="P11264">
        <v>0</v>
      </c>
      <c r="Q11264">
        <v>1</v>
      </c>
      <c r="R11264" t="s">
        <v>45109</v>
      </c>
      <c r="S11264" t="s">
        <v>45478</v>
      </c>
      <c r="T11264" t="s">
        <v>47177</v>
      </c>
      <c r="U11264" t="s">
        <v>55438</v>
      </c>
      <c r="W11264" t="s">
        <v>42526</v>
      </c>
      <c r="X11264" t="s">
        <v>45110</v>
      </c>
    </row>
    <row r="11265" spans="1:24">
      <c r="A11265">
        <f>HYPERLINK("https://www.philgeps.gov.ph/GEPSNONPILOT/Tender/SplashBidNoticeAbstractUI.aspx?menuIndex=3&amp;refID=7025865&amp;Result=3","7025865")</f>
        <v>0</v>
      </c>
      <c r="B11265" t="s">
        <v>1028</v>
      </c>
      <c r="C11265" t="s">
        <v>4542</v>
      </c>
      <c r="D11265" t="s">
        <v>18055</v>
      </c>
      <c r="E11265" t="s">
        <v>27868</v>
      </c>
      <c r="F11265" t="s">
        <v>31574</v>
      </c>
      <c r="G11265" t="s">
        <v>31582</v>
      </c>
      <c r="H11265" t="s">
        <v>31590</v>
      </c>
      <c r="I11265" t="s">
        <v>31623</v>
      </c>
      <c r="J11265" t="s">
        <v>34550</v>
      </c>
      <c r="K11265" t="s">
        <v>41250</v>
      </c>
      <c r="M11265" t="s">
        <v>42569</v>
      </c>
      <c r="N11265" t="s">
        <v>45095</v>
      </c>
      <c r="O11265" t="s">
        <v>45096</v>
      </c>
      <c r="P11265">
        <v>0</v>
      </c>
      <c r="Q11265">
        <v>0</v>
      </c>
      <c r="R11265" t="s">
        <v>45109</v>
      </c>
      <c r="S11265" t="s">
        <v>45478</v>
      </c>
      <c r="T11265" t="s">
        <v>46926</v>
      </c>
      <c r="U11265" t="s">
        <v>56712</v>
      </c>
      <c r="W11265" t="s">
        <v>61687</v>
      </c>
      <c r="X11265" t="s">
        <v>45110</v>
      </c>
    </row>
    <row r="11266" spans="1:24">
      <c r="A11266">
        <f>HYPERLINK("https://www.philgeps.gov.ph/GEPSNONPILOT/Tender/SplashBidNoticeAbstractUI.aspx?menuIndex=3&amp;refID=7025853&amp;Result=3","7025853")</f>
        <v>0</v>
      </c>
      <c r="B11266" t="s">
        <v>135</v>
      </c>
      <c r="C11266" t="s">
        <v>9423</v>
      </c>
      <c r="D11266" t="s">
        <v>18022</v>
      </c>
      <c r="E11266" t="s">
        <v>20123</v>
      </c>
      <c r="F11266" t="s">
        <v>31574</v>
      </c>
      <c r="G11266" t="s">
        <v>31582</v>
      </c>
      <c r="H11266" t="s">
        <v>31591</v>
      </c>
      <c r="I11266" t="s">
        <v>8822</v>
      </c>
      <c r="J11266" t="s">
        <v>38738</v>
      </c>
      <c r="K11266" t="s">
        <v>41429</v>
      </c>
      <c r="M11266" t="s">
        <v>42252</v>
      </c>
      <c r="N11266" t="s">
        <v>45095</v>
      </c>
      <c r="O11266" t="s">
        <v>45096</v>
      </c>
      <c r="P11266">
        <v>0</v>
      </c>
      <c r="Q11266">
        <v>7</v>
      </c>
      <c r="R11266" t="s">
        <v>45109</v>
      </c>
      <c r="S11266" t="s">
        <v>45478</v>
      </c>
      <c r="T11266" t="s">
        <v>46914</v>
      </c>
      <c r="U11266" t="s">
        <v>56713</v>
      </c>
      <c r="W11266" t="s">
        <v>42252</v>
      </c>
      <c r="X11266" t="s">
        <v>45110</v>
      </c>
    </row>
    <row r="11267" spans="1:24">
      <c r="A11267">
        <f>HYPERLINK("https://www.philgeps.gov.ph/GEPSNONPILOT/Tender/SplashBidNoticeAbstractUI.aspx?menuIndex=3&amp;refID=7025842&amp;Result=3","7025842")</f>
        <v>0</v>
      </c>
      <c r="B11267" t="s">
        <v>2825</v>
      </c>
      <c r="C11267" t="s">
        <v>13942</v>
      </c>
      <c r="D11267" t="s">
        <v>18089</v>
      </c>
      <c r="E11267" t="s">
        <v>27869</v>
      </c>
      <c r="F11267" t="s">
        <v>31574</v>
      </c>
      <c r="G11267" t="s">
        <v>31582</v>
      </c>
      <c r="H11267" t="s">
        <v>31590</v>
      </c>
      <c r="I11267" t="s">
        <v>31602</v>
      </c>
      <c r="J11267" t="s">
        <v>38739</v>
      </c>
      <c r="K11267" t="s">
        <v>41189</v>
      </c>
      <c r="M11267" t="s">
        <v>44603</v>
      </c>
      <c r="N11267" t="s">
        <v>45095</v>
      </c>
      <c r="O11267" t="s">
        <v>45096</v>
      </c>
      <c r="P11267">
        <v>0</v>
      </c>
      <c r="Q11267">
        <v>0</v>
      </c>
      <c r="R11267" t="s">
        <v>45109</v>
      </c>
      <c r="S11267" t="s">
        <v>45478</v>
      </c>
      <c r="T11267" t="s">
        <v>46982</v>
      </c>
      <c r="U11267" t="s">
        <v>56714</v>
      </c>
      <c r="W11267" t="s">
        <v>44603</v>
      </c>
      <c r="X11267" t="s">
        <v>45110</v>
      </c>
    </row>
    <row r="11268" spans="1:24">
      <c r="A11268">
        <f>HYPERLINK("https://www.philgeps.gov.ph/GEPSNONPILOT/Tender/SplashBidNoticeAbstractUI.aspx?menuIndex=3&amp;refID=7025859&amp;Result=3","7025859")</f>
        <v>0</v>
      </c>
      <c r="B11268" t="s">
        <v>1853</v>
      </c>
      <c r="C11268" t="s">
        <v>13943</v>
      </c>
      <c r="D11268" t="s">
        <v>18056</v>
      </c>
      <c r="E11268" t="s">
        <v>27870</v>
      </c>
      <c r="F11268" t="s">
        <v>31574</v>
      </c>
      <c r="G11268" t="s">
        <v>31582</v>
      </c>
      <c r="H11268" t="s">
        <v>31591</v>
      </c>
      <c r="I11268" t="s">
        <v>8822</v>
      </c>
      <c r="J11268" t="s">
        <v>37292</v>
      </c>
      <c r="K11268" t="s">
        <v>41316</v>
      </c>
      <c r="M11268" t="s">
        <v>43491</v>
      </c>
      <c r="N11268" t="s">
        <v>45095</v>
      </c>
      <c r="O11268" t="s">
        <v>45096</v>
      </c>
      <c r="P11268">
        <v>0</v>
      </c>
      <c r="Q11268">
        <v>5</v>
      </c>
      <c r="R11268" t="s">
        <v>45109</v>
      </c>
      <c r="S11268" t="s">
        <v>45478</v>
      </c>
      <c r="T11268" t="s">
        <v>46914</v>
      </c>
      <c r="U11268" t="s">
        <v>56715</v>
      </c>
      <c r="V11268" t="s">
        <v>61033</v>
      </c>
      <c r="W11268" t="s">
        <v>43491</v>
      </c>
      <c r="X11268" t="s">
        <v>45110</v>
      </c>
    </row>
    <row r="11269" spans="1:24">
      <c r="A11269">
        <f>HYPERLINK("https://www.philgeps.gov.ph/GEPSNONPILOT/Tender/SplashBidNoticeAbstractUI.aspx?menuIndex=3&amp;refID=7025908&amp;Result=3","7025908")</f>
        <v>0</v>
      </c>
      <c r="B11269" t="s">
        <v>1689</v>
      </c>
      <c r="C11269" t="s">
        <v>13944</v>
      </c>
      <c r="E11269" t="s">
        <v>27871</v>
      </c>
      <c r="F11269" t="s">
        <v>31574</v>
      </c>
      <c r="G11269" t="s">
        <v>31582</v>
      </c>
      <c r="H11269" t="s">
        <v>31590</v>
      </c>
      <c r="I11269" t="s">
        <v>3520</v>
      </c>
      <c r="J11269" t="s">
        <v>38740</v>
      </c>
      <c r="K11269" t="s">
        <v>41184</v>
      </c>
      <c r="M11269" t="s">
        <v>44598</v>
      </c>
      <c r="N11269" t="s">
        <v>45095</v>
      </c>
      <c r="O11269" t="s">
        <v>45096</v>
      </c>
      <c r="P11269">
        <v>0</v>
      </c>
      <c r="Q11269">
        <v>3</v>
      </c>
      <c r="R11269" t="s">
        <v>45109</v>
      </c>
      <c r="S11269" t="s">
        <v>45478</v>
      </c>
      <c r="T11269" t="s">
        <v>46923</v>
      </c>
      <c r="U11269" t="s">
        <v>56716</v>
      </c>
      <c r="W11269" t="s">
        <v>44598</v>
      </c>
      <c r="X11269" t="s">
        <v>45110</v>
      </c>
    </row>
    <row r="11270" spans="1:24">
      <c r="A11270">
        <f>HYPERLINK("https://www.philgeps.gov.ph/GEPSNONPILOT/Tender/SplashBidNoticeAbstractUI.aspx?menuIndex=3&amp;refID=7025851&amp;Result=3","7025851")</f>
        <v>0</v>
      </c>
      <c r="B11270" t="s">
        <v>341</v>
      </c>
      <c r="C11270" t="s">
        <v>13945</v>
      </c>
      <c r="D11270" t="s">
        <v>18086</v>
      </c>
      <c r="E11270" t="s">
        <v>27872</v>
      </c>
      <c r="F11270" t="s">
        <v>31574</v>
      </c>
      <c r="G11270" t="s">
        <v>31582</v>
      </c>
      <c r="H11270" t="s">
        <v>31590</v>
      </c>
      <c r="I11270" t="s">
        <v>31697</v>
      </c>
      <c r="J11270" t="s">
        <v>38741</v>
      </c>
      <c r="K11270" t="s">
        <v>41192</v>
      </c>
      <c r="M11270" t="s">
        <v>41829</v>
      </c>
      <c r="N11270" t="s">
        <v>45095</v>
      </c>
      <c r="O11270" t="s">
        <v>45096</v>
      </c>
      <c r="Q11270">
        <v>5</v>
      </c>
      <c r="R11270" t="s">
        <v>45109</v>
      </c>
      <c r="S11270" t="s">
        <v>45541</v>
      </c>
      <c r="T11270" t="s">
        <v>46910</v>
      </c>
      <c r="U11270" t="s">
        <v>56717</v>
      </c>
      <c r="W11270" t="s">
        <v>41829</v>
      </c>
      <c r="X11270" t="s">
        <v>45110</v>
      </c>
    </row>
    <row r="11271" spans="1:24">
      <c r="A11271">
        <f>HYPERLINK("https://www.philgeps.gov.ph/GEPSNONPILOT/Tender/SplashBidNoticeAbstractUI.aspx?menuIndex=3&amp;refID=7025904&amp;Result=3","7025904")</f>
        <v>0</v>
      </c>
      <c r="B11271" t="s">
        <v>130</v>
      </c>
      <c r="C11271" t="s">
        <v>13946</v>
      </c>
      <c r="D11271" t="s">
        <v>18070</v>
      </c>
      <c r="E11271" t="s">
        <v>27873</v>
      </c>
      <c r="F11271" t="s">
        <v>31574</v>
      </c>
      <c r="G11271" t="s">
        <v>31582</v>
      </c>
      <c r="H11271" t="s">
        <v>31591</v>
      </c>
      <c r="I11271" t="s">
        <v>8822</v>
      </c>
      <c r="J11271" t="s">
        <v>35746</v>
      </c>
      <c r="K11271" t="s">
        <v>41333</v>
      </c>
      <c r="M11271" t="s">
        <v>41614</v>
      </c>
      <c r="N11271" t="s">
        <v>45095</v>
      </c>
      <c r="O11271" t="s">
        <v>45096</v>
      </c>
      <c r="P11271">
        <v>0</v>
      </c>
      <c r="Q11271">
        <v>0</v>
      </c>
      <c r="R11271" t="s">
        <v>45109</v>
      </c>
      <c r="S11271" t="s">
        <v>45478</v>
      </c>
      <c r="T11271" t="s">
        <v>46926</v>
      </c>
      <c r="U11271" t="s">
        <v>56718</v>
      </c>
      <c r="W11271" t="s">
        <v>41614</v>
      </c>
      <c r="X11271" t="s">
        <v>45110</v>
      </c>
    </row>
    <row r="11272" spans="1:24">
      <c r="A11272">
        <f>HYPERLINK("https://www.philgeps.gov.ph/GEPSNONPILOT/Tender/SplashBidNoticeAbstractUI.aspx?menuIndex=3&amp;refID=7025891&amp;Result=3","7025891")</f>
        <v>0</v>
      </c>
      <c r="B11272" t="s">
        <v>1566</v>
      </c>
      <c r="C11272" t="s">
        <v>13947</v>
      </c>
      <c r="E11272" t="s">
        <v>27874</v>
      </c>
      <c r="F11272" t="s">
        <v>31574</v>
      </c>
      <c r="G11272" t="s">
        <v>31582</v>
      </c>
      <c r="H11272" t="s">
        <v>31591</v>
      </c>
      <c r="I11272" t="s">
        <v>8822</v>
      </c>
      <c r="J11272" t="s">
        <v>38742</v>
      </c>
      <c r="K11272" t="s">
        <v>41184</v>
      </c>
      <c r="M11272" t="s">
        <v>43165</v>
      </c>
      <c r="N11272" t="s">
        <v>45095</v>
      </c>
      <c r="O11272" t="s">
        <v>45096</v>
      </c>
      <c r="P11272">
        <v>0</v>
      </c>
      <c r="Q11272">
        <v>8</v>
      </c>
      <c r="R11272" t="s">
        <v>45109</v>
      </c>
      <c r="S11272" t="s">
        <v>45478</v>
      </c>
      <c r="T11272" t="s">
        <v>46980</v>
      </c>
      <c r="U11272" t="s">
        <v>56719</v>
      </c>
      <c r="V11272" t="s">
        <v>59888</v>
      </c>
      <c r="W11272" t="s">
        <v>43165</v>
      </c>
      <c r="X11272" t="s">
        <v>45110</v>
      </c>
    </row>
    <row r="11273" spans="1:24">
      <c r="A11273">
        <f>HYPERLINK("https://www.philgeps.gov.ph/GEPSNONPILOT/Tender/SplashBidNoticeAbstractUI.aspx?menuIndex=3&amp;refID=7025883&amp;Result=3","7025883")</f>
        <v>0</v>
      </c>
      <c r="B11273" t="s">
        <v>1853</v>
      </c>
      <c r="C11273" t="s">
        <v>13948</v>
      </c>
      <c r="D11273" t="s">
        <v>18056</v>
      </c>
      <c r="E11273" t="s">
        <v>27875</v>
      </c>
      <c r="F11273" t="s">
        <v>31574</v>
      </c>
      <c r="G11273" t="s">
        <v>31582</v>
      </c>
      <c r="H11273" t="s">
        <v>31591</v>
      </c>
      <c r="I11273" t="s">
        <v>8822</v>
      </c>
      <c r="J11273" t="s">
        <v>34069</v>
      </c>
      <c r="K11273" t="s">
        <v>41296</v>
      </c>
      <c r="M11273" t="s">
        <v>43491</v>
      </c>
      <c r="N11273" t="s">
        <v>45095</v>
      </c>
      <c r="O11273" t="s">
        <v>45096</v>
      </c>
      <c r="P11273">
        <v>0</v>
      </c>
      <c r="Q11273">
        <v>4</v>
      </c>
      <c r="R11273" t="s">
        <v>45109</v>
      </c>
      <c r="S11273" t="s">
        <v>45478</v>
      </c>
      <c r="T11273" t="s">
        <v>46914</v>
      </c>
      <c r="U11273" t="s">
        <v>56720</v>
      </c>
      <c r="V11273" t="s">
        <v>61033</v>
      </c>
      <c r="W11273" t="s">
        <v>43491</v>
      </c>
      <c r="X11273" t="s">
        <v>45110</v>
      </c>
    </row>
    <row r="11274" spans="1:24">
      <c r="A11274">
        <f>HYPERLINK("https://www.philgeps.gov.ph/GEPSNONPILOT/Tender/SplashBidNoticeAbstractUI.aspx?menuIndex=3&amp;refID=7025839&amp;Result=3","7025839")</f>
        <v>0</v>
      </c>
      <c r="B11274" t="s">
        <v>2812</v>
      </c>
      <c r="C11274" t="s">
        <v>13949</v>
      </c>
      <c r="D11274" t="s">
        <v>18079</v>
      </c>
      <c r="E11274" t="s">
        <v>27876</v>
      </c>
      <c r="F11274" t="s">
        <v>31574</v>
      </c>
      <c r="G11274" t="s">
        <v>31585</v>
      </c>
      <c r="H11274" t="s">
        <v>31590</v>
      </c>
      <c r="I11274" t="s">
        <v>6800</v>
      </c>
      <c r="J11274" t="s">
        <v>38743</v>
      </c>
      <c r="K11274" t="s">
        <v>41196</v>
      </c>
      <c r="M11274" t="s">
        <v>44587</v>
      </c>
      <c r="N11274" t="s">
        <v>45095</v>
      </c>
      <c r="O11274" t="s">
        <v>45096</v>
      </c>
      <c r="P11274">
        <v>0</v>
      </c>
      <c r="Q11274">
        <v>4</v>
      </c>
      <c r="R11274" t="s">
        <v>45109</v>
      </c>
      <c r="S11274" t="s">
        <v>45478</v>
      </c>
      <c r="T11274" t="s">
        <v>47159</v>
      </c>
      <c r="U11274" t="s">
        <v>56721</v>
      </c>
      <c r="W11274" t="s">
        <v>44587</v>
      </c>
      <c r="X11274" t="s">
        <v>45110</v>
      </c>
    </row>
    <row r="11275" spans="1:24">
      <c r="A11275">
        <f>HYPERLINK("https://www.philgeps.gov.ph/GEPSNONPILOT/Tender/SplashBidNoticeAbstractUI.aspx?menuIndex=3&amp;refID=7025893&amp;Result=3","7025893")</f>
        <v>0</v>
      </c>
      <c r="B11275" t="s">
        <v>2826</v>
      </c>
      <c r="C11275" t="s">
        <v>13950</v>
      </c>
      <c r="D11275" t="s">
        <v>18091</v>
      </c>
      <c r="E11275" t="s">
        <v>27877</v>
      </c>
      <c r="F11275" t="s">
        <v>31574</v>
      </c>
      <c r="G11275" t="s">
        <v>31582</v>
      </c>
      <c r="H11275" t="s">
        <v>31591</v>
      </c>
      <c r="I11275" t="s">
        <v>8822</v>
      </c>
      <c r="J11275" t="s">
        <v>38744</v>
      </c>
      <c r="K11275" t="s">
        <v>41430</v>
      </c>
      <c r="M11275" t="s">
        <v>44604</v>
      </c>
      <c r="N11275" t="s">
        <v>45095</v>
      </c>
      <c r="O11275" t="s">
        <v>45096</v>
      </c>
      <c r="P11275">
        <v>0</v>
      </c>
      <c r="Q11275">
        <v>0</v>
      </c>
      <c r="R11275" t="s">
        <v>45109</v>
      </c>
      <c r="S11275" t="s">
        <v>45478</v>
      </c>
      <c r="T11275" t="s">
        <v>46930</v>
      </c>
      <c r="U11275" t="s">
        <v>56722</v>
      </c>
      <c r="W11275" t="s">
        <v>44604</v>
      </c>
      <c r="X11275" t="s">
        <v>45110</v>
      </c>
    </row>
    <row r="11276" spans="1:24">
      <c r="A11276">
        <f>HYPERLINK("https://www.philgeps.gov.ph/GEPSNONPILOT/Tender/SplashBidNoticeAbstractUI.aspx?menuIndex=3&amp;refID=7025836&amp;Result=3","7025836")</f>
        <v>0</v>
      </c>
      <c r="B11276" t="s">
        <v>2107</v>
      </c>
      <c r="C11276" t="s">
        <v>13951</v>
      </c>
      <c r="D11276" t="s">
        <v>18063</v>
      </c>
      <c r="E11276" t="s">
        <v>27878</v>
      </c>
      <c r="F11276" t="s">
        <v>31574</v>
      </c>
      <c r="G11276" t="s">
        <v>31582</v>
      </c>
      <c r="H11276" t="s">
        <v>31590</v>
      </c>
      <c r="I11276" t="s">
        <v>4327</v>
      </c>
      <c r="J11276" t="s">
        <v>35340</v>
      </c>
      <c r="K11276" t="s">
        <v>41186</v>
      </c>
      <c r="M11276" t="s">
        <v>43786</v>
      </c>
      <c r="N11276" t="s">
        <v>45095</v>
      </c>
      <c r="O11276" t="s">
        <v>45096</v>
      </c>
      <c r="P11276">
        <v>0</v>
      </c>
      <c r="Q11276">
        <v>1</v>
      </c>
      <c r="R11276" t="s">
        <v>45109</v>
      </c>
      <c r="S11276" t="s">
        <v>45478</v>
      </c>
      <c r="T11276" t="s">
        <v>47162</v>
      </c>
      <c r="U11276" t="s">
        <v>56723</v>
      </c>
      <c r="W11276" t="s">
        <v>43786</v>
      </c>
      <c r="X11276" t="s">
        <v>45110</v>
      </c>
    </row>
    <row r="11277" spans="1:24">
      <c r="A11277">
        <f>HYPERLINK("https://www.philgeps.gov.ph/GEPSNONPILOT/Tender/SplashBidNoticeAbstractUI.aspx?menuIndex=3&amp;refID=7025912&amp;Result=3","7025912")</f>
        <v>0</v>
      </c>
      <c r="B11277" t="s">
        <v>669</v>
      </c>
      <c r="C11277" t="s">
        <v>13952</v>
      </c>
      <c r="D11277" t="s">
        <v>18050</v>
      </c>
      <c r="E11277" t="s">
        <v>27879</v>
      </c>
      <c r="F11277" t="s">
        <v>31574</v>
      </c>
      <c r="G11277" t="s">
        <v>31582</v>
      </c>
      <c r="H11277" t="s">
        <v>31591</v>
      </c>
      <c r="I11277" t="s">
        <v>8822</v>
      </c>
      <c r="J11277" t="s">
        <v>32739</v>
      </c>
      <c r="K11277" t="s">
        <v>41260</v>
      </c>
      <c r="M11277" t="s">
        <v>42174</v>
      </c>
      <c r="N11277" t="s">
        <v>45095</v>
      </c>
      <c r="O11277" t="s">
        <v>45096</v>
      </c>
      <c r="P11277">
        <v>0</v>
      </c>
      <c r="Q11277">
        <v>2</v>
      </c>
      <c r="R11277" t="s">
        <v>45109</v>
      </c>
      <c r="S11277" t="s">
        <v>45478</v>
      </c>
      <c r="T11277" t="s">
        <v>46922</v>
      </c>
      <c r="U11277" t="s">
        <v>56724</v>
      </c>
      <c r="W11277" t="s">
        <v>42174</v>
      </c>
      <c r="X11277" t="s">
        <v>45110</v>
      </c>
    </row>
    <row r="11278" spans="1:24">
      <c r="A11278">
        <f>HYPERLINK("https://www.philgeps.gov.ph/GEPSNONPILOT/Tender/SplashBidNoticeAbstractUI.aspx?menuIndex=3&amp;refID=7025897&amp;Result=3","7025897")</f>
        <v>0</v>
      </c>
      <c r="B11278" t="s">
        <v>2310</v>
      </c>
      <c r="C11278" t="s">
        <v>13953</v>
      </c>
      <c r="D11278" t="s">
        <v>18075</v>
      </c>
      <c r="E11278" t="s">
        <v>27880</v>
      </c>
      <c r="F11278" t="s">
        <v>31574</v>
      </c>
      <c r="G11278" t="s">
        <v>31582</v>
      </c>
      <c r="H11278" t="s">
        <v>31591</v>
      </c>
      <c r="I11278" t="s">
        <v>8822</v>
      </c>
      <c r="J11278" t="s">
        <v>32019</v>
      </c>
      <c r="K11278" t="s">
        <v>41244</v>
      </c>
      <c r="M11278" t="s">
        <v>44020</v>
      </c>
      <c r="N11278" t="s">
        <v>45095</v>
      </c>
      <c r="O11278" t="s">
        <v>45096</v>
      </c>
      <c r="P11278">
        <v>0</v>
      </c>
      <c r="Q11278">
        <v>0</v>
      </c>
      <c r="R11278" t="s">
        <v>45109</v>
      </c>
      <c r="S11278" t="s">
        <v>45478</v>
      </c>
      <c r="T11278" t="s">
        <v>46930</v>
      </c>
      <c r="U11278" t="s">
        <v>56725</v>
      </c>
      <c r="V11278" t="s">
        <v>60703</v>
      </c>
      <c r="W11278" t="s">
        <v>44020</v>
      </c>
      <c r="X11278" t="s">
        <v>45110</v>
      </c>
    </row>
    <row r="11279" spans="1:24">
      <c r="A11279">
        <f>HYPERLINK("https://www.philgeps.gov.ph/GEPSNONPILOT/Tender/SplashBidNoticeAbstractUI.aspx?menuIndex=3&amp;refID=7025832&amp;Result=3","7025832")</f>
        <v>0</v>
      </c>
      <c r="B11279" t="s">
        <v>2827</v>
      </c>
      <c r="C11279" t="s">
        <v>13954</v>
      </c>
      <c r="D11279" t="s">
        <v>18022</v>
      </c>
      <c r="E11279" t="s">
        <v>27881</v>
      </c>
      <c r="F11279" t="s">
        <v>31574</v>
      </c>
      <c r="G11279" t="s">
        <v>31582</v>
      </c>
      <c r="H11279" t="s">
        <v>31591</v>
      </c>
      <c r="I11279" t="s">
        <v>8822</v>
      </c>
      <c r="J11279" t="s">
        <v>38745</v>
      </c>
      <c r="K11279" t="s">
        <v>41184</v>
      </c>
      <c r="M11279" t="s">
        <v>44605</v>
      </c>
      <c r="N11279" t="s">
        <v>45095</v>
      </c>
      <c r="O11279" t="s">
        <v>45096</v>
      </c>
      <c r="P11279">
        <v>0</v>
      </c>
      <c r="Q11279">
        <v>0</v>
      </c>
      <c r="R11279" t="s">
        <v>45109</v>
      </c>
      <c r="S11279" t="s">
        <v>45478</v>
      </c>
      <c r="T11279" t="s">
        <v>46905</v>
      </c>
      <c r="U11279" t="s">
        <v>56726</v>
      </c>
      <c r="W11279" t="s">
        <v>44605</v>
      </c>
      <c r="X11279" t="s">
        <v>45110</v>
      </c>
    </row>
    <row r="11280" spans="1:24">
      <c r="A11280">
        <f>HYPERLINK("https://www.philgeps.gov.ph/GEPSNONPILOT/Tender/SplashBidNoticeAbstractUI.aspx?menuIndex=3&amp;refID=7025890&amp;Result=3","7025890")</f>
        <v>0</v>
      </c>
      <c r="B11280" t="s">
        <v>1733</v>
      </c>
      <c r="C11280" t="s">
        <v>13955</v>
      </c>
      <c r="D11280" t="s">
        <v>18040</v>
      </c>
      <c r="E11280" t="s">
        <v>27882</v>
      </c>
      <c r="F11280" t="s">
        <v>31574</v>
      </c>
      <c r="G11280" t="s">
        <v>31582</v>
      </c>
      <c r="H11280" t="s">
        <v>31591</v>
      </c>
      <c r="I11280" t="s">
        <v>8822</v>
      </c>
      <c r="J11280" t="s">
        <v>33574</v>
      </c>
      <c r="K11280" t="s">
        <v>41189</v>
      </c>
      <c r="M11280" t="s">
        <v>44606</v>
      </c>
      <c r="N11280" t="s">
        <v>45095</v>
      </c>
      <c r="O11280" t="s">
        <v>45096</v>
      </c>
      <c r="P11280">
        <v>0</v>
      </c>
      <c r="Q11280">
        <v>2</v>
      </c>
      <c r="R11280" t="s">
        <v>45109</v>
      </c>
      <c r="S11280" t="s">
        <v>45478</v>
      </c>
      <c r="T11280" t="s">
        <v>46923</v>
      </c>
      <c r="U11280" t="s">
        <v>56727</v>
      </c>
      <c r="W11280" t="s">
        <v>44606</v>
      </c>
      <c r="X11280" t="s">
        <v>45110</v>
      </c>
    </row>
    <row r="11281" spans="1:24">
      <c r="A11281">
        <f>HYPERLINK("https://www.philgeps.gov.ph/GEPSNONPILOT/Tender/SplashBidNoticeAbstractUI.aspx?menuIndex=3&amp;refID=7025940&amp;Result=3","7025940")</f>
        <v>0</v>
      </c>
      <c r="B11281" t="s">
        <v>1692</v>
      </c>
      <c r="C11281" t="s">
        <v>13956</v>
      </c>
      <c r="D11281" t="s">
        <v>18037</v>
      </c>
      <c r="E11281" t="s">
        <v>27883</v>
      </c>
      <c r="F11281" t="s">
        <v>31574</v>
      </c>
      <c r="G11281" t="s">
        <v>31582</v>
      </c>
      <c r="H11281" t="s">
        <v>31590</v>
      </c>
      <c r="I11281" t="s">
        <v>7185</v>
      </c>
      <c r="J11281" t="s">
        <v>38746</v>
      </c>
      <c r="K11281" t="s">
        <v>41196</v>
      </c>
      <c r="M11281" t="s">
        <v>43306</v>
      </c>
      <c r="N11281" t="s">
        <v>45095</v>
      </c>
      <c r="O11281" t="s">
        <v>45096</v>
      </c>
      <c r="P11281">
        <v>0</v>
      </c>
      <c r="Q11281">
        <v>2</v>
      </c>
      <c r="R11281" t="s">
        <v>45109</v>
      </c>
      <c r="S11281" t="s">
        <v>45478</v>
      </c>
      <c r="T11281" t="s">
        <v>47197</v>
      </c>
      <c r="U11281" t="s">
        <v>56728</v>
      </c>
      <c r="W11281" t="s">
        <v>43306</v>
      </c>
      <c r="X11281" t="s">
        <v>45110</v>
      </c>
    </row>
    <row r="11282" spans="1:24">
      <c r="A11282">
        <f>HYPERLINK("https://www.philgeps.gov.ph/GEPSNONPILOT/Tender/SplashBidNoticeAbstractUI.aspx?menuIndex=3&amp;refID=7025920&amp;Result=3","7025920")</f>
        <v>0</v>
      </c>
      <c r="B11282" t="s">
        <v>95</v>
      </c>
      <c r="C11282" t="s">
        <v>13957</v>
      </c>
      <c r="D11282" t="s">
        <v>18062</v>
      </c>
      <c r="E11282" t="s">
        <v>27884</v>
      </c>
      <c r="F11282" t="s">
        <v>31574</v>
      </c>
      <c r="G11282" t="s">
        <v>31582</v>
      </c>
      <c r="H11282" t="s">
        <v>31590</v>
      </c>
      <c r="I11282" t="s">
        <v>31615</v>
      </c>
      <c r="J11282" t="s">
        <v>38582</v>
      </c>
      <c r="K11282" t="s">
        <v>41189</v>
      </c>
      <c r="M11282" t="s">
        <v>41937</v>
      </c>
      <c r="N11282" t="s">
        <v>45095</v>
      </c>
      <c r="O11282" t="s">
        <v>45096</v>
      </c>
      <c r="P11282">
        <v>0</v>
      </c>
      <c r="Q11282">
        <v>3</v>
      </c>
      <c r="R11282" t="s">
        <v>45109</v>
      </c>
      <c r="S11282" t="s">
        <v>45478</v>
      </c>
      <c r="T11282" t="s">
        <v>47000</v>
      </c>
      <c r="U11282" t="s">
        <v>56729</v>
      </c>
      <c r="W11282" t="s">
        <v>41937</v>
      </c>
      <c r="X11282" t="s">
        <v>45110</v>
      </c>
    </row>
    <row r="11283" spans="1:24">
      <c r="A11283">
        <f>HYPERLINK("https://www.philgeps.gov.ph/GEPSNONPILOT/Tender/SplashBidNoticeAbstractUI.aspx?menuIndex=3&amp;refID=7025929&amp;Result=3","7025929")</f>
        <v>0</v>
      </c>
      <c r="B11283" t="s">
        <v>2310</v>
      </c>
      <c r="C11283" t="s">
        <v>13958</v>
      </c>
      <c r="D11283" t="s">
        <v>18075</v>
      </c>
      <c r="E11283" t="s">
        <v>27885</v>
      </c>
      <c r="F11283" t="s">
        <v>31574</v>
      </c>
      <c r="G11283" t="s">
        <v>31582</v>
      </c>
      <c r="H11283" t="s">
        <v>31591</v>
      </c>
      <c r="I11283" t="s">
        <v>8822</v>
      </c>
      <c r="J11283" t="s">
        <v>32019</v>
      </c>
      <c r="K11283" t="s">
        <v>41186</v>
      </c>
      <c r="M11283" t="s">
        <v>44442</v>
      </c>
      <c r="N11283" t="s">
        <v>45095</v>
      </c>
      <c r="O11283" t="s">
        <v>45096</v>
      </c>
      <c r="P11283">
        <v>0</v>
      </c>
      <c r="Q11283">
        <v>0</v>
      </c>
      <c r="R11283" t="s">
        <v>45109</v>
      </c>
      <c r="S11283" t="s">
        <v>45478</v>
      </c>
      <c r="T11283" t="s">
        <v>46930</v>
      </c>
      <c r="U11283" t="s">
        <v>56730</v>
      </c>
      <c r="V11283" t="s">
        <v>60895</v>
      </c>
      <c r="W11283" t="s">
        <v>44442</v>
      </c>
      <c r="X11283" t="s">
        <v>45110</v>
      </c>
    </row>
    <row r="11284" spans="1:24">
      <c r="A11284">
        <f>HYPERLINK("https://www.philgeps.gov.ph/GEPSNONPILOT/Tender/SplashBidNoticeAbstractUI.aspx?menuIndex=3&amp;refID=7026008&amp;Result=3","7026008")</f>
        <v>0</v>
      </c>
      <c r="B11284" t="s">
        <v>2828</v>
      </c>
      <c r="C11284" t="s">
        <v>13959</v>
      </c>
      <c r="D11284" t="s">
        <v>18071</v>
      </c>
      <c r="E11284" t="s">
        <v>27886</v>
      </c>
      <c r="F11284" t="s">
        <v>31574</v>
      </c>
      <c r="G11284" t="s">
        <v>31582</v>
      </c>
      <c r="H11284" t="s">
        <v>31591</v>
      </c>
      <c r="I11284" t="s">
        <v>4046</v>
      </c>
      <c r="J11284" t="s">
        <v>38747</v>
      </c>
      <c r="K11284" t="s">
        <v>41186</v>
      </c>
      <c r="M11284" t="s">
        <v>44607</v>
      </c>
      <c r="N11284" t="s">
        <v>45095</v>
      </c>
      <c r="O11284" t="s">
        <v>45096</v>
      </c>
      <c r="P11284">
        <v>0</v>
      </c>
      <c r="Q11284">
        <v>0</v>
      </c>
      <c r="R11284" t="s">
        <v>45109</v>
      </c>
      <c r="S11284" t="s">
        <v>45478</v>
      </c>
      <c r="T11284" t="s">
        <v>47143</v>
      </c>
      <c r="U11284" t="s">
        <v>56731</v>
      </c>
      <c r="V11284" t="s">
        <v>56731</v>
      </c>
      <c r="W11284" t="s">
        <v>44607</v>
      </c>
      <c r="X11284" t="s">
        <v>45110</v>
      </c>
    </row>
    <row r="11285" spans="1:24">
      <c r="A11285">
        <f>HYPERLINK("https://www.philgeps.gov.ph/GEPSNONPILOT/Tender/SplashBidNoticeAbstractUI.aspx?menuIndex=3&amp;refID=7025989&amp;Result=3","7025989")</f>
        <v>0</v>
      </c>
      <c r="B11285" t="s">
        <v>1689</v>
      </c>
      <c r="C11285" t="s">
        <v>13960</v>
      </c>
      <c r="E11285" t="s">
        <v>27887</v>
      </c>
      <c r="F11285" t="s">
        <v>31574</v>
      </c>
      <c r="G11285" t="s">
        <v>31582</v>
      </c>
      <c r="H11285" t="s">
        <v>31590</v>
      </c>
      <c r="I11285" t="s">
        <v>31621</v>
      </c>
      <c r="J11285" t="s">
        <v>38748</v>
      </c>
      <c r="K11285" t="s">
        <v>41184</v>
      </c>
      <c r="M11285" t="s">
        <v>44598</v>
      </c>
      <c r="N11285" t="s">
        <v>45095</v>
      </c>
      <c r="O11285" t="s">
        <v>45096</v>
      </c>
      <c r="P11285">
        <v>0</v>
      </c>
      <c r="Q11285">
        <v>3</v>
      </c>
      <c r="R11285" t="s">
        <v>45109</v>
      </c>
      <c r="S11285" t="s">
        <v>45478</v>
      </c>
      <c r="T11285" t="s">
        <v>46923</v>
      </c>
      <c r="U11285" t="s">
        <v>56732</v>
      </c>
      <c r="W11285" t="s">
        <v>44598</v>
      </c>
      <c r="X11285" t="s">
        <v>45110</v>
      </c>
    </row>
    <row r="11286" spans="1:24">
      <c r="A11286">
        <f>HYPERLINK("https://www.philgeps.gov.ph/GEPSNONPILOT/Tender/SplashBidNoticeAbstractUI.aspx?menuIndex=3&amp;refID=7025985&amp;Result=3","7025985")</f>
        <v>0</v>
      </c>
      <c r="B11286" t="s">
        <v>130</v>
      </c>
      <c r="C11286" t="s">
        <v>13961</v>
      </c>
      <c r="D11286" t="s">
        <v>18070</v>
      </c>
      <c r="E11286" t="s">
        <v>27888</v>
      </c>
      <c r="F11286" t="s">
        <v>31574</v>
      </c>
      <c r="G11286" t="s">
        <v>31582</v>
      </c>
      <c r="H11286" t="s">
        <v>31591</v>
      </c>
      <c r="I11286" t="s">
        <v>8822</v>
      </c>
      <c r="J11286" t="s">
        <v>38749</v>
      </c>
      <c r="K11286" t="s">
        <v>41245</v>
      </c>
      <c r="M11286" t="s">
        <v>41614</v>
      </c>
      <c r="N11286" t="s">
        <v>45095</v>
      </c>
      <c r="O11286" t="s">
        <v>45096</v>
      </c>
      <c r="P11286">
        <v>0</v>
      </c>
      <c r="Q11286">
        <v>0</v>
      </c>
      <c r="R11286" t="s">
        <v>45109</v>
      </c>
      <c r="S11286" t="s">
        <v>45478</v>
      </c>
      <c r="T11286" t="s">
        <v>46935</v>
      </c>
      <c r="U11286" t="s">
        <v>56733</v>
      </c>
      <c r="W11286" t="s">
        <v>41614</v>
      </c>
      <c r="X11286" t="s">
        <v>45110</v>
      </c>
    </row>
    <row r="11287" spans="1:24">
      <c r="A11287">
        <f>HYPERLINK("https://www.philgeps.gov.ph/GEPSNONPILOT/Tender/SplashBidNoticeAbstractUI.aspx?menuIndex=3&amp;refID=7025934&amp;Result=3","7025934")</f>
        <v>0</v>
      </c>
      <c r="B11287" t="s">
        <v>2818</v>
      </c>
      <c r="C11287" t="s">
        <v>13962</v>
      </c>
      <c r="D11287" t="s">
        <v>18036</v>
      </c>
      <c r="E11287" t="s">
        <v>26650</v>
      </c>
      <c r="F11287" t="s">
        <v>31574</v>
      </c>
      <c r="G11287" t="s">
        <v>31582</v>
      </c>
      <c r="H11287" t="s">
        <v>31591</v>
      </c>
      <c r="I11287" t="s">
        <v>8822</v>
      </c>
      <c r="J11287" t="s">
        <v>38750</v>
      </c>
      <c r="K11287" t="s">
        <v>41189</v>
      </c>
      <c r="M11287" t="s">
        <v>44594</v>
      </c>
      <c r="N11287" t="s">
        <v>45095</v>
      </c>
      <c r="O11287" t="s">
        <v>45096</v>
      </c>
      <c r="P11287">
        <v>0</v>
      </c>
      <c r="Q11287">
        <v>0</v>
      </c>
      <c r="R11287" t="s">
        <v>45109</v>
      </c>
      <c r="S11287" t="s">
        <v>45478</v>
      </c>
      <c r="T11287" t="s">
        <v>47019</v>
      </c>
      <c r="U11287" t="s">
        <v>56734</v>
      </c>
      <c r="W11287" t="s">
        <v>44594</v>
      </c>
      <c r="X11287" t="s">
        <v>45110</v>
      </c>
    </row>
    <row r="11288" spans="1:24">
      <c r="A11288">
        <f>HYPERLINK("https://www.philgeps.gov.ph/GEPSNONPILOT/Tender/SplashBidNoticeAbstractUI.aspx?menuIndex=3&amp;refID=7025995&amp;Result=3","7025995")</f>
        <v>0</v>
      </c>
      <c r="B11288" t="s">
        <v>393</v>
      </c>
      <c r="C11288" t="s">
        <v>13963</v>
      </c>
      <c r="D11288" t="s">
        <v>18022</v>
      </c>
      <c r="E11288" t="s">
        <v>27889</v>
      </c>
      <c r="F11288" t="s">
        <v>31574</v>
      </c>
      <c r="G11288" t="s">
        <v>31582</v>
      </c>
      <c r="H11288" t="s">
        <v>31590</v>
      </c>
      <c r="I11288" t="s">
        <v>31600</v>
      </c>
      <c r="J11288" t="s">
        <v>38751</v>
      </c>
      <c r="K11288" t="s">
        <v>41186</v>
      </c>
      <c r="M11288" t="s">
        <v>44608</v>
      </c>
      <c r="N11288" t="s">
        <v>45095</v>
      </c>
      <c r="O11288" t="s">
        <v>45096</v>
      </c>
      <c r="Q11288">
        <v>8</v>
      </c>
      <c r="R11288" t="s">
        <v>45109</v>
      </c>
      <c r="S11288" t="s">
        <v>45542</v>
      </c>
      <c r="T11288" t="s">
        <v>46996</v>
      </c>
      <c r="U11288" t="s">
        <v>56735</v>
      </c>
      <c r="W11288" t="s">
        <v>44608</v>
      </c>
      <c r="X11288" t="s">
        <v>45110</v>
      </c>
    </row>
    <row r="11289" spans="1:24">
      <c r="A11289">
        <f>HYPERLINK("https://www.philgeps.gov.ph/GEPSNONPILOT/Tender/SplashBidNoticeAbstractUI.aspx?menuIndex=3&amp;refID=7025979&amp;Result=3","7025979")</f>
        <v>0</v>
      </c>
      <c r="B11289" t="s">
        <v>2829</v>
      </c>
      <c r="C11289" t="s">
        <v>13964</v>
      </c>
      <c r="D11289" t="s">
        <v>18071</v>
      </c>
      <c r="E11289" t="s">
        <v>18377</v>
      </c>
      <c r="F11289" t="s">
        <v>31574</v>
      </c>
      <c r="G11289" t="s">
        <v>31582</v>
      </c>
      <c r="H11289" t="s">
        <v>31590</v>
      </c>
      <c r="I11289" t="s">
        <v>4046</v>
      </c>
      <c r="J11289" t="s">
        <v>38752</v>
      </c>
      <c r="K11289" t="s">
        <v>41191</v>
      </c>
      <c r="M11289" t="s">
        <v>44609</v>
      </c>
      <c r="N11289" t="s">
        <v>45095</v>
      </c>
      <c r="O11289" t="s">
        <v>45096</v>
      </c>
      <c r="P11289">
        <v>0</v>
      </c>
      <c r="Q11289">
        <v>0</v>
      </c>
      <c r="R11289" t="s">
        <v>45109</v>
      </c>
      <c r="S11289" t="s">
        <v>45478</v>
      </c>
      <c r="T11289" t="s">
        <v>47066</v>
      </c>
      <c r="U11289" t="s">
        <v>52199</v>
      </c>
      <c r="V11289" t="s">
        <v>61044</v>
      </c>
      <c r="W11289" t="s">
        <v>44609</v>
      </c>
      <c r="X11289" t="s">
        <v>45110</v>
      </c>
    </row>
    <row r="11290" spans="1:24">
      <c r="A11290">
        <f>HYPERLINK("https://www.philgeps.gov.ph/GEPSNONPILOT/Tender/SplashBidNoticeAbstractUI.aspx?menuIndex=3&amp;refID=7025935&amp;Result=3","7025935")</f>
        <v>0</v>
      </c>
      <c r="B11290" t="s">
        <v>2827</v>
      </c>
      <c r="C11290" t="s">
        <v>13965</v>
      </c>
      <c r="D11290" t="s">
        <v>18022</v>
      </c>
      <c r="E11290" t="s">
        <v>27890</v>
      </c>
      <c r="F11290" t="s">
        <v>31574</v>
      </c>
      <c r="G11290" t="s">
        <v>31582</v>
      </c>
      <c r="H11290" t="s">
        <v>31591</v>
      </c>
      <c r="I11290" t="s">
        <v>8822</v>
      </c>
      <c r="J11290" t="s">
        <v>38753</v>
      </c>
      <c r="K11290" t="s">
        <v>41184</v>
      </c>
      <c r="M11290" t="s">
        <v>44605</v>
      </c>
      <c r="N11290" t="s">
        <v>45095</v>
      </c>
      <c r="O11290" t="s">
        <v>45096</v>
      </c>
      <c r="P11290">
        <v>0</v>
      </c>
      <c r="Q11290">
        <v>0</v>
      </c>
      <c r="R11290" t="s">
        <v>45109</v>
      </c>
      <c r="S11290" t="s">
        <v>45478</v>
      </c>
      <c r="T11290" t="s">
        <v>46905</v>
      </c>
      <c r="U11290" t="s">
        <v>56736</v>
      </c>
      <c r="W11290" t="s">
        <v>44605</v>
      </c>
      <c r="X11290" t="s">
        <v>45110</v>
      </c>
    </row>
    <row r="11291" spans="1:24">
      <c r="A11291">
        <f>HYPERLINK("https://www.philgeps.gov.ph/GEPSNONPILOT/Tender/SplashBidNoticeAbstractUI.aspx?menuIndex=3&amp;refID=7025978&amp;Result=3","7025978")</f>
        <v>0</v>
      </c>
      <c r="B11291" t="s">
        <v>2818</v>
      </c>
      <c r="C11291" t="s">
        <v>13966</v>
      </c>
      <c r="D11291" t="s">
        <v>18036</v>
      </c>
      <c r="E11291" t="s">
        <v>24761</v>
      </c>
      <c r="F11291" t="s">
        <v>31574</v>
      </c>
      <c r="G11291" t="s">
        <v>31582</v>
      </c>
      <c r="H11291" t="s">
        <v>31591</v>
      </c>
      <c r="I11291" t="s">
        <v>8822</v>
      </c>
      <c r="J11291" t="s">
        <v>38754</v>
      </c>
      <c r="K11291" t="s">
        <v>41189</v>
      </c>
      <c r="M11291" t="s">
        <v>44594</v>
      </c>
      <c r="N11291" t="s">
        <v>45095</v>
      </c>
      <c r="O11291" t="s">
        <v>45096</v>
      </c>
      <c r="P11291">
        <v>0</v>
      </c>
      <c r="Q11291">
        <v>0</v>
      </c>
      <c r="R11291" t="s">
        <v>45109</v>
      </c>
      <c r="S11291" t="s">
        <v>45478</v>
      </c>
      <c r="T11291" t="s">
        <v>47019</v>
      </c>
      <c r="U11291" t="s">
        <v>56734</v>
      </c>
      <c r="W11291" t="s">
        <v>44594</v>
      </c>
      <c r="X11291" t="s">
        <v>45110</v>
      </c>
    </row>
    <row r="11292" spans="1:24">
      <c r="A11292">
        <f>HYPERLINK("https://www.philgeps.gov.ph/GEPSNONPILOT/Tender/SplashBidNoticeAbstractUI.aspx?menuIndex=3&amp;refID=7025959&amp;Result=3","7025959")</f>
        <v>0</v>
      </c>
      <c r="B11292" t="s">
        <v>1926</v>
      </c>
      <c r="C11292" t="s">
        <v>13967</v>
      </c>
      <c r="D11292" t="s">
        <v>18099</v>
      </c>
      <c r="E11292" t="s">
        <v>27891</v>
      </c>
      <c r="F11292" t="s">
        <v>31574</v>
      </c>
      <c r="G11292" t="s">
        <v>31582</v>
      </c>
      <c r="H11292" t="s">
        <v>31590</v>
      </c>
      <c r="I11292" t="s">
        <v>8822</v>
      </c>
      <c r="J11292" t="s">
        <v>38755</v>
      </c>
      <c r="K11292" t="s">
        <v>41220</v>
      </c>
      <c r="M11292" t="s">
        <v>43578</v>
      </c>
      <c r="N11292" t="s">
        <v>45095</v>
      </c>
      <c r="O11292" t="s">
        <v>45096</v>
      </c>
      <c r="P11292">
        <v>0</v>
      </c>
      <c r="Q11292">
        <v>0</v>
      </c>
      <c r="R11292" t="s">
        <v>45109</v>
      </c>
      <c r="S11292" t="s">
        <v>45478</v>
      </c>
      <c r="T11292" t="s">
        <v>46926</v>
      </c>
      <c r="U11292" t="s">
        <v>56737</v>
      </c>
      <c r="V11292" t="s">
        <v>60507</v>
      </c>
      <c r="W11292" t="s">
        <v>43578</v>
      </c>
      <c r="X11292" t="s">
        <v>45110</v>
      </c>
    </row>
    <row r="11293" spans="1:24">
      <c r="A11293">
        <f>HYPERLINK("https://www.philgeps.gov.ph/GEPSNONPILOT/Tender/SplashBidNoticeAbstractUI.aspx?menuIndex=3&amp;refID=7025829&amp;Result=3","7025829")</f>
        <v>0</v>
      </c>
      <c r="B11293" t="s">
        <v>2691</v>
      </c>
      <c r="C11293" t="s">
        <v>13968</v>
      </c>
      <c r="D11293" t="s">
        <v>18075</v>
      </c>
      <c r="E11293" t="s">
        <v>27892</v>
      </c>
      <c r="F11293" t="s">
        <v>31574</v>
      </c>
      <c r="G11293" t="s">
        <v>31582</v>
      </c>
      <c r="H11293" t="s">
        <v>31590</v>
      </c>
      <c r="I11293" t="s">
        <v>31615</v>
      </c>
      <c r="J11293" t="s">
        <v>38003</v>
      </c>
      <c r="K11293" t="s">
        <v>41200</v>
      </c>
      <c r="M11293" t="s">
        <v>44457</v>
      </c>
      <c r="N11293" t="s">
        <v>45095</v>
      </c>
      <c r="O11293" t="s">
        <v>45096</v>
      </c>
      <c r="P11293">
        <v>0</v>
      </c>
      <c r="Q11293">
        <v>22</v>
      </c>
      <c r="R11293" t="s">
        <v>45109</v>
      </c>
      <c r="S11293" t="s">
        <v>45478</v>
      </c>
      <c r="T11293" t="s">
        <v>46926</v>
      </c>
      <c r="U11293" t="s">
        <v>56738</v>
      </c>
      <c r="V11293" t="s">
        <v>60901</v>
      </c>
      <c r="W11293" t="s">
        <v>61751</v>
      </c>
      <c r="X11293" t="s">
        <v>45110</v>
      </c>
    </row>
    <row r="11294" spans="1:24">
      <c r="A11294">
        <f>HYPERLINK("https://www.philgeps.gov.ph/GEPSNONPILOT/Tender/SplashBidNoticeAbstractUI.aspx?menuIndex=3&amp;refID=7025977&amp;Result=3","7025977")</f>
        <v>0</v>
      </c>
      <c r="B11294" t="s">
        <v>2830</v>
      </c>
      <c r="C11294" t="s">
        <v>13969</v>
      </c>
      <c r="D11294" t="s">
        <v>18059</v>
      </c>
      <c r="E11294" t="s">
        <v>27893</v>
      </c>
      <c r="F11294" t="s">
        <v>31574</v>
      </c>
      <c r="G11294" t="s">
        <v>31582</v>
      </c>
      <c r="H11294" t="s">
        <v>31591</v>
      </c>
      <c r="I11294" t="s">
        <v>8822</v>
      </c>
      <c r="J11294" t="s">
        <v>38756</v>
      </c>
      <c r="K11294" t="s">
        <v>41240</v>
      </c>
      <c r="M11294" t="s">
        <v>44610</v>
      </c>
      <c r="N11294" t="s">
        <v>45095</v>
      </c>
      <c r="O11294" t="s">
        <v>45096</v>
      </c>
      <c r="P11294">
        <v>0</v>
      </c>
      <c r="Q11294">
        <v>0</v>
      </c>
      <c r="R11294" t="s">
        <v>45109</v>
      </c>
      <c r="S11294" t="s">
        <v>45478</v>
      </c>
      <c r="T11294" t="s">
        <v>47183</v>
      </c>
      <c r="U11294" t="s">
        <v>56739</v>
      </c>
      <c r="W11294" t="s">
        <v>44610</v>
      </c>
      <c r="X11294" t="s">
        <v>45110</v>
      </c>
    </row>
    <row r="11295" spans="1:24">
      <c r="A11295">
        <f>HYPERLINK("https://www.philgeps.gov.ph/GEPSNONPILOT/Tender/SplashBidNoticeAbstractUI.aspx?menuIndex=3&amp;refID=7025969&amp;Result=3","7025969")</f>
        <v>0</v>
      </c>
      <c r="B11295" t="s">
        <v>1689</v>
      </c>
      <c r="C11295" t="s">
        <v>13970</v>
      </c>
      <c r="E11295" t="s">
        <v>27894</v>
      </c>
      <c r="F11295" t="s">
        <v>31574</v>
      </c>
      <c r="G11295" t="s">
        <v>31582</v>
      </c>
      <c r="H11295" t="s">
        <v>31590</v>
      </c>
      <c r="I11295" t="s">
        <v>31621</v>
      </c>
      <c r="J11295" t="s">
        <v>38757</v>
      </c>
      <c r="K11295" t="s">
        <v>41184</v>
      </c>
      <c r="M11295" t="s">
        <v>44598</v>
      </c>
      <c r="N11295" t="s">
        <v>45095</v>
      </c>
      <c r="O11295" t="s">
        <v>45096</v>
      </c>
      <c r="P11295">
        <v>0</v>
      </c>
      <c r="Q11295">
        <v>3</v>
      </c>
      <c r="R11295" t="s">
        <v>45109</v>
      </c>
      <c r="S11295" t="s">
        <v>45478</v>
      </c>
      <c r="T11295" t="s">
        <v>46923</v>
      </c>
      <c r="U11295" t="s">
        <v>56740</v>
      </c>
      <c r="W11295" t="s">
        <v>44598</v>
      </c>
      <c r="X11295" t="s">
        <v>45110</v>
      </c>
    </row>
    <row r="11296" spans="1:24">
      <c r="A11296">
        <f>HYPERLINK("https://www.philgeps.gov.ph/GEPSNONPILOT/Tender/SplashBidNoticeAbstractUI.aspx?menuIndex=3&amp;refID=7025986&amp;Result=3","7025986")</f>
        <v>0</v>
      </c>
      <c r="B11296" t="s">
        <v>2824</v>
      </c>
      <c r="C11296" t="s">
        <v>13971</v>
      </c>
      <c r="D11296" t="s">
        <v>18102</v>
      </c>
      <c r="E11296" t="s">
        <v>27895</v>
      </c>
      <c r="F11296" t="s">
        <v>31574</v>
      </c>
      <c r="G11296" t="s">
        <v>31581</v>
      </c>
      <c r="H11296" t="s">
        <v>31590</v>
      </c>
      <c r="I11296" t="s">
        <v>6800</v>
      </c>
      <c r="J11296" t="s">
        <v>38758</v>
      </c>
      <c r="K11296" t="s">
        <v>41186</v>
      </c>
      <c r="M11296" t="s">
        <v>44602</v>
      </c>
      <c r="N11296" t="s">
        <v>45095</v>
      </c>
      <c r="O11296" t="s">
        <v>45096</v>
      </c>
      <c r="P11296">
        <v>0</v>
      </c>
      <c r="Q11296">
        <v>0</v>
      </c>
      <c r="R11296" t="s">
        <v>45109</v>
      </c>
      <c r="S11296" t="s">
        <v>45478</v>
      </c>
      <c r="T11296" t="s">
        <v>46985</v>
      </c>
      <c r="U11296" t="s">
        <v>47916</v>
      </c>
      <c r="V11296" t="s">
        <v>61041</v>
      </c>
      <c r="W11296" t="s">
        <v>44602</v>
      </c>
      <c r="X11296" t="s">
        <v>45110</v>
      </c>
    </row>
    <row r="11297" spans="1:24">
      <c r="A11297">
        <f>HYPERLINK("https://www.philgeps.gov.ph/GEPSNONPILOT/Tender/SplashBidNoticeAbstractUI.aspx?menuIndex=3&amp;refID=7025980&amp;Result=3","7025980")</f>
        <v>0</v>
      </c>
      <c r="B11297" t="s">
        <v>2831</v>
      </c>
      <c r="C11297" t="s">
        <v>13972</v>
      </c>
      <c r="D11297" t="s">
        <v>18027</v>
      </c>
      <c r="E11297" t="s">
        <v>27896</v>
      </c>
      <c r="F11297" t="s">
        <v>31574</v>
      </c>
      <c r="G11297" t="s">
        <v>31582</v>
      </c>
      <c r="H11297" t="s">
        <v>31590</v>
      </c>
      <c r="I11297" t="s">
        <v>8258</v>
      </c>
      <c r="J11297" t="s">
        <v>38759</v>
      </c>
      <c r="K11297" t="s">
        <v>41190</v>
      </c>
      <c r="M11297" t="s">
        <v>44611</v>
      </c>
      <c r="N11297" t="s">
        <v>45095</v>
      </c>
      <c r="O11297" t="s">
        <v>45096</v>
      </c>
      <c r="P11297">
        <v>0</v>
      </c>
      <c r="Q11297">
        <v>3</v>
      </c>
      <c r="R11297" t="s">
        <v>45109</v>
      </c>
      <c r="S11297" t="s">
        <v>45478</v>
      </c>
      <c r="T11297" t="s">
        <v>47391</v>
      </c>
      <c r="U11297" t="s">
        <v>56741</v>
      </c>
      <c r="V11297" t="s">
        <v>61045</v>
      </c>
      <c r="W11297" t="s">
        <v>44611</v>
      </c>
      <c r="X11297" t="s">
        <v>45110</v>
      </c>
    </row>
    <row r="11298" spans="1:24">
      <c r="A11298">
        <f>HYPERLINK("https://www.philgeps.gov.ph/GEPSNONPILOT/Tender/SplashBidNoticeAbstractUI.aspx?menuIndex=3&amp;refID=7025938&amp;Result=3","7025938")</f>
        <v>0</v>
      </c>
      <c r="B11298" t="s">
        <v>2831</v>
      </c>
      <c r="C11298" t="s">
        <v>13973</v>
      </c>
      <c r="D11298" t="s">
        <v>18027</v>
      </c>
      <c r="E11298" t="s">
        <v>27896</v>
      </c>
      <c r="F11298" t="s">
        <v>31574</v>
      </c>
      <c r="G11298" t="s">
        <v>31582</v>
      </c>
      <c r="H11298" t="s">
        <v>31590</v>
      </c>
      <c r="I11298" t="s">
        <v>8258</v>
      </c>
      <c r="J11298" t="s">
        <v>38760</v>
      </c>
      <c r="K11298" t="s">
        <v>41190</v>
      </c>
      <c r="M11298" t="s">
        <v>44611</v>
      </c>
      <c r="N11298" t="s">
        <v>45095</v>
      </c>
      <c r="O11298" t="s">
        <v>45096</v>
      </c>
      <c r="P11298">
        <v>0</v>
      </c>
      <c r="Q11298">
        <v>1</v>
      </c>
      <c r="R11298" t="s">
        <v>45109</v>
      </c>
      <c r="S11298" t="s">
        <v>45478</v>
      </c>
      <c r="T11298" t="s">
        <v>47391</v>
      </c>
      <c r="U11298" t="s">
        <v>56741</v>
      </c>
      <c r="V11298" t="s">
        <v>61046</v>
      </c>
      <c r="W11298" t="s">
        <v>44611</v>
      </c>
      <c r="X11298" t="s">
        <v>45110</v>
      </c>
    </row>
    <row r="11299" spans="1:24">
      <c r="A11299">
        <f>HYPERLINK("https://www.philgeps.gov.ph/GEPSNONPILOT/Tender/SplashBidNoticeAbstractUI.aspx?menuIndex=3&amp;refID=7025952&amp;Result=3","7025952")</f>
        <v>0</v>
      </c>
      <c r="B11299" t="s">
        <v>2824</v>
      </c>
      <c r="C11299" t="s">
        <v>13974</v>
      </c>
      <c r="D11299" t="s">
        <v>18102</v>
      </c>
      <c r="E11299" t="s">
        <v>27897</v>
      </c>
      <c r="F11299" t="s">
        <v>31574</v>
      </c>
      <c r="G11299" t="s">
        <v>31581</v>
      </c>
      <c r="H11299" t="s">
        <v>31590</v>
      </c>
      <c r="I11299" t="s">
        <v>14544</v>
      </c>
      <c r="J11299" t="s">
        <v>38761</v>
      </c>
      <c r="K11299" t="s">
        <v>41186</v>
      </c>
      <c r="M11299" t="s">
        <v>44602</v>
      </c>
      <c r="N11299" t="s">
        <v>45095</v>
      </c>
      <c r="O11299" t="s">
        <v>45096</v>
      </c>
      <c r="P11299">
        <v>0</v>
      </c>
      <c r="Q11299">
        <v>1</v>
      </c>
      <c r="R11299" t="s">
        <v>45109</v>
      </c>
      <c r="S11299" t="s">
        <v>45478</v>
      </c>
      <c r="T11299" t="s">
        <v>46985</v>
      </c>
      <c r="U11299" t="s">
        <v>56742</v>
      </c>
      <c r="V11299" t="s">
        <v>61041</v>
      </c>
      <c r="W11299" t="s">
        <v>44602</v>
      </c>
      <c r="X11299" t="s">
        <v>45110</v>
      </c>
    </row>
    <row r="11300" spans="1:24">
      <c r="A11300">
        <f>HYPERLINK("https://www.philgeps.gov.ph/GEPSNONPILOT/Tender/SplashBidNoticeAbstractUI.aspx?menuIndex=3&amp;refID=7025956&amp;Result=3","7025956")</f>
        <v>0</v>
      </c>
      <c r="B11300" t="s">
        <v>976</v>
      </c>
      <c r="C11300" t="s">
        <v>13975</v>
      </c>
      <c r="D11300" t="s">
        <v>18074</v>
      </c>
      <c r="E11300" t="s">
        <v>27898</v>
      </c>
      <c r="F11300" t="s">
        <v>31574</v>
      </c>
      <c r="G11300" t="s">
        <v>31582</v>
      </c>
      <c r="H11300" t="s">
        <v>31590</v>
      </c>
      <c r="I11300" t="s">
        <v>4046</v>
      </c>
      <c r="J11300" t="s">
        <v>38762</v>
      </c>
      <c r="K11300" t="s">
        <v>41196</v>
      </c>
      <c r="M11300" t="s">
        <v>42508</v>
      </c>
      <c r="N11300" t="s">
        <v>45095</v>
      </c>
      <c r="O11300" t="s">
        <v>45096</v>
      </c>
      <c r="P11300">
        <v>0</v>
      </c>
      <c r="Q11300">
        <v>2</v>
      </c>
      <c r="R11300" t="s">
        <v>45109</v>
      </c>
      <c r="S11300" t="s">
        <v>45478</v>
      </c>
      <c r="T11300" t="s">
        <v>46914</v>
      </c>
      <c r="U11300" t="s">
        <v>53566</v>
      </c>
      <c r="V11300" t="s">
        <v>60094</v>
      </c>
      <c r="W11300" t="s">
        <v>42508</v>
      </c>
      <c r="X11300" t="s">
        <v>45110</v>
      </c>
    </row>
    <row r="11301" spans="1:24">
      <c r="A11301">
        <f>HYPERLINK("https://www.philgeps.gov.ph/GEPSNONPILOT/Tender/SplashBidNoticeAbstractUI.aspx?menuIndex=3&amp;refID=7025820&amp;Result=3","7025820")</f>
        <v>0</v>
      </c>
      <c r="B11301" t="s">
        <v>2832</v>
      </c>
      <c r="C11301" t="s">
        <v>13976</v>
      </c>
      <c r="D11301" t="s">
        <v>18023</v>
      </c>
      <c r="E11301" t="s">
        <v>27899</v>
      </c>
      <c r="F11301" t="s">
        <v>31574</v>
      </c>
      <c r="G11301" t="s">
        <v>31582</v>
      </c>
      <c r="H11301" t="s">
        <v>31590</v>
      </c>
      <c r="I11301" t="s">
        <v>31600</v>
      </c>
      <c r="J11301" t="s">
        <v>38763</v>
      </c>
      <c r="K11301" t="s">
        <v>41186</v>
      </c>
      <c r="M11301" t="s">
        <v>44612</v>
      </c>
      <c r="N11301" t="s">
        <v>45095</v>
      </c>
      <c r="O11301" t="s">
        <v>45096</v>
      </c>
      <c r="Q11301">
        <v>1</v>
      </c>
      <c r="R11301" t="s">
        <v>45109</v>
      </c>
      <c r="S11301" t="s">
        <v>45543</v>
      </c>
      <c r="T11301" t="s">
        <v>47158</v>
      </c>
      <c r="U11301" t="s">
        <v>56743</v>
      </c>
      <c r="V11301" t="s">
        <v>61047</v>
      </c>
      <c r="W11301" t="s">
        <v>44612</v>
      </c>
      <c r="X11301" t="s">
        <v>45110</v>
      </c>
    </row>
    <row r="11302" spans="1:24">
      <c r="A11302">
        <f>HYPERLINK("https://www.philgeps.gov.ph/GEPSNONPILOT/Tender/SplashBidNoticeAbstractUI.aspx?menuIndex=3&amp;refID=7026010&amp;Result=3","7026010")</f>
        <v>0</v>
      </c>
      <c r="B11302" t="s">
        <v>1689</v>
      </c>
      <c r="C11302" t="s">
        <v>13977</v>
      </c>
      <c r="E11302" t="s">
        <v>27900</v>
      </c>
      <c r="F11302" t="s">
        <v>31574</v>
      </c>
      <c r="G11302" t="s">
        <v>31582</v>
      </c>
      <c r="H11302" t="s">
        <v>31590</v>
      </c>
      <c r="I11302" t="s">
        <v>8569</v>
      </c>
      <c r="J11302" t="s">
        <v>38764</v>
      </c>
      <c r="K11302" t="s">
        <v>41184</v>
      </c>
      <c r="M11302" t="s">
        <v>44598</v>
      </c>
      <c r="N11302" t="s">
        <v>45095</v>
      </c>
      <c r="O11302" t="s">
        <v>45096</v>
      </c>
      <c r="P11302">
        <v>0</v>
      </c>
      <c r="Q11302">
        <v>8</v>
      </c>
      <c r="R11302" t="s">
        <v>45109</v>
      </c>
      <c r="S11302" t="s">
        <v>45478</v>
      </c>
      <c r="T11302" t="s">
        <v>46923</v>
      </c>
      <c r="U11302" t="s">
        <v>56744</v>
      </c>
      <c r="W11302" t="s">
        <v>44598</v>
      </c>
      <c r="X11302" t="s">
        <v>45110</v>
      </c>
    </row>
    <row r="11303" spans="1:24">
      <c r="A11303">
        <f>HYPERLINK("https://www.philgeps.gov.ph/GEPSNONPILOT/Tender/SplashBidNoticeAbstractUI.aspx?menuIndex=3&amp;refID=7026025&amp;Result=3","7026025")</f>
        <v>0</v>
      </c>
      <c r="B11303" t="s">
        <v>130</v>
      </c>
      <c r="C11303" t="s">
        <v>13978</v>
      </c>
      <c r="D11303" t="s">
        <v>18070</v>
      </c>
      <c r="E11303" t="s">
        <v>27901</v>
      </c>
      <c r="F11303" t="s">
        <v>31574</v>
      </c>
      <c r="G11303" t="s">
        <v>31582</v>
      </c>
      <c r="H11303" t="s">
        <v>31591</v>
      </c>
      <c r="I11303" t="s">
        <v>8822</v>
      </c>
      <c r="J11303" t="s">
        <v>33444</v>
      </c>
      <c r="K11303" t="s">
        <v>41317</v>
      </c>
      <c r="M11303" t="s">
        <v>41614</v>
      </c>
      <c r="N11303" t="s">
        <v>45095</v>
      </c>
      <c r="O11303" t="s">
        <v>45096</v>
      </c>
      <c r="P11303">
        <v>0</v>
      </c>
      <c r="Q11303">
        <v>0</v>
      </c>
      <c r="R11303" t="s">
        <v>45109</v>
      </c>
      <c r="S11303" t="s">
        <v>45478</v>
      </c>
      <c r="T11303" t="s">
        <v>46926</v>
      </c>
      <c r="U11303" t="s">
        <v>56745</v>
      </c>
      <c r="W11303" t="s">
        <v>41614</v>
      </c>
      <c r="X11303" t="s">
        <v>45110</v>
      </c>
    </row>
    <row r="11304" spans="1:24">
      <c r="A11304">
        <f>HYPERLINK("https://www.philgeps.gov.ph/GEPSNONPILOT/Tender/SplashBidNoticeAbstractUI.aspx?menuIndex=3&amp;refID=7026011&amp;Result=3","7026011")</f>
        <v>0</v>
      </c>
      <c r="B11304" t="s">
        <v>2831</v>
      </c>
      <c r="C11304" t="s">
        <v>13979</v>
      </c>
      <c r="D11304" t="s">
        <v>18027</v>
      </c>
      <c r="E11304" t="s">
        <v>27896</v>
      </c>
      <c r="F11304" t="s">
        <v>31574</v>
      </c>
      <c r="G11304" t="s">
        <v>31582</v>
      </c>
      <c r="H11304" t="s">
        <v>31590</v>
      </c>
      <c r="I11304" t="s">
        <v>8258</v>
      </c>
      <c r="J11304" t="s">
        <v>38765</v>
      </c>
      <c r="K11304" t="s">
        <v>41190</v>
      </c>
      <c r="M11304" t="s">
        <v>44611</v>
      </c>
      <c r="N11304" t="s">
        <v>45095</v>
      </c>
      <c r="O11304" t="s">
        <v>45096</v>
      </c>
      <c r="P11304">
        <v>0</v>
      </c>
      <c r="Q11304">
        <v>4</v>
      </c>
      <c r="R11304" t="s">
        <v>45109</v>
      </c>
      <c r="S11304" t="s">
        <v>45478</v>
      </c>
      <c r="T11304" t="s">
        <v>47391</v>
      </c>
      <c r="U11304" t="s">
        <v>56741</v>
      </c>
      <c r="V11304" t="s">
        <v>61048</v>
      </c>
      <c r="W11304" t="s">
        <v>44611</v>
      </c>
      <c r="X11304" t="s">
        <v>45110</v>
      </c>
    </row>
    <row r="11305" spans="1:24">
      <c r="A11305">
        <f>HYPERLINK("https://www.philgeps.gov.ph/GEPSNONPILOT/Tender/SplashBidNoticeAbstractUI.aspx?menuIndex=3&amp;refID=7026048&amp;Result=3","7026048")</f>
        <v>0</v>
      </c>
      <c r="B11305" t="s">
        <v>1181</v>
      </c>
      <c r="C11305" t="s">
        <v>13980</v>
      </c>
      <c r="D11305" t="s">
        <v>18084</v>
      </c>
      <c r="E11305" t="s">
        <v>27902</v>
      </c>
      <c r="F11305" t="s">
        <v>31574</v>
      </c>
      <c r="G11305" t="s">
        <v>31582</v>
      </c>
      <c r="H11305" t="s">
        <v>31590</v>
      </c>
      <c r="I11305" t="s">
        <v>7185</v>
      </c>
      <c r="J11305" t="s">
        <v>38766</v>
      </c>
      <c r="K11305" t="s">
        <v>41184</v>
      </c>
      <c r="M11305" t="s">
        <v>42740</v>
      </c>
      <c r="N11305" t="s">
        <v>45095</v>
      </c>
      <c r="O11305" t="s">
        <v>45096</v>
      </c>
      <c r="P11305">
        <v>0</v>
      </c>
      <c r="Q11305">
        <v>5</v>
      </c>
      <c r="R11305" t="s">
        <v>45109</v>
      </c>
      <c r="S11305" t="s">
        <v>45478</v>
      </c>
      <c r="T11305" t="s">
        <v>47267</v>
      </c>
      <c r="U11305" t="s">
        <v>56746</v>
      </c>
      <c r="W11305" t="s">
        <v>42740</v>
      </c>
      <c r="X11305" t="s">
        <v>45110</v>
      </c>
    </row>
    <row r="11306" spans="1:24">
      <c r="A11306">
        <f>HYPERLINK("https://www.philgeps.gov.ph/GEPSNONPILOT/Tender/SplashBidNoticeAbstractUI.aspx?menuIndex=3&amp;refID=7026046&amp;Result=3","7026046")</f>
        <v>0</v>
      </c>
      <c r="B11306" t="s">
        <v>2831</v>
      </c>
      <c r="C11306" t="s">
        <v>13981</v>
      </c>
      <c r="D11306" t="s">
        <v>18027</v>
      </c>
      <c r="E11306" t="s">
        <v>27896</v>
      </c>
      <c r="F11306" t="s">
        <v>31574</v>
      </c>
      <c r="G11306" t="s">
        <v>31582</v>
      </c>
      <c r="H11306" t="s">
        <v>31590</v>
      </c>
      <c r="I11306" t="s">
        <v>14544</v>
      </c>
      <c r="J11306" t="s">
        <v>38767</v>
      </c>
      <c r="K11306" t="s">
        <v>41190</v>
      </c>
      <c r="M11306" t="s">
        <v>44611</v>
      </c>
      <c r="N11306" t="s">
        <v>45095</v>
      </c>
      <c r="O11306" t="s">
        <v>45096</v>
      </c>
      <c r="P11306">
        <v>0</v>
      </c>
      <c r="Q11306">
        <v>0</v>
      </c>
      <c r="R11306" t="s">
        <v>45109</v>
      </c>
      <c r="S11306" t="s">
        <v>45478</v>
      </c>
      <c r="T11306" t="s">
        <v>47391</v>
      </c>
      <c r="U11306" t="s">
        <v>56741</v>
      </c>
      <c r="V11306" t="s">
        <v>61049</v>
      </c>
      <c r="W11306" t="s">
        <v>44611</v>
      </c>
      <c r="X11306" t="s">
        <v>45110</v>
      </c>
    </row>
    <row r="11307" spans="1:24">
      <c r="A11307">
        <f>HYPERLINK("https://www.philgeps.gov.ph/GEPSNONPILOT/Tender/SplashBidNoticeAbstractUI.aspx?menuIndex=3&amp;refID=7026068&amp;Result=3","7026068")</f>
        <v>0</v>
      </c>
      <c r="B11307" t="s">
        <v>239</v>
      </c>
      <c r="C11307" t="s">
        <v>13982</v>
      </c>
      <c r="D11307" t="s">
        <v>18024</v>
      </c>
      <c r="E11307" t="s">
        <v>27903</v>
      </c>
      <c r="F11307" t="s">
        <v>31574</v>
      </c>
      <c r="G11307" t="s">
        <v>31582</v>
      </c>
      <c r="H11307" t="s">
        <v>31590</v>
      </c>
      <c r="I11307" t="s">
        <v>31601</v>
      </c>
      <c r="J11307" t="s">
        <v>31789</v>
      </c>
      <c r="K11307" t="s">
        <v>41190</v>
      </c>
      <c r="M11307" t="s">
        <v>41725</v>
      </c>
      <c r="N11307" t="s">
        <v>45095</v>
      </c>
      <c r="O11307" t="s">
        <v>45096</v>
      </c>
      <c r="P11307">
        <v>0</v>
      </c>
      <c r="Q11307">
        <v>2</v>
      </c>
      <c r="R11307" t="s">
        <v>45109</v>
      </c>
      <c r="S11307" t="s">
        <v>45478</v>
      </c>
      <c r="T11307" t="s">
        <v>47177</v>
      </c>
      <c r="U11307" t="s">
        <v>56747</v>
      </c>
      <c r="W11307" t="s">
        <v>41725</v>
      </c>
      <c r="X11307" t="s">
        <v>45110</v>
      </c>
    </row>
    <row r="11308" spans="1:24">
      <c r="A11308">
        <f>HYPERLINK("https://www.philgeps.gov.ph/GEPSNONPILOT/Tender/SplashBidNoticeAbstractUI.aspx?menuIndex=3&amp;refID=7026061&amp;Result=3","7026061")</f>
        <v>0</v>
      </c>
      <c r="B11308" t="s">
        <v>2833</v>
      </c>
      <c r="C11308" t="s">
        <v>13983</v>
      </c>
      <c r="D11308" t="s">
        <v>18039</v>
      </c>
      <c r="E11308" t="s">
        <v>18533</v>
      </c>
      <c r="F11308" t="s">
        <v>31574</v>
      </c>
      <c r="G11308" t="s">
        <v>31582</v>
      </c>
      <c r="H11308" t="s">
        <v>31591</v>
      </c>
      <c r="I11308" t="s">
        <v>8822</v>
      </c>
      <c r="J11308" t="s">
        <v>38768</v>
      </c>
      <c r="K11308" t="s">
        <v>41196</v>
      </c>
      <c r="M11308" t="s">
        <v>44613</v>
      </c>
      <c r="N11308" t="s">
        <v>45095</v>
      </c>
      <c r="O11308" t="s">
        <v>45096</v>
      </c>
      <c r="P11308">
        <v>0</v>
      </c>
      <c r="Q11308">
        <v>0</v>
      </c>
      <c r="R11308" t="s">
        <v>45109</v>
      </c>
      <c r="S11308" t="s">
        <v>45478</v>
      </c>
      <c r="T11308" t="s">
        <v>46985</v>
      </c>
      <c r="U11308" t="s">
        <v>56748</v>
      </c>
      <c r="W11308" t="s">
        <v>44613</v>
      </c>
      <c r="X11308" t="s">
        <v>45110</v>
      </c>
    </row>
    <row r="11309" spans="1:24">
      <c r="A11309">
        <f>HYPERLINK("https://www.philgeps.gov.ph/GEPSNONPILOT/Tender/SplashBidNoticeAbstractUI.aspx?menuIndex=3&amp;refID=7026029&amp;Result=3","7026029")</f>
        <v>0</v>
      </c>
      <c r="B11309" t="s">
        <v>71</v>
      </c>
      <c r="C11309" t="s">
        <v>13984</v>
      </c>
      <c r="D11309" t="s">
        <v>18025</v>
      </c>
      <c r="E11309" t="s">
        <v>27904</v>
      </c>
      <c r="F11309" t="s">
        <v>31574</v>
      </c>
      <c r="G11309" t="s">
        <v>31582</v>
      </c>
      <c r="H11309" t="s">
        <v>31591</v>
      </c>
      <c r="I11309" t="s">
        <v>8822</v>
      </c>
      <c r="J11309" t="s">
        <v>38769</v>
      </c>
      <c r="K11309" t="s">
        <v>41192</v>
      </c>
      <c r="M11309" t="s">
        <v>41555</v>
      </c>
      <c r="N11309" t="s">
        <v>45095</v>
      </c>
      <c r="O11309" t="s">
        <v>45096</v>
      </c>
      <c r="P11309">
        <v>0</v>
      </c>
      <c r="Q11309">
        <v>1</v>
      </c>
      <c r="R11309" t="s">
        <v>45109</v>
      </c>
      <c r="S11309" t="s">
        <v>45478</v>
      </c>
      <c r="T11309" t="s">
        <v>46977</v>
      </c>
      <c r="U11309" t="s">
        <v>56749</v>
      </c>
      <c r="W11309" t="s">
        <v>41555</v>
      </c>
      <c r="X11309" t="s">
        <v>45110</v>
      </c>
    </row>
    <row r="11310" spans="1:24">
      <c r="A11310">
        <f>HYPERLINK("https://www.philgeps.gov.ph/GEPSNONPILOT/Tender/SplashBidNoticeAbstractUI.aspx?menuIndex=3&amp;refID=7026052&amp;Result=3","7026052")</f>
        <v>0</v>
      </c>
      <c r="B11310" t="s">
        <v>1689</v>
      </c>
      <c r="C11310" t="s">
        <v>13985</v>
      </c>
      <c r="E11310" t="s">
        <v>27905</v>
      </c>
      <c r="F11310" t="s">
        <v>31574</v>
      </c>
      <c r="G11310" t="s">
        <v>31582</v>
      </c>
      <c r="H11310" t="s">
        <v>31590</v>
      </c>
      <c r="I11310" t="s">
        <v>6800</v>
      </c>
      <c r="J11310" t="s">
        <v>38770</v>
      </c>
      <c r="K11310" t="s">
        <v>41184</v>
      </c>
      <c r="M11310" t="s">
        <v>44598</v>
      </c>
      <c r="N11310" t="s">
        <v>45095</v>
      </c>
      <c r="O11310" t="s">
        <v>45096</v>
      </c>
      <c r="P11310">
        <v>0</v>
      </c>
      <c r="Q11310">
        <v>2</v>
      </c>
      <c r="R11310" t="s">
        <v>45109</v>
      </c>
      <c r="S11310" t="s">
        <v>45478</v>
      </c>
      <c r="T11310" t="s">
        <v>46923</v>
      </c>
      <c r="U11310" t="s">
        <v>56750</v>
      </c>
      <c r="W11310" t="s">
        <v>44598</v>
      </c>
      <c r="X11310" t="s">
        <v>45110</v>
      </c>
    </row>
    <row r="11311" spans="1:24">
      <c r="A11311">
        <f>HYPERLINK("https://www.philgeps.gov.ph/GEPSNONPILOT/Tender/SplashBidNoticeAbstractUI.aspx?menuIndex=3&amp;refID=7026038&amp;Result=3","7026038")</f>
        <v>0</v>
      </c>
      <c r="B11311" t="s">
        <v>2828</v>
      </c>
      <c r="C11311" t="s">
        <v>13986</v>
      </c>
      <c r="D11311" t="s">
        <v>18071</v>
      </c>
      <c r="E11311" t="s">
        <v>27906</v>
      </c>
      <c r="F11311" t="s">
        <v>31574</v>
      </c>
      <c r="G11311" t="s">
        <v>31582</v>
      </c>
      <c r="H11311" t="s">
        <v>31591</v>
      </c>
      <c r="I11311" t="s">
        <v>4046</v>
      </c>
      <c r="J11311" t="s">
        <v>38771</v>
      </c>
      <c r="K11311" t="s">
        <v>41186</v>
      </c>
      <c r="M11311" t="s">
        <v>44607</v>
      </c>
      <c r="N11311" t="s">
        <v>45095</v>
      </c>
      <c r="O11311" t="s">
        <v>45096</v>
      </c>
      <c r="P11311">
        <v>0</v>
      </c>
      <c r="Q11311">
        <v>1</v>
      </c>
      <c r="R11311" t="s">
        <v>45109</v>
      </c>
      <c r="S11311" t="s">
        <v>45478</v>
      </c>
      <c r="T11311" t="s">
        <v>47143</v>
      </c>
      <c r="U11311" t="s">
        <v>56751</v>
      </c>
      <c r="V11311" t="s">
        <v>56751</v>
      </c>
      <c r="W11311" t="s">
        <v>44607</v>
      </c>
      <c r="X11311" t="s">
        <v>45110</v>
      </c>
    </row>
    <row r="11312" spans="1:24">
      <c r="A11312">
        <f>HYPERLINK("https://www.philgeps.gov.ph/GEPSNONPILOT/Tender/SplashBidNoticeAbstractUI.aspx?menuIndex=3&amp;refID=7026112&amp;Result=3","7026112")</f>
        <v>0</v>
      </c>
      <c r="B11312" t="s">
        <v>1689</v>
      </c>
      <c r="C11312" t="s">
        <v>13987</v>
      </c>
      <c r="E11312" t="s">
        <v>27907</v>
      </c>
      <c r="F11312" t="s">
        <v>31574</v>
      </c>
      <c r="G11312" t="s">
        <v>31582</v>
      </c>
      <c r="H11312" t="s">
        <v>31590</v>
      </c>
      <c r="I11312" t="s">
        <v>3489</v>
      </c>
      <c r="J11312" t="s">
        <v>38772</v>
      </c>
      <c r="K11312" t="s">
        <v>41184</v>
      </c>
      <c r="M11312" t="s">
        <v>44598</v>
      </c>
      <c r="N11312" t="s">
        <v>45095</v>
      </c>
      <c r="O11312" t="s">
        <v>45096</v>
      </c>
      <c r="P11312">
        <v>0</v>
      </c>
      <c r="Q11312">
        <v>1</v>
      </c>
      <c r="R11312" t="s">
        <v>45109</v>
      </c>
      <c r="S11312" t="s">
        <v>45478</v>
      </c>
      <c r="T11312" t="s">
        <v>46923</v>
      </c>
      <c r="U11312" t="s">
        <v>56752</v>
      </c>
      <c r="W11312" t="s">
        <v>44598</v>
      </c>
      <c r="X11312" t="s">
        <v>45110</v>
      </c>
    </row>
    <row r="11313" spans="1:24">
      <c r="A11313">
        <f>HYPERLINK("https://www.philgeps.gov.ph/GEPSNONPILOT/Tender/SplashBidNoticeAbstractUI.aspx?menuIndex=3&amp;refID=7026070&amp;Result=3","7026070")</f>
        <v>0</v>
      </c>
      <c r="B11313" t="s">
        <v>1689</v>
      </c>
      <c r="C11313" t="s">
        <v>13988</v>
      </c>
      <c r="E11313" t="s">
        <v>27908</v>
      </c>
      <c r="F11313" t="s">
        <v>31574</v>
      </c>
      <c r="G11313" t="s">
        <v>31582</v>
      </c>
      <c r="H11313" t="s">
        <v>31590</v>
      </c>
      <c r="I11313" t="s">
        <v>31623</v>
      </c>
      <c r="J11313" t="s">
        <v>38773</v>
      </c>
      <c r="K11313" t="s">
        <v>41184</v>
      </c>
      <c r="M11313" t="s">
        <v>44598</v>
      </c>
      <c r="N11313" t="s">
        <v>45095</v>
      </c>
      <c r="O11313" t="s">
        <v>45096</v>
      </c>
      <c r="P11313">
        <v>0</v>
      </c>
      <c r="Q11313">
        <v>1</v>
      </c>
      <c r="R11313" t="s">
        <v>45109</v>
      </c>
      <c r="S11313" t="s">
        <v>45478</v>
      </c>
      <c r="T11313" t="s">
        <v>46923</v>
      </c>
      <c r="U11313" t="s">
        <v>56753</v>
      </c>
      <c r="W11313" t="s">
        <v>44598</v>
      </c>
      <c r="X11313" t="s">
        <v>45110</v>
      </c>
    </row>
    <row r="11314" spans="1:24">
      <c r="A11314">
        <f>HYPERLINK("https://www.philgeps.gov.ph/GEPSNONPILOT/Tender/SplashBidNoticeAbstractUI.aspx?menuIndex=3&amp;refID=7026081&amp;Result=3","7026081")</f>
        <v>0</v>
      </c>
      <c r="B11314" t="s">
        <v>2310</v>
      </c>
      <c r="C11314" t="s">
        <v>13989</v>
      </c>
      <c r="D11314" t="s">
        <v>18075</v>
      </c>
      <c r="E11314" t="s">
        <v>27909</v>
      </c>
      <c r="F11314" t="s">
        <v>31574</v>
      </c>
      <c r="G11314" t="s">
        <v>31582</v>
      </c>
      <c r="H11314" t="s">
        <v>31591</v>
      </c>
      <c r="I11314" t="s">
        <v>8822</v>
      </c>
      <c r="J11314" t="s">
        <v>32019</v>
      </c>
      <c r="K11314" t="s">
        <v>41233</v>
      </c>
      <c r="M11314" t="s">
        <v>44442</v>
      </c>
      <c r="N11314" t="s">
        <v>45095</v>
      </c>
      <c r="O11314" t="s">
        <v>45096</v>
      </c>
      <c r="P11314">
        <v>0</v>
      </c>
      <c r="Q11314">
        <v>0</v>
      </c>
      <c r="R11314" t="s">
        <v>45109</v>
      </c>
      <c r="S11314" t="s">
        <v>45478</v>
      </c>
      <c r="T11314" t="s">
        <v>46930</v>
      </c>
      <c r="U11314" t="s">
        <v>56754</v>
      </c>
      <c r="V11314" t="s">
        <v>60895</v>
      </c>
      <c r="W11314" t="s">
        <v>44442</v>
      </c>
      <c r="X11314" t="s">
        <v>45110</v>
      </c>
    </row>
    <row r="11315" spans="1:24">
      <c r="A11315">
        <f>HYPERLINK("https://www.philgeps.gov.ph/GEPSNONPILOT/Tender/SplashBidNoticeAbstractUI.aspx?menuIndex=3&amp;refID=7026111&amp;Result=3","7026111")</f>
        <v>0</v>
      </c>
      <c r="B11315" t="s">
        <v>2831</v>
      </c>
      <c r="C11315" t="s">
        <v>13990</v>
      </c>
      <c r="D11315" t="s">
        <v>18027</v>
      </c>
      <c r="E11315" t="s">
        <v>27896</v>
      </c>
      <c r="F11315" t="s">
        <v>31574</v>
      </c>
      <c r="G11315" t="s">
        <v>31582</v>
      </c>
      <c r="H11315" t="s">
        <v>31590</v>
      </c>
      <c r="I11315" t="s">
        <v>31720</v>
      </c>
      <c r="J11315" t="s">
        <v>38774</v>
      </c>
      <c r="K11315" t="s">
        <v>41186</v>
      </c>
      <c r="M11315" t="s">
        <v>44611</v>
      </c>
      <c r="N11315" t="s">
        <v>45095</v>
      </c>
      <c r="O11315" t="s">
        <v>45096</v>
      </c>
      <c r="P11315">
        <v>0</v>
      </c>
      <c r="Q11315">
        <v>2</v>
      </c>
      <c r="R11315" t="s">
        <v>45109</v>
      </c>
      <c r="S11315" t="s">
        <v>45478</v>
      </c>
      <c r="T11315" t="s">
        <v>47391</v>
      </c>
      <c r="U11315" t="s">
        <v>56741</v>
      </c>
      <c r="V11315" t="s">
        <v>61050</v>
      </c>
      <c r="W11315" t="s">
        <v>44611</v>
      </c>
      <c r="X11315" t="s">
        <v>45110</v>
      </c>
    </row>
    <row r="11316" spans="1:24">
      <c r="A11316">
        <f>HYPERLINK("https://www.philgeps.gov.ph/GEPSNONPILOT/Tender/SplashBidNoticeAbstractUI.aspx?menuIndex=3&amp;refID=7026034&amp;Result=3","7026034")</f>
        <v>0</v>
      </c>
      <c r="B11316" t="s">
        <v>141</v>
      </c>
      <c r="C11316" t="s">
        <v>13991</v>
      </c>
      <c r="D11316" t="s">
        <v>18074</v>
      </c>
      <c r="E11316" t="s">
        <v>27910</v>
      </c>
      <c r="F11316" t="s">
        <v>31574</v>
      </c>
      <c r="G11316" t="s">
        <v>31581</v>
      </c>
      <c r="H11316" t="s">
        <v>31590</v>
      </c>
      <c r="I11316" t="s">
        <v>8258</v>
      </c>
      <c r="J11316" t="s">
        <v>38775</v>
      </c>
      <c r="K11316" t="s">
        <v>41184</v>
      </c>
      <c r="M11316" t="s">
        <v>41625</v>
      </c>
      <c r="N11316" t="s">
        <v>45095</v>
      </c>
      <c r="O11316" t="s">
        <v>45096</v>
      </c>
      <c r="P11316">
        <v>0</v>
      </c>
      <c r="Q11316">
        <v>1</v>
      </c>
      <c r="R11316" t="s">
        <v>45109</v>
      </c>
      <c r="S11316" t="s">
        <v>45478</v>
      </c>
      <c r="T11316" t="s">
        <v>47159</v>
      </c>
      <c r="U11316" t="s">
        <v>56755</v>
      </c>
      <c r="W11316" t="s">
        <v>41625</v>
      </c>
      <c r="X11316" t="s">
        <v>45110</v>
      </c>
    </row>
    <row r="11317" spans="1:24">
      <c r="A11317">
        <f>HYPERLINK("https://www.philgeps.gov.ph/GEPSNONPILOT/Tender/SplashBidNoticeAbstractUI.aspx?menuIndex=3&amp;refID=7026030&amp;Result=3","7026030")</f>
        <v>0</v>
      </c>
      <c r="B11317" t="s">
        <v>2818</v>
      </c>
      <c r="C11317" t="s">
        <v>13992</v>
      </c>
      <c r="D11317" t="s">
        <v>18036</v>
      </c>
      <c r="E11317" t="s">
        <v>18741</v>
      </c>
      <c r="F11317" t="s">
        <v>31574</v>
      </c>
      <c r="G11317" t="s">
        <v>31582</v>
      </c>
      <c r="H11317" t="s">
        <v>31591</v>
      </c>
      <c r="I11317" t="s">
        <v>8822</v>
      </c>
      <c r="J11317" t="s">
        <v>38776</v>
      </c>
      <c r="K11317" t="s">
        <v>41420</v>
      </c>
      <c r="M11317" t="s">
        <v>44594</v>
      </c>
      <c r="N11317" t="s">
        <v>45095</v>
      </c>
      <c r="O11317" t="s">
        <v>45096</v>
      </c>
      <c r="P11317">
        <v>0</v>
      </c>
      <c r="Q11317">
        <v>0</v>
      </c>
      <c r="R11317" t="s">
        <v>45109</v>
      </c>
      <c r="S11317" t="s">
        <v>45478</v>
      </c>
      <c r="T11317" t="s">
        <v>47019</v>
      </c>
      <c r="U11317" t="s">
        <v>56756</v>
      </c>
      <c r="W11317" t="s">
        <v>44594</v>
      </c>
      <c r="X11317" t="s">
        <v>45110</v>
      </c>
    </row>
    <row r="11318" spans="1:24">
      <c r="A11318">
        <f>HYPERLINK("https://www.philgeps.gov.ph/GEPSNONPILOT/Tender/SplashBidNoticeAbstractUI.aspx?menuIndex=3&amp;refID=7026105&amp;Result=3","7026105")</f>
        <v>0</v>
      </c>
      <c r="B11318" t="s">
        <v>596</v>
      </c>
      <c r="C11318" t="s">
        <v>13993</v>
      </c>
      <c r="D11318" t="s">
        <v>18034</v>
      </c>
      <c r="E11318" t="s">
        <v>27911</v>
      </c>
      <c r="F11318" t="s">
        <v>31574</v>
      </c>
      <c r="G11318" t="s">
        <v>31582</v>
      </c>
      <c r="H11318" t="s">
        <v>31591</v>
      </c>
      <c r="I11318" t="s">
        <v>8822</v>
      </c>
      <c r="J11318" t="s">
        <v>32026</v>
      </c>
      <c r="K11318" t="s">
        <v>41400</v>
      </c>
      <c r="M11318" t="s">
        <v>42099</v>
      </c>
      <c r="N11318" t="s">
        <v>45095</v>
      </c>
      <c r="O11318" t="s">
        <v>45096</v>
      </c>
      <c r="P11318">
        <v>0</v>
      </c>
      <c r="Q11318">
        <v>0</v>
      </c>
      <c r="R11318" t="s">
        <v>45109</v>
      </c>
      <c r="S11318" t="s">
        <v>45478</v>
      </c>
      <c r="T11318" t="s">
        <v>47066</v>
      </c>
      <c r="U11318" t="s">
        <v>56757</v>
      </c>
      <c r="W11318" t="s">
        <v>42099</v>
      </c>
      <c r="X11318" t="s">
        <v>45110</v>
      </c>
    </row>
    <row r="11319" spans="1:24">
      <c r="A11319">
        <f>HYPERLINK("https://www.philgeps.gov.ph/GEPSNONPILOT/Tender/SplashBidNoticeAbstractUI.aspx?menuIndex=3&amp;refID=7026107&amp;Result=3","7026107")</f>
        <v>0</v>
      </c>
      <c r="B11319" t="s">
        <v>2818</v>
      </c>
      <c r="C11319" t="s">
        <v>13994</v>
      </c>
      <c r="D11319" t="s">
        <v>18036</v>
      </c>
      <c r="E11319" t="s">
        <v>19618</v>
      </c>
      <c r="F11319" t="s">
        <v>31574</v>
      </c>
      <c r="G11319" t="s">
        <v>31582</v>
      </c>
      <c r="H11319" t="s">
        <v>31591</v>
      </c>
      <c r="I11319" t="s">
        <v>8822</v>
      </c>
      <c r="J11319" t="s">
        <v>38777</v>
      </c>
      <c r="K11319" t="s">
        <v>41192</v>
      </c>
      <c r="M11319" t="s">
        <v>44594</v>
      </c>
      <c r="N11319" t="s">
        <v>45095</v>
      </c>
      <c r="O11319" t="s">
        <v>45096</v>
      </c>
      <c r="P11319">
        <v>0</v>
      </c>
      <c r="Q11319">
        <v>0</v>
      </c>
      <c r="R11319" t="s">
        <v>45109</v>
      </c>
      <c r="S11319" t="s">
        <v>45478</v>
      </c>
      <c r="T11319" t="s">
        <v>47019</v>
      </c>
      <c r="U11319" t="s">
        <v>56758</v>
      </c>
      <c r="W11319" t="s">
        <v>44594</v>
      </c>
      <c r="X11319" t="s">
        <v>45110</v>
      </c>
    </row>
    <row r="11320" spans="1:24">
      <c r="A11320">
        <f>HYPERLINK("https://www.philgeps.gov.ph/GEPSNONPILOT/Tender/SplashBidNoticeAbstractUI.aspx?menuIndex=3&amp;refID=7026031&amp;Result=3","7026031")</f>
        <v>0</v>
      </c>
      <c r="B11320" t="s">
        <v>1689</v>
      </c>
      <c r="C11320" t="s">
        <v>13995</v>
      </c>
      <c r="E11320" t="s">
        <v>27912</v>
      </c>
      <c r="F11320" t="s">
        <v>31574</v>
      </c>
      <c r="G11320" t="s">
        <v>31582</v>
      </c>
      <c r="H11320" t="s">
        <v>31590</v>
      </c>
      <c r="I11320" t="s">
        <v>31602</v>
      </c>
      <c r="J11320" t="s">
        <v>38778</v>
      </c>
      <c r="K11320" t="s">
        <v>41184</v>
      </c>
      <c r="M11320" t="s">
        <v>44598</v>
      </c>
      <c r="N11320" t="s">
        <v>45095</v>
      </c>
      <c r="O11320" t="s">
        <v>45096</v>
      </c>
      <c r="P11320">
        <v>0</v>
      </c>
      <c r="Q11320">
        <v>0</v>
      </c>
      <c r="R11320" t="s">
        <v>45109</v>
      </c>
      <c r="S11320" t="s">
        <v>45478</v>
      </c>
      <c r="T11320" t="s">
        <v>46923</v>
      </c>
      <c r="U11320" t="s">
        <v>56759</v>
      </c>
      <c r="W11320" t="s">
        <v>44598</v>
      </c>
      <c r="X11320" t="s">
        <v>45110</v>
      </c>
    </row>
    <row r="11321" spans="1:24">
      <c r="A11321">
        <f>HYPERLINK("https://www.philgeps.gov.ph/GEPSNONPILOT/Tender/SplashBidNoticeAbstractUI.aspx?menuIndex=3&amp;refID=7026073&amp;Result=3","7026073")</f>
        <v>0</v>
      </c>
      <c r="B11321" t="s">
        <v>2818</v>
      </c>
      <c r="C11321" t="s">
        <v>13996</v>
      </c>
      <c r="D11321" t="s">
        <v>18036</v>
      </c>
      <c r="E11321" t="s">
        <v>18815</v>
      </c>
      <c r="F11321" t="s">
        <v>31574</v>
      </c>
      <c r="G11321" t="s">
        <v>31582</v>
      </c>
      <c r="H11321" t="s">
        <v>31591</v>
      </c>
      <c r="I11321" t="s">
        <v>8822</v>
      </c>
      <c r="J11321" t="s">
        <v>38779</v>
      </c>
      <c r="K11321" t="s">
        <v>41292</v>
      </c>
      <c r="M11321" t="s">
        <v>44594</v>
      </c>
      <c r="N11321" t="s">
        <v>45095</v>
      </c>
      <c r="O11321" t="s">
        <v>45096</v>
      </c>
      <c r="P11321">
        <v>0</v>
      </c>
      <c r="Q11321">
        <v>0</v>
      </c>
      <c r="R11321" t="s">
        <v>45109</v>
      </c>
      <c r="S11321" t="s">
        <v>45478</v>
      </c>
      <c r="T11321" t="s">
        <v>47019</v>
      </c>
      <c r="U11321" t="s">
        <v>56760</v>
      </c>
      <c r="W11321" t="s">
        <v>44594</v>
      </c>
      <c r="X11321" t="s">
        <v>45110</v>
      </c>
    </row>
    <row r="11322" spans="1:24">
      <c r="A11322">
        <f>HYPERLINK("https://www.philgeps.gov.ph/GEPSNONPILOT/Tender/SplashBidNoticeAbstractUI.aspx?menuIndex=3&amp;refID=7026138&amp;Result=3","7026138")</f>
        <v>0</v>
      </c>
      <c r="B11322" t="s">
        <v>219</v>
      </c>
      <c r="C11322" t="s">
        <v>13997</v>
      </c>
      <c r="D11322" t="s">
        <v>18028</v>
      </c>
      <c r="E11322" t="s">
        <v>19792</v>
      </c>
      <c r="F11322" t="s">
        <v>31574</v>
      </c>
      <c r="G11322" t="s">
        <v>31582</v>
      </c>
      <c r="H11322" t="s">
        <v>31590</v>
      </c>
      <c r="I11322" t="s">
        <v>31607</v>
      </c>
      <c r="J11322" t="s">
        <v>38780</v>
      </c>
      <c r="K11322" t="s">
        <v>41192</v>
      </c>
      <c r="M11322" t="s">
        <v>41704</v>
      </c>
      <c r="N11322" t="s">
        <v>45095</v>
      </c>
      <c r="O11322" t="s">
        <v>45096</v>
      </c>
      <c r="P11322">
        <v>0</v>
      </c>
      <c r="Q11322">
        <v>4</v>
      </c>
      <c r="R11322" t="s">
        <v>45109</v>
      </c>
      <c r="S11322" t="s">
        <v>45478</v>
      </c>
      <c r="T11322" t="s">
        <v>46922</v>
      </c>
      <c r="U11322" t="s">
        <v>56761</v>
      </c>
      <c r="V11322" t="s">
        <v>59888</v>
      </c>
      <c r="W11322" t="s">
        <v>41704</v>
      </c>
      <c r="X11322" t="s">
        <v>45110</v>
      </c>
    </row>
    <row r="11323" spans="1:24">
      <c r="A11323">
        <f>HYPERLINK("https://www.philgeps.gov.ph/GEPSNONPILOT/Tender/SplashBidNoticeAbstractUI.aspx?menuIndex=3&amp;refID=7026120&amp;Result=3","7026120")</f>
        <v>0</v>
      </c>
      <c r="B11323" t="s">
        <v>130</v>
      </c>
      <c r="C11323" t="s">
        <v>13998</v>
      </c>
      <c r="D11323" t="s">
        <v>18070</v>
      </c>
      <c r="E11323" t="s">
        <v>27913</v>
      </c>
      <c r="F11323" t="s">
        <v>31574</v>
      </c>
      <c r="G11323" t="s">
        <v>31582</v>
      </c>
      <c r="H11323" t="s">
        <v>31591</v>
      </c>
      <c r="I11323" t="s">
        <v>8822</v>
      </c>
      <c r="J11323" t="s">
        <v>38781</v>
      </c>
      <c r="K11323" t="s">
        <v>41240</v>
      </c>
      <c r="M11323" t="s">
        <v>41614</v>
      </c>
      <c r="N11323" t="s">
        <v>45095</v>
      </c>
      <c r="O11323" t="s">
        <v>45096</v>
      </c>
      <c r="P11323">
        <v>0</v>
      </c>
      <c r="Q11323">
        <v>0</v>
      </c>
      <c r="R11323" t="s">
        <v>45109</v>
      </c>
      <c r="S11323" t="s">
        <v>45478</v>
      </c>
      <c r="T11323" t="s">
        <v>46926</v>
      </c>
      <c r="U11323" t="s">
        <v>56762</v>
      </c>
      <c r="W11323" t="s">
        <v>41614</v>
      </c>
      <c r="X11323" t="s">
        <v>45110</v>
      </c>
    </row>
    <row r="11324" spans="1:24">
      <c r="A11324">
        <f>HYPERLINK("https://www.philgeps.gov.ph/GEPSNONPILOT/Tender/SplashBidNoticeAbstractUI.aspx?menuIndex=3&amp;refID=7026116&amp;Result=3","7026116")</f>
        <v>0</v>
      </c>
      <c r="B11324" t="s">
        <v>2314</v>
      </c>
      <c r="C11324" t="s">
        <v>13999</v>
      </c>
      <c r="D11324" t="s">
        <v>18044</v>
      </c>
      <c r="E11324" t="s">
        <v>27914</v>
      </c>
      <c r="F11324" t="s">
        <v>31574</v>
      </c>
      <c r="G11324" t="s">
        <v>31582</v>
      </c>
      <c r="H11324" t="s">
        <v>31591</v>
      </c>
      <c r="I11324" t="s">
        <v>8822</v>
      </c>
      <c r="J11324" t="s">
        <v>31935</v>
      </c>
      <c r="K11324" t="s">
        <v>41333</v>
      </c>
      <c r="M11324" t="s">
        <v>44024</v>
      </c>
      <c r="N11324" t="s">
        <v>45095</v>
      </c>
      <c r="O11324" t="s">
        <v>45096</v>
      </c>
      <c r="P11324">
        <v>0</v>
      </c>
      <c r="Q11324">
        <v>11</v>
      </c>
      <c r="R11324" t="s">
        <v>45109</v>
      </c>
      <c r="S11324" t="s">
        <v>45478</v>
      </c>
      <c r="T11324" t="s">
        <v>46933</v>
      </c>
      <c r="U11324" t="s">
        <v>56763</v>
      </c>
      <c r="W11324" t="s">
        <v>44024</v>
      </c>
      <c r="X11324" t="s">
        <v>45110</v>
      </c>
    </row>
    <row r="11325" spans="1:24">
      <c r="A11325">
        <f>HYPERLINK("https://www.philgeps.gov.ph/GEPSNONPILOT/Tender/SplashBidNoticeAbstractUI.aspx?menuIndex=3&amp;refID=7026131&amp;Result=3","7026131")</f>
        <v>0</v>
      </c>
      <c r="B11325" t="s">
        <v>1689</v>
      </c>
      <c r="C11325" t="s">
        <v>14000</v>
      </c>
      <c r="E11325" t="s">
        <v>27915</v>
      </c>
      <c r="F11325" t="s">
        <v>31574</v>
      </c>
      <c r="G11325" t="s">
        <v>31582</v>
      </c>
      <c r="H11325" t="s">
        <v>31590</v>
      </c>
      <c r="I11325" t="s">
        <v>31608</v>
      </c>
      <c r="J11325" t="s">
        <v>32504</v>
      </c>
      <c r="K11325" t="s">
        <v>41184</v>
      </c>
      <c r="M11325" t="s">
        <v>44598</v>
      </c>
      <c r="N11325" t="s">
        <v>45095</v>
      </c>
      <c r="O11325" t="s">
        <v>45096</v>
      </c>
      <c r="P11325">
        <v>0</v>
      </c>
      <c r="Q11325">
        <v>8</v>
      </c>
      <c r="R11325" t="s">
        <v>45109</v>
      </c>
      <c r="S11325" t="s">
        <v>45478</v>
      </c>
      <c r="T11325" t="s">
        <v>46923</v>
      </c>
      <c r="U11325" t="s">
        <v>56764</v>
      </c>
      <c r="W11325" t="s">
        <v>44598</v>
      </c>
      <c r="X11325" t="s">
        <v>45110</v>
      </c>
    </row>
    <row r="11326" spans="1:24">
      <c r="A11326">
        <f>HYPERLINK("https://www.philgeps.gov.ph/GEPSNONPILOT/Tender/SplashBidNoticeAbstractUI.aspx?menuIndex=3&amp;refID=7026149&amp;Result=3","7026149")</f>
        <v>0</v>
      </c>
      <c r="B11326" t="s">
        <v>2834</v>
      </c>
      <c r="C11326" t="s">
        <v>14001</v>
      </c>
      <c r="E11326" t="s">
        <v>21063</v>
      </c>
      <c r="F11326" t="s">
        <v>31574</v>
      </c>
      <c r="G11326" t="s">
        <v>31582</v>
      </c>
      <c r="H11326" t="s">
        <v>31591</v>
      </c>
      <c r="I11326" t="s">
        <v>7162</v>
      </c>
      <c r="J11326" t="s">
        <v>31964</v>
      </c>
      <c r="K11326" t="s">
        <v>41184</v>
      </c>
      <c r="M11326" t="s">
        <v>44614</v>
      </c>
      <c r="N11326" t="s">
        <v>45095</v>
      </c>
      <c r="O11326" t="s">
        <v>45096</v>
      </c>
      <c r="P11326">
        <v>0</v>
      </c>
      <c r="Q11326">
        <v>0</v>
      </c>
      <c r="R11326" t="s">
        <v>45109</v>
      </c>
      <c r="S11326" t="s">
        <v>45478</v>
      </c>
      <c r="T11326" t="s">
        <v>47064</v>
      </c>
      <c r="U11326" t="s">
        <v>56765</v>
      </c>
      <c r="W11326" t="s">
        <v>44614</v>
      </c>
      <c r="X11326" t="s">
        <v>45110</v>
      </c>
    </row>
    <row r="11327" spans="1:24">
      <c r="A11327">
        <f>HYPERLINK("https://www.philgeps.gov.ph/GEPSNONPILOT/Tender/SplashBidNoticeAbstractUI.aspx?menuIndex=3&amp;refID=7026146&amp;Result=3","7026146")</f>
        <v>0</v>
      </c>
      <c r="B11327" t="s">
        <v>2310</v>
      </c>
      <c r="C11327" t="s">
        <v>14002</v>
      </c>
      <c r="D11327" t="s">
        <v>18075</v>
      </c>
      <c r="E11327" t="s">
        <v>27916</v>
      </c>
      <c r="F11327" t="s">
        <v>31574</v>
      </c>
      <c r="G11327" t="s">
        <v>31582</v>
      </c>
      <c r="H11327" t="s">
        <v>31591</v>
      </c>
      <c r="I11327" t="s">
        <v>8822</v>
      </c>
      <c r="J11327" t="s">
        <v>32019</v>
      </c>
      <c r="K11327" t="s">
        <v>41254</v>
      </c>
      <c r="M11327" t="s">
        <v>44020</v>
      </c>
      <c r="N11327" t="s">
        <v>45095</v>
      </c>
      <c r="O11327" t="s">
        <v>45096</v>
      </c>
      <c r="P11327">
        <v>0</v>
      </c>
      <c r="Q11327">
        <v>0</v>
      </c>
      <c r="R11327" t="s">
        <v>45109</v>
      </c>
      <c r="S11327" t="s">
        <v>45478</v>
      </c>
      <c r="T11327" t="s">
        <v>46930</v>
      </c>
      <c r="U11327" t="s">
        <v>56766</v>
      </c>
      <c r="V11327" t="s">
        <v>60703</v>
      </c>
      <c r="W11327" t="s">
        <v>44020</v>
      </c>
      <c r="X11327" t="s">
        <v>45110</v>
      </c>
    </row>
    <row r="11328" spans="1:24">
      <c r="A11328">
        <f>HYPERLINK("https://www.philgeps.gov.ph/GEPSNONPILOT/Tender/SplashBidNoticeAbstractUI.aspx?menuIndex=3&amp;refID=7026134&amp;Result=3","7026134")</f>
        <v>0</v>
      </c>
      <c r="B11328" t="s">
        <v>2831</v>
      </c>
      <c r="C11328" t="s">
        <v>14003</v>
      </c>
      <c r="D11328" t="s">
        <v>18027</v>
      </c>
      <c r="E11328" t="s">
        <v>27896</v>
      </c>
      <c r="F11328" t="s">
        <v>31574</v>
      </c>
      <c r="G11328" t="s">
        <v>31582</v>
      </c>
      <c r="H11328" t="s">
        <v>31590</v>
      </c>
      <c r="I11328" t="s">
        <v>31612</v>
      </c>
      <c r="J11328" t="s">
        <v>38782</v>
      </c>
      <c r="K11328" t="s">
        <v>41186</v>
      </c>
      <c r="M11328" t="s">
        <v>44611</v>
      </c>
      <c r="N11328" t="s">
        <v>45095</v>
      </c>
      <c r="O11328" t="s">
        <v>45096</v>
      </c>
      <c r="P11328">
        <v>0</v>
      </c>
      <c r="Q11328">
        <v>1</v>
      </c>
      <c r="R11328" t="s">
        <v>45109</v>
      </c>
      <c r="S11328" t="s">
        <v>45478</v>
      </c>
      <c r="T11328" t="s">
        <v>47391</v>
      </c>
      <c r="U11328" t="s">
        <v>56741</v>
      </c>
      <c r="V11328" t="s">
        <v>61051</v>
      </c>
      <c r="W11328" t="s">
        <v>44611</v>
      </c>
      <c r="X11328" t="s">
        <v>45110</v>
      </c>
    </row>
    <row r="11329" spans="1:24">
      <c r="A11329">
        <f>HYPERLINK("https://www.philgeps.gov.ph/GEPSNONPILOT/Tender/SplashBidNoticeAbstractUI.aspx?menuIndex=3&amp;refID=7026148&amp;Result=3","7026148")</f>
        <v>0</v>
      </c>
      <c r="B11329" t="s">
        <v>1689</v>
      </c>
      <c r="C11329" t="s">
        <v>14004</v>
      </c>
      <c r="E11329" t="s">
        <v>27917</v>
      </c>
      <c r="F11329" t="s">
        <v>31574</v>
      </c>
      <c r="G11329" t="s">
        <v>31582</v>
      </c>
      <c r="H11329" t="s">
        <v>31590</v>
      </c>
      <c r="I11329" t="s">
        <v>31623</v>
      </c>
      <c r="J11329" t="s">
        <v>38783</v>
      </c>
      <c r="K11329" t="s">
        <v>41184</v>
      </c>
      <c r="M11329" t="s">
        <v>44598</v>
      </c>
      <c r="N11329" t="s">
        <v>45095</v>
      </c>
      <c r="O11329" t="s">
        <v>45096</v>
      </c>
      <c r="P11329">
        <v>0</v>
      </c>
      <c r="Q11329">
        <v>0</v>
      </c>
      <c r="R11329" t="s">
        <v>45109</v>
      </c>
      <c r="S11329" t="s">
        <v>45478</v>
      </c>
      <c r="T11329" t="s">
        <v>46923</v>
      </c>
      <c r="U11329" t="s">
        <v>56767</v>
      </c>
      <c r="W11329" t="s">
        <v>44598</v>
      </c>
      <c r="X11329" t="s">
        <v>45110</v>
      </c>
    </row>
    <row r="11330" spans="1:24">
      <c r="A11330">
        <f>HYPERLINK("https://www.philgeps.gov.ph/GEPSNONPILOT/Tender/SplashBidNoticeAbstractUI.aspx?menuIndex=3&amp;refID=7026142&amp;Result=3","7026142")</f>
        <v>0</v>
      </c>
      <c r="B11330" t="s">
        <v>2835</v>
      </c>
      <c r="C11330" t="s">
        <v>14005</v>
      </c>
      <c r="D11330" t="s">
        <v>18079</v>
      </c>
      <c r="E11330" t="s">
        <v>27918</v>
      </c>
      <c r="F11330" t="s">
        <v>31574</v>
      </c>
      <c r="G11330" t="s">
        <v>31581</v>
      </c>
      <c r="H11330" t="s">
        <v>31590</v>
      </c>
      <c r="I11330" t="s">
        <v>4327</v>
      </c>
      <c r="J11330" t="s">
        <v>32721</v>
      </c>
      <c r="K11330" t="s">
        <v>41185</v>
      </c>
      <c r="M11330" t="s">
        <v>44615</v>
      </c>
      <c r="N11330" t="s">
        <v>45095</v>
      </c>
      <c r="O11330" t="s">
        <v>45096</v>
      </c>
      <c r="P11330">
        <v>0</v>
      </c>
      <c r="Q11330">
        <v>11</v>
      </c>
      <c r="R11330" t="s">
        <v>45109</v>
      </c>
      <c r="S11330" t="s">
        <v>45478</v>
      </c>
      <c r="T11330" t="s">
        <v>46957</v>
      </c>
      <c r="U11330" t="s">
        <v>56768</v>
      </c>
      <c r="W11330" t="s">
        <v>44615</v>
      </c>
      <c r="X11330" t="s">
        <v>45110</v>
      </c>
    </row>
    <row r="11331" spans="1:24">
      <c r="A11331">
        <f>HYPERLINK("https://www.philgeps.gov.ph/GEPSNONPILOT/Tender/SplashBidNoticeAbstractUI.aspx?menuIndex=3&amp;refID=7026181&amp;Result=3","7026181")</f>
        <v>0</v>
      </c>
      <c r="B11331" t="s">
        <v>273</v>
      </c>
      <c r="C11331" t="s">
        <v>14006</v>
      </c>
      <c r="D11331" t="s">
        <v>18046</v>
      </c>
      <c r="E11331" t="s">
        <v>27919</v>
      </c>
      <c r="F11331" t="s">
        <v>31574</v>
      </c>
      <c r="G11331" t="s">
        <v>31582</v>
      </c>
      <c r="H11331" t="s">
        <v>31590</v>
      </c>
      <c r="I11331" t="s">
        <v>31595</v>
      </c>
      <c r="J11331" t="s">
        <v>38784</v>
      </c>
      <c r="K11331" t="s">
        <v>41190</v>
      </c>
      <c r="M11331" t="s">
        <v>41759</v>
      </c>
      <c r="N11331" t="s">
        <v>45095</v>
      </c>
      <c r="O11331" t="s">
        <v>45096</v>
      </c>
      <c r="P11331">
        <v>0</v>
      </c>
      <c r="Q11331">
        <v>3</v>
      </c>
      <c r="R11331" t="s">
        <v>45109</v>
      </c>
      <c r="S11331" t="s">
        <v>45478</v>
      </c>
      <c r="T11331" t="s">
        <v>46923</v>
      </c>
      <c r="U11331" t="s">
        <v>47993</v>
      </c>
      <c r="W11331" t="s">
        <v>41759</v>
      </c>
      <c r="X11331" t="s">
        <v>45110</v>
      </c>
    </row>
    <row r="11332" spans="1:24">
      <c r="A11332">
        <f>HYPERLINK("https://www.philgeps.gov.ph/GEPSNONPILOT/Tender/SplashBidNoticeAbstractUI.aspx?menuIndex=3&amp;refID=7026170&amp;Result=3","7026170")</f>
        <v>0</v>
      </c>
      <c r="B11332" t="s">
        <v>2836</v>
      </c>
      <c r="C11332" t="s">
        <v>14007</v>
      </c>
      <c r="D11332" t="s">
        <v>18056</v>
      </c>
      <c r="E11332" t="s">
        <v>27920</v>
      </c>
      <c r="F11332" t="s">
        <v>31574</v>
      </c>
      <c r="G11332" t="s">
        <v>31582</v>
      </c>
      <c r="H11332" t="s">
        <v>31590</v>
      </c>
      <c r="I11332" t="s">
        <v>3487</v>
      </c>
      <c r="J11332" t="s">
        <v>38785</v>
      </c>
      <c r="K11332" t="s">
        <v>41186</v>
      </c>
      <c r="M11332" t="s">
        <v>44616</v>
      </c>
      <c r="N11332" t="s">
        <v>45095</v>
      </c>
      <c r="O11332" t="s">
        <v>45096</v>
      </c>
      <c r="P11332">
        <v>0</v>
      </c>
      <c r="Q11332">
        <v>2</v>
      </c>
      <c r="R11332" t="s">
        <v>45109</v>
      </c>
      <c r="S11332" t="s">
        <v>45478</v>
      </c>
      <c r="T11332" t="s">
        <v>46920</v>
      </c>
      <c r="U11332" t="s">
        <v>56769</v>
      </c>
      <c r="V11332" t="s">
        <v>59973</v>
      </c>
      <c r="W11332" t="s">
        <v>44616</v>
      </c>
      <c r="X11332" t="s">
        <v>45110</v>
      </c>
    </row>
    <row r="11333" spans="1:24">
      <c r="A11333">
        <f>HYPERLINK("https://www.philgeps.gov.ph/GEPSNONPILOT/Tender/SplashBidNoticeAbstractUI.aspx?menuIndex=3&amp;refID=7026160&amp;Result=3","7026160")</f>
        <v>0</v>
      </c>
      <c r="B11333" t="s">
        <v>1689</v>
      </c>
      <c r="C11333" t="s">
        <v>14008</v>
      </c>
      <c r="E11333" t="s">
        <v>27921</v>
      </c>
      <c r="F11333" t="s">
        <v>31574</v>
      </c>
      <c r="G11333" t="s">
        <v>31582</v>
      </c>
      <c r="H11333" t="s">
        <v>31590</v>
      </c>
      <c r="I11333" t="s">
        <v>31598</v>
      </c>
      <c r="J11333" t="s">
        <v>32333</v>
      </c>
      <c r="K11333" t="s">
        <v>41184</v>
      </c>
      <c r="M11333" t="s">
        <v>44598</v>
      </c>
      <c r="N11333" t="s">
        <v>45095</v>
      </c>
      <c r="O11333" t="s">
        <v>45096</v>
      </c>
      <c r="P11333">
        <v>0</v>
      </c>
      <c r="Q11333">
        <v>8</v>
      </c>
      <c r="R11333" t="s">
        <v>45109</v>
      </c>
      <c r="S11333" t="s">
        <v>45478</v>
      </c>
      <c r="T11333" t="s">
        <v>46923</v>
      </c>
      <c r="U11333" t="s">
        <v>56770</v>
      </c>
      <c r="W11333" t="s">
        <v>44598</v>
      </c>
      <c r="X11333" t="s">
        <v>45110</v>
      </c>
    </row>
    <row r="11334" spans="1:24">
      <c r="A11334">
        <f>HYPERLINK("https://www.philgeps.gov.ph/GEPSNONPILOT/Tender/SplashBidNoticeAbstractUI.aspx?menuIndex=3&amp;refID=7026202&amp;Result=3","7026202")</f>
        <v>0</v>
      </c>
      <c r="B11334" t="s">
        <v>2314</v>
      </c>
      <c r="C11334" t="s">
        <v>14009</v>
      </c>
      <c r="D11334" t="s">
        <v>18044</v>
      </c>
      <c r="E11334" t="s">
        <v>27922</v>
      </c>
      <c r="F11334" t="s">
        <v>31574</v>
      </c>
      <c r="G11334" t="s">
        <v>31582</v>
      </c>
      <c r="H11334" t="s">
        <v>31591</v>
      </c>
      <c r="I11334" t="s">
        <v>8822</v>
      </c>
      <c r="J11334" t="s">
        <v>38786</v>
      </c>
      <c r="K11334" t="s">
        <v>41345</v>
      </c>
      <c r="M11334" t="s">
        <v>44024</v>
      </c>
      <c r="N11334" t="s">
        <v>45095</v>
      </c>
      <c r="O11334" t="s">
        <v>45096</v>
      </c>
      <c r="P11334">
        <v>0</v>
      </c>
      <c r="Q11334">
        <v>11</v>
      </c>
      <c r="R11334" t="s">
        <v>45109</v>
      </c>
      <c r="S11334" t="s">
        <v>45478</v>
      </c>
      <c r="T11334" t="s">
        <v>46933</v>
      </c>
      <c r="U11334" t="s">
        <v>56763</v>
      </c>
      <c r="W11334" t="s">
        <v>44024</v>
      </c>
      <c r="X11334" t="s">
        <v>45110</v>
      </c>
    </row>
    <row r="11335" spans="1:24">
      <c r="A11335">
        <f>HYPERLINK("https://www.philgeps.gov.ph/GEPSNONPILOT/Tender/SplashBidNoticeAbstractUI.aspx?menuIndex=3&amp;refID=7026162&amp;Result=3","7026162")</f>
        <v>0</v>
      </c>
      <c r="B11335" t="s">
        <v>393</v>
      </c>
      <c r="C11335" t="s">
        <v>14010</v>
      </c>
      <c r="D11335" t="s">
        <v>18022</v>
      </c>
      <c r="E11335" t="s">
        <v>27923</v>
      </c>
      <c r="F11335" t="s">
        <v>31574</v>
      </c>
      <c r="G11335" t="s">
        <v>31582</v>
      </c>
      <c r="H11335" t="s">
        <v>31590</v>
      </c>
      <c r="I11335" t="s">
        <v>31690</v>
      </c>
      <c r="J11335" t="s">
        <v>38787</v>
      </c>
      <c r="K11335" t="s">
        <v>41186</v>
      </c>
      <c r="M11335" t="s">
        <v>44617</v>
      </c>
      <c r="N11335" t="s">
        <v>45095</v>
      </c>
      <c r="O11335" t="s">
        <v>45096</v>
      </c>
      <c r="P11335">
        <v>0</v>
      </c>
      <c r="Q11335">
        <v>10</v>
      </c>
      <c r="R11335" t="s">
        <v>45109</v>
      </c>
      <c r="S11335" t="s">
        <v>45478</v>
      </c>
      <c r="T11335" t="s">
        <v>46996</v>
      </c>
      <c r="U11335" t="s">
        <v>56771</v>
      </c>
      <c r="W11335" t="s">
        <v>44617</v>
      </c>
      <c r="X11335" t="s">
        <v>45110</v>
      </c>
    </row>
    <row r="11336" spans="1:24">
      <c r="A11336">
        <f>HYPERLINK("https://www.philgeps.gov.ph/GEPSNONPILOT/Tender/SplashBidNoticeAbstractUI.aspx?menuIndex=3&amp;refID=7026159&amp;Result=3","7026159")</f>
        <v>0</v>
      </c>
      <c r="B11336" t="s">
        <v>2314</v>
      </c>
      <c r="C11336" t="s">
        <v>14011</v>
      </c>
      <c r="D11336" t="s">
        <v>18044</v>
      </c>
      <c r="E11336" t="s">
        <v>27924</v>
      </c>
      <c r="F11336" t="s">
        <v>31574</v>
      </c>
      <c r="G11336" t="s">
        <v>31582</v>
      </c>
      <c r="H11336" t="s">
        <v>31591</v>
      </c>
      <c r="I11336" t="s">
        <v>8822</v>
      </c>
      <c r="J11336" t="s">
        <v>38788</v>
      </c>
      <c r="K11336" t="s">
        <v>41426</v>
      </c>
      <c r="M11336" t="s">
        <v>44024</v>
      </c>
      <c r="N11336" t="s">
        <v>45095</v>
      </c>
      <c r="O11336" t="s">
        <v>45096</v>
      </c>
      <c r="P11336">
        <v>0</v>
      </c>
      <c r="Q11336">
        <v>5</v>
      </c>
      <c r="R11336" t="s">
        <v>45109</v>
      </c>
      <c r="S11336" t="s">
        <v>45478</v>
      </c>
      <c r="T11336" t="s">
        <v>46933</v>
      </c>
      <c r="U11336" t="s">
        <v>56763</v>
      </c>
      <c r="W11336" t="s">
        <v>44024</v>
      </c>
      <c r="X11336" t="s">
        <v>45110</v>
      </c>
    </row>
    <row r="11337" spans="1:24">
      <c r="A11337">
        <f>HYPERLINK("https://www.philgeps.gov.ph/GEPSNONPILOT/Tender/SplashBidNoticeAbstractUI.aspx?menuIndex=3&amp;refID=7026194&amp;Result=3","7026194")</f>
        <v>0</v>
      </c>
      <c r="B11337" t="s">
        <v>2834</v>
      </c>
      <c r="C11337" t="s">
        <v>14012</v>
      </c>
      <c r="E11337" t="s">
        <v>20333</v>
      </c>
      <c r="F11337" t="s">
        <v>31574</v>
      </c>
      <c r="G11337" t="s">
        <v>31582</v>
      </c>
      <c r="H11337" t="s">
        <v>31591</v>
      </c>
      <c r="I11337" t="s">
        <v>8822</v>
      </c>
      <c r="J11337" t="s">
        <v>38789</v>
      </c>
      <c r="K11337" t="s">
        <v>41184</v>
      </c>
      <c r="M11337" t="s">
        <v>44614</v>
      </c>
      <c r="N11337" t="s">
        <v>45095</v>
      </c>
      <c r="O11337" t="s">
        <v>45096</v>
      </c>
      <c r="P11337">
        <v>0</v>
      </c>
      <c r="Q11337">
        <v>0</v>
      </c>
      <c r="R11337" t="s">
        <v>45109</v>
      </c>
      <c r="S11337" t="s">
        <v>45478</v>
      </c>
      <c r="T11337" t="s">
        <v>47064</v>
      </c>
      <c r="U11337" t="s">
        <v>56772</v>
      </c>
      <c r="W11337" t="s">
        <v>44614</v>
      </c>
      <c r="X11337" t="s">
        <v>45110</v>
      </c>
    </row>
    <row r="11338" spans="1:24">
      <c r="A11338">
        <f>HYPERLINK("https://www.philgeps.gov.ph/GEPSNONPILOT/Tender/SplashBidNoticeAbstractUI.aspx?menuIndex=3&amp;refID=7026153&amp;Result=3","7026153")</f>
        <v>0</v>
      </c>
      <c r="B11338" t="s">
        <v>2831</v>
      </c>
      <c r="C11338" t="s">
        <v>14013</v>
      </c>
      <c r="D11338" t="s">
        <v>18027</v>
      </c>
      <c r="E11338" t="s">
        <v>27896</v>
      </c>
      <c r="F11338" t="s">
        <v>31574</v>
      </c>
      <c r="G11338" t="s">
        <v>31582</v>
      </c>
      <c r="H11338" t="s">
        <v>31590</v>
      </c>
      <c r="I11338" t="s">
        <v>31633</v>
      </c>
      <c r="J11338" t="s">
        <v>38790</v>
      </c>
      <c r="K11338" t="s">
        <v>41186</v>
      </c>
      <c r="M11338" t="s">
        <v>44611</v>
      </c>
      <c r="N11338" t="s">
        <v>45095</v>
      </c>
      <c r="O11338" t="s">
        <v>45096</v>
      </c>
      <c r="P11338">
        <v>0</v>
      </c>
      <c r="Q11338">
        <v>3</v>
      </c>
      <c r="R11338" t="s">
        <v>45109</v>
      </c>
      <c r="S11338" t="s">
        <v>45478</v>
      </c>
      <c r="T11338" t="s">
        <v>47391</v>
      </c>
      <c r="U11338" t="s">
        <v>56741</v>
      </c>
      <c r="V11338" t="s">
        <v>61052</v>
      </c>
      <c r="W11338" t="s">
        <v>44611</v>
      </c>
      <c r="X11338" t="s">
        <v>45110</v>
      </c>
    </row>
    <row r="11339" spans="1:24">
      <c r="A11339">
        <f>HYPERLINK("https://www.philgeps.gov.ph/GEPSNONPILOT/Tender/SplashBidNoticeAbstractUI.aspx?menuIndex=3&amp;refID=7026144&amp;Result=3","7026144")</f>
        <v>0</v>
      </c>
      <c r="B11339" t="s">
        <v>328</v>
      </c>
      <c r="C11339" t="s">
        <v>14014</v>
      </c>
      <c r="D11339" t="s">
        <v>18056</v>
      </c>
      <c r="E11339" t="s">
        <v>27925</v>
      </c>
      <c r="F11339" t="s">
        <v>31574</v>
      </c>
      <c r="G11339" t="s">
        <v>31582</v>
      </c>
      <c r="H11339" t="s">
        <v>31590</v>
      </c>
      <c r="I11339" t="s">
        <v>31602</v>
      </c>
      <c r="J11339" t="s">
        <v>38791</v>
      </c>
      <c r="K11339" t="s">
        <v>41216</v>
      </c>
      <c r="M11339" t="s">
        <v>43349</v>
      </c>
      <c r="N11339" t="s">
        <v>45095</v>
      </c>
      <c r="O11339" t="s">
        <v>45096</v>
      </c>
      <c r="P11339">
        <v>0</v>
      </c>
      <c r="Q11339">
        <v>0</v>
      </c>
      <c r="R11339" t="s">
        <v>45109</v>
      </c>
      <c r="S11339" t="s">
        <v>45478</v>
      </c>
      <c r="T11339" t="s">
        <v>46991</v>
      </c>
      <c r="U11339" t="s">
        <v>56773</v>
      </c>
      <c r="W11339" t="s">
        <v>43349</v>
      </c>
      <c r="X11339" t="s">
        <v>45110</v>
      </c>
    </row>
    <row r="11340" spans="1:24">
      <c r="A11340">
        <f>HYPERLINK("https://www.philgeps.gov.ph/GEPSNONPILOT/Tender/SplashBidNoticeAbstractUI.aspx?menuIndex=3&amp;refID=7026185&amp;Result=3","7026185")</f>
        <v>0</v>
      </c>
      <c r="B11340" t="s">
        <v>1926</v>
      </c>
      <c r="C11340" t="s">
        <v>14015</v>
      </c>
      <c r="D11340" t="s">
        <v>18099</v>
      </c>
      <c r="E11340" t="s">
        <v>27926</v>
      </c>
      <c r="F11340" t="s">
        <v>31574</v>
      </c>
      <c r="G11340" t="s">
        <v>31582</v>
      </c>
      <c r="H11340" t="s">
        <v>31591</v>
      </c>
      <c r="I11340" t="s">
        <v>8822</v>
      </c>
      <c r="J11340" t="s">
        <v>38792</v>
      </c>
      <c r="K11340" t="s">
        <v>41200</v>
      </c>
      <c r="M11340" t="s">
        <v>43578</v>
      </c>
      <c r="N11340" t="s">
        <v>45095</v>
      </c>
      <c r="O11340" t="s">
        <v>45096</v>
      </c>
      <c r="P11340">
        <v>0</v>
      </c>
      <c r="Q11340">
        <v>1</v>
      </c>
      <c r="R11340" t="s">
        <v>45109</v>
      </c>
      <c r="S11340" t="s">
        <v>45478</v>
      </c>
      <c r="T11340" t="s">
        <v>46926</v>
      </c>
      <c r="U11340" t="s">
        <v>56737</v>
      </c>
      <c r="V11340" t="s">
        <v>60507</v>
      </c>
      <c r="W11340" t="s">
        <v>43578</v>
      </c>
      <c r="X11340" t="s">
        <v>45110</v>
      </c>
    </row>
    <row r="11341" spans="1:24">
      <c r="A11341">
        <f>HYPERLINK("https://www.philgeps.gov.ph/GEPSNONPILOT/Tender/SplashBidNoticeAbstractUI.aspx?menuIndex=3&amp;refID=7026203&amp;Result=3","7026203")</f>
        <v>0</v>
      </c>
      <c r="B11341" t="s">
        <v>1689</v>
      </c>
      <c r="C11341" t="s">
        <v>14016</v>
      </c>
      <c r="E11341" t="s">
        <v>27927</v>
      </c>
      <c r="F11341" t="s">
        <v>31574</v>
      </c>
      <c r="G11341" t="s">
        <v>31582</v>
      </c>
      <c r="H11341" t="s">
        <v>31590</v>
      </c>
      <c r="I11341" t="s">
        <v>31609</v>
      </c>
      <c r="J11341" t="s">
        <v>38793</v>
      </c>
      <c r="K11341" t="s">
        <v>41184</v>
      </c>
      <c r="M11341" t="s">
        <v>44598</v>
      </c>
      <c r="N11341" t="s">
        <v>45095</v>
      </c>
      <c r="O11341" t="s">
        <v>45096</v>
      </c>
      <c r="P11341">
        <v>0</v>
      </c>
      <c r="Q11341">
        <v>3</v>
      </c>
      <c r="R11341" t="s">
        <v>45109</v>
      </c>
      <c r="S11341" t="s">
        <v>45478</v>
      </c>
      <c r="T11341" t="s">
        <v>46923</v>
      </c>
      <c r="U11341" t="s">
        <v>56774</v>
      </c>
      <c r="W11341" t="s">
        <v>44598</v>
      </c>
      <c r="X11341" t="s">
        <v>45110</v>
      </c>
    </row>
    <row r="11342" spans="1:24">
      <c r="A11342">
        <f>HYPERLINK("https://www.philgeps.gov.ph/GEPSNONPILOT/Tender/SplashBidNoticeAbstractUI.aspx?menuIndex=3&amp;refID=7026175&amp;Result=3","7026175")</f>
        <v>0</v>
      </c>
      <c r="B11342" t="s">
        <v>1613</v>
      </c>
      <c r="C11342" t="s">
        <v>14017</v>
      </c>
      <c r="D11342" t="s">
        <v>18027</v>
      </c>
      <c r="E11342" t="s">
        <v>27928</v>
      </c>
      <c r="F11342" t="s">
        <v>31574</v>
      </c>
      <c r="G11342" t="s">
        <v>31582</v>
      </c>
      <c r="H11342" t="s">
        <v>31591</v>
      </c>
      <c r="I11342" t="s">
        <v>8822</v>
      </c>
      <c r="J11342" t="s">
        <v>38794</v>
      </c>
      <c r="K11342" t="s">
        <v>41186</v>
      </c>
      <c r="M11342" t="s">
        <v>43218</v>
      </c>
      <c r="N11342" t="s">
        <v>45095</v>
      </c>
      <c r="O11342" t="s">
        <v>45096</v>
      </c>
      <c r="P11342">
        <v>0</v>
      </c>
      <c r="Q11342">
        <v>0</v>
      </c>
      <c r="R11342" t="s">
        <v>45109</v>
      </c>
      <c r="S11342" t="s">
        <v>45478</v>
      </c>
      <c r="T11342" t="s">
        <v>46937</v>
      </c>
      <c r="U11342" t="s">
        <v>56775</v>
      </c>
      <c r="W11342" t="s">
        <v>43218</v>
      </c>
      <c r="X11342" t="s">
        <v>45110</v>
      </c>
    </row>
    <row r="11343" spans="1:24">
      <c r="A11343">
        <f>HYPERLINK("https://www.philgeps.gov.ph/GEPSNONPILOT/Tender/SplashBidNoticeAbstractUI.aspx?menuIndex=3&amp;refID=7026241&amp;Result=3","7026241")</f>
        <v>0</v>
      </c>
      <c r="B11343" t="s">
        <v>1926</v>
      </c>
      <c r="C11343" t="s">
        <v>14018</v>
      </c>
      <c r="D11343" t="s">
        <v>18099</v>
      </c>
      <c r="E11343" t="s">
        <v>27929</v>
      </c>
      <c r="F11343" t="s">
        <v>31574</v>
      </c>
      <c r="G11343" t="s">
        <v>31582</v>
      </c>
      <c r="H11343" t="s">
        <v>31591</v>
      </c>
      <c r="I11343" t="s">
        <v>8822</v>
      </c>
      <c r="J11343" t="s">
        <v>38755</v>
      </c>
      <c r="K11343" t="s">
        <v>41344</v>
      </c>
      <c r="M11343" t="s">
        <v>43578</v>
      </c>
      <c r="N11343" t="s">
        <v>45095</v>
      </c>
      <c r="O11343" t="s">
        <v>45096</v>
      </c>
      <c r="P11343">
        <v>0</v>
      </c>
      <c r="Q11343">
        <v>0</v>
      </c>
      <c r="R11343" t="s">
        <v>45109</v>
      </c>
      <c r="S11343" t="s">
        <v>45478</v>
      </c>
      <c r="T11343" t="s">
        <v>46926</v>
      </c>
      <c r="U11343" t="s">
        <v>52642</v>
      </c>
      <c r="V11343" t="s">
        <v>60507</v>
      </c>
      <c r="W11343" t="s">
        <v>43578</v>
      </c>
      <c r="X11343" t="s">
        <v>45110</v>
      </c>
    </row>
    <row r="11344" spans="1:24">
      <c r="A11344">
        <f>HYPERLINK("https://www.philgeps.gov.ph/GEPSNONPILOT/Tender/SplashBidNoticeAbstractUI.aspx?menuIndex=3&amp;refID=7026228&amp;Result=3","7026228")</f>
        <v>0</v>
      </c>
      <c r="B11344" t="s">
        <v>596</v>
      </c>
      <c r="C11344" t="s">
        <v>14019</v>
      </c>
      <c r="D11344" t="s">
        <v>18034</v>
      </c>
      <c r="E11344" t="s">
        <v>27930</v>
      </c>
      <c r="F11344" t="s">
        <v>31574</v>
      </c>
      <c r="G11344" t="s">
        <v>31582</v>
      </c>
      <c r="H11344" t="s">
        <v>31591</v>
      </c>
      <c r="I11344" t="s">
        <v>8822</v>
      </c>
      <c r="J11344" t="s">
        <v>31935</v>
      </c>
      <c r="K11344" t="s">
        <v>41263</v>
      </c>
      <c r="M11344" t="s">
        <v>42099</v>
      </c>
      <c r="N11344" t="s">
        <v>45095</v>
      </c>
      <c r="O11344" t="s">
        <v>45096</v>
      </c>
      <c r="Q11344">
        <v>0</v>
      </c>
      <c r="R11344" t="s">
        <v>45109</v>
      </c>
      <c r="S11344" t="s">
        <v>45544</v>
      </c>
      <c r="T11344" t="s">
        <v>47066</v>
      </c>
      <c r="U11344" t="s">
        <v>56776</v>
      </c>
      <c r="W11344" t="s">
        <v>42099</v>
      </c>
      <c r="X11344" t="s">
        <v>45110</v>
      </c>
    </row>
    <row r="11345" spans="1:24">
      <c r="A11345">
        <f>HYPERLINK("https://www.philgeps.gov.ph/GEPSNONPILOT/Tender/SplashBidNoticeAbstractUI.aspx?menuIndex=3&amp;refID=7026224&amp;Result=3","7026224")</f>
        <v>0</v>
      </c>
      <c r="B11345" t="s">
        <v>1689</v>
      </c>
      <c r="C11345" t="s">
        <v>14020</v>
      </c>
      <c r="E11345" t="s">
        <v>27931</v>
      </c>
      <c r="F11345" t="s">
        <v>31574</v>
      </c>
      <c r="G11345" t="s">
        <v>31582</v>
      </c>
      <c r="H11345" t="s">
        <v>31590</v>
      </c>
      <c r="I11345" t="s">
        <v>31609</v>
      </c>
      <c r="J11345" t="s">
        <v>38795</v>
      </c>
      <c r="K11345" t="s">
        <v>41184</v>
      </c>
      <c r="M11345" t="s">
        <v>44598</v>
      </c>
      <c r="N11345" t="s">
        <v>45095</v>
      </c>
      <c r="O11345" t="s">
        <v>45096</v>
      </c>
      <c r="P11345">
        <v>0</v>
      </c>
      <c r="Q11345">
        <v>2</v>
      </c>
      <c r="R11345" t="s">
        <v>45109</v>
      </c>
      <c r="S11345" t="s">
        <v>45478</v>
      </c>
      <c r="T11345" t="s">
        <v>46923</v>
      </c>
      <c r="U11345" t="s">
        <v>56777</v>
      </c>
      <c r="W11345" t="s">
        <v>44598</v>
      </c>
      <c r="X11345" t="s">
        <v>45110</v>
      </c>
    </row>
    <row r="11346" spans="1:24">
      <c r="A11346">
        <f>HYPERLINK("https://www.philgeps.gov.ph/GEPSNONPILOT/Tender/SplashBidNoticeAbstractUI.aspx?menuIndex=3&amp;refID=7026231&amp;Result=3","7026231")</f>
        <v>0</v>
      </c>
      <c r="B11346" t="s">
        <v>1540</v>
      </c>
      <c r="C11346" t="s">
        <v>14021</v>
      </c>
      <c r="D11346" t="s">
        <v>18073</v>
      </c>
      <c r="E11346" t="s">
        <v>27932</v>
      </c>
      <c r="F11346" t="s">
        <v>31574</v>
      </c>
      <c r="G11346" t="s">
        <v>31582</v>
      </c>
      <c r="H11346" t="s">
        <v>31590</v>
      </c>
      <c r="I11346" t="s">
        <v>31629</v>
      </c>
      <c r="J11346" t="s">
        <v>38796</v>
      </c>
      <c r="K11346" t="s">
        <v>41196</v>
      </c>
      <c r="L11346" t="s">
        <v>1540</v>
      </c>
      <c r="M11346" t="s">
        <v>43133</v>
      </c>
      <c r="N11346" t="s">
        <v>45095</v>
      </c>
      <c r="O11346" t="s">
        <v>45096</v>
      </c>
      <c r="P11346">
        <v>0</v>
      </c>
      <c r="Q11346">
        <v>5</v>
      </c>
      <c r="R11346" t="s">
        <v>45109</v>
      </c>
      <c r="S11346" t="s">
        <v>45478</v>
      </c>
      <c r="T11346" t="s">
        <v>47138</v>
      </c>
      <c r="U11346" t="s">
        <v>56778</v>
      </c>
      <c r="W11346" t="s">
        <v>43133</v>
      </c>
      <c r="X11346" t="s">
        <v>45110</v>
      </c>
    </row>
    <row r="11347" spans="1:24">
      <c r="A11347">
        <f>HYPERLINK("https://www.philgeps.gov.ph/GEPSNONPILOT/Tender/SplashBidNoticeAbstractUI.aspx?menuIndex=3&amp;refID=7026223&amp;Result=3","7026223")</f>
        <v>0</v>
      </c>
      <c r="B11347" t="s">
        <v>485</v>
      </c>
      <c r="C11347" t="s">
        <v>14022</v>
      </c>
      <c r="D11347" t="s">
        <v>18048</v>
      </c>
      <c r="E11347" t="s">
        <v>27933</v>
      </c>
      <c r="F11347" t="s">
        <v>31574</v>
      </c>
      <c r="G11347" t="s">
        <v>31582</v>
      </c>
      <c r="H11347" t="s">
        <v>31590</v>
      </c>
      <c r="I11347" t="s">
        <v>31615</v>
      </c>
      <c r="J11347" t="s">
        <v>38797</v>
      </c>
      <c r="K11347" t="s">
        <v>41190</v>
      </c>
      <c r="M11347" t="s">
        <v>43924</v>
      </c>
      <c r="N11347" t="s">
        <v>45095</v>
      </c>
      <c r="O11347" t="s">
        <v>45096</v>
      </c>
      <c r="P11347">
        <v>0</v>
      </c>
      <c r="Q11347">
        <v>3</v>
      </c>
      <c r="R11347" t="s">
        <v>45109</v>
      </c>
      <c r="S11347" t="s">
        <v>45478</v>
      </c>
      <c r="T11347" t="s">
        <v>46930</v>
      </c>
      <c r="U11347" t="s">
        <v>56779</v>
      </c>
      <c r="W11347" t="s">
        <v>43924</v>
      </c>
      <c r="X11347" t="s">
        <v>45110</v>
      </c>
    </row>
    <row r="11348" spans="1:24">
      <c r="A11348">
        <f>HYPERLINK("https://www.philgeps.gov.ph/GEPSNONPILOT/Tender/SplashBidNoticeAbstractUI.aspx?menuIndex=3&amp;refID=7026233&amp;Result=3","7026233")</f>
        <v>0</v>
      </c>
      <c r="B11348" t="s">
        <v>2836</v>
      </c>
      <c r="C11348" t="s">
        <v>14023</v>
      </c>
      <c r="D11348" t="s">
        <v>18056</v>
      </c>
      <c r="E11348" t="s">
        <v>27934</v>
      </c>
      <c r="F11348" t="s">
        <v>31574</v>
      </c>
      <c r="G11348" t="s">
        <v>31582</v>
      </c>
      <c r="H11348" t="s">
        <v>31591</v>
      </c>
      <c r="I11348" t="s">
        <v>8822</v>
      </c>
      <c r="J11348" t="s">
        <v>31771</v>
      </c>
      <c r="K11348" t="s">
        <v>41192</v>
      </c>
      <c r="M11348" t="s">
        <v>44616</v>
      </c>
      <c r="N11348" t="s">
        <v>45095</v>
      </c>
      <c r="O11348" t="s">
        <v>45096</v>
      </c>
      <c r="P11348">
        <v>0</v>
      </c>
      <c r="Q11348">
        <v>1</v>
      </c>
      <c r="R11348" t="s">
        <v>45109</v>
      </c>
      <c r="S11348" t="s">
        <v>45478</v>
      </c>
      <c r="T11348" t="s">
        <v>46920</v>
      </c>
      <c r="U11348" t="s">
        <v>56780</v>
      </c>
      <c r="V11348" t="s">
        <v>59973</v>
      </c>
      <c r="W11348" t="s">
        <v>44616</v>
      </c>
      <c r="X11348" t="s">
        <v>45110</v>
      </c>
    </row>
    <row r="11349" spans="1:24">
      <c r="A11349">
        <f>HYPERLINK("https://www.philgeps.gov.ph/GEPSNONPILOT/Tender/SplashBidNoticeAbstractUI.aspx?menuIndex=3&amp;refID=7026205&amp;Result=3","7026205")</f>
        <v>0</v>
      </c>
      <c r="B11349" t="s">
        <v>1286</v>
      </c>
      <c r="C11349" t="s">
        <v>14024</v>
      </c>
      <c r="D11349" t="s">
        <v>18066</v>
      </c>
      <c r="E11349" t="s">
        <v>27935</v>
      </c>
      <c r="F11349" t="s">
        <v>31574</v>
      </c>
      <c r="G11349" t="s">
        <v>31582</v>
      </c>
      <c r="H11349" t="s">
        <v>31590</v>
      </c>
      <c r="I11349" t="s">
        <v>4327</v>
      </c>
      <c r="J11349" t="s">
        <v>32421</v>
      </c>
      <c r="K11349" t="s">
        <v>41190</v>
      </c>
      <c r="M11349" t="s">
        <v>42855</v>
      </c>
      <c r="N11349" t="s">
        <v>45095</v>
      </c>
      <c r="O11349" t="s">
        <v>45096</v>
      </c>
      <c r="P11349">
        <v>0</v>
      </c>
      <c r="Q11349">
        <v>6</v>
      </c>
      <c r="R11349" t="s">
        <v>45109</v>
      </c>
      <c r="S11349" t="s">
        <v>45478</v>
      </c>
      <c r="T11349" t="s">
        <v>46926</v>
      </c>
      <c r="U11349" t="s">
        <v>56781</v>
      </c>
      <c r="W11349" t="s">
        <v>42855</v>
      </c>
      <c r="X11349" t="s">
        <v>45110</v>
      </c>
    </row>
    <row r="11350" spans="1:24">
      <c r="A11350">
        <f>HYPERLINK("https://www.philgeps.gov.ph/GEPSNONPILOT/Tender/SplashBidNoticeAbstractUI.aspx?menuIndex=3&amp;refID=7026256&amp;Result=3","7026256")</f>
        <v>0</v>
      </c>
      <c r="B11350" t="s">
        <v>1689</v>
      </c>
      <c r="C11350" t="s">
        <v>14025</v>
      </c>
      <c r="E11350" t="s">
        <v>27936</v>
      </c>
      <c r="F11350" t="s">
        <v>31574</v>
      </c>
      <c r="G11350" t="s">
        <v>31582</v>
      </c>
      <c r="H11350" t="s">
        <v>31590</v>
      </c>
      <c r="I11350" t="s">
        <v>31598</v>
      </c>
      <c r="J11350" t="s">
        <v>38798</v>
      </c>
      <c r="K11350" t="s">
        <v>41184</v>
      </c>
      <c r="M11350" t="s">
        <v>44598</v>
      </c>
      <c r="N11350" t="s">
        <v>45095</v>
      </c>
      <c r="O11350" t="s">
        <v>45096</v>
      </c>
      <c r="P11350">
        <v>0</v>
      </c>
      <c r="Q11350">
        <v>8</v>
      </c>
      <c r="R11350" t="s">
        <v>45109</v>
      </c>
      <c r="S11350" t="s">
        <v>45478</v>
      </c>
      <c r="T11350" t="s">
        <v>46923</v>
      </c>
      <c r="U11350" t="s">
        <v>56782</v>
      </c>
      <c r="W11350" t="s">
        <v>44598</v>
      </c>
      <c r="X11350" t="s">
        <v>45110</v>
      </c>
    </row>
    <row r="11351" spans="1:24">
      <c r="A11351">
        <f>HYPERLINK("https://www.philgeps.gov.ph/GEPSNONPILOT/Tender/SplashBidNoticeAbstractUI.aspx?menuIndex=3&amp;refID=7026311&amp;Result=3","7026311")</f>
        <v>0</v>
      </c>
      <c r="B11351" t="s">
        <v>485</v>
      </c>
      <c r="C11351" t="s">
        <v>14026</v>
      </c>
      <c r="D11351" t="s">
        <v>18048</v>
      </c>
      <c r="E11351" t="s">
        <v>27937</v>
      </c>
      <c r="F11351" t="s">
        <v>31574</v>
      </c>
      <c r="G11351" t="s">
        <v>31582</v>
      </c>
      <c r="H11351" t="s">
        <v>31590</v>
      </c>
      <c r="I11351" t="s">
        <v>31602</v>
      </c>
      <c r="J11351" t="s">
        <v>38799</v>
      </c>
      <c r="K11351" t="s">
        <v>41190</v>
      </c>
      <c r="M11351" t="s">
        <v>43924</v>
      </c>
      <c r="N11351" t="s">
        <v>45095</v>
      </c>
      <c r="O11351" t="s">
        <v>45096</v>
      </c>
      <c r="P11351">
        <v>0</v>
      </c>
      <c r="Q11351">
        <v>0</v>
      </c>
      <c r="R11351" t="s">
        <v>45109</v>
      </c>
      <c r="S11351" t="s">
        <v>45478</v>
      </c>
      <c r="T11351" t="s">
        <v>46930</v>
      </c>
      <c r="U11351" t="s">
        <v>56783</v>
      </c>
      <c r="W11351" t="s">
        <v>43924</v>
      </c>
      <c r="X11351" t="s">
        <v>45110</v>
      </c>
    </row>
    <row r="11352" spans="1:24">
      <c r="A11352">
        <f>HYPERLINK("https://www.philgeps.gov.ph/GEPSNONPILOT/Tender/SplashBidNoticeAbstractUI.aspx?menuIndex=3&amp;refID=7026308&amp;Result=3","7026308")</f>
        <v>0</v>
      </c>
      <c r="B11352" t="s">
        <v>1689</v>
      </c>
      <c r="C11352" t="s">
        <v>14027</v>
      </c>
      <c r="E11352" t="s">
        <v>27938</v>
      </c>
      <c r="F11352" t="s">
        <v>31574</v>
      </c>
      <c r="G11352" t="s">
        <v>31582</v>
      </c>
      <c r="H11352" t="s">
        <v>31590</v>
      </c>
      <c r="I11352" t="s">
        <v>31600</v>
      </c>
      <c r="J11352" t="s">
        <v>38800</v>
      </c>
      <c r="K11352" t="s">
        <v>41184</v>
      </c>
      <c r="M11352" t="s">
        <v>44598</v>
      </c>
      <c r="N11352" t="s">
        <v>45095</v>
      </c>
      <c r="O11352" t="s">
        <v>45096</v>
      </c>
      <c r="P11352">
        <v>0</v>
      </c>
      <c r="Q11352">
        <v>2</v>
      </c>
      <c r="R11352" t="s">
        <v>45109</v>
      </c>
      <c r="S11352" t="s">
        <v>45478</v>
      </c>
      <c r="T11352" t="s">
        <v>46923</v>
      </c>
      <c r="U11352" t="s">
        <v>56784</v>
      </c>
      <c r="W11352" t="s">
        <v>44598</v>
      </c>
      <c r="X11352" t="s">
        <v>45110</v>
      </c>
    </row>
    <row r="11353" spans="1:24">
      <c r="A11353">
        <f>HYPERLINK("https://www.philgeps.gov.ph/GEPSNONPILOT/Tender/SplashBidNoticeAbstractUI.aspx?menuIndex=3&amp;refID=7026253&amp;Result=3","7026253")</f>
        <v>0</v>
      </c>
      <c r="B11353" t="s">
        <v>130</v>
      </c>
      <c r="C11353" t="s">
        <v>14028</v>
      </c>
      <c r="D11353" t="s">
        <v>18070</v>
      </c>
      <c r="E11353" t="s">
        <v>27939</v>
      </c>
      <c r="F11353" t="s">
        <v>31574</v>
      </c>
      <c r="G11353" t="s">
        <v>31582</v>
      </c>
      <c r="H11353" t="s">
        <v>31591</v>
      </c>
      <c r="I11353" t="s">
        <v>8822</v>
      </c>
      <c r="J11353" t="s">
        <v>38801</v>
      </c>
      <c r="K11353" t="s">
        <v>41339</v>
      </c>
      <c r="M11353" t="s">
        <v>41614</v>
      </c>
      <c r="N11353" t="s">
        <v>45095</v>
      </c>
      <c r="O11353" t="s">
        <v>45096</v>
      </c>
      <c r="P11353">
        <v>0</v>
      </c>
      <c r="Q11353">
        <v>0</v>
      </c>
      <c r="R11353" t="s">
        <v>45109</v>
      </c>
      <c r="S11353" t="s">
        <v>45478</v>
      </c>
      <c r="T11353" t="s">
        <v>46926</v>
      </c>
      <c r="U11353" t="s">
        <v>56785</v>
      </c>
      <c r="W11353" t="s">
        <v>41614</v>
      </c>
      <c r="X11353" t="s">
        <v>45110</v>
      </c>
    </row>
    <row r="11354" spans="1:24">
      <c r="A11354">
        <f>HYPERLINK("https://www.philgeps.gov.ph/GEPSNONPILOT/Tender/SplashBidNoticeAbstractUI.aspx?menuIndex=3&amp;refID=7026289&amp;Result=3","7026289")</f>
        <v>0</v>
      </c>
      <c r="B11354" t="s">
        <v>2314</v>
      </c>
      <c r="C11354" t="s">
        <v>14029</v>
      </c>
      <c r="D11354" t="s">
        <v>18121</v>
      </c>
      <c r="E11354" t="s">
        <v>27940</v>
      </c>
      <c r="F11354" t="s">
        <v>31574</v>
      </c>
      <c r="G11354" t="s">
        <v>31582</v>
      </c>
      <c r="H11354" t="s">
        <v>31591</v>
      </c>
      <c r="I11354" t="s">
        <v>8822</v>
      </c>
      <c r="J11354" t="s">
        <v>33252</v>
      </c>
      <c r="K11354" t="s">
        <v>41337</v>
      </c>
      <c r="M11354" t="s">
        <v>44024</v>
      </c>
      <c r="N11354" t="s">
        <v>45095</v>
      </c>
      <c r="O11354" t="s">
        <v>45096</v>
      </c>
      <c r="P11354">
        <v>0</v>
      </c>
      <c r="Q11354">
        <v>11</v>
      </c>
      <c r="R11354" t="s">
        <v>45109</v>
      </c>
      <c r="S11354" t="s">
        <v>45478</v>
      </c>
      <c r="T11354" t="s">
        <v>46933</v>
      </c>
      <c r="U11354" t="s">
        <v>56763</v>
      </c>
      <c r="W11354" t="s">
        <v>44024</v>
      </c>
      <c r="X11354" t="s">
        <v>45110</v>
      </c>
    </row>
    <row r="11355" spans="1:24">
      <c r="A11355">
        <f>HYPERLINK("https://www.philgeps.gov.ph/GEPSNONPILOT/Tender/SplashBidNoticeAbstractUI.aspx?menuIndex=3&amp;refID=7026310&amp;Result=3","7026310")</f>
        <v>0</v>
      </c>
      <c r="B11355" t="s">
        <v>546</v>
      </c>
      <c r="C11355" t="s">
        <v>14030</v>
      </c>
      <c r="D11355" t="s">
        <v>18055</v>
      </c>
      <c r="E11355" t="s">
        <v>27941</v>
      </c>
      <c r="F11355" t="s">
        <v>31574</v>
      </c>
      <c r="G11355" t="s">
        <v>31582</v>
      </c>
      <c r="H11355" t="s">
        <v>31592</v>
      </c>
      <c r="I11355" t="s">
        <v>31623</v>
      </c>
      <c r="J11355" t="s">
        <v>38802</v>
      </c>
      <c r="K11355" t="s">
        <v>41198</v>
      </c>
      <c r="M11355" t="s">
        <v>42043</v>
      </c>
      <c r="N11355" t="s">
        <v>45095</v>
      </c>
      <c r="O11355" t="s">
        <v>45096</v>
      </c>
      <c r="P11355">
        <v>0</v>
      </c>
      <c r="Q11355">
        <v>2</v>
      </c>
      <c r="R11355" t="s">
        <v>45109</v>
      </c>
      <c r="S11355" t="s">
        <v>45478</v>
      </c>
      <c r="T11355" t="s">
        <v>46922</v>
      </c>
      <c r="U11355" t="s">
        <v>56786</v>
      </c>
      <c r="V11355" t="s">
        <v>61053</v>
      </c>
      <c r="W11355" t="s">
        <v>42043</v>
      </c>
      <c r="X11355" t="s">
        <v>45110</v>
      </c>
    </row>
    <row r="11356" spans="1:24">
      <c r="A11356">
        <f>HYPERLINK("https://www.philgeps.gov.ph/GEPSNONPILOT/Tender/SplashBidNoticeAbstractUI.aspx?menuIndex=3&amp;refID=7026272&amp;Result=3","7026272")</f>
        <v>0</v>
      </c>
      <c r="B11356" t="s">
        <v>2837</v>
      </c>
      <c r="C11356" t="s">
        <v>14031</v>
      </c>
      <c r="D11356" t="s">
        <v>18065</v>
      </c>
      <c r="E11356" t="s">
        <v>27942</v>
      </c>
      <c r="F11356" t="s">
        <v>31574</v>
      </c>
      <c r="G11356" t="s">
        <v>31582</v>
      </c>
      <c r="H11356" t="s">
        <v>31591</v>
      </c>
      <c r="I11356" t="s">
        <v>8822</v>
      </c>
      <c r="J11356" t="s">
        <v>33279</v>
      </c>
      <c r="K11356" t="s">
        <v>41184</v>
      </c>
      <c r="L11356" t="s">
        <v>2837</v>
      </c>
      <c r="M11356" t="s">
        <v>44618</v>
      </c>
      <c r="N11356" t="s">
        <v>45095</v>
      </c>
      <c r="O11356" t="s">
        <v>45096</v>
      </c>
      <c r="P11356">
        <v>0</v>
      </c>
      <c r="Q11356">
        <v>0</v>
      </c>
      <c r="R11356" t="s">
        <v>45109</v>
      </c>
      <c r="S11356" t="s">
        <v>45478</v>
      </c>
      <c r="T11356" t="s">
        <v>46966</v>
      </c>
      <c r="U11356" t="s">
        <v>56787</v>
      </c>
      <c r="V11356" t="s">
        <v>61054</v>
      </c>
      <c r="W11356" t="s">
        <v>44618</v>
      </c>
      <c r="X11356" t="s">
        <v>45110</v>
      </c>
    </row>
    <row r="11357" spans="1:24">
      <c r="A11357">
        <f>HYPERLINK("https://www.philgeps.gov.ph/GEPSNONPILOT/Tender/SplashBidNoticeAbstractUI.aspx?menuIndex=3&amp;refID=7026278&amp;Result=3","7026278")</f>
        <v>0</v>
      </c>
      <c r="B11357" t="s">
        <v>1689</v>
      </c>
      <c r="C11357" t="s">
        <v>14032</v>
      </c>
      <c r="E11357" t="s">
        <v>27943</v>
      </c>
      <c r="F11357" t="s">
        <v>31574</v>
      </c>
      <c r="G11357" t="s">
        <v>31582</v>
      </c>
      <c r="H11357" t="s">
        <v>31590</v>
      </c>
      <c r="I11357" t="s">
        <v>31598</v>
      </c>
      <c r="J11357" t="s">
        <v>38803</v>
      </c>
      <c r="K11357" t="s">
        <v>41184</v>
      </c>
      <c r="M11357" t="s">
        <v>44598</v>
      </c>
      <c r="N11357" t="s">
        <v>45095</v>
      </c>
      <c r="O11357" t="s">
        <v>45096</v>
      </c>
      <c r="P11357">
        <v>0</v>
      </c>
      <c r="Q11357">
        <v>8</v>
      </c>
      <c r="R11357" t="s">
        <v>45109</v>
      </c>
      <c r="S11357" t="s">
        <v>45478</v>
      </c>
      <c r="T11357" t="s">
        <v>46923</v>
      </c>
      <c r="U11357" t="s">
        <v>56788</v>
      </c>
      <c r="W11357" t="s">
        <v>44598</v>
      </c>
      <c r="X11357" t="s">
        <v>45110</v>
      </c>
    </row>
    <row r="11358" spans="1:24">
      <c r="A11358">
        <f>HYPERLINK("https://www.philgeps.gov.ph/GEPSNONPILOT/Tender/SplashBidNoticeAbstractUI.aspx?menuIndex=3&amp;refID=7026303&amp;Result=3","7026303")</f>
        <v>0</v>
      </c>
      <c r="B11358" t="s">
        <v>960</v>
      </c>
      <c r="C11358" t="s">
        <v>14033</v>
      </c>
      <c r="D11358" t="s">
        <v>18052</v>
      </c>
      <c r="E11358" t="s">
        <v>27944</v>
      </c>
      <c r="F11358" t="s">
        <v>31574</v>
      </c>
      <c r="G11358" t="s">
        <v>31582</v>
      </c>
      <c r="H11358" t="s">
        <v>31590</v>
      </c>
      <c r="I11358" t="s">
        <v>6800</v>
      </c>
      <c r="J11358" t="s">
        <v>38804</v>
      </c>
      <c r="K11358" t="s">
        <v>41196</v>
      </c>
      <c r="M11358" t="s">
        <v>42488</v>
      </c>
      <c r="N11358" t="s">
        <v>45095</v>
      </c>
      <c r="O11358" t="s">
        <v>45096</v>
      </c>
      <c r="P11358">
        <v>0</v>
      </c>
      <c r="Q11358">
        <v>1</v>
      </c>
      <c r="R11358" t="s">
        <v>45109</v>
      </c>
      <c r="S11358" t="s">
        <v>45478</v>
      </c>
      <c r="T11358" t="s">
        <v>47089</v>
      </c>
      <c r="U11358" t="s">
        <v>56789</v>
      </c>
      <c r="V11358" t="s">
        <v>61055</v>
      </c>
      <c r="W11358" t="s">
        <v>42488</v>
      </c>
      <c r="X11358" t="s">
        <v>45110</v>
      </c>
    </row>
    <row r="11359" spans="1:24">
      <c r="A11359">
        <f>HYPERLINK("https://www.philgeps.gov.ph/GEPSNONPILOT/Tender/SplashBidNoticeAbstractUI.aspx?menuIndex=3&amp;refID=7026287&amp;Result=3","7026287")</f>
        <v>0</v>
      </c>
      <c r="B11359" t="s">
        <v>271</v>
      </c>
      <c r="C11359" t="s">
        <v>14034</v>
      </c>
      <c r="D11359" t="s">
        <v>18046</v>
      </c>
      <c r="E11359" t="s">
        <v>19996</v>
      </c>
      <c r="F11359" t="s">
        <v>31579</v>
      </c>
      <c r="G11359" t="s">
        <v>31582</v>
      </c>
      <c r="H11359" t="s">
        <v>31590</v>
      </c>
      <c r="I11359" t="s">
        <v>14034</v>
      </c>
      <c r="J11359" t="s">
        <v>33180</v>
      </c>
      <c r="K11359" t="s">
        <v>41193</v>
      </c>
      <c r="M11359" t="s">
        <v>41757</v>
      </c>
      <c r="N11359" t="s">
        <v>45095</v>
      </c>
      <c r="O11359" t="s">
        <v>45096</v>
      </c>
      <c r="P11359">
        <v>0</v>
      </c>
      <c r="Q11359">
        <v>0</v>
      </c>
      <c r="R11359" t="s">
        <v>45109</v>
      </c>
      <c r="S11359" t="s">
        <v>45478</v>
      </c>
      <c r="T11359" t="s">
        <v>46937</v>
      </c>
      <c r="U11359" t="s">
        <v>56790</v>
      </c>
      <c r="W11359" t="s">
        <v>41757</v>
      </c>
      <c r="X11359" t="s">
        <v>45110</v>
      </c>
    </row>
    <row r="11360" spans="1:24">
      <c r="A11360">
        <f>HYPERLINK("https://www.philgeps.gov.ph/GEPSNONPILOT/Tender/SplashBidNoticeAbstractUI.aspx?menuIndex=3&amp;refID=7026234&amp;Result=3","7026234")</f>
        <v>0</v>
      </c>
      <c r="B11360" t="s">
        <v>1613</v>
      </c>
      <c r="C11360" t="s">
        <v>14035</v>
      </c>
      <c r="D11360" t="s">
        <v>18027</v>
      </c>
      <c r="E11360" t="s">
        <v>27945</v>
      </c>
      <c r="F11360" t="s">
        <v>31574</v>
      </c>
      <c r="G11360" t="s">
        <v>31582</v>
      </c>
      <c r="H11360" t="s">
        <v>31591</v>
      </c>
      <c r="I11360" t="s">
        <v>8822</v>
      </c>
      <c r="J11360" t="s">
        <v>32076</v>
      </c>
      <c r="K11360" t="s">
        <v>41192</v>
      </c>
      <c r="M11360" t="s">
        <v>43218</v>
      </c>
      <c r="N11360" t="s">
        <v>45095</v>
      </c>
      <c r="O11360" t="s">
        <v>45096</v>
      </c>
      <c r="P11360">
        <v>0</v>
      </c>
      <c r="Q11360">
        <v>0</v>
      </c>
      <c r="R11360" t="s">
        <v>45109</v>
      </c>
      <c r="S11360" t="s">
        <v>45478</v>
      </c>
      <c r="T11360" t="s">
        <v>46937</v>
      </c>
      <c r="U11360" t="s">
        <v>56791</v>
      </c>
      <c r="W11360" t="s">
        <v>43218</v>
      </c>
      <c r="X11360" t="s">
        <v>45110</v>
      </c>
    </row>
    <row r="11361" spans="1:24">
      <c r="A11361">
        <f>HYPERLINK("https://www.philgeps.gov.ph/GEPSNONPILOT/Tender/SplashBidNoticeAbstractUI.aspx?menuIndex=3&amp;refID=7026279&amp;Result=3","7026279")</f>
        <v>0</v>
      </c>
      <c r="B11361" t="s">
        <v>623</v>
      </c>
      <c r="C11361" t="s">
        <v>14036</v>
      </c>
      <c r="D11361" t="s">
        <v>18031</v>
      </c>
      <c r="E11361" t="s">
        <v>27946</v>
      </c>
      <c r="F11361" t="s">
        <v>31574</v>
      </c>
      <c r="G11361" t="s">
        <v>31582</v>
      </c>
      <c r="H11361" t="s">
        <v>31590</v>
      </c>
      <c r="I11361" t="s">
        <v>31667</v>
      </c>
      <c r="J11361" t="s">
        <v>38805</v>
      </c>
      <c r="K11361" t="s">
        <v>41186</v>
      </c>
      <c r="M11361" t="s">
        <v>42127</v>
      </c>
      <c r="N11361" t="s">
        <v>45095</v>
      </c>
      <c r="O11361" t="s">
        <v>45096</v>
      </c>
      <c r="P11361">
        <v>0</v>
      </c>
      <c r="Q11361">
        <v>1</v>
      </c>
      <c r="R11361" t="s">
        <v>45109</v>
      </c>
      <c r="S11361" t="s">
        <v>45478</v>
      </c>
      <c r="T11361" t="s">
        <v>46932</v>
      </c>
      <c r="U11361" t="s">
        <v>56792</v>
      </c>
      <c r="V11361" t="s">
        <v>61056</v>
      </c>
      <c r="W11361" t="s">
        <v>42127</v>
      </c>
      <c r="X11361" t="s">
        <v>45110</v>
      </c>
    </row>
    <row r="11362" spans="1:24">
      <c r="A11362">
        <f>HYPERLINK("https://www.philgeps.gov.ph/GEPSNONPILOT/Tender/SplashBidNoticeAbstractUI.aspx?menuIndex=3&amp;refID=7026319&amp;Result=3","7026319")</f>
        <v>0</v>
      </c>
      <c r="B11362" t="s">
        <v>1926</v>
      </c>
      <c r="C11362" t="s">
        <v>14037</v>
      </c>
      <c r="D11362" t="s">
        <v>18099</v>
      </c>
      <c r="E11362" t="s">
        <v>27947</v>
      </c>
      <c r="F11362" t="s">
        <v>31574</v>
      </c>
      <c r="G11362" t="s">
        <v>31582</v>
      </c>
      <c r="H11362" t="s">
        <v>31593</v>
      </c>
      <c r="I11362" t="s">
        <v>31593</v>
      </c>
      <c r="J11362" t="s">
        <v>38806</v>
      </c>
      <c r="K11362" t="s">
        <v>41266</v>
      </c>
      <c r="M11362" t="s">
        <v>43578</v>
      </c>
      <c r="N11362" t="s">
        <v>45095</v>
      </c>
      <c r="O11362" t="s">
        <v>45096</v>
      </c>
      <c r="P11362">
        <v>0</v>
      </c>
      <c r="Q11362">
        <v>5</v>
      </c>
      <c r="R11362" t="s">
        <v>45109</v>
      </c>
      <c r="S11362" t="s">
        <v>45478</v>
      </c>
      <c r="T11362" t="s">
        <v>46988</v>
      </c>
      <c r="U11362" t="s">
        <v>56793</v>
      </c>
      <c r="V11362" t="s">
        <v>60507</v>
      </c>
      <c r="W11362" t="s">
        <v>43578</v>
      </c>
      <c r="X11362" t="s">
        <v>45110</v>
      </c>
    </row>
    <row r="11363" spans="1:24">
      <c r="A11363">
        <f>HYPERLINK("https://www.philgeps.gov.ph/GEPSNONPILOT/Tender/SplashBidNoticeAbstractUI.aspx?menuIndex=3&amp;refID=7026315&amp;Result=3","7026315")</f>
        <v>0</v>
      </c>
      <c r="B11363" t="s">
        <v>1874</v>
      </c>
      <c r="C11363" t="s">
        <v>14038</v>
      </c>
      <c r="D11363" t="s">
        <v>18087</v>
      </c>
      <c r="E11363" t="s">
        <v>27948</v>
      </c>
      <c r="F11363" t="s">
        <v>31574</v>
      </c>
      <c r="G11363" t="s">
        <v>31582</v>
      </c>
      <c r="H11363" t="s">
        <v>31590</v>
      </c>
      <c r="I11363" t="s">
        <v>4046</v>
      </c>
      <c r="J11363" t="s">
        <v>38807</v>
      </c>
      <c r="K11363" t="s">
        <v>41190</v>
      </c>
      <c r="M11363" t="s">
        <v>43514</v>
      </c>
      <c r="N11363" t="s">
        <v>45095</v>
      </c>
      <c r="O11363" t="s">
        <v>45096</v>
      </c>
      <c r="P11363">
        <v>0</v>
      </c>
      <c r="Q11363">
        <v>0</v>
      </c>
      <c r="R11363" t="s">
        <v>45109</v>
      </c>
      <c r="S11363" t="s">
        <v>45478</v>
      </c>
      <c r="T11363" t="s">
        <v>46918</v>
      </c>
      <c r="U11363" t="s">
        <v>49043</v>
      </c>
      <c r="V11363" t="s">
        <v>61039</v>
      </c>
      <c r="W11363" t="s">
        <v>43514</v>
      </c>
      <c r="X11363" t="s">
        <v>45110</v>
      </c>
    </row>
    <row r="11364" spans="1:24">
      <c r="A11364">
        <f>HYPERLINK("https://www.philgeps.gov.ph/GEPSNONPILOT/Tender/SplashBidNoticeAbstractUI.aspx?menuIndex=3&amp;refID=7026313&amp;Result=3","7026313")</f>
        <v>0</v>
      </c>
      <c r="B11364" t="s">
        <v>1613</v>
      </c>
      <c r="C11364" t="s">
        <v>14039</v>
      </c>
      <c r="D11364" t="s">
        <v>18027</v>
      </c>
      <c r="E11364" t="s">
        <v>27949</v>
      </c>
      <c r="F11364" t="s">
        <v>31574</v>
      </c>
      <c r="G11364" t="s">
        <v>31582</v>
      </c>
      <c r="H11364" t="s">
        <v>31591</v>
      </c>
      <c r="I11364" t="s">
        <v>8822</v>
      </c>
      <c r="J11364" t="s">
        <v>31771</v>
      </c>
      <c r="K11364" t="s">
        <v>41192</v>
      </c>
      <c r="M11364" t="s">
        <v>43218</v>
      </c>
      <c r="N11364" t="s">
        <v>45095</v>
      </c>
      <c r="O11364" t="s">
        <v>45096</v>
      </c>
      <c r="P11364">
        <v>0</v>
      </c>
      <c r="Q11364">
        <v>0</v>
      </c>
      <c r="R11364" t="s">
        <v>45109</v>
      </c>
      <c r="S11364" t="s">
        <v>45478</v>
      </c>
      <c r="T11364" t="s">
        <v>46937</v>
      </c>
      <c r="U11364" t="s">
        <v>56794</v>
      </c>
      <c r="W11364" t="s">
        <v>43218</v>
      </c>
      <c r="X11364" t="s">
        <v>45110</v>
      </c>
    </row>
    <row r="11365" spans="1:24">
      <c r="A11365">
        <f>HYPERLINK("https://www.philgeps.gov.ph/GEPSNONPILOT/Tender/SplashBidNoticeAbstractUI.aspx?menuIndex=3&amp;refID=7026335&amp;Result=3","7026335")</f>
        <v>0</v>
      </c>
      <c r="B11365" t="s">
        <v>2838</v>
      </c>
      <c r="C11365" t="s">
        <v>14040</v>
      </c>
      <c r="D11365" t="s">
        <v>18066</v>
      </c>
      <c r="E11365" t="s">
        <v>27950</v>
      </c>
      <c r="F11365" t="s">
        <v>31574</v>
      </c>
      <c r="G11365" t="s">
        <v>31584</v>
      </c>
      <c r="H11365" t="s">
        <v>31590</v>
      </c>
      <c r="I11365" t="s">
        <v>31612</v>
      </c>
      <c r="J11365" t="s">
        <v>32699</v>
      </c>
      <c r="K11365" t="s">
        <v>41193</v>
      </c>
      <c r="M11365" t="s">
        <v>44619</v>
      </c>
      <c r="N11365" t="s">
        <v>45095</v>
      </c>
      <c r="O11365" t="s">
        <v>45096</v>
      </c>
      <c r="Q11365">
        <v>2</v>
      </c>
      <c r="R11365" t="s">
        <v>45109</v>
      </c>
      <c r="S11365" t="s">
        <v>45389</v>
      </c>
      <c r="T11365" t="s">
        <v>47183</v>
      </c>
      <c r="U11365" t="s">
        <v>56795</v>
      </c>
      <c r="W11365" t="s">
        <v>44619</v>
      </c>
      <c r="X11365" t="s">
        <v>45110</v>
      </c>
    </row>
    <row r="11366" spans="1:24">
      <c r="A11366">
        <f>HYPERLINK("https://www.philgeps.gov.ph/GEPSNONPILOT/Tender/SplashBidNoticeAbstractUI.aspx?menuIndex=3&amp;refID=7026320&amp;Result=3","7026320")</f>
        <v>0</v>
      </c>
      <c r="B11366" t="s">
        <v>2837</v>
      </c>
      <c r="C11366" t="s">
        <v>14041</v>
      </c>
      <c r="D11366" t="s">
        <v>18065</v>
      </c>
      <c r="E11366" t="s">
        <v>27951</v>
      </c>
      <c r="F11366" t="s">
        <v>31574</v>
      </c>
      <c r="G11366" t="s">
        <v>31582</v>
      </c>
      <c r="H11366" t="s">
        <v>31591</v>
      </c>
      <c r="I11366" t="s">
        <v>8822</v>
      </c>
      <c r="J11366" t="s">
        <v>36135</v>
      </c>
      <c r="K11366" t="s">
        <v>41184</v>
      </c>
      <c r="L11366" t="s">
        <v>2837</v>
      </c>
      <c r="M11366" t="s">
        <v>44618</v>
      </c>
      <c r="N11366" t="s">
        <v>45095</v>
      </c>
      <c r="O11366" t="s">
        <v>45096</v>
      </c>
      <c r="P11366">
        <v>0</v>
      </c>
      <c r="Q11366">
        <v>1</v>
      </c>
      <c r="R11366" t="s">
        <v>45109</v>
      </c>
      <c r="S11366" t="s">
        <v>45478</v>
      </c>
      <c r="T11366" t="s">
        <v>46966</v>
      </c>
      <c r="U11366" t="s">
        <v>56787</v>
      </c>
      <c r="V11366" t="s">
        <v>61054</v>
      </c>
      <c r="W11366" t="s">
        <v>44618</v>
      </c>
      <c r="X11366" t="s">
        <v>45110</v>
      </c>
    </row>
    <row r="11367" spans="1:24">
      <c r="A11367">
        <f>HYPERLINK("https://www.philgeps.gov.ph/GEPSNONPILOT/Tender/SplashBidNoticeAbstractUI.aspx?menuIndex=3&amp;refID=7026358&amp;Result=3","7026358")</f>
        <v>0</v>
      </c>
      <c r="B11367" t="s">
        <v>2314</v>
      </c>
      <c r="C11367" t="s">
        <v>14042</v>
      </c>
      <c r="D11367" t="s">
        <v>18044</v>
      </c>
      <c r="E11367" t="s">
        <v>27952</v>
      </c>
      <c r="F11367" t="s">
        <v>31574</v>
      </c>
      <c r="G11367" t="s">
        <v>31582</v>
      </c>
      <c r="H11367" t="s">
        <v>31591</v>
      </c>
      <c r="I11367" t="s">
        <v>8822</v>
      </c>
      <c r="J11367" t="s">
        <v>38808</v>
      </c>
      <c r="K11367" t="s">
        <v>41268</v>
      </c>
      <c r="M11367" t="s">
        <v>44024</v>
      </c>
      <c r="N11367" t="s">
        <v>45095</v>
      </c>
      <c r="O11367" t="s">
        <v>45096</v>
      </c>
      <c r="P11367">
        <v>0</v>
      </c>
      <c r="Q11367">
        <v>11</v>
      </c>
      <c r="R11367" t="s">
        <v>45109</v>
      </c>
      <c r="S11367" t="s">
        <v>45478</v>
      </c>
      <c r="T11367" t="s">
        <v>46933</v>
      </c>
      <c r="U11367" t="s">
        <v>56763</v>
      </c>
      <c r="W11367" t="s">
        <v>44024</v>
      </c>
      <c r="X11367" t="s">
        <v>45110</v>
      </c>
    </row>
    <row r="11368" spans="1:24">
      <c r="A11368">
        <f>HYPERLINK("https://www.philgeps.gov.ph/GEPSNONPILOT/Tender/SplashBidNoticeAbstractUI.aspx?menuIndex=3&amp;refID=7026394&amp;Result=3","7026394")</f>
        <v>0</v>
      </c>
      <c r="B11368" t="s">
        <v>1674</v>
      </c>
      <c r="C11368" t="s">
        <v>14043</v>
      </c>
      <c r="D11368" t="s">
        <v>18037</v>
      </c>
      <c r="E11368" t="s">
        <v>27953</v>
      </c>
      <c r="F11368" t="s">
        <v>31574</v>
      </c>
      <c r="G11368" t="s">
        <v>31582</v>
      </c>
      <c r="H11368" t="s">
        <v>31590</v>
      </c>
      <c r="I11368" t="s">
        <v>5717</v>
      </c>
      <c r="J11368" t="s">
        <v>33914</v>
      </c>
      <c r="K11368" t="s">
        <v>41196</v>
      </c>
      <c r="M11368" t="s">
        <v>43287</v>
      </c>
      <c r="N11368" t="s">
        <v>45095</v>
      </c>
      <c r="O11368" t="s">
        <v>45096</v>
      </c>
      <c r="P11368">
        <v>0</v>
      </c>
      <c r="Q11368">
        <v>4</v>
      </c>
      <c r="R11368" t="s">
        <v>45109</v>
      </c>
      <c r="S11368" t="s">
        <v>45478</v>
      </c>
      <c r="T11368" t="s">
        <v>46988</v>
      </c>
      <c r="U11368" t="s">
        <v>56796</v>
      </c>
      <c r="W11368" t="s">
        <v>43287</v>
      </c>
      <c r="X11368" t="s">
        <v>45110</v>
      </c>
    </row>
    <row r="11369" spans="1:24">
      <c r="A11369">
        <f>HYPERLINK("https://www.philgeps.gov.ph/GEPSNONPILOT/Tender/SplashBidNoticeAbstractUI.aspx?menuIndex=3&amp;refID=7026383&amp;Result=3","7026383")</f>
        <v>0</v>
      </c>
      <c r="B11369" t="s">
        <v>2827</v>
      </c>
      <c r="C11369" t="s">
        <v>14044</v>
      </c>
      <c r="D11369" t="s">
        <v>18022</v>
      </c>
      <c r="E11369" t="s">
        <v>27954</v>
      </c>
      <c r="F11369" t="s">
        <v>31574</v>
      </c>
      <c r="G11369" t="s">
        <v>31582</v>
      </c>
      <c r="H11369" t="s">
        <v>31590</v>
      </c>
      <c r="I11369" t="s">
        <v>31615</v>
      </c>
      <c r="J11369" t="s">
        <v>38809</v>
      </c>
      <c r="K11369" t="s">
        <v>41184</v>
      </c>
      <c r="M11369" t="s">
        <v>44605</v>
      </c>
      <c r="N11369" t="s">
        <v>45095</v>
      </c>
      <c r="O11369" t="s">
        <v>45096</v>
      </c>
      <c r="P11369">
        <v>0</v>
      </c>
      <c r="Q11369">
        <v>5</v>
      </c>
      <c r="R11369" t="s">
        <v>45109</v>
      </c>
      <c r="S11369" t="s">
        <v>45478</v>
      </c>
      <c r="T11369" t="s">
        <v>46905</v>
      </c>
      <c r="U11369" t="s">
        <v>56797</v>
      </c>
      <c r="W11369" t="s">
        <v>44605</v>
      </c>
      <c r="X11369" t="s">
        <v>45110</v>
      </c>
    </row>
    <row r="11370" spans="1:24">
      <c r="A11370">
        <f>HYPERLINK("https://www.philgeps.gov.ph/GEPSNONPILOT/Tender/SplashBidNoticeAbstractUI.aspx?menuIndex=3&amp;refID=7026356&amp;Result=3","7026356")</f>
        <v>0</v>
      </c>
      <c r="B11370" t="s">
        <v>2837</v>
      </c>
      <c r="C11370" t="s">
        <v>14045</v>
      </c>
      <c r="D11370" t="s">
        <v>18065</v>
      </c>
      <c r="E11370" t="s">
        <v>27955</v>
      </c>
      <c r="F11370" t="s">
        <v>31574</v>
      </c>
      <c r="G11370" t="s">
        <v>31582</v>
      </c>
      <c r="H11370" t="s">
        <v>31591</v>
      </c>
      <c r="I11370" t="s">
        <v>8822</v>
      </c>
      <c r="J11370" t="s">
        <v>38810</v>
      </c>
      <c r="K11370" t="s">
        <v>41184</v>
      </c>
      <c r="L11370" t="s">
        <v>2837</v>
      </c>
      <c r="M11370" t="s">
        <v>44618</v>
      </c>
      <c r="N11370" t="s">
        <v>45095</v>
      </c>
      <c r="O11370" t="s">
        <v>45096</v>
      </c>
      <c r="P11370">
        <v>0</v>
      </c>
      <c r="Q11370">
        <v>0</v>
      </c>
      <c r="R11370" t="s">
        <v>45109</v>
      </c>
      <c r="S11370" t="s">
        <v>45478</v>
      </c>
      <c r="T11370" t="s">
        <v>46966</v>
      </c>
      <c r="U11370" t="s">
        <v>56787</v>
      </c>
      <c r="V11370" t="s">
        <v>61054</v>
      </c>
      <c r="W11370" t="s">
        <v>44618</v>
      </c>
      <c r="X11370" t="s">
        <v>45110</v>
      </c>
    </row>
    <row r="11371" spans="1:24">
      <c r="A11371">
        <f>HYPERLINK("https://www.philgeps.gov.ph/GEPSNONPILOT/Tender/SplashBidNoticeAbstractUI.aspx?menuIndex=3&amp;refID=7026395&amp;Result=3","7026395")</f>
        <v>0</v>
      </c>
      <c r="B11371" t="s">
        <v>1966</v>
      </c>
      <c r="C11371" t="s">
        <v>14046</v>
      </c>
      <c r="D11371" t="s">
        <v>18066</v>
      </c>
      <c r="E11371" t="s">
        <v>27956</v>
      </c>
      <c r="F11371" t="s">
        <v>31574</v>
      </c>
      <c r="G11371" t="s">
        <v>31582</v>
      </c>
      <c r="H11371" t="s">
        <v>31590</v>
      </c>
      <c r="I11371" t="s">
        <v>31632</v>
      </c>
      <c r="J11371" t="s">
        <v>38811</v>
      </c>
      <c r="K11371" t="s">
        <v>41192</v>
      </c>
      <c r="M11371" t="s">
        <v>44620</v>
      </c>
      <c r="N11371" t="s">
        <v>45095</v>
      </c>
      <c r="O11371" t="s">
        <v>45096</v>
      </c>
      <c r="Q11371">
        <v>5</v>
      </c>
      <c r="R11371" t="s">
        <v>45109</v>
      </c>
      <c r="S11371" t="s">
        <v>45545</v>
      </c>
      <c r="T11371" t="s">
        <v>47393</v>
      </c>
      <c r="U11371" t="s">
        <v>56798</v>
      </c>
      <c r="W11371" t="s">
        <v>43623</v>
      </c>
      <c r="X11371" t="s">
        <v>45110</v>
      </c>
    </row>
    <row r="11372" spans="1:24">
      <c r="A11372">
        <f>HYPERLINK("https://www.philgeps.gov.ph/GEPSNONPILOT/Tender/SplashBidNoticeAbstractUI.aspx?menuIndex=3&amp;refID=7026378&amp;Result=3","7026378")</f>
        <v>0</v>
      </c>
      <c r="B11372" t="s">
        <v>2838</v>
      </c>
      <c r="C11372" t="s">
        <v>14047</v>
      </c>
      <c r="D11372" t="s">
        <v>18066</v>
      </c>
      <c r="E11372" t="s">
        <v>27957</v>
      </c>
      <c r="F11372" t="s">
        <v>31574</v>
      </c>
      <c r="G11372" t="s">
        <v>31584</v>
      </c>
      <c r="H11372" t="s">
        <v>31590</v>
      </c>
      <c r="I11372" t="s">
        <v>31636</v>
      </c>
      <c r="J11372" t="s">
        <v>34013</v>
      </c>
      <c r="K11372" t="s">
        <v>41193</v>
      </c>
      <c r="M11372" t="s">
        <v>44619</v>
      </c>
      <c r="N11372" t="s">
        <v>45095</v>
      </c>
      <c r="O11372" t="s">
        <v>45096</v>
      </c>
      <c r="Q11372">
        <v>1</v>
      </c>
      <c r="R11372" t="s">
        <v>45109</v>
      </c>
      <c r="S11372" t="s">
        <v>45546</v>
      </c>
      <c r="T11372" t="s">
        <v>47183</v>
      </c>
      <c r="U11372" t="s">
        <v>56799</v>
      </c>
      <c r="W11372" t="s">
        <v>44619</v>
      </c>
      <c r="X11372" t="s">
        <v>45110</v>
      </c>
    </row>
    <row r="11373" spans="1:24">
      <c r="A11373">
        <f>HYPERLINK("https://www.philgeps.gov.ph/GEPSNONPILOT/Tender/SplashBidNoticeAbstractUI.aspx?menuIndex=3&amp;refID=7026375&amp;Result=3","7026375")</f>
        <v>0</v>
      </c>
      <c r="B11373" t="s">
        <v>2836</v>
      </c>
      <c r="C11373" t="s">
        <v>14048</v>
      </c>
      <c r="D11373" t="s">
        <v>18056</v>
      </c>
      <c r="E11373" t="s">
        <v>27958</v>
      </c>
      <c r="F11373" t="s">
        <v>31574</v>
      </c>
      <c r="G11373" t="s">
        <v>31582</v>
      </c>
      <c r="H11373" t="s">
        <v>31590</v>
      </c>
      <c r="I11373" t="s">
        <v>31625</v>
      </c>
      <c r="J11373" t="s">
        <v>38812</v>
      </c>
      <c r="K11373" t="s">
        <v>41186</v>
      </c>
      <c r="M11373" t="s">
        <v>44616</v>
      </c>
      <c r="N11373" t="s">
        <v>45095</v>
      </c>
      <c r="O11373" t="s">
        <v>45096</v>
      </c>
      <c r="P11373">
        <v>0</v>
      </c>
      <c r="Q11373">
        <v>1</v>
      </c>
      <c r="R11373" t="s">
        <v>45109</v>
      </c>
      <c r="S11373" t="s">
        <v>45478</v>
      </c>
      <c r="T11373" t="s">
        <v>46920</v>
      </c>
      <c r="U11373" t="s">
        <v>56800</v>
      </c>
      <c r="V11373" t="s">
        <v>59973</v>
      </c>
      <c r="W11373" t="s">
        <v>44616</v>
      </c>
      <c r="X11373" t="s">
        <v>45110</v>
      </c>
    </row>
    <row r="11374" spans="1:24">
      <c r="A11374">
        <f>HYPERLINK("https://www.philgeps.gov.ph/GEPSNONPILOT/Tender/SplashBidNoticeAbstractUI.aspx?menuIndex=3&amp;refID=7026347&amp;Result=3","7026347")</f>
        <v>0</v>
      </c>
      <c r="B11374" t="s">
        <v>1655</v>
      </c>
      <c r="C11374" t="s">
        <v>14049</v>
      </c>
      <c r="D11374" t="s">
        <v>18030</v>
      </c>
      <c r="E11374" t="s">
        <v>27959</v>
      </c>
      <c r="F11374" t="s">
        <v>31574</v>
      </c>
      <c r="G11374" t="s">
        <v>31582</v>
      </c>
      <c r="H11374" t="s">
        <v>31590</v>
      </c>
      <c r="I11374" t="s">
        <v>31603</v>
      </c>
      <c r="J11374" t="s">
        <v>31771</v>
      </c>
      <c r="K11374" t="s">
        <v>41186</v>
      </c>
      <c r="M11374" t="s">
        <v>44621</v>
      </c>
      <c r="N11374" t="s">
        <v>45095</v>
      </c>
      <c r="O11374" t="s">
        <v>45096</v>
      </c>
      <c r="P11374">
        <v>0</v>
      </c>
      <c r="Q11374">
        <v>10</v>
      </c>
      <c r="R11374" t="s">
        <v>45109</v>
      </c>
      <c r="S11374" t="s">
        <v>45478</v>
      </c>
      <c r="T11374" t="s">
        <v>47066</v>
      </c>
      <c r="U11374" t="s">
        <v>56801</v>
      </c>
      <c r="W11374" t="s">
        <v>44621</v>
      </c>
      <c r="X11374" t="s">
        <v>45110</v>
      </c>
    </row>
    <row r="11375" spans="1:24">
      <c r="A11375">
        <f>HYPERLINK("https://www.philgeps.gov.ph/GEPSNONPILOT/Tender/SplashBidNoticeAbstractUI.aspx?menuIndex=3&amp;refID=7026391&amp;Result=3","7026391")</f>
        <v>0</v>
      </c>
      <c r="B11375" t="s">
        <v>1655</v>
      </c>
      <c r="C11375" t="s">
        <v>14050</v>
      </c>
      <c r="D11375" t="s">
        <v>18030</v>
      </c>
      <c r="E11375" t="s">
        <v>27960</v>
      </c>
      <c r="F11375" t="s">
        <v>31574</v>
      </c>
      <c r="G11375" t="s">
        <v>31582</v>
      </c>
      <c r="H11375" t="s">
        <v>31590</v>
      </c>
      <c r="I11375" t="s">
        <v>31619</v>
      </c>
      <c r="J11375" t="s">
        <v>32510</v>
      </c>
      <c r="K11375" t="s">
        <v>41186</v>
      </c>
      <c r="M11375" t="s">
        <v>44621</v>
      </c>
      <c r="N11375" t="s">
        <v>45095</v>
      </c>
      <c r="O11375" t="s">
        <v>45096</v>
      </c>
      <c r="Q11375">
        <v>15</v>
      </c>
      <c r="R11375" t="s">
        <v>45109</v>
      </c>
      <c r="S11375" t="s">
        <v>45547</v>
      </c>
      <c r="T11375" t="s">
        <v>47066</v>
      </c>
      <c r="U11375" t="s">
        <v>56802</v>
      </c>
      <c r="W11375" t="s">
        <v>44621</v>
      </c>
      <c r="X11375" t="s">
        <v>45110</v>
      </c>
    </row>
    <row r="11376" spans="1:24">
      <c r="A11376">
        <f>HYPERLINK("https://www.philgeps.gov.ph/GEPSNONPILOT/Tender/SplashBidNoticeAbstractUI.aspx?menuIndex=3&amp;refID=7026321&amp;Result=3","7026321")</f>
        <v>0</v>
      </c>
      <c r="B11376" t="s">
        <v>1518</v>
      </c>
      <c r="C11376" t="s">
        <v>14051</v>
      </c>
      <c r="D11376" t="s">
        <v>18041</v>
      </c>
      <c r="E11376" t="s">
        <v>27961</v>
      </c>
      <c r="F11376" t="s">
        <v>31574</v>
      </c>
      <c r="G11376" t="s">
        <v>31582</v>
      </c>
      <c r="H11376" t="s">
        <v>31590</v>
      </c>
      <c r="I11376" t="s">
        <v>31615</v>
      </c>
      <c r="J11376" t="s">
        <v>38813</v>
      </c>
      <c r="K11376" t="s">
        <v>41186</v>
      </c>
      <c r="M11376" t="s">
        <v>43109</v>
      </c>
      <c r="N11376" t="s">
        <v>45095</v>
      </c>
      <c r="O11376" t="s">
        <v>45096</v>
      </c>
      <c r="Q11376">
        <v>9</v>
      </c>
      <c r="R11376" t="s">
        <v>45109</v>
      </c>
      <c r="S11376" t="s">
        <v>45548</v>
      </c>
      <c r="T11376" t="s">
        <v>46935</v>
      </c>
      <c r="U11376" t="s">
        <v>56803</v>
      </c>
      <c r="W11376" t="s">
        <v>43109</v>
      </c>
      <c r="X11376" t="s">
        <v>45110</v>
      </c>
    </row>
    <row r="11377" spans="1:24">
      <c r="A11377">
        <f>HYPERLINK("https://www.philgeps.gov.ph/GEPSNONPILOT/Tender/SplashBidNoticeAbstractUI.aspx?menuIndex=3&amp;refID=7026373&amp;Result=3","7026373")</f>
        <v>0</v>
      </c>
      <c r="B11377" t="s">
        <v>596</v>
      </c>
      <c r="C11377" t="s">
        <v>14052</v>
      </c>
      <c r="D11377" t="s">
        <v>18034</v>
      </c>
      <c r="E11377" t="s">
        <v>27962</v>
      </c>
      <c r="F11377" t="s">
        <v>31574</v>
      </c>
      <c r="G11377" t="s">
        <v>31581</v>
      </c>
      <c r="H11377" t="s">
        <v>31591</v>
      </c>
      <c r="I11377" t="s">
        <v>8822</v>
      </c>
      <c r="J11377" t="s">
        <v>31727</v>
      </c>
      <c r="K11377" t="s">
        <v>41241</v>
      </c>
      <c r="M11377" t="s">
        <v>42099</v>
      </c>
      <c r="N11377" t="s">
        <v>45095</v>
      </c>
      <c r="O11377" t="s">
        <v>45096</v>
      </c>
      <c r="Q11377">
        <v>0</v>
      </c>
      <c r="R11377" t="s">
        <v>45109</v>
      </c>
      <c r="S11377" t="s">
        <v>45549</v>
      </c>
      <c r="T11377" t="s">
        <v>47176</v>
      </c>
      <c r="U11377" t="s">
        <v>56804</v>
      </c>
      <c r="W11377" t="s">
        <v>42099</v>
      </c>
      <c r="X11377" t="s">
        <v>45110</v>
      </c>
    </row>
    <row r="11378" spans="1:24">
      <c r="A11378">
        <f>HYPERLINK("https://www.philgeps.gov.ph/GEPSNONPILOT/Tender/SplashBidNoticeAbstractUI.aspx?menuIndex=3&amp;refID=7026328&amp;Result=3","7026328")</f>
        <v>0</v>
      </c>
      <c r="B11378" t="s">
        <v>2827</v>
      </c>
      <c r="C11378" t="s">
        <v>14053</v>
      </c>
      <c r="D11378" t="s">
        <v>18022</v>
      </c>
      <c r="E11378" t="s">
        <v>27963</v>
      </c>
      <c r="F11378" t="s">
        <v>31574</v>
      </c>
      <c r="G11378" t="s">
        <v>31582</v>
      </c>
      <c r="H11378" t="s">
        <v>31590</v>
      </c>
      <c r="I11378" t="s">
        <v>31608</v>
      </c>
      <c r="J11378" t="s">
        <v>38814</v>
      </c>
      <c r="K11378" t="s">
        <v>41184</v>
      </c>
      <c r="M11378" t="s">
        <v>44605</v>
      </c>
      <c r="N11378" t="s">
        <v>45095</v>
      </c>
      <c r="O11378" t="s">
        <v>45096</v>
      </c>
      <c r="P11378">
        <v>0</v>
      </c>
      <c r="Q11378">
        <v>14</v>
      </c>
      <c r="R11378" t="s">
        <v>45109</v>
      </c>
      <c r="S11378" t="s">
        <v>45478</v>
      </c>
      <c r="T11378" t="s">
        <v>46905</v>
      </c>
      <c r="U11378" t="s">
        <v>56805</v>
      </c>
      <c r="W11378" t="s">
        <v>44605</v>
      </c>
      <c r="X11378" t="s">
        <v>45110</v>
      </c>
    </row>
    <row r="11379" spans="1:24">
      <c r="A11379">
        <f>HYPERLINK("https://www.philgeps.gov.ph/GEPSNONPILOT/Tender/SplashBidNoticeAbstractUI.aspx?menuIndex=3&amp;refID=7026325&amp;Result=3","7026325")</f>
        <v>0</v>
      </c>
      <c r="B11379" t="s">
        <v>671</v>
      </c>
      <c r="C11379" t="s">
        <v>14054</v>
      </c>
      <c r="D11379" t="s">
        <v>18022</v>
      </c>
      <c r="E11379" t="s">
        <v>27964</v>
      </c>
      <c r="F11379" t="s">
        <v>31574</v>
      </c>
      <c r="G11379" t="s">
        <v>31582</v>
      </c>
      <c r="H11379" t="s">
        <v>31590</v>
      </c>
      <c r="I11379" t="s">
        <v>31627</v>
      </c>
      <c r="J11379" t="s">
        <v>33344</v>
      </c>
      <c r="K11379" t="s">
        <v>41185</v>
      </c>
      <c r="M11379" t="s">
        <v>44204</v>
      </c>
      <c r="N11379" t="s">
        <v>45095</v>
      </c>
      <c r="O11379" t="s">
        <v>45096</v>
      </c>
      <c r="P11379">
        <v>0</v>
      </c>
      <c r="Q11379">
        <v>3</v>
      </c>
      <c r="R11379" t="s">
        <v>45109</v>
      </c>
      <c r="S11379" t="s">
        <v>45478</v>
      </c>
      <c r="T11379" t="s">
        <v>46943</v>
      </c>
      <c r="U11379" t="s">
        <v>56806</v>
      </c>
      <c r="W11379" t="s">
        <v>44204</v>
      </c>
      <c r="X11379" t="s">
        <v>45110</v>
      </c>
    </row>
    <row r="11380" spans="1:24">
      <c r="A11380">
        <f>HYPERLINK("https://www.philgeps.gov.ph/GEPSNONPILOT/Tender/SplashBidNoticeAbstractUI.aspx?menuIndex=3&amp;refID=7026413&amp;Result=3","7026413")</f>
        <v>0</v>
      </c>
      <c r="B11380" t="s">
        <v>2837</v>
      </c>
      <c r="C11380" t="s">
        <v>14055</v>
      </c>
      <c r="D11380" t="s">
        <v>18065</v>
      </c>
      <c r="E11380" t="s">
        <v>27965</v>
      </c>
      <c r="F11380" t="s">
        <v>31574</v>
      </c>
      <c r="G11380" t="s">
        <v>31582</v>
      </c>
      <c r="H11380" t="s">
        <v>31591</v>
      </c>
      <c r="I11380" t="s">
        <v>8822</v>
      </c>
      <c r="J11380" t="s">
        <v>34360</v>
      </c>
      <c r="K11380" t="s">
        <v>41184</v>
      </c>
      <c r="L11380" t="s">
        <v>2837</v>
      </c>
      <c r="M11380" t="s">
        <v>44618</v>
      </c>
      <c r="N11380" t="s">
        <v>45095</v>
      </c>
      <c r="O11380" t="s">
        <v>45096</v>
      </c>
      <c r="P11380">
        <v>0</v>
      </c>
      <c r="Q11380">
        <v>1</v>
      </c>
      <c r="R11380" t="s">
        <v>45109</v>
      </c>
      <c r="S11380" t="s">
        <v>45478</v>
      </c>
      <c r="T11380" t="s">
        <v>46966</v>
      </c>
      <c r="U11380" t="s">
        <v>56787</v>
      </c>
      <c r="V11380" t="s">
        <v>61054</v>
      </c>
      <c r="W11380" t="s">
        <v>44618</v>
      </c>
      <c r="X11380" t="s">
        <v>45110</v>
      </c>
    </row>
    <row r="11381" spans="1:24">
      <c r="A11381">
        <f>HYPERLINK("https://www.philgeps.gov.ph/GEPSNONPILOT/Tender/SplashBidNoticeAbstractUI.aspx?menuIndex=3&amp;refID=7026374&amp;Result=3","7026374")</f>
        <v>0</v>
      </c>
      <c r="B11381" t="s">
        <v>2837</v>
      </c>
      <c r="C11381" t="s">
        <v>14056</v>
      </c>
      <c r="D11381" t="s">
        <v>18065</v>
      </c>
      <c r="E11381" t="s">
        <v>27966</v>
      </c>
      <c r="F11381" t="s">
        <v>31574</v>
      </c>
      <c r="G11381" t="s">
        <v>31582</v>
      </c>
      <c r="H11381" t="s">
        <v>31591</v>
      </c>
      <c r="I11381" t="s">
        <v>8822</v>
      </c>
      <c r="J11381" t="s">
        <v>38815</v>
      </c>
      <c r="K11381" t="s">
        <v>41184</v>
      </c>
      <c r="L11381" t="s">
        <v>2837</v>
      </c>
      <c r="M11381" t="s">
        <v>44618</v>
      </c>
      <c r="N11381" t="s">
        <v>45095</v>
      </c>
      <c r="O11381" t="s">
        <v>45096</v>
      </c>
      <c r="P11381">
        <v>0</v>
      </c>
      <c r="Q11381">
        <v>0</v>
      </c>
      <c r="R11381" t="s">
        <v>45109</v>
      </c>
      <c r="S11381" t="s">
        <v>45478</v>
      </c>
      <c r="T11381" t="s">
        <v>46966</v>
      </c>
      <c r="U11381" t="s">
        <v>56787</v>
      </c>
      <c r="V11381" t="s">
        <v>61054</v>
      </c>
      <c r="W11381" t="s">
        <v>44618</v>
      </c>
      <c r="X11381" t="s">
        <v>45110</v>
      </c>
    </row>
    <row r="11382" spans="1:24">
      <c r="A11382">
        <f>HYPERLINK("https://www.philgeps.gov.ph/GEPSNONPILOT/Tender/SplashBidNoticeAbstractUI.aspx?menuIndex=3&amp;refID=7026372&amp;Result=3","7026372")</f>
        <v>0</v>
      </c>
      <c r="B11382" t="s">
        <v>1613</v>
      </c>
      <c r="C11382" t="s">
        <v>14057</v>
      </c>
      <c r="D11382" t="s">
        <v>18027</v>
      </c>
      <c r="E11382" t="s">
        <v>27967</v>
      </c>
      <c r="F11382" t="s">
        <v>31574</v>
      </c>
      <c r="G11382" t="s">
        <v>31582</v>
      </c>
      <c r="H11382" t="s">
        <v>31591</v>
      </c>
      <c r="I11382" t="s">
        <v>8822</v>
      </c>
      <c r="J11382" t="s">
        <v>32550</v>
      </c>
      <c r="K11382" t="s">
        <v>41198</v>
      </c>
      <c r="M11382" t="s">
        <v>43218</v>
      </c>
      <c r="N11382" t="s">
        <v>45095</v>
      </c>
      <c r="O11382" t="s">
        <v>45096</v>
      </c>
      <c r="P11382">
        <v>0</v>
      </c>
      <c r="Q11382">
        <v>0</v>
      </c>
      <c r="R11382" t="s">
        <v>45109</v>
      </c>
      <c r="S11382" t="s">
        <v>45478</v>
      </c>
      <c r="T11382" t="s">
        <v>46937</v>
      </c>
      <c r="U11382" t="s">
        <v>56807</v>
      </c>
      <c r="W11382" t="s">
        <v>43218</v>
      </c>
      <c r="X11382" t="s">
        <v>45110</v>
      </c>
    </row>
    <row r="11383" spans="1:24">
      <c r="A11383">
        <f>HYPERLINK("https://www.philgeps.gov.ph/GEPSNONPILOT/Tender/SplashBidNoticeAbstractUI.aspx?menuIndex=3&amp;refID=7026397&amp;Result=3","7026397")</f>
        <v>0</v>
      </c>
      <c r="B11383" t="s">
        <v>2314</v>
      </c>
      <c r="C11383" t="s">
        <v>14058</v>
      </c>
      <c r="D11383" t="s">
        <v>18044</v>
      </c>
      <c r="E11383" t="s">
        <v>27968</v>
      </c>
      <c r="F11383" t="s">
        <v>31574</v>
      </c>
      <c r="G11383" t="s">
        <v>31582</v>
      </c>
      <c r="H11383" t="s">
        <v>31591</v>
      </c>
      <c r="I11383" t="s">
        <v>8822</v>
      </c>
      <c r="J11383" t="s">
        <v>34070</v>
      </c>
      <c r="K11383" t="s">
        <v>41431</v>
      </c>
      <c r="M11383" t="s">
        <v>44024</v>
      </c>
      <c r="N11383" t="s">
        <v>45095</v>
      </c>
      <c r="O11383" t="s">
        <v>45096</v>
      </c>
      <c r="P11383">
        <v>0</v>
      </c>
      <c r="Q11383">
        <v>11</v>
      </c>
      <c r="R11383" t="s">
        <v>45109</v>
      </c>
      <c r="S11383" t="s">
        <v>45478</v>
      </c>
      <c r="T11383" t="s">
        <v>46933</v>
      </c>
      <c r="U11383" t="s">
        <v>56763</v>
      </c>
      <c r="W11383" t="s">
        <v>44024</v>
      </c>
      <c r="X11383" t="s">
        <v>45110</v>
      </c>
    </row>
    <row r="11384" spans="1:24">
      <c r="A11384">
        <f>HYPERLINK("https://www.philgeps.gov.ph/GEPSNONPILOT/Tender/SplashBidNoticeAbstractUI.aspx?menuIndex=3&amp;refID=7026434&amp;Result=3","7026434")</f>
        <v>0</v>
      </c>
      <c r="B11384" t="s">
        <v>2828</v>
      </c>
      <c r="C11384" t="s">
        <v>14059</v>
      </c>
      <c r="D11384" t="s">
        <v>18071</v>
      </c>
      <c r="E11384" t="s">
        <v>27969</v>
      </c>
      <c r="F11384" t="s">
        <v>31574</v>
      </c>
      <c r="G11384" t="s">
        <v>31582</v>
      </c>
      <c r="H11384" t="s">
        <v>31592</v>
      </c>
      <c r="I11384" t="s">
        <v>31627</v>
      </c>
      <c r="J11384" t="s">
        <v>31935</v>
      </c>
      <c r="K11384" t="s">
        <v>41186</v>
      </c>
      <c r="M11384" t="s">
        <v>44607</v>
      </c>
      <c r="N11384" t="s">
        <v>45095</v>
      </c>
      <c r="O11384" t="s">
        <v>45096</v>
      </c>
      <c r="P11384">
        <v>0</v>
      </c>
      <c r="Q11384">
        <v>0</v>
      </c>
      <c r="R11384" t="s">
        <v>45109</v>
      </c>
      <c r="S11384" t="s">
        <v>45478</v>
      </c>
      <c r="T11384" t="s">
        <v>47143</v>
      </c>
      <c r="U11384" t="s">
        <v>56808</v>
      </c>
      <c r="V11384" t="s">
        <v>61057</v>
      </c>
      <c r="W11384" t="s">
        <v>44607</v>
      </c>
      <c r="X11384" t="s">
        <v>45110</v>
      </c>
    </row>
    <row r="11385" spans="1:24">
      <c r="A11385">
        <f>HYPERLINK("https://www.philgeps.gov.ph/GEPSNONPILOT/Tender/SplashBidNoticeAbstractUI.aspx?menuIndex=3&amp;refID=7026399&amp;Result=3","7026399")</f>
        <v>0</v>
      </c>
      <c r="B11385" t="s">
        <v>2837</v>
      </c>
      <c r="C11385" t="s">
        <v>14060</v>
      </c>
      <c r="D11385" t="s">
        <v>18065</v>
      </c>
      <c r="E11385" t="s">
        <v>27970</v>
      </c>
      <c r="F11385" t="s">
        <v>31574</v>
      </c>
      <c r="G11385" t="s">
        <v>31582</v>
      </c>
      <c r="H11385" t="s">
        <v>31591</v>
      </c>
      <c r="I11385" t="s">
        <v>8822</v>
      </c>
      <c r="J11385" t="s">
        <v>38810</v>
      </c>
      <c r="K11385" t="s">
        <v>41184</v>
      </c>
      <c r="L11385" t="s">
        <v>2837</v>
      </c>
      <c r="M11385" t="s">
        <v>44618</v>
      </c>
      <c r="N11385" t="s">
        <v>45095</v>
      </c>
      <c r="O11385" t="s">
        <v>45096</v>
      </c>
      <c r="P11385">
        <v>0</v>
      </c>
      <c r="Q11385">
        <v>0</v>
      </c>
      <c r="R11385" t="s">
        <v>45109</v>
      </c>
      <c r="S11385" t="s">
        <v>45478</v>
      </c>
      <c r="T11385" t="s">
        <v>46966</v>
      </c>
      <c r="U11385" t="s">
        <v>56787</v>
      </c>
      <c r="V11385" t="s">
        <v>61054</v>
      </c>
      <c r="W11385" t="s">
        <v>44618</v>
      </c>
      <c r="X11385" t="s">
        <v>45110</v>
      </c>
    </row>
    <row r="11386" spans="1:24">
      <c r="A11386">
        <f>HYPERLINK("https://www.philgeps.gov.ph/GEPSNONPILOT/Tender/SplashBidNoticeAbstractUI.aspx?menuIndex=3&amp;refID=7026438&amp;Result=3","7026438")</f>
        <v>0</v>
      </c>
      <c r="B11386" t="s">
        <v>1674</v>
      </c>
      <c r="C11386" t="s">
        <v>14061</v>
      </c>
      <c r="D11386" t="s">
        <v>18037</v>
      </c>
      <c r="E11386" t="s">
        <v>18919</v>
      </c>
      <c r="F11386" t="s">
        <v>31574</v>
      </c>
      <c r="G11386" t="s">
        <v>31582</v>
      </c>
      <c r="H11386" t="s">
        <v>31590</v>
      </c>
      <c r="I11386" t="s">
        <v>31641</v>
      </c>
      <c r="J11386" t="s">
        <v>38816</v>
      </c>
      <c r="K11386" t="s">
        <v>41196</v>
      </c>
      <c r="M11386" t="s">
        <v>43287</v>
      </c>
      <c r="N11386" t="s">
        <v>45095</v>
      </c>
      <c r="O11386" t="s">
        <v>45096</v>
      </c>
      <c r="P11386">
        <v>0</v>
      </c>
      <c r="Q11386">
        <v>5</v>
      </c>
      <c r="R11386" t="s">
        <v>45109</v>
      </c>
      <c r="S11386" t="s">
        <v>45478</v>
      </c>
      <c r="T11386" t="s">
        <v>46988</v>
      </c>
      <c r="U11386" t="s">
        <v>56809</v>
      </c>
      <c r="W11386" t="s">
        <v>43287</v>
      </c>
      <c r="X11386" t="s">
        <v>45110</v>
      </c>
    </row>
    <row r="11387" spans="1:24">
      <c r="A11387">
        <f>HYPERLINK("https://www.philgeps.gov.ph/GEPSNONPILOT/Tender/SplashBidNoticeAbstractUI.aspx?menuIndex=3&amp;refID=7026466&amp;Result=3","7026466")</f>
        <v>0</v>
      </c>
      <c r="B11387" t="s">
        <v>1774</v>
      </c>
      <c r="C11387" t="s">
        <v>14062</v>
      </c>
      <c r="D11387" t="s">
        <v>18087</v>
      </c>
      <c r="E11387" t="s">
        <v>27971</v>
      </c>
      <c r="F11387" t="s">
        <v>31574</v>
      </c>
      <c r="G11387" t="s">
        <v>31582</v>
      </c>
      <c r="H11387" t="s">
        <v>31591</v>
      </c>
      <c r="I11387" t="s">
        <v>8822</v>
      </c>
      <c r="J11387" t="s">
        <v>38817</v>
      </c>
      <c r="K11387" t="s">
        <v>41203</v>
      </c>
      <c r="M11387" t="s">
        <v>43404</v>
      </c>
      <c r="N11387" t="s">
        <v>45095</v>
      </c>
      <c r="O11387" t="s">
        <v>45096</v>
      </c>
      <c r="P11387">
        <v>0</v>
      </c>
      <c r="Q11387">
        <v>1</v>
      </c>
      <c r="R11387" t="s">
        <v>45109</v>
      </c>
      <c r="S11387" t="s">
        <v>45478</v>
      </c>
      <c r="T11387" t="s">
        <v>46930</v>
      </c>
      <c r="U11387" t="s">
        <v>56810</v>
      </c>
      <c r="W11387" t="s">
        <v>43404</v>
      </c>
      <c r="X11387" t="s">
        <v>45110</v>
      </c>
    </row>
    <row r="11388" spans="1:24">
      <c r="A11388">
        <f>HYPERLINK("https://www.philgeps.gov.ph/GEPSNONPILOT/Tender/SplashBidNoticeAbstractUI.aspx?menuIndex=3&amp;refID=7026402&amp;Result=3","7026402")</f>
        <v>0</v>
      </c>
      <c r="B11388" t="s">
        <v>2310</v>
      </c>
      <c r="C11388" t="s">
        <v>14063</v>
      </c>
      <c r="D11388" t="s">
        <v>18075</v>
      </c>
      <c r="E11388" t="s">
        <v>27972</v>
      </c>
      <c r="F11388" t="s">
        <v>31574</v>
      </c>
      <c r="G11388" t="s">
        <v>31582</v>
      </c>
      <c r="H11388" t="s">
        <v>31591</v>
      </c>
      <c r="I11388" t="s">
        <v>8822</v>
      </c>
      <c r="J11388" t="s">
        <v>38818</v>
      </c>
      <c r="K11388" t="s">
        <v>41254</v>
      </c>
      <c r="M11388" t="s">
        <v>44442</v>
      </c>
      <c r="N11388" t="s">
        <v>45095</v>
      </c>
      <c r="O11388" t="s">
        <v>45096</v>
      </c>
      <c r="P11388">
        <v>0</v>
      </c>
      <c r="Q11388">
        <v>0</v>
      </c>
      <c r="R11388" t="s">
        <v>45109</v>
      </c>
      <c r="S11388" t="s">
        <v>45478</v>
      </c>
      <c r="T11388" t="s">
        <v>46930</v>
      </c>
      <c r="U11388" t="s">
        <v>56811</v>
      </c>
      <c r="V11388" t="s">
        <v>60895</v>
      </c>
      <c r="W11388" t="s">
        <v>44442</v>
      </c>
      <c r="X11388" t="s">
        <v>45110</v>
      </c>
    </row>
    <row r="11389" spans="1:24">
      <c r="A11389">
        <f>HYPERLINK("https://www.philgeps.gov.ph/GEPSNONPILOT/Tender/SplashBidNoticeAbstractUI.aspx?menuIndex=3&amp;refID=7026437&amp;Result=3","7026437")</f>
        <v>0</v>
      </c>
      <c r="B11389" t="s">
        <v>1655</v>
      </c>
      <c r="C11389" t="s">
        <v>14064</v>
      </c>
      <c r="D11389" t="s">
        <v>18030</v>
      </c>
      <c r="E11389" t="s">
        <v>27973</v>
      </c>
      <c r="F11389" t="s">
        <v>31574</v>
      </c>
      <c r="G11389" t="s">
        <v>31582</v>
      </c>
      <c r="H11389" t="s">
        <v>31590</v>
      </c>
      <c r="I11389" t="s">
        <v>3487</v>
      </c>
      <c r="J11389" t="s">
        <v>38819</v>
      </c>
      <c r="K11389" t="s">
        <v>41186</v>
      </c>
      <c r="M11389" t="s">
        <v>44621</v>
      </c>
      <c r="N11389" t="s">
        <v>45095</v>
      </c>
      <c r="O11389" t="s">
        <v>45096</v>
      </c>
      <c r="Q11389">
        <v>7</v>
      </c>
      <c r="R11389" t="s">
        <v>45109</v>
      </c>
      <c r="S11389" t="s">
        <v>45550</v>
      </c>
      <c r="T11389" t="s">
        <v>47066</v>
      </c>
      <c r="U11389" t="s">
        <v>56812</v>
      </c>
      <c r="W11389" t="s">
        <v>44621</v>
      </c>
      <c r="X11389" t="s">
        <v>45110</v>
      </c>
    </row>
    <row r="11390" spans="1:24">
      <c r="A11390">
        <f>HYPERLINK("https://www.philgeps.gov.ph/GEPSNONPILOT/Tender/SplashBidNoticeAbstractUI.aspx?menuIndex=3&amp;refID=7026446&amp;Result=3","7026446")</f>
        <v>0</v>
      </c>
      <c r="B11390" t="s">
        <v>2827</v>
      </c>
      <c r="C11390" t="s">
        <v>14065</v>
      </c>
      <c r="D11390" t="s">
        <v>18022</v>
      </c>
      <c r="E11390" t="s">
        <v>27974</v>
      </c>
      <c r="F11390" t="s">
        <v>31574</v>
      </c>
      <c r="G11390" t="s">
        <v>31582</v>
      </c>
      <c r="H11390" t="s">
        <v>31590</v>
      </c>
      <c r="I11390" t="s">
        <v>4046</v>
      </c>
      <c r="J11390" t="s">
        <v>38820</v>
      </c>
      <c r="K11390" t="s">
        <v>41184</v>
      </c>
      <c r="M11390" t="s">
        <v>44605</v>
      </c>
      <c r="N11390" t="s">
        <v>45095</v>
      </c>
      <c r="O11390" t="s">
        <v>45096</v>
      </c>
      <c r="P11390">
        <v>0</v>
      </c>
      <c r="Q11390">
        <v>0</v>
      </c>
      <c r="R11390" t="s">
        <v>45109</v>
      </c>
      <c r="S11390" t="s">
        <v>45478</v>
      </c>
      <c r="T11390" t="s">
        <v>46905</v>
      </c>
      <c r="U11390" t="s">
        <v>56813</v>
      </c>
      <c r="W11390" t="s">
        <v>44605</v>
      </c>
      <c r="X11390" t="s">
        <v>45110</v>
      </c>
    </row>
    <row r="11391" spans="1:24">
      <c r="A11391">
        <f>HYPERLINK("https://www.philgeps.gov.ph/GEPSNONPILOT/Tender/SplashBidNoticeAbstractUI.aspx?menuIndex=3&amp;refID=7026463&amp;Result=3","7026463")</f>
        <v>0</v>
      </c>
      <c r="B11391" t="s">
        <v>90</v>
      </c>
      <c r="C11391" t="s">
        <v>14066</v>
      </c>
      <c r="E11391" t="s">
        <v>27975</v>
      </c>
      <c r="F11391" t="s">
        <v>31574</v>
      </c>
      <c r="G11391" t="s">
        <v>31582</v>
      </c>
      <c r="H11391" t="s">
        <v>31590</v>
      </c>
      <c r="I11391" t="s">
        <v>31614</v>
      </c>
      <c r="J11391" t="s">
        <v>38821</v>
      </c>
      <c r="K11391" t="s">
        <v>41184</v>
      </c>
      <c r="M11391" t="s">
        <v>41574</v>
      </c>
      <c r="N11391" t="s">
        <v>45095</v>
      </c>
      <c r="O11391" t="s">
        <v>45096</v>
      </c>
      <c r="Q11391">
        <v>5</v>
      </c>
      <c r="R11391" t="s">
        <v>45109</v>
      </c>
      <c r="S11391" t="s">
        <v>45551</v>
      </c>
      <c r="T11391" t="s">
        <v>47392</v>
      </c>
      <c r="U11391" t="s">
        <v>56814</v>
      </c>
      <c r="W11391" t="s">
        <v>41574</v>
      </c>
      <c r="X11391" t="s">
        <v>45110</v>
      </c>
    </row>
    <row r="11392" spans="1:24">
      <c r="A11392">
        <f>HYPERLINK("https://www.philgeps.gov.ph/GEPSNONPILOT/Tender/SplashBidNoticeAbstractUI.aspx?menuIndex=3&amp;refID=7026480&amp;Result=3","7026480")</f>
        <v>0</v>
      </c>
      <c r="B11392" t="s">
        <v>1655</v>
      </c>
      <c r="C11392" t="s">
        <v>14067</v>
      </c>
      <c r="D11392" t="s">
        <v>18030</v>
      </c>
      <c r="E11392" t="s">
        <v>27976</v>
      </c>
      <c r="F11392" t="s">
        <v>31574</v>
      </c>
      <c r="G11392" t="s">
        <v>31582</v>
      </c>
      <c r="H11392" t="s">
        <v>31590</v>
      </c>
      <c r="I11392" t="s">
        <v>31615</v>
      </c>
      <c r="J11392" t="s">
        <v>32419</v>
      </c>
      <c r="K11392" t="s">
        <v>41186</v>
      </c>
      <c r="M11392" t="s">
        <v>44621</v>
      </c>
      <c r="N11392" t="s">
        <v>45095</v>
      </c>
      <c r="O11392" t="s">
        <v>45096</v>
      </c>
      <c r="P11392">
        <v>0</v>
      </c>
      <c r="Q11392">
        <v>12</v>
      </c>
      <c r="R11392" t="s">
        <v>45109</v>
      </c>
      <c r="S11392" t="s">
        <v>45478</v>
      </c>
      <c r="T11392" t="s">
        <v>46991</v>
      </c>
      <c r="U11392" t="s">
        <v>56815</v>
      </c>
      <c r="W11392" t="s">
        <v>44621</v>
      </c>
      <c r="X11392" t="s">
        <v>45110</v>
      </c>
    </row>
    <row r="11393" spans="1:24">
      <c r="A11393">
        <f>HYPERLINK("https://www.philgeps.gov.ph/GEPSNONPILOT/Tender/SplashBidNoticeAbstractUI.aspx?menuIndex=3&amp;refID=7026464&amp;Result=3","7026464")</f>
        <v>0</v>
      </c>
      <c r="B11393" t="s">
        <v>2839</v>
      </c>
      <c r="C11393" t="s">
        <v>14068</v>
      </c>
      <c r="D11393" t="s">
        <v>18040</v>
      </c>
      <c r="E11393" t="s">
        <v>27977</v>
      </c>
      <c r="F11393" t="s">
        <v>31574</v>
      </c>
      <c r="G11393" t="s">
        <v>31582</v>
      </c>
      <c r="H11393" t="s">
        <v>31590</v>
      </c>
      <c r="I11393" t="s">
        <v>31654</v>
      </c>
      <c r="J11393" t="s">
        <v>38822</v>
      </c>
      <c r="K11393" t="s">
        <v>41190</v>
      </c>
      <c r="M11393" t="s">
        <v>44622</v>
      </c>
      <c r="N11393" t="s">
        <v>45095</v>
      </c>
      <c r="O11393" t="s">
        <v>45096</v>
      </c>
      <c r="P11393">
        <v>0</v>
      </c>
      <c r="Q11393">
        <v>2</v>
      </c>
      <c r="R11393" t="s">
        <v>45109</v>
      </c>
      <c r="S11393" t="s">
        <v>45478</v>
      </c>
      <c r="T11393" t="s">
        <v>46926</v>
      </c>
      <c r="U11393" t="s">
        <v>56816</v>
      </c>
      <c r="W11393" t="s">
        <v>44622</v>
      </c>
      <c r="X11393" t="s">
        <v>45110</v>
      </c>
    </row>
    <row r="11394" spans="1:24">
      <c r="A11394">
        <f>HYPERLINK("https://www.philgeps.gov.ph/GEPSNONPILOT/Tender/SplashBidNoticeAbstractUI.aspx?menuIndex=3&amp;refID=7026442&amp;Result=3","7026442")</f>
        <v>0</v>
      </c>
      <c r="B11394" t="s">
        <v>2836</v>
      </c>
      <c r="C11394" t="s">
        <v>14069</v>
      </c>
      <c r="D11394" t="s">
        <v>18056</v>
      </c>
      <c r="E11394" t="s">
        <v>27978</v>
      </c>
      <c r="F11394" t="s">
        <v>31574</v>
      </c>
      <c r="G11394" t="s">
        <v>31582</v>
      </c>
      <c r="H11394" t="s">
        <v>31591</v>
      </c>
      <c r="I11394" t="s">
        <v>8822</v>
      </c>
      <c r="J11394" t="s">
        <v>32417</v>
      </c>
      <c r="K11394" t="s">
        <v>41191</v>
      </c>
      <c r="M11394" t="s">
        <v>44616</v>
      </c>
      <c r="N11394" t="s">
        <v>45095</v>
      </c>
      <c r="O11394" t="s">
        <v>45096</v>
      </c>
      <c r="P11394">
        <v>0</v>
      </c>
      <c r="Q11394">
        <v>0</v>
      </c>
      <c r="R11394" t="s">
        <v>45109</v>
      </c>
      <c r="S11394" t="s">
        <v>45478</v>
      </c>
      <c r="T11394" t="s">
        <v>46920</v>
      </c>
      <c r="U11394" t="s">
        <v>56817</v>
      </c>
      <c r="V11394" t="s">
        <v>59973</v>
      </c>
      <c r="W11394" t="s">
        <v>44616</v>
      </c>
      <c r="X11394" t="s">
        <v>45110</v>
      </c>
    </row>
    <row r="11395" spans="1:24">
      <c r="A11395">
        <f>HYPERLINK("https://www.philgeps.gov.ph/GEPSNONPILOT/Tender/SplashBidNoticeAbstractUI.aspx?menuIndex=3&amp;refID=7026468&amp;Result=3","7026468")</f>
        <v>0</v>
      </c>
      <c r="B11395" t="s">
        <v>1674</v>
      </c>
      <c r="C11395" t="s">
        <v>14070</v>
      </c>
      <c r="D11395" t="s">
        <v>18037</v>
      </c>
      <c r="E11395" t="s">
        <v>19220</v>
      </c>
      <c r="F11395" t="s">
        <v>31574</v>
      </c>
      <c r="G11395" t="s">
        <v>31582</v>
      </c>
      <c r="H11395" t="s">
        <v>31590</v>
      </c>
      <c r="I11395" t="s">
        <v>8056</v>
      </c>
      <c r="J11395" t="s">
        <v>38823</v>
      </c>
      <c r="K11395" t="s">
        <v>41196</v>
      </c>
      <c r="M11395" t="s">
        <v>43287</v>
      </c>
      <c r="N11395" t="s">
        <v>45095</v>
      </c>
      <c r="O11395" t="s">
        <v>45096</v>
      </c>
      <c r="P11395">
        <v>0</v>
      </c>
      <c r="Q11395">
        <v>7</v>
      </c>
      <c r="R11395" t="s">
        <v>45109</v>
      </c>
      <c r="S11395" t="s">
        <v>45478</v>
      </c>
      <c r="T11395" t="s">
        <v>46988</v>
      </c>
      <c r="U11395" t="s">
        <v>56818</v>
      </c>
      <c r="W11395" t="s">
        <v>43287</v>
      </c>
      <c r="X11395" t="s">
        <v>45110</v>
      </c>
    </row>
    <row r="11396" spans="1:24">
      <c r="A11396">
        <f>HYPERLINK("https://www.philgeps.gov.ph/GEPSNONPILOT/Tender/SplashBidNoticeAbstractUI.aspx?menuIndex=3&amp;refID=7026425&amp;Result=3","7026425")</f>
        <v>0</v>
      </c>
      <c r="B11396" t="s">
        <v>1584</v>
      </c>
      <c r="C11396" t="s">
        <v>14071</v>
      </c>
      <c r="D11396" t="s">
        <v>18079</v>
      </c>
      <c r="E11396" t="s">
        <v>27979</v>
      </c>
      <c r="F11396" t="s">
        <v>31574</v>
      </c>
      <c r="G11396" t="s">
        <v>31582</v>
      </c>
      <c r="H11396" t="s">
        <v>31591</v>
      </c>
      <c r="I11396" t="s">
        <v>8822</v>
      </c>
      <c r="J11396" t="s">
        <v>31935</v>
      </c>
      <c r="K11396" t="s">
        <v>41192</v>
      </c>
      <c r="M11396" t="s">
        <v>43188</v>
      </c>
      <c r="N11396" t="s">
        <v>45095</v>
      </c>
      <c r="O11396" t="s">
        <v>45096</v>
      </c>
      <c r="P11396">
        <v>0</v>
      </c>
      <c r="Q11396">
        <v>0</v>
      </c>
      <c r="R11396" t="s">
        <v>45109</v>
      </c>
      <c r="S11396" t="s">
        <v>45478</v>
      </c>
      <c r="T11396" t="s">
        <v>46988</v>
      </c>
      <c r="U11396" t="s">
        <v>56819</v>
      </c>
      <c r="W11396" t="s">
        <v>43188</v>
      </c>
      <c r="X11396" t="s">
        <v>45110</v>
      </c>
    </row>
    <row r="11397" spans="1:24">
      <c r="A11397">
        <f>HYPERLINK("https://www.philgeps.gov.ph/GEPSNONPILOT/Tender/SplashBidNoticeAbstractUI.aspx?menuIndex=3&amp;refID=7026417&amp;Result=3","7026417")</f>
        <v>0</v>
      </c>
      <c r="B11397" t="s">
        <v>2827</v>
      </c>
      <c r="C11397" t="s">
        <v>14072</v>
      </c>
      <c r="D11397" t="s">
        <v>18022</v>
      </c>
      <c r="E11397" t="s">
        <v>27980</v>
      </c>
      <c r="F11397" t="s">
        <v>31574</v>
      </c>
      <c r="G11397" t="s">
        <v>31582</v>
      </c>
      <c r="H11397" t="s">
        <v>31590</v>
      </c>
      <c r="I11397" t="s">
        <v>31615</v>
      </c>
      <c r="J11397" t="s">
        <v>35794</v>
      </c>
      <c r="K11397" t="s">
        <v>41184</v>
      </c>
      <c r="M11397" t="s">
        <v>44605</v>
      </c>
      <c r="N11397" t="s">
        <v>45095</v>
      </c>
      <c r="O11397" t="s">
        <v>45096</v>
      </c>
      <c r="P11397">
        <v>0</v>
      </c>
      <c r="Q11397">
        <v>6</v>
      </c>
      <c r="R11397" t="s">
        <v>45109</v>
      </c>
      <c r="S11397" t="s">
        <v>45478</v>
      </c>
      <c r="T11397" t="s">
        <v>46905</v>
      </c>
      <c r="U11397" t="s">
        <v>56820</v>
      </c>
      <c r="W11397" t="s">
        <v>44605</v>
      </c>
      <c r="X11397" t="s">
        <v>45110</v>
      </c>
    </row>
    <row r="11398" spans="1:24">
      <c r="A11398">
        <f>HYPERLINK("https://www.philgeps.gov.ph/GEPSNONPILOT/Tender/SplashBidNoticeAbstractUI.aspx?menuIndex=3&amp;refID=7026429&amp;Result=3","7026429")</f>
        <v>0</v>
      </c>
      <c r="B11398" t="s">
        <v>2837</v>
      </c>
      <c r="C11398" t="s">
        <v>14073</v>
      </c>
      <c r="D11398" t="s">
        <v>18065</v>
      </c>
      <c r="E11398" t="s">
        <v>27981</v>
      </c>
      <c r="F11398" t="s">
        <v>31574</v>
      </c>
      <c r="G11398" t="s">
        <v>31582</v>
      </c>
      <c r="H11398" t="s">
        <v>31591</v>
      </c>
      <c r="I11398" t="s">
        <v>8822</v>
      </c>
      <c r="J11398" t="s">
        <v>34071</v>
      </c>
      <c r="K11398" t="s">
        <v>41184</v>
      </c>
      <c r="L11398" t="s">
        <v>2837</v>
      </c>
      <c r="M11398" t="s">
        <v>44618</v>
      </c>
      <c r="N11398" t="s">
        <v>45095</v>
      </c>
      <c r="O11398" t="s">
        <v>45096</v>
      </c>
      <c r="P11398">
        <v>0</v>
      </c>
      <c r="Q11398">
        <v>1</v>
      </c>
      <c r="R11398" t="s">
        <v>45109</v>
      </c>
      <c r="S11398" t="s">
        <v>45478</v>
      </c>
      <c r="T11398" t="s">
        <v>46966</v>
      </c>
      <c r="U11398" t="s">
        <v>56787</v>
      </c>
      <c r="V11398" t="s">
        <v>61054</v>
      </c>
      <c r="W11398" t="s">
        <v>44618</v>
      </c>
      <c r="X11398" t="s">
        <v>45110</v>
      </c>
    </row>
    <row r="11399" spans="1:24">
      <c r="A11399">
        <f>HYPERLINK("https://www.philgeps.gov.ph/GEPSNONPILOT/Tender/SplashBidNoticeAbstractUI.aspx?menuIndex=3&amp;refID=7026484&amp;Result=3","7026484")</f>
        <v>0</v>
      </c>
      <c r="B11399" t="s">
        <v>1116</v>
      </c>
      <c r="C11399" t="s">
        <v>3557</v>
      </c>
      <c r="D11399" t="s">
        <v>18095</v>
      </c>
      <c r="E11399" t="s">
        <v>27982</v>
      </c>
      <c r="F11399" t="s">
        <v>31574</v>
      </c>
      <c r="G11399" t="s">
        <v>31582</v>
      </c>
      <c r="H11399" t="s">
        <v>31590</v>
      </c>
      <c r="I11399" t="s">
        <v>4046</v>
      </c>
      <c r="J11399" t="s">
        <v>38824</v>
      </c>
      <c r="K11399" t="s">
        <v>41184</v>
      </c>
      <c r="M11399" t="s">
        <v>42665</v>
      </c>
      <c r="N11399" t="s">
        <v>45095</v>
      </c>
      <c r="O11399" t="s">
        <v>45096</v>
      </c>
      <c r="P11399">
        <v>0</v>
      </c>
      <c r="Q11399">
        <v>1</v>
      </c>
      <c r="R11399" t="s">
        <v>45109</v>
      </c>
      <c r="S11399" t="s">
        <v>45478</v>
      </c>
      <c r="T11399" t="s">
        <v>46977</v>
      </c>
      <c r="U11399" t="s">
        <v>56821</v>
      </c>
      <c r="V11399" t="s">
        <v>61058</v>
      </c>
      <c r="W11399" t="s">
        <v>42665</v>
      </c>
      <c r="X11399" t="s">
        <v>45110</v>
      </c>
    </row>
    <row r="11400" spans="1:24">
      <c r="A11400">
        <f>HYPERLINK("https://www.philgeps.gov.ph/GEPSNONPILOT/Tender/SplashBidNoticeAbstractUI.aspx?menuIndex=3&amp;refID=7026426&amp;Result=3","7026426")</f>
        <v>0</v>
      </c>
      <c r="B11400" t="s">
        <v>2840</v>
      </c>
      <c r="C11400" t="s">
        <v>14074</v>
      </c>
      <c r="D11400" t="s">
        <v>18041</v>
      </c>
      <c r="E11400" t="s">
        <v>27983</v>
      </c>
      <c r="F11400" t="s">
        <v>31574</v>
      </c>
      <c r="G11400" t="s">
        <v>31582</v>
      </c>
      <c r="H11400" t="s">
        <v>31590</v>
      </c>
      <c r="I11400" t="s">
        <v>31615</v>
      </c>
      <c r="J11400" t="s">
        <v>31781</v>
      </c>
      <c r="K11400" t="s">
        <v>41192</v>
      </c>
      <c r="M11400" t="s">
        <v>44623</v>
      </c>
      <c r="N11400" t="s">
        <v>45095</v>
      </c>
      <c r="O11400" t="s">
        <v>45096</v>
      </c>
      <c r="P11400">
        <v>0</v>
      </c>
      <c r="Q11400">
        <v>6</v>
      </c>
      <c r="R11400" t="s">
        <v>45109</v>
      </c>
      <c r="S11400" t="s">
        <v>45478</v>
      </c>
      <c r="T11400" t="s">
        <v>47111</v>
      </c>
      <c r="U11400" t="s">
        <v>56822</v>
      </c>
      <c r="W11400" t="s">
        <v>44623</v>
      </c>
      <c r="X11400" t="s">
        <v>45110</v>
      </c>
    </row>
    <row r="11401" spans="1:24">
      <c r="A11401">
        <f>HYPERLINK("https://www.philgeps.gov.ph/GEPSNONPILOT/Tender/SplashBidNoticeAbstractUI.aspx?menuIndex=3&amp;refID=7026512&amp;Result=3","7026512")</f>
        <v>0</v>
      </c>
      <c r="B11401" t="s">
        <v>1674</v>
      </c>
      <c r="C11401" t="s">
        <v>14075</v>
      </c>
      <c r="D11401" t="s">
        <v>18037</v>
      </c>
      <c r="E11401" t="s">
        <v>27984</v>
      </c>
      <c r="F11401" t="s">
        <v>31574</v>
      </c>
      <c r="G11401" t="s">
        <v>31582</v>
      </c>
      <c r="H11401" t="s">
        <v>31590</v>
      </c>
      <c r="I11401" t="s">
        <v>4046</v>
      </c>
      <c r="J11401" t="s">
        <v>38825</v>
      </c>
      <c r="K11401" t="s">
        <v>41196</v>
      </c>
      <c r="M11401" t="s">
        <v>43287</v>
      </c>
      <c r="N11401" t="s">
        <v>45095</v>
      </c>
      <c r="O11401" t="s">
        <v>45096</v>
      </c>
      <c r="P11401">
        <v>0</v>
      </c>
      <c r="Q11401">
        <v>5</v>
      </c>
      <c r="R11401" t="s">
        <v>45109</v>
      </c>
      <c r="S11401" t="s">
        <v>45478</v>
      </c>
      <c r="T11401" t="s">
        <v>46988</v>
      </c>
      <c r="U11401" t="s">
        <v>56823</v>
      </c>
      <c r="W11401" t="s">
        <v>43287</v>
      </c>
      <c r="X11401" t="s">
        <v>45110</v>
      </c>
    </row>
    <row r="11402" spans="1:24">
      <c r="A11402">
        <f>HYPERLINK("https://www.philgeps.gov.ph/GEPSNONPILOT/Tender/SplashBidNoticeAbstractUI.aspx?menuIndex=3&amp;refID=7026495&amp;Result=3","7026495")</f>
        <v>0</v>
      </c>
      <c r="B11402" t="s">
        <v>227</v>
      </c>
      <c r="C11402" t="s">
        <v>14076</v>
      </c>
      <c r="E11402" t="s">
        <v>27985</v>
      </c>
      <c r="F11402" t="s">
        <v>31574</v>
      </c>
      <c r="G11402" t="s">
        <v>31582</v>
      </c>
      <c r="H11402" t="s">
        <v>31590</v>
      </c>
      <c r="I11402" t="s">
        <v>6800</v>
      </c>
      <c r="J11402" t="s">
        <v>38826</v>
      </c>
      <c r="K11402" t="s">
        <v>41186</v>
      </c>
      <c r="M11402" t="s">
        <v>43462</v>
      </c>
      <c r="N11402" t="s">
        <v>45095</v>
      </c>
      <c r="O11402" t="s">
        <v>45096</v>
      </c>
      <c r="P11402">
        <v>0</v>
      </c>
      <c r="Q11402">
        <v>3</v>
      </c>
      <c r="R11402" t="s">
        <v>45109</v>
      </c>
      <c r="S11402" t="s">
        <v>45478</v>
      </c>
      <c r="T11402" t="s">
        <v>46937</v>
      </c>
      <c r="U11402" t="s">
        <v>56824</v>
      </c>
      <c r="W11402" t="s">
        <v>43462</v>
      </c>
      <c r="X11402" t="s">
        <v>45110</v>
      </c>
    </row>
    <row r="11403" spans="1:24">
      <c r="A11403">
        <f>HYPERLINK("https://www.philgeps.gov.ph/GEPSNONPILOT/Tender/SplashBidNoticeAbstractUI.aspx?menuIndex=3&amp;refID=7026497&amp;Result=3","7026497")</f>
        <v>0</v>
      </c>
      <c r="B11403" t="s">
        <v>129</v>
      </c>
      <c r="C11403" t="s">
        <v>14077</v>
      </c>
      <c r="E11403" t="s">
        <v>27986</v>
      </c>
      <c r="F11403" t="s">
        <v>31574</v>
      </c>
      <c r="G11403" t="s">
        <v>31582</v>
      </c>
      <c r="H11403" t="s">
        <v>31590</v>
      </c>
      <c r="I11403" t="s">
        <v>31623</v>
      </c>
      <c r="J11403" t="s">
        <v>32405</v>
      </c>
      <c r="K11403" t="s">
        <v>41193</v>
      </c>
      <c r="M11403" t="s">
        <v>41613</v>
      </c>
      <c r="N11403" t="s">
        <v>45095</v>
      </c>
      <c r="O11403" t="s">
        <v>45096</v>
      </c>
      <c r="P11403">
        <v>0</v>
      </c>
      <c r="Q11403">
        <v>6</v>
      </c>
      <c r="R11403" t="s">
        <v>45109</v>
      </c>
      <c r="S11403" t="s">
        <v>45478</v>
      </c>
      <c r="T11403" t="s">
        <v>47394</v>
      </c>
      <c r="U11403" t="s">
        <v>56825</v>
      </c>
      <c r="W11403" t="s">
        <v>41613</v>
      </c>
      <c r="X11403" t="s">
        <v>45110</v>
      </c>
    </row>
    <row r="11404" spans="1:24">
      <c r="A11404">
        <f>HYPERLINK("https://www.philgeps.gov.ph/GEPSNONPILOT/Tender/SplashBidNoticeAbstractUI.aspx?menuIndex=3&amp;refID=7026505&amp;Result=3","7026505")</f>
        <v>0</v>
      </c>
      <c r="B11404" t="s">
        <v>390</v>
      </c>
      <c r="C11404" t="s">
        <v>14078</v>
      </c>
      <c r="E11404" t="s">
        <v>27987</v>
      </c>
      <c r="F11404" t="s">
        <v>31574</v>
      </c>
      <c r="G11404" t="s">
        <v>31582</v>
      </c>
      <c r="H11404" t="s">
        <v>31590</v>
      </c>
      <c r="I11404" t="s">
        <v>8822</v>
      </c>
      <c r="J11404" t="s">
        <v>31947</v>
      </c>
      <c r="K11404" t="s">
        <v>41184</v>
      </c>
      <c r="M11404" t="s">
        <v>41881</v>
      </c>
      <c r="N11404" t="s">
        <v>45095</v>
      </c>
      <c r="O11404" t="s">
        <v>45096</v>
      </c>
      <c r="P11404">
        <v>0</v>
      </c>
      <c r="Q11404">
        <v>0</v>
      </c>
      <c r="R11404" t="s">
        <v>45109</v>
      </c>
      <c r="S11404" t="s">
        <v>45478</v>
      </c>
      <c r="T11404" t="s">
        <v>46937</v>
      </c>
      <c r="U11404" t="s">
        <v>48248</v>
      </c>
      <c r="W11404" t="s">
        <v>41881</v>
      </c>
      <c r="X11404" t="s">
        <v>45110</v>
      </c>
    </row>
    <row r="11405" spans="1:24">
      <c r="A11405">
        <f>HYPERLINK("https://www.philgeps.gov.ph/GEPSNONPILOT/Tender/SplashBidNoticeAbstractUI.aspx?menuIndex=3&amp;refID=7026492&amp;Result=3","7026492")</f>
        <v>0</v>
      </c>
      <c r="B11405" t="s">
        <v>2841</v>
      </c>
      <c r="C11405" t="s">
        <v>14079</v>
      </c>
      <c r="D11405" t="s">
        <v>18078</v>
      </c>
      <c r="E11405" t="s">
        <v>27988</v>
      </c>
      <c r="F11405" t="s">
        <v>31574</v>
      </c>
      <c r="G11405" t="s">
        <v>31582</v>
      </c>
      <c r="H11405" t="s">
        <v>31591</v>
      </c>
      <c r="I11405" t="s">
        <v>8822</v>
      </c>
      <c r="J11405" t="s">
        <v>38827</v>
      </c>
      <c r="K11405" t="s">
        <v>41293</v>
      </c>
      <c r="M11405" t="s">
        <v>44624</v>
      </c>
      <c r="N11405" t="s">
        <v>45095</v>
      </c>
      <c r="O11405" t="s">
        <v>45096</v>
      </c>
      <c r="P11405">
        <v>0</v>
      </c>
      <c r="Q11405">
        <v>0</v>
      </c>
      <c r="R11405" t="s">
        <v>45109</v>
      </c>
      <c r="S11405" t="s">
        <v>45478</v>
      </c>
      <c r="T11405" t="s">
        <v>46977</v>
      </c>
      <c r="U11405" t="s">
        <v>56826</v>
      </c>
      <c r="W11405" t="s">
        <v>44624</v>
      </c>
      <c r="X11405" t="s">
        <v>45110</v>
      </c>
    </row>
    <row r="11406" spans="1:24">
      <c r="A11406">
        <f>HYPERLINK("https://www.philgeps.gov.ph/GEPSNONPILOT/Tender/SplashBidNoticeAbstractUI.aspx?menuIndex=3&amp;refID=7026418&amp;Result=3","7026418")</f>
        <v>0</v>
      </c>
      <c r="B11406" t="s">
        <v>2842</v>
      </c>
      <c r="C11406" t="s">
        <v>14080</v>
      </c>
      <c r="D11406" t="s">
        <v>18068</v>
      </c>
      <c r="E11406" t="s">
        <v>27989</v>
      </c>
      <c r="F11406" t="s">
        <v>31574</v>
      </c>
      <c r="G11406" t="s">
        <v>31581</v>
      </c>
      <c r="H11406" t="s">
        <v>31590</v>
      </c>
      <c r="I11406" t="s">
        <v>3520</v>
      </c>
      <c r="J11406" t="s">
        <v>38828</v>
      </c>
      <c r="K11406" t="s">
        <v>41193</v>
      </c>
      <c r="M11406" t="s">
        <v>44625</v>
      </c>
      <c r="N11406" t="s">
        <v>45095</v>
      </c>
      <c r="O11406" t="s">
        <v>45096</v>
      </c>
      <c r="Q11406">
        <v>1</v>
      </c>
      <c r="R11406" t="s">
        <v>45109</v>
      </c>
      <c r="S11406" t="s">
        <v>45552</v>
      </c>
      <c r="T11406" t="s">
        <v>47077</v>
      </c>
      <c r="U11406" t="s">
        <v>56827</v>
      </c>
      <c r="W11406" t="s">
        <v>44625</v>
      </c>
      <c r="X11406" t="s">
        <v>45110</v>
      </c>
    </row>
    <row r="11407" spans="1:24">
      <c r="A11407">
        <f>HYPERLINK("https://www.philgeps.gov.ph/GEPSNONPILOT/Tender/SplashBidNoticeAbstractUI.aspx?menuIndex=3&amp;refID=7026488&amp;Result=3","7026488")</f>
        <v>0</v>
      </c>
      <c r="B11407" t="s">
        <v>2836</v>
      </c>
      <c r="C11407" t="s">
        <v>14081</v>
      </c>
      <c r="D11407" t="s">
        <v>18056</v>
      </c>
      <c r="E11407" t="s">
        <v>27990</v>
      </c>
      <c r="F11407" t="s">
        <v>31574</v>
      </c>
      <c r="G11407" t="s">
        <v>31582</v>
      </c>
      <c r="H11407" t="s">
        <v>31591</v>
      </c>
      <c r="I11407" t="s">
        <v>8822</v>
      </c>
      <c r="J11407" t="s">
        <v>38829</v>
      </c>
      <c r="K11407" t="s">
        <v>41243</v>
      </c>
      <c r="M11407" t="s">
        <v>44616</v>
      </c>
      <c r="N11407" t="s">
        <v>45095</v>
      </c>
      <c r="O11407" t="s">
        <v>45096</v>
      </c>
      <c r="P11407">
        <v>0</v>
      </c>
      <c r="Q11407">
        <v>0</v>
      </c>
      <c r="R11407" t="s">
        <v>45109</v>
      </c>
      <c r="S11407" t="s">
        <v>45478</v>
      </c>
      <c r="T11407" t="s">
        <v>46920</v>
      </c>
      <c r="U11407" t="s">
        <v>56828</v>
      </c>
      <c r="V11407" t="s">
        <v>59973</v>
      </c>
      <c r="W11407" t="s">
        <v>44616</v>
      </c>
      <c r="X11407" t="s">
        <v>45110</v>
      </c>
    </row>
    <row r="11408" spans="1:24">
      <c r="A11408">
        <f>HYPERLINK("https://www.philgeps.gov.ph/GEPSNONPILOT/Tender/SplashBidNoticeAbstractUI.aspx?menuIndex=3&amp;refID=7026547&amp;Result=3","7026547")</f>
        <v>0</v>
      </c>
      <c r="B11408" t="s">
        <v>1822</v>
      </c>
      <c r="C11408" t="s">
        <v>14082</v>
      </c>
      <c r="D11408" t="s">
        <v>18099</v>
      </c>
      <c r="E11408" t="s">
        <v>18137</v>
      </c>
      <c r="F11408" t="s">
        <v>31574</v>
      </c>
      <c r="G11408" t="s">
        <v>31582</v>
      </c>
      <c r="H11408" t="s">
        <v>31590</v>
      </c>
      <c r="I11408" t="s">
        <v>7185</v>
      </c>
      <c r="J11408" t="s">
        <v>38830</v>
      </c>
      <c r="K11408" t="s">
        <v>41196</v>
      </c>
      <c r="M11408" t="s">
        <v>43457</v>
      </c>
      <c r="N11408" t="s">
        <v>45095</v>
      </c>
      <c r="O11408" t="s">
        <v>45096</v>
      </c>
      <c r="P11408">
        <v>0</v>
      </c>
      <c r="Q11408">
        <v>0</v>
      </c>
      <c r="R11408" t="s">
        <v>45109</v>
      </c>
      <c r="S11408" t="s">
        <v>45478</v>
      </c>
      <c r="T11408" t="s">
        <v>47076</v>
      </c>
      <c r="U11408" t="s">
        <v>56829</v>
      </c>
      <c r="W11408" t="s">
        <v>43457</v>
      </c>
      <c r="X11408" t="s">
        <v>45110</v>
      </c>
    </row>
    <row r="11409" spans="1:24">
      <c r="A11409">
        <f>HYPERLINK("https://www.philgeps.gov.ph/GEPSNONPILOT/Tender/SplashBidNoticeAbstractUI.aspx?menuIndex=3&amp;refID=7026533&amp;Result=3","7026533")</f>
        <v>0</v>
      </c>
      <c r="B11409" t="s">
        <v>2843</v>
      </c>
      <c r="C11409" t="s">
        <v>14083</v>
      </c>
      <c r="E11409" t="s">
        <v>27991</v>
      </c>
      <c r="F11409" t="s">
        <v>31574</v>
      </c>
      <c r="G11409" t="s">
        <v>31582</v>
      </c>
      <c r="H11409" t="s">
        <v>31590</v>
      </c>
      <c r="I11409" t="s">
        <v>31620</v>
      </c>
      <c r="J11409" t="s">
        <v>31819</v>
      </c>
      <c r="K11409" t="s">
        <v>41184</v>
      </c>
      <c r="M11409" t="s">
        <v>44626</v>
      </c>
      <c r="N11409" t="s">
        <v>45095</v>
      </c>
      <c r="O11409" t="s">
        <v>45096</v>
      </c>
      <c r="Q11409">
        <v>15</v>
      </c>
      <c r="R11409" t="s">
        <v>45109</v>
      </c>
      <c r="S11409" t="s">
        <v>45553</v>
      </c>
      <c r="T11409" t="s">
        <v>47010</v>
      </c>
      <c r="U11409" t="s">
        <v>56830</v>
      </c>
      <c r="W11409" t="s">
        <v>44626</v>
      </c>
      <c r="X11409" t="s">
        <v>45110</v>
      </c>
    </row>
    <row r="11410" spans="1:24">
      <c r="A11410">
        <f>HYPERLINK("https://www.philgeps.gov.ph/GEPSNONPILOT/Tender/SplashBidNoticeAbstractUI.aspx?menuIndex=3&amp;refID=7026500&amp;Result=3","7026500")</f>
        <v>0</v>
      </c>
      <c r="B11410" t="s">
        <v>829</v>
      </c>
      <c r="C11410" t="s">
        <v>14084</v>
      </c>
      <c r="D11410" t="s">
        <v>18022</v>
      </c>
      <c r="E11410" t="s">
        <v>27300</v>
      </c>
      <c r="F11410" t="s">
        <v>31574</v>
      </c>
      <c r="G11410" t="s">
        <v>31582</v>
      </c>
      <c r="H11410" t="s">
        <v>31590</v>
      </c>
      <c r="I11410" t="s">
        <v>31620</v>
      </c>
      <c r="J11410" t="s">
        <v>38831</v>
      </c>
      <c r="K11410" t="s">
        <v>41189</v>
      </c>
      <c r="M11410" t="s">
        <v>42348</v>
      </c>
      <c r="N11410" t="s">
        <v>45095</v>
      </c>
      <c r="O11410" t="s">
        <v>45096</v>
      </c>
      <c r="P11410">
        <v>0</v>
      </c>
      <c r="Q11410">
        <v>31</v>
      </c>
      <c r="R11410" t="s">
        <v>45109</v>
      </c>
      <c r="S11410" t="s">
        <v>45478</v>
      </c>
      <c r="T11410" t="s">
        <v>47118</v>
      </c>
      <c r="U11410" t="s">
        <v>56831</v>
      </c>
      <c r="W11410" t="s">
        <v>42348</v>
      </c>
      <c r="X11410" t="s">
        <v>45110</v>
      </c>
    </row>
    <row r="11411" spans="1:24">
      <c r="A11411">
        <f>HYPERLINK("https://www.philgeps.gov.ph/GEPSNONPILOT/Tender/SplashBidNoticeAbstractUI.aspx?menuIndex=3&amp;refID=7026454&amp;Result=3","7026454")</f>
        <v>0</v>
      </c>
      <c r="B11411" t="s">
        <v>829</v>
      </c>
      <c r="C11411" t="s">
        <v>14085</v>
      </c>
      <c r="D11411" t="s">
        <v>18022</v>
      </c>
      <c r="E11411" t="s">
        <v>27298</v>
      </c>
      <c r="F11411" t="s">
        <v>31574</v>
      </c>
      <c r="G11411" t="s">
        <v>31582</v>
      </c>
      <c r="H11411" t="s">
        <v>31590</v>
      </c>
      <c r="I11411" t="s">
        <v>31620</v>
      </c>
      <c r="J11411" t="s">
        <v>34357</v>
      </c>
      <c r="K11411" t="s">
        <v>41189</v>
      </c>
      <c r="M11411" t="s">
        <v>42348</v>
      </c>
      <c r="N11411" t="s">
        <v>45095</v>
      </c>
      <c r="O11411" t="s">
        <v>45096</v>
      </c>
      <c r="P11411">
        <v>0</v>
      </c>
      <c r="Q11411">
        <v>19</v>
      </c>
      <c r="R11411" t="s">
        <v>45109</v>
      </c>
      <c r="S11411" t="s">
        <v>45478</v>
      </c>
      <c r="T11411" t="s">
        <v>46922</v>
      </c>
      <c r="U11411" t="s">
        <v>56832</v>
      </c>
      <c r="W11411" t="s">
        <v>42348</v>
      </c>
      <c r="X11411" t="s">
        <v>45110</v>
      </c>
    </row>
    <row r="11412" spans="1:24">
      <c r="A11412">
        <f>HYPERLINK("https://www.philgeps.gov.ph/GEPSNONPILOT/Tender/SplashBidNoticeAbstractUI.aspx?menuIndex=3&amp;refID=7026525&amp;Result=3","7026525")</f>
        <v>0</v>
      </c>
      <c r="B11412" t="s">
        <v>1584</v>
      </c>
      <c r="C11412" t="s">
        <v>14086</v>
      </c>
      <c r="D11412" t="s">
        <v>18079</v>
      </c>
      <c r="E11412" t="s">
        <v>27992</v>
      </c>
      <c r="F11412" t="s">
        <v>31574</v>
      </c>
      <c r="G11412" t="s">
        <v>31582</v>
      </c>
      <c r="H11412" t="s">
        <v>31591</v>
      </c>
      <c r="I11412" t="s">
        <v>8822</v>
      </c>
      <c r="J11412" t="s">
        <v>32101</v>
      </c>
      <c r="K11412" t="s">
        <v>41189</v>
      </c>
      <c r="M11412" t="s">
        <v>43188</v>
      </c>
      <c r="N11412" t="s">
        <v>45095</v>
      </c>
      <c r="O11412" t="s">
        <v>45096</v>
      </c>
      <c r="P11412">
        <v>0</v>
      </c>
      <c r="Q11412">
        <v>1</v>
      </c>
      <c r="R11412" t="s">
        <v>45109</v>
      </c>
      <c r="S11412" t="s">
        <v>45478</v>
      </c>
      <c r="T11412" t="s">
        <v>46988</v>
      </c>
      <c r="U11412" t="s">
        <v>56833</v>
      </c>
      <c r="W11412" t="s">
        <v>43188</v>
      </c>
      <c r="X11412" t="s">
        <v>45110</v>
      </c>
    </row>
    <row r="11413" spans="1:24">
      <c r="A11413">
        <f>HYPERLINK("https://www.philgeps.gov.ph/GEPSNONPILOT/Tender/SplashBidNoticeAbstractUI.aspx?menuIndex=3&amp;refID=7026523&amp;Result=3","7026523")</f>
        <v>0</v>
      </c>
      <c r="B11413" t="s">
        <v>2314</v>
      </c>
      <c r="C11413" t="s">
        <v>14087</v>
      </c>
      <c r="D11413" t="s">
        <v>18044</v>
      </c>
      <c r="E11413" t="s">
        <v>27993</v>
      </c>
      <c r="F11413" t="s">
        <v>31574</v>
      </c>
      <c r="G11413" t="s">
        <v>31582</v>
      </c>
      <c r="H11413" t="s">
        <v>31591</v>
      </c>
      <c r="I11413" t="s">
        <v>8822</v>
      </c>
      <c r="J11413" t="s">
        <v>34070</v>
      </c>
      <c r="K11413" t="s">
        <v>41431</v>
      </c>
      <c r="M11413" t="s">
        <v>44024</v>
      </c>
      <c r="N11413" t="s">
        <v>45095</v>
      </c>
      <c r="O11413" t="s">
        <v>45096</v>
      </c>
      <c r="P11413">
        <v>0</v>
      </c>
      <c r="Q11413">
        <v>11</v>
      </c>
      <c r="R11413" t="s">
        <v>45109</v>
      </c>
      <c r="S11413" t="s">
        <v>45478</v>
      </c>
      <c r="T11413" t="s">
        <v>46933</v>
      </c>
      <c r="U11413" t="s">
        <v>56834</v>
      </c>
      <c r="W11413" t="s">
        <v>44024</v>
      </c>
      <c r="X11413" t="s">
        <v>45110</v>
      </c>
    </row>
    <row r="11414" spans="1:24">
      <c r="A11414">
        <f>HYPERLINK("https://www.philgeps.gov.ph/GEPSNONPILOT/Tender/SplashBidNoticeAbstractUI.aspx?menuIndex=3&amp;refID=7026521&amp;Result=3","7026521")</f>
        <v>0</v>
      </c>
      <c r="B11414" t="s">
        <v>2844</v>
      </c>
      <c r="C11414" t="s">
        <v>14088</v>
      </c>
      <c r="D11414" t="s">
        <v>18044</v>
      </c>
      <c r="E11414" t="s">
        <v>27994</v>
      </c>
      <c r="F11414" t="s">
        <v>31574</v>
      </c>
      <c r="G11414" t="s">
        <v>31582</v>
      </c>
      <c r="H11414" t="s">
        <v>31591</v>
      </c>
      <c r="I11414" t="s">
        <v>8822</v>
      </c>
      <c r="J11414" t="s">
        <v>38832</v>
      </c>
      <c r="K11414" t="s">
        <v>41189</v>
      </c>
      <c r="M11414" t="s">
        <v>44627</v>
      </c>
      <c r="N11414" t="s">
        <v>45095</v>
      </c>
      <c r="O11414" t="s">
        <v>45096</v>
      </c>
      <c r="Q11414">
        <v>11</v>
      </c>
      <c r="R11414" t="s">
        <v>45109</v>
      </c>
      <c r="S11414" t="s">
        <v>45554</v>
      </c>
      <c r="T11414" t="s">
        <v>46926</v>
      </c>
      <c r="U11414" t="s">
        <v>56835</v>
      </c>
      <c r="W11414" t="s">
        <v>44627</v>
      </c>
      <c r="X11414" t="s">
        <v>45110</v>
      </c>
    </row>
    <row r="11415" spans="1:24">
      <c r="A11415">
        <f>HYPERLINK("https://www.philgeps.gov.ph/GEPSNONPILOT/Tender/SplashBidNoticeAbstractUI.aspx?menuIndex=3&amp;refID=7026487&amp;Result=3","7026487")</f>
        <v>0</v>
      </c>
      <c r="B11415" t="s">
        <v>1674</v>
      </c>
      <c r="C11415" t="s">
        <v>14089</v>
      </c>
      <c r="D11415" t="s">
        <v>18037</v>
      </c>
      <c r="E11415" t="s">
        <v>27995</v>
      </c>
      <c r="F11415" t="s">
        <v>31574</v>
      </c>
      <c r="G11415" t="s">
        <v>31582</v>
      </c>
      <c r="H11415" t="s">
        <v>31590</v>
      </c>
      <c r="I11415" t="s">
        <v>4327</v>
      </c>
      <c r="J11415" t="s">
        <v>31947</v>
      </c>
      <c r="K11415" t="s">
        <v>41196</v>
      </c>
      <c r="M11415" t="s">
        <v>43287</v>
      </c>
      <c r="N11415" t="s">
        <v>45095</v>
      </c>
      <c r="O11415" t="s">
        <v>45096</v>
      </c>
      <c r="P11415">
        <v>0</v>
      </c>
      <c r="Q11415">
        <v>6</v>
      </c>
      <c r="R11415" t="s">
        <v>45109</v>
      </c>
      <c r="S11415" t="s">
        <v>45478</v>
      </c>
      <c r="T11415" t="s">
        <v>46988</v>
      </c>
      <c r="U11415" t="s">
        <v>56836</v>
      </c>
      <c r="W11415" t="s">
        <v>43287</v>
      </c>
      <c r="X11415" t="s">
        <v>45110</v>
      </c>
    </row>
    <row r="11416" spans="1:24">
      <c r="A11416">
        <f>HYPERLINK("https://www.philgeps.gov.ph/GEPSNONPILOT/Tender/SplashBidNoticeAbstractUI.aspx?menuIndex=3&amp;refID=7026539&amp;Result=3","7026539")</f>
        <v>0</v>
      </c>
      <c r="B11416" t="s">
        <v>1926</v>
      </c>
      <c r="C11416" t="s">
        <v>14090</v>
      </c>
      <c r="D11416" t="s">
        <v>18099</v>
      </c>
      <c r="E11416" t="s">
        <v>27996</v>
      </c>
      <c r="F11416" t="s">
        <v>31574</v>
      </c>
      <c r="G11416" t="s">
        <v>31582</v>
      </c>
      <c r="H11416" t="s">
        <v>31591</v>
      </c>
      <c r="I11416" t="s">
        <v>8822</v>
      </c>
      <c r="J11416" t="s">
        <v>38833</v>
      </c>
      <c r="K11416" t="s">
        <v>41189</v>
      </c>
      <c r="M11416" t="s">
        <v>43578</v>
      </c>
      <c r="N11416" t="s">
        <v>45095</v>
      </c>
      <c r="O11416" t="s">
        <v>45096</v>
      </c>
      <c r="Q11416">
        <v>0</v>
      </c>
      <c r="R11416" t="s">
        <v>45109</v>
      </c>
      <c r="S11416" t="s">
        <v>45381</v>
      </c>
      <c r="T11416" t="s">
        <v>46926</v>
      </c>
      <c r="U11416" t="s">
        <v>56837</v>
      </c>
      <c r="V11416" t="s">
        <v>60507</v>
      </c>
      <c r="W11416" t="s">
        <v>43578</v>
      </c>
      <c r="X11416" t="s">
        <v>45110</v>
      </c>
    </row>
    <row r="11417" spans="1:24">
      <c r="A11417">
        <f>HYPERLINK("https://www.philgeps.gov.ph/GEPSNONPILOT/Tender/SplashBidNoticeAbstractUI.aspx?menuIndex=3&amp;refID=7026537&amp;Result=3","7026537")</f>
        <v>0</v>
      </c>
      <c r="B11417" t="s">
        <v>2818</v>
      </c>
      <c r="C11417" t="s">
        <v>14091</v>
      </c>
      <c r="D11417" t="s">
        <v>18036</v>
      </c>
      <c r="E11417" t="s">
        <v>22090</v>
      </c>
      <c r="F11417" t="s">
        <v>31574</v>
      </c>
      <c r="G11417" t="s">
        <v>31582</v>
      </c>
      <c r="H11417" t="s">
        <v>31590</v>
      </c>
      <c r="I11417" t="s">
        <v>8258</v>
      </c>
      <c r="J11417" t="s">
        <v>38834</v>
      </c>
      <c r="K11417" t="s">
        <v>41193</v>
      </c>
      <c r="M11417" t="s">
        <v>44594</v>
      </c>
      <c r="N11417" t="s">
        <v>45095</v>
      </c>
      <c r="O11417" t="s">
        <v>45096</v>
      </c>
      <c r="P11417">
        <v>0</v>
      </c>
      <c r="Q11417">
        <v>1</v>
      </c>
      <c r="R11417" t="s">
        <v>45109</v>
      </c>
      <c r="S11417" t="s">
        <v>45478</v>
      </c>
      <c r="T11417" t="s">
        <v>47106</v>
      </c>
      <c r="U11417" t="s">
        <v>56838</v>
      </c>
      <c r="W11417" t="s">
        <v>44594</v>
      </c>
      <c r="X11417" t="s">
        <v>45110</v>
      </c>
    </row>
    <row r="11418" spans="1:24">
      <c r="A11418">
        <f>HYPERLINK("https://www.philgeps.gov.ph/GEPSNONPILOT/Tender/SplashBidNoticeAbstractUI.aspx?menuIndex=3&amp;refID=7026562&amp;Result=3","7026562")</f>
        <v>0</v>
      </c>
      <c r="B11418" t="s">
        <v>2840</v>
      </c>
      <c r="C11418" t="s">
        <v>14092</v>
      </c>
      <c r="D11418" t="s">
        <v>18041</v>
      </c>
      <c r="E11418" t="s">
        <v>27997</v>
      </c>
      <c r="F11418" t="s">
        <v>31574</v>
      </c>
      <c r="G11418" t="s">
        <v>31582</v>
      </c>
      <c r="H11418" t="s">
        <v>31591</v>
      </c>
      <c r="I11418" t="s">
        <v>8822</v>
      </c>
      <c r="J11418" t="s">
        <v>38835</v>
      </c>
      <c r="K11418" t="s">
        <v>41189</v>
      </c>
      <c r="M11418" t="s">
        <v>44623</v>
      </c>
      <c r="N11418" t="s">
        <v>45095</v>
      </c>
      <c r="O11418" t="s">
        <v>45096</v>
      </c>
      <c r="P11418">
        <v>0</v>
      </c>
      <c r="Q11418">
        <v>4</v>
      </c>
      <c r="R11418" t="s">
        <v>45109</v>
      </c>
      <c r="S11418" t="s">
        <v>45478</v>
      </c>
      <c r="T11418" t="s">
        <v>47111</v>
      </c>
      <c r="U11418" t="s">
        <v>56839</v>
      </c>
      <c r="W11418" t="s">
        <v>44623</v>
      </c>
      <c r="X11418" t="s">
        <v>45110</v>
      </c>
    </row>
    <row r="11419" spans="1:24">
      <c r="A11419">
        <f>HYPERLINK("https://www.philgeps.gov.ph/GEPSNONPILOT/Tender/SplashBidNoticeAbstractUI.aspx?menuIndex=3&amp;refID=7026515&amp;Result=3","7026515")</f>
        <v>0</v>
      </c>
      <c r="B11419" t="s">
        <v>1655</v>
      </c>
      <c r="C11419" t="s">
        <v>14067</v>
      </c>
      <c r="D11419" t="s">
        <v>18030</v>
      </c>
      <c r="E11419" t="s">
        <v>27998</v>
      </c>
      <c r="F11419" t="s">
        <v>31574</v>
      </c>
      <c r="G11419" t="s">
        <v>31582</v>
      </c>
      <c r="H11419" t="s">
        <v>31590</v>
      </c>
      <c r="I11419" t="s">
        <v>31615</v>
      </c>
      <c r="J11419" t="s">
        <v>38836</v>
      </c>
      <c r="K11419" t="s">
        <v>41186</v>
      </c>
      <c r="M11419" t="s">
        <v>44621</v>
      </c>
      <c r="N11419" t="s">
        <v>45095</v>
      </c>
      <c r="O11419" t="s">
        <v>45096</v>
      </c>
      <c r="P11419">
        <v>0</v>
      </c>
      <c r="Q11419">
        <v>11</v>
      </c>
      <c r="R11419" t="s">
        <v>45109</v>
      </c>
      <c r="S11419" t="s">
        <v>45478</v>
      </c>
      <c r="T11419" t="s">
        <v>47066</v>
      </c>
      <c r="U11419" t="s">
        <v>56840</v>
      </c>
      <c r="W11419" t="s">
        <v>44621</v>
      </c>
      <c r="X11419" t="s">
        <v>45110</v>
      </c>
    </row>
    <row r="11420" spans="1:24">
      <c r="A11420">
        <f>HYPERLINK("https://www.philgeps.gov.ph/GEPSNONPILOT/Tender/SplashBidNoticeAbstractUI.aspx?menuIndex=3&amp;refID=7026540&amp;Result=3","7026540")</f>
        <v>0</v>
      </c>
      <c r="B11420" t="s">
        <v>1674</v>
      </c>
      <c r="C11420" t="s">
        <v>14093</v>
      </c>
      <c r="D11420" t="s">
        <v>18037</v>
      </c>
      <c r="E11420" t="s">
        <v>19688</v>
      </c>
      <c r="F11420" t="s">
        <v>31574</v>
      </c>
      <c r="G11420" t="s">
        <v>31582</v>
      </c>
      <c r="H11420" t="s">
        <v>31590</v>
      </c>
      <c r="I11420" t="s">
        <v>4046</v>
      </c>
      <c r="J11420" t="s">
        <v>32375</v>
      </c>
      <c r="K11420" t="s">
        <v>41196</v>
      </c>
      <c r="M11420" t="s">
        <v>43287</v>
      </c>
      <c r="N11420" t="s">
        <v>45095</v>
      </c>
      <c r="O11420" t="s">
        <v>45096</v>
      </c>
      <c r="P11420">
        <v>0</v>
      </c>
      <c r="Q11420">
        <v>1</v>
      </c>
      <c r="R11420" t="s">
        <v>45109</v>
      </c>
      <c r="S11420" t="s">
        <v>45478</v>
      </c>
      <c r="T11420" t="s">
        <v>46988</v>
      </c>
      <c r="U11420" t="s">
        <v>56841</v>
      </c>
      <c r="W11420" t="s">
        <v>43287</v>
      </c>
      <c r="X11420" t="s">
        <v>45110</v>
      </c>
    </row>
    <row r="11421" spans="1:24">
      <c r="A11421">
        <f>HYPERLINK("https://www.philgeps.gov.ph/GEPSNONPILOT/Tender/SplashBidNoticeAbstractUI.aspx?menuIndex=3&amp;refID=7026519&amp;Result=3","7026519")</f>
        <v>0</v>
      </c>
      <c r="B11421" t="s">
        <v>2827</v>
      </c>
      <c r="C11421" t="s">
        <v>14094</v>
      </c>
      <c r="D11421" t="s">
        <v>18022</v>
      </c>
      <c r="E11421" t="s">
        <v>27999</v>
      </c>
      <c r="F11421" t="s">
        <v>31574</v>
      </c>
      <c r="G11421" t="s">
        <v>31582</v>
      </c>
      <c r="H11421" t="s">
        <v>31590</v>
      </c>
      <c r="I11421" t="s">
        <v>8258</v>
      </c>
      <c r="J11421" t="s">
        <v>38837</v>
      </c>
      <c r="K11421" t="s">
        <v>41184</v>
      </c>
      <c r="M11421" t="s">
        <v>44605</v>
      </c>
      <c r="N11421" t="s">
        <v>45095</v>
      </c>
      <c r="O11421" t="s">
        <v>45096</v>
      </c>
      <c r="P11421">
        <v>0</v>
      </c>
      <c r="Q11421">
        <v>4</v>
      </c>
      <c r="R11421" t="s">
        <v>45109</v>
      </c>
      <c r="S11421" t="s">
        <v>45478</v>
      </c>
      <c r="T11421" t="s">
        <v>46905</v>
      </c>
      <c r="U11421" t="s">
        <v>56842</v>
      </c>
      <c r="W11421" t="s">
        <v>44605</v>
      </c>
      <c r="X11421" t="s">
        <v>45110</v>
      </c>
    </row>
    <row r="11422" spans="1:24">
      <c r="A11422">
        <f>HYPERLINK("https://www.philgeps.gov.ph/GEPSNONPILOT/Tender/SplashBidNoticeAbstractUI.aspx?menuIndex=3&amp;refID=7026558&amp;Result=3","7026558")</f>
        <v>0</v>
      </c>
      <c r="B11422" t="s">
        <v>1774</v>
      </c>
      <c r="C11422" t="s">
        <v>14095</v>
      </c>
      <c r="D11422" t="s">
        <v>18087</v>
      </c>
      <c r="E11422" t="s">
        <v>28000</v>
      </c>
      <c r="F11422" t="s">
        <v>31574</v>
      </c>
      <c r="G11422" t="s">
        <v>31582</v>
      </c>
      <c r="H11422" t="s">
        <v>31591</v>
      </c>
      <c r="I11422" t="s">
        <v>8822</v>
      </c>
      <c r="J11422" t="s">
        <v>35362</v>
      </c>
      <c r="K11422" t="s">
        <v>41231</v>
      </c>
      <c r="M11422" t="s">
        <v>43404</v>
      </c>
      <c r="N11422" t="s">
        <v>45095</v>
      </c>
      <c r="O11422" t="s">
        <v>45096</v>
      </c>
      <c r="P11422">
        <v>0</v>
      </c>
      <c r="Q11422">
        <v>1</v>
      </c>
      <c r="R11422" t="s">
        <v>45109</v>
      </c>
      <c r="S11422" t="s">
        <v>45478</v>
      </c>
      <c r="T11422" t="s">
        <v>46930</v>
      </c>
      <c r="U11422" t="s">
        <v>56843</v>
      </c>
      <c r="W11422" t="s">
        <v>43404</v>
      </c>
      <c r="X11422" t="s">
        <v>45110</v>
      </c>
    </row>
    <row r="11423" spans="1:24">
      <c r="A11423">
        <f>HYPERLINK("https://www.philgeps.gov.ph/GEPSNONPILOT/Tender/SplashBidNoticeAbstractUI.aspx?menuIndex=3&amp;refID=7026563&amp;Result=3","7026563")</f>
        <v>0</v>
      </c>
      <c r="B11423" t="s">
        <v>2818</v>
      </c>
      <c r="C11423" t="s">
        <v>14096</v>
      </c>
      <c r="D11423" t="s">
        <v>18036</v>
      </c>
      <c r="E11423" t="s">
        <v>18724</v>
      </c>
      <c r="F11423" t="s">
        <v>31574</v>
      </c>
      <c r="G11423" t="s">
        <v>31582</v>
      </c>
      <c r="H11423" t="s">
        <v>31590</v>
      </c>
      <c r="I11423" t="s">
        <v>8258</v>
      </c>
      <c r="J11423" t="s">
        <v>38838</v>
      </c>
      <c r="K11423" t="s">
        <v>41193</v>
      </c>
      <c r="M11423" t="s">
        <v>44594</v>
      </c>
      <c r="N11423" t="s">
        <v>45095</v>
      </c>
      <c r="O11423" t="s">
        <v>45096</v>
      </c>
      <c r="P11423">
        <v>0</v>
      </c>
      <c r="Q11423">
        <v>2</v>
      </c>
      <c r="R11423" t="s">
        <v>45109</v>
      </c>
      <c r="S11423" t="s">
        <v>45478</v>
      </c>
      <c r="T11423" t="s">
        <v>47106</v>
      </c>
      <c r="U11423" t="s">
        <v>56838</v>
      </c>
      <c r="W11423" t="s">
        <v>44594</v>
      </c>
      <c r="X11423" t="s">
        <v>45110</v>
      </c>
    </row>
    <row r="11424" spans="1:24">
      <c r="A11424">
        <f>HYPERLINK("https://www.philgeps.gov.ph/GEPSNONPILOT/Tender/SplashBidNoticeAbstractUI.aspx?menuIndex=3&amp;refID=7026516&amp;Result=3","7026516")</f>
        <v>0</v>
      </c>
      <c r="B11424" t="s">
        <v>344</v>
      </c>
      <c r="C11424" t="s">
        <v>14097</v>
      </c>
      <c r="D11424" t="s">
        <v>18027</v>
      </c>
      <c r="E11424" t="s">
        <v>28001</v>
      </c>
      <c r="F11424" t="s">
        <v>31574</v>
      </c>
      <c r="G11424" t="s">
        <v>31582</v>
      </c>
      <c r="H11424" t="s">
        <v>31590</v>
      </c>
      <c r="I11424" t="s">
        <v>8822</v>
      </c>
      <c r="J11424" t="s">
        <v>38839</v>
      </c>
      <c r="K11424" t="s">
        <v>41189</v>
      </c>
      <c r="M11424" t="s">
        <v>43143</v>
      </c>
      <c r="N11424" t="s">
        <v>45095</v>
      </c>
      <c r="O11424" t="s">
        <v>45096</v>
      </c>
      <c r="P11424">
        <v>0</v>
      </c>
      <c r="Q11424">
        <v>1</v>
      </c>
      <c r="R11424" t="s">
        <v>45109</v>
      </c>
      <c r="S11424" t="s">
        <v>45478</v>
      </c>
      <c r="T11424" t="s">
        <v>46929</v>
      </c>
      <c r="U11424" t="s">
        <v>51643</v>
      </c>
      <c r="W11424" t="s">
        <v>43143</v>
      </c>
      <c r="X11424" t="s">
        <v>45110</v>
      </c>
    </row>
    <row r="11425" spans="1:24">
      <c r="A11425">
        <f>HYPERLINK("https://www.philgeps.gov.ph/GEPSNONPILOT/Tender/SplashBidNoticeAbstractUI.aspx?menuIndex=3&amp;refID=7026556&amp;Result=3","7026556")</f>
        <v>0</v>
      </c>
      <c r="B11425" t="s">
        <v>1655</v>
      </c>
      <c r="C11425" t="s">
        <v>14098</v>
      </c>
      <c r="D11425" t="s">
        <v>18030</v>
      </c>
      <c r="E11425" t="s">
        <v>28002</v>
      </c>
      <c r="F11425" t="s">
        <v>31574</v>
      </c>
      <c r="G11425" t="s">
        <v>31582</v>
      </c>
      <c r="H11425" t="s">
        <v>31590</v>
      </c>
      <c r="I11425" t="s">
        <v>31615</v>
      </c>
      <c r="J11425" t="s">
        <v>35720</v>
      </c>
      <c r="K11425" t="s">
        <v>41186</v>
      </c>
      <c r="M11425" t="s">
        <v>44621</v>
      </c>
      <c r="N11425" t="s">
        <v>45095</v>
      </c>
      <c r="O11425" t="s">
        <v>45096</v>
      </c>
      <c r="P11425">
        <v>0</v>
      </c>
      <c r="Q11425">
        <v>5</v>
      </c>
      <c r="R11425" t="s">
        <v>45109</v>
      </c>
      <c r="S11425" t="s">
        <v>45478</v>
      </c>
      <c r="T11425" t="s">
        <v>47066</v>
      </c>
      <c r="U11425" t="s">
        <v>56844</v>
      </c>
      <c r="W11425" t="s">
        <v>44621</v>
      </c>
      <c r="X11425" t="s">
        <v>45110</v>
      </c>
    </row>
    <row r="11426" spans="1:24">
      <c r="A11426">
        <f>HYPERLINK("https://www.philgeps.gov.ph/GEPSNONPILOT/Tender/SplashBidNoticeAbstractUI.aspx?menuIndex=3&amp;refID=7026580&amp;Result=3","7026580")</f>
        <v>0</v>
      </c>
      <c r="B11426" t="s">
        <v>2843</v>
      </c>
      <c r="C11426" t="s">
        <v>14099</v>
      </c>
      <c r="E11426" t="s">
        <v>27991</v>
      </c>
      <c r="F11426" t="s">
        <v>31574</v>
      </c>
      <c r="G11426" t="s">
        <v>31582</v>
      </c>
      <c r="H11426" t="s">
        <v>31590</v>
      </c>
      <c r="I11426" t="s">
        <v>31620</v>
      </c>
      <c r="J11426" t="s">
        <v>38840</v>
      </c>
      <c r="K11426" t="s">
        <v>41184</v>
      </c>
      <c r="M11426" t="s">
        <v>44626</v>
      </c>
      <c r="N11426" t="s">
        <v>45095</v>
      </c>
      <c r="O11426" t="s">
        <v>45096</v>
      </c>
      <c r="Q11426">
        <v>15</v>
      </c>
      <c r="R11426" t="s">
        <v>45109</v>
      </c>
      <c r="S11426" t="s">
        <v>45553</v>
      </c>
      <c r="T11426" t="s">
        <v>47010</v>
      </c>
      <c r="U11426" t="s">
        <v>56845</v>
      </c>
      <c r="W11426" t="s">
        <v>44626</v>
      </c>
      <c r="X11426" t="s">
        <v>45110</v>
      </c>
    </row>
    <row r="11427" spans="1:24">
      <c r="A11427">
        <f>HYPERLINK("https://www.philgeps.gov.ph/GEPSNONPILOT/Tender/SplashBidNoticeAbstractUI.aspx?menuIndex=3&amp;refID=7026584&amp;Result=3","7026584")</f>
        <v>0</v>
      </c>
      <c r="B11427" t="s">
        <v>2779</v>
      </c>
      <c r="C11427" t="s">
        <v>14100</v>
      </c>
      <c r="D11427" t="s">
        <v>18065</v>
      </c>
      <c r="E11427" t="s">
        <v>28003</v>
      </c>
      <c r="F11427" t="s">
        <v>31574</v>
      </c>
      <c r="G11427" t="s">
        <v>31582</v>
      </c>
      <c r="H11427" t="s">
        <v>31590</v>
      </c>
      <c r="I11427" t="s">
        <v>8822</v>
      </c>
      <c r="J11427" t="s">
        <v>32019</v>
      </c>
      <c r="K11427" t="s">
        <v>41185</v>
      </c>
      <c r="M11427" t="s">
        <v>44554</v>
      </c>
      <c r="N11427" t="s">
        <v>45095</v>
      </c>
      <c r="O11427" t="s">
        <v>45096</v>
      </c>
      <c r="P11427">
        <v>0</v>
      </c>
      <c r="Q11427">
        <v>0</v>
      </c>
      <c r="R11427" t="s">
        <v>45109</v>
      </c>
      <c r="S11427" t="s">
        <v>45478</v>
      </c>
      <c r="T11427" t="s">
        <v>46985</v>
      </c>
      <c r="U11427" t="s">
        <v>56846</v>
      </c>
      <c r="W11427" t="s">
        <v>44554</v>
      </c>
      <c r="X11427" t="s">
        <v>45110</v>
      </c>
    </row>
    <row r="11428" spans="1:24">
      <c r="A11428">
        <f>HYPERLINK("https://www.philgeps.gov.ph/GEPSNONPILOT/Tender/SplashBidNoticeAbstractUI.aspx?menuIndex=3&amp;refID=7026576&amp;Result=3","7026576")</f>
        <v>0</v>
      </c>
      <c r="B11428" t="s">
        <v>2827</v>
      </c>
      <c r="C11428" t="s">
        <v>14101</v>
      </c>
      <c r="D11428" t="s">
        <v>18022</v>
      </c>
      <c r="E11428" t="s">
        <v>28004</v>
      </c>
      <c r="F11428" t="s">
        <v>31574</v>
      </c>
      <c r="G11428" t="s">
        <v>31582</v>
      </c>
      <c r="H11428" t="s">
        <v>31590</v>
      </c>
      <c r="I11428" t="s">
        <v>4327</v>
      </c>
      <c r="J11428" t="s">
        <v>32026</v>
      </c>
      <c r="K11428" t="s">
        <v>41184</v>
      </c>
      <c r="M11428" t="s">
        <v>44605</v>
      </c>
      <c r="N11428" t="s">
        <v>45095</v>
      </c>
      <c r="O11428" t="s">
        <v>45096</v>
      </c>
      <c r="P11428">
        <v>0</v>
      </c>
      <c r="Q11428">
        <v>3</v>
      </c>
      <c r="R11428" t="s">
        <v>45109</v>
      </c>
      <c r="S11428" t="s">
        <v>45478</v>
      </c>
      <c r="T11428" t="s">
        <v>46905</v>
      </c>
      <c r="U11428" t="s">
        <v>56847</v>
      </c>
      <c r="W11428" t="s">
        <v>44605</v>
      </c>
      <c r="X11428" t="s">
        <v>45110</v>
      </c>
    </row>
    <row r="11429" spans="1:24">
      <c r="A11429">
        <f>HYPERLINK("https://www.philgeps.gov.ph/GEPSNONPILOT/Tender/SplashBidNoticeAbstractUI.aspx?menuIndex=3&amp;refID=7026564&amp;Result=3","7026564")</f>
        <v>0</v>
      </c>
      <c r="B11429" t="s">
        <v>2845</v>
      </c>
      <c r="C11429" t="s">
        <v>14102</v>
      </c>
      <c r="E11429" t="s">
        <v>28005</v>
      </c>
      <c r="F11429" t="s">
        <v>31574</v>
      </c>
      <c r="G11429" t="s">
        <v>31582</v>
      </c>
      <c r="H11429" t="s">
        <v>31591</v>
      </c>
      <c r="I11429" t="s">
        <v>8822</v>
      </c>
      <c r="J11429" t="s">
        <v>32662</v>
      </c>
      <c r="K11429" t="s">
        <v>41184</v>
      </c>
      <c r="M11429" t="s">
        <v>44628</v>
      </c>
      <c r="N11429" t="s">
        <v>45095</v>
      </c>
      <c r="O11429" t="s">
        <v>45096</v>
      </c>
      <c r="P11429">
        <v>0</v>
      </c>
      <c r="Q11429">
        <v>2</v>
      </c>
      <c r="R11429" t="s">
        <v>45109</v>
      </c>
      <c r="S11429" t="s">
        <v>45478</v>
      </c>
      <c r="T11429" t="s">
        <v>47158</v>
      </c>
      <c r="U11429" t="s">
        <v>56848</v>
      </c>
      <c r="W11429" t="s">
        <v>44628</v>
      </c>
      <c r="X11429" t="s">
        <v>45110</v>
      </c>
    </row>
    <row r="11430" spans="1:24">
      <c r="A11430">
        <f>HYPERLINK("https://www.philgeps.gov.ph/GEPSNONPILOT/Tender/SplashBidNoticeAbstractUI.aspx?menuIndex=3&amp;refID=7026589&amp;Result=3","7026589")</f>
        <v>0</v>
      </c>
      <c r="B11430" t="s">
        <v>1584</v>
      </c>
      <c r="C11430" t="s">
        <v>14103</v>
      </c>
      <c r="D11430" t="s">
        <v>18079</v>
      </c>
      <c r="E11430" t="s">
        <v>28006</v>
      </c>
      <c r="F11430" t="s">
        <v>31574</v>
      </c>
      <c r="G11430" t="s">
        <v>31582</v>
      </c>
      <c r="H11430" t="s">
        <v>31591</v>
      </c>
      <c r="I11430" t="s">
        <v>8822</v>
      </c>
      <c r="J11430" t="s">
        <v>31771</v>
      </c>
      <c r="K11430" t="s">
        <v>41189</v>
      </c>
      <c r="M11430" t="s">
        <v>43188</v>
      </c>
      <c r="N11430" t="s">
        <v>45095</v>
      </c>
      <c r="O11430" t="s">
        <v>45096</v>
      </c>
      <c r="P11430">
        <v>0</v>
      </c>
      <c r="Q11430">
        <v>0</v>
      </c>
      <c r="R11430" t="s">
        <v>45109</v>
      </c>
      <c r="S11430" t="s">
        <v>45478</v>
      </c>
      <c r="T11430" t="s">
        <v>46988</v>
      </c>
      <c r="U11430" t="s">
        <v>56849</v>
      </c>
      <c r="W11430" t="s">
        <v>43188</v>
      </c>
      <c r="X11430" t="s">
        <v>45110</v>
      </c>
    </row>
    <row r="11431" spans="1:24">
      <c r="A11431">
        <f>HYPERLINK("https://www.philgeps.gov.ph/GEPSNONPILOT/Tender/SplashBidNoticeAbstractUI.aspx?menuIndex=3&amp;refID=7026605&amp;Result=3","7026605")</f>
        <v>0</v>
      </c>
      <c r="B11431" t="s">
        <v>2818</v>
      </c>
      <c r="C11431" t="s">
        <v>14104</v>
      </c>
      <c r="D11431" t="s">
        <v>18036</v>
      </c>
      <c r="E11431" t="s">
        <v>23271</v>
      </c>
      <c r="F11431" t="s">
        <v>31574</v>
      </c>
      <c r="G11431" t="s">
        <v>31582</v>
      </c>
      <c r="H11431" t="s">
        <v>31590</v>
      </c>
      <c r="I11431" t="s">
        <v>8258</v>
      </c>
      <c r="J11431" t="s">
        <v>38841</v>
      </c>
      <c r="K11431" t="s">
        <v>41193</v>
      </c>
      <c r="M11431" t="s">
        <v>44594</v>
      </c>
      <c r="N11431" t="s">
        <v>45095</v>
      </c>
      <c r="O11431" t="s">
        <v>45096</v>
      </c>
      <c r="P11431">
        <v>0</v>
      </c>
      <c r="Q11431">
        <v>1</v>
      </c>
      <c r="R11431" t="s">
        <v>45109</v>
      </c>
      <c r="S11431" t="s">
        <v>45478</v>
      </c>
      <c r="T11431" t="s">
        <v>47106</v>
      </c>
      <c r="U11431" t="s">
        <v>56838</v>
      </c>
      <c r="W11431" t="s">
        <v>44594</v>
      </c>
      <c r="X11431" t="s">
        <v>45110</v>
      </c>
    </row>
    <row r="11432" spans="1:24">
      <c r="A11432">
        <f>HYPERLINK("https://www.philgeps.gov.ph/GEPSNONPILOT/Tender/SplashBidNoticeAbstractUI.aspx?menuIndex=3&amp;refID=7026571&amp;Result=3","7026571")</f>
        <v>0</v>
      </c>
      <c r="B11432" t="s">
        <v>2310</v>
      </c>
      <c r="C11432" t="s">
        <v>14105</v>
      </c>
      <c r="D11432" t="s">
        <v>18075</v>
      </c>
      <c r="E11432" t="s">
        <v>28007</v>
      </c>
      <c r="F11432" t="s">
        <v>31574</v>
      </c>
      <c r="G11432" t="s">
        <v>31582</v>
      </c>
      <c r="H11432" t="s">
        <v>31591</v>
      </c>
      <c r="I11432" t="s">
        <v>8822</v>
      </c>
      <c r="J11432" t="s">
        <v>31935</v>
      </c>
      <c r="K11432" t="s">
        <v>41352</v>
      </c>
      <c r="M11432" t="s">
        <v>44020</v>
      </c>
      <c r="N11432" t="s">
        <v>45095</v>
      </c>
      <c r="O11432" t="s">
        <v>45096</v>
      </c>
      <c r="P11432">
        <v>0</v>
      </c>
      <c r="Q11432">
        <v>0</v>
      </c>
      <c r="R11432" t="s">
        <v>45109</v>
      </c>
      <c r="S11432" t="s">
        <v>45478</v>
      </c>
      <c r="T11432" t="s">
        <v>46930</v>
      </c>
      <c r="U11432" t="s">
        <v>56850</v>
      </c>
      <c r="V11432" t="s">
        <v>60703</v>
      </c>
      <c r="W11432" t="s">
        <v>44020</v>
      </c>
      <c r="X11432" t="s">
        <v>45110</v>
      </c>
    </row>
    <row r="11433" spans="1:24">
      <c r="A11433">
        <f>HYPERLINK("https://www.philgeps.gov.ph/GEPSNONPILOT/Tender/SplashBidNoticeAbstractUI.aspx?menuIndex=3&amp;refID=7026604&amp;Result=3","7026604")</f>
        <v>0</v>
      </c>
      <c r="B11433" t="s">
        <v>2843</v>
      </c>
      <c r="C11433" t="s">
        <v>4327</v>
      </c>
      <c r="E11433" t="s">
        <v>27991</v>
      </c>
      <c r="F11433" t="s">
        <v>31574</v>
      </c>
      <c r="G11433" t="s">
        <v>31582</v>
      </c>
      <c r="H11433" t="s">
        <v>31590</v>
      </c>
      <c r="I11433" t="s">
        <v>4327</v>
      </c>
      <c r="J11433" t="s">
        <v>38842</v>
      </c>
      <c r="K11433" t="s">
        <v>41184</v>
      </c>
      <c r="M11433" t="s">
        <v>44626</v>
      </c>
      <c r="N11433" t="s">
        <v>45095</v>
      </c>
      <c r="O11433" t="s">
        <v>45096</v>
      </c>
      <c r="Q11433">
        <v>6</v>
      </c>
      <c r="R11433" t="s">
        <v>45109</v>
      </c>
      <c r="S11433" t="s">
        <v>45555</v>
      </c>
      <c r="T11433" t="s">
        <v>47010</v>
      </c>
      <c r="U11433" t="s">
        <v>56851</v>
      </c>
      <c r="W11433" t="s">
        <v>44626</v>
      </c>
      <c r="X11433" t="s">
        <v>45110</v>
      </c>
    </row>
    <row r="11434" spans="1:24">
      <c r="A11434">
        <f>HYPERLINK("https://www.philgeps.gov.ph/GEPSNONPILOT/Tender/SplashBidNoticeAbstractUI.aspx?menuIndex=3&amp;refID=7026600&amp;Result=3","7026600")</f>
        <v>0</v>
      </c>
      <c r="B11434" t="s">
        <v>1366</v>
      </c>
      <c r="C11434" t="s">
        <v>14106</v>
      </c>
      <c r="D11434" t="s">
        <v>18099</v>
      </c>
      <c r="E11434" t="s">
        <v>18379</v>
      </c>
      <c r="F11434" t="s">
        <v>31574</v>
      </c>
      <c r="G11434" t="s">
        <v>31582</v>
      </c>
      <c r="H11434" t="s">
        <v>31591</v>
      </c>
      <c r="I11434" t="s">
        <v>8822</v>
      </c>
      <c r="J11434" t="s">
        <v>32026</v>
      </c>
      <c r="K11434" t="s">
        <v>41189</v>
      </c>
      <c r="M11434" t="s">
        <v>42938</v>
      </c>
      <c r="N11434" t="s">
        <v>45095</v>
      </c>
      <c r="O11434" t="s">
        <v>45096</v>
      </c>
      <c r="Q11434">
        <v>2</v>
      </c>
      <c r="R11434" t="s">
        <v>45109</v>
      </c>
      <c r="S11434" t="s">
        <v>45556</v>
      </c>
      <c r="T11434" t="s">
        <v>46979</v>
      </c>
      <c r="U11434" t="s">
        <v>56852</v>
      </c>
      <c r="W11434" t="s">
        <v>42938</v>
      </c>
      <c r="X11434" t="s">
        <v>45110</v>
      </c>
    </row>
    <row r="11435" spans="1:24">
      <c r="A11435">
        <f>HYPERLINK("https://www.philgeps.gov.ph/GEPSNONPILOT/Tender/SplashBidNoticeAbstractUI.aspx?menuIndex=3&amp;refID=7026596&amp;Result=3","7026596")</f>
        <v>0</v>
      </c>
      <c r="B11435" t="s">
        <v>227</v>
      </c>
      <c r="C11435" t="s">
        <v>14107</v>
      </c>
      <c r="E11435" t="s">
        <v>28008</v>
      </c>
      <c r="F11435" t="s">
        <v>31574</v>
      </c>
      <c r="G11435" t="s">
        <v>31582</v>
      </c>
      <c r="H11435" t="s">
        <v>31590</v>
      </c>
      <c r="I11435" t="s">
        <v>31608</v>
      </c>
      <c r="J11435" t="s">
        <v>38843</v>
      </c>
      <c r="K11435" t="s">
        <v>41186</v>
      </c>
      <c r="M11435" t="s">
        <v>43462</v>
      </c>
      <c r="N11435" t="s">
        <v>45095</v>
      </c>
      <c r="O11435" t="s">
        <v>45096</v>
      </c>
      <c r="P11435">
        <v>0</v>
      </c>
      <c r="Q11435">
        <v>10</v>
      </c>
      <c r="R11435" t="s">
        <v>45109</v>
      </c>
      <c r="S11435" t="s">
        <v>45478</v>
      </c>
      <c r="T11435" t="s">
        <v>46937</v>
      </c>
      <c r="U11435" t="s">
        <v>56853</v>
      </c>
      <c r="W11435" t="s">
        <v>43462</v>
      </c>
      <c r="X11435" t="s">
        <v>45110</v>
      </c>
    </row>
    <row r="11436" spans="1:24">
      <c r="A11436">
        <f>HYPERLINK("https://www.philgeps.gov.ph/GEPSNONPILOT/Tender/SplashBidNoticeAbstractUI.aspx?menuIndex=3&amp;refID=7026585&amp;Result=3","7026585")</f>
        <v>0</v>
      </c>
      <c r="B11436" t="s">
        <v>2818</v>
      </c>
      <c r="C11436" t="s">
        <v>14108</v>
      </c>
      <c r="D11436" t="s">
        <v>18036</v>
      </c>
      <c r="E11436" t="s">
        <v>21517</v>
      </c>
      <c r="F11436" t="s">
        <v>31574</v>
      </c>
      <c r="G11436" t="s">
        <v>31582</v>
      </c>
      <c r="H11436" t="s">
        <v>31590</v>
      </c>
      <c r="I11436" t="s">
        <v>4046</v>
      </c>
      <c r="J11436" t="s">
        <v>32049</v>
      </c>
      <c r="K11436" t="s">
        <v>41193</v>
      </c>
      <c r="M11436" t="s">
        <v>44594</v>
      </c>
      <c r="N11436" t="s">
        <v>45095</v>
      </c>
      <c r="O11436" t="s">
        <v>45096</v>
      </c>
      <c r="P11436">
        <v>0</v>
      </c>
      <c r="Q11436">
        <v>0</v>
      </c>
      <c r="R11436" t="s">
        <v>45109</v>
      </c>
      <c r="S11436" t="s">
        <v>45478</v>
      </c>
      <c r="T11436" t="s">
        <v>47106</v>
      </c>
      <c r="U11436" t="s">
        <v>56854</v>
      </c>
      <c r="W11436" t="s">
        <v>44594</v>
      </c>
      <c r="X11436" t="s">
        <v>45110</v>
      </c>
    </row>
    <row r="11437" spans="1:24">
      <c r="A11437">
        <f>HYPERLINK("https://www.philgeps.gov.ph/GEPSNONPILOT/Tender/SplashBidNoticeAbstractUI.aspx?menuIndex=3&amp;refID=7026573&amp;Result=3","7026573")</f>
        <v>0</v>
      </c>
      <c r="B11437" t="s">
        <v>2314</v>
      </c>
      <c r="C11437" t="s">
        <v>14109</v>
      </c>
      <c r="D11437" t="s">
        <v>18044</v>
      </c>
      <c r="E11437" t="s">
        <v>28009</v>
      </c>
      <c r="F11437" t="s">
        <v>31574</v>
      </c>
      <c r="G11437" t="s">
        <v>31582</v>
      </c>
      <c r="H11437" t="s">
        <v>31591</v>
      </c>
      <c r="I11437" t="s">
        <v>8822</v>
      </c>
      <c r="J11437" t="s">
        <v>34070</v>
      </c>
      <c r="K11437" t="s">
        <v>41260</v>
      </c>
      <c r="M11437" t="s">
        <v>44024</v>
      </c>
      <c r="N11437" t="s">
        <v>45095</v>
      </c>
      <c r="O11437" t="s">
        <v>45096</v>
      </c>
      <c r="P11437">
        <v>0</v>
      </c>
      <c r="Q11437">
        <v>11</v>
      </c>
      <c r="R11437" t="s">
        <v>45109</v>
      </c>
      <c r="S11437" t="s">
        <v>45478</v>
      </c>
      <c r="T11437" t="s">
        <v>46933</v>
      </c>
      <c r="U11437" t="s">
        <v>56763</v>
      </c>
      <c r="W11437" t="s">
        <v>44024</v>
      </c>
      <c r="X11437" t="s">
        <v>45110</v>
      </c>
    </row>
    <row r="11438" spans="1:24">
      <c r="A11438">
        <f>HYPERLINK("https://www.philgeps.gov.ph/GEPSNONPILOT/Tender/SplashBidNoticeAbstractUI.aspx?menuIndex=3&amp;refID=7026566&amp;Result=3","7026566")</f>
        <v>0</v>
      </c>
      <c r="B11438" t="s">
        <v>838</v>
      </c>
      <c r="C11438" t="s">
        <v>14110</v>
      </c>
      <c r="D11438" t="s">
        <v>18059</v>
      </c>
      <c r="E11438" t="s">
        <v>28010</v>
      </c>
      <c r="F11438" t="s">
        <v>31574</v>
      </c>
      <c r="G11438" t="s">
        <v>31582</v>
      </c>
      <c r="H11438" t="s">
        <v>31591</v>
      </c>
      <c r="I11438" t="s">
        <v>8822</v>
      </c>
      <c r="J11438" t="s">
        <v>32550</v>
      </c>
      <c r="K11438" t="s">
        <v>41267</v>
      </c>
      <c r="M11438" t="s">
        <v>42357</v>
      </c>
      <c r="N11438" t="s">
        <v>45095</v>
      </c>
      <c r="O11438" t="s">
        <v>45096</v>
      </c>
      <c r="Q11438">
        <v>1</v>
      </c>
      <c r="R11438" t="s">
        <v>45109</v>
      </c>
      <c r="S11438" t="s">
        <v>45557</v>
      </c>
      <c r="T11438" t="s">
        <v>46992</v>
      </c>
      <c r="U11438" t="s">
        <v>56855</v>
      </c>
      <c r="W11438" t="s">
        <v>42357</v>
      </c>
      <c r="X11438" t="s">
        <v>45110</v>
      </c>
    </row>
    <row r="11439" spans="1:24">
      <c r="A11439">
        <f>HYPERLINK("https://www.philgeps.gov.ph/GEPSNONPILOT/Tender/SplashBidNoticeAbstractUI.aspx?menuIndex=3&amp;refID=7026570&amp;Result=3","7026570")</f>
        <v>0</v>
      </c>
      <c r="B11439" t="s">
        <v>1674</v>
      </c>
      <c r="C11439" t="s">
        <v>14111</v>
      </c>
      <c r="D11439" t="s">
        <v>18037</v>
      </c>
      <c r="E11439" t="s">
        <v>23017</v>
      </c>
      <c r="F11439" t="s">
        <v>31574</v>
      </c>
      <c r="G11439" t="s">
        <v>31582</v>
      </c>
      <c r="H11439" t="s">
        <v>31590</v>
      </c>
      <c r="I11439" t="s">
        <v>4046</v>
      </c>
      <c r="J11439" t="s">
        <v>38844</v>
      </c>
      <c r="K11439" t="s">
        <v>41196</v>
      </c>
      <c r="M11439" t="s">
        <v>43287</v>
      </c>
      <c r="N11439" t="s">
        <v>45095</v>
      </c>
      <c r="O11439" t="s">
        <v>45096</v>
      </c>
      <c r="P11439">
        <v>0</v>
      </c>
      <c r="Q11439">
        <v>3</v>
      </c>
      <c r="R11439" t="s">
        <v>45109</v>
      </c>
      <c r="S11439" t="s">
        <v>45478</v>
      </c>
      <c r="T11439" t="s">
        <v>46988</v>
      </c>
      <c r="U11439" t="s">
        <v>56856</v>
      </c>
      <c r="W11439" t="s">
        <v>43287</v>
      </c>
      <c r="X11439" t="s">
        <v>45110</v>
      </c>
    </row>
    <row r="11440" spans="1:24">
      <c r="A11440">
        <f>HYPERLINK("https://www.philgeps.gov.ph/GEPSNONPILOT/Tender/SplashBidNoticeAbstractUI.aspx?menuIndex=3&amp;refID=7026591&amp;Result=3","7026591")</f>
        <v>0</v>
      </c>
      <c r="B11440" t="s">
        <v>1674</v>
      </c>
      <c r="C11440" t="s">
        <v>14112</v>
      </c>
      <c r="D11440" t="s">
        <v>18037</v>
      </c>
      <c r="E11440" t="s">
        <v>28011</v>
      </c>
      <c r="F11440" t="s">
        <v>31574</v>
      </c>
      <c r="G11440" t="s">
        <v>31582</v>
      </c>
      <c r="H11440" t="s">
        <v>31590</v>
      </c>
      <c r="I11440" t="s">
        <v>3487</v>
      </c>
      <c r="J11440" t="s">
        <v>36934</v>
      </c>
      <c r="K11440" t="s">
        <v>41196</v>
      </c>
      <c r="M11440" t="s">
        <v>43287</v>
      </c>
      <c r="N11440" t="s">
        <v>45095</v>
      </c>
      <c r="O11440" t="s">
        <v>45096</v>
      </c>
      <c r="P11440">
        <v>0</v>
      </c>
      <c r="Q11440">
        <v>5</v>
      </c>
      <c r="R11440" t="s">
        <v>45109</v>
      </c>
      <c r="S11440" t="s">
        <v>45478</v>
      </c>
      <c r="T11440" t="s">
        <v>46988</v>
      </c>
      <c r="U11440" t="s">
        <v>56857</v>
      </c>
      <c r="W11440" t="s">
        <v>43287</v>
      </c>
      <c r="X11440" t="s">
        <v>45110</v>
      </c>
    </row>
    <row r="11441" spans="1:24">
      <c r="A11441">
        <f>HYPERLINK("https://www.philgeps.gov.ph/GEPSNONPILOT/Tender/SplashBidNoticeAbstractUI.aspx?menuIndex=3&amp;refID=7026569&amp;Result=3","7026569")</f>
        <v>0</v>
      </c>
      <c r="B11441" t="s">
        <v>2779</v>
      </c>
      <c r="C11441" t="s">
        <v>14113</v>
      </c>
      <c r="D11441" t="s">
        <v>18065</v>
      </c>
      <c r="E11441" t="s">
        <v>28012</v>
      </c>
      <c r="F11441" t="s">
        <v>31574</v>
      </c>
      <c r="G11441" t="s">
        <v>31582</v>
      </c>
      <c r="H11441" t="s">
        <v>31591</v>
      </c>
      <c r="I11441" t="s">
        <v>8822</v>
      </c>
      <c r="J11441" t="s">
        <v>32490</v>
      </c>
      <c r="K11441" t="s">
        <v>41192</v>
      </c>
      <c r="M11441" t="s">
        <v>44554</v>
      </c>
      <c r="N11441" t="s">
        <v>45095</v>
      </c>
      <c r="O11441" t="s">
        <v>45096</v>
      </c>
      <c r="P11441">
        <v>0</v>
      </c>
      <c r="Q11441">
        <v>0</v>
      </c>
      <c r="R11441" t="s">
        <v>45109</v>
      </c>
      <c r="S11441" t="s">
        <v>45478</v>
      </c>
      <c r="T11441" t="s">
        <v>46985</v>
      </c>
      <c r="U11441" t="s">
        <v>56858</v>
      </c>
      <c r="W11441" t="s">
        <v>44554</v>
      </c>
      <c r="X11441" t="s">
        <v>45110</v>
      </c>
    </row>
    <row r="11442" spans="1:24">
      <c r="A11442">
        <f>HYPERLINK("https://www.philgeps.gov.ph/GEPSNONPILOT/Tender/SplashBidNoticeAbstractUI.aspx?menuIndex=3&amp;refID=7026611&amp;Result=3","7026611")</f>
        <v>0</v>
      </c>
      <c r="B11442" t="s">
        <v>838</v>
      </c>
      <c r="C11442" t="s">
        <v>14114</v>
      </c>
      <c r="D11442" t="s">
        <v>18059</v>
      </c>
      <c r="E11442" t="s">
        <v>28013</v>
      </c>
      <c r="F11442" t="s">
        <v>31574</v>
      </c>
      <c r="G11442" t="s">
        <v>31582</v>
      </c>
      <c r="H11442" t="s">
        <v>31591</v>
      </c>
      <c r="I11442" t="s">
        <v>8822</v>
      </c>
      <c r="J11442" t="s">
        <v>31771</v>
      </c>
      <c r="K11442" t="s">
        <v>41189</v>
      </c>
      <c r="M11442" t="s">
        <v>42357</v>
      </c>
      <c r="N11442" t="s">
        <v>45095</v>
      </c>
      <c r="O11442" t="s">
        <v>45096</v>
      </c>
      <c r="P11442">
        <v>0</v>
      </c>
      <c r="Q11442">
        <v>1</v>
      </c>
      <c r="R11442" t="s">
        <v>45109</v>
      </c>
      <c r="S11442" t="s">
        <v>45478</v>
      </c>
      <c r="T11442" t="s">
        <v>46992</v>
      </c>
      <c r="U11442" t="s">
        <v>56859</v>
      </c>
      <c r="W11442" t="s">
        <v>42357</v>
      </c>
      <c r="X11442" t="s">
        <v>45110</v>
      </c>
    </row>
    <row r="11443" spans="1:24">
      <c r="A11443">
        <f>HYPERLINK("https://www.philgeps.gov.ph/GEPSNONPILOT/Tender/SplashBidNoticeAbstractUI.aspx?menuIndex=3&amp;refID=7026615&amp;Result=3","7026615")</f>
        <v>0</v>
      </c>
      <c r="B11443" t="s">
        <v>129</v>
      </c>
      <c r="C11443" t="s">
        <v>14115</v>
      </c>
      <c r="E11443" t="s">
        <v>28014</v>
      </c>
      <c r="F11443" t="s">
        <v>31574</v>
      </c>
      <c r="G11443" t="s">
        <v>31582</v>
      </c>
      <c r="H11443" t="s">
        <v>31590</v>
      </c>
      <c r="I11443" t="s">
        <v>6800</v>
      </c>
      <c r="J11443" t="s">
        <v>38845</v>
      </c>
      <c r="K11443" t="s">
        <v>41186</v>
      </c>
      <c r="M11443" t="s">
        <v>41613</v>
      </c>
      <c r="N11443" t="s">
        <v>45095</v>
      </c>
      <c r="O11443" t="s">
        <v>45096</v>
      </c>
      <c r="P11443">
        <v>0</v>
      </c>
      <c r="Q11443">
        <v>4</v>
      </c>
      <c r="R11443" t="s">
        <v>45109</v>
      </c>
      <c r="S11443" t="s">
        <v>45478</v>
      </c>
      <c r="T11443" t="s">
        <v>47394</v>
      </c>
      <c r="U11443" t="s">
        <v>56860</v>
      </c>
      <c r="W11443" t="s">
        <v>41613</v>
      </c>
      <c r="X11443" t="s">
        <v>45110</v>
      </c>
    </row>
    <row r="11444" spans="1:24">
      <c r="A11444">
        <f>HYPERLINK("https://www.philgeps.gov.ph/GEPSNONPILOT/Tender/SplashBidNoticeAbstractUI.aspx?menuIndex=3&amp;refID=7026640&amp;Result=3","7026640")</f>
        <v>0</v>
      </c>
      <c r="B11444" t="s">
        <v>1822</v>
      </c>
      <c r="C11444" t="s">
        <v>14116</v>
      </c>
      <c r="D11444" t="s">
        <v>18099</v>
      </c>
      <c r="E11444" t="s">
        <v>18230</v>
      </c>
      <c r="F11444" t="s">
        <v>31574</v>
      </c>
      <c r="G11444" t="s">
        <v>31582</v>
      </c>
      <c r="H11444" t="s">
        <v>31590</v>
      </c>
      <c r="I11444" t="s">
        <v>31608</v>
      </c>
      <c r="J11444" t="s">
        <v>32216</v>
      </c>
      <c r="K11444" t="s">
        <v>41196</v>
      </c>
      <c r="M11444" t="s">
        <v>43457</v>
      </c>
      <c r="N11444" t="s">
        <v>45095</v>
      </c>
      <c r="O11444" t="s">
        <v>45096</v>
      </c>
      <c r="P11444">
        <v>0</v>
      </c>
      <c r="Q11444">
        <v>2</v>
      </c>
      <c r="R11444" t="s">
        <v>45109</v>
      </c>
      <c r="S11444" t="s">
        <v>45478</v>
      </c>
      <c r="T11444" t="s">
        <v>47076</v>
      </c>
      <c r="U11444" t="s">
        <v>56861</v>
      </c>
      <c r="W11444" t="s">
        <v>43457</v>
      </c>
      <c r="X11444" t="s">
        <v>45110</v>
      </c>
    </row>
    <row r="11445" spans="1:24">
      <c r="A11445">
        <f>HYPERLINK("https://www.philgeps.gov.ph/GEPSNONPILOT/Tender/SplashBidNoticeAbstractUI.aspx?menuIndex=3&amp;refID=7026606&amp;Result=3","7026606")</f>
        <v>0</v>
      </c>
      <c r="B11445" t="s">
        <v>2457</v>
      </c>
      <c r="C11445" t="s">
        <v>14117</v>
      </c>
      <c r="D11445" t="s">
        <v>18093</v>
      </c>
      <c r="E11445" t="s">
        <v>28015</v>
      </c>
      <c r="F11445" t="s">
        <v>31574</v>
      </c>
      <c r="G11445" t="s">
        <v>31582</v>
      </c>
      <c r="H11445" t="s">
        <v>31591</v>
      </c>
      <c r="I11445" t="s">
        <v>8822</v>
      </c>
      <c r="J11445" t="s">
        <v>32986</v>
      </c>
      <c r="K11445" t="s">
        <v>41235</v>
      </c>
      <c r="L11445" t="s">
        <v>2457</v>
      </c>
      <c r="M11445" t="s">
        <v>44186</v>
      </c>
      <c r="N11445" t="s">
        <v>45095</v>
      </c>
      <c r="O11445" t="s">
        <v>45096</v>
      </c>
      <c r="P11445">
        <v>0</v>
      </c>
      <c r="Q11445">
        <v>0</v>
      </c>
      <c r="R11445" t="s">
        <v>45109</v>
      </c>
      <c r="S11445" t="s">
        <v>45478</v>
      </c>
      <c r="T11445" t="s">
        <v>46922</v>
      </c>
      <c r="U11445" t="s">
        <v>54769</v>
      </c>
      <c r="V11445" t="s">
        <v>60763</v>
      </c>
      <c r="W11445" t="s">
        <v>44186</v>
      </c>
      <c r="X11445" t="s">
        <v>45110</v>
      </c>
    </row>
    <row r="11446" spans="1:24">
      <c r="A11446">
        <f>HYPERLINK("https://www.philgeps.gov.ph/GEPSNONPILOT/Tender/SplashBidNoticeAbstractUI.aspx?menuIndex=3&amp;refID=7026625&amp;Result=3","7026625")</f>
        <v>0</v>
      </c>
      <c r="B11446" t="s">
        <v>2818</v>
      </c>
      <c r="C11446" t="s">
        <v>14096</v>
      </c>
      <c r="D11446" t="s">
        <v>18036</v>
      </c>
      <c r="E11446" t="s">
        <v>23335</v>
      </c>
      <c r="F11446" t="s">
        <v>31574</v>
      </c>
      <c r="G11446" t="s">
        <v>31582</v>
      </c>
      <c r="H11446" t="s">
        <v>31590</v>
      </c>
      <c r="I11446" t="s">
        <v>8258</v>
      </c>
      <c r="J11446" t="s">
        <v>38846</v>
      </c>
      <c r="K11446" t="s">
        <v>41193</v>
      </c>
      <c r="M11446" t="s">
        <v>44594</v>
      </c>
      <c r="N11446" t="s">
        <v>45095</v>
      </c>
      <c r="O11446" t="s">
        <v>45096</v>
      </c>
      <c r="P11446">
        <v>0</v>
      </c>
      <c r="Q11446">
        <v>1</v>
      </c>
      <c r="R11446" t="s">
        <v>45109</v>
      </c>
      <c r="S11446" t="s">
        <v>45478</v>
      </c>
      <c r="T11446" t="s">
        <v>47106</v>
      </c>
      <c r="U11446" t="s">
        <v>56838</v>
      </c>
      <c r="W11446" t="s">
        <v>44594</v>
      </c>
      <c r="X11446" t="s">
        <v>45110</v>
      </c>
    </row>
    <row r="11447" spans="1:24">
      <c r="A11447">
        <f>HYPERLINK("https://www.philgeps.gov.ph/GEPSNONPILOT/Tender/SplashBidNoticeAbstractUI.aspx?menuIndex=3&amp;refID=7026717&amp;Result=3","7026717")</f>
        <v>0</v>
      </c>
      <c r="B11447" t="s">
        <v>1968</v>
      </c>
      <c r="C11447" t="s">
        <v>14118</v>
      </c>
      <c r="D11447" t="s">
        <v>18041</v>
      </c>
      <c r="E11447" t="s">
        <v>28016</v>
      </c>
      <c r="F11447" t="s">
        <v>31574</v>
      </c>
      <c r="G11447" t="s">
        <v>31582</v>
      </c>
      <c r="H11447" t="s">
        <v>31590</v>
      </c>
      <c r="I11447" t="s">
        <v>4046</v>
      </c>
      <c r="J11447" t="s">
        <v>38847</v>
      </c>
      <c r="K11447" t="s">
        <v>41189</v>
      </c>
      <c r="M11447" t="s">
        <v>43625</v>
      </c>
      <c r="N11447" t="s">
        <v>45095</v>
      </c>
      <c r="O11447" t="s">
        <v>45096</v>
      </c>
      <c r="Q11447">
        <v>0</v>
      </c>
      <c r="R11447" t="s">
        <v>45109</v>
      </c>
      <c r="S11447" t="s">
        <v>45558</v>
      </c>
      <c r="T11447" t="s">
        <v>46966</v>
      </c>
      <c r="U11447" t="s">
        <v>56862</v>
      </c>
      <c r="V11447" t="s">
        <v>61059</v>
      </c>
      <c r="W11447" t="s">
        <v>43625</v>
      </c>
      <c r="X11447" t="s">
        <v>45110</v>
      </c>
    </row>
    <row r="11448" spans="1:24">
      <c r="A11448">
        <f>HYPERLINK("https://www.philgeps.gov.ph/GEPSNONPILOT/Tender/SplashBidNoticeAbstractUI.aspx?menuIndex=3&amp;refID=7026635&amp;Result=3","7026635")</f>
        <v>0</v>
      </c>
      <c r="B11448" t="s">
        <v>2412</v>
      </c>
      <c r="C11448" t="s">
        <v>14119</v>
      </c>
      <c r="D11448" t="s">
        <v>18070</v>
      </c>
      <c r="E11448" t="s">
        <v>28017</v>
      </c>
      <c r="F11448" t="s">
        <v>31574</v>
      </c>
      <c r="G11448" t="s">
        <v>31582</v>
      </c>
      <c r="H11448" t="s">
        <v>31590</v>
      </c>
      <c r="I11448" t="s">
        <v>31629</v>
      </c>
      <c r="J11448" t="s">
        <v>38848</v>
      </c>
      <c r="K11448" t="s">
        <v>41196</v>
      </c>
      <c r="M11448" t="s">
        <v>44139</v>
      </c>
      <c r="N11448" t="s">
        <v>45095</v>
      </c>
      <c r="O11448" t="s">
        <v>45096</v>
      </c>
      <c r="P11448">
        <v>0</v>
      </c>
      <c r="Q11448">
        <v>3</v>
      </c>
      <c r="R11448" t="s">
        <v>45109</v>
      </c>
      <c r="S11448" t="s">
        <v>45478</v>
      </c>
      <c r="T11448" t="s">
        <v>47395</v>
      </c>
      <c r="U11448" t="s">
        <v>56863</v>
      </c>
      <c r="W11448" t="s">
        <v>44139</v>
      </c>
      <c r="X11448" t="s">
        <v>45110</v>
      </c>
    </row>
    <row r="11449" spans="1:24">
      <c r="A11449">
        <f>HYPERLINK("https://www.philgeps.gov.ph/GEPSNONPILOT/Tender/SplashBidNoticeAbstractUI.aspx?menuIndex=3&amp;refID=7026700&amp;Result=3","7026700")</f>
        <v>0</v>
      </c>
      <c r="B11449" t="s">
        <v>1584</v>
      </c>
      <c r="C11449" t="s">
        <v>14120</v>
      </c>
      <c r="D11449" t="s">
        <v>18079</v>
      </c>
      <c r="E11449" t="s">
        <v>28018</v>
      </c>
      <c r="F11449" t="s">
        <v>31574</v>
      </c>
      <c r="G11449" t="s">
        <v>31582</v>
      </c>
      <c r="H11449" t="s">
        <v>31590</v>
      </c>
      <c r="I11449" t="s">
        <v>31605</v>
      </c>
      <c r="J11449" t="s">
        <v>38849</v>
      </c>
      <c r="K11449" t="s">
        <v>41186</v>
      </c>
      <c r="M11449" t="s">
        <v>43188</v>
      </c>
      <c r="N11449" t="s">
        <v>45095</v>
      </c>
      <c r="O11449" t="s">
        <v>45096</v>
      </c>
      <c r="P11449">
        <v>0</v>
      </c>
      <c r="Q11449">
        <v>3</v>
      </c>
      <c r="R11449" t="s">
        <v>45109</v>
      </c>
      <c r="S11449" t="s">
        <v>45478</v>
      </c>
      <c r="T11449" t="s">
        <v>46988</v>
      </c>
      <c r="U11449" t="s">
        <v>56864</v>
      </c>
      <c r="W11449" t="s">
        <v>43188</v>
      </c>
      <c r="X11449" t="s">
        <v>45110</v>
      </c>
    </row>
    <row r="11450" spans="1:24">
      <c r="A11450">
        <f>HYPERLINK("https://www.philgeps.gov.ph/GEPSNONPILOT/Tender/SplashBidNoticeAbstractUI.aspx?menuIndex=3&amp;refID=7026705&amp;Result=3","7026705")</f>
        <v>0</v>
      </c>
      <c r="B11450" t="s">
        <v>587</v>
      </c>
      <c r="C11450" t="s">
        <v>14121</v>
      </c>
      <c r="D11450" t="s">
        <v>18022</v>
      </c>
      <c r="E11450" t="s">
        <v>28019</v>
      </c>
      <c r="F11450" t="s">
        <v>31574</v>
      </c>
      <c r="G11450" t="s">
        <v>31582</v>
      </c>
      <c r="H11450" t="s">
        <v>31591</v>
      </c>
      <c r="I11450" t="s">
        <v>8822</v>
      </c>
      <c r="J11450" t="s">
        <v>38850</v>
      </c>
      <c r="K11450" t="s">
        <v>41243</v>
      </c>
      <c r="M11450" t="s">
        <v>44629</v>
      </c>
      <c r="N11450" t="s">
        <v>45095</v>
      </c>
      <c r="O11450" t="s">
        <v>45096</v>
      </c>
      <c r="P11450">
        <v>0</v>
      </c>
      <c r="Q11450">
        <v>59</v>
      </c>
      <c r="R11450" t="s">
        <v>45109</v>
      </c>
      <c r="S11450" t="s">
        <v>45478</v>
      </c>
      <c r="T11450" t="s">
        <v>47019</v>
      </c>
      <c r="U11450" t="s">
        <v>56865</v>
      </c>
      <c r="W11450" t="s">
        <v>44629</v>
      </c>
      <c r="X11450" t="s">
        <v>45110</v>
      </c>
    </row>
    <row r="11451" spans="1:24">
      <c r="A11451">
        <f>HYPERLINK("https://www.philgeps.gov.ph/GEPSNONPILOT/Tender/SplashBidNoticeAbstractUI.aspx?menuIndex=3&amp;refID=7026696&amp;Result=3","7026696")</f>
        <v>0</v>
      </c>
      <c r="B11451" t="s">
        <v>587</v>
      </c>
      <c r="C11451" t="s">
        <v>14122</v>
      </c>
      <c r="D11451" t="s">
        <v>18022</v>
      </c>
      <c r="E11451" t="s">
        <v>28020</v>
      </c>
      <c r="F11451" t="s">
        <v>31574</v>
      </c>
      <c r="G11451" t="s">
        <v>31582</v>
      </c>
      <c r="H11451" t="s">
        <v>31591</v>
      </c>
      <c r="I11451" t="s">
        <v>8822</v>
      </c>
      <c r="J11451" t="s">
        <v>38851</v>
      </c>
      <c r="K11451" t="s">
        <v>41200</v>
      </c>
      <c r="M11451" t="s">
        <v>44629</v>
      </c>
      <c r="N11451" t="s">
        <v>45095</v>
      </c>
      <c r="O11451" t="s">
        <v>45096</v>
      </c>
      <c r="P11451">
        <v>0</v>
      </c>
      <c r="Q11451">
        <v>54</v>
      </c>
      <c r="R11451" t="s">
        <v>45109</v>
      </c>
      <c r="S11451" t="s">
        <v>45478</v>
      </c>
      <c r="T11451" t="s">
        <v>47019</v>
      </c>
      <c r="U11451" t="s">
        <v>56866</v>
      </c>
      <c r="W11451" t="s">
        <v>44629</v>
      </c>
      <c r="X11451" t="s">
        <v>45110</v>
      </c>
    </row>
    <row r="11452" spans="1:24">
      <c r="A11452">
        <f>HYPERLINK("https://www.philgeps.gov.ph/GEPSNONPILOT/Tender/SplashBidNoticeAbstractUI.aspx?menuIndex=3&amp;refID=7026709&amp;Result=3","7026709")</f>
        <v>0</v>
      </c>
      <c r="B11452" t="s">
        <v>1099</v>
      </c>
      <c r="C11452" t="s">
        <v>14123</v>
      </c>
      <c r="D11452" t="s">
        <v>18025</v>
      </c>
      <c r="E11452" t="s">
        <v>28021</v>
      </c>
      <c r="F11452" t="s">
        <v>31574</v>
      </c>
      <c r="G11452" t="s">
        <v>31582</v>
      </c>
      <c r="H11452" t="s">
        <v>31590</v>
      </c>
      <c r="I11452" t="s">
        <v>31720</v>
      </c>
      <c r="J11452" t="s">
        <v>38852</v>
      </c>
      <c r="K11452" t="s">
        <v>41189</v>
      </c>
      <c r="M11452" t="s">
        <v>42648</v>
      </c>
      <c r="N11452" t="s">
        <v>45095</v>
      </c>
      <c r="O11452" t="s">
        <v>45096</v>
      </c>
      <c r="P11452">
        <v>0</v>
      </c>
      <c r="Q11452">
        <v>1</v>
      </c>
      <c r="R11452" t="s">
        <v>45109</v>
      </c>
      <c r="S11452" t="s">
        <v>45478</v>
      </c>
      <c r="T11452" t="s">
        <v>46980</v>
      </c>
      <c r="U11452" t="s">
        <v>56867</v>
      </c>
      <c r="W11452" t="s">
        <v>42648</v>
      </c>
      <c r="X11452" t="s">
        <v>45110</v>
      </c>
    </row>
    <row r="11453" spans="1:24">
      <c r="A11453">
        <f>HYPERLINK("https://www.philgeps.gov.ph/GEPSNONPILOT/Tender/SplashBidNoticeAbstractUI.aspx?menuIndex=3&amp;refID=7026626&amp;Result=3","7026626")</f>
        <v>0</v>
      </c>
      <c r="B11453" t="s">
        <v>1584</v>
      </c>
      <c r="C11453" t="s">
        <v>4636</v>
      </c>
      <c r="D11453" t="s">
        <v>18079</v>
      </c>
      <c r="E11453" t="s">
        <v>28022</v>
      </c>
      <c r="F11453" t="s">
        <v>31574</v>
      </c>
      <c r="G11453" t="s">
        <v>31582</v>
      </c>
      <c r="H11453" t="s">
        <v>31591</v>
      </c>
      <c r="I11453" t="s">
        <v>8822</v>
      </c>
      <c r="J11453" t="s">
        <v>32019</v>
      </c>
      <c r="K11453" t="s">
        <v>41192</v>
      </c>
      <c r="M11453" t="s">
        <v>43188</v>
      </c>
      <c r="N11453" t="s">
        <v>45095</v>
      </c>
      <c r="O11453" t="s">
        <v>45096</v>
      </c>
      <c r="P11453">
        <v>0</v>
      </c>
      <c r="Q11453">
        <v>0</v>
      </c>
      <c r="R11453" t="s">
        <v>45109</v>
      </c>
      <c r="S11453" t="s">
        <v>45478</v>
      </c>
      <c r="T11453" t="s">
        <v>46988</v>
      </c>
      <c r="U11453" t="s">
        <v>56868</v>
      </c>
      <c r="W11453" t="s">
        <v>43188</v>
      </c>
      <c r="X11453" t="s">
        <v>45110</v>
      </c>
    </row>
    <row r="11454" spans="1:24">
      <c r="A11454">
        <f>HYPERLINK("https://www.philgeps.gov.ph/GEPSNONPILOT/Tender/SplashBidNoticeAbstractUI.aspx?menuIndex=3&amp;refID=7026715&amp;Result=3","7026715")</f>
        <v>0</v>
      </c>
      <c r="B11454" t="s">
        <v>225</v>
      </c>
      <c r="C11454" t="s">
        <v>14124</v>
      </c>
      <c r="D11454" t="s">
        <v>18081</v>
      </c>
      <c r="E11454" t="s">
        <v>28023</v>
      </c>
      <c r="F11454" t="s">
        <v>31574</v>
      </c>
      <c r="G11454" t="s">
        <v>31582</v>
      </c>
      <c r="H11454" t="s">
        <v>31590</v>
      </c>
      <c r="I11454" t="s">
        <v>31615</v>
      </c>
      <c r="J11454" t="s">
        <v>34050</v>
      </c>
      <c r="K11454" t="s">
        <v>41192</v>
      </c>
      <c r="M11454" t="s">
        <v>41710</v>
      </c>
      <c r="N11454" t="s">
        <v>45095</v>
      </c>
      <c r="O11454" t="s">
        <v>45096</v>
      </c>
      <c r="P11454">
        <v>0</v>
      </c>
      <c r="Q11454">
        <v>4</v>
      </c>
      <c r="R11454" t="s">
        <v>45109</v>
      </c>
      <c r="S11454" t="s">
        <v>45478</v>
      </c>
      <c r="T11454" t="s">
        <v>46991</v>
      </c>
      <c r="U11454" t="s">
        <v>56869</v>
      </c>
      <c r="W11454" t="s">
        <v>41710</v>
      </c>
      <c r="X11454" t="s">
        <v>45110</v>
      </c>
    </row>
    <row r="11455" spans="1:24">
      <c r="A11455">
        <f>HYPERLINK("https://www.philgeps.gov.ph/GEPSNONPILOT/Tender/SplashBidNoticeAbstractUI.aspx?menuIndex=3&amp;refID=7026679&amp;Result=3","7026679")</f>
        <v>0</v>
      </c>
      <c r="B11455" t="s">
        <v>587</v>
      </c>
      <c r="C11455" t="s">
        <v>14125</v>
      </c>
      <c r="D11455" t="s">
        <v>18022</v>
      </c>
      <c r="E11455" t="s">
        <v>28024</v>
      </c>
      <c r="F11455" t="s">
        <v>31574</v>
      </c>
      <c r="G11455" t="s">
        <v>31582</v>
      </c>
      <c r="H11455" t="s">
        <v>31591</v>
      </c>
      <c r="I11455" t="s">
        <v>8822</v>
      </c>
      <c r="J11455" t="s">
        <v>38853</v>
      </c>
      <c r="K11455" t="s">
        <v>41243</v>
      </c>
      <c r="M11455" t="s">
        <v>44629</v>
      </c>
      <c r="N11455" t="s">
        <v>45095</v>
      </c>
      <c r="O11455" t="s">
        <v>45096</v>
      </c>
      <c r="P11455">
        <v>0</v>
      </c>
      <c r="Q11455">
        <v>53</v>
      </c>
      <c r="R11455" t="s">
        <v>45109</v>
      </c>
      <c r="S11455" t="s">
        <v>45478</v>
      </c>
      <c r="T11455" t="s">
        <v>47019</v>
      </c>
      <c r="U11455" t="s">
        <v>56870</v>
      </c>
      <c r="W11455" t="s">
        <v>44629</v>
      </c>
      <c r="X11455" t="s">
        <v>45110</v>
      </c>
    </row>
    <row r="11456" spans="1:24">
      <c r="A11456">
        <f>HYPERLINK("https://www.philgeps.gov.ph/GEPSNONPILOT/Tender/SplashBidNoticeAbstractUI.aspx?menuIndex=3&amp;refID=7026676&amp;Result=3","7026676")</f>
        <v>0</v>
      </c>
      <c r="B11456" t="s">
        <v>640</v>
      </c>
      <c r="C11456" t="s">
        <v>14126</v>
      </c>
      <c r="D11456" t="s">
        <v>18078</v>
      </c>
      <c r="E11456" t="s">
        <v>28025</v>
      </c>
      <c r="F11456" t="s">
        <v>31574</v>
      </c>
      <c r="G11456" t="s">
        <v>31582</v>
      </c>
      <c r="H11456" t="s">
        <v>31591</v>
      </c>
      <c r="I11456" t="s">
        <v>8822</v>
      </c>
      <c r="J11456" t="s">
        <v>32101</v>
      </c>
      <c r="K11456" t="s">
        <v>41185</v>
      </c>
      <c r="M11456" t="s">
        <v>42144</v>
      </c>
      <c r="N11456" t="s">
        <v>45095</v>
      </c>
      <c r="O11456" t="s">
        <v>45096</v>
      </c>
      <c r="P11456">
        <v>0</v>
      </c>
      <c r="Q11456">
        <v>2</v>
      </c>
      <c r="R11456" t="s">
        <v>45109</v>
      </c>
      <c r="S11456" t="s">
        <v>45478</v>
      </c>
      <c r="T11456" t="s">
        <v>46937</v>
      </c>
      <c r="U11456" t="s">
        <v>56871</v>
      </c>
      <c r="V11456" t="s">
        <v>61060</v>
      </c>
      <c r="W11456" t="s">
        <v>42144</v>
      </c>
      <c r="X11456" t="s">
        <v>45110</v>
      </c>
    </row>
    <row r="11457" spans="1:24">
      <c r="A11457">
        <f>HYPERLINK("https://www.philgeps.gov.ph/GEPSNONPILOT/Tender/SplashBidNoticeAbstractUI.aspx?menuIndex=3&amp;refID=7026720&amp;Result=3","7026720")</f>
        <v>0</v>
      </c>
      <c r="B11457" t="s">
        <v>2004</v>
      </c>
      <c r="C11457" t="s">
        <v>14127</v>
      </c>
      <c r="D11457" t="s">
        <v>18062</v>
      </c>
      <c r="E11457" t="s">
        <v>28026</v>
      </c>
      <c r="F11457" t="s">
        <v>31574</v>
      </c>
      <c r="G11457" t="s">
        <v>31581</v>
      </c>
      <c r="H11457" t="s">
        <v>31590</v>
      </c>
      <c r="I11457" t="s">
        <v>31607</v>
      </c>
      <c r="J11457" t="s">
        <v>38854</v>
      </c>
      <c r="K11457" t="s">
        <v>41186</v>
      </c>
      <c r="M11457" t="s">
        <v>43666</v>
      </c>
      <c r="N11457" t="s">
        <v>45095</v>
      </c>
      <c r="O11457" t="s">
        <v>45096</v>
      </c>
      <c r="P11457">
        <v>0</v>
      </c>
      <c r="Q11457">
        <v>4</v>
      </c>
      <c r="R11457" t="s">
        <v>45109</v>
      </c>
      <c r="S11457" t="s">
        <v>45478</v>
      </c>
      <c r="T11457" t="s">
        <v>46917</v>
      </c>
      <c r="U11457" t="s">
        <v>56872</v>
      </c>
      <c r="W11457" t="s">
        <v>43666</v>
      </c>
      <c r="X11457" t="s">
        <v>45110</v>
      </c>
    </row>
    <row r="11458" spans="1:24">
      <c r="A11458">
        <f>HYPERLINK("https://www.philgeps.gov.ph/GEPSNONPILOT/Tender/SplashBidNoticeAbstractUI.aspx?menuIndex=3&amp;refID=7026666&amp;Result=3","7026666")</f>
        <v>0</v>
      </c>
      <c r="B11458" t="s">
        <v>838</v>
      </c>
      <c r="C11458" t="s">
        <v>14128</v>
      </c>
      <c r="D11458" t="s">
        <v>18059</v>
      </c>
      <c r="E11458" t="s">
        <v>28027</v>
      </c>
      <c r="F11458" t="s">
        <v>31574</v>
      </c>
      <c r="G11458" t="s">
        <v>31582</v>
      </c>
      <c r="H11458" t="s">
        <v>31591</v>
      </c>
      <c r="I11458" t="s">
        <v>8822</v>
      </c>
      <c r="J11458" t="s">
        <v>31935</v>
      </c>
      <c r="K11458" t="s">
        <v>41200</v>
      </c>
      <c r="M11458" t="s">
        <v>42357</v>
      </c>
      <c r="N11458" t="s">
        <v>45095</v>
      </c>
      <c r="O11458" t="s">
        <v>45096</v>
      </c>
      <c r="P11458">
        <v>0</v>
      </c>
      <c r="Q11458">
        <v>0</v>
      </c>
      <c r="R11458" t="s">
        <v>45109</v>
      </c>
      <c r="S11458" t="s">
        <v>45478</v>
      </c>
      <c r="T11458" t="s">
        <v>46992</v>
      </c>
      <c r="U11458" t="s">
        <v>56873</v>
      </c>
      <c r="W11458" t="s">
        <v>42357</v>
      </c>
      <c r="X11458" t="s">
        <v>45110</v>
      </c>
    </row>
    <row r="11459" spans="1:24">
      <c r="A11459">
        <f>HYPERLINK("https://www.philgeps.gov.ph/GEPSNONPILOT/Tender/SplashBidNoticeAbstractUI.aspx?menuIndex=3&amp;refID=7026722&amp;Result=3","7026722")</f>
        <v>0</v>
      </c>
      <c r="B11459" t="s">
        <v>2846</v>
      </c>
      <c r="C11459" t="s">
        <v>14129</v>
      </c>
      <c r="D11459" t="s">
        <v>18022</v>
      </c>
      <c r="E11459" t="s">
        <v>28028</v>
      </c>
      <c r="F11459" t="s">
        <v>31579</v>
      </c>
      <c r="G11459" t="s">
        <v>31582</v>
      </c>
      <c r="H11459" t="s">
        <v>31590</v>
      </c>
      <c r="I11459" t="s">
        <v>3487</v>
      </c>
      <c r="J11459" t="s">
        <v>31848</v>
      </c>
      <c r="K11459" t="s">
        <v>41193</v>
      </c>
      <c r="M11459" t="s">
        <v>44630</v>
      </c>
      <c r="N11459" t="s">
        <v>45095</v>
      </c>
      <c r="O11459" t="s">
        <v>45096</v>
      </c>
      <c r="P11459">
        <v>0</v>
      </c>
      <c r="Q11459">
        <v>1</v>
      </c>
      <c r="R11459" t="s">
        <v>45109</v>
      </c>
      <c r="S11459" t="s">
        <v>45478</v>
      </c>
      <c r="T11459" t="s">
        <v>46963</v>
      </c>
      <c r="U11459" t="s">
        <v>56874</v>
      </c>
      <c r="W11459" t="s">
        <v>44630</v>
      </c>
      <c r="X11459" t="s">
        <v>45110</v>
      </c>
    </row>
    <row r="11460" spans="1:24">
      <c r="A11460">
        <f>HYPERLINK("https://www.philgeps.gov.ph/GEPSNONPILOT/Tender/SplashBidNoticeAbstractUI.aspx?menuIndex=3&amp;refID=7026645&amp;Result=3","7026645")</f>
        <v>0</v>
      </c>
      <c r="B11460" t="s">
        <v>1774</v>
      </c>
      <c r="C11460" t="s">
        <v>14130</v>
      </c>
      <c r="D11460" t="s">
        <v>18087</v>
      </c>
      <c r="E11460" t="s">
        <v>28029</v>
      </c>
      <c r="F11460" t="s">
        <v>31574</v>
      </c>
      <c r="G11460" t="s">
        <v>31582</v>
      </c>
      <c r="H11460" t="s">
        <v>31591</v>
      </c>
      <c r="I11460" t="s">
        <v>8822</v>
      </c>
      <c r="J11460" t="s">
        <v>38855</v>
      </c>
      <c r="K11460" t="s">
        <v>41200</v>
      </c>
      <c r="M11460" t="s">
        <v>43404</v>
      </c>
      <c r="N11460" t="s">
        <v>45095</v>
      </c>
      <c r="O11460" t="s">
        <v>45096</v>
      </c>
      <c r="P11460">
        <v>0</v>
      </c>
      <c r="Q11460">
        <v>2</v>
      </c>
      <c r="R11460" t="s">
        <v>45109</v>
      </c>
      <c r="S11460" t="s">
        <v>45478</v>
      </c>
      <c r="T11460" t="s">
        <v>46930</v>
      </c>
      <c r="U11460" t="s">
        <v>56875</v>
      </c>
      <c r="W11460" t="s">
        <v>43404</v>
      </c>
      <c r="X11460" t="s">
        <v>45110</v>
      </c>
    </row>
    <row r="11461" spans="1:24">
      <c r="A11461">
        <f>HYPERLINK("https://www.philgeps.gov.ph/GEPSNONPILOT/Tender/SplashBidNoticeAbstractUI.aspx?menuIndex=3&amp;refID=7026728&amp;Result=3","7026728")</f>
        <v>0</v>
      </c>
      <c r="B11461" t="s">
        <v>2847</v>
      </c>
      <c r="C11461" t="s">
        <v>14131</v>
      </c>
      <c r="D11461" t="s">
        <v>18022</v>
      </c>
      <c r="E11461" t="s">
        <v>28030</v>
      </c>
      <c r="F11461" t="s">
        <v>31575</v>
      </c>
      <c r="G11461" t="s">
        <v>31582</v>
      </c>
      <c r="H11461" t="s">
        <v>31590</v>
      </c>
      <c r="I11461" t="s">
        <v>31644</v>
      </c>
      <c r="J11461" t="s">
        <v>31727</v>
      </c>
      <c r="K11461" t="s">
        <v>41184</v>
      </c>
      <c r="M11461" t="s">
        <v>44631</v>
      </c>
      <c r="N11461" t="s">
        <v>45095</v>
      </c>
      <c r="O11461" t="s">
        <v>45096</v>
      </c>
      <c r="P11461">
        <v>0</v>
      </c>
      <c r="Q11461">
        <v>4</v>
      </c>
      <c r="R11461" t="s">
        <v>45109</v>
      </c>
      <c r="S11461" t="s">
        <v>45478</v>
      </c>
      <c r="T11461" t="s">
        <v>46949</v>
      </c>
      <c r="U11461" t="s">
        <v>56876</v>
      </c>
      <c r="W11461" t="s">
        <v>44631</v>
      </c>
      <c r="X11461" t="s">
        <v>45110</v>
      </c>
    </row>
    <row r="11462" spans="1:24">
      <c r="A11462">
        <f>HYPERLINK("https://www.philgeps.gov.ph/GEPSNONPILOT/Tender/SplashBidNoticeAbstractUI.aspx?menuIndex=3&amp;refID=7026723&amp;Result=3","7026723")</f>
        <v>0</v>
      </c>
      <c r="B11462" t="s">
        <v>587</v>
      </c>
      <c r="C11462" t="s">
        <v>14132</v>
      </c>
      <c r="D11462" t="s">
        <v>18022</v>
      </c>
      <c r="E11462" t="s">
        <v>28031</v>
      </c>
      <c r="F11462" t="s">
        <v>31574</v>
      </c>
      <c r="G11462" t="s">
        <v>31582</v>
      </c>
      <c r="H11462" t="s">
        <v>31591</v>
      </c>
      <c r="I11462" t="s">
        <v>8822</v>
      </c>
      <c r="J11462" t="s">
        <v>38856</v>
      </c>
      <c r="K11462" t="s">
        <v>41198</v>
      </c>
      <c r="M11462" t="s">
        <v>44629</v>
      </c>
      <c r="N11462" t="s">
        <v>45095</v>
      </c>
      <c r="O11462" t="s">
        <v>45096</v>
      </c>
      <c r="P11462">
        <v>0</v>
      </c>
      <c r="Q11462">
        <v>58</v>
      </c>
      <c r="R11462" t="s">
        <v>45109</v>
      </c>
      <c r="S11462" t="s">
        <v>45478</v>
      </c>
      <c r="T11462" t="s">
        <v>47019</v>
      </c>
      <c r="U11462" t="s">
        <v>56877</v>
      </c>
      <c r="W11462" t="s">
        <v>44629</v>
      </c>
      <c r="X11462" t="s">
        <v>45110</v>
      </c>
    </row>
    <row r="11463" spans="1:24">
      <c r="A11463">
        <f>HYPERLINK("https://www.philgeps.gov.ph/GEPSNONPILOT/Tender/SplashBidNoticeAbstractUI.aspx?menuIndex=3&amp;refID=7026646&amp;Result=3","7026646")</f>
        <v>0</v>
      </c>
      <c r="B11463" t="s">
        <v>2818</v>
      </c>
      <c r="C11463" t="s">
        <v>14096</v>
      </c>
      <c r="D11463" t="s">
        <v>18036</v>
      </c>
      <c r="E11463" t="s">
        <v>23458</v>
      </c>
      <c r="F11463" t="s">
        <v>31574</v>
      </c>
      <c r="G11463" t="s">
        <v>31582</v>
      </c>
      <c r="H11463" t="s">
        <v>31590</v>
      </c>
      <c r="I11463" t="s">
        <v>8258</v>
      </c>
      <c r="J11463" t="s">
        <v>38857</v>
      </c>
      <c r="K11463" t="s">
        <v>41193</v>
      </c>
      <c r="M11463" t="s">
        <v>44594</v>
      </c>
      <c r="N11463" t="s">
        <v>45095</v>
      </c>
      <c r="O11463" t="s">
        <v>45096</v>
      </c>
      <c r="P11463">
        <v>0</v>
      </c>
      <c r="Q11463">
        <v>3</v>
      </c>
      <c r="R11463" t="s">
        <v>45109</v>
      </c>
      <c r="S11463" t="s">
        <v>45478</v>
      </c>
      <c r="T11463" t="s">
        <v>47106</v>
      </c>
      <c r="U11463" t="s">
        <v>56838</v>
      </c>
      <c r="W11463" t="s">
        <v>44594</v>
      </c>
      <c r="X11463" t="s">
        <v>45110</v>
      </c>
    </row>
    <row r="11464" spans="1:24">
      <c r="A11464">
        <f>HYPERLINK("https://www.philgeps.gov.ph/GEPSNONPILOT/Tender/SplashBidNoticeAbstractUI.aspx?menuIndex=3&amp;refID=7026776&amp;Result=3","7026776")</f>
        <v>0</v>
      </c>
      <c r="B11464" t="s">
        <v>2848</v>
      </c>
      <c r="C11464" t="s">
        <v>14133</v>
      </c>
      <c r="D11464" t="s">
        <v>18039</v>
      </c>
      <c r="E11464" t="s">
        <v>28032</v>
      </c>
      <c r="F11464" t="s">
        <v>31574</v>
      </c>
      <c r="G11464" t="s">
        <v>31582</v>
      </c>
      <c r="H11464" t="s">
        <v>31590</v>
      </c>
      <c r="I11464" t="s">
        <v>31615</v>
      </c>
      <c r="J11464" t="s">
        <v>38858</v>
      </c>
      <c r="K11464" t="s">
        <v>41184</v>
      </c>
      <c r="M11464" t="s">
        <v>44632</v>
      </c>
      <c r="N11464" t="s">
        <v>45095</v>
      </c>
      <c r="O11464" t="s">
        <v>45096</v>
      </c>
      <c r="P11464">
        <v>0</v>
      </c>
      <c r="Q11464">
        <v>6</v>
      </c>
      <c r="R11464" t="s">
        <v>45109</v>
      </c>
      <c r="S11464" t="s">
        <v>45478</v>
      </c>
      <c r="T11464" t="s">
        <v>46936</v>
      </c>
      <c r="U11464" t="s">
        <v>56878</v>
      </c>
      <c r="W11464" t="s">
        <v>44632</v>
      </c>
      <c r="X11464" t="s">
        <v>45110</v>
      </c>
    </row>
    <row r="11465" spans="1:24">
      <c r="A11465">
        <f>HYPERLINK("https://www.philgeps.gov.ph/GEPSNONPILOT/Tender/SplashBidNoticeAbstractUI.aspx?menuIndex=3&amp;refID=7026733&amp;Result=3","7026733")</f>
        <v>0</v>
      </c>
      <c r="B11465" t="s">
        <v>1672</v>
      </c>
      <c r="C11465" t="s">
        <v>14134</v>
      </c>
      <c r="D11465" t="s">
        <v>18022</v>
      </c>
      <c r="E11465" t="s">
        <v>28033</v>
      </c>
      <c r="F11465" t="s">
        <v>31574</v>
      </c>
      <c r="G11465" t="s">
        <v>31582</v>
      </c>
      <c r="H11465" t="s">
        <v>31590</v>
      </c>
      <c r="I11465" t="s">
        <v>31608</v>
      </c>
      <c r="J11465" t="s">
        <v>32026</v>
      </c>
      <c r="K11465" t="s">
        <v>41185</v>
      </c>
      <c r="M11465" t="s">
        <v>43285</v>
      </c>
      <c r="N11465" t="s">
        <v>45095</v>
      </c>
      <c r="O11465" t="s">
        <v>45096</v>
      </c>
      <c r="Q11465">
        <v>25</v>
      </c>
      <c r="R11465" t="s">
        <v>45109</v>
      </c>
      <c r="S11465" t="s">
        <v>45559</v>
      </c>
      <c r="T11465" t="s">
        <v>47336</v>
      </c>
      <c r="U11465" t="s">
        <v>50610</v>
      </c>
      <c r="W11465" t="s">
        <v>43285</v>
      </c>
      <c r="X11465" t="s">
        <v>45110</v>
      </c>
    </row>
    <row r="11466" spans="1:24">
      <c r="A11466">
        <f>HYPERLINK("https://www.philgeps.gov.ph/GEPSNONPILOT/Tender/SplashBidNoticeAbstractUI.aspx?menuIndex=3&amp;refID=7026767&amp;Result=3","7026767")</f>
        <v>0</v>
      </c>
      <c r="B11466" t="s">
        <v>1070</v>
      </c>
      <c r="C11466" t="s">
        <v>14135</v>
      </c>
      <c r="D11466" t="s">
        <v>18069</v>
      </c>
      <c r="E11466" t="s">
        <v>28034</v>
      </c>
      <c r="F11466" t="s">
        <v>31574</v>
      </c>
      <c r="G11466" t="s">
        <v>31582</v>
      </c>
      <c r="H11466" t="s">
        <v>31590</v>
      </c>
      <c r="I11466" t="s">
        <v>31602</v>
      </c>
      <c r="J11466" t="s">
        <v>38859</v>
      </c>
      <c r="K11466" t="s">
        <v>41192</v>
      </c>
      <c r="M11466" t="s">
        <v>42616</v>
      </c>
      <c r="N11466" t="s">
        <v>45095</v>
      </c>
      <c r="O11466" t="s">
        <v>45096</v>
      </c>
      <c r="Q11466">
        <v>0</v>
      </c>
      <c r="R11466" t="s">
        <v>45109</v>
      </c>
      <c r="S11466" t="s">
        <v>45560</v>
      </c>
      <c r="T11466" t="s">
        <v>46928</v>
      </c>
      <c r="U11466" t="s">
        <v>56879</v>
      </c>
      <c r="W11466" t="s">
        <v>42616</v>
      </c>
      <c r="X11466" t="s">
        <v>45110</v>
      </c>
    </row>
    <row r="11467" spans="1:24">
      <c r="A11467">
        <f>HYPERLINK("https://www.philgeps.gov.ph/GEPSNONPILOT/Tender/SplashBidNoticeAbstractUI.aspx?menuIndex=3&amp;refID=7026665&amp;Result=3","7026665")</f>
        <v>0</v>
      </c>
      <c r="B11467" t="s">
        <v>1584</v>
      </c>
      <c r="C11467" t="s">
        <v>14136</v>
      </c>
      <c r="D11467" t="s">
        <v>18079</v>
      </c>
      <c r="E11467" t="s">
        <v>28035</v>
      </c>
      <c r="F11467" t="s">
        <v>31574</v>
      </c>
      <c r="G11467" t="s">
        <v>31582</v>
      </c>
      <c r="H11467" t="s">
        <v>31591</v>
      </c>
      <c r="I11467" t="s">
        <v>8822</v>
      </c>
      <c r="J11467" t="s">
        <v>31935</v>
      </c>
      <c r="K11467" t="s">
        <v>41203</v>
      </c>
      <c r="M11467" t="s">
        <v>43188</v>
      </c>
      <c r="N11467" t="s">
        <v>45095</v>
      </c>
      <c r="O11467" t="s">
        <v>45096</v>
      </c>
      <c r="P11467">
        <v>0</v>
      </c>
      <c r="Q11467">
        <v>0</v>
      </c>
      <c r="R11467" t="s">
        <v>45109</v>
      </c>
      <c r="S11467" t="s">
        <v>45478</v>
      </c>
      <c r="T11467" t="s">
        <v>46988</v>
      </c>
      <c r="U11467" t="s">
        <v>56880</v>
      </c>
      <c r="W11467" t="s">
        <v>43188</v>
      </c>
      <c r="X11467" t="s">
        <v>45110</v>
      </c>
    </row>
    <row r="11468" spans="1:24">
      <c r="A11468">
        <f>HYPERLINK("https://www.philgeps.gov.ph/GEPSNONPILOT/Tender/SplashBidNoticeAbstractUI.aspx?menuIndex=3&amp;refID=7026725&amp;Result=3","7026725")</f>
        <v>0</v>
      </c>
      <c r="B11468" t="s">
        <v>2682</v>
      </c>
      <c r="C11468" t="s">
        <v>14137</v>
      </c>
      <c r="D11468" t="s">
        <v>18033</v>
      </c>
      <c r="E11468" t="s">
        <v>18647</v>
      </c>
      <c r="F11468" t="s">
        <v>31578</v>
      </c>
      <c r="G11468" t="s">
        <v>31582</v>
      </c>
      <c r="H11468" t="s">
        <v>31590</v>
      </c>
      <c r="I11468" t="s">
        <v>31600</v>
      </c>
      <c r="J11468" t="s">
        <v>31844</v>
      </c>
      <c r="K11468" t="s">
        <v>41196</v>
      </c>
      <c r="M11468" t="s">
        <v>44447</v>
      </c>
      <c r="N11468" t="s">
        <v>45095</v>
      </c>
      <c r="O11468" t="s">
        <v>45096</v>
      </c>
      <c r="P11468">
        <v>0</v>
      </c>
      <c r="Q11468">
        <v>1</v>
      </c>
      <c r="R11468" t="s">
        <v>45109</v>
      </c>
      <c r="S11468" t="s">
        <v>45478</v>
      </c>
      <c r="T11468" t="s">
        <v>46973</v>
      </c>
      <c r="U11468" t="s">
        <v>56881</v>
      </c>
      <c r="V11468" t="s">
        <v>61061</v>
      </c>
      <c r="W11468" t="s">
        <v>44447</v>
      </c>
      <c r="X11468" t="s">
        <v>45110</v>
      </c>
    </row>
    <row r="11469" spans="1:24">
      <c r="A11469">
        <f>HYPERLINK("https://www.philgeps.gov.ph/GEPSNONPILOT/Tender/SplashBidNoticeAbstractUI.aspx?menuIndex=3&amp;refID=7026761&amp;Result=3","7026761")</f>
        <v>0</v>
      </c>
      <c r="B11469" t="s">
        <v>1850</v>
      </c>
      <c r="C11469" t="s">
        <v>14138</v>
      </c>
      <c r="D11469" t="s">
        <v>18022</v>
      </c>
      <c r="E11469" t="s">
        <v>28036</v>
      </c>
      <c r="F11469" t="s">
        <v>31574</v>
      </c>
      <c r="G11469" t="s">
        <v>31582</v>
      </c>
      <c r="H11469" t="s">
        <v>31590</v>
      </c>
      <c r="I11469" t="s">
        <v>31608</v>
      </c>
      <c r="J11469" t="s">
        <v>38860</v>
      </c>
      <c r="K11469" t="s">
        <v>41200</v>
      </c>
      <c r="M11469" t="s">
        <v>43488</v>
      </c>
      <c r="N11469" t="s">
        <v>45095</v>
      </c>
      <c r="O11469" t="s">
        <v>45096</v>
      </c>
      <c r="P11469">
        <v>0</v>
      </c>
      <c r="Q11469">
        <v>17</v>
      </c>
      <c r="R11469" t="s">
        <v>45109</v>
      </c>
      <c r="S11469" t="s">
        <v>45478</v>
      </c>
      <c r="T11469" t="s">
        <v>46966</v>
      </c>
      <c r="U11469" t="s">
        <v>56882</v>
      </c>
      <c r="W11469" t="s">
        <v>43488</v>
      </c>
      <c r="X11469" t="s">
        <v>45110</v>
      </c>
    </row>
    <row r="11470" spans="1:24">
      <c r="A11470">
        <f>HYPERLINK("https://www.philgeps.gov.ph/GEPSNONPILOT/Tender/SplashBidNoticeAbstractUI.aspx?menuIndex=3&amp;refID=7026763&amp;Result=3","7026763")</f>
        <v>0</v>
      </c>
      <c r="B11470" t="s">
        <v>1672</v>
      </c>
      <c r="C11470" t="s">
        <v>14139</v>
      </c>
      <c r="D11470" t="s">
        <v>18022</v>
      </c>
      <c r="E11470" t="s">
        <v>28037</v>
      </c>
      <c r="F11470" t="s">
        <v>31574</v>
      </c>
      <c r="G11470" t="s">
        <v>31582</v>
      </c>
      <c r="H11470" t="s">
        <v>31590</v>
      </c>
      <c r="I11470" t="s">
        <v>31667</v>
      </c>
      <c r="J11470" t="s">
        <v>38861</v>
      </c>
      <c r="K11470" t="s">
        <v>41185</v>
      </c>
      <c r="M11470" t="s">
        <v>43285</v>
      </c>
      <c r="N11470" t="s">
        <v>45095</v>
      </c>
      <c r="O11470" t="s">
        <v>45096</v>
      </c>
      <c r="P11470">
        <v>0</v>
      </c>
      <c r="Q11470">
        <v>8</v>
      </c>
      <c r="R11470" t="s">
        <v>45109</v>
      </c>
      <c r="S11470" t="s">
        <v>45478</v>
      </c>
      <c r="T11470" t="s">
        <v>47336</v>
      </c>
      <c r="U11470" t="s">
        <v>50610</v>
      </c>
      <c r="W11470" t="s">
        <v>43285</v>
      </c>
      <c r="X11470" t="s">
        <v>45110</v>
      </c>
    </row>
    <row r="11471" spans="1:24">
      <c r="A11471">
        <f>HYPERLINK("https://www.philgeps.gov.ph/GEPSNONPILOT/Tender/SplashBidNoticeAbstractUI.aspx?menuIndex=3&amp;refID=7026774&amp;Result=3","7026774")</f>
        <v>0</v>
      </c>
      <c r="B11471" t="s">
        <v>2689</v>
      </c>
      <c r="C11471" t="s">
        <v>14140</v>
      </c>
      <c r="D11471" t="s">
        <v>18027</v>
      </c>
      <c r="E11471" t="s">
        <v>28038</v>
      </c>
      <c r="F11471" t="s">
        <v>31574</v>
      </c>
      <c r="G11471" t="s">
        <v>31582</v>
      </c>
      <c r="H11471" t="s">
        <v>31591</v>
      </c>
      <c r="I11471" t="s">
        <v>8822</v>
      </c>
      <c r="J11471" t="s">
        <v>31771</v>
      </c>
      <c r="K11471" t="s">
        <v>41285</v>
      </c>
      <c r="M11471" t="s">
        <v>44454</v>
      </c>
      <c r="N11471" t="s">
        <v>45095</v>
      </c>
      <c r="O11471" t="s">
        <v>45096</v>
      </c>
      <c r="P11471">
        <v>0</v>
      </c>
      <c r="Q11471">
        <v>0</v>
      </c>
      <c r="R11471" t="s">
        <v>45109</v>
      </c>
      <c r="S11471" t="s">
        <v>45478</v>
      </c>
      <c r="T11471" t="s">
        <v>46914</v>
      </c>
      <c r="U11471" t="s">
        <v>56883</v>
      </c>
      <c r="W11471" t="s">
        <v>44454</v>
      </c>
      <c r="X11471" t="s">
        <v>45110</v>
      </c>
    </row>
    <row r="11472" spans="1:24">
      <c r="A11472">
        <f>HYPERLINK("https://www.philgeps.gov.ph/GEPSNONPILOT/Tender/SplashBidNoticeAbstractUI.aspx?menuIndex=3&amp;refID=7026757&amp;Result=3","7026757")</f>
        <v>0</v>
      </c>
      <c r="B11472" t="s">
        <v>1850</v>
      </c>
      <c r="C11472" t="s">
        <v>14141</v>
      </c>
      <c r="D11472" t="s">
        <v>18022</v>
      </c>
      <c r="E11472" t="s">
        <v>28039</v>
      </c>
      <c r="F11472" t="s">
        <v>31574</v>
      </c>
      <c r="G11472" t="s">
        <v>31582</v>
      </c>
      <c r="H11472" t="s">
        <v>31590</v>
      </c>
      <c r="I11472" t="s">
        <v>31608</v>
      </c>
      <c r="J11472" t="s">
        <v>38862</v>
      </c>
      <c r="K11472" t="s">
        <v>41200</v>
      </c>
      <c r="M11472" t="s">
        <v>43488</v>
      </c>
      <c r="N11472" t="s">
        <v>45095</v>
      </c>
      <c r="O11472" t="s">
        <v>45096</v>
      </c>
      <c r="P11472">
        <v>0</v>
      </c>
      <c r="Q11472">
        <v>18</v>
      </c>
      <c r="R11472" t="s">
        <v>45109</v>
      </c>
      <c r="S11472" t="s">
        <v>45478</v>
      </c>
      <c r="T11472" t="s">
        <v>46966</v>
      </c>
      <c r="U11472" t="s">
        <v>56884</v>
      </c>
      <c r="W11472" t="s">
        <v>43488</v>
      </c>
      <c r="X11472" t="s">
        <v>45110</v>
      </c>
    </row>
    <row r="11473" spans="1:24">
      <c r="A11473">
        <f>HYPERLINK("https://www.philgeps.gov.ph/GEPSNONPILOT/Tender/SplashBidNoticeAbstractUI.aspx?menuIndex=3&amp;refID=7026789&amp;Result=3","7026789")</f>
        <v>0</v>
      </c>
      <c r="B11473" t="s">
        <v>1545</v>
      </c>
      <c r="C11473" t="s">
        <v>14142</v>
      </c>
      <c r="D11473" t="s">
        <v>18023</v>
      </c>
      <c r="E11473" t="s">
        <v>28040</v>
      </c>
      <c r="F11473" t="s">
        <v>31574</v>
      </c>
      <c r="G11473" t="s">
        <v>31582</v>
      </c>
      <c r="H11473" t="s">
        <v>31591</v>
      </c>
      <c r="I11473" t="s">
        <v>8822</v>
      </c>
      <c r="J11473" t="s">
        <v>34707</v>
      </c>
      <c r="K11473" t="s">
        <v>41243</v>
      </c>
      <c r="M11473" t="s">
        <v>43141</v>
      </c>
      <c r="N11473" t="s">
        <v>45095</v>
      </c>
      <c r="O11473" t="s">
        <v>45096</v>
      </c>
      <c r="P11473">
        <v>0</v>
      </c>
      <c r="Q11473">
        <v>35</v>
      </c>
      <c r="R11473" t="s">
        <v>45109</v>
      </c>
      <c r="S11473" t="s">
        <v>45478</v>
      </c>
      <c r="T11473" t="s">
        <v>46952</v>
      </c>
      <c r="U11473" t="s">
        <v>56885</v>
      </c>
      <c r="W11473" t="s">
        <v>43141</v>
      </c>
      <c r="X11473" t="s">
        <v>45110</v>
      </c>
    </row>
    <row r="11474" spans="1:24">
      <c r="A11474">
        <f>HYPERLINK("https://www.philgeps.gov.ph/GEPSNONPILOT/Tender/SplashBidNoticeAbstractUI.aspx?menuIndex=3&amp;refID=7026788&amp;Result=3","7026788")</f>
        <v>0</v>
      </c>
      <c r="B11474" t="s">
        <v>1028</v>
      </c>
      <c r="C11474" t="s">
        <v>14143</v>
      </c>
      <c r="D11474" t="s">
        <v>18055</v>
      </c>
      <c r="E11474" t="s">
        <v>28041</v>
      </c>
      <c r="F11474" t="s">
        <v>31574</v>
      </c>
      <c r="G11474" t="s">
        <v>31582</v>
      </c>
      <c r="H11474" t="s">
        <v>31591</v>
      </c>
      <c r="I11474" t="s">
        <v>8822</v>
      </c>
      <c r="J11474" t="s">
        <v>34050</v>
      </c>
      <c r="K11474" t="s">
        <v>41363</v>
      </c>
      <c r="M11474" t="s">
        <v>44633</v>
      </c>
      <c r="N11474" t="s">
        <v>45095</v>
      </c>
      <c r="O11474" t="s">
        <v>45096</v>
      </c>
      <c r="Q11474">
        <v>112</v>
      </c>
      <c r="R11474" t="s">
        <v>45109</v>
      </c>
      <c r="S11474" t="s">
        <v>45561</v>
      </c>
      <c r="T11474" t="s">
        <v>47010</v>
      </c>
      <c r="U11474" t="s">
        <v>56886</v>
      </c>
      <c r="V11474" t="s">
        <v>61062</v>
      </c>
      <c r="W11474" t="s">
        <v>61759</v>
      </c>
      <c r="X11474" t="s">
        <v>45110</v>
      </c>
    </row>
    <row r="11475" spans="1:24">
      <c r="A11475">
        <f>HYPERLINK("https://www.philgeps.gov.ph/GEPSNONPILOT/Tender/SplashBidNoticeAbstractUI.aspx?menuIndex=3&amp;refID=7026756&amp;Result=3","7026756")</f>
        <v>0</v>
      </c>
      <c r="B11475" t="s">
        <v>2004</v>
      </c>
      <c r="C11475" t="s">
        <v>14144</v>
      </c>
      <c r="D11475" t="s">
        <v>18062</v>
      </c>
      <c r="E11475" t="s">
        <v>28042</v>
      </c>
      <c r="F11475" t="s">
        <v>31574</v>
      </c>
      <c r="G11475" t="s">
        <v>31584</v>
      </c>
      <c r="H11475" t="s">
        <v>31590</v>
      </c>
      <c r="I11475" t="s">
        <v>6800</v>
      </c>
      <c r="J11475" t="s">
        <v>31931</v>
      </c>
      <c r="K11475" t="s">
        <v>41196</v>
      </c>
      <c r="M11475" t="s">
        <v>43666</v>
      </c>
      <c r="N11475" t="s">
        <v>45095</v>
      </c>
      <c r="O11475" t="s">
        <v>45096</v>
      </c>
      <c r="P11475">
        <v>0</v>
      </c>
      <c r="Q11475">
        <v>9</v>
      </c>
      <c r="R11475" t="s">
        <v>45109</v>
      </c>
      <c r="S11475" t="s">
        <v>45478</v>
      </c>
      <c r="T11475" t="s">
        <v>47092</v>
      </c>
      <c r="U11475" t="s">
        <v>56887</v>
      </c>
      <c r="W11475" t="s">
        <v>43666</v>
      </c>
      <c r="X11475" t="s">
        <v>45110</v>
      </c>
    </row>
    <row r="11476" spans="1:24">
      <c r="A11476">
        <f>HYPERLINK("https://www.philgeps.gov.ph/GEPSNONPILOT/Tender/SplashBidNoticeAbstractUI.aspx?menuIndex=3&amp;refID=7026791&amp;Result=3","7026791")</f>
        <v>0</v>
      </c>
      <c r="B11476" t="s">
        <v>1028</v>
      </c>
      <c r="C11476" t="s">
        <v>14145</v>
      </c>
      <c r="D11476" t="s">
        <v>18055</v>
      </c>
      <c r="E11476" t="s">
        <v>28043</v>
      </c>
      <c r="F11476" t="s">
        <v>31574</v>
      </c>
      <c r="G11476" t="s">
        <v>31582</v>
      </c>
      <c r="H11476" t="s">
        <v>31591</v>
      </c>
      <c r="I11476" t="s">
        <v>8822</v>
      </c>
      <c r="J11476" t="s">
        <v>38863</v>
      </c>
      <c r="K11476" t="s">
        <v>41198</v>
      </c>
      <c r="M11476" t="s">
        <v>44633</v>
      </c>
      <c r="N11476" t="s">
        <v>45095</v>
      </c>
      <c r="O11476" t="s">
        <v>45096</v>
      </c>
      <c r="Q11476">
        <v>110</v>
      </c>
      <c r="R11476" t="s">
        <v>45109</v>
      </c>
      <c r="S11476" t="s">
        <v>45562</v>
      </c>
      <c r="T11476" t="s">
        <v>47010</v>
      </c>
      <c r="U11476" t="s">
        <v>56886</v>
      </c>
      <c r="V11476" t="s">
        <v>61063</v>
      </c>
      <c r="W11476" t="s">
        <v>61759</v>
      </c>
      <c r="X11476" t="s">
        <v>45110</v>
      </c>
    </row>
    <row r="11477" spans="1:24">
      <c r="A11477">
        <f>HYPERLINK("https://www.philgeps.gov.ph/GEPSNONPILOT/Tender/SplashBidNoticeAbstractUI.aspx?menuIndex=3&amp;refID=7026771&amp;Result=3","7026771")</f>
        <v>0</v>
      </c>
      <c r="B11477" t="s">
        <v>129</v>
      </c>
      <c r="C11477" t="s">
        <v>14146</v>
      </c>
      <c r="D11477" t="s">
        <v>18022</v>
      </c>
      <c r="E11477" t="s">
        <v>28044</v>
      </c>
      <c r="F11477" t="s">
        <v>31574</v>
      </c>
      <c r="G11477" t="s">
        <v>31582</v>
      </c>
      <c r="H11477" t="s">
        <v>31590</v>
      </c>
      <c r="I11477" t="s">
        <v>31608</v>
      </c>
      <c r="J11477" t="s">
        <v>38864</v>
      </c>
      <c r="K11477" t="s">
        <v>41196</v>
      </c>
      <c r="M11477" t="s">
        <v>41613</v>
      </c>
      <c r="N11477" t="s">
        <v>45095</v>
      </c>
      <c r="O11477" t="s">
        <v>45096</v>
      </c>
      <c r="P11477">
        <v>0</v>
      </c>
      <c r="Q11477">
        <v>11</v>
      </c>
      <c r="R11477" t="s">
        <v>45109</v>
      </c>
      <c r="S11477" t="s">
        <v>45478</v>
      </c>
      <c r="T11477" t="s">
        <v>47396</v>
      </c>
      <c r="U11477" t="s">
        <v>56888</v>
      </c>
      <c r="W11477" t="s">
        <v>41613</v>
      </c>
      <c r="X11477" t="s">
        <v>45110</v>
      </c>
    </row>
    <row r="11478" spans="1:24">
      <c r="A11478">
        <f>HYPERLINK("https://www.philgeps.gov.ph/GEPSNONPILOT/Tender/SplashBidNoticeAbstractUI.aspx?menuIndex=3&amp;refID=7026784&amp;Result=3","7026784")</f>
        <v>0</v>
      </c>
      <c r="B11478" t="s">
        <v>2689</v>
      </c>
      <c r="C11478" t="s">
        <v>14147</v>
      </c>
      <c r="D11478" t="s">
        <v>18027</v>
      </c>
      <c r="E11478" t="s">
        <v>28045</v>
      </c>
      <c r="F11478" t="s">
        <v>31574</v>
      </c>
      <c r="G11478" t="s">
        <v>31582</v>
      </c>
      <c r="H11478" t="s">
        <v>31590</v>
      </c>
      <c r="I11478" t="s">
        <v>4046</v>
      </c>
      <c r="J11478" t="s">
        <v>38865</v>
      </c>
      <c r="K11478" t="s">
        <v>41190</v>
      </c>
      <c r="M11478" t="s">
        <v>44454</v>
      </c>
      <c r="N11478" t="s">
        <v>45095</v>
      </c>
      <c r="O11478" t="s">
        <v>45096</v>
      </c>
      <c r="P11478">
        <v>0</v>
      </c>
      <c r="Q11478">
        <v>0</v>
      </c>
      <c r="R11478" t="s">
        <v>45109</v>
      </c>
      <c r="S11478" t="s">
        <v>45478</v>
      </c>
      <c r="T11478" t="s">
        <v>46914</v>
      </c>
      <c r="U11478" t="s">
        <v>56889</v>
      </c>
      <c r="W11478" t="s">
        <v>44454</v>
      </c>
      <c r="X11478" t="s">
        <v>45110</v>
      </c>
    </row>
    <row r="11479" spans="1:24">
      <c r="A11479">
        <f>HYPERLINK("https://www.philgeps.gov.ph/GEPSNONPILOT/Tender/SplashBidNoticeAbstractUI.aspx?menuIndex=3&amp;refID=7026787&amp;Result=3","7026787")</f>
        <v>0</v>
      </c>
      <c r="B11479" t="s">
        <v>2849</v>
      </c>
      <c r="C11479" t="s">
        <v>14148</v>
      </c>
      <c r="D11479" t="s">
        <v>18030</v>
      </c>
      <c r="E11479" t="s">
        <v>28046</v>
      </c>
      <c r="F11479" t="s">
        <v>31574</v>
      </c>
      <c r="G11479" t="s">
        <v>31582</v>
      </c>
      <c r="H11479" t="s">
        <v>31591</v>
      </c>
      <c r="I11479" t="s">
        <v>8822</v>
      </c>
      <c r="J11479" t="s">
        <v>32986</v>
      </c>
      <c r="K11479" t="s">
        <v>41200</v>
      </c>
      <c r="M11479" t="s">
        <v>44634</v>
      </c>
      <c r="N11479" t="s">
        <v>45095</v>
      </c>
      <c r="O11479" t="s">
        <v>45096</v>
      </c>
      <c r="Q11479">
        <v>2</v>
      </c>
      <c r="R11479" t="s">
        <v>45109</v>
      </c>
      <c r="S11479" t="s">
        <v>45563</v>
      </c>
      <c r="T11479" t="s">
        <v>47003</v>
      </c>
      <c r="U11479" t="s">
        <v>56890</v>
      </c>
      <c r="W11479" t="s">
        <v>44634</v>
      </c>
      <c r="X11479" t="s">
        <v>45110</v>
      </c>
    </row>
    <row r="11480" spans="1:24">
      <c r="A11480">
        <f>HYPERLINK("https://www.philgeps.gov.ph/GEPSNONPILOT/Tender/SplashBidNoticeAbstractUI.aspx?menuIndex=3&amp;refID=7026785&amp;Result=3","7026785")</f>
        <v>0</v>
      </c>
      <c r="B11480" t="s">
        <v>290</v>
      </c>
      <c r="C11480" t="s">
        <v>14149</v>
      </c>
      <c r="D11480" t="s">
        <v>18043</v>
      </c>
      <c r="E11480" t="s">
        <v>28047</v>
      </c>
      <c r="F11480" t="s">
        <v>31574</v>
      </c>
      <c r="G11480" t="s">
        <v>31582</v>
      </c>
      <c r="H11480" t="s">
        <v>31590</v>
      </c>
      <c r="I11480" t="s">
        <v>31645</v>
      </c>
      <c r="J11480" t="s">
        <v>38866</v>
      </c>
      <c r="K11480" t="s">
        <v>41192</v>
      </c>
      <c r="M11480" t="s">
        <v>43891</v>
      </c>
      <c r="N11480" t="s">
        <v>45095</v>
      </c>
      <c r="O11480" t="s">
        <v>45096</v>
      </c>
      <c r="P11480">
        <v>0</v>
      </c>
      <c r="Q11480">
        <v>11</v>
      </c>
      <c r="R11480" t="s">
        <v>45109</v>
      </c>
      <c r="S11480" t="s">
        <v>45478</v>
      </c>
      <c r="T11480" t="s">
        <v>46926</v>
      </c>
      <c r="U11480" t="s">
        <v>56891</v>
      </c>
      <c r="W11480" t="s">
        <v>43891</v>
      </c>
      <c r="X11480" t="s">
        <v>45110</v>
      </c>
    </row>
    <row r="11481" spans="1:24">
      <c r="A11481">
        <f>HYPERLINK("https://www.philgeps.gov.ph/GEPSNONPILOT/Tender/SplashBidNoticeAbstractUI.aspx?menuIndex=3&amp;refID=7026778&amp;Result=3","7026778")</f>
        <v>0</v>
      </c>
      <c r="B11481" t="s">
        <v>2123</v>
      </c>
      <c r="C11481" t="s">
        <v>14150</v>
      </c>
      <c r="D11481" t="s">
        <v>18022</v>
      </c>
      <c r="E11481" t="s">
        <v>27163</v>
      </c>
      <c r="F11481" t="s">
        <v>31574</v>
      </c>
      <c r="G11481" t="s">
        <v>31581</v>
      </c>
      <c r="H11481" t="s">
        <v>31590</v>
      </c>
      <c r="I11481" t="s">
        <v>3487</v>
      </c>
      <c r="J11481" t="s">
        <v>38867</v>
      </c>
      <c r="K11481" t="s">
        <v>41184</v>
      </c>
      <c r="M11481" t="s">
        <v>44635</v>
      </c>
      <c r="N11481" t="s">
        <v>45095</v>
      </c>
      <c r="O11481" t="s">
        <v>45096</v>
      </c>
      <c r="Q11481">
        <v>3</v>
      </c>
      <c r="R11481" t="s">
        <v>45109</v>
      </c>
      <c r="S11481" t="s">
        <v>45564</v>
      </c>
      <c r="T11481" t="s">
        <v>47397</v>
      </c>
      <c r="U11481" t="s">
        <v>56892</v>
      </c>
      <c r="V11481" t="s">
        <v>61064</v>
      </c>
      <c r="W11481" t="s">
        <v>44635</v>
      </c>
      <c r="X11481" t="s">
        <v>45110</v>
      </c>
    </row>
    <row r="11482" spans="1:24">
      <c r="A11482">
        <f>HYPERLINK("https://www.philgeps.gov.ph/GEPSNONPILOT/Tender/SplashBidNoticeAbstractUI.aspx?menuIndex=3&amp;refID=7026792&amp;Result=3","7026792")</f>
        <v>0</v>
      </c>
      <c r="B11482" t="s">
        <v>2849</v>
      </c>
      <c r="C11482" t="s">
        <v>14151</v>
      </c>
      <c r="D11482" t="s">
        <v>18030</v>
      </c>
      <c r="E11482" t="s">
        <v>28048</v>
      </c>
      <c r="F11482" t="s">
        <v>31574</v>
      </c>
      <c r="G11482" t="s">
        <v>31582</v>
      </c>
      <c r="H11482" t="s">
        <v>31591</v>
      </c>
      <c r="I11482" t="s">
        <v>8822</v>
      </c>
      <c r="J11482" t="s">
        <v>38868</v>
      </c>
      <c r="K11482" t="s">
        <v>41200</v>
      </c>
      <c r="M11482" t="s">
        <v>44634</v>
      </c>
      <c r="N11482" t="s">
        <v>45095</v>
      </c>
      <c r="O11482" t="s">
        <v>45096</v>
      </c>
      <c r="P11482">
        <v>0</v>
      </c>
      <c r="Q11482">
        <v>3</v>
      </c>
      <c r="R11482" t="s">
        <v>45109</v>
      </c>
      <c r="S11482" t="s">
        <v>45478</v>
      </c>
      <c r="T11482" t="s">
        <v>47003</v>
      </c>
      <c r="U11482" t="s">
        <v>56893</v>
      </c>
      <c r="W11482" t="s">
        <v>44634</v>
      </c>
      <c r="X11482" t="s">
        <v>45110</v>
      </c>
    </row>
    <row r="11483" spans="1:24">
      <c r="A11483">
        <f>HYPERLINK("https://www.philgeps.gov.ph/GEPSNONPILOT/Tender/SplashBidNoticeAbstractUI.aspx?menuIndex=3&amp;refID=7026802&amp;Result=3","7026802")</f>
        <v>0</v>
      </c>
      <c r="B11483" t="s">
        <v>2849</v>
      </c>
      <c r="C11483" t="s">
        <v>14152</v>
      </c>
      <c r="D11483" t="s">
        <v>18030</v>
      </c>
      <c r="E11483" t="s">
        <v>28049</v>
      </c>
      <c r="F11483" t="s">
        <v>31574</v>
      </c>
      <c r="G11483" t="s">
        <v>31582</v>
      </c>
      <c r="H11483" t="s">
        <v>31591</v>
      </c>
      <c r="I11483" t="s">
        <v>8822</v>
      </c>
      <c r="J11483" t="s">
        <v>38869</v>
      </c>
      <c r="K11483" t="s">
        <v>41200</v>
      </c>
      <c r="M11483" t="s">
        <v>44634</v>
      </c>
      <c r="N11483" t="s">
        <v>45095</v>
      </c>
      <c r="O11483" t="s">
        <v>45096</v>
      </c>
      <c r="P11483">
        <v>0</v>
      </c>
      <c r="Q11483">
        <v>1</v>
      </c>
      <c r="R11483" t="s">
        <v>45109</v>
      </c>
      <c r="S11483" t="s">
        <v>45478</v>
      </c>
      <c r="T11483" t="s">
        <v>47003</v>
      </c>
      <c r="U11483" t="s">
        <v>56894</v>
      </c>
      <c r="W11483" t="s">
        <v>44634</v>
      </c>
      <c r="X11483" t="s">
        <v>45110</v>
      </c>
    </row>
    <row r="11484" spans="1:24">
      <c r="A11484">
        <f>HYPERLINK("https://www.philgeps.gov.ph/GEPSNONPILOT/Tender/SplashBidNoticeAbstractUI.aspx?menuIndex=3&amp;refID=7026795&amp;Result=3","7026795")</f>
        <v>0</v>
      </c>
      <c r="B11484" t="s">
        <v>1545</v>
      </c>
      <c r="C11484" t="s">
        <v>14153</v>
      </c>
      <c r="D11484" t="s">
        <v>18023</v>
      </c>
      <c r="E11484" t="s">
        <v>28050</v>
      </c>
      <c r="F11484" t="s">
        <v>31574</v>
      </c>
      <c r="G11484" t="s">
        <v>31582</v>
      </c>
      <c r="H11484" t="s">
        <v>31591</v>
      </c>
      <c r="I11484" t="s">
        <v>8822</v>
      </c>
      <c r="J11484" t="s">
        <v>34707</v>
      </c>
      <c r="K11484" t="s">
        <v>41411</v>
      </c>
      <c r="M11484" t="s">
        <v>43141</v>
      </c>
      <c r="N11484" t="s">
        <v>45095</v>
      </c>
      <c r="O11484" t="s">
        <v>45096</v>
      </c>
      <c r="P11484">
        <v>0</v>
      </c>
      <c r="Q11484">
        <v>35</v>
      </c>
      <c r="R11484" t="s">
        <v>45109</v>
      </c>
      <c r="S11484" t="s">
        <v>45478</v>
      </c>
      <c r="T11484" t="s">
        <v>46952</v>
      </c>
      <c r="U11484" t="s">
        <v>56885</v>
      </c>
      <c r="W11484" t="s">
        <v>43141</v>
      </c>
      <c r="X11484" t="s">
        <v>45110</v>
      </c>
    </row>
    <row r="11485" spans="1:24">
      <c r="A11485">
        <f>HYPERLINK("https://www.philgeps.gov.ph/GEPSNONPILOT/Tender/SplashBidNoticeAbstractUI.aspx?menuIndex=3&amp;refID=7026804&amp;Result=3","7026804")</f>
        <v>0</v>
      </c>
      <c r="B11485" t="s">
        <v>2850</v>
      </c>
      <c r="C11485" t="s">
        <v>14154</v>
      </c>
      <c r="E11485" t="s">
        <v>28051</v>
      </c>
      <c r="F11485" t="s">
        <v>31574</v>
      </c>
      <c r="G11485" t="s">
        <v>31582</v>
      </c>
      <c r="H11485" t="s">
        <v>31591</v>
      </c>
      <c r="I11485" t="s">
        <v>8822</v>
      </c>
      <c r="J11485" t="s">
        <v>38870</v>
      </c>
      <c r="K11485" t="s">
        <v>41184</v>
      </c>
      <c r="M11485" t="s">
        <v>44636</v>
      </c>
      <c r="N11485" t="s">
        <v>45095</v>
      </c>
      <c r="O11485" t="s">
        <v>45096</v>
      </c>
      <c r="P11485">
        <v>0</v>
      </c>
      <c r="Q11485">
        <v>2</v>
      </c>
      <c r="R11485" t="s">
        <v>45109</v>
      </c>
      <c r="S11485" t="s">
        <v>45478</v>
      </c>
      <c r="T11485" t="s">
        <v>46935</v>
      </c>
      <c r="U11485" t="s">
        <v>56895</v>
      </c>
      <c r="W11485" t="s">
        <v>44636</v>
      </c>
      <c r="X11485" t="s">
        <v>45110</v>
      </c>
    </row>
    <row r="11486" spans="1:24">
      <c r="A11486">
        <f>HYPERLINK("https://www.philgeps.gov.ph/GEPSNONPILOT/Tender/SplashBidNoticeAbstractUI.aspx?menuIndex=3&amp;refID=7026797&amp;Result=3","7026797")</f>
        <v>0</v>
      </c>
      <c r="B11486" t="s">
        <v>2123</v>
      </c>
      <c r="C11486" t="s">
        <v>14155</v>
      </c>
      <c r="D11486" t="s">
        <v>18022</v>
      </c>
      <c r="E11486" t="s">
        <v>28052</v>
      </c>
      <c r="F11486" t="s">
        <v>31574</v>
      </c>
      <c r="G11486" t="s">
        <v>31581</v>
      </c>
      <c r="H11486" t="s">
        <v>31590</v>
      </c>
      <c r="I11486" t="s">
        <v>3487</v>
      </c>
      <c r="J11486" t="s">
        <v>33125</v>
      </c>
      <c r="K11486" t="s">
        <v>41184</v>
      </c>
      <c r="M11486" t="s">
        <v>44635</v>
      </c>
      <c r="N11486" t="s">
        <v>45095</v>
      </c>
      <c r="O11486" t="s">
        <v>45096</v>
      </c>
      <c r="Q11486">
        <v>2</v>
      </c>
      <c r="R11486" t="s">
        <v>45109</v>
      </c>
      <c r="S11486" t="s">
        <v>45565</v>
      </c>
      <c r="T11486" t="s">
        <v>47397</v>
      </c>
      <c r="U11486" t="s">
        <v>56896</v>
      </c>
      <c r="V11486" t="s">
        <v>61064</v>
      </c>
      <c r="W11486" t="s">
        <v>44635</v>
      </c>
      <c r="X11486" t="s">
        <v>45110</v>
      </c>
    </row>
    <row r="11487" spans="1:24">
      <c r="A11487">
        <f>HYPERLINK("https://www.philgeps.gov.ph/GEPSNONPILOT/Tender/SplashBidNoticeAbstractUI.aspx?menuIndex=3&amp;refID=7026793&amp;Result=3","7026793")</f>
        <v>0</v>
      </c>
      <c r="B11487" t="s">
        <v>1070</v>
      </c>
      <c r="C11487" t="s">
        <v>14156</v>
      </c>
      <c r="D11487" t="s">
        <v>18069</v>
      </c>
      <c r="E11487" t="s">
        <v>28053</v>
      </c>
      <c r="F11487" t="s">
        <v>31574</v>
      </c>
      <c r="G11487" t="s">
        <v>31582</v>
      </c>
      <c r="H11487" t="s">
        <v>31590</v>
      </c>
      <c r="I11487" t="s">
        <v>3489</v>
      </c>
      <c r="J11487" t="s">
        <v>38871</v>
      </c>
      <c r="K11487" t="s">
        <v>41192</v>
      </c>
      <c r="M11487" t="s">
        <v>42616</v>
      </c>
      <c r="N11487" t="s">
        <v>45095</v>
      </c>
      <c r="O11487" t="s">
        <v>45096</v>
      </c>
      <c r="Q11487">
        <v>1</v>
      </c>
      <c r="R11487" t="s">
        <v>45109</v>
      </c>
      <c r="S11487" t="s">
        <v>45566</v>
      </c>
      <c r="T11487" t="s">
        <v>46928</v>
      </c>
      <c r="U11487" t="s">
        <v>56897</v>
      </c>
      <c r="W11487" t="s">
        <v>42616</v>
      </c>
      <c r="X11487" t="s">
        <v>45110</v>
      </c>
    </row>
    <row r="11488" spans="1:24">
      <c r="A11488">
        <f>HYPERLINK("https://www.philgeps.gov.ph/GEPSNONPILOT/Tender/SplashBidNoticeAbstractUI.aspx?menuIndex=3&amp;refID=7026798&amp;Result=3","7026798")</f>
        <v>0</v>
      </c>
      <c r="B11488" t="s">
        <v>2849</v>
      </c>
      <c r="C11488" t="s">
        <v>14157</v>
      </c>
      <c r="D11488" t="s">
        <v>18030</v>
      </c>
      <c r="E11488" t="s">
        <v>28054</v>
      </c>
      <c r="F11488" t="s">
        <v>31574</v>
      </c>
      <c r="G11488" t="s">
        <v>31582</v>
      </c>
      <c r="H11488" t="s">
        <v>31591</v>
      </c>
      <c r="I11488" t="s">
        <v>8822</v>
      </c>
      <c r="J11488" t="s">
        <v>38872</v>
      </c>
      <c r="K11488" t="s">
        <v>41200</v>
      </c>
      <c r="M11488" t="s">
        <v>44634</v>
      </c>
      <c r="N11488" t="s">
        <v>45095</v>
      </c>
      <c r="O11488" t="s">
        <v>45096</v>
      </c>
      <c r="P11488">
        <v>0</v>
      </c>
      <c r="Q11488">
        <v>1</v>
      </c>
      <c r="R11488" t="s">
        <v>45109</v>
      </c>
      <c r="S11488" t="s">
        <v>45478</v>
      </c>
      <c r="T11488" t="s">
        <v>47003</v>
      </c>
      <c r="U11488" t="s">
        <v>56898</v>
      </c>
      <c r="W11488" t="s">
        <v>44634</v>
      </c>
      <c r="X11488" t="s">
        <v>45110</v>
      </c>
    </row>
    <row r="11489" spans="1:24">
      <c r="A11489">
        <f>HYPERLINK("https://www.philgeps.gov.ph/GEPSNONPILOT/Tender/SplashBidNoticeAbstractUI.aspx?menuIndex=3&amp;refID=7026822&amp;Result=3","7026822")</f>
        <v>0</v>
      </c>
      <c r="B11489" t="s">
        <v>877</v>
      </c>
      <c r="C11489" t="s">
        <v>14158</v>
      </c>
      <c r="D11489" t="s">
        <v>18096</v>
      </c>
      <c r="E11489" t="s">
        <v>28055</v>
      </c>
      <c r="F11489" t="s">
        <v>31574</v>
      </c>
      <c r="G11489" t="s">
        <v>31582</v>
      </c>
      <c r="H11489" t="s">
        <v>31590</v>
      </c>
      <c r="I11489" t="s">
        <v>5717</v>
      </c>
      <c r="J11489" t="s">
        <v>38873</v>
      </c>
      <c r="K11489" t="s">
        <v>41196</v>
      </c>
      <c r="M11489" t="s">
        <v>42398</v>
      </c>
      <c r="N11489" t="s">
        <v>45095</v>
      </c>
      <c r="O11489" t="s">
        <v>45096</v>
      </c>
      <c r="P11489">
        <v>0</v>
      </c>
      <c r="Q11489">
        <v>0</v>
      </c>
      <c r="R11489" t="s">
        <v>45109</v>
      </c>
      <c r="S11489" t="s">
        <v>45478</v>
      </c>
      <c r="T11489" t="s">
        <v>46973</v>
      </c>
      <c r="U11489" t="s">
        <v>56899</v>
      </c>
      <c r="W11489" t="s">
        <v>42398</v>
      </c>
      <c r="X11489" t="s">
        <v>45110</v>
      </c>
    </row>
    <row r="11490" spans="1:24">
      <c r="A11490">
        <f>HYPERLINK("https://www.philgeps.gov.ph/GEPSNONPILOT/Tender/SplashBidNoticeAbstractUI.aspx?menuIndex=3&amp;refID=7026824&amp;Result=3","7026824")</f>
        <v>0</v>
      </c>
      <c r="B11490" t="s">
        <v>1028</v>
      </c>
      <c r="C11490" t="s">
        <v>14159</v>
      </c>
      <c r="D11490" t="s">
        <v>18055</v>
      </c>
      <c r="E11490" t="s">
        <v>28056</v>
      </c>
      <c r="F11490" t="s">
        <v>31574</v>
      </c>
      <c r="G11490" t="s">
        <v>31582</v>
      </c>
      <c r="H11490" t="s">
        <v>31591</v>
      </c>
      <c r="I11490" t="s">
        <v>8822</v>
      </c>
      <c r="J11490" t="s">
        <v>31771</v>
      </c>
      <c r="K11490" t="s">
        <v>41200</v>
      </c>
      <c r="M11490" t="s">
        <v>44633</v>
      </c>
      <c r="N11490" t="s">
        <v>45095</v>
      </c>
      <c r="O11490" t="s">
        <v>45096</v>
      </c>
      <c r="Q11490">
        <v>112</v>
      </c>
      <c r="R11490" t="s">
        <v>45109</v>
      </c>
      <c r="S11490" t="s">
        <v>45567</v>
      </c>
      <c r="T11490" t="s">
        <v>47010</v>
      </c>
      <c r="U11490" t="s">
        <v>56886</v>
      </c>
      <c r="V11490" t="s">
        <v>61063</v>
      </c>
      <c r="W11490" t="s">
        <v>61759</v>
      </c>
      <c r="X11490" t="s">
        <v>45110</v>
      </c>
    </row>
    <row r="11491" spans="1:24">
      <c r="A11491">
        <f>HYPERLINK("https://www.philgeps.gov.ph/GEPSNONPILOT/Tender/SplashBidNoticeAbstractUI.aspx?menuIndex=3&amp;refID=7026821&amp;Result=3","7026821")</f>
        <v>0</v>
      </c>
      <c r="B11491" t="s">
        <v>1028</v>
      </c>
      <c r="C11491" t="s">
        <v>14160</v>
      </c>
      <c r="D11491" t="s">
        <v>18055</v>
      </c>
      <c r="E11491" t="s">
        <v>28057</v>
      </c>
      <c r="F11491" t="s">
        <v>31574</v>
      </c>
      <c r="G11491" t="s">
        <v>31582</v>
      </c>
      <c r="H11491" t="s">
        <v>31591</v>
      </c>
      <c r="I11491" t="s">
        <v>8822</v>
      </c>
      <c r="J11491" t="s">
        <v>31771</v>
      </c>
      <c r="K11491" t="s">
        <v>41200</v>
      </c>
      <c r="M11491" t="s">
        <v>44633</v>
      </c>
      <c r="N11491" t="s">
        <v>45095</v>
      </c>
      <c r="O11491" t="s">
        <v>45096</v>
      </c>
      <c r="Q11491">
        <v>112</v>
      </c>
      <c r="R11491" t="s">
        <v>45109</v>
      </c>
      <c r="S11491" t="s">
        <v>45568</v>
      </c>
      <c r="T11491" t="s">
        <v>47010</v>
      </c>
      <c r="U11491" t="s">
        <v>56886</v>
      </c>
      <c r="V11491" t="s">
        <v>61065</v>
      </c>
      <c r="W11491" t="s">
        <v>61759</v>
      </c>
      <c r="X11491" t="s">
        <v>45110</v>
      </c>
    </row>
    <row r="11492" spans="1:24">
      <c r="A11492">
        <f>HYPERLINK("https://www.philgeps.gov.ph/GEPSNONPILOT/Tender/SplashBidNoticeAbstractUI.aspx?menuIndex=3&amp;refID=7026816&amp;Result=3","7026816")</f>
        <v>0</v>
      </c>
      <c r="B11492" t="s">
        <v>2851</v>
      </c>
      <c r="C11492" t="s">
        <v>14161</v>
      </c>
      <c r="D11492" t="s">
        <v>18072</v>
      </c>
      <c r="E11492" t="s">
        <v>28058</v>
      </c>
      <c r="F11492" t="s">
        <v>31574</v>
      </c>
      <c r="G11492" t="s">
        <v>31582</v>
      </c>
      <c r="H11492" t="s">
        <v>31590</v>
      </c>
      <c r="I11492" t="s">
        <v>4046</v>
      </c>
      <c r="J11492" t="s">
        <v>36404</v>
      </c>
      <c r="K11492" t="s">
        <v>41196</v>
      </c>
      <c r="M11492" t="s">
        <v>44637</v>
      </c>
      <c r="N11492" t="s">
        <v>45095</v>
      </c>
      <c r="O11492" t="s">
        <v>45096</v>
      </c>
      <c r="P11492">
        <v>0</v>
      </c>
      <c r="Q11492">
        <v>0</v>
      </c>
      <c r="R11492" t="s">
        <v>45109</v>
      </c>
      <c r="S11492" t="s">
        <v>45478</v>
      </c>
      <c r="T11492" t="s">
        <v>46952</v>
      </c>
      <c r="U11492" t="s">
        <v>56900</v>
      </c>
      <c r="W11492" t="s">
        <v>44637</v>
      </c>
      <c r="X11492" t="s">
        <v>45110</v>
      </c>
    </row>
    <row r="11493" spans="1:24">
      <c r="A11493">
        <f>HYPERLINK("https://www.philgeps.gov.ph/GEPSNONPILOT/Tender/SplashBidNoticeAbstractUI.aspx?menuIndex=3&amp;refID=7026817&amp;Result=3","7026817")</f>
        <v>0</v>
      </c>
      <c r="B11493" t="s">
        <v>2831</v>
      </c>
      <c r="C11493" t="s">
        <v>14162</v>
      </c>
      <c r="D11493" t="s">
        <v>18027</v>
      </c>
      <c r="E11493" t="s">
        <v>27896</v>
      </c>
      <c r="F11493" t="s">
        <v>31574</v>
      </c>
      <c r="G11493" t="s">
        <v>31582</v>
      </c>
      <c r="H11493" t="s">
        <v>31590</v>
      </c>
      <c r="I11493" t="s">
        <v>31633</v>
      </c>
      <c r="J11493" t="s">
        <v>34952</v>
      </c>
      <c r="K11493" t="s">
        <v>41186</v>
      </c>
      <c r="M11493" t="s">
        <v>44611</v>
      </c>
      <c r="N11493" t="s">
        <v>45095</v>
      </c>
      <c r="O11493" t="s">
        <v>45096</v>
      </c>
      <c r="P11493">
        <v>0</v>
      </c>
      <c r="Q11493">
        <v>10</v>
      </c>
      <c r="R11493" t="s">
        <v>45109</v>
      </c>
      <c r="S11493" t="s">
        <v>45478</v>
      </c>
      <c r="T11493" t="s">
        <v>47391</v>
      </c>
      <c r="U11493" t="s">
        <v>56741</v>
      </c>
      <c r="V11493" t="s">
        <v>61066</v>
      </c>
      <c r="W11493" t="s">
        <v>44611</v>
      </c>
      <c r="X11493" t="s">
        <v>45110</v>
      </c>
    </row>
    <row r="11494" spans="1:24">
      <c r="A11494">
        <f>HYPERLINK("https://www.philgeps.gov.ph/GEPSNONPILOT/Tender/SplashBidNoticeAbstractUI.aspx?menuIndex=3&amp;refID=7026811&amp;Result=3","7026811")</f>
        <v>0</v>
      </c>
      <c r="B11494" t="s">
        <v>2849</v>
      </c>
      <c r="C11494" t="s">
        <v>14163</v>
      </c>
      <c r="D11494" t="s">
        <v>18030</v>
      </c>
      <c r="E11494" t="s">
        <v>28059</v>
      </c>
      <c r="F11494" t="s">
        <v>31574</v>
      </c>
      <c r="G11494" t="s">
        <v>31582</v>
      </c>
      <c r="H11494" t="s">
        <v>31591</v>
      </c>
      <c r="I11494" t="s">
        <v>8822</v>
      </c>
      <c r="J11494" t="s">
        <v>38874</v>
      </c>
      <c r="K11494" t="s">
        <v>41200</v>
      </c>
      <c r="M11494" t="s">
        <v>44634</v>
      </c>
      <c r="N11494" t="s">
        <v>45095</v>
      </c>
      <c r="O11494" t="s">
        <v>45096</v>
      </c>
      <c r="P11494">
        <v>0</v>
      </c>
      <c r="Q11494">
        <v>1</v>
      </c>
      <c r="R11494" t="s">
        <v>45109</v>
      </c>
      <c r="S11494" t="s">
        <v>45478</v>
      </c>
      <c r="T11494" t="s">
        <v>47003</v>
      </c>
      <c r="U11494" t="s">
        <v>56901</v>
      </c>
      <c r="W11494" t="s">
        <v>44634</v>
      </c>
      <c r="X11494" t="s">
        <v>45110</v>
      </c>
    </row>
    <row r="11495" spans="1:24">
      <c r="A11495">
        <f>HYPERLINK("https://www.philgeps.gov.ph/GEPSNONPILOT/Tender/SplashBidNoticeAbstractUI.aspx?menuIndex=3&amp;refID=7026796&amp;Result=3","7026796")</f>
        <v>0</v>
      </c>
      <c r="B11495" t="s">
        <v>1028</v>
      </c>
      <c r="C11495" t="s">
        <v>14164</v>
      </c>
      <c r="D11495" t="s">
        <v>18055</v>
      </c>
      <c r="E11495" t="s">
        <v>28060</v>
      </c>
      <c r="F11495" t="s">
        <v>31574</v>
      </c>
      <c r="G11495" t="s">
        <v>31582</v>
      </c>
      <c r="H11495" t="s">
        <v>31591</v>
      </c>
      <c r="I11495" t="s">
        <v>8822</v>
      </c>
      <c r="J11495" t="s">
        <v>32530</v>
      </c>
      <c r="K11495" t="s">
        <v>41363</v>
      </c>
      <c r="M11495" t="s">
        <v>44633</v>
      </c>
      <c r="N11495" t="s">
        <v>45095</v>
      </c>
      <c r="O11495" t="s">
        <v>45096</v>
      </c>
      <c r="Q11495">
        <v>112</v>
      </c>
      <c r="R11495" t="s">
        <v>45109</v>
      </c>
      <c r="S11495" t="s">
        <v>45569</v>
      </c>
      <c r="T11495" t="s">
        <v>47010</v>
      </c>
      <c r="U11495" t="s">
        <v>56886</v>
      </c>
      <c r="V11495" t="s">
        <v>61067</v>
      </c>
      <c r="W11495" t="s">
        <v>61759</v>
      </c>
      <c r="X11495" t="s">
        <v>45110</v>
      </c>
    </row>
    <row r="11496" spans="1:24">
      <c r="A11496">
        <f>HYPERLINK("https://www.philgeps.gov.ph/GEPSNONPILOT/Tender/SplashBidNoticeAbstractUI.aspx?menuIndex=3&amp;refID=7026825&amp;Result=3","7026825")</f>
        <v>0</v>
      </c>
      <c r="B11496" t="s">
        <v>1859</v>
      </c>
      <c r="C11496" t="s">
        <v>14165</v>
      </c>
      <c r="D11496" t="s">
        <v>18027</v>
      </c>
      <c r="E11496" t="s">
        <v>28061</v>
      </c>
      <c r="F11496" t="s">
        <v>31574</v>
      </c>
      <c r="G11496" t="s">
        <v>31582</v>
      </c>
      <c r="H11496" t="s">
        <v>31590</v>
      </c>
      <c r="I11496" t="s">
        <v>4046</v>
      </c>
      <c r="J11496" t="s">
        <v>38875</v>
      </c>
      <c r="K11496" t="s">
        <v>41191</v>
      </c>
      <c r="L11496" t="s">
        <v>1859</v>
      </c>
      <c r="M11496" t="s">
        <v>44638</v>
      </c>
      <c r="N11496" t="s">
        <v>45095</v>
      </c>
      <c r="O11496" t="s">
        <v>45096</v>
      </c>
      <c r="P11496">
        <v>0</v>
      </c>
      <c r="Q11496">
        <v>0</v>
      </c>
      <c r="R11496" t="s">
        <v>45109</v>
      </c>
      <c r="S11496" t="s">
        <v>45478</v>
      </c>
      <c r="T11496" t="s">
        <v>46926</v>
      </c>
      <c r="U11496" t="s">
        <v>56902</v>
      </c>
      <c r="V11496" t="s">
        <v>61068</v>
      </c>
      <c r="W11496" t="s">
        <v>44638</v>
      </c>
      <c r="X11496" t="s">
        <v>45110</v>
      </c>
    </row>
    <row r="11497" spans="1:24">
      <c r="A11497">
        <f>HYPERLINK("https://www.philgeps.gov.ph/GEPSNONPILOT/Tender/SplashBidNoticeAbstractUI.aspx?menuIndex=3&amp;refID=7026820&amp;Result=3","7026820")</f>
        <v>0</v>
      </c>
      <c r="B11497" t="s">
        <v>877</v>
      </c>
      <c r="C11497" t="s">
        <v>14166</v>
      </c>
      <c r="D11497" t="s">
        <v>18096</v>
      </c>
      <c r="E11497" t="s">
        <v>28062</v>
      </c>
      <c r="F11497" t="s">
        <v>31574</v>
      </c>
      <c r="G11497" t="s">
        <v>31582</v>
      </c>
      <c r="H11497" t="s">
        <v>31590</v>
      </c>
      <c r="I11497" t="s">
        <v>14544</v>
      </c>
      <c r="J11497" t="s">
        <v>32298</v>
      </c>
      <c r="K11497" t="s">
        <v>41196</v>
      </c>
      <c r="M11497" t="s">
        <v>42398</v>
      </c>
      <c r="N11497" t="s">
        <v>45095</v>
      </c>
      <c r="O11497" t="s">
        <v>45096</v>
      </c>
      <c r="P11497">
        <v>0</v>
      </c>
      <c r="Q11497">
        <v>0</v>
      </c>
      <c r="R11497" t="s">
        <v>45109</v>
      </c>
      <c r="S11497" t="s">
        <v>45478</v>
      </c>
      <c r="T11497" t="s">
        <v>46973</v>
      </c>
      <c r="U11497" t="s">
        <v>56899</v>
      </c>
      <c r="W11497" t="s">
        <v>42398</v>
      </c>
      <c r="X11497" t="s">
        <v>45110</v>
      </c>
    </row>
    <row r="11498" spans="1:24">
      <c r="A11498">
        <f>HYPERLINK("https://www.philgeps.gov.ph/GEPSNONPILOT/Tender/SplashBidNoticeAbstractUI.aspx?menuIndex=3&amp;refID=7026807&amp;Result=3","7026807")</f>
        <v>0</v>
      </c>
      <c r="B11498" t="s">
        <v>2850</v>
      </c>
      <c r="C11498" t="s">
        <v>14167</v>
      </c>
      <c r="E11498" t="s">
        <v>28063</v>
      </c>
      <c r="F11498" t="s">
        <v>31574</v>
      </c>
      <c r="G11498" t="s">
        <v>31582</v>
      </c>
      <c r="H11498" t="s">
        <v>31591</v>
      </c>
      <c r="I11498" t="s">
        <v>8822</v>
      </c>
      <c r="J11498" t="s">
        <v>38876</v>
      </c>
      <c r="K11498" t="s">
        <v>41184</v>
      </c>
      <c r="M11498" t="s">
        <v>44636</v>
      </c>
      <c r="N11498" t="s">
        <v>45095</v>
      </c>
      <c r="O11498" t="s">
        <v>45096</v>
      </c>
      <c r="P11498">
        <v>0</v>
      </c>
      <c r="Q11498">
        <v>2</v>
      </c>
      <c r="R11498" t="s">
        <v>45109</v>
      </c>
      <c r="S11498" t="s">
        <v>45478</v>
      </c>
      <c r="T11498" t="s">
        <v>46926</v>
      </c>
      <c r="U11498" t="s">
        <v>56903</v>
      </c>
      <c r="W11498" t="s">
        <v>44636</v>
      </c>
      <c r="X11498" t="s">
        <v>45110</v>
      </c>
    </row>
    <row r="11499" spans="1:24">
      <c r="A11499">
        <f>HYPERLINK("https://www.philgeps.gov.ph/GEPSNONPILOT/Tender/SplashBidNoticeAbstractUI.aspx?menuIndex=3&amp;refID=7026831&amp;Result=3","7026831")</f>
        <v>0</v>
      </c>
      <c r="B11499" t="s">
        <v>1859</v>
      </c>
      <c r="C11499" t="s">
        <v>14168</v>
      </c>
      <c r="D11499" t="s">
        <v>18027</v>
      </c>
      <c r="E11499" t="s">
        <v>28064</v>
      </c>
      <c r="F11499" t="s">
        <v>31574</v>
      </c>
      <c r="G11499" t="s">
        <v>31582</v>
      </c>
      <c r="H11499" t="s">
        <v>31590</v>
      </c>
      <c r="I11499" t="s">
        <v>4046</v>
      </c>
      <c r="J11499" t="s">
        <v>38877</v>
      </c>
      <c r="K11499" t="s">
        <v>41186</v>
      </c>
      <c r="L11499" t="s">
        <v>1859</v>
      </c>
      <c r="M11499" t="s">
        <v>44638</v>
      </c>
      <c r="N11499" t="s">
        <v>45095</v>
      </c>
      <c r="O11499" t="s">
        <v>45096</v>
      </c>
      <c r="P11499">
        <v>0</v>
      </c>
      <c r="Q11499">
        <v>0</v>
      </c>
      <c r="R11499" t="s">
        <v>45109</v>
      </c>
      <c r="S11499" t="s">
        <v>45478</v>
      </c>
      <c r="T11499" t="s">
        <v>46926</v>
      </c>
      <c r="U11499" t="s">
        <v>56902</v>
      </c>
      <c r="V11499" t="s">
        <v>61069</v>
      </c>
      <c r="W11499" t="s">
        <v>44638</v>
      </c>
      <c r="X11499" t="s">
        <v>45110</v>
      </c>
    </row>
    <row r="11500" spans="1:24">
      <c r="A11500">
        <f>HYPERLINK("https://www.philgeps.gov.ph/GEPSNONPILOT/Tender/SplashBidNoticeAbstractUI.aspx?menuIndex=3&amp;refID=7026833&amp;Result=3","7026833")</f>
        <v>0</v>
      </c>
      <c r="B11500" t="s">
        <v>1853</v>
      </c>
      <c r="C11500" t="s">
        <v>14169</v>
      </c>
      <c r="D11500" t="s">
        <v>18056</v>
      </c>
      <c r="E11500" t="s">
        <v>28065</v>
      </c>
      <c r="F11500" t="s">
        <v>31574</v>
      </c>
      <c r="G11500" t="s">
        <v>31582</v>
      </c>
      <c r="H11500" t="s">
        <v>31591</v>
      </c>
      <c r="I11500" t="s">
        <v>8822</v>
      </c>
      <c r="J11500" t="s">
        <v>33279</v>
      </c>
      <c r="K11500" t="s">
        <v>41432</v>
      </c>
      <c r="M11500" t="s">
        <v>43491</v>
      </c>
      <c r="N11500" t="s">
        <v>45095</v>
      </c>
      <c r="O11500" t="s">
        <v>45096</v>
      </c>
      <c r="P11500">
        <v>0</v>
      </c>
      <c r="Q11500">
        <v>5</v>
      </c>
      <c r="R11500" t="s">
        <v>45109</v>
      </c>
      <c r="S11500" t="s">
        <v>45478</v>
      </c>
      <c r="T11500" t="s">
        <v>46914</v>
      </c>
      <c r="U11500" t="s">
        <v>56904</v>
      </c>
      <c r="V11500" t="s">
        <v>61070</v>
      </c>
      <c r="W11500" t="s">
        <v>43491</v>
      </c>
      <c r="X11500" t="s">
        <v>45110</v>
      </c>
    </row>
    <row r="11501" spans="1:24">
      <c r="A11501">
        <f>HYPERLINK("https://www.philgeps.gov.ph/GEPSNONPILOT/Tender/SplashBidNoticeAbstractUI.aspx?menuIndex=3&amp;refID=7026829&amp;Result=3","7026829")</f>
        <v>0</v>
      </c>
      <c r="B11501" t="s">
        <v>1028</v>
      </c>
      <c r="C11501" t="s">
        <v>14170</v>
      </c>
      <c r="D11501" t="s">
        <v>18055</v>
      </c>
      <c r="E11501" t="s">
        <v>28066</v>
      </c>
      <c r="F11501" t="s">
        <v>31574</v>
      </c>
      <c r="G11501" t="s">
        <v>31582</v>
      </c>
      <c r="H11501" t="s">
        <v>31591</v>
      </c>
      <c r="I11501" t="s">
        <v>8822</v>
      </c>
      <c r="J11501" t="s">
        <v>31771</v>
      </c>
      <c r="K11501" t="s">
        <v>41243</v>
      </c>
      <c r="M11501" t="s">
        <v>44633</v>
      </c>
      <c r="N11501" t="s">
        <v>45095</v>
      </c>
      <c r="O11501" t="s">
        <v>45096</v>
      </c>
      <c r="Q11501">
        <v>110</v>
      </c>
      <c r="R11501" t="s">
        <v>45109</v>
      </c>
      <c r="S11501" t="s">
        <v>45570</v>
      </c>
      <c r="T11501" t="s">
        <v>47010</v>
      </c>
      <c r="U11501" t="s">
        <v>56886</v>
      </c>
      <c r="V11501" t="s">
        <v>61063</v>
      </c>
      <c r="W11501" t="s">
        <v>61759</v>
      </c>
      <c r="X11501" t="s">
        <v>45110</v>
      </c>
    </row>
    <row r="11502" spans="1:24">
      <c r="A11502">
        <f>HYPERLINK("https://www.philgeps.gov.ph/GEPSNONPILOT/Tender/SplashBidNoticeAbstractUI.aspx?menuIndex=3&amp;refID=7026847&amp;Result=3","7026847")</f>
        <v>0</v>
      </c>
      <c r="B11502" t="s">
        <v>1028</v>
      </c>
      <c r="C11502" t="s">
        <v>14171</v>
      </c>
      <c r="D11502" t="s">
        <v>18055</v>
      </c>
      <c r="E11502" t="s">
        <v>28067</v>
      </c>
      <c r="F11502" t="s">
        <v>31574</v>
      </c>
      <c r="G11502" t="s">
        <v>31582</v>
      </c>
      <c r="H11502" t="s">
        <v>31591</v>
      </c>
      <c r="I11502" t="s">
        <v>8822</v>
      </c>
      <c r="J11502" t="s">
        <v>31771</v>
      </c>
      <c r="K11502" t="s">
        <v>41363</v>
      </c>
      <c r="M11502" t="s">
        <v>44633</v>
      </c>
      <c r="N11502" t="s">
        <v>45095</v>
      </c>
      <c r="O11502" t="s">
        <v>45096</v>
      </c>
      <c r="Q11502">
        <v>109</v>
      </c>
      <c r="R11502" t="s">
        <v>45109</v>
      </c>
      <c r="S11502" t="s">
        <v>45571</v>
      </c>
      <c r="T11502" t="s">
        <v>47010</v>
      </c>
      <c r="U11502" t="s">
        <v>56886</v>
      </c>
      <c r="V11502" t="s">
        <v>61071</v>
      </c>
      <c r="W11502" t="s">
        <v>61759</v>
      </c>
      <c r="X11502" t="s">
        <v>45110</v>
      </c>
    </row>
    <row r="11503" spans="1:24">
      <c r="A11503">
        <f>HYPERLINK("https://www.philgeps.gov.ph/GEPSNONPILOT/Tender/SplashBidNoticeAbstractUI.aspx?menuIndex=3&amp;refID=7026809&amp;Result=3","7026809")</f>
        <v>0</v>
      </c>
      <c r="B11503" t="s">
        <v>2849</v>
      </c>
      <c r="C11503" t="s">
        <v>14172</v>
      </c>
      <c r="D11503" t="s">
        <v>18030</v>
      </c>
      <c r="E11503" t="s">
        <v>28068</v>
      </c>
      <c r="F11503" t="s">
        <v>31574</v>
      </c>
      <c r="G11503" t="s">
        <v>31582</v>
      </c>
      <c r="H11503" t="s">
        <v>31590</v>
      </c>
      <c r="I11503" t="s">
        <v>3487</v>
      </c>
      <c r="J11503" t="s">
        <v>38878</v>
      </c>
      <c r="K11503" t="s">
        <v>41190</v>
      </c>
      <c r="M11503" t="s">
        <v>44634</v>
      </c>
      <c r="N11503" t="s">
        <v>45095</v>
      </c>
      <c r="O11503" t="s">
        <v>45096</v>
      </c>
      <c r="P11503">
        <v>0</v>
      </c>
      <c r="Q11503">
        <v>1</v>
      </c>
      <c r="R11503" t="s">
        <v>45109</v>
      </c>
      <c r="S11503" t="s">
        <v>45478</v>
      </c>
      <c r="T11503" t="s">
        <v>47003</v>
      </c>
      <c r="U11503" t="s">
        <v>56905</v>
      </c>
      <c r="W11503" t="s">
        <v>44634</v>
      </c>
      <c r="X11503" t="s">
        <v>45110</v>
      </c>
    </row>
    <row r="11504" spans="1:24">
      <c r="A11504">
        <f>HYPERLINK("https://www.philgeps.gov.ph/GEPSNONPILOT/Tender/SplashBidNoticeAbstractUI.aspx?menuIndex=3&amp;refID=7026830&amp;Result=3","7026830")</f>
        <v>0</v>
      </c>
      <c r="B11504" t="s">
        <v>1099</v>
      </c>
      <c r="C11504" t="s">
        <v>14173</v>
      </c>
      <c r="D11504" t="s">
        <v>18025</v>
      </c>
      <c r="E11504" t="s">
        <v>28069</v>
      </c>
      <c r="F11504" t="s">
        <v>31574</v>
      </c>
      <c r="G11504" t="s">
        <v>31582</v>
      </c>
      <c r="H11504" t="s">
        <v>31590</v>
      </c>
      <c r="I11504" t="s">
        <v>6800</v>
      </c>
      <c r="J11504" t="s">
        <v>38879</v>
      </c>
      <c r="K11504" t="s">
        <v>41194</v>
      </c>
      <c r="M11504" t="s">
        <v>42648</v>
      </c>
      <c r="N11504" t="s">
        <v>45095</v>
      </c>
      <c r="O11504" t="s">
        <v>45096</v>
      </c>
      <c r="P11504">
        <v>0</v>
      </c>
      <c r="Q11504">
        <v>6</v>
      </c>
      <c r="R11504" t="s">
        <v>45109</v>
      </c>
      <c r="S11504" t="s">
        <v>45478</v>
      </c>
      <c r="T11504" t="s">
        <v>46980</v>
      </c>
      <c r="U11504" t="s">
        <v>56906</v>
      </c>
      <c r="W11504" t="s">
        <v>42648</v>
      </c>
      <c r="X11504" t="s">
        <v>45110</v>
      </c>
    </row>
    <row r="11505" spans="1:24">
      <c r="A11505">
        <f>HYPERLINK("https://www.philgeps.gov.ph/GEPSNONPILOT/Tender/SplashBidNoticeAbstractUI.aspx?menuIndex=3&amp;refID=7026800&amp;Result=3","7026800")</f>
        <v>0</v>
      </c>
      <c r="B11505" t="s">
        <v>2714</v>
      </c>
      <c r="C11505" t="s">
        <v>14174</v>
      </c>
      <c r="D11505" t="s">
        <v>18046</v>
      </c>
      <c r="E11505" t="s">
        <v>28070</v>
      </c>
      <c r="F11505" t="s">
        <v>31574</v>
      </c>
      <c r="G11505" t="s">
        <v>31582</v>
      </c>
      <c r="H11505" t="s">
        <v>31591</v>
      </c>
      <c r="I11505" t="s">
        <v>8822</v>
      </c>
      <c r="J11505" t="s">
        <v>32550</v>
      </c>
      <c r="K11505" t="s">
        <v>41184</v>
      </c>
      <c r="M11505" t="s">
        <v>44485</v>
      </c>
      <c r="N11505" t="s">
        <v>45095</v>
      </c>
      <c r="O11505" t="s">
        <v>45096</v>
      </c>
      <c r="P11505">
        <v>0</v>
      </c>
      <c r="Q11505">
        <v>4</v>
      </c>
      <c r="R11505" t="s">
        <v>45109</v>
      </c>
      <c r="S11505" t="s">
        <v>45478</v>
      </c>
      <c r="T11505" t="s">
        <v>47010</v>
      </c>
      <c r="U11505" t="s">
        <v>56907</v>
      </c>
      <c r="W11505" t="s">
        <v>44485</v>
      </c>
      <c r="X11505" t="s">
        <v>45110</v>
      </c>
    </row>
    <row r="11506" spans="1:24">
      <c r="A11506">
        <f>HYPERLINK("https://www.philgeps.gov.ph/GEPSNONPILOT/Tender/SplashBidNoticeAbstractUI.aspx?menuIndex=3&amp;refID=7026840&amp;Result=3","7026840")</f>
        <v>0</v>
      </c>
      <c r="B11506" t="s">
        <v>1099</v>
      </c>
      <c r="C11506" t="s">
        <v>14175</v>
      </c>
      <c r="D11506" t="s">
        <v>18025</v>
      </c>
      <c r="E11506" t="s">
        <v>28071</v>
      </c>
      <c r="F11506" t="s">
        <v>31574</v>
      </c>
      <c r="G11506" t="s">
        <v>31582</v>
      </c>
      <c r="H11506" t="s">
        <v>31591</v>
      </c>
      <c r="I11506" t="s">
        <v>8822</v>
      </c>
      <c r="J11506" t="s">
        <v>38880</v>
      </c>
      <c r="K11506" t="s">
        <v>41200</v>
      </c>
      <c r="M11506" t="s">
        <v>42648</v>
      </c>
      <c r="N11506" t="s">
        <v>45095</v>
      </c>
      <c r="O11506" t="s">
        <v>45096</v>
      </c>
      <c r="P11506">
        <v>0</v>
      </c>
      <c r="Q11506">
        <v>1</v>
      </c>
      <c r="R11506" t="s">
        <v>45109</v>
      </c>
      <c r="S11506" t="s">
        <v>45478</v>
      </c>
      <c r="T11506" t="s">
        <v>46980</v>
      </c>
      <c r="U11506" t="s">
        <v>56908</v>
      </c>
      <c r="W11506" t="s">
        <v>42648</v>
      </c>
      <c r="X11506" t="s">
        <v>45110</v>
      </c>
    </row>
    <row r="11507" spans="1:24">
      <c r="A11507">
        <f>HYPERLINK("https://www.philgeps.gov.ph/GEPSNONPILOT/Tender/SplashBidNoticeAbstractUI.aspx?menuIndex=3&amp;refID=7026846&amp;Result=3","7026846")</f>
        <v>0</v>
      </c>
      <c r="B11507" t="s">
        <v>2831</v>
      </c>
      <c r="C11507" t="s">
        <v>14176</v>
      </c>
      <c r="D11507" t="s">
        <v>18027</v>
      </c>
      <c r="E11507" t="s">
        <v>27896</v>
      </c>
      <c r="F11507" t="s">
        <v>31574</v>
      </c>
      <c r="G11507" t="s">
        <v>31582</v>
      </c>
      <c r="H11507" t="s">
        <v>31590</v>
      </c>
      <c r="I11507" t="s">
        <v>31608</v>
      </c>
      <c r="J11507" t="s">
        <v>36571</v>
      </c>
      <c r="K11507" t="s">
        <v>41186</v>
      </c>
      <c r="M11507" t="s">
        <v>44611</v>
      </c>
      <c r="N11507" t="s">
        <v>45095</v>
      </c>
      <c r="O11507" t="s">
        <v>45096</v>
      </c>
      <c r="P11507">
        <v>0</v>
      </c>
      <c r="Q11507">
        <v>0</v>
      </c>
      <c r="R11507" t="s">
        <v>45109</v>
      </c>
      <c r="S11507" t="s">
        <v>45478</v>
      </c>
      <c r="T11507" t="s">
        <v>47391</v>
      </c>
      <c r="U11507" t="s">
        <v>56741</v>
      </c>
      <c r="V11507" t="s">
        <v>61072</v>
      </c>
      <c r="W11507" t="s">
        <v>44611</v>
      </c>
      <c r="X11507" t="s">
        <v>45110</v>
      </c>
    </row>
    <row r="11508" spans="1:24">
      <c r="A11508">
        <f>HYPERLINK("https://www.philgeps.gov.ph/GEPSNONPILOT/Tender/SplashBidNoticeAbstractUI.aspx?menuIndex=3&amp;refID=7026844&amp;Result=3","7026844")</f>
        <v>0</v>
      </c>
      <c r="B11508" t="s">
        <v>1028</v>
      </c>
      <c r="C11508" t="s">
        <v>14177</v>
      </c>
      <c r="D11508" t="s">
        <v>18055</v>
      </c>
      <c r="E11508" t="s">
        <v>28072</v>
      </c>
      <c r="F11508" t="s">
        <v>31574</v>
      </c>
      <c r="G11508" t="s">
        <v>31582</v>
      </c>
      <c r="H11508" t="s">
        <v>31591</v>
      </c>
      <c r="I11508" t="s">
        <v>8822</v>
      </c>
      <c r="J11508" t="s">
        <v>32101</v>
      </c>
      <c r="K11508" t="s">
        <v>41243</v>
      </c>
      <c r="M11508" t="s">
        <v>44633</v>
      </c>
      <c r="N11508" t="s">
        <v>45095</v>
      </c>
      <c r="O11508" t="s">
        <v>45096</v>
      </c>
      <c r="Q11508">
        <v>110</v>
      </c>
      <c r="R11508" t="s">
        <v>45109</v>
      </c>
      <c r="S11508" t="s">
        <v>45572</v>
      </c>
      <c r="T11508" t="s">
        <v>47010</v>
      </c>
      <c r="U11508" t="s">
        <v>56886</v>
      </c>
      <c r="V11508" t="s">
        <v>61063</v>
      </c>
      <c r="W11508" t="s">
        <v>61759</v>
      </c>
      <c r="X11508" t="s">
        <v>45110</v>
      </c>
    </row>
    <row r="11509" spans="1:24">
      <c r="A11509">
        <f>HYPERLINK("https://www.philgeps.gov.ph/GEPSNONPILOT/Tender/SplashBidNoticeAbstractUI.aspx?menuIndex=3&amp;refID=7026842&amp;Result=3","7026842")</f>
        <v>0</v>
      </c>
      <c r="B11509" t="s">
        <v>2831</v>
      </c>
      <c r="C11509" t="s">
        <v>14178</v>
      </c>
      <c r="D11509" t="s">
        <v>18027</v>
      </c>
      <c r="E11509" t="s">
        <v>27896</v>
      </c>
      <c r="F11509" t="s">
        <v>31574</v>
      </c>
      <c r="G11509" t="s">
        <v>31582</v>
      </c>
      <c r="H11509" t="s">
        <v>31590</v>
      </c>
      <c r="I11509" t="s">
        <v>31619</v>
      </c>
      <c r="J11509" t="s">
        <v>33620</v>
      </c>
      <c r="K11509" t="s">
        <v>41186</v>
      </c>
      <c r="M11509" t="s">
        <v>44611</v>
      </c>
      <c r="N11509" t="s">
        <v>45095</v>
      </c>
      <c r="O11509" t="s">
        <v>45096</v>
      </c>
      <c r="P11509">
        <v>0</v>
      </c>
      <c r="Q11509">
        <v>7</v>
      </c>
      <c r="R11509" t="s">
        <v>45109</v>
      </c>
      <c r="S11509" t="s">
        <v>45478</v>
      </c>
      <c r="T11509" t="s">
        <v>47391</v>
      </c>
      <c r="U11509" t="s">
        <v>56741</v>
      </c>
      <c r="V11509" t="s">
        <v>61073</v>
      </c>
      <c r="W11509" t="s">
        <v>44611</v>
      </c>
      <c r="X11509" t="s">
        <v>45110</v>
      </c>
    </row>
    <row r="11510" spans="1:24">
      <c r="A11510">
        <f>HYPERLINK("https://www.philgeps.gov.ph/GEPSNONPILOT/Tender/SplashBidNoticeAbstractUI.aspx?menuIndex=3&amp;refID=7026810&amp;Result=3","7026810")</f>
        <v>0</v>
      </c>
      <c r="B11510" t="s">
        <v>1545</v>
      </c>
      <c r="C11510" t="s">
        <v>14179</v>
      </c>
      <c r="D11510" t="s">
        <v>18023</v>
      </c>
      <c r="E11510" t="s">
        <v>28073</v>
      </c>
      <c r="F11510" t="s">
        <v>31574</v>
      </c>
      <c r="G11510" t="s">
        <v>31582</v>
      </c>
      <c r="H11510" t="s">
        <v>31591</v>
      </c>
      <c r="I11510" t="s">
        <v>8822</v>
      </c>
      <c r="J11510" t="s">
        <v>34690</v>
      </c>
      <c r="K11510" t="s">
        <v>41378</v>
      </c>
      <c r="M11510" t="s">
        <v>43141</v>
      </c>
      <c r="N11510" t="s">
        <v>45095</v>
      </c>
      <c r="O11510" t="s">
        <v>45096</v>
      </c>
      <c r="P11510">
        <v>0</v>
      </c>
      <c r="Q11510">
        <v>31</v>
      </c>
      <c r="R11510" t="s">
        <v>45109</v>
      </c>
      <c r="S11510" t="s">
        <v>45478</v>
      </c>
      <c r="T11510" t="s">
        <v>46952</v>
      </c>
      <c r="U11510" t="s">
        <v>56885</v>
      </c>
      <c r="W11510" t="s">
        <v>43141</v>
      </c>
      <c r="X11510" t="s">
        <v>45110</v>
      </c>
    </row>
    <row r="11511" spans="1:24">
      <c r="A11511">
        <f>HYPERLINK("https://www.philgeps.gov.ph/GEPSNONPILOT/Tender/SplashBidNoticeAbstractUI.aspx?menuIndex=3&amp;refID=7026856&amp;Result=3","7026856")</f>
        <v>0</v>
      </c>
      <c r="B11511" t="s">
        <v>1028</v>
      </c>
      <c r="C11511" t="s">
        <v>14180</v>
      </c>
      <c r="D11511" t="s">
        <v>18055</v>
      </c>
      <c r="E11511" t="s">
        <v>28074</v>
      </c>
      <c r="F11511" t="s">
        <v>31574</v>
      </c>
      <c r="G11511" t="s">
        <v>31582</v>
      </c>
      <c r="H11511" t="s">
        <v>31591</v>
      </c>
      <c r="I11511" t="s">
        <v>8822</v>
      </c>
      <c r="J11511" t="s">
        <v>32101</v>
      </c>
      <c r="K11511" t="s">
        <v>41200</v>
      </c>
      <c r="M11511" t="s">
        <v>44633</v>
      </c>
      <c r="N11511" t="s">
        <v>45095</v>
      </c>
      <c r="O11511" t="s">
        <v>45096</v>
      </c>
      <c r="Q11511">
        <v>108</v>
      </c>
      <c r="R11511" t="s">
        <v>45109</v>
      </c>
      <c r="S11511" t="s">
        <v>45573</v>
      </c>
      <c r="T11511" t="s">
        <v>47010</v>
      </c>
      <c r="U11511" t="s">
        <v>56886</v>
      </c>
      <c r="V11511" t="s">
        <v>61063</v>
      </c>
      <c r="W11511" t="s">
        <v>61759</v>
      </c>
      <c r="X11511" t="s">
        <v>45110</v>
      </c>
    </row>
    <row r="11512" spans="1:24">
      <c r="A11512">
        <f>HYPERLINK("https://www.philgeps.gov.ph/GEPSNONPILOT/Tender/SplashBidNoticeAbstractUI.aspx?menuIndex=3&amp;refID=7026855&amp;Result=3","7026855")</f>
        <v>0</v>
      </c>
      <c r="B11512" t="s">
        <v>2852</v>
      </c>
      <c r="C11512" t="s">
        <v>14181</v>
      </c>
      <c r="D11512" t="s">
        <v>18065</v>
      </c>
      <c r="E11512" t="s">
        <v>26440</v>
      </c>
      <c r="F11512" t="s">
        <v>31574</v>
      </c>
      <c r="G11512" t="s">
        <v>31582</v>
      </c>
      <c r="H11512" t="s">
        <v>31590</v>
      </c>
      <c r="I11512" t="s">
        <v>3901</v>
      </c>
      <c r="J11512" t="s">
        <v>32232</v>
      </c>
      <c r="K11512" t="s">
        <v>41186</v>
      </c>
      <c r="M11512" t="s">
        <v>44639</v>
      </c>
      <c r="N11512" t="s">
        <v>45095</v>
      </c>
      <c r="O11512" t="s">
        <v>45096</v>
      </c>
      <c r="P11512">
        <v>0</v>
      </c>
      <c r="Q11512">
        <v>4</v>
      </c>
      <c r="R11512" t="s">
        <v>45109</v>
      </c>
      <c r="S11512" t="s">
        <v>45478</v>
      </c>
      <c r="T11512" t="s">
        <v>46965</v>
      </c>
      <c r="U11512" t="s">
        <v>56909</v>
      </c>
      <c r="W11512" t="s">
        <v>44639</v>
      </c>
      <c r="X11512" t="s">
        <v>45110</v>
      </c>
    </row>
    <row r="11513" spans="1:24">
      <c r="A11513">
        <f>HYPERLINK("https://www.philgeps.gov.ph/GEPSNONPILOT/Tender/SplashBidNoticeAbstractUI.aspx?menuIndex=3&amp;refID=7026854&amp;Result=3","7026854")</f>
        <v>0</v>
      </c>
      <c r="B11513" t="s">
        <v>2831</v>
      </c>
      <c r="C11513" t="s">
        <v>14182</v>
      </c>
      <c r="D11513" t="s">
        <v>18027</v>
      </c>
      <c r="E11513" t="s">
        <v>27896</v>
      </c>
      <c r="F11513" t="s">
        <v>31574</v>
      </c>
      <c r="G11513" t="s">
        <v>31582</v>
      </c>
      <c r="H11513" t="s">
        <v>31590</v>
      </c>
      <c r="I11513" t="s">
        <v>4354</v>
      </c>
      <c r="J11513" t="s">
        <v>38881</v>
      </c>
      <c r="K11513" t="s">
        <v>41186</v>
      </c>
      <c r="M11513" t="s">
        <v>44611</v>
      </c>
      <c r="N11513" t="s">
        <v>45095</v>
      </c>
      <c r="O11513" t="s">
        <v>45096</v>
      </c>
      <c r="P11513">
        <v>0</v>
      </c>
      <c r="Q11513">
        <v>2</v>
      </c>
      <c r="R11513" t="s">
        <v>45109</v>
      </c>
      <c r="S11513" t="s">
        <v>45478</v>
      </c>
      <c r="T11513" t="s">
        <v>47391</v>
      </c>
      <c r="U11513" t="s">
        <v>56741</v>
      </c>
      <c r="V11513" t="s">
        <v>61074</v>
      </c>
      <c r="W11513" t="s">
        <v>44611</v>
      </c>
      <c r="X11513" t="s">
        <v>45110</v>
      </c>
    </row>
    <row r="11514" spans="1:24">
      <c r="A11514">
        <f>HYPERLINK("https://www.philgeps.gov.ph/GEPSNONPILOT/Tender/SplashBidNoticeAbstractUI.aspx?menuIndex=3&amp;refID=7026850&amp;Result=3","7026850")</f>
        <v>0</v>
      </c>
      <c r="B11514" t="s">
        <v>2831</v>
      </c>
      <c r="C11514" t="s">
        <v>14183</v>
      </c>
      <c r="D11514" t="s">
        <v>18027</v>
      </c>
      <c r="E11514" t="s">
        <v>27896</v>
      </c>
      <c r="F11514" t="s">
        <v>31574</v>
      </c>
      <c r="G11514" t="s">
        <v>31582</v>
      </c>
      <c r="H11514" t="s">
        <v>31590</v>
      </c>
      <c r="I11514" t="s">
        <v>31619</v>
      </c>
      <c r="J11514" t="s">
        <v>38882</v>
      </c>
      <c r="K11514" t="s">
        <v>41186</v>
      </c>
      <c r="M11514" t="s">
        <v>44611</v>
      </c>
      <c r="N11514" t="s">
        <v>45095</v>
      </c>
      <c r="O11514" t="s">
        <v>45096</v>
      </c>
      <c r="P11514">
        <v>0</v>
      </c>
      <c r="Q11514">
        <v>7</v>
      </c>
      <c r="R11514" t="s">
        <v>45109</v>
      </c>
      <c r="S11514" t="s">
        <v>45478</v>
      </c>
      <c r="T11514" t="s">
        <v>47391</v>
      </c>
      <c r="U11514" t="s">
        <v>56741</v>
      </c>
      <c r="V11514" t="s">
        <v>61075</v>
      </c>
      <c r="W11514" t="s">
        <v>44611</v>
      </c>
      <c r="X11514" t="s">
        <v>45110</v>
      </c>
    </row>
    <row r="11515" spans="1:24">
      <c r="A11515">
        <f>HYPERLINK("https://www.philgeps.gov.ph/GEPSNONPILOT/Tender/SplashBidNoticeAbstractUI.aspx?menuIndex=3&amp;refID=7026801&amp;Result=3","7026801")</f>
        <v>0</v>
      </c>
      <c r="B11515" t="s">
        <v>1028</v>
      </c>
      <c r="C11515" t="s">
        <v>14184</v>
      </c>
      <c r="D11515" t="s">
        <v>18055</v>
      </c>
      <c r="E11515" t="s">
        <v>28075</v>
      </c>
      <c r="F11515" t="s">
        <v>31574</v>
      </c>
      <c r="G11515" t="s">
        <v>31582</v>
      </c>
      <c r="H11515" t="s">
        <v>31591</v>
      </c>
      <c r="I11515" t="s">
        <v>8822</v>
      </c>
      <c r="J11515" t="s">
        <v>31771</v>
      </c>
      <c r="K11515" t="s">
        <v>41189</v>
      </c>
      <c r="M11515" t="s">
        <v>44633</v>
      </c>
      <c r="N11515" t="s">
        <v>45095</v>
      </c>
      <c r="O11515" t="s">
        <v>45096</v>
      </c>
      <c r="Q11515">
        <v>114</v>
      </c>
      <c r="R11515" t="s">
        <v>45109</v>
      </c>
      <c r="S11515" t="s">
        <v>45333</v>
      </c>
      <c r="T11515" t="s">
        <v>47010</v>
      </c>
      <c r="U11515" t="s">
        <v>56886</v>
      </c>
      <c r="V11515" t="s">
        <v>61076</v>
      </c>
      <c r="W11515" t="s">
        <v>61759</v>
      </c>
      <c r="X11515" t="s">
        <v>45110</v>
      </c>
    </row>
    <row r="11516" spans="1:24">
      <c r="A11516">
        <f>HYPERLINK("https://www.philgeps.gov.ph/GEPSNONPILOT/Tender/SplashBidNoticeAbstractUI.aspx?menuIndex=3&amp;refID=7026858&amp;Result=3","7026858")</f>
        <v>0</v>
      </c>
      <c r="B11516" t="s">
        <v>2831</v>
      </c>
      <c r="C11516" t="s">
        <v>14185</v>
      </c>
      <c r="D11516" t="s">
        <v>18027</v>
      </c>
      <c r="E11516" t="s">
        <v>27896</v>
      </c>
      <c r="F11516" t="s">
        <v>31574</v>
      </c>
      <c r="G11516" t="s">
        <v>31582</v>
      </c>
      <c r="H11516" t="s">
        <v>31590</v>
      </c>
      <c r="I11516" t="s">
        <v>6800</v>
      </c>
      <c r="J11516" t="s">
        <v>38883</v>
      </c>
      <c r="K11516" t="s">
        <v>41186</v>
      </c>
      <c r="M11516" t="s">
        <v>44611</v>
      </c>
      <c r="N11516" t="s">
        <v>45095</v>
      </c>
      <c r="O11516" t="s">
        <v>45096</v>
      </c>
      <c r="P11516">
        <v>0</v>
      </c>
      <c r="Q11516">
        <v>0</v>
      </c>
      <c r="R11516" t="s">
        <v>45109</v>
      </c>
      <c r="S11516" t="s">
        <v>45478</v>
      </c>
      <c r="T11516" t="s">
        <v>47391</v>
      </c>
      <c r="U11516" t="s">
        <v>56741</v>
      </c>
      <c r="V11516" t="s">
        <v>61077</v>
      </c>
      <c r="W11516" t="s">
        <v>44611</v>
      </c>
      <c r="X11516" t="s">
        <v>45110</v>
      </c>
    </row>
    <row r="11517" spans="1:24">
      <c r="A11517">
        <f>HYPERLINK("https://www.philgeps.gov.ph/GEPSNONPILOT/Tender/SplashBidNoticeAbstractUI.aspx?menuIndex=3&amp;refID=7026837&amp;Result=3","7026837")</f>
        <v>0</v>
      </c>
      <c r="B11517" t="s">
        <v>1028</v>
      </c>
      <c r="C11517" t="s">
        <v>14186</v>
      </c>
      <c r="D11517" t="s">
        <v>18055</v>
      </c>
      <c r="E11517" t="s">
        <v>28076</v>
      </c>
      <c r="F11517" t="s">
        <v>31574</v>
      </c>
      <c r="G11517" t="s">
        <v>31582</v>
      </c>
      <c r="H11517" t="s">
        <v>31591</v>
      </c>
      <c r="I11517" t="s">
        <v>8822</v>
      </c>
      <c r="J11517" t="s">
        <v>31935</v>
      </c>
      <c r="K11517" t="s">
        <v>41189</v>
      </c>
      <c r="M11517" t="s">
        <v>44633</v>
      </c>
      <c r="N11517" t="s">
        <v>45095</v>
      </c>
      <c r="O11517" t="s">
        <v>45096</v>
      </c>
      <c r="Q11517">
        <v>111</v>
      </c>
      <c r="R11517" t="s">
        <v>45109</v>
      </c>
      <c r="S11517" t="s">
        <v>45574</v>
      </c>
      <c r="T11517" t="s">
        <v>47010</v>
      </c>
      <c r="U11517" t="s">
        <v>56886</v>
      </c>
      <c r="V11517" t="s">
        <v>61063</v>
      </c>
      <c r="W11517" t="s">
        <v>61759</v>
      </c>
      <c r="X11517" t="s">
        <v>45110</v>
      </c>
    </row>
    <row r="11518" spans="1:24">
      <c r="A11518">
        <f>HYPERLINK("https://www.philgeps.gov.ph/GEPSNONPILOT/Tender/SplashBidNoticeAbstractUI.aspx?menuIndex=3&amp;refID=7026860&amp;Result=3","7026860")</f>
        <v>0</v>
      </c>
      <c r="B11518" t="s">
        <v>2831</v>
      </c>
      <c r="C11518" t="s">
        <v>14187</v>
      </c>
      <c r="D11518" t="s">
        <v>18027</v>
      </c>
      <c r="E11518" t="s">
        <v>27896</v>
      </c>
      <c r="F11518" t="s">
        <v>31574</v>
      </c>
      <c r="G11518" t="s">
        <v>31582</v>
      </c>
      <c r="H11518" t="s">
        <v>31590</v>
      </c>
      <c r="I11518" t="s">
        <v>31600</v>
      </c>
      <c r="J11518" t="s">
        <v>38884</v>
      </c>
      <c r="K11518" t="s">
        <v>41186</v>
      </c>
      <c r="M11518" t="s">
        <v>44611</v>
      </c>
      <c r="N11518" t="s">
        <v>45095</v>
      </c>
      <c r="O11518" t="s">
        <v>45096</v>
      </c>
      <c r="P11518">
        <v>0</v>
      </c>
      <c r="Q11518">
        <v>1</v>
      </c>
      <c r="R11518" t="s">
        <v>45109</v>
      </c>
      <c r="S11518" t="s">
        <v>45478</v>
      </c>
      <c r="T11518" t="s">
        <v>47391</v>
      </c>
      <c r="U11518" t="s">
        <v>56741</v>
      </c>
      <c r="V11518" t="s">
        <v>61078</v>
      </c>
      <c r="W11518" t="s">
        <v>44611</v>
      </c>
      <c r="X11518" t="s">
        <v>45110</v>
      </c>
    </row>
    <row r="11519" spans="1:24">
      <c r="A11519">
        <f>HYPERLINK("https://www.philgeps.gov.ph/GEPSNONPILOT/Tender/SplashBidNoticeAbstractUI.aspx?menuIndex=3&amp;refID=7026852&amp;Result=3","7026852")</f>
        <v>0</v>
      </c>
      <c r="B11519" t="s">
        <v>1028</v>
      </c>
      <c r="C11519" t="s">
        <v>14188</v>
      </c>
      <c r="D11519" t="s">
        <v>18055</v>
      </c>
      <c r="E11519" t="s">
        <v>28077</v>
      </c>
      <c r="F11519" t="s">
        <v>31574</v>
      </c>
      <c r="G11519" t="s">
        <v>31582</v>
      </c>
      <c r="H11519" t="s">
        <v>31591</v>
      </c>
      <c r="I11519" t="s">
        <v>8822</v>
      </c>
      <c r="J11519" t="s">
        <v>38885</v>
      </c>
      <c r="K11519" t="s">
        <v>41243</v>
      </c>
      <c r="M11519" t="s">
        <v>44633</v>
      </c>
      <c r="N11519" t="s">
        <v>45095</v>
      </c>
      <c r="O11519" t="s">
        <v>45096</v>
      </c>
      <c r="Q11519">
        <v>111</v>
      </c>
      <c r="R11519" t="s">
        <v>45109</v>
      </c>
      <c r="S11519" t="s">
        <v>45575</v>
      </c>
      <c r="T11519" t="s">
        <v>47010</v>
      </c>
      <c r="U11519" t="s">
        <v>56886</v>
      </c>
      <c r="V11519" t="s">
        <v>61063</v>
      </c>
      <c r="W11519" t="s">
        <v>61759</v>
      </c>
      <c r="X11519" t="s">
        <v>45110</v>
      </c>
    </row>
    <row r="11520" spans="1:24">
      <c r="A11520">
        <f>HYPERLINK("https://www.philgeps.gov.ph/GEPSNONPILOT/Tender/SplashBidNoticeAbstractUI.aspx?menuIndex=3&amp;refID=7026849&amp;Result=3","7026849")</f>
        <v>0</v>
      </c>
      <c r="B11520" t="s">
        <v>1079</v>
      </c>
      <c r="C11520" t="s">
        <v>14189</v>
      </c>
      <c r="E11520" t="s">
        <v>28078</v>
      </c>
      <c r="F11520" t="s">
        <v>31574</v>
      </c>
      <c r="G11520" t="s">
        <v>31582</v>
      </c>
      <c r="H11520" t="s">
        <v>31590</v>
      </c>
      <c r="I11520" t="s">
        <v>31625</v>
      </c>
      <c r="J11520" t="s">
        <v>37570</v>
      </c>
      <c r="K11520" t="s">
        <v>41184</v>
      </c>
      <c r="M11520" t="s">
        <v>43953</v>
      </c>
      <c r="N11520" t="s">
        <v>45095</v>
      </c>
      <c r="O11520" t="s">
        <v>45096</v>
      </c>
      <c r="P11520">
        <v>0</v>
      </c>
      <c r="Q11520">
        <v>1</v>
      </c>
      <c r="R11520" t="s">
        <v>45109</v>
      </c>
      <c r="S11520" t="s">
        <v>45478</v>
      </c>
      <c r="T11520" t="s">
        <v>46914</v>
      </c>
      <c r="U11520" t="s">
        <v>56910</v>
      </c>
      <c r="V11520" t="s">
        <v>61079</v>
      </c>
      <c r="W11520" t="s">
        <v>43953</v>
      </c>
      <c r="X11520" t="s">
        <v>45110</v>
      </c>
    </row>
    <row r="11521" spans="1:24">
      <c r="A11521">
        <f>HYPERLINK("https://www.philgeps.gov.ph/GEPSNONPILOT/Tender/SplashBidNoticeAbstractUI.aspx?menuIndex=3&amp;refID=7026861&amp;Result=3","7026861")</f>
        <v>0</v>
      </c>
      <c r="B11521" t="s">
        <v>691</v>
      </c>
      <c r="C11521" t="s">
        <v>14190</v>
      </c>
      <c r="D11521" t="s">
        <v>18043</v>
      </c>
      <c r="E11521" t="s">
        <v>28079</v>
      </c>
      <c r="F11521" t="s">
        <v>31574</v>
      </c>
      <c r="G11521" t="s">
        <v>31582</v>
      </c>
      <c r="H11521" t="s">
        <v>31591</v>
      </c>
      <c r="I11521" t="s">
        <v>8822</v>
      </c>
      <c r="J11521" t="s">
        <v>38886</v>
      </c>
      <c r="K11521" t="s">
        <v>41433</v>
      </c>
      <c r="M11521" t="s">
        <v>44640</v>
      </c>
      <c r="N11521" t="s">
        <v>45095</v>
      </c>
      <c r="O11521" t="s">
        <v>45096</v>
      </c>
      <c r="Q11521">
        <v>2</v>
      </c>
      <c r="R11521" t="s">
        <v>45109</v>
      </c>
      <c r="S11521" t="s">
        <v>45576</v>
      </c>
      <c r="T11521" t="s">
        <v>46926</v>
      </c>
      <c r="U11521" t="s">
        <v>56911</v>
      </c>
      <c r="W11521" t="s">
        <v>44640</v>
      </c>
      <c r="X11521" t="s">
        <v>45110</v>
      </c>
    </row>
    <row r="11522" spans="1:24">
      <c r="A11522">
        <f>HYPERLINK("https://www.philgeps.gov.ph/GEPSNONPILOT/Tender/SplashBidNoticeAbstractUI.aspx?menuIndex=3&amp;refID=7026865&amp;Result=3","7026865")</f>
        <v>0</v>
      </c>
      <c r="B11522" t="s">
        <v>691</v>
      </c>
      <c r="C11522" t="s">
        <v>14191</v>
      </c>
      <c r="D11522" t="s">
        <v>18043</v>
      </c>
      <c r="E11522" t="s">
        <v>28080</v>
      </c>
      <c r="F11522" t="s">
        <v>31574</v>
      </c>
      <c r="G11522" t="s">
        <v>31582</v>
      </c>
      <c r="H11522" t="s">
        <v>31591</v>
      </c>
      <c r="I11522" t="s">
        <v>8822</v>
      </c>
      <c r="J11522" t="s">
        <v>34360</v>
      </c>
      <c r="K11522" t="s">
        <v>41306</v>
      </c>
      <c r="M11522" t="s">
        <v>44640</v>
      </c>
      <c r="N11522" t="s">
        <v>45095</v>
      </c>
      <c r="O11522" t="s">
        <v>45096</v>
      </c>
      <c r="Q11522">
        <v>4</v>
      </c>
      <c r="R11522" t="s">
        <v>45109</v>
      </c>
      <c r="S11522" t="s">
        <v>45577</v>
      </c>
      <c r="T11522" t="s">
        <v>46926</v>
      </c>
      <c r="U11522" t="s">
        <v>56911</v>
      </c>
      <c r="W11522" t="s">
        <v>44640</v>
      </c>
      <c r="X11522" t="s">
        <v>45110</v>
      </c>
    </row>
    <row r="11523" spans="1:24">
      <c r="A11523">
        <f>HYPERLINK("https://www.philgeps.gov.ph/GEPSNONPILOT/Tender/SplashBidNoticeAbstractUI.aspx?menuIndex=3&amp;refID=7026867&amp;Result=3","7026867")</f>
        <v>0</v>
      </c>
      <c r="B11523" t="s">
        <v>1028</v>
      </c>
      <c r="C11523" t="s">
        <v>14192</v>
      </c>
      <c r="D11523" t="s">
        <v>18055</v>
      </c>
      <c r="E11523" t="s">
        <v>28081</v>
      </c>
      <c r="F11523" t="s">
        <v>31574</v>
      </c>
      <c r="G11523" t="s">
        <v>31582</v>
      </c>
      <c r="H11523" t="s">
        <v>31591</v>
      </c>
      <c r="I11523" t="s">
        <v>8822</v>
      </c>
      <c r="J11523" t="s">
        <v>38887</v>
      </c>
      <c r="K11523" t="s">
        <v>41256</v>
      </c>
      <c r="M11523" t="s">
        <v>44633</v>
      </c>
      <c r="N11523" t="s">
        <v>45095</v>
      </c>
      <c r="O11523" t="s">
        <v>45096</v>
      </c>
      <c r="Q11523">
        <v>112</v>
      </c>
      <c r="R11523" t="s">
        <v>45109</v>
      </c>
      <c r="S11523" t="s">
        <v>45578</v>
      </c>
      <c r="T11523" t="s">
        <v>47010</v>
      </c>
      <c r="U11523" t="s">
        <v>56886</v>
      </c>
      <c r="V11523" t="s">
        <v>61080</v>
      </c>
      <c r="W11523" t="s">
        <v>61759</v>
      </c>
      <c r="X11523" t="s">
        <v>45110</v>
      </c>
    </row>
    <row r="11524" spans="1:24">
      <c r="A11524">
        <f>HYPERLINK("https://www.philgeps.gov.ph/GEPSNONPILOT/Tender/SplashBidNoticeAbstractUI.aspx?menuIndex=3&amp;refID=7026884&amp;Result=3","7026884")</f>
        <v>0</v>
      </c>
      <c r="B11524" t="s">
        <v>2323</v>
      </c>
      <c r="C11524" t="s">
        <v>14193</v>
      </c>
      <c r="D11524" t="s">
        <v>18063</v>
      </c>
      <c r="E11524" t="s">
        <v>28082</v>
      </c>
      <c r="F11524" t="s">
        <v>31574</v>
      </c>
      <c r="G11524" t="s">
        <v>31582</v>
      </c>
      <c r="H11524" t="s">
        <v>31591</v>
      </c>
      <c r="I11524" t="s">
        <v>8822</v>
      </c>
      <c r="J11524" t="s">
        <v>38888</v>
      </c>
      <c r="K11524" t="s">
        <v>41200</v>
      </c>
      <c r="M11524" t="s">
        <v>44033</v>
      </c>
      <c r="N11524" t="s">
        <v>45095</v>
      </c>
      <c r="O11524" t="s">
        <v>45096</v>
      </c>
      <c r="Q11524">
        <v>2</v>
      </c>
      <c r="R11524" t="s">
        <v>45109</v>
      </c>
      <c r="S11524" t="s">
        <v>45579</v>
      </c>
      <c r="T11524" t="s">
        <v>46926</v>
      </c>
      <c r="U11524" t="s">
        <v>56912</v>
      </c>
      <c r="V11524" t="s">
        <v>61081</v>
      </c>
      <c r="W11524" t="s">
        <v>61733</v>
      </c>
      <c r="X11524" t="s">
        <v>45110</v>
      </c>
    </row>
    <row r="11525" spans="1:24">
      <c r="A11525">
        <f>HYPERLINK("https://www.philgeps.gov.ph/GEPSNONPILOT/Tender/SplashBidNoticeAbstractUI.aspx?menuIndex=3&amp;refID=7026883&amp;Result=3","7026883")</f>
        <v>0</v>
      </c>
      <c r="B11525" t="s">
        <v>2831</v>
      </c>
      <c r="C11525" t="s">
        <v>14194</v>
      </c>
      <c r="D11525" t="s">
        <v>18027</v>
      </c>
      <c r="E11525" t="s">
        <v>27896</v>
      </c>
      <c r="F11525" t="s">
        <v>31574</v>
      </c>
      <c r="G11525" t="s">
        <v>31582</v>
      </c>
      <c r="H11525" t="s">
        <v>31590</v>
      </c>
      <c r="I11525" t="s">
        <v>31600</v>
      </c>
      <c r="J11525" t="s">
        <v>38889</v>
      </c>
      <c r="K11525" t="s">
        <v>41186</v>
      </c>
      <c r="M11525" t="s">
        <v>44611</v>
      </c>
      <c r="N11525" t="s">
        <v>45095</v>
      </c>
      <c r="O11525" t="s">
        <v>45096</v>
      </c>
      <c r="P11525">
        <v>0</v>
      </c>
      <c r="Q11525">
        <v>1</v>
      </c>
      <c r="R11525" t="s">
        <v>45109</v>
      </c>
      <c r="S11525" t="s">
        <v>45478</v>
      </c>
      <c r="T11525" t="s">
        <v>47391</v>
      </c>
      <c r="U11525" t="s">
        <v>56741</v>
      </c>
      <c r="V11525" t="s">
        <v>61082</v>
      </c>
      <c r="W11525" t="s">
        <v>44611</v>
      </c>
      <c r="X11525" t="s">
        <v>45110</v>
      </c>
    </row>
    <row r="11526" spans="1:24">
      <c r="A11526">
        <f>HYPERLINK("https://www.philgeps.gov.ph/GEPSNONPILOT/Tender/SplashBidNoticeAbstractUI.aspx?menuIndex=3&amp;refID=7026866&amp;Result=3","7026866")</f>
        <v>0</v>
      </c>
      <c r="B11526" t="s">
        <v>2831</v>
      </c>
      <c r="C11526" t="s">
        <v>14195</v>
      </c>
      <c r="D11526" t="s">
        <v>18027</v>
      </c>
      <c r="E11526" t="s">
        <v>27896</v>
      </c>
      <c r="F11526" t="s">
        <v>31574</v>
      </c>
      <c r="G11526" t="s">
        <v>31582</v>
      </c>
      <c r="H11526" t="s">
        <v>31590</v>
      </c>
      <c r="I11526" t="s">
        <v>4046</v>
      </c>
      <c r="J11526" t="s">
        <v>38890</v>
      </c>
      <c r="K11526" t="s">
        <v>41186</v>
      </c>
      <c r="M11526" t="s">
        <v>44611</v>
      </c>
      <c r="N11526" t="s">
        <v>45095</v>
      </c>
      <c r="O11526" t="s">
        <v>45096</v>
      </c>
      <c r="P11526">
        <v>0</v>
      </c>
      <c r="Q11526">
        <v>0</v>
      </c>
      <c r="R11526" t="s">
        <v>45109</v>
      </c>
      <c r="S11526" t="s">
        <v>45478</v>
      </c>
      <c r="T11526" t="s">
        <v>47391</v>
      </c>
      <c r="U11526" t="s">
        <v>56741</v>
      </c>
      <c r="V11526" t="s">
        <v>61083</v>
      </c>
      <c r="W11526" t="s">
        <v>44611</v>
      </c>
      <c r="X11526" t="s">
        <v>45110</v>
      </c>
    </row>
    <row r="11527" spans="1:24">
      <c r="A11527">
        <f>HYPERLINK("https://www.philgeps.gov.ph/GEPSNONPILOT/Tender/SplashBidNoticeAbstractUI.aspx?menuIndex=3&amp;refID=7026879&amp;Result=3","7026879")</f>
        <v>0</v>
      </c>
      <c r="B11527" t="s">
        <v>2831</v>
      </c>
      <c r="C11527" t="s">
        <v>14196</v>
      </c>
      <c r="D11527" t="s">
        <v>18027</v>
      </c>
      <c r="E11527" t="s">
        <v>27896</v>
      </c>
      <c r="F11527" t="s">
        <v>31574</v>
      </c>
      <c r="G11527" t="s">
        <v>31582</v>
      </c>
      <c r="H11527" t="s">
        <v>31590</v>
      </c>
      <c r="I11527" t="s">
        <v>14544</v>
      </c>
      <c r="J11527" t="s">
        <v>33557</v>
      </c>
      <c r="K11527" t="s">
        <v>41186</v>
      </c>
      <c r="M11527" t="s">
        <v>44611</v>
      </c>
      <c r="N11527" t="s">
        <v>45095</v>
      </c>
      <c r="O11527" t="s">
        <v>45096</v>
      </c>
      <c r="Q11527">
        <v>0</v>
      </c>
      <c r="R11527" t="s">
        <v>45109</v>
      </c>
      <c r="S11527" t="s">
        <v>45580</v>
      </c>
      <c r="T11527" t="s">
        <v>47391</v>
      </c>
      <c r="U11527" t="s">
        <v>56741</v>
      </c>
      <c r="V11527" t="s">
        <v>61084</v>
      </c>
      <c r="W11527" t="s">
        <v>44611</v>
      </c>
      <c r="X11527" t="s">
        <v>45110</v>
      </c>
    </row>
    <row r="11528" spans="1:24">
      <c r="A11528">
        <f>HYPERLINK("https://www.philgeps.gov.ph/GEPSNONPILOT/Tender/SplashBidNoticeAbstractUI.aspx?menuIndex=3&amp;refID=7026881&amp;Result=3","7026881")</f>
        <v>0</v>
      </c>
      <c r="B11528" t="s">
        <v>691</v>
      </c>
      <c r="C11528" t="s">
        <v>14197</v>
      </c>
      <c r="D11528" t="s">
        <v>18043</v>
      </c>
      <c r="E11528" t="s">
        <v>28083</v>
      </c>
      <c r="F11528" t="s">
        <v>31574</v>
      </c>
      <c r="G11528" t="s">
        <v>31582</v>
      </c>
      <c r="H11528" t="s">
        <v>31591</v>
      </c>
      <c r="I11528" t="s">
        <v>8822</v>
      </c>
      <c r="J11528" t="s">
        <v>33215</v>
      </c>
      <c r="K11528" t="s">
        <v>41200</v>
      </c>
      <c r="M11528" t="s">
        <v>44640</v>
      </c>
      <c r="N11528" t="s">
        <v>45095</v>
      </c>
      <c r="O11528" t="s">
        <v>45096</v>
      </c>
      <c r="Q11528">
        <v>3</v>
      </c>
      <c r="R11528" t="s">
        <v>45109</v>
      </c>
      <c r="S11528" t="s">
        <v>45581</v>
      </c>
      <c r="T11528" t="s">
        <v>46926</v>
      </c>
      <c r="U11528" t="s">
        <v>56911</v>
      </c>
      <c r="W11528" t="s">
        <v>44640</v>
      </c>
      <c r="X11528" t="s">
        <v>45110</v>
      </c>
    </row>
    <row r="11529" spans="1:24">
      <c r="A11529">
        <f>HYPERLINK("https://www.philgeps.gov.ph/GEPSNONPILOT/Tender/SplashBidNoticeAbstractUI.aspx?menuIndex=3&amp;refID=7026880&amp;Result=3","7026880")</f>
        <v>0</v>
      </c>
      <c r="B11529" t="s">
        <v>430</v>
      </c>
      <c r="C11529" t="s">
        <v>14198</v>
      </c>
      <c r="D11529" t="s">
        <v>18061</v>
      </c>
      <c r="E11529" t="s">
        <v>28084</v>
      </c>
      <c r="F11529" t="s">
        <v>31576</v>
      </c>
      <c r="G11529" t="s">
        <v>31582</v>
      </c>
      <c r="H11529" t="s">
        <v>31591</v>
      </c>
      <c r="I11529" t="s">
        <v>8822</v>
      </c>
      <c r="J11529" t="s">
        <v>38891</v>
      </c>
      <c r="K11529" t="s">
        <v>41189</v>
      </c>
      <c r="M11529" t="s">
        <v>41923</v>
      </c>
      <c r="N11529" t="s">
        <v>45095</v>
      </c>
      <c r="O11529" t="s">
        <v>45096</v>
      </c>
      <c r="P11529">
        <v>0</v>
      </c>
      <c r="Q11529">
        <v>1</v>
      </c>
      <c r="R11529" t="s">
        <v>45109</v>
      </c>
      <c r="S11529" t="s">
        <v>45478</v>
      </c>
      <c r="T11529" t="s">
        <v>46930</v>
      </c>
      <c r="U11529" t="s">
        <v>56913</v>
      </c>
      <c r="W11529" t="s">
        <v>41923</v>
      </c>
      <c r="X11529" t="s">
        <v>45110</v>
      </c>
    </row>
    <row r="11530" spans="1:24">
      <c r="A11530">
        <f>HYPERLINK("https://www.philgeps.gov.ph/GEPSNONPILOT/Tender/SplashBidNoticeAbstractUI.aspx?menuIndex=3&amp;refID=7026878&amp;Result=3","7026878")</f>
        <v>0</v>
      </c>
      <c r="B11530" t="s">
        <v>1028</v>
      </c>
      <c r="C11530" t="s">
        <v>14199</v>
      </c>
      <c r="D11530" t="s">
        <v>18055</v>
      </c>
      <c r="E11530" t="s">
        <v>28085</v>
      </c>
      <c r="F11530" t="s">
        <v>31574</v>
      </c>
      <c r="G11530" t="s">
        <v>31582</v>
      </c>
      <c r="H11530" t="s">
        <v>31591</v>
      </c>
      <c r="I11530" t="s">
        <v>8822</v>
      </c>
      <c r="J11530" t="s">
        <v>32101</v>
      </c>
      <c r="K11530" t="s">
        <v>41198</v>
      </c>
      <c r="M11530" t="s">
        <v>44633</v>
      </c>
      <c r="N11530" t="s">
        <v>45095</v>
      </c>
      <c r="O11530" t="s">
        <v>45096</v>
      </c>
      <c r="Q11530">
        <v>113</v>
      </c>
      <c r="R11530" t="s">
        <v>45109</v>
      </c>
      <c r="S11530" t="s">
        <v>45582</v>
      </c>
      <c r="T11530" t="s">
        <v>47010</v>
      </c>
      <c r="U11530" t="s">
        <v>56886</v>
      </c>
      <c r="V11530" t="s">
        <v>61085</v>
      </c>
      <c r="W11530" t="s">
        <v>61759</v>
      </c>
      <c r="X11530" t="s">
        <v>45110</v>
      </c>
    </row>
    <row r="11531" spans="1:24">
      <c r="A11531">
        <f>HYPERLINK("https://www.philgeps.gov.ph/GEPSNONPILOT/Tender/SplashBidNoticeAbstractUI.aspx?menuIndex=3&amp;refID=7026863&amp;Result=3","7026863")</f>
        <v>0</v>
      </c>
      <c r="B11531" t="s">
        <v>2831</v>
      </c>
      <c r="C11531" t="s">
        <v>14200</v>
      </c>
      <c r="D11531" t="s">
        <v>18027</v>
      </c>
      <c r="E11531" t="s">
        <v>27896</v>
      </c>
      <c r="F11531" t="s">
        <v>31574</v>
      </c>
      <c r="G11531" t="s">
        <v>31582</v>
      </c>
      <c r="H11531" t="s">
        <v>31590</v>
      </c>
      <c r="I11531" t="s">
        <v>14544</v>
      </c>
      <c r="J11531" t="s">
        <v>38892</v>
      </c>
      <c r="K11531" t="s">
        <v>41186</v>
      </c>
      <c r="M11531" t="s">
        <v>44611</v>
      </c>
      <c r="N11531" t="s">
        <v>45095</v>
      </c>
      <c r="O11531" t="s">
        <v>45096</v>
      </c>
      <c r="P11531">
        <v>0</v>
      </c>
      <c r="Q11531">
        <v>0</v>
      </c>
      <c r="R11531" t="s">
        <v>45109</v>
      </c>
      <c r="S11531" t="s">
        <v>45478</v>
      </c>
      <c r="T11531" t="s">
        <v>47391</v>
      </c>
      <c r="U11531" t="s">
        <v>56741</v>
      </c>
      <c r="V11531" t="s">
        <v>61086</v>
      </c>
      <c r="W11531" t="s">
        <v>44611</v>
      </c>
      <c r="X11531" t="s">
        <v>45110</v>
      </c>
    </row>
    <row r="11532" spans="1:24">
      <c r="A11532">
        <f>HYPERLINK("https://www.philgeps.gov.ph/GEPSNONPILOT/Tender/SplashBidNoticeAbstractUI.aspx?menuIndex=3&amp;refID=7026888&amp;Result=3","7026888")</f>
        <v>0</v>
      </c>
      <c r="B11532" t="s">
        <v>2831</v>
      </c>
      <c r="C11532" t="s">
        <v>14201</v>
      </c>
      <c r="D11532" t="s">
        <v>18027</v>
      </c>
      <c r="E11532" t="s">
        <v>27896</v>
      </c>
      <c r="F11532" t="s">
        <v>31574</v>
      </c>
      <c r="G11532" t="s">
        <v>31582</v>
      </c>
      <c r="H11532" t="s">
        <v>31590</v>
      </c>
      <c r="I11532" t="s">
        <v>4046</v>
      </c>
      <c r="J11532" t="s">
        <v>38893</v>
      </c>
      <c r="K11532" t="s">
        <v>41186</v>
      </c>
      <c r="M11532" t="s">
        <v>44611</v>
      </c>
      <c r="N11532" t="s">
        <v>45095</v>
      </c>
      <c r="O11532" t="s">
        <v>45096</v>
      </c>
      <c r="P11532">
        <v>0</v>
      </c>
      <c r="Q11532">
        <v>0</v>
      </c>
      <c r="R11532" t="s">
        <v>45109</v>
      </c>
      <c r="S11532" t="s">
        <v>45478</v>
      </c>
      <c r="T11532" t="s">
        <v>47391</v>
      </c>
      <c r="U11532" t="s">
        <v>56741</v>
      </c>
      <c r="V11532" t="s">
        <v>61087</v>
      </c>
      <c r="W11532" t="s">
        <v>44611</v>
      </c>
      <c r="X11532" t="s">
        <v>45110</v>
      </c>
    </row>
    <row r="11533" spans="1:24">
      <c r="A11533">
        <f>HYPERLINK("https://www.philgeps.gov.ph/GEPSNONPILOT/Tender/SplashBidNoticeAbstractUI.aspx?menuIndex=3&amp;refID=7026862&amp;Result=3","7026862")</f>
        <v>0</v>
      </c>
      <c r="B11533" t="s">
        <v>1028</v>
      </c>
      <c r="C11533" t="s">
        <v>14202</v>
      </c>
      <c r="D11533" t="s">
        <v>18055</v>
      </c>
      <c r="E11533" t="s">
        <v>28086</v>
      </c>
      <c r="F11533" t="s">
        <v>31574</v>
      </c>
      <c r="G11533" t="s">
        <v>31582</v>
      </c>
      <c r="H11533" t="s">
        <v>31591</v>
      </c>
      <c r="I11533" t="s">
        <v>8822</v>
      </c>
      <c r="J11533" t="s">
        <v>32945</v>
      </c>
      <c r="K11533" t="s">
        <v>41192</v>
      </c>
      <c r="M11533" t="s">
        <v>44633</v>
      </c>
      <c r="N11533" t="s">
        <v>45095</v>
      </c>
      <c r="O11533" t="s">
        <v>45096</v>
      </c>
      <c r="Q11533">
        <v>101</v>
      </c>
      <c r="R11533" t="s">
        <v>45109</v>
      </c>
      <c r="S11533" t="s">
        <v>45583</v>
      </c>
      <c r="T11533" t="s">
        <v>47010</v>
      </c>
      <c r="U11533" t="s">
        <v>56886</v>
      </c>
      <c r="V11533" t="s">
        <v>61088</v>
      </c>
      <c r="W11533" t="s">
        <v>61759</v>
      </c>
      <c r="X11533" t="s">
        <v>45110</v>
      </c>
    </row>
    <row r="11534" spans="1:24">
      <c r="A11534">
        <f>HYPERLINK("https://www.philgeps.gov.ph/GEPSNONPILOT/Tender/SplashBidNoticeAbstractUI.aspx?menuIndex=3&amp;refID=7026873&amp;Result=3","7026873")</f>
        <v>0</v>
      </c>
      <c r="B11534" t="s">
        <v>691</v>
      </c>
      <c r="C11534" t="s">
        <v>14203</v>
      </c>
      <c r="D11534" t="s">
        <v>18043</v>
      </c>
      <c r="E11534" t="s">
        <v>28087</v>
      </c>
      <c r="F11534" t="s">
        <v>31574</v>
      </c>
      <c r="G11534" t="s">
        <v>31582</v>
      </c>
      <c r="H11534" t="s">
        <v>31591</v>
      </c>
      <c r="I11534" t="s">
        <v>8822</v>
      </c>
      <c r="J11534" t="s">
        <v>38714</v>
      </c>
      <c r="K11534" t="s">
        <v>41396</v>
      </c>
      <c r="M11534" t="s">
        <v>44640</v>
      </c>
      <c r="N11534" t="s">
        <v>45095</v>
      </c>
      <c r="O11534" t="s">
        <v>45096</v>
      </c>
      <c r="P11534">
        <v>0</v>
      </c>
      <c r="Q11534">
        <v>2</v>
      </c>
      <c r="R11534" t="s">
        <v>45109</v>
      </c>
      <c r="S11534" t="s">
        <v>45478</v>
      </c>
      <c r="T11534" t="s">
        <v>46926</v>
      </c>
      <c r="U11534" t="s">
        <v>56911</v>
      </c>
      <c r="W11534" t="s">
        <v>44640</v>
      </c>
      <c r="X11534" t="s">
        <v>45110</v>
      </c>
    </row>
    <row r="11535" spans="1:24">
      <c r="A11535">
        <f>HYPERLINK("https://www.philgeps.gov.ph/GEPSNONPILOT/Tender/SplashBidNoticeAbstractUI.aspx?menuIndex=3&amp;refID=7026872&amp;Result=3","7026872")</f>
        <v>0</v>
      </c>
      <c r="B11535" t="s">
        <v>2831</v>
      </c>
      <c r="C11535" t="s">
        <v>14204</v>
      </c>
      <c r="D11535" t="s">
        <v>18027</v>
      </c>
      <c r="E11535" t="s">
        <v>27896</v>
      </c>
      <c r="F11535" t="s">
        <v>31574</v>
      </c>
      <c r="G11535" t="s">
        <v>31582</v>
      </c>
      <c r="H11535" t="s">
        <v>31590</v>
      </c>
      <c r="I11535" t="s">
        <v>4046</v>
      </c>
      <c r="J11535" t="s">
        <v>38894</v>
      </c>
      <c r="K11535" t="s">
        <v>41186</v>
      </c>
      <c r="M11535" t="s">
        <v>44611</v>
      </c>
      <c r="N11535" t="s">
        <v>45095</v>
      </c>
      <c r="O11535" t="s">
        <v>45096</v>
      </c>
      <c r="P11535">
        <v>0</v>
      </c>
      <c r="Q11535">
        <v>3</v>
      </c>
      <c r="R11535" t="s">
        <v>45109</v>
      </c>
      <c r="S11535" t="s">
        <v>45478</v>
      </c>
      <c r="T11535" t="s">
        <v>47391</v>
      </c>
      <c r="U11535" t="s">
        <v>56741</v>
      </c>
      <c r="V11535" t="s">
        <v>61089</v>
      </c>
      <c r="W11535" t="s">
        <v>44611</v>
      </c>
      <c r="X11535" t="s">
        <v>45110</v>
      </c>
    </row>
    <row r="11536" spans="1:24">
      <c r="A11536">
        <f>HYPERLINK("https://www.philgeps.gov.ph/GEPSNONPILOT/Tender/SplashBidNoticeAbstractUI.aspx?menuIndex=3&amp;refID=7026870&amp;Result=3","7026870")</f>
        <v>0</v>
      </c>
      <c r="B11536" t="s">
        <v>2831</v>
      </c>
      <c r="C11536" t="s">
        <v>14205</v>
      </c>
      <c r="D11536" t="s">
        <v>18027</v>
      </c>
      <c r="E11536" t="s">
        <v>27896</v>
      </c>
      <c r="F11536" t="s">
        <v>31574</v>
      </c>
      <c r="G11536" t="s">
        <v>31582</v>
      </c>
      <c r="H11536" t="s">
        <v>31590</v>
      </c>
      <c r="I11536" t="s">
        <v>31600</v>
      </c>
      <c r="J11536" t="s">
        <v>38895</v>
      </c>
      <c r="K11536" t="s">
        <v>41186</v>
      </c>
      <c r="M11536" t="s">
        <v>44611</v>
      </c>
      <c r="N11536" t="s">
        <v>45095</v>
      </c>
      <c r="O11536" t="s">
        <v>45096</v>
      </c>
      <c r="P11536">
        <v>0</v>
      </c>
      <c r="Q11536">
        <v>0</v>
      </c>
      <c r="R11536" t="s">
        <v>45109</v>
      </c>
      <c r="S11536" t="s">
        <v>45478</v>
      </c>
      <c r="T11536" t="s">
        <v>47391</v>
      </c>
      <c r="U11536" t="s">
        <v>56741</v>
      </c>
      <c r="V11536" t="s">
        <v>61090</v>
      </c>
      <c r="W11536" t="s">
        <v>44611</v>
      </c>
      <c r="X11536" t="s">
        <v>45110</v>
      </c>
    </row>
    <row r="11537" spans="1:24">
      <c r="A11537">
        <f>HYPERLINK("https://www.philgeps.gov.ph/GEPSNONPILOT/Tender/SplashBidNoticeAbstractUI.aspx?menuIndex=3&amp;refID=7026885&amp;Result=3","7026885")</f>
        <v>0</v>
      </c>
      <c r="B11537" t="s">
        <v>1028</v>
      </c>
      <c r="C11537" t="s">
        <v>14206</v>
      </c>
      <c r="D11537" t="s">
        <v>18055</v>
      </c>
      <c r="E11537" t="s">
        <v>28088</v>
      </c>
      <c r="F11537" t="s">
        <v>31574</v>
      </c>
      <c r="G11537" t="s">
        <v>31582</v>
      </c>
      <c r="H11537" t="s">
        <v>31591</v>
      </c>
      <c r="I11537" t="s">
        <v>8822</v>
      </c>
      <c r="J11537" t="s">
        <v>38896</v>
      </c>
      <c r="K11537" t="s">
        <v>41202</v>
      </c>
      <c r="M11537" t="s">
        <v>44633</v>
      </c>
      <c r="N11537" t="s">
        <v>45095</v>
      </c>
      <c r="O11537" t="s">
        <v>45096</v>
      </c>
      <c r="Q11537">
        <v>108</v>
      </c>
      <c r="R11537" t="s">
        <v>45109</v>
      </c>
      <c r="S11537" t="s">
        <v>45584</v>
      </c>
      <c r="T11537" t="s">
        <v>47010</v>
      </c>
      <c r="U11537" t="s">
        <v>56886</v>
      </c>
      <c r="V11537" t="s">
        <v>61091</v>
      </c>
      <c r="W11537" t="s">
        <v>61759</v>
      </c>
      <c r="X11537" t="s">
        <v>45110</v>
      </c>
    </row>
    <row r="11538" spans="1:24">
      <c r="A11538">
        <f>HYPERLINK("https://www.philgeps.gov.ph/GEPSNONPILOT/Tender/SplashBidNoticeAbstractUI.aspx?menuIndex=3&amp;refID=7026874&amp;Result=3","7026874")</f>
        <v>0</v>
      </c>
      <c r="B11538" t="s">
        <v>430</v>
      </c>
      <c r="C11538" t="s">
        <v>14207</v>
      </c>
      <c r="D11538" t="s">
        <v>18061</v>
      </c>
      <c r="E11538" t="s">
        <v>28089</v>
      </c>
      <c r="F11538" t="s">
        <v>31576</v>
      </c>
      <c r="G11538" t="s">
        <v>31582</v>
      </c>
      <c r="H11538" t="s">
        <v>31591</v>
      </c>
      <c r="I11538" t="s">
        <v>8822</v>
      </c>
      <c r="J11538" t="s">
        <v>38897</v>
      </c>
      <c r="K11538" t="s">
        <v>41189</v>
      </c>
      <c r="M11538" t="s">
        <v>41923</v>
      </c>
      <c r="N11538" t="s">
        <v>45095</v>
      </c>
      <c r="O11538" t="s">
        <v>45096</v>
      </c>
      <c r="P11538">
        <v>0</v>
      </c>
      <c r="Q11538">
        <v>1</v>
      </c>
      <c r="R11538" t="s">
        <v>45109</v>
      </c>
      <c r="S11538" t="s">
        <v>45478</v>
      </c>
      <c r="T11538" t="s">
        <v>46930</v>
      </c>
      <c r="U11538" t="s">
        <v>56914</v>
      </c>
      <c r="W11538" t="s">
        <v>41923</v>
      </c>
      <c r="X11538" t="s">
        <v>45110</v>
      </c>
    </row>
    <row r="11539" spans="1:24">
      <c r="A11539">
        <f>HYPERLINK("https://www.philgeps.gov.ph/GEPSNONPILOT/Tender/SplashBidNoticeAbstractUI.aspx?menuIndex=3&amp;refID=7026886&amp;Result=3","7026886")</f>
        <v>0</v>
      </c>
      <c r="B11539" t="s">
        <v>430</v>
      </c>
      <c r="C11539" t="s">
        <v>14208</v>
      </c>
      <c r="D11539" t="s">
        <v>18061</v>
      </c>
      <c r="E11539" t="s">
        <v>28090</v>
      </c>
      <c r="F11539" t="s">
        <v>31576</v>
      </c>
      <c r="G11539" t="s">
        <v>31582</v>
      </c>
      <c r="H11539" t="s">
        <v>31591</v>
      </c>
      <c r="I11539" t="s">
        <v>8822</v>
      </c>
      <c r="J11539" t="s">
        <v>38898</v>
      </c>
      <c r="K11539" t="s">
        <v>41209</v>
      </c>
      <c r="M11539" t="s">
        <v>41923</v>
      </c>
      <c r="N11539" t="s">
        <v>45095</v>
      </c>
      <c r="O11539" t="s">
        <v>45096</v>
      </c>
      <c r="P11539">
        <v>0</v>
      </c>
      <c r="Q11539">
        <v>1</v>
      </c>
      <c r="R11539" t="s">
        <v>45109</v>
      </c>
      <c r="S11539" t="s">
        <v>45478</v>
      </c>
      <c r="T11539" t="s">
        <v>46930</v>
      </c>
      <c r="U11539" t="s">
        <v>56915</v>
      </c>
      <c r="W11539" t="s">
        <v>41923</v>
      </c>
      <c r="X11539" t="s">
        <v>45110</v>
      </c>
    </row>
    <row r="11540" spans="1:24">
      <c r="A11540">
        <f>HYPERLINK("https://www.philgeps.gov.ph/GEPSNONPILOT/Tender/SplashBidNoticeAbstractUI.aspx?menuIndex=3&amp;refID=7026889&amp;Result=3","7026889")</f>
        <v>0</v>
      </c>
      <c r="B11540" t="s">
        <v>2003</v>
      </c>
      <c r="C11540" t="s">
        <v>14209</v>
      </c>
      <c r="D11540" t="s">
        <v>18022</v>
      </c>
      <c r="E11540" t="s">
        <v>28091</v>
      </c>
      <c r="F11540" t="s">
        <v>31574</v>
      </c>
      <c r="G11540" t="s">
        <v>31582</v>
      </c>
      <c r="H11540" t="s">
        <v>31591</v>
      </c>
      <c r="I11540" t="s">
        <v>8822</v>
      </c>
      <c r="J11540" t="s">
        <v>38899</v>
      </c>
      <c r="K11540" t="s">
        <v>41256</v>
      </c>
      <c r="M11540" t="s">
        <v>43665</v>
      </c>
      <c r="N11540" t="s">
        <v>45095</v>
      </c>
      <c r="O11540" t="s">
        <v>45096</v>
      </c>
      <c r="Q11540">
        <v>26</v>
      </c>
      <c r="R11540" t="s">
        <v>45109</v>
      </c>
      <c r="S11540" t="s">
        <v>45585</v>
      </c>
      <c r="T11540" t="s">
        <v>46926</v>
      </c>
      <c r="U11540" t="s">
        <v>52971</v>
      </c>
      <c r="W11540" t="s">
        <v>43665</v>
      </c>
      <c r="X11540" t="s">
        <v>45110</v>
      </c>
    </row>
    <row r="11541" spans="1:24">
      <c r="A11541">
        <f>HYPERLINK("https://www.philgeps.gov.ph/GEPSNONPILOT/Tender/SplashBidNoticeAbstractUI.aspx?menuIndex=3&amp;refID=7026869&amp;Result=3","7026869")</f>
        <v>0</v>
      </c>
      <c r="B11541" t="s">
        <v>691</v>
      </c>
      <c r="C11541" t="s">
        <v>14210</v>
      </c>
      <c r="D11541" t="s">
        <v>18043</v>
      </c>
      <c r="E11541" t="s">
        <v>28092</v>
      </c>
      <c r="F11541" t="s">
        <v>31574</v>
      </c>
      <c r="G11541" t="s">
        <v>31582</v>
      </c>
      <c r="H11541" t="s">
        <v>31591</v>
      </c>
      <c r="I11541" t="s">
        <v>8822</v>
      </c>
      <c r="J11541" t="s">
        <v>38685</v>
      </c>
      <c r="K11541" t="s">
        <v>41335</v>
      </c>
      <c r="M11541" t="s">
        <v>44640</v>
      </c>
      <c r="N11541" t="s">
        <v>45095</v>
      </c>
      <c r="O11541" t="s">
        <v>45096</v>
      </c>
      <c r="Q11541">
        <v>1</v>
      </c>
      <c r="R11541" t="s">
        <v>45109</v>
      </c>
      <c r="S11541" t="s">
        <v>45586</v>
      </c>
      <c r="T11541" t="s">
        <v>46926</v>
      </c>
      <c r="U11541" t="s">
        <v>56911</v>
      </c>
      <c r="W11541" t="s">
        <v>44640</v>
      </c>
      <c r="X11541" t="s">
        <v>45110</v>
      </c>
    </row>
    <row r="11542" spans="1:24">
      <c r="A11542">
        <f>HYPERLINK("https://www.philgeps.gov.ph/GEPSNONPILOT/Tender/SplashBidNoticeAbstractUI.aspx?menuIndex=3&amp;refID=7026835&amp;Result=3","7026835")</f>
        <v>0</v>
      </c>
      <c r="B11542" t="s">
        <v>2847</v>
      </c>
      <c r="C11542" t="s">
        <v>14211</v>
      </c>
      <c r="D11542" t="s">
        <v>18022</v>
      </c>
      <c r="E11542" t="s">
        <v>28093</v>
      </c>
      <c r="F11542" t="s">
        <v>31575</v>
      </c>
      <c r="G11542" t="s">
        <v>31582</v>
      </c>
      <c r="H11542" t="s">
        <v>31590</v>
      </c>
      <c r="I11542" t="s">
        <v>31654</v>
      </c>
      <c r="J11542" t="s">
        <v>31949</v>
      </c>
      <c r="K11542" t="s">
        <v>41184</v>
      </c>
      <c r="M11542" t="s">
        <v>44631</v>
      </c>
      <c r="N11542" t="s">
        <v>45095</v>
      </c>
      <c r="O11542" t="s">
        <v>45096</v>
      </c>
      <c r="P11542">
        <v>0</v>
      </c>
      <c r="Q11542">
        <v>6</v>
      </c>
      <c r="R11542" t="s">
        <v>45109</v>
      </c>
      <c r="S11542" t="s">
        <v>45478</v>
      </c>
      <c r="T11542" t="s">
        <v>46936</v>
      </c>
      <c r="U11542" t="s">
        <v>56916</v>
      </c>
      <c r="W11542" t="s">
        <v>44631</v>
      </c>
      <c r="X11542" t="s">
        <v>45110</v>
      </c>
    </row>
    <row r="11543" spans="1:24">
      <c r="A11543">
        <f>HYPERLINK("https://www.philgeps.gov.ph/GEPSNONPILOT/Tender/SplashBidNoticeAbstractUI.aspx?menuIndex=3&amp;refID=7026890&amp;Result=3","7026890")</f>
        <v>0</v>
      </c>
      <c r="B11543" t="s">
        <v>430</v>
      </c>
      <c r="C11543" t="s">
        <v>14212</v>
      </c>
      <c r="D11543" t="s">
        <v>18061</v>
      </c>
      <c r="E11543" t="s">
        <v>28094</v>
      </c>
      <c r="F11543" t="s">
        <v>31576</v>
      </c>
      <c r="G11543" t="s">
        <v>31582</v>
      </c>
      <c r="H11543" t="s">
        <v>31591</v>
      </c>
      <c r="I11543" t="s">
        <v>8822</v>
      </c>
      <c r="J11543" t="s">
        <v>38900</v>
      </c>
      <c r="K11543" t="s">
        <v>41192</v>
      </c>
      <c r="M11543" t="s">
        <v>41923</v>
      </c>
      <c r="N11543" t="s">
        <v>45095</v>
      </c>
      <c r="O11543" t="s">
        <v>45096</v>
      </c>
      <c r="P11543">
        <v>0</v>
      </c>
      <c r="Q11543">
        <v>1</v>
      </c>
      <c r="R11543" t="s">
        <v>45109</v>
      </c>
      <c r="S11543" t="s">
        <v>45478</v>
      </c>
      <c r="T11543" t="s">
        <v>46930</v>
      </c>
      <c r="U11543" t="s">
        <v>56917</v>
      </c>
      <c r="W11543" t="s">
        <v>41923</v>
      </c>
      <c r="X11543" t="s">
        <v>45110</v>
      </c>
    </row>
    <row r="11544" spans="1:24">
      <c r="A11544">
        <f>HYPERLINK("https://www.philgeps.gov.ph/GEPSNONPILOT/Tender/SplashBidNoticeAbstractUI.aspx?menuIndex=3&amp;refID=7026906&amp;Result=3","7026906")</f>
        <v>0</v>
      </c>
      <c r="B11544" t="s">
        <v>2831</v>
      </c>
      <c r="C11544" t="s">
        <v>14213</v>
      </c>
      <c r="D11544" t="s">
        <v>18027</v>
      </c>
      <c r="E11544" t="s">
        <v>27896</v>
      </c>
      <c r="F11544" t="s">
        <v>31574</v>
      </c>
      <c r="G11544" t="s">
        <v>31582</v>
      </c>
      <c r="H11544" t="s">
        <v>31590</v>
      </c>
      <c r="I11544" t="s">
        <v>31601</v>
      </c>
      <c r="J11544" t="s">
        <v>32026</v>
      </c>
      <c r="K11544" t="s">
        <v>41185</v>
      </c>
      <c r="M11544" t="s">
        <v>44611</v>
      </c>
      <c r="N11544" t="s">
        <v>45095</v>
      </c>
      <c r="O11544" t="s">
        <v>45096</v>
      </c>
      <c r="P11544">
        <v>0</v>
      </c>
      <c r="Q11544">
        <v>2</v>
      </c>
      <c r="R11544" t="s">
        <v>45109</v>
      </c>
      <c r="S11544" t="s">
        <v>45478</v>
      </c>
      <c r="T11544" t="s">
        <v>47391</v>
      </c>
      <c r="U11544" t="s">
        <v>56741</v>
      </c>
      <c r="V11544" t="s">
        <v>61092</v>
      </c>
      <c r="W11544" t="s">
        <v>44611</v>
      </c>
      <c r="X11544" t="s">
        <v>45110</v>
      </c>
    </row>
    <row r="11545" spans="1:24">
      <c r="A11545">
        <f>HYPERLINK("https://www.philgeps.gov.ph/GEPSNONPILOT/Tender/SplashBidNoticeAbstractUI.aspx?menuIndex=3&amp;refID=7026899&amp;Result=3","7026899")</f>
        <v>0</v>
      </c>
      <c r="B11545" t="s">
        <v>2323</v>
      </c>
      <c r="C11545" t="s">
        <v>14214</v>
      </c>
      <c r="D11545" t="s">
        <v>18063</v>
      </c>
      <c r="E11545" t="s">
        <v>28095</v>
      </c>
      <c r="F11545" t="s">
        <v>31574</v>
      </c>
      <c r="G11545" t="s">
        <v>31582</v>
      </c>
      <c r="H11545" t="s">
        <v>31591</v>
      </c>
      <c r="I11545" t="s">
        <v>8822</v>
      </c>
      <c r="J11545" t="s">
        <v>38901</v>
      </c>
      <c r="K11545" t="s">
        <v>41200</v>
      </c>
      <c r="M11545" t="s">
        <v>44033</v>
      </c>
      <c r="N11545" t="s">
        <v>45095</v>
      </c>
      <c r="O11545" t="s">
        <v>45096</v>
      </c>
      <c r="P11545">
        <v>0</v>
      </c>
      <c r="Q11545">
        <v>3</v>
      </c>
      <c r="R11545" t="s">
        <v>45109</v>
      </c>
      <c r="S11545" t="s">
        <v>45478</v>
      </c>
      <c r="T11545" t="s">
        <v>46926</v>
      </c>
      <c r="U11545" t="s">
        <v>56918</v>
      </c>
      <c r="V11545" t="s">
        <v>61093</v>
      </c>
      <c r="W11545" t="s">
        <v>61733</v>
      </c>
      <c r="X11545" t="s">
        <v>45110</v>
      </c>
    </row>
    <row r="11546" spans="1:24">
      <c r="A11546">
        <f>HYPERLINK("https://www.philgeps.gov.ph/GEPSNONPILOT/Tender/SplashBidNoticeAbstractUI.aspx?menuIndex=3&amp;refID=7026900&amp;Result=3","7026900")</f>
        <v>0</v>
      </c>
      <c r="B11546" t="s">
        <v>1131</v>
      </c>
      <c r="C11546" t="s">
        <v>14215</v>
      </c>
      <c r="D11546" t="s">
        <v>18071</v>
      </c>
      <c r="E11546" t="s">
        <v>28096</v>
      </c>
      <c r="F11546" t="s">
        <v>31574</v>
      </c>
      <c r="G11546" t="s">
        <v>31582</v>
      </c>
      <c r="H11546" t="s">
        <v>31591</v>
      </c>
      <c r="I11546" t="s">
        <v>8822</v>
      </c>
      <c r="J11546" t="s">
        <v>31771</v>
      </c>
      <c r="K11546" t="s">
        <v>41315</v>
      </c>
      <c r="M11546" t="s">
        <v>44641</v>
      </c>
      <c r="N11546" t="s">
        <v>45095</v>
      </c>
      <c r="O11546" t="s">
        <v>45096</v>
      </c>
      <c r="Q11546">
        <v>2</v>
      </c>
      <c r="R11546" t="s">
        <v>45109</v>
      </c>
      <c r="S11546" t="s">
        <v>45587</v>
      </c>
      <c r="T11546" t="s">
        <v>46930</v>
      </c>
      <c r="U11546" t="s">
        <v>56919</v>
      </c>
      <c r="W11546" t="s">
        <v>44641</v>
      </c>
      <c r="X11546" t="s">
        <v>45110</v>
      </c>
    </row>
    <row r="11547" spans="1:24">
      <c r="A11547">
        <f>HYPERLINK("https://www.philgeps.gov.ph/GEPSNONPILOT/Tender/SplashBidNoticeAbstractUI.aspx?menuIndex=3&amp;refID=7026897&amp;Result=3","7026897")</f>
        <v>0</v>
      </c>
      <c r="B11547" t="s">
        <v>2831</v>
      </c>
      <c r="C11547" t="s">
        <v>14216</v>
      </c>
      <c r="D11547" t="s">
        <v>18027</v>
      </c>
      <c r="E11547" t="s">
        <v>27896</v>
      </c>
      <c r="F11547" t="s">
        <v>31574</v>
      </c>
      <c r="G11547" t="s">
        <v>31582</v>
      </c>
      <c r="H11547" t="s">
        <v>31590</v>
      </c>
      <c r="I11547" t="s">
        <v>14544</v>
      </c>
      <c r="J11547" t="s">
        <v>38902</v>
      </c>
      <c r="K11547" t="s">
        <v>41186</v>
      </c>
      <c r="M11547" t="s">
        <v>44611</v>
      </c>
      <c r="N11547" t="s">
        <v>45095</v>
      </c>
      <c r="O11547" t="s">
        <v>45096</v>
      </c>
      <c r="P11547">
        <v>0</v>
      </c>
      <c r="Q11547">
        <v>0</v>
      </c>
      <c r="R11547" t="s">
        <v>45109</v>
      </c>
      <c r="S11547" t="s">
        <v>45478</v>
      </c>
      <c r="T11547" t="s">
        <v>47391</v>
      </c>
      <c r="U11547" t="s">
        <v>56741</v>
      </c>
      <c r="V11547" t="s">
        <v>61094</v>
      </c>
      <c r="W11547" t="s">
        <v>44611</v>
      </c>
      <c r="X11547" t="s">
        <v>45110</v>
      </c>
    </row>
    <row r="11548" spans="1:24">
      <c r="A11548">
        <f>HYPERLINK("https://www.philgeps.gov.ph/GEPSNONPILOT/Tender/SplashBidNoticeAbstractUI.aspx?menuIndex=3&amp;refID=7026898&amp;Result=3","7026898")</f>
        <v>0</v>
      </c>
      <c r="B11548" t="s">
        <v>430</v>
      </c>
      <c r="C11548" t="s">
        <v>14217</v>
      </c>
      <c r="D11548" t="s">
        <v>18061</v>
      </c>
      <c r="E11548" t="s">
        <v>28097</v>
      </c>
      <c r="F11548" t="s">
        <v>31576</v>
      </c>
      <c r="G11548" t="s">
        <v>31582</v>
      </c>
      <c r="H11548" t="s">
        <v>31591</v>
      </c>
      <c r="I11548" t="s">
        <v>31607</v>
      </c>
      <c r="J11548" t="s">
        <v>38903</v>
      </c>
      <c r="K11548" t="s">
        <v>41185</v>
      </c>
      <c r="M11548" t="s">
        <v>41923</v>
      </c>
      <c r="N11548" t="s">
        <v>45095</v>
      </c>
      <c r="O11548" t="s">
        <v>45096</v>
      </c>
      <c r="P11548">
        <v>0</v>
      </c>
      <c r="Q11548">
        <v>2</v>
      </c>
      <c r="R11548" t="s">
        <v>45109</v>
      </c>
      <c r="S11548" t="s">
        <v>45478</v>
      </c>
      <c r="T11548" t="s">
        <v>46930</v>
      </c>
      <c r="U11548" t="s">
        <v>56920</v>
      </c>
      <c r="W11548" t="s">
        <v>41923</v>
      </c>
      <c r="X11548" t="s">
        <v>45110</v>
      </c>
    </row>
    <row r="11549" spans="1:24">
      <c r="A11549">
        <f>HYPERLINK("https://www.philgeps.gov.ph/GEPSNONPILOT/Tender/SplashBidNoticeAbstractUI.aspx?menuIndex=3&amp;refID=7026893&amp;Result=3","7026893")</f>
        <v>0</v>
      </c>
      <c r="B11549" t="s">
        <v>430</v>
      </c>
      <c r="C11549" t="s">
        <v>14218</v>
      </c>
      <c r="D11549" t="s">
        <v>18061</v>
      </c>
      <c r="E11549" t="s">
        <v>28098</v>
      </c>
      <c r="F11549" t="s">
        <v>31576</v>
      </c>
      <c r="G11549" t="s">
        <v>31582</v>
      </c>
      <c r="H11549" t="s">
        <v>31591</v>
      </c>
      <c r="I11549" t="s">
        <v>8822</v>
      </c>
      <c r="J11549" t="s">
        <v>31727</v>
      </c>
      <c r="K11549" t="s">
        <v>41189</v>
      </c>
      <c r="M11549" t="s">
        <v>41923</v>
      </c>
      <c r="N11549" t="s">
        <v>45095</v>
      </c>
      <c r="O11549" t="s">
        <v>45096</v>
      </c>
      <c r="P11549">
        <v>0</v>
      </c>
      <c r="Q11549">
        <v>1</v>
      </c>
      <c r="R11549" t="s">
        <v>45109</v>
      </c>
      <c r="S11549" t="s">
        <v>45478</v>
      </c>
      <c r="T11549" t="s">
        <v>46930</v>
      </c>
      <c r="U11549" t="s">
        <v>56921</v>
      </c>
      <c r="W11549" t="s">
        <v>41923</v>
      </c>
      <c r="X11549" t="s">
        <v>45110</v>
      </c>
    </row>
    <row r="11550" spans="1:24">
      <c r="A11550">
        <f>HYPERLINK("https://www.philgeps.gov.ph/GEPSNONPILOT/Tender/SplashBidNoticeAbstractUI.aspx?menuIndex=3&amp;refID=7026896&amp;Result=3","7026896")</f>
        <v>0</v>
      </c>
      <c r="B11550" t="s">
        <v>2853</v>
      </c>
      <c r="C11550" t="s">
        <v>14219</v>
      </c>
      <c r="D11550" t="s">
        <v>18056</v>
      </c>
      <c r="E11550" t="s">
        <v>28099</v>
      </c>
      <c r="F11550" t="s">
        <v>31574</v>
      </c>
      <c r="G11550" t="s">
        <v>31582</v>
      </c>
      <c r="H11550" t="s">
        <v>31590</v>
      </c>
      <c r="I11550" t="s">
        <v>4327</v>
      </c>
      <c r="J11550" t="s">
        <v>31927</v>
      </c>
      <c r="K11550" t="s">
        <v>41196</v>
      </c>
      <c r="M11550" t="s">
        <v>44642</v>
      </c>
      <c r="N11550" t="s">
        <v>45095</v>
      </c>
      <c r="O11550" t="s">
        <v>45096</v>
      </c>
      <c r="P11550">
        <v>0</v>
      </c>
      <c r="Q11550">
        <v>6</v>
      </c>
      <c r="R11550" t="s">
        <v>45109</v>
      </c>
      <c r="S11550" t="s">
        <v>45478</v>
      </c>
      <c r="T11550" t="s">
        <v>47391</v>
      </c>
      <c r="U11550" t="s">
        <v>56922</v>
      </c>
      <c r="W11550" t="s">
        <v>44642</v>
      </c>
      <c r="X11550" t="s">
        <v>45110</v>
      </c>
    </row>
    <row r="11551" spans="1:24">
      <c r="A11551">
        <f>HYPERLINK("https://www.philgeps.gov.ph/GEPSNONPILOT/Tender/SplashBidNoticeAbstractUI.aspx?menuIndex=3&amp;refID=7026904&amp;Result=3","7026904")</f>
        <v>0</v>
      </c>
      <c r="B11551" t="s">
        <v>430</v>
      </c>
      <c r="C11551" t="s">
        <v>14220</v>
      </c>
      <c r="D11551" t="s">
        <v>18061</v>
      </c>
      <c r="E11551" t="s">
        <v>28090</v>
      </c>
      <c r="F11551" t="s">
        <v>31576</v>
      </c>
      <c r="G11551" t="s">
        <v>31582</v>
      </c>
      <c r="H11551" t="s">
        <v>31591</v>
      </c>
      <c r="I11551" t="s">
        <v>8822</v>
      </c>
      <c r="J11551" t="s">
        <v>38904</v>
      </c>
      <c r="K11551" t="s">
        <v>41189</v>
      </c>
      <c r="M11551" t="s">
        <v>41923</v>
      </c>
      <c r="N11551" t="s">
        <v>45095</v>
      </c>
      <c r="O11551" t="s">
        <v>45096</v>
      </c>
      <c r="P11551">
        <v>0</v>
      </c>
      <c r="Q11551">
        <v>1</v>
      </c>
      <c r="R11551" t="s">
        <v>45109</v>
      </c>
      <c r="S11551" t="s">
        <v>45478</v>
      </c>
      <c r="T11551" t="s">
        <v>46930</v>
      </c>
      <c r="U11551" t="s">
        <v>56923</v>
      </c>
      <c r="W11551" t="s">
        <v>41923</v>
      </c>
      <c r="X11551" t="s">
        <v>45110</v>
      </c>
    </row>
    <row r="11552" spans="1:24">
      <c r="A11552">
        <f>HYPERLINK("https://www.philgeps.gov.ph/GEPSNONPILOT/Tender/SplashBidNoticeAbstractUI.aspx?menuIndex=3&amp;refID=7026910&amp;Result=3","7026910")</f>
        <v>0</v>
      </c>
      <c r="B11552" t="s">
        <v>2003</v>
      </c>
      <c r="C11552" t="s">
        <v>14221</v>
      </c>
      <c r="D11552" t="s">
        <v>18022</v>
      </c>
      <c r="E11552" t="s">
        <v>28100</v>
      </c>
      <c r="F11552" t="s">
        <v>31574</v>
      </c>
      <c r="G11552" t="s">
        <v>31582</v>
      </c>
      <c r="H11552" t="s">
        <v>31591</v>
      </c>
      <c r="I11552" t="s">
        <v>8822</v>
      </c>
      <c r="J11552" t="s">
        <v>38905</v>
      </c>
      <c r="K11552" t="s">
        <v>41198</v>
      </c>
      <c r="M11552" t="s">
        <v>43665</v>
      </c>
      <c r="N11552" t="s">
        <v>45095</v>
      </c>
      <c r="O11552" t="s">
        <v>45096</v>
      </c>
      <c r="Q11552">
        <v>20</v>
      </c>
      <c r="R11552" t="s">
        <v>45109</v>
      </c>
      <c r="S11552" t="s">
        <v>45588</v>
      </c>
      <c r="T11552" t="s">
        <v>46926</v>
      </c>
      <c r="U11552" t="s">
        <v>52971</v>
      </c>
      <c r="W11552" t="s">
        <v>43665</v>
      </c>
      <c r="X11552" t="s">
        <v>45110</v>
      </c>
    </row>
    <row r="11553" spans="1:24">
      <c r="A11553">
        <f>HYPERLINK("https://www.philgeps.gov.ph/GEPSNONPILOT/Tender/SplashBidNoticeAbstractUI.aspx?menuIndex=3&amp;refID=7026895&amp;Result=3","7026895")</f>
        <v>0</v>
      </c>
      <c r="B11553" t="s">
        <v>1028</v>
      </c>
      <c r="C11553" t="s">
        <v>14222</v>
      </c>
      <c r="D11553" t="s">
        <v>18055</v>
      </c>
      <c r="E11553" t="s">
        <v>28101</v>
      </c>
      <c r="F11553" t="s">
        <v>31574</v>
      </c>
      <c r="G11553" t="s">
        <v>31582</v>
      </c>
      <c r="H11553" t="s">
        <v>31591</v>
      </c>
      <c r="I11553" t="s">
        <v>8822</v>
      </c>
      <c r="J11553" t="s">
        <v>32458</v>
      </c>
      <c r="K11553" t="s">
        <v>41198</v>
      </c>
      <c r="M11553" t="s">
        <v>44633</v>
      </c>
      <c r="N11553" t="s">
        <v>45095</v>
      </c>
      <c r="O11553" t="s">
        <v>45096</v>
      </c>
      <c r="Q11553">
        <v>100</v>
      </c>
      <c r="R11553" t="s">
        <v>45109</v>
      </c>
      <c r="S11553" t="s">
        <v>45589</v>
      </c>
      <c r="T11553" t="s">
        <v>47010</v>
      </c>
      <c r="U11553" t="s">
        <v>56886</v>
      </c>
      <c r="V11553" t="s">
        <v>61095</v>
      </c>
      <c r="W11553" t="s">
        <v>61759</v>
      </c>
      <c r="X11553" t="s">
        <v>45110</v>
      </c>
    </row>
    <row r="11554" spans="1:24">
      <c r="A11554">
        <f>HYPERLINK("https://www.philgeps.gov.ph/GEPSNONPILOT/Tender/SplashBidNoticeAbstractUI.aspx?menuIndex=3&amp;refID=7026901&amp;Result=3","7026901")</f>
        <v>0</v>
      </c>
      <c r="B11554" t="s">
        <v>2831</v>
      </c>
      <c r="C11554" t="s">
        <v>14223</v>
      </c>
      <c r="D11554" t="s">
        <v>18027</v>
      </c>
      <c r="E11554" t="s">
        <v>27896</v>
      </c>
      <c r="F11554" t="s">
        <v>31574</v>
      </c>
      <c r="G11554" t="s">
        <v>31582</v>
      </c>
      <c r="H11554" t="s">
        <v>31590</v>
      </c>
      <c r="I11554" t="s">
        <v>14544</v>
      </c>
      <c r="J11554" t="s">
        <v>38906</v>
      </c>
      <c r="K11554" t="s">
        <v>41192</v>
      </c>
      <c r="M11554" t="s">
        <v>44611</v>
      </c>
      <c r="N11554" t="s">
        <v>45095</v>
      </c>
      <c r="O11554" t="s">
        <v>45096</v>
      </c>
      <c r="P11554">
        <v>0</v>
      </c>
      <c r="Q11554">
        <v>1</v>
      </c>
      <c r="R11554" t="s">
        <v>45109</v>
      </c>
      <c r="S11554" t="s">
        <v>45478</v>
      </c>
      <c r="T11554" t="s">
        <v>47391</v>
      </c>
      <c r="U11554" t="s">
        <v>56741</v>
      </c>
      <c r="V11554" t="s">
        <v>61096</v>
      </c>
      <c r="W11554" t="s">
        <v>44611</v>
      </c>
      <c r="X11554" t="s">
        <v>45110</v>
      </c>
    </row>
    <row r="11555" spans="1:24">
      <c r="A11555">
        <f>HYPERLINK("https://www.philgeps.gov.ph/GEPSNONPILOT/Tender/SplashBidNoticeAbstractUI.aspx?menuIndex=3&amp;refID=7026915&amp;Result=3","7026915")</f>
        <v>0</v>
      </c>
      <c r="B11555" t="s">
        <v>587</v>
      </c>
      <c r="C11555" t="s">
        <v>14224</v>
      </c>
      <c r="D11555" t="s">
        <v>18022</v>
      </c>
      <c r="E11555" t="s">
        <v>28102</v>
      </c>
      <c r="F11555" t="s">
        <v>31574</v>
      </c>
      <c r="G11555" t="s">
        <v>31582</v>
      </c>
      <c r="H11555" t="s">
        <v>31591</v>
      </c>
      <c r="I11555" t="s">
        <v>8822</v>
      </c>
      <c r="J11555" t="s">
        <v>38907</v>
      </c>
      <c r="K11555" t="s">
        <v>41198</v>
      </c>
      <c r="M11555" t="s">
        <v>44629</v>
      </c>
      <c r="N11555" t="s">
        <v>45095</v>
      </c>
      <c r="O11555" t="s">
        <v>45096</v>
      </c>
      <c r="P11555">
        <v>0</v>
      </c>
      <c r="Q11555">
        <v>57</v>
      </c>
      <c r="R11555" t="s">
        <v>45109</v>
      </c>
      <c r="S11555" t="s">
        <v>45478</v>
      </c>
      <c r="T11555" t="s">
        <v>47019</v>
      </c>
      <c r="U11555" t="s">
        <v>56924</v>
      </c>
      <c r="W11555" t="s">
        <v>44629</v>
      </c>
      <c r="X11555" t="s">
        <v>45110</v>
      </c>
    </row>
    <row r="11556" spans="1:24">
      <c r="A11556">
        <f>HYPERLINK("https://www.philgeps.gov.ph/GEPSNONPILOT/Tender/SplashBidNoticeAbstractUI.aspx?menuIndex=3&amp;refID=7026914&amp;Result=3","7026914")</f>
        <v>0</v>
      </c>
      <c r="B11556" t="s">
        <v>1028</v>
      </c>
      <c r="C11556" t="s">
        <v>14225</v>
      </c>
      <c r="D11556" t="s">
        <v>18055</v>
      </c>
      <c r="E11556" t="s">
        <v>28103</v>
      </c>
      <c r="F11556" t="s">
        <v>31574</v>
      </c>
      <c r="G11556" t="s">
        <v>31582</v>
      </c>
      <c r="H11556" t="s">
        <v>31591</v>
      </c>
      <c r="I11556" t="s">
        <v>8822</v>
      </c>
      <c r="J11556" t="s">
        <v>32510</v>
      </c>
      <c r="K11556" t="s">
        <v>41202</v>
      </c>
      <c r="M11556" t="s">
        <v>44633</v>
      </c>
      <c r="N11556" t="s">
        <v>45095</v>
      </c>
      <c r="O11556" t="s">
        <v>45096</v>
      </c>
      <c r="Q11556">
        <v>97</v>
      </c>
      <c r="R11556" t="s">
        <v>45109</v>
      </c>
      <c r="S11556" t="s">
        <v>45590</v>
      </c>
      <c r="T11556" t="s">
        <v>47010</v>
      </c>
      <c r="U11556" t="s">
        <v>56886</v>
      </c>
      <c r="V11556" t="s">
        <v>61097</v>
      </c>
      <c r="W11556" t="s">
        <v>61759</v>
      </c>
      <c r="X11556" t="s">
        <v>45110</v>
      </c>
    </row>
    <row r="11557" spans="1:24">
      <c r="A11557">
        <f>HYPERLINK("https://www.philgeps.gov.ph/GEPSNONPILOT/Tender/SplashBidNoticeAbstractUI.aspx?menuIndex=3&amp;refID=7026908&amp;Result=3","7026908")</f>
        <v>0</v>
      </c>
      <c r="B11557" t="s">
        <v>1131</v>
      </c>
      <c r="C11557" t="s">
        <v>14226</v>
      </c>
      <c r="D11557" t="s">
        <v>18071</v>
      </c>
      <c r="E11557" t="s">
        <v>28104</v>
      </c>
      <c r="F11557" t="s">
        <v>31574</v>
      </c>
      <c r="G11557" t="s">
        <v>31582</v>
      </c>
      <c r="H11557" t="s">
        <v>31590</v>
      </c>
      <c r="I11557" t="s">
        <v>31615</v>
      </c>
      <c r="J11557" t="s">
        <v>32510</v>
      </c>
      <c r="K11557" t="s">
        <v>41192</v>
      </c>
      <c r="M11557" t="s">
        <v>44641</v>
      </c>
      <c r="N11557" t="s">
        <v>45095</v>
      </c>
      <c r="O11557" t="s">
        <v>45096</v>
      </c>
      <c r="Q11557">
        <v>7</v>
      </c>
      <c r="R11557" t="s">
        <v>45109</v>
      </c>
      <c r="S11557" t="s">
        <v>45591</v>
      </c>
      <c r="T11557" t="s">
        <v>46930</v>
      </c>
      <c r="U11557" t="s">
        <v>56925</v>
      </c>
      <c r="W11557" t="s">
        <v>44641</v>
      </c>
      <c r="X11557" t="s">
        <v>45110</v>
      </c>
    </row>
    <row r="11558" spans="1:24">
      <c r="A11558">
        <f>HYPERLINK("https://www.philgeps.gov.ph/GEPSNONPILOT/Tender/SplashBidNoticeAbstractUI.aspx?menuIndex=3&amp;refID=7026913&amp;Result=3","7026913")</f>
        <v>0</v>
      </c>
      <c r="B11558" t="s">
        <v>1770</v>
      </c>
      <c r="C11558" t="s">
        <v>14227</v>
      </c>
      <c r="D11558" t="s">
        <v>18065</v>
      </c>
      <c r="E11558" t="s">
        <v>28105</v>
      </c>
      <c r="F11558" t="s">
        <v>31574</v>
      </c>
      <c r="G11558" t="s">
        <v>31582</v>
      </c>
      <c r="H11558" t="s">
        <v>31591</v>
      </c>
      <c r="I11558" t="s">
        <v>8822</v>
      </c>
      <c r="J11558" t="s">
        <v>31771</v>
      </c>
      <c r="K11558" t="s">
        <v>41189</v>
      </c>
      <c r="L11558" t="s">
        <v>1770</v>
      </c>
      <c r="M11558" t="s">
        <v>44289</v>
      </c>
      <c r="N11558" t="s">
        <v>45095</v>
      </c>
      <c r="O11558" t="s">
        <v>45096</v>
      </c>
      <c r="P11558">
        <v>0</v>
      </c>
      <c r="Q11558">
        <v>0</v>
      </c>
      <c r="R11558" t="s">
        <v>45109</v>
      </c>
      <c r="S11558" t="s">
        <v>45478</v>
      </c>
      <c r="T11558" t="s">
        <v>46926</v>
      </c>
      <c r="U11558" t="s">
        <v>56926</v>
      </c>
      <c r="V11558" t="s">
        <v>60795</v>
      </c>
      <c r="W11558" t="s">
        <v>44289</v>
      </c>
      <c r="X11558" t="s">
        <v>45110</v>
      </c>
    </row>
    <row r="11559" spans="1:24">
      <c r="A11559">
        <f>HYPERLINK("https://www.philgeps.gov.ph/GEPSNONPILOT/Tender/SplashBidNoticeAbstractUI.aspx?menuIndex=3&amp;refID=7026918&amp;Result=3","7026918")</f>
        <v>0</v>
      </c>
      <c r="B11559" t="s">
        <v>1131</v>
      </c>
      <c r="C11559" t="s">
        <v>14228</v>
      </c>
      <c r="D11559" t="s">
        <v>18071</v>
      </c>
      <c r="E11559" t="s">
        <v>28106</v>
      </c>
      <c r="F11559" t="s">
        <v>31574</v>
      </c>
      <c r="G11559" t="s">
        <v>31582</v>
      </c>
      <c r="H11559" t="s">
        <v>31590</v>
      </c>
      <c r="I11559" t="s">
        <v>31599</v>
      </c>
      <c r="J11559" t="s">
        <v>38908</v>
      </c>
      <c r="K11559" t="s">
        <v>41191</v>
      </c>
      <c r="M11559" t="s">
        <v>42682</v>
      </c>
      <c r="N11559" t="s">
        <v>45095</v>
      </c>
      <c r="O11559" t="s">
        <v>45096</v>
      </c>
      <c r="P11559">
        <v>0</v>
      </c>
      <c r="Q11559">
        <v>1</v>
      </c>
      <c r="R11559" t="s">
        <v>45109</v>
      </c>
      <c r="S11559" t="s">
        <v>45478</v>
      </c>
      <c r="T11559" t="s">
        <v>46914</v>
      </c>
      <c r="U11559" t="s">
        <v>56927</v>
      </c>
      <c r="W11559" t="s">
        <v>42682</v>
      </c>
      <c r="X11559" t="s">
        <v>45110</v>
      </c>
    </row>
    <row r="11560" spans="1:24">
      <c r="A11560">
        <f>HYPERLINK("https://www.philgeps.gov.ph/GEPSNONPILOT/Tender/SplashBidNoticeAbstractUI.aspx?menuIndex=3&amp;refID=7026891&amp;Result=3","7026891")</f>
        <v>0</v>
      </c>
      <c r="B11560" t="s">
        <v>2831</v>
      </c>
      <c r="C11560" t="s">
        <v>14229</v>
      </c>
      <c r="D11560" t="s">
        <v>18027</v>
      </c>
      <c r="E11560" t="s">
        <v>27896</v>
      </c>
      <c r="F11560" t="s">
        <v>31574</v>
      </c>
      <c r="G11560" t="s">
        <v>31582</v>
      </c>
      <c r="H11560" t="s">
        <v>31590</v>
      </c>
      <c r="I11560" t="s">
        <v>4046</v>
      </c>
      <c r="J11560" t="s">
        <v>38909</v>
      </c>
      <c r="K11560" t="s">
        <v>41186</v>
      </c>
      <c r="M11560" t="s">
        <v>44611</v>
      </c>
      <c r="N11560" t="s">
        <v>45095</v>
      </c>
      <c r="O11560" t="s">
        <v>45096</v>
      </c>
      <c r="Q11560">
        <v>0</v>
      </c>
      <c r="R11560" t="s">
        <v>45109</v>
      </c>
      <c r="S11560" t="s">
        <v>45592</v>
      </c>
      <c r="T11560" t="s">
        <v>47391</v>
      </c>
      <c r="U11560" t="s">
        <v>56741</v>
      </c>
      <c r="V11560" t="s">
        <v>61098</v>
      </c>
      <c r="W11560" t="s">
        <v>44611</v>
      </c>
      <c r="X11560" t="s">
        <v>45110</v>
      </c>
    </row>
    <row r="11561" spans="1:24">
      <c r="A11561">
        <f>HYPERLINK("https://www.philgeps.gov.ph/GEPSNONPILOT/Tender/SplashBidNoticeAbstractUI.aspx?menuIndex=3&amp;refID=7026916&amp;Result=3","7026916")</f>
        <v>0</v>
      </c>
      <c r="B11561" t="s">
        <v>2831</v>
      </c>
      <c r="C11561" t="s">
        <v>14230</v>
      </c>
      <c r="D11561" t="s">
        <v>18027</v>
      </c>
      <c r="E11561" t="s">
        <v>27896</v>
      </c>
      <c r="F11561" t="s">
        <v>31574</v>
      </c>
      <c r="G11561" t="s">
        <v>31582</v>
      </c>
      <c r="H11561" t="s">
        <v>31590</v>
      </c>
      <c r="I11561" t="s">
        <v>31601</v>
      </c>
      <c r="J11561" t="s">
        <v>33343</v>
      </c>
      <c r="K11561" t="s">
        <v>41192</v>
      </c>
      <c r="M11561" t="s">
        <v>44611</v>
      </c>
      <c r="N11561" t="s">
        <v>45095</v>
      </c>
      <c r="O11561" t="s">
        <v>45096</v>
      </c>
      <c r="P11561">
        <v>0</v>
      </c>
      <c r="Q11561">
        <v>0</v>
      </c>
      <c r="R11561" t="s">
        <v>45109</v>
      </c>
      <c r="S11561" t="s">
        <v>45478</v>
      </c>
      <c r="T11561" t="s">
        <v>47391</v>
      </c>
      <c r="U11561" t="s">
        <v>56741</v>
      </c>
      <c r="V11561" t="s">
        <v>61099</v>
      </c>
      <c r="W11561" t="s">
        <v>44611</v>
      </c>
      <c r="X11561" t="s">
        <v>45110</v>
      </c>
    </row>
    <row r="11562" spans="1:24">
      <c r="A11562">
        <f>HYPERLINK("https://www.philgeps.gov.ph/GEPSNONPILOT/Tender/SplashBidNoticeAbstractUI.aspx?menuIndex=3&amp;refID=7026912&amp;Result=3","7026912")</f>
        <v>0</v>
      </c>
      <c r="B11562" t="s">
        <v>430</v>
      </c>
      <c r="C11562" t="s">
        <v>14231</v>
      </c>
      <c r="D11562" t="s">
        <v>18061</v>
      </c>
      <c r="E11562" t="s">
        <v>28107</v>
      </c>
      <c r="F11562" t="s">
        <v>31576</v>
      </c>
      <c r="G11562" t="s">
        <v>31582</v>
      </c>
      <c r="H11562" t="s">
        <v>31591</v>
      </c>
      <c r="I11562" t="s">
        <v>8822</v>
      </c>
      <c r="J11562" t="s">
        <v>31741</v>
      </c>
      <c r="K11562" t="s">
        <v>41203</v>
      </c>
      <c r="M11562" t="s">
        <v>41923</v>
      </c>
      <c r="N11562" t="s">
        <v>45095</v>
      </c>
      <c r="O11562" t="s">
        <v>45096</v>
      </c>
      <c r="P11562">
        <v>0</v>
      </c>
      <c r="Q11562">
        <v>1</v>
      </c>
      <c r="R11562" t="s">
        <v>45109</v>
      </c>
      <c r="S11562" t="s">
        <v>45478</v>
      </c>
      <c r="T11562" t="s">
        <v>46930</v>
      </c>
      <c r="U11562" t="s">
        <v>56921</v>
      </c>
      <c r="W11562" t="s">
        <v>41923</v>
      </c>
      <c r="X11562" t="s">
        <v>45110</v>
      </c>
    </row>
    <row r="11563" spans="1:24">
      <c r="A11563">
        <f>HYPERLINK("https://www.philgeps.gov.ph/GEPSNONPILOT/Tender/SplashBidNoticeAbstractUI.aspx?menuIndex=3&amp;refID=7026931&amp;Result=3","7026931")</f>
        <v>0</v>
      </c>
      <c r="B11563" t="s">
        <v>1028</v>
      </c>
      <c r="C11563" t="s">
        <v>14232</v>
      </c>
      <c r="D11563" t="s">
        <v>18055</v>
      </c>
      <c r="E11563" t="s">
        <v>28108</v>
      </c>
      <c r="F11563" t="s">
        <v>31574</v>
      </c>
      <c r="G11563" t="s">
        <v>31582</v>
      </c>
      <c r="H11563" t="s">
        <v>31591</v>
      </c>
      <c r="I11563" t="s">
        <v>8822</v>
      </c>
      <c r="J11563" t="s">
        <v>32936</v>
      </c>
      <c r="K11563" t="s">
        <v>41198</v>
      </c>
      <c r="M11563" t="s">
        <v>44633</v>
      </c>
      <c r="N11563" t="s">
        <v>45095</v>
      </c>
      <c r="O11563" t="s">
        <v>45096</v>
      </c>
      <c r="Q11563">
        <v>96</v>
      </c>
      <c r="R11563" t="s">
        <v>45109</v>
      </c>
      <c r="S11563" t="s">
        <v>45593</v>
      </c>
      <c r="T11563" t="s">
        <v>47010</v>
      </c>
      <c r="U11563" t="s">
        <v>56886</v>
      </c>
      <c r="V11563" t="s">
        <v>61100</v>
      </c>
      <c r="W11563" t="s">
        <v>61759</v>
      </c>
      <c r="X11563" t="s">
        <v>45110</v>
      </c>
    </row>
    <row r="11564" spans="1:24">
      <c r="A11564">
        <f>HYPERLINK("https://www.philgeps.gov.ph/GEPSNONPILOT/Tender/SplashBidNoticeAbstractUI.aspx?menuIndex=3&amp;refID=7026920&amp;Result=3","7026920")</f>
        <v>0</v>
      </c>
      <c r="B11564" t="s">
        <v>587</v>
      </c>
      <c r="C11564" t="s">
        <v>14233</v>
      </c>
      <c r="D11564" t="s">
        <v>18022</v>
      </c>
      <c r="E11564" t="s">
        <v>28109</v>
      </c>
      <c r="F11564" t="s">
        <v>31574</v>
      </c>
      <c r="G11564" t="s">
        <v>31582</v>
      </c>
      <c r="H11564" t="s">
        <v>31591</v>
      </c>
      <c r="I11564" t="s">
        <v>8822</v>
      </c>
      <c r="J11564" t="s">
        <v>38910</v>
      </c>
      <c r="K11564" t="s">
        <v>41192</v>
      </c>
      <c r="M11564" t="s">
        <v>44629</v>
      </c>
      <c r="N11564" t="s">
        <v>45095</v>
      </c>
      <c r="O11564" t="s">
        <v>45096</v>
      </c>
      <c r="P11564">
        <v>0</v>
      </c>
      <c r="Q11564">
        <v>54</v>
      </c>
      <c r="R11564" t="s">
        <v>45109</v>
      </c>
      <c r="S11564" t="s">
        <v>45478</v>
      </c>
      <c r="T11564" t="s">
        <v>47019</v>
      </c>
      <c r="U11564" t="s">
        <v>56928</v>
      </c>
      <c r="W11564" t="s">
        <v>44629</v>
      </c>
      <c r="X11564" t="s">
        <v>45110</v>
      </c>
    </row>
    <row r="11565" spans="1:24">
      <c r="A11565">
        <f>HYPERLINK("https://www.philgeps.gov.ph/GEPSNONPILOT/Tender/SplashBidNoticeAbstractUI.aspx?menuIndex=3&amp;refID=7026922&amp;Result=3","7026922")</f>
        <v>0</v>
      </c>
      <c r="B11565" t="s">
        <v>1545</v>
      </c>
      <c r="C11565" t="s">
        <v>14234</v>
      </c>
      <c r="D11565" t="s">
        <v>18023</v>
      </c>
      <c r="E11565" t="s">
        <v>28110</v>
      </c>
      <c r="F11565" t="s">
        <v>31574</v>
      </c>
      <c r="G11565" t="s">
        <v>31582</v>
      </c>
      <c r="H11565" t="s">
        <v>31591</v>
      </c>
      <c r="I11565" t="s">
        <v>8822</v>
      </c>
      <c r="J11565" t="s">
        <v>34070</v>
      </c>
      <c r="K11565" t="s">
        <v>41257</v>
      </c>
      <c r="M11565" t="s">
        <v>43141</v>
      </c>
      <c r="N11565" t="s">
        <v>45095</v>
      </c>
      <c r="O11565" t="s">
        <v>45096</v>
      </c>
      <c r="P11565">
        <v>0</v>
      </c>
      <c r="Q11565">
        <v>29</v>
      </c>
      <c r="R11565" t="s">
        <v>45109</v>
      </c>
      <c r="S11565" t="s">
        <v>45478</v>
      </c>
      <c r="T11565" t="s">
        <v>46952</v>
      </c>
      <c r="U11565" t="s">
        <v>56885</v>
      </c>
      <c r="W11565" t="s">
        <v>43141</v>
      </c>
      <c r="X11565" t="s">
        <v>45110</v>
      </c>
    </row>
    <row r="11566" spans="1:24">
      <c r="A11566">
        <f>HYPERLINK("https://www.philgeps.gov.ph/GEPSNONPILOT/Tender/SplashBidNoticeAbstractUI.aspx?menuIndex=3&amp;refID=7026924&amp;Result=3","7026924")</f>
        <v>0</v>
      </c>
      <c r="B11566" t="s">
        <v>1337</v>
      </c>
      <c r="C11566" t="s">
        <v>14235</v>
      </c>
      <c r="D11566" t="s">
        <v>18066</v>
      </c>
      <c r="E11566" t="s">
        <v>18553</v>
      </c>
      <c r="F11566" t="s">
        <v>31574</v>
      </c>
      <c r="G11566" t="s">
        <v>31582</v>
      </c>
      <c r="H11566" t="s">
        <v>31591</v>
      </c>
      <c r="I11566" t="s">
        <v>8822</v>
      </c>
      <c r="J11566" t="s">
        <v>31935</v>
      </c>
      <c r="K11566" t="s">
        <v>41189</v>
      </c>
      <c r="M11566" t="s">
        <v>42909</v>
      </c>
      <c r="N11566" t="s">
        <v>45095</v>
      </c>
      <c r="O11566" t="s">
        <v>45096</v>
      </c>
      <c r="Q11566">
        <v>4</v>
      </c>
      <c r="R11566" t="s">
        <v>45109</v>
      </c>
      <c r="S11566" t="s">
        <v>45594</v>
      </c>
      <c r="T11566" t="s">
        <v>46921</v>
      </c>
      <c r="U11566" t="s">
        <v>56929</v>
      </c>
      <c r="W11566" t="s">
        <v>42909</v>
      </c>
      <c r="X11566" t="s">
        <v>45110</v>
      </c>
    </row>
    <row r="11567" spans="1:24">
      <c r="A11567">
        <f>HYPERLINK("https://www.philgeps.gov.ph/GEPSNONPILOT/Tender/SplashBidNoticeAbstractUI.aspx?menuIndex=3&amp;refID=7026923&amp;Result=3","7026923")</f>
        <v>0</v>
      </c>
      <c r="B11567" t="s">
        <v>2065</v>
      </c>
      <c r="C11567" t="s">
        <v>14236</v>
      </c>
      <c r="D11567" t="s">
        <v>18094</v>
      </c>
      <c r="E11567" t="s">
        <v>28111</v>
      </c>
      <c r="F11567" t="s">
        <v>31574</v>
      </c>
      <c r="G11567" t="s">
        <v>31582</v>
      </c>
      <c r="H11567" t="s">
        <v>31591</v>
      </c>
      <c r="I11567" t="s">
        <v>8822</v>
      </c>
      <c r="J11567" t="s">
        <v>32417</v>
      </c>
      <c r="K11567" t="s">
        <v>41200</v>
      </c>
      <c r="M11567" t="s">
        <v>43739</v>
      </c>
      <c r="N11567" t="s">
        <v>45095</v>
      </c>
      <c r="O11567" t="s">
        <v>45096</v>
      </c>
      <c r="P11567">
        <v>0</v>
      </c>
      <c r="Q11567">
        <v>0</v>
      </c>
      <c r="R11567" t="s">
        <v>45109</v>
      </c>
      <c r="S11567" t="s">
        <v>45478</v>
      </c>
      <c r="T11567" t="s">
        <v>47019</v>
      </c>
      <c r="U11567" t="s">
        <v>56930</v>
      </c>
      <c r="W11567" t="s">
        <v>43739</v>
      </c>
      <c r="X11567" t="s">
        <v>45110</v>
      </c>
    </row>
    <row r="11568" spans="1:24">
      <c r="A11568">
        <f>HYPERLINK("https://www.philgeps.gov.ph/GEPSNONPILOT/Tender/SplashBidNoticeAbstractUI.aspx?menuIndex=3&amp;refID=7026921&amp;Result=3","7026921")</f>
        <v>0</v>
      </c>
      <c r="B11568" t="s">
        <v>1028</v>
      </c>
      <c r="C11568" t="s">
        <v>14237</v>
      </c>
      <c r="D11568" t="s">
        <v>18055</v>
      </c>
      <c r="E11568" t="s">
        <v>28112</v>
      </c>
      <c r="F11568" t="s">
        <v>31574</v>
      </c>
      <c r="G11568" t="s">
        <v>31582</v>
      </c>
      <c r="H11568" t="s">
        <v>31591</v>
      </c>
      <c r="I11568" t="s">
        <v>8822</v>
      </c>
      <c r="J11568" t="s">
        <v>32510</v>
      </c>
      <c r="K11568" t="s">
        <v>41202</v>
      </c>
      <c r="M11568" t="s">
        <v>44633</v>
      </c>
      <c r="N11568" t="s">
        <v>45095</v>
      </c>
      <c r="O11568" t="s">
        <v>45096</v>
      </c>
      <c r="Q11568">
        <v>95</v>
      </c>
      <c r="R11568" t="s">
        <v>45109</v>
      </c>
      <c r="S11568" t="s">
        <v>45595</v>
      </c>
      <c r="T11568" t="s">
        <v>47010</v>
      </c>
      <c r="U11568" t="s">
        <v>56886</v>
      </c>
      <c r="V11568" t="s">
        <v>61101</v>
      </c>
      <c r="W11568" t="s">
        <v>61759</v>
      </c>
      <c r="X11568" t="s">
        <v>45110</v>
      </c>
    </row>
    <row r="11569" spans="1:24">
      <c r="A11569">
        <f>HYPERLINK("https://www.philgeps.gov.ph/GEPSNONPILOT/Tender/SplashBidNoticeAbstractUI.aspx?menuIndex=3&amp;refID=7026950&amp;Result=3","7026950")</f>
        <v>0</v>
      </c>
      <c r="B11569" t="s">
        <v>1337</v>
      </c>
      <c r="C11569" t="s">
        <v>14238</v>
      </c>
      <c r="D11569" t="s">
        <v>18066</v>
      </c>
      <c r="E11569" t="s">
        <v>22090</v>
      </c>
      <c r="F11569" t="s">
        <v>31574</v>
      </c>
      <c r="G11569" t="s">
        <v>31582</v>
      </c>
      <c r="H11569" t="s">
        <v>31591</v>
      </c>
      <c r="I11569" t="s">
        <v>8822</v>
      </c>
      <c r="J11569" t="s">
        <v>31935</v>
      </c>
      <c r="K11569" t="s">
        <v>41189</v>
      </c>
      <c r="M11569" t="s">
        <v>42909</v>
      </c>
      <c r="N11569" t="s">
        <v>45095</v>
      </c>
      <c r="O11569" t="s">
        <v>45096</v>
      </c>
      <c r="P11569">
        <v>0</v>
      </c>
      <c r="Q11569">
        <v>4</v>
      </c>
      <c r="R11569" t="s">
        <v>45109</v>
      </c>
      <c r="S11569" t="s">
        <v>45478</v>
      </c>
      <c r="T11569" t="s">
        <v>46930</v>
      </c>
      <c r="U11569" t="s">
        <v>56931</v>
      </c>
      <c r="W11569" t="s">
        <v>42909</v>
      </c>
      <c r="X11569" t="s">
        <v>45110</v>
      </c>
    </row>
    <row r="11570" spans="1:24">
      <c r="A11570">
        <f>HYPERLINK("https://www.philgeps.gov.ph/GEPSNONPILOT/Tender/SplashBidNoticeAbstractUI.aspx?menuIndex=3&amp;refID=7026942&amp;Result=3","7026942")</f>
        <v>0</v>
      </c>
      <c r="B11570" t="s">
        <v>1337</v>
      </c>
      <c r="C11570" t="s">
        <v>14239</v>
      </c>
      <c r="D11570" t="s">
        <v>18066</v>
      </c>
      <c r="E11570" t="s">
        <v>18430</v>
      </c>
      <c r="F11570" t="s">
        <v>31574</v>
      </c>
      <c r="G11570" t="s">
        <v>31582</v>
      </c>
      <c r="H11570" t="s">
        <v>31591</v>
      </c>
      <c r="I11570" t="s">
        <v>8822</v>
      </c>
      <c r="J11570" t="s">
        <v>31935</v>
      </c>
      <c r="K11570" t="s">
        <v>41189</v>
      </c>
      <c r="M11570" t="s">
        <v>42909</v>
      </c>
      <c r="N11570" t="s">
        <v>45095</v>
      </c>
      <c r="O11570" t="s">
        <v>45096</v>
      </c>
      <c r="P11570">
        <v>0</v>
      </c>
      <c r="Q11570">
        <v>3</v>
      </c>
      <c r="R11570" t="s">
        <v>45109</v>
      </c>
      <c r="S11570" t="s">
        <v>45478</v>
      </c>
      <c r="T11570" t="s">
        <v>46930</v>
      </c>
      <c r="U11570" t="s">
        <v>56932</v>
      </c>
      <c r="W11570" t="s">
        <v>42909</v>
      </c>
      <c r="X11570" t="s">
        <v>45110</v>
      </c>
    </row>
    <row r="11571" spans="1:24">
      <c r="A11571">
        <f>HYPERLINK("https://www.philgeps.gov.ph/GEPSNONPILOT/Tender/SplashBidNoticeAbstractUI.aspx?menuIndex=3&amp;refID=7026948&amp;Result=3","7026948")</f>
        <v>0</v>
      </c>
      <c r="B11571" t="s">
        <v>587</v>
      </c>
      <c r="C11571" t="s">
        <v>14240</v>
      </c>
      <c r="D11571" t="s">
        <v>18022</v>
      </c>
      <c r="E11571" t="s">
        <v>28113</v>
      </c>
      <c r="F11571" t="s">
        <v>31574</v>
      </c>
      <c r="G11571" t="s">
        <v>31582</v>
      </c>
      <c r="H11571" t="s">
        <v>31591</v>
      </c>
      <c r="I11571" t="s">
        <v>8822</v>
      </c>
      <c r="J11571" t="s">
        <v>38911</v>
      </c>
      <c r="K11571" t="s">
        <v>41243</v>
      </c>
      <c r="M11571" t="s">
        <v>44629</v>
      </c>
      <c r="N11571" t="s">
        <v>45095</v>
      </c>
      <c r="O11571" t="s">
        <v>45096</v>
      </c>
      <c r="P11571">
        <v>0</v>
      </c>
      <c r="Q11571">
        <v>54</v>
      </c>
      <c r="R11571" t="s">
        <v>45109</v>
      </c>
      <c r="S11571" t="s">
        <v>45478</v>
      </c>
      <c r="T11571" t="s">
        <v>47019</v>
      </c>
      <c r="U11571" t="s">
        <v>56933</v>
      </c>
      <c r="W11571" t="s">
        <v>44629</v>
      </c>
      <c r="X11571" t="s">
        <v>45110</v>
      </c>
    </row>
    <row r="11572" spans="1:24">
      <c r="A11572">
        <f>HYPERLINK("https://www.philgeps.gov.ph/GEPSNONPILOT/Tender/SplashBidNoticeAbstractUI.aspx?menuIndex=3&amp;refID=7026953&amp;Result=3","7026953")</f>
        <v>0</v>
      </c>
      <c r="B11572" t="s">
        <v>2847</v>
      </c>
      <c r="C11572" t="s">
        <v>14241</v>
      </c>
      <c r="D11572" t="s">
        <v>18022</v>
      </c>
      <c r="E11572" t="s">
        <v>28114</v>
      </c>
      <c r="F11572" t="s">
        <v>31575</v>
      </c>
      <c r="G11572" t="s">
        <v>31582</v>
      </c>
      <c r="H11572" t="s">
        <v>31590</v>
      </c>
      <c r="I11572" t="s">
        <v>3651</v>
      </c>
      <c r="J11572" t="s">
        <v>32017</v>
      </c>
      <c r="K11572" t="s">
        <v>41184</v>
      </c>
      <c r="M11572" t="s">
        <v>44631</v>
      </c>
      <c r="N11572" t="s">
        <v>45095</v>
      </c>
      <c r="O11572" t="s">
        <v>45096</v>
      </c>
      <c r="P11572">
        <v>0</v>
      </c>
      <c r="Q11572">
        <v>5</v>
      </c>
      <c r="R11572" t="s">
        <v>45109</v>
      </c>
      <c r="S11572" t="s">
        <v>45478</v>
      </c>
      <c r="T11572" t="s">
        <v>46911</v>
      </c>
      <c r="U11572" t="s">
        <v>56934</v>
      </c>
      <c r="W11572" t="s">
        <v>44631</v>
      </c>
      <c r="X11572" t="s">
        <v>45110</v>
      </c>
    </row>
    <row r="11573" spans="1:24">
      <c r="A11573">
        <f>HYPERLINK("https://www.philgeps.gov.ph/GEPSNONPILOT/Tender/SplashBidNoticeAbstractUI.aspx?menuIndex=3&amp;refID=7026951&amp;Result=3","7026951")</f>
        <v>0</v>
      </c>
      <c r="B11573" t="s">
        <v>1028</v>
      </c>
      <c r="C11573" t="s">
        <v>14242</v>
      </c>
      <c r="D11573" t="s">
        <v>18055</v>
      </c>
      <c r="E11573" t="s">
        <v>28115</v>
      </c>
      <c r="F11573" t="s">
        <v>31574</v>
      </c>
      <c r="G11573" t="s">
        <v>31582</v>
      </c>
      <c r="H11573" t="s">
        <v>31591</v>
      </c>
      <c r="I11573" t="s">
        <v>8822</v>
      </c>
      <c r="J11573" t="s">
        <v>32101</v>
      </c>
      <c r="K11573" t="s">
        <v>41198</v>
      </c>
      <c r="M11573" t="s">
        <v>44633</v>
      </c>
      <c r="N11573" t="s">
        <v>45095</v>
      </c>
      <c r="O11573" t="s">
        <v>45096</v>
      </c>
      <c r="Q11573">
        <v>89</v>
      </c>
      <c r="R11573" t="s">
        <v>45109</v>
      </c>
      <c r="S11573" t="s">
        <v>45596</v>
      </c>
      <c r="T11573" t="s">
        <v>47010</v>
      </c>
      <c r="U11573" t="s">
        <v>56886</v>
      </c>
      <c r="V11573" t="s">
        <v>61102</v>
      </c>
      <c r="W11573" t="s">
        <v>61759</v>
      </c>
      <c r="X11573" t="s">
        <v>45110</v>
      </c>
    </row>
    <row r="11574" spans="1:24">
      <c r="A11574">
        <f>HYPERLINK("https://www.philgeps.gov.ph/GEPSNONPILOT/Tender/SplashBidNoticeAbstractUI.aspx?menuIndex=3&amp;refID=7026945&amp;Result=3","7026945")</f>
        <v>0</v>
      </c>
      <c r="B11574" t="s">
        <v>2776</v>
      </c>
      <c r="C11574" t="s">
        <v>14243</v>
      </c>
      <c r="D11574" t="s">
        <v>18092</v>
      </c>
      <c r="E11574" t="s">
        <v>28116</v>
      </c>
      <c r="F11574" t="s">
        <v>31574</v>
      </c>
      <c r="G11574" t="s">
        <v>31582</v>
      </c>
      <c r="H11574" t="s">
        <v>31591</v>
      </c>
      <c r="I11574" t="s">
        <v>8822</v>
      </c>
      <c r="J11574" t="s">
        <v>38912</v>
      </c>
      <c r="K11574" t="s">
        <v>41189</v>
      </c>
      <c r="M11574" t="s">
        <v>44551</v>
      </c>
      <c r="N11574" t="s">
        <v>45095</v>
      </c>
      <c r="O11574" t="s">
        <v>45096</v>
      </c>
      <c r="Q11574">
        <v>0</v>
      </c>
      <c r="R11574" t="s">
        <v>45109</v>
      </c>
      <c r="S11574" t="s">
        <v>45597</v>
      </c>
      <c r="T11574" t="s">
        <v>46926</v>
      </c>
      <c r="U11574" t="s">
        <v>56935</v>
      </c>
      <c r="W11574" t="s">
        <v>44551</v>
      </c>
      <c r="X11574" t="s">
        <v>45110</v>
      </c>
    </row>
    <row r="11575" spans="1:24">
      <c r="A11575">
        <f>HYPERLINK("https://www.philgeps.gov.ph/GEPSNONPILOT/Tender/SplashBidNoticeAbstractUI.aspx?menuIndex=3&amp;refID=7026954&amp;Result=3","7026954")</f>
        <v>0</v>
      </c>
      <c r="B11575" t="s">
        <v>587</v>
      </c>
      <c r="C11575" t="s">
        <v>14244</v>
      </c>
      <c r="D11575" t="s">
        <v>18022</v>
      </c>
      <c r="E11575" t="s">
        <v>28117</v>
      </c>
      <c r="F11575" t="s">
        <v>31574</v>
      </c>
      <c r="G11575" t="s">
        <v>31582</v>
      </c>
      <c r="H11575" t="s">
        <v>31591</v>
      </c>
      <c r="I11575" t="s">
        <v>8822</v>
      </c>
      <c r="J11575" t="s">
        <v>38913</v>
      </c>
      <c r="K11575" t="s">
        <v>41243</v>
      </c>
      <c r="M11575" t="s">
        <v>44629</v>
      </c>
      <c r="N11575" t="s">
        <v>45095</v>
      </c>
      <c r="O11575" t="s">
        <v>45096</v>
      </c>
      <c r="P11575">
        <v>0</v>
      </c>
      <c r="Q11575">
        <v>57</v>
      </c>
      <c r="R11575" t="s">
        <v>45109</v>
      </c>
      <c r="S11575" t="s">
        <v>45478</v>
      </c>
      <c r="T11575" t="s">
        <v>47019</v>
      </c>
      <c r="U11575" t="s">
        <v>56936</v>
      </c>
      <c r="W11575" t="s">
        <v>44629</v>
      </c>
      <c r="X11575" t="s">
        <v>45110</v>
      </c>
    </row>
    <row r="11576" spans="1:24">
      <c r="A11576">
        <f>HYPERLINK("https://www.philgeps.gov.ph/GEPSNONPILOT/Tender/SplashBidNoticeAbstractUI.aspx?menuIndex=3&amp;refID=7026941&amp;Result=3","7026941")</f>
        <v>0</v>
      </c>
      <c r="B11576" t="s">
        <v>587</v>
      </c>
      <c r="C11576" t="s">
        <v>14245</v>
      </c>
      <c r="D11576" t="s">
        <v>18022</v>
      </c>
      <c r="E11576" t="s">
        <v>28118</v>
      </c>
      <c r="F11576" t="s">
        <v>31574</v>
      </c>
      <c r="G11576" t="s">
        <v>31582</v>
      </c>
      <c r="H11576" t="s">
        <v>31591</v>
      </c>
      <c r="I11576" t="s">
        <v>8822</v>
      </c>
      <c r="J11576" t="s">
        <v>38914</v>
      </c>
      <c r="K11576" t="s">
        <v>41198</v>
      </c>
      <c r="M11576" t="s">
        <v>44629</v>
      </c>
      <c r="N11576" t="s">
        <v>45095</v>
      </c>
      <c r="O11576" t="s">
        <v>45096</v>
      </c>
      <c r="P11576">
        <v>0</v>
      </c>
      <c r="Q11576">
        <v>58</v>
      </c>
      <c r="R11576" t="s">
        <v>45109</v>
      </c>
      <c r="S11576" t="s">
        <v>45478</v>
      </c>
      <c r="T11576" t="s">
        <v>47019</v>
      </c>
      <c r="U11576" t="s">
        <v>56937</v>
      </c>
      <c r="W11576" t="s">
        <v>44629</v>
      </c>
      <c r="X11576" t="s">
        <v>45110</v>
      </c>
    </row>
    <row r="11577" spans="1:24">
      <c r="A11577">
        <f>HYPERLINK("https://www.philgeps.gov.ph/GEPSNONPILOT/Tender/SplashBidNoticeAbstractUI.aspx?menuIndex=3&amp;refID=7026944&amp;Result=3","7026944")</f>
        <v>0</v>
      </c>
      <c r="B11577" t="s">
        <v>1028</v>
      </c>
      <c r="C11577" t="s">
        <v>14246</v>
      </c>
      <c r="D11577" t="s">
        <v>18055</v>
      </c>
      <c r="E11577" t="s">
        <v>28119</v>
      </c>
      <c r="F11577" t="s">
        <v>31574</v>
      </c>
      <c r="G11577" t="s">
        <v>31582</v>
      </c>
      <c r="H11577" t="s">
        <v>31591</v>
      </c>
      <c r="I11577" t="s">
        <v>8822</v>
      </c>
      <c r="J11577" t="s">
        <v>32101</v>
      </c>
      <c r="K11577" t="s">
        <v>41202</v>
      </c>
      <c r="M11577" t="s">
        <v>44633</v>
      </c>
      <c r="N11577" t="s">
        <v>45095</v>
      </c>
      <c r="O11577" t="s">
        <v>45096</v>
      </c>
      <c r="Q11577">
        <v>88</v>
      </c>
      <c r="R11577" t="s">
        <v>45109</v>
      </c>
      <c r="S11577" t="s">
        <v>45598</v>
      </c>
      <c r="T11577" t="s">
        <v>47010</v>
      </c>
      <c r="U11577" t="s">
        <v>56886</v>
      </c>
      <c r="V11577" t="s">
        <v>61103</v>
      </c>
      <c r="W11577" t="s">
        <v>61759</v>
      </c>
      <c r="X11577" t="s">
        <v>45110</v>
      </c>
    </row>
    <row r="11578" spans="1:24">
      <c r="A11578">
        <f>HYPERLINK("https://www.philgeps.gov.ph/GEPSNONPILOT/Tender/SplashBidNoticeAbstractUI.aspx?menuIndex=3&amp;refID=7026927&amp;Result=3","7026927")</f>
        <v>0</v>
      </c>
      <c r="B11578" t="s">
        <v>2853</v>
      </c>
      <c r="C11578" t="s">
        <v>14247</v>
      </c>
      <c r="D11578" t="s">
        <v>18056</v>
      </c>
      <c r="E11578" t="s">
        <v>28120</v>
      </c>
      <c r="F11578" t="s">
        <v>31574</v>
      </c>
      <c r="G11578" t="s">
        <v>31582</v>
      </c>
      <c r="H11578" t="s">
        <v>31590</v>
      </c>
      <c r="I11578" t="s">
        <v>31620</v>
      </c>
      <c r="J11578" t="s">
        <v>33408</v>
      </c>
      <c r="K11578" t="s">
        <v>41196</v>
      </c>
      <c r="M11578" t="s">
        <v>44642</v>
      </c>
      <c r="N11578" t="s">
        <v>45095</v>
      </c>
      <c r="O11578" t="s">
        <v>45096</v>
      </c>
      <c r="P11578">
        <v>0</v>
      </c>
      <c r="Q11578">
        <v>4</v>
      </c>
      <c r="R11578" t="s">
        <v>45109</v>
      </c>
      <c r="S11578" t="s">
        <v>45478</v>
      </c>
      <c r="T11578" t="s">
        <v>47313</v>
      </c>
      <c r="U11578" t="s">
        <v>56938</v>
      </c>
      <c r="W11578" t="s">
        <v>44642</v>
      </c>
      <c r="X11578" t="s">
        <v>45110</v>
      </c>
    </row>
    <row r="11579" spans="1:24">
      <c r="A11579">
        <f>HYPERLINK("https://www.philgeps.gov.ph/GEPSNONPILOT/Tender/SplashBidNoticeAbstractUI.aspx?menuIndex=3&amp;refID=7026934&amp;Result=3","7026934")</f>
        <v>0</v>
      </c>
      <c r="B11579" t="s">
        <v>1545</v>
      </c>
      <c r="C11579" t="s">
        <v>14248</v>
      </c>
      <c r="D11579" t="s">
        <v>18023</v>
      </c>
      <c r="E11579" t="s">
        <v>28121</v>
      </c>
      <c r="F11579" t="s">
        <v>31574</v>
      </c>
      <c r="G11579" t="s">
        <v>31582</v>
      </c>
      <c r="H11579" t="s">
        <v>31591</v>
      </c>
      <c r="I11579" t="s">
        <v>8822</v>
      </c>
      <c r="J11579" t="s">
        <v>33445</v>
      </c>
      <c r="K11579" t="s">
        <v>41341</v>
      </c>
      <c r="M11579" t="s">
        <v>43141</v>
      </c>
      <c r="N11579" t="s">
        <v>45095</v>
      </c>
      <c r="O11579" t="s">
        <v>45096</v>
      </c>
      <c r="P11579">
        <v>0</v>
      </c>
      <c r="Q11579">
        <v>40</v>
      </c>
      <c r="R11579" t="s">
        <v>45109</v>
      </c>
      <c r="S11579" t="s">
        <v>45478</v>
      </c>
      <c r="T11579" t="s">
        <v>46952</v>
      </c>
      <c r="U11579" t="s">
        <v>56885</v>
      </c>
      <c r="W11579" t="s">
        <v>43141</v>
      </c>
      <c r="X11579" t="s">
        <v>45110</v>
      </c>
    </row>
    <row r="11580" spans="1:24">
      <c r="A11580">
        <f>HYPERLINK("https://www.philgeps.gov.ph/GEPSNONPILOT/Tender/SplashBidNoticeAbstractUI.aspx?menuIndex=3&amp;refID=7026955&amp;Result=3","7026955")</f>
        <v>0</v>
      </c>
      <c r="B11580" t="s">
        <v>2854</v>
      </c>
      <c r="C11580" t="s">
        <v>14249</v>
      </c>
      <c r="D11580" t="s">
        <v>18033</v>
      </c>
      <c r="E11580" t="s">
        <v>18574</v>
      </c>
      <c r="F11580" t="s">
        <v>31574</v>
      </c>
      <c r="G11580" t="s">
        <v>31582</v>
      </c>
      <c r="H11580" t="s">
        <v>31590</v>
      </c>
      <c r="I11580" t="s">
        <v>4046</v>
      </c>
      <c r="J11580" t="s">
        <v>32019</v>
      </c>
      <c r="K11580" t="s">
        <v>41190</v>
      </c>
      <c r="M11580" t="s">
        <v>44643</v>
      </c>
      <c r="N11580" t="s">
        <v>45095</v>
      </c>
      <c r="O11580" t="s">
        <v>45096</v>
      </c>
      <c r="P11580">
        <v>0</v>
      </c>
      <c r="Q11580">
        <v>0</v>
      </c>
      <c r="R11580" t="s">
        <v>45109</v>
      </c>
      <c r="S11580" t="s">
        <v>45478</v>
      </c>
      <c r="T11580" t="s">
        <v>46982</v>
      </c>
      <c r="U11580" t="s">
        <v>56939</v>
      </c>
      <c r="V11580" t="s">
        <v>61104</v>
      </c>
      <c r="W11580" t="s">
        <v>44643</v>
      </c>
      <c r="X11580" t="s">
        <v>45110</v>
      </c>
    </row>
    <row r="11581" spans="1:24">
      <c r="A11581">
        <f>HYPERLINK("https://www.philgeps.gov.ph/GEPSNONPILOT/Tender/SplashBidNoticeAbstractUI.aspx?menuIndex=3&amp;refID=7026935&amp;Result=3","7026935")</f>
        <v>0</v>
      </c>
      <c r="B11581" t="s">
        <v>587</v>
      </c>
      <c r="C11581" t="s">
        <v>14250</v>
      </c>
      <c r="D11581" t="s">
        <v>18022</v>
      </c>
      <c r="E11581" t="s">
        <v>28122</v>
      </c>
      <c r="F11581" t="s">
        <v>31574</v>
      </c>
      <c r="G11581" t="s">
        <v>31582</v>
      </c>
      <c r="H11581" t="s">
        <v>31591</v>
      </c>
      <c r="I11581" t="s">
        <v>8822</v>
      </c>
      <c r="J11581" t="s">
        <v>38915</v>
      </c>
      <c r="K11581" t="s">
        <v>41192</v>
      </c>
      <c r="M11581" t="s">
        <v>44629</v>
      </c>
      <c r="N11581" t="s">
        <v>45095</v>
      </c>
      <c r="O11581" t="s">
        <v>45096</v>
      </c>
      <c r="P11581">
        <v>0</v>
      </c>
      <c r="Q11581">
        <v>54</v>
      </c>
      <c r="R11581" t="s">
        <v>45109</v>
      </c>
      <c r="S11581" t="s">
        <v>45478</v>
      </c>
      <c r="T11581" t="s">
        <v>47019</v>
      </c>
      <c r="U11581" t="s">
        <v>56940</v>
      </c>
      <c r="W11581" t="s">
        <v>44629</v>
      </c>
      <c r="X11581" t="s">
        <v>45110</v>
      </c>
    </row>
    <row r="11582" spans="1:24">
      <c r="A11582">
        <f>HYPERLINK("https://www.philgeps.gov.ph/GEPSNONPILOT/Tender/SplashBidNoticeAbstractUI.aspx?menuIndex=3&amp;refID=7026926&amp;Result=3","7026926")</f>
        <v>0</v>
      </c>
      <c r="B11582" t="s">
        <v>587</v>
      </c>
      <c r="C11582" t="s">
        <v>14251</v>
      </c>
      <c r="D11582" t="s">
        <v>18022</v>
      </c>
      <c r="E11582" t="s">
        <v>28123</v>
      </c>
      <c r="F11582" t="s">
        <v>31574</v>
      </c>
      <c r="G11582" t="s">
        <v>31582</v>
      </c>
      <c r="H11582" t="s">
        <v>31591</v>
      </c>
      <c r="I11582" t="s">
        <v>8822</v>
      </c>
      <c r="J11582" t="s">
        <v>38916</v>
      </c>
      <c r="K11582" t="s">
        <v>41198</v>
      </c>
      <c r="M11582" t="s">
        <v>44629</v>
      </c>
      <c r="N11582" t="s">
        <v>45095</v>
      </c>
      <c r="O11582" t="s">
        <v>45096</v>
      </c>
      <c r="P11582">
        <v>0</v>
      </c>
      <c r="Q11582">
        <v>57</v>
      </c>
      <c r="R11582" t="s">
        <v>45109</v>
      </c>
      <c r="S11582" t="s">
        <v>45478</v>
      </c>
      <c r="T11582" t="s">
        <v>47019</v>
      </c>
      <c r="U11582" t="s">
        <v>56941</v>
      </c>
      <c r="W11582" t="s">
        <v>44629</v>
      </c>
      <c r="X11582" t="s">
        <v>45110</v>
      </c>
    </row>
    <row r="11583" spans="1:24">
      <c r="A11583">
        <f>HYPERLINK("https://www.philgeps.gov.ph/GEPSNONPILOT/Tender/SplashBidNoticeAbstractUI.aspx?menuIndex=3&amp;refID=7026990&amp;Result=3","7026990")</f>
        <v>0</v>
      </c>
      <c r="B11583" t="s">
        <v>1079</v>
      </c>
      <c r="C11583" t="s">
        <v>14252</v>
      </c>
      <c r="E11583" t="s">
        <v>28124</v>
      </c>
      <c r="F11583" t="s">
        <v>31574</v>
      </c>
      <c r="G11583" t="s">
        <v>31582</v>
      </c>
      <c r="H11583" t="s">
        <v>31590</v>
      </c>
      <c r="I11583" t="s">
        <v>31631</v>
      </c>
      <c r="J11583" t="s">
        <v>38917</v>
      </c>
      <c r="K11583" t="s">
        <v>41184</v>
      </c>
      <c r="M11583" t="s">
        <v>43686</v>
      </c>
      <c r="N11583" t="s">
        <v>45095</v>
      </c>
      <c r="O11583" t="s">
        <v>45096</v>
      </c>
      <c r="P11583">
        <v>0</v>
      </c>
      <c r="Q11583">
        <v>2</v>
      </c>
      <c r="R11583" t="s">
        <v>45109</v>
      </c>
      <c r="S11583" t="s">
        <v>45478</v>
      </c>
      <c r="T11583" t="s">
        <v>46914</v>
      </c>
      <c r="U11583" t="s">
        <v>56942</v>
      </c>
      <c r="V11583" t="s">
        <v>61079</v>
      </c>
      <c r="W11583" t="s">
        <v>43686</v>
      </c>
      <c r="X11583" t="s">
        <v>45110</v>
      </c>
    </row>
    <row r="11584" spans="1:24">
      <c r="A11584">
        <f>HYPERLINK("https://www.philgeps.gov.ph/GEPSNONPILOT/Tender/SplashBidNoticeAbstractUI.aspx?menuIndex=3&amp;refID=7026968&amp;Result=3","7026968")</f>
        <v>0</v>
      </c>
      <c r="B11584" t="s">
        <v>1079</v>
      </c>
      <c r="C11584" t="s">
        <v>14253</v>
      </c>
      <c r="E11584" t="s">
        <v>28125</v>
      </c>
      <c r="F11584" t="s">
        <v>31574</v>
      </c>
      <c r="G11584" t="s">
        <v>31582</v>
      </c>
      <c r="H11584" t="s">
        <v>31590</v>
      </c>
      <c r="I11584" t="s">
        <v>31615</v>
      </c>
      <c r="J11584" t="s">
        <v>32510</v>
      </c>
      <c r="K11584" t="s">
        <v>41184</v>
      </c>
      <c r="M11584" t="s">
        <v>43686</v>
      </c>
      <c r="N11584" t="s">
        <v>45095</v>
      </c>
      <c r="O11584" t="s">
        <v>45096</v>
      </c>
      <c r="P11584">
        <v>0</v>
      </c>
      <c r="Q11584">
        <v>5</v>
      </c>
      <c r="R11584" t="s">
        <v>45109</v>
      </c>
      <c r="S11584" t="s">
        <v>45478</v>
      </c>
      <c r="T11584" t="s">
        <v>46914</v>
      </c>
      <c r="U11584" t="s">
        <v>56943</v>
      </c>
      <c r="V11584" t="s">
        <v>61079</v>
      </c>
      <c r="W11584" t="s">
        <v>43686</v>
      </c>
      <c r="X11584" t="s">
        <v>45110</v>
      </c>
    </row>
    <row r="11585" spans="1:24">
      <c r="A11585">
        <f>HYPERLINK("https://www.philgeps.gov.ph/GEPSNONPILOT/Tender/SplashBidNoticeAbstractUI.aspx?menuIndex=3&amp;refID=7026989&amp;Result=3","7026989")</f>
        <v>0</v>
      </c>
      <c r="B11585" t="s">
        <v>2143</v>
      </c>
      <c r="C11585" t="s">
        <v>14254</v>
      </c>
      <c r="E11585" t="s">
        <v>28126</v>
      </c>
      <c r="F11585" t="s">
        <v>31574</v>
      </c>
      <c r="G11585" t="s">
        <v>31582</v>
      </c>
      <c r="H11585" t="s">
        <v>31591</v>
      </c>
      <c r="I11585" t="s">
        <v>8822</v>
      </c>
      <c r="J11585" t="s">
        <v>31935</v>
      </c>
      <c r="K11585" t="s">
        <v>41203</v>
      </c>
      <c r="M11585" t="s">
        <v>43825</v>
      </c>
      <c r="N11585" t="s">
        <v>45095</v>
      </c>
      <c r="O11585" t="s">
        <v>45096</v>
      </c>
      <c r="Q11585">
        <v>0</v>
      </c>
      <c r="R11585" t="s">
        <v>45109</v>
      </c>
      <c r="S11585" t="s">
        <v>45599</v>
      </c>
      <c r="T11585" t="s">
        <v>46933</v>
      </c>
      <c r="U11585" t="s">
        <v>56944</v>
      </c>
      <c r="V11585" t="s">
        <v>60619</v>
      </c>
      <c r="W11585" t="s">
        <v>43825</v>
      </c>
      <c r="X11585" t="s">
        <v>45110</v>
      </c>
    </row>
    <row r="11586" spans="1:24">
      <c r="A11586">
        <f>HYPERLINK("https://www.philgeps.gov.ph/GEPSNONPILOT/Tender/SplashBidNoticeAbstractUI.aspx?menuIndex=3&amp;refID=7026964&amp;Result=3","7026964")</f>
        <v>0</v>
      </c>
      <c r="B11586" t="s">
        <v>1079</v>
      </c>
      <c r="C11586" t="s">
        <v>14255</v>
      </c>
      <c r="E11586" t="s">
        <v>28127</v>
      </c>
      <c r="F11586" t="s">
        <v>31574</v>
      </c>
      <c r="G11586" t="s">
        <v>31582</v>
      </c>
      <c r="H11586" t="s">
        <v>31590</v>
      </c>
      <c r="I11586" t="s">
        <v>3873</v>
      </c>
      <c r="J11586" t="s">
        <v>38918</v>
      </c>
      <c r="K11586" t="s">
        <v>41184</v>
      </c>
      <c r="M11586" t="s">
        <v>43953</v>
      </c>
      <c r="N11586" t="s">
        <v>45095</v>
      </c>
      <c r="O11586" t="s">
        <v>45096</v>
      </c>
      <c r="P11586">
        <v>0</v>
      </c>
      <c r="Q11586">
        <v>1</v>
      </c>
      <c r="R11586" t="s">
        <v>45109</v>
      </c>
      <c r="S11586" t="s">
        <v>45478</v>
      </c>
      <c r="T11586" t="s">
        <v>46914</v>
      </c>
      <c r="U11586" t="s">
        <v>56945</v>
      </c>
      <c r="V11586" t="s">
        <v>61079</v>
      </c>
      <c r="W11586" t="s">
        <v>43953</v>
      </c>
      <c r="X11586" t="s">
        <v>45110</v>
      </c>
    </row>
    <row r="11587" spans="1:24">
      <c r="A11587">
        <f>HYPERLINK("https://www.philgeps.gov.ph/GEPSNONPILOT/Tender/SplashBidNoticeAbstractUI.aspx?menuIndex=3&amp;refID=7026962&amp;Result=3","7026962")</f>
        <v>0</v>
      </c>
      <c r="B11587" t="s">
        <v>2847</v>
      </c>
      <c r="C11587" t="s">
        <v>14256</v>
      </c>
      <c r="D11587" t="s">
        <v>18022</v>
      </c>
      <c r="E11587" t="s">
        <v>28128</v>
      </c>
      <c r="F11587" t="s">
        <v>31575</v>
      </c>
      <c r="G11587" t="s">
        <v>31582</v>
      </c>
      <c r="H11587" t="s">
        <v>31590</v>
      </c>
      <c r="I11587" t="s">
        <v>3520</v>
      </c>
      <c r="J11587" t="s">
        <v>38919</v>
      </c>
      <c r="K11587" t="s">
        <v>41184</v>
      </c>
      <c r="M11587" t="s">
        <v>44631</v>
      </c>
      <c r="N11587" t="s">
        <v>45095</v>
      </c>
      <c r="O11587" t="s">
        <v>45096</v>
      </c>
      <c r="P11587">
        <v>0</v>
      </c>
      <c r="Q11587">
        <v>5</v>
      </c>
      <c r="R11587" t="s">
        <v>45109</v>
      </c>
      <c r="S11587" t="s">
        <v>45478</v>
      </c>
      <c r="T11587" t="s">
        <v>46911</v>
      </c>
      <c r="U11587" t="s">
        <v>56946</v>
      </c>
      <c r="W11587" t="s">
        <v>44631</v>
      </c>
      <c r="X11587" t="s">
        <v>45110</v>
      </c>
    </row>
    <row r="11588" spans="1:24">
      <c r="A11588">
        <f>HYPERLINK("https://www.philgeps.gov.ph/GEPSNONPILOT/Tender/SplashBidNoticeAbstractUI.aspx?menuIndex=3&amp;refID=7026986&amp;Result=3","7026986")</f>
        <v>0</v>
      </c>
      <c r="B11588" t="s">
        <v>2143</v>
      </c>
      <c r="C11588" t="s">
        <v>14257</v>
      </c>
      <c r="E11588" t="s">
        <v>28129</v>
      </c>
      <c r="F11588" t="s">
        <v>31574</v>
      </c>
      <c r="G11588" t="s">
        <v>31582</v>
      </c>
      <c r="H11588" t="s">
        <v>31591</v>
      </c>
      <c r="I11588" t="s">
        <v>8822</v>
      </c>
      <c r="J11588" t="s">
        <v>32019</v>
      </c>
      <c r="K11588" t="s">
        <v>41185</v>
      </c>
      <c r="M11588" t="s">
        <v>43825</v>
      </c>
      <c r="N11588" t="s">
        <v>45095</v>
      </c>
      <c r="O11588" t="s">
        <v>45096</v>
      </c>
      <c r="Q11588">
        <v>0</v>
      </c>
      <c r="R11588" t="s">
        <v>45109</v>
      </c>
      <c r="S11588" t="s">
        <v>45599</v>
      </c>
      <c r="T11588" t="s">
        <v>46933</v>
      </c>
      <c r="U11588" t="s">
        <v>56944</v>
      </c>
      <c r="V11588" t="s">
        <v>60619</v>
      </c>
      <c r="W11588" t="s">
        <v>43825</v>
      </c>
      <c r="X11588" t="s">
        <v>45110</v>
      </c>
    </row>
    <row r="11589" spans="1:24">
      <c r="A11589">
        <f>HYPERLINK("https://www.philgeps.gov.ph/GEPSNONPILOT/Tender/SplashBidNoticeAbstractUI.aspx?menuIndex=3&amp;refID=7027006&amp;Result=3","7027006")</f>
        <v>0</v>
      </c>
      <c r="B11589" t="s">
        <v>1853</v>
      </c>
      <c r="C11589" t="s">
        <v>14258</v>
      </c>
      <c r="D11589" t="s">
        <v>18056</v>
      </c>
      <c r="E11589" t="s">
        <v>28130</v>
      </c>
      <c r="F11589" t="s">
        <v>31574</v>
      </c>
      <c r="G11589" t="s">
        <v>31582</v>
      </c>
      <c r="H11589" t="s">
        <v>31591</v>
      </c>
      <c r="I11589" t="s">
        <v>8822</v>
      </c>
      <c r="J11589" t="s">
        <v>38920</v>
      </c>
      <c r="K11589" t="s">
        <v>41209</v>
      </c>
      <c r="M11589" t="s">
        <v>43491</v>
      </c>
      <c r="N11589" t="s">
        <v>45095</v>
      </c>
      <c r="O11589" t="s">
        <v>45096</v>
      </c>
      <c r="P11589">
        <v>0</v>
      </c>
      <c r="Q11589">
        <v>5</v>
      </c>
      <c r="R11589" t="s">
        <v>45109</v>
      </c>
      <c r="S11589" t="s">
        <v>45478</v>
      </c>
      <c r="T11589" t="s">
        <v>46914</v>
      </c>
      <c r="U11589" t="s">
        <v>56947</v>
      </c>
      <c r="V11589" t="s">
        <v>61070</v>
      </c>
      <c r="W11589" t="s">
        <v>43491</v>
      </c>
      <c r="X11589" t="s">
        <v>45110</v>
      </c>
    </row>
    <row r="11590" spans="1:24">
      <c r="A11590">
        <f>HYPERLINK("https://www.philgeps.gov.ph/GEPSNONPILOT/Tender/SplashBidNoticeAbstractUI.aspx?menuIndex=3&amp;refID=7026963&amp;Result=3","7026963")</f>
        <v>0</v>
      </c>
      <c r="B11590" t="s">
        <v>1337</v>
      </c>
      <c r="C11590" t="s">
        <v>14259</v>
      </c>
      <c r="D11590" t="s">
        <v>18066</v>
      </c>
      <c r="E11590" t="s">
        <v>18724</v>
      </c>
      <c r="F11590" t="s">
        <v>31574</v>
      </c>
      <c r="G11590" t="s">
        <v>31582</v>
      </c>
      <c r="H11590" t="s">
        <v>31591</v>
      </c>
      <c r="I11590" t="s">
        <v>8822</v>
      </c>
      <c r="J11590" t="s">
        <v>31962</v>
      </c>
      <c r="K11590" t="s">
        <v>41291</v>
      </c>
      <c r="M11590" t="s">
        <v>42909</v>
      </c>
      <c r="N11590" t="s">
        <v>45095</v>
      </c>
      <c r="O11590" t="s">
        <v>45096</v>
      </c>
      <c r="P11590">
        <v>0</v>
      </c>
      <c r="Q11590">
        <v>3</v>
      </c>
      <c r="R11590" t="s">
        <v>45109</v>
      </c>
      <c r="S11590" t="s">
        <v>45478</v>
      </c>
      <c r="T11590" t="s">
        <v>46930</v>
      </c>
      <c r="U11590" t="s">
        <v>56948</v>
      </c>
      <c r="W11590" t="s">
        <v>42909</v>
      </c>
      <c r="X11590" t="s">
        <v>45110</v>
      </c>
    </row>
    <row r="11591" spans="1:24">
      <c r="A11591">
        <f>HYPERLINK("https://www.philgeps.gov.ph/GEPSNONPILOT/Tender/SplashBidNoticeAbstractUI.aspx?menuIndex=3&amp;refID=7026975&amp;Result=3","7026975")</f>
        <v>0</v>
      </c>
      <c r="B11591" t="s">
        <v>459</v>
      </c>
      <c r="C11591" t="s">
        <v>14260</v>
      </c>
      <c r="D11591" t="s">
        <v>18079</v>
      </c>
      <c r="E11591" t="s">
        <v>28131</v>
      </c>
      <c r="F11591" t="s">
        <v>31574</v>
      </c>
      <c r="G11591" t="s">
        <v>31582</v>
      </c>
      <c r="H11591" t="s">
        <v>31590</v>
      </c>
      <c r="I11591" t="s">
        <v>4046</v>
      </c>
      <c r="J11591" t="s">
        <v>38921</v>
      </c>
      <c r="K11591" t="s">
        <v>41186</v>
      </c>
      <c r="M11591" t="s">
        <v>44644</v>
      </c>
      <c r="N11591" t="s">
        <v>45095</v>
      </c>
      <c r="O11591" t="s">
        <v>45096</v>
      </c>
      <c r="P11591">
        <v>0</v>
      </c>
      <c r="Q11591">
        <v>3</v>
      </c>
      <c r="R11591" t="s">
        <v>45109</v>
      </c>
      <c r="S11591" t="s">
        <v>45478</v>
      </c>
      <c r="T11591" t="s">
        <v>47389</v>
      </c>
      <c r="U11591" t="s">
        <v>56949</v>
      </c>
      <c r="W11591" t="s">
        <v>44644</v>
      </c>
      <c r="X11591" t="s">
        <v>45110</v>
      </c>
    </row>
    <row r="11592" spans="1:24">
      <c r="A11592">
        <f>HYPERLINK("https://www.philgeps.gov.ph/GEPSNONPILOT/Tender/SplashBidNoticeAbstractUI.aspx?menuIndex=3&amp;refID=7027005&amp;Result=3","7027005")</f>
        <v>0</v>
      </c>
      <c r="B11592" t="s">
        <v>2855</v>
      </c>
      <c r="C11592" t="s">
        <v>14261</v>
      </c>
      <c r="E11592" t="s">
        <v>28132</v>
      </c>
      <c r="F11592" t="s">
        <v>31574</v>
      </c>
      <c r="G11592" t="s">
        <v>31582</v>
      </c>
      <c r="H11592" t="s">
        <v>31590</v>
      </c>
      <c r="I11592" t="s">
        <v>31599</v>
      </c>
      <c r="J11592" t="s">
        <v>32101</v>
      </c>
      <c r="K11592" t="s">
        <v>41184</v>
      </c>
      <c r="M11592" t="s">
        <v>44645</v>
      </c>
      <c r="N11592" t="s">
        <v>45095</v>
      </c>
      <c r="O11592" t="s">
        <v>45096</v>
      </c>
      <c r="P11592">
        <v>0</v>
      </c>
      <c r="Q11592">
        <v>1</v>
      </c>
      <c r="R11592" t="s">
        <v>45109</v>
      </c>
      <c r="S11592" t="s">
        <v>45478</v>
      </c>
      <c r="T11592" t="s">
        <v>47000</v>
      </c>
      <c r="U11592" t="s">
        <v>56950</v>
      </c>
      <c r="W11592" t="s">
        <v>44645</v>
      </c>
      <c r="X11592" t="s">
        <v>45110</v>
      </c>
    </row>
    <row r="11593" spans="1:24">
      <c r="A11593">
        <f>HYPERLINK("https://www.philgeps.gov.ph/GEPSNONPILOT/Tender/SplashBidNoticeAbstractUI.aspx?menuIndex=3&amp;refID=7026994&amp;Result=3","7026994")</f>
        <v>0</v>
      </c>
      <c r="B11593" t="s">
        <v>691</v>
      </c>
      <c r="C11593" t="s">
        <v>14262</v>
      </c>
      <c r="D11593" t="s">
        <v>18043</v>
      </c>
      <c r="E11593" t="s">
        <v>28133</v>
      </c>
      <c r="F11593" t="s">
        <v>31574</v>
      </c>
      <c r="G11593" t="s">
        <v>31582</v>
      </c>
      <c r="H11593" t="s">
        <v>31591</v>
      </c>
      <c r="I11593" t="s">
        <v>8822</v>
      </c>
      <c r="J11593" t="s">
        <v>38736</v>
      </c>
      <c r="K11593" t="s">
        <v>41200</v>
      </c>
      <c r="M11593" t="s">
        <v>44640</v>
      </c>
      <c r="N11593" t="s">
        <v>45095</v>
      </c>
      <c r="O11593" t="s">
        <v>45096</v>
      </c>
      <c r="Q11593">
        <v>4</v>
      </c>
      <c r="R11593" t="s">
        <v>45109</v>
      </c>
      <c r="S11593" t="s">
        <v>45600</v>
      </c>
      <c r="T11593" t="s">
        <v>46926</v>
      </c>
      <c r="U11593" t="s">
        <v>56911</v>
      </c>
      <c r="W11593" t="s">
        <v>44640</v>
      </c>
      <c r="X11593" t="s">
        <v>45110</v>
      </c>
    </row>
    <row r="11594" spans="1:24">
      <c r="A11594">
        <f>HYPERLINK("https://www.philgeps.gov.ph/GEPSNONPILOT/Tender/SplashBidNoticeAbstractUI.aspx?menuIndex=3&amp;refID=7026984&amp;Result=3","7026984")</f>
        <v>0</v>
      </c>
      <c r="B11594" t="s">
        <v>2143</v>
      </c>
      <c r="C11594" t="s">
        <v>14263</v>
      </c>
      <c r="E11594" t="s">
        <v>28134</v>
      </c>
      <c r="F11594" t="s">
        <v>31574</v>
      </c>
      <c r="G11594" t="s">
        <v>31582</v>
      </c>
      <c r="H11594" t="s">
        <v>31591</v>
      </c>
      <c r="I11594" t="s">
        <v>8822</v>
      </c>
      <c r="J11594" t="s">
        <v>32019</v>
      </c>
      <c r="K11594" t="s">
        <v>41185</v>
      </c>
      <c r="M11594" t="s">
        <v>43825</v>
      </c>
      <c r="N11594" t="s">
        <v>45095</v>
      </c>
      <c r="O11594" t="s">
        <v>45096</v>
      </c>
      <c r="Q11594">
        <v>0</v>
      </c>
      <c r="R11594" t="s">
        <v>45109</v>
      </c>
      <c r="S11594" t="s">
        <v>45601</v>
      </c>
      <c r="T11594" t="s">
        <v>46933</v>
      </c>
      <c r="U11594" t="s">
        <v>56944</v>
      </c>
      <c r="V11594" t="s">
        <v>60619</v>
      </c>
      <c r="W11594" t="s">
        <v>43825</v>
      </c>
      <c r="X11594" t="s">
        <v>45110</v>
      </c>
    </row>
    <row r="11595" spans="1:24">
      <c r="A11595">
        <f>HYPERLINK("https://www.philgeps.gov.ph/GEPSNONPILOT/Tender/SplashBidNoticeAbstractUI.aspx?menuIndex=3&amp;refID=7027001&amp;Result=3","7027001")</f>
        <v>0</v>
      </c>
      <c r="B11595" t="s">
        <v>1853</v>
      </c>
      <c r="C11595" t="s">
        <v>14264</v>
      </c>
      <c r="D11595" t="s">
        <v>18056</v>
      </c>
      <c r="E11595" t="s">
        <v>28135</v>
      </c>
      <c r="F11595" t="s">
        <v>31574</v>
      </c>
      <c r="G11595" t="s">
        <v>31582</v>
      </c>
      <c r="H11595" t="s">
        <v>31591</v>
      </c>
      <c r="I11595" t="s">
        <v>8822</v>
      </c>
      <c r="J11595" t="s">
        <v>33279</v>
      </c>
      <c r="K11595" t="s">
        <v>41434</v>
      </c>
      <c r="M11595" t="s">
        <v>43491</v>
      </c>
      <c r="N11595" t="s">
        <v>45095</v>
      </c>
      <c r="O11595" t="s">
        <v>45096</v>
      </c>
      <c r="P11595">
        <v>0</v>
      </c>
      <c r="Q11595">
        <v>5</v>
      </c>
      <c r="R11595" t="s">
        <v>45109</v>
      </c>
      <c r="S11595" t="s">
        <v>45478</v>
      </c>
      <c r="T11595" t="s">
        <v>46914</v>
      </c>
      <c r="U11595" t="s">
        <v>56951</v>
      </c>
      <c r="V11595" t="s">
        <v>61070</v>
      </c>
      <c r="W11595" t="s">
        <v>43491</v>
      </c>
      <c r="X11595" t="s">
        <v>45110</v>
      </c>
    </row>
    <row r="11596" spans="1:24">
      <c r="A11596">
        <f>HYPERLINK("https://www.philgeps.gov.ph/GEPSNONPILOT/Tender/SplashBidNoticeAbstractUI.aspx?menuIndex=3&amp;refID=7026992&amp;Result=3","7026992")</f>
        <v>0</v>
      </c>
      <c r="B11596" t="s">
        <v>2143</v>
      </c>
      <c r="C11596" t="s">
        <v>14265</v>
      </c>
      <c r="E11596" t="s">
        <v>28136</v>
      </c>
      <c r="F11596" t="s">
        <v>31574</v>
      </c>
      <c r="G11596" t="s">
        <v>31582</v>
      </c>
      <c r="H11596" t="s">
        <v>31591</v>
      </c>
      <c r="I11596" t="s">
        <v>8822</v>
      </c>
      <c r="J11596" t="s">
        <v>31935</v>
      </c>
      <c r="K11596" t="s">
        <v>41192</v>
      </c>
      <c r="M11596" t="s">
        <v>43825</v>
      </c>
      <c r="N11596" t="s">
        <v>45095</v>
      </c>
      <c r="O11596" t="s">
        <v>45096</v>
      </c>
      <c r="Q11596">
        <v>0</v>
      </c>
      <c r="R11596" t="s">
        <v>45109</v>
      </c>
      <c r="S11596" t="s">
        <v>45602</v>
      </c>
      <c r="T11596" t="s">
        <v>46933</v>
      </c>
      <c r="U11596" t="s">
        <v>56944</v>
      </c>
      <c r="V11596" t="s">
        <v>60619</v>
      </c>
      <c r="W11596" t="s">
        <v>43825</v>
      </c>
      <c r="X11596" t="s">
        <v>45110</v>
      </c>
    </row>
    <row r="11597" spans="1:24">
      <c r="A11597">
        <f>HYPERLINK("https://www.philgeps.gov.ph/GEPSNONPILOT/Tender/SplashBidNoticeAbstractUI.aspx?menuIndex=3&amp;refID=7026999&amp;Result=3","7026999")</f>
        <v>0</v>
      </c>
      <c r="B11597" t="s">
        <v>1853</v>
      </c>
      <c r="C11597" t="s">
        <v>14266</v>
      </c>
      <c r="D11597" t="s">
        <v>18056</v>
      </c>
      <c r="E11597" t="s">
        <v>28137</v>
      </c>
      <c r="F11597" t="s">
        <v>31574</v>
      </c>
      <c r="G11597" t="s">
        <v>31582</v>
      </c>
      <c r="H11597" t="s">
        <v>31591</v>
      </c>
      <c r="I11597" t="s">
        <v>8822</v>
      </c>
      <c r="J11597" t="s">
        <v>33279</v>
      </c>
      <c r="K11597" t="s">
        <v>41434</v>
      </c>
      <c r="M11597" t="s">
        <v>43491</v>
      </c>
      <c r="N11597" t="s">
        <v>45095</v>
      </c>
      <c r="O11597" t="s">
        <v>45096</v>
      </c>
      <c r="P11597">
        <v>0</v>
      </c>
      <c r="Q11597">
        <v>5</v>
      </c>
      <c r="R11597" t="s">
        <v>45109</v>
      </c>
      <c r="S11597" t="s">
        <v>45478</v>
      </c>
      <c r="T11597" t="s">
        <v>46914</v>
      </c>
      <c r="U11597" t="s">
        <v>56952</v>
      </c>
      <c r="V11597" t="s">
        <v>61070</v>
      </c>
      <c r="W11597" t="s">
        <v>43491</v>
      </c>
      <c r="X11597" t="s">
        <v>45110</v>
      </c>
    </row>
    <row r="11598" spans="1:24">
      <c r="A11598">
        <f>HYPERLINK("https://www.philgeps.gov.ph/GEPSNONPILOT/Tender/SplashBidNoticeAbstractUI.aspx?menuIndex=3&amp;refID=7027013&amp;Result=3","7027013")</f>
        <v>0</v>
      </c>
      <c r="B11598" t="s">
        <v>2856</v>
      </c>
      <c r="C11598" t="s">
        <v>14267</v>
      </c>
      <c r="D11598" t="s">
        <v>18064</v>
      </c>
      <c r="E11598" t="s">
        <v>18175</v>
      </c>
      <c r="F11598" t="s">
        <v>31574</v>
      </c>
      <c r="G11598" t="s">
        <v>31582</v>
      </c>
      <c r="H11598" t="s">
        <v>31591</v>
      </c>
      <c r="I11598" t="s">
        <v>8822</v>
      </c>
      <c r="J11598" t="s">
        <v>31789</v>
      </c>
      <c r="K11598" t="s">
        <v>41186</v>
      </c>
      <c r="M11598" t="s">
        <v>44646</v>
      </c>
      <c r="N11598" t="s">
        <v>45095</v>
      </c>
      <c r="O11598" t="s">
        <v>45096</v>
      </c>
      <c r="P11598">
        <v>0</v>
      </c>
      <c r="Q11598">
        <v>2</v>
      </c>
      <c r="R11598" t="s">
        <v>45109</v>
      </c>
      <c r="S11598" t="s">
        <v>45478</v>
      </c>
      <c r="T11598" t="s">
        <v>46906</v>
      </c>
      <c r="U11598" t="s">
        <v>56953</v>
      </c>
      <c r="W11598" t="s">
        <v>44646</v>
      </c>
      <c r="X11598" t="s">
        <v>45110</v>
      </c>
    </row>
    <row r="11599" spans="1:24">
      <c r="A11599">
        <f>HYPERLINK("https://www.philgeps.gov.ph/GEPSNONPILOT/Tender/SplashBidNoticeAbstractUI.aspx?menuIndex=3&amp;refID=7026995&amp;Result=3","7026995")</f>
        <v>0</v>
      </c>
      <c r="B11599" t="s">
        <v>2143</v>
      </c>
      <c r="C11599" t="s">
        <v>14268</v>
      </c>
      <c r="E11599" t="s">
        <v>28138</v>
      </c>
      <c r="F11599" t="s">
        <v>31574</v>
      </c>
      <c r="G11599" t="s">
        <v>31582</v>
      </c>
      <c r="H11599" t="s">
        <v>31591</v>
      </c>
      <c r="I11599" t="s">
        <v>8822</v>
      </c>
      <c r="J11599" t="s">
        <v>31935</v>
      </c>
      <c r="K11599" t="s">
        <v>41185</v>
      </c>
      <c r="M11599" t="s">
        <v>43825</v>
      </c>
      <c r="N11599" t="s">
        <v>45095</v>
      </c>
      <c r="O11599" t="s">
        <v>45096</v>
      </c>
      <c r="Q11599">
        <v>0</v>
      </c>
      <c r="R11599" t="s">
        <v>45109</v>
      </c>
      <c r="S11599" t="s">
        <v>45603</v>
      </c>
      <c r="T11599" t="s">
        <v>46933</v>
      </c>
      <c r="U11599" t="s">
        <v>56944</v>
      </c>
      <c r="V11599" t="s">
        <v>60619</v>
      </c>
      <c r="W11599" t="s">
        <v>43825</v>
      </c>
      <c r="X11599" t="s">
        <v>45110</v>
      </c>
    </row>
    <row r="11600" spans="1:24">
      <c r="A11600">
        <f>HYPERLINK("https://www.philgeps.gov.ph/GEPSNONPILOT/Tender/SplashBidNoticeAbstractUI.aspx?menuIndex=3&amp;refID=7026979&amp;Result=3","7026979")</f>
        <v>0</v>
      </c>
      <c r="B11600" t="s">
        <v>2143</v>
      </c>
      <c r="C11600" t="s">
        <v>14269</v>
      </c>
      <c r="E11600" t="s">
        <v>28139</v>
      </c>
      <c r="F11600" t="s">
        <v>31574</v>
      </c>
      <c r="G11600" t="s">
        <v>31582</v>
      </c>
      <c r="H11600" t="s">
        <v>31591</v>
      </c>
      <c r="I11600" t="s">
        <v>8822</v>
      </c>
      <c r="J11600" t="s">
        <v>34659</v>
      </c>
      <c r="K11600" t="s">
        <v>41192</v>
      </c>
      <c r="M11600" t="s">
        <v>43825</v>
      </c>
      <c r="N11600" t="s">
        <v>45095</v>
      </c>
      <c r="O11600" t="s">
        <v>45096</v>
      </c>
      <c r="Q11600">
        <v>0</v>
      </c>
      <c r="R11600" t="s">
        <v>45109</v>
      </c>
      <c r="S11600" t="s">
        <v>45604</v>
      </c>
      <c r="T11600" t="s">
        <v>46933</v>
      </c>
      <c r="U11600" t="s">
        <v>56944</v>
      </c>
      <c r="V11600" t="s">
        <v>60619</v>
      </c>
      <c r="W11600" t="s">
        <v>43825</v>
      </c>
      <c r="X11600" t="s">
        <v>45110</v>
      </c>
    </row>
    <row r="11601" spans="1:24">
      <c r="A11601">
        <f>HYPERLINK("https://www.philgeps.gov.ph/GEPSNONPILOT/Tender/SplashBidNoticeAbstractUI.aspx?menuIndex=3&amp;refID=7027008&amp;Result=3","7027008")</f>
        <v>0</v>
      </c>
      <c r="B11601" t="s">
        <v>1853</v>
      </c>
      <c r="C11601" t="s">
        <v>14270</v>
      </c>
      <c r="D11601" t="s">
        <v>18056</v>
      </c>
      <c r="E11601" t="s">
        <v>28140</v>
      </c>
      <c r="F11601" t="s">
        <v>31574</v>
      </c>
      <c r="G11601" t="s">
        <v>31582</v>
      </c>
      <c r="H11601" t="s">
        <v>31591</v>
      </c>
      <c r="I11601" t="s">
        <v>8822</v>
      </c>
      <c r="J11601" t="s">
        <v>38714</v>
      </c>
      <c r="K11601" t="s">
        <v>41252</v>
      </c>
      <c r="M11601" t="s">
        <v>43491</v>
      </c>
      <c r="N11601" t="s">
        <v>45095</v>
      </c>
      <c r="O11601" t="s">
        <v>45096</v>
      </c>
      <c r="P11601">
        <v>0</v>
      </c>
      <c r="Q11601">
        <v>4</v>
      </c>
      <c r="R11601" t="s">
        <v>45109</v>
      </c>
      <c r="S11601" t="s">
        <v>45478</v>
      </c>
      <c r="T11601" t="s">
        <v>46914</v>
      </c>
      <c r="U11601" t="s">
        <v>56954</v>
      </c>
      <c r="V11601" t="s">
        <v>61070</v>
      </c>
      <c r="W11601" t="s">
        <v>43491</v>
      </c>
      <c r="X11601" t="s">
        <v>45110</v>
      </c>
    </row>
    <row r="11602" spans="1:24">
      <c r="A11602">
        <f>HYPERLINK("https://www.philgeps.gov.ph/GEPSNONPILOT/Tender/SplashBidNoticeAbstractUI.aspx?menuIndex=3&amp;refID=7027012&amp;Result=3","7027012")</f>
        <v>0</v>
      </c>
      <c r="B11602" t="s">
        <v>1853</v>
      </c>
      <c r="C11602" t="s">
        <v>14271</v>
      </c>
      <c r="D11602" t="s">
        <v>18056</v>
      </c>
      <c r="E11602" t="s">
        <v>28141</v>
      </c>
      <c r="F11602" t="s">
        <v>31574</v>
      </c>
      <c r="G11602" t="s">
        <v>31582</v>
      </c>
      <c r="H11602" t="s">
        <v>31591</v>
      </c>
      <c r="I11602" t="s">
        <v>8822</v>
      </c>
      <c r="J11602" t="s">
        <v>38714</v>
      </c>
      <c r="K11602" t="s">
        <v>41354</v>
      </c>
      <c r="M11602" t="s">
        <v>43491</v>
      </c>
      <c r="N11602" t="s">
        <v>45095</v>
      </c>
      <c r="O11602" t="s">
        <v>45096</v>
      </c>
      <c r="P11602">
        <v>0</v>
      </c>
      <c r="Q11602">
        <v>5</v>
      </c>
      <c r="R11602" t="s">
        <v>45109</v>
      </c>
      <c r="S11602" t="s">
        <v>45478</v>
      </c>
      <c r="T11602" t="s">
        <v>46914</v>
      </c>
      <c r="U11602" t="s">
        <v>56955</v>
      </c>
      <c r="V11602" t="s">
        <v>61070</v>
      </c>
      <c r="W11602" t="s">
        <v>43491</v>
      </c>
      <c r="X11602" t="s">
        <v>45110</v>
      </c>
    </row>
    <row r="11603" spans="1:24">
      <c r="A11603">
        <f>HYPERLINK("https://www.philgeps.gov.ph/GEPSNONPILOT/Tender/SplashBidNoticeAbstractUI.aspx?menuIndex=3&amp;refID=7026981&amp;Result=3","7026981")</f>
        <v>0</v>
      </c>
      <c r="B11603" t="s">
        <v>2143</v>
      </c>
      <c r="C11603" t="s">
        <v>14272</v>
      </c>
      <c r="E11603" t="s">
        <v>28142</v>
      </c>
      <c r="F11603" t="s">
        <v>31574</v>
      </c>
      <c r="G11603" t="s">
        <v>31582</v>
      </c>
      <c r="H11603" t="s">
        <v>31591</v>
      </c>
      <c r="I11603" t="s">
        <v>8822</v>
      </c>
      <c r="J11603" t="s">
        <v>31935</v>
      </c>
      <c r="K11603" t="s">
        <v>41192</v>
      </c>
      <c r="M11603" t="s">
        <v>43825</v>
      </c>
      <c r="N11603" t="s">
        <v>45095</v>
      </c>
      <c r="O11603" t="s">
        <v>45096</v>
      </c>
      <c r="Q11603">
        <v>0</v>
      </c>
      <c r="R11603" t="s">
        <v>45109</v>
      </c>
      <c r="S11603" t="s">
        <v>45604</v>
      </c>
      <c r="T11603" t="s">
        <v>46933</v>
      </c>
      <c r="U11603" t="s">
        <v>56944</v>
      </c>
      <c r="V11603" t="s">
        <v>60619</v>
      </c>
      <c r="W11603" t="s">
        <v>43825</v>
      </c>
      <c r="X11603" t="s">
        <v>45110</v>
      </c>
    </row>
    <row r="11604" spans="1:24">
      <c r="A11604">
        <f>HYPERLINK("https://www.philgeps.gov.ph/GEPSNONPILOT/Tender/SplashBidNoticeAbstractUI.aspx?menuIndex=3&amp;refID=7027016&amp;Result=3","7027016")</f>
        <v>0</v>
      </c>
      <c r="B11604" t="s">
        <v>1853</v>
      </c>
      <c r="C11604" t="s">
        <v>14273</v>
      </c>
      <c r="D11604" t="s">
        <v>18056</v>
      </c>
      <c r="E11604" t="s">
        <v>28143</v>
      </c>
      <c r="F11604" t="s">
        <v>31574</v>
      </c>
      <c r="G11604" t="s">
        <v>31582</v>
      </c>
      <c r="H11604" t="s">
        <v>31591</v>
      </c>
      <c r="I11604" t="s">
        <v>8822</v>
      </c>
      <c r="J11604" t="s">
        <v>38735</v>
      </c>
      <c r="K11604" t="s">
        <v>41200</v>
      </c>
      <c r="M11604" t="s">
        <v>43491</v>
      </c>
      <c r="N11604" t="s">
        <v>45095</v>
      </c>
      <c r="O11604" t="s">
        <v>45096</v>
      </c>
      <c r="P11604">
        <v>0</v>
      </c>
      <c r="Q11604">
        <v>4</v>
      </c>
      <c r="R11604" t="s">
        <v>45109</v>
      </c>
      <c r="S11604" t="s">
        <v>45478</v>
      </c>
      <c r="T11604" t="s">
        <v>46914</v>
      </c>
      <c r="U11604" t="s">
        <v>56956</v>
      </c>
      <c r="V11604" t="s">
        <v>61070</v>
      </c>
      <c r="W11604" t="s">
        <v>43491</v>
      </c>
      <c r="X11604" t="s">
        <v>45110</v>
      </c>
    </row>
    <row r="11605" spans="1:24">
      <c r="A11605">
        <f>HYPERLINK("https://www.philgeps.gov.ph/GEPSNONPILOT/Tender/SplashBidNoticeAbstractUI.aspx?menuIndex=3&amp;refID=7027024&amp;Result=3","7027024")</f>
        <v>0</v>
      </c>
      <c r="B11605" t="s">
        <v>1853</v>
      </c>
      <c r="C11605" t="s">
        <v>14274</v>
      </c>
      <c r="D11605" t="s">
        <v>18056</v>
      </c>
      <c r="E11605" t="s">
        <v>28144</v>
      </c>
      <c r="F11605" t="s">
        <v>31574</v>
      </c>
      <c r="G11605" t="s">
        <v>31582</v>
      </c>
      <c r="H11605" t="s">
        <v>31591</v>
      </c>
      <c r="I11605" t="s">
        <v>8822</v>
      </c>
      <c r="J11605" t="s">
        <v>33252</v>
      </c>
      <c r="K11605" t="s">
        <v>41293</v>
      </c>
      <c r="M11605" t="s">
        <v>43491</v>
      </c>
      <c r="N11605" t="s">
        <v>45095</v>
      </c>
      <c r="O11605" t="s">
        <v>45096</v>
      </c>
      <c r="P11605">
        <v>0</v>
      </c>
      <c r="Q11605">
        <v>5</v>
      </c>
      <c r="R11605" t="s">
        <v>45109</v>
      </c>
      <c r="S11605" t="s">
        <v>45478</v>
      </c>
      <c r="T11605" t="s">
        <v>46914</v>
      </c>
      <c r="U11605" t="s">
        <v>56957</v>
      </c>
      <c r="V11605" t="s">
        <v>61070</v>
      </c>
      <c r="W11605" t="s">
        <v>43491</v>
      </c>
      <c r="X11605" t="s">
        <v>45110</v>
      </c>
    </row>
    <row r="11606" spans="1:24">
      <c r="A11606">
        <f>HYPERLINK("https://www.philgeps.gov.ph/GEPSNONPILOT/Tender/SplashBidNoticeAbstractUI.aspx?menuIndex=3&amp;refID=7027017&amp;Result=3","7027017")</f>
        <v>0</v>
      </c>
      <c r="B11606" t="s">
        <v>2857</v>
      </c>
      <c r="C11606" t="s">
        <v>14275</v>
      </c>
      <c r="D11606" t="s">
        <v>18079</v>
      </c>
      <c r="E11606" t="s">
        <v>28145</v>
      </c>
      <c r="F11606" t="s">
        <v>31574</v>
      </c>
      <c r="G11606" t="s">
        <v>31582</v>
      </c>
      <c r="H11606" t="s">
        <v>31590</v>
      </c>
      <c r="I11606" t="s">
        <v>31607</v>
      </c>
      <c r="J11606" t="s">
        <v>38922</v>
      </c>
      <c r="K11606" t="s">
        <v>41186</v>
      </c>
      <c r="M11606" t="s">
        <v>44647</v>
      </c>
      <c r="N11606" t="s">
        <v>45095</v>
      </c>
      <c r="O11606" t="s">
        <v>45096</v>
      </c>
      <c r="P11606">
        <v>0</v>
      </c>
      <c r="Q11606">
        <v>8</v>
      </c>
      <c r="R11606" t="s">
        <v>45109</v>
      </c>
      <c r="S11606" t="s">
        <v>45478</v>
      </c>
      <c r="T11606" t="s">
        <v>47156</v>
      </c>
      <c r="U11606" t="s">
        <v>56958</v>
      </c>
      <c r="W11606" t="s">
        <v>44647</v>
      </c>
      <c r="X11606" t="s">
        <v>45110</v>
      </c>
    </row>
    <row r="11607" spans="1:24">
      <c r="A11607">
        <f>HYPERLINK("https://www.philgeps.gov.ph/GEPSNONPILOT/Tender/SplashBidNoticeAbstractUI.aspx?menuIndex=3&amp;refID=7012313&amp;Result=3","7012313")</f>
        <v>0</v>
      </c>
      <c r="B11607" t="s">
        <v>2159</v>
      </c>
      <c r="C11607" t="s">
        <v>14276</v>
      </c>
      <c r="D11607" t="s">
        <v>18023</v>
      </c>
      <c r="E11607" t="s">
        <v>28146</v>
      </c>
      <c r="F11607" t="s">
        <v>31574</v>
      </c>
      <c r="G11607" t="s">
        <v>31582</v>
      </c>
      <c r="H11607" t="s">
        <v>31591</v>
      </c>
      <c r="I11607" t="s">
        <v>8822</v>
      </c>
      <c r="J11607" t="s">
        <v>38923</v>
      </c>
      <c r="K11607" t="s">
        <v>41336</v>
      </c>
      <c r="M11607" t="s">
        <v>44060</v>
      </c>
      <c r="N11607" t="s">
        <v>45095</v>
      </c>
      <c r="O11607" t="s">
        <v>45096</v>
      </c>
      <c r="P11607">
        <v>0</v>
      </c>
      <c r="Q11607">
        <v>14</v>
      </c>
      <c r="R11607" t="s">
        <v>45110</v>
      </c>
      <c r="S11607" t="s">
        <v>45605</v>
      </c>
      <c r="T11607" t="s">
        <v>46926</v>
      </c>
      <c r="U11607" t="s">
        <v>56959</v>
      </c>
      <c r="V11607" t="s">
        <v>49354</v>
      </c>
      <c r="W11607" t="s">
        <v>44060</v>
      </c>
      <c r="X11607" t="s">
        <v>45117</v>
      </c>
    </row>
    <row r="11608" spans="1:24">
      <c r="A11608">
        <f>HYPERLINK("https://www.philgeps.gov.ph/GEPSNONPILOT/Tender/SplashBidNoticeAbstractUI.aspx?menuIndex=3&amp;refID=7011563&amp;Result=3","7011563")</f>
        <v>0</v>
      </c>
      <c r="B11608" t="s">
        <v>2159</v>
      </c>
      <c r="C11608" t="s">
        <v>14277</v>
      </c>
      <c r="D11608" t="s">
        <v>18028</v>
      </c>
      <c r="E11608" t="s">
        <v>28147</v>
      </c>
      <c r="F11608" t="s">
        <v>31574</v>
      </c>
      <c r="G11608" t="s">
        <v>31582</v>
      </c>
      <c r="H11608" t="s">
        <v>31591</v>
      </c>
      <c r="I11608" t="s">
        <v>8822</v>
      </c>
      <c r="J11608" t="s">
        <v>38924</v>
      </c>
      <c r="K11608" t="s">
        <v>41312</v>
      </c>
      <c r="M11608" t="s">
        <v>44060</v>
      </c>
      <c r="N11608" t="s">
        <v>45095</v>
      </c>
      <c r="O11608" t="s">
        <v>45096</v>
      </c>
      <c r="P11608">
        <v>0</v>
      </c>
      <c r="Q11608">
        <v>15</v>
      </c>
      <c r="R11608" t="s">
        <v>45110</v>
      </c>
      <c r="S11608" t="s">
        <v>45605</v>
      </c>
      <c r="T11608" t="s">
        <v>46926</v>
      </c>
      <c r="U11608" t="s">
        <v>56960</v>
      </c>
      <c r="V11608" t="s">
        <v>49354</v>
      </c>
      <c r="W11608" t="s">
        <v>44060</v>
      </c>
      <c r="X11608" t="s">
        <v>45118</v>
      </c>
    </row>
    <row r="11609" spans="1:24">
      <c r="A11609">
        <f>HYPERLINK("https://www.philgeps.gov.ph/GEPSNONPILOT/Tender/SplashBidNoticeAbstractUI.aspx?menuIndex=3&amp;refID=7027023&amp;Result=3","7027023")</f>
        <v>0</v>
      </c>
      <c r="B11609" t="s">
        <v>2847</v>
      </c>
      <c r="C11609" t="s">
        <v>14278</v>
      </c>
      <c r="D11609" t="s">
        <v>18022</v>
      </c>
      <c r="E11609" t="s">
        <v>28148</v>
      </c>
      <c r="F11609" t="s">
        <v>31575</v>
      </c>
      <c r="G11609" t="s">
        <v>31582</v>
      </c>
      <c r="H11609" t="s">
        <v>31590</v>
      </c>
      <c r="I11609" t="s">
        <v>3651</v>
      </c>
      <c r="J11609" t="s">
        <v>31727</v>
      </c>
      <c r="K11609" t="s">
        <v>41184</v>
      </c>
      <c r="M11609" t="s">
        <v>44631</v>
      </c>
      <c r="N11609" t="s">
        <v>45095</v>
      </c>
      <c r="O11609" t="s">
        <v>45096</v>
      </c>
      <c r="P11609">
        <v>0</v>
      </c>
      <c r="Q11609">
        <v>0</v>
      </c>
      <c r="R11609" t="s">
        <v>45109</v>
      </c>
      <c r="S11609" t="s">
        <v>45478</v>
      </c>
      <c r="T11609" t="s">
        <v>46936</v>
      </c>
      <c r="U11609" t="s">
        <v>56961</v>
      </c>
      <c r="W11609" t="s">
        <v>44631</v>
      </c>
      <c r="X11609" t="s">
        <v>45110</v>
      </c>
    </row>
    <row r="11610" spans="1:24">
      <c r="A11610">
        <f>HYPERLINK("https://www.philgeps.gov.ph/GEPSNONPILOT/Tender/SplashBidNoticeAbstractUI.aspx?menuIndex=3&amp;refID=7027071&amp;Result=3","7027071")</f>
        <v>0</v>
      </c>
      <c r="B11610" t="s">
        <v>1132</v>
      </c>
      <c r="C11610" t="s">
        <v>14279</v>
      </c>
      <c r="D11610" t="s">
        <v>18075</v>
      </c>
      <c r="E11610" t="s">
        <v>28149</v>
      </c>
      <c r="F11610" t="s">
        <v>31574</v>
      </c>
      <c r="G11610" t="s">
        <v>31582</v>
      </c>
      <c r="H11610" t="s">
        <v>31591</v>
      </c>
      <c r="I11610" t="s">
        <v>8822</v>
      </c>
      <c r="J11610" t="s">
        <v>33574</v>
      </c>
      <c r="K11610" t="s">
        <v>41186</v>
      </c>
      <c r="M11610" t="s">
        <v>42683</v>
      </c>
      <c r="N11610" t="s">
        <v>45095</v>
      </c>
      <c r="O11610" t="s">
        <v>45096</v>
      </c>
      <c r="Q11610">
        <v>0</v>
      </c>
      <c r="R11610" t="s">
        <v>45109</v>
      </c>
      <c r="S11610" t="s">
        <v>45606</v>
      </c>
      <c r="T11610" t="s">
        <v>46918</v>
      </c>
      <c r="U11610" t="s">
        <v>56962</v>
      </c>
      <c r="W11610" t="s">
        <v>42683</v>
      </c>
      <c r="X11610" t="s">
        <v>45110</v>
      </c>
    </row>
    <row r="11611" spans="1:24">
      <c r="A11611">
        <f>HYPERLINK("https://www.philgeps.gov.ph/GEPSNONPILOT/Tender/SplashBidNoticeAbstractUI.aspx?menuIndex=3&amp;refID=7012364&amp;Result=3","7012364")</f>
        <v>0</v>
      </c>
      <c r="B11611" t="s">
        <v>2159</v>
      </c>
      <c r="C11611" t="s">
        <v>14280</v>
      </c>
      <c r="D11611" t="s">
        <v>18023</v>
      </c>
      <c r="E11611" t="s">
        <v>28150</v>
      </c>
      <c r="F11611" t="s">
        <v>31574</v>
      </c>
      <c r="G11611" t="s">
        <v>31582</v>
      </c>
      <c r="H11611" t="s">
        <v>31591</v>
      </c>
      <c r="I11611" t="s">
        <v>8822</v>
      </c>
      <c r="J11611" t="s">
        <v>38925</v>
      </c>
      <c r="K11611" t="s">
        <v>41243</v>
      </c>
      <c r="M11611" t="s">
        <v>44060</v>
      </c>
      <c r="N11611" t="s">
        <v>45095</v>
      </c>
      <c r="O11611" t="s">
        <v>45096</v>
      </c>
      <c r="Q11611">
        <v>13</v>
      </c>
      <c r="R11611" t="s">
        <v>45110</v>
      </c>
      <c r="S11611" t="s">
        <v>45607</v>
      </c>
      <c r="T11611" t="s">
        <v>46926</v>
      </c>
      <c r="U11611" t="s">
        <v>56963</v>
      </c>
      <c r="V11611" t="s">
        <v>49354</v>
      </c>
      <c r="W11611" t="s">
        <v>44060</v>
      </c>
      <c r="X11611" t="s">
        <v>45117</v>
      </c>
    </row>
    <row r="11612" spans="1:24">
      <c r="A11612">
        <f>HYPERLINK("https://www.philgeps.gov.ph/GEPSNONPILOT/Tender/SplashBidNoticeAbstractUI.aspx?menuIndex=3&amp;refID=7026977&amp;Result=3","7026977")</f>
        <v>0</v>
      </c>
      <c r="B11612" t="s">
        <v>2143</v>
      </c>
      <c r="C11612" t="s">
        <v>14281</v>
      </c>
      <c r="E11612" t="s">
        <v>28151</v>
      </c>
      <c r="F11612" t="s">
        <v>31574</v>
      </c>
      <c r="G11612" t="s">
        <v>31582</v>
      </c>
      <c r="H11612" t="s">
        <v>31591</v>
      </c>
      <c r="I11612" t="s">
        <v>8822</v>
      </c>
      <c r="J11612" t="s">
        <v>32019</v>
      </c>
      <c r="K11612" t="s">
        <v>41185</v>
      </c>
      <c r="M11612" t="s">
        <v>43825</v>
      </c>
      <c r="N11612" t="s">
        <v>45095</v>
      </c>
      <c r="O11612" t="s">
        <v>45096</v>
      </c>
      <c r="Q11612">
        <v>0</v>
      </c>
      <c r="R11612" t="s">
        <v>45109</v>
      </c>
      <c r="S11612" t="s">
        <v>45608</v>
      </c>
      <c r="T11612" t="s">
        <v>46933</v>
      </c>
      <c r="U11612" t="s">
        <v>56944</v>
      </c>
      <c r="V11612" t="s">
        <v>60619</v>
      </c>
      <c r="W11612" t="s">
        <v>43825</v>
      </c>
      <c r="X11612" t="s">
        <v>45110</v>
      </c>
    </row>
    <row r="11613" spans="1:24">
      <c r="A11613">
        <f>HYPERLINK("https://www.philgeps.gov.ph/GEPSNONPILOT/Tender/SplashBidNoticeAbstractUI.aspx?menuIndex=3&amp;refID=7012436&amp;Result=3","7012436")</f>
        <v>0</v>
      </c>
      <c r="B11613" t="s">
        <v>2159</v>
      </c>
      <c r="C11613" t="s">
        <v>14282</v>
      </c>
      <c r="D11613" t="s">
        <v>18023</v>
      </c>
      <c r="E11613" t="s">
        <v>28152</v>
      </c>
      <c r="F11613" t="s">
        <v>31574</v>
      </c>
      <c r="G11613" t="s">
        <v>31582</v>
      </c>
      <c r="H11613" t="s">
        <v>31591</v>
      </c>
      <c r="I11613" t="s">
        <v>8822</v>
      </c>
      <c r="J11613" t="s">
        <v>38926</v>
      </c>
      <c r="K11613" t="s">
        <v>41332</v>
      </c>
      <c r="M11613" t="s">
        <v>44060</v>
      </c>
      <c r="N11613" t="s">
        <v>45095</v>
      </c>
      <c r="O11613" t="s">
        <v>45096</v>
      </c>
      <c r="P11613">
        <v>0</v>
      </c>
      <c r="Q11613">
        <v>18</v>
      </c>
      <c r="R11613" t="s">
        <v>45110</v>
      </c>
      <c r="S11613" t="s">
        <v>45605</v>
      </c>
      <c r="T11613" t="s">
        <v>46926</v>
      </c>
      <c r="U11613" t="s">
        <v>56964</v>
      </c>
      <c r="V11613" t="s">
        <v>49354</v>
      </c>
      <c r="W11613" t="s">
        <v>44060</v>
      </c>
      <c r="X11613" t="s">
        <v>45117</v>
      </c>
    </row>
    <row r="11614" spans="1:24">
      <c r="A11614">
        <f>HYPERLINK("https://www.philgeps.gov.ph/GEPSNONPILOT/Tender/SplashBidNoticeAbstractUI.aspx?menuIndex=3&amp;refID=6999329&amp;Result=3","6999329")</f>
        <v>0</v>
      </c>
      <c r="B11614" t="s">
        <v>2858</v>
      </c>
      <c r="C11614" t="s">
        <v>14283</v>
      </c>
      <c r="D11614" t="s">
        <v>18033</v>
      </c>
      <c r="E11614" t="s">
        <v>28153</v>
      </c>
      <c r="F11614" t="s">
        <v>31574</v>
      </c>
      <c r="G11614" t="s">
        <v>31582</v>
      </c>
      <c r="H11614" t="s">
        <v>31590</v>
      </c>
      <c r="I11614" t="s">
        <v>6800</v>
      </c>
      <c r="J11614" t="s">
        <v>38927</v>
      </c>
      <c r="K11614" t="s">
        <v>41196</v>
      </c>
      <c r="M11614" t="s">
        <v>44648</v>
      </c>
      <c r="N11614" t="s">
        <v>45095</v>
      </c>
      <c r="O11614" t="s">
        <v>45096</v>
      </c>
      <c r="P11614">
        <v>0</v>
      </c>
      <c r="Q11614">
        <v>4</v>
      </c>
      <c r="R11614" t="s">
        <v>45110</v>
      </c>
      <c r="S11614" t="s">
        <v>45605</v>
      </c>
      <c r="T11614" t="s">
        <v>46926</v>
      </c>
      <c r="U11614" t="s">
        <v>56965</v>
      </c>
      <c r="V11614" t="s">
        <v>61105</v>
      </c>
      <c r="W11614" t="s">
        <v>44648</v>
      </c>
      <c r="X11614" t="s">
        <v>45128</v>
      </c>
    </row>
    <row r="11615" spans="1:24">
      <c r="A11615">
        <f>HYPERLINK("https://www.philgeps.gov.ph/GEPSNONPILOT/Tender/SplashBidNoticeAbstractUI.aspx?menuIndex=3&amp;refID=7027066&amp;Result=3","7027066")</f>
        <v>0</v>
      </c>
      <c r="B11615" t="s">
        <v>1132</v>
      </c>
      <c r="C11615" t="s">
        <v>14284</v>
      </c>
      <c r="D11615" t="s">
        <v>18075</v>
      </c>
      <c r="E11615" t="s">
        <v>28154</v>
      </c>
      <c r="F11615" t="s">
        <v>31574</v>
      </c>
      <c r="G11615" t="s">
        <v>31582</v>
      </c>
      <c r="H11615" t="s">
        <v>31591</v>
      </c>
      <c r="I11615" t="s">
        <v>8822</v>
      </c>
      <c r="J11615" t="s">
        <v>38928</v>
      </c>
      <c r="K11615" t="s">
        <v>41243</v>
      </c>
      <c r="M11615" t="s">
        <v>42683</v>
      </c>
      <c r="N11615" t="s">
        <v>45095</v>
      </c>
      <c r="O11615" t="s">
        <v>45096</v>
      </c>
      <c r="Q11615">
        <v>5</v>
      </c>
      <c r="R11615" t="s">
        <v>45109</v>
      </c>
      <c r="S11615" t="s">
        <v>45609</v>
      </c>
      <c r="T11615" t="s">
        <v>46918</v>
      </c>
      <c r="U11615" t="s">
        <v>56966</v>
      </c>
      <c r="V11615" t="s">
        <v>61106</v>
      </c>
      <c r="W11615" t="s">
        <v>42683</v>
      </c>
      <c r="X11615" t="s">
        <v>45110</v>
      </c>
    </row>
    <row r="11616" spans="1:24">
      <c r="A11616">
        <f>HYPERLINK("https://www.philgeps.gov.ph/GEPSNONPILOT/Tender/SplashBidNoticeAbstractUI.aspx?menuIndex=3&amp;refID=7027047&amp;Result=3","7027047")</f>
        <v>0</v>
      </c>
      <c r="B11616" t="s">
        <v>2859</v>
      </c>
      <c r="C11616" t="s">
        <v>14285</v>
      </c>
      <c r="D11616" t="s">
        <v>18068</v>
      </c>
      <c r="E11616" t="s">
        <v>23458</v>
      </c>
      <c r="F11616" t="s">
        <v>31574</v>
      </c>
      <c r="G11616" t="s">
        <v>31582</v>
      </c>
      <c r="H11616" t="s">
        <v>31590</v>
      </c>
      <c r="I11616" t="s">
        <v>31608</v>
      </c>
      <c r="J11616" t="s">
        <v>38929</v>
      </c>
      <c r="K11616" t="s">
        <v>41196</v>
      </c>
      <c r="M11616" t="s">
        <v>44649</v>
      </c>
      <c r="N11616" t="s">
        <v>45095</v>
      </c>
      <c r="O11616" t="s">
        <v>45096</v>
      </c>
      <c r="P11616">
        <v>0</v>
      </c>
      <c r="Q11616">
        <v>3</v>
      </c>
      <c r="R11616" t="s">
        <v>45109</v>
      </c>
      <c r="S11616" t="s">
        <v>45478</v>
      </c>
      <c r="T11616" t="s">
        <v>46937</v>
      </c>
      <c r="U11616" t="s">
        <v>56967</v>
      </c>
      <c r="V11616" t="s">
        <v>61107</v>
      </c>
      <c r="W11616" t="s">
        <v>44649</v>
      </c>
      <c r="X11616" t="s">
        <v>45110</v>
      </c>
    </row>
    <row r="11617" spans="1:24">
      <c r="A11617">
        <f>HYPERLINK("https://www.philgeps.gov.ph/GEPSNONPILOT/Tender/SplashBidNoticeAbstractUI.aspx?menuIndex=3&amp;refID=7027039&amp;Result=3","7027039")</f>
        <v>0</v>
      </c>
      <c r="B11617" t="s">
        <v>1120</v>
      </c>
      <c r="C11617" t="s">
        <v>14286</v>
      </c>
      <c r="E11617" t="s">
        <v>28155</v>
      </c>
      <c r="F11617" t="s">
        <v>31574</v>
      </c>
      <c r="G11617" t="s">
        <v>31581</v>
      </c>
      <c r="H11617" t="s">
        <v>31590</v>
      </c>
      <c r="I11617" t="s">
        <v>31619</v>
      </c>
      <c r="J11617" t="s">
        <v>35229</v>
      </c>
      <c r="K11617" t="s">
        <v>41186</v>
      </c>
      <c r="M11617" t="s">
        <v>42817</v>
      </c>
      <c r="N11617" t="s">
        <v>45095</v>
      </c>
      <c r="O11617" t="s">
        <v>45096</v>
      </c>
      <c r="Q11617">
        <v>14</v>
      </c>
      <c r="R11617" t="s">
        <v>45109</v>
      </c>
      <c r="S11617" t="s">
        <v>45610</v>
      </c>
      <c r="T11617" t="s">
        <v>47176</v>
      </c>
      <c r="U11617" t="s">
        <v>56968</v>
      </c>
      <c r="W11617" t="s">
        <v>42817</v>
      </c>
      <c r="X11617" t="s">
        <v>45110</v>
      </c>
    </row>
    <row r="11618" spans="1:24">
      <c r="A11618">
        <f>HYPERLINK("https://www.philgeps.gov.ph/GEPSNONPILOT/Tender/SplashBidNoticeAbstractUI.aspx?menuIndex=3&amp;refID=7027028&amp;Result=3","7027028")</f>
        <v>0</v>
      </c>
      <c r="B11618" t="s">
        <v>2847</v>
      </c>
      <c r="C11618" t="s">
        <v>14287</v>
      </c>
      <c r="D11618" t="s">
        <v>18022</v>
      </c>
      <c r="E11618" t="s">
        <v>28148</v>
      </c>
      <c r="F11618" t="s">
        <v>31575</v>
      </c>
      <c r="G11618" t="s">
        <v>31582</v>
      </c>
      <c r="H11618" t="s">
        <v>31590</v>
      </c>
      <c r="I11618" t="s">
        <v>3651</v>
      </c>
      <c r="J11618" t="s">
        <v>31780</v>
      </c>
      <c r="K11618" t="s">
        <v>41184</v>
      </c>
      <c r="M11618" t="s">
        <v>44631</v>
      </c>
      <c r="N11618" t="s">
        <v>45095</v>
      </c>
      <c r="O11618" t="s">
        <v>45096</v>
      </c>
      <c r="P11618">
        <v>0</v>
      </c>
      <c r="Q11618">
        <v>5</v>
      </c>
      <c r="R11618" t="s">
        <v>45109</v>
      </c>
      <c r="S11618" t="s">
        <v>45478</v>
      </c>
      <c r="T11618" t="s">
        <v>46936</v>
      </c>
      <c r="U11618" t="s">
        <v>56969</v>
      </c>
      <c r="W11618" t="s">
        <v>44631</v>
      </c>
      <c r="X11618" t="s">
        <v>45110</v>
      </c>
    </row>
    <row r="11619" spans="1:24">
      <c r="A11619">
        <f>HYPERLINK("https://www.philgeps.gov.ph/GEPSNONPILOT/Tender/SplashBidNoticeAbstractUI.aspx?menuIndex=3&amp;refID=7012397&amp;Result=3","7012397")</f>
        <v>0</v>
      </c>
      <c r="B11619" t="s">
        <v>2159</v>
      </c>
      <c r="C11619" t="s">
        <v>14288</v>
      </c>
      <c r="D11619" t="s">
        <v>18023</v>
      </c>
      <c r="E11619" t="s">
        <v>28156</v>
      </c>
      <c r="F11619" t="s">
        <v>31574</v>
      </c>
      <c r="G11619" t="s">
        <v>31582</v>
      </c>
      <c r="H11619" t="s">
        <v>31591</v>
      </c>
      <c r="I11619" t="s">
        <v>8822</v>
      </c>
      <c r="J11619" t="s">
        <v>38930</v>
      </c>
      <c r="K11619" t="s">
        <v>41435</v>
      </c>
      <c r="M11619" t="s">
        <v>44060</v>
      </c>
      <c r="N11619" t="s">
        <v>45095</v>
      </c>
      <c r="O11619" t="s">
        <v>45096</v>
      </c>
      <c r="P11619">
        <v>0</v>
      </c>
      <c r="Q11619">
        <v>18</v>
      </c>
      <c r="R11619" t="s">
        <v>45110</v>
      </c>
      <c r="S11619" t="s">
        <v>45605</v>
      </c>
      <c r="T11619" t="s">
        <v>46926</v>
      </c>
      <c r="U11619" t="s">
        <v>56970</v>
      </c>
      <c r="V11619" t="s">
        <v>49354</v>
      </c>
      <c r="W11619" t="s">
        <v>44060</v>
      </c>
      <c r="X11619" t="s">
        <v>45117</v>
      </c>
    </row>
    <row r="11620" spans="1:24">
      <c r="A11620">
        <f>HYPERLINK("https://www.philgeps.gov.ph/GEPSNONPILOT/Tender/SplashBidNoticeAbstractUI.aspx?menuIndex=3&amp;refID=6951409&amp;Result=3","6951409")</f>
        <v>0</v>
      </c>
      <c r="B11620" t="s">
        <v>2342</v>
      </c>
      <c r="C11620" t="s">
        <v>14289</v>
      </c>
      <c r="D11620" t="s">
        <v>18077</v>
      </c>
      <c r="E11620" t="s">
        <v>28157</v>
      </c>
      <c r="F11620" t="s">
        <v>31574</v>
      </c>
      <c r="G11620" t="s">
        <v>31582</v>
      </c>
      <c r="H11620" t="s">
        <v>31590</v>
      </c>
      <c r="I11620" t="s">
        <v>31599</v>
      </c>
      <c r="J11620" t="s">
        <v>38931</v>
      </c>
      <c r="K11620" t="s">
        <v>41186</v>
      </c>
      <c r="M11620" t="s">
        <v>44057</v>
      </c>
      <c r="N11620" t="s">
        <v>45095</v>
      </c>
      <c r="O11620" t="s">
        <v>45096</v>
      </c>
      <c r="P11620">
        <v>0</v>
      </c>
      <c r="Q11620">
        <v>1</v>
      </c>
      <c r="R11620" t="s">
        <v>45110</v>
      </c>
      <c r="S11620" t="s">
        <v>45605</v>
      </c>
      <c r="T11620" t="s">
        <v>46905</v>
      </c>
      <c r="U11620" t="s">
        <v>56971</v>
      </c>
      <c r="W11620" t="s">
        <v>44057</v>
      </c>
      <c r="X11620" t="s">
        <v>45164</v>
      </c>
    </row>
    <row r="11621" spans="1:24">
      <c r="A11621">
        <f>HYPERLINK("https://www.philgeps.gov.ph/GEPSNONPILOT/Tender/SplashBidNoticeAbstractUI.aspx?menuIndex=3&amp;refID=7012526&amp;Result=3","7012526")</f>
        <v>0</v>
      </c>
      <c r="B11621" t="s">
        <v>2159</v>
      </c>
      <c r="C11621" t="s">
        <v>14290</v>
      </c>
      <c r="D11621" t="s">
        <v>18023</v>
      </c>
      <c r="E11621" t="s">
        <v>28158</v>
      </c>
      <c r="F11621" t="s">
        <v>31574</v>
      </c>
      <c r="G11621" t="s">
        <v>31582</v>
      </c>
      <c r="H11621" t="s">
        <v>31591</v>
      </c>
      <c r="I11621" t="s">
        <v>8822</v>
      </c>
      <c r="J11621" t="s">
        <v>38932</v>
      </c>
      <c r="K11621" t="s">
        <v>41436</v>
      </c>
      <c r="M11621" t="s">
        <v>44060</v>
      </c>
      <c r="N11621" t="s">
        <v>45095</v>
      </c>
      <c r="O11621" t="s">
        <v>45096</v>
      </c>
      <c r="Q11621">
        <v>12</v>
      </c>
      <c r="R11621" t="s">
        <v>45110</v>
      </c>
      <c r="S11621" t="s">
        <v>45611</v>
      </c>
      <c r="T11621" t="s">
        <v>46926</v>
      </c>
      <c r="U11621" t="s">
        <v>56972</v>
      </c>
      <c r="V11621" t="s">
        <v>49354</v>
      </c>
      <c r="W11621" t="s">
        <v>44060</v>
      </c>
      <c r="X11621" t="s">
        <v>45117</v>
      </c>
    </row>
    <row r="11622" spans="1:24">
      <c r="A11622">
        <f>HYPERLINK("https://www.philgeps.gov.ph/GEPSNONPILOT/Tender/SplashBidNoticeAbstractUI.aspx?menuIndex=3&amp;refID=7016584&amp;Result=3","7016584")</f>
        <v>0</v>
      </c>
      <c r="B11622" t="s">
        <v>1703</v>
      </c>
      <c r="C11622" t="s">
        <v>14291</v>
      </c>
      <c r="D11622" t="s">
        <v>18035</v>
      </c>
      <c r="E11622" t="s">
        <v>28159</v>
      </c>
      <c r="F11622" t="s">
        <v>31574</v>
      </c>
      <c r="G11622" t="s">
        <v>31582</v>
      </c>
      <c r="H11622" t="s">
        <v>31591</v>
      </c>
      <c r="I11622" t="s">
        <v>8822</v>
      </c>
      <c r="J11622" t="s">
        <v>38933</v>
      </c>
      <c r="K11622" t="s">
        <v>41192</v>
      </c>
      <c r="M11622" t="s">
        <v>43319</v>
      </c>
      <c r="N11622" t="s">
        <v>45095</v>
      </c>
      <c r="O11622" t="s">
        <v>45096</v>
      </c>
      <c r="Q11622">
        <v>15</v>
      </c>
      <c r="R11622" t="s">
        <v>45110</v>
      </c>
      <c r="S11622" t="s">
        <v>45612</v>
      </c>
      <c r="T11622" t="s">
        <v>46979</v>
      </c>
      <c r="U11622" t="s">
        <v>56973</v>
      </c>
      <c r="V11622" t="s">
        <v>61108</v>
      </c>
      <c r="W11622" t="s">
        <v>43319</v>
      </c>
      <c r="X11622" t="s">
        <v>45115</v>
      </c>
    </row>
    <row r="11623" spans="1:24">
      <c r="A11623">
        <f>HYPERLINK("https://www.philgeps.gov.ph/GEPSNONPILOT/Tender/SplashBidNoticeAbstractUI.aspx?menuIndex=3&amp;refID=7012580&amp;Result=3","7012580")</f>
        <v>0</v>
      </c>
      <c r="B11623" t="s">
        <v>2159</v>
      </c>
      <c r="C11623" t="s">
        <v>14292</v>
      </c>
      <c r="D11623" t="s">
        <v>18023</v>
      </c>
      <c r="E11623" t="s">
        <v>28160</v>
      </c>
      <c r="F11623" t="s">
        <v>31574</v>
      </c>
      <c r="G11623" t="s">
        <v>31582</v>
      </c>
      <c r="H11623" t="s">
        <v>31591</v>
      </c>
      <c r="I11623" t="s">
        <v>8822</v>
      </c>
      <c r="J11623" t="s">
        <v>38934</v>
      </c>
      <c r="K11623" t="s">
        <v>41436</v>
      </c>
      <c r="M11623" t="s">
        <v>44060</v>
      </c>
      <c r="N11623" t="s">
        <v>45095</v>
      </c>
      <c r="O11623" t="s">
        <v>45096</v>
      </c>
      <c r="Q11623">
        <v>11</v>
      </c>
      <c r="R11623" t="s">
        <v>45110</v>
      </c>
      <c r="S11623" t="s">
        <v>45613</v>
      </c>
      <c r="T11623" t="s">
        <v>46926</v>
      </c>
      <c r="U11623" t="s">
        <v>56974</v>
      </c>
      <c r="V11623" t="s">
        <v>49354</v>
      </c>
      <c r="W11623" t="s">
        <v>44060</v>
      </c>
      <c r="X11623" t="s">
        <v>45117</v>
      </c>
    </row>
    <row r="11624" spans="1:24">
      <c r="A11624">
        <f>HYPERLINK("https://www.philgeps.gov.ph/GEPSNONPILOT/Tender/SplashBidNoticeAbstractUI.aspx?menuIndex=3&amp;refID=7013383&amp;Result=3","7013383")</f>
        <v>0</v>
      </c>
      <c r="B11624" t="s">
        <v>443</v>
      </c>
      <c r="C11624" t="s">
        <v>14293</v>
      </c>
      <c r="D11624" t="s">
        <v>18062</v>
      </c>
      <c r="E11624" t="s">
        <v>28161</v>
      </c>
      <c r="F11624" t="s">
        <v>31574</v>
      </c>
      <c r="G11624" t="s">
        <v>31582</v>
      </c>
      <c r="H11624" t="s">
        <v>31591</v>
      </c>
      <c r="I11624" t="s">
        <v>8822</v>
      </c>
      <c r="J11624" t="s">
        <v>32526</v>
      </c>
      <c r="K11624" t="s">
        <v>41203</v>
      </c>
      <c r="M11624" t="s">
        <v>41936</v>
      </c>
      <c r="N11624" t="s">
        <v>45095</v>
      </c>
      <c r="O11624" t="s">
        <v>45096</v>
      </c>
      <c r="P11624">
        <v>0</v>
      </c>
      <c r="Q11624">
        <v>0</v>
      </c>
      <c r="R11624" t="s">
        <v>45110</v>
      </c>
      <c r="S11624" t="s">
        <v>45605</v>
      </c>
      <c r="T11624" t="s">
        <v>46926</v>
      </c>
      <c r="U11624" t="s">
        <v>48547</v>
      </c>
      <c r="V11624" t="s">
        <v>61109</v>
      </c>
      <c r="W11624" t="s">
        <v>41936</v>
      </c>
      <c r="X11624" t="s">
        <v>45117</v>
      </c>
    </row>
    <row r="11625" spans="1:24">
      <c r="A11625">
        <f>HYPERLINK("https://www.philgeps.gov.ph/GEPSNONPILOT/Tender/SplashBidNoticeAbstractUI.aspx?menuIndex=3&amp;refID=7013078&amp;Result=3","7013078")</f>
        <v>0</v>
      </c>
      <c r="B11625" t="s">
        <v>443</v>
      </c>
      <c r="C11625" t="s">
        <v>14294</v>
      </c>
      <c r="D11625" t="s">
        <v>18062</v>
      </c>
      <c r="E11625" t="s">
        <v>28162</v>
      </c>
      <c r="F11625" t="s">
        <v>31574</v>
      </c>
      <c r="G11625" t="s">
        <v>31582</v>
      </c>
      <c r="H11625" t="s">
        <v>31591</v>
      </c>
      <c r="I11625" t="s">
        <v>8822</v>
      </c>
      <c r="J11625" t="s">
        <v>32526</v>
      </c>
      <c r="K11625" t="s">
        <v>41203</v>
      </c>
      <c r="M11625" t="s">
        <v>41936</v>
      </c>
      <c r="N11625" t="s">
        <v>45095</v>
      </c>
      <c r="O11625" t="s">
        <v>45096</v>
      </c>
      <c r="P11625">
        <v>0</v>
      </c>
      <c r="Q11625">
        <v>0</v>
      </c>
      <c r="R11625" t="s">
        <v>45110</v>
      </c>
      <c r="S11625" t="s">
        <v>45605</v>
      </c>
      <c r="T11625" t="s">
        <v>46926</v>
      </c>
      <c r="U11625" t="s">
        <v>48547</v>
      </c>
      <c r="V11625" t="s">
        <v>61110</v>
      </c>
      <c r="W11625" t="s">
        <v>41936</v>
      </c>
      <c r="X11625" t="s">
        <v>45117</v>
      </c>
    </row>
    <row r="11626" spans="1:24">
      <c r="A11626">
        <f>HYPERLINK("https://www.philgeps.gov.ph/GEPSNONPILOT/Tender/SplashBidNoticeAbstractUI.aspx?menuIndex=3&amp;refID=7012980&amp;Result=3","7012980")</f>
        <v>0</v>
      </c>
      <c r="B11626" t="s">
        <v>443</v>
      </c>
      <c r="C11626" t="s">
        <v>14295</v>
      </c>
      <c r="D11626" t="s">
        <v>18062</v>
      </c>
      <c r="E11626" t="s">
        <v>28163</v>
      </c>
      <c r="F11626" t="s">
        <v>31574</v>
      </c>
      <c r="G11626" t="s">
        <v>31582</v>
      </c>
      <c r="H11626" t="s">
        <v>31591</v>
      </c>
      <c r="I11626" t="s">
        <v>8822</v>
      </c>
      <c r="J11626" t="s">
        <v>32526</v>
      </c>
      <c r="K11626" t="s">
        <v>41203</v>
      </c>
      <c r="M11626" t="s">
        <v>41936</v>
      </c>
      <c r="N11626" t="s">
        <v>45095</v>
      </c>
      <c r="O11626" t="s">
        <v>45096</v>
      </c>
      <c r="P11626">
        <v>0</v>
      </c>
      <c r="Q11626">
        <v>1</v>
      </c>
      <c r="R11626" t="s">
        <v>45110</v>
      </c>
      <c r="S11626" t="s">
        <v>45605</v>
      </c>
      <c r="T11626" t="s">
        <v>46926</v>
      </c>
      <c r="U11626" t="s">
        <v>48547</v>
      </c>
      <c r="V11626" t="s">
        <v>61111</v>
      </c>
      <c r="W11626" t="s">
        <v>41936</v>
      </c>
      <c r="X11626" t="s">
        <v>45117</v>
      </c>
    </row>
    <row r="11627" spans="1:24">
      <c r="A11627">
        <f>HYPERLINK("https://www.philgeps.gov.ph/GEPSNONPILOT/Tender/SplashBidNoticeAbstractUI.aspx?menuIndex=3&amp;refID=7012811&amp;Result=3","7012811")</f>
        <v>0</v>
      </c>
      <c r="B11627" t="s">
        <v>443</v>
      </c>
      <c r="C11627" t="s">
        <v>14296</v>
      </c>
      <c r="D11627" t="s">
        <v>18062</v>
      </c>
      <c r="E11627" t="s">
        <v>28164</v>
      </c>
      <c r="F11627" t="s">
        <v>31574</v>
      </c>
      <c r="G11627" t="s">
        <v>31582</v>
      </c>
      <c r="H11627" t="s">
        <v>31591</v>
      </c>
      <c r="I11627" t="s">
        <v>8822</v>
      </c>
      <c r="J11627" t="s">
        <v>32504</v>
      </c>
      <c r="K11627" t="s">
        <v>41203</v>
      </c>
      <c r="M11627" t="s">
        <v>41936</v>
      </c>
      <c r="N11627" t="s">
        <v>45095</v>
      </c>
      <c r="O11627" t="s">
        <v>45096</v>
      </c>
      <c r="P11627">
        <v>0</v>
      </c>
      <c r="Q11627">
        <v>1</v>
      </c>
      <c r="R11627" t="s">
        <v>45110</v>
      </c>
      <c r="S11627" t="s">
        <v>45605</v>
      </c>
      <c r="T11627" t="s">
        <v>46926</v>
      </c>
      <c r="U11627" t="s">
        <v>48547</v>
      </c>
      <c r="V11627" t="s">
        <v>61112</v>
      </c>
      <c r="W11627" t="s">
        <v>41936</v>
      </c>
      <c r="X11627" t="s">
        <v>45117</v>
      </c>
    </row>
    <row r="11628" spans="1:24">
      <c r="A11628">
        <f>HYPERLINK("https://www.philgeps.gov.ph/GEPSNONPILOT/Tender/SplashBidNoticeAbstractUI.aspx?menuIndex=3&amp;refID=7016591&amp;Result=3","7016591")</f>
        <v>0</v>
      </c>
      <c r="B11628" t="s">
        <v>1703</v>
      </c>
      <c r="C11628" t="s">
        <v>14297</v>
      </c>
      <c r="D11628" t="s">
        <v>18035</v>
      </c>
      <c r="E11628" t="s">
        <v>28165</v>
      </c>
      <c r="F11628" t="s">
        <v>31574</v>
      </c>
      <c r="G11628" t="s">
        <v>31582</v>
      </c>
      <c r="H11628" t="s">
        <v>31591</v>
      </c>
      <c r="I11628" t="s">
        <v>8822</v>
      </c>
      <c r="J11628" t="s">
        <v>38933</v>
      </c>
      <c r="K11628" t="s">
        <v>41192</v>
      </c>
      <c r="M11628" t="s">
        <v>43319</v>
      </c>
      <c r="N11628" t="s">
        <v>45095</v>
      </c>
      <c r="O11628" t="s">
        <v>45096</v>
      </c>
      <c r="Q11628">
        <v>15</v>
      </c>
      <c r="R11628" t="s">
        <v>45110</v>
      </c>
      <c r="S11628" t="s">
        <v>45614</v>
      </c>
      <c r="T11628" t="s">
        <v>46979</v>
      </c>
      <c r="U11628" t="s">
        <v>56975</v>
      </c>
      <c r="V11628" t="s">
        <v>61108</v>
      </c>
      <c r="W11628" t="s">
        <v>43319</v>
      </c>
      <c r="X11628" t="s">
        <v>45115</v>
      </c>
    </row>
    <row r="11629" spans="1:24">
      <c r="A11629">
        <f>HYPERLINK("https://www.philgeps.gov.ph/GEPSNONPILOT/Tender/SplashBidNoticeAbstractUI.aspx?menuIndex=3&amp;refID=7017955&amp;Result=3","7017955")</f>
        <v>0</v>
      </c>
      <c r="B11629" t="s">
        <v>2266</v>
      </c>
      <c r="C11629" t="s">
        <v>14298</v>
      </c>
      <c r="D11629" t="s">
        <v>18052</v>
      </c>
      <c r="E11629" t="s">
        <v>28166</v>
      </c>
      <c r="F11629" t="s">
        <v>31574</v>
      </c>
      <c r="G11629" t="s">
        <v>31582</v>
      </c>
      <c r="H11629" t="s">
        <v>31590</v>
      </c>
      <c r="I11629" t="s">
        <v>31595</v>
      </c>
      <c r="J11629" t="s">
        <v>31830</v>
      </c>
      <c r="K11629" t="s">
        <v>41196</v>
      </c>
      <c r="M11629" t="s">
        <v>43966</v>
      </c>
      <c r="N11629" t="s">
        <v>45095</v>
      </c>
      <c r="O11629" t="s">
        <v>45096</v>
      </c>
      <c r="Q11629">
        <v>1</v>
      </c>
      <c r="R11629" t="s">
        <v>45110</v>
      </c>
      <c r="S11629" t="s">
        <v>45615</v>
      </c>
      <c r="T11629" t="s">
        <v>46923</v>
      </c>
      <c r="U11629" t="s">
        <v>56976</v>
      </c>
      <c r="V11629" t="s">
        <v>61113</v>
      </c>
      <c r="W11629" t="s">
        <v>43966</v>
      </c>
      <c r="X11629" t="s">
        <v>45115</v>
      </c>
    </row>
    <row r="11630" spans="1:24">
      <c r="A11630">
        <f>HYPERLINK("https://www.philgeps.gov.ph/GEPSNONPILOT/Tender/SplashBidNoticeAbstractUI.aspx?menuIndex=3&amp;refID=7013235&amp;Result=3","7013235")</f>
        <v>0</v>
      </c>
      <c r="B11630" t="s">
        <v>443</v>
      </c>
      <c r="C11630" t="s">
        <v>14299</v>
      </c>
      <c r="D11630" t="s">
        <v>18062</v>
      </c>
      <c r="E11630" t="s">
        <v>28167</v>
      </c>
      <c r="F11630" t="s">
        <v>31574</v>
      </c>
      <c r="G11630" t="s">
        <v>31582</v>
      </c>
      <c r="H11630" t="s">
        <v>31591</v>
      </c>
      <c r="I11630" t="s">
        <v>8822</v>
      </c>
      <c r="J11630" t="s">
        <v>32526</v>
      </c>
      <c r="K11630" t="s">
        <v>41203</v>
      </c>
      <c r="M11630" t="s">
        <v>41936</v>
      </c>
      <c r="N11630" t="s">
        <v>45095</v>
      </c>
      <c r="O11630" t="s">
        <v>45096</v>
      </c>
      <c r="P11630">
        <v>0</v>
      </c>
      <c r="Q11630">
        <v>1</v>
      </c>
      <c r="R11630" t="s">
        <v>45110</v>
      </c>
      <c r="S11630" t="s">
        <v>45605</v>
      </c>
      <c r="T11630" t="s">
        <v>46926</v>
      </c>
      <c r="U11630" t="s">
        <v>48547</v>
      </c>
      <c r="V11630" t="s">
        <v>61114</v>
      </c>
      <c r="W11630" t="s">
        <v>41936</v>
      </c>
      <c r="X11630" t="s">
        <v>45117</v>
      </c>
    </row>
    <row r="11631" spans="1:24">
      <c r="A11631">
        <f>HYPERLINK("https://www.philgeps.gov.ph/GEPSNONPILOT/Tender/SplashBidNoticeAbstractUI.aspx?menuIndex=3&amp;refID=7013608&amp;Result=3","7013608")</f>
        <v>0</v>
      </c>
      <c r="B11631" t="s">
        <v>443</v>
      </c>
      <c r="C11631" t="s">
        <v>14300</v>
      </c>
      <c r="D11631" t="s">
        <v>18062</v>
      </c>
      <c r="E11631" t="s">
        <v>28168</v>
      </c>
      <c r="F11631" t="s">
        <v>31574</v>
      </c>
      <c r="G11631" t="s">
        <v>31582</v>
      </c>
      <c r="H11631" t="s">
        <v>31591</v>
      </c>
      <c r="I11631" t="s">
        <v>8822</v>
      </c>
      <c r="J11631" t="s">
        <v>34707</v>
      </c>
      <c r="K11631" t="s">
        <v>41256</v>
      </c>
      <c r="M11631" t="s">
        <v>41936</v>
      </c>
      <c r="N11631" t="s">
        <v>45095</v>
      </c>
      <c r="O11631" t="s">
        <v>45096</v>
      </c>
      <c r="P11631">
        <v>0</v>
      </c>
      <c r="Q11631">
        <v>4</v>
      </c>
      <c r="R11631" t="s">
        <v>45110</v>
      </c>
      <c r="S11631" t="s">
        <v>45605</v>
      </c>
      <c r="T11631" t="s">
        <v>46926</v>
      </c>
      <c r="U11631" t="s">
        <v>48547</v>
      </c>
      <c r="V11631" t="s">
        <v>61115</v>
      </c>
      <c r="W11631" t="s">
        <v>41936</v>
      </c>
      <c r="X11631" t="s">
        <v>45117</v>
      </c>
    </row>
    <row r="11632" spans="1:24">
      <c r="A11632">
        <f>HYPERLINK("https://www.philgeps.gov.ph/GEPSNONPILOT/Tender/SplashBidNoticeAbstractUI.aspx?menuIndex=3&amp;refID=7016786&amp;Result=3","7016786")</f>
        <v>0</v>
      </c>
      <c r="B11632" t="s">
        <v>2860</v>
      </c>
      <c r="C11632" t="s">
        <v>14301</v>
      </c>
      <c r="D11632" t="s">
        <v>18026</v>
      </c>
      <c r="E11632" t="s">
        <v>28169</v>
      </c>
      <c r="F11632" t="s">
        <v>31574</v>
      </c>
      <c r="G11632" t="s">
        <v>31581</v>
      </c>
      <c r="H11632" t="s">
        <v>31590</v>
      </c>
      <c r="I11632" t="s">
        <v>31599</v>
      </c>
      <c r="J11632" t="s">
        <v>38935</v>
      </c>
      <c r="K11632" t="s">
        <v>41184</v>
      </c>
      <c r="M11632" t="s">
        <v>44650</v>
      </c>
      <c r="N11632" t="s">
        <v>45095</v>
      </c>
      <c r="O11632" t="s">
        <v>45096</v>
      </c>
      <c r="P11632">
        <v>0</v>
      </c>
      <c r="Q11632">
        <v>1</v>
      </c>
      <c r="R11632" t="s">
        <v>45110</v>
      </c>
      <c r="S11632" t="s">
        <v>45605</v>
      </c>
      <c r="T11632" t="s">
        <v>47061</v>
      </c>
      <c r="U11632" t="s">
        <v>56977</v>
      </c>
      <c r="W11632" t="s">
        <v>44650</v>
      </c>
      <c r="X11632" t="s">
        <v>45115</v>
      </c>
    </row>
    <row r="11633" spans="1:24">
      <c r="A11633">
        <f>HYPERLINK("https://www.philgeps.gov.ph/GEPSNONPILOT/Tender/SplashBidNoticeAbstractUI.aspx?menuIndex=3&amp;refID=7017801&amp;Result=3","7017801")</f>
        <v>0</v>
      </c>
      <c r="B11633" t="s">
        <v>2266</v>
      </c>
      <c r="C11633" t="s">
        <v>14302</v>
      </c>
      <c r="D11633" t="s">
        <v>18052</v>
      </c>
      <c r="E11633" t="s">
        <v>28170</v>
      </c>
      <c r="F11633" t="s">
        <v>31574</v>
      </c>
      <c r="G11633" t="s">
        <v>31582</v>
      </c>
      <c r="H11633" t="s">
        <v>31590</v>
      </c>
      <c r="I11633" t="s">
        <v>3487</v>
      </c>
      <c r="J11633" t="s">
        <v>33678</v>
      </c>
      <c r="K11633" t="s">
        <v>41196</v>
      </c>
      <c r="M11633" t="s">
        <v>43966</v>
      </c>
      <c r="N11633" t="s">
        <v>45095</v>
      </c>
      <c r="O11633" t="s">
        <v>45096</v>
      </c>
      <c r="Q11633">
        <v>2</v>
      </c>
      <c r="R11633" t="s">
        <v>45110</v>
      </c>
      <c r="S11633" t="s">
        <v>45616</v>
      </c>
      <c r="T11633" t="s">
        <v>46923</v>
      </c>
      <c r="U11633" t="s">
        <v>56978</v>
      </c>
      <c r="V11633" t="s">
        <v>61116</v>
      </c>
      <c r="W11633" t="s">
        <v>43966</v>
      </c>
      <c r="X11633" t="s">
        <v>45115</v>
      </c>
    </row>
    <row r="11634" spans="1:24">
      <c r="A11634">
        <f>HYPERLINK("https://www.philgeps.gov.ph/GEPSNONPILOT/Tender/SplashBidNoticeAbstractUI.aspx?menuIndex=3&amp;refID=7017842&amp;Result=3","7017842")</f>
        <v>0</v>
      </c>
      <c r="B11634" t="s">
        <v>2266</v>
      </c>
      <c r="C11634" t="s">
        <v>14303</v>
      </c>
      <c r="D11634" t="s">
        <v>18052</v>
      </c>
      <c r="E11634" t="s">
        <v>28171</v>
      </c>
      <c r="F11634" t="s">
        <v>31574</v>
      </c>
      <c r="G11634" t="s">
        <v>31582</v>
      </c>
      <c r="H11634" t="s">
        <v>31590</v>
      </c>
      <c r="I11634" t="s">
        <v>31595</v>
      </c>
      <c r="J11634" t="s">
        <v>32382</v>
      </c>
      <c r="K11634" t="s">
        <v>41196</v>
      </c>
      <c r="M11634" t="s">
        <v>43966</v>
      </c>
      <c r="N11634" t="s">
        <v>45095</v>
      </c>
      <c r="O11634" t="s">
        <v>45096</v>
      </c>
      <c r="Q11634">
        <v>1</v>
      </c>
      <c r="R11634" t="s">
        <v>45110</v>
      </c>
      <c r="S11634" t="s">
        <v>45617</v>
      </c>
      <c r="T11634" t="s">
        <v>46923</v>
      </c>
      <c r="U11634" t="s">
        <v>56979</v>
      </c>
      <c r="V11634" t="s">
        <v>61117</v>
      </c>
      <c r="W11634" t="s">
        <v>43966</v>
      </c>
      <c r="X11634" t="s">
        <v>45115</v>
      </c>
    </row>
    <row r="11635" spans="1:24">
      <c r="A11635">
        <f>HYPERLINK("https://www.philgeps.gov.ph/GEPSNONPILOT/Tender/SplashBidNoticeAbstractUI.aspx?menuIndex=3&amp;refID=7015886&amp;Result=3","7015886")</f>
        <v>0</v>
      </c>
      <c r="B11635" t="s">
        <v>2861</v>
      </c>
      <c r="C11635" t="s">
        <v>14304</v>
      </c>
      <c r="E11635" t="s">
        <v>28172</v>
      </c>
      <c r="F11635" t="s">
        <v>31574</v>
      </c>
      <c r="G11635" t="s">
        <v>31582</v>
      </c>
      <c r="H11635" t="s">
        <v>31590</v>
      </c>
      <c r="I11635" t="s">
        <v>8822</v>
      </c>
      <c r="J11635" t="s">
        <v>31935</v>
      </c>
      <c r="K11635" t="s">
        <v>41184</v>
      </c>
      <c r="M11635" t="s">
        <v>44651</v>
      </c>
      <c r="N11635" t="s">
        <v>45095</v>
      </c>
      <c r="O11635" t="s">
        <v>45096</v>
      </c>
      <c r="P11635">
        <v>0</v>
      </c>
      <c r="Q11635">
        <v>1</v>
      </c>
      <c r="R11635" t="s">
        <v>45110</v>
      </c>
      <c r="S11635" t="s">
        <v>45605</v>
      </c>
      <c r="T11635" t="s">
        <v>47008</v>
      </c>
      <c r="U11635" t="s">
        <v>56980</v>
      </c>
      <c r="W11635" t="s">
        <v>44651</v>
      </c>
      <c r="X11635" t="s">
        <v>45116</v>
      </c>
    </row>
    <row r="11636" spans="1:24">
      <c r="A11636">
        <f>HYPERLINK("https://www.philgeps.gov.ph/GEPSNONPILOT/Tender/SplashBidNoticeAbstractUI.aspx?menuIndex=3&amp;refID=7016886&amp;Result=3","7016886")</f>
        <v>0</v>
      </c>
      <c r="B11636" t="s">
        <v>363</v>
      </c>
      <c r="C11636" t="s">
        <v>14305</v>
      </c>
      <c r="D11636" t="s">
        <v>18044</v>
      </c>
      <c r="E11636" t="s">
        <v>28173</v>
      </c>
      <c r="F11636" t="s">
        <v>31574</v>
      </c>
      <c r="G11636" t="s">
        <v>31582</v>
      </c>
      <c r="H11636" t="s">
        <v>31591</v>
      </c>
      <c r="I11636" t="s">
        <v>8822</v>
      </c>
      <c r="J11636" t="s">
        <v>32026</v>
      </c>
      <c r="K11636" t="s">
        <v>41291</v>
      </c>
      <c r="M11636" t="s">
        <v>41853</v>
      </c>
      <c r="N11636" t="s">
        <v>45095</v>
      </c>
      <c r="O11636" t="s">
        <v>45096</v>
      </c>
      <c r="P11636">
        <v>0</v>
      </c>
      <c r="Q11636">
        <v>0</v>
      </c>
      <c r="R11636" t="s">
        <v>45110</v>
      </c>
      <c r="S11636" t="s">
        <v>45605</v>
      </c>
      <c r="T11636" t="s">
        <v>46968</v>
      </c>
      <c r="U11636" t="s">
        <v>56981</v>
      </c>
      <c r="W11636" t="s">
        <v>41853</v>
      </c>
      <c r="X11636" t="s">
        <v>45115</v>
      </c>
    </row>
    <row r="11637" spans="1:24">
      <c r="A11637">
        <f>HYPERLINK("https://www.philgeps.gov.ph/GEPSNONPILOT/Tender/SplashBidNoticeAbstractUI.aspx?menuIndex=3&amp;refID=7017188&amp;Result=3","7017188")</f>
        <v>0</v>
      </c>
      <c r="B11637" t="s">
        <v>137</v>
      </c>
      <c r="C11637" t="s">
        <v>14306</v>
      </c>
      <c r="D11637" t="s">
        <v>18072</v>
      </c>
      <c r="E11637" t="s">
        <v>28174</v>
      </c>
      <c r="F11637" t="s">
        <v>31574</v>
      </c>
      <c r="G11637" t="s">
        <v>31582</v>
      </c>
      <c r="H11637" t="s">
        <v>31593</v>
      </c>
      <c r="I11637" t="s">
        <v>31593</v>
      </c>
      <c r="J11637" t="s">
        <v>32085</v>
      </c>
      <c r="K11637" t="s">
        <v>41185</v>
      </c>
      <c r="M11637" t="s">
        <v>41621</v>
      </c>
      <c r="N11637" t="s">
        <v>45095</v>
      </c>
      <c r="O11637" t="s">
        <v>45096</v>
      </c>
      <c r="P11637">
        <v>0</v>
      </c>
      <c r="Q11637">
        <v>6</v>
      </c>
      <c r="R11637" t="s">
        <v>45110</v>
      </c>
      <c r="S11637" t="s">
        <v>45605</v>
      </c>
      <c r="T11637" t="s">
        <v>47370</v>
      </c>
      <c r="U11637" t="s">
        <v>56982</v>
      </c>
      <c r="W11637" t="s">
        <v>41621</v>
      </c>
      <c r="X11637" t="s">
        <v>45115</v>
      </c>
    </row>
    <row r="11638" spans="1:24">
      <c r="A11638">
        <f>HYPERLINK("https://www.philgeps.gov.ph/GEPSNONPILOT/Tender/SplashBidNoticeAbstractUI.aspx?menuIndex=3&amp;refID=7016513&amp;Result=3","7016513")</f>
        <v>0</v>
      </c>
      <c r="B11638" t="s">
        <v>2862</v>
      </c>
      <c r="C11638" t="s">
        <v>14307</v>
      </c>
      <c r="D11638" t="s">
        <v>18053</v>
      </c>
      <c r="E11638" t="s">
        <v>28175</v>
      </c>
      <c r="F11638" t="s">
        <v>31574</v>
      </c>
      <c r="G11638" t="s">
        <v>31582</v>
      </c>
      <c r="H11638" t="s">
        <v>31591</v>
      </c>
      <c r="I11638" t="s">
        <v>8822</v>
      </c>
      <c r="J11638" t="s">
        <v>32026</v>
      </c>
      <c r="K11638" t="s">
        <v>41189</v>
      </c>
      <c r="M11638" t="s">
        <v>44652</v>
      </c>
      <c r="N11638" t="s">
        <v>45095</v>
      </c>
      <c r="O11638" t="s">
        <v>45096</v>
      </c>
      <c r="P11638">
        <v>0</v>
      </c>
      <c r="Q11638">
        <v>0</v>
      </c>
      <c r="R11638" t="s">
        <v>45110</v>
      </c>
      <c r="S11638" t="s">
        <v>45605</v>
      </c>
      <c r="T11638" t="s">
        <v>46910</v>
      </c>
      <c r="U11638" t="s">
        <v>56983</v>
      </c>
      <c r="W11638" t="s">
        <v>61760</v>
      </c>
      <c r="X11638" t="s">
        <v>45116</v>
      </c>
    </row>
    <row r="11639" spans="1:24">
      <c r="A11639">
        <f>HYPERLINK("https://www.philgeps.gov.ph/GEPSNONPILOT/Tender/SplashBidNoticeAbstractUI.aspx?menuIndex=3&amp;refID=7018187&amp;Result=3","7018187")</f>
        <v>0</v>
      </c>
      <c r="B11639" t="s">
        <v>2863</v>
      </c>
      <c r="C11639" t="s">
        <v>14308</v>
      </c>
      <c r="D11639" t="s">
        <v>18041</v>
      </c>
      <c r="E11639" t="s">
        <v>28176</v>
      </c>
      <c r="F11639" t="s">
        <v>31574</v>
      </c>
      <c r="G11639" t="s">
        <v>31582</v>
      </c>
      <c r="H11639" t="s">
        <v>31590</v>
      </c>
      <c r="I11639" t="s">
        <v>8822</v>
      </c>
      <c r="J11639" t="s">
        <v>38936</v>
      </c>
      <c r="K11639" t="s">
        <v>41287</v>
      </c>
      <c r="M11639" t="s">
        <v>44653</v>
      </c>
      <c r="N11639" t="s">
        <v>45095</v>
      </c>
      <c r="O11639" t="s">
        <v>45096</v>
      </c>
      <c r="P11639">
        <v>0</v>
      </c>
      <c r="Q11639">
        <v>3</v>
      </c>
      <c r="R11639" t="s">
        <v>45110</v>
      </c>
      <c r="S11639" t="s">
        <v>45605</v>
      </c>
      <c r="T11639" t="s">
        <v>46955</v>
      </c>
      <c r="U11639" t="s">
        <v>56984</v>
      </c>
      <c r="V11639" t="s">
        <v>61118</v>
      </c>
      <c r="W11639" t="s">
        <v>44653</v>
      </c>
      <c r="X11639" t="s">
        <v>45115</v>
      </c>
    </row>
    <row r="11640" spans="1:24">
      <c r="A11640">
        <f>HYPERLINK("https://www.philgeps.gov.ph/GEPSNONPILOT/Tender/SplashBidNoticeAbstractUI.aspx?menuIndex=3&amp;refID=7016861&amp;Result=3","7016861")</f>
        <v>0</v>
      </c>
      <c r="B11640" t="s">
        <v>363</v>
      </c>
      <c r="C11640" t="s">
        <v>14309</v>
      </c>
      <c r="D11640" t="s">
        <v>18044</v>
      </c>
      <c r="E11640" t="s">
        <v>28177</v>
      </c>
      <c r="F11640" t="s">
        <v>31574</v>
      </c>
      <c r="G11640" t="s">
        <v>31582</v>
      </c>
      <c r="H11640" t="s">
        <v>31591</v>
      </c>
      <c r="I11640" t="s">
        <v>8822</v>
      </c>
      <c r="J11640" t="s">
        <v>32510</v>
      </c>
      <c r="K11640" t="s">
        <v>41243</v>
      </c>
      <c r="M11640" t="s">
        <v>41853</v>
      </c>
      <c r="N11640" t="s">
        <v>45095</v>
      </c>
      <c r="O11640" t="s">
        <v>45096</v>
      </c>
      <c r="P11640">
        <v>0</v>
      </c>
      <c r="Q11640">
        <v>1</v>
      </c>
      <c r="R11640" t="s">
        <v>45110</v>
      </c>
      <c r="S11640" t="s">
        <v>45605</v>
      </c>
      <c r="T11640" t="s">
        <v>46922</v>
      </c>
      <c r="U11640" t="s">
        <v>56985</v>
      </c>
      <c r="W11640" t="s">
        <v>41853</v>
      </c>
      <c r="X11640" t="s">
        <v>45115</v>
      </c>
    </row>
    <row r="11641" spans="1:24">
      <c r="A11641">
        <f>HYPERLINK("https://www.philgeps.gov.ph/GEPSNONPILOT/Tender/SplashBidNoticeAbstractUI.aspx?menuIndex=3&amp;refID=7017649&amp;Result=3","7017649")</f>
        <v>0</v>
      </c>
      <c r="B11641" t="s">
        <v>2266</v>
      </c>
      <c r="C11641" t="s">
        <v>14310</v>
      </c>
      <c r="D11641" t="s">
        <v>18052</v>
      </c>
      <c r="E11641" t="s">
        <v>28178</v>
      </c>
      <c r="F11641" t="s">
        <v>31574</v>
      </c>
      <c r="G11641" t="s">
        <v>31582</v>
      </c>
      <c r="H11641" t="s">
        <v>31590</v>
      </c>
      <c r="I11641" t="s">
        <v>3487</v>
      </c>
      <c r="J11641" t="s">
        <v>38937</v>
      </c>
      <c r="K11641" t="s">
        <v>41196</v>
      </c>
      <c r="M11641" t="s">
        <v>43966</v>
      </c>
      <c r="N11641" t="s">
        <v>45095</v>
      </c>
      <c r="O11641" t="s">
        <v>45096</v>
      </c>
      <c r="P11641">
        <v>0</v>
      </c>
      <c r="Q11641">
        <v>4</v>
      </c>
      <c r="R11641" t="s">
        <v>45110</v>
      </c>
      <c r="S11641" t="s">
        <v>45605</v>
      </c>
      <c r="T11641" t="s">
        <v>46923</v>
      </c>
      <c r="U11641" t="s">
        <v>56986</v>
      </c>
      <c r="V11641" t="s">
        <v>61119</v>
      </c>
      <c r="W11641" t="s">
        <v>43966</v>
      </c>
      <c r="X11641" t="s">
        <v>45115</v>
      </c>
    </row>
    <row r="11642" spans="1:24">
      <c r="A11642">
        <f>HYPERLINK("https://www.philgeps.gov.ph/GEPSNONPILOT/Tender/SplashBidNoticeAbstractUI.aspx?menuIndex=3&amp;refID=7018815&amp;Result=3","7018815")</f>
        <v>0</v>
      </c>
      <c r="B11642" t="s">
        <v>956</v>
      </c>
      <c r="C11642" t="s">
        <v>14311</v>
      </c>
      <c r="D11642" t="s">
        <v>18094</v>
      </c>
      <c r="E11642" t="s">
        <v>28179</v>
      </c>
      <c r="F11642" t="s">
        <v>31574</v>
      </c>
      <c r="G11642" t="s">
        <v>31582</v>
      </c>
      <c r="H11642" t="s">
        <v>31591</v>
      </c>
      <c r="I11642" t="s">
        <v>8822</v>
      </c>
      <c r="J11642" t="s">
        <v>34070</v>
      </c>
      <c r="K11642" t="s">
        <v>41256</v>
      </c>
      <c r="M11642" t="s">
        <v>42483</v>
      </c>
      <c r="N11642" t="s">
        <v>45095</v>
      </c>
      <c r="O11642" t="s">
        <v>45096</v>
      </c>
      <c r="P11642">
        <v>0</v>
      </c>
      <c r="Q11642">
        <v>0</v>
      </c>
      <c r="R11642" t="s">
        <v>45110</v>
      </c>
      <c r="S11642" t="s">
        <v>45605</v>
      </c>
      <c r="T11642" t="s">
        <v>46955</v>
      </c>
      <c r="U11642" t="s">
        <v>56987</v>
      </c>
      <c r="V11642" t="s">
        <v>61120</v>
      </c>
      <c r="W11642" t="s">
        <v>42483</v>
      </c>
      <c r="X11642" t="s">
        <v>45114</v>
      </c>
    </row>
    <row r="11643" spans="1:24">
      <c r="A11643">
        <f>HYPERLINK("https://www.philgeps.gov.ph/GEPSNONPILOT/Tender/SplashBidNoticeAbstractUI.aspx?menuIndex=3&amp;refID=7015714&amp;Result=3","7015714")</f>
        <v>0</v>
      </c>
      <c r="B11643" t="s">
        <v>813</v>
      </c>
      <c r="C11643" t="s">
        <v>14312</v>
      </c>
      <c r="D11643" t="s">
        <v>18027</v>
      </c>
      <c r="E11643" t="s">
        <v>19856</v>
      </c>
      <c r="F11643" t="s">
        <v>31574</v>
      </c>
      <c r="G11643" t="s">
        <v>31583</v>
      </c>
      <c r="H11643" t="s">
        <v>31590</v>
      </c>
      <c r="I11643" t="s">
        <v>31619</v>
      </c>
      <c r="J11643" t="s">
        <v>31780</v>
      </c>
      <c r="K11643" t="s">
        <v>41190</v>
      </c>
      <c r="M11643" t="s">
        <v>42329</v>
      </c>
      <c r="N11643" t="s">
        <v>45095</v>
      </c>
      <c r="O11643" t="s">
        <v>45096</v>
      </c>
      <c r="P11643">
        <v>0</v>
      </c>
      <c r="Q11643">
        <v>5</v>
      </c>
      <c r="R11643" t="s">
        <v>45110</v>
      </c>
      <c r="S11643" t="s">
        <v>45605</v>
      </c>
      <c r="T11643" t="s">
        <v>46989</v>
      </c>
      <c r="U11643" t="s">
        <v>56988</v>
      </c>
      <c r="W11643" t="s">
        <v>42329</v>
      </c>
      <c r="X11643" t="s">
        <v>45116</v>
      </c>
    </row>
    <row r="11644" spans="1:24">
      <c r="A11644">
        <f>HYPERLINK("https://www.philgeps.gov.ph/GEPSNONPILOT/Tender/SplashBidNoticeAbstractUI.aspx?menuIndex=3&amp;refID=7018321&amp;Result=3","7018321")</f>
        <v>0</v>
      </c>
      <c r="B11644" t="s">
        <v>121</v>
      </c>
      <c r="C11644" t="s">
        <v>14313</v>
      </c>
      <c r="D11644" t="s">
        <v>18023</v>
      </c>
      <c r="E11644" t="s">
        <v>28180</v>
      </c>
      <c r="F11644" t="s">
        <v>31574</v>
      </c>
      <c r="G11644" t="s">
        <v>31582</v>
      </c>
      <c r="H11644" t="s">
        <v>31591</v>
      </c>
      <c r="I11644" t="s">
        <v>8822</v>
      </c>
      <c r="J11644" t="s">
        <v>38938</v>
      </c>
      <c r="K11644" t="s">
        <v>41243</v>
      </c>
      <c r="L11644" t="s">
        <v>121</v>
      </c>
      <c r="M11644" t="s">
        <v>41605</v>
      </c>
      <c r="N11644" t="s">
        <v>45095</v>
      </c>
      <c r="O11644" t="s">
        <v>45096</v>
      </c>
      <c r="P11644">
        <v>0</v>
      </c>
      <c r="Q11644">
        <v>39</v>
      </c>
      <c r="R11644" t="s">
        <v>45110</v>
      </c>
      <c r="S11644" t="s">
        <v>45605</v>
      </c>
      <c r="T11644" t="s">
        <v>46979</v>
      </c>
      <c r="U11644" t="s">
        <v>56989</v>
      </c>
      <c r="V11644" t="s">
        <v>61121</v>
      </c>
      <c r="W11644" t="s">
        <v>41605</v>
      </c>
      <c r="X11644" t="s">
        <v>45115</v>
      </c>
    </row>
    <row r="11645" spans="1:24">
      <c r="A11645">
        <f>HYPERLINK("https://www.philgeps.gov.ph/GEPSNONPILOT/Tender/SplashBidNoticeAbstractUI.aspx?menuIndex=3&amp;refID=7018819&amp;Result=3","7018819")</f>
        <v>0</v>
      </c>
      <c r="B11645" t="s">
        <v>956</v>
      </c>
      <c r="C11645" t="s">
        <v>14314</v>
      </c>
      <c r="D11645" t="s">
        <v>18094</v>
      </c>
      <c r="E11645" t="s">
        <v>28181</v>
      </c>
      <c r="F11645" t="s">
        <v>31574</v>
      </c>
      <c r="G11645" t="s">
        <v>31582</v>
      </c>
      <c r="H11645" t="s">
        <v>31591</v>
      </c>
      <c r="I11645" t="s">
        <v>8822</v>
      </c>
      <c r="J11645" t="s">
        <v>38939</v>
      </c>
      <c r="K11645" t="s">
        <v>41437</v>
      </c>
      <c r="M11645" t="s">
        <v>42483</v>
      </c>
      <c r="N11645" t="s">
        <v>45095</v>
      </c>
      <c r="O11645" t="s">
        <v>45096</v>
      </c>
      <c r="P11645">
        <v>0</v>
      </c>
      <c r="Q11645">
        <v>0</v>
      </c>
      <c r="R11645" t="s">
        <v>45110</v>
      </c>
      <c r="S11645" t="s">
        <v>45605</v>
      </c>
      <c r="T11645" t="s">
        <v>46955</v>
      </c>
      <c r="U11645" t="s">
        <v>56990</v>
      </c>
      <c r="V11645" t="s">
        <v>61122</v>
      </c>
      <c r="W11645" t="s">
        <v>42483</v>
      </c>
      <c r="X11645" t="s">
        <v>45114</v>
      </c>
    </row>
    <row r="11646" spans="1:24">
      <c r="A11646">
        <f>HYPERLINK("https://www.philgeps.gov.ph/GEPSNONPILOT/Tender/SplashBidNoticeAbstractUI.aspx?menuIndex=3&amp;refID=7018021&amp;Result=3","7018021")</f>
        <v>0</v>
      </c>
      <c r="B11646" t="s">
        <v>2266</v>
      </c>
      <c r="C11646" t="s">
        <v>14315</v>
      </c>
      <c r="D11646" t="s">
        <v>18052</v>
      </c>
      <c r="E11646" t="s">
        <v>28182</v>
      </c>
      <c r="F11646" t="s">
        <v>31574</v>
      </c>
      <c r="G11646" t="s">
        <v>31582</v>
      </c>
      <c r="H11646" t="s">
        <v>31590</v>
      </c>
      <c r="I11646" t="s">
        <v>3487</v>
      </c>
      <c r="J11646" t="s">
        <v>31727</v>
      </c>
      <c r="K11646" t="s">
        <v>41196</v>
      </c>
      <c r="M11646" t="s">
        <v>43966</v>
      </c>
      <c r="N11646" t="s">
        <v>45095</v>
      </c>
      <c r="O11646" t="s">
        <v>45096</v>
      </c>
      <c r="P11646">
        <v>0</v>
      </c>
      <c r="Q11646">
        <v>3</v>
      </c>
      <c r="R11646" t="s">
        <v>45110</v>
      </c>
      <c r="S11646" t="s">
        <v>45605</v>
      </c>
      <c r="T11646" t="s">
        <v>46923</v>
      </c>
      <c r="U11646" t="s">
        <v>56991</v>
      </c>
      <c r="V11646" t="s">
        <v>61123</v>
      </c>
      <c r="W11646" t="s">
        <v>43966</v>
      </c>
      <c r="X11646" t="s">
        <v>45115</v>
      </c>
    </row>
    <row r="11647" spans="1:24">
      <c r="A11647">
        <f>HYPERLINK("https://www.philgeps.gov.ph/GEPSNONPILOT/Tender/SplashBidNoticeAbstractUI.aspx?menuIndex=3&amp;refID=7018820&amp;Result=3","7018820")</f>
        <v>0</v>
      </c>
      <c r="B11647" t="s">
        <v>956</v>
      </c>
      <c r="C11647" t="s">
        <v>14316</v>
      </c>
      <c r="D11647" t="s">
        <v>18094</v>
      </c>
      <c r="E11647" t="s">
        <v>28183</v>
      </c>
      <c r="F11647" t="s">
        <v>31574</v>
      </c>
      <c r="G11647" t="s">
        <v>31582</v>
      </c>
      <c r="H11647" t="s">
        <v>31591</v>
      </c>
      <c r="I11647" t="s">
        <v>8822</v>
      </c>
      <c r="J11647" t="s">
        <v>34662</v>
      </c>
      <c r="K11647" t="s">
        <v>41192</v>
      </c>
      <c r="M11647" t="s">
        <v>42483</v>
      </c>
      <c r="N11647" t="s">
        <v>45095</v>
      </c>
      <c r="O11647" t="s">
        <v>45096</v>
      </c>
      <c r="P11647">
        <v>0</v>
      </c>
      <c r="Q11647">
        <v>0</v>
      </c>
      <c r="R11647" t="s">
        <v>45110</v>
      </c>
      <c r="S11647" t="s">
        <v>45605</v>
      </c>
      <c r="T11647" t="s">
        <v>46955</v>
      </c>
      <c r="U11647" t="s">
        <v>56990</v>
      </c>
      <c r="V11647" t="s">
        <v>61124</v>
      </c>
      <c r="W11647" t="s">
        <v>42483</v>
      </c>
      <c r="X11647" t="s">
        <v>45114</v>
      </c>
    </row>
    <row r="11648" spans="1:24">
      <c r="A11648">
        <f>HYPERLINK("https://www.philgeps.gov.ph/GEPSNONPILOT/Tender/SplashBidNoticeAbstractUI.aspx?menuIndex=3&amp;refID=7019194&amp;Result=3","7019194")</f>
        <v>0</v>
      </c>
      <c r="B11648" t="s">
        <v>38</v>
      </c>
      <c r="C11648" t="s">
        <v>14317</v>
      </c>
      <c r="D11648" t="s">
        <v>18033</v>
      </c>
      <c r="E11648" t="s">
        <v>28184</v>
      </c>
      <c r="F11648" t="s">
        <v>31574</v>
      </c>
      <c r="G11648" t="s">
        <v>31582</v>
      </c>
      <c r="H11648" t="s">
        <v>31590</v>
      </c>
      <c r="I11648" t="s">
        <v>31614</v>
      </c>
      <c r="J11648" t="s">
        <v>34402</v>
      </c>
      <c r="K11648" t="s">
        <v>41193</v>
      </c>
      <c r="M11648" t="s">
        <v>41521</v>
      </c>
      <c r="N11648" t="s">
        <v>45095</v>
      </c>
      <c r="O11648" t="s">
        <v>45096</v>
      </c>
      <c r="Q11648">
        <v>0</v>
      </c>
      <c r="R11648" t="s">
        <v>45110</v>
      </c>
      <c r="S11648" t="s">
        <v>45618</v>
      </c>
      <c r="T11648" t="s">
        <v>46930</v>
      </c>
      <c r="U11648" t="s">
        <v>56992</v>
      </c>
      <c r="V11648" t="s">
        <v>60085</v>
      </c>
      <c r="W11648" t="s">
        <v>41521</v>
      </c>
      <c r="X11648" t="s">
        <v>45112</v>
      </c>
    </row>
    <row r="11649" spans="1:24">
      <c r="A11649">
        <f>HYPERLINK("https://www.philgeps.gov.ph/GEPSNONPILOT/Tender/SplashBidNoticeAbstractUI.aspx?menuIndex=3&amp;refID=7019188&amp;Result=3","7019188")</f>
        <v>0</v>
      </c>
      <c r="B11649" t="s">
        <v>38</v>
      </c>
      <c r="C11649" t="s">
        <v>14318</v>
      </c>
      <c r="D11649" t="s">
        <v>18033</v>
      </c>
      <c r="E11649" t="s">
        <v>28185</v>
      </c>
      <c r="F11649" t="s">
        <v>31574</v>
      </c>
      <c r="G11649" t="s">
        <v>31582</v>
      </c>
      <c r="H11649" t="s">
        <v>31590</v>
      </c>
      <c r="I11649" t="s">
        <v>31614</v>
      </c>
      <c r="J11649" t="s">
        <v>34457</v>
      </c>
      <c r="K11649" t="s">
        <v>41193</v>
      </c>
      <c r="M11649" t="s">
        <v>41521</v>
      </c>
      <c r="N11649" t="s">
        <v>45095</v>
      </c>
      <c r="O11649" t="s">
        <v>45096</v>
      </c>
      <c r="Q11649">
        <v>0</v>
      </c>
      <c r="R11649" t="s">
        <v>45110</v>
      </c>
      <c r="S11649" t="s">
        <v>45619</v>
      </c>
      <c r="T11649" t="s">
        <v>46930</v>
      </c>
      <c r="U11649" t="s">
        <v>56993</v>
      </c>
      <c r="V11649" t="s">
        <v>60085</v>
      </c>
      <c r="W11649" t="s">
        <v>41521</v>
      </c>
      <c r="X11649" t="s">
        <v>45112</v>
      </c>
    </row>
    <row r="11650" spans="1:24">
      <c r="A11650">
        <f>HYPERLINK("https://www.philgeps.gov.ph/GEPSNONPILOT/Tender/SplashBidNoticeAbstractUI.aspx?menuIndex=3&amp;refID=7019205&amp;Result=3","7019205")</f>
        <v>0</v>
      </c>
      <c r="B11650" t="s">
        <v>38</v>
      </c>
      <c r="C11650" t="s">
        <v>14319</v>
      </c>
      <c r="D11650" t="s">
        <v>18033</v>
      </c>
      <c r="E11650" t="s">
        <v>28186</v>
      </c>
      <c r="F11650" t="s">
        <v>31574</v>
      </c>
      <c r="G11650" t="s">
        <v>31582</v>
      </c>
      <c r="H11650" t="s">
        <v>31590</v>
      </c>
      <c r="I11650" t="s">
        <v>31614</v>
      </c>
      <c r="J11650" t="s">
        <v>38940</v>
      </c>
      <c r="K11650" t="s">
        <v>41193</v>
      </c>
      <c r="M11650" t="s">
        <v>41521</v>
      </c>
      <c r="N11650" t="s">
        <v>45095</v>
      </c>
      <c r="O11650" t="s">
        <v>45096</v>
      </c>
      <c r="Q11650">
        <v>0</v>
      </c>
      <c r="R11650" t="s">
        <v>45110</v>
      </c>
      <c r="S11650" t="s">
        <v>45620</v>
      </c>
      <c r="T11650" t="s">
        <v>46930</v>
      </c>
      <c r="U11650" t="s">
        <v>56994</v>
      </c>
      <c r="V11650" t="s">
        <v>60085</v>
      </c>
      <c r="W11650" t="s">
        <v>41521</v>
      </c>
      <c r="X11650" t="s">
        <v>45112</v>
      </c>
    </row>
    <row r="11651" spans="1:24">
      <c r="A11651">
        <f>HYPERLINK("https://www.philgeps.gov.ph/GEPSNONPILOT/Tender/SplashBidNoticeAbstractUI.aspx?menuIndex=3&amp;refID=7020301&amp;Result=3","7020301")</f>
        <v>0</v>
      </c>
      <c r="B11651" t="s">
        <v>2864</v>
      </c>
      <c r="C11651" t="s">
        <v>14320</v>
      </c>
      <c r="D11651" t="s">
        <v>18033</v>
      </c>
      <c r="E11651" t="s">
        <v>22892</v>
      </c>
      <c r="F11651" t="s">
        <v>31574</v>
      </c>
      <c r="G11651" t="s">
        <v>31582</v>
      </c>
      <c r="H11651" t="s">
        <v>31590</v>
      </c>
      <c r="I11651" t="s">
        <v>4046</v>
      </c>
      <c r="J11651" t="s">
        <v>31766</v>
      </c>
      <c r="K11651" t="s">
        <v>41193</v>
      </c>
      <c r="M11651" t="s">
        <v>44654</v>
      </c>
      <c r="N11651" t="s">
        <v>45095</v>
      </c>
      <c r="O11651" t="s">
        <v>45096</v>
      </c>
      <c r="P11651">
        <v>0</v>
      </c>
      <c r="Q11651">
        <v>0</v>
      </c>
      <c r="R11651" t="s">
        <v>45110</v>
      </c>
      <c r="S11651" t="s">
        <v>45605</v>
      </c>
      <c r="T11651" t="s">
        <v>46994</v>
      </c>
      <c r="U11651" t="s">
        <v>56995</v>
      </c>
      <c r="W11651" t="s">
        <v>44654</v>
      </c>
      <c r="X11651" t="s">
        <v>45112</v>
      </c>
    </row>
    <row r="11652" spans="1:24">
      <c r="A11652">
        <f>HYPERLINK("https://www.philgeps.gov.ph/GEPSNONPILOT/Tender/SplashBidNoticeAbstractUI.aspx?menuIndex=3&amp;refID=7020302&amp;Result=3","7020302")</f>
        <v>0</v>
      </c>
      <c r="B11652" t="s">
        <v>159</v>
      </c>
      <c r="C11652" t="s">
        <v>14321</v>
      </c>
      <c r="D11652" t="s">
        <v>18046</v>
      </c>
      <c r="E11652" t="s">
        <v>28187</v>
      </c>
      <c r="F11652" t="s">
        <v>31574</v>
      </c>
      <c r="G11652" t="s">
        <v>31582</v>
      </c>
      <c r="H11652" t="s">
        <v>31590</v>
      </c>
      <c r="I11652" t="s">
        <v>31614</v>
      </c>
      <c r="J11652" t="s">
        <v>32101</v>
      </c>
      <c r="K11652" t="s">
        <v>41186</v>
      </c>
      <c r="M11652" t="s">
        <v>43387</v>
      </c>
      <c r="N11652" t="s">
        <v>45095</v>
      </c>
      <c r="O11652" t="s">
        <v>45096</v>
      </c>
      <c r="P11652">
        <v>0</v>
      </c>
      <c r="Q11652">
        <v>2</v>
      </c>
      <c r="R11652" t="s">
        <v>45110</v>
      </c>
      <c r="S11652" t="s">
        <v>45605</v>
      </c>
      <c r="T11652" t="s">
        <v>46914</v>
      </c>
      <c r="U11652" t="s">
        <v>47772</v>
      </c>
      <c r="V11652" t="s">
        <v>59890</v>
      </c>
      <c r="W11652" t="s">
        <v>43387</v>
      </c>
      <c r="X11652" t="s">
        <v>45112</v>
      </c>
    </row>
    <row r="11653" spans="1:24">
      <c r="A11653">
        <f>HYPERLINK("https://www.philgeps.gov.ph/GEPSNONPILOT/Tender/SplashBidNoticeAbstractUI.aspx?menuIndex=3&amp;refID=7020245&amp;Result=3","7020245")</f>
        <v>0</v>
      </c>
      <c r="B11653" t="s">
        <v>2865</v>
      </c>
      <c r="C11653" t="s">
        <v>14322</v>
      </c>
      <c r="D11653" t="s">
        <v>18066</v>
      </c>
      <c r="E11653" t="s">
        <v>28188</v>
      </c>
      <c r="F11653" t="s">
        <v>31574</v>
      </c>
      <c r="G11653" t="s">
        <v>31582</v>
      </c>
      <c r="H11653" t="s">
        <v>31591</v>
      </c>
      <c r="I11653" t="s">
        <v>8822</v>
      </c>
      <c r="J11653" t="s">
        <v>38941</v>
      </c>
      <c r="K11653" t="s">
        <v>41189</v>
      </c>
      <c r="M11653" t="s">
        <v>44655</v>
      </c>
      <c r="N11653" t="s">
        <v>45095</v>
      </c>
      <c r="O11653" t="s">
        <v>45096</v>
      </c>
      <c r="P11653">
        <v>0</v>
      </c>
      <c r="Q11653">
        <v>2</v>
      </c>
      <c r="R11653" t="s">
        <v>45110</v>
      </c>
      <c r="S11653" t="s">
        <v>45605</v>
      </c>
      <c r="T11653" t="s">
        <v>46926</v>
      </c>
      <c r="U11653" t="s">
        <v>56996</v>
      </c>
      <c r="W11653" t="s">
        <v>61761</v>
      </c>
      <c r="X11653" t="s">
        <v>45112</v>
      </c>
    </row>
    <row r="11654" spans="1:24">
      <c r="A11654">
        <f>HYPERLINK("https://www.philgeps.gov.ph/GEPSNONPILOT/Tender/SplashBidNoticeAbstractUI.aspx?menuIndex=3&amp;refID=7020150&amp;Result=3","7020150")</f>
        <v>0</v>
      </c>
      <c r="B11654" t="s">
        <v>1013</v>
      </c>
      <c r="C11654" t="s">
        <v>14323</v>
      </c>
      <c r="D11654" t="s">
        <v>18070</v>
      </c>
      <c r="E11654" t="s">
        <v>28189</v>
      </c>
      <c r="F11654" t="s">
        <v>31574</v>
      </c>
      <c r="G11654" t="s">
        <v>31582</v>
      </c>
      <c r="H11654" t="s">
        <v>31590</v>
      </c>
      <c r="I11654" t="s">
        <v>4046</v>
      </c>
      <c r="J11654" t="s">
        <v>38942</v>
      </c>
      <c r="K11654" t="s">
        <v>41186</v>
      </c>
      <c r="M11654" t="s">
        <v>42553</v>
      </c>
      <c r="N11654" t="s">
        <v>45095</v>
      </c>
      <c r="O11654" t="s">
        <v>45096</v>
      </c>
      <c r="P11654">
        <v>0</v>
      </c>
      <c r="Q11654">
        <v>3</v>
      </c>
      <c r="R11654" t="s">
        <v>45110</v>
      </c>
      <c r="S11654" t="s">
        <v>45605</v>
      </c>
      <c r="T11654" t="s">
        <v>46979</v>
      </c>
      <c r="U11654" t="s">
        <v>49752</v>
      </c>
      <c r="W11654" t="s">
        <v>42553</v>
      </c>
      <c r="X11654" t="s">
        <v>45112</v>
      </c>
    </row>
    <row r="11655" spans="1:24">
      <c r="A11655">
        <f>HYPERLINK("https://www.philgeps.gov.ph/GEPSNONPILOT/Tender/SplashBidNoticeAbstractUI.aspx?menuIndex=3&amp;refID=7020284&amp;Result=3","7020284")</f>
        <v>0</v>
      </c>
      <c r="B11655" t="s">
        <v>159</v>
      </c>
      <c r="C11655" t="s">
        <v>14324</v>
      </c>
      <c r="D11655" t="s">
        <v>18046</v>
      </c>
      <c r="E11655" t="s">
        <v>28190</v>
      </c>
      <c r="F11655" t="s">
        <v>31574</v>
      </c>
      <c r="G11655" t="s">
        <v>31582</v>
      </c>
      <c r="H11655" t="s">
        <v>31590</v>
      </c>
      <c r="I11655" t="s">
        <v>31599</v>
      </c>
      <c r="J11655" t="s">
        <v>33327</v>
      </c>
      <c r="K11655" t="s">
        <v>41186</v>
      </c>
      <c r="M11655" t="s">
        <v>43387</v>
      </c>
      <c r="N11655" t="s">
        <v>45095</v>
      </c>
      <c r="O11655" t="s">
        <v>45096</v>
      </c>
      <c r="P11655">
        <v>0</v>
      </c>
      <c r="Q11655">
        <v>4</v>
      </c>
      <c r="R11655" t="s">
        <v>45110</v>
      </c>
      <c r="S11655" t="s">
        <v>45605</v>
      </c>
      <c r="T11655" t="s">
        <v>46914</v>
      </c>
      <c r="U11655" t="s">
        <v>47772</v>
      </c>
      <c r="V11655" t="s">
        <v>59890</v>
      </c>
      <c r="W11655" t="s">
        <v>43387</v>
      </c>
      <c r="X11655" t="s">
        <v>45112</v>
      </c>
    </row>
    <row r="11656" spans="1:24">
      <c r="A11656">
        <f>HYPERLINK("https://www.philgeps.gov.ph/GEPSNONPILOT/Tender/SplashBidNoticeAbstractUI.aspx?menuIndex=3&amp;refID=7020262&amp;Result=3","7020262")</f>
        <v>0</v>
      </c>
      <c r="B11656" t="s">
        <v>1013</v>
      </c>
      <c r="C11656" t="s">
        <v>14325</v>
      </c>
      <c r="D11656" t="s">
        <v>18070</v>
      </c>
      <c r="E11656" t="s">
        <v>28191</v>
      </c>
      <c r="F11656" t="s">
        <v>31574</v>
      </c>
      <c r="G11656" t="s">
        <v>31582</v>
      </c>
      <c r="H11656" t="s">
        <v>31591</v>
      </c>
      <c r="I11656" t="s">
        <v>8822</v>
      </c>
      <c r="J11656" t="s">
        <v>33252</v>
      </c>
      <c r="K11656" t="s">
        <v>41189</v>
      </c>
      <c r="M11656" t="s">
        <v>42553</v>
      </c>
      <c r="N11656" t="s">
        <v>45095</v>
      </c>
      <c r="O11656" t="s">
        <v>45096</v>
      </c>
      <c r="P11656">
        <v>0</v>
      </c>
      <c r="Q11656">
        <v>0</v>
      </c>
      <c r="R11656" t="s">
        <v>45110</v>
      </c>
      <c r="S11656" t="s">
        <v>45605</v>
      </c>
      <c r="T11656" t="s">
        <v>46979</v>
      </c>
      <c r="U11656" t="s">
        <v>49752</v>
      </c>
      <c r="W11656" t="s">
        <v>42553</v>
      </c>
      <c r="X11656" t="s">
        <v>45112</v>
      </c>
    </row>
    <row r="11657" spans="1:24">
      <c r="A11657">
        <f>HYPERLINK("https://www.philgeps.gov.ph/GEPSNONPILOT/Tender/SplashBidNoticeAbstractUI.aspx?menuIndex=3&amp;refID=7020299&amp;Result=3","7020299")</f>
        <v>0</v>
      </c>
      <c r="B11657" t="s">
        <v>1308</v>
      </c>
      <c r="C11657" t="s">
        <v>7465</v>
      </c>
      <c r="D11657" t="s">
        <v>18040</v>
      </c>
      <c r="E11657" t="s">
        <v>28192</v>
      </c>
      <c r="F11657" t="s">
        <v>31574</v>
      </c>
      <c r="G11657" t="s">
        <v>31582</v>
      </c>
      <c r="H11657" t="s">
        <v>31590</v>
      </c>
      <c r="I11657" t="s">
        <v>7185</v>
      </c>
      <c r="J11657" t="s">
        <v>38943</v>
      </c>
      <c r="K11657" t="s">
        <v>41184</v>
      </c>
      <c r="M11657" t="s">
        <v>42878</v>
      </c>
      <c r="N11657" t="s">
        <v>45095</v>
      </c>
      <c r="O11657" t="s">
        <v>45096</v>
      </c>
      <c r="P11657">
        <v>0</v>
      </c>
      <c r="Q11657">
        <v>9</v>
      </c>
      <c r="R11657" t="s">
        <v>45110</v>
      </c>
      <c r="S11657" t="s">
        <v>45605</v>
      </c>
      <c r="T11657" t="s">
        <v>46922</v>
      </c>
      <c r="U11657" t="s">
        <v>56997</v>
      </c>
      <c r="W11657" t="s">
        <v>42878</v>
      </c>
      <c r="X11657" t="s">
        <v>45112</v>
      </c>
    </row>
    <row r="11658" spans="1:24">
      <c r="A11658">
        <f>HYPERLINK("https://www.philgeps.gov.ph/GEPSNONPILOT/Tender/SplashBidNoticeAbstractUI.aspx?menuIndex=3&amp;refID=7020363&amp;Result=3","7020363")</f>
        <v>0</v>
      </c>
      <c r="B11658" t="s">
        <v>1308</v>
      </c>
      <c r="C11658" t="s">
        <v>14326</v>
      </c>
      <c r="D11658" t="s">
        <v>18040</v>
      </c>
      <c r="E11658" t="s">
        <v>28193</v>
      </c>
      <c r="F11658" t="s">
        <v>31574</v>
      </c>
      <c r="G11658" t="s">
        <v>31582</v>
      </c>
      <c r="H11658" t="s">
        <v>31590</v>
      </c>
      <c r="I11658" t="s">
        <v>14544</v>
      </c>
      <c r="J11658" t="s">
        <v>36170</v>
      </c>
      <c r="K11658" t="s">
        <v>41184</v>
      </c>
      <c r="M11658" t="s">
        <v>42878</v>
      </c>
      <c r="N11658" t="s">
        <v>45095</v>
      </c>
      <c r="O11658" t="s">
        <v>45096</v>
      </c>
      <c r="P11658">
        <v>0</v>
      </c>
      <c r="Q11658">
        <v>1</v>
      </c>
      <c r="R11658" t="s">
        <v>45110</v>
      </c>
      <c r="S11658" t="s">
        <v>45605</v>
      </c>
      <c r="T11658" t="s">
        <v>46922</v>
      </c>
      <c r="U11658" t="s">
        <v>56998</v>
      </c>
      <c r="W11658" t="s">
        <v>42878</v>
      </c>
      <c r="X11658" t="s">
        <v>45112</v>
      </c>
    </row>
    <row r="11659" spans="1:24">
      <c r="A11659">
        <f>HYPERLINK("https://www.philgeps.gov.ph/GEPSNONPILOT/Tender/SplashBidNoticeAbstractUI.aspx?menuIndex=3&amp;refID=7020230&amp;Result=3","7020230")</f>
        <v>0</v>
      </c>
      <c r="B11659" t="s">
        <v>1013</v>
      </c>
      <c r="C11659" t="s">
        <v>14327</v>
      </c>
      <c r="D11659" t="s">
        <v>18070</v>
      </c>
      <c r="E11659" t="s">
        <v>28194</v>
      </c>
      <c r="F11659" t="s">
        <v>31574</v>
      </c>
      <c r="G11659" t="s">
        <v>31582</v>
      </c>
      <c r="H11659" t="s">
        <v>31591</v>
      </c>
      <c r="I11659" t="s">
        <v>8822</v>
      </c>
      <c r="J11659" t="s">
        <v>34070</v>
      </c>
      <c r="K11659" t="s">
        <v>41189</v>
      </c>
      <c r="M11659" t="s">
        <v>42553</v>
      </c>
      <c r="N11659" t="s">
        <v>45095</v>
      </c>
      <c r="O11659" t="s">
        <v>45096</v>
      </c>
      <c r="P11659">
        <v>0</v>
      </c>
      <c r="Q11659">
        <v>1</v>
      </c>
      <c r="R11659" t="s">
        <v>45110</v>
      </c>
      <c r="S11659" t="s">
        <v>45605</v>
      </c>
      <c r="T11659" t="s">
        <v>46979</v>
      </c>
      <c r="U11659" t="s">
        <v>49752</v>
      </c>
      <c r="W11659" t="s">
        <v>42553</v>
      </c>
      <c r="X11659" t="s">
        <v>45112</v>
      </c>
    </row>
    <row r="11660" spans="1:24">
      <c r="A11660">
        <f>HYPERLINK("https://www.philgeps.gov.ph/GEPSNONPILOT/Tender/SplashBidNoticeAbstractUI.aspx?menuIndex=3&amp;refID=7019345&amp;Result=3","7019345")</f>
        <v>0</v>
      </c>
      <c r="B11660" t="s">
        <v>2049</v>
      </c>
      <c r="C11660" t="s">
        <v>14328</v>
      </c>
      <c r="D11660" t="s">
        <v>18072</v>
      </c>
      <c r="E11660" t="s">
        <v>28195</v>
      </c>
      <c r="F11660" t="s">
        <v>31574</v>
      </c>
      <c r="G11660" t="s">
        <v>31581</v>
      </c>
      <c r="H11660" t="s">
        <v>31590</v>
      </c>
      <c r="I11660" t="s">
        <v>6800</v>
      </c>
      <c r="J11660" t="s">
        <v>38944</v>
      </c>
      <c r="K11660" t="s">
        <v>41184</v>
      </c>
      <c r="M11660" t="s">
        <v>43717</v>
      </c>
      <c r="N11660" t="s">
        <v>45095</v>
      </c>
      <c r="O11660" t="s">
        <v>45096</v>
      </c>
      <c r="P11660">
        <v>0</v>
      </c>
      <c r="Q11660">
        <v>1</v>
      </c>
      <c r="R11660" t="s">
        <v>45110</v>
      </c>
      <c r="S11660" t="s">
        <v>45605</v>
      </c>
      <c r="T11660" t="s">
        <v>47154</v>
      </c>
      <c r="U11660" t="s">
        <v>53115</v>
      </c>
      <c r="W11660" t="s">
        <v>43717</v>
      </c>
      <c r="X11660" t="s">
        <v>45112</v>
      </c>
    </row>
    <row r="11661" spans="1:24">
      <c r="A11661">
        <f>HYPERLINK("https://www.philgeps.gov.ph/GEPSNONPILOT/Tender/SplashBidNoticeAbstractUI.aspx?menuIndex=3&amp;refID=7020347&amp;Result=3","7020347")</f>
        <v>0</v>
      </c>
      <c r="B11661" t="s">
        <v>1308</v>
      </c>
      <c r="C11661" t="s">
        <v>14329</v>
      </c>
      <c r="D11661" t="s">
        <v>18040</v>
      </c>
      <c r="E11661" t="s">
        <v>28196</v>
      </c>
      <c r="F11661" t="s">
        <v>31574</v>
      </c>
      <c r="G11661" t="s">
        <v>31582</v>
      </c>
      <c r="H11661" t="s">
        <v>31590</v>
      </c>
      <c r="I11661" t="s">
        <v>14544</v>
      </c>
      <c r="J11661" t="s">
        <v>38945</v>
      </c>
      <c r="K11661" t="s">
        <v>41184</v>
      </c>
      <c r="M11661" t="s">
        <v>42878</v>
      </c>
      <c r="N11661" t="s">
        <v>45095</v>
      </c>
      <c r="O11661" t="s">
        <v>45096</v>
      </c>
      <c r="P11661">
        <v>0</v>
      </c>
      <c r="Q11661">
        <v>1</v>
      </c>
      <c r="R11661" t="s">
        <v>45110</v>
      </c>
      <c r="S11661" t="s">
        <v>45605</v>
      </c>
      <c r="T11661" t="s">
        <v>46922</v>
      </c>
      <c r="U11661" t="s">
        <v>56999</v>
      </c>
      <c r="W11661" t="s">
        <v>42878</v>
      </c>
      <c r="X11661" t="s">
        <v>45112</v>
      </c>
    </row>
    <row r="11662" spans="1:24">
      <c r="A11662">
        <f>HYPERLINK("https://www.philgeps.gov.ph/GEPSNONPILOT/Tender/SplashBidNoticeAbstractUI.aspx?menuIndex=3&amp;refID=7020489&amp;Result=3","7020489")</f>
        <v>0</v>
      </c>
      <c r="B11662" t="s">
        <v>1308</v>
      </c>
      <c r="C11662" t="s">
        <v>14330</v>
      </c>
      <c r="D11662" t="s">
        <v>18040</v>
      </c>
      <c r="E11662" t="s">
        <v>28197</v>
      </c>
      <c r="F11662" t="s">
        <v>31574</v>
      </c>
      <c r="G11662" t="s">
        <v>31582</v>
      </c>
      <c r="H11662" t="s">
        <v>31591</v>
      </c>
      <c r="I11662" t="s">
        <v>8822</v>
      </c>
      <c r="J11662" t="s">
        <v>38946</v>
      </c>
      <c r="K11662" t="s">
        <v>41184</v>
      </c>
      <c r="M11662" t="s">
        <v>42878</v>
      </c>
      <c r="N11662" t="s">
        <v>45095</v>
      </c>
      <c r="O11662" t="s">
        <v>45096</v>
      </c>
      <c r="P11662">
        <v>0</v>
      </c>
      <c r="Q11662">
        <v>2</v>
      </c>
      <c r="R11662" t="s">
        <v>45110</v>
      </c>
      <c r="S11662" t="s">
        <v>45605</v>
      </c>
      <c r="T11662" t="s">
        <v>46922</v>
      </c>
      <c r="U11662" t="s">
        <v>57000</v>
      </c>
      <c r="W11662" t="s">
        <v>42878</v>
      </c>
      <c r="X11662" t="s">
        <v>45112</v>
      </c>
    </row>
    <row r="11663" spans="1:24">
      <c r="A11663">
        <f>HYPERLINK("https://www.philgeps.gov.ph/GEPSNONPILOT/Tender/SplashBidNoticeAbstractUI.aspx?menuIndex=3&amp;refID=7020428&amp;Result=3","7020428")</f>
        <v>0</v>
      </c>
      <c r="B11663" t="s">
        <v>434</v>
      </c>
      <c r="C11663" t="s">
        <v>14331</v>
      </c>
      <c r="D11663" t="s">
        <v>18041</v>
      </c>
      <c r="E11663" t="s">
        <v>28198</v>
      </c>
      <c r="F11663" t="s">
        <v>31574</v>
      </c>
      <c r="G11663" t="s">
        <v>31582</v>
      </c>
      <c r="H11663" t="s">
        <v>31591</v>
      </c>
      <c r="I11663" t="s">
        <v>8822</v>
      </c>
      <c r="J11663" t="s">
        <v>38947</v>
      </c>
      <c r="K11663" t="s">
        <v>41200</v>
      </c>
      <c r="M11663" t="s">
        <v>41927</v>
      </c>
      <c r="N11663" t="s">
        <v>45095</v>
      </c>
      <c r="O11663" t="s">
        <v>45096</v>
      </c>
      <c r="P11663">
        <v>0</v>
      </c>
      <c r="Q11663">
        <v>2</v>
      </c>
      <c r="R11663" t="s">
        <v>45110</v>
      </c>
      <c r="S11663" t="s">
        <v>45605</v>
      </c>
      <c r="T11663" t="s">
        <v>46935</v>
      </c>
      <c r="U11663" t="s">
        <v>57001</v>
      </c>
      <c r="W11663" t="s">
        <v>41927</v>
      </c>
      <c r="X11663" t="s">
        <v>45112</v>
      </c>
    </row>
    <row r="11664" spans="1:24">
      <c r="A11664">
        <f>HYPERLINK("https://www.philgeps.gov.ph/GEPSNONPILOT/Tender/SplashBidNoticeAbstractUI.aspx?menuIndex=3&amp;refID=7020321&amp;Result=3","7020321")</f>
        <v>0</v>
      </c>
      <c r="B11664" t="s">
        <v>1308</v>
      </c>
      <c r="C11664" t="s">
        <v>13836</v>
      </c>
      <c r="D11664" t="s">
        <v>18040</v>
      </c>
      <c r="E11664" t="s">
        <v>28199</v>
      </c>
      <c r="F11664" t="s">
        <v>31574</v>
      </c>
      <c r="G11664" t="s">
        <v>31582</v>
      </c>
      <c r="H11664" t="s">
        <v>31590</v>
      </c>
      <c r="I11664" t="s">
        <v>8258</v>
      </c>
      <c r="J11664" t="s">
        <v>38948</v>
      </c>
      <c r="K11664" t="s">
        <v>41184</v>
      </c>
      <c r="M11664" t="s">
        <v>42878</v>
      </c>
      <c r="N11664" t="s">
        <v>45095</v>
      </c>
      <c r="O11664" t="s">
        <v>45096</v>
      </c>
      <c r="P11664">
        <v>0</v>
      </c>
      <c r="Q11664">
        <v>14</v>
      </c>
      <c r="R11664" t="s">
        <v>45110</v>
      </c>
      <c r="S11664" t="s">
        <v>45605</v>
      </c>
      <c r="T11664" t="s">
        <v>46922</v>
      </c>
      <c r="U11664" t="s">
        <v>57002</v>
      </c>
      <c r="W11664" t="s">
        <v>42878</v>
      </c>
      <c r="X11664" t="s">
        <v>45112</v>
      </c>
    </row>
    <row r="11665" spans="1:24">
      <c r="A11665">
        <f>HYPERLINK("https://www.philgeps.gov.ph/GEPSNONPILOT/Tender/SplashBidNoticeAbstractUI.aspx?menuIndex=3&amp;refID=7020450&amp;Result=3","7020450")</f>
        <v>0</v>
      </c>
      <c r="B11665" t="s">
        <v>1308</v>
      </c>
      <c r="C11665" t="s">
        <v>14332</v>
      </c>
      <c r="D11665" t="s">
        <v>18040</v>
      </c>
      <c r="E11665" t="s">
        <v>28200</v>
      </c>
      <c r="F11665" t="s">
        <v>31574</v>
      </c>
      <c r="G11665" t="s">
        <v>31582</v>
      </c>
      <c r="H11665" t="s">
        <v>31590</v>
      </c>
      <c r="I11665" t="s">
        <v>31676</v>
      </c>
      <c r="J11665" t="s">
        <v>38949</v>
      </c>
      <c r="K11665" t="s">
        <v>41184</v>
      </c>
      <c r="M11665" t="s">
        <v>42878</v>
      </c>
      <c r="N11665" t="s">
        <v>45095</v>
      </c>
      <c r="O11665" t="s">
        <v>45096</v>
      </c>
      <c r="P11665">
        <v>0</v>
      </c>
      <c r="Q11665">
        <v>9</v>
      </c>
      <c r="R11665" t="s">
        <v>45110</v>
      </c>
      <c r="S11665" t="s">
        <v>45605</v>
      </c>
      <c r="T11665" t="s">
        <v>46922</v>
      </c>
      <c r="U11665" t="s">
        <v>57003</v>
      </c>
      <c r="W11665" t="s">
        <v>42878</v>
      </c>
      <c r="X11665" t="s">
        <v>45112</v>
      </c>
    </row>
    <row r="11666" spans="1:24">
      <c r="A11666">
        <f>HYPERLINK("https://www.philgeps.gov.ph/GEPSNONPILOT/Tender/SplashBidNoticeAbstractUI.aspx?menuIndex=3&amp;refID=7020424&amp;Result=3","7020424")</f>
        <v>0</v>
      </c>
      <c r="B11666" t="s">
        <v>1308</v>
      </c>
      <c r="C11666" t="s">
        <v>14333</v>
      </c>
      <c r="D11666" t="s">
        <v>18040</v>
      </c>
      <c r="E11666" t="s">
        <v>28201</v>
      </c>
      <c r="F11666" t="s">
        <v>31574</v>
      </c>
      <c r="G11666" t="s">
        <v>31582</v>
      </c>
      <c r="H11666" t="s">
        <v>31590</v>
      </c>
      <c r="I11666" t="s">
        <v>14544</v>
      </c>
      <c r="J11666" t="s">
        <v>32910</v>
      </c>
      <c r="K11666" t="s">
        <v>41184</v>
      </c>
      <c r="M11666" t="s">
        <v>42878</v>
      </c>
      <c r="N11666" t="s">
        <v>45095</v>
      </c>
      <c r="O11666" t="s">
        <v>45096</v>
      </c>
      <c r="P11666">
        <v>0</v>
      </c>
      <c r="Q11666">
        <v>2</v>
      </c>
      <c r="R11666" t="s">
        <v>45110</v>
      </c>
      <c r="S11666" t="s">
        <v>45605</v>
      </c>
      <c r="T11666" t="s">
        <v>46922</v>
      </c>
      <c r="U11666" t="s">
        <v>57004</v>
      </c>
      <c r="W11666" t="s">
        <v>42878</v>
      </c>
      <c r="X11666" t="s">
        <v>45112</v>
      </c>
    </row>
    <row r="11667" spans="1:24">
      <c r="A11667">
        <f>HYPERLINK("https://www.philgeps.gov.ph/GEPSNONPILOT/Tender/SplashBidNoticeAbstractUI.aspx?menuIndex=3&amp;refID=7019242&amp;Result=3","7019242")</f>
        <v>0</v>
      </c>
      <c r="B11667" t="s">
        <v>2586</v>
      </c>
      <c r="C11667" t="s">
        <v>14334</v>
      </c>
      <c r="D11667" t="s">
        <v>18033</v>
      </c>
      <c r="E11667" t="s">
        <v>28202</v>
      </c>
      <c r="F11667" t="s">
        <v>31574</v>
      </c>
      <c r="G11667" t="s">
        <v>31582</v>
      </c>
      <c r="H11667" t="s">
        <v>31590</v>
      </c>
      <c r="I11667" t="s">
        <v>6800</v>
      </c>
      <c r="J11667" t="s">
        <v>38950</v>
      </c>
      <c r="K11667" t="s">
        <v>41190</v>
      </c>
      <c r="M11667" t="s">
        <v>44328</v>
      </c>
      <c r="N11667" t="s">
        <v>45095</v>
      </c>
      <c r="O11667" t="s">
        <v>45096</v>
      </c>
      <c r="P11667">
        <v>0</v>
      </c>
      <c r="Q11667">
        <v>4</v>
      </c>
      <c r="R11667" t="s">
        <v>45110</v>
      </c>
      <c r="S11667" t="s">
        <v>45605</v>
      </c>
      <c r="T11667" t="s">
        <v>47171</v>
      </c>
      <c r="U11667" t="s">
        <v>52292</v>
      </c>
      <c r="W11667" t="s">
        <v>44328</v>
      </c>
      <c r="X11667" t="s">
        <v>45112</v>
      </c>
    </row>
    <row r="11668" spans="1:24">
      <c r="A11668">
        <f>HYPERLINK("https://www.philgeps.gov.ph/GEPSNONPILOT/Tender/SplashBidNoticeAbstractUI.aspx?menuIndex=3&amp;refID=7020741&amp;Result=3","7020741")</f>
        <v>0</v>
      </c>
      <c r="B11668" t="s">
        <v>2866</v>
      </c>
      <c r="C11668" t="s">
        <v>14335</v>
      </c>
      <c r="D11668" t="s">
        <v>18060</v>
      </c>
      <c r="E11668" t="s">
        <v>28203</v>
      </c>
      <c r="F11668" t="s">
        <v>31574</v>
      </c>
      <c r="G11668" t="s">
        <v>31582</v>
      </c>
      <c r="H11668" t="s">
        <v>31590</v>
      </c>
      <c r="I11668" t="s">
        <v>4046</v>
      </c>
      <c r="J11668" t="s">
        <v>38951</v>
      </c>
      <c r="K11668" t="s">
        <v>41196</v>
      </c>
      <c r="M11668" t="s">
        <v>44656</v>
      </c>
      <c r="N11668" t="s">
        <v>45095</v>
      </c>
      <c r="O11668" t="s">
        <v>45096</v>
      </c>
      <c r="P11668">
        <v>0</v>
      </c>
      <c r="Q11668">
        <v>0</v>
      </c>
      <c r="R11668" t="s">
        <v>45110</v>
      </c>
      <c r="S11668" t="s">
        <v>45605</v>
      </c>
      <c r="T11668" t="s">
        <v>47183</v>
      </c>
      <c r="U11668" t="s">
        <v>57005</v>
      </c>
      <c r="W11668" t="s">
        <v>44656</v>
      </c>
      <c r="X11668" t="s">
        <v>45112</v>
      </c>
    </row>
    <row r="11669" spans="1:24">
      <c r="A11669">
        <f>HYPERLINK("https://www.philgeps.gov.ph/GEPSNONPILOT/Tender/SplashBidNoticeAbstractUI.aspx?menuIndex=3&amp;refID=7020392&amp;Result=3","7020392")</f>
        <v>0</v>
      </c>
      <c r="B11669" t="s">
        <v>2042</v>
      </c>
      <c r="C11669" t="s">
        <v>14336</v>
      </c>
      <c r="D11669" t="s">
        <v>18043</v>
      </c>
      <c r="E11669" t="s">
        <v>28204</v>
      </c>
      <c r="F11669" t="s">
        <v>31574</v>
      </c>
      <c r="G11669" t="s">
        <v>31582</v>
      </c>
      <c r="H11669" t="s">
        <v>31590</v>
      </c>
      <c r="I11669" t="s">
        <v>4327</v>
      </c>
      <c r="J11669" t="s">
        <v>38952</v>
      </c>
      <c r="K11669" t="s">
        <v>41190</v>
      </c>
      <c r="M11669" t="s">
        <v>43709</v>
      </c>
      <c r="N11669" t="s">
        <v>45095</v>
      </c>
      <c r="O11669" t="s">
        <v>45096</v>
      </c>
      <c r="P11669">
        <v>0</v>
      </c>
      <c r="Q11669">
        <v>7</v>
      </c>
      <c r="R11669" t="s">
        <v>45110</v>
      </c>
      <c r="S11669" t="s">
        <v>45605</v>
      </c>
      <c r="T11669" t="s">
        <v>47313</v>
      </c>
      <c r="U11669" t="s">
        <v>57006</v>
      </c>
      <c r="V11669" t="s">
        <v>60568</v>
      </c>
      <c r="W11669" t="s">
        <v>43709</v>
      </c>
      <c r="X11669" t="s">
        <v>45112</v>
      </c>
    </row>
    <row r="11670" spans="1:24">
      <c r="A11670">
        <f>HYPERLINK("https://www.philgeps.gov.ph/GEPSNONPILOT/Tender/SplashBidNoticeAbstractUI.aspx?menuIndex=3&amp;refID=7020562&amp;Result=3","7020562")</f>
        <v>0</v>
      </c>
      <c r="B11670" t="s">
        <v>2867</v>
      </c>
      <c r="C11670" t="s">
        <v>14337</v>
      </c>
      <c r="D11670" t="s">
        <v>18059</v>
      </c>
      <c r="E11670" t="s">
        <v>28205</v>
      </c>
      <c r="F11670" t="s">
        <v>31574</v>
      </c>
      <c r="G11670" t="s">
        <v>31582</v>
      </c>
      <c r="H11670" t="s">
        <v>31590</v>
      </c>
      <c r="I11670" t="s">
        <v>4046</v>
      </c>
      <c r="J11670" t="s">
        <v>38953</v>
      </c>
      <c r="K11670" t="s">
        <v>41186</v>
      </c>
      <c r="M11670" t="s">
        <v>44657</v>
      </c>
      <c r="N11670" t="s">
        <v>45095</v>
      </c>
      <c r="O11670" t="s">
        <v>45096</v>
      </c>
      <c r="P11670">
        <v>0</v>
      </c>
      <c r="Q11670">
        <v>3</v>
      </c>
      <c r="R11670" t="s">
        <v>45110</v>
      </c>
      <c r="S11670" t="s">
        <v>45605</v>
      </c>
      <c r="T11670" t="s">
        <v>46926</v>
      </c>
      <c r="U11670" t="s">
        <v>57007</v>
      </c>
      <c r="V11670" t="s">
        <v>61125</v>
      </c>
      <c r="W11670" t="s">
        <v>44657</v>
      </c>
      <c r="X11670" t="s">
        <v>45112</v>
      </c>
    </row>
    <row r="11671" spans="1:24">
      <c r="A11671">
        <f>HYPERLINK("https://www.philgeps.gov.ph/GEPSNONPILOT/Tender/SplashBidNoticeAbstractUI.aspx?menuIndex=3&amp;refID=7020667&amp;Result=3","7020667")</f>
        <v>0</v>
      </c>
      <c r="B11671" t="s">
        <v>2868</v>
      </c>
      <c r="C11671" t="s">
        <v>14338</v>
      </c>
      <c r="D11671" t="s">
        <v>18064</v>
      </c>
      <c r="E11671" t="s">
        <v>28206</v>
      </c>
      <c r="F11671" t="s">
        <v>31574</v>
      </c>
      <c r="G11671" t="s">
        <v>31582</v>
      </c>
      <c r="H11671" t="s">
        <v>31591</v>
      </c>
      <c r="I11671" t="s">
        <v>8822</v>
      </c>
      <c r="J11671" t="s">
        <v>38954</v>
      </c>
      <c r="K11671" t="s">
        <v>41203</v>
      </c>
      <c r="M11671" t="s">
        <v>44658</v>
      </c>
      <c r="N11671" t="s">
        <v>45095</v>
      </c>
      <c r="O11671" t="s">
        <v>45096</v>
      </c>
      <c r="P11671">
        <v>0</v>
      </c>
      <c r="Q11671">
        <v>1</v>
      </c>
      <c r="R11671" t="s">
        <v>45110</v>
      </c>
      <c r="S11671" t="s">
        <v>45605</v>
      </c>
      <c r="T11671" t="s">
        <v>47398</v>
      </c>
      <c r="U11671" t="s">
        <v>57008</v>
      </c>
      <c r="W11671" t="s">
        <v>44658</v>
      </c>
      <c r="X11671" t="s">
        <v>45112</v>
      </c>
    </row>
    <row r="11672" spans="1:24">
      <c r="A11672">
        <f>HYPERLINK("https://www.philgeps.gov.ph/GEPSNONPILOT/Tender/SplashBidNoticeAbstractUI.aspx?menuIndex=3&amp;refID=7020725&amp;Result=3","7020725")</f>
        <v>0</v>
      </c>
      <c r="B11672" t="s">
        <v>2868</v>
      </c>
      <c r="C11672" t="s">
        <v>14339</v>
      </c>
      <c r="D11672" t="s">
        <v>18064</v>
      </c>
      <c r="E11672" t="s">
        <v>28207</v>
      </c>
      <c r="F11672" t="s">
        <v>31574</v>
      </c>
      <c r="G11672" t="s">
        <v>31582</v>
      </c>
      <c r="H11672" t="s">
        <v>31591</v>
      </c>
      <c r="I11672" t="s">
        <v>8822</v>
      </c>
      <c r="J11672" t="s">
        <v>38955</v>
      </c>
      <c r="K11672" t="s">
        <v>41189</v>
      </c>
      <c r="M11672" t="s">
        <v>44658</v>
      </c>
      <c r="N11672" t="s">
        <v>45095</v>
      </c>
      <c r="O11672" t="s">
        <v>45096</v>
      </c>
      <c r="P11672">
        <v>0</v>
      </c>
      <c r="Q11672">
        <v>1</v>
      </c>
      <c r="R11672" t="s">
        <v>45110</v>
      </c>
      <c r="S11672" t="s">
        <v>45605</v>
      </c>
      <c r="T11672" t="s">
        <v>46984</v>
      </c>
      <c r="U11672" t="s">
        <v>57009</v>
      </c>
      <c r="W11672" t="s">
        <v>44658</v>
      </c>
      <c r="X11672" t="s">
        <v>45112</v>
      </c>
    </row>
    <row r="11673" spans="1:24">
      <c r="A11673">
        <f>HYPERLINK("https://www.philgeps.gov.ph/GEPSNONPILOT/Tender/SplashBidNoticeAbstractUI.aspx?menuIndex=3&amp;refID=7020526&amp;Result=3","7020526")</f>
        <v>0</v>
      </c>
      <c r="B11673" t="s">
        <v>1308</v>
      </c>
      <c r="C11673" t="s">
        <v>14340</v>
      </c>
      <c r="D11673" t="s">
        <v>18040</v>
      </c>
      <c r="E11673" t="s">
        <v>28208</v>
      </c>
      <c r="F11673" t="s">
        <v>31574</v>
      </c>
      <c r="G11673" t="s">
        <v>31582</v>
      </c>
      <c r="H11673" t="s">
        <v>31591</v>
      </c>
      <c r="I11673" t="s">
        <v>8822</v>
      </c>
      <c r="J11673" t="s">
        <v>38956</v>
      </c>
      <c r="K11673" t="s">
        <v>41184</v>
      </c>
      <c r="M11673" t="s">
        <v>42878</v>
      </c>
      <c r="N11673" t="s">
        <v>45095</v>
      </c>
      <c r="O11673" t="s">
        <v>45096</v>
      </c>
      <c r="P11673">
        <v>0</v>
      </c>
      <c r="Q11673">
        <v>1</v>
      </c>
      <c r="R11673" t="s">
        <v>45110</v>
      </c>
      <c r="S11673" t="s">
        <v>45605</v>
      </c>
      <c r="T11673" t="s">
        <v>46922</v>
      </c>
      <c r="U11673" t="s">
        <v>57010</v>
      </c>
      <c r="W11673" t="s">
        <v>42878</v>
      </c>
      <c r="X11673" t="s">
        <v>45112</v>
      </c>
    </row>
    <row r="11674" spans="1:24">
      <c r="A11674">
        <f>HYPERLINK("https://www.philgeps.gov.ph/GEPSNONPILOT/Tender/SplashBidNoticeAbstractUI.aspx?menuIndex=3&amp;refID=7020655&amp;Result=3","7020655")</f>
        <v>0</v>
      </c>
      <c r="B11674" t="s">
        <v>1308</v>
      </c>
      <c r="C11674" t="s">
        <v>14341</v>
      </c>
      <c r="D11674" t="s">
        <v>18040</v>
      </c>
      <c r="E11674" t="s">
        <v>28209</v>
      </c>
      <c r="F11674" t="s">
        <v>31574</v>
      </c>
      <c r="G11674" t="s">
        <v>31582</v>
      </c>
      <c r="H11674" t="s">
        <v>31591</v>
      </c>
      <c r="I11674" t="s">
        <v>8822</v>
      </c>
      <c r="J11674" t="s">
        <v>38957</v>
      </c>
      <c r="K11674" t="s">
        <v>41184</v>
      </c>
      <c r="M11674" t="s">
        <v>42878</v>
      </c>
      <c r="N11674" t="s">
        <v>45095</v>
      </c>
      <c r="O11674" t="s">
        <v>45096</v>
      </c>
      <c r="P11674">
        <v>0</v>
      </c>
      <c r="Q11674">
        <v>1</v>
      </c>
      <c r="R11674" t="s">
        <v>45110</v>
      </c>
      <c r="S11674" t="s">
        <v>45605</v>
      </c>
      <c r="T11674" t="s">
        <v>46922</v>
      </c>
      <c r="U11674" t="s">
        <v>57011</v>
      </c>
      <c r="W11674" t="s">
        <v>42878</v>
      </c>
      <c r="X11674" t="s">
        <v>45112</v>
      </c>
    </row>
    <row r="11675" spans="1:24">
      <c r="A11675">
        <f>HYPERLINK("https://www.philgeps.gov.ph/GEPSNONPILOT/Tender/SplashBidNoticeAbstractUI.aspx?menuIndex=3&amp;refID=7020690&amp;Result=3","7020690")</f>
        <v>0</v>
      </c>
      <c r="B11675" t="s">
        <v>2868</v>
      </c>
      <c r="C11675" t="s">
        <v>14342</v>
      </c>
      <c r="D11675" t="s">
        <v>18064</v>
      </c>
      <c r="E11675" t="s">
        <v>28210</v>
      </c>
      <c r="F11675" t="s">
        <v>31574</v>
      </c>
      <c r="G11675" t="s">
        <v>31582</v>
      </c>
      <c r="H11675" t="s">
        <v>31591</v>
      </c>
      <c r="I11675" t="s">
        <v>8822</v>
      </c>
      <c r="J11675" t="s">
        <v>38958</v>
      </c>
      <c r="K11675" t="s">
        <v>41189</v>
      </c>
      <c r="M11675" t="s">
        <v>44658</v>
      </c>
      <c r="N11675" t="s">
        <v>45095</v>
      </c>
      <c r="O11675" t="s">
        <v>45096</v>
      </c>
      <c r="P11675">
        <v>0</v>
      </c>
      <c r="Q11675">
        <v>1</v>
      </c>
      <c r="R11675" t="s">
        <v>45110</v>
      </c>
      <c r="S11675" t="s">
        <v>45605</v>
      </c>
      <c r="T11675" t="s">
        <v>46984</v>
      </c>
      <c r="U11675" t="s">
        <v>57012</v>
      </c>
      <c r="W11675" t="s">
        <v>44658</v>
      </c>
      <c r="X11675" t="s">
        <v>45112</v>
      </c>
    </row>
    <row r="11676" spans="1:24">
      <c r="A11676">
        <f>HYPERLINK("https://www.philgeps.gov.ph/GEPSNONPILOT/Tender/SplashBidNoticeAbstractUI.aspx?menuIndex=3&amp;refID=7020615&amp;Result=3","7020615")</f>
        <v>0</v>
      </c>
      <c r="B11676" t="s">
        <v>1308</v>
      </c>
      <c r="C11676" t="s">
        <v>14343</v>
      </c>
      <c r="D11676" t="s">
        <v>18040</v>
      </c>
      <c r="E11676" t="s">
        <v>28211</v>
      </c>
      <c r="F11676" t="s">
        <v>31574</v>
      </c>
      <c r="G11676" t="s">
        <v>31582</v>
      </c>
      <c r="H11676" t="s">
        <v>31591</v>
      </c>
      <c r="I11676" t="s">
        <v>8822</v>
      </c>
      <c r="J11676" t="s">
        <v>38959</v>
      </c>
      <c r="K11676" t="s">
        <v>41184</v>
      </c>
      <c r="M11676" t="s">
        <v>42878</v>
      </c>
      <c r="N11676" t="s">
        <v>45095</v>
      </c>
      <c r="O11676" t="s">
        <v>45096</v>
      </c>
      <c r="P11676">
        <v>0</v>
      </c>
      <c r="Q11676">
        <v>1</v>
      </c>
      <c r="R11676" t="s">
        <v>45110</v>
      </c>
      <c r="S11676" t="s">
        <v>45605</v>
      </c>
      <c r="T11676" t="s">
        <v>46922</v>
      </c>
      <c r="U11676" t="s">
        <v>57013</v>
      </c>
      <c r="W11676" t="s">
        <v>42878</v>
      </c>
      <c r="X11676" t="s">
        <v>45112</v>
      </c>
    </row>
    <row r="11677" spans="1:24">
      <c r="A11677">
        <f>HYPERLINK("https://www.philgeps.gov.ph/GEPSNONPILOT/Tender/SplashBidNoticeAbstractUI.aspx?menuIndex=3&amp;refID=7018821&amp;Result=3","7018821")</f>
        <v>0</v>
      </c>
      <c r="B11677" t="s">
        <v>956</v>
      </c>
      <c r="C11677" t="s">
        <v>14344</v>
      </c>
      <c r="D11677" t="s">
        <v>18094</v>
      </c>
      <c r="E11677" t="s">
        <v>28212</v>
      </c>
      <c r="F11677" t="s">
        <v>31574</v>
      </c>
      <c r="G11677" t="s">
        <v>31582</v>
      </c>
      <c r="H11677" t="s">
        <v>31591</v>
      </c>
      <c r="I11677" t="s">
        <v>8822</v>
      </c>
      <c r="J11677" t="s">
        <v>33574</v>
      </c>
      <c r="K11677" t="s">
        <v>41198</v>
      </c>
      <c r="M11677" t="s">
        <v>42483</v>
      </c>
      <c r="N11677" t="s">
        <v>45095</v>
      </c>
      <c r="O11677" t="s">
        <v>45096</v>
      </c>
      <c r="P11677">
        <v>0</v>
      </c>
      <c r="Q11677">
        <v>0</v>
      </c>
      <c r="R11677" t="s">
        <v>45110</v>
      </c>
      <c r="S11677" t="s">
        <v>45605</v>
      </c>
      <c r="T11677" t="s">
        <v>46955</v>
      </c>
      <c r="U11677" t="s">
        <v>56990</v>
      </c>
      <c r="V11677" t="s">
        <v>61126</v>
      </c>
      <c r="W11677" t="s">
        <v>42483</v>
      </c>
      <c r="X11677" t="s">
        <v>45114</v>
      </c>
    </row>
    <row r="11678" spans="1:24">
      <c r="A11678">
        <f>HYPERLINK("https://www.philgeps.gov.ph/GEPSNONPILOT/Tender/SplashBidNoticeAbstractUI.aspx?menuIndex=3&amp;refID=7020628&amp;Result=3","7020628")</f>
        <v>0</v>
      </c>
      <c r="B11678" t="s">
        <v>2868</v>
      </c>
      <c r="C11678" t="s">
        <v>14345</v>
      </c>
      <c r="D11678" t="s">
        <v>18064</v>
      </c>
      <c r="E11678" t="s">
        <v>28213</v>
      </c>
      <c r="F11678" t="s">
        <v>31574</v>
      </c>
      <c r="G11678" t="s">
        <v>31582</v>
      </c>
      <c r="H11678" t="s">
        <v>31591</v>
      </c>
      <c r="I11678" t="s">
        <v>8822</v>
      </c>
      <c r="J11678" t="s">
        <v>38960</v>
      </c>
      <c r="K11678" t="s">
        <v>41185</v>
      </c>
      <c r="M11678" t="s">
        <v>44658</v>
      </c>
      <c r="N11678" t="s">
        <v>45095</v>
      </c>
      <c r="O11678" t="s">
        <v>45096</v>
      </c>
      <c r="P11678">
        <v>0</v>
      </c>
      <c r="Q11678">
        <v>0</v>
      </c>
      <c r="R11678" t="s">
        <v>45110</v>
      </c>
      <c r="S11678" t="s">
        <v>45605</v>
      </c>
      <c r="T11678" t="s">
        <v>46984</v>
      </c>
      <c r="U11678" t="s">
        <v>57014</v>
      </c>
      <c r="W11678" t="s">
        <v>44658</v>
      </c>
      <c r="X11678" t="s">
        <v>45112</v>
      </c>
    </row>
    <row r="11679" spans="1:24">
      <c r="A11679">
        <f>HYPERLINK("https://www.philgeps.gov.ph/GEPSNONPILOT/Tender/SplashBidNoticeAbstractUI.aspx?menuIndex=3&amp;refID=7020744&amp;Result=3","7020744")</f>
        <v>0</v>
      </c>
      <c r="B11679" t="s">
        <v>45</v>
      </c>
      <c r="C11679" t="s">
        <v>14346</v>
      </c>
      <c r="D11679" t="s">
        <v>18037</v>
      </c>
      <c r="E11679" t="s">
        <v>28214</v>
      </c>
      <c r="F11679" t="s">
        <v>31574</v>
      </c>
      <c r="G11679" t="s">
        <v>31581</v>
      </c>
      <c r="H11679" t="s">
        <v>31590</v>
      </c>
      <c r="I11679" t="s">
        <v>31611</v>
      </c>
      <c r="J11679" t="s">
        <v>34970</v>
      </c>
      <c r="K11679" t="s">
        <v>41190</v>
      </c>
      <c r="M11679" t="s">
        <v>41528</v>
      </c>
      <c r="N11679" t="s">
        <v>45095</v>
      </c>
      <c r="O11679" t="s">
        <v>45096</v>
      </c>
      <c r="Q11679">
        <v>0</v>
      </c>
      <c r="R11679" t="s">
        <v>45110</v>
      </c>
      <c r="S11679" t="s">
        <v>45396</v>
      </c>
      <c r="T11679" t="s">
        <v>46973</v>
      </c>
      <c r="U11679" t="s">
        <v>57015</v>
      </c>
      <c r="W11679" t="s">
        <v>41528</v>
      </c>
      <c r="X11679" t="s">
        <v>45112</v>
      </c>
    </row>
    <row r="11680" spans="1:24">
      <c r="A11680">
        <f>HYPERLINK("https://www.philgeps.gov.ph/GEPSNONPILOT/Tender/SplashBidNoticeAbstractUI.aspx?menuIndex=3&amp;refID=7021367&amp;Result=3","7021367")</f>
        <v>0</v>
      </c>
      <c r="B11680" t="s">
        <v>2869</v>
      </c>
      <c r="C11680" t="s">
        <v>14347</v>
      </c>
      <c r="D11680" t="s">
        <v>18041</v>
      </c>
      <c r="E11680" t="s">
        <v>18422</v>
      </c>
      <c r="F11680" t="s">
        <v>31574</v>
      </c>
      <c r="G11680" t="s">
        <v>31582</v>
      </c>
      <c r="H11680" t="s">
        <v>31590</v>
      </c>
      <c r="I11680" t="s">
        <v>31615</v>
      </c>
      <c r="J11680" t="s">
        <v>32774</v>
      </c>
      <c r="K11680" t="s">
        <v>41186</v>
      </c>
      <c r="M11680" t="s">
        <v>44659</v>
      </c>
      <c r="N11680" t="s">
        <v>45095</v>
      </c>
      <c r="O11680" t="s">
        <v>45096</v>
      </c>
      <c r="P11680">
        <v>0</v>
      </c>
      <c r="Q11680">
        <v>5</v>
      </c>
      <c r="R11680" t="s">
        <v>45110</v>
      </c>
      <c r="S11680" t="s">
        <v>45605</v>
      </c>
      <c r="T11680" t="s">
        <v>46918</v>
      </c>
      <c r="U11680" t="s">
        <v>57016</v>
      </c>
      <c r="W11680" t="s">
        <v>44659</v>
      </c>
      <c r="X11680" t="s">
        <v>45112</v>
      </c>
    </row>
    <row r="11681" spans="1:24">
      <c r="A11681">
        <f>HYPERLINK("https://www.philgeps.gov.ph/GEPSNONPILOT/Tender/SplashBidNoticeAbstractUI.aspx?menuIndex=3&amp;refID=7020585&amp;Result=3","7020585")</f>
        <v>0</v>
      </c>
      <c r="B11681" t="s">
        <v>1308</v>
      </c>
      <c r="C11681" t="s">
        <v>14348</v>
      </c>
      <c r="D11681" t="s">
        <v>18040</v>
      </c>
      <c r="E11681" t="s">
        <v>28215</v>
      </c>
      <c r="F11681" t="s">
        <v>31574</v>
      </c>
      <c r="G11681" t="s">
        <v>31582</v>
      </c>
      <c r="H11681" t="s">
        <v>31591</v>
      </c>
      <c r="I11681" t="s">
        <v>8822</v>
      </c>
      <c r="J11681" t="s">
        <v>38961</v>
      </c>
      <c r="K11681" t="s">
        <v>41184</v>
      </c>
      <c r="M11681" t="s">
        <v>42878</v>
      </c>
      <c r="N11681" t="s">
        <v>45095</v>
      </c>
      <c r="O11681" t="s">
        <v>45096</v>
      </c>
      <c r="P11681">
        <v>0</v>
      </c>
      <c r="Q11681">
        <v>1</v>
      </c>
      <c r="R11681" t="s">
        <v>45110</v>
      </c>
      <c r="S11681" t="s">
        <v>45605</v>
      </c>
      <c r="T11681" t="s">
        <v>46922</v>
      </c>
      <c r="U11681" t="s">
        <v>57017</v>
      </c>
      <c r="W11681" t="s">
        <v>42878</v>
      </c>
      <c r="X11681" t="s">
        <v>45112</v>
      </c>
    </row>
    <row r="11682" spans="1:24">
      <c r="A11682">
        <f>HYPERLINK("https://www.philgeps.gov.ph/GEPSNONPILOT/Tender/SplashBidNoticeAbstractUI.aspx?menuIndex=3&amp;refID=7020652&amp;Result=3","7020652")</f>
        <v>0</v>
      </c>
      <c r="B11682" t="s">
        <v>2868</v>
      </c>
      <c r="C11682" t="s">
        <v>14349</v>
      </c>
      <c r="D11682" t="s">
        <v>18064</v>
      </c>
      <c r="E11682" t="s">
        <v>28216</v>
      </c>
      <c r="F11682" t="s">
        <v>31574</v>
      </c>
      <c r="G11682" t="s">
        <v>31582</v>
      </c>
      <c r="H11682" t="s">
        <v>31591</v>
      </c>
      <c r="I11682" t="s">
        <v>8822</v>
      </c>
      <c r="J11682" t="s">
        <v>38960</v>
      </c>
      <c r="K11682" t="s">
        <v>41185</v>
      </c>
      <c r="M11682" t="s">
        <v>44658</v>
      </c>
      <c r="N11682" t="s">
        <v>45095</v>
      </c>
      <c r="O11682" t="s">
        <v>45096</v>
      </c>
      <c r="P11682">
        <v>0</v>
      </c>
      <c r="Q11682">
        <v>1</v>
      </c>
      <c r="R11682" t="s">
        <v>45110</v>
      </c>
      <c r="S11682" t="s">
        <v>45605</v>
      </c>
      <c r="T11682" t="s">
        <v>46984</v>
      </c>
      <c r="U11682" t="s">
        <v>57018</v>
      </c>
      <c r="W11682" t="s">
        <v>44658</v>
      </c>
      <c r="X11682" t="s">
        <v>45112</v>
      </c>
    </row>
    <row r="11683" spans="1:24">
      <c r="A11683">
        <f>HYPERLINK("https://www.philgeps.gov.ph/GEPSNONPILOT/Tender/SplashBidNoticeAbstractUI.aspx?menuIndex=3&amp;refID=7021004&amp;Result=3","7021004")</f>
        <v>0</v>
      </c>
      <c r="B11683" t="s">
        <v>1670</v>
      </c>
      <c r="C11683" t="s">
        <v>14350</v>
      </c>
      <c r="D11683" t="s">
        <v>18042</v>
      </c>
      <c r="E11683" t="s">
        <v>28217</v>
      </c>
      <c r="F11683" t="s">
        <v>31574</v>
      </c>
      <c r="G11683" t="s">
        <v>31582</v>
      </c>
      <c r="H11683" t="s">
        <v>31591</v>
      </c>
      <c r="I11683" t="s">
        <v>8822</v>
      </c>
      <c r="J11683" t="s">
        <v>38962</v>
      </c>
      <c r="K11683" t="s">
        <v>41184</v>
      </c>
      <c r="M11683" t="s">
        <v>43283</v>
      </c>
      <c r="N11683" t="s">
        <v>45095</v>
      </c>
      <c r="O11683" t="s">
        <v>45096</v>
      </c>
      <c r="P11683">
        <v>0</v>
      </c>
      <c r="Q11683">
        <v>0</v>
      </c>
      <c r="R11683" t="s">
        <v>45110</v>
      </c>
      <c r="S11683" t="s">
        <v>45605</v>
      </c>
      <c r="T11683" t="s">
        <v>46926</v>
      </c>
      <c r="U11683" t="s">
        <v>57019</v>
      </c>
      <c r="W11683" t="s">
        <v>43283</v>
      </c>
      <c r="X11683" t="s">
        <v>45112</v>
      </c>
    </row>
    <row r="11684" spans="1:24">
      <c r="A11684">
        <f>HYPERLINK("https://www.philgeps.gov.ph/GEPSNONPILOT/Tender/SplashBidNoticeAbstractUI.aspx?menuIndex=3&amp;refID=7020563&amp;Result=3","7020563")</f>
        <v>0</v>
      </c>
      <c r="B11684" t="s">
        <v>1308</v>
      </c>
      <c r="C11684" t="s">
        <v>14351</v>
      </c>
      <c r="D11684" t="s">
        <v>18040</v>
      </c>
      <c r="E11684" t="s">
        <v>28218</v>
      </c>
      <c r="F11684" t="s">
        <v>31574</v>
      </c>
      <c r="G11684" t="s">
        <v>31582</v>
      </c>
      <c r="H11684" t="s">
        <v>31591</v>
      </c>
      <c r="I11684" t="s">
        <v>8822</v>
      </c>
      <c r="J11684" t="s">
        <v>38963</v>
      </c>
      <c r="K11684" t="s">
        <v>41184</v>
      </c>
      <c r="M11684" t="s">
        <v>42878</v>
      </c>
      <c r="N11684" t="s">
        <v>45095</v>
      </c>
      <c r="O11684" t="s">
        <v>45096</v>
      </c>
      <c r="P11684">
        <v>0</v>
      </c>
      <c r="Q11684">
        <v>1</v>
      </c>
      <c r="R11684" t="s">
        <v>45110</v>
      </c>
      <c r="S11684" t="s">
        <v>45605</v>
      </c>
      <c r="T11684" t="s">
        <v>46922</v>
      </c>
      <c r="U11684" t="s">
        <v>57020</v>
      </c>
      <c r="W11684" t="s">
        <v>42878</v>
      </c>
      <c r="X11684" t="s">
        <v>45112</v>
      </c>
    </row>
    <row r="11685" spans="1:24">
      <c r="A11685">
        <f>HYPERLINK("https://www.philgeps.gov.ph/GEPSNONPILOT/Tender/SplashBidNoticeAbstractUI.aspx?menuIndex=3&amp;refID=7021000&amp;Result=3","7021000")</f>
        <v>0</v>
      </c>
      <c r="B11685" t="s">
        <v>1001</v>
      </c>
      <c r="C11685" t="s">
        <v>7465</v>
      </c>
      <c r="D11685" t="s">
        <v>18103</v>
      </c>
      <c r="E11685" t="s">
        <v>28219</v>
      </c>
      <c r="F11685" t="s">
        <v>31574</v>
      </c>
      <c r="G11685" t="s">
        <v>31582</v>
      </c>
      <c r="H11685" t="s">
        <v>31590</v>
      </c>
      <c r="I11685" t="s">
        <v>7185</v>
      </c>
      <c r="J11685" t="s">
        <v>31935</v>
      </c>
      <c r="K11685" t="s">
        <v>41190</v>
      </c>
      <c r="L11685" t="s">
        <v>1001</v>
      </c>
      <c r="M11685" t="s">
        <v>42538</v>
      </c>
      <c r="N11685" t="s">
        <v>45095</v>
      </c>
      <c r="O11685" t="s">
        <v>45096</v>
      </c>
      <c r="Q11685">
        <v>4</v>
      </c>
      <c r="R11685" t="s">
        <v>45110</v>
      </c>
      <c r="S11685" t="s">
        <v>45621</v>
      </c>
      <c r="T11685" t="s">
        <v>46910</v>
      </c>
      <c r="U11685" t="s">
        <v>57021</v>
      </c>
      <c r="V11685" t="s">
        <v>61127</v>
      </c>
      <c r="W11685" t="s">
        <v>42538</v>
      </c>
      <c r="X11685" t="s">
        <v>45112</v>
      </c>
    </row>
    <row r="11686" spans="1:24">
      <c r="A11686">
        <f>HYPERLINK("https://www.philgeps.gov.ph/GEPSNONPILOT/Tender/SplashBidNoticeAbstractUI.aspx?menuIndex=3&amp;refID=7021043&amp;Result=3","7021043")</f>
        <v>0</v>
      </c>
      <c r="B11686" t="s">
        <v>605</v>
      </c>
      <c r="C11686" t="s">
        <v>14352</v>
      </c>
      <c r="D11686" t="s">
        <v>18033</v>
      </c>
      <c r="E11686" t="s">
        <v>28220</v>
      </c>
      <c r="F11686" t="s">
        <v>31574</v>
      </c>
      <c r="G11686" t="s">
        <v>31582</v>
      </c>
      <c r="H11686" t="s">
        <v>31590</v>
      </c>
      <c r="I11686" t="s">
        <v>31615</v>
      </c>
      <c r="J11686" t="s">
        <v>32421</v>
      </c>
      <c r="K11686" t="s">
        <v>41186</v>
      </c>
      <c r="M11686" t="s">
        <v>42108</v>
      </c>
      <c r="N11686" t="s">
        <v>45095</v>
      </c>
      <c r="O11686" t="s">
        <v>45096</v>
      </c>
      <c r="P11686">
        <v>0</v>
      </c>
      <c r="Q11686">
        <v>3</v>
      </c>
      <c r="R11686" t="s">
        <v>45110</v>
      </c>
      <c r="S11686" t="s">
        <v>45605</v>
      </c>
      <c r="T11686" t="s">
        <v>46914</v>
      </c>
      <c r="U11686" t="s">
        <v>57022</v>
      </c>
      <c r="V11686" t="s">
        <v>61128</v>
      </c>
      <c r="W11686" t="s">
        <v>42108</v>
      </c>
      <c r="X11686" t="s">
        <v>45112</v>
      </c>
    </row>
    <row r="11687" spans="1:24">
      <c r="A11687">
        <f>HYPERLINK("https://www.philgeps.gov.ph/GEPSNONPILOT/Tender/SplashBidNoticeAbstractUI.aspx?menuIndex=3&amp;refID=7021049&amp;Result=3","7021049")</f>
        <v>0</v>
      </c>
      <c r="B11687" t="s">
        <v>2870</v>
      </c>
      <c r="C11687" t="s">
        <v>14353</v>
      </c>
      <c r="E11687" t="s">
        <v>28221</v>
      </c>
      <c r="F11687" t="s">
        <v>31574</v>
      </c>
      <c r="G11687" t="s">
        <v>31582</v>
      </c>
      <c r="H11687" t="s">
        <v>31590</v>
      </c>
      <c r="I11687" t="s">
        <v>31615</v>
      </c>
      <c r="J11687" t="s">
        <v>32459</v>
      </c>
      <c r="K11687" t="s">
        <v>41196</v>
      </c>
      <c r="M11687" t="s">
        <v>44660</v>
      </c>
      <c r="N11687" t="s">
        <v>45095</v>
      </c>
      <c r="O11687" t="s">
        <v>45096</v>
      </c>
      <c r="P11687">
        <v>0</v>
      </c>
      <c r="Q11687">
        <v>5</v>
      </c>
      <c r="R11687" t="s">
        <v>45110</v>
      </c>
      <c r="S11687" t="s">
        <v>45605</v>
      </c>
      <c r="T11687" t="s">
        <v>46926</v>
      </c>
      <c r="U11687" t="s">
        <v>57023</v>
      </c>
      <c r="W11687" t="s">
        <v>44660</v>
      </c>
      <c r="X11687" t="s">
        <v>45112</v>
      </c>
    </row>
    <row r="11688" spans="1:24">
      <c r="A11688">
        <f>HYPERLINK("https://www.philgeps.gov.ph/GEPSNONPILOT/Tender/SplashBidNoticeAbstractUI.aspx?menuIndex=3&amp;refID=7021373&amp;Result=3","7021373")</f>
        <v>0</v>
      </c>
      <c r="B11688" t="s">
        <v>942</v>
      </c>
      <c r="C11688" t="s">
        <v>14354</v>
      </c>
      <c r="D11688" t="s">
        <v>18036</v>
      </c>
      <c r="E11688" t="s">
        <v>28222</v>
      </c>
      <c r="F11688" t="s">
        <v>31574</v>
      </c>
      <c r="G11688" t="s">
        <v>31582</v>
      </c>
      <c r="H11688" t="s">
        <v>31590</v>
      </c>
      <c r="I11688" t="s">
        <v>31615</v>
      </c>
      <c r="J11688" t="s">
        <v>32662</v>
      </c>
      <c r="K11688" t="s">
        <v>41192</v>
      </c>
      <c r="M11688" t="s">
        <v>42469</v>
      </c>
      <c r="N11688" t="s">
        <v>45095</v>
      </c>
      <c r="O11688" t="s">
        <v>45096</v>
      </c>
      <c r="Q11688">
        <v>6</v>
      </c>
      <c r="R11688" t="s">
        <v>45110</v>
      </c>
      <c r="S11688" t="s">
        <v>45622</v>
      </c>
      <c r="T11688" t="s">
        <v>46923</v>
      </c>
      <c r="U11688" t="s">
        <v>57024</v>
      </c>
      <c r="V11688" t="s">
        <v>61129</v>
      </c>
      <c r="W11688" t="s">
        <v>42469</v>
      </c>
      <c r="X11688" t="s">
        <v>45112</v>
      </c>
    </row>
    <row r="11689" spans="1:24">
      <c r="A11689">
        <f>HYPERLINK("https://www.philgeps.gov.ph/GEPSNONPILOT/Tender/SplashBidNoticeAbstractUI.aspx?menuIndex=3&amp;refID=7021001&amp;Result=3","7021001")</f>
        <v>0</v>
      </c>
      <c r="B11689" t="s">
        <v>48</v>
      </c>
      <c r="C11689" t="s">
        <v>14355</v>
      </c>
      <c r="D11689" t="s">
        <v>18041</v>
      </c>
      <c r="E11689" t="s">
        <v>28223</v>
      </c>
      <c r="F11689" t="s">
        <v>31574</v>
      </c>
      <c r="G11689" t="s">
        <v>31582</v>
      </c>
      <c r="H11689" t="s">
        <v>31590</v>
      </c>
      <c r="I11689" t="s">
        <v>3487</v>
      </c>
      <c r="J11689" t="s">
        <v>38964</v>
      </c>
      <c r="K11689" t="s">
        <v>41186</v>
      </c>
      <c r="M11689" t="s">
        <v>43725</v>
      </c>
      <c r="N11689" t="s">
        <v>45095</v>
      </c>
      <c r="O11689" t="s">
        <v>45096</v>
      </c>
      <c r="P11689">
        <v>0</v>
      </c>
      <c r="Q11689">
        <v>3</v>
      </c>
      <c r="R11689" t="s">
        <v>45110</v>
      </c>
      <c r="S11689" t="s">
        <v>45605</v>
      </c>
      <c r="T11689" t="s">
        <v>46932</v>
      </c>
      <c r="U11689" t="s">
        <v>57025</v>
      </c>
      <c r="W11689" t="s">
        <v>43725</v>
      </c>
      <c r="X11689" t="s">
        <v>45112</v>
      </c>
    </row>
    <row r="11690" spans="1:24">
      <c r="A11690">
        <f>HYPERLINK("https://www.philgeps.gov.ph/GEPSNONPILOT/Tender/SplashBidNoticeAbstractUI.aspx?menuIndex=3&amp;refID=7021652&amp;Result=3","7021652")</f>
        <v>0</v>
      </c>
      <c r="B11690" t="s">
        <v>229</v>
      </c>
      <c r="C11690" t="s">
        <v>14356</v>
      </c>
      <c r="D11690" t="s">
        <v>18032</v>
      </c>
      <c r="E11690" t="s">
        <v>28224</v>
      </c>
      <c r="F11690" t="s">
        <v>31574</v>
      </c>
      <c r="G11690" t="s">
        <v>31582</v>
      </c>
      <c r="H11690" t="s">
        <v>31592</v>
      </c>
      <c r="I11690" t="s">
        <v>31667</v>
      </c>
      <c r="J11690" t="s">
        <v>33343</v>
      </c>
      <c r="K11690" t="s">
        <v>41186</v>
      </c>
      <c r="M11690" t="s">
        <v>41714</v>
      </c>
      <c r="N11690" t="s">
        <v>45095</v>
      </c>
      <c r="O11690" t="s">
        <v>45096</v>
      </c>
      <c r="P11690">
        <v>0</v>
      </c>
      <c r="Q11690">
        <v>3</v>
      </c>
      <c r="R11690" t="s">
        <v>45110</v>
      </c>
      <c r="S11690" t="s">
        <v>45605</v>
      </c>
      <c r="T11690" t="s">
        <v>47399</v>
      </c>
      <c r="U11690" t="s">
        <v>57026</v>
      </c>
      <c r="W11690" t="s">
        <v>41714</v>
      </c>
      <c r="X11690" t="s">
        <v>45111</v>
      </c>
    </row>
    <row r="11691" spans="1:24">
      <c r="A11691">
        <f>HYPERLINK("https://www.philgeps.gov.ph/GEPSNONPILOT/Tender/SplashBidNoticeAbstractUI.aspx?menuIndex=3&amp;refID=7020917&amp;Result=3","7020917")</f>
        <v>0</v>
      </c>
      <c r="B11691" t="s">
        <v>48</v>
      </c>
      <c r="C11691" t="s">
        <v>14357</v>
      </c>
      <c r="D11691" t="s">
        <v>18041</v>
      </c>
      <c r="E11691" t="s">
        <v>28225</v>
      </c>
      <c r="F11691" t="s">
        <v>31574</v>
      </c>
      <c r="G11691" t="s">
        <v>31582</v>
      </c>
      <c r="H11691" t="s">
        <v>31590</v>
      </c>
      <c r="I11691" t="s">
        <v>31615</v>
      </c>
      <c r="J11691" t="s">
        <v>38965</v>
      </c>
      <c r="K11691" t="s">
        <v>41186</v>
      </c>
      <c r="M11691" t="s">
        <v>43725</v>
      </c>
      <c r="N11691" t="s">
        <v>45095</v>
      </c>
      <c r="O11691" t="s">
        <v>45096</v>
      </c>
      <c r="P11691">
        <v>0</v>
      </c>
      <c r="Q11691">
        <v>7</v>
      </c>
      <c r="R11691" t="s">
        <v>45110</v>
      </c>
      <c r="S11691" t="s">
        <v>45605</v>
      </c>
      <c r="T11691" t="s">
        <v>46932</v>
      </c>
      <c r="U11691" t="s">
        <v>57027</v>
      </c>
      <c r="W11691" t="s">
        <v>43725</v>
      </c>
      <c r="X11691" t="s">
        <v>45112</v>
      </c>
    </row>
    <row r="11692" spans="1:24">
      <c r="A11692">
        <f>HYPERLINK("https://www.philgeps.gov.ph/GEPSNONPILOT/Tender/SplashBidNoticeAbstractUI.aspx?menuIndex=3&amp;refID=7020936&amp;Result=3","7020936")</f>
        <v>0</v>
      </c>
      <c r="B11692" t="s">
        <v>1893</v>
      </c>
      <c r="C11692" t="s">
        <v>14358</v>
      </c>
      <c r="D11692" t="s">
        <v>18047</v>
      </c>
      <c r="E11692" t="s">
        <v>28226</v>
      </c>
      <c r="F11692" t="s">
        <v>31574</v>
      </c>
      <c r="G11692" t="s">
        <v>31585</v>
      </c>
      <c r="H11692" t="s">
        <v>31590</v>
      </c>
      <c r="I11692" t="s">
        <v>14544</v>
      </c>
      <c r="J11692" t="s">
        <v>38966</v>
      </c>
      <c r="K11692" t="s">
        <v>41196</v>
      </c>
      <c r="M11692" t="s">
        <v>43536</v>
      </c>
      <c r="N11692" t="s">
        <v>45095</v>
      </c>
      <c r="O11692" t="s">
        <v>45096</v>
      </c>
      <c r="P11692">
        <v>0</v>
      </c>
      <c r="Q11692">
        <v>2</v>
      </c>
      <c r="R11692" t="s">
        <v>45110</v>
      </c>
      <c r="S11692" t="s">
        <v>45605</v>
      </c>
      <c r="T11692" t="s">
        <v>46932</v>
      </c>
      <c r="U11692" t="s">
        <v>57028</v>
      </c>
      <c r="W11692" t="s">
        <v>43536</v>
      </c>
      <c r="X11692" t="s">
        <v>45112</v>
      </c>
    </row>
    <row r="11693" spans="1:24">
      <c r="A11693">
        <f>HYPERLINK("https://www.philgeps.gov.ph/GEPSNONPILOT/Tender/SplashBidNoticeAbstractUI.aspx?menuIndex=3&amp;refID=7021659&amp;Result=3","7021659")</f>
        <v>0</v>
      </c>
      <c r="B11693" t="s">
        <v>2572</v>
      </c>
      <c r="C11693" t="s">
        <v>14359</v>
      </c>
      <c r="D11693" t="s">
        <v>18031</v>
      </c>
      <c r="E11693" t="s">
        <v>28227</v>
      </c>
      <c r="F11693" t="s">
        <v>31574</v>
      </c>
      <c r="G11693" t="s">
        <v>31588</v>
      </c>
      <c r="H11693" t="s">
        <v>31591</v>
      </c>
      <c r="I11693" t="s">
        <v>8822</v>
      </c>
      <c r="J11693" t="s">
        <v>38967</v>
      </c>
      <c r="K11693" t="s">
        <v>41198</v>
      </c>
      <c r="M11693" t="s">
        <v>44313</v>
      </c>
      <c r="N11693" t="s">
        <v>45095</v>
      </c>
      <c r="O11693" t="s">
        <v>45096</v>
      </c>
      <c r="P11693">
        <v>0</v>
      </c>
      <c r="Q11693">
        <v>33</v>
      </c>
      <c r="R11693" t="s">
        <v>45110</v>
      </c>
      <c r="S11693" t="s">
        <v>45605</v>
      </c>
      <c r="T11693" t="s">
        <v>46935</v>
      </c>
      <c r="U11693" t="s">
        <v>57029</v>
      </c>
      <c r="V11693" t="s">
        <v>61130</v>
      </c>
      <c r="W11693" t="s">
        <v>44313</v>
      </c>
      <c r="X11693" t="s">
        <v>45111</v>
      </c>
    </row>
    <row r="11694" spans="1:24">
      <c r="A11694">
        <f>HYPERLINK("https://www.philgeps.gov.ph/GEPSNONPILOT/Tender/SplashBidNoticeAbstractUI.aspx?menuIndex=3&amp;refID=7020919&amp;Result=3","7020919")</f>
        <v>0</v>
      </c>
      <c r="B11694" t="s">
        <v>605</v>
      </c>
      <c r="C11694" t="s">
        <v>14360</v>
      </c>
      <c r="D11694" t="s">
        <v>18033</v>
      </c>
      <c r="E11694" t="s">
        <v>22423</v>
      </c>
      <c r="F11694" t="s">
        <v>31574</v>
      </c>
      <c r="G11694" t="s">
        <v>31582</v>
      </c>
      <c r="H11694" t="s">
        <v>31591</v>
      </c>
      <c r="I11694" t="s">
        <v>8822</v>
      </c>
      <c r="J11694" t="s">
        <v>38968</v>
      </c>
      <c r="K11694" t="s">
        <v>41376</v>
      </c>
      <c r="M11694" t="s">
        <v>42108</v>
      </c>
      <c r="N11694" t="s">
        <v>45095</v>
      </c>
      <c r="O11694" t="s">
        <v>45096</v>
      </c>
      <c r="P11694">
        <v>0</v>
      </c>
      <c r="Q11694">
        <v>3</v>
      </c>
      <c r="R11694" t="s">
        <v>45110</v>
      </c>
      <c r="S11694" t="s">
        <v>45605</v>
      </c>
      <c r="T11694" t="s">
        <v>46926</v>
      </c>
      <c r="U11694" t="s">
        <v>57030</v>
      </c>
      <c r="V11694" t="s">
        <v>61128</v>
      </c>
      <c r="W11694" t="s">
        <v>42108</v>
      </c>
      <c r="X11694" t="s">
        <v>45112</v>
      </c>
    </row>
    <row r="11695" spans="1:24">
      <c r="A11695">
        <f>HYPERLINK("https://www.philgeps.gov.ph/GEPSNONPILOT/Tender/SplashBidNoticeAbstractUI.aspx?menuIndex=3&amp;refID=7021617&amp;Result=3","7021617")</f>
        <v>0</v>
      </c>
      <c r="B11695" t="s">
        <v>1119</v>
      </c>
      <c r="C11695" t="s">
        <v>14361</v>
      </c>
      <c r="D11695" t="s">
        <v>18025</v>
      </c>
      <c r="E11695" t="s">
        <v>28228</v>
      </c>
      <c r="F11695" t="s">
        <v>31574</v>
      </c>
      <c r="G11695" t="s">
        <v>31582</v>
      </c>
      <c r="H11695" t="s">
        <v>31590</v>
      </c>
      <c r="I11695" t="s">
        <v>31655</v>
      </c>
      <c r="J11695" t="s">
        <v>32333</v>
      </c>
      <c r="K11695" t="s">
        <v>41186</v>
      </c>
      <c r="M11695" t="s">
        <v>42669</v>
      </c>
      <c r="N11695" t="s">
        <v>45095</v>
      </c>
      <c r="O11695" t="s">
        <v>45096</v>
      </c>
      <c r="P11695">
        <v>0</v>
      </c>
      <c r="Q11695">
        <v>10</v>
      </c>
      <c r="R11695" t="s">
        <v>45110</v>
      </c>
      <c r="S11695" t="s">
        <v>45605</v>
      </c>
      <c r="T11695" t="s">
        <v>46952</v>
      </c>
      <c r="U11695" t="s">
        <v>57031</v>
      </c>
      <c r="W11695" t="s">
        <v>42669</v>
      </c>
      <c r="X11695" t="s">
        <v>45112</v>
      </c>
    </row>
    <row r="11696" spans="1:24">
      <c r="A11696">
        <f>HYPERLINK("https://www.philgeps.gov.ph/GEPSNONPILOT/Tender/SplashBidNoticeAbstractUI.aspx?menuIndex=3&amp;refID=7021661&amp;Result=3","7021661")</f>
        <v>0</v>
      </c>
      <c r="B11696" t="s">
        <v>2572</v>
      </c>
      <c r="C11696" t="s">
        <v>14362</v>
      </c>
      <c r="D11696" t="s">
        <v>18031</v>
      </c>
      <c r="E11696" t="s">
        <v>28229</v>
      </c>
      <c r="F11696" t="s">
        <v>31574</v>
      </c>
      <c r="G11696" t="s">
        <v>31588</v>
      </c>
      <c r="H11696" t="s">
        <v>31591</v>
      </c>
      <c r="I11696" t="s">
        <v>8822</v>
      </c>
      <c r="J11696" t="s">
        <v>38969</v>
      </c>
      <c r="K11696" t="s">
        <v>41198</v>
      </c>
      <c r="M11696" t="s">
        <v>44313</v>
      </c>
      <c r="N11696" t="s">
        <v>45095</v>
      </c>
      <c r="O11696" t="s">
        <v>45096</v>
      </c>
      <c r="P11696">
        <v>0</v>
      </c>
      <c r="Q11696">
        <v>30</v>
      </c>
      <c r="R11696" t="s">
        <v>45110</v>
      </c>
      <c r="S11696" t="s">
        <v>45605</v>
      </c>
      <c r="T11696" t="s">
        <v>46926</v>
      </c>
      <c r="U11696" t="s">
        <v>57032</v>
      </c>
      <c r="V11696" t="s">
        <v>61131</v>
      </c>
      <c r="W11696" t="s">
        <v>44313</v>
      </c>
      <c r="X11696" t="s">
        <v>45111</v>
      </c>
    </row>
    <row r="11697" spans="1:24">
      <c r="A11697">
        <f>HYPERLINK("https://www.philgeps.gov.ph/GEPSNONPILOT/Tender/SplashBidNoticeAbstractUI.aspx?menuIndex=3&amp;refID=7020752&amp;Result=3","7020752")</f>
        <v>0</v>
      </c>
      <c r="B11697" t="s">
        <v>670</v>
      </c>
      <c r="C11697" t="s">
        <v>14363</v>
      </c>
      <c r="E11697" t="s">
        <v>28230</v>
      </c>
      <c r="F11697" t="s">
        <v>31574</v>
      </c>
      <c r="G11697" t="s">
        <v>31582</v>
      </c>
      <c r="H11697" t="s">
        <v>31590</v>
      </c>
      <c r="I11697" t="s">
        <v>31595</v>
      </c>
      <c r="J11697" t="s">
        <v>34050</v>
      </c>
      <c r="K11697" t="s">
        <v>41192</v>
      </c>
      <c r="M11697" t="s">
        <v>43648</v>
      </c>
      <c r="N11697" t="s">
        <v>45095</v>
      </c>
      <c r="O11697" t="s">
        <v>45096</v>
      </c>
      <c r="P11697">
        <v>0</v>
      </c>
      <c r="Q11697">
        <v>29</v>
      </c>
      <c r="R11697" t="s">
        <v>45110</v>
      </c>
      <c r="S11697" t="s">
        <v>45605</v>
      </c>
      <c r="T11697" t="s">
        <v>46933</v>
      </c>
      <c r="U11697" t="s">
        <v>57033</v>
      </c>
      <c r="W11697" t="s">
        <v>43648</v>
      </c>
      <c r="X11697" t="s">
        <v>45112</v>
      </c>
    </row>
    <row r="11698" spans="1:24">
      <c r="A11698">
        <f>HYPERLINK("https://www.philgeps.gov.ph/GEPSNONPILOT/Tender/SplashBidNoticeAbstractUI.aspx?menuIndex=3&amp;refID=7020784&amp;Result=3","7020784")</f>
        <v>0</v>
      </c>
      <c r="B11698" t="s">
        <v>2866</v>
      </c>
      <c r="C11698" t="s">
        <v>14364</v>
      </c>
      <c r="D11698" t="s">
        <v>18060</v>
      </c>
      <c r="E11698" t="s">
        <v>28231</v>
      </c>
      <c r="F11698" t="s">
        <v>31574</v>
      </c>
      <c r="G11698" t="s">
        <v>31582</v>
      </c>
      <c r="H11698" t="s">
        <v>31590</v>
      </c>
      <c r="I11698" t="s">
        <v>4046</v>
      </c>
      <c r="J11698" t="s">
        <v>38970</v>
      </c>
      <c r="K11698" t="s">
        <v>41196</v>
      </c>
      <c r="M11698" t="s">
        <v>44656</v>
      </c>
      <c r="N11698" t="s">
        <v>45095</v>
      </c>
      <c r="O11698" t="s">
        <v>45096</v>
      </c>
      <c r="P11698">
        <v>0</v>
      </c>
      <c r="Q11698">
        <v>0</v>
      </c>
      <c r="R11698" t="s">
        <v>45110</v>
      </c>
      <c r="S11698" t="s">
        <v>45605</v>
      </c>
      <c r="T11698" t="s">
        <v>47183</v>
      </c>
      <c r="U11698" t="s">
        <v>57034</v>
      </c>
      <c r="W11698" t="s">
        <v>44656</v>
      </c>
      <c r="X11698" t="s">
        <v>45112</v>
      </c>
    </row>
    <row r="11699" spans="1:24">
      <c r="A11699">
        <f>HYPERLINK("https://www.philgeps.gov.ph/GEPSNONPILOT/Tender/SplashBidNoticeAbstractUI.aspx?menuIndex=3&amp;refID=7021657&amp;Result=3","7021657")</f>
        <v>0</v>
      </c>
      <c r="B11699" t="s">
        <v>2871</v>
      </c>
      <c r="C11699" t="s">
        <v>14365</v>
      </c>
      <c r="D11699" t="s">
        <v>18064</v>
      </c>
      <c r="E11699" t="s">
        <v>28232</v>
      </c>
      <c r="F11699" t="s">
        <v>31574</v>
      </c>
      <c r="G11699" t="s">
        <v>31582</v>
      </c>
      <c r="H11699" t="s">
        <v>31590</v>
      </c>
      <c r="I11699" t="s">
        <v>31615</v>
      </c>
      <c r="J11699" t="s">
        <v>32085</v>
      </c>
      <c r="K11699" t="s">
        <v>41185</v>
      </c>
      <c r="M11699" t="s">
        <v>44661</v>
      </c>
      <c r="N11699" t="s">
        <v>45095</v>
      </c>
      <c r="O11699" t="s">
        <v>45096</v>
      </c>
      <c r="P11699">
        <v>0</v>
      </c>
      <c r="Q11699">
        <v>7</v>
      </c>
      <c r="R11699" t="s">
        <v>45110</v>
      </c>
      <c r="S11699" t="s">
        <v>45605</v>
      </c>
      <c r="T11699" t="s">
        <v>46937</v>
      </c>
      <c r="U11699" t="s">
        <v>57035</v>
      </c>
      <c r="W11699" t="s">
        <v>44661</v>
      </c>
      <c r="X11699" t="s">
        <v>45111</v>
      </c>
    </row>
    <row r="11700" spans="1:24">
      <c r="A11700">
        <f>HYPERLINK("https://www.philgeps.gov.ph/GEPSNONPILOT/Tender/SplashBidNoticeAbstractUI.aspx?menuIndex=3&amp;refID=7021660&amp;Result=3","7021660")</f>
        <v>0</v>
      </c>
      <c r="B11700" t="s">
        <v>2572</v>
      </c>
      <c r="C11700" t="s">
        <v>14366</v>
      </c>
      <c r="D11700" t="s">
        <v>18031</v>
      </c>
      <c r="E11700" t="s">
        <v>28233</v>
      </c>
      <c r="F11700" t="s">
        <v>31574</v>
      </c>
      <c r="G11700" t="s">
        <v>31588</v>
      </c>
      <c r="H11700" t="s">
        <v>31591</v>
      </c>
      <c r="I11700" t="s">
        <v>8822</v>
      </c>
      <c r="J11700" t="s">
        <v>38971</v>
      </c>
      <c r="K11700" t="s">
        <v>41198</v>
      </c>
      <c r="M11700" t="s">
        <v>44313</v>
      </c>
      <c r="N11700" t="s">
        <v>45095</v>
      </c>
      <c r="O11700" t="s">
        <v>45096</v>
      </c>
      <c r="P11700">
        <v>0</v>
      </c>
      <c r="Q11700">
        <v>30</v>
      </c>
      <c r="R11700" t="s">
        <v>45110</v>
      </c>
      <c r="S11700" t="s">
        <v>45605</v>
      </c>
      <c r="T11700" t="s">
        <v>46926</v>
      </c>
      <c r="U11700" t="s">
        <v>57036</v>
      </c>
      <c r="V11700" t="s">
        <v>61132</v>
      </c>
      <c r="W11700" t="s">
        <v>44313</v>
      </c>
      <c r="X11700" t="s">
        <v>45111</v>
      </c>
    </row>
    <row r="11701" spans="1:24">
      <c r="A11701">
        <f>HYPERLINK("https://www.philgeps.gov.ph/GEPSNONPILOT/Tender/SplashBidNoticeAbstractUI.aspx?menuIndex=3&amp;refID=7021663&amp;Result=3","7021663")</f>
        <v>0</v>
      </c>
      <c r="B11701" t="s">
        <v>2572</v>
      </c>
      <c r="C11701" t="s">
        <v>14367</v>
      </c>
      <c r="D11701" t="s">
        <v>18031</v>
      </c>
      <c r="E11701" t="s">
        <v>28234</v>
      </c>
      <c r="F11701" t="s">
        <v>31574</v>
      </c>
      <c r="G11701" t="s">
        <v>31588</v>
      </c>
      <c r="H11701" t="s">
        <v>31591</v>
      </c>
      <c r="I11701" t="s">
        <v>8822</v>
      </c>
      <c r="J11701" t="s">
        <v>38972</v>
      </c>
      <c r="K11701" t="s">
        <v>41243</v>
      </c>
      <c r="M11701" t="s">
        <v>44313</v>
      </c>
      <c r="N11701" t="s">
        <v>45095</v>
      </c>
      <c r="O11701" t="s">
        <v>45096</v>
      </c>
      <c r="Q11701">
        <v>27</v>
      </c>
      <c r="R11701" t="s">
        <v>45110</v>
      </c>
      <c r="S11701" t="s">
        <v>45623</v>
      </c>
      <c r="T11701" t="s">
        <v>46926</v>
      </c>
      <c r="U11701" t="s">
        <v>57037</v>
      </c>
      <c r="V11701" t="s">
        <v>61133</v>
      </c>
      <c r="W11701" t="s">
        <v>44313</v>
      </c>
      <c r="X11701" t="s">
        <v>45111</v>
      </c>
    </row>
    <row r="11702" spans="1:24">
      <c r="A11702">
        <f>HYPERLINK("https://www.philgeps.gov.ph/GEPSNONPILOT/Tender/SplashBidNoticeAbstractUI.aspx?menuIndex=3&amp;refID=7020807&amp;Result=3","7020807")</f>
        <v>0</v>
      </c>
      <c r="B11702" t="s">
        <v>2379</v>
      </c>
      <c r="C11702" t="s">
        <v>14368</v>
      </c>
      <c r="D11702" t="s">
        <v>18090</v>
      </c>
      <c r="E11702" t="s">
        <v>26650</v>
      </c>
      <c r="F11702" t="s">
        <v>31574</v>
      </c>
      <c r="G11702" t="s">
        <v>31582</v>
      </c>
      <c r="H11702" t="s">
        <v>31590</v>
      </c>
      <c r="I11702" t="s">
        <v>4327</v>
      </c>
      <c r="J11702" t="s">
        <v>38973</v>
      </c>
      <c r="K11702" t="s">
        <v>41185</v>
      </c>
      <c r="M11702" t="s">
        <v>44103</v>
      </c>
      <c r="N11702" t="s">
        <v>45095</v>
      </c>
      <c r="O11702" t="s">
        <v>45096</v>
      </c>
      <c r="P11702">
        <v>0</v>
      </c>
      <c r="Q11702">
        <v>12</v>
      </c>
      <c r="R11702" t="s">
        <v>45110</v>
      </c>
      <c r="S11702" t="s">
        <v>45605</v>
      </c>
      <c r="T11702" t="s">
        <v>46937</v>
      </c>
      <c r="U11702" t="s">
        <v>54527</v>
      </c>
      <c r="W11702" t="s">
        <v>44103</v>
      </c>
      <c r="X11702" t="s">
        <v>45112</v>
      </c>
    </row>
    <row r="11703" spans="1:24">
      <c r="A11703">
        <f>HYPERLINK("https://www.philgeps.gov.ph/GEPSNONPILOT/Tender/SplashBidNoticeAbstractUI.aspx?menuIndex=3&amp;refID=7021664&amp;Result=3","7021664")</f>
        <v>0</v>
      </c>
      <c r="B11703" t="s">
        <v>2572</v>
      </c>
      <c r="C11703" t="s">
        <v>14369</v>
      </c>
      <c r="D11703" t="s">
        <v>18031</v>
      </c>
      <c r="E11703" t="s">
        <v>28235</v>
      </c>
      <c r="F11703" t="s">
        <v>31574</v>
      </c>
      <c r="G11703" t="s">
        <v>31588</v>
      </c>
      <c r="H11703" t="s">
        <v>31591</v>
      </c>
      <c r="I11703" t="s">
        <v>8822</v>
      </c>
      <c r="J11703" t="s">
        <v>38974</v>
      </c>
      <c r="K11703" t="s">
        <v>41189</v>
      </c>
      <c r="M11703" t="s">
        <v>44313</v>
      </c>
      <c r="N11703" t="s">
        <v>45095</v>
      </c>
      <c r="O11703" t="s">
        <v>45096</v>
      </c>
      <c r="P11703">
        <v>0</v>
      </c>
      <c r="Q11703">
        <v>18</v>
      </c>
      <c r="R11703" t="s">
        <v>45110</v>
      </c>
      <c r="S11703" t="s">
        <v>45605</v>
      </c>
      <c r="T11703" t="s">
        <v>46926</v>
      </c>
      <c r="U11703" t="s">
        <v>57038</v>
      </c>
      <c r="V11703" t="s">
        <v>61134</v>
      </c>
      <c r="W11703" t="s">
        <v>44313</v>
      </c>
      <c r="X11703" t="s">
        <v>45111</v>
      </c>
    </row>
    <row r="11704" spans="1:24">
      <c r="A11704">
        <f>HYPERLINK("https://www.philgeps.gov.ph/GEPSNONPILOT/Tender/SplashBidNoticeAbstractUI.aspx?menuIndex=3&amp;refID=7021677&amp;Result=3","7021677")</f>
        <v>0</v>
      </c>
      <c r="B11704" t="s">
        <v>524</v>
      </c>
      <c r="C11704" t="s">
        <v>14370</v>
      </c>
      <c r="D11704" t="s">
        <v>18094</v>
      </c>
      <c r="E11704" t="s">
        <v>28236</v>
      </c>
      <c r="F11704" t="s">
        <v>31574</v>
      </c>
      <c r="G11704" t="s">
        <v>31582</v>
      </c>
      <c r="H11704" t="s">
        <v>31590</v>
      </c>
      <c r="I11704" t="s">
        <v>4327</v>
      </c>
      <c r="J11704" t="s">
        <v>38975</v>
      </c>
      <c r="K11704" t="s">
        <v>41186</v>
      </c>
      <c r="M11704" t="s">
        <v>43926</v>
      </c>
      <c r="N11704" t="s">
        <v>45095</v>
      </c>
      <c r="O11704" t="s">
        <v>45096</v>
      </c>
      <c r="P11704">
        <v>0</v>
      </c>
      <c r="Q11704">
        <v>5</v>
      </c>
      <c r="R11704" t="s">
        <v>45110</v>
      </c>
      <c r="S11704" t="s">
        <v>45605</v>
      </c>
      <c r="T11704" t="s">
        <v>46979</v>
      </c>
      <c r="U11704" t="s">
        <v>53771</v>
      </c>
      <c r="W11704" t="s">
        <v>43926</v>
      </c>
      <c r="X11704" t="s">
        <v>45111</v>
      </c>
    </row>
    <row r="11705" spans="1:24">
      <c r="A11705">
        <f>HYPERLINK("https://www.philgeps.gov.ph/GEPSNONPILOT/Tender/SplashBidNoticeAbstractUI.aspx?menuIndex=3&amp;refID=7021666&amp;Result=3","7021666")</f>
        <v>0</v>
      </c>
      <c r="B11705" t="s">
        <v>2572</v>
      </c>
      <c r="C11705" t="s">
        <v>14371</v>
      </c>
      <c r="D11705" t="s">
        <v>18031</v>
      </c>
      <c r="E11705" t="s">
        <v>28237</v>
      </c>
      <c r="F11705" t="s">
        <v>31574</v>
      </c>
      <c r="G11705" t="s">
        <v>31588</v>
      </c>
      <c r="H11705" t="s">
        <v>31591</v>
      </c>
      <c r="I11705" t="s">
        <v>8822</v>
      </c>
      <c r="J11705" t="s">
        <v>38976</v>
      </c>
      <c r="K11705" t="s">
        <v>41185</v>
      </c>
      <c r="M11705" t="s">
        <v>44313</v>
      </c>
      <c r="N11705" t="s">
        <v>45095</v>
      </c>
      <c r="O11705" t="s">
        <v>45096</v>
      </c>
      <c r="P11705">
        <v>0</v>
      </c>
      <c r="Q11705">
        <v>17</v>
      </c>
      <c r="R11705" t="s">
        <v>45110</v>
      </c>
      <c r="S11705" t="s">
        <v>45605</v>
      </c>
      <c r="T11705" t="s">
        <v>46926</v>
      </c>
      <c r="U11705" t="s">
        <v>57039</v>
      </c>
      <c r="V11705" t="s">
        <v>61135</v>
      </c>
      <c r="W11705" t="s">
        <v>44313</v>
      </c>
      <c r="X11705" t="s">
        <v>45111</v>
      </c>
    </row>
    <row r="11706" spans="1:24">
      <c r="A11706">
        <f>HYPERLINK("https://www.philgeps.gov.ph/GEPSNONPILOT/Tender/SplashBidNoticeAbstractUI.aspx?menuIndex=3&amp;refID=7021675&amp;Result=3","7021675")</f>
        <v>0</v>
      </c>
      <c r="B11706" t="s">
        <v>524</v>
      </c>
      <c r="C11706" t="s">
        <v>14372</v>
      </c>
      <c r="D11706" t="s">
        <v>18094</v>
      </c>
      <c r="E11706" t="s">
        <v>28238</v>
      </c>
      <c r="F11706" t="s">
        <v>31574</v>
      </c>
      <c r="G11706" t="s">
        <v>31582</v>
      </c>
      <c r="H11706" t="s">
        <v>31590</v>
      </c>
      <c r="I11706" t="s">
        <v>31615</v>
      </c>
      <c r="J11706" t="s">
        <v>31819</v>
      </c>
      <c r="K11706" t="s">
        <v>41189</v>
      </c>
      <c r="M11706" t="s">
        <v>43926</v>
      </c>
      <c r="N11706" t="s">
        <v>45095</v>
      </c>
      <c r="O11706" t="s">
        <v>45096</v>
      </c>
      <c r="P11706">
        <v>0</v>
      </c>
      <c r="Q11706">
        <v>6</v>
      </c>
      <c r="R11706" t="s">
        <v>45110</v>
      </c>
      <c r="S11706" t="s">
        <v>45605</v>
      </c>
      <c r="T11706" t="s">
        <v>47400</v>
      </c>
      <c r="U11706" t="s">
        <v>57040</v>
      </c>
      <c r="W11706" t="s">
        <v>43926</v>
      </c>
      <c r="X11706" t="s">
        <v>45111</v>
      </c>
    </row>
    <row r="11707" spans="1:24">
      <c r="A11707">
        <f>HYPERLINK("https://www.philgeps.gov.ph/GEPSNONPILOT/Tender/SplashBidNoticeAbstractUI.aspx?menuIndex=3&amp;refID=7021679&amp;Result=3","7021679")</f>
        <v>0</v>
      </c>
      <c r="B11707" t="s">
        <v>2872</v>
      </c>
      <c r="C11707" t="s">
        <v>14373</v>
      </c>
      <c r="E11707" t="s">
        <v>28239</v>
      </c>
      <c r="F11707" t="s">
        <v>31574</v>
      </c>
      <c r="G11707" t="s">
        <v>31582</v>
      </c>
      <c r="H11707" t="s">
        <v>31590</v>
      </c>
      <c r="I11707" t="s">
        <v>31600</v>
      </c>
      <c r="J11707" t="s">
        <v>31947</v>
      </c>
      <c r="K11707" t="s">
        <v>41196</v>
      </c>
      <c r="M11707" t="s">
        <v>44662</v>
      </c>
      <c r="N11707" t="s">
        <v>45095</v>
      </c>
      <c r="O11707" t="s">
        <v>45096</v>
      </c>
      <c r="P11707">
        <v>0</v>
      </c>
      <c r="Q11707">
        <v>0</v>
      </c>
      <c r="R11707" t="s">
        <v>45110</v>
      </c>
      <c r="S11707" t="s">
        <v>45605</v>
      </c>
      <c r="T11707" t="s">
        <v>46929</v>
      </c>
      <c r="U11707" t="s">
        <v>57041</v>
      </c>
      <c r="W11707" t="s">
        <v>44662</v>
      </c>
      <c r="X11707" t="s">
        <v>45111</v>
      </c>
    </row>
    <row r="11708" spans="1:24">
      <c r="A11708">
        <f>HYPERLINK("https://www.philgeps.gov.ph/GEPSNONPILOT/Tender/SplashBidNoticeAbstractUI.aspx?menuIndex=3&amp;refID=7021665&amp;Result=3","7021665")</f>
        <v>0</v>
      </c>
      <c r="B11708" t="s">
        <v>2572</v>
      </c>
      <c r="C11708" t="s">
        <v>14374</v>
      </c>
      <c r="D11708" t="s">
        <v>18031</v>
      </c>
      <c r="E11708" t="s">
        <v>28240</v>
      </c>
      <c r="F11708" t="s">
        <v>31574</v>
      </c>
      <c r="G11708" t="s">
        <v>31588</v>
      </c>
      <c r="H11708" t="s">
        <v>31591</v>
      </c>
      <c r="I11708" t="s">
        <v>8822</v>
      </c>
      <c r="J11708" t="s">
        <v>38977</v>
      </c>
      <c r="K11708" t="s">
        <v>41185</v>
      </c>
      <c r="M11708" t="s">
        <v>44313</v>
      </c>
      <c r="N11708" t="s">
        <v>45095</v>
      </c>
      <c r="O11708" t="s">
        <v>45096</v>
      </c>
      <c r="P11708">
        <v>0</v>
      </c>
      <c r="Q11708">
        <v>17</v>
      </c>
      <c r="R11708" t="s">
        <v>45110</v>
      </c>
      <c r="S11708" t="s">
        <v>45605</v>
      </c>
      <c r="T11708" t="s">
        <v>46926</v>
      </c>
      <c r="U11708" t="s">
        <v>57042</v>
      </c>
      <c r="V11708" t="s">
        <v>61136</v>
      </c>
      <c r="W11708" t="s">
        <v>44313</v>
      </c>
      <c r="X11708" t="s">
        <v>45111</v>
      </c>
    </row>
    <row r="11709" spans="1:24">
      <c r="A11709">
        <f>HYPERLINK("https://www.philgeps.gov.ph/GEPSNONPILOT/Tender/SplashBidNoticeAbstractUI.aspx?menuIndex=3&amp;refID=7021670&amp;Result=3","7021670")</f>
        <v>0</v>
      </c>
      <c r="B11709" t="s">
        <v>2649</v>
      </c>
      <c r="C11709" t="s">
        <v>14375</v>
      </c>
      <c r="D11709" t="s">
        <v>18056</v>
      </c>
      <c r="E11709" t="s">
        <v>28241</v>
      </c>
      <c r="F11709" t="s">
        <v>31575</v>
      </c>
      <c r="G11709" t="s">
        <v>31582</v>
      </c>
      <c r="H11709" t="s">
        <v>31590</v>
      </c>
      <c r="I11709" t="s">
        <v>4046</v>
      </c>
      <c r="J11709" t="s">
        <v>38978</v>
      </c>
      <c r="K11709" t="s">
        <v>41190</v>
      </c>
      <c r="M11709" t="s">
        <v>44663</v>
      </c>
      <c r="N11709" t="s">
        <v>45095</v>
      </c>
      <c r="O11709" t="s">
        <v>45096</v>
      </c>
      <c r="P11709">
        <v>0</v>
      </c>
      <c r="Q11709">
        <v>0</v>
      </c>
      <c r="R11709" t="s">
        <v>45110</v>
      </c>
      <c r="S11709" t="s">
        <v>45605</v>
      </c>
      <c r="T11709" t="s">
        <v>47050</v>
      </c>
      <c r="U11709" t="s">
        <v>57043</v>
      </c>
      <c r="V11709" t="s">
        <v>61137</v>
      </c>
      <c r="W11709" t="s">
        <v>44663</v>
      </c>
      <c r="X11709" t="s">
        <v>45111</v>
      </c>
    </row>
    <row r="11710" spans="1:24">
      <c r="A11710">
        <f>HYPERLINK("https://www.philgeps.gov.ph/GEPSNONPILOT/Tender/SplashBidNoticeAbstractUI.aspx?menuIndex=3&amp;refID=7021674&amp;Result=3","7021674")</f>
        <v>0</v>
      </c>
      <c r="B11710" t="s">
        <v>524</v>
      </c>
      <c r="C11710" t="s">
        <v>14376</v>
      </c>
      <c r="D11710" t="s">
        <v>18094</v>
      </c>
      <c r="E11710" t="s">
        <v>28242</v>
      </c>
      <c r="F11710" t="s">
        <v>31574</v>
      </c>
      <c r="G11710" t="s">
        <v>31582</v>
      </c>
      <c r="H11710" t="s">
        <v>31590</v>
      </c>
      <c r="I11710" t="s">
        <v>31644</v>
      </c>
      <c r="J11710" t="s">
        <v>38979</v>
      </c>
      <c r="K11710" t="s">
        <v>41186</v>
      </c>
      <c r="M11710" t="s">
        <v>43926</v>
      </c>
      <c r="N11710" t="s">
        <v>45095</v>
      </c>
      <c r="O11710" t="s">
        <v>45096</v>
      </c>
      <c r="P11710">
        <v>0</v>
      </c>
      <c r="Q11710">
        <v>6</v>
      </c>
      <c r="R11710" t="s">
        <v>45110</v>
      </c>
      <c r="S11710" t="s">
        <v>45605</v>
      </c>
      <c r="T11710" t="s">
        <v>46979</v>
      </c>
      <c r="U11710" t="s">
        <v>57040</v>
      </c>
      <c r="W11710" t="s">
        <v>43926</v>
      </c>
      <c r="X11710" t="s">
        <v>45111</v>
      </c>
    </row>
    <row r="11711" spans="1:24">
      <c r="A11711">
        <f>HYPERLINK("https://www.philgeps.gov.ph/GEPSNONPILOT/Tender/SplashBidNoticeAbstractUI.aspx?menuIndex=3&amp;refID=7021684&amp;Result=3","7021684")</f>
        <v>0</v>
      </c>
      <c r="B11711" t="s">
        <v>1429</v>
      </c>
      <c r="C11711" t="s">
        <v>14377</v>
      </c>
      <c r="D11711" t="s">
        <v>18072</v>
      </c>
      <c r="E11711" t="s">
        <v>28243</v>
      </c>
      <c r="F11711" t="s">
        <v>31574</v>
      </c>
      <c r="G11711" t="s">
        <v>31582</v>
      </c>
      <c r="H11711" t="s">
        <v>31590</v>
      </c>
      <c r="I11711" t="s">
        <v>4327</v>
      </c>
      <c r="J11711" t="s">
        <v>38980</v>
      </c>
      <c r="K11711" t="s">
        <v>41186</v>
      </c>
      <c r="M11711" t="s">
        <v>43005</v>
      </c>
      <c r="N11711" t="s">
        <v>45095</v>
      </c>
      <c r="O11711" t="s">
        <v>45096</v>
      </c>
      <c r="P11711">
        <v>0</v>
      </c>
      <c r="Q11711">
        <v>0</v>
      </c>
      <c r="R11711" t="s">
        <v>45110</v>
      </c>
      <c r="S11711" t="s">
        <v>45605</v>
      </c>
      <c r="T11711" t="s">
        <v>47180</v>
      </c>
      <c r="U11711" t="s">
        <v>57044</v>
      </c>
      <c r="V11711" t="s">
        <v>61138</v>
      </c>
      <c r="W11711" t="s">
        <v>43005</v>
      </c>
      <c r="X11711" t="s">
        <v>45111</v>
      </c>
    </row>
    <row r="11712" spans="1:24">
      <c r="A11712">
        <f>HYPERLINK("https://www.philgeps.gov.ph/GEPSNONPILOT/Tender/SplashBidNoticeAbstractUI.aspx?menuIndex=3&amp;refID=7021673&amp;Result=3","7021673")</f>
        <v>0</v>
      </c>
      <c r="B11712" t="s">
        <v>524</v>
      </c>
      <c r="C11712" t="s">
        <v>14378</v>
      </c>
      <c r="D11712" t="s">
        <v>18094</v>
      </c>
      <c r="E11712" t="s">
        <v>28244</v>
      </c>
      <c r="F11712" t="s">
        <v>31574</v>
      </c>
      <c r="G11712" t="s">
        <v>31582</v>
      </c>
      <c r="H11712" t="s">
        <v>31590</v>
      </c>
      <c r="I11712" t="s">
        <v>31644</v>
      </c>
      <c r="J11712" t="s">
        <v>36996</v>
      </c>
      <c r="K11712" t="s">
        <v>41186</v>
      </c>
      <c r="M11712" t="s">
        <v>43926</v>
      </c>
      <c r="N11712" t="s">
        <v>45095</v>
      </c>
      <c r="O11712" t="s">
        <v>45096</v>
      </c>
      <c r="P11712">
        <v>0</v>
      </c>
      <c r="Q11712">
        <v>9</v>
      </c>
      <c r="R11712" t="s">
        <v>45110</v>
      </c>
      <c r="S11712" t="s">
        <v>45605</v>
      </c>
      <c r="T11712" t="s">
        <v>46979</v>
      </c>
      <c r="U11712" t="s">
        <v>57040</v>
      </c>
      <c r="W11712" t="s">
        <v>43926</v>
      </c>
      <c r="X11712" t="s">
        <v>45111</v>
      </c>
    </row>
    <row r="11713" spans="1:24">
      <c r="A11713">
        <f>HYPERLINK("https://www.philgeps.gov.ph/GEPSNONPILOT/Tender/SplashBidNoticeAbstractUI.aspx?menuIndex=3&amp;refID=7021687&amp;Result=3","7021687")</f>
        <v>0</v>
      </c>
      <c r="B11713" t="s">
        <v>2872</v>
      </c>
      <c r="C11713" t="s">
        <v>14379</v>
      </c>
      <c r="D11713" t="s">
        <v>18051</v>
      </c>
      <c r="E11713" t="s">
        <v>28245</v>
      </c>
      <c r="F11713" t="s">
        <v>31574</v>
      </c>
      <c r="G11713" t="s">
        <v>31582</v>
      </c>
      <c r="H11713" t="s">
        <v>31590</v>
      </c>
      <c r="I11713" t="s">
        <v>31602</v>
      </c>
      <c r="J11713" t="s">
        <v>32746</v>
      </c>
      <c r="K11713" t="s">
        <v>41196</v>
      </c>
      <c r="M11713" t="s">
        <v>44662</v>
      </c>
      <c r="N11713" t="s">
        <v>45095</v>
      </c>
      <c r="O11713" t="s">
        <v>45096</v>
      </c>
      <c r="P11713">
        <v>0</v>
      </c>
      <c r="Q11713">
        <v>0</v>
      </c>
      <c r="R11713" t="s">
        <v>45110</v>
      </c>
      <c r="S11713" t="s">
        <v>45605</v>
      </c>
      <c r="T11713" t="s">
        <v>46929</v>
      </c>
      <c r="U11713" t="s">
        <v>57045</v>
      </c>
      <c r="W11713" t="s">
        <v>44662</v>
      </c>
      <c r="X11713" t="s">
        <v>45111</v>
      </c>
    </row>
    <row r="11714" spans="1:24">
      <c r="A11714">
        <f>HYPERLINK("https://www.philgeps.gov.ph/GEPSNONPILOT/Tender/SplashBidNoticeAbstractUI.aspx?menuIndex=3&amp;refID=7021715&amp;Result=3","7021715")</f>
        <v>0</v>
      </c>
      <c r="B11714" t="s">
        <v>2873</v>
      </c>
      <c r="C11714" t="s">
        <v>14380</v>
      </c>
      <c r="D11714" t="s">
        <v>18022</v>
      </c>
      <c r="E11714" t="s">
        <v>28246</v>
      </c>
      <c r="F11714" t="s">
        <v>31575</v>
      </c>
      <c r="G11714" t="s">
        <v>31582</v>
      </c>
      <c r="H11714" t="s">
        <v>31590</v>
      </c>
      <c r="I11714" t="s">
        <v>31683</v>
      </c>
      <c r="J11714" t="s">
        <v>38981</v>
      </c>
      <c r="K11714" t="s">
        <v>41184</v>
      </c>
      <c r="M11714" t="s">
        <v>44664</v>
      </c>
      <c r="N11714" t="s">
        <v>45095</v>
      </c>
      <c r="O11714" t="s">
        <v>45096</v>
      </c>
      <c r="P11714">
        <v>0</v>
      </c>
      <c r="Q11714">
        <v>0</v>
      </c>
      <c r="R11714" t="s">
        <v>45110</v>
      </c>
      <c r="S11714" t="s">
        <v>45605</v>
      </c>
      <c r="T11714" t="s">
        <v>47076</v>
      </c>
      <c r="U11714" t="s">
        <v>57046</v>
      </c>
      <c r="W11714" t="s">
        <v>44664</v>
      </c>
      <c r="X11714" t="s">
        <v>45111</v>
      </c>
    </row>
    <row r="11715" spans="1:24">
      <c r="A11715">
        <f>HYPERLINK("https://www.philgeps.gov.ph/GEPSNONPILOT/Tender/SplashBidNoticeAbstractUI.aspx?menuIndex=3&amp;refID=7021669&amp;Result=3","7021669")</f>
        <v>0</v>
      </c>
      <c r="B11715" t="s">
        <v>2572</v>
      </c>
      <c r="C11715" t="s">
        <v>14381</v>
      </c>
      <c r="D11715" t="s">
        <v>18031</v>
      </c>
      <c r="E11715" t="s">
        <v>28247</v>
      </c>
      <c r="F11715" t="s">
        <v>31574</v>
      </c>
      <c r="G11715" t="s">
        <v>31588</v>
      </c>
      <c r="H11715" t="s">
        <v>31591</v>
      </c>
      <c r="I11715" t="s">
        <v>8822</v>
      </c>
      <c r="J11715" t="s">
        <v>38982</v>
      </c>
      <c r="K11715" t="s">
        <v>41189</v>
      </c>
      <c r="M11715" t="s">
        <v>44313</v>
      </c>
      <c r="N11715" t="s">
        <v>45095</v>
      </c>
      <c r="O11715" t="s">
        <v>45096</v>
      </c>
      <c r="P11715">
        <v>0</v>
      </c>
      <c r="Q11715">
        <v>15</v>
      </c>
      <c r="R11715" t="s">
        <v>45110</v>
      </c>
      <c r="S11715" t="s">
        <v>45605</v>
      </c>
      <c r="T11715" t="s">
        <v>46926</v>
      </c>
      <c r="U11715" t="s">
        <v>57047</v>
      </c>
      <c r="V11715" t="s">
        <v>61139</v>
      </c>
      <c r="W11715" t="s">
        <v>44313</v>
      </c>
      <c r="X11715" t="s">
        <v>45111</v>
      </c>
    </row>
    <row r="11716" spans="1:24">
      <c r="A11716">
        <f>HYPERLINK("https://www.philgeps.gov.ph/GEPSNONPILOT/Tender/SplashBidNoticeAbstractUI.aspx?menuIndex=3&amp;refID=7021691&amp;Result=3","7021691")</f>
        <v>0</v>
      </c>
      <c r="B11716" t="s">
        <v>1429</v>
      </c>
      <c r="C11716" t="s">
        <v>14382</v>
      </c>
      <c r="D11716" t="s">
        <v>18072</v>
      </c>
      <c r="E11716" t="s">
        <v>28248</v>
      </c>
      <c r="F11716" t="s">
        <v>31574</v>
      </c>
      <c r="G11716" t="s">
        <v>31582</v>
      </c>
      <c r="H11716" t="s">
        <v>31590</v>
      </c>
      <c r="I11716" t="s">
        <v>4327</v>
      </c>
      <c r="J11716" t="s">
        <v>38983</v>
      </c>
      <c r="K11716" t="s">
        <v>41186</v>
      </c>
      <c r="M11716" t="s">
        <v>43005</v>
      </c>
      <c r="N11716" t="s">
        <v>45095</v>
      </c>
      <c r="O11716" t="s">
        <v>45096</v>
      </c>
      <c r="P11716">
        <v>0</v>
      </c>
      <c r="Q11716">
        <v>8</v>
      </c>
      <c r="R11716" t="s">
        <v>45110</v>
      </c>
      <c r="S11716" t="s">
        <v>45605</v>
      </c>
      <c r="T11716" t="s">
        <v>46930</v>
      </c>
      <c r="U11716" t="s">
        <v>57048</v>
      </c>
      <c r="V11716" t="s">
        <v>61140</v>
      </c>
      <c r="W11716" t="s">
        <v>43005</v>
      </c>
      <c r="X11716" t="s">
        <v>45111</v>
      </c>
    </row>
    <row r="11717" spans="1:24">
      <c r="A11717">
        <f>HYPERLINK("https://www.philgeps.gov.ph/GEPSNONPILOT/Tender/SplashBidNoticeAbstractUI.aspx?menuIndex=3&amp;refID=7021668&amp;Result=3","7021668")</f>
        <v>0</v>
      </c>
      <c r="B11717" t="s">
        <v>2572</v>
      </c>
      <c r="C11717" t="s">
        <v>14383</v>
      </c>
      <c r="D11717" t="s">
        <v>18031</v>
      </c>
      <c r="E11717" t="s">
        <v>28249</v>
      </c>
      <c r="F11717" t="s">
        <v>31574</v>
      </c>
      <c r="G11717" t="s">
        <v>31588</v>
      </c>
      <c r="H11717" t="s">
        <v>31591</v>
      </c>
      <c r="I11717" t="s">
        <v>8822</v>
      </c>
      <c r="J11717" t="s">
        <v>38984</v>
      </c>
      <c r="K11717" t="s">
        <v>41189</v>
      </c>
      <c r="M11717" t="s">
        <v>44313</v>
      </c>
      <c r="N11717" t="s">
        <v>45095</v>
      </c>
      <c r="O11717" t="s">
        <v>45096</v>
      </c>
      <c r="P11717">
        <v>0</v>
      </c>
      <c r="Q11717">
        <v>18</v>
      </c>
      <c r="R11717" t="s">
        <v>45110</v>
      </c>
      <c r="S11717" t="s">
        <v>45605</v>
      </c>
      <c r="T11717" t="s">
        <v>46926</v>
      </c>
      <c r="U11717" t="s">
        <v>57049</v>
      </c>
      <c r="V11717" t="s">
        <v>61141</v>
      </c>
      <c r="W11717" t="s">
        <v>44313</v>
      </c>
      <c r="X11717" t="s">
        <v>45111</v>
      </c>
    </row>
    <row r="11718" spans="1:24">
      <c r="A11718">
        <f>HYPERLINK("https://www.philgeps.gov.ph/GEPSNONPILOT/Tender/SplashBidNoticeAbstractUI.aspx?menuIndex=3&amp;refID=7021702&amp;Result=3","7021702")</f>
        <v>0</v>
      </c>
      <c r="B11718" t="s">
        <v>2793</v>
      </c>
      <c r="C11718" t="s">
        <v>14384</v>
      </c>
      <c r="E11718" t="s">
        <v>27038</v>
      </c>
      <c r="F11718" t="s">
        <v>31574</v>
      </c>
      <c r="G11718" t="s">
        <v>31582</v>
      </c>
      <c r="H11718" t="s">
        <v>31590</v>
      </c>
      <c r="I11718" t="s">
        <v>31593</v>
      </c>
      <c r="J11718" t="s">
        <v>31947</v>
      </c>
      <c r="K11718" t="s">
        <v>41281</v>
      </c>
      <c r="M11718" t="s">
        <v>44568</v>
      </c>
      <c r="N11718" t="s">
        <v>45095</v>
      </c>
      <c r="O11718" t="s">
        <v>45096</v>
      </c>
      <c r="P11718">
        <v>0</v>
      </c>
      <c r="Q11718">
        <v>3</v>
      </c>
      <c r="R11718" t="s">
        <v>45110</v>
      </c>
      <c r="S11718" t="s">
        <v>45605</v>
      </c>
      <c r="T11718" t="s">
        <v>46995</v>
      </c>
      <c r="U11718" t="s">
        <v>57050</v>
      </c>
      <c r="W11718" t="s">
        <v>44568</v>
      </c>
      <c r="X11718" t="s">
        <v>45111</v>
      </c>
    </row>
    <row r="11719" spans="1:24">
      <c r="A11719">
        <f>HYPERLINK("https://www.philgeps.gov.ph/GEPSNONPILOT/Tender/SplashBidNoticeAbstractUI.aspx?menuIndex=3&amp;refID=7021662&amp;Result=3","7021662")</f>
        <v>0</v>
      </c>
      <c r="B11719" t="s">
        <v>2572</v>
      </c>
      <c r="C11719" t="s">
        <v>14385</v>
      </c>
      <c r="D11719" t="s">
        <v>18031</v>
      </c>
      <c r="E11719" t="s">
        <v>28250</v>
      </c>
      <c r="F11719" t="s">
        <v>31574</v>
      </c>
      <c r="G11719" t="s">
        <v>31588</v>
      </c>
      <c r="H11719" t="s">
        <v>31591</v>
      </c>
      <c r="I11719" t="s">
        <v>8822</v>
      </c>
      <c r="J11719" t="s">
        <v>38985</v>
      </c>
      <c r="K11719" t="s">
        <v>41198</v>
      </c>
      <c r="M11719" t="s">
        <v>44313</v>
      </c>
      <c r="N11719" t="s">
        <v>45095</v>
      </c>
      <c r="O11719" t="s">
        <v>45096</v>
      </c>
      <c r="Q11719">
        <v>27</v>
      </c>
      <c r="R11719" t="s">
        <v>45110</v>
      </c>
      <c r="S11719" t="s">
        <v>45624</v>
      </c>
      <c r="T11719" t="s">
        <v>46926</v>
      </c>
      <c r="U11719" t="s">
        <v>57051</v>
      </c>
      <c r="V11719" t="s">
        <v>61142</v>
      </c>
      <c r="W11719" t="s">
        <v>44313</v>
      </c>
      <c r="X11719" t="s">
        <v>45111</v>
      </c>
    </row>
    <row r="11720" spans="1:24">
      <c r="A11720">
        <f>HYPERLINK("https://www.philgeps.gov.ph/GEPSNONPILOT/Tender/SplashBidNoticeAbstractUI.aspx?menuIndex=3&amp;refID=7021701&amp;Result=3","7021701")</f>
        <v>0</v>
      </c>
      <c r="B11720" t="s">
        <v>1429</v>
      </c>
      <c r="C11720" t="s">
        <v>14386</v>
      </c>
      <c r="D11720" t="s">
        <v>18072</v>
      </c>
      <c r="E11720" t="s">
        <v>28251</v>
      </c>
      <c r="F11720" t="s">
        <v>31574</v>
      </c>
      <c r="G11720" t="s">
        <v>31582</v>
      </c>
      <c r="H11720" t="s">
        <v>31590</v>
      </c>
      <c r="I11720" t="s">
        <v>31616</v>
      </c>
      <c r="J11720" t="s">
        <v>38986</v>
      </c>
      <c r="K11720" t="s">
        <v>41186</v>
      </c>
      <c r="M11720" t="s">
        <v>43005</v>
      </c>
      <c r="N11720" t="s">
        <v>45095</v>
      </c>
      <c r="O11720" t="s">
        <v>45096</v>
      </c>
      <c r="P11720">
        <v>0</v>
      </c>
      <c r="Q11720">
        <v>8</v>
      </c>
      <c r="R11720" t="s">
        <v>45110</v>
      </c>
      <c r="S11720" t="s">
        <v>45605</v>
      </c>
      <c r="T11720" t="s">
        <v>47391</v>
      </c>
      <c r="U11720" t="s">
        <v>57052</v>
      </c>
      <c r="V11720" t="s">
        <v>61143</v>
      </c>
      <c r="W11720" t="s">
        <v>43005</v>
      </c>
      <c r="X11720" t="s">
        <v>45111</v>
      </c>
    </row>
    <row r="11721" spans="1:24">
      <c r="A11721">
        <f>HYPERLINK("https://www.philgeps.gov.ph/GEPSNONPILOT/Tender/SplashBidNoticeAbstractUI.aspx?menuIndex=3&amp;refID=7021689&amp;Result=3","7021689")</f>
        <v>0</v>
      </c>
      <c r="B11721" t="s">
        <v>524</v>
      </c>
      <c r="C11721" t="s">
        <v>6556</v>
      </c>
      <c r="D11721" t="s">
        <v>18094</v>
      </c>
      <c r="E11721" t="s">
        <v>28252</v>
      </c>
      <c r="F11721" t="s">
        <v>31574</v>
      </c>
      <c r="G11721" t="s">
        <v>31582</v>
      </c>
      <c r="H11721" t="s">
        <v>31590</v>
      </c>
      <c r="I11721" t="s">
        <v>5717</v>
      </c>
      <c r="J11721" t="s">
        <v>38987</v>
      </c>
      <c r="K11721" t="s">
        <v>41186</v>
      </c>
      <c r="M11721" t="s">
        <v>43926</v>
      </c>
      <c r="N11721" t="s">
        <v>45095</v>
      </c>
      <c r="O11721" t="s">
        <v>45096</v>
      </c>
      <c r="P11721">
        <v>0</v>
      </c>
      <c r="Q11721">
        <v>2</v>
      </c>
      <c r="R11721" t="s">
        <v>45110</v>
      </c>
      <c r="S11721" t="s">
        <v>45605</v>
      </c>
      <c r="T11721" t="s">
        <v>46979</v>
      </c>
      <c r="U11721" t="s">
        <v>53771</v>
      </c>
      <c r="W11721" t="s">
        <v>43926</v>
      </c>
      <c r="X11721" t="s">
        <v>45111</v>
      </c>
    </row>
    <row r="11722" spans="1:24">
      <c r="A11722">
        <f>HYPERLINK("https://www.philgeps.gov.ph/GEPSNONPILOT/Tender/SplashBidNoticeAbstractUI.aspx?menuIndex=3&amp;refID=7021720&amp;Result=3","7021720")</f>
        <v>0</v>
      </c>
      <c r="B11722" t="s">
        <v>2874</v>
      </c>
      <c r="C11722" t="s">
        <v>14387</v>
      </c>
      <c r="D11722" t="s">
        <v>18076</v>
      </c>
      <c r="E11722" t="s">
        <v>28253</v>
      </c>
      <c r="F11722" t="s">
        <v>31574</v>
      </c>
      <c r="G11722" t="s">
        <v>31582</v>
      </c>
      <c r="H11722" t="s">
        <v>31590</v>
      </c>
      <c r="I11722" t="s">
        <v>4046</v>
      </c>
      <c r="J11722" t="s">
        <v>31789</v>
      </c>
      <c r="K11722" t="s">
        <v>41196</v>
      </c>
      <c r="M11722" t="s">
        <v>44665</v>
      </c>
      <c r="N11722" t="s">
        <v>45095</v>
      </c>
      <c r="O11722" t="s">
        <v>45096</v>
      </c>
      <c r="P11722">
        <v>0</v>
      </c>
      <c r="Q11722">
        <v>1</v>
      </c>
      <c r="R11722" t="s">
        <v>45110</v>
      </c>
      <c r="S11722" t="s">
        <v>45605</v>
      </c>
      <c r="T11722" t="s">
        <v>46979</v>
      </c>
      <c r="U11722" t="s">
        <v>57053</v>
      </c>
      <c r="V11722" t="s">
        <v>61144</v>
      </c>
      <c r="W11722" t="s">
        <v>61762</v>
      </c>
      <c r="X11722" t="s">
        <v>45111</v>
      </c>
    </row>
    <row r="11723" spans="1:24">
      <c r="A11723">
        <f>HYPERLINK("https://www.philgeps.gov.ph/GEPSNONPILOT/Tender/SplashBidNoticeAbstractUI.aspx?menuIndex=3&amp;refID=7021746&amp;Result=3","7021746")</f>
        <v>0</v>
      </c>
      <c r="B11723" t="s">
        <v>2875</v>
      </c>
      <c r="C11723" t="s">
        <v>14388</v>
      </c>
      <c r="D11723" t="s">
        <v>18033</v>
      </c>
      <c r="E11723" t="s">
        <v>20031</v>
      </c>
      <c r="F11723" t="s">
        <v>31574</v>
      </c>
      <c r="G11723" t="s">
        <v>31582</v>
      </c>
      <c r="H11723" t="s">
        <v>31590</v>
      </c>
      <c r="I11723" t="s">
        <v>31615</v>
      </c>
      <c r="J11723" t="s">
        <v>37323</v>
      </c>
      <c r="K11723" t="s">
        <v>41186</v>
      </c>
      <c r="M11723" t="s">
        <v>44666</v>
      </c>
      <c r="N11723" t="s">
        <v>45095</v>
      </c>
      <c r="O11723" t="s">
        <v>45096</v>
      </c>
      <c r="P11723">
        <v>0</v>
      </c>
      <c r="Q11723">
        <v>6</v>
      </c>
      <c r="R11723" t="s">
        <v>45110</v>
      </c>
      <c r="S11723" t="s">
        <v>45605</v>
      </c>
      <c r="T11723" t="s">
        <v>47097</v>
      </c>
      <c r="U11723" t="s">
        <v>57054</v>
      </c>
      <c r="W11723" t="s">
        <v>44666</v>
      </c>
      <c r="X11723" t="s">
        <v>45111</v>
      </c>
    </row>
    <row r="11724" spans="1:24">
      <c r="A11724">
        <f>HYPERLINK("https://www.philgeps.gov.ph/GEPSNONPILOT/Tender/SplashBidNoticeAbstractUI.aspx?menuIndex=3&amp;refID=7021731&amp;Result=3","7021731")</f>
        <v>0</v>
      </c>
      <c r="B11724" t="s">
        <v>2876</v>
      </c>
      <c r="C11724" t="s">
        <v>14389</v>
      </c>
      <c r="E11724" t="s">
        <v>28254</v>
      </c>
      <c r="F11724" t="s">
        <v>31574</v>
      </c>
      <c r="G11724" t="s">
        <v>31582</v>
      </c>
      <c r="H11724" t="s">
        <v>31590</v>
      </c>
      <c r="I11724" t="s">
        <v>8822</v>
      </c>
      <c r="J11724" t="s">
        <v>38988</v>
      </c>
      <c r="K11724" t="s">
        <v>41184</v>
      </c>
      <c r="M11724" t="s">
        <v>44667</v>
      </c>
      <c r="N11724" t="s">
        <v>45095</v>
      </c>
      <c r="O11724" t="s">
        <v>45096</v>
      </c>
      <c r="P11724">
        <v>0</v>
      </c>
      <c r="Q11724">
        <v>0</v>
      </c>
      <c r="R11724" t="s">
        <v>45110</v>
      </c>
      <c r="S11724" t="s">
        <v>45605</v>
      </c>
      <c r="T11724" t="s">
        <v>47050</v>
      </c>
      <c r="U11724" t="s">
        <v>57055</v>
      </c>
      <c r="W11724" t="s">
        <v>44667</v>
      </c>
      <c r="X11724" t="s">
        <v>45111</v>
      </c>
    </row>
    <row r="11725" spans="1:24">
      <c r="A11725">
        <f>HYPERLINK("https://www.philgeps.gov.ph/GEPSNONPILOT/Tender/SplashBidNoticeAbstractUI.aspx?menuIndex=3&amp;refID=7021841&amp;Result=3","7021841")</f>
        <v>0</v>
      </c>
      <c r="B11725" t="s">
        <v>465</v>
      </c>
      <c r="C11725" t="s">
        <v>14390</v>
      </c>
      <c r="D11725" t="s">
        <v>18023</v>
      </c>
      <c r="E11725" t="s">
        <v>28255</v>
      </c>
      <c r="F11725" t="s">
        <v>31574</v>
      </c>
      <c r="G11725" t="s">
        <v>31582</v>
      </c>
      <c r="H11725" t="s">
        <v>31590</v>
      </c>
      <c r="I11725" t="s">
        <v>31608</v>
      </c>
      <c r="J11725" t="s">
        <v>34050</v>
      </c>
      <c r="K11725" t="s">
        <v>41191</v>
      </c>
      <c r="M11725" t="s">
        <v>41959</v>
      </c>
      <c r="N11725" t="s">
        <v>45095</v>
      </c>
      <c r="O11725" t="s">
        <v>45096</v>
      </c>
      <c r="Q11725">
        <v>24</v>
      </c>
      <c r="R11725" t="s">
        <v>45110</v>
      </c>
      <c r="S11725" t="s">
        <v>45625</v>
      </c>
      <c r="T11725" t="s">
        <v>47003</v>
      </c>
      <c r="U11725" t="s">
        <v>57056</v>
      </c>
      <c r="W11725" t="s">
        <v>41959</v>
      </c>
      <c r="X11725" t="s">
        <v>45111</v>
      </c>
    </row>
    <row r="11726" spans="1:24">
      <c r="A11726">
        <f>HYPERLINK("https://www.philgeps.gov.ph/GEPSNONPILOT/Tender/SplashBidNoticeAbstractUI.aspx?menuIndex=3&amp;refID=7021760&amp;Result=3","7021760")</f>
        <v>0</v>
      </c>
      <c r="B11726" t="s">
        <v>598</v>
      </c>
      <c r="C11726" t="s">
        <v>14391</v>
      </c>
      <c r="D11726" t="s">
        <v>18022</v>
      </c>
      <c r="E11726" t="s">
        <v>28256</v>
      </c>
      <c r="F11726" t="s">
        <v>31574</v>
      </c>
      <c r="G11726" t="s">
        <v>31581</v>
      </c>
      <c r="H11726" t="s">
        <v>31590</v>
      </c>
      <c r="I11726" t="s">
        <v>8258</v>
      </c>
      <c r="J11726" t="s">
        <v>32090</v>
      </c>
      <c r="K11726" t="s">
        <v>41213</v>
      </c>
      <c r="M11726" t="s">
        <v>42101</v>
      </c>
      <c r="N11726" t="s">
        <v>45095</v>
      </c>
      <c r="O11726" t="s">
        <v>45096</v>
      </c>
      <c r="Q11726">
        <v>1</v>
      </c>
      <c r="R11726" t="s">
        <v>45110</v>
      </c>
      <c r="S11726" t="s">
        <v>45626</v>
      </c>
      <c r="T11726" t="s">
        <v>47067</v>
      </c>
      <c r="U11726" t="s">
        <v>57057</v>
      </c>
      <c r="V11726" t="s">
        <v>59987</v>
      </c>
      <c r="W11726" t="s">
        <v>42101</v>
      </c>
      <c r="X11726" t="s">
        <v>45111</v>
      </c>
    </row>
    <row r="11727" spans="1:24">
      <c r="A11727">
        <f>HYPERLINK("https://www.philgeps.gov.ph/GEPSNONPILOT/Tender/SplashBidNoticeAbstractUI.aspx?menuIndex=3&amp;refID=7021833&amp;Result=3","7021833")</f>
        <v>0</v>
      </c>
      <c r="B11727" t="s">
        <v>1429</v>
      </c>
      <c r="C11727" t="s">
        <v>14392</v>
      </c>
      <c r="D11727" t="s">
        <v>18072</v>
      </c>
      <c r="E11727" t="s">
        <v>28257</v>
      </c>
      <c r="F11727" t="s">
        <v>31574</v>
      </c>
      <c r="G11727" t="s">
        <v>31585</v>
      </c>
      <c r="H11727" t="s">
        <v>31590</v>
      </c>
      <c r="I11727" t="s">
        <v>31594</v>
      </c>
      <c r="J11727" t="s">
        <v>38989</v>
      </c>
      <c r="K11727" t="s">
        <v>41186</v>
      </c>
      <c r="M11727" t="s">
        <v>43005</v>
      </c>
      <c r="N11727" t="s">
        <v>45095</v>
      </c>
      <c r="O11727" t="s">
        <v>45096</v>
      </c>
      <c r="P11727">
        <v>0</v>
      </c>
      <c r="Q11727">
        <v>3</v>
      </c>
      <c r="R11727" t="s">
        <v>45110</v>
      </c>
      <c r="S11727" t="s">
        <v>45605</v>
      </c>
      <c r="T11727" t="s">
        <v>47076</v>
      </c>
      <c r="U11727" t="s">
        <v>57058</v>
      </c>
      <c r="W11727" t="s">
        <v>43005</v>
      </c>
      <c r="X11727" t="s">
        <v>45111</v>
      </c>
    </row>
    <row r="11728" spans="1:24">
      <c r="A11728">
        <f>HYPERLINK("https://www.philgeps.gov.ph/GEPSNONPILOT/Tender/SplashBidNoticeAbstractUI.aspx?menuIndex=3&amp;refID=7021836&amp;Result=3","7021836")</f>
        <v>0</v>
      </c>
      <c r="B11728" t="s">
        <v>2877</v>
      </c>
      <c r="C11728" t="s">
        <v>14393</v>
      </c>
      <c r="D11728" t="s">
        <v>18063</v>
      </c>
      <c r="E11728" t="s">
        <v>28258</v>
      </c>
      <c r="F11728" t="s">
        <v>31574</v>
      </c>
      <c r="G11728" t="s">
        <v>31582</v>
      </c>
      <c r="H11728" t="s">
        <v>31591</v>
      </c>
      <c r="I11728" t="s">
        <v>8822</v>
      </c>
      <c r="J11728" t="s">
        <v>32333</v>
      </c>
      <c r="K11728" t="s">
        <v>41192</v>
      </c>
      <c r="M11728" t="s">
        <v>44668</v>
      </c>
      <c r="N11728" t="s">
        <v>45095</v>
      </c>
      <c r="O11728" t="s">
        <v>45096</v>
      </c>
      <c r="P11728">
        <v>0</v>
      </c>
      <c r="Q11728">
        <v>0</v>
      </c>
      <c r="R11728" t="s">
        <v>45110</v>
      </c>
      <c r="S11728" t="s">
        <v>45605</v>
      </c>
      <c r="T11728" t="s">
        <v>46962</v>
      </c>
      <c r="U11728" t="s">
        <v>57059</v>
      </c>
      <c r="W11728" t="s">
        <v>44668</v>
      </c>
      <c r="X11728" t="s">
        <v>45111</v>
      </c>
    </row>
    <row r="11729" spans="1:24">
      <c r="A11729">
        <f>HYPERLINK("https://www.philgeps.gov.ph/GEPSNONPILOT/Tender/SplashBidNoticeAbstractUI.aspx?menuIndex=3&amp;refID=7021742&amp;Result=3","7021742")</f>
        <v>0</v>
      </c>
      <c r="B11729" t="s">
        <v>2878</v>
      </c>
      <c r="C11729" t="s">
        <v>14394</v>
      </c>
      <c r="D11729" t="s">
        <v>18046</v>
      </c>
      <c r="E11729" t="s">
        <v>28259</v>
      </c>
      <c r="F11729" t="s">
        <v>31575</v>
      </c>
      <c r="G11729" t="s">
        <v>31582</v>
      </c>
      <c r="H11729" t="s">
        <v>31591</v>
      </c>
      <c r="I11729" t="s">
        <v>8822</v>
      </c>
      <c r="J11729" t="s">
        <v>35720</v>
      </c>
      <c r="K11729" t="s">
        <v>41286</v>
      </c>
      <c r="M11729" t="s">
        <v>44669</v>
      </c>
      <c r="N11729" t="s">
        <v>45095</v>
      </c>
      <c r="O11729" t="s">
        <v>45096</v>
      </c>
      <c r="P11729">
        <v>0</v>
      </c>
      <c r="Q11729">
        <v>1</v>
      </c>
      <c r="R11729" t="s">
        <v>45110</v>
      </c>
      <c r="S11729" t="s">
        <v>45605</v>
      </c>
      <c r="T11729" t="s">
        <v>46943</v>
      </c>
      <c r="U11729" t="s">
        <v>57060</v>
      </c>
      <c r="V11729" t="s">
        <v>61145</v>
      </c>
      <c r="W11729" t="s">
        <v>44669</v>
      </c>
      <c r="X11729" t="s">
        <v>45111</v>
      </c>
    </row>
    <row r="11730" spans="1:24">
      <c r="A11730">
        <f>HYPERLINK("https://www.philgeps.gov.ph/GEPSNONPILOT/Tender/SplashBidNoticeAbstractUI.aspx?menuIndex=3&amp;refID=7021749&amp;Result=3","7021749")</f>
        <v>0</v>
      </c>
      <c r="B11730" t="s">
        <v>390</v>
      </c>
      <c r="C11730" t="s">
        <v>14395</v>
      </c>
      <c r="E11730" t="s">
        <v>28260</v>
      </c>
      <c r="F11730" t="s">
        <v>31574</v>
      </c>
      <c r="G11730" t="s">
        <v>31582</v>
      </c>
      <c r="H11730" t="s">
        <v>31590</v>
      </c>
      <c r="I11730" t="s">
        <v>8822</v>
      </c>
      <c r="J11730" t="s">
        <v>31730</v>
      </c>
      <c r="K11730" t="s">
        <v>41184</v>
      </c>
      <c r="M11730" t="s">
        <v>41881</v>
      </c>
      <c r="N11730" t="s">
        <v>45095</v>
      </c>
      <c r="O11730" t="s">
        <v>45096</v>
      </c>
      <c r="P11730">
        <v>0</v>
      </c>
      <c r="Q11730">
        <v>0</v>
      </c>
      <c r="R11730" t="s">
        <v>45110</v>
      </c>
      <c r="S11730" t="s">
        <v>45605</v>
      </c>
      <c r="T11730" t="s">
        <v>46937</v>
      </c>
      <c r="U11730" t="s">
        <v>48248</v>
      </c>
      <c r="W11730" t="s">
        <v>41881</v>
      </c>
      <c r="X11730" t="s">
        <v>45111</v>
      </c>
    </row>
    <row r="11731" spans="1:24">
      <c r="A11731">
        <f>HYPERLINK("https://www.philgeps.gov.ph/GEPSNONPILOT/Tender/SplashBidNoticeAbstractUI.aspx?menuIndex=3&amp;refID=7021817&amp;Result=3","7021817")</f>
        <v>0</v>
      </c>
      <c r="B11731" t="s">
        <v>2879</v>
      </c>
      <c r="C11731" t="s">
        <v>14396</v>
      </c>
      <c r="D11731" t="s">
        <v>18045</v>
      </c>
      <c r="E11731" t="s">
        <v>18192</v>
      </c>
      <c r="F11731" t="s">
        <v>31574</v>
      </c>
      <c r="G11731" t="s">
        <v>31582</v>
      </c>
      <c r="H11731" t="s">
        <v>31590</v>
      </c>
      <c r="I11731" t="s">
        <v>4046</v>
      </c>
      <c r="J11731" t="s">
        <v>38990</v>
      </c>
      <c r="K11731" t="s">
        <v>41196</v>
      </c>
      <c r="M11731" t="s">
        <v>44670</v>
      </c>
      <c r="N11731" t="s">
        <v>45095</v>
      </c>
      <c r="O11731" t="s">
        <v>45096</v>
      </c>
      <c r="P11731">
        <v>0</v>
      </c>
      <c r="Q11731">
        <v>0</v>
      </c>
      <c r="R11731" t="s">
        <v>45110</v>
      </c>
      <c r="S11731" t="s">
        <v>45605</v>
      </c>
      <c r="T11731" t="s">
        <v>47176</v>
      </c>
      <c r="U11731" t="s">
        <v>57061</v>
      </c>
      <c r="W11731" t="s">
        <v>44670</v>
      </c>
      <c r="X11731" t="s">
        <v>45111</v>
      </c>
    </row>
    <row r="11732" spans="1:24">
      <c r="A11732">
        <f>HYPERLINK("https://www.philgeps.gov.ph/GEPSNONPILOT/Tender/SplashBidNoticeAbstractUI.aspx?menuIndex=3&amp;refID=7021809&amp;Result=3","7021809")</f>
        <v>0</v>
      </c>
      <c r="B11732" t="s">
        <v>2880</v>
      </c>
      <c r="C11732" t="s">
        <v>14397</v>
      </c>
      <c r="D11732" t="s">
        <v>18023</v>
      </c>
      <c r="E11732" t="s">
        <v>28261</v>
      </c>
      <c r="F11732" t="s">
        <v>31575</v>
      </c>
      <c r="G11732" t="s">
        <v>31582</v>
      </c>
      <c r="H11732" t="s">
        <v>31590</v>
      </c>
      <c r="I11732" t="s">
        <v>5717</v>
      </c>
      <c r="J11732" t="s">
        <v>38991</v>
      </c>
      <c r="K11732" t="s">
        <v>41186</v>
      </c>
      <c r="M11732" t="s">
        <v>44671</v>
      </c>
      <c r="N11732" t="s">
        <v>45095</v>
      </c>
      <c r="O11732" t="s">
        <v>45096</v>
      </c>
      <c r="Q11732">
        <v>2</v>
      </c>
      <c r="R11732" t="s">
        <v>45110</v>
      </c>
      <c r="S11732" t="s">
        <v>45627</v>
      </c>
      <c r="T11732" t="s">
        <v>47067</v>
      </c>
      <c r="U11732" t="s">
        <v>57062</v>
      </c>
      <c r="W11732" t="s">
        <v>44671</v>
      </c>
      <c r="X11732" t="s">
        <v>45111</v>
      </c>
    </row>
    <row r="11733" spans="1:24">
      <c r="A11733">
        <f>HYPERLINK("https://www.philgeps.gov.ph/GEPSNONPILOT/Tender/SplashBidNoticeAbstractUI.aspx?menuIndex=3&amp;refID=7021793&amp;Result=3","7021793")</f>
        <v>0</v>
      </c>
      <c r="B11733" t="s">
        <v>1429</v>
      </c>
      <c r="C11733" t="s">
        <v>14398</v>
      </c>
      <c r="D11733" t="s">
        <v>18072</v>
      </c>
      <c r="E11733" t="s">
        <v>28262</v>
      </c>
      <c r="F11733" t="s">
        <v>31574</v>
      </c>
      <c r="G11733" t="s">
        <v>31585</v>
      </c>
      <c r="H11733" t="s">
        <v>31590</v>
      </c>
      <c r="I11733" t="s">
        <v>3487</v>
      </c>
      <c r="J11733" t="s">
        <v>38992</v>
      </c>
      <c r="K11733" t="s">
        <v>41186</v>
      </c>
      <c r="M11733" t="s">
        <v>43005</v>
      </c>
      <c r="N11733" t="s">
        <v>45095</v>
      </c>
      <c r="O11733" t="s">
        <v>45096</v>
      </c>
      <c r="P11733">
        <v>0</v>
      </c>
      <c r="Q11733">
        <v>1</v>
      </c>
      <c r="R11733" t="s">
        <v>45110</v>
      </c>
      <c r="S11733" t="s">
        <v>45605</v>
      </c>
      <c r="T11733" t="s">
        <v>47168</v>
      </c>
      <c r="U11733" t="s">
        <v>57058</v>
      </c>
      <c r="W11733" t="s">
        <v>43005</v>
      </c>
      <c r="X11733" t="s">
        <v>45111</v>
      </c>
    </row>
    <row r="11734" spans="1:24">
      <c r="A11734">
        <f>HYPERLINK("https://www.philgeps.gov.ph/GEPSNONPILOT/Tender/SplashBidNoticeAbstractUI.aspx?menuIndex=3&amp;refID=7021828&amp;Result=3","7021828")</f>
        <v>0</v>
      </c>
      <c r="B11734" t="s">
        <v>2877</v>
      </c>
      <c r="C11734" t="s">
        <v>14399</v>
      </c>
      <c r="D11734" t="s">
        <v>18063</v>
      </c>
      <c r="E11734" t="s">
        <v>28263</v>
      </c>
      <c r="F11734" t="s">
        <v>31574</v>
      </c>
      <c r="G11734" t="s">
        <v>31582</v>
      </c>
      <c r="H11734" t="s">
        <v>31591</v>
      </c>
      <c r="I11734" t="s">
        <v>8822</v>
      </c>
      <c r="J11734" t="s">
        <v>32510</v>
      </c>
      <c r="K11734" t="s">
        <v>41192</v>
      </c>
      <c r="M11734" t="s">
        <v>44668</v>
      </c>
      <c r="N11734" t="s">
        <v>45095</v>
      </c>
      <c r="O11734" t="s">
        <v>45096</v>
      </c>
      <c r="P11734">
        <v>0</v>
      </c>
      <c r="Q11734">
        <v>0</v>
      </c>
      <c r="R11734" t="s">
        <v>45110</v>
      </c>
      <c r="S11734" t="s">
        <v>45605</v>
      </c>
      <c r="T11734" t="s">
        <v>46962</v>
      </c>
      <c r="U11734" t="s">
        <v>57063</v>
      </c>
      <c r="W11734" t="s">
        <v>44668</v>
      </c>
      <c r="X11734" t="s">
        <v>45111</v>
      </c>
    </row>
    <row r="11735" spans="1:24">
      <c r="A11735">
        <f>HYPERLINK("https://www.philgeps.gov.ph/GEPSNONPILOT/Tender/SplashBidNoticeAbstractUI.aspx?menuIndex=3&amp;refID=7021748&amp;Result=3","7021748")</f>
        <v>0</v>
      </c>
      <c r="B11735" t="s">
        <v>1389</v>
      </c>
      <c r="C11735" t="s">
        <v>14400</v>
      </c>
      <c r="D11735" t="s">
        <v>18089</v>
      </c>
      <c r="E11735" t="s">
        <v>28264</v>
      </c>
      <c r="F11735" t="s">
        <v>31574</v>
      </c>
      <c r="G11735" t="s">
        <v>31582</v>
      </c>
      <c r="H11735" t="s">
        <v>31590</v>
      </c>
      <c r="I11735" t="s">
        <v>31615</v>
      </c>
      <c r="J11735" t="s">
        <v>32760</v>
      </c>
      <c r="K11735" t="s">
        <v>41196</v>
      </c>
      <c r="M11735" t="s">
        <v>42963</v>
      </c>
      <c r="N11735" t="s">
        <v>45095</v>
      </c>
      <c r="O11735" t="s">
        <v>45096</v>
      </c>
      <c r="P11735">
        <v>0</v>
      </c>
      <c r="Q11735">
        <v>4</v>
      </c>
      <c r="R11735" t="s">
        <v>45110</v>
      </c>
      <c r="S11735" t="s">
        <v>45605</v>
      </c>
      <c r="T11735" t="s">
        <v>46979</v>
      </c>
      <c r="U11735" t="s">
        <v>57064</v>
      </c>
      <c r="V11735" t="s">
        <v>59130</v>
      </c>
      <c r="W11735" t="s">
        <v>42963</v>
      </c>
      <c r="X11735" t="s">
        <v>45111</v>
      </c>
    </row>
    <row r="11736" spans="1:24">
      <c r="A11736">
        <f>HYPERLINK("https://www.philgeps.gov.ph/GEPSNONPILOT/Tender/SplashBidNoticeAbstractUI.aspx?menuIndex=3&amp;refID=7021823&amp;Result=3","7021823")</f>
        <v>0</v>
      </c>
      <c r="B11736" t="s">
        <v>2881</v>
      </c>
      <c r="C11736" t="s">
        <v>14401</v>
      </c>
      <c r="D11736" t="s">
        <v>18028</v>
      </c>
      <c r="E11736" t="s">
        <v>19127</v>
      </c>
      <c r="F11736" t="s">
        <v>31574</v>
      </c>
      <c r="G11736" t="s">
        <v>31582</v>
      </c>
      <c r="H11736" t="s">
        <v>31591</v>
      </c>
      <c r="I11736" t="s">
        <v>8822</v>
      </c>
      <c r="J11736" t="s">
        <v>38993</v>
      </c>
      <c r="K11736" t="s">
        <v>41184</v>
      </c>
      <c r="M11736" t="s">
        <v>44672</v>
      </c>
      <c r="N11736" t="s">
        <v>45095</v>
      </c>
      <c r="O11736" t="s">
        <v>45096</v>
      </c>
      <c r="P11736">
        <v>0</v>
      </c>
      <c r="Q11736">
        <v>0</v>
      </c>
      <c r="R11736" t="s">
        <v>45110</v>
      </c>
      <c r="S11736" t="s">
        <v>45605</v>
      </c>
      <c r="T11736" t="s">
        <v>47106</v>
      </c>
      <c r="U11736" t="s">
        <v>57065</v>
      </c>
      <c r="W11736" t="s">
        <v>44672</v>
      </c>
      <c r="X11736" t="s">
        <v>45111</v>
      </c>
    </row>
    <row r="11737" spans="1:24">
      <c r="A11737">
        <f>HYPERLINK("https://www.philgeps.gov.ph/GEPSNONPILOT/Tender/SplashBidNoticeAbstractUI.aspx?menuIndex=3&amp;refID=7021773&amp;Result=3","7021773")</f>
        <v>0</v>
      </c>
      <c r="B11737" t="s">
        <v>1429</v>
      </c>
      <c r="C11737" t="s">
        <v>14402</v>
      </c>
      <c r="D11737" t="s">
        <v>18072</v>
      </c>
      <c r="E11737" t="s">
        <v>28265</v>
      </c>
      <c r="F11737" t="s">
        <v>31574</v>
      </c>
      <c r="G11737" t="s">
        <v>31585</v>
      </c>
      <c r="H11737" t="s">
        <v>31590</v>
      </c>
      <c r="I11737" t="s">
        <v>31649</v>
      </c>
      <c r="J11737" t="s">
        <v>38844</v>
      </c>
      <c r="K11737" t="s">
        <v>41186</v>
      </c>
      <c r="M11737" t="s">
        <v>43005</v>
      </c>
      <c r="N11737" t="s">
        <v>45095</v>
      </c>
      <c r="O11737" t="s">
        <v>45096</v>
      </c>
      <c r="P11737">
        <v>0</v>
      </c>
      <c r="Q11737">
        <v>2</v>
      </c>
      <c r="R11737" t="s">
        <v>45110</v>
      </c>
      <c r="S11737" t="s">
        <v>45605</v>
      </c>
      <c r="T11737" t="s">
        <v>47124</v>
      </c>
      <c r="U11737" t="s">
        <v>57058</v>
      </c>
      <c r="W11737" t="s">
        <v>43005</v>
      </c>
      <c r="X11737" t="s">
        <v>45111</v>
      </c>
    </row>
    <row r="11738" spans="1:24">
      <c r="A11738">
        <f>HYPERLINK("https://www.philgeps.gov.ph/GEPSNONPILOT/Tender/SplashBidNoticeAbstractUI.aspx?menuIndex=3&amp;refID=7021757&amp;Result=3","7021757")</f>
        <v>0</v>
      </c>
      <c r="B11738" t="s">
        <v>2882</v>
      </c>
      <c r="C11738" t="s">
        <v>14403</v>
      </c>
      <c r="D11738" t="s">
        <v>18089</v>
      </c>
      <c r="E11738" t="s">
        <v>28266</v>
      </c>
      <c r="F11738" t="s">
        <v>31574</v>
      </c>
      <c r="G11738" t="s">
        <v>31582</v>
      </c>
      <c r="H11738" t="s">
        <v>31590</v>
      </c>
      <c r="I11738" t="s">
        <v>7162</v>
      </c>
      <c r="J11738" t="s">
        <v>31771</v>
      </c>
      <c r="K11738" t="s">
        <v>41193</v>
      </c>
      <c r="M11738" t="s">
        <v>44673</v>
      </c>
      <c r="N11738" t="s">
        <v>45095</v>
      </c>
      <c r="O11738" t="s">
        <v>45096</v>
      </c>
      <c r="P11738">
        <v>0</v>
      </c>
      <c r="Q11738">
        <v>4</v>
      </c>
      <c r="R11738" t="s">
        <v>45110</v>
      </c>
      <c r="S11738" t="s">
        <v>45605</v>
      </c>
      <c r="T11738" t="s">
        <v>47391</v>
      </c>
      <c r="U11738" t="s">
        <v>57066</v>
      </c>
      <c r="V11738" t="s">
        <v>61146</v>
      </c>
      <c r="W11738" t="s">
        <v>44673</v>
      </c>
      <c r="X11738" t="s">
        <v>45111</v>
      </c>
    </row>
    <row r="11739" spans="1:24">
      <c r="A11739">
        <f>HYPERLINK("https://www.philgeps.gov.ph/GEPSNONPILOT/Tender/SplashBidNoticeAbstractUI.aspx?menuIndex=3&amp;refID=7021743&amp;Result=3","7021743")</f>
        <v>0</v>
      </c>
      <c r="B11739" t="s">
        <v>2830</v>
      </c>
      <c r="C11739" t="s">
        <v>14404</v>
      </c>
      <c r="D11739" t="s">
        <v>18059</v>
      </c>
      <c r="E11739" t="s">
        <v>28267</v>
      </c>
      <c r="F11739" t="s">
        <v>31574</v>
      </c>
      <c r="G11739" t="s">
        <v>31582</v>
      </c>
      <c r="H11739" t="s">
        <v>31591</v>
      </c>
      <c r="I11739" t="s">
        <v>8822</v>
      </c>
      <c r="J11739" t="s">
        <v>38994</v>
      </c>
      <c r="K11739" t="s">
        <v>41287</v>
      </c>
      <c r="M11739" t="s">
        <v>44610</v>
      </c>
      <c r="N11739" t="s">
        <v>45095</v>
      </c>
      <c r="O11739" t="s">
        <v>45096</v>
      </c>
      <c r="P11739">
        <v>0</v>
      </c>
      <c r="Q11739">
        <v>0</v>
      </c>
      <c r="R11739" t="s">
        <v>45110</v>
      </c>
      <c r="S11739" t="s">
        <v>45605</v>
      </c>
      <c r="T11739" t="s">
        <v>46910</v>
      </c>
      <c r="U11739" t="s">
        <v>57067</v>
      </c>
      <c r="W11739" t="s">
        <v>44610</v>
      </c>
      <c r="X11739" t="s">
        <v>45111</v>
      </c>
    </row>
    <row r="11740" spans="1:24">
      <c r="A11740">
        <f>HYPERLINK("https://www.philgeps.gov.ph/GEPSNONPILOT/Tender/SplashBidNoticeAbstractUI.aspx?menuIndex=3&amp;refID=7021845&amp;Result=3","7021845")</f>
        <v>0</v>
      </c>
      <c r="B11740" t="s">
        <v>359</v>
      </c>
      <c r="C11740" t="s">
        <v>14405</v>
      </c>
      <c r="D11740" t="s">
        <v>18025</v>
      </c>
      <c r="E11740" t="s">
        <v>28268</v>
      </c>
      <c r="F11740" t="s">
        <v>31574</v>
      </c>
      <c r="G11740" t="s">
        <v>31582</v>
      </c>
      <c r="H11740" t="s">
        <v>31591</v>
      </c>
      <c r="I11740" t="s">
        <v>8822</v>
      </c>
      <c r="J11740" t="s">
        <v>38995</v>
      </c>
      <c r="K11740" t="s">
        <v>41246</v>
      </c>
      <c r="M11740" t="s">
        <v>41849</v>
      </c>
      <c r="N11740" t="s">
        <v>45095</v>
      </c>
      <c r="O11740" t="s">
        <v>45096</v>
      </c>
      <c r="P11740">
        <v>0</v>
      </c>
      <c r="Q11740">
        <v>1</v>
      </c>
      <c r="R11740" t="s">
        <v>45110</v>
      </c>
      <c r="S11740" t="s">
        <v>45605</v>
      </c>
      <c r="T11740" t="s">
        <v>46929</v>
      </c>
      <c r="U11740" t="s">
        <v>57068</v>
      </c>
      <c r="W11740" t="s">
        <v>41849</v>
      </c>
      <c r="X11740" t="s">
        <v>45111</v>
      </c>
    </row>
    <row r="11741" spans="1:24">
      <c r="A11741">
        <f>HYPERLINK("https://www.philgeps.gov.ph/GEPSNONPILOT/Tender/SplashBidNoticeAbstractUI.aspx?menuIndex=3&amp;refID=7021846&amp;Result=3","7021846")</f>
        <v>0</v>
      </c>
      <c r="B11741" t="s">
        <v>2877</v>
      </c>
      <c r="C11741" t="s">
        <v>14406</v>
      </c>
      <c r="D11741" t="s">
        <v>18063</v>
      </c>
      <c r="E11741" t="s">
        <v>28269</v>
      </c>
      <c r="F11741" t="s">
        <v>31574</v>
      </c>
      <c r="G11741" t="s">
        <v>31582</v>
      </c>
      <c r="H11741" t="s">
        <v>31591</v>
      </c>
      <c r="I11741" t="s">
        <v>8822</v>
      </c>
      <c r="J11741" t="s">
        <v>33193</v>
      </c>
      <c r="K11741" t="s">
        <v>41256</v>
      </c>
      <c r="M11741" t="s">
        <v>44668</v>
      </c>
      <c r="N11741" t="s">
        <v>45095</v>
      </c>
      <c r="O11741" t="s">
        <v>45096</v>
      </c>
      <c r="P11741">
        <v>0</v>
      </c>
      <c r="Q11741">
        <v>0</v>
      </c>
      <c r="R11741" t="s">
        <v>45110</v>
      </c>
      <c r="S11741" t="s">
        <v>45605</v>
      </c>
      <c r="T11741" t="s">
        <v>46962</v>
      </c>
      <c r="U11741" t="s">
        <v>57069</v>
      </c>
      <c r="W11741" t="s">
        <v>44668</v>
      </c>
      <c r="X11741" t="s">
        <v>45111</v>
      </c>
    </row>
    <row r="11742" spans="1:24">
      <c r="A11742">
        <f>HYPERLINK("https://www.philgeps.gov.ph/GEPSNONPILOT/Tender/SplashBidNoticeAbstractUI.aspx?menuIndex=3&amp;refID=7021844&amp;Result=3","7021844")</f>
        <v>0</v>
      </c>
      <c r="B11742" t="s">
        <v>2883</v>
      </c>
      <c r="C11742" t="s">
        <v>14407</v>
      </c>
      <c r="E11742" t="s">
        <v>28270</v>
      </c>
      <c r="F11742" t="s">
        <v>31574</v>
      </c>
      <c r="G11742" t="s">
        <v>31582</v>
      </c>
      <c r="H11742" t="s">
        <v>31590</v>
      </c>
      <c r="I11742" t="s">
        <v>8822</v>
      </c>
      <c r="J11742" t="s">
        <v>38996</v>
      </c>
      <c r="K11742" t="s">
        <v>41184</v>
      </c>
      <c r="M11742" t="s">
        <v>44674</v>
      </c>
      <c r="N11742" t="s">
        <v>45095</v>
      </c>
      <c r="O11742" t="s">
        <v>45096</v>
      </c>
      <c r="P11742">
        <v>0</v>
      </c>
      <c r="Q11742">
        <v>0</v>
      </c>
      <c r="R11742" t="s">
        <v>45110</v>
      </c>
      <c r="S11742" t="s">
        <v>45605</v>
      </c>
      <c r="T11742" t="s">
        <v>47050</v>
      </c>
      <c r="U11742" t="s">
        <v>50687</v>
      </c>
      <c r="W11742" t="s">
        <v>44674</v>
      </c>
      <c r="X11742" t="s">
        <v>45111</v>
      </c>
    </row>
    <row r="11743" spans="1:24">
      <c r="A11743">
        <f>HYPERLINK("https://www.philgeps.gov.ph/GEPSNONPILOT/Tender/SplashBidNoticeAbstractUI.aspx?menuIndex=3&amp;refID=7021875&amp;Result=3","7021875")</f>
        <v>0</v>
      </c>
      <c r="B11743" t="s">
        <v>1448</v>
      </c>
      <c r="C11743" t="s">
        <v>14408</v>
      </c>
      <c r="D11743" t="s">
        <v>18043</v>
      </c>
      <c r="E11743" t="s">
        <v>28271</v>
      </c>
      <c r="F11743" t="s">
        <v>31574</v>
      </c>
      <c r="G11743" t="s">
        <v>31582</v>
      </c>
      <c r="H11743" t="s">
        <v>31591</v>
      </c>
      <c r="I11743" t="s">
        <v>8822</v>
      </c>
      <c r="J11743" t="s">
        <v>32504</v>
      </c>
      <c r="K11743" t="s">
        <v>41279</v>
      </c>
      <c r="M11743" t="s">
        <v>43027</v>
      </c>
      <c r="N11743" t="s">
        <v>45095</v>
      </c>
      <c r="O11743" t="s">
        <v>45096</v>
      </c>
      <c r="P11743">
        <v>0</v>
      </c>
      <c r="Q11743">
        <v>2</v>
      </c>
      <c r="R11743" t="s">
        <v>45110</v>
      </c>
      <c r="S11743" t="s">
        <v>45605</v>
      </c>
      <c r="T11743" t="s">
        <v>46979</v>
      </c>
      <c r="U11743" t="s">
        <v>57070</v>
      </c>
      <c r="W11743" t="s">
        <v>43027</v>
      </c>
      <c r="X11743" t="s">
        <v>45111</v>
      </c>
    </row>
    <row r="11744" spans="1:24">
      <c r="A11744">
        <f>HYPERLINK("https://www.philgeps.gov.ph/GEPSNONPILOT/Tender/SplashBidNoticeAbstractUI.aspx?menuIndex=3&amp;refID=7021867&amp;Result=3","7021867")</f>
        <v>0</v>
      </c>
      <c r="B11744" t="s">
        <v>359</v>
      </c>
      <c r="C11744" t="s">
        <v>14409</v>
      </c>
      <c r="D11744" t="s">
        <v>18025</v>
      </c>
      <c r="E11744" t="s">
        <v>28272</v>
      </c>
      <c r="F11744" t="s">
        <v>31574</v>
      </c>
      <c r="G11744" t="s">
        <v>31582</v>
      </c>
      <c r="H11744" t="s">
        <v>31591</v>
      </c>
      <c r="I11744" t="s">
        <v>8822</v>
      </c>
      <c r="J11744" t="s">
        <v>31771</v>
      </c>
      <c r="K11744" t="s">
        <v>41246</v>
      </c>
      <c r="M11744" t="s">
        <v>41849</v>
      </c>
      <c r="N11744" t="s">
        <v>45095</v>
      </c>
      <c r="O11744" t="s">
        <v>45096</v>
      </c>
      <c r="P11744">
        <v>0</v>
      </c>
      <c r="Q11744">
        <v>1</v>
      </c>
      <c r="R11744" t="s">
        <v>45110</v>
      </c>
      <c r="S11744" t="s">
        <v>45605</v>
      </c>
      <c r="T11744" t="s">
        <v>46929</v>
      </c>
      <c r="U11744" t="s">
        <v>57071</v>
      </c>
      <c r="W11744" t="s">
        <v>41849</v>
      </c>
      <c r="X11744" t="s">
        <v>45111</v>
      </c>
    </row>
    <row r="11745" spans="1:24">
      <c r="A11745">
        <f>HYPERLINK("https://www.philgeps.gov.ph/GEPSNONPILOT/Tender/SplashBidNoticeAbstractUI.aspx?menuIndex=3&amp;refID=7021906&amp;Result=3","7021906")</f>
        <v>0</v>
      </c>
      <c r="B11745" t="s">
        <v>2049</v>
      </c>
      <c r="C11745" t="s">
        <v>14410</v>
      </c>
      <c r="D11745" t="s">
        <v>18072</v>
      </c>
      <c r="E11745" t="s">
        <v>28273</v>
      </c>
      <c r="F11745" t="s">
        <v>31574</v>
      </c>
      <c r="G11745" t="s">
        <v>31582</v>
      </c>
      <c r="H11745" t="s">
        <v>31590</v>
      </c>
      <c r="I11745" t="s">
        <v>31625</v>
      </c>
      <c r="J11745" t="s">
        <v>32421</v>
      </c>
      <c r="K11745" t="s">
        <v>41184</v>
      </c>
      <c r="M11745" t="s">
        <v>43717</v>
      </c>
      <c r="N11745" t="s">
        <v>45095</v>
      </c>
      <c r="O11745" t="s">
        <v>45096</v>
      </c>
      <c r="P11745">
        <v>0</v>
      </c>
      <c r="Q11745">
        <v>0</v>
      </c>
      <c r="R11745" t="s">
        <v>45110</v>
      </c>
      <c r="S11745" t="s">
        <v>45605</v>
      </c>
      <c r="T11745" t="s">
        <v>46992</v>
      </c>
      <c r="U11745" t="s">
        <v>57072</v>
      </c>
      <c r="W11745" t="s">
        <v>43717</v>
      </c>
      <c r="X11745" t="s">
        <v>45111</v>
      </c>
    </row>
    <row r="11746" spans="1:24">
      <c r="A11746">
        <f>HYPERLINK("https://www.philgeps.gov.ph/GEPSNONPILOT/Tender/SplashBidNoticeAbstractUI.aspx?menuIndex=3&amp;refID=7021881&amp;Result=3","7021881")</f>
        <v>0</v>
      </c>
      <c r="B11746" t="s">
        <v>2884</v>
      </c>
      <c r="C11746" t="s">
        <v>14411</v>
      </c>
      <c r="D11746" t="s">
        <v>18022</v>
      </c>
      <c r="E11746" t="s">
        <v>28274</v>
      </c>
      <c r="F11746" t="s">
        <v>31575</v>
      </c>
      <c r="G11746" t="s">
        <v>31582</v>
      </c>
      <c r="H11746" t="s">
        <v>31590</v>
      </c>
      <c r="I11746" t="s">
        <v>31640</v>
      </c>
      <c r="J11746" t="s">
        <v>38997</v>
      </c>
      <c r="K11746" t="s">
        <v>41194</v>
      </c>
      <c r="M11746" t="s">
        <v>44675</v>
      </c>
      <c r="N11746" t="s">
        <v>45095</v>
      </c>
      <c r="O11746" t="s">
        <v>45096</v>
      </c>
      <c r="P11746">
        <v>0</v>
      </c>
      <c r="Q11746">
        <v>3</v>
      </c>
      <c r="R11746" t="s">
        <v>45110</v>
      </c>
      <c r="S11746" t="s">
        <v>45605</v>
      </c>
      <c r="T11746" t="s">
        <v>47083</v>
      </c>
      <c r="U11746" t="s">
        <v>57073</v>
      </c>
      <c r="W11746" t="s">
        <v>44675</v>
      </c>
      <c r="X11746" t="s">
        <v>45111</v>
      </c>
    </row>
    <row r="11747" spans="1:24">
      <c r="A11747">
        <f>HYPERLINK("https://www.philgeps.gov.ph/GEPSNONPILOT/Tender/SplashBidNoticeAbstractUI.aspx?menuIndex=3&amp;refID=7021899&amp;Result=3","7021899")</f>
        <v>0</v>
      </c>
      <c r="B11747" t="s">
        <v>1429</v>
      </c>
      <c r="C11747" t="s">
        <v>14412</v>
      </c>
      <c r="D11747" t="s">
        <v>18072</v>
      </c>
      <c r="E11747" t="s">
        <v>28275</v>
      </c>
      <c r="F11747" t="s">
        <v>31574</v>
      </c>
      <c r="G11747" t="s">
        <v>31585</v>
      </c>
      <c r="H11747" t="s">
        <v>31590</v>
      </c>
      <c r="I11747" t="s">
        <v>31594</v>
      </c>
      <c r="J11747" t="s">
        <v>38998</v>
      </c>
      <c r="K11747" t="s">
        <v>41186</v>
      </c>
      <c r="M11747" t="s">
        <v>43005</v>
      </c>
      <c r="N11747" t="s">
        <v>45095</v>
      </c>
      <c r="O11747" t="s">
        <v>45096</v>
      </c>
      <c r="P11747">
        <v>0</v>
      </c>
      <c r="Q11747">
        <v>4</v>
      </c>
      <c r="R11747" t="s">
        <v>45110</v>
      </c>
      <c r="S11747" t="s">
        <v>45605</v>
      </c>
      <c r="T11747" t="s">
        <v>47273</v>
      </c>
      <c r="U11747" t="s">
        <v>57058</v>
      </c>
      <c r="W11747" t="s">
        <v>43005</v>
      </c>
      <c r="X11747" t="s">
        <v>45111</v>
      </c>
    </row>
    <row r="11748" spans="1:24">
      <c r="A11748">
        <f>HYPERLINK("https://www.philgeps.gov.ph/GEPSNONPILOT/Tender/SplashBidNoticeAbstractUI.aspx?menuIndex=3&amp;refID=7021900&amp;Result=3","7021900")</f>
        <v>0</v>
      </c>
      <c r="B11748" t="s">
        <v>2331</v>
      </c>
      <c r="C11748" t="s">
        <v>14413</v>
      </c>
      <c r="D11748" t="s">
        <v>18064</v>
      </c>
      <c r="E11748" t="s">
        <v>28276</v>
      </c>
      <c r="F11748" t="s">
        <v>31574</v>
      </c>
      <c r="G11748" t="s">
        <v>31588</v>
      </c>
      <c r="H11748" t="s">
        <v>31591</v>
      </c>
      <c r="I11748" t="s">
        <v>8822</v>
      </c>
      <c r="J11748" t="s">
        <v>38999</v>
      </c>
      <c r="K11748" t="s">
        <v>41200</v>
      </c>
      <c r="M11748" t="s">
        <v>44041</v>
      </c>
      <c r="N11748" t="s">
        <v>45095</v>
      </c>
      <c r="O11748" t="s">
        <v>45096</v>
      </c>
      <c r="P11748">
        <v>0</v>
      </c>
      <c r="Q11748">
        <v>4</v>
      </c>
      <c r="R11748" t="s">
        <v>45110</v>
      </c>
      <c r="S11748" t="s">
        <v>45605</v>
      </c>
      <c r="T11748" t="s">
        <v>47333</v>
      </c>
      <c r="U11748" t="s">
        <v>57074</v>
      </c>
      <c r="W11748" t="s">
        <v>44041</v>
      </c>
      <c r="X11748" t="s">
        <v>45111</v>
      </c>
    </row>
    <row r="11749" spans="1:24">
      <c r="A11749">
        <f>HYPERLINK("https://www.philgeps.gov.ph/GEPSNONPILOT/Tender/SplashBidNoticeAbstractUI.aspx?menuIndex=3&amp;refID=7021888&amp;Result=3","7021888")</f>
        <v>0</v>
      </c>
      <c r="B11749" t="s">
        <v>506</v>
      </c>
      <c r="C11749" t="s">
        <v>14414</v>
      </c>
      <c r="E11749" t="s">
        <v>28277</v>
      </c>
      <c r="F11749" t="s">
        <v>31574</v>
      </c>
      <c r="G11749" t="s">
        <v>31582</v>
      </c>
      <c r="H11749" t="s">
        <v>31590</v>
      </c>
      <c r="I11749" t="s">
        <v>31655</v>
      </c>
      <c r="J11749" t="s">
        <v>39000</v>
      </c>
      <c r="K11749" t="s">
        <v>41184</v>
      </c>
      <c r="M11749" t="s">
        <v>42002</v>
      </c>
      <c r="N11749" t="s">
        <v>45095</v>
      </c>
      <c r="O11749" t="s">
        <v>45096</v>
      </c>
      <c r="P11749">
        <v>0</v>
      </c>
      <c r="Q11749">
        <v>11</v>
      </c>
      <c r="R11749" t="s">
        <v>45110</v>
      </c>
      <c r="S11749" t="s">
        <v>45605</v>
      </c>
      <c r="T11749" t="s">
        <v>46926</v>
      </c>
      <c r="U11749" t="s">
        <v>57075</v>
      </c>
      <c r="V11749" t="s">
        <v>61147</v>
      </c>
      <c r="W11749" t="s">
        <v>42002</v>
      </c>
      <c r="X11749" t="s">
        <v>45111</v>
      </c>
    </row>
    <row r="11750" spans="1:24">
      <c r="A11750">
        <f>HYPERLINK("https://www.philgeps.gov.ph/GEPSNONPILOT/Tender/SplashBidNoticeAbstractUI.aspx?menuIndex=3&amp;refID=7021914&amp;Result=3","7021914")</f>
        <v>0</v>
      </c>
      <c r="B11750" t="s">
        <v>2885</v>
      </c>
      <c r="C11750" t="s">
        <v>11628</v>
      </c>
      <c r="D11750" t="s">
        <v>18102</v>
      </c>
      <c r="E11750" t="s">
        <v>28278</v>
      </c>
      <c r="F11750" t="s">
        <v>31574</v>
      </c>
      <c r="G11750" t="s">
        <v>31582</v>
      </c>
      <c r="H11750" t="s">
        <v>31591</v>
      </c>
      <c r="I11750" t="s">
        <v>4046</v>
      </c>
      <c r="J11750" t="s">
        <v>39001</v>
      </c>
      <c r="K11750" t="s">
        <v>41186</v>
      </c>
      <c r="M11750" t="s">
        <v>44676</v>
      </c>
      <c r="N11750" t="s">
        <v>45095</v>
      </c>
      <c r="O11750" t="s">
        <v>45096</v>
      </c>
      <c r="P11750">
        <v>0</v>
      </c>
      <c r="Q11750">
        <v>0</v>
      </c>
      <c r="R11750" t="s">
        <v>45110</v>
      </c>
      <c r="S11750" t="s">
        <v>45605</v>
      </c>
      <c r="T11750" t="s">
        <v>46989</v>
      </c>
      <c r="U11750" t="s">
        <v>57076</v>
      </c>
      <c r="V11750" t="s">
        <v>60886</v>
      </c>
      <c r="W11750" t="s">
        <v>44676</v>
      </c>
      <c r="X11750" t="s">
        <v>45111</v>
      </c>
    </row>
    <row r="11751" spans="1:24">
      <c r="A11751">
        <f>HYPERLINK("https://www.philgeps.gov.ph/GEPSNONPILOT/Tender/SplashBidNoticeAbstractUI.aspx?menuIndex=3&amp;refID=7021921&amp;Result=3","7021921")</f>
        <v>0</v>
      </c>
      <c r="B11751" t="s">
        <v>2886</v>
      </c>
      <c r="C11751" t="s">
        <v>14415</v>
      </c>
      <c r="D11751" t="s">
        <v>18056</v>
      </c>
      <c r="E11751" t="s">
        <v>28279</v>
      </c>
      <c r="F11751" t="s">
        <v>31574</v>
      </c>
      <c r="G11751" t="s">
        <v>31582</v>
      </c>
      <c r="H11751" t="s">
        <v>31591</v>
      </c>
      <c r="I11751" t="s">
        <v>8822</v>
      </c>
      <c r="J11751" t="s">
        <v>39002</v>
      </c>
      <c r="K11751" t="s">
        <v>41200</v>
      </c>
      <c r="M11751" t="s">
        <v>44677</v>
      </c>
      <c r="N11751" t="s">
        <v>45095</v>
      </c>
      <c r="O11751" t="s">
        <v>45096</v>
      </c>
      <c r="Q11751">
        <v>22</v>
      </c>
      <c r="R11751" t="s">
        <v>45110</v>
      </c>
      <c r="S11751" t="s">
        <v>45628</v>
      </c>
      <c r="T11751" t="s">
        <v>46914</v>
      </c>
      <c r="U11751" t="s">
        <v>57077</v>
      </c>
      <c r="W11751" t="s">
        <v>44677</v>
      </c>
      <c r="X11751" t="s">
        <v>45111</v>
      </c>
    </row>
    <row r="11752" spans="1:24">
      <c r="A11752">
        <f>HYPERLINK("https://www.philgeps.gov.ph/GEPSNONPILOT/Tender/SplashBidNoticeAbstractUI.aspx?menuIndex=3&amp;refID=7021941&amp;Result=3","7021941")</f>
        <v>0</v>
      </c>
      <c r="B11752" t="s">
        <v>1967</v>
      </c>
      <c r="C11752" t="s">
        <v>14416</v>
      </c>
      <c r="D11752" t="s">
        <v>18081</v>
      </c>
      <c r="E11752" t="s">
        <v>28280</v>
      </c>
      <c r="F11752" t="s">
        <v>31575</v>
      </c>
      <c r="G11752" t="s">
        <v>31582</v>
      </c>
      <c r="H11752" t="s">
        <v>31590</v>
      </c>
      <c r="I11752" t="s">
        <v>4046</v>
      </c>
      <c r="J11752" t="s">
        <v>39003</v>
      </c>
      <c r="K11752" t="s">
        <v>41196</v>
      </c>
      <c r="M11752" t="s">
        <v>43624</v>
      </c>
      <c r="N11752" t="s">
        <v>45095</v>
      </c>
      <c r="O11752" t="s">
        <v>45096</v>
      </c>
      <c r="P11752">
        <v>0</v>
      </c>
      <c r="Q11752">
        <v>0</v>
      </c>
      <c r="R11752" t="s">
        <v>45110</v>
      </c>
      <c r="S11752" t="s">
        <v>45605</v>
      </c>
      <c r="T11752" t="s">
        <v>47076</v>
      </c>
      <c r="U11752" t="s">
        <v>57078</v>
      </c>
      <c r="W11752" t="s">
        <v>43624</v>
      </c>
      <c r="X11752" t="s">
        <v>45111</v>
      </c>
    </row>
    <row r="11753" spans="1:24">
      <c r="A11753">
        <f>HYPERLINK("https://www.philgeps.gov.ph/GEPSNONPILOT/Tender/SplashBidNoticeAbstractUI.aspx?menuIndex=3&amp;refID=7021904&amp;Result=3","7021904")</f>
        <v>0</v>
      </c>
      <c r="B11753" t="s">
        <v>1554</v>
      </c>
      <c r="C11753" t="s">
        <v>14417</v>
      </c>
      <c r="D11753" t="s">
        <v>18056</v>
      </c>
      <c r="E11753" t="s">
        <v>28281</v>
      </c>
      <c r="F11753" t="s">
        <v>31574</v>
      </c>
      <c r="G11753" t="s">
        <v>31582</v>
      </c>
      <c r="H11753" t="s">
        <v>31591</v>
      </c>
      <c r="I11753" t="s">
        <v>8822</v>
      </c>
      <c r="J11753" t="s">
        <v>39004</v>
      </c>
      <c r="K11753" t="s">
        <v>41293</v>
      </c>
      <c r="M11753" t="s">
        <v>44237</v>
      </c>
      <c r="N11753" t="s">
        <v>45095</v>
      </c>
      <c r="O11753" t="s">
        <v>45096</v>
      </c>
      <c r="P11753">
        <v>0</v>
      </c>
      <c r="Q11753">
        <v>1</v>
      </c>
      <c r="R11753" t="s">
        <v>45110</v>
      </c>
      <c r="S11753" t="s">
        <v>45605</v>
      </c>
      <c r="T11753" t="s">
        <v>47133</v>
      </c>
      <c r="U11753" t="s">
        <v>57079</v>
      </c>
      <c r="V11753" t="s">
        <v>61148</v>
      </c>
      <c r="W11753" t="s">
        <v>44237</v>
      </c>
      <c r="X11753" t="s">
        <v>45111</v>
      </c>
    </row>
    <row r="11754" spans="1:24">
      <c r="A11754">
        <f>HYPERLINK("https://www.philgeps.gov.ph/GEPSNONPILOT/Tender/SplashBidNoticeAbstractUI.aspx?menuIndex=3&amp;refID=7021898&amp;Result=3","7021898")</f>
        <v>0</v>
      </c>
      <c r="B11754" t="s">
        <v>1448</v>
      </c>
      <c r="C11754" t="s">
        <v>14418</v>
      </c>
      <c r="D11754" t="s">
        <v>18043</v>
      </c>
      <c r="E11754" t="s">
        <v>28282</v>
      </c>
      <c r="F11754" t="s">
        <v>31574</v>
      </c>
      <c r="G11754" t="s">
        <v>31582</v>
      </c>
      <c r="H11754" t="s">
        <v>31591</v>
      </c>
      <c r="I11754" t="s">
        <v>8822</v>
      </c>
      <c r="J11754" t="s">
        <v>32526</v>
      </c>
      <c r="K11754" t="s">
        <v>41279</v>
      </c>
      <c r="M11754" t="s">
        <v>43027</v>
      </c>
      <c r="N11754" t="s">
        <v>45095</v>
      </c>
      <c r="O11754" t="s">
        <v>45096</v>
      </c>
      <c r="P11754">
        <v>0</v>
      </c>
      <c r="Q11754">
        <v>1</v>
      </c>
      <c r="R11754" t="s">
        <v>45110</v>
      </c>
      <c r="S11754" t="s">
        <v>45605</v>
      </c>
      <c r="T11754" t="s">
        <v>46979</v>
      </c>
      <c r="U11754" t="s">
        <v>57080</v>
      </c>
      <c r="W11754" t="s">
        <v>43027</v>
      </c>
      <c r="X11754" t="s">
        <v>45111</v>
      </c>
    </row>
    <row r="11755" spans="1:24">
      <c r="A11755">
        <f>HYPERLINK("https://www.philgeps.gov.ph/GEPSNONPILOT/Tender/SplashBidNoticeAbstractUI.aspx?menuIndex=3&amp;refID=7021948&amp;Result=3","7021948")</f>
        <v>0</v>
      </c>
      <c r="B11755" t="s">
        <v>359</v>
      </c>
      <c r="C11755" t="s">
        <v>14419</v>
      </c>
      <c r="D11755" t="s">
        <v>18025</v>
      </c>
      <c r="E11755" t="s">
        <v>28283</v>
      </c>
      <c r="F11755" t="s">
        <v>31574</v>
      </c>
      <c r="G11755" t="s">
        <v>31582</v>
      </c>
      <c r="H11755" t="s">
        <v>31591</v>
      </c>
      <c r="I11755" t="s">
        <v>8822</v>
      </c>
      <c r="J11755" t="s">
        <v>31935</v>
      </c>
      <c r="K11755" t="s">
        <v>41246</v>
      </c>
      <c r="M11755" t="s">
        <v>41849</v>
      </c>
      <c r="N11755" t="s">
        <v>45095</v>
      </c>
      <c r="O11755" t="s">
        <v>45096</v>
      </c>
      <c r="P11755">
        <v>0</v>
      </c>
      <c r="Q11755">
        <v>0</v>
      </c>
      <c r="R11755" t="s">
        <v>45110</v>
      </c>
      <c r="S11755" t="s">
        <v>45605</v>
      </c>
      <c r="T11755" t="s">
        <v>46929</v>
      </c>
      <c r="U11755" t="s">
        <v>57081</v>
      </c>
      <c r="W11755" t="s">
        <v>41849</v>
      </c>
      <c r="X11755" t="s">
        <v>45111</v>
      </c>
    </row>
    <row r="11756" spans="1:24">
      <c r="A11756">
        <f>HYPERLINK("https://www.philgeps.gov.ph/GEPSNONPILOT/Tender/SplashBidNoticeAbstractUI.aspx?menuIndex=3&amp;refID=7021928&amp;Result=3","7021928")</f>
        <v>0</v>
      </c>
      <c r="B11756" t="s">
        <v>2884</v>
      </c>
      <c r="C11756" t="s">
        <v>14420</v>
      </c>
      <c r="D11756" t="s">
        <v>18022</v>
      </c>
      <c r="E11756" t="s">
        <v>28284</v>
      </c>
      <c r="F11756" t="s">
        <v>31575</v>
      </c>
      <c r="G11756" t="s">
        <v>31582</v>
      </c>
      <c r="H11756" t="s">
        <v>31590</v>
      </c>
      <c r="I11756" t="s">
        <v>31640</v>
      </c>
      <c r="J11756" t="s">
        <v>39005</v>
      </c>
      <c r="K11756" t="s">
        <v>41194</v>
      </c>
      <c r="M11756" t="s">
        <v>44675</v>
      </c>
      <c r="N11756" t="s">
        <v>45095</v>
      </c>
      <c r="O11756" t="s">
        <v>45096</v>
      </c>
      <c r="P11756">
        <v>0</v>
      </c>
      <c r="Q11756">
        <v>3</v>
      </c>
      <c r="R11756" t="s">
        <v>45110</v>
      </c>
      <c r="S11756" t="s">
        <v>45605</v>
      </c>
      <c r="T11756" t="s">
        <v>47083</v>
      </c>
      <c r="U11756" t="s">
        <v>57082</v>
      </c>
      <c r="W11756" t="s">
        <v>44675</v>
      </c>
      <c r="X11756" t="s">
        <v>45111</v>
      </c>
    </row>
    <row r="11757" spans="1:24">
      <c r="A11757">
        <f>HYPERLINK("https://www.philgeps.gov.ph/GEPSNONPILOT/Tender/SplashBidNoticeAbstractUI.aspx?menuIndex=3&amp;refID=7021939&amp;Result=3","7021939")</f>
        <v>0</v>
      </c>
      <c r="B11757" t="s">
        <v>178</v>
      </c>
      <c r="C11757" t="s">
        <v>14421</v>
      </c>
      <c r="D11757" t="s">
        <v>18078</v>
      </c>
      <c r="E11757" t="s">
        <v>28285</v>
      </c>
      <c r="F11757" t="s">
        <v>31574</v>
      </c>
      <c r="G11757" t="s">
        <v>31582</v>
      </c>
      <c r="H11757" t="s">
        <v>31590</v>
      </c>
      <c r="I11757" t="s">
        <v>6800</v>
      </c>
      <c r="J11757" t="s">
        <v>39006</v>
      </c>
      <c r="K11757" t="s">
        <v>41186</v>
      </c>
      <c r="M11757" t="s">
        <v>41662</v>
      </c>
      <c r="N11757" t="s">
        <v>45095</v>
      </c>
      <c r="O11757" t="s">
        <v>45096</v>
      </c>
      <c r="P11757">
        <v>0</v>
      </c>
      <c r="Q11757">
        <v>6</v>
      </c>
      <c r="R11757" t="s">
        <v>45110</v>
      </c>
      <c r="S11757" t="s">
        <v>45605</v>
      </c>
      <c r="T11757" t="s">
        <v>46914</v>
      </c>
      <c r="U11757" t="s">
        <v>57083</v>
      </c>
      <c r="V11757" t="s">
        <v>60647</v>
      </c>
      <c r="W11757" t="s">
        <v>41662</v>
      </c>
      <c r="X11757" t="s">
        <v>45111</v>
      </c>
    </row>
    <row r="11758" spans="1:24">
      <c r="A11758">
        <f>HYPERLINK("https://www.philgeps.gov.ph/GEPSNONPILOT/Tender/SplashBidNoticeAbstractUI.aspx?menuIndex=3&amp;refID=7021896&amp;Result=3","7021896")</f>
        <v>0</v>
      </c>
      <c r="B11758" t="s">
        <v>2877</v>
      </c>
      <c r="C11758" t="s">
        <v>14422</v>
      </c>
      <c r="D11758" t="s">
        <v>18063</v>
      </c>
      <c r="E11758" t="s">
        <v>28286</v>
      </c>
      <c r="F11758" t="s">
        <v>31574</v>
      </c>
      <c r="G11758" t="s">
        <v>31582</v>
      </c>
      <c r="H11758" t="s">
        <v>31591</v>
      </c>
      <c r="I11758" t="s">
        <v>8822</v>
      </c>
      <c r="J11758" t="s">
        <v>33193</v>
      </c>
      <c r="K11758" t="s">
        <v>41256</v>
      </c>
      <c r="M11758" t="s">
        <v>44668</v>
      </c>
      <c r="N11758" t="s">
        <v>45095</v>
      </c>
      <c r="O11758" t="s">
        <v>45096</v>
      </c>
      <c r="P11758">
        <v>0</v>
      </c>
      <c r="Q11758">
        <v>1</v>
      </c>
      <c r="R11758" t="s">
        <v>45110</v>
      </c>
      <c r="S11758" t="s">
        <v>45605</v>
      </c>
      <c r="T11758" t="s">
        <v>46962</v>
      </c>
      <c r="U11758" t="s">
        <v>57084</v>
      </c>
      <c r="W11758" t="s">
        <v>44668</v>
      </c>
      <c r="X11758" t="s">
        <v>45111</v>
      </c>
    </row>
    <row r="11759" spans="1:24">
      <c r="A11759">
        <f>HYPERLINK("https://www.philgeps.gov.ph/GEPSNONPILOT/Tender/SplashBidNoticeAbstractUI.aspx?menuIndex=3&amp;refID=7021966&amp;Result=3","7021966")</f>
        <v>0</v>
      </c>
      <c r="B11759" t="s">
        <v>1448</v>
      </c>
      <c r="C11759" t="s">
        <v>14423</v>
      </c>
      <c r="D11759" t="s">
        <v>18043</v>
      </c>
      <c r="E11759" t="s">
        <v>28287</v>
      </c>
      <c r="F11759" t="s">
        <v>31574</v>
      </c>
      <c r="G11759" t="s">
        <v>31582</v>
      </c>
      <c r="H11759" t="s">
        <v>31591</v>
      </c>
      <c r="I11759" t="s">
        <v>8822</v>
      </c>
      <c r="J11759" t="s">
        <v>39007</v>
      </c>
      <c r="K11759" t="s">
        <v>41189</v>
      </c>
      <c r="M11759" t="s">
        <v>43027</v>
      </c>
      <c r="N11759" t="s">
        <v>45095</v>
      </c>
      <c r="O11759" t="s">
        <v>45096</v>
      </c>
      <c r="Q11759">
        <v>1</v>
      </c>
      <c r="R11759" t="s">
        <v>45110</v>
      </c>
      <c r="S11759" t="s">
        <v>45629</v>
      </c>
      <c r="T11759" t="s">
        <v>46979</v>
      </c>
      <c r="U11759" t="s">
        <v>57080</v>
      </c>
      <c r="W11759" t="s">
        <v>43027</v>
      </c>
      <c r="X11759" t="s">
        <v>45111</v>
      </c>
    </row>
    <row r="11760" spans="1:24">
      <c r="A11760">
        <f>HYPERLINK("https://www.philgeps.gov.ph/GEPSNONPILOT/Tender/SplashBidNoticeAbstractUI.aspx?menuIndex=3&amp;refID=7021880&amp;Result=3","7021880")</f>
        <v>0</v>
      </c>
      <c r="B11760" t="s">
        <v>1836</v>
      </c>
      <c r="C11760" t="s">
        <v>14424</v>
      </c>
      <c r="D11760" t="s">
        <v>18046</v>
      </c>
      <c r="E11760" t="s">
        <v>28288</v>
      </c>
      <c r="F11760" t="s">
        <v>31574</v>
      </c>
      <c r="G11760" t="s">
        <v>31581</v>
      </c>
      <c r="H11760" t="s">
        <v>31590</v>
      </c>
      <c r="I11760" t="s">
        <v>4046</v>
      </c>
      <c r="J11760" t="s">
        <v>39008</v>
      </c>
      <c r="K11760" t="s">
        <v>41186</v>
      </c>
      <c r="L11760" t="s">
        <v>1836</v>
      </c>
      <c r="M11760" t="s">
        <v>43473</v>
      </c>
      <c r="N11760" t="s">
        <v>45095</v>
      </c>
      <c r="O11760" t="s">
        <v>45096</v>
      </c>
      <c r="P11760">
        <v>0</v>
      </c>
      <c r="Q11760">
        <v>0</v>
      </c>
      <c r="R11760" t="s">
        <v>45110</v>
      </c>
      <c r="S11760" t="s">
        <v>45605</v>
      </c>
      <c r="T11760" t="s">
        <v>47154</v>
      </c>
      <c r="U11760" t="s">
        <v>57085</v>
      </c>
      <c r="V11760" t="s">
        <v>61149</v>
      </c>
      <c r="W11760" t="s">
        <v>43473</v>
      </c>
      <c r="X11760" t="s">
        <v>45111</v>
      </c>
    </row>
    <row r="11761" spans="1:24">
      <c r="A11761">
        <f>HYPERLINK("https://www.philgeps.gov.ph/GEPSNONPILOT/Tender/SplashBidNoticeAbstractUI.aspx?menuIndex=3&amp;refID=7021962&amp;Result=3","7021962")</f>
        <v>0</v>
      </c>
      <c r="B11761" t="s">
        <v>2884</v>
      </c>
      <c r="C11761" t="s">
        <v>14425</v>
      </c>
      <c r="D11761" t="s">
        <v>18022</v>
      </c>
      <c r="E11761" t="s">
        <v>28289</v>
      </c>
      <c r="F11761" t="s">
        <v>31575</v>
      </c>
      <c r="G11761" t="s">
        <v>31582</v>
      </c>
      <c r="H11761" t="s">
        <v>31590</v>
      </c>
      <c r="I11761" t="s">
        <v>31689</v>
      </c>
      <c r="J11761" t="s">
        <v>39009</v>
      </c>
      <c r="K11761" t="s">
        <v>41194</v>
      </c>
      <c r="M11761" t="s">
        <v>44675</v>
      </c>
      <c r="N11761" t="s">
        <v>45095</v>
      </c>
      <c r="O11761" t="s">
        <v>45096</v>
      </c>
      <c r="P11761">
        <v>0</v>
      </c>
      <c r="Q11761">
        <v>2</v>
      </c>
      <c r="R11761" t="s">
        <v>45110</v>
      </c>
      <c r="S11761" t="s">
        <v>45605</v>
      </c>
      <c r="T11761" t="s">
        <v>47083</v>
      </c>
      <c r="U11761" t="s">
        <v>57086</v>
      </c>
      <c r="W11761" t="s">
        <v>44675</v>
      </c>
      <c r="X11761" t="s">
        <v>45111</v>
      </c>
    </row>
    <row r="11762" spans="1:24">
      <c r="A11762">
        <f>HYPERLINK("https://www.philgeps.gov.ph/GEPSNONPILOT/Tender/SplashBidNoticeAbstractUI.aspx?menuIndex=3&amp;refID=7022018&amp;Result=3","7022018")</f>
        <v>0</v>
      </c>
      <c r="B11762" t="s">
        <v>465</v>
      </c>
      <c r="C11762" t="s">
        <v>14426</v>
      </c>
      <c r="D11762" t="s">
        <v>18023</v>
      </c>
      <c r="E11762" t="s">
        <v>28290</v>
      </c>
      <c r="F11762" t="s">
        <v>31574</v>
      </c>
      <c r="G11762" t="s">
        <v>31582</v>
      </c>
      <c r="H11762" t="s">
        <v>31590</v>
      </c>
      <c r="I11762" t="s">
        <v>31608</v>
      </c>
      <c r="J11762" t="s">
        <v>39010</v>
      </c>
      <c r="K11762" t="s">
        <v>41213</v>
      </c>
      <c r="M11762" t="s">
        <v>41959</v>
      </c>
      <c r="N11762" t="s">
        <v>45095</v>
      </c>
      <c r="O11762" t="s">
        <v>45096</v>
      </c>
      <c r="Q11762">
        <v>18</v>
      </c>
      <c r="R11762" t="s">
        <v>45110</v>
      </c>
      <c r="S11762" t="s">
        <v>45630</v>
      </c>
      <c r="T11762" t="s">
        <v>47003</v>
      </c>
      <c r="U11762" t="s">
        <v>57087</v>
      </c>
      <c r="W11762" t="s">
        <v>41959</v>
      </c>
      <c r="X11762" t="s">
        <v>45111</v>
      </c>
    </row>
    <row r="11763" spans="1:24">
      <c r="A11763">
        <f>HYPERLINK("https://www.philgeps.gov.ph/GEPSNONPILOT/Tender/SplashBidNoticeAbstractUI.aspx?menuIndex=3&amp;refID=7021997&amp;Result=3","7021997")</f>
        <v>0</v>
      </c>
      <c r="B11763" t="s">
        <v>1196</v>
      </c>
      <c r="C11763" t="s">
        <v>14427</v>
      </c>
      <c r="D11763" t="s">
        <v>18026</v>
      </c>
      <c r="E11763" t="s">
        <v>28291</v>
      </c>
      <c r="F11763" t="s">
        <v>31574</v>
      </c>
      <c r="G11763" t="s">
        <v>31582</v>
      </c>
      <c r="H11763" t="s">
        <v>31591</v>
      </c>
      <c r="I11763" t="s">
        <v>8822</v>
      </c>
      <c r="J11763" t="s">
        <v>39011</v>
      </c>
      <c r="K11763" t="s">
        <v>41326</v>
      </c>
      <c r="M11763" t="s">
        <v>43471</v>
      </c>
      <c r="N11763" t="s">
        <v>45095</v>
      </c>
      <c r="O11763" t="s">
        <v>45096</v>
      </c>
      <c r="P11763">
        <v>0</v>
      </c>
      <c r="Q11763">
        <v>3</v>
      </c>
      <c r="R11763" t="s">
        <v>45110</v>
      </c>
      <c r="S11763" t="s">
        <v>45605</v>
      </c>
      <c r="T11763" t="s">
        <v>46988</v>
      </c>
      <c r="U11763" t="s">
        <v>57088</v>
      </c>
      <c r="V11763" t="s">
        <v>60641</v>
      </c>
      <c r="W11763" t="s">
        <v>61718</v>
      </c>
      <c r="X11763" t="s">
        <v>45111</v>
      </c>
    </row>
    <row r="11764" spans="1:24">
      <c r="A11764">
        <f>HYPERLINK("https://www.philgeps.gov.ph/GEPSNONPILOT/Tender/SplashBidNoticeAbstractUI.aspx?menuIndex=3&amp;refID=7021956&amp;Result=3","7021956")</f>
        <v>0</v>
      </c>
      <c r="B11764" t="s">
        <v>1196</v>
      </c>
      <c r="C11764" t="s">
        <v>14428</v>
      </c>
      <c r="D11764" t="s">
        <v>18026</v>
      </c>
      <c r="E11764" t="s">
        <v>28292</v>
      </c>
      <c r="F11764" t="s">
        <v>31574</v>
      </c>
      <c r="G11764" t="s">
        <v>31582</v>
      </c>
      <c r="H11764" t="s">
        <v>31591</v>
      </c>
      <c r="I11764" t="s">
        <v>8822</v>
      </c>
      <c r="J11764" t="s">
        <v>39012</v>
      </c>
      <c r="K11764" t="s">
        <v>41287</v>
      </c>
      <c r="M11764" t="s">
        <v>43471</v>
      </c>
      <c r="N11764" t="s">
        <v>45095</v>
      </c>
      <c r="O11764" t="s">
        <v>45096</v>
      </c>
      <c r="P11764">
        <v>0</v>
      </c>
      <c r="Q11764">
        <v>1</v>
      </c>
      <c r="R11764" t="s">
        <v>45110</v>
      </c>
      <c r="S11764" t="s">
        <v>45605</v>
      </c>
      <c r="T11764" t="s">
        <v>46988</v>
      </c>
      <c r="U11764" t="s">
        <v>57088</v>
      </c>
      <c r="V11764" t="s">
        <v>60641</v>
      </c>
      <c r="W11764" t="s">
        <v>61718</v>
      </c>
      <c r="X11764" t="s">
        <v>45111</v>
      </c>
    </row>
    <row r="11765" spans="1:24">
      <c r="A11765">
        <f>HYPERLINK("https://www.philgeps.gov.ph/GEPSNONPILOT/Tender/SplashBidNoticeAbstractUI.aspx?menuIndex=3&amp;refID=7022022&amp;Result=3","7022022")</f>
        <v>0</v>
      </c>
      <c r="B11765" t="s">
        <v>1196</v>
      </c>
      <c r="C11765" t="s">
        <v>14429</v>
      </c>
      <c r="D11765" t="s">
        <v>18026</v>
      </c>
      <c r="E11765" t="s">
        <v>28293</v>
      </c>
      <c r="F11765" t="s">
        <v>31574</v>
      </c>
      <c r="G11765" t="s">
        <v>31582</v>
      </c>
      <c r="H11765" t="s">
        <v>31591</v>
      </c>
      <c r="I11765" t="s">
        <v>8822</v>
      </c>
      <c r="J11765" t="s">
        <v>39013</v>
      </c>
      <c r="K11765" t="s">
        <v>41191</v>
      </c>
      <c r="M11765" t="s">
        <v>43471</v>
      </c>
      <c r="N11765" t="s">
        <v>45095</v>
      </c>
      <c r="O11765" t="s">
        <v>45096</v>
      </c>
      <c r="P11765">
        <v>0</v>
      </c>
      <c r="Q11765">
        <v>1</v>
      </c>
      <c r="R11765" t="s">
        <v>45110</v>
      </c>
      <c r="S11765" t="s">
        <v>45605</v>
      </c>
      <c r="T11765" t="s">
        <v>46988</v>
      </c>
      <c r="U11765" t="s">
        <v>57088</v>
      </c>
      <c r="V11765" t="s">
        <v>60641</v>
      </c>
      <c r="W11765" t="s">
        <v>61718</v>
      </c>
      <c r="X11765" t="s">
        <v>45111</v>
      </c>
    </row>
    <row r="11766" spans="1:24">
      <c r="A11766">
        <f>HYPERLINK("https://www.philgeps.gov.ph/GEPSNONPILOT/Tender/SplashBidNoticeAbstractUI.aspx?menuIndex=3&amp;refID=7021987&amp;Result=3","7021987")</f>
        <v>0</v>
      </c>
      <c r="B11766" t="s">
        <v>1565</v>
      </c>
      <c r="C11766" t="s">
        <v>14430</v>
      </c>
      <c r="D11766" t="s">
        <v>18057</v>
      </c>
      <c r="E11766" t="s">
        <v>28294</v>
      </c>
      <c r="F11766" t="s">
        <v>31574</v>
      </c>
      <c r="G11766" t="s">
        <v>31582</v>
      </c>
      <c r="H11766" t="s">
        <v>31591</v>
      </c>
      <c r="I11766" t="s">
        <v>8822</v>
      </c>
      <c r="J11766" t="s">
        <v>31771</v>
      </c>
      <c r="K11766" t="s">
        <v>41192</v>
      </c>
      <c r="M11766" t="s">
        <v>43164</v>
      </c>
      <c r="N11766" t="s">
        <v>45095</v>
      </c>
      <c r="O11766" t="s">
        <v>45096</v>
      </c>
      <c r="P11766">
        <v>0</v>
      </c>
      <c r="Q11766">
        <v>1</v>
      </c>
      <c r="R11766" t="s">
        <v>45110</v>
      </c>
      <c r="S11766" t="s">
        <v>45605</v>
      </c>
      <c r="T11766" t="s">
        <v>46991</v>
      </c>
      <c r="U11766" t="s">
        <v>57089</v>
      </c>
      <c r="W11766" t="s">
        <v>61709</v>
      </c>
      <c r="X11766" t="s">
        <v>45111</v>
      </c>
    </row>
    <row r="11767" spans="1:24">
      <c r="A11767">
        <f>HYPERLINK("https://www.philgeps.gov.ph/GEPSNONPILOT/Tender/SplashBidNoticeAbstractUI.aspx?menuIndex=3&amp;refID=7021953&amp;Result=3","7021953")</f>
        <v>0</v>
      </c>
      <c r="B11767" t="s">
        <v>2219</v>
      </c>
      <c r="C11767" t="s">
        <v>14431</v>
      </c>
      <c r="D11767" t="s">
        <v>18077</v>
      </c>
      <c r="E11767" t="s">
        <v>28295</v>
      </c>
      <c r="F11767" t="s">
        <v>31574</v>
      </c>
      <c r="G11767" t="s">
        <v>31582</v>
      </c>
      <c r="H11767" t="s">
        <v>31590</v>
      </c>
      <c r="I11767" t="s">
        <v>31596</v>
      </c>
      <c r="J11767" t="s">
        <v>32230</v>
      </c>
      <c r="K11767" t="s">
        <v>41225</v>
      </c>
      <c r="M11767" t="s">
        <v>43911</v>
      </c>
      <c r="N11767" t="s">
        <v>45095</v>
      </c>
      <c r="O11767" t="s">
        <v>45096</v>
      </c>
      <c r="P11767">
        <v>0</v>
      </c>
      <c r="Q11767">
        <v>0</v>
      </c>
      <c r="R11767" t="s">
        <v>45110</v>
      </c>
      <c r="S11767" t="s">
        <v>45605</v>
      </c>
      <c r="T11767" t="s">
        <v>47168</v>
      </c>
      <c r="U11767" t="s">
        <v>57090</v>
      </c>
      <c r="W11767" t="s">
        <v>43911</v>
      </c>
      <c r="X11767" t="s">
        <v>45111</v>
      </c>
    </row>
    <row r="11768" spans="1:24">
      <c r="A11768">
        <f>HYPERLINK("https://www.philgeps.gov.ph/GEPSNONPILOT/Tender/SplashBidNoticeAbstractUI.aspx?menuIndex=3&amp;refID=7021985&amp;Result=3","7021985")</f>
        <v>0</v>
      </c>
      <c r="B11768" t="s">
        <v>1742</v>
      </c>
      <c r="C11768" t="s">
        <v>14432</v>
      </c>
      <c r="E11768" t="s">
        <v>28296</v>
      </c>
      <c r="F11768" t="s">
        <v>31574</v>
      </c>
      <c r="G11768" t="s">
        <v>31582</v>
      </c>
      <c r="H11768" t="s">
        <v>31590</v>
      </c>
      <c r="I11768" t="s">
        <v>31608</v>
      </c>
      <c r="J11768" t="s">
        <v>39014</v>
      </c>
      <c r="K11768" t="s">
        <v>41184</v>
      </c>
      <c r="M11768" t="s">
        <v>44678</v>
      </c>
      <c r="N11768" t="s">
        <v>45095</v>
      </c>
      <c r="O11768" t="s">
        <v>45096</v>
      </c>
      <c r="Q11768">
        <v>12</v>
      </c>
      <c r="R11768" t="s">
        <v>45110</v>
      </c>
      <c r="S11768" t="s">
        <v>45631</v>
      </c>
      <c r="T11768" t="s">
        <v>46994</v>
      </c>
      <c r="U11768" t="s">
        <v>57091</v>
      </c>
      <c r="W11768" t="s">
        <v>44678</v>
      </c>
      <c r="X11768" t="s">
        <v>45111</v>
      </c>
    </row>
    <row r="11769" spans="1:24">
      <c r="A11769">
        <f>HYPERLINK("https://www.philgeps.gov.ph/GEPSNONPILOT/Tender/SplashBidNoticeAbstractUI.aspx?menuIndex=3&amp;refID=7021933&amp;Result=3","7021933")</f>
        <v>0</v>
      </c>
      <c r="B11769" t="s">
        <v>1429</v>
      </c>
      <c r="C11769" t="s">
        <v>14433</v>
      </c>
      <c r="D11769" t="s">
        <v>18072</v>
      </c>
      <c r="E11769" t="s">
        <v>28297</v>
      </c>
      <c r="F11769" t="s">
        <v>31574</v>
      </c>
      <c r="G11769" t="s">
        <v>31585</v>
      </c>
      <c r="H11769" t="s">
        <v>31590</v>
      </c>
      <c r="I11769" t="s">
        <v>4354</v>
      </c>
      <c r="J11769" t="s">
        <v>39015</v>
      </c>
      <c r="K11769" t="s">
        <v>41186</v>
      </c>
      <c r="M11769" t="s">
        <v>43005</v>
      </c>
      <c r="N11769" t="s">
        <v>45095</v>
      </c>
      <c r="O11769" t="s">
        <v>45096</v>
      </c>
      <c r="P11769">
        <v>0</v>
      </c>
      <c r="Q11769">
        <v>0</v>
      </c>
      <c r="R11769" t="s">
        <v>45110</v>
      </c>
      <c r="S11769" t="s">
        <v>45605</v>
      </c>
      <c r="T11769" t="s">
        <v>47083</v>
      </c>
      <c r="U11769" t="s">
        <v>57058</v>
      </c>
      <c r="W11769" t="s">
        <v>43005</v>
      </c>
      <c r="X11769" t="s">
        <v>45111</v>
      </c>
    </row>
    <row r="11770" spans="1:24">
      <c r="A11770">
        <f>HYPERLINK("https://www.philgeps.gov.ph/GEPSNONPILOT/Tender/SplashBidNoticeAbstractUI.aspx?menuIndex=3&amp;refID=7021982&amp;Result=3","7021982")</f>
        <v>0</v>
      </c>
      <c r="B11770" t="s">
        <v>2331</v>
      </c>
      <c r="C11770" t="s">
        <v>14434</v>
      </c>
      <c r="D11770" t="s">
        <v>18064</v>
      </c>
      <c r="E11770" t="s">
        <v>22368</v>
      </c>
      <c r="F11770" t="s">
        <v>31574</v>
      </c>
      <c r="G11770" t="s">
        <v>31588</v>
      </c>
      <c r="H11770" t="s">
        <v>31591</v>
      </c>
      <c r="I11770" t="s">
        <v>8822</v>
      </c>
      <c r="J11770" t="s">
        <v>39016</v>
      </c>
      <c r="K11770" t="s">
        <v>41189</v>
      </c>
      <c r="M11770" t="s">
        <v>44041</v>
      </c>
      <c r="N11770" t="s">
        <v>45095</v>
      </c>
      <c r="O11770" t="s">
        <v>45096</v>
      </c>
      <c r="P11770">
        <v>0</v>
      </c>
      <c r="Q11770">
        <v>1</v>
      </c>
      <c r="R11770" t="s">
        <v>45110</v>
      </c>
      <c r="S11770" t="s">
        <v>45605</v>
      </c>
      <c r="T11770" t="s">
        <v>47300</v>
      </c>
      <c r="U11770" t="s">
        <v>57092</v>
      </c>
      <c r="W11770" t="s">
        <v>44041</v>
      </c>
      <c r="X11770" t="s">
        <v>45111</v>
      </c>
    </row>
    <row r="11771" spans="1:24">
      <c r="A11771">
        <f>HYPERLINK("https://www.philgeps.gov.ph/GEPSNONPILOT/Tender/SplashBidNoticeAbstractUI.aspx?menuIndex=3&amp;refID=7021983&amp;Result=3","7021983")</f>
        <v>0</v>
      </c>
      <c r="B11771" t="s">
        <v>1196</v>
      </c>
      <c r="C11771" t="s">
        <v>14435</v>
      </c>
      <c r="D11771" t="s">
        <v>18026</v>
      </c>
      <c r="E11771" t="s">
        <v>28298</v>
      </c>
      <c r="F11771" t="s">
        <v>31574</v>
      </c>
      <c r="G11771" t="s">
        <v>31582</v>
      </c>
      <c r="H11771" t="s">
        <v>31591</v>
      </c>
      <c r="I11771" t="s">
        <v>8822</v>
      </c>
      <c r="J11771" t="s">
        <v>39017</v>
      </c>
      <c r="K11771" t="s">
        <v>41191</v>
      </c>
      <c r="M11771" t="s">
        <v>43471</v>
      </c>
      <c r="N11771" t="s">
        <v>45095</v>
      </c>
      <c r="O11771" t="s">
        <v>45096</v>
      </c>
      <c r="P11771">
        <v>0</v>
      </c>
      <c r="Q11771">
        <v>1</v>
      </c>
      <c r="R11771" t="s">
        <v>45110</v>
      </c>
      <c r="S11771" t="s">
        <v>45605</v>
      </c>
      <c r="T11771" t="s">
        <v>46988</v>
      </c>
      <c r="U11771" t="s">
        <v>57088</v>
      </c>
      <c r="V11771" t="s">
        <v>60641</v>
      </c>
      <c r="W11771" t="s">
        <v>61718</v>
      </c>
      <c r="X11771" t="s">
        <v>45111</v>
      </c>
    </row>
    <row r="11772" spans="1:24">
      <c r="A11772">
        <f>HYPERLINK("https://www.philgeps.gov.ph/GEPSNONPILOT/Tender/SplashBidNoticeAbstractUI.aspx?menuIndex=3&amp;refID=7022054&amp;Result=3","7022054")</f>
        <v>0</v>
      </c>
      <c r="B11772" t="s">
        <v>1196</v>
      </c>
      <c r="C11772" t="s">
        <v>14436</v>
      </c>
      <c r="D11772" t="s">
        <v>18026</v>
      </c>
      <c r="E11772" t="s">
        <v>28299</v>
      </c>
      <c r="F11772" t="s">
        <v>31574</v>
      </c>
      <c r="G11772" t="s">
        <v>31582</v>
      </c>
      <c r="H11772" t="s">
        <v>31591</v>
      </c>
      <c r="I11772" t="s">
        <v>8822</v>
      </c>
      <c r="J11772" t="s">
        <v>39018</v>
      </c>
      <c r="K11772" t="s">
        <v>41200</v>
      </c>
      <c r="M11772" t="s">
        <v>43471</v>
      </c>
      <c r="N11772" t="s">
        <v>45095</v>
      </c>
      <c r="O11772" t="s">
        <v>45096</v>
      </c>
      <c r="P11772">
        <v>0</v>
      </c>
      <c r="Q11772">
        <v>0</v>
      </c>
      <c r="R11772" t="s">
        <v>45110</v>
      </c>
      <c r="S11772" t="s">
        <v>45605</v>
      </c>
      <c r="T11772" t="s">
        <v>46988</v>
      </c>
      <c r="U11772" t="s">
        <v>57088</v>
      </c>
      <c r="V11772" t="s">
        <v>60641</v>
      </c>
      <c r="W11772" t="s">
        <v>61718</v>
      </c>
      <c r="X11772" t="s">
        <v>45111</v>
      </c>
    </row>
    <row r="11773" spans="1:24">
      <c r="A11773">
        <f>HYPERLINK("https://www.philgeps.gov.ph/GEPSNONPILOT/Tender/SplashBidNoticeAbstractUI.aspx?menuIndex=3&amp;refID=7021990&amp;Result=3","7021990")</f>
        <v>0</v>
      </c>
      <c r="B11773" t="s">
        <v>2884</v>
      </c>
      <c r="C11773" t="s">
        <v>4327</v>
      </c>
      <c r="D11773" t="s">
        <v>18022</v>
      </c>
      <c r="E11773" t="s">
        <v>28300</v>
      </c>
      <c r="F11773" t="s">
        <v>31575</v>
      </c>
      <c r="G11773" t="s">
        <v>31582</v>
      </c>
      <c r="H11773" t="s">
        <v>31590</v>
      </c>
      <c r="I11773" t="s">
        <v>5717</v>
      </c>
      <c r="J11773" t="s">
        <v>39019</v>
      </c>
      <c r="K11773" t="s">
        <v>41194</v>
      </c>
      <c r="M11773" t="s">
        <v>44675</v>
      </c>
      <c r="N11773" t="s">
        <v>45095</v>
      </c>
      <c r="O11773" t="s">
        <v>45096</v>
      </c>
      <c r="P11773">
        <v>0</v>
      </c>
      <c r="Q11773">
        <v>2</v>
      </c>
      <c r="R11773" t="s">
        <v>45110</v>
      </c>
      <c r="S11773" t="s">
        <v>45605</v>
      </c>
      <c r="T11773" t="s">
        <v>47083</v>
      </c>
      <c r="U11773" t="s">
        <v>57093</v>
      </c>
      <c r="W11773" t="s">
        <v>44675</v>
      </c>
      <c r="X11773" t="s">
        <v>45111</v>
      </c>
    </row>
    <row r="11774" spans="1:24">
      <c r="A11774">
        <f>HYPERLINK("https://www.philgeps.gov.ph/GEPSNONPILOT/Tender/SplashBidNoticeAbstractUI.aspx?menuIndex=3&amp;refID=7022051&amp;Result=3","7022051")</f>
        <v>0</v>
      </c>
      <c r="B11774" t="s">
        <v>2884</v>
      </c>
      <c r="C11774" t="s">
        <v>14437</v>
      </c>
      <c r="D11774" t="s">
        <v>18022</v>
      </c>
      <c r="E11774" t="s">
        <v>28301</v>
      </c>
      <c r="F11774" t="s">
        <v>31575</v>
      </c>
      <c r="G11774" t="s">
        <v>31582</v>
      </c>
      <c r="H11774" t="s">
        <v>31590</v>
      </c>
      <c r="I11774" t="s">
        <v>4354</v>
      </c>
      <c r="J11774" t="s">
        <v>31821</v>
      </c>
      <c r="K11774" t="s">
        <v>41194</v>
      </c>
      <c r="M11774" t="s">
        <v>44675</v>
      </c>
      <c r="N11774" t="s">
        <v>45095</v>
      </c>
      <c r="O11774" t="s">
        <v>45096</v>
      </c>
      <c r="P11774">
        <v>0</v>
      </c>
      <c r="Q11774">
        <v>3</v>
      </c>
      <c r="R11774" t="s">
        <v>45110</v>
      </c>
      <c r="S11774" t="s">
        <v>45605</v>
      </c>
      <c r="T11774" t="s">
        <v>47083</v>
      </c>
      <c r="U11774" t="s">
        <v>57094</v>
      </c>
      <c r="W11774" t="s">
        <v>44675</v>
      </c>
      <c r="X11774" t="s">
        <v>45111</v>
      </c>
    </row>
    <row r="11775" spans="1:24">
      <c r="A11775">
        <f>HYPERLINK("https://www.philgeps.gov.ph/GEPSNONPILOT/Tender/SplashBidNoticeAbstractUI.aspx?menuIndex=3&amp;refID=7021979&amp;Result=3","7021979")</f>
        <v>0</v>
      </c>
      <c r="B11775" t="s">
        <v>2886</v>
      </c>
      <c r="C11775" t="s">
        <v>14438</v>
      </c>
      <c r="D11775" t="s">
        <v>18056</v>
      </c>
      <c r="E11775" t="s">
        <v>28302</v>
      </c>
      <c r="F11775" t="s">
        <v>31574</v>
      </c>
      <c r="G11775" t="s">
        <v>31582</v>
      </c>
      <c r="H11775" t="s">
        <v>31591</v>
      </c>
      <c r="I11775" t="s">
        <v>8822</v>
      </c>
      <c r="J11775" t="s">
        <v>39020</v>
      </c>
      <c r="K11775" t="s">
        <v>41228</v>
      </c>
      <c r="M11775" t="s">
        <v>44677</v>
      </c>
      <c r="N11775" t="s">
        <v>45095</v>
      </c>
      <c r="O11775" t="s">
        <v>45096</v>
      </c>
      <c r="Q11775">
        <v>24</v>
      </c>
      <c r="R11775" t="s">
        <v>45110</v>
      </c>
      <c r="S11775" t="s">
        <v>45632</v>
      </c>
      <c r="T11775" t="s">
        <v>46926</v>
      </c>
      <c r="U11775" t="s">
        <v>57077</v>
      </c>
      <c r="W11775" t="s">
        <v>44677</v>
      </c>
      <c r="X11775" t="s">
        <v>45111</v>
      </c>
    </row>
    <row r="11776" spans="1:24">
      <c r="A11776">
        <f>HYPERLINK("https://www.philgeps.gov.ph/GEPSNONPILOT/Tender/SplashBidNoticeAbstractUI.aspx?menuIndex=3&amp;refID=7022002&amp;Result=3","7022002")</f>
        <v>0</v>
      </c>
      <c r="B11776" t="s">
        <v>2887</v>
      </c>
      <c r="C11776" t="s">
        <v>14439</v>
      </c>
      <c r="D11776" t="s">
        <v>18064</v>
      </c>
      <c r="E11776" t="s">
        <v>28303</v>
      </c>
      <c r="F11776" t="s">
        <v>31574</v>
      </c>
      <c r="G11776" t="s">
        <v>31582</v>
      </c>
      <c r="H11776" t="s">
        <v>31591</v>
      </c>
      <c r="I11776" t="s">
        <v>8822</v>
      </c>
      <c r="J11776" t="s">
        <v>39021</v>
      </c>
      <c r="K11776" t="s">
        <v>41243</v>
      </c>
      <c r="M11776" t="s">
        <v>44679</v>
      </c>
      <c r="N11776" t="s">
        <v>45095</v>
      </c>
      <c r="O11776" t="s">
        <v>45096</v>
      </c>
      <c r="P11776">
        <v>0</v>
      </c>
      <c r="Q11776">
        <v>1</v>
      </c>
      <c r="R11776" t="s">
        <v>45110</v>
      </c>
      <c r="S11776" t="s">
        <v>45605</v>
      </c>
      <c r="T11776" t="s">
        <v>46955</v>
      </c>
      <c r="U11776" t="s">
        <v>57095</v>
      </c>
      <c r="W11776" t="s">
        <v>44679</v>
      </c>
      <c r="X11776" t="s">
        <v>45111</v>
      </c>
    </row>
    <row r="11777" spans="1:24">
      <c r="A11777">
        <f>HYPERLINK("https://www.philgeps.gov.ph/GEPSNONPILOT/Tender/SplashBidNoticeAbstractUI.aspx?menuIndex=3&amp;refID=7021932&amp;Result=3","7021932")</f>
        <v>0</v>
      </c>
      <c r="B11777" t="s">
        <v>1448</v>
      </c>
      <c r="C11777" t="s">
        <v>14440</v>
      </c>
      <c r="D11777" t="s">
        <v>18043</v>
      </c>
      <c r="E11777" t="s">
        <v>28304</v>
      </c>
      <c r="F11777" t="s">
        <v>31574</v>
      </c>
      <c r="G11777" t="s">
        <v>31582</v>
      </c>
      <c r="H11777" t="s">
        <v>31591</v>
      </c>
      <c r="I11777" t="s">
        <v>8822</v>
      </c>
      <c r="J11777" t="s">
        <v>31935</v>
      </c>
      <c r="K11777" t="s">
        <v>41285</v>
      </c>
      <c r="M11777" t="s">
        <v>43027</v>
      </c>
      <c r="N11777" t="s">
        <v>45095</v>
      </c>
      <c r="O11777" t="s">
        <v>45096</v>
      </c>
      <c r="P11777">
        <v>0</v>
      </c>
      <c r="Q11777">
        <v>1</v>
      </c>
      <c r="R11777" t="s">
        <v>45110</v>
      </c>
      <c r="S11777" t="s">
        <v>45605</v>
      </c>
      <c r="T11777" t="s">
        <v>46979</v>
      </c>
      <c r="U11777" t="s">
        <v>57080</v>
      </c>
      <c r="W11777" t="s">
        <v>43027</v>
      </c>
      <c r="X11777" t="s">
        <v>45111</v>
      </c>
    </row>
    <row r="11778" spans="1:24">
      <c r="A11778">
        <f>HYPERLINK("https://www.philgeps.gov.ph/GEPSNONPILOT/Tender/SplashBidNoticeAbstractUI.aspx?menuIndex=3&amp;refID=7022013&amp;Result=3","7022013")</f>
        <v>0</v>
      </c>
      <c r="B11778" t="s">
        <v>2884</v>
      </c>
      <c r="C11778" t="s">
        <v>14441</v>
      </c>
      <c r="D11778" t="s">
        <v>18022</v>
      </c>
      <c r="E11778" t="s">
        <v>28305</v>
      </c>
      <c r="F11778" t="s">
        <v>31575</v>
      </c>
      <c r="G11778" t="s">
        <v>31582</v>
      </c>
      <c r="H11778" t="s">
        <v>31590</v>
      </c>
      <c r="I11778" t="s">
        <v>6800</v>
      </c>
      <c r="J11778" t="s">
        <v>31962</v>
      </c>
      <c r="K11778" t="s">
        <v>41194</v>
      </c>
      <c r="M11778" t="s">
        <v>44675</v>
      </c>
      <c r="N11778" t="s">
        <v>45095</v>
      </c>
      <c r="O11778" t="s">
        <v>45096</v>
      </c>
      <c r="P11778">
        <v>0</v>
      </c>
      <c r="Q11778">
        <v>0</v>
      </c>
      <c r="R11778" t="s">
        <v>45110</v>
      </c>
      <c r="S11778" t="s">
        <v>45605</v>
      </c>
      <c r="T11778" t="s">
        <v>47083</v>
      </c>
      <c r="U11778" t="s">
        <v>51391</v>
      </c>
      <c r="W11778" t="s">
        <v>44675</v>
      </c>
      <c r="X11778" t="s">
        <v>45111</v>
      </c>
    </row>
    <row r="11779" spans="1:24">
      <c r="A11779">
        <f>HYPERLINK("https://www.philgeps.gov.ph/GEPSNONPILOT/Tender/SplashBidNoticeAbstractUI.aspx?menuIndex=3&amp;refID=7022036&amp;Result=3","7022036")</f>
        <v>0</v>
      </c>
      <c r="B11779" t="s">
        <v>1893</v>
      </c>
      <c r="C11779" t="s">
        <v>14442</v>
      </c>
      <c r="E11779" t="s">
        <v>14442</v>
      </c>
      <c r="F11779" t="s">
        <v>31574</v>
      </c>
      <c r="G11779" t="s">
        <v>31585</v>
      </c>
      <c r="H11779" t="s">
        <v>31590</v>
      </c>
      <c r="I11779" t="s">
        <v>31615</v>
      </c>
      <c r="J11779" t="s">
        <v>31819</v>
      </c>
      <c r="K11779" t="s">
        <v>41196</v>
      </c>
      <c r="M11779" t="s">
        <v>43536</v>
      </c>
      <c r="N11779" t="s">
        <v>45095</v>
      </c>
      <c r="O11779" t="s">
        <v>45096</v>
      </c>
      <c r="P11779">
        <v>0</v>
      </c>
      <c r="Q11779">
        <v>8</v>
      </c>
      <c r="R11779" t="s">
        <v>45110</v>
      </c>
      <c r="S11779" t="s">
        <v>45605</v>
      </c>
      <c r="T11779" t="s">
        <v>46932</v>
      </c>
      <c r="U11779" t="s">
        <v>57096</v>
      </c>
      <c r="W11779" t="s">
        <v>43536</v>
      </c>
      <c r="X11779" t="s">
        <v>45111</v>
      </c>
    </row>
    <row r="11780" spans="1:24">
      <c r="A11780">
        <f>HYPERLINK("https://www.philgeps.gov.ph/GEPSNONPILOT/Tender/SplashBidNoticeAbstractUI.aspx?menuIndex=3&amp;refID=7021977&amp;Result=3","7021977")</f>
        <v>0</v>
      </c>
      <c r="B11780" t="s">
        <v>2878</v>
      </c>
      <c r="C11780" t="s">
        <v>14443</v>
      </c>
      <c r="D11780" t="s">
        <v>18046</v>
      </c>
      <c r="E11780" t="s">
        <v>28306</v>
      </c>
      <c r="F11780" t="s">
        <v>31575</v>
      </c>
      <c r="G11780" t="s">
        <v>31582</v>
      </c>
      <c r="H11780" t="s">
        <v>31591</v>
      </c>
      <c r="I11780" t="s">
        <v>8822</v>
      </c>
      <c r="J11780" t="s">
        <v>32421</v>
      </c>
      <c r="K11780" t="s">
        <v>41245</v>
      </c>
      <c r="M11780" t="s">
        <v>44669</v>
      </c>
      <c r="N11780" t="s">
        <v>45095</v>
      </c>
      <c r="O11780" t="s">
        <v>45096</v>
      </c>
      <c r="P11780">
        <v>0</v>
      </c>
      <c r="Q11780">
        <v>1</v>
      </c>
      <c r="R11780" t="s">
        <v>45110</v>
      </c>
      <c r="S11780" t="s">
        <v>45605</v>
      </c>
      <c r="T11780" t="s">
        <v>46943</v>
      </c>
      <c r="U11780" t="s">
        <v>57097</v>
      </c>
      <c r="V11780" t="s">
        <v>61150</v>
      </c>
      <c r="W11780" t="s">
        <v>44669</v>
      </c>
      <c r="X11780" t="s">
        <v>45111</v>
      </c>
    </row>
    <row r="11781" spans="1:24">
      <c r="A11781">
        <f>HYPERLINK("https://www.philgeps.gov.ph/GEPSNONPILOT/Tender/SplashBidNoticeAbstractUI.aspx?menuIndex=3&amp;refID=7022058&amp;Result=3","7022058")</f>
        <v>0</v>
      </c>
      <c r="B11781" t="s">
        <v>2887</v>
      </c>
      <c r="C11781" t="s">
        <v>14444</v>
      </c>
      <c r="D11781" t="s">
        <v>18064</v>
      </c>
      <c r="E11781" t="s">
        <v>28307</v>
      </c>
      <c r="F11781" t="s">
        <v>31574</v>
      </c>
      <c r="G11781" t="s">
        <v>31582</v>
      </c>
      <c r="H11781" t="s">
        <v>31591</v>
      </c>
      <c r="I11781" t="s">
        <v>8822</v>
      </c>
      <c r="J11781" t="s">
        <v>32848</v>
      </c>
      <c r="K11781" t="s">
        <v>41200</v>
      </c>
      <c r="M11781" t="s">
        <v>44679</v>
      </c>
      <c r="N11781" t="s">
        <v>45095</v>
      </c>
      <c r="O11781" t="s">
        <v>45096</v>
      </c>
      <c r="P11781">
        <v>0</v>
      </c>
      <c r="Q11781">
        <v>1</v>
      </c>
      <c r="R11781" t="s">
        <v>45110</v>
      </c>
      <c r="S11781" t="s">
        <v>45605</v>
      </c>
      <c r="T11781" t="s">
        <v>46979</v>
      </c>
      <c r="U11781" t="s">
        <v>57098</v>
      </c>
      <c r="W11781" t="s">
        <v>44679</v>
      </c>
      <c r="X11781" t="s">
        <v>45111</v>
      </c>
    </row>
    <row r="11782" spans="1:24">
      <c r="A11782">
        <f>HYPERLINK("https://www.philgeps.gov.ph/GEPSNONPILOT/Tender/SplashBidNoticeAbstractUI.aspx?menuIndex=3&amp;refID=7022087&amp;Result=3","7022087")</f>
        <v>0</v>
      </c>
      <c r="B11782" t="s">
        <v>2887</v>
      </c>
      <c r="C11782" t="s">
        <v>14445</v>
      </c>
      <c r="D11782" t="s">
        <v>18064</v>
      </c>
      <c r="E11782" t="s">
        <v>28308</v>
      </c>
      <c r="F11782" t="s">
        <v>31574</v>
      </c>
      <c r="G11782" t="s">
        <v>31582</v>
      </c>
      <c r="H11782" t="s">
        <v>31591</v>
      </c>
      <c r="I11782" t="s">
        <v>8822</v>
      </c>
      <c r="J11782" t="s">
        <v>32848</v>
      </c>
      <c r="K11782" t="s">
        <v>41200</v>
      </c>
      <c r="M11782" t="s">
        <v>44679</v>
      </c>
      <c r="N11782" t="s">
        <v>45095</v>
      </c>
      <c r="O11782" t="s">
        <v>45096</v>
      </c>
      <c r="P11782">
        <v>0</v>
      </c>
      <c r="Q11782">
        <v>0</v>
      </c>
      <c r="R11782" t="s">
        <v>45110</v>
      </c>
      <c r="S11782" t="s">
        <v>45605</v>
      </c>
      <c r="T11782" t="s">
        <v>47395</v>
      </c>
      <c r="U11782" t="s">
        <v>57099</v>
      </c>
      <c r="W11782" t="s">
        <v>44679</v>
      </c>
      <c r="X11782" t="s">
        <v>45111</v>
      </c>
    </row>
    <row r="11783" spans="1:24">
      <c r="A11783">
        <f>HYPERLINK("https://www.philgeps.gov.ph/GEPSNONPILOT/Tender/SplashBidNoticeAbstractUI.aspx?menuIndex=3&amp;refID=7022142&amp;Result=3","7022142")</f>
        <v>0</v>
      </c>
      <c r="B11783" t="s">
        <v>1386</v>
      </c>
      <c r="C11783" t="s">
        <v>14446</v>
      </c>
      <c r="D11783" t="s">
        <v>18039</v>
      </c>
      <c r="E11783" t="s">
        <v>28309</v>
      </c>
      <c r="F11783" t="s">
        <v>31574</v>
      </c>
      <c r="G11783" t="s">
        <v>31582</v>
      </c>
      <c r="H11783" t="s">
        <v>31591</v>
      </c>
      <c r="I11783" t="s">
        <v>8822</v>
      </c>
      <c r="J11783" t="s">
        <v>39022</v>
      </c>
      <c r="K11783" t="s">
        <v>41184</v>
      </c>
      <c r="M11783" t="s">
        <v>42960</v>
      </c>
      <c r="N11783" t="s">
        <v>45095</v>
      </c>
      <c r="O11783" t="s">
        <v>45096</v>
      </c>
      <c r="P11783">
        <v>0</v>
      </c>
      <c r="Q11783">
        <v>0</v>
      </c>
      <c r="R11783" t="s">
        <v>45110</v>
      </c>
      <c r="S11783" t="s">
        <v>45605</v>
      </c>
      <c r="T11783" t="s">
        <v>46930</v>
      </c>
      <c r="U11783" t="s">
        <v>57100</v>
      </c>
      <c r="W11783" t="s">
        <v>42960</v>
      </c>
      <c r="X11783" t="s">
        <v>45111</v>
      </c>
    </row>
    <row r="11784" spans="1:24">
      <c r="A11784">
        <f>HYPERLINK("https://www.philgeps.gov.ph/GEPSNONPILOT/Tender/SplashBidNoticeAbstractUI.aspx?menuIndex=3&amp;refID=7022154&amp;Result=3","7022154")</f>
        <v>0</v>
      </c>
      <c r="B11784" t="s">
        <v>278</v>
      </c>
      <c r="C11784" t="s">
        <v>14447</v>
      </c>
      <c r="E11784" t="s">
        <v>28310</v>
      </c>
      <c r="F11784" t="s">
        <v>31574</v>
      </c>
      <c r="G11784" t="s">
        <v>31582</v>
      </c>
      <c r="H11784" t="s">
        <v>31590</v>
      </c>
      <c r="I11784" t="s">
        <v>31599</v>
      </c>
      <c r="J11784" t="s">
        <v>32510</v>
      </c>
      <c r="K11784" t="s">
        <v>41184</v>
      </c>
      <c r="M11784" t="s">
        <v>41764</v>
      </c>
      <c r="N11784" t="s">
        <v>45095</v>
      </c>
      <c r="O11784" t="s">
        <v>45096</v>
      </c>
      <c r="P11784">
        <v>0</v>
      </c>
      <c r="Q11784">
        <v>1</v>
      </c>
      <c r="R11784" t="s">
        <v>45110</v>
      </c>
      <c r="S11784" t="s">
        <v>45605</v>
      </c>
      <c r="T11784" t="s">
        <v>46945</v>
      </c>
      <c r="U11784" t="s">
        <v>57101</v>
      </c>
      <c r="V11784" t="s">
        <v>60881</v>
      </c>
      <c r="W11784" t="s">
        <v>41764</v>
      </c>
      <c r="X11784" t="s">
        <v>45111</v>
      </c>
    </row>
    <row r="11785" spans="1:24">
      <c r="A11785">
        <f>HYPERLINK("https://www.philgeps.gov.ph/GEPSNONPILOT/Tender/SplashBidNoticeAbstractUI.aspx?menuIndex=3&amp;refID=7022092&amp;Result=3","7022092")</f>
        <v>0</v>
      </c>
      <c r="B11785" t="s">
        <v>1399</v>
      </c>
      <c r="C11785" t="s">
        <v>14448</v>
      </c>
      <c r="D11785" t="s">
        <v>18081</v>
      </c>
      <c r="E11785" t="s">
        <v>28311</v>
      </c>
      <c r="F11785" t="s">
        <v>31574</v>
      </c>
      <c r="G11785" t="s">
        <v>31582</v>
      </c>
      <c r="H11785" t="s">
        <v>31590</v>
      </c>
      <c r="I11785" t="s">
        <v>4046</v>
      </c>
      <c r="J11785" t="s">
        <v>39023</v>
      </c>
      <c r="K11785" t="s">
        <v>41186</v>
      </c>
      <c r="M11785" t="s">
        <v>43167</v>
      </c>
      <c r="N11785" t="s">
        <v>45095</v>
      </c>
      <c r="O11785" t="s">
        <v>45096</v>
      </c>
      <c r="P11785">
        <v>0</v>
      </c>
      <c r="Q11785">
        <v>5</v>
      </c>
      <c r="R11785" t="s">
        <v>45110</v>
      </c>
      <c r="S11785" t="s">
        <v>45605</v>
      </c>
      <c r="T11785" t="s">
        <v>46979</v>
      </c>
      <c r="U11785" t="s">
        <v>57102</v>
      </c>
      <c r="W11785" t="s">
        <v>43167</v>
      </c>
      <c r="X11785" t="s">
        <v>45111</v>
      </c>
    </row>
    <row r="11786" spans="1:24">
      <c r="A11786">
        <f>HYPERLINK("https://www.philgeps.gov.ph/GEPSNONPILOT/Tender/SplashBidNoticeAbstractUI.aspx?menuIndex=3&amp;refID=7022134&amp;Result=3","7022134")</f>
        <v>0</v>
      </c>
      <c r="B11786" t="s">
        <v>1300</v>
      </c>
      <c r="C11786" t="s">
        <v>14449</v>
      </c>
      <c r="D11786" t="s">
        <v>18066</v>
      </c>
      <c r="E11786" t="s">
        <v>28312</v>
      </c>
      <c r="F11786" t="s">
        <v>31574</v>
      </c>
      <c r="G11786" t="s">
        <v>31582</v>
      </c>
      <c r="H11786" t="s">
        <v>31591</v>
      </c>
      <c r="I11786" t="s">
        <v>8822</v>
      </c>
      <c r="J11786" t="s">
        <v>39024</v>
      </c>
      <c r="K11786" t="s">
        <v>41192</v>
      </c>
      <c r="M11786" t="s">
        <v>42870</v>
      </c>
      <c r="N11786" t="s">
        <v>45095</v>
      </c>
      <c r="O11786" t="s">
        <v>45096</v>
      </c>
      <c r="P11786">
        <v>0</v>
      </c>
      <c r="Q11786">
        <v>0</v>
      </c>
      <c r="R11786" t="s">
        <v>45110</v>
      </c>
      <c r="S11786" t="s">
        <v>45605</v>
      </c>
      <c r="T11786" t="s">
        <v>46910</v>
      </c>
      <c r="U11786" t="s">
        <v>57103</v>
      </c>
      <c r="W11786" t="s">
        <v>42870</v>
      </c>
      <c r="X11786" t="s">
        <v>45111</v>
      </c>
    </row>
    <row r="11787" spans="1:24">
      <c r="A11787">
        <f>HYPERLINK("https://www.philgeps.gov.ph/GEPSNONPILOT/Tender/SplashBidNoticeAbstractUI.aspx?menuIndex=3&amp;refID=7022135&amp;Result=3","7022135")</f>
        <v>0</v>
      </c>
      <c r="B11787" t="s">
        <v>2888</v>
      </c>
      <c r="C11787" t="s">
        <v>14450</v>
      </c>
      <c r="D11787" t="s">
        <v>18046</v>
      </c>
      <c r="E11787" t="s">
        <v>18936</v>
      </c>
      <c r="F11787" t="s">
        <v>31574</v>
      </c>
      <c r="G11787" t="s">
        <v>31582</v>
      </c>
      <c r="H11787" t="s">
        <v>31590</v>
      </c>
      <c r="I11787" t="s">
        <v>31662</v>
      </c>
      <c r="J11787" t="s">
        <v>39025</v>
      </c>
      <c r="K11787" t="s">
        <v>41213</v>
      </c>
      <c r="M11787" t="s">
        <v>44680</v>
      </c>
      <c r="N11787" t="s">
        <v>45095</v>
      </c>
      <c r="O11787" t="s">
        <v>45096</v>
      </c>
      <c r="P11787">
        <v>0</v>
      </c>
      <c r="Q11787">
        <v>3</v>
      </c>
      <c r="R11787" t="s">
        <v>45110</v>
      </c>
      <c r="S11787" t="s">
        <v>45605</v>
      </c>
      <c r="T11787" t="s">
        <v>46968</v>
      </c>
      <c r="U11787" t="s">
        <v>57104</v>
      </c>
      <c r="W11787" t="s">
        <v>44680</v>
      </c>
      <c r="X11787" t="s">
        <v>45111</v>
      </c>
    </row>
    <row r="11788" spans="1:24">
      <c r="A11788">
        <f>HYPERLINK("https://www.philgeps.gov.ph/GEPSNONPILOT/Tender/SplashBidNoticeAbstractUI.aspx?menuIndex=3&amp;refID=7022053&amp;Result=3","7022053")</f>
        <v>0</v>
      </c>
      <c r="B11788" t="s">
        <v>1534</v>
      </c>
      <c r="C11788" t="s">
        <v>14451</v>
      </c>
      <c r="D11788" t="s">
        <v>18052</v>
      </c>
      <c r="E11788" t="s">
        <v>28313</v>
      </c>
      <c r="F11788" t="s">
        <v>31574</v>
      </c>
      <c r="G11788" t="s">
        <v>31582</v>
      </c>
      <c r="H11788" t="s">
        <v>31591</v>
      </c>
      <c r="I11788" t="s">
        <v>8822</v>
      </c>
      <c r="J11788" t="s">
        <v>39026</v>
      </c>
      <c r="K11788" t="s">
        <v>41192</v>
      </c>
      <c r="L11788" t="s">
        <v>1534</v>
      </c>
      <c r="M11788" t="s">
        <v>43126</v>
      </c>
      <c r="N11788" t="s">
        <v>45095</v>
      </c>
      <c r="O11788" t="s">
        <v>45096</v>
      </c>
      <c r="P11788">
        <v>0</v>
      </c>
      <c r="Q11788">
        <v>1</v>
      </c>
      <c r="R11788" t="s">
        <v>45110</v>
      </c>
      <c r="S11788" t="s">
        <v>45605</v>
      </c>
      <c r="T11788" t="s">
        <v>47043</v>
      </c>
      <c r="U11788" t="s">
        <v>57105</v>
      </c>
      <c r="V11788" t="s">
        <v>61151</v>
      </c>
      <c r="W11788" t="s">
        <v>43126</v>
      </c>
      <c r="X11788" t="s">
        <v>45111</v>
      </c>
    </row>
    <row r="11789" spans="1:24">
      <c r="A11789">
        <f>HYPERLINK("https://www.philgeps.gov.ph/GEPSNONPILOT/Tender/SplashBidNoticeAbstractUI.aspx?menuIndex=3&amp;refID=7022153&amp;Result=3","7022153")</f>
        <v>0</v>
      </c>
      <c r="B11789" t="s">
        <v>987</v>
      </c>
      <c r="C11789" t="s">
        <v>14452</v>
      </c>
      <c r="D11789" t="s">
        <v>18066</v>
      </c>
      <c r="E11789" t="s">
        <v>28314</v>
      </c>
      <c r="F11789" t="s">
        <v>31574</v>
      </c>
      <c r="G11789" t="s">
        <v>31582</v>
      </c>
      <c r="H11789" t="s">
        <v>31591</v>
      </c>
      <c r="I11789" t="s">
        <v>8822</v>
      </c>
      <c r="J11789" t="s">
        <v>39027</v>
      </c>
      <c r="K11789" t="s">
        <v>41192</v>
      </c>
      <c r="M11789" t="s">
        <v>42521</v>
      </c>
      <c r="N11789" t="s">
        <v>45095</v>
      </c>
      <c r="O11789" t="s">
        <v>45096</v>
      </c>
      <c r="P11789">
        <v>0</v>
      </c>
      <c r="Q11789">
        <v>0</v>
      </c>
      <c r="R11789" t="s">
        <v>45110</v>
      </c>
      <c r="S11789" t="s">
        <v>45605</v>
      </c>
      <c r="T11789" t="s">
        <v>46926</v>
      </c>
      <c r="U11789" t="s">
        <v>57106</v>
      </c>
      <c r="V11789" t="s">
        <v>59889</v>
      </c>
      <c r="W11789" t="s">
        <v>42521</v>
      </c>
      <c r="X11789" t="s">
        <v>45111</v>
      </c>
    </row>
    <row r="11790" spans="1:24">
      <c r="A11790">
        <f>HYPERLINK("https://www.philgeps.gov.ph/GEPSNONPILOT/Tender/SplashBidNoticeAbstractUI.aspx?menuIndex=3&amp;refID=7022130&amp;Result=3","7022130")</f>
        <v>0</v>
      </c>
      <c r="B11790" t="s">
        <v>1534</v>
      </c>
      <c r="C11790" t="s">
        <v>14453</v>
      </c>
      <c r="D11790" t="s">
        <v>18052</v>
      </c>
      <c r="E11790" t="s">
        <v>28313</v>
      </c>
      <c r="F11790" t="s">
        <v>31574</v>
      </c>
      <c r="G11790" t="s">
        <v>31582</v>
      </c>
      <c r="H11790" t="s">
        <v>31591</v>
      </c>
      <c r="I11790" t="s">
        <v>8822</v>
      </c>
      <c r="J11790" t="s">
        <v>39028</v>
      </c>
      <c r="K11790" t="s">
        <v>41189</v>
      </c>
      <c r="L11790" t="s">
        <v>1534</v>
      </c>
      <c r="M11790" t="s">
        <v>43126</v>
      </c>
      <c r="N11790" t="s">
        <v>45095</v>
      </c>
      <c r="O11790" t="s">
        <v>45096</v>
      </c>
      <c r="P11790">
        <v>0</v>
      </c>
      <c r="Q11790">
        <v>1</v>
      </c>
      <c r="R11790" t="s">
        <v>45110</v>
      </c>
      <c r="S11790" t="s">
        <v>45605</v>
      </c>
      <c r="T11790" t="s">
        <v>47043</v>
      </c>
      <c r="U11790" t="s">
        <v>57107</v>
      </c>
      <c r="V11790" t="s">
        <v>60325</v>
      </c>
      <c r="W11790" t="s">
        <v>43126</v>
      </c>
      <c r="X11790" t="s">
        <v>45111</v>
      </c>
    </row>
    <row r="11791" spans="1:24">
      <c r="A11791">
        <f>HYPERLINK("https://www.philgeps.gov.ph/GEPSNONPILOT/Tender/SplashBidNoticeAbstractUI.aspx?menuIndex=3&amp;refID=7022133&amp;Result=3","7022133")</f>
        <v>0</v>
      </c>
      <c r="B11791" t="s">
        <v>1395</v>
      </c>
      <c r="C11791" t="s">
        <v>14454</v>
      </c>
      <c r="D11791" t="s">
        <v>18076</v>
      </c>
      <c r="E11791" t="s">
        <v>28315</v>
      </c>
      <c r="F11791" t="s">
        <v>31574</v>
      </c>
      <c r="G11791" t="s">
        <v>31582</v>
      </c>
      <c r="H11791" t="s">
        <v>31591</v>
      </c>
      <c r="I11791" t="s">
        <v>8822</v>
      </c>
      <c r="J11791" t="s">
        <v>32550</v>
      </c>
      <c r="K11791" t="s">
        <v>41243</v>
      </c>
      <c r="M11791" t="s">
        <v>42970</v>
      </c>
      <c r="N11791" t="s">
        <v>45095</v>
      </c>
      <c r="O11791" t="s">
        <v>45096</v>
      </c>
      <c r="P11791">
        <v>0</v>
      </c>
      <c r="Q11791">
        <v>0</v>
      </c>
      <c r="R11791" t="s">
        <v>45110</v>
      </c>
      <c r="S11791" t="s">
        <v>45605</v>
      </c>
      <c r="T11791" t="s">
        <v>46979</v>
      </c>
      <c r="U11791" t="s">
        <v>57108</v>
      </c>
      <c r="W11791" t="s">
        <v>42970</v>
      </c>
      <c r="X11791" t="s">
        <v>45111</v>
      </c>
    </row>
    <row r="11792" spans="1:24">
      <c r="A11792">
        <f>HYPERLINK("https://www.philgeps.gov.ph/GEPSNONPILOT/Tender/SplashBidNoticeAbstractUI.aspx?menuIndex=3&amp;refID=7022165&amp;Result=3","7022165")</f>
        <v>0</v>
      </c>
      <c r="B11792" t="s">
        <v>2889</v>
      </c>
      <c r="C11792" t="s">
        <v>14455</v>
      </c>
      <c r="D11792" t="s">
        <v>18033</v>
      </c>
      <c r="E11792" t="s">
        <v>25745</v>
      </c>
      <c r="F11792" t="s">
        <v>31574</v>
      </c>
      <c r="G11792" t="s">
        <v>31582</v>
      </c>
      <c r="H11792" t="s">
        <v>31590</v>
      </c>
      <c r="I11792" t="s">
        <v>4046</v>
      </c>
      <c r="J11792" t="s">
        <v>39029</v>
      </c>
      <c r="K11792" t="s">
        <v>41186</v>
      </c>
      <c r="M11792" t="s">
        <v>44681</v>
      </c>
      <c r="N11792" t="s">
        <v>45095</v>
      </c>
      <c r="O11792" t="s">
        <v>45096</v>
      </c>
      <c r="P11792">
        <v>0</v>
      </c>
      <c r="Q11792">
        <v>0</v>
      </c>
      <c r="R11792" t="s">
        <v>45110</v>
      </c>
      <c r="S11792" t="s">
        <v>45605</v>
      </c>
      <c r="T11792" t="s">
        <v>47319</v>
      </c>
      <c r="U11792" t="s">
        <v>57109</v>
      </c>
      <c r="V11792" t="s">
        <v>60341</v>
      </c>
      <c r="W11792" t="s">
        <v>44681</v>
      </c>
      <c r="X11792" t="s">
        <v>45111</v>
      </c>
    </row>
    <row r="11793" spans="1:24">
      <c r="A11793">
        <f>HYPERLINK("https://www.philgeps.gov.ph/GEPSNONPILOT/Tender/SplashBidNoticeAbstractUI.aspx?menuIndex=3&amp;refID=7022120&amp;Result=3","7022120")</f>
        <v>0</v>
      </c>
      <c r="B11793" t="s">
        <v>105</v>
      </c>
      <c r="C11793" t="s">
        <v>14456</v>
      </c>
      <c r="D11793" t="s">
        <v>18062</v>
      </c>
      <c r="E11793" t="s">
        <v>28316</v>
      </c>
      <c r="F11793" t="s">
        <v>31574</v>
      </c>
      <c r="G11793" t="s">
        <v>31582</v>
      </c>
      <c r="H11793" t="s">
        <v>31590</v>
      </c>
      <c r="I11793" t="s">
        <v>31614</v>
      </c>
      <c r="J11793" t="s">
        <v>39030</v>
      </c>
      <c r="K11793" t="s">
        <v>41191</v>
      </c>
      <c r="M11793" t="s">
        <v>41589</v>
      </c>
      <c r="N11793" t="s">
        <v>45095</v>
      </c>
      <c r="O11793" t="s">
        <v>45096</v>
      </c>
      <c r="P11793">
        <v>0</v>
      </c>
      <c r="Q11793">
        <v>2</v>
      </c>
      <c r="R11793" t="s">
        <v>45110</v>
      </c>
      <c r="S11793" t="s">
        <v>45605</v>
      </c>
      <c r="T11793" t="s">
        <v>46910</v>
      </c>
      <c r="U11793" t="s">
        <v>57110</v>
      </c>
      <c r="W11793" t="s">
        <v>41589</v>
      </c>
      <c r="X11793" t="s">
        <v>45111</v>
      </c>
    </row>
    <row r="11794" spans="1:24">
      <c r="A11794">
        <f>HYPERLINK("https://www.philgeps.gov.ph/GEPSNONPILOT/Tender/SplashBidNoticeAbstractUI.aspx?menuIndex=3&amp;refID=7022173&amp;Result=3","7022173")</f>
        <v>0</v>
      </c>
      <c r="B11794" t="s">
        <v>200</v>
      </c>
      <c r="C11794" t="s">
        <v>14457</v>
      </c>
      <c r="D11794" t="s">
        <v>18070</v>
      </c>
      <c r="E11794" t="s">
        <v>28317</v>
      </c>
      <c r="F11794" t="s">
        <v>31574</v>
      </c>
      <c r="G11794" t="s">
        <v>31582</v>
      </c>
      <c r="H11794" t="s">
        <v>31590</v>
      </c>
      <c r="I11794" t="s">
        <v>6800</v>
      </c>
      <c r="J11794" t="s">
        <v>39031</v>
      </c>
      <c r="K11794" t="s">
        <v>41186</v>
      </c>
      <c r="M11794" t="s">
        <v>41685</v>
      </c>
      <c r="N11794" t="s">
        <v>45095</v>
      </c>
      <c r="O11794" t="s">
        <v>45096</v>
      </c>
      <c r="P11794">
        <v>0</v>
      </c>
      <c r="Q11794">
        <v>4</v>
      </c>
      <c r="R11794" t="s">
        <v>45110</v>
      </c>
      <c r="S11794" t="s">
        <v>45605</v>
      </c>
      <c r="T11794" t="s">
        <v>46914</v>
      </c>
      <c r="U11794" t="s">
        <v>57111</v>
      </c>
      <c r="W11794" t="s">
        <v>41685</v>
      </c>
      <c r="X11794" t="s">
        <v>45111</v>
      </c>
    </row>
    <row r="11795" spans="1:24">
      <c r="A11795">
        <f>HYPERLINK("https://www.philgeps.gov.ph/GEPSNONPILOT/Tender/SplashBidNoticeAbstractUI.aspx?menuIndex=3&amp;refID=7022125&amp;Result=3","7022125")</f>
        <v>0</v>
      </c>
      <c r="B11795" t="s">
        <v>200</v>
      </c>
      <c r="C11795" t="s">
        <v>14458</v>
      </c>
      <c r="D11795" t="s">
        <v>18070</v>
      </c>
      <c r="E11795" t="s">
        <v>28318</v>
      </c>
      <c r="F11795" t="s">
        <v>31574</v>
      </c>
      <c r="G11795" t="s">
        <v>31582</v>
      </c>
      <c r="H11795" t="s">
        <v>31590</v>
      </c>
      <c r="I11795" t="s">
        <v>6800</v>
      </c>
      <c r="J11795" t="s">
        <v>39032</v>
      </c>
      <c r="K11795" t="s">
        <v>41186</v>
      </c>
      <c r="M11795" t="s">
        <v>41685</v>
      </c>
      <c r="N11795" t="s">
        <v>45095</v>
      </c>
      <c r="O11795" t="s">
        <v>45096</v>
      </c>
      <c r="P11795">
        <v>0</v>
      </c>
      <c r="Q11795">
        <v>4</v>
      </c>
      <c r="R11795" t="s">
        <v>45110</v>
      </c>
      <c r="S11795" t="s">
        <v>45605</v>
      </c>
      <c r="T11795" t="s">
        <v>46914</v>
      </c>
      <c r="U11795" t="s">
        <v>57112</v>
      </c>
      <c r="W11795" t="s">
        <v>41685</v>
      </c>
      <c r="X11795" t="s">
        <v>45111</v>
      </c>
    </row>
    <row r="11796" spans="1:24">
      <c r="A11796">
        <f>HYPERLINK("https://www.philgeps.gov.ph/GEPSNONPILOT/Tender/SplashBidNoticeAbstractUI.aspx?menuIndex=3&amp;refID=7022160&amp;Result=3","7022160")</f>
        <v>0</v>
      </c>
      <c r="B11796" t="s">
        <v>349</v>
      </c>
      <c r="C11796" t="s">
        <v>14459</v>
      </c>
      <c r="D11796" t="s">
        <v>18071</v>
      </c>
      <c r="E11796" t="s">
        <v>28319</v>
      </c>
      <c r="F11796" t="s">
        <v>31574</v>
      </c>
      <c r="G11796" t="s">
        <v>31582</v>
      </c>
      <c r="H11796" t="s">
        <v>31590</v>
      </c>
      <c r="I11796" t="s">
        <v>4327</v>
      </c>
      <c r="J11796" t="s">
        <v>35158</v>
      </c>
      <c r="K11796" t="s">
        <v>41186</v>
      </c>
      <c r="L11796" t="s">
        <v>349</v>
      </c>
      <c r="M11796" t="s">
        <v>41837</v>
      </c>
      <c r="N11796" t="s">
        <v>45095</v>
      </c>
      <c r="O11796" t="s">
        <v>45096</v>
      </c>
      <c r="P11796">
        <v>0</v>
      </c>
      <c r="Q11796">
        <v>2</v>
      </c>
      <c r="R11796" t="s">
        <v>45110</v>
      </c>
      <c r="S11796" t="s">
        <v>45605</v>
      </c>
      <c r="T11796" t="s">
        <v>47176</v>
      </c>
      <c r="U11796" t="s">
        <v>57113</v>
      </c>
      <c r="W11796" t="s">
        <v>41837</v>
      </c>
      <c r="X11796" t="s">
        <v>45111</v>
      </c>
    </row>
    <row r="11797" spans="1:24">
      <c r="A11797">
        <f>HYPERLINK("https://www.philgeps.gov.ph/GEPSNONPILOT/Tender/SplashBidNoticeAbstractUI.aspx?menuIndex=3&amp;refID=7022183&amp;Result=3","7022183")</f>
        <v>0</v>
      </c>
      <c r="B11797" t="s">
        <v>801</v>
      </c>
      <c r="C11797" t="s">
        <v>14460</v>
      </c>
      <c r="D11797" t="s">
        <v>18103</v>
      </c>
      <c r="E11797" t="s">
        <v>28320</v>
      </c>
      <c r="F11797" t="s">
        <v>31574</v>
      </c>
      <c r="G11797" t="s">
        <v>31582</v>
      </c>
      <c r="H11797" t="s">
        <v>31591</v>
      </c>
      <c r="I11797" t="s">
        <v>8822</v>
      </c>
      <c r="J11797" t="s">
        <v>39033</v>
      </c>
      <c r="K11797" t="s">
        <v>41184</v>
      </c>
      <c r="M11797" t="s">
        <v>42315</v>
      </c>
      <c r="N11797" t="s">
        <v>45095</v>
      </c>
      <c r="O11797" t="s">
        <v>45096</v>
      </c>
      <c r="P11797">
        <v>0</v>
      </c>
      <c r="Q11797">
        <v>3</v>
      </c>
      <c r="R11797" t="s">
        <v>45110</v>
      </c>
      <c r="S11797" t="s">
        <v>45605</v>
      </c>
      <c r="T11797" t="s">
        <v>46979</v>
      </c>
      <c r="U11797" t="s">
        <v>57114</v>
      </c>
      <c r="W11797" t="s">
        <v>61679</v>
      </c>
      <c r="X11797" t="s">
        <v>45111</v>
      </c>
    </row>
    <row r="11798" spans="1:24">
      <c r="A11798">
        <f>HYPERLINK("https://www.philgeps.gov.ph/GEPSNONPILOT/Tender/SplashBidNoticeAbstractUI.aspx?menuIndex=3&amp;refID=7022171&amp;Result=3","7022171")</f>
        <v>0</v>
      </c>
      <c r="B11798" t="s">
        <v>1386</v>
      </c>
      <c r="C11798" t="s">
        <v>14461</v>
      </c>
      <c r="D11798" t="s">
        <v>18039</v>
      </c>
      <c r="E11798" t="s">
        <v>28321</v>
      </c>
      <c r="F11798" t="s">
        <v>31574</v>
      </c>
      <c r="G11798" t="s">
        <v>31582</v>
      </c>
      <c r="H11798" t="s">
        <v>31591</v>
      </c>
      <c r="I11798" t="s">
        <v>8822</v>
      </c>
      <c r="J11798" t="s">
        <v>39034</v>
      </c>
      <c r="K11798" t="s">
        <v>41184</v>
      </c>
      <c r="M11798" t="s">
        <v>42960</v>
      </c>
      <c r="N11798" t="s">
        <v>45095</v>
      </c>
      <c r="O11798" t="s">
        <v>45096</v>
      </c>
      <c r="P11798">
        <v>0</v>
      </c>
      <c r="Q11798">
        <v>0</v>
      </c>
      <c r="R11798" t="s">
        <v>45110</v>
      </c>
      <c r="S11798" t="s">
        <v>45605</v>
      </c>
      <c r="T11798" t="s">
        <v>46930</v>
      </c>
      <c r="U11798" t="s">
        <v>57115</v>
      </c>
      <c r="W11798" t="s">
        <v>42960</v>
      </c>
      <c r="X11798" t="s">
        <v>45111</v>
      </c>
    </row>
    <row r="11799" spans="1:24">
      <c r="A11799">
        <f>HYPERLINK("https://www.philgeps.gov.ph/GEPSNONPILOT/Tender/SplashBidNoticeAbstractUI.aspx?menuIndex=3&amp;refID=7022182&amp;Result=3","7022182")</f>
        <v>0</v>
      </c>
      <c r="B11799" t="s">
        <v>2887</v>
      </c>
      <c r="C11799" t="s">
        <v>14462</v>
      </c>
      <c r="D11799" t="s">
        <v>18064</v>
      </c>
      <c r="E11799" t="s">
        <v>28322</v>
      </c>
      <c r="F11799" t="s">
        <v>31574</v>
      </c>
      <c r="G11799" t="s">
        <v>31582</v>
      </c>
      <c r="H11799" t="s">
        <v>31591</v>
      </c>
      <c r="I11799" t="s">
        <v>8822</v>
      </c>
      <c r="J11799" t="s">
        <v>39035</v>
      </c>
      <c r="K11799" t="s">
        <v>41243</v>
      </c>
      <c r="M11799" t="s">
        <v>44679</v>
      </c>
      <c r="N11799" t="s">
        <v>45095</v>
      </c>
      <c r="O11799" t="s">
        <v>45096</v>
      </c>
      <c r="P11799">
        <v>0</v>
      </c>
      <c r="Q11799">
        <v>0</v>
      </c>
      <c r="R11799" t="s">
        <v>45110</v>
      </c>
      <c r="S11799" t="s">
        <v>45605</v>
      </c>
      <c r="T11799" t="s">
        <v>47401</v>
      </c>
      <c r="U11799" t="s">
        <v>57116</v>
      </c>
      <c r="W11799" t="s">
        <v>44679</v>
      </c>
      <c r="X11799" t="s">
        <v>45111</v>
      </c>
    </row>
    <row r="11800" spans="1:24">
      <c r="A11800">
        <f>HYPERLINK("https://www.philgeps.gov.ph/GEPSNONPILOT/Tender/SplashBidNoticeAbstractUI.aspx?menuIndex=3&amp;refID=7022187&amp;Result=3","7022187")</f>
        <v>0</v>
      </c>
      <c r="B11800" t="s">
        <v>1211</v>
      </c>
      <c r="C11800" t="s">
        <v>14463</v>
      </c>
      <c r="D11800" t="s">
        <v>18041</v>
      </c>
      <c r="E11800" t="s">
        <v>28323</v>
      </c>
      <c r="F11800" t="s">
        <v>31574</v>
      </c>
      <c r="G11800" t="s">
        <v>31582</v>
      </c>
      <c r="H11800" t="s">
        <v>31591</v>
      </c>
      <c r="I11800" t="s">
        <v>8822</v>
      </c>
      <c r="J11800" t="s">
        <v>31890</v>
      </c>
      <c r="K11800" t="s">
        <v>41189</v>
      </c>
      <c r="M11800" t="s">
        <v>42771</v>
      </c>
      <c r="N11800" t="s">
        <v>45095</v>
      </c>
      <c r="O11800" t="s">
        <v>45096</v>
      </c>
      <c r="P11800">
        <v>0</v>
      </c>
      <c r="Q11800">
        <v>8</v>
      </c>
      <c r="R11800" t="s">
        <v>45110</v>
      </c>
      <c r="S11800" t="s">
        <v>45605</v>
      </c>
      <c r="T11800" t="s">
        <v>46937</v>
      </c>
      <c r="U11800" t="s">
        <v>57117</v>
      </c>
      <c r="W11800" t="s">
        <v>61750</v>
      </c>
      <c r="X11800" t="s">
        <v>45111</v>
      </c>
    </row>
    <row r="11801" spans="1:24">
      <c r="A11801">
        <f>HYPERLINK("https://www.philgeps.gov.ph/GEPSNONPILOT/Tender/SplashBidNoticeAbstractUI.aspx?menuIndex=3&amp;refID=7022169&amp;Result=3","7022169")</f>
        <v>0</v>
      </c>
      <c r="B11801" t="s">
        <v>2878</v>
      </c>
      <c r="C11801" t="s">
        <v>14464</v>
      </c>
      <c r="D11801" t="s">
        <v>18046</v>
      </c>
      <c r="E11801" t="s">
        <v>28324</v>
      </c>
      <c r="F11801" t="s">
        <v>31575</v>
      </c>
      <c r="G11801" t="s">
        <v>31582</v>
      </c>
      <c r="H11801" t="s">
        <v>31591</v>
      </c>
      <c r="I11801" t="s">
        <v>8822</v>
      </c>
      <c r="J11801" t="s">
        <v>31724</v>
      </c>
      <c r="K11801" t="s">
        <v>41195</v>
      </c>
      <c r="M11801" t="s">
        <v>44669</v>
      </c>
      <c r="N11801" t="s">
        <v>45095</v>
      </c>
      <c r="O11801" t="s">
        <v>45096</v>
      </c>
      <c r="P11801">
        <v>0</v>
      </c>
      <c r="Q11801">
        <v>1</v>
      </c>
      <c r="R11801" t="s">
        <v>45110</v>
      </c>
      <c r="S11801" t="s">
        <v>45605</v>
      </c>
      <c r="T11801" t="s">
        <v>46943</v>
      </c>
      <c r="U11801" t="s">
        <v>57118</v>
      </c>
      <c r="V11801" t="s">
        <v>61150</v>
      </c>
      <c r="W11801" t="s">
        <v>44669</v>
      </c>
      <c r="X11801" t="s">
        <v>45111</v>
      </c>
    </row>
    <row r="11802" spans="1:24">
      <c r="A11802">
        <f>HYPERLINK("https://www.philgeps.gov.ph/GEPSNONPILOT/Tender/SplashBidNoticeAbstractUI.aspx?menuIndex=3&amp;refID=7022193&amp;Result=3","7022193")</f>
        <v>0</v>
      </c>
      <c r="B11802" t="s">
        <v>349</v>
      </c>
      <c r="C11802" t="s">
        <v>14465</v>
      </c>
      <c r="D11802" t="s">
        <v>18071</v>
      </c>
      <c r="E11802" t="s">
        <v>28325</v>
      </c>
      <c r="F11802" t="s">
        <v>31574</v>
      </c>
      <c r="G11802" t="s">
        <v>31582</v>
      </c>
      <c r="H11802" t="s">
        <v>31590</v>
      </c>
      <c r="I11802" t="s">
        <v>4327</v>
      </c>
      <c r="J11802" t="s">
        <v>39036</v>
      </c>
      <c r="K11802" t="s">
        <v>41186</v>
      </c>
      <c r="L11802" t="s">
        <v>349</v>
      </c>
      <c r="M11802" t="s">
        <v>41837</v>
      </c>
      <c r="N11802" t="s">
        <v>45095</v>
      </c>
      <c r="O11802" t="s">
        <v>45096</v>
      </c>
      <c r="P11802">
        <v>0</v>
      </c>
      <c r="Q11802">
        <v>0</v>
      </c>
      <c r="R11802" t="s">
        <v>45110</v>
      </c>
      <c r="S11802" t="s">
        <v>45605</v>
      </c>
      <c r="T11802" t="s">
        <v>47176</v>
      </c>
      <c r="U11802" t="s">
        <v>57119</v>
      </c>
      <c r="W11802" t="s">
        <v>41837</v>
      </c>
      <c r="X11802" t="s">
        <v>45111</v>
      </c>
    </row>
    <row r="11803" spans="1:24">
      <c r="A11803">
        <f>HYPERLINK("https://www.philgeps.gov.ph/GEPSNONPILOT/Tender/SplashBidNoticeAbstractUI.aspx?menuIndex=3&amp;refID=7022268&amp;Result=3","7022268")</f>
        <v>0</v>
      </c>
      <c r="B11803" t="s">
        <v>1300</v>
      </c>
      <c r="C11803" t="s">
        <v>14466</v>
      </c>
      <c r="D11803" t="s">
        <v>18066</v>
      </c>
      <c r="E11803" t="s">
        <v>28326</v>
      </c>
      <c r="F11803" t="s">
        <v>31574</v>
      </c>
      <c r="G11803" t="s">
        <v>31582</v>
      </c>
      <c r="H11803" t="s">
        <v>31591</v>
      </c>
      <c r="I11803" t="s">
        <v>8822</v>
      </c>
      <c r="J11803" t="s">
        <v>31771</v>
      </c>
      <c r="K11803" t="s">
        <v>41192</v>
      </c>
      <c r="M11803" t="s">
        <v>42870</v>
      </c>
      <c r="N11803" t="s">
        <v>45095</v>
      </c>
      <c r="O11803" t="s">
        <v>45096</v>
      </c>
      <c r="P11803">
        <v>0</v>
      </c>
      <c r="Q11803">
        <v>0</v>
      </c>
      <c r="R11803" t="s">
        <v>45110</v>
      </c>
      <c r="S11803" t="s">
        <v>45605</v>
      </c>
      <c r="T11803" t="s">
        <v>46910</v>
      </c>
      <c r="U11803" t="s">
        <v>57120</v>
      </c>
      <c r="W11803" t="s">
        <v>42870</v>
      </c>
      <c r="X11803" t="s">
        <v>45111</v>
      </c>
    </row>
    <row r="11804" spans="1:24">
      <c r="A11804">
        <f>HYPERLINK("https://www.philgeps.gov.ph/GEPSNONPILOT/Tender/SplashBidNoticeAbstractUI.aspx?menuIndex=3&amp;refID=7022190&amp;Result=3","7022190")</f>
        <v>0</v>
      </c>
      <c r="B11804" t="s">
        <v>2890</v>
      </c>
      <c r="C11804" t="s">
        <v>14467</v>
      </c>
      <c r="D11804" t="s">
        <v>18043</v>
      </c>
      <c r="E11804" t="s">
        <v>28327</v>
      </c>
      <c r="F11804" t="s">
        <v>31574</v>
      </c>
      <c r="G11804" t="s">
        <v>31582</v>
      </c>
      <c r="H11804" t="s">
        <v>31590</v>
      </c>
      <c r="I11804" t="s">
        <v>4046</v>
      </c>
      <c r="J11804" t="s">
        <v>39037</v>
      </c>
      <c r="K11804" t="s">
        <v>41190</v>
      </c>
      <c r="M11804" t="s">
        <v>44682</v>
      </c>
      <c r="N11804" t="s">
        <v>45095</v>
      </c>
      <c r="O11804" t="s">
        <v>45096</v>
      </c>
      <c r="P11804">
        <v>0</v>
      </c>
      <c r="Q11804">
        <v>0</v>
      </c>
      <c r="R11804" t="s">
        <v>45110</v>
      </c>
      <c r="S11804" t="s">
        <v>45605</v>
      </c>
      <c r="T11804" t="s">
        <v>47183</v>
      </c>
      <c r="U11804" t="s">
        <v>57121</v>
      </c>
      <c r="V11804" t="s">
        <v>61152</v>
      </c>
      <c r="W11804" t="s">
        <v>44682</v>
      </c>
      <c r="X11804" t="s">
        <v>45111</v>
      </c>
    </row>
    <row r="11805" spans="1:24">
      <c r="A11805">
        <f>HYPERLINK("https://www.philgeps.gov.ph/GEPSNONPILOT/Tender/SplashBidNoticeAbstractUI.aspx?menuIndex=3&amp;refID=7022246&amp;Result=3","7022246")</f>
        <v>0</v>
      </c>
      <c r="B11805" t="s">
        <v>994</v>
      </c>
      <c r="C11805" t="s">
        <v>14468</v>
      </c>
      <c r="D11805" t="s">
        <v>18048</v>
      </c>
      <c r="E11805" t="s">
        <v>22714</v>
      </c>
      <c r="F11805" t="s">
        <v>31574</v>
      </c>
      <c r="G11805" t="s">
        <v>31582</v>
      </c>
      <c r="H11805" t="s">
        <v>31590</v>
      </c>
      <c r="I11805" t="s">
        <v>4046</v>
      </c>
      <c r="J11805" t="s">
        <v>39038</v>
      </c>
      <c r="K11805" t="s">
        <v>41189</v>
      </c>
      <c r="L11805" t="s">
        <v>994</v>
      </c>
      <c r="M11805" t="s">
        <v>42530</v>
      </c>
      <c r="N11805" t="s">
        <v>45095</v>
      </c>
      <c r="O11805" t="s">
        <v>45096</v>
      </c>
      <c r="P11805">
        <v>0</v>
      </c>
      <c r="Q11805">
        <v>0</v>
      </c>
      <c r="R11805" t="s">
        <v>45110</v>
      </c>
      <c r="S11805" t="s">
        <v>45605</v>
      </c>
      <c r="T11805" t="s">
        <v>46932</v>
      </c>
      <c r="U11805" t="s">
        <v>57122</v>
      </c>
      <c r="V11805" t="s">
        <v>60107</v>
      </c>
      <c r="W11805" t="s">
        <v>42530</v>
      </c>
      <c r="X11805" t="s">
        <v>45111</v>
      </c>
    </row>
    <row r="11806" spans="1:24">
      <c r="A11806">
        <f>HYPERLINK("https://www.philgeps.gov.ph/GEPSNONPILOT/Tender/SplashBidNoticeAbstractUI.aspx?menuIndex=3&amp;refID=7022238&amp;Result=3","7022238")</f>
        <v>0</v>
      </c>
      <c r="B11806" t="s">
        <v>1692</v>
      </c>
      <c r="C11806" t="s">
        <v>14469</v>
      </c>
      <c r="D11806" t="s">
        <v>18037</v>
      </c>
      <c r="E11806" t="s">
        <v>28328</v>
      </c>
      <c r="F11806" t="s">
        <v>31574</v>
      </c>
      <c r="G11806" t="s">
        <v>31582</v>
      </c>
      <c r="H11806" t="s">
        <v>31591</v>
      </c>
      <c r="I11806" t="s">
        <v>8822</v>
      </c>
      <c r="J11806" t="s">
        <v>39039</v>
      </c>
      <c r="K11806" t="s">
        <v>41186</v>
      </c>
      <c r="M11806" t="s">
        <v>43306</v>
      </c>
      <c r="N11806" t="s">
        <v>45095</v>
      </c>
      <c r="O11806" t="s">
        <v>45096</v>
      </c>
      <c r="P11806">
        <v>0</v>
      </c>
      <c r="Q11806">
        <v>1</v>
      </c>
      <c r="R11806" t="s">
        <v>45110</v>
      </c>
      <c r="S11806" t="s">
        <v>45605</v>
      </c>
      <c r="T11806" t="s">
        <v>47165</v>
      </c>
      <c r="U11806" t="s">
        <v>57123</v>
      </c>
      <c r="W11806" t="s">
        <v>43306</v>
      </c>
      <c r="X11806" t="s">
        <v>45111</v>
      </c>
    </row>
    <row r="11807" spans="1:24">
      <c r="A11807">
        <f>HYPERLINK("https://www.philgeps.gov.ph/GEPSNONPILOT/Tender/SplashBidNoticeAbstractUI.aspx?menuIndex=3&amp;refID=7022235&amp;Result=3","7022235")</f>
        <v>0</v>
      </c>
      <c r="B11807" t="s">
        <v>801</v>
      </c>
      <c r="C11807" t="s">
        <v>14470</v>
      </c>
      <c r="D11807" t="s">
        <v>18103</v>
      </c>
      <c r="E11807" t="s">
        <v>28329</v>
      </c>
      <c r="F11807" t="s">
        <v>31574</v>
      </c>
      <c r="G11807" t="s">
        <v>31582</v>
      </c>
      <c r="H11807" t="s">
        <v>31591</v>
      </c>
      <c r="I11807" t="s">
        <v>8822</v>
      </c>
      <c r="J11807" t="s">
        <v>39040</v>
      </c>
      <c r="K11807" t="s">
        <v>41184</v>
      </c>
      <c r="M11807" t="s">
        <v>42315</v>
      </c>
      <c r="N11807" t="s">
        <v>45095</v>
      </c>
      <c r="O11807" t="s">
        <v>45096</v>
      </c>
      <c r="P11807">
        <v>0</v>
      </c>
      <c r="Q11807">
        <v>3</v>
      </c>
      <c r="R11807" t="s">
        <v>45110</v>
      </c>
      <c r="S11807" t="s">
        <v>45605</v>
      </c>
      <c r="T11807" t="s">
        <v>46979</v>
      </c>
      <c r="U11807" t="s">
        <v>57124</v>
      </c>
      <c r="W11807" t="s">
        <v>61679</v>
      </c>
      <c r="X11807" t="s">
        <v>45111</v>
      </c>
    </row>
    <row r="11808" spans="1:24">
      <c r="A11808">
        <f>HYPERLINK("https://www.philgeps.gov.ph/GEPSNONPILOT/Tender/SplashBidNoticeAbstractUI.aspx?menuIndex=3&amp;refID=7022194&amp;Result=3","7022194")</f>
        <v>0</v>
      </c>
      <c r="B11808" t="s">
        <v>278</v>
      </c>
      <c r="C11808" t="s">
        <v>14471</v>
      </c>
      <c r="E11808" t="s">
        <v>28330</v>
      </c>
      <c r="F11808" t="s">
        <v>31574</v>
      </c>
      <c r="G11808" t="s">
        <v>31582</v>
      </c>
      <c r="H11808" t="s">
        <v>31590</v>
      </c>
      <c r="I11808" t="s">
        <v>31599</v>
      </c>
      <c r="J11808" t="s">
        <v>32101</v>
      </c>
      <c r="K11808" t="s">
        <v>41184</v>
      </c>
      <c r="M11808" t="s">
        <v>41764</v>
      </c>
      <c r="N11808" t="s">
        <v>45095</v>
      </c>
      <c r="O11808" t="s">
        <v>45096</v>
      </c>
      <c r="P11808">
        <v>0</v>
      </c>
      <c r="Q11808">
        <v>1</v>
      </c>
      <c r="R11808" t="s">
        <v>45110</v>
      </c>
      <c r="S11808" t="s">
        <v>45605</v>
      </c>
      <c r="T11808" t="s">
        <v>46945</v>
      </c>
      <c r="U11808" t="s">
        <v>57125</v>
      </c>
      <c r="V11808" t="s">
        <v>60881</v>
      </c>
      <c r="W11808" t="s">
        <v>41764</v>
      </c>
      <c r="X11808" t="s">
        <v>45111</v>
      </c>
    </row>
    <row r="11809" spans="1:24">
      <c r="A11809">
        <f>HYPERLINK("https://www.philgeps.gov.ph/GEPSNONPILOT/Tender/SplashBidNoticeAbstractUI.aspx?menuIndex=3&amp;refID=7022211&amp;Result=3","7022211")</f>
        <v>0</v>
      </c>
      <c r="B11809" t="s">
        <v>200</v>
      </c>
      <c r="C11809" t="s">
        <v>14472</v>
      </c>
      <c r="D11809" t="s">
        <v>18070</v>
      </c>
      <c r="E11809" t="s">
        <v>28331</v>
      </c>
      <c r="F11809" t="s">
        <v>31574</v>
      </c>
      <c r="G11809" t="s">
        <v>31582</v>
      </c>
      <c r="H11809" t="s">
        <v>31590</v>
      </c>
      <c r="I11809" t="s">
        <v>31629</v>
      </c>
      <c r="J11809" t="s">
        <v>39041</v>
      </c>
      <c r="K11809" t="s">
        <v>41186</v>
      </c>
      <c r="M11809" t="s">
        <v>41685</v>
      </c>
      <c r="N11809" t="s">
        <v>45095</v>
      </c>
      <c r="O11809" t="s">
        <v>45096</v>
      </c>
      <c r="P11809">
        <v>0</v>
      </c>
      <c r="Q11809">
        <v>0</v>
      </c>
      <c r="R11809" t="s">
        <v>45110</v>
      </c>
      <c r="S11809" t="s">
        <v>45605</v>
      </c>
      <c r="T11809" t="s">
        <v>46914</v>
      </c>
      <c r="U11809" t="s">
        <v>57126</v>
      </c>
      <c r="W11809" t="s">
        <v>41685</v>
      </c>
      <c r="X11809" t="s">
        <v>45111</v>
      </c>
    </row>
    <row r="11810" spans="1:24">
      <c r="A11810">
        <f>HYPERLINK("https://www.philgeps.gov.ph/GEPSNONPILOT/Tender/SplashBidNoticeAbstractUI.aspx?menuIndex=3&amp;refID=7022227&amp;Result=3","7022227")</f>
        <v>0</v>
      </c>
      <c r="B11810" t="s">
        <v>105</v>
      </c>
      <c r="C11810" t="s">
        <v>14473</v>
      </c>
      <c r="D11810" t="s">
        <v>18062</v>
      </c>
      <c r="E11810" t="s">
        <v>28332</v>
      </c>
      <c r="F11810" t="s">
        <v>31574</v>
      </c>
      <c r="G11810" t="s">
        <v>31582</v>
      </c>
      <c r="H11810" t="s">
        <v>31590</v>
      </c>
      <c r="I11810" t="s">
        <v>8258</v>
      </c>
      <c r="J11810" t="s">
        <v>39042</v>
      </c>
      <c r="K11810" t="s">
        <v>41191</v>
      </c>
      <c r="M11810" t="s">
        <v>41589</v>
      </c>
      <c r="N11810" t="s">
        <v>45095</v>
      </c>
      <c r="O11810" t="s">
        <v>45096</v>
      </c>
      <c r="P11810">
        <v>0</v>
      </c>
      <c r="Q11810">
        <v>6</v>
      </c>
      <c r="R11810" t="s">
        <v>45110</v>
      </c>
      <c r="S11810" t="s">
        <v>45605</v>
      </c>
      <c r="T11810" t="s">
        <v>46910</v>
      </c>
      <c r="U11810" t="s">
        <v>57127</v>
      </c>
      <c r="W11810" t="s">
        <v>41589</v>
      </c>
      <c r="X11810" t="s">
        <v>45111</v>
      </c>
    </row>
    <row r="11811" spans="1:24">
      <c r="A11811">
        <f>HYPERLINK("https://www.philgeps.gov.ph/GEPSNONPILOT/Tender/SplashBidNoticeAbstractUI.aspx?menuIndex=3&amp;refID=7022281&amp;Result=3","7022281")</f>
        <v>0</v>
      </c>
      <c r="B11811" t="s">
        <v>801</v>
      </c>
      <c r="C11811" t="s">
        <v>14474</v>
      </c>
      <c r="D11811" t="s">
        <v>18103</v>
      </c>
      <c r="E11811" t="s">
        <v>28333</v>
      </c>
      <c r="F11811" t="s">
        <v>31574</v>
      </c>
      <c r="G11811" t="s">
        <v>31582</v>
      </c>
      <c r="H11811" t="s">
        <v>31591</v>
      </c>
      <c r="I11811" t="s">
        <v>8822</v>
      </c>
      <c r="J11811" t="s">
        <v>39043</v>
      </c>
      <c r="K11811" t="s">
        <v>41184</v>
      </c>
      <c r="M11811" t="s">
        <v>42315</v>
      </c>
      <c r="N11811" t="s">
        <v>45095</v>
      </c>
      <c r="O11811" t="s">
        <v>45096</v>
      </c>
      <c r="P11811">
        <v>0</v>
      </c>
      <c r="Q11811">
        <v>3</v>
      </c>
      <c r="R11811" t="s">
        <v>45110</v>
      </c>
      <c r="S11811" t="s">
        <v>45605</v>
      </c>
      <c r="T11811" t="s">
        <v>46979</v>
      </c>
      <c r="U11811" t="s">
        <v>57128</v>
      </c>
      <c r="W11811" t="s">
        <v>61679</v>
      </c>
      <c r="X11811" t="s">
        <v>45111</v>
      </c>
    </row>
    <row r="11812" spans="1:24">
      <c r="A11812">
        <f>HYPERLINK("https://www.philgeps.gov.ph/GEPSNONPILOT/Tender/SplashBidNoticeAbstractUI.aspx?menuIndex=3&amp;refID=7022300&amp;Result=3","7022300")</f>
        <v>0</v>
      </c>
      <c r="B11812" t="s">
        <v>2887</v>
      </c>
      <c r="C11812" t="s">
        <v>14475</v>
      </c>
      <c r="D11812" t="s">
        <v>18064</v>
      </c>
      <c r="E11812" t="s">
        <v>28334</v>
      </c>
      <c r="F11812" t="s">
        <v>31574</v>
      </c>
      <c r="G11812" t="s">
        <v>31582</v>
      </c>
      <c r="H11812" t="s">
        <v>31591</v>
      </c>
      <c r="I11812" t="s">
        <v>8822</v>
      </c>
      <c r="J11812" t="s">
        <v>39044</v>
      </c>
      <c r="K11812" t="s">
        <v>41198</v>
      </c>
      <c r="M11812" t="s">
        <v>44679</v>
      </c>
      <c r="N11812" t="s">
        <v>45095</v>
      </c>
      <c r="O11812" t="s">
        <v>45096</v>
      </c>
      <c r="P11812">
        <v>0</v>
      </c>
      <c r="Q11812">
        <v>1</v>
      </c>
      <c r="R11812" t="s">
        <v>45110</v>
      </c>
      <c r="S11812" t="s">
        <v>45605</v>
      </c>
      <c r="T11812" t="s">
        <v>46917</v>
      </c>
      <c r="U11812" t="s">
        <v>57129</v>
      </c>
      <c r="W11812" t="s">
        <v>44679</v>
      </c>
      <c r="X11812" t="s">
        <v>45111</v>
      </c>
    </row>
    <row r="11813" spans="1:24">
      <c r="A11813">
        <f>HYPERLINK("https://www.philgeps.gov.ph/GEPSNONPILOT/Tender/SplashBidNoticeAbstractUI.aspx?menuIndex=3&amp;refID=7022321&amp;Result=3","7022321")</f>
        <v>0</v>
      </c>
      <c r="B11813" t="s">
        <v>1300</v>
      </c>
      <c r="C11813" t="s">
        <v>14476</v>
      </c>
      <c r="D11813" t="s">
        <v>18066</v>
      </c>
      <c r="E11813" t="s">
        <v>28335</v>
      </c>
      <c r="F11813" t="s">
        <v>31574</v>
      </c>
      <c r="G11813" t="s">
        <v>31582</v>
      </c>
      <c r="H11813" t="s">
        <v>31591</v>
      </c>
      <c r="I11813" t="s">
        <v>8822</v>
      </c>
      <c r="J11813" t="s">
        <v>39045</v>
      </c>
      <c r="K11813" t="s">
        <v>41243</v>
      </c>
      <c r="M11813" t="s">
        <v>42870</v>
      </c>
      <c r="N11813" t="s">
        <v>45095</v>
      </c>
      <c r="O11813" t="s">
        <v>45096</v>
      </c>
      <c r="P11813">
        <v>0</v>
      </c>
      <c r="Q11813">
        <v>0</v>
      </c>
      <c r="R11813" t="s">
        <v>45110</v>
      </c>
      <c r="S11813" t="s">
        <v>45605</v>
      </c>
      <c r="T11813" t="s">
        <v>46910</v>
      </c>
      <c r="U11813" t="s">
        <v>57130</v>
      </c>
      <c r="W11813" t="s">
        <v>42870</v>
      </c>
      <c r="X11813" t="s">
        <v>45111</v>
      </c>
    </row>
    <row r="11814" spans="1:24">
      <c r="A11814">
        <f>HYPERLINK("https://www.philgeps.gov.ph/GEPSNONPILOT/Tender/SplashBidNoticeAbstractUI.aspx?menuIndex=3&amp;refID=7022311&amp;Result=3","7022311")</f>
        <v>0</v>
      </c>
      <c r="B11814" t="s">
        <v>2170</v>
      </c>
      <c r="C11814" t="s">
        <v>14477</v>
      </c>
      <c r="D11814" t="s">
        <v>18056</v>
      </c>
      <c r="E11814" t="s">
        <v>28336</v>
      </c>
      <c r="F11814" t="s">
        <v>31574</v>
      </c>
      <c r="G11814" t="s">
        <v>31582</v>
      </c>
      <c r="H11814" t="s">
        <v>31591</v>
      </c>
      <c r="I11814" t="s">
        <v>8822</v>
      </c>
      <c r="J11814" t="s">
        <v>32019</v>
      </c>
      <c r="K11814" t="s">
        <v>41184</v>
      </c>
      <c r="M11814" t="s">
        <v>43856</v>
      </c>
      <c r="N11814" t="s">
        <v>45095</v>
      </c>
      <c r="O11814" t="s">
        <v>45096</v>
      </c>
      <c r="Q11814">
        <v>1</v>
      </c>
      <c r="R11814" t="s">
        <v>45110</v>
      </c>
      <c r="S11814" t="s">
        <v>45633</v>
      </c>
      <c r="T11814" t="s">
        <v>46955</v>
      </c>
      <c r="U11814" t="s">
        <v>57131</v>
      </c>
      <c r="W11814" t="s">
        <v>43856</v>
      </c>
      <c r="X11814" t="s">
        <v>45111</v>
      </c>
    </row>
    <row r="11815" spans="1:24">
      <c r="A11815">
        <f>HYPERLINK("https://www.philgeps.gov.ph/GEPSNONPILOT/Tender/SplashBidNoticeAbstractUI.aspx?menuIndex=3&amp;refID=7022250&amp;Result=3","7022250")</f>
        <v>0</v>
      </c>
      <c r="B11815" t="s">
        <v>1439</v>
      </c>
      <c r="C11815" t="s">
        <v>14478</v>
      </c>
      <c r="D11815" t="s">
        <v>18046</v>
      </c>
      <c r="E11815" t="s">
        <v>28337</v>
      </c>
      <c r="F11815" t="s">
        <v>31574</v>
      </c>
      <c r="G11815" t="s">
        <v>31582</v>
      </c>
      <c r="H11815" t="s">
        <v>31590</v>
      </c>
      <c r="I11815" t="s">
        <v>31615</v>
      </c>
      <c r="J11815" t="s">
        <v>31781</v>
      </c>
      <c r="K11815" t="s">
        <v>41203</v>
      </c>
      <c r="L11815" t="s">
        <v>1439</v>
      </c>
      <c r="M11815" t="s">
        <v>43015</v>
      </c>
      <c r="N11815" t="s">
        <v>45095</v>
      </c>
      <c r="O11815" t="s">
        <v>45096</v>
      </c>
      <c r="P11815">
        <v>0</v>
      </c>
      <c r="Q11815">
        <v>5</v>
      </c>
      <c r="R11815" t="s">
        <v>45110</v>
      </c>
      <c r="S11815" t="s">
        <v>45605</v>
      </c>
      <c r="T11815" t="s">
        <v>46926</v>
      </c>
      <c r="U11815" t="s">
        <v>57132</v>
      </c>
      <c r="V11815" t="s">
        <v>61153</v>
      </c>
      <c r="W11815" t="s">
        <v>43015</v>
      </c>
      <c r="X11815" t="s">
        <v>45111</v>
      </c>
    </row>
    <row r="11816" spans="1:24">
      <c r="A11816">
        <f>HYPERLINK("https://www.philgeps.gov.ph/GEPSNONPILOT/Tender/SplashBidNoticeAbstractUI.aspx?menuIndex=3&amp;refID=7022320&amp;Result=3","7022320")</f>
        <v>0</v>
      </c>
      <c r="B11816" t="s">
        <v>1889</v>
      </c>
      <c r="C11816" t="s">
        <v>14479</v>
      </c>
      <c r="D11816" t="s">
        <v>18071</v>
      </c>
      <c r="E11816" t="s">
        <v>28338</v>
      </c>
      <c r="F11816" t="s">
        <v>31574</v>
      </c>
      <c r="G11816" t="s">
        <v>31582</v>
      </c>
      <c r="H11816" t="s">
        <v>31590</v>
      </c>
      <c r="I11816" t="s">
        <v>31619</v>
      </c>
      <c r="J11816" t="s">
        <v>39046</v>
      </c>
      <c r="K11816" t="s">
        <v>41186</v>
      </c>
      <c r="M11816" t="s">
        <v>43532</v>
      </c>
      <c r="N11816" t="s">
        <v>45095</v>
      </c>
      <c r="O11816" t="s">
        <v>45096</v>
      </c>
      <c r="P11816">
        <v>0</v>
      </c>
      <c r="Q11816">
        <v>12</v>
      </c>
      <c r="R11816" t="s">
        <v>45110</v>
      </c>
      <c r="S11816" t="s">
        <v>45605</v>
      </c>
      <c r="T11816" t="s">
        <v>46926</v>
      </c>
      <c r="U11816" t="s">
        <v>57133</v>
      </c>
      <c r="W11816" t="s">
        <v>43532</v>
      </c>
      <c r="X11816" t="s">
        <v>45111</v>
      </c>
    </row>
    <row r="11817" spans="1:24">
      <c r="A11817">
        <f>HYPERLINK("https://www.philgeps.gov.ph/GEPSNONPILOT/Tender/SplashBidNoticeAbstractUI.aspx?menuIndex=3&amp;refID=7022306&amp;Result=3","7022306")</f>
        <v>0</v>
      </c>
      <c r="B11817" t="s">
        <v>2891</v>
      </c>
      <c r="C11817" t="s">
        <v>14480</v>
      </c>
      <c r="D11817" t="s">
        <v>18022</v>
      </c>
      <c r="E11817" t="s">
        <v>28339</v>
      </c>
      <c r="F11817" t="s">
        <v>31574</v>
      </c>
      <c r="G11817" t="s">
        <v>31582</v>
      </c>
      <c r="H11817" t="s">
        <v>31590</v>
      </c>
      <c r="I11817" t="s">
        <v>31615</v>
      </c>
      <c r="J11817" t="s">
        <v>39006</v>
      </c>
      <c r="K11817" t="s">
        <v>41185</v>
      </c>
      <c r="M11817" t="s">
        <v>44683</v>
      </c>
      <c r="N11817" t="s">
        <v>45095</v>
      </c>
      <c r="O11817" t="s">
        <v>45096</v>
      </c>
      <c r="Q11817">
        <v>9</v>
      </c>
      <c r="R11817" t="s">
        <v>45110</v>
      </c>
      <c r="S11817" t="s">
        <v>45634</v>
      </c>
      <c r="T11817" t="s">
        <v>46914</v>
      </c>
      <c r="U11817" t="s">
        <v>57134</v>
      </c>
      <c r="W11817" t="s">
        <v>44683</v>
      </c>
      <c r="X11817" t="s">
        <v>45111</v>
      </c>
    </row>
    <row r="11818" spans="1:24">
      <c r="A11818">
        <f>HYPERLINK("https://www.philgeps.gov.ph/GEPSNONPILOT/Tender/SplashBidNoticeAbstractUI.aspx?menuIndex=3&amp;refID=7022264&amp;Result=3","7022264")</f>
        <v>0</v>
      </c>
      <c r="B11818" t="s">
        <v>200</v>
      </c>
      <c r="C11818" t="s">
        <v>14481</v>
      </c>
      <c r="D11818" t="s">
        <v>18070</v>
      </c>
      <c r="E11818" t="s">
        <v>28340</v>
      </c>
      <c r="F11818" t="s">
        <v>31574</v>
      </c>
      <c r="G11818" t="s">
        <v>31582</v>
      </c>
      <c r="H11818" t="s">
        <v>31590</v>
      </c>
      <c r="I11818" t="s">
        <v>7185</v>
      </c>
      <c r="J11818" t="s">
        <v>39047</v>
      </c>
      <c r="K11818" t="s">
        <v>41186</v>
      </c>
      <c r="M11818" t="s">
        <v>41685</v>
      </c>
      <c r="N11818" t="s">
        <v>45095</v>
      </c>
      <c r="O11818" t="s">
        <v>45096</v>
      </c>
      <c r="P11818">
        <v>0</v>
      </c>
      <c r="Q11818">
        <v>6</v>
      </c>
      <c r="R11818" t="s">
        <v>45110</v>
      </c>
      <c r="S11818" t="s">
        <v>45605</v>
      </c>
      <c r="T11818" t="s">
        <v>46914</v>
      </c>
      <c r="U11818" t="s">
        <v>57135</v>
      </c>
      <c r="W11818" t="s">
        <v>41685</v>
      </c>
      <c r="X11818" t="s">
        <v>45111</v>
      </c>
    </row>
    <row r="11819" spans="1:24">
      <c r="A11819">
        <f>HYPERLINK("https://www.philgeps.gov.ph/GEPSNONPILOT/Tender/SplashBidNoticeAbstractUI.aspx?menuIndex=3&amp;refID=7022322&amp;Result=3","7022322")</f>
        <v>0</v>
      </c>
      <c r="B11819" t="s">
        <v>2889</v>
      </c>
      <c r="C11819" t="s">
        <v>14482</v>
      </c>
      <c r="D11819" t="s">
        <v>18033</v>
      </c>
      <c r="E11819" t="s">
        <v>26214</v>
      </c>
      <c r="F11819" t="s">
        <v>31574</v>
      </c>
      <c r="G11819" t="s">
        <v>31582</v>
      </c>
      <c r="H11819" t="s">
        <v>31590</v>
      </c>
      <c r="I11819" t="s">
        <v>4046</v>
      </c>
      <c r="J11819" t="s">
        <v>39048</v>
      </c>
      <c r="K11819" t="s">
        <v>41186</v>
      </c>
      <c r="M11819" t="s">
        <v>44681</v>
      </c>
      <c r="N11819" t="s">
        <v>45095</v>
      </c>
      <c r="O11819" t="s">
        <v>45096</v>
      </c>
      <c r="P11819">
        <v>0</v>
      </c>
      <c r="Q11819">
        <v>0</v>
      </c>
      <c r="R11819" t="s">
        <v>45110</v>
      </c>
      <c r="S11819" t="s">
        <v>45605</v>
      </c>
      <c r="T11819" t="s">
        <v>47319</v>
      </c>
      <c r="U11819" t="s">
        <v>57136</v>
      </c>
      <c r="V11819" t="s">
        <v>60341</v>
      </c>
      <c r="W11819" t="s">
        <v>44681</v>
      </c>
      <c r="X11819" t="s">
        <v>45111</v>
      </c>
    </row>
    <row r="11820" spans="1:24">
      <c r="A11820">
        <f>HYPERLINK("https://www.philgeps.gov.ph/GEPSNONPILOT/Tender/SplashBidNoticeAbstractUI.aspx?menuIndex=3&amp;refID=7022316&amp;Result=3","7022316")</f>
        <v>0</v>
      </c>
      <c r="B11820" t="s">
        <v>349</v>
      </c>
      <c r="C11820" t="s">
        <v>14483</v>
      </c>
      <c r="D11820" t="s">
        <v>18071</v>
      </c>
      <c r="E11820" t="s">
        <v>28341</v>
      </c>
      <c r="F11820" t="s">
        <v>31574</v>
      </c>
      <c r="G11820" t="s">
        <v>31582</v>
      </c>
      <c r="H11820" t="s">
        <v>31590</v>
      </c>
      <c r="I11820" t="s">
        <v>3489</v>
      </c>
      <c r="J11820" t="s">
        <v>39049</v>
      </c>
      <c r="K11820" t="s">
        <v>41186</v>
      </c>
      <c r="L11820" t="s">
        <v>349</v>
      </c>
      <c r="M11820" t="s">
        <v>41837</v>
      </c>
      <c r="N11820" t="s">
        <v>45095</v>
      </c>
      <c r="O11820" t="s">
        <v>45096</v>
      </c>
      <c r="P11820">
        <v>0</v>
      </c>
      <c r="Q11820">
        <v>0</v>
      </c>
      <c r="R11820" t="s">
        <v>45110</v>
      </c>
      <c r="S11820" t="s">
        <v>45605</v>
      </c>
      <c r="T11820" t="s">
        <v>47176</v>
      </c>
      <c r="U11820" t="s">
        <v>57137</v>
      </c>
      <c r="W11820" t="s">
        <v>41837</v>
      </c>
      <c r="X11820" t="s">
        <v>45111</v>
      </c>
    </row>
    <row r="11821" spans="1:24">
      <c r="A11821">
        <f>HYPERLINK("https://www.philgeps.gov.ph/GEPSNONPILOT/Tender/SplashBidNoticeAbstractUI.aspx?menuIndex=3&amp;refID=7022265&amp;Result=3","7022265")</f>
        <v>0</v>
      </c>
      <c r="B11821" t="s">
        <v>2204</v>
      </c>
      <c r="C11821" t="s">
        <v>14484</v>
      </c>
      <c r="D11821" t="s">
        <v>18033</v>
      </c>
      <c r="E11821" t="s">
        <v>19899</v>
      </c>
      <c r="F11821" t="s">
        <v>31574</v>
      </c>
      <c r="G11821" t="s">
        <v>31582</v>
      </c>
      <c r="H11821" t="s">
        <v>31590</v>
      </c>
      <c r="I11821" t="s">
        <v>5717</v>
      </c>
      <c r="J11821" t="s">
        <v>39050</v>
      </c>
      <c r="K11821" t="s">
        <v>41184</v>
      </c>
      <c r="M11821" t="s">
        <v>43893</v>
      </c>
      <c r="N11821" t="s">
        <v>45095</v>
      </c>
      <c r="O11821" t="s">
        <v>45096</v>
      </c>
      <c r="P11821">
        <v>0</v>
      </c>
      <c r="Q11821">
        <v>7</v>
      </c>
      <c r="R11821" t="s">
        <v>45110</v>
      </c>
      <c r="S11821" t="s">
        <v>45605</v>
      </c>
      <c r="T11821" t="s">
        <v>46992</v>
      </c>
      <c r="U11821" t="s">
        <v>57138</v>
      </c>
      <c r="W11821" t="s">
        <v>43893</v>
      </c>
      <c r="X11821" t="s">
        <v>45111</v>
      </c>
    </row>
    <row r="11822" spans="1:24">
      <c r="A11822">
        <f>HYPERLINK("https://www.philgeps.gov.ph/GEPSNONPILOT/Tender/SplashBidNoticeAbstractUI.aspx?menuIndex=3&amp;refID=7022409&amp;Result=3","7022409")</f>
        <v>0</v>
      </c>
      <c r="B11822" t="s">
        <v>2892</v>
      </c>
      <c r="C11822" t="s">
        <v>14485</v>
      </c>
      <c r="D11822" t="s">
        <v>18088</v>
      </c>
      <c r="E11822" t="s">
        <v>28342</v>
      </c>
      <c r="F11822" t="s">
        <v>31574</v>
      </c>
      <c r="G11822" t="s">
        <v>31582</v>
      </c>
      <c r="H11822" t="s">
        <v>31591</v>
      </c>
      <c r="I11822" t="s">
        <v>8822</v>
      </c>
      <c r="J11822" t="s">
        <v>39051</v>
      </c>
      <c r="K11822" t="s">
        <v>41326</v>
      </c>
      <c r="M11822" t="s">
        <v>44684</v>
      </c>
      <c r="N11822" t="s">
        <v>45095</v>
      </c>
      <c r="O11822" t="s">
        <v>45096</v>
      </c>
      <c r="P11822">
        <v>0</v>
      </c>
      <c r="Q11822">
        <v>0</v>
      </c>
      <c r="R11822" t="s">
        <v>45110</v>
      </c>
      <c r="S11822" t="s">
        <v>45605</v>
      </c>
      <c r="T11822" t="s">
        <v>46926</v>
      </c>
      <c r="U11822" t="s">
        <v>57139</v>
      </c>
      <c r="W11822" t="s">
        <v>44684</v>
      </c>
      <c r="X11822" t="s">
        <v>45111</v>
      </c>
    </row>
    <row r="11823" spans="1:24">
      <c r="A11823">
        <f>HYPERLINK("https://www.philgeps.gov.ph/GEPSNONPILOT/Tender/SplashBidNoticeAbstractUI.aspx?menuIndex=3&amp;refID=7022410&amp;Result=3","7022410")</f>
        <v>0</v>
      </c>
      <c r="B11823" t="s">
        <v>2873</v>
      </c>
      <c r="C11823" t="s">
        <v>14486</v>
      </c>
      <c r="D11823" t="s">
        <v>18022</v>
      </c>
      <c r="E11823" t="s">
        <v>28343</v>
      </c>
      <c r="F11823" t="s">
        <v>31575</v>
      </c>
      <c r="G11823" t="s">
        <v>31582</v>
      </c>
      <c r="H11823" t="s">
        <v>31590</v>
      </c>
      <c r="I11823" t="s">
        <v>31683</v>
      </c>
      <c r="J11823" t="s">
        <v>39052</v>
      </c>
      <c r="K11823" t="s">
        <v>41184</v>
      </c>
      <c r="M11823" t="s">
        <v>44664</v>
      </c>
      <c r="N11823" t="s">
        <v>45095</v>
      </c>
      <c r="O11823" t="s">
        <v>45096</v>
      </c>
      <c r="P11823">
        <v>0</v>
      </c>
      <c r="Q11823">
        <v>0</v>
      </c>
      <c r="R11823" t="s">
        <v>45110</v>
      </c>
      <c r="S11823" t="s">
        <v>45605</v>
      </c>
      <c r="T11823" t="s">
        <v>47076</v>
      </c>
      <c r="U11823" t="s">
        <v>57140</v>
      </c>
      <c r="W11823" t="s">
        <v>44664</v>
      </c>
      <c r="X11823" t="s">
        <v>45111</v>
      </c>
    </row>
    <row r="11824" spans="1:24">
      <c r="A11824">
        <f>HYPERLINK("https://www.philgeps.gov.ph/GEPSNONPILOT/Tender/SplashBidNoticeAbstractUI.aspx?menuIndex=3&amp;refID=7022391&amp;Result=3","7022391")</f>
        <v>0</v>
      </c>
      <c r="B11824" t="s">
        <v>192</v>
      </c>
      <c r="C11824" t="s">
        <v>14487</v>
      </c>
      <c r="D11824" t="s">
        <v>18065</v>
      </c>
      <c r="E11824" t="s">
        <v>28344</v>
      </c>
      <c r="F11824" t="s">
        <v>31574</v>
      </c>
      <c r="G11824" t="s">
        <v>31582</v>
      </c>
      <c r="H11824" t="s">
        <v>31590</v>
      </c>
      <c r="I11824" t="s">
        <v>31602</v>
      </c>
      <c r="J11824" t="s">
        <v>39053</v>
      </c>
      <c r="K11824" t="s">
        <v>41186</v>
      </c>
      <c r="M11824" t="s">
        <v>41677</v>
      </c>
      <c r="N11824" t="s">
        <v>45095</v>
      </c>
      <c r="O11824" t="s">
        <v>45096</v>
      </c>
      <c r="P11824">
        <v>0</v>
      </c>
      <c r="Q11824">
        <v>0</v>
      </c>
      <c r="R11824" t="s">
        <v>45110</v>
      </c>
      <c r="S11824" t="s">
        <v>45605</v>
      </c>
      <c r="T11824" t="s">
        <v>46922</v>
      </c>
      <c r="U11824" t="s">
        <v>57141</v>
      </c>
      <c r="W11824" t="s">
        <v>41677</v>
      </c>
      <c r="X11824" t="s">
        <v>45111</v>
      </c>
    </row>
    <row r="11825" spans="1:24">
      <c r="A11825">
        <f>HYPERLINK("https://www.philgeps.gov.ph/GEPSNONPILOT/Tender/SplashBidNoticeAbstractUI.aspx?menuIndex=3&amp;refID=7022399&amp;Result=3","7022399")</f>
        <v>0</v>
      </c>
      <c r="B11825" t="s">
        <v>801</v>
      </c>
      <c r="C11825" t="s">
        <v>14488</v>
      </c>
      <c r="D11825" t="s">
        <v>18103</v>
      </c>
      <c r="E11825" t="s">
        <v>28345</v>
      </c>
      <c r="F11825" t="s">
        <v>31574</v>
      </c>
      <c r="G11825" t="s">
        <v>31582</v>
      </c>
      <c r="H11825" t="s">
        <v>31591</v>
      </c>
      <c r="I11825" t="s">
        <v>8822</v>
      </c>
      <c r="J11825" t="s">
        <v>39054</v>
      </c>
      <c r="K11825" t="s">
        <v>41184</v>
      </c>
      <c r="M11825" t="s">
        <v>42315</v>
      </c>
      <c r="N11825" t="s">
        <v>45095</v>
      </c>
      <c r="O11825" t="s">
        <v>45096</v>
      </c>
      <c r="P11825">
        <v>0</v>
      </c>
      <c r="Q11825">
        <v>3</v>
      </c>
      <c r="R11825" t="s">
        <v>45110</v>
      </c>
      <c r="S11825" t="s">
        <v>45605</v>
      </c>
      <c r="T11825" t="s">
        <v>46979</v>
      </c>
      <c r="U11825" t="s">
        <v>57142</v>
      </c>
      <c r="W11825" t="s">
        <v>61679</v>
      </c>
      <c r="X11825" t="s">
        <v>45111</v>
      </c>
    </row>
    <row r="11826" spans="1:24">
      <c r="A11826">
        <f>HYPERLINK("https://www.philgeps.gov.ph/GEPSNONPILOT/Tender/SplashBidNoticeAbstractUI.aspx?menuIndex=3&amp;refID=7022260&amp;Result=3","7022260")</f>
        <v>0</v>
      </c>
      <c r="B11826" t="s">
        <v>1534</v>
      </c>
      <c r="C11826" t="s">
        <v>14489</v>
      </c>
      <c r="D11826" t="s">
        <v>18052</v>
      </c>
      <c r="E11826" t="s">
        <v>28346</v>
      </c>
      <c r="F11826" t="s">
        <v>31574</v>
      </c>
      <c r="G11826" t="s">
        <v>31582</v>
      </c>
      <c r="H11826" t="s">
        <v>31591</v>
      </c>
      <c r="I11826" t="s">
        <v>8822</v>
      </c>
      <c r="J11826" t="s">
        <v>32049</v>
      </c>
      <c r="K11826" t="s">
        <v>41192</v>
      </c>
      <c r="L11826" t="s">
        <v>1534</v>
      </c>
      <c r="M11826" t="s">
        <v>43126</v>
      </c>
      <c r="N11826" t="s">
        <v>45095</v>
      </c>
      <c r="O11826" t="s">
        <v>45096</v>
      </c>
      <c r="P11826">
        <v>0</v>
      </c>
      <c r="Q11826">
        <v>1</v>
      </c>
      <c r="R11826" t="s">
        <v>45110</v>
      </c>
      <c r="S11826" t="s">
        <v>45605</v>
      </c>
      <c r="T11826" t="s">
        <v>47043</v>
      </c>
      <c r="U11826" t="s">
        <v>57143</v>
      </c>
      <c r="V11826" t="s">
        <v>60325</v>
      </c>
      <c r="W11826" t="s">
        <v>43126</v>
      </c>
      <c r="X11826" t="s">
        <v>45111</v>
      </c>
    </row>
    <row r="11827" spans="1:24">
      <c r="A11827">
        <f>HYPERLINK("https://www.philgeps.gov.ph/GEPSNONPILOT/Tender/SplashBidNoticeAbstractUI.aspx?menuIndex=3&amp;refID=7022421&amp;Result=3","7022421")</f>
        <v>0</v>
      </c>
      <c r="B11827" t="s">
        <v>1028</v>
      </c>
      <c r="C11827" t="s">
        <v>14490</v>
      </c>
      <c r="D11827" t="s">
        <v>18055</v>
      </c>
      <c r="E11827" t="s">
        <v>28347</v>
      </c>
      <c r="F11827" t="s">
        <v>31574</v>
      </c>
      <c r="G11827" t="s">
        <v>31582</v>
      </c>
      <c r="H11827" t="s">
        <v>31590</v>
      </c>
      <c r="I11827" t="s">
        <v>4046</v>
      </c>
      <c r="J11827" t="s">
        <v>34050</v>
      </c>
      <c r="K11827" t="s">
        <v>41186</v>
      </c>
      <c r="M11827" t="s">
        <v>42569</v>
      </c>
      <c r="N11827" t="s">
        <v>45095</v>
      </c>
      <c r="O11827" t="s">
        <v>45096</v>
      </c>
      <c r="P11827">
        <v>0</v>
      </c>
      <c r="Q11827">
        <v>10</v>
      </c>
      <c r="R11827" t="s">
        <v>45110</v>
      </c>
      <c r="S11827" t="s">
        <v>45605</v>
      </c>
      <c r="T11827" t="s">
        <v>47402</v>
      </c>
      <c r="U11827" t="s">
        <v>55947</v>
      </c>
      <c r="W11827" t="s">
        <v>61687</v>
      </c>
      <c r="X11827" t="s">
        <v>45111</v>
      </c>
    </row>
    <row r="11828" spans="1:24">
      <c r="A11828">
        <f>HYPERLINK("https://www.philgeps.gov.ph/GEPSNONPILOT/Tender/SplashBidNoticeAbstractUI.aspx?menuIndex=3&amp;refID=7022338&amp;Result=3","7022338")</f>
        <v>0</v>
      </c>
      <c r="B11828" t="s">
        <v>2893</v>
      </c>
      <c r="C11828" t="s">
        <v>14491</v>
      </c>
      <c r="D11828" t="s">
        <v>18079</v>
      </c>
      <c r="E11828" t="s">
        <v>28348</v>
      </c>
      <c r="F11828" t="s">
        <v>31574</v>
      </c>
      <c r="G11828" t="s">
        <v>31582</v>
      </c>
      <c r="H11828" t="s">
        <v>31590</v>
      </c>
      <c r="I11828" t="s">
        <v>31654</v>
      </c>
      <c r="J11828" t="s">
        <v>39055</v>
      </c>
      <c r="K11828" t="s">
        <v>41196</v>
      </c>
      <c r="L11828" t="s">
        <v>2893</v>
      </c>
      <c r="M11828" t="s">
        <v>44685</v>
      </c>
      <c r="N11828" t="s">
        <v>45095</v>
      </c>
      <c r="O11828" t="s">
        <v>45096</v>
      </c>
      <c r="P11828">
        <v>0</v>
      </c>
      <c r="Q11828">
        <v>0</v>
      </c>
      <c r="R11828" t="s">
        <v>45110</v>
      </c>
      <c r="S11828" t="s">
        <v>45605</v>
      </c>
      <c r="T11828" t="s">
        <v>47183</v>
      </c>
      <c r="U11828" t="s">
        <v>57144</v>
      </c>
      <c r="W11828" t="s">
        <v>44685</v>
      </c>
      <c r="X11828" t="s">
        <v>45111</v>
      </c>
    </row>
    <row r="11829" spans="1:24">
      <c r="A11829">
        <f>HYPERLINK("https://www.philgeps.gov.ph/GEPSNONPILOT/Tender/SplashBidNoticeAbstractUI.aspx?menuIndex=3&amp;refID=7022384&amp;Result=3","7022384")</f>
        <v>0</v>
      </c>
      <c r="B11829" t="s">
        <v>2873</v>
      </c>
      <c r="C11829" t="s">
        <v>14492</v>
      </c>
      <c r="D11829" t="s">
        <v>18022</v>
      </c>
      <c r="E11829" t="s">
        <v>28349</v>
      </c>
      <c r="F11829" t="s">
        <v>31575</v>
      </c>
      <c r="G11829" t="s">
        <v>31582</v>
      </c>
      <c r="H11829" t="s">
        <v>31590</v>
      </c>
      <c r="I11829" t="s">
        <v>31683</v>
      </c>
      <c r="J11829" t="s">
        <v>39056</v>
      </c>
      <c r="K11829" t="s">
        <v>41184</v>
      </c>
      <c r="M11829" t="s">
        <v>44664</v>
      </c>
      <c r="N11829" t="s">
        <v>45095</v>
      </c>
      <c r="O11829" t="s">
        <v>45096</v>
      </c>
      <c r="P11829">
        <v>0</v>
      </c>
      <c r="Q11829">
        <v>2</v>
      </c>
      <c r="R11829" t="s">
        <v>45110</v>
      </c>
      <c r="S11829" t="s">
        <v>45605</v>
      </c>
      <c r="T11829" t="s">
        <v>47076</v>
      </c>
      <c r="U11829" t="s">
        <v>57145</v>
      </c>
      <c r="W11829" t="s">
        <v>44664</v>
      </c>
      <c r="X11829" t="s">
        <v>45111</v>
      </c>
    </row>
    <row r="11830" spans="1:24">
      <c r="A11830">
        <f>HYPERLINK("https://www.philgeps.gov.ph/GEPSNONPILOT/Tender/SplashBidNoticeAbstractUI.aspx?menuIndex=3&amp;refID=7022418&amp;Result=3","7022418")</f>
        <v>0</v>
      </c>
      <c r="B11830" t="s">
        <v>2873</v>
      </c>
      <c r="C11830" t="s">
        <v>14493</v>
      </c>
      <c r="D11830" t="s">
        <v>18022</v>
      </c>
      <c r="E11830" t="s">
        <v>28350</v>
      </c>
      <c r="F11830" t="s">
        <v>31575</v>
      </c>
      <c r="G11830" t="s">
        <v>31582</v>
      </c>
      <c r="H11830" t="s">
        <v>31590</v>
      </c>
      <c r="I11830" t="s">
        <v>31683</v>
      </c>
      <c r="J11830" t="s">
        <v>31780</v>
      </c>
      <c r="K11830" t="s">
        <v>41184</v>
      </c>
      <c r="M11830" t="s">
        <v>44664</v>
      </c>
      <c r="N11830" t="s">
        <v>45095</v>
      </c>
      <c r="O11830" t="s">
        <v>45096</v>
      </c>
      <c r="P11830">
        <v>0</v>
      </c>
      <c r="Q11830">
        <v>3</v>
      </c>
      <c r="R11830" t="s">
        <v>45110</v>
      </c>
      <c r="S11830" t="s">
        <v>45605</v>
      </c>
      <c r="T11830" t="s">
        <v>47076</v>
      </c>
      <c r="U11830" t="s">
        <v>57146</v>
      </c>
      <c r="W11830" t="s">
        <v>44664</v>
      </c>
      <c r="X11830" t="s">
        <v>45111</v>
      </c>
    </row>
    <row r="11831" spans="1:24">
      <c r="A11831">
        <f>HYPERLINK("https://www.philgeps.gov.ph/GEPSNONPILOT/Tender/SplashBidNoticeAbstractUI.aspx?menuIndex=3&amp;refID=7022344&amp;Result=3","7022344")</f>
        <v>0</v>
      </c>
      <c r="B11831" t="s">
        <v>1534</v>
      </c>
      <c r="C11831" t="s">
        <v>3993</v>
      </c>
      <c r="D11831" t="s">
        <v>18052</v>
      </c>
      <c r="E11831" t="s">
        <v>28351</v>
      </c>
      <c r="F11831" t="s">
        <v>31574</v>
      </c>
      <c r="G11831" t="s">
        <v>31582</v>
      </c>
      <c r="H11831" t="s">
        <v>31590</v>
      </c>
      <c r="I11831" t="s">
        <v>6800</v>
      </c>
      <c r="J11831" t="s">
        <v>39057</v>
      </c>
      <c r="K11831" t="s">
        <v>41186</v>
      </c>
      <c r="L11831" t="s">
        <v>1534</v>
      </c>
      <c r="M11831" t="s">
        <v>43126</v>
      </c>
      <c r="N11831" t="s">
        <v>45095</v>
      </c>
      <c r="O11831" t="s">
        <v>45096</v>
      </c>
      <c r="P11831">
        <v>0</v>
      </c>
      <c r="Q11831">
        <v>3</v>
      </c>
      <c r="R11831" t="s">
        <v>45110</v>
      </c>
      <c r="S11831" t="s">
        <v>45605</v>
      </c>
      <c r="T11831" t="s">
        <v>47043</v>
      </c>
      <c r="U11831" t="s">
        <v>57147</v>
      </c>
      <c r="V11831" t="s">
        <v>60325</v>
      </c>
      <c r="W11831" t="s">
        <v>43126</v>
      </c>
      <c r="X11831" t="s">
        <v>45111</v>
      </c>
    </row>
    <row r="11832" spans="1:24">
      <c r="A11832">
        <f>HYPERLINK("https://www.philgeps.gov.ph/GEPSNONPILOT/Tender/SplashBidNoticeAbstractUI.aspx?menuIndex=3&amp;refID=7022326&amp;Result=3","7022326")</f>
        <v>0</v>
      </c>
      <c r="B11832" t="s">
        <v>801</v>
      </c>
      <c r="C11832" t="s">
        <v>14494</v>
      </c>
      <c r="D11832" t="s">
        <v>18103</v>
      </c>
      <c r="E11832" t="s">
        <v>28352</v>
      </c>
      <c r="F11832" t="s">
        <v>31574</v>
      </c>
      <c r="G11832" t="s">
        <v>31582</v>
      </c>
      <c r="H11832" t="s">
        <v>31591</v>
      </c>
      <c r="I11832" t="s">
        <v>8822</v>
      </c>
      <c r="J11832" t="s">
        <v>39058</v>
      </c>
      <c r="K11832" t="s">
        <v>41184</v>
      </c>
      <c r="M11832" t="s">
        <v>42315</v>
      </c>
      <c r="N11832" t="s">
        <v>45095</v>
      </c>
      <c r="O11832" t="s">
        <v>45096</v>
      </c>
      <c r="P11832">
        <v>0</v>
      </c>
      <c r="Q11832">
        <v>2</v>
      </c>
      <c r="R11832" t="s">
        <v>45110</v>
      </c>
      <c r="S11832" t="s">
        <v>45605</v>
      </c>
      <c r="T11832" t="s">
        <v>46979</v>
      </c>
      <c r="U11832" t="s">
        <v>57148</v>
      </c>
      <c r="W11832" t="s">
        <v>61679</v>
      </c>
      <c r="X11832" t="s">
        <v>45111</v>
      </c>
    </row>
    <row r="11833" spans="1:24">
      <c r="A11833">
        <f>HYPERLINK("https://www.philgeps.gov.ph/GEPSNONPILOT/Tender/SplashBidNoticeAbstractUI.aspx?menuIndex=3&amp;refID=7022433&amp;Result=3","7022433")</f>
        <v>0</v>
      </c>
      <c r="B11833" t="s">
        <v>1303</v>
      </c>
      <c r="C11833" t="s">
        <v>14495</v>
      </c>
      <c r="D11833" t="s">
        <v>18024</v>
      </c>
      <c r="E11833" t="s">
        <v>28353</v>
      </c>
      <c r="F11833" t="s">
        <v>31574</v>
      </c>
      <c r="G11833" t="s">
        <v>31582</v>
      </c>
      <c r="H11833" t="s">
        <v>31590</v>
      </c>
      <c r="I11833" t="s">
        <v>8822</v>
      </c>
      <c r="J11833" t="s">
        <v>39059</v>
      </c>
      <c r="K11833" t="s">
        <v>41196</v>
      </c>
      <c r="M11833" t="s">
        <v>42873</v>
      </c>
      <c r="N11833" t="s">
        <v>45095</v>
      </c>
      <c r="O11833" t="s">
        <v>45096</v>
      </c>
      <c r="P11833">
        <v>0</v>
      </c>
      <c r="Q11833">
        <v>1</v>
      </c>
      <c r="R11833" t="s">
        <v>45110</v>
      </c>
      <c r="S11833" t="s">
        <v>45605</v>
      </c>
      <c r="T11833" t="s">
        <v>46979</v>
      </c>
      <c r="U11833" t="s">
        <v>57149</v>
      </c>
      <c r="W11833" t="s">
        <v>61696</v>
      </c>
      <c r="X11833" t="s">
        <v>45111</v>
      </c>
    </row>
    <row r="11834" spans="1:24">
      <c r="A11834">
        <f>HYPERLINK("https://www.philgeps.gov.ph/GEPSNONPILOT/Tender/SplashBidNoticeAbstractUI.aspx?menuIndex=3&amp;refID=7022441&amp;Result=3","7022441")</f>
        <v>0</v>
      </c>
      <c r="B11834" t="s">
        <v>2873</v>
      </c>
      <c r="C11834" t="s">
        <v>14496</v>
      </c>
      <c r="D11834" t="s">
        <v>18022</v>
      </c>
      <c r="E11834" t="s">
        <v>28354</v>
      </c>
      <c r="F11834" t="s">
        <v>31575</v>
      </c>
      <c r="G11834" t="s">
        <v>31582</v>
      </c>
      <c r="H11834" t="s">
        <v>31590</v>
      </c>
      <c r="I11834" t="s">
        <v>31683</v>
      </c>
      <c r="J11834" t="s">
        <v>32623</v>
      </c>
      <c r="K11834" t="s">
        <v>41184</v>
      </c>
      <c r="M11834" t="s">
        <v>44664</v>
      </c>
      <c r="N11834" t="s">
        <v>45095</v>
      </c>
      <c r="O11834" t="s">
        <v>45096</v>
      </c>
      <c r="P11834">
        <v>0</v>
      </c>
      <c r="Q11834">
        <v>0</v>
      </c>
      <c r="R11834" t="s">
        <v>45110</v>
      </c>
      <c r="S11834" t="s">
        <v>45605</v>
      </c>
      <c r="T11834" t="s">
        <v>47076</v>
      </c>
      <c r="U11834" t="s">
        <v>57150</v>
      </c>
      <c r="W11834" t="s">
        <v>44664</v>
      </c>
      <c r="X11834" t="s">
        <v>45111</v>
      </c>
    </row>
    <row r="11835" spans="1:24">
      <c r="A11835">
        <f>HYPERLINK("https://www.philgeps.gov.ph/GEPSNONPILOT/Tender/SplashBidNoticeAbstractUI.aspx?menuIndex=3&amp;refID=7022459&amp;Result=3","7022459")</f>
        <v>0</v>
      </c>
      <c r="B11835" t="s">
        <v>2892</v>
      </c>
      <c r="C11835" t="s">
        <v>14497</v>
      </c>
      <c r="D11835" t="s">
        <v>18088</v>
      </c>
      <c r="E11835" t="s">
        <v>28355</v>
      </c>
      <c r="F11835" t="s">
        <v>31574</v>
      </c>
      <c r="G11835" t="s">
        <v>31582</v>
      </c>
      <c r="H11835" t="s">
        <v>31591</v>
      </c>
      <c r="I11835" t="s">
        <v>8822</v>
      </c>
      <c r="J11835" t="s">
        <v>31781</v>
      </c>
      <c r="K11835" t="s">
        <v>41295</v>
      </c>
      <c r="M11835" t="s">
        <v>44684</v>
      </c>
      <c r="N11835" t="s">
        <v>45095</v>
      </c>
      <c r="O11835" t="s">
        <v>45096</v>
      </c>
      <c r="P11835">
        <v>0</v>
      </c>
      <c r="Q11835">
        <v>0</v>
      </c>
      <c r="R11835" t="s">
        <v>45110</v>
      </c>
      <c r="S11835" t="s">
        <v>45605</v>
      </c>
      <c r="T11835" t="s">
        <v>46926</v>
      </c>
      <c r="U11835" t="s">
        <v>57151</v>
      </c>
      <c r="W11835" t="s">
        <v>44684</v>
      </c>
      <c r="X11835" t="s">
        <v>45111</v>
      </c>
    </row>
    <row r="11836" spans="1:24">
      <c r="A11836">
        <f>HYPERLINK("https://www.philgeps.gov.ph/GEPSNONPILOT/Tender/SplashBidNoticeAbstractUI.aspx?menuIndex=3&amp;refID=7022461&amp;Result=3","7022461")</f>
        <v>0</v>
      </c>
      <c r="B11836" t="s">
        <v>801</v>
      </c>
      <c r="C11836" t="s">
        <v>14498</v>
      </c>
      <c r="D11836" t="s">
        <v>18103</v>
      </c>
      <c r="E11836" t="s">
        <v>28356</v>
      </c>
      <c r="F11836" t="s">
        <v>31574</v>
      </c>
      <c r="G11836" t="s">
        <v>31582</v>
      </c>
      <c r="H11836" t="s">
        <v>31591</v>
      </c>
      <c r="I11836" t="s">
        <v>8822</v>
      </c>
      <c r="J11836" t="s">
        <v>39060</v>
      </c>
      <c r="K11836" t="s">
        <v>41184</v>
      </c>
      <c r="M11836" t="s">
        <v>42315</v>
      </c>
      <c r="N11836" t="s">
        <v>45095</v>
      </c>
      <c r="O11836" t="s">
        <v>45096</v>
      </c>
      <c r="P11836">
        <v>0</v>
      </c>
      <c r="Q11836">
        <v>4</v>
      </c>
      <c r="R11836" t="s">
        <v>45110</v>
      </c>
      <c r="S11836" t="s">
        <v>45605</v>
      </c>
      <c r="T11836" t="s">
        <v>46979</v>
      </c>
      <c r="U11836" t="s">
        <v>57152</v>
      </c>
      <c r="W11836" t="s">
        <v>61679</v>
      </c>
      <c r="X11836" t="s">
        <v>45111</v>
      </c>
    </row>
    <row r="11837" spans="1:24">
      <c r="A11837">
        <f>HYPERLINK("https://www.philgeps.gov.ph/GEPSNONPILOT/Tender/SplashBidNoticeAbstractUI.aspx?menuIndex=3&amp;refID=7022457&amp;Result=3","7022457")</f>
        <v>0</v>
      </c>
      <c r="B11837" t="s">
        <v>1162</v>
      </c>
      <c r="C11837" t="s">
        <v>14499</v>
      </c>
      <c r="D11837" t="s">
        <v>18044</v>
      </c>
      <c r="E11837" t="s">
        <v>28357</v>
      </c>
      <c r="F11837" t="s">
        <v>31574</v>
      </c>
      <c r="G11837" t="s">
        <v>31582</v>
      </c>
      <c r="H11837" t="s">
        <v>31590</v>
      </c>
      <c r="I11837" t="s">
        <v>7185</v>
      </c>
      <c r="J11837" t="s">
        <v>39061</v>
      </c>
      <c r="K11837" t="s">
        <v>41193</v>
      </c>
      <c r="M11837" t="s">
        <v>42721</v>
      </c>
      <c r="N11837" t="s">
        <v>45095</v>
      </c>
      <c r="O11837" t="s">
        <v>45096</v>
      </c>
      <c r="P11837">
        <v>0</v>
      </c>
      <c r="Q11837">
        <v>12</v>
      </c>
      <c r="R11837" t="s">
        <v>45110</v>
      </c>
      <c r="S11837" t="s">
        <v>45605</v>
      </c>
      <c r="T11837" t="s">
        <v>47093</v>
      </c>
      <c r="U11837" t="s">
        <v>57153</v>
      </c>
      <c r="W11837" t="s">
        <v>42721</v>
      </c>
      <c r="X11837" t="s">
        <v>45111</v>
      </c>
    </row>
    <row r="11838" spans="1:24">
      <c r="A11838">
        <f>HYPERLINK("https://www.philgeps.gov.ph/GEPSNONPILOT/Tender/SplashBidNoticeAbstractUI.aspx?menuIndex=3&amp;refID=7022437&amp;Result=3","7022437")</f>
        <v>0</v>
      </c>
      <c r="B11838" t="s">
        <v>2892</v>
      </c>
      <c r="C11838" t="s">
        <v>14500</v>
      </c>
      <c r="D11838" t="s">
        <v>18088</v>
      </c>
      <c r="E11838" t="s">
        <v>28358</v>
      </c>
      <c r="F11838" t="s">
        <v>31574</v>
      </c>
      <c r="G11838" t="s">
        <v>31582</v>
      </c>
      <c r="H11838" t="s">
        <v>31591</v>
      </c>
      <c r="I11838" t="s">
        <v>8822</v>
      </c>
      <c r="J11838" t="s">
        <v>39062</v>
      </c>
      <c r="K11838" t="s">
        <v>41400</v>
      </c>
      <c r="M11838" t="s">
        <v>44684</v>
      </c>
      <c r="N11838" t="s">
        <v>45095</v>
      </c>
      <c r="O11838" t="s">
        <v>45096</v>
      </c>
      <c r="P11838">
        <v>0</v>
      </c>
      <c r="Q11838">
        <v>0</v>
      </c>
      <c r="R11838" t="s">
        <v>45110</v>
      </c>
      <c r="S11838" t="s">
        <v>45605</v>
      </c>
      <c r="T11838" t="s">
        <v>46926</v>
      </c>
      <c r="U11838" t="s">
        <v>57154</v>
      </c>
      <c r="W11838" t="s">
        <v>44684</v>
      </c>
      <c r="X11838" t="s">
        <v>45111</v>
      </c>
    </row>
    <row r="11839" spans="1:24">
      <c r="A11839">
        <f>HYPERLINK("https://www.philgeps.gov.ph/GEPSNONPILOT/Tender/SplashBidNoticeAbstractUI.aspx?menuIndex=3&amp;refID=7022500&amp;Result=3","7022500")</f>
        <v>0</v>
      </c>
      <c r="B11839" t="s">
        <v>2894</v>
      </c>
      <c r="C11839" t="s">
        <v>14501</v>
      </c>
      <c r="D11839" t="s">
        <v>18028</v>
      </c>
      <c r="E11839" t="s">
        <v>18169</v>
      </c>
      <c r="F11839" t="s">
        <v>31574</v>
      </c>
      <c r="G11839" t="s">
        <v>31582</v>
      </c>
      <c r="H11839" t="s">
        <v>31591</v>
      </c>
      <c r="I11839" t="s">
        <v>8822</v>
      </c>
      <c r="J11839" t="s">
        <v>39063</v>
      </c>
      <c r="K11839" t="s">
        <v>41184</v>
      </c>
      <c r="M11839" t="s">
        <v>44686</v>
      </c>
      <c r="N11839" t="s">
        <v>45095</v>
      </c>
      <c r="O11839" t="s">
        <v>45096</v>
      </c>
      <c r="P11839">
        <v>0</v>
      </c>
      <c r="Q11839">
        <v>0</v>
      </c>
      <c r="R11839" t="s">
        <v>45110</v>
      </c>
      <c r="S11839" t="s">
        <v>45605</v>
      </c>
      <c r="T11839" t="s">
        <v>47106</v>
      </c>
      <c r="U11839" t="s">
        <v>57155</v>
      </c>
      <c r="W11839" t="s">
        <v>44686</v>
      </c>
      <c r="X11839" t="s">
        <v>45111</v>
      </c>
    </row>
    <row r="11840" spans="1:24">
      <c r="A11840">
        <f>HYPERLINK("https://www.philgeps.gov.ph/GEPSNONPILOT/Tender/SplashBidNoticeAbstractUI.aspx?menuIndex=3&amp;refID=7022505&amp;Result=3","7022505")</f>
        <v>0</v>
      </c>
      <c r="B11840" t="s">
        <v>287</v>
      </c>
      <c r="C11840" t="s">
        <v>14502</v>
      </c>
      <c r="D11840" t="s">
        <v>18090</v>
      </c>
      <c r="E11840" t="s">
        <v>20688</v>
      </c>
      <c r="F11840" t="s">
        <v>31574</v>
      </c>
      <c r="G11840" t="s">
        <v>31582</v>
      </c>
      <c r="H11840" t="s">
        <v>31591</v>
      </c>
      <c r="I11840" t="s">
        <v>8822</v>
      </c>
      <c r="J11840" t="s">
        <v>32510</v>
      </c>
      <c r="K11840" t="s">
        <v>41189</v>
      </c>
      <c r="M11840" t="s">
        <v>41773</v>
      </c>
      <c r="N11840" t="s">
        <v>45095</v>
      </c>
      <c r="O11840" t="s">
        <v>45096</v>
      </c>
      <c r="P11840">
        <v>0</v>
      </c>
      <c r="Q11840">
        <v>0</v>
      </c>
      <c r="R11840" t="s">
        <v>45110</v>
      </c>
      <c r="S11840" t="s">
        <v>45605</v>
      </c>
      <c r="T11840" t="s">
        <v>46922</v>
      </c>
      <c r="U11840" t="s">
        <v>57156</v>
      </c>
      <c r="V11840" t="s">
        <v>61154</v>
      </c>
      <c r="W11840" t="s">
        <v>41773</v>
      </c>
      <c r="X11840" t="s">
        <v>45111</v>
      </c>
    </row>
    <row r="11841" spans="1:24">
      <c r="A11841">
        <f>HYPERLINK("https://www.philgeps.gov.ph/GEPSNONPILOT/Tender/SplashBidNoticeAbstractUI.aspx?menuIndex=3&amp;refID=7022426&amp;Result=3","7022426")</f>
        <v>0</v>
      </c>
      <c r="B11841" t="s">
        <v>1534</v>
      </c>
      <c r="C11841" t="s">
        <v>14503</v>
      </c>
      <c r="D11841" t="s">
        <v>18052</v>
      </c>
      <c r="E11841" t="s">
        <v>28359</v>
      </c>
      <c r="F11841" t="s">
        <v>31574</v>
      </c>
      <c r="G11841" t="s">
        <v>31582</v>
      </c>
      <c r="H11841" t="s">
        <v>31590</v>
      </c>
      <c r="I11841" t="s">
        <v>31654</v>
      </c>
      <c r="J11841" t="s">
        <v>39064</v>
      </c>
      <c r="K11841" t="s">
        <v>41186</v>
      </c>
      <c r="L11841" t="s">
        <v>1534</v>
      </c>
      <c r="M11841" t="s">
        <v>43126</v>
      </c>
      <c r="N11841" t="s">
        <v>45095</v>
      </c>
      <c r="O11841" t="s">
        <v>45096</v>
      </c>
      <c r="P11841">
        <v>0</v>
      </c>
      <c r="Q11841">
        <v>2</v>
      </c>
      <c r="R11841" t="s">
        <v>45110</v>
      </c>
      <c r="S11841" t="s">
        <v>45605</v>
      </c>
      <c r="T11841" t="s">
        <v>47043</v>
      </c>
      <c r="U11841" t="s">
        <v>57157</v>
      </c>
      <c r="V11841" t="s">
        <v>61151</v>
      </c>
      <c r="W11841" t="s">
        <v>43126</v>
      </c>
      <c r="X11841" t="s">
        <v>45111</v>
      </c>
    </row>
    <row r="11842" spans="1:24">
      <c r="A11842">
        <f>HYPERLINK("https://www.philgeps.gov.ph/GEPSNONPILOT/Tender/SplashBidNoticeAbstractUI.aspx?menuIndex=3&amp;refID=7022466&amp;Result=3","7022466")</f>
        <v>0</v>
      </c>
      <c r="B11842" t="s">
        <v>155</v>
      </c>
      <c r="C11842" t="s">
        <v>14504</v>
      </c>
      <c r="E11842" t="s">
        <v>24535</v>
      </c>
      <c r="F11842" t="s">
        <v>31574</v>
      </c>
      <c r="G11842" t="s">
        <v>31582</v>
      </c>
      <c r="H11842" t="s">
        <v>31591</v>
      </c>
      <c r="I11842" t="s">
        <v>8822</v>
      </c>
      <c r="J11842" t="s">
        <v>39065</v>
      </c>
      <c r="K11842" t="s">
        <v>41184</v>
      </c>
      <c r="M11842" t="s">
        <v>41639</v>
      </c>
      <c r="N11842" t="s">
        <v>45095</v>
      </c>
      <c r="O11842" t="s">
        <v>45096</v>
      </c>
      <c r="P11842">
        <v>0</v>
      </c>
      <c r="Q11842">
        <v>4</v>
      </c>
      <c r="R11842" t="s">
        <v>45110</v>
      </c>
      <c r="S11842" t="s">
        <v>45605</v>
      </c>
      <c r="T11842" t="s">
        <v>46952</v>
      </c>
      <c r="U11842" t="s">
        <v>53566</v>
      </c>
      <c r="W11842" t="s">
        <v>41639</v>
      </c>
      <c r="X11842" t="s">
        <v>45111</v>
      </c>
    </row>
    <row r="11843" spans="1:24">
      <c r="A11843">
        <f>HYPERLINK("https://www.philgeps.gov.ph/GEPSNONPILOT/Tender/SplashBidNoticeAbstractUI.aspx?menuIndex=3&amp;refID=7022524&amp;Result=3","7022524")</f>
        <v>0</v>
      </c>
      <c r="B11843" t="s">
        <v>2895</v>
      </c>
      <c r="C11843" t="s">
        <v>14505</v>
      </c>
      <c r="D11843" t="s">
        <v>18022</v>
      </c>
      <c r="E11843" t="s">
        <v>28360</v>
      </c>
      <c r="F11843" t="s">
        <v>31579</v>
      </c>
      <c r="G11843" t="s">
        <v>31582</v>
      </c>
      <c r="H11843" t="s">
        <v>31590</v>
      </c>
      <c r="I11843" t="s">
        <v>3487</v>
      </c>
      <c r="J11843" t="s">
        <v>31907</v>
      </c>
      <c r="K11843" t="s">
        <v>41193</v>
      </c>
      <c r="M11843" t="s">
        <v>44687</v>
      </c>
      <c r="N11843" t="s">
        <v>45095</v>
      </c>
      <c r="O11843" t="s">
        <v>45096</v>
      </c>
      <c r="P11843">
        <v>0</v>
      </c>
      <c r="Q11843">
        <v>1</v>
      </c>
      <c r="R11843" t="s">
        <v>45110</v>
      </c>
      <c r="S11843" t="s">
        <v>45605</v>
      </c>
      <c r="T11843" t="s">
        <v>47050</v>
      </c>
      <c r="U11843" t="s">
        <v>57158</v>
      </c>
      <c r="W11843" t="s">
        <v>44687</v>
      </c>
      <c r="X11843" t="s">
        <v>45111</v>
      </c>
    </row>
    <row r="11844" spans="1:24">
      <c r="A11844">
        <f>HYPERLINK("https://www.philgeps.gov.ph/GEPSNONPILOT/Tender/SplashBidNoticeAbstractUI.aspx?menuIndex=3&amp;refID=7022431&amp;Result=3","7022431")</f>
        <v>0</v>
      </c>
      <c r="B11844" t="s">
        <v>1566</v>
      </c>
      <c r="C11844" t="s">
        <v>14506</v>
      </c>
      <c r="E11844" t="s">
        <v>28361</v>
      </c>
      <c r="F11844" t="s">
        <v>31574</v>
      </c>
      <c r="G11844" t="s">
        <v>31581</v>
      </c>
      <c r="H11844" t="s">
        <v>31590</v>
      </c>
      <c r="I11844" t="s">
        <v>14544</v>
      </c>
      <c r="J11844" t="s">
        <v>38153</v>
      </c>
      <c r="K11844" t="s">
        <v>41184</v>
      </c>
      <c r="M11844" t="s">
        <v>43165</v>
      </c>
      <c r="N11844" t="s">
        <v>45095</v>
      </c>
      <c r="O11844" t="s">
        <v>45096</v>
      </c>
      <c r="P11844">
        <v>0</v>
      </c>
      <c r="Q11844">
        <v>1</v>
      </c>
      <c r="R11844" t="s">
        <v>45110</v>
      </c>
      <c r="S11844" t="s">
        <v>45605</v>
      </c>
      <c r="T11844" t="s">
        <v>46940</v>
      </c>
      <c r="U11844" t="s">
        <v>57159</v>
      </c>
      <c r="W11844" t="s">
        <v>43165</v>
      </c>
      <c r="X11844" t="s">
        <v>45111</v>
      </c>
    </row>
    <row r="11845" spans="1:24">
      <c r="A11845">
        <f>HYPERLINK("https://www.philgeps.gov.ph/GEPSNONPILOT/Tender/SplashBidNoticeAbstractUI.aspx?menuIndex=3&amp;refID=7022634&amp;Result=3","7022634")</f>
        <v>0</v>
      </c>
      <c r="B11845" t="s">
        <v>2356</v>
      </c>
      <c r="C11845" t="s">
        <v>14507</v>
      </c>
      <c r="D11845" t="s">
        <v>18052</v>
      </c>
      <c r="E11845" t="s">
        <v>28362</v>
      </c>
      <c r="F11845" t="s">
        <v>31574</v>
      </c>
      <c r="G11845" t="s">
        <v>31582</v>
      </c>
      <c r="H11845" t="s">
        <v>31590</v>
      </c>
      <c r="I11845" t="s">
        <v>3901</v>
      </c>
      <c r="J11845" t="s">
        <v>32458</v>
      </c>
      <c r="K11845" t="s">
        <v>41186</v>
      </c>
      <c r="M11845" t="s">
        <v>44688</v>
      </c>
      <c r="N11845" t="s">
        <v>45095</v>
      </c>
      <c r="O11845" t="s">
        <v>45096</v>
      </c>
      <c r="P11845">
        <v>0</v>
      </c>
      <c r="Q11845">
        <v>6</v>
      </c>
      <c r="R11845" t="s">
        <v>45110</v>
      </c>
      <c r="S11845" t="s">
        <v>45605</v>
      </c>
      <c r="T11845" t="s">
        <v>46926</v>
      </c>
      <c r="U11845" t="s">
        <v>57160</v>
      </c>
      <c r="V11845" t="s">
        <v>61155</v>
      </c>
      <c r="W11845" t="s">
        <v>44688</v>
      </c>
      <c r="X11845" t="s">
        <v>45111</v>
      </c>
    </row>
    <row r="11846" spans="1:24">
      <c r="A11846">
        <f>HYPERLINK("https://www.philgeps.gov.ph/GEPSNONPILOT/Tender/SplashBidNoticeAbstractUI.aspx?menuIndex=3&amp;refID=7022503&amp;Result=3","7022503")</f>
        <v>0</v>
      </c>
      <c r="B11846" t="s">
        <v>244</v>
      </c>
      <c r="C11846" t="s">
        <v>14508</v>
      </c>
      <c r="D11846" t="s">
        <v>18053</v>
      </c>
      <c r="E11846" t="s">
        <v>28363</v>
      </c>
      <c r="F11846" t="s">
        <v>31574</v>
      </c>
      <c r="G11846" t="s">
        <v>31582</v>
      </c>
      <c r="H11846" t="s">
        <v>31591</v>
      </c>
      <c r="I11846" t="s">
        <v>8822</v>
      </c>
      <c r="J11846" t="s">
        <v>39066</v>
      </c>
      <c r="K11846" t="s">
        <v>41189</v>
      </c>
      <c r="M11846" t="s">
        <v>41730</v>
      </c>
      <c r="N11846" t="s">
        <v>45095</v>
      </c>
      <c r="O11846" t="s">
        <v>45096</v>
      </c>
      <c r="P11846">
        <v>0</v>
      </c>
      <c r="Q11846">
        <v>0</v>
      </c>
      <c r="R11846" t="s">
        <v>45110</v>
      </c>
      <c r="S11846" t="s">
        <v>45605</v>
      </c>
      <c r="T11846" t="s">
        <v>46926</v>
      </c>
      <c r="U11846" t="s">
        <v>57161</v>
      </c>
      <c r="W11846" t="s">
        <v>41730</v>
      </c>
      <c r="X11846" t="s">
        <v>45111</v>
      </c>
    </row>
    <row r="11847" spans="1:24">
      <c r="A11847">
        <f>HYPERLINK("https://www.philgeps.gov.ph/GEPSNONPILOT/Tender/SplashBidNoticeAbstractUI.aspx?menuIndex=3&amp;refID=7022331&amp;Result=3","7022331")</f>
        <v>0</v>
      </c>
      <c r="B11847" t="s">
        <v>200</v>
      </c>
      <c r="C11847" t="s">
        <v>14509</v>
      </c>
      <c r="D11847" t="s">
        <v>18070</v>
      </c>
      <c r="E11847" t="s">
        <v>28364</v>
      </c>
      <c r="F11847" t="s">
        <v>31574</v>
      </c>
      <c r="G11847" t="s">
        <v>31582</v>
      </c>
      <c r="H11847" t="s">
        <v>31590</v>
      </c>
      <c r="I11847" t="s">
        <v>31615</v>
      </c>
      <c r="J11847" t="s">
        <v>32760</v>
      </c>
      <c r="K11847" t="s">
        <v>41186</v>
      </c>
      <c r="M11847" t="s">
        <v>41685</v>
      </c>
      <c r="N11847" t="s">
        <v>45095</v>
      </c>
      <c r="O11847" t="s">
        <v>45096</v>
      </c>
      <c r="P11847">
        <v>0</v>
      </c>
      <c r="Q11847">
        <v>4</v>
      </c>
      <c r="R11847" t="s">
        <v>45110</v>
      </c>
      <c r="S11847" t="s">
        <v>45605</v>
      </c>
      <c r="T11847" t="s">
        <v>46914</v>
      </c>
      <c r="U11847" t="s">
        <v>57162</v>
      </c>
      <c r="W11847" t="s">
        <v>41685</v>
      </c>
      <c r="X11847" t="s">
        <v>45111</v>
      </c>
    </row>
    <row r="11848" spans="1:24">
      <c r="A11848">
        <f>HYPERLINK("https://www.philgeps.gov.ph/GEPSNONPILOT/Tender/SplashBidNoticeAbstractUI.aspx?menuIndex=3&amp;refID=7022619&amp;Result=3","7022619")</f>
        <v>0</v>
      </c>
      <c r="B11848" t="s">
        <v>2356</v>
      </c>
      <c r="C11848" t="s">
        <v>14510</v>
      </c>
      <c r="D11848" t="s">
        <v>18052</v>
      </c>
      <c r="E11848" t="s">
        <v>28365</v>
      </c>
      <c r="F11848" t="s">
        <v>31574</v>
      </c>
      <c r="G11848" t="s">
        <v>31582</v>
      </c>
      <c r="H11848" t="s">
        <v>31590</v>
      </c>
      <c r="I11848" t="s">
        <v>31615</v>
      </c>
      <c r="J11848" t="s">
        <v>33327</v>
      </c>
      <c r="K11848" t="s">
        <v>41191</v>
      </c>
      <c r="M11848" t="s">
        <v>44688</v>
      </c>
      <c r="N11848" t="s">
        <v>45095</v>
      </c>
      <c r="O11848" t="s">
        <v>45096</v>
      </c>
      <c r="P11848">
        <v>0</v>
      </c>
      <c r="Q11848">
        <v>7</v>
      </c>
      <c r="R11848" t="s">
        <v>45110</v>
      </c>
      <c r="S11848" t="s">
        <v>45605</v>
      </c>
      <c r="T11848" t="s">
        <v>46926</v>
      </c>
      <c r="U11848" t="s">
        <v>57163</v>
      </c>
      <c r="V11848" t="s">
        <v>61155</v>
      </c>
      <c r="W11848" t="s">
        <v>44688</v>
      </c>
      <c r="X11848" t="s">
        <v>45111</v>
      </c>
    </row>
    <row r="11849" spans="1:24">
      <c r="A11849">
        <f>HYPERLINK("https://www.philgeps.gov.ph/GEPSNONPILOT/Tender/SplashBidNoticeAbstractUI.aspx?menuIndex=3&amp;refID=7022609&amp;Result=3","7022609")</f>
        <v>0</v>
      </c>
      <c r="B11849" t="s">
        <v>2896</v>
      </c>
      <c r="C11849" t="s">
        <v>14511</v>
      </c>
      <c r="D11849" t="s">
        <v>18089</v>
      </c>
      <c r="E11849" t="s">
        <v>28366</v>
      </c>
      <c r="F11849" t="s">
        <v>31574</v>
      </c>
      <c r="G11849" t="s">
        <v>31582</v>
      </c>
      <c r="H11849" t="s">
        <v>31591</v>
      </c>
      <c r="I11849" t="s">
        <v>8822</v>
      </c>
      <c r="J11849" t="s">
        <v>39067</v>
      </c>
      <c r="K11849" t="s">
        <v>41243</v>
      </c>
      <c r="M11849" t="s">
        <v>44689</v>
      </c>
      <c r="N11849" t="s">
        <v>45095</v>
      </c>
      <c r="O11849" t="s">
        <v>45096</v>
      </c>
      <c r="P11849">
        <v>0</v>
      </c>
      <c r="Q11849">
        <v>0</v>
      </c>
      <c r="R11849" t="s">
        <v>45110</v>
      </c>
      <c r="S11849" t="s">
        <v>45605</v>
      </c>
      <c r="T11849" t="s">
        <v>46926</v>
      </c>
      <c r="U11849" t="s">
        <v>57164</v>
      </c>
      <c r="W11849" t="s">
        <v>44689</v>
      </c>
      <c r="X11849" t="s">
        <v>45111</v>
      </c>
    </row>
    <row r="11850" spans="1:24">
      <c r="A11850">
        <f>HYPERLINK("https://www.philgeps.gov.ph/GEPSNONPILOT/Tender/SplashBidNoticeAbstractUI.aspx?menuIndex=3&amp;refID=7022630&amp;Result=3","7022630")</f>
        <v>0</v>
      </c>
      <c r="B11850" t="s">
        <v>2896</v>
      </c>
      <c r="C11850" t="s">
        <v>14512</v>
      </c>
      <c r="D11850" t="s">
        <v>18089</v>
      </c>
      <c r="E11850" t="s">
        <v>28367</v>
      </c>
      <c r="F11850" t="s">
        <v>31574</v>
      </c>
      <c r="G11850" t="s">
        <v>31582</v>
      </c>
      <c r="H11850" t="s">
        <v>31591</v>
      </c>
      <c r="I11850" t="s">
        <v>8822</v>
      </c>
      <c r="J11850" t="s">
        <v>39068</v>
      </c>
      <c r="K11850" t="s">
        <v>41209</v>
      </c>
      <c r="M11850" t="s">
        <v>44689</v>
      </c>
      <c r="N11850" t="s">
        <v>45095</v>
      </c>
      <c r="O11850" t="s">
        <v>45096</v>
      </c>
      <c r="P11850">
        <v>0</v>
      </c>
      <c r="Q11850">
        <v>0</v>
      </c>
      <c r="R11850" t="s">
        <v>45110</v>
      </c>
      <c r="S11850" t="s">
        <v>45605</v>
      </c>
      <c r="T11850" t="s">
        <v>46926</v>
      </c>
      <c r="U11850" t="s">
        <v>57164</v>
      </c>
      <c r="W11850" t="s">
        <v>44689</v>
      </c>
      <c r="X11850" t="s">
        <v>45111</v>
      </c>
    </row>
    <row r="11851" spans="1:24">
      <c r="A11851">
        <f>HYPERLINK("https://www.philgeps.gov.ph/GEPSNONPILOT/Tender/SplashBidNoticeAbstractUI.aspx?menuIndex=3&amp;refID=7022641&amp;Result=3","7022641")</f>
        <v>0</v>
      </c>
      <c r="B11851" t="s">
        <v>2896</v>
      </c>
      <c r="C11851" t="s">
        <v>14513</v>
      </c>
      <c r="D11851" t="s">
        <v>18089</v>
      </c>
      <c r="E11851" t="s">
        <v>28368</v>
      </c>
      <c r="F11851" t="s">
        <v>31574</v>
      </c>
      <c r="G11851" t="s">
        <v>31582</v>
      </c>
      <c r="H11851" t="s">
        <v>31591</v>
      </c>
      <c r="I11851" t="s">
        <v>8822</v>
      </c>
      <c r="J11851" t="s">
        <v>38195</v>
      </c>
      <c r="K11851" t="s">
        <v>41200</v>
      </c>
      <c r="M11851" t="s">
        <v>44689</v>
      </c>
      <c r="N11851" t="s">
        <v>45095</v>
      </c>
      <c r="O11851" t="s">
        <v>45096</v>
      </c>
      <c r="P11851">
        <v>0</v>
      </c>
      <c r="Q11851">
        <v>0</v>
      </c>
      <c r="R11851" t="s">
        <v>45110</v>
      </c>
      <c r="S11851" t="s">
        <v>45605</v>
      </c>
      <c r="T11851" t="s">
        <v>46926</v>
      </c>
      <c r="U11851" t="s">
        <v>57164</v>
      </c>
      <c r="W11851" t="s">
        <v>44689</v>
      </c>
      <c r="X11851" t="s">
        <v>45111</v>
      </c>
    </row>
    <row r="11852" spans="1:24">
      <c r="A11852">
        <f>HYPERLINK("https://www.philgeps.gov.ph/GEPSNONPILOT/Tender/SplashBidNoticeAbstractUI.aspx?menuIndex=3&amp;refID=7022607&amp;Result=3","7022607")</f>
        <v>0</v>
      </c>
      <c r="B11852" t="s">
        <v>2892</v>
      </c>
      <c r="C11852" t="s">
        <v>14514</v>
      </c>
      <c r="D11852" t="s">
        <v>18088</v>
      </c>
      <c r="E11852" t="s">
        <v>28369</v>
      </c>
      <c r="F11852" t="s">
        <v>31574</v>
      </c>
      <c r="G11852" t="s">
        <v>31582</v>
      </c>
      <c r="H11852" t="s">
        <v>31590</v>
      </c>
      <c r="I11852" t="s">
        <v>5717</v>
      </c>
      <c r="J11852" t="s">
        <v>39069</v>
      </c>
      <c r="K11852" t="s">
        <v>41191</v>
      </c>
      <c r="M11852" t="s">
        <v>44684</v>
      </c>
      <c r="N11852" t="s">
        <v>45095</v>
      </c>
      <c r="O11852" t="s">
        <v>45096</v>
      </c>
      <c r="P11852">
        <v>0</v>
      </c>
      <c r="Q11852">
        <v>3</v>
      </c>
      <c r="R11852" t="s">
        <v>45110</v>
      </c>
      <c r="S11852" t="s">
        <v>45605</v>
      </c>
      <c r="T11852" t="s">
        <v>46926</v>
      </c>
      <c r="U11852" t="s">
        <v>57165</v>
      </c>
      <c r="W11852" t="s">
        <v>44684</v>
      </c>
      <c r="X11852" t="s">
        <v>45111</v>
      </c>
    </row>
    <row r="11853" spans="1:24">
      <c r="A11853">
        <f>HYPERLINK("https://www.philgeps.gov.ph/GEPSNONPILOT/Tender/SplashBidNoticeAbstractUI.aspx?menuIndex=3&amp;refID=7022521&amp;Result=3","7022521")</f>
        <v>0</v>
      </c>
      <c r="B11853" t="s">
        <v>244</v>
      </c>
      <c r="C11853" t="s">
        <v>14515</v>
      </c>
      <c r="D11853" t="s">
        <v>18053</v>
      </c>
      <c r="E11853" t="s">
        <v>28370</v>
      </c>
      <c r="F11853" t="s">
        <v>31574</v>
      </c>
      <c r="G11853" t="s">
        <v>31582</v>
      </c>
      <c r="H11853" t="s">
        <v>31591</v>
      </c>
      <c r="I11853" t="s">
        <v>8822</v>
      </c>
      <c r="J11853" t="s">
        <v>39070</v>
      </c>
      <c r="K11853" t="s">
        <v>41195</v>
      </c>
      <c r="M11853" t="s">
        <v>41730</v>
      </c>
      <c r="N11853" t="s">
        <v>45095</v>
      </c>
      <c r="O11853" t="s">
        <v>45096</v>
      </c>
      <c r="P11853">
        <v>0</v>
      </c>
      <c r="Q11853">
        <v>1</v>
      </c>
      <c r="R11853" t="s">
        <v>45110</v>
      </c>
      <c r="S11853" t="s">
        <v>45605</v>
      </c>
      <c r="T11853" t="s">
        <v>46926</v>
      </c>
      <c r="U11853" t="s">
        <v>57166</v>
      </c>
      <c r="W11853" t="s">
        <v>41730</v>
      </c>
      <c r="X11853" t="s">
        <v>45111</v>
      </c>
    </row>
    <row r="11854" spans="1:24">
      <c r="A11854">
        <f>HYPERLINK("https://www.philgeps.gov.ph/GEPSNONPILOT/Tender/SplashBidNoticeAbstractUI.aspx?menuIndex=3&amp;refID=7022599&amp;Result=3","7022599")</f>
        <v>0</v>
      </c>
      <c r="B11854" t="s">
        <v>2897</v>
      </c>
      <c r="C11854" t="s">
        <v>14516</v>
      </c>
      <c r="D11854" t="s">
        <v>18050</v>
      </c>
      <c r="E11854" t="s">
        <v>24535</v>
      </c>
      <c r="F11854" t="s">
        <v>31575</v>
      </c>
      <c r="G11854" t="s">
        <v>31582</v>
      </c>
      <c r="H11854" t="s">
        <v>31591</v>
      </c>
      <c r="I11854" t="s">
        <v>4046</v>
      </c>
      <c r="J11854" t="s">
        <v>39071</v>
      </c>
      <c r="K11854" t="s">
        <v>41186</v>
      </c>
      <c r="M11854" t="s">
        <v>44690</v>
      </c>
      <c r="N11854" t="s">
        <v>45095</v>
      </c>
      <c r="O11854" t="s">
        <v>45096</v>
      </c>
      <c r="P11854">
        <v>0</v>
      </c>
      <c r="Q11854">
        <v>1</v>
      </c>
      <c r="R11854" t="s">
        <v>45110</v>
      </c>
      <c r="S11854" t="s">
        <v>45605</v>
      </c>
      <c r="T11854" t="s">
        <v>46985</v>
      </c>
      <c r="U11854" t="s">
        <v>57167</v>
      </c>
      <c r="W11854" t="s">
        <v>44690</v>
      </c>
      <c r="X11854" t="s">
        <v>45111</v>
      </c>
    </row>
    <row r="11855" spans="1:24">
      <c r="A11855">
        <f>HYPERLINK("https://www.philgeps.gov.ph/GEPSNONPILOT/Tender/SplashBidNoticeAbstractUI.aspx?menuIndex=3&amp;refID=7022580&amp;Result=3","7022580")</f>
        <v>0</v>
      </c>
      <c r="B11855" t="s">
        <v>2896</v>
      </c>
      <c r="C11855" t="s">
        <v>14517</v>
      </c>
      <c r="D11855" t="s">
        <v>18089</v>
      </c>
      <c r="E11855" t="s">
        <v>28371</v>
      </c>
      <c r="F11855" t="s">
        <v>31574</v>
      </c>
      <c r="G11855" t="s">
        <v>31582</v>
      </c>
      <c r="H11855" t="s">
        <v>31591</v>
      </c>
      <c r="I11855" t="s">
        <v>8822</v>
      </c>
      <c r="J11855" t="s">
        <v>39072</v>
      </c>
      <c r="K11855" t="s">
        <v>41335</v>
      </c>
      <c r="M11855" t="s">
        <v>44689</v>
      </c>
      <c r="N11855" t="s">
        <v>45095</v>
      </c>
      <c r="O11855" t="s">
        <v>45096</v>
      </c>
      <c r="P11855">
        <v>0</v>
      </c>
      <c r="Q11855">
        <v>0</v>
      </c>
      <c r="R11855" t="s">
        <v>45110</v>
      </c>
      <c r="S11855" t="s">
        <v>45605</v>
      </c>
      <c r="T11855" t="s">
        <v>46926</v>
      </c>
      <c r="U11855" t="s">
        <v>57164</v>
      </c>
      <c r="W11855" t="s">
        <v>44689</v>
      </c>
      <c r="X11855" t="s">
        <v>45111</v>
      </c>
    </row>
    <row r="11856" spans="1:24">
      <c r="A11856">
        <f>HYPERLINK("https://www.philgeps.gov.ph/GEPSNONPILOT/Tender/SplashBidNoticeAbstractUI.aspx?menuIndex=3&amp;refID=7022592&amp;Result=3","7022592")</f>
        <v>0</v>
      </c>
      <c r="B11856" t="s">
        <v>290</v>
      </c>
      <c r="C11856" t="s">
        <v>14518</v>
      </c>
      <c r="D11856" t="s">
        <v>18043</v>
      </c>
      <c r="E11856" t="s">
        <v>28372</v>
      </c>
      <c r="F11856" t="s">
        <v>31574</v>
      </c>
      <c r="G11856" t="s">
        <v>31582</v>
      </c>
      <c r="H11856" t="s">
        <v>31590</v>
      </c>
      <c r="I11856" t="s">
        <v>31598</v>
      </c>
      <c r="J11856" t="s">
        <v>32019</v>
      </c>
      <c r="K11856" t="s">
        <v>41196</v>
      </c>
      <c r="M11856" t="s">
        <v>42052</v>
      </c>
      <c r="N11856" t="s">
        <v>45095</v>
      </c>
      <c r="O11856" t="s">
        <v>45096</v>
      </c>
      <c r="P11856">
        <v>0</v>
      </c>
      <c r="Q11856">
        <v>8</v>
      </c>
      <c r="R11856" t="s">
        <v>45110</v>
      </c>
      <c r="S11856" t="s">
        <v>45605</v>
      </c>
      <c r="T11856" t="s">
        <v>47159</v>
      </c>
      <c r="U11856" t="s">
        <v>48590</v>
      </c>
      <c r="W11856" t="s">
        <v>42052</v>
      </c>
      <c r="X11856" t="s">
        <v>45111</v>
      </c>
    </row>
    <row r="11857" spans="1:24">
      <c r="A11857">
        <f>HYPERLINK("https://www.philgeps.gov.ph/GEPSNONPILOT/Tender/SplashBidNoticeAbstractUI.aspx?menuIndex=3&amp;refID=7022651&amp;Result=3","7022651")</f>
        <v>0</v>
      </c>
      <c r="B11857" t="s">
        <v>2896</v>
      </c>
      <c r="C11857" t="s">
        <v>14519</v>
      </c>
      <c r="D11857" t="s">
        <v>18089</v>
      </c>
      <c r="E11857" t="s">
        <v>28373</v>
      </c>
      <c r="F11857" t="s">
        <v>31574</v>
      </c>
      <c r="G11857" t="s">
        <v>31582</v>
      </c>
      <c r="H11857" t="s">
        <v>31591</v>
      </c>
      <c r="I11857" t="s">
        <v>8822</v>
      </c>
      <c r="J11857" t="s">
        <v>39073</v>
      </c>
      <c r="K11857" t="s">
        <v>41375</v>
      </c>
      <c r="M11857" t="s">
        <v>44689</v>
      </c>
      <c r="N11857" t="s">
        <v>45095</v>
      </c>
      <c r="O11857" t="s">
        <v>45096</v>
      </c>
      <c r="P11857">
        <v>0</v>
      </c>
      <c r="Q11857">
        <v>0</v>
      </c>
      <c r="R11857" t="s">
        <v>45110</v>
      </c>
      <c r="S11857" t="s">
        <v>45605</v>
      </c>
      <c r="T11857" t="s">
        <v>46926</v>
      </c>
      <c r="U11857" t="s">
        <v>57164</v>
      </c>
      <c r="W11857" t="s">
        <v>44689</v>
      </c>
      <c r="X11857" t="s">
        <v>45111</v>
      </c>
    </row>
    <row r="11858" spans="1:24">
      <c r="A11858">
        <f>HYPERLINK("https://www.philgeps.gov.ph/GEPSNONPILOT/Tender/SplashBidNoticeAbstractUI.aspx?menuIndex=3&amp;refID=7022597&amp;Result=3","7022597")</f>
        <v>0</v>
      </c>
      <c r="B11858" t="s">
        <v>457</v>
      </c>
      <c r="C11858" t="s">
        <v>14520</v>
      </c>
      <c r="D11858" t="s">
        <v>18033</v>
      </c>
      <c r="E11858" t="s">
        <v>28374</v>
      </c>
      <c r="F11858" t="s">
        <v>31574</v>
      </c>
      <c r="G11858" t="s">
        <v>31582</v>
      </c>
      <c r="H11858" t="s">
        <v>31590</v>
      </c>
      <c r="I11858" t="s">
        <v>3489</v>
      </c>
      <c r="J11858" t="s">
        <v>32774</v>
      </c>
      <c r="K11858" t="s">
        <v>41196</v>
      </c>
      <c r="M11858" t="s">
        <v>41951</v>
      </c>
      <c r="N11858" t="s">
        <v>45095</v>
      </c>
      <c r="O11858" t="s">
        <v>45096</v>
      </c>
      <c r="P11858">
        <v>0</v>
      </c>
      <c r="Q11858">
        <v>0</v>
      </c>
      <c r="R11858" t="s">
        <v>45110</v>
      </c>
      <c r="S11858" t="s">
        <v>45605</v>
      </c>
      <c r="T11858" t="s">
        <v>47155</v>
      </c>
      <c r="U11858" t="s">
        <v>48384</v>
      </c>
      <c r="W11858" t="s">
        <v>41951</v>
      </c>
      <c r="X11858" t="s">
        <v>45111</v>
      </c>
    </row>
    <row r="11859" spans="1:24">
      <c r="A11859">
        <f>HYPERLINK("https://www.philgeps.gov.ph/GEPSNONPILOT/Tender/SplashBidNoticeAbstractUI.aspx?menuIndex=3&amp;refID=7022642&amp;Result=3","7022642")</f>
        <v>0</v>
      </c>
      <c r="B11859" t="s">
        <v>2356</v>
      </c>
      <c r="C11859" t="s">
        <v>14521</v>
      </c>
      <c r="D11859" t="s">
        <v>18052</v>
      </c>
      <c r="E11859" t="s">
        <v>28375</v>
      </c>
      <c r="F11859" t="s">
        <v>31574</v>
      </c>
      <c r="G11859" t="s">
        <v>31582</v>
      </c>
      <c r="H11859" t="s">
        <v>31591</v>
      </c>
      <c r="I11859" t="s">
        <v>8822</v>
      </c>
      <c r="J11859" t="s">
        <v>32101</v>
      </c>
      <c r="K11859" t="s">
        <v>41373</v>
      </c>
      <c r="M11859" t="s">
        <v>44691</v>
      </c>
      <c r="N11859" t="s">
        <v>45095</v>
      </c>
      <c r="O11859" t="s">
        <v>45096</v>
      </c>
      <c r="P11859">
        <v>0</v>
      </c>
      <c r="Q11859">
        <v>1</v>
      </c>
      <c r="R11859" t="s">
        <v>45110</v>
      </c>
      <c r="S11859" t="s">
        <v>45605</v>
      </c>
      <c r="T11859" t="s">
        <v>46926</v>
      </c>
      <c r="U11859" t="s">
        <v>57168</v>
      </c>
      <c r="W11859" t="s">
        <v>44691</v>
      </c>
      <c r="X11859" t="s">
        <v>45111</v>
      </c>
    </row>
    <row r="11860" spans="1:24">
      <c r="A11860">
        <f>HYPERLINK("https://www.philgeps.gov.ph/GEPSNONPILOT/Tender/SplashBidNoticeAbstractUI.aspx?menuIndex=3&amp;refID=7022563&amp;Result=3","7022563")</f>
        <v>0</v>
      </c>
      <c r="B11860" t="s">
        <v>2898</v>
      </c>
      <c r="C11860" t="s">
        <v>14522</v>
      </c>
      <c r="D11860" t="s">
        <v>18022</v>
      </c>
      <c r="E11860" t="s">
        <v>28376</v>
      </c>
      <c r="F11860" t="s">
        <v>31579</v>
      </c>
      <c r="G11860" t="s">
        <v>31582</v>
      </c>
      <c r="H11860" t="s">
        <v>31590</v>
      </c>
      <c r="I11860" t="s">
        <v>3487</v>
      </c>
      <c r="J11860" t="s">
        <v>31782</v>
      </c>
      <c r="K11860" t="s">
        <v>41193</v>
      </c>
      <c r="M11860" t="s">
        <v>44692</v>
      </c>
      <c r="N11860" t="s">
        <v>45095</v>
      </c>
      <c r="O11860" t="s">
        <v>45096</v>
      </c>
      <c r="P11860">
        <v>0</v>
      </c>
      <c r="Q11860">
        <v>0</v>
      </c>
      <c r="R11860" t="s">
        <v>45110</v>
      </c>
      <c r="S11860" t="s">
        <v>45605</v>
      </c>
      <c r="T11860" t="s">
        <v>47157</v>
      </c>
      <c r="U11860" t="s">
        <v>57169</v>
      </c>
      <c r="W11860" t="s">
        <v>44692</v>
      </c>
      <c r="X11860" t="s">
        <v>45111</v>
      </c>
    </row>
    <row r="11861" spans="1:24">
      <c r="A11861">
        <f>HYPERLINK("https://www.philgeps.gov.ph/GEPSNONPILOT/Tender/SplashBidNoticeAbstractUI.aspx?menuIndex=3&amp;refID=7022570&amp;Result=3","7022570")</f>
        <v>0</v>
      </c>
      <c r="B11861" t="s">
        <v>2899</v>
      </c>
      <c r="C11861" t="s">
        <v>14523</v>
      </c>
      <c r="D11861" t="s">
        <v>18079</v>
      </c>
      <c r="E11861" t="s">
        <v>18227</v>
      </c>
      <c r="F11861" t="s">
        <v>31574</v>
      </c>
      <c r="G11861" t="s">
        <v>31582</v>
      </c>
      <c r="H11861" t="s">
        <v>31590</v>
      </c>
      <c r="I11861" t="s">
        <v>4046</v>
      </c>
      <c r="J11861" t="s">
        <v>39074</v>
      </c>
      <c r="K11861" t="s">
        <v>41184</v>
      </c>
      <c r="M11861" t="s">
        <v>44693</v>
      </c>
      <c r="N11861" t="s">
        <v>45095</v>
      </c>
      <c r="O11861" t="s">
        <v>45096</v>
      </c>
      <c r="P11861">
        <v>0</v>
      </c>
      <c r="Q11861">
        <v>0</v>
      </c>
      <c r="R11861" t="s">
        <v>45110</v>
      </c>
      <c r="S11861" t="s">
        <v>45605</v>
      </c>
      <c r="T11861" t="s">
        <v>47124</v>
      </c>
      <c r="U11861" t="s">
        <v>57170</v>
      </c>
      <c r="W11861" t="s">
        <v>44693</v>
      </c>
      <c r="X11861" t="s">
        <v>45111</v>
      </c>
    </row>
    <row r="11862" spans="1:24">
      <c r="A11862">
        <f>HYPERLINK("https://www.philgeps.gov.ph/GEPSNONPILOT/Tender/SplashBidNoticeAbstractUI.aspx?menuIndex=3&amp;refID=7022652&amp;Result=3","7022652")</f>
        <v>0</v>
      </c>
      <c r="B11862" t="s">
        <v>2356</v>
      </c>
      <c r="C11862" t="s">
        <v>14524</v>
      </c>
      <c r="D11862" t="s">
        <v>18052</v>
      </c>
      <c r="E11862" t="s">
        <v>28377</v>
      </c>
      <c r="F11862" t="s">
        <v>31574</v>
      </c>
      <c r="G11862" t="s">
        <v>31582</v>
      </c>
      <c r="H11862" t="s">
        <v>31590</v>
      </c>
      <c r="I11862" t="s">
        <v>31601</v>
      </c>
      <c r="J11862" t="s">
        <v>32333</v>
      </c>
      <c r="K11862" t="s">
        <v>41186</v>
      </c>
      <c r="M11862" t="s">
        <v>44688</v>
      </c>
      <c r="N11862" t="s">
        <v>45095</v>
      </c>
      <c r="O11862" t="s">
        <v>45096</v>
      </c>
      <c r="Q11862">
        <v>6</v>
      </c>
      <c r="R11862" t="s">
        <v>45110</v>
      </c>
      <c r="S11862" t="s">
        <v>45635</v>
      </c>
      <c r="T11862" t="s">
        <v>46926</v>
      </c>
      <c r="U11862" t="s">
        <v>57171</v>
      </c>
      <c r="V11862" t="s">
        <v>61155</v>
      </c>
      <c r="W11862" t="s">
        <v>44688</v>
      </c>
      <c r="X11862" t="s">
        <v>45111</v>
      </c>
    </row>
    <row r="11863" spans="1:24">
      <c r="A11863">
        <f>HYPERLINK("https://www.philgeps.gov.ph/GEPSNONPILOT/Tender/SplashBidNoticeAbstractUI.aspx?menuIndex=3&amp;refID=7022661&amp;Result=3","7022661")</f>
        <v>0</v>
      </c>
      <c r="B11863" t="s">
        <v>2356</v>
      </c>
      <c r="C11863" t="s">
        <v>14525</v>
      </c>
      <c r="D11863" t="s">
        <v>18052</v>
      </c>
      <c r="E11863" t="s">
        <v>28378</v>
      </c>
      <c r="F11863" t="s">
        <v>31574</v>
      </c>
      <c r="G11863" t="s">
        <v>31582</v>
      </c>
      <c r="H11863" t="s">
        <v>31591</v>
      </c>
      <c r="I11863" t="s">
        <v>8822</v>
      </c>
      <c r="J11863" t="s">
        <v>39075</v>
      </c>
      <c r="K11863" t="s">
        <v>41328</v>
      </c>
      <c r="M11863" t="s">
        <v>44691</v>
      </c>
      <c r="N11863" t="s">
        <v>45095</v>
      </c>
      <c r="O11863" t="s">
        <v>45096</v>
      </c>
      <c r="P11863">
        <v>0</v>
      </c>
      <c r="Q11863">
        <v>3</v>
      </c>
      <c r="R11863" t="s">
        <v>45110</v>
      </c>
      <c r="S11863" t="s">
        <v>45605</v>
      </c>
      <c r="T11863" t="s">
        <v>46926</v>
      </c>
      <c r="U11863" t="s">
        <v>57172</v>
      </c>
      <c r="W11863" t="s">
        <v>44691</v>
      </c>
      <c r="X11863" t="s">
        <v>45111</v>
      </c>
    </row>
    <row r="11864" spans="1:24">
      <c r="A11864">
        <f>HYPERLINK("https://www.philgeps.gov.ph/GEPSNONPILOT/Tender/SplashBidNoticeAbstractUI.aspx?menuIndex=3&amp;refID=7022687&amp;Result=3","7022687")</f>
        <v>0</v>
      </c>
      <c r="B11864" t="s">
        <v>2356</v>
      </c>
      <c r="C11864" t="s">
        <v>14526</v>
      </c>
      <c r="D11864" t="s">
        <v>18052</v>
      </c>
      <c r="E11864" t="s">
        <v>28379</v>
      </c>
      <c r="F11864" t="s">
        <v>31574</v>
      </c>
      <c r="G11864" t="s">
        <v>31582</v>
      </c>
      <c r="H11864" t="s">
        <v>31591</v>
      </c>
      <c r="I11864" t="s">
        <v>8822</v>
      </c>
      <c r="J11864" t="s">
        <v>32101</v>
      </c>
      <c r="K11864" t="s">
        <v>41336</v>
      </c>
      <c r="M11864" t="s">
        <v>44691</v>
      </c>
      <c r="N11864" t="s">
        <v>45095</v>
      </c>
      <c r="O11864" t="s">
        <v>45096</v>
      </c>
      <c r="P11864">
        <v>0</v>
      </c>
      <c r="Q11864">
        <v>1</v>
      </c>
      <c r="R11864" t="s">
        <v>45110</v>
      </c>
      <c r="S11864" t="s">
        <v>45605</v>
      </c>
      <c r="T11864" t="s">
        <v>46926</v>
      </c>
      <c r="U11864" t="s">
        <v>57173</v>
      </c>
      <c r="W11864" t="s">
        <v>44691</v>
      </c>
      <c r="X11864" t="s">
        <v>45111</v>
      </c>
    </row>
    <row r="11865" spans="1:24">
      <c r="A11865">
        <f>HYPERLINK("https://www.philgeps.gov.ph/GEPSNONPILOT/Tender/SplashBidNoticeAbstractUI.aspx?menuIndex=3&amp;refID=7022657&amp;Result=3","7022657")</f>
        <v>0</v>
      </c>
      <c r="B11865" t="s">
        <v>2356</v>
      </c>
      <c r="C11865" t="s">
        <v>14527</v>
      </c>
      <c r="D11865" t="s">
        <v>18052</v>
      </c>
      <c r="E11865" t="s">
        <v>28380</v>
      </c>
      <c r="F11865" t="s">
        <v>31574</v>
      </c>
      <c r="G11865" t="s">
        <v>31582</v>
      </c>
      <c r="H11865" t="s">
        <v>31591</v>
      </c>
      <c r="I11865" t="s">
        <v>8822</v>
      </c>
      <c r="J11865" t="s">
        <v>39076</v>
      </c>
      <c r="K11865" t="s">
        <v>41268</v>
      </c>
      <c r="M11865" t="s">
        <v>44691</v>
      </c>
      <c r="N11865" t="s">
        <v>45095</v>
      </c>
      <c r="O11865" t="s">
        <v>45096</v>
      </c>
      <c r="P11865">
        <v>0</v>
      </c>
      <c r="Q11865">
        <v>2</v>
      </c>
      <c r="R11865" t="s">
        <v>45110</v>
      </c>
      <c r="S11865" t="s">
        <v>45605</v>
      </c>
      <c r="T11865" t="s">
        <v>46926</v>
      </c>
      <c r="U11865" t="s">
        <v>57174</v>
      </c>
      <c r="W11865" t="s">
        <v>44691</v>
      </c>
      <c r="X11865" t="s">
        <v>45111</v>
      </c>
    </row>
    <row r="11866" spans="1:24">
      <c r="A11866">
        <f>HYPERLINK("https://www.philgeps.gov.ph/GEPSNONPILOT/Tender/SplashBidNoticeAbstractUI.aspx?menuIndex=3&amp;refID=7022680&amp;Result=3","7022680")</f>
        <v>0</v>
      </c>
      <c r="B11866" t="s">
        <v>2356</v>
      </c>
      <c r="C11866" t="s">
        <v>14528</v>
      </c>
      <c r="D11866" t="s">
        <v>18052</v>
      </c>
      <c r="E11866" t="s">
        <v>28381</v>
      </c>
      <c r="F11866" t="s">
        <v>31574</v>
      </c>
      <c r="G11866" t="s">
        <v>31582</v>
      </c>
      <c r="H11866" t="s">
        <v>31591</v>
      </c>
      <c r="I11866" t="s">
        <v>8822</v>
      </c>
      <c r="J11866" t="s">
        <v>39077</v>
      </c>
      <c r="K11866" t="s">
        <v>41438</v>
      </c>
      <c r="M11866" t="s">
        <v>44691</v>
      </c>
      <c r="N11866" t="s">
        <v>45095</v>
      </c>
      <c r="O11866" t="s">
        <v>45096</v>
      </c>
      <c r="Q11866">
        <v>1</v>
      </c>
      <c r="R11866" t="s">
        <v>45110</v>
      </c>
      <c r="S11866" t="s">
        <v>45636</v>
      </c>
      <c r="T11866" t="s">
        <v>46926</v>
      </c>
      <c r="U11866" t="s">
        <v>57175</v>
      </c>
      <c r="W11866" t="s">
        <v>44691</v>
      </c>
      <c r="X11866" t="s">
        <v>45111</v>
      </c>
    </row>
    <row r="11867" spans="1:24">
      <c r="A11867">
        <f>HYPERLINK("https://www.philgeps.gov.ph/GEPSNONPILOT/Tender/SplashBidNoticeAbstractUI.aspx?menuIndex=3&amp;refID=7022676&amp;Result=3","7022676")</f>
        <v>0</v>
      </c>
      <c r="B11867" t="s">
        <v>2356</v>
      </c>
      <c r="C11867" t="s">
        <v>14529</v>
      </c>
      <c r="D11867" t="s">
        <v>18052</v>
      </c>
      <c r="E11867" t="s">
        <v>28382</v>
      </c>
      <c r="F11867" t="s">
        <v>31574</v>
      </c>
      <c r="G11867" t="s">
        <v>31582</v>
      </c>
      <c r="H11867" t="s">
        <v>31591</v>
      </c>
      <c r="I11867" t="s">
        <v>8822</v>
      </c>
      <c r="J11867" t="s">
        <v>39078</v>
      </c>
      <c r="K11867" t="s">
        <v>41439</v>
      </c>
      <c r="M11867" t="s">
        <v>44691</v>
      </c>
      <c r="N11867" t="s">
        <v>45095</v>
      </c>
      <c r="O11867" t="s">
        <v>45096</v>
      </c>
      <c r="P11867">
        <v>0</v>
      </c>
      <c r="Q11867">
        <v>2</v>
      </c>
      <c r="R11867" t="s">
        <v>45110</v>
      </c>
      <c r="S11867" t="s">
        <v>45605</v>
      </c>
      <c r="T11867" t="s">
        <v>46926</v>
      </c>
      <c r="U11867" t="s">
        <v>57176</v>
      </c>
      <c r="W11867" t="s">
        <v>44691</v>
      </c>
      <c r="X11867" t="s">
        <v>45111</v>
      </c>
    </row>
    <row r="11868" spans="1:24">
      <c r="A11868">
        <f>HYPERLINK("https://www.philgeps.gov.ph/GEPSNONPILOT/Tender/SplashBidNoticeAbstractUI.aspx?menuIndex=3&amp;refID=7022690&amp;Result=3","7022690")</f>
        <v>0</v>
      </c>
      <c r="B11868" t="s">
        <v>2356</v>
      </c>
      <c r="C11868" t="s">
        <v>14530</v>
      </c>
      <c r="D11868" t="s">
        <v>18052</v>
      </c>
      <c r="E11868" t="s">
        <v>28383</v>
      </c>
      <c r="F11868" t="s">
        <v>31574</v>
      </c>
      <c r="G11868" t="s">
        <v>31582</v>
      </c>
      <c r="H11868" t="s">
        <v>31591</v>
      </c>
      <c r="I11868" t="s">
        <v>8822</v>
      </c>
      <c r="J11868" t="s">
        <v>39079</v>
      </c>
      <c r="K11868" t="s">
        <v>41403</v>
      </c>
      <c r="M11868" t="s">
        <v>44691</v>
      </c>
      <c r="N11868" t="s">
        <v>45095</v>
      </c>
      <c r="O11868" t="s">
        <v>45096</v>
      </c>
      <c r="P11868">
        <v>0</v>
      </c>
      <c r="Q11868">
        <v>1</v>
      </c>
      <c r="R11868" t="s">
        <v>45110</v>
      </c>
      <c r="S11868" t="s">
        <v>45605</v>
      </c>
      <c r="T11868" t="s">
        <v>46926</v>
      </c>
      <c r="U11868" t="s">
        <v>57177</v>
      </c>
      <c r="W11868" t="s">
        <v>44691</v>
      </c>
      <c r="X11868" t="s">
        <v>45111</v>
      </c>
    </row>
    <row r="11869" spans="1:24">
      <c r="A11869">
        <f>HYPERLINK("https://www.philgeps.gov.ph/GEPSNONPILOT/Tender/SplashBidNoticeAbstractUI.aspx?menuIndex=3&amp;refID=7022675&amp;Result=3","7022675")</f>
        <v>0</v>
      </c>
      <c r="B11869" t="s">
        <v>2356</v>
      </c>
      <c r="C11869" t="s">
        <v>14531</v>
      </c>
      <c r="D11869" t="s">
        <v>18052</v>
      </c>
      <c r="E11869" t="s">
        <v>28384</v>
      </c>
      <c r="F11869" t="s">
        <v>31574</v>
      </c>
      <c r="G11869" t="s">
        <v>31582</v>
      </c>
      <c r="H11869" t="s">
        <v>31590</v>
      </c>
      <c r="I11869" t="s">
        <v>31605</v>
      </c>
      <c r="J11869" t="s">
        <v>39080</v>
      </c>
      <c r="K11869" t="s">
        <v>41191</v>
      </c>
      <c r="M11869" t="s">
        <v>44688</v>
      </c>
      <c r="N11869" t="s">
        <v>45095</v>
      </c>
      <c r="O11869" t="s">
        <v>45096</v>
      </c>
      <c r="P11869">
        <v>0</v>
      </c>
      <c r="Q11869">
        <v>6</v>
      </c>
      <c r="R11869" t="s">
        <v>45110</v>
      </c>
      <c r="S11869" t="s">
        <v>45605</v>
      </c>
      <c r="T11869" t="s">
        <v>46926</v>
      </c>
      <c r="U11869" t="s">
        <v>57178</v>
      </c>
      <c r="V11869" t="s">
        <v>61155</v>
      </c>
      <c r="W11869" t="s">
        <v>44688</v>
      </c>
      <c r="X11869" t="s">
        <v>45111</v>
      </c>
    </row>
    <row r="11870" spans="1:24">
      <c r="A11870">
        <f>HYPERLINK("https://www.philgeps.gov.ph/GEPSNONPILOT/Tender/SplashBidNoticeAbstractUI.aspx?menuIndex=3&amp;refID=7022683&amp;Result=3","7022683")</f>
        <v>0</v>
      </c>
      <c r="B11870" t="s">
        <v>2356</v>
      </c>
      <c r="C11870" t="s">
        <v>14532</v>
      </c>
      <c r="D11870" t="s">
        <v>18052</v>
      </c>
      <c r="E11870" t="s">
        <v>28385</v>
      </c>
      <c r="F11870" t="s">
        <v>31574</v>
      </c>
      <c r="G11870" t="s">
        <v>31582</v>
      </c>
      <c r="H11870" t="s">
        <v>31591</v>
      </c>
      <c r="I11870" t="s">
        <v>8822</v>
      </c>
      <c r="J11870" t="s">
        <v>39081</v>
      </c>
      <c r="K11870" t="s">
        <v>41396</v>
      </c>
      <c r="M11870" t="s">
        <v>44691</v>
      </c>
      <c r="N11870" t="s">
        <v>45095</v>
      </c>
      <c r="O11870" t="s">
        <v>45096</v>
      </c>
      <c r="P11870">
        <v>0</v>
      </c>
      <c r="Q11870">
        <v>4</v>
      </c>
      <c r="R11870" t="s">
        <v>45110</v>
      </c>
      <c r="S11870" t="s">
        <v>45605</v>
      </c>
      <c r="T11870" t="s">
        <v>46926</v>
      </c>
      <c r="U11870" t="s">
        <v>57179</v>
      </c>
      <c r="W11870" t="s">
        <v>44691</v>
      </c>
      <c r="X11870" t="s">
        <v>45111</v>
      </c>
    </row>
    <row r="11871" spans="1:24">
      <c r="A11871">
        <f>HYPERLINK("https://www.philgeps.gov.ph/GEPSNONPILOT/Tender/SplashBidNoticeAbstractUI.aspx?menuIndex=3&amp;refID=7022673&amp;Result=3","7022673")</f>
        <v>0</v>
      </c>
      <c r="B11871" t="s">
        <v>2356</v>
      </c>
      <c r="C11871" t="s">
        <v>14533</v>
      </c>
      <c r="D11871" t="s">
        <v>18052</v>
      </c>
      <c r="E11871" t="s">
        <v>28386</v>
      </c>
      <c r="F11871" t="s">
        <v>31574</v>
      </c>
      <c r="G11871" t="s">
        <v>31582</v>
      </c>
      <c r="H11871" t="s">
        <v>31591</v>
      </c>
      <c r="I11871" t="s">
        <v>8822</v>
      </c>
      <c r="J11871" t="s">
        <v>38858</v>
      </c>
      <c r="K11871" t="s">
        <v>41440</v>
      </c>
      <c r="M11871" t="s">
        <v>44691</v>
      </c>
      <c r="N11871" t="s">
        <v>45095</v>
      </c>
      <c r="O11871" t="s">
        <v>45096</v>
      </c>
      <c r="P11871">
        <v>0</v>
      </c>
      <c r="Q11871">
        <v>1</v>
      </c>
      <c r="R11871" t="s">
        <v>45110</v>
      </c>
      <c r="S11871" t="s">
        <v>45605</v>
      </c>
      <c r="T11871" t="s">
        <v>46926</v>
      </c>
      <c r="U11871" t="s">
        <v>57180</v>
      </c>
      <c r="W11871" t="s">
        <v>44691</v>
      </c>
      <c r="X11871" t="s">
        <v>45111</v>
      </c>
    </row>
    <row r="11872" spans="1:24">
      <c r="A11872">
        <f>HYPERLINK("https://www.philgeps.gov.ph/GEPSNONPILOT/Tender/SplashBidNoticeAbstractUI.aspx?menuIndex=3&amp;refID=7022689&amp;Result=3","7022689")</f>
        <v>0</v>
      </c>
      <c r="B11872" t="s">
        <v>319</v>
      </c>
      <c r="C11872" t="s">
        <v>9891</v>
      </c>
      <c r="D11872" t="s">
        <v>18065</v>
      </c>
      <c r="E11872" t="s">
        <v>28387</v>
      </c>
      <c r="F11872" t="s">
        <v>31574</v>
      </c>
      <c r="G11872" t="s">
        <v>31582</v>
      </c>
      <c r="H11872" t="s">
        <v>31590</v>
      </c>
      <c r="I11872" t="s">
        <v>7185</v>
      </c>
      <c r="J11872" t="s">
        <v>39082</v>
      </c>
      <c r="K11872" t="s">
        <v>41193</v>
      </c>
      <c r="M11872" t="s">
        <v>41807</v>
      </c>
      <c r="N11872" t="s">
        <v>45095</v>
      </c>
      <c r="O11872" t="s">
        <v>45096</v>
      </c>
      <c r="Q11872">
        <v>9</v>
      </c>
      <c r="R11872" t="s">
        <v>45110</v>
      </c>
      <c r="S11872" t="s">
        <v>45637</v>
      </c>
      <c r="T11872" t="s">
        <v>46922</v>
      </c>
      <c r="U11872" t="s">
        <v>57181</v>
      </c>
      <c r="W11872" t="s">
        <v>61662</v>
      </c>
      <c r="X11872" t="s">
        <v>45111</v>
      </c>
    </row>
    <row r="11873" spans="1:24">
      <c r="A11873">
        <f>HYPERLINK("https://www.philgeps.gov.ph/GEPSNONPILOT/Tender/SplashBidNoticeAbstractUI.aspx?menuIndex=3&amp;refID=7022655&amp;Result=3","7022655")</f>
        <v>0</v>
      </c>
      <c r="B11873" t="s">
        <v>2356</v>
      </c>
      <c r="C11873" t="s">
        <v>14534</v>
      </c>
      <c r="D11873" t="s">
        <v>18052</v>
      </c>
      <c r="E11873" t="s">
        <v>28388</v>
      </c>
      <c r="F11873" t="s">
        <v>31574</v>
      </c>
      <c r="G11873" t="s">
        <v>31582</v>
      </c>
      <c r="H11873" t="s">
        <v>31590</v>
      </c>
      <c r="I11873" t="s">
        <v>3901</v>
      </c>
      <c r="J11873" t="s">
        <v>33343</v>
      </c>
      <c r="K11873" t="s">
        <v>41192</v>
      </c>
      <c r="M11873" t="s">
        <v>44688</v>
      </c>
      <c r="N11873" t="s">
        <v>45095</v>
      </c>
      <c r="O11873" t="s">
        <v>45096</v>
      </c>
      <c r="P11873">
        <v>0</v>
      </c>
      <c r="Q11873">
        <v>5</v>
      </c>
      <c r="R11873" t="s">
        <v>45110</v>
      </c>
      <c r="S11873" t="s">
        <v>45605</v>
      </c>
      <c r="T11873" t="s">
        <v>46926</v>
      </c>
      <c r="U11873" t="s">
        <v>57182</v>
      </c>
      <c r="V11873" t="s">
        <v>61155</v>
      </c>
      <c r="W11873" t="s">
        <v>44688</v>
      </c>
      <c r="X11873" t="s">
        <v>45111</v>
      </c>
    </row>
    <row r="11874" spans="1:24">
      <c r="A11874">
        <f>HYPERLINK("https://www.philgeps.gov.ph/GEPSNONPILOT/Tender/SplashBidNoticeAbstractUI.aspx?menuIndex=3&amp;refID=7022672&amp;Result=3","7022672")</f>
        <v>0</v>
      </c>
      <c r="B11874" t="s">
        <v>2356</v>
      </c>
      <c r="C11874" t="s">
        <v>14535</v>
      </c>
      <c r="D11874" t="s">
        <v>18052</v>
      </c>
      <c r="E11874" t="s">
        <v>28389</v>
      </c>
      <c r="F11874" t="s">
        <v>31574</v>
      </c>
      <c r="G11874" t="s">
        <v>31582</v>
      </c>
      <c r="H11874" t="s">
        <v>31590</v>
      </c>
      <c r="I11874" t="s">
        <v>31602</v>
      </c>
      <c r="J11874" t="s">
        <v>39083</v>
      </c>
      <c r="K11874" t="s">
        <v>41191</v>
      </c>
      <c r="M11874" t="s">
        <v>44688</v>
      </c>
      <c r="N11874" t="s">
        <v>45095</v>
      </c>
      <c r="O11874" t="s">
        <v>45096</v>
      </c>
      <c r="P11874">
        <v>0</v>
      </c>
      <c r="Q11874">
        <v>1</v>
      </c>
      <c r="R11874" t="s">
        <v>45110</v>
      </c>
      <c r="S11874" t="s">
        <v>45605</v>
      </c>
      <c r="T11874" t="s">
        <v>46926</v>
      </c>
      <c r="U11874" t="s">
        <v>57183</v>
      </c>
      <c r="V11874" t="s">
        <v>61155</v>
      </c>
      <c r="W11874" t="s">
        <v>44688</v>
      </c>
      <c r="X11874" t="s">
        <v>45111</v>
      </c>
    </row>
    <row r="11875" spans="1:24">
      <c r="A11875">
        <f>HYPERLINK("https://www.philgeps.gov.ph/GEPSNONPILOT/Tender/SplashBidNoticeAbstractUI.aspx?menuIndex=3&amp;refID=7022669&amp;Result=3","7022669")</f>
        <v>0</v>
      </c>
      <c r="B11875" t="s">
        <v>2356</v>
      </c>
      <c r="C11875" t="s">
        <v>14536</v>
      </c>
      <c r="D11875" t="s">
        <v>18052</v>
      </c>
      <c r="E11875" t="s">
        <v>28390</v>
      </c>
      <c r="F11875" t="s">
        <v>31574</v>
      </c>
      <c r="G11875" t="s">
        <v>31582</v>
      </c>
      <c r="H11875" t="s">
        <v>31591</v>
      </c>
      <c r="I11875" t="s">
        <v>8822</v>
      </c>
      <c r="J11875" t="s">
        <v>32076</v>
      </c>
      <c r="K11875" t="s">
        <v>41431</v>
      </c>
      <c r="M11875" t="s">
        <v>44691</v>
      </c>
      <c r="N11875" t="s">
        <v>45095</v>
      </c>
      <c r="O11875" t="s">
        <v>45096</v>
      </c>
      <c r="P11875">
        <v>0</v>
      </c>
      <c r="Q11875">
        <v>1</v>
      </c>
      <c r="R11875" t="s">
        <v>45110</v>
      </c>
      <c r="S11875" t="s">
        <v>45605</v>
      </c>
      <c r="T11875" t="s">
        <v>46926</v>
      </c>
      <c r="U11875" t="s">
        <v>57184</v>
      </c>
      <c r="W11875" t="s">
        <v>44691</v>
      </c>
      <c r="X11875" t="s">
        <v>45111</v>
      </c>
    </row>
    <row r="11876" spans="1:24">
      <c r="A11876">
        <f>HYPERLINK("https://www.philgeps.gov.ph/GEPSNONPILOT/Tender/SplashBidNoticeAbstractUI.aspx?menuIndex=3&amp;refID=7022653&amp;Result=3","7022653")</f>
        <v>0</v>
      </c>
      <c r="B11876" t="s">
        <v>2356</v>
      </c>
      <c r="C11876" t="s">
        <v>14537</v>
      </c>
      <c r="D11876" t="s">
        <v>18052</v>
      </c>
      <c r="E11876" t="s">
        <v>28391</v>
      </c>
      <c r="F11876" t="s">
        <v>31574</v>
      </c>
      <c r="G11876" t="s">
        <v>31582</v>
      </c>
      <c r="H11876" t="s">
        <v>31591</v>
      </c>
      <c r="I11876" t="s">
        <v>8822</v>
      </c>
      <c r="J11876" t="s">
        <v>39084</v>
      </c>
      <c r="K11876" t="s">
        <v>41298</v>
      </c>
      <c r="M11876" t="s">
        <v>44691</v>
      </c>
      <c r="N11876" t="s">
        <v>45095</v>
      </c>
      <c r="O11876" t="s">
        <v>45096</v>
      </c>
      <c r="P11876">
        <v>0</v>
      </c>
      <c r="Q11876">
        <v>1</v>
      </c>
      <c r="R11876" t="s">
        <v>45110</v>
      </c>
      <c r="S11876" t="s">
        <v>45605</v>
      </c>
      <c r="T11876" t="s">
        <v>46926</v>
      </c>
      <c r="U11876" t="s">
        <v>57185</v>
      </c>
      <c r="W11876" t="s">
        <v>44691</v>
      </c>
      <c r="X11876" t="s">
        <v>45111</v>
      </c>
    </row>
    <row r="11877" spans="1:24">
      <c r="A11877">
        <f>HYPERLINK("https://www.philgeps.gov.ph/GEPSNONPILOT/Tender/SplashBidNoticeAbstractUI.aspx?menuIndex=3&amp;refID=7022713&amp;Result=3","7022713")</f>
        <v>0</v>
      </c>
      <c r="B11877" t="s">
        <v>66</v>
      </c>
      <c r="C11877" t="s">
        <v>14538</v>
      </c>
      <c r="D11877" t="s">
        <v>18050</v>
      </c>
      <c r="E11877" t="s">
        <v>28392</v>
      </c>
      <c r="F11877" t="s">
        <v>31574</v>
      </c>
      <c r="G11877" t="s">
        <v>31582</v>
      </c>
      <c r="H11877" t="s">
        <v>31591</v>
      </c>
      <c r="I11877" t="s">
        <v>8822</v>
      </c>
      <c r="J11877" t="s">
        <v>32662</v>
      </c>
      <c r="K11877" t="s">
        <v>41441</v>
      </c>
      <c r="L11877" t="s">
        <v>66</v>
      </c>
      <c r="M11877" t="s">
        <v>41550</v>
      </c>
      <c r="N11877" t="s">
        <v>45095</v>
      </c>
      <c r="O11877" t="s">
        <v>45096</v>
      </c>
      <c r="P11877">
        <v>0</v>
      </c>
      <c r="Q11877">
        <v>4</v>
      </c>
      <c r="R11877" t="s">
        <v>45110</v>
      </c>
      <c r="S11877" t="s">
        <v>45605</v>
      </c>
      <c r="T11877" t="s">
        <v>46933</v>
      </c>
      <c r="U11877" t="s">
        <v>57186</v>
      </c>
      <c r="V11877" t="s">
        <v>59860</v>
      </c>
      <c r="W11877" t="s">
        <v>41550</v>
      </c>
      <c r="X11877" t="s">
        <v>45111</v>
      </c>
    </row>
    <row r="11878" spans="1:24">
      <c r="A11878">
        <f>HYPERLINK("https://www.philgeps.gov.ph/GEPSNONPILOT/Tender/SplashBidNoticeAbstractUI.aspx?menuIndex=3&amp;refID=7022668&amp;Result=3","7022668")</f>
        <v>0</v>
      </c>
      <c r="B11878" t="s">
        <v>2356</v>
      </c>
      <c r="C11878" t="s">
        <v>14539</v>
      </c>
      <c r="D11878" t="s">
        <v>18052</v>
      </c>
      <c r="E11878" t="s">
        <v>28393</v>
      </c>
      <c r="F11878" t="s">
        <v>31574</v>
      </c>
      <c r="G11878" t="s">
        <v>31582</v>
      </c>
      <c r="H11878" t="s">
        <v>31590</v>
      </c>
      <c r="I11878" t="s">
        <v>3651</v>
      </c>
      <c r="J11878" t="s">
        <v>39085</v>
      </c>
      <c r="K11878" t="s">
        <v>41191</v>
      </c>
      <c r="M11878" t="s">
        <v>44688</v>
      </c>
      <c r="N11878" t="s">
        <v>45095</v>
      </c>
      <c r="O11878" t="s">
        <v>45096</v>
      </c>
      <c r="P11878">
        <v>0</v>
      </c>
      <c r="Q11878">
        <v>0</v>
      </c>
      <c r="R11878" t="s">
        <v>45110</v>
      </c>
      <c r="S11878" t="s">
        <v>45605</v>
      </c>
      <c r="T11878" t="s">
        <v>46926</v>
      </c>
      <c r="U11878" t="s">
        <v>57187</v>
      </c>
      <c r="V11878" t="s">
        <v>61155</v>
      </c>
      <c r="W11878" t="s">
        <v>44688</v>
      </c>
      <c r="X11878" t="s">
        <v>45111</v>
      </c>
    </row>
    <row r="11879" spans="1:24">
      <c r="A11879">
        <f>HYPERLINK("https://www.philgeps.gov.ph/GEPSNONPILOT/Tender/SplashBidNoticeAbstractUI.aspx?menuIndex=3&amp;refID=7022736&amp;Result=3","7022736")</f>
        <v>0</v>
      </c>
      <c r="B11879" t="s">
        <v>2900</v>
      </c>
      <c r="C11879" t="s">
        <v>14540</v>
      </c>
      <c r="E11879" t="s">
        <v>18422</v>
      </c>
      <c r="F11879" t="s">
        <v>31574</v>
      </c>
      <c r="G11879" t="s">
        <v>31582</v>
      </c>
      <c r="H11879" t="s">
        <v>31590</v>
      </c>
      <c r="I11879" t="s">
        <v>8822</v>
      </c>
      <c r="J11879" t="s">
        <v>39086</v>
      </c>
      <c r="K11879" t="s">
        <v>41196</v>
      </c>
      <c r="M11879" t="s">
        <v>44694</v>
      </c>
      <c r="N11879" t="s">
        <v>45095</v>
      </c>
      <c r="O11879" t="s">
        <v>45096</v>
      </c>
      <c r="P11879">
        <v>0</v>
      </c>
      <c r="Q11879">
        <v>1</v>
      </c>
      <c r="R11879" t="s">
        <v>45110</v>
      </c>
      <c r="S11879" t="s">
        <v>45605</v>
      </c>
      <c r="T11879" t="s">
        <v>47077</v>
      </c>
      <c r="U11879" t="s">
        <v>57188</v>
      </c>
      <c r="V11879" t="s">
        <v>61156</v>
      </c>
      <c r="W11879" t="s">
        <v>44694</v>
      </c>
      <c r="X11879" t="s">
        <v>45111</v>
      </c>
    </row>
    <row r="11880" spans="1:24">
      <c r="A11880">
        <f>HYPERLINK("https://www.philgeps.gov.ph/GEPSNONPILOT/Tender/SplashBidNoticeAbstractUI.aspx?menuIndex=3&amp;refID=7022776&amp;Result=3","7022776")</f>
        <v>0</v>
      </c>
      <c r="B11880" t="s">
        <v>1036</v>
      </c>
      <c r="C11880" t="s">
        <v>14541</v>
      </c>
      <c r="D11880" t="s">
        <v>18072</v>
      </c>
      <c r="E11880" t="s">
        <v>23637</v>
      </c>
      <c r="F11880" t="s">
        <v>31574</v>
      </c>
      <c r="G11880" t="s">
        <v>31582</v>
      </c>
      <c r="H11880" t="s">
        <v>31590</v>
      </c>
      <c r="I11880" t="s">
        <v>7185</v>
      </c>
      <c r="J11880" t="s">
        <v>39087</v>
      </c>
      <c r="K11880" t="s">
        <v>41186</v>
      </c>
      <c r="M11880" t="s">
        <v>42579</v>
      </c>
      <c r="N11880" t="s">
        <v>45095</v>
      </c>
      <c r="O11880" t="s">
        <v>45096</v>
      </c>
      <c r="P11880">
        <v>0</v>
      </c>
      <c r="Q11880">
        <v>5</v>
      </c>
      <c r="R11880" t="s">
        <v>45110</v>
      </c>
      <c r="S11880" t="s">
        <v>45605</v>
      </c>
      <c r="T11880" t="s">
        <v>46991</v>
      </c>
      <c r="U11880" t="s">
        <v>57189</v>
      </c>
      <c r="W11880" t="s">
        <v>42579</v>
      </c>
      <c r="X11880" t="s">
        <v>45111</v>
      </c>
    </row>
    <row r="11881" spans="1:24">
      <c r="A11881">
        <f>HYPERLINK("https://www.philgeps.gov.ph/GEPSNONPILOT/Tender/SplashBidNoticeAbstractUI.aspx?menuIndex=3&amp;refID=7022774&amp;Result=3","7022774")</f>
        <v>0</v>
      </c>
      <c r="B11881" t="s">
        <v>2901</v>
      </c>
      <c r="C11881" t="s">
        <v>14542</v>
      </c>
      <c r="D11881" t="s">
        <v>18071</v>
      </c>
      <c r="E11881" t="s">
        <v>28394</v>
      </c>
      <c r="F11881" t="s">
        <v>31574</v>
      </c>
      <c r="G11881" t="s">
        <v>31582</v>
      </c>
      <c r="H11881" t="s">
        <v>31591</v>
      </c>
      <c r="I11881" t="s">
        <v>8822</v>
      </c>
      <c r="J11881" t="s">
        <v>39088</v>
      </c>
      <c r="K11881" t="s">
        <v>41243</v>
      </c>
      <c r="L11881" t="s">
        <v>2901</v>
      </c>
      <c r="M11881" t="s">
        <v>44695</v>
      </c>
      <c r="N11881" t="s">
        <v>45095</v>
      </c>
      <c r="O11881" t="s">
        <v>45096</v>
      </c>
      <c r="P11881">
        <v>0</v>
      </c>
      <c r="Q11881">
        <v>0</v>
      </c>
      <c r="R11881" t="s">
        <v>45110</v>
      </c>
      <c r="S11881" t="s">
        <v>45605</v>
      </c>
      <c r="T11881" t="s">
        <v>46926</v>
      </c>
      <c r="U11881" t="s">
        <v>57190</v>
      </c>
      <c r="W11881" t="s">
        <v>44695</v>
      </c>
      <c r="X11881" t="s">
        <v>45111</v>
      </c>
    </row>
    <row r="11882" spans="1:24">
      <c r="A11882">
        <f>HYPERLINK("https://www.philgeps.gov.ph/GEPSNONPILOT/Tender/SplashBidNoticeAbstractUI.aspx?menuIndex=3&amp;refID=7022727&amp;Result=3","7022727")</f>
        <v>0</v>
      </c>
      <c r="B11882" t="s">
        <v>2902</v>
      </c>
      <c r="C11882" t="s">
        <v>14543</v>
      </c>
      <c r="D11882" t="s">
        <v>18050</v>
      </c>
      <c r="E11882" t="s">
        <v>28395</v>
      </c>
      <c r="F11882" t="s">
        <v>31579</v>
      </c>
      <c r="G11882" t="s">
        <v>31582</v>
      </c>
      <c r="H11882" t="s">
        <v>31590</v>
      </c>
      <c r="I11882" t="s">
        <v>4046</v>
      </c>
      <c r="J11882" t="s">
        <v>39089</v>
      </c>
      <c r="K11882" t="s">
        <v>41196</v>
      </c>
      <c r="M11882" t="s">
        <v>44696</v>
      </c>
      <c r="N11882" t="s">
        <v>45095</v>
      </c>
      <c r="O11882" t="s">
        <v>45096</v>
      </c>
      <c r="P11882">
        <v>0</v>
      </c>
      <c r="Q11882">
        <v>1</v>
      </c>
      <c r="R11882" t="s">
        <v>45110</v>
      </c>
      <c r="S11882" t="s">
        <v>45605</v>
      </c>
      <c r="T11882" t="s">
        <v>46973</v>
      </c>
      <c r="U11882" t="s">
        <v>57191</v>
      </c>
      <c r="W11882" t="s">
        <v>44696</v>
      </c>
      <c r="X11882" t="s">
        <v>45111</v>
      </c>
    </row>
    <row r="11883" spans="1:24">
      <c r="A11883">
        <f>HYPERLINK("https://www.philgeps.gov.ph/GEPSNONPILOT/Tender/SplashBidNoticeAbstractUI.aspx?menuIndex=3&amp;refID=7022766&amp;Result=3","7022766")</f>
        <v>0</v>
      </c>
      <c r="B11883" t="s">
        <v>1746</v>
      </c>
      <c r="C11883" t="s">
        <v>14544</v>
      </c>
      <c r="E11883" t="s">
        <v>28396</v>
      </c>
      <c r="F11883" t="s">
        <v>31574</v>
      </c>
      <c r="G11883" t="s">
        <v>31582</v>
      </c>
      <c r="H11883" t="s">
        <v>31590</v>
      </c>
      <c r="I11883" t="s">
        <v>14544</v>
      </c>
      <c r="J11883" t="s">
        <v>39090</v>
      </c>
      <c r="K11883" t="s">
        <v>41184</v>
      </c>
      <c r="M11883" t="s">
        <v>43369</v>
      </c>
      <c r="N11883" t="s">
        <v>45095</v>
      </c>
      <c r="O11883" t="s">
        <v>45096</v>
      </c>
      <c r="P11883">
        <v>0</v>
      </c>
      <c r="Q11883">
        <v>0</v>
      </c>
      <c r="R11883" t="s">
        <v>45110</v>
      </c>
      <c r="S11883" t="s">
        <v>45605</v>
      </c>
      <c r="T11883" t="s">
        <v>47212</v>
      </c>
      <c r="U11883" t="s">
        <v>57192</v>
      </c>
      <c r="W11883" t="s">
        <v>43369</v>
      </c>
      <c r="X11883" t="s">
        <v>45111</v>
      </c>
    </row>
    <row r="11884" spans="1:24">
      <c r="A11884">
        <f>HYPERLINK("https://www.philgeps.gov.ph/GEPSNONPILOT/Tender/SplashBidNoticeAbstractUI.aspx?menuIndex=3&amp;refID=7022792&amp;Result=3","7022792")</f>
        <v>0</v>
      </c>
      <c r="B11884" t="s">
        <v>668</v>
      </c>
      <c r="C11884" t="s">
        <v>14545</v>
      </c>
      <c r="D11884" t="s">
        <v>18086</v>
      </c>
      <c r="E11884" t="s">
        <v>28397</v>
      </c>
      <c r="F11884" t="s">
        <v>31574</v>
      </c>
      <c r="G11884" t="s">
        <v>31582</v>
      </c>
      <c r="H11884" t="s">
        <v>31590</v>
      </c>
      <c r="I11884" t="s">
        <v>3539</v>
      </c>
      <c r="J11884" t="s">
        <v>32019</v>
      </c>
      <c r="K11884" t="s">
        <v>41190</v>
      </c>
      <c r="M11884" t="s">
        <v>42173</v>
      </c>
      <c r="N11884" t="s">
        <v>45095</v>
      </c>
      <c r="O11884" t="s">
        <v>45096</v>
      </c>
      <c r="P11884">
        <v>0</v>
      </c>
      <c r="Q11884">
        <v>0</v>
      </c>
      <c r="R11884" t="s">
        <v>45110</v>
      </c>
      <c r="S11884" t="s">
        <v>45605</v>
      </c>
      <c r="T11884" t="s">
        <v>46932</v>
      </c>
      <c r="U11884" t="s">
        <v>57193</v>
      </c>
      <c r="W11884" t="s">
        <v>42173</v>
      </c>
      <c r="X11884" t="s">
        <v>45111</v>
      </c>
    </row>
    <row r="11885" spans="1:24">
      <c r="A11885">
        <f>HYPERLINK("https://www.philgeps.gov.ph/GEPSNONPILOT/Tender/SplashBidNoticeAbstractUI.aspx?menuIndex=3&amp;refID=7022751&amp;Result=3","7022751")</f>
        <v>0</v>
      </c>
      <c r="B11885" t="s">
        <v>2901</v>
      </c>
      <c r="C11885" t="s">
        <v>14546</v>
      </c>
      <c r="D11885" t="s">
        <v>18071</v>
      </c>
      <c r="E11885" t="s">
        <v>28398</v>
      </c>
      <c r="F11885" t="s">
        <v>31574</v>
      </c>
      <c r="G11885" t="s">
        <v>31582</v>
      </c>
      <c r="H11885" t="s">
        <v>31591</v>
      </c>
      <c r="I11885" t="s">
        <v>8822</v>
      </c>
      <c r="J11885" t="s">
        <v>38352</v>
      </c>
      <c r="K11885" t="s">
        <v>41192</v>
      </c>
      <c r="L11885" t="s">
        <v>2901</v>
      </c>
      <c r="M11885" t="s">
        <v>44695</v>
      </c>
      <c r="N11885" t="s">
        <v>45095</v>
      </c>
      <c r="O11885" t="s">
        <v>45096</v>
      </c>
      <c r="P11885">
        <v>0</v>
      </c>
      <c r="Q11885">
        <v>0</v>
      </c>
      <c r="R11885" t="s">
        <v>45110</v>
      </c>
      <c r="S11885" t="s">
        <v>45605</v>
      </c>
      <c r="T11885" t="s">
        <v>46926</v>
      </c>
      <c r="U11885" t="s">
        <v>57194</v>
      </c>
      <c r="W11885" t="s">
        <v>44695</v>
      </c>
      <c r="X11885" t="s">
        <v>45111</v>
      </c>
    </row>
    <row r="11886" spans="1:24">
      <c r="A11886">
        <f>HYPERLINK("https://www.philgeps.gov.ph/GEPSNONPILOT/Tender/SplashBidNoticeAbstractUI.aspx?menuIndex=3&amp;refID=7022662&amp;Result=3","7022662")</f>
        <v>0</v>
      </c>
      <c r="B11886" t="s">
        <v>1931</v>
      </c>
      <c r="C11886" t="s">
        <v>14547</v>
      </c>
      <c r="D11886" t="s">
        <v>18029</v>
      </c>
      <c r="E11886" t="s">
        <v>26065</v>
      </c>
      <c r="F11886" t="s">
        <v>31574</v>
      </c>
      <c r="G11886" t="s">
        <v>31581</v>
      </c>
      <c r="H11886" t="s">
        <v>31590</v>
      </c>
      <c r="I11886" t="s">
        <v>31629</v>
      </c>
      <c r="J11886" t="s">
        <v>39091</v>
      </c>
      <c r="K11886" t="s">
        <v>41196</v>
      </c>
      <c r="M11886" t="s">
        <v>43585</v>
      </c>
      <c r="N11886" t="s">
        <v>45095</v>
      </c>
      <c r="O11886" t="s">
        <v>45096</v>
      </c>
      <c r="P11886">
        <v>0</v>
      </c>
      <c r="Q11886">
        <v>0</v>
      </c>
      <c r="R11886" t="s">
        <v>45110</v>
      </c>
      <c r="S11886" t="s">
        <v>45605</v>
      </c>
      <c r="T11886" t="s">
        <v>46985</v>
      </c>
      <c r="U11886" t="s">
        <v>57195</v>
      </c>
      <c r="W11886" t="s">
        <v>43585</v>
      </c>
      <c r="X11886" t="s">
        <v>45111</v>
      </c>
    </row>
    <row r="11887" spans="1:24">
      <c r="A11887">
        <f>HYPERLINK("https://www.philgeps.gov.ph/GEPSNONPILOT/Tender/SplashBidNoticeAbstractUI.aspx?menuIndex=3&amp;refID=7022783&amp;Result=3","7022783")</f>
        <v>0</v>
      </c>
      <c r="B11887" t="s">
        <v>468</v>
      </c>
      <c r="C11887" t="s">
        <v>14548</v>
      </c>
      <c r="D11887" t="s">
        <v>18083</v>
      </c>
      <c r="E11887" t="s">
        <v>28399</v>
      </c>
      <c r="F11887" t="s">
        <v>31574</v>
      </c>
      <c r="G11887" t="s">
        <v>31582</v>
      </c>
      <c r="H11887" t="s">
        <v>31591</v>
      </c>
      <c r="I11887" t="s">
        <v>8822</v>
      </c>
      <c r="J11887" t="s">
        <v>31771</v>
      </c>
      <c r="K11887" t="s">
        <v>41189</v>
      </c>
      <c r="M11887" t="s">
        <v>41962</v>
      </c>
      <c r="N11887" t="s">
        <v>45095</v>
      </c>
      <c r="O11887" t="s">
        <v>45096</v>
      </c>
      <c r="P11887">
        <v>0</v>
      </c>
      <c r="Q11887">
        <v>0</v>
      </c>
      <c r="R11887" t="s">
        <v>45110</v>
      </c>
      <c r="S11887" t="s">
        <v>45605</v>
      </c>
      <c r="T11887" t="s">
        <v>46932</v>
      </c>
      <c r="U11887" t="s">
        <v>57196</v>
      </c>
      <c r="W11887" t="s">
        <v>41962</v>
      </c>
      <c r="X11887" t="s">
        <v>45111</v>
      </c>
    </row>
    <row r="11888" spans="1:24">
      <c r="A11888">
        <f>HYPERLINK("https://www.philgeps.gov.ph/GEPSNONPILOT/Tender/SplashBidNoticeAbstractUI.aspx?menuIndex=3&amp;refID=7022764&amp;Result=3","7022764")</f>
        <v>0</v>
      </c>
      <c r="B11888" t="s">
        <v>468</v>
      </c>
      <c r="C11888" t="s">
        <v>14549</v>
      </c>
      <c r="D11888" t="s">
        <v>18083</v>
      </c>
      <c r="E11888" t="s">
        <v>28400</v>
      </c>
      <c r="F11888" t="s">
        <v>31574</v>
      </c>
      <c r="G11888" t="s">
        <v>31582</v>
      </c>
      <c r="H11888" t="s">
        <v>31591</v>
      </c>
      <c r="I11888" t="s">
        <v>8822</v>
      </c>
      <c r="J11888" t="s">
        <v>31935</v>
      </c>
      <c r="K11888" t="s">
        <v>41208</v>
      </c>
      <c r="M11888" t="s">
        <v>41962</v>
      </c>
      <c r="N11888" t="s">
        <v>45095</v>
      </c>
      <c r="O11888" t="s">
        <v>45096</v>
      </c>
      <c r="P11888">
        <v>0</v>
      </c>
      <c r="Q11888">
        <v>0</v>
      </c>
      <c r="R11888" t="s">
        <v>45110</v>
      </c>
      <c r="S11888" t="s">
        <v>45605</v>
      </c>
      <c r="T11888" t="s">
        <v>46932</v>
      </c>
      <c r="U11888" t="s">
        <v>57197</v>
      </c>
      <c r="W11888" t="s">
        <v>41962</v>
      </c>
      <c r="X11888" t="s">
        <v>45111</v>
      </c>
    </row>
    <row r="11889" spans="1:24">
      <c r="A11889">
        <f>HYPERLINK("https://www.philgeps.gov.ph/GEPSNONPILOT/Tender/SplashBidNoticeAbstractUI.aspx?menuIndex=3&amp;refID=7022747&amp;Result=3","7022747")</f>
        <v>0</v>
      </c>
      <c r="B11889" t="s">
        <v>2809</v>
      </c>
      <c r="C11889" t="s">
        <v>14550</v>
      </c>
      <c r="D11889" t="s">
        <v>18041</v>
      </c>
      <c r="E11889" t="s">
        <v>28401</v>
      </c>
      <c r="F11889" t="s">
        <v>31574</v>
      </c>
      <c r="G11889" t="s">
        <v>31582</v>
      </c>
      <c r="H11889" t="s">
        <v>31590</v>
      </c>
      <c r="I11889" t="s">
        <v>14034</v>
      </c>
      <c r="J11889" t="s">
        <v>31884</v>
      </c>
      <c r="K11889" t="s">
        <v>41197</v>
      </c>
      <c r="M11889" t="s">
        <v>44584</v>
      </c>
      <c r="N11889" t="s">
        <v>45095</v>
      </c>
      <c r="O11889" t="s">
        <v>45096</v>
      </c>
      <c r="P11889">
        <v>0</v>
      </c>
      <c r="Q11889">
        <v>0</v>
      </c>
      <c r="R11889" t="s">
        <v>45110</v>
      </c>
      <c r="S11889" t="s">
        <v>45605</v>
      </c>
      <c r="T11889" t="s">
        <v>47179</v>
      </c>
      <c r="U11889" t="s">
        <v>57198</v>
      </c>
      <c r="W11889" t="s">
        <v>44584</v>
      </c>
      <c r="X11889" t="s">
        <v>45111</v>
      </c>
    </row>
    <row r="11890" spans="1:24">
      <c r="A11890">
        <f>HYPERLINK("https://www.philgeps.gov.ph/GEPSNONPILOT/Tender/SplashBidNoticeAbstractUI.aspx?menuIndex=3&amp;refID=7022718&amp;Result=3","7022718")</f>
        <v>0</v>
      </c>
      <c r="B11890" t="s">
        <v>2153</v>
      </c>
      <c r="C11890" t="s">
        <v>14551</v>
      </c>
      <c r="D11890" t="s">
        <v>18039</v>
      </c>
      <c r="E11890" t="s">
        <v>24216</v>
      </c>
      <c r="F11890" t="s">
        <v>31574</v>
      </c>
      <c r="G11890" t="s">
        <v>31582</v>
      </c>
      <c r="H11890" t="s">
        <v>31590</v>
      </c>
      <c r="I11890" t="s">
        <v>4327</v>
      </c>
      <c r="J11890" t="s">
        <v>39092</v>
      </c>
      <c r="K11890" t="s">
        <v>41196</v>
      </c>
      <c r="M11890" t="s">
        <v>44697</v>
      </c>
      <c r="N11890" t="s">
        <v>45095</v>
      </c>
      <c r="O11890" t="s">
        <v>45096</v>
      </c>
      <c r="P11890">
        <v>0</v>
      </c>
      <c r="Q11890">
        <v>1</v>
      </c>
      <c r="R11890" t="s">
        <v>45110</v>
      </c>
      <c r="S11890" t="s">
        <v>45605</v>
      </c>
      <c r="T11890" t="s">
        <v>47067</v>
      </c>
      <c r="U11890" t="s">
        <v>57199</v>
      </c>
      <c r="W11890" t="s">
        <v>44697</v>
      </c>
      <c r="X11890" t="s">
        <v>45111</v>
      </c>
    </row>
    <row r="11891" spans="1:24">
      <c r="A11891">
        <f>HYPERLINK("https://www.philgeps.gov.ph/GEPSNONPILOT/Tender/SplashBidNoticeAbstractUI.aspx?menuIndex=3&amp;refID=7022750&amp;Result=3","7022750")</f>
        <v>0</v>
      </c>
      <c r="B11891" t="s">
        <v>2261</v>
      </c>
      <c r="C11891" t="s">
        <v>14552</v>
      </c>
      <c r="D11891" t="s">
        <v>18079</v>
      </c>
      <c r="E11891" t="s">
        <v>28402</v>
      </c>
      <c r="F11891" t="s">
        <v>31574</v>
      </c>
      <c r="G11891" t="s">
        <v>31582</v>
      </c>
      <c r="H11891" t="s">
        <v>31590</v>
      </c>
      <c r="I11891" t="s">
        <v>14544</v>
      </c>
      <c r="J11891" t="s">
        <v>33972</v>
      </c>
      <c r="K11891" t="s">
        <v>41196</v>
      </c>
      <c r="M11891" t="s">
        <v>43961</v>
      </c>
      <c r="N11891" t="s">
        <v>45095</v>
      </c>
      <c r="O11891" t="s">
        <v>45096</v>
      </c>
      <c r="P11891">
        <v>0</v>
      </c>
      <c r="Q11891">
        <v>2</v>
      </c>
      <c r="R11891" t="s">
        <v>45110</v>
      </c>
      <c r="S11891" t="s">
        <v>45605</v>
      </c>
      <c r="T11891" t="s">
        <v>46932</v>
      </c>
      <c r="U11891" t="s">
        <v>57200</v>
      </c>
      <c r="W11891" t="s">
        <v>43961</v>
      </c>
      <c r="X11891" t="s">
        <v>45111</v>
      </c>
    </row>
    <row r="11892" spans="1:24">
      <c r="A11892">
        <f>HYPERLINK("https://www.philgeps.gov.ph/GEPSNONPILOT/Tender/SplashBidNoticeAbstractUI.aspx?menuIndex=3&amp;refID=7022773&amp;Result=3","7022773")</f>
        <v>0</v>
      </c>
      <c r="B11892" t="s">
        <v>1390</v>
      </c>
      <c r="C11892" t="s">
        <v>14553</v>
      </c>
      <c r="D11892" t="s">
        <v>18070</v>
      </c>
      <c r="E11892" t="s">
        <v>18975</v>
      </c>
      <c r="F11892" t="s">
        <v>31574</v>
      </c>
      <c r="G11892" t="s">
        <v>31582</v>
      </c>
      <c r="H11892" t="s">
        <v>31591</v>
      </c>
      <c r="I11892" t="s">
        <v>8822</v>
      </c>
      <c r="J11892" t="s">
        <v>31730</v>
      </c>
      <c r="K11892" t="s">
        <v>41189</v>
      </c>
      <c r="M11892" t="s">
        <v>42965</v>
      </c>
      <c r="N11892" t="s">
        <v>45095</v>
      </c>
      <c r="O11892" t="s">
        <v>45096</v>
      </c>
      <c r="P11892">
        <v>0</v>
      </c>
      <c r="Q11892">
        <v>0</v>
      </c>
      <c r="R11892" t="s">
        <v>45110</v>
      </c>
      <c r="S11892" t="s">
        <v>45605</v>
      </c>
      <c r="T11892" t="s">
        <v>46910</v>
      </c>
      <c r="U11892" t="s">
        <v>57201</v>
      </c>
      <c r="V11892" t="s">
        <v>61157</v>
      </c>
      <c r="W11892" t="s">
        <v>42965</v>
      </c>
      <c r="X11892" t="s">
        <v>45111</v>
      </c>
    </row>
    <row r="11893" spans="1:24">
      <c r="A11893">
        <f>HYPERLINK("https://www.philgeps.gov.ph/GEPSNONPILOT/Tender/SplashBidNoticeAbstractUI.aspx?menuIndex=3&amp;refID=7022782&amp;Result=3","7022782")</f>
        <v>0</v>
      </c>
      <c r="B11893" t="s">
        <v>1746</v>
      </c>
      <c r="C11893" t="s">
        <v>3730</v>
      </c>
      <c r="E11893" t="s">
        <v>28403</v>
      </c>
      <c r="F11893" t="s">
        <v>31574</v>
      </c>
      <c r="G11893" t="s">
        <v>31582</v>
      </c>
      <c r="H11893" t="s">
        <v>31590</v>
      </c>
      <c r="I11893" t="s">
        <v>4046</v>
      </c>
      <c r="J11893" t="s">
        <v>39093</v>
      </c>
      <c r="K11893" t="s">
        <v>41184</v>
      </c>
      <c r="M11893" t="s">
        <v>43369</v>
      </c>
      <c r="N11893" t="s">
        <v>45095</v>
      </c>
      <c r="O11893" t="s">
        <v>45096</v>
      </c>
      <c r="P11893">
        <v>0</v>
      </c>
      <c r="Q11893">
        <v>0</v>
      </c>
      <c r="R11893" t="s">
        <v>45110</v>
      </c>
      <c r="S11893" t="s">
        <v>45605</v>
      </c>
      <c r="T11893" t="s">
        <v>47212</v>
      </c>
      <c r="U11893" t="s">
        <v>57202</v>
      </c>
      <c r="W11893" t="s">
        <v>43369</v>
      </c>
      <c r="X11893" t="s">
        <v>45111</v>
      </c>
    </row>
    <row r="11894" spans="1:24">
      <c r="A11894">
        <f>HYPERLINK("https://www.philgeps.gov.ph/GEPSNONPILOT/Tender/SplashBidNoticeAbstractUI.aspx?menuIndex=3&amp;refID=7022836&amp;Result=3","7022836")</f>
        <v>0</v>
      </c>
      <c r="B11894" t="s">
        <v>2446</v>
      </c>
      <c r="C11894" t="s">
        <v>14554</v>
      </c>
      <c r="D11894" t="s">
        <v>18101</v>
      </c>
      <c r="E11894" t="s">
        <v>28404</v>
      </c>
      <c r="F11894" t="s">
        <v>31574</v>
      </c>
      <c r="G11894" t="s">
        <v>31582</v>
      </c>
      <c r="H11894" t="s">
        <v>31591</v>
      </c>
      <c r="I11894" t="s">
        <v>8822</v>
      </c>
      <c r="J11894" t="s">
        <v>32101</v>
      </c>
      <c r="K11894" t="s">
        <v>41310</v>
      </c>
      <c r="M11894" t="s">
        <v>44174</v>
      </c>
      <c r="N11894" t="s">
        <v>45095</v>
      </c>
      <c r="O11894" t="s">
        <v>45096</v>
      </c>
      <c r="P11894">
        <v>0</v>
      </c>
      <c r="Q11894">
        <v>0</v>
      </c>
      <c r="R11894" t="s">
        <v>45110</v>
      </c>
      <c r="S11894" t="s">
        <v>45605</v>
      </c>
      <c r="T11894" t="s">
        <v>46980</v>
      </c>
      <c r="U11894" t="s">
        <v>57203</v>
      </c>
      <c r="W11894" t="s">
        <v>44174</v>
      </c>
      <c r="X11894" t="s">
        <v>45111</v>
      </c>
    </row>
    <row r="11895" spans="1:24">
      <c r="A11895">
        <f>HYPERLINK("https://www.philgeps.gov.ph/GEPSNONPILOT/Tender/SplashBidNoticeAbstractUI.aspx?menuIndex=3&amp;refID=7022744&amp;Result=3","7022744")</f>
        <v>0</v>
      </c>
      <c r="B11895" t="s">
        <v>1036</v>
      </c>
      <c r="C11895" t="s">
        <v>14555</v>
      </c>
      <c r="D11895" t="s">
        <v>18072</v>
      </c>
      <c r="E11895" t="s">
        <v>18787</v>
      </c>
      <c r="F11895" t="s">
        <v>31574</v>
      </c>
      <c r="G11895" t="s">
        <v>31582</v>
      </c>
      <c r="H11895" t="s">
        <v>31590</v>
      </c>
      <c r="I11895" t="s">
        <v>31699</v>
      </c>
      <c r="J11895" t="s">
        <v>39094</v>
      </c>
      <c r="K11895" t="s">
        <v>41192</v>
      </c>
      <c r="M11895" t="s">
        <v>42579</v>
      </c>
      <c r="N11895" t="s">
        <v>45095</v>
      </c>
      <c r="O11895" t="s">
        <v>45096</v>
      </c>
      <c r="P11895">
        <v>0</v>
      </c>
      <c r="Q11895">
        <v>1</v>
      </c>
      <c r="R11895" t="s">
        <v>45110</v>
      </c>
      <c r="S11895" t="s">
        <v>45605</v>
      </c>
      <c r="T11895" t="s">
        <v>46991</v>
      </c>
      <c r="U11895" t="s">
        <v>57204</v>
      </c>
      <c r="W11895" t="s">
        <v>42579</v>
      </c>
      <c r="X11895" t="s">
        <v>45111</v>
      </c>
    </row>
    <row r="11896" spans="1:24">
      <c r="A11896">
        <f>HYPERLINK("https://www.philgeps.gov.ph/GEPSNONPILOT/Tender/SplashBidNoticeAbstractUI.aspx?menuIndex=3&amp;refID=7022835&amp;Result=3","7022835")</f>
        <v>0</v>
      </c>
      <c r="B11896" t="s">
        <v>2903</v>
      </c>
      <c r="C11896" t="s">
        <v>14556</v>
      </c>
      <c r="D11896" t="s">
        <v>18033</v>
      </c>
      <c r="E11896" t="s">
        <v>19701</v>
      </c>
      <c r="F11896" t="s">
        <v>31574</v>
      </c>
      <c r="G11896" t="s">
        <v>31582</v>
      </c>
      <c r="H11896" t="s">
        <v>31591</v>
      </c>
      <c r="I11896" t="s">
        <v>8822</v>
      </c>
      <c r="J11896" t="s">
        <v>39095</v>
      </c>
      <c r="K11896" t="s">
        <v>41192</v>
      </c>
      <c r="M11896" t="s">
        <v>44698</v>
      </c>
      <c r="N11896" t="s">
        <v>45095</v>
      </c>
      <c r="O11896" t="s">
        <v>45096</v>
      </c>
      <c r="P11896">
        <v>0</v>
      </c>
      <c r="Q11896">
        <v>0</v>
      </c>
      <c r="R11896" t="s">
        <v>45110</v>
      </c>
      <c r="S11896" t="s">
        <v>45605</v>
      </c>
      <c r="T11896" t="s">
        <v>46905</v>
      </c>
      <c r="U11896" t="s">
        <v>57205</v>
      </c>
      <c r="W11896" t="s">
        <v>44698</v>
      </c>
      <c r="X11896" t="s">
        <v>45111</v>
      </c>
    </row>
    <row r="11897" spans="1:24">
      <c r="A11897">
        <f>HYPERLINK("https://www.philgeps.gov.ph/GEPSNONPILOT/Tender/SplashBidNoticeAbstractUI.aspx?menuIndex=3&amp;refID=7022812&amp;Result=3","7022812")</f>
        <v>0</v>
      </c>
      <c r="B11897" t="s">
        <v>1887</v>
      </c>
      <c r="C11897" t="s">
        <v>14557</v>
      </c>
      <c r="D11897" t="s">
        <v>18022</v>
      </c>
      <c r="E11897" t="s">
        <v>28405</v>
      </c>
      <c r="F11897" t="s">
        <v>31574</v>
      </c>
      <c r="G11897" t="s">
        <v>31584</v>
      </c>
      <c r="H11897" t="s">
        <v>31590</v>
      </c>
      <c r="I11897" t="s">
        <v>31600</v>
      </c>
      <c r="J11897" t="s">
        <v>39096</v>
      </c>
      <c r="K11897" t="s">
        <v>41196</v>
      </c>
      <c r="M11897" t="s">
        <v>43855</v>
      </c>
      <c r="N11897" t="s">
        <v>45095</v>
      </c>
      <c r="O11897" t="s">
        <v>45096</v>
      </c>
      <c r="Q11897">
        <v>5</v>
      </c>
      <c r="R11897" t="s">
        <v>45110</v>
      </c>
      <c r="S11897" t="s">
        <v>45256</v>
      </c>
      <c r="T11897" t="s">
        <v>47125</v>
      </c>
      <c r="U11897" t="s">
        <v>57206</v>
      </c>
      <c r="W11897" t="s">
        <v>43855</v>
      </c>
      <c r="X11897" t="s">
        <v>45111</v>
      </c>
    </row>
    <row r="11898" spans="1:24">
      <c r="A11898">
        <f>HYPERLINK("https://www.philgeps.gov.ph/GEPSNONPILOT/Tender/SplashBidNoticeAbstractUI.aspx?menuIndex=3&amp;refID=7022794&amp;Result=3","7022794")</f>
        <v>0</v>
      </c>
      <c r="B11898" t="s">
        <v>1931</v>
      </c>
      <c r="C11898" t="s">
        <v>14558</v>
      </c>
      <c r="D11898" t="s">
        <v>18029</v>
      </c>
      <c r="E11898" t="s">
        <v>26077</v>
      </c>
      <c r="F11898" t="s">
        <v>31574</v>
      </c>
      <c r="G11898" t="s">
        <v>31581</v>
      </c>
      <c r="H11898" t="s">
        <v>31590</v>
      </c>
      <c r="I11898" t="s">
        <v>31629</v>
      </c>
      <c r="J11898" t="s">
        <v>34033</v>
      </c>
      <c r="K11898" t="s">
        <v>41213</v>
      </c>
      <c r="M11898" t="s">
        <v>43585</v>
      </c>
      <c r="N11898" t="s">
        <v>45095</v>
      </c>
      <c r="O11898" t="s">
        <v>45096</v>
      </c>
      <c r="P11898">
        <v>0</v>
      </c>
      <c r="Q11898">
        <v>0</v>
      </c>
      <c r="R11898" t="s">
        <v>45110</v>
      </c>
      <c r="S11898" t="s">
        <v>45605</v>
      </c>
      <c r="T11898" t="s">
        <v>47124</v>
      </c>
      <c r="U11898" t="s">
        <v>57207</v>
      </c>
      <c r="W11898" t="s">
        <v>43585</v>
      </c>
      <c r="X11898" t="s">
        <v>45111</v>
      </c>
    </row>
    <row r="11899" spans="1:24">
      <c r="A11899">
        <f>HYPERLINK("https://www.philgeps.gov.ph/GEPSNONPILOT/Tender/SplashBidNoticeAbstractUI.aspx?menuIndex=3&amp;refID=7022866&amp;Result=3","7022866")</f>
        <v>0</v>
      </c>
      <c r="B11899" t="s">
        <v>290</v>
      </c>
      <c r="C11899" t="s">
        <v>14559</v>
      </c>
      <c r="D11899" t="s">
        <v>18043</v>
      </c>
      <c r="E11899" t="s">
        <v>28406</v>
      </c>
      <c r="F11899" t="s">
        <v>31574</v>
      </c>
      <c r="G11899" t="s">
        <v>31582</v>
      </c>
      <c r="H11899" t="s">
        <v>31590</v>
      </c>
      <c r="I11899" t="s">
        <v>31612</v>
      </c>
      <c r="J11899" t="s">
        <v>39097</v>
      </c>
      <c r="K11899" t="s">
        <v>41192</v>
      </c>
      <c r="M11899" t="s">
        <v>42052</v>
      </c>
      <c r="N11899" t="s">
        <v>45095</v>
      </c>
      <c r="O11899" t="s">
        <v>45096</v>
      </c>
      <c r="Q11899">
        <v>5</v>
      </c>
      <c r="R11899" t="s">
        <v>45110</v>
      </c>
      <c r="S11899" t="s">
        <v>45638</v>
      </c>
      <c r="T11899" t="s">
        <v>46926</v>
      </c>
      <c r="U11899" t="s">
        <v>48590</v>
      </c>
      <c r="W11899" t="s">
        <v>42052</v>
      </c>
      <c r="X11899" t="s">
        <v>45111</v>
      </c>
    </row>
    <row r="11900" spans="1:24">
      <c r="A11900">
        <f>HYPERLINK("https://www.philgeps.gov.ph/GEPSNONPILOT/Tender/SplashBidNoticeAbstractUI.aspx?menuIndex=3&amp;refID=7022818&amp;Result=3","7022818")</f>
        <v>0</v>
      </c>
      <c r="B11900" t="s">
        <v>2446</v>
      </c>
      <c r="C11900" t="s">
        <v>14560</v>
      </c>
      <c r="D11900" t="s">
        <v>18101</v>
      </c>
      <c r="E11900" t="s">
        <v>28407</v>
      </c>
      <c r="F11900" t="s">
        <v>31574</v>
      </c>
      <c r="G11900" t="s">
        <v>31582</v>
      </c>
      <c r="H11900" t="s">
        <v>31591</v>
      </c>
      <c r="I11900" t="s">
        <v>8822</v>
      </c>
      <c r="J11900" t="s">
        <v>31819</v>
      </c>
      <c r="K11900" t="s">
        <v>41243</v>
      </c>
      <c r="M11900" t="s">
        <v>44174</v>
      </c>
      <c r="N11900" t="s">
        <v>45095</v>
      </c>
      <c r="O11900" t="s">
        <v>45096</v>
      </c>
      <c r="P11900">
        <v>0</v>
      </c>
      <c r="Q11900">
        <v>0</v>
      </c>
      <c r="R11900" t="s">
        <v>45110</v>
      </c>
      <c r="S11900" t="s">
        <v>45605</v>
      </c>
      <c r="T11900" t="s">
        <v>46980</v>
      </c>
      <c r="U11900" t="s">
        <v>57208</v>
      </c>
      <c r="W11900" t="s">
        <v>44174</v>
      </c>
      <c r="X11900" t="s">
        <v>45111</v>
      </c>
    </row>
    <row r="11901" spans="1:24">
      <c r="A11901">
        <f>HYPERLINK("https://www.philgeps.gov.ph/GEPSNONPILOT/Tender/SplashBidNoticeAbstractUI.aspx?menuIndex=3&amp;refID=7022890&amp;Result=3","7022890")</f>
        <v>0</v>
      </c>
      <c r="B11901" t="s">
        <v>2334</v>
      </c>
      <c r="C11901" t="s">
        <v>14561</v>
      </c>
      <c r="D11901" t="s">
        <v>18026</v>
      </c>
      <c r="E11901" t="s">
        <v>28408</v>
      </c>
      <c r="F11901" t="s">
        <v>31574</v>
      </c>
      <c r="G11901" t="s">
        <v>31583</v>
      </c>
      <c r="H11901" t="s">
        <v>31590</v>
      </c>
      <c r="I11901" t="s">
        <v>31600</v>
      </c>
      <c r="J11901" t="s">
        <v>39098</v>
      </c>
      <c r="K11901" t="s">
        <v>41186</v>
      </c>
      <c r="M11901" t="s">
        <v>44044</v>
      </c>
      <c r="N11901" t="s">
        <v>45095</v>
      </c>
      <c r="O11901" t="s">
        <v>45096</v>
      </c>
      <c r="P11901">
        <v>0</v>
      </c>
      <c r="Q11901">
        <v>1</v>
      </c>
      <c r="R11901" t="s">
        <v>45110</v>
      </c>
      <c r="S11901" t="s">
        <v>45605</v>
      </c>
      <c r="T11901" t="s">
        <v>47158</v>
      </c>
      <c r="U11901" t="s">
        <v>57209</v>
      </c>
      <c r="W11901" t="s">
        <v>44044</v>
      </c>
      <c r="X11901" t="s">
        <v>45111</v>
      </c>
    </row>
    <row r="11902" spans="1:24">
      <c r="A11902">
        <f>HYPERLINK("https://www.philgeps.gov.ph/GEPSNONPILOT/Tender/SplashBidNoticeAbstractUI.aspx?menuIndex=3&amp;refID=7022802&amp;Result=3","7022802")</f>
        <v>0</v>
      </c>
      <c r="B11902" t="s">
        <v>706</v>
      </c>
      <c r="C11902" t="s">
        <v>14562</v>
      </c>
      <c r="D11902" t="s">
        <v>18022</v>
      </c>
      <c r="E11902" t="s">
        <v>28409</v>
      </c>
      <c r="F11902" t="s">
        <v>31574</v>
      </c>
      <c r="G11902" t="s">
        <v>31581</v>
      </c>
      <c r="H11902" t="s">
        <v>31590</v>
      </c>
      <c r="I11902" t="s">
        <v>31608</v>
      </c>
      <c r="J11902" t="s">
        <v>32945</v>
      </c>
      <c r="K11902" t="s">
        <v>41186</v>
      </c>
      <c r="M11902" t="s">
        <v>42215</v>
      </c>
      <c r="N11902" t="s">
        <v>45095</v>
      </c>
      <c r="O11902" t="s">
        <v>45096</v>
      </c>
      <c r="Q11902">
        <v>38</v>
      </c>
      <c r="R11902" t="s">
        <v>45110</v>
      </c>
      <c r="S11902" t="s">
        <v>45639</v>
      </c>
      <c r="T11902" t="s">
        <v>46973</v>
      </c>
      <c r="U11902" t="s">
        <v>57210</v>
      </c>
      <c r="V11902" t="s">
        <v>61158</v>
      </c>
      <c r="W11902" t="s">
        <v>42215</v>
      </c>
      <c r="X11902" t="s">
        <v>45111</v>
      </c>
    </row>
    <row r="11903" spans="1:24">
      <c r="A11903">
        <f>HYPERLINK("https://www.philgeps.gov.ph/GEPSNONPILOT/Tender/SplashBidNoticeAbstractUI.aspx?menuIndex=3&amp;refID=7022960&amp;Result=3","7022960")</f>
        <v>0</v>
      </c>
      <c r="B11903" t="s">
        <v>1488</v>
      </c>
      <c r="C11903" t="s">
        <v>14563</v>
      </c>
      <c r="D11903" t="s">
        <v>18088</v>
      </c>
      <c r="E11903" t="s">
        <v>21914</v>
      </c>
      <c r="F11903" t="s">
        <v>31574</v>
      </c>
      <c r="G11903" t="s">
        <v>31582</v>
      </c>
      <c r="H11903" t="s">
        <v>31591</v>
      </c>
      <c r="I11903" t="s">
        <v>8822</v>
      </c>
      <c r="J11903" t="s">
        <v>32497</v>
      </c>
      <c r="K11903" t="s">
        <v>41184</v>
      </c>
      <c r="M11903" t="s">
        <v>43073</v>
      </c>
      <c r="N11903" t="s">
        <v>45095</v>
      </c>
      <c r="O11903" t="s">
        <v>45096</v>
      </c>
      <c r="P11903">
        <v>0</v>
      </c>
      <c r="Q11903">
        <v>0</v>
      </c>
      <c r="R11903" t="s">
        <v>45110</v>
      </c>
      <c r="S11903" t="s">
        <v>45605</v>
      </c>
      <c r="T11903" t="s">
        <v>46926</v>
      </c>
      <c r="U11903" t="s">
        <v>57211</v>
      </c>
      <c r="V11903" t="s">
        <v>61159</v>
      </c>
      <c r="W11903" t="s">
        <v>43073</v>
      </c>
      <c r="X11903" t="s">
        <v>45111</v>
      </c>
    </row>
    <row r="11904" spans="1:24">
      <c r="A11904">
        <f>HYPERLINK("https://www.philgeps.gov.ph/GEPSNONPILOT/Tender/SplashBidNoticeAbstractUI.aspx?menuIndex=3&amp;refID=7022864&amp;Result=3","7022864")</f>
        <v>0</v>
      </c>
      <c r="B11904" t="s">
        <v>1586</v>
      </c>
      <c r="C11904" t="s">
        <v>14564</v>
      </c>
      <c r="E11904" t="s">
        <v>28410</v>
      </c>
      <c r="F11904" t="s">
        <v>31574</v>
      </c>
      <c r="G11904" t="s">
        <v>31582</v>
      </c>
      <c r="H11904" t="s">
        <v>31590</v>
      </c>
      <c r="I11904" t="s">
        <v>31619</v>
      </c>
      <c r="J11904" t="s">
        <v>39099</v>
      </c>
      <c r="K11904" t="s">
        <v>41184</v>
      </c>
      <c r="M11904" t="s">
        <v>43190</v>
      </c>
      <c r="N11904" t="s">
        <v>45095</v>
      </c>
      <c r="O11904" t="s">
        <v>45096</v>
      </c>
      <c r="P11904">
        <v>0</v>
      </c>
      <c r="Q11904">
        <v>13</v>
      </c>
      <c r="R11904" t="s">
        <v>45110</v>
      </c>
      <c r="S11904" t="s">
        <v>45605</v>
      </c>
      <c r="T11904" t="s">
        <v>47223</v>
      </c>
      <c r="U11904" t="s">
        <v>57212</v>
      </c>
      <c r="V11904" t="s">
        <v>61160</v>
      </c>
      <c r="W11904" t="s">
        <v>61763</v>
      </c>
      <c r="X11904" t="s">
        <v>45111</v>
      </c>
    </row>
    <row r="11905" spans="1:24">
      <c r="A11905">
        <f>HYPERLINK("https://www.philgeps.gov.ph/GEPSNONPILOT/Tender/SplashBidNoticeAbstractUI.aspx?menuIndex=3&amp;refID=7022950&amp;Result=3","7022950")</f>
        <v>0</v>
      </c>
      <c r="B11905" t="s">
        <v>1610</v>
      </c>
      <c r="C11905" t="s">
        <v>14565</v>
      </c>
      <c r="E11905" t="s">
        <v>28411</v>
      </c>
      <c r="F11905" t="s">
        <v>31574</v>
      </c>
      <c r="G11905" t="s">
        <v>31582</v>
      </c>
      <c r="H11905" t="s">
        <v>31590</v>
      </c>
      <c r="I11905" t="s">
        <v>31630</v>
      </c>
      <c r="J11905" t="s">
        <v>37161</v>
      </c>
      <c r="K11905" t="s">
        <v>41184</v>
      </c>
      <c r="M11905" t="s">
        <v>43215</v>
      </c>
      <c r="N11905" t="s">
        <v>45095</v>
      </c>
      <c r="O11905" t="s">
        <v>45096</v>
      </c>
      <c r="Q11905">
        <v>16</v>
      </c>
      <c r="R11905" t="s">
        <v>45110</v>
      </c>
      <c r="S11905" t="s">
        <v>45640</v>
      </c>
      <c r="T11905" t="s">
        <v>47156</v>
      </c>
      <c r="U11905" t="s">
        <v>49674</v>
      </c>
      <c r="W11905" t="s">
        <v>43215</v>
      </c>
      <c r="X11905" t="s">
        <v>45111</v>
      </c>
    </row>
    <row r="11906" spans="1:24">
      <c r="A11906">
        <f>HYPERLINK("https://www.philgeps.gov.ph/GEPSNONPILOT/Tender/SplashBidNoticeAbstractUI.aspx?menuIndex=3&amp;refID=7022952&amp;Result=3","7022952")</f>
        <v>0</v>
      </c>
      <c r="B11906" t="s">
        <v>290</v>
      </c>
      <c r="C11906" t="s">
        <v>14566</v>
      </c>
      <c r="D11906" t="s">
        <v>18043</v>
      </c>
      <c r="E11906" t="s">
        <v>28412</v>
      </c>
      <c r="F11906" t="s">
        <v>31574</v>
      </c>
      <c r="G11906" t="s">
        <v>31582</v>
      </c>
      <c r="H11906" t="s">
        <v>31590</v>
      </c>
      <c r="I11906" t="s">
        <v>31636</v>
      </c>
      <c r="J11906" t="s">
        <v>39100</v>
      </c>
      <c r="K11906" t="s">
        <v>41186</v>
      </c>
      <c r="M11906" t="s">
        <v>42052</v>
      </c>
      <c r="N11906" t="s">
        <v>45095</v>
      </c>
      <c r="O11906" t="s">
        <v>45096</v>
      </c>
      <c r="Q11906">
        <v>12</v>
      </c>
      <c r="R11906" t="s">
        <v>45110</v>
      </c>
      <c r="S11906" t="s">
        <v>45641</v>
      </c>
      <c r="T11906" t="s">
        <v>46926</v>
      </c>
      <c r="U11906" t="s">
        <v>48590</v>
      </c>
      <c r="W11906" t="s">
        <v>42052</v>
      </c>
      <c r="X11906" t="s">
        <v>45111</v>
      </c>
    </row>
    <row r="11907" spans="1:24">
      <c r="A11907">
        <f>HYPERLINK("https://www.philgeps.gov.ph/GEPSNONPILOT/Tender/SplashBidNoticeAbstractUI.aspx?menuIndex=3&amp;refID=7022896&amp;Result=3","7022896")</f>
        <v>0</v>
      </c>
      <c r="B11907" t="s">
        <v>290</v>
      </c>
      <c r="C11907" t="s">
        <v>14567</v>
      </c>
      <c r="D11907" t="s">
        <v>18043</v>
      </c>
      <c r="E11907" t="s">
        <v>28413</v>
      </c>
      <c r="F11907" t="s">
        <v>31574</v>
      </c>
      <c r="G11907" t="s">
        <v>31582</v>
      </c>
      <c r="H11907" t="s">
        <v>31590</v>
      </c>
      <c r="I11907" t="s">
        <v>31612</v>
      </c>
      <c r="J11907" t="s">
        <v>39101</v>
      </c>
      <c r="K11907" t="s">
        <v>41192</v>
      </c>
      <c r="M11907" t="s">
        <v>42052</v>
      </c>
      <c r="N11907" t="s">
        <v>45095</v>
      </c>
      <c r="O11907" t="s">
        <v>45096</v>
      </c>
      <c r="Q11907">
        <v>6</v>
      </c>
      <c r="R11907" t="s">
        <v>45110</v>
      </c>
      <c r="S11907" t="s">
        <v>45642</v>
      </c>
      <c r="T11907" t="s">
        <v>46926</v>
      </c>
      <c r="U11907" t="s">
        <v>48590</v>
      </c>
      <c r="W11907" t="s">
        <v>42052</v>
      </c>
      <c r="X11907" t="s">
        <v>45111</v>
      </c>
    </row>
    <row r="11908" spans="1:24">
      <c r="A11908">
        <f>HYPERLINK("https://www.philgeps.gov.ph/GEPSNONPILOT/Tender/SplashBidNoticeAbstractUI.aspx?menuIndex=3&amp;refID=7022900&amp;Result=3","7022900")</f>
        <v>0</v>
      </c>
      <c r="B11908" t="s">
        <v>627</v>
      </c>
      <c r="C11908" t="s">
        <v>14568</v>
      </c>
      <c r="E11908" t="s">
        <v>28414</v>
      </c>
      <c r="F11908" t="s">
        <v>31574</v>
      </c>
      <c r="G11908" t="s">
        <v>31582</v>
      </c>
      <c r="H11908" t="s">
        <v>31591</v>
      </c>
      <c r="I11908" t="s">
        <v>8822</v>
      </c>
      <c r="J11908" t="s">
        <v>39102</v>
      </c>
      <c r="K11908" t="s">
        <v>41184</v>
      </c>
      <c r="M11908" t="s">
        <v>43091</v>
      </c>
      <c r="N11908" t="s">
        <v>45095</v>
      </c>
      <c r="O11908" t="s">
        <v>45096</v>
      </c>
      <c r="P11908">
        <v>0</v>
      </c>
      <c r="Q11908">
        <v>3</v>
      </c>
      <c r="R11908" t="s">
        <v>45110</v>
      </c>
      <c r="S11908" t="s">
        <v>45605</v>
      </c>
      <c r="T11908" t="s">
        <v>46932</v>
      </c>
      <c r="U11908" t="s">
        <v>57213</v>
      </c>
      <c r="W11908" t="s">
        <v>42131</v>
      </c>
      <c r="X11908" t="s">
        <v>45111</v>
      </c>
    </row>
    <row r="11909" spans="1:24">
      <c r="A11909">
        <f>HYPERLINK("https://www.philgeps.gov.ph/GEPSNONPILOT/Tender/SplashBidNoticeAbstractUI.aspx?menuIndex=3&amp;refID=7023001&amp;Result=3","7023001")</f>
        <v>0</v>
      </c>
      <c r="B11909" t="s">
        <v>1945</v>
      </c>
      <c r="C11909" t="s">
        <v>14569</v>
      </c>
      <c r="D11909" t="s">
        <v>18052</v>
      </c>
      <c r="E11909" t="s">
        <v>28415</v>
      </c>
      <c r="F11909" t="s">
        <v>31574</v>
      </c>
      <c r="G11909" t="s">
        <v>31582</v>
      </c>
      <c r="H11909" t="s">
        <v>31591</v>
      </c>
      <c r="I11909" t="s">
        <v>8822</v>
      </c>
      <c r="J11909" t="s">
        <v>39103</v>
      </c>
      <c r="K11909" t="s">
        <v>41286</v>
      </c>
      <c r="M11909" t="s">
        <v>43600</v>
      </c>
      <c r="N11909" t="s">
        <v>45095</v>
      </c>
      <c r="O11909" t="s">
        <v>45096</v>
      </c>
      <c r="P11909">
        <v>0</v>
      </c>
      <c r="Q11909">
        <v>0</v>
      </c>
      <c r="R11909" t="s">
        <v>45110</v>
      </c>
      <c r="S11909" t="s">
        <v>45605</v>
      </c>
      <c r="T11909" t="s">
        <v>47068</v>
      </c>
      <c r="U11909" t="s">
        <v>52707</v>
      </c>
      <c r="W11909" t="s">
        <v>43600</v>
      </c>
      <c r="X11909" t="s">
        <v>45111</v>
      </c>
    </row>
    <row r="11910" spans="1:24">
      <c r="A11910">
        <f>HYPERLINK("https://www.philgeps.gov.ph/GEPSNONPILOT/Tender/SplashBidNoticeAbstractUI.aspx?menuIndex=3&amp;refID=7022932&amp;Result=3","7022932")</f>
        <v>0</v>
      </c>
      <c r="B11910" t="s">
        <v>1211</v>
      </c>
      <c r="C11910" t="s">
        <v>14570</v>
      </c>
      <c r="D11910" t="s">
        <v>18041</v>
      </c>
      <c r="E11910" t="s">
        <v>28416</v>
      </c>
      <c r="F11910" t="s">
        <v>31574</v>
      </c>
      <c r="G11910" t="s">
        <v>31582</v>
      </c>
      <c r="H11910" t="s">
        <v>31591</v>
      </c>
      <c r="I11910" t="s">
        <v>7162</v>
      </c>
      <c r="J11910" t="s">
        <v>31730</v>
      </c>
      <c r="K11910" t="s">
        <v>41198</v>
      </c>
      <c r="M11910" t="s">
        <v>42771</v>
      </c>
      <c r="N11910" t="s">
        <v>45095</v>
      </c>
      <c r="O11910" t="s">
        <v>45096</v>
      </c>
      <c r="P11910">
        <v>0</v>
      </c>
      <c r="Q11910">
        <v>13</v>
      </c>
      <c r="R11910" t="s">
        <v>45110</v>
      </c>
      <c r="S11910" t="s">
        <v>45605</v>
      </c>
      <c r="T11910" t="s">
        <v>46937</v>
      </c>
      <c r="U11910" t="s">
        <v>57214</v>
      </c>
      <c r="W11910" t="s">
        <v>61750</v>
      </c>
      <c r="X11910" t="s">
        <v>45111</v>
      </c>
    </row>
    <row r="11911" spans="1:24">
      <c r="A11911">
        <f>HYPERLINK("https://www.philgeps.gov.ph/GEPSNONPILOT/Tender/SplashBidNoticeAbstractUI.aspx?menuIndex=3&amp;refID=7022893&amp;Result=3","7022893")</f>
        <v>0</v>
      </c>
      <c r="B11911" t="s">
        <v>1891</v>
      </c>
      <c r="C11911" t="s">
        <v>14571</v>
      </c>
      <c r="D11911" t="s">
        <v>18056</v>
      </c>
      <c r="E11911" t="s">
        <v>28417</v>
      </c>
      <c r="F11911" t="s">
        <v>31574</v>
      </c>
      <c r="G11911" t="s">
        <v>31582</v>
      </c>
      <c r="H11911" t="s">
        <v>31590</v>
      </c>
      <c r="I11911" t="s">
        <v>31608</v>
      </c>
      <c r="J11911" t="s">
        <v>39104</v>
      </c>
      <c r="K11911" t="s">
        <v>41191</v>
      </c>
      <c r="L11911" t="s">
        <v>1891</v>
      </c>
      <c r="M11911" t="s">
        <v>43534</v>
      </c>
      <c r="N11911" t="s">
        <v>45095</v>
      </c>
      <c r="O11911" t="s">
        <v>45096</v>
      </c>
      <c r="Q11911">
        <v>4</v>
      </c>
      <c r="R11911" t="s">
        <v>45110</v>
      </c>
      <c r="S11911" t="s">
        <v>45643</v>
      </c>
      <c r="T11911" t="s">
        <v>46930</v>
      </c>
      <c r="U11911" t="s">
        <v>57215</v>
      </c>
      <c r="W11911" t="s">
        <v>43534</v>
      </c>
      <c r="X11911" t="s">
        <v>45111</v>
      </c>
    </row>
    <row r="11912" spans="1:24">
      <c r="A11912">
        <f>HYPERLINK("https://www.philgeps.gov.ph/GEPSNONPILOT/Tender/SplashBidNoticeAbstractUI.aspx?menuIndex=3&amp;refID=7023000&amp;Result=3","7023000")</f>
        <v>0</v>
      </c>
      <c r="B11912" t="s">
        <v>2542</v>
      </c>
      <c r="C11912" t="s">
        <v>14572</v>
      </c>
      <c r="E11912" t="s">
        <v>28418</v>
      </c>
      <c r="F11912" t="s">
        <v>31574</v>
      </c>
      <c r="G11912" t="s">
        <v>31582</v>
      </c>
      <c r="H11912" t="s">
        <v>31590</v>
      </c>
      <c r="I11912" t="s">
        <v>31602</v>
      </c>
      <c r="J11912" t="s">
        <v>39105</v>
      </c>
      <c r="K11912" t="s">
        <v>41184</v>
      </c>
      <c r="M11912" t="s">
        <v>44699</v>
      </c>
      <c r="N11912" t="s">
        <v>45095</v>
      </c>
      <c r="O11912" t="s">
        <v>45096</v>
      </c>
      <c r="P11912">
        <v>0</v>
      </c>
      <c r="Q11912">
        <v>2</v>
      </c>
      <c r="R11912" t="s">
        <v>45110</v>
      </c>
      <c r="S11912" t="s">
        <v>45605</v>
      </c>
      <c r="T11912" t="s">
        <v>46922</v>
      </c>
      <c r="U11912" t="s">
        <v>57216</v>
      </c>
      <c r="W11912" t="s">
        <v>44699</v>
      </c>
      <c r="X11912" t="s">
        <v>45111</v>
      </c>
    </row>
    <row r="11913" spans="1:24">
      <c r="A11913">
        <f>HYPERLINK("https://www.philgeps.gov.ph/GEPSNONPILOT/Tender/SplashBidNoticeAbstractUI.aspx?menuIndex=3&amp;refID=7022943&amp;Result=3","7022943")</f>
        <v>0</v>
      </c>
      <c r="B11913" t="s">
        <v>2812</v>
      </c>
      <c r="C11913" t="s">
        <v>14573</v>
      </c>
      <c r="D11913" t="s">
        <v>18079</v>
      </c>
      <c r="E11913" t="s">
        <v>28419</v>
      </c>
      <c r="F11913" t="s">
        <v>31574</v>
      </c>
      <c r="G11913" t="s">
        <v>31582</v>
      </c>
      <c r="H11913" t="s">
        <v>31591</v>
      </c>
      <c r="I11913" t="s">
        <v>8822</v>
      </c>
      <c r="J11913" t="s">
        <v>32049</v>
      </c>
      <c r="K11913" t="s">
        <v>41246</v>
      </c>
      <c r="M11913" t="s">
        <v>44587</v>
      </c>
      <c r="N11913" t="s">
        <v>45095</v>
      </c>
      <c r="O11913" t="s">
        <v>45096</v>
      </c>
      <c r="P11913">
        <v>0</v>
      </c>
      <c r="Q11913">
        <v>0</v>
      </c>
      <c r="R11913" t="s">
        <v>45110</v>
      </c>
      <c r="S11913" t="s">
        <v>45605</v>
      </c>
      <c r="T11913" t="s">
        <v>47159</v>
      </c>
      <c r="U11913" t="s">
        <v>57217</v>
      </c>
      <c r="W11913" t="s">
        <v>44587</v>
      </c>
      <c r="X11913" t="s">
        <v>45111</v>
      </c>
    </row>
    <row r="11914" spans="1:24">
      <c r="A11914">
        <f>HYPERLINK("https://www.philgeps.gov.ph/GEPSNONPILOT/Tender/SplashBidNoticeAbstractUI.aspx?menuIndex=3&amp;refID=7022903&amp;Result=3","7022903")</f>
        <v>0</v>
      </c>
      <c r="B11914" t="s">
        <v>379</v>
      </c>
      <c r="C11914" t="s">
        <v>14574</v>
      </c>
      <c r="D11914" t="s">
        <v>18025</v>
      </c>
      <c r="E11914" t="s">
        <v>18227</v>
      </c>
      <c r="F11914" t="s">
        <v>31574</v>
      </c>
      <c r="G11914" t="s">
        <v>31582</v>
      </c>
      <c r="H11914" t="s">
        <v>31590</v>
      </c>
      <c r="I11914" t="s">
        <v>31623</v>
      </c>
      <c r="J11914" t="s">
        <v>39106</v>
      </c>
      <c r="K11914" t="s">
        <v>41184</v>
      </c>
      <c r="M11914" t="s">
        <v>41869</v>
      </c>
      <c r="N11914" t="s">
        <v>45095</v>
      </c>
      <c r="O11914" t="s">
        <v>45096</v>
      </c>
      <c r="Q11914">
        <v>8</v>
      </c>
      <c r="R11914" t="s">
        <v>45110</v>
      </c>
      <c r="S11914" t="s">
        <v>45644</v>
      </c>
      <c r="T11914" t="s">
        <v>46904</v>
      </c>
      <c r="U11914" t="s">
        <v>57218</v>
      </c>
      <c r="W11914" t="s">
        <v>41869</v>
      </c>
      <c r="X11914" t="s">
        <v>45111</v>
      </c>
    </row>
    <row r="11915" spans="1:24">
      <c r="A11915">
        <f>HYPERLINK("https://www.philgeps.gov.ph/GEPSNONPILOT/Tender/SplashBidNoticeAbstractUI.aspx?menuIndex=3&amp;refID=7022944&amp;Result=3","7022944")</f>
        <v>0</v>
      </c>
      <c r="B11915" t="s">
        <v>401</v>
      </c>
      <c r="C11915" t="s">
        <v>14575</v>
      </c>
      <c r="D11915" t="s">
        <v>18052</v>
      </c>
      <c r="E11915" t="s">
        <v>28420</v>
      </c>
      <c r="F11915" t="s">
        <v>31574</v>
      </c>
      <c r="G11915" t="s">
        <v>31582</v>
      </c>
      <c r="H11915" t="s">
        <v>31591</v>
      </c>
      <c r="I11915" t="s">
        <v>8822</v>
      </c>
      <c r="J11915" t="s">
        <v>39107</v>
      </c>
      <c r="K11915" t="s">
        <v>41189</v>
      </c>
      <c r="M11915" t="s">
        <v>41892</v>
      </c>
      <c r="N11915" t="s">
        <v>45095</v>
      </c>
      <c r="O11915" t="s">
        <v>45096</v>
      </c>
      <c r="P11915">
        <v>0</v>
      </c>
      <c r="Q11915">
        <v>1</v>
      </c>
      <c r="R11915" t="s">
        <v>45110</v>
      </c>
      <c r="S11915" t="s">
        <v>45605</v>
      </c>
      <c r="T11915" t="s">
        <v>46991</v>
      </c>
      <c r="U11915" t="s">
        <v>57219</v>
      </c>
      <c r="W11915" t="s">
        <v>41892</v>
      </c>
      <c r="X11915" t="s">
        <v>45111</v>
      </c>
    </row>
    <row r="11916" spans="1:24">
      <c r="A11916">
        <f>HYPERLINK("https://www.philgeps.gov.ph/GEPSNONPILOT/Tender/SplashBidNoticeAbstractUI.aspx?menuIndex=3&amp;refID=7022882&amp;Result=3","7022882")</f>
        <v>0</v>
      </c>
      <c r="B11916" t="s">
        <v>1891</v>
      </c>
      <c r="C11916" t="s">
        <v>14576</v>
      </c>
      <c r="D11916" t="s">
        <v>18056</v>
      </c>
      <c r="E11916" t="s">
        <v>28421</v>
      </c>
      <c r="F11916" t="s">
        <v>31574</v>
      </c>
      <c r="G11916" t="s">
        <v>31582</v>
      </c>
      <c r="H11916" t="s">
        <v>31590</v>
      </c>
      <c r="I11916" t="s">
        <v>6800</v>
      </c>
      <c r="J11916" t="s">
        <v>39108</v>
      </c>
      <c r="K11916" t="s">
        <v>41191</v>
      </c>
      <c r="L11916" t="s">
        <v>1891</v>
      </c>
      <c r="M11916" t="s">
        <v>43534</v>
      </c>
      <c r="N11916" t="s">
        <v>45095</v>
      </c>
      <c r="O11916" t="s">
        <v>45096</v>
      </c>
      <c r="P11916">
        <v>0</v>
      </c>
      <c r="Q11916">
        <v>2</v>
      </c>
      <c r="R11916" t="s">
        <v>45110</v>
      </c>
      <c r="S11916" t="s">
        <v>45605</v>
      </c>
      <c r="T11916" t="s">
        <v>46930</v>
      </c>
      <c r="U11916" t="s">
        <v>57220</v>
      </c>
      <c r="W11916" t="s">
        <v>43534</v>
      </c>
      <c r="X11916" t="s">
        <v>45111</v>
      </c>
    </row>
    <row r="11917" spans="1:24">
      <c r="A11917">
        <f>HYPERLINK("https://www.philgeps.gov.ph/GEPSNONPILOT/Tender/SplashBidNoticeAbstractUI.aspx?menuIndex=3&amp;refID=7023005&amp;Result=3","7023005")</f>
        <v>0</v>
      </c>
      <c r="B11917" t="s">
        <v>2359</v>
      </c>
      <c r="C11917" t="s">
        <v>14577</v>
      </c>
      <c r="D11917" t="s">
        <v>18078</v>
      </c>
      <c r="E11917" t="s">
        <v>28422</v>
      </c>
      <c r="F11917" t="s">
        <v>31574</v>
      </c>
      <c r="G11917" t="s">
        <v>31582</v>
      </c>
      <c r="H11917" t="s">
        <v>31591</v>
      </c>
      <c r="I11917" t="s">
        <v>8822</v>
      </c>
      <c r="J11917" t="s">
        <v>39109</v>
      </c>
      <c r="K11917" t="s">
        <v>41308</v>
      </c>
      <c r="M11917" t="s">
        <v>44077</v>
      </c>
      <c r="N11917" t="s">
        <v>45095</v>
      </c>
      <c r="O11917" t="s">
        <v>45096</v>
      </c>
      <c r="P11917">
        <v>0</v>
      </c>
      <c r="Q11917">
        <v>2</v>
      </c>
      <c r="R11917" t="s">
        <v>45110</v>
      </c>
      <c r="S11917" t="s">
        <v>45605</v>
      </c>
      <c r="T11917" t="s">
        <v>46955</v>
      </c>
      <c r="U11917" t="s">
        <v>57221</v>
      </c>
      <c r="W11917" t="s">
        <v>44077</v>
      </c>
      <c r="X11917" t="s">
        <v>45111</v>
      </c>
    </row>
    <row r="11918" spans="1:24">
      <c r="A11918">
        <f>HYPERLINK("https://www.philgeps.gov.ph/GEPSNONPILOT/Tender/SplashBidNoticeAbstractUI.aspx?menuIndex=3&amp;refID=7022993&amp;Result=3","7022993")</f>
        <v>0</v>
      </c>
      <c r="B11918" t="s">
        <v>1931</v>
      </c>
      <c r="C11918" t="s">
        <v>14578</v>
      </c>
      <c r="D11918" t="s">
        <v>18029</v>
      </c>
      <c r="E11918" t="s">
        <v>26086</v>
      </c>
      <c r="F11918" t="s">
        <v>31574</v>
      </c>
      <c r="G11918" t="s">
        <v>31581</v>
      </c>
      <c r="H11918" t="s">
        <v>31590</v>
      </c>
      <c r="I11918" t="s">
        <v>31629</v>
      </c>
      <c r="J11918" t="s">
        <v>39110</v>
      </c>
      <c r="K11918" t="s">
        <v>41213</v>
      </c>
      <c r="M11918" t="s">
        <v>43585</v>
      </c>
      <c r="N11918" t="s">
        <v>45095</v>
      </c>
      <c r="O11918" t="s">
        <v>45096</v>
      </c>
      <c r="P11918">
        <v>0</v>
      </c>
      <c r="Q11918">
        <v>0</v>
      </c>
      <c r="R11918" t="s">
        <v>45110</v>
      </c>
      <c r="S11918" t="s">
        <v>45605</v>
      </c>
      <c r="T11918" t="s">
        <v>47058</v>
      </c>
      <c r="U11918" t="s">
        <v>57222</v>
      </c>
      <c r="W11918" t="s">
        <v>43585</v>
      </c>
      <c r="X11918" t="s">
        <v>45111</v>
      </c>
    </row>
    <row r="11919" spans="1:24">
      <c r="A11919">
        <f>HYPERLINK("https://www.philgeps.gov.ph/GEPSNONPILOT/Tender/SplashBidNoticeAbstractUI.aspx?menuIndex=3&amp;refID=7022986&amp;Result=3","7022986")</f>
        <v>0</v>
      </c>
      <c r="B11919" t="s">
        <v>1211</v>
      </c>
      <c r="C11919" t="s">
        <v>14579</v>
      </c>
      <c r="D11919" t="s">
        <v>18041</v>
      </c>
      <c r="E11919" t="s">
        <v>28423</v>
      </c>
      <c r="F11919" t="s">
        <v>31574</v>
      </c>
      <c r="G11919" t="s">
        <v>31582</v>
      </c>
      <c r="H11919" t="s">
        <v>31591</v>
      </c>
      <c r="I11919" t="s">
        <v>8822</v>
      </c>
      <c r="J11919" t="s">
        <v>32986</v>
      </c>
      <c r="K11919" t="s">
        <v>41364</v>
      </c>
      <c r="M11919" t="s">
        <v>42771</v>
      </c>
      <c r="N11919" t="s">
        <v>45095</v>
      </c>
      <c r="O11919" t="s">
        <v>45096</v>
      </c>
      <c r="P11919">
        <v>0</v>
      </c>
      <c r="Q11919">
        <v>15</v>
      </c>
      <c r="R11919" t="s">
        <v>45110</v>
      </c>
      <c r="S11919" t="s">
        <v>45605</v>
      </c>
      <c r="T11919" t="s">
        <v>46937</v>
      </c>
      <c r="U11919" t="s">
        <v>57223</v>
      </c>
      <c r="W11919" t="s">
        <v>61750</v>
      </c>
      <c r="X11919" t="s">
        <v>45111</v>
      </c>
    </row>
    <row r="11920" spans="1:24">
      <c r="A11920">
        <f>HYPERLINK("https://www.philgeps.gov.ph/GEPSNONPILOT/Tender/SplashBidNoticeAbstractUI.aspx?menuIndex=3&amp;refID=7022962&amp;Result=3","7022962")</f>
        <v>0</v>
      </c>
      <c r="B11920" t="s">
        <v>2797</v>
      </c>
      <c r="C11920" t="s">
        <v>14580</v>
      </c>
      <c r="D11920" t="s">
        <v>18024</v>
      </c>
      <c r="E11920" t="s">
        <v>28424</v>
      </c>
      <c r="F11920" t="s">
        <v>31574</v>
      </c>
      <c r="G11920" t="s">
        <v>31582</v>
      </c>
      <c r="H11920" t="s">
        <v>31590</v>
      </c>
      <c r="I11920" t="s">
        <v>31602</v>
      </c>
      <c r="J11920" t="s">
        <v>32019</v>
      </c>
      <c r="K11920" t="s">
        <v>41193</v>
      </c>
      <c r="M11920" t="s">
        <v>44572</v>
      </c>
      <c r="N11920" t="s">
        <v>45095</v>
      </c>
      <c r="O11920" t="s">
        <v>45096</v>
      </c>
      <c r="P11920">
        <v>0</v>
      </c>
      <c r="Q11920">
        <v>0</v>
      </c>
      <c r="R11920" t="s">
        <v>45110</v>
      </c>
      <c r="S11920" t="s">
        <v>45605</v>
      </c>
      <c r="T11920" t="s">
        <v>47265</v>
      </c>
      <c r="U11920" t="s">
        <v>57224</v>
      </c>
      <c r="W11920" t="s">
        <v>44572</v>
      </c>
      <c r="X11920" t="s">
        <v>45111</v>
      </c>
    </row>
    <row r="11921" spans="1:24">
      <c r="A11921">
        <f>HYPERLINK("https://www.philgeps.gov.ph/GEPSNONPILOT/Tender/SplashBidNoticeAbstractUI.aspx?menuIndex=3&amp;refID=7022927&amp;Result=3","7022927")</f>
        <v>0</v>
      </c>
      <c r="B11921" t="s">
        <v>2334</v>
      </c>
      <c r="C11921" t="s">
        <v>14581</v>
      </c>
      <c r="D11921" t="s">
        <v>18026</v>
      </c>
      <c r="E11921" t="s">
        <v>28425</v>
      </c>
      <c r="F11921" t="s">
        <v>31574</v>
      </c>
      <c r="G11921" t="s">
        <v>31583</v>
      </c>
      <c r="H11921" t="s">
        <v>31590</v>
      </c>
      <c r="I11921" t="s">
        <v>31600</v>
      </c>
      <c r="J11921" t="s">
        <v>39111</v>
      </c>
      <c r="K11921" t="s">
        <v>41186</v>
      </c>
      <c r="M11921" t="s">
        <v>44044</v>
      </c>
      <c r="N11921" t="s">
        <v>45095</v>
      </c>
      <c r="O11921" t="s">
        <v>45096</v>
      </c>
      <c r="P11921">
        <v>0</v>
      </c>
      <c r="Q11921">
        <v>0</v>
      </c>
      <c r="R11921" t="s">
        <v>45110</v>
      </c>
      <c r="S11921" t="s">
        <v>45605</v>
      </c>
      <c r="T11921" t="s">
        <v>47158</v>
      </c>
      <c r="U11921" t="s">
        <v>57225</v>
      </c>
      <c r="W11921" t="s">
        <v>44044</v>
      </c>
      <c r="X11921" t="s">
        <v>45111</v>
      </c>
    </row>
    <row r="11922" spans="1:24">
      <c r="A11922">
        <f>HYPERLINK("https://www.philgeps.gov.ph/GEPSNONPILOT/Tender/SplashBidNoticeAbstractUI.aspx?menuIndex=3&amp;refID=7023010&amp;Result=3","7023010")</f>
        <v>0</v>
      </c>
      <c r="B11922" t="s">
        <v>2904</v>
      </c>
      <c r="C11922" t="s">
        <v>14582</v>
      </c>
      <c r="D11922" t="s">
        <v>18048</v>
      </c>
      <c r="E11922" t="s">
        <v>28426</v>
      </c>
      <c r="F11922" t="s">
        <v>31574</v>
      </c>
      <c r="G11922" t="s">
        <v>31582</v>
      </c>
      <c r="H11922" t="s">
        <v>31590</v>
      </c>
      <c r="I11922" t="s">
        <v>3487</v>
      </c>
      <c r="J11922" t="s">
        <v>31907</v>
      </c>
      <c r="K11922" t="s">
        <v>41186</v>
      </c>
      <c r="M11922" t="s">
        <v>44700</v>
      </c>
      <c r="N11922" t="s">
        <v>45095</v>
      </c>
      <c r="O11922" t="s">
        <v>45096</v>
      </c>
      <c r="P11922">
        <v>0</v>
      </c>
      <c r="Q11922">
        <v>2</v>
      </c>
      <c r="R11922" t="s">
        <v>45110</v>
      </c>
      <c r="S11922" t="s">
        <v>45605</v>
      </c>
      <c r="T11922" t="s">
        <v>46932</v>
      </c>
      <c r="U11922" t="s">
        <v>57226</v>
      </c>
      <c r="W11922" t="s">
        <v>44700</v>
      </c>
      <c r="X11922" t="s">
        <v>45111</v>
      </c>
    </row>
    <row r="11923" spans="1:24">
      <c r="A11923">
        <f>HYPERLINK("https://www.philgeps.gov.ph/GEPSNONPILOT/Tender/SplashBidNoticeAbstractUI.aspx?menuIndex=3&amp;refID=7023048&amp;Result=3","7023048")</f>
        <v>0</v>
      </c>
      <c r="B11923" t="s">
        <v>1665</v>
      </c>
      <c r="C11923" t="s">
        <v>14583</v>
      </c>
      <c r="D11923" t="s">
        <v>18075</v>
      </c>
      <c r="E11923" t="s">
        <v>28427</v>
      </c>
      <c r="F11923" t="s">
        <v>31574</v>
      </c>
      <c r="G11923" t="s">
        <v>31582</v>
      </c>
      <c r="H11923" t="s">
        <v>31591</v>
      </c>
      <c r="I11923" t="s">
        <v>8822</v>
      </c>
      <c r="J11923" t="s">
        <v>39112</v>
      </c>
      <c r="K11923" t="s">
        <v>41186</v>
      </c>
      <c r="M11923" t="s">
        <v>43877</v>
      </c>
      <c r="N11923" t="s">
        <v>45095</v>
      </c>
      <c r="O11923" t="s">
        <v>45096</v>
      </c>
      <c r="P11923">
        <v>0</v>
      </c>
      <c r="Q11923">
        <v>2</v>
      </c>
      <c r="R11923" t="s">
        <v>45110</v>
      </c>
      <c r="S11923" t="s">
        <v>45605</v>
      </c>
      <c r="T11923" t="s">
        <v>46926</v>
      </c>
      <c r="U11923" t="s">
        <v>57227</v>
      </c>
      <c r="W11923" t="s">
        <v>43877</v>
      </c>
      <c r="X11923" t="s">
        <v>45111</v>
      </c>
    </row>
    <row r="11924" spans="1:24">
      <c r="A11924">
        <f>HYPERLINK("https://www.philgeps.gov.ph/GEPSNONPILOT/Tender/SplashBidNoticeAbstractUI.aspx?menuIndex=3&amp;refID=7023008&amp;Result=3","7023008")</f>
        <v>0</v>
      </c>
      <c r="B11924" t="s">
        <v>2905</v>
      </c>
      <c r="C11924" t="s">
        <v>14584</v>
      </c>
      <c r="D11924" t="s">
        <v>18102</v>
      </c>
      <c r="E11924" t="s">
        <v>28428</v>
      </c>
      <c r="F11924" t="s">
        <v>31574</v>
      </c>
      <c r="G11924" t="s">
        <v>31582</v>
      </c>
      <c r="H11924" t="s">
        <v>31591</v>
      </c>
      <c r="I11924" t="s">
        <v>8822</v>
      </c>
      <c r="J11924" t="s">
        <v>39113</v>
      </c>
      <c r="K11924" t="s">
        <v>41240</v>
      </c>
      <c r="M11924" t="s">
        <v>44701</v>
      </c>
      <c r="N11924" t="s">
        <v>45095</v>
      </c>
      <c r="O11924" t="s">
        <v>45096</v>
      </c>
      <c r="P11924">
        <v>0</v>
      </c>
      <c r="Q11924">
        <v>6</v>
      </c>
      <c r="R11924" t="s">
        <v>45110</v>
      </c>
      <c r="S11924" t="s">
        <v>45605</v>
      </c>
      <c r="T11924" t="s">
        <v>46926</v>
      </c>
      <c r="U11924" t="s">
        <v>57228</v>
      </c>
      <c r="W11924" t="s">
        <v>44701</v>
      </c>
      <c r="X11924" t="s">
        <v>45111</v>
      </c>
    </row>
    <row r="11925" spans="1:24">
      <c r="A11925">
        <f>HYPERLINK("https://www.philgeps.gov.ph/GEPSNONPILOT/Tender/SplashBidNoticeAbstractUI.aspx?menuIndex=3&amp;refID=7023032&amp;Result=3","7023032")</f>
        <v>0</v>
      </c>
      <c r="B11925" t="s">
        <v>841</v>
      </c>
      <c r="C11925" t="s">
        <v>14585</v>
      </c>
      <c r="D11925" t="s">
        <v>18101</v>
      </c>
      <c r="E11925" t="s">
        <v>28429</v>
      </c>
      <c r="F11925" t="s">
        <v>31574</v>
      </c>
      <c r="G11925" t="s">
        <v>31582</v>
      </c>
      <c r="H11925" t="s">
        <v>31590</v>
      </c>
      <c r="I11925" t="s">
        <v>31602</v>
      </c>
      <c r="J11925" t="s">
        <v>39114</v>
      </c>
      <c r="K11925" t="s">
        <v>41186</v>
      </c>
      <c r="M11925" t="s">
        <v>42360</v>
      </c>
      <c r="N11925" t="s">
        <v>45095</v>
      </c>
      <c r="O11925" t="s">
        <v>45096</v>
      </c>
      <c r="P11925">
        <v>0</v>
      </c>
      <c r="Q11925">
        <v>0</v>
      </c>
      <c r="R11925" t="s">
        <v>45110</v>
      </c>
      <c r="S11925" t="s">
        <v>45605</v>
      </c>
      <c r="T11925" t="s">
        <v>47197</v>
      </c>
      <c r="U11925" t="s">
        <v>55487</v>
      </c>
      <c r="W11925" t="s">
        <v>42360</v>
      </c>
      <c r="X11925" t="s">
        <v>45111</v>
      </c>
    </row>
    <row r="11926" spans="1:24">
      <c r="A11926">
        <f>HYPERLINK("https://www.philgeps.gov.ph/GEPSNONPILOT/Tender/SplashBidNoticeAbstractUI.aspx?menuIndex=3&amp;refID=7023042&amp;Result=3","7023042")</f>
        <v>0</v>
      </c>
      <c r="B11926" t="s">
        <v>2542</v>
      </c>
      <c r="C11926" t="s">
        <v>14586</v>
      </c>
      <c r="E11926" t="s">
        <v>28418</v>
      </c>
      <c r="F11926" t="s">
        <v>31574</v>
      </c>
      <c r="G11926" t="s">
        <v>31581</v>
      </c>
      <c r="H11926" t="s">
        <v>31590</v>
      </c>
      <c r="I11926" t="s">
        <v>31602</v>
      </c>
      <c r="J11926" t="s">
        <v>39115</v>
      </c>
      <c r="K11926" t="s">
        <v>41184</v>
      </c>
      <c r="M11926" t="s">
        <v>44699</v>
      </c>
      <c r="N11926" t="s">
        <v>45095</v>
      </c>
      <c r="O11926" t="s">
        <v>45096</v>
      </c>
      <c r="P11926">
        <v>0</v>
      </c>
      <c r="Q11926">
        <v>1</v>
      </c>
      <c r="R11926" t="s">
        <v>45110</v>
      </c>
      <c r="S11926" t="s">
        <v>45605</v>
      </c>
      <c r="T11926" t="s">
        <v>46922</v>
      </c>
      <c r="U11926" t="s">
        <v>57229</v>
      </c>
      <c r="W11926" t="s">
        <v>44699</v>
      </c>
      <c r="X11926" t="s">
        <v>45111</v>
      </c>
    </row>
    <row r="11927" spans="1:24">
      <c r="A11927">
        <f>HYPERLINK("https://www.philgeps.gov.ph/GEPSNONPILOT/Tender/SplashBidNoticeAbstractUI.aspx?menuIndex=3&amp;refID=7023026&amp;Result=3","7023026")</f>
        <v>0</v>
      </c>
      <c r="B11927" t="s">
        <v>1703</v>
      </c>
      <c r="C11927" t="s">
        <v>14587</v>
      </c>
      <c r="D11927" t="s">
        <v>18035</v>
      </c>
      <c r="E11927" t="s">
        <v>28430</v>
      </c>
      <c r="F11927" t="s">
        <v>31574</v>
      </c>
      <c r="G11927" t="s">
        <v>31582</v>
      </c>
      <c r="H11927" t="s">
        <v>31591</v>
      </c>
      <c r="I11927" t="s">
        <v>8822</v>
      </c>
      <c r="J11927" t="s">
        <v>39116</v>
      </c>
      <c r="K11927" t="s">
        <v>41442</v>
      </c>
      <c r="M11927" t="s">
        <v>43319</v>
      </c>
      <c r="N11927" t="s">
        <v>45095</v>
      </c>
      <c r="O11927" t="s">
        <v>45096</v>
      </c>
      <c r="Q11927">
        <v>16</v>
      </c>
      <c r="R11927" t="s">
        <v>45110</v>
      </c>
      <c r="S11927" t="s">
        <v>45645</v>
      </c>
      <c r="T11927" t="s">
        <v>46979</v>
      </c>
      <c r="U11927" t="s">
        <v>57230</v>
      </c>
      <c r="V11927" t="s">
        <v>61161</v>
      </c>
      <c r="W11927" t="s">
        <v>43319</v>
      </c>
      <c r="X11927" t="s">
        <v>45111</v>
      </c>
    </row>
    <row r="11928" spans="1:24">
      <c r="A11928">
        <f>HYPERLINK("https://www.philgeps.gov.ph/GEPSNONPILOT/Tender/SplashBidNoticeAbstractUI.aspx?menuIndex=3&amp;refID=7023024&amp;Result=3","7023024")</f>
        <v>0</v>
      </c>
      <c r="B11928" t="s">
        <v>1488</v>
      </c>
      <c r="C11928" t="s">
        <v>14588</v>
      </c>
      <c r="D11928" t="s">
        <v>18088</v>
      </c>
      <c r="E11928" t="s">
        <v>21914</v>
      </c>
      <c r="F11928" t="s">
        <v>31574</v>
      </c>
      <c r="G11928" t="s">
        <v>31582</v>
      </c>
      <c r="H11928" t="s">
        <v>31591</v>
      </c>
      <c r="I11928" t="s">
        <v>8822</v>
      </c>
      <c r="J11928" t="s">
        <v>39117</v>
      </c>
      <c r="K11928" t="s">
        <v>41184</v>
      </c>
      <c r="M11928" t="s">
        <v>43073</v>
      </c>
      <c r="N11928" t="s">
        <v>45095</v>
      </c>
      <c r="O11928" t="s">
        <v>45096</v>
      </c>
      <c r="P11928">
        <v>0</v>
      </c>
      <c r="Q11928">
        <v>0</v>
      </c>
      <c r="R11928" t="s">
        <v>45110</v>
      </c>
      <c r="S11928" t="s">
        <v>45605</v>
      </c>
      <c r="T11928" t="s">
        <v>46926</v>
      </c>
      <c r="U11928" t="s">
        <v>57231</v>
      </c>
      <c r="V11928" t="s">
        <v>61159</v>
      </c>
      <c r="W11928" t="s">
        <v>43073</v>
      </c>
      <c r="X11928" t="s">
        <v>45111</v>
      </c>
    </row>
    <row r="11929" spans="1:24">
      <c r="A11929">
        <f>HYPERLINK("https://www.philgeps.gov.ph/GEPSNONPILOT/Tender/SplashBidNoticeAbstractUI.aspx?menuIndex=3&amp;refID=7023037&amp;Result=3","7023037")</f>
        <v>0</v>
      </c>
      <c r="B11929" t="s">
        <v>2905</v>
      </c>
      <c r="C11929" t="s">
        <v>14589</v>
      </c>
      <c r="D11929" t="s">
        <v>18102</v>
      </c>
      <c r="E11929" t="s">
        <v>28431</v>
      </c>
      <c r="F11929" t="s">
        <v>31574</v>
      </c>
      <c r="G11929" t="s">
        <v>31582</v>
      </c>
      <c r="H11929" t="s">
        <v>31591</v>
      </c>
      <c r="I11929" t="s">
        <v>8822</v>
      </c>
      <c r="J11929" t="s">
        <v>39118</v>
      </c>
      <c r="K11929" t="s">
        <v>41192</v>
      </c>
      <c r="M11929" t="s">
        <v>44701</v>
      </c>
      <c r="N11929" t="s">
        <v>45095</v>
      </c>
      <c r="O11929" t="s">
        <v>45096</v>
      </c>
      <c r="P11929">
        <v>0</v>
      </c>
      <c r="Q11929">
        <v>7</v>
      </c>
      <c r="R11929" t="s">
        <v>45110</v>
      </c>
      <c r="S11929" t="s">
        <v>45605</v>
      </c>
      <c r="T11929" t="s">
        <v>46926</v>
      </c>
      <c r="U11929" t="s">
        <v>57232</v>
      </c>
      <c r="W11929" t="s">
        <v>44701</v>
      </c>
      <c r="X11929" t="s">
        <v>45111</v>
      </c>
    </row>
    <row r="11930" spans="1:24">
      <c r="A11930">
        <f>HYPERLINK("https://www.philgeps.gov.ph/GEPSNONPILOT/Tender/SplashBidNoticeAbstractUI.aspx?menuIndex=3&amp;refID=7023121&amp;Result=3","7023121")</f>
        <v>0</v>
      </c>
      <c r="B11930" t="s">
        <v>2542</v>
      </c>
      <c r="C11930" t="s">
        <v>14590</v>
      </c>
      <c r="E11930" t="s">
        <v>28432</v>
      </c>
      <c r="F11930" t="s">
        <v>31574</v>
      </c>
      <c r="G11930" t="s">
        <v>31581</v>
      </c>
      <c r="H11930" t="s">
        <v>31590</v>
      </c>
      <c r="I11930" t="s">
        <v>31602</v>
      </c>
      <c r="J11930" t="s">
        <v>39119</v>
      </c>
      <c r="K11930" t="s">
        <v>41184</v>
      </c>
      <c r="M11930" t="s">
        <v>44699</v>
      </c>
      <c r="N11930" t="s">
        <v>45095</v>
      </c>
      <c r="O11930" t="s">
        <v>45096</v>
      </c>
      <c r="P11930">
        <v>0</v>
      </c>
      <c r="Q11930">
        <v>1</v>
      </c>
      <c r="R11930" t="s">
        <v>45110</v>
      </c>
      <c r="S11930" t="s">
        <v>45605</v>
      </c>
      <c r="T11930" t="s">
        <v>46922</v>
      </c>
      <c r="U11930" t="s">
        <v>57229</v>
      </c>
      <c r="W11930" t="s">
        <v>44699</v>
      </c>
      <c r="X11930" t="s">
        <v>45111</v>
      </c>
    </row>
    <row r="11931" spans="1:24">
      <c r="A11931">
        <f>HYPERLINK("https://www.philgeps.gov.ph/GEPSNONPILOT/Tender/SplashBidNoticeAbstractUI.aspx?menuIndex=3&amp;refID=7023146&amp;Result=3","7023146")</f>
        <v>0</v>
      </c>
      <c r="B11931" t="s">
        <v>2542</v>
      </c>
      <c r="C11931" t="s">
        <v>14591</v>
      </c>
      <c r="E11931" t="s">
        <v>28433</v>
      </c>
      <c r="F11931" t="s">
        <v>31574</v>
      </c>
      <c r="G11931" t="s">
        <v>31581</v>
      </c>
      <c r="H11931" t="s">
        <v>31590</v>
      </c>
      <c r="I11931" t="s">
        <v>31602</v>
      </c>
      <c r="J11931" t="s">
        <v>39120</v>
      </c>
      <c r="K11931" t="s">
        <v>41184</v>
      </c>
      <c r="M11931" t="s">
        <v>44699</v>
      </c>
      <c r="N11931" t="s">
        <v>45095</v>
      </c>
      <c r="O11931" t="s">
        <v>45096</v>
      </c>
      <c r="P11931">
        <v>0</v>
      </c>
      <c r="Q11931">
        <v>1</v>
      </c>
      <c r="R11931" t="s">
        <v>45110</v>
      </c>
      <c r="S11931" t="s">
        <v>45605</v>
      </c>
      <c r="T11931" t="s">
        <v>46922</v>
      </c>
      <c r="U11931" t="s">
        <v>57229</v>
      </c>
      <c r="W11931" t="s">
        <v>44699</v>
      </c>
      <c r="X11931" t="s">
        <v>45111</v>
      </c>
    </row>
    <row r="11932" spans="1:24">
      <c r="A11932">
        <f>HYPERLINK("https://www.philgeps.gov.ph/GEPSNONPILOT/Tender/SplashBidNoticeAbstractUI.aspx?menuIndex=3&amp;refID=7023105&amp;Result=3","7023105")</f>
        <v>0</v>
      </c>
      <c r="B11932" t="s">
        <v>526</v>
      </c>
      <c r="C11932" t="s">
        <v>14592</v>
      </c>
      <c r="D11932" t="s">
        <v>18086</v>
      </c>
      <c r="E11932" t="s">
        <v>18722</v>
      </c>
      <c r="F11932" t="s">
        <v>31574</v>
      </c>
      <c r="G11932" t="s">
        <v>31582</v>
      </c>
      <c r="H11932" t="s">
        <v>31591</v>
      </c>
      <c r="I11932" t="s">
        <v>8822</v>
      </c>
      <c r="J11932" t="s">
        <v>31935</v>
      </c>
      <c r="K11932" t="s">
        <v>41189</v>
      </c>
      <c r="M11932" t="s">
        <v>42022</v>
      </c>
      <c r="N11932" t="s">
        <v>45095</v>
      </c>
      <c r="O11932" t="s">
        <v>45096</v>
      </c>
      <c r="P11932">
        <v>0</v>
      </c>
      <c r="Q11932">
        <v>0</v>
      </c>
      <c r="R11932" t="s">
        <v>45110</v>
      </c>
      <c r="S11932" t="s">
        <v>45605</v>
      </c>
      <c r="T11932" t="s">
        <v>46955</v>
      </c>
      <c r="U11932" t="s">
        <v>57233</v>
      </c>
      <c r="W11932" t="s">
        <v>42022</v>
      </c>
      <c r="X11932" t="s">
        <v>45111</v>
      </c>
    </row>
    <row r="11933" spans="1:24">
      <c r="A11933">
        <f>HYPERLINK("https://www.philgeps.gov.ph/GEPSNONPILOT/Tender/SplashBidNoticeAbstractUI.aspx?menuIndex=3&amp;refID=7023100&amp;Result=3","7023100")</f>
        <v>0</v>
      </c>
      <c r="B11933" t="s">
        <v>450</v>
      </c>
      <c r="C11933" t="s">
        <v>14593</v>
      </c>
      <c r="D11933" t="s">
        <v>18039</v>
      </c>
      <c r="E11933" t="s">
        <v>28434</v>
      </c>
      <c r="F11933" t="s">
        <v>31574</v>
      </c>
      <c r="G11933" t="s">
        <v>31582</v>
      </c>
      <c r="H11933" t="s">
        <v>31591</v>
      </c>
      <c r="I11933" t="s">
        <v>8822</v>
      </c>
      <c r="J11933" t="s">
        <v>39121</v>
      </c>
      <c r="K11933" t="s">
        <v>41425</v>
      </c>
      <c r="M11933" t="s">
        <v>41944</v>
      </c>
      <c r="N11933" t="s">
        <v>45095</v>
      </c>
      <c r="O11933" t="s">
        <v>45096</v>
      </c>
      <c r="P11933">
        <v>0</v>
      </c>
      <c r="Q11933">
        <v>0</v>
      </c>
      <c r="R11933" t="s">
        <v>45110</v>
      </c>
      <c r="S11933" t="s">
        <v>45605</v>
      </c>
      <c r="T11933" t="s">
        <v>46979</v>
      </c>
      <c r="U11933" t="s">
        <v>57234</v>
      </c>
      <c r="W11933" t="s">
        <v>41944</v>
      </c>
      <c r="X11933" t="s">
        <v>45111</v>
      </c>
    </row>
    <row r="11934" spans="1:24">
      <c r="A11934">
        <f>HYPERLINK("https://www.philgeps.gov.ph/GEPSNONPILOT/Tender/SplashBidNoticeAbstractUI.aspx?menuIndex=3&amp;refID=7023118&amp;Result=3","7023118")</f>
        <v>0</v>
      </c>
      <c r="B11934" t="s">
        <v>2049</v>
      </c>
      <c r="C11934" t="s">
        <v>14594</v>
      </c>
      <c r="E11934" t="s">
        <v>28435</v>
      </c>
      <c r="F11934" t="s">
        <v>31574</v>
      </c>
      <c r="G11934" t="s">
        <v>31581</v>
      </c>
      <c r="H11934" t="s">
        <v>31590</v>
      </c>
      <c r="I11934" t="s">
        <v>6800</v>
      </c>
      <c r="J11934" t="s">
        <v>39122</v>
      </c>
      <c r="K11934" t="s">
        <v>41184</v>
      </c>
      <c r="M11934" t="s">
        <v>43717</v>
      </c>
      <c r="N11934" t="s">
        <v>45095</v>
      </c>
      <c r="O11934" t="s">
        <v>45096</v>
      </c>
      <c r="P11934">
        <v>0</v>
      </c>
      <c r="Q11934">
        <v>2</v>
      </c>
      <c r="R11934" t="s">
        <v>45110</v>
      </c>
      <c r="S11934" t="s">
        <v>45605</v>
      </c>
      <c r="T11934" t="s">
        <v>47154</v>
      </c>
      <c r="U11934" t="s">
        <v>53115</v>
      </c>
      <c r="W11934" t="s">
        <v>43717</v>
      </c>
      <c r="X11934" t="s">
        <v>45111</v>
      </c>
    </row>
    <row r="11935" spans="1:24">
      <c r="A11935">
        <f>HYPERLINK("https://www.philgeps.gov.ph/GEPSNONPILOT/Tender/SplashBidNoticeAbstractUI.aspx?menuIndex=3&amp;refID=7023089&amp;Result=3","7023089")</f>
        <v>0</v>
      </c>
      <c r="B11935" t="s">
        <v>2334</v>
      </c>
      <c r="C11935" t="s">
        <v>14595</v>
      </c>
      <c r="D11935" t="s">
        <v>18026</v>
      </c>
      <c r="E11935" t="s">
        <v>28436</v>
      </c>
      <c r="F11935" t="s">
        <v>31574</v>
      </c>
      <c r="G11935" t="s">
        <v>31583</v>
      </c>
      <c r="H11935" t="s">
        <v>31590</v>
      </c>
      <c r="I11935" t="s">
        <v>31600</v>
      </c>
      <c r="J11935" t="s">
        <v>39123</v>
      </c>
      <c r="K11935" t="s">
        <v>41186</v>
      </c>
      <c r="M11935" t="s">
        <v>44044</v>
      </c>
      <c r="N11935" t="s">
        <v>45095</v>
      </c>
      <c r="O11935" t="s">
        <v>45096</v>
      </c>
      <c r="P11935">
        <v>0</v>
      </c>
      <c r="Q11935">
        <v>2</v>
      </c>
      <c r="R11935" t="s">
        <v>45110</v>
      </c>
      <c r="S11935" t="s">
        <v>45605</v>
      </c>
      <c r="T11935" t="s">
        <v>47158</v>
      </c>
      <c r="U11935" t="s">
        <v>57235</v>
      </c>
      <c r="W11935" t="s">
        <v>44044</v>
      </c>
      <c r="X11935" t="s">
        <v>45111</v>
      </c>
    </row>
    <row r="11936" spans="1:24">
      <c r="A11936">
        <f>HYPERLINK("https://www.philgeps.gov.ph/GEPSNONPILOT/Tender/SplashBidNoticeAbstractUI.aspx?menuIndex=3&amp;refID=7023142&amp;Result=3","7023142")</f>
        <v>0</v>
      </c>
      <c r="B11936" t="s">
        <v>2906</v>
      </c>
      <c r="C11936" t="s">
        <v>14596</v>
      </c>
      <c r="D11936" t="s">
        <v>18092</v>
      </c>
      <c r="E11936" t="s">
        <v>28437</v>
      </c>
      <c r="F11936" t="s">
        <v>31574</v>
      </c>
      <c r="G11936" t="s">
        <v>31582</v>
      </c>
      <c r="H11936" t="s">
        <v>31590</v>
      </c>
      <c r="I11936" t="s">
        <v>31615</v>
      </c>
      <c r="J11936" t="s">
        <v>39124</v>
      </c>
      <c r="K11936" t="s">
        <v>41186</v>
      </c>
      <c r="M11936" t="s">
        <v>44702</v>
      </c>
      <c r="N11936" t="s">
        <v>45095</v>
      </c>
      <c r="O11936" t="s">
        <v>45096</v>
      </c>
      <c r="P11936">
        <v>0</v>
      </c>
      <c r="Q11936">
        <v>3</v>
      </c>
      <c r="R11936" t="s">
        <v>45110</v>
      </c>
      <c r="S11936" t="s">
        <v>45605</v>
      </c>
      <c r="T11936" t="s">
        <v>46952</v>
      </c>
      <c r="U11936" t="s">
        <v>57236</v>
      </c>
      <c r="W11936" t="s">
        <v>44702</v>
      </c>
      <c r="X11936" t="s">
        <v>45111</v>
      </c>
    </row>
    <row r="11937" spans="1:24">
      <c r="A11937">
        <f>HYPERLINK("https://www.philgeps.gov.ph/GEPSNONPILOT/Tender/SplashBidNoticeAbstractUI.aspx?menuIndex=3&amp;refID=7023152&amp;Result=3","7023152")</f>
        <v>0</v>
      </c>
      <c r="B11937" t="s">
        <v>2334</v>
      </c>
      <c r="C11937" t="s">
        <v>14597</v>
      </c>
      <c r="D11937" t="s">
        <v>18026</v>
      </c>
      <c r="E11937" t="s">
        <v>28438</v>
      </c>
      <c r="F11937" t="s">
        <v>31574</v>
      </c>
      <c r="G11937" t="s">
        <v>31583</v>
      </c>
      <c r="H11937" t="s">
        <v>31590</v>
      </c>
      <c r="I11937" t="s">
        <v>31600</v>
      </c>
      <c r="J11937" t="s">
        <v>39125</v>
      </c>
      <c r="K11937" t="s">
        <v>41186</v>
      </c>
      <c r="M11937" t="s">
        <v>44044</v>
      </c>
      <c r="N11937" t="s">
        <v>45095</v>
      </c>
      <c r="O11937" t="s">
        <v>45096</v>
      </c>
      <c r="P11937">
        <v>0</v>
      </c>
      <c r="Q11937">
        <v>3</v>
      </c>
      <c r="R11937" t="s">
        <v>45110</v>
      </c>
      <c r="S11937" t="s">
        <v>45605</v>
      </c>
      <c r="T11937" t="s">
        <v>47158</v>
      </c>
      <c r="U11937" t="s">
        <v>57237</v>
      </c>
      <c r="W11937" t="s">
        <v>44044</v>
      </c>
      <c r="X11937" t="s">
        <v>45111</v>
      </c>
    </row>
    <row r="11938" spans="1:24">
      <c r="A11938">
        <f>HYPERLINK("https://www.philgeps.gov.ph/GEPSNONPILOT/Tender/SplashBidNoticeAbstractUI.aspx?menuIndex=3&amp;refID=7023109&amp;Result=3","7023109")</f>
        <v>0</v>
      </c>
      <c r="B11938" t="s">
        <v>1488</v>
      </c>
      <c r="C11938" t="s">
        <v>14598</v>
      </c>
      <c r="D11938" t="s">
        <v>18088</v>
      </c>
      <c r="E11938" t="s">
        <v>21914</v>
      </c>
      <c r="F11938" t="s">
        <v>31574</v>
      </c>
      <c r="G11938" t="s">
        <v>31582</v>
      </c>
      <c r="H11938" t="s">
        <v>31591</v>
      </c>
      <c r="I11938" t="s">
        <v>8822</v>
      </c>
      <c r="J11938" t="s">
        <v>31935</v>
      </c>
      <c r="K11938" t="s">
        <v>41184</v>
      </c>
      <c r="M11938" t="s">
        <v>43073</v>
      </c>
      <c r="N11938" t="s">
        <v>45095</v>
      </c>
      <c r="O11938" t="s">
        <v>45096</v>
      </c>
      <c r="P11938">
        <v>0</v>
      </c>
      <c r="Q11938">
        <v>0</v>
      </c>
      <c r="R11938" t="s">
        <v>45110</v>
      </c>
      <c r="S11938" t="s">
        <v>45605</v>
      </c>
      <c r="T11938" t="s">
        <v>46926</v>
      </c>
      <c r="U11938" t="s">
        <v>57238</v>
      </c>
      <c r="V11938" t="s">
        <v>61162</v>
      </c>
      <c r="W11938" t="s">
        <v>43073</v>
      </c>
      <c r="X11938" t="s">
        <v>45111</v>
      </c>
    </row>
    <row r="11939" spans="1:24">
      <c r="A11939">
        <f>HYPERLINK("https://www.philgeps.gov.ph/GEPSNONPILOT/Tender/SplashBidNoticeAbstractUI.aspx?menuIndex=3&amp;refID=7023055&amp;Result=3","7023055")</f>
        <v>0</v>
      </c>
      <c r="B11939" t="s">
        <v>1592</v>
      </c>
      <c r="C11939" t="s">
        <v>14599</v>
      </c>
      <c r="D11939" t="s">
        <v>18072</v>
      </c>
      <c r="E11939" t="s">
        <v>28439</v>
      </c>
      <c r="F11939" t="s">
        <v>31574</v>
      </c>
      <c r="G11939" t="s">
        <v>31582</v>
      </c>
      <c r="H11939" t="s">
        <v>31591</v>
      </c>
      <c r="I11939" t="s">
        <v>8822</v>
      </c>
      <c r="J11939" t="s">
        <v>38686</v>
      </c>
      <c r="K11939" t="s">
        <v>41351</v>
      </c>
      <c r="M11939" t="s">
        <v>43196</v>
      </c>
      <c r="N11939" t="s">
        <v>45095</v>
      </c>
      <c r="O11939" t="s">
        <v>45096</v>
      </c>
      <c r="P11939">
        <v>0</v>
      </c>
      <c r="Q11939">
        <v>1</v>
      </c>
      <c r="R11939" t="s">
        <v>45110</v>
      </c>
      <c r="S11939" t="s">
        <v>45605</v>
      </c>
      <c r="T11939" t="s">
        <v>46932</v>
      </c>
      <c r="U11939" t="s">
        <v>51461</v>
      </c>
      <c r="W11939" t="s">
        <v>43196</v>
      </c>
      <c r="X11939" t="s">
        <v>45111</v>
      </c>
    </row>
    <row r="11940" spans="1:24">
      <c r="A11940">
        <f>HYPERLINK("https://www.philgeps.gov.ph/GEPSNONPILOT/Tender/SplashBidNoticeAbstractUI.aspx?menuIndex=3&amp;refID=7023183&amp;Result=3","7023183")</f>
        <v>0</v>
      </c>
      <c r="B11940" t="s">
        <v>1610</v>
      </c>
      <c r="C11940" t="s">
        <v>14600</v>
      </c>
      <c r="E11940" t="s">
        <v>28440</v>
      </c>
      <c r="F11940" t="s">
        <v>31574</v>
      </c>
      <c r="G11940" t="s">
        <v>31582</v>
      </c>
      <c r="H11940" t="s">
        <v>31590</v>
      </c>
      <c r="I11940" t="s">
        <v>31597</v>
      </c>
      <c r="J11940" t="s">
        <v>39126</v>
      </c>
      <c r="K11940" t="s">
        <v>41184</v>
      </c>
      <c r="M11940" t="s">
        <v>43215</v>
      </c>
      <c r="N11940" t="s">
        <v>45095</v>
      </c>
      <c r="O11940" t="s">
        <v>45096</v>
      </c>
      <c r="Q11940">
        <v>5</v>
      </c>
      <c r="R11940" t="s">
        <v>45110</v>
      </c>
      <c r="S11940" t="s">
        <v>45646</v>
      </c>
      <c r="T11940" t="s">
        <v>47156</v>
      </c>
      <c r="U11940" t="s">
        <v>49674</v>
      </c>
      <c r="W11940" t="s">
        <v>43215</v>
      </c>
      <c r="X11940" t="s">
        <v>45111</v>
      </c>
    </row>
    <row r="11941" spans="1:24">
      <c r="A11941">
        <f>HYPERLINK("https://www.philgeps.gov.ph/GEPSNONPILOT/Tender/SplashBidNoticeAbstractUI.aspx?menuIndex=3&amp;refID=7023057&amp;Result=3","7023057")</f>
        <v>0</v>
      </c>
      <c r="B11941" t="s">
        <v>1435</v>
      </c>
      <c r="C11941" t="s">
        <v>14601</v>
      </c>
      <c r="D11941" t="s">
        <v>18023</v>
      </c>
      <c r="E11941" t="s">
        <v>28441</v>
      </c>
      <c r="F11941" t="s">
        <v>31574</v>
      </c>
      <c r="G11941" t="s">
        <v>31582</v>
      </c>
      <c r="H11941" t="s">
        <v>31590</v>
      </c>
      <c r="I11941" t="s">
        <v>4046</v>
      </c>
      <c r="J11941" t="s">
        <v>39127</v>
      </c>
      <c r="K11941" t="s">
        <v>41186</v>
      </c>
      <c r="L11941" t="s">
        <v>1435</v>
      </c>
      <c r="M11941" t="s">
        <v>43011</v>
      </c>
      <c r="N11941" t="s">
        <v>45095</v>
      </c>
      <c r="O11941" t="s">
        <v>45096</v>
      </c>
      <c r="P11941">
        <v>0</v>
      </c>
      <c r="Q11941">
        <v>2</v>
      </c>
      <c r="R11941" t="s">
        <v>45110</v>
      </c>
      <c r="S11941" t="s">
        <v>45605</v>
      </c>
      <c r="T11941" t="s">
        <v>46952</v>
      </c>
      <c r="U11941" t="s">
        <v>57239</v>
      </c>
      <c r="W11941" t="s">
        <v>43011</v>
      </c>
      <c r="X11941" t="s">
        <v>45111</v>
      </c>
    </row>
    <row r="11942" spans="1:24">
      <c r="A11942">
        <f>HYPERLINK("https://www.philgeps.gov.ph/GEPSNONPILOT/Tender/SplashBidNoticeAbstractUI.aspx?menuIndex=3&amp;refID=7023252&amp;Result=3","7023252")</f>
        <v>0</v>
      </c>
      <c r="B11942" t="s">
        <v>526</v>
      </c>
      <c r="C11942" t="s">
        <v>14602</v>
      </c>
      <c r="D11942" t="s">
        <v>18086</v>
      </c>
      <c r="E11942" t="s">
        <v>19368</v>
      </c>
      <c r="F11942" t="s">
        <v>31574</v>
      </c>
      <c r="G11942" t="s">
        <v>31582</v>
      </c>
      <c r="H11942" t="s">
        <v>31591</v>
      </c>
      <c r="I11942" t="s">
        <v>8822</v>
      </c>
      <c r="J11942" t="s">
        <v>31935</v>
      </c>
      <c r="K11942" t="s">
        <v>41189</v>
      </c>
      <c r="M11942" t="s">
        <v>42022</v>
      </c>
      <c r="N11942" t="s">
        <v>45095</v>
      </c>
      <c r="O11942" t="s">
        <v>45096</v>
      </c>
      <c r="P11942">
        <v>0</v>
      </c>
      <c r="Q11942">
        <v>0</v>
      </c>
      <c r="R11942" t="s">
        <v>45110</v>
      </c>
      <c r="S11942" t="s">
        <v>45605</v>
      </c>
      <c r="T11942" t="s">
        <v>46955</v>
      </c>
      <c r="U11942" t="s">
        <v>57240</v>
      </c>
      <c r="W11942" t="s">
        <v>42022</v>
      </c>
      <c r="X11942" t="s">
        <v>45111</v>
      </c>
    </row>
    <row r="11943" spans="1:24">
      <c r="A11943">
        <f>HYPERLINK("https://www.philgeps.gov.ph/GEPSNONPILOT/Tender/SplashBidNoticeAbstractUI.aspx?menuIndex=3&amp;refID=7023226&amp;Result=3","7023226")</f>
        <v>0</v>
      </c>
      <c r="B11943" t="s">
        <v>526</v>
      </c>
      <c r="C11943" t="s">
        <v>14603</v>
      </c>
      <c r="D11943" t="s">
        <v>18086</v>
      </c>
      <c r="E11943" t="s">
        <v>18367</v>
      </c>
      <c r="F11943" t="s">
        <v>31574</v>
      </c>
      <c r="G11943" t="s">
        <v>31582</v>
      </c>
      <c r="H11943" t="s">
        <v>31591</v>
      </c>
      <c r="I11943" t="s">
        <v>8822</v>
      </c>
      <c r="J11943" t="s">
        <v>31771</v>
      </c>
      <c r="K11943" t="s">
        <v>41243</v>
      </c>
      <c r="M11943" t="s">
        <v>42022</v>
      </c>
      <c r="N11943" t="s">
        <v>45095</v>
      </c>
      <c r="O11943" t="s">
        <v>45096</v>
      </c>
      <c r="P11943">
        <v>0</v>
      </c>
      <c r="Q11943">
        <v>1</v>
      </c>
      <c r="R11943" t="s">
        <v>45110</v>
      </c>
      <c r="S11943" t="s">
        <v>45605</v>
      </c>
      <c r="T11943" t="s">
        <v>46955</v>
      </c>
      <c r="U11943" t="s">
        <v>57241</v>
      </c>
      <c r="W11943" t="s">
        <v>42022</v>
      </c>
      <c r="X11943" t="s">
        <v>45111</v>
      </c>
    </row>
    <row r="11944" spans="1:24">
      <c r="A11944">
        <f>HYPERLINK("https://www.philgeps.gov.ph/GEPSNONPILOT/Tender/SplashBidNoticeAbstractUI.aspx?menuIndex=3&amp;refID=7023180&amp;Result=3","7023180")</f>
        <v>0</v>
      </c>
      <c r="B11944" t="s">
        <v>432</v>
      </c>
      <c r="C11944" t="s">
        <v>14604</v>
      </c>
      <c r="D11944" t="s">
        <v>18096</v>
      </c>
      <c r="E11944" t="s">
        <v>28442</v>
      </c>
      <c r="F11944" t="s">
        <v>31574</v>
      </c>
      <c r="G11944" t="s">
        <v>31582</v>
      </c>
      <c r="H11944" t="s">
        <v>31590</v>
      </c>
      <c r="I11944" t="s">
        <v>31615</v>
      </c>
      <c r="J11944" t="s">
        <v>32026</v>
      </c>
      <c r="K11944" t="s">
        <v>41190</v>
      </c>
      <c r="M11944" t="s">
        <v>41925</v>
      </c>
      <c r="N11944" t="s">
        <v>45095</v>
      </c>
      <c r="O11944" t="s">
        <v>45096</v>
      </c>
      <c r="Q11944">
        <v>5</v>
      </c>
      <c r="R11944" t="s">
        <v>45110</v>
      </c>
      <c r="S11944" t="s">
        <v>45647</v>
      </c>
      <c r="T11944" t="s">
        <v>46917</v>
      </c>
      <c r="U11944" t="s">
        <v>57242</v>
      </c>
      <c r="W11944" t="s">
        <v>41925</v>
      </c>
      <c r="X11944" t="s">
        <v>45111</v>
      </c>
    </row>
    <row r="11945" spans="1:24">
      <c r="A11945">
        <f>HYPERLINK("https://www.philgeps.gov.ph/GEPSNONPILOT/Tender/SplashBidNoticeAbstractUI.aspx?menuIndex=3&amp;refID=7023062&amp;Result=3","7023062")</f>
        <v>0</v>
      </c>
      <c r="B11945" t="s">
        <v>526</v>
      </c>
      <c r="C11945" t="s">
        <v>14605</v>
      </c>
      <c r="D11945" t="s">
        <v>18086</v>
      </c>
      <c r="E11945" t="s">
        <v>19061</v>
      </c>
      <c r="F11945" t="s">
        <v>31574</v>
      </c>
      <c r="G11945" t="s">
        <v>31582</v>
      </c>
      <c r="H11945" t="s">
        <v>31591</v>
      </c>
      <c r="I11945" t="s">
        <v>8822</v>
      </c>
      <c r="J11945" t="s">
        <v>31935</v>
      </c>
      <c r="K11945" t="s">
        <v>41189</v>
      </c>
      <c r="M11945" t="s">
        <v>42022</v>
      </c>
      <c r="N11945" t="s">
        <v>45095</v>
      </c>
      <c r="O11945" t="s">
        <v>45096</v>
      </c>
      <c r="P11945">
        <v>0</v>
      </c>
      <c r="Q11945">
        <v>0</v>
      </c>
      <c r="R11945" t="s">
        <v>45110</v>
      </c>
      <c r="S11945" t="s">
        <v>45605</v>
      </c>
      <c r="T11945" t="s">
        <v>46955</v>
      </c>
      <c r="U11945" t="s">
        <v>57243</v>
      </c>
      <c r="W11945" t="s">
        <v>42022</v>
      </c>
      <c r="X11945" t="s">
        <v>45111</v>
      </c>
    </row>
    <row r="11946" spans="1:24">
      <c r="A11946">
        <f>HYPERLINK("https://www.philgeps.gov.ph/GEPSNONPILOT/Tender/SplashBidNoticeAbstractUI.aspx?menuIndex=3&amp;refID=7023260&amp;Result=3","7023260")</f>
        <v>0</v>
      </c>
      <c r="B11946" t="s">
        <v>1178</v>
      </c>
      <c r="C11946" t="s">
        <v>14606</v>
      </c>
      <c r="D11946" t="s">
        <v>18099</v>
      </c>
      <c r="E11946" t="s">
        <v>28443</v>
      </c>
      <c r="F11946" t="s">
        <v>31574</v>
      </c>
      <c r="G11946" t="s">
        <v>31582</v>
      </c>
      <c r="H11946" t="s">
        <v>31591</v>
      </c>
      <c r="I11946" t="s">
        <v>8822</v>
      </c>
      <c r="J11946" t="s">
        <v>39128</v>
      </c>
      <c r="K11946" t="s">
        <v>41256</v>
      </c>
      <c r="M11946" t="s">
        <v>42737</v>
      </c>
      <c r="N11946" t="s">
        <v>45095</v>
      </c>
      <c r="O11946" t="s">
        <v>45096</v>
      </c>
      <c r="Q11946">
        <v>3</v>
      </c>
      <c r="R11946" t="s">
        <v>45110</v>
      </c>
      <c r="S11946" t="s">
        <v>45648</v>
      </c>
      <c r="T11946" t="s">
        <v>46979</v>
      </c>
      <c r="U11946" t="s">
        <v>57244</v>
      </c>
      <c r="W11946" t="s">
        <v>42737</v>
      </c>
      <c r="X11946" t="s">
        <v>45111</v>
      </c>
    </row>
    <row r="11947" spans="1:24">
      <c r="A11947">
        <f>HYPERLINK("https://www.philgeps.gov.ph/GEPSNONPILOT/Tender/SplashBidNoticeAbstractUI.aspx?menuIndex=3&amp;refID=7023191&amp;Result=3","7023191")</f>
        <v>0</v>
      </c>
      <c r="B11947" t="s">
        <v>132</v>
      </c>
      <c r="C11947" t="s">
        <v>14607</v>
      </c>
      <c r="D11947" t="s">
        <v>18059</v>
      </c>
      <c r="E11947" t="s">
        <v>28444</v>
      </c>
      <c r="F11947" t="s">
        <v>31574</v>
      </c>
      <c r="G11947" t="s">
        <v>31582</v>
      </c>
      <c r="H11947" t="s">
        <v>31590</v>
      </c>
      <c r="I11947" t="s">
        <v>31615</v>
      </c>
      <c r="J11947" t="s">
        <v>32235</v>
      </c>
      <c r="K11947" t="s">
        <v>41190</v>
      </c>
      <c r="M11947" t="s">
        <v>41616</v>
      </c>
      <c r="N11947" t="s">
        <v>45095</v>
      </c>
      <c r="O11947" t="s">
        <v>45096</v>
      </c>
      <c r="Q11947">
        <v>0</v>
      </c>
      <c r="R11947" t="s">
        <v>45110</v>
      </c>
      <c r="S11947" t="s">
        <v>45649</v>
      </c>
      <c r="T11947" t="s">
        <v>46926</v>
      </c>
      <c r="U11947" t="s">
        <v>57245</v>
      </c>
      <c r="W11947" t="s">
        <v>41616</v>
      </c>
      <c r="X11947" t="s">
        <v>45111</v>
      </c>
    </row>
    <row r="11948" spans="1:24">
      <c r="A11948">
        <f>HYPERLINK("https://www.philgeps.gov.ph/GEPSNONPILOT/Tender/SplashBidNoticeAbstractUI.aspx?menuIndex=3&amp;refID=7023209&amp;Result=3","7023209")</f>
        <v>0</v>
      </c>
      <c r="B11948" t="s">
        <v>1560</v>
      </c>
      <c r="C11948" t="s">
        <v>14608</v>
      </c>
      <c r="D11948" t="s">
        <v>18072</v>
      </c>
      <c r="E11948" t="s">
        <v>28445</v>
      </c>
      <c r="F11948" t="s">
        <v>31574</v>
      </c>
      <c r="G11948" t="s">
        <v>31582</v>
      </c>
      <c r="H11948" t="s">
        <v>31590</v>
      </c>
      <c r="I11948" t="s">
        <v>4046</v>
      </c>
      <c r="J11948" t="s">
        <v>39129</v>
      </c>
      <c r="K11948" t="s">
        <v>41186</v>
      </c>
      <c r="M11948" t="s">
        <v>43159</v>
      </c>
      <c r="N11948" t="s">
        <v>45095</v>
      </c>
      <c r="O11948" t="s">
        <v>45096</v>
      </c>
      <c r="P11948">
        <v>0</v>
      </c>
      <c r="Q11948">
        <v>0</v>
      </c>
      <c r="R11948" t="s">
        <v>45110</v>
      </c>
      <c r="S11948" t="s">
        <v>45605</v>
      </c>
      <c r="T11948" t="s">
        <v>47056</v>
      </c>
      <c r="U11948" t="s">
        <v>57246</v>
      </c>
      <c r="W11948" t="s">
        <v>43159</v>
      </c>
      <c r="X11948" t="s">
        <v>45111</v>
      </c>
    </row>
    <row r="11949" spans="1:24">
      <c r="A11949">
        <f>HYPERLINK("https://www.philgeps.gov.ph/GEPSNONPILOT/Tender/SplashBidNoticeAbstractUI.aspx?menuIndex=3&amp;refID=7023210&amp;Result=3","7023210")</f>
        <v>0</v>
      </c>
      <c r="B11949" t="s">
        <v>116</v>
      </c>
      <c r="C11949" t="s">
        <v>14609</v>
      </c>
      <c r="D11949" t="s">
        <v>18068</v>
      </c>
      <c r="E11949" t="s">
        <v>28446</v>
      </c>
      <c r="F11949" t="s">
        <v>31574</v>
      </c>
      <c r="G11949" t="s">
        <v>31582</v>
      </c>
      <c r="H11949" t="s">
        <v>31590</v>
      </c>
      <c r="I11949" t="s">
        <v>31690</v>
      </c>
      <c r="J11949" t="s">
        <v>38014</v>
      </c>
      <c r="K11949" t="s">
        <v>41196</v>
      </c>
      <c r="M11949" t="s">
        <v>44703</v>
      </c>
      <c r="N11949" t="s">
        <v>45095</v>
      </c>
      <c r="O11949" t="s">
        <v>45096</v>
      </c>
      <c r="P11949">
        <v>0</v>
      </c>
      <c r="Q11949">
        <v>1</v>
      </c>
      <c r="R11949" t="s">
        <v>45110</v>
      </c>
      <c r="S11949" t="s">
        <v>45605</v>
      </c>
      <c r="T11949" t="s">
        <v>47056</v>
      </c>
      <c r="U11949" t="s">
        <v>57247</v>
      </c>
      <c r="W11949" t="s">
        <v>44703</v>
      </c>
      <c r="X11949" t="s">
        <v>45111</v>
      </c>
    </row>
    <row r="11950" spans="1:24">
      <c r="A11950">
        <f>HYPERLINK("https://www.philgeps.gov.ph/GEPSNONPILOT/Tender/SplashBidNoticeAbstractUI.aspx?menuIndex=3&amp;refID=7023213&amp;Result=3","7023213")</f>
        <v>0</v>
      </c>
      <c r="B11950" t="s">
        <v>2334</v>
      </c>
      <c r="C11950" t="s">
        <v>14610</v>
      </c>
      <c r="D11950" t="s">
        <v>18026</v>
      </c>
      <c r="E11950" t="s">
        <v>28447</v>
      </c>
      <c r="F11950" t="s">
        <v>31574</v>
      </c>
      <c r="G11950" t="s">
        <v>31583</v>
      </c>
      <c r="H11950" t="s">
        <v>31592</v>
      </c>
      <c r="I11950" t="s">
        <v>31656</v>
      </c>
      <c r="J11950" t="s">
        <v>33297</v>
      </c>
      <c r="K11950" t="s">
        <v>41237</v>
      </c>
      <c r="M11950" t="s">
        <v>44044</v>
      </c>
      <c r="N11950" t="s">
        <v>45095</v>
      </c>
      <c r="O11950" t="s">
        <v>45096</v>
      </c>
      <c r="P11950">
        <v>0</v>
      </c>
      <c r="Q11950">
        <v>2</v>
      </c>
      <c r="R11950" t="s">
        <v>45110</v>
      </c>
      <c r="S11950" t="s">
        <v>45605</v>
      </c>
      <c r="T11950" t="s">
        <v>47158</v>
      </c>
      <c r="U11950" t="s">
        <v>57248</v>
      </c>
      <c r="W11950" t="s">
        <v>44044</v>
      </c>
      <c r="X11950" t="s">
        <v>45111</v>
      </c>
    </row>
    <row r="11951" spans="1:24">
      <c r="A11951">
        <f>HYPERLINK("https://www.philgeps.gov.ph/GEPSNONPILOT/Tender/SplashBidNoticeAbstractUI.aspx?menuIndex=3&amp;refID=7023217&amp;Result=3","7023217")</f>
        <v>0</v>
      </c>
      <c r="B11951" t="s">
        <v>132</v>
      </c>
      <c r="C11951" t="s">
        <v>14611</v>
      </c>
      <c r="D11951" t="s">
        <v>18059</v>
      </c>
      <c r="E11951" t="s">
        <v>28448</v>
      </c>
      <c r="F11951" t="s">
        <v>31574</v>
      </c>
      <c r="G11951" t="s">
        <v>31582</v>
      </c>
      <c r="H11951" t="s">
        <v>31590</v>
      </c>
      <c r="I11951" t="s">
        <v>31615</v>
      </c>
      <c r="J11951" t="s">
        <v>31888</v>
      </c>
      <c r="K11951" t="s">
        <v>41190</v>
      </c>
      <c r="M11951" t="s">
        <v>41616</v>
      </c>
      <c r="N11951" t="s">
        <v>45095</v>
      </c>
      <c r="O11951" t="s">
        <v>45096</v>
      </c>
      <c r="Q11951">
        <v>0</v>
      </c>
      <c r="R11951" t="s">
        <v>45110</v>
      </c>
      <c r="S11951" t="s">
        <v>45650</v>
      </c>
      <c r="T11951" t="s">
        <v>46926</v>
      </c>
      <c r="U11951" t="s">
        <v>57249</v>
      </c>
      <c r="W11951" t="s">
        <v>41616</v>
      </c>
      <c r="X11951" t="s">
        <v>45111</v>
      </c>
    </row>
    <row r="11952" spans="1:24">
      <c r="A11952">
        <f>HYPERLINK("https://www.philgeps.gov.ph/GEPSNONPILOT/Tender/SplashBidNoticeAbstractUI.aspx?menuIndex=3&amp;refID=7023076&amp;Result=3","7023076")</f>
        <v>0</v>
      </c>
      <c r="B11952" t="s">
        <v>401</v>
      </c>
      <c r="C11952" t="s">
        <v>14612</v>
      </c>
      <c r="D11952" t="s">
        <v>18052</v>
      </c>
      <c r="E11952" t="s">
        <v>28449</v>
      </c>
      <c r="F11952" t="s">
        <v>31574</v>
      </c>
      <c r="G11952" t="s">
        <v>31582</v>
      </c>
      <c r="H11952" t="s">
        <v>31591</v>
      </c>
      <c r="I11952" t="s">
        <v>8822</v>
      </c>
      <c r="J11952" t="s">
        <v>39130</v>
      </c>
      <c r="K11952" t="s">
        <v>41185</v>
      </c>
      <c r="M11952" t="s">
        <v>41892</v>
      </c>
      <c r="N11952" t="s">
        <v>45095</v>
      </c>
      <c r="O11952" t="s">
        <v>45096</v>
      </c>
      <c r="P11952">
        <v>0</v>
      </c>
      <c r="Q11952">
        <v>0</v>
      </c>
      <c r="R11952" t="s">
        <v>45110</v>
      </c>
      <c r="S11952" t="s">
        <v>45605</v>
      </c>
      <c r="T11952" t="s">
        <v>46991</v>
      </c>
      <c r="U11952" t="s">
        <v>57250</v>
      </c>
      <c r="W11952" t="s">
        <v>41892</v>
      </c>
      <c r="X11952" t="s">
        <v>45111</v>
      </c>
    </row>
    <row r="11953" spans="1:24">
      <c r="A11953">
        <f>HYPERLINK("https://www.philgeps.gov.ph/GEPSNONPILOT/Tender/SplashBidNoticeAbstractUI.aspx?menuIndex=3&amp;refID=7023192&amp;Result=3","7023192")</f>
        <v>0</v>
      </c>
      <c r="B11953" t="s">
        <v>401</v>
      </c>
      <c r="C11953" t="s">
        <v>14613</v>
      </c>
      <c r="D11953" t="s">
        <v>18052</v>
      </c>
      <c r="E11953" t="s">
        <v>28450</v>
      </c>
      <c r="F11953" t="s">
        <v>31574</v>
      </c>
      <c r="G11953" t="s">
        <v>31582</v>
      </c>
      <c r="H11953" t="s">
        <v>31591</v>
      </c>
      <c r="I11953" t="s">
        <v>8822</v>
      </c>
      <c r="J11953" t="s">
        <v>39131</v>
      </c>
      <c r="K11953" t="s">
        <v>41203</v>
      </c>
      <c r="M11953" t="s">
        <v>41892</v>
      </c>
      <c r="N11953" t="s">
        <v>45095</v>
      </c>
      <c r="O11953" t="s">
        <v>45096</v>
      </c>
      <c r="P11953">
        <v>0</v>
      </c>
      <c r="Q11953">
        <v>0</v>
      </c>
      <c r="R11953" t="s">
        <v>45110</v>
      </c>
      <c r="S11953" t="s">
        <v>45605</v>
      </c>
      <c r="T11953" t="s">
        <v>46991</v>
      </c>
      <c r="U11953" t="s">
        <v>57251</v>
      </c>
      <c r="W11953" t="s">
        <v>41892</v>
      </c>
      <c r="X11953" t="s">
        <v>45111</v>
      </c>
    </row>
    <row r="11954" spans="1:24">
      <c r="A11954">
        <f>HYPERLINK("https://www.philgeps.gov.ph/GEPSNONPILOT/Tender/SplashBidNoticeAbstractUI.aspx?menuIndex=3&amp;refID=7023200&amp;Result=3","7023200")</f>
        <v>0</v>
      </c>
      <c r="B11954" t="s">
        <v>2526</v>
      </c>
      <c r="C11954" t="s">
        <v>14614</v>
      </c>
      <c r="D11954" t="s">
        <v>18022</v>
      </c>
      <c r="E11954" t="s">
        <v>28451</v>
      </c>
      <c r="F11954" t="s">
        <v>31574</v>
      </c>
      <c r="G11954" t="s">
        <v>31582</v>
      </c>
      <c r="H11954" t="s">
        <v>31590</v>
      </c>
      <c r="I11954" t="s">
        <v>8258</v>
      </c>
      <c r="J11954" t="s">
        <v>39132</v>
      </c>
      <c r="K11954" t="s">
        <v>41184</v>
      </c>
      <c r="M11954" t="s">
        <v>44261</v>
      </c>
      <c r="N11954" t="s">
        <v>45095</v>
      </c>
      <c r="O11954" t="s">
        <v>45096</v>
      </c>
      <c r="P11954">
        <v>0</v>
      </c>
      <c r="Q11954">
        <v>8</v>
      </c>
      <c r="R11954" t="s">
        <v>45110</v>
      </c>
      <c r="S11954" t="s">
        <v>45605</v>
      </c>
      <c r="T11954" t="s">
        <v>47003</v>
      </c>
      <c r="U11954" t="s">
        <v>57252</v>
      </c>
      <c r="W11954" t="s">
        <v>44261</v>
      </c>
      <c r="X11954" t="s">
        <v>45111</v>
      </c>
    </row>
    <row r="11955" spans="1:24">
      <c r="A11955">
        <f>HYPERLINK("https://www.philgeps.gov.ph/GEPSNONPILOT/Tender/SplashBidNoticeAbstractUI.aspx?menuIndex=3&amp;refID=7023171&amp;Result=3","7023171")</f>
        <v>0</v>
      </c>
      <c r="B11955" t="s">
        <v>1488</v>
      </c>
      <c r="C11955" t="s">
        <v>14615</v>
      </c>
      <c r="D11955" t="s">
        <v>18088</v>
      </c>
      <c r="E11955" t="s">
        <v>21914</v>
      </c>
      <c r="F11955" t="s">
        <v>31574</v>
      </c>
      <c r="G11955" t="s">
        <v>31582</v>
      </c>
      <c r="H11955" t="s">
        <v>31591</v>
      </c>
      <c r="I11955" t="s">
        <v>8822</v>
      </c>
      <c r="J11955" t="s">
        <v>31771</v>
      </c>
      <c r="K11955" t="s">
        <v>41184</v>
      </c>
      <c r="M11955" t="s">
        <v>43073</v>
      </c>
      <c r="N11955" t="s">
        <v>45095</v>
      </c>
      <c r="O11955" t="s">
        <v>45096</v>
      </c>
      <c r="P11955">
        <v>0</v>
      </c>
      <c r="Q11955">
        <v>0</v>
      </c>
      <c r="R11955" t="s">
        <v>45110</v>
      </c>
      <c r="S11955" t="s">
        <v>45605</v>
      </c>
      <c r="T11955" t="s">
        <v>46926</v>
      </c>
      <c r="U11955" t="s">
        <v>57253</v>
      </c>
      <c r="V11955" t="s">
        <v>61162</v>
      </c>
      <c r="W11955" t="s">
        <v>43073</v>
      </c>
      <c r="X11955" t="s">
        <v>45111</v>
      </c>
    </row>
    <row r="11956" spans="1:24">
      <c r="A11956">
        <f>HYPERLINK("https://www.philgeps.gov.ph/GEPSNONPILOT/Tender/SplashBidNoticeAbstractUI.aspx?menuIndex=3&amp;refID=7023319&amp;Result=3","7023319")</f>
        <v>0</v>
      </c>
      <c r="B11956" t="s">
        <v>524</v>
      </c>
      <c r="C11956" t="s">
        <v>14616</v>
      </c>
      <c r="D11956" t="s">
        <v>18094</v>
      </c>
      <c r="E11956" t="s">
        <v>28452</v>
      </c>
      <c r="F11956" t="s">
        <v>31574</v>
      </c>
      <c r="G11956" t="s">
        <v>31582</v>
      </c>
      <c r="H11956" t="s">
        <v>31591</v>
      </c>
      <c r="I11956" t="s">
        <v>8822</v>
      </c>
      <c r="J11956" t="s">
        <v>39133</v>
      </c>
      <c r="K11956" t="s">
        <v>41375</v>
      </c>
      <c r="M11956" t="s">
        <v>43926</v>
      </c>
      <c r="N11956" t="s">
        <v>45095</v>
      </c>
      <c r="O11956" t="s">
        <v>45096</v>
      </c>
      <c r="P11956">
        <v>0</v>
      </c>
      <c r="Q11956">
        <v>3</v>
      </c>
      <c r="R11956" t="s">
        <v>45110</v>
      </c>
      <c r="S11956" t="s">
        <v>45605</v>
      </c>
      <c r="T11956" t="s">
        <v>46922</v>
      </c>
      <c r="U11956" t="s">
        <v>57254</v>
      </c>
      <c r="W11956" t="s">
        <v>43926</v>
      </c>
      <c r="X11956" t="s">
        <v>45111</v>
      </c>
    </row>
    <row r="11957" spans="1:24">
      <c r="A11957">
        <f>HYPERLINK("https://www.philgeps.gov.ph/GEPSNONPILOT/Tender/SplashBidNoticeAbstractUI.aspx?menuIndex=3&amp;refID=7023313&amp;Result=3","7023313")</f>
        <v>0</v>
      </c>
      <c r="B11957" t="s">
        <v>1926</v>
      </c>
      <c r="C11957" t="s">
        <v>14617</v>
      </c>
      <c r="D11957" t="s">
        <v>18099</v>
      </c>
      <c r="E11957" t="s">
        <v>28453</v>
      </c>
      <c r="F11957" t="s">
        <v>31574</v>
      </c>
      <c r="G11957" t="s">
        <v>31582</v>
      </c>
      <c r="H11957" t="s">
        <v>31591</v>
      </c>
      <c r="I11957" t="s">
        <v>8822</v>
      </c>
      <c r="J11957" t="s">
        <v>39134</v>
      </c>
      <c r="K11957" t="s">
        <v>41186</v>
      </c>
      <c r="M11957" t="s">
        <v>43578</v>
      </c>
      <c r="N11957" t="s">
        <v>45095</v>
      </c>
      <c r="O11957" t="s">
        <v>45096</v>
      </c>
      <c r="P11957">
        <v>0</v>
      </c>
      <c r="Q11957">
        <v>0</v>
      </c>
      <c r="R11957" t="s">
        <v>45110</v>
      </c>
      <c r="S11957" t="s">
        <v>45605</v>
      </c>
      <c r="T11957" t="s">
        <v>46926</v>
      </c>
      <c r="U11957" t="s">
        <v>57255</v>
      </c>
      <c r="V11957" t="s">
        <v>60507</v>
      </c>
      <c r="W11957" t="s">
        <v>43578</v>
      </c>
      <c r="X11957" t="s">
        <v>45111</v>
      </c>
    </row>
    <row r="11958" spans="1:24">
      <c r="A11958">
        <f>HYPERLINK("https://www.philgeps.gov.ph/GEPSNONPILOT/Tender/SplashBidNoticeAbstractUI.aspx?menuIndex=3&amp;refID=7023195&amp;Result=3","7023195")</f>
        <v>0</v>
      </c>
      <c r="B11958" t="s">
        <v>2691</v>
      </c>
      <c r="C11958" t="s">
        <v>14618</v>
      </c>
      <c r="E11958" t="s">
        <v>28454</v>
      </c>
      <c r="F11958" t="s">
        <v>31574</v>
      </c>
      <c r="G11958" t="s">
        <v>31582</v>
      </c>
      <c r="H11958" t="s">
        <v>31591</v>
      </c>
      <c r="I11958" t="s">
        <v>8822</v>
      </c>
      <c r="J11958" t="s">
        <v>39135</v>
      </c>
      <c r="K11958" t="s">
        <v>41189</v>
      </c>
      <c r="M11958" t="s">
        <v>44704</v>
      </c>
      <c r="N11958" t="s">
        <v>45095</v>
      </c>
      <c r="O11958" t="s">
        <v>45096</v>
      </c>
      <c r="P11958">
        <v>0</v>
      </c>
      <c r="Q11958">
        <v>0</v>
      </c>
      <c r="R11958" t="s">
        <v>45110</v>
      </c>
      <c r="S11958" t="s">
        <v>45605</v>
      </c>
      <c r="T11958" t="s">
        <v>46926</v>
      </c>
      <c r="U11958" t="s">
        <v>57256</v>
      </c>
      <c r="V11958" t="s">
        <v>61163</v>
      </c>
      <c r="W11958" t="s">
        <v>44704</v>
      </c>
      <c r="X11958" t="s">
        <v>45111</v>
      </c>
    </row>
    <row r="11959" spans="1:24">
      <c r="A11959">
        <f>HYPERLINK("https://www.philgeps.gov.ph/GEPSNONPILOT/Tender/SplashBidNoticeAbstractUI.aspx?menuIndex=3&amp;refID=7023309&amp;Result=3","7023309")</f>
        <v>0</v>
      </c>
      <c r="B11959" t="s">
        <v>2907</v>
      </c>
      <c r="C11959" t="s">
        <v>14619</v>
      </c>
      <c r="D11959" t="s">
        <v>18073</v>
      </c>
      <c r="E11959" t="s">
        <v>28455</v>
      </c>
      <c r="F11959" t="s">
        <v>31574</v>
      </c>
      <c r="G11959" t="s">
        <v>31582</v>
      </c>
      <c r="H11959" t="s">
        <v>31591</v>
      </c>
      <c r="I11959" t="s">
        <v>8822</v>
      </c>
      <c r="J11959" t="s">
        <v>32530</v>
      </c>
      <c r="K11959" t="s">
        <v>41411</v>
      </c>
      <c r="M11959" t="s">
        <v>44705</v>
      </c>
      <c r="N11959" t="s">
        <v>45095</v>
      </c>
      <c r="O11959" t="s">
        <v>45096</v>
      </c>
      <c r="P11959">
        <v>0</v>
      </c>
      <c r="Q11959">
        <v>0</v>
      </c>
      <c r="R11959" t="s">
        <v>45110</v>
      </c>
      <c r="S11959" t="s">
        <v>45605</v>
      </c>
      <c r="T11959" t="s">
        <v>47039</v>
      </c>
      <c r="U11959" t="s">
        <v>57257</v>
      </c>
      <c r="W11959" t="s">
        <v>44705</v>
      </c>
      <c r="X11959" t="s">
        <v>45111</v>
      </c>
    </row>
    <row r="11960" spans="1:24">
      <c r="A11960">
        <f>HYPERLINK("https://www.philgeps.gov.ph/GEPSNONPILOT/Tender/SplashBidNoticeAbstractUI.aspx?menuIndex=3&amp;refID=7023164&amp;Result=3","7023164")</f>
        <v>0</v>
      </c>
      <c r="B11960" t="s">
        <v>1592</v>
      </c>
      <c r="C11960" t="s">
        <v>14620</v>
      </c>
      <c r="D11960" t="s">
        <v>18072</v>
      </c>
      <c r="E11960" t="s">
        <v>28456</v>
      </c>
      <c r="F11960" t="s">
        <v>31574</v>
      </c>
      <c r="G11960" t="s">
        <v>31582</v>
      </c>
      <c r="H11960" t="s">
        <v>31591</v>
      </c>
      <c r="I11960" t="s">
        <v>8822</v>
      </c>
      <c r="J11960" t="s">
        <v>38686</v>
      </c>
      <c r="K11960" t="s">
        <v>41351</v>
      </c>
      <c r="M11960" t="s">
        <v>43196</v>
      </c>
      <c r="N11960" t="s">
        <v>45095</v>
      </c>
      <c r="O11960" t="s">
        <v>45096</v>
      </c>
      <c r="P11960">
        <v>0</v>
      </c>
      <c r="Q11960">
        <v>0</v>
      </c>
      <c r="R11960" t="s">
        <v>45110</v>
      </c>
      <c r="S11960" t="s">
        <v>45605</v>
      </c>
      <c r="T11960" t="s">
        <v>46932</v>
      </c>
      <c r="U11960" t="s">
        <v>51461</v>
      </c>
      <c r="W11960" t="s">
        <v>43196</v>
      </c>
      <c r="X11960" t="s">
        <v>45111</v>
      </c>
    </row>
    <row r="11961" spans="1:24">
      <c r="A11961">
        <f>HYPERLINK("https://www.philgeps.gov.ph/GEPSNONPILOT/Tender/SplashBidNoticeAbstractUI.aspx?menuIndex=3&amp;refID=7023336&amp;Result=3","7023336")</f>
        <v>0</v>
      </c>
      <c r="B11961" t="s">
        <v>2907</v>
      </c>
      <c r="C11961" t="s">
        <v>14621</v>
      </c>
      <c r="D11961" t="s">
        <v>18073</v>
      </c>
      <c r="E11961" t="s">
        <v>28457</v>
      </c>
      <c r="F11961" t="s">
        <v>31574</v>
      </c>
      <c r="G11961" t="s">
        <v>31582</v>
      </c>
      <c r="H11961" t="s">
        <v>31591</v>
      </c>
      <c r="I11961" t="s">
        <v>8822</v>
      </c>
      <c r="J11961" t="s">
        <v>32530</v>
      </c>
      <c r="K11961" t="s">
        <v>41411</v>
      </c>
      <c r="M11961" t="s">
        <v>44705</v>
      </c>
      <c r="N11961" t="s">
        <v>45095</v>
      </c>
      <c r="O11961" t="s">
        <v>45096</v>
      </c>
      <c r="P11961">
        <v>0</v>
      </c>
      <c r="Q11961">
        <v>0</v>
      </c>
      <c r="R11961" t="s">
        <v>45110</v>
      </c>
      <c r="S11961" t="s">
        <v>45605</v>
      </c>
      <c r="T11961" t="s">
        <v>47039</v>
      </c>
      <c r="U11961" t="s">
        <v>57257</v>
      </c>
      <c r="W11961" t="s">
        <v>44705</v>
      </c>
      <c r="X11961" t="s">
        <v>45111</v>
      </c>
    </row>
    <row r="11962" spans="1:24">
      <c r="A11962">
        <f>HYPERLINK("https://www.philgeps.gov.ph/GEPSNONPILOT/Tender/SplashBidNoticeAbstractUI.aspx?menuIndex=3&amp;refID=7023168&amp;Result=3","7023168")</f>
        <v>0</v>
      </c>
      <c r="B11962" t="s">
        <v>2800</v>
      </c>
      <c r="C11962" t="s">
        <v>14622</v>
      </c>
      <c r="D11962" t="s">
        <v>18083</v>
      </c>
      <c r="E11962" t="s">
        <v>28458</v>
      </c>
      <c r="F11962" t="s">
        <v>31575</v>
      </c>
      <c r="G11962" t="s">
        <v>31582</v>
      </c>
      <c r="H11962" t="s">
        <v>31591</v>
      </c>
      <c r="I11962" t="s">
        <v>8822</v>
      </c>
      <c r="J11962" t="s">
        <v>38558</v>
      </c>
      <c r="K11962" t="s">
        <v>41290</v>
      </c>
      <c r="M11962" t="s">
        <v>44575</v>
      </c>
      <c r="N11962" t="s">
        <v>45095</v>
      </c>
      <c r="O11962" t="s">
        <v>45096</v>
      </c>
      <c r="P11962">
        <v>0</v>
      </c>
      <c r="Q11962">
        <v>0</v>
      </c>
      <c r="R11962" t="s">
        <v>45110</v>
      </c>
      <c r="S11962" t="s">
        <v>45605</v>
      </c>
      <c r="T11962" t="s">
        <v>46985</v>
      </c>
      <c r="U11962" t="s">
        <v>56519</v>
      </c>
      <c r="W11962" t="s">
        <v>44575</v>
      </c>
      <c r="X11962" t="s">
        <v>45111</v>
      </c>
    </row>
    <row r="11963" spans="1:24">
      <c r="A11963">
        <f>HYPERLINK("https://www.philgeps.gov.ph/GEPSNONPILOT/Tender/SplashBidNoticeAbstractUI.aspx?menuIndex=3&amp;refID=7023176&amp;Result=3","7023176")</f>
        <v>0</v>
      </c>
      <c r="B11963" t="s">
        <v>2908</v>
      </c>
      <c r="C11963" t="s">
        <v>14623</v>
      </c>
      <c r="D11963" t="s">
        <v>18023</v>
      </c>
      <c r="E11963" t="s">
        <v>28459</v>
      </c>
      <c r="F11963" t="s">
        <v>31574</v>
      </c>
      <c r="G11963" t="s">
        <v>31582</v>
      </c>
      <c r="H11963" t="s">
        <v>31591</v>
      </c>
      <c r="I11963" t="s">
        <v>8822</v>
      </c>
      <c r="J11963" t="s">
        <v>31781</v>
      </c>
      <c r="K11963" t="s">
        <v>41192</v>
      </c>
      <c r="M11963" t="s">
        <v>44706</v>
      </c>
      <c r="N11963" t="s">
        <v>45095</v>
      </c>
      <c r="O11963" t="s">
        <v>45096</v>
      </c>
      <c r="P11963">
        <v>0</v>
      </c>
      <c r="Q11963">
        <v>25</v>
      </c>
      <c r="R11963" t="s">
        <v>45110</v>
      </c>
      <c r="S11963" t="s">
        <v>45605</v>
      </c>
      <c r="T11963" t="s">
        <v>46918</v>
      </c>
      <c r="U11963" t="s">
        <v>57258</v>
      </c>
      <c r="V11963" t="s">
        <v>61164</v>
      </c>
      <c r="W11963" t="s">
        <v>44706</v>
      </c>
      <c r="X11963" t="s">
        <v>45111</v>
      </c>
    </row>
    <row r="11964" spans="1:24">
      <c r="A11964">
        <f>HYPERLINK("https://www.philgeps.gov.ph/GEPSNONPILOT/Tender/SplashBidNoticeAbstractUI.aspx?menuIndex=3&amp;refID=7023365&amp;Result=3","7023365")</f>
        <v>0</v>
      </c>
      <c r="B11964" t="s">
        <v>1299</v>
      </c>
      <c r="C11964" t="s">
        <v>14624</v>
      </c>
      <c r="D11964" t="s">
        <v>18076</v>
      </c>
      <c r="E11964" t="s">
        <v>28460</v>
      </c>
      <c r="F11964" t="s">
        <v>31574</v>
      </c>
      <c r="G11964" t="s">
        <v>31582</v>
      </c>
      <c r="H11964" t="s">
        <v>31590</v>
      </c>
      <c r="I11964" t="s">
        <v>31615</v>
      </c>
      <c r="J11964" t="s">
        <v>32530</v>
      </c>
      <c r="K11964" t="s">
        <v>41192</v>
      </c>
      <c r="M11964" t="s">
        <v>42869</v>
      </c>
      <c r="N11964" t="s">
        <v>45095</v>
      </c>
      <c r="O11964" t="s">
        <v>45096</v>
      </c>
      <c r="P11964">
        <v>0</v>
      </c>
      <c r="Q11964">
        <v>8</v>
      </c>
      <c r="R11964" t="s">
        <v>45110</v>
      </c>
      <c r="S11964" t="s">
        <v>45605</v>
      </c>
      <c r="T11964" t="s">
        <v>47313</v>
      </c>
      <c r="U11964" t="s">
        <v>57259</v>
      </c>
      <c r="W11964" t="s">
        <v>42869</v>
      </c>
      <c r="X11964" t="s">
        <v>45111</v>
      </c>
    </row>
    <row r="11965" spans="1:24">
      <c r="A11965">
        <f>HYPERLINK("https://www.philgeps.gov.ph/GEPSNONPILOT/Tender/SplashBidNoticeAbstractUI.aspx?menuIndex=3&amp;refID=7023329&amp;Result=3","7023329")</f>
        <v>0</v>
      </c>
      <c r="B11965" t="s">
        <v>840</v>
      </c>
      <c r="C11965" t="s">
        <v>14625</v>
      </c>
      <c r="E11965" t="s">
        <v>28461</v>
      </c>
      <c r="F11965" t="s">
        <v>31574</v>
      </c>
      <c r="G11965" t="s">
        <v>31582</v>
      </c>
      <c r="H11965" t="s">
        <v>31592</v>
      </c>
      <c r="I11965" t="s">
        <v>4677</v>
      </c>
      <c r="J11965" t="s">
        <v>39136</v>
      </c>
      <c r="K11965" t="s">
        <v>41443</v>
      </c>
      <c r="M11965" t="s">
        <v>44707</v>
      </c>
      <c r="N11965" t="s">
        <v>45095</v>
      </c>
      <c r="O11965" t="s">
        <v>45096</v>
      </c>
      <c r="P11965">
        <v>0</v>
      </c>
      <c r="Q11965">
        <v>7</v>
      </c>
      <c r="R11965" t="s">
        <v>45110</v>
      </c>
      <c r="S11965" t="s">
        <v>45605</v>
      </c>
      <c r="T11965" t="s">
        <v>46914</v>
      </c>
      <c r="U11965" t="s">
        <v>57260</v>
      </c>
      <c r="W11965" t="s">
        <v>44707</v>
      </c>
      <c r="X11965" t="s">
        <v>45111</v>
      </c>
    </row>
    <row r="11966" spans="1:24">
      <c r="A11966">
        <f>HYPERLINK("https://www.philgeps.gov.ph/GEPSNONPILOT/Tender/SplashBidNoticeAbstractUI.aspx?menuIndex=3&amp;refID=7023293&amp;Result=3","7023293")</f>
        <v>0</v>
      </c>
      <c r="B11966" t="s">
        <v>2787</v>
      </c>
      <c r="C11966" t="s">
        <v>14626</v>
      </c>
      <c r="D11966" t="s">
        <v>18058</v>
      </c>
      <c r="E11966" t="s">
        <v>28462</v>
      </c>
      <c r="F11966" t="s">
        <v>31574</v>
      </c>
      <c r="G11966" t="s">
        <v>31582</v>
      </c>
      <c r="H11966" t="s">
        <v>31590</v>
      </c>
      <c r="I11966" t="s">
        <v>31615</v>
      </c>
      <c r="J11966" t="s">
        <v>31730</v>
      </c>
      <c r="K11966" t="s">
        <v>41196</v>
      </c>
      <c r="M11966" t="s">
        <v>44562</v>
      </c>
      <c r="N11966" t="s">
        <v>45095</v>
      </c>
      <c r="O11966" t="s">
        <v>45096</v>
      </c>
      <c r="P11966">
        <v>0</v>
      </c>
      <c r="Q11966">
        <v>12</v>
      </c>
      <c r="R11966" t="s">
        <v>45110</v>
      </c>
      <c r="S11966" t="s">
        <v>45605</v>
      </c>
      <c r="T11966" t="s">
        <v>46910</v>
      </c>
      <c r="U11966" t="s">
        <v>57261</v>
      </c>
      <c r="W11966" t="s">
        <v>44562</v>
      </c>
      <c r="X11966" t="s">
        <v>45111</v>
      </c>
    </row>
    <row r="11967" spans="1:24">
      <c r="A11967">
        <f>HYPERLINK("https://www.philgeps.gov.ph/GEPSNONPILOT/Tender/SplashBidNoticeAbstractUI.aspx?menuIndex=3&amp;refID=7023330&amp;Result=3","7023330")</f>
        <v>0</v>
      </c>
      <c r="B11967" t="s">
        <v>2334</v>
      </c>
      <c r="C11967" t="s">
        <v>14627</v>
      </c>
      <c r="D11967" t="s">
        <v>18026</v>
      </c>
      <c r="E11967" t="s">
        <v>28463</v>
      </c>
      <c r="F11967" t="s">
        <v>31574</v>
      </c>
      <c r="G11967" t="s">
        <v>31583</v>
      </c>
      <c r="H11967" t="s">
        <v>31590</v>
      </c>
      <c r="I11967" t="s">
        <v>4327</v>
      </c>
      <c r="J11967" t="s">
        <v>32028</v>
      </c>
      <c r="K11967" t="s">
        <v>41184</v>
      </c>
      <c r="M11967" t="s">
        <v>44044</v>
      </c>
      <c r="N11967" t="s">
        <v>45095</v>
      </c>
      <c r="O11967" t="s">
        <v>45096</v>
      </c>
      <c r="P11967">
        <v>0</v>
      </c>
      <c r="Q11967">
        <v>3</v>
      </c>
      <c r="R11967" t="s">
        <v>45110</v>
      </c>
      <c r="S11967" t="s">
        <v>45605</v>
      </c>
      <c r="T11967" t="s">
        <v>47158</v>
      </c>
      <c r="U11967" t="s">
        <v>57262</v>
      </c>
      <c r="W11967" t="s">
        <v>44044</v>
      </c>
      <c r="X11967" t="s">
        <v>45111</v>
      </c>
    </row>
    <row r="11968" spans="1:24">
      <c r="A11968">
        <f>HYPERLINK("https://www.philgeps.gov.ph/GEPSNONPILOT/Tender/SplashBidNoticeAbstractUI.aspx?menuIndex=3&amp;refID=7023346&amp;Result=3","7023346")</f>
        <v>0</v>
      </c>
      <c r="B11968" t="s">
        <v>517</v>
      </c>
      <c r="C11968" t="s">
        <v>14628</v>
      </c>
      <c r="D11968" t="s">
        <v>18036</v>
      </c>
      <c r="E11968" t="s">
        <v>28464</v>
      </c>
      <c r="F11968" t="s">
        <v>31574</v>
      </c>
      <c r="G11968" t="s">
        <v>31582</v>
      </c>
      <c r="H11968" t="s">
        <v>31591</v>
      </c>
      <c r="I11968" t="s">
        <v>4046</v>
      </c>
      <c r="J11968" t="s">
        <v>39137</v>
      </c>
      <c r="K11968" t="s">
        <v>41444</v>
      </c>
      <c r="M11968" t="s">
        <v>42013</v>
      </c>
      <c r="N11968" t="s">
        <v>45095</v>
      </c>
      <c r="O11968" t="s">
        <v>45096</v>
      </c>
      <c r="P11968">
        <v>0</v>
      </c>
      <c r="Q11968">
        <v>4</v>
      </c>
      <c r="R11968" t="s">
        <v>45110</v>
      </c>
      <c r="S11968" t="s">
        <v>45605</v>
      </c>
      <c r="T11968" t="s">
        <v>47198</v>
      </c>
      <c r="U11968" t="s">
        <v>57263</v>
      </c>
      <c r="W11968" t="s">
        <v>42013</v>
      </c>
      <c r="X11968" t="s">
        <v>45111</v>
      </c>
    </row>
    <row r="11969" spans="1:24">
      <c r="A11969">
        <f>HYPERLINK("https://www.philgeps.gov.ph/GEPSNONPILOT/Tender/SplashBidNoticeAbstractUI.aspx?menuIndex=3&amp;refID=7023359&amp;Result=3","7023359")</f>
        <v>0</v>
      </c>
      <c r="B11969" t="s">
        <v>2334</v>
      </c>
      <c r="C11969" t="s">
        <v>14629</v>
      </c>
      <c r="D11969" t="s">
        <v>18026</v>
      </c>
      <c r="E11969" t="s">
        <v>28465</v>
      </c>
      <c r="F11969" t="s">
        <v>31574</v>
      </c>
      <c r="G11969" t="s">
        <v>31583</v>
      </c>
      <c r="H11969" t="s">
        <v>31590</v>
      </c>
      <c r="I11969" t="s">
        <v>4327</v>
      </c>
      <c r="J11969" t="s">
        <v>31741</v>
      </c>
      <c r="K11969" t="s">
        <v>41186</v>
      </c>
      <c r="M11969" t="s">
        <v>44044</v>
      </c>
      <c r="N11969" t="s">
        <v>45095</v>
      </c>
      <c r="O11969" t="s">
        <v>45096</v>
      </c>
      <c r="P11969">
        <v>0</v>
      </c>
      <c r="Q11969">
        <v>3</v>
      </c>
      <c r="R11969" t="s">
        <v>45110</v>
      </c>
      <c r="S11969" t="s">
        <v>45605</v>
      </c>
      <c r="T11969" t="s">
        <v>47158</v>
      </c>
      <c r="U11969" t="s">
        <v>57264</v>
      </c>
      <c r="W11969" t="s">
        <v>44044</v>
      </c>
      <c r="X11969" t="s">
        <v>45111</v>
      </c>
    </row>
    <row r="11970" spans="1:24">
      <c r="A11970">
        <f>HYPERLINK("https://www.philgeps.gov.ph/GEPSNONPILOT/Tender/SplashBidNoticeAbstractUI.aspx?menuIndex=3&amp;refID=7023298&amp;Result=3","7023298")</f>
        <v>0</v>
      </c>
      <c r="B11970" t="s">
        <v>2909</v>
      </c>
      <c r="C11970" t="s">
        <v>14630</v>
      </c>
      <c r="E11970" t="s">
        <v>18175</v>
      </c>
      <c r="F11970" t="s">
        <v>31574</v>
      </c>
      <c r="G11970" t="s">
        <v>31582</v>
      </c>
      <c r="H11970" t="s">
        <v>31591</v>
      </c>
      <c r="I11970" t="s">
        <v>7162</v>
      </c>
      <c r="J11970" t="s">
        <v>32108</v>
      </c>
      <c r="K11970" t="s">
        <v>41184</v>
      </c>
      <c r="M11970" t="s">
        <v>44708</v>
      </c>
      <c r="N11970" t="s">
        <v>45095</v>
      </c>
      <c r="O11970" t="s">
        <v>45096</v>
      </c>
      <c r="P11970">
        <v>0</v>
      </c>
      <c r="Q11970">
        <v>0</v>
      </c>
      <c r="R11970" t="s">
        <v>45110</v>
      </c>
      <c r="S11970" t="s">
        <v>45605</v>
      </c>
      <c r="T11970" t="s">
        <v>47064</v>
      </c>
      <c r="U11970" t="s">
        <v>57265</v>
      </c>
      <c r="W11970" t="s">
        <v>44708</v>
      </c>
      <c r="X11970" t="s">
        <v>45111</v>
      </c>
    </row>
    <row r="11971" spans="1:24">
      <c r="A11971">
        <f>HYPERLINK("https://www.philgeps.gov.ph/GEPSNONPILOT/Tender/SplashBidNoticeAbstractUI.aspx?menuIndex=3&amp;refID=7023354&amp;Result=3","7023354")</f>
        <v>0</v>
      </c>
      <c r="B11971" t="s">
        <v>38</v>
      </c>
      <c r="C11971" t="s">
        <v>14631</v>
      </c>
      <c r="D11971" t="s">
        <v>18033</v>
      </c>
      <c r="E11971" t="s">
        <v>28466</v>
      </c>
      <c r="F11971" t="s">
        <v>31574</v>
      </c>
      <c r="G11971" t="s">
        <v>31582</v>
      </c>
      <c r="H11971" t="s">
        <v>31590</v>
      </c>
      <c r="I11971" t="s">
        <v>31602</v>
      </c>
      <c r="J11971" t="s">
        <v>39138</v>
      </c>
      <c r="K11971" t="s">
        <v>41194</v>
      </c>
      <c r="M11971" t="s">
        <v>41663</v>
      </c>
      <c r="N11971" t="s">
        <v>45095</v>
      </c>
      <c r="O11971" t="s">
        <v>45096</v>
      </c>
      <c r="P11971">
        <v>0</v>
      </c>
      <c r="Q11971">
        <v>0</v>
      </c>
      <c r="R11971" t="s">
        <v>45110</v>
      </c>
      <c r="S11971" t="s">
        <v>45605</v>
      </c>
      <c r="T11971" t="s">
        <v>46985</v>
      </c>
      <c r="U11971" t="s">
        <v>57266</v>
      </c>
      <c r="V11971" t="s">
        <v>59888</v>
      </c>
      <c r="W11971" t="s">
        <v>41663</v>
      </c>
      <c r="X11971" t="s">
        <v>45111</v>
      </c>
    </row>
    <row r="11972" spans="1:24">
      <c r="A11972">
        <f>HYPERLINK("https://www.philgeps.gov.ph/GEPSNONPILOT/Tender/SplashBidNoticeAbstractUI.aspx?menuIndex=3&amp;refID=7023288&amp;Result=3","7023288")</f>
        <v>0</v>
      </c>
      <c r="B11972" t="s">
        <v>2261</v>
      </c>
      <c r="C11972" t="s">
        <v>5398</v>
      </c>
      <c r="D11972" t="s">
        <v>18079</v>
      </c>
      <c r="E11972" t="s">
        <v>28467</v>
      </c>
      <c r="F11972" t="s">
        <v>31574</v>
      </c>
      <c r="G11972" t="s">
        <v>31582</v>
      </c>
      <c r="H11972" t="s">
        <v>31590</v>
      </c>
      <c r="I11972" t="s">
        <v>31595</v>
      </c>
      <c r="J11972" t="s">
        <v>31727</v>
      </c>
      <c r="K11972" t="s">
        <v>41196</v>
      </c>
      <c r="M11972" t="s">
        <v>43961</v>
      </c>
      <c r="N11972" t="s">
        <v>45095</v>
      </c>
      <c r="O11972" t="s">
        <v>45096</v>
      </c>
      <c r="P11972">
        <v>0</v>
      </c>
      <c r="Q11972">
        <v>3</v>
      </c>
      <c r="R11972" t="s">
        <v>45110</v>
      </c>
      <c r="S11972" t="s">
        <v>45605</v>
      </c>
      <c r="T11972" t="s">
        <v>46932</v>
      </c>
      <c r="U11972" t="s">
        <v>57267</v>
      </c>
      <c r="W11972" t="s">
        <v>43961</v>
      </c>
      <c r="X11972" t="s">
        <v>45111</v>
      </c>
    </row>
    <row r="11973" spans="1:24">
      <c r="A11973">
        <f>HYPERLINK("https://www.philgeps.gov.ph/GEPSNONPILOT/Tender/SplashBidNoticeAbstractUI.aspx?menuIndex=3&amp;refID=7023285&amp;Result=3","7023285")</f>
        <v>0</v>
      </c>
      <c r="B11973" t="s">
        <v>1036</v>
      </c>
      <c r="C11973" t="s">
        <v>14632</v>
      </c>
      <c r="D11973" t="s">
        <v>18072</v>
      </c>
      <c r="E11973" t="s">
        <v>28468</v>
      </c>
      <c r="F11973" t="s">
        <v>31574</v>
      </c>
      <c r="G11973" t="s">
        <v>31582</v>
      </c>
      <c r="H11973" t="s">
        <v>31590</v>
      </c>
      <c r="I11973" t="s">
        <v>31596</v>
      </c>
      <c r="J11973" t="s">
        <v>39139</v>
      </c>
      <c r="K11973" t="s">
        <v>41184</v>
      </c>
      <c r="M11973" t="s">
        <v>42579</v>
      </c>
      <c r="N11973" t="s">
        <v>45095</v>
      </c>
      <c r="O11973" t="s">
        <v>45096</v>
      </c>
      <c r="Q11973">
        <v>3</v>
      </c>
      <c r="R11973" t="s">
        <v>45110</v>
      </c>
      <c r="S11973" t="s">
        <v>45651</v>
      </c>
      <c r="T11973" t="s">
        <v>46991</v>
      </c>
      <c r="U11973" t="s">
        <v>57268</v>
      </c>
      <c r="W11973" t="s">
        <v>42579</v>
      </c>
      <c r="X11973" t="s">
        <v>45111</v>
      </c>
    </row>
    <row r="11974" spans="1:24">
      <c r="A11974">
        <f>HYPERLINK("https://www.philgeps.gov.ph/GEPSNONPILOT/Tender/SplashBidNoticeAbstractUI.aspx?menuIndex=3&amp;refID=7023284&amp;Result=3","7023284")</f>
        <v>0</v>
      </c>
      <c r="B11974" t="s">
        <v>526</v>
      </c>
      <c r="C11974" t="s">
        <v>14633</v>
      </c>
      <c r="D11974" t="s">
        <v>18086</v>
      </c>
      <c r="E11974" t="s">
        <v>18137</v>
      </c>
      <c r="F11974" t="s">
        <v>31574</v>
      </c>
      <c r="G11974" t="s">
        <v>31582</v>
      </c>
      <c r="H11974" t="s">
        <v>31591</v>
      </c>
      <c r="I11974" t="s">
        <v>8822</v>
      </c>
      <c r="J11974" t="s">
        <v>32026</v>
      </c>
      <c r="K11974" t="s">
        <v>41200</v>
      </c>
      <c r="M11974" t="s">
        <v>42022</v>
      </c>
      <c r="N11974" t="s">
        <v>45095</v>
      </c>
      <c r="O11974" t="s">
        <v>45096</v>
      </c>
      <c r="P11974">
        <v>0</v>
      </c>
      <c r="Q11974">
        <v>1</v>
      </c>
      <c r="R11974" t="s">
        <v>45110</v>
      </c>
      <c r="S11974" t="s">
        <v>45605</v>
      </c>
      <c r="T11974" t="s">
        <v>46955</v>
      </c>
      <c r="U11974" t="s">
        <v>57269</v>
      </c>
      <c r="W11974" t="s">
        <v>42022</v>
      </c>
      <c r="X11974" t="s">
        <v>45111</v>
      </c>
    </row>
    <row r="11975" spans="1:24">
      <c r="A11975">
        <f>HYPERLINK("https://www.philgeps.gov.ph/GEPSNONPILOT/Tender/SplashBidNoticeAbstractUI.aspx?menuIndex=3&amp;refID=7023264&amp;Result=3","7023264")</f>
        <v>0</v>
      </c>
      <c r="B11975" t="s">
        <v>2797</v>
      </c>
      <c r="C11975" t="s">
        <v>14634</v>
      </c>
      <c r="D11975" t="s">
        <v>18024</v>
      </c>
      <c r="E11975" t="s">
        <v>28424</v>
      </c>
      <c r="F11975" t="s">
        <v>31574</v>
      </c>
      <c r="G11975" t="s">
        <v>31582</v>
      </c>
      <c r="H11975" t="s">
        <v>31590</v>
      </c>
      <c r="I11975" t="s">
        <v>3873</v>
      </c>
      <c r="J11975" t="s">
        <v>35045</v>
      </c>
      <c r="K11975" t="s">
        <v>41193</v>
      </c>
      <c r="M11975" t="s">
        <v>44572</v>
      </c>
      <c r="N11975" t="s">
        <v>45095</v>
      </c>
      <c r="O11975" t="s">
        <v>45096</v>
      </c>
      <c r="P11975">
        <v>0</v>
      </c>
      <c r="Q11975">
        <v>1</v>
      </c>
      <c r="R11975" t="s">
        <v>45110</v>
      </c>
      <c r="S11975" t="s">
        <v>45605</v>
      </c>
      <c r="T11975" t="s">
        <v>47265</v>
      </c>
      <c r="U11975" t="s">
        <v>57224</v>
      </c>
      <c r="W11975" t="s">
        <v>44572</v>
      </c>
      <c r="X11975" t="s">
        <v>45111</v>
      </c>
    </row>
    <row r="11976" spans="1:24">
      <c r="A11976">
        <f>HYPERLINK("https://www.philgeps.gov.ph/GEPSNONPILOT/Tender/SplashBidNoticeAbstractUI.aspx?menuIndex=3&amp;refID=7023289&amp;Result=3","7023289")</f>
        <v>0</v>
      </c>
      <c r="B11976" t="s">
        <v>116</v>
      </c>
      <c r="C11976" t="s">
        <v>14635</v>
      </c>
      <c r="D11976" t="s">
        <v>18068</v>
      </c>
      <c r="E11976" t="s">
        <v>28469</v>
      </c>
      <c r="F11976" t="s">
        <v>31574</v>
      </c>
      <c r="G11976" t="s">
        <v>31582</v>
      </c>
      <c r="H11976" t="s">
        <v>31590</v>
      </c>
      <c r="I11976" t="s">
        <v>31614</v>
      </c>
      <c r="J11976" t="s">
        <v>39140</v>
      </c>
      <c r="K11976" t="s">
        <v>41196</v>
      </c>
      <c r="M11976" t="s">
        <v>44703</v>
      </c>
      <c r="N11976" t="s">
        <v>45095</v>
      </c>
      <c r="O11976" t="s">
        <v>45096</v>
      </c>
      <c r="P11976">
        <v>0</v>
      </c>
      <c r="Q11976">
        <v>1</v>
      </c>
      <c r="R11976" t="s">
        <v>45110</v>
      </c>
      <c r="S11976" t="s">
        <v>45605</v>
      </c>
      <c r="T11976" t="s">
        <v>47056</v>
      </c>
      <c r="U11976" t="s">
        <v>57270</v>
      </c>
      <c r="W11976" t="s">
        <v>44703</v>
      </c>
      <c r="X11976" t="s">
        <v>45111</v>
      </c>
    </row>
    <row r="11977" spans="1:24">
      <c r="A11977">
        <f>HYPERLINK("https://www.philgeps.gov.ph/GEPSNONPILOT/Tender/SplashBidNoticeAbstractUI.aspx?menuIndex=3&amp;refID=7023156&amp;Result=3","7023156")</f>
        <v>0</v>
      </c>
      <c r="B11977" t="s">
        <v>66</v>
      </c>
      <c r="C11977" t="s">
        <v>14636</v>
      </c>
      <c r="D11977" t="s">
        <v>18050</v>
      </c>
      <c r="E11977" t="s">
        <v>28470</v>
      </c>
      <c r="F11977" t="s">
        <v>31574</v>
      </c>
      <c r="G11977" t="s">
        <v>31582</v>
      </c>
      <c r="H11977" t="s">
        <v>31591</v>
      </c>
      <c r="I11977" t="s">
        <v>8822</v>
      </c>
      <c r="J11977" t="s">
        <v>39141</v>
      </c>
      <c r="K11977" t="s">
        <v>41252</v>
      </c>
      <c r="L11977" t="s">
        <v>66</v>
      </c>
      <c r="M11977" t="s">
        <v>41550</v>
      </c>
      <c r="N11977" t="s">
        <v>45095</v>
      </c>
      <c r="O11977" t="s">
        <v>45096</v>
      </c>
      <c r="P11977">
        <v>0</v>
      </c>
      <c r="Q11977">
        <v>2</v>
      </c>
      <c r="R11977" t="s">
        <v>45110</v>
      </c>
      <c r="S11977" t="s">
        <v>45605</v>
      </c>
      <c r="T11977" t="s">
        <v>46933</v>
      </c>
      <c r="U11977" t="s">
        <v>57271</v>
      </c>
      <c r="V11977" t="s">
        <v>59860</v>
      </c>
      <c r="W11977" t="s">
        <v>41550</v>
      </c>
      <c r="X11977" t="s">
        <v>45111</v>
      </c>
    </row>
    <row r="11978" spans="1:24">
      <c r="A11978">
        <f>HYPERLINK("https://www.philgeps.gov.ph/GEPSNONPILOT/Tender/SplashBidNoticeAbstractUI.aspx?menuIndex=3&amp;refID=7023265&amp;Result=3","7023265")</f>
        <v>0</v>
      </c>
      <c r="B11978" t="s">
        <v>182</v>
      </c>
      <c r="C11978" t="s">
        <v>14637</v>
      </c>
      <c r="D11978" t="s">
        <v>18060</v>
      </c>
      <c r="E11978" t="s">
        <v>28471</v>
      </c>
      <c r="F11978" t="s">
        <v>31574</v>
      </c>
      <c r="G11978" t="s">
        <v>31582</v>
      </c>
      <c r="H11978" t="s">
        <v>31591</v>
      </c>
      <c r="I11978" t="s">
        <v>8822</v>
      </c>
      <c r="J11978" t="s">
        <v>32101</v>
      </c>
      <c r="K11978" t="s">
        <v>41185</v>
      </c>
      <c r="M11978" t="s">
        <v>44709</v>
      </c>
      <c r="N11978" t="s">
        <v>45095</v>
      </c>
      <c r="O11978" t="s">
        <v>45096</v>
      </c>
      <c r="P11978">
        <v>0</v>
      </c>
      <c r="Q11978">
        <v>0</v>
      </c>
      <c r="R11978" t="s">
        <v>45110</v>
      </c>
      <c r="S11978" t="s">
        <v>45605</v>
      </c>
      <c r="T11978" t="s">
        <v>46966</v>
      </c>
      <c r="U11978" t="s">
        <v>57272</v>
      </c>
      <c r="W11978" t="s">
        <v>44709</v>
      </c>
      <c r="X11978" t="s">
        <v>45111</v>
      </c>
    </row>
    <row r="11979" spans="1:24">
      <c r="A11979">
        <f>HYPERLINK("https://www.philgeps.gov.ph/GEPSNONPILOT/Tender/SplashBidNoticeAbstractUI.aspx?menuIndex=3&amp;refID=7023292&amp;Result=3","7023292")</f>
        <v>0</v>
      </c>
      <c r="B11979" t="s">
        <v>2797</v>
      </c>
      <c r="C11979" t="s">
        <v>14638</v>
      </c>
      <c r="D11979" t="s">
        <v>18024</v>
      </c>
      <c r="E11979" t="s">
        <v>28424</v>
      </c>
      <c r="F11979" t="s">
        <v>31574</v>
      </c>
      <c r="G11979" t="s">
        <v>31582</v>
      </c>
      <c r="H11979" t="s">
        <v>31591</v>
      </c>
      <c r="I11979" t="s">
        <v>8822</v>
      </c>
      <c r="J11979" t="s">
        <v>31821</v>
      </c>
      <c r="K11979" t="s">
        <v>41193</v>
      </c>
      <c r="M11979" t="s">
        <v>44572</v>
      </c>
      <c r="N11979" t="s">
        <v>45095</v>
      </c>
      <c r="O11979" t="s">
        <v>45096</v>
      </c>
      <c r="P11979">
        <v>0</v>
      </c>
      <c r="Q11979">
        <v>1</v>
      </c>
      <c r="R11979" t="s">
        <v>45110</v>
      </c>
      <c r="S11979" t="s">
        <v>45605</v>
      </c>
      <c r="T11979" t="s">
        <v>47265</v>
      </c>
      <c r="U11979" t="s">
        <v>57224</v>
      </c>
      <c r="W11979" t="s">
        <v>44572</v>
      </c>
      <c r="X11979" t="s">
        <v>45111</v>
      </c>
    </row>
    <row r="11980" spans="1:24">
      <c r="A11980">
        <f>HYPERLINK("https://www.philgeps.gov.ph/GEPSNONPILOT/Tender/SplashBidNoticeAbstractUI.aspx?menuIndex=3&amp;refID=7023281&amp;Result=3","7023281")</f>
        <v>0</v>
      </c>
      <c r="B11980" t="s">
        <v>132</v>
      </c>
      <c r="C11980" t="s">
        <v>14639</v>
      </c>
      <c r="D11980" t="s">
        <v>18059</v>
      </c>
      <c r="E11980" t="s">
        <v>28472</v>
      </c>
      <c r="F11980" t="s">
        <v>31574</v>
      </c>
      <c r="G11980" t="s">
        <v>31582</v>
      </c>
      <c r="H11980" t="s">
        <v>31590</v>
      </c>
      <c r="I11980" t="s">
        <v>31676</v>
      </c>
      <c r="J11980" t="s">
        <v>32026</v>
      </c>
      <c r="K11980" t="s">
        <v>41184</v>
      </c>
      <c r="M11980" t="s">
        <v>43393</v>
      </c>
      <c r="N11980" t="s">
        <v>45095</v>
      </c>
      <c r="O11980" t="s">
        <v>45096</v>
      </c>
      <c r="Q11980">
        <v>6</v>
      </c>
      <c r="R11980" t="s">
        <v>45110</v>
      </c>
      <c r="S11980" t="s">
        <v>45652</v>
      </c>
      <c r="T11980" t="s">
        <v>46926</v>
      </c>
      <c r="U11980" t="s">
        <v>57273</v>
      </c>
      <c r="W11980" t="s">
        <v>43393</v>
      </c>
      <c r="X11980" t="s">
        <v>45111</v>
      </c>
    </row>
    <row r="11981" spans="1:24">
      <c r="A11981">
        <f>HYPERLINK("https://www.philgeps.gov.ph/GEPSNONPILOT/Tender/SplashBidNoticeAbstractUI.aspx?menuIndex=3&amp;refID=7023368&amp;Result=3","7023368")</f>
        <v>0</v>
      </c>
      <c r="B11981" t="s">
        <v>2526</v>
      </c>
      <c r="C11981" t="s">
        <v>14640</v>
      </c>
      <c r="D11981" t="s">
        <v>18022</v>
      </c>
      <c r="E11981" t="s">
        <v>28473</v>
      </c>
      <c r="F11981" t="s">
        <v>31574</v>
      </c>
      <c r="G11981" t="s">
        <v>31582</v>
      </c>
      <c r="H11981" t="s">
        <v>31590</v>
      </c>
      <c r="I11981" t="s">
        <v>31615</v>
      </c>
      <c r="J11981" t="s">
        <v>34454</v>
      </c>
      <c r="K11981" t="s">
        <v>41184</v>
      </c>
      <c r="M11981" t="s">
        <v>44261</v>
      </c>
      <c r="N11981" t="s">
        <v>45095</v>
      </c>
      <c r="O11981" t="s">
        <v>45096</v>
      </c>
      <c r="P11981">
        <v>0</v>
      </c>
      <c r="Q11981">
        <v>11</v>
      </c>
      <c r="R11981" t="s">
        <v>45110</v>
      </c>
      <c r="S11981" t="s">
        <v>45605</v>
      </c>
      <c r="T11981" t="s">
        <v>47003</v>
      </c>
      <c r="U11981" t="s">
        <v>57274</v>
      </c>
      <c r="W11981" t="s">
        <v>44261</v>
      </c>
      <c r="X11981" t="s">
        <v>45111</v>
      </c>
    </row>
    <row r="11982" spans="1:24">
      <c r="A11982">
        <f>HYPERLINK("https://www.philgeps.gov.ph/GEPSNONPILOT/Tender/SplashBidNoticeAbstractUI.aspx?menuIndex=3&amp;refID=7023160&amp;Result=3","7023160")</f>
        <v>0</v>
      </c>
      <c r="B11982" t="s">
        <v>1931</v>
      </c>
      <c r="C11982" t="s">
        <v>14641</v>
      </c>
      <c r="D11982" t="s">
        <v>18029</v>
      </c>
      <c r="E11982" t="s">
        <v>26088</v>
      </c>
      <c r="F11982" t="s">
        <v>31574</v>
      </c>
      <c r="G11982" t="s">
        <v>31581</v>
      </c>
      <c r="H11982" t="s">
        <v>31590</v>
      </c>
      <c r="I11982" t="s">
        <v>31629</v>
      </c>
      <c r="J11982" t="s">
        <v>34144</v>
      </c>
      <c r="K11982" t="s">
        <v>41213</v>
      </c>
      <c r="M11982" t="s">
        <v>43585</v>
      </c>
      <c r="N11982" t="s">
        <v>45095</v>
      </c>
      <c r="O11982" t="s">
        <v>45096</v>
      </c>
      <c r="P11982">
        <v>0</v>
      </c>
      <c r="Q11982">
        <v>0</v>
      </c>
      <c r="R11982" t="s">
        <v>45110</v>
      </c>
      <c r="S11982" t="s">
        <v>45605</v>
      </c>
      <c r="T11982" t="s">
        <v>47050</v>
      </c>
      <c r="U11982" t="s">
        <v>57275</v>
      </c>
      <c r="W11982" t="s">
        <v>43585</v>
      </c>
      <c r="X11982" t="s">
        <v>45111</v>
      </c>
    </row>
    <row r="11983" spans="1:24">
      <c r="A11983">
        <f>HYPERLINK("https://www.philgeps.gov.ph/GEPSNONPILOT/Tender/SplashBidNoticeAbstractUI.aspx?menuIndex=3&amp;refID=7023388&amp;Result=3","7023388")</f>
        <v>0</v>
      </c>
      <c r="B11983" t="s">
        <v>38</v>
      </c>
      <c r="C11983" t="s">
        <v>14642</v>
      </c>
      <c r="D11983" t="s">
        <v>18033</v>
      </c>
      <c r="E11983" t="s">
        <v>28474</v>
      </c>
      <c r="F11983" t="s">
        <v>31574</v>
      </c>
      <c r="G11983" t="s">
        <v>31582</v>
      </c>
      <c r="H11983" t="s">
        <v>31590</v>
      </c>
      <c r="I11983" t="s">
        <v>31602</v>
      </c>
      <c r="J11983" t="s">
        <v>34176</v>
      </c>
      <c r="K11983" t="s">
        <v>41194</v>
      </c>
      <c r="M11983" t="s">
        <v>41663</v>
      </c>
      <c r="N11983" t="s">
        <v>45095</v>
      </c>
      <c r="O11983" t="s">
        <v>45096</v>
      </c>
      <c r="P11983">
        <v>0</v>
      </c>
      <c r="Q11983">
        <v>0</v>
      </c>
      <c r="R11983" t="s">
        <v>45110</v>
      </c>
      <c r="S11983" t="s">
        <v>45605</v>
      </c>
      <c r="T11983" t="s">
        <v>46985</v>
      </c>
      <c r="U11983" t="s">
        <v>57276</v>
      </c>
      <c r="V11983" t="s">
        <v>59888</v>
      </c>
      <c r="W11983" t="s">
        <v>41663</v>
      </c>
      <c r="X11983" t="s">
        <v>45111</v>
      </c>
    </row>
    <row r="11984" spans="1:24">
      <c r="A11984">
        <f>HYPERLINK("https://www.philgeps.gov.ph/GEPSNONPILOT/Tender/SplashBidNoticeAbstractUI.aspx?menuIndex=3&amp;refID=7023391&amp;Result=3","7023391")</f>
        <v>0</v>
      </c>
      <c r="B11984" t="s">
        <v>116</v>
      </c>
      <c r="C11984" t="s">
        <v>14643</v>
      </c>
      <c r="D11984" t="s">
        <v>18068</v>
      </c>
      <c r="E11984" t="s">
        <v>28475</v>
      </c>
      <c r="F11984" t="s">
        <v>31574</v>
      </c>
      <c r="G11984" t="s">
        <v>31582</v>
      </c>
      <c r="H11984" t="s">
        <v>31590</v>
      </c>
      <c r="I11984" t="s">
        <v>31615</v>
      </c>
      <c r="J11984" t="s">
        <v>31782</v>
      </c>
      <c r="K11984" t="s">
        <v>41196</v>
      </c>
      <c r="M11984" t="s">
        <v>44703</v>
      </c>
      <c r="N11984" t="s">
        <v>45095</v>
      </c>
      <c r="O11984" t="s">
        <v>45096</v>
      </c>
      <c r="P11984">
        <v>0</v>
      </c>
      <c r="Q11984">
        <v>0</v>
      </c>
      <c r="R11984" t="s">
        <v>45110</v>
      </c>
      <c r="S11984" t="s">
        <v>45605</v>
      </c>
      <c r="T11984" t="s">
        <v>47056</v>
      </c>
      <c r="U11984" t="s">
        <v>57277</v>
      </c>
      <c r="W11984" t="s">
        <v>44703</v>
      </c>
      <c r="X11984" t="s">
        <v>45111</v>
      </c>
    </row>
    <row r="11985" spans="1:24">
      <c r="A11985">
        <f>HYPERLINK("https://www.philgeps.gov.ph/GEPSNONPILOT/Tender/SplashBidNoticeAbstractUI.aspx?menuIndex=3&amp;refID=7023370&amp;Result=3","7023370")</f>
        <v>0</v>
      </c>
      <c r="B11985" t="s">
        <v>2907</v>
      </c>
      <c r="C11985" t="s">
        <v>14644</v>
      </c>
      <c r="D11985" t="s">
        <v>18073</v>
      </c>
      <c r="E11985" t="s">
        <v>28457</v>
      </c>
      <c r="F11985" t="s">
        <v>31574</v>
      </c>
      <c r="G11985" t="s">
        <v>31582</v>
      </c>
      <c r="H11985" t="s">
        <v>31591</v>
      </c>
      <c r="I11985" t="s">
        <v>8822</v>
      </c>
      <c r="J11985" t="s">
        <v>32510</v>
      </c>
      <c r="K11985" t="s">
        <v>41220</v>
      </c>
      <c r="M11985" t="s">
        <v>44705</v>
      </c>
      <c r="N11985" t="s">
        <v>45095</v>
      </c>
      <c r="O11985" t="s">
        <v>45096</v>
      </c>
      <c r="P11985">
        <v>0</v>
      </c>
      <c r="Q11985">
        <v>0</v>
      </c>
      <c r="R11985" t="s">
        <v>45110</v>
      </c>
      <c r="S11985" t="s">
        <v>45605</v>
      </c>
      <c r="T11985" t="s">
        <v>47039</v>
      </c>
      <c r="U11985" t="s">
        <v>57278</v>
      </c>
      <c r="W11985" t="s">
        <v>44705</v>
      </c>
      <c r="X11985" t="s">
        <v>45111</v>
      </c>
    </row>
    <row r="11986" spans="1:24">
      <c r="A11986">
        <f>HYPERLINK("https://www.philgeps.gov.ph/GEPSNONPILOT/Tender/SplashBidNoticeAbstractUI.aspx?menuIndex=3&amp;refID=7023386&amp;Result=3","7023386")</f>
        <v>0</v>
      </c>
      <c r="B11986" t="s">
        <v>1488</v>
      </c>
      <c r="C11986" t="s">
        <v>14645</v>
      </c>
      <c r="D11986" t="s">
        <v>18088</v>
      </c>
      <c r="E11986" t="s">
        <v>21914</v>
      </c>
      <c r="F11986" t="s">
        <v>31574</v>
      </c>
      <c r="G11986" t="s">
        <v>31582</v>
      </c>
      <c r="H11986" t="s">
        <v>31591</v>
      </c>
      <c r="I11986" t="s">
        <v>8822</v>
      </c>
      <c r="J11986" t="s">
        <v>31771</v>
      </c>
      <c r="K11986" t="s">
        <v>41184</v>
      </c>
      <c r="M11986" t="s">
        <v>43073</v>
      </c>
      <c r="N11986" t="s">
        <v>45095</v>
      </c>
      <c r="O11986" t="s">
        <v>45096</v>
      </c>
      <c r="P11986">
        <v>0</v>
      </c>
      <c r="Q11986">
        <v>0</v>
      </c>
      <c r="R11986" t="s">
        <v>45110</v>
      </c>
      <c r="S11986" t="s">
        <v>45605</v>
      </c>
      <c r="T11986" t="s">
        <v>46926</v>
      </c>
      <c r="U11986" t="s">
        <v>57279</v>
      </c>
      <c r="V11986" t="s">
        <v>61162</v>
      </c>
      <c r="W11986" t="s">
        <v>43073</v>
      </c>
      <c r="X11986" t="s">
        <v>45111</v>
      </c>
    </row>
    <row r="11987" spans="1:24">
      <c r="A11987">
        <f>HYPERLINK("https://www.philgeps.gov.ph/GEPSNONPILOT/Tender/SplashBidNoticeAbstractUI.aspx?menuIndex=3&amp;refID=7023413&amp;Result=3","7023413")</f>
        <v>0</v>
      </c>
      <c r="B11987" t="s">
        <v>401</v>
      </c>
      <c r="C11987" t="s">
        <v>14646</v>
      </c>
      <c r="D11987" t="s">
        <v>18052</v>
      </c>
      <c r="E11987" t="s">
        <v>28476</v>
      </c>
      <c r="F11987" t="s">
        <v>31574</v>
      </c>
      <c r="G11987" t="s">
        <v>31582</v>
      </c>
      <c r="H11987" t="s">
        <v>31591</v>
      </c>
      <c r="I11987" t="s">
        <v>8822</v>
      </c>
      <c r="J11987" t="s">
        <v>39142</v>
      </c>
      <c r="K11987" t="s">
        <v>41217</v>
      </c>
      <c r="M11987" t="s">
        <v>41892</v>
      </c>
      <c r="N11987" t="s">
        <v>45095</v>
      </c>
      <c r="O11987" t="s">
        <v>45096</v>
      </c>
      <c r="P11987">
        <v>0</v>
      </c>
      <c r="Q11987">
        <v>2</v>
      </c>
      <c r="R11987" t="s">
        <v>45110</v>
      </c>
      <c r="S11987" t="s">
        <v>45605</v>
      </c>
      <c r="T11987" t="s">
        <v>46991</v>
      </c>
      <c r="U11987" t="s">
        <v>57280</v>
      </c>
      <c r="W11987" t="s">
        <v>41892</v>
      </c>
      <c r="X11987" t="s">
        <v>45111</v>
      </c>
    </row>
    <row r="11988" spans="1:24">
      <c r="A11988">
        <f>HYPERLINK("https://www.philgeps.gov.ph/GEPSNONPILOT/Tender/SplashBidNoticeAbstractUI.aspx?menuIndex=3&amp;refID=7023402&amp;Result=3","7023402")</f>
        <v>0</v>
      </c>
      <c r="B11988" t="s">
        <v>450</v>
      </c>
      <c r="C11988" t="s">
        <v>14647</v>
      </c>
      <c r="D11988" t="s">
        <v>18039</v>
      </c>
      <c r="E11988" t="s">
        <v>28477</v>
      </c>
      <c r="F11988" t="s">
        <v>31574</v>
      </c>
      <c r="G11988" t="s">
        <v>31582</v>
      </c>
      <c r="H11988" t="s">
        <v>31591</v>
      </c>
      <c r="I11988" t="s">
        <v>8822</v>
      </c>
      <c r="J11988" t="s">
        <v>39143</v>
      </c>
      <c r="K11988" t="s">
        <v>41415</v>
      </c>
      <c r="M11988" t="s">
        <v>41944</v>
      </c>
      <c r="N11988" t="s">
        <v>45095</v>
      </c>
      <c r="O11988" t="s">
        <v>45096</v>
      </c>
      <c r="P11988">
        <v>0</v>
      </c>
      <c r="Q11988">
        <v>0</v>
      </c>
      <c r="R11988" t="s">
        <v>45110</v>
      </c>
      <c r="S11988" t="s">
        <v>45605</v>
      </c>
      <c r="T11988" t="s">
        <v>46979</v>
      </c>
      <c r="U11988" t="s">
        <v>57234</v>
      </c>
      <c r="W11988" t="s">
        <v>41944</v>
      </c>
      <c r="X11988" t="s">
        <v>45111</v>
      </c>
    </row>
    <row r="11989" spans="1:24">
      <c r="A11989">
        <f>HYPERLINK("https://www.philgeps.gov.ph/GEPSNONPILOT/Tender/SplashBidNoticeAbstractUI.aspx?menuIndex=3&amp;refID=7023407&amp;Result=3","7023407")</f>
        <v>0</v>
      </c>
      <c r="B11989" t="s">
        <v>38</v>
      </c>
      <c r="C11989" t="s">
        <v>14648</v>
      </c>
      <c r="D11989" t="s">
        <v>18033</v>
      </c>
      <c r="E11989" t="s">
        <v>28478</v>
      </c>
      <c r="F11989" t="s">
        <v>31574</v>
      </c>
      <c r="G11989" t="s">
        <v>31582</v>
      </c>
      <c r="H11989" t="s">
        <v>31590</v>
      </c>
      <c r="I11989" t="s">
        <v>6800</v>
      </c>
      <c r="J11989" t="s">
        <v>39144</v>
      </c>
      <c r="K11989" t="s">
        <v>41194</v>
      </c>
      <c r="M11989" t="s">
        <v>41663</v>
      </c>
      <c r="N11989" t="s">
        <v>45095</v>
      </c>
      <c r="O11989" t="s">
        <v>45096</v>
      </c>
      <c r="P11989">
        <v>0</v>
      </c>
      <c r="Q11989">
        <v>1</v>
      </c>
      <c r="R11989" t="s">
        <v>45110</v>
      </c>
      <c r="S11989" t="s">
        <v>45605</v>
      </c>
      <c r="T11989" t="s">
        <v>46985</v>
      </c>
      <c r="U11989" t="s">
        <v>57281</v>
      </c>
      <c r="V11989" t="s">
        <v>59888</v>
      </c>
      <c r="W11989" t="s">
        <v>41663</v>
      </c>
      <c r="X11989" t="s">
        <v>45111</v>
      </c>
    </row>
    <row r="11990" spans="1:24">
      <c r="A11990">
        <f>HYPERLINK("https://www.philgeps.gov.ph/GEPSNONPILOT/Tender/SplashBidNoticeAbstractUI.aspx?menuIndex=3&amp;refID=7023397&amp;Result=3","7023397")</f>
        <v>0</v>
      </c>
      <c r="B11990" t="s">
        <v>2334</v>
      </c>
      <c r="C11990" t="s">
        <v>14649</v>
      </c>
      <c r="D11990" t="s">
        <v>18026</v>
      </c>
      <c r="E11990" t="s">
        <v>28479</v>
      </c>
      <c r="F11990" t="s">
        <v>31574</v>
      </c>
      <c r="G11990" t="s">
        <v>31583</v>
      </c>
      <c r="H11990" t="s">
        <v>31590</v>
      </c>
      <c r="I11990" t="s">
        <v>31600</v>
      </c>
      <c r="J11990" t="s">
        <v>39145</v>
      </c>
      <c r="K11990" t="s">
        <v>41184</v>
      </c>
      <c r="M11990" t="s">
        <v>44044</v>
      </c>
      <c r="N11990" t="s">
        <v>45095</v>
      </c>
      <c r="O11990" t="s">
        <v>45096</v>
      </c>
      <c r="P11990">
        <v>0</v>
      </c>
      <c r="Q11990">
        <v>0</v>
      </c>
      <c r="R11990" t="s">
        <v>45110</v>
      </c>
      <c r="S11990" t="s">
        <v>45605</v>
      </c>
      <c r="T11990" t="s">
        <v>47158</v>
      </c>
      <c r="U11990" t="s">
        <v>57282</v>
      </c>
      <c r="W11990" t="s">
        <v>44044</v>
      </c>
      <c r="X11990" t="s">
        <v>45111</v>
      </c>
    </row>
    <row r="11991" spans="1:24">
      <c r="A11991">
        <f>HYPERLINK("https://www.philgeps.gov.ph/GEPSNONPILOT/Tender/SplashBidNoticeAbstractUI.aspx?menuIndex=3&amp;refID=7023428&amp;Result=3","7023428")</f>
        <v>0</v>
      </c>
      <c r="B11991" t="s">
        <v>1211</v>
      </c>
      <c r="C11991" t="s">
        <v>14650</v>
      </c>
      <c r="D11991" t="s">
        <v>18041</v>
      </c>
      <c r="E11991" t="s">
        <v>28480</v>
      </c>
      <c r="F11991" t="s">
        <v>31574</v>
      </c>
      <c r="G11991" t="s">
        <v>31582</v>
      </c>
      <c r="H11991" t="s">
        <v>31591</v>
      </c>
      <c r="I11991" t="s">
        <v>8822</v>
      </c>
      <c r="J11991" t="s">
        <v>32277</v>
      </c>
      <c r="K11991" t="s">
        <v>41256</v>
      </c>
      <c r="M11991" t="s">
        <v>42771</v>
      </c>
      <c r="N11991" t="s">
        <v>45095</v>
      </c>
      <c r="O11991" t="s">
        <v>45096</v>
      </c>
      <c r="P11991">
        <v>0</v>
      </c>
      <c r="Q11991">
        <v>15</v>
      </c>
      <c r="R11991" t="s">
        <v>45110</v>
      </c>
      <c r="S11991" t="s">
        <v>45605</v>
      </c>
      <c r="T11991" t="s">
        <v>46937</v>
      </c>
      <c r="U11991" t="s">
        <v>57283</v>
      </c>
      <c r="W11991" t="s">
        <v>61750</v>
      </c>
      <c r="X11991" t="s">
        <v>45111</v>
      </c>
    </row>
    <row r="11992" spans="1:24">
      <c r="A11992">
        <f>HYPERLINK("https://www.philgeps.gov.ph/GEPSNONPILOT/Tender/SplashBidNoticeAbstractUI.aspx?menuIndex=3&amp;refID=7023387&amp;Result=3","7023387")</f>
        <v>0</v>
      </c>
      <c r="B11992" t="s">
        <v>1926</v>
      </c>
      <c r="C11992" t="s">
        <v>14651</v>
      </c>
      <c r="D11992" t="s">
        <v>18099</v>
      </c>
      <c r="E11992" t="s">
        <v>28481</v>
      </c>
      <c r="F11992" t="s">
        <v>31574</v>
      </c>
      <c r="G11992" t="s">
        <v>31582</v>
      </c>
      <c r="H11992" t="s">
        <v>31590</v>
      </c>
      <c r="I11992" t="s">
        <v>8822</v>
      </c>
      <c r="J11992" t="s">
        <v>39146</v>
      </c>
      <c r="K11992" t="s">
        <v>41192</v>
      </c>
      <c r="M11992" t="s">
        <v>43578</v>
      </c>
      <c r="N11992" t="s">
        <v>45095</v>
      </c>
      <c r="O11992" t="s">
        <v>45096</v>
      </c>
      <c r="P11992">
        <v>0</v>
      </c>
      <c r="Q11992">
        <v>0</v>
      </c>
      <c r="R11992" t="s">
        <v>45110</v>
      </c>
      <c r="S11992" t="s">
        <v>45605</v>
      </c>
      <c r="T11992" t="s">
        <v>46926</v>
      </c>
      <c r="U11992" t="s">
        <v>57284</v>
      </c>
      <c r="V11992" t="s">
        <v>60507</v>
      </c>
      <c r="W11992" t="s">
        <v>43578</v>
      </c>
      <c r="X11992" t="s">
        <v>45111</v>
      </c>
    </row>
    <row r="11993" spans="1:24">
      <c r="A11993">
        <f>HYPERLINK("https://www.philgeps.gov.ph/GEPSNONPILOT/Tender/SplashBidNoticeAbstractUI.aspx?menuIndex=3&amp;refID=7023398&amp;Result=3","7023398")</f>
        <v>0</v>
      </c>
      <c r="B11993" t="s">
        <v>1036</v>
      </c>
      <c r="C11993" t="s">
        <v>14652</v>
      </c>
      <c r="D11993" t="s">
        <v>18072</v>
      </c>
      <c r="E11993" t="s">
        <v>28482</v>
      </c>
      <c r="F11993" t="s">
        <v>31574</v>
      </c>
      <c r="G11993" t="s">
        <v>31582</v>
      </c>
      <c r="H11993" t="s">
        <v>31590</v>
      </c>
      <c r="I11993" t="s">
        <v>31602</v>
      </c>
      <c r="J11993" t="s">
        <v>31771</v>
      </c>
      <c r="K11993" t="s">
        <v>41184</v>
      </c>
      <c r="M11993" t="s">
        <v>42579</v>
      </c>
      <c r="N11993" t="s">
        <v>45095</v>
      </c>
      <c r="O11993" t="s">
        <v>45096</v>
      </c>
      <c r="P11993">
        <v>0</v>
      </c>
      <c r="Q11993">
        <v>0</v>
      </c>
      <c r="R11993" t="s">
        <v>45110</v>
      </c>
      <c r="S11993" t="s">
        <v>45605</v>
      </c>
      <c r="T11993" t="s">
        <v>46991</v>
      </c>
      <c r="U11993" t="s">
        <v>57285</v>
      </c>
      <c r="W11993" t="s">
        <v>42579</v>
      </c>
      <c r="X11993" t="s">
        <v>45111</v>
      </c>
    </row>
    <row r="11994" spans="1:24">
      <c r="A11994">
        <f>HYPERLINK("https://www.philgeps.gov.ph/GEPSNONPILOT/Tender/SplashBidNoticeAbstractUI.aspx?menuIndex=3&amp;refID=7023421&amp;Result=3","7023421")</f>
        <v>0</v>
      </c>
      <c r="B11994" t="s">
        <v>182</v>
      </c>
      <c r="C11994" t="s">
        <v>14653</v>
      </c>
      <c r="D11994" t="s">
        <v>18060</v>
      </c>
      <c r="E11994" t="s">
        <v>28483</v>
      </c>
      <c r="F11994" t="s">
        <v>31574</v>
      </c>
      <c r="G11994" t="s">
        <v>31582</v>
      </c>
      <c r="H11994" t="s">
        <v>31591</v>
      </c>
      <c r="I11994" t="s">
        <v>8822</v>
      </c>
      <c r="J11994" t="s">
        <v>31819</v>
      </c>
      <c r="K11994" t="s">
        <v>41185</v>
      </c>
      <c r="M11994" t="s">
        <v>44709</v>
      </c>
      <c r="N11994" t="s">
        <v>45095</v>
      </c>
      <c r="O11994" t="s">
        <v>45096</v>
      </c>
      <c r="P11994">
        <v>0</v>
      </c>
      <c r="Q11994">
        <v>1</v>
      </c>
      <c r="R11994" t="s">
        <v>45110</v>
      </c>
      <c r="S11994" t="s">
        <v>45605</v>
      </c>
      <c r="T11994" t="s">
        <v>46926</v>
      </c>
      <c r="U11994" t="s">
        <v>57286</v>
      </c>
      <c r="W11994" t="s">
        <v>44709</v>
      </c>
      <c r="X11994" t="s">
        <v>45111</v>
      </c>
    </row>
    <row r="11995" spans="1:24">
      <c r="A11995">
        <f>HYPERLINK("https://www.philgeps.gov.ph/GEPSNONPILOT/Tender/SplashBidNoticeAbstractUI.aspx?menuIndex=3&amp;refID=7023423&amp;Result=3","7023423")</f>
        <v>0</v>
      </c>
      <c r="B11995" t="s">
        <v>40</v>
      </c>
      <c r="C11995" t="s">
        <v>14654</v>
      </c>
      <c r="D11995" t="s">
        <v>18035</v>
      </c>
      <c r="E11995" t="s">
        <v>28484</v>
      </c>
      <c r="F11995" t="s">
        <v>31574</v>
      </c>
      <c r="G11995" t="s">
        <v>31582</v>
      </c>
      <c r="H11995" t="s">
        <v>31591</v>
      </c>
      <c r="I11995" t="s">
        <v>8822</v>
      </c>
      <c r="J11995" t="s">
        <v>39147</v>
      </c>
      <c r="K11995" t="s">
        <v>41267</v>
      </c>
      <c r="M11995" t="s">
        <v>41523</v>
      </c>
      <c r="N11995" t="s">
        <v>45095</v>
      </c>
      <c r="O11995" t="s">
        <v>45096</v>
      </c>
      <c r="P11995">
        <v>0</v>
      </c>
      <c r="Q11995">
        <v>16</v>
      </c>
      <c r="R11995" t="s">
        <v>45110</v>
      </c>
      <c r="S11995" t="s">
        <v>45605</v>
      </c>
      <c r="T11995" t="s">
        <v>46922</v>
      </c>
      <c r="U11995" t="s">
        <v>54981</v>
      </c>
      <c r="V11995" t="s">
        <v>59850</v>
      </c>
      <c r="W11995" t="s">
        <v>41523</v>
      </c>
      <c r="X11995" t="s">
        <v>45111</v>
      </c>
    </row>
    <row r="11996" spans="1:24">
      <c r="A11996">
        <f>HYPERLINK("https://www.philgeps.gov.ph/GEPSNONPILOT/Tender/SplashBidNoticeAbstractUI.aspx?menuIndex=3&amp;refID=7023429&amp;Result=3","7023429")</f>
        <v>0</v>
      </c>
      <c r="B11996" t="s">
        <v>2278</v>
      </c>
      <c r="C11996" t="s">
        <v>14655</v>
      </c>
      <c r="D11996" t="s">
        <v>18027</v>
      </c>
      <c r="E11996" t="s">
        <v>28485</v>
      </c>
      <c r="F11996" t="s">
        <v>31574</v>
      </c>
      <c r="G11996" t="s">
        <v>31582</v>
      </c>
      <c r="H11996" t="s">
        <v>31591</v>
      </c>
      <c r="I11996" t="s">
        <v>8822</v>
      </c>
      <c r="J11996" t="s">
        <v>39148</v>
      </c>
      <c r="K11996" t="s">
        <v>41198</v>
      </c>
      <c r="M11996" t="s">
        <v>43985</v>
      </c>
      <c r="N11996" t="s">
        <v>45095</v>
      </c>
      <c r="O11996" t="s">
        <v>45096</v>
      </c>
      <c r="P11996">
        <v>0</v>
      </c>
      <c r="Q11996">
        <v>0</v>
      </c>
      <c r="R11996" t="s">
        <v>45110</v>
      </c>
      <c r="S11996" t="s">
        <v>45605</v>
      </c>
      <c r="T11996" t="s">
        <v>46926</v>
      </c>
      <c r="U11996" t="s">
        <v>57287</v>
      </c>
      <c r="W11996" t="s">
        <v>43985</v>
      </c>
      <c r="X11996" t="s">
        <v>45111</v>
      </c>
    </row>
    <row r="11997" spans="1:24">
      <c r="A11997">
        <f>HYPERLINK("https://www.philgeps.gov.ph/GEPSNONPILOT/Tender/SplashBidNoticeAbstractUI.aspx?menuIndex=3&amp;refID=7023414&amp;Result=3","7023414")</f>
        <v>0</v>
      </c>
      <c r="B11997" t="s">
        <v>625</v>
      </c>
      <c r="C11997" t="s">
        <v>14656</v>
      </c>
      <c r="D11997" t="s">
        <v>18072</v>
      </c>
      <c r="E11997" t="s">
        <v>28486</v>
      </c>
      <c r="F11997" t="s">
        <v>31574</v>
      </c>
      <c r="G11997" t="s">
        <v>31582</v>
      </c>
      <c r="H11997" t="s">
        <v>31590</v>
      </c>
      <c r="I11997" t="s">
        <v>4046</v>
      </c>
      <c r="J11997" t="s">
        <v>39149</v>
      </c>
      <c r="K11997" t="s">
        <v>41190</v>
      </c>
      <c r="M11997" t="s">
        <v>44710</v>
      </c>
      <c r="N11997" t="s">
        <v>45095</v>
      </c>
      <c r="O11997" t="s">
        <v>45096</v>
      </c>
      <c r="P11997">
        <v>0</v>
      </c>
      <c r="Q11997">
        <v>0</v>
      </c>
      <c r="R11997" t="s">
        <v>45110</v>
      </c>
      <c r="S11997" t="s">
        <v>45605</v>
      </c>
      <c r="T11997" t="s">
        <v>47143</v>
      </c>
      <c r="U11997" t="s">
        <v>49853</v>
      </c>
      <c r="W11997" t="s">
        <v>44710</v>
      </c>
      <c r="X11997" t="s">
        <v>45111</v>
      </c>
    </row>
    <row r="11998" spans="1:24">
      <c r="A11998">
        <f>HYPERLINK("https://www.philgeps.gov.ph/GEPSNONPILOT/Tender/SplashBidNoticeAbstractUI.aspx?menuIndex=3&amp;refID=7023434&amp;Result=3","7023434")</f>
        <v>0</v>
      </c>
      <c r="B11998" t="s">
        <v>116</v>
      </c>
      <c r="C11998" t="s">
        <v>14657</v>
      </c>
      <c r="D11998" t="s">
        <v>18068</v>
      </c>
      <c r="E11998" t="s">
        <v>28487</v>
      </c>
      <c r="F11998" t="s">
        <v>31574</v>
      </c>
      <c r="G11998" t="s">
        <v>31582</v>
      </c>
      <c r="H11998" t="s">
        <v>31590</v>
      </c>
      <c r="I11998" t="s">
        <v>31599</v>
      </c>
      <c r="J11998" t="s">
        <v>39150</v>
      </c>
      <c r="K11998" t="s">
        <v>41196</v>
      </c>
      <c r="M11998" t="s">
        <v>44703</v>
      </c>
      <c r="N11998" t="s">
        <v>45095</v>
      </c>
      <c r="O11998" t="s">
        <v>45096</v>
      </c>
      <c r="P11998">
        <v>0</v>
      </c>
      <c r="Q11998">
        <v>2</v>
      </c>
      <c r="R11998" t="s">
        <v>45110</v>
      </c>
      <c r="S11998" t="s">
        <v>45605</v>
      </c>
      <c r="T11998" t="s">
        <v>47056</v>
      </c>
      <c r="U11998" t="s">
        <v>57288</v>
      </c>
      <c r="W11998" t="s">
        <v>44703</v>
      </c>
      <c r="X11998" t="s">
        <v>45111</v>
      </c>
    </row>
    <row r="11999" spans="1:24">
      <c r="A11999">
        <f>HYPERLINK("https://www.philgeps.gov.ph/GEPSNONPILOT/Tender/SplashBidNoticeAbstractUI.aspx?menuIndex=3&amp;refID=7023433&amp;Result=3","7023433")</f>
        <v>0</v>
      </c>
      <c r="B11999" t="s">
        <v>2910</v>
      </c>
      <c r="C11999" t="s">
        <v>14658</v>
      </c>
      <c r="D11999" t="s">
        <v>18022</v>
      </c>
      <c r="E11999" t="s">
        <v>28488</v>
      </c>
      <c r="F11999" t="s">
        <v>31574</v>
      </c>
      <c r="G11999" t="s">
        <v>31582</v>
      </c>
      <c r="H11999" t="s">
        <v>31592</v>
      </c>
      <c r="I11999" t="s">
        <v>31608</v>
      </c>
      <c r="J11999" t="s">
        <v>39151</v>
      </c>
      <c r="K11999" t="s">
        <v>41445</v>
      </c>
      <c r="M11999" t="s">
        <v>44711</v>
      </c>
      <c r="N11999" t="s">
        <v>45095</v>
      </c>
      <c r="O11999" t="s">
        <v>45096</v>
      </c>
      <c r="P11999">
        <v>0</v>
      </c>
      <c r="Q11999">
        <v>21</v>
      </c>
      <c r="R11999" t="s">
        <v>45110</v>
      </c>
      <c r="S11999" t="s">
        <v>45605</v>
      </c>
      <c r="T11999" t="s">
        <v>47243</v>
      </c>
      <c r="U11999" t="s">
        <v>57289</v>
      </c>
      <c r="W11999" t="s">
        <v>61764</v>
      </c>
      <c r="X11999" t="s">
        <v>45111</v>
      </c>
    </row>
    <row r="12000" spans="1:24">
      <c r="A12000">
        <f>HYPERLINK("https://www.philgeps.gov.ph/GEPSNONPILOT/Tender/SplashBidNoticeAbstractUI.aspx?menuIndex=3&amp;refID=7023383&amp;Result=3","7023383")</f>
        <v>0</v>
      </c>
      <c r="B12000" t="s">
        <v>2334</v>
      </c>
      <c r="C12000" t="s">
        <v>14659</v>
      </c>
      <c r="D12000" t="s">
        <v>18026</v>
      </c>
      <c r="E12000" t="s">
        <v>28489</v>
      </c>
      <c r="F12000" t="s">
        <v>31574</v>
      </c>
      <c r="G12000" t="s">
        <v>31583</v>
      </c>
      <c r="H12000" t="s">
        <v>31590</v>
      </c>
      <c r="I12000" t="s">
        <v>4327</v>
      </c>
      <c r="J12000" t="s">
        <v>31845</v>
      </c>
      <c r="K12000" t="s">
        <v>41186</v>
      </c>
      <c r="M12000" t="s">
        <v>44044</v>
      </c>
      <c r="N12000" t="s">
        <v>45095</v>
      </c>
      <c r="O12000" t="s">
        <v>45096</v>
      </c>
      <c r="P12000">
        <v>0</v>
      </c>
      <c r="Q12000">
        <v>0</v>
      </c>
      <c r="R12000" t="s">
        <v>45110</v>
      </c>
      <c r="S12000" t="s">
        <v>45605</v>
      </c>
      <c r="T12000" t="s">
        <v>47158</v>
      </c>
      <c r="U12000" t="s">
        <v>57290</v>
      </c>
      <c r="W12000" t="s">
        <v>44044</v>
      </c>
      <c r="X12000" t="s">
        <v>45111</v>
      </c>
    </row>
    <row r="12001" spans="1:24">
      <c r="A12001">
        <f>HYPERLINK("https://www.philgeps.gov.ph/GEPSNONPILOT/Tender/SplashBidNoticeAbstractUI.aspx?menuIndex=3&amp;refID=7023417&amp;Result=3","7023417")</f>
        <v>0</v>
      </c>
      <c r="B12001" t="s">
        <v>1294</v>
      </c>
      <c r="C12001" t="s">
        <v>14660</v>
      </c>
      <c r="D12001" t="s">
        <v>18036</v>
      </c>
      <c r="E12001" t="s">
        <v>28490</v>
      </c>
      <c r="F12001" t="s">
        <v>31574</v>
      </c>
      <c r="G12001" t="s">
        <v>31582</v>
      </c>
      <c r="H12001" t="s">
        <v>31590</v>
      </c>
      <c r="I12001" t="s">
        <v>8822</v>
      </c>
      <c r="J12001" t="s">
        <v>31935</v>
      </c>
      <c r="K12001" t="s">
        <v>41287</v>
      </c>
      <c r="M12001" t="s">
        <v>42864</v>
      </c>
      <c r="N12001" t="s">
        <v>45095</v>
      </c>
      <c r="O12001" t="s">
        <v>45096</v>
      </c>
      <c r="Q12001">
        <v>0</v>
      </c>
      <c r="R12001" t="s">
        <v>45110</v>
      </c>
      <c r="S12001" t="s">
        <v>45653</v>
      </c>
      <c r="T12001" t="s">
        <v>46910</v>
      </c>
      <c r="U12001" t="s">
        <v>57291</v>
      </c>
      <c r="W12001" t="s">
        <v>42864</v>
      </c>
      <c r="X12001" t="s">
        <v>45111</v>
      </c>
    </row>
    <row r="12002" spans="1:24">
      <c r="A12002">
        <f>HYPERLINK("https://www.philgeps.gov.ph/GEPSNONPILOT/Tender/SplashBidNoticeAbstractUI.aspx?menuIndex=3&amp;refID=7023411&amp;Result=3","7023411")</f>
        <v>0</v>
      </c>
      <c r="B12002" t="s">
        <v>66</v>
      </c>
      <c r="C12002" t="s">
        <v>14661</v>
      </c>
      <c r="D12002" t="s">
        <v>18050</v>
      </c>
      <c r="E12002" t="s">
        <v>28491</v>
      </c>
      <c r="F12002" t="s">
        <v>31574</v>
      </c>
      <c r="G12002" t="s">
        <v>31582</v>
      </c>
      <c r="H12002" t="s">
        <v>31590</v>
      </c>
      <c r="I12002" t="s">
        <v>8258</v>
      </c>
      <c r="J12002" t="s">
        <v>39152</v>
      </c>
      <c r="K12002" t="s">
        <v>41190</v>
      </c>
      <c r="L12002" t="s">
        <v>66</v>
      </c>
      <c r="M12002" t="s">
        <v>41550</v>
      </c>
      <c r="N12002" t="s">
        <v>45095</v>
      </c>
      <c r="O12002" t="s">
        <v>45096</v>
      </c>
      <c r="P12002">
        <v>0</v>
      </c>
      <c r="Q12002">
        <v>14</v>
      </c>
      <c r="R12002" t="s">
        <v>45110</v>
      </c>
      <c r="S12002" t="s">
        <v>45605</v>
      </c>
      <c r="T12002" t="s">
        <v>46933</v>
      </c>
      <c r="U12002" t="s">
        <v>47541</v>
      </c>
      <c r="V12002" t="s">
        <v>59860</v>
      </c>
      <c r="W12002" t="s">
        <v>41550</v>
      </c>
      <c r="X12002" t="s">
        <v>45111</v>
      </c>
    </row>
    <row r="12003" spans="1:24">
      <c r="A12003">
        <f>HYPERLINK("https://www.philgeps.gov.ph/GEPSNONPILOT/Tender/SplashBidNoticeAbstractUI.aspx?menuIndex=3&amp;refID=7023380&amp;Result=3","7023380")</f>
        <v>0</v>
      </c>
      <c r="B12003" t="s">
        <v>625</v>
      </c>
      <c r="C12003" t="s">
        <v>14662</v>
      </c>
      <c r="D12003" t="s">
        <v>18072</v>
      </c>
      <c r="E12003" t="s">
        <v>28492</v>
      </c>
      <c r="F12003" t="s">
        <v>31574</v>
      </c>
      <c r="G12003" t="s">
        <v>31582</v>
      </c>
      <c r="H12003" t="s">
        <v>31591</v>
      </c>
      <c r="I12003" t="s">
        <v>8822</v>
      </c>
      <c r="J12003" t="s">
        <v>31935</v>
      </c>
      <c r="K12003" t="s">
        <v>41189</v>
      </c>
      <c r="M12003" t="s">
        <v>44710</v>
      </c>
      <c r="N12003" t="s">
        <v>45095</v>
      </c>
      <c r="O12003" t="s">
        <v>45096</v>
      </c>
      <c r="P12003">
        <v>0</v>
      </c>
      <c r="Q12003">
        <v>0</v>
      </c>
      <c r="R12003" t="s">
        <v>45110</v>
      </c>
      <c r="S12003" t="s">
        <v>45605</v>
      </c>
      <c r="T12003" t="s">
        <v>47143</v>
      </c>
      <c r="U12003" t="s">
        <v>57292</v>
      </c>
      <c r="W12003" t="s">
        <v>44710</v>
      </c>
      <c r="X12003" t="s">
        <v>45111</v>
      </c>
    </row>
    <row r="12004" spans="1:24">
      <c r="A12004">
        <f>HYPERLINK("https://www.philgeps.gov.ph/GEPSNONPILOT/Tender/SplashBidNoticeAbstractUI.aspx?menuIndex=3&amp;refID=7023478&amp;Result=3","7023478")</f>
        <v>0</v>
      </c>
      <c r="B12004" t="s">
        <v>182</v>
      </c>
      <c r="C12004" t="s">
        <v>14663</v>
      </c>
      <c r="D12004" t="s">
        <v>18060</v>
      </c>
      <c r="E12004" t="s">
        <v>28493</v>
      </c>
      <c r="F12004" t="s">
        <v>31574</v>
      </c>
      <c r="G12004" t="s">
        <v>31582</v>
      </c>
      <c r="H12004" t="s">
        <v>31591</v>
      </c>
      <c r="I12004" t="s">
        <v>8822</v>
      </c>
      <c r="J12004" t="s">
        <v>33344</v>
      </c>
      <c r="K12004" t="s">
        <v>41185</v>
      </c>
      <c r="M12004" t="s">
        <v>44709</v>
      </c>
      <c r="N12004" t="s">
        <v>45095</v>
      </c>
      <c r="O12004" t="s">
        <v>45096</v>
      </c>
      <c r="P12004">
        <v>0</v>
      </c>
      <c r="Q12004">
        <v>1</v>
      </c>
      <c r="R12004" t="s">
        <v>45110</v>
      </c>
      <c r="S12004" t="s">
        <v>45605</v>
      </c>
      <c r="T12004" t="s">
        <v>46966</v>
      </c>
      <c r="U12004" t="s">
        <v>57293</v>
      </c>
      <c r="W12004" t="s">
        <v>44709</v>
      </c>
      <c r="X12004" t="s">
        <v>45111</v>
      </c>
    </row>
    <row r="12005" spans="1:24">
      <c r="A12005">
        <f>HYPERLINK("https://www.philgeps.gov.ph/GEPSNONPILOT/Tender/SplashBidNoticeAbstractUI.aspx?menuIndex=3&amp;refID=7023439&amp;Result=3","7023439")</f>
        <v>0</v>
      </c>
      <c r="B12005" t="s">
        <v>38</v>
      </c>
      <c r="C12005" t="s">
        <v>14664</v>
      </c>
      <c r="D12005" t="s">
        <v>18033</v>
      </c>
      <c r="E12005" t="s">
        <v>28494</v>
      </c>
      <c r="F12005" t="s">
        <v>31574</v>
      </c>
      <c r="G12005" t="s">
        <v>31582</v>
      </c>
      <c r="H12005" t="s">
        <v>31590</v>
      </c>
      <c r="I12005" t="s">
        <v>3487</v>
      </c>
      <c r="J12005" t="s">
        <v>39153</v>
      </c>
      <c r="K12005" t="s">
        <v>41194</v>
      </c>
      <c r="M12005" t="s">
        <v>41663</v>
      </c>
      <c r="N12005" t="s">
        <v>45095</v>
      </c>
      <c r="O12005" t="s">
        <v>45096</v>
      </c>
      <c r="P12005">
        <v>0</v>
      </c>
      <c r="Q12005">
        <v>0</v>
      </c>
      <c r="R12005" t="s">
        <v>45110</v>
      </c>
      <c r="S12005" t="s">
        <v>45605</v>
      </c>
      <c r="T12005" t="s">
        <v>46985</v>
      </c>
      <c r="U12005" t="s">
        <v>57294</v>
      </c>
      <c r="V12005" t="s">
        <v>59888</v>
      </c>
      <c r="W12005" t="s">
        <v>41663</v>
      </c>
      <c r="X12005" t="s">
        <v>45111</v>
      </c>
    </row>
    <row r="12006" spans="1:24">
      <c r="A12006">
        <f>HYPERLINK("https://www.philgeps.gov.ph/GEPSNONPILOT/Tender/SplashBidNoticeAbstractUI.aspx?menuIndex=3&amp;refID=7023458&amp;Result=3","7023458")</f>
        <v>0</v>
      </c>
      <c r="B12006" t="s">
        <v>2911</v>
      </c>
      <c r="C12006" t="s">
        <v>14665</v>
      </c>
      <c r="D12006" t="s">
        <v>18066</v>
      </c>
      <c r="E12006" t="s">
        <v>23271</v>
      </c>
      <c r="F12006" t="s">
        <v>31574</v>
      </c>
      <c r="G12006" t="s">
        <v>31582</v>
      </c>
      <c r="H12006" t="s">
        <v>31591</v>
      </c>
      <c r="I12006" t="s">
        <v>8822</v>
      </c>
      <c r="J12006" t="s">
        <v>39154</v>
      </c>
      <c r="K12006" t="s">
        <v>41201</v>
      </c>
      <c r="M12006" t="s">
        <v>44712</v>
      </c>
      <c r="N12006" t="s">
        <v>45095</v>
      </c>
      <c r="O12006" t="s">
        <v>45096</v>
      </c>
      <c r="P12006">
        <v>0</v>
      </c>
      <c r="Q12006">
        <v>0</v>
      </c>
      <c r="R12006" t="s">
        <v>45110</v>
      </c>
      <c r="S12006" t="s">
        <v>45605</v>
      </c>
      <c r="T12006" t="s">
        <v>47403</v>
      </c>
      <c r="U12006" t="s">
        <v>57295</v>
      </c>
      <c r="W12006" t="s">
        <v>44712</v>
      </c>
      <c r="X12006" t="s">
        <v>45111</v>
      </c>
    </row>
    <row r="12007" spans="1:24">
      <c r="A12007">
        <f>HYPERLINK("https://www.philgeps.gov.ph/GEPSNONPILOT/Tender/SplashBidNoticeAbstractUI.aspx?menuIndex=3&amp;refID=7023454&amp;Result=3","7023454")</f>
        <v>0</v>
      </c>
      <c r="B12007" t="s">
        <v>40</v>
      </c>
      <c r="C12007" t="s">
        <v>14666</v>
      </c>
      <c r="D12007" t="s">
        <v>18035</v>
      </c>
      <c r="E12007" t="s">
        <v>28495</v>
      </c>
      <c r="F12007" t="s">
        <v>31574</v>
      </c>
      <c r="G12007" t="s">
        <v>31582</v>
      </c>
      <c r="H12007" t="s">
        <v>31591</v>
      </c>
      <c r="I12007" t="s">
        <v>8822</v>
      </c>
      <c r="J12007" t="s">
        <v>34697</v>
      </c>
      <c r="K12007" t="s">
        <v>41200</v>
      </c>
      <c r="M12007" t="s">
        <v>41523</v>
      </c>
      <c r="N12007" t="s">
        <v>45095</v>
      </c>
      <c r="O12007" t="s">
        <v>45096</v>
      </c>
      <c r="P12007">
        <v>0</v>
      </c>
      <c r="Q12007">
        <v>32</v>
      </c>
      <c r="R12007" t="s">
        <v>45110</v>
      </c>
      <c r="S12007" t="s">
        <v>45605</v>
      </c>
      <c r="T12007" t="s">
        <v>46922</v>
      </c>
      <c r="U12007" t="s">
        <v>56687</v>
      </c>
      <c r="V12007" t="s">
        <v>59850</v>
      </c>
      <c r="W12007" t="s">
        <v>41523</v>
      </c>
      <c r="X12007" t="s">
        <v>45111</v>
      </c>
    </row>
    <row r="12008" spans="1:24">
      <c r="A12008">
        <f>HYPERLINK("https://www.philgeps.gov.ph/GEPSNONPILOT/Tender/SplashBidNoticeAbstractUI.aspx?menuIndex=3&amp;refID=7023452&amp;Result=3","7023452")</f>
        <v>0</v>
      </c>
      <c r="B12008" t="s">
        <v>2912</v>
      </c>
      <c r="C12008" t="s">
        <v>14667</v>
      </c>
      <c r="D12008" t="s">
        <v>18022</v>
      </c>
      <c r="E12008" t="s">
        <v>28496</v>
      </c>
      <c r="F12008" t="s">
        <v>31574</v>
      </c>
      <c r="G12008" t="s">
        <v>31582</v>
      </c>
      <c r="H12008" t="s">
        <v>31590</v>
      </c>
      <c r="I12008" t="s">
        <v>31615</v>
      </c>
      <c r="J12008" t="s">
        <v>39155</v>
      </c>
      <c r="K12008" t="s">
        <v>41186</v>
      </c>
      <c r="M12008" t="s">
        <v>44713</v>
      </c>
      <c r="N12008" t="s">
        <v>45095</v>
      </c>
      <c r="O12008" t="s">
        <v>45096</v>
      </c>
      <c r="Q12008">
        <v>12</v>
      </c>
      <c r="R12008" t="s">
        <v>45110</v>
      </c>
      <c r="S12008" t="s">
        <v>45654</v>
      </c>
      <c r="T12008" t="s">
        <v>47134</v>
      </c>
      <c r="U12008" t="s">
        <v>57296</v>
      </c>
      <c r="W12008" t="s">
        <v>44713</v>
      </c>
      <c r="X12008" t="s">
        <v>45111</v>
      </c>
    </row>
    <row r="12009" spans="1:24">
      <c r="A12009">
        <f>HYPERLINK("https://www.philgeps.gov.ph/GEPSNONPILOT/Tender/SplashBidNoticeAbstractUI.aspx?menuIndex=3&amp;refID=7023509&amp;Result=3","7023509")</f>
        <v>0</v>
      </c>
      <c r="B12009" t="s">
        <v>751</v>
      </c>
      <c r="C12009" t="s">
        <v>14668</v>
      </c>
      <c r="D12009" t="s">
        <v>18065</v>
      </c>
      <c r="E12009" t="s">
        <v>28497</v>
      </c>
      <c r="F12009" t="s">
        <v>31574</v>
      </c>
      <c r="G12009" t="s">
        <v>31582</v>
      </c>
      <c r="H12009" t="s">
        <v>31591</v>
      </c>
      <c r="I12009" t="s">
        <v>8822</v>
      </c>
      <c r="J12009" t="s">
        <v>31935</v>
      </c>
      <c r="K12009" t="s">
        <v>41189</v>
      </c>
      <c r="M12009" t="s">
        <v>42265</v>
      </c>
      <c r="N12009" t="s">
        <v>45095</v>
      </c>
      <c r="O12009" t="s">
        <v>45096</v>
      </c>
      <c r="P12009">
        <v>0</v>
      </c>
      <c r="Q12009">
        <v>0</v>
      </c>
      <c r="R12009" t="s">
        <v>45110</v>
      </c>
      <c r="S12009" t="s">
        <v>45605</v>
      </c>
      <c r="T12009" t="s">
        <v>46938</v>
      </c>
      <c r="U12009" t="s">
        <v>57297</v>
      </c>
      <c r="W12009" t="s">
        <v>42265</v>
      </c>
      <c r="X12009" t="s">
        <v>45111</v>
      </c>
    </row>
    <row r="12010" spans="1:24">
      <c r="A12010">
        <f>HYPERLINK("https://www.philgeps.gov.ph/GEPSNONPILOT/Tender/SplashBidNoticeAbstractUI.aspx?menuIndex=3&amp;refID=7023459&amp;Result=3","7023459")</f>
        <v>0</v>
      </c>
      <c r="B12010" t="s">
        <v>2910</v>
      </c>
      <c r="C12010" t="s">
        <v>14669</v>
      </c>
      <c r="D12010" t="s">
        <v>18022</v>
      </c>
      <c r="E12010" t="s">
        <v>28498</v>
      </c>
      <c r="F12010" t="s">
        <v>31574</v>
      </c>
      <c r="G12010" t="s">
        <v>31582</v>
      </c>
      <c r="H12010" t="s">
        <v>31592</v>
      </c>
      <c r="I12010" t="s">
        <v>31608</v>
      </c>
      <c r="J12010" t="s">
        <v>39156</v>
      </c>
      <c r="K12010" t="s">
        <v>41445</v>
      </c>
      <c r="M12010" t="s">
        <v>44711</v>
      </c>
      <c r="N12010" t="s">
        <v>45095</v>
      </c>
      <c r="O12010" t="s">
        <v>45096</v>
      </c>
      <c r="P12010">
        <v>0</v>
      </c>
      <c r="Q12010">
        <v>18</v>
      </c>
      <c r="R12010" t="s">
        <v>45110</v>
      </c>
      <c r="S12010" t="s">
        <v>45605</v>
      </c>
      <c r="T12010" t="s">
        <v>47243</v>
      </c>
      <c r="U12010" t="s">
        <v>57289</v>
      </c>
      <c r="W12010" t="s">
        <v>61764</v>
      </c>
      <c r="X12010" t="s">
        <v>45111</v>
      </c>
    </row>
    <row r="12011" spans="1:24">
      <c r="A12011">
        <f>HYPERLINK("https://www.philgeps.gov.ph/GEPSNONPILOT/Tender/SplashBidNoticeAbstractUI.aspx?menuIndex=3&amp;refID=7023499&amp;Result=3","7023499")</f>
        <v>0</v>
      </c>
      <c r="B12011" t="s">
        <v>1774</v>
      </c>
      <c r="C12011" t="s">
        <v>14670</v>
      </c>
      <c r="D12011" t="s">
        <v>18087</v>
      </c>
      <c r="E12011" t="s">
        <v>28499</v>
      </c>
      <c r="F12011" t="s">
        <v>31574</v>
      </c>
      <c r="G12011" t="s">
        <v>31582</v>
      </c>
      <c r="H12011" t="s">
        <v>31591</v>
      </c>
      <c r="I12011" t="s">
        <v>8822</v>
      </c>
      <c r="J12011" t="s">
        <v>31935</v>
      </c>
      <c r="K12011" t="s">
        <v>41192</v>
      </c>
      <c r="M12011" t="s">
        <v>43404</v>
      </c>
      <c r="N12011" t="s">
        <v>45095</v>
      </c>
      <c r="O12011" t="s">
        <v>45096</v>
      </c>
      <c r="P12011">
        <v>0</v>
      </c>
      <c r="Q12011">
        <v>1</v>
      </c>
      <c r="R12011" t="s">
        <v>45110</v>
      </c>
      <c r="S12011" t="s">
        <v>45605</v>
      </c>
      <c r="T12011" t="s">
        <v>46955</v>
      </c>
      <c r="U12011" t="s">
        <v>57298</v>
      </c>
      <c r="W12011" t="s">
        <v>43404</v>
      </c>
      <c r="X12011" t="s">
        <v>45111</v>
      </c>
    </row>
    <row r="12012" spans="1:24">
      <c r="A12012">
        <f>HYPERLINK("https://www.philgeps.gov.ph/GEPSNONPILOT/Tender/SplashBidNoticeAbstractUI.aspx?menuIndex=3&amp;refID=7023526&amp;Result=3","7023526")</f>
        <v>0</v>
      </c>
      <c r="B12012" t="s">
        <v>1492</v>
      </c>
      <c r="C12012" t="s">
        <v>14671</v>
      </c>
      <c r="D12012" t="s">
        <v>18072</v>
      </c>
      <c r="E12012" t="s">
        <v>28500</v>
      </c>
      <c r="F12012" t="s">
        <v>31574</v>
      </c>
      <c r="G12012" t="s">
        <v>31582</v>
      </c>
      <c r="H12012" t="s">
        <v>31591</v>
      </c>
      <c r="I12012" t="s">
        <v>8822</v>
      </c>
      <c r="J12012" t="s">
        <v>39157</v>
      </c>
      <c r="K12012" t="s">
        <v>41200</v>
      </c>
      <c r="M12012" t="s">
        <v>43100</v>
      </c>
      <c r="N12012" t="s">
        <v>45095</v>
      </c>
      <c r="O12012" t="s">
        <v>45096</v>
      </c>
      <c r="P12012">
        <v>0</v>
      </c>
      <c r="Q12012">
        <v>0</v>
      </c>
      <c r="R12012" t="s">
        <v>45110</v>
      </c>
      <c r="S12012" t="s">
        <v>45605</v>
      </c>
      <c r="T12012" t="s">
        <v>47391</v>
      </c>
      <c r="U12012" t="s">
        <v>57299</v>
      </c>
      <c r="W12012" t="s">
        <v>43100</v>
      </c>
      <c r="X12012" t="s">
        <v>45111</v>
      </c>
    </row>
    <row r="12013" spans="1:24">
      <c r="A12013">
        <f>HYPERLINK("https://www.philgeps.gov.ph/GEPSNONPILOT/Tender/SplashBidNoticeAbstractUI.aspx?menuIndex=3&amp;refID=7023467&amp;Result=3","7023467")</f>
        <v>0</v>
      </c>
      <c r="B12013" t="s">
        <v>1926</v>
      </c>
      <c r="C12013" t="s">
        <v>14672</v>
      </c>
      <c r="D12013" t="s">
        <v>18099</v>
      </c>
      <c r="E12013" t="s">
        <v>28501</v>
      </c>
      <c r="F12013" t="s">
        <v>31574</v>
      </c>
      <c r="G12013" t="s">
        <v>31582</v>
      </c>
      <c r="H12013" t="s">
        <v>31591</v>
      </c>
      <c r="I12013" t="s">
        <v>8822</v>
      </c>
      <c r="J12013" t="s">
        <v>39158</v>
      </c>
      <c r="K12013" t="s">
        <v>41192</v>
      </c>
      <c r="M12013" t="s">
        <v>43578</v>
      </c>
      <c r="N12013" t="s">
        <v>45095</v>
      </c>
      <c r="O12013" t="s">
        <v>45096</v>
      </c>
      <c r="P12013">
        <v>0</v>
      </c>
      <c r="Q12013">
        <v>0</v>
      </c>
      <c r="R12013" t="s">
        <v>45110</v>
      </c>
      <c r="S12013" t="s">
        <v>45605</v>
      </c>
      <c r="T12013" t="s">
        <v>46926</v>
      </c>
      <c r="U12013" t="s">
        <v>57300</v>
      </c>
      <c r="V12013" t="s">
        <v>60511</v>
      </c>
      <c r="W12013" t="s">
        <v>43578</v>
      </c>
      <c r="X12013" t="s">
        <v>45111</v>
      </c>
    </row>
    <row r="12014" spans="1:24">
      <c r="A12014">
        <f>HYPERLINK("https://www.philgeps.gov.ph/GEPSNONPILOT/Tender/SplashBidNoticeAbstractUI.aspx?menuIndex=3&amp;refID=7023488&amp;Result=3","7023488")</f>
        <v>0</v>
      </c>
      <c r="B12014" t="s">
        <v>2910</v>
      </c>
      <c r="C12014" t="s">
        <v>14673</v>
      </c>
      <c r="D12014" t="s">
        <v>18022</v>
      </c>
      <c r="E12014" t="s">
        <v>28502</v>
      </c>
      <c r="F12014" t="s">
        <v>31574</v>
      </c>
      <c r="G12014" t="s">
        <v>31582</v>
      </c>
      <c r="H12014" t="s">
        <v>31592</v>
      </c>
      <c r="I12014" t="s">
        <v>31608</v>
      </c>
      <c r="J12014" t="s">
        <v>39159</v>
      </c>
      <c r="K12014" t="s">
        <v>41445</v>
      </c>
      <c r="M12014" t="s">
        <v>44711</v>
      </c>
      <c r="N12014" t="s">
        <v>45095</v>
      </c>
      <c r="O12014" t="s">
        <v>45096</v>
      </c>
      <c r="P12014">
        <v>0</v>
      </c>
      <c r="Q12014">
        <v>17</v>
      </c>
      <c r="R12014" t="s">
        <v>45110</v>
      </c>
      <c r="S12014" t="s">
        <v>45605</v>
      </c>
      <c r="T12014" t="s">
        <v>47243</v>
      </c>
      <c r="U12014" t="s">
        <v>57289</v>
      </c>
      <c r="W12014" t="s">
        <v>61764</v>
      </c>
      <c r="X12014" t="s">
        <v>45111</v>
      </c>
    </row>
    <row r="12015" spans="1:24">
      <c r="A12015">
        <f>HYPERLINK("https://www.philgeps.gov.ph/GEPSNONPILOT/Tender/SplashBidNoticeAbstractUI.aspx?menuIndex=3&amp;refID=7023505&amp;Result=3","7023505")</f>
        <v>0</v>
      </c>
      <c r="B12015" t="s">
        <v>40</v>
      </c>
      <c r="C12015" t="s">
        <v>14674</v>
      </c>
      <c r="D12015" t="s">
        <v>18035</v>
      </c>
      <c r="E12015" t="s">
        <v>28503</v>
      </c>
      <c r="F12015" t="s">
        <v>31574</v>
      </c>
      <c r="G12015" t="s">
        <v>31582</v>
      </c>
      <c r="H12015" t="s">
        <v>31591</v>
      </c>
      <c r="I12015" t="s">
        <v>8822</v>
      </c>
      <c r="J12015" t="s">
        <v>34697</v>
      </c>
      <c r="K12015" t="s">
        <v>41200</v>
      </c>
      <c r="M12015" t="s">
        <v>41523</v>
      </c>
      <c r="N12015" t="s">
        <v>45095</v>
      </c>
      <c r="O12015" t="s">
        <v>45096</v>
      </c>
      <c r="P12015">
        <v>0</v>
      </c>
      <c r="Q12015">
        <v>29</v>
      </c>
      <c r="R12015" t="s">
        <v>45110</v>
      </c>
      <c r="S12015" t="s">
        <v>45605</v>
      </c>
      <c r="T12015" t="s">
        <v>46922</v>
      </c>
      <c r="U12015" t="s">
        <v>56687</v>
      </c>
      <c r="V12015" t="s">
        <v>59850</v>
      </c>
      <c r="W12015" t="s">
        <v>41523</v>
      </c>
      <c r="X12015" t="s">
        <v>45111</v>
      </c>
    </row>
    <row r="12016" spans="1:24">
      <c r="A12016">
        <f>HYPERLINK("https://www.philgeps.gov.ph/GEPSNONPILOT/Tender/SplashBidNoticeAbstractUI.aspx?menuIndex=3&amp;refID=7023460&amp;Result=3","7023460")</f>
        <v>0</v>
      </c>
      <c r="B12016" t="s">
        <v>1492</v>
      </c>
      <c r="C12016" t="s">
        <v>14675</v>
      </c>
      <c r="D12016" t="s">
        <v>18072</v>
      </c>
      <c r="E12016" t="s">
        <v>28504</v>
      </c>
      <c r="F12016" t="s">
        <v>31574</v>
      </c>
      <c r="G12016" t="s">
        <v>31582</v>
      </c>
      <c r="H12016" t="s">
        <v>31591</v>
      </c>
      <c r="I12016" t="s">
        <v>8822</v>
      </c>
      <c r="J12016" t="s">
        <v>39160</v>
      </c>
      <c r="K12016" t="s">
        <v>41189</v>
      </c>
      <c r="M12016" t="s">
        <v>43100</v>
      </c>
      <c r="N12016" t="s">
        <v>45095</v>
      </c>
      <c r="O12016" t="s">
        <v>45096</v>
      </c>
      <c r="P12016">
        <v>0</v>
      </c>
      <c r="Q12016">
        <v>0</v>
      </c>
      <c r="R12016" t="s">
        <v>45110</v>
      </c>
      <c r="S12016" t="s">
        <v>45605</v>
      </c>
      <c r="T12016" t="s">
        <v>47391</v>
      </c>
      <c r="U12016" t="s">
        <v>57301</v>
      </c>
      <c r="W12016" t="s">
        <v>43100</v>
      </c>
      <c r="X12016" t="s">
        <v>45111</v>
      </c>
    </row>
    <row r="12017" spans="1:24">
      <c r="A12017">
        <f>HYPERLINK("https://www.philgeps.gov.ph/GEPSNONPILOT/Tender/SplashBidNoticeAbstractUI.aspx?menuIndex=3&amp;refID=7023451&amp;Result=3","7023451")</f>
        <v>0</v>
      </c>
      <c r="B12017" t="s">
        <v>1250</v>
      </c>
      <c r="C12017" t="s">
        <v>14676</v>
      </c>
      <c r="D12017" t="s">
        <v>18084</v>
      </c>
      <c r="E12017" t="s">
        <v>28505</v>
      </c>
      <c r="F12017" t="s">
        <v>31574</v>
      </c>
      <c r="G12017" t="s">
        <v>31582</v>
      </c>
      <c r="H12017" t="s">
        <v>31590</v>
      </c>
      <c r="I12017" t="s">
        <v>31595</v>
      </c>
      <c r="J12017" t="s">
        <v>39161</v>
      </c>
      <c r="K12017" t="s">
        <v>41185</v>
      </c>
      <c r="M12017" t="s">
        <v>44461</v>
      </c>
      <c r="N12017" t="s">
        <v>45095</v>
      </c>
      <c r="O12017" t="s">
        <v>45096</v>
      </c>
      <c r="Q12017">
        <v>3</v>
      </c>
      <c r="R12017" t="s">
        <v>45110</v>
      </c>
      <c r="S12017" t="s">
        <v>45655</v>
      </c>
      <c r="T12017" t="s">
        <v>46910</v>
      </c>
      <c r="U12017" t="s">
        <v>57302</v>
      </c>
      <c r="V12017" t="s">
        <v>60907</v>
      </c>
      <c r="W12017" t="s">
        <v>44461</v>
      </c>
      <c r="X12017" t="s">
        <v>45111</v>
      </c>
    </row>
    <row r="12018" spans="1:24">
      <c r="A12018">
        <f>HYPERLINK("https://www.philgeps.gov.ph/GEPSNONPILOT/Tender/SplashBidNoticeAbstractUI.aspx?menuIndex=3&amp;refID=7023474&amp;Result=3","7023474")</f>
        <v>0</v>
      </c>
      <c r="B12018" t="s">
        <v>625</v>
      </c>
      <c r="C12018" t="s">
        <v>14677</v>
      </c>
      <c r="D12018" t="s">
        <v>18072</v>
      </c>
      <c r="E12018" t="s">
        <v>28506</v>
      </c>
      <c r="F12018" t="s">
        <v>31574</v>
      </c>
      <c r="G12018" t="s">
        <v>31582</v>
      </c>
      <c r="H12018" t="s">
        <v>31591</v>
      </c>
      <c r="I12018" t="s">
        <v>8822</v>
      </c>
      <c r="J12018" t="s">
        <v>32001</v>
      </c>
      <c r="K12018" t="s">
        <v>41189</v>
      </c>
      <c r="M12018" t="s">
        <v>44710</v>
      </c>
      <c r="N12018" t="s">
        <v>45095</v>
      </c>
      <c r="O12018" t="s">
        <v>45096</v>
      </c>
      <c r="P12018">
        <v>0</v>
      </c>
      <c r="Q12018">
        <v>0</v>
      </c>
      <c r="R12018" t="s">
        <v>45110</v>
      </c>
      <c r="S12018" t="s">
        <v>45605</v>
      </c>
      <c r="T12018" t="s">
        <v>47143</v>
      </c>
      <c r="U12018" t="s">
        <v>57303</v>
      </c>
      <c r="W12018" t="s">
        <v>44710</v>
      </c>
      <c r="X12018" t="s">
        <v>45111</v>
      </c>
    </row>
    <row r="12019" spans="1:24">
      <c r="A12019">
        <f>HYPERLINK("https://www.philgeps.gov.ph/GEPSNONPILOT/Tender/SplashBidNoticeAbstractUI.aspx?menuIndex=3&amp;refID=7023498&amp;Result=3","7023498")</f>
        <v>0</v>
      </c>
      <c r="B12019" t="s">
        <v>2911</v>
      </c>
      <c r="C12019" t="s">
        <v>14678</v>
      </c>
      <c r="D12019" t="s">
        <v>18066</v>
      </c>
      <c r="E12019" t="s">
        <v>23335</v>
      </c>
      <c r="F12019" t="s">
        <v>31574</v>
      </c>
      <c r="G12019" t="s">
        <v>31582</v>
      </c>
      <c r="H12019" t="s">
        <v>31591</v>
      </c>
      <c r="I12019" t="s">
        <v>8822</v>
      </c>
      <c r="J12019" t="s">
        <v>31935</v>
      </c>
      <c r="K12019" t="s">
        <v>41201</v>
      </c>
      <c r="M12019" t="s">
        <v>44712</v>
      </c>
      <c r="N12019" t="s">
        <v>45095</v>
      </c>
      <c r="O12019" t="s">
        <v>45096</v>
      </c>
      <c r="P12019">
        <v>0</v>
      </c>
      <c r="Q12019">
        <v>0</v>
      </c>
      <c r="R12019" t="s">
        <v>45110</v>
      </c>
      <c r="S12019" t="s">
        <v>45605</v>
      </c>
      <c r="T12019" t="s">
        <v>47403</v>
      </c>
      <c r="U12019" t="s">
        <v>57304</v>
      </c>
      <c r="W12019" t="s">
        <v>44712</v>
      </c>
      <c r="X12019" t="s">
        <v>45111</v>
      </c>
    </row>
    <row r="12020" spans="1:24">
      <c r="A12020">
        <f>HYPERLINK("https://www.philgeps.gov.ph/GEPSNONPILOT/Tender/SplashBidNoticeAbstractUI.aspx?menuIndex=3&amp;refID=7023472&amp;Result=3","7023472")</f>
        <v>0</v>
      </c>
      <c r="B12020" t="s">
        <v>1774</v>
      </c>
      <c r="C12020" t="s">
        <v>14679</v>
      </c>
      <c r="D12020" t="s">
        <v>18087</v>
      </c>
      <c r="E12020" t="s">
        <v>28507</v>
      </c>
      <c r="F12020" t="s">
        <v>31574</v>
      </c>
      <c r="G12020" t="s">
        <v>31582</v>
      </c>
      <c r="H12020" t="s">
        <v>31591</v>
      </c>
      <c r="I12020" t="s">
        <v>8822</v>
      </c>
      <c r="J12020" t="s">
        <v>39162</v>
      </c>
      <c r="K12020" t="s">
        <v>41442</v>
      </c>
      <c r="M12020" t="s">
        <v>43404</v>
      </c>
      <c r="N12020" t="s">
        <v>45095</v>
      </c>
      <c r="O12020" t="s">
        <v>45096</v>
      </c>
      <c r="P12020">
        <v>0</v>
      </c>
      <c r="Q12020">
        <v>1</v>
      </c>
      <c r="R12020" t="s">
        <v>45110</v>
      </c>
      <c r="S12020" t="s">
        <v>45605</v>
      </c>
      <c r="T12020" t="s">
        <v>46955</v>
      </c>
      <c r="U12020" t="s">
        <v>57305</v>
      </c>
      <c r="W12020" t="s">
        <v>43404</v>
      </c>
      <c r="X12020" t="s">
        <v>45111</v>
      </c>
    </row>
    <row r="12021" spans="1:24">
      <c r="A12021">
        <f>HYPERLINK("https://www.philgeps.gov.ph/GEPSNONPILOT/Tender/SplashBidNoticeAbstractUI.aspx?menuIndex=3&amp;refID=7023598&amp;Result=3","7023598")</f>
        <v>0</v>
      </c>
      <c r="B12021" t="s">
        <v>994</v>
      </c>
      <c r="C12021" t="s">
        <v>14680</v>
      </c>
      <c r="D12021" t="s">
        <v>18048</v>
      </c>
      <c r="E12021" t="s">
        <v>22714</v>
      </c>
      <c r="F12021" t="s">
        <v>31574</v>
      </c>
      <c r="G12021" t="s">
        <v>31582</v>
      </c>
      <c r="H12021" t="s">
        <v>31590</v>
      </c>
      <c r="I12021" t="s">
        <v>4046</v>
      </c>
      <c r="J12021" t="s">
        <v>39163</v>
      </c>
      <c r="K12021" t="s">
        <v>41228</v>
      </c>
      <c r="L12021" t="s">
        <v>994</v>
      </c>
      <c r="M12021" t="s">
        <v>42530</v>
      </c>
      <c r="N12021" t="s">
        <v>45095</v>
      </c>
      <c r="O12021" t="s">
        <v>45096</v>
      </c>
      <c r="P12021">
        <v>0</v>
      </c>
      <c r="Q12021">
        <v>1</v>
      </c>
      <c r="R12021" t="s">
        <v>45110</v>
      </c>
      <c r="S12021" t="s">
        <v>45605</v>
      </c>
      <c r="T12021" t="s">
        <v>46932</v>
      </c>
      <c r="U12021" t="s">
        <v>57306</v>
      </c>
      <c r="V12021" t="s">
        <v>61165</v>
      </c>
      <c r="W12021" t="s">
        <v>42530</v>
      </c>
      <c r="X12021" t="s">
        <v>45111</v>
      </c>
    </row>
    <row r="12022" spans="1:24">
      <c r="A12022">
        <f>HYPERLINK("https://www.philgeps.gov.ph/GEPSNONPILOT/Tender/SplashBidNoticeAbstractUI.aspx?menuIndex=3&amp;refID=7023621&amp;Result=3","7023621")</f>
        <v>0</v>
      </c>
      <c r="B12022" t="s">
        <v>516</v>
      </c>
      <c r="C12022" t="s">
        <v>14681</v>
      </c>
      <c r="D12022" t="s">
        <v>18031</v>
      </c>
      <c r="E12022" t="s">
        <v>28508</v>
      </c>
      <c r="F12022" t="s">
        <v>31574</v>
      </c>
      <c r="G12022" t="s">
        <v>31582</v>
      </c>
      <c r="H12022" t="s">
        <v>31591</v>
      </c>
      <c r="I12022" t="s">
        <v>8822</v>
      </c>
      <c r="J12022" t="s">
        <v>31771</v>
      </c>
      <c r="K12022" t="s">
        <v>41185</v>
      </c>
      <c r="M12022" t="s">
        <v>42012</v>
      </c>
      <c r="N12022" t="s">
        <v>45095</v>
      </c>
      <c r="O12022" t="s">
        <v>45096</v>
      </c>
      <c r="P12022">
        <v>0</v>
      </c>
      <c r="Q12022">
        <v>0</v>
      </c>
      <c r="R12022" t="s">
        <v>45110</v>
      </c>
      <c r="S12022" t="s">
        <v>45605</v>
      </c>
      <c r="T12022" t="s">
        <v>46926</v>
      </c>
      <c r="U12022" t="s">
        <v>48512</v>
      </c>
      <c r="W12022" t="s">
        <v>42012</v>
      </c>
      <c r="X12022" t="s">
        <v>45111</v>
      </c>
    </row>
    <row r="12023" spans="1:24">
      <c r="A12023">
        <f>HYPERLINK("https://www.philgeps.gov.ph/GEPSNONPILOT/Tender/SplashBidNoticeAbstractUI.aspx?menuIndex=3&amp;refID=7023532&amp;Result=3","7023532")</f>
        <v>0</v>
      </c>
      <c r="B12023" t="s">
        <v>1926</v>
      </c>
      <c r="C12023" t="s">
        <v>14682</v>
      </c>
      <c r="D12023" t="s">
        <v>18099</v>
      </c>
      <c r="E12023" t="s">
        <v>28509</v>
      </c>
      <c r="F12023" t="s">
        <v>31574</v>
      </c>
      <c r="G12023" t="s">
        <v>31582</v>
      </c>
      <c r="H12023" t="s">
        <v>31591</v>
      </c>
      <c r="I12023" t="s">
        <v>8822</v>
      </c>
      <c r="J12023" t="s">
        <v>39164</v>
      </c>
      <c r="K12023" t="s">
        <v>41186</v>
      </c>
      <c r="M12023" t="s">
        <v>43578</v>
      </c>
      <c r="N12023" t="s">
        <v>45095</v>
      </c>
      <c r="O12023" t="s">
        <v>45096</v>
      </c>
      <c r="P12023">
        <v>0</v>
      </c>
      <c r="Q12023">
        <v>0</v>
      </c>
      <c r="R12023" t="s">
        <v>45110</v>
      </c>
      <c r="S12023" t="s">
        <v>45605</v>
      </c>
      <c r="T12023" t="s">
        <v>46926</v>
      </c>
      <c r="U12023" t="s">
        <v>57307</v>
      </c>
      <c r="V12023" t="s">
        <v>60507</v>
      </c>
      <c r="W12023" t="s">
        <v>43578</v>
      </c>
      <c r="X12023" t="s">
        <v>45111</v>
      </c>
    </row>
    <row r="12024" spans="1:24">
      <c r="A12024">
        <f>HYPERLINK("https://www.philgeps.gov.ph/GEPSNONPILOT/Tender/SplashBidNoticeAbstractUI.aspx?menuIndex=3&amp;refID=7023620&amp;Result=3","7023620")</f>
        <v>0</v>
      </c>
      <c r="B12024" t="s">
        <v>40</v>
      </c>
      <c r="C12024" t="s">
        <v>14683</v>
      </c>
      <c r="D12024" t="s">
        <v>18035</v>
      </c>
      <c r="E12024" t="s">
        <v>28510</v>
      </c>
      <c r="F12024" t="s">
        <v>31574</v>
      </c>
      <c r="G12024" t="s">
        <v>31582</v>
      </c>
      <c r="H12024" t="s">
        <v>31591</v>
      </c>
      <c r="I12024" t="s">
        <v>8822</v>
      </c>
      <c r="J12024" t="s">
        <v>33252</v>
      </c>
      <c r="K12024" t="s">
        <v>41200</v>
      </c>
      <c r="M12024" t="s">
        <v>41523</v>
      </c>
      <c r="N12024" t="s">
        <v>45095</v>
      </c>
      <c r="O12024" t="s">
        <v>45096</v>
      </c>
      <c r="P12024">
        <v>0</v>
      </c>
      <c r="Q12024">
        <v>23</v>
      </c>
      <c r="R12024" t="s">
        <v>45110</v>
      </c>
      <c r="S12024" t="s">
        <v>45605</v>
      </c>
      <c r="T12024" t="s">
        <v>46922</v>
      </c>
      <c r="U12024" t="s">
        <v>47493</v>
      </c>
      <c r="V12024" t="s">
        <v>59850</v>
      </c>
      <c r="W12024" t="s">
        <v>41523</v>
      </c>
      <c r="X12024" t="s">
        <v>45111</v>
      </c>
    </row>
    <row r="12025" spans="1:24">
      <c r="A12025">
        <f>HYPERLINK("https://www.philgeps.gov.ph/GEPSNONPILOT/Tender/SplashBidNoticeAbstractUI.aspx?menuIndex=3&amp;refID=7023600&amp;Result=3","7023600")</f>
        <v>0</v>
      </c>
      <c r="B12025" t="s">
        <v>516</v>
      </c>
      <c r="C12025" t="s">
        <v>14684</v>
      </c>
      <c r="D12025" t="s">
        <v>18031</v>
      </c>
      <c r="E12025" t="s">
        <v>28511</v>
      </c>
      <c r="F12025" t="s">
        <v>31574</v>
      </c>
      <c r="G12025" t="s">
        <v>31582</v>
      </c>
      <c r="H12025" t="s">
        <v>31591</v>
      </c>
      <c r="I12025" t="s">
        <v>8822</v>
      </c>
      <c r="J12025" t="s">
        <v>31890</v>
      </c>
      <c r="K12025" t="s">
        <v>41244</v>
      </c>
      <c r="M12025" t="s">
        <v>42012</v>
      </c>
      <c r="N12025" t="s">
        <v>45095</v>
      </c>
      <c r="O12025" t="s">
        <v>45096</v>
      </c>
      <c r="P12025">
        <v>0</v>
      </c>
      <c r="Q12025">
        <v>1</v>
      </c>
      <c r="R12025" t="s">
        <v>45110</v>
      </c>
      <c r="S12025" t="s">
        <v>45605</v>
      </c>
      <c r="T12025" t="s">
        <v>46926</v>
      </c>
      <c r="U12025" t="s">
        <v>48512</v>
      </c>
      <c r="W12025" t="s">
        <v>42012</v>
      </c>
      <c r="X12025" t="s">
        <v>45111</v>
      </c>
    </row>
    <row r="12026" spans="1:24">
      <c r="A12026">
        <f>HYPERLINK("https://www.philgeps.gov.ph/GEPSNONPILOT/Tender/SplashBidNoticeAbstractUI.aspx?menuIndex=3&amp;refID=7023594&amp;Result=3","7023594")</f>
        <v>0</v>
      </c>
      <c r="B12026" t="s">
        <v>2913</v>
      </c>
      <c r="C12026" t="s">
        <v>14685</v>
      </c>
      <c r="D12026" t="s">
        <v>18022</v>
      </c>
      <c r="E12026" t="s">
        <v>18162</v>
      </c>
      <c r="F12026" t="s">
        <v>31575</v>
      </c>
      <c r="G12026" t="s">
        <v>31582</v>
      </c>
      <c r="H12026" t="s">
        <v>31590</v>
      </c>
      <c r="I12026" t="s">
        <v>3487</v>
      </c>
      <c r="J12026" t="s">
        <v>31962</v>
      </c>
      <c r="K12026" t="s">
        <v>41186</v>
      </c>
      <c r="M12026" t="s">
        <v>44714</v>
      </c>
      <c r="N12026" t="s">
        <v>45095</v>
      </c>
      <c r="O12026" t="s">
        <v>45096</v>
      </c>
      <c r="P12026">
        <v>0</v>
      </c>
      <c r="Q12026">
        <v>1</v>
      </c>
      <c r="R12026" t="s">
        <v>45110</v>
      </c>
      <c r="S12026" t="s">
        <v>45605</v>
      </c>
      <c r="T12026" t="s">
        <v>47404</v>
      </c>
      <c r="U12026" t="s">
        <v>57308</v>
      </c>
      <c r="W12026" t="s">
        <v>44714</v>
      </c>
      <c r="X12026" t="s">
        <v>45111</v>
      </c>
    </row>
    <row r="12027" spans="1:24">
      <c r="A12027">
        <f>HYPERLINK("https://www.philgeps.gov.ph/GEPSNONPILOT/Tender/SplashBidNoticeAbstractUI.aspx?menuIndex=3&amp;refID=7023529&amp;Result=3","7023529")</f>
        <v>0</v>
      </c>
      <c r="B12027" t="s">
        <v>2913</v>
      </c>
      <c r="C12027" t="s">
        <v>14686</v>
      </c>
      <c r="D12027" t="s">
        <v>18022</v>
      </c>
      <c r="E12027" t="s">
        <v>18175</v>
      </c>
      <c r="F12027" t="s">
        <v>31575</v>
      </c>
      <c r="G12027" t="s">
        <v>31582</v>
      </c>
      <c r="H12027" t="s">
        <v>31590</v>
      </c>
      <c r="I12027" t="s">
        <v>5717</v>
      </c>
      <c r="J12027" t="s">
        <v>39165</v>
      </c>
      <c r="K12027" t="s">
        <v>41186</v>
      </c>
      <c r="M12027" t="s">
        <v>44714</v>
      </c>
      <c r="N12027" t="s">
        <v>45095</v>
      </c>
      <c r="O12027" t="s">
        <v>45096</v>
      </c>
      <c r="P12027">
        <v>0</v>
      </c>
      <c r="Q12027">
        <v>2</v>
      </c>
      <c r="R12027" t="s">
        <v>45110</v>
      </c>
      <c r="S12027" t="s">
        <v>45605</v>
      </c>
      <c r="T12027" t="s">
        <v>47404</v>
      </c>
      <c r="U12027" t="s">
        <v>57309</v>
      </c>
      <c r="W12027" t="s">
        <v>44714</v>
      </c>
      <c r="X12027" t="s">
        <v>45111</v>
      </c>
    </row>
    <row r="12028" spans="1:24">
      <c r="A12028">
        <f>HYPERLINK("https://www.philgeps.gov.ph/GEPSNONPILOT/Tender/SplashBidNoticeAbstractUI.aspx?menuIndex=3&amp;refID=7023588&amp;Result=3","7023588")</f>
        <v>0</v>
      </c>
      <c r="B12028" t="s">
        <v>1492</v>
      </c>
      <c r="C12028" t="s">
        <v>14687</v>
      </c>
      <c r="D12028" t="s">
        <v>18072</v>
      </c>
      <c r="E12028" t="s">
        <v>28512</v>
      </c>
      <c r="F12028" t="s">
        <v>31574</v>
      </c>
      <c r="G12028" t="s">
        <v>31582</v>
      </c>
      <c r="H12028" t="s">
        <v>31591</v>
      </c>
      <c r="I12028" t="s">
        <v>8822</v>
      </c>
      <c r="J12028" t="s">
        <v>39166</v>
      </c>
      <c r="K12028" t="s">
        <v>41200</v>
      </c>
      <c r="M12028" t="s">
        <v>43100</v>
      </c>
      <c r="N12028" t="s">
        <v>45095</v>
      </c>
      <c r="O12028" t="s">
        <v>45096</v>
      </c>
      <c r="P12028">
        <v>0</v>
      </c>
      <c r="Q12028">
        <v>0</v>
      </c>
      <c r="R12028" t="s">
        <v>45110</v>
      </c>
      <c r="S12028" t="s">
        <v>45605</v>
      </c>
      <c r="T12028" t="s">
        <v>47391</v>
      </c>
      <c r="U12028" t="s">
        <v>57310</v>
      </c>
      <c r="W12028" t="s">
        <v>43100</v>
      </c>
      <c r="X12028" t="s">
        <v>45111</v>
      </c>
    </row>
    <row r="12029" spans="1:24">
      <c r="A12029">
        <f>HYPERLINK("https://www.philgeps.gov.ph/GEPSNONPILOT/Tender/SplashBidNoticeAbstractUI.aspx?menuIndex=3&amp;refID=7023610&amp;Result=3","7023610")</f>
        <v>0</v>
      </c>
      <c r="B12029" t="s">
        <v>362</v>
      </c>
      <c r="C12029" t="s">
        <v>14688</v>
      </c>
      <c r="D12029" t="s">
        <v>18068</v>
      </c>
      <c r="E12029" t="s">
        <v>28513</v>
      </c>
      <c r="F12029" t="s">
        <v>31574</v>
      </c>
      <c r="G12029" t="s">
        <v>31582</v>
      </c>
      <c r="H12029" t="s">
        <v>31591</v>
      </c>
      <c r="I12029" t="s">
        <v>8822</v>
      </c>
      <c r="J12029" t="s">
        <v>33617</v>
      </c>
      <c r="K12029" t="s">
        <v>41192</v>
      </c>
      <c r="M12029" t="s">
        <v>41852</v>
      </c>
      <c r="N12029" t="s">
        <v>45095</v>
      </c>
      <c r="O12029" t="s">
        <v>45096</v>
      </c>
      <c r="P12029">
        <v>0</v>
      </c>
      <c r="Q12029">
        <v>0</v>
      </c>
      <c r="R12029" t="s">
        <v>45110</v>
      </c>
      <c r="S12029" t="s">
        <v>45605</v>
      </c>
      <c r="T12029" t="s">
        <v>46979</v>
      </c>
      <c r="U12029" t="s">
        <v>57311</v>
      </c>
      <c r="W12029" t="s">
        <v>41852</v>
      </c>
      <c r="X12029" t="s">
        <v>45111</v>
      </c>
    </row>
    <row r="12030" spans="1:24">
      <c r="A12030">
        <f>HYPERLINK("https://www.philgeps.gov.ph/GEPSNONPILOT/Tender/SplashBidNoticeAbstractUI.aspx?menuIndex=3&amp;refID=7023568&amp;Result=3","7023568")</f>
        <v>0</v>
      </c>
      <c r="B12030" t="s">
        <v>1386</v>
      </c>
      <c r="C12030" t="s">
        <v>14689</v>
      </c>
      <c r="D12030" t="s">
        <v>18039</v>
      </c>
      <c r="E12030" t="s">
        <v>28514</v>
      </c>
      <c r="F12030" t="s">
        <v>31574</v>
      </c>
      <c r="G12030" t="s">
        <v>31582</v>
      </c>
      <c r="H12030" t="s">
        <v>31591</v>
      </c>
      <c r="I12030" t="s">
        <v>8822</v>
      </c>
      <c r="J12030" t="s">
        <v>39167</v>
      </c>
      <c r="K12030" t="s">
        <v>41184</v>
      </c>
      <c r="M12030" t="s">
        <v>42960</v>
      </c>
      <c r="N12030" t="s">
        <v>45095</v>
      </c>
      <c r="O12030" t="s">
        <v>45096</v>
      </c>
      <c r="P12030">
        <v>0</v>
      </c>
      <c r="Q12030">
        <v>0</v>
      </c>
      <c r="R12030" t="s">
        <v>45110</v>
      </c>
      <c r="S12030" t="s">
        <v>45605</v>
      </c>
      <c r="T12030" t="s">
        <v>47391</v>
      </c>
      <c r="U12030" t="s">
        <v>50262</v>
      </c>
      <c r="W12030" t="s">
        <v>42960</v>
      </c>
      <c r="X12030" t="s">
        <v>45111</v>
      </c>
    </row>
    <row r="12031" spans="1:24">
      <c r="A12031">
        <f>HYPERLINK("https://www.philgeps.gov.ph/GEPSNONPILOT/Tender/SplashBidNoticeAbstractUI.aspx?menuIndex=3&amp;refID=7023603&amp;Result=3","7023603")</f>
        <v>0</v>
      </c>
      <c r="B12031" t="s">
        <v>683</v>
      </c>
      <c r="C12031" t="s">
        <v>14690</v>
      </c>
      <c r="D12031" t="s">
        <v>18059</v>
      </c>
      <c r="E12031" t="s">
        <v>28515</v>
      </c>
      <c r="F12031" t="s">
        <v>31574</v>
      </c>
      <c r="G12031" t="s">
        <v>31582</v>
      </c>
      <c r="H12031" t="s">
        <v>31590</v>
      </c>
      <c r="I12031" t="s">
        <v>8258</v>
      </c>
      <c r="J12031" t="s">
        <v>39168</v>
      </c>
      <c r="K12031" t="s">
        <v>41184</v>
      </c>
      <c r="M12031" t="s">
        <v>42190</v>
      </c>
      <c r="N12031" t="s">
        <v>45095</v>
      </c>
      <c r="O12031" t="s">
        <v>45096</v>
      </c>
      <c r="P12031">
        <v>0</v>
      </c>
      <c r="Q12031">
        <v>4</v>
      </c>
      <c r="R12031" t="s">
        <v>45110</v>
      </c>
      <c r="S12031" t="s">
        <v>45605</v>
      </c>
      <c r="T12031" t="s">
        <v>46926</v>
      </c>
      <c r="U12031" t="s">
        <v>57312</v>
      </c>
      <c r="W12031" t="s">
        <v>42190</v>
      </c>
      <c r="X12031" t="s">
        <v>45111</v>
      </c>
    </row>
    <row r="12032" spans="1:24">
      <c r="A12032">
        <f>HYPERLINK("https://www.philgeps.gov.ph/GEPSNONPILOT/Tender/SplashBidNoticeAbstractUI.aspx?menuIndex=3&amp;refID=7023581&amp;Result=3","7023581")</f>
        <v>0</v>
      </c>
      <c r="B12032" t="s">
        <v>72</v>
      </c>
      <c r="C12032" t="s">
        <v>14691</v>
      </c>
      <c r="D12032" t="s">
        <v>18022</v>
      </c>
      <c r="E12032" t="s">
        <v>20000</v>
      </c>
      <c r="F12032" t="s">
        <v>31574</v>
      </c>
      <c r="G12032" t="s">
        <v>31582</v>
      </c>
      <c r="H12032" t="s">
        <v>31590</v>
      </c>
      <c r="I12032" t="s">
        <v>31657</v>
      </c>
      <c r="J12032" t="s">
        <v>39169</v>
      </c>
      <c r="K12032" t="s">
        <v>41198</v>
      </c>
      <c r="M12032" t="s">
        <v>41556</v>
      </c>
      <c r="N12032" t="s">
        <v>45095</v>
      </c>
      <c r="O12032" t="s">
        <v>45096</v>
      </c>
      <c r="Q12032">
        <v>8</v>
      </c>
      <c r="R12032" t="s">
        <v>45110</v>
      </c>
      <c r="S12032" t="s">
        <v>45656</v>
      </c>
      <c r="T12032" t="s">
        <v>46914</v>
      </c>
      <c r="U12032" t="s">
        <v>57313</v>
      </c>
      <c r="W12032" t="s">
        <v>41556</v>
      </c>
      <c r="X12032" t="s">
        <v>45111</v>
      </c>
    </row>
    <row r="12033" spans="1:24">
      <c r="A12033">
        <f>HYPERLINK("https://www.philgeps.gov.ph/GEPSNONPILOT/Tender/SplashBidNoticeAbstractUI.aspx?menuIndex=3&amp;refID=7023574&amp;Result=3","7023574")</f>
        <v>0</v>
      </c>
      <c r="B12033" t="s">
        <v>40</v>
      </c>
      <c r="C12033" t="s">
        <v>14692</v>
      </c>
      <c r="D12033" t="s">
        <v>18035</v>
      </c>
      <c r="E12033" t="s">
        <v>28516</v>
      </c>
      <c r="F12033" t="s">
        <v>31574</v>
      </c>
      <c r="G12033" t="s">
        <v>31582</v>
      </c>
      <c r="H12033" t="s">
        <v>31591</v>
      </c>
      <c r="I12033" t="s">
        <v>8822</v>
      </c>
      <c r="J12033" t="s">
        <v>33252</v>
      </c>
      <c r="K12033" t="s">
        <v>41200</v>
      </c>
      <c r="M12033" t="s">
        <v>41523</v>
      </c>
      <c r="N12033" t="s">
        <v>45095</v>
      </c>
      <c r="O12033" t="s">
        <v>45096</v>
      </c>
      <c r="P12033">
        <v>0</v>
      </c>
      <c r="Q12033">
        <v>23</v>
      </c>
      <c r="R12033" t="s">
        <v>45110</v>
      </c>
      <c r="S12033" t="s">
        <v>45605</v>
      </c>
      <c r="T12033" t="s">
        <v>46922</v>
      </c>
      <c r="U12033" t="s">
        <v>47493</v>
      </c>
      <c r="V12033" t="s">
        <v>59850</v>
      </c>
      <c r="W12033" t="s">
        <v>41523</v>
      </c>
      <c r="X12033" t="s">
        <v>45111</v>
      </c>
    </row>
    <row r="12034" spans="1:24">
      <c r="A12034">
        <f>HYPERLINK("https://www.philgeps.gov.ph/GEPSNONPILOT/Tender/SplashBidNoticeAbstractUI.aspx?menuIndex=3&amp;refID=7023540&amp;Result=3","7023540")</f>
        <v>0</v>
      </c>
      <c r="B12034" t="s">
        <v>40</v>
      </c>
      <c r="C12034" t="s">
        <v>14693</v>
      </c>
      <c r="D12034" t="s">
        <v>18035</v>
      </c>
      <c r="E12034" t="s">
        <v>28517</v>
      </c>
      <c r="F12034" t="s">
        <v>31574</v>
      </c>
      <c r="G12034" t="s">
        <v>31582</v>
      </c>
      <c r="H12034" t="s">
        <v>31591</v>
      </c>
      <c r="I12034" t="s">
        <v>8822</v>
      </c>
      <c r="J12034" t="s">
        <v>34697</v>
      </c>
      <c r="K12034" t="s">
        <v>41200</v>
      </c>
      <c r="M12034" t="s">
        <v>41523</v>
      </c>
      <c r="N12034" t="s">
        <v>45095</v>
      </c>
      <c r="O12034" t="s">
        <v>45096</v>
      </c>
      <c r="P12034">
        <v>0</v>
      </c>
      <c r="Q12034">
        <v>26</v>
      </c>
      <c r="R12034" t="s">
        <v>45110</v>
      </c>
      <c r="S12034" t="s">
        <v>45605</v>
      </c>
      <c r="T12034" t="s">
        <v>46922</v>
      </c>
      <c r="U12034" t="s">
        <v>54981</v>
      </c>
      <c r="V12034" t="s">
        <v>59850</v>
      </c>
      <c r="W12034" t="s">
        <v>41523</v>
      </c>
      <c r="X12034" t="s">
        <v>45111</v>
      </c>
    </row>
    <row r="12035" spans="1:24">
      <c r="A12035">
        <f>HYPERLINK("https://www.philgeps.gov.ph/GEPSNONPILOT/Tender/SplashBidNoticeAbstractUI.aspx?menuIndex=3&amp;refID=7023448&amp;Result=3","7023448")</f>
        <v>0</v>
      </c>
      <c r="B12035" t="s">
        <v>2914</v>
      </c>
      <c r="C12035" t="s">
        <v>14694</v>
      </c>
      <c r="D12035" t="s">
        <v>18060</v>
      </c>
      <c r="E12035" t="s">
        <v>28518</v>
      </c>
      <c r="F12035" t="s">
        <v>31574</v>
      </c>
      <c r="G12035" t="s">
        <v>31582</v>
      </c>
      <c r="H12035" t="s">
        <v>31590</v>
      </c>
      <c r="I12035" t="s">
        <v>31659</v>
      </c>
      <c r="J12035" t="s">
        <v>39170</v>
      </c>
      <c r="K12035" t="s">
        <v>41189</v>
      </c>
      <c r="M12035" t="s">
        <v>44715</v>
      </c>
      <c r="N12035" t="s">
        <v>45095</v>
      </c>
      <c r="O12035" t="s">
        <v>45096</v>
      </c>
      <c r="Q12035">
        <v>4</v>
      </c>
      <c r="R12035" t="s">
        <v>45110</v>
      </c>
      <c r="S12035" t="s">
        <v>45657</v>
      </c>
      <c r="T12035" t="s">
        <v>47405</v>
      </c>
      <c r="U12035" t="s">
        <v>57314</v>
      </c>
      <c r="W12035" t="s">
        <v>61765</v>
      </c>
      <c r="X12035" t="s">
        <v>45111</v>
      </c>
    </row>
    <row r="12036" spans="1:24">
      <c r="A12036">
        <f>HYPERLINK("https://www.philgeps.gov.ph/GEPSNONPILOT/Tender/SplashBidNoticeAbstractUI.aspx?menuIndex=3&amp;refID=7023570&amp;Result=3","7023570")</f>
        <v>0</v>
      </c>
      <c r="B12036" t="s">
        <v>1488</v>
      </c>
      <c r="C12036" t="s">
        <v>14695</v>
      </c>
      <c r="D12036" t="s">
        <v>18088</v>
      </c>
      <c r="E12036" t="s">
        <v>21914</v>
      </c>
      <c r="F12036" t="s">
        <v>31574</v>
      </c>
      <c r="G12036" t="s">
        <v>31582</v>
      </c>
      <c r="H12036" t="s">
        <v>31591</v>
      </c>
      <c r="I12036" t="s">
        <v>8822</v>
      </c>
      <c r="J12036" t="s">
        <v>32760</v>
      </c>
      <c r="K12036" t="s">
        <v>41184</v>
      </c>
      <c r="M12036" t="s">
        <v>43073</v>
      </c>
      <c r="N12036" t="s">
        <v>45095</v>
      </c>
      <c r="O12036" t="s">
        <v>45096</v>
      </c>
      <c r="P12036">
        <v>0</v>
      </c>
      <c r="Q12036">
        <v>0</v>
      </c>
      <c r="R12036" t="s">
        <v>45110</v>
      </c>
      <c r="S12036" t="s">
        <v>45605</v>
      </c>
      <c r="T12036" t="s">
        <v>46926</v>
      </c>
      <c r="U12036" t="s">
        <v>57315</v>
      </c>
      <c r="V12036" t="s">
        <v>61162</v>
      </c>
      <c r="W12036" t="s">
        <v>43073</v>
      </c>
      <c r="X12036" t="s">
        <v>45111</v>
      </c>
    </row>
    <row r="12037" spans="1:24">
      <c r="A12037">
        <f>HYPERLINK("https://www.philgeps.gov.ph/GEPSNONPILOT/Tender/SplashBidNoticeAbstractUI.aspx?menuIndex=3&amp;refID=7023565&amp;Result=3","7023565")</f>
        <v>0</v>
      </c>
      <c r="B12037" t="s">
        <v>1926</v>
      </c>
      <c r="C12037" t="s">
        <v>14696</v>
      </c>
      <c r="D12037" t="s">
        <v>18099</v>
      </c>
      <c r="E12037" t="s">
        <v>28519</v>
      </c>
      <c r="F12037" t="s">
        <v>31574</v>
      </c>
      <c r="G12037" t="s">
        <v>31582</v>
      </c>
      <c r="H12037" t="s">
        <v>31591</v>
      </c>
      <c r="I12037" t="s">
        <v>8822</v>
      </c>
      <c r="J12037" t="s">
        <v>39171</v>
      </c>
      <c r="K12037" t="s">
        <v>41189</v>
      </c>
      <c r="M12037" t="s">
        <v>43578</v>
      </c>
      <c r="N12037" t="s">
        <v>45095</v>
      </c>
      <c r="O12037" t="s">
        <v>45096</v>
      </c>
      <c r="P12037">
        <v>0</v>
      </c>
      <c r="Q12037">
        <v>0</v>
      </c>
      <c r="R12037" t="s">
        <v>45110</v>
      </c>
      <c r="S12037" t="s">
        <v>45605</v>
      </c>
      <c r="T12037" t="s">
        <v>46926</v>
      </c>
      <c r="U12037" t="s">
        <v>57316</v>
      </c>
      <c r="V12037" t="s">
        <v>60507</v>
      </c>
      <c r="W12037" t="s">
        <v>43578</v>
      </c>
      <c r="X12037" t="s">
        <v>45111</v>
      </c>
    </row>
    <row r="12038" spans="1:24">
      <c r="A12038">
        <f>HYPERLINK("https://www.philgeps.gov.ph/GEPSNONPILOT/Tender/SplashBidNoticeAbstractUI.aspx?menuIndex=3&amp;refID=7023624&amp;Result=3","7023624")</f>
        <v>0</v>
      </c>
      <c r="B12038" t="s">
        <v>319</v>
      </c>
      <c r="C12038" t="s">
        <v>14697</v>
      </c>
      <c r="D12038" t="s">
        <v>18065</v>
      </c>
      <c r="E12038" t="s">
        <v>28520</v>
      </c>
      <c r="F12038" t="s">
        <v>31574</v>
      </c>
      <c r="G12038" t="s">
        <v>31582</v>
      </c>
      <c r="H12038" t="s">
        <v>31591</v>
      </c>
      <c r="I12038" t="s">
        <v>8822</v>
      </c>
      <c r="J12038" t="s">
        <v>31935</v>
      </c>
      <c r="K12038" t="s">
        <v>41203</v>
      </c>
      <c r="M12038" t="s">
        <v>43172</v>
      </c>
      <c r="N12038" t="s">
        <v>45095</v>
      </c>
      <c r="O12038" t="s">
        <v>45096</v>
      </c>
      <c r="P12038">
        <v>0</v>
      </c>
      <c r="Q12038">
        <v>0</v>
      </c>
      <c r="R12038" t="s">
        <v>45110</v>
      </c>
      <c r="S12038" t="s">
        <v>45605</v>
      </c>
      <c r="T12038" t="s">
        <v>46926</v>
      </c>
      <c r="U12038" t="s">
        <v>57317</v>
      </c>
      <c r="W12038" t="s">
        <v>43172</v>
      </c>
      <c r="X12038" t="s">
        <v>45111</v>
      </c>
    </row>
    <row r="12039" spans="1:24">
      <c r="A12039">
        <f>HYPERLINK("https://www.philgeps.gov.ph/GEPSNONPILOT/Tender/SplashBidNoticeAbstractUI.aspx?menuIndex=3&amp;refID=7023546&amp;Result=3","7023546")</f>
        <v>0</v>
      </c>
      <c r="B12039" t="s">
        <v>2051</v>
      </c>
      <c r="C12039" t="s">
        <v>14698</v>
      </c>
      <c r="D12039" t="s">
        <v>18066</v>
      </c>
      <c r="E12039" t="s">
        <v>28521</v>
      </c>
      <c r="F12039" t="s">
        <v>31574</v>
      </c>
      <c r="G12039" t="s">
        <v>31582</v>
      </c>
      <c r="H12039" t="s">
        <v>31591</v>
      </c>
      <c r="I12039" t="s">
        <v>8822</v>
      </c>
      <c r="J12039" t="s">
        <v>39172</v>
      </c>
      <c r="K12039" t="s">
        <v>41431</v>
      </c>
      <c r="M12039" t="s">
        <v>43719</v>
      </c>
      <c r="N12039" t="s">
        <v>45095</v>
      </c>
      <c r="O12039" t="s">
        <v>45096</v>
      </c>
      <c r="P12039">
        <v>0</v>
      </c>
      <c r="Q12039">
        <v>0</v>
      </c>
      <c r="R12039" t="s">
        <v>45110</v>
      </c>
      <c r="S12039" t="s">
        <v>45605</v>
      </c>
      <c r="T12039" t="s">
        <v>46979</v>
      </c>
      <c r="U12039" t="s">
        <v>57318</v>
      </c>
      <c r="V12039" t="s">
        <v>61166</v>
      </c>
      <c r="W12039" t="s">
        <v>43719</v>
      </c>
      <c r="X12039" t="s">
        <v>45111</v>
      </c>
    </row>
    <row r="12040" spans="1:24">
      <c r="A12040">
        <f>HYPERLINK("https://www.philgeps.gov.ph/GEPSNONPILOT/Tender/SplashBidNoticeAbstractUI.aspx?menuIndex=3&amp;refID=7023637&amp;Result=3","7023637")</f>
        <v>0</v>
      </c>
      <c r="B12040" t="s">
        <v>516</v>
      </c>
      <c r="C12040" t="s">
        <v>14699</v>
      </c>
      <c r="D12040" t="s">
        <v>18031</v>
      </c>
      <c r="E12040" t="s">
        <v>28522</v>
      </c>
      <c r="F12040" t="s">
        <v>31574</v>
      </c>
      <c r="G12040" t="s">
        <v>31582</v>
      </c>
      <c r="H12040" t="s">
        <v>31591</v>
      </c>
      <c r="I12040" t="s">
        <v>8822</v>
      </c>
      <c r="J12040" t="s">
        <v>32458</v>
      </c>
      <c r="K12040" t="s">
        <v>41192</v>
      </c>
      <c r="M12040" t="s">
        <v>42012</v>
      </c>
      <c r="N12040" t="s">
        <v>45095</v>
      </c>
      <c r="O12040" t="s">
        <v>45096</v>
      </c>
      <c r="P12040">
        <v>0</v>
      </c>
      <c r="Q12040">
        <v>0</v>
      </c>
      <c r="R12040" t="s">
        <v>45110</v>
      </c>
      <c r="S12040" t="s">
        <v>45605</v>
      </c>
      <c r="T12040" t="s">
        <v>46926</v>
      </c>
      <c r="U12040" t="s">
        <v>48512</v>
      </c>
      <c r="W12040" t="s">
        <v>42012</v>
      </c>
      <c r="X12040" t="s">
        <v>45111</v>
      </c>
    </row>
    <row r="12041" spans="1:24">
      <c r="A12041">
        <f>HYPERLINK("https://www.philgeps.gov.ph/GEPSNONPILOT/Tender/SplashBidNoticeAbstractUI.aspx?menuIndex=3&amp;refID=7023647&amp;Result=3","7023647")</f>
        <v>0</v>
      </c>
      <c r="B12041" t="s">
        <v>2915</v>
      </c>
      <c r="C12041" t="s">
        <v>14700</v>
      </c>
      <c r="D12041" t="s">
        <v>18050</v>
      </c>
      <c r="E12041" t="s">
        <v>28523</v>
      </c>
      <c r="F12041" t="s">
        <v>31574</v>
      </c>
      <c r="G12041" t="s">
        <v>31582</v>
      </c>
      <c r="H12041" t="s">
        <v>31590</v>
      </c>
      <c r="I12041" t="s">
        <v>4327</v>
      </c>
      <c r="J12041" t="s">
        <v>32085</v>
      </c>
      <c r="K12041" t="s">
        <v>41192</v>
      </c>
      <c r="M12041" t="s">
        <v>44716</v>
      </c>
      <c r="N12041" t="s">
        <v>45095</v>
      </c>
      <c r="O12041" t="s">
        <v>45096</v>
      </c>
      <c r="Q12041">
        <v>11</v>
      </c>
      <c r="R12041" t="s">
        <v>45110</v>
      </c>
      <c r="S12041" t="s">
        <v>45658</v>
      </c>
      <c r="T12041" t="s">
        <v>46920</v>
      </c>
      <c r="U12041" t="s">
        <v>57319</v>
      </c>
      <c r="W12041" t="s">
        <v>44716</v>
      </c>
      <c r="X12041" t="s">
        <v>45111</v>
      </c>
    </row>
    <row r="12042" spans="1:24">
      <c r="A12042">
        <f>HYPERLINK("https://www.philgeps.gov.ph/GEPSNONPILOT/Tender/SplashBidNoticeAbstractUI.aspx?menuIndex=3&amp;refID=7023626&amp;Result=3","7023626")</f>
        <v>0</v>
      </c>
      <c r="B12042" t="s">
        <v>683</v>
      </c>
      <c r="C12042" t="s">
        <v>14701</v>
      </c>
      <c r="D12042" t="s">
        <v>18059</v>
      </c>
      <c r="E12042" t="s">
        <v>28524</v>
      </c>
      <c r="F12042" t="s">
        <v>31574</v>
      </c>
      <c r="G12042" t="s">
        <v>31582</v>
      </c>
      <c r="H12042" t="s">
        <v>31590</v>
      </c>
      <c r="I12042" t="s">
        <v>31602</v>
      </c>
      <c r="J12042" t="s">
        <v>39173</v>
      </c>
      <c r="K12042" t="s">
        <v>41184</v>
      </c>
      <c r="M12042" t="s">
        <v>42190</v>
      </c>
      <c r="N12042" t="s">
        <v>45095</v>
      </c>
      <c r="O12042" t="s">
        <v>45096</v>
      </c>
      <c r="P12042">
        <v>0</v>
      </c>
      <c r="Q12042">
        <v>0</v>
      </c>
      <c r="R12042" t="s">
        <v>45110</v>
      </c>
      <c r="S12042" t="s">
        <v>45605</v>
      </c>
      <c r="T12042" t="s">
        <v>46926</v>
      </c>
      <c r="U12042" t="s">
        <v>57320</v>
      </c>
      <c r="W12042" t="s">
        <v>42190</v>
      </c>
      <c r="X12042" t="s">
        <v>45111</v>
      </c>
    </row>
    <row r="12043" spans="1:24">
      <c r="A12043">
        <f>HYPERLINK("https://www.philgeps.gov.ph/GEPSNONPILOT/Tender/SplashBidNoticeAbstractUI.aspx?menuIndex=3&amp;refID=7023651&amp;Result=3","7023651")</f>
        <v>0</v>
      </c>
      <c r="B12043" t="s">
        <v>1492</v>
      </c>
      <c r="C12043" t="s">
        <v>14702</v>
      </c>
      <c r="D12043" t="s">
        <v>18072</v>
      </c>
      <c r="E12043" t="s">
        <v>28525</v>
      </c>
      <c r="F12043" t="s">
        <v>31574</v>
      </c>
      <c r="G12043" t="s">
        <v>31582</v>
      </c>
      <c r="H12043" t="s">
        <v>31591</v>
      </c>
      <c r="I12043" t="s">
        <v>8822</v>
      </c>
      <c r="J12043" t="s">
        <v>39174</v>
      </c>
      <c r="K12043" t="s">
        <v>41200</v>
      </c>
      <c r="M12043" t="s">
        <v>43100</v>
      </c>
      <c r="N12043" t="s">
        <v>45095</v>
      </c>
      <c r="O12043" t="s">
        <v>45096</v>
      </c>
      <c r="P12043">
        <v>0</v>
      </c>
      <c r="Q12043">
        <v>0</v>
      </c>
      <c r="R12043" t="s">
        <v>45110</v>
      </c>
      <c r="S12043" t="s">
        <v>45605</v>
      </c>
      <c r="T12043" t="s">
        <v>47391</v>
      </c>
      <c r="U12043" t="s">
        <v>57321</v>
      </c>
      <c r="W12043" t="s">
        <v>43100</v>
      </c>
      <c r="X12043" t="s">
        <v>45111</v>
      </c>
    </row>
    <row r="12044" spans="1:24">
      <c r="A12044">
        <f>HYPERLINK("https://www.philgeps.gov.ph/GEPSNONPILOT/Tender/SplashBidNoticeAbstractUI.aspx?menuIndex=3&amp;refID=7023650&amp;Result=3","7023650")</f>
        <v>0</v>
      </c>
      <c r="B12044" t="s">
        <v>683</v>
      </c>
      <c r="C12044" t="s">
        <v>14703</v>
      </c>
      <c r="D12044" t="s">
        <v>18059</v>
      </c>
      <c r="E12044" t="s">
        <v>28526</v>
      </c>
      <c r="F12044" t="s">
        <v>31574</v>
      </c>
      <c r="G12044" t="s">
        <v>31582</v>
      </c>
      <c r="H12044" t="s">
        <v>31590</v>
      </c>
      <c r="I12044" t="s">
        <v>31601</v>
      </c>
      <c r="J12044" t="s">
        <v>32101</v>
      </c>
      <c r="K12044" t="s">
        <v>41184</v>
      </c>
      <c r="M12044" t="s">
        <v>42190</v>
      </c>
      <c r="N12044" t="s">
        <v>45095</v>
      </c>
      <c r="O12044" t="s">
        <v>45096</v>
      </c>
      <c r="P12044">
        <v>0</v>
      </c>
      <c r="Q12044">
        <v>4</v>
      </c>
      <c r="R12044" t="s">
        <v>45110</v>
      </c>
      <c r="S12044" t="s">
        <v>45605</v>
      </c>
      <c r="T12044" t="s">
        <v>46926</v>
      </c>
      <c r="U12044" t="s">
        <v>57322</v>
      </c>
      <c r="W12044" t="s">
        <v>42190</v>
      </c>
      <c r="X12044" t="s">
        <v>45111</v>
      </c>
    </row>
    <row r="12045" spans="1:24">
      <c r="A12045">
        <f>HYPERLINK("https://www.philgeps.gov.ph/GEPSNONPILOT/Tender/SplashBidNoticeAbstractUI.aspx?menuIndex=3&amp;refID=7023689&amp;Result=3","7023689")</f>
        <v>0</v>
      </c>
      <c r="B12045" t="s">
        <v>2916</v>
      </c>
      <c r="C12045" t="s">
        <v>14704</v>
      </c>
      <c r="D12045" t="s">
        <v>18022</v>
      </c>
      <c r="E12045" t="s">
        <v>28527</v>
      </c>
      <c r="F12045" t="s">
        <v>31574</v>
      </c>
      <c r="G12045" t="s">
        <v>31582</v>
      </c>
      <c r="H12045" t="s">
        <v>31590</v>
      </c>
      <c r="I12045" t="s">
        <v>7185</v>
      </c>
      <c r="J12045" t="s">
        <v>39175</v>
      </c>
      <c r="K12045" t="s">
        <v>41196</v>
      </c>
      <c r="M12045" t="s">
        <v>44717</v>
      </c>
      <c r="N12045" t="s">
        <v>45095</v>
      </c>
      <c r="O12045" t="s">
        <v>45096</v>
      </c>
      <c r="P12045">
        <v>0</v>
      </c>
      <c r="Q12045">
        <v>6</v>
      </c>
      <c r="R12045" t="s">
        <v>45110</v>
      </c>
      <c r="S12045" t="s">
        <v>45605</v>
      </c>
      <c r="T12045" t="s">
        <v>46994</v>
      </c>
      <c r="U12045" t="s">
        <v>57323</v>
      </c>
      <c r="W12045" t="s">
        <v>44717</v>
      </c>
      <c r="X12045" t="s">
        <v>45111</v>
      </c>
    </row>
    <row r="12046" spans="1:24">
      <c r="A12046">
        <f>HYPERLINK("https://www.philgeps.gov.ph/GEPSNONPILOT/Tender/SplashBidNoticeAbstractUI.aspx?menuIndex=3&amp;refID=7023683&amp;Result=3","7023683")</f>
        <v>0</v>
      </c>
      <c r="B12046" t="s">
        <v>683</v>
      </c>
      <c r="C12046" t="s">
        <v>14705</v>
      </c>
      <c r="D12046" t="s">
        <v>18059</v>
      </c>
      <c r="E12046" t="s">
        <v>28528</v>
      </c>
      <c r="F12046" t="s">
        <v>31574</v>
      </c>
      <c r="G12046" t="s">
        <v>31582</v>
      </c>
      <c r="H12046" t="s">
        <v>31591</v>
      </c>
      <c r="I12046" t="s">
        <v>8822</v>
      </c>
      <c r="J12046" t="s">
        <v>32945</v>
      </c>
      <c r="K12046" t="s">
        <v>41184</v>
      </c>
      <c r="M12046" t="s">
        <v>42190</v>
      </c>
      <c r="N12046" t="s">
        <v>45095</v>
      </c>
      <c r="O12046" t="s">
        <v>45096</v>
      </c>
      <c r="P12046">
        <v>0</v>
      </c>
      <c r="Q12046">
        <v>0</v>
      </c>
      <c r="R12046" t="s">
        <v>45110</v>
      </c>
      <c r="S12046" t="s">
        <v>45605</v>
      </c>
      <c r="T12046" t="s">
        <v>47159</v>
      </c>
      <c r="U12046" t="s">
        <v>57324</v>
      </c>
      <c r="W12046" t="s">
        <v>42190</v>
      </c>
      <c r="X12046" t="s">
        <v>45111</v>
      </c>
    </row>
    <row r="12047" spans="1:24">
      <c r="A12047">
        <f>HYPERLINK("https://www.philgeps.gov.ph/GEPSNONPILOT/Tender/SplashBidNoticeAbstractUI.aspx?menuIndex=3&amp;refID=7023687&amp;Result=3","7023687")</f>
        <v>0</v>
      </c>
      <c r="B12047" t="s">
        <v>1938</v>
      </c>
      <c r="C12047" t="s">
        <v>14706</v>
      </c>
      <c r="D12047" t="s">
        <v>18103</v>
      </c>
      <c r="E12047" t="s">
        <v>28529</v>
      </c>
      <c r="F12047" t="s">
        <v>31574</v>
      </c>
      <c r="G12047" t="s">
        <v>31582</v>
      </c>
      <c r="H12047" t="s">
        <v>31590</v>
      </c>
      <c r="I12047" t="s">
        <v>3487</v>
      </c>
      <c r="J12047" t="s">
        <v>39176</v>
      </c>
      <c r="K12047" t="s">
        <v>41190</v>
      </c>
      <c r="M12047" t="s">
        <v>43593</v>
      </c>
      <c r="N12047" t="s">
        <v>45095</v>
      </c>
      <c r="O12047" t="s">
        <v>45096</v>
      </c>
      <c r="P12047">
        <v>0</v>
      </c>
      <c r="Q12047">
        <v>4</v>
      </c>
      <c r="R12047" t="s">
        <v>45110</v>
      </c>
      <c r="S12047" t="s">
        <v>45605</v>
      </c>
      <c r="T12047" t="s">
        <v>46923</v>
      </c>
      <c r="U12047" t="s">
        <v>57325</v>
      </c>
      <c r="W12047" t="s">
        <v>43593</v>
      </c>
      <c r="X12047" t="s">
        <v>45111</v>
      </c>
    </row>
    <row r="12048" spans="1:24">
      <c r="A12048">
        <f>HYPERLINK("https://www.philgeps.gov.ph/GEPSNONPILOT/Tender/SplashBidNoticeAbstractUI.aspx?menuIndex=3&amp;refID=7023691&amp;Result=3","7023691")</f>
        <v>0</v>
      </c>
      <c r="B12048" t="s">
        <v>40</v>
      </c>
      <c r="C12048" t="s">
        <v>14707</v>
      </c>
      <c r="D12048" t="s">
        <v>18035</v>
      </c>
      <c r="E12048" t="s">
        <v>28530</v>
      </c>
      <c r="F12048" t="s">
        <v>31574</v>
      </c>
      <c r="G12048" t="s">
        <v>31582</v>
      </c>
      <c r="H12048" t="s">
        <v>31591</v>
      </c>
      <c r="I12048" t="s">
        <v>8822</v>
      </c>
      <c r="J12048" t="s">
        <v>33252</v>
      </c>
      <c r="K12048" t="s">
        <v>41200</v>
      </c>
      <c r="M12048" t="s">
        <v>41523</v>
      </c>
      <c r="N12048" t="s">
        <v>45095</v>
      </c>
      <c r="O12048" t="s">
        <v>45096</v>
      </c>
      <c r="P12048">
        <v>0</v>
      </c>
      <c r="Q12048">
        <v>21</v>
      </c>
      <c r="R12048" t="s">
        <v>45110</v>
      </c>
      <c r="S12048" t="s">
        <v>45605</v>
      </c>
      <c r="T12048" t="s">
        <v>46922</v>
      </c>
      <c r="U12048" t="s">
        <v>47493</v>
      </c>
      <c r="V12048" t="s">
        <v>59850</v>
      </c>
      <c r="W12048" t="s">
        <v>41523</v>
      </c>
      <c r="X12048" t="s">
        <v>45111</v>
      </c>
    </row>
    <row r="12049" spans="1:24">
      <c r="A12049">
        <f>HYPERLINK("https://www.philgeps.gov.ph/GEPSNONPILOT/Tender/SplashBidNoticeAbstractUI.aspx?menuIndex=3&amp;refID=7023557&amp;Result=3","7023557")</f>
        <v>0</v>
      </c>
      <c r="B12049" t="s">
        <v>2916</v>
      </c>
      <c r="C12049" t="s">
        <v>14708</v>
      </c>
      <c r="D12049" t="s">
        <v>18022</v>
      </c>
      <c r="E12049" t="s">
        <v>28531</v>
      </c>
      <c r="F12049" t="s">
        <v>31574</v>
      </c>
      <c r="G12049" t="s">
        <v>31582</v>
      </c>
      <c r="H12049" t="s">
        <v>31590</v>
      </c>
      <c r="I12049" t="s">
        <v>7185</v>
      </c>
      <c r="J12049" t="s">
        <v>39177</v>
      </c>
      <c r="K12049" t="s">
        <v>41196</v>
      </c>
      <c r="M12049" t="s">
        <v>44717</v>
      </c>
      <c r="N12049" t="s">
        <v>45095</v>
      </c>
      <c r="O12049" t="s">
        <v>45096</v>
      </c>
      <c r="P12049">
        <v>0</v>
      </c>
      <c r="Q12049">
        <v>8</v>
      </c>
      <c r="R12049" t="s">
        <v>45110</v>
      </c>
      <c r="S12049" t="s">
        <v>45605</v>
      </c>
      <c r="T12049" t="s">
        <v>46926</v>
      </c>
      <c r="U12049" t="s">
        <v>57323</v>
      </c>
      <c r="W12049" t="s">
        <v>44717</v>
      </c>
      <c r="X12049" t="s">
        <v>45111</v>
      </c>
    </row>
    <row r="12050" spans="1:24">
      <c r="A12050">
        <f>HYPERLINK("https://www.philgeps.gov.ph/GEPSNONPILOT/Tender/SplashBidNoticeAbstractUI.aspx?menuIndex=3&amp;refID=7023695&amp;Result=3","7023695")</f>
        <v>0</v>
      </c>
      <c r="B12050" t="s">
        <v>72</v>
      </c>
      <c r="C12050" t="s">
        <v>14709</v>
      </c>
      <c r="D12050" t="s">
        <v>18022</v>
      </c>
      <c r="E12050" t="s">
        <v>20123</v>
      </c>
      <c r="F12050" t="s">
        <v>31574</v>
      </c>
      <c r="G12050" t="s">
        <v>31582</v>
      </c>
      <c r="H12050" t="s">
        <v>31590</v>
      </c>
      <c r="I12050" t="s">
        <v>31657</v>
      </c>
      <c r="J12050" t="s">
        <v>39169</v>
      </c>
      <c r="K12050" t="s">
        <v>41198</v>
      </c>
      <c r="M12050" t="s">
        <v>41556</v>
      </c>
      <c r="N12050" t="s">
        <v>45095</v>
      </c>
      <c r="O12050" t="s">
        <v>45096</v>
      </c>
      <c r="Q12050">
        <v>9</v>
      </c>
      <c r="R12050" t="s">
        <v>45110</v>
      </c>
      <c r="S12050" t="s">
        <v>45659</v>
      </c>
      <c r="T12050" t="s">
        <v>46925</v>
      </c>
      <c r="U12050" t="s">
        <v>57326</v>
      </c>
      <c r="W12050" t="s">
        <v>41556</v>
      </c>
      <c r="X12050" t="s">
        <v>45111</v>
      </c>
    </row>
    <row r="12051" spans="1:24">
      <c r="A12051">
        <f>HYPERLINK("https://www.philgeps.gov.ph/GEPSNONPILOT/Tender/SplashBidNoticeAbstractUI.aspx?menuIndex=3&amp;refID=7023686&amp;Result=3","7023686")</f>
        <v>0</v>
      </c>
      <c r="B12051" t="s">
        <v>516</v>
      </c>
      <c r="C12051" t="s">
        <v>14710</v>
      </c>
      <c r="D12051" t="s">
        <v>18031</v>
      </c>
      <c r="E12051" t="s">
        <v>28532</v>
      </c>
      <c r="F12051" t="s">
        <v>31574</v>
      </c>
      <c r="G12051" t="s">
        <v>31582</v>
      </c>
      <c r="H12051" t="s">
        <v>31591</v>
      </c>
      <c r="I12051" t="s">
        <v>8822</v>
      </c>
      <c r="J12051" t="s">
        <v>35831</v>
      </c>
      <c r="K12051" t="s">
        <v>41186</v>
      </c>
      <c r="M12051" t="s">
        <v>42012</v>
      </c>
      <c r="N12051" t="s">
        <v>45095</v>
      </c>
      <c r="O12051" t="s">
        <v>45096</v>
      </c>
      <c r="P12051">
        <v>0</v>
      </c>
      <c r="Q12051">
        <v>0</v>
      </c>
      <c r="R12051" t="s">
        <v>45110</v>
      </c>
      <c r="S12051" t="s">
        <v>45605</v>
      </c>
      <c r="T12051" t="s">
        <v>46926</v>
      </c>
      <c r="U12051" t="s">
        <v>48512</v>
      </c>
      <c r="W12051" t="s">
        <v>42012</v>
      </c>
      <c r="X12051" t="s">
        <v>45111</v>
      </c>
    </row>
    <row r="12052" spans="1:24">
      <c r="A12052">
        <f>HYPERLINK("https://www.philgeps.gov.ph/GEPSNONPILOT/Tender/SplashBidNoticeAbstractUI.aspx?menuIndex=3&amp;refID=7023555&amp;Result=3","7023555")</f>
        <v>0</v>
      </c>
      <c r="B12052" t="s">
        <v>1966</v>
      </c>
      <c r="C12052" t="s">
        <v>14711</v>
      </c>
      <c r="D12052" t="s">
        <v>18066</v>
      </c>
      <c r="E12052" t="s">
        <v>28533</v>
      </c>
      <c r="F12052" t="s">
        <v>31574</v>
      </c>
      <c r="G12052" t="s">
        <v>31582</v>
      </c>
      <c r="H12052" t="s">
        <v>31591</v>
      </c>
      <c r="I12052" t="s">
        <v>31632</v>
      </c>
      <c r="J12052" t="s">
        <v>39178</v>
      </c>
      <c r="K12052" t="s">
        <v>41192</v>
      </c>
      <c r="M12052" t="s">
        <v>43623</v>
      </c>
      <c r="N12052" t="s">
        <v>45095</v>
      </c>
      <c r="O12052" t="s">
        <v>45096</v>
      </c>
      <c r="P12052">
        <v>0</v>
      </c>
      <c r="Q12052">
        <v>1</v>
      </c>
      <c r="R12052" t="s">
        <v>45110</v>
      </c>
      <c r="S12052" t="s">
        <v>45605</v>
      </c>
      <c r="T12052" t="s">
        <v>47406</v>
      </c>
      <c r="U12052" t="s">
        <v>47698</v>
      </c>
      <c r="W12052" t="s">
        <v>43623</v>
      </c>
      <c r="X12052" t="s">
        <v>45111</v>
      </c>
    </row>
    <row r="12053" spans="1:24">
      <c r="A12053">
        <f>HYPERLINK("https://www.philgeps.gov.ph/GEPSNONPILOT/Tender/SplashBidNoticeAbstractUI.aspx?menuIndex=3&amp;refID=7023672&amp;Result=3","7023672")</f>
        <v>0</v>
      </c>
      <c r="B12053" t="s">
        <v>319</v>
      </c>
      <c r="C12053" t="s">
        <v>14712</v>
      </c>
      <c r="D12053" t="s">
        <v>18065</v>
      </c>
      <c r="E12053" t="s">
        <v>28534</v>
      </c>
      <c r="F12053" t="s">
        <v>31574</v>
      </c>
      <c r="G12053" t="s">
        <v>31582</v>
      </c>
      <c r="H12053" t="s">
        <v>31591</v>
      </c>
      <c r="I12053" t="s">
        <v>8822</v>
      </c>
      <c r="J12053" t="s">
        <v>31771</v>
      </c>
      <c r="K12053" t="s">
        <v>41217</v>
      </c>
      <c r="M12053" t="s">
        <v>43172</v>
      </c>
      <c r="N12053" t="s">
        <v>45095</v>
      </c>
      <c r="O12053" t="s">
        <v>45096</v>
      </c>
      <c r="P12053">
        <v>0</v>
      </c>
      <c r="Q12053">
        <v>0</v>
      </c>
      <c r="R12053" t="s">
        <v>45110</v>
      </c>
      <c r="S12053" t="s">
        <v>45605</v>
      </c>
      <c r="T12053" t="s">
        <v>46935</v>
      </c>
      <c r="U12053" t="s">
        <v>57317</v>
      </c>
      <c r="W12053" t="s">
        <v>43172</v>
      </c>
      <c r="X12053" t="s">
        <v>45111</v>
      </c>
    </row>
    <row r="12054" spans="1:24">
      <c r="A12054">
        <f>HYPERLINK("https://www.philgeps.gov.ph/GEPSNONPILOT/Tender/SplashBidNoticeAbstractUI.aspx?menuIndex=3&amp;refID=7023681&amp;Result=3","7023681")</f>
        <v>0</v>
      </c>
      <c r="B12054" t="s">
        <v>1978</v>
      </c>
      <c r="C12054" t="s">
        <v>14713</v>
      </c>
      <c r="D12054" t="s">
        <v>18079</v>
      </c>
      <c r="E12054" t="s">
        <v>28535</v>
      </c>
      <c r="F12054" t="s">
        <v>31574</v>
      </c>
      <c r="G12054" t="s">
        <v>31588</v>
      </c>
      <c r="H12054" t="s">
        <v>31591</v>
      </c>
      <c r="I12054" t="s">
        <v>8822</v>
      </c>
      <c r="J12054" t="s">
        <v>39179</v>
      </c>
      <c r="K12054" t="s">
        <v>41256</v>
      </c>
      <c r="M12054" t="s">
        <v>43635</v>
      </c>
      <c r="N12054" t="s">
        <v>45095</v>
      </c>
      <c r="O12054" t="s">
        <v>45096</v>
      </c>
      <c r="P12054">
        <v>0</v>
      </c>
      <c r="Q12054">
        <v>2</v>
      </c>
      <c r="R12054" t="s">
        <v>45110</v>
      </c>
      <c r="S12054" t="s">
        <v>45605</v>
      </c>
      <c r="T12054" t="s">
        <v>46979</v>
      </c>
      <c r="U12054" t="s">
        <v>49578</v>
      </c>
      <c r="W12054" t="s">
        <v>43635</v>
      </c>
      <c r="X12054" t="s">
        <v>45111</v>
      </c>
    </row>
    <row r="12055" spans="1:24">
      <c r="A12055">
        <f>HYPERLINK("https://www.philgeps.gov.ph/GEPSNONPILOT/Tender/SplashBidNoticeAbstractUI.aspx?menuIndex=3&amp;refID=7023668&amp;Result=3","7023668")</f>
        <v>0</v>
      </c>
      <c r="B12055" t="s">
        <v>683</v>
      </c>
      <c r="C12055" t="s">
        <v>14714</v>
      </c>
      <c r="D12055" t="s">
        <v>18059</v>
      </c>
      <c r="E12055" t="s">
        <v>28536</v>
      </c>
      <c r="F12055" t="s">
        <v>31574</v>
      </c>
      <c r="G12055" t="s">
        <v>31582</v>
      </c>
      <c r="H12055" t="s">
        <v>31590</v>
      </c>
      <c r="I12055" t="s">
        <v>31615</v>
      </c>
      <c r="J12055" t="s">
        <v>31730</v>
      </c>
      <c r="K12055" t="s">
        <v>41184</v>
      </c>
      <c r="M12055" t="s">
        <v>42190</v>
      </c>
      <c r="N12055" t="s">
        <v>45095</v>
      </c>
      <c r="O12055" t="s">
        <v>45096</v>
      </c>
      <c r="P12055">
        <v>0</v>
      </c>
      <c r="Q12055">
        <v>7</v>
      </c>
      <c r="R12055" t="s">
        <v>45110</v>
      </c>
      <c r="S12055" t="s">
        <v>45605</v>
      </c>
      <c r="T12055" t="s">
        <v>46926</v>
      </c>
      <c r="U12055" t="s">
        <v>57327</v>
      </c>
      <c r="W12055" t="s">
        <v>42190</v>
      </c>
      <c r="X12055" t="s">
        <v>45111</v>
      </c>
    </row>
    <row r="12056" spans="1:24">
      <c r="A12056">
        <f>HYPERLINK("https://www.philgeps.gov.ph/GEPSNONPILOT/Tender/SplashBidNoticeAbstractUI.aspx?menuIndex=3&amp;refID=7023664&amp;Result=3","7023664")</f>
        <v>0</v>
      </c>
      <c r="B12056" t="s">
        <v>516</v>
      </c>
      <c r="C12056" t="s">
        <v>14715</v>
      </c>
      <c r="D12056" t="s">
        <v>18031</v>
      </c>
      <c r="E12056" t="s">
        <v>28537</v>
      </c>
      <c r="F12056" t="s">
        <v>31574</v>
      </c>
      <c r="G12056" t="s">
        <v>31582</v>
      </c>
      <c r="H12056" t="s">
        <v>31591</v>
      </c>
      <c r="I12056" t="s">
        <v>8822</v>
      </c>
      <c r="J12056" t="s">
        <v>32417</v>
      </c>
      <c r="K12056" t="s">
        <v>41203</v>
      </c>
      <c r="M12056" t="s">
        <v>42012</v>
      </c>
      <c r="N12056" t="s">
        <v>45095</v>
      </c>
      <c r="O12056" t="s">
        <v>45096</v>
      </c>
      <c r="P12056">
        <v>0</v>
      </c>
      <c r="Q12056">
        <v>0</v>
      </c>
      <c r="R12056" t="s">
        <v>45110</v>
      </c>
      <c r="S12056" t="s">
        <v>45605</v>
      </c>
      <c r="T12056" t="s">
        <v>46926</v>
      </c>
      <c r="U12056" t="s">
        <v>48512</v>
      </c>
      <c r="W12056" t="s">
        <v>42012</v>
      </c>
      <c r="X12056" t="s">
        <v>45111</v>
      </c>
    </row>
    <row r="12057" spans="1:24">
      <c r="A12057">
        <f>HYPERLINK("https://www.philgeps.gov.ph/GEPSNONPILOT/Tender/SplashBidNoticeAbstractUI.aspx?menuIndex=3&amp;refID=7023653&amp;Result=3","7023653")</f>
        <v>0</v>
      </c>
      <c r="B12057" t="s">
        <v>319</v>
      </c>
      <c r="C12057" t="s">
        <v>14716</v>
      </c>
      <c r="D12057" t="s">
        <v>18065</v>
      </c>
      <c r="E12057" t="s">
        <v>28538</v>
      </c>
      <c r="F12057" t="s">
        <v>31574</v>
      </c>
      <c r="G12057" t="s">
        <v>31582</v>
      </c>
      <c r="H12057" t="s">
        <v>31591</v>
      </c>
      <c r="I12057" t="s">
        <v>8822</v>
      </c>
      <c r="J12057" t="s">
        <v>39180</v>
      </c>
      <c r="K12057" t="s">
        <v>41203</v>
      </c>
      <c r="M12057" t="s">
        <v>43172</v>
      </c>
      <c r="N12057" t="s">
        <v>45095</v>
      </c>
      <c r="O12057" t="s">
        <v>45096</v>
      </c>
      <c r="P12057">
        <v>0</v>
      </c>
      <c r="Q12057">
        <v>0</v>
      </c>
      <c r="R12057" t="s">
        <v>45110</v>
      </c>
      <c r="S12057" t="s">
        <v>45605</v>
      </c>
      <c r="T12057" t="s">
        <v>46935</v>
      </c>
      <c r="U12057" t="s">
        <v>57317</v>
      </c>
      <c r="W12057" t="s">
        <v>43172</v>
      </c>
      <c r="X12057" t="s">
        <v>45111</v>
      </c>
    </row>
    <row r="12058" spans="1:24">
      <c r="A12058">
        <f>HYPERLINK("https://www.philgeps.gov.ph/GEPSNONPILOT/Tender/SplashBidNoticeAbstractUI.aspx?menuIndex=3&amp;refID=7023559&amp;Result=3","7023559")</f>
        <v>0</v>
      </c>
      <c r="B12058" t="s">
        <v>2913</v>
      </c>
      <c r="C12058" t="s">
        <v>14717</v>
      </c>
      <c r="D12058" t="s">
        <v>18022</v>
      </c>
      <c r="E12058" t="s">
        <v>18192</v>
      </c>
      <c r="F12058" t="s">
        <v>31575</v>
      </c>
      <c r="G12058" t="s">
        <v>31582</v>
      </c>
      <c r="H12058" t="s">
        <v>31590</v>
      </c>
      <c r="I12058" t="s">
        <v>3487</v>
      </c>
      <c r="J12058" t="s">
        <v>39181</v>
      </c>
      <c r="K12058" t="s">
        <v>41186</v>
      </c>
      <c r="M12058" t="s">
        <v>44714</v>
      </c>
      <c r="N12058" t="s">
        <v>45095</v>
      </c>
      <c r="O12058" t="s">
        <v>45096</v>
      </c>
      <c r="P12058">
        <v>0</v>
      </c>
      <c r="Q12058">
        <v>1</v>
      </c>
      <c r="R12058" t="s">
        <v>45110</v>
      </c>
      <c r="S12058" t="s">
        <v>45605</v>
      </c>
      <c r="T12058" t="s">
        <v>47404</v>
      </c>
      <c r="U12058" t="s">
        <v>57328</v>
      </c>
      <c r="W12058" t="s">
        <v>44714</v>
      </c>
      <c r="X12058" t="s">
        <v>45111</v>
      </c>
    </row>
    <row r="12059" spans="1:24">
      <c r="A12059">
        <f>HYPERLINK("https://www.philgeps.gov.ph/GEPSNONPILOT/Tender/SplashBidNoticeAbstractUI.aspx?menuIndex=3&amp;refID=7023680&amp;Result=3","7023680")</f>
        <v>0</v>
      </c>
      <c r="B12059" t="s">
        <v>152</v>
      </c>
      <c r="C12059" t="s">
        <v>14718</v>
      </c>
      <c r="D12059" t="s">
        <v>18072</v>
      </c>
      <c r="E12059" t="s">
        <v>18429</v>
      </c>
      <c r="F12059" t="s">
        <v>31574</v>
      </c>
      <c r="G12059" t="s">
        <v>31582</v>
      </c>
      <c r="H12059" t="s">
        <v>31590</v>
      </c>
      <c r="I12059" t="s">
        <v>4046</v>
      </c>
      <c r="J12059" t="s">
        <v>39182</v>
      </c>
      <c r="K12059" t="s">
        <v>41211</v>
      </c>
      <c r="M12059" t="s">
        <v>41636</v>
      </c>
      <c r="N12059" t="s">
        <v>45095</v>
      </c>
      <c r="O12059" t="s">
        <v>45096</v>
      </c>
      <c r="P12059">
        <v>0</v>
      </c>
      <c r="Q12059">
        <v>0</v>
      </c>
      <c r="R12059" t="s">
        <v>45110</v>
      </c>
      <c r="S12059" t="s">
        <v>45605</v>
      </c>
      <c r="T12059" t="s">
        <v>47050</v>
      </c>
      <c r="U12059" t="s">
        <v>57329</v>
      </c>
      <c r="W12059" t="s">
        <v>41636</v>
      </c>
      <c r="X12059" t="s">
        <v>45111</v>
      </c>
    </row>
    <row r="12060" spans="1:24">
      <c r="A12060">
        <f>HYPERLINK("https://www.philgeps.gov.ph/GEPSNONPILOT/Tender/SplashBidNoticeAbstractUI.aspx?menuIndex=3&amp;refID=7023697&amp;Result=3","7023697")</f>
        <v>0</v>
      </c>
      <c r="B12060" t="s">
        <v>450</v>
      </c>
      <c r="C12060" t="s">
        <v>14719</v>
      </c>
      <c r="D12060" t="s">
        <v>18039</v>
      </c>
      <c r="E12060" t="s">
        <v>28539</v>
      </c>
      <c r="F12060" t="s">
        <v>31574</v>
      </c>
      <c r="G12060" t="s">
        <v>31582</v>
      </c>
      <c r="H12060" t="s">
        <v>31591</v>
      </c>
      <c r="I12060" t="s">
        <v>8822</v>
      </c>
      <c r="J12060" t="s">
        <v>39121</v>
      </c>
      <c r="K12060" t="s">
        <v>41198</v>
      </c>
      <c r="M12060" t="s">
        <v>41944</v>
      </c>
      <c r="N12060" t="s">
        <v>45095</v>
      </c>
      <c r="O12060" t="s">
        <v>45096</v>
      </c>
      <c r="P12060">
        <v>0</v>
      </c>
      <c r="Q12060">
        <v>1</v>
      </c>
      <c r="R12060" t="s">
        <v>45110</v>
      </c>
      <c r="S12060" t="s">
        <v>45605</v>
      </c>
      <c r="T12060" t="s">
        <v>46979</v>
      </c>
      <c r="U12060" t="s">
        <v>57234</v>
      </c>
      <c r="W12060" t="s">
        <v>41944</v>
      </c>
      <c r="X12060" t="s">
        <v>45111</v>
      </c>
    </row>
    <row r="12061" spans="1:24">
      <c r="A12061">
        <f>HYPERLINK("https://www.philgeps.gov.ph/GEPSNONPILOT/Tender/SplashBidNoticeAbstractUI.aspx?menuIndex=3&amp;refID=7023656&amp;Result=3","7023656")</f>
        <v>0</v>
      </c>
      <c r="B12061" t="s">
        <v>2051</v>
      </c>
      <c r="C12061" t="s">
        <v>14720</v>
      </c>
      <c r="D12061" t="s">
        <v>18066</v>
      </c>
      <c r="E12061" t="s">
        <v>28540</v>
      </c>
      <c r="F12061" t="s">
        <v>31574</v>
      </c>
      <c r="G12061" t="s">
        <v>31582</v>
      </c>
      <c r="H12061" t="s">
        <v>31590</v>
      </c>
      <c r="I12061" t="s">
        <v>7185</v>
      </c>
      <c r="J12061" t="s">
        <v>33864</v>
      </c>
      <c r="K12061" t="s">
        <v>41186</v>
      </c>
      <c r="M12061" t="s">
        <v>43719</v>
      </c>
      <c r="N12061" t="s">
        <v>45095</v>
      </c>
      <c r="O12061" t="s">
        <v>45096</v>
      </c>
      <c r="P12061">
        <v>0</v>
      </c>
      <c r="Q12061">
        <v>5</v>
      </c>
      <c r="R12061" t="s">
        <v>45110</v>
      </c>
      <c r="S12061" t="s">
        <v>45605</v>
      </c>
      <c r="T12061" t="s">
        <v>46979</v>
      </c>
      <c r="U12061" t="s">
        <v>57330</v>
      </c>
      <c r="V12061" t="s">
        <v>61167</v>
      </c>
      <c r="W12061" t="s">
        <v>43719</v>
      </c>
      <c r="X12061" t="s">
        <v>45111</v>
      </c>
    </row>
    <row r="12062" spans="1:24">
      <c r="A12062">
        <f>HYPERLINK("https://www.philgeps.gov.ph/GEPSNONPILOT/Tender/SplashBidNoticeAbstractUI.aspx?menuIndex=3&amp;refID=7023705&amp;Result=3","7023705")</f>
        <v>0</v>
      </c>
      <c r="B12062" t="s">
        <v>2917</v>
      </c>
      <c r="C12062" t="s">
        <v>14721</v>
      </c>
      <c r="D12062" t="s">
        <v>18028</v>
      </c>
      <c r="E12062" t="s">
        <v>28541</v>
      </c>
      <c r="F12062" t="s">
        <v>31574</v>
      </c>
      <c r="G12062" t="s">
        <v>31582</v>
      </c>
      <c r="H12062" t="s">
        <v>31591</v>
      </c>
      <c r="I12062" t="s">
        <v>8822</v>
      </c>
      <c r="J12062" t="s">
        <v>39183</v>
      </c>
      <c r="K12062" t="s">
        <v>41189</v>
      </c>
      <c r="M12062" t="s">
        <v>44718</v>
      </c>
      <c r="N12062" t="s">
        <v>45095</v>
      </c>
      <c r="O12062" t="s">
        <v>45096</v>
      </c>
      <c r="P12062">
        <v>0</v>
      </c>
      <c r="Q12062">
        <v>4</v>
      </c>
      <c r="R12062" t="s">
        <v>45110</v>
      </c>
      <c r="S12062" t="s">
        <v>45605</v>
      </c>
      <c r="T12062" t="s">
        <v>46926</v>
      </c>
      <c r="U12062" t="s">
        <v>57331</v>
      </c>
      <c r="W12062" t="s">
        <v>44718</v>
      </c>
      <c r="X12062" t="s">
        <v>45111</v>
      </c>
    </row>
    <row r="12063" spans="1:24">
      <c r="A12063">
        <f>HYPERLINK("https://www.philgeps.gov.ph/GEPSNONPILOT/Tender/SplashBidNoticeAbstractUI.aspx?menuIndex=3&amp;refID=7023625&amp;Result=3","7023625")</f>
        <v>0</v>
      </c>
      <c r="B12063" t="s">
        <v>2793</v>
      </c>
      <c r="C12063" t="s">
        <v>14722</v>
      </c>
      <c r="D12063" t="s">
        <v>18078</v>
      </c>
      <c r="E12063" t="s">
        <v>18316</v>
      </c>
      <c r="F12063" t="s">
        <v>31574</v>
      </c>
      <c r="G12063" t="s">
        <v>31582</v>
      </c>
      <c r="H12063" t="s">
        <v>31591</v>
      </c>
      <c r="I12063" t="s">
        <v>8822</v>
      </c>
      <c r="J12063" t="s">
        <v>39184</v>
      </c>
      <c r="K12063" t="s">
        <v>41185</v>
      </c>
      <c r="M12063" t="s">
        <v>44568</v>
      </c>
      <c r="N12063" t="s">
        <v>45095</v>
      </c>
      <c r="O12063" t="s">
        <v>45096</v>
      </c>
      <c r="P12063">
        <v>0</v>
      </c>
      <c r="Q12063">
        <v>0</v>
      </c>
      <c r="R12063" t="s">
        <v>45110</v>
      </c>
      <c r="S12063" t="s">
        <v>45605</v>
      </c>
      <c r="T12063" t="s">
        <v>47008</v>
      </c>
      <c r="U12063" t="s">
        <v>57332</v>
      </c>
      <c r="V12063" t="s">
        <v>61168</v>
      </c>
      <c r="W12063" t="s">
        <v>44568</v>
      </c>
      <c r="X12063" t="s">
        <v>45111</v>
      </c>
    </row>
    <row r="12064" spans="1:24">
      <c r="A12064">
        <f>HYPERLINK("https://www.philgeps.gov.ph/GEPSNONPILOT/Tender/SplashBidNoticeAbstractUI.aspx?menuIndex=3&amp;refID=7023729&amp;Result=3","7023729")</f>
        <v>0</v>
      </c>
      <c r="B12064" t="s">
        <v>516</v>
      </c>
      <c r="C12064" t="s">
        <v>14723</v>
      </c>
      <c r="D12064" t="s">
        <v>18031</v>
      </c>
      <c r="E12064" t="s">
        <v>28542</v>
      </c>
      <c r="F12064" t="s">
        <v>31574</v>
      </c>
      <c r="G12064" t="s">
        <v>31582</v>
      </c>
      <c r="H12064" t="s">
        <v>31590</v>
      </c>
      <c r="I12064" t="s">
        <v>31614</v>
      </c>
      <c r="J12064" t="s">
        <v>39185</v>
      </c>
      <c r="K12064" t="s">
        <v>41193</v>
      </c>
      <c r="M12064" t="s">
        <v>42012</v>
      </c>
      <c r="N12064" t="s">
        <v>45095</v>
      </c>
      <c r="O12064" t="s">
        <v>45096</v>
      </c>
      <c r="P12064">
        <v>0</v>
      </c>
      <c r="Q12064">
        <v>1</v>
      </c>
      <c r="R12064" t="s">
        <v>45110</v>
      </c>
      <c r="S12064" t="s">
        <v>45605</v>
      </c>
      <c r="T12064" t="s">
        <v>46926</v>
      </c>
      <c r="U12064" t="s">
        <v>48512</v>
      </c>
      <c r="W12064" t="s">
        <v>42012</v>
      </c>
      <c r="X12064" t="s">
        <v>45111</v>
      </c>
    </row>
    <row r="12065" spans="1:24">
      <c r="A12065">
        <f>HYPERLINK("https://www.philgeps.gov.ph/GEPSNONPILOT/Tender/SplashBidNoticeAbstractUI.aspx?menuIndex=3&amp;refID=7023702&amp;Result=3","7023702")</f>
        <v>0</v>
      </c>
      <c r="B12065" t="s">
        <v>1978</v>
      </c>
      <c r="C12065" t="s">
        <v>14724</v>
      </c>
      <c r="D12065" t="s">
        <v>18079</v>
      </c>
      <c r="E12065" t="s">
        <v>28543</v>
      </c>
      <c r="F12065" t="s">
        <v>31574</v>
      </c>
      <c r="G12065" t="s">
        <v>31588</v>
      </c>
      <c r="H12065" t="s">
        <v>31591</v>
      </c>
      <c r="I12065" t="s">
        <v>8822</v>
      </c>
      <c r="J12065" t="s">
        <v>33301</v>
      </c>
      <c r="K12065" t="s">
        <v>41245</v>
      </c>
      <c r="M12065" t="s">
        <v>43635</v>
      </c>
      <c r="N12065" t="s">
        <v>45095</v>
      </c>
      <c r="O12065" t="s">
        <v>45096</v>
      </c>
      <c r="Q12065">
        <v>4</v>
      </c>
      <c r="R12065" t="s">
        <v>45110</v>
      </c>
      <c r="S12065" t="s">
        <v>45660</v>
      </c>
      <c r="T12065" t="s">
        <v>46979</v>
      </c>
      <c r="U12065" t="s">
        <v>49578</v>
      </c>
      <c r="W12065" t="s">
        <v>43635</v>
      </c>
      <c r="X12065" t="s">
        <v>45111</v>
      </c>
    </row>
    <row r="12066" spans="1:24">
      <c r="A12066">
        <f>HYPERLINK("https://www.philgeps.gov.ph/GEPSNONPILOT/Tender/SplashBidNoticeAbstractUI.aspx?menuIndex=3&amp;refID=7023698&amp;Result=3","7023698")</f>
        <v>0</v>
      </c>
      <c r="B12066" t="s">
        <v>2913</v>
      </c>
      <c r="C12066" t="s">
        <v>14725</v>
      </c>
      <c r="D12066" t="s">
        <v>18022</v>
      </c>
      <c r="E12066" t="s">
        <v>18448</v>
      </c>
      <c r="F12066" t="s">
        <v>31575</v>
      </c>
      <c r="G12066" t="s">
        <v>31582</v>
      </c>
      <c r="H12066" t="s">
        <v>31590</v>
      </c>
      <c r="I12066" t="s">
        <v>3487</v>
      </c>
      <c r="J12066" t="s">
        <v>31728</v>
      </c>
      <c r="K12066" t="s">
        <v>41186</v>
      </c>
      <c r="M12066" t="s">
        <v>44714</v>
      </c>
      <c r="N12066" t="s">
        <v>45095</v>
      </c>
      <c r="O12066" t="s">
        <v>45096</v>
      </c>
      <c r="P12066">
        <v>0</v>
      </c>
      <c r="Q12066">
        <v>0</v>
      </c>
      <c r="R12066" t="s">
        <v>45110</v>
      </c>
      <c r="S12066" t="s">
        <v>45605</v>
      </c>
      <c r="T12066" t="s">
        <v>47404</v>
      </c>
      <c r="U12066" t="s">
        <v>57333</v>
      </c>
      <c r="W12066" t="s">
        <v>44714</v>
      </c>
      <c r="X12066" t="s">
        <v>45111</v>
      </c>
    </row>
    <row r="12067" spans="1:24">
      <c r="A12067">
        <f>HYPERLINK("https://www.philgeps.gov.ph/GEPSNONPILOT/Tender/SplashBidNoticeAbstractUI.aspx?menuIndex=3&amp;refID=7023722&amp;Result=3","7023722")</f>
        <v>0</v>
      </c>
      <c r="B12067" t="s">
        <v>24</v>
      </c>
      <c r="C12067" t="s">
        <v>14726</v>
      </c>
      <c r="D12067" t="s">
        <v>18022</v>
      </c>
      <c r="E12067" t="s">
        <v>28544</v>
      </c>
      <c r="F12067" t="s">
        <v>31574</v>
      </c>
      <c r="G12067" t="s">
        <v>31582</v>
      </c>
      <c r="H12067" t="s">
        <v>31591</v>
      </c>
      <c r="I12067" t="s">
        <v>8822</v>
      </c>
      <c r="J12067" t="s">
        <v>39186</v>
      </c>
      <c r="K12067" t="s">
        <v>41200</v>
      </c>
      <c r="M12067" t="s">
        <v>42023</v>
      </c>
      <c r="N12067" t="s">
        <v>45095</v>
      </c>
      <c r="O12067" t="s">
        <v>45096</v>
      </c>
      <c r="Q12067">
        <v>8</v>
      </c>
      <c r="R12067" t="s">
        <v>45110</v>
      </c>
      <c r="S12067" t="s">
        <v>45661</v>
      </c>
      <c r="T12067" t="s">
        <v>46920</v>
      </c>
      <c r="U12067" t="s">
        <v>57334</v>
      </c>
      <c r="V12067" t="s">
        <v>59966</v>
      </c>
      <c r="W12067" t="s">
        <v>42023</v>
      </c>
      <c r="X12067" t="s">
        <v>45111</v>
      </c>
    </row>
    <row r="12068" spans="1:24">
      <c r="A12068">
        <f>HYPERLINK("https://www.philgeps.gov.ph/GEPSNONPILOT/Tender/SplashBidNoticeAbstractUI.aspx?menuIndex=3&amp;refID=7023725&amp;Result=3","7023725")</f>
        <v>0</v>
      </c>
      <c r="B12068" t="s">
        <v>961</v>
      </c>
      <c r="C12068" t="s">
        <v>14727</v>
      </c>
      <c r="D12068" t="s">
        <v>18023</v>
      </c>
      <c r="E12068" t="s">
        <v>28545</v>
      </c>
      <c r="F12068" t="s">
        <v>31574</v>
      </c>
      <c r="G12068" t="s">
        <v>31582</v>
      </c>
      <c r="H12068" t="s">
        <v>31590</v>
      </c>
      <c r="I12068" t="s">
        <v>31614</v>
      </c>
      <c r="J12068" t="s">
        <v>32494</v>
      </c>
      <c r="K12068" t="s">
        <v>41185</v>
      </c>
      <c r="M12068" t="s">
        <v>44719</v>
      </c>
      <c r="N12068" t="s">
        <v>45095</v>
      </c>
      <c r="O12068" t="s">
        <v>45096</v>
      </c>
      <c r="P12068">
        <v>0</v>
      </c>
      <c r="Q12068">
        <v>5</v>
      </c>
      <c r="R12068" t="s">
        <v>45110</v>
      </c>
      <c r="S12068" t="s">
        <v>45605</v>
      </c>
      <c r="T12068" t="s">
        <v>47010</v>
      </c>
      <c r="U12068" t="s">
        <v>57335</v>
      </c>
      <c r="W12068" t="s">
        <v>44719</v>
      </c>
      <c r="X12068" t="s">
        <v>45111</v>
      </c>
    </row>
    <row r="12069" spans="1:24">
      <c r="A12069">
        <f>HYPERLINK("https://www.philgeps.gov.ph/GEPSNONPILOT/Tender/SplashBidNoticeAbstractUI.aspx?menuIndex=3&amp;refID=7023703&amp;Result=3","7023703")</f>
        <v>0</v>
      </c>
      <c r="B12069" t="s">
        <v>1131</v>
      </c>
      <c r="C12069" t="s">
        <v>14728</v>
      </c>
      <c r="D12069" t="s">
        <v>18071</v>
      </c>
      <c r="E12069" t="s">
        <v>28546</v>
      </c>
      <c r="F12069" t="s">
        <v>31574</v>
      </c>
      <c r="G12069" t="s">
        <v>31582</v>
      </c>
      <c r="H12069" t="s">
        <v>31590</v>
      </c>
      <c r="I12069" t="s">
        <v>31642</v>
      </c>
      <c r="J12069" t="s">
        <v>39187</v>
      </c>
      <c r="K12069" t="s">
        <v>41186</v>
      </c>
      <c r="M12069" t="s">
        <v>42682</v>
      </c>
      <c r="N12069" t="s">
        <v>45095</v>
      </c>
      <c r="O12069" t="s">
        <v>45096</v>
      </c>
      <c r="P12069">
        <v>0</v>
      </c>
      <c r="Q12069">
        <v>1</v>
      </c>
      <c r="R12069" t="s">
        <v>45110</v>
      </c>
      <c r="S12069" t="s">
        <v>45605</v>
      </c>
      <c r="T12069" t="s">
        <v>46914</v>
      </c>
      <c r="U12069" t="s">
        <v>57336</v>
      </c>
      <c r="W12069" t="s">
        <v>42682</v>
      </c>
      <c r="X12069" t="s">
        <v>45111</v>
      </c>
    </row>
    <row r="12070" spans="1:24">
      <c r="A12070">
        <f>HYPERLINK("https://www.philgeps.gov.ph/GEPSNONPILOT/Tender/SplashBidNoticeAbstractUI.aspx?menuIndex=3&amp;refID=7023731&amp;Result=3","7023731")</f>
        <v>0</v>
      </c>
      <c r="B12070" t="s">
        <v>1197</v>
      </c>
      <c r="C12070" t="s">
        <v>14729</v>
      </c>
      <c r="D12070" t="s">
        <v>18073</v>
      </c>
      <c r="E12070" t="s">
        <v>28547</v>
      </c>
      <c r="F12070" t="s">
        <v>31574</v>
      </c>
      <c r="G12070" t="s">
        <v>31582</v>
      </c>
      <c r="H12070" t="s">
        <v>31591</v>
      </c>
      <c r="I12070" t="s">
        <v>8822</v>
      </c>
      <c r="J12070" t="s">
        <v>31758</v>
      </c>
      <c r="K12070" t="s">
        <v>41200</v>
      </c>
      <c r="M12070" t="s">
        <v>42757</v>
      </c>
      <c r="N12070" t="s">
        <v>45095</v>
      </c>
      <c r="O12070" t="s">
        <v>45096</v>
      </c>
      <c r="P12070">
        <v>0</v>
      </c>
      <c r="Q12070">
        <v>0</v>
      </c>
      <c r="R12070" t="s">
        <v>45110</v>
      </c>
      <c r="S12070" t="s">
        <v>45605</v>
      </c>
      <c r="T12070" t="s">
        <v>46922</v>
      </c>
      <c r="U12070" t="s">
        <v>57337</v>
      </c>
      <c r="W12070" t="s">
        <v>42757</v>
      </c>
      <c r="X12070" t="s">
        <v>45111</v>
      </c>
    </row>
    <row r="12071" spans="1:24">
      <c r="A12071">
        <f>HYPERLINK("https://www.philgeps.gov.ph/GEPSNONPILOT/Tender/SplashBidNoticeAbstractUI.aspx?menuIndex=3&amp;refID=7023721&amp;Result=3","7023721")</f>
        <v>0</v>
      </c>
      <c r="B12071" t="s">
        <v>1131</v>
      </c>
      <c r="C12071" t="s">
        <v>14730</v>
      </c>
      <c r="D12071" t="s">
        <v>18071</v>
      </c>
      <c r="E12071" t="s">
        <v>28548</v>
      </c>
      <c r="F12071" t="s">
        <v>31574</v>
      </c>
      <c r="G12071" t="s">
        <v>31582</v>
      </c>
      <c r="H12071" t="s">
        <v>31590</v>
      </c>
      <c r="I12071" t="s">
        <v>31660</v>
      </c>
      <c r="J12071" t="s">
        <v>39188</v>
      </c>
      <c r="K12071" t="s">
        <v>41196</v>
      </c>
      <c r="M12071" t="s">
        <v>42682</v>
      </c>
      <c r="N12071" t="s">
        <v>45095</v>
      </c>
      <c r="O12071" t="s">
        <v>45096</v>
      </c>
      <c r="P12071">
        <v>0</v>
      </c>
      <c r="Q12071">
        <v>1</v>
      </c>
      <c r="R12071" t="s">
        <v>45110</v>
      </c>
      <c r="S12071" t="s">
        <v>45605</v>
      </c>
      <c r="T12071" t="s">
        <v>46914</v>
      </c>
      <c r="U12071" t="s">
        <v>57338</v>
      </c>
      <c r="W12071" t="s">
        <v>42682</v>
      </c>
      <c r="X12071" t="s">
        <v>45111</v>
      </c>
    </row>
    <row r="12072" spans="1:24">
      <c r="A12072">
        <f>HYPERLINK("https://www.philgeps.gov.ph/GEPSNONPILOT/Tender/SplashBidNoticeAbstractUI.aspx?menuIndex=3&amp;refID=7023723&amp;Result=3","7023723")</f>
        <v>0</v>
      </c>
      <c r="B12072" t="s">
        <v>725</v>
      </c>
      <c r="C12072" t="s">
        <v>14731</v>
      </c>
      <c r="D12072" t="s">
        <v>18092</v>
      </c>
      <c r="E12072" t="s">
        <v>28549</v>
      </c>
      <c r="F12072" t="s">
        <v>31574</v>
      </c>
      <c r="G12072" t="s">
        <v>31582</v>
      </c>
      <c r="H12072" t="s">
        <v>31590</v>
      </c>
      <c r="I12072" t="s">
        <v>7162</v>
      </c>
      <c r="J12072" t="s">
        <v>39189</v>
      </c>
      <c r="K12072" t="s">
        <v>41193</v>
      </c>
      <c r="M12072" t="s">
        <v>42235</v>
      </c>
      <c r="N12072" t="s">
        <v>45095</v>
      </c>
      <c r="O12072" t="s">
        <v>45096</v>
      </c>
      <c r="P12072">
        <v>0</v>
      </c>
      <c r="Q12072">
        <v>1</v>
      </c>
      <c r="R12072" t="s">
        <v>45110</v>
      </c>
      <c r="S12072" t="s">
        <v>45605</v>
      </c>
      <c r="T12072" t="s">
        <v>46977</v>
      </c>
      <c r="U12072" t="s">
        <v>57339</v>
      </c>
      <c r="V12072" t="s">
        <v>61169</v>
      </c>
      <c r="W12072" t="s">
        <v>42235</v>
      </c>
      <c r="X12072" t="s">
        <v>45111</v>
      </c>
    </row>
    <row r="12073" spans="1:24">
      <c r="A12073">
        <f>HYPERLINK("https://www.philgeps.gov.ph/GEPSNONPILOT/Tender/SplashBidNoticeAbstractUI.aspx?menuIndex=3&amp;refID=7023737&amp;Result=3","7023737")</f>
        <v>0</v>
      </c>
      <c r="B12073" t="s">
        <v>2918</v>
      </c>
      <c r="C12073" t="s">
        <v>14732</v>
      </c>
      <c r="D12073" t="s">
        <v>18075</v>
      </c>
      <c r="E12073" t="s">
        <v>18936</v>
      </c>
      <c r="F12073" t="s">
        <v>31574</v>
      </c>
      <c r="G12073" t="s">
        <v>31582</v>
      </c>
      <c r="H12073" t="s">
        <v>31591</v>
      </c>
      <c r="I12073" t="s">
        <v>8822</v>
      </c>
      <c r="J12073" t="s">
        <v>39190</v>
      </c>
      <c r="K12073" t="s">
        <v>41192</v>
      </c>
      <c r="M12073" t="s">
        <v>44720</v>
      </c>
      <c r="N12073" t="s">
        <v>45095</v>
      </c>
      <c r="O12073" t="s">
        <v>45096</v>
      </c>
      <c r="P12073">
        <v>0</v>
      </c>
      <c r="Q12073">
        <v>1</v>
      </c>
      <c r="R12073" t="s">
        <v>45110</v>
      </c>
      <c r="S12073" t="s">
        <v>45605</v>
      </c>
      <c r="T12073" t="s">
        <v>46955</v>
      </c>
      <c r="U12073" t="s">
        <v>57340</v>
      </c>
      <c r="W12073" t="s">
        <v>44720</v>
      </c>
      <c r="X12073" t="s">
        <v>45111</v>
      </c>
    </row>
    <row r="12074" spans="1:24">
      <c r="A12074">
        <f>HYPERLINK("https://www.philgeps.gov.ph/GEPSNONPILOT/Tender/SplashBidNoticeAbstractUI.aspx?menuIndex=3&amp;refID=7023745&amp;Result=3","7023745")</f>
        <v>0</v>
      </c>
      <c r="B12074" t="s">
        <v>143</v>
      </c>
      <c r="C12074" t="s">
        <v>14733</v>
      </c>
      <c r="D12074" t="s">
        <v>18075</v>
      </c>
      <c r="E12074" t="s">
        <v>28550</v>
      </c>
      <c r="F12074" t="s">
        <v>31574</v>
      </c>
      <c r="G12074" t="s">
        <v>31582</v>
      </c>
      <c r="H12074" t="s">
        <v>31591</v>
      </c>
      <c r="I12074" t="s">
        <v>8822</v>
      </c>
      <c r="J12074" t="s">
        <v>32019</v>
      </c>
      <c r="K12074" t="s">
        <v>41269</v>
      </c>
      <c r="M12074" t="s">
        <v>41627</v>
      </c>
      <c r="N12074" t="s">
        <v>45095</v>
      </c>
      <c r="O12074" t="s">
        <v>45096</v>
      </c>
      <c r="P12074">
        <v>0</v>
      </c>
      <c r="Q12074">
        <v>0</v>
      </c>
      <c r="R12074" t="s">
        <v>45110</v>
      </c>
      <c r="S12074" t="s">
        <v>45605</v>
      </c>
      <c r="T12074" t="s">
        <v>47303</v>
      </c>
      <c r="U12074" t="s">
        <v>57341</v>
      </c>
      <c r="W12074" t="s">
        <v>41627</v>
      </c>
      <c r="X12074" t="s">
        <v>45111</v>
      </c>
    </row>
    <row r="12075" spans="1:24">
      <c r="A12075">
        <f>HYPERLINK("https://www.philgeps.gov.ph/GEPSNONPILOT/Tender/SplashBidNoticeAbstractUI.aspx?menuIndex=3&amp;refID=7023734&amp;Result=3","7023734")</f>
        <v>0</v>
      </c>
      <c r="B12075" t="s">
        <v>2763</v>
      </c>
      <c r="C12075" t="s">
        <v>14734</v>
      </c>
      <c r="D12075" t="s">
        <v>18048</v>
      </c>
      <c r="E12075" t="s">
        <v>28551</v>
      </c>
      <c r="F12075" t="s">
        <v>31574</v>
      </c>
      <c r="G12075" t="s">
        <v>31582</v>
      </c>
      <c r="H12075" t="s">
        <v>31590</v>
      </c>
      <c r="I12075" t="s">
        <v>31615</v>
      </c>
      <c r="J12075" t="s">
        <v>39191</v>
      </c>
      <c r="K12075" t="s">
        <v>41186</v>
      </c>
      <c r="M12075" t="s">
        <v>44535</v>
      </c>
      <c r="N12075" t="s">
        <v>45095</v>
      </c>
      <c r="O12075" t="s">
        <v>45096</v>
      </c>
      <c r="P12075">
        <v>0</v>
      </c>
      <c r="Q12075">
        <v>4</v>
      </c>
      <c r="R12075" t="s">
        <v>45110</v>
      </c>
      <c r="S12075" t="s">
        <v>45605</v>
      </c>
      <c r="T12075" t="s">
        <v>46966</v>
      </c>
      <c r="U12075" t="s">
        <v>57342</v>
      </c>
      <c r="W12075" t="s">
        <v>44535</v>
      </c>
      <c r="X12075" t="s">
        <v>45111</v>
      </c>
    </row>
    <row r="12076" spans="1:24">
      <c r="A12076">
        <f>HYPERLINK("https://www.philgeps.gov.ph/GEPSNONPILOT/Tender/SplashBidNoticeAbstractUI.aspx?menuIndex=3&amp;refID=7023738&amp;Result=3","7023738")</f>
        <v>0</v>
      </c>
      <c r="B12076" t="s">
        <v>1131</v>
      </c>
      <c r="C12076" t="s">
        <v>14735</v>
      </c>
      <c r="D12076" t="s">
        <v>18071</v>
      </c>
      <c r="E12076" t="s">
        <v>28552</v>
      </c>
      <c r="F12076" t="s">
        <v>31574</v>
      </c>
      <c r="G12076" t="s">
        <v>31582</v>
      </c>
      <c r="H12076" t="s">
        <v>31590</v>
      </c>
      <c r="I12076" t="s">
        <v>31608</v>
      </c>
      <c r="J12076" t="s">
        <v>38057</v>
      </c>
      <c r="K12076" t="s">
        <v>41192</v>
      </c>
      <c r="M12076" t="s">
        <v>42682</v>
      </c>
      <c r="N12076" t="s">
        <v>45095</v>
      </c>
      <c r="O12076" t="s">
        <v>45096</v>
      </c>
      <c r="Q12076">
        <v>8</v>
      </c>
      <c r="R12076" t="s">
        <v>45110</v>
      </c>
      <c r="S12076" t="s">
        <v>45662</v>
      </c>
      <c r="T12076" t="s">
        <v>46914</v>
      </c>
      <c r="U12076" t="s">
        <v>57343</v>
      </c>
      <c r="W12076" t="s">
        <v>42682</v>
      </c>
      <c r="X12076" t="s">
        <v>45111</v>
      </c>
    </row>
    <row r="12077" spans="1:24">
      <c r="A12077">
        <f>HYPERLINK("https://www.philgeps.gov.ph/GEPSNONPILOT/Tender/SplashBidNoticeAbstractUI.aspx?menuIndex=3&amp;refID=7023743&amp;Result=3","7023743")</f>
        <v>0</v>
      </c>
      <c r="B12077" t="s">
        <v>1938</v>
      </c>
      <c r="C12077" t="s">
        <v>14736</v>
      </c>
      <c r="D12077" t="s">
        <v>18103</v>
      </c>
      <c r="E12077" t="s">
        <v>28553</v>
      </c>
      <c r="F12077" t="s">
        <v>31574</v>
      </c>
      <c r="G12077" t="s">
        <v>31582</v>
      </c>
      <c r="H12077" t="s">
        <v>31590</v>
      </c>
      <c r="I12077" t="s">
        <v>3487</v>
      </c>
      <c r="J12077" t="s">
        <v>31935</v>
      </c>
      <c r="K12077" t="s">
        <v>41190</v>
      </c>
      <c r="M12077" t="s">
        <v>43593</v>
      </c>
      <c r="N12077" t="s">
        <v>45095</v>
      </c>
      <c r="O12077" t="s">
        <v>45096</v>
      </c>
      <c r="P12077">
        <v>0</v>
      </c>
      <c r="Q12077">
        <v>7</v>
      </c>
      <c r="R12077" t="s">
        <v>45110</v>
      </c>
      <c r="S12077" t="s">
        <v>45605</v>
      </c>
      <c r="T12077" t="s">
        <v>46923</v>
      </c>
      <c r="U12077" t="s">
        <v>57344</v>
      </c>
      <c r="W12077" t="s">
        <v>43593</v>
      </c>
      <c r="X12077" t="s">
        <v>45111</v>
      </c>
    </row>
    <row r="12078" spans="1:24">
      <c r="A12078">
        <f>HYPERLINK("https://www.philgeps.gov.ph/GEPSNONPILOT/Tender/SplashBidNoticeAbstractUI.aspx?menuIndex=3&amp;refID=7023732&amp;Result=3","7023732")</f>
        <v>0</v>
      </c>
      <c r="B12078" t="s">
        <v>2917</v>
      </c>
      <c r="C12078" t="s">
        <v>14737</v>
      </c>
      <c r="D12078" t="s">
        <v>18055</v>
      </c>
      <c r="E12078" t="s">
        <v>28554</v>
      </c>
      <c r="F12078" t="s">
        <v>31574</v>
      </c>
      <c r="G12078" t="s">
        <v>31582</v>
      </c>
      <c r="H12078" t="s">
        <v>31590</v>
      </c>
      <c r="I12078" t="s">
        <v>4046</v>
      </c>
      <c r="J12078" t="s">
        <v>39192</v>
      </c>
      <c r="K12078" t="s">
        <v>41185</v>
      </c>
      <c r="M12078" t="s">
        <v>44718</v>
      </c>
      <c r="N12078" t="s">
        <v>45095</v>
      </c>
      <c r="O12078" t="s">
        <v>45096</v>
      </c>
      <c r="P12078">
        <v>0</v>
      </c>
      <c r="Q12078">
        <v>4</v>
      </c>
      <c r="R12078" t="s">
        <v>45110</v>
      </c>
      <c r="S12078" t="s">
        <v>45605</v>
      </c>
      <c r="T12078" t="s">
        <v>46914</v>
      </c>
      <c r="U12078" t="s">
        <v>57345</v>
      </c>
      <c r="W12078" t="s">
        <v>44718</v>
      </c>
      <c r="X12078" t="s">
        <v>45111</v>
      </c>
    </row>
    <row r="12079" spans="1:24">
      <c r="A12079">
        <f>HYPERLINK("https://www.philgeps.gov.ph/GEPSNONPILOT/Tender/SplashBidNoticeAbstractUI.aspx?menuIndex=3&amp;refID=7023708&amp;Result=3","7023708")</f>
        <v>0</v>
      </c>
      <c r="B12079" t="s">
        <v>516</v>
      </c>
      <c r="C12079" t="s">
        <v>14738</v>
      </c>
      <c r="D12079" t="s">
        <v>18031</v>
      </c>
      <c r="E12079" t="s">
        <v>28555</v>
      </c>
      <c r="F12079" t="s">
        <v>31574</v>
      </c>
      <c r="G12079" t="s">
        <v>31582</v>
      </c>
      <c r="H12079" t="s">
        <v>31590</v>
      </c>
      <c r="I12079" t="s">
        <v>31614</v>
      </c>
      <c r="J12079" t="s">
        <v>35169</v>
      </c>
      <c r="K12079" t="s">
        <v>41193</v>
      </c>
      <c r="M12079" t="s">
        <v>42012</v>
      </c>
      <c r="N12079" t="s">
        <v>45095</v>
      </c>
      <c r="O12079" t="s">
        <v>45096</v>
      </c>
      <c r="P12079">
        <v>0</v>
      </c>
      <c r="Q12079">
        <v>2</v>
      </c>
      <c r="R12079" t="s">
        <v>45110</v>
      </c>
      <c r="S12079" t="s">
        <v>45605</v>
      </c>
      <c r="T12079" t="s">
        <v>46926</v>
      </c>
      <c r="U12079" t="s">
        <v>48512</v>
      </c>
      <c r="W12079" t="s">
        <v>42012</v>
      </c>
      <c r="X12079" t="s">
        <v>45111</v>
      </c>
    </row>
    <row r="12080" spans="1:24">
      <c r="A12080">
        <f>HYPERLINK("https://www.philgeps.gov.ph/GEPSNONPILOT/Tender/SplashBidNoticeAbstractUI.aspx?menuIndex=3&amp;refID=7023754&amp;Result=3","7023754")</f>
        <v>0</v>
      </c>
      <c r="B12080" t="s">
        <v>182</v>
      </c>
      <c r="C12080" t="s">
        <v>14739</v>
      </c>
      <c r="D12080" t="s">
        <v>18060</v>
      </c>
      <c r="E12080" t="s">
        <v>28556</v>
      </c>
      <c r="F12080" t="s">
        <v>31574</v>
      </c>
      <c r="G12080" t="s">
        <v>31582</v>
      </c>
      <c r="H12080" t="s">
        <v>31591</v>
      </c>
      <c r="I12080" t="s">
        <v>8822</v>
      </c>
      <c r="J12080" t="s">
        <v>31771</v>
      </c>
      <c r="K12080" t="s">
        <v>41185</v>
      </c>
      <c r="M12080" t="s">
        <v>44709</v>
      </c>
      <c r="N12080" t="s">
        <v>45095</v>
      </c>
      <c r="O12080" t="s">
        <v>45096</v>
      </c>
      <c r="P12080">
        <v>0</v>
      </c>
      <c r="Q12080">
        <v>1</v>
      </c>
      <c r="R12080" t="s">
        <v>45110</v>
      </c>
      <c r="S12080" t="s">
        <v>45605</v>
      </c>
      <c r="T12080" t="s">
        <v>46966</v>
      </c>
      <c r="U12080" t="s">
        <v>57346</v>
      </c>
      <c r="W12080" t="s">
        <v>44709</v>
      </c>
      <c r="X12080" t="s">
        <v>45111</v>
      </c>
    </row>
    <row r="12081" spans="1:24">
      <c r="A12081">
        <f>HYPERLINK("https://www.philgeps.gov.ph/GEPSNONPILOT/Tender/SplashBidNoticeAbstractUI.aspx?menuIndex=3&amp;refID=7023749&amp;Result=3","7023749")</f>
        <v>0</v>
      </c>
      <c r="B12081" t="s">
        <v>516</v>
      </c>
      <c r="C12081" t="s">
        <v>14740</v>
      </c>
      <c r="D12081" t="s">
        <v>18031</v>
      </c>
      <c r="E12081" t="s">
        <v>28557</v>
      </c>
      <c r="F12081" t="s">
        <v>31574</v>
      </c>
      <c r="G12081" t="s">
        <v>31582</v>
      </c>
      <c r="H12081" t="s">
        <v>31590</v>
      </c>
      <c r="I12081" t="s">
        <v>8822</v>
      </c>
      <c r="J12081" t="s">
        <v>39193</v>
      </c>
      <c r="K12081" t="s">
        <v>41193</v>
      </c>
      <c r="M12081" t="s">
        <v>42012</v>
      </c>
      <c r="N12081" t="s">
        <v>45095</v>
      </c>
      <c r="O12081" t="s">
        <v>45096</v>
      </c>
      <c r="P12081">
        <v>0</v>
      </c>
      <c r="Q12081">
        <v>0</v>
      </c>
      <c r="R12081" t="s">
        <v>45110</v>
      </c>
      <c r="S12081" t="s">
        <v>45605</v>
      </c>
      <c r="T12081" t="s">
        <v>46926</v>
      </c>
      <c r="U12081" t="s">
        <v>48512</v>
      </c>
      <c r="W12081" t="s">
        <v>42012</v>
      </c>
      <c r="X12081" t="s">
        <v>45111</v>
      </c>
    </row>
    <row r="12082" spans="1:24">
      <c r="A12082">
        <f>HYPERLINK("https://www.philgeps.gov.ph/GEPSNONPILOT/Tender/SplashBidNoticeAbstractUI.aspx?menuIndex=3&amp;refID=7023757&amp;Result=3","7023757")</f>
        <v>0</v>
      </c>
      <c r="B12082" t="s">
        <v>2916</v>
      </c>
      <c r="C12082" t="s">
        <v>14741</v>
      </c>
      <c r="D12082" t="s">
        <v>18022</v>
      </c>
      <c r="E12082" t="s">
        <v>28558</v>
      </c>
      <c r="F12082" t="s">
        <v>31574</v>
      </c>
      <c r="G12082" t="s">
        <v>31582</v>
      </c>
      <c r="H12082" t="s">
        <v>31590</v>
      </c>
      <c r="I12082" t="s">
        <v>7185</v>
      </c>
      <c r="J12082" t="s">
        <v>39194</v>
      </c>
      <c r="K12082" t="s">
        <v>41196</v>
      </c>
      <c r="M12082" t="s">
        <v>44717</v>
      </c>
      <c r="N12082" t="s">
        <v>45095</v>
      </c>
      <c r="O12082" t="s">
        <v>45096</v>
      </c>
      <c r="P12082">
        <v>0</v>
      </c>
      <c r="Q12082">
        <v>5</v>
      </c>
      <c r="R12082" t="s">
        <v>45110</v>
      </c>
      <c r="S12082" t="s">
        <v>45605</v>
      </c>
      <c r="T12082" t="s">
        <v>46997</v>
      </c>
      <c r="U12082" t="s">
        <v>57323</v>
      </c>
      <c r="W12082" t="s">
        <v>44717</v>
      </c>
      <c r="X12082" t="s">
        <v>45111</v>
      </c>
    </row>
    <row r="12083" spans="1:24">
      <c r="A12083">
        <f>HYPERLINK("https://www.philgeps.gov.ph/GEPSNONPILOT/Tender/SplashBidNoticeAbstractUI.aspx?menuIndex=3&amp;refID=7023753&amp;Result=3","7023753")</f>
        <v>0</v>
      </c>
      <c r="B12083" t="s">
        <v>2917</v>
      </c>
      <c r="C12083" t="s">
        <v>14742</v>
      </c>
      <c r="D12083" t="s">
        <v>18028</v>
      </c>
      <c r="E12083" t="s">
        <v>28559</v>
      </c>
      <c r="F12083" t="s">
        <v>31574</v>
      </c>
      <c r="G12083" t="s">
        <v>31582</v>
      </c>
      <c r="H12083" t="s">
        <v>31591</v>
      </c>
      <c r="I12083" t="s">
        <v>8822</v>
      </c>
      <c r="J12083" t="s">
        <v>39195</v>
      </c>
      <c r="K12083" t="s">
        <v>41189</v>
      </c>
      <c r="M12083" t="s">
        <v>44718</v>
      </c>
      <c r="N12083" t="s">
        <v>45095</v>
      </c>
      <c r="O12083" t="s">
        <v>45096</v>
      </c>
      <c r="P12083">
        <v>0</v>
      </c>
      <c r="Q12083">
        <v>6</v>
      </c>
      <c r="R12083" t="s">
        <v>45110</v>
      </c>
      <c r="S12083" t="s">
        <v>45605</v>
      </c>
      <c r="T12083" t="s">
        <v>46994</v>
      </c>
      <c r="U12083" t="s">
        <v>57347</v>
      </c>
      <c r="W12083" t="s">
        <v>44718</v>
      </c>
      <c r="X12083" t="s">
        <v>45111</v>
      </c>
    </row>
    <row r="12084" spans="1:24">
      <c r="A12084">
        <f>HYPERLINK("https://www.philgeps.gov.ph/GEPSNONPILOT/Tender/SplashBidNoticeAbstractUI.aspx?menuIndex=3&amp;refID=7023768&amp;Result=3","7023768")</f>
        <v>0</v>
      </c>
      <c r="B12084" t="s">
        <v>143</v>
      </c>
      <c r="C12084" t="s">
        <v>14743</v>
      </c>
      <c r="D12084" t="s">
        <v>18075</v>
      </c>
      <c r="E12084" t="s">
        <v>28560</v>
      </c>
      <c r="F12084" t="s">
        <v>31574</v>
      </c>
      <c r="G12084" t="s">
        <v>31582</v>
      </c>
      <c r="H12084" t="s">
        <v>31591</v>
      </c>
      <c r="I12084" t="s">
        <v>8822</v>
      </c>
      <c r="J12084" t="s">
        <v>32232</v>
      </c>
      <c r="K12084" t="s">
        <v>41276</v>
      </c>
      <c r="M12084" t="s">
        <v>41627</v>
      </c>
      <c r="N12084" t="s">
        <v>45095</v>
      </c>
      <c r="O12084" t="s">
        <v>45096</v>
      </c>
      <c r="P12084">
        <v>0</v>
      </c>
      <c r="Q12084">
        <v>0</v>
      </c>
      <c r="R12084" t="s">
        <v>45110</v>
      </c>
      <c r="S12084" t="s">
        <v>45605</v>
      </c>
      <c r="T12084" t="s">
        <v>47303</v>
      </c>
      <c r="U12084" t="s">
        <v>57348</v>
      </c>
      <c r="W12084" t="s">
        <v>41627</v>
      </c>
      <c r="X12084" t="s">
        <v>45111</v>
      </c>
    </row>
    <row r="12085" spans="1:24">
      <c r="A12085">
        <f>HYPERLINK("https://www.philgeps.gov.ph/GEPSNONPILOT/Tender/SplashBidNoticeAbstractUI.aspx?menuIndex=3&amp;refID=7023767&amp;Result=3","7023767")</f>
        <v>0</v>
      </c>
      <c r="B12085" t="s">
        <v>1492</v>
      </c>
      <c r="C12085" t="s">
        <v>14744</v>
      </c>
      <c r="D12085" t="s">
        <v>18072</v>
      </c>
      <c r="E12085" t="s">
        <v>28561</v>
      </c>
      <c r="F12085" t="s">
        <v>31574</v>
      </c>
      <c r="G12085" t="s">
        <v>31582</v>
      </c>
      <c r="H12085" t="s">
        <v>31591</v>
      </c>
      <c r="I12085" t="s">
        <v>8822</v>
      </c>
      <c r="J12085" t="s">
        <v>39196</v>
      </c>
      <c r="K12085" t="s">
        <v>41189</v>
      </c>
      <c r="M12085" t="s">
        <v>43077</v>
      </c>
      <c r="N12085" t="s">
        <v>45095</v>
      </c>
      <c r="O12085" t="s">
        <v>45096</v>
      </c>
      <c r="Q12085">
        <v>1</v>
      </c>
      <c r="R12085" t="s">
        <v>45110</v>
      </c>
      <c r="S12085" t="s">
        <v>45663</v>
      </c>
      <c r="T12085" t="s">
        <v>47391</v>
      </c>
      <c r="U12085" t="s">
        <v>57349</v>
      </c>
      <c r="W12085" t="s">
        <v>43077</v>
      </c>
      <c r="X12085" t="s">
        <v>45111</v>
      </c>
    </row>
    <row r="12086" spans="1:24">
      <c r="A12086">
        <f>HYPERLINK("https://www.philgeps.gov.ph/GEPSNONPILOT/Tender/SplashBidNoticeAbstractUI.aspx?menuIndex=3&amp;refID=7023775&amp;Result=3","7023775")</f>
        <v>0</v>
      </c>
      <c r="B12086" t="s">
        <v>2917</v>
      </c>
      <c r="C12086" t="s">
        <v>14745</v>
      </c>
      <c r="D12086" t="s">
        <v>18028</v>
      </c>
      <c r="E12086" t="s">
        <v>28562</v>
      </c>
      <c r="F12086" t="s">
        <v>31574</v>
      </c>
      <c r="G12086" t="s">
        <v>31582</v>
      </c>
      <c r="H12086" t="s">
        <v>31591</v>
      </c>
      <c r="I12086" t="s">
        <v>8822</v>
      </c>
      <c r="J12086" t="s">
        <v>39197</v>
      </c>
      <c r="K12086" t="s">
        <v>41200</v>
      </c>
      <c r="M12086" t="s">
        <v>44718</v>
      </c>
      <c r="N12086" t="s">
        <v>45095</v>
      </c>
      <c r="O12086" t="s">
        <v>45096</v>
      </c>
      <c r="P12086">
        <v>0</v>
      </c>
      <c r="Q12086">
        <v>5</v>
      </c>
      <c r="R12086" t="s">
        <v>45110</v>
      </c>
      <c r="S12086" t="s">
        <v>45605</v>
      </c>
      <c r="T12086" t="s">
        <v>46938</v>
      </c>
      <c r="U12086" t="s">
        <v>57350</v>
      </c>
      <c r="W12086" t="s">
        <v>44718</v>
      </c>
      <c r="X12086" t="s">
        <v>45111</v>
      </c>
    </row>
    <row r="12087" spans="1:24">
      <c r="A12087">
        <f>HYPERLINK("https://www.philgeps.gov.ph/GEPSNONPILOT/Tender/SplashBidNoticeAbstractUI.aspx?menuIndex=3&amp;refID=7023733&amp;Result=3","7023733")</f>
        <v>0</v>
      </c>
      <c r="B12087" t="s">
        <v>72</v>
      </c>
      <c r="C12087" t="s">
        <v>14746</v>
      </c>
      <c r="D12087" t="s">
        <v>18022</v>
      </c>
      <c r="E12087" t="s">
        <v>20111</v>
      </c>
      <c r="F12087" t="s">
        <v>31574</v>
      </c>
      <c r="G12087" t="s">
        <v>31582</v>
      </c>
      <c r="H12087" t="s">
        <v>31590</v>
      </c>
      <c r="I12087" t="s">
        <v>3487</v>
      </c>
      <c r="J12087" t="s">
        <v>32906</v>
      </c>
      <c r="K12087" t="s">
        <v>41198</v>
      </c>
      <c r="M12087" t="s">
        <v>41556</v>
      </c>
      <c r="N12087" t="s">
        <v>45095</v>
      </c>
      <c r="O12087" t="s">
        <v>45096</v>
      </c>
      <c r="Q12087">
        <v>7</v>
      </c>
      <c r="R12087" t="s">
        <v>45110</v>
      </c>
      <c r="S12087" t="s">
        <v>45664</v>
      </c>
      <c r="T12087" t="s">
        <v>46923</v>
      </c>
      <c r="U12087" t="s">
        <v>57351</v>
      </c>
      <c r="W12087" t="s">
        <v>41556</v>
      </c>
      <c r="X12087" t="s">
        <v>45111</v>
      </c>
    </row>
    <row r="12088" spans="1:24">
      <c r="A12088">
        <f>HYPERLINK("https://www.philgeps.gov.ph/GEPSNONPILOT/Tender/SplashBidNoticeAbstractUI.aspx?menuIndex=3&amp;refID=7023758&amp;Result=3","7023758")</f>
        <v>0</v>
      </c>
      <c r="B12088" t="s">
        <v>2763</v>
      </c>
      <c r="C12088" t="s">
        <v>14747</v>
      </c>
      <c r="D12088" t="s">
        <v>18048</v>
      </c>
      <c r="E12088" t="s">
        <v>28563</v>
      </c>
      <c r="F12088" t="s">
        <v>31574</v>
      </c>
      <c r="G12088" t="s">
        <v>31582</v>
      </c>
      <c r="H12088" t="s">
        <v>31590</v>
      </c>
      <c r="I12088" t="s">
        <v>31614</v>
      </c>
      <c r="J12088" t="s">
        <v>32085</v>
      </c>
      <c r="K12088" t="s">
        <v>41185</v>
      </c>
      <c r="M12088" t="s">
        <v>44535</v>
      </c>
      <c r="N12088" t="s">
        <v>45095</v>
      </c>
      <c r="O12088" t="s">
        <v>45096</v>
      </c>
      <c r="P12088">
        <v>0</v>
      </c>
      <c r="Q12088">
        <v>2</v>
      </c>
      <c r="R12088" t="s">
        <v>45110</v>
      </c>
      <c r="S12088" t="s">
        <v>45605</v>
      </c>
      <c r="T12088" t="s">
        <v>46966</v>
      </c>
      <c r="U12088" t="s">
        <v>57342</v>
      </c>
      <c r="W12088" t="s">
        <v>44535</v>
      </c>
      <c r="X12088" t="s">
        <v>45111</v>
      </c>
    </row>
    <row r="12089" spans="1:24">
      <c r="A12089">
        <f>HYPERLINK("https://www.philgeps.gov.ph/GEPSNONPILOT/Tender/SplashBidNoticeAbstractUI.aspx?menuIndex=3&amp;refID=7023769&amp;Result=3","7023769")</f>
        <v>0</v>
      </c>
      <c r="B12089" t="s">
        <v>1029</v>
      </c>
      <c r="C12089" t="s">
        <v>14748</v>
      </c>
      <c r="E12089" t="s">
        <v>28564</v>
      </c>
      <c r="F12089" t="s">
        <v>31574</v>
      </c>
      <c r="G12089" t="s">
        <v>31582</v>
      </c>
      <c r="H12089" t="s">
        <v>31590</v>
      </c>
      <c r="I12089" t="s">
        <v>3487</v>
      </c>
      <c r="J12089" t="s">
        <v>31890</v>
      </c>
      <c r="K12089" t="s">
        <v>41184</v>
      </c>
      <c r="M12089" t="s">
        <v>44721</v>
      </c>
      <c r="N12089" t="s">
        <v>45095</v>
      </c>
      <c r="O12089" t="s">
        <v>45096</v>
      </c>
      <c r="P12089">
        <v>0</v>
      </c>
      <c r="Q12089">
        <v>6</v>
      </c>
      <c r="R12089" t="s">
        <v>45110</v>
      </c>
      <c r="S12089" t="s">
        <v>45605</v>
      </c>
      <c r="T12089" t="s">
        <v>47183</v>
      </c>
      <c r="U12089" t="s">
        <v>57352</v>
      </c>
      <c r="W12089" t="s">
        <v>44721</v>
      </c>
      <c r="X12089" t="s">
        <v>45111</v>
      </c>
    </row>
    <row r="12090" spans="1:24">
      <c r="A12090">
        <f>HYPERLINK("https://www.philgeps.gov.ph/GEPSNONPILOT/Tender/SplashBidNoticeAbstractUI.aspx?menuIndex=3&amp;refID=7023801&amp;Result=3","7023801")</f>
        <v>0</v>
      </c>
      <c r="B12090" t="s">
        <v>2917</v>
      </c>
      <c r="C12090" t="s">
        <v>14749</v>
      </c>
      <c r="D12090" t="s">
        <v>18028</v>
      </c>
      <c r="E12090" t="s">
        <v>28565</v>
      </c>
      <c r="F12090" t="s">
        <v>31574</v>
      </c>
      <c r="G12090" t="s">
        <v>31582</v>
      </c>
      <c r="H12090" t="s">
        <v>31591</v>
      </c>
      <c r="I12090" t="s">
        <v>8822</v>
      </c>
      <c r="J12090" t="s">
        <v>39198</v>
      </c>
      <c r="K12090" t="s">
        <v>41243</v>
      </c>
      <c r="M12090" t="s">
        <v>44718</v>
      </c>
      <c r="N12090" t="s">
        <v>45095</v>
      </c>
      <c r="O12090" t="s">
        <v>45096</v>
      </c>
      <c r="P12090">
        <v>0</v>
      </c>
      <c r="Q12090">
        <v>6</v>
      </c>
      <c r="R12090" t="s">
        <v>45110</v>
      </c>
      <c r="S12090" t="s">
        <v>45605</v>
      </c>
      <c r="T12090" t="s">
        <v>47407</v>
      </c>
      <c r="U12090" t="s">
        <v>57353</v>
      </c>
      <c r="W12090" t="s">
        <v>44718</v>
      </c>
      <c r="X12090" t="s">
        <v>45111</v>
      </c>
    </row>
    <row r="12091" spans="1:24">
      <c r="A12091">
        <f>HYPERLINK("https://www.philgeps.gov.ph/GEPSNONPILOT/Tender/SplashBidNoticeAbstractUI.aspx?menuIndex=3&amp;refID=7023762&amp;Result=3","7023762")</f>
        <v>0</v>
      </c>
      <c r="B12091" t="s">
        <v>72</v>
      </c>
      <c r="C12091" t="s">
        <v>14750</v>
      </c>
      <c r="D12091" t="s">
        <v>18022</v>
      </c>
      <c r="E12091" t="s">
        <v>19792</v>
      </c>
      <c r="F12091" t="s">
        <v>31574</v>
      </c>
      <c r="G12091" t="s">
        <v>31582</v>
      </c>
      <c r="H12091" t="s">
        <v>31590</v>
      </c>
      <c r="I12091" t="s">
        <v>31639</v>
      </c>
      <c r="J12091" t="s">
        <v>33279</v>
      </c>
      <c r="K12091" t="s">
        <v>41200</v>
      </c>
      <c r="M12091" t="s">
        <v>41556</v>
      </c>
      <c r="N12091" t="s">
        <v>45095</v>
      </c>
      <c r="O12091" t="s">
        <v>45096</v>
      </c>
      <c r="Q12091">
        <v>16</v>
      </c>
      <c r="R12091" t="s">
        <v>45110</v>
      </c>
      <c r="S12091" t="s">
        <v>45665</v>
      </c>
      <c r="T12091" t="s">
        <v>47123</v>
      </c>
      <c r="U12091" t="s">
        <v>57354</v>
      </c>
      <c r="W12091" t="s">
        <v>41556</v>
      </c>
      <c r="X12091" t="s">
        <v>45111</v>
      </c>
    </row>
    <row r="12092" spans="1:24">
      <c r="A12092">
        <f>HYPERLINK("https://www.philgeps.gov.ph/GEPSNONPILOT/Tender/SplashBidNoticeAbstractUI.aspx?menuIndex=3&amp;refID=7023752&amp;Result=3","7023752")</f>
        <v>0</v>
      </c>
      <c r="B12092" t="s">
        <v>2919</v>
      </c>
      <c r="C12092" t="s">
        <v>14751</v>
      </c>
      <c r="D12092" t="s">
        <v>18072</v>
      </c>
      <c r="E12092" t="s">
        <v>28566</v>
      </c>
      <c r="F12092" t="s">
        <v>31574</v>
      </c>
      <c r="G12092" t="s">
        <v>31582</v>
      </c>
      <c r="H12092" t="s">
        <v>31590</v>
      </c>
      <c r="I12092" t="s">
        <v>6800</v>
      </c>
      <c r="J12092" t="s">
        <v>39199</v>
      </c>
      <c r="K12092" t="s">
        <v>41186</v>
      </c>
      <c r="M12092" t="s">
        <v>44722</v>
      </c>
      <c r="N12092" t="s">
        <v>45095</v>
      </c>
      <c r="O12092" t="s">
        <v>45096</v>
      </c>
      <c r="P12092">
        <v>0</v>
      </c>
      <c r="Q12092">
        <v>0</v>
      </c>
      <c r="R12092" t="s">
        <v>45110</v>
      </c>
      <c r="S12092" t="s">
        <v>45605</v>
      </c>
      <c r="T12092" t="s">
        <v>47408</v>
      </c>
      <c r="U12092" t="s">
        <v>57355</v>
      </c>
      <c r="W12092" t="s">
        <v>44722</v>
      </c>
      <c r="X12092" t="s">
        <v>45111</v>
      </c>
    </row>
    <row r="12093" spans="1:24">
      <c r="A12093">
        <f>HYPERLINK("https://www.philgeps.gov.ph/GEPSNONPILOT/Tender/SplashBidNoticeAbstractUI.aspx?menuIndex=3&amp;refID=7023778&amp;Result=3","7023778")</f>
        <v>0</v>
      </c>
      <c r="B12093" t="s">
        <v>1927</v>
      </c>
      <c r="C12093" t="s">
        <v>14752</v>
      </c>
      <c r="D12093" t="s">
        <v>18039</v>
      </c>
      <c r="E12093" t="s">
        <v>28567</v>
      </c>
      <c r="F12093" t="s">
        <v>31574</v>
      </c>
      <c r="G12093" t="s">
        <v>31582</v>
      </c>
      <c r="H12093" t="s">
        <v>31590</v>
      </c>
      <c r="I12093" t="s">
        <v>7185</v>
      </c>
      <c r="J12093" t="s">
        <v>39200</v>
      </c>
      <c r="K12093" t="s">
        <v>41184</v>
      </c>
      <c r="M12093" t="s">
        <v>43580</v>
      </c>
      <c r="N12093" t="s">
        <v>45095</v>
      </c>
      <c r="O12093" t="s">
        <v>45096</v>
      </c>
      <c r="P12093">
        <v>0</v>
      </c>
      <c r="Q12093">
        <v>5</v>
      </c>
      <c r="R12093" t="s">
        <v>45110</v>
      </c>
      <c r="S12093" t="s">
        <v>45605</v>
      </c>
      <c r="T12093" t="s">
        <v>47079</v>
      </c>
      <c r="U12093" t="s">
        <v>57356</v>
      </c>
      <c r="W12093" t="s">
        <v>43580</v>
      </c>
      <c r="X12093" t="s">
        <v>45111</v>
      </c>
    </row>
    <row r="12094" spans="1:24">
      <c r="A12094">
        <f>HYPERLINK("https://www.philgeps.gov.ph/GEPSNONPILOT/Tender/SplashBidNoticeAbstractUI.aspx?menuIndex=3&amp;refID=7023812&amp;Result=3","7023812")</f>
        <v>0</v>
      </c>
      <c r="B12094" t="s">
        <v>780</v>
      </c>
      <c r="C12094" t="s">
        <v>14753</v>
      </c>
      <c r="D12094" t="s">
        <v>18034</v>
      </c>
      <c r="E12094" t="s">
        <v>28568</v>
      </c>
      <c r="F12094" t="s">
        <v>31574</v>
      </c>
      <c r="G12094" t="s">
        <v>31582</v>
      </c>
      <c r="H12094" t="s">
        <v>31591</v>
      </c>
      <c r="I12094" t="s">
        <v>8822</v>
      </c>
      <c r="J12094" t="s">
        <v>39201</v>
      </c>
      <c r="K12094" t="s">
        <v>41189</v>
      </c>
      <c r="L12094" t="s">
        <v>780</v>
      </c>
      <c r="M12094" t="s">
        <v>42294</v>
      </c>
      <c r="N12094" t="s">
        <v>45095</v>
      </c>
      <c r="O12094" t="s">
        <v>45096</v>
      </c>
      <c r="P12094">
        <v>0</v>
      </c>
      <c r="Q12094">
        <v>0</v>
      </c>
      <c r="R12094" t="s">
        <v>45110</v>
      </c>
      <c r="S12094" t="s">
        <v>45605</v>
      </c>
      <c r="T12094" t="s">
        <v>46926</v>
      </c>
      <c r="U12094" t="s">
        <v>57357</v>
      </c>
      <c r="V12094" t="s">
        <v>61170</v>
      </c>
      <c r="W12094" t="s">
        <v>42294</v>
      </c>
      <c r="X12094" t="s">
        <v>45111</v>
      </c>
    </row>
    <row r="12095" spans="1:24">
      <c r="A12095">
        <f>HYPERLINK("https://www.philgeps.gov.ph/GEPSNONPILOT/Tender/SplashBidNoticeAbstractUI.aspx?menuIndex=3&amp;refID=7023802&amp;Result=3","7023802")</f>
        <v>0</v>
      </c>
      <c r="B12095" t="s">
        <v>797</v>
      </c>
      <c r="C12095" t="s">
        <v>14754</v>
      </c>
      <c r="D12095" t="s">
        <v>18056</v>
      </c>
      <c r="E12095" t="s">
        <v>28569</v>
      </c>
      <c r="F12095" t="s">
        <v>31574</v>
      </c>
      <c r="G12095" t="s">
        <v>31582</v>
      </c>
      <c r="H12095" t="s">
        <v>31591</v>
      </c>
      <c r="I12095" t="s">
        <v>8822</v>
      </c>
      <c r="J12095" t="s">
        <v>33193</v>
      </c>
      <c r="K12095" t="s">
        <v>41198</v>
      </c>
      <c r="M12095" t="s">
        <v>42325</v>
      </c>
      <c r="N12095" t="s">
        <v>45095</v>
      </c>
      <c r="O12095" t="s">
        <v>45096</v>
      </c>
      <c r="Q12095">
        <v>14</v>
      </c>
      <c r="R12095" t="s">
        <v>45110</v>
      </c>
      <c r="S12095" t="s">
        <v>45666</v>
      </c>
      <c r="T12095" t="s">
        <v>47409</v>
      </c>
      <c r="U12095" t="s">
        <v>57358</v>
      </c>
      <c r="V12095" t="s">
        <v>60050</v>
      </c>
      <c r="W12095" t="s">
        <v>42325</v>
      </c>
      <c r="X12095" t="s">
        <v>45111</v>
      </c>
    </row>
    <row r="12096" spans="1:24">
      <c r="A12096">
        <f>HYPERLINK("https://www.philgeps.gov.ph/GEPSNONPILOT/Tender/SplashBidNoticeAbstractUI.aspx?menuIndex=3&amp;refID=7023777&amp;Result=3","7023777")</f>
        <v>0</v>
      </c>
      <c r="B12096" t="s">
        <v>115</v>
      </c>
      <c r="C12096" t="s">
        <v>14755</v>
      </c>
      <c r="D12096" t="s">
        <v>18040</v>
      </c>
      <c r="E12096" t="s">
        <v>28570</v>
      </c>
      <c r="F12096" t="s">
        <v>31574</v>
      </c>
      <c r="G12096" t="s">
        <v>31582</v>
      </c>
      <c r="H12096" t="s">
        <v>31590</v>
      </c>
      <c r="I12096" t="s">
        <v>31615</v>
      </c>
      <c r="J12096" t="s">
        <v>33327</v>
      </c>
      <c r="K12096" t="s">
        <v>41186</v>
      </c>
      <c r="M12096" t="s">
        <v>41599</v>
      </c>
      <c r="N12096" t="s">
        <v>45095</v>
      </c>
      <c r="O12096" t="s">
        <v>45096</v>
      </c>
      <c r="P12096">
        <v>0</v>
      </c>
      <c r="Q12096">
        <v>7</v>
      </c>
      <c r="R12096" t="s">
        <v>45110</v>
      </c>
      <c r="S12096" t="s">
        <v>45605</v>
      </c>
      <c r="T12096" t="s">
        <v>46932</v>
      </c>
      <c r="U12096" t="s">
        <v>57359</v>
      </c>
      <c r="V12096" t="s">
        <v>60322</v>
      </c>
      <c r="W12096" t="s">
        <v>41599</v>
      </c>
      <c r="X12096" t="s">
        <v>45111</v>
      </c>
    </row>
    <row r="12097" spans="1:24">
      <c r="A12097">
        <f>HYPERLINK("https://www.philgeps.gov.ph/GEPSNONPILOT/Tender/SplashBidNoticeAbstractUI.aspx?menuIndex=3&amp;refID=7023808&amp;Result=3","7023808")</f>
        <v>0</v>
      </c>
      <c r="B12097" t="s">
        <v>961</v>
      </c>
      <c r="C12097" t="s">
        <v>14756</v>
      </c>
      <c r="D12097" t="s">
        <v>18023</v>
      </c>
      <c r="E12097" t="s">
        <v>28571</v>
      </c>
      <c r="F12097" t="s">
        <v>31574</v>
      </c>
      <c r="G12097" t="s">
        <v>31582</v>
      </c>
      <c r="H12097" t="s">
        <v>31590</v>
      </c>
      <c r="I12097" t="s">
        <v>31619</v>
      </c>
      <c r="J12097" t="s">
        <v>39202</v>
      </c>
      <c r="K12097" t="s">
        <v>41185</v>
      </c>
      <c r="M12097" t="s">
        <v>44719</v>
      </c>
      <c r="N12097" t="s">
        <v>45095</v>
      </c>
      <c r="O12097" t="s">
        <v>45096</v>
      </c>
      <c r="P12097">
        <v>0</v>
      </c>
      <c r="Q12097">
        <v>16</v>
      </c>
      <c r="R12097" t="s">
        <v>45110</v>
      </c>
      <c r="S12097" t="s">
        <v>45605</v>
      </c>
      <c r="T12097" t="s">
        <v>47093</v>
      </c>
      <c r="U12097" t="s">
        <v>57360</v>
      </c>
      <c r="W12097" t="s">
        <v>44719</v>
      </c>
      <c r="X12097" t="s">
        <v>45111</v>
      </c>
    </row>
    <row r="12098" spans="1:24">
      <c r="A12098">
        <f>HYPERLINK("https://www.philgeps.gov.ph/GEPSNONPILOT/Tender/SplashBidNoticeAbstractUI.aspx?menuIndex=3&amp;refID=7023820&amp;Result=3","7023820")</f>
        <v>0</v>
      </c>
      <c r="B12098" t="s">
        <v>72</v>
      </c>
      <c r="C12098" t="s">
        <v>14757</v>
      </c>
      <c r="D12098" t="s">
        <v>18022</v>
      </c>
      <c r="E12098" t="s">
        <v>19127</v>
      </c>
      <c r="F12098" t="s">
        <v>31574</v>
      </c>
      <c r="G12098" t="s">
        <v>31582</v>
      </c>
      <c r="H12098" t="s">
        <v>31590</v>
      </c>
      <c r="I12098" t="s">
        <v>31705</v>
      </c>
      <c r="J12098" t="s">
        <v>31730</v>
      </c>
      <c r="K12098" t="s">
        <v>41198</v>
      </c>
      <c r="M12098" t="s">
        <v>41556</v>
      </c>
      <c r="N12098" t="s">
        <v>45095</v>
      </c>
      <c r="O12098" t="s">
        <v>45096</v>
      </c>
      <c r="Q12098">
        <v>4</v>
      </c>
      <c r="R12098" t="s">
        <v>45110</v>
      </c>
      <c r="S12098" t="s">
        <v>45667</v>
      </c>
      <c r="T12098" t="s">
        <v>46928</v>
      </c>
      <c r="U12098" t="s">
        <v>57361</v>
      </c>
      <c r="W12098" t="s">
        <v>41556</v>
      </c>
      <c r="X12098" t="s">
        <v>45111</v>
      </c>
    </row>
    <row r="12099" spans="1:24">
      <c r="A12099">
        <f>HYPERLINK("https://www.philgeps.gov.ph/GEPSNONPILOT/Tender/SplashBidNoticeAbstractUI.aspx?menuIndex=3&amp;refID=7023805&amp;Result=3","7023805")</f>
        <v>0</v>
      </c>
      <c r="B12099" t="s">
        <v>72</v>
      </c>
      <c r="C12099" t="s">
        <v>14758</v>
      </c>
      <c r="D12099" t="s">
        <v>18022</v>
      </c>
      <c r="E12099" t="s">
        <v>18975</v>
      </c>
      <c r="F12099" t="s">
        <v>31574</v>
      </c>
      <c r="G12099" t="s">
        <v>31582</v>
      </c>
      <c r="H12099" t="s">
        <v>31590</v>
      </c>
      <c r="I12099" t="s">
        <v>31594</v>
      </c>
      <c r="J12099" t="s">
        <v>39203</v>
      </c>
      <c r="K12099" t="s">
        <v>41198</v>
      </c>
      <c r="M12099" t="s">
        <v>41556</v>
      </c>
      <c r="N12099" t="s">
        <v>45095</v>
      </c>
      <c r="O12099" t="s">
        <v>45096</v>
      </c>
      <c r="Q12099">
        <v>25</v>
      </c>
      <c r="R12099" t="s">
        <v>45110</v>
      </c>
      <c r="S12099" t="s">
        <v>45668</v>
      </c>
      <c r="T12099" t="s">
        <v>46926</v>
      </c>
      <c r="U12099" t="s">
        <v>57362</v>
      </c>
      <c r="W12099" t="s">
        <v>41556</v>
      </c>
      <c r="X12099" t="s">
        <v>45111</v>
      </c>
    </row>
    <row r="12100" spans="1:24">
      <c r="A12100">
        <f>HYPERLINK("https://www.philgeps.gov.ph/GEPSNONPILOT/Tender/SplashBidNoticeAbstractUI.aspx?menuIndex=3&amp;refID=7023819&amp;Result=3","7023819")</f>
        <v>0</v>
      </c>
      <c r="B12100" t="s">
        <v>450</v>
      </c>
      <c r="C12100" t="s">
        <v>14759</v>
      </c>
      <c r="D12100" t="s">
        <v>18039</v>
      </c>
      <c r="E12100" t="s">
        <v>28572</v>
      </c>
      <c r="F12100" t="s">
        <v>31574</v>
      </c>
      <c r="G12100" t="s">
        <v>31582</v>
      </c>
      <c r="H12100" t="s">
        <v>31591</v>
      </c>
      <c r="I12100" t="s">
        <v>8822</v>
      </c>
      <c r="J12100" t="s">
        <v>33574</v>
      </c>
      <c r="K12100" t="s">
        <v>41200</v>
      </c>
      <c r="M12100" t="s">
        <v>41944</v>
      </c>
      <c r="N12100" t="s">
        <v>45095</v>
      </c>
      <c r="O12100" t="s">
        <v>45096</v>
      </c>
      <c r="P12100">
        <v>0</v>
      </c>
      <c r="Q12100">
        <v>0</v>
      </c>
      <c r="R12100" t="s">
        <v>45110</v>
      </c>
      <c r="S12100" t="s">
        <v>45605</v>
      </c>
      <c r="T12100" t="s">
        <v>46979</v>
      </c>
      <c r="U12100" t="s">
        <v>57234</v>
      </c>
      <c r="W12100" t="s">
        <v>41944</v>
      </c>
      <c r="X12100" t="s">
        <v>45111</v>
      </c>
    </row>
    <row r="12101" spans="1:24">
      <c r="A12101">
        <f>HYPERLINK("https://www.philgeps.gov.ph/GEPSNONPILOT/Tender/SplashBidNoticeAbstractUI.aspx?menuIndex=3&amp;refID=7023854&amp;Result=3","7023854")</f>
        <v>0</v>
      </c>
      <c r="B12101" t="s">
        <v>2919</v>
      </c>
      <c r="C12101" t="s">
        <v>14760</v>
      </c>
      <c r="D12101" t="s">
        <v>18072</v>
      </c>
      <c r="E12101" t="s">
        <v>28573</v>
      </c>
      <c r="F12101" t="s">
        <v>31574</v>
      </c>
      <c r="G12101" t="s">
        <v>31582</v>
      </c>
      <c r="H12101" t="s">
        <v>31590</v>
      </c>
      <c r="I12101" t="s">
        <v>31610</v>
      </c>
      <c r="J12101" t="s">
        <v>39204</v>
      </c>
      <c r="K12101" t="s">
        <v>41186</v>
      </c>
      <c r="M12101" t="s">
        <v>44722</v>
      </c>
      <c r="N12101" t="s">
        <v>45095</v>
      </c>
      <c r="O12101" t="s">
        <v>45096</v>
      </c>
      <c r="P12101">
        <v>0</v>
      </c>
      <c r="Q12101">
        <v>0</v>
      </c>
      <c r="R12101" t="s">
        <v>45110</v>
      </c>
      <c r="S12101" t="s">
        <v>45605</v>
      </c>
      <c r="T12101" t="s">
        <v>47091</v>
      </c>
      <c r="U12101" t="s">
        <v>57363</v>
      </c>
      <c r="W12101" t="s">
        <v>44722</v>
      </c>
      <c r="X12101" t="s">
        <v>45111</v>
      </c>
    </row>
    <row r="12102" spans="1:24">
      <c r="A12102">
        <f>HYPERLINK("https://www.philgeps.gov.ph/GEPSNONPILOT/Tender/SplashBidNoticeAbstractUI.aspx?menuIndex=3&amp;refID=7023809&amp;Result=3","7023809")</f>
        <v>0</v>
      </c>
      <c r="B12102" t="s">
        <v>1978</v>
      </c>
      <c r="C12102" t="s">
        <v>14761</v>
      </c>
      <c r="D12102" t="s">
        <v>18079</v>
      </c>
      <c r="E12102" t="s">
        <v>28574</v>
      </c>
      <c r="F12102" t="s">
        <v>31574</v>
      </c>
      <c r="G12102" t="s">
        <v>31588</v>
      </c>
      <c r="H12102" t="s">
        <v>31591</v>
      </c>
      <c r="I12102" t="s">
        <v>8822</v>
      </c>
      <c r="J12102" t="s">
        <v>33301</v>
      </c>
      <c r="K12102" t="s">
        <v>41245</v>
      </c>
      <c r="M12102" t="s">
        <v>43635</v>
      </c>
      <c r="N12102" t="s">
        <v>45095</v>
      </c>
      <c r="O12102" t="s">
        <v>45096</v>
      </c>
      <c r="P12102">
        <v>0</v>
      </c>
      <c r="Q12102">
        <v>3</v>
      </c>
      <c r="R12102" t="s">
        <v>45110</v>
      </c>
      <c r="S12102" t="s">
        <v>45605</v>
      </c>
      <c r="T12102" t="s">
        <v>46979</v>
      </c>
      <c r="U12102" t="s">
        <v>49578</v>
      </c>
      <c r="W12102" t="s">
        <v>43635</v>
      </c>
      <c r="X12102" t="s">
        <v>45111</v>
      </c>
    </row>
    <row r="12103" spans="1:24">
      <c r="A12103">
        <f>HYPERLINK("https://www.philgeps.gov.ph/GEPSNONPILOT/Tender/SplashBidNoticeAbstractUI.aspx?menuIndex=3&amp;refID=7023852&amp;Result=3","7023852")</f>
        <v>0</v>
      </c>
      <c r="B12103" t="s">
        <v>2920</v>
      </c>
      <c r="C12103" t="s">
        <v>14762</v>
      </c>
      <c r="D12103" t="s">
        <v>18095</v>
      </c>
      <c r="E12103" t="s">
        <v>26084</v>
      </c>
      <c r="F12103" t="s">
        <v>31574</v>
      </c>
      <c r="G12103" t="s">
        <v>31582</v>
      </c>
      <c r="H12103" t="s">
        <v>31592</v>
      </c>
      <c r="I12103" t="s">
        <v>3651</v>
      </c>
      <c r="J12103" t="s">
        <v>39205</v>
      </c>
      <c r="K12103" t="s">
        <v>41225</v>
      </c>
      <c r="M12103" t="s">
        <v>44723</v>
      </c>
      <c r="N12103" t="s">
        <v>45095</v>
      </c>
      <c r="O12103" t="s">
        <v>45096</v>
      </c>
      <c r="Q12103">
        <v>7</v>
      </c>
      <c r="R12103" t="s">
        <v>45110</v>
      </c>
      <c r="S12103" t="s">
        <v>45669</v>
      </c>
      <c r="T12103" t="s">
        <v>46955</v>
      </c>
      <c r="U12103" t="s">
        <v>57364</v>
      </c>
      <c r="W12103" t="s">
        <v>44723</v>
      </c>
      <c r="X12103" t="s">
        <v>45111</v>
      </c>
    </row>
    <row r="12104" spans="1:24">
      <c r="A12104">
        <f>HYPERLINK("https://www.philgeps.gov.ph/GEPSNONPILOT/Tender/SplashBidNoticeAbstractUI.aspx?menuIndex=3&amp;refID=7023845&amp;Result=3","7023845")</f>
        <v>0</v>
      </c>
      <c r="B12104" t="s">
        <v>143</v>
      </c>
      <c r="C12104" t="s">
        <v>14763</v>
      </c>
      <c r="D12104" t="s">
        <v>18075</v>
      </c>
      <c r="E12104" t="s">
        <v>28575</v>
      </c>
      <c r="F12104" t="s">
        <v>31574</v>
      </c>
      <c r="G12104" t="s">
        <v>31582</v>
      </c>
      <c r="H12104" t="s">
        <v>31591</v>
      </c>
      <c r="I12104" t="s">
        <v>8822</v>
      </c>
      <c r="J12104" t="s">
        <v>32019</v>
      </c>
      <c r="K12104" t="s">
        <v>41269</v>
      </c>
      <c r="M12104" t="s">
        <v>41627</v>
      </c>
      <c r="N12104" t="s">
        <v>45095</v>
      </c>
      <c r="O12104" t="s">
        <v>45096</v>
      </c>
      <c r="P12104">
        <v>0</v>
      </c>
      <c r="Q12104">
        <v>0</v>
      </c>
      <c r="R12104" t="s">
        <v>45110</v>
      </c>
      <c r="S12104" t="s">
        <v>45605</v>
      </c>
      <c r="T12104" t="s">
        <v>47303</v>
      </c>
      <c r="U12104" t="s">
        <v>57365</v>
      </c>
      <c r="W12104" t="s">
        <v>41627</v>
      </c>
      <c r="X12104" t="s">
        <v>45111</v>
      </c>
    </row>
    <row r="12105" spans="1:24">
      <c r="A12105">
        <f>HYPERLINK("https://www.philgeps.gov.ph/GEPSNONPILOT/Tender/SplashBidNoticeAbstractUI.aspx?menuIndex=3&amp;refID=7023823&amp;Result=3","7023823")</f>
        <v>0</v>
      </c>
      <c r="B12105" t="s">
        <v>1657</v>
      </c>
      <c r="C12105" t="s">
        <v>14764</v>
      </c>
      <c r="E12105" t="s">
        <v>28576</v>
      </c>
      <c r="F12105" t="s">
        <v>31574</v>
      </c>
      <c r="G12105" t="s">
        <v>31582</v>
      </c>
      <c r="H12105" t="s">
        <v>31591</v>
      </c>
      <c r="I12105" t="s">
        <v>8822</v>
      </c>
      <c r="J12105" t="s">
        <v>32799</v>
      </c>
      <c r="K12105" t="s">
        <v>41186</v>
      </c>
      <c r="M12105" t="s">
        <v>43269</v>
      </c>
      <c r="N12105" t="s">
        <v>45095</v>
      </c>
      <c r="O12105" t="s">
        <v>45096</v>
      </c>
      <c r="P12105">
        <v>0</v>
      </c>
      <c r="Q12105">
        <v>2</v>
      </c>
      <c r="R12105" t="s">
        <v>45110</v>
      </c>
      <c r="S12105" t="s">
        <v>45605</v>
      </c>
      <c r="T12105" t="s">
        <v>46926</v>
      </c>
      <c r="U12105" t="s">
        <v>57366</v>
      </c>
      <c r="W12105" t="s">
        <v>43269</v>
      </c>
      <c r="X12105" t="s">
        <v>45111</v>
      </c>
    </row>
    <row r="12106" spans="1:24">
      <c r="A12106">
        <f>HYPERLINK("https://www.philgeps.gov.ph/GEPSNONPILOT/Tender/SplashBidNoticeAbstractUI.aspx?menuIndex=3&amp;refID=7023828&amp;Result=3","7023828")</f>
        <v>0</v>
      </c>
      <c r="B12106" t="s">
        <v>780</v>
      </c>
      <c r="C12106" t="s">
        <v>14765</v>
      </c>
      <c r="D12106" t="s">
        <v>18034</v>
      </c>
      <c r="E12106" t="s">
        <v>28577</v>
      </c>
      <c r="F12106" t="s">
        <v>31574</v>
      </c>
      <c r="G12106" t="s">
        <v>31582</v>
      </c>
      <c r="H12106" t="s">
        <v>31591</v>
      </c>
      <c r="I12106" t="s">
        <v>8822</v>
      </c>
      <c r="J12106" t="s">
        <v>32419</v>
      </c>
      <c r="K12106" t="s">
        <v>41243</v>
      </c>
      <c r="L12106" t="s">
        <v>780</v>
      </c>
      <c r="M12106" t="s">
        <v>42294</v>
      </c>
      <c r="N12106" t="s">
        <v>45095</v>
      </c>
      <c r="O12106" t="s">
        <v>45096</v>
      </c>
      <c r="P12106">
        <v>0</v>
      </c>
      <c r="Q12106">
        <v>0</v>
      </c>
      <c r="R12106" t="s">
        <v>45110</v>
      </c>
      <c r="S12106" t="s">
        <v>45605</v>
      </c>
      <c r="T12106" t="s">
        <v>46926</v>
      </c>
      <c r="U12106" t="s">
        <v>57367</v>
      </c>
      <c r="V12106" t="s">
        <v>61171</v>
      </c>
      <c r="W12106" t="s">
        <v>42294</v>
      </c>
      <c r="X12106" t="s">
        <v>45111</v>
      </c>
    </row>
    <row r="12107" spans="1:24">
      <c r="A12107">
        <f>HYPERLINK("https://www.philgeps.gov.ph/GEPSNONPILOT/Tender/SplashBidNoticeAbstractUI.aspx?menuIndex=3&amp;refID=7023881&amp;Result=3","7023881")</f>
        <v>0</v>
      </c>
      <c r="B12107" t="s">
        <v>143</v>
      </c>
      <c r="C12107" t="s">
        <v>14766</v>
      </c>
      <c r="D12107" t="s">
        <v>18075</v>
      </c>
      <c r="E12107" t="s">
        <v>28578</v>
      </c>
      <c r="F12107" t="s">
        <v>31574</v>
      </c>
      <c r="G12107" t="s">
        <v>31582</v>
      </c>
      <c r="H12107" t="s">
        <v>31591</v>
      </c>
      <c r="I12107" t="s">
        <v>8822</v>
      </c>
      <c r="J12107" t="s">
        <v>39206</v>
      </c>
      <c r="K12107" t="s">
        <v>41276</v>
      </c>
      <c r="M12107" t="s">
        <v>41627</v>
      </c>
      <c r="N12107" t="s">
        <v>45095</v>
      </c>
      <c r="O12107" t="s">
        <v>45096</v>
      </c>
      <c r="P12107">
        <v>0</v>
      </c>
      <c r="Q12107">
        <v>0</v>
      </c>
      <c r="R12107" t="s">
        <v>45110</v>
      </c>
      <c r="S12107" t="s">
        <v>45605</v>
      </c>
      <c r="T12107" t="s">
        <v>47303</v>
      </c>
      <c r="U12107" t="s">
        <v>57368</v>
      </c>
      <c r="W12107" t="s">
        <v>41627</v>
      </c>
      <c r="X12107" t="s">
        <v>45111</v>
      </c>
    </row>
    <row r="12108" spans="1:24">
      <c r="A12108">
        <f>HYPERLINK("https://www.philgeps.gov.ph/GEPSNONPILOT/Tender/SplashBidNoticeAbstractUI.aspx?menuIndex=3&amp;refID=7023868&amp;Result=3","7023868")</f>
        <v>0</v>
      </c>
      <c r="B12108" t="s">
        <v>143</v>
      </c>
      <c r="C12108" t="s">
        <v>14767</v>
      </c>
      <c r="D12108" t="s">
        <v>18075</v>
      </c>
      <c r="E12108" t="s">
        <v>28579</v>
      </c>
      <c r="F12108" t="s">
        <v>31574</v>
      </c>
      <c r="G12108" t="s">
        <v>31582</v>
      </c>
      <c r="H12108" t="s">
        <v>31591</v>
      </c>
      <c r="I12108" t="s">
        <v>8822</v>
      </c>
      <c r="J12108" t="s">
        <v>32019</v>
      </c>
      <c r="K12108" t="s">
        <v>41303</v>
      </c>
      <c r="M12108" t="s">
        <v>41627</v>
      </c>
      <c r="N12108" t="s">
        <v>45095</v>
      </c>
      <c r="O12108" t="s">
        <v>45096</v>
      </c>
      <c r="P12108">
        <v>0</v>
      </c>
      <c r="Q12108">
        <v>0</v>
      </c>
      <c r="R12108" t="s">
        <v>45110</v>
      </c>
      <c r="S12108" t="s">
        <v>45605</v>
      </c>
      <c r="T12108" t="s">
        <v>47303</v>
      </c>
      <c r="U12108" t="s">
        <v>57369</v>
      </c>
      <c r="W12108" t="s">
        <v>41627</v>
      </c>
      <c r="X12108" t="s">
        <v>45111</v>
      </c>
    </row>
    <row r="12109" spans="1:24">
      <c r="A12109">
        <f>HYPERLINK("https://www.philgeps.gov.ph/GEPSNONPILOT/Tender/SplashBidNoticeAbstractUI.aspx?menuIndex=3&amp;refID=7023840&amp;Result=3","7023840")</f>
        <v>0</v>
      </c>
      <c r="B12109" t="s">
        <v>72</v>
      </c>
      <c r="C12109" t="s">
        <v>14768</v>
      </c>
      <c r="D12109" t="s">
        <v>18022</v>
      </c>
      <c r="E12109" t="s">
        <v>18169</v>
      </c>
      <c r="F12109" t="s">
        <v>31574</v>
      </c>
      <c r="G12109" t="s">
        <v>31582</v>
      </c>
      <c r="H12109" t="s">
        <v>31590</v>
      </c>
      <c r="I12109" t="s">
        <v>31612</v>
      </c>
      <c r="J12109" t="s">
        <v>39207</v>
      </c>
      <c r="K12109" t="s">
        <v>41200</v>
      </c>
      <c r="M12109" t="s">
        <v>41556</v>
      </c>
      <c r="N12109" t="s">
        <v>45095</v>
      </c>
      <c r="O12109" t="s">
        <v>45096</v>
      </c>
      <c r="Q12109">
        <v>16</v>
      </c>
      <c r="R12109" t="s">
        <v>45110</v>
      </c>
      <c r="S12109" t="s">
        <v>45670</v>
      </c>
      <c r="T12109" t="s">
        <v>47111</v>
      </c>
      <c r="U12109" t="s">
        <v>57370</v>
      </c>
      <c r="W12109" t="s">
        <v>41556</v>
      </c>
      <c r="X12109" t="s">
        <v>45111</v>
      </c>
    </row>
    <row r="12110" spans="1:24">
      <c r="A12110">
        <f>HYPERLINK("https://www.philgeps.gov.ph/GEPSNONPILOT/Tender/SplashBidNoticeAbstractUI.aspx?menuIndex=3&amp;refID=7023866&amp;Result=3","7023866")</f>
        <v>0</v>
      </c>
      <c r="B12110" t="s">
        <v>2919</v>
      </c>
      <c r="C12110" t="s">
        <v>14769</v>
      </c>
      <c r="D12110" t="s">
        <v>18072</v>
      </c>
      <c r="E12110" t="s">
        <v>28580</v>
      </c>
      <c r="F12110" t="s">
        <v>31574</v>
      </c>
      <c r="G12110" t="s">
        <v>31582</v>
      </c>
      <c r="H12110" t="s">
        <v>31590</v>
      </c>
      <c r="I12110" t="s">
        <v>31610</v>
      </c>
      <c r="J12110" t="s">
        <v>39092</v>
      </c>
      <c r="K12110" t="s">
        <v>41186</v>
      </c>
      <c r="M12110" t="s">
        <v>44722</v>
      </c>
      <c r="N12110" t="s">
        <v>45095</v>
      </c>
      <c r="O12110" t="s">
        <v>45096</v>
      </c>
      <c r="P12110">
        <v>0</v>
      </c>
      <c r="Q12110">
        <v>0</v>
      </c>
      <c r="R12110" t="s">
        <v>45110</v>
      </c>
      <c r="S12110" t="s">
        <v>45605</v>
      </c>
      <c r="T12110" t="s">
        <v>47410</v>
      </c>
      <c r="U12110" t="s">
        <v>57371</v>
      </c>
      <c r="W12110" t="s">
        <v>44722</v>
      </c>
      <c r="X12110" t="s">
        <v>45111</v>
      </c>
    </row>
    <row r="12111" spans="1:24">
      <c r="A12111">
        <f>HYPERLINK("https://www.philgeps.gov.ph/GEPSNONPILOT/Tender/SplashBidNoticeAbstractUI.aspx?menuIndex=3&amp;refID=7023865&amp;Result=3","7023865")</f>
        <v>0</v>
      </c>
      <c r="B12111" t="s">
        <v>780</v>
      </c>
      <c r="C12111" t="s">
        <v>14770</v>
      </c>
      <c r="D12111" t="s">
        <v>18034</v>
      </c>
      <c r="E12111" t="s">
        <v>28581</v>
      </c>
      <c r="F12111" t="s">
        <v>31574</v>
      </c>
      <c r="G12111" t="s">
        <v>31582</v>
      </c>
      <c r="H12111" t="s">
        <v>31591</v>
      </c>
      <c r="I12111" t="s">
        <v>8822</v>
      </c>
      <c r="J12111" t="s">
        <v>32739</v>
      </c>
      <c r="K12111" t="s">
        <v>41415</v>
      </c>
      <c r="L12111" t="s">
        <v>780</v>
      </c>
      <c r="M12111" t="s">
        <v>42294</v>
      </c>
      <c r="N12111" t="s">
        <v>45095</v>
      </c>
      <c r="O12111" t="s">
        <v>45096</v>
      </c>
      <c r="P12111">
        <v>0</v>
      </c>
      <c r="Q12111">
        <v>0</v>
      </c>
      <c r="R12111" t="s">
        <v>45110</v>
      </c>
      <c r="S12111" t="s">
        <v>45605</v>
      </c>
      <c r="T12111" t="s">
        <v>46926</v>
      </c>
      <c r="U12111" t="s">
        <v>57372</v>
      </c>
      <c r="V12111" t="s">
        <v>61172</v>
      </c>
      <c r="W12111" t="s">
        <v>42294</v>
      </c>
      <c r="X12111" t="s">
        <v>45111</v>
      </c>
    </row>
    <row r="12112" spans="1:24">
      <c r="A12112">
        <f>HYPERLINK("https://www.philgeps.gov.ph/GEPSNONPILOT/Tender/SplashBidNoticeAbstractUI.aspx?menuIndex=3&amp;refID=7023856&amp;Result=3","7023856")</f>
        <v>0</v>
      </c>
      <c r="B12112" t="s">
        <v>780</v>
      </c>
      <c r="C12112" t="s">
        <v>14771</v>
      </c>
      <c r="D12112" t="s">
        <v>18034</v>
      </c>
      <c r="E12112" t="s">
        <v>28582</v>
      </c>
      <c r="F12112" t="s">
        <v>31574</v>
      </c>
      <c r="G12112" t="s">
        <v>31582</v>
      </c>
      <c r="H12112" t="s">
        <v>31591</v>
      </c>
      <c r="I12112" t="s">
        <v>8822</v>
      </c>
      <c r="J12112" t="s">
        <v>39208</v>
      </c>
      <c r="K12112" t="s">
        <v>41203</v>
      </c>
      <c r="L12112" t="s">
        <v>780</v>
      </c>
      <c r="M12112" t="s">
        <v>42294</v>
      </c>
      <c r="N12112" t="s">
        <v>45095</v>
      </c>
      <c r="O12112" t="s">
        <v>45096</v>
      </c>
      <c r="P12112">
        <v>0</v>
      </c>
      <c r="Q12112">
        <v>0</v>
      </c>
      <c r="R12112" t="s">
        <v>45110</v>
      </c>
      <c r="S12112" t="s">
        <v>45605</v>
      </c>
      <c r="T12112" t="s">
        <v>46926</v>
      </c>
      <c r="U12112" t="s">
        <v>57373</v>
      </c>
      <c r="V12112" t="s">
        <v>61173</v>
      </c>
      <c r="W12112" t="s">
        <v>42294</v>
      </c>
      <c r="X12112" t="s">
        <v>45111</v>
      </c>
    </row>
    <row r="12113" spans="1:24">
      <c r="A12113">
        <f>HYPERLINK("https://www.philgeps.gov.ph/GEPSNONPILOT/Tender/SplashBidNoticeAbstractUI.aspx?menuIndex=3&amp;refID=7023872&amp;Result=3","7023872")</f>
        <v>0</v>
      </c>
      <c r="B12113" t="s">
        <v>72</v>
      </c>
      <c r="C12113" t="s">
        <v>14772</v>
      </c>
      <c r="D12113" t="s">
        <v>18022</v>
      </c>
      <c r="E12113" t="s">
        <v>22090</v>
      </c>
      <c r="F12113" t="s">
        <v>31574</v>
      </c>
      <c r="G12113" t="s">
        <v>31582</v>
      </c>
      <c r="H12113" t="s">
        <v>31590</v>
      </c>
      <c r="I12113" t="s">
        <v>31657</v>
      </c>
      <c r="J12113" t="s">
        <v>39209</v>
      </c>
      <c r="K12113" t="s">
        <v>41198</v>
      </c>
      <c r="M12113" t="s">
        <v>41556</v>
      </c>
      <c r="N12113" t="s">
        <v>45095</v>
      </c>
      <c r="O12113" t="s">
        <v>45096</v>
      </c>
      <c r="Q12113">
        <v>4</v>
      </c>
      <c r="R12113" t="s">
        <v>45110</v>
      </c>
      <c r="S12113" t="s">
        <v>45671</v>
      </c>
      <c r="T12113" t="s">
        <v>46994</v>
      </c>
      <c r="U12113" t="s">
        <v>57374</v>
      </c>
      <c r="W12113" t="s">
        <v>41556</v>
      </c>
      <c r="X12113" t="s">
        <v>45111</v>
      </c>
    </row>
    <row r="12114" spans="1:24">
      <c r="A12114">
        <f>HYPERLINK("https://www.philgeps.gov.ph/GEPSNONPILOT/Tender/SplashBidNoticeAbstractUI.aspx?menuIndex=3&amp;refID=7023864&amp;Result=3","7023864")</f>
        <v>0</v>
      </c>
      <c r="B12114" t="s">
        <v>72</v>
      </c>
      <c r="C12114" t="s">
        <v>14773</v>
      </c>
      <c r="D12114" t="s">
        <v>18022</v>
      </c>
      <c r="E12114" t="s">
        <v>18553</v>
      </c>
      <c r="F12114" t="s">
        <v>31574</v>
      </c>
      <c r="G12114" t="s">
        <v>31582</v>
      </c>
      <c r="H12114" t="s">
        <v>31590</v>
      </c>
      <c r="I12114" t="s">
        <v>31610</v>
      </c>
      <c r="J12114" t="s">
        <v>39210</v>
      </c>
      <c r="K12114" t="s">
        <v>41225</v>
      </c>
      <c r="M12114" t="s">
        <v>41556</v>
      </c>
      <c r="N12114" t="s">
        <v>45095</v>
      </c>
      <c r="O12114" t="s">
        <v>45096</v>
      </c>
      <c r="Q12114">
        <v>12</v>
      </c>
      <c r="R12114" t="s">
        <v>45110</v>
      </c>
      <c r="S12114" t="s">
        <v>45672</v>
      </c>
      <c r="T12114" t="s">
        <v>47411</v>
      </c>
      <c r="U12114" t="s">
        <v>57375</v>
      </c>
      <c r="W12114" t="s">
        <v>41556</v>
      </c>
      <c r="X12114" t="s">
        <v>45111</v>
      </c>
    </row>
    <row r="12115" spans="1:24">
      <c r="A12115">
        <f>HYPERLINK("https://www.philgeps.gov.ph/GEPSNONPILOT/Tender/SplashBidNoticeAbstractUI.aspx?menuIndex=3&amp;refID=7023827&amp;Result=3","7023827")</f>
        <v>0</v>
      </c>
      <c r="B12115" t="s">
        <v>753</v>
      </c>
      <c r="C12115" t="s">
        <v>14774</v>
      </c>
      <c r="D12115" t="s">
        <v>18073</v>
      </c>
      <c r="E12115" t="s">
        <v>28583</v>
      </c>
      <c r="F12115" t="s">
        <v>31574</v>
      </c>
      <c r="G12115" t="s">
        <v>31582</v>
      </c>
      <c r="H12115" t="s">
        <v>31590</v>
      </c>
      <c r="I12115" t="s">
        <v>31631</v>
      </c>
      <c r="J12115" t="s">
        <v>39211</v>
      </c>
      <c r="K12115" t="s">
        <v>41186</v>
      </c>
      <c r="M12115" t="s">
        <v>44079</v>
      </c>
      <c r="N12115" t="s">
        <v>45095</v>
      </c>
      <c r="O12115" t="s">
        <v>45096</v>
      </c>
      <c r="Q12115">
        <v>7</v>
      </c>
      <c r="R12115" t="s">
        <v>45110</v>
      </c>
      <c r="S12115" t="s">
        <v>45673</v>
      </c>
      <c r="T12115" t="s">
        <v>46910</v>
      </c>
      <c r="U12115" t="s">
        <v>57376</v>
      </c>
      <c r="W12115" t="s">
        <v>61736</v>
      </c>
      <c r="X12115" t="s">
        <v>45111</v>
      </c>
    </row>
    <row r="12116" spans="1:24">
      <c r="A12116">
        <f>HYPERLINK("https://www.philgeps.gov.ph/GEPSNONPILOT/Tender/SplashBidNoticeAbstractUI.aspx?menuIndex=3&amp;refID=7023838&amp;Result=3","7023838")</f>
        <v>0</v>
      </c>
      <c r="B12116" t="s">
        <v>2919</v>
      </c>
      <c r="C12116" t="s">
        <v>14775</v>
      </c>
      <c r="D12116" t="s">
        <v>18072</v>
      </c>
      <c r="E12116" t="s">
        <v>28584</v>
      </c>
      <c r="F12116" t="s">
        <v>31574</v>
      </c>
      <c r="G12116" t="s">
        <v>31582</v>
      </c>
      <c r="H12116" t="s">
        <v>31590</v>
      </c>
      <c r="I12116" t="s">
        <v>31610</v>
      </c>
      <c r="J12116" t="s">
        <v>39212</v>
      </c>
      <c r="K12116" t="s">
        <v>41186</v>
      </c>
      <c r="M12116" t="s">
        <v>44722</v>
      </c>
      <c r="N12116" t="s">
        <v>45095</v>
      </c>
      <c r="O12116" t="s">
        <v>45096</v>
      </c>
      <c r="P12116">
        <v>0</v>
      </c>
      <c r="Q12116">
        <v>0</v>
      </c>
      <c r="R12116" t="s">
        <v>45110</v>
      </c>
      <c r="S12116" t="s">
        <v>45605</v>
      </c>
      <c r="T12116" t="s">
        <v>46938</v>
      </c>
      <c r="U12116" t="s">
        <v>57377</v>
      </c>
      <c r="W12116" t="s">
        <v>44722</v>
      </c>
      <c r="X12116" t="s">
        <v>45111</v>
      </c>
    </row>
    <row r="12117" spans="1:24">
      <c r="A12117">
        <f>HYPERLINK("https://www.philgeps.gov.ph/GEPSNONPILOT/Tender/SplashBidNoticeAbstractUI.aspx?menuIndex=3&amp;refID=7023825&amp;Result=3","7023825")</f>
        <v>0</v>
      </c>
      <c r="B12117" t="s">
        <v>961</v>
      </c>
      <c r="C12117" t="s">
        <v>14776</v>
      </c>
      <c r="D12117" t="s">
        <v>18023</v>
      </c>
      <c r="E12117" t="s">
        <v>28585</v>
      </c>
      <c r="F12117" t="s">
        <v>31574</v>
      </c>
      <c r="G12117" t="s">
        <v>31582</v>
      </c>
      <c r="H12117" t="s">
        <v>31590</v>
      </c>
      <c r="I12117" t="s">
        <v>31615</v>
      </c>
      <c r="J12117" t="s">
        <v>32530</v>
      </c>
      <c r="K12117" t="s">
        <v>41186</v>
      </c>
      <c r="M12117" t="s">
        <v>44719</v>
      </c>
      <c r="N12117" t="s">
        <v>45095</v>
      </c>
      <c r="O12117" t="s">
        <v>45096</v>
      </c>
      <c r="P12117">
        <v>0</v>
      </c>
      <c r="Q12117">
        <v>9</v>
      </c>
      <c r="R12117" t="s">
        <v>45110</v>
      </c>
      <c r="S12117" t="s">
        <v>45605</v>
      </c>
      <c r="T12117" t="s">
        <v>47010</v>
      </c>
      <c r="U12117" t="s">
        <v>57378</v>
      </c>
      <c r="W12117" t="s">
        <v>44719</v>
      </c>
      <c r="X12117" t="s">
        <v>45111</v>
      </c>
    </row>
    <row r="12118" spans="1:24">
      <c r="A12118">
        <f>HYPERLINK("https://www.philgeps.gov.ph/GEPSNONPILOT/Tender/SplashBidNoticeAbstractUI.aspx?menuIndex=3&amp;refID=7023806&amp;Result=3","7023806")</f>
        <v>0</v>
      </c>
      <c r="B12118" t="s">
        <v>143</v>
      </c>
      <c r="C12118" t="s">
        <v>14777</v>
      </c>
      <c r="D12118" t="s">
        <v>18075</v>
      </c>
      <c r="E12118" t="s">
        <v>28586</v>
      </c>
      <c r="F12118" t="s">
        <v>31574</v>
      </c>
      <c r="G12118" t="s">
        <v>31582</v>
      </c>
      <c r="H12118" t="s">
        <v>31591</v>
      </c>
      <c r="I12118" t="s">
        <v>8822</v>
      </c>
      <c r="J12118" t="s">
        <v>39213</v>
      </c>
      <c r="K12118" t="s">
        <v>41195</v>
      </c>
      <c r="M12118" t="s">
        <v>41627</v>
      </c>
      <c r="N12118" t="s">
        <v>45095</v>
      </c>
      <c r="O12118" t="s">
        <v>45096</v>
      </c>
      <c r="P12118">
        <v>0</v>
      </c>
      <c r="Q12118">
        <v>0</v>
      </c>
      <c r="R12118" t="s">
        <v>45110</v>
      </c>
      <c r="S12118" t="s">
        <v>45605</v>
      </c>
      <c r="T12118" t="s">
        <v>47303</v>
      </c>
      <c r="U12118" t="s">
        <v>57379</v>
      </c>
      <c r="W12118" t="s">
        <v>41627</v>
      </c>
      <c r="X12118" t="s">
        <v>45111</v>
      </c>
    </row>
    <row r="12119" spans="1:24">
      <c r="A12119">
        <f>HYPERLINK("https://www.philgeps.gov.ph/GEPSNONPILOT/Tender/SplashBidNoticeAbstractUI.aspx?menuIndex=3&amp;refID=7023916&amp;Result=3","7023916")</f>
        <v>0</v>
      </c>
      <c r="B12119" t="s">
        <v>143</v>
      </c>
      <c r="C12119" t="s">
        <v>14778</v>
      </c>
      <c r="D12119" t="s">
        <v>18075</v>
      </c>
      <c r="E12119" t="s">
        <v>28587</v>
      </c>
      <c r="F12119" t="s">
        <v>31574</v>
      </c>
      <c r="G12119" t="s">
        <v>31582</v>
      </c>
      <c r="H12119" t="s">
        <v>31591</v>
      </c>
      <c r="I12119" t="s">
        <v>8822</v>
      </c>
      <c r="J12119" t="s">
        <v>39214</v>
      </c>
      <c r="K12119" t="s">
        <v>41288</v>
      </c>
      <c r="M12119" t="s">
        <v>41627</v>
      </c>
      <c r="N12119" t="s">
        <v>45095</v>
      </c>
      <c r="O12119" t="s">
        <v>45096</v>
      </c>
      <c r="P12119">
        <v>0</v>
      </c>
      <c r="Q12119">
        <v>0</v>
      </c>
      <c r="R12119" t="s">
        <v>45110</v>
      </c>
      <c r="S12119" t="s">
        <v>45605</v>
      </c>
      <c r="T12119" t="s">
        <v>47303</v>
      </c>
      <c r="U12119" t="s">
        <v>57380</v>
      </c>
      <c r="W12119" t="s">
        <v>41627</v>
      </c>
      <c r="X12119" t="s">
        <v>45111</v>
      </c>
    </row>
    <row r="12120" spans="1:24">
      <c r="A12120">
        <f>HYPERLINK("https://www.philgeps.gov.ph/GEPSNONPILOT/Tender/SplashBidNoticeAbstractUI.aspx?menuIndex=3&amp;refID=7023882&amp;Result=3","7023882")</f>
        <v>0</v>
      </c>
      <c r="B12120" t="s">
        <v>1978</v>
      </c>
      <c r="C12120" t="s">
        <v>14779</v>
      </c>
      <c r="D12120" t="s">
        <v>18079</v>
      </c>
      <c r="E12120" t="s">
        <v>28588</v>
      </c>
      <c r="F12120" t="s">
        <v>31574</v>
      </c>
      <c r="G12120" t="s">
        <v>31588</v>
      </c>
      <c r="H12120" t="s">
        <v>31591</v>
      </c>
      <c r="I12120" t="s">
        <v>8822</v>
      </c>
      <c r="J12120" t="s">
        <v>33445</v>
      </c>
      <c r="K12120" t="s">
        <v>41272</v>
      </c>
      <c r="M12120" t="s">
        <v>43635</v>
      </c>
      <c r="N12120" t="s">
        <v>45095</v>
      </c>
      <c r="O12120" t="s">
        <v>45096</v>
      </c>
      <c r="Q12120">
        <v>6</v>
      </c>
      <c r="R12120" t="s">
        <v>45110</v>
      </c>
      <c r="S12120" t="s">
        <v>45674</v>
      </c>
      <c r="T12120" t="s">
        <v>46979</v>
      </c>
      <c r="U12120" t="s">
        <v>49578</v>
      </c>
      <c r="W12120" t="s">
        <v>43635</v>
      </c>
      <c r="X12120" t="s">
        <v>45111</v>
      </c>
    </row>
    <row r="12121" spans="1:24">
      <c r="A12121">
        <f>HYPERLINK("https://www.philgeps.gov.ph/GEPSNONPILOT/Tender/SplashBidNoticeAbstractUI.aspx?menuIndex=3&amp;refID=7023841&amp;Result=3","7023841")</f>
        <v>0</v>
      </c>
      <c r="B12121" t="s">
        <v>115</v>
      </c>
      <c r="C12121" t="s">
        <v>14780</v>
      </c>
      <c r="D12121" t="s">
        <v>18040</v>
      </c>
      <c r="E12121" t="s">
        <v>28589</v>
      </c>
      <c r="F12121" t="s">
        <v>31574</v>
      </c>
      <c r="G12121" t="s">
        <v>31582</v>
      </c>
      <c r="H12121" t="s">
        <v>31590</v>
      </c>
      <c r="I12121" t="s">
        <v>31615</v>
      </c>
      <c r="J12121" t="s">
        <v>32417</v>
      </c>
      <c r="K12121" t="s">
        <v>41186</v>
      </c>
      <c r="M12121" t="s">
        <v>41599</v>
      </c>
      <c r="N12121" t="s">
        <v>45095</v>
      </c>
      <c r="O12121" t="s">
        <v>45096</v>
      </c>
      <c r="Q12121">
        <v>10</v>
      </c>
      <c r="R12121" t="s">
        <v>45110</v>
      </c>
      <c r="S12121" t="s">
        <v>45675</v>
      </c>
      <c r="T12121" t="s">
        <v>46932</v>
      </c>
      <c r="U12121" t="s">
        <v>57381</v>
      </c>
      <c r="V12121" t="s">
        <v>60322</v>
      </c>
      <c r="W12121" t="s">
        <v>41599</v>
      </c>
      <c r="X12121" t="s">
        <v>45111</v>
      </c>
    </row>
    <row r="12122" spans="1:24">
      <c r="A12122">
        <f>HYPERLINK("https://www.philgeps.gov.ph/GEPSNONPILOT/Tender/SplashBidNoticeAbstractUI.aspx?menuIndex=3&amp;refID=7023908&amp;Result=3","7023908")</f>
        <v>0</v>
      </c>
      <c r="B12122" t="s">
        <v>143</v>
      </c>
      <c r="C12122" t="s">
        <v>14781</v>
      </c>
      <c r="D12122" t="s">
        <v>18075</v>
      </c>
      <c r="E12122" t="s">
        <v>28590</v>
      </c>
      <c r="F12122" t="s">
        <v>31574</v>
      </c>
      <c r="G12122" t="s">
        <v>31582</v>
      </c>
      <c r="H12122" t="s">
        <v>31591</v>
      </c>
      <c r="I12122" t="s">
        <v>8822</v>
      </c>
      <c r="J12122" t="s">
        <v>39215</v>
      </c>
      <c r="K12122" t="s">
        <v>41245</v>
      </c>
      <c r="M12122" t="s">
        <v>41627</v>
      </c>
      <c r="N12122" t="s">
        <v>45095</v>
      </c>
      <c r="O12122" t="s">
        <v>45096</v>
      </c>
      <c r="P12122">
        <v>0</v>
      </c>
      <c r="Q12122">
        <v>0</v>
      </c>
      <c r="R12122" t="s">
        <v>45110</v>
      </c>
      <c r="S12122" t="s">
        <v>45605</v>
      </c>
      <c r="T12122" t="s">
        <v>47303</v>
      </c>
      <c r="U12122" t="s">
        <v>57382</v>
      </c>
      <c r="W12122" t="s">
        <v>41627</v>
      </c>
      <c r="X12122" t="s">
        <v>45111</v>
      </c>
    </row>
    <row r="12123" spans="1:24">
      <c r="A12123">
        <f>HYPERLINK("https://www.philgeps.gov.ph/GEPSNONPILOT/Tender/SplashBidNoticeAbstractUI.aspx?menuIndex=3&amp;refID=7023953&amp;Result=3","7023953")</f>
        <v>0</v>
      </c>
      <c r="B12123" t="s">
        <v>2282</v>
      </c>
      <c r="C12123" t="s">
        <v>14782</v>
      </c>
      <c r="D12123" t="s">
        <v>18044</v>
      </c>
      <c r="E12123" t="s">
        <v>28591</v>
      </c>
      <c r="F12123" t="s">
        <v>31574</v>
      </c>
      <c r="G12123" t="s">
        <v>31582</v>
      </c>
      <c r="H12123" t="s">
        <v>31591</v>
      </c>
      <c r="I12123" t="s">
        <v>8822</v>
      </c>
      <c r="J12123" t="s">
        <v>39216</v>
      </c>
      <c r="K12123" t="s">
        <v>41329</v>
      </c>
      <c r="M12123" t="s">
        <v>43989</v>
      </c>
      <c r="N12123" t="s">
        <v>45095</v>
      </c>
      <c r="O12123" t="s">
        <v>45096</v>
      </c>
      <c r="P12123">
        <v>0</v>
      </c>
      <c r="Q12123">
        <v>0</v>
      </c>
      <c r="R12123" t="s">
        <v>45110</v>
      </c>
      <c r="S12123" t="s">
        <v>45605</v>
      </c>
      <c r="T12123" t="s">
        <v>46979</v>
      </c>
      <c r="U12123" t="s">
        <v>57383</v>
      </c>
      <c r="W12123" t="s">
        <v>43989</v>
      </c>
      <c r="X12123" t="s">
        <v>45111</v>
      </c>
    </row>
    <row r="12124" spans="1:24">
      <c r="A12124">
        <f>HYPERLINK("https://www.philgeps.gov.ph/GEPSNONPILOT/Tender/SplashBidNoticeAbstractUI.aspx?menuIndex=3&amp;refID=7023915&amp;Result=3","7023915")</f>
        <v>0</v>
      </c>
      <c r="B12124" t="s">
        <v>1430</v>
      </c>
      <c r="C12124" t="s">
        <v>14783</v>
      </c>
      <c r="D12124" t="s">
        <v>18022</v>
      </c>
      <c r="E12124" t="s">
        <v>28592</v>
      </c>
      <c r="F12124" t="s">
        <v>31574</v>
      </c>
      <c r="G12124" t="s">
        <v>31585</v>
      </c>
      <c r="H12124" t="s">
        <v>31590</v>
      </c>
      <c r="I12124" t="s">
        <v>31594</v>
      </c>
      <c r="J12124" t="s">
        <v>33613</v>
      </c>
      <c r="K12124" t="s">
        <v>41189</v>
      </c>
      <c r="M12124" t="s">
        <v>43006</v>
      </c>
      <c r="N12124" t="s">
        <v>45095</v>
      </c>
      <c r="O12124" t="s">
        <v>45096</v>
      </c>
      <c r="P12124">
        <v>0</v>
      </c>
      <c r="Q12124">
        <v>8</v>
      </c>
      <c r="R12124" t="s">
        <v>45110</v>
      </c>
      <c r="S12124" t="s">
        <v>45605</v>
      </c>
      <c r="T12124" t="s">
        <v>46923</v>
      </c>
      <c r="U12124" t="s">
        <v>57384</v>
      </c>
      <c r="W12124" t="s">
        <v>43006</v>
      </c>
      <c r="X12124" t="s">
        <v>45111</v>
      </c>
    </row>
    <row r="12125" spans="1:24">
      <c r="A12125">
        <f>HYPERLINK("https://www.philgeps.gov.ph/GEPSNONPILOT/Tender/SplashBidNoticeAbstractUI.aspx?menuIndex=3&amp;refID=7023914&amp;Result=3","7023914")</f>
        <v>0</v>
      </c>
      <c r="B12125" t="s">
        <v>143</v>
      </c>
      <c r="C12125" t="s">
        <v>14784</v>
      </c>
      <c r="D12125" t="s">
        <v>18075</v>
      </c>
      <c r="E12125" t="s">
        <v>28593</v>
      </c>
      <c r="F12125" t="s">
        <v>31574</v>
      </c>
      <c r="G12125" t="s">
        <v>31582</v>
      </c>
      <c r="H12125" t="s">
        <v>31591</v>
      </c>
      <c r="I12125" t="s">
        <v>8822</v>
      </c>
      <c r="J12125" t="s">
        <v>39217</v>
      </c>
      <c r="K12125" t="s">
        <v>41282</v>
      </c>
      <c r="M12125" t="s">
        <v>41627</v>
      </c>
      <c r="N12125" t="s">
        <v>45095</v>
      </c>
      <c r="O12125" t="s">
        <v>45096</v>
      </c>
      <c r="P12125">
        <v>0</v>
      </c>
      <c r="Q12125">
        <v>0</v>
      </c>
      <c r="R12125" t="s">
        <v>45110</v>
      </c>
      <c r="S12125" t="s">
        <v>45605</v>
      </c>
      <c r="T12125" t="s">
        <v>47303</v>
      </c>
      <c r="U12125" t="s">
        <v>57385</v>
      </c>
      <c r="W12125" t="s">
        <v>41627</v>
      </c>
      <c r="X12125" t="s">
        <v>45111</v>
      </c>
    </row>
    <row r="12126" spans="1:24">
      <c r="A12126">
        <f>HYPERLINK("https://www.philgeps.gov.ph/GEPSNONPILOT/Tender/SplashBidNoticeAbstractUI.aspx?menuIndex=3&amp;refID=7023906&amp;Result=3","7023906")</f>
        <v>0</v>
      </c>
      <c r="B12126" t="s">
        <v>741</v>
      </c>
      <c r="C12126" t="s">
        <v>14785</v>
      </c>
      <c r="D12126" t="s">
        <v>18056</v>
      </c>
      <c r="E12126" t="s">
        <v>28594</v>
      </c>
      <c r="F12126" t="s">
        <v>31574</v>
      </c>
      <c r="G12126" t="s">
        <v>31582</v>
      </c>
      <c r="H12126" t="s">
        <v>31590</v>
      </c>
      <c r="I12126" t="s">
        <v>31595</v>
      </c>
      <c r="J12126" t="s">
        <v>39218</v>
      </c>
      <c r="K12126" t="s">
        <v>41186</v>
      </c>
      <c r="M12126" t="s">
        <v>42253</v>
      </c>
      <c r="N12126" t="s">
        <v>45095</v>
      </c>
      <c r="O12126" t="s">
        <v>45096</v>
      </c>
      <c r="P12126">
        <v>0</v>
      </c>
      <c r="Q12126">
        <v>9</v>
      </c>
      <c r="R12126" t="s">
        <v>45110</v>
      </c>
      <c r="S12126" t="s">
        <v>45605</v>
      </c>
      <c r="T12126" t="s">
        <v>46923</v>
      </c>
      <c r="U12126" t="s">
        <v>57386</v>
      </c>
      <c r="W12126" t="s">
        <v>42253</v>
      </c>
      <c r="X12126" t="s">
        <v>45111</v>
      </c>
    </row>
    <row r="12127" spans="1:24">
      <c r="A12127">
        <f>HYPERLINK("https://www.philgeps.gov.ph/GEPSNONPILOT/Tender/SplashBidNoticeAbstractUI.aspx?menuIndex=3&amp;refID=7023826&amp;Result=3","7023826")</f>
        <v>0</v>
      </c>
      <c r="B12127" t="s">
        <v>1888</v>
      </c>
      <c r="C12127" t="s">
        <v>14786</v>
      </c>
      <c r="D12127" t="s">
        <v>18040</v>
      </c>
      <c r="E12127" t="s">
        <v>14786</v>
      </c>
      <c r="F12127" t="s">
        <v>31574</v>
      </c>
      <c r="G12127" t="s">
        <v>31581</v>
      </c>
      <c r="H12127" t="s">
        <v>31590</v>
      </c>
      <c r="I12127" t="s">
        <v>6800</v>
      </c>
      <c r="J12127" t="s">
        <v>39219</v>
      </c>
      <c r="K12127" t="s">
        <v>41190</v>
      </c>
      <c r="M12127" t="s">
        <v>43531</v>
      </c>
      <c r="N12127" t="s">
        <v>45095</v>
      </c>
      <c r="O12127" t="s">
        <v>45096</v>
      </c>
      <c r="P12127">
        <v>0</v>
      </c>
      <c r="Q12127">
        <v>4</v>
      </c>
      <c r="R12127" t="s">
        <v>45110</v>
      </c>
      <c r="S12127" t="s">
        <v>45605</v>
      </c>
      <c r="T12127" t="s">
        <v>46926</v>
      </c>
      <c r="U12127" t="s">
        <v>57387</v>
      </c>
      <c r="W12127" t="s">
        <v>43531</v>
      </c>
      <c r="X12127" t="s">
        <v>45111</v>
      </c>
    </row>
    <row r="12128" spans="1:24">
      <c r="A12128">
        <f>HYPERLINK("https://www.philgeps.gov.ph/GEPSNONPILOT/Tender/SplashBidNoticeAbstractUI.aspx?menuIndex=3&amp;refID=7023924&amp;Result=3","7023924")</f>
        <v>0</v>
      </c>
      <c r="B12128" t="s">
        <v>462</v>
      </c>
      <c r="C12128" t="s">
        <v>14787</v>
      </c>
      <c r="D12128" t="s">
        <v>18033</v>
      </c>
      <c r="E12128" t="s">
        <v>28595</v>
      </c>
      <c r="F12128" t="s">
        <v>31574</v>
      </c>
      <c r="G12128" t="s">
        <v>31582</v>
      </c>
      <c r="H12128" t="s">
        <v>31591</v>
      </c>
      <c r="I12128" t="s">
        <v>8822</v>
      </c>
      <c r="J12128" t="s">
        <v>39220</v>
      </c>
      <c r="K12128" t="s">
        <v>41239</v>
      </c>
      <c r="M12128" t="s">
        <v>41956</v>
      </c>
      <c r="N12128" t="s">
        <v>45095</v>
      </c>
      <c r="O12128" t="s">
        <v>45096</v>
      </c>
      <c r="P12128">
        <v>0</v>
      </c>
      <c r="Q12128">
        <v>1</v>
      </c>
      <c r="R12128" t="s">
        <v>45110</v>
      </c>
      <c r="S12128" t="s">
        <v>45605</v>
      </c>
      <c r="T12128" t="s">
        <v>46979</v>
      </c>
      <c r="U12128" t="s">
        <v>55823</v>
      </c>
      <c r="V12128" t="s">
        <v>61174</v>
      </c>
      <c r="W12128" t="s">
        <v>41956</v>
      </c>
      <c r="X12128" t="s">
        <v>45111</v>
      </c>
    </row>
    <row r="12129" spans="1:24">
      <c r="A12129">
        <f>HYPERLINK("https://www.philgeps.gov.ph/GEPSNONPILOT/Tender/SplashBidNoticeAbstractUI.aspx?menuIndex=3&amp;refID=7023921&amp;Result=3","7023921")</f>
        <v>0</v>
      </c>
      <c r="B12129" t="s">
        <v>143</v>
      </c>
      <c r="C12129" t="s">
        <v>14788</v>
      </c>
      <c r="D12129" t="s">
        <v>18075</v>
      </c>
      <c r="E12129" t="s">
        <v>28596</v>
      </c>
      <c r="F12129" t="s">
        <v>31574</v>
      </c>
      <c r="G12129" t="s">
        <v>31582</v>
      </c>
      <c r="H12129" t="s">
        <v>31591</v>
      </c>
      <c r="I12129" t="s">
        <v>8822</v>
      </c>
      <c r="J12129" t="s">
        <v>39221</v>
      </c>
      <c r="K12129" t="s">
        <v>41218</v>
      </c>
      <c r="M12129" t="s">
        <v>41627</v>
      </c>
      <c r="N12129" t="s">
        <v>45095</v>
      </c>
      <c r="O12129" t="s">
        <v>45096</v>
      </c>
      <c r="P12129">
        <v>0</v>
      </c>
      <c r="Q12129">
        <v>0</v>
      </c>
      <c r="R12129" t="s">
        <v>45110</v>
      </c>
      <c r="S12129" t="s">
        <v>45605</v>
      </c>
      <c r="T12129" t="s">
        <v>47303</v>
      </c>
      <c r="U12129" t="s">
        <v>57388</v>
      </c>
      <c r="W12129" t="s">
        <v>41627</v>
      </c>
      <c r="X12129" t="s">
        <v>45111</v>
      </c>
    </row>
    <row r="12130" spans="1:24">
      <c r="A12130">
        <f>HYPERLINK("https://www.philgeps.gov.ph/GEPSNONPILOT/Tender/SplashBidNoticeAbstractUI.aspx?menuIndex=3&amp;refID=7023894&amp;Result=3","7023894")</f>
        <v>0</v>
      </c>
      <c r="B12130" t="s">
        <v>2092</v>
      </c>
      <c r="C12130" t="s">
        <v>14789</v>
      </c>
      <c r="D12130" t="s">
        <v>18030</v>
      </c>
      <c r="E12130" t="s">
        <v>28597</v>
      </c>
      <c r="F12130" t="s">
        <v>31574</v>
      </c>
      <c r="G12130" t="s">
        <v>31582</v>
      </c>
      <c r="H12130" t="s">
        <v>31592</v>
      </c>
      <c r="I12130" t="s">
        <v>31686</v>
      </c>
      <c r="J12130" t="s">
        <v>33937</v>
      </c>
      <c r="K12130" t="s">
        <v>41186</v>
      </c>
      <c r="M12130" t="s">
        <v>43900</v>
      </c>
      <c r="N12130" t="s">
        <v>45095</v>
      </c>
      <c r="O12130" t="s">
        <v>45096</v>
      </c>
      <c r="P12130">
        <v>0</v>
      </c>
      <c r="Q12130">
        <v>4</v>
      </c>
      <c r="R12130" t="s">
        <v>45110</v>
      </c>
      <c r="S12130" t="s">
        <v>45605</v>
      </c>
      <c r="T12130" t="s">
        <v>46914</v>
      </c>
      <c r="U12130" t="s">
        <v>53298</v>
      </c>
      <c r="V12130" t="s">
        <v>60609</v>
      </c>
      <c r="W12130" t="s">
        <v>43900</v>
      </c>
      <c r="X12130" t="s">
        <v>45111</v>
      </c>
    </row>
    <row r="12131" spans="1:24">
      <c r="A12131">
        <f>HYPERLINK("https://www.philgeps.gov.ph/GEPSNONPILOT/Tender/SplashBidNoticeAbstractUI.aspx?menuIndex=3&amp;refID=7023925&amp;Result=3","7023925")</f>
        <v>0</v>
      </c>
      <c r="B12131" t="s">
        <v>143</v>
      </c>
      <c r="C12131" t="s">
        <v>14790</v>
      </c>
      <c r="D12131" t="s">
        <v>18075</v>
      </c>
      <c r="E12131" t="s">
        <v>28598</v>
      </c>
      <c r="F12131" t="s">
        <v>31574</v>
      </c>
      <c r="G12131" t="s">
        <v>31582</v>
      </c>
      <c r="H12131" t="s">
        <v>31591</v>
      </c>
      <c r="I12131" t="s">
        <v>8822</v>
      </c>
      <c r="J12131" t="s">
        <v>32019</v>
      </c>
      <c r="K12131" t="s">
        <v>41195</v>
      </c>
      <c r="M12131" t="s">
        <v>41627</v>
      </c>
      <c r="N12131" t="s">
        <v>45095</v>
      </c>
      <c r="O12131" t="s">
        <v>45096</v>
      </c>
      <c r="P12131">
        <v>0</v>
      </c>
      <c r="Q12131">
        <v>0</v>
      </c>
      <c r="R12131" t="s">
        <v>45110</v>
      </c>
      <c r="S12131" t="s">
        <v>45605</v>
      </c>
      <c r="T12131" t="s">
        <v>47303</v>
      </c>
      <c r="U12131" t="s">
        <v>57389</v>
      </c>
      <c r="W12131" t="s">
        <v>41627</v>
      </c>
      <c r="X12131" t="s">
        <v>45111</v>
      </c>
    </row>
    <row r="12132" spans="1:24">
      <c r="A12132">
        <f>HYPERLINK("https://www.philgeps.gov.ph/GEPSNONPILOT/Tender/SplashBidNoticeAbstractUI.aspx?menuIndex=3&amp;refID=7023919&amp;Result=3","7023919")</f>
        <v>0</v>
      </c>
      <c r="B12132" t="s">
        <v>1978</v>
      </c>
      <c r="C12132" t="s">
        <v>14791</v>
      </c>
      <c r="D12132" t="s">
        <v>18079</v>
      </c>
      <c r="E12132" t="s">
        <v>28599</v>
      </c>
      <c r="F12132" t="s">
        <v>31574</v>
      </c>
      <c r="G12132" t="s">
        <v>31588</v>
      </c>
      <c r="H12132" t="s">
        <v>31591</v>
      </c>
      <c r="I12132" t="s">
        <v>8822</v>
      </c>
      <c r="J12132" t="s">
        <v>34070</v>
      </c>
      <c r="K12132" t="s">
        <v>41244</v>
      </c>
      <c r="M12132" t="s">
        <v>43635</v>
      </c>
      <c r="N12132" t="s">
        <v>45095</v>
      </c>
      <c r="O12132" t="s">
        <v>45096</v>
      </c>
      <c r="Q12132">
        <v>3</v>
      </c>
      <c r="R12132" t="s">
        <v>45110</v>
      </c>
      <c r="S12132" t="s">
        <v>45676</v>
      </c>
      <c r="T12132" t="s">
        <v>46979</v>
      </c>
      <c r="U12132" t="s">
        <v>49578</v>
      </c>
      <c r="W12132" t="s">
        <v>43635</v>
      </c>
      <c r="X12132" t="s">
        <v>45111</v>
      </c>
    </row>
    <row r="12133" spans="1:24">
      <c r="A12133">
        <f>HYPERLINK("https://www.philgeps.gov.ph/GEPSNONPILOT/Tender/SplashBidNoticeAbstractUI.aspx?menuIndex=3&amp;refID=7023890&amp;Result=3","7023890")</f>
        <v>0</v>
      </c>
      <c r="B12133" t="s">
        <v>2901</v>
      </c>
      <c r="C12133" t="s">
        <v>14792</v>
      </c>
      <c r="E12133" t="s">
        <v>28600</v>
      </c>
      <c r="F12133" t="s">
        <v>31574</v>
      </c>
      <c r="G12133" t="s">
        <v>31582</v>
      </c>
      <c r="H12133" t="s">
        <v>31590</v>
      </c>
      <c r="I12133" t="s">
        <v>31602</v>
      </c>
      <c r="J12133" t="s">
        <v>39222</v>
      </c>
      <c r="K12133" t="s">
        <v>41196</v>
      </c>
      <c r="M12133" t="s">
        <v>44724</v>
      </c>
      <c r="N12133" t="s">
        <v>45095</v>
      </c>
      <c r="O12133" t="s">
        <v>45096</v>
      </c>
      <c r="P12133">
        <v>0</v>
      </c>
      <c r="Q12133">
        <v>0</v>
      </c>
      <c r="R12133" t="s">
        <v>45110</v>
      </c>
      <c r="S12133" t="s">
        <v>45605</v>
      </c>
      <c r="T12133" t="s">
        <v>46926</v>
      </c>
      <c r="U12133" t="s">
        <v>57390</v>
      </c>
      <c r="W12133" t="s">
        <v>44724</v>
      </c>
      <c r="X12133" t="s">
        <v>45111</v>
      </c>
    </row>
    <row r="12134" spans="1:24">
      <c r="A12134">
        <f>HYPERLINK("https://www.philgeps.gov.ph/GEPSNONPILOT/Tender/SplashBidNoticeAbstractUI.aspx?menuIndex=3&amp;refID=7023952&amp;Result=3","7023952")</f>
        <v>0</v>
      </c>
      <c r="B12134" t="s">
        <v>2092</v>
      </c>
      <c r="C12134" t="s">
        <v>14793</v>
      </c>
      <c r="D12134" t="s">
        <v>18030</v>
      </c>
      <c r="E12134" t="s">
        <v>28601</v>
      </c>
      <c r="F12134" t="s">
        <v>31574</v>
      </c>
      <c r="G12134" t="s">
        <v>31582</v>
      </c>
      <c r="H12134" t="s">
        <v>31592</v>
      </c>
      <c r="I12134" t="s">
        <v>31694</v>
      </c>
      <c r="J12134" t="s">
        <v>39223</v>
      </c>
      <c r="K12134" t="s">
        <v>41200</v>
      </c>
      <c r="M12134" t="s">
        <v>43900</v>
      </c>
      <c r="N12134" t="s">
        <v>45095</v>
      </c>
      <c r="O12134" t="s">
        <v>45096</v>
      </c>
      <c r="P12134">
        <v>0</v>
      </c>
      <c r="Q12134">
        <v>7</v>
      </c>
      <c r="R12134" t="s">
        <v>45110</v>
      </c>
      <c r="S12134" t="s">
        <v>45605</v>
      </c>
      <c r="T12134" t="s">
        <v>46914</v>
      </c>
      <c r="U12134" t="s">
        <v>53298</v>
      </c>
      <c r="V12134" t="s">
        <v>60962</v>
      </c>
      <c r="W12134" t="s">
        <v>43900</v>
      </c>
      <c r="X12134" t="s">
        <v>45111</v>
      </c>
    </row>
    <row r="12135" spans="1:24">
      <c r="A12135">
        <f>HYPERLINK("https://www.philgeps.gov.ph/GEPSNONPILOT/Tender/SplashBidNoticeAbstractUI.aspx?menuIndex=3&amp;refID=7023902&amp;Result=3","7023902")</f>
        <v>0</v>
      </c>
      <c r="B12135" t="s">
        <v>1535</v>
      </c>
      <c r="C12135" t="s">
        <v>14794</v>
      </c>
      <c r="D12135" t="s">
        <v>18073</v>
      </c>
      <c r="E12135" t="s">
        <v>28602</v>
      </c>
      <c r="F12135" t="s">
        <v>31574</v>
      </c>
      <c r="G12135" t="s">
        <v>31582</v>
      </c>
      <c r="H12135" t="s">
        <v>31590</v>
      </c>
      <c r="I12135" t="s">
        <v>31641</v>
      </c>
      <c r="J12135" t="s">
        <v>39224</v>
      </c>
      <c r="K12135" t="s">
        <v>41186</v>
      </c>
      <c r="M12135" t="s">
        <v>43127</v>
      </c>
      <c r="N12135" t="s">
        <v>45095</v>
      </c>
      <c r="O12135" t="s">
        <v>45096</v>
      </c>
      <c r="P12135">
        <v>0</v>
      </c>
      <c r="Q12135">
        <v>5</v>
      </c>
      <c r="R12135" t="s">
        <v>45110</v>
      </c>
      <c r="S12135" t="s">
        <v>45605</v>
      </c>
      <c r="T12135" t="s">
        <v>46926</v>
      </c>
      <c r="U12135" t="s">
        <v>57391</v>
      </c>
      <c r="W12135" t="s">
        <v>43127</v>
      </c>
      <c r="X12135" t="s">
        <v>45111</v>
      </c>
    </row>
    <row r="12136" spans="1:24">
      <c r="A12136">
        <f>HYPERLINK("https://www.philgeps.gov.ph/GEPSNONPILOT/Tender/SplashBidNoticeAbstractUI.aspx?menuIndex=3&amp;refID=7023898&amp;Result=3","7023898")</f>
        <v>0</v>
      </c>
      <c r="B12136" t="s">
        <v>143</v>
      </c>
      <c r="C12136" t="s">
        <v>14795</v>
      </c>
      <c r="D12136" t="s">
        <v>18075</v>
      </c>
      <c r="E12136" t="s">
        <v>28603</v>
      </c>
      <c r="F12136" t="s">
        <v>31574</v>
      </c>
      <c r="G12136" t="s">
        <v>31582</v>
      </c>
      <c r="H12136" t="s">
        <v>31591</v>
      </c>
      <c r="I12136" t="s">
        <v>8822</v>
      </c>
      <c r="J12136" t="s">
        <v>31935</v>
      </c>
      <c r="K12136" t="s">
        <v>41270</v>
      </c>
      <c r="M12136" t="s">
        <v>41627</v>
      </c>
      <c r="N12136" t="s">
        <v>45095</v>
      </c>
      <c r="O12136" t="s">
        <v>45096</v>
      </c>
      <c r="P12136">
        <v>0</v>
      </c>
      <c r="Q12136">
        <v>0</v>
      </c>
      <c r="R12136" t="s">
        <v>45110</v>
      </c>
      <c r="S12136" t="s">
        <v>45605</v>
      </c>
      <c r="T12136" t="s">
        <v>46970</v>
      </c>
      <c r="U12136" t="s">
        <v>57392</v>
      </c>
      <c r="W12136" t="s">
        <v>41627</v>
      </c>
      <c r="X12136" t="s">
        <v>45111</v>
      </c>
    </row>
    <row r="12137" spans="1:24">
      <c r="A12137">
        <f>HYPERLINK("https://www.philgeps.gov.ph/GEPSNONPILOT/Tender/SplashBidNoticeAbstractUI.aspx?menuIndex=3&amp;refID=7023889&amp;Result=3","7023889")</f>
        <v>0</v>
      </c>
      <c r="B12137" t="s">
        <v>72</v>
      </c>
      <c r="C12137" t="s">
        <v>14796</v>
      </c>
      <c r="D12137" t="s">
        <v>18022</v>
      </c>
      <c r="E12137" t="s">
        <v>18724</v>
      </c>
      <c r="F12137" t="s">
        <v>31574</v>
      </c>
      <c r="G12137" t="s">
        <v>31582</v>
      </c>
      <c r="H12137" t="s">
        <v>31590</v>
      </c>
      <c r="I12137" t="s">
        <v>3487</v>
      </c>
      <c r="J12137" t="s">
        <v>39225</v>
      </c>
      <c r="K12137" t="s">
        <v>41198</v>
      </c>
      <c r="M12137" t="s">
        <v>41556</v>
      </c>
      <c r="N12137" t="s">
        <v>45095</v>
      </c>
      <c r="O12137" t="s">
        <v>45096</v>
      </c>
      <c r="Q12137">
        <v>10</v>
      </c>
      <c r="R12137" t="s">
        <v>45110</v>
      </c>
      <c r="S12137" t="s">
        <v>45677</v>
      </c>
      <c r="T12137" t="s">
        <v>47029</v>
      </c>
      <c r="U12137" t="s">
        <v>57393</v>
      </c>
      <c r="W12137" t="s">
        <v>41556</v>
      </c>
      <c r="X12137" t="s">
        <v>45111</v>
      </c>
    </row>
    <row r="12138" spans="1:24">
      <c r="A12138">
        <f>HYPERLINK("https://www.philgeps.gov.ph/GEPSNONPILOT/Tender/SplashBidNoticeAbstractUI.aspx?menuIndex=3&amp;refID=7023789&amp;Result=3","7023789")</f>
        <v>0</v>
      </c>
      <c r="B12138" t="s">
        <v>450</v>
      </c>
      <c r="C12138" t="s">
        <v>14797</v>
      </c>
      <c r="D12138" t="s">
        <v>18039</v>
      </c>
      <c r="E12138" t="s">
        <v>28604</v>
      </c>
      <c r="F12138" t="s">
        <v>31574</v>
      </c>
      <c r="G12138" t="s">
        <v>31582</v>
      </c>
      <c r="H12138" t="s">
        <v>31591</v>
      </c>
      <c r="I12138" t="s">
        <v>8822</v>
      </c>
      <c r="J12138" t="s">
        <v>39226</v>
      </c>
      <c r="K12138" t="s">
        <v>41396</v>
      </c>
      <c r="M12138" t="s">
        <v>41944</v>
      </c>
      <c r="N12138" t="s">
        <v>45095</v>
      </c>
      <c r="O12138" t="s">
        <v>45096</v>
      </c>
      <c r="P12138">
        <v>0</v>
      </c>
      <c r="Q12138">
        <v>0</v>
      </c>
      <c r="R12138" t="s">
        <v>45110</v>
      </c>
      <c r="S12138" t="s">
        <v>45605</v>
      </c>
      <c r="T12138" t="s">
        <v>46979</v>
      </c>
      <c r="U12138" t="s">
        <v>57234</v>
      </c>
      <c r="W12138" t="s">
        <v>41944</v>
      </c>
      <c r="X12138" t="s">
        <v>45111</v>
      </c>
    </row>
    <row r="12139" spans="1:24">
      <c r="A12139">
        <f>HYPERLINK("https://www.philgeps.gov.ph/GEPSNONPILOT/Tender/SplashBidNoticeAbstractUI.aspx?menuIndex=3&amp;refID=7023958&amp;Result=3","7023958")</f>
        <v>0</v>
      </c>
      <c r="B12139" t="s">
        <v>961</v>
      </c>
      <c r="C12139" t="s">
        <v>14798</v>
      </c>
      <c r="D12139" t="s">
        <v>18023</v>
      </c>
      <c r="E12139" t="s">
        <v>28605</v>
      </c>
      <c r="F12139" t="s">
        <v>31574</v>
      </c>
      <c r="G12139" t="s">
        <v>31582</v>
      </c>
      <c r="H12139" t="s">
        <v>31590</v>
      </c>
      <c r="I12139" t="s">
        <v>31614</v>
      </c>
      <c r="J12139" t="s">
        <v>39227</v>
      </c>
      <c r="K12139" t="s">
        <v>41192</v>
      </c>
      <c r="M12139" t="s">
        <v>44719</v>
      </c>
      <c r="N12139" t="s">
        <v>45095</v>
      </c>
      <c r="O12139" t="s">
        <v>45096</v>
      </c>
      <c r="P12139">
        <v>0</v>
      </c>
      <c r="Q12139">
        <v>5</v>
      </c>
      <c r="R12139" t="s">
        <v>45110</v>
      </c>
      <c r="S12139" t="s">
        <v>45605</v>
      </c>
      <c r="T12139" t="s">
        <v>47010</v>
      </c>
      <c r="U12139" t="s">
        <v>57394</v>
      </c>
      <c r="W12139" t="s">
        <v>44719</v>
      </c>
      <c r="X12139" t="s">
        <v>45111</v>
      </c>
    </row>
    <row r="12140" spans="1:24">
      <c r="A12140">
        <f>HYPERLINK("https://www.philgeps.gov.ph/GEPSNONPILOT/Tender/SplashBidNoticeAbstractUI.aspx?menuIndex=3&amp;refID=7023985&amp;Result=3","7023985")</f>
        <v>0</v>
      </c>
      <c r="B12140" t="s">
        <v>872</v>
      </c>
      <c r="C12140" t="s">
        <v>14799</v>
      </c>
      <c r="D12140" t="s">
        <v>18022</v>
      </c>
      <c r="E12140" t="s">
        <v>28606</v>
      </c>
      <c r="F12140" t="s">
        <v>31574</v>
      </c>
      <c r="G12140" t="s">
        <v>31582</v>
      </c>
      <c r="H12140" t="s">
        <v>31590</v>
      </c>
      <c r="I12140" t="s">
        <v>31595</v>
      </c>
      <c r="J12140" t="s">
        <v>31758</v>
      </c>
      <c r="K12140" t="s">
        <v>41186</v>
      </c>
      <c r="M12140" t="s">
        <v>42392</v>
      </c>
      <c r="N12140" t="s">
        <v>45095</v>
      </c>
      <c r="O12140" t="s">
        <v>45096</v>
      </c>
      <c r="Q12140">
        <v>21</v>
      </c>
      <c r="R12140" t="s">
        <v>45110</v>
      </c>
      <c r="S12140" t="s">
        <v>45678</v>
      </c>
      <c r="T12140" t="s">
        <v>46914</v>
      </c>
      <c r="U12140" t="s">
        <v>55149</v>
      </c>
      <c r="V12140" t="s">
        <v>61175</v>
      </c>
      <c r="W12140" t="s">
        <v>42392</v>
      </c>
      <c r="X12140" t="s">
        <v>45111</v>
      </c>
    </row>
    <row r="12141" spans="1:24">
      <c r="A12141">
        <f>HYPERLINK("https://www.philgeps.gov.ph/GEPSNONPILOT/Tender/SplashBidNoticeAbstractUI.aspx?menuIndex=3&amp;refID=7023886&amp;Result=3","7023886")</f>
        <v>0</v>
      </c>
      <c r="B12141" t="s">
        <v>143</v>
      </c>
      <c r="C12141" t="s">
        <v>14800</v>
      </c>
      <c r="D12141" t="s">
        <v>18075</v>
      </c>
      <c r="E12141" t="s">
        <v>28607</v>
      </c>
      <c r="F12141" t="s">
        <v>31574</v>
      </c>
      <c r="G12141" t="s">
        <v>31582</v>
      </c>
      <c r="H12141" t="s">
        <v>31591</v>
      </c>
      <c r="I12141" t="s">
        <v>8822</v>
      </c>
      <c r="J12141" t="s">
        <v>39228</v>
      </c>
      <c r="K12141" t="s">
        <v>41218</v>
      </c>
      <c r="M12141" t="s">
        <v>41627</v>
      </c>
      <c r="N12141" t="s">
        <v>45095</v>
      </c>
      <c r="O12141" t="s">
        <v>45096</v>
      </c>
      <c r="P12141">
        <v>0</v>
      </c>
      <c r="Q12141">
        <v>0</v>
      </c>
      <c r="R12141" t="s">
        <v>45110</v>
      </c>
      <c r="S12141" t="s">
        <v>45605</v>
      </c>
      <c r="T12141" t="s">
        <v>47303</v>
      </c>
      <c r="U12141" t="s">
        <v>57395</v>
      </c>
      <c r="W12141" t="s">
        <v>41627</v>
      </c>
      <c r="X12141" t="s">
        <v>45111</v>
      </c>
    </row>
    <row r="12142" spans="1:24">
      <c r="A12142">
        <f>HYPERLINK("https://www.philgeps.gov.ph/GEPSNONPILOT/Tender/SplashBidNoticeAbstractUI.aspx?menuIndex=3&amp;refID=7023887&amp;Result=3","7023887")</f>
        <v>0</v>
      </c>
      <c r="B12142" t="s">
        <v>2921</v>
      </c>
      <c r="C12142" t="s">
        <v>14801</v>
      </c>
      <c r="D12142" t="s">
        <v>18033</v>
      </c>
      <c r="E12142" t="s">
        <v>28608</v>
      </c>
      <c r="F12142" t="s">
        <v>31574</v>
      </c>
      <c r="G12142" t="s">
        <v>31582</v>
      </c>
      <c r="H12142" t="s">
        <v>31591</v>
      </c>
      <c r="I12142" t="s">
        <v>8822</v>
      </c>
      <c r="J12142" t="s">
        <v>32026</v>
      </c>
      <c r="K12142" t="s">
        <v>41381</v>
      </c>
      <c r="M12142" t="s">
        <v>44725</v>
      </c>
      <c r="N12142" t="s">
        <v>45095</v>
      </c>
      <c r="O12142" t="s">
        <v>45096</v>
      </c>
      <c r="P12142">
        <v>0</v>
      </c>
      <c r="Q12142">
        <v>1</v>
      </c>
      <c r="R12142" t="s">
        <v>45110</v>
      </c>
      <c r="S12142" t="s">
        <v>45605</v>
      </c>
      <c r="T12142" t="s">
        <v>46926</v>
      </c>
      <c r="U12142" t="s">
        <v>57396</v>
      </c>
      <c r="W12142" t="s">
        <v>44725</v>
      </c>
      <c r="X12142" t="s">
        <v>45111</v>
      </c>
    </row>
    <row r="12143" spans="1:24">
      <c r="A12143">
        <f>HYPERLINK("https://www.philgeps.gov.ph/GEPSNONPILOT/Tender/SplashBidNoticeAbstractUI.aspx?menuIndex=3&amp;refID=7023994&amp;Result=3","7023994")</f>
        <v>0</v>
      </c>
      <c r="B12143" t="s">
        <v>776</v>
      </c>
      <c r="C12143" t="s">
        <v>14802</v>
      </c>
      <c r="E12143" t="s">
        <v>28609</v>
      </c>
      <c r="F12143" t="s">
        <v>31574</v>
      </c>
      <c r="G12143" t="s">
        <v>31582</v>
      </c>
      <c r="H12143" t="s">
        <v>31593</v>
      </c>
      <c r="I12143" t="s">
        <v>31593</v>
      </c>
      <c r="J12143" t="s">
        <v>32241</v>
      </c>
      <c r="K12143" t="s">
        <v>41229</v>
      </c>
      <c r="M12143" t="s">
        <v>42290</v>
      </c>
      <c r="N12143" t="s">
        <v>45095</v>
      </c>
      <c r="O12143" t="s">
        <v>45096</v>
      </c>
      <c r="Q12143">
        <v>11</v>
      </c>
      <c r="R12143" t="s">
        <v>45110</v>
      </c>
      <c r="S12143" t="s">
        <v>45679</v>
      </c>
      <c r="T12143" t="s">
        <v>46985</v>
      </c>
      <c r="U12143" t="s">
        <v>57397</v>
      </c>
      <c r="W12143" t="s">
        <v>42290</v>
      </c>
      <c r="X12143" t="s">
        <v>45111</v>
      </c>
    </row>
    <row r="12144" spans="1:24">
      <c r="A12144">
        <f>HYPERLINK("https://www.philgeps.gov.ph/GEPSNONPILOT/Tender/SplashBidNoticeAbstractUI.aspx?menuIndex=3&amp;refID=7023883&amp;Result=3","7023883")</f>
        <v>0</v>
      </c>
      <c r="B12144" t="s">
        <v>2919</v>
      </c>
      <c r="C12144" t="s">
        <v>14803</v>
      </c>
      <c r="D12144" t="s">
        <v>18072</v>
      </c>
      <c r="E12144" t="s">
        <v>28610</v>
      </c>
      <c r="F12144" t="s">
        <v>31574</v>
      </c>
      <c r="G12144" t="s">
        <v>31582</v>
      </c>
      <c r="H12144" t="s">
        <v>31590</v>
      </c>
      <c r="I12144" t="s">
        <v>3520</v>
      </c>
      <c r="J12144" t="s">
        <v>39229</v>
      </c>
      <c r="K12144" t="s">
        <v>41186</v>
      </c>
      <c r="M12144" t="s">
        <v>44722</v>
      </c>
      <c r="N12144" t="s">
        <v>45095</v>
      </c>
      <c r="O12144" t="s">
        <v>45096</v>
      </c>
      <c r="P12144">
        <v>0</v>
      </c>
      <c r="Q12144">
        <v>0</v>
      </c>
      <c r="R12144" t="s">
        <v>45110</v>
      </c>
      <c r="S12144" t="s">
        <v>45605</v>
      </c>
      <c r="T12144" t="s">
        <v>47412</v>
      </c>
      <c r="U12144" t="s">
        <v>57398</v>
      </c>
      <c r="W12144" t="s">
        <v>44722</v>
      </c>
      <c r="X12144" t="s">
        <v>45111</v>
      </c>
    </row>
    <row r="12145" spans="1:24">
      <c r="A12145">
        <f>HYPERLINK("https://www.philgeps.gov.ph/GEPSNONPILOT/Tender/SplashBidNoticeAbstractUI.aspx?menuIndex=3&amp;refID=7023988&amp;Result=3","7023988")</f>
        <v>0</v>
      </c>
      <c r="B12145" t="s">
        <v>182</v>
      </c>
      <c r="C12145" t="s">
        <v>14804</v>
      </c>
      <c r="D12145" t="s">
        <v>18060</v>
      </c>
      <c r="E12145" t="s">
        <v>28611</v>
      </c>
      <c r="F12145" t="s">
        <v>31574</v>
      </c>
      <c r="G12145" t="s">
        <v>31582</v>
      </c>
      <c r="H12145" t="s">
        <v>31591</v>
      </c>
      <c r="I12145" t="s">
        <v>8822</v>
      </c>
      <c r="J12145" t="s">
        <v>39230</v>
      </c>
      <c r="K12145" t="s">
        <v>41203</v>
      </c>
      <c r="M12145" t="s">
        <v>44709</v>
      </c>
      <c r="N12145" t="s">
        <v>45095</v>
      </c>
      <c r="O12145" t="s">
        <v>45096</v>
      </c>
      <c r="P12145">
        <v>0</v>
      </c>
      <c r="Q12145">
        <v>0</v>
      </c>
      <c r="R12145" t="s">
        <v>45110</v>
      </c>
      <c r="S12145" t="s">
        <v>45605</v>
      </c>
      <c r="T12145" t="s">
        <v>46966</v>
      </c>
      <c r="U12145" t="s">
        <v>57399</v>
      </c>
      <c r="W12145" t="s">
        <v>44709</v>
      </c>
      <c r="X12145" t="s">
        <v>45111</v>
      </c>
    </row>
    <row r="12146" spans="1:24">
      <c r="A12146">
        <f>HYPERLINK("https://www.philgeps.gov.ph/GEPSNONPILOT/Tender/SplashBidNoticeAbstractUI.aspx?menuIndex=3&amp;refID=7023983&amp;Result=3","7023983")</f>
        <v>0</v>
      </c>
      <c r="B12146" t="s">
        <v>2092</v>
      </c>
      <c r="C12146" t="s">
        <v>14805</v>
      </c>
      <c r="D12146" t="s">
        <v>18030</v>
      </c>
      <c r="E12146" t="s">
        <v>28612</v>
      </c>
      <c r="F12146" t="s">
        <v>31574</v>
      </c>
      <c r="G12146" t="s">
        <v>31582</v>
      </c>
      <c r="H12146" t="s">
        <v>31592</v>
      </c>
      <c r="I12146" t="s">
        <v>31694</v>
      </c>
      <c r="J12146" t="s">
        <v>39231</v>
      </c>
      <c r="K12146" t="s">
        <v>41200</v>
      </c>
      <c r="M12146" t="s">
        <v>43900</v>
      </c>
      <c r="N12146" t="s">
        <v>45095</v>
      </c>
      <c r="O12146" t="s">
        <v>45096</v>
      </c>
      <c r="P12146">
        <v>0</v>
      </c>
      <c r="Q12146">
        <v>6</v>
      </c>
      <c r="R12146" t="s">
        <v>45110</v>
      </c>
      <c r="S12146" t="s">
        <v>45605</v>
      </c>
      <c r="T12146" t="s">
        <v>46914</v>
      </c>
      <c r="U12146" t="s">
        <v>53298</v>
      </c>
      <c r="V12146" t="s">
        <v>61176</v>
      </c>
      <c r="W12146" t="s">
        <v>43900</v>
      </c>
      <c r="X12146" t="s">
        <v>45111</v>
      </c>
    </row>
    <row r="12147" spans="1:24">
      <c r="A12147">
        <f>HYPERLINK("https://www.philgeps.gov.ph/GEPSNONPILOT/Tender/SplashBidNoticeAbstractUI.aspx?menuIndex=3&amp;refID=7023990&amp;Result=3","7023990")</f>
        <v>0</v>
      </c>
      <c r="B12147" t="s">
        <v>2776</v>
      </c>
      <c r="C12147" t="s">
        <v>14806</v>
      </c>
      <c r="D12147" t="s">
        <v>18092</v>
      </c>
      <c r="E12147" t="s">
        <v>28613</v>
      </c>
      <c r="F12147" t="s">
        <v>31574</v>
      </c>
      <c r="G12147" t="s">
        <v>31582</v>
      </c>
      <c r="H12147" t="s">
        <v>31591</v>
      </c>
      <c r="I12147" t="s">
        <v>8822</v>
      </c>
      <c r="J12147" t="s">
        <v>32026</v>
      </c>
      <c r="K12147" t="s">
        <v>41189</v>
      </c>
      <c r="M12147" t="s">
        <v>44551</v>
      </c>
      <c r="N12147" t="s">
        <v>45095</v>
      </c>
      <c r="O12147" t="s">
        <v>45096</v>
      </c>
      <c r="P12147">
        <v>0</v>
      </c>
      <c r="Q12147">
        <v>0</v>
      </c>
      <c r="R12147" t="s">
        <v>45110</v>
      </c>
      <c r="S12147" t="s">
        <v>45605</v>
      </c>
      <c r="T12147" t="s">
        <v>46979</v>
      </c>
      <c r="U12147" t="s">
        <v>57400</v>
      </c>
      <c r="W12147" t="s">
        <v>44551</v>
      </c>
      <c r="X12147" t="s">
        <v>45111</v>
      </c>
    </row>
    <row r="12148" spans="1:24">
      <c r="A12148">
        <f>HYPERLINK("https://www.philgeps.gov.ph/GEPSNONPILOT/Tender/SplashBidNoticeAbstractUI.aspx?menuIndex=3&amp;refID=7024011&amp;Result=3","7024011")</f>
        <v>0</v>
      </c>
      <c r="B12148" t="s">
        <v>872</v>
      </c>
      <c r="C12148" t="s">
        <v>14807</v>
      </c>
      <c r="D12148" t="s">
        <v>18022</v>
      </c>
      <c r="E12148" t="s">
        <v>28614</v>
      </c>
      <c r="F12148" t="s">
        <v>31574</v>
      </c>
      <c r="G12148" t="s">
        <v>31582</v>
      </c>
      <c r="H12148" t="s">
        <v>31590</v>
      </c>
      <c r="I12148" t="s">
        <v>31667</v>
      </c>
      <c r="J12148" t="s">
        <v>31819</v>
      </c>
      <c r="K12148" t="s">
        <v>41186</v>
      </c>
      <c r="M12148" t="s">
        <v>42392</v>
      </c>
      <c r="N12148" t="s">
        <v>45095</v>
      </c>
      <c r="O12148" t="s">
        <v>45096</v>
      </c>
      <c r="Q12148">
        <v>4</v>
      </c>
      <c r="R12148" t="s">
        <v>45110</v>
      </c>
      <c r="S12148" t="s">
        <v>45680</v>
      </c>
      <c r="T12148" t="s">
        <v>46914</v>
      </c>
      <c r="U12148" t="s">
        <v>55149</v>
      </c>
      <c r="V12148" t="s">
        <v>61175</v>
      </c>
      <c r="W12148" t="s">
        <v>42392</v>
      </c>
      <c r="X12148" t="s">
        <v>45111</v>
      </c>
    </row>
    <row r="12149" spans="1:24">
      <c r="A12149">
        <f>HYPERLINK("https://www.philgeps.gov.ph/GEPSNONPILOT/Tender/SplashBidNoticeAbstractUI.aspx?menuIndex=3&amp;refID=7024021&amp;Result=3","7024021")</f>
        <v>0</v>
      </c>
      <c r="B12149" t="s">
        <v>1143</v>
      </c>
      <c r="C12149" t="s">
        <v>14808</v>
      </c>
      <c r="D12149" t="s">
        <v>18053</v>
      </c>
      <c r="E12149" t="s">
        <v>28615</v>
      </c>
      <c r="F12149" t="s">
        <v>31574</v>
      </c>
      <c r="G12149" t="s">
        <v>31582</v>
      </c>
      <c r="H12149" t="s">
        <v>31591</v>
      </c>
      <c r="I12149" t="s">
        <v>8822</v>
      </c>
      <c r="J12149" t="s">
        <v>39232</v>
      </c>
      <c r="K12149" t="s">
        <v>41244</v>
      </c>
      <c r="M12149" t="s">
        <v>42696</v>
      </c>
      <c r="N12149" t="s">
        <v>45095</v>
      </c>
      <c r="O12149" t="s">
        <v>45096</v>
      </c>
      <c r="Q12149">
        <v>0</v>
      </c>
      <c r="R12149" t="s">
        <v>45110</v>
      </c>
      <c r="S12149" t="s">
        <v>45681</v>
      </c>
      <c r="T12149" t="s">
        <v>46910</v>
      </c>
      <c r="U12149" t="s">
        <v>57401</v>
      </c>
      <c r="W12149" t="s">
        <v>42696</v>
      </c>
      <c r="X12149" t="s">
        <v>45111</v>
      </c>
    </row>
    <row r="12150" spans="1:24">
      <c r="A12150">
        <f>HYPERLINK("https://www.philgeps.gov.ph/GEPSNONPILOT/Tender/SplashBidNoticeAbstractUI.aspx?menuIndex=3&amp;refID=7024000&amp;Result=3","7024000")</f>
        <v>0</v>
      </c>
      <c r="B12150" t="s">
        <v>1404</v>
      </c>
      <c r="C12150" t="s">
        <v>14809</v>
      </c>
      <c r="E12150" t="s">
        <v>28616</v>
      </c>
      <c r="F12150" t="s">
        <v>31574</v>
      </c>
      <c r="G12150" t="s">
        <v>31582</v>
      </c>
      <c r="H12150" t="s">
        <v>31592</v>
      </c>
      <c r="I12150" t="s">
        <v>31596</v>
      </c>
      <c r="J12150" t="s">
        <v>39233</v>
      </c>
      <c r="K12150" t="s">
        <v>41197</v>
      </c>
      <c r="M12150" t="s">
        <v>44726</v>
      </c>
      <c r="N12150" t="s">
        <v>45095</v>
      </c>
      <c r="O12150" t="s">
        <v>45096</v>
      </c>
      <c r="Q12150">
        <v>2</v>
      </c>
      <c r="R12150" t="s">
        <v>45110</v>
      </c>
      <c r="S12150" t="s">
        <v>45682</v>
      </c>
      <c r="T12150" t="s">
        <v>47413</v>
      </c>
      <c r="U12150" t="s">
        <v>57402</v>
      </c>
      <c r="W12150" t="s">
        <v>44726</v>
      </c>
      <c r="X12150" t="s">
        <v>45111</v>
      </c>
    </row>
    <row r="12151" spans="1:24">
      <c r="A12151">
        <f>HYPERLINK("https://www.philgeps.gov.ph/GEPSNONPILOT/Tender/SplashBidNoticeAbstractUI.aspx?menuIndex=3&amp;refID=7024001&amp;Result=3","7024001")</f>
        <v>0</v>
      </c>
      <c r="B12151" t="s">
        <v>872</v>
      </c>
      <c r="C12151" t="s">
        <v>14810</v>
      </c>
      <c r="D12151" t="s">
        <v>18022</v>
      </c>
      <c r="E12151" t="s">
        <v>28617</v>
      </c>
      <c r="F12151" t="s">
        <v>31574</v>
      </c>
      <c r="G12151" t="s">
        <v>31582</v>
      </c>
      <c r="H12151" t="s">
        <v>31590</v>
      </c>
      <c r="I12151" t="s">
        <v>31681</v>
      </c>
      <c r="J12151" t="s">
        <v>31771</v>
      </c>
      <c r="K12151" t="s">
        <v>41198</v>
      </c>
      <c r="M12151" t="s">
        <v>42392</v>
      </c>
      <c r="N12151" t="s">
        <v>45095</v>
      </c>
      <c r="O12151" t="s">
        <v>45096</v>
      </c>
      <c r="Q12151">
        <v>13</v>
      </c>
      <c r="R12151" t="s">
        <v>45110</v>
      </c>
      <c r="S12151" t="s">
        <v>45683</v>
      </c>
      <c r="T12151" t="s">
        <v>46914</v>
      </c>
      <c r="U12151" t="s">
        <v>55149</v>
      </c>
      <c r="V12151" t="s">
        <v>61175</v>
      </c>
      <c r="W12151" t="s">
        <v>42392</v>
      </c>
      <c r="X12151" t="s">
        <v>45111</v>
      </c>
    </row>
    <row r="12152" spans="1:24">
      <c r="A12152">
        <f>HYPERLINK("https://www.philgeps.gov.ph/GEPSNONPILOT/Tender/SplashBidNoticeAbstractUI.aspx?menuIndex=3&amp;refID=7024002&amp;Result=3","7024002")</f>
        <v>0</v>
      </c>
      <c r="B12152" t="s">
        <v>2776</v>
      </c>
      <c r="C12152" t="s">
        <v>14811</v>
      </c>
      <c r="D12152" t="s">
        <v>18092</v>
      </c>
      <c r="E12152" t="s">
        <v>28618</v>
      </c>
      <c r="F12152" t="s">
        <v>31574</v>
      </c>
      <c r="G12152" t="s">
        <v>31582</v>
      </c>
      <c r="H12152" t="s">
        <v>31591</v>
      </c>
      <c r="I12152" t="s">
        <v>8822</v>
      </c>
      <c r="J12152" t="s">
        <v>39234</v>
      </c>
      <c r="K12152" t="s">
        <v>41192</v>
      </c>
      <c r="M12152" t="s">
        <v>44551</v>
      </c>
      <c r="N12152" t="s">
        <v>45095</v>
      </c>
      <c r="O12152" t="s">
        <v>45096</v>
      </c>
      <c r="P12152">
        <v>0</v>
      </c>
      <c r="Q12152">
        <v>0</v>
      </c>
      <c r="R12152" t="s">
        <v>45110</v>
      </c>
      <c r="S12152" t="s">
        <v>45605</v>
      </c>
      <c r="T12152" t="s">
        <v>46979</v>
      </c>
      <c r="U12152" t="s">
        <v>57403</v>
      </c>
      <c r="W12152" t="s">
        <v>44551</v>
      </c>
      <c r="X12152" t="s">
        <v>45111</v>
      </c>
    </row>
    <row r="12153" spans="1:24">
      <c r="A12153">
        <f>HYPERLINK("https://www.philgeps.gov.ph/GEPSNONPILOT/Tender/SplashBidNoticeAbstractUI.aspx?menuIndex=3&amp;refID=7023999&amp;Result=3","7023999")</f>
        <v>0</v>
      </c>
      <c r="B12153" t="s">
        <v>182</v>
      </c>
      <c r="C12153" t="s">
        <v>14812</v>
      </c>
      <c r="D12153" t="s">
        <v>18060</v>
      </c>
      <c r="E12153" t="s">
        <v>28619</v>
      </c>
      <c r="F12153" t="s">
        <v>31574</v>
      </c>
      <c r="G12153" t="s">
        <v>31582</v>
      </c>
      <c r="H12153" t="s">
        <v>31591</v>
      </c>
      <c r="I12153" t="s">
        <v>8822</v>
      </c>
      <c r="J12153" t="s">
        <v>39235</v>
      </c>
      <c r="K12153" t="s">
        <v>41287</v>
      </c>
      <c r="M12153" t="s">
        <v>44709</v>
      </c>
      <c r="N12153" t="s">
        <v>45095</v>
      </c>
      <c r="O12153" t="s">
        <v>45096</v>
      </c>
      <c r="P12153">
        <v>0</v>
      </c>
      <c r="Q12153">
        <v>1</v>
      </c>
      <c r="R12153" t="s">
        <v>45110</v>
      </c>
      <c r="S12153" t="s">
        <v>45605</v>
      </c>
      <c r="T12153" t="s">
        <v>46966</v>
      </c>
      <c r="U12153" t="s">
        <v>57404</v>
      </c>
      <c r="W12153" t="s">
        <v>44709</v>
      </c>
      <c r="X12153" t="s">
        <v>45111</v>
      </c>
    </row>
    <row r="12154" spans="1:24">
      <c r="A12154">
        <f>HYPERLINK("https://www.philgeps.gov.ph/GEPSNONPILOT/Tender/SplashBidNoticeAbstractUI.aspx?menuIndex=3&amp;refID=7024019&amp;Result=3","7024019")</f>
        <v>0</v>
      </c>
      <c r="B12154" t="s">
        <v>872</v>
      </c>
      <c r="C12154" t="s">
        <v>14813</v>
      </c>
      <c r="D12154" t="s">
        <v>18022</v>
      </c>
      <c r="E12154" t="s">
        <v>28620</v>
      </c>
      <c r="F12154" t="s">
        <v>31574</v>
      </c>
      <c r="G12154" t="s">
        <v>31582</v>
      </c>
      <c r="H12154" t="s">
        <v>31590</v>
      </c>
      <c r="I12154" t="s">
        <v>31667</v>
      </c>
      <c r="J12154" t="s">
        <v>32120</v>
      </c>
      <c r="K12154" t="s">
        <v>41186</v>
      </c>
      <c r="M12154" t="s">
        <v>42392</v>
      </c>
      <c r="N12154" t="s">
        <v>45095</v>
      </c>
      <c r="O12154" t="s">
        <v>45096</v>
      </c>
      <c r="P12154">
        <v>0</v>
      </c>
      <c r="Q12154">
        <v>4</v>
      </c>
      <c r="R12154" t="s">
        <v>45110</v>
      </c>
      <c r="S12154" t="s">
        <v>45605</v>
      </c>
      <c r="T12154" t="s">
        <v>46914</v>
      </c>
      <c r="U12154" t="s">
        <v>55149</v>
      </c>
      <c r="V12154" t="s">
        <v>61175</v>
      </c>
      <c r="W12154" t="s">
        <v>42392</v>
      </c>
      <c r="X12154" t="s">
        <v>45111</v>
      </c>
    </row>
    <row r="12155" spans="1:24">
      <c r="A12155">
        <f>HYPERLINK("https://www.philgeps.gov.ph/GEPSNONPILOT/Tender/SplashBidNoticeAbstractUI.aspx?menuIndex=3&amp;refID=7023963&amp;Result=3","7023963")</f>
        <v>0</v>
      </c>
      <c r="B12155" t="s">
        <v>182</v>
      </c>
      <c r="C12155" t="s">
        <v>14814</v>
      </c>
      <c r="D12155" t="s">
        <v>18060</v>
      </c>
      <c r="E12155" t="s">
        <v>28621</v>
      </c>
      <c r="F12155" t="s">
        <v>31574</v>
      </c>
      <c r="G12155" t="s">
        <v>31582</v>
      </c>
      <c r="H12155" t="s">
        <v>31591</v>
      </c>
      <c r="I12155" t="s">
        <v>8822</v>
      </c>
      <c r="J12155" t="s">
        <v>32026</v>
      </c>
      <c r="K12155" t="s">
        <v>41186</v>
      </c>
      <c r="M12155" t="s">
        <v>44709</v>
      </c>
      <c r="N12155" t="s">
        <v>45095</v>
      </c>
      <c r="O12155" t="s">
        <v>45096</v>
      </c>
      <c r="P12155">
        <v>0</v>
      </c>
      <c r="Q12155">
        <v>1</v>
      </c>
      <c r="R12155" t="s">
        <v>45110</v>
      </c>
      <c r="S12155" t="s">
        <v>45605</v>
      </c>
      <c r="T12155" t="s">
        <v>46966</v>
      </c>
      <c r="U12155" t="s">
        <v>57405</v>
      </c>
      <c r="W12155" t="s">
        <v>44709</v>
      </c>
      <c r="X12155" t="s">
        <v>45111</v>
      </c>
    </row>
    <row r="12156" spans="1:24">
      <c r="A12156">
        <f>HYPERLINK("https://www.philgeps.gov.ph/GEPSNONPILOT/Tender/SplashBidNoticeAbstractUI.aspx?menuIndex=3&amp;refID=7023972&amp;Result=3","7023972")</f>
        <v>0</v>
      </c>
      <c r="B12156" t="s">
        <v>182</v>
      </c>
      <c r="C12156" t="s">
        <v>14815</v>
      </c>
      <c r="D12156" t="s">
        <v>18060</v>
      </c>
      <c r="E12156" t="s">
        <v>28622</v>
      </c>
      <c r="F12156" t="s">
        <v>31574</v>
      </c>
      <c r="G12156" t="s">
        <v>31582</v>
      </c>
      <c r="H12156" t="s">
        <v>31591</v>
      </c>
      <c r="I12156" t="s">
        <v>8822</v>
      </c>
      <c r="J12156" t="s">
        <v>39236</v>
      </c>
      <c r="K12156" t="s">
        <v>41189</v>
      </c>
      <c r="M12156" t="s">
        <v>44709</v>
      </c>
      <c r="N12156" t="s">
        <v>45095</v>
      </c>
      <c r="O12156" t="s">
        <v>45096</v>
      </c>
      <c r="P12156">
        <v>0</v>
      </c>
      <c r="Q12156">
        <v>0</v>
      </c>
      <c r="R12156" t="s">
        <v>45110</v>
      </c>
      <c r="S12156" t="s">
        <v>45605</v>
      </c>
      <c r="T12156" t="s">
        <v>46966</v>
      </c>
      <c r="U12156" t="s">
        <v>57406</v>
      </c>
      <c r="W12156" t="s">
        <v>44709</v>
      </c>
      <c r="X12156" t="s">
        <v>45111</v>
      </c>
    </row>
    <row r="12157" spans="1:24">
      <c r="A12157">
        <f>HYPERLINK("https://www.philgeps.gov.ph/GEPSNONPILOT/Tender/SplashBidNoticeAbstractUI.aspx?menuIndex=3&amp;refID=7023969&amp;Result=3","7023969")</f>
        <v>0</v>
      </c>
      <c r="B12157" t="s">
        <v>182</v>
      </c>
      <c r="C12157" t="s">
        <v>14816</v>
      </c>
      <c r="D12157" t="s">
        <v>18060</v>
      </c>
      <c r="E12157" t="s">
        <v>28623</v>
      </c>
      <c r="F12157" t="s">
        <v>31574</v>
      </c>
      <c r="G12157" t="s">
        <v>31582</v>
      </c>
      <c r="H12157" t="s">
        <v>31591</v>
      </c>
      <c r="I12157" t="s">
        <v>8822</v>
      </c>
      <c r="J12157" t="s">
        <v>39237</v>
      </c>
      <c r="K12157" t="s">
        <v>41189</v>
      </c>
      <c r="M12157" t="s">
        <v>44709</v>
      </c>
      <c r="N12157" t="s">
        <v>45095</v>
      </c>
      <c r="O12157" t="s">
        <v>45096</v>
      </c>
      <c r="P12157">
        <v>0</v>
      </c>
      <c r="Q12157">
        <v>1</v>
      </c>
      <c r="R12157" t="s">
        <v>45110</v>
      </c>
      <c r="S12157" t="s">
        <v>45605</v>
      </c>
      <c r="T12157" t="s">
        <v>46966</v>
      </c>
      <c r="U12157" t="s">
        <v>57407</v>
      </c>
      <c r="W12157" t="s">
        <v>44709</v>
      </c>
      <c r="X12157" t="s">
        <v>45111</v>
      </c>
    </row>
    <row r="12158" spans="1:24">
      <c r="A12158">
        <f>HYPERLINK("https://www.philgeps.gov.ph/GEPSNONPILOT/Tender/SplashBidNoticeAbstractUI.aspx?menuIndex=3&amp;refID=7023995&amp;Result=3","7023995")</f>
        <v>0</v>
      </c>
      <c r="B12158" t="s">
        <v>2776</v>
      </c>
      <c r="C12158" t="s">
        <v>14817</v>
      </c>
      <c r="D12158" t="s">
        <v>18092</v>
      </c>
      <c r="E12158" t="s">
        <v>28624</v>
      </c>
      <c r="F12158" t="s">
        <v>31574</v>
      </c>
      <c r="G12158" t="s">
        <v>31582</v>
      </c>
      <c r="H12158" t="s">
        <v>31591</v>
      </c>
      <c r="I12158" t="s">
        <v>8822</v>
      </c>
      <c r="J12158" t="s">
        <v>31935</v>
      </c>
      <c r="K12158" t="s">
        <v>41192</v>
      </c>
      <c r="M12158" t="s">
        <v>44551</v>
      </c>
      <c r="N12158" t="s">
        <v>45095</v>
      </c>
      <c r="O12158" t="s">
        <v>45096</v>
      </c>
      <c r="P12158">
        <v>0</v>
      </c>
      <c r="Q12158">
        <v>0</v>
      </c>
      <c r="R12158" t="s">
        <v>45110</v>
      </c>
      <c r="S12158" t="s">
        <v>45605</v>
      </c>
      <c r="T12158" t="s">
        <v>46979</v>
      </c>
      <c r="U12158" t="s">
        <v>57408</v>
      </c>
      <c r="W12158" t="s">
        <v>44551</v>
      </c>
      <c r="X12158" t="s">
        <v>45111</v>
      </c>
    </row>
    <row r="12159" spans="1:24">
      <c r="A12159">
        <f>HYPERLINK("https://www.philgeps.gov.ph/GEPSNONPILOT/Tender/SplashBidNoticeAbstractUI.aspx?menuIndex=3&amp;refID=7023966&amp;Result=3","7023966")</f>
        <v>0</v>
      </c>
      <c r="B12159" t="s">
        <v>182</v>
      </c>
      <c r="C12159" t="s">
        <v>14818</v>
      </c>
      <c r="D12159" t="s">
        <v>18060</v>
      </c>
      <c r="E12159" t="s">
        <v>28625</v>
      </c>
      <c r="F12159" t="s">
        <v>31574</v>
      </c>
      <c r="G12159" t="s">
        <v>31582</v>
      </c>
      <c r="H12159" t="s">
        <v>31591</v>
      </c>
      <c r="I12159" t="s">
        <v>8822</v>
      </c>
      <c r="J12159" t="s">
        <v>32026</v>
      </c>
      <c r="K12159" t="s">
        <v>41186</v>
      </c>
      <c r="M12159" t="s">
        <v>44709</v>
      </c>
      <c r="N12159" t="s">
        <v>45095</v>
      </c>
      <c r="O12159" t="s">
        <v>45096</v>
      </c>
      <c r="P12159">
        <v>0</v>
      </c>
      <c r="Q12159">
        <v>0</v>
      </c>
      <c r="R12159" t="s">
        <v>45110</v>
      </c>
      <c r="S12159" t="s">
        <v>45605</v>
      </c>
      <c r="T12159" t="s">
        <v>46966</v>
      </c>
      <c r="U12159" t="s">
        <v>57409</v>
      </c>
      <c r="W12159" t="s">
        <v>44709</v>
      </c>
      <c r="X12159" t="s">
        <v>45111</v>
      </c>
    </row>
    <row r="12160" spans="1:24">
      <c r="A12160">
        <f>HYPERLINK("https://www.philgeps.gov.ph/GEPSNONPILOT/Tender/SplashBidNoticeAbstractUI.aspx?menuIndex=3&amp;refID=7024024&amp;Result=3","7024024")</f>
        <v>0</v>
      </c>
      <c r="B12160" t="s">
        <v>2007</v>
      </c>
      <c r="C12160" t="s">
        <v>14819</v>
      </c>
      <c r="D12160" t="s">
        <v>18036</v>
      </c>
      <c r="E12160" t="s">
        <v>28626</v>
      </c>
      <c r="F12160" t="s">
        <v>31574</v>
      </c>
      <c r="G12160" t="s">
        <v>31582</v>
      </c>
      <c r="H12160" t="s">
        <v>31591</v>
      </c>
      <c r="I12160" t="s">
        <v>8822</v>
      </c>
      <c r="J12160" t="s">
        <v>39238</v>
      </c>
      <c r="K12160" t="s">
        <v>41200</v>
      </c>
      <c r="M12160" t="s">
        <v>43669</v>
      </c>
      <c r="N12160" t="s">
        <v>45095</v>
      </c>
      <c r="O12160" t="s">
        <v>45096</v>
      </c>
      <c r="P12160">
        <v>0</v>
      </c>
      <c r="Q12160">
        <v>0</v>
      </c>
      <c r="R12160" t="s">
        <v>45110</v>
      </c>
      <c r="S12160" t="s">
        <v>45605</v>
      </c>
      <c r="T12160" t="s">
        <v>47414</v>
      </c>
      <c r="U12160" t="s">
        <v>52936</v>
      </c>
      <c r="V12160" t="s">
        <v>60556</v>
      </c>
      <c r="W12160" t="s">
        <v>43669</v>
      </c>
      <c r="X12160" t="s">
        <v>45111</v>
      </c>
    </row>
    <row r="12161" spans="1:24">
      <c r="A12161">
        <f>HYPERLINK("https://www.philgeps.gov.ph/GEPSNONPILOT/Tender/SplashBidNoticeAbstractUI.aspx?menuIndex=3&amp;refID=7024017&amp;Result=3","7024017")</f>
        <v>0</v>
      </c>
      <c r="B12161" t="s">
        <v>1013</v>
      </c>
      <c r="C12161" t="s">
        <v>14820</v>
      </c>
      <c r="D12161" t="s">
        <v>18070</v>
      </c>
      <c r="E12161" t="s">
        <v>28627</v>
      </c>
      <c r="F12161" t="s">
        <v>31574</v>
      </c>
      <c r="G12161" t="s">
        <v>31587</v>
      </c>
      <c r="H12161" t="s">
        <v>31593</v>
      </c>
      <c r="I12161" t="s">
        <v>31593</v>
      </c>
      <c r="J12161" t="s">
        <v>34367</v>
      </c>
      <c r="K12161" t="s">
        <v>41186</v>
      </c>
      <c r="M12161" t="s">
        <v>42553</v>
      </c>
      <c r="N12161" t="s">
        <v>45095</v>
      </c>
      <c r="O12161" t="s">
        <v>45096</v>
      </c>
      <c r="P12161">
        <v>0</v>
      </c>
      <c r="Q12161">
        <v>3</v>
      </c>
      <c r="R12161" t="s">
        <v>45110</v>
      </c>
      <c r="S12161" t="s">
        <v>45605</v>
      </c>
      <c r="T12161" t="s">
        <v>47000</v>
      </c>
      <c r="U12161" t="s">
        <v>49752</v>
      </c>
      <c r="W12161" t="s">
        <v>42553</v>
      </c>
      <c r="X12161" t="s">
        <v>45111</v>
      </c>
    </row>
    <row r="12162" spans="1:24">
      <c r="A12162">
        <f>HYPERLINK("https://www.philgeps.gov.ph/GEPSNONPILOT/Tender/SplashBidNoticeAbstractUI.aspx?menuIndex=3&amp;refID=7024036&amp;Result=3","7024036")</f>
        <v>0</v>
      </c>
      <c r="B12162" t="s">
        <v>1615</v>
      </c>
      <c r="C12162" t="s">
        <v>14821</v>
      </c>
      <c r="D12162" t="s">
        <v>18100</v>
      </c>
      <c r="E12162" t="s">
        <v>28628</v>
      </c>
      <c r="F12162" t="s">
        <v>31579</v>
      </c>
      <c r="G12162" t="s">
        <v>31582</v>
      </c>
      <c r="H12162" t="s">
        <v>31590</v>
      </c>
      <c r="I12162" t="s">
        <v>4046</v>
      </c>
      <c r="J12162" t="s">
        <v>39239</v>
      </c>
      <c r="K12162" t="s">
        <v>41190</v>
      </c>
      <c r="M12162" t="s">
        <v>43220</v>
      </c>
      <c r="N12162" t="s">
        <v>45095</v>
      </c>
      <c r="O12162" t="s">
        <v>45096</v>
      </c>
      <c r="P12162">
        <v>0</v>
      </c>
      <c r="Q12162">
        <v>0</v>
      </c>
      <c r="R12162" t="s">
        <v>45110</v>
      </c>
      <c r="S12162" t="s">
        <v>45605</v>
      </c>
      <c r="T12162" t="s">
        <v>47058</v>
      </c>
      <c r="U12162" t="s">
        <v>57410</v>
      </c>
      <c r="W12162" t="s">
        <v>43220</v>
      </c>
      <c r="X12162" t="s">
        <v>45111</v>
      </c>
    </row>
    <row r="12163" spans="1:24">
      <c r="A12163">
        <f>HYPERLINK("https://www.philgeps.gov.ph/GEPSNONPILOT/Tender/SplashBidNoticeAbstractUI.aspx?menuIndex=3&amp;refID=7024100&amp;Result=3","7024100")</f>
        <v>0</v>
      </c>
      <c r="B12163" t="s">
        <v>116</v>
      </c>
      <c r="C12163" t="s">
        <v>14822</v>
      </c>
      <c r="D12163" t="s">
        <v>18068</v>
      </c>
      <c r="E12163" t="s">
        <v>28629</v>
      </c>
      <c r="F12163" t="s">
        <v>31574</v>
      </c>
      <c r="G12163" t="s">
        <v>31582</v>
      </c>
      <c r="H12163" t="s">
        <v>31590</v>
      </c>
      <c r="I12163" t="s">
        <v>31612</v>
      </c>
      <c r="J12163" t="s">
        <v>31764</v>
      </c>
      <c r="K12163" t="s">
        <v>41196</v>
      </c>
      <c r="M12163" t="s">
        <v>41600</v>
      </c>
      <c r="N12163" t="s">
        <v>45095</v>
      </c>
      <c r="O12163" t="s">
        <v>45096</v>
      </c>
      <c r="P12163">
        <v>0</v>
      </c>
      <c r="Q12163">
        <v>1</v>
      </c>
      <c r="R12163" t="s">
        <v>45110</v>
      </c>
      <c r="S12163" t="s">
        <v>45605</v>
      </c>
      <c r="T12163" t="s">
        <v>47056</v>
      </c>
      <c r="U12163" t="s">
        <v>57411</v>
      </c>
      <c r="V12163" t="s">
        <v>59888</v>
      </c>
      <c r="W12163" t="s">
        <v>41600</v>
      </c>
      <c r="X12163" t="s">
        <v>45111</v>
      </c>
    </row>
    <row r="12164" spans="1:24">
      <c r="A12164">
        <f>HYPERLINK("https://www.philgeps.gov.ph/GEPSNONPILOT/Tender/SplashBidNoticeAbstractUI.aspx?menuIndex=3&amp;refID=7023979&amp;Result=3","7023979")</f>
        <v>0</v>
      </c>
      <c r="B12164" t="s">
        <v>182</v>
      </c>
      <c r="C12164" t="s">
        <v>14823</v>
      </c>
      <c r="D12164" t="s">
        <v>18060</v>
      </c>
      <c r="E12164" t="s">
        <v>28630</v>
      </c>
      <c r="F12164" t="s">
        <v>31574</v>
      </c>
      <c r="G12164" t="s">
        <v>31582</v>
      </c>
      <c r="H12164" t="s">
        <v>31591</v>
      </c>
      <c r="I12164" t="s">
        <v>8822</v>
      </c>
      <c r="J12164" t="s">
        <v>39240</v>
      </c>
      <c r="K12164" t="s">
        <v>41189</v>
      </c>
      <c r="M12164" t="s">
        <v>44709</v>
      </c>
      <c r="N12164" t="s">
        <v>45095</v>
      </c>
      <c r="O12164" t="s">
        <v>45096</v>
      </c>
      <c r="P12164">
        <v>0</v>
      </c>
      <c r="Q12164">
        <v>0</v>
      </c>
      <c r="R12164" t="s">
        <v>45110</v>
      </c>
      <c r="S12164" t="s">
        <v>45605</v>
      </c>
      <c r="T12164" t="s">
        <v>46966</v>
      </c>
      <c r="U12164" t="s">
        <v>57412</v>
      </c>
      <c r="W12164" t="s">
        <v>44709</v>
      </c>
      <c r="X12164" t="s">
        <v>45111</v>
      </c>
    </row>
    <row r="12165" spans="1:24">
      <c r="A12165">
        <f>HYPERLINK("https://www.philgeps.gov.ph/GEPSNONPILOT/Tender/SplashBidNoticeAbstractUI.aspx?menuIndex=3&amp;refID=7024033&amp;Result=3","7024033")</f>
        <v>0</v>
      </c>
      <c r="B12165" t="s">
        <v>1030</v>
      </c>
      <c r="C12165" t="s">
        <v>14824</v>
      </c>
      <c r="D12165" t="s">
        <v>18033</v>
      </c>
      <c r="E12165" t="s">
        <v>28631</v>
      </c>
      <c r="F12165" t="s">
        <v>31574</v>
      </c>
      <c r="G12165" t="s">
        <v>31582</v>
      </c>
      <c r="H12165" t="s">
        <v>31591</v>
      </c>
      <c r="I12165" t="s">
        <v>8822</v>
      </c>
      <c r="J12165" t="s">
        <v>34707</v>
      </c>
      <c r="K12165" t="s">
        <v>41446</v>
      </c>
      <c r="M12165" t="s">
        <v>44727</v>
      </c>
      <c r="N12165" t="s">
        <v>45095</v>
      </c>
      <c r="O12165" t="s">
        <v>45096</v>
      </c>
      <c r="P12165">
        <v>0</v>
      </c>
      <c r="Q12165">
        <v>2</v>
      </c>
      <c r="R12165" t="s">
        <v>45110</v>
      </c>
      <c r="S12165" t="s">
        <v>45605</v>
      </c>
      <c r="T12165" t="s">
        <v>46979</v>
      </c>
      <c r="U12165" t="s">
        <v>57413</v>
      </c>
      <c r="V12165" t="s">
        <v>61177</v>
      </c>
      <c r="W12165" t="s">
        <v>44727</v>
      </c>
      <c r="X12165" t="s">
        <v>45111</v>
      </c>
    </row>
    <row r="12166" spans="1:24">
      <c r="A12166">
        <f>HYPERLINK("https://www.philgeps.gov.ph/GEPSNONPILOT/Tender/SplashBidNoticeAbstractUI.aspx?menuIndex=3&amp;refID=7024030&amp;Result=3","7024030")</f>
        <v>0</v>
      </c>
      <c r="B12166" t="s">
        <v>2065</v>
      </c>
      <c r="C12166" t="s">
        <v>14825</v>
      </c>
      <c r="D12166" t="s">
        <v>18094</v>
      </c>
      <c r="E12166" t="s">
        <v>28632</v>
      </c>
      <c r="F12166" t="s">
        <v>31574</v>
      </c>
      <c r="G12166" t="s">
        <v>31582</v>
      </c>
      <c r="H12166" t="s">
        <v>31591</v>
      </c>
      <c r="I12166" t="s">
        <v>8822</v>
      </c>
      <c r="J12166" t="s">
        <v>35045</v>
      </c>
      <c r="K12166" t="s">
        <v>41192</v>
      </c>
      <c r="M12166" t="s">
        <v>43739</v>
      </c>
      <c r="N12166" t="s">
        <v>45095</v>
      </c>
      <c r="O12166" t="s">
        <v>45096</v>
      </c>
      <c r="P12166">
        <v>0</v>
      </c>
      <c r="Q12166">
        <v>0</v>
      </c>
      <c r="R12166" t="s">
        <v>45110</v>
      </c>
      <c r="S12166" t="s">
        <v>45605</v>
      </c>
      <c r="T12166" t="s">
        <v>46968</v>
      </c>
      <c r="U12166" t="s">
        <v>57414</v>
      </c>
      <c r="W12166" t="s">
        <v>43739</v>
      </c>
      <c r="X12166" t="s">
        <v>45111</v>
      </c>
    </row>
    <row r="12167" spans="1:24">
      <c r="A12167">
        <f>HYPERLINK("https://www.philgeps.gov.ph/GEPSNONPILOT/Tender/SplashBidNoticeAbstractUI.aspx?menuIndex=3&amp;refID=7024085&amp;Result=3","7024085")</f>
        <v>0</v>
      </c>
      <c r="B12167" t="s">
        <v>1153</v>
      </c>
      <c r="C12167" t="s">
        <v>14826</v>
      </c>
      <c r="D12167" t="s">
        <v>18036</v>
      </c>
      <c r="E12167" t="s">
        <v>28633</v>
      </c>
      <c r="F12167" t="s">
        <v>31574</v>
      </c>
      <c r="G12167" t="s">
        <v>31582</v>
      </c>
      <c r="H12167" t="s">
        <v>31590</v>
      </c>
      <c r="I12167" t="s">
        <v>31599</v>
      </c>
      <c r="J12167" t="s">
        <v>39241</v>
      </c>
      <c r="K12167" t="s">
        <v>41186</v>
      </c>
      <c r="M12167" t="s">
        <v>42709</v>
      </c>
      <c r="N12167" t="s">
        <v>45095</v>
      </c>
      <c r="O12167" t="s">
        <v>45096</v>
      </c>
      <c r="P12167">
        <v>0</v>
      </c>
      <c r="Q12167">
        <v>2</v>
      </c>
      <c r="R12167" t="s">
        <v>45110</v>
      </c>
      <c r="S12167" t="s">
        <v>45605</v>
      </c>
      <c r="T12167" t="s">
        <v>46930</v>
      </c>
      <c r="U12167" t="s">
        <v>57415</v>
      </c>
      <c r="W12167" t="s">
        <v>61691</v>
      </c>
      <c r="X12167" t="s">
        <v>45111</v>
      </c>
    </row>
    <row r="12168" spans="1:24">
      <c r="A12168">
        <f>HYPERLINK("https://www.philgeps.gov.ph/GEPSNONPILOT/Tender/SplashBidNoticeAbstractUI.aspx?menuIndex=3&amp;refID=7024089&amp;Result=3","7024089")</f>
        <v>0</v>
      </c>
      <c r="B12168" t="s">
        <v>116</v>
      </c>
      <c r="C12168" t="s">
        <v>14827</v>
      </c>
      <c r="D12168" t="s">
        <v>18068</v>
      </c>
      <c r="E12168" t="s">
        <v>28634</v>
      </c>
      <c r="F12168" t="s">
        <v>31574</v>
      </c>
      <c r="G12168" t="s">
        <v>31582</v>
      </c>
      <c r="H12168" t="s">
        <v>31590</v>
      </c>
      <c r="I12168" t="s">
        <v>31604</v>
      </c>
      <c r="J12168" t="s">
        <v>39242</v>
      </c>
      <c r="K12168" t="s">
        <v>41196</v>
      </c>
      <c r="M12168" t="s">
        <v>41600</v>
      </c>
      <c r="N12168" t="s">
        <v>45095</v>
      </c>
      <c r="O12168" t="s">
        <v>45096</v>
      </c>
      <c r="P12168">
        <v>0</v>
      </c>
      <c r="Q12168">
        <v>2</v>
      </c>
      <c r="R12168" t="s">
        <v>45110</v>
      </c>
      <c r="S12168" t="s">
        <v>45605</v>
      </c>
      <c r="T12168" t="s">
        <v>47056</v>
      </c>
      <c r="U12168" t="s">
        <v>57416</v>
      </c>
      <c r="V12168" t="s">
        <v>59888</v>
      </c>
      <c r="W12168" t="s">
        <v>41600</v>
      </c>
      <c r="X12168" t="s">
        <v>45111</v>
      </c>
    </row>
    <row r="12169" spans="1:24">
      <c r="A12169">
        <f>HYPERLINK("https://www.philgeps.gov.ph/GEPSNONPILOT/Tender/SplashBidNoticeAbstractUI.aspx?menuIndex=3&amp;refID=7024034&amp;Result=3","7024034")</f>
        <v>0</v>
      </c>
      <c r="B12169" t="s">
        <v>1494</v>
      </c>
      <c r="C12169" t="s">
        <v>14828</v>
      </c>
      <c r="D12169" t="s">
        <v>18031</v>
      </c>
      <c r="E12169" t="s">
        <v>28635</v>
      </c>
      <c r="F12169" t="s">
        <v>31574</v>
      </c>
      <c r="G12169" t="s">
        <v>31582</v>
      </c>
      <c r="H12169" t="s">
        <v>31590</v>
      </c>
      <c r="I12169" t="s">
        <v>31699</v>
      </c>
      <c r="J12169" t="s">
        <v>34764</v>
      </c>
      <c r="K12169" t="s">
        <v>41196</v>
      </c>
      <c r="M12169" t="s">
        <v>44097</v>
      </c>
      <c r="N12169" t="s">
        <v>45095</v>
      </c>
      <c r="O12169" t="s">
        <v>45096</v>
      </c>
      <c r="Q12169">
        <v>7</v>
      </c>
      <c r="R12169" t="s">
        <v>45110</v>
      </c>
      <c r="S12169" t="s">
        <v>45684</v>
      </c>
      <c r="T12169" t="s">
        <v>47111</v>
      </c>
      <c r="U12169" t="s">
        <v>57417</v>
      </c>
      <c r="W12169" t="s">
        <v>44097</v>
      </c>
      <c r="X12169" t="s">
        <v>45111</v>
      </c>
    </row>
    <row r="12170" spans="1:24">
      <c r="A12170">
        <f>HYPERLINK("https://www.philgeps.gov.ph/GEPSNONPILOT/Tender/SplashBidNoticeAbstractUI.aspx?menuIndex=3&amp;refID=7024099&amp;Result=3","7024099")</f>
        <v>0</v>
      </c>
      <c r="B12170" t="s">
        <v>1153</v>
      </c>
      <c r="C12170" t="s">
        <v>14829</v>
      </c>
      <c r="D12170" t="s">
        <v>18036</v>
      </c>
      <c r="E12170" t="s">
        <v>28636</v>
      </c>
      <c r="F12170" t="s">
        <v>31574</v>
      </c>
      <c r="G12170" t="s">
        <v>31582</v>
      </c>
      <c r="H12170" t="s">
        <v>31590</v>
      </c>
      <c r="I12170" t="s">
        <v>31599</v>
      </c>
      <c r="J12170" t="s">
        <v>39243</v>
      </c>
      <c r="K12170" t="s">
        <v>41186</v>
      </c>
      <c r="M12170" t="s">
        <v>42709</v>
      </c>
      <c r="N12170" t="s">
        <v>45095</v>
      </c>
      <c r="O12170" t="s">
        <v>45096</v>
      </c>
      <c r="P12170">
        <v>0</v>
      </c>
      <c r="Q12170">
        <v>0</v>
      </c>
      <c r="R12170" t="s">
        <v>45110</v>
      </c>
      <c r="S12170" t="s">
        <v>45605</v>
      </c>
      <c r="T12170" t="s">
        <v>46930</v>
      </c>
      <c r="U12170" t="s">
        <v>57418</v>
      </c>
      <c r="W12170" t="s">
        <v>61691</v>
      </c>
      <c r="X12170" t="s">
        <v>45111</v>
      </c>
    </row>
    <row r="12171" spans="1:24">
      <c r="A12171">
        <f>HYPERLINK("https://www.philgeps.gov.ph/GEPSNONPILOT/Tender/SplashBidNoticeAbstractUI.aspx?menuIndex=3&amp;refID=7024094&amp;Result=3","7024094")</f>
        <v>0</v>
      </c>
      <c r="B12171" t="s">
        <v>1153</v>
      </c>
      <c r="C12171" t="s">
        <v>14830</v>
      </c>
      <c r="D12171" t="s">
        <v>18036</v>
      </c>
      <c r="E12171" t="s">
        <v>28637</v>
      </c>
      <c r="F12171" t="s">
        <v>31574</v>
      </c>
      <c r="G12171" t="s">
        <v>31582</v>
      </c>
      <c r="H12171" t="s">
        <v>31590</v>
      </c>
      <c r="I12171" t="s">
        <v>31599</v>
      </c>
      <c r="J12171" t="s">
        <v>39244</v>
      </c>
      <c r="K12171" t="s">
        <v>41186</v>
      </c>
      <c r="M12171" t="s">
        <v>42709</v>
      </c>
      <c r="N12171" t="s">
        <v>45095</v>
      </c>
      <c r="O12171" t="s">
        <v>45096</v>
      </c>
      <c r="P12171">
        <v>0</v>
      </c>
      <c r="Q12171">
        <v>3</v>
      </c>
      <c r="R12171" t="s">
        <v>45110</v>
      </c>
      <c r="S12171" t="s">
        <v>45605</v>
      </c>
      <c r="T12171" t="s">
        <v>46930</v>
      </c>
      <c r="U12171" t="s">
        <v>57419</v>
      </c>
      <c r="W12171" t="s">
        <v>61691</v>
      </c>
      <c r="X12171" t="s">
        <v>45111</v>
      </c>
    </row>
    <row r="12172" spans="1:24">
      <c r="A12172">
        <f>HYPERLINK("https://www.philgeps.gov.ph/GEPSNONPILOT/Tender/SplashBidNoticeAbstractUI.aspx?menuIndex=3&amp;refID=7024087&amp;Result=3","7024087")</f>
        <v>0</v>
      </c>
      <c r="B12172" t="s">
        <v>116</v>
      </c>
      <c r="C12172" t="s">
        <v>14831</v>
      </c>
      <c r="D12172" t="s">
        <v>18068</v>
      </c>
      <c r="E12172" t="s">
        <v>28638</v>
      </c>
      <c r="F12172" t="s">
        <v>31574</v>
      </c>
      <c r="G12172" t="s">
        <v>31582</v>
      </c>
      <c r="H12172" t="s">
        <v>31590</v>
      </c>
      <c r="I12172" t="s">
        <v>31598</v>
      </c>
      <c r="J12172" t="s">
        <v>32497</v>
      </c>
      <c r="K12172" t="s">
        <v>41192</v>
      </c>
      <c r="M12172" t="s">
        <v>42901</v>
      </c>
      <c r="N12172" t="s">
        <v>45095</v>
      </c>
      <c r="O12172" t="s">
        <v>45096</v>
      </c>
      <c r="P12172">
        <v>0</v>
      </c>
      <c r="Q12172">
        <v>7</v>
      </c>
      <c r="R12172" t="s">
        <v>45110</v>
      </c>
      <c r="S12172" t="s">
        <v>45605</v>
      </c>
      <c r="T12172" t="s">
        <v>47056</v>
      </c>
      <c r="U12172" t="s">
        <v>57420</v>
      </c>
      <c r="V12172" t="s">
        <v>59888</v>
      </c>
      <c r="W12172" t="s">
        <v>42901</v>
      </c>
      <c r="X12172" t="s">
        <v>45111</v>
      </c>
    </row>
    <row r="12173" spans="1:24">
      <c r="A12173">
        <f>HYPERLINK("https://www.philgeps.gov.ph/GEPSNONPILOT/Tender/SplashBidNoticeAbstractUI.aspx?menuIndex=3&amp;refID=7024078&amp;Result=3","7024078")</f>
        <v>0</v>
      </c>
      <c r="B12173" t="s">
        <v>116</v>
      </c>
      <c r="C12173" t="s">
        <v>14832</v>
      </c>
      <c r="D12173" t="s">
        <v>18068</v>
      </c>
      <c r="E12173" t="s">
        <v>28639</v>
      </c>
      <c r="F12173" t="s">
        <v>31574</v>
      </c>
      <c r="G12173" t="s">
        <v>31582</v>
      </c>
      <c r="H12173" t="s">
        <v>31590</v>
      </c>
      <c r="I12173" t="s">
        <v>31598</v>
      </c>
      <c r="J12173" t="s">
        <v>31789</v>
      </c>
      <c r="K12173" t="s">
        <v>41192</v>
      </c>
      <c r="M12173" t="s">
        <v>42901</v>
      </c>
      <c r="N12173" t="s">
        <v>45095</v>
      </c>
      <c r="O12173" t="s">
        <v>45096</v>
      </c>
      <c r="P12173">
        <v>0</v>
      </c>
      <c r="Q12173">
        <v>4</v>
      </c>
      <c r="R12173" t="s">
        <v>45110</v>
      </c>
      <c r="S12173" t="s">
        <v>45605</v>
      </c>
      <c r="T12173" t="s">
        <v>47056</v>
      </c>
      <c r="U12173" t="s">
        <v>57421</v>
      </c>
      <c r="V12173" t="s">
        <v>59888</v>
      </c>
      <c r="W12173" t="s">
        <v>42901</v>
      </c>
      <c r="X12173" t="s">
        <v>45111</v>
      </c>
    </row>
    <row r="12174" spans="1:24">
      <c r="A12174">
        <f>HYPERLINK("https://www.philgeps.gov.ph/GEPSNONPILOT/Tender/SplashBidNoticeAbstractUI.aspx?menuIndex=3&amp;refID=7024082&amp;Result=3","7024082")</f>
        <v>0</v>
      </c>
      <c r="B12174" t="s">
        <v>1612</v>
      </c>
      <c r="C12174" t="s">
        <v>14833</v>
      </c>
      <c r="D12174" t="s">
        <v>18070</v>
      </c>
      <c r="E12174" t="s">
        <v>28640</v>
      </c>
      <c r="F12174" t="s">
        <v>31574</v>
      </c>
      <c r="G12174" t="s">
        <v>31582</v>
      </c>
      <c r="H12174" t="s">
        <v>31591</v>
      </c>
      <c r="I12174" t="s">
        <v>8822</v>
      </c>
      <c r="J12174" t="s">
        <v>39245</v>
      </c>
      <c r="K12174" t="s">
        <v>41189</v>
      </c>
      <c r="M12174" t="s">
        <v>44728</v>
      </c>
      <c r="N12174" t="s">
        <v>45095</v>
      </c>
      <c r="O12174" t="s">
        <v>45096</v>
      </c>
      <c r="P12174">
        <v>0</v>
      </c>
      <c r="Q12174">
        <v>0</v>
      </c>
      <c r="R12174" t="s">
        <v>45110</v>
      </c>
      <c r="S12174" t="s">
        <v>45605</v>
      </c>
      <c r="T12174" t="s">
        <v>46926</v>
      </c>
      <c r="U12174" t="s">
        <v>51527</v>
      </c>
      <c r="W12174" t="s">
        <v>44728</v>
      </c>
      <c r="X12174" t="s">
        <v>45111</v>
      </c>
    </row>
    <row r="12175" spans="1:24">
      <c r="A12175">
        <f>HYPERLINK("https://www.philgeps.gov.ph/GEPSNONPILOT/Tender/SplashBidNoticeAbstractUI.aspx?menuIndex=3&amp;refID=7024062&amp;Result=3","7024062")</f>
        <v>0</v>
      </c>
      <c r="B12175" t="s">
        <v>1143</v>
      </c>
      <c r="C12175" t="s">
        <v>14834</v>
      </c>
      <c r="D12175" t="s">
        <v>18053</v>
      </c>
      <c r="E12175" t="s">
        <v>28641</v>
      </c>
      <c r="F12175" t="s">
        <v>31574</v>
      </c>
      <c r="G12175" t="s">
        <v>31582</v>
      </c>
      <c r="H12175" t="s">
        <v>31591</v>
      </c>
      <c r="I12175" t="s">
        <v>8822</v>
      </c>
      <c r="J12175" t="s">
        <v>39246</v>
      </c>
      <c r="K12175" t="s">
        <v>41268</v>
      </c>
      <c r="M12175" t="s">
        <v>42696</v>
      </c>
      <c r="N12175" t="s">
        <v>45095</v>
      </c>
      <c r="O12175" t="s">
        <v>45096</v>
      </c>
      <c r="Q12175">
        <v>0</v>
      </c>
      <c r="R12175" t="s">
        <v>45110</v>
      </c>
      <c r="S12175" t="s">
        <v>45685</v>
      </c>
      <c r="T12175" t="s">
        <v>46910</v>
      </c>
      <c r="U12175" t="s">
        <v>57422</v>
      </c>
      <c r="W12175" t="s">
        <v>42696</v>
      </c>
      <c r="X12175" t="s">
        <v>45111</v>
      </c>
    </row>
    <row r="12176" spans="1:24">
      <c r="A12176">
        <f>HYPERLINK("https://www.philgeps.gov.ph/GEPSNONPILOT/Tender/SplashBidNoticeAbstractUI.aspx?menuIndex=3&amp;refID=7024046&amp;Result=3","7024046")</f>
        <v>0</v>
      </c>
      <c r="B12176" t="s">
        <v>1143</v>
      </c>
      <c r="C12176" t="s">
        <v>14835</v>
      </c>
      <c r="D12176" t="s">
        <v>18053</v>
      </c>
      <c r="E12176" t="s">
        <v>28642</v>
      </c>
      <c r="F12176" t="s">
        <v>31574</v>
      </c>
      <c r="G12176" t="s">
        <v>31582</v>
      </c>
      <c r="H12176" t="s">
        <v>31591</v>
      </c>
      <c r="I12176" t="s">
        <v>8822</v>
      </c>
      <c r="J12176" t="s">
        <v>39247</v>
      </c>
      <c r="K12176" t="s">
        <v>41239</v>
      </c>
      <c r="M12176" t="s">
        <v>42696</v>
      </c>
      <c r="N12176" t="s">
        <v>45095</v>
      </c>
      <c r="O12176" t="s">
        <v>45096</v>
      </c>
      <c r="Q12176">
        <v>0</v>
      </c>
      <c r="R12176" t="s">
        <v>45110</v>
      </c>
      <c r="S12176" t="s">
        <v>45686</v>
      </c>
      <c r="T12176" t="s">
        <v>46910</v>
      </c>
      <c r="U12176" t="s">
        <v>57423</v>
      </c>
      <c r="W12176" t="s">
        <v>42696</v>
      </c>
      <c r="X12176" t="s">
        <v>45111</v>
      </c>
    </row>
    <row r="12177" spans="1:24">
      <c r="A12177">
        <f>HYPERLINK("https://www.philgeps.gov.ph/GEPSNONPILOT/Tender/SplashBidNoticeAbstractUI.aspx?menuIndex=3&amp;refID=7024071&amp;Result=3","7024071")</f>
        <v>0</v>
      </c>
      <c r="B12177" t="s">
        <v>182</v>
      </c>
      <c r="C12177" t="s">
        <v>14836</v>
      </c>
      <c r="D12177" t="s">
        <v>18060</v>
      </c>
      <c r="E12177" t="s">
        <v>28643</v>
      </c>
      <c r="F12177" t="s">
        <v>31574</v>
      </c>
      <c r="G12177" t="s">
        <v>31582</v>
      </c>
      <c r="H12177" t="s">
        <v>31590</v>
      </c>
      <c r="I12177" t="s">
        <v>3901</v>
      </c>
      <c r="J12177" t="s">
        <v>34069</v>
      </c>
      <c r="K12177" t="s">
        <v>41186</v>
      </c>
      <c r="M12177" t="s">
        <v>44709</v>
      </c>
      <c r="N12177" t="s">
        <v>45095</v>
      </c>
      <c r="O12177" t="s">
        <v>45096</v>
      </c>
      <c r="P12177">
        <v>0</v>
      </c>
      <c r="Q12177">
        <v>5</v>
      </c>
      <c r="R12177" t="s">
        <v>45110</v>
      </c>
      <c r="S12177" t="s">
        <v>45605</v>
      </c>
      <c r="T12177" t="s">
        <v>46966</v>
      </c>
      <c r="U12177" t="s">
        <v>57424</v>
      </c>
      <c r="W12177" t="s">
        <v>44709</v>
      </c>
      <c r="X12177" t="s">
        <v>45111</v>
      </c>
    </row>
    <row r="12178" spans="1:24">
      <c r="A12178">
        <f>HYPERLINK("https://www.philgeps.gov.ph/GEPSNONPILOT/Tender/SplashBidNoticeAbstractUI.aspx?menuIndex=3&amp;refID=7024041&amp;Result=3","7024041")</f>
        <v>0</v>
      </c>
      <c r="B12178" t="s">
        <v>2922</v>
      </c>
      <c r="C12178" t="s">
        <v>14837</v>
      </c>
      <c r="D12178" t="s">
        <v>18071</v>
      </c>
      <c r="E12178" t="s">
        <v>28644</v>
      </c>
      <c r="F12178" t="s">
        <v>31574</v>
      </c>
      <c r="G12178" t="s">
        <v>31582</v>
      </c>
      <c r="H12178" t="s">
        <v>31590</v>
      </c>
      <c r="I12178" t="s">
        <v>31594</v>
      </c>
      <c r="J12178" t="s">
        <v>31730</v>
      </c>
      <c r="K12178" t="s">
        <v>41200</v>
      </c>
      <c r="M12178" t="s">
        <v>44729</v>
      </c>
      <c r="N12178" t="s">
        <v>45095</v>
      </c>
      <c r="O12178" t="s">
        <v>45096</v>
      </c>
      <c r="P12178">
        <v>0</v>
      </c>
      <c r="Q12178">
        <v>36</v>
      </c>
      <c r="R12178" t="s">
        <v>45110</v>
      </c>
      <c r="S12178" t="s">
        <v>45605</v>
      </c>
      <c r="T12178" t="s">
        <v>46904</v>
      </c>
      <c r="U12178" t="s">
        <v>57425</v>
      </c>
      <c r="W12178" t="s">
        <v>61766</v>
      </c>
      <c r="X12178" t="s">
        <v>45111</v>
      </c>
    </row>
    <row r="12179" spans="1:24">
      <c r="A12179">
        <f>HYPERLINK("https://www.philgeps.gov.ph/GEPSNONPILOT/Tender/SplashBidNoticeAbstractUI.aspx?menuIndex=3&amp;refID=7024114&amp;Result=3","7024114")</f>
        <v>0</v>
      </c>
      <c r="B12179" t="s">
        <v>116</v>
      </c>
      <c r="C12179" t="s">
        <v>14838</v>
      </c>
      <c r="D12179" t="s">
        <v>18068</v>
      </c>
      <c r="E12179" t="s">
        <v>28645</v>
      </c>
      <c r="F12179" t="s">
        <v>31574</v>
      </c>
      <c r="G12179" t="s">
        <v>31582</v>
      </c>
      <c r="H12179" t="s">
        <v>31590</v>
      </c>
      <c r="I12179" t="s">
        <v>31629</v>
      </c>
      <c r="J12179" t="s">
        <v>39248</v>
      </c>
      <c r="K12179" t="s">
        <v>41196</v>
      </c>
      <c r="M12179" t="s">
        <v>41600</v>
      </c>
      <c r="N12179" t="s">
        <v>45095</v>
      </c>
      <c r="O12179" t="s">
        <v>45096</v>
      </c>
      <c r="P12179">
        <v>0</v>
      </c>
      <c r="Q12179">
        <v>2</v>
      </c>
      <c r="R12179" t="s">
        <v>45110</v>
      </c>
      <c r="S12179" t="s">
        <v>45605</v>
      </c>
      <c r="T12179" t="s">
        <v>47056</v>
      </c>
      <c r="U12179" t="s">
        <v>57426</v>
      </c>
      <c r="V12179" t="s">
        <v>59888</v>
      </c>
      <c r="W12179" t="s">
        <v>41600</v>
      </c>
      <c r="X12179" t="s">
        <v>45111</v>
      </c>
    </row>
    <row r="12180" spans="1:24">
      <c r="A12180">
        <f>HYPERLINK("https://www.philgeps.gov.ph/GEPSNONPILOT/Tender/SplashBidNoticeAbstractUI.aspx?menuIndex=3&amp;refID=7024120&amp;Result=3","7024120")</f>
        <v>0</v>
      </c>
      <c r="B12180" t="s">
        <v>116</v>
      </c>
      <c r="C12180" t="s">
        <v>14839</v>
      </c>
      <c r="D12180" t="s">
        <v>18068</v>
      </c>
      <c r="E12180" t="s">
        <v>28646</v>
      </c>
      <c r="F12180" t="s">
        <v>31574</v>
      </c>
      <c r="G12180" t="s">
        <v>31582</v>
      </c>
      <c r="H12180" t="s">
        <v>31590</v>
      </c>
      <c r="I12180" t="s">
        <v>3539</v>
      </c>
      <c r="J12180" t="s">
        <v>39249</v>
      </c>
      <c r="K12180" t="s">
        <v>41184</v>
      </c>
      <c r="M12180" t="s">
        <v>41600</v>
      </c>
      <c r="N12180" t="s">
        <v>45095</v>
      </c>
      <c r="O12180" t="s">
        <v>45096</v>
      </c>
      <c r="P12180">
        <v>0</v>
      </c>
      <c r="Q12180">
        <v>1</v>
      </c>
      <c r="R12180" t="s">
        <v>45110</v>
      </c>
      <c r="S12180" t="s">
        <v>45605</v>
      </c>
      <c r="T12180" t="s">
        <v>47056</v>
      </c>
      <c r="U12180" t="s">
        <v>57427</v>
      </c>
      <c r="V12180" t="s">
        <v>59888</v>
      </c>
      <c r="W12180" t="s">
        <v>41600</v>
      </c>
      <c r="X12180" t="s">
        <v>45111</v>
      </c>
    </row>
    <row r="12181" spans="1:24">
      <c r="A12181">
        <f>HYPERLINK("https://www.philgeps.gov.ph/GEPSNONPILOT/Tender/SplashBidNoticeAbstractUI.aspx?menuIndex=3&amp;refID=7024043&amp;Result=3","7024043")</f>
        <v>0</v>
      </c>
      <c r="B12181" t="s">
        <v>1030</v>
      </c>
      <c r="C12181" t="s">
        <v>14840</v>
      </c>
      <c r="D12181" t="s">
        <v>18033</v>
      </c>
      <c r="E12181" t="s">
        <v>28647</v>
      </c>
      <c r="F12181" t="s">
        <v>31574</v>
      </c>
      <c r="G12181" t="s">
        <v>31582</v>
      </c>
      <c r="H12181" t="s">
        <v>31591</v>
      </c>
      <c r="I12181" t="s">
        <v>8822</v>
      </c>
      <c r="J12181" t="s">
        <v>39250</v>
      </c>
      <c r="K12181" t="s">
        <v>41295</v>
      </c>
      <c r="M12181" t="s">
        <v>44727</v>
      </c>
      <c r="N12181" t="s">
        <v>45095</v>
      </c>
      <c r="O12181" t="s">
        <v>45096</v>
      </c>
      <c r="P12181">
        <v>0</v>
      </c>
      <c r="Q12181">
        <v>3</v>
      </c>
      <c r="R12181" t="s">
        <v>45110</v>
      </c>
      <c r="S12181" t="s">
        <v>45605</v>
      </c>
      <c r="T12181" t="s">
        <v>46979</v>
      </c>
      <c r="U12181" t="s">
        <v>57413</v>
      </c>
      <c r="V12181" t="s">
        <v>61178</v>
      </c>
      <c r="W12181" t="s">
        <v>44727</v>
      </c>
      <c r="X12181" t="s">
        <v>45111</v>
      </c>
    </row>
    <row r="12182" spans="1:24">
      <c r="A12182">
        <f>HYPERLINK("https://www.philgeps.gov.ph/GEPSNONPILOT/Tender/SplashBidNoticeAbstractUI.aspx?menuIndex=3&amp;refID=7024121&amp;Result=3","7024121")</f>
        <v>0</v>
      </c>
      <c r="B12182" t="s">
        <v>1120</v>
      </c>
      <c r="C12182" t="s">
        <v>14841</v>
      </c>
      <c r="E12182" t="s">
        <v>28648</v>
      </c>
      <c r="F12182" t="s">
        <v>31574</v>
      </c>
      <c r="G12182" t="s">
        <v>31581</v>
      </c>
      <c r="H12182" t="s">
        <v>31590</v>
      </c>
      <c r="I12182" t="s">
        <v>31608</v>
      </c>
      <c r="J12182" t="s">
        <v>39251</v>
      </c>
      <c r="K12182" t="s">
        <v>41186</v>
      </c>
      <c r="M12182" t="s">
        <v>42817</v>
      </c>
      <c r="N12182" t="s">
        <v>45095</v>
      </c>
      <c r="O12182" t="s">
        <v>45096</v>
      </c>
      <c r="Q12182">
        <v>20</v>
      </c>
      <c r="R12182" t="s">
        <v>45110</v>
      </c>
      <c r="S12182" t="s">
        <v>45687</v>
      </c>
      <c r="T12182" t="s">
        <v>47176</v>
      </c>
      <c r="U12182" t="s">
        <v>57428</v>
      </c>
      <c r="W12182" t="s">
        <v>42817</v>
      </c>
      <c r="X12182" t="s">
        <v>45111</v>
      </c>
    </row>
    <row r="12183" spans="1:24">
      <c r="A12183">
        <f>HYPERLINK("https://www.philgeps.gov.ph/GEPSNONPILOT/Tender/SplashBidNoticeAbstractUI.aspx?menuIndex=3&amp;refID=7024145&amp;Result=3","7024145")</f>
        <v>0</v>
      </c>
      <c r="B12183" t="s">
        <v>1153</v>
      </c>
      <c r="C12183" t="s">
        <v>14842</v>
      </c>
      <c r="D12183" t="s">
        <v>18036</v>
      </c>
      <c r="E12183" t="s">
        <v>28649</v>
      </c>
      <c r="F12183" t="s">
        <v>31574</v>
      </c>
      <c r="G12183" t="s">
        <v>31582</v>
      </c>
      <c r="H12183" t="s">
        <v>31590</v>
      </c>
      <c r="I12183" t="s">
        <v>31602</v>
      </c>
      <c r="J12183" t="s">
        <v>39252</v>
      </c>
      <c r="K12183" t="s">
        <v>41189</v>
      </c>
      <c r="M12183" t="s">
        <v>42709</v>
      </c>
      <c r="N12183" t="s">
        <v>45095</v>
      </c>
      <c r="O12183" t="s">
        <v>45096</v>
      </c>
      <c r="P12183">
        <v>0</v>
      </c>
      <c r="Q12183">
        <v>0</v>
      </c>
      <c r="R12183" t="s">
        <v>45110</v>
      </c>
      <c r="S12183" t="s">
        <v>45605</v>
      </c>
      <c r="T12183" t="s">
        <v>46930</v>
      </c>
      <c r="U12183" t="s">
        <v>57429</v>
      </c>
      <c r="W12183" t="s">
        <v>61691</v>
      </c>
      <c r="X12183" t="s">
        <v>45111</v>
      </c>
    </row>
    <row r="12184" spans="1:24">
      <c r="A12184">
        <f>HYPERLINK("https://www.philgeps.gov.ph/GEPSNONPILOT/Tender/SplashBidNoticeAbstractUI.aspx?menuIndex=3&amp;refID=7024109&amp;Result=3","7024109")</f>
        <v>0</v>
      </c>
      <c r="B12184" t="s">
        <v>116</v>
      </c>
      <c r="C12184" t="s">
        <v>14843</v>
      </c>
      <c r="D12184" t="s">
        <v>18068</v>
      </c>
      <c r="E12184" t="s">
        <v>28650</v>
      </c>
      <c r="F12184" t="s">
        <v>31574</v>
      </c>
      <c r="G12184" t="s">
        <v>31582</v>
      </c>
      <c r="H12184" t="s">
        <v>31590</v>
      </c>
      <c r="I12184" t="s">
        <v>4327</v>
      </c>
      <c r="J12184" t="s">
        <v>31843</v>
      </c>
      <c r="K12184" t="s">
        <v>41196</v>
      </c>
      <c r="M12184" t="s">
        <v>41600</v>
      </c>
      <c r="N12184" t="s">
        <v>45095</v>
      </c>
      <c r="O12184" t="s">
        <v>45096</v>
      </c>
      <c r="P12184">
        <v>0</v>
      </c>
      <c r="Q12184">
        <v>2</v>
      </c>
      <c r="R12184" t="s">
        <v>45110</v>
      </c>
      <c r="S12184" t="s">
        <v>45605</v>
      </c>
      <c r="T12184" t="s">
        <v>47056</v>
      </c>
      <c r="U12184" t="s">
        <v>57430</v>
      </c>
      <c r="V12184" t="s">
        <v>59888</v>
      </c>
      <c r="W12184" t="s">
        <v>41600</v>
      </c>
      <c r="X12184" t="s">
        <v>45111</v>
      </c>
    </row>
    <row r="12185" spans="1:24">
      <c r="A12185">
        <f>HYPERLINK("https://www.philgeps.gov.ph/GEPSNONPILOT/Tender/SplashBidNoticeAbstractUI.aspx?menuIndex=3&amp;refID=7024149&amp;Result=3","7024149")</f>
        <v>0</v>
      </c>
      <c r="B12185" t="s">
        <v>1700</v>
      </c>
      <c r="C12185" t="s">
        <v>14844</v>
      </c>
      <c r="D12185" t="s">
        <v>18052</v>
      </c>
      <c r="E12185" t="s">
        <v>28651</v>
      </c>
      <c r="F12185" t="s">
        <v>31574</v>
      </c>
      <c r="G12185" t="s">
        <v>31582</v>
      </c>
      <c r="H12185" t="s">
        <v>31591</v>
      </c>
      <c r="I12185" t="s">
        <v>8822</v>
      </c>
      <c r="J12185" t="s">
        <v>39253</v>
      </c>
      <c r="K12185" t="s">
        <v>41186</v>
      </c>
      <c r="M12185" t="s">
        <v>43314</v>
      </c>
      <c r="N12185" t="s">
        <v>45095</v>
      </c>
      <c r="O12185" t="s">
        <v>45096</v>
      </c>
      <c r="P12185">
        <v>0</v>
      </c>
      <c r="Q12185">
        <v>0</v>
      </c>
      <c r="R12185" t="s">
        <v>45110</v>
      </c>
      <c r="S12185" t="s">
        <v>45605</v>
      </c>
      <c r="T12185" t="s">
        <v>46936</v>
      </c>
      <c r="U12185" t="s">
        <v>51769</v>
      </c>
      <c r="V12185" t="s">
        <v>60391</v>
      </c>
      <c r="W12185" t="s">
        <v>43314</v>
      </c>
      <c r="X12185" t="s">
        <v>45111</v>
      </c>
    </row>
    <row r="12186" spans="1:24">
      <c r="A12186">
        <f>HYPERLINK("https://www.philgeps.gov.ph/GEPSNONPILOT/Tender/SplashBidNoticeAbstractUI.aspx?menuIndex=3&amp;refID=7024253&amp;Result=3","7024253")</f>
        <v>0</v>
      </c>
      <c r="B12186" t="s">
        <v>2627</v>
      </c>
      <c r="C12186" t="s">
        <v>14845</v>
      </c>
      <c r="D12186" t="s">
        <v>18122</v>
      </c>
      <c r="E12186" t="s">
        <v>28652</v>
      </c>
      <c r="F12186" t="s">
        <v>31574</v>
      </c>
      <c r="G12186" t="s">
        <v>31582</v>
      </c>
      <c r="H12186" t="s">
        <v>31590</v>
      </c>
      <c r="I12186" t="s">
        <v>31614</v>
      </c>
      <c r="J12186" t="s">
        <v>32076</v>
      </c>
      <c r="K12186" t="s">
        <v>41192</v>
      </c>
      <c r="M12186" t="s">
        <v>44596</v>
      </c>
      <c r="N12186" t="s">
        <v>45095</v>
      </c>
      <c r="O12186" t="s">
        <v>45096</v>
      </c>
      <c r="P12186">
        <v>0</v>
      </c>
      <c r="Q12186">
        <v>5</v>
      </c>
      <c r="R12186" t="s">
        <v>45110</v>
      </c>
      <c r="S12186" t="s">
        <v>45605</v>
      </c>
      <c r="T12186" t="s">
        <v>46923</v>
      </c>
      <c r="U12186" t="s">
        <v>57431</v>
      </c>
      <c r="W12186" t="s">
        <v>44596</v>
      </c>
      <c r="X12186" t="s">
        <v>45111</v>
      </c>
    </row>
    <row r="12187" spans="1:24">
      <c r="A12187">
        <f>HYPERLINK("https://www.philgeps.gov.ph/GEPSNONPILOT/Tender/SplashBidNoticeAbstractUI.aspx?menuIndex=3&amp;refID=7024247&amp;Result=3","7024247")</f>
        <v>0</v>
      </c>
      <c r="B12187" t="s">
        <v>952</v>
      </c>
      <c r="C12187" t="s">
        <v>14846</v>
      </c>
      <c r="D12187" t="s">
        <v>18058</v>
      </c>
      <c r="E12187" t="s">
        <v>20364</v>
      </c>
      <c r="F12187" t="s">
        <v>31574</v>
      </c>
      <c r="G12187" t="s">
        <v>31582</v>
      </c>
      <c r="H12187" t="s">
        <v>31590</v>
      </c>
      <c r="I12187" t="s">
        <v>3487</v>
      </c>
      <c r="J12187" t="s">
        <v>39254</v>
      </c>
      <c r="K12187" t="s">
        <v>41184</v>
      </c>
      <c r="M12187" t="s">
        <v>44401</v>
      </c>
      <c r="N12187" t="s">
        <v>45095</v>
      </c>
      <c r="O12187" t="s">
        <v>45096</v>
      </c>
      <c r="P12187">
        <v>0</v>
      </c>
      <c r="Q12187">
        <v>0</v>
      </c>
      <c r="R12187" t="s">
        <v>45110</v>
      </c>
      <c r="S12187" t="s">
        <v>45605</v>
      </c>
      <c r="T12187" t="s">
        <v>46920</v>
      </c>
      <c r="U12187" t="s">
        <v>57432</v>
      </c>
      <c r="W12187" t="s">
        <v>61749</v>
      </c>
      <c r="X12187" t="s">
        <v>45111</v>
      </c>
    </row>
    <row r="12188" spans="1:24">
      <c r="A12188">
        <f>HYPERLINK("https://www.philgeps.gov.ph/GEPSNONPILOT/Tender/SplashBidNoticeAbstractUI.aspx?menuIndex=3&amp;refID=7024245&amp;Result=3","7024245")</f>
        <v>0</v>
      </c>
      <c r="B12188" t="s">
        <v>952</v>
      </c>
      <c r="C12188" t="s">
        <v>14847</v>
      </c>
      <c r="D12188" t="s">
        <v>18058</v>
      </c>
      <c r="E12188" t="s">
        <v>28653</v>
      </c>
      <c r="F12188" t="s">
        <v>31574</v>
      </c>
      <c r="G12188" t="s">
        <v>31582</v>
      </c>
      <c r="H12188" t="s">
        <v>31590</v>
      </c>
      <c r="I12188" t="s">
        <v>4327</v>
      </c>
      <c r="J12188" t="s">
        <v>39255</v>
      </c>
      <c r="K12188" t="s">
        <v>41184</v>
      </c>
      <c r="M12188" t="s">
        <v>44401</v>
      </c>
      <c r="N12188" t="s">
        <v>45095</v>
      </c>
      <c r="O12188" t="s">
        <v>45096</v>
      </c>
      <c r="P12188">
        <v>0</v>
      </c>
      <c r="Q12188">
        <v>0</v>
      </c>
      <c r="R12188" t="s">
        <v>45110</v>
      </c>
      <c r="S12188" t="s">
        <v>45605</v>
      </c>
      <c r="T12188" t="s">
        <v>46920</v>
      </c>
      <c r="U12188" t="s">
        <v>57432</v>
      </c>
      <c r="W12188" t="s">
        <v>61749</v>
      </c>
      <c r="X12188" t="s">
        <v>45111</v>
      </c>
    </row>
    <row r="12189" spans="1:24">
      <c r="A12189">
        <f>HYPERLINK("https://www.philgeps.gov.ph/GEPSNONPILOT/Tender/SplashBidNoticeAbstractUI.aspx?menuIndex=3&amp;refID=7024208&amp;Result=3","7024208")</f>
        <v>0</v>
      </c>
      <c r="B12189" t="s">
        <v>1132</v>
      </c>
      <c r="C12189" t="s">
        <v>14848</v>
      </c>
      <c r="D12189" t="s">
        <v>18075</v>
      </c>
      <c r="E12189" t="s">
        <v>28654</v>
      </c>
      <c r="F12189" t="s">
        <v>31574</v>
      </c>
      <c r="G12189" t="s">
        <v>31582</v>
      </c>
      <c r="H12189" t="s">
        <v>31590</v>
      </c>
      <c r="I12189" t="s">
        <v>8822</v>
      </c>
      <c r="J12189" t="s">
        <v>39256</v>
      </c>
      <c r="K12189" t="s">
        <v>41196</v>
      </c>
      <c r="M12189" t="s">
        <v>42683</v>
      </c>
      <c r="N12189" t="s">
        <v>45095</v>
      </c>
      <c r="O12189" t="s">
        <v>45096</v>
      </c>
      <c r="P12189">
        <v>0</v>
      </c>
      <c r="Q12189">
        <v>2</v>
      </c>
      <c r="R12189" t="s">
        <v>45110</v>
      </c>
      <c r="S12189" t="s">
        <v>45605</v>
      </c>
      <c r="T12189" t="s">
        <v>46979</v>
      </c>
      <c r="U12189" t="s">
        <v>57433</v>
      </c>
      <c r="W12189" t="s">
        <v>42683</v>
      </c>
      <c r="X12189" t="s">
        <v>45111</v>
      </c>
    </row>
    <row r="12190" spans="1:24">
      <c r="A12190">
        <f>HYPERLINK("https://www.philgeps.gov.ph/GEPSNONPILOT/Tender/SplashBidNoticeAbstractUI.aspx?menuIndex=3&amp;refID=7024200&amp;Result=3","7024200")</f>
        <v>0</v>
      </c>
      <c r="B12190" t="s">
        <v>1978</v>
      </c>
      <c r="C12190" t="s">
        <v>14849</v>
      </c>
      <c r="D12190" t="s">
        <v>18079</v>
      </c>
      <c r="E12190" t="s">
        <v>28655</v>
      </c>
      <c r="F12190" t="s">
        <v>31574</v>
      </c>
      <c r="G12190" t="s">
        <v>31588</v>
      </c>
      <c r="H12190" t="s">
        <v>31591</v>
      </c>
      <c r="I12190" t="s">
        <v>8822</v>
      </c>
      <c r="J12190" t="s">
        <v>37292</v>
      </c>
      <c r="K12190" t="s">
        <v>41370</v>
      </c>
      <c r="M12190" t="s">
        <v>43635</v>
      </c>
      <c r="N12190" t="s">
        <v>45095</v>
      </c>
      <c r="O12190" t="s">
        <v>45096</v>
      </c>
      <c r="Q12190">
        <v>2</v>
      </c>
      <c r="R12190" t="s">
        <v>45110</v>
      </c>
      <c r="S12190" t="s">
        <v>45688</v>
      </c>
      <c r="T12190" t="s">
        <v>46979</v>
      </c>
      <c r="U12190" t="s">
        <v>49578</v>
      </c>
      <c r="W12190" t="s">
        <v>43635</v>
      </c>
      <c r="X12190" t="s">
        <v>45111</v>
      </c>
    </row>
    <row r="12191" spans="1:24">
      <c r="A12191">
        <f>HYPERLINK("https://www.philgeps.gov.ph/GEPSNONPILOT/Tender/SplashBidNoticeAbstractUI.aspx?menuIndex=3&amp;refID=7024240&amp;Result=3","7024240")</f>
        <v>0</v>
      </c>
      <c r="B12191" t="s">
        <v>952</v>
      </c>
      <c r="C12191" t="s">
        <v>14850</v>
      </c>
      <c r="D12191" t="s">
        <v>18058</v>
      </c>
      <c r="E12191" t="s">
        <v>28656</v>
      </c>
      <c r="F12191" t="s">
        <v>31574</v>
      </c>
      <c r="G12191" t="s">
        <v>31582</v>
      </c>
      <c r="H12191" t="s">
        <v>31590</v>
      </c>
      <c r="I12191" t="s">
        <v>4046</v>
      </c>
      <c r="J12191" t="s">
        <v>39257</v>
      </c>
      <c r="K12191" t="s">
        <v>41184</v>
      </c>
      <c r="M12191" t="s">
        <v>44401</v>
      </c>
      <c r="N12191" t="s">
        <v>45095</v>
      </c>
      <c r="O12191" t="s">
        <v>45096</v>
      </c>
      <c r="P12191">
        <v>0</v>
      </c>
      <c r="Q12191">
        <v>0</v>
      </c>
      <c r="R12191" t="s">
        <v>45110</v>
      </c>
      <c r="S12191" t="s">
        <v>45605</v>
      </c>
      <c r="T12191" t="s">
        <v>46920</v>
      </c>
      <c r="U12191" t="s">
        <v>57432</v>
      </c>
      <c r="W12191" t="s">
        <v>61749</v>
      </c>
      <c r="X12191" t="s">
        <v>45111</v>
      </c>
    </row>
    <row r="12192" spans="1:24">
      <c r="A12192">
        <f>HYPERLINK("https://www.philgeps.gov.ph/GEPSNONPILOT/Tender/SplashBidNoticeAbstractUI.aspx?menuIndex=3&amp;refID=7024251&amp;Result=3","7024251")</f>
        <v>0</v>
      </c>
      <c r="B12192" t="s">
        <v>952</v>
      </c>
      <c r="C12192" t="s">
        <v>14851</v>
      </c>
      <c r="D12192" t="s">
        <v>18058</v>
      </c>
      <c r="E12192" t="s">
        <v>28657</v>
      </c>
      <c r="F12192" t="s">
        <v>31574</v>
      </c>
      <c r="G12192" t="s">
        <v>31582</v>
      </c>
      <c r="H12192" t="s">
        <v>31590</v>
      </c>
      <c r="I12192" t="s">
        <v>31602</v>
      </c>
      <c r="J12192" t="s">
        <v>39258</v>
      </c>
      <c r="K12192" t="s">
        <v>41184</v>
      </c>
      <c r="M12192" t="s">
        <v>44401</v>
      </c>
      <c r="N12192" t="s">
        <v>45095</v>
      </c>
      <c r="O12192" t="s">
        <v>45096</v>
      </c>
      <c r="P12192">
        <v>0</v>
      </c>
      <c r="Q12192">
        <v>1</v>
      </c>
      <c r="R12192" t="s">
        <v>45110</v>
      </c>
      <c r="S12192" t="s">
        <v>45605</v>
      </c>
      <c r="T12192" t="s">
        <v>46920</v>
      </c>
      <c r="U12192" t="s">
        <v>57432</v>
      </c>
      <c r="W12192" t="s">
        <v>61749</v>
      </c>
      <c r="X12192" t="s">
        <v>45111</v>
      </c>
    </row>
    <row r="12193" spans="1:24">
      <c r="A12193">
        <f>HYPERLINK("https://www.philgeps.gov.ph/GEPSNONPILOT/Tender/SplashBidNoticeAbstractUI.aspx?menuIndex=3&amp;refID=7024192&amp;Result=3","7024192")</f>
        <v>0</v>
      </c>
      <c r="B12193" t="s">
        <v>1978</v>
      </c>
      <c r="C12193" t="s">
        <v>14852</v>
      </c>
      <c r="D12193" t="s">
        <v>18079</v>
      </c>
      <c r="E12193" t="s">
        <v>28658</v>
      </c>
      <c r="F12193" t="s">
        <v>31574</v>
      </c>
      <c r="G12193" t="s">
        <v>31588</v>
      </c>
      <c r="H12193" t="s">
        <v>31591</v>
      </c>
      <c r="I12193" t="s">
        <v>8822</v>
      </c>
      <c r="J12193" t="s">
        <v>39259</v>
      </c>
      <c r="K12193" t="s">
        <v>41447</v>
      </c>
      <c r="M12193" t="s">
        <v>43635</v>
      </c>
      <c r="N12193" t="s">
        <v>45095</v>
      </c>
      <c r="O12193" t="s">
        <v>45096</v>
      </c>
      <c r="Q12193">
        <v>5</v>
      </c>
      <c r="R12193" t="s">
        <v>45110</v>
      </c>
      <c r="S12193" t="s">
        <v>45689</v>
      </c>
      <c r="T12193" t="s">
        <v>46979</v>
      </c>
      <c r="U12193" t="s">
        <v>49578</v>
      </c>
      <c r="W12193" t="s">
        <v>43635</v>
      </c>
      <c r="X12193" t="s">
        <v>45111</v>
      </c>
    </row>
    <row r="12194" spans="1:24">
      <c r="A12194">
        <f>HYPERLINK("https://www.philgeps.gov.ph/GEPSNONPILOT/Tender/SplashBidNoticeAbstractUI.aspx?menuIndex=3&amp;refID=7024144&amp;Result=3","7024144")</f>
        <v>0</v>
      </c>
      <c r="B12194" t="s">
        <v>1153</v>
      </c>
      <c r="C12194" t="s">
        <v>14853</v>
      </c>
      <c r="D12194" t="s">
        <v>18036</v>
      </c>
      <c r="E12194" t="s">
        <v>28659</v>
      </c>
      <c r="F12194" t="s">
        <v>31574</v>
      </c>
      <c r="G12194" t="s">
        <v>31582</v>
      </c>
      <c r="H12194" t="s">
        <v>31590</v>
      </c>
      <c r="I12194" t="s">
        <v>31625</v>
      </c>
      <c r="J12194" t="s">
        <v>39260</v>
      </c>
      <c r="K12194" t="s">
        <v>41196</v>
      </c>
      <c r="M12194" t="s">
        <v>42709</v>
      </c>
      <c r="N12194" t="s">
        <v>45095</v>
      </c>
      <c r="O12194" t="s">
        <v>45096</v>
      </c>
      <c r="P12194">
        <v>0</v>
      </c>
      <c r="Q12194">
        <v>2</v>
      </c>
      <c r="R12194" t="s">
        <v>45110</v>
      </c>
      <c r="S12194" t="s">
        <v>45605</v>
      </c>
      <c r="T12194" t="s">
        <v>46930</v>
      </c>
      <c r="U12194" t="s">
        <v>57434</v>
      </c>
      <c r="W12194" t="s">
        <v>61691</v>
      </c>
      <c r="X12194" t="s">
        <v>45111</v>
      </c>
    </row>
    <row r="12195" spans="1:24">
      <c r="A12195">
        <f>HYPERLINK("https://www.philgeps.gov.ph/GEPSNONPILOT/Tender/SplashBidNoticeAbstractUI.aspx?menuIndex=3&amp;refID=7024174&amp;Result=3","7024174")</f>
        <v>0</v>
      </c>
      <c r="B12195" t="s">
        <v>1978</v>
      </c>
      <c r="C12195" t="s">
        <v>14854</v>
      </c>
      <c r="D12195" t="s">
        <v>18079</v>
      </c>
      <c r="E12195" t="s">
        <v>28660</v>
      </c>
      <c r="F12195" t="s">
        <v>31574</v>
      </c>
      <c r="G12195" t="s">
        <v>31588</v>
      </c>
      <c r="H12195" t="s">
        <v>31591</v>
      </c>
      <c r="I12195" t="s">
        <v>8822</v>
      </c>
      <c r="J12195" t="s">
        <v>39261</v>
      </c>
      <c r="K12195" t="s">
        <v>41385</v>
      </c>
      <c r="M12195" t="s">
        <v>43635</v>
      </c>
      <c r="N12195" t="s">
        <v>45095</v>
      </c>
      <c r="O12195" t="s">
        <v>45096</v>
      </c>
      <c r="Q12195">
        <v>6</v>
      </c>
      <c r="R12195" t="s">
        <v>45110</v>
      </c>
      <c r="S12195" t="s">
        <v>45690</v>
      </c>
      <c r="T12195" t="s">
        <v>46979</v>
      </c>
      <c r="U12195" t="s">
        <v>49578</v>
      </c>
      <c r="W12195" t="s">
        <v>43635</v>
      </c>
      <c r="X12195" t="s">
        <v>45111</v>
      </c>
    </row>
    <row r="12196" spans="1:24">
      <c r="A12196">
        <f>HYPERLINK("https://www.philgeps.gov.ph/GEPSNONPILOT/Tender/SplashBidNoticeAbstractUI.aspx?menuIndex=3&amp;refID=7024137&amp;Result=3","7024137")</f>
        <v>0</v>
      </c>
      <c r="B12196" t="s">
        <v>2859</v>
      </c>
      <c r="C12196" t="s">
        <v>14855</v>
      </c>
      <c r="D12196" t="s">
        <v>18068</v>
      </c>
      <c r="E12196" t="s">
        <v>23271</v>
      </c>
      <c r="F12196" t="s">
        <v>31574</v>
      </c>
      <c r="G12196" t="s">
        <v>31582</v>
      </c>
      <c r="H12196" t="s">
        <v>31590</v>
      </c>
      <c r="I12196" t="s">
        <v>31601</v>
      </c>
      <c r="J12196" t="s">
        <v>32203</v>
      </c>
      <c r="K12196" t="s">
        <v>41186</v>
      </c>
      <c r="M12196" t="s">
        <v>44649</v>
      </c>
      <c r="N12196" t="s">
        <v>45095</v>
      </c>
      <c r="O12196" t="s">
        <v>45096</v>
      </c>
      <c r="P12196">
        <v>0</v>
      </c>
      <c r="Q12196">
        <v>0</v>
      </c>
      <c r="R12196" t="s">
        <v>45110</v>
      </c>
      <c r="S12196" t="s">
        <v>45605</v>
      </c>
      <c r="T12196" t="s">
        <v>46910</v>
      </c>
      <c r="U12196" t="s">
        <v>57435</v>
      </c>
      <c r="V12196" t="s">
        <v>61179</v>
      </c>
      <c r="W12196" t="s">
        <v>44649</v>
      </c>
      <c r="X12196" t="s">
        <v>45111</v>
      </c>
    </row>
    <row r="12197" spans="1:24">
      <c r="A12197">
        <f>HYPERLINK("https://www.philgeps.gov.ph/GEPSNONPILOT/Tender/SplashBidNoticeAbstractUI.aspx?menuIndex=3&amp;refID=7024186&amp;Result=3","7024186")</f>
        <v>0</v>
      </c>
      <c r="B12197" t="s">
        <v>1978</v>
      </c>
      <c r="C12197" t="s">
        <v>14856</v>
      </c>
      <c r="D12197" t="s">
        <v>18079</v>
      </c>
      <c r="E12197" t="s">
        <v>28661</v>
      </c>
      <c r="F12197" t="s">
        <v>31574</v>
      </c>
      <c r="G12197" t="s">
        <v>31588</v>
      </c>
      <c r="H12197" t="s">
        <v>31591</v>
      </c>
      <c r="I12197" t="s">
        <v>8822</v>
      </c>
      <c r="J12197" t="s">
        <v>39262</v>
      </c>
      <c r="K12197" t="s">
        <v>41388</v>
      </c>
      <c r="M12197" t="s">
        <v>43635</v>
      </c>
      <c r="N12197" t="s">
        <v>45095</v>
      </c>
      <c r="O12197" t="s">
        <v>45096</v>
      </c>
      <c r="Q12197">
        <v>4</v>
      </c>
      <c r="R12197" t="s">
        <v>45110</v>
      </c>
      <c r="S12197" t="s">
        <v>45691</v>
      </c>
      <c r="T12197" t="s">
        <v>46979</v>
      </c>
      <c r="U12197" t="s">
        <v>49578</v>
      </c>
      <c r="W12197" t="s">
        <v>43635</v>
      </c>
      <c r="X12197" t="s">
        <v>45111</v>
      </c>
    </row>
    <row r="12198" spans="1:24">
      <c r="A12198">
        <f>HYPERLINK("https://www.philgeps.gov.ph/GEPSNONPILOT/Tender/SplashBidNoticeAbstractUI.aspx?menuIndex=3&amp;refID=7024173&amp;Result=3","7024173")</f>
        <v>0</v>
      </c>
      <c r="B12198" t="s">
        <v>2859</v>
      </c>
      <c r="C12198" t="s">
        <v>14857</v>
      </c>
      <c r="D12198" t="s">
        <v>18068</v>
      </c>
      <c r="E12198" t="s">
        <v>23335</v>
      </c>
      <c r="F12198" t="s">
        <v>31574</v>
      </c>
      <c r="G12198" t="s">
        <v>31582</v>
      </c>
      <c r="H12198" t="s">
        <v>31590</v>
      </c>
      <c r="I12198" t="s">
        <v>31689</v>
      </c>
      <c r="J12198" t="s">
        <v>33866</v>
      </c>
      <c r="K12198" t="s">
        <v>41186</v>
      </c>
      <c r="M12198" t="s">
        <v>44649</v>
      </c>
      <c r="N12198" t="s">
        <v>45095</v>
      </c>
      <c r="O12198" t="s">
        <v>45096</v>
      </c>
      <c r="Q12198">
        <v>1</v>
      </c>
      <c r="R12198" t="s">
        <v>45110</v>
      </c>
      <c r="S12198" t="s">
        <v>45692</v>
      </c>
      <c r="T12198" t="s">
        <v>46910</v>
      </c>
      <c r="U12198" t="s">
        <v>57436</v>
      </c>
      <c r="V12198" t="s">
        <v>61180</v>
      </c>
      <c r="W12198" t="s">
        <v>44649</v>
      </c>
      <c r="X12198" t="s">
        <v>45111</v>
      </c>
    </row>
    <row r="12199" spans="1:24">
      <c r="A12199">
        <f>HYPERLINK("https://www.philgeps.gov.ph/GEPSNONPILOT/Tender/SplashBidNoticeAbstractUI.aspx?menuIndex=3&amp;refID=7024139&amp;Result=3","7024139")</f>
        <v>0</v>
      </c>
      <c r="B12199" t="s">
        <v>1153</v>
      </c>
      <c r="C12199" t="s">
        <v>14858</v>
      </c>
      <c r="D12199" t="s">
        <v>18036</v>
      </c>
      <c r="E12199" t="s">
        <v>28662</v>
      </c>
      <c r="F12199" t="s">
        <v>31574</v>
      </c>
      <c r="G12199" t="s">
        <v>31582</v>
      </c>
      <c r="H12199" t="s">
        <v>31590</v>
      </c>
      <c r="I12199" t="s">
        <v>31625</v>
      </c>
      <c r="J12199" t="s">
        <v>39263</v>
      </c>
      <c r="K12199" t="s">
        <v>41196</v>
      </c>
      <c r="M12199" t="s">
        <v>42709</v>
      </c>
      <c r="N12199" t="s">
        <v>45095</v>
      </c>
      <c r="O12199" t="s">
        <v>45096</v>
      </c>
      <c r="P12199">
        <v>0</v>
      </c>
      <c r="Q12199">
        <v>3</v>
      </c>
      <c r="R12199" t="s">
        <v>45110</v>
      </c>
      <c r="S12199" t="s">
        <v>45605</v>
      </c>
      <c r="T12199" t="s">
        <v>46930</v>
      </c>
      <c r="U12199" t="s">
        <v>57437</v>
      </c>
      <c r="W12199" t="s">
        <v>61691</v>
      </c>
      <c r="X12199" t="s">
        <v>45111</v>
      </c>
    </row>
    <row r="12200" spans="1:24">
      <c r="A12200">
        <f>HYPERLINK("https://www.philgeps.gov.ph/GEPSNONPILOT/Tender/SplashBidNoticeAbstractUI.aspx?menuIndex=3&amp;refID=7024154&amp;Result=3","7024154")</f>
        <v>0</v>
      </c>
      <c r="B12200" t="s">
        <v>1120</v>
      </c>
      <c r="C12200" t="s">
        <v>14859</v>
      </c>
      <c r="E12200" t="s">
        <v>28663</v>
      </c>
      <c r="F12200" t="s">
        <v>31574</v>
      </c>
      <c r="G12200" t="s">
        <v>31581</v>
      </c>
      <c r="H12200" t="s">
        <v>31590</v>
      </c>
      <c r="I12200" t="s">
        <v>31638</v>
      </c>
      <c r="J12200" t="s">
        <v>39264</v>
      </c>
      <c r="K12200" t="s">
        <v>41196</v>
      </c>
      <c r="M12200" t="s">
        <v>42817</v>
      </c>
      <c r="N12200" t="s">
        <v>45095</v>
      </c>
      <c r="O12200" t="s">
        <v>45096</v>
      </c>
      <c r="Q12200">
        <v>1</v>
      </c>
      <c r="R12200" t="s">
        <v>45110</v>
      </c>
      <c r="S12200" t="s">
        <v>45693</v>
      </c>
      <c r="T12200" t="s">
        <v>47176</v>
      </c>
      <c r="U12200" t="s">
        <v>57438</v>
      </c>
      <c r="W12200" t="s">
        <v>42817</v>
      </c>
      <c r="X12200" t="s">
        <v>45111</v>
      </c>
    </row>
    <row r="12201" spans="1:24">
      <c r="A12201">
        <f>HYPERLINK("https://www.philgeps.gov.ph/GEPSNONPILOT/Tender/SplashBidNoticeAbstractUI.aspx?menuIndex=3&amp;refID=7024224&amp;Result=3","7024224")</f>
        <v>0</v>
      </c>
      <c r="B12201" t="s">
        <v>1153</v>
      </c>
      <c r="C12201" t="s">
        <v>14860</v>
      </c>
      <c r="D12201" t="s">
        <v>18036</v>
      </c>
      <c r="E12201" t="s">
        <v>28664</v>
      </c>
      <c r="F12201" t="s">
        <v>31574</v>
      </c>
      <c r="G12201" t="s">
        <v>31582</v>
      </c>
      <c r="H12201" t="s">
        <v>31590</v>
      </c>
      <c r="I12201" t="s">
        <v>31614</v>
      </c>
      <c r="J12201" t="s">
        <v>39265</v>
      </c>
      <c r="K12201" t="s">
        <v>41186</v>
      </c>
      <c r="M12201" t="s">
        <v>42709</v>
      </c>
      <c r="N12201" t="s">
        <v>45095</v>
      </c>
      <c r="O12201" t="s">
        <v>45096</v>
      </c>
      <c r="P12201">
        <v>0</v>
      </c>
      <c r="Q12201">
        <v>8</v>
      </c>
      <c r="R12201" t="s">
        <v>45110</v>
      </c>
      <c r="S12201" t="s">
        <v>45605</v>
      </c>
      <c r="T12201" t="s">
        <v>46930</v>
      </c>
      <c r="U12201" t="s">
        <v>57439</v>
      </c>
      <c r="W12201" t="s">
        <v>61691</v>
      </c>
      <c r="X12201" t="s">
        <v>45111</v>
      </c>
    </row>
    <row r="12202" spans="1:24">
      <c r="A12202">
        <f>HYPERLINK("https://www.philgeps.gov.ph/GEPSNONPILOT/Tender/SplashBidNoticeAbstractUI.aspx?menuIndex=3&amp;refID=7024254&amp;Result=3","7024254")</f>
        <v>0</v>
      </c>
      <c r="B12202" t="s">
        <v>952</v>
      </c>
      <c r="C12202" t="s">
        <v>14861</v>
      </c>
      <c r="D12202" t="s">
        <v>18058</v>
      </c>
      <c r="E12202" t="s">
        <v>28665</v>
      </c>
      <c r="F12202" t="s">
        <v>31574</v>
      </c>
      <c r="G12202" t="s">
        <v>31582</v>
      </c>
      <c r="H12202" t="s">
        <v>31590</v>
      </c>
      <c r="I12202" t="s">
        <v>3487</v>
      </c>
      <c r="J12202" t="s">
        <v>39266</v>
      </c>
      <c r="K12202" t="s">
        <v>41184</v>
      </c>
      <c r="M12202" t="s">
        <v>44401</v>
      </c>
      <c r="N12202" t="s">
        <v>45095</v>
      </c>
      <c r="O12202" t="s">
        <v>45096</v>
      </c>
      <c r="P12202">
        <v>0</v>
      </c>
      <c r="Q12202">
        <v>3</v>
      </c>
      <c r="R12202" t="s">
        <v>45110</v>
      </c>
      <c r="S12202" t="s">
        <v>45605</v>
      </c>
      <c r="T12202" t="s">
        <v>46920</v>
      </c>
      <c r="U12202" t="s">
        <v>57432</v>
      </c>
      <c r="W12202" t="s">
        <v>61749</v>
      </c>
      <c r="X12202" t="s">
        <v>45111</v>
      </c>
    </row>
    <row r="12203" spans="1:24">
      <c r="A12203">
        <f>HYPERLINK("https://www.philgeps.gov.ph/GEPSNONPILOT/Tender/SplashBidNoticeAbstractUI.aspx?menuIndex=3&amp;refID=6404943&amp;Result=3","6404943")</f>
        <v>0</v>
      </c>
      <c r="B12203" t="s">
        <v>2923</v>
      </c>
      <c r="C12203" t="s">
        <v>14862</v>
      </c>
      <c r="E12203" t="s">
        <v>28666</v>
      </c>
      <c r="F12203" t="s">
        <v>31574</v>
      </c>
      <c r="G12203" t="s">
        <v>31582</v>
      </c>
      <c r="H12203" t="s">
        <v>31590</v>
      </c>
      <c r="I12203" t="s">
        <v>6800</v>
      </c>
      <c r="J12203" t="s">
        <v>39267</v>
      </c>
      <c r="K12203" t="s">
        <v>41184</v>
      </c>
      <c r="M12203" t="s">
        <v>44730</v>
      </c>
      <c r="N12203" t="s">
        <v>45095</v>
      </c>
      <c r="O12203" t="s">
        <v>45096</v>
      </c>
      <c r="P12203">
        <v>0</v>
      </c>
      <c r="Q12203">
        <v>0</v>
      </c>
      <c r="R12203" t="s">
        <v>45111</v>
      </c>
      <c r="S12203" t="s">
        <v>45694</v>
      </c>
      <c r="T12203" t="s">
        <v>46955</v>
      </c>
      <c r="U12203" t="s">
        <v>57440</v>
      </c>
      <c r="W12203" t="s">
        <v>44730</v>
      </c>
      <c r="X12203" t="s">
        <v>61782</v>
      </c>
    </row>
    <row r="12204" spans="1:24">
      <c r="A12204">
        <f>HYPERLINK("https://www.philgeps.gov.ph/GEPSNONPILOT/Tender/SplashBidNoticeAbstractUI.aspx?menuIndex=3&amp;refID=7012268&amp;Result=3","7012268")</f>
        <v>0</v>
      </c>
      <c r="B12204" t="s">
        <v>2159</v>
      </c>
      <c r="C12204" t="s">
        <v>14863</v>
      </c>
      <c r="D12204" t="s">
        <v>18035</v>
      </c>
      <c r="E12204" t="s">
        <v>28667</v>
      </c>
      <c r="F12204" t="s">
        <v>31574</v>
      </c>
      <c r="G12204" t="s">
        <v>31588</v>
      </c>
      <c r="H12204" t="s">
        <v>31590</v>
      </c>
      <c r="I12204" t="s">
        <v>4327</v>
      </c>
      <c r="J12204" t="s">
        <v>39268</v>
      </c>
      <c r="K12204" t="s">
        <v>41186</v>
      </c>
      <c r="M12204" t="s">
        <v>44062</v>
      </c>
      <c r="N12204" t="s">
        <v>45095</v>
      </c>
      <c r="O12204" t="s">
        <v>45096</v>
      </c>
      <c r="P12204">
        <v>0</v>
      </c>
      <c r="Q12204">
        <v>9</v>
      </c>
      <c r="R12204" t="s">
        <v>45111</v>
      </c>
      <c r="S12204" t="s">
        <v>45694</v>
      </c>
      <c r="T12204" t="s">
        <v>46926</v>
      </c>
      <c r="U12204" t="s">
        <v>57441</v>
      </c>
      <c r="V12204" t="s">
        <v>61181</v>
      </c>
      <c r="W12204" t="s">
        <v>44062</v>
      </c>
      <c r="X12204" t="s">
        <v>45117</v>
      </c>
    </row>
    <row r="12205" spans="1:24">
      <c r="A12205">
        <f>HYPERLINK("https://www.philgeps.gov.ph/GEPSNONPILOT/Tender/SplashBidNoticeAbstractUI.aspx?menuIndex=3&amp;refID=7011470&amp;Result=3","7011470")</f>
        <v>0</v>
      </c>
      <c r="B12205" t="s">
        <v>965</v>
      </c>
      <c r="C12205" t="s">
        <v>14864</v>
      </c>
      <c r="E12205" t="s">
        <v>28668</v>
      </c>
      <c r="F12205" t="s">
        <v>31574</v>
      </c>
      <c r="G12205" t="s">
        <v>31582</v>
      </c>
      <c r="H12205" t="s">
        <v>31590</v>
      </c>
      <c r="I12205" t="s">
        <v>4046</v>
      </c>
      <c r="J12205" t="s">
        <v>39269</v>
      </c>
      <c r="K12205" t="s">
        <v>41184</v>
      </c>
      <c r="M12205" t="s">
        <v>42494</v>
      </c>
      <c r="N12205" t="s">
        <v>45095</v>
      </c>
      <c r="O12205" t="s">
        <v>45096</v>
      </c>
      <c r="P12205">
        <v>0</v>
      </c>
      <c r="Q12205">
        <v>2</v>
      </c>
      <c r="R12205" t="s">
        <v>45111</v>
      </c>
      <c r="S12205" t="s">
        <v>45694</v>
      </c>
      <c r="T12205" t="s">
        <v>46914</v>
      </c>
      <c r="U12205" t="s">
        <v>57442</v>
      </c>
      <c r="W12205" t="s">
        <v>42494</v>
      </c>
      <c r="X12205" t="s">
        <v>45118</v>
      </c>
    </row>
    <row r="12206" spans="1:24">
      <c r="A12206">
        <f>HYPERLINK("https://www.philgeps.gov.ph/GEPSNONPILOT/Tender/SplashBidNoticeAbstractUI.aspx?menuIndex=3&amp;refID=7010939&amp;Result=3","7010939")</f>
        <v>0</v>
      </c>
      <c r="B12206" t="s">
        <v>2841</v>
      </c>
      <c r="C12206" t="s">
        <v>14865</v>
      </c>
      <c r="D12206" t="s">
        <v>18078</v>
      </c>
      <c r="E12206" t="s">
        <v>28669</v>
      </c>
      <c r="F12206" t="s">
        <v>31574</v>
      </c>
      <c r="G12206" t="s">
        <v>31582</v>
      </c>
      <c r="H12206" t="s">
        <v>31591</v>
      </c>
      <c r="I12206" t="s">
        <v>8822</v>
      </c>
      <c r="J12206" t="s">
        <v>39270</v>
      </c>
      <c r="K12206" t="s">
        <v>41260</v>
      </c>
      <c r="M12206" t="s">
        <v>44624</v>
      </c>
      <c r="N12206" t="s">
        <v>45095</v>
      </c>
      <c r="O12206" t="s">
        <v>45096</v>
      </c>
      <c r="P12206">
        <v>0</v>
      </c>
      <c r="Q12206">
        <v>2</v>
      </c>
      <c r="R12206" t="s">
        <v>45111</v>
      </c>
      <c r="S12206" t="s">
        <v>45694</v>
      </c>
      <c r="T12206" t="s">
        <v>46932</v>
      </c>
      <c r="U12206" t="s">
        <v>57443</v>
      </c>
      <c r="W12206" t="s">
        <v>44624</v>
      </c>
      <c r="X12206" t="s">
        <v>45118</v>
      </c>
    </row>
    <row r="12207" spans="1:24">
      <c r="A12207">
        <f>HYPERLINK("https://www.philgeps.gov.ph/GEPSNONPILOT/Tender/SplashBidNoticeAbstractUI.aspx?menuIndex=3&amp;refID=7013517&amp;Result=3","7013517")</f>
        <v>0</v>
      </c>
      <c r="B12207" t="s">
        <v>970</v>
      </c>
      <c r="C12207" t="s">
        <v>14866</v>
      </c>
      <c r="D12207" t="s">
        <v>18079</v>
      </c>
      <c r="E12207" t="s">
        <v>28670</v>
      </c>
      <c r="F12207" t="s">
        <v>31574</v>
      </c>
      <c r="G12207" t="s">
        <v>31582</v>
      </c>
      <c r="H12207" t="s">
        <v>31591</v>
      </c>
      <c r="I12207" t="s">
        <v>8822</v>
      </c>
      <c r="J12207" t="s">
        <v>31771</v>
      </c>
      <c r="K12207" t="s">
        <v>41192</v>
      </c>
      <c r="M12207" t="s">
        <v>42499</v>
      </c>
      <c r="N12207" t="s">
        <v>45095</v>
      </c>
      <c r="O12207" t="s">
        <v>45096</v>
      </c>
      <c r="P12207">
        <v>0</v>
      </c>
      <c r="Q12207">
        <v>2</v>
      </c>
      <c r="R12207" t="s">
        <v>45111</v>
      </c>
      <c r="S12207" t="s">
        <v>45694</v>
      </c>
      <c r="T12207" t="s">
        <v>46922</v>
      </c>
      <c r="U12207" t="s">
        <v>57444</v>
      </c>
      <c r="W12207" t="s">
        <v>42499</v>
      </c>
      <c r="X12207" t="s">
        <v>45117</v>
      </c>
    </row>
    <row r="12208" spans="1:24">
      <c r="A12208">
        <f>HYPERLINK("https://www.philgeps.gov.ph/GEPSNONPILOT/Tender/SplashBidNoticeAbstractUI.aspx?menuIndex=3&amp;refID=6986153&amp;Result=3","6986153")</f>
        <v>0</v>
      </c>
      <c r="B12208" t="s">
        <v>38</v>
      </c>
      <c r="C12208" t="s">
        <v>14867</v>
      </c>
      <c r="D12208" t="s">
        <v>18033</v>
      </c>
      <c r="E12208" t="s">
        <v>28671</v>
      </c>
      <c r="F12208" t="s">
        <v>31574</v>
      </c>
      <c r="G12208" t="s">
        <v>31582</v>
      </c>
      <c r="H12208" t="s">
        <v>31590</v>
      </c>
      <c r="I12208" t="s">
        <v>4046</v>
      </c>
      <c r="J12208" t="s">
        <v>39271</v>
      </c>
      <c r="K12208" t="s">
        <v>41213</v>
      </c>
      <c r="M12208" t="s">
        <v>41663</v>
      </c>
      <c r="N12208" t="s">
        <v>45095</v>
      </c>
      <c r="O12208" t="s">
        <v>45096</v>
      </c>
      <c r="P12208">
        <v>0</v>
      </c>
      <c r="Q12208">
        <v>0</v>
      </c>
      <c r="R12208" t="s">
        <v>45111</v>
      </c>
      <c r="S12208" t="s">
        <v>45694</v>
      </c>
      <c r="T12208" t="s">
        <v>47079</v>
      </c>
      <c r="U12208" t="s">
        <v>57445</v>
      </c>
      <c r="V12208" t="s">
        <v>59888</v>
      </c>
      <c r="W12208" t="s">
        <v>41663</v>
      </c>
      <c r="X12208" t="s">
        <v>45139</v>
      </c>
    </row>
    <row r="12209" spans="1:24">
      <c r="A12209">
        <f>HYPERLINK("https://www.philgeps.gov.ph/GEPSNONPILOT/Tender/SplashBidNoticeAbstractUI.aspx?menuIndex=3&amp;refID=7012414&amp;Result=3","7012414")</f>
        <v>0</v>
      </c>
      <c r="B12209" t="s">
        <v>2159</v>
      </c>
      <c r="C12209" t="s">
        <v>14868</v>
      </c>
      <c r="D12209" t="s">
        <v>18035</v>
      </c>
      <c r="E12209" t="s">
        <v>28672</v>
      </c>
      <c r="F12209" t="s">
        <v>31574</v>
      </c>
      <c r="G12209" t="s">
        <v>31588</v>
      </c>
      <c r="H12209" t="s">
        <v>31590</v>
      </c>
      <c r="I12209" t="s">
        <v>14544</v>
      </c>
      <c r="J12209" t="s">
        <v>39272</v>
      </c>
      <c r="K12209" t="s">
        <v>41186</v>
      </c>
      <c r="M12209" t="s">
        <v>44062</v>
      </c>
      <c r="N12209" t="s">
        <v>45095</v>
      </c>
      <c r="O12209" t="s">
        <v>45096</v>
      </c>
      <c r="P12209">
        <v>0</v>
      </c>
      <c r="Q12209">
        <v>3</v>
      </c>
      <c r="R12209" t="s">
        <v>45111</v>
      </c>
      <c r="S12209" t="s">
        <v>45694</v>
      </c>
      <c r="T12209" t="s">
        <v>46926</v>
      </c>
      <c r="U12209" t="s">
        <v>57446</v>
      </c>
      <c r="V12209" t="s">
        <v>61181</v>
      </c>
      <c r="W12209" t="s">
        <v>44062</v>
      </c>
      <c r="X12209" t="s">
        <v>45117</v>
      </c>
    </row>
    <row r="12210" spans="1:24">
      <c r="A12210">
        <f>HYPERLINK("https://www.philgeps.gov.ph/GEPSNONPILOT/Tender/SplashBidNoticeAbstractUI.aspx?menuIndex=3&amp;refID=6940209&amp;Result=3","6940209")</f>
        <v>0</v>
      </c>
      <c r="B12210" t="s">
        <v>2924</v>
      </c>
      <c r="C12210" t="s">
        <v>14869</v>
      </c>
      <c r="D12210" t="s">
        <v>18079</v>
      </c>
      <c r="E12210" t="s">
        <v>21063</v>
      </c>
      <c r="F12210" t="s">
        <v>31574</v>
      </c>
      <c r="G12210" t="s">
        <v>31582</v>
      </c>
      <c r="H12210" t="s">
        <v>31590</v>
      </c>
      <c r="I12210" t="s">
        <v>31615</v>
      </c>
      <c r="J12210" t="s">
        <v>33866</v>
      </c>
      <c r="K12210" t="s">
        <v>41196</v>
      </c>
      <c r="M12210" t="s">
        <v>44731</v>
      </c>
      <c r="N12210" t="s">
        <v>45095</v>
      </c>
      <c r="O12210" t="s">
        <v>45096</v>
      </c>
      <c r="P12210">
        <v>0</v>
      </c>
      <c r="Q12210">
        <v>4</v>
      </c>
      <c r="R12210" t="s">
        <v>45111</v>
      </c>
      <c r="S12210" t="s">
        <v>45694</v>
      </c>
      <c r="T12210" t="s">
        <v>46949</v>
      </c>
      <c r="U12210" t="s">
        <v>57447</v>
      </c>
      <c r="W12210" t="s">
        <v>44731</v>
      </c>
      <c r="X12210" t="s">
        <v>45168</v>
      </c>
    </row>
    <row r="12211" spans="1:24">
      <c r="A12211">
        <f>HYPERLINK("https://www.philgeps.gov.ph/GEPSNONPILOT/Tender/SplashBidNoticeAbstractUI.aspx?menuIndex=3&amp;refID=6978728&amp;Result=3","6978728")</f>
        <v>0</v>
      </c>
      <c r="B12211" t="s">
        <v>38</v>
      </c>
      <c r="C12211" t="s">
        <v>14870</v>
      </c>
      <c r="D12211" t="s">
        <v>18033</v>
      </c>
      <c r="E12211" t="s">
        <v>28673</v>
      </c>
      <c r="F12211" t="s">
        <v>31574</v>
      </c>
      <c r="G12211" t="s">
        <v>31582</v>
      </c>
      <c r="H12211" t="s">
        <v>31590</v>
      </c>
      <c r="I12211" t="s">
        <v>31594</v>
      </c>
      <c r="J12211" t="s">
        <v>39273</v>
      </c>
      <c r="K12211" t="s">
        <v>41185</v>
      </c>
      <c r="M12211" t="s">
        <v>41663</v>
      </c>
      <c r="N12211" t="s">
        <v>45095</v>
      </c>
      <c r="O12211" t="s">
        <v>45096</v>
      </c>
      <c r="P12211">
        <v>0</v>
      </c>
      <c r="Q12211">
        <v>8</v>
      </c>
      <c r="R12211" t="s">
        <v>45111</v>
      </c>
      <c r="S12211" t="s">
        <v>45694</v>
      </c>
      <c r="T12211" t="s">
        <v>47079</v>
      </c>
      <c r="U12211" t="s">
        <v>57448</v>
      </c>
      <c r="V12211" t="s">
        <v>59888</v>
      </c>
      <c r="W12211" t="s">
        <v>41663</v>
      </c>
      <c r="X12211" t="s">
        <v>45141</v>
      </c>
    </row>
    <row r="12212" spans="1:24">
      <c r="A12212">
        <f>HYPERLINK("https://www.philgeps.gov.ph/GEPSNONPILOT/Tender/SplashBidNoticeAbstractUI.aspx?menuIndex=3&amp;refID=7005631&amp;Result=3","7005631")</f>
        <v>0</v>
      </c>
      <c r="B12212" t="s">
        <v>2092</v>
      </c>
      <c r="C12212" t="s">
        <v>14871</v>
      </c>
      <c r="D12212" t="s">
        <v>18030</v>
      </c>
      <c r="E12212" t="s">
        <v>28674</v>
      </c>
      <c r="F12212" t="s">
        <v>31574</v>
      </c>
      <c r="G12212" t="s">
        <v>31585</v>
      </c>
      <c r="H12212" t="s">
        <v>31592</v>
      </c>
      <c r="I12212" t="s">
        <v>31710</v>
      </c>
      <c r="J12212" t="s">
        <v>39274</v>
      </c>
      <c r="K12212" t="s">
        <v>41243</v>
      </c>
      <c r="M12212" t="s">
        <v>43900</v>
      </c>
      <c r="N12212" t="s">
        <v>45095</v>
      </c>
      <c r="O12212" t="s">
        <v>45096</v>
      </c>
      <c r="Q12212">
        <v>1</v>
      </c>
      <c r="R12212" t="s">
        <v>45111</v>
      </c>
      <c r="S12212" t="s">
        <v>45695</v>
      </c>
      <c r="T12212" t="s">
        <v>46963</v>
      </c>
      <c r="U12212" t="s">
        <v>53298</v>
      </c>
      <c r="V12212" t="s">
        <v>60962</v>
      </c>
      <c r="W12212" t="s">
        <v>43900</v>
      </c>
      <c r="X12212" t="s">
        <v>45123</v>
      </c>
    </row>
    <row r="12213" spans="1:24">
      <c r="A12213">
        <f>HYPERLINK("https://www.philgeps.gov.ph/GEPSNONPILOT/Tender/SplashBidNoticeAbstractUI.aspx?menuIndex=3&amp;refID=6916671&amp;Result=3","6916671")</f>
        <v>0</v>
      </c>
      <c r="B12213" t="s">
        <v>2925</v>
      </c>
      <c r="C12213" t="s">
        <v>11581</v>
      </c>
      <c r="D12213" t="s">
        <v>18046</v>
      </c>
      <c r="E12213" t="s">
        <v>18533</v>
      </c>
      <c r="F12213" t="s">
        <v>31574</v>
      </c>
      <c r="G12213" t="s">
        <v>31582</v>
      </c>
      <c r="H12213" t="s">
        <v>31590</v>
      </c>
      <c r="I12213" t="s">
        <v>4046</v>
      </c>
      <c r="J12213" t="s">
        <v>39275</v>
      </c>
      <c r="K12213" t="s">
        <v>41190</v>
      </c>
      <c r="M12213" t="s">
        <v>44732</v>
      </c>
      <c r="N12213" t="s">
        <v>45095</v>
      </c>
      <c r="O12213" t="s">
        <v>45096</v>
      </c>
      <c r="P12213">
        <v>0</v>
      </c>
      <c r="Q12213">
        <v>3</v>
      </c>
      <c r="R12213" t="s">
        <v>45111</v>
      </c>
      <c r="S12213" t="s">
        <v>45694</v>
      </c>
      <c r="T12213" t="s">
        <v>47154</v>
      </c>
      <c r="U12213" t="s">
        <v>57449</v>
      </c>
      <c r="W12213" t="s">
        <v>44732</v>
      </c>
      <c r="X12213" t="s">
        <v>45178</v>
      </c>
    </row>
    <row r="12214" spans="1:24">
      <c r="A12214">
        <f>HYPERLINK("https://www.philgeps.gov.ph/GEPSNONPILOT/Tender/SplashBidNoticeAbstractUI.aspx?menuIndex=3&amp;refID=6978719&amp;Result=3","6978719")</f>
        <v>0</v>
      </c>
      <c r="B12214" t="s">
        <v>38</v>
      </c>
      <c r="C12214" t="s">
        <v>14872</v>
      </c>
      <c r="D12214" t="s">
        <v>18033</v>
      </c>
      <c r="E12214" t="s">
        <v>28675</v>
      </c>
      <c r="F12214" t="s">
        <v>31574</v>
      </c>
      <c r="G12214" t="s">
        <v>31582</v>
      </c>
      <c r="H12214" t="s">
        <v>31590</v>
      </c>
      <c r="I12214" t="s">
        <v>31594</v>
      </c>
      <c r="J12214" t="s">
        <v>32068</v>
      </c>
      <c r="K12214" t="s">
        <v>41185</v>
      </c>
      <c r="M12214" t="s">
        <v>41663</v>
      </c>
      <c r="N12214" t="s">
        <v>45095</v>
      </c>
      <c r="O12214" t="s">
        <v>45096</v>
      </c>
      <c r="P12214">
        <v>0</v>
      </c>
      <c r="Q12214">
        <v>8</v>
      </c>
      <c r="R12214" t="s">
        <v>45111</v>
      </c>
      <c r="S12214" t="s">
        <v>45694</v>
      </c>
      <c r="T12214" t="s">
        <v>47079</v>
      </c>
      <c r="U12214" t="s">
        <v>57450</v>
      </c>
      <c r="V12214" t="s">
        <v>59888</v>
      </c>
      <c r="W12214" t="s">
        <v>41663</v>
      </c>
      <c r="X12214" t="s">
        <v>45141</v>
      </c>
    </row>
    <row r="12215" spans="1:24">
      <c r="A12215">
        <f>HYPERLINK("https://www.philgeps.gov.ph/GEPSNONPILOT/Tender/SplashBidNoticeAbstractUI.aspx?menuIndex=3&amp;refID=7024259&amp;Result=3","7024259")</f>
        <v>0</v>
      </c>
      <c r="B12215" t="s">
        <v>2627</v>
      </c>
      <c r="C12215" t="s">
        <v>14845</v>
      </c>
      <c r="D12215" t="s">
        <v>18123</v>
      </c>
      <c r="E12215" t="s">
        <v>28676</v>
      </c>
      <c r="F12215" t="s">
        <v>31574</v>
      </c>
      <c r="G12215" t="s">
        <v>31582</v>
      </c>
      <c r="H12215" t="s">
        <v>31590</v>
      </c>
      <c r="I12215" t="s">
        <v>31614</v>
      </c>
      <c r="J12215" t="s">
        <v>32537</v>
      </c>
      <c r="K12215" t="s">
        <v>41192</v>
      </c>
      <c r="M12215" t="s">
        <v>44596</v>
      </c>
      <c r="N12215" t="s">
        <v>45095</v>
      </c>
      <c r="O12215" t="s">
        <v>45096</v>
      </c>
      <c r="P12215">
        <v>0</v>
      </c>
      <c r="Q12215">
        <v>4</v>
      </c>
      <c r="R12215" t="s">
        <v>45110</v>
      </c>
      <c r="S12215" t="s">
        <v>45605</v>
      </c>
      <c r="T12215" t="s">
        <v>46923</v>
      </c>
      <c r="U12215" t="s">
        <v>57451</v>
      </c>
      <c r="W12215" t="s">
        <v>44596</v>
      </c>
      <c r="X12215" t="s">
        <v>45111</v>
      </c>
    </row>
    <row r="12216" spans="1:24">
      <c r="A12216">
        <f>HYPERLINK("https://www.philgeps.gov.ph/GEPSNONPILOT/Tender/SplashBidNoticeAbstractUI.aspx?menuIndex=3&amp;refID=6978609&amp;Result=3","6978609")</f>
        <v>0</v>
      </c>
      <c r="B12216" t="s">
        <v>38</v>
      </c>
      <c r="C12216" t="s">
        <v>14873</v>
      </c>
      <c r="D12216" t="s">
        <v>18033</v>
      </c>
      <c r="E12216" t="s">
        <v>28677</v>
      </c>
      <c r="F12216" t="s">
        <v>31574</v>
      </c>
      <c r="G12216" t="s">
        <v>31582</v>
      </c>
      <c r="H12216" t="s">
        <v>31590</v>
      </c>
      <c r="I12216" t="s">
        <v>14544</v>
      </c>
      <c r="J12216" t="s">
        <v>39276</v>
      </c>
      <c r="K12216" t="s">
        <v>41194</v>
      </c>
      <c r="M12216" t="s">
        <v>41663</v>
      </c>
      <c r="N12216" t="s">
        <v>45095</v>
      </c>
      <c r="O12216" t="s">
        <v>45096</v>
      </c>
      <c r="P12216">
        <v>0</v>
      </c>
      <c r="Q12216">
        <v>0</v>
      </c>
      <c r="R12216" t="s">
        <v>45111</v>
      </c>
      <c r="S12216" t="s">
        <v>45694</v>
      </c>
      <c r="T12216" t="s">
        <v>47079</v>
      </c>
      <c r="U12216" t="s">
        <v>57452</v>
      </c>
      <c r="V12216" t="s">
        <v>59888</v>
      </c>
      <c r="W12216" t="s">
        <v>41663</v>
      </c>
      <c r="X12216" t="s">
        <v>45141</v>
      </c>
    </row>
    <row r="12217" spans="1:24">
      <c r="A12217">
        <f>HYPERLINK("https://www.philgeps.gov.ph/GEPSNONPILOT/Tender/SplashBidNoticeAbstractUI.aspx?menuIndex=3&amp;refID=6977808&amp;Result=3","6977808")</f>
        <v>0</v>
      </c>
      <c r="B12217" t="s">
        <v>38</v>
      </c>
      <c r="C12217" t="s">
        <v>14874</v>
      </c>
      <c r="D12217" t="s">
        <v>18033</v>
      </c>
      <c r="E12217" t="s">
        <v>28678</v>
      </c>
      <c r="F12217" t="s">
        <v>31574</v>
      </c>
      <c r="G12217" t="s">
        <v>31582</v>
      </c>
      <c r="H12217" t="s">
        <v>31590</v>
      </c>
      <c r="I12217" t="s">
        <v>4046</v>
      </c>
      <c r="J12217" t="s">
        <v>39277</v>
      </c>
      <c r="K12217" t="s">
        <v>41213</v>
      </c>
      <c r="M12217" t="s">
        <v>41663</v>
      </c>
      <c r="N12217" t="s">
        <v>45095</v>
      </c>
      <c r="O12217" t="s">
        <v>45096</v>
      </c>
      <c r="P12217">
        <v>0</v>
      </c>
      <c r="Q12217">
        <v>1</v>
      </c>
      <c r="R12217" t="s">
        <v>45111</v>
      </c>
      <c r="S12217" t="s">
        <v>45694</v>
      </c>
      <c r="T12217" t="s">
        <v>47079</v>
      </c>
      <c r="U12217" t="s">
        <v>57453</v>
      </c>
      <c r="V12217" t="s">
        <v>59888</v>
      </c>
      <c r="W12217" t="s">
        <v>41663</v>
      </c>
      <c r="X12217" t="s">
        <v>45141</v>
      </c>
    </row>
    <row r="12218" spans="1:24">
      <c r="A12218">
        <f>HYPERLINK("https://www.philgeps.gov.ph/GEPSNONPILOT/Tender/SplashBidNoticeAbstractUI.aspx?menuIndex=3&amp;refID=6964177&amp;Result=3","6964177")</f>
        <v>0</v>
      </c>
      <c r="B12218" t="s">
        <v>2098</v>
      </c>
      <c r="C12218" t="s">
        <v>14875</v>
      </c>
      <c r="D12218" t="s">
        <v>18030</v>
      </c>
      <c r="E12218" t="s">
        <v>28679</v>
      </c>
      <c r="F12218" t="s">
        <v>31574</v>
      </c>
      <c r="G12218" t="s">
        <v>31582</v>
      </c>
      <c r="H12218" t="s">
        <v>31590</v>
      </c>
      <c r="I12218" t="s">
        <v>31640</v>
      </c>
      <c r="J12218" t="s">
        <v>39278</v>
      </c>
      <c r="K12218" t="s">
        <v>41186</v>
      </c>
      <c r="M12218" t="s">
        <v>43775</v>
      </c>
      <c r="N12218" t="s">
        <v>45095</v>
      </c>
      <c r="O12218" t="s">
        <v>45096</v>
      </c>
      <c r="Q12218">
        <v>13</v>
      </c>
      <c r="R12218" t="s">
        <v>45111</v>
      </c>
      <c r="S12218" t="s">
        <v>45696</v>
      </c>
      <c r="T12218" t="s">
        <v>46926</v>
      </c>
      <c r="U12218" t="s">
        <v>57454</v>
      </c>
      <c r="V12218" t="s">
        <v>61182</v>
      </c>
      <c r="W12218" t="s">
        <v>43775</v>
      </c>
      <c r="X12218" t="s">
        <v>45148</v>
      </c>
    </row>
    <row r="12219" spans="1:24">
      <c r="A12219">
        <f>HYPERLINK("https://www.philgeps.gov.ph/GEPSNONPILOT/Tender/SplashBidNoticeAbstractUI.aspx?menuIndex=3&amp;refID=7013985&amp;Result=3","7013985")</f>
        <v>0</v>
      </c>
      <c r="B12219" t="s">
        <v>970</v>
      </c>
      <c r="C12219" t="s">
        <v>14876</v>
      </c>
      <c r="D12219" t="s">
        <v>18079</v>
      </c>
      <c r="E12219" t="s">
        <v>28680</v>
      </c>
      <c r="F12219" t="s">
        <v>31574</v>
      </c>
      <c r="G12219" t="s">
        <v>31582</v>
      </c>
      <c r="H12219" t="s">
        <v>31591</v>
      </c>
      <c r="I12219" t="s">
        <v>8822</v>
      </c>
      <c r="J12219" t="s">
        <v>31935</v>
      </c>
      <c r="K12219" t="s">
        <v>41189</v>
      </c>
      <c r="M12219" t="s">
        <v>42499</v>
      </c>
      <c r="N12219" t="s">
        <v>45095</v>
      </c>
      <c r="O12219" t="s">
        <v>45096</v>
      </c>
      <c r="P12219">
        <v>0</v>
      </c>
      <c r="Q12219">
        <v>2</v>
      </c>
      <c r="R12219" t="s">
        <v>45111</v>
      </c>
      <c r="S12219" t="s">
        <v>45694</v>
      </c>
      <c r="T12219" t="s">
        <v>46922</v>
      </c>
      <c r="U12219" t="s">
        <v>57455</v>
      </c>
      <c r="W12219" t="s">
        <v>42499</v>
      </c>
      <c r="X12219" t="s">
        <v>45117</v>
      </c>
    </row>
    <row r="12220" spans="1:24">
      <c r="A12220">
        <f>HYPERLINK("https://www.philgeps.gov.ph/GEPSNONPILOT/Tender/SplashBidNoticeAbstractUI.aspx?menuIndex=3&amp;refID=6938271&amp;Result=3","6938271")</f>
        <v>0</v>
      </c>
      <c r="B12220" t="s">
        <v>2926</v>
      </c>
      <c r="C12220" t="s">
        <v>14464</v>
      </c>
      <c r="D12220" t="s">
        <v>18063</v>
      </c>
      <c r="E12220" t="s">
        <v>28681</v>
      </c>
      <c r="F12220" t="s">
        <v>31574</v>
      </c>
      <c r="G12220" t="s">
        <v>31582</v>
      </c>
      <c r="H12220" t="s">
        <v>31591</v>
      </c>
      <c r="I12220" t="s">
        <v>8822</v>
      </c>
      <c r="J12220" t="s">
        <v>32241</v>
      </c>
      <c r="K12220" t="s">
        <v>41189</v>
      </c>
      <c r="M12220" t="s">
        <v>44733</v>
      </c>
      <c r="N12220" t="s">
        <v>45095</v>
      </c>
      <c r="O12220" t="s">
        <v>45096</v>
      </c>
      <c r="P12220">
        <v>0</v>
      </c>
      <c r="Q12220">
        <v>0</v>
      </c>
      <c r="R12220" t="s">
        <v>45111</v>
      </c>
      <c r="S12220" t="s">
        <v>45694</v>
      </c>
      <c r="T12220" t="s">
        <v>46926</v>
      </c>
      <c r="U12220" t="s">
        <v>57456</v>
      </c>
      <c r="W12220" t="s">
        <v>44733</v>
      </c>
      <c r="X12220" t="s">
        <v>45170</v>
      </c>
    </row>
    <row r="12221" spans="1:24">
      <c r="A12221">
        <f>HYPERLINK("https://www.philgeps.gov.ph/GEPSNONPILOT/Tender/SplashBidNoticeAbstractUI.aspx?menuIndex=3&amp;refID=7014211&amp;Result=3","7014211")</f>
        <v>0</v>
      </c>
      <c r="B12221" t="s">
        <v>165</v>
      </c>
      <c r="C12221" t="s">
        <v>14877</v>
      </c>
      <c r="D12221" t="s">
        <v>18027</v>
      </c>
      <c r="E12221" t="s">
        <v>28682</v>
      </c>
      <c r="F12221" t="s">
        <v>31574</v>
      </c>
      <c r="G12221" t="s">
        <v>31582</v>
      </c>
      <c r="H12221" t="s">
        <v>31591</v>
      </c>
      <c r="I12221" t="s">
        <v>8822</v>
      </c>
      <c r="J12221" t="s">
        <v>39279</v>
      </c>
      <c r="K12221" t="s">
        <v>41256</v>
      </c>
      <c r="M12221" t="s">
        <v>41649</v>
      </c>
      <c r="N12221" t="s">
        <v>45095</v>
      </c>
      <c r="O12221" t="s">
        <v>45096</v>
      </c>
      <c r="P12221">
        <v>0</v>
      </c>
      <c r="Q12221">
        <v>1</v>
      </c>
      <c r="R12221" t="s">
        <v>45111</v>
      </c>
      <c r="S12221" t="s">
        <v>45694</v>
      </c>
      <c r="T12221" t="s">
        <v>46920</v>
      </c>
      <c r="U12221" t="s">
        <v>57457</v>
      </c>
      <c r="W12221" t="s">
        <v>41649</v>
      </c>
      <c r="X12221" t="s">
        <v>45117</v>
      </c>
    </row>
    <row r="12222" spans="1:24">
      <c r="A12222">
        <f>HYPERLINK("https://www.philgeps.gov.ph/GEPSNONPILOT/Tender/SplashBidNoticeAbstractUI.aspx?menuIndex=3&amp;refID=7014006&amp;Result=3","7014006")</f>
        <v>0</v>
      </c>
      <c r="B12222" t="s">
        <v>970</v>
      </c>
      <c r="C12222" t="s">
        <v>14878</v>
      </c>
      <c r="D12222" t="s">
        <v>18079</v>
      </c>
      <c r="E12222" t="s">
        <v>28683</v>
      </c>
      <c r="F12222" t="s">
        <v>31574</v>
      </c>
      <c r="G12222" t="s">
        <v>31582</v>
      </c>
      <c r="H12222" t="s">
        <v>31591</v>
      </c>
      <c r="I12222" t="s">
        <v>8822</v>
      </c>
      <c r="J12222" t="s">
        <v>31771</v>
      </c>
      <c r="K12222" t="s">
        <v>41189</v>
      </c>
      <c r="M12222" t="s">
        <v>42499</v>
      </c>
      <c r="N12222" t="s">
        <v>45095</v>
      </c>
      <c r="O12222" t="s">
        <v>45096</v>
      </c>
      <c r="P12222">
        <v>0</v>
      </c>
      <c r="Q12222">
        <v>2</v>
      </c>
      <c r="R12222" t="s">
        <v>45111</v>
      </c>
      <c r="S12222" t="s">
        <v>45694</v>
      </c>
      <c r="T12222" t="s">
        <v>46922</v>
      </c>
      <c r="U12222" t="s">
        <v>57444</v>
      </c>
      <c r="W12222" t="s">
        <v>42499</v>
      </c>
      <c r="X12222" t="s">
        <v>45117</v>
      </c>
    </row>
    <row r="12223" spans="1:24">
      <c r="A12223">
        <f>HYPERLINK("https://www.philgeps.gov.ph/GEPSNONPILOT/Tender/SplashBidNoticeAbstractUI.aspx?menuIndex=3&amp;refID=7015344&amp;Result=3","7015344")</f>
        <v>0</v>
      </c>
      <c r="B12223" t="s">
        <v>1351</v>
      </c>
      <c r="C12223" t="s">
        <v>14879</v>
      </c>
      <c r="D12223" t="s">
        <v>18043</v>
      </c>
      <c r="E12223" t="s">
        <v>28684</v>
      </c>
      <c r="F12223" t="s">
        <v>31574</v>
      </c>
      <c r="G12223" t="s">
        <v>31582</v>
      </c>
      <c r="H12223" t="s">
        <v>31591</v>
      </c>
      <c r="I12223" t="s">
        <v>8822</v>
      </c>
      <c r="J12223" t="s">
        <v>32101</v>
      </c>
      <c r="K12223" t="s">
        <v>41198</v>
      </c>
      <c r="M12223" t="s">
        <v>42923</v>
      </c>
      <c r="N12223" t="s">
        <v>45095</v>
      </c>
      <c r="O12223" t="s">
        <v>45096</v>
      </c>
      <c r="Q12223">
        <v>2</v>
      </c>
      <c r="R12223" t="s">
        <v>45111</v>
      </c>
      <c r="S12223" t="s">
        <v>45697</v>
      </c>
      <c r="T12223" t="s">
        <v>46910</v>
      </c>
      <c r="U12223" t="s">
        <v>57458</v>
      </c>
      <c r="W12223" t="s">
        <v>42923</v>
      </c>
      <c r="X12223" t="s">
        <v>45116</v>
      </c>
    </row>
    <row r="12224" spans="1:24">
      <c r="A12224">
        <f>HYPERLINK("https://www.philgeps.gov.ph/GEPSNONPILOT/Tender/SplashBidNoticeAbstractUI.aspx?menuIndex=3&amp;refID=7015872&amp;Result=3","7015872")</f>
        <v>0</v>
      </c>
      <c r="B12224" t="s">
        <v>229</v>
      </c>
      <c r="C12224" t="s">
        <v>14880</v>
      </c>
      <c r="D12224" t="s">
        <v>18032</v>
      </c>
      <c r="E12224" t="s">
        <v>28685</v>
      </c>
      <c r="F12224" t="s">
        <v>31574</v>
      </c>
      <c r="G12224" t="s">
        <v>31581</v>
      </c>
      <c r="H12224" t="s">
        <v>31590</v>
      </c>
      <c r="I12224" t="s">
        <v>4327</v>
      </c>
      <c r="J12224" t="s">
        <v>33231</v>
      </c>
      <c r="K12224" t="s">
        <v>41186</v>
      </c>
      <c r="M12224" t="s">
        <v>41714</v>
      </c>
      <c r="N12224" t="s">
        <v>45095</v>
      </c>
      <c r="O12224" t="s">
        <v>45096</v>
      </c>
      <c r="P12224">
        <v>0</v>
      </c>
      <c r="Q12224">
        <v>5</v>
      </c>
      <c r="R12224" t="s">
        <v>45111</v>
      </c>
      <c r="S12224" t="s">
        <v>45694</v>
      </c>
      <c r="T12224" t="s">
        <v>47154</v>
      </c>
      <c r="U12224" t="s">
        <v>57459</v>
      </c>
      <c r="W12224" t="s">
        <v>61657</v>
      </c>
      <c r="X12224" t="s">
        <v>45116</v>
      </c>
    </row>
    <row r="12225" spans="1:24">
      <c r="A12225">
        <f>HYPERLINK("https://www.philgeps.gov.ph/GEPSNONPILOT/Tender/SplashBidNoticeAbstractUI.aspx?menuIndex=3&amp;refID=7015306&amp;Result=3","7015306")</f>
        <v>0</v>
      </c>
      <c r="B12225" t="s">
        <v>1648</v>
      </c>
      <c r="C12225" t="s">
        <v>14881</v>
      </c>
      <c r="D12225" t="s">
        <v>18079</v>
      </c>
      <c r="E12225" t="s">
        <v>28686</v>
      </c>
      <c r="F12225" t="s">
        <v>31574</v>
      </c>
      <c r="G12225" t="s">
        <v>31582</v>
      </c>
      <c r="H12225" t="s">
        <v>31590</v>
      </c>
      <c r="I12225" t="s">
        <v>31608</v>
      </c>
      <c r="J12225" t="s">
        <v>33231</v>
      </c>
      <c r="K12225" t="s">
        <v>41186</v>
      </c>
      <c r="M12225" t="s">
        <v>44734</v>
      </c>
      <c r="N12225" t="s">
        <v>45095</v>
      </c>
      <c r="O12225" t="s">
        <v>45096</v>
      </c>
      <c r="P12225">
        <v>0</v>
      </c>
      <c r="Q12225">
        <v>6</v>
      </c>
      <c r="R12225" t="s">
        <v>45111</v>
      </c>
      <c r="S12225" t="s">
        <v>45694</v>
      </c>
      <c r="T12225" t="s">
        <v>46979</v>
      </c>
      <c r="U12225" t="s">
        <v>57460</v>
      </c>
      <c r="W12225" t="s">
        <v>61767</v>
      </c>
      <c r="X12225" t="s">
        <v>45116</v>
      </c>
    </row>
    <row r="12226" spans="1:24">
      <c r="A12226">
        <f>HYPERLINK("https://www.philgeps.gov.ph/GEPSNONPILOT/Tender/SplashBidNoticeAbstractUI.aspx?menuIndex=3&amp;refID=7014436&amp;Result=3","7014436")</f>
        <v>0</v>
      </c>
      <c r="B12226" t="s">
        <v>332</v>
      </c>
      <c r="C12226" t="s">
        <v>14882</v>
      </c>
      <c r="D12226" t="s">
        <v>18040</v>
      </c>
      <c r="E12226" t="s">
        <v>28687</v>
      </c>
      <c r="F12226" t="s">
        <v>31574</v>
      </c>
      <c r="G12226" t="s">
        <v>31582</v>
      </c>
      <c r="H12226" t="s">
        <v>31591</v>
      </c>
      <c r="I12226" t="s">
        <v>8822</v>
      </c>
      <c r="J12226" t="s">
        <v>39280</v>
      </c>
      <c r="K12226" t="s">
        <v>41184</v>
      </c>
      <c r="M12226" t="s">
        <v>41820</v>
      </c>
      <c r="N12226" t="s">
        <v>45095</v>
      </c>
      <c r="O12226" t="s">
        <v>45096</v>
      </c>
      <c r="P12226">
        <v>0</v>
      </c>
      <c r="Q12226">
        <v>0</v>
      </c>
      <c r="R12226" t="s">
        <v>45111</v>
      </c>
      <c r="S12226" t="s">
        <v>45694</v>
      </c>
      <c r="T12226" t="s">
        <v>46979</v>
      </c>
      <c r="U12226" t="s">
        <v>57461</v>
      </c>
      <c r="W12226" t="s">
        <v>41820</v>
      </c>
      <c r="X12226" t="s">
        <v>45116</v>
      </c>
    </row>
    <row r="12227" spans="1:24">
      <c r="A12227">
        <f>HYPERLINK("https://www.philgeps.gov.ph/GEPSNONPILOT/Tender/SplashBidNoticeAbstractUI.aspx?menuIndex=3&amp;refID=7015920&amp;Result=3","7015920")</f>
        <v>0</v>
      </c>
      <c r="B12227" t="s">
        <v>1040</v>
      </c>
      <c r="C12227" t="s">
        <v>14883</v>
      </c>
      <c r="D12227" t="s">
        <v>18066</v>
      </c>
      <c r="E12227" t="s">
        <v>28688</v>
      </c>
      <c r="F12227" t="s">
        <v>31574</v>
      </c>
      <c r="G12227" t="s">
        <v>31582</v>
      </c>
      <c r="H12227" t="s">
        <v>31591</v>
      </c>
      <c r="I12227" t="s">
        <v>7162</v>
      </c>
      <c r="J12227" t="s">
        <v>39281</v>
      </c>
      <c r="K12227" t="s">
        <v>41189</v>
      </c>
      <c r="M12227" t="s">
        <v>42583</v>
      </c>
      <c r="N12227" t="s">
        <v>45095</v>
      </c>
      <c r="O12227" t="s">
        <v>45096</v>
      </c>
      <c r="P12227">
        <v>0</v>
      </c>
      <c r="Q12227">
        <v>4</v>
      </c>
      <c r="R12227" t="s">
        <v>45111</v>
      </c>
      <c r="S12227" t="s">
        <v>45694</v>
      </c>
      <c r="T12227" t="s">
        <v>46955</v>
      </c>
      <c r="U12227" t="s">
        <v>57462</v>
      </c>
      <c r="W12227" t="s">
        <v>42583</v>
      </c>
      <c r="X12227" t="s">
        <v>45116</v>
      </c>
    </row>
    <row r="12228" spans="1:24">
      <c r="A12228">
        <f>HYPERLINK("https://www.philgeps.gov.ph/GEPSNONPILOT/Tender/SplashBidNoticeAbstractUI.aspx?menuIndex=3&amp;refID=7015616&amp;Result=3","7015616")</f>
        <v>0</v>
      </c>
      <c r="B12228" t="s">
        <v>2927</v>
      </c>
      <c r="C12228" t="s">
        <v>14884</v>
      </c>
      <c r="D12228" t="s">
        <v>18053</v>
      </c>
      <c r="E12228" t="s">
        <v>28689</v>
      </c>
      <c r="F12228" t="s">
        <v>31574</v>
      </c>
      <c r="G12228" t="s">
        <v>31582</v>
      </c>
      <c r="H12228" t="s">
        <v>31591</v>
      </c>
      <c r="I12228" t="s">
        <v>8822</v>
      </c>
      <c r="J12228" t="s">
        <v>32510</v>
      </c>
      <c r="K12228" t="s">
        <v>41260</v>
      </c>
      <c r="M12228" t="s">
        <v>44735</v>
      </c>
      <c r="N12228" t="s">
        <v>45095</v>
      </c>
      <c r="O12228" t="s">
        <v>45096</v>
      </c>
      <c r="Q12228">
        <v>1</v>
      </c>
      <c r="R12228" t="s">
        <v>45111</v>
      </c>
      <c r="S12228" t="s">
        <v>45698</v>
      </c>
      <c r="T12228" t="s">
        <v>47058</v>
      </c>
      <c r="U12228" t="s">
        <v>57463</v>
      </c>
      <c r="V12228" t="s">
        <v>61183</v>
      </c>
      <c r="W12228" t="s">
        <v>44735</v>
      </c>
      <c r="X12228" t="s">
        <v>45116</v>
      </c>
    </row>
    <row r="12229" spans="1:24">
      <c r="A12229">
        <f>HYPERLINK("https://www.philgeps.gov.ph/GEPSNONPILOT/Tender/SplashBidNoticeAbstractUI.aspx?menuIndex=3&amp;refID=7014237&amp;Result=3","7014237")</f>
        <v>0</v>
      </c>
      <c r="B12229" t="s">
        <v>165</v>
      </c>
      <c r="C12229" t="s">
        <v>14885</v>
      </c>
      <c r="D12229" t="s">
        <v>18027</v>
      </c>
      <c r="E12229" t="s">
        <v>28690</v>
      </c>
      <c r="F12229" t="s">
        <v>31574</v>
      </c>
      <c r="G12229" t="s">
        <v>31582</v>
      </c>
      <c r="H12229" t="s">
        <v>31591</v>
      </c>
      <c r="I12229" t="s">
        <v>7162</v>
      </c>
      <c r="J12229" t="s">
        <v>38797</v>
      </c>
      <c r="K12229" t="s">
        <v>41185</v>
      </c>
      <c r="M12229" t="s">
        <v>41649</v>
      </c>
      <c r="N12229" t="s">
        <v>45095</v>
      </c>
      <c r="O12229" t="s">
        <v>45096</v>
      </c>
      <c r="P12229">
        <v>0</v>
      </c>
      <c r="Q12229">
        <v>6</v>
      </c>
      <c r="R12229" t="s">
        <v>45111</v>
      </c>
      <c r="S12229" t="s">
        <v>45694</v>
      </c>
      <c r="T12229" t="s">
        <v>46920</v>
      </c>
      <c r="U12229" t="s">
        <v>57464</v>
      </c>
      <c r="W12229" t="s">
        <v>41649</v>
      </c>
      <c r="X12229" t="s">
        <v>45117</v>
      </c>
    </row>
    <row r="12230" spans="1:24">
      <c r="A12230">
        <f>HYPERLINK("https://www.philgeps.gov.ph/GEPSNONPILOT/Tender/SplashBidNoticeAbstractUI.aspx?menuIndex=3&amp;refID=7015374&amp;Result=3","7015374")</f>
        <v>0</v>
      </c>
      <c r="B12230" t="s">
        <v>1648</v>
      </c>
      <c r="C12230" t="s">
        <v>14886</v>
      </c>
      <c r="D12230" t="s">
        <v>18079</v>
      </c>
      <c r="E12230" t="s">
        <v>28691</v>
      </c>
      <c r="F12230" t="s">
        <v>31574</v>
      </c>
      <c r="G12230" t="s">
        <v>31582</v>
      </c>
      <c r="H12230" t="s">
        <v>31590</v>
      </c>
      <c r="I12230" t="s">
        <v>31608</v>
      </c>
      <c r="J12230" t="s">
        <v>31883</v>
      </c>
      <c r="K12230" t="s">
        <v>41186</v>
      </c>
      <c r="M12230" t="s">
        <v>44734</v>
      </c>
      <c r="N12230" t="s">
        <v>45095</v>
      </c>
      <c r="O12230" t="s">
        <v>45096</v>
      </c>
      <c r="P12230">
        <v>0</v>
      </c>
      <c r="Q12230">
        <v>9</v>
      </c>
      <c r="R12230" t="s">
        <v>45111</v>
      </c>
      <c r="S12230" t="s">
        <v>45694</v>
      </c>
      <c r="T12230" t="s">
        <v>46979</v>
      </c>
      <c r="U12230" t="s">
        <v>57465</v>
      </c>
      <c r="W12230" t="s">
        <v>61767</v>
      </c>
      <c r="X12230" t="s">
        <v>45116</v>
      </c>
    </row>
    <row r="12231" spans="1:24">
      <c r="A12231">
        <f>HYPERLINK("https://www.philgeps.gov.ph/GEPSNONPILOT/Tender/SplashBidNoticeAbstractUI.aspx?menuIndex=3&amp;refID=7014815&amp;Result=3","7014815")</f>
        <v>0</v>
      </c>
      <c r="B12231" t="s">
        <v>2342</v>
      </c>
      <c r="C12231" t="s">
        <v>3993</v>
      </c>
      <c r="D12231" t="s">
        <v>18077</v>
      </c>
      <c r="E12231" t="s">
        <v>28692</v>
      </c>
      <c r="F12231" t="s">
        <v>31574</v>
      </c>
      <c r="G12231" t="s">
        <v>31582</v>
      </c>
      <c r="H12231" t="s">
        <v>31590</v>
      </c>
      <c r="I12231" t="s">
        <v>6800</v>
      </c>
      <c r="J12231" t="s">
        <v>39282</v>
      </c>
      <c r="K12231" t="s">
        <v>41186</v>
      </c>
      <c r="M12231" t="s">
        <v>44057</v>
      </c>
      <c r="N12231" t="s">
        <v>45095</v>
      </c>
      <c r="O12231" t="s">
        <v>45096</v>
      </c>
      <c r="P12231">
        <v>0</v>
      </c>
      <c r="Q12231">
        <v>2</v>
      </c>
      <c r="R12231" t="s">
        <v>45111</v>
      </c>
      <c r="S12231" t="s">
        <v>45694</v>
      </c>
      <c r="T12231" t="s">
        <v>46980</v>
      </c>
      <c r="U12231" t="s">
        <v>57466</v>
      </c>
      <c r="W12231" t="s">
        <v>44057</v>
      </c>
      <c r="X12231" t="s">
        <v>45116</v>
      </c>
    </row>
    <row r="12232" spans="1:24">
      <c r="A12232">
        <f>HYPERLINK("https://www.philgeps.gov.ph/GEPSNONPILOT/Tender/SplashBidNoticeAbstractUI.aspx?menuIndex=3&amp;refID=7014219&amp;Result=3","7014219")</f>
        <v>0</v>
      </c>
      <c r="B12232" t="s">
        <v>165</v>
      </c>
      <c r="C12232" t="s">
        <v>14887</v>
      </c>
      <c r="D12232" t="s">
        <v>18027</v>
      </c>
      <c r="E12232" t="s">
        <v>28693</v>
      </c>
      <c r="F12232" t="s">
        <v>31574</v>
      </c>
      <c r="G12232" t="s">
        <v>31582</v>
      </c>
      <c r="H12232" t="s">
        <v>31591</v>
      </c>
      <c r="I12232" t="s">
        <v>8822</v>
      </c>
      <c r="J12232" t="s">
        <v>39283</v>
      </c>
      <c r="K12232" t="s">
        <v>41256</v>
      </c>
      <c r="M12232" t="s">
        <v>41649</v>
      </c>
      <c r="N12232" t="s">
        <v>45095</v>
      </c>
      <c r="O12232" t="s">
        <v>45096</v>
      </c>
      <c r="P12232">
        <v>0</v>
      </c>
      <c r="Q12232">
        <v>1</v>
      </c>
      <c r="R12232" t="s">
        <v>45111</v>
      </c>
      <c r="S12232" t="s">
        <v>45694</v>
      </c>
      <c r="T12232" t="s">
        <v>46920</v>
      </c>
      <c r="U12232" t="s">
        <v>57467</v>
      </c>
      <c r="W12232" t="s">
        <v>41649</v>
      </c>
      <c r="X12232" t="s">
        <v>45117</v>
      </c>
    </row>
    <row r="12233" spans="1:24">
      <c r="A12233">
        <f>HYPERLINK("https://www.philgeps.gov.ph/GEPSNONPILOT/Tender/SplashBidNoticeAbstractUI.aspx?menuIndex=3&amp;refID=7016163&amp;Result=3","7016163")</f>
        <v>0</v>
      </c>
      <c r="B12233" t="s">
        <v>1040</v>
      </c>
      <c r="C12233" t="s">
        <v>14888</v>
      </c>
      <c r="D12233" t="s">
        <v>18066</v>
      </c>
      <c r="E12233" t="s">
        <v>28694</v>
      </c>
      <c r="F12233" t="s">
        <v>31574</v>
      </c>
      <c r="G12233" t="s">
        <v>31582</v>
      </c>
      <c r="H12233" t="s">
        <v>31591</v>
      </c>
      <c r="I12233" t="s">
        <v>8822</v>
      </c>
      <c r="J12233" t="s">
        <v>39284</v>
      </c>
      <c r="K12233" t="s">
        <v>41203</v>
      </c>
      <c r="M12233" t="s">
        <v>42583</v>
      </c>
      <c r="N12233" t="s">
        <v>45095</v>
      </c>
      <c r="O12233" t="s">
        <v>45096</v>
      </c>
      <c r="P12233">
        <v>0</v>
      </c>
      <c r="Q12233">
        <v>0</v>
      </c>
      <c r="R12233" t="s">
        <v>45111</v>
      </c>
      <c r="S12233" t="s">
        <v>45694</v>
      </c>
      <c r="T12233" t="s">
        <v>46955</v>
      </c>
      <c r="U12233" t="s">
        <v>57468</v>
      </c>
      <c r="W12233" t="s">
        <v>42583</v>
      </c>
      <c r="X12233" t="s">
        <v>45116</v>
      </c>
    </row>
    <row r="12234" spans="1:24">
      <c r="A12234">
        <f>HYPERLINK("https://www.philgeps.gov.ph/GEPSNONPILOT/Tender/SplashBidNoticeAbstractUI.aspx?menuIndex=3&amp;refID=7016036&amp;Result=3","7016036")</f>
        <v>0</v>
      </c>
      <c r="B12234" t="s">
        <v>2717</v>
      </c>
      <c r="C12234" t="s">
        <v>14889</v>
      </c>
      <c r="D12234" t="s">
        <v>18079</v>
      </c>
      <c r="E12234" t="s">
        <v>28695</v>
      </c>
      <c r="F12234" t="s">
        <v>31574</v>
      </c>
      <c r="G12234" t="s">
        <v>31582</v>
      </c>
      <c r="H12234" t="s">
        <v>31590</v>
      </c>
      <c r="I12234" t="s">
        <v>31594</v>
      </c>
      <c r="J12234" t="s">
        <v>32458</v>
      </c>
      <c r="K12234" t="s">
        <v>41200</v>
      </c>
      <c r="M12234" t="s">
        <v>44488</v>
      </c>
      <c r="N12234" t="s">
        <v>45095</v>
      </c>
      <c r="O12234" t="s">
        <v>45096</v>
      </c>
      <c r="P12234">
        <v>0</v>
      </c>
      <c r="Q12234">
        <v>15</v>
      </c>
      <c r="R12234" t="s">
        <v>45111</v>
      </c>
      <c r="S12234" t="s">
        <v>45694</v>
      </c>
      <c r="T12234" t="s">
        <v>47352</v>
      </c>
      <c r="U12234" t="s">
        <v>57469</v>
      </c>
      <c r="W12234" t="s">
        <v>44488</v>
      </c>
      <c r="X12234" t="s">
        <v>45116</v>
      </c>
    </row>
    <row r="12235" spans="1:24">
      <c r="A12235">
        <f>HYPERLINK("https://www.philgeps.gov.ph/GEPSNONPILOT/Tender/SplashBidNoticeAbstractUI.aspx?menuIndex=3&amp;refID=7016078&amp;Result=3","7016078")</f>
        <v>0</v>
      </c>
      <c r="B12235" t="s">
        <v>1040</v>
      </c>
      <c r="C12235" t="s">
        <v>14890</v>
      </c>
      <c r="D12235" t="s">
        <v>18066</v>
      </c>
      <c r="E12235" t="s">
        <v>28696</v>
      </c>
      <c r="F12235" t="s">
        <v>31574</v>
      </c>
      <c r="G12235" t="s">
        <v>31582</v>
      </c>
      <c r="H12235" t="s">
        <v>31591</v>
      </c>
      <c r="I12235" t="s">
        <v>8822</v>
      </c>
      <c r="J12235" t="s">
        <v>39285</v>
      </c>
      <c r="K12235" t="s">
        <v>41198</v>
      </c>
      <c r="M12235" t="s">
        <v>42583</v>
      </c>
      <c r="N12235" t="s">
        <v>45095</v>
      </c>
      <c r="O12235" t="s">
        <v>45096</v>
      </c>
      <c r="P12235">
        <v>0</v>
      </c>
      <c r="Q12235">
        <v>1</v>
      </c>
      <c r="R12235" t="s">
        <v>45111</v>
      </c>
      <c r="S12235" t="s">
        <v>45694</v>
      </c>
      <c r="T12235" t="s">
        <v>46955</v>
      </c>
      <c r="U12235" t="s">
        <v>57470</v>
      </c>
      <c r="W12235" t="s">
        <v>42583</v>
      </c>
      <c r="X12235" t="s">
        <v>45116</v>
      </c>
    </row>
    <row r="12236" spans="1:24">
      <c r="A12236">
        <f>HYPERLINK("https://www.philgeps.gov.ph/GEPSNONPILOT/Tender/SplashBidNoticeAbstractUI.aspx?menuIndex=3&amp;refID=7015883&amp;Result=3","7015883")</f>
        <v>0</v>
      </c>
      <c r="B12236" t="s">
        <v>1040</v>
      </c>
      <c r="C12236" t="s">
        <v>14891</v>
      </c>
      <c r="D12236" t="s">
        <v>18066</v>
      </c>
      <c r="E12236" t="s">
        <v>28697</v>
      </c>
      <c r="F12236" t="s">
        <v>31574</v>
      </c>
      <c r="G12236" t="s">
        <v>31582</v>
      </c>
      <c r="H12236" t="s">
        <v>31591</v>
      </c>
      <c r="I12236" t="s">
        <v>8822</v>
      </c>
      <c r="J12236" t="s">
        <v>39286</v>
      </c>
      <c r="K12236" t="s">
        <v>41256</v>
      </c>
      <c r="M12236" t="s">
        <v>42583</v>
      </c>
      <c r="N12236" t="s">
        <v>45095</v>
      </c>
      <c r="O12236" t="s">
        <v>45096</v>
      </c>
      <c r="P12236">
        <v>0</v>
      </c>
      <c r="Q12236">
        <v>0</v>
      </c>
      <c r="R12236" t="s">
        <v>45111</v>
      </c>
      <c r="S12236" t="s">
        <v>45694</v>
      </c>
      <c r="T12236" t="s">
        <v>46955</v>
      </c>
      <c r="U12236" t="s">
        <v>57471</v>
      </c>
      <c r="W12236" t="s">
        <v>42583</v>
      </c>
      <c r="X12236" t="s">
        <v>45116</v>
      </c>
    </row>
    <row r="12237" spans="1:24">
      <c r="A12237">
        <f>HYPERLINK("https://www.philgeps.gov.ph/GEPSNONPILOT/Tender/SplashBidNoticeAbstractUI.aspx?menuIndex=3&amp;refID=7016007&amp;Result=3","7016007")</f>
        <v>0</v>
      </c>
      <c r="B12237" t="s">
        <v>1040</v>
      </c>
      <c r="C12237" t="s">
        <v>14892</v>
      </c>
      <c r="D12237" t="s">
        <v>18066</v>
      </c>
      <c r="E12237" t="s">
        <v>28698</v>
      </c>
      <c r="F12237" t="s">
        <v>31574</v>
      </c>
      <c r="G12237" t="s">
        <v>31582</v>
      </c>
      <c r="H12237" t="s">
        <v>31591</v>
      </c>
      <c r="I12237" t="s">
        <v>7162</v>
      </c>
      <c r="J12237" t="s">
        <v>39287</v>
      </c>
      <c r="K12237" t="s">
        <v>41189</v>
      </c>
      <c r="M12237" t="s">
        <v>42583</v>
      </c>
      <c r="N12237" t="s">
        <v>45095</v>
      </c>
      <c r="O12237" t="s">
        <v>45096</v>
      </c>
      <c r="P12237">
        <v>0</v>
      </c>
      <c r="Q12237">
        <v>1</v>
      </c>
      <c r="R12237" t="s">
        <v>45111</v>
      </c>
      <c r="S12237" t="s">
        <v>45694</v>
      </c>
      <c r="T12237" t="s">
        <v>46955</v>
      </c>
      <c r="U12237" t="s">
        <v>57472</v>
      </c>
      <c r="W12237" t="s">
        <v>42583</v>
      </c>
      <c r="X12237" t="s">
        <v>45116</v>
      </c>
    </row>
    <row r="12238" spans="1:24">
      <c r="A12238">
        <f>HYPERLINK("https://www.philgeps.gov.ph/GEPSNONPILOT/Tender/SplashBidNoticeAbstractUI.aspx?menuIndex=3&amp;refID=7015589&amp;Result=3","7015589")</f>
        <v>0</v>
      </c>
      <c r="B12238" t="s">
        <v>2927</v>
      </c>
      <c r="C12238" t="s">
        <v>14893</v>
      </c>
      <c r="D12238" t="s">
        <v>18053</v>
      </c>
      <c r="E12238" t="s">
        <v>28699</v>
      </c>
      <c r="F12238" t="s">
        <v>31574</v>
      </c>
      <c r="G12238" t="s">
        <v>31582</v>
      </c>
      <c r="H12238" t="s">
        <v>31591</v>
      </c>
      <c r="I12238" t="s">
        <v>8822</v>
      </c>
      <c r="J12238" t="s">
        <v>31935</v>
      </c>
      <c r="K12238" t="s">
        <v>41315</v>
      </c>
      <c r="M12238" t="s">
        <v>44735</v>
      </c>
      <c r="N12238" t="s">
        <v>45095</v>
      </c>
      <c r="O12238" t="s">
        <v>45096</v>
      </c>
      <c r="Q12238">
        <v>1</v>
      </c>
      <c r="R12238" t="s">
        <v>45111</v>
      </c>
      <c r="S12238" t="s">
        <v>45699</v>
      </c>
      <c r="T12238" t="s">
        <v>47058</v>
      </c>
      <c r="U12238" t="s">
        <v>57473</v>
      </c>
      <c r="V12238" t="s">
        <v>61183</v>
      </c>
      <c r="W12238" t="s">
        <v>44735</v>
      </c>
      <c r="X12238" t="s">
        <v>45116</v>
      </c>
    </row>
    <row r="12239" spans="1:24">
      <c r="A12239">
        <f>HYPERLINK("https://www.philgeps.gov.ph/GEPSNONPILOT/Tender/SplashBidNoticeAbstractUI.aspx?menuIndex=3&amp;refID=7016106&amp;Result=3","7016106")</f>
        <v>0</v>
      </c>
      <c r="B12239" t="s">
        <v>1040</v>
      </c>
      <c r="C12239" t="s">
        <v>14894</v>
      </c>
      <c r="D12239" t="s">
        <v>18066</v>
      </c>
      <c r="E12239" t="s">
        <v>28700</v>
      </c>
      <c r="F12239" t="s">
        <v>31574</v>
      </c>
      <c r="G12239" t="s">
        <v>31582</v>
      </c>
      <c r="H12239" t="s">
        <v>31591</v>
      </c>
      <c r="I12239" t="s">
        <v>8822</v>
      </c>
      <c r="J12239" t="s">
        <v>39288</v>
      </c>
      <c r="K12239" t="s">
        <v>41198</v>
      </c>
      <c r="M12239" t="s">
        <v>42583</v>
      </c>
      <c r="N12239" t="s">
        <v>45095</v>
      </c>
      <c r="O12239" t="s">
        <v>45096</v>
      </c>
      <c r="P12239">
        <v>0</v>
      </c>
      <c r="Q12239">
        <v>0</v>
      </c>
      <c r="R12239" t="s">
        <v>45111</v>
      </c>
      <c r="S12239" t="s">
        <v>45694</v>
      </c>
      <c r="T12239" t="s">
        <v>46955</v>
      </c>
      <c r="U12239" t="s">
        <v>57474</v>
      </c>
      <c r="W12239" t="s">
        <v>42583</v>
      </c>
      <c r="X12239" t="s">
        <v>45116</v>
      </c>
    </row>
    <row r="12240" spans="1:24">
      <c r="A12240">
        <f>HYPERLINK("https://www.philgeps.gov.ph/GEPSNONPILOT/Tender/SplashBidNoticeAbstractUI.aspx?menuIndex=3&amp;refID=7014233&amp;Result=3","7014233")</f>
        <v>0</v>
      </c>
      <c r="B12240" t="s">
        <v>165</v>
      </c>
      <c r="C12240" t="s">
        <v>14895</v>
      </c>
      <c r="D12240" t="s">
        <v>18027</v>
      </c>
      <c r="E12240" t="s">
        <v>28701</v>
      </c>
      <c r="F12240" t="s">
        <v>31574</v>
      </c>
      <c r="G12240" t="s">
        <v>31582</v>
      </c>
      <c r="H12240" t="s">
        <v>31591</v>
      </c>
      <c r="I12240" t="s">
        <v>8822</v>
      </c>
      <c r="J12240" t="s">
        <v>39289</v>
      </c>
      <c r="K12240" t="s">
        <v>41256</v>
      </c>
      <c r="M12240" t="s">
        <v>41649</v>
      </c>
      <c r="N12240" t="s">
        <v>45095</v>
      </c>
      <c r="O12240" t="s">
        <v>45096</v>
      </c>
      <c r="P12240">
        <v>0</v>
      </c>
      <c r="Q12240">
        <v>5</v>
      </c>
      <c r="R12240" t="s">
        <v>45111</v>
      </c>
      <c r="S12240" t="s">
        <v>45694</v>
      </c>
      <c r="T12240" t="s">
        <v>46920</v>
      </c>
      <c r="U12240" t="s">
        <v>57475</v>
      </c>
      <c r="W12240" t="s">
        <v>41649</v>
      </c>
      <c r="X12240" t="s">
        <v>45117</v>
      </c>
    </row>
    <row r="12241" spans="1:24">
      <c r="A12241">
        <f>HYPERLINK("https://www.philgeps.gov.ph/GEPSNONPILOT/Tender/SplashBidNoticeAbstractUI.aspx?menuIndex=3&amp;refID=7016181&amp;Result=3","7016181")</f>
        <v>0</v>
      </c>
      <c r="B12241" t="s">
        <v>1040</v>
      </c>
      <c r="C12241" t="s">
        <v>14896</v>
      </c>
      <c r="D12241" t="s">
        <v>18066</v>
      </c>
      <c r="E12241" t="s">
        <v>28702</v>
      </c>
      <c r="F12241" t="s">
        <v>31574</v>
      </c>
      <c r="G12241" t="s">
        <v>31582</v>
      </c>
      <c r="H12241" t="s">
        <v>31591</v>
      </c>
      <c r="I12241" t="s">
        <v>8822</v>
      </c>
      <c r="J12241" t="s">
        <v>39290</v>
      </c>
      <c r="K12241" t="s">
        <v>41192</v>
      </c>
      <c r="M12241" t="s">
        <v>42583</v>
      </c>
      <c r="N12241" t="s">
        <v>45095</v>
      </c>
      <c r="O12241" t="s">
        <v>45096</v>
      </c>
      <c r="P12241">
        <v>0</v>
      </c>
      <c r="Q12241">
        <v>0</v>
      </c>
      <c r="R12241" t="s">
        <v>45111</v>
      </c>
      <c r="S12241" t="s">
        <v>45694</v>
      </c>
      <c r="T12241" t="s">
        <v>46955</v>
      </c>
      <c r="U12241" t="s">
        <v>57476</v>
      </c>
      <c r="W12241" t="s">
        <v>42583</v>
      </c>
      <c r="X12241" t="s">
        <v>45116</v>
      </c>
    </row>
    <row r="12242" spans="1:24">
      <c r="A12242">
        <f>HYPERLINK("https://www.philgeps.gov.ph/GEPSNONPILOT/Tender/SplashBidNoticeAbstractUI.aspx?menuIndex=3&amp;refID=7016044&amp;Result=3","7016044")</f>
        <v>0</v>
      </c>
      <c r="B12242" t="s">
        <v>1040</v>
      </c>
      <c r="C12242" t="s">
        <v>14897</v>
      </c>
      <c r="D12242" t="s">
        <v>18066</v>
      </c>
      <c r="E12242" t="s">
        <v>28703</v>
      </c>
      <c r="F12242" t="s">
        <v>31574</v>
      </c>
      <c r="G12242" t="s">
        <v>31582</v>
      </c>
      <c r="H12242" t="s">
        <v>31591</v>
      </c>
      <c r="I12242" t="s">
        <v>8822</v>
      </c>
      <c r="J12242" t="s">
        <v>39291</v>
      </c>
      <c r="K12242" t="s">
        <v>41243</v>
      </c>
      <c r="M12242" t="s">
        <v>42583</v>
      </c>
      <c r="N12242" t="s">
        <v>45095</v>
      </c>
      <c r="O12242" t="s">
        <v>45096</v>
      </c>
      <c r="P12242">
        <v>0</v>
      </c>
      <c r="Q12242">
        <v>0</v>
      </c>
      <c r="R12242" t="s">
        <v>45111</v>
      </c>
      <c r="S12242" t="s">
        <v>45694</v>
      </c>
      <c r="T12242" t="s">
        <v>46955</v>
      </c>
      <c r="U12242" t="s">
        <v>57477</v>
      </c>
      <c r="W12242" t="s">
        <v>42583</v>
      </c>
      <c r="X12242" t="s">
        <v>45116</v>
      </c>
    </row>
    <row r="12243" spans="1:24">
      <c r="A12243">
        <f>HYPERLINK("https://www.philgeps.gov.ph/GEPSNONPILOT/Tender/SplashBidNoticeAbstractUI.aspx?menuIndex=3&amp;refID=7016874&amp;Result=3","7016874")</f>
        <v>0</v>
      </c>
      <c r="B12243" t="s">
        <v>2342</v>
      </c>
      <c r="C12243" t="s">
        <v>14898</v>
      </c>
      <c r="D12243" t="s">
        <v>18077</v>
      </c>
      <c r="E12243" t="s">
        <v>28704</v>
      </c>
      <c r="F12243" t="s">
        <v>31574</v>
      </c>
      <c r="G12243" t="s">
        <v>31583</v>
      </c>
      <c r="H12243" t="s">
        <v>31590</v>
      </c>
      <c r="I12243" t="s">
        <v>31602</v>
      </c>
      <c r="J12243" t="s">
        <v>39292</v>
      </c>
      <c r="K12243" t="s">
        <v>41186</v>
      </c>
      <c r="M12243" t="s">
        <v>44057</v>
      </c>
      <c r="N12243" t="s">
        <v>45095</v>
      </c>
      <c r="O12243" t="s">
        <v>45096</v>
      </c>
      <c r="P12243">
        <v>0</v>
      </c>
      <c r="Q12243">
        <v>0</v>
      </c>
      <c r="R12243" t="s">
        <v>45111</v>
      </c>
      <c r="S12243" t="s">
        <v>45694</v>
      </c>
      <c r="T12243" t="s">
        <v>47158</v>
      </c>
      <c r="U12243" t="s">
        <v>57478</v>
      </c>
      <c r="W12243" t="s">
        <v>44057</v>
      </c>
      <c r="X12243" t="s">
        <v>45115</v>
      </c>
    </row>
    <row r="12244" spans="1:24">
      <c r="A12244">
        <f>HYPERLINK("https://www.philgeps.gov.ph/GEPSNONPILOT/Tender/SplashBidNoticeAbstractUI.aspx?menuIndex=3&amp;refID=7016959&amp;Result=3","7016959")</f>
        <v>0</v>
      </c>
      <c r="B12244" t="s">
        <v>2583</v>
      </c>
      <c r="C12244" t="s">
        <v>14899</v>
      </c>
      <c r="D12244" t="s">
        <v>18033</v>
      </c>
      <c r="E12244" t="s">
        <v>26383</v>
      </c>
      <c r="F12244" t="s">
        <v>31574</v>
      </c>
      <c r="G12244" t="s">
        <v>31582</v>
      </c>
      <c r="H12244" t="s">
        <v>31591</v>
      </c>
      <c r="I12244" t="s">
        <v>8822</v>
      </c>
      <c r="J12244" t="s">
        <v>32510</v>
      </c>
      <c r="K12244" t="s">
        <v>41184</v>
      </c>
      <c r="M12244" t="s">
        <v>44325</v>
      </c>
      <c r="N12244" t="s">
        <v>45095</v>
      </c>
      <c r="O12244" t="s">
        <v>45096</v>
      </c>
      <c r="P12244">
        <v>0</v>
      </c>
      <c r="Q12244">
        <v>3</v>
      </c>
      <c r="R12244" t="s">
        <v>45111</v>
      </c>
      <c r="S12244" t="s">
        <v>45694</v>
      </c>
      <c r="T12244" t="s">
        <v>46910</v>
      </c>
      <c r="U12244" t="s">
        <v>57479</v>
      </c>
      <c r="V12244" t="s">
        <v>61184</v>
      </c>
      <c r="W12244" t="s">
        <v>44325</v>
      </c>
      <c r="X12244" t="s">
        <v>45115</v>
      </c>
    </row>
    <row r="12245" spans="1:24">
      <c r="A12245">
        <f>HYPERLINK("https://www.philgeps.gov.ph/GEPSNONPILOT/Tender/SplashBidNoticeAbstractUI.aspx?menuIndex=3&amp;refID=7016993&amp;Result=3","7016993")</f>
        <v>0</v>
      </c>
      <c r="B12245" t="s">
        <v>2928</v>
      </c>
      <c r="C12245" t="s">
        <v>14900</v>
      </c>
      <c r="D12245" t="s">
        <v>18108</v>
      </c>
      <c r="E12245" t="s">
        <v>28705</v>
      </c>
      <c r="F12245" t="s">
        <v>31574</v>
      </c>
      <c r="G12245" t="s">
        <v>31582</v>
      </c>
      <c r="H12245" t="s">
        <v>31591</v>
      </c>
      <c r="I12245" t="s">
        <v>8822</v>
      </c>
      <c r="J12245" t="s">
        <v>33160</v>
      </c>
      <c r="K12245" t="s">
        <v>41198</v>
      </c>
      <c r="M12245" t="s">
        <v>44736</v>
      </c>
      <c r="N12245" t="s">
        <v>45095</v>
      </c>
      <c r="O12245" t="s">
        <v>45096</v>
      </c>
      <c r="P12245">
        <v>0</v>
      </c>
      <c r="Q12245">
        <v>4</v>
      </c>
      <c r="R12245" t="s">
        <v>45111</v>
      </c>
      <c r="S12245" t="s">
        <v>45694</v>
      </c>
      <c r="T12245" t="s">
        <v>46955</v>
      </c>
      <c r="U12245" t="s">
        <v>57480</v>
      </c>
      <c r="W12245" t="s">
        <v>44736</v>
      </c>
      <c r="X12245" t="s">
        <v>45115</v>
      </c>
    </row>
    <row r="12246" spans="1:24">
      <c r="A12246">
        <f>HYPERLINK("https://www.philgeps.gov.ph/GEPSNONPILOT/Tender/SplashBidNoticeAbstractUI.aspx?menuIndex=3&amp;refID=7016749&amp;Result=3","7016749")</f>
        <v>0</v>
      </c>
      <c r="B12246" t="s">
        <v>363</v>
      </c>
      <c r="C12246" t="s">
        <v>14901</v>
      </c>
      <c r="D12246" t="s">
        <v>18044</v>
      </c>
      <c r="E12246" t="s">
        <v>28706</v>
      </c>
      <c r="F12246" t="s">
        <v>31574</v>
      </c>
      <c r="G12246" t="s">
        <v>31582</v>
      </c>
      <c r="H12246" t="s">
        <v>31591</v>
      </c>
      <c r="I12246" t="s">
        <v>8822</v>
      </c>
      <c r="J12246" t="s">
        <v>32026</v>
      </c>
      <c r="K12246" t="s">
        <v>41186</v>
      </c>
      <c r="M12246" t="s">
        <v>41853</v>
      </c>
      <c r="N12246" t="s">
        <v>45095</v>
      </c>
      <c r="O12246" t="s">
        <v>45096</v>
      </c>
      <c r="P12246">
        <v>0</v>
      </c>
      <c r="Q12246">
        <v>1</v>
      </c>
      <c r="R12246" t="s">
        <v>45111</v>
      </c>
      <c r="S12246" t="s">
        <v>45694</v>
      </c>
      <c r="T12246" t="s">
        <v>46926</v>
      </c>
      <c r="U12246" t="s">
        <v>57481</v>
      </c>
      <c r="W12246" t="s">
        <v>41853</v>
      </c>
      <c r="X12246" t="s">
        <v>45115</v>
      </c>
    </row>
    <row r="12247" spans="1:24">
      <c r="A12247">
        <f>HYPERLINK("https://www.philgeps.gov.ph/GEPSNONPILOT/Tender/SplashBidNoticeAbstractUI.aspx?menuIndex=3&amp;refID=7016809&amp;Result=3","7016809")</f>
        <v>0</v>
      </c>
      <c r="B12247" t="s">
        <v>363</v>
      </c>
      <c r="C12247" t="s">
        <v>14902</v>
      </c>
      <c r="D12247" t="s">
        <v>18044</v>
      </c>
      <c r="E12247" t="s">
        <v>28707</v>
      </c>
      <c r="F12247" t="s">
        <v>31574</v>
      </c>
      <c r="G12247" t="s">
        <v>31582</v>
      </c>
      <c r="H12247" t="s">
        <v>31591</v>
      </c>
      <c r="I12247" t="s">
        <v>8822</v>
      </c>
      <c r="J12247" t="s">
        <v>32101</v>
      </c>
      <c r="K12247" t="s">
        <v>41189</v>
      </c>
      <c r="M12247" t="s">
        <v>41853</v>
      </c>
      <c r="N12247" t="s">
        <v>45095</v>
      </c>
      <c r="O12247" t="s">
        <v>45096</v>
      </c>
      <c r="P12247">
        <v>0</v>
      </c>
      <c r="Q12247">
        <v>1</v>
      </c>
      <c r="R12247" t="s">
        <v>45111</v>
      </c>
      <c r="S12247" t="s">
        <v>45694</v>
      </c>
      <c r="T12247" t="s">
        <v>46920</v>
      </c>
      <c r="U12247" t="s">
        <v>57482</v>
      </c>
      <c r="W12247" t="s">
        <v>41853</v>
      </c>
      <c r="X12247" t="s">
        <v>45115</v>
      </c>
    </row>
    <row r="12248" spans="1:24">
      <c r="A12248">
        <f>HYPERLINK("https://www.philgeps.gov.ph/GEPSNONPILOT/Tender/SplashBidNoticeAbstractUI.aspx?menuIndex=3&amp;refID=7017342&amp;Result=3","7017342")</f>
        <v>0</v>
      </c>
      <c r="B12248" t="s">
        <v>2929</v>
      </c>
      <c r="C12248" t="s">
        <v>14903</v>
      </c>
      <c r="D12248" t="s">
        <v>18056</v>
      </c>
      <c r="E12248" t="s">
        <v>28708</v>
      </c>
      <c r="F12248" t="s">
        <v>31574</v>
      </c>
      <c r="G12248" t="s">
        <v>31582</v>
      </c>
      <c r="H12248" t="s">
        <v>31591</v>
      </c>
      <c r="I12248" t="s">
        <v>8822</v>
      </c>
      <c r="J12248" t="s">
        <v>31789</v>
      </c>
      <c r="K12248" t="s">
        <v>41186</v>
      </c>
      <c r="M12248" t="s">
        <v>44737</v>
      </c>
      <c r="N12248" t="s">
        <v>45095</v>
      </c>
      <c r="O12248" t="s">
        <v>45096</v>
      </c>
      <c r="P12248">
        <v>0</v>
      </c>
      <c r="Q12248">
        <v>0</v>
      </c>
      <c r="R12248" t="s">
        <v>45111</v>
      </c>
      <c r="S12248" t="s">
        <v>45694</v>
      </c>
      <c r="T12248" t="s">
        <v>46979</v>
      </c>
      <c r="U12248" t="s">
        <v>57483</v>
      </c>
      <c r="V12248" t="s">
        <v>61185</v>
      </c>
      <c r="W12248" t="s">
        <v>44737</v>
      </c>
      <c r="X12248" t="s">
        <v>45115</v>
      </c>
    </row>
    <row r="12249" spans="1:24">
      <c r="A12249">
        <f>HYPERLINK("https://www.philgeps.gov.ph/GEPSNONPILOT/Tender/SplashBidNoticeAbstractUI.aspx?menuIndex=3&amp;refID=7016605&amp;Result=3","7016605")</f>
        <v>0</v>
      </c>
      <c r="B12249" t="s">
        <v>1040</v>
      </c>
      <c r="C12249" t="s">
        <v>14904</v>
      </c>
      <c r="D12249" t="s">
        <v>18066</v>
      </c>
      <c r="E12249" t="s">
        <v>28709</v>
      </c>
      <c r="F12249" t="s">
        <v>31574</v>
      </c>
      <c r="G12249" t="s">
        <v>31582</v>
      </c>
      <c r="H12249" t="s">
        <v>31591</v>
      </c>
      <c r="I12249" t="s">
        <v>8822</v>
      </c>
      <c r="J12249" t="s">
        <v>39293</v>
      </c>
      <c r="K12249" t="s">
        <v>41192</v>
      </c>
      <c r="M12249" t="s">
        <v>42583</v>
      </c>
      <c r="N12249" t="s">
        <v>45095</v>
      </c>
      <c r="O12249" t="s">
        <v>45096</v>
      </c>
      <c r="P12249">
        <v>0</v>
      </c>
      <c r="Q12249">
        <v>0</v>
      </c>
      <c r="R12249" t="s">
        <v>45111</v>
      </c>
      <c r="S12249" t="s">
        <v>45694</v>
      </c>
      <c r="T12249" t="s">
        <v>46955</v>
      </c>
      <c r="U12249" t="s">
        <v>57484</v>
      </c>
      <c r="W12249" t="s">
        <v>42583</v>
      </c>
      <c r="X12249" t="s">
        <v>45115</v>
      </c>
    </row>
    <row r="12250" spans="1:24">
      <c r="A12250">
        <f>HYPERLINK("https://www.philgeps.gov.ph/GEPSNONPILOT/Tender/SplashBidNoticeAbstractUI.aspx?menuIndex=3&amp;refID=7017584&amp;Result=3","7017584")</f>
        <v>0</v>
      </c>
      <c r="B12250" t="s">
        <v>1832</v>
      </c>
      <c r="C12250" t="s">
        <v>14905</v>
      </c>
      <c r="D12250" t="s">
        <v>18034</v>
      </c>
      <c r="E12250" t="s">
        <v>28710</v>
      </c>
      <c r="F12250" t="s">
        <v>31574</v>
      </c>
      <c r="G12250" t="s">
        <v>31582</v>
      </c>
      <c r="H12250" t="s">
        <v>31591</v>
      </c>
      <c r="I12250" t="s">
        <v>8822</v>
      </c>
      <c r="J12250" t="s">
        <v>31789</v>
      </c>
      <c r="K12250" t="s">
        <v>41186</v>
      </c>
      <c r="M12250" t="s">
        <v>43468</v>
      </c>
      <c r="N12250" t="s">
        <v>45095</v>
      </c>
      <c r="O12250" t="s">
        <v>45096</v>
      </c>
      <c r="P12250">
        <v>0</v>
      </c>
      <c r="Q12250">
        <v>0</v>
      </c>
      <c r="R12250" t="s">
        <v>45111</v>
      </c>
      <c r="S12250" t="s">
        <v>45694</v>
      </c>
      <c r="T12250" t="s">
        <v>46930</v>
      </c>
      <c r="U12250" t="s">
        <v>57485</v>
      </c>
      <c r="W12250" t="s">
        <v>43468</v>
      </c>
      <c r="X12250" t="s">
        <v>45115</v>
      </c>
    </row>
    <row r="12251" spans="1:24">
      <c r="A12251">
        <f>HYPERLINK("https://www.philgeps.gov.ph/GEPSNONPILOT/Tender/SplashBidNoticeAbstractUI.aspx?menuIndex=3&amp;refID=7017577&amp;Result=3","7017577")</f>
        <v>0</v>
      </c>
      <c r="B12251" t="s">
        <v>1832</v>
      </c>
      <c r="C12251" t="s">
        <v>14906</v>
      </c>
      <c r="D12251" t="s">
        <v>18034</v>
      </c>
      <c r="E12251" t="s">
        <v>28711</v>
      </c>
      <c r="F12251" t="s">
        <v>31574</v>
      </c>
      <c r="G12251" t="s">
        <v>31582</v>
      </c>
      <c r="H12251" t="s">
        <v>31591</v>
      </c>
      <c r="I12251" t="s">
        <v>8822</v>
      </c>
      <c r="J12251" t="s">
        <v>31789</v>
      </c>
      <c r="K12251" t="s">
        <v>41186</v>
      </c>
      <c r="M12251" t="s">
        <v>43468</v>
      </c>
      <c r="N12251" t="s">
        <v>45095</v>
      </c>
      <c r="O12251" t="s">
        <v>45096</v>
      </c>
      <c r="P12251">
        <v>0</v>
      </c>
      <c r="Q12251">
        <v>0</v>
      </c>
      <c r="R12251" t="s">
        <v>45111</v>
      </c>
      <c r="S12251" t="s">
        <v>45694</v>
      </c>
      <c r="T12251" t="s">
        <v>46930</v>
      </c>
      <c r="U12251" t="s">
        <v>57485</v>
      </c>
      <c r="W12251" t="s">
        <v>43468</v>
      </c>
      <c r="X12251" t="s">
        <v>45115</v>
      </c>
    </row>
    <row r="12252" spans="1:24">
      <c r="A12252">
        <f>HYPERLINK("https://www.philgeps.gov.ph/GEPSNONPILOT/Tender/SplashBidNoticeAbstractUI.aspx?menuIndex=3&amp;refID=7017041&amp;Result=3","7017041")</f>
        <v>0</v>
      </c>
      <c r="B12252" t="s">
        <v>2928</v>
      </c>
      <c r="C12252" t="s">
        <v>14907</v>
      </c>
      <c r="D12252" t="s">
        <v>18029</v>
      </c>
      <c r="E12252" t="s">
        <v>28712</v>
      </c>
      <c r="F12252" t="s">
        <v>31574</v>
      </c>
      <c r="G12252" t="s">
        <v>31582</v>
      </c>
      <c r="H12252" t="s">
        <v>31591</v>
      </c>
      <c r="I12252" t="s">
        <v>8822</v>
      </c>
      <c r="J12252" t="s">
        <v>33160</v>
      </c>
      <c r="K12252" t="s">
        <v>41198</v>
      </c>
      <c r="M12252" t="s">
        <v>44736</v>
      </c>
      <c r="N12252" t="s">
        <v>45095</v>
      </c>
      <c r="O12252" t="s">
        <v>45096</v>
      </c>
      <c r="P12252">
        <v>0</v>
      </c>
      <c r="Q12252">
        <v>6</v>
      </c>
      <c r="R12252" t="s">
        <v>45111</v>
      </c>
      <c r="S12252" t="s">
        <v>45694</v>
      </c>
      <c r="T12252" t="s">
        <v>46917</v>
      </c>
      <c r="U12252" t="s">
        <v>57486</v>
      </c>
      <c r="W12252" t="s">
        <v>44736</v>
      </c>
      <c r="X12252" t="s">
        <v>45115</v>
      </c>
    </row>
    <row r="12253" spans="1:24">
      <c r="A12253">
        <f>HYPERLINK("https://www.philgeps.gov.ph/GEPSNONPILOT/Tender/SplashBidNoticeAbstractUI.aspx?menuIndex=3&amp;refID=7016589&amp;Result=3","7016589")</f>
        <v>0</v>
      </c>
      <c r="B12253" t="s">
        <v>1040</v>
      </c>
      <c r="C12253" t="s">
        <v>5553</v>
      </c>
      <c r="D12253" t="s">
        <v>18066</v>
      </c>
      <c r="E12253" t="s">
        <v>28713</v>
      </c>
      <c r="F12253" t="s">
        <v>31574</v>
      </c>
      <c r="G12253" t="s">
        <v>31582</v>
      </c>
      <c r="H12253" t="s">
        <v>31591</v>
      </c>
      <c r="I12253" t="s">
        <v>8822</v>
      </c>
      <c r="J12253" t="s">
        <v>39294</v>
      </c>
      <c r="K12253" t="s">
        <v>41196</v>
      </c>
      <c r="M12253" t="s">
        <v>42583</v>
      </c>
      <c r="N12253" t="s">
        <v>45095</v>
      </c>
      <c r="O12253" t="s">
        <v>45096</v>
      </c>
      <c r="P12253">
        <v>0</v>
      </c>
      <c r="Q12253">
        <v>0</v>
      </c>
      <c r="R12253" t="s">
        <v>45111</v>
      </c>
      <c r="S12253" t="s">
        <v>45694</v>
      </c>
      <c r="T12253" t="s">
        <v>46955</v>
      </c>
      <c r="U12253" t="s">
        <v>57487</v>
      </c>
      <c r="W12253" t="s">
        <v>42583</v>
      </c>
      <c r="X12253" t="s">
        <v>45115</v>
      </c>
    </row>
    <row r="12254" spans="1:24">
      <c r="A12254">
        <f>HYPERLINK("https://www.philgeps.gov.ph/GEPSNONPILOT/Tender/SplashBidNoticeAbstractUI.aspx?menuIndex=3&amp;refID=7017599&amp;Result=3","7017599")</f>
        <v>0</v>
      </c>
      <c r="B12254" t="s">
        <v>1832</v>
      </c>
      <c r="C12254" t="s">
        <v>14908</v>
      </c>
      <c r="D12254" t="s">
        <v>18034</v>
      </c>
      <c r="E12254" t="s">
        <v>28714</v>
      </c>
      <c r="F12254" t="s">
        <v>31574</v>
      </c>
      <c r="G12254" t="s">
        <v>31582</v>
      </c>
      <c r="H12254" t="s">
        <v>31591</v>
      </c>
      <c r="I12254" t="s">
        <v>8822</v>
      </c>
      <c r="J12254" t="s">
        <v>31789</v>
      </c>
      <c r="K12254" t="s">
        <v>41186</v>
      </c>
      <c r="M12254" t="s">
        <v>43468</v>
      </c>
      <c r="N12254" t="s">
        <v>45095</v>
      </c>
      <c r="O12254" t="s">
        <v>45096</v>
      </c>
      <c r="P12254">
        <v>0</v>
      </c>
      <c r="Q12254">
        <v>0</v>
      </c>
      <c r="R12254" t="s">
        <v>45111</v>
      </c>
      <c r="S12254" t="s">
        <v>45694</v>
      </c>
      <c r="T12254" t="s">
        <v>46930</v>
      </c>
      <c r="U12254" t="s">
        <v>57485</v>
      </c>
      <c r="W12254" t="s">
        <v>43468</v>
      </c>
      <c r="X12254" t="s">
        <v>45115</v>
      </c>
    </row>
    <row r="12255" spans="1:24">
      <c r="A12255">
        <f>HYPERLINK("https://www.philgeps.gov.ph/GEPSNONPILOT/Tender/SplashBidNoticeAbstractUI.aspx?menuIndex=3&amp;refID=7016578&amp;Result=3","7016578")</f>
        <v>0</v>
      </c>
      <c r="B12255" t="s">
        <v>1040</v>
      </c>
      <c r="C12255" t="s">
        <v>14909</v>
      </c>
      <c r="D12255" t="s">
        <v>18066</v>
      </c>
      <c r="E12255" t="s">
        <v>28715</v>
      </c>
      <c r="F12255" t="s">
        <v>31574</v>
      </c>
      <c r="G12255" t="s">
        <v>31582</v>
      </c>
      <c r="H12255" t="s">
        <v>31591</v>
      </c>
      <c r="I12255" t="s">
        <v>8822</v>
      </c>
      <c r="J12255" t="s">
        <v>39295</v>
      </c>
      <c r="K12255" t="s">
        <v>41203</v>
      </c>
      <c r="M12255" t="s">
        <v>42583</v>
      </c>
      <c r="N12255" t="s">
        <v>45095</v>
      </c>
      <c r="O12255" t="s">
        <v>45096</v>
      </c>
      <c r="P12255">
        <v>0</v>
      </c>
      <c r="Q12255">
        <v>0</v>
      </c>
      <c r="R12255" t="s">
        <v>45111</v>
      </c>
      <c r="S12255" t="s">
        <v>45694</v>
      </c>
      <c r="T12255" t="s">
        <v>46955</v>
      </c>
      <c r="U12255" t="s">
        <v>57488</v>
      </c>
      <c r="W12255" t="s">
        <v>42583</v>
      </c>
      <c r="X12255" t="s">
        <v>45115</v>
      </c>
    </row>
    <row r="12256" spans="1:24">
      <c r="A12256">
        <f>HYPERLINK("https://www.philgeps.gov.ph/GEPSNONPILOT/Tender/SplashBidNoticeAbstractUI.aspx?menuIndex=3&amp;refID=7016780&amp;Result=3","7016780")</f>
        <v>0</v>
      </c>
      <c r="B12256" t="s">
        <v>2717</v>
      </c>
      <c r="C12256" t="s">
        <v>14910</v>
      </c>
      <c r="D12256" t="s">
        <v>18079</v>
      </c>
      <c r="E12256" t="s">
        <v>18975</v>
      </c>
      <c r="F12256" t="s">
        <v>31574</v>
      </c>
      <c r="G12256" t="s">
        <v>31582</v>
      </c>
      <c r="H12256" t="s">
        <v>31590</v>
      </c>
      <c r="I12256" t="s">
        <v>31594</v>
      </c>
      <c r="J12256" t="s">
        <v>32510</v>
      </c>
      <c r="K12256" t="s">
        <v>41200</v>
      </c>
      <c r="M12256" t="s">
        <v>44488</v>
      </c>
      <c r="N12256" t="s">
        <v>45095</v>
      </c>
      <c r="O12256" t="s">
        <v>45096</v>
      </c>
      <c r="Q12256">
        <v>12</v>
      </c>
      <c r="R12256" t="s">
        <v>45111</v>
      </c>
      <c r="S12256" t="s">
        <v>45700</v>
      </c>
      <c r="T12256" t="s">
        <v>47415</v>
      </c>
      <c r="U12256" t="s">
        <v>57489</v>
      </c>
      <c r="W12256" t="s">
        <v>44488</v>
      </c>
      <c r="X12256" t="s">
        <v>45115</v>
      </c>
    </row>
    <row r="12257" spans="1:24">
      <c r="A12257">
        <f>HYPERLINK("https://www.philgeps.gov.ph/GEPSNONPILOT/Tender/SplashBidNoticeAbstractUI.aspx?menuIndex=3&amp;refID=7017081&amp;Result=3","7017081")</f>
        <v>0</v>
      </c>
      <c r="B12257" t="s">
        <v>1595</v>
      </c>
      <c r="C12257" t="s">
        <v>14911</v>
      </c>
      <c r="D12257" t="s">
        <v>18094</v>
      </c>
      <c r="E12257" t="s">
        <v>28716</v>
      </c>
      <c r="F12257" t="s">
        <v>31574</v>
      </c>
      <c r="G12257" t="s">
        <v>31582</v>
      </c>
      <c r="H12257" t="s">
        <v>31590</v>
      </c>
      <c r="I12257" t="s">
        <v>5717</v>
      </c>
      <c r="J12257" t="s">
        <v>39296</v>
      </c>
      <c r="K12257" t="s">
        <v>41186</v>
      </c>
      <c r="M12257" t="s">
        <v>43199</v>
      </c>
      <c r="N12257" t="s">
        <v>45095</v>
      </c>
      <c r="O12257" t="s">
        <v>45096</v>
      </c>
      <c r="Q12257">
        <v>3</v>
      </c>
      <c r="R12257" t="s">
        <v>45111</v>
      </c>
      <c r="S12257" t="s">
        <v>45701</v>
      </c>
      <c r="T12257" t="s">
        <v>46932</v>
      </c>
      <c r="U12257" t="s">
        <v>57490</v>
      </c>
      <c r="W12257" t="s">
        <v>43199</v>
      </c>
      <c r="X12257" t="s">
        <v>45115</v>
      </c>
    </row>
    <row r="12258" spans="1:24">
      <c r="A12258">
        <f>HYPERLINK("https://www.philgeps.gov.ph/GEPSNONPILOT/Tender/SplashBidNoticeAbstractUI.aspx?menuIndex=3&amp;refID=7017351&amp;Result=3","7017351")</f>
        <v>0</v>
      </c>
      <c r="B12258" t="s">
        <v>1832</v>
      </c>
      <c r="C12258" t="s">
        <v>14912</v>
      </c>
      <c r="D12258" t="s">
        <v>18034</v>
      </c>
      <c r="E12258" t="s">
        <v>28717</v>
      </c>
      <c r="F12258" t="s">
        <v>31574</v>
      </c>
      <c r="G12258" t="s">
        <v>31582</v>
      </c>
      <c r="H12258" t="s">
        <v>31591</v>
      </c>
      <c r="I12258" t="s">
        <v>8822</v>
      </c>
      <c r="J12258" t="s">
        <v>32019</v>
      </c>
      <c r="K12258" t="s">
        <v>41186</v>
      </c>
      <c r="M12258" t="s">
        <v>43468</v>
      </c>
      <c r="N12258" t="s">
        <v>45095</v>
      </c>
      <c r="O12258" t="s">
        <v>45096</v>
      </c>
      <c r="P12258">
        <v>0</v>
      </c>
      <c r="Q12258">
        <v>0</v>
      </c>
      <c r="R12258" t="s">
        <v>45111</v>
      </c>
      <c r="S12258" t="s">
        <v>45694</v>
      </c>
      <c r="T12258" t="s">
        <v>46930</v>
      </c>
      <c r="U12258" t="s">
        <v>57485</v>
      </c>
      <c r="W12258" t="s">
        <v>43468</v>
      </c>
      <c r="X12258" t="s">
        <v>45115</v>
      </c>
    </row>
    <row r="12259" spans="1:24">
      <c r="A12259">
        <f>HYPERLINK("https://www.philgeps.gov.ph/GEPSNONPILOT/Tender/SplashBidNoticeAbstractUI.aspx?menuIndex=3&amp;refID=7017569&amp;Result=3","7017569")</f>
        <v>0</v>
      </c>
      <c r="B12259" t="s">
        <v>1832</v>
      </c>
      <c r="C12259" t="s">
        <v>14913</v>
      </c>
      <c r="D12259" t="s">
        <v>18034</v>
      </c>
      <c r="E12259" t="s">
        <v>28718</v>
      </c>
      <c r="F12259" t="s">
        <v>31574</v>
      </c>
      <c r="G12259" t="s">
        <v>31582</v>
      </c>
      <c r="H12259" t="s">
        <v>31591</v>
      </c>
      <c r="I12259" t="s">
        <v>8822</v>
      </c>
      <c r="J12259" t="s">
        <v>31789</v>
      </c>
      <c r="K12259" t="s">
        <v>41186</v>
      </c>
      <c r="M12259" t="s">
        <v>43468</v>
      </c>
      <c r="N12259" t="s">
        <v>45095</v>
      </c>
      <c r="O12259" t="s">
        <v>45096</v>
      </c>
      <c r="P12259">
        <v>0</v>
      </c>
      <c r="Q12259">
        <v>0</v>
      </c>
      <c r="R12259" t="s">
        <v>45111</v>
      </c>
      <c r="S12259" t="s">
        <v>45694</v>
      </c>
      <c r="T12259" t="s">
        <v>46930</v>
      </c>
      <c r="U12259" t="s">
        <v>57485</v>
      </c>
      <c r="W12259" t="s">
        <v>43468</v>
      </c>
      <c r="X12259" t="s">
        <v>45115</v>
      </c>
    </row>
    <row r="12260" spans="1:24">
      <c r="A12260">
        <f>HYPERLINK("https://www.philgeps.gov.ph/GEPSNONPILOT/Tender/SplashBidNoticeAbstractUI.aspx?menuIndex=3&amp;refID=7017540&amp;Result=3","7017540")</f>
        <v>0</v>
      </c>
      <c r="B12260" t="s">
        <v>2930</v>
      </c>
      <c r="C12260" t="s">
        <v>14914</v>
      </c>
      <c r="D12260" t="s">
        <v>18035</v>
      </c>
      <c r="E12260" t="s">
        <v>14914</v>
      </c>
      <c r="F12260" t="s">
        <v>31574</v>
      </c>
      <c r="G12260" t="s">
        <v>31582</v>
      </c>
      <c r="H12260" t="s">
        <v>31592</v>
      </c>
      <c r="I12260" t="s">
        <v>31596</v>
      </c>
      <c r="J12260" t="s">
        <v>39297</v>
      </c>
      <c r="K12260" t="s">
        <v>41225</v>
      </c>
      <c r="M12260" t="s">
        <v>44738</v>
      </c>
      <c r="N12260" t="s">
        <v>45095</v>
      </c>
      <c r="O12260" t="s">
        <v>45096</v>
      </c>
      <c r="Q12260">
        <v>2</v>
      </c>
      <c r="R12260" t="s">
        <v>45111</v>
      </c>
      <c r="S12260" t="s">
        <v>45702</v>
      </c>
      <c r="T12260" t="s">
        <v>46955</v>
      </c>
      <c r="U12260" t="s">
        <v>57491</v>
      </c>
      <c r="W12260" t="s">
        <v>44738</v>
      </c>
      <c r="X12260" t="s">
        <v>45115</v>
      </c>
    </row>
    <row r="12261" spans="1:24">
      <c r="A12261">
        <f>HYPERLINK("https://www.philgeps.gov.ph/GEPSNONPILOT/Tender/SplashBidNoticeAbstractUI.aspx?menuIndex=3&amp;refID=7017101&amp;Result=3","7017101")</f>
        <v>0</v>
      </c>
      <c r="B12261" t="s">
        <v>2124</v>
      </c>
      <c r="C12261" t="s">
        <v>14915</v>
      </c>
      <c r="D12261" t="s">
        <v>18046</v>
      </c>
      <c r="E12261" t="s">
        <v>28719</v>
      </c>
      <c r="F12261" t="s">
        <v>31574</v>
      </c>
      <c r="G12261" t="s">
        <v>31582</v>
      </c>
      <c r="H12261" t="s">
        <v>31592</v>
      </c>
      <c r="I12261" t="s">
        <v>31614</v>
      </c>
      <c r="J12261" t="s">
        <v>32530</v>
      </c>
      <c r="K12261" t="s">
        <v>41186</v>
      </c>
      <c r="M12261" t="s">
        <v>44739</v>
      </c>
      <c r="N12261" t="s">
        <v>45095</v>
      </c>
      <c r="O12261" t="s">
        <v>45096</v>
      </c>
      <c r="P12261">
        <v>0</v>
      </c>
      <c r="Q12261">
        <v>2</v>
      </c>
      <c r="R12261" t="s">
        <v>45111</v>
      </c>
      <c r="S12261" t="s">
        <v>45694</v>
      </c>
      <c r="T12261" t="s">
        <v>47416</v>
      </c>
      <c r="U12261" t="s">
        <v>57492</v>
      </c>
      <c r="V12261" t="s">
        <v>61186</v>
      </c>
      <c r="W12261" t="s">
        <v>44739</v>
      </c>
      <c r="X12261" t="s">
        <v>45115</v>
      </c>
    </row>
    <row r="12262" spans="1:24">
      <c r="A12262">
        <f>HYPERLINK("https://www.philgeps.gov.ph/GEPSNONPILOT/Tender/SplashBidNoticeAbstractUI.aspx?menuIndex=3&amp;refID=7017671&amp;Result=3","7017671")</f>
        <v>0</v>
      </c>
      <c r="B12262" t="s">
        <v>1832</v>
      </c>
      <c r="C12262" t="s">
        <v>14916</v>
      </c>
      <c r="D12262" t="s">
        <v>18034</v>
      </c>
      <c r="E12262" t="s">
        <v>28720</v>
      </c>
      <c r="F12262" t="s">
        <v>31574</v>
      </c>
      <c r="G12262" t="s">
        <v>31582</v>
      </c>
      <c r="H12262" t="s">
        <v>31591</v>
      </c>
      <c r="I12262" t="s">
        <v>8822</v>
      </c>
      <c r="J12262" t="s">
        <v>31789</v>
      </c>
      <c r="K12262" t="s">
        <v>41240</v>
      </c>
      <c r="M12262" t="s">
        <v>43468</v>
      </c>
      <c r="N12262" t="s">
        <v>45095</v>
      </c>
      <c r="O12262" t="s">
        <v>45096</v>
      </c>
      <c r="P12262">
        <v>0</v>
      </c>
      <c r="Q12262">
        <v>0</v>
      </c>
      <c r="R12262" t="s">
        <v>45111</v>
      </c>
      <c r="S12262" t="s">
        <v>45694</v>
      </c>
      <c r="T12262" t="s">
        <v>46930</v>
      </c>
      <c r="U12262" t="s">
        <v>57485</v>
      </c>
      <c r="W12262" t="s">
        <v>43468</v>
      </c>
      <c r="X12262" t="s">
        <v>45115</v>
      </c>
    </row>
    <row r="12263" spans="1:24">
      <c r="A12263">
        <f>HYPERLINK("https://www.philgeps.gov.ph/GEPSNONPILOT/Tender/SplashBidNoticeAbstractUI.aspx?menuIndex=3&amp;refID=7017647&amp;Result=3","7017647")</f>
        <v>0</v>
      </c>
      <c r="B12263" t="s">
        <v>1832</v>
      </c>
      <c r="C12263" t="s">
        <v>14917</v>
      </c>
      <c r="D12263" t="s">
        <v>18034</v>
      </c>
      <c r="E12263" t="s">
        <v>28721</v>
      </c>
      <c r="F12263" t="s">
        <v>31574</v>
      </c>
      <c r="G12263" t="s">
        <v>31582</v>
      </c>
      <c r="H12263" t="s">
        <v>31591</v>
      </c>
      <c r="I12263" t="s">
        <v>8822</v>
      </c>
      <c r="J12263" t="s">
        <v>31789</v>
      </c>
      <c r="K12263" t="s">
        <v>41186</v>
      </c>
      <c r="M12263" t="s">
        <v>43468</v>
      </c>
      <c r="N12263" t="s">
        <v>45095</v>
      </c>
      <c r="O12263" t="s">
        <v>45096</v>
      </c>
      <c r="P12263">
        <v>0</v>
      </c>
      <c r="Q12263">
        <v>0</v>
      </c>
      <c r="R12263" t="s">
        <v>45111</v>
      </c>
      <c r="S12263" t="s">
        <v>45694</v>
      </c>
      <c r="T12263" t="s">
        <v>46930</v>
      </c>
      <c r="U12263" t="s">
        <v>57485</v>
      </c>
      <c r="W12263" t="s">
        <v>43468</v>
      </c>
      <c r="X12263" t="s">
        <v>45115</v>
      </c>
    </row>
    <row r="12264" spans="1:24">
      <c r="A12264">
        <f>HYPERLINK("https://www.philgeps.gov.ph/GEPSNONPILOT/Tender/SplashBidNoticeAbstractUI.aspx?menuIndex=3&amp;refID=7017625&amp;Result=3","7017625")</f>
        <v>0</v>
      </c>
      <c r="B12264" t="s">
        <v>1832</v>
      </c>
      <c r="C12264" t="s">
        <v>14918</v>
      </c>
      <c r="D12264" t="s">
        <v>18034</v>
      </c>
      <c r="E12264" t="s">
        <v>28722</v>
      </c>
      <c r="F12264" t="s">
        <v>31574</v>
      </c>
      <c r="G12264" t="s">
        <v>31582</v>
      </c>
      <c r="H12264" t="s">
        <v>31591</v>
      </c>
      <c r="I12264" t="s">
        <v>8822</v>
      </c>
      <c r="J12264" t="s">
        <v>31947</v>
      </c>
      <c r="K12264" t="s">
        <v>41186</v>
      </c>
      <c r="M12264" t="s">
        <v>43468</v>
      </c>
      <c r="N12264" t="s">
        <v>45095</v>
      </c>
      <c r="O12264" t="s">
        <v>45096</v>
      </c>
      <c r="P12264">
        <v>0</v>
      </c>
      <c r="Q12264">
        <v>0</v>
      </c>
      <c r="R12264" t="s">
        <v>45111</v>
      </c>
      <c r="S12264" t="s">
        <v>45694</v>
      </c>
      <c r="T12264" t="s">
        <v>46930</v>
      </c>
      <c r="U12264" t="s">
        <v>57485</v>
      </c>
      <c r="W12264" t="s">
        <v>43468</v>
      </c>
      <c r="X12264" t="s">
        <v>45115</v>
      </c>
    </row>
    <row r="12265" spans="1:24">
      <c r="A12265">
        <f>HYPERLINK("https://www.philgeps.gov.ph/GEPSNONPILOT/Tender/SplashBidNoticeAbstractUI.aspx?menuIndex=3&amp;refID=7017678&amp;Result=3","7017678")</f>
        <v>0</v>
      </c>
      <c r="B12265" t="s">
        <v>1832</v>
      </c>
      <c r="C12265" t="s">
        <v>14919</v>
      </c>
      <c r="D12265" t="s">
        <v>18034</v>
      </c>
      <c r="E12265" t="s">
        <v>28723</v>
      </c>
      <c r="F12265" t="s">
        <v>31574</v>
      </c>
      <c r="G12265" t="s">
        <v>31582</v>
      </c>
      <c r="H12265" t="s">
        <v>31591</v>
      </c>
      <c r="I12265" t="s">
        <v>8822</v>
      </c>
      <c r="J12265" t="s">
        <v>32232</v>
      </c>
      <c r="K12265" t="s">
        <v>41186</v>
      </c>
      <c r="M12265" t="s">
        <v>43468</v>
      </c>
      <c r="N12265" t="s">
        <v>45095</v>
      </c>
      <c r="O12265" t="s">
        <v>45096</v>
      </c>
      <c r="P12265">
        <v>0</v>
      </c>
      <c r="Q12265">
        <v>0</v>
      </c>
      <c r="R12265" t="s">
        <v>45111</v>
      </c>
      <c r="S12265" t="s">
        <v>45694</v>
      </c>
      <c r="T12265" t="s">
        <v>46930</v>
      </c>
      <c r="U12265" t="s">
        <v>57485</v>
      </c>
      <c r="W12265" t="s">
        <v>43468</v>
      </c>
      <c r="X12265" t="s">
        <v>45115</v>
      </c>
    </row>
    <row r="12266" spans="1:24">
      <c r="A12266">
        <f>HYPERLINK("https://www.philgeps.gov.ph/GEPSNONPILOT/Tender/SplashBidNoticeAbstractUI.aspx?menuIndex=3&amp;refID=7017602&amp;Result=3","7017602")</f>
        <v>0</v>
      </c>
      <c r="B12266" t="s">
        <v>2417</v>
      </c>
      <c r="C12266" t="s">
        <v>14920</v>
      </c>
      <c r="D12266" t="s">
        <v>18067</v>
      </c>
      <c r="E12266" t="s">
        <v>28724</v>
      </c>
      <c r="F12266" t="s">
        <v>31574</v>
      </c>
      <c r="G12266" t="s">
        <v>31582</v>
      </c>
      <c r="H12266" t="s">
        <v>31591</v>
      </c>
      <c r="I12266" t="s">
        <v>8822</v>
      </c>
      <c r="J12266" t="s">
        <v>39298</v>
      </c>
      <c r="K12266" t="s">
        <v>41193</v>
      </c>
      <c r="M12266" t="s">
        <v>44144</v>
      </c>
      <c r="N12266" t="s">
        <v>45095</v>
      </c>
      <c r="O12266" t="s">
        <v>45096</v>
      </c>
      <c r="P12266">
        <v>0</v>
      </c>
      <c r="Q12266">
        <v>1</v>
      </c>
      <c r="R12266" t="s">
        <v>45111</v>
      </c>
      <c r="S12266" t="s">
        <v>45694</v>
      </c>
      <c r="T12266" t="s">
        <v>46932</v>
      </c>
      <c r="U12266" t="s">
        <v>57493</v>
      </c>
      <c r="W12266" t="s">
        <v>44144</v>
      </c>
      <c r="X12266" t="s">
        <v>45115</v>
      </c>
    </row>
    <row r="12267" spans="1:24">
      <c r="A12267">
        <f>HYPERLINK("https://www.philgeps.gov.ph/GEPSNONPILOT/Tender/SplashBidNoticeAbstractUI.aspx?menuIndex=3&amp;refID=7017792&amp;Result=3","7017792")</f>
        <v>0</v>
      </c>
      <c r="B12267" t="s">
        <v>1832</v>
      </c>
      <c r="C12267" t="s">
        <v>14921</v>
      </c>
      <c r="D12267" t="s">
        <v>18034</v>
      </c>
      <c r="E12267" t="s">
        <v>28725</v>
      </c>
      <c r="F12267" t="s">
        <v>31574</v>
      </c>
      <c r="G12267" t="s">
        <v>31582</v>
      </c>
      <c r="H12267" t="s">
        <v>31591</v>
      </c>
      <c r="I12267" t="s">
        <v>8822</v>
      </c>
      <c r="J12267" t="s">
        <v>32019</v>
      </c>
      <c r="K12267" t="s">
        <v>41217</v>
      </c>
      <c r="M12267" t="s">
        <v>43468</v>
      </c>
      <c r="N12267" t="s">
        <v>45095</v>
      </c>
      <c r="O12267" t="s">
        <v>45096</v>
      </c>
      <c r="P12267">
        <v>0</v>
      </c>
      <c r="Q12267">
        <v>0</v>
      </c>
      <c r="R12267" t="s">
        <v>45111</v>
      </c>
      <c r="S12267" t="s">
        <v>45694</v>
      </c>
      <c r="T12267" t="s">
        <v>46930</v>
      </c>
      <c r="U12267" t="s">
        <v>57485</v>
      </c>
      <c r="W12267" t="s">
        <v>43468</v>
      </c>
      <c r="X12267" t="s">
        <v>45115</v>
      </c>
    </row>
    <row r="12268" spans="1:24">
      <c r="A12268">
        <f>HYPERLINK("https://www.philgeps.gov.ph/GEPSNONPILOT/Tender/SplashBidNoticeAbstractUI.aspx?menuIndex=3&amp;refID=7017633&amp;Result=3","7017633")</f>
        <v>0</v>
      </c>
      <c r="B12268" t="s">
        <v>1832</v>
      </c>
      <c r="C12268" t="s">
        <v>14922</v>
      </c>
      <c r="D12268" t="s">
        <v>18034</v>
      </c>
      <c r="E12268" t="s">
        <v>28726</v>
      </c>
      <c r="F12268" t="s">
        <v>31574</v>
      </c>
      <c r="G12268" t="s">
        <v>31582</v>
      </c>
      <c r="H12268" t="s">
        <v>31591</v>
      </c>
      <c r="I12268" t="s">
        <v>8822</v>
      </c>
      <c r="J12268" t="s">
        <v>31789</v>
      </c>
      <c r="K12268" t="s">
        <v>41240</v>
      </c>
      <c r="M12268" t="s">
        <v>43468</v>
      </c>
      <c r="N12268" t="s">
        <v>45095</v>
      </c>
      <c r="O12268" t="s">
        <v>45096</v>
      </c>
      <c r="P12268">
        <v>0</v>
      </c>
      <c r="Q12268">
        <v>0</v>
      </c>
      <c r="R12268" t="s">
        <v>45111</v>
      </c>
      <c r="S12268" t="s">
        <v>45694</v>
      </c>
      <c r="T12268" t="s">
        <v>46930</v>
      </c>
      <c r="U12268" t="s">
        <v>57485</v>
      </c>
      <c r="W12268" t="s">
        <v>43468</v>
      </c>
      <c r="X12268" t="s">
        <v>45115</v>
      </c>
    </row>
    <row r="12269" spans="1:24">
      <c r="A12269">
        <f>HYPERLINK("https://www.philgeps.gov.ph/GEPSNONPILOT/Tender/SplashBidNoticeAbstractUI.aspx?menuIndex=3&amp;refID=7017686&amp;Result=3","7017686")</f>
        <v>0</v>
      </c>
      <c r="B12269" t="s">
        <v>2864</v>
      </c>
      <c r="C12269" t="s">
        <v>14923</v>
      </c>
      <c r="D12269" t="s">
        <v>18033</v>
      </c>
      <c r="E12269" t="s">
        <v>28727</v>
      </c>
      <c r="F12269" t="s">
        <v>31574</v>
      </c>
      <c r="G12269" t="s">
        <v>31582</v>
      </c>
      <c r="H12269" t="s">
        <v>31590</v>
      </c>
      <c r="I12269" t="s">
        <v>4046</v>
      </c>
      <c r="J12269" t="s">
        <v>39299</v>
      </c>
      <c r="K12269" t="s">
        <v>41193</v>
      </c>
      <c r="M12269" t="s">
        <v>44654</v>
      </c>
      <c r="N12269" t="s">
        <v>45095</v>
      </c>
      <c r="O12269" t="s">
        <v>45096</v>
      </c>
      <c r="P12269">
        <v>0</v>
      </c>
      <c r="Q12269">
        <v>0</v>
      </c>
      <c r="R12269" t="s">
        <v>45111</v>
      </c>
      <c r="S12269" t="s">
        <v>45694</v>
      </c>
      <c r="T12269" t="s">
        <v>47043</v>
      </c>
      <c r="U12269" t="s">
        <v>57494</v>
      </c>
      <c r="V12269" t="s">
        <v>61187</v>
      </c>
      <c r="W12269" t="s">
        <v>44654</v>
      </c>
      <c r="X12269" t="s">
        <v>45115</v>
      </c>
    </row>
    <row r="12270" spans="1:24">
      <c r="A12270">
        <f>HYPERLINK("https://www.philgeps.gov.ph/GEPSNONPILOT/Tender/SplashBidNoticeAbstractUI.aspx?menuIndex=3&amp;refID=7017746&amp;Result=3","7017746")</f>
        <v>0</v>
      </c>
      <c r="B12270" t="s">
        <v>1832</v>
      </c>
      <c r="C12270" t="s">
        <v>14924</v>
      </c>
      <c r="D12270" t="s">
        <v>18034</v>
      </c>
      <c r="E12270" t="s">
        <v>28728</v>
      </c>
      <c r="F12270" t="s">
        <v>31574</v>
      </c>
      <c r="G12270" t="s">
        <v>31582</v>
      </c>
      <c r="H12270" t="s">
        <v>31591</v>
      </c>
      <c r="I12270" t="s">
        <v>8822</v>
      </c>
      <c r="J12270" t="s">
        <v>32019</v>
      </c>
      <c r="K12270" t="s">
        <v>41186</v>
      </c>
      <c r="M12270" t="s">
        <v>43468</v>
      </c>
      <c r="N12270" t="s">
        <v>45095</v>
      </c>
      <c r="O12270" t="s">
        <v>45096</v>
      </c>
      <c r="P12270">
        <v>0</v>
      </c>
      <c r="Q12270">
        <v>0</v>
      </c>
      <c r="R12270" t="s">
        <v>45111</v>
      </c>
      <c r="S12270" t="s">
        <v>45694</v>
      </c>
      <c r="T12270" t="s">
        <v>46930</v>
      </c>
      <c r="U12270" t="s">
        <v>57485</v>
      </c>
      <c r="W12270" t="s">
        <v>43468</v>
      </c>
      <c r="X12270" t="s">
        <v>45115</v>
      </c>
    </row>
    <row r="12271" spans="1:24">
      <c r="A12271">
        <f>HYPERLINK("https://www.philgeps.gov.ph/GEPSNONPILOT/Tender/SplashBidNoticeAbstractUI.aspx?menuIndex=3&amp;refID=7017651&amp;Result=3","7017651")</f>
        <v>0</v>
      </c>
      <c r="B12271" t="s">
        <v>2417</v>
      </c>
      <c r="C12271" t="s">
        <v>14925</v>
      </c>
      <c r="D12271" t="s">
        <v>18067</v>
      </c>
      <c r="E12271" t="s">
        <v>28729</v>
      </c>
      <c r="F12271" t="s">
        <v>31574</v>
      </c>
      <c r="G12271" t="s">
        <v>31582</v>
      </c>
      <c r="H12271" t="s">
        <v>31591</v>
      </c>
      <c r="I12271" t="s">
        <v>8822</v>
      </c>
      <c r="J12271" t="s">
        <v>39300</v>
      </c>
      <c r="K12271" t="s">
        <v>41184</v>
      </c>
      <c r="M12271" t="s">
        <v>44144</v>
      </c>
      <c r="N12271" t="s">
        <v>45095</v>
      </c>
      <c r="O12271" t="s">
        <v>45096</v>
      </c>
      <c r="Q12271">
        <v>4</v>
      </c>
      <c r="R12271" t="s">
        <v>45111</v>
      </c>
      <c r="S12271" t="s">
        <v>45703</v>
      </c>
      <c r="T12271" t="s">
        <v>46932</v>
      </c>
      <c r="U12271" t="s">
        <v>57493</v>
      </c>
      <c r="W12271" t="s">
        <v>44144</v>
      </c>
      <c r="X12271" t="s">
        <v>45115</v>
      </c>
    </row>
    <row r="12272" spans="1:24">
      <c r="A12272">
        <f>HYPERLINK("https://www.philgeps.gov.ph/GEPSNONPILOT/Tender/SplashBidNoticeAbstractUI.aspx?menuIndex=3&amp;refID=7018242&amp;Result=3","7018242")</f>
        <v>0</v>
      </c>
      <c r="B12272" t="s">
        <v>1248</v>
      </c>
      <c r="C12272" t="s">
        <v>14926</v>
      </c>
      <c r="D12272" t="s">
        <v>18043</v>
      </c>
      <c r="E12272" t="s">
        <v>28730</v>
      </c>
      <c r="F12272" t="s">
        <v>31574</v>
      </c>
      <c r="G12272" t="s">
        <v>31582</v>
      </c>
      <c r="H12272" t="s">
        <v>31591</v>
      </c>
      <c r="I12272" t="s">
        <v>8822</v>
      </c>
      <c r="J12272" t="s">
        <v>39301</v>
      </c>
      <c r="K12272" t="s">
        <v>41357</v>
      </c>
      <c r="M12272" t="s">
        <v>44740</v>
      </c>
      <c r="N12272" t="s">
        <v>45095</v>
      </c>
      <c r="O12272" t="s">
        <v>45096</v>
      </c>
      <c r="Q12272">
        <v>3</v>
      </c>
      <c r="R12272" t="s">
        <v>45111</v>
      </c>
      <c r="S12272" t="s">
        <v>45704</v>
      </c>
      <c r="T12272" t="s">
        <v>46973</v>
      </c>
      <c r="U12272" t="s">
        <v>57495</v>
      </c>
      <c r="W12272" t="s">
        <v>44740</v>
      </c>
      <c r="X12272" t="s">
        <v>45115</v>
      </c>
    </row>
    <row r="12273" spans="1:24">
      <c r="A12273">
        <f>HYPERLINK("https://www.philgeps.gov.ph/GEPSNONPILOT/Tender/SplashBidNoticeAbstractUI.aspx?menuIndex=3&amp;refID=7018241&amp;Result=3","7018241")</f>
        <v>0</v>
      </c>
      <c r="B12273" t="s">
        <v>1832</v>
      </c>
      <c r="C12273" t="s">
        <v>14927</v>
      </c>
      <c r="D12273" t="s">
        <v>18034</v>
      </c>
      <c r="E12273" t="s">
        <v>28731</v>
      </c>
      <c r="F12273" t="s">
        <v>31574</v>
      </c>
      <c r="G12273" t="s">
        <v>31582</v>
      </c>
      <c r="H12273" t="s">
        <v>31590</v>
      </c>
      <c r="I12273" t="s">
        <v>6800</v>
      </c>
      <c r="J12273" t="s">
        <v>39302</v>
      </c>
      <c r="K12273" t="s">
        <v>41240</v>
      </c>
      <c r="M12273" t="s">
        <v>43468</v>
      </c>
      <c r="N12273" t="s">
        <v>45095</v>
      </c>
      <c r="O12273" t="s">
        <v>45096</v>
      </c>
      <c r="P12273">
        <v>0</v>
      </c>
      <c r="Q12273">
        <v>5</v>
      </c>
      <c r="R12273" t="s">
        <v>45111</v>
      </c>
      <c r="S12273" t="s">
        <v>45694</v>
      </c>
      <c r="T12273" t="s">
        <v>46955</v>
      </c>
      <c r="U12273" t="s">
        <v>57496</v>
      </c>
      <c r="V12273" t="s">
        <v>61188</v>
      </c>
      <c r="W12273" t="s">
        <v>43468</v>
      </c>
      <c r="X12273" t="s">
        <v>45115</v>
      </c>
    </row>
    <row r="12274" spans="1:24">
      <c r="A12274">
        <f>HYPERLINK("https://www.philgeps.gov.ph/GEPSNONPILOT/Tender/SplashBidNoticeAbstractUI.aspx?menuIndex=3&amp;refID=7017734&amp;Result=3","7017734")</f>
        <v>0</v>
      </c>
      <c r="B12274" t="s">
        <v>1832</v>
      </c>
      <c r="C12274" t="s">
        <v>14928</v>
      </c>
      <c r="D12274" t="s">
        <v>18034</v>
      </c>
      <c r="E12274" t="s">
        <v>28732</v>
      </c>
      <c r="F12274" t="s">
        <v>31574</v>
      </c>
      <c r="G12274" t="s">
        <v>31582</v>
      </c>
      <c r="H12274" t="s">
        <v>31591</v>
      </c>
      <c r="I12274" t="s">
        <v>8822</v>
      </c>
      <c r="J12274" t="s">
        <v>31789</v>
      </c>
      <c r="K12274" t="s">
        <v>41186</v>
      </c>
      <c r="M12274" t="s">
        <v>43468</v>
      </c>
      <c r="N12274" t="s">
        <v>45095</v>
      </c>
      <c r="O12274" t="s">
        <v>45096</v>
      </c>
      <c r="P12274">
        <v>0</v>
      </c>
      <c r="Q12274">
        <v>0</v>
      </c>
      <c r="R12274" t="s">
        <v>45111</v>
      </c>
      <c r="S12274" t="s">
        <v>45694</v>
      </c>
      <c r="T12274" t="s">
        <v>46930</v>
      </c>
      <c r="U12274" t="s">
        <v>57485</v>
      </c>
      <c r="W12274" t="s">
        <v>43468</v>
      </c>
      <c r="X12274" t="s">
        <v>45115</v>
      </c>
    </row>
    <row r="12275" spans="1:24">
      <c r="A12275">
        <f>HYPERLINK("https://www.philgeps.gov.ph/GEPSNONPILOT/Tender/SplashBidNoticeAbstractUI.aspx?menuIndex=3&amp;refID=7017807&amp;Result=3","7017807")</f>
        <v>0</v>
      </c>
      <c r="B12275" t="s">
        <v>1832</v>
      </c>
      <c r="C12275" t="s">
        <v>14929</v>
      </c>
      <c r="D12275" t="s">
        <v>18034</v>
      </c>
      <c r="E12275" t="s">
        <v>28733</v>
      </c>
      <c r="F12275" t="s">
        <v>31574</v>
      </c>
      <c r="G12275" t="s">
        <v>31582</v>
      </c>
      <c r="H12275" t="s">
        <v>31591</v>
      </c>
      <c r="I12275" t="s">
        <v>8822</v>
      </c>
      <c r="J12275" t="s">
        <v>31947</v>
      </c>
      <c r="K12275" t="s">
        <v>41186</v>
      </c>
      <c r="M12275" t="s">
        <v>43468</v>
      </c>
      <c r="N12275" t="s">
        <v>45095</v>
      </c>
      <c r="O12275" t="s">
        <v>45096</v>
      </c>
      <c r="P12275">
        <v>0</v>
      </c>
      <c r="Q12275">
        <v>0</v>
      </c>
      <c r="R12275" t="s">
        <v>45111</v>
      </c>
      <c r="S12275" t="s">
        <v>45694</v>
      </c>
      <c r="T12275" t="s">
        <v>46930</v>
      </c>
      <c r="U12275" t="s">
        <v>57485</v>
      </c>
      <c r="W12275" t="s">
        <v>43468</v>
      </c>
      <c r="X12275" t="s">
        <v>45115</v>
      </c>
    </row>
    <row r="12276" spans="1:24">
      <c r="A12276">
        <f>HYPERLINK("https://www.philgeps.gov.ph/GEPSNONPILOT/Tender/SplashBidNoticeAbstractUI.aspx?menuIndex=3&amp;refID=7017756&amp;Result=3","7017756")</f>
        <v>0</v>
      </c>
      <c r="B12276" t="s">
        <v>1832</v>
      </c>
      <c r="C12276" t="s">
        <v>14930</v>
      </c>
      <c r="D12276" t="s">
        <v>18034</v>
      </c>
      <c r="E12276" t="s">
        <v>28734</v>
      </c>
      <c r="F12276" t="s">
        <v>31574</v>
      </c>
      <c r="G12276" t="s">
        <v>31582</v>
      </c>
      <c r="H12276" t="s">
        <v>31591</v>
      </c>
      <c r="I12276" t="s">
        <v>8822</v>
      </c>
      <c r="J12276" t="s">
        <v>32232</v>
      </c>
      <c r="K12276" t="s">
        <v>41192</v>
      </c>
      <c r="M12276" t="s">
        <v>43468</v>
      </c>
      <c r="N12276" t="s">
        <v>45095</v>
      </c>
      <c r="O12276" t="s">
        <v>45096</v>
      </c>
      <c r="P12276">
        <v>0</v>
      </c>
      <c r="Q12276">
        <v>0</v>
      </c>
      <c r="R12276" t="s">
        <v>45111</v>
      </c>
      <c r="S12276" t="s">
        <v>45694</v>
      </c>
      <c r="T12276" t="s">
        <v>46930</v>
      </c>
      <c r="U12276" t="s">
        <v>57485</v>
      </c>
      <c r="W12276" t="s">
        <v>43468</v>
      </c>
      <c r="X12276" t="s">
        <v>45115</v>
      </c>
    </row>
    <row r="12277" spans="1:24">
      <c r="A12277">
        <f>HYPERLINK("https://www.philgeps.gov.ph/GEPSNONPILOT/Tender/SplashBidNoticeAbstractUI.aspx?menuIndex=3&amp;refID=7017767&amp;Result=3","7017767")</f>
        <v>0</v>
      </c>
      <c r="B12277" t="s">
        <v>1832</v>
      </c>
      <c r="C12277" t="s">
        <v>14931</v>
      </c>
      <c r="D12277" t="s">
        <v>18034</v>
      </c>
      <c r="E12277" t="s">
        <v>28735</v>
      </c>
      <c r="F12277" t="s">
        <v>31574</v>
      </c>
      <c r="G12277" t="s">
        <v>31582</v>
      </c>
      <c r="H12277" t="s">
        <v>31591</v>
      </c>
      <c r="I12277" t="s">
        <v>8822</v>
      </c>
      <c r="J12277" t="s">
        <v>32049</v>
      </c>
      <c r="K12277" t="s">
        <v>41185</v>
      </c>
      <c r="M12277" t="s">
        <v>43468</v>
      </c>
      <c r="N12277" t="s">
        <v>45095</v>
      </c>
      <c r="O12277" t="s">
        <v>45096</v>
      </c>
      <c r="P12277">
        <v>0</v>
      </c>
      <c r="Q12277">
        <v>0</v>
      </c>
      <c r="R12277" t="s">
        <v>45111</v>
      </c>
      <c r="S12277" t="s">
        <v>45694</v>
      </c>
      <c r="T12277" t="s">
        <v>46930</v>
      </c>
      <c r="U12277" t="s">
        <v>57485</v>
      </c>
      <c r="W12277" t="s">
        <v>43468</v>
      </c>
      <c r="X12277" t="s">
        <v>45115</v>
      </c>
    </row>
    <row r="12278" spans="1:24">
      <c r="A12278">
        <f>HYPERLINK("https://www.philgeps.gov.ph/GEPSNONPILOT/Tender/SplashBidNoticeAbstractUI.aspx?menuIndex=3&amp;refID=7018302&amp;Result=3","7018302")</f>
        <v>0</v>
      </c>
      <c r="B12278" t="s">
        <v>2092</v>
      </c>
      <c r="C12278" t="s">
        <v>14932</v>
      </c>
      <c r="D12278" t="s">
        <v>18030</v>
      </c>
      <c r="E12278" t="s">
        <v>28736</v>
      </c>
      <c r="F12278" t="s">
        <v>31574</v>
      </c>
      <c r="G12278" t="s">
        <v>31582</v>
      </c>
      <c r="H12278" t="s">
        <v>31592</v>
      </c>
      <c r="I12278" t="s">
        <v>31686</v>
      </c>
      <c r="J12278" t="s">
        <v>39303</v>
      </c>
      <c r="K12278" t="s">
        <v>41189</v>
      </c>
      <c r="M12278" t="s">
        <v>43900</v>
      </c>
      <c r="N12278" t="s">
        <v>45095</v>
      </c>
      <c r="O12278" t="s">
        <v>45096</v>
      </c>
      <c r="Q12278">
        <v>4</v>
      </c>
      <c r="R12278" t="s">
        <v>45111</v>
      </c>
      <c r="S12278" t="s">
        <v>45705</v>
      </c>
      <c r="T12278" t="s">
        <v>46914</v>
      </c>
      <c r="U12278" t="s">
        <v>53298</v>
      </c>
      <c r="V12278" t="s">
        <v>60604</v>
      </c>
      <c r="W12278" t="s">
        <v>43900</v>
      </c>
      <c r="X12278" t="s">
        <v>45115</v>
      </c>
    </row>
    <row r="12279" spans="1:24">
      <c r="A12279">
        <f>HYPERLINK("https://www.philgeps.gov.ph/GEPSNONPILOT/Tender/SplashBidNoticeAbstractUI.aspx?menuIndex=3&amp;refID=7017721&amp;Result=3","7017721")</f>
        <v>0</v>
      </c>
      <c r="B12279" t="s">
        <v>1832</v>
      </c>
      <c r="C12279" t="s">
        <v>14933</v>
      </c>
      <c r="D12279" t="s">
        <v>18034</v>
      </c>
      <c r="E12279" t="s">
        <v>28737</v>
      </c>
      <c r="F12279" t="s">
        <v>31574</v>
      </c>
      <c r="G12279" t="s">
        <v>31582</v>
      </c>
      <c r="H12279" t="s">
        <v>31591</v>
      </c>
      <c r="I12279" t="s">
        <v>8822</v>
      </c>
      <c r="J12279" t="s">
        <v>31789</v>
      </c>
      <c r="K12279" t="s">
        <v>41186</v>
      </c>
      <c r="M12279" t="s">
        <v>43468</v>
      </c>
      <c r="N12279" t="s">
        <v>45095</v>
      </c>
      <c r="O12279" t="s">
        <v>45096</v>
      </c>
      <c r="P12279">
        <v>0</v>
      </c>
      <c r="Q12279">
        <v>0</v>
      </c>
      <c r="R12279" t="s">
        <v>45111</v>
      </c>
      <c r="S12279" t="s">
        <v>45694</v>
      </c>
      <c r="T12279" t="s">
        <v>46930</v>
      </c>
      <c r="U12279" t="s">
        <v>57485</v>
      </c>
      <c r="W12279" t="s">
        <v>43468</v>
      </c>
      <c r="X12279" t="s">
        <v>45115</v>
      </c>
    </row>
    <row r="12280" spans="1:24">
      <c r="A12280">
        <f>HYPERLINK("https://www.philgeps.gov.ph/GEPSNONPILOT/Tender/SplashBidNoticeAbstractUI.aspx?menuIndex=3&amp;refID=7018392&amp;Result=3","7018392")</f>
        <v>0</v>
      </c>
      <c r="B12280" t="s">
        <v>2092</v>
      </c>
      <c r="C12280" t="s">
        <v>14934</v>
      </c>
      <c r="D12280" t="s">
        <v>18030</v>
      </c>
      <c r="E12280" t="s">
        <v>28738</v>
      </c>
      <c r="F12280" t="s">
        <v>31574</v>
      </c>
      <c r="G12280" t="s">
        <v>31582</v>
      </c>
      <c r="H12280" t="s">
        <v>31592</v>
      </c>
      <c r="I12280" t="s">
        <v>31686</v>
      </c>
      <c r="J12280" t="s">
        <v>39274</v>
      </c>
      <c r="K12280" t="s">
        <v>41243</v>
      </c>
      <c r="M12280" t="s">
        <v>43900</v>
      </c>
      <c r="N12280" t="s">
        <v>45095</v>
      </c>
      <c r="O12280" t="s">
        <v>45096</v>
      </c>
      <c r="Q12280">
        <v>4</v>
      </c>
      <c r="R12280" t="s">
        <v>45111</v>
      </c>
      <c r="S12280" t="s">
        <v>45706</v>
      </c>
      <c r="T12280" t="s">
        <v>46914</v>
      </c>
      <c r="U12280" t="s">
        <v>53298</v>
      </c>
      <c r="V12280" t="s">
        <v>60962</v>
      </c>
      <c r="W12280" t="s">
        <v>43900</v>
      </c>
      <c r="X12280" t="s">
        <v>45115</v>
      </c>
    </row>
    <row r="12281" spans="1:24">
      <c r="A12281">
        <f>HYPERLINK("https://www.philgeps.gov.ph/GEPSNONPILOT/Tender/SplashBidNoticeAbstractUI.aspx?menuIndex=3&amp;refID=7017774&amp;Result=3","7017774")</f>
        <v>0</v>
      </c>
      <c r="B12281" t="s">
        <v>1832</v>
      </c>
      <c r="C12281" t="s">
        <v>14935</v>
      </c>
      <c r="D12281" t="s">
        <v>18034</v>
      </c>
      <c r="E12281" t="s">
        <v>28739</v>
      </c>
      <c r="F12281" t="s">
        <v>31574</v>
      </c>
      <c r="G12281" t="s">
        <v>31582</v>
      </c>
      <c r="H12281" t="s">
        <v>31591</v>
      </c>
      <c r="I12281" t="s">
        <v>8822</v>
      </c>
      <c r="J12281" t="s">
        <v>32001</v>
      </c>
      <c r="K12281" t="s">
        <v>41217</v>
      </c>
      <c r="M12281" t="s">
        <v>43468</v>
      </c>
      <c r="N12281" t="s">
        <v>45095</v>
      </c>
      <c r="O12281" t="s">
        <v>45096</v>
      </c>
      <c r="P12281">
        <v>0</v>
      </c>
      <c r="Q12281">
        <v>0</v>
      </c>
      <c r="R12281" t="s">
        <v>45111</v>
      </c>
      <c r="S12281" t="s">
        <v>45694</v>
      </c>
      <c r="T12281" t="s">
        <v>46930</v>
      </c>
      <c r="U12281" t="s">
        <v>57485</v>
      </c>
      <c r="W12281" t="s">
        <v>43468</v>
      </c>
      <c r="X12281" t="s">
        <v>45115</v>
      </c>
    </row>
    <row r="12282" spans="1:24">
      <c r="A12282">
        <f>HYPERLINK("https://www.philgeps.gov.ph/GEPSNONPILOT/Tender/SplashBidNoticeAbstractUI.aspx?menuIndex=3&amp;refID=7018530&amp;Result=3","7018530")</f>
        <v>0</v>
      </c>
      <c r="B12282" t="s">
        <v>877</v>
      </c>
      <c r="C12282" t="s">
        <v>14936</v>
      </c>
      <c r="D12282" t="s">
        <v>18096</v>
      </c>
      <c r="E12282" t="s">
        <v>28740</v>
      </c>
      <c r="F12282" t="s">
        <v>31574</v>
      </c>
      <c r="G12282" t="s">
        <v>31582</v>
      </c>
      <c r="H12282" t="s">
        <v>31591</v>
      </c>
      <c r="I12282" t="s">
        <v>8822</v>
      </c>
      <c r="J12282" t="s">
        <v>33856</v>
      </c>
      <c r="K12282" t="s">
        <v>41199</v>
      </c>
      <c r="M12282" t="s">
        <v>42398</v>
      </c>
      <c r="N12282" t="s">
        <v>45095</v>
      </c>
      <c r="O12282" t="s">
        <v>45096</v>
      </c>
      <c r="P12282">
        <v>0</v>
      </c>
      <c r="Q12282">
        <v>0</v>
      </c>
      <c r="R12282" t="s">
        <v>45111</v>
      </c>
      <c r="S12282" t="s">
        <v>45694</v>
      </c>
      <c r="T12282" t="s">
        <v>46910</v>
      </c>
      <c r="U12282" t="s">
        <v>57497</v>
      </c>
      <c r="W12282" t="s">
        <v>42398</v>
      </c>
      <c r="X12282" t="s">
        <v>45115</v>
      </c>
    </row>
    <row r="12283" spans="1:24">
      <c r="A12283">
        <f>HYPERLINK("https://www.philgeps.gov.ph/GEPSNONPILOT/Tender/SplashBidNoticeAbstractUI.aspx?menuIndex=3&amp;refID=7017706&amp;Result=3","7017706")</f>
        <v>0</v>
      </c>
      <c r="B12283" t="s">
        <v>1832</v>
      </c>
      <c r="C12283" t="s">
        <v>14937</v>
      </c>
      <c r="D12283" t="s">
        <v>18034</v>
      </c>
      <c r="E12283" t="s">
        <v>28741</v>
      </c>
      <c r="F12283" t="s">
        <v>31574</v>
      </c>
      <c r="G12283" t="s">
        <v>31582</v>
      </c>
      <c r="H12283" t="s">
        <v>31591</v>
      </c>
      <c r="I12283" t="s">
        <v>8822</v>
      </c>
      <c r="J12283" t="s">
        <v>31789</v>
      </c>
      <c r="K12283" t="s">
        <v>41186</v>
      </c>
      <c r="M12283" t="s">
        <v>43468</v>
      </c>
      <c r="N12283" t="s">
        <v>45095</v>
      </c>
      <c r="O12283" t="s">
        <v>45096</v>
      </c>
      <c r="P12283">
        <v>0</v>
      </c>
      <c r="Q12283">
        <v>0</v>
      </c>
      <c r="R12283" t="s">
        <v>45111</v>
      </c>
      <c r="S12283" t="s">
        <v>45694</v>
      </c>
      <c r="T12283" t="s">
        <v>46930</v>
      </c>
      <c r="U12283" t="s">
        <v>57485</v>
      </c>
      <c r="W12283" t="s">
        <v>43468</v>
      </c>
      <c r="X12283" t="s">
        <v>45115</v>
      </c>
    </row>
    <row r="12284" spans="1:24">
      <c r="A12284">
        <f>HYPERLINK("https://www.philgeps.gov.ph/GEPSNONPILOT/Tender/SplashBidNoticeAbstractUI.aspx?menuIndex=3&amp;refID=7018376&amp;Result=3","7018376")</f>
        <v>0</v>
      </c>
      <c r="B12284" t="s">
        <v>2092</v>
      </c>
      <c r="C12284" t="s">
        <v>14938</v>
      </c>
      <c r="D12284" t="s">
        <v>18030</v>
      </c>
      <c r="E12284" t="s">
        <v>28742</v>
      </c>
      <c r="F12284" t="s">
        <v>31574</v>
      </c>
      <c r="G12284" t="s">
        <v>31582</v>
      </c>
      <c r="H12284" t="s">
        <v>31592</v>
      </c>
      <c r="I12284" t="s">
        <v>31686</v>
      </c>
      <c r="J12284" t="s">
        <v>39304</v>
      </c>
      <c r="K12284" t="s">
        <v>41243</v>
      </c>
      <c r="M12284" t="s">
        <v>43900</v>
      </c>
      <c r="N12284" t="s">
        <v>45095</v>
      </c>
      <c r="O12284" t="s">
        <v>45096</v>
      </c>
      <c r="Q12284">
        <v>2</v>
      </c>
      <c r="R12284" t="s">
        <v>45111</v>
      </c>
      <c r="S12284" t="s">
        <v>45707</v>
      </c>
      <c r="T12284" t="s">
        <v>46914</v>
      </c>
      <c r="U12284" t="s">
        <v>53298</v>
      </c>
      <c r="V12284" t="s">
        <v>60604</v>
      </c>
      <c r="W12284" t="s">
        <v>43900</v>
      </c>
      <c r="X12284" t="s">
        <v>45115</v>
      </c>
    </row>
    <row r="12285" spans="1:24">
      <c r="A12285">
        <f>HYPERLINK("https://www.philgeps.gov.ph/GEPSNONPILOT/Tender/SplashBidNoticeAbstractUI.aspx?menuIndex=3&amp;refID=7018338&amp;Result=3","7018338")</f>
        <v>0</v>
      </c>
      <c r="B12285" t="s">
        <v>2672</v>
      </c>
      <c r="C12285" t="s">
        <v>14939</v>
      </c>
      <c r="D12285" t="s">
        <v>18088</v>
      </c>
      <c r="E12285" t="s">
        <v>28743</v>
      </c>
      <c r="F12285" t="s">
        <v>31574</v>
      </c>
      <c r="G12285" t="s">
        <v>31582</v>
      </c>
      <c r="H12285" t="s">
        <v>31590</v>
      </c>
      <c r="I12285" t="s">
        <v>31615</v>
      </c>
      <c r="J12285" t="s">
        <v>34917</v>
      </c>
      <c r="K12285" t="s">
        <v>41184</v>
      </c>
      <c r="M12285" t="s">
        <v>44433</v>
      </c>
      <c r="N12285" t="s">
        <v>45095</v>
      </c>
      <c r="O12285" t="s">
        <v>45096</v>
      </c>
      <c r="P12285">
        <v>0</v>
      </c>
      <c r="Q12285">
        <v>7</v>
      </c>
      <c r="R12285" t="s">
        <v>45111</v>
      </c>
      <c r="S12285" t="s">
        <v>45694</v>
      </c>
      <c r="T12285" t="s">
        <v>46914</v>
      </c>
      <c r="U12285" t="s">
        <v>57498</v>
      </c>
      <c r="W12285" t="s">
        <v>44433</v>
      </c>
      <c r="X12285" t="s">
        <v>45115</v>
      </c>
    </row>
    <row r="12286" spans="1:24">
      <c r="A12286">
        <f>HYPERLINK("https://www.philgeps.gov.ph/GEPSNONPILOT/Tender/SplashBidNoticeAbstractUI.aspx?menuIndex=3&amp;refID=7018884&amp;Result=3","7018884")</f>
        <v>0</v>
      </c>
      <c r="B12286" t="s">
        <v>2931</v>
      </c>
      <c r="C12286" t="s">
        <v>14940</v>
      </c>
      <c r="D12286" t="s">
        <v>18063</v>
      </c>
      <c r="E12286" t="s">
        <v>18316</v>
      </c>
      <c r="F12286" t="s">
        <v>31575</v>
      </c>
      <c r="G12286" t="s">
        <v>31582</v>
      </c>
      <c r="H12286" t="s">
        <v>31591</v>
      </c>
      <c r="I12286" t="s">
        <v>8822</v>
      </c>
      <c r="J12286" t="s">
        <v>39305</v>
      </c>
      <c r="K12286" t="s">
        <v>41189</v>
      </c>
      <c r="M12286" t="s">
        <v>44741</v>
      </c>
      <c r="N12286" t="s">
        <v>45095</v>
      </c>
      <c r="O12286" t="s">
        <v>45096</v>
      </c>
      <c r="P12286">
        <v>0</v>
      </c>
      <c r="Q12286">
        <v>0</v>
      </c>
      <c r="R12286" t="s">
        <v>45111</v>
      </c>
      <c r="S12286" t="s">
        <v>45694</v>
      </c>
      <c r="T12286" t="s">
        <v>47162</v>
      </c>
      <c r="U12286" t="s">
        <v>53488</v>
      </c>
      <c r="W12286" t="s">
        <v>44741</v>
      </c>
      <c r="X12286" t="s">
        <v>45113</v>
      </c>
    </row>
    <row r="12287" spans="1:24">
      <c r="A12287">
        <f>HYPERLINK("https://www.philgeps.gov.ph/GEPSNONPILOT/Tender/SplashBidNoticeAbstractUI.aspx?menuIndex=3&amp;refID=7018857&amp;Result=3","7018857")</f>
        <v>0</v>
      </c>
      <c r="B12287" t="s">
        <v>2143</v>
      </c>
      <c r="C12287" t="s">
        <v>14941</v>
      </c>
      <c r="E12287" t="s">
        <v>28744</v>
      </c>
      <c r="F12287" t="s">
        <v>31574</v>
      </c>
      <c r="G12287" t="s">
        <v>31582</v>
      </c>
      <c r="H12287" t="s">
        <v>31591</v>
      </c>
      <c r="I12287" t="s">
        <v>8822</v>
      </c>
      <c r="J12287" t="s">
        <v>31935</v>
      </c>
      <c r="K12287" t="s">
        <v>41185</v>
      </c>
      <c r="M12287" t="s">
        <v>43825</v>
      </c>
      <c r="N12287" t="s">
        <v>45095</v>
      </c>
      <c r="O12287" t="s">
        <v>45096</v>
      </c>
      <c r="Q12287">
        <v>0</v>
      </c>
      <c r="R12287" t="s">
        <v>45111</v>
      </c>
      <c r="S12287" t="s">
        <v>45708</v>
      </c>
      <c r="T12287" t="s">
        <v>46914</v>
      </c>
      <c r="U12287" t="s">
        <v>57499</v>
      </c>
      <c r="V12287" t="s">
        <v>60619</v>
      </c>
      <c r="W12287" t="s">
        <v>43825</v>
      </c>
      <c r="X12287" t="s">
        <v>45114</v>
      </c>
    </row>
    <row r="12288" spans="1:24">
      <c r="A12288">
        <f>HYPERLINK("https://www.philgeps.gov.ph/GEPSNONPILOT/Tender/SplashBidNoticeAbstractUI.aspx?menuIndex=3&amp;refID=7017652&amp;Result=3","7017652")</f>
        <v>0</v>
      </c>
      <c r="B12288" t="s">
        <v>1832</v>
      </c>
      <c r="C12288" t="s">
        <v>14942</v>
      </c>
      <c r="D12288" t="s">
        <v>18034</v>
      </c>
      <c r="E12288" t="s">
        <v>28745</v>
      </c>
      <c r="F12288" t="s">
        <v>31574</v>
      </c>
      <c r="G12288" t="s">
        <v>31582</v>
      </c>
      <c r="H12288" t="s">
        <v>31591</v>
      </c>
      <c r="I12288" t="s">
        <v>8822</v>
      </c>
      <c r="J12288" t="s">
        <v>32001</v>
      </c>
      <c r="K12288" t="s">
        <v>41186</v>
      </c>
      <c r="M12288" t="s">
        <v>43468</v>
      </c>
      <c r="N12288" t="s">
        <v>45095</v>
      </c>
      <c r="O12288" t="s">
        <v>45096</v>
      </c>
      <c r="P12288">
        <v>0</v>
      </c>
      <c r="Q12288">
        <v>0</v>
      </c>
      <c r="R12288" t="s">
        <v>45111</v>
      </c>
      <c r="S12288" t="s">
        <v>45694</v>
      </c>
      <c r="T12288" t="s">
        <v>46930</v>
      </c>
      <c r="U12288" t="s">
        <v>57485</v>
      </c>
      <c r="W12288" t="s">
        <v>43468</v>
      </c>
      <c r="X12288" t="s">
        <v>45115</v>
      </c>
    </row>
    <row r="12289" spans="1:24">
      <c r="A12289">
        <f>HYPERLINK("https://www.philgeps.gov.ph/GEPSNONPILOT/Tender/SplashBidNoticeAbstractUI.aspx?menuIndex=3&amp;refID=7018528&amp;Result=3","7018528")</f>
        <v>0</v>
      </c>
      <c r="B12289" t="s">
        <v>877</v>
      </c>
      <c r="C12289" t="s">
        <v>14943</v>
      </c>
      <c r="D12289" t="s">
        <v>18096</v>
      </c>
      <c r="E12289" t="s">
        <v>28746</v>
      </c>
      <c r="F12289" t="s">
        <v>31574</v>
      </c>
      <c r="G12289" t="s">
        <v>31582</v>
      </c>
      <c r="H12289" t="s">
        <v>31591</v>
      </c>
      <c r="I12289" t="s">
        <v>8822</v>
      </c>
      <c r="J12289" t="s">
        <v>31819</v>
      </c>
      <c r="K12289" t="s">
        <v>41199</v>
      </c>
      <c r="M12289" t="s">
        <v>42398</v>
      </c>
      <c r="N12289" t="s">
        <v>45095</v>
      </c>
      <c r="O12289" t="s">
        <v>45096</v>
      </c>
      <c r="P12289">
        <v>0</v>
      </c>
      <c r="Q12289">
        <v>0</v>
      </c>
      <c r="R12289" t="s">
        <v>45111</v>
      </c>
      <c r="S12289" t="s">
        <v>45694</v>
      </c>
      <c r="T12289" t="s">
        <v>46910</v>
      </c>
      <c r="U12289" t="s">
        <v>57500</v>
      </c>
      <c r="W12289" t="s">
        <v>42398</v>
      </c>
      <c r="X12289" t="s">
        <v>45115</v>
      </c>
    </row>
    <row r="12290" spans="1:24">
      <c r="A12290">
        <f>HYPERLINK("https://www.philgeps.gov.ph/GEPSNONPILOT/Tender/SplashBidNoticeAbstractUI.aspx?menuIndex=3&amp;refID=7018856&amp;Result=3","7018856")</f>
        <v>0</v>
      </c>
      <c r="B12290" t="s">
        <v>2143</v>
      </c>
      <c r="C12290" t="s">
        <v>14944</v>
      </c>
      <c r="E12290" t="s">
        <v>28747</v>
      </c>
      <c r="F12290" t="s">
        <v>31574</v>
      </c>
      <c r="G12290" t="s">
        <v>31582</v>
      </c>
      <c r="H12290" t="s">
        <v>31591</v>
      </c>
      <c r="I12290" t="s">
        <v>8822</v>
      </c>
      <c r="J12290" t="s">
        <v>32504</v>
      </c>
      <c r="K12290" t="s">
        <v>41192</v>
      </c>
      <c r="M12290" t="s">
        <v>43825</v>
      </c>
      <c r="N12290" t="s">
        <v>45095</v>
      </c>
      <c r="O12290" t="s">
        <v>45096</v>
      </c>
      <c r="Q12290">
        <v>0</v>
      </c>
      <c r="R12290" t="s">
        <v>45111</v>
      </c>
      <c r="S12290" t="s">
        <v>45709</v>
      </c>
      <c r="T12290" t="s">
        <v>46914</v>
      </c>
      <c r="U12290" t="s">
        <v>57499</v>
      </c>
      <c r="V12290" t="s">
        <v>60619</v>
      </c>
      <c r="W12290" t="s">
        <v>43825</v>
      </c>
      <c r="X12290" t="s">
        <v>45114</v>
      </c>
    </row>
    <row r="12291" spans="1:24">
      <c r="A12291">
        <f>HYPERLINK("https://www.philgeps.gov.ph/GEPSNONPILOT/Tender/SplashBidNoticeAbstractUI.aspx?menuIndex=3&amp;refID=7018853&amp;Result=3","7018853")</f>
        <v>0</v>
      </c>
      <c r="B12291" t="s">
        <v>2143</v>
      </c>
      <c r="C12291" t="s">
        <v>14945</v>
      </c>
      <c r="E12291" t="s">
        <v>28748</v>
      </c>
      <c r="F12291" t="s">
        <v>31574</v>
      </c>
      <c r="G12291" t="s">
        <v>31582</v>
      </c>
      <c r="H12291" t="s">
        <v>31591</v>
      </c>
      <c r="I12291" t="s">
        <v>8822</v>
      </c>
      <c r="J12291" t="s">
        <v>34743</v>
      </c>
      <c r="K12291" t="s">
        <v>41243</v>
      </c>
      <c r="M12291" t="s">
        <v>43825</v>
      </c>
      <c r="N12291" t="s">
        <v>45095</v>
      </c>
      <c r="O12291" t="s">
        <v>45096</v>
      </c>
      <c r="Q12291">
        <v>0</v>
      </c>
      <c r="R12291" t="s">
        <v>45111</v>
      </c>
      <c r="S12291" t="s">
        <v>45710</v>
      </c>
      <c r="T12291" t="s">
        <v>46914</v>
      </c>
      <c r="U12291" t="s">
        <v>57499</v>
      </c>
      <c r="V12291" t="s">
        <v>60619</v>
      </c>
      <c r="W12291" t="s">
        <v>43825</v>
      </c>
      <c r="X12291" t="s">
        <v>45114</v>
      </c>
    </row>
    <row r="12292" spans="1:24">
      <c r="A12292">
        <f>HYPERLINK("https://www.philgeps.gov.ph/GEPSNONPILOT/Tender/SplashBidNoticeAbstractUI.aspx?menuIndex=3&amp;refID=7018843&amp;Result=3","7018843")</f>
        <v>0</v>
      </c>
      <c r="B12292" t="s">
        <v>1830</v>
      </c>
      <c r="C12292" t="s">
        <v>14946</v>
      </c>
      <c r="D12292" t="s">
        <v>18023</v>
      </c>
      <c r="E12292" t="s">
        <v>28749</v>
      </c>
      <c r="F12292" t="s">
        <v>31574</v>
      </c>
      <c r="G12292" t="s">
        <v>31582</v>
      </c>
      <c r="H12292" t="s">
        <v>31591</v>
      </c>
      <c r="I12292" t="s">
        <v>8822</v>
      </c>
      <c r="J12292" t="s">
        <v>39306</v>
      </c>
      <c r="K12292" t="s">
        <v>41189</v>
      </c>
      <c r="M12292" t="s">
        <v>44742</v>
      </c>
      <c r="N12292" t="s">
        <v>45095</v>
      </c>
      <c r="O12292" t="s">
        <v>45096</v>
      </c>
      <c r="P12292">
        <v>0</v>
      </c>
      <c r="Q12292">
        <v>12</v>
      </c>
      <c r="R12292" t="s">
        <v>45111</v>
      </c>
      <c r="S12292" t="s">
        <v>45694</v>
      </c>
      <c r="T12292" t="s">
        <v>46979</v>
      </c>
      <c r="U12292" t="s">
        <v>57501</v>
      </c>
      <c r="W12292" t="s">
        <v>44742</v>
      </c>
      <c r="X12292" t="s">
        <v>45114</v>
      </c>
    </row>
    <row r="12293" spans="1:24">
      <c r="A12293">
        <f>HYPERLINK("https://www.philgeps.gov.ph/GEPSNONPILOT/Tender/SplashBidNoticeAbstractUI.aspx?menuIndex=3&amp;refID=7018854&amp;Result=3","7018854")</f>
        <v>0</v>
      </c>
      <c r="B12293" t="s">
        <v>2143</v>
      </c>
      <c r="C12293" t="s">
        <v>14947</v>
      </c>
      <c r="E12293" t="s">
        <v>28750</v>
      </c>
      <c r="F12293" t="s">
        <v>31574</v>
      </c>
      <c r="G12293" t="s">
        <v>31582</v>
      </c>
      <c r="H12293" t="s">
        <v>31591</v>
      </c>
      <c r="I12293" t="s">
        <v>8822</v>
      </c>
      <c r="J12293" t="s">
        <v>33215</v>
      </c>
      <c r="K12293" t="s">
        <v>41243</v>
      </c>
      <c r="M12293" t="s">
        <v>43825</v>
      </c>
      <c r="N12293" t="s">
        <v>45095</v>
      </c>
      <c r="O12293" t="s">
        <v>45096</v>
      </c>
      <c r="Q12293">
        <v>0</v>
      </c>
      <c r="R12293" t="s">
        <v>45111</v>
      </c>
      <c r="S12293" t="s">
        <v>45711</v>
      </c>
      <c r="T12293" t="s">
        <v>46914</v>
      </c>
      <c r="U12293" t="s">
        <v>57499</v>
      </c>
      <c r="V12293" t="s">
        <v>60619</v>
      </c>
      <c r="W12293" t="s">
        <v>43825</v>
      </c>
      <c r="X12293" t="s">
        <v>45114</v>
      </c>
    </row>
    <row r="12294" spans="1:24">
      <c r="A12294">
        <f>HYPERLINK("https://www.philgeps.gov.ph/GEPSNONPILOT/Tender/SplashBidNoticeAbstractUI.aspx?menuIndex=3&amp;refID=7018809&amp;Result=3","7018809")</f>
        <v>0</v>
      </c>
      <c r="B12294" t="s">
        <v>956</v>
      </c>
      <c r="C12294" t="s">
        <v>14948</v>
      </c>
      <c r="D12294" t="s">
        <v>18094</v>
      </c>
      <c r="E12294" t="s">
        <v>28751</v>
      </c>
      <c r="F12294" t="s">
        <v>31574</v>
      </c>
      <c r="G12294" t="s">
        <v>31582</v>
      </c>
      <c r="H12294" t="s">
        <v>31593</v>
      </c>
      <c r="I12294" t="s">
        <v>31593</v>
      </c>
      <c r="J12294" t="s">
        <v>39307</v>
      </c>
      <c r="K12294" t="s">
        <v>41192</v>
      </c>
      <c r="M12294" t="s">
        <v>42483</v>
      </c>
      <c r="N12294" t="s">
        <v>45095</v>
      </c>
      <c r="O12294" t="s">
        <v>45096</v>
      </c>
      <c r="P12294">
        <v>0</v>
      </c>
      <c r="Q12294">
        <v>1</v>
      </c>
      <c r="R12294" t="s">
        <v>45111</v>
      </c>
      <c r="S12294" t="s">
        <v>45694</v>
      </c>
      <c r="T12294" t="s">
        <v>46914</v>
      </c>
      <c r="U12294" t="s">
        <v>57502</v>
      </c>
      <c r="W12294" t="s">
        <v>42483</v>
      </c>
      <c r="X12294" t="s">
        <v>45114</v>
      </c>
    </row>
    <row r="12295" spans="1:24">
      <c r="A12295">
        <f>HYPERLINK("https://www.philgeps.gov.ph/GEPSNONPILOT/Tender/SplashBidNoticeAbstractUI.aspx?menuIndex=3&amp;refID=7018846&amp;Result=3","7018846")</f>
        <v>0</v>
      </c>
      <c r="B12295" t="s">
        <v>1830</v>
      </c>
      <c r="C12295" t="s">
        <v>14949</v>
      </c>
      <c r="D12295" t="s">
        <v>18023</v>
      </c>
      <c r="E12295" t="s">
        <v>28752</v>
      </c>
      <c r="F12295" t="s">
        <v>31574</v>
      </c>
      <c r="G12295" t="s">
        <v>31582</v>
      </c>
      <c r="H12295" t="s">
        <v>31591</v>
      </c>
      <c r="I12295" t="s">
        <v>8822</v>
      </c>
      <c r="J12295" t="s">
        <v>39308</v>
      </c>
      <c r="K12295" t="s">
        <v>41189</v>
      </c>
      <c r="M12295" t="s">
        <v>44742</v>
      </c>
      <c r="N12295" t="s">
        <v>45095</v>
      </c>
      <c r="O12295" t="s">
        <v>45096</v>
      </c>
      <c r="P12295">
        <v>0</v>
      </c>
      <c r="Q12295">
        <v>13</v>
      </c>
      <c r="R12295" t="s">
        <v>45111</v>
      </c>
      <c r="S12295" t="s">
        <v>45694</v>
      </c>
      <c r="T12295" t="s">
        <v>46979</v>
      </c>
      <c r="U12295" t="s">
        <v>57501</v>
      </c>
      <c r="W12295" t="s">
        <v>44742</v>
      </c>
      <c r="X12295" t="s">
        <v>45114</v>
      </c>
    </row>
    <row r="12296" spans="1:24">
      <c r="A12296">
        <f>HYPERLINK("https://www.philgeps.gov.ph/GEPSNONPILOT/Tender/SplashBidNoticeAbstractUI.aspx?menuIndex=3&amp;refID=7018689&amp;Result=3","7018689")</f>
        <v>0</v>
      </c>
      <c r="B12296" t="s">
        <v>1617</v>
      </c>
      <c r="C12296" t="s">
        <v>14950</v>
      </c>
      <c r="E12296" t="s">
        <v>28753</v>
      </c>
      <c r="F12296" t="s">
        <v>31574</v>
      </c>
      <c r="G12296" t="s">
        <v>31582</v>
      </c>
      <c r="H12296" t="s">
        <v>31590</v>
      </c>
      <c r="I12296" t="s">
        <v>31596</v>
      </c>
      <c r="J12296" t="s">
        <v>39309</v>
      </c>
      <c r="K12296" t="s">
        <v>41184</v>
      </c>
      <c r="M12296" t="s">
        <v>43222</v>
      </c>
      <c r="N12296" t="s">
        <v>45095</v>
      </c>
      <c r="O12296" t="s">
        <v>45096</v>
      </c>
      <c r="Q12296">
        <v>8</v>
      </c>
      <c r="R12296" t="s">
        <v>45111</v>
      </c>
      <c r="S12296" t="s">
        <v>45712</v>
      </c>
      <c r="T12296" t="s">
        <v>46979</v>
      </c>
      <c r="U12296" t="s">
        <v>57503</v>
      </c>
      <c r="V12296" t="s">
        <v>61189</v>
      </c>
      <c r="W12296" t="s">
        <v>44987</v>
      </c>
      <c r="X12296" t="s">
        <v>45114</v>
      </c>
    </row>
    <row r="12297" spans="1:24">
      <c r="A12297">
        <f>HYPERLINK("https://www.philgeps.gov.ph/GEPSNONPILOT/Tender/SplashBidNoticeAbstractUI.aspx?menuIndex=3&amp;refID=7018904&amp;Result=3","7018904")</f>
        <v>0</v>
      </c>
      <c r="B12297" t="s">
        <v>50</v>
      </c>
      <c r="C12297" t="s">
        <v>14951</v>
      </c>
      <c r="D12297" t="s">
        <v>18042</v>
      </c>
      <c r="E12297" t="s">
        <v>28754</v>
      </c>
      <c r="F12297" t="s">
        <v>31574</v>
      </c>
      <c r="G12297" t="s">
        <v>31582</v>
      </c>
      <c r="H12297" t="s">
        <v>31590</v>
      </c>
      <c r="I12297" t="s">
        <v>31619</v>
      </c>
      <c r="J12297" t="s">
        <v>32019</v>
      </c>
      <c r="K12297" t="s">
        <v>41186</v>
      </c>
      <c r="M12297" t="s">
        <v>41533</v>
      </c>
      <c r="N12297" t="s">
        <v>45095</v>
      </c>
      <c r="O12297" t="s">
        <v>45096</v>
      </c>
      <c r="P12297">
        <v>0</v>
      </c>
      <c r="Q12297">
        <v>6</v>
      </c>
      <c r="R12297" t="s">
        <v>45111</v>
      </c>
      <c r="S12297" t="s">
        <v>45694</v>
      </c>
      <c r="T12297" t="s">
        <v>46926</v>
      </c>
      <c r="U12297" t="s">
        <v>57504</v>
      </c>
      <c r="W12297" t="s">
        <v>41533</v>
      </c>
      <c r="X12297" t="s">
        <v>45113</v>
      </c>
    </row>
    <row r="12298" spans="1:24">
      <c r="A12298">
        <f>HYPERLINK("https://www.philgeps.gov.ph/GEPSNONPILOT/Tender/SplashBidNoticeAbstractUI.aspx?menuIndex=3&amp;refID=7018918&amp;Result=3","7018918")</f>
        <v>0</v>
      </c>
      <c r="B12298" t="s">
        <v>50</v>
      </c>
      <c r="C12298" t="s">
        <v>14952</v>
      </c>
      <c r="D12298" t="s">
        <v>18042</v>
      </c>
      <c r="E12298" t="s">
        <v>28755</v>
      </c>
      <c r="F12298" t="s">
        <v>31574</v>
      </c>
      <c r="G12298" t="s">
        <v>31582</v>
      </c>
      <c r="H12298" t="s">
        <v>31590</v>
      </c>
      <c r="I12298" t="s">
        <v>3539</v>
      </c>
      <c r="J12298" t="s">
        <v>33180</v>
      </c>
      <c r="K12298" t="s">
        <v>41186</v>
      </c>
      <c r="M12298" t="s">
        <v>41533</v>
      </c>
      <c r="N12298" t="s">
        <v>45095</v>
      </c>
      <c r="O12298" t="s">
        <v>45096</v>
      </c>
      <c r="P12298">
        <v>0</v>
      </c>
      <c r="Q12298">
        <v>0</v>
      </c>
      <c r="R12298" t="s">
        <v>45111</v>
      </c>
      <c r="S12298" t="s">
        <v>45694</v>
      </c>
      <c r="T12298" t="s">
        <v>46926</v>
      </c>
      <c r="U12298" t="s">
        <v>57505</v>
      </c>
      <c r="W12298" t="s">
        <v>41533</v>
      </c>
      <c r="X12298" t="s">
        <v>45113</v>
      </c>
    </row>
    <row r="12299" spans="1:24">
      <c r="A12299">
        <f>HYPERLINK("https://www.philgeps.gov.ph/GEPSNONPILOT/Tender/SplashBidNoticeAbstractUI.aspx?menuIndex=3&amp;refID=7018855&amp;Result=3","7018855")</f>
        <v>0</v>
      </c>
      <c r="B12299" t="s">
        <v>2143</v>
      </c>
      <c r="C12299" t="s">
        <v>14953</v>
      </c>
      <c r="E12299" t="s">
        <v>28756</v>
      </c>
      <c r="F12299" t="s">
        <v>31574</v>
      </c>
      <c r="G12299" t="s">
        <v>31582</v>
      </c>
      <c r="H12299" t="s">
        <v>31591</v>
      </c>
      <c r="I12299" t="s">
        <v>8822</v>
      </c>
      <c r="J12299" t="s">
        <v>33252</v>
      </c>
      <c r="K12299" t="s">
        <v>41203</v>
      </c>
      <c r="M12299" t="s">
        <v>43825</v>
      </c>
      <c r="N12299" t="s">
        <v>45095</v>
      </c>
      <c r="O12299" t="s">
        <v>45096</v>
      </c>
      <c r="Q12299">
        <v>0</v>
      </c>
      <c r="R12299" t="s">
        <v>45111</v>
      </c>
      <c r="S12299" t="s">
        <v>45711</v>
      </c>
      <c r="T12299" t="s">
        <v>46914</v>
      </c>
      <c r="U12299" t="s">
        <v>57499</v>
      </c>
      <c r="V12299" t="s">
        <v>60619</v>
      </c>
      <c r="W12299" t="s">
        <v>43825</v>
      </c>
      <c r="X12299" t="s">
        <v>45114</v>
      </c>
    </row>
    <row r="12300" spans="1:24">
      <c r="A12300">
        <f>HYPERLINK("https://www.philgeps.gov.ph/GEPSNONPILOT/Tender/SplashBidNoticeAbstractUI.aspx?menuIndex=3&amp;refID=7018838&amp;Result=3","7018838")</f>
        <v>0</v>
      </c>
      <c r="B12300" t="s">
        <v>1830</v>
      </c>
      <c r="C12300" t="s">
        <v>14954</v>
      </c>
      <c r="D12300" t="s">
        <v>18023</v>
      </c>
      <c r="E12300" t="s">
        <v>28757</v>
      </c>
      <c r="F12300" t="s">
        <v>31574</v>
      </c>
      <c r="G12300" t="s">
        <v>31582</v>
      </c>
      <c r="H12300" t="s">
        <v>31591</v>
      </c>
      <c r="I12300" t="s">
        <v>8822</v>
      </c>
      <c r="J12300" t="s">
        <v>39310</v>
      </c>
      <c r="K12300" t="s">
        <v>41189</v>
      </c>
      <c r="M12300" t="s">
        <v>44742</v>
      </c>
      <c r="N12300" t="s">
        <v>45095</v>
      </c>
      <c r="O12300" t="s">
        <v>45096</v>
      </c>
      <c r="P12300">
        <v>0</v>
      </c>
      <c r="Q12300">
        <v>14</v>
      </c>
      <c r="R12300" t="s">
        <v>45111</v>
      </c>
      <c r="S12300" t="s">
        <v>45694</v>
      </c>
      <c r="T12300" t="s">
        <v>46979</v>
      </c>
      <c r="U12300" t="s">
        <v>57501</v>
      </c>
      <c r="W12300" t="s">
        <v>44742</v>
      </c>
      <c r="X12300" t="s">
        <v>45114</v>
      </c>
    </row>
    <row r="12301" spans="1:24">
      <c r="A12301">
        <f>HYPERLINK("https://www.philgeps.gov.ph/GEPSNONPILOT/Tender/SplashBidNoticeAbstractUI.aspx?menuIndex=3&amp;refID=7018942&amp;Result=3","7018942")</f>
        <v>0</v>
      </c>
      <c r="B12301" t="s">
        <v>50</v>
      </c>
      <c r="C12301" t="s">
        <v>14955</v>
      </c>
      <c r="D12301" t="s">
        <v>18042</v>
      </c>
      <c r="E12301" t="s">
        <v>28758</v>
      </c>
      <c r="F12301" t="s">
        <v>31574</v>
      </c>
      <c r="G12301" t="s">
        <v>31582</v>
      </c>
      <c r="H12301" t="s">
        <v>31590</v>
      </c>
      <c r="I12301" t="s">
        <v>31598</v>
      </c>
      <c r="J12301" t="s">
        <v>32431</v>
      </c>
      <c r="K12301" t="s">
        <v>41186</v>
      </c>
      <c r="M12301" t="s">
        <v>41533</v>
      </c>
      <c r="N12301" t="s">
        <v>45095</v>
      </c>
      <c r="O12301" t="s">
        <v>45096</v>
      </c>
      <c r="P12301">
        <v>0</v>
      </c>
      <c r="Q12301">
        <v>5</v>
      </c>
      <c r="R12301" t="s">
        <v>45111</v>
      </c>
      <c r="S12301" t="s">
        <v>45694</v>
      </c>
      <c r="T12301" t="s">
        <v>46926</v>
      </c>
      <c r="U12301" t="s">
        <v>57506</v>
      </c>
      <c r="W12301" t="s">
        <v>41533</v>
      </c>
      <c r="X12301" t="s">
        <v>45113</v>
      </c>
    </row>
    <row r="12302" spans="1:24">
      <c r="A12302">
        <f>HYPERLINK("https://www.philgeps.gov.ph/GEPSNONPILOT/Tender/SplashBidNoticeAbstractUI.aspx?menuIndex=3&amp;refID=7018912&amp;Result=3","7018912")</f>
        <v>0</v>
      </c>
      <c r="B12302" t="s">
        <v>50</v>
      </c>
      <c r="C12302" t="s">
        <v>14956</v>
      </c>
      <c r="D12302" t="s">
        <v>18042</v>
      </c>
      <c r="E12302" t="s">
        <v>28759</v>
      </c>
      <c r="F12302" t="s">
        <v>31574</v>
      </c>
      <c r="G12302" t="s">
        <v>31582</v>
      </c>
      <c r="H12302" t="s">
        <v>31592</v>
      </c>
      <c r="I12302" t="s">
        <v>31623</v>
      </c>
      <c r="J12302" t="s">
        <v>35827</v>
      </c>
      <c r="K12302" t="s">
        <v>41186</v>
      </c>
      <c r="M12302" t="s">
        <v>41533</v>
      </c>
      <c r="N12302" t="s">
        <v>45095</v>
      </c>
      <c r="O12302" t="s">
        <v>45096</v>
      </c>
      <c r="P12302">
        <v>0</v>
      </c>
      <c r="Q12302">
        <v>2</v>
      </c>
      <c r="R12302" t="s">
        <v>45111</v>
      </c>
      <c r="S12302" t="s">
        <v>45694</v>
      </c>
      <c r="T12302" t="s">
        <v>46926</v>
      </c>
      <c r="U12302" t="s">
        <v>57507</v>
      </c>
      <c r="W12302" t="s">
        <v>41533</v>
      </c>
      <c r="X12302" t="s">
        <v>45113</v>
      </c>
    </row>
    <row r="12303" spans="1:24">
      <c r="A12303">
        <f>HYPERLINK("https://www.philgeps.gov.ph/GEPSNONPILOT/Tender/SplashBidNoticeAbstractUI.aspx?menuIndex=3&amp;refID=7018948&amp;Result=3","7018948")</f>
        <v>0</v>
      </c>
      <c r="B12303" t="s">
        <v>50</v>
      </c>
      <c r="C12303" t="s">
        <v>14957</v>
      </c>
      <c r="D12303" t="s">
        <v>18042</v>
      </c>
      <c r="E12303" t="s">
        <v>28760</v>
      </c>
      <c r="F12303" t="s">
        <v>31574</v>
      </c>
      <c r="G12303" t="s">
        <v>31582</v>
      </c>
      <c r="H12303" t="s">
        <v>31590</v>
      </c>
      <c r="I12303" t="s">
        <v>4327</v>
      </c>
      <c r="J12303" t="s">
        <v>39311</v>
      </c>
      <c r="K12303" t="s">
        <v>41186</v>
      </c>
      <c r="M12303" t="s">
        <v>41533</v>
      </c>
      <c r="N12303" t="s">
        <v>45095</v>
      </c>
      <c r="O12303" t="s">
        <v>45096</v>
      </c>
      <c r="P12303">
        <v>0</v>
      </c>
      <c r="Q12303">
        <v>1</v>
      </c>
      <c r="R12303" t="s">
        <v>45111</v>
      </c>
      <c r="S12303" t="s">
        <v>45694</v>
      </c>
      <c r="T12303" t="s">
        <v>46926</v>
      </c>
      <c r="U12303" t="s">
        <v>57508</v>
      </c>
      <c r="W12303" t="s">
        <v>41533</v>
      </c>
      <c r="X12303" t="s">
        <v>45113</v>
      </c>
    </row>
    <row r="12304" spans="1:24">
      <c r="A12304">
        <f>HYPERLINK("https://www.philgeps.gov.ph/GEPSNONPILOT/Tender/SplashBidNoticeAbstractUI.aspx?menuIndex=3&amp;refID=7018923&amp;Result=3","7018923")</f>
        <v>0</v>
      </c>
      <c r="B12304" t="s">
        <v>50</v>
      </c>
      <c r="C12304" t="s">
        <v>14958</v>
      </c>
      <c r="D12304" t="s">
        <v>18042</v>
      </c>
      <c r="E12304" t="s">
        <v>28755</v>
      </c>
      <c r="F12304" t="s">
        <v>31574</v>
      </c>
      <c r="G12304" t="s">
        <v>31582</v>
      </c>
      <c r="H12304" t="s">
        <v>31590</v>
      </c>
      <c r="I12304" t="s">
        <v>6800</v>
      </c>
      <c r="J12304" t="s">
        <v>34005</v>
      </c>
      <c r="K12304" t="s">
        <v>41186</v>
      </c>
      <c r="M12304" t="s">
        <v>41533</v>
      </c>
      <c r="N12304" t="s">
        <v>45095</v>
      </c>
      <c r="O12304" t="s">
        <v>45096</v>
      </c>
      <c r="P12304">
        <v>0</v>
      </c>
      <c r="Q12304">
        <v>0</v>
      </c>
      <c r="R12304" t="s">
        <v>45111</v>
      </c>
      <c r="S12304" t="s">
        <v>45694</v>
      </c>
      <c r="T12304" t="s">
        <v>46926</v>
      </c>
      <c r="U12304" t="s">
        <v>57505</v>
      </c>
      <c r="W12304" t="s">
        <v>41533</v>
      </c>
      <c r="X12304" t="s">
        <v>45113</v>
      </c>
    </row>
    <row r="12305" spans="1:24">
      <c r="A12305">
        <f>HYPERLINK("https://www.philgeps.gov.ph/GEPSNONPILOT/Tender/SplashBidNoticeAbstractUI.aspx?menuIndex=3&amp;refID=7018928&amp;Result=3","7018928")</f>
        <v>0</v>
      </c>
      <c r="B12305" t="s">
        <v>50</v>
      </c>
      <c r="C12305" t="s">
        <v>14959</v>
      </c>
      <c r="D12305" t="s">
        <v>18042</v>
      </c>
      <c r="E12305" t="s">
        <v>28755</v>
      </c>
      <c r="F12305" t="s">
        <v>31574</v>
      </c>
      <c r="G12305" t="s">
        <v>31582</v>
      </c>
      <c r="H12305" t="s">
        <v>31590</v>
      </c>
      <c r="I12305" t="s">
        <v>31621</v>
      </c>
      <c r="J12305" t="s">
        <v>31845</v>
      </c>
      <c r="K12305" t="s">
        <v>41186</v>
      </c>
      <c r="M12305" t="s">
        <v>41533</v>
      </c>
      <c r="N12305" t="s">
        <v>45095</v>
      </c>
      <c r="O12305" t="s">
        <v>45096</v>
      </c>
      <c r="P12305">
        <v>0</v>
      </c>
      <c r="Q12305">
        <v>2</v>
      </c>
      <c r="R12305" t="s">
        <v>45111</v>
      </c>
      <c r="S12305" t="s">
        <v>45694</v>
      </c>
      <c r="T12305" t="s">
        <v>46926</v>
      </c>
      <c r="U12305" t="s">
        <v>57505</v>
      </c>
      <c r="W12305" t="s">
        <v>41533</v>
      </c>
      <c r="X12305" t="s">
        <v>45113</v>
      </c>
    </row>
    <row r="12306" spans="1:24">
      <c r="A12306">
        <f>HYPERLINK("https://www.philgeps.gov.ph/GEPSNONPILOT/Tender/SplashBidNoticeAbstractUI.aspx?menuIndex=3&amp;refID=7018941&amp;Result=3","7018941")</f>
        <v>0</v>
      </c>
      <c r="B12306" t="s">
        <v>50</v>
      </c>
      <c r="C12306" t="s">
        <v>14960</v>
      </c>
      <c r="D12306" t="s">
        <v>18042</v>
      </c>
      <c r="E12306" t="s">
        <v>28761</v>
      </c>
      <c r="F12306" t="s">
        <v>31574</v>
      </c>
      <c r="G12306" t="s">
        <v>31582</v>
      </c>
      <c r="H12306" t="s">
        <v>31590</v>
      </c>
      <c r="I12306" t="s">
        <v>8258</v>
      </c>
      <c r="J12306" t="s">
        <v>39312</v>
      </c>
      <c r="K12306" t="s">
        <v>41186</v>
      </c>
      <c r="M12306" t="s">
        <v>41533</v>
      </c>
      <c r="N12306" t="s">
        <v>45095</v>
      </c>
      <c r="O12306" t="s">
        <v>45096</v>
      </c>
      <c r="P12306">
        <v>0</v>
      </c>
      <c r="Q12306">
        <v>3</v>
      </c>
      <c r="R12306" t="s">
        <v>45111</v>
      </c>
      <c r="S12306" t="s">
        <v>45694</v>
      </c>
      <c r="T12306" t="s">
        <v>46926</v>
      </c>
      <c r="U12306" t="s">
        <v>57509</v>
      </c>
      <c r="W12306" t="s">
        <v>41533</v>
      </c>
      <c r="X12306" t="s">
        <v>45113</v>
      </c>
    </row>
    <row r="12307" spans="1:24">
      <c r="A12307">
        <f>HYPERLINK("https://www.philgeps.gov.ph/GEPSNONPILOT/Tender/SplashBidNoticeAbstractUI.aspx?menuIndex=3&amp;refID=7018848&amp;Result=3","7018848")</f>
        <v>0</v>
      </c>
      <c r="B12307" t="s">
        <v>1830</v>
      </c>
      <c r="C12307" t="s">
        <v>14961</v>
      </c>
      <c r="D12307" t="s">
        <v>18023</v>
      </c>
      <c r="E12307" t="s">
        <v>28762</v>
      </c>
      <c r="F12307" t="s">
        <v>31574</v>
      </c>
      <c r="G12307" t="s">
        <v>31582</v>
      </c>
      <c r="H12307" t="s">
        <v>31591</v>
      </c>
      <c r="I12307" t="s">
        <v>8822</v>
      </c>
      <c r="J12307" t="s">
        <v>39313</v>
      </c>
      <c r="K12307" t="s">
        <v>41203</v>
      </c>
      <c r="M12307" t="s">
        <v>44742</v>
      </c>
      <c r="N12307" t="s">
        <v>45095</v>
      </c>
      <c r="O12307" t="s">
        <v>45096</v>
      </c>
      <c r="P12307">
        <v>0</v>
      </c>
      <c r="Q12307">
        <v>8</v>
      </c>
      <c r="R12307" t="s">
        <v>45111</v>
      </c>
      <c r="S12307" t="s">
        <v>45694</v>
      </c>
      <c r="T12307" t="s">
        <v>46979</v>
      </c>
      <c r="U12307" t="s">
        <v>57501</v>
      </c>
      <c r="W12307" t="s">
        <v>44742</v>
      </c>
      <c r="X12307" t="s">
        <v>45114</v>
      </c>
    </row>
    <row r="12308" spans="1:24">
      <c r="A12308">
        <f>HYPERLINK("https://www.philgeps.gov.ph/GEPSNONPILOT/Tender/SplashBidNoticeAbstractUI.aspx?menuIndex=3&amp;refID=7018972&amp;Result=3","7018972")</f>
        <v>0</v>
      </c>
      <c r="B12308" t="s">
        <v>50</v>
      </c>
      <c r="C12308" t="s">
        <v>14962</v>
      </c>
      <c r="D12308" t="s">
        <v>18042</v>
      </c>
      <c r="E12308" t="s">
        <v>28763</v>
      </c>
      <c r="F12308" t="s">
        <v>31574</v>
      </c>
      <c r="G12308" t="s">
        <v>31582</v>
      </c>
      <c r="H12308" t="s">
        <v>31590</v>
      </c>
      <c r="I12308" t="s">
        <v>31599</v>
      </c>
      <c r="J12308" t="s">
        <v>31884</v>
      </c>
      <c r="K12308" t="s">
        <v>41186</v>
      </c>
      <c r="M12308" t="s">
        <v>41533</v>
      </c>
      <c r="N12308" t="s">
        <v>45095</v>
      </c>
      <c r="O12308" t="s">
        <v>45096</v>
      </c>
      <c r="P12308">
        <v>0</v>
      </c>
      <c r="Q12308">
        <v>1</v>
      </c>
      <c r="R12308" t="s">
        <v>45111</v>
      </c>
      <c r="S12308" t="s">
        <v>45694</v>
      </c>
      <c r="T12308" t="s">
        <v>46926</v>
      </c>
      <c r="U12308" t="s">
        <v>57510</v>
      </c>
      <c r="W12308" t="s">
        <v>41533</v>
      </c>
      <c r="X12308" t="s">
        <v>45113</v>
      </c>
    </row>
    <row r="12309" spans="1:24">
      <c r="A12309">
        <f>HYPERLINK("https://www.philgeps.gov.ph/GEPSNONPILOT/Tender/SplashBidNoticeAbstractUI.aspx?menuIndex=3&amp;refID=7018946&amp;Result=3","7018946")</f>
        <v>0</v>
      </c>
      <c r="B12309" t="s">
        <v>50</v>
      </c>
      <c r="C12309" t="s">
        <v>14963</v>
      </c>
      <c r="D12309" t="s">
        <v>18042</v>
      </c>
      <c r="E12309" t="s">
        <v>28760</v>
      </c>
      <c r="F12309" t="s">
        <v>31574</v>
      </c>
      <c r="G12309" t="s">
        <v>31582</v>
      </c>
      <c r="H12309" t="s">
        <v>31590</v>
      </c>
      <c r="I12309" t="s">
        <v>3487</v>
      </c>
      <c r="J12309" t="s">
        <v>39314</v>
      </c>
      <c r="K12309" t="s">
        <v>41186</v>
      </c>
      <c r="M12309" t="s">
        <v>41533</v>
      </c>
      <c r="N12309" t="s">
        <v>45095</v>
      </c>
      <c r="O12309" t="s">
        <v>45096</v>
      </c>
      <c r="P12309">
        <v>0</v>
      </c>
      <c r="Q12309">
        <v>0</v>
      </c>
      <c r="R12309" t="s">
        <v>45111</v>
      </c>
      <c r="S12309" t="s">
        <v>45694</v>
      </c>
      <c r="T12309" t="s">
        <v>46926</v>
      </c>
      <c r="U12309" t="s">
        <v>57508</v>
      </c>
      <c r="W12309" t="s">
        <v>41533</v>
      </c>
      <c r="X12309" t="s">
        <v>45113</v>
      </c>
    </row>
    <row r="12310" spans="1:24">
      <c r="A12310">
        <f>HYPERLINK("https://www.philgeps.gov.ph/GEPSNONPILOT/Tender/SplashBidNoticeAbstractUI.aspx?menuIndex=3&amp;refID=7018979&amp;Result=3","7018979")</f>
        <v>0</v>
      </c>
      <c r="B12310" t="s">
        <v>50</v>
      </c>
      <c r="C12310" t="s">
        <v>14964</v>
      </c>
      <c r="D12310" t="s">
        <v>18042</v>
      </c>
      <c r="E12310" t="s">
        <v>28764</v>
      </c>
      <c r="F12310" t="s">
        <v>31574</v>
      </c>
      <c r="G12310" t="s">
        <v>31582</v>
      </c>
      <c r="H12310" t="s">
        <v>31590</v>
      </c>
      <c r="I12310" t="s">
        <v>31608</v>
      </c>
      <c r="J12310" t="s">
        <v>39315</v>
      </c>
      <c r="K12310" t="s">
        <v>41186</v>
      </c>
      <c r="M12310" t="s">
        <v>41533</v>
      </c>
      <c r="N12310" t="s">
        <v>45095</v>
      </c>
      <c r="O12310" t="s">
        <v>45096</v>
      </c>
      <c r="P12310">
        <v>0</v>
      </c>
      <c r="Q12310">
        <v>2</v>
      </c>
      <c r="R12310" t="s">
        <v>45111</v>
      </c>
      <c r="S12310" t="s">
        <v>45694</v>
      </c>
      <c r="T12310" t="s">
        <v>46926</v>
      </c>
      <c r="U12310" t="s">
        <v>57511</v>
      </c>
      <c r="W12310" t="s">
        <v>41533</v>
      </c>
      <c r="X12310" t="s">
        <v>45113</v>
      </c>
    </row>
    <row r="12311" spans="1:24">
      <c r="A12311">
        <f>HYPERLINK("https://www.philgeps.gov.ph/GEPSNONPILOT/Tender/SplashBidNoticeAbstractUI.aspx?menuIndex=3&amp;refID=7018949&amp;Result=3","7018949")</f>
        <v>0</v>
      </c>
      <c r="B12311" t="s">
        <v>50</v>
      </c>
      <c r="C12311" t="s">
        <v>14965</v>
      </c>
      <c r="E12311" t="s">
        <v>28760</v>
      </c>
      <c r="F12311" t="s">
        <v>31574</v>
      </c>
      <c r="G12311" t="s">
        <v>31582</v>
      </c>
      <c r="H12311" t="s">
        <v>31590</v>
      </c>
      <c r="I12311" t="s">
        <v>31619</v>
      </c>
      <c r="J12311" t="s">
        <v>39316</v>
      </c>
      <c r="K12311" t="s">
        <v>41186</v>
      </c>
      <c r="M12311" t="s">
        <v>41533</v>
      </c>
      <c r="N12311" t="s">
        <v>45095</v>
      </c>
      <c r="O12311" t="s">
        <v>45096</v>
      </c>
      <c r="P12311">
        <v>0</v>
      </c>
      <c r="Q12311">
        <v>1</v>
      </c>
      <c r="R12311" t="s">
        <v>45111</v>
      </c>
      <c r="S12311" t="s">
        <v>45694</v>
      </c>
      <c r="T12311" t="s">
        <v>46926</v>
      </c>
      <c r="U12311" t="s">
        <v>57508</v>
      </c>
      <c r="W12311" t="s">
        <v>41533</v>
      </c>
      <c r="X12311" t="s">
        <v>45113</v>
      </c>
    </row>
    <row r="12312" spans="1:24">
      <c r="A12312">
        <f>HYPERLINK("https://www.philgeps.gov.ph/GEPSNONPILOT/Tender/SplashBidNoticeAbstractUI.aspx?menuIndex=3&amp;refID=7018980&amp;Result=3","7018980")</f>
        <v>0</v>
      </c>
      <c r="B12312" t="s">
        <v>115</v>
      </c>
      <c r="C12312" t="s">
        <v>14966</v>
      </c>
      <c r="D12312" t="s">
        <v>18040</v>
      </c>
      <c r="E12312" t="s">
        <v>28765</v>
      </c>
      <c r="F12312" t="s">
        <v>31574</v>
      </c>
      <c r="G12312" t="s">
        <v>31582</v>
      </c>
      <c r="H12312" t="s">
        <v>31590</v>
      </c>
      <c r="I12312" t="s">
        <v>31608</v>
      </c>
      <c r="J12312" t="s">
        <v>31935</v>
      </c>
      <c r="K12312" t="s">
        <v>41186</v>
      </c>
      <c r="M12312" t="s">
        <v>41599</v>
      </c>
      <c r="N12312" t="s">
        <v>45095</v>
      </c>
      <c r="O12312" t="s">
        <v>45096</v>
      </c>
      <c r="P12312">
        <v>0</v>
      </c>
      <c r="Q12312">
        <v>8</v>
      </c>
      <c r="R12312" t="s">
        <v>45111</v>
      </c>
      <c r="S12312" t="s">
        <v>45694</v>
      </c>
      <c r="T12312" t="s">
        <v>46932</v>
      </c>
      <c r="U12312" t="s">
        <v>57512</v>
      </c>
      <c r="V12312" t="s">
        <v>60322</v>
      </c>
      <c r="W12312" t="s">
        <v>41599</v>
      </c>
      <c r="X12312" t="s">
        <v>45113</v>
      </c>
    </row>
    <row r="12313" spans="1:24">
      <c r="A12313">
        <f>HYPERLINK("https://www.philgeps.gov.ph/GEPSNONPILOT/Tender/SplashBidNoticeAbstractUI.aspx?menuIndex=3&amp;refID=7018959&amp;Result=3","7018959")</f>
        <v>0</v>
      </c>
      <c r="B12313" t="s">
        <v>2714</v>
      </c>
      <c r="C12313" t="s">
        <v>14967</v>
      </c>
      <c r="D12313" t="s">
        <v>18046</v>
      </c>
      <c r="E12313" t="s">
        <v>28766</v>
      </c>
      <c r="F12313" t="s">
        <v>31574</v>
      </c>
      <c r="G12313" t="s">
        <v>31582</v>
      </c>
      <c r="H12313" t="s">
        <v>31590</v>
      </c>
      <c r="I12313" t="s">
        <v>31608</v>
      </c>
      <c r="J12313" t="s">
        <v>32510</v>
      </c>
      <c r="K12313" t="s">
        <v>41200</v>
      </c>
      <c r="M12313" t="s">
        <v>44485</v>
      </c>
      <c r="N12313" t="s">
        <v>45095</v>
      </c>
      <c r="O12313" t="s">
        <v>45096</v>
      </c>
      <c r="Q12313">
        <v>10</v>
      </c>
      <c r="R12313" t="s">
        <v>45111</v>
      </c>
      <c r="S12313" t="s">
        <v>45713</v>
      </c>
      <c r="T12313" t="s">
        <v>46989</v>
      </c>
      <c r="U12313" t="s">
        <v>57513</v>
      </c>
      <c r="W12313" t="s">
        <v>44485</v>
      </c>
      <c r="X12313" t="s">
        <v>45113</v>
      </c>
    </row>
    <row r="12314" spans="1:24">
      <c r="A12314">
        <f>HYPERLINK("https://www.philgeps.gov.ph/GEPSNONPILOT/Tender/SplashBidNoticeAbstractUI.aspx?menuIndex=3&amp;refID=7018976&amp;Result=3","7018976")</f>
        <v>0</v>
      </c>
      <c r="B12314" t="s">
        <v>50</v>
      </c>
      <c r="C12314" t="s">
        <v>14968</v>
      </c>
      <c r="D12314" t="s">
        <v>18042</v>
      </c>
      <c r="E12314" t="s">
        <v>28767</v>
      </c>
      <c r="F12314" t="s">
        <v>31574</v>
      </c>
      <c r="G12314" t="s">
        <v>31582</v>
      </c>
      <c r="H12314" t="s">
        <v>31590</v>
      </c>
      <c r="I12314" t="s">
        <v>14544</v>
      </c>
      <c r="J12314" t="s">
        <v>33346</v>
      </c>
      <c r="K12314" t="s">
        <v>41186</v>
      </c>
      <c r="M12314" t="s">
        <v>41533</v>
      </c>
      <c r="N12314" t="s">
        <v>45095</v>
      </c>
      <c r="O12314" t="s">
        <v>45096</v>
      </c>
      <c r="P12314">
        <v>0</v>
      </c>
      <c r="Q12314">
        <v>0</v>
      </c>
      <c r="R12314" t="s">
        <v>45111</v>
      </c>
      <c r="S12314" t="s">
        <v>45694</v>
      </c>
      <c r="T12314" t="s">
        <v>46926</v>
      </c>
      <c r="U12314" t="s">
        <v>57514</v>
      </c>
      <c r="W12314" t="s">
        <v>41533</v>
      </c>
      <c r="X12314" t="s">
        <v>45113</v>
      </c>
    </row>
    <row r="12315" spans="1:24">
      <c r="A12315">
        <f>HYPERLINK("https://www.philgeps.gov.ph/GEPSNONPILOT/Tender/SplashBidNoticeAbstractUI.aspx?menuIndex=3&amp;refID=7018982&amp;Result=3","7018982")</f>
        <v>0</v>
      </c>
      <c r="B12315" t="s">
        <v>115</v>
      </c>
      <c r="C12315" t="s">
        <v>14969</v>
      </c>
      <c r="D12315" t="s">
        <v>18040</v>
      </c>
      <c r="E12315" t="s">
        <v>28768</v>
      </c>
      <c r="F12315" t="s">
        <v>31574</v>
      </c>
      <c r="G12315" t="s">
        <v>31582</v>
      </c>
      <c r="H12315" t="s">
        <v>31590</v>
      </c>
      <c r="I12315" t="s">
        <v>3901</v>
      </c>
      <c r="J12315" t="s">
        <v>39317</v>
      </c>
      <c r="K12315" t="s">
        <v>41186</v>
      </c>
      <c r="M12315" t="s">
        <v>41599</v>
      </c>
      <c r="N12315" t="s">
        <v>45095</v>
      </c>
      <c r="O12315" t="s">
        <v>45096</v>
      </c>
      <c r="P12315">
        <v>0</v>
      </c>
      <c r="Q12315">
        <v>3</v>
      </c>
      <c r="R12315" t="s">
        <v>45111</v>
      </c>
      <c r="S12315" t="s">
        <v>45694</v>
      </c>
      <c r="T12315" t="s">
        <v>46932</v>
      </c>
      <c r="U12315" t="s">
        <v>57515</v>
      </c>
      <c r="V12315" t="s">
        <v>60322</v>
      </c>
      <c r="W12315" t="s">
        <v>41599</v>
      </c>
      <c r="X12315" t="s">
        <v>45113</v>
      </c>
    </row>
    <row r="12316" spans="1:24">
      <c r="A12316">
        <f>HYPERLINK("https://www.philgeps.gov.ph/GEPSNONPILOT/Tender/SplashBidNoticeAbstractUI.aspx?menuIndex=3&amp;refID=7018952&amp;Result=3","7018952")</f>
        <v>0</v>
      </c>
      <c r="B12316" t="s">
        <v>50</v>
      </c>
      <c r="C12316" t="s">
        <v>14970</v>
      </c>
      <c r="D12316" t="s">
        <v>18042</v>
      </c>
      <c r="E12316" t="s">
        <v>28769</v>
      </c>
      <c r="F12316" t="s">
        <v>31574</v>
      </c>
      <c r="G12316" t="s">
        <v>31582</v>
      </c>
      <c r="H12316" t="s">
        <v>31590</v>
      </c>
      <c r="I12316" t="s">
        <v>3487</v>
      </c>
      <c r="J12316" t="s">
        <v>39318</v>
      </c>
      <c r="K12316" t="s">
        <v>41186</v>
      </c>
      <c r="M12316" t="s">
        <v>41533</v>
      </c>
      <c r="N12316" t="s">
        <v>45095</v>
      </c>
      <c r="O12316" t="s">
        <v>45096</v>
      </c>
      <c r="P12316">
        <v>0</v>
      </c>
      <c r="Q12316">
        <v>0</v>
      </c>
      <c r="R12316" t="s">
        <v>45111</v>
      </c>
      <c r="S12316" t="s">
        <v>45694</v>
      </c>
      <c r="T12316" t="s">
        <v>46926</v>
      </c>
      <c r="U12316" t="s">
        <v>57516</v>
      </c>
      <c r="W12316" t="s">
        <v>41533</v>
      </c>
      <c r="X12316" t="s">
        <v>45113</v>
      </c>
    </row>
    <row r="12317" spans="1:24">
      <c r="A12317">
        <f>HYPERLINK("https://www.philgeps.gov.ph/GEPSNONPILOT/Tender/SplashBidNoticeAbstractUI.aspx?menuIndex=3&amp;refID=7018954&amp;Result=3","7018954")</f>
        <v>0</v>
      </c>
      <c r="B12317" t="s">
        <v>50</v>
      </c>
      <c r="C12317" t="s">
        <v>14971</v>
      </c>
      <c r="D12317" t="s">
        <v>18042</v>
      </c>
      <c r="E12317" t="s">
        <v>28770</v>
      </c>
      <c r="F12317" t="s">
        <v>31574</v>
      </c>
      <c r="G12317" t="s">
        <v>31582</v>
      </c>
      <c r="H12317" t="s">
        <v>31590</v>
      </c>
      <c r="I12317" t="s">
        <v>3487</v>
      </c>
      <c r="J12317" t="s">
        <v>31766</v>
      </c>
      <c r="K12317" t="s">
        <v>41186</v>
      </c>
      <c r="M12317" t="s">
        <v>41533</v>
      </c>
      <c r="N12317" t="s">
        <v>45095</v>
      </c>
      <c r="O12317" t="s">
        <v>45096</v>
      </c>
      <c r="P12317">
        <v>0</v>
      </c>
      <c r="Q12317">
        <v>1</v>
      </c>
      <c r="R12317" t="s">
        <v>45111</v>
      </c>
      <c r="S12317" t="s">
        <v>45694</v>
      </c>
      <c r="T12317" t="s">
        <v>46926</v>
      </c>
      <c r="U12317" t="s">
        <v>57517</v>
      </c>
      <c r="W12317" t="s">
        <v>41533</v>
      </c>
      <c r="X12317" t="s">
        <v>45113</v>
      </c>
    </row>
    <row r="12318" spans="1:24">
      <c r="A12318">
        <f>HYPERLINK("https://www.philgeps.gov.ph/GEPSNONPILOT/Tender/SplashBidNoticeAbstractUI.aspx?menuIndex=3&amp;refID=7018973&amp;Result=3","7018973")</f>
        <v>0</v>
      </c>
      <c r="B12318" t="s">
        <v>50</v>
      </c>
      <c r="C12318" t="s">
        <v>14972</v>
      </c>
      <c r="D12318" t="s">
        <v>18042</v>
      </c>
      <c r="E12318" t="s">
        <v>28771</v>
      </c>
      <c r="F12318" t="s">
        <v>31574</v>
      </c>
      <c r="G12318" t="s">
        <v>31582</v>
      </c>
      <c r="H12318" t="s">
        <v>31590</v>
      </c>
      <c r="I12318" t="s">
        <v>3487</v>
      </c>
      <c r="J12318" t="s">
        <v>32572</v>
      </c>
      <c r="K12318" t="s">
        <v>41186</v>
      </c>
      <c r="M12318" t="s">
        <v>41533</v>
      </c>
      <c r="N12318" t="s">
        <v>45095</v>
      </c>
      <c r="O12318" t="s">
        <v>45096</v>
      </c>
      <c r="P12318">
        <v>0</v>
      </c>
      <c r="Q12318">
        <v>0</v>
      </c>
      <c r="R12318" t="s">
        <v>45111</v>
      </c>
      <c r="S12318" t="s">
        <v>45694</v>
      </c>
      <c r="T12318" t="s">
        <v>46926</v>
      </c>
      <c r="U12318" t="s">
        <v>57518</v>
      </c>
      <c r="W12318" t="s">
        <v>41533</v>
      </c>
      <c r="X12318" t="s">
        <v>45113</v>
      </c>
    </row>
    <row r="12319" spans="1:24">
      <c r="A12319">
        <f>HYPERLINK("https://www.philgeps.gov.ph/GEPSNONPILOT/Tender/SplashBidNoticeAbstractUI.aspx?menuIndex=3&amp;refID=7019173&amp;Result=3","7019173")</f>
        <v>0</v>
      </c>
      <c r="B12319" t="s">
        <v>2932</v>
      </c>
      <c r="C12319" t="s">
        <v>14973</v>
      </c>
      <c r="D12319" t="s">
        <v>18100</v>
      </c>
      <c r="E12319" t="s">
        <v>25744</v>
      </c>
      <c r="F12319" t="s">
        <v>31574</v>
      </c>
      <c r="G12319" t="s">
        <v>31582</v>
      </c>
      <c r="H12319" t="s">
        <v>31591</v>
      </c>
      <c r="I12319" t="s">
        <v>8822</v>
      </c>
      <c r="J12319" t="s">
        <v>31935</v>
      </c>
      <c r="K12319" t="s">
        <v>41189</v>
      </c>
      <c r="M12319" t="s">
        <v>44743</v>
      </c>
      <c r="N12319" t="s">
        <v>45095</v>
      </c>
      <c r="O12319" t="s">
        <v>45096</v>
      </c>
      <c r="P12319">
        <v>0</v>
      </c>
      <c r="Q12319">
        <v>5</v>
      </c>
      <c r="R12319" t="s">
        <v>45111</v>
      </c>
      <c r="S12319" t="s">
        <v>45694</v>
      </c>
      <c r="T12319" t="s">
        <v>46917</v>
      </c>
      <c r="U12319" t="s">
        <v>57519</v>
      </c>
      <c r="W12319" t="s">
        <v>44743</v>
      </c>
      <c r="X12319" t="s">
        <v>45112</v>
      </c>
    </row>
    <row r="12320" spans="1:24">
      <c r="A12320">
        <f>HYPERLINK("https://www.philgeps.gov.ph/GEPSNONPILOT/Tender/SplashBidNoticeAbstractUI.aspx?menuIndex=3&amp;refID=7018956&amp;Result=3","7018956")</f>
        <v>0</v>
      </c>
      <c r="B12320" t="s">
        <v>50</v>
      </c>
      <c r="C12320" t="s">
        <v>14974</v>
      </c>
      <c r="D12320" t="s">
        <v>18042</v>
      </c>
      <c r="E12320" t="s">
        <v>28772</v>
      </c>
      <c r="F12320" t="s">
        <v>31574</v>
      </c>
      <c r="G12320" t="s">
        <v>31582</v>
      </c>
      <c r="H12320" t="s">
        <v>31590</v>
      </c>
      <c r="I12320" t="s">
        <v>31604</v>
      </c>
      <c r="J12320" t="s">
        <v>39319</v>
      </c>
      <c r="K12320" t="s">
        <v>41186</v>
      </c>
      <c r="M12320" t="s">
        <v>41533</v>
      </c>
      <c r="N12320" t="s">
        <v>45095</v>
      </c>
      <c r="O12320" t="s">
        <v>45096</v>
      </c>
      <c r="P12320">
        <v>0</v>
      </c>
      <c r="Q12320">
        <v>3</v>
      </c>
      <c r="R12320" t="s">
        <v>45111</v>
      </c>
      <c r="S12320" t="s">
        <v>45694</v>
      </c>
      <c r="T12320" t="s">
        <v>46926</v>
      </c>
      <c r="U12320" t="s">
        <v>57520</v>
      </c>
      <c r="W12320" t="s">
        <v>41533</v>
      </c>
      <c r="X12320" t="s">
        <v>45113</v>
      </c>
    </row>
    <row r="12321" spans="1:24">
      <c r="A12321">
        <f>HYPERLINK("https://www.philgeps.gov.ph/GEPSNONPILOT/Tender/SplashBidNoticeAbstractUI.aspx?menuIndex=3&amp;refID=7018996&amp;Result=3","7018996")</f>
        <v>0</v>
      </c>
      <c r="B12321" t="s">
        <v>2714</v>
      </c>
      <c r="C12321" t="s">
        <v>14975</v>
      </c>
      <c r="D12321" t="s">
        <v>18046</v>
      </c>
      <c r="E12321" t="s">
        <v>28766</v>
      </c>
      <c r="F12321" t="s">
        <v>31574</v>
      </c>
      <c r="G12321" t="s">
        <v>31582</v>
      </c>
      <c r="H12321" t="s">
        <v>31590</v>
      </c>
      <c r="I12321" t="s">
        <v>31594</v>
      </c>
      <c r="J12321" t="s">
        <v>37447</v>
      </c>
      <c r="K12321" t="s">
        <v>41200</v>
      </c>
      <c r="M12321" t="s">
        <v>44744</v>
      </c>
      <c r="N12321" t="s">
        <v>45095</v>
      </c>
      <c r="O12321" t="s">
        <v>45096</v>
      </c>
      <c r="Q12321">
        <v>46</v>
      </c>
      <c r="R12321" t="s">
        <v>45111</v>
      </c>
      <c r="S12321" t="s">
        <v>45714</v>
      </c>
      <c r="T12321" t="s">
        <v>46955</v>
      </c>
      <c r="U12321" t="s">
        <v>57521</v>
      </c>
      <c r="W12321" t="s">
        <v>44485</v>
      </c>
      <c r="X12321" t="s">
        <v>45113</v>
      </c>
    </row>
    <row r="12322" spans="1:24">
      <c r="A12322">
        <f>HYPERLINK("https://www.philgeps.gov.ph/GEPSNONPILOT/Tender/SplashBidNoticeAbstractUI.aspx?menuIndex=3&amp;refID=7019215&amp;Result=3","7019215")</f>
        <v>0</v>
      </c>
      <c r="B12322" t="s">
        <v>2424</v>
      </c>
      <c r="C12322" t="s">
        <v>14976</v>
      </c>
      <c r="E12322" t="s">
        <v>28773</v>
      </c>
      <c r="F12322" t="s">
        <v>31574</v>
      </c>
      <c r="G12322" t="s">
        <v>31582</v>
      </c>
      <c r="H12322" t="s">
        <v>31591</v>
      </c>
      <c r="I12322" t="s">
        <v>8822</v>
      </c>
      <c r="J12322" t="s">
        <v>39320</v>
      </c>
      <c r="K12322" t="s">
        <v>41332</v>
      </c>
      <c r="M12322" t="s">
        <v>44151</v>
      </c>
      <c r="N12322" t="s">
        <v>45095</v>
      </c>
      <c r="O12322" t="s">
        <v>45096</v>
      </c>
      <c r="Q12322">
        <v>10</v>
      </c>
      <c r="R12322" t="s">
        <v>45111</v>
      </c>
      <c r="S12322" t="s">
        <v>45715</v>
      </c>
      <c r="T12322" t="s">
        <v>46926</v>
      </c>
      <c r="U12322" t="s">
        <v>57522</v>
      </c>
      <c r="W12322" t="s">
        <v>44151</v>
      </c>
      <c r="X12322" t="s">
        <v>45112</v>
      </c>
    </row>
    <row r="12323" spans="1:24">
      <c r="A12323">
        <f>HYPERLINK("https://www.philgeps.gov.ph/GEPSNONPILOT/Tender/SplashBidNoticeAbstractUI.aspx?menuIndex=3&amp;refID=7018958&amp;Result=3","7018958")</f>
        <v>0</v>
      </c>
      <c r="B12323" t="s">
        <v>50</v>
      </c>
      <c r="C12323" t="s">
        <v>14977</v>
      </c>
      <c r="D12323" t="s">
        <v>18042</v>
      </c>
      <c r="E12323" t="s">
        <v>28774</v>
      </c>
      <c r="F12323" t="s">
        <v>31574</v>
      </c>
      <c r="G12323" t="s">
        <v>31582</v>
      </c>
      <c r="H12323" t="s">
        <v>31590</v>
      </c>
      <c r="I12323" t="s">
        <v>31594</v>
      </c>
      <c r="J12323" t="s">
        <v>39321</v>
      </c>
      <c r="K12323" t="s">
        <v>41186</v>
      </c>
      <c r="M12323" t="s">
        <v>41533</v>
      </c>
      <c r="N12323" t="s">
        <v>45095</v>
      </c>
      <c r="O12323" t="s">
        <v>45096</v>
      </c>
      <c r="P12323">
        <v>0</v>
      </c>
      <c r="Q12323">
        <v>11</v>
      </c>
      <c r="R12323" t="s">
        <v>45111</v>
      </c>
      <c r="S12323" t="s">
        <v>45694</v>
      </c>
      <c r="T12323" t="s">
        <v>46926</v>
      </c>
      <c r="U12323" t="s">
        <v>57523</v>
      </c>
      <c r="W12323" t="s">
        <v>41533</v>
      </c>
      <c r="X12323" t="s">
        <v>45113</v>
      </c>
    </row>
    <row r="12324" spans="1:24">
      <c r="A12324">
        <f>HYPERLINK("https://www.philgeps.gov.ph/GEPSNONPILOT/Tender/SplashBidNoticeAbstractUI.aspx?menuIndex=3&amp;refID=7019172&amp;Result=3","7019172")</f>
        <v>0</v>
      </c>
      <c r="B12324" t="s">
        <v>2932</v>
      </c>
      <c r="C12324" t="s">
        <v>14978</v>
      </c>
      <c r="D12324" t="s">
        <v>18100</v>
      </c>
      <c r="E12324" t="s">
        <v>26384</v>
      </c>
      <c r="F12324" t="s">
        <v>31574</v>
      </c>
      <c r="G12324" t="s">
        <v>31582</v>
      </c>
      <c r="H12324" t="s">
        <v>31591</v>
      </c>
      <c r="I12324" t="s">
        <v>8822</v>
      </c>
      <c r="J12324" t="s">
        <v>31771</v>
      </c>
      <c r="K12324" t="s">
        <v>41243</v>
      </c>
      <c r="M12324" t="s">
        <v>44743</v>
      </c>
      <c r="N12324" t="s">
        <v>45095</v>
      </c>
      <c r="O12324" t="s">
        <v>45096</v>
      </c>
      <c r="P12324">
        <v>0</v>
      </c>
      <c r="Q12324">
        <v>5</v>
      </c>
      <c r="R12324" t="s">
        <v>45111</v>
      </c>
      <c r="S12324" t="s">
        <v>45694</v>
      </c>
      <c r="T12324" t="s">
        <v>46917</v>
      </c>
      <c r="U12324" t="s">
        <v>57524</v>
      </c>
      <c r="W12324" t="s">
        <v>44743</v>
      </c>
      <c r="X12324" t="s">
        <v>45112</v>
      </c>
    </row>
    <row r="12325" spans="1:24">
      <c r="A12325">
        <f>HYPERLINK("https://www.philgeps.gov.ph/GEPSNONPILOT/Tender/SplashBidNoticeAbstractUI.aspx?menuIndex=3&amp;refID=7019193&amp;Result=3","7019193")</f>
        <v>0</v>
      </c>
      <c r="B12325" t="s">
        <v>935</v>
      </c>
      <c r="C12325" t="s">
        <v>14979</v>
      </c>
      <c r="D12325" t="s">
        <v>18075</v>
      </c>
      <c r="E12325" t="s">
        <v>28775</v>
      </c>
      <c r="F12325" t="s">
        <v>31574</v>
      </c>
      <c r="G12325" t="s">
        <v>31582</v>
      </c>
      <c r="H12325" t="s">
        <v>31591</v>
      </c>
      <c r="I12325" t="s">
        <v>8822</v>
      </c>
      <c r="J12325" t="s">
        <v>32019</v>
      </c>
      <c r="K12325" t="s">
        <v>41286</v>
      </c>
      <c r="M12325" t="s">
        <v>42462</v>
      </c>
      <c r="N12325" t="s">
        <v>45095</v>
      </c>
      <c r="O12325" t="s">
        <v>45096</v>
      </c>
      <c r="P12325">
        <v>0</v>
      </c>
      <c r="Q12325">
        <v>0</v>
      </c>
      <c r="R12325" t="s">
        <v>45111</v>
      </c>
      <c r="S12325" t="s">
        <v>45694</v>
      </c>
      <c r="T12325" t="s">
        <v>46920</v>
      </c>
      <c r="U12325" t="s">
        <v>57525</v>
      </c>
      <c r="V12325" t="s">
        <v>61190</v>
      </c>
      <c r="W12325" t="s">
        <v>42462</v>
      </c>
      <c r="X12325" t="s">
        <v>45112</v>
      </c>
    </row>
    <row r="12326" spans="1:24">
      <c r="A12326">
        <f>HYPERLINK("https://www.philgeps.gov.ph/GEPSNONPILOT/Tender/SplashBidNoticeAbstractUI.aspx?menuIndex=3&amp;refID=7019174&amp;Result=3","7019174")</f>
        <v>0</v>
      </c>
      <c r="B12326" t="s">
        <v>2932</v>
      </c>
      <c r="C12326" t="s">
        <v>14973</v>
      </c>
      <c r="D12326" t="s">
        <v>18100</v>
      </c>
      <c r="E12326" t="s">
        <v>26386</v>
      </c>
      <c r="F12326" t="s">
        <v>31574</v>
      </c>
      <c r="G12326" t="s">
        <v>31582</v>
      </c>
      <c r="H12326" t="s">
        <v>31591</v>
      </c>
      <c r="I12326" t="s">
        <v>8822</v>
      </c>
      <c r="J12326" t="s">
        <v>31935</v>
      </c>
      <c r="K12326" t="s">
        <v>41192</v>
      </c>
      <c r="M12326" t="s">
        <v>44743</v>
      </c>
      <c r="N12326" t="s">
        <v>45095</v>
      </c>
      <c r="O12326" t="s">
        <v>45096</v>
      </c>
      <c r="P12326">
        <v>0</v>
      </c>
      <c r="Q12326">
        <v>4</v>
      </c>
      <c r="R12326" t="s">
        <v>45111</v>
      </c>
      <c r="S12326" t="s">
        <v>45694</v>
      </c>
      <c r="T12326" t="s">
        <v>46917</v>
      </c>
      <c r="U12326" t="s">
        <v>57526</v>
      </c>
      <c r="W12326" t="s">
        <v>44743</v>
      </c>
      <c r="X12326" t="s">
        <v>45112</v>
      </c>
    </row>
    <row r="12327" spans="1:24">
      <c r="A12327">
        <f>HYPERLINK("https://www.philgeps.gov.ph/GEPSNONPILOT/Tender/SplashBidNoticeAbstractUI.aspx?menuIndex=3&amp;refID=7018969&amp;Result=3","7018969")</f>
        <v>0</v>
      </c>
      <c r="B12327" t="s">
        <v>50</v>
      </c>
      <c r="C12327" t="s">
        <v>14980</v>
      </c>
      <c r="D12327" t="s">
        <v>18042</v>
      </c>
      <c r="E12327" t="s">
        <v>28776</v>
      </c>
      <c r="F12327" t="s">
        <v>31574</v>
      </c>
      <c r="G12327" t="s">
        <v>31582</v>
      </c>
      <c r="H12327" t="s">
        <v>31590</v>
      </c>
      <c r="I12327" t="s">
        <v>14544</v>
      </c>
      <c r="J12327" t="s">
        <v>32528</v>
      </c>
      <c r="K12327" t="s">
        <v>41186</v>
      </c>
      <c r="M12327" t="s">
        <v>41533</v>
      </c>
      <c r="N12327" t="s">
        <v>45095</v>
      </c>
      <c r="O12327" t="s">
        <v>45096</v>
      </c>
      <c r="P12327">
        <v>0</v>
      </c>
      <c r="Q12327">
        <v>0</v>
      </c>
      <c r="R12327" t="s">
        <v>45111</v>
      </c>
      <c r="S12327" t="s">
        <v>45694</v>
      </c>
      <c r="T12327" t="s">
        <v>46926</v>
      </c>
      <c r="U12327" t="s">
        <v>57527</v>
      </c>
      <c r="W12327" t="s">
        <v>41533</v>
      </c>
      <c r="X12327" t="s">
        <v>45113</v>
      </c>
    </row>
    <row r="12328" spans="1:24">
      <c r="A12328">
        <f>HYPERLINK("https://www.philgeps.gov.ph/GEPSNONPILOT/Tender/SplashBidNoticeAbstractUI.aspx?menuIndex=3&amp;refID=7018951&amp;Result=3","7018951")</f>
        <v>0</v>
      </c>
      <c r="B12328" t="s">
        <v>50</v>
      </c>
      <c r="C12328" t="s">
        <v>14981</v>
      </c>
      <c r="D12328" t="s">
        <v>18042</v>
      </c>
      <c r="E12328" t="s">
        <v>28777</v>
      </c>
      <c r="F12328" t="s">
        <v>31574</v>
      </c>
      <c r="G12328" t="s">
        <v>31582</v>
      </c>
      <c r="H12328" t="s">
        <v>31590</v>
      </c>
      <c r="I12328" t="s">
        <v>31604</v>
      </c>
      <c r="J12328" t="s">
        <v>31853</v>
      </c>
      <c r="K12328" t="s">
        <v>41186</v>
      </c>
      <c r="M12328" t="s">
        <v>41533</v>
      </c>
      <c r="N12328" t="s">
        <v>45095</v>
      </c>
      <c r="O12328" t="s">
        <v>45096</v>
      </c>
      <c r="P12328">
        <v>0</v>
      </c>
      <c r="Q12328">
        <v>1</v>
      </c>
      <c r="R12328" t="s">
        <v>45111</v>
      </c>
      <c r="S12328" t="s">
        <v>45694</v>
      </c>
      <c r="T12328" t="s">
        <v>46926</v>
      </c>
      <c r="U12328" t="s">
        <v>57528</v>
      </c>
      <c r="W12328" t="s">
        <v>41533</v>
      </c>
      <c r="X12328" t="s">
        <v>45113</v>
      </c>
    </row>
    <row r="12329" spans="1:24">
      <c r="A12329">
        <f>HYPERLINK("https://www.philgeps.gov.ph/GEPSNONPILOT/Tender/SplashBidNoticeAbstractUI.aspx?menuIndex=3&amp;refID=7019197&amp;Result=3","7019197")</f>
        <v>0</v>
      </c>
      <c r="B12329" t="s">
        <v>2933</v>
      </c>
      <c r="C12329" t="s">
        <v>14982</v>
      </c>
      <c r="D12329" t="s">
        <v>18036</v>
      </c>
      <c r="E12329" t="s">
        <v>28778</v>
      </c>
      <c r="F12329" t="s">
        <v>31574</v>
      </c>
      <c r="G12329" t="s">
        <v>31583</v>
      </c>
      <c r="H12329" t="s">
        <v>31590</v>
      </c>
      <c r="I12329" t="s">
        <v>31607</v>
      </c>
      <c r="J12329" t="s">
        <v>39322</v>
      </c>
      <c r="K12329" t="s">
        <v>41193</v>
      </c>
      <c r="M12329" t="s">
        <v>44745</v>
      </c>
      <c r="N12329" t="s">
        <v>45095</v>
      </c>
      <c r="O12329" t="s">
        <v>45096</v>
      </c>
      <c r="Q12329">
        <v>8</v>
      </c>
      <c r="R12329" t="s">
        <v>45111</v>
      </c>
      <c r="S12329" t="s">
        <v>45716</v>
      </c>
      <c r="T12329" t="s">
        <v>46926</v>
      </c>
      <c r="U12329" t="s">
        <v>57529</v>
      </c>
      <c r="W12329" t="s">
        <v>44745</v>
      </c>
      <c r="X12329" t="s">
        <v>45112</v>
      </c>
    </row>
    <row r="12330" spans="1:24">
      <c r="A12330">
        <f>HYPERLINK("https://www.philgeps.gov.ph/GEPSNONPILOT/Tender/SplashBidNoticeAbstractUI.aspx?menuIndex=3&amp;refID=7019192&amp;Result=3","7019192")</f>
        <v>0</v>
      </c>
      <c r="B12330" t="s">
        <v>935</v>
      </c>
      <c r="C12330" t="s">
        <v>14983</v>
      </c>
      <c r="D12330" t="s">
        <v>18075</v>
      </c>
      <c r="E12330" t="s">
        <v>28779</v>
      </c>
      <c r="F12330" t="s">
        <v>31574</v>
      </c>
      <c r="G12330" t="s">
        <v>31582</v>
      </c>
      <c r="H12330" t="s">
        <v>31591</v>
      </c>
      <c r="I12330" t="s">
        <v>8822</v>
      </c>
      <c r="J12330" t="s">
        <v>31724</v>
      </c>
      <c r="K12330" t="s">
        <v>41337</v>
      </c>
      <c r="M12330" t="s">
        <v>42462</v>
      </c>
      <c r="N12330" t="s">
        <v>45095</v>
      </c>
      <c r="O12330" t="s">
        <v>45096</v>
      </c>
      <c r="P12330">
        <v>0</v>
      </c>
      <c r="Q12330">
        <v>0</v>
      </c>
      <c r="R12330" t="s">
        <v>45111</v>
      </c>
      <c r="S12330" t="s">
        <v>45694</v>
      </c>
      <c r="T12330" t="s">
        <v>46920</v>
      </c>
      <c r="U12330" t="s">
        <v>57530</v>
      </c>
      <c r="V12330" t="s">
        <v>61190</v>
      </c>
      <c r="W12330" t="s">
        <v>42462</v>
      </c>
      <c r="X12330" t="s">
        <v>45112</v>
      </c>
    </row>
    <row r="12331" spans="1:24">
      <c r="A12331">
        <f>HYPERLINK("https://www.philgeps.gov.ph/GEPSNONPILOT/Tender/SplashBidNoticeAbstractUI.aspx?menuIndex=3&amp;refID=7019181&amp;Result=3","7019181")</f>
        <v>0</v>
      </c>
      <c r="B12331" t="s">
        <v>1318</v>
      </c>
      <c r="C12331" t="s">
        <v>14984</v>
      </c>
      <c r="D12331" t="s">
        <v>18052</v>
      </c>
      <c r="E12331" t="s">
        <v>18199</v>
      </c>
      <c r="F12331" t="s">
        <v>31574</v>
      </c>
      <c r="G12331" t="s">
        <v>31582</v>
      </c>
      <c r="H12331" t="s">
        <v>31591</v>
      </c>
      <c r="I12331" t="s">
        <v>8822</v>
      </c>
      <c r="J12331" t="s">
        <v>39323</v>
      </c>
      <c r="K12331" t="s">
        <v>41192</v>
      </c>
      <c r="L12331" t="s">
        <v>1318</v>
      </c>
      <c r="M12331" t="s">
        <v>42888</v>
      </c>
      <c r="N12331" t="s">
        <v>45095</v>
      </c>
      <c r="O12331" t="s">
        <v>45096</v>
      </c>
      <c r="P12331">
        <v>0</v>
      </c>
      <c r="Q12331">
        <v>2</v>
      </c>
      <c r="R12331" t="s">
        <v>45111</v>
      </c>
      <c r="S12331" t="s">
        <v>45694</v>
      </c>
      <c r="T12331" t="s">
        <v>46968</v>
      </c>
      <c r="U12331" t="s">
        <v>57531</v>
      </c>
      <c r="V12331" t="s">
        <v>61191</v>
      </c>
      <c r="W12331" t="s">
        <v>42888</v>
      </c>
      <c r="X12331" t="s">
        <v>45112</v>
      </c>
    </row>
    <row r="12332" spans="1:24">
      <c r="A12332">
        <f>HYPERLINK("https://www.philgeps.gov.ph/GEPSNONPILOT/Tender/SplashBidNoticeAbstractUI.aspx?menuIndex=3&amp;refID=7019156&amp;Result=3","7019156")</f>
        <v>0</v>
      </c>
      <c r="B12332" t="s">
        <v>2907</v>
      </c>
      <c r="C12332" t="s">
        <v>14985</v>
      </c>
      <c r="D12332" t="s">
        <v>18073</v>
      </c>
      <c r="E12332" t="s">
        <v>28780</v>
      </c>
      <c r="F12332" t="s">
        <v>31574</v>
      </c>
      <c r="G12332" t="s">
        <v>31582</v>
      </c>
      <c r="H12332" t="s">
        <v>31591</v>
      </c>
      <c r="I12332" t="s">
        <v>8822</v>
      </c>
      <c r="J12332" t="s">
        <v>32026</v>
      </c>
      <c r="K12332" t="s">
        <v>41438</v>
      </c>
      <c r="M12332" t="s">
        <v>44705</v>
      </c>
      <c r="N12332" t="s">
        <v>45095</v>
      </c>
      <c r="O12332" t="s">
        <v>45096</v>
      </c>
      <c r="P12332">
        <v>0</v>
      </c>
      <c r="Q12332">
        <v>0</v>
      </c>
      <c r="R12332" t="s">
        <v>45111</v>
      </c>
      <c r="S12332" t="s">
        <v>45694</v>
      </c>
      <c r="T12332" t="s">
        <v>46961</v>
      </c>
      <c r="U12332" t="s">
        <v>53396</v>
      </c>
      <c r="W12332" t="s">
        <v>44705</v>
      </c>
      <c r="X12332" t="s">
        <v>45112</v>
      </c>
    </row>
    <row r="12333" spans="1:24">
      <c r="A12333">
        <f>HYPERLINK("https://www.philgeps.gov.ph/GEPSNONPILOT/Tender/SplashBidNoticeAbstractUI.aspx?menuIndex=3&amp;refID=7019152&amp;Result=3","7019152")</f>
        <v>0</v>
      </c>
      <c r="B12333" t="s">
        <v>2143</v>
      </c>
      <c r="C12333" t="s">
        <v>14986</v>
      </c>
      <c r="E12333" t="s">
        <v>28781</v>
      </c>
      <c r="F12333" t="s">
        <v>31574</v>
      </c>
      <c r="G12333" t="s">
        <v>31582</v>
      </c>
      <c r="H12333" t="s">
        <v>31591</v>
      </c>
      <c r="I12333" t="s">
        <v>8822</v>
      </c>
      <c r="J12333" t="s">
        <v>32019</v>
      </c>
      <c r="K12333" t="s">
        <v>41192</v>
      </c>
      <c r="M12333" t="s">
        <v>43825</v>
      </c>
      <c r="N12333" t="s">
        <v>45095</v>
      </c>
      <c r="O12333" t="s">
        <v>45096</v>
      </c>
      <c r="Q12333">
        <v>0</v>
      </c>
      <c r="R12333" t="s">
        <v>45111</v>
      </c>
      <c r="S12333" t="s">
        <v>45717</v>
      </c>
      <c r="T12333" t="s">
        <v>46914</v>
      </c>
      <c r="U12333" t="s">
        <v>57532</v>
      </c>
      <c r="V12333" t="s">
        <v>60619</v>
      </c>
      <c r="W12333" t="s">
        <v>43825</v>
      </c>
      <c r="X12333" t="s">
        <v>45112</v>
      </c>
    </row>
    <row r="12334" spans="1:24">
      <c r="A12334">
        <f>HYPERLINK("https://www.philgeps.gov.ph/GEPSNONPILOT/Tender/SplashBidNoticeAbstractUI.aspx?menuIndex=3&amp;refID=7019157&amp;Result=3","7019157")</f>
        <v>0</v>
      </c>
      <c r="B12334" t="s">
        <v>2907</v>
      </c>
      <c r="C12334" t="s">
        <v>14987</v>
      </c>
      <c r="D12334" t="s">
        <v>18073</v>
      </c>
      <c r="E12334" t="s">
        <v>28782</v>
      </c>
      <c r="F12334" t="s">
        <v>31574</v>
      </c>
      <c r="G12334" t="s">
        <v>31582</v>
      </c>
      <c r="H12334" t="s">
        <v>31591</v>
      </c>
      <c r="I12334" t="s">
        <v>8822</v>
      </c>
      <c r="J12334" t="s">
        <v>31935</v>
      </c>
      <c r="K12334" t="s">
        <v>41221</v>
      </c>
      <c r="M12334" t="s">
        <v>44705</v>
      </c>
      <c r="N12334" t="s">
        <v>45095</v>
      </c>
      <c r="O12334" t="s">
        <v>45096</v>
      </c>
      <c r="P12334">
        <v>0</v>
      </c>
      <c r="Q12334">
        <v>0</v>
      </c>
      <c r="R12334" t="s">
        <v>45111</v>
      </c>
      <c r="S12334" t="s">
        <v>45694</v>
      </c>
      <c r="T12334" t="s">
        <v>46961</v>
      </c>
      <c r="U12334" t="s">
        <v>53396</v>
      </c>
      <c r="W12334" t="s">
        <v>44705</v>
      </c>
      <c r="X12334" t="s">
        <v>45112</v>
      </c>
    </row>
    <row r="12335" spans="1:24">
      <c r="A12335">
        <f>HYPERLINK("https://www.philgeps.gov.ph/GEPSNONPILOT/Tender/SplashBidNoticeAbstractUI.aspx?menuIndex=3&amp;refID=7019045&amp;Result=3","7019045")</f>
        <v>0</v>
      </c>
      <c r="B12335" t="s">
        <v>161</v>
      </c>
      <c r="C12335" t="s">
        <v>14988</v>
      </c>
      <c r="D12335" t="s">
        <v>18056</v>
      </c>
      <c r="E12335" t="s">
        <v>28783</v>
      </c>
      <c r="F12335" t="s">
        <v>31574</v>
      </c>
      <c r="G12335" t="s">
        <v>31582</v>
      </c>
      <c r="H12335" t="s">
        <v>31590</v>
      </c>
      <c r="I12335" t="s">
        <v>31599</v>
      </c>
      <c r="J12335" t="s">
        <v>39324</v>
      </c>
      <c r="K12335" t="s">
        <v>41186</v>
      </c>
      <c r="M12335" t="s">
        <v>41721</v>
      </c>
      <c r="N12335" t="s">
        <v>45095</v>
      </c>
      <c r="O12335" t="s">
        <v>45096</v>
      </c>
      <c r="P12335">
        <v>0</v>
      </c>
      <c r="Q12335">
        <v>5</v>
      </c>
      <c r="R12335" t="s">
        <v>45111</v>
      </c>
      <c r="S12335" t="s">
        <v>45694</v>
      </c>
      <c r="T12335" t="s">
        <v>46914</v>
      </c>
      <c r="U12335" t="s">
        <v>57533</v>
      </c>
      <c r="W12335" t="s">
        <v>41721</v>
      </c>
      <c r="X12335" t="s">
        <v>45113</v>
      </c>
    </row>
    <row r="12336" spans="1:24">
      <c r="A12336">
        <f>HYPERLINK("https://www.philgeps.gov.ph/GEPSNONPILOT/Tender/SplashBidNoticeAbstractUI.aspx?menuIndex=3&amp;refID=7019237&amp;Result=3","7019237")</f>
        <v>0</v>
      </c>
      <c r="B12336" t="s">
        <v>2934</v>
      </c>
      <c r="C12336" t="s">
        <v>14989</v>
      </c>
      <c r="D12336" t="s">
        <v>18031</v>
      </c>
      <c r="E12336" t="s">
        <v>28784</v>
      </c>
      <c r="F12336" t="s">
        <v>31574</v>
      </c>
      <c r="G12336" t="s">
        <v>31582</v>
      </c>
      <c r="H12336" t="s">
        <v>31590</v>
      </c>
      <c r="I12336" t="s">
        <v>7185</v>
      </c>
      <c r="J12336" t="s">
        <v>39325</v>
      </c>
      <c r="K12336" t="s">
        <v>41210</v>
      </c>
      <c r="M12336" t="s">
        <v>44746</v>
      </c>
      <c r="N12336" t="s">
        <v>45095</v>
      </c>
      <c r="O12336" t="s">
        <v>45096</v>
      </c>
      <c r="P12336">
        <v>0</v>
      </c>
      <c r="Q12336">
        <v>13</v>
      </c>
      <c r="R12336" t="s">
        <v>45111</v>
      </c>
      <c r="S12336" t="s">
        <v>45694</v>
      </c>
      <c r="T12336" t="s">
        <v>46955</v>
      </c>
      <c r="U12336" t="s">
        <v>57534</v>
      </c>
      <c r="W12336" t="s">
        <v>44746</v>
      </c>
      <c r="X12336" t="s">
        <v>45112</v>
      </c>
    </row>
    <row r="12337" spans="1:24">
      <c r="A12337">
        <f>HYPERLINK("https://www.philgeps.gov.ph/GEPSNONPILOT/Tender/SplashBidNoticeAbstractUI.aspx?menuIndex=3&amp;refID=7019167&amp;Result=3","7019167")</f>
        <v>0</v>
      </c>
      <c r="B12337" t="s">
        <v>1052</v>
      </c>
      <c r="C12337" t="s">
        <v>14990</v>
      </c>
      <c r="D12337" t="s">
        <v>18024</v>
      </c>
      <c r="E12337" t="s">
        <v>28785</v>
      </c>
      <c r="F12337" t="s">
        <v>31574</v>
      </c>
      <c r="G12337" t="s">
        <v>31582</v>
      </c>
      <c r="H12337" t="s">
        <v>31590</v>
      </c>
      <c r="I12337" t="s">
        <v>3520</v>
      </c>
      <c r="J12337" t="s">
        <v>35720</v>
      </c>
      <c r="K12337" t="s">
        <v>41186</v>
      </c>
      <c r="M12337" t="s">
        <v>42597</v>
      </c>
      <c r="N12337" t="s">
        <v>45095</v>
      </c>
      <c r="O12337" t="s">
        <v>45096</v>
      </c>
      <c r="P12337">
        <v>0</v>
      </c>
      <c r="Q12337">
        <v>2</v>
      </c>
      <c r="R12337" t="s">
        <v>45111</v>
      </c>
      <c r="S12337" t="s">
        <v>45694</v>
      </c>
      <c r="T12337" t="s">
        <v>47159</v>
      </c>
      <c r="U12337" t="s">
        <v>57535</v>
      </c>
      <c r="W12337" t="s">
        <v>42597</v>
      </c>
      <c r="X12337" t="s">
        <v>45112</v>
      </c>
    </row>
    <row r="12338" spans="1:24">
      <c r="A12338">
        <f>HYPERLINK("https://www.philgeps.gov.ph/GEPSNONPILOT/Tender/SplashBidNoticeAbstractUI.aspx?menuIndex=3&amp;refID=7019055&amp;Result=3","7019055")</f>
        <v>0</v>
      </c>
      <c r="B12338" t="s">
        <v>161</v>
      </c>
      <c r="C12338" t="s">
        <v>14991</v>
      </c>
      <c r="D12338" t="s">
        <v>18056</v>
      </c>
      <c r="E12338" t="s">
        <v>28786</v>
      </c>
      <c r="F12338" t="s">
        <v>31574</v>
      </c>
      <c r="G12338" t="s">
        <v>31582</v>
      </c>
      <c r="H12338" t="s">
        <v>31590</v>
      </c>
      <c r="I12338" t="s">
        <v>31614</v>
      </c>
      <c r="J12338" t="s">
        <v>32361</v>
      </c>
      <c r="K12338" t="s">
        <v>41186</v>
      </c>
      <c r="M12338" t="s">
        <v>41721</v>
      </c>
      <c r="N12338" t="s">
        <v>45095</v>
      </c>
      <c r="O12338" t="s">
        <v>45096</v>
      </c>
      <c r="Q12338">
        <v>1</v>
      </c>
      <c r="R12338" t="s">
        <v>45111</v>
      </c>
      <c r="S12338" t="s">
        <v>45718</v>
      </c>
      <c r="T12338" t="s">
        <v>46914</v>
      </c>
      <c r="U12338" t="s">
        <v>57536</v>
      </c>
      <c r="W12338" t="s">
        <v>41721</v>
      </c>
      <c r="X12338" t="s">
        <v>45113</v>
      </c>
    </row>
    <row r="12339" spans="1:24">
      <c r="A12339">
        <f>HYPERLINK("https://www.philgeps.gov.ph/GEPSNONPILOT/Tender/SplashBidNoticeAbstractUI.aspx?menuIndex=3&amp;refID=7019282&amp;Result=3","7019282")</f>
        <v>0</v>
      </c>
      <c r="B12339" t="s">
        <v>2935</v>
      </c>
      <c r="C12339" t="s">
        <v>14992</v>
      </c>
      <c r="D12339" t="s">
        <v>18066</v>
      </c>
      <c r="E12339" t="s">
        <v>28787</v>
      </c>
      <c r="F12339" t="s">
        <v>31574</v>
      </c>
      <c r="G12339" t="s">
        <v>31582</v>
      </c>
      <c r="H12339" t="s">
        <v>31591</v>
      </c>
      <c r="I12339" t="s">
        <v>8822</v>
      </c>
      <c r="J12339" t="s">
        <v>39326</v>
      </c>
      <c r="K12339" t="s">
        <v>41203</v>
      </c>
      <c r="M12339" t="s">
        <v>44747</v>
      </c>
      <c r="N12339" t="s">
        <v>45095</v>
      </c>
      <c r="O12339" t="s">
        <v>45096</v>
      </c>
      <c r="P12339">
        <v>0</v>
      </c>
      <c r="Q12339">
        <v>1</v>
      </c>
      <c r="R12339" t="s">
        <v>45111</v>
      </c>
      <c r="S12339" t="s">
        <v>45694</v>
      </c>
      <c r="T12339" t="s">
        <v>46945</v>
      </c>
      <c r="U12339" t="s">
        <v>57537</v>
      </c>
      <c r="W12339" t="s">
        <v>44747</v>
      </c>
      <c r="X12339" t="s">
        <v>45112</v>
      </c>
    </row>
    <row r="12340" spans="1:24">
      <c r="A12340">
        <f>HYPERLINK("https://www.philgeps.gov.ph/GEPSNONPILOT/Tender/SplashBidNoticeAbstractUI.aspx?menuIndex=3&amp;refID=7019043&amp;Result=3","7019043")</f>
        <v>0</v>
      </c>
      <c r="B12340" t="s">
        <v>161</v>
      </c>
      <c r="C12340" t="s">
        <v>14993</v>
      </c>
      <c r="D12340" t="s">
        <v>18056</v>
      </c>
      <c r="E12340" t="s">
        <v>28788</v>
      </c>
      <c r="F12340" t="s">
        <v>31574</v>
      </c>
      <c r="G12340" t="s">
        <v>31582</v>
      </c>
      <c r="H12340" t="s">
        <v>31590</v>
      </c>
      <c r="I12340" t="s">
        <v>31631</v>
      </c>
      <c r="J12340" t="s">
        <v>39327</v>
      </c>
      <c r="K12340" t="s">
        <v>41184</v>
      </c>
      <c r="M12340" t="s">
        <v>41721</v>
      </c>
      <c r="N12340" t="s">
        <v>45095</v>
      </c>
      <c r="O12340" t="s">
        <v>45096</v>
      </c>
      <c r="P12340">
        <v>0</v>
      </c>
      <c r="Q12340">
        <v>1</v>
      </c>
      <c r="R12340" t="s">
        <v>45111</v>
      </c>
      <c r="S12340" t="s">
        <v>45694</v>
      </c>
      <c r="T12340" t="s">
        <v>46914</v>
      </c>
      <c r="U12340" t="s">
        <v>57538</v>
      </c>
      <c r="W12340" t="s">
        <v>41721</v>
      </c>
      <c r="X12340" t="s">
        <v>45113</v>
      </c>
    </row>
    <row r="12341" spans="1:24">
      <c r="A12341">
        <f>HYPERLINK("https://www.philgeps.gov.ph/GEPSNONPILOT/Tender/SplashBidNoticeAbstractUI.aspx?menuIndex=3&amp;refID=7019176&amp;Result=3","7019176")</f>
        <v>0</v>
      </c>
      <c r="B12341" t="s">
        <v>2932</v>
      </c>
      <c r="C12341" t="s">
        <v>14994</v>
      </c>
      <c r="D12341" t="s">
        <v>18100</v>
      </c>
      <c r="E12341" t="s">
        <v>26379</v>
      </c>
      <c r="F12341" t="s">
        <v>31574</v>
      </c>
      <c r="G12341" t="s">
        <v>31582</v>
      </c>
      <c r="H12341" t="s">
        <v>31591</v>
      </c>
      <c r="I12341" t="s">
        <v>8822</v>
      </c>
      <c r="J12341" t="s">
        <v>31935</v>
      </c>
      <c r="K12341" t="s">
        <v>41200</v>
      </c>
      <c r="M12341" t="s">
        <v>44743</v>
      </c>
      <c r="N12341" t="s">
        <v>45095</v>
      </c>
      <c r="O12341" t="s">
        <v>45096</v>
      </c>
      <c r="P12341">
        <v>0</v>
      </c>
      <c r="Q12341">
        <v>4</v>
      </c>
      <c r="R12341" t="s">
        <v>45111</v>
      </c>
      <c r="S12341" t="s">
        <v>45694</v>
      </c>
      <c r="T12341" t="s">
        <v>46917</v>
      </c>
      <c r="U12341" t="s">
        <v>57539</v>
      </c>
      <c r="W12341" t="s">
        <v>44743</v>
      </c>
      <c r="X12341" t="s">
        <v>45112</v>
      </c>
    </row>
    <row r="12342" spans="1:24">
      <c r="A12342">
        <f>HYPERLINK("https://www.philgeps.gov.ph/GEPSNONPILOT/Tender/SplashBidNoticeAbstractUI.aspx?menuIndex=3&amp;refID=7019052&amp;Result=3","7019052")</f>
        <v>0</v>
      </c>
      <c r="B12342" t="s">
        <v>161</v>
      </c>
      <c r="C12342" t="s">
        <v>14995</v>
      </c>
      <c r="D12342" t="s">
        <v>18124</v>
      </c>
      <c r="E12342" t="s">
        <v>28789</v>
      </c>
      <c r="F12342" t="s">
        <v>31574</v>
      </c>
      <c r="G12342" t="s">
        <v>31582</v>
      </c>
      <c r="H12342" t="s">
        <v>31590</v>
      </c>
      <c r="I12342" t="s">
        <v>31599</v>
      </c>
      <c r="J12342" t="s">
        <v>39328</v>
      </c>
      <c r="K12342" t="s">
        <v>41186</v>
      </c>
      <c r="M12342" t="s">
        <v>41721</v>
      </c>
      <c r="N12342" t="s">
        <v>45095</v>
      </c>
      <c r="O12342" t="s">
        <v>45096</v>
      </c>
      <c r="Q12342">
        <v>3</v>
      </c>
      <c r="R12342" t="s">
        <v>45111</v>
      </c>
      <c r="S12342" t="s">
        <v>45719</v>
      </c>
      <c r="T12342" t="s">
        <v>46914</v>
      </c>
      <c r="U12342" t="s">
        <v>57540</v>
      </c>
      <c r="W12342" t="s">
        <v>41721</v>
      </c>
      <c r="X12342" t="s">
        <v>45113</v>
      </c>
    </row>
    <row r="12343" spans="1:24">
      <c r="A12343">
        <f>HYPERLINK("https://www.philgeps.gov.ph/GEPSNONPILOT/Tender/SplashBidNoticeAbstractUI.aspx?menuIndex=3&amp;refID=7019276&amp;Result=3","7019276")</f>
        <v>0</v>
      </c>
      <c r="B12343" t="s">
        <v>2643</v>
      </c>
      <c r="C12343" t="s">
        <v>14996</v>
      </c>
      <c r="D12343" t="s">
        <v>18081</v>
      </c>
      <c r="E12343" t="s">
        <v>28790</v>
      </c>
      <c r="F12343" t="s">
        <v>31574</v>
      </c>
      <c r="G12343" t="s">
        <v>31582</v>
      </c>
      <c r="H12343" t="s">
        <v>31590</v>
      </c>
      <c r="I12343" t="s">
        <v>31612</v>
      </c>
      <c r="J12343" t="s">
        <v>32026</v>
      </c>
      <c r="K12343" t="s">
        <v>41185</v>
      </c>
      <c r="M12343" t="s">
        <v>44397</v>
      </c>
      <c r="N12343" t="s">
        <v>45095</v>
      </c>
      <c r="O12343" t="s">
        <v>45096</v>
      </c>
      <c r="P12343">
        <v>0</v>
      </c>
      <c r="Q12343">
        <v>1</v>
      </c>
      <c r="R12343" t="s">
        <v>45111</v>
      </c>
      <c r="S12343" t="s">
        <v>45694</v>
      </c>
      <c r="T12343" t="s">
        <v>46991</v>
      </c>
      <c r="U12343" t="s">
        <v>57541</v>
      </c>
      <c r="W12343" t="s">
        <v>44397</v>
      </c>
      <c r="X12343" t="s">
        <v>45112</v>
      </c>
    </row>
    <row r="12344" spans="1:24">
      <c r="A12344">
        <f>HYPERLINK("https://www.philgeps.gov.ph/GEPSNONPILOT/Tender/SplashBidNoticeAbstractUI.aspx?menuIndex=3&amp;refID=7019275&amp;Result=3","7019275")</f>
        <v>0</v>
      </c>
      <c r="B12344" t="s">
        <v>2934</v>
      </c>
      <c r="C12344" t="s">
        <v>14997</v>
      </c>
      <c r="D12344" t="s">
        <v>18031</v>
      </c>
      <c r="E12344" t="s">
        <v>28791</v>
      </c>
      <c r="F12344" t="s">
        <v>31574</v>
      </c>
      <c r="G12344" t="s">
        <v>31582</v>
      </c>
      <c r="H12344" t="s">
        <v>31590</v>
      </c>
      <c r="I12344" t="s">
        <v>4046</v>
      </c>
      <c r="J12344" t="s">
        <v>39329</v>
      </c>
      <c r="K12344" t="s">
        <v>41210</v>
      </c>
      <c r="M12344" t="s">
        <v>44746</v>
      </c>
      <c r="N12344" t="s">
        <v>45095</v>
      </c>
      <c r="O12344" t="s">
        <v>45096</v>
      </c>
      <c r="P12344">
        <v>0</v>
      </c>
      <c r="Q12344">
        <v>1</v>
      </c>
      <c r="R12344" t="s">
        <v>45111</v>
      </c>
      <c r="S12344" t="s">
        <v>45694</v>
      </c>
      <c r="T12344" t="s">
        <v>46955</v>
      </c>
      <c r="U12344" t="s">
        <v>57534</v>
      </c>
      <c r="W12344" t="s">
        <v>44746</v>
      </c>
      <c r="X12344" t="s">
        <v>45112</v>
      </c>
    </row>
    <row r="12345" spans="1:24">
      <c r="A12345">
        <f>HYPERLINK("https://www.philgeps.gov.ph/GEPSNONPILOT/Tender/SplashBidNoticeAbstractUI.aspx?menuIndex=3&amp;refID=7019178&amp;Result=3","7019178")</f>
        <v>0</v>
      </c>
      <c r="B12345" t="s">
        <v>1318</v>
      </c>
      <c r="C12345" t="s">
        <v>14998</v>
      </c>
      <c r="D12345" t="s">
        <v>18052</v>
      </c>
      <c r="E12345" t="s">
        <v>19701</v>
      </c>
      <c r="F12345" t="s">
        <v>31574</v>
      </c>
      <c r="G12345" t="s">
        <v>31582</v>
      </c>
      <c r="H12345" t="s">
        <v>31591</v>
      </c>
      <c r="I12345" t="s">
        <v>8822</v>
      </c>
      <c r="J12345" t="s">
        <v>39330</v>
      </c>
      <c r="K12345" t="s">
        <v>41192</v>
      </c>
      <c r="L12345" t="s">
        <v>1318</v>
      </c>
      <c r="M12345" t="s">
        <v>42888</v>
      </c>
      <c r="N12345" t="s">
        <v>45095</v>
      </c>
      <c r="O12345" t="s">
        <v>45096</v>
      </c>
      <c r="P12345">
        <v>0</v>
      </c>
      <c r="Q12345">
        <v>1</v>
      </c>
      <c r="R12345" t="s">
        <v>45111</v>
      </c>
      <c r="S12345" t="s">
        <v>45694</v>
      </c>
      <c r="T12345" t="s">
        <v>46968</v>
      </c>
      <c r="U12345" t="s">
        <v>57542</v>
      </c>
      <c r="V12345" t="s">
        <v>61192</v>
      </c>
      <c r="W12345" t="s">
        <v>42888</v>
      </c>
      <c r="X12345" t="s">
        <v>45112</v>
      </c>
    </row>
    <row r="12346" spans="1:24">
      <c r="A12346">
        <f>HYPERLINK("https://www.philgeps.gov.ph/GEPSNONPILOT/Tender/SplashBidNoticeAbstractUI.aspx?menuIndex=3&amp;refID=7019297&amp;Result=3","7019297")</f>
        <v>0</v>
      </c>
      <c r="B12346" t="s">
        <v>1918</v>
      </c>
      <c r="C12346" t="s">
        <v>14999</v>
      </c>
      <c r="D12346" t="s">
        <v>18024</v>
      </c>
      <c r="E12346" t="s">
        <v>28792</v>
      </c>
      <c r="F12346" t="s">
        <v>31574</v>
      </c>
      <c r="G12346" t="s">
        <v>31582</v>
      </c>
      <c r="H12346" t="s">
        <v>31590</v>
      </c>
      <c r="I12346" t="s">
        <v>8822</v>
      </c>
      <c r="J12346" t="s">
        <v>39331</v>
      </c>
      <c r="K12346" t="s">
        <v>41194</v>
      </c>
      <c r="M12346" t="s">
        <v>43568</v>
      </c>
      <c r="N12346" t="s">
        <v>45095</v>
      </c>
      <c r="O12346" t="s">
        <v>45096</v>
      </c>
      <c r="P12346">
        <v>0</v>
      </c>
      <c r="Q12346">
        <v>5</v>
      </c>
      <c r="R12346" t="s">
        <v>45111</v>
      </c>
      <c r="S12346" t="s">
        <v>45694</v>
      </c>
      <c r="T12346" t="s">
        <v>47269</v>
      </c>
      <c r="U12346" t="s">
        <v>57543</v>
      </c>
      <c r="W12346" t="s">
        <v>43568</v>
      </c>
      <c r="X12346" t="s">
        <v>45112</v>
      </c>
    </row>
    <row r="12347" spans="1:24">
      <c r="A12347">
        <f>HYPERLINK("https://www.philgeps.gov.ph/GEPSNONPILOT/Tender/SplashBidNoticeAbstractUI.aspx?menuIndex=3&amp;refID=7019281&amp;Result=3","7019281")</f>
        <v>0</v>
      </c>
      <c r="B12347" t="s">
        <v>2934</v>
      </c>
      <c r="C12347" t="s">
        <v>15000</v>
      </c>
      <c r="D12347" t="s">
        <v>18031</v>
      </c>
      <c r="E12347" t="s">
        <v>28793</v>
      </c>
      <c r="F12347" t="s">
        <v>31574</v>
      </c>
      <c r="G12347" t="s">
        <v>31582</v>
      </c>
      <c r="H12347" t="s">
        <v>31591</v>
      </c>
      <c r="I12347" t="s">
        <v>8822</v>
      </c>
      <c r="J12347" t="s">
        <v>39332</v>
      </c>
      <c r="K12347" t="s">
        <v>41189</v>
      </c>
      <c r="M12347" t="s">
        <v>44746</v>
      </c>
      <c r="N12347" t="s">
        <v>45095</v>
      </c>
      <c r="O12347" t="s">
        <v>45096</v>
      </c>
      <c r="P12347">
        <v>0</v>
      </c>
      <c r="Q12347">
        <v>2</v>
      </c>
      <c r="R12347" t="s">
        <v>45111</v>
      </c>
      <c r="S12347" t="s">
        <v>45694</v>
      </c>
      <c r="T12347" t="s">
        <v>46955</v>
      </c>
      <c r="U12347" t="s">
        <v>57534</v>
      </c>
      <c r="W12347" t="s">
        <v>44746</v>
      </c>
      <c r="X12347" t="s">
        <v>45112</v>
      </c>
    </row>
    <row r="12348" spans="1:24">
      <c r="A12348">
        <f>HYPERLINK("https://www.philgeps.gov.ph/GEPSNONPILOT/Tender/SplashBidNoticeAbstractUI.aspx?menuIndex=3&amp;refID=7019324&amp;Result=3","7019324")</f>
        <v>0</v>
      </c>
      <c r="B12348" t="s">
        <v>2936</v>
      </c>
      <c r="C12348" t="s">
        <v>15001</v>
      </c>
      <c r="D12348" t="s">
        <v>18066</v>
      </c>
      <c r="E12348" t="s">
        <v>28794</v>
      </c>
      <c r="F12348" t="s">
        <v>31574</v>
      </c>
      <c r="G12348" t="s">
        <v>31582</v>
      </c>
      <c r="H12348" t="s">
        <v>31591</v>
      </c>
      <c r="I12348" t="s">
        <v>8822</v>
      </c>
      <c r="J12348" t="s">
        <v>39333</v>
      </c>
      <c r="K12348" t="s">
        <v>41200</v>
      </c>
      <c r="M12348" t="s">
        <v>44748</v>
      </c>
      <c r="N12348" t="s">
        <v>45095</v>
      </c>
      <c r="O12348" t="s">
        <v>45096</v>
      </c>
      <c r="P12348">
        <v>0</v>
      </c>
      <c r="Q12348">
        <v>0</v>
      </c>
      <c r="R12348" t="s">
        <v>45111</v>
      </c>
      <c r="S12348" t="s">
        <v>45694</v>
      </c>
      <c r="T12348" t="s">
        <v>47091</v>
      </c>
      <c r="U12348" t="s">
        <v>57544</v>
      </c>
      <c r="W12348" t="s">
        <v>44748</v>
      </c>
      <c r="X12348" t="s">
        <v>45112</v>
      </c>
    </row>
    <row r="12349" spans="1:24">
      <c r="A12349">
        <f>HYPERLINK("https://www.philgeps.gov.ph/GEPSNONPILOT/Tender/SplashBidNoticeAbstractUI.aspx?menuIndex=3&amp;refID=7019341&amp;Result=3","7019341")</f>
        <v>0</v>
      </c>
      <c r="B12349" t="s">
        <v>2937</v>
      </c>
      <c r="C12349" t="s">
        <v>15002</v>
      </c>
      <c r="E12349" t="s">
        <v>23995</v>
      </c>
      <c r="F12349" t="s">
        <v>31574</v>
      </c>
      <c r="G12349" t="s">
        <v>31582</v>
      </c>
      <c r="H12349" t="s">
        <v>31590</v>
      </c>
      <c r="I12349" t="s">
        <v>8822</v>
      </c>
      <c r="J12349" t="s">
        <v>39334</v>
      </c>
      <c r="K12349" t="s">
        <v>41184</v>
      </c>
      <c r="M12349" t="s">
        <v>44749</v>
      </c>
      <c r="N12349" t="s">
        <v>45095</v>
      </c>
      <c r="O12349" t="s">
        <v>45096</v>
      </c>
      <c r="P12349">
        <v>0</v>
      </c>
      <c r="Q12349">
        <v>0</v>
      </c>
      <c r="R12349" t="s">
        <v>45111</v>
      </c>
      <c r="S12349" t="s">
        <v>45694</v>
      </c>
      <c r="T12349" t="s">
        <v>47159</v>
      </c>
      <c r="U12349" t="s">
        <v>50687</v>
      </c>
      <c r="W12349" t="s">
        <v>44749</v>
      </c>
      <c r="X12349" t="s">
        <v>45112</v>
      </c>
    </row>
    <row r="12350" spans="1:24">
      <c r="A12350">
        <f>HYPERLINK("https://www.philgeps.gov.ph/GEPSNONPILOT/Tender/SplashBidNoticeAbstractUI.aspx?menuIndex=3&amp;refID=7019337&amp;Result=3","7019337")</f>
        <v>0</v>
      </c>
      <c r="B12350" t="s">
        <v>743</v>
      </c>
      <c r="C12350" t="s">
        <v>15003</v>
      </c>
      <c r="D12350" t="s">
        <v>18099</v>
      </c>
      <c r="E12350" t="s">
        <v>28795</v>
      </c>
      <c r="F12350" t="s">
        <v>31574</v>
      </c>
      <c r="G12350" t="s">
        <v>31588</v>
      </c>
      <c r="H12350" t="s">
        <v>31590</v>
      </c>
      <c r="I12350" t="s">
        <v>31596</v>
      </c>
      <c r="J12350" t="s">
        <v>39335</v>
      </c>
      <c r="K12350" t="s">
        <v>41200</v>
      </c>
      <c r="M12350" t="s">
        <v>44750</v>
      </c>
      <c r="N12350" t="s">
        <v>45095</v>
      </c>
      <c r="O12350" t="s">
        <v>45096</v>
      </c>
      <c r="P12350">
        <v>0</v>
      </c>
      <c r="Q12350">
        <v>1</v>
      </c>
      <c r="R12350" t="s">
        <v>45111</v>
      </c>
      <c r="S12350" t="s">
        <v>45694</v>
      </c>
      <c r="T12350" t="s">
        <v>46926</v>
      </c>
      <c r="U12350" t="s">
        <v>57545</v>
      </c>
      <c r="V12350" t="s">
        <v>61193</v>
      </c>
      <c r="W12350" t="s">
        <v>44750</v>
      </c>
      <c r="X12350" t="s">
        <v>45112</v>
      </c>
    </row>
    <row r="12351" spans="1:24">
      <c r="A12351">
        <f>HYPERLINK("https://www.philgeps.gov.ph/GEPSNONPILOT/Tender/SplashBidNoticeAbstractUI.aspx?menuIndex=3&amp;refID=7019294&amp;Result=3","7019294")</f>
        <v>0</v>
      </c>
      <c r="B12351" t="s">
        <v>2935</v>
      </c>
      <c r="C12351" t="s">
        <v>15004</v>
      </c>
      <c r="D12351" t="s">
        <v>18066</v>
      </c>
      <c r="E12351" t="s">
        <v>28796</v>
      </c>
      <c r="F12351" t="s">
        <v>31574</v>
      </c>
      <c r="G12351" t="s">
        <v>31582</v>
      </c>
      <c r="H12351" t="s">
        <v>31591</v>
      </c>
      <c r="I12351" t="s">
        <v>8822</v>
      </c>
      <c r="J12351" t="s">
        <v>39336</v>
      </c>
      <c r="K12351" t="s">
        <v>41203</v>
      </c>
      <c r="M12351" t="s">
        <v>44747</v>
      </c>
      <c r="N12351" t="s">
        <v>45095</v>
      </c>
      <c r="O12351" t="s">
        <v>45096</v>
      </c>
      <c r="P12351">
        <v>0</v>
      </c>
      <c r="Q12351">
        <v>0</v>
      </c>
      <c r="R12351" t="s">
        <v>45111</v>
      </c>
      <c r="S12351" t="s">
        <v>45694</v>
      </c>
      <c r="T12351" t="s">
        <v>46945</v>
      </c>
      <c r="U12351" t="s">
        <v>57537</v>
      </c>
      <c r="W12351" t="s">
        <v>44747</v>
      </c>
      <c r="X12351" t="s">
        <v>45112</v>
      </c>
    </row>
    <row r="12352" spans="1:24">
      <c r="A12352">
        <f>HYPERLINK("https://www.philgeps.gov.ph/GEPSNONPILOT/Tender/SplashBidNoticeAbstractUI.aspx?menuIndex=3&amp;refID=7019284&amp;Result=3","7019284")</f>
        <v>0</v>
      </c>
      <c r="B12352" t="s">
        <v>2586</v>
      </c>
      <c r="C12352" t="s">
        <v>15005</v>
      </c>
      <c r="D12352" t="s">
        <v>18033</v>
      </c>
      <c r="E12352" t="s">
        <v>28797</v>
      </c>
      <c r="F12352" t="s">
        <v>31574</v>
      </c>
      <c r="G12352" t="s">
        <v>31582</v>
      </c>
      <c r="H12352" t="s">
        <v>31590</v>
      </c>
      <c r="I12352" t="s">
        <v>31605</v>
      </c>
      <c r="J12352" t="s">
        <v>31741</v>
      </c>
      <c r="K12352" t="s">
        <v>41190</v>
      </c>
      <c r="M12352" t="s">
        <v>44328</v>
      </c>
      <c r="N12352" t="s">
        <v>45095</v>
      </c>
      <c r="O12352" t="s">
        <v>45096</v>
      </c>
      <c r="P12352">
        <v>0</v>
      </c>
      <c r="Q12352">
        <v>1</v>
      </c>
      <c r="R12352" t="s">
        <v>45111</v>
      </c>
      <c r="S12352" t="s">
        <v>45694</v>
      </c>
      <c r="T12352" t="s">
        <v>47171</v>
      </c>
      <c r="U12352" t="s">
        <v>57546</v>
      </c>
      <c r="W12352" t="s">
        <v>44328</v>
      </c>
      <c r="X12352" t="s">
        <v>45112</v>
      </c>
    </row>
    <row r="12353" spans="1:24">
      <c r="A12353">
        <f>HYPERLINK("https://www.philgeps.gov.ph/GEPSNONPILOT/Tender/SplashBidNoticeAbstractUI.aspx?menuIndex=3&amp;refID=7019271&amp;Result=3","7019271")</f>
        <v>0</v>
      </c>
      <c r="B12353" t="s">
        <v>2359</v>
      </c>
      <c r="C12353" t="s">
        <v>15006</v>
      </c>
      <c r="D12353" t="s">
        <v>18078</v>
      </c>
      <c r="E12353" t="s">
        <v>28798</v>
      </c>
      <c r="F12353" t="s">
        <v>31574</v>
      </c>
      <c r="G12353" t="s">
        <v>31582</v>
      </c>
      <c r="H12353" t="s">
        <v>31591</v>
      </c>
      <c r="I12353" t="s">
        <v>8822</v>
      </c>
      <c r="J12353" t="s">
        <v>39337</v>
      </c>
      <c r="K12353" t="s">
        <v>41448</v>
      </c>
      <c r="M12353" t="s">
        <v>44751</v>
      </c>
      <c r="N12353" t="s">
        <v>45095</v>
      </c>
      <c r="O12353" t="s">
        <v>45096</v>
      </c>
      <c r="Q12353">
        <v>3</v>
      </c>
      <c r="R12353" t="s">
        <v>45111</v>
      </c>
      <c r="S12353" t="s">
        <v>45720</v>
      </c>
      <c r="T12353" t="s">
        <v>46955</v>
      </c>
      <c r="U12353" t="s">
        <v>57547</v>
      </c>
      <c r="W12353" t="s">
        <v>44751</v>
      </c>
      <c r="X12353" t="s">
        <v>45112</v>
      </c>
    </row>
    <row r="12354" spans="1:24">
      <c r="A12354">
        <f>HYPERLINK("https://www.philgeps.gov.ph/GEPSNONPILOT/Tender/SplashBidNoticeAbstractUI.aspx?menuIndex=3&amp;refID=7019342&amp;Result=3","7019342")</f>
        <v>0</v>
      </c>
      <c r="B12354" t="s">
        <v>2586</v>
      </c>
      <c r="C12354" t="s">
        <v>15007</v>
      </c>
      <c r="D12354" t="s">
        <v>18033</v>
      </c>
      <c r="E12354" t="s">
        <v>28799</v>
      </c>
      <c r="F12354" t="s">
        <v>31574</v>
      </c>
      <c r="G12354" t="s">
        <v>31582</v>
      </c>
      <c r="H12354" t="s">
        <v>31590</v>
      </c>
      <c r="I12354" t="s">
        <v>31605</v>
      </c>
      <c r="J12354" t="s">
        <v>39338</v>
      </c>
      <c r="K12354" t="s">
        <v>41190</v>
      </c>
      <c r="M12354" t="s">
        <v>44328</v>
      </c>
      <c r="N12354" t="s">
        <v>45095</v>
      </c>
      <c r="O12354" t="s">
        <v>45096</v>
      </c>
      <c r="P12354">
        <v>0</v>
      </c>
      <c r="Q12354">
        <v>4</v>
      </c>
      <c r="R12354" t="s">
        <v>45111</v>
      </c>
      <c r="S12354" t="s">
        <v>45694</v>
      </c>
      <c r="T12354" t="s">
        <v>47171</v>
      </c>
      <c r="U12354" t="s">
        <v>57548</v>
      </c>
      <c r="W12354" t="s">
        <v>44328</v>
      </c>
      <c r="X12354" t="s">
        <v>45112</v>
      </c>
    </row>
    <row r="12355" spans="1:24">
      <c r="A12355">
        <f>HYPERLINK("https://www.philgeps.gov.ph/GEPSNONPILOT/Tender/SplashBidNoticeAbstractUI.aspx?menuIndex=3&amp;refID=7019257&amp;Result=3","7019257")</f>
        <v>0</v>
      </c>
      <c r="B12355" t="s">
        <v>2586</v>
      </c>
      <c r="C12355" t="s">
        <v>15008</v>
      </c>
      <c r="D12355" t="s">
        <v>18033</v>
      </c>
      <c r="E12355" t="s">
        <v>28800</v>
      </c>
      <c r="F12355" t="s">
        <v>31574</v>
      </c>
      <c r="G12355" t="s">
        <v>31582</v>
      </c>
      <c r="H12355" t="s">
        <v>31590</v>
      </c>
      <c r="I12355" t="s">
        <v>31633</v>
      </c>
      <c r="J12355" t="s">
        <v>39339</v>
      </c>
      <c r="K12355" t="s">
        <v>41190</v>
      </c>
      <c r="M12355" t="s">
        <v>44328</v>
      </c>
      <c r="N12355" t="s">
        <v>45095</v>
      </c>
      <c r="O12355" t="s">
        <v>45096</v>
      </c>
      <c r="P12355">
        <v>0</v>
      </c>
      <c r="Q12355">
        <v>2</v>
      </c>
      <c r="R12355" t="s">
        <v>45111</v>
      </c>
      <c r="S12355" t="s">
        <v>45694</v>
      </c>
      <c r="T12355" t="s">
        <v>47171</v>
      </c>
      <c r="U12355" t="s">
        <v>57549</v>
      </c>
      <c r="W12355" t="s">
        <v>44328</v>
      </c>
      <c r="X12355" t="s">
        <v>45112</v>
      </c>
    </row>
    <row r="12356" spans="1:24">
      <c r="A12356">
        <f>HYPERLINK("https://www.philgeps.gov.ph/GEPSNONPILOT/Tender/SplashBidNoticeAbstractUI.aspx?menuIndex=3&amp;refID=7019263&amp;Result=3","7019263")</f>
        <v>0</v>
      </c>
      <c r="B12356" t="s">
        <v>2934</v>
      </c>
      <c r="C12356" t="s">
        <v>15009</v>
      </c>
      <c r="D12356" t="s">
        <v>18031</v>
      </c>
      <c r="E12356" t="s">
        <v>28801</v>
      </c>
      <c r="F12356" t="s">
        <v>31574</v>
      </c>
      <c r="G12356" t="s">
        <v>31582</v>
      </c>
      <c r="H12356" t="s">
        <v>31590</v>
      </c>
      <c r="I12356" t="s">
        <v>4046</v>
      </c>
      <c r="J12356" t="s">
        <v>39340</v>
      </c>
      <c r="K12356" t="s">
        <v>41210</v>
      </c>
      <c r="M12356" t="s">
        <v>44746</v>
      </c>
      <c r="N12356" t="s">
        <v>45095</v>
      </c>
      <c r="O12356" t="s">
        <v>45096</v>
      </c>
      <c r="P12356">
        <v>0</v>
      </c>
      <c r="Q12356">
        <v>1</v>
      </c>
      <c r="R12356" t="s">
        <v>45111</v>
      </c>
      <c r="S12356" t="s">
        <v>45694</v>
      </c>
      <c r="T12356" t="s">
        <v>46955</v>
      </c>
      <c r="U12356" t="s">
        <v>57534</v>
      </c>
      <c r="W12356" t="s">
        <v>44746</v>
      </c>
      <c r="X12356" t="s">
        <v>45112</v>
      </c>
    </row>
    <row r="12357" spans="1:24">
      <c r="A12357">
        <f>HYPERLINK("https://www.philgeps.gov.ph/GEPSNONPILOT/Tender/SplashBidNoticeAbstractUI.aspx?menuIndex=3&amp;refID=7019261&amp;Result=3","7019261")</f>
        <v>0</v>
      </c>
      <c r="B12357" t="s">
        <v>2935</v>
      </c>
      <c r="C12357" t="s">
        <v>15010</v>
      </c>
      <c r="D12357" t="s">
        <v>18066</v>
      </c>
      <c r="E12357" t="s">
        <v>28802</v>
      </c>
      <c r="F12357" t="s">
        <v>31574</v>
      </c>
      <c r="G12357" t="s">
        <v>31582</v>
      </c>
      <c r="H12357" t="s">
        <v>31590</v>
      </c>
      <c r="I12357" t="s">
        <v>31615</v>
      </c>
      <c r="J12357" t="s">
        <v>31771</v>
      </c>
      <c r="K12357" t="s">
        <v>41192</v>
      </c>
      <c r="M12357" t="s">
        <v>44747</v>
      </c>
      <c r="N12357" t="s">
        <v>45095</v>
      </c>
      <c r="O12357" t="s">
        <v>45096</v>
      </c>
      <c r="P12357">
        <v>0</v>
      </c>
      <c r="Q12357">
        <v>10</v>
      </c>
      <c r="R12357" t="s">
        <v>45111</v>
      </c>
      <c r="S12357" t="s">
        <v>45694</v>
      </c>
      <c r="T12357" t="s">
        <v>46945</v>
      </c>
      <c r="U12357" t="s">
        <v>57537</v>
      </c>
      <c r="W12357" t="s">
        <v>44747</v>
      </c>
      <c r="X12357" t="s">
        <v>45112</v>
      </c>
    </row>
    <row r="12358" spans="1:24">
      <c r="A12358">
        <f>HYPERLINK("https://www.philgeps.gov.ph/GEPSNONPILOT/Tender/SplashBidNoticeAbstractUI.aspx?menuIndex=3&amp;refID=7019259&amp;Result=3","7019259")</f>
        <v>0</v>
      </c>
      <c r="B12358" t="s">
        <v>1040</v>
      </c>
      <c r="C12358" t="s">
        <v>15011</v>
      </c>
      <c r="D12358" t="s">
        <v>18066</v>
      </c>
      <c r="E12358" t="s">
        <v>28803</v>
      </c>
      <c r="F12358" t="s">
        <v>31574</v>
      </c>
      <c r="G12358" t="s">
        <v>31582</v>
      </c>
      <c r="H12358" t="s">
        <v>31590</v>
      </c>
      <c r="I12358" t="s">
        <v>3539</v>
      </c>
      <c r="J12358" t="s">
        <v>39341</v>
      </c>
      <c r="K12358" t="s">
        <v>41225</v>
      </c>
      <c r="M12358" t="s">
        <v>42583</v>
      </c>
      <c r="N12358" t="s">
        <v>45095</v>
      </c>
      <c r="O12358" t="s">
        <v>45096</v>
      </c>
      <c r="P12358">
        <v>0</v>
      </c>
      <c r="Q12358">
        <v>0</v>
      </c>
      <c r="R12358" t="s">
        <v>45111</v>
      </c>
      <c r="S12358" t="s">
        <v>45694</v>
      </c>
      <c r="T12358" t="s">
        <v>46955</v>
      </c>
      <c r="U12358" t="s">
        <v>57550</v>
      </c>
      <c r="W12358" t="s">
        <v>42583</v>
      </c>
      <c r="X12358" t="s">
        <v>45112</v>
      </c>
    </row>
    <row r="12359" spans="1:24">
      <c r="A12359">
        <f>HYPERLINK("https://www.philgeps.gov.ph/GEPSNONPILOT/Tender/SplashBidNoticeAbstractUI.aspx?menuIndex=3&amp;refID=7019253&amp;Result=3","7019253")</f>
        <v>0</v>
      </c>
      <c r="B12359" t="s">
        <v>2934</v>
      </c>
      <c r="C12359" t="s">
        <v>15012</v>
      </c>
      <c r="D12359" t="s">
        <v>18031</v>
      </c>
      <c r="E12359" t="s">
        <v>28804</v>
      </c>
      <c r="F12359" t="s">
        <v>31574</v>
      </c>
      <c r="G12359" t="s">
        <v>31582</v>
      </c>
      <c r="H12359" t="s">
        <v>31590</v>
      </c>
      <c r="I12359" t="s">
        <v>7185</v>
      </c>
      <c r="J12359" t="s">
        <v>39342</v>
      </c>
      <c r="K12359" t="s">
        <v>41210</v>
      </c>
      <c r="M12359" t="s">
        <v>44746</v>
      </c>
      <c r="N12359" t="s">
        <v>45095</v>
      </c>
      <c r="O12359" t="s">
        <v>45096</v>
      </c>
      <c r="P12359">
        <v>0</v>
      </c>
      <c r="Q12359">
        <v>9</v>
      </c>
      <c r="R12359" t="s">
        <v>45111</v>
      </c>
      <c r="S12359" t="s">
        <v>45694</v>
      </c>
      <c r="T12359" t="s">
        <v>46955</v>
      </c>
      <c r="U12359" t="s">
        <v>57534</v>
      </c>
      <c r="W12359" t="s">
        <v>44746</v>
      </c>
      <c r="X12359" t="s">
        <v>45112</v>
      </c>
    </row>
    <row r="12360" spans="1:24">
      <c r="A12360">
        <f>HYPERLINK("https://www.philgeps.gov.ph/GEPSNONPILOT/Tender/SplashBidNoticeAbstractUI.aspx?menuIndex=3&amp;refID=7019411&amp;Result=3","7019411")</f>
        <v>0</v>
      </c>
      <c r="B12360" t="s">
        <v>1443</v>
      </c>
      <c r="C12360" t="s">
        <v>15013</v>
      </c>
      <c r="D12360" t="s">
        <v>18074</v>
      </c>
      <c r="E12360" t="s">
        <v>28805</v>
      </c>
      <c r="F12360" t="s">
        <v>31574</v>
      </c>
      <c r="G12360" t="s">
        <v>31582</v>
      </c>
      <c r="H12360" t="s">
        <v>31591</v>
      </c>
      <c r="I12360" t="s">
        <v>8822</v>
      </c>
      <c r="J12360" t="s">
        <v>39343</v>
      </c>
      <c r="K12360" t="s">
        <v>41342</v>
      </c>
      <c r="M12360" t="s">
        <v>43523</v>
      </c>
      <c r="N12360" t="s">
        <v>45095</v>
      </c>
      <c r="O12360" t="s">
        <v>45096</v>
      </c>
      <c r="P12360">
        <v>0</v>
      </c>
      <c r="Q12360">
        <v>2</v>
      </c>
      <c r="R12360" t="s">
        <v>45111</v>
      </c>
      <c r="S12360" t="s">
        <v>45694</v>
      </c>
      <c r="T12360" t="s">
        <v>47086</v>
      </c>
      <c r="U12360" t="s">
        <v>57551</v>
      </c>
      <c r="V12360" t="s">
        <v>60477</v>
      </c>
      <c r="W12360" t="s">
        <v>43523</v>
      </c>
      <c r="X12360" t="s">
        <v>45112</v>
      </c>
    </row>
    <row r="12361" spans="1:24">
      <c r="A12361">
        <f>HYPERLINK("https://www.philgeps.gov.ph/GEPSNONPILOT/Tender/SplashBidNoticeAbstractUI.aspx?menuIndex=3&amp;refID=7019405&amp;Result=3","7019405")</f>
        <v>0</v>
      </c>
      <c r="B12361" t="s">
        <v>1789</v>
      </c>
      <c r="C12361" t="s">
        <v>15014</v>
      </c>
      <c r="D12361" t="s">
        <v>18033</v>
      </c>
      <c r="E12361" t="s">
        <v>28806</v>
      </c>
      <c r="F12361" t="s">
        <v>31574</v>
      </c>
      <c r="G12361" t="s">
        <v>31582</v>
      </c>
      <c r="H12361" t="s">
        <v>31590</v>
      </c>
      <c r="I12361" t="s">
        <v>4327</v>
      </c>
      <c r="J12361" t="s">
        <v>39344</v>
      </c>
      <c r="K12361" t="s">
        <v>41190</v>
      </c>
      <c r="M12361" t="s">
        <v>43420</v>
      </c>
      <c r="N12361" t="s">
        <v>45095</v>
      </c>
      <c r="O12361" t="s">
        <v>45096</v>
      </c>
      <c r="P12361">
        <v>0</v>
      </c>
      <c r="Q12361">
        <v>2</v>
      </c>
      <c r="R12361" t="s">
        <v>45111</v>
      </c>
      <c r="S12361" t="s">
        <v>45694</v>
      </c>
      <c r="T12361" t="s">
        <v>47417</v>
      </c>
      <c r="U12361" t="s">
        <v>52083</v>
      </c>
      <c r="W12361" t="s">
        <v>61717</v>
      </c>
      <c r="X12361" t="s">
        <v>45112</v>
      </c>
    </row>
    <row r="12362" spans="1:24">
      <c r="A12362">
        <f>HYPERLINK("https://www.philgeps.gov.ph/GEPSNONPILOT/Tender/SplashBidNoticeAbstractUI.aspx?menuIndex=3&amp;refID=7019348&amp;Result=3","7019348")</f>
        <v>0</v>
      </c>
      <c r="B12362" t="s">
        <v>1040</v>
      </c>
      <c r="C12362" t="s">
        <v>15015</v>
      </c>
      <c r="D12362" t="s">
        <v>18066</v>
      </c>
      <c r="E12362" t="s">
        <v>28807</v>
      </c>
      <c r="F12362" t="s">
        <v>31574</v>
      </c>
      <c r="G12362" t="s">
        <v>31582</v>
      </c>
      <c r="H12362" t="s">
        <v>31590</v>
      </c>
      <c r="I12362" t="s">
        <v>3487</v>
      </c>
      <c r="J12362" t="s">
        <v>39345</v>
      </c>
      <c r="K12362" t="s">
        <v>41186</v>
      </c>
      <c r="M12362" t="s">
        <v>42583</v>
      </c>
      <c r="N12362" t="s">
        <v>45095</v>
      </c>
      <c r="O12362" t="s">
        <v>45096</v>
      </c>
      <c r="P12362">
        <v>0</v>
      </c>
      <c r="Q12362">
        <v>5</v>
      </c>
      <c r="R12362" t="s">
        <v>45111</v>
      </c>
      <c r="S12362" t="s">
        <v>45694</v>
      </c>
      <c r="T12362" t="s">
        <v>46955</v>
      </c>
      <c r="U12362" t="s">
        <v>57552</v>
      </c>
      <c r="V12362" t="s">
        <v>60439</v>
      </c>
      <c r="W12362" t="s">
        <v>42583</v>
      </c>
      <c r="X12362" t="s">
        <v>45112</v>
      </c>
    </row>
    <row r="12363" spans="1:24">
      <c r="A12363">
        <f>HYPERLINK("https://www.philgeps.gov.ph/GEPSNONPILOT/Tender/SplashBidNoticeAbstractUI.aspx?menuIndex=3&amp;refID=7019243&amp;Result=3","7019243")</f>
        <v>0</v>
      </c>
      <c r="B12363" t="s">
        <v>2934</v>
      </c>
      <c r="C12363" t="s">
        <v>15016</v>
      </c>
      <c r="D12363" t="s">
        <v>18031</v>
      </c>
      <c r="E12363" t="s">
        <v>28808</v>
      </c>
      <c r="F12363" t="s">
        <v>31574</v>
      </c>
      <c r="G12363" t="s">
        <v>31582</v>
      </c>
      <c r="H12363" t="s">
        <v>31590</v>
      </c>
      <c r="I12363" t="s">
        <v>8258</v>
      </c>
      <c r="J12363" t="s">
        <v>39346</v>
      </c>
      <c r="K12363" t="s">
        <v>41210</v>
      </c>
      <c r="M12363" t="s">
        <v>44746</v>
      </c>
      <c r="N12363" t="s">
        <v>45095</v>
      </c>
      <c r="O12363" t="s">
        <v>45096</v>
      </c>
      <c r="P12363">
        <v>0</v>
      </c>
      <c r="Q12363">
        <v>22</v>
      </c>
      <c r="R12363" t="s">
        <v>45111</v>
      </c>
      <c r="S12363" t="s">
        <v>45694</v>
      </c>
      <c r="T12363" t="s">
        <v>46955</v>
      </c>
      <c r="U12363" t="s">
        <v>57534</v>
      </c>
      <c r="W12363" t="s">
        <v>44746</v>
      </c>
      <c r="X12363" t="s">
        <v>45112</v>
      </c>
    </row>
    <row r="12364" spans="1:24">
      <c r="A12364">
        <f>HYPERLINK("https://www.philgeps.gov.ph/GEPSNONPILOT/Tender/SplashBidNoticeAbstractUI.aspx?menuIndex=3&amp;refID=7019437&amp;Result=3","7019437")</f>
        <v>0</v>
      </c>
      <c r="B12364" t="s">
        <v>2586</v>
      </c>
      <c r="C12364" t="s">
        <v>15017</v>
      </c>
      <c r="D12364" t="s">
        <v>18033</v>
      </c>
      <c r="E12364" t="s">
        <v>28809</v>
      </c>
      <c r="F12364" t="s">
        <v>31574</v>
      </c>
      <c r="G12364" t="s">
        <v>31582</v>
      </c>
      <c r="H12364" t="s">
        <v>31590</v>
      </c>
      <c r="I12364" t="s">
        <v>31621</v>
      </c>
      <c r="J12364" t="s">
        <v>31947</v>
      </c>
      <c r="K12364" t="s">
        <v>41190</v>
      </c>
      <c r="M12364" t="s">
        <v>44328</v>
      </c>
      <c r="N12364" t="s">
        <v>45095</v>
      </c>
      <c r="O12364" t="s">
        <v>45096</v>
      </c>
      <c r="P12364">
        <v>0</v>
      </c>
      <c r="Q12364">
        <v>1</v>
      </c>
      <c r="R12364" t="s">
        <v>45111</v>
      </c>
      <c r="S12364" t="s">
        <v>45694</v>
      </c>
      <c r="T12364" t="s">
        <v>47171</v>
      </c>
      <c r="U12364" t="s">
        <v>57553</v>
      </c>
      <c r="W12364" t="s">
        <v>44328</v>
      </c>
      <c r="X12364" t="s">
        <v>45112</v>
      </c>
    </row>
    <row r="12365" spans="1:24">
      <c r="A12365">
        <f>HYPERLINK("https://www.philgeps.gov.ph/GEPSNONPILOT/Tender/SplashBidNoticeAbstractUI.aspx?menuIndex=3&amp;refID=7019358&amp;Result=3","7019358")</f>
        <v>0</v>
      </c>
      <c r="B12365" t="s">
        <v>82</v>
      </c>
      <c r="C12365" t="s">
        <v>15018</v>
      </c>
      <c r="D12365" t="s">
        <v>18058</v>
      </c>
      <c r="E12365" t="s">
        <v>28810</v>
      </c>
      <c r="F12365" t="s">
        <v>31574</v>
      </c>
      <c r="G12365" t="s">
        <v>31582</v>
      </c>
      <c r="H12365" t="s">
        <v>31591</v>
      </c>
      <c r="I12365" t="s">
        <v>8822</v>
      </c>
      <c r="J12365" t="s">
        <v>39347</v>
      </c>
      <c r="K12365" t="s">
        <v>41198</v>
      </c>
      <c r="M12365" t="s">
        <v>41566</v>
      </c>
      <c r="N12365" t="s">
        <v>45095</v>
      </c>
      <c r="O12365" t="s">
        <v>45096</v>
      </c>
      <c r="P12365">
        <v>0</v>
      </c>
      <c r="Q12365">
        <v>3</v>
      </c>
      <c r="R12365" t="s">
        <v>45111</v>
      </c>
      <c r="S12365" t="s">
        <v>45694</v>
      </c>
      <c r="T12365" t="s">
        <v>46937</v>
      </c>
      <c r="U12365" t="s">
        <v>57554</v>
      </c>
      <c r="W12365" t="s">
        <v>41566</v>
      </c>
      <c r="X12365" t="s">
        <v>45112</v>
      </c>
    </row>
    <row r="12366" spans="1:24">
      <c r="A12366">
        <f>HYPERLINK("https://www.philgeps.gov.ph/GEPSNONPILOT/Tender/SplashBidNoticeAbstractUI.aspx?menuIndex=3&amp;refID=7019240&amp;Result=3","7019240")</f>
        <v>0</v>
      </c>
      <c r="B12366" t="s">
        <v>2093</v>
      </c>
      <c r="C12366" t="s">
        <v>15019</v>
      </c>
      <c r="D12366" t="s">
        <v>18053</v>
      </c>
      <c r="E12366" t="s">
        <v>28811</v>
      </c>
      <c r="F12366" t="s">
        <v>31574</v>
      </c>
      <c r="G12366" t="s">
        <v>31582</v>
      </c>
      <c r="H12366" t="s">
        <v>31591</v>
      </c>
      <c r="I12366" t="s">
        <v>8822</v>
      </c>
      <c r="J12366" t="s">
        <v>39348</v>
      </c>
      <c r="K12366" t="s">
        <v>41200</v>
      </c>
      <c r="M12366" t="s">
        <v>43770</v>
      </c>
      <c r="N12366" t="s">
        <v>45095</v>
      </c>
      <c r="O12366" t="s">
        <v>45096</v>
      </c>
      <c r="P12366">
        <v>0</v>
      </c>
      <c r="Q12366">
        <v>1</v>
      </c>
      <c r="R12366" t="s">
        <v>45111</v>
      </c>
      <c r="S12366" t="s">
        <v>45694</v>
      </c>
      <c r="T12366" t="s">
        <v>47003</v>
      </c>
      <c r="U12366" t="s">
        <v>57555</v>
      </c>
      <c r="V12366" t="s">
        <v>61194</v>
      </c>
      <c r="W12366" t="s">
        <v>43770</v>
      </c>
      <c r="X12366" t="s">
        <v>45112</v>
      </c>
    </row>
    <row r="12367" spans="1:24">
      <c r="A12367">
        <f>HYPERLINK("https://www.philgeps.gov.ph/GEPSNONPILOT/Tender/SplashBidNoticeAbstractUI.aspx?menuIndex=3&amp;refID=7019412&amp;Result=3","7019412")</f>
        <v>0</v>
      </c>
      <c r="B12367" t="s">
        <v>82</v>
      </c>
      <c r="C12367" t="s">
        <v>15020</v>
      </c>
      <c r="D12367" t="s">
        <v>18058</v>
      </c>
      <c r="E12367" t="s">
        <v>28812</v>
      </c>
      <c r="F12367" t="s">
        <v>31574</v>
      </c>
      <c r="G12367" t="s">
        <v>31582</v>
      </c>
      <c r="H12367" t="s">
        <v>31590</v>
      </c>
      <c r="I12367" t="s">
        <v>31672</v>
      </c>
      <c r="J12367" t="s">
        <v>39349</v>
      </c>
      <c r="K12367" t="s">
        <v>41186</v>
      </c>
      <c r="M12367" t="s">
        <v>41566</v>
      </c>
      <c r="N12367" t="s">
        <v>45095</v>
      </c>
      <c r="O12367" t="s">
        <v>45096</v>
      </c>
      <c r="P12367">
        <v>0</v>
      </c>
      <c r="Q12367">
        <v>6</v>
      </c>
      <c r="R12367" t="s">
        <v>45111</v>
      </c>
      <c r="S12367" t="s">
        <v>45694</v>
      </c>
      <c r="T12367" t="s">
        <v>47391</v>
      </c>
      <c r="U12367" t="s">
        <v>47584</v>
      </c>
      <c r="V12367" t="s">
        <v>61195</v>
      </c>
      <c r="W12367" t="s">
        <v>41566</v>
      </c>
      <c r="X12367" t="s">
        <v>45112</v>
      </c>
    </row>
    <row r="12368" spans="1:24">
      <c r="A12368">
        <f>HYPERLINK("https://www.philgeps.gov.ph/GEPSNONPILOT/Tender/SplashBidNoticeAbstractUI.aspx?menuIndex=3&amp;refID=7019355&amp;Result=3","7019355")</f>
        <v>0</v>
      </c>
      <c r="B12368" t="s">
        <v>162</v>
      </c>
      <c r="C12368" t="s">
        <v>15021</v>
      </c>
      <c r="D12368" t="s">
        <v>18067</v>
      </c>
      <c r="E12368" t="s">
        <v>28813</v>
      </c>
      <c r="F12368" t="s">
        <v>31574</v>
      </c>
      <c r="G12368" t="s">
        <v>31582</v>
      </c>
      <c r="H12368" t="s">
        <v>31590</v>
      </c>
      <c r="I12368" t="s">
        <v>31615</v>
      </c>
      <c r="J12368" t="s">
        <v>35794</v>
      </c>
      <c r="K12368" t="s">
        <v>41192</v>
      </c>
      <c r="M12368" t="s">
        <v>41646</v>
      </c>
      <c r="N12368" t="s">
        <v>45095</v>
      </c>
      <c r="O12368" t="s">
        <v>45096</v>
      </c>
      <c r="P12368">
        <v>0</v>
      </c>
      <c r="Q12368">
        <v>7</v>
      </c>
      <c r="R12368" t="s">
        <v>45111</v>
      </c>
      <c r="S12368" t="s">
        <v>45694</v>
      </c>
      <c r="T12368" t="s">
        <v>46926</v>
      </c>
      <c r="U12368" t="s">
        <v>57556</v>
      </c>
      <c r="W12368" t="s">
        <v>41646</v>
      </c>
      <c r="X12368" t="s">
        <v>45112</v>
      </c>
    </row>
    <row r="12369" spans="1:24">
      <c r="A12369">
        <f>HYPERLINK("https://www.philgeps.gov.ph/GEPSNONPILOT/Tender/SplashBidNoticeAbstractUI.aspx?menuIndex=3&amp;refID=7019452&amp;Result=3","7019452")</f>
        <v>0</v>
      </c>
      <c r="B12369" t="s">
        <v>1443</v>
      </c>
      <c r="C12369" t="s">
        <v>15022</v>
      </c>
      <c r="D12369" t="s">
        <v>18074</v>
      </c>
      <c r="E12369" t="s">
        <v>28814</v>
      </c>
      <c r="F12369" t="s">
        <v>31574</v>
      </c>
      <c r="G12369" t="s">
        <v>31582</v>
      </c>
      <c r="H12369" t="s">
        <v>31591</v>
      </c>
      <c r="I12369" t="s">
        <v>8822</v>
      </c>
      <c r="J12369" t="s">
        <v>39350</v>
      </c>
      <c r="K12369" t="s">
        <v>41267</v>
      </c>
      <c r="M12369" t="s">
        <v>43523</v>
      </c>
      <c r="N12369" t="s">
        <v>45095</v>
      </c>
      <c r="O12369" t="s">
        <v>45096</v>
      </c>
      <c r="P12369">
        <v>0</v>
      </c>
      <c r="Q12369">
        <v>0</v>
      </c>
      <c r="R12369" t="s">
        <v>45111</v>
      </c>
      <c r="S12369" t="s">
        <v>45694</v>
      </c>
      <c r="T12369" t="s">
        <v>47086</v>
      </c>
      <c r="U12369" t="s">
        <v>57557</v>
      </c>
      <c r="V12369" t="s">
        <v>60477</v>
      </c>
      <c r="W12369" t="s">
        <v>43523</v>
      </c>
      <c r="X12369" t="s">
        <v>45112</v>
      </c>
    </row>
    <row r="12370" spans="1:24">
      <c r="A12370">
        <f>HYPERLINK("https://www.philgeps.gov.ph/GEPSNONPILOT/Tender/SplashBidNoticeAbstractUI.aspx?menuIndex=3&amp;refID=7019450&amp;Result=3","7019450")</f>
        <v>0</v>
      </c>
      <c r="B12370" t="s">
        <v>1488</v>
      </c>
      <c r="C12370" t="s">
        <v>15023</v>
      </c>
      <c r="D12370" t="s">
        <v>18088</v>
      </c>
      <c r="E12370" t="s">
        <v>21914</v>
      </c>
      <c r="F12370" t="s">
        <v>31574</v>
      </c>
      <c r="G12370" t="s">
        <v>31582</v>
      </c>
      <c r="H12370" t="s">
        <v>31591</v>
      </c>
      <c r="I12370" t="s">
        <v>8822</v>
      </c>
      <c r="J12370" t="s">
        <v>32530</v>
      </c>
      <c r="K12370" t="s">
        <v>41184</v>
      </c>
      <c r="M12370" t="s">
        <v>43073</v>
      </c>
      <c r="N12370" t="s">
        <v>45095</v>
      </c>
      <c r="O12370" t="s">
        <v>45096</v>
      </c>
      <c r="P12370">
        <v>0</v>
      </c>
      <c r="Q12370">
        <v>1</v>
      </c>
      <c r="R12370" t="s">
        <v>45111</v>
      </c>
      <c r="S12370" t="s">
        <v>45694</v>
      </c>
      <c r="T12370" t="s">
        <v>46926</v>
      </c>
      <c r="U12370" t="s">
        <v>57558</v>
      </c>
      <c r="V12370" t="s">
        <v>61196</v>
      </c>
      <c r="W12370" t="s">
        <v>43073</v>
      </c>
      <c r="X12370" t="s">
        <v>45112</v>
      </c>
    </row>
    <row r="12371" spans="1:24">
      <c r="A12371">
        <f>HYPERLINK("https://www.philgeps.gov.ph/GEPSNONPILOT/Tender/SplashBidNoticeAbstractUI.aspx?menuIndex=3&amp;refID=7019471&amp;Result=3","7019471")</f>
        <v>0</v>
      </c>
      <c r="B12371" t="s">
        <v>546</v>
      </c>
      <c r="C12371" t="s">
        <v>15024</v>
      </c>
      <c r="D12371" t="s">
        <v>18055</v>
      </c>
      <c r="E12371" t="s">
        <v>28815</v>
      </c>
      <c r="F12371" t="s">
        <v>31574</v>
      </c>
      <c r="G12371" t="s">
        <v>31582</v>
      </c>
      <c r="H12371" t="s">
        <v>31591</v>
      </c>
      <c r="I12371" t="s">
        <v>8822</v>
      </c>
      <c r="J12371" t="s">
        <v>31741</v>
      </c>
      <c r="K12371" t="s">
        <v>41196</v>
      </c>
      <c r="M12371" t="s">
        <v>42043</v>
      </c>
      <c r="N12371" t="s">
        <v>45095</v>
      </c>
      <c r="O12371" t="s">
        <v>45096</v>
      </c>
      <c r="P12371">
        <v>0</v>
      </c>
      <c r="Q12371">
        <v>4</v>
      </c>
      <c r="R12371" t="s">
        <v>45111</v>
      </c>
      <c r="S12371" t="s">
        <v>45694</v>
      </c>
      <c r="T12371" t="s">
        <v>47159</v>
      </c>
      <c r="U12371" t="s">
        <v>57559</v>
      </c>
      <c r="V12371" t="s">
        <v>61197</v>
      </c>
      <c r="W12371" t="s">
        <v>42043</v>
      </c>
      <c r="X12371" t="s">
        <v>45112</v>
      </c>
    </row>
    <row r="12372" spans="1:24">
      <c r="A12372">
        <f>HYPERLINK("https://www.philgeps.gov.ph/GEPSNONPILOT/Tender/SplashBidNoticeAbstractUI.aspx?menuIndex=3&amp;refID=7019487&amp;Result=3","7019487")</f>
        <v>0</v>
      </c>
      <c r="B12372" t="s">
        <v>1040</v>
      </c>
      <c r="C12372" t="s">
        <v>15025</v>
      </c>
      <c r="D12372" t="s">
        <v>18066</v>
      </c>
      <c r="E12372" t="s">
        <v>28816</v>
      </c>
      <c r="F12372" t="s">
        <v>31574</v>
      </c>
      <c r="G12372" t="s">
        <v>31582</v>
      </c>
      <c r="H12372" t="s">
        <v>31590</v>
      </c>
      <c r="I12372" t="s">
        <v>31644</v>
      </c>
      <c r="J12372" t="s">
        <v>36698</v>
      </c>
      <c r="K12372" t="s">
        <v>41186</v>
      </c>
      <c r="M12372" t="s">
        <v>42583</v>
      </c>
      <c r="N12372" t="s">
        <v>45095</v>
      </c>
      <c r="O12372" t="s">
        <v>45096</v>
      </c>
      <c r="P12372">
        <v>0</v>
      </c>
      <c r="Q12372">
        <v>5</v>
      </c>
      <c r="R12372" t="s">
        <v>45111</v>
      </c>
      <c r="S12372" t="s">
        <v>45694</v>
      </c>
      <c r="T12372" t="s">
        <v>46955</v>
      </c>
      <c r="U12372" t="s">
        <v>57560</v>
      </c>
      <c r="V12372" t="s">
        <v>60439</v>
      </c>
      <c r="W12372" t="s">
        <v>42583</v>
      </c>
      <c r="X12372" t="s">
        <v>45112</v>
      </c>
    </row>
    <row r="12373" spans="1:24">
      <c r="A12373">
        <f>HYPERLINK("https://www.philgeps.gov.ph/GEPSNONPILOT/Tender/SplashBidNoticeAbstractUI.aspx?menuIndex=3&amp;refID=7019382&amp;Result=3","7019382")</f>
        <v>0</v>
      </c>
      <c r="B12373" t="s">
        <v>2359</v>
      </c>
      <c r="C12373" t="s">
        <v>15026</v>
      </c>
      <c r="D12373" t="s">
        <v>18078</v>
      </c>
      <c r="E12373" t="s">
        <v>28817</v>
      </c>
      <c r="F12373" t="s">
        <v>31574</v>
      </c>
      <c r="G12373" t="s">
        <v>31582</v>
      </c>
      <c r="H12373" t="s">
        <v>31591</v>
      </c>
      <c r="I12373" t="s">
        <v>8822</v>
      </c>
      <c r="J12373" t="s">
        <v>39351</v>
      </c>
      <c r="K12373" t="s">
        <v>41324</v>
      </c>
      <c r="M12373" t="s">
        <v>44751</v>
      </c>
      <c r="N12373" t="s">
        <v>45095</v>
      </c>
      <c r="O12373" t="s">
        <v>45096</v>
      </c>
      <c r="P12373">
        <v>0</v>
      </c>
      <c r="Q12373">
        <v>4</v>
      </c>
      <c r="R12373" t="s">
        <v>45111</v>
      </c>
      <c r="S12373" t="s">
        <v>45694</v>
      </c>
      <c r="T12373" t="s">
        <v>46955</v>
      </c>
      <c r="U12373" t="s">
        <v>57561</v>
      </c>
      <c r="W12373" t="s">
        <v>44751</v>
      </c>
      <c r="X12373" t="s">
        <v>45112</v>
      </c>
    </row>
    <row r="12374" spans="1:24">
      <c r="A12374">
        <f>HYPERLINK("https://www.philgeps.gov.ph/GEPSNONPILOT/Tender/SplashBidNoticeAbstractUI.aspx?menuIndex=3&amp;refID=7019463&amp;Result=3","7019463")</f>
        <v>0</v>
      </c>
      <c r="B12374" t="s">
        <v>1443</v>
      </c>
      <c r="C12374" t="s">
        <v>15027</v>
      </c>
      <c r="D12374" t="s">
        <v>18074</v>
      </c>
      <c r="E12374" t="s">
        <v>28818</v>
      </c>
      <c r="F12374" t="s">
        <v>31574</v>
      </c>
      <c r="G12374" t="s">
        <v>31582</v>
      </c>
      <c r="H12374" t="s">
        <v>31591</v>
      </c>
      <c r="I12374" t="s">
        <v>8822</v>
      </c>
      <c r="J12374" t="s">
        <v>38649</v>
      </c>
      <c r="K12374" t="s">
        <v>41198</v>
      </c>
      <c r="M12374" t="s">
        <v>43523</v>
      </c>
      <c r="N12374" t="s">
        <v>45095</v>
      </c>
      <c r="O12374" t="s">
        <v>45096</v>
      </c>
      <c r="P12374">
        <v>0</v>
      </c>
      <c r="Q12374">
        <v>0</v>
      </c>
      <c r="R12374" t="s">
        <v>45111</v>
      </c>
      <c r="S12374" t="s">
        <v>45694</v>
      </c>
      <c r="T12374" t="s">
        <v>47086</v>
      </c>
      <c r="U12374" t="s">
        <v>57562</v>
      </c>
      <c r="V12374" t="s">
        <v>60477</v>
      </c>
      <c r="W12374" t="s">
        <v>43523</v>
      </c>
      <c r="X12374" t="s">
        <v>45112</v>
      </c>
    </row>
    <row r="12375" spans="1:24">
      <c r="A12375">
        <f>HYPERLINK("https://www.philgeps.gov.ph/GEPSNONPILOT/Tender/SplashBidNoticeAbstractUI.aspx?menuIndex=3&amp;refID=7019427&amp;Result=3","7019427")</f>
        <v>0</v>
      </c>
      <c r="B12375" t="s">
        <v>1536</v>
      </c>
      <c r="C12375" t="s">
        <v>15028</v>
      </c>
      <c r="D12375" t="s">
        <v>18059</v>
      </c>
      <c r="E12375" t="s">
        <v>28819</v>
      </c>
      <c r="F12375" t="s">
        <v>31574</v>
      </c>
      <c r="G12375" t="s">
        <v>31582</v>
      </c>
      <c r="H12375" t="s">
        <v>31590</v>
      </c>
      <c r="I12375" t="s">
        <v>8258</v>
      </c>
      <c r="J12375" t="s">
        <v>39352</v>
      </c>
      <c r="K12375" t="s">
        <v>41196</v>
      </c>
      <c r="M12375" t="s">
        <v>43128</v>
      </c>
      <c r="N12375" t="s">
        <v>45095</v>
      </c>
      <c r="O12375" t="s">
        <v>45096</v>
      </c>
      <c r="P12375">
        <v>0</v>
      </c>
      <c r="Q12375">
        <v>7</v>
      </c>
      <c r="R12375" t="s">
        <v>45111</v>
      </c>
      <c r="S12375" t="s">
        <v>45694</v>
      </c>
      <c r="T12375" t="s">
        <v>46926</v>
      </c>
      <c r="U12375" t="s">
        <v>57563</v>
      </c>
      <c r="W12375" t="s">
        <v>43128</v>
      </c>
      <c r="X12375" t="s">
        <v>45112</v>
      </c>
    </row>
    <row r="12376" spans="1:24">
      <c r="A12376">
        <f>HYPERLINK("https://www.philgeps.gov.ph/GEPSNONPILOT/Tender/SplashBidNoticeAbstractUI.aspx?menuIndex=3&amp;refID=7019486&amp;Result=3","7019486")</f>
        <v>0</v>
      </c>
      <c r="B12376" t="s">
        <v>1443</v>
      </c>
      <c r="C12376" t="s">
        <v>15029</v>
      </c>
      <c r="D12376" t="s">
        <v>18074</v>
      </c>
      <c r="E12376" t="s">
        <v>28820</v>
      </c>
      <c r="F12376" t="s">
        <v>31574</v>
      </c>
      <c r="G12376" t="s">
        <v>31582</v>
      </c>
      <c r="H12376" t="s">
        <v>31591</v>
      </c>
      <c r="I12376" t="s">
        <v>8822</v>
      </c>
      <c r="J12376" t="s">
        <v>39353</v>
      </c>
      <c r="K12376" t="s">
        <v>41189</v>
      </c>
      <c r="M12376" t="s">
        <v>43523</v>
      </c>
      <c r="N12376" t="s">
        <v>45095</v>
      </c>
      <c r="O12376" t="s">
        <v>45096</v>
      </c>
      <c r="P12376">
        <v>0</v>
      </c>
      <c r="Q12376">
        <v>1</v>
      </c>
      <c r="R12376" t="s">
        <v>45111</v>
      </c>
      <c r="S12376" t="s">
        <v>45694</v>
      </c>
      <c r="T12376" t="s">
        <v>47086</v>
      </c>
      <c r="U12376" t="s">
        <v>57564</v>
      </c>
      <c r="V12376" t="s">
        <v>60477</v>
      </c>
      <c r="W12376" t="s">
        <v>43523</v>
      </c>
      <c r="X12376" t="s">
        <v>45112</v>
      </c>
    </row>
    <row r="12377" spans="1:24">
      <c r="A12377">
        <f>HYPERLINK("https://www.philgeps.gov.ph/GEPSNONPILOT/Tender/SplashBidNoticeAbstractUI.aspx?menuIndex=3&amp;refID=7019367&amp;Result=3","7019367")</f>
        <v>0</v>
      </c>
      <c r="B12377" t="s">
        <v>2093</v>
      </c>
      <c r="C12377" t="s">
        <v>15030</v>
      </c>
      <c r="D12377" t="s">
        <v>18053</v>
      </c>
      <c r="E12377" t="s">
        <v>28821</v>
      </c>
      <c r="F12377" t="s">
        <v>31574</v>
      </c>
      <c r="G12377" t="s">
        <v>31582</v>
      </c>
      <c r="H12377" t="s">
        <v>31591</v>
      </c>
      <c r="I12377" t="s">
        <v>8822</v>
      </c>
      <c r="J12377" t="s">
        <v>39354</v>
      </c>
      <c r="K12377" t="s">
        <v>41192</v>
      </c>
      <c r="M12377" t="s">
        <v>43770</v>
      </c>
      <c r="N12377" t="s">
        <v>45095</v>
      </c>
      <c r="O12377" t="s">
        <v>45096</v>
      </c>
      <c r="P12377">
        <v>0</v>
      </c>
      <c r="Q12377">
        <v>0</v>
      </c>
      <c r="R12377" t="s">
        <v>45111</v>
      </c>
      <c r="S12377" t="s">
        <v>45694</v>
      </c>
      <c r="T12377" t="s">
        <v>47003</v>
      </c>
      <c r="U12377" t="s">
        <v>57565</v>
      </c>
      <c r="V12377" t="s">
        <v>61198</v>
      </c>
      <c r="W12377" t="s">
        <v>43770</v>
      </c>
      <c r="X12377" t="s">
        <v>45112</v>
      </c>
    </row>
    <row r="12378" spans="1:24">
      <c r="A12378">
        <f>HYPERLINK("https://www.philgeps.gov.ph/GEPSNONPILOT/Tender/SplashBidNoticeAbstractUI.aspx?menuIndex=3&amp;refID=7019443&amp;Result=3","7019443")</f>
        <v>0</v>
      </c>
      <c r="B12378" t="s">
        <v>82</v>
      </c>
      <c r="C12378" t="s">
        <v>15031</v>
      </c>
      <c r="D12378" t="s">
        <v>18058</v>
      </c>
      <c r="E12378" t="s">
        <v>28822</v>
      </c>
      <c r="F12378" t="s">
        <v>31574</v>
      </c>
      <c r="G12378" t="s">
        <v>31582</v>
      </c>
      <c r="H12378" t="s">
        <v>31590</v>
      </c>
      <c r="I12378" t="s">
        <v>31615</v>
      </c>
      <c r="J12378" t="s">
        <v>33507</v>
      </c>
      <c r="K12378" t="s">
        <v>41186</v>
      </c>
      <c r="M12378" t="s">
        <v>41566</v>
      </c>
      <c r="N12378" t="s">
        <v>45095</v>
      </c>
      <c r="O12378" t="s">
        <v>45096</v>
      </c>
      <c r="P12378">
        <v>0</v>
      </c>
      <c r="Q12378">
        <v>4</v>
      </c>
      <c r="R12378" t="s">
        <v>45111</v>
      </c>
      <c r="S12378" t="s">
        <v>45694</v>
      </c>
      <c r="T12378" t="s">
        <v>47391</v>
      </c>
      <c r="U12378" t="s">
        <v>55014</v>
      </c>
      <c r="V12378" t="s">
        <v>61199</v>
      </c>
      <c r="W12378" t="s">
        <v>41566</v>
      </c>
      <c r="X12378" t="s">
        <v>45112</v>
      </c>
    </row>
    <row r="12379" spans="1:24">
      <c r="A12379">
        <f>HYPERLINK("https://www.philgeps.gov.ph/GEPSNONPILOT/Tender/SplashBidNoticeAbstractUI.aspx?menuIndex=3&amp;refID=7019476&amp;Result=3","7019476")</f>
        <v>0</v>
      </c>
      <c r="B12379" t="s">
        <v>1443</v>
      </c>
      <c r="C12379" t="s">
        <v>15032</v>
      </c>
      <c r="D12379" t="s">
        <v>18074</v>
      </c>
      <c r="E12379" t="s">
        <v>28823</v>
      </c>
      <c r="F12379" t="s">
        <v>31574</v>
      </c>
      <c r="G12379" t="s">
        <v>31582</v>
      </c>
      <c r="H12379" t="s">
        <v>31591</v>
      </c>
      <c r="I12379" t="s">
        <v>8822</v>
      </c>
      <c r="J12379" t="s">
        <v>39355</v>
      </c>
      <c r="K12379" t="s">
        <v>41189</v>
      </c>
      <c r="M12379" t="s">
        <v>43523</v>
      </c>
      <c r="N12379" t="s">
        <v>45095</v>
      </c>
      <c r="O12379" t="s">
        <v>45096</v>
      </c>
      <c r="P12379">
        <v>0</v>
      </c>
      <c r="Q12379">
        <v>0</v>
      </c>
      <c r="R12379" t="s">
        <v>45111</v>
      </c>
      <c r="S12379" t="s">
        <v>45694</v>
      </c>
      <c r="T12379" t="s">
        <v>47086</v>
      </c>
      <c r="U12379" t="s">
        <v>57566</v>
      </c>
      <c r="V12379" t="s">
        <v>60477</v>
      </c>
      <c r="W12379" t="s">
        <v>43523</v>
      </c>
      <c r="X12379" t="s">
        <v>45112</v>
      </c>
    </row>
    <row r="12380" spans="1:24">
      <c r="A12380">
        <f>HYPERLINK("https://www.philgeps.gov.ph/GEPSNONPILOT/Tender/SplashBidNoticeAbstractUI.aspx?menuIndex=3&amp;refID=7019472&amp;Result=3","7019472")</f>
        <v>0</v>
      </c>
      <c r="B12380" t="s">
        <v>1443</v>
      </c>
      <c r="C12380" t="s">
        <v>15033</v>
      </c>
      <c r="D12380" t="s">
        <v>18074</v>
      </c>
      <c r="E12380" t="s">
        <v>28824</v>
      </c>
      <c r="F12380" t="s">
        <v>31574</v>
      </c>
      <c r="G12380" t="s">
        <v>31582</v>
      </c>
      <c r="H12380" t="s">
        <v>31591</v>
      </c>
      <c r="I12380" t="s">
        <v>8822</v>
      </c>
      <c r="J12380" t="s">
        <v>39356</v>
      </c>
      <c r="K12380" t="s">
        <v>41267</v>
      </c>
      <c r="M12380" t="s">
        <v>43523</v>
      </c>
      <c r="N12380" t="s">
        <v>45095</v>
      </c>
      <c r="O12380" t="s">
        <v>45096</v>
      </c>
      <c r="P12380">
        <v>0</v>
      </c>
      <c r="Q12380">
        <v>1</v>
      </c>
      <c r="R12380" t="s">
        <v>45111</v>
      </c>
      <c r="S12380" t="s">
        <v>45694</v>
      </c>
      <c r="T12380" t="s">
        <v>47086</v>
      </c>
      <c r="U12380" t="s">
        <v>57567</v>
      </c>
      <c r="V12380" t="s">
        <v>60477</v>
      </c>
      <c r="W12380" t="s">
        <v>43523</v>
      </c>
      <c r="X12380" t="s">
        <v>45112</v>
      </c>
    </row>
    <row r="12381" spans="1:24">
      <c r="A12381">
        <f>HYPERLINK("https://www.philgeps.gov.ph/GEPSNONPILOT/Tender/SplashBidNoticeAbstractUI.aspx?menuIndex=3&amp;refID=7019494&amp;Result=3","7019494")</f>
        <v>0</v>
      </c>
      <c r="B12381" t="s">
        <v>1443</v>
      </c>
      <c r="C12381" t="s">
        <v>15034</v>
      </c>
      <c r="D12381" t="s">
        <v>18074</v>
      </c>
      <c r="E12381" t="s">
        <v>28825</v>
      </c>
      <c r="F12381" t="s">
        <v>31574</v>
      </c>
      <c r="G12381" t="s">
        <v>31582</v>
      </c>
      <c r="H12381" t="s">
        <v>31591</v>
      </c>
      <c r="I12381" t="s">
        <v>8822</v>
      </c>
      <c r="J12381" t="s">
        <v>39357</v>
      </c>
      <c r="K12381" t="s">
        <v>41189</v>
      </c>
      <c r="M12381" t="s">
        <v>43523</v>
      </c>
      <c r="N12381" t="s">
        <v>45095</v>
      </c>
      <c r="O12381" t="s">
        <v>45096</v>
      </c>
      <c r="Q12381">
        <v>0</v>
      </c>
      <c r="R12381" t="s">
        <v>45111</v>
      </c>
      <c r="S12381" t="s">
        <v>45721</v>
      </c>
      <c r="T12381" t="s">
        <v>47086</v>
      </c>
      <c r="U12381" t="s">
        <v>57568</v>
      </c>
      <c r="V12381" t="s">
        <v>60477</v>
      </c>
      <c r="W12381" t="s">
        <v>43523</v>
      </c>
      <c r="X12381" t="s">
        <v>45112</v>
      </c>
    </row>
    <row r="12382" spans="1:24">
      <c r="A12382">
        <f>HYPERLINK("https://www.philgeps.gov.ph/GEPSNONPILOT/Tender/SplashBidNoticeAbstractUI.aspx?menuIndex=3&amp;refID=7019473&amp;Result=3","7019473")</f>
        <v>0</v>
      </c>
      <c r="B12382" t="s">
        <v>2586</v>
      </c>
      <c r="C12382" t="s">
        <v>15035</v>
      </c>
      <c r="D12382" t="s">
        <v>18033</v>
      </c>
      <c r="E12382" t="s">
        <v>28826</v>
      </c>
      <c r="F12382" t="s">
        <v>31574</v>
      </c>
      <c r="G12382" t="s">
        <v>31582</v>
      </c>
      <c r="H12382" t="s">
        <v>31590</v>
      </c>
      <c r="I12382" t="s">
        <v>31595</v>
      </c>
      <c r="J12382" t="s">
        <v>32232</v>
      </c>
      <c r="K12382" t="s">
        <v>41190</v>
      </c>
      <c r="M12382" t="s">
        <v>44328</v>
      </c>
      <c r="N12382" t="s">
        <v>45095</v>
      </c>
      <c r="O12382" t="s">
        <v>45096</v>
      </c>
      <c r="P12382">
        <v>0</v>
      </c>
      <c r="Q12382">
        <v>1</v>
      </c>
      <c r="R12382" t="s">
        <v>45111</v>
      </c>
      <c r="S12382" t="s">
        <v>45694</v>
      </c>
      <c r="T12382" t="s">
        <v>47171</v>
      </c>
      <c r="U12382" t="s">
        <v>57569</v>
      </c>
      <c r="W12382" t="s">
        <v>44328</v>
      </c>
      <c r="X12382" t="s">
        <v>45112</v>
      </c>
    </row>
    <row r="12383" spans="1:24">
      <c r="A12383">
        <f>HYPERLINK("https://www.philgeps.gov.ph/GEPSNONPILOT/Tender/SplashBidNoticeAbstractUI.aspx?menuIndex=3&amp;refID=7019540&amp;Result=3","7019540")</f>
        <v>0</v>
      </c>
      <c r="B12383" t="s">
        <v>1443</v>
      </c>
      <c r="C12383" t="s">
        <v>15036</v>
      </c>
      <c r="D12383" t="s">
        <v>18074</v>
      </c>
      <c r="E12383" t="s">
        <v>28827</v>
      </c>
      <c r="F12383" t="s">
        <v>31574</v>
      </c>
      <c r="G12383" t="s">
        <v>31582</v>
      </c>
      <c r="H12383" t="s">
        <v>31591</v>
      </c>
      <c r="I12383" t="s">
        <v>8822</v>
      </c>
      <c r="J12383" t="s">
        <v>39358</v>
      </c>
      <c r="K12383" t="s">
        <v>41189</v>
      </c>
      <c r="M12383" t="s">
        <v>43523</v>
      </c>
      <c r="N12383" t="s">
        <v>45095</v>
      </c>
      <c r="O12383" t="s">
        <v>45096</v>
      </c>
      <c r="P12383">
        <v>0</v>
      </c>
      <c r="Q12383">
        <v>0</v>
      </c>
      <c r="R12383" t="s">
        <v>45111</v>
      </c>
      <c r="S12383" t="s">
        <v>45694</v>
      </c>
      <c r="T12383" t="s">
        <v>47086</v>
      </c>
      <c r="U12383" t="s">
        <v>57570</v>
      </c>
      <c r="V12383" t="s">
        <v>60477</v>
      </c>
      <c r="W12383" t="s">
        <v>43523</v>
      </c>
      <c r="X12383" t="s">
        <v>45112</v>
      </c>
    </row>
    <row r="12384" spans="1:24">
      <c r="A12384">
        <f>HYPERLINK("https://www.philgeps.gov.ph/GEPSNONPILOT/Tender/SplashBidNoticeAbstractUI.aspx?menuIndex=3&amp;refID=7019534&amp;Result=3","7019534")</f>
        <v>0</v>
      </c>
      <c r="B12384" t="s">
        <v>1443</v>
      </c>
      <c r="C12384" t="s">
        <v>15037</v>
      </c>
      <c r="D12384" t="s">
        <v>18074</v>
      </c>
      <c r="E12384" t="s">
        <v>28828</v>
      </c>
      <c r="F12384" t="s">
        <v>31574</v>
      </c>
      <c r="G12384" t="s">
        <v>31582</v>
      </c>
      <c r="H12384" t="s">
        <v>31591</v>
      </c>
      <c r="I12384" t="s">
        <v>8822</v>
      </c>
      <c r="J12384" t="s">
        <v>39359</v>
      </c>
      <c r="K12384" t="s">
        <v>41189</v>
      </c>
      <c r="M12384" t="s">
        <v>43523</v>
      </c>
      <c r="N12384" t="s">
        <v>45095</v>
      </c>
      <c r="O12384" t="s">
        <v>45096</v>
      </c>
      <c r="P12384">
        <v>0</v>
      </c>
      <c r="Q12384">
        <v>0</v>
      </c>
      <c r="R12384" t="s">
        <v>45111</v>
      </c>
      <c r="S12384" t="s">
        <v>45694</v>
      </c>
      <c r="T12384" t="s">
        <v>47086</v>
      </c>
      <c r="U12384" t="s">
        <v>57571</v>
      </c>
      <c r="V12384" t="s">
        <v>60477</v>
      </c>
      <c r="W12384" t="s">
        <v>43523</v>
      </c>
      <c r="X12384" t="s">
        <v>45112</v>
      </c>
    </row>
    <row r="12385" spans="1:24">
      <c r="A12385">
        <f>HYPERLINK("https://www.philgeps.gov.ph/GEPSNONPILOT/Tender/SplashBidNoticeAbstractUI.aspx?menuIndex=3&amp;refID=7019524&amp;Result=3","7019524")</f>
        <v>0</v>
      </c>
      <c r="B12385" t="s">
        <v>1443</v>
      </c>
      <c r="C12385" t="s">
        <v>15038</v>
      </c>
      <c r="D12385" t="s">
        <v>18074</v>
      </c>
      <c r="E12385" t="s">
        <v>28829</v>
      </c>
      <c r="F12385" t="s">
        <v>31574</v>
      </c>
      <c r="G12385" t="s">
        <v>31582</v>
      </c>
      <c r="H12385" t="s">
        <v>31591</v>
      </c>
      <c r="I12385" t="s">
        <v>8822</v>
      </c>
      <c r="J12385" t="s">
        <v>39360</v>
      </c>
      <c r="K12385" t="s">
        <v>41189</v>
      </c>
      <c r="M12385" t="s">
        <v>43523</v>
      </c>
      <c r="N12385" t="s">
        <v>45095</v>
      </c>
      <c r="O12385" t="s">
        <v>45096</v>
      </c>
      <c r="P12385">
        <v>0</v>
      </c>
      <c r="Q12385">
        <v>0</v>
      </c>
      <c r="R12385" t="s">
        <v>45111</v>
      </c>
      <c r="S12385" t="s">
        <v>45694</v>
      </c>
      <c r="T12385" t="s">
        <v>47086</v>
      </c>
      <c r="U12385" t="s">
        <v>57572</v>
      </c>
      <c r="V12385" t="s">
        <v>60477</v>
      </c>
      <c r="W12385" t="s">
        <v>43523</v>
      </c>
      <c r="X12385" t="s">
        <v>45112</v>
      </c>
    </row>
    <row r="12386" spans="1:24">
      <c r="A12386">
        <f>HYPERLINK("https://www.philgeps.gov.ph/GEPSNONPILOT/Tender/SplashBidNoticeAbstractUI.aspx?menuIndex=3&amp;refID=7019562&amp;Result=3","7019562")</f>
        <v>0</v>
      </c>
      <c r="B12386" t="s">
        <v>1832</v>
      </c>
      <c r="C12386" t="s">
        <v>15039</v>
      </c>
      <c r="D12386" t="s">
        <v>18034</v>
      </c>
      <c r="E12386" t="s">
        <v>28830</v>
      </c>
      <c r="F12386" t="s">
        <v>31574</v>
      </c>
      <c r="G12386" t="s">
        <v>31582</v>
      </c>
      <c r="H12386" t="s">
        <v>31590</v>
      </c>
      <c r="I12386" t="s">
        <v>31615</v>
      </c>
      <c r="J12386" t="s">
        <v>32120</v>
      </c>
      <c r="K12386" t="s">
        <v>41240</v>
      </c>
      <c r="M12386" t="s">
        <v>43468</v>
      </c>
      <c r="N12386" t="s">
        <v>45095</v>
      </c>
      <c r="O12386" t="s">
        <v>45096</v>
      </c>
      <c r="P12386">
        <v>0</v>
      </c>
      <c r="Q12386">
        <v>6</v>
      </c>
      <c r="R12386" t="s">
        <v>45111</v>
      </c>
      <c r="S12386" t="s">
        <v>45694</v>
      </c>
      <c r="T12386" t="s">
        <v>46955</v>
      </c>
      <c r="U12386" t="s">
        <v>57496</v>
      </c>
      <c r="V12386" t="s">
        <v>61188</v>
      </c>
      <c r="W12386" t="s">
        <v>43468</v>
      </c>
      <c r="X12386" t="s">
        <v>45112</v>
      </c>
    </row>
    <row r="12387" spans="1:24">
      <c r="A12387">
        <f>HYPERLINK("https://www.philgeps.gov.ph/GEPSNONPILOT/Tender/SplashBidNoticeAbstractUI.aspx?menuIndex=3&amp;refID=7019504&amp;Result=3","7019504")</f>
        <v>0</v>
      </c>
      <c r="B12387" t="s">
        <v>1443</v>
      </c>
      <c r="C12387" t="s">
        <v>15040</v>
      </c>
      <c r="D12387" t="s">
        <v>18074</v>
      </c>
      <c r="E12387" t="s">
        <v>28831</v>
      </c>
      <c r="F12387" t="s">
        <v>31574</v>
      </c>
      <c r="G12387" t="s">
        <v>31582</v>
      </c>
      <c r="H12387" t="s">
        <v>31591</v>
      </c>
      <c r="I12387" t="s">
        <v>8822</v>
      </c>
      <c r="J12387" t="s">
        <v>39361</v>
      </c>
      <c r="K12387" t="s">
        <v>41200</v>
      </c>
      <c r="M12387" t="s">
        <v>43523</v>
      </c>
      <c r="N12387" t="s">
        <v>45095</v>
      </c>
      <c r="O12387" t="s">
        <v>45096</v>
      </c>
      <c r="P12387">
        <v>0</v>
      </c>
      <c r="Q12387">
        <v>0</v>
      </c>
      <c r="R12387" t="s">
        <v>45111</v>
      </c>
      <c r="S12387" t="s">
        <v>45694</v>
      </c>
      <c r="T12387" t="s">
        <v>47086</v>
      </c>
      <c r="U12387" t="s">
        <v>57573</v>
      </c>
      <c r="V12387" t="s">
        <v>60477</v>
      </c>
      <c r="W12387" t="s">
        <v>43523</v>
      </c>
      <c r="X12387" t="s">
        <v>45112</v>
      </c>
    </row>
    <row r="12388" spans="1:24">
      <c r="A12388">
        <f>HYPERLINK("https://www.philgeps.gov.ph/GEPSNONPILOT/Tender/SplashBidNoticeAbstractUI.aspx?menuIndex=3&amp;refID=7019499&amp;Result=3","7019499")</f>
        <v>0</v>
      </c>
      <c r="B12388" t="s">
        <v>2190</v>
      </c>
      <c r="C12388" t="s">
        <v>15041</v>
      </c>
      <c r="D12388" t="s">
        <v>18025</v>
      </c>
      <c r="E12388" t="s">
        <v>28832</v>
      </c>
      <c r="F12388" t="s">
        <v>31574</v>
      </c>
      <c r="G12388" t="s">
        <v>31582</v>
      </c>
      <c r="H12388" t="s">
        <v>31590</v>
      </c>
      <c r="I12388" t="s">
        <v>31641</v>
      </c>
      <c r="J12388" t="s">
        <v>39362</v>
      </c>
      <c r="K12388" t="s">
        <v>41186</v>
      </c>
      <c r="M12388" t="s">
        <v>43876</v>
      </c>
      <c r="N12388" t="s">
        <v>45095</v>
      </c>
      <c r="O12388" t="s">
        <v>45096</v>
      </c>
      <c r="P12388">
        <v>0</v>
      </c>
      <c r="Q12388">
        <v>4</v>
      </c>
      <c r="R12388" t="s">
        <v>45111</v>
      </c>
      <c r="S12388" t="s">
        <v>45694</v>
      </c>
      <c r="T12388" t="s">
        <v>46926</v>
      </c>
      <c r="U12388" t="s">
        <v>57574</v>
      </c>
      <c r="W12388" t="s">
        <v>43876</v>
      </c>
      <c r="X12388" t="s">
        <v>45112</v>
      </c>
    </row>
    <row r="12389" spans="1:24">
      <c r="A12389">
        <f>HYPERLINK("https://www.philgeps.gov.ph/GEPSNONPILOT/Tender/SplashBidNoticeAbstractUI.aspx?menuIndex=3&amp;refID=7019507&amp;Result=3","7019507")</f>
        <v>0</v>
      </c>
      <c r="B12389" t="s">
        <v>1443</v>
      </c>
      <c r="C12389" t="s">
        <v>15042</v>
      </c>
      <c r="D12389" t="s">
        <v>18074</v>
      </c>
      <c r="E12389" t="s">
        <v>28833</v>
      </c>
      <c r="F12389" t="s">
        <v>31574</v>
      </c>
      <c r="G12389" t="s">
        <v>31582</v>
      </c>
      <c r="H12389" t="s">
        <v>31591</v>
      </c>
      <c r="I12389" t="s">
        <v>8822</v>
      </c>
      <c r="J12389" t="s">
        <v>39363</v>
      </c>
      <c r="K12389" t="s">
        <v>41189</v>
      </c>
      <c r="M12389" t="s">
        <v>43523</v>
      </c>
      <c r="N12389" t="s">
        <v>45095</v>
      </c>
      <c r="O12389" t="s">
        <v>45096</v>
      </c>
      <c r="P12389">
        <v>0</v>
      </c>
      <c r="Q12389">
        <v>0</v>
      </c>
      <c r="R12389" t="s">
        <v>45111</v>
      </c>
      <c r="S12389" t="s">
        <v>45694</v>
      </c>
      <c r="T12389" t="s">
        <v>47086</v>
      </c>
      <c r="U12389" t="s">
        <v>57575</v>
      </c>
      <c r="V12389" t="s">
        <v>60477</v>
      </c>
      <c r="W12389" t="s">
        <v>43523</v>
      </c>
      <c r="X12389" t="s">
        <v>45112</v>
      </c>
    </row>
    <row r="12390" spans="1:24">
      <c r="A12390">
        <f>HYPERLINK("https://www.philgeps.gov.ph/GEPSNONPILOT/Tender/SplashBidNoticeAbstractUI.aspx?menuIndex=3&amp;refID=7019579&amp;Result=3","7019579")</f>
        <v>0</v>
      </c>
      <c r="B12390" t="s">
        <v>1832</v>
      </c>
      <c r="C12390" t="s">
        <v>15043</v>
      </c>
      <c r="D12390" t="s">
        <v>18034</v>
      </c>
      <c r="E12390" t="s">
        <v>28834</v>
      </c>
      <c r="F12390" t="s">
        <v>31574</v>
      </c>
      <c r="G12390" t="s">
        <v>31582</v>
      </c>
      <c r="H12390" t="s">
        <v>31590</v>
      </c>
      <c r="I12390" t="s">
        <v>31615</v>
      </c>
      <c r="J12390" t="s">
        <v>32421</v>
      </c>
      <c r="K12390" t="s">
        <v>41240</v>
      </c>
      <c r="M12390" t="s">
        <v>43468</v>
      </c>
      <c r="N12390" t="s">
        <v>45095</v>
      </c>
      <c r="O12390" t="s">
        <v>45096</v>
      </c>
      <c r="P12390">
        <v>0</v>
      </c>
      <c r="Q12390">
        <v>7</v>
      </c>
      <c r="R12390" t="s">
        <v>45111</v>
      </c>
      <c r="S12390" t="s">
        <v>45694</v>
      </c>
      <c r="T12390" t="s">
        <v>46955</v>
      </c>
      <c r="U12390" t="s">
        <v>57496</v>
      </c>
      <c r="V12390" t="s">
        <v>61188</v>
      </c>
      <c r="W12390" t="s">
        <v>43468</v>
      </c>
      <c r="X12390" t="s">
        <v>45112</v>
      </c>
    </row>
    <row r="12391" spans="1:24">
      <c r="A12391">
        <f>HYPERLINK("https://www.philgeps.gov.ph/GEPSNONPILOT/Tender/SplashBidNoticeAbstractUI.aspx?menuIndex=3&amp;refID=7019578&amp;Result=3","7019578")</f>
        <v>0</v>
      </c>
      <c r="B12391" t="s">
        <v>755</v>
      </c>
      <c r="C12391" t="s">
        <v>15044</v>
      </c>
      <c r="D12391" t="s">
        <v>18045</v>
      </c>
      <c r="E12391" t="s">
        <v>28835</v>
      </c>
      <c r="F12391" t="s">
        <v>31574</v>
      </c>
      <c r="G12391" t="s">
        <v>31582</v>
      </c>
      <c r="H12391" t="s">
        <v>31590</v>
      </c>
      <c r="I12391" t="s">
        <v>31607</v>
      </c>
      <c r="J12391" t="s">
        <v>39364</v>
      </c>
      <c r="K12391" t="s">
        <v>41186</v>
      </c>
      <c r="M12391" t="s">
        <v>42269</v>
      </c>
      <c r="N12391" t="s">
        <v>45095</v>
      </c>
      <c r="O12391" t="s">
        <v>45096</v>
      </c>
      <c r="P12391">
        <v>0</v>
      </c>
      <c r="Q12391">
        <v>2</v>
      </c>
      <c r="R12391" t="s">
        <v>45111</v>
      </c>
      <c r="S12391" t="s">
        <v>45694</v>
      </c>
      <c r="T12391" t="s">
        <v>47159</v>
      </c>
      <c r="U12391" t="s">
        <v>57576</v>
      </c>
      <c r="W12391" t="s">
        <v>42269</v>
      </c>
      <c r="X12391" t="s">
        <v>45112</v>
      </c>
    </row>
    <row r="12392" spans="1:24">
      <c r="A12392">
        <f>HYPERLINK("https://www.philgeps.gov.ph/GEPSNONPILOT/Tender/SplashBidNoticeAbstractUI.aspx?menuIndex=3&amp;refID=7019547&amp;Result=3","7019547")</f>
        <v>0</v>
      </c>
      <c r="B12392" t="s">
        <v>1443</v>
      </c>
      <c r="C12392" t="s">
        <v>15045</v>
      </c>
      <c r="D12392" t="s">
        <v>18074</v>
      </c>
      <c r="E12392" t="s">
        <v>28836</v>
      </c>
      <c r="F12392" t="s">
        <v>31574</v>
      </c>
      <c r="G12392" t="s">
        <v>31582</v>
      </c>
      <c r="H12392" t="s">
        <v>31591</v>
      </c>
      <c r="I12392" t="s">
        <v>8822</v>
      </c>
      <c r="J12392" t="s">
        <v>39365</v>
      </c>
      <c r="K12392" t="s">
        <v>41189</v>
      </c>
      <c r="M12392" t="s">
        <v>43523</v>
      </c>
      <c r="N12392" t="s">
        <v>45095</v>
      </c>
      <c r="O12392" t="s">
        <v>45096</v>
      </c>
      <c r="P12392">
        <v>0</v>
      </c>
      <c r="Q12392">
        <v>0</v>
      </c>
      <c r="R12392" t="s">
        <v>45111</v>
      </c>
      <c r="S12392" t="s">
        <v>45694</v>
      </c>
      <c r="T12392" t="s">
        <v>47086</v>
      </c>
      <c r="U12392" t="s">
        <v>57577</v>
      </c>
      <c r="V12392" t="s">
        <v>60477</v>
      </c>
      <c r="W12392" t="s">
        <v>43523</v>
      </c>
      <c r="X12392" t="s">
        <v>45112</v>
      </c>
    </row>
    <row r="12393" spans="1:24">
      <c r="A12393">
        <f>HYPERLINK("https://www.philgeps.gov.ph/GEPSNONPILOT/Tender/SplashBidNoticeAbstractUI.aspx?menuIndex=3&amp;refID=7019589&amp;Result=3","7019589")</f>
        <v>0</v>
      </c>
      <c r="B12393" t="s">
        <v>1832</v>
      </c>
      <c r="C12393" t="s">
        <v>15046</v>
      </c>
      <c r="D12393" t="s">
        <v>18034</v>
      </c>
      <c r="E12393" t="s">
        <v>28837</v>
      </c>
      <c r="F12393" t="s">
        <v>31574</v>
      </c>
      <c r="G12393" t="s">
        <v>31582</v>
      </c>
      <c r="H12393" t="s">
        <v>31590</v>
      </c>
      <c r="I12393" t="s">
        <v>31615</v>
      </c>
      <c r="J12393" t="s">
        <v>34952</v>
      </c>
      <c r="K12393" t="s">
        <v>41240</v>
      </c>
      <c r="M12393" t="s">
        <v>43468</v>
      </c>
      <c r="N12393" t="s">
        <v>45095</v>
      </c>
      <c r="O12393" t="s">
        <v>45096</v>
      </c>
      <c r="P12393">
        <v>0</v>
      </c>
      <c r="Q12393">
        <v>7</v>
      </c>
      <c r="R12393" t="s">
        <v>45111</v>
      </c>
      <c r="S12393" t="s">
        <v>45694</v>
      </c>
      <c r="T12393" t="s">
        <v>46955</v>
      </c>
      <c r="U12393" t="s">
        <v>57496</v>
      </c>
      <c r="V12393" t="s">
        <v>61200</v>
      </c>
      <c r="W12393" t="s">
        <v>43468</v>
      </c>
      <c r="X12393" t="s">
        <v>45112</v>
      </c>
    </row>
    <row r="12394" spans="1:24">
      <c r="A12394">
        <f>HYPERLINK("https://www.philgeps.gov.ph/GEPSNONPILOT/Tender/SplashBidNoticeAbstractUI.aspx?menuIndex=3&amp;refID=7019571&amp;Result=3","7019571")</f>
        <v>0</v>
      </c>
      <c r="B12394" t="s">
        <v>1443</v>
      </c>
      <c r="C12394" t="s">
        <v>15047</v>
      </c>
      <c r="D12394" t="s">
        <v>18074</v>
      </c>
      <c r="E12394" t="s">
        <v>28838</v>
      </c>
      <c r="F12394" t="s">
        <v>31574</v>
      </c>
      <c r="G12394" t="s">
        <v>31582</v>
      </c>
      <c r="H12394" t="s">
        <v>31591</v>
      </c>
      <c r="I12394" t="s">
        <v>8822</v>
      </c>
      <c r="J12394" t="s">
        <v>39366</v>
      </c>
      <c r="K12394" t="s">
        <v>41394</v>
      </c>
      <c r="M12394" t="s">
        <v>43523</v>
      </c>
      <c r="N12394" t="s">
        <v>45095</v>
      </c>
      <c r="O12394" t="s">
        <v>45096</v>
      </c>
      <c r="P12394">
        <v>0</v>
      </c>
      <c r="Q12394">
        <v>0</v>
      </c>
      <c r="R12394" t="s">
        <v>45111</v>
      </c>
      <c r="S12394" t="s">
        <v>45694</v>
      </c>
      <c r="T12394" t="s">
        <v>47086</v>
      </c>
      <c r="U12394" t="s">
        <v>57578</v>
      </c>
      <c r="V12394" t="s">
        <v>60477</v>
      </c>
      <c r="W12394" t="s">
        <v>43523</v>
      </c>
      <c r="X12394" t="s">
        <v>45112</v>
      </c>
    </row>
    <row r="12395" spans="1:24">
      <c r="A12395">
        <f>HYPERLINK("https://www.philgeps.gov.ph/GEPSNONPILOT/Tender/SplashBidNoticeAbstractUI.aspx?menuIndex=3&amp;refID=7019557&amp;Result=3","7019557")</f>
        <v>0</v>
      </c>
      <c r="B12395" t="s">
        <v>2934</v>
      </c>
      <c r="C12395" t="s">
        <v>15048</v>
      </c>
      <c r="D12395" t="s">
        <v>18031</v>
      </c>
      <c r="E12395" t="s">
        <v>28839</v>
      </c>
      <c r="F12395" t="s">
        <v>31574</v>
      </c>
      <c r="G12395" t="s">
        <v>31582</v>
      </c>
      <c r="H12395" t="s">
        <v>31590</v>
      </c>
      <c r="I12395" t="s">
        <v>31594</v>
      </c>
      <c r="J12395" t="s">
        <v>39367</v>
      </c>
      <c r="K12395" t="s">
        <v>41210</v>
      </c>
      <c r="M12395" t="s">
        <v>44746</v>
      </c>
      <c r="N12395" t="s">
        <v>45095</v>
      </c>
      <c r="O12395" t="s">
        <v>45096</v>
      </c>
      <c r="P12395">
        <v>0</v>
      </c>
      <c r="Q12395">
        <v>20</v>
      </c>
      <c r="R12395" t="s">
        <v>45111</v>
      </c>
      <c r="S12395" t="s">
        <v>45694</v>
      </c>
      <c r="T12395" t="s">
        <v>46955</v>
      </c>
      <c r="U12395" t="s">
        <v>57579</v>
      </c>
      <c r="W12395" t="s">
        <v>44746</v>
      </c>
      <c r="X12395" t="s">
        <v>45112</v>
      </c>
    </row>
    <row r="12396" spans="1:24">
      <c r="A12396">
        <f>HYPERLINK("https://www.philgeps.gov.ph/GEPSNONPILOT/Tender/SplashBidNoticeAbstractUI.aspx?menuIndex=3&amp;refID=7019563&amp;Result=3","7019563")</f>
        <v>0</v>
      </c>
      <c r="B12396" t="s">
        <v>1443</v>
      </c>
      <c r="C12396" t="s">
        <v>15049</v>
      </c>
      <c r="D12396" t="s">
        <v>18074</v>
      </c>
      <c r="E12396" t="s">
        <v>28840</v>
      </c>
      <c r="F12396" t="s">
        <v>31574</v>
      </c>
      <c r="G12396" t="s">
        <v>31582</v>
      </c>
      <c r="H12396" t="s">
        <v>31591</v>
      </c>
      <c r="I12396" t="s">
        <v>8822</v>
      </c>
      <c r="J12396" t="s">
        <v>39368</v>
      </c>
      <c r="K12396" t="s">
        <v>41394</v>
      </c>
      <c r="M12396" t="s">
        <v>43523</v>
      </c>
      <c r="N12396" t="s">
        <v>45095</v>
      </c>
      <c r="O12396" t="s">
        <v>45096</v>
      </c>
      <c r="P12396">
        <v>0</v>
      </c>
      <c r="Q12396">
        <v>0</v>
      </c>
      <c r="R12396" t="s">
        <v>45111</v>
      </c>
      <c r="S12396" t="s">
        <v>45694</v>
      </c>
      <c r="T12396" t="s">
        <v>47086</v>
      </c>
      <c r="U12396" t="s">
        <v>57580</v>
      </c>
      <c r="V12396" t="s">
        <v>60477</v>
      </c>
      <c r="W12396" t="s">
        <v>43523</v>
      </c>
      <c r="X12396" t="s">
        <v>45112</v>
      </c>
    </row>
    <row r="12397" spans="1:24">
      <c r="A12397">
        <f>HYPERLINK("https://www.philgeps.gov.ph/GEPSNONPILOT/Tender/SplashBidNoticeAbstractUI.aspx?menuIndex=3&amp;refID=7019585&amp;Result=3","7019585")</f>
        <v>0</v>
      </c>
      <c r="B12397" t="s">
        <v>1443</v>
      </c>
      <c r="C12397" t="s">
        <v>15050</v>
      </c>
      <c r="D12397" t="s">
        <v>18074</v>
      </c>
      <c r="E12397" t="s">
        <v>28841</v>
      </c>
      <c r="F12397" t="s">
        <v>31574</v>
      </c>
      <c r="G12397" t="s">
        <v>31582</v>
      </c>
      <c r="H12397" t="s">
        <v>31591</v>
      </c>
      <c r="I12397" t="s">
        <v>8822</v>
      </c>
      <c r="J12397" t="s">
        <v>39369</v>
      </c>
      <c r="K12397" t="s">
        <v>41427</v>
      </c>
      <c r="M12397" t="s">
        <v>43523</v>
      </c>
      <c r="N12397" t="s">
        <v>45095</v>
      </c>
      <c r="O12397" t="s">
        <v>45096</v>
      </c>
      <c r="P12397">
        <v>0</v>
      </c>
      <c r="Q12397">
        <v>0</v>
      </c>
      <c r="R12397" t="s">
        <v>45111</v>
      </c>
      <c r="S12397" t="s">
        <v>45694</v>
      </c>
      <c r="T12397" t="s">
        <v>47086</v>
      </c>
      <c r="U12397" t="s">
        <v>57581</v>
      </c>
      <c r="V12397" t="s">
        <v>60477</v>
      </c>
      <c r="W12397" t="s">
        <v>43523</v>
      </c>
      <c r="X12397" t="s">
        <v>45112</v>
      </c>
    </row>
    <row r="12398" spans="1:24">
      <c r="A12398">
        <f>HYPERLINK("https://www.philgeps.gov.ph/GEPSNONPILOT/Tender/SplashBidNoticeAbstractUI.aspx?menuIndex=3&amp;refID=7019574&amp;Result=3","7019574")</f>
        <v>0</v>
      </c>
      <c r="B12398" t="s">
        <v>1443</v>
      </c>
      <c r="C12398" t="s">
        <v>15051</v>
      </c>
      <c r="D12398" t="s">
        <v>18074</v>
      </c>
      <c r="E12398" t="s">
        <v>28842</v>
      </c>
      <c r="F12398" t="s">
        <v>31574</v>
      </c>
      <c r="G12398" t="s">
        <v>31582</v>
      </c>
      <c r="H12398" t="s">
        <v>31591</v>
      </c>
      <c r="I12398" t="s">
        <v>8822</v>
      </c>
      <c r="J12398" t="s">
        <v>39370</v>
      </c>
      <c r="K12398" t="s">
        <v>41295</v>
      </c>
      <c r="M12398" t="s">
        <v>43523</v>
      </c>
      <c r="N12398" t="s">
        <v>45095</v>
      </c>
      <c r="O12398" t="s">
        <v>45096</v>
      </c>
      <c r="P12398">
        <v>0</v>
      </c>
      <c r="Q12398">
        <v>0</v>
      </c>
      <c r="R12398" t="s">
        <v>45111</v>
      </c>
      <c r="S12398" t="s">
        <v>45694</v>
      </c>
      <c r="T12398" t="s">
        <v>47086</v>
      </c>
      <c r="U12398" t="s">
        <v>57582</v>
      </c>
      <c r="V12398" t="s">
        <v>60477</v>
      </c>
      <c r="W12398" t="s">
        <v>43523</v>
      </c>
      <c r="X12398" t="s">
        <v>45112</v>
      </c>
    </row>
    <row r="12399" spans="1:24">
      <c r="A12399">
        <f>HYPERLINK("https://www.philgeps.gov.ph/GEPSNONPILOT/Tender/SplashBidNoticeAbstractUI.aspx?menuIndex=3&amp;refID=7019591&amp;Result=3","7019591")</f>
        <v>0</v>
      </c>
      <c r="B12399" t="s">
        <v>1443</v>
      </c>
      <c r="C12399" t="s">
        <v>15052</v>
      </c>
      <c r="D12399" t="s">
        <v>18074</v>
      </c>
      <c r="E12399" t="s">
        <v>28843</v>
      </c>
      <c r="F12399" t="s">
        <v>31574</v>
      </c>
      <c r="G12399" t="s">
        <v>31582</v>
      </c>
      <c r="H12399" t="s">
        <v>31591</v>
      </c>
      <c r="I12399" t="s">
        <v>8822</v>
      </c>
      <c r="J12399" t="s">
        <v>39371</v>
      </c>
      <c r="K12399" t="s">
        <v>41341</v>
      </c>
      <c r="M12399" t="s">
        <v>43523</v>
      </c>
      <c r="N12399" t="s">
        <v>45095</v>
      </c>
      <c r="O12399" t="s">
        <v>45096</v>
      </c>
      <c r="P12399">
        <v>0</v>
      </c>
      <c r="Q12399">
        <v>0</v>
      </c>
      <c r="R12399" t="s">
        <v>45111</v>
      </c>
      <c r="S12399" t="s">
        <v>45694</v>
      </c>
      <c r="T12399" t="s">
        <v>47086</v>
      </c>
      <c r="U12399" t="s">
        <v>57580</v>
      </c>
      <c r="V12399" t="s">
        <v>60477</v>
      </c>
      <c r="W12399" t="s">
        <v>43523</v>
      </c>
      <c r="X12399" t="s">
        <v>45112</v>
      </c>
    </row>
    <row r="12400" spans="1:24">
      <c r="A12400">
        <f>HYPERLINK("https://www.philgeps.gov.ph/GEPSNONPILOT/Tender/SplashBidNoticeAbstractUI.aspx?menuIndex=3&amp;refID=7019645&amp;Result=3","7019645")</f>
        <v>0</v>
      </c>
      <c r="B12400" t="s">
        <v>1443</v>
      </c>
      <c r="C12400" t="s">
        <v>15053</v>
      </c>
      <c r="D12400" t="s">
        <v>18074</v>
      </c>
      <c r="E12400" t="s">
        <v>28844</v>
      </c>
      <c r="F12400" t="s">
        <v>31574</v>
      </c>
      <c r="G12400" t="s">
        <v>31582</v>
      </c>
      <c r="H12400" t="s">
        <v>31591</v>
      </c>
      <c r="I12400" t="s">
        <v>8822</v>
      </c>
      <c r="J12400" t="s">
        <v>39372</v>
      </c>
      <c r="K12400" t="s">
        <v>41265</v>
      </c>
      <c r="M12400" t="s">
        <v>43523</v>
      </c>
      <c r="N12400" t="s">
        <v>45095</v>
      </c>
      <c r="O12400" t="s">
        <v>45096</v>
      </c>
      <c r="P12400">
        <v>0</v>
      </c>
      <c r="Q12400">
        <v>0</v>
      </c>
      <c r="R12400" t="s">
        <v>45111</v>
      </c>
      <c r="S12400" t="s">
        <v>45694</v>
      </c>
      <c r="T12400" t="s">
        <v>47086</v>
      </c>
      <c r="U12400" t="s">
        <v>57583</v>
      </c>
      <c r="V12400" t="s">
        <v>60477</v>
      </c>
      <c r="W12400" t="s">
        <v>43523</v>
      </c>
      <c r="X12400" t="s">
        <v>45112</v>
      </c>
    </row>
    <row r="12401" spans="1:24">
      <c r="A12401">
        <f>HYPERLINK("https://www.philgeps.gov.ph/GEPSNONPILOT/Tender/SplashBidNoticeAbstractUI.aspx?menuIndex=3&amp;refID=7019651&amp;Result=3","7019651")</f>
        <v>0</v>
      </c>
      <c r="B12401" t="s">
        <v>1443</v>
      </c>
      <c r="C12401" t="s">
        <v>15054</v>
      </c>
      <c r="D12401" t="s">
        <v>18074</v>
      </c>
      <c r="E12401" t="s">
        <v>28845</v>
      </c>
      <c r="F12401" t="s">
        <v>31574</v>
      </c>
      <c r="G12401" t="s">
        <v>31582</v>
      </c>
      <c r="H12401" t="s">
        <v>31591</v>
      </c>
      <c r="I12401" t="s">
        <v>8822</v>
      </c>
      <c r="J12401" t="s">
        <v>39373</v>
      </c>
      <c r="K12401" t="s">
        <v>41284</v>
      </c>
      <c r="M12401" t="s">
        <v>43523</v>
      </c>
      <c r="N12401" t="s">
        <v>45095</v>
      </c>
      <c r="O12401" t="s">
        <v>45096</v>
      </c>
      <c r="P12401">
        <v>0</v>
      </c>
      <c r="Q12401">
        <v>0</v>
      </c>
      <c r="R12401" t="s">
        <v>45111</v>
      </c>
      <c r="S12401" t="s">
        <v>45694</v>
      </c>
      <c r="T12401" t="s">
        <v>47086</v>
      </c>
      <c r="U12401" t="s">
        <v>56614</v>
      </c>
      <c r="V12401" t="s">
        <v>60477</v>
      </c>
      <c r="W12401" t="s">
        <v>43523</v>
      </c>
      <c r="X12401" t="s">
        <v>45112</v>
      </c>
    </row>
    <row r="12402" spans="1:24">
      <c r="A12402">
        <f>HYPERLINK("https://www.philgeps.gov.ph/GEPSNONPILOT/Tender/SplashBidNoticeAbstractUI.aspx?menuIndex=3&amp;refID=7019573&amp;Result=3","7019573")</f>
        <v>0</v>
      </c>
      <c r="B12402" t="s">
        <v>2938</v>
      </c>
      <c r="C12402" t="s">
        <v>11845</v>
      </c>
      <c r="D12402" t="s">
        <v>18022</v>
      </c>
      <c r="E12402" t="s">
        <v>28846</v>
      </c>
      <c r="F12402" t="s">
        <v>31574</v>
      </c>
      <c r="G12402" t="s">
        <v>31582</v>
      </c>
      <c r="H12402" t="s">
        <v>31590</v>
      </c>
      <c r="I12402" t="s">
        <v>31640</v>
      </c>
      <c r="J12402" t="s">
        <v>32019</v>
      </c>
      <c r="K12402" t="s">
        <v>41186</v>
      </c>
      <c r="M12402" t="s">
        <v>44752</v>
      </c>
      <c r="N12402" t="s">
        <v>45095</v>
      </c>
      <c r="O12402" t="s">
        <v>45096</v>
      </c>
      <c r="P12402">
        <v>0</v>
      </c>
      <c r="Q12402">
        <v>9</v>
      </c>
      <c r="R12402" t="s">
        <v>45111</v>
      </c>
      <c r="S12402" t="s">
        <v>45694</v>
      </c>
      <c r="T12402" t="s">
        <v>47159</v>
      </c>
      <c r="U12402" t="s">
        <v>57584</v>
      </c>
      <c r="W12402" t="s">
        <v>44752</v>
      </c>
      <c r="X12402" t="s">
        <v>45112</v>
      </c>
    </row>
    <row r="12403" spans="1:24">
      <c r="A12403">
        <f>HYPERLINK("https://www.philgeps.gov.ph/GEPSNONPILOT/Tender/SplashBidNoticeAbstractUI.aspx?menuIndex=3&amp;refID=7019622&amp;Result=3","7019622")</f>
        <v>0</v>
      </c>
      <c r="B12403" t="s">
        <v>2767</v>
      </c>
      <c r="C12403" t="s">
        <v>15055</v>
      </c>
      <c r="D12403" t="s">
        <v>18048</v>
      </c>
      <c r="E12403" t="s">
        <v>28847</v>
      </c>
      <c r="F12403" t="s">
        <v>31574</v>
      </c>
      <c r="G12403" t="s">
        <v>31582</v>
      </c>
      <c r="H12403" t="s">
        <v>31590</v>
      </c>
      <c r="I12403" t="s">
        <v>31615</v>
      </c>
      <c r="J12403" t="s">
        <v>31781</v>
      </c>
      <c r="K12403" t="s">
        <v>41186</v>
      </c>
      <c r="M12403" t="s">
        <v>44542</v>
      </c>
      <c r="N12403" t="s">
        <v>45095</v>
      </c>
      <c r="O12403" t="s">
        <v>45096</v>
      </c>
      <c r="P12403">
        <v>0</v>
      </c>
      <c r="Q12403">
        <v>6</v>
      </c>
      <c r="R12403" t="s">
        <v>45111</v>
      </c>
      <c r="S12403" t="s">
        <v>45694</v>
      </c>
      <c r="T12403" t="s">
        <v>47212</v>
      </c>
      <c r="U12403" t="s">
        <v>57585</v>
      </c>
      <c r="V12403" t="s">
        <v>61201</v>
      </c>
      <c r="W12403" t="s">
        <v>61754</v>
      </c>
      <c r="X12403" t="s">
        <v>45112</v>
      </c>
    </row>
    <row r="12404" spans="1:24">
      <c r="A12404">
        <f>HYPERLINK("https://www.philgeps.gov.ph/GEPSNONPILOT/Tender/SplashBidNoticeAbstractUI.aspx?menuIndex=3&amp;refID=7019642&amp;Result=3","7019642")</f>
        <v>0</v>
      </c>
      <c r="B12404" t="s">
        <v>1901</v>
      </c>
      <c r="C12404" t="s">
        <v>15056</v>
      </c>
      <c r="E12404" t="s">
        <v>28848</v>
      </c>
      <c r="F12404" t="s">
        <v>31574</v>
      </c>
      <c r="G12404" t="s">
        <v>31582</v>
      </c>
      <c r="H12404" t="s">
        <v>31590</v>
      </c>
      <c r="I12404" t="s">
        <v>31594</v>
      </c>
      <c r="J12404" t="s">
        <v>37072</v>
      </c>
      <c r="K12404" t="s">
        <v>41196</v>
      </c>
      <c r="M12404" t="s">
        <v>43546</v>
      </c>
      <c r="N12404" t="s">
        <v>45095</v>
      </c>
      <c r="O12404" t="s">
        <v>45096</v>
      </c>
      <c r="Q12404">
        <v>13</v>
      </c>
      <c r="R12404" t="s">
        <v>45111</v>
      </c>
      <c r="S12404" t="s">
        <v>45722</v>
      </c>
      <c r="T12404" t="s">
        <v>47003</v>
      </c>
      <c r="U12404" t="s">
        <v>52522</v>
      </c>
      <c r="W12404" t="s">
        <v>43546</v>
      </c>
      <c r="X12404" t="s">
        <v>45112</v>
      </c>
    </row>
    <row r="12405" spans="1:24">
      <c r="A12405">
        <f>HYPERLINK("https://www.philgeps.gov.ph/GEPSNONPILOT/Tender/SplashBidNoticeAbstractUI.aspx?menuIndex=3&amp;refID=7019542&amp;Result=3","7019542")</f>
        <v>0</v>
      </c>
      <c r="B12405" t="s">
        <v>2934</v>
      </c>
      <c r="C12405" t="s">
        <v>15057</v>
      </c>
      <c r="D12405" t="s">
        <v>18031</v>
      </c>
      <c r="E12405" t="s">
        <v>28849</v>
      </c>
      <c r="F12405" t="s">
        <v>31574</v>
      </c>
      <c r="G12405" t="s">
        <v>31582</v>
      </c>
      <c r="H12405" t="s">
        <v>31590</v>
      </c>
      <c r="I12405" t="s">
        <v>7185</v>
      </c>
      <c r="J12405" t="s">
        <v>39374</v>
      </c>
      <c r="K12405" t="s">
        <v>41196</v>
      </c>
      <c r="M12405" t="s">
        <v>44746</v>
      </c>
      <c r="N12405" t="s">
        <v>45095</v>
      </c>
      <c r="O12405" t="s">
        <v>45096</v>
      </c>
      <c r="P12405">
        <v>0</v>
      </c>
      <c r="Q12405">
        <v>9</v>
      </c>
      <c r="R12405" t="s">
        <v>45111</v>
      </c>
      <c r="S12405" t="s">
        <v>45694</v>
      </c>
      <c r="T12405" t="s">
        <v>46955</v>
      </c>
      <c r="U12405" t="s">
        <v>57579</v>
      </c>
      <c r="W12405" t="s">
        <v>44746</v>
      </c>
      <c r="X12405" t="s">
        <v>45112</v>
      </c>
    </row>
    <row r="12406" spans="1:24">
      <c r="A12406">
        <f>HYPERLINK("https://www.philgeps.gov.ph/GEPSNONPILOT/Tender/SplashBidNoticeAbstractUI.aspx?menuIndex=3&amp;refID=7019619&amp;Result=3","7019619")</f>
        <v>0</v>
      </c>
      <c r="B12406" t="s">
        <v>2938</v>
      </c>
      <c r="C12406" t="s">
        <v>11845</v>
      </c>
      <c r="D12406" t="s">
        <v>18022</v>
      </c>
      <c r="E12406" t="s">
        <v>28850</v>
      </c>
      <c r="F12406" t="s">
        <v>31574</v>
      </c>
      <c r="G12406" t="s">
        <v>31582</v>
      </c>
      <c r="H12406" t="s">
        <v>31590</v>
      </c>
      <c r="I12406" t="s">
        <v>31640</v>
      </c>
      <c r="J12406" t="s">
        <v>32019</v>
      </c>
      <c r="K12406" t="s">
        <v>41186</v>
      </c>
      <c r="M12406" t="s">
        <v>44752</v>
      </c>
      <c r="N12406" t="s">
        <v>45095</v>
      </c>
      <c r="O12406" t="s">
        <v>45096</v>
      </c>
      <c r="P12406">
        <v>0</v>
      </c>
      <c r="Q12406">
        <v>8</v>
      </c>
      <c r="R12406" t="s">
        <v>45111</v>
      </c>
      <c r="S12406" t="s">
        <v>45694</v>
      </c>
      <c r="T12406" t="s">
        <v>47159</v>
      </c>
      <c r="U12406" t="s">
        <v>57586</v>
      </c>
      <c r="W12406" t="s">
        <v>44752</v>
      </c>
      <c r="X12406" t="s">
        <v>45112</v>
      </c>
    </row>
    <row r="12407" spans="1:24">
      <c r="A12407">
        <f>HYPERLINK("https://www.philgeps.gov.ph/GEPSNONPILOT/Tender/SplashBidNoticeAbstractUI.aspx?menuIndex=3&amp;refID=7019631&amp;Result=3","7019631")</f>
        <v>0</v>
      </c>
      <c r="B12407" t="s">
        <v>82</v>
      </c>
      <c r="C12407" t="s">
        <v>15031</v>
      </c>
      <c r="D12407" t="s">
        <v>18058</v>
      </c>
      <c r="E12407" t="s">
        <v>28851</v>
      </c>
      <c r="F12407" t="s">
        <v>31574</v>
      </c>
      <c r="G12407" t="s">
        <v>31582</v>
      </c>
      <c r="H12407" t="s">
        <v>31590</v>
      </c>
      <c r="I12407" t="s">
        <v>31615</v>
      </c>
      <c r="J12407" t="s">
        <v>39375</v>
      </c>
      <c r="K12407" t="s">
        <v>41186</v>
      </c>
      <c r="M12407" t="s">
        <v>41566</v>
      </c>
      <c r="N12407" t="s">
        <v>45095</v>
      </c>
      <c r="O12407" t="s">
        <v>45096</v>
      </c>
      <c r="Q12407">
        <v>9</v>
      </c>
      <c r="R12407" t="s">
        <v>45111</v>
      </c>
      <c r="S12407" t="s">
        <v>45723</v>
      </c>
      <c r="T12407" t="s">
        <v>47391</v>
      </c>
      <c r="U12407" t="s">
        <v>47584</v>
      </c>
      <c r="V12407" t="s">
        <v>61202</v>
      </c>
      <c r="W12407" t="s">
        <v>41566</v>
      </c>
      <c r="X12407" t="s">
        <v>45112</v>
      </c>
    </row>
    <row r="12408" spans="1:24">
      <c r="A12408">
        <f>HYPERLINK("https://www.philgeps.gov.ph/GEPSNONPILOT/Tender/SplashBidNoticeAbstractUI.aspx?menuIndex=3&amp;refID=7019625&amp;Result=3","7019625")</f>
        <v>0</v>
      </c>
      <c r="B12408" t="s">
        <v>1443</v>
      </c>
      <c r="C12408" t="s">
        <v>15058</v>
      </c>
      <c r="D12408" t="s">
        <v>18074</v>
      </c>
      <c r="E12408" t="s">
        <v>28852</v>
      </c>
      <c r="F12408" t="s">
        <v>31574</v>
      </c>
      <c r="G12408" t="s">
        <v>31582</v>
      </c>
      <c r="H12408" t="s">
        <v>31591</v>
      </c>
      <c r="I12408" t="s">
        <v>8822</v>
      </c>
      <c r="J12408" t="s">
        <v>39376</v>
      </c>
      <c r="K12408" t="s">
        <v>41427</v>
      </c>
      <c r="M12408" t="s">
        <v>43523</v>
      </c>
      <c r="N12408" t="s">
        <v>45095</v>
      </c>
      <c r="O12408" t="s">
        <v>45096</v>
      </c>
      <c r="P12408">
        <v>0</v>
      </c>
      <c r="Q12408">
        <v>0</v>
      </c>
      <c r="R12408" t="s">
        <v>45111</v>
      </c>
      <c r="S12408" t="s">
        <v>45694</v>
      </c>
      <c r="T12408" t="s">
        <v>47086</v>
      </c>
      <c r="U12408" t="s">
        <v>57580</v>
      </c>
      <c r="V12408" t="s">
        <v>60477</v>
      </c>
      <c r="W12408" t="s">
        <v>43523</v>
      </c>
      <c r="X12408" t="s">
        <v>45112</v>
      </c>
    </row>
    <row r="12409" spans="1:24">
      <c r="A12409">
        <f>HYPERLINK("https://www.philgeps.gov.ph/GEPSNONPILOT/Tender/SplashBidNoticeAbstractUI.aspx?menuIndex=3&amp;refID=7019553&amp;Result=3","7019553")</f>
        <v>0</v>
      </c>
      <c r="B12409" t="s">
        <v>1443</v>
      </c>
      <c r="C12409" t="s">
        <v>15059</v>
      </c>
      <c r="D12409" t="s">
        <v>18074</v>
      </c>
      <c r="E12409" t="s">
        <v>28853</v>
      </c>
      <c r="F12409" t="s">
        <v>31574</v>
      </c>
      <c r="G12409" t="s">
        <v>31582</v>
      </c>
      <c r="H12409" t="s">
        <v>31591</v>
      </c>
      <c r="I12409" t="s">
        <v>8822</v>
      </c>
      <c r="J12409" t="s">
        <v>39377</v>
      </c>
      <c r="K12409" t="s">
        <v>41199</v>
      </c>
      <c r="M12409" t="s">
        <v>43523</v>
      </c>
      <c r="N12409" t="s">
        <v>45095</v>
      </c>
      <c r="O12409" t="s">
        <v>45096</v>
      </c>
      <c r="P12409">
        <v>0</v>
      </c>
      <c r="Q12409">
        <v>0</v>
      </c>
      <c r="R12409" t="s">
        <v>45111</v>
      </c>
      <c r="S12409" t="s">
        <v>45694</v>
      </c>
      <c r="T12409" t="s">
        <v>47086</v>
      </c>
      <c r="U12409" t="s">
        <v>57587</v>
      </c>
      <c r="V12409" t="s">
        <v>60477</v>
      </c>
      <c r="W12409" t="s">
        <v>43523</v>
      </c>
      <c r="X12409" t="s">
        <v>45112</v>
      </c>
    </row>
    <row r="12410" spans="1:24">
      <c r="A12410">
        <f>HYPERLINK("https://www.philgeps.gov.ph/GEPSNONPILOT/Tender/SplashBidNoticeAbstractUI.aspx?menuIndex=3&amp;refID=7019669&amp;Result=3","7019669")</f>
        <v>0</v>
      </c>
      <c r="B12410" t="s">
        <v>2939</v>
      </c>
      <c r="C12410" t="s">
        <v>15060</v>
      </c>
      <c r="E12410" t="s">
        <v>28854</v>
      </c>
      <c r="F12410" t="s">
        <v>31574</v>
      </c>
      <c r="G12410" t="s">
        <v>31582</v>
      </c>
      <c r="H12410" t="s">
        <v>31591</v>
      </c>
      <c r="I12410" t="s">
        <v>8822</v>
      </c>
      <c r="J12410" t="s">
        <v>39378</v>
      </c>
      <c r="K12410" t="s">
        <v>41339</v>
      </c>
      <c r="M12410" t="s">
        <v>44753</v>
      </c>
      <c r="N12410" t="s">
        <v>45095</v>
      </c>
      <c r="O12410" t="s">
        <v>45096</v>
      </c>
      <c r="P12410">
        <v>0</v>
      </c>
      <c r="Q12410">
        <v>3</v>
      </c>
      <c r="R12410" t="s">
        <v>45111</v>
      </c>
      <c r="S12410" t="s">
        <v>45694</v>
      </c>
      <c r="T12410" t="s">
        <v>47008</v>
      </c>
      <c r="U12410" t="s">
        <v>57588</v>
      </c>
      <c r="W12410" t="s">
        <v>44753</v>
      </c>
      <c r="X12410" t="s">
        <v>45112</v>
      </c>
    </row>
    <row r="12411" spans="1:24">
      <c r="A12411">
        <f>HYPERLINK("https://www.philgeps.gov.ph/GEPSNONPILOT/Tender/SplashBidNoticeAbstractUI.aspx?menuIndex=3&amp;refID=7019641&amp;Result=3","7019641")</f>
        <v>0</v>
      </c>
      <c r="B12411" t="s">
        <v>2345</v>
      </c>
      <c r="C12411" t="s">
        <v>15061</v>
      </c>
      <c r="D12411" t="s">
        <v>18060</v>
      </c>
      <c r="E12411" t="s">
        <v>28855</v>
      </c>
      <c r="F12411" t="s">
        <v>31574</v>
      </c>
      <c r="G12411" t="s">
        <v>31582</v>
      </c>
      <c r="H12411" t="s">
        <v>31590</v>
      </c>
      <c r="I12411" t="s">
        <v>5717</v>
      </c>
      <c r="J12411" t="s">
        <v>31771</v>
      </c>
      <c r="K12411" t="s">
        <v>41194</v>
      </c>
      <c r="M12411" t="s">
        <v>44061</v>
      </c>
      <c r="N12411" t="s">
        <v>45095</v>
      </c>
      <c r="O12411" t="s">
        <v>45096</v>
      </c>
      <c r="P12411">
        <v>0</v>
      </c>
      <c r="Q12411">
        <v>3</v>
      </c>
      <c r="R12411" t="s">
        <v>45111</v>
      </c>
      <c r="S12411" t="s">
        <v>45694</v>
      </c>
      <c r="T12411" t="s">
        <v>46952</v>
      </c>
      <c r="U12411" t="s">
        <v>57589</v>
      </c>
      <c r="W12411" t="s">
        <v>61734</v>
      </c>
      <c r="X12411" t="s">
        <v>45112</v>
      </c>
    </row>
    <row r="12412" spans="1:24">
      <c r="A12412">
        <f>HYPERLINK("https://www.philgeps.gov.ph/GEPSNONPILOT/Tender/SplashBidNoticeAbstractUI.aspx?menuIndex=3&amp;refID=7019678&amp;Result=3","7019678")</f>
        <v>0</v>
      </c>
      <c r="B12412" t="s">
        <v>2559</v>
      </c>
      <c r="C12412" t="s">
        <v>15062</v>
      </c>
      <c r="D12412" t="s">
        <v>18066</v>
      </c>
      <c r="E12412" t="s">
        <v>28856</v>
      </c>
      <c r="F12412" t="s">
        <v>31574</v>
      </c>
      <c r="G12412" t="s">
        <v>31582</v>
      </c>
      <c r="H12412" t="s">
        <v>31590</v>
      </c>
      <c r="I12412" t="s">
        <v>6800</v>
      </c>
      <c r="J12412" t="s">
        <v>39379</v>
      </c>
      <c r="K12412" t="s">
        <v>41184</v>
      </c>
      <c r="M12412" t="s">
        <v>44298</v>
      </c>
      <c r="N12412" t="s">
        <v>45095</v>
      </c>
      <c r="O12412" t="s">
        <v>45096</v>
      </c>
      <c r="P12412">
        <v>0</v>
      </c>
      <c r="Q12412">
        <v>3</v>
      </c>
      <c r="R12412" t="s">
        <v>45111</v>
      </c>
      <c r="S12412" t="s">
        <v>45694</v>
      </c>
      <c r="T12412" t="s">
        <v>46952</v>
      </c>
      <c r="U12412" t="s">
        <v>50537</v>
      </c>
      <c r="W12412" t="s">
        <v>44298</v>
      </c>
      <c r="X12412" t="s">
        <v>45112</v>
      </c>
    </row>
    <row r="12413" spans="1:24">
      <c r="A12413">
        <f>HYPERLINK("https://www.philgeps.gov.ph/GEPSNONPILOT/Tender/SplashBidNoticeAbstractUI.aspx?menuIndex=3&amp;refID=7019618&amp;Result=3","7019618")</f>
        <v>0</v>
      </c>
      <c r="B12413" t="s">
        <v>362</v>
      </c>
      <c r="C12413" t="s">
        <v>15063</v>
      </c>
      <c r="D12413" t="s">
        <v>18068</v>
      </c>
      <c r="E12413" t="s">
        <v>28857</v>
      </c>
      <c r="F12413" t="s">
        <v>31574</v>
      </c>
      <c r="G12413" t="s">
        <v>31582</v>
      </c>
      <c r="H12413" t="s">
        <v>31591</v>
      </c>
      <c r="I12413" t="s">
        <v>8822</v>
      </c>
      <c r="J12413" t="s">
        <v>39380</v>
      </c>
      <c r="K12413" t="s">
        <v>41192</v>
      </c>
      <c r="M12413" t="s">
        <v>41852</v>
      </c>
      <c r="N12413" t="s">
        <v>45095</v>
      </c>
      <c r="O12413" t="s">
        <v>45096</v>
      </c>
      <c r="P12413">
        <v>0</v>
      </c>
      <c r="Q12413">
        <v>0</v>
      </c>
      <c r="R12413" t="s">
        <v>45111</v>
      </c>
      <c r="S12413" t="s">
        <v>45694</v>
      </c>
      <c r="T12413" t="s">
        <v>46979</v>
      </c>
      <c r="U12413" t="s">
        <v>57590</v>
      </c>
      <c r="W12413" t="s">
        <v>41852</v>
      </c>
      <c r="X12413" t="s">
        <v>45112</v>
      </c>
    </row>
    <row r="12414" spans="1:24">
      <c r="A12414">
        <f>HYPERLINK("https://www.philgeps.gov.ph/GEPSNONPILOT/Tender/SplashBidNoticeAbstractUI.aspx?menuIndex=3&amp;refID=7019663&amp;Result=3","7019663")</f>
        <v>0</v>
      </c>
      <c r="B12414" t="s">
        <v>1443</v>
      </c>
      <c r="C12414" t="s">
        <v>15064</v>
      </c>
      <c r="D12414" t="s">
        <v>18074</v>
      </c>
      <c r="E12414" t="s">
        <v>28858</v>
      </c>
      <c r="F12414" t="s">
        <v>31574</v>
      </c>
      <c r="G12414" t="s">
        <v>31582</v>
      </c>
      <c r="H12414" t="s">
        <v>31591</v>
      </c>
      <c r="I12414" t="s">
        <v>8822</v>
      </c>
      <c r="J12414" t="s">
        <v>39381</v>
      </c>
      <c r="K12414" t="s">
        <v>41270</v>
      </c>
      <c r="M12414" t="s">
        <v>43523</v>
      </c>
      <c r="N12414" t="s">
        <v>45095</v>
      </c>
      <c r="O12414" t="s">
        <v>45096</v>
      </c>
      <c r="P12414">
        <v>0</v>
      </c>
      <c r="Q12414">
        <v>2</v>
      </c>
      <c r="R12414" t="s">
        <v>45111</v>
      </c>
      <c r="S12414" t="s">
        <v>45694</v>
      </c>
      <c r="T12414" t="s">
        <v>47086</v>
      </c>
      <c r="U12414" t="s">
        <v>57591</v>
      </c>
      <c r="V12414" t="s">
        <v>60477</v>
      </c>
      <c r="W12414" t="s">
        <v>43523</v>
      </c>
      <c r="X12414" t="s">
        <v>45112</v>
      </c>
    </row>
    <row r="12415" spans="1:24">
      <c r="A12415">
        <f>HYPERLINK("https://www.philgeps.gov.ph/GEPSNONPILOT/Tender/SplashBidNoticeAbstractUI.aspx?menuIndex=3&amp;refID=7019675&amp;Result=3","7019675")</f>
        <v>0</v>
      </c>
      <c r="B12415" t="s">
        <v>180</v>
      </c>
      <c r="C12415" t="s">
        <v>15065</v>
      </c>
      <c r="D12415" t="s">
        <v>18066</v>
      </c>
      <c r="E12415" t="s">
        <v>28859</v>
      </c>
      <c r="F12415" t="s">
        <v>31574</v>
      </c>
      <c r="G12415" t="s">
        <v>31582</v>
      </c>
      <c r="H12415" t="s">
        <v>31591</v>
      </c>
      <c r="I12415" t="s">
        <v>8822</v>
      </c>
      <c r="J12415" t="s">
        <v>39382</v>
      </c>
      <c r="K12415" t="s">
        <v>41189</v>
      </c>
      <c r="M12415" t="s">
        <v>41665</v>
      </c>
      <c r="N12415" t="s">
        <v>45095</v>
      </c>
      <c r="O12415" t="s">
        <v>45096</v>
      </c>
      <c r="P12415">
        <v>0</v>
      </c>
      <c r="Q12415">
        <v>2</v>
      </c>
      <c r="R12415" t="s">
        <v>45111</v>
      </c>
      <c r="S12415" t="s">
        <v>45694</v>
      </c>
      <c r="T12415" t="s">
        <v>46977</v>
      </c>
      <c r="U12415" t="s">
        <v>57592</v>
      </c>
      <c r="W12415" t="s">
        <v>41665</v>
      </c>
      <c r="X12415" t="s">
        <v>45112</v>
      </c>
    </row>
    <row r="12416" spans="1:24">
      <c r="A12416">
        <f>HYPERLINK("https://www.philgeps.gov.ph/GEPSNONPILOT/Tender/SplashBidNoticeAbstractUI.aspx?menuIndex=3&amp;refID=7019613&amp;Result=3","7019613")</f>
        <v>0</v>
      </c>
      <c r="B12416" t="s">
        <v>674</v>
      </c>
      <c r="C12416" t="s">
        <v>15066</v>
      </c>
      <c r="D12416" t="s">
        <v>18071</v>
      </c>
      <c r="E12416" t="s">
        <v>28860</v>
      </c>
      <c r="F12416" t="s">
        <v>31574</v>
      </c>
      <c r="G12416" t="s">
        <v>31582</v>
      </c>
      <c r="H12416" t="s">
        <v>31590</v>
      </c>
      <c r="I12416" t="s">
        <v>5717</v>
      </c>
      <c r="J12416" t="s">
        <v>39383</v>
      </c>
      <c r="K12416" t="s">
        <v>41191</v>
      </c>
      <c r="M12416" t="s">
        <v>42180</v>
      </c>
      <c r="N12416" t="s">
        <v>45095</v>
      </c>
      <c r="O12416" t="s">
        <v>45096</v>
      </c>
      <c r="Q12416">
        <v>6</v>
      </c>
      <c r="R12416" t="s">
        <v>45111</v>
      </c>
      <c r="S12416" t="s">
        <v>45558</v>
      </c>
      <c r="T12416" t="s">
        <v>46979</v>
      </c>
      <c r="U12416" t="s">
        <v>57593</v>
      </c>
      <c r="W12416" t="s">
        <v>42180</v>
      </c>
      <c r="X12416" t="s">
        <v>45112</v>
      </c>
    </row>
    <row r="12417" spans="1:24">
      <c r="A12417">
        <f>HYPERLINK("https://www.philgeps.gov.ph/GEPSNONPILOT/Tender/SplashBidNoticeAbstractUI.aspx?menuIndex=3&amp;refID=7019683&amp;Result=3","7019683")</f>
        <v>0</v>
      </c>
      <c r="B12417" t="s">
        <v>2938</v>
      </c>
      <c r="C12417" t="s">
        <v>15067</v>
      </c>
      <c r="D12417" t="s">
        <v>18022</v>
      </c>
      <c r="E12417" t="s">
        <v>28861</v>
      </c>
      <c r="F12417" t="s">
        <v>31574</v>
      </c>
      <c r="G12417" t="s">
        <v>31582</v>
      </c>
      <c r="H12417" t="s">
        <v>31590</v>
      </c>
      <c r="I12417" t="s">
        <v>31648</v>
      </c>
      <c r="J12417" t="s">
        <v>39384</v>
      </c>
      <c r="K12417" t="s">
        <v>41186</v>
      </c>
      <c r="M12417" t="s">
        <v>44752</v>
      </c>
      <c r="N12417" t="s">
        <v>45095</v>
      </c>
      <c r="O12417" t="s">
        <v>45096</v>
      </c>
      <c r="P12417">
        <v>0</v>
      </c>
      <c r="Q12417">
        <v>4</v>
      </c>
      <c r="R12417" t="s">
        <v>45111</v>
      </c>
      <c r="S12417" t="s">
        <v>45694</v>
      </c>
      <c r="T12417" t="s">
        <v>47159</v>
      </c>
      <c r="U12417" t="s">
        <v>57594</v>
      </c>
      <c r="W12417" t="s">
        <v>44752</v>
      </c>
      <c r="X12417" t="s">
        <v>45112</v>
      </c>
    </row>
    <row r="12418" spans="1:24">
      <c r="A12418">
        <f>HYPERLINK("https://www.philgeps.gov.ph/GEPSNONPILOT/Tender/SplashBidNoticeAbstractUI.aspx?menuIndex=3&amp;refID=7019656&amp;Result=3","7019656")</f>
        <v>0</v>
      </c>
      <c r="B12418" t="s">
        <v>2938</v>
      </c>
      <c r="C12418" t="s">
        <v>15067</v>
      </c>
      <c r="D12418" t="s">
        <v>18022</v>
      </c>
      <c r="E12418" t="s">
        <v>28862</v>
      </c>
      <c r="F12418" t="s">
        <v>31574</v>
      </c>
      <c r="G12418" t="s">
        <v>31582</v>
      </c>
      <c r="H12418" t="s">
        <v>31590</v>
      </c>
      <c r="I12418" t="s">
        <v>31648</v>
      </c>
      <c r="J12418" t="s">
        <v>39384</v>
      </c>
      <c r="K12418" t="s">
        <v>41186</v>
      </c>
      <c r="M12418" t="s">
        <v>44752</v>
      </c>
      <c r="N12418" t="s">
        <v>45095</v>
      </c>
      <c r="O12418" t="s">
        <v>45096</v>
      </c>
      <c r="P12418">
        <v>0</v>
      </c>
      <c r="Q12418">
        <v>4</v>
      </c>
      <c r="R12418" t="s">
        <v>45111</v>
      </c>
      <c r="S12418" t="s">
        <v>45694</v>
      </c>
      <c r="T12418" t="s">
        <v>47159</v>
      </c>
      <c r="U12418" t="s">
        <v>57595</v>
      </c>
      <c r="W12418" t="s">
        <v>44752</v>
      </c>
      <c r="X12418" t="s">
        <v>45112</v>
      </c>
    </row>
    <row r="12419" spans="1:24">
      <c r="A12419">
        <f>HYPERLINK("https://www.philgeps.gov.ph/GEPSNONPILOT/Tender/SplashBidNoticeAbstractUI.aspx?menuIndex=3&amp;refID=7019674&amp;Result=3","7019674")</f>
        <v>0</v>
      </c>
      <c r="B12419" t="s">
        <v>1518</v>
      </c>
      <c r="C12419" t="s">
        <v>15068</v>
      </c>
      <c r="D12419" t="s">
        <v>18041</v>
      </c>
      <c r="E12419" t="s">
        <v>28863</v>
      </c>
      <c r="F12419" t="s">
        <v>31574</v>
      </c>
      <c r="G12419" t="s">
        <v>31581</v>
      </c>
      <c r="H12419" t="s">
        <v>31590</v>
      </c>
      <c r="I12419" t="s">
        <v>31594</v>
      </c>
      <c r="J12419" t="s">
        <v>39385</v>
      </c>
      <c r="K12419" t="s">
        <v>41186</v>
      </c>
      <c r="M12419" t="s">
        <v>43109</v>
      </c>
      <c r="N12419" t="s">
        <v>45095</v>
      </c>
      <c r="O12419" t="s">
        <v>45096</v>
      </c>
      <c r="P12419">
        <v>0</v>
      </c>
      <c r="Q12419">
        <v>13</v>
      </c>
      <c r="R12419" t="s">
        <v>45111</v>
      </c>
      <c r="S12419" t="s">
        <v>45694</v>
      </c>
      <c r="T12419" t="s">
        <v>47158</v>
      </c>
      <c r="U12419" t="s">
        <v>57596</v>
      </c>
      <c r="W12419" t="s">
        <v>43109</v>
      </c>
      <c r="X12419" t="s">
        <v>45112</v>
      </c>
    </row>
    <row r="12420" spans="1:24">
      <c r="A12420">
        <f>HYPERLINK("https://www.philgeps.gov.ph/GEPSNONPILOT/Tender/SplashBidNoticeAbstractUI.aspx?menuIndex=3&amp;refID=7019603&amp;Result=3","7019603")</f>
        <v>0</v>
      </c>
      <c r="B12420" t="s">
        <v>2940</v>
      </c>
      <c r="C12420" t="s">
        <v>15069</v>
      </c>
      <c r="D12420" t="s">
        <v>18023</v>
      </c>
      <c r="E12420" t="s">
        <v>28864</v>
      </c>
      <c r="F12420" t="s">
        <v>31575</v>
      </c>
      <c r="G12420" t="s">
        <v>31582</v>
      </c>
      <c r="H12420" t="s">
        <v>31591</v>
      </c>
      <c r="I12420" t="s">
        <v>8822</v>
      </c>
      <c r="J12420" t="s">
        <v>35880</v>
      </c>
      <c r="K12420" t="s">
        <v>41186</v>
      </c>
      <c r="M12420" t="s">
        <v>44754</v>
      </c>
      <c r="N12420" t="s">
        <v>45095</v>
      </c>
      <c r="O12420" t="s">
        <v>45096</v>
      </c>
      <c r="P12420">
        <v>0</v>
      </c>
      <c r="Q12420">
        <v>1</v>
      </c>
      <c r="R12420" t="s">
        <v>45111</v>
      </c>
      <c r="S12420" t="s">
        <v>45694</v>
      </c>
      <c r="T12420" t="s">
        <v>47164</v>
      </c>
      <c r="U12420" t="s">
        <v>57597</v>
      </c>
      <c r="W12420" t="s">
        <v>44754</v>
      </c>
      <c r="X12420" t="s">
        <v>45112</v>
      </c>
    </row>
    <row r="12421" spans="1:24">
      <c r="A12421">
        <f>HYPERLINK("https://www.philgeps.gov.ph/GEPSNONPILOT/Tender/SplashBidNoticeAbstractUI.aspx?menuIndex=3&amp;refID=7019731&amp;Result=3","7019731")</f>
        <v>0</v>
      </c>
      <c r="B12421" t="s">
        <v>1443</v>
      </c>
      <c r="C12421" t="s">
        <v>15070</v>
      </c>
      <c r="D12421" t="s">
        <v>18074</v>
      </c>
      <c r="E12421" t="s">
        <v>28865</v>
      </c>
      <c r="F12421" t="s">
        <v>31574</v>
      </c>
      <c r="G12421" t="s">
        <v>31582</v>
      </c>
      <c r="H12421" t="s">
        <v>31591</v>
      </c>
      <c r="I12421" t="s">
        <v>8822</v>
      </c>
      <c r="J12421" t="s">
        <v>39386</v>
      </c>
      <c r="K12421" t="s">
        <v>41295</v>
      </c>
      <c r="M12421" t="s">
        <v>43523</v>
      </c>
      <c r="N12421" t="s">
        <v>45095</v>
      </c>
      <c r="O12421" t="s">
        <v>45096</v>
      </c>
      <c r="P12421">
        <v>0</v>
      </c>
      <c r="Q12421">
        <v>0</v>
      </c>
      <c r="R12421" t="s">
        <v>45111</v>
      </c>
      <c r="S12421" t="s">
        <v>45694</v>
      </c>
      <c r="T12421" t="s">
        <v>47086</v>
      </c>
      <c r="U12421" t="s">
        <v>57598</v>
      </c>
      <c r="V12421" t="s">
        <v>60477</v>
      </c>
      <c r="W12421" t="s">
        <v>43523</v>
      </c>
      <c r="X12421" t="s">
        <v>45112</v>
      </c>
    </row>
    <row r="12422" spans="1:24">
      <c r="A12422">
        <f>HYPERLINK("https://www.philgeps.gov.ph/GEPSNONPILOT/Tender/SplashBidNoticeAbstractUI.aspx?menuIndex=3&amp;refID=7019670&amp;Result=3","7019670")</f>
        <v>0</v>
      </c>
      <c r="B12422" t="s">
        <v>2941</v>
      </c>
      <c r="C12422" t="s">
        <v>15071</v>
      </c>
      <c r="D12422" t="s">
        <v>18036</v>
      </c>
      <c r="E12422" t="s">
        <v>18448</v>
      </c>
      <c r="F12422" t="s">
        <v>31574</v>
      </c>
      <c r="G12422" t="s">
        <v>31582</v>
      </c>
      <c r="H12422" t="s">
        <v>31591</v>
      </c>
      <c r="I12422" t="s">
        <v>8822</v>
      </c>
      <c r="J12422" t="s">
        <v>31727</v>
      </c>
      <c r="K12422" t="s">
        <v>41186</v>
      </c>
      <c r="M12422" t="s">
        <v>44755</v>
      </c>
      <c r="N12422" t="s">
        <v>45095</v>
      </c>
      <c r="O12422" t="s">
        <v>45096</v>
      </c>
      <c r="P12422">
        <v>0</v>
      </c>
      <c r="Q12422">
        <v>0</v>
      </c>
      <c r="R12422" t="s">
        <v>45111</v>
      </c>
      <c r="S12422" t="s">
        <v>45694</v>
      </c>
      <c r="T12422" t="s">
        <v>47154</v>
      </c>
      <c r="U12422" t="s">
        <v>57599</v>
      </c>
      <c r="W12422" t="s">
        <v>44755</v>
      </c>
      <c r="X12422" t="s">
        <v>45112</v>
      </c>
    </row>
    <row r="12423" spans="1:24">
      <c r="A12423">
        <f>HYPERLINK("https://www.philgeps.gov.ph/GEPSNONPILOT/Tender/SplashBidNoticeAbstractUI.aspx?menuIndex=3&amp;refID=7019724&amp;Result=3","7019724")</f>
        <v>0</v>
      </c>
      <c r="B12423" t="s">
        <v>1443</v>
      </c>
      <c r="C12423" t="s">
        <v>15072</v>
      </c>
      <c r="D12423" t="s">
        <v>18074</v>
      </c>
      <c r="E12423" t="s">
        <v>28866</v>
      </c>
      <c r="F12423" t="s">
        <v>31574</v>
      </c>
      <c r="G12423" t="s">
        <v>31582</v>
      </c>
      <c r="H12423" t="s">
        <v>31591</v>
      </c>
      <c r="I12423" t="s">
        <v>8822</v>
      </c>
      <c r="J12423" t="s">
        <v>39387</v>
      </c>
      <c r="K12423" t="s">
        <v>41427</v>
      </c>
      <c r="M12423" t="s">
        <v>43523</v>
      </c>
      <c r="N12423" t="s">
        <v>45095</v>
      </c>
      <c r="O12423" t="s">
        <v>45096</v>
      </c>
      <c r="P12423">
        <v>0</v>
      </c>
      <c r="Q12423">
        <v>0</v>
      </c>
      <c r="R12423" t="s">
        <v>45111</v>
      </c>
      <c r="S12423" t="s">
        <v>45694</v>
      </c>
      <c r="T12423" t="s">
        <v>47086</v>
      </c>
      <c r="U12423" t="s">
        <v>57600</v>
      </c>
      <c r="V12423" t="s">
        <v>60477</v>
      </c>
      <c r="W12423" t="s">
        <v>43523</v>
      </c>
      <c r="X12423" t="s">
        <v>45112</v>
      </c>
    </row>
    <row r="12424" spans="1:24">
      <c r="A12424">
        <f>HYPERLINK("https://www.philgeps.gov.ph/GEPSNONPILOT/Tender/SplashBidNoticeAbstractUI.aspx?menuIndex=3&amp;refID=7019713&amp;Result=3","7019713")</f>
        <v>0</v>
      </c>
      <c r="B12424" t="s">
        <v>1443</v>
      </c>
      <c r="C12424" t="s">
        <v>15073</v>
      </c>
      <c r="D12424" t="s">
        <v>18074</v>
      </c>
      <c r="E12424" t="s">
        <v>28867</v>
      </c>
      <c r="F12424" t="s">
        <v>31574</v>
      </c>
      <c r="G12424" t="s">
        <v>31582</v>
      </c>
      <c r="H12424" t="s">
        <v>31591</v>
      </c>
      <c r="I12424" t="s">
        <v>8822</v>
      </c>
      <c r="J12424" t="s">
        <v>39388</v>
      </c>
      <c r="K12424" t="s">
        <v>41189</v>
      </c>
      <c r="M12424" t="s">
        <v>43523</v>
      </c>
      <c r="N12424" t="s">
        <v>45095</v>
      </c>
      <c r="O12424" t="s">
        <v>45096</v>
      </c>
      <c r="P12424">
        <v>0</v>
      </c>
      <c r="Q12424">
        <v>0</v>
      </c>
      <c r="R12424" t="s">
        <v>45111</v>
      </c>
      <c r="S12424" t="s">
        <v>45694</v>
      </c>
      <c r="T12424" t="s">
        <v>47086</v>
      </c>
      <c r="U12424" t="s">
        <v>57601</v>
      </c>
      <c r="V12424" t="s">
        <v>60477</v>
      </c>
      <c r="W12424" t="s">
        <v>43523</v>
      </c>
      <c r="X12424" t="s">
        <v>45112</v>
      </c>
    </row>
    <row r="12425" spans="1:24">
      <c r="A12425">
        <f>HYPERLINK("https://www.philgeps.gov.ph/GEPSNONPILOT/Tender/SplashBidNoticeAbstractUI.aspx?menuIndex=3&amp;refID=7019737&amp;Result=3","7019737")</f>
        <v>0</v>
      </c>
      <c r="B12425" t="s">
        <v>1443</v>
      </c>
      <c r="C12425" t="s">
        <v>15074</v>
      </c>
      <c r="D12425" t="s">
        <v>18074</v>
      </c>
      <c r="E12425" t="s">
        <v>28868</v>
      </c>
      <c r="F12425" t="s">
        <v>31574</v>
      </c>
      <c r="G12425" t="s">
        <v>31582</v>
      </c>
      <c r="H12425" t="s">
        <v>31591</v>
      </c>
      <c r="I12425" t="s">
        <v>8822</v>
      </c>
      <c r="J12425" t="s">
        <v>39389</v>
      </c>
      <c r="K12425" t="s">
        <v>41449</v>
      </c>
      <c r="M12425" t="s">
        <v>43523</v>
      </c>
      <c r="N12425" t="s">
        <v>45095</v>
      </c>
      <c r="O12425" t="s">
        <v>45096</v>
      </c>
      <c r="P12425">
        <v>0</v>
      </c>
      <c r="Q12425">
        <v>1</v>
      </c>
      <c r="R12425" t="s">
        <v>45111</v>
      </c>
      <c r="S12425" t="s">
        <v>45694</v>
      </c>
      <c r="T12425" t="s">
        <v>47086</v>
      </c>
      <c r="U12425" t="s">
        <v>57602</v>
      </c>
      <c r="V12425" t="s">
        <v>60477</v>
      </c>
      <c r="W12425" t="s">
        <v>43523</v>
      </c>
      <c r="X12425" t="s">
        <v>45112</v>
      </c>
    </row>
    <row r="12426" spans="1:24">
      <c r="A12426">
        <f>HYPERLINK("https://www.philgeps.gov.ph/GEPSNONPILOT/Tender/SplashBidNoticeAbstractUI.aspx?menuIndex=3&amp;refID=7019595&amp;Result=3","7019595")</f>
        <v>0</v>
      </c>
      <c r="B12426" t="s">
        <v>1443</v>
      </c>
      <c r="C12426" t="s">
        <v>15075</v>
      </c>
      <c r="D12426" t="s">
        <v>18074</v>
      </c>
      <c r="E12426" t="s">
        <v>28869</v>
      </c>
      <c r="F12426" t="s">
        <v>31574</v>
      </c>
      <c r="G12426" t="s">
        <v>31582</v>
      </c>
      <c r="H12426" t="s">
        <v>31591</v>
      </c>
      <c r="I12426" t="s">
        <v>8822</v>
      </c>
      <c r="J12426" t="s">
        <v>39390</v>
      </c>
      <c r="K12426" t="s">
        <v>41427</v>
      </c>
      <c r="M12426" t="s">
        <v>43523</v>
      </c>
      <c r="N12426" t="s">
        <v>45095</v>
      </c>
      <c r="O12426" t="s">
        <v>45096</v>
      </c>
      <c r="P12426">
        <v>0</v>
      </c>
      <c r="Q12426">
        <v>0</v>
      </c>
      <c r="R12426" t="s">
        <v>45111</v>
      </c>
      <c r="S12426" t="s">
        <v>45694</v>
      </c>
      <c r="T12426" t="s">
        <v>47086</v>
      </c>
      <c r="U12426" t="s">
        <v>57603</v>
      </c>
      <c r="V12426" t="s">
        <v>60477</v>
      </c>
      <c r="W12426" t="s">
        <v>43523</v>
      </c>
      <c r="X12426" t="s">
        <v>45112</v>
      </c>
    </row>
    <row r="12427" spans="1:24">
      <c r="A12427">
        <f>HYPERLINK("https://www.philgeps.gov.ph/GEPSNONPILOT/Tender/SplashBidNoticeAbstractUI.aspx?menuIndex=3&amp;refID=7019707&amp;Result=3","7019707")</f>
        <v>0</v>
      </c>
      <c r="B12427" t="s">
        <v>394</v>
      </c>
      <c r="C12427" t="s">
        <v>15076</v>
      </c>
      <c r="D12427" t="s">
        <v>18056</v>
      </c>
      <c r="E12427" t="s">
        <v>28870</v>
      </c>
      <c r="F12427" t="s">
        <v>31574</v>
      </c>
      <c r="G12427" t="s">
        <v>31582</v>
      </c>
      <c r="H12427" t="s">
        <v>31591</v>
      </c>
      <c r="I12427" t="s">
        <v>8822</v>
      </c>
      <c r="J12427" t="s">
        <v>32026</v>
      </c>
      <c r="K12427" t="s">
        <v>41244</v>
      </c>
      <c r="M12427" t="s">
        <v>41885</v>
      </c>
      <c r="N12427" t="s">
        <v>45095</v>
      </c>
      <c r="O12427" t="s">
        <v>45096</v>
      </c>
      <c r="P12427">
        <v>0</v>
      </c>
      <c r="Q12427">
        <v>9</v>
      </c>
      <c r="R12427" t="s">
        <v>45111</v>
      </c>
      <c r="S12427" t="s">
        <v>45694</v>
      </c>
      <c r="T12427" t="s">
        <v>46932</v>
      </c>
      <c r="U12427" t="s">
        <v>57604</v>
      </c>
      <c r="V12427" t="s">
        <v>61203</v>
      </c>
      <c r="W12427" t="s">
        <v>41885</v>
      </c>
      <c r="X12427" t="s">
        <v>45112</v>
      </c>
    </row>
    <row r="12428" spans="1:24">
      <c r="A12428">
        <f>HYPERLINK("https://www.philgeps.gov.ph/GEPSNONPILOT/Tender/SplashBidNoticeAbstractUI.aspx?menuIndex=3&amp;refID=7019719&amp;Result=3","7019719")</f>
        <v>0</v>
      </c>
      <c r="B12428" t="s">
        <v>1443</v>
      </c>
      <c r="C12428" t="s">
        <v>15077</v>
      </c>
      <c r="D12428" t="s">
        <v>18074</v>
      </c>
      <c r="E12428" t="s">
        <v>28871</v>
      </c>
      <c r="F12428" t="s">
        <v>31574</v>
      </c>
      <c r="G12428" t="s">
        <v>31582</v>
      </c>
      <c r="H12428" t="s">
        <v>31591</v>
      </c>
      <c r="I12428" t="s">
        <v>8822</v>
      </c>
      <c r="J12428" t="s">
        <v>39391</v>
      </c>
      <c r="K12428" t="s">
        <v>41449</v>
      </c>
      <c r="M12428" t="s">
        <v>43523</v>
      </c>
      <c r="N12428" t="s">
        <v>45095</v>
      </c>
      <c r="O12428" t="s">
        <v>45096</v>
      </c>
      <c r="P12428">
        <v>0</v>
      </c>
      <c r="Q12428">
        <v>0</v>
      </c>
      <c r="R12428" t="s">
        <v>45111</v>
      </c>
      <c r="S12428" t="s">
        <v>45694</v>
      </c>
      <c r="T12428" t="s">
        <v>47086</v>
      </c>
      <c r="U12428" t="s">
        <v>57605</v>
      </c>
      <c r="V12428" t="s">
        <v>60477</v>
      </c>
      <c r="W12428" t="s">
        <v>43523</v>
      </c>
      <c r="X12428" t="s">
        <v>45112</v>
      </c>
    </row>
    <row r="12429" spans="1:24">
      <c r="A12429">
        <f>HYPERLINK("https://www.philgeps.gov.ph/GEPSNONPILOT/Tender/SplashBidNoticeAbstractUI.aspx?menuIndex=3&amp;refID=7019772&amp;Result=3","7019772")</f>
        <v>0</v>
      </c>
      <c r="B12429" t="s">
        <v>2942</v>
      </c>
      <c r="C12429" t="s">
        <v>15078</v>
      </c>
      <c r="E12429" t="s">
        <v>18227</v>
      </c>
      <c r="F12429" t="s">
        <v>31574</v>
      </c>
      <c r="G12429" t="s">
        <v>31582</v>
      </c>
      <c r="H12429" t="s">
        <v>31590</v>
      </c>
      <c r="I12429" t="s">
        <v>4046</v>
      </c>
      <c r="J12429" t="s">
        <v>39392</v>
      </c>
      <c r="K12429" t="s">
        <v>41184</v>
      </c>
      <c r="M12429" t="s">
        <v>44756</v>
      </c>
      <c r="N12429" t="s">
        <v>45095</v>
      </c>
      <c r="O12429" t="s">
        <v>45096</v>
      </c>
      <c r="P12429">
        <v>0</v>
      </c>
      <c r="Q12429">
        <v>1</v>
      </c>
      <c r="R12429" t="s">
        <v>45111</v>
      </c>
      <c r="S12429" t="s">
        <v>45694</v>
      </c>
      <c r="T12429" t="s">
        <v>47168</v>
      </c>
      <c r="U12429" t="s">
        <v>57606</v>
      </c>
      <c r="W12429" t="s">
        <v>44756</v>
      </c>
      <c r="X12429" t="s">
        <v>45112</v>
      </c>
    </row>
    <row r="12430" spans="1:24">
      <c r="A12430">
        <f>HYPERLINK("https://www.philgeps.gov.ph/GEPSNONPILOT/Tender/SplashBidNoticeAbstractUI.aspx?menuIndex=3&amp;refID=7019715&amp;Result=3","7019715")</f>
        <v>0</v>
      </c>
      <c r="B12430" t="s">
        <v>291</v>
      </c>
      <c r="C12430" t="s">
        <v>15079</v>
      </c>
      <c r="D12430" t="s">
        <v>18091</v>
      </c>
      <c r="E12430" t="s">
        <v>28872</v>
      </c>
      <c r="F12430" t="s">
        <v>31574</v>
      </c>
      <c r="G12430" t="s">
        <v>31582</v>
      </c>
      <c r="H12430" t="s">
        <v>31590</v>
      </c>
      <c r="I12430" t="s">
        <v>31623</v>
      </c>
      <c r="J12430" t="s">
        <v>31964</v>
      </c>
      <c r="K12430" t="s">
        <v>41211</v>
      </c>
      <c r="M12430" t="s">
        <v>41777</v>
      </c>
      <c r="N12430" t="s">
        <v>45095</v>
      </c>
      <c r="O12430" t="s">
        <v>45096</v>
      </c>
      <c r="P12430">
        <v>0</v>
      </c>
      <c r="Q12430">
        <v>1</v>
      </c>
      <c r="R12430" t="s">
        <v>45111</v>
      </c>
      <c r="S12430" t="s">
        <v>45694</v>
      </c>
      <c r="T12430" t="s">
        <v>46918</v>
      </c>
      <c r="U12430" t="s">
        <v>57607</v>
      </c>
      <c r="V12430" t="s">
        <v>59918</v>
      </c>
      <c r="W12430" t="s">
        <v>41777</v>
      </c>
      <c r="X12430" t="s">
        <v>45112</v>
      </c>
    </row>
    <row r="12431" spans="1:24">
      <c r="A12431">
        <f>HYPERLINK("https://www.philgeps.gov.ph/GEPSNONPILOT/Tender/SplashBidNoticeAbstractUI.aspx?menuIndex=3&amp;refID=7019702&amp;Result=3","7019702")</f>
        <v>0</v>
      </c>
      <c r="B12431" t="s">
        <v>2767</v>
      </c>
      <c r="C12431" t="s">
        <v>15080</v>
      </c>
      <c r="D12431" t="s">
        <v>18048</v>
      </c>
      <c r="E12431" t="s">
        <v>28873</v>
      </c>
      <c r="F12431" t="s">
        <v>31574</v>
      </c>
      <c r="G12431" t="s">
        <v>31582</v>
      </c>
      <c r="H12431" t="s">
        <v>31591</v>
      </c>
      <c r="I12431" t="s">
        <v>8822</v>
      </c>
      <c r="J12431" t="s">
        <v>35794</v>
      </c>
      <c r="K12431" t="s">
        <v>41298</v>
      </c>
      <c r="M12431" t="s">
        <v>44542</v>
      </c>
      <c r="N12431" t="s">
        <v>45095</v>
      </c>
      <c r="O12431" t="s">
        <v>45096</v>
      </c>
      <c r="P12431">
        <v>0</v>
      </c>
      <c r="Q12431">
        <v>1</v>
      </c>
      <c r="R12431" t="s">
        <v>45111</v>
      </c>
      <c r="S12431" t="s">
        <v>45694</v>
      </c>
      <c r="T12431" t="s">
        <v>47212</v>
      </c>
      <c r="U12431" t="s">
        <v>57608</v>
      </c>
      <c r="V12431" t="s">
        <v>61204</v>
      </c>
      <c r="W12431" t="s">
        <v>61754</v>
      </c>
      <c r="X12431" t="s">
        <v>45112</v>
      </c>
    </row>
    <row r="12432" spans="1:24">
      <c r="A12432">
        <f>HYPERLINK("https://www.philgeps.gov.ph/GEPSNONPILOT/Tender/SplashBidNoticeAbstractUI.aspx?menuIndex=3&amp;refID=7019708&amp;Result=3","7019708")</f>
        <v>0</v>
      </c>
      <c r="B12432" t="s">
        <v>1443</v>
      </c>
      <c r="C12432" t="s">
        <v>15081</v>
      </c>
      <c r="D12432" t="s">
        <v>18074</v>
      </c>
      <c r="E12432" t="s">
        <v>28874</v>
      </c>
      <c r="F12432" t="s">
        <v>31574</v>
      </c>
      <c r="G12432" t="s">
        <v>31582</v>
      </c>
      <c r="H12432" t="s">
        <v>31591</v>
      </c>
      <c r="I12432" t="s">
        <v>8822</v>
      </c>
      <c r="J12432" t="s">
        <v>39393</v>
      </c>
      <c r="K12432" t="s">
        <v>41189</v>
      </c>
      <c r="M12432" t="s">
        <v>43523</v>
      </c>
      <c r="N12432" t="s">
        <v>45095</v>
      </c>
      <c r="O12432" t="s">
        <v>45096</v>
      </c>
      <c r="P12432">
        <v>0</v>
      </c>
      <c r="Q12432">
        <v>0</v>
      </c>
      <c r="R12432" t="s">
        <v>45111</v>
      </c>
      <c r="S12432" t="s">
        <v>45694</v>
      </c>
      <c r="T12432" t="s">
        <v>47086</v>
      </c>
      <c r="U12432" t="s">
        <v>57609</v>
      </c>
      <c r="V12432" t="s">
        <v>60477</v>
      </c>
      <c r="W12432" t="s">
        <v>43523</v>
      </c>
      <c r="X12432" t="s">
        <v>45112</v>
      </c>
    </row>
    <row r="12433" spans="1:24">
      <c r="A12433">
        <f>HYPERLINK("https://www.philgeps.gov.ph/GEPSNONPILOT/Tender/SplashBidNoticeAbstractUI.aspx?menuIndex=3&amp;refID=7019760&amp;Result=3","7019760")</f>
        <v>0</v>
      </c>
      <c r="B12433" t="s">
        <v>2943</v>
      </c>
      <c r="C12433" t="s">
        <v>15082</v>
      </c>
      <c r="D12433" t="s">
        <v>18047</v>
      </c>
      <c r="E12433" t="s">
        <v>22090</v>
      </c>
      <c r="F12433" t="s">
        <v>31574</v>
      </c>
      <c r="G12433" t="s">
        <v>31582</v>
      </c>
      <c r="H12433" t="s">
        <v>31591</v>
      </c>
      <c r="I12433" t="s">
        <v>8822</v>
      </c>
      <c r="J12433" t="s">
        <v>32550</v>
      </c>
      <c r="K12433" t="s">
        <v>41202</v>
      </c>
      <c r="M12433" t="s">
        <v>44757</v>
      </c>
      <c r="N12433" t="s">
        <v>45095</v>
      </c>
      <c r="O12433" t="s">
        <v>45096</v>
      </c>
      <c r="P12433">
        <v>0</v>
      </c>
      <c r="Q12433">
        <v>4</v>
      </c>
      <c r="R12433" t="s">
        <v>45111</v>
      </c>
      <c r="S12433" t="s">
        <v>45694</v>
      </c>
      <c r="T12433" t="s">
        <v>46979</v>
      </c>
      <c r="U12433" t="s">
        <v>57610</v>
      </c>
      <c r="V12433" t="s">
        <v>61205</v>
      </c>
      <c r="W12433" t="s">
        <v>44757</v>
      </c>
      <c r="X12433" t="s">
        <v>45112</v>
      </c>
    </row>
    <row r="12434" spans="1:24">
      <c r="A12434">
        <f>HYPERLINK("https://www.philgeps.gov.ph/GEPSNONPILOT/Tender/SplashBidNoticeAbstractUI.aspx?menuIndex=3&amp;refID=7019766&amp;Result=3","7019766")</f>
        <v>0</v>
      </c>
      <c r="B12434" t="s">
        <v>2078</v>
      </c>
      <c r="C12434" t="s">
        <v>15083</v>
      </c>
      <c r="D12434" t="s">
        <v>18072</v>
      </c>
      <c r="E12434" t="s">
        <v>28875</v>
      </c>
      <c r="F12434" t="s">
        <v>31574</v>
      </c>
      <c r="G12434" t="s">
        <v>31582</v>
      </c>
      <c r="H12434" t="s">
        <v>31592</v>
      </c>
      <c r="I12434" t="s">
        <v>31601</v>
      </c>
      <c r="J12434" t="s">
        <v>33578</v>
      </c>
      <c r="K12434" t="s">
        <v>41196</v>
      </c>
      <c r="M12434" t="s">
        <v>43753</v>
      </c>
      <c r="N12434" t="s">
        <v>45095</v>
      </c>
      <c r="O12434" t="s">
        <v>45096</v>
      </c>
      <c r="P12434">
        <v>0</v>
      </c>
      <c r="Q12434">
        <v>0</v>
      </c>
      <c r="R12434" t="s">
        <v>45111</v>
      </c>
      <c r="S12434" t="s">
        <v>45694</v>
      </c>
      <c r="T12434" t="s">
        <v>47064</v>
      </c>
      <c r="U12434" t="s">
        <v>57611</v>
      </c>
      <c r="W12434" t="s">
        <v>43753</v>
      </c>
      <c r="X12434" t="s">
        <v>45112</v>
      </c>
    </row>
    <row r="12435" spans="1:24">
      <c r="A12435">
        <f>HYPERLINK("https://www.philgeps.gov.ph/GEPSNONPILOT/Tender/SplashBidNoticeAbstractUI.aspx?menuIndex=3&amp;refID=7019769&amp;Result=3","7019769")</f>
        <v>0</v>
      </c>
      <c r="B12435" t="s">
        <v>1305</v>
      </c>
      <c r="C12435" t="s">
        <v>15084</v>
      </c>
      <c r="D12435" t="s">
        <v>18101</v>
      </c>
      <c r="E12435" t="s">
        <v>28876</v>
      </c>
      <c r="F12435" t="s">
        <v>31574</v>
      </c>
      <c r="G12435" t="s">
        <v>31582</v>
      </c>
      <c r="H12435" t="s">
        <v>31590</v>
      </c>
      <c r="I12435" t="s">
        <v>8258</v>
      </c>
      <c r="J12435" t="s">
        <v>39394</v>
      </c>
      <c r="K12435" t="s">
        <v>41196</v>
      </c>
      <c r="M12435" t="s">
        <v>42875</v>
      </c>
      <c r="N12435" t="s">
        <v>45095</v>
      </c>
      <c r="O12435" t="s">
        <v>45096</v>
      </c>
      <c r="P12435">
        <v>0</v>
      </c>
      <c r="Q12435">
        <v>4</v>
      </c>
      <c r="R12435" t="s">
        <v>45111</v>
      </c>
      <c r="S12435" t="s">
        <v>45694</v>
      </c>
      <c r="T12435" t="s">
        <v>47154</v>
      </c>
      <c r="U12435" t="s">
        <v>57612</v>
      </c>
      <c r="W12435" t="s">
        <v>42875</v>
      </c>
      <c r="X12435" t="s">
        <v>45112</v>
      </c>
    </row>
    <row r="12436" spans="1:24">
      <c r="A12436">
        <f>HYPERLINK("https://www.philgeps.gov.ph/GEPSNONPILOT/Tender/SplashBidNoticeAbstractUI.aspx?menuIndex=3&amp;refID=7019761&amp;Result=3","7019761")</f>
        <v>0</v>
      </c>
      <c r="B12436" t="s">
        <v>2345</v>
      </c>
      <c r="C12436" t="s">
        <v>15085</v>
      </c>
      <c r="D12436" t="s">
        <v>18060</v>
      </c>
      <c r="E12436" t="s">
        <v>28877</v>
      </c>
      <c r="F12436" t="s">
        <v>31574</v>
      </c>
      <c r="G12436" t="s">
        <v>31582</v>
      </c>
      <c r="H12436" t="s">
        <v>31590</v>
      </c>
      <c r="I12436" t="s">
        <v>31602</v>
      </c>
      <c r="J12436" t="s">
        <v>31781</v>
      </c>
      <c r="K12436" t="s">
        <v>41216</v>
      </c>
      <c r="M12436" t="s">
        <v>44061</v>
      </c>
      <c r="N12436" t="s">
        <v>45095</v>
      </c>
      <c r="O12436" t="s">
        <v>45096</v>
      </c>
      <c r="P12436">
        <v>0</v>
      </c>
      <c r="Q12436">
        <v>0</v>
      </c>
      <c r="R12436" t="s">
        <v>45111</v>
      </c>
      <c r="S12436" t="s">
        <v>45694</v>
      </c>
      <c r="T12436" t="s">
        <v>46979</v>
      </c>
      <c r="U12436" t="s">
        <v>57613</v>
      </c>
      <c r="W12436" t="s">
        <v>61734</v>
      </c>
      <c r="X12436" t="s">
        <v>45112</v>
      </c>
    </row>
    <row r="12437" spans="1:24">
      <c r="A12437">
        <f>HYPERLINK("https://www.philgeps.gov.ph/GEPSNONPILOT/Tender/SplashBidNoticeAbstractUI.aspx?menuIndex=3&amp;refID=7019759&amp;Result=3","7019759")</f>
        <v>0</v>
      </c>
      <c r="B12437" t="s">
        <v>1443</v>
      </c>
      <c r="C12437" t="s">
        <v>15086</v>
      </c>
      <c r="D12437" t="s">
        <v>18074</v>
      </c>
      <c r="E12437" t="s">
        <v>28878</v>
      </c>
      <c r="F12437" t="s">
        <v>31574</v>
      </c>
      <c r="G12437" t="s">
        <v>31582</v>
      </c>
      <c r="H12437" t="s">
        <v>31591</v>
      </c>
      <c r="I12437" t="s">
        <v>8822</v>
      </c>
      <c r="J12437" t="s">
        <v>39395</v>
      </c>
      <c r="K12437" t="s">
        <v>41449</v>
      </c>
      <c r="M12437" t="s">
        <v>43523</v>
      </c>
      <c r="N12437" t="s">
        <v>45095</v>
      </c>
      <c r="O12437" t="s">
        <v>45096</v>
      </c>
      <c r="P12437">
        <v>0</v>
      </c>
      <c r="Q12437">
        <v>0</v>
      </c>
      <c r="R12437" t="s">
        <v>45111</v>
      </c>
      <c r="S12437" t="s">
        <v>45694</v>
      </c>
      <c r="T12437" t="s">
        <v>47086</v>
      </c>
      <c r="U12437" t="s">
        <v>57614</v>
      </c>
      <c r="V12437" t="s">
        <v>60477</v>
      </c>
      <c r="W12437" t="s">
        <v>43523</v>
      </c>
      <c r="X12437" t="s">
        <v>45112</v>
      </c>
    </row>
    <row r="12438" spans="1:24">
      <c r="A12438">
        <f>HYPERLINK("https://www.philgeps.gov.ph/GEPSNONPILOT/Tender/SplashBidNoticeAbstractUI.aspx?menuIndex=3&amp;refID=7019688&amp;Result=3","7019688")</f>
        <v>0</v>
      </c>
      <c r="B12438" t="s">
        <v>2944</v>
      </c>
      <c r="C12438" t="s">
        <v>15087</v>
      </c>
      <c r="D12438" t="s">
        <v>18084</v>
      </c>
      <c r="E12438" t="s">
        <v>28879</v>
      </c>
      <c r="F12438" t="s">
        <v>31574</v>
      </c>
      <c r="G12438" t="s">
        <v>31582</v>
      </c>
      <c r="H12438" t="s">
        <v>31591</v>
      </c>
      <c r="I12438" t="s">
        <v>8822</v>
      </c>
      <c r="J12438" t="s">
        <v>31935</v>
      </c>
      <c r="K12438" t="s">
        <v>41186</v>
      </c>
      <c r="M12438" t="s">
        <v>44758</v>
      </c>
      <c r="N12438" t="s">
        <v>45095</v>
      </c>
      <c r="O12438" t="s">
        <v>45096</v>
      </c>
      <c r="P12438">
        <v>0</v>
      </c>
      <c r="Q12438">
        <v>0</v>
      </c>
      <c r="R12438" t="s">
        <v>45111</v>
      </c>
      <c r="S12438" t="s">
        <v>45694</v>
      </c>
      <c r="T12438" t="s">
        <v>46918</v>
      </c>
      <c r="U12438" t="s">
        <v>57615</v>
      </c>
      <c r="W12438" t="s">
        <v>44758</v>
      </c>
      <c r="X12438" t="s">
        <v>45112</v>
      </c>
    </row>
    <row r="12439" spans="1:24">
      <c r="A12439">
        <f>HYPERLINK("https://www.philgeps.gov.ph/GEPSNONPILOT/Tender/SplashBidNoticeAbstractUI.aspx?menuIndex=3&amp;refID=7019699&amp;Result=3","7019699")</f>
        <v>0</v>
      </c>
      <c r="B12439" t="s">
        <v>2938</v>
      </c>
      <c r="C12439" t="s">
        <v>11645</v>
      </c>
      <c r="D12439" t="s">
        <v>18022</v>
      </c>
      <c r="E12439" t="s">
        <v>28861</v>
      </c>
      <c r="F12439" t="s">
        <v>31574</v>
      </c>
      <c r="G12439" t="s">
        <v>31582</v>
      </c>
      <c r="H12439" t="s">
        <v>31590</v>
      </c>
      <c r="I12439" t="s">
        <v>3487</v>
      </c>
      <c r="J12439" t="s">
        <v>39396</v>
      </c>
      <c r="K12439" t="s">
        <v>41186</v>
      </c>
      <c r="M12439" t="s">
        <v>44752</v>
      </c>
      <c r="N12439" t="s">
        <v>45095</v>
      </c>
      <c r="O12439" t="s">
        <v>45096</v>
      </c>
      <c r="P12439">
        <v>0</v>
      </c>
      <c r="Q12439">
        <v>3</v>
      </c>
      <c r="R12439" t="s">
        <v>45111</v>
      </c>
      <c r="S12439" t="s">
        <v>45694</v>
      </c>
      <c r="T12439" t="s">
        <v>47159</v>
      </c>
      <c r="U12439" t="s">
        <v>57616</v>
      </c>
      <c r="W12439" t="s">
        <v>44752</v>
      </c>
      <c r="X12439" t="s">
        <v>45112</v>
      </c>
    </row>
    <row r="12440" spans="1:24">
      <c r="A12440">
        <f>HYPERLINK("https://www.philgeps.gov.ph/GEPSNONPILOT/Tender/SplashBidNoticeAbstractUI.aspx?menuIndex=3&amp;refID=7019751&amp;Result=3","7019751")</f>
        <v>0</v>
      </c>
      <c r="B12440" t="s">
        <v>1443</v>
      </c>
      <c r="C12440" t="s">
        <v>15088</v>
      </c>
      <c r="D12440" t="s">
        <v>18074</v>
      </c>
      <c r="E12440" t="s">
        <v>28880</v>
      </c>
      <c r="F12440" t="s">
        <v>31574</v>
      </c>
      <c r="G12440" t="s">
        <v>31582</v>
      </c>
      <c r="H12440" t="s">
        <v>31591</v>
      </c>
      <c r="I12440" t="s">
        <v>8822</v>
      </c>
      <c r="J12440" t="s">
        <v>39397</v>
      </c>
      <c r="K12440" t="s">
        <v>41449</v>
      </c>
      <c r="M12440" t="s">
        <v>43523</v>
      </c>
      <c r="N12440" t="s">
        <v>45095</v>
      </c>
      <c r="O12440" t="s">
        <v>45096</v>
      </c>
      <c r="P12440">
        <v>0</v>
      </c>
      <c r="Q12440">
        <v>0</v>
      </c>
      <c r="R12440" t="s">
        <v>45111</v>
      </c>
      <c r="S12440" t="s">
        <v>45694</v>
      </c>
      <c r="T12440" t="s">
        <v>47086</v>
      </c>
      <c r="U12440" t="s">
        <v>57617</v>
      </c>
      <c r="V12440" t="s">
        <v>60477</v>
      </c>
      <c r="W12440" t="s">
        <v>43523</v>
      </c>
      <c r="X12440" t="s">
        <v>45112</v>
      </c>
    </row>
    <row r="12441" spans="1:24">
      <c r="A12441">
        <f>HYPERLINK("https://www.philgeps.gov.ph/GEPSNONPILOT/Tender/SplashBidNoticeAbstractUI.aspx?menuIndex=3&amp;refID=7019687&amp;Result=3","7019687")</f>
        <v>0</v>
      </c>
      <c r="B12441" t="s">
        <v>2945</v>
      </c>
      <c r="C12441" t="s">
        <v>15089</v>
      </c>
      <c r="D12441" t="s">
        <v>18028</v>
      </c>
      <c r="E12441" t="s">
        <v>23038</v>
      </c>
      <c r="F12441" t="s">
        <v>31574</v>
      </c>
      <c r="G12441" t="s">
        <v>31582</v>
      </c>
      <c r="H12441" t="s">
        <v>31591</v>
      </c>
      <c r="I12441" t="s">
        <v>8822</v>
      </c>
      <c r="J12441" t="s">
        <v>39398</v>
      </c>
      <c r="K12441" t="s">
        <v>41184</v>
      </c>
      <c r="M12441" t="s">
        <v>44759</v>
      </c>
      <c r="N12441" t="s">
        <v>45095</v>
      </c>
      <c r="O12441" t="s">
        <v>45096</v>
      </c>
      <c r="P12441">
        <v>0</v>
      </c>
      <c r="Q12441">
        <v>0</v>
      </c>
      <c r="R12441" t="s">
        <v>45111</v>
      </c>
      <c r="S12441" t="s">
        <v>45694</v>
      </c>
      <c r="T12441" t="s">
        <v>46926</v>
      </c>
      <c r="U12441" t="s">
        <v>57618</v>
      </c>
      <c r="W12441" t="s">
        <v>44759</v>
      </c>
      <c r="X12441" t="s">
        <v>45112</v>
      </c>
    </row>
    <row r="12442" spans="1:24">
      <c r="A12442">
        <f>HYPERLINK("https://www.philgeps.gov.ph/GEPSNONPILOT/Tender/SplashBidNoticeAbstractUI.aspx?menuIndex=3&amp;refID=7019777&amp;Result=3","7019777")</f>
        <v>0</v>
      </c>
      <c r="B12442" t="s">
        <v>1040</v>
      </c>
      <c r="C12442" t="s">
        <v>15090</v>
      </c>
      <c r="D12442" t="s">
        <v>18066</v>
      </c>
      <c r="E12442" t="s">
        <v>28881</v>
      </c>
      <c r="F12442" t="s">
        <v>31574</v>
      </c>
      <c r="G12442" t="s">
        <v>31582</v>
      </c>
      <c r="H12442" t="s">
        <v>31590</v>
      </c>
      <c r="I12442" t="s">
        <v>3487</v>
      </c>
      <c r="J12442" t="s">
        <v>39399</v>
      </c>
      <c r="K12442" t="s">
        <v>41186</v>
      </c>
      <c r="M12442" t="s">
        <v>42583</v>
      </c>
      <c r="N12442" t="s">
        <v>45095</v>
      </c>
      <c r="O12442" t="s">
        <v>45096</v>
      </c>
      <c r="P12442">
        <v>0</v>
      </c>
      <c r="Q12442">
        <v>0</v>
      </c>
      <c r="R12442" t="s">
        <v>45111</v>
      </c>
      <c r="S12442" t="s">
        <v>45694</v>
      </c>
      <c r="T12442" t="s">
        <v>46955</v>
      </c>
      <c r="U12442" t="s">
        <v>57619</v>
      </c>
      <c r="W12442" t="s">
        <v>42583</v>
      </c>
      <c r="X12442" t="s">
        <v>45112</v>
      </c>
    </row>
    <row r="12443" spans="1:24">
      <c r="A12443">
        <f>HYPERLINK("https://www.philgeps.gov.ph/GEPSNONPILOT/Tender/SplashBidNoticeAbstractUI.aspx?menuIndex=3&amp;refID=7019816&amp;Result=3","7019816")</f>
        <v>0</v>
      </c>
      <c r="B12443" t="s">
        <v>1443</v>
      </c>
      <c r="C12443" t="s">
        <v>15091</v>
      </c>
      <c r="D12443" t="s">
        <v>18074</v>
      </c>
      <c r="E12443" t="s">
        <v>28882</v>
      </c>
      <c r="F12443" t="s">
        <v>31574</v>
      </c>
      <c r="G12443" t="s">
        <v>31582</v>
      </c>
      <c r="H12443" t="s">
        <v>31591</v>
      </c>
      <c r="I12443" t="s">
        <v>8822</v>
      </c>
      <c r="J12443" t="s">
        <v>39400</v>
      </c>
      <c r="K12443" t="s">
        <v>41198</v>
      </c>
      <c r="M12443" t="s">
        <v>43523</v>
      </c>
      <c r="N12443" t="s">
        <v>45095</v>
      </c>
      <c r="O12443" t="s">
        <v>45096</v>
      </c>
      <c r="P12443">
        <v>0</v>
      </c>
      <c r="Q12443">
        <v>0</v>
      </c>
      <c r="R12443" t="s">
        <v>45111</v>
      </c>
      <c r="S12443" t="s">
        <v>45694</v>
      </c>
      <c r="T12443" t="s">
        <v>47086</v>
      </c>
      <c r="U12443" t="s">
        <v>57620</v>
      </c>
      <c r="V12443" t="s">
        <v>60477</v>
      </c>
      <c r="W12443" t="s">
        <v>43523</v>
      </c>
      <c r="X12443" t="s">
        <v>45112</v>
      </c>
    </row>
    <row r="12444" spans="1:24">
      <c r="A12444">
        <f>HYPERLINK("https://www.philgeps.gov.ph/GEPSNONPILOT/Tender/SplashBidNoticeAbstractUI.aspx?menuIndex=3&amp;refID=7019826&amp;Result=3","7019826")</f>
        <v>0</v>
      </c>
      <c r="B12444" t="s">
        <v>2946</v>
      </c>
      <c r="C12444" t="s">
        <v>15092</v>
      </c>
      <c r="D12444" t="s">
        <v>18100</v>
      </c>
      <c r="E12444" t="s">
        <v>28459</v>
      </c>
      <c r="F12444" t="s">
        <v>31574</v>
      </c>
      <c r="G12444" t="s">
        <v>31582</v>
      </c>
      <c r="H12444" t="s">
        <v>31591</v>
      </c>
      <c r="I12444" t="s">
        <v>8822</v>
      </c>
      <c r="J12444" t="s">
        <v>39401</v>
      </c>
      <c r="K12444" t="s">
        <v>41192</v>
      </c>
      <c r="M12444" t="s">
        <v>44760</v>
      </c>
      <c r="N12444" t="s">
        <v>45095</v>
      </c>
      <c r="O12444" t="s">
        <v>45096</v>
      </c>
      <c r="P12444">
        <v>0</v>
      </c>
      <c r="Q12444">
        <v>0</v>
      </c>
      <c r="R12444" t="s">
        <v>45111</v>
      </c>
      <c r="S12444" t="s">
        <v>45694</v>
      </c>
      <c r="T12444" t="s">
        <v>47106</v>
      </c>
      <c r="U12444" t="s">
        <v>57621</v>
      </c>
      <c r="W12444" t="s">
        <v>44760</v>
      </c>
      <c r="X12444" t="s">
        <v>45112</v>
      </c>
    </row>
    <row r="12445" spans="1:24">
      <c r="A12445">
        <f>HYPERLINK("https://www.philgeps.gov.ph/GEPSNONPILOT/Tender/SplashBidNoticeAbstractUI.aspx?menuIndex=3&amp;refID=7019804&amp;Result=3","7019804")</f>
        <v>0</v>
      </c>
      <c r="B12445" t="s">
        <v>1443</v>
      </c>
      <c r="C12445" t="s">
        <v>15093</v>
      </c>
      <c r="D12445" t="s">
        <v>18074</v>
      </c>
      <c r="E12445" t="s">
        <v>28883</v>
      </c>
      <c r="F12445" t="s">
        <v>31574</v>
      </c>
      <c r="G12445" t="s">
        <v>31582</v>
      </c>
      <c r="H12445" t="s">
        <v>31591</v>
      </c>
      <c r="I12445" t="s">
        <v>8822</v>
      </c>
      <c r="J12445" t="s">
        <v>39402</v>
      </c>
      <c r="K12445" t="s">
        <v>41198</v>
      </c>
      <c r="M12445" t="s">
        <v>43523</v>
      </c>
      <c r="N12445" t="s">
        <v>45095</v>
      </c>
      <c r="O12445" t="s">
        <v>45096</v>
      </c>
      <c r="P12445">
        <v>0</v>
      </c>
      <c r="Q12445">
        <v>0</v>
      </c>
      <c r="R12445" t="s">
        <v>45111</v>
      </c>
      <c r="S12445" t="s">
        <v>45694</v>
      </c>
      <c r="T12445" t="s">
        <v>47086</v>
      </c>
      <c r="U12445" t="s">
        <v>57622</v>
      </c>
      <c r="V12445" t="s">
        <v>60477</v>
      </c>
      <c r="W12445" t="s">
        <v>43523</v>
      </c>
      <c r="X12445" t="s">
        <v>45112</v>
      </c>
    </row>
    <row r="12446" spans="1:24">
      <c r="A12446">
        <f>HYPERLINK("https://www.philgeps.gov.ph/GEPSNONPILOT/Tender/SplashBidNoticeAbstractUI.aspx?menuIndex=3&amp;refID=7019880&amp;Result=3","7019880")</f>
        <v>0</v>
      </c>
      <c r="B12446" t="s">
        <v>1013</v>
      </c>
      <c r="C12446" t="s">
        <v>15094</v>
      </c>
      <c r="D12446" t="s">
        <v>18070</v>
      </c>
      <c r="E12446" t="s">
        <v>28884</v>
      </c>
      <c r="F12446" t="s">
        <v>31574</v>
      </c>
      <c r="G12446" t="s">
        <v>31582</v>
      </c>
      <c r="H12446" t="s">
        <v>31591</v>
      </c>
      <c r="I12446" t="s">
        <v>8822</v>
      </c>
      <c r="J12446" t="s">
        <v>34070</v>
      </c>
      <c r="K12446" t="s">
        <v>41298</v>
      </c>
      <c r="M12446" t="s">
        <v>42553</v>
      </c>
      <c r="N12446" t="s">
        <v>45095</v>
      </c>
      <c r="O12446" t="s">
        <v>45096</v>
      </c>
      <c r="P12446">
        <v>0</v>
      </c>
      <c r="Q12446">
        <v>0</v>
      </c>
      <c r="R12446" t="s">
        <v>45111</v>
      </c>
      <c r="S12446" t="s">
        <v>45694</v>
      </c>
      <c r="T12446" t="s">
        <v>46918</v>
      </c>
      <c r="U12446" t="s">
        <v>49752</v>
      </c>
      <c r="W12446" t="s">
        <v>42553</v>
      </c>
      <c r="X12446" t="s">
        <v>45112</v>
      </c>
    </row>
    <row r="12447" spans="1:24">
      <c r="A12447">
        <f>HYPERLINK("https://www.philgeps.gov.ph/GEPSNONPILOT/Tender/SplashBidNoticeAbstractUI.aspx?menuIndex=3&amp;refID=7019786&amp;Result=3","7019786")</f>
        <v>0</v>
      </c>
      <c r="B12447" t="s">
        <v>1305</v>
      </c>
      <c r="C12447" t="s">
        <v>15095</v>
      </c>
      <c r="D12447" t="s">
        <v>18101</v>
      </c>
      <c r="E12447" t="s">
        <v>28885</v>
      </c>
      <c r="F12447" t="s">
        <v>31574</v>
      </c>
      <c r="G12447" t="s">
        <v>31582</v>
      </c>
      <c r="H12447" t="s">
        <v>31590</v>
      </c>
      <c r="I12447" t="s">
        <v>7185</v>
      </c>
      <c r="J12447" t="s">
        <v>39403</v>
      </c>
      <c r="K12447" t="s">
        <v>41196</v>
      </c>
      <c r="M12447" t="s">
        <v>42875</v>
      </c>
      <c r="N12447" t="s">
        <v>45095</v>
      </c>
      <c r="O12447" t="s">
        <v>45096</v>
      </c>
      <c r="P12447">
        <v>0</v>
      </c>
      <c r="Q12447">
        <v>3</v>
      </c>
      <c r="R12447" t="s">
        <v>45111</v>
      </c>
      <c r="S12447" t="s">
        <v>45694</v>
      </c>
      <c r="T12447" t="s">
        <v>46914</v>
      </c>
      <c r="U12447" t="s">
        <v>57623</v>
      </c>
      <c r="W12447" t="s">
        <v>42875</v>
      </c>
      <c r="X12447" t="s">
        <v>45112</v>
      </c>
    </row>
    <row r="12448" spans="1:24">
      <c r="A12448">
        <f>HYPERLINK("https://www.philgeps.gov.ph/GEPSNONPILOT/Tender/SplashBidNoticeAbstractUI.aspx?menuIndex=3&amp;refID=7019848&amp;Result=3","7019848")</f>
        <v>0</v>
      </c>
      <c r="B12448" t="s">
        <v>2224</v>
      </c>
      <c r="C12448" t="s">
        <v>15096</v>
      </c>
      <c r="E12448" t="s">
        <v>28886</v>
      </c>
      <c r="F12448" t="s">
        <v>31574</v>
      </c>
      <c r="G12448" t="s">
        <v>31582</v>
      </c>
      <c r="H12448" t="s">
        <v>31590</v>
      </c>
      <c r="I12448" t="s">
        <v>31615</v>
      </c>
      <c r="J12448" t="s">
        <v>31771</v>
      </c>
      <c r="K12448" t="s">
        <v>41184</v>
      </c>
      <c r="M12448" t="s">
        <v>43917</v>
      </c>
      <c r="N12448" t="s">
        <v>45095</v>
      </c>
      <c r="O12448" t="s">
        <v>45096</v>
      </c>
      <c r="P12448">
        <v>0</v>
      </c>
      <c r="Q12448">
        <v>7</v>
      </c>
      <c r="R12448" t="s">
        <v>45111</v>
      </c>
      <c r="S12448" t="s">
        <v>45694</v>
      </c>
      <c r="T12448" t="s">
        <v>47159</v>
      </c>
      <c r="U12448" t="s">
        <v>53754</v>
      </c>
      <c r="V12448" t="s">
        <v>61206</v>
      </c>
      <c r="W12448" t="s">
        <v>43917</v>
      </c>
      <c r="X12448" t="s">
        <v>45112</v>
      </c>
    </row>
    <row r="12449" spans="1:24">
      <c r="A12449">
        <f>HYPERLINK("https://www.philgeps.gov.ph/GEPSNONPILOT/Tender/SplashBidNoticeAbstractUI.aspx?menuIndex=3&amp;refID=7019818&amp;Result=3","7019818")</f>
        <v>0</v>
      </c>
      <c r="B12449" t="s">
        <v>1703</v>
      </c>
      <c r="C12449" t="s">
        <v>15097</v>
      </c>
      <c r="D12449" t="s">
        <v>18035</v>
      </c>
      <c r="E12449" t="s">
        <v>28887</v>
      </c>
      <c r="F12449" t="s">
        <v>31574</v>
      </c>
      <c r="G12449" t="s">
        <v>31582</v>
      </c>
      <c r="H12449" t="s">
        <v>31590</v>
      </c>
      <c r="I12449" t="s">
        <v>31602</v>
      </c>
      <c r="J12449" t="s">
        <v>39404</v>
      </c>
      <c r="K12449" t="s">
        <v>41196</v>
      </c>
      <c r="M12449" t="s">
        <v>43319</v>
      </c>
      <c r="N12449" t="s">
        <v>45095</v>
      </c>
      <c r="O12449" t="s">
        <v>45096</v>
      </c>
      <c r="P12449">
        <v>0</v>
      </c>
      <c r="Q12449">
        <v>2</v>
      </c>
      <c r="R12449" t="s">
        <v>45111</v>
      </c>
      <c r="S12449" t="s">
        <v>45694</v>
      </c>
      <c r="T12449" t="s">
        <v>46979</v>
      </c>
      <c r="U12449" t="s">
        <v>57624</v>
      </c>
      <c r="W12449" t="s">
        <v>61742</v>
      </c>
      <c r="X12449" t="s">
        <v>45112</v>
      </c>
    </row>
    <row r="12450" spans="1:24">
      <c r="A12450">
        <f>HYPERLINK("https://www.philgeps.gov.ph/GEPSNONPILOT/Tender/SplashBidNoticeAbstractUI.aspx?menuIndex=3&amp;refID=7019793&amp;Result=3","7019793")</f>
        <v>0</v>
      </c>
      <c r="B12450" t="s">
        <v>2938</v>
      </c>
      <c r="C12450" t="s">
        <v>15098</v>
      </c>
      <c r="D12450" t="s">
        <v>18022</v>
      </c>
      <c r="E12450" t="s">
        <v>28888</v>
      </c>
      <c r="F12450" t="s">
        <v>31574</v>
      </c>
      <c r="G12450" t="s">
        <v>31582</v>
      </c>
      <c r="H12450" t="s">
        <v>31590</v>
      </c>
      <c r="I12450" t="s">
        <v>31648</v>
      </c>
      <c r="J12450" t="s">
        <v>32019</v>
      </c>
      <c r="K12450" t="s">
        <v>41186</v>
      </c>
      <c r="M12450" t="s">
        <v>44752</v>
      </c>
      <c r="N12450" t="s">
        <v>45095</v>
      </c>
      <c r="O12450" t="s">
        <v>45096</v>
      </c>
      <c r="P12450">
        <v>0</v>
      </c>
      <c r="Q12450">
        <v>4</v>
      </c>
      <c r="R12450" t="s">
        <v>45111</v>
      </c>
      <c r="S12450" t="s">
        <v>45694</v>
      </c>
      <c r="T12450" t="s">
        <v>47159</v>
      </c>
      <c r="U12450" t="s">
        <v>57625</v>
      </c>
      <c r="W12450" t="s">
        <v>44752</v>
      </c>
      <c r="X12450" t="s">
        <v>45112</v>
      </c>
    </row>
    <row r="12451" spans="1:24">
      <c r="A12451">
        <f>HYPERLINK("https://www.philgeps.gov.ph/GEPSNONPILOT/Tender/SplashBidNoticeAbstractUI.aspx?menuIndex=3&amp;refID=7019869&amp;Result=3","7019869")</f>
        <v>0</v>
      </c>
      <c r="B12451" t="s">
        <v>2923</v>
      </c>
      <c r="C12451" t="s">
        <v>15099</v>
      </c>
      <c r="E12451" t="s">
        <v>19113</v>
      </c>
      <c r="F12451" t="s">
        <v>31574</v>
      </c>
      <c r="G12451" t="s">
        <v>31582</v>
      </c>
      <c r="H12451" t="s">
        <v>31590</v>
      </c>
      <c r="I12451" t="s">
        <v>6800</v>
      </c>
      <c r="J12451" t="s">
        <v>31845</v>
      </c>
      <c r="K12451" t="s">
        <v>41184</v>
      </c>
      <c r="M12451" t="s">
        <v>44730</v>
      </c>
      <c r="N12451" t="s">
        <v>45095</v>
      </c>
      <c r="O12451" t="s">
        <v>45096</v>
      </c>
      <c r="P12451">
        <v>0</v>
      </c>
      <c r="Q12451">
        <v>0</v>
      </c>
      <c r="R12451" t="s">
        <v>45111</v>
      </c>
      <c r="S12451" t="s">
        <v>45694</v>
      </c>
      <c r="T12451" t="s">
        <v>46955</v>
      </c>
      <c r="U12451" t="s">
        <v>57626</v>
      </c>
      <c r="W12451" t="s">
        <v>44730</v>
      </c>
      <c r="X12451" t="s">
        <v>45112</v>
      </c>
    </row>
    <row r="12452" spans="1:24">
      <c r="A12452">
        <f>HYPERLINK("https://www.philgeps.gov.ph/GEPSNONPILOT/Tender/SplashBidNoticeAbstractUI.aspx?menuIndex=3&amp;refID=7019833&amp;Result=3","7019833")</f>
        <v>0</v>
      </c>
      <c r="B12452" t="s">
        <v>1013</v>
      </c>
      <c r="C12452" t="s">
        <v>15100</v>
      </c>
      <c r="D12452" t="s">
        <v>18070</v>
      </c>
      <c r="E12452" t="s">
        <v>28889</v>
      </c>
      <c r="F12452" t="s">
        <v>31574</v>
      </c>
      <c r="G12452" t="s">
        <v>31582</v>
      </c>
      <c r="H12452" t="s">
        <v>31591</v>
      </c>
      <c r="I12452" t="s">
        <v>8822</v>
      </c>
      <c r="J12452" t="s">
        <v>32869</v>
      </c>
      <c r="K12452" t="s">
        <v>41282</v>
      </c>
      <c r="M12452" t="s">
        <v>42553</v>
      </c>
      <c r="N12452" t="s">
        <v>45095</v>
      </c>
      <c r="O12452" t="s">
        <v>45096</v>
      </c>
      <c r="P12452">
        <v>0</v>
      </c>
      <c r="Q12452">
        <v>0</v>
      </c>
      <c r="R12452" t="s">
        <v>45111</v>
      </c>
      <c r="S12452" t="s">
        <v>45694</v>
      </c>
      <c r="T12452" t="s">
        <v>46918</v>
      </c>
      <c r="U12452" t="s">
        <v>49752</v>
      </c>
      <c r="W12452" t="s">
        <v>42553</v>
      </c>
      <c r="X12452" t="s">
        <v>45112</v>
      </c>
    </row>
    <row r="12453" spans="1:24">
      <c r="A12453">
        <f>HYPERLINK("https://www.philgeps.gov.ph/GEPSNONPILOT/Tender/SplashBidNoticeAbstractUI.aspx?menuIndex=3&amp;refID=7019879&amp;Result=3","7019879")</f>
        <v>0</v>
      </c>
      <c r="B12453" t="s">
        <v>2943</v>
      </c>
      <c r="C12453" t="s">
        <v>15101</v>
      </c>
      <c r="D12453" t="s">
        <v>18047</v>
      </c>
      <c r="E12453" t="s">
        <v>18724</v>
      </c>
      <c r="F12453" t="s">
        <v>31574</v>
      </c>
      <c r="G12453" t="s">
        <v>31582</v>
      </c>
      <c r="H12453" t="s">
        <v>31591</v>
      </c>
      <c r="I12453" t="s">
        <v>8822</v>
      </c>
      <c r="J12453" t="s">
        <v>33610</v>
      </c>
      <c r="K12453" t="s">
        <v>41270</v>
      </c>
      <c r="M12453" t="s">
        <v>44757</v>
      </c>
      <c r="N12453" t="s">
        <v>45095</v>
      </c>
      <c r="O12453" t="s">
        <v>45096</v>
      </c>
      <c r="P12453">
        <v>0</v>
      </c>
      <c r="Q12453">
        <v>0</v>
      </c>
      <c r="R12453" t="s">
        <v>45111</v>
      </c>
      <c r="S12453" t="s">
        <v>45694</v>
      </c>
      <c r="T12453" t="s">
        <v>46979</v>
      </c>
      <c r="U12453" t="s">
        <v>57627</v>
      </c>
      <c r="V12453" t="s">
        <v>61207</v>
      </c>
      <c r="W12453" t="s">
        <v>44757</v>
      </c>
      <c r="X12453" t="s">
        <v>45112</v>
      </c>
    </row>
    <row r="12454" spans="1:24">
      <c r="A12454">
        <f>HYPERLINK("https://www.philgeps.gov.ph/GEPSNONPILOT/Tender/SplashBidNoticeAbstractUI.aspx?menuIndex=3&amp;refID=7019858&amp;Result=3","7019858")</f>
        <v>0</v>
      </c>
      <c r="B12454" t="s">
        <v>394</v>
      </c>
      <c r="C12454" t="s">
        <v>15102</v>
      </c>
      <c r="D12454" t="s">
        <v>18056</v>
      </c>
      <c r="E12454" t="s">
        <v>28890</v>
      </c>
      <c r="F12454" t="s">
        <v>31574</v>
      </c>
      <c r="G12454" t="s">
        <v>31582</v>
      </c>
      <c r="H12454" t="s">
        <v>31591</v>
      </c>
      <c r="I12454" t="s">
        <v>8822</v>
      </c>
      <c r="J12454" t="s">
        <v>31771</v>
      </c>
      <c r="K12454" t="s">
        <v>41192</v>
      </c>
      <c r="M12454" t="s">
        <v>41885</v>
      </c>
      <c r="N12454" t="s">
        <v>45095</v>
      </c>
      <c r="O12454" t="s">
        <v>45096</v>
      </c>
      <c r="P12454">
        <v>0</v>
      </c>
      <c r="Q12454">
        <v>8</v>
      </c>
      <c r="R12454" t="s">
        <v>45111</v>
      </c>
      <c r="S12454" t="s">
        <v>45694</v>
      </c>
      <c r="T12454" t="s">
        <v>47043</v>
      </c>
      <c r="U12454" t="s">
        <v>57628</v>
      </c>
      <c r="V12454" t="s">
        <v>61203</v>
      </c>
      <c r="W12454" t="s">
        <v>41885</v>
      </c>
      <c r="X12454" t="s">
        <v>45112</v>
      </c>
    </row>
    <row r="12455" spans="1:24">
      <c r="A12455">
        <f>HYPERLINK("https://www.philgeps.gov.ph/GEPSNONPILOT/Tender/SplashBidNoticeAbstractUI.aspx?menuIndex=3&amp;refID=7019843&amp;Result=3","7019843")</f>
        <v>0</v>
      </c>
      <c r="B12455" t="s">
        <v>2939</v>
      </c>
      <c r="C12455" t="s">
        <v>15103</v>
      </c>
      <c r="E12455" t="s">
        <v>28891</v>
      </c>
      <c r="F12455" t="s">
        <v>31574</v>
      </c>
      <c r="G12455" t="s">
        <v>31582</v>
      </c>
      <c r="H12455" t="s">
        <v>31591</v>
      </c>
      <c r="I12455" t="s">
        <v>8822</v>
      </c>
      <c r="J12455" t="s">
        <v>39405</v>
      </c>
      <c r="K12455" t="s">
        <v>41192</v>
      </c>
      <c r="M12455" t="s">
        <v>44753</v>
      </c>
      <c r="N12455" t="s">
        <v>45095</v>
      </c>
      <c r="O12455" t="s">
        <v>45096</v>
      </c>
      <c r="P12455">
        <v>0</v>
      </c>
      <c r="Q12455">
        <v>2</v>
      </c>
      <c r="R12455" t="s">
        <v>45111</v>
      </c>
      <c r="S12455" t="s">
        <v>45694</v>
      </c>
      <c r="T12455" t="s">
        <v>47008</v>
      </c>
      <c r="U12455" t="s">
        <v>57588</v>
      </c>
      <c r="W12455" t="s">
        <v>44753</v>
      </c>
      <c r="X12455" t="s">
        <v>45112</v>
      </c>
    </row>
    <row r="12456" spans="1:24">
      <c r="A12456">
        <f>HYPERLINK("https://www.philgeps.gov.ph/GEPSNONPILOT/Tender/SplashBidNoticeAbstractUI.aspx?menuIndex=3&amp;refID=7019877&amp;Result=3","7019877")</f>
        <v>0</v>
      </c>
      <c r="B12456" t="s">
        <v>2946</v>
      </c>
      <c r="C12456" t="s">
        <v>15104</v>
      </c>
      <c r="D12456" t="s">
        <v>18100</v>
      </c>
      <c r="E12456" t="s">
        <v>28892</v>
      </c>
      <c r="F12456" t="s">
        <v>31574</v>
      </c>
      <c r="G12456" t="s">
        <v>31582</v>
      </c>
      <c r="H12456" t="s">
        <v>31591</v>
      </c>
      <c r="I12456" t="s">
        <v>8822</v>
      </c>
      <c r="J12456" t="s">
        <v>39406</v>
      </c>
      <c r="K12456" t="s">
        <v>41192</v>
      </c>
      <c r="M12456" t="s">
        <v>44760</v>
      </c>
      <c r="N12456" t="s">
        <v>45095</v>
      </c>
      <c r="O12456" t="s">
        <v>45096</v>
      </c>
      <c r="P12456">
        <v>0</v>
      </c>
      <c r="Q12456">
        <v>0</v>
      </c>
      <c r="R12456" t="s">
        <v>45111</v>
      </c>
      <c r="S12456" t="s">
        <v>45694</v>
      </c>
      <c r="T12456" t="s">
        <v>47106</v>
      </c>
      <c r="U12456" t="s">
        <v>57629</v>
      </c>
      <c r="W12456" t="s">
        <v>44760</v>
      </c>
      <c r="X12456" t="s">
        <v>45112</v>
      </c>
    </row>
    <row r="12457" spans="1:24">
      <c r="A12457">
        <f>HYPERLINK("https://www.philgeps.gov.ph/GEPSNONPILOT/Tender/SplashBidNoticeAbstractUI.aspx?menuIndex=3&amp;refID=7019864&amp;Result=3","7019864")</f>
        <v>0</v>
      </c>
      <c r="B12457" t="s">
        <v>1013</v>
      </c>
      <c r="C12457" t="s">
        <v>15105</v>
      </c>
      <c r="D12457" t="s">
        <v>18070</v>
      </c>
      <c r="E12457" t="s">
        <v>28893</v>
      </c>
      <c r="F12457" t="s">
        <v>31574</v>
      </c>
      <c r="G12457" t="s">
        <v>31582</v>
      </c>
      <c r="H12457" t="s">
        <v>31591</v>
      </c>
      <c r="I12457" t="s">
        <v>8822</v>
      </c>
      <c r="J12457" t="s">
        <v>34070</v>
      </c>
      <c r="K12457" t="s">
        <v>41189</v>
      </c>
      <c r="M12457" t="s">
        <v>42553</v>
      </c>
      <c r="N12457" t="s">
        <v>45095</v>
      </c>
      <c r="O12457" t="s">
        <v>45096</v>
      </c>
      <c r="P12457">
        <v>0</v>
      </c>
      <c r="Q12457">
        <v>0</v>
      </c>
      <c r="R12457" t="s">
        <v>45111</v>
      </c>
      <c r="S12457" t="s">
        <v>45694</v>
      </c>
      <c r="T12457" t="s">
        <v>46918</v>
      </c>
      <c r="U12457" t="s">
        <v>49752</v>
      </c>
      <c r="W12457" t="s">
        <v>42553</v>
      </c>
      <c r="X12457" t="s">
        <v>45112</v>
      </c>
    </row>
    <row r="12458" spans="1:24">
      <c r="A12458">
        <f>HYPERLINK("https://www.philgeps.gov.ph/GEPSNONPILOT/Tender/SplashBidNoticeAbstractUI.aspx?menuIndex=3&amp;refID=7019830&amp;Result=3","7019830")</f>
        <v>0</v>
      </c>
      <c r="B12458" t="s">
        <v>362</v>
      </c>
      <c r="C12458" t="s">
        <v>15106</v>
      </c>
      <c r="D12458" t="s">
        <v>18068</v>
      </c>
      <c r="E12458" t="s">
        <v>28894</v>
      </c>
      <c r="F12458" t="s">
        <v>31574</v>
      </c>
      <c r="G12458" t="s">
        <v>31582</v>
      </c>
      <c r="H12458" t="s">
        <v>31591</v>
      </c>
      <c r="I12458" t="s">
        <v>8822</v>
      </c>
      <c r="J12458" t="s">
        <v>31935</v>
      </c>
      <c r="K12458" t="s">
        <v>41192</v>
      </c>
      <c r="M12458" t="s">
        <v>41852</v>
      </c>
      <c r="N12458" t="s">
        <v>45095</v>
      </c>
      <c r="O12458" t="s">
        <v>45096</v>
      </c>
      <c r="P12458">
        <v>0</v>
      </c>
      <c r="Q12458">
        <v>0</v>
      </c>
      <c r="R12458" t="s">
        <v>45111</v>
      </c>
      <c r="S12458" t="s">
        <v>45694</v>
      </c>
      <c r="T12458" t="s">
        <v>46979</v>
      </c>
      <c r="U12458" t="s">
        <v>57630</v>
      </c>
      <c r="W12458" t="s">
        <v>41852</v>
      </c>
      <c r="X12458" t="s">
        <v>45112</v>
      </c>
    </row>
    <row r="12459" spans="1:24">
      <c r="A12459">
        <f>HYPERLINK("https://www.philgeps.gov.ph/GEPSNONPILOT/Tender/SplashBidNoticeAbstractUI.aspx?menuIndex=3&amp;refID=7019854&amp;Result=3","7019854")</f>
        <v>0</v>
      </c>
      <c r="B12459" t="s">
        <v>2947</v>
      </c>
      <c r="C12459" t="s">
        <v>15107</v>
      </c>
      <c r="D12459" t="s">
        <v>18022</v>
      </c>
      <c r="E12459" t="s">
        <v>27038</v>
      </c>
      <c r="F12459" t="s">
        <v>31574</v>
      </c>
      <c r="G12459" t="s">
        <v>31585</v>
      </c>
      <c r="H12459" t="s">
        <v>31590</v>
      </c>
      <c r="I12459" t="s">
        <v>31602</v>
      </c>
      <c r="J12459" t="s">
        <v>39407</v>
      </c>
      <c r="K12459" t="s">
        <v>41299</v>
      </c>
      <c r="M12459" t="s">
        <v>44761</v>
      </c>
      <c r="N12459" t="s">
        <v>45095</v>
      </c>
      <c r="O12459" t="s">
        <v>45096</v>
      </c>
      <c r="Q12459">
        <v>5</v>
      </c>
      <c r="R12459" t="s">
        <v>45111</v>
      </c>
      <c r="S12459" t="s">
        <v>45724</v>
      </c>
      <c r="T12459" t="s">
        <v>46987</v>
      </c>
      <c r="U12459" t="s">
        <v>57631</v>
      </c>
      <c r="W12459" t="s">
        <v>44761</v>
      </c>
      <c r="X12459" t="s">
        <v>45112</v>
      </c>
    </row>
    <row r="12460" spans="1:24">
      <c r="A12460">
        <f>HYPERLINK("https://www.philgeps.gov.ph/GEPSNONPILOT/Tender/SplashBidNoticeAbstractUI.aspx?menuIndex=3&amp;refID=7019856&amp;Result=3","7019856")</f>
        <v>0</v>
      </c>
      <c r="B12460" t="s">
        <v>2345</v>
      </c>
      <c r="C12460" t="s">
        <v>15108</v>
      </c>
      <c r="D12460" t="s">
        <v>18060</v>
      </c>
      <c r="E12460" t="s">
        <v>28895</v>
      </c>
      <c r="F12460" t="s">
        <v>31574</v>
      </c>
      <c r="G12460" t="s">
        <v>31582</v>
      </c>
      <c r="H12460" t="s">
        <v>31591</v>
      </c>
      <c r="I12460" t="s">
        <v>31644</v>
      </c>
      <c r="J12460" t="s">
        <v>39408</v>
      </c>
      <c r="K12460" t="s">
        <v>41186</v>
      </c>
      <c r="M12460" t="s">
        <v>44061</v>
      </c>
      <c r="N12460" t="s">
        <v>45095</v>
      </c>
      <c r="O12460" t="s">
        <v>45096</v>
      </c>
      <c r="P12460">
        <v>0</v>
      </c>
      <c r="Q12460">
        <v>10</v>
      </c>
      <c r="R12460" t="s">
        <v>45111</v>
      </c>
      <c r="S12460" t="s">
        <v>45694</v>
      </c>
      <c r="T12460" t="s">
        <v>46979</v>
      </c>
      <c r="U12460" t="s">
        <v>57632</v>
      </c>
      <c r="W12460" t="s">
        <v>61734</v>
      </c>
      <c r="X12460" t="s">
        <v>45112</v>
      </c>
    </row>
    <row r="12461" spans="1:24">
      <c r="A12461">
        <f>HYPERLINK("https://www.philgeps.gov.ph/GEPSNONPILOT/Tender/SplashBidNoticeAbstractUI.aspx?menuIndex=3&amp;refID=7019857&amp;Result=3","7019857")</f>
        <v>0</v>
      </c>
      <c r="B12461" t="s">
        <v>2946</v>
      </c>
      <c r="C12461" t="s">
        <v>15109</v>
      </c>
      <c r="D12461" t="s">
        <v>18100</v>
      </c>
      <c r="E12461" t="s">
        <v>28896</v>
      </c>
      <c r="F12461" t="s">
        <v>31574</v>
      </c>
      <c r="G12461" t="s">
        <v>31582</v>
      </c>
      <c r="H12461" t="s">
        <v>31591</v>
      </c>
      <c r="I12461" t="s">
        <v>8822</v>
      </c>
      <c r="J12461" t="s">
        <v>39409</v>
      </c>
      <c r="K12461" t="s">
        <v>41192</v>
      </c>
      <c r="M12461" t="s">
        <v>44760</v>
      </c>
      <c r="N12461" t="s">
        <v>45095</v>
      </c>
      <c r="O12461" t="s">
        <v>45096</v>
      </c>
      <c r="P12461">
        <v>0</v>
      </c>
      <c r="Q12461">
        <v>0</v>
      </c>
      <c r="R12461" t="s">
        <v>45111</v>
      </c>
      <c r="S12461" t="s">
        <v>45694</v>
      </c>
      <c r="T12461" t="s">
        <v>47106</v>
      </c>
      <c r="U12461" t="s">
        <v>57633</v>
      </c>
      <c r="W12461" t="s">
        <v>44760</v>
      </c>
      <c r="X12461" t="s">
        <v>45112</v>
      </c>
    </row>
    <row r="12462" spans="1:24">
      <c r="A12462">
        <f>HYPERLINK("https://www.philgeps.gov.ph/GEPSNONPILOT/Tender/SplashBidNoticeAbstractUI.aspx?menuIndex=3&amp;refID=7019894&amp;Result=3","7019894")</f>
        <v>0</v>
      </c>
      <c r="B12462" t="s">
        <v>1013</v>
      </c>
      <c r="C12462" t="s">
        <v>15110</v>
      </c>
      <c r="D12462" t="s">
        <v>18070</v>
      </c>
      <c r="E12462" t="s">
        <v>28897</v>
      </c>
      <c r="F12462" t="s">
        <v>31574</v>
      </c>
      <c r="G12462" t="s">
        <v>31582</v>
      </c>
      <c r="H12462" t="s">
        <v>31591</v>
      </c>
      <c r="I12462" t="s">
        <v>8822</v>
      </c>
      <c r="J12462" t="s">
        <v>34070</v>
      </c>
      <c r="K12462" t="s">
        <v>41302</v>
      </c>
      <c r="M12462" t="s">
        <v>42553</v>
      </c>
      <c r="N12462" t="s">
        <v>45095</v>
      </c>
      <c r="O12462" t="s">
        <v>45096</v>
      </c>
      <c r="P12462">
        <v>0</v>
      </c>
      <c r="Q12462">
        <v>0</v>
      </c>
      <c r="R12462" t="s">
        <v>45111</v>
      </c>
      <c r="S12462" t="s">
        <v>45694</v>
      </c>
      <c r="T12462" t="s">
        <v>46918</v>
      </c>
      <c r="U12462" t="s">
        <v>49752</v>
      </c>
      <c r="W12462" t="s">
        <v>42553</v>
      </c>
      <c r="X12462" t="s">
        <v>45112</v>
      </c>
    </row>
    <row r="12463" spans="1:24">
      <c r="A12463">
        <f>HYPERLINK("https://www.philgeps.gov.ph/GEPSNONPILOT/Tender/SplashBidNoticeAbstractUI.aspx?menuIndex=3&amp;refID=7019896&amp;Result=3","7019896")</f>
        <v>0</v>
      </c>
      <c r="B12463" t="s">
        <v>2093</v>
      </c>
      <c r="C12463" t="s">
        <v>15111</v>
      </c>
      <c r="D12463" t="s">
        <v>18053</v>
      </c>
      <c r="E12463" t="s">
        <v>28898</v>
      </c>
      <c r="F12463" t="s">
        <v>31574</v>
      </c>
      <c r="G12463" t="s">
        <v>31582</v>
      </c>
      <c r="H12463" t="s">
        <v>31591</v>
      </c>
      <c r="I12463" t="s">
        <v>8822</v>
      </c>
      <c r="J12463" t="s">
        <v>39410</v>
      </c>
      <c r="K12463" t="s">
        <v>41189</v>
      </c>
      <c r="M12463" t="s">
        <v>43770</v>
      </c>
      <c r="N12463" t="s">
        <v>45095</v>
      </c>
      <c r="O12463" t="s">
        <v>45096</v>
      </c>
      <c r="P12463">
        <v>0</v>
      </c>
      <c r="Q12463">
        <v>0</v>
      </c>
      <c r="R12463" t="s">
        <v>45111</v>
      </c>
      <c r="S12463" t="s">
        <v>45694</v>
      </c>
      <c r="T12463" t="s">
        <v>47003</v>
      </c>
      <c r="U12463" t="s">
        <v>57634</v>
      </c>
      <c r="V12463" t="s">
        <v>61208</v>
      </c>
      <c r="W12463" t="s">
        <v>43770</v>
      </c>
      <c r="X12463" t="s">
        <v>45112</v>
      </c>
    </row>
    <row r="12464" spans="1:24">
      <c r="A12464">
        <f>HYPERLINK("https://www.philgeps.gov.ph/GEPSNONPILOT/Tender/SplashBidNoticeAbstractUI.aspx?menuIndex=3&amp;refID=7019895&amp;Result=3","7019895")</f>
        <v>0</v>
      </c>
      <c r="B12464" t="s">
        <v>2946</v>
      </c>
      <c r="C12464" t="s">
        <v>15112</v>
      </c>
      <c r="D12464" t="s">
        <v>18100</v>
      </c>
      <c r="E12464" t="s">
        <v>19198</v>
      </c>
      <c r="F12464" t="s">
        <v>31574</v>
      </c>
      <c r="G12464" t="s">
        <v>31582</v>
      </c>
      <c r="H12464" t="s">
        <v>31591</v>
      </c>
      <c r="I12464" t="s">
        <v>8822</v>
      </c>
      <c r="J12464" t="s">
        <v>39411</v>
      </c>
      <c r="K12464" t="s">
        <v>41192</v>
      </c>
      <c r="M12464" t="s">
        <v>44760</v>
      </c>
      <c r="N12464" t="s">
        <v>45095</v>
      </c>
      <c r="O12464" t="s">
        <v>45096</v>
      </c>
      <c r="P12464">
        <v>0</v>
      </c>
      <c r="Q12464">
        <v>1</v>
      </c>
      <c r="R12464" t="s">
        <v>45111</v>
      </c>
      <c r="S12464" t="s">
        <v>45694</v>
      </c>
      <c r="T12464" t="s">
        <v>47106</v>
      </c>
      <c r="U12464" t="s">
        <v>57635</v>
      </c>
      <c r="W12464" t="s">
        <v>44760</v>
      </c>
      <c r="X12464" t="s">
        <v>45112</v>
      </c>
    </row>
    <row r="12465" spans="1:24">
      <c r="A12465">
        <f>HYPERLINK("https://www.philgeps.gov.ph/GEPSNONPILOT/Tender/SplashBidNoticeAbstractUI.aspx?menuIndex=3&amp;refID=7019905&amp;Result=3","7019905")</f>
        <v>0</v>
      </c>
      <c r="B12465" t="s">
        <v>2224</v>
      </c>
      <c r="C12465" t="s">
        <v>15113</v>
      </c>
      <c r="E12465" t="s">
        <v>28899</v>
      </c>
      <c r="F12465" t="s">
        <v>31574</v>
      </c>
      <c r="G12465" t="s">
        <v>31582</v>
      </c>
      <c r="H12465" t="s">
        <v>31590</v>
      </c>
      <c r="I12465" t="s">
        <v>31615</v>
      </c>
      <c r="J12465" t="s">
        <v>31819</v>
      </c>
      <c r="K12465" t="s">
        <v>41184</v>
      </c>
      <c r="M12465" t="s">
        <v>43917</v>
      </c>
      <c r="N12465" t="s">
        <v>45095</v>
      </c>
      <c r="O12465" t="s">
        <v>45096</v>
      </c>
      <c r="P12465">
        <v>0</v>
      </c>
      <c r="Q12465">
        <v>2</v>
      </c>
      <c r="R12465" t="s">
        <v>45111</v>
      </c>
      <c r="S12465" t="s">
        <v>45694</v>
      </c>
      <c r="T12465" t="s">
        <v>47159</v>
      </c>
      <c r="U12465" t="s">
        <v>53754</v>
      </c>
      <c r="V12465" t="s">
        <v>61209</v>
      </c>
      <c r="W12465" t="s">
        <v>43917</v>
      </c>
      <c r="X12465" t="s">
        <v>45112</v>
      </c>
    </row>
    <row r="12466" spans="1:24">
      <c r="A12466">
        <f>HYPERLINK("https://www.philgeps.gov.ph/GEPSNONPILOT/Tender/SplashBidNoticeAbstractUI.aspx?menuIndex=3&amp;refID=7019983&amp;Result=3","7019983")</f>
        <v>0</v>
      </c>
      <c r="B12466" t="s">
        <v>2433</v>
      </c>
      <c r="C12466" t="s">
        <v>15114</v>
      </c>
      <c r="D12466" t="s">
        <v>18066</v>
      </c>
      <c r="E12466" t="s">
        <v>26384</v>
      </c>
      <c r="F12466" t="s">
        <v>31574</v>
      </c>
      <c r="G12466" t="s">
        <v>31582</v>
      </c>
      <c r="H12466" t="s">
        <v>31592</v>
      </c>
      <c r="I12466" t="s">
        <v>3901</v>
      </c>
      <c r="J12466" t="s">
        <v>31819</v>
      </c>
      <c r="K12466" t="s">
        <v>41186</v>
      </c>
      <c r="M12466" t="s">
        <v>44160</v>
      </c>
      <c r="N12466" t="s">
        <v>45095</v>
      </c>
      <c r="O12466" t="s">
        <v>45096</v>
      </c>
      <c r="P12466">
        <v>0</v>
      </c>
      <c r="Q12466">
        <v>5</v>
      </c>
      <c r="R12466" t="s">
        <v>45111</v>
      </c>
      <c r="S12466" t="s">
        <v>45694</v>
      </c>
      <c r="T12466" t="s">
        <v>47395</v>
      </c>
      <c r="U12466" t="s">
        <v>57636</v>
      </c>
      <c r="W12466" t="s">
        <v>44160</v>
      </c>
      <c r="X12466" t="s">
        <v>45112</v>
      </c>
    </row>
    <row r="12467" spans="1:24">
      <c r="A12467">
        <f>HYPERLINK("https://www.philgeps.gov.ph/GEPSNONPILOT/Tender/SplashBidNoticeAbstractUI.aspx?menuIndex=3&amp;refID=7019935&amp;Result=3","7019935")</f>
        <v>0</v>
      </c>
      <c r="B12467" t="s">
        <v>1013</v>
      </c>
      <c r="C12467" t="s">
        <v>15115</v>
      </c>
      <c r="D12467" t="s">
        <v>18070</v>
      </c>
      <c r="E12467" t="s">
        <v>28900</v>
      </c>
      <c r="F12467" t="s">
        <v>31574</v>
      </c>
      <c r="G12467" t="s">
        <v>31582</v>
      </c>
      <c r="H12467" t="s">
        <v>31591</v>
      </c>
      <c r="I12467" t="s">
        <v>8822</v>
      </c>
      <c r="J12467" t="s">
        <v>33445</v>
      </c>
      <c r="K12467" t="s">
        <v>41274</v>
      </c>
      <c r="M12467" t="s">
        <v>42553</v>
      </c>
      <c r="N12467" t="s">
        <v>45095</v>
      </c>
      <c r="O12467" t="s">
        <v>45096</v>
      </c>
      <c r="P12467">
        <v>0</v>
      </c>
      <c r="Q12467">
        <v>0</v>
      </c>
      <c r="R12467" t="s">
        <v>45111</v>
      </c>
      <c r="S12467" t="s">
        <v>45694</v>
      </c>
      <c r="T12467" t="s">
        <v>46918</v>
      </c>
      <c r="U12467" t="s">
        <v>49752</v>
      </c>
      <c r="W12467" t="s">
        <v>42553</v>
      </c>
      <c r="X12467" t="s">
        <v>45112</v>
      </c>
    </row>
    <row r="12468" spans="1:24">
      <c r="A12468">
        <f>HYPERLINK("https://www.philgeps.gov.ph/GEPSNONPILOT/Tender/SplashBidNoticeAbstractUI.aspx?menuIndex=3&amp;refID=7019924&amp;Result=3","7019924")</f>
        <v>0</v>
      </c>
      <c r="B12468" t="s">
        <v>1013</v>
      </c>
      <c r="C12468" t="s">
        <v>15116</v>
      </c>
      <c r="D12468" t="s">
        <v>18070</v>
      </c>
      <c r="E12468" t="s">
        <v>28901</v>
      </c>
      <c r="F12468" t="s">
        <v>31574</v>
      </c>
      <c r="G12468" t="s">
        <v>31582</v>
      </c>
      <c r="H12468" t="s">
        <v>31591</v>
      </c>
      <c r="I12468" t="s">
        <v>8822</v>
      </c>
      <c r="J12468" t="s">
        <v>34707</v>
      </c>
      <c r="K12468" t="s">
        <v>41344</v>
      </c>
      <c r="M12468" t="s">
        <v>42553</v>
      </c>
      <c r="N12468" t="s">
        <v>45095</v>
      </c>
      <c r="O12468" t="s">
        <v>45096</v>
      </c>
      <c r="P12468">
        <v>0</v>
      </c>
      <c r="Q12468">
        <v>0</v>
      </c>
      <c r="R12468" t="s">
        <v>45111</v>
      </c>
      <c r="S12468" t="s">
        <v>45694</v>
      </c>
      <c r="T12468" t="s">
        <v>46918</v>
      </c>
      <c r="U12468" t="s">
        <v>49752</v>
      </c>
      <c r="W12468" t="s">
        <v>42553</v>
      </c>
      <c r="X12468" t="s">
        <v>45112</v>
      </c>
    </row>
    <row r="12469" spans="1:24">
      <c r="A12469">
        <f>HYPERLINK("https://www.philgeps.gov.ph/GEPSNONPILOT/Tender/SplashBidNoticeAbstractUI.aspx?menuIndex=3&amp;refID=7019902&amp;Result=3","7019902")</f>
        <v>0</v>
      </c>
      <c r="B12469" t="s">
        <v>50</v>
      </c>
      <c r="C12469" t="s">
        <v>15117</v>
      </c>
      <c r="D12469" t="s">
        <v>18042</v>
      </c>
      <c r="E12469" t="s">
        <v>28902</v>
      </c>
      <c r="F12469" t="s">
        <v>31574</v>
      </c>
      <c r="G12469" t="s">
        <v>31582</v>
      </c>
      <c r="H12469" t="s">
        <v>31590</v>
      </c>
      <c r="I12469" t="s">
        <v>4327</v>
      </c>
      <c r="J12469" t="s">
        <v>31789</v>
      </c>
      <c r="K12469" t="s">
        <v>41186</v>
      </c>
      <c r="M12469" t="s">
        <v>41533</v>
      </c>
      <c r="N12469" t="s">
        <v>45095</v>
      </c>
      <c r="O12469" t="s">
        <v>45096</v>
      </c>
      <c r="P12469">
        <v>0</v>
      </c>
      <c r="Q12469">
        <v>10</v>
      </c>
      <c r="R12469" t="s">
        <v>45111</v>
      </c>
      <c r="S12469" t="s">
        <v>45694</v>
      </c>
      <c r="T12469" t="s">
        <v>46926</v>
      </c>
      <c r="U12469" t="s">
        <v>57637</v>
      </c>
      <c r="W12469" t="s">
        <v>41533</v>
      </c>
      <c r="X12469" t="s">
        <v>45112</v>
      </c>
    </row>
    <row r="12470" spans="1:24">
      <c r="A12470">
        <f>HYPERLINK("https://www.philgeps.gov.ph/GEPSNONPILOT/Tender/SplashBidNoticeAbstractUI.aspx?menuIndex=3&amp;refID=7019949&amp;Result=3","7019949")</f>
        <v>0</v>
      </c>
      <c r="B12470" t="s">
        <v>1005</v>
      </c>
      <c r="C12470" t="s">
        <v>15118</v>
      </c>
      <c r="D12470" t="s">
        <v>18092</v>
      </c>
      <c r="E12470" t="s">
        <v>28903</v>
      </c>
      <c r="F12470" t="s">
        <v>31574</v>
      </c>
      <c r="G12470" t="s">
        <v>31582</v>
      </c>
      <c r="H12470" t="s">
        <v>31590</v>
      </c>
      <c r="I12470" t="s">
        <v>31641</v>
      </c>
      <c r="J12470" t="s">
        <v>39412</v>
      </c>
      <c r="K12470" t="s">
        <v>41192</v>
      </c>
      <c r="M12470" t="s">
        <v>42544</v>
      </c>
      <c r="N12470" t="s">
        <v>45095</v>
      </c>
      <c r="O12470" t="s">
        <v>45096</v>
      </c>
      <c r="P12470">
        <v>0</v>
      </c>
      <c r="Q12470">
        <v>2</v>
      </c>
      <c r="R12470" t="s">
        <v>45111</v>
      </c>
      <c r="S12470" t="s">
        <v>45694</v>
      </c>
      <c r="T12470" t="s">
        <v>47159</v>
      </c>
      <c r="U12470" t="s">
        <v>57638</v>
      </c>
      <c r="W12470" t="s">
        <v>42544</v>
      </c>
      <c r="X12470" t="s">
        <v>45112</v>
      </c>
    </row>
    <row r="12471" spans="1:24">
      <c r="A12471">
        <f>HYPERLINK("https://www.philgeps.gov.ph/GEPSNONPILOT/Tender/SplashBidNoticeAbstractUI.aspx?menuIndex=3&amp;refID=7019929&amp;Result=3","7019929")</f>
        <v>0</v>
      </c>
      <c r="B12471" t="s">
        <v>2224</v>
      </c>
      <c r="C12471" t="s">
        <v>15119</v>
      </c>
      <c r="E12471" t="s">
        <v>18801</v>
      </c>
      <c r="F12471" t="s">
        <v>31574</v>
      </c>
      <c r="G12471" t="s">
        <v>31582</v>
      </c>
      <c r="H12471" t="s">
        <v>31590</v>
      </c>
      <c r="I12471" t="s">
        <v>3901</v>
      </c>
      <c r="J12471" t="s">
        <v>31771</v>
      </c>
      <c r="K12471" t="s">
        <v>41184</v>
      </c>
      <c r="M12471" t="s">
        <v>43917</v>
      </c>
      <c r="N12471" t="s">
        <v>45095</v>
      </c>
      <c r="O12471" t="s">
        <v>45096</v>
      </c>
      <c r="P12471">
        <v>0</v>
      </c>
      <c r="Q12471">
        <v>3</v>
      </c>
      <c r="R12471" t="s">
        <v>45111</v>
      </c>
      <c r="S12471" t="s">
        <v>45694</v>
      </c>
      <c r="T12471" t="s">
        <v>47159</v>
      </c>
      <c r="U12471" t="s">
        <v>53754</v>
      </c>
      <c r="W12471" t="s">
        <v>43917</v>
      </c>
      <c r="X12471" t="s">
        <v>45112</v>
      </c>
    </row>
    <row r="12472" spans="1:24">
      <c r="A12472">
        <f>HYPERLINK("https://www.philgeps.gov.ph/GEPSNONPILOT/Tender/SplashBidNoticeAbstractUI.aspx?menuIndex=3&amp;refID=7019912&amp;Result=3","7019912")</f>
        <v>0</v>
      </c>
      <c r="B12472" t="s">
        <v>2946</v>
      </c>
      <c r="C12472" t="s">
        <v>15120</v>
      </c>
      <c r="D12472" t="s">
        <v>18100</v>
      </c>
      <c r="E12472" t="s">
        <v>28904</v>
      </c>
      <c r="F12472" t="s">
        <v>31574</v>
      </c>
      <c r="G12472" t="s">
        <v>31582</v>
      </c>
      <c r="H12472" t="s">
        <v>31591</v>
      </c>
      <c r="I12472" t="s">
        <v>31646</v>
      </c>
      <c r="J12472" t="s">
        <v>31789</v>
      </c>
      <c r="K12472" t="s">
        <v>41192</v>
      </c>
      <c r="M12472" t="s">
        <v>44760</v>
      </c>
      <c r="N12472" t="s">
        <v>45095</v>
      </c>
      <c r="O12472" t="s">
        <v>45096</v>
      </c>
      <c r="P12472">
        <v>0</v>
      </c>
      <c r="Q12472">
        <v>1</v>
      </c>
      <c r="R12472" t="s">
        <v>45111</v>
      </c>
      <c r="S12472" t="s">
        <v>45694</v>
      </c>
      <c r="T12472" t="s">
        <v>47106</v>
      </c>
      <c r="U12472" t="s">
        <v>57639</v>
      </c>
      <c r="W12472" t="s">
        <v>44760</v>
      </c>
      <c r="X12472" t="s">
        <v>45112</v>
      </c>
    </row>
    <row r="12473" spans="1:24">
      <c r="A12473">
        <f>HYPERLINK("https://www.philgeps.gov.ph/GEPSNONPILOT/Tender/SplashBidNoticeAbstractUI.aspx?menuIndex=3&amp;refID=7020019&amp;Result=3","7020019")</f>
        <v>0</v>
      </c>
      <c r="B12473" t="s">
        <v>1488</v>
      </c>
      <c r="C12473" t="s">
        <v>15121</v>
      </c>
      <c r="D12473" t="s">
        <v>18088</v>
      </c>
      <c r="E12473" t="s">
        <v>21914</v>
      </c>
      <c r="F12473" t="s">
        <v>31574</v>
      </c>
      <c r="G12473" t="s">
        <v>31582</v>
      </c>
      <c r="H12473" t="s">
        <v>31591</v>
      </c>
      <c r="I12473" t="s">
        <v>8822</v>
      </c>
      <c r="J12473" t="s">
        <v>31935</v>
      </c>
      <c r="K12473" t="s">
        <v>41184</v>
      </c>
      <c r="M12473" t="s">
        <v>43073</v>
      </c>
      <c r="N12473" t="s">
        <v>45095</v>
      </c>
      <c r="O12473" t="s">
        <v>45096</v>
      </c>
      <c r="P12473">
        <v>0</v>
      </c>
      <c r="Q12473">
        <v>0</v>
      </c>
      <c r="R12473" t="s">
        <v>45111</v>
      </c>
      <c r="S12473" t="s">
        <v>45694</v>
      </c>
      <c r="T12473" t="s">
        <v>46926</v>
      </c>
      <c r="U12473" t="s">
        <v>57640</v>
      </c>
      <c r="V12473" t="s">
        <v>61196</v>
      </c>
      <c r="W12473" t="s">
        <v>43073</v>
      </c>
      <c r="X12473" t="s">
        <v>45112</v>
      </c>
    </row>
    <row r="12474" spans="1:24">
      <c r="A12474">
        <f>HYPERLINK("https://www.philgeps.gov.ph/GEPSNONPILOT/Tender/SplashBidNoticeAbstractUI.aspx?menuIndex=3&amp;refID=7019957&amp;Result=3","7019957")</f>
        <v>0</v>
      </c>
      <c r="B12474" t="s">
        <v>1013</v>
      </c>
      <c r="C12474" t="s">
        <v>15122</v>
      </c>
      <c r="D12474" t="s">
        <v>18070</v>
      </c>
      <c r="E12474" t="s">
        <v>28905</v>
      </c>
      <c r="F12474" t="s">
        <v>31574</v>
      </c>
      <c r="G12474" t="s">
        <v>31582</v>
      </c>
      <c r="H12474" t="s">
        <v>31591</v>
      </c>
      <c r="I12474" t="s">
        <v>8822</v>
      </c>
      <c r="J12474" t="s">
        <v>34596</v>
      </c>
      <c r="K12474" t="s">
        <v>41198</v>
      </c>
      <c r="M12474" t="s">
        <v>42553</v>
      </c>
      <c r="N12474" t="s">
        <v>45095</v>
      </c>
      <c r="O12474" t="s">
        <v>45096</v>
      </c>
      <c r="Q12474">
        <v>0</v>
      </c>
      <c r="R12474" t="s">
        <v>45111</v>
      </c>
      <c r="S12474" t="s">
        <v>45725</v>
      </c>
      <c r="T12474" t="s">
        <v>46918</v>
      </c>
      <c r="U12474" t="s">
        <v>49752</v>
      </c>
      <c r="W12474" t="s">
        <v>42553</v>
      </c>
      <c r="X12474" t="s">
        <v>45112</v>
      </c>
    </row>
    <row r="12475" spans="1:24">
      <c r="A12475">
        <f>HYPERLINK("https://www.philgeps.gov.ph/GEPSNONPILOT/Tender/SplashBidNoticeAbstractUI.aspx?menuIndex=3&amp;refID=7019927&amp;Result=3","7019927")</f>
        <v>0</v>
      </c>
      <c r="B12475" t="s">
        <v>2007</v>
      </c>
      <c r="C12475" t="s">
        <v>15123</v>
      </c>
      <c r="D12475" t="s">
        <v>18036</v>
      </c>
      <c r="E12475" t="s">
        <v>28906</v>
      </c>
      <c r="F12475" t="s">
        <v>31574</v>
      </c>
      <c r="G12475" t="s">
        <v>31582</v>
      </c>
      <c r="H12475" t="s">
        <v>31591</v>
      </c>
      <c r="I12475" t="s">
        <v>8822</v>
      </c>
      <c r="J12475" t="s">
        <v>39413</v>
      </c>
      <c r="K12475" t="s">
        <v>41200</v>
      </c>
      <c r="M12475" t="s">
        <v>43669</v>
      </c>
      <c r="N12475" t="s">
        <v>45095</v>
      </c>
      <c r="O12475" t="s">
        <v>45096</v>
      </c>
      <c r="P12475">
        <v>0</v>
      </c>
      <c r="Q12475">
        <v>1</v>
      </c>
      <c r="R12475" t="s">
        <v>45111</v>
      </c>
      <c r="S12475" t="s">
        <v>45694</v>
      </c>
      <c r="T12475" t="s">
        <v>47418</v>
      </c>
      <c r="U12475" t="s">
        <v>52936</v>
      </c>
      <c r="V12475" t="s">
        <v>61210</v>
      </c>
      <c r="W12475" t="s">
        <v>43669</v>
      </c>
      <c r="X12475" t="s">
        <v>45112</v>
      </c>
    </row>
    <row r="12476" spans="1:24">
      <c r="A12476">
        <f>HYPERLINK("https://www.philgeps.gov.ph/GEPSNONPILOT/Tender/SplashBidNoticeAbstractUI.aspx?menuIndex=3&amp;refID=7019988&amp;Result=3","7019988")</f>
        <v>0</v>
      </c>
      <c r="B12476" t="s">
        <v>1488</v>
      </c>
      <c r="C12476" t="s">
        <v>15124</v>
      </c>
      <c r="D12476" t="s">
        <v>18088</v>
      </c>
      <c r="E12476" t="s">
        <v>21914</v>
      </c>
      <c r="F12476" t="s">
        <v>31574</v>
      </c>
      <c r="G12476" t="s">
        <v>31582</v>
      </c>
      <c r="H12476" t="s">
        <v>31591</v>
      </c>
      <c r="I12476" t="s">
        <v>8822</v>
      </c>
      <c r="J12476" t="s">
        <v>39414</v>
      </c>
      <c r="K12476" t="s">
        <v>41184</v>
      </c>
      <c r="M12476" t="s">
        <v>43073</v>
      </c>
      <c r="N12476" t="s">
        <v>45095</v>
      </c>
      <c r="O12476" t="s">
        <v>45096</v>
      </c>
      <c r="P12476">
        <v>0</v>
      </c>
      <c r="Q12476">
        <v>0</v>
      </c>
      <c r="R12476" t="s">
        <v>45111</v>
      </c>
      <c r="S12476" t="s">
        <v>45694</v>
      </c>
      <c r="T12476" t="s">
        <v>46914</v>
      </c>
      <c r="U12476" t="s">
        <v>57641</v>
      </c>
      <c r="V12476" t="s">
        <v>61196</v>
      </c>
      <c r="W12476" t="s">
        <v>43073</v>
      </c>
      <c r="X12476" t="s">
        <v>45112</v>
      </c>
    </row>
    <row r="12477" spans="1:24">
      <c r="A12477">
        <f>HYPERLINK("https://www.philgeps.gov.ph/GEPSNONPILOT/Tender/SplashBidNoticeAbstractUI.aspx?menuIndex=3&amp;refID=7020030&amp;Result=3","7020030")</f>
        <v>0</v>
      </c>
      <c r="B12477" t="s">
        <v>50</v>
      </c>
      <c r="C12477" t="s">
        <v>15125</v>
      </c>
      <c r="D12477" t="s">
        <v>18042</v>
      </c>
      <c r="E12477" t="s">
        <v>28907</v>
      </c>
      <c r="F12477" t="s">
        <v>31574</v>
      </c>
      <c r="G12477" t="s">
        <v>31582</v>
      </c>
      <c r="H12477" t="s">
        <v>31590</v>
      </c>
      <c r="I12477" t="s">
        <v>14034</v>
      </c>
      <c r="J12477" t="s">
        <v>39415</v>
      </c>
      <c r="K12477" t="s">
        <v>41186</v>
      </c>
      <c r="M12477" t="s">
        <v>41533</v>
      </c>
      <c r="N12477" t="s">
        <v>45095</v>
      </c>
      <c r="O12477" t="s">
        <v>45096</v>
      </c>
      <c r="P12477">
        <v>0</v>
      </c>
      <c r="Q12477">
        <v>3</v>
      </c>
      <c r="R12477" t="s">
        <v>45111</v>
      </c>
      <c r="S12477" t="s">
        <v>45694</v>
      </c>
      <c r="T12477" t="s">
        <v>46926</v>
      </c>
      <c r="U12477" t="s">
        <v>57642</v>
      </c>
      <c r="W12477" t="s">
        <v>41533</v>
      </c>
      <c r="X12477" t="s">
        <v>45112</v>
      </c>
    </row>
    <row r="12478" spans="1:24">
      <c r="A12478">
        <f>HYPERLINK("https://www.philgeps.gov.ph/GEPSNONPILOT/Tender/SplashBidNoticeAbstractUI.aspx?menuIndex=3&amp;refID=7020010&amp;Result=3","7020010")</f>
        <v>0</v>
      </c>
      <c r="B12478" t="s">
        <v>1040</v>
      </c>
      <c r="C12478" t="s">
        <v>15126</v>
      </c>
      <c r="D12478" t="s">
        <v>18066</v>
      </c>
      <c r="E12478" t="s">
        <v>28908</v>
      </c>
      <c r="F12478" t="s">
        <v>31574</v>
      </c>
      <c r="G12478" t="s">
        <v>31582</v>
      </c>
      <c r="H12478" t="s">
        <v>31590</v>
      </c>
      <c r="I12478" t="s">
        <v>14544</v>
      </c>
      <c r="J12478" t="s">
        <v>31890</v>
      </c>
      <c r="K12478" t="s">
        <v>41192</v>
      </c>
      <c r="M12478" t="s">
        <v>42583</v>
      </c>
      <c r="N12478" t="s">
        <v>45095</v>
      </c>
      <c r="O12478" t="s">
        <v>45096</v>
      </c>
      <c r="P12478">
        <v>0</v>
      </c>
      <c r="Q12478">
        <v>1</v>
      </c>
      <c r="R12478" t="s">
        <v>45111</v>
      </c>
      <c r="S12478" t="s">
        <v>45694</v>
      </c>
      <c r="T12478" t="s">
        <v>46955</v>
      </c>
      <c r="U12478" t="s">
        <v>57643</v>
      </c>
      <c r="W12478" t="s">
        <v>42583</v>
      </c>
      <c r="X12478" t="s">
        <v>45112</v>
      </c>
    </row>
    <row r="12479" spans="1:24">
      <c r="A12479">
        <f>HYPERLINK("https://www.philgeps.gov.ph/GEPSNONPILOT/Tender/SplashBidNoticeAbstractUI.aspx?menuIndex=3&amp;refID=7019984&amp;Result=3","7019984")</f>
        <v>0</v>
      </c>
      <c r="B12479" t="s">
        <v>725</v>
      </c>
      <c r="C12479" t="s">
        <v>15127</v>
      </c>
      <c r="D12479" t="s">
        <v>18092</v>
      </c>
      <c r="E12479" t="s">
        <v>28909</v>
      </c>
      <c r="F12479" t="s">
        <v>31574</v>
      </c>
      <c r="G12479" t="s">
        <v>31588</v>
      </c>
      <c r="H12479" t="s">
        <v>31590</v>
      </c>
      <c r="I12479" t="s">
        <v>31615</v>
      </c>
      <c r="J12479" t="s">
        <v>39416</v>
      </c>
      <c r="K12479" t="s">
        <v>41186</v>
      </c>
      <c r="M12479" t="s">
        <v>42235</v>
      </c>
      <c r="N12479" t="s">
        <v>45095</v>
      </c>
      <c r="O12479" t="s">
        <v>45096</v>
      </c>
      <c r="P12479">
        <v>0</v>
      </c>
      <c r="Q12479">
        <v>2</v>
      </c>
      <c r="R12479" t="s">
        <v>45111</v>
      </c>
      <c r="S12479" t="s">
        <v>45694</v>
      </c>
      <c r="T12479" t="s">
        <v>46932</v>
      </c>
      <c r="U12479" t="s">
        <v>57644</v>
      </c>
      <c r="V12479" t="s">
        <v>61211</v>
      </c>
      <c r="W12479" t="s">
        <v>42235</v>
      </c>
      <c r="X12479" t="s">
        <v>45112</v>
      </c>
    </row>
    <row r="12480" spans="1:24">
      <c r="A12480">
        <f>HYPERLINK("https://www.philgeps.gov.ph/GEPSNONPILOT/Tender/SplashBidNoticeAbstractUI.aspx?menuIndex=3&amp;refID=7020014&amp;Result=3","7020014")</f>
        <v>0</v>
      </c>
      <c r="B12480" t="s">
        <v>50</v>
      </c>
      <c r="C12480" t="s">
        <v>15128</v>
      </c>
      <c r="D12480" t="s">
        <v>18042</v>
      </c>
      <c r="E12480" t="s">
        <v>28907</v>
      </c>
      <c r="F12480" t="s">
        <v>31574</v>
      </c>
      <c r="G12480" t="s">
        <v>31582</v>
      </c>
      <c r="H12480" t="s">
        <v>31590</v>
      </c>
      <c r="I12480" t="s">
        <v>31608</v>
      </c>
      <c r="J12480" t="s">
        <v>32344</v>
      </c>
      <c r="K12480" t="s">
        <v>41186</v>
      </c>
      <c r="M12480" t="s">
        <v>41533</v>
      </c>
      <c r="N12480" t="s">
        <v>45095</v>
      </c>
      <c r="O12480" t="s">
        <v>45096</v>
      </c>
      <c r="P12480">
        <v>0</v>
      </c>
      <c r="Q12480">
        <v>5</v>
      </c>
      <c r="R12480" t="s">
        <v>45111</v>
      </c>
      <c r="S12480" t="s">
        <v>45694</v>
      </c>
      <c r="T12480" t="s">
        <v>46926</v>
      </c>
      <c r="U12480" t="s">
        <v>57642</v>
      </c>
      <c r="W12480" t="s">
        <v>41533</v>
      </c>
      <c r="X12480" t="s">
        <v>45112</v>
      </c>
    </row>
    <row r="12481" spans="1:24">
      <c r="A12481">
        <f>HYPERLINK("https://www.philgeps.gov.ph/GEPSNONPILOT/Tender/SplashBidNoticeAbstractUI.aspx?menuIndex=3&amp;refID=7020038&amp;Result=3","7020038")</f>
        <v>0</v>
      </c>
      <c r="B12481" t="s">
        <v>459</v>
      </c>
      <c r="C12481" t="s">
        <v>15129</v>
      </c>
      <c r="D12481" t="s">
        <v>18079</v>
      </c>
      <c r="E12481" t="s">
        <v>28910</v>
      </c>
      <c r="F12481" t="s">
        <v>31574</v>
      </c>
      <c r="G12481" t="s">
        <v>31582</v>
      </c>
      <c r="H12481" t="s">
        <v>31591</v>
      </c>
      <c r="I12481" t="s">
        <v>8822</v>
      </c>
      <c r="J12481" t="s">
        <v>31730</v>
      </c>
      <c r="K12481" t="s">
        <v>41431</v>
      </c>
      <c r="M12481" t="s">
        <v>41953</v>
      </c>
      <c r="N12481" t="s">
        <v>45095</v>
      </c>
      <c r="O12481" t="s">
        <v>45096</v>
      </c>
      <c r="Q12481">
        <v>2</v>
      </c>
      <c r="R12481" t="s">
        <v>45111</v>
      </c>
      <c r="S12481" t="s">
        <v>45726</v>
      </c>
      <c r="T12481" t="s">
        <v>47086</v>
      </c>
      <c r="U12481" t="s">
        <v>57645</v>
      </c>
      <c r="V12481" t="s">
        <v>61212</v>
      </c>
      <c r="W12481" t="s">
        <v>41953</v>
      </c>
      <c r="X12481" t="s">
        <v>45112</v>
      </c>
    </row>
    <row r="12482" spans="1:24">
      <c r="A12482">
        <f>HYPERLINK("https://www.philgeps.gov.ph/GEPSNONPILOT/Tender/SplashBidNoticeAbstractUI.aspx?menuIndex=3&amp;refID=7019994&amp;Result=3","7019994")</f>
        <v>0</v>
      </c>
      <c r="B12482" t="s">
        <v>725</v>
      </c>
      <c r="C12482" t="s">
        <v>15130</v>
      </c>
      <c r="D12482" t="s">
        <v>18092</v>
      </c>
      <c r="E12482" t="s">
        <v>28911</v>
      </c>
      <c r="F12482" t="s">
        <v>31574</v>
      </c>
      <c r="G12482" t="s">
        <v>31588</v>
      </c>
      <c r="H12482" t="s">
        <v>31590</v>
      </c>
      <c r="I12482" t="s">
        <v>31615</v>
      </c>
      <c r="J12482" t="s">
        <v>39417</v>
      </c>
      <c r="K12482" t="s">
        <v>41186</v>
      </c>
      <c r="M12482" t="s">
        <v>42235</v>
      </c>
      <c r="N12482" t="s">
        <v>45095</v>
      </c>
      <c r="O12482" t="s">
        <v>45096</v>
      </c>
      <c r="P12482">
        <v>0</v>
      </c>
      <c r="Q12482">
        <v>2</v>
      </c>
      <c r="R12482" t="s">
        <v>45111</v>
      </c>
      <c r="S12482" t="s">
        <v>45694</v>
      </c>
      <c r="T12482" t="s">
        <v>46932</v>
      </c>
      <c r="U12482" t="s">
        <v>57646</v>
      </c>
      <c r="V12482" t="s">
        <v>61213</v>
      </c>
      <c r="W12482" t="s">
        <v>42235</v>
      </c>
      <c r="X12482" t="s">
        <v>45112</v>
      </c>
    </row>
    <row r="12483" spans="1:24">
      <c r="A12483">
        <f>HYPERLINK("https://www.philgeps.gov.ph/GEPSNONPILOT/Tender/SplashBidNoticeAbstractUI.aspx?menuIndex=3&amp;refID=7020090&amp;Result=3","7020090")</f>
        <v>0</v>
      </c>
      <c r="B12483" t="s">
        <v>2427</v>
      </c>
      <c r="C12483" t="s">
        <v>15131</v>
      </c>
      <c r="D12483" t="s">
        <v>18113</v>
      </c>
      <c r="E12483" t="s">
        <v>28912</v>
      </c>
      <c r="F12483" t="s">
        <v>31574</v>
      </c>
      <c r="G12483" t="s">
        <v>31582</v>
      </c>
      <c r="H12483" t="s">
        <v>31590</v>
      </c>
      <c r="I12483" t="s">
        <v>31627</v>
      </c>
      <c r="J12483" t="s">
        <v>31935</v>
      </c>
      <c r="K12483" t="s">
        <v>41186</v>
      </c>
      <c r="M12483" t="s">
        <v>44154</v>
      </c>
      <c r="N12483" t="s">
        <v>45095</v>
      </c>
      <c r="O12483" t="s">
        <v>45096</v>
      </c>
      <c r="P12483">
        <v>0</v>
      </c>
      <c r="Q12483">
        <v>2</v>
      </c>
      <c r="R12483" t="s">
        <v>45111</v>
      </c>
      <c r="S12483" t="s">
        <v>45694</v>
      </c>
      <c r="T12483" t="s">
        <v>46914</v>
      </c>
      <c r="U12483" t="s">
        <v>57647</v>
      </c>
      <c r="V12483" t="s">
        <v>61214</v>
      </c>
      <c r="W12483" t="s">
        <v>44154</v>
      </c>
      <c r="X12483" t="s">
        <v>45112</v>
      </c>
    </row>
    <row r="12484" spans="1:24">
      <c r="A12484">
        <f>HYPERLINK("https://www.philgeps.gov.ph/GEPSNONPILOT/Tender/SplashBidNoticeAbstractUI.aspx?menuIndex=3&amp;refID=7020087&amp;Result=3","7020087")</f>
        <v>0</v>
      </c>
      <c r="B12484" t="s">
        <v>459</v>
      </c>
      <c r="C12484" t="s">
        <v>15132</v>
      </c>
      <c r="D12484" t="s">
        <v>18079</v>
      </c>
      <c r="E12484" t="s">
        <v>28913</v>
      </c>
      <c r="F12484" t="s">
        <v>31574</v>
      </c>
      <c r="G12484" t="s">
        <v>31582</v>
      </c>
      <c r="H12484" t="s">
        <v>31591</v>
      </c>
      <c r="I12484" t="s">
        <v>8822</v>
      </c>
      <c r="J12484" t="s">
        <v>31935</v>
      </c>
      <c r="K12484" t="s">
        <v>41185</v>
      </c>
      <c r="M12484" t="s">
        <v>41953</v>
      </c>
      <c r="N12484" t="s">
        <v>45095</v>
      </c>
      <c r="O12484" t="s">
        <v>45096</v>
      </c>
      <c r="Q12484">
        <v>1</v>
      </c>
      <c r="R12484" t="s">
        <v>45111</v>
      </c>
      <c r="S12484" t="s">
        <v>45727</v>
      </c>
      <c r="T12484" t="s">
        <v>47086</v>
      </c>
      <c r="U12484" t="s">
        <v>57648</v>
      </c>
      <c r="V12484" t="s">
        <v>61212</v>
      </c>
      <c r="W12484" t="s">
        <v>41953</v>
      </c>
      <c r="X12484" t="s">
        <v>45112</v>
      </c>
    </row>
    <row r="12485" spans="1:24">
      <c r="A12485">
        <f>HYPERLINK("https://www.philgeps.gov.ph/GEPSNONPILOT/Tender/SplashBidNoticeAbstractUI.aspx?menuIndex=3&amp;refID=7020053&amp;Result=3","7020053")</f>
        <v>0</v>
      </c>
      <c r="B12485" t="s">
        <v>50</v>
      </c>
      <c r="C12485" t="s">
        <v>15133</v>
      </c>
      <c r="D12485" t="s">
        <v>18042</v>
      </c>
      <c r="E12485" t="s">
        <v>28907</v>
      </c>
      <c r="F12485" t="s">
        <v>31574</v>
      </c>
      <c r="G12485" t="s">
        <v>31582</v>
      </c>
      <c r="H12485" t="s">
        <v>31590</v>
      </c>
      <c r="I12485" t="s">
        <v>31598</v>
      </c>
      <c r="J12485" t="s">
        <v>34457</v>
      </c>
      <c r="K12485" t="s">
        <v>41186</v>
      </c>
      <c r="M12485" t="s">
        <v>41533</v>
      </c>
      <c r="N12485" t="s">
        <v>45095</v>
      </c>
      <c r="O12485" t="s">
        <v>45096</v>
      </c>
      <c r="P12485">
        <v>0</v>
      </c>
      <c r="Q12485">
        <v>4</v>
      </c>
      <c r="R12485" t="s">
        <v>45111</v>
      </c>
      <c r="S12485" t="s">
        <v>45694</v>
      </c>
      <c r="T12485" t="s">
        <v>46926</v>
      </c>
      <c r="U12485" t="s">
        <v>57642</v>
      </c>
      <c r="W12485" t="s">
        <v>41533</v>
      </c>
      <c r="X12485" t="s">
        <v>45112</v>
      </c>
    </row>
    <row r="12486" spans="1:24">
      <c r="A12486">
        <f>HYPERLINK("https://www.philgeps.gov.ph/GEPSNONPILOT/Tender/SplashBidNoticeAbstractUI.aspx?menuIndex=3&amp;refID=7020064&amp;Result=3","7020064")</f>
        <v>0</v>
      </c>
      <c r="B12486" t="s">
        <v>459</v>
      </c>
      <c r="C12486" t="s">
        <v>15134</v>
      </c>
      <c r="D12486" t="s">
        <v>18079</v>
      </c>
      <c r="E12486" t="s">
        <v>28914</v>
      </c>
      <c r="F12486" t="s">
        <v>31574</v>
      </c>
      <c r="G12486" t="s">
        <v>31582</v>
      </c>
      <c r="H12486" t="s">
        <v>31591</v>
      </c>
      <c r="I12486" t="s">
        <v>8822</v>
      </c>
      <c r="J12486" t="s">
        <v>33574</v>
      </c>
      <c r="K12486" t="s">
        <v>41192</v>
      </c>
      <c r="M12486" t="s">
        <v>41953</v>
      </c>
      <c r="N12486" t="s">
        <v>45095</v>
      </c>
      <c r="O12486" t="s">
        <v>45096</v>
      </c>
      <c r="Q12486">
        <v>1</v>
      </c>
      <c r="R12486" t="s">
        <v>45111</v>
      </c>
      <c r="S12486" t="s">
        <v>45728</v>
      </c>
      <c r="T12486" t="s">
        <v>47086</v>
      </c>
      <c r="U12486" t="s">
        <v>57649</v>
      </c>
      <c r="V12486" t="s">
        <v>61212</v>
      </c>
      <c r="W12486" t="s">
        <v>41953</v>
      </c>
      <c r="X12486" t="s">
        <v>45112</v>
      </c>
    </row>
    <row r="12487" spans="1:24">
      <c r="A12487">
        <f>HYPERLINK("https://www.philgeps.gov.ph/GEPSNONPILOT/Tender/SplashBidNoticeAbstractUI.aspx?menuIndex=3&amp;refID=7020175&amp;Result=3","7020175")</f>
        <v>0</v>
      </c>
      <c r="B12487" t="s">
        <v>2948</v>
      </c>
      <c r="C12487" t="s">
        <v>15135</v>
      </c>
      <c r="D12487" t="s">
        <v>18095</v>
      </c>
      <c r="E12487" t="s">
        <v>28915</v>
      </c>
      <c r="F12487" t="s">
        <v>31574</v>
      </c>
      <c r="G12487" t="s">
        <v>31582</v>
      </c>
      <c r="H12487" t="s">
        <v>31591</v>
      </c>
      <c r="I12487" t="s">
        <v>8822</v>
      </c>
      <c r="J12487" t="s">
        <v>39418</v>
      </c>
      <c r="K12487" t="s">
        <v>41192</v>
      </c>
      <c r="M12487" t="s">
        <v>44762</v>
      </c>
      <c r="N12487" t="s">
        <v>45095</v>
      </c>
      <c r="O12487" t="s">
        <v>45096</v>
      </c>
      <c r="P12487">
        <v>0</v>
      </c>
      <c r="Q12487">
        <v>0</v>
      </c>
      <c r="R12487" t="s">
        <v>45111</v>
      </c>
      <c r="S12487" t="s">
        <v>45694</v>
      </c>
      <c r="T12487" t="s">
        <v>46966</v>
      </c>
      <c r="U12487" t="s">
        <v>57650</v>
      </c>
      <c r="W12487" t="s">
        <v>44762</v>
      </c>
      <c r="X12487" t="s">
        <v>45112</v>
      </c>
    </row>
    <row r="12488" spans="1:24">
      <c r="A12488">
        <f>HYPERLINK("https://www.philgeps.gov.ph/GEPSNONPILOT/Tender/SplashBidNoticeAbstractUI.aspx?menuIndex=3&amp;refID=7020039&amp;Result=3","7020039")</f>
        <v>0</v>
      </c>
      <c r="B12488" t="s">
        <v>50</v>
      </c>
      <c r="C12488" t="s">
        <v>15136</v>
      </c>
      <c r="D12488" t="s">
        <v>18042</v>
      </c>
      <c r="E12488" t="s">
        <v>28907</v>
      </c>
      <c r="F12488" t="s">
        <v>31574</v>
      </c>
      <c r="G12488" t="s">
        <v>31582</v>
      </c>
      <c r="H12488" t="s">
        <v>31590</v>
      </c>
      <c r="I12488" t="s">
        <v>31619</v>
      </c>
      <c r="J12488" t="s">
        <v>39419</v>
      </c>
      <c r="K12488" t="s">
        <v>41186</v>
      </c>
      <c r="M12488" t="s">
        <v>41533</v>
      </c>
      <c r="N12488" t="s">
        <v>45095</v>
      </c>
      <c r="O12488" t="s">
        <v>45096</v>
      </c>
      <c r="P12488">
        <v>0</v>
      </c>
      <c r="Q12488">
        <v>2</v>
      </c>
      <c r="R12488" t="s">
        <v>45111</v>
      </c>
      <c r="S12488" t="s">
        <v>45694</v>
      </c>
      <c r="T12488" t="s">
        <v>46926</v>
      </c>
      <c r="U12488" t="s">
        <v>57642</v>
      </c>
      <c r="W12488" t="s">
        <v>41533</v>
      </c>
      <c r="X12488" t="s">
        <v>45112</v>
      </c>
    </row>
    <row r="12489" spans="1:24">
      <c r="A12489">
        <f>HYPERLINK("https://www.philgeps.gov.ph/GEPSNONPILOT/Tender/SplashBidNoticeAbstractUI.aspx?menuIndex=3&amp;refID=7020052&amp;Result=3","7020052")</f>
        <v>0</v>
      </c>
      <c r="B12489" t="s">
        <v>2221</v>
      </c>
      <c r="C12489" t="s">
        <v>15137</v>
      </c>
      <c r="D12489" t="s">
        <v>18052</v>
      </c>
      <c r="E12489" t="s">
        <v>28916</v>
      </c>
      <c r="F12489" t="s">
        <v>31574</v>
      </c>
      <c r="G12489" t="s">
        <v>31582</v>
      </c>
      <c r="H12489" t="s">
        <v>31591</v>
      </c>
      <c r="I12489" t="s">
        <v>8822</v>
      </c>
      <c r="J12489" t="s">
        <v>39420</v>
      </c>
      <c r="K12489" t="s">
        <v>41217</v>
      </c>
      <c r="M12489" t="s">
        <v>43913</v>
      </c>
      <c r="N12489" t="s">
        <v>45095</v>
      </c>
      <c r="O12489" t="s">
        <v>45096</v>
      </c>
      <c r="P12489">
        <v>0</v>
      </c>
      <c r="Q12489">
        <v>1</v>
      </c>
      <c r="R12489" t="s">
        <v>45111</v>
      </c>
      <c r="S12489" t="s">
        <v>45694</v>
      </c>
      <c r="T12489" t="s">
        <v>46918</v>
      </c>
      <c r="U12489" t="s">
        <v>57651</v>
      </c>
      <c r="V12489" t="s">
        <v>61215</v>
      </c>
      <c r="W12489" t="s">
        <v>43913</v>
      </c>
      <c r="X12489" t="s">
        <v>45112</v>
      </c>
    </row>
    <row r="12490" spans="1:24">
      <c r="A12490">
        <f>HYPERLINK("https://www.philgeps.gov.ph/GEPSNONPILOT/Tender/SplashBidNoticeAbstractUI.aspx?menuIndex=3&amp;refID=7020065&amp;Result=3","7020065")</f>
        <v>0</v>
      </c>
      <c r="B12490" t="s">
        <v>2949</v>
      </c>
      <c r="C12490" t="s">
        <v>15138</v>
      </c>
      <c r="E12490" t="s">
        <v>28917</v>
      </c>
      <c r="F12490" t="s">
        <v>31574</v>
      </c>
      <c r="G12490" t="s">
        <v>31582</v>
      </c>
      <c r="H12490" t="s">
        <v>31590</v>
      </c>
      <c r="I12490" t="s">
        <v>4046</v>
      </c>
      <c r="J12490" t="s">
        <v>39421</v>
      </c>
      <c r="K12490" t="s">
        <v>41184</v>
      </c>
      <c r="M12490" t="s">
        <v>44763</v>
      </c>
      <c r="N12490" t="s">
        <v>45095</v>
      </c>
      <c r="O12490" t="s">
        <v>45096</v>
      </c>
      <c r="P12490">
        <v>0</v>
      </c>
      <c r="Q12490">
        <v>2</v>
      </c>
      <c r="R12490" t="s">
        <v>45111</v>
      </c>
      <c r="S12490" t="s">
        <v>45694</v>
      </c>
      <c r="T12490" t="s">
        <v>47008</v>
      </c>
      <c r="U12490" t="s">
        <v>57652</v>
      </c>
      <c r="V12490" t="s">
        <v>61216</v>
      </c>
      <c r="W12490" t="s">
        <v>44763</v>
      </c>
      <c r="X12490" t="s">
        <v>45112</v>
      </c>
    </row>
    <row r="12491" spans="1:24">
      <c r="A12491">
        <f>HYPERLINK("https://www.philgeps.gov.ph/GEPSNONPILOT/Tender/SplashBidNoticeAbstractUI.aspx?menuIndex=3&amp;refID=7020092&amp;Result=3","7020092")</f>
        <v>0</v>
      </c>
      <c r="B12491" t="s">
        <v>1591</v>
      </c>
      <c r="C12491" t="s">
        <v>15139</v>
      </c>
      <c r="D12491" t="s">
        <v>18058</v>
      </c>
      <c r="E12491" t="s">
        <v>28918</v>
      </c>
      <c r="F12491" t="s">
        <v>31574</v>
      </c>
      <c r="G12491" t="s">
        <v>31582</v>
      </c>
      <c r="H12491" t="s">
        <v>31590</v>
      </c>
      <c r="I12491" t="s">
        <v>31602</v>
      </c>
      <c r="J12491" t="s">
        <v>39422</v>
      </c>
      <c r="K12491" t="s">
        <v>41186</v>
      </c>
      <c r="M12491" t="s">
        <v>44764</v>
      </c>
      <c r="N12491" t="s">
        <v>45095</v>
      </c>
      <c r="O12491" t="s">
        <v>45096</v>
      </c>
      <c r="P12491">
        <v>0</v>
      </c>
      <c r="Q12491">
        <v>0</v>
      </c>
      <c r="R12491" t="s">
        <v>45111</v>
      </c>
      <c r="S12491" t="s">
        <v>45694</v>
      </c>
      <c r="T12491" t="s">
        <v>46922</v>
      </c>
      <c r="U12491" t="s">
        <v>57653</v>
      </c>
      <c r="V12491" t="s">
        <v>60354</v>
      </c>
      <c r="W12491" t="s">
        <v>44764</v>
      </c>
      <c r="X12491" t="s">
        <v>45112</v>
      </c>
    </row>
    <row r="12492" spans="1:24">
      <c r="A12492">
        <f>HYPERLINK("https://www.philgeps.gov.ph/GEPSNONPILOT/Tender/SplashBidNoticeAbstractUI.aspx?menuIndex=3&amp;refID=7020151&amp;Result=3","7020151")</f>
        <v>0</v>
      </c>
      <c r="B12492" t="s">
        <v>2948</v>
      </c>
      <c r="C12492" t="s">
        <v>15140</v>
      </c>
      <c r="D12492" t="s">
        <v>18095</v>
      </c>
      <c r="E12492" t="s">
        <v>28919</v>
      </c>
      <c r="F12492" t="s">
        <v>31574</v>
      </c>
      <c r="G12492" t="s">
        <v>31582</v>
      </c>
      <c r="H12492" t="s">
        <v>31591</v>
      </c>
      <c r="I12492" t="s">
        <v>8822</v>
      </c>
      <c r="J12492" t="s">
        <v>39423</v>
      </c>
      <c r="K12492" t="s">
        <v>41208</v>
      </c>
      <c r="M12492" t="s">
        <v>44762</v>
      </c>
      <c r="N12492" t="s">
        <v>45095</v>
      </c>
      <c r="O12492" t="s">
        <v>45096</v>
      </c>
      <c r="P12492">
        <v>0</v>
      </c>
      <c r="Q12492">
        <v>0</v>
      </c>
      <c r="R12492" t="s">
        <v>45111</v>
      </c>
      <c r="S12492" t="s">
        <v>45694</v>
      </c>
      <c r="T12492" t="s">
        <v>46966</v>
      </c>
      <c r="U12492" t="s">
        <v>57654</v>
      </c>
      <c r="W12492" t="s">
        <v>44762</v>
      </c>
      <c r="X12492" t="s">
        <v>45112</v>
      </c>
    </row>
    <row r="12493" spans="1:24">
      <c r="A12493">
        <f>HYPERLINK("https://www.philgeps.gov.ph/GEPSNONPILOT/Tender/SplashBidNoticeAbstractUI.aspx?menuIndex=3&amp;refID=7020142&amp;Result=3","7020142")</f>
        <v>0</v>
      </c>
      <c r="B12493" t="s">
        <v>2948</v>
      </c>
      <c r="C12493" t="s">
        <v>15141</v>
      </c>
      <c r="D12493" t="s">
        <v>18095</v>
      </c>
      <c r="E12493" t="s">
        <v>28920</v>
      </c>
      <c r="F12493" t="s">
        <v>31574</v>
      </c>
      <c r="G12493" t="s">
        <v>31582</v>
      </c>
      <c r="H12493" t="s">
        <v>31591</v>
      </c>
      <c r="I12493" t="s">
        <v>8822</v>
      </c>
      <c r="J12493" t="s">
        <v>39424</v>
      </c>
      <c r="K12493" t="s">
        <v>41273</v>
      </c>
      <c r="M12493" t="s">
        <v>44762</v>
      </c>
      <c r="N12493" t="s">
        <v>45095</v>
      </c>
      <c r="O12493" t="s">
        <v>45096</v>
      </c>
      <c r="P12493">
        <v>0</v>
      </c>
      <c r="Q12493">
        <v>0</v>
      </c>
      <c r="R12493" t="s">
        <v>45111</v>
      </c>
      <c r="S12493" t="s">
        <v>45694</v>
      </c>
      <c r="T12493" t="s">
        <v>46966</v>
      </c>
      <c r="U12493" t="s">
        <v>49525</v>
      </c>
      <c r="W12493" t="s">
        <v>44762</v>
      </c>
      <c r="X12493" t="s">
        <v>45112</v>
      </c>
    </row>
    <row r="12494" spans="1:24">
      <c r="A12494">
        <f>HYPERLINK("https://www.philgeps.gov.ph/GEPSNONPILOT/Tender/SplashBidNoticeAbstractUI.aspx?menuIndex=3&amp;refID=7020162&amp;Result=3","7020162")</f>
        <v>0</v>
      </c>
      <c r="B12494" t="s">
        <v>2948</v>
      </c>
      <c r="C12494" t="s">
        <v>15142</v>
      </c>
      <c r="D12494" t="s">
        <v>18095</v>
      </c>
      <c r="E12494" t="s">
        <v>28921</v>
      </c>
      <c r="F12494" t="s">
        <v>31574</v>
      </c>
      <c r="G12494" t="s">
        <v>31582</v>
      </c>
      <c r="H12494" t="s">
        <v>31591</v>
      </c>
      <c r="I12494" t="s">
        <v>8822</v>
      </c>
      <c r="J12494" t="s">
        <v>39425</v>
      </c>
      <c r="K12494" t="s">
        <v>41303</v>
      </c>
      <c r="M12494" t="s">
        <v>44762</v>
      </c>
      <c r="N12494" t="s">
        <v>45095</v>
      </c>
      <c r="O12494" t="s">
        <v>45096</v>
      </c>
      <c r="P12494">
        <v>0</v>
      </c>
      <c r="Q12494">
        <v>0</v>
      </c>
      <c r="R12494" t="s">
        <v>45111</v>
      </c>
      <c r="S12494" t="s">
        <v>45694</v>
      </c>
      <c r="T12494" t="s">
        <v>46966</v>
      </c>
      <c r="U12494" t="s">
        <v>57655</v>
      </c>
      <c r="W12494" t="s">
        <v>44762</v>
      </c>
      <c r="X12494" t="s">
        <v>45112</v>
      </c>
    </row>
    <row r="12495" spans="1:24">
      <c r="A12495">
        <f>HYPERLINK("https://www.philgeps.gov.ph/GEPSNONPILOT/Tender/SplashBidNoticeAbstractUI.aspx?menuIndex=3&amp;refID=7020134&amp;Result=3","7020134")</f>
        <v>0</v>
      </c>
      <c r="B12495" t="s">
        <v>376</v>
      </c>
      <c r="C12495" t="s">
        <v>4235</v>
      </c>
      <c r="D12495" t="s">
        <v>18074</v>
      </c>
      <c r="E12495" t="s">
        <v>28922</v>
      </c>
      <c r="F12495" t="s">
        <v>31574</v>
      </c>
      <c r="G12495" t="s">
        <v>31582</v>
      </c>
      <c r="H12495" t="s">
        <v>31590</v>
      </c>
      <c r="I12495" t="s">
        <v>7185</v>
      </c>
      <c r="J12495" t="s">
        <v>39426</v>
      </c>
      <c r="K12495" t="s">
        <v>41190</v>
      </c>
      <c r="M12495" t="s">
        <v>41866</v>
      </c>
      <c r="N12495" t="s">
        <v>45095</v>
      </c>
      <c r="O12495" t="s">
        <v>45096</v>
      </c>
      <c r="P12495">
        <v>0</v>
      </c>
      <c r="Q12495">
        <v>2</v>
      </c>
      <c r="R12495" t="s">
        <v>45111</v>
      </c>
      <c r="S12495" t="s">
        <v>45694</v>
      </c>
      <c r="T12495" t="s">
        <v>46914</v>
      </c>
      <c r="U12495" t="s">
        <v>57656</v>
      </c>
      <c r="W12495" t="s">
        <v>41866</v>
      </c>
      <c r="X12495" t="s">
        <v>45112</v>
      </c>
    </row>
    <row r="12496" spans="1:24">
      <c r="A12496">
        <f>HYPERLINK("https://www.philgeps.gov.ph/GEPSNONPILOT/Tender/SplashBidNoticeAbstractUI.aspx?menuIndex=3&amp;refID=7020097&amp;Result=3","7020097")</f>
        <v>0</v>
      </c>
      <c r="B12496" t="s">
        <v>2950</v>
      </c>
      <c r="C12496" t="s">
        <v>15143</v>
      </c>
      <c r="D12496" t="s">
        <v>18039</v>
      </c>
      <c r="E12496" t="s">
        <v>28923</v>
      </c>
      <c r="F12496" t="s">
        <v>31575</v>
      </c>
      <c r="G12496" t="s">
        <v>31582</v>
      </c>
      <c r="H12496" t="s">
        <v>31591</v>
      </c>
      <c r="I12496" t="s">
        <v>4046</v>
      </c>
      <c r="J12496" t="s">
        <v>31727</v>
      </c>
      <c r="K12496" t="s">
        <v>41184</v>
      </c>
      <c r="M12496" t="s">
        <v>44765</v>
      </c>
      <c r="N12496" t="s">
        <v>45095</v>
      </c>
      <c r="O12496" t="s">
        <v>45096</v>
      </c>
      <c r="P12496">
        <v>0</v>
      </c>
      <c r="Q12496">
        <v>0</v>
      </c>
      <c r="R12496" t="s">
        <v>45111</v>
      </c>
      <c r="S12496" t="s">
        <v>45694</v>
      </c>
      <c r="T12496" t="s">
        <v>47124</v>
      </c>
      <c r="U12496" t="s">
        <v>57657</v>
      </c>
      <c r="W12496" t="s">
        <v>44765</v>
      </c>
      <c r="X12496" t="s">
        <v>45112</v>
      </c>
    </row>
    <row r="12497" spans="1:24">
      <c r="A12497">
        <f>HYPERLINK("https://www.philgeps.gov.ph/GEPSNONPILOT/Tender/SplashBidNoticeAbstractUI.aspx?menuIndex=3&amp;refID=7020088&amp;Result=3","7020088")</f>
        <v>0</v>
      </c>
      <c r="B12497" t="s">
        <v>627</v>
      </c>
      <c r="C12497" t="s">
        <v>15144</v>
      </c>
      <c r="E12497" t="s">
        <v>28924</v>
      </c>
      <c r="F12497" t="s">
        <v>31574</v>
      </c>
      <c r="G12497" t="s">
        <v>31582</v>
      </c>
      <c r="H12497" t="s">
        <v>31590</v>
      </c>
      <c r="I12497" t="s">
        <v>31602</v>
      </c>
      <c r="J12497" t="s">
        <v>39427</v>
      </c>
      <c r="K12497" t="s">
        <v>41184</v>
      </c>
      <c r="M12497" t="s">
        <v>42131</v>
      </c>
      <c r="N12497" t="s">
        <v>45095</v>
      </c>
      <c r="O12497" t="s">
        <v>45096</v>
      </c>
      <c r="P12497">
        <v>0</v>
      </c>
      <c r="Q12497">
        <v>0</v>
      </c>
      <c r="R12497" t="s">
        <v>45111</v>
      </c>
      <c r="S12497" t="s">
        <v>45694</v>
      </c>
      <c r="T12497" t="s">
        <v>46910</v>
      </c>
      <c r="U12497" t="s">
        <v>57658</v>
      </c>
      <c r="W12497" t="s">
        <v>42131</v>
      </c>
      <c r="X12497" t="s">
        <v>45112</v>
      </c>
    </row>
    <row r="12498" spans="1:24">
      <c r="A12498">
        <f>HYPERLINK("https://www.philgeps.gov.ph/GEPSNONPILOT/Tender/SplashBidNoticeAbstractUI.aspx?menuIndex=3&amp;refID=7020146&amp;Result=3","7020146")</f>
        <v>0</v>
      </c>
      <c r="B12498" t="s">
        <v>2427</v>
      </c>
      <c r="C12498" t="s">
        <v>15145</v>
      </c>
      <c r="D12498" t="s">
        <v>18052</v>
      </c>
      <c r="E12498" t="s">
        <v>28925</v>
      </c>
      <c r="F12498" t="s">
        <v>31574</v>
      </c>
      <c r="G12498" t="s">
        <v>31582</v>
      </c>
      <c r="H12498" t="s">
        <v>31590</v>
      </c>
      <c r="I12498" t="s">
        <v>3901</v>
      </c>
      <c r="J12498" t="s">
        <v>39428</v>
      </c>
      <c r="K12498" t="s">
        <v>41192</v>
      </c>
      <c r="M12498" t="s">
        <v>44154</v>
      </c>
      <c r="N12498" t="s">
        <v>45095</v>
      </c>
      <c r="O12498" t="s">
        <v>45096</v>
      </c>
      <c r="Q12498">
        <v>6</v>
      </c>
      <c r="R12498" t="s">
        <v>45111</v>
      </c>
      <c r="S12498" t="s">
        <v>45729</v>
      </c>
      <c r="T12498" t="s">
        <v>46914</v>
      </c>
      <c r="U12498" t="s">
        <v>57647</v>
      </c>
      <c r="V12498" t="s">
        <v>60748</v>
      </c>
      <c r="W12498" t="s">
        <v>44154</v>
      </c>
      <c r="X12498" t="s">
        <v>45112</v>
      </c>
    </row>
    <row r="12499" spans="1:24">
      <c r="A12499">
        <f>HYPERLINK("https://www.philgeps.gov.ph/GEPSNONPILOT/Tender/SplashBidNoticeAbstractUI.aspx?menuIndex=3&amp;refID=7020153&amp;Result=3","7020153")</f>
        <v>0</v>
      </c>
      <c r="B12499" t="s">
        <v>54</v>
      </c>
      <c r="C12499" t="s">
        <v>15146</v>
      </c>
      <c r="D12499" t="s">
        <v>18045</v>
      </c>
      <c r="E12499" t="s">
        <v>28926</v>
      </c>
      <c r="F12499" t="s">
        <v>31574</v>
      </c>
      <c r="G12499" t="s">
        <v>31582</v>
      </c>
      <c r="H12499" t="s">
        <v>31591</v>
      </c>
      <c r="I12499" t="s">
        <v>8822</v>
      </c>
      <c r="J12499" t="s">
        <v>31935</v>
      </c>
      <c r="K12499" t="s">
        <v>41189</v>
      </c>
      <c r="M12499" t="s">
        <v>41538</v>
      </c>
      <c r="N12499" t="s">
        <v>45095</v>
      </c>
      <c r="O12499" t="s">
        <v>45096</v>
      </c>
      <c r="P12499">
        <v>0</v>
      </c>
      <c r="Q12499">
        <v>0</v>
      </c>
      <c r="R12499" t="s">
        <v>45111</v>
      </c>
      <c r="S12499" t="s">
        <v>45694</v>
      </c>
      <c r="T12499" t="s">
        <v>46914</v>
      </c>
      <c r="U12499" t="s">
        <v>57659</v>
      </c>
      <c r="W12499" t="s">
        <v>41538</v>
      </c>
      <c r="X12499" t="s">
        <v>45112</v>
      </c>
    </row>
    <row r="12500" spans="1:24">
      <c r="A12500">
        <f>HYPERLINK("https://www.philgeps.gov.ph/GEPSNONPILOT/Tender/SplashBidNoticeAbstractUI.aspx?menuIndex=3&amp;refID=7020182&amp;Result=3","7020182")</f>
        <v>0</v>
      </c>
      <c r="B12500" t="s">
        <v>1040</v>
      </c>
      <c r="C12500" t="s">
        <v>15147</v>
      </c>
      <c r="D12500" t="s">
        <v>18066</v>
      </c>
      <c r="E12500" t="s">
        <v>28927</v>
      </c>
      <c r="F12500" t="s">
        <v>31574</v>
      </c>
      <c r="G12500" t="s">
        <v>31582</v>
      </c>
      <c r="H12500" t="s">
        <v>31590</v>
      </c>
      <c r="I12500" t="s">
        <v>31615</v>
      </c>
      <c r="J12500" t="s">
        <v>33128</v>
      </c>
      <c r="K12500" t="s">
        <v>41186</v>
      </c>
      <c r="M12500" t="s">
        <v>42583</v>
      </c>
      <c r="N12500" t="s">
        <v>45095</v>
      </c>
      <c r="O12500" t="s">
        <v>45096</v>
      </c>
      <c r="P12500">
        <v>0</v>
      </c>
      <c r="Q12500">
        <v>0</v>
      </c>
      <c r="R12500" t="s">
        <v>45111</v>
      </c>
      <c r="S12500" t="s">
        <v>45694</v>
      </c>
      <c r="T12500" t="s">
        <v>47008</v>
      </c>
      <c r="U12500" t="s">
        <v>57660</v>
      </c>
      <c r="V12500" t="s">
        <v>60439</v>
      </c>
      <c r="W12500" t="s">
        <v>42583</v>
      </c>
      <c r="X12500" t="s">
        <v>45112</v>
      </c>
    </row>
    <row r="12501" spans="1:24">
      <c r="A12501">
        <f>HYPERLINK("https://www.philgeps.gov.ph/GEPSNONPILOT/Tender/SplashBidNoticeAbstractUI.aspx?menuIndex=3&amp;refID=7020132&amp;Result=3","7020132")</f>
        <v>0</v>
      </c>
      <c r="B12501" t="s">
        <v>2948</v>
      </c>
      <c r="C12501" t="s">
        <v>15148</v>
      </c>
      <c r="D12501" t="s">
        <v>18095</v>
      </c>
      <c r="E12501" t="s">
        <v>28928</v>
      </c>
      <c r="F12501" t="s">
        <v>31574</v>
      </c>
      <c r="G12501" t="s">
        <v>31582</v>
      </c>
      <c r="H12501" t="s">
        <v>31591</v>
      </c>
      <c r="I12501" t="s">
        <v>8822</v>
      </c>
      <c r="J12501" t="s">
        <v>39429</v>
      </c>
      <c r="K12501" t="s">
        <v>41233</v>
      </c>
      <c r="M12501" t="s">
        <v>44762</v>
      </c>
      <c r="N12501" t="s">
        <v>45095</v>
      </c>
      <c r="O12501" t="s">
        <v>45096</v>
      </c>
      <c r="P12501">
        <v>0</v>
      </c>
      <c r="Q12501">
        <v>0</v>
      </c>
      <c r="R12501" t="s">
        <v>45111</v>
      </c>
      <c r="S12501" t="s">
        <v>45694</v>
      </c>
      <c r="T12501" t="s">
        <v>46966</v>
      </c>
      <c r="U12501" t="s">
        <v>57661</v>
      </c>
      <c r="W12501" t="s">
        <v>44762</v>
      </c>
      <c r="X12501" t="s">
        <v>45112</v>
      </c>
    </row>
    <row r="12502" spans="1:24">
      <c r="A12502">
        <f>HYPERLINK("https://www.philgeps.gov.ph/GEPSNONPILOT/Tender/SplashBidNoticeAbstractUI.aspx?menuIndex=3&amp;refID=7020096&amp;Result=3","7020096")</f>
        <v>0</v>
      </c>
      <c r="B12502" t="s">
        <v>2094</v>
      </c>
      <c r="C12502" t="s">
        <v>15149</v>
      </c>
      <c r="D12502" t="s">
        <v>18038</v>
      </c>
      <c r="E12502" t="s">
        <v>28929</v>
      </c>
      <c r="F12502" t="s">
        <v>31574</v>
      </c>
      <c r="G12502" t="s">
        <v>31582</v>
      </c>
      <c r="H12502" t="s">
        <v>31591</v>
      </c>
      <c r="I12502" t="s">
        <v>8822</v>
      </c>
      <c r="J12502" t="s">
        <v>33574</v>
      </c>
      <c r="K12502" t="s">
        <v>41287</v>
      </c>
      <c r="M12502" t="s">
        <v>44766</v>
      </c>
      <c r="N12502" t="s">
        <v>45095</v>
      </c>
      <c r="O12502" t="s">
        <v>45096</v>
      </c>
      <c r="Q12502">
        <v>0</v>
      </c>
      <c r="R12502" t="s">
        <v>45111</v>
      </c>
      <c r="S12502" t="s">
        <v>45730</v>
      </c>
      <c r="T12502" t="s">
        <v>47124</v>
      </c>
      <c r="U12502" t="s">
        <v>57662</v>
      </c>
      <c r="W12502" t="s">
        <v>44766</v>
      </c>
      <c r="X12502" t="s">
        <v>45112</v>
      </c>
    </row>
    <row r="12503" spans="1:24">
      <c r="A12503">
        <f>HYPERLINK("https://www.philgeps.gov.ph/GEPSNONPILOT/Tender/SplashBidNoticeAbstractUI.aspx?menuIndex=3&amp;refID=7020257&amp;Result=3","7020257")</f>
        <v>0</v>
      </c>
      <c r="B12503" t="s">
        <v>2086</v>
      </c>
      <c r="C12503" t="s">
        <v>15150</v>
      </c>
      <c r="D12503" t="s">
        <v>18026</v>
      </c>
      <c r="E12503" t="s">
        <v>28930</v>
      </c>
      <c r="F12503" t="s">
        <v>31574</v>
      </c>
      <c r="G12503" t="s">
        <v>31581</v>
      </c>
      <c r="H12503" t="s">
        <v>31593</v>
      </c>
      <c r="I12503" t="s">
        <v>31593</v>
      </c>
      <c r="J12503" t="s">
        <v>39430</v>
      </c>
      <c r="K12503" t="s">
        <v>41184</v>
      </c>
      <c r="M12503" t="s">
        <v>44767</v>
      </c>
      <c r="N12503" t="s">
        <v>45095</v>
      </c>
      <c r="O12503" t="s">
        <v>45096</v>
      </c>
      <c r="P12503">
        <v>0</v>
      </c>
      <c r="Q12503">
        <v>3</v>
      </c>
      <c r="R12503" t="s">
        <v>45111</v>
      </c>
      <c r="S12503" t="s">
        <v>45694</v>
      </c>
      <c r="T12503" t="s">
        <v>46973</v>
      </c>
      <c r="U12503" t="s">
        <v>57663</v>
      </c>
      <c r="V12503" t="s">
        <v>61217</v>
      </c>
      <c r="W12503" t="s">
        <v>44767</v>
      </c>
      <c r="X12503" t="s">
        <v>45112</v>
      </c>
    </row>
    <row r="12504" spans="1:24">
      <c r="A12504">
        <f>HYPERLINK("https://www.philgeps.gov.ph/GEPSNONPILOT/Tender/SplashBidNoticeAbstractUI.aspx?menuIndex=3&amp;refID=7020303&amp;Result=3","7020303")</f>
        <v>0</v>
      </c>
      <c r="B12504" t="s">
        <v>2331</v>
      </c>
      <c r="C12504" t="s">
        <v>15151</v>
      </c>
      <c r="D12504" t="s">
        <v>18064</v>
      </c>
      <c r="E12504" t="s">
        <v>22300</v>
      </c>
      <c r="F12504" t="s">
        <v>31574</v>
      </c>
      <c r="G12504" t="s">
        <v>31588</v>
      </c>
      <c r="H12504" t="s">
        <v>31590</v>
      </c>
      <c r="I12504" t="s">
        <v>31615</v>
      </c>
      <c r="J12504" t="s">
        <v>32510</v>
      </c>
      <c r="K12504" t="s">
        <v>41193</v>
      </c>
      <c r="M12504" t="s">
        <v>44041</v>
      </c>
      <c r="N12504" t="s">
        <v>45095</v>
      </c>
      <c r="O12504" t="s">
        <v>45096</v>
      </c>
      <c r="P12504">
        <v>0</v>
      </c>
      <c r="Q12504">
        <v>6</v>
      </c>
      <c r="R12504" t="s">
        <v>45111</v>
      </c>
      <c r="S12504" t="s">
        <v>45694</v>
      </c>
      <c r="T12504" t="s">
        <v>47046</v>
      </c>
      <c r="U12504" t="s">
        <v>57664</v>
      </c>
      <c r="W12504" t="s">
        <v>44041</v>
      </c>
      <c r="X12504" t="s">
        <v>45112</v>
      </c>
    </row>
    <row r="12505" spans="1:24">
      <c r="A12505">
        <f>HYPERLINK("https://www.philgeps.gov.ph/GEPSNONPILOT/Tender/SplashBidNoticeAbstractUI.aspx?menuIndex=3&amp;refID=7020223&amp;Result=3","7020223")</f>
        <v>0</v>
      </c>
      <c r="B12505" t="s">
        <v>2092</v>
      </c>
      <c r="C12505" t="s">
        <v>15152</v>
      </c>
      <c r="D12505" t="s">
        <v>18022</v>
      </c>
      <c r="E12505" t="s">
        <v>28931</v>
      </c>
      <c r="F12505" t="s">
        <v>31574</v>
      </c>
      <c r="G12505" t="s">
        <v>31582</v>
      </c>
      <c r="H12505" t="s">
        <v>31592</v>
      </c>
      <c r="I12505" t="s">
        <v>31694</v>
      </c>
      <c r="J12505" t="s">
        <v>39431</v>
      </c>
      <c r="K12505" t="s">
        <v>41192</v>
      </c>
      <c r="M12505" t="s">
        <v>43900</v>
      </c>
      <c r="N12505" t="s">
        <v>45095</v>
      </c>
      <c r="O12505" t="s">
        <v>45096</v>
      </c>
      <c r="P12505">
        <v>0</v>
      </c>
      <c r="Q12505">
        <v>4</v>
      </c>
      <c r="R12505" t="s">
        <v>45111</v>
      </c>
      <c r="S12505" t="s">
        <v>45694</v>
      </c>
      <c r="T12505" t="s">
        <v>46914</v>
      </c>
      <c r="U12505" t="s">
        <v>53298</v>
      </c>
      <c r="V12505" t="s">
        <v>60962</v>
      </c>
      <c r="W12505" t="s">
        <v>43900</v>
      </c>
      <c r="X12505" t="s">
        <v>45112</v>
      </c>
    </row>
    <row r="12506" spans="1:24">
      <c r="A12506">
        <f>HYPERLINK("https://www.philgeps.gov.ph/GEPSNONPILOT/Tender/SplashBidNoticeAbstractUI.aspx?menuIndex=3&amp;refID=7020297&amp;Result=3","7020297")</f>
        <v>0</v>
      </c>
      <c r="B12506" t="s">
        <v>438</v>
      </c>
      <c r="C12506" t="s">
        <v>15153</v>
      </c>
      <c r="D12506" t="s">
        <v>18040</v>
      </c>
      <c r="E12506" t="s">
        <v>28932</v>
      </c>
      <c r="F12506" t="s">
        <v>31574</v>
      </c>
      <c r="G12506" t="s">
        <v>31582</v>
      </c>
      <c r="H12506" t="s">
        <v>31590</v>
      </c>
      <c r="I12506" t="s">
        <v>31595</v>
      </c>
      <c r="J12506" t="s">
        <v>39432</v>
      </c>
      <c r="K12506" t="s">
        <v>41186</v>
      </c>
      <c r="M12506" t="s">
        <v>41931</v>
      </c>
      <c r="N12506" t="s">
        <v>45095</v>
      </c>
      <c r="O12506" t="s">
        <v>45096</v>
      </c>
      <c r="P12506">
        <v>0</v>
      </c>
      <c r="Q12506">
        <v>2</v>
      </c>
      <c r="R12506" t="s">
        <v>45111</v>
      </c>
      <c r="S12506" t="s">
        <v>45694</v>
      </c>
      <c r="T12506" t="s">
        <v>47143</v>
      </c>
      <c r="U12506" t="s">
        <v>57665</v>
      </c>
      <c r="W12506" t="s">
        <v>41931</v>
      </c>
      <c r="X12506" t="s">
        <v>45112</v>
      </c>
    </row>
    <row r="12507" spans="1:24">
      <c r="A12507">
        <f>HYPERLINK("https://www.philgeps.gov.ph/GEPSNONPILOT/Tender/SplashBidNoticeAbstractUI.aspx?menuIndex=3&amp;refID=7020300&amp;Result=3","7020300")</f>
        <v>0</v>
      </c>
      <c r="B12507" t="s">
        <v>2951</v>
      </c>
      <c r="C12507" t="s">
        <v>15154</v>
      </c>
      <c r="D12507" t="s">
        <v>18072</v>
      </c>
      <c r="E12507" t="s">
        <v>18788</v>
      </c>
      <c r="F12507" t="s">
        <v>31579</v>
      </c>
      <c r="G12507" t="s">
        <v>31582</v>
      </c>
      <c r="H12507" t="s">
        <v>31590</v>
      </c>
      <c r="I12507" t="s">
        <v>8822</v>
      </c>
      <c r="J12507" t="s">
        <v>31727</v>
      </c>
      <c r="K12507" t="s">
        <v>41192</v>
      </c>
      <c r="M12507" t="s">
        <v>44768</v>
      </c>
      <c r="N12507" t="s">
        <v>45095</v>
      </c>
      <c r="O12507" t="s">
        <v>45096</v>
      </c>
      <c r="P12507">
        <v>0</v>
      </c>
      <c r="Q12507">
        <v>1</v>
      </c>
      <c r="R12507" t="s">
        <v>45111</v>
      </c>
      <c r="S12507" t="s">
        <v>45694</v>
      </c>
      <c r="T12507" t="s">
        <v>47183</v>
      </c>
      <c r="U12507" t="s">
        <v>49119</v>
      </c>
      <c r="W12507" t="s">
        <v>44768</v>
      </c>
      <c r="X12507" t="s">
        <v>45112</v>
      </c>
    </row>
    <row r="12508" spans="1:24">
      <c r="A12508">
        <f>HYPERLINK("https://www.philgeps.gov.ph/GEPSNONPILOT/Tender/SplashBidNoticeAbstractUI.aspx?menuIndex=3&amp;refID=7020234&amp;Result=3","7020234")</f>
        <v>0</v>
      </c>
      <c r="B12508" t="s">
        <v>1493</v>
      </c>
      <c r="C12508" t="s">
        <v>15155</v>
      </c>
      <c r="D12508" t="s">
        <v>18102</v>
      </c>
      <c r="E12508" t="s">
        <v>28933</v>
      </c>
      <c r="F12508" t="s">
        <v>31574</v>
      </c>
      <c r="G12508" t="s">
        <v>31582</v>
      </c>
      <c r="H12508" t="s">
        <v>31591</v>
      </c>
      <c r="I12508" t="s">
        <v>8822</v>
      </c>
      <c r="J12508" t="s">
        <v>39433</v>
      </c>
      <c r="K12508" t="s">
        <v>41185</v>
      </c>
      <c r="M12508" t="s">
        <v>43078</v>
      </c>
      <c r="N12508" t="s">
        <v>45095</v>
      </c>
      <c r="O12508" t="s">
        <v>45096</v>
      </c>
      <c r="P12508">
        <v>0</v>
      </c>
      <c r="Q12508">
        <v>0</v>
      </c>
      <c r="R12508" t="s">
        <v>45111</v>
      </c>
      <c r="S12508" t="s">
        <v>45694</v>
      </c>
      <c r="T12508" t="s">
        <v>47183</v>
      </c>
      <c r="U12508" t="s">
        <v>57666</v>
      </c>
      <c r="V12508" t="s">
        <v>60302</v>
      </c>
      <c r="W12508" t="s">
        <v>43078</v>
      </c>
      <c r="X12508" t="s">
        <v>45112</v>
      </c>
    </row>
    <row r="12509" spans="1:24">
      <c r="A12509">
        <f>HYPERLINK("https://www.philgeps.gov.ph/GEPSNONPILOT/Tender/SplashBidNoticeAbstractUI.aspx?menuIndex=3&amp;refID=7020288&amp;Result=3","7020288")</f>
        <v>0</v>
      </c>
      <c r="B12509" t="s">
        <v>693</v>
      </c>
      <c r="C12509" t="s">
        <v>15156</v>
      </c>
      <c r="D12509" t="s">
        <v>18022</v>
      </c>
      <c r="E12509" t="s">
        <v>28934</v>
      </c>
      <c r="F12509" t="s">
        <v>31574</v>
      </c>
      <c r="G12509" t="s">
        <v>31582</v>
      </c>
      <c r="H12509" t="s">
        <v>31591</v>
      </c>
      <c r="I12509" t="s">
        <v>8822</v>
      </c>
      <c r="J12509" t="s">
        <v>39434</v>
      </c>
      <c r="K12509" t="s">
        <v>41185</v>
      </c>
      <c r="M12509" t="s">
        <v>44769</v>
      </c>
      <c r="N12509" t="s">
        <v>45095</v>
      </c>
      <c r="O12509" t="s">
        <v>45096</v>
      </c>
      <c r="P12509">
        <v>0</v>
      </c>
      <c r="Q12509">
        <v>2</v>
      </c>
      <c r="R12509" t="s">
        <v>45111</v>
      </c>
      <c r="S12509" t="s">
        <v>45694</v>
      </c>
      <c r="T12509" t="s">
        <v>46932</v>
      </c>
      <c r="U12509" t="s">
        <v>57667</v>
      </c>
      <c r="W12509" t="s">
        <v>44769</v>
      </c>
      <c r="X12509" t="s">
        <v>45112</v>
      </c>
    </row>
    <row r="12510" spans="1:24">
      <c r="A12510">
        <f>HYPERLINK("https://www.philgeps.gov.ph/GEPSNONPILOT/Tender/SplashBidNoticeAbstractUI.aspx?menuIndex=3&amp;refID=7020185&amp;Result=3","7020185")</f>
        <v>0</v>
      </c>
      <c r="B12510" t="s">
        <v>2948</v>
      </c>
      <c r="C12510" t="s">
        <v>15157</v>
      </c>
      <c r="D12510" t="s">
        <v>18095</v>
      </c>
      <c r="E12510" t="s">
        <v>28935</v>
      </c>
      <c r="F12510" t="s">
        <v>31574</v>
      </c>
      <c r="G12510" t="s">
        <v>31582</v>
      </c>
      <c r="H12510" t="s">
        <v>31591</v>
      </c>
      <c r="I12510" t="s">
        <v>8822</v>
      </c>
      <c r="J12510" t="s">
        <v>39435</v>
      </c>
      <c r="K12510" t="s">
        <v>41315</v>
      </c>
      <c r="M12510" t="s">
        <v>44762</v>
      </c>
      <c r="N12510" t="s">
        <v>45095</v>
      </c>
      <c r="O12510" t="s">
        <v>45096</v>
      </c>
      <c r="P12510">
        <v>0</v>
      </c>
      <c r="Q12510">
        <v>0</v>
      </c>
      <c r="R12510" t="s">
        <v>45111</v>
      </c>
      <c r="S12510" t="s">
        <v>45694</v>
      </c>
      <c r="T12510" t="s">
        <v>46966</v>
      </c>
      <c r="U12510" t="s">
        <v>57668</v>
      </c>
      <c r="W12510" t="s">
        <v>44762</v>
      </c>
      <c r="X12510" t="s">
        <v>45112</v>
      </c>
    </row>
    <row r="12511" spans="1:24">
      <c r="A12511">
        <f>HYPERLINK("https://www.philgeps.gov.ph/GEPSNONPILOT/Tender/SplashBidNoticeAbstractUI.aspx?menuIndex=3&amp;refID=7020199&amp;Result=3","7020199")</f>
        <v>0</v>
      </c>
      <c r="B12511" t="s">
        <v>2948</v>
      </c>
      <c r="C12511" t="s">
        <v>15158</v>
      </c>
      <c r="D12511" t="s">
        <v>18095</v>
      </c>
      <c r="E12511" t="s">
        <v>28936</v>
      </c>
      <c r="F12511" t="s">
        <v>31574</v>
      </c>
      <c r="G12511" t="s">
        <v>31582</v>
      </c>
      <c r="H12511" t="s">
        <v>31591</v>
      </c>
      <c r="I12511" t="s">
        <v>8822</v>
      </c>
      <c r="J12511" t="s">
        <v>39436</v>
      </c>
      <c r="K12511" t="s">
        <v>41217</v>
      </c>
      <c r="M12511" t="s">
        <v>44762</v>
      </c>
      <c r="N12511" t="s">
        <v>45095</v>
      </c>
      <c r="O12511" t="s">
        <v>45096</v>
      </c>
      <c r="P12511">
        <v>0</v>
      </c>
      <c r="Q12511">
        <v>0</v>
      </c>
      <c r="R12511" t="s">
        <v>45111</v>
      </c>
      <c r="S12511" t="s">
        <v>45694</v>
      </c>
      <c r="T12511" t="s">
        <v>46966</v>
      </c>
      <c r="U12511" t="s">
        <v>57669</v>
      </c>
      <c r="W12511" t="s">
        <v>44762</v>
      </c>
      <c r="X12511" t="s">
        <v>45112</v>
      </c>
    </row>
    <row r="12512" spans="1:24">
      <c r="A12512">
        <f>HYPERLINK("https://www.philgeps.gov.ph/GEPSNONPILOT/Tender/SplashBidNoticeAbstractUI.aspx?menuIndex=3&amp;refID=7020294&amp;Result=3","7020294")</f>
        <v>0</v>
      </c>
      <c r="B12512" t="s">
        <v>2752</v>
      </c>
      <c r="C12512" t="s">
        <v>15159</v>
      </c>
      <c r="D12512" t="s">
        <v>18099</v>
      </c>
      <c r="E12512" t="s">
        <v>28937</v>
      </c>
      <c r="F12512" t="s">
        <v>31574</v>
      </c>
      <c r="G12512" t="s">
        <v>31582</v>
      </c>
      <c r="H12512" t="s">
        <v>31591</v>
      </c>
      <c r="I12512" t="s">
        <v>8822</v>
      </c>
      <c r="J12512" t="s">
        <v>39437</v>
      </c>
      <c r="K12512" t="s">
        <v>41243</v>
      </c>
      <c r="M12512" t="s">
        <v>44524</v>
      </c>
      <c r="N12512" t="s">
        <v>45095</v>
      </c>
      <c r="O12512" t="s">
        <v>45096</v>
      </c>
      <c r="P12512">
        <v>0</v>
      </c>
      <c r="Q12512">
        <v>0</v>
      </c>
      <c r="R12512" t="s">
        <v>45111</v>
      </c>
      <c r="S12512" t="s">
        <v>45694</v>
      </c>
      <c r="T12512" t="s">
        <v>47379</v>
      </c>
      <c r="U12512" t="s">
        <v>57670</v>
      </c>
      <c r="W12512" t="s">
        <v>44524</v>
      </c>
      <c r="X12512" t="s">
        <v>45112</v>
      </c>
    </row>
    <row r="12513" spans="1:24">
      <c r="A12513">
        <f>HYPERLINK("https://www.philgeps.gov.ph/GEPSNONPILOT/Tender/SplashBidNoticeAbstractUI.aspx?menuIndex=3&amp;refID=7020282&amp;Result=3","7020282")</f>
        <v>0</v>
      </c>
      <c r="B12513" t="s">
        <v>394</v>
      </c>
      <c r="C12513" t="s">
        <v>15160</v>
      </c>
      <c r="D12513" t="s">
        <v>18056</v>
      </c>
      <c r="E12513" t="s">
        <v>28938</v>
      </c>
      <c r="F12513" t="s">
        <v>31574</v>
      </c>
      <c r="G12513" t="s">
        <v>31582</v>
      </c>
      <c r="H12513" t="s">
        <v>31591</v>
      </c>
      <c r="I12513" t="s">
        <v>8822</v>
      </c>
      <c r="J12513" t="s">
        <v>32019</v>
      </c>
      <c r="K12513" t="s">
        <v>41196</v>
      </c>
      <c r="M12513" t="s">
        <v>41885</v>
      </c>
      <c r="N12513" t="s">
        <v>45095</v>
      </c>
      <c r="O12513" t="s">
        <v>45096</v>
      </c>
      <c r="P12513">
        <v>0</v>
      </c>
      <c r="Q12513">
        <v>6</v>
      </c>
      <c r="R12513" t="s">
        <v>45111</v>
      </c>
      <c r="S12513" t="s">
        <v>45694</v>
      </c>
      <c r="T12513" t="s">
        <v>46955</v>
      </c>
      <c r="U12513" t="s">
        <v>57671</v>
      </c>
      <c r="V12513" t="s">
        <v>61203</v>
      </c>
      <c r="W12513" t="s">
        <v>41885</v>
      </c>
      <c r="X12513" t="s">
        <v>45112</v>
      </c>
    </row>
    <row r="12514" spans="1:24">
      <c r="A12514">
        <f>HYPERLINK("https://www.philgeps.gov.ph/GEPSNONPILOT/Tender/SplashBidNoticeAbstractUI.aspx?menuIndex=3&amp;refID=7020229&amp;Result=3","7020229")</f>
        <v>0</v>
      </c>
      <c r="B12514" t="s">
        <v>54</v>
      </c>
      <c r="C12514" t="s">
        <v>15161</v>
      </c>
      <c r="D12514" t="s">
        <v>18045</v>
      </c>
      <c r="E12514" t="s">
        <v>28939</v>
      </c>
      <c r="F12514" t="s">
        <v>31574</v>
      </c>
      <c r="G12514" t="s">
        <v>31582</v>
      </c>
      <c r="H12514" t="s">
        <v>31590</v>
      </c>
      <c r="I12514" t="s">
        <v>31602</v>
      </c>
      <c r="J12514" t="s">
        <v>39438</v>
      </c>
      <c r="K12514" t="s">
        <v>41225</v>
      </c>
      <c r="M12514" t="s">
        <v>41538</v>
      </c>
      <c r="N12514" t="s">
        <v>45095</v>
      </c>
      <c r="O12514" t="s">
        <v>45096</v>
      </c>
      <c r="P12514">
        <v>0</v>
      </c>
      <c r="Q12514">
        <v>0</v>
      </c>
      <c r="R12514" t="s">
        <v>45111</v>
      </c>
      <c r="S12514" t="s">
        <v>45694</v>
      </c>
      <c r="T12514" t="s">
        <v>46914</v>
      </c>
      <c r="U12514" t="s">
        <v>57672</v>
      </c>
      <c r="W12514" t="s">
        <v>41538</v>
      </c>
      <c r="X12514" t="s">
        <v>45112</v>
      </c>
    </row>
    <row r="12515" spans="1:24">
      <c r="A12515">
        <f>HYPERLINK("https://www.philgeps.gov.ph/GEPSNONPILOT/Tender/SplashBidNoticeAbstractUI.aspx?menuIndex=3&amp;refID=7020281&amp;Result=3","7020281")</f>
        <v>0</v>
      </c>
      <c r="B12515" t="s">
        <v>1040</v>
      </c>
      <c r="C12515" t="s">
        <v>15162</v>
      </c>
      <c r="D12515" t="s">
        <v>18066</v>
      </c>
      <c r="E12515" t="s">
        <v>28940</v>
      </c>
      <c r="F12515" t="s">
        <v>31574</v>
      </c>
      <c r="G12515" t="s">
        <v>31582</v>
      </c>
      <c r="H12515" t="s">
        <v>31590</v>
      </c>
      <c r="I12515" t="s">
        <v>31599</v>
      </c>
      <c r="J12515" t="s">
        <v>39439</v>
      </c>
      <c r="K12515" t="s">
        <v>41186</v>
      </c>
      <c r="M12515" t="s">
        <v>42583</v>
      </c>
      <c r="N12515" t="s">
        <v>45095</v>
      </c>
      <c r="O12515" t="s">
        <v>45096</v>
      </c>
      <c r="P12515">
        <v>0</v>
      </c>
      <c r="Q12515">
        <v>4</v>
      </c>
      <c r="R12515" t="s">
        <v>45111</v>
      </c>
      <c r="S12515" t="s">
        <v>45694</v>
      </c>
      <c r="T12515" t="s">
        <v>46955</v>
      </c>
      <c r="U12515" t="s">
        <v>57673</v>
      </c>
      <c r="V12515" t="s">
        <v>60439</v>
      </c>
      <c r="W12515" t="s">
        <v>42583</v>
      </c>
      <c r="X12515" t="s">
        <v>45112</v>
      </c>
    </row>
    <row r="12516" spans="1:24">
      <c r="A12516">
        <f>HYPERLINK("https://www.philgeps.gov.ph/GEPSNONPILOT/Tender/SplashBidNoticeAbstractUI.aspx?menuIndex=3&amp;refID=7020271&amp;Result=3","7020271")</f>
        <v>0</v>
      </c>
      <c r="B12516" t="s">
        <v>2952</v>
      </c>
      <c r="C12516" t="s">
        <v>15163</v>
      </c>
      <c r="D12516" t="s">
        <v>18041</v>
      </c>
      <c r="E12516" t="s">
        <v>28941</v>
      </c>
      <c r="F12516" t="s">
        <v>31574</v>
      </c>
      <c r="G12516" t="s">
        <v>31582</v>
      </c>
      <c r="H12516" t="s">
        <v>31591</v>
      </c>
      <c r="I12516" t="s">
        <v>8822</v>
      </c>
      <c r="J12516" t="s">
        <v>31962</v>
      </c>
      <c r="K12516" t="s">
        <v>41186</v>
      </c>
      <c r="M12516" t="s">
        <v>44770</v>
      </c>
      <c r="N12516" t="s">
        <v>45095</v>
      </c>
      <c r="O12516" t="s">
        <v>45096</v>
      </c>
      <c r="P12516">
        <v>0</v>
      </c>
      <c r="Q12516">
        <v>0</v>
      </c>
      <c r="R12516" t="s">
        <v>45111</v>
      </c>
      <c r="S12516" t="s">
        <v>45694</v>
      </c>
      <c r="T12516" t="s">
        <v>46982</v>
      </c>
      <c r="U12516" t="s">
        <v>57674</v>
      </c>
      <c r="W12516" t="s">
        <v>44770</v>
      </c>
      <c r="X12516" t="s">
        <v>45112</v>
      </c>
    </row>
    <row r="12517" spans="1:24">
      <c r="A12517">
        <f>HYPERLINK("https://www.philgeps.gov.ph/GEPSNONPILOT/Tender/SplashBidNoticeAbstractUI.aspx?menuIndex=3&amp;refID=7020210&amp;Result=3","7020210")</f>
        <v>0</v>
      </c>
      <c r="B12517" t="s">
        <v>302</v>
      </c>
      <c r="C12517" t="s">
        <v>15164</v>
      </c>
      <c r="D12517" t="s">
        <v>18022</v>
      </c>
      <c r="E12517" t="s">
        <v>28942</v>
      </c>
      <c r="F12517" t="s">
        <v>31574</v>
      </c>
      <c r="G12517" t="s">
        <v>31582</v>
      </c>
      <c r="H12517" t="s">
        <v>31590</v>
      </c>
      <c r="I12517" t="s">
        <v>31603</v>
      </c>
      <c r="J12517" t="s">
        <v>39440</v>
      </c>
      <c r="K12517" t="s">
        <v>41193</v>
      </c>
      <c r="M12517" t="s">
        <v>41788</v>
      </c>
      <c r="N12517" t="s">
        <v>45095</v>
      </c>
      <c r="O12517" t="s">
        <v>45096</v>
      </c>
      <c r="P12517">
        <v>0</v>
      </c>
      <c r="Q12517">
        <v>15</v>
      </c>
      <c r="R12517" t="s">
        <v>45111</v>
      </c>
      <c r="S12517" t="s">
        <v>45694</v>
      </c>
      <c r="T12517" t="s">
        <v>46955</v>
      </c>
      <c r="U12517" t="s">
        <v>57675</v>
      </c>
      <c r="W12517" t="s">
        <v>41788</v>
      </c>
      <c r="X12517" t="s">
        <v>45112</v>
      </c>
    </row>
    <row r="12518" spans="1:24">
      <c r="A12518">
        <f>HYPERLINK("https://www.philgeps.gov.ph/GEPSNONPILOT/Tender/SplashBidNoticeAbstractUI.aspx?menuIndex=3&amp;refID=7020314&amp;Result=3","7020314")</f>
        <v>0</v>
      </c>
      <c r="B12518" t="s">
        <v>1493</v>
      </c>
      <c r="C12518" t="s">
        <v>6788</v>
      </c>
      <c r="D12518" t="s">
        <v>18102</v>
      </c>
      <c r="E12518" t="s">
        <v>28943</v>
      </c>
      <c r="F12518" t="s">
        <v>31574</v>
      </c>
      <c r="G12518" t="s">
        <v>31582</v>
      </c>
      <c r="H12518" t="s">
        <v>31591</v>
      </c>
      <c r="I12518" t="s">
        <v>8822</v>
      </c>
      <c r="J12518" t="s">
        <v>39441</v>
      </c>
      <c r="K12518" t="s">
        <v>41191</v>
      </c>
      <c r="M12518" t="s">
        <v>43078</v>
      </c>
      <c r="N12518" t="s">
        <v>45095</v>
      </c>
      <c r="O12518" t="s">
        <v>45096</v>
      </c>
      <c r="P12518">
        <v>0</v>
      </c>
      <c r="Q12518">
        <v>0</v>
      </c>
      <c r="R12518" t="s">
        <v>45111</v>
      </c>
      <c r="S12518" t="s">
        <v>45694</v>
      </c>
      <c r="T12518" t="s">
        <v>47183</v>
      </c>
      <c r="U12518" t="s">
        <v>57676</v>
      </c>
      <c r="V12518" t="s">
        <v>61218</v>
      </c>
      <c r="W12518" t="s">
        <v>43078</v>
      </c>
      <c r="X12518" t="s">
        <v>45112</v>
      </c>
    </row>
    <row r="12519" spans="1:24">
      <c r="A12519">
        <f>HYPERLINK("https://www.philgeps.gov.ph/GEPSNONPILOT/Tender/SplashBidNoticeAbstractUI.aspx?menuIndex=3&amp;refID=7020263&amp;Result=3","7020263")</f>
        <v>0</v>
      </c>
      <c r="B12519" t="s">
        <v>1488</v>
      </c>
      <c r="C12519" t="s">
        <v>15165</v>
      </c>
      <c r="D12519" t="s">
        <v>18088</v>
      </c>
      <c r="E12519" t="s">
        <v>21914</v>
      </c>
      <c r="F12519" t="s">
        <v>31574</v>
      </c>
      <c r="G12519" t="s">
        <v>31582</v>
      </c>
      <c r="H12519" t="s">
        <v>31591</v>
      </c>
      <c r="I12519" t="s">
        <v>8822</v>
      </c>
      <c r="J12519" t="s">
        <v>39442</v>
      </c>
      <c r="K12519" t="s">
        <v>41184</v>
      </c>
      <c r="M12519" t="s">
        <v>43073</v>
      </c>
      <c r="N12519" t="s">
        <v>45095</v>
      </c>
      <c r="O12519" t="s">
        <v>45096</v>
      </c>
      <c r="P12519">
        <v>0</v>
      </c>
      <c r="Q12519">
        <v>0</v>
      </c>
      <c r="R12519" t="s">
        <v>45111</v>
      </c>
      <c r="S12519" t="s">
        <v>45694</v>
      </c>
      <c r="T12519" t="s">
        <v>46926</v>
      </c>
      <c r="U12519" t="s">
        <v>57677</v>
      </c>
      <c r="V12519" t="s">
        <v>61196</v>
      </c>
      <c r="W12519" t="s">
        <v>43073</v>
      </c>
      <c r="X12519" t="s">
        <v>45112</v>
      </c>
    </row>
    <row r="12520" spans="1:24">
      <c r="A12520">
        <f>HYPERLINK("https://www.philgeps.gov.ph/GEPSNONPILOT/Tender/SplashBidNoticeAbstractUI.aspx?menuIndex=3&amp;refID=7020279&amp;Result=3","7020279")</f>
        <v>0</v>
      </c>
      <c r="B12520" t="s">
        <v>332</v>
      </c>
      <c r="C12520" t="s">
        <v>14882</v>
      </c>
      <c r="D12520" t="s">
        <v>18040</v>
      </c>
      <c r="E12520" t="s">
        <v>18722</v>
      </c>
      <c r="F12520" t="s">
        <v>31574</v>
      </c>
      <c r="G12520" t="s">
        <v>31582</v>
      </c>
      <c r="H12520" t="s">
        <v>31591</v>
      </c>
      <c r="I12520" t="s">
        <v>8822</v>
      </c>
      <c r="J12520" t="s">
        <v>39280</v>
      </c>
      <c r="K12520" t="s">
        <v>41184</v>
      </c>
      <c r="M12520" t="s">
        <v>41820</v>
      </c>
      <c r="N12520" t="s">
        <v>45095</v>
      </c>
      <c r="O12520" t="s">
        <v>45096</v>
      </c>
      <c r="P12520">
        <v>0</v>
      </c>
      <c r="Q12520">
        <v>0</v>
      </c>
      <c r="R12520" t="s">
        <v>45111</v>
      </c>
      <c r="S12520" t="s">
        <v>45694</v>
      </c>
      <c r="T12520" t="s">
        <v>46979</v>
      </c>
      <c r="U12520" t="s">
        <v>57461</v>
      </c>
      <c r="W12520" t="s">
        <v>41820</v>
      </c>
      <c r="X12520" t="s">
        <v>45112</v>
      </c>
    </row>
    <row r="12521" spans="1:24">
      <c r="A12521">
        <f>HYPERLINK("https://www.philgeps.gov.ph/GEPSNONPILOT/Tender/SplashBidNoticeAbstractUI.aspx?menuIndex=3&amp;refID=7020341&amp;Result=3","7020341")</f>
        <v>0</v>
      </c>
      <c r="B12521" t="s">
        <v>2948</v>
      </c>
      <c r="C12521" t="s">
        <v>15166</v>
      </c>
      <c r="D12521" t="s">
        <v>18095</v>
      </c>
      <c r="E12521" t="s">
        <v>28944</v>
      </c>
      <c r="F12521" t="s">
        <v>31574</v>
      </c>
      <c r="G12521" t="s">
        <v>31582</v>
      </c>
      <c r="H12521" t="s">
        <v>31591</v>
      </c>
      <c r="I12521" t="s">
        <v>8822</v>
      </c>
      <c r="J12521" t="s">
        <v>39443</v>
      </c>
      <c r="K12521" t="s">
        <v>41186</v>
      </c>
      <c r="M12521" t="s">
        <v>44762</v>
      </c>
      <c r="N12521" t="s">
        <v>45095</v>
      </c>
      <c r="O12521" t="s">
        <v>45096</v>
      </c>
      <c r="P12521">
        <v>0</v>
      </c>
      <c r="Q12521">
        <v>0</v>
      </c>
      <c r="R12521" t="s">
        <v>45111</v>
      </c>
      <c r="S12521" t="s">
        <v>45694</v>
      </c>
      <c r="T12521" t="s">
        <v>46966</v>
      </c>
      <c r="U12521" t="s">
        <v>57678</v>
      </c>
      <c r="W12521" t="s">
        <v>44762</v>
      </c>
      <c r="X12521" t="s">
        <v>45112</v>
      </c>
    </row>
    <row r="12522" spans="1:24">
      <c r="A12522">
        <f>HYPERLINK("https://www.philgeps.gov.ph/GEPSNONPILOT/Tender/SplashBidNoticeAbstractUI.aspx?menuIndex=3&amp;refID=7020326&amp;Result=3","7020326")</f>
        <v>0</v>
      </c>
      <c r="B12522" t="s">
        <v>2948</v>
      </c>
      <c r="C12522" t="s">
        <v>15167</v>
      </c>
      <c r="D12522" t="s">
        <v>18095</v>
      </c>
      <c r="E12522" t="s">
        <v>28945</v>
      </c>
      <c r="F12522" t="s">
        <v>31574</v>
      </c>
      <c r="G12522" t="s">
        <v>31582</v>
      </c>
      <c r="H12522" t="s">
        <v>31591</v>
      </c>
      <c r="I12522" t="s">
        <v>8822</v>
      </c>
      <c r="J12522" t="s">
        <v>39444</v>
      </c>
      <c r="K12522" t="s">
        <v>41248</v>
      </c>
      <c r="M12522" t="s">
        <v>44762</v>
      </c>
      <c r="N12522" t="s">
        <v>45095</v>
      </c>
      <c r="O12522" t="s">
        <v>45096</v>
      </c>
      <c r="P12522">
        <v>0</v>
      </c>
      <c r="Q12522">
        <v>0</v>
      </c>
      <c r="R12522" t="s">
        <v>45111</v>
      </c>
      <c r="S12522" t="s">
        <v>45694</v>
      </c>
      <c r="T12522" t="s">
        <v>46966</v>
      </c>
      <c r="U12522" t="s">
        <v>57679</v>
      </c>
      <c r="W12522" t="s">
        <v>44762</v>
      </c>
      <c r="X12522" t="s">
        <v>45112</v>
      </c>
    </row>
    <row r="12523" spans="1:24">
      <c r="A12523">
        <f>HYPERLINK("https://www.philgeps.gov.ph/GEPSNONPILOT/Tender/SplashBidNoticeAbstractUI.aspx?menuIndex=3&amp;refID=7020346&amp;Result=3","7020346")</f>
        <v>0</v>
      </c>
      <c r="B12523" t="s">
        <v>2093</v>
      </c>
      <c r="C12523" t="s">
        <v>15168</v>
      </c>
      <c r="D12523" t="s">
        <v>18053</v>
      </c>
      <c r="E12523" t="s">
        <v>28946</v>
      </c>
      <c r="F12523" t="s">
        <v>31574</v>
      </c>
      <c r="G12523" t="s">
        <v>31582</v>
      </c>
      <c r="H12523" t="s">
        <v>31591</v>
      </c>
      <c r="I12523" t="s">
        <v>8822</v>
      </c>
      <c r="J12523" t="s">
        <v>39445</v>
      </c>
      <c r="K12523" t="s">
        <v>41189</v>
      </c>
      <c r="M12523" t="s">
        <v>43770</v>
      </c>
      <c r="N12523" t="s">
        <v>45095</v>
      </c>
      <c r="O12523" t="s">
        <v>45096</v>
      </c>
      <c r="P12523">
        <v>0</v>
      </c>
      <c r="Q12523">
        <v>1</v>
      </c>
      <c r="R12523" t="s">
        <v>45111</v>
      </c>
      <c r="S12523" t="s">
        <v>45694</v>
      </c>
      <c r="T12523" t="s">
        <v>47003</v>
      </c>
      <c r="U12523" t="s">
        <v>57680</v>
      </c>
      <c r="V12523" t="s">
        <v>61198</v>
      </c>
      <c r="W12523" t="s">
        <v>43770</v>
      </c>
      <c r="X12523" t="s">
        <v>45112</v>
      </c>
    </row>
    <row r="12524" spans="1:24">
      <c r="A12524">
        <f>HYPERLINK("https://www.philgeps.gov.ph/GEPSNONPILOT/Tender/SplashBidNoticeAbstractUI.aspx?menuIndex=3&amp;refID=7020317&amp;Result=3","7020317")</f>
        <v>0</v>
      </c>
      <c r="B12524" t="s">
        <v>2427</v>
      </c>
      <c r="C12524" t="s">
        <v>15169</v>
      </c>
      <c r="D12524" t="s">
        <v>18052</v>
      </c>
      <c r="E12524" t="s">
        <v>28947</v>
      </c>
      <c r="F12524" t="s">
        <v>31574</v>
      </c>
      <c r="G12524" t="s">
        <v>31582</v>
      </c>
      <c r="H12524" t="s">
        <v>31590</v>
      </c>
      <c r="I12524" t="s">
        <v>31669</v>
      </c>
      <c r="J12524" t="s">
        <v>32019</v>
      </c>
      <c r="K12524" t="s">
        <v>41192</v>
      </c>
      <c r="M12524" t="s">
        <v>44154</v>
      </c>
      <c r="N12524" t="s">
        <v>45095</v>
      </c>
      <c r="O12524" t="s">
        <v>45096</v>
      </c>
      <c r="P12524">
        <v>0</v>
      </c>
      <c r="Q12524">
        <v>7</v>
      </c>
      <c r="R12524" t="s">
        <v>45111</v>
      </c>
      <c r="S12524" t="s">
        <v>45694</v>
      </c>
      <c r="T12524" t="s">
        <v>46914</v>
      </c>
      <c r="U12524" t="s">
        <v>57647</v>
      </c>
      <c r="V12524" t="s">
        <v>60748</v>
      </c>
      <c r="W12524" t="s">
        <v>44154</v>
      </c>
      <c r="X12524" t="s">
        <v>45112</v>
      </c>
    </row>
    <row r="12525" spans="1:24">
      <c r="A12525">
        <f>HYPERLINK("https://www.philgeps.gov.ph/GEPSNONPILOT/Tender/SplashBidNoticeAbstractUI.aspx?menuIndex=3&amp;refID=7020336&amp;Result=3","7020336")</f>
        <v>0</v>
      </c>
      <c r="B12525" t="s">
        <v>991</v>
      </c>
      <c r="C12525" t="s">
        <v>15170</v>
      </c>
      <c r="D12525" t="s">
        <v>18044</v>
      </c>
      <c r="E12525" t="s">
        <v>28948</v>
      </c>
      <c r="F12525" t="s">
        <v>31574</v>
      </c>
      <c r="G12525" t="s">
        <v>31582</v>
      </c>
      <c r="H12525" t="s">
        <v>31591</v>
      </c>
      <c r="I12525" t="s">
        <v>8822</v>
      </c>
      <c r="J12525" t="s">
        <v>39446</v>
      </c>
      <c r="K12525" t="s">
        <v>41200</v>
      </c>
      <c r="M12525" t="s">
        <v>44771</v>
      </c>
      <c r="N12525" t="s">
        <v>45095</v>
      </c>
      <c r="O12525" t="s">
        <v>45096</v>
      </c>
      <c r="P12525">
        <v>0</v>
      </c>
      <c r="Q12525">
        <v>0</v>
      </c>
      <c r="R12525" t="s">
        <v>45111</v>
      </c>
      <c r="S12525" t="s">
        <v>45694</v>
      </c>
      <c r="T12525" t="s">
        <v>47177</v>
      </c>
      <c r="U12525" t="s">
        <v>57681</v>
      </c>
      <c r="W12525" t="s">
        <v>44771</v>
      </c>
      <c r="X12525" t="s">
        <v>45112</v>
      </c>
    </row>
    <row r="12526" spans="1:24">
      <c r="A12526">
        <f>HYPERLINK("https://www.philgeps.gov.ph/GEPSNONPILOT/Tender/SplashBidNoticeAbstractUI.aspx?menuIndex=3&amp;refID=7020315&amp;Result=3","7020315")</f>
        <v>0</v>
      </c>
      <c r="B12526" t="s">
        <v>2953</v>
      </c>
      <c r="C12526" t="s">
        <v>15171</v>
      </c>
      <c r="D12526" t="s">
        <v>18022</v>
      </c>
      <c r="E12526" t="s">
        <v>28949</v>
      </c>
      <c r="F12526" t="s">
        <v>31574</v>
      </c>
      <c r="G12526" t="s">
        <v>31582</v>
      </c>
      <c r="H12526" t="s">
        <v>31590</v>
      </c>
      <c r="I12526" t="s">
        <v>3651</v>
      </c>
      <c r="J12526" t="s">
        <v>39447</v>
      </c>
      <c r="K12526" t="s">
        <v>41184</v>
      </c>
      <c r="M12526" t="s">
        <v>44772</v>
      </c>
      <c r="N12526" t="s">
        <v>45095</v>
      </c>
      <c r="O12526" t="s">
        <v>45096</v>
      </c>
      <c r="P12526">
        <v>0</v>
      </c>
      <c r="Q12526">
        <v>14</v>
      </c>
      <c r="R12526" t="s">
        <v>45111</v>
      </c>
      <c r="S12526" t="s">
        <v>45694</v>
      </c>
      <c r="T12526" t="s">
        <v>46979</v>
      </c>
      <c r="U12526" t="s">
        <v>57682</v>
      </c>
      <c r="W12526" t="s">
        <v>44772</v>
      </c>
      <c r="X12526" t="s">
        <v>45112</v>
      </c>
    </row>
    <row r="12527" spans="1:24">
      <c r="A12527">
        <f>HYPERLINK("https://www.philgeps.gov.ph/GEPSNONPILOT/Tender/SplashBidNoticeAbstractUI.aspx?menuIndex=3&amp;refID=7020352&amp;Result=3","7020352")</f>
        <v>0</v>
      </c>
      <c r="B12527" t="s">
        <v>2785</v>
      </c>
      <c r="C12527" t="s">
        <v>15172</v>
      </c>
      <c r="D12527" t="s">
        <v>18037</v>
      </c>
      <c r="E12527" t="s">
        <v>28950</v>
      </c>
      <c r="F12527" t="s">
        <v>31574</v>
      </c>
      <c r="G12527" t="s">
        <v>31585</v>
      </c>
      <c r="H12527" t="s">
        <v>31590</v>
      </c>
      <c r="I12527" t="s">
        <v>31615</v>
      </c>
      <c r="J12527" t="s">
        <v>32026</v>
      </c>
      <c r="K12527" t="s">
        <v>41192</v>
      </c>
      <c r="M12527" t="s">
        <v>44560</v>
      </c>
      <c r="N12527" t="s">
        <v>45095</v>
      </c>
      <c r="O12527" t="s">
        <v>45096</v>
      </c>
      <c r="P12527">
        <v>0</v>
      </c>
      <c r="Q12527">
        <v>1</v>
      </c>
      <c r="R12527" t="s">
        <v>45111</v>
      </c>
      <c r="S12527" t="s">
        <v>45694</v>
      </c>
      <c r="T12527" t="s">
        <v>47165</v>
      </c>
      <c r="U12527" t="s">
        <v>57683</v>
      </c>
      <c r="V12527" t="s">
        <v>60990</v>
      </c>
      <c r="W12527" t="s">
        <v>44560</v>
      </c>
      <c r="X12527" t="s">
        <v>45112</v>
      </c>
    </row>
    <row r="12528" spans="1:24">
      <c r="A12528">
        <f>HYPERLINK("https://www.philgeps.gov.ph/GEPSNONPILOT/Tender/SplashBidNoticeAbstractUI.aspx?menuIndex=3&amp;refID=7020330&amp;Result=3","7020330")</f>
        <v>0</v>
      </c>
      <c r="B12528" t="s">
        <v>1005</v>
      </c>
      <c r="C12528" t="s">
        <v>15173</v>
      </c>
      <c r="D12528" t="s">
        <v>18092</v>
      </c>
      <c r="E12528" t="s">
        <v>28951</v>
      </c>
      <c r="F12528" t="s">
        <v>31574</v>
      </c>
      <c r="G12528" t="s">
        <v>31582</v>
      </c>
      <c r="H12528" t="s">
        <v>31590</v>
      </c>
      <c r="I12528" t="s">
        <v>14544</v>
      </c>
      <c r="J12528" t="s">
        <v>39448</v>
      </c>
      <c r="K12528" t="s">
        <v>41186</v>
      </c>
      <c r="M12528" t="s">
        <v>42544</v>
      </c>
      <c r="N12528" t="s">
        <v>45095</v>
      </c>
      <c r="O12528" t="s">
        <v>45096</v>
      </c>
      <c r="P12528">
        <v>0</v>
      </c>
      <c r="Q12528">
        <v>0</v>
      </c>
      <c r="R12528" t="s">
        <v>45111</v>
      </c>
      <c r="S12528" t="s">
        <v>45694</v>
      </c>
      <c r="T12528" t="s">
        <v>47159</v>
      </c>
      <c r="U12528" t="s">
        <v>57638</v>
      </c>
      <c r="W12528" t="s">
        <v>42544</v>
      </c>
      <c r="X12528" t="s">
        <v>45112</v>
      </c>
    </row>
    <row r="12529" spans="1:24">
      <c r="A12529">
        <f>HYPERLINK("https://www.philgeps.gov.ph/GEPSNONPILOT/Tender/SplashBidNoticeAbstractUI.aspx?menuIndex=3&amp;refID=7020395&amp;Result=3","7020395")</f>
        <v>0</v>
      </c>
      <c r="B12529" t="s">
        <v>2948</v>
      </c>
      <c r="C12529" t="s">
        <v>15174</v>
      </c>
      <c r="D12529" t="s">
        <v>18095</v>
      </c>
      <c r="E12529" t="s">
        <v>28952</v>
      </c>
      <c r="F12529" t="s">
        <v>31574</v>
      </c>
      <c r="G12529" t="s">
        <v>31582</v>
      </c>
      <c r="H12529" t="s">
        <v>31591</v>
      </c>
      <c r="I12529" t="s">
        <v>8822</v>
      </c>
      <c r="J12529" t="s">
        <v>31935</v>
      </c>
      <c r="K12529" t="s">
        <v>41218</v>
      </c>
      <c r="M12529" t="s">
        <v>44762</v>
      </c>
      <c r="N12529" t="s">
        <v>45095</v>
      </c>
      <c r="O12529" t="s">
        <v>45096</v>
      </c>
      <c r="P12529">
        <v>0</v>
      </c>
      <c r="Q12529">
        <v>0</v>
      </c>
      <c r="R12529" t="s">
        <v>45111</v>
      </c>
      <c r="S12529" t="s">
        <v>45694</v>
      </c>
      <c r="T12529" t="s">
        <v>46966</v>
      </c>
      <c r="U12529" t="s">
        <v>55713</v>
      </c>
      <c r="W12529" t="s">
        <v>44762</v>
      </c>
      <c r="X12529" t="s">
        <v>45112</v>
      </c>
    </row>
    <row r="12530" spans="1:24">
      <c r="A12530">
        <f>HYPERLINK("https://www.philgeps.gov.ph/GEPSNONPILOT/Tender/SplashBidNoticeAbstractUI.aspx?menuIndex=3&amp;refID=7020385&amp;Result=3","7020385")</f>
        <v>0</v>
      </c>
      <c r="B12530" t="s">
        <v>2427</v>
      </c>
      <c r="C12530" t="s">
        <v>15175</v>
      </c>
      <c r="D12530" t="s">
        <v>18032</v>
      </c>
      <c r="E12530" t="s">
        <v>28953</v>
      </c>
      <c r="F12530" t="s">
        <v>31574</v>
      </c>
      <c r="G12530" t="s">
        <v>31582</v>
      </c>
      <c r="H12530" t="s">
        <v>31590</v>
      </c>
      <c r="I12530" t="s">
        <v>31680</v>
      </c>
      <c r="J12530" t="s">
        <v>32497</v>
      </c>
      <c r="K12530" t="s">
        <v>41186</v>
      </c>
      <c r="M12530" t="s">
        <v>44154</v>
      </c>
      <c r="N12530" t="s">
        <v>45095</v>
      </c>
      <c r="O12530" t="s">
        <v>45096</v>
      </c>
      <c r="P12530">
        <v>0</v>
      </c>
      <c r="Q12530">
        <v>1</v>
      </c>
      <c r="R12530" t="s">
        <v>45111</v>
      </c>
      <c r="S12530" t="s">
        <v>45694</v>
      </c>
      <c r="T12530" t="s">
        <v>46914</v>
      </c>
      <c r="U12530" t="s">
        <v>57647</v>
      </c>
      <c r="V12530" t="s">
        <v>61219</v>
      </c>
      <c r="W12530" t="s">
        <v>44154</v>
      </c>
      <c r="X12530" t="s">
        <v>45112</v>
      </c>
    </row>
    <row r="12531" spans="1:24">
      <c r="A12531">
        <f>HYPERLINK("https://www.philgeps.gov.ph/GEPSNONPILOT/Tender/SplashBidNoticeAbstractUI.aspx?menuIndex=3&amp;refID=7020376&amp;Result=3","7020376")</f>
        <v>0</v>
      </c>
      <c r="B12531" t="s">
        <v>2948</v>
      </c>
      <c r="C12531" t="s">
        <v>15176</v>
      </c>
      <c r="D12531" t="s">
        <v>18095</v>
      </c>
      <c r="E12531" t="s">
        <v>28954</v>
      </c>
      <c r="F12531" t="s">
        <v>31574</v>
      </c>
      <c r="G12531" t="s">
        <v>31582</v>
      </c>
      <c r="H12531" t="s">
        <v>31591</v>
      </c>
      <c r="I12531" t="s">
        <v>8822</v>
      </c>
      <c r="J12531" t="s">
        <v>32662</v>
      </c>
      <c r="K12531" t="s">
        <v>41189</v>
      </c>
      <c r="M12531" t="s">
        <v>44762</v>
      </c>
      <c r="N12531" t="s">
        <v>45095</v>
      </c>
      <c r="O12531" t="s">
        <v>45096</v>
      </c>
      <c r="P12531">
        <v>0</v>
      </c>
      <c r="Q12531">
        <v>0</v>
      </c>
      <c r="R12531" t="s">
        <v>45111</v>
      </c>
      <c r="S12531" t="s">
        <v>45694</v>
      </c>
      <c r="T12531" t="s">
        <v>46966</v>
      </c>
      <c r="U12531" t="s">
        <v>57684</v>
      </c>
      <c r="W12531" t="s">
        <v>44762</v>
      </c>
      <c r="X12531" t="s">
        <v>45112</v>
      </c>
    </row>
    <row r="12532" spans="1:24">
      <c r="A12532">
        <f>HYPERLINK("https://www.philgeps.gov.ph/GEPSNONPILOT/Tender/SplashBidNoticeAbstractUI.aspx?menuIndex=3&amp;refID=7020275&amp;Result=3","7020275")</f>
        <v>0</v>
      </c>
      <c r="B12532" t="s">
        <v>693</v>
      </c>
      <c r="C12532" t="s">
        <v>15177</v>
      </c>
      <c r="D12532" t="s">
        <v>18022</v>
      </c>
      <c r="E12532" t="s">
        <v>28955</v>
      </c>
      <c r="F12532" t="s">
        <v>31574</v>
      </c>
      <c r="G12532" t="s">
        <v>31582</v>
      </c>
      <c r="H12532" t="s">
        <v>31591</v>
      </c>
      <c r="I12532" t="s">
        <v>8822</v>
      </c>
      <c r="J12532" t="s">
        <v>39449</v>
      </c>
      <c r="K12532" t="s">
        <v>41185</v>
      </c>
      <c r="M12532" t="s">
        <v>44769</v>
      </c>
      <c r="N12532" t="s">
        <v>45095</v>
      </c>
      <c r="O12532" t="s">
        <v>45096</v>
      </c>
      <c r="P12532">
        <v>0</v>
      </c>
      <c r="Q12532">
        <v>3</v>
      </c>
      <c r="R12532" t="s">
        <v>45111</v>
      </c>
      <c r="S12532" t="s">
        <v>45694</v>
      </c>
      <c r="T12532" t="s">
        <v>46932</v>
      </c>
      <c r="U12532" t="s">
        <v>57685</v>
      </c>
      <c r="W12532" t="s">
        <v>44769</v>
      </c>
      <c r="X12532" t="s">
        <v>45112</v>
      </c>
    </row>
    <row r="12533" spans="1:24">
      <c r="A12533">
        <f>HYPERLINK("https://www.philgeps.gov.ph/GEPSNONPILOT/Tender/SplashBidNoticeAbstractUI.aspx?menuIndex=3&amp;refID=7020374&amp;Result=3","7020374")</f>
        <v>0</v>
      </c>
      <c r="B12533" t="s">
        <v>1040</v>
      </c>
      <c r="C12533" t="s">
        <v>15178</v>
      </c>
      <c r="D12533" t="s">
        <v>18066</v>
      </c>
      <c r="E12533" t="s">
        <v>28956</v>
      </c>
      <c r="F12533" t="s">
        <v>31574</v>
      </c>
      <c r="G12533" t="s">
        <v>31582</v>
      </c>
      <c r="H12533" t="s">
        <v>31590</v>
      </c>
      <c r="I12533" t="s">
        <v>31659</v>
      </c>
      <c r="J12533" t="s">
        <v>39450</v>
      </c>
      <c r="K12533" t="s">
        <v>41189</v>
      </c>
      <c r="M12533" t="s">
        <v>42583</v>
      </c>
      <c r="N12533" t="s">
        <v>45095</v>
      </c>
      <c r="O12533" t="s">
        <v>45096</v>
      </c>
      <c r="P12533">
        <v>0</v>
      </c>
      <c r="Q12533">
        <v>3</v>
      </c>
      <c r="R12533" t="s">
        <v>45111</v>
      </c>
      <c r="S12533" t="s">
        <v>45694</v>
      </c>
      <c r="T12533" t="s">
        <v>46955</v>
      </c>
      <c r="U12533" t="s">
        <v>57686</v>
      </c>
      <c r="V12533" t="s">
        <v>60439</v>
      </c>
      <c r="W12533" t="s">
        <v>42583</v>
      </c>
      <c r="X12533" t="s">
        <v>45112</v>
      </c>
    </row>
    <row r="12534" spans="1:24">
      <c r="A12534">
        <f>HYPERLINK("https://www.philgeps.gov.ph/GEPSNONPILOT/Tender/SplashBidNoticeAbstractUI.aspx?menuIndex=3&amp;refID=7020296&amp;Result=3","7020296")</f>
        <v>0</v>
      </c>
      <c r="B12534" t="s">
        <v>2224</v>
      </c>
      <c r="C12534" t="s">
        <v>15179</v>
      </c>
      <c r="E12534" t="s">
        <v>28957</v>
      </c>
      <c r="F12534" t="s">
        <v>31574</v>
      </c>
      <c r="G12534" t="s">
        <v>31582</v>
      </c>
      <c r="H12534" t="s">
        <v>31590</v>
      </c>
      <c r="I12534" t="s">
        <v>31602</v>
      </c>
      <c r="J12534" t="s">
        <v>32421</v>
      </c>
      <c r="K12534" t="s">
        <v>41184</v>
      </c>
      <c r="M12534" t="s">
        <v>43917</v>
      </c>
      <c r="N12534" t="s">
        <v>45095</v>
      </c>
      <c r="O12534" t="s">
        <v>45096</v>
      </c>
      <c r="P12534">
        <v>0</v>
      </c>
      <c r="Q12534">
        <v>0</v>
      </c>
      <c r="R12534" t="s">
        <v>45111</v>
      </c>
      <c r="S12534" t="s">
        <v>45694</v>
      </c>
      <c r="T12534" t="s">
        <v>47159</v>
      </c>
      <c r="U12534" t="s">
        <v>53754</v>
      </c>
      <c r="W12534" t="s">
        <v>43917</v>
      </c>
      <c r="X12534" t="s">
        <v>45112</v>
      </c>
    </row>
    <row r="12535" spans="1:24">
      <c r="A12535">
        <f>HYPERLINK("https://www.philgeps.gov.ph/GEPSNONPILOT/Tender/SplashBidNoticeAbstractUI.aspx?menuIndex=3&amp;refID=7020357&amp;Result=3","7020357")</f>
        <v>0</v>
      </c>
      <c r="B12535" t="s">
        <v>2948</v>
      </c>
      <c r="C12535" t="s">
        <v>15180</v>
      </c>
      <c r="D12535" t="s">
        <v>18095</v>
      </c>
      <c r="E12535" t="s">
        <v>28958</v>
      </c>
      <c r="F12535" t="s">
        <v>31574</v>
      </c>
      <c r="G12535" t="s">
        <v>31582</v>
      </c>
      <c r="H12535" t="s">
        <v>31591</v>
      </c>
      <c r="I12535" t="s">
        <v>8822</v>
      </c>
      <c r="J12535" t="s">
        <v>39451</v>
      </c>
      <c r="K12535" t="s">
        <v>41217</v>
      </c>
      <c r="M12535" t="s">
        <v>44762</v>
      </c>
      <c r="N12535" t="s">
        <v>45095</v>
      </c>
      <c r="O12535" t="s">
        <v>45096</v>
      </c>
      <c r="P12535">
        <v>0</v>
      </c>
      <c r="Q12535">
        <v>0</v>
      </c>
      <c r="R12535" t="s">
        <v>45111</v>
      </c>
      <c r="S12535" t="s">
        <v>45694</v>
      </c>
      <c r="T12535" t="s">
        <v>46966</v>
      </c>
      <c r="U12535" t="s">
        <v>57687</v>
      </c>
      <c r="W12535" t="s">
        <v>44762</v>
      </c>
      <c r="X12535" t="s">
        <v>45112</v>
      </c>
    </row>
    <row r="12536" spans="1:24">
      <c r="A12536">
        <f>HYPERLINK("https://www.philgeps.gov.ph/GEPSNONPILOT/Tender/SplashBidNoticeAbstractUI.aspx?menuIndex=3&amp;refID=7020411&amp;Result=3","7020411")</f>
        <v>0</v>
      </c>
      <c r="B12536" t="s">
        <v>2797</v>
      </c>
      <c r="C12536" t="s">
        <v>15181</v>
      </c>
      <c r="D12536" t="s">
        <v>18024</v>
      </c>
      <c r="E12536" t="s">
        <v>28959</v>
      </c>
      <c r="F12536" t="s">
        <v>31574</v>
      </c>
      <c r="G12536" t="s">
        <v>31582</v>
      </c>
      <c r="H12536" t="s">
        <v>31591</v>
      </c>
      <c r="I12536" t="s">
        <v>8822</v>
      </c>
      <c r="J12536" t="s">
        <v>32026</v>
      </c>
      <c r="K12536" t="s">
        <v>41193</v>
      </c>
      <c r="M12536" t="s">
        <v>44572</v>
      </c>
      <c r="N12536" t="s">
        <v>45095</v>
      </c>
      <c r="O12536" t="s">
        <v>45096</v>
      </c>
      <c r="P12536">
        <v>0</v>
      </c>
      <c r="Q12536">
        <v>2</v>
      </c>
      <c r="R12536" t="s">
        <v>45111</v>
      </c>
      <c r="S12536" t="s">
        <v>45694</v>
      </c>
      <c r="T12536" t="s">
        <v>47265</v>
      </c>
      <c r="U12536" t="s">
        <v>57688</v>
      </c>
      <c r="W12536" t="s">
        <v>44572</v>
      </c>
      <c r="X12536" t="s">
        <v>45112</v>
      </c>
    </row>
    <row r="12537" spans="1:24">
      <c r="A12537">
        <f>HYPERLINK("https://www.philgeps.gov.ph/GEPSNONPILOT/Tender/SplashBidNoticeAbstractUI.aspx?menuIndex=3&amp;refID=7020384&amp;Result=3","7020384")</f>
        <v>0</v>
      </c>
      <c r="B12537" t="s">
        <v>2948</v>
      </c>
      <c r="C12537" t="s">
        <v>15182</v>
      </c>
      <c r="D12537" t="s">
        <v>18095</v>
      </c>
      <c r="E12537" t="s">
        <v>28960</v>
      </c>
      <c r="F12537" t="s">
        <v>31574</v>
      </c>
      <c r="G12537" t="s">
        <v>31582</v>
      </c>
      <c r="H12537" t="s">
        <v>31591</v>
      </c>
      <c r="I12537" t="s">
        <v>8822</v>
      </c>
      <c r="J12537" t="s">
        <v>32550</v>
      </c>
      <c r="K12537" t="s">
        <v>41200</v>
      </c>
      <c r="M12537" t="s">
        <v>44762</v>
      </c>
      <c r="N12537" t="s">
        <v>45095</v>
      </c>
      <c r="O12537" t="s">
        <v>45096</v>
      </c>
      <c r="P12537">
        <v>0</v>
      </c>
      <c r="Q12537">
        <v>1</v>
      </c>
      <c r="R12537" t="s">
        <v>45111</v>
      </c>
      <c r="S12537" t="s">
        <v>45694</v>
      </c>
      <c r="T12537" t="s">
        <v>46966</v>
      </c>
      <c r="U12537" t="s">
        <v>57689</v>
      </c>
      <c r="W12537" t="s">
        <v>44762</v>
      </c>
      <c r="X12537" t="s">
        <v>45112</v>
      </c>
    </row>
    <row r="12538" spans="1:24">
      <c r="A12538">
        <f>HYPERLINK("https://www.philgeps.gov.ph/GEPSNONPILOT/Tender/SplashBidNoticeAbstractUI.aspx?menuIndex=3&amp;refID=7020355&amp;Result=3","7020355")</f>
        <v>0</v>
      </c>
      <c r="B12538" t="s">
        <v>2954</v>
      </c>
      <c r="C12538" t="s">
        <v>15183</v>
      </c>
      <c r="D12538" t="s">
        <v>18059</v>
      </c>
      <c r="E12538" t="s">
        <v>15183</v>
      </c>
      <c r="F12538" t="s">
        <v>31574</v>
      </c>
      <c r="G12538" t="s">
        <v>31582</v>
      </c>
      <c r="H12538" t="s">
        <v>31590</v>
      </c>
      <c r="I12538" t="s">
        <v>31622</v>
      </c>
      <c r="J12538" t="s">
        <v>39452</v>
      </c>
      <c r="K12538" t="s">
        <v>41189</v>
      </c>
      <c r="M12538" t="s">
        <v>44773</v>
      </c>
      <c r="N12538" t="s">
        <v>45095</v>
      </c>
      <c r="O12538" t="s">
        <v>45096</v>
      </c>
      <c r="P12538">
        <v>0</v>
      </c>
      <c r="Q12538">
        <v>11</v>
      </c>
      <c r="R12538" t="s">
        <v>45111</v>
      </c>
      <c r="S12538" t="s">
        <v>45694</v>
      </c>
      <c r="T12538" t="s">
        <v>46939</v>
      </c>
      <c r="U12538" t="s">
        <v>57690</v>
      </c>
      <c r="W12538" t="s">
        <v>44773</v>
      </c>
      <c r="X12538" t="s">
        <v>45112</v>
      </c>
    </row>
    <row r="12539" spans="1:24">
      <c r="A12539">
        <f>HYPERLINK("https://www.philgeps.gov.ph/GEPSNONPILOT/Tender/SplashBidNoticeAbstractUI.aspx?menuIndex=3&amp;refID=7020366&amp;Result=3","7020366")</f>
        <v>0</v>
      </c>
      <c r="B12539" t="s">
        <v>2948</v>
      </c>
      <c r="C12539" t="s">
        <v>15184</v>
      </c>
      <c r="D12539" t="s">
        <v>18095</v>
      </c>
      <c r="E12539" t="s">
        <v>28961</v>
      </c>
      <c r="F12539" t="s">
        <v>31574</v>
      </c>
      <c r="G12539" t="s">
        <v>31582</v>
      </c>
      <c r="H12539" t="s">
        <v>31591</v>
      </c>
      <c r="I12539" t="s">
        <v>8822</v>
      </c>
      <c r="J12539" t="s">
        <v>39453</v>
      </c>
      <c r="K12539" t="s">
        <v>41218</v>
      </c>
      <c r="M12539" t="s">
        <v>44762</v>
      </c>
      <c r="N12539" t="s">
        <v>45095</v>
      </c>
      <c r="O12539" t="s">
        <v>45096</v>
      </c>
      <c r="P12539">
        <v>0</v>
      </c>
      <c r="Q12539">
        <v>0</v>
      </c>
      <c r="R12539" t="s">
        <v>45111</v>
      </c>
      <c r="S12539" t="s">
        <v>45694</v>
      </c>
      <c r="T12539" t="s">
        <v>46966</v>
      </c>
      <c r="U12539" t="s">
        <v>57691</v>
      </c>
      <c r="W12539" t="s">
        <v>44762</v>
      </c>
      <c r="X12539" t="s">
        <v>45112</v>
      </c>
    </row>
    <row r="12540" spans="1:24">
      <c r="A12540">
        <f>HYPERLINK("https://www.philgeps.gov.ph/GEPSNONPILOT/Tender/SplashBidNoticeAbstractUI.aspx?menuIndex=3&amp;refID=7020403&amp;Result=3","7020403")</f>
        <v>0</v>
      </c>
      <c r="B12540" t="s">
        <v>2955</v>
      </c>
      <c r="C12540" t="s">
        <v>15185</v>
      </c>
      <c r="D12540" t="s">
        <v>18033</v>
      </c>
      <c r="E12540" t="s">
        <v>28962</v>
      </c>
      <c r="F12540" t="s">
        <v>31574</v>
      </c>
      <c r="G12540" t="s">
        <v>31582</v>
      </c>
      <c r="H12540" t="s">
        <v>31590</v>
      </c>
      <c r="I12540" t="s">
        <v>6800</v>
      </c>
      <c r="J12540" t="s">
        <v>39454</v>
      </c>
      <c r="K12540" t="s">
        <v>41206</v>
      </c>
      <c r="M12540" t="s">
        <v>44774</v>
      </c>
      <c r="N12540" t="s">
        <v>45095</v>
      </c>
      <c r="O12540" t="s">
        <v>45096</v>
      </c>
      <c r="P12540">
        <v>0</v>
      </c>
      <c r="Q12540">
        <v>1</v>
      </c>
      <c r="R12540" t="s">
        <v>45111</v>
      </c>
      <c r="S12540" t="s">
        <v>45694</v>
      </c>
      <c r="T12540" t="s">
        <v>47158</v>
      </c>
      <c r="U12540" t="s">
        <v>57692</v>
      </c>
      <c r="V12540" t="s">
        <v>61220</v>
      </c>
      <c r="W12540" t="s">
        <v>44774</v>
      </c>
      <c r="X12540" t="s">
        <v>45112</v>
      </c>
    </row>
    <row r="12541" spans="1:24">
      <c r="A12541">
        <f>HYPERLINK("https://www.philgeps.gov.ph/GEPSNONPILOT/Tender/SplashBidNoticeAbstractUI.aspx?menuIndex=3&amp;refID=7020377&amp;Result=3","7020377")</f>
        <v>0</v>
      </c>
      <c r="B12541" t="s">
        <v>2956</v>
      </c>
      <c r="C12541" t="s">
        <v>15186</v>
      </c>
      <c r="D12541" t="s">
        <v>18040</v>
      </c>
      <c r="E12541" t="s">
        <v>28963</v>
      </c>
      <c r="F12541" t="s">
        <v>31574</v>
      </c>
      <c r="G12541" t="s">
        <v>31582</v>
      </c>
      <c r="H12541" t="s">
        <v>31591</v>
      </c>
      <c r="I12541" t="s">
        <v>8822</v>
      </c>
      <c r="J12541" t="s">
        <v>32019</v>
      </c>
      <c r="K12541" t="s">
        <v>41185</v>
      </c>
      <c r="M12541" t="s">
        <v>44775</v>
      </c>
      <c r="N12541" t="s">
        <v>45095</v>
      </c>
      <c r="O12541" t="s">
        <v>45096</v>
      </c>
      <c r="P12541">
        <v>0</v>
      </c>
      <c r="Q12541">
        <v>1</v>
      </c>
      <c r="R12541" t="s">
        <v>45111</v>
      </c>
      <c r="S12541" t="s">
        <v>45694</v>
      </c>
      <c r="T12541" t="s">
        <v>46984</v>
      </c>
      <c r="U12541" t="s">
        <v>57693</v>
      </c>
      <c r="W12541" t="s">
        <v>44775</v>
      </c>
      <c r="X12541" t="s">
        <v>45112</v>
      </c>
    </row>
    <row r="12542" spans="1:24">
      <c r="A12542">
        <f>HYPERLINK("https://www.philgeps.gov.ph/GEPSNONPILOT/Tender/SplashBidNoticeAbstractUI.aspx?menuIndex=3&amp;refID=7020440&amp;Result=3","7020440")</f>
        <v>0</v>
      </c>
      <c r="B12542" t="s">
        <v>2948</v>
      </c>
      <c r="C12542" t="s">
        <v>15187</v>
      </c>
      <c r="D12542" t="s">
        <v>18095</v>
      </c>
      <c r="E12542" t="s">
        <v>28964</v>
      </c>
      <c r="F12542" t="s">
        <v>31574</v>
      </c>
      <c r="G12542" t="s">
        <v>31582</v>
      </c>
      <c r="H12542" t="s">
        <v>31591</v>
      </c>
      <c r="I12542" t="s">
        <v>8822</v>
      </c>
      <c r="J12542" t="s">
        <v>39455</v>
      </c>
      <c r="K12542" t="s">
        <v>41186</v>
      </c>
      <c r="M12542" t="s">
        <v>44762</v>
      </c>
      <c r="N12542" t="s">
        <v>45095</v>
      </c>
      <c r="O12542" t="s">
        <v>45096</v>
      </c>
      <c r="P12542">
        <v>0</v>
      </c>
      <c r="Q12542">
        <v>0</v>
      </c>
      <c r="R12542" t="s">
        <v>45111</v>
      </c>
      <c r="S12542" t="s">
        <v>45694</v>
      </c>
      <c r="T12542" t="s">
        <v>46966</v>
      </c>
      <c r="U12542" t="s">
        <v>57694</v>
      </c>
      <c r="W12542" t="s">
        <v>44762</v>
      </c>
      <c r="X12542" t="s">
        <v>45112</v>
      </c>
    </row>
    <row r="12543" spans="1:24">
      <c r="A12543">
        <f>HYPERLINK("https://www.philgeps.gov.ph/GEPSNONPILOT/Tender/SplashBidNoticeAbstractUI.aspx?menuIndex=3&amp;refID=7020455&amp;Result=3","7020455")</f>
        <v>0</v>
      </c>
      <c r="B12543" t="s">
        <v>344</v>
      </c>
      <c r="C12543" t="s">
        <v>15188</v>
      </c>
      <c r="D12543" t="s">
        <v>18027</v>
      </c>
      <c r="E12543" t="s">
        <v>28965</v>
      </c>
      <c r="F12543" t="s">
        <v>31574</v>
      </c>
      <c r="G12543" t="s">
        <v>31582</v>
      </c>
      <c r="H12543" t="s">
        <v>31590</v>
      </c>
      <c r="I12543" t="s">
        <v>8822</v>
      </c>
      <c r="J12543" t="s">
        <v>39456</v>
      </c>
      <c r="K12543" t="s">
        <v>41240</v>
      </c>
      <c r="M12543" t="s">
        <v>43143</v>
      </c>
      <c r="N12543" t="s">
        <v>45095</v>
      </c>
      <c r="O12543" t="s">
        <v>45096</v>
      </c>
      <c r="P12543">
        <v>0</v>
      </c>
      <c r="Q12543">
        <v>1</v>
      </c>
      <c r="R12543" t="s">
        <v>45111</v>
      </c>
      <c r="S12543" t="s">
        <v>45694</v>
      </c>
      <c r="T12543" t="s">
        <v>46929</v>
      </c>
      <c r="U12543" t="s">
        <v>51643</v>
      </c>
      <c r="W12543" t="s">
        <v>43143</v>
      </c>
      <c r="X12543" t="s">
        <v>45112</v>
      </c>
    </row>
    <row r="12544" spans="1:24">
      <c r="A12544">
        <f>HYPERLINK("https://www.philgeps.gov.ph/GEPSNONPILOT/Tender/SplashBidNoticeAbstractUI.aspx?menuIndex=3&amp;refID=7020438&amp;Result=3","7020438")</f>
        <v>0</v>
      </c>
      <c r="B12544" t="s">
        <v>837</v>
      </c>
      <c r="C12544" t="s">
        <v>15189</v>
      </c>
      <c r="D12544" t="s">
        <v>18050</v>
      </c>
      <c r="E12544" t="s">
        <v>28966</v>
      </c>
      <c r="F12544" t="s">
        <v>31575</v>
      </c>
      <c r="G12544" t="s">
        <v>31581</v>
      </c>
      <c r="H12544" t="s">
        <v>31590</v>
      </c>
      <c r="I12544" t="s">
        <v>31630</v>
      </c>
      <c r="J12544" t="s">
        <v>39457</v>
      </c>
      <c r="K12544" t="s">
        <v>41196</v>
      </c>
      <c r="M12544" t="s">
        <v>42356</v>
      </c>
      <c r="N12544" t="s">
        <v>45095</v>
      </c>
      <c r="O12544" t="s">
        <v>45096</v>
      </c>
      <c r="Q12544">
        <v>0</v>
      </c>
      <c r="R12544" t="s">
        <v>45111</v>
      </c>
      <c r="S12544" t="s">
        <v>45731</v>
      </c>
      <c r="T12544" t="s">
        <v>46957</v>
      </c>
      <c r="U12544" t="s">
        <v>55487</v>
      </c>
      <c r="W12544" t="s">
        <v>42356</v>
      </c>
      <c r="X12544" t="s">
        <v>45112</v>
      </c>
    </row>
    <row r="12545" spans="1:24">
      <c r="A12545">
        <f>HYPERLINK("https://www.philgeps.gov.ph/GEPSNONPILOT/Tender/SplashBidNoticeAbstractUI.aspx?menuIndex=3&amp;refID=7020453&amp;Result=3","7020453")</f>
        <v>0</v>
      </c>
      <c r="B12545" t="s">
        <v>459</v>
      </c>
      <c r="C12545" t="s">
        <v>15190</v>
      </c>
      <c r="D12545" t="s">
        <v>18079</v>
      </c>
      <c r="E12545" t="s">
        <v>28967</v>
      </c>
      <c r="F12545" t="s">
        <v>31574</v>
      </c>
      <c r="G12545" t="s">
        <v>31582</v>
      </c>
      <c r="H12545" t="s">
        <v>31593</v>
      </c>
      <c r="I12545" t="s">
        <v>31593</v>
      </c>
      <c r="J12545" t="s">
        <v>39458</v>
      </c>
      <c r="K12545" t="s">
        <v>41192</v>
      </c>
      <c r="M12545" t="s">
        <v>41953</v>
      </c>
      <c r="N12545" t="s">
        <v>45095</v>
      </c>
      <c r="O12545" t="s">
        <v>45096</v>
      </c>
      <c r="Q12545">
        <v>3</v>
      </c>
      <c r="R12545" t="s">
        <v>45111</v>
      </c>
      <c r="S12545" t="s">
        <v>45732</v>
      </c>
      <c r="T12545" t="s">
        <v>47239</v>
      </c>
      <c r="U12545" t="s">
        <v>57695</v>
      </c>
      <c r="V12545" t="s">
        <v>61221</v>
      </c>
      <c r="W12545" t="s">
        <v>41953</v>
      </c>
      <c r="X12545" t="s">
        <v>45112</v>
      </c>
    </row>
    <row r="12546" spans="1:24">
      <c r="A12546">
        <f>HYPERLINK("https://www.philgeps.gov.ph/GEPSNONPILOT/Tender/SplashBidNoticeAbstractUI.aspx?menuIndex=3&amp;refID=7020470&amp;Result=3","7020470")</f>
        <v>0</v>
      </c>
      <c r="B12546" t="s">
        <v>2948</v>
      </c>
      <c r="C12546" t="s">
        <v>15191</v>
      </c>
      <c r="D12546" t="s">
        <v>18095</v>
      </c>
      <c r="E12546" t="s">
        <v>28968</v>
      </c>
      <c r="F12546" t="s">
        <v>31574</v>
      </c>
      <c r="G12546" t="s">
        <v>31582</v>
      </c>
      <c r="H12546" t="s">
        <v>31591</v>
      </c>
      <c r="I12546" t="s">
        <v>8822</v>
      </c>
      <c r="J12546" t="s">
        <v>39459</v>
      </c>
      <c r="K12546" t="s">
        <v>41186</v>
      </c>
      <c r="M12546" t="s">
        <v>44762</v>
      </c>
      <c r="N12546" t="s">
        <v>45095</v>
      </c>
      <c r="O12546" t="s">
        <v>45096</v>
      </c>
      <c r="P12546">
        <v>0</v>
      </c>
      <c r="Q12546">
        <v>0</v>
      </c>
      <c r="R12546" t="s">
        <v>45111</v>
      </c>
      <c r="S12546" t="s">
        <v>45694</v>
      </c>
      <c r="T12546" t="s">
        <v>46966</v>
      </c>
      <c r="U12546" t="s">
        <v>57696</v>
      </c>
      <c r="W12546" t="s">
        <v>44762</v>
      </c>
      <c r="X12546" t="s">
        <v>45112</v>
      </c>
    </row>
    <row r="12547" spans="1:24">
      <c r="A12547">
        <f>HYPERLINK("https://www.philgeps.gov.ph/GEPSNONPILOT/Tender/SplashBidNoticeAbstractUI.aspx?menuIndex=3&amp;refID=7020434&amp;Result=3","7020434")</f>
        <v>0</v>
      </c>
      <c r="B12547" t="s">
        <v>1005</v>
      </c>
      <c r="C12547" t="s">
        <v>15192</v>
      </c>
      <c r="D12547" t="s">
        <v>18092</v>
      </c>
      <c r="E12547" t="s">
        <v>28969</v>
      </c>
      <c r="F12547" t="s">
        <v>31574</v>
      </c>
      <c r="G12547" t="s">
        <v>31582</v>
      </c>
      <c r="H12547" t="s">
        <v>31590</v>
      </c>
      <c r="I12547" t="s">
        <v>14544</v>
      </c>
      <c r="J12547" t="s">
        <v>39460</v>
      </c>
      <c r="K12547" t="s">
        <v>41186</v>
      </c>
      <c r="M12547" t="s">
        <v>42544</v>
      </c>
      <c r="N12547" t="s">
        <v>45095</v>
      </c>
      <c r="O12547" t="s">
        <v>45096</v>
      </c>
      <c r="P12547">
        <v>0</v>
      </c>
      <c r="Q12547">
        <v>0</v>
      </c>
      <c r="R12547" t="s">
        <v>45111</v>
      </c>
      <c r="S12547" t="s">
        <v>45694</v>
      </c>
      <c r="T12547" t="s">
        <v>47159</v>
      </c>
      <c r="U12547" t="s">
        <v>57638</v>
      </c>
      <c r="W12547" t="s">
        <v>42544</v>
      </c>
      <c r="X12547" t="s">
        <v>45112</v>
      </c>
    </row>
    <row r="12548" spans="1:24">
      <c r="A12548">
        <f>HYPERLINK("https://www.philgeps.gov.ph/GEPSNONPILOT/Tender/SplashBidNoticeAbstractUI.aspx?menuIndex=3&amp;refID=7020425&amp;Result=3","7020425")</f>
        <v>0</v>
      </c>
      <c r="B12548" t="s">
        <v>438</v>
      </c>
      <c r="C12548" t="s">
        <v>15193</v>
      </c>
      <c r="D12548" t="s">
        <v>18040</v>
      </c>
      <c r="E12548" t="s">
        <v>28932</v>
      </c>
      <c r="F12548" t="s">
        <v>31574</v>
      </c>
      <c r="G12548" t="s">
        <v>31582</v>
      </c>
      <c r="H12548" t="s">
        <v>31591</v>
      </c>
      <c r="I12548" t="s">
        <v>8822</v>
      </c>
      <c r="J12548" t="s">
        <v>39461</v>
      </c>
      <c r="K12548" t="s">
        <v>41303</v>
      </c>
      <c r="M12548" t="s">
        <v>41931</v>
      </c>
      <c r="N12548" t="s">
        <v>45095</v>
      </c>
      <c r="O12548" t="s">
        <v>45096</v>
      </c>
      <c r="P12548">
        <v>0</v>
      </c>
      <c r="Q12548">
        <v>1</v>
      </c>
      <c r="R12548" t="s">
        <v>45111</v>
      </c>
      <c r="S12548" t="s">
        <v>45694</v>
      </c>
      <c r="T12548" t="s">
        <v>47143</v>
      </c>
      <c r="U12548" t="s">
        <v>57697</v>
      </c>
      <c r="W12548" t="s">
        <v>41931</v>
      </c>
      <c r="X12548" t="s">
        <v>45112</v>
      </c>
    </row>
    <row r="12549" spans="1:24">
      <c r="A12549">
        <f>HYPERLINK("https://www.philgeps.gov.ph/GEPSNONPILOT/Tender/SplashBidNoticeAbstractUI.aspx?menuIndex=3&amp;refID=7020427&amp;Result=3","7020427")</f>
        <v>0</v>
      </c>
      <c r="B12549" t="s">
        <v>2948</v>
      </c>
      <c r="C12549" t="s">
        <v>15194</v>
      </c>
      <c r="D12549" t="s">
        <v>18095</v>
      </c>
      <c r="E12549" t="s">
        <v>28970</v>
      </c>
      <c r="F12549" t="s">
        <v>31574</v>
      </c>
      <c r="G12549" t="s">
        <v>31582</v>
      </c>
      <c r="H12549" t="s">
        <v>31591</v>
      </c>
      <c r="I12549" t="s">
        <v>8822</v>
      </c>
      <c r="J12549" t="s">
        <v>39462</v>
      </c>
      <c r="K12549" t="s">
        <v>41189</v>
      </c>
      <c r="M12549" t="s">
        <v>44762</v>
      </c>
      <c r="N12549" t="s">
        <v>45095</v>
      </c>
      <c r="O12549" t="s">
        <v>45096</v>
      </c>
      <c r="P12549">
        <v>0</v>
      </c>
      <c r="Q12549">
        <v>0</v>
      </c>
      <c r="R12549" t="s">
        <v>45111</v>
      </c>
      <c r="S12549" t="s">
        <v>45694</v>
      </c>
      <c r="T12549" t="s">
        <v>46966</v>
      </c>
      <c r="U12549" t="s">
        <v>57698</v>
      </c>
      <c r="W12549" t="s">
        <v>44762</v>
      </c>
      <c r="X12549" t="s">
        <v>45112</v>
      </c>
    </row>
    <row r="12550" spans="1:24">
      <c r="A12550">
        <f>HYPERLINK("https://www.philgeps.gov.ph/GEPSNONPILOT/Tender/SplashBidNoticeAbstractUI.aspx?menuIndex=3&amp;refID=7020452&amp;Result=3","7020452")</f>
        <v>0</v>
      </c>
      <c r="B12550" t="s">
        <v>2948</v>
      </c>
      <c r="C12550" t="s">
        <v>15195</v>
      </c>
      <c r="D12550" t="s">
        <v>18095</v>
      </c>
      <c r="E12550" t="s">
        <v>28971</v>
      </c>
      <c r="F12550" t="s">
        <v>31574</v>
      </c>
      <c r="G12550" t="s">
        <v>31582</v>
      </c>
      <c r="H12550" t="s">
        <v>31591</v>
      </c>
      <c r="I12550" t="s">
        <v>8822</v>
      </c>
      <c r="J12550" t="s">
        <v>39463</v>
      </c>
      <c r="K12550" t="s">
        <v>41186</v>
      </c>
      <c r="M12550" t="s">
        <v>44762</v>
      </c>
      <c r="N12550" t="s">
        <v>45095</v>
      </c>
      <c r="O12550" t="s">
        <v>45096</v>
      </c>
      <c r="P12550">
        <v>0</v>
      </c>
      <c r="Q12550">
        <v>0</v>
      </c>
      <c r="R12550" t="s">
        <v>45111</v>
      </c>
      <c r="S12550" t="s">
        <v>45694</v>
      </c>
      <c r="T12550" t="s">
        <v>46966</v>
      </c>
      <c r="U12550" t="s">
        <v>57699</v>
      </c>
      <c r="W12550" t="s">
        <v>44762</v>
      </c>
      <c r="X12550" t="s">
        <v>45112</v>
      </c>
    </row>
    <row r="12551" spans="1:24">
      <c r="A12551">
        <f>HYPERLINK("https://www.philgeps.gov.ph/GEPSNONPILOT/Tender/SplashBidNoticeAbstractUI.aspx?menuIndex=3&amp;refID=7020468&amp;Result=3","7020468")</f>
        <v>0</v>
      </c>
      <c r="B12551" t="s">
        <v>1493</v>
      </c>
      <c r="C12551" t="s">
        <v>15196</v>
      </c>
      <c r="D12551" t="s">
        <v>18102</v>
      </c>
      <c r="E12551" t="s">
        <v>28972</v>
      </c>
      <c r="F12551" t="s">
        <v>31574</v>
      </c>
      <c r="G12551" t="s">
        <v>31582</v>
      </c>
      <c r="H12551" t="s">
        <v>31591</v>
      </c>
      <c r="I12551" t="s">
        <v>8822</v>
      </c>
      <c r="J12551" t="s">
        <v>39464</v>
      </c>
      <c r="K12551" t="s">
        <v>41185</v>
      </c>
      <c r="M12551" t="s">
        <v>43078</v>
      </c>
      <c r="N12551" t="s">
        <v>45095</v>
      </c>
      <c r="O12551" t="s">
        <v>45096</v>
      </c>
      <c r="P12551">
        <v>0</v>
      </c>
      <c r="Q12551">
        <v>0</v>
      </c>
      <c r="R12551" t="s">
        <v>45111</v>
      </c>
      <c r="S12551" t="s">
        <v>45694</v>
      </c>
      <c r="T12551" t="s">
        <v>47183</v>
      </c>
      <c r="U12551" t="s">
        <v>57700</v>
      </c>
      <c r="V12551" t="s">
        <v>60302</v>
      </c>
      <c r="W12551" t="s">
        <v>43078</v>
      </c>
      <c r="X12551" t="s">
        <v>45112</v>
      </c>
    </row>
    <row r="12552" spans="1:24">
      <c r="A12552">
        <f>HYPERLINK("https://www.philgeps.gov.ph/GEPSNONPILOT/Tender/SplashBidNoticeAbstractUI.aspx?menuIndex=3&amp;refID=7020464&amp;Result=3","7020464")</f>
        <v>0</v>
      </c>
      <c r="B12552" t="s">
        <v>2785</v>
      </c>
      <c r="C12552" t="s">
        <v>15197</v>
      </c>
      <c r="E12552" t="s">
        <v>28973</v>
      </c>
      <c r="F12552" t="s">
        <v>31574</v>
      </c>
      <c r="G12552" t="s">
        <v>31585</v>
      </c>
      <c r="H12552" t="s">
        <v>31590</v>
      </c>
      <c r="I12552" t="s">
        <v>31690</v>
      </c>
      <c r="J12552" t="s">
        <v>39465</v>
      </c>
      <c r="K12552" t="s">
        <v>41186</v>
      </c>
      <c r="M12552" t="s">
        <v>44560</v>
      </c>
      <c r="N12552" t="s">
        <v>45095</v>
      </c>
      <c r="O12552" t="s">
        <v>45096</v>
      </c>
      <c r="P12552">
        <v>0</v>
      </c>
      <c r="Q12552">
        <v>1</v>
      </c>
      <c r="R12552" t="s">
        <v>45111</v>
      </c>
      <c r="S12552" t="s">
        <v>45694</v>
      </c>
      <c r="T12552" t="s">
        <v>47164</v>
      </c>
      <c r="U12552" t="s">
        <v>57701</v>
      </c>
      <c r="V12552" t="s">
        <v>60990</v>
      </c>
      <c r="W12552" t="s">
        <v>44560</v>
      </c>
      <c r="X12552" t="s">
        <v>45112</v>
      </c>
    </row>
    <row r="12553" spans="1:24">
      <c r="A12553">
        <f>HYPERLINK("https://www.philgeps.gov.ph/GEPSNONPILOT/Tender/SplashBidNoticeAbstractUI.aspx?menuIndex=3&amp;refID=7020402&amp;Result=3","7020402")</f>
        <v>0</v>
      </c>
      <c r="B12553" t="s">
        <v>2948</v>
      </c>
      <c r="C12553" t="s">
        <v>15198</v>
      </c>
      <c r="D12553" t="s">
        <v>18095</v>
      </c>
      <c r="E12553" t="s">
        <v>28974</v>
      </c>
      <c r="F12553" t="s">
        <v>31574</v>
      </c>
      <c r="G12553" t="s">
        <v>31582</v>
      </c>
      <c r="H12553" t="s">
        <v>31591</v>
      </c>
      <c r="I12553" t="s">
        <v>8822</v>
      </c>
      <c r="J12553" t="s">
        <v>39466</v>
      </c>
      <c r="K12553" t="s">
        <v>41293</v>
      </c>
      <c r="M12553" t="s">
        <v>44762</v>
      </c>
      <c r="N12553" t="s">
        <v>45095</v>
      </c>
      <c r="O12553" t="s">
        <v>45096</v>
      </c>
      <c r="P12553">
        <v>0</v>
      </c>
      <c r="Q12553">
        <v>0</v>
      </c>
      <c r="R12553" t="s">
        <v>45111</v>
      </c>
      <c r="S12553" t="s">
        <v>45694</v>
      </c>
      <c r="T12553" t="s">
        <v>46966</v>
      </c>
      <c r="U12553" t="s">
        <v>57702</v>
      </c>
      <c r="W12553" t="s">
        <v>44762</v>
      </c>
      <c r="X12553" t="s">
        <v>45112</v>
      </c>
    </row>
    <row r="12554" spans="1:24">
      <c r="A12554">
        <f>HYPERLINK("https://www.philgeps.gov.ph/GEPSNONPILOT/Tender/SplashBidNoticeAbstractUI.aspx?menuIndex=3&amp;refID=7020486&amp;Result=3","7020486")</f>
        <v>0</v>
      </c>
      <c r="B12554" t="s">
        <v>2948</v>
      </c>
      <c r="C12554" t="s">
        <v>15199</v>
      </c>
      <c r="D12554" t="s">
        <v>18095</v>
      </c>
      <c r="E12554" t="s">
        <v>28975</v>
      </c>
      <c r="F12554" t="s">
        <v>31574</v>
      </c>
      <c r="G12554" t="s">
        <v>31582</v>
      </c>
      <c r="H12554" t="s">
        <v>31591</v>
      </c>
      <c r="I12554" t="s">
        <v>8822</v>
      </c>
      <c r="J12554" t="s">
        <v>39467</v>
      </c>
      <c r="K12554" t="s">
        <v>41247</v>
      </c>
      <c r="M12554" t="s">
        <v>44762</v>
      </c>
      <c r="N12554" t="s">
        <v>45095</v>
      </c>
      <c r="O12554" t="s">
        <v>45096</v>
      </c>
      <c r="P12554">
        <v>0</v>
      </c>
      <c r="Q12554">
        <v>0</v>
      </c>
      <c r="R12554" t="s">
        <v>45111</v>
      </c>
      <c r="S12554" t="s">
        <v>45694</v>
      </c>
      <c r="T12554" t="s">
        <v>46966</v>
      </c>
      <c r="U12554" t="s">
        <v>57703</v>
      </c>
      <c r="W12554" t="s">
        <v>44762</v>
      </c>
      <c r="X12554" t="s">
        <v>45112</v>
      </c>
    </row>
    <row r="12555" spans="1:24">
      <c r="A12555">
        <f>HYPERLINK("https://www.philgeps.gov.ph/GEPSNONPILOT/Tender/SplashBidNoticeAbstractUI.aspx?menuIndex=3&amp;refID=7020483&amp;Result=3","7020483")</f>
        <v>0</v>
      </c>
      <c r="B12555" t="s">
        <v>2957</v>
      </c>
      <c r="C12555" t="s">
        <v>15200</v>
      </c>
      <c r="D12555" t="s">
        <v>18047</v>
      </c>
      <c r="E12555" t="s">
        <v>28976</v>
      </c>
      <c r="F12555" t="s">
        <v>31574</v>
      </c>
      <c r="G12555" t="s">
        <v>31582</v>
      </c>
      <c r="H12555" t="s">
        <v>31591</v>
      </c>
      <c r="I12555" t="s">
        <v>8822</v>
      </c>
      <c r="J12555" t="s">
        <v>39468</v>
      </c>
      <c r="K12555" t="s">
        <v>41252</v>
      </c>
      <c r="M12555" t="s">
        <v>44776</v>
      </c>
      <c r="N12555" t="s">
        <v>45095</v>
      </c>
      <c r="O12555" t="s">
        <v>45096</v>
      </c>
      <c r="P12555">
        <v>0</v>
      </c>
      <c r="Q12555">
        <v>1</v>
      </c>
      <c r="R12555" t="s">
        <v>45111</v>
      </c>
      <c r="S12555" t="s">
        <v>45694</v>
      </c>
      <c r="T12555" t="s">
        <v>47333</v>
      </c>
      <c r="U12555" t="s">
        <v>57704</v>
      </c>
      <c r="W12555" t="s">
        <v>44776</v>
      </c>
      <c r="X12555" t="s">
        <v>45112</v>
      </c>
    </row>
    <row r="12556" spans="1:24">
      <c r="A12556">
        <f>HYPERLINK("https://www.philgeps.gov.ph/GEPSNONPILOT/Tender/SplashBidNoticeAbstractUI.aspx?menuIndex=3&amp;refID=7020414&amp;Result=3","7020414")</f>
        <v>0</v>
      </c>
      <c r="B12556" t="s">
        <v>2331</v>
      </c>
      <c r="C12556" t="s">
        <v>15201</v>
      </c>
      <c r="D12556" t="s">
        <v>18064</v>
      </c>
      <c r="E12556" t="s">
        <v>28977</v>
      </c>
      <c r="F12556" t="s">
        <v>31574</v>
      </c>
      <c r="G12556" t="s">
        <v>31588</v>
      </c>
      <c r="H12556" t="s">
        <v>31590</v>
      </c>
      <c r="I12556" t="s">
        <v>31615</v>
      </c>
      <c r="J12556" t="s">
        <v>31781</v>
      </c>
      <c r="K12556" t="s">
        <v>41193</v>
      </c>
      <c r="M12556" t="s">
        <v>44041</v>
      </c>
      <c r="N12556" t="s">
        <v>45095</v>
      </c>
      <c r="O12556" t="s">
        <v>45096</v>
      </c>
      <c r="Q12556">
        <v>5</v>
      </c>
      <c r="R12556" t="s">
        <v>45111</v>
      </c>
      <c r="S12556" t="s">
        <v>45733</v>
      </c>
      <c r="T12556" t="s">
        <v>47212</v>
      </c>
      <c r="U12556" t="s">
        <v>57705</v>
      </c>
      <c r="W12556" t="s">
        <v>44041</v>
      </c>
      <c r="X12556" t="s">
        <v>45112</v>
      </c>
    </row>
    <row r="12557" spans="1:24">
      <c r="A12557">
        <f>HYPERLINK("https://www.philgeps.gov.ph/GEPSNONPILOT/Tender/SplashBidNoticeAbstractUI.aspx?menuIndex=3&amp;refID=7020485&amp;Result=3","7020485")</f>
        <v>0</v>
      </c>
      <c r="B12557" t="s">
        <v>2958</v>
      </c>
      <c r="C12557" t="s">
        <v>15202</v>
      </c>
      <c r="D12557" t="s">
        <v>18028</v>
      </c>
      <c r="E12557" t="s">
        <v>28978</v>
      </c>
      <c r="F12557" t="s">
        <v>31574</v>
      </c>
      <c r="G12557" t="s">
        <v>31582</v>
      </c>
      <c r="H12557" t="s">
        <v>31591</v>
      </c>
      <c r="I12557" t="s">
        <v>8822</v>
      </c>
      <c r="J12557" t="s">
        <v>32101</v>
      </c>
      <c r="K12557" t="s">
        <v>41189</v>
      </c>
      <c r="M12557" t="s">
        <v>44777</v>
      </c>
      <c r="N12557" t="s">
        <v>45095</v>
      </c>
      <c r="O12557" t="s">
        <v>45096</v>
      </c>
      <c r="P12557">
        <v>0</v>
      </c>
      <c r="Q12557">
        <v>2</v>
      </c>
      <c r="R12557" t="s">
        <v>45111</v>
      </c>
      <c r="S12557" t="s">
        <v>45694</v>
      </c>
      <c r="T12557" t="s">
        <v>46932</v>
      </c>
      <c r="U12557" t="s">
        <v>57706</v>
      </c>
      <c r="W12557" t="s">
        <v>44777</v>
      </c>
      <c r="X12557" t="s">
        <v>45112</v>
      </c>
    </row>
    <row r="12558" spans="1:24">
      <c r="A12558">
        <f>HYPERLINK("https://www.philgeps.gov.ph/GEPSNONPILOT/Tender/SplashBidNoticeAbstractUI.aspx?menuIndex=3&amp;refID=7020419&amp;Result=3","7020419")</f>
        <v>0</v>
      </c>
      <c r="B12558" t="s">
        <v>1300</v>
      </c>
      <c r="C12558" t="s">
        <v>15203</v>
      </c>
      <c r="D12558" t="s">
        <v>18066</v>
      </c>
      <c r="E12558" t="s">
        <v>24931</v>
      </c>
      <c r="F12558" t="s">
        <v>31574</v>
      </c>
      <c r="G12558" t="s">
        <v>31582</v>
      </c>
      <c r="H12558" t="s">
        <v>31591</v>
      </c>
      <c r="I12558" t="s">
        <v>8822</v>
      </c>
      <c r="J12558" t="s">
        <v>39469</v>
      </c>
      <c r="K12558" t="s">
        <v>41231</v>
      </c>
      <c r="M12558" t="s">
        <v>42870</v>
      </c>
      <c r="N12558" t="s">
        <v>45095</v>
      </c>
      <c r="O12558" t="s">
        <v>45096</v>
      </c>
      <c r="P12558">
        <v>0</v>
      </c>
      <c r="Q12558">
        <v>0</v>
      </c>
      <c r="R12558" t="s">
        <v>45111</v>
      </c>
      <c r="S12558" t="s">
        <v>45694</v>
      </c>
      <c r="T12558" t="s">
        <v>46932</v>
      </c>
      <c r="U12558" t="s">
        <v>57707</v>
      </c>
      <c r="W12558" t="s">
        <v>42870</v>
      </c>
      <c r="X12558" t="s">
        <v>45112</v>
      </c>
    </row>
    <row r="12559" spans="1:24">
      <c r="A12559">
        <f>HYPERLINK("https://www.philgeps.gov.ph/GEPSNONPILOT/Tender/SplashBidNoticeAbstractUI.aspx?menuIndex=3&amp;refID=7020412&amp;Result=3","7020412")</f>
        <v>0</v>
      </c>
      <c r="B12559" t="s">
        <v>2959</v>
      </c>
      <c r="C12559" t="s">
        <v>15204</v>
      </c>
      <c r="D12559" t="s">
        <v>18049</v>
      </c>
      <c r="E12559" t="s">
        <v>28979</v>
      </c>
      <c r="F12559" t="s">
        <v>31574</v>
      </c>
      <c r="G12559" t="s">
        <v>31582</v>
      </c>
      <c r="H12559" t="s">
        <v>31590</v>
      </c>
      <c r="I12559" t="s">
        <v>31615</v>
      </c>
      <c r="J12559" t="s">
        <v>32101</v>
      </c>
      <c r="K12559" t="s">
        <v>41184</v>
      </c>
      <c r="M12559" t="s">
        <v>44778</v>
      </c>
      <c r="N12559" t="s">
        <v>45095</v>
      </c>
      <c r="O12559" t="s">
        <v>45096</v>
      </c>
      <c r="P12559">
        <v>0</v>
      </c>
      <c r="Q12559">
        <v>7</v>
      </c>
      <c r="R12559" t="s">
        <v>45111</v>
      </c>
      <c r="S12559" t="s">
        <v>45694</v>
      </c>
      <c r="T12559" t="s">
        <v>46935</v>
      </c>
      <c r="U12559" t="s">
        <v>57708</v>
      </c>
      <c r="W12559" t="s">
        <v>44778</v>
      </c>
      <c r="X12559" t="s">
        <v>45112</v>
      </c>
    </row>
    <row r="12560" spans="1:24">
      <c r="A12560">
        <f>HYPERLINK("https://www.philgeps.gov.ph/GEPSNONPILOT/Tender/SplashBidNoticeAbstractUI.aspx?menuIndex=3&amp;refID=7020433&amp;Result=3","7020433")</f>
        <v>0</v>
      </c>
      <c r="B12560" t="s">
        <v>344</v>
      </c>
      <c r="C12560" t="s">
        <v>15205</v>
      </c>
      <c r="D12560" t="s">
        <v>18027</v>
      </c>
      <c r="E12560" t="s">
        <v>28980</v>
      </c>
      <c r="F12560" t="s">
        <v>31574</v>
      </c>
      <c r="G12560" t="s">
        <v>31582</v>
      </c>
      <c r="H12560" t="s">
        <v>31590</v>
      </c>
      <c r="I12560" t="s">
        <v>8822</v>
      </c>
      <c r="J12560" t="s">
        <v>39470</v>
      </c>
      <c r="K12560" t="s">
        <v>41184</v>
      </c>
      <c r="M12560" t="s">
        <v>43143</v>
      </c>
      <c r="N12560" t="s">
        <v>45095</v>
      </c>
      <c r="O12560" t="s">
        <v>45096</v>
      </c>
      <c r="P12560">
        <v>0</v>
      </c>
      <c r="Q12560">
        <v>1</v>
      </c>
      <c r="R12560" t="s">
        <v>45111</v>
      </c>
      <c r="S12560" t="s">
        <v>45694</v>
      </c>
      <c r="T12560" t="s">
        <v>46929</v>
      </c>
      <c r="U12560" t="s">
        <v>51643</v>
      </c>
      <c r="W12560" t="s">
        <v>43143</v>
      </c>
      <c r="X12560" t="s">
        <v>45112</v>
      </c>
    </row>
    <row r="12561" spans="1:24">
      <c r="A12561">
        <f>HYPERLINK("https://www.philgeps.gov.ph/GEPSNONPILOT/Tender/SplashBidNoticeAbstractUI.aspx?menuIndex=3&amp;refID=7020413&amp;Result=3","7020413")</f>
        <v>0</v>
      </c>
      <c r="B12561" t="s">
        <v>2948</v>
      </c>
      <c r="C12561" t="s">
        <v>15206</v>
      </c>
      <c r="D12561" t="s">
        <v>18066</v>
      </c>
      <c r="E12561" t="s">
        <v>28981</v>
      </c>
      <c r="F12561" t="s">
        <v>31574</v>
      </c>
      <c r="G12561" t="s">
        <v>31582</v>
      </c>
      <c r="H12561" t="s">
        <v>31591</v>
      </c>
      <c r="I12561" t="s">
        <v>8822</v>
      </c>
      <c r="J12561" t="s">
        <v>39471</v>
      </c>
      <c r="K12561" t="s">
        <v>41276</v>
      </c>
      <c r="M12561" t="s">
        <v>44762</v>
      </c>
      <c r="N12561" t="s">
        <v>45095</v>
      </c>
      <c r="O12561" t="s">
        <v>45096</v>
      </c>
      <c r="P12561">
        <v>0</v>
      </c>
      <c r="Q12561">
        <v>0</v>
      </c>
      <c r="R12561" t="s">
        <v>45111</v>
      </c>
      <c r="S12561" t="s">
        <v>45694</v>
      </c>
      <c r="T12561" t="s">
        <v>46966</v>
      </c>
      <c r="U12561" t="s">
        <v>57709</v>
      </c>
      <c r="W12561" t="s">
        <v>44762</v>
      </c>
      <c r="X12561" t="s">
        <v>45112</v>
      </c>
    </row>
    <row r="12562" spans="1:24">
      <c r="A12562">
        <f>HYPERLINK("https://www.philgeps.gov.ph/GEPSNONPILOT/Tender/SplashBidNoticeAbstractUI.aspx?menuIndex=3&amp;refID=7020497&amp;Result=3","7020497")</f>
        <v>0</v>
      </c>
      <c r="B12562" t="s">
        <v>2948</v>
      </c>
      <c r="C12562" t="s">
        <v>15207</v>
      </c>
      <c r="D12562" t="s">
        <v>18095</v>
      </c>
      <c r="E12562" t="s">
        <v>28982</v>
      </c>
      <c r="F12562" t="s">
        <v>31574</v>
      </c>
      <c r="G12562" t="s">
        <v>31582</v>
      </c>
      <c r="H12562" t="s">
        <v>31591</v>
      </c>
      <c r="I12562" t="s">
        <v>8822</v>
      </c>
      <c r="J12562" t="s">
        <v>39472</v>
      </c>
      <c r="K12562" t="s">
        <v>41260</v>
      </c>
      <c r="M12562" t="s">
        <v>44762</v>
      </c>
      <c r="N12562" t="s">
        <v>45095</v>
      </c>
      <c r="O12562" t="s">
        <v>45096</v>
      </c>
      <c r="P12562">
        <v>0</v>
      </c>
      <c r="Q12562">
        <v>0</v>
      </c>
      <c r="R12562" t="s">
        <v>45111</v>
      </c>
      <c r="S12562" t="s">
        <v>45694</v>
      </c>
      <c r="T12562" t="s">
        <v>46966</v>
      </c>
      <c r="U12562" t="s">
        <v>57710</v>
      </c>
      <c r="W12562" t="s">
        <v>44762</v>
      </c>
      <c r="X12562" t="s">
        <v>45112</v>
      </c>
    </row>
    <row r="12563" spans="1:24">
      <c r="A12563">
        <f>HYPERLINK("https://www.philgeps.gov.ph/GEPSNONPILOT/Tender/SplashBidNoticeAbstractUI.aspx?menuIndex=3&amp;refID=7020532&amp;Result=3","7020532")</f>
        <v>0</v>
      </c>
      <c r="B12563" t="s">
        <v>2841</v>
      </c>
      <c r="C12563" t="s">
        <v>15208</v>
      </c>
      <c r="D12563" t="s">
        <v>18078</v>
      </c>
      <c r="E12563" t="s">
        <v>28983</v>
      </c>
      <c r="F12563" t="s">
        <v>31574</v>
      </c>
      <c r="G12563" t="s">
        <v>31582</v>
      </c>
      <c r="H12563" t="s">
        <v>31591</v>
      </c>
      <c r="I12563" t="s">
        <v>8822</v>
      </c>
      <c r="J12563" t="s">
        <v>39473</v>
      </c>
      <c r="K12563" t="s">
        <v>41393</v>
      </c>
      <c r="M12563" t="s">
        <v>44624</v>
      </c>
      <c r="N12563" t="s">
        <v>45095</v>
      </c>
      <c r="O12563" t="s">
        <v>45096</v>
      </c>
      <c r="P12563">
        <v>0</v>
      </c>
      <c r="Q12563">
        <v>1</v>
      </c>
      <c r="R12563" t="s">
        <v>45111</v>
      </c>
      <c r="S12563" t="s">
        <v>45694</v>
      </c>
      <c r="T12563" t="s">
        <v>46932</v>
      </c>
      <c r="U12563" t="s">
        <v>57711</v>
      </c>
      <c r="W12563" t="s">
        <v>44624</v>
      </c>
      <c r="X12563" t="s">
        <v>45112</v>
      </c>
    </row>
    <row r="12564" spans="1:24">
      <c r="A12564">
        <f>HYPERLINK("https://www.philgeps.gov.ph/GEPSNONPILOT/Tender/SplashBidNoticeAbstractUI.aspx?menuIndex=3&amp;refID=7020521&amp;Result=3","7020521")</f>
        <v>0</v>
      </c>
      <c r="B12564" t="s">
        <v>443</v>
      </c>
      <c r="C12564" t="s">
        <v>15209</v>
      </c>
      <c r="D12564" t="s">
        <v>18062</v>
      </c>
      <c r="E12564" t="s">
        <v>28984</v>
      </c>
      <c r="F12564" t="s">
        <v>31574</v>
      </c>
      <c r="G12564" t="s">
        <v>31582</v>
      </c>
      <c r="H12564" t="s">
        <v>31591</v>
      </c>
      <c r="I12564" t="s">
        <v>8822</v>
      </c>
      <c r="J12564" t="s">
        <v>37939</v>
      </c>
      <c r="K12564" t="s">
        <v>41450</v>
      </c>
      <c r="M12564" t="s">
        <v>44475</v>
      </c>
      <c r="N12564" t="s">
        <v>45095</v>
      </c>
      <c r="O12564" t="s">
        <v>45096</v>
      </c>
      <c r="P12564">
        <v>0</v>
      </c>
      <c r="Q12564">
        <v>10</v>
      </c>
      <c r="R12564" t="s">
        <v>45111</v>
      </c>
      <c r="S12564" t="s">
        <v>45694</v>
      </c>
      <c r="T12564" t="s">
        <v>46979</v>
      </c>
      <c r="U12564" t="s">
        <v>48547</v>
      </c>
      <c r="V12564" t="s">
        <v>61222</v>
      </c>
      <c r="W12564" t="s">
        <v>44475</v>
      </c>
      <c r="X12564" t="s">
        <v>45112</v>
      </c>
    </row>
    <row r="12565" spans="1:24">
      <c r="A12565">
        <f>HYPERLINK("https://www.philgeps.gov.ph/GEPSNONPILOT/Tender/SplashBidNoticeAbstractUI.aspx?menuIndex=3&amp;refID=7020519&amp;Result=3","7020519")</f>
        <v>0</v>
      </c>
      <c r="B12565" t="s">
        <v>2948</v>
      </c>
      <c r="C12565" t="s">
        <v>15210</v>
      </c>
      <c r="D12565" t="s">
        <v>18095</v>
      </c>
      <c r="E12565" t="s">
        <v>28985</v>
      </c>
      <c r="F12565" t="s">
        <v>31574</v>
      </c>
      <c r="G12565" t="s">
        <v>31582</v>
      </c>
      <c r="H12565" t="s">
        <v>31591</v>
      </c>
      <c r="I12565" t="s">
        <v>8822</v>
      </c>
      <c r="J12565" t="s">
        <v>39474</v>
      </c>
      <c r="K12565" t="s">
        <v>41195</v>
      </c>
      <c r="M12565" t="s">
        <v>44762</v>
      </c>
      <c r="N12565" t="s">
        <v>45095</v>
      </c>
      <c r="O12565" t="s">
        <v>45096</v>
      </c>
      <c r="P12565">
        <v>0</v>
      </c>
      <c r="Q12565">
        <v>0</v>
      </c>
      <c r="R12565" t="s">
        <v>45111</v>
      </c>
      <c r="S12565" t="s">
        <v>45694</v>
      </c>
      <c r="T12565" t="s">
        <v>46966</v>
      </c>
      <c r="U12565" t="s">
        <v>57712</v>
      </c>
      <c r="W12565" t="s">
        <v>44762</v>
      </c>
      <c r="X12565" t="s">
        <v>45112</v>
      </c>
    </row>
    <row r="12566" spans="1:24">
      <c r="A12566">
        <f>HYPERLINK("https://www.philgeps.gov.ph/GEPSNONPILOT/Tender/SplashBidNoticeAbstractUI.aspx?menuIndex=3&amp;refID=7020515&amp;Result=3","7020515")</f>
        <v>0</v>
      </c>
      <c r="B12566" t="s">
        <v>808</v>
      </c>
      <c r="C12566" t="s">
        <v>15211</v>
      </c>
      <c r="D12566" t="s">
        <v>18031</v>
      </c>
      <c r="E12566" t="s">
        <v>28986</v>
      </c>
      <c r="F12566" t="s">
        <v>31579</v>
      </c>
      <c r="G12566" t="s">
        <v>31582</v>
      </c>
      <c r="H12566" t="s">
        <v>31590</v>
      </c>
      <c r="I12566" t="s">
        <v>31615</v>
      </c>
      <c r="J12566" t="s">
        <v>32662</v>
      </c>
      <c r="K12566" t="s">
        <v>41189</v>
      </c>
      <c r="M12566" t="s">
        <v>42323</v>
      </c>
      <c r="N12566" t="s">
        <v>45095</v>
      </c>
      <c r="O12566" t="s">
        <v>45096</v>
      </c>
      <c r="P12566">
        <v>0</v>
      </c>
      <c r="Q12566">
        <v>8</v>
      </c>
      <c r="R12566" t="s">
        <v>45111</v>
      </c>
      <c r="S12566" t="s">
        <v>45694</v>
      </c>
      <c r="T12566" t="s">
        <v>46965</v>
      </c>
      <c r="U12566" t="s">
        <v>57713</v>
      </c>
      <c r="W12566" t="s">
        <v>42323</v>
      </c>
      <c r="X12566" t="s">
        <v>45112</v>
      </c>
    </row>
    <row r="12567" spans="1:24">
      <c r="A12567">
        <f>HYPERLINK("https://www.philgeps.gov.ph/GEPSNONPILOT/Tender/SplashBidNoticeAbstractUI.aspx?menuIndex=3&amp;refID=7020509&amp;Result=3","7020509")</f>
        <v>0</v>
      </c>
      <c r="B12567" t="s">
        <v>90</v>
      </c>
      <c r="C12567" t="s">
        <v>15212</v>
      </c>
      <c r="E12567" t="s">
        <v>28987</v>
      </c>
      <c r="F12567" t="s">
        <v>31574</v>
      </c>
      <c r="G12567" t="s">
        <v>31582</v>
      </c>
      <c r="H12567" t="s">
        <v>31591</v>
      </c>
      <c r="I12567" t="s">
        <v>8822</v>
      </c>
      <c r="J12567" t="s">
        <v>39475</v>
      </c>
      <c r="K12567" t="s">
        <v>41184</v>
      </c>
      <c r="M12567" t="s">
        <v>41574</v>
      </c>
      <c r="N12567" t="s">
        <v>45095</v>
      </c>
      <c r="O12567" t="s">
        <v>45096</v>
      </c>
      <c r="Q12567">
        <v>4</v>
      </c>
      <c r="R12567" t="s">
        <v>45111</v>
      </c>
      <c r="S12567" t="s">
        <v>45734</v>
      </c>
      <c r="T12567" t="s">
        <v>46914</v>
      </c>
      <c r="U12567" t="s">
        <v>57714</v>
      </c>
      <c r="W12567" t="s">
        <v>41574</v>
      </c>
      <c r="X12567" t="s">
        <v>45112</v>
      </c>
    </row>
    <row r="12568" spans="1:24">
      <c r="A12568">
        <f>HYPERLINK("https://www.philgeps.gov.ph/GEPSNONPILOT/Tender/SplashBidNoticeAbstractUI.aspx?menuIndex=3&amp;refID=7020573&amp;Result=3","7020573")</f>
        <v>0</v>
      </c>
      <c r="B12568" t="s">
        <v>2948</v>
      </c>
      <c r="C12568" t="s">
        <v>15213</v>
      </c>
      <c r="D12568" t="s">
        <v>18095</v>
      </c>
      <c r="E12568" t="s">
        <v>28988</v>
      </c>
      <c r="F12568" t="s">
        <v>31574</v>
      </c>
      <c r="G12568" t="s">
        <v>31582</v>
      </c>
      <c r="H12568" t="s">
        <v>31591</v>
      </c>
      <c r="I12568" t="s">
        <v>8822</v>
      </c>
      <c r="J12568" t="s">
        <v>39476</v>
      </c>
      <c r="K12568" t="s">
        <v>41195</v>
      </c>
      <c r="M12568" t="s">
        <v>44762</v>
      </c>
      <c r="N12568" t="s">
        <v>45095</v>
      </c>
      <c r="O12568" t="s">
        <v>45096</v>
      </c>
      <c r="P12568">
        <v>0</v>
      </c>
      <c r="Q12568">
        <v>0</v>
      </c>
      <c r="R12568" t="s">
        <v>45111</v>
      </c>
      <c r="S12568" t="s">
        <v>45694</v>
      </c>
      <c r="T12568" t="s">
        <v>46966</v>
      </c>
      <c r="U12568" t="s">
        <v>57715</v>
      </c>
      <c r="W12568" t="s">
        <v>44762</v>
      </c>
      <c r="X12568" t="s">
        <v>45112</v>
      </c>
    </row>
    <row r="12569" spans="1:24">
      <c r="A12569">
        <f>HYPERLINK("https://www.philgeps.gov.ph/GEPSNONPILOT/Tender/SplashBidNoticeAbstractUI.aspx?menuIndex=3&amp;refID=7020538&amp;Result=3","7020538")</f>
        <v>0</v>
      </c>
      <c r="B12569" t="s">
        <v>2948</v>
      </c>
      <c r="C12569" t="s">
        <v>15214</v>
      </c>
      <c r="D12569" t="s">
        <v>18095</v>
      </c>
      <c r="E12569" t="s">
        <v>28989</v>
      </c>
      <c r="F12569" t="s">
        <v>31574</v>
      </c>
      <c r="G12569" t="s">
        <v>31582</v>
      </c>
      <c r="H12569" t="s">
        <v>31591</v>
      </c>
      <c r="I12569" t="s">
        <v>8822</v>
      </c>
      <c r="J12569" t="s">
        <v>39477</v>
      </c>
      <c r="K12569" t="s">
        <v>41218</v>
      </c>
      <c r="M12569" t="s">
        <v>44762</v>
      </c>
      <c r="N12569" t="s">
        <v>45095</v>
      </c>
      <c r="O12569" t="s">
        <v>45096</v>
      </c>
      <c r="P12569">
        <v>0</v>
      </c>
      <c r="Q12569">
        <v>2</v>
      </c>
      <c r="R12569" t="s">
        <v>45111</v>
      </c>
      <c r="S12569" t="s">
        <v>45694</v>
      </c>
      <c r="T12569" t="s">
        <v>46966</v>
      </c>
      <c r="U12569" t="s">
        <v>57716</v>
      </c>
      <c r="W12569" t="s">
        <v>44762</v>
      </c>
      <c r="X12569" t="s">
        <v>45112</v>
      </c>
    </row>
    <row r="12570" spans="1:24">
      <c r="A12570">
        <f>HYPERLINK("https://www.philgeps.gov.ph/GEPSNONPILOT/Tender/SplashBidNoticeAbstractUI.aspx?menuIndex=3&amp;refID=7020572&amp;Result=3","7020572")</f>
        <v>0</v>
      </c>
      <c r="B12570" t="s">
        <v>235</v>
      </c>
      <c r="C12570" t="s">
        <v>15215</v>
      </c>
      <c r="D12570" t="s">
        <v>18047</v>
      </c>
      <c r="E12570" t="s">
        <v>22824</v>
      </c>
      <c r="F12570" t="s">
        <v>31574</v>
      </c>
      <c r="G12570" t="s">
        <v>31582</v>
      </c>
      <c r="H12570" t="s">
        <v>31591</v>
      </c>
      <c r="I12570" t="s">
        <v>8822</v>
      </c>
      <c r="J12570" t="s">
        <v>34263</v>
      </c>
      <c r="K12570" t="s">
        <v>41192</v>
      </c>
      <c r="M12570" t="s">
        <v>41720</v>
      </c>
      <c r="N12570" t="s">
        <v>45095</v>
      </c>
      <c r="O12570" t="s">
        <v>45096</v>
      </c>
      <c r="P12570">
        <v>0</v>
      </c>
      <c r="Q12570">
        <v>0</v>
      </c>
      <c r="R12570" t="s">
        <v>45111</v>
      </c>
      <c r="S12570" t="s">
        <v>45694</v>
      </c>
      <c r="T12570" t="s">
        <v>46914</v>
      </c>
      <c r="U12570" t="s">
        <v>57717</v>
      </c>
      <c r="W12570" t="s">
        <v>41720</v>
      </c>
      <c r="X12570" t="s">
        <v>45112</v>
      </c>
    </row>
    <row r="12571" spans="1:24">
      <c r="A12571">
        <f>HYPERLINK("https://www.philgeps.gov.ph/GEPSNONPILOT/Tender/SplashBidNoticeAbstractUI.aspx?menuIndex=3&amp;refID=7020558&amp;Result=3","7020558")</f>
        <v>0</v>
      </c>
      <c r="B12571" t="s">
        <v>2958</v>
      </c>
      <c r="C12571" t="s">
        <v>15216</v>
      </c>
      <c r="D12571" t="s">
        <v>18028</v>
      </c>
      <c r="E12571" t="s">
        <v>28990</v>
      </c>
      <c r="F12571" t="s">
        <v>31574</v>
      </c>
      <c r="G12571" t="s">
        <v>31582</v>
      </c>
      <c r="H12571" t="s">
        <v>31591</v>
      </c>
      <c r="I12571" t="s">
        <v>8822</v>
      </c>
      <c r="J12571" t="s">
        <v>32101</v>
      </c>
      <c r="K12571" t="s">
        <v>41189</v>
      </c>
      <c r="M12571" t="s">
        <v>44777</v>
      </c>
      <c r="N12571" t="s">
        <v>45095</v>
      </c>
      <c r="O12571" t="s">
        <v>45096</v>
      </c>
      <c r="P12571">
        <v>0</v>
      </c>
      <c r="Q12571">
        <v>3</v>
      </c>
      <c r="R12571" t="s">
        <v>45111</v>
      </c>
      <c r="S12571" t="s">
        <v>45694</v>
      </c>
      <c r="T12571" t="s">
        <v>46932</v>
      </c>
      <c r="U12571" t="s">
        <v>57718</v>
      </c>
      <c r="W12571" t="s">
        <v>44777</v>
      </c>
      <c r="X12571" t="s">
        <v>45112</v>
      </c>
    </row>
    <row r="12572" spans="1:24">
      <c r="A12572">
        <f>HYPERLINK("https://www.philgeps.gov.ph/GEPSNONPILOT/Tender/SplashBidNoticeAbstractUI.aspx?menuIndex=3&amp;refID=7020535&amp;Result=3","7020535")</f>
        <v>0</v>
      </c>
      <c r="B12572" t="s">
        <v>90</v>
      </c>
      <c r="C12572" t="s">
        <v>15217</v>
      </c>
      <c r="E12572" t="s">
        <v>28991</v>
      </c>
      <c r="F12572" t="s">
        <v>31574</v>
      </c>
      <c r="G12572" t="s">
        <v>31582</v>
      </c>
      <c r="H12572" t="s">
        <v>31591</v>
      </c>
      <c r="I12572" t="s">
        <v>8822</v>
      </c>
      <c r="J12572" t="s">
        <v>39478</v>
      </c>
      <c r="K12572" t="s">
        <v>41184</v>
      </c>
      <c r="M12572" t="s">
        <v>41574</v>
      </c>
      <c r="N12572" t="s">
        <v>45095</v>
      </c>
      <c r="O12572" t="s">
        <v>45096</v>
      </c>
      <c r="Q12572">
        <v>1</v>
      </c>
      <c r="R12572" t="s">
        <v>45111</v>
      </c>
      <c r="S12572" t="s">
        <v>45735</v>
      </c>
      <c r="T12572" t="s">
        <v>46926</v>
      </c>
      <c r="U12572" t="s">
        <v>57719</v>
      </c>
      <c r="W12572" t="s">
        <v>41574</v>
      </c>
      <c r="X12572" t="s">
        <v>45112</v>
      </c>
    </row>
    <row r="12573" spans="1:24">
      <c r="A12573">
        <f>HYPERLINK("https://www.philgeps.gov.ph/GEPSNONPILOT/Tender/SplashBidNoticeAbstractUI.aspx?menuIndex=3&amp;refID=7020564&amp;Result=3","7020564")</f>
        <v>0</v>
      </c>
      <c r="B12573" t="s">
        <v>2948</v>
      </c>
      <c r="C12573" t="s">
        <v>15218</v>
      </c>
      <c r="D12573" t="s">
        <v>18095</v>
      </c>
      <c r="E12573" t="s">
        <v>28992</v>
      </c>
      <c r="F12573" t="s">
        <v>31574</v>
      </c>
      <c r="G12573" t="s">
        <v>31582</v>
      </c>
      <c r="H12573" t="s">
        <v>31591</v>
      </c>
      <c r="I12573" t="s">
        <v>8822</v>
      </c>
      <c r="J12573" t="s">
        <v>39479</v>
      </c>
      <c r="K12573" t="s">
        <v>41196</v>
      </c>
      <c r="M12573" t="s">
        <v>44762</v>
      </c>
      <c r="N12573" t="s">
        <v>45095</v>
      </c>
      <c r="O12573" t="s">
        <v>45096</v>
      </c>
      <c r="P12573">
        <v>0</v>
      </c>
      <c r="Q12573">
        <v>0</v>
      </c>
      <c r="R12573" t="s">
        <v>45111</v>
      </c>
      <c r="S12573" t="s">
        <v>45694</v>
      </c>
      <c r="T12573" t="s">
        <v>46966</v>
      </c>
      <c r="U12573" t="s">
        <v>57715</v>
      </c>
      <c r="W12573" t="s">
        <v>44762</v>
      </c>
      <c r="X12573" t="s">
        <v>45112</v>
      </c>
    </row>
    <row r="12574" spans="1:24">
      <c r="A12574">
        <f>HYPERLINK("https://www.philgeps.gov.ph/GEPSNONPILOT/Tender/SplashBidNoticeAbstractUI.aspx?menuIndex=3&amp;refID=7020588&amp;Result=3","7020588")</f>
        <v>0</v>
      </c>
      <c r="B12574" t="s">
        <v>2797</v>
      </c>
      <c r="C12574" t="s">
        <v>15219</v>
      </c>
      <c r="D12574" t="s">
        <v>18024</v>
      </c>
      <c r="E12574" t="s">
        <v>28993</v>
      </c>
      <c r="F12574" t="s">
        <v>31574</v>
      </c>
      <c r="G12574" t="s">
        <v>31582</v>
      </c>
      <c r="H12574" t="s">
        <v>31591</v>
      </c>
      <c r="I12574" t="s">
        <v>8822</v>
      </c>
      <c r="J12574" t="s">
        <v>32026</v>
      </c>
      <c r="K12574" t="s">
        <v>41193</v>
      </c>
      <c r="M12574" t="s">
        <v>44572</v>
      </c>
      <c r="N12574" t="s">
        <v>45095</v>
      </c>
      <c r="O12574" t="s">
        <v>45096</v>
      </c>
      <c r="P12574">
        <v>0</v>
      </c>
      <c r="Q12574">
        <v>3</v>
      </c>
      <c r="R12574" t="s">
        <v>45111</v>
      </c>
      <c r="S12574" t="s">
        <v>45694</v>
      </c>
      <c r="T12574" t="s">
        <v>47265</v>
      </c>
      <c r="U12574" t="s">
        <v>57688</v>
      </c>
      <c r="W12574" t="s">
        <v>44572</v>
      </c>
      <c r="X12574" t="s">
        <v>45112</v>
      </c>
    </row>
    <row r="12575" spans="1:24">
      <c r="A12575">
        <f>HYPERLINK("https://www.philgeps.gov.ph/GEPSNONPILOT/Tender/SplashBidNoticeAbstractUI.aspx?menuIndex=3&amp;refID=7020556&amp;Result=3","7020556")</f>
        <v>0</v>
      </c>
      <c r="B12575" t="s">
        <v>443</v>
      </c>
      <c r="C12575" t="s">
        <v>15220</v>
      </c>
      <c r="D12575" t="s">
        <v>18062</v>
      </c>
      <c r="E12575" t="s">
        <v>28994</v>
      </c>
      <c r="F12575" t="s">
        <v>31574</v>
      </c>
      <c r="G12575" t="s">
        <v>31582</v>
      </c>
      <c r="H12575" t="s">
        <v>31591</v>
      </c>
      <c r="I12575" t="s">
        <v>8822</v>
      </c>
      <c r="J12575" t="s">
        <v>37939</v>
      </c>
      <c r="K12575" t="s">
        <v>41450</v>
      </c>
      <c r="M12575" t="s">
        <v>44475</v>
      </c>
      <c r="N12575" t="s">
        <v>45095</v>
      </c>
      <c r="O12575" t="s">
        <v>45096</v>
      </c>
      <c r="Q12575">
        <v>10</v>
      </c>
      <c r="R12575" t="s">
        <v>45111</v>
      </c>
      <c r="S12575" t="s">
        <v>45736</v>
      </c>
      <c r="T12575" t="s">
        <v>46922</v>
      </c>
      <c r="U12575" t="s">
        <v>48547</v>
      </c>
      <c r="V12575" t="s">
        <v>61223</v>
      </c>
      <c r="W12575" t="s">
        <v>44475</v>
      </c>
      <c r="X12575" t="s">
        <v>45112</v>
      </c>
    </row>
    <row r="12576" spans="1:24">
      <c r="A12576">
        <f>HYPERLINK("https://www.philgeps.gov.ph/GEPSNONPILOT/Tender/SplashBidNoticeAbstractUI.aspx?menuIndex=3&amp;refID=7020578&amp;Result=3","7020578")</f>
        <v>0</v>
      </c>
      <c r="B12576" t="s">
        <v>2743</v>
      </c>
      <c r="C12576" t="s">
        <v>15221</v>
      </c>
      <c r="D12576" t="s">
        <v>18023</v>
      </c>
      <c r="E12576" t="s">
        <v>28995</v>
      </c>
      <c r="F12576" t="s">
        <v>31574</v>
      </c>
      <c r="G12576" t="s">
        <v>31582</v>
      </c>
      <c r="H12576" t="s">
        <v>31590</v>
      </c>
      <c r="I12576" t="s">
        <v>31595</v>
      </c>
      <c r="J12576" t="s">
        <v>39480</v>
      </c>
      <c r="K12576" t="s">
        <v>41184</v>
      </c>
      <c r="M12576" t="s">
        <v>44515</v>
      </c>
      <c r="N12576" t="s">
        <v>45095</v>
      </c>
      <c r="O12576" t="s">
        <v>45096</v>
      </c>
      <c r="P12576">
        <v>0</v>
      </c>
      <c r="Q12576">
        <v>7</v>
      </c>
      <c r="R12576" t="s">
        <v>45111</v>
      </c>
      <c r="S12576" t="s">
        <v>45694</v>
      </c>
      <c r="T12576" t="s">
        <v>46932</v>
      </c>
      <c r="U12576" t="s">
        <v>57720</v>
      </c>
      <c r="W12576" t="s">
        <v>44515</v>
      </c>
      <c r="X12576" t="s">
        <v>45112</v>
      </c>
    </row>
    <row r="12577" spans="1:24">
      <c r="A12577">
        <f>HYPERLINK("https://www.philgeps.gov.ph/GEPSNONPILOT/Tender/SplashBidNoticeAbstractUI.aspx?menuIndex=3&amp;refID=7020567&amp;Result=3","7020567")</f>
        <v>0</v>
      </c>
      <c r="B12577" t="s">
        <v>2955</v>
      </c>
      <c r="C12577" t="s">
        <v>15222</v>
      </c>
      <c r="D12577" t="s">
        <v>18033</v>
      </c>
      <c r="E12577" t="s">
        <v>28996</v>
      </c>
      <c r="F12577" t="s">
        <v>31574</v>
      </c>
      <c r="G12577" t="s">
        <v>31582</v>
      </c>
      <c r="H12577" t="s">
        <v>31590</v>
      </c>
      <c r="I12577" t="s">
        <v>4327</v>
      </c>
      <c r="J12577" t="s">
        <v>39481</v>
      </c>
      <c r="K12577" t="s">
        <v>41206</v>
      </c>
      <c r="M12577" t="s">
        <v>44774</v>
      </c>
      <c r="N12577" t="s">
        <v>45095</v>
      </c>
      <c r="O12577" t="s">
        <v>45096</v>
      </c>
      <c r="P12577">
        <v>0</v>
      </c>
      <c r="Q12577">
        <v>2</v>
      </c>
      <c r="R12577" t="s">
        <v>45111</v>
      </c>
      <c r="S12577" t="s">
        <v>45694</v>
      </c>
      <c r="T12577" t="s">
        <v>47160</v>
      </c>
      <c r="U12577" t="s">
        <v>57721</v>
      </c>
      <c r="V12577" t="s">
        <v>61224</v>
      </c>
      <c r="W12577" t="s">
        <v>44774</v>
      </c>
      <c r="X12577" t="s">
        <v>45112</v>
      </c>
    </row>
    <row r="12578" spans="1:24">
      <c r="A12578">
        <f>HYPERLINK("https://www.philgeps.gov.ph/GEPSNONPILOT/Tender/SplashBidNoticeAbstractUI.aspx?menuIndex=3&amp;refID=7020591&amp;Result=3","7020591")</f>
        <v>0</v>
      </c>
      <c r="B12578" t="s">
        <v>2958</v>
      </c>
      <c r="C12578" t="s">
        <v>15223</v>
      </c>
      <c r="D12578" t="s">
        <v>18028</v>
      </c>
      <c r="E12578" t="s">
        <v>28997</v>
      </c>
      <c r="F12578" t="s">
        <v>31574</v>
      </c>
      <c r="G12578" t="s">
        <v>31582</v>
      </c>
      <c r="H12578" t="s">
        <v>31591</v>
      </c>
      <c r="I12578" t="s">
        <v>31663</v>
      </c>
      <c r="J12578" t="s">
        <v>32026</v>
      </c>
      <c r="K12578" t="s">
        <v>41200</v>
      </c>
      <c r="M12578" t="s">
        <v>44777</v>
      </c>
      <c r="N12578" t="s">
        <v>45095</v>
      </c>
      <c r="O12578" t="s">
        <v>45096</v>
      </c>
      <c r="P12578">
        <v>0</v>
      </c>
      <c r="Q12578">
        <v>1</v>
      </c>
      <c r="R12578" t="s">
        <v>45111</v>
      </c>
      <c r="S12578" t="s">
        <v>45694</v>
      </c>
      <c r="T12578" t="s">
        <v>46932</v>
      </c>
      <c r="U12578" t="s">
        <v>57722</v>
      </c>
      <c r="W12578" t="s">
        <v>44777</v>
      </c>
      <c r="X12578" t="s">
        <v>45112</v>
      </c>
    </row>
    <row r="12579" spans="1:24">
      <c r="A12579">
        <f>HYPERLINK("https://www.philgeps.gov.ph/GEPSNONPILOT/Tender/SplashBidNoticeAbstractUI.aspx?menuIndex=3&amp;refID=7020550&amp;Result=3","7020550")</f>
        <v>0</v>
      </c>
      <c r="B12579" t="s">
        <v>2948</v>
      </c>
      <c r="C12579" t="s">
        <v>15224</v>
      </c>
      <c r="D12579" t="s">
        <v>18095</v>
      </c>
      <c r="E12579" t="s">
        <v>28998</v>
      </c>
      <c r="F12579" t="s">
        <v>31574</v>
      </c>
      <c r="G12579" t="s">
        <v>31582</v>
      </c>
      <c r="H12579" t="s">
        <v>31591</v>
      </c>
      <c r="I12579" t="s">
        <v>8822</v>
      </c>
      <c r="J12579" t="s">
        <v>32830</v>
      </c>
      <c r="K12579" t="s">
        <v>41215</v>
      </c>
      <c r="M12579" t="s">
        <v>44762</v>
      </c>
      <c r="N12579" t="s">
        <v>45095</v>
      </c>
      <c r="O12579" t="s">
        <v>45096</v>
      </c>
      <c r="P12579">
        <v>0</v>
      </c>
      <c r="Q12579">
        <v>0</v>
      </c>
      <c r="R12579" t="s">
        <v>45111</v>
      </c>
      <c r="S12579" t="s">
        <v>45694</v>
      </c>
      <c r="T12579" t="s">
        <v>46966</v>
      </c>
      <c r="U12579" t="s">
        <v>57715</v>
      </c>
      <c r="W12579" t="s">
        <v>44762</v>
      </c>
      <c r="X12579" t="s">
        <v>45112</v>
      </c>
    </row>
    <row r="12580" spans="1:24">
      <c r="A12580">
        <f>HYPERLINK("https://www.philgeps.gov.ph/GEPSNONPILOT/Tender/SplashBidNoticeAbstractUI.aspx?menuIndex=3&amp;refID=7020586&amp;Result=3","7020586")</f>
        <v>0</v>
      </c>
      <c r="B12580" t="s">
        <v>2948</v>
      </c>
      <c r="C12580" t="s">
        <v>15225</v>
      </c>
      <c r="D12580" t="s">
        <v>18095</v>
      </c>
      <c r="E12580" t="s">
        <v>28999</v>
      </c>
      <c r="F12580" t="s">
        <v>31574</v>
      </c>
      <c r="G12580" t="s">
        <v>31582</v>
      </c>
      <c r="H12580" t="s">
        <v>31591</v>
      </c>
      <c r="I12580" t="s">
        <v>8822</v>
      </c>
      <c r="J12580" t="s">
        <v>39482</v>
      </c>
      <c r="K12580" t="s">
        <v>41195</v>
      </c>
      <c r="M12580" t="s">
        <v>44762</v>
      </c>
      <c r="N12580" t="s">
        <v>45095</v>
      </c>
      <c r="O12580" t="s">
        <v>45096</v>
      </c>
      <c r="P12580">
        <v>0</v>
      </c>
      <c r="Q12580">
        <v>0</v>
      </c>
      <c r="R12580" t="s">
        <v>45111</v>
      </c>
      <c r="S12580" t="s">
        <v>45694</v>
      </c>
      <c r="T12580" t="s">
        <v>46966</v>
      </c>
      <c r="U12580" t="s">
        <v>57715</v>
      </c>
      <c r="W12580" t="s">
        <v>44762</v>
      </c>
      <c r="X12580" t="s">
        <v>45112</v>
      </c>
    </row>
    <row r="12581" spans="1:24">
      <c r="A12581">
        <f>HYPERLINK("https://www.philgeps.gov.ph/GEPSNONPILOT/Tender/SplashBidNoticeAbstractUI.aspx?menuIndex=3&amp;refID=7020609&amp;Result=3","7020609")</f>
        <v>0</v>
      </c>
      <c r="B12581" t="s">
        <v>2948</v>
      </c>
      <c r="C12581" t="s">
        <v>15226</v>
      </c>
      <c r="D12581" t="s">
        <v>18095</v>
      </c>
      <c r="E12581" t="s">
        <v>29000</v>
      </c>
      <c r="F12581" t="s">
        <v>31574</v>
      </c>
      <c r="G12581" t="s">
        <v>31582</v>
      </c>
      <c r="H12581" t="s">
        <v>31591</v>
      </c>
      <c r="I12581" t="s">
        <v>8822</v>
      </c>
      <c r="J12581" t="s">
        <v>39483</v>
      </c>
      <c r="K12581" t="s">
        <v>41333</v>
      </c>
      <c r="M12581" t="s">
        <v>44762</v>
      </c>
      <c r="N12581" t="s">
        <v>45095</v>
      </c>
      <c r="O12581" t="s">
        <v>45096</v>
      </c>
      <c r="P12581">
        <v>0</v>
      </c>
      <c r="Q12581">
        <v>0</v>
      </c>
      <c r="R12581" t="s">
        <v>45111</v>
      </c>
      <c r="S12581" t="s">
        <v>45694</v>
      </c>
      <c r="T12581" t="s">
        <v>46966</v>
      </c>
      <c r="U12581" t="s">
        <v>57723</v>
      </c>
      <c r="W12581" t="s">
        <v>44762</v>
      </c>
      <c r="X12581" t="s">
        <v>45112</v>
      </c>
    </row>
    <row r="12582" spans="1:24">
      <c r="A12582">
        <f>HYPERLINK("https://www.philgeps.gov.ph/GEPSNONPILOT/Tender/SplashBidNoticeAbstractUI.aspx?menuIndex=3&amp;refID=7020554&amp;Result=3","7020554")</f>
        <v>0</v>
      </c>
      <c r="B12582" t="s">
        <v>1005</v>
      </c>
      <c r="C12582" t="s">
        <v>15227</v>
      </c>
      <c r="D12582" t="s">
        <v>18092</v>
      </c>
      <c r="E12582" t="s">
        <v>29001</v>
      </c>
      <c r="F12582" t="s">
        <v>31574</v>
      </c>
      <c r="G12582" t="s">
        <v>31582</v>
      </c>
      <c r="H12582" t="s">
        <v>31590</v>
      </c>
      <c r="I12582" t="s">
        <v>14544</v>
      </c>
      <c r="J12582" t="s">
        <v>39484</v>
      </c>
      <c r="K12582" t="s">
        <v>41186</v>
      </c>
      <c r="M12582" t="s">
        <v>42544</v>
      </c>
      <c r="N12582" t="s">
        <v>45095</v>
      </c>
      <c r="O12582" t="s">
        <v>45096</v>
      </c>
      <c r="P12582">
        <v>0</v>
      </c>
      <c r="Q12582">
        <v>0</v>
      </c>
      <c r="R12582" t="s">
        <v>45111</v>
      </c>
      <c r="S12582" t="s">
        <v>45694</v>
      </c>
      <c r="T12582" t="s">
        <v>47159</v>
      </c>
      <c r="U12582" t="s">
        <v>57638</v>
      </c>
      <c r="W12582" t="s">
        <v>42544</v>
      </c>
      <c r="X12582" t="s">
        <v>45112</v>
      </c>
    </row>
    <row r="12583" spans="1:24">
      <c r="A12583">
        <f>HYPERLINK("https://www.philgeps.gov.ph/GEPSNONPILOT/Tender/SplashBidNoticeAbstractUI.aspx?menuIndex=3&amp;refID=7020606&amp;Result=3","7020606")</f>
        <v>0</v>
      </c>
      <c r="B12583" t="s">
        <v>344</v>
      </c>
      <c r="C12583" t="s">
        <v>15228</v>
      </c>
      <c r="D12583" t="s">
        <v>18027</v>
      </c>
      <c r="E12583" t="s">
        <v>29002</v>
      </c>
      <c r="F12583" t="s">
        <v>31574</v>
      </c>
      <c r="G12583" t="s">
        <v>31582</v>
      </c>
      <c r="H12583" t="s">
        <v>31590</v>
      </c>
      <c r="I12583" t="s">
        <v>8822</v>
      </c>
      <c r="J12583" t="s">
        <v>39485</v>
      </c>
      <c r="K12583" t="s">
        <v>41240</v>
      </c>
      <c r="M12583" t="s">
        <v>43143</v>
      </c>
      <c r="N12583" t="s">
        <v>45095</v>
      </c>
      <c r="O12583" t="s">
        <v>45096</v>
      </c>
      <c r="P12583">
        <v>0</v>
      </c>
      <c r="Q12583">
        <v>1</v>
      </c>
      <c r="R12583" t="s">
        <v>45111</v>
      </c>
      <c r="S12583" t="s">
        <v>45694</v>
      </c>
      <c r="T12583" t="s">
        <v>46929</v>
      </c>
      <c r="U12583" t="s">
        <v>51643</v>
      </c>
      <c r="W12583" t="s">
        <v>43143</v>
      </c>
      <c r="X12583" t="s">
        <v>45112</v>
      </c>
    </row>
    <row r="12584" spans="1:24">
      <c r="A12584">
        <f>HYPERLINK("https://www.philgeps.gov.ph/GEPSNONPILOT/Tender/SplashBidNoticeAbstractUI.aspx?menuIndex=3&amp;refID=7020546&amp;Result=3","7020546")</f>
        <v>0</v>
      </c>
      <c r="B12584" t="s">
        <v>2960</v>
      </c>
      <c r="C12584" t="s">
        <v>15229</v>
      </c>
      <c r="D12584" t="s">
        <v>18066</v>
      </c>
      <c r="E12584" t="s">
        <v>29003</v>
      </c>
      <c r="F12584" t="s">
        <v>31574</v>
      </c>
      <c r="G12584" t="s">
        <v>31582</v>
      </c>
      <c r="H12584" t="s">
        <v>31590</v>
      </c>
      <c r="I12584" t="s">
        <v>31607</v>
      </c>
      <c r="J12584" t="s">
        <v>39486</v>
      </c>
      <c r="K12584" t="s">
        <v>41186</v>
      </c>
      <c r="M12584" t="s">
        <v>44779</v>
      </c>
      <c r="N12584" t="s">
        <v>45095</v>
      </c>
      <c r="O12584" t="s">
        <v>45096</v>
      </c>
      <c r="P12584">
        <v>0</v>
      </c>
      <c r="Q12584">
        <v>9</v>
      </c>
      <c r="R12584" t="s">
        <v>45111</v>
      </c>
      <c r="S12584" t="s">
        <v>45694</v>
      </c>
      <c r="T12584" t="s">
        <v>46989</v>
      </c>
      <c r="U12584" t="s">
        <v>57724</v>
      </c>
      <c r="W12584" t="s">
        <v>44779</v>
      </c>
      <c r="X12584" t="s">
        <v>45112</v>
      </c>
    </row>
    <row r="12585" spans="1:24">
      <c r="A12585">
        <f>HYPERLINK("https://www.philgeps.gov.ph/GEPSNONPILOT/Tender/SplashBidNoticeAbstractUI.aspx?menuIndex=3&amp;refID=7020600&amp;Result=3","7020600")</f>
        <v>0</v>
      </c>
      <c r="B12585" t="s">
        <v>2948</v>
      </c>
      <c r="C12585" t="s">
        <v>15230</v>
      </c>
      <c r="D12585" t="s">
        <v>18095</v>
      </c>
      <c r="E12585" t="s">
        <v>29004</v>
      </c>
      <c r="F12585" t="s">
        <v>31574</v>
      </c>
      <c r="G12585" t="s">
        <v>31582</v>
      </c>
      <c r="H12585" t="s">
        <v>31591</v>
      </c>
      <c r="I12585" t="s">
        <v>8822</v>
      </c>
      <c r="J12585" t="s">
        <v>39487</v>
      </c>
      <c r="K12585" t="s">
        <v>41244</v>
      </c>
      <c r="M12585" t="s">
        <v>44762</v>
      </c>
      <c r="N12585" t="s">
        <v>45095</v>
      </c>
      <c r="O12585" t="s">
        <v>45096</v>
      </c>
      <c r="P12585">
        <v>0</v>
      </c>
      <c r="Q12585">
        <v>0</v>
      </c>
      <c r="R12585" t="s">
        <v>45111</v>
      </c>
      <c r="S12585" t="s">
        <v>45694</v>
      </c>
      <c r="T12585" t="s">
        <v>46966</v>
      </c>
      <c r="U12585" t="s">
        <v>57725</v>
      </c>
      <c r="W12585" t="s">
        <v>44762</v>
      </c>
      <c r="X12585" t="s">
        <v>45112</v>
      </c>
    </row>
    <row r="12586" spans="1:24">
      <c r="A12586">
        <f>HYPERLINK("https://www.philgeps.gov.ph/GEPSNONPILOT/Tender/SplashBidNoticeAbstractUI.aspx?menuIndex=3&amp;refID=7020651&amp;Result=3","7020651")</f>
        <v>0</v>
      </c>
      <c r="B12586" t="s">
        <v>328</v>
      </c>
      <c r="C12586" t="s">
        <v>15231</v>
      </c>
      <c r="D12586" t="s">
        <v>18056</v>
      </c>
      <c r="E12586" t="s">
        <v>29005</v>
      </c>
      <c r="F12586" t="s">
        <v>31574</v>
      </c>
      <c r="G12586" t="s">
        <v>31582</v>
      </c>
      <c r="H12586" t="s">
        <v>31590</v>
      </c>
      <c r="I12586" t="s">
        <v>31599</v>
      </c>
      <c r="J12586" t="s">
        <v>39488</v>
      </c>
      <c r="K12586" t="s">
        <v>41186</v>
      </c>
      <c r="M12586" t="s">
        <v>43349</v>
      </c>
      <c r="N12586" t="s">
        <v>45095</v>
      </c>
      <c r="O12586" t="s">
        <v>45096</v>
      </c>
      <c r="P12586">
        <v>0</v>
      </c>
      <c r="Q12586">
        <v>5</v>
      </c>
      <c r="R12586" t="s">
        <v>45111</v>
      </c>
      <c r="S12586" t="s">
        <v>45694</v>
      </c>
      <c r="T12586" t="s">
        <v>46910</v>
      </c>
      <c r="U12586" t="s">
        <v>57726</v>
      </c>
      <c r="W12586" t="s">
        <v>43349</v>
      </c>
      <c r="X12586" t="s">
        <v>45112</v>
      </c>
    </row>
    <row r="12587" spans="1:24">
      <c r="A12587">
        <f>HYPERLINK("https://www.philgeps.gov.ph/GEPSNONPILOT/Tender/SplashBidNoticeAbstractUI.aspx?menuIndex=3&amp;refID=7020604&amp;Result=3","7020604")</f>
        <v>0</v>
      </c>
      <c r="B12587" t="s">
        <v>1040</v>
      </c>
      <c r="C12587" t="s">
        <v>15232</v>
      </c>
      <c r="D12587" t="s">
        <v>18066</v>
      </c>
      <c r="E12587" t="s">
        <v>29006</v>
      </c>
      <c r="F12587" t="s">
        <v>31574</v>
      </c>
      <c r="G12587" t="s">
        <v>31582</v>
      </c>
      <c r="H12587" t="s">
        <v>31590</v>
      </c>
      <c r="I12587" t="s">
        <v>3487</v>
      </c>
      <c r="J12587" t="s">
        <v>33448</v>
      </c>
      <c r="K12587" t="s">
        <v>41186</v>
      </c>
      <c r="M12587" t="s">
        <v>42583</v>
      </c>
      <c r="N12587" t="s">
        <v>45095</v>
      </c>
      <c r="O12587" t="s">
        <v>45096</v>
      </c>
      <c r="P12587">
        <v>0</v>
      </c>
      <c r="Q12587">
        <v>2</v>
      </c>
      <c r="R12587" t="s">
        <v>45111</v>
      </c>
      <c r="S12587" t="s">
        <v>45694</v>
      </c>
      <c r="T12587" t="s">
        <v>46955</v>
      </c>
      <c r="U12587" t="s">
        <v>57727</v>
      </c>
      <c r="V12587" t="s">
        <v>60439</v>
      </c>
      <c r="W12587" t="s">
        <v>42583</v>
      </c>
      <c r="X12587" t="s">
        <v>45112</v>
      </c>
    </row>
    <row r="12588" spans="1:24">
      <c r="A12588">
        <f>HYPERLINK("https://www.philgeps.gov.ph/GEPSNONPILOT/Tender/SplashBidNoticeAbstractUI.aspx?menuIndex=3&amp;refID=7020640&amp;Result=3","7020640")</f>
        <v>0</v>
      </c>
      <c r="B12588" t="s">
        <v>2797</v>
      </c>
      <c r="C12588" t="s">
        <v>15233</v>
      </c>
      <c r="D12588" t="s">
        <v>18024</v>
      </c>
      <c r="E12588" t="s">
        <v>29007</v>
      </c>
      <c r="F12588" t="s">
        <v>31574</v>
      </c>
      <c r="G12588" t="s">
        <v>31582</v>
      </c>
      <c r="H12588" t="s">
        <v>31591</v>
      </c>
      <c r="I12588" t="s">
        <v>8822</v>
      </c>
      <c r="J12588" t="s">
        <v>32026</v>
      </c>
      <c r="K12588" t="s">
        <v>41193</v>
      </c>
      <c r="M12588" t="s">
        <v>44572</v>
      </c>
      <c r="N12588" t="s">
        <v>45095</v>
      </c>
      <c r="O12588" t="s">
        <v>45096</v>
      </c>
      <c r="P12588">
        <v>0</v>
      </c>
      <c r="Q12588">
        <v>2</v>
      </c>
      <c r="R12588" t="s">
        <v>45111</v>
      </c>
      <c r="S12588" t="s">
        <v>45694</v>
      </c>
      <c r="T12588" t="s">
        <v>47265</v>
      </c>
      <c r="U12588" t="s">
        <v>57688</v>
      </c>
      <c r="W12588" t="s">
        <v>44572</v>
      </c>
      <c r="X12588" t="s">
        <v>45112</v>
      </c>
    </row>
    <row r="12589" spans="1:24">
      <c r="A12589">
        <f>HYPERLINK("https://www.philgeps.gov.ph/GEPSNONPILOT/Tender/SplashBidNoticeAbstractUI.aspx?menuIndex=3&amp;refID=7020619&amp;Result=3","7020619")</f>
        <v>0</v>
      </c>
      <c r="B12589" t="s">
        <v>2958</v>
      </c>
      <c r="C12589" t="s">
        <v>15234</v>
      </c>
      <c r="D12589" t="s">
        <v>18028</v>
      </c>
      <c r="E12589" t="s">
        <v>29008</v>
      </c>
      <c r="F12589" t="s">
        <v>31574</v>
      </c>
      <c r="G12589" t="s">
        <v>31582</v>
      </c>
      <c r="H12589" t="s">
        <v>31591</v>
      </c>
      <c r="I12589" t="s">
        <v>8822</v>
      </c>
      <c r="J12589" t="s">
        <v>32026</v>
      </c>
      <c r="K12589" t="s">
        <v>41189</v>
      </c>
      <c r="M12589" t="s">
        <v>44777</v>
      </c>
      <c r="N12589" t="s">
        <v>45095</v>
      </c>
      <c r="O12589" t="s">
        <v>45096</v>
      </c>
      <c r="P12589">
        <v>0</v>
      </c>
      <c r="Q12589">
        <v>1</v>
      </c>
      <c r="R12589" t="s">
        <v>45111</v>
      </c>
      <c r="S12589" t="s">
        <v>45694</v>
      </c>
      <c r="T12589" t="s">
        <v>46932</v>
      </c>
      <c r="U12589" t="s">
        <v>57728</v>
      </c>
      <c r="W12589" t="s">
        <v>44777</v>
      </c>
      <c r="X12589" t="s">
        <v>45112</v>
      </c>
    </row>
    <row r="12590" spans="1:24">
      <c r="A12590">
        <f>HYPERLINK("https://www.philgeps.gov.ph/GEPSNONPILOT/Tender/SplashBidNoticeAbstractUI.aspx?menuIndex=3&amp;refID=7020643&amp;Result=3","7020643")</f>
        <v>0</v>
      </c>
      <c r="B12590" t="s">
        <v>344</v>
      </c>
      <c r="C12590" t="s">
        <v>15235</v>
      </c>
      <c r="D12590" t="s">
        <v>18027</v>
      </c>
      <c r="E12590" t="s">
        <v>29009</v>
      </c>
      <c r="F12590" t="s">
        <v>31574</v>
      </c>
      <c r="G12590" t="s">
        <v>31582</v>
      </c>
      <c r="H12590" t="s">
        <v>31590</v>
      </c>
      <c r="I12590" t="s">
        <v>8822</v>
      </c>
      <c r="J12590" t="s">
        <v>39489</v>
      </c>
      <c r="K12590" t="s">
        <v>41240</v>
      </c>
      <c r="M12590" t="s">
        <v>43143</v>
      </c>
      <c r="N12590" t="s">
        <v>45095</v>
      </c>
      <c r="O12590" t="s">
        <v>45096</v>
      </c>
      <c r="P12590">
        <v>0</v>
      </c>
      <c r="Q12590">
        <v>1</v>
      </c>
      <c r="R12590" t="s">
        <v>45111</v>
      </c>
      <c r="S12590" t="s">
        <v>45694</v>
      </c>
      <c r="T12590" t="s">
        <v>46929</v>
      </c>
      <c r="U12590" t="s">
        <v>51643</v>
      </c>
      <c r="W12590" t="s">
        <v>43143</v>
      </c>
      <c r="X12590" t="s">
        <v>45112</v>
      </c>
    </row>
    <row r="12591" spans="1:24">
      <c r="A12591">
        <f>HYPERLINK("https://www.philgeps.gov.ph/GEPSNONPILOT/Tender/SplashBidNoticeAbstractUI.aspx?menuIndex=3&amp;refID=7020621&amp;Result=3","7020621")</f>
        <v>0</v>
      </c>
      <c r="B12591" t="s">
        <v>2331</v>
      </c>
      <c r="C12591" t="s">
        <v>15236</v>
      </c>
      <c r="D12591" t="s">
        <v>18064</v>
      </c>
      <c r="E12591" t="s">
        <v>24205</v>
      </c>
      <c r="F12591" t="s">
        <v>31574</v>
      </c>
      <c r="G12591" t="s">
        <v>31588</v>
      </c>
      <c r="H12591" t="s">
        <v>31590</v>
      </c>
      <c r="I12591" t="s">
        <v>31615</v>
      </c>
      <c r="J12591" t="s">
        <v>31771</v>
      </c>
      <c r="K12591" t="s">
        <v>41193</v>
      </c>
      <c r="M12591" t="s">
        <v>44041</v>
      </c>
      <c r="N12591" t="s">
        <v>45095</v>
      </c>
      <c r="O12591" t="s">
        <v>45096</v>
      </c>
      <c r="Q12591">
        <v>5</v>
      </c>
      <c r="R12591" t="s">
        <v>45111</v>
      </c>
      <c r="S12591" t="s">
        <v>45737</v>
      </c>
      <c r="T12591" t="s">
        <v>46917</v>
      </c>
      <c r="U12591" t="s">
        <v>57729</v>
      </c>
      <c r="W12591" t="s">
        <v>44041</v>
      </c>
      <c r="X12591" t="s">
        <v>45112</v>
      </c>
    </row>
    <row r="12592" spans="1:24">
      <c r="A12592">
        <f>HYPERLINK("https://www.philgeps.gov.ph/GEPSNONPILOT/Tender/SplashBidNoticeAbstractUI.aspx?menuIndex=3&amp;refID=7020603&amp;Result=3","7020603")</f>
        <v>0</v>
      </c>
      <c r="B12592" t="s">
        <v>90</v>
      </c>
      <c r="C12592" t="s">
        <v>15237</v>
      </c>
      <c r="E12592" t="s">
        <v>29010</v>
      </c>
      <c r="F12592" t="s">
        <v>31574</v>
      </c>
      <c r="G12592" t="s">
        <v>31582</v>
      </c>
      <c r="H12592" t="s">
        <v>31591</v>
      </c>
      <c r="I12592" t="s">
        <v>8822</v>
      </c>
      <c r="J12592" t="s">
        <v>39490</v>
      </c>
      <c r="K12592" t="s">
        <v>41184</v>
      </c>
      <c r="M12592" t="s">
        <v>41574</v>
      </c>
      <c r="N12592" t="s">
        <v>45095</v>
      </c>
      <c r="O12592" t="s">
        <v>45096</v>
      </c>
      <c r="Q12592">
        <v>2</v>
      </c>
      <c r="R12592" t="s">
        <v>45111</v>
      </c>
      <c r="S12592" t="s">
        <v>45738</v>
      </c>
      <c r="T12592" t="s">
        <v>46994</v>
      </c>
      <c r="U12592" t="s">
        <v>57730</v>
      </c>
      <c r="W12592" t="s">
        <v>41574</v>
      </c>
      <c r="X12592" t="s">
        <v>45112</v>
      </c>
    </row>
    <row r="12593" spans="1:24">
      <c r="A12593">
        <f>HYPERLINK("https://www.philgeps.gov.ph/GEPSNONPILOT/Tender/SplashBidNoticeAbstractUI.aspx?menuIndex=3&amp;refID=7020634&amp;Result=3","7020634")</f>
        <v>0</v>
      </c>
      <c r="B12593" t="s">
        <v>654</v>
      </c>
      <c r="C12593" t="s">
        <v>15238</v>
      </c>
      <c r="D12593" t="s">
        <v>18027</v>
      </c>
      <c r="E12593" t="s">
        <v>29011</v>
      </c>
      <c r="F12593" t="s">
        <v>31574</v>
      </c>
      <c r="G12593" t="s">
        <v>31582</v>
      </c>
      <c r="H12593" t="s">
        <v>31591</v>
      </c>
      <c r="I12593" t="s">
        <v>8822</v>
      </c>
      <c r="J12593" t="s">
        <v>39491</v>
      </c>
      <c r="K12593" t="s">
        <v>41189</v>
      </c>
      <c r="M12593" t="s">
        <v>42158</v>
      </c>
      <c r="N12593" t="s">
        <v>45095</v>
      </c>
      <c r="O12593" t="s">
        <v>45096</v>
      </c>
      <c r="P12593">
        <v>0</v>
      </c>
      <c r="Q12593">
        <v>0</v>
      </c>
      <c r="R12593" t="s">
        <v>45111</v>
      </c>
      <c r="S12593" t="s">
        <v>45694</v>
      </c>
      <c r="T12593" t="s">
        <v>46989</v>
      </c>
      <c r="U12593" t="s">
        <v>57731</v>
      </c>
      <c r="W12593" t="s">
        <v>42158</v>
      </c>
      <c r="X12593" t="s">
        <v>45112</v>
      </c>
    </row>
    <row r="12594" spans="1:24">
      <c r="A12594">
        <f>HYPERLINK("https://www.philgeps.gov.ph/GEPSNONPILOT/Tender/SplashBidNoticeAbstractUI.aspx?menuIndex=3&amp;refID=7020675&amp;Result=3","7020675")</f>
        <v>0</v>
      </c>
      <c r="B12594" t="s">
        <v>2113</v>
      </c>
      <c r="C12594" t="s">
        <v>15239</v>
      </c>
      <c r="D12594" t="s">
        <v>18102</v>
      </c>
      <c r="E12594" t="s">
        <v>19696</v>
      </c>
      <c r="F12594" t="s">
        <v>31575</v>
      </c>
      <c r="G12594" t="s">
        <v>31582</v>
      </c>
      <c r="H12594" t="s">
        <v>31591</v>
      </c>
      <c r="I12594" t="s">
        <v>8822</v>
      </c>
      <c r="J12594" t="s">
        <v>31730</v>
      </c>
      <c r="K12594" t="s">
        <v>41200</v>
      </c>
      <c r="M12594" t="s">
        <v>44780</v>
      </c>
      <c r="N12594" t="s">
        <v>45095</v>
      </c>
      <c r="O12594" t="s">
        <v>45096</v>
      </c>
      <c r="P12594">
        <v>0</v>
      </c>
      <c r="Q12594">
        <v>7</v>
      </c>
      <c r="R12594" t="s">
        <v>45111</v>
      </c>
      <c r="S12594" t="s">
        <v>45694</v>
      </c>
      <c r="T12594" t="s">
        <v>46932</v>
      </c>
      <c r="U12594" t="s">
        <v>53358</v>
      </c>
      <c r="W12594" t="s">
        <v>44780</v>
      </c>
      <c r="X12594" t="s">
        <v>45112</v>
      </c>
    </row>
    <row r="12595" spans="1:24">
      <c r="A12595">
        <f>HYPERLINK("https://www.philgeps.gov.ph/GEPSNONPILOT/Tender/SplashBidNoticeAbstractUI.aspx?menuIndex=3&amp;refID=7020691&amp;Result=3","7020691")</f>
        <v>0</v>
      </c>
      <c r="B12595" t="s">
        <v>2229</v>
      </c>
      <c r="C12595" t="s">
        <v>15240</v>
      </c>
      <c r="D12595" t="s">
        <v>18079</v>
      </c>
      <c r="E12595" t="s">
        <v>29012</v>
      </c>
      <c r="F12595" t="s">
        <v>31574</v>
      </c>
      <c r="G12595" t="s">
        <v>31582</v>
      </c>
      <c r="H12595" t="s">
        <v>31590</v>
      </c>
      <c r="I12595" t="s">
        <v>4327</v>
      </c>
      <c r="J12595" t="s">
        <v>34743</v>
      </c>
      <c r="K12595" t="s">
        <v>41200</v>
      </c>
      <c r="L12595" t="s">
        <v>2229</v>
      </c>
      <c r="M12595" t="s">
        <v>43922</v>
      </c>
      <c r="N12595" t="s">
        <v>45095</v>
      </c>
      <c r="O12595" t="s">
        <v>45096</v>
      </c>
      <c r="Q12595">
        <v>5</v>
      </c>
      <c r="R12595" t="s">
        <v>45111</v>
      </c>
      <c r="S12595" t="s">
        <v>45739</v>
      </c>
      <c r="T12595" t="s">
        <v>46979</v>
      </c>
      <c r="U12595" t="s">
        <v>57732</v>
      </c>
      <c r="W12595" t="s">
        <v>43922</v>
      </c>
      <c r="X12595" t="s">
        <v>45112</v>
      </c>
    </row>
    <row r="12596" spans="1:24">
      <c r="A12596">
        <f>HYPERLINK("https://www.philgeps.gov.ph/GEPSNONPILOT/Tender/SplashBidNoticeAbstractUI.aspx?menuIndex=3&amp;refID=7020622&amp;Result=3","7020622")</f>
        <v>0</v>
      </c>
      <c r="B12596" t="s">
        <v>344</v>
      </c>
      <c r="C12596" t="s">
        <v>15241</v>
      </c>
      <c r="D12596" t="s">
        <v>18027</v>
      </c>
      <c r="E12596" t="s">
        <v>29013</v>
      </c>
      <c r="F12596" t="s">
        <v>31574</v>
      </c>
      <c r="G12596" t="s">
        <v>31582</v>
      </c>
      <c r="H12596" t="s">
        <v>31590</v>
      </c>
      <c r="I12596" t="s">
        <v>8822</v>
      </c>
      <c r="J12596" t="s">
        <v>39492</v>
      </c>
      <c r="K12596" t="s">
        <v>41240</v>
      </c>
      <c r="M12596" t="s">
        <v>43143</v>
      </c>
      <c r="N12596" t="s">
        <v>45095</v>
      </c>
      <c r="O12596" t="s">
        <v>45096</v>
      </c>
      <c r="P12596">
        <v>0</v>
      </c>
      <c r="Q12596">
        <v>1</v>
      </c>
      <c r="R12596" t="s">
        <v>45111</v>
      </c>
      <c r="S12596" t="s">
        <v>45694</v>
      </c>
      <c r="T12596" t="s">
        <v>46929</v>
      </c>
      <c r="U12596" t="s">
        <v>51643</v>
      </c>
      <c r="W12596" t="s">
        <v>43143</v>
      </c>
      <c r="X12596" t="s">
        <v>45112</v>
      </c>
    </row>
    <row r="12597" spans="1:24">
      <c r="A12597">
        <f>HYPERLINK("https://www.philgeps.gov.ph/GEPSNONPILOT/Tender/SplashBidNoticeAbstractUI.aspx?menuIndex=3&amp;refID=7020700&amp;Result=3","7020700")</f>
        <v>0</v>
      </c>
      <c r="B12597" t="s">
        <v>90</v>
      </c>
      <c r="C12597" t="s">
        <v>15242</v>
      </c>
      <c r="E12597" t="s">
        <v>29014</v>
      </c>
      <c r="F12597" t="s">
        <v>31574</v>
      </c>
      <c r="G12597" t="s">
        <v>31582</v>
      </c>
      <c r="H12597" t="s">
        <v>31591</v>
      </c>
      <c r="I12597" t="s">
        <v>8822</v>
      </c>
      <c r="J12597" t="s">
        <v>32936</v>
      </c>
      <c r="K12597" t="s">
        <v>41184</v>
      </c>
      <c r="M12597" t="s">
        <v>41574</v>
      </c>
      <c r="N12597" t="s">
        <v>45095</v>
      </c>
      <c r="O12597" t="s">
        <v>45096</v>
      </c>
      <c r="Q12597">
        <v>4</v>
      </c>
      <c r="R12597" t="s">
        <v>45111</v>
      </c>
      <c r="S12597" t="s">
        <v>45740</v>
      </c>
      <c r="T12597" t="s">
        <v>46920</v>
      </c>
      <c r="U12597" t="s">
        <v>57733</v>
      </c>
      <c r="W12597" t="s">
        <v>41574</v>
      </c>
      <c r="X12597" t="s">
        <v>45112</v>
      </c>
    </row>
    <row r="12598" spans="1:24">
      <c r="A12598">
        <f>HYPERLINK("https://www.philgeps.gov.ph/GEPSNONPILOT/Tender/SplashBidNoticeAbstractUI.aspx?menuIndex=3&amp;refID=7020672&amp;Result=3","7020672")</f>
        <v>0</v>
      </c>
      <c r="B12598" t="s">
        <v>2961</v>
      </c>
      <c r="C12598" t="s">
        <v>15243</v>
      </c>
      <c r="D12598" t="s">
        <v>18037</v>
      </c>
      <c r="E12598" t="s">
        <v>29015</v>
      </c>
      <c r="F12598" t="s">
        <v>31574</v>
      </c>
      <c r="G12598" t="s">
        <v>31582</v>
      </c>
      <c r="H12598" t="s">
        <v>31590</v>
      </c>
      <c r="I12598" t="s">
        <v>7185</v>
      </c>
      <c r="J12598" t="s">
        <v>39493</v>
      </c>
      <c r="K12598" t="s">
        <v>41186</v>
      </c>
      <c r="M12598" t="s">
        <v>44781</v>
      </c>
      <c r="N12598" t="s">
        <v>45095</v>
      </c>
      <c r="O12598" t="s">
        <v>45096</v>
      </c>
      <c r="P12598">
        <v>0</v>
      </c>
      <c r="Q12598">
        <v>1</v>
      </c>
      <c r="R12598" t="s">
        <v>45111</v>
      </c>
      <c r="S12598" t="s">
        <v>45694</v>
      </c>
      <c r="T12598" t="s">
        <v>46910</v>
      </c>
      <c r="U12598" t="s">
        <v>57734</v>
      </c>
      <c r="W12598" t="s">
        <v>44781</v>
      </c>
      <c r="X12598" t="s">
        <v>45112</v>
      </c>
    </row>
    <row r="12599" spans="1:24">
      <c r="A12599">
        <f>HYPERLINK("https://www.philgeps.gov.ph/GEPSNONPILOT/Tender/SplashBidNoticeAbstractUI.aspx?menuIndex=3&amp;refID=7020703&amp;Result=3","7020703")</f>
        <v>0</v>
      </c>
      <c r="B12599" t="s">
        <v>2956</v>
      </c>
      <c r="C12599" t="s">
        <v>15244</v>
      </c>
      <c r="D12599" t="s">
        <v>18040</v>
      </c>
      <c r="E12599" t="s">
        <v>28963</v>
      </c>
      <c r="F12599" t="s">
        <v>31574</v>
      </c>
      <c r="G12599" t="s">
        <v>31582</v>
      </c>
      <c r="H12599" t="s">
        <v>31591</v>
      </c>
      <c r="I12599" t="s">
        <v>8822</v>
      </c>
      <c r="J12599" t="s">
        <v>32019</v>
      </c>
      <c r="K12599" t="s">
        <v>41185</v>
      </c>
      <c r="M12599" t="s">
        <v>44775</v>
      </c>
      <c r="N12599" t="s">
        <v>45095</v>
      </c>
      <c r="O12599" t="s">
        <v>45096</v>
      </c>
      <c r="P12599">
        <v>0</v>
      </c>
      <c r="Q12599">
        <v>1</v>
      </c>
      <c r="R12599" t="s">
        <v>45111</v>
      </c>
      <c r="S12599" t="s">
        <v>45694</v>
      </c>
      <c r="T12599" t="s">
        <v>46984</v>
      </c>
      <c r="U12599" t="s">
        <v>57693</v>
      </c>
      <c r="W12599" t="s">
        <v>44775</v>
      </c>
      <c r="X12599" t="s">
        <v>45112</v>
      </c>
    </row>
    <row r="12600" spans="1:24">
      <c r="A12600">
        <f>HYPERLINK("https://www.philgeps.gov.ph/GEPSNONPILOT/Tender/SplashBidNoticeAbstractUI.aspx?menuIndex=3&amp;refID=7020716&amp;Result=3","7020716")</f>
        <v>0</v>
      </c>
      <c r="B12600" t="s">
        <v>2962</v>
      </c>
      <c r="C12600" t="s">
        <v>15245</v>
      </c>
      <c r="E12600" t="s">
        <v>29016</v>
      </c>
      <c r="F12600" t="s">
        <v>31574</v>
      </c>
      <c r="G12600" t="s">
        <v>31582</v>
      </c>
      <c r="H12600" t="s">
        <v>31590</v>
      </c>
      <c r="I12600" t="s">
        <v>31615</v>
      </c>
      <c r="J12600" t="s">
        <v>39494</v>
      </c>
      <c r="K12600" t="s">
        <v>41184</v>
      </c>
      <c r="M12600" t="s">
        <v>44782</v>
      </c>
      <c r="N12600" t="s">
        <v>45095</v>
      </c>
      <c r="O12600" t="s">
        <v>45096</v>
      </c>
      <c r="P12600">
        <v>0</v>
      </c>
      <c r="Q12600">
        <v>4</v>
      </c>
      <c r="R12600" t="s">
        <v>45111</v>
      </c>
      <c r="S12600" t="s">
        <v>45694</v>
      </c>
      <c r="T12600" t="s">
        <v>46949</v>
      </c>
      <c r="U12600" t="s">
        <v>57735</v>
      </c>
      <c r="W12600" t="s">
        <v>44782</v>
      </c>
      <c r="X12600" t="s">
        <v>45112</v>
      </c>
    </row>
    <row r="12601" spans="1:24">
      <c r="A12601">
        <f>HYPERLINK("https://www.philgeps.gov.ph/GEPSNONPILOT/Tender/SplashBidNoticeAbstractUI.aspx?menuIndex=3&amp;refID=7020712&amp;Result=3","7020712")</f>
        <v>0</v>
      </c>
      <c r="B12601" t="s">
        <v>1329</v>
      </c>
      <c r="C12601" t="s">
        <v>15246</v>
      </c>
      <c r="E12601" t="s">
        <v>29017</v>
      </c>
      <c r="F12601" t="s">
        <v>31574</v>
      </c>
      <c r="G12601" t="s">
        <v>31582</v>
      </c>
      <c r="H12601" t="s">
        <v>31591</v>
      </c>
      <c r="I12601" t="s">
        <v>8822</v>
      </c>
      <c r="J12601" t="s">
        <v>39495</v>
      </c>
      <c r="K12601" t="s">
        <v>41451</v>
      </c>
      <c r="M12601" t="s">
        <v>44783</v>
      </c>
      <c r="N12601" t="s">
        <v>45095</v>
      </c>
      <c r="O12601" t="s">
        <v>45096</v>
      </c>
      <c r="P12601">
        <v>0</v>
      </c>
      <c r="Q12601">
        <v>9</v>
      </c>
      <c r="R12601" t="s">
        <v>45111</v>
      </c>
      <c r="S12601" t="s">
        <v>45694</v>
      </c>
      <c r="T12601" t="s">
        <v>47419</v>
      </c>
      <c r="U12601" t="s">
        <v>57736</v>
      </c>
      <c r="V12601" t="s">
        <v>58996</v>
      </c>
      <c r="W12601" t="s">
        <v>44783</v>
      </c>
      <c r="X12601" t="s">
        <v>45112</v>
      </c>
    </row>
    <row r="12602" spans="1:24">
      <c r="A12602">
        <f>HYPERLINK("https://www.philgeps.gov.ph/GEPSNONPILOT/Tender/SplashBidNoticeAbstractUI.aspx?menuIndex=3&amp;refID=7020706&amp;Result=3","7020706")</f>
        <v>0</v>
      </c>
      <c r="B12602" t="s">
        <v>781</v>
      </c>
      <c r="C12602" t="s">
        <v>15247</v>
      </c>
      <c r="D12602" t="s">
        <v>18047</v>
      </c>
      <c r="E12602" t="s">
        <v>29018</v>
      </c>
      <c r="F12602" t="s">
        <v>31574</v>
      </c>
      <c r="G12602" t="s">
        <v>31582</v>
      </c>
      <c r="H12602" t="s">
        <v>31591</v>
      </c>
      <c r="I12602" t="s">
        <v>8822</v>
      </c>
      <c r="J12602" t="s">
        <v>39496</v>
      </c>
      <c r="K12602" t="s">
        <v>41184</v>
      </c>
      <c r="M12602" t="s">
        <v>42316</v>
      </c>
      <c r="N12602" t="s">
        <v>45095</v>
      </c>
      <c r="O12602" t="s">
        <v>45096</v>
      </c>
      <c r="P12602">
        <v>0</v>
      </c>
      <c r="Q12602">
        <v>2</v>
      </c>
      <c r="R12602" t="s">
        <v>45111</v>
      </c>
      <c r="S12602" t="s">
        <v>45694</v>
      </c>
      <c r="T12602" t="s">
        <v>46910</v>
      </c>
      <c r="U12602" t="s">
        <v>49139</v>
      </c>
      <c r="W12602" t="s">
        <v>42316</v>
      </c>
      <c r="X12602" t="s">
        <v>45112</v>
      </c>
    </row>
    <row r="12603" spans="1:24">
      <c r="A12603">
        <f>HYPERLINK("https://www.philgeps.gov.ph/GEPSNONPILOT/Tender/SplashBidNoticeAbstractUI.aspx?menuIndex=3&amp;refID=7020739&amp;Result=3","7020739")</f>
        <v>0</v>
      </c>
      <c r="B12603" t="s">
        <v>1670</v>
      </c>
      <c r="C12603" t="s">
        <v>15248</v>
      </c>
      <c r="D12603" t="s">
        <v>18042</v>
      </c>
      <c r="E12603" t="s">
        <v>29019</v>
      </c>
      <c r="F12603" t="s">
        <v>31574</v>
      </c>
      <c r="G12603" t="s">
        <v>31582</v>
      </c>
      <c r="H12603" t="s">
        <v>31590</v>
      </c>
      <c r="I12603" t="s">
        <v>7185</v>
      </c>
      <c r="J12603" t="s">
        <v>39497</v>
      </c>
      <c r="K12603" t="s">
        <v>41184</v>
      </c>
      <c r="M12603" t="s">
        <v>43283</v>
      </c>
      <c r="N12603" t="s">
        <v>45095</v>
      </c>
      <c r="O12603" t="s">
        <v>45096</v>
      </c>
      <c r="P12603">
        <v>0</v>
      </c>
      <c r="Q12603">
        <v>0</v>
      </c>
      <c r="R12603" t="s">
        <v>45111</v>
      </c>
      <c r="S12603" t="s">
        <v>45694</v>
      </c>
      <c r="T12603" t="s">
        <v>46979</v>
      </c>
      <c r="U12603" t="s">
        <v>57737</v>
      </c>
      <c r="W12603" t="s">
        <v>43283</v>
      </c>
      <c r="X12603" t="s">
        <v>45112</v>
      </c>
    </row>
    <row r="12604" spans="1:24">
      <c r="A12604">
        <f>HYPERLINK("https://www.philgeps.gov.ph/GEPSNONPILOT/Tender/SplashBidNoticeAbstractUI.aspx?menuIndex=3&amp;refID=7020874&amp;Result=3","7020874")</f>
        <v>0</v>
      </c>
      <c r="B12604" t="s">
        <v>2757</v>
      </c>
      <c r="C12604" t="s">
        <v>15249</v>
      </c>
      <c r="D12604" t="s">
        <v>18056</v>
      </c>
      <c r="E12604" t="s">
        <v>29020</v>
      </c>
      <c r="F12604" t="s">
        <v>31574</v>
      </c>
      <c r="G12604" t="s">
        <v>31582</v>
      </c>
      <c r="H12604" t="s">
        <v>31591</v>
      </c>
      <c r="I12604" t="s">
        <v>8822</v>
      </c>
      <c r="J12604" t="s">
        <v>39498</v>
      </c>
      <c r="K12604" t="s">
        <v>41243</v>
      </c>
      <c r="M12604" t="s">
        <v>44529</v>
      </c>
      <c r="N12604" t="s">
        <v>45095</v>
      </c>
      <c r="O12604" t="s">
        <v>45096</v>
      </c>
      <c r="P12604">
        <v>0</v>
      </c>
      <c r="Q12604">
        <v>1</v>
      </c>
      <c r="R12604" t="s">
        <v>45111</v>
      </c>
      <c r="S12604" t="s">
        <v>45694</v>
      </c>
      <c r="T12604" t="s">
        <v>46914</v>
      </c>
      <c r="U12604" t="s">
        <v>57738</v>
      </c>
      <c r="V12604" t="s">
        <v>60958</v>
      </c>
      <c r="W12604" t="s">
        <v>44529</v>
      </c>
      <c r="X12604" t="s">
        <v>45112</v>
      </c>
    </row>
    <row r="12605" spans="1:24">
      <c r="A12605">
        <f>HYPERLINK("https://www.philgeps.gov.ph/GEPSNONPILOT/Tender/SplashBidNoticeAbstractUI.aspx?menuIndex=3&amp;refID=7020734&amp;Result=3","7020734")</f>
        <v>0</v>
      </c>
      <c r="B12605" t="s">
        <v>2960</v>
      </c>
      <c r="C12605" t="s">
        <v>15250</v>
      </c>
      <c r="D12605" t="s">
        <v>18066</v>
      </c>
      <c r="E12605" t="s">
        <v>29003</v>
      </c>
      <c r="F12605" t="s">
        <v>31574</v>
      </c>
      <c r="G12605" t="s">
        <v>31582</v>
      </c>
      <c r="H12605" t="s">
        <v>31590</v>
      </c>
      <c r="I12605" t="s">
        <v>31607</v>
      </c>
      <c r="J12605" t="s">
        <v>39499</v>
      </c>
      <c r="K12605" t="s">
        <v>41186</v>
      </c>
      <c r="M12605" t="s">
        <v>44779</v>
      </c>
      <c r="N12605" t="s">
        <v>45095</v>
      </c>
      <c r="O12605" t="s">
        <v>45096</v>
      </c>
      <c r="P12605">
        <v>0</v>
      </c>
      <c r="Q12605">
        <v>9</v>
      </c>
      <c r="R12605" t="s">
        <v>45111</v>
      </c>
      <c r="S12605" t="s">
        <v>45694</v>
      </c>
      <c r="T12605" t="s">
        <v>46917</v>
      </c>
      <c r="U12605" t="s">
        <v>57739</v>
      </c>
      <c r="W12605" t="s">
        <v>44779</v>
      </c>
      <c r="X12605" t="s">
        <v>45112</v>
      </c>
    </row>
    <row r="12606" spans="1:24">
      <c r="A12606">
        <f>HYPERLINK("https://www.philgeps.gov.ph/GEPSNONPILOT/Tender/SplashBidNoticeAbstractUI.aspx?menuIndex=3&amp;refID=7020877&amp;Result=3","7020877")</f>
        <v>0</v>
      </c>
      <c r="B12606" t="s">
        <v>2963</v>
      </c>
      <c r="C12606" t="s">
        <v>15251</v>
      </c>
      <c r="D12606" t="s">
        <v>18037</v>
      </c>
      <c r="E12606" t="s">
        <v>29021</v>
      </c>
      <c r="F12606" t="s">
        <v>31574</v>
      </c>
      <c r="G12606" t="s">
        <v>31582</v>
      </c>
      <c r="H12606" t="s">
        <v>31592</v>
      </c>
      <c r="I12606" t="s">
        <v>31638</v>
      </c>
      <c r="J12606" t="s">
        <v>39500</v>
      </c>
      <c r="K12606" t="s">
        <v>41192</v>
      </c>
      <c r="M12606" t="s">
        <v>44784</v>
      </c>
      <c r="N12606" t="s">
        <v>45095</v>
      </c>
      <c r="O12606" t="s">
        <v>45096</v>
      </c>
      <c r="Q12606">
        <v>2</v>
      </c>
      <c r="R12606" t="s">
        <v>45111</v>
      </c>
      <c r="S12606" t="s">
        <v>45741</v>
      </c>
      <c r="T12606" t="s">
        <v>46955</v>
      </c>
      <c r="U12606" t="s">
        <v>57740</v>
      </c>
      <c r="W12606" t="s">
        <v>44784</v>
      </c>
      <c r="X12606" t="s">
        <v>45112</v>
      </c>
    </row>
    <row r="12607" spans="1:24">
      <c r="A12607">
        <f>HYPERLINK("https://www.philgeps.gov.ph/GEPSNONPILOT/Tender/SplashBidNoticeAbstractUI.aspx?menuIndex=3&amp;refID=7020869&amp;Result=3","7020869")</f>
        <v>0</v>
      </c>
      <c r="B12607" t="s">
        <v>2964</v>
      </c>
      <c r="C12607" t="s">
        <v>15252</v>
      </c>
      <c r="D12607" t="s">
        <v>18054</v>
      </c>
      <c r="E12607" t="s">
        <v>18227</v>
      </c>
      <c r="F12607" t="s">
        <v>31574</v>
      </c>
      <c r="G12607" t="s">
        <v>31582</v>
      </c>
      <c r="H12607" t="s">
        <v>31591</v>
      </c>
      <c r="I12607" t="s">
        <v>31663</v>
      </c>
      <c r="J12607" t="s">
        <v>39501</v>
      </c>
      <c r="K12607" t="s">
        <v>41189</v>
      </c>
      <c r="M12607" t="s">
        <v>44785</v>
      </c>
      <c r="N12607" t="s">
        <v>45095</v>
      </c>
      <c r="O12607" t="s">
        <v>45096</v>
      </c>
      <c r="P12607">
        <v>0</v>
      </c>
      <c r="Q12607">
        <v>0</v>
      </c>
      <c r="R12607" t="s">
        <v>45111</v>
      </c>
      <c r="S12607" t="s">
        <v>45694</v>
      </c>
      <c r="T12607" t="s">
        <v>46932</v>
      </c>
      <c r="U12607" t="s">
        <v>57741</v>
      </c>
      <c r="W12607" t="s">
        <v>44785</v>
      </c>
      <c r="X12607" t="s">
        <v>45112</v>
      </c>
    </row>
    <row r="12608" spans="1:24">
      <c r="A12608">
        <f>HYPERLINK("https://www.philgeps.gov.ph/GEPSNONPILOT/Tender/SplashBidNoticeAbstractUI.aspx?menuIndex=3&amp;refID=7020866&amp;Result=3","7020866")</f>
        <v>0</v>
      </c>
      <c r="B12608" t="s">
        <v>2407</v>
      </c>
      <c r="C12608" t="s">
        <v>15253</v>
      </c>
      <c r="D12608" t="s">
        <v>18083</v>
      </c>
      <c r="E12608" t="s">
        <v>29022</v>
      </c>
      <c r="F12608" t="s">
        <v>31574</v>
      </c>
      <c r="G12608" t="s">
        <v>31582</v>
      </c>
      <c r="H12608" t="s">
        <v>31591</v>
      </c>
      <c r="I12608" t="s">
        <v>8822</v>
      </c>
      <c r="J12608" t="s">
        <v>37901</v>
      </c>
      <c r="K12608" t="s">
        <v>41199</v>
      </c>
      <c r="M12608" t="s">
        <v>44134</v>
      </c>
      <c r="N12608" t="s">
        <v>45095</v>
      </c>
      <c r="O12608" t="s">
        <v>45096</v>
      </c>
      <c r="P12608">
        <v>0</v>
      </c>
      <c r="Q12608">
        <v>0</v>
      </c>
      <c r="R12608" t="s">
        <v>45111</v>
      </c>
      <c r="S12608" t="s">
        <v>45694</v>
      </c>
      <c r="T12608" t="s">
        <v>47420</v>
      </c>
      <c r="U12608" t="s">
        <v>57742</v>
      </c>
      <c r="W12608" t="s">
        <v>44134</v>
      </c>
      <c r="X12608" t="s">
        <v>45112</v>
      </c>
    </row>
    <row r="12609" spans="1:24">
      <c r="A12609">
        <f>HYPERLINK("https://www.philgeps.gov.ph/GEPSNONPILOT/Tender/SplashBidNoticeAbstractUI.aspx?menuIndex=3&amp;refID=7020833&amp;Result=3","7020833")</f>
        <v>0</v>
      </c>
      <c r="B12609" t="s">
        <v>309</v>
      </c>
      <c r="C12609" t="s">
        <v>15254</v>
      </c>
      <c r="D12609" t="s">
        <v>18074</v>
      </c>
      <c r="E12609" t="s">
        <v>29023</v>
      </c>
      <c r="F12609" t="s">
        <v>31574</v>
      </c>
      <c r="G12609" t="s">
        <v>31582</v>
      </c>
      <c r="H12609" t="s">
        <v>31591</v>
      </c>
      <c r="I12609" t="s">
        <v>8822</v>
      </c>
      <c r="J12609" t="s">
        <v>39502</v>
      </c>
      <c r="K12609" t="s">
        <v>41184</v>
      </c>
      <c r="M12609" t="s">
        <v>41795</v>
      </c>
      <c r="N12609" t="s">
        <v>45095</v>
      </c>
      <c r="O12609" t="s">
        <v>45096</v>
      </c>
      <c r="P12609">
        <v>0</v>
      </c>
      <c r="Q12609">
        <v>0</v>
      </c>
      <c r="R12609" t="s">
        <v>45111</v>
      </c>
      <c r="S12609" t="s">
        <v>45694</v>
      </c>
      <c r="T12609" t="s">
        <v>46991</v>
      </c>
      <c r="U12609" t="s">
        <v>57743</v>
      </c>
      <c r="W12609" t="s">
        <v>41795</v>
      </c>
      <c r="X12609" t="s">
        <v>45112</v>
      </c>
    </row>
    <row r="12610" spans="1:24">
      <c r="A12610">
        <f>HYPERLINK("https://www.philgeps.gov.ph/GEPSNONPILOT/Tender/SplashBidNoticeAbstractUI.aspx?menuIndex=3&amp;refID=7020835&amp;Result=3","7020835")</f>
        <v>0</v>
      </c>
      <c r="B12610" t="s">
        <v>781</v>
      </c>
      <c r="C12610" t="s">
        <v>15255</v>
      </c>
      <c r="D12610" t="s">
        <v>18047</v>
      </c>
      <c r="E12610" t="s">
        <v>29024</v>
      </c>
      <c r="F12610" t="s">
        <v>31574</v>
      </c>
      <c r="G12610" t="s">
        <v>31582</v>
      </c>
      <c r="H12610" t="s">
        <v>31591</v>
      </c>
      <c r="I12610" t="s">
        <v>8822</v>
      </c>
      <c r="J12610" t="s">
        <v>39503</v>
      </c>
      <c r="K12610" t="s">
        <v>41184</v>
      </c>
      <c r="M12610" t="s">
        <v>42316</v>
      </c>
      <c r="N12610" t="s">
        <v>45095</v>
      </c>
      <c r="O12610" t="s">
        <v>45096</v>
      </c>
      <c r="P12610">
        <v>0</v>
      </c>
      <c r="Q12610">
        <v>1</v>
      </c>
      <c r="R12610" t="s">
        <v>45111</v>
      </c>
      <c r="S12610" t="s">
        <v>45694</v>
      </c>
      <c r="T12610" t="s">
        <v>46910</v>
      </c>
      <c r="U12610" t="s">
        <v>49139</v>
      </c>
      <c r="W12610" t="s">
        <v>42316</v>
      </c>
      <c r="X12610" t="s">
        <v>45112</v>
      </c>
    </row>
    <row r="12611" spans="1:24">
      <c r="A12611">
        <f>HYPERLINK("https://www.philgeps.gov.ph/GEPSNONPILOT/Tender/SplashBidNoticeAbstractUI.aspx?menuIndex=3&amp;refID=7020871&amp;Result=3","7020871")</f>
        <v>0</v>
      </c>
      <c r="B12611" t="s">
        <v>402</v>
      </c>
      <c r="C12611" t="s">
        <v>15256</v>
      </c>
      <c r="D12611" t="s">
        <v>18078</v>
      </c>
      <c r="E12611" t="s">
        <v>29025</v>
      </c>
      <c r="F12611" t="s">
        <v>31574</v>
      </c>
      <c r="G12611" t="s">
        <v>31582</v>
      </c>
      <c r="H12611" t="s">
        <v>31590</v>
      </c>
      <c r="I12611" t="s">
        <v>31615</v>
      </c>
      <c r="J12611" t="s">
        <v>31771</v>
      </c>
      <c r="K12611" t="s">
        <v>41189</v>
      </c>
      <c r="M12611" t="s">
        <v>41893</v>
      </c>
      <c r="N12611" t="s">
        <v>45095</v>
      </c>
      <c r="O12611" t="s">
        <v>45096</v>
      </c>
      <c r="P12611">
        <v>0</v>
      </c>
      <c r="Q12611">
        <v>4</v>
      </c>
      <c r="R12611" t="s">
        <v>45111</v>
      </c>
      <c r="S12611" t="s">
        <v>45694</v>
      </c>
      <c r="T12611" t="s">
        <v>47111</v>
      </c>
      <c r="U12611" t="s">
        <v>57744</v>
      </c>
      <c r="W12611" t="s">
        <v>41893</v>
      </c>
      <c r="X12611" t="s">
        <v>45112</v>
      </c>
    </row>
    <row r="12612" spans="1:24">
      <c r="A12612">
        <f>HYPERLINK("https://www.philgeps.gov.ph/GEPSNONPILOT/Tender/SplashBidNoticeAbstractUI.aspx?menuIndex=3&amp;refID=7020826&amp;Result=3","7020826")</f>
        <v>0</v>
      </c>
      <c r="B12612" t="s">
        <v>706</v>
      </c>
      <c r="C12612" t="s">
        <v>15257</v>
      </c>
      <c r="D12612" t="s">
        <v>18022</v>
      </c>
      <c r="E12612" t="s">
        <v>29026</v>
      </c>
      <c r="F12612" t="s">
        <v>31574</v>
      </c>
      <c r="G12612" t="s">
        <v>31581</v>
      </c>
      <c r="H12612" t="s">
        <v>31590</v>
      </c>
      <c r="I12612" t="s">
        <v>31619</v>
      </c>
      <c r="J12612" t="s">
        <v>34434</v>
      </c>
      <c r="K12612" t="s">
        <v>41191</v>
      </c>
      <c r="M12612" t="s">
        <v>42215</v>
      </c>
      <c r="N12612" t="s">
        <v>45095</v>
      </c>
      <c r="O12612" t="s">
        <v>45096</v>
      </c>
      <c r="Q12612">
        <v>32</v>
      </c>
      <c r="R12612" t="s">
        <v>45111</v>
      </c>
      <c r="S12612" t="s">
        <v>45742</v>
      </c>
      <c r="T12612" t="s">
        <v>46973</v>
      </c>
      <c r="U12612" t="s">
        <v>57745</v>
      </c>
      <c r="V12612" t="s">
        <v>61225</v>
      </c>
      <c r="W12612" t="s">
        <v>42215</v>
      </c>
      <c r="X12612" t="s">
        <v>45112</v>
      </c>
    </row>
    <row r="12613" spans="1:24">
      <c r="A12613">
        <f>HYPERLINK("https://www.philgeps.gov.ph/GEPSNONPILOT/Tender/SplashBidNoticeAbstractUI.aspx?menuIndex=3&amp;refID=7020783&amp;Result=3","7020783")</f>
        <v>0</v>
      </c>
      <c r="B12613" t="s">
        <v>2956</v>
      </c>
      <c r="C12613" t="s">
        <v>15258</v>
      </c>
      <c r="D12613" t="s">
        <v>18040</v>
      </c>
      <c r="E12613" t="s">
        <v>28963</v>
      </c>
      <c r="F12613" t="s">
        <v>31574</v>
      </c>
      <c r="G12613" t="s">
        <v>31582</v>
      </c>
      <c r="H12613" t="s">
        <v>31591</v>
      </c>
      <c r="I12613" t="s">
        <v>8822</v>
      </c>
      <c r="J12613" t="s">
        <v>32019</v>
      </c>
      <c r="K12613" t="s">
        <v>41185</v>
      </c>
      <c r="M12613" t="s">
        <v>44775</v>
      </c>
      <c r="N12613" t="s">
        <v>45095</v>
      </c>
      <c r="O12613" t="s">
        <v>45096</v>
      </c>
      <c r="P12613">
        <v>0</v>
      </c>
      <c r="Q12613">
        <v>1</v>
      </c>
      <c r="R12613" t="s">
        <v>45111</v>
      </c>
      <c r="S12613" t="s">
        <v>45694</v>
      </c>
      <c r="T12613" t="s">
        <v>46984</v>
      </c>
      <c r="U12613" t="s">
        <v>57693</v>
      </c>
      <c r="W12613" t="s">
        <v>44775</v>
      </c>
      <c r="X12613" t="s">
        <v>45112</v>
      </c>
    </row>
    <row r="12614" spans="1:24">
      <c r="A12614">
        <f>HYPERLINK("https://www.philgeps.gov.ph/GEPSNONPILOT/Tender/SplashBidNoticeAbstractUI.aspx?menuIndex=3&amp;refID=7020821&amp;Result=3","7020821")</f>
        <v>0</v>
      </c>
      <c r="B12614" t="s">
        <v>90</v>
      </c>
      <c r="C12614" t="s">
        <v>15259</v>
      </c>
      <c r="E12614" t="s">
        <v>29027</v>
      </c>
      <c r="F12614" t="s">
        <v>31574</v>
      </c>
      <c r="G12614" t="s">
        <v>31582</v>
      </c>
      <c r="H12614" t="s">
        <v>31590</v>
      </c>
      <c r="I12614" t="s">
        <v>31625</v>
      </c>
      <c r="J12614" t="s">
        <v>39504</v>
      </c>
      <c r="K12614" t="s">
        <v>41184</v>
      </c>
      <c r="M12614" t="s">
        <v>41574</v>
      </c>
      <c r="N12614" t="s">
        <v>45095</v>
      </c>
      <c r="O12614" t="s">
        <v>45096</v>
      </c>
      <c r="Q12614">
        <v>2</v>
      </c>
      <c r="R12614" t="s">
        <v>45111</v>
      </c>
      <c r="S12614" t="s">
        <v>45743</v>
      </c>
      <c r="T12614" t="s">
        <v>46910</v>
      </c>
      <c r="U12614" t="s">
        <v>57746</v>
      </c>
      <c r="W12614" t="s">
        <v>41574</v>
      </c>
      <c r="X12614" t="s">
        <v>45112</v>
      </c>
    </row>
    <row r="12615" spans="1:24">
      <c r="A12615">
        <f>HYPERLINK("https://www.philgeps.gov.ph/GEPSNONPILOT/Tender/SplashBidNoticeAbstractUI.aspx?menuIndex=3&amp;refID=7020899&amp;Result=3","7020899")</f>
        <v>0</v>
      </c>
      <c r="B12615" t="s">
        <v>1591</v>
      </c>
      <c r="C12615" t="s">
        <v>15260</v>
      </c>
      <c r="D12615" t="s">
        <v>18058</v>
      </c>
      <c r="E12615" t="s">
        <v>29028</v>
      </c>
      <c r="F12615" t="s">
        <v>31574</v>
      </c>
      <c r="G12615" t="s">
        <v>31582</v>
      </c>
      <c r="H12615" t="s">
        <v>31591</v>
      </c>
      <c r="I12615" t="s">
        <v>8822</v>
      </c>
      <c r="J12615" t="s">
        <v>31819</v>
      </c>
      <c r="K12615" t="s">
        <v>41189</v>
      </c>
      <c r="M12615" t="s">
        <v>43195</v>
      </c>
      <c r="N12615" t="s">
        <v>45095</v>
      </c>
      <c r="O12615" t="s">
        <v>45096</v>
      </c>
      <c r="P12615">
        <v>0</v>
      </c>
      <c r="Q12615">
        <v>3</v>
      </c>
      <c r="R12615" t="s">
        <v>45111</v>
      </c>
      <c r="S12615" t="s">
        <v>45694</v>
      </c>
      <c r="T12615" t="s">
        <v>46922</v>
      </c>
      <c r="U12615" t="s">
        <v>57747</v>
      </c>
      <c r="V12615" t="s">
        <v>60356</v>
      </c>
      <c r="W12615" t="s">
        <v>44764</v>
      </c>
      <c r="X12615" t="s">
        <v>45112</v>
      </c>
    </row>
    <row r="12616" spans="1:24">
      <c r="A12616">
        <f>HYPERLINK("https://www.philgeps.gov.ph/GEPSNONPILOT/Tender/SplashBidNoticeAbstractUI.aspx?menuIndex=3&amp;refID=7020844&amp;Result=3","7020844")</f>
        <v>0</v>
      </c>
      <c r="B12616" t="s">
        <v>390</v>
      </c>
      <c r="C12616" t="s">
        <v>15261</v>
      </c>
      <c r="E12616" t="s">
        <v>29029</v>
      </c>
      <c r="F12616" t="s">
        <v>31574</v>
      </c>
      <c r="G12616" t="s">
        <v>31582</v>
      </c>
      <c r="H12616" t="s">
        <v>31590</v>
      </c>
      <c r="I12616" t="s">
        <v>8822</v>
      </c>
      <c r="J12616" t="s">
        <v>39505</v>
      </c>
      <c r="K12616" t="s">
        <v>41184</v>
      </c>
      <c r="M12616" t="s">
        <v>41881</v>
      </c>
      <c r="N12616" t="s">
        <v>45095</v>
      </c>
      <c r="O12616" t="s">
        <v>45096</v>
      </c>
      <c r="P12616">
        <v>0</v>
      </c>
      <c r="Q12616">
        <v>0</v>
      </c>
      <c r="R12616" t="s">
        <v>45111</v>
      </c>
      <c r="S12616" t="s">
        <v>45694</v>
      </c>
      <c r="T12616" t="s">
        <v>46937</v>
      </c>
      <c r="U12616" t="s">
        <v>48248</v>
      </c>
      <c r="W12616" t="s">
        <v>41881</v>
      </c>
      <c r="X12616" t="s">
        <v>45112</v>
      </c>
    </row>
    <row r="12617" spans="1:24">
      <c r="A12617">
        <f>HYPERLINK("https://www.philgeps.gov.ph/GEPSNONPILOT/Tender/SplashBidNoticeAbstractUI.aspx?menuIndex=3&amp;refID=7020799&amp;Result=3","7020799")</f>
        <v>0</v>
      </c>
      <c r="B12617" t="s">
        <v>328</v>
      </c>
      <c r="C12617" t="s">
        <v>15262</v>
      </c>
      <c r="D12617" t="s">
        <v>18056</v>
      </c>
      <c r="E12617" t="s">
        <v>29030</v>
      </c>
      <c r="F12617" t="s">
        <v>31574</v>
      </c>
      <c r="G12617" t="s">
        <v>31582</v>
      </c>
      <c r="H12617" t="s">
        <v>31590</v>
      </c>
      <c r="I12617" t="s">
        <v>7185</v>
      </c>
      <c r="J12617" t="s">
        <v>39506</v>
      </c>
      <c r="K12617" t="s">
        <v>41186</v>
      </c>
      <c r="M12617" t="s">
        <v>43349</v>
      </c>
      <c r="N12617" t="s">
        <v>45095</v>
      </c>
      <c r="O12617" t="s">
        <v>45096</v>
      </c>
      <c r="P12617">
        <v>0</v>
      </c>
      <c r="Q12617">
        <v>3</v>
      </c>
      <c r="R12617" t="s">
        <v>45111</v>
      </c>
      <c r="S12617" t="s">
        <v>45694</v>
      </c>
      <c r="T12617" t="s">
        <v>46910</v>
      </c>
      <c r="U12617" t="s">
        <v>57748</v>
      </c>
      <c r="W12617" t="s">
        <v>43349</v>
      </c>
      <c r="X12617" t="s">
        <v>45112</v>
      </c>
    </row>
    <row r="12618" spans="1:24">
      <c r="A12618">
        <f>HYPERLINK("https://www.philgeps.gov.ph/GEPSNONPILOT/Tender/SplashBidNoticeAbstractUI.aspx?menuIndex=3&amp;refID=7020764&amp;Result=3","7020764")</f>
        <v>0</v>
      </c>
      <c r="B12618" t="s">
        <v>781</v>
      </c>
      <c r="C12618" t="s">
        <v>15263</v>
      </c>
      <c r="D12618" t="s">
        <v>18047</v>
      </c>
      <c r="E12618" t="s">
        <v>29031</v>
      </c>
      <c r="F12618" t="s">
        <v>31574</v>
      </c>
      <c r="G12618" t="s">
        <v>31582</v>
      </c>
      <c r="H12618" t="s">
        <v>31591</v>
      </c>
      <c r="I12618" t="s">
        <v>8822</v>
      </c>
      <c r="J12618" t="s">
        <v>39507</v>
      </c>
      <c r="K12618" t="s">
        <v>41184</v>
      </c>
      <c r="M12618" t="s">
        <v>42316</v>
      </c>
      <c r="N12618" t="s">
        <v>45095</v>
      </c>
      <c r="O12618" t="s">
        <v>45096</v>
      </c>
      <c r="P12618">
        <v>0</v>
      </c>
      <c r="Q12618">
        <v>2</v>
      </c>
      <c r="R12618" t="s">
        <v>45111</v>
      </c>
      <c r="S12618" t="s">
        <v>45694</v>
      </c>
      <c r="T12618" t="s">
        <v>46910</v>
      </c>
      <c r="U12618" t="s">
        <v>49139</v>
      </c>
      <c r="W12618" t="s">
        <v>42316</v>
      </c>
      <c r="X12618" t="s">
        <v>45112</v>
      </c>
    </row>
    <row r="12619" spans="1:24">
      <c r="A12619">
        <f>HYPERLINK("https://www.philgeps.gov.ph/GEPSNONPILOT/Tender/SplashBidNoticeAbstractUI.aspx?menuIndex=3&amp;refID=7020808&amp;Result=3","7020808")</f>
        <v>0</v>
      </c>
      <c r="B12619" t="s">
        <v>781</v>
      </c>
      <c r="C12619" t="s">
        <v>15264</v>
      </c>
      <c r="D12619" t="s">
        <v>18047</v>
      </c>
      <c r="E12619" t="s">
        <v>29032</v>
      </c>
      <c r="F12619" t="s">
        <v>31574</v>
      </c>
      <c r="G12619" t="s">
        <v>31582</v>
      </c>
      <c r="H12619" t="s">
        <v>31591</v>
      </c>
      <c r="I12619" t="s">
        <v>8822</v>
      </c>
      <c r="J12619" t="s">
        <v>39508</v>
      </c>
      <c r="K12619" t="s">
        <v>41184</v>
      </c>
      <c r="M12619" t="s">
        <v>42316</v>
      </c>
      <c r="N12619" t="s">
        <v>45095</v>
      </c>
      <c r="O12619" t="s">
        <v>45096</v>
      </c>
      <c r="P12619">
        <v>0</v>
      </c>
      <c r="Q12619">
        <v>2</v>
      </c>
      <c r="R12619" t="s">
        <v>45111</v>
      </c>
      <c r="S12619" t="s">
        <v>45694</v>
      </c>
      <c r="T12619" t="s">
        <v>46910</v>
      </c>
      <c r="U12619" t="s">
        <v>49139</v>
      </c>
      <c r="W12619" t="s">
        <v>42316</v>
      </c>
      <c r="X12619" t="s">
        <v>45112</v>
      </c>
    </row>
    <row r="12620" spans="1:24">
      <c r="A12620">
        <f>HYPERLINK("https://www.philgeps.gov.ph/GEPSNONPILOT/Tender/SplashBidNoticeAbstractUI.aspx?menuIndex=3&amp;refID=7020928&amp;Result=3","7020928")</f>
        <v>0</v>
      </c>
      <c r="B12620" t="s">
        <v>1586</v>
      </c>
      <c r="C12620" t="s">
        <v>15265</v>
      </c>
      <c r="E12620" t="s">
        <v>29033</v>
      </c>
      <c r="F12620" t="s">
        <v>31574</v>
      </c>
      <c r="G12620" t="s">
        <v>31582</v>
      </c>
      <c r="H12620" t="s">
        <v>31590</v>
      </c>
      <c r="I12620" t="s">
        <v>31680</v>
      </c>
      <c r="J12620" t="s">
        <v>33124</v>
      </c>
      <c r="K12620" t="s">
        <v>41184</v>
      </c>
      <c r="M12620" t="s">
        <v>43190</v>
      </c>
      <c r="N12620" t="s">
        <v>45095</v>
      </c>
      <c r="O12620" t="s">
        <v>45096</v>
      </c>
      <c r="P12620">
        <v>0</v>
      </c>
      <c r="Q12620">
        <v>4</v>
      </c>
      <c r="R12620" t="s">
        <v>45111</v>
      </c>
      <c r="S12620" t="s">
        <v>45694</v>
      </c>
      <c r="T12620" t="s">
        <v>47223</v>
      </c>
      <c r="U12620" t="s">
        <v>57749</v>
      </c>
      <c r="V12620" t="s">
        <v>61226</v>
      </c>
      <c r="W12620" t="s">
        <v>61763</v>
      </c>
      <c r="X12620" t="s">
        <v>45112</v>
      </c>
    </row>
    <row r="12621" spans="1:24">
      <c r="A12621">
        <f>HYPERLINK("https://www.philgeps.gov.ph/GEPSNONPILOT/Tender/SplashBidNoticeAbstractUI.aspx?menuIndex=3&amp;refID=7021019&amp;Result=3","7021019")</f>
        <v>0</v>
      </c>
      <c r="B12621" t="s">
        <v>2427</v>
      </c>
      <c r="C12621" t="s">
        <v>15266</v>
      </c>
      <c r="D12621" t="s">
        <v>18052</v>
      </c>
      <c r="E12621" t="s">
        <v>29034</v>
      </c>
      <c r="F12621" t="s">
        <v>31574</v>
      </c>
      <c r="G12621" t="s">
        <v>31582</v>
      </c>
      <c r="H12621" t="s">
        <v>31590</v>
      </c>
      <c r="I12621" t="s">
        <v>31605</v>
      </c>
      <c r="J12621" t="s">
        <v>39509</v>
      </c>
      <c r="K12621" t="s">
        <v>41192</v>
      </c>
      <c r="M12621" t="s">
        <v>44154</v>
      </c>
      <c r="N12621" t="s">
        <v>45095</v>
      </c>
      <c r="O12621" t="s">
        <v>45096</v>
      </c>
      <c r="P12621">
        <v>0</v>
      </c>
      <c r="Q12621">
        <v>5</v>
      </c>
      <c r="R12621" t="s">
        <v>45111</v>
      </c>
      <c r="S12621" t="s">
        <v>45694</v>
      </c>
      <c r="T12621" t="s">
        <v>46914</v>
      </c>
      <c r="U12621" t="s">
        <v>57647</v>
      </c>
      <c r="V12621" t="s">
        <v>60748</v>
      </c>
      <c r="W12621" t="s">
        <v>44154</v>
      </c>
      <c r="X12621" t="s">
        <v>45112</v>
      </c>
    </row>
    <row r="12622" spans="1:24">
      <c r="A12622">
        <f>HYPERLINK("https://www.philgeps.gov.ph/GEPSNONPILOT/Tender/SplashBidNoticeAbstractUI.aspx?menuIndex=3&amp;refID=7020953&amp;Result=3","7020953")</f>
        <v>0</v>
      </c>
      <c r="B12622" t="s">
        <v>1536</v>
      </c>
      <c r="C12622" t="s">
        <v>15267</v>
      </c>
      <c r="D12622" t="s">
        <v>18059</v>
      </c>
      <c r="E12622" t="s">
        <v>29035</v>
      </c>
      <c r="F12622" t="s">
        <v>31574</v>
      </c>
      <c r="G12622" t="s">
        <v>31582</v>
      </c>
      <c r="H12622" t="s">
        <v>31590</v>
      </c>
      <c r="I12622" t="s">
        <v>31623</v>
      </c>
      <c r="J12622" t="s">
        <v>32019</v>
      </c>
      <c r="K12622" t="s">
        <v>41196</v>
      </c>
      <c r="M12622" t="s">
        <v>43128</v>
      </c>
      <c r="N12622" t="s">
        <v>45095</v>
      </c>
      <c r="O12622" t="s">
        <v>45096</v>
      </c>
      <c r="P12622">
        <v>0</v>
      </c>
      <c r="Q12622">
        <v>3</v>
      </c>
      <c r="R12622" t="s">
        <v>45111</v>
      </c>
      <c r="S12622" t="s">
        <v>45694</v>
      </c>
      <c r="T12622" t="s">
        <v>46926</v>
      </c>
      <c r="U12622" t="s">
        <v>57750</v>
      </c>
      <c r="W12622" t="s">
        <v>43128</v>
      </c>
      <c r="X12622" t="s">
        <v>45112</v>
      </c>
    </row>
    <row r="12623" spans="1:24">
      <c r="A12623">
        <f>HYPERLINK("https://www.philgeps.gov.ph/GEPSNONPILOT/Tender/SplashBidNoticeAbstractUI.aspx?menuIndex=3&amp;refID=7020884&amp;Result=3","7020884")</f>
        <v>0</v>
      </c>
      <c r="B12623" t="s">
        <v>390</v>
      </c>
      <c r="C12623" t="s">
        <v>15268</v>
      </c>
      <c r="E12623" t="s">
        <v>29036</v>
      </c>
      <c r="F12623" t="s">
        <v>31574</v>
      </c>
      <c r="G12623" t="s">
        <v>31582</v>
      </c>
      <c r="H12623" t="s">
        <v>31590</v>
      </c>
      <c r="I12623" t="s">
        <v>8822</v>
      </c>
      <c r="J12623" t="s">
        <v>32662</v>
      </c>
      <c r="K12623" t="s">
        <v>41184</v>
      </c>
      <c r="M12623" t="s">
        <v>41881</v>
      </c>
      <c r="N12623" t="s">
        <v>45095</v>
      </c>
      <c r="O12623" t="s">
        <v>45096</v>
      </c>
      <c r="P12623">
        <v>0</v>
      </c>
      <c r="Q12623">
        <v>1</v>
      </c>
      <c r="R12623" t="s">
        <v>45111</v>
      </c>
      <c r="S12623" t="s">
        <v>45694</v>
      </c>
      <c r="T12623" t="s">
        <v>46937</v>
      </c>
      <c r="U12623" t="s">
        <v>48248</v>
      </c>
      <c r="W12623" t="s">
        <v>41881</v>
      </c>
      <c r="X12623" t="s">
        <v>45112</v>
      </c>
    </row>
    <row r="12624" spans="1:24">
      <c r="A12624">
        <f>HYPERLINK("https://www.philgeps.gov.ph/GEPSNONPILOT/Tender/SplashBidNoticeAbstractUI.aspx?menuIndex=3&amp;refID=7020964&amp;Result=3","7020964")</f>
        <v>0</v>
      </c>
      <c r="B12624" t="s">
        <v>1005</v>
      </c>
      <c r="C12624" t="s">
        <v>15269</v>
      </c>
      <c r="D12624" t="s">
        <v>18092</v>
      </c>
      <c r="E12624" t="s">
        <v>29037</v>
      </c>
      <c r="F12624" t="s">
        <v>31574</v>
      </c>
      <c r="G12624" t="s">
        <v>31582</v>
      </c>
      <c r="H12624" t="s">
        <v>31590</v>
      </c>
      <c r="I12624" t="s">
        <v>31641</v>
      </c>
      <c r="J12624" t="s">
        <v>39510</v>
      </c>
      <c r="K12624" t="s">
        <v>41192</v>
      </c>
      <c r="M12624" t="s">
        <v>42544</v>
      </c>
      <c r="N12624" t="s">
        <v>45095</v>
      </c>
      <c r="O12624" t="s">
        <v>45096</v>
      </c>
      <c r="P12624">
        <v>0</v>
      </c>
      <c r="Q12624">
        <v>0</v>
      </c>
      <c r="R12624" t="s">
        <v>45111</v>
      </c>
      <c r="S12624" t="s">
        <v>45694</v>
      </c>
      <c r="T12624" t="s">
        <v>47159</v>
      </c>
      <c r="U12624" t="s">
        <v>57638</v>
      </c>
      <c r="W12624" t="s">
        <v>42544</v>
      </c>
      <c r="X12624" t="s">
        <v>45112</v>
      </c>
    </row>
    <row r="12625" spans="1:24">
      <c r="A12625">
        <f>HYPERLINK("https://www.philgeps.gov.ph/GEPSNONPILOT/Tender/SplashBidNoticeAbstractUI.aspx?menuIndex=3&amp;refID=7020934&amp;Result=3","7020934")</f>
        <v>0</v>
      </c>
      <c r="B12625" t="s">
        <v>90</v>
      </c>
      <c r="C12625" t="s">
        <v>15270</v>
      </c>
      <c r="E12625" t="s">
        <v>29038</v>
      </c>
      <c r="F12625" t="s">
        <v>31574</v>
      </c>
      <c r="G12625" t="s">
        <v>31585</v>
      </c>
      <c r="H12625" t="s">
        <v>31590</v>
      </c>
      <c r="I12625" t="s">
        <v>31597</v>
      </c>
      <c r="J12625" t="s">
        <v>39511</v>
      </c>
      <c r="K12625" t="s">
        <v>41184</v>
      </c>
      <c r="M12625" t="s">
        <v>41574</v>
      </c>
      <c r="N12625" t="s">
        <v>45095</v>
      </c>
      <c r="O12625" t="s">
        <v>45096</v>
      </c>
      <c r="Q12625">
        <v>3</v>
      </c>
      <c r="R12625" t="s">
        <v>45111</v>
      </c>
      <c r="S12625" t="s">
        <v>45744</v>
      </c>
      <c r="T12625" t="s">
        <v>47070</v>
      </c>
      <c r="U12625" t="s">
        <v>57751</v>
      </c>
      <c r="V12625" t="s">
        <v>60372</v>
      </c>
      <c r="W12625" t="s">
        <v>41574</v>
      </c>
      <c r="X12625" t="s">
        <v>45112</v>
      </c>
    </row>
    <row r="12626" spans="1:24">
      <c r="A12626">
        <f>HYPERLINK("https://www.philgeps.gov.ph/GEPSNONPILOT/Tender/SplashBidNoticeAbstractUI.aspx?menuIndex=3&amp;refID=7020937&amp;Result=3","7020937")</f>
        <v>0</v>
      </c>
      <c r="B12626" t="s">
        <v>2965</v>
      </c>
      <c r="C12626" t="s">
        <v>15271</v>
      </c>
      <c r="D12626" t="s">
        <v>18107</v>
      </c>
      <c r="E12626" t="s">
        <v>29039</v>
      </c>
      <c r="F12626" t="s">
        <v>31574</v>
      </c>
      <c r="G12626" t="s">
        <v>31582</v>
      </c>
      <c r="H12626" t="s">
        <v>31591</v>
      </c>
      <c r="I12626" t="s">
        <v>8822</v>
      </c>
      <c r="J12626" t="s">
        <v>39512</v>
      </c>
      <c r="K12626" t="s">
        <v>41189</v>
      </c>
      <c r="M12626" t="s">
        <v>44786</v>
      </c>
      <c r="N12626" t="s">
        <v>45095</v>
      </c>
      <c r="O12626" t="s">
        <v>45096</v>
      </c>
      <c r="P12626">
        <v>0</v>
      </c>
      <c r="Q12626">
        <v>0</v>
      </c>
      <c r="R12626" t="s">
        <v>45111</v>
      </c>
      <c r="S12626" t="s">
        <v>45694</v>
      </c>
      <c r="T12626" t="s">
        <v>46979</v>
      </c>
      <c r="U12626" t="s">
        <v>57752</v>
      </c>
      <c r="W12626" t="s">
        <v>44786</v>
      </c>
      <c r="X12626" t="s">
        <v>45112</v>
      </c>
    </row>
    <row r="12627" spans="1:24">
      <c r="A12627">
        <f>HYPERLINK("https://www.philgeps.gov.ph/GEPSNONPILOT/Tender/SplashBidNoticeAbstractUI.aspx?menuIndex=3&amp;refID=7020931&amp;Result=3","7020931")</f>
        <v>0</v>
      </c>
      <c r="B12627" t="s">
        <v>767</v>
      </c>
      <c r="C12627" t="s">
        <v>15272</v>
      </c>
      <c r="D12627" t="s">
        <v>18068</v>
      </c>
      <c r="E12627" t="s">
        <v>29040</v>
      </c>
      <c r="F12627" t="s">
        <v>31574</v>
      </c>
      <c r="G12627" t="s">
        <v>31582</v>
      </c>
      <c r="H12627" t="s">
        <v>31591</v>
      </c>
      <c r="I12627" t="s">
        <v>8822</v>
      </c>
      <c r="J12627" t="s">
        <v>39513</v>
      </c>
      <c r="K12627" t="s">
        <v>41198</v>
      </c>
      <c r="M12627" t="s">
        <v>42281</v>
      </c>
      <c r="N12627" t="s">
        <v>45095</v>
      </c>
      <c r="O12627" t="s">
        <v>45096</v>
      </c>
      <c r="P12627">
        <v>0</v>
      </c>
      <c r="Q12627">
        <v>0</v>
      </c>
      <c r="R12627" t="s">
        <v>45111</v>
      </c>
      <c r="S12627" t="s">
        <v>45694</v>
      </c>
      <c r="T12627" t="s">
        <v>46945</v>
      </c>
      <c r="U12627" t="s">
        <v>57753</v>
      </c>
      <c r="V12627" t="s">
        <v>61227</v>
      </c>
      <c r="W12627" t="s">
        <v>42281</v>
      </c>
      <c r="X12627" t="s">
        <v>45112</v>
      </c>
    </row>
    <row r="12628" spans="1:24">
      <c r="A12628">
        <f>HYPERLINK("https://www.philgeps.gov.ph/GEPSNONPILOT/Tender/SplashBidNoticeAbstractUI.aspx?menuIndex=3&amp;refID=7020746&amp;Result=3","7020746")</f>
        <v>0</v>
      </c>
      <c r="B12628" t="s">
        <v>249</v>
      </c>
      <c r="C12628" t="s">
        <v>15273</v>
      </c>
      <c r="D12628" t="s">
        <v>18039</v>
      </c>
      <c r="E12628" t="s">
        <v>19969</v>
      </c>
      <c r="F12628" t="s">
        <v>31574</v>
      </c>
      <c r="G12628" t="s">
        <v>31582</v>
      </c>
      <c r="H12628" t="s">
        <v>31590</v>
      </c>
      <c r="I12628" t="s">
        <v>31631</v>
      </c>
      <c r="J12628" t="s">
        <v>39514</v>
      </c>
      <c r="K12628" t="s">
        <v>41229</v>
      </c>
      <c r="M12628" t="s">
        <v>44182</v>
      </c>
      <c r="N12628" t="s">
        <v>45095</v>
      </c>
      <c r="O12628" t="s">
        <v>45096</v>
      </c>
      <c r="P12628">
        <v>0</v>
      </c>
      <c r="Q12628">
        <v>3</v>
      </c>
      <c r="R12628" t="s">
        <v>45111</v>
      </c>
      <c r="S12628" t="s">
        <v>45694</v>
      </c>
      <c r="T12628" t="s">
        <v>47003</v>
      </c>
      <c r="U12628" t="s">
        <v>57754</v>
      </c>
      <c r="V12628" t="s">
        <v>58996</v>
      </c>
      <c r="W12628" t="s">
        <v>44182</v>
      </c>
      <c r="X12628" t="s">
        <v>45112</v>
      </c>
    </row>
    <row r="12629" spans="1:24">
      <c r="A12629">
        <f>HYPERLINK("https://www.philgeps.gov.ph/GEPSNONPILOT/Tender/SplashBidNoticeAbstractUI.aspx?menuIndex=3&amp;refID=7021106&amp;Result=3","7021106")</f>
        <v>0</v>
      </c>
      <c r="B12629" t="s">
        <v>362</v>
      </c>
      <c r="C12629" t="s">
        <v>15274</v>
      </c>
      <c r="D12629" t="s">
        <v>18068</v>
      </c>
      <c r="E12629" t="s">
        <v>29041</v>
      </c>
      <c r="F12629" t="s">
        <v>31574</v>
      </c>
      <c r="G12629" t="s">
        <v>31582</v>
      </c>
      <c r="H12629" t="s">
        <v>31590</v>
      </c>
      <c r="I12629" t="s">
        <v>31631</v>
      </c>
      <c r="J12629" t="s">
        <v>31744</v>
      </c>
      <c r="K12629" t="s">
        <v>41196</v>
      </c>
      <c r="M12629" t="s">
        <v>41852</v>
      </c>
      <c r="N12629" t="s">
        <v>45095</v>
      </c>
      <c r="O12629" t="s">
        <v>45096</v>
      </c>
      <c r="P12629">
        <v>0</v>
      </c>
      <c r="Q12629">
        <v>1</v>
      </c>
      <c r="R12629" t="s">
        <v>45111</v>
      </c>
      <c r="S12629" t="s">
        <v>45694</v>
      </c>
      <c r="T12629" t="s">
        <v>46979</v>
      </c>
      <c r="U12629" t="s">
        <v>57755</v>
      </c>
      <c r="W12629" t="s">
        <v>41852</v>
      </c>
      <c r="X12629" t="s">
        <v>45112</v>
      </c>
    </row>
    <row r="12630" spans="1:24">
      <c r="A12630">
        <f>HYPERLINK("https://www.philgeps.gov.ph/GEPSNONPILOT/Tender/SplashBidNoticeAbstractUI.aspx?menuIndex=3&amp;refID=7020956&amp;Result=3","7020956")</f>
        <v>0</v>
      </c>
      <c r="B12630" t="s">
        <v>1300</v>
      </c>
      <c r="C12630" t="s">
        <v>15275</v>
      </c>
      <c r="D12630" t="s">
        <v>18066</v>
      </c>
      <c r="E12630" t="s">
        <v>18397</v>
      </c>
      <c r="F12630" t="s">
        <v>31574</v>
      </c>
      <c r="G12630" t="s">
        <v>31582</v>
      </c>
      <c r="H12630" t="s">
        <v>31591</v>
      </c>
      <c r="I12630" t="s">
        <v>8822</v>
      </c>
      <c r="J12630" t="s">
        <v>39515</v>
      </c>
      <c r="K12630" t="s">
        <v>41185</v>
      </c>
      <c r="M12630" t="s">
        <v>42870</v>
      </c>
      <c r="N12630" t="s">
        <v>45095</v>
      </c>
      <c r="O12630" t="s">
        <v>45096</v>
      </c>
      <c r="P12630">
        <v>0</v>
      </c>
      <c r="Q12630">
        <v>0</v>
      </c>
      <c r="R12630" t="s">
        <v>45111</v>
      </c>
      <c r="S12630" t="s">
        <v>45694</v>
      </c>
      <c r="T12630" t="s">
        <v>46932</v>
      </c>
      <c r="U12630" t="s">
        <v>57756</v>
      </c>
      <c r="W12630" t="s">
        <v>42870</v>
      </c>
      <c r="X12630" t="s">
        <v>45112</v>
      </c>
    </row>
    <row r="12631" spans="1:24">
      <c r="A12631">
        <f>HYPERLINK("https://www.philgeps.gov.ph/GEPSNONPILOT/Tender/SplashBidNoticeAbstractUI.aspx?menuIndex=3&amp;refID=7021102&amp;Result=3","7021102")</f>
        <v>0</v>
      </c>
      <c r="B12631" t="s">
        <v>1005</v>
      </c>
      <c r="C12631" t="s">
        <v>15276</v>
      </c>
      <c r="D12631" t="s">
        <v>18092</v>
      </c>
      <c r="E12631" t="s">
        <v>29042</v>
      </c>
      <c r="F12631" t="s">
        <v>31574</v>
      </c>
      <c r="G12631" t="s">
        <v>31581</v>
      </c>
      <c r="H12631" t="s">
        <v>31590</v>
      </c>
      <c r="I12631" t="s">
        <v>31602</v>
      </c>
      <c r="J12631" t="s">
        <v>39516</v>
      </c>
      <c r="K12631" t="s">
        <v>41191</v>
      </c>
      <c r="M12631" t="s">
        <v>42544</v>
      </c>
      <c r="N12631" t="s">
        <v>45095</v>
      </c>
      <c r="O12631" t="s">
        <v>45096</v>
      </c>
      <c r="P12631">
        <v>0</v>
      </c>
      <c r="Q12631">
        <v>0</v>
      </c>
      <c r="R12631" t="s">
        <v>45111</v>
      </c>
      <c r="S12631" t="s">
        <v>45694</v>
      </c>
      <c r="T12631" t="s">
        <v>47159</v>
      </c>
      <c r="U12631" t="s">
        <v>57757</v>
      </c>
      <c r="W12631" t="s">
        <v>42544</v>
      </c>
      <c r="X12631" t="s">
        <v>45112</v>
      </c>
    </row>
    <row r="12632" spans="1:24">
      <c r="A12632">
        <f>HYPERLINK("https://www.philgeps.gov.ph/GEPSNONPILOT/Tender/SplashBidNoticeAbstractUI.aspx?menuIndex=3&amp;refID=7021105&amp;Result=3","7021105")</f>
        <v>0</v>
      </c>
      <c r="B12632" t="s">
        <v>2966</v>
      </c>
      <c r="C12632" t="s">
        <v>15277</v>
      </c>
      <c r="D12632" t="s">
        <v>18039</v>
      </c>
      <c r="E12632" t="s">
        <v>19894</v>
      </c>
      <c r="F12632" t="s">
        <v>31574</v>
      </c>
      <c r="G12632" t="s">
        <v>31581</v>
      </c>
      <c r="H12632" t="s">
        <v>31590</v>
      </c>
      <c r="I12632" t="s">
        <v>3539</v>
      </c>
      <c r="J12632" t="s">
        <v>34225</v>
      </c>
      <c r="K12632" t="s">
        <v>41184</v>
      </c>
      <c r="M12632" t="s">
        <v>44787</v>
      </c>
      <c r="N12632" t="s">
        <v>45095</v>
      </c>
      <c r="O12632" t="s">
        <v>45096</v>
      </c>
      <c r="Q12632">
        <v>0</v>
      </c>
      <c r="R12632" t="s">
        <v>45111</v>
      </c>
      <c r="S12632" t="s">
        <v>45745</v>
      </c>
      <c r="T12632" t="s">
        <v>47421</v>
      </c>
      <c r="U12632" t="s">
        <v>57758</v>
      </c>
      <c r="W12632" t="s">
        <v>44787</v>
      </c>
      <c r="X12632" t="s">
        <v>45112</v>
      </c>
    </row>
    <row r="12633" spans="1:24">
      <c r="A12633">
        <f>HYPERLINK("https://www.philgeps.gov.ph/GEPSNONPILOT/Tender/SplashBidNoticeAbstractUI.aspx?menuIndex=3&amp;refID=7021073&amp;Result=3","7021073")</f>
        <v>0</v>
      </c>
      <c r="B12633" t="s">
        <v>299</v>
      </c>
      <c r="C12633" t="s">
        <v>15278</v>
      </c>
      <c r="D12633" t="s">
        <v>18081</v>
      </c>
      <c r="E12633" t="s">
        <v>29043</v>
      </c>
      <c r="F12633" t="s">
        <v>31574</v>
      </c>
      <c r="G12633" t="s">
        <v>31582</v>
      </c>
      <c r="H12633" t="s">
        <v>31590</v>
      </c>
      <c r="I12633" t="s">
        <v>31615</v>
      </c>
      <c r="J12633" t="s">
        <v>39517</v>
      </c>
      <c r="K12633" t="s">
        <v>41186</v>
      </c>
      <c r="M12633" t="s">
        <v>41785</v>
      </c>
      <c r="N12633" t="s">
        <v>45095</v>
      </c>
      <c r="O12633" t="s">
        <v>45096</v>
      </c>
      <c r="P12633">
        <v>0</v>
      </c>
      <c r="Q12633">
        <v>1</v>
      </c>
      <c r="R12633" t="s">
        <v>45111</v>
      </c>
      <c r="S12633" t="s">
        <v>45694</v>
      </c>
      <c r="T12633" t="s">
        <v>47076</v>
      </c>
      <c r="U12633" t="s">
        <v>57759</v>
      </c>
      <c r="W12633" t="s">
        <v>41785</v>
      </c>
      <c r="X12633" t="s">
        <v>45112</v>
      </c>
    </row>
    <row r="12634" spans="1:24">
      <c r="A12634">
        <f>HYPERLINK("https://www.philgeps.gov.ph/GEPSNONPILOT/Tender/SplashBidNoticeAbstractUI.aspx?menuIndex=3&amp;refID=7021067&amp;Result=3","7021067")</f>
        <v>0</v>
      </c>
      <c r="B12634" t="s">
        <v>2427</v>
      </c>
      <c r="C12634" t="s">
        <v>15279</v>
      </c>
      <c r="D12634" t="s">
        <v>18052</v>
      </c>
      <c r="E12634" t="s">
        <v>29044</v>
      </c>
      <c r="F12634" t="s">
        <v>31574</v>
      </c>
      <c r="G12634" t="s">
        <v>31582</v>
      </c>
      <c r="H12634" t="s">
        <v>31590</v>
      </c>
      <c r="I12634" t="s">
        <v>31605</v>
      </c>
      <c r="J12634" t="s">
        <v>32473</v>
      </c>
      <c r="K12634" t="s">
        <v>41192</v>
      </c>
      <c r="M12634" t="s">
        <v>44154</v>
      </c>
      <c r="N12634" t="s">
        <v>45095</v>
      </c>
      <c r="O12634" t="s">
        <v>45096</v>
      </c>
      <c r="P12634">
        <v>0</v>
      </c>
      <c r="Q12634">
        <v>4</v>
      </c>
      <c r="R12634" t="s">
        <v>45111</v>
      </c>
      <c r="S12634" t="s">
        <v>45694</v>
      </c>
      <c r="T12634" t="s">
        <v>46914</v>
      </c>
      <c r="U12634" t="s">
        <v>57647</v>
      </c>
      <c r="V12634" t="s">
        <v>60748</v>
      </c>
      <c r="W12634" t="s">
        <v>44154</v>
      </c>
      <c r="X12634" t="s">
        <v>45112</v>
      </c>
    </row>
    <row r="12635" spans="1:24">
      <c r="A12635">
        <f>HYPERLINK("https://www.philgeps.gov.ph/GEPSNONPILOT/Tender/SplashBidNoticeAbstractUI.aspx?menuIndex=3&amp;refID=7021036&amp;Result=3","7021036")</f>
        <v>0</v>
      </c>
      <c r="B12635" t="s">
        <v>2967</v>
      </c>
      <c r="C12635" t="s">
        <v>15280</v>
      </c>
      <c r="E12635" t="s">
        <v>24629</v>
      </c>
      <c r="F12635" t="s">
        <v>31574</v>
      </c>
      <c r="G12635" t="s">
        <v>31582</v>
      </c>
      <c r="H12635" t="s">
        <v>31590</v>
      </c>
      <c r="I12635" t="s">
        <v>6800</v>
      </c>
      <c r="J12635" t="s">
        <v>39518</v>
      </c>
      <c r="K12635" t="s">
        <v>41184</v>
      </c>
      <c r="M12635" t="s">
        <v>44788</v>
      </c>
      <c r="N12635" t="s">
        <v>45095</v>
      </c>
      <c r="O12635" t="s">
        <v>45096</v>
      </c>
      <c r="Q12635">
        <v>7</v>
      </c>
      <c r="R12635" t="s">
        <v>45111</v>
      </c>
      <c r="S12635" t="s">
        <v>45746</v>
      </c>
      <c r="T12635" t="s">
        <v>46979</v>
      </c>
      <c r="U12635" t="s">
        <v>57760</v>
      </c>
      <c r="W12635" t="s">
        <v>44788</v>
      </c>
      <c r="X12635" t="s">
        <v>45112</v>
      </c>
    </row>
    <row r="12636" spans="1:24">
      <c r="A12636">
        <f>HYPERLINK("https://www.philgeps.gov.ph/GEPSNONPILOT/Tender/SplashBidNoticeAbstractUI.aspx?menuIndex=3&amp;refID=7021040&amp;Result=3","7021040")</f>
        <v>0</v>
      </c>
      <c r="B12636" t="s">
        <v>362</v>
      </c>
      <c r="C12636" t="s">
        <v>15281</v>
      </c>
      <c r="D12636" t="s">
        <v>18068</v>
      </c>
      <c r="E12636" t="s">
        <v>29045</v>
      </c>
      <c r="F12636" t="s">
        <v>31574</v>
      </c>
      <c r="G12636" t="s">
        <v>31582</v>
      </c>
      <c r="H12636" t="s">
        <v>31590</v>
      </c>
      <c r="I12636" t="s">
        <v>31631</v>
      </c>
      <c r="J12636" t="s">
        <v>39519</v>
      </c>
      <c r="K12636" t="s">
        <v>41196</v>
      </c>
      <c r="M12636" t="s">
        <v>41852</v>
      </c>
      <c r="N12636" t="s">
        <v>45095</v>
      </c>
      <c r="O12636" t="s">
        <v>45096</v>
      </c>
      <c r="P12636">
        <v>0</v>
      </c>
      <c r="Q12636">
        <v>1</v>
      </c>
      <c r="R12636" t="s">
        <v>45111</v>
      </c>
      <c r="S12636" t="s">
        <v>45694</v>
      </c>
      <c r="T12636" t="s">
        <v>46979</v>
      </c>
      <c r="U12636" t="s">
        <v>57761</v>
      </c>
      <c r="W12636" t="s">
        <v>41852</v>
      </c>
      <c r="X12636" t="s">
        <v>45112</v>
      </c>
    </row>
    <row r="12637" spans="1:24">
      <c r="A12637">
        <f>HYPERLINK("https://www.philgeps.gov.ph/GEPSNONPILOT/Tender/SplashBidNoticeAbstractUI.aspx?menuIndex=3&amp;refID=7021086&amp;Result=3","7021086")</f>
        <v>0</v>
      </c>
      <c r="B12637" t="s">
        <v>1586</v>
      </c>
      <c r="C12637" t="s">
        <v>15282</v>
      </c>
      <c r="E12637" t="s">
        <v>29046</v>
      </c>
      <c r="F12637" t="s">
        <v>31574</v>
      </c>
      <c r="G12637" t="s">
        <v>31582</v>
      </c>
      <c r="H12637" t="s">
        <v>31590</v>
      </c>
      <c r="I12637" t="s">
        <v>31608</v>
      </c>
      <c r="J12637" t="s">
        <v>32076</v>
      </c>
      <c r="K12637" t="s">
        <v>41184</v>
      </c>
      <c r="M12637" t="s">
        <v>44119</v>
      </c>
      <c r="N12637" t="s">
        <v>45095</v>
      </c>
      <c r="O12637" t="s">
        <v>45096</v>
      </c>
      <c r="P12637">
        <v>0</v>
      </c>
      <c r="Q12637">
        <v>17</v>
      </c>
      <c r="R12637" t="s">
        <v>45111</v>
      </c>
      <c r="S12637" t="s">
        <v>45694</v>
      </c>
      <c r="T12637" t="s">
        <v>47223</v>
      </c>
      <c r="U12637" t="s">
        <v>57762</v>
      </c>
      <c r="V12637" t="s">
        <v>61228</v>
      </c>
      <c r="W12637" t="s">
        <v>61763</v>
      </c>
      <c r="X12637" t="s">
        <v>45112</v>
      </c>
    </row>
    <row r="12638" spans="1:24">
      <c r="A12638">
        <f>HYPERLINK("https://www.philgeps.gov.ph/GEPSNONPILOT/Tender/SplashBidNoticeAbstractUI.aspx?menuIndex=3&amp;refID=7021052&amp;Result=3","7021052")</f>
        <v>0</v>
      </c>
      <c r="B12638" t="s">
        <v>273</v>
      </c>
      <c r="C12638" t="s">
        <v>15283</v>
      </c>
      <c r="D12638" t="s">
        <v>18046</v>
      </c>
      <c r="E12638" t="s">
        <v>29047</v>
      </c>
      <c r="F12638" t="s">
        <v>31574</v>
      </c>
      <c r="G12638" t="s">
        <v>31582</v>
      </c>
      <c r="H12638" t="s">
        <v>31590</v>
      </c>
      <c r="I12638" t="s">
        <v>31605</v>
      </c>
      <c r="J12638" t="s">
        <v>38057</v>
      </c>
      <c r="K12638" t="s">
        <v>41190</v>
      </c>
      <c r="M12638" t="s">
        <v>41759</v>
      </c>
      <c r="N12638" t="s">
        <v>45095</v>
      </c>
      <c r="O12638" t="s">
        <v>45096</v>
      </c>
      <c r="P12638">
        <v>0</v>
      </c>
      <c r="Q12638">
        <v>1</v>
      </c>
      <c r="R12638" t="s">
        <v>45111</v>
      </c>
      <c r="S12638" t="s">
        <v>45694</v>
      </c>
      <c r="T12638" t="s">
        <v>46923</v>
      </c>
      <c r="U12638" t="s">
        <v>47993</v>
      </c>
      <c r="W12638" t="s">
        <v>41759</v>
      </c>
      <c r="X12638" t="s">
        <v>45112</v>
      </c>
    </row>
    <row r="12639" spans="1:24">
      <c r="A12639">
        <f>HYPERLINK("https://www.philgeps.gov.ph/GEPSNONPILOT/Tender/SplashBidNoticeAbstractUI.aspx?menuIndex=3&amp;refID=7021108&amp;Result=3","7021108")</f>
        <v>0</v>
      </c>
      <c r="B12639" t="s">
        <v>2968</v>
      </c>
      <c r="C12639" t="s">
        <v>15284</v>
      </c>
      <c r="D12639" t="s">
        <v>18076</v>
      </c>
      <c r="E12639" t="s">
        <v>29048</v>
      </c>
      <c r="F12639" t="s">
        <v>31574</v>
      </c>
      <c r="G12639" t="s">
        <v>31582</v>
      </c>
      <c r="H12639" t="s">
        <v>31591</v>
      </c>
      <c r="I12639" t="s">
        <v>8822</v>
      </c>
      <c r="J12639" t="s">
        <v>39520</v>
      </c>
      <c r="K12639" t="s">
        <v>41203</v>
      </c>
      <c r="L12639" t="s">
        <v>2968</v>
      </c>
      <c r="M12639" t="s">
        <v>44789</v>
      </c>
      <c r="N12639" t="s">
        <v>45095</v>
      </c>
      <c r="O12639" t="s">
        <v>45096</v>
      </c>
      <c r="P12639">
        <v>0</v>
      </c>
      <c r="Q12639">
        <v>0</v>
      </c>
      <c r="R12639" t="s">
        <v>45111</v>
      </c>
      <c r="S12639" t="s">
        <v>45694</v>
      </c>
      <c r="T12639" t="s">
        <v>46979</v>
      </c>
      <c r="U12639" t="s">
        <v>57763</v>
      </c>
      <c r="V12639" t="s">
        <v>61229</v>
      </c>
      <c r="W12639" t="s">
        <v>44789</v>
      </c>
      <c r="X12639" t="s">
        <v>45112</v>
      </c>
    </row>
    <row r="12640" spans="1:24">
      <c r="A12640">
        <f>HYPERLINK("https://www.philgeps.gov.ph/GEPSNONPILOT/Tender/SplashBidNoticeAbstractUI.aspx?menuIndex=3&amp;refID=7021048&amp;Result=3","7021048")</f>
        <v>0</v>
      </c>
      <c r="B12640" t="s">
        <v>1294</v>
      </c>
      <c r="C12640" t="s">
        <v>15285</v>
      </c>
      <c r="D12640" t="s">
        <v>18036</v>
      </c>
      <c r="E12640" t="s">
        <v>29049</v>
      </c>
      <c r="F12640" t="s">
        <v>31574</v>
      </c>
      <c r="G12640" t="s">
        <v>31582</v>
      </c>
      <c r="H12640" t="s">
        <v>31591</v>
      </c>
      <c r="I12640" t="s">
        <v>8822</v>
      </c>
      <c r="J12640" t="s">
        <v>34454</v>
      </c>
      <c r="K12640" t="s">
        <v>41260</v>
      </c>
      <c r="M12640" t="s">
        <v>42864</v>
      </c>
      <c r="N12640" t="s">
        <v>45095</v>
      </c>
      <c r="O12640" t="s">
        <v>45096</v>
      </c>
      <c r="P12640">
        <v>0</v>
      </c>
      <c r="Q12640">
        <v>0</v>
      </c>
      <c r="R12640" t="s">
        <v>45111</v>
      </c>
      <c r="S12640" t="s">
        <v>45694</v>
      </c>
      <c r="T12640" t="s">
        <v>46910</v>
      </c>
      <c r="U12640" t="s">
        <v>57764</v>
      </c>
      <c r="W12640" t="s">
        <v>42864</v>
      </c>
      <c r="X12640" t="s">
        <v>45112</v>
      </c>
    </row>
    <row r="12641" spans="1:24">
      <c r="A12641">
        <f>HYPERLINK("https://www.philgeps.gov.ph/GEPSNONPILOT/Tender/SplashBidNoticeAbstractUI.aspx?menuIndex=3&amp;refID=7021119&amp;Result=3","7021119")</f>
        <v>0</v>
      </c>
      <c r="B12641" t="s">
        <v>2968</v>
      </c>
      <c r="C12641" t="s">
        <v>15286</v>
      </c>
      <c r="D12641" t="s">
        <v>18076</v>
      </c>
      <c r="E12641" t="s">
        <v>29050</v>
      </c>
      <c r="F12641" t="s">
        <v>31574</v>
      </c>
      <c r="G12641" t="s">
        <v>31582</v>
      </c>
      <c r="H12641" t="s">
        <v>31591</v>
      </c>
      <c r="I12641" t="s">
        <v>8822</v>
      </c>
      <c r="J12641" t="s">
        <v>39521</v>
      </c>
      <c r="K12641" t="s">
        <v>41189</v>
      </c>
      <c r="L12641" t="s">
        <v>2968</v>
      </c>
      <c r="M12641" t="s">
        <v>44789</v>
      </c>
      <c r="N12641" t="s">
        <v>45095</v>
      </c>
      <c r="O12641" t="s">
        <v>45096</v>
      </c>
      <c r="P12641">
        <v>0</v>
      </c>
      <c r="Q12641">
        <v>0</v>
      </c>
      <c r="R12641" t="s">
        <v>45111</v>
      </c>
      <c r="S12641" t="s">
        <v>45694</v>
      </c>
      <c r="T12641" t="s">
        <v>46979</v>
      </c>
      <c r="U12641" t="s">
        <v>57765</v>
      </c>
      <c r="V12641" t="s">
        <v>61230</v>
      </c>
      <c r="W12641" t="s">
        <v>44789</v>
      </c>
      <c r="X12641" t="s">
        <v>45112</v>
      </c>
    </row>
    <row r="12642" spans="1:24">
      <c r="A12642">
        <f>HYPERLINK("https://www.philgeps.gov.ph/GEPSNONPILOT/Tender/SplashBidNoticeAbstractUI.aspx?menuIndex=3&amp;refID=7021047&amp;Result=3","7021047")</f>
        <v>0</v>
      </c>
      <c r="B12642" t="s">
        <v>1118</v>
      </c>
      <c r="C12642" t="s">
        <v>15287</v>
      </c>
      <c r="D12642" t="s">
        <v>18079</v>
      </c>
      <c r="E12642" t="s">
        <v>29051</v>
      </c>
      <c r="F12642" t="s">
        <v>31574</v>
      </c>
      <c r="G12642" t="s">
        <v>31582</v>
      </c>
      <c r="H12642" t="s">
        <v>31590</v>
      </c>
      <c r="I12642" t="s">
        <v>4046</v>
      </c>
      <c r="J12642" t="s">
        <v>39522</v>
      </c>
      <c r="K12642" t="s">
        <v>41186</v>
      </c>
      <c r="M12642" t="s">
        <v>42667</v>
      </c>
      <c r="N12642" t="s">
        <v>45095</v>
      </c>
      <c r="O12642" t="s">
        <v>45096</v>
      </c>
      <c r="P12642">
        <v>0</v>
      </c>
      <c r="Q12642">
        <v>2</v>
      </c>
      <c r="R12642" t="s">
        <v>45111</v>
      </c>
      <c r="S12642" t="s">
        <v>45694</v>
      </c>
      <c r="T12642" t="s">
        <v>46926</v>
      </c>
      <c r="U12642" t="s">
        <v>57766</v>
      </c>
      <c r="V12642" t="s">
        <v>61231</v>
      </c>
      <c r="W12642" t="s">
        <v>42667</v>
      </c>
      <c r="X12642" t="s">
        <v>45112</v>
      </c>
    </row>
    <row r="12643" spans="1:24">
      <c r="A12643">
        <f>HYPERLINK("https://www.philgeps.gov.ph/GEPSNONPILOT/Tender/SplashBidNoticeAbstractUI.aspx?menuIndex=3&amp;refID=7021110&amp;Result=3","7021110")</f>
        <v>0</v>
      </c>
      <c r="B12643" t="s">
        <v>1118</v>
      </c>
      <c r="C12643" t="s">
        <v>15288</v>
      </c>
      <c r="D12643" t="s">
        <v>18079</v>
      </c>
      <c r="E12643" t="s">
        <v>29052</v>
      </c>
      <c r="F12643" t="s">
        <v>31574</v>
      </c>
      <c r="G12643" t="s">
        <v>31582</v>
      </c>
      <c r="H12643" t="s">
        <v>31590</v>
      </c>
      <c r="I12643" t="s">
        <v>31614</v>
      </c>
      <c r="J12643" t="s">
        <v>37680</v>
      </c>
      <c r="K12643" t="s">
        <v>41189</v>
      </c>
      <c r="M12643" t="s">
        <v>42667</v>
      </c>
      <c r="N12643" t="s">
        <v>45095</v>
      </c>
      <c r="O12643" t="s">
        <v>45096</v>
      </c>
      <c r="P12643">
        <v>0</v>
      </c>
      <c r="Q12643">
        <v>6</v>
      </c>
      <c r="R12643" t="s">
        <v>45111</v>
      </c>
      <c r="S12643" t="s">
        <v>45694</v>
      </c>
      <c r="T12643" t="s">
        <v>46926</v>
      </c>
      <c r="U12643" t="s">
        <v>57767</v>
      </c>
      <c r="V12643" t="s">
        <v>61232</v>
      </c>
      <c r="W12643" t="s">
        <v>42667</v>
      </c>
      <c r="X12643" t="s">
        <v>45112</v>
      </c>
    </row>
    <row r="12644" spans="1:24">
      <c r="A12644">
        <f>HYPERLINK("https://www.philgeps.gov.ph/GEPSNONPILOT/Tender/SplashBidNoticeAbstractUI.aspx?menuIndex=3&amp;refID=7021142&amp;Result=3","7021142")</f>
        <v>0</v>
      </c>
      <c r="B12644" t="s">
        <v>575</v>
      </c>
      <c r="C12644" t="s">
        <v>15289</v>
      </c>
      <c r="D12644" t="s">
        <v>18027</v>
      </c>
      <c r="E12644" t="s">
        <v>29053</v>
      </c>
      <c r="F12644" t="s">
        <v>31574</v>
      </c>
      <c r="G12644" t="s">
        <v>31582</v>
      </c>
      <c r="H12644" t="s">
        <v>31590</v>
      </c>
      <c r="I12644" t="s">
        <v>3487</v>
      </c>
      <c r="J12644" t="s">
        <v>39523</v>
      </c>
      <c r="K12644" t="s">
        <v>41184</v>
      </c>
      <c r="M12644" t="s">
        <v>42076</v>
      </c>
      <c r="N12644" t="s">
        <v>45095</v>
      </c>
      <c r="O12644" t="s">
        <v>45096</v>
      </c>
      <c r="P12644">
        <v>0</v>
      </c>
      <c r="Q12644">
        <v>1</v>
      </c>
      <c r="R12644" t="s">
        <v>45111</v>
      </c>
      <c r="S12644" t="s">
        <v>45694</v>
      </c>
      <c r="T12644" t="s">
        <v>47056</v>
      </c>
      <c r="U12644" t="s">
        <v>57768</v>
      </c>
      <c r="W12644" t="s">
        <v>42076</v>
      </c>
      <c r="X12644" t="s">
        <v>45112</v>
      </c>
    </row>
    <row r="12645" spans="1:24">
      <c r="A12645">
        <f>HYPERLINK("https://www.philgeps.gov.ph/GEPSNONPILOT/Tender/SplashBidNoticeAbstractUI.aspx?menuIndex=3&amp;refID=7021152&amp;Result=3","7021152")</f>
        <v>0</v>
      </c>
      <c r="B12645" t="s">
        <v>797</v>
      </c>
      <c r="C12645" t="s">
        <v>15290</v>
      </c>
      <c r="D12645" t="s">
        <v>18056</v>
      </c>
      <c r="E12645" t="s">
        <v>29054</v>
      </c>
      <c r="F12645" t="s">
        <v>31574</v>
      </c>
      <c r="G12645" t="s">
        <v>31582</v>
      </c>
      <c r="H12645" t="s">
        <v>31591</v>
      </c>
      <c r="I12645" t="s">
        <v>8822</v>
      </c>
      <c r="J12645" t="s">
        <v>39524</v>
      </c>
      <c r="K12645" t="s">
        <v>41256</v>
      </c>
      <c r="M12645" t="s">
        <v>42325</v>
      </c>
      <c r="N12645" t="s">
        <v>45095</v>
      </c>
      <c r="O12645" t="s">
        <v>45096</v>
      </c>
      <c r="Q12645">
        <v>11</v>
      </c>
      <c r="R12645" t="s">
        <v>45111</v>
      </c>
      <c r="S12645" t="s">
        <v>45747</v>
      </c>
      <c r="T12645" t="s">
        <v>47023</v>
      </c>
      <c r="U12645" t="s">
        <v>57769</v>
      </c>
      <c r="V12645" t="s">
        <v>60050</v>
      </c>
      <c r="W12645" t="s">
        <v>42325</v>
      </c>
      <c r="X12645" t="s">
        <v>45112</v>
      </c>
    </row>
    <row r="12646" spans="1:24">
      <c r="A12646">
        <f>HYPERLINK("https://www.philgeps.gov.ph/GEPSNONPILOT/Tender/SplashBidNoticeAbstractUI.aspx?menuIndex=3&amp;refID=7021132&amp;Result=3","7021132")</f>
        <v>0</v>
      </c>
      <c r="B12646" t="s">
        <v>2969</v>
      </c>
      <c r="C12646" t="s">
        <v>15291</v>
      </c>
      <c r="D12646" t="s">
        <v>18095</v>
      </c>
      <c r="E12646" t="s">
        <v>18626</v>
      </c>
      <c r="F12646" t="s">
        <v>31574</v>
      </c>
      <c r="G12646" t="s">
        <v>31582</v>
      </c>
      <c r="H12646" t="s">
        <v>31591</v>
      </c>
      <c r="I12646" t="s">
        <v>31627</v>
      </c>
      <c r="J12646" t="s">
        <v>39525</v>
      </c>
      <c r="K12646" t="s">
        <v>41198</v>
      </c>
      <c r="M12646" t="s">
        <v>44790</v>
      </c>
      <c r="N12646" t="s">
        <v>45095</v>
      </c>
      <c r="O12646" t="s">
        <v>45096</v>
      </c>
      <c r="Q12646">
        <v>0</v>
      </c>
      <c r="R12646" t="s">
        <v>45111</v>
      </c>
      <c r="S12646" t="s">
        <v>45748</v>
      </c>
      <c r="T12646" t="s">
        <v>46955</v>
      </c>
      <c r="U12646" t="s">
        <v>57770</v>
      </c>
      <c r="W12646" t="s">
        <v>44790</v>
      </c>
      <c r="X12646" t="s">
        <v>45112</v>
      </c>
    </row>
    <row r="12647" spans="1:24">
      <c r="A12647">
        <f>HYPERLINK("https://www.philgeps.gov.ph/GEPSNONPILOT/Tender/SplashBidNoticeAbstractUI.aspx?menuIndex=3&amp;refID=7021128&amp;Result=3","7021128")</f>
        <v>0</v>
      </c>
      <c r="B12647" t="s">
        <v>1586</v>
      </c>
      <c r="C12647" t="s">
        <v>15292</v>
      </c>
      <c r="E12647" t="s">
        <v>29055</v>
      </c>
      <c r="F12647" t="s">
        <v>31574</v>
      </c>
      <c r="G12647" t="s">
        <v>31582</v>
      </c>
      <c r="H12647" t="s">
        <v>31590</v>
      </c>
      <c r="I12647" t="s">
        <v>31608</v>
      </c>
      <c r="J12647" t="s">
        <v>39526</v>
      </c>
      <c r="K12647" t="s">
        <v>41184</v>
      </c>
      <c r="M12647" t="s">
        <v>43190</v>
      </c>
      <c r="N12647" t="s">
        <v>45095</v>
      </c>
      <c r="O12647" t="s">
        <v>45096</v>
      </c>
      <c r="P12647">
        <v>0</v>
      </c>
      <c r="Q12647">
        <v>19</v>
      </c>
      <c r="R12647" t="s">
        <v>45111</v>
      </c>
      <c r="S12647" t="s">
        <v>45694</v>
      </c>
      <c r="T12647" t="s">
        <v>47223</v>
      </c>
      <c r="U12647" t="s">
        <v>57771</v>
      </c>
      <c r="V12647" t="s">
        <v>61226</v>
      </c>
      <c r="W12647" t="s">
        <v>61763</v>
      </c>
      <c r="X12647" t="s">
        <v>45112</v>
      </c>
    </row>
    <row r="12648" spans="1:24">
      <c r="A12648">
        <f>HYPERLINK("https://www.philgeps.gov.ph/GEPSNONPILOT/Tender/SplashBidNoticeAbstractUI.aspx?menuIndex=3&amp;refID=7021151&amp;Result=3","7021151")</f>
        <v>0</v>
      </c>
      <c r="B12648" t="s">
        <v>2485</v>
      </c>
      <c r="C12648" t="s">
        <v>15293</v>
      </c>
      <c r="D12648" t="s">
        <v>18084</v>
      </c>
      <c r="E12648" t="s">
        <v>29056</v>
      </c>
      <c r="F12648" t="s">
        <v>31574</v>
      </c>
      <c r="G12648" t="s">
        <v>31582</v>
      </c>
      <c r="H12648" t="s">
        <v>31591</v>
      </c>
      <c r="I12648" t="s">
        <v>8822</v>
      </c>
      <c r="J12648" t="s">
        <v>39527</v>
      </c>
      <c r="K12648" t="s">
        <v>41198</v>
      </c>
      <c r="M12648" t="s">
        <v>44216</v>
      </c>
      <c r="N12648" t="s">
        <v>45095</v>
      </c>
      <c r="O12648" t="s">
        <v>45096</v>
      </c>
      <c r="P12648">
        <v>0</v>
      </c>
      <c r="Q12648">
        <v>13</v>
      </c>
      <c r="R12648" t="s">
        <v>45111</v>
      </c>
      <c r="S12648" t="s">
        <v>45694</v>
      </c>
      <c r="T12648" t="s">
        <v>46926</v>
      </c>
      <c r="U12648" t="s">
        <v>57772</v>
      </c>
      <c r="W12648" t="s">
        <v>61740</v>
      </c>
      <c r="X12648" t="s">
        <v>45112</v>
      </c>
    </row>
    <row r="12649" spans="1:24">
      <c r="A12649">
        <f>HYPERLINK("https://www.philgeps.gov.ph/GEPSNONPILOT/Tender/SplashBidNoticeAbstractUI.aspx?menuIndex=3&amp;refID=7021113&amp;Result=3","7021113")</f>
        <v>0</v>
      </c>
      <c r="B12649" t="s">
        <v>840</v>
      </c>
      <c r="C12649" t="s">
        <v>15294</v>
      </c>
      <c r="E12649" t="s">
        <v>29057</v>
      </c>
      <c r="F12649" t="s">
        <v>31574</v>
      </c>
      <c r="G12649" t="s">
        <v>31582</v>
      </c>
      <c r="H12649" t="s">
        <v>31592</v>
      </c>
      <c r="I12649" t="s">
        <v>31596</v>
      </c>
      <c r="J12649" t="s">
        <v>39528</v>
      </c>
      <c r="K12649" t="s">
        <v>41443</v>
      </c>
      <c r="M12649" t="s">
        <v>44707</v>
      </c>
      <c r="N12649" t="s">
        <v>45095</v>
      </c>
      <c r="O12649" t="s">
        <v>45096</v>
      </c>
      <c r="P12649">
        <v>0</v>
      </c>
      <c r="Q12649">
        <v>8</v>
      </c>
      <c r="R12649" t="s">
        <v>45111</v>
      </c>
      <c r="S12649" t="s">
        <v>45694</v>
      </c>
      <c r="T12649" t="s">
        <v>46955</v>
      </c>
      <c r="U12649" t="s">
        <v>57773</v>
      </c>
      <c r="W12649" t="s">
        <v>44707</v>
      </c>
      <c r="X12649" t="s">
        <v>45112</v>
      </c>
    </row>
    <row r="12650" spans="1:24">
      <c r="A12650">
        <f>HYPERLINK("https://www.philgeps.gov.ph/GEPSNONPILOT/Tender/SplashBidNoticeAbstractUI.aspx?menuIndex=3&amp;refID=7021054&amp;Result=3","7021054")</f>
        <v>0</v>
      </c>
      <c r="B12650" t="s">
        <v>2970</v>
      </c>
      <c r="C12650" t="s">
        <v>15295</v>
      </c>
      <c r="D12650" t="s">
        <v>18046</v>
      </c>
      <c r="E12650" t="s">
        <v>29058</v>
      </c>
      <c r="F12650" t="s">
        <v>31575</v>
      </c>
      <c r="G12650" t="s">
        <v>31582</v>
      </c>
      <c r="H12650" t="s">
        <v>31590</v>
      </c>
      <c r="I12650" t="s">
        <v>4046</v>
      </c>
      <c r="J12650" t="s">
        <v>39529</v>
      </c>
      <c r="K12650" t="s">
        <v>41191</v>
      </c>
      <c r="M12650" t="s">
        <v>44791</v>
      </c>
      <c r="N12650" t="s">
        <v>45095</v>
      </c>
      <c r="O12650" t="s">
        <v>45096</v>
      </c>
      <c r="P12650">
        <v>0</v>
      </c>
      <c r="Q12650">
        <v>3</v>
      </c>
      <c r="R12650" t="s">
        <v>45111</v>
      </c>
      <c r="S12650" t="s">
        <v>45694</v>
      </c>
      <c r="T12650" t="s">
        <v>47154</v>
      </c>
      <c r="U12650" t="s">
        <v>57774</v>
      </c>
      <c r="W12650" t="s">
        <v>44791</v>
      </c>
      <c r="X12650" t="s">
        <v>45112</v>
      </c>
    </row>
    <row r="12651" spans="1:24">
      <c r="A12651">
        <f>HYPERLINK("https://www.philgeps.gov.ph/GEPSNONPILOT/Tender/SplashBidNoticeAbstractUI.aspx?menuIndex=3&amp;refID=7021195&amp;Result=3","7021195")</f>
        <v>0</v>
      </c>
      <c r="B12651" t="s">
        <v>2145</v>
      </c>
      <c r="C12651" t="s">
        <v>15296</v>
      </c>
      <c r="D12651" t="s">
        <v>18034</v>
      </c>
      <c r="E12651" t="s">
        <v>29059</v>
      </c>
      <c r="F12651" t="s">
        <v>31574</v>
      </c>
      <c r="G12651" t="s">
        <v>31582</v>
      </c>
      <c r="H12651" t="s">
        <v>31591</v>
      </c>
      <c r="I12651" t="s">
        <v>8822</v>
      </c>
      <c r="J12651" t="s">
        <v>33574</v>
      </c>
      <c r="K12651" t="s">
        <v>41189</v>
      </c>
      <c r="M12651" t="s">
        <v>43827</v>
      </c>
      <c r="N12651" t="s">
        <v>45095</v>
      </c>
      <c r="O12651" t="s">
        <v>45096</v>
      </c>
      <c r="P12651">
        <v>0</v>
      </c>
      <c r="Q12651">
        <v>0</v>
      </c>
      <c r="R12651" t="s">
        <v>45111</v>
      </c>
      <c r="S12651" t="s">
        <v>45694</v>
      </c>
      <c r="T12651" t="s">
        <v>46932</v>
      </c>
      <c r="U12651" t="s">
        <v>57775</v>
      </c>
      <c r="V12651" t="s">
        <v>60620</v>
      </c>
      <c r="W12651" t="s">
        <v>43827</v>
      </c>
      <c r="X12651" t="s">
        <v>45112</v>
      </c>
    </row>
    <row r="12652" spans="1:24">
      <c r="A12652">
        <f>HYPERLINK("https://www.philgeps.gov.ph/GEPSNONPILOT/Tender/SplashBidNoticeAbstractUI.aspx?menuIndex=3&amp;refID=7021198&amp;Result=3","7021198")</f>
        <v>0</v>
      </c>
      <c r="B12652" t="s">
        <v>1868</v>
      </c>
      <c r="C12652" t="s">
        <v>15297</v>
      </c>
      <c r="D12652" t="s">
        <v>18079</v>
      </c>
      <c r="E12652" t="s">
        <v>29060</v>
      </c>
      <c r="F12652" t="s">
        <v>31574</v>
      </c>
      <c r="G12652" t="s">
        <v>31582</v>
      </c>
      <c r="H12652" t="s">
        <v>31590</v>
      </c>
      <c r="I12652" t="s">
        <v>4046</v>
      </c>
      <c r="J12652" t="s">
        <v>39530</v>
      </c>
      <c r="K12652" t="s">
        <v>41184</v>
      </c>
      <c r="M12652" t="s">
        <v>43507</v>
      </c>
      <c r="N12652" t="s">
        <v>45095</v>
      </c>
      <c r="O12652" t="s">
        <v>45096</v>
      </c>
      <c r="P12652">
        <v>0</v>
      </c>
      <c r="Q12652">
        <v>1</v>
      </c>
      <c r="R12652" t="s">
        <v>45111</v>
      </c>
      <c r="S12652" t="s">
        <v>45694</v>
      </c>
      <c r="T12652" t="s">
        <v>46932</v>
      </c>
      <c r="U12652" t="s">
        <v>57776</v>
      </c>
      <c r="W12652" t="s">
        <v>43507</v>
      </c>
      <c r="X12652" t="s">
        <v>45112</v>
      </c>
    </row>
    <row r="12653" spans="1:24">
      <c r="A12653">
        <f>HYPERLINK("https://www.philgeps.gov.ph/GEPSNONPILOT/Tender/SplashBidNoticeAbstractUI.aspx?menuIndex=3&amp;refID=7021126&amp;Result=3","7021126")</f>
        <v>0</v>
      </c>
      <c r="B12653" t="s">
        <v>575</v>
      </c>
      <c r="C12653" t="s">
        <v>13549</v>
      </c>
      <c r="D12653" t="s">
        <v>18027</v>
      </c>
      <c r="E12653" t="s">
        <v>29061</v>
      </c>
      <c r="F12653" t="s">
        <v>31574</v>
      </c>
      <c r="G12653" t="s">
        <v>31582</v>
      </c>
      <c r="H12653" t="s">
        <v>31590</v>
      </c>
      <c r="I12653" t="s">
        <v>31600</v>
      </c>
      <c r="J12653" t="s">
        <v>39531</v>
      </c>
      <c r="K12653" t="s">
        <v>41184</v>
      </c>
      <c r="M12653" t="s">
        <v>42076</v>
      </c>
      <c r="N12653" t="s">
        <v>45095</v>
      </c>
      <c r="O12653" t="s">
        <v>45096</v>
      </c>
      <c r="P12653">
        <v>0</v>
      </c>
      <c r="Q12653">
        <v>0</v>
      </c>
      <c r="R12653" t="s">
        <v>45111</v>
      </c>
      <c r="S12653" t="s">
        <v>45694</v>
      </c>
      <c r="T12653" t="s">
        <v>47056</v>
      </c>
      <c r="U12653" t="s">
        <v>57777</v>
      </c>
      <c r="W12653" t="s">
        <v>42076</v>
      </c>
      <c r="X12653" t="s">
        <v>45112</v>
      </c>
    </row>
    <row r="12654" spans="1:24">
      <c r="A12654">
        <f>HYPERLINK("https://www.philgeps.gov.ph/GEPSNONPILOT/Tender/SplashBidNoticeAbstractUI.aspx?menuIndex=3&amp;refID=7021184&amp;Result=3","7021184")</f>
        <v>0</v>
      </c>
      <c r="B12654" t="s">
        <v>309</v>
      </c>
      <c r="C12654" t="s">
        <v>15298</v>
      </c>
      <c r="D12654" t="s">
        <v>18074</v>
      </c>
      <c r="E12654" t="s">
        <v>29062</v>
      </c>
      <c r="F12654" t="s">
        <v>31574</v>
      </c>
      <c r="G12654" t="s">
        <v>31582</v>
      </c>
      <c r="H12654" t="s">
        <v>31591</v>
      </c>
      <c r="I12654" t="s">
        <v>8822</v>
      </c>
      <c r="J12654" t="s">
        <v>39532</v>
      </c>
      <c r="K12654" t="s">
        <v>41184</v>
      </c>
      <c r="M12654" t="s">
        <v>41795</v>
      </c>
      <c r="N12654" t="s">
        <v>45095</v>
      </c>
      <c r="O12654" t="s">
        <v>45096</v>
      </c>
      <c r="P12654">
        <v>0</v>
      </c>
      <c r="Q12654">
        <v>0</v>
      </c>
      <c r="R12654" t="s">
        <v>45111</v>
      </c>
      <c r="S12654" t="s">
        <v>45694</v>
      </c>
      <c r="T12654" t="s">
        <v>46991</v>
      </c>
      <c r="U12654" t="s">
        <v>57778</v>
      </c>
      <c r="W12654" t="s">
        <v>41795</v>
      </c>
      <c r="X12654" t="s">
        <v>45112</v>
      </c>
    </row>
    <row r="12655" spans="1:24">
      <c r="A12655">
        <f>HYPERLINK("https://www.philgeps.gov.ph/GEPSNONPILOT/Tender/SplashBidNoticeAbstractUI.aspx?menuIndex=3&amp;refID=7021192&amp;Result=3","7021192")</f>
        <v>0</v>
      </c>
      <c r="B12655" t="s">
        <v>1888</v>
      </c>
      <c r="C12655" t="s">
        <v>15299</v>
      </c>
      <c r="D12655" t="s">
        <v>18040</v>
      </c>
      <c r="E12655" t="s">
        <v>15299</v>
      </c>
      <c r="F12655" t="s">
        <v>31574</v>
      </c>
      <c r="G12655" t="s">
        <v>31581</v>
      </c>
      <c r="H12655" t="s">
        <v>31590</v>
      </c>
      <c r="I12655" t="s">
        <v>4046</v>
      </c>
      <c r="J12655" t="s">
        <v>39533</v>
      </c>
      <c r="K12655" t="s">
        <v>41191</v>
      </c>
      <c r="M12655" t="s">
        <v>43531</v>
      </c>
      <c r="N12655" t="s">
        <v>45095</v>
      </c>
      <c r="O12655" t="s">
        <v>45096</v>
      </c>
      <c r="P12655">
        <v>0</v>
      </c>
      <c r="Q12655">
        <v>1</v>
      </c>
      <c r="R12655" t="s">
        <v>45111</v>
      </c>
      <c r="S12655" t="s">
        <v>45694</v>
      </c>
      <c r="T12655" t="s">
        <v>46926</v>
      </c>
      <c r="U12655" t="s">
        <v>57387</v>
      </c>
      <c r="W12655" t="s">
        <v>43531</v>
      </c>
      <c r="X12655" t="s">
        <v>45112</v>
      </c>
    </row>
    <row r="12656" spans="1:24">
      <c r="A12656">
        <f>HYPERLINK("https://www.philgeps.gov.ph/GEPSNONPILOT/Tender/SplashBidNoticeAbstractUI.aspx?menuIndex=3&amp;refID=7021162&amp;Result=3","7021162")</f>
        <v>0</v>
      </c>
      <c r="B12656" t="s">
        <v>751</v>
      </c>
      <c r="C12656" t="s">
        <v>15300</v>
      </c>
      <c r="D12656" t="s">
        <v>18065</v>
      </c>
      <c r="E12656" t="s">
        <v>29063</v>
      </c>
      <c r="F12656" t="s">
        <v>31574</v>
      </c>
      <c r="G12656" t="s">
        <v>31582</v>
      </c>
      <c r="H12656" t="s">
        <v>31590</v>
      </c>
      <c r="I12656" t="s">
        <v>8822</v>
      </c>
      <c r="J12656" t="s">
        <v>31935</v>
      </c>
      <c r="K12656" t="s">
        <v>41189</v>
      </c>
      <c r="M12656" t="s">
        <v>42265</v>
      </c>
      <c r="N12656" t="s">
        <v>45095</v>
      </c>
      <c r="O12656" t="s">
        <v>45096</v>
      </c>
      <c r="P12656">
        <v>0</v>
      </c>
      <c r="Q12656">
        <v>0</v>
      </c>
      <c r="R12656" t="s">
        <v>45111</v>
      </c>
      <c r="S12656" t="s">
        <v>45694</v>
      </c>
      <c r="T12656" t="s">
        <v>46917</v>
      </c>
      <c r="U12656" t="s">
        <v>57779</v>
      </c>
      <c r="W12656" t="s">
        <v>42265</v>
      </c>
      <c r="X12656" t="s">
        <v>45112</v>
      </c>
    </row>
    <row r="12657" spans="1:24">
      <c r="A12657">
        <f>HYPERLINK("https://www.philgeps.gov.ph/GEPSNONPILOT/Tender/SplashBidNoticeAbstractUI.aspx?menuIndex=3&amp;refID=7021163&amp;Result=3","7021163")</f>
        <v>0</v>
      </c>
      <c r="B12657" t="s">
        <v>495</v>
      </c>
      <c r="C12657" t="s">
        <v>15301</v>
      </c>
      <c r="D12657" t="s">
        <v>18099</v>
      </c>
      <c r="E12657" t="s">
        <v>29064</v>
      </c>
      <c r="F12657" t="s">
        <v>31574</v>
      </c>
      <c r="G12657" t="s">
        <v>31582</v>
      </c>
      <c r="H12657" t="s">
        <v>31591</v>
      </c>
      <c r="I12657" t="s">
        <v>8822</v>
      </c>
      <c r="J12657" t="s">
        <v>39534</v>
      </c>
      <c r="K12657" t="s">
        <v>41245</v>
      </c>
      <c r="M12657" t="s">
        <v>44169</v>
      </c>
      <c r="N12657" t="s">
        <v>45095</v>
      </c>
      <c r="O12657" t="s">
        <v>45096</v>
      </c>
      <c r="P12657">
        <v>0</v>
      </c>
      <c r="Q12657">
        <v>0</v>
      </c>
      <c r="R12657" t="s">
        <v>45111</v>
      </c>
      <c r="S12657" t="s">
        <v>45694</v>
      </c>
      <c r="T12657" t="s">
        <v>46920</v>
      </c>
      <c r="U12657" t="s">
        <v>57780</v>
      </c>
      <c r="W12657" t="s">
        <v>44169</v>
      </c>
      <c r="X12657" t="s">
        <v>45112</v>
      </c>
    </row>
    <row r="12658" spans="1:24">
      <c r="A12658">
        <f>HYPERLINK("https://www.philgeps.gov.ph/GEPSNONPILOT/Tender/SplashBidNoticeAbstractUI.aspx?menuIndex=3&amp;refID=7021197&amp;Result=3","7021197")</f>
        <v>0</v>
      </c>
      <c r="B12658" t="s">
        <v>1591</v>
      </c>
      <c r="C12658" t="s">
        <v>15302</v>
      </c>
      <c r="D12658" t="s">
        <v>18058</v>
      </c>
      <c r="E12658" t="s">
        <v>29065</v>
      </c>
      <c r="F12658" t="s">
        <v>31574</v>
      </c>
      <c r="G12658" t="s">
        <v>31582</v>
      </c>
      <c r="H12658" t="s">
        <v>31591</v>
      </c>
      <c r="I12658" t="s">
        <v>8822</v>
      </c>
      <c r="J12658" t="s">
        <v>39535</v>
      </c>
      <c r="K12658" t="s">
        <v>41285</v>
      </c>
      <c r="M12658" t="s">
        <v>43195</v>
      </c>
      <c r="N12658" t="s">
        <v>45095</v>
      </c>
      <c r="O12658" t="s">
        <v>45096</v>
      </c>
      <c r="P12658">
        <v>0</v>
      </c>
      <c r="Q12658">
        <v>1</v>
      </c>
      <c r="R12658" t="s">
        <v>45111</v>
      </c>
      <c r="S12658" t="s">
        <v>45694</v>
      </c>
      <c r="T12658" t="s">
        <v>46922</v>
      </c>
      <c r="U12658" t="s">
        <v>57781</v>
      </c>
      <c r="V12658" t="s">
        <v>60356</v>
      </c>
      <c r="W12658" t="s">
        <v>44764</v>
      </c>
      <c r="X12658" t="s">
        <v>45112</v>
      </c>
    </row>
    <row r="12659" spans="1:24">
      <c r="A12659">
        <f>HYPERLINK("https://www.philgeps.gov.ph/GEPSNONPILOT/Tender/SplashBidNoticeAbstractUI.aspx?menuIndex=3&amp;refID=7021244&amp;Result=3","7021244")</f>
        <v>0</v>
      </c>
      <c r="B12659" t="s">
        <v>495</v>
      </c>
      <c r="C12659" t="s">
        <v>15303</v>
      </c>
      <c r="D12659" t="s">
        <v>18099</v>
      </c>
      <c r="E12659" t="s">
        <v>29066</v>
      </c>
      <c r="F12659" t="s">
        <v>31574</v>
      </c>
      <c r="G12659" t="s">
        <v>31582</v>
      </c>
      <c r="H12659" t="s">
        <v>31591</v>
      </c>
      <c r="I12659" t="s">
        <v>8822</v>
      </c>
      <c r="J12659" t="s">
        <v>39536</v>
      </c>
      <c r="K12659" t="s">
        <v>41317</v>
      </c>
      <c r="M12659" t="s">
        <v>44169</v>
      </c>
      <c r="N12659" t="s">
        <v>45095</v>
      </c>
      <c r="O12659" t="s">
        <v>45096</v>
      </c>
      <c r="P12659">
        <v>0</v>
      </c>
      <c r="Q12659">
        <v>0</v>
      </c>
      <c r="R12659" t="s">
        <v>45111</v>
      </c>
      <c r="S12659" t="s">
        <v>45694</v>
      </c>
      <c r="T12659" t="s">
        <v>46920</v>
      </c>
      <c r="U12659" t="s">
        <v>57780</v>
      </c>
      <c r="W12659" t="s">
        <v>44169</v>
      </c>
      <c r="X12659" t="s">
        <v>45112</v>
      </c>
    </row>
    <row r="12660" spans="1:24">
      <c r="A12660">
        <f>HYPERLINK("https://www.philgeps.gov.ph/GEPSNONPILOT/Tender/SplashBidNoticeAbstractUI.aspx?menuIndex=3&amp;refID=7021241&amp;Result=3","7021241")</f>
        <v>0</v>
      </c>
      <c r="B12660" t="s">
        <v>1872</v>
      </c>
      <c r="C12660" t="s">
        <v>15304</v>
      </c>
      <c r="D12660" t="s">
        <v>18095</v>
      </c>
      <c r="E12660" t="s">
        <v>29067</v>
      </c>
      <c r="F12660" t="s">
        <v>31574</v>
      </c>
      <c r="G12660" t="s">
        <v>31582</v>
      </c>
      <c r="H12660" t="s">
        <v>31590</v>
      </c>
      <c r="I12660" t="s">
        <v>31620</v>
      </c>
      <c r="J12660" t="s">
        <v>39537</v>
      </c>
      <c r="K12660" t="s">
        <v>41186</v>
      </c>
      <c r="M12660" t="s">
        <v>43512</v>
      </c>
      <c r="N12660" t="s">
        <v>45095</v>
      </c>
      <c r="O12660" t="s">
        <v>45096</v>
      </c>
      <c r="P12660">
        <v>0</v>
      </c>
      <c r="Q12660">
        <v>13</v>
      </c>
      <c r="R12660" t="s">
        <v>45111</v>
      </c>
      <c r="S12660" t="s">
        <v>45694</v>
      </c>
      <c r="T12660" t="s">
        <v>47176</v>
      </c>
      <c r="U12660" t="s">
        <v>57782</v>
      </c>
      <c r="W12660" t="s">
        <v>43512</v>
      </c>
      <c r="X12660" t="s">
        <v>45112</v>
      </c>
    </row>
    <row r="12661" spans="1:24">
      <c r="A12661">
        <f>HYPERLINK("https://www.philgeps.gov.ph/GEPSNONPILOT/Tender/SplashBidNoticeAbstractUI.aspx?menuIndex=3&amp;refID=7021247&amp;Result=3","7021247")</f>
        <v>0</v>
      </c>
      <c r="B12661" t="s">
        <v>1888</v>
      </c>
      <c r="C12661" t="s">
        <v>15305</v>
      </c>
      <c r="D12661" t="s">
        <v>18040</v>
      </c>
      <c r="E12661" t="s">
        <v>15305</v>
      </c>
      <c r="F12661" t="s">
        <v>31574</v>
      </c>
      <c r="G12661" t="s">
        <v>31581</v>
      </c>
      <c r="H12661" t="s">
        <v>31590</v>
      </c>
      <c r="I12661" t="s">
        <v>4046</v>
      </c>
      <c r="J12661" t="s">
        <v>39538</v>
      </c>
      <c r="K12661" t="s">
        <v>41215</v>
      </c>
      <c r="M12661" t="s">
        <v>43531</v>
      </c>
      <c r="N12661" t="s">
        <v>45095</v>
      </c>
      <c r="O12661" t="s">
        <v>45096</v>
      </c>
      <c r="P12661">
        <v>0</v>
      </c>
      <c r="Q12661">
        <v>1</v>
      </c>
      <c r="R12661" t="s">
        <v>45111</v>
      </c>
      <c r="S12661" t="s">
        <v>45694</v>
      </c>
      <c r="T12661" t="s">
        <v>46926</v>
      </c>
      <c r="U12661" t="s">
        <v>57387</v>
      </c>
      <c r="W12661" t="s">
        <v>43531</v>
      </c>
      <c r="X12661" t="s">
        <v>45112</v>
      </c>
    </row>
    <row r="12662" spans="1:24">
      <c r="A12662">
        <f>HYPERLINK("https://www.philgeps.gov.ph/GEPSNONPILOT/Tender/SplashBidNoticeAbstractUI.aspx?menuIndex=3&amp;refID=7021177&amp;Result=3","7021177")</f>
        <v>0</v>
      </c>
      <c r="B12662" t="s">
        <v>575</v>
      </c>
      <c r="C12662" t="s">
        <v>15306</v>
      </c>
      <c r="D12662" t="s">
        <v>18027</v>
      </c>
      <c r="E12662" t="s">
        <v>29068</v>
      </c>
      <c r="F12662" t="s">
        <v>31574</v>
      </c>
      <c r="G12662" t="s">
        <v>31582</v>
      </c>
      <c r="H12662" t="s">
        <v>31590</v>
      </c>
      <c r="I12662" t="s">
        <v>31608</v>
      </c>
      <c r="J12662" t="s">
        <v>31935</v>
      </c>
      <c r="K12662" t="s">
        <v>41184</v>
      </c>
      <c r="M12662" t="s">
        <v>42076</v>
      </c>
      <c r="N12662" t="s">
        <v>45095</v>
      </c>
      <c r="O12662" t="s">
        <v>45096</v>
      </c>
      <c r="P12662">
        <v>0</v>
      </c>
      <c r="Q12662">
        <v>7</v>
      </c>
      <c r="R12662" t="s">
        <v>45111</v>
      </c>
      <c r="S12662" t="s">
        <v>45694</v>
      </c>
      <c r="T12662" t="s">
        <v>47056</v>
      </c>
      <c r="U12662" t="s">
        <v>57783</v>
      </c>
      <c r="W12662" t="s">
        <v>42076</v>
      </c>
      <c r="X12662" t="s">
        <v>45112</v>
      </c>
    </row>
    <row r="12663" spans="1:24">
      <c r="A12663">
        <f>HYPERLINK("https://www.philgeps.gov.ph/GEPSNONPILOT/Tender/SplashBidNoticeAbstractUI.aspx?menuIndex=3&amp;refID=7021235&amp;Result=3","7021235")</f>
        <v>0</v>
      </c>
      <c r="B12663" t="s">
        <v>1888</v>
      </c>
      <c r="C12663" t="s">
        <v>15307</v>
      </c>
      <c r="D12663" t="s">
        <v>18040</v>
      </c>
      <c r="E12663" t="s">
        <v>15307</v>
      </c>
      <c r="F12663" t="s">
        <v>31574</v>
      </c>
      <c r="G12663" t="s">
        <v>31581</v>
      </c>
      <c r="H12663" t="s">
        <v>31590</v>
      </c>
      <c r="I12663" t="s">
        <v>4046</v>
      </c>
      <c r="J12663" t="s">
        <v>34731</v>
      </c>
      <c r="K12663" t="s">
        <v>41190</v>
      </c>
      <c r="M12663" t="s">
        <v>43531</v>
      </c>
      <c r="N12663" t="s">
        <v>45095</v>
      </c>
      <c r="O12663" t="s">
        <v>45096</v>
      </c>
      <c r="P12663">
        <v>0</v>
      </c>
      <c r="Q12663">
        <v>1</v>
      </c>
      <c r="R12663" t="s">
        <v>45111</v>
      </c>
      <c r="S12663" t="s">
        <v>45694</v>
      </c>
      <c r="T12663" t="s">
        <v>46926</v>
      </c>
      <c r="U12663" t="s">
        <v>57387</v>
      </c>
      <c r="W12663" t="s">
        <v>43531</v>
      </c>
      <c r="X12663" t="s">
        <v>45112</v>
      </c>
    </row>
    <row r="12664" spans="1:24">
      <c r="A12664">
        <f>HYPERLINK("https://www.philgeps.gov.ph/GEPSNONPILOT/Tender/SplashBidNoticeAbstractUI.aspx?menuIndex=3&amp;refID=7021206&amp;Result=3","7021206")</f>
        <v>0</v>
      </c>
      <c r="B12664" t="s">
        <v>771</v>
      </c>
      <c r="C12664" t="s">
        <v>15308</v>
      </c>
      <c r="D12664" t="s">
        <v>18050</v>
      </c>
      <c r="E12664" t="s">
        <v>18271</v>
      </c>
      <c r="F12664" t="s">
        <v>31574</v>
      </c>
      <c r="G12664" t="s">
        <v>31581</v>
      </c>
      <c r="H12664" t="s">
        <v>31590</v>
      </c>
      <c r="I12664" t="s">
        <v>31593</v>
      </c>
      <c r="J12664" t="s">
        <v>32001</v>
      </c>
      <c r="K12664" t="s">
        <v>41185</v>
      </c>
      <c r="M12664" t="s">
        <v>44426</v>
      </c>
      <c r="N12664" t="s">
        <v>45095</v>
      </c>
      <c r="O12664" t="s">
        <v>45096</v>
      </c>
      <c r="Q12664">
        <v>4</v>
      </c>
      <c r="R12664" t="s">
        <v>45111</v>
      </c>
      <c r="S12664" t="s">
        <v>45518</v>
      </c>
      <c r="T12664" t="s">
        <v>47183</v>
      </c>
      <c r="U12664" t="s">
        <v>57784</v>
      </c>
      <c r="W12664" t="s">
        <v>44426</v>
      </c>
      <c r="X12664" t="s">
        <v>45112</v>
      </c>
    </row>
    <row r="12665" spans="1:24">
      <c r="A12665">
        <f>HYPERLINK("https://www.philgeps.gov.ph/GEPSNONPILOT/Tender/SplashBidNoticeAbstractUI.aspx?menuIndex=3&amp;refID=7021240&amp;Result=3","7021240")</f>
        <v>0</v>
      </c>
      <c r="B12665" t="s">
        <v>2597</v>
      </c>
      <c r="C12665" t="s">
        <v>15309</v>
      </c>
      <c r="D12665" t="s">
        <v>18070</v>
      </c>
      <c r="E12665" t="s">
        <v>29069</v>
      </c>
      <c r="F12665" t="s">
        <v>31574</v>
      </c>
      <c r="G12665" t="s">
        <v>31582</v>
      </c>
      <c r="H12665" t="s">
        <v>31590</v>
      </c>
      <c r="I12665" t="s">
        <v>8822</v>
      </c>
      <c r="J12665" t="s">
        <v>39539</v>
      </c>
      <c r="K12665" t="s">
        <v>41413</v>
      </c>
      <c r="M12665" t="s">
        <v>44340</v>
      </c>
      <c r="N12665" t="s">
        <v>45095</v>
      </c>
      <c r="O12665" t="s">
        <v>45096</v>
      </c>
      <c r="P12665">
        <v>0</v>
      </c>
      <c r="Q12665">
        <v>0</v>
      </c>
      <c r="R12665" t="s">
        <v>45111</v>
      </c>
      <c r="S12665" t="s">
        <v>45694</v>
      </c>
      <c r="T12665" t="s">
        <v>46914</v>
      </c>
      <c r="U12665" t="s">
        <v>57785</v>
      </c>
      <c r="W12665" t="s">
        <v>44340</v>
      </c>
      <c r="X12665" t="s">
        <v>45112</v>
      </c>
    </row>
    <row r="12666" spans="1:24">
      <c r="A12666">
        <f>HYPERLINK("https://www.philgeps.gov.ph/GEPSNONPILOT/Tender/SplashBidNoticeAbstractUI.aspx?menuIndex=3&amp;refID=7021181&amp;Result=3","7021181")</f>
        <v>0</v>
      </c>
      <c r="B12666" t="s">
        <v>1888</v>
      </c>
      <c r="C12666" t="s">
        <v>15310</v>
      </c>
      <c r="D12666" t="s">
        <v>18040</v>
      </c>
      <c r="E12666" t="s">
        <v>15310</v>
      </c>
      <c r="F12666" t="s">
        <v>31574</v>
      </c>
      <c r="G12666" t="s">
        <v>31581</v>
      </c>
      <c r="H12666" t="s">
        <v>31590</v>
      </c>
      <c r="I12666" t="s">
        <v>4046</v>
      </c>
      <c r="J12666" t="s">
        <v>39540</v>
      </c>
      <c r="K12666" t="s">
        <v>41190</v>
      </c>
      <c r="M12666" t="s">
        <v>43531</v>
      </c>
      <c r="N12666" t="s">
        <v>45095</v>
      </c>
      <c r="O12666" t="s">
        <v>45096</v>
      </c>
      <c r="P12666">
        <v>0</v>
      </c>
      <c r="Q12666">
        <v>1</v>
      </c>
      <c r="R12666" t="s">
        <v>45111</v>
      </c>
      <c r="S12666" t="s">
        <v>45694</v>
      </c>
      <c r="T12666" t="s">
        <v>46926</v>
      </c>
      <c r="U12666" t="s">
        <v>57387</v>
      </c>
      <c r="W12666" t="s">
        <v>43531</v>
      </c>
      <c r="X12666" t="s">
        <v>45112</v>
      </c>
    </row>
    <row r="12667" spans="1:24">
      <c r="A12667">
        <f>HYPERLINK("https://www.philgeps.gov.ph/GEPSNONPILOT/Tender/SplashBidNoticeAbstractUI.aspx?menuIndex=3&amp;refID=7021232&amp;Result=3","7021232")</f>
        <v>0</v>
      </c>
      <c r="B12667" t="s">
        <v>1832</v>
      </c>
      <c r="C12667" t="s">
        <v>15311</v>
      </c>
      <c r="D12667" t="s">
        <v>18034</v>
      </c>
      <c r="E12667" t="s">
        <v>29070</v>
      </c>
      <c r="F12667" t="s">
        <v>31574</v>
      </c>
      <c r="G12667" t="s">
        <v>31582</v>
      </c>
      <c r="H12667" t="s">
        <v>31590</v>
      </c>
      <c r="I12667" t="s">
        <v>31608</v>
      </c>
      <c r="J12667" t="s">
        <v>32101</v>
      </c>
      <c r="K12667" t="s">
        <v>41192</v>
      </c>
      <c r="M12667" t="s">
        <v>43468</v>
      </c>
      <c r="N12667" t="s">
        <v>45095</v>
      </c>
      <c r="O12667" t="s">
        <v>45096</v>
      </c>
      <c r="P12667">
        <v>0</v>
      </c>
      <c r="Q12667">
        <v>15</v>
      </c>
      <c r="R12667" t="s">
        <v>45111</v>
      </c>
      <c r="S12667" t="s">
        <v>45694</v>
      </c>
      <c r="T12667" t="s">
        <v>46930</v>
      </c>
      <c r="U12667" t="s">
        <v>57496</v>
      </c>
      <c r="V12667" t="s">
        <v>61188</v>
      </c>
      <c r="W12667" t="s">
        <v>43468</v>
      </c>
      <c r="X12667" t="s">
        <v>45112</v>
      </c>
    </row>
    <row r="12668" spans="1:24">
      <c r="A12668">
        <f>HYPERLINK("https://www.philgeps.gov.ph/GEPSNONPILOT/Tender/SplashBidNoticeAbstractUI.aspx?menuIndex=3&amp;refID=7021114&amp;Result=3","7021114")</f>
        <v>0</v>
      </c>
      <c r="B12668" t="s">
        <v>575</v>
      </c>
      <c r="C12668" t="s">
        <v>13549</v>
      </c>
      <c r="D12668" t="s">
        <v>18027</v>
      </c>
      <c r="E12668" t="s">
        <v>29071</v>
      </c>
      <c r="F12668" t="s">
        <v>31574</v>
      </c>
      <c r="G12668" t="s">
        <v>31582</v>
      </c>
      <c r="H12668" t="s">
        <v>31590</v>
      </c>
      <c r="I12668" t="s">
        <v>31600</v>
      </c>
      <c r="J12668" t="s">
        <v>39541</v>
      </c>
      <c r="K12668" t="s">
        <v>41184</v>
      </c>
      <c r="M12668" t="s">
        <v>42076</v>
      </c>
      <c r="N12668" t="s">
        <v>45095</v>
      </c>
      <c r="O12668" t="s">
        <v>45096</v>
      </c>
      <c r="P12668">
        <v>0</v>
      </c>
      <c r="Q12668">
        <v>0</v>
      </c>
      <c r="R12668" t="s">
        <v>45111</v>
      </c>
      <c r="S12668" t="s">
        <v>45694</v>
      </c>
      <c r="T12668" t="s">
        <v>47056</v>
      </c>
      <c r="U12668" t="s">
        <v>56384</v>
      </c>
      <c r="W12668" t="s">
        <v>42076</v>
      </c>
      <c r="X12668" t="s">
        <v>45112</v>
      </c>
    </row>
    <row r="12669" spans="1:24">
      <c r="A12669">
        <f>HYPERLINK("https://www.philgeps.gov.ph/GEPSNONPILOT/Tender/SplashBidNoticeAbstractUI.aspx?menuIndex=3&amp;refID=7021222&amp;Result=3","7021222")</f>
        <v>0</v>
      </c>
      <c r="B12669" t="s">
        <v>1040</v>
      </c>
      <c r="C12669" t="s">
        <v>15312</v>
      </c>
      <c r="D12669" t="s">
        <v>18066</v>
      </c>
      <c r="E12669" t="s">
        <v>29072</v>
      </c>
      <c r="F12669" t="s">
        <v>31574</v>
      </c>
      <c r="G12669" t="s">
        <v>31582</v>
      </c>
      <c r="H12669" t="s">
        <v>31590</v>
      </c>
      <c r="I12669" t="s">
        <v>31608</v>
      </c>
      <c r="J12669" t="s">
        <v>31848</v>
      </c>
      <c r="K12669" t="s">
        <v>41186</v>
      </c>
      <c r="M12669" t="s">
        <v>42583</v>
      </c>
      <c r="N12669" t="s">
        <v>45095</v>
      </c>
      <c r="O12669" t="s">
        <v>45096</v>
      </c>
      <c r="P12669">
        <v>0</v>
      </c>
      <c r="Q12669">
        <v>0</v>
      </c>
      <c r="R12669" t="s">
        <v>45111</v>
      </c>
      <c r="S12669" t="s">
        <v>45694</v>
      </c>
      <c r="T12669" t="s">
        <v>46955</v>
      </c>
      <c r="U12669" t="s">
        <v>57786</v>
      </c>
      <c r="W12669" t="s">
        <v>42583</v>
      </c>
      <c r="X12669" t="s">
        <v>45112</v>
      </c>
    </row>
    <row r="12670" spans="1:24">
      <c r="A12670">
        <f>HYPERLINK("https://www.philgeps.gov.ph/GEPSNONPILOT/Tender/SplashBidNoticeAbstractUI.aspx?menuIndex=3&amp;refID=7021265&amp;Result=3","7021265")</f>
        <v>0</v>
      </c>
      <c r="B12670" t="s">
        <v>627</v>
      </c>
      <c r="C12670" t="s">
        <v>15313</v>
      </c>
      <c r="E12670" t="s">
        <v>29073</v>
      </c>
      <c r="F12670" t="s">
        <v>31574</v>
      </c>
      <c r="G12670" t="s">
        <v>31582</v>
      </c>
      <c r="H12670" t="s">
        <v>31591</v>
      </c>
      <c r="I12670" t="s">
        <v>8822</v>
      </c>
      <c r="J12670" t="s">
        <v>39542</v>
      </c>
      <c r="K12670" t="s">
        <v>41184</v>
      </c>
      <c r="M12670" t="s">
        <v>42131</v>
      </c>
      <c r="N12670" t="s">
        <v>45095</v>
      </c>
      <c r="O12670" t="s">
        <v>45096</v>
      </c>
      <c r="P12670">
        <v>0</v>
      </c>
      <c r="Q12670">
        <v>0</v>
      </c>
      <c r="R12670" t="s">
        <v>45111</v>
      </c>
      <c r="S12670" t="s">
        <v>45694</v>
      </c>
      <c r="T12670" t="s">
        <v>46910</v>
      </c>
      <c r="U12670" t="s">
        <v>57787</v>
      </c>
      <c r="W12670" t="s">
        <v>42131</v>
      </c>
      <c r="X12670" t="s">
        <v>45112</v>
      </c>
    </row>
    <row r="12671" spans="1:24">
      <c r="A12671">
        <f>HYPERLINK("https://www.philgeps.gov.ph/GEPSNONPILOT/Tender/SplashBidNoticeAbstractUI.aspx?menuIndex=3&amp;refID=7021228&amp;Result=3","7021228")</f>
        <v>0</v>
      </c>
      <c r="B12671" t="s">
        <v>495</v>
      </c>
      <c r="C12671" t="s">
        <v>15314</v>
      </c>
      <c r="D12671" t="s">
        <v>18099</v>
      </c>
      <c r="E12671" t="s">
        <v>29074</v>
      </c>
      <c r="F12671" t="s">
        <v>31574</v>
      </c>
      <c r="G12671" t="s">
        <v>31582</v>
      </c>
      <c r="H12671" t="s">
        <v>31591</v>
      </c>
      <c r="I12671" t="s">
        <v>8822</v>
      </c>
      <c r="J12671" t="s">
        <v>39543</v>
      </c>
      <c r="K12671" t="s">
        <v>41351</v>
      </c>
      <c r="M12671" t="s">
        <v>44169</v>
      </c>
      <c r="N12671" t="s">
        <v>45095</v>
      </c>
      <c r="O12671" t="s">
        <v>45096</v>
      </c>
      <c r="P12671">
        <v>0</v>
      </c>
      <c r="Q12671">
        <v>0</v>
      </c>
      <c r="R12671" t="s">
        <v>45111</v>
      </c>
      <c r="S12671" t="s">
        <v>45694</v>
      </c>
      <c r="T12671" t="s">
        <v>46920</v>
      </c>
      <c r="U12671" t="s">
        <v>55126</v>
      </c>
      <c r="W12671" t="s">
        <v>44169</v>
      </c>
      <c r="X12671" t="s">
        <v>45112</v>
      </c>
    </row>
    <row r="12672" spans="1:24">
      <c r="A12672">
        <f>HYPERLINK("https://www.philgeps.gov.ph/GEPSNONPILOT/Tender/SplashBidNoticeAbstractUI.aspx?menuIndex=3&amp;refID=7021266&amp;Result=3","7021266")</f>
        <v>0</v>
      </c>
      <c r="B12672" t="s">
        <v>495</v>
      </c>
      <c r="C12672" t="s">
        <v>15315</v>
      </c>
      <c r="D12672" t="s">
        <v>18099</v>
      </c>
      <c r="E12672" t="s">
        <v>29075</v>
      </c>
      <c r="F12672" t="s">
        <v>31574</v>
      </c>
      <c r="G12672" t="s">
        <v>31582</v>
      </c>
      <c r="H12672" t="s">
        <v>31591</v>
      </c>
      <c r="I12672" t="s">
        <v>8822</v>
      </c>
      <c r="J12672" t="s">
        <v>39544</v>
      </c>
      <c r="K12672" t="s">
        <v>41393</v>
      </c>
      <c r="M12672" t="s">
        <v>44169</v>
      </c>
      <c r="N12672" t="s">
        <v>45095</v>
      </c>
      <c r="O12672" t="s">
        <v>45096</v>
      </c>
      <c r="P12672">
        <v>0</v>
      </c>
      <c r="Q12672">
        <v>0</v>
      </c>
      <c r="R12672" t="s">
        <v>45111</v>
      </c>
      <c r="S12672" t="s">
        <v>45694</v>
      </c>
      <c r="T12672" t="s">
        <v>46920</v>
      </c>
      <c r="U12672" t="s">
        <v>57780</v>
      </c>
      <c r="W12672" t="s">
        <v>44169</v>
      </c>
      <c r="X12672" t="s">
        <v>45112</v>
      </c>
    </row>
    <row r="12673" spans="1:24">
      <c r="A12673">
        <f>HYPERLINK("https://www.philgeps.gov.ph/GEPSNONPILOT/Tender/SplashBidNoticeAbstractUI.aspx?menuIndex=3&amp;refID=7021281&amp;Result=3","7021281")</f>
        <v>0</v>
      </c>
      <c r="B12673" t="s">
        <v>1591</v>
      </c>
      <c r="C12673" t="s">
        <v>15316</v>
      </c>
      <c r="D12673" t="s">
        <v>18058</v>
      </c>
      <c r="E12673" t="s">
        <v>29076</v>
      </c>
      <c r="F12673" t="s">
        <v>31574</v>
      </c>
      <c r="G12673" t="s">
        <v>31582</v>
      </c>
      <c r="H12673" t="s">
        <v>31591</v>
      </c>
      <c r="I12673" t="s">
        <v>8822</v>
      </c>
      <c r="J12673" t="s">
        <v>32019</v>
      </c>
      <c r="K12673" t="s">
        <v>41192</v>
      </c>
      <c r="M12673" t="s">
        <v>43195</v>
      </c>
      <c r="N12673" t="s">
        <v>45095</v>
      </c>
      <c r="O12673" t="s">
        <v>45096</v>
      </c>
      <c r="P12673">
        <v>0</v>
      </c>
      <c r="Q12673">
        <v>1</v>
      </c>
      <c r="R12673" t="s">
        <v>45111</v>
      </c>
      <c r="S12673" t="s">
        <v>45694</v>
      </c>
      <c r="T12673" t="s">
        <v>46922</v>
      </c>
      <c r="U12673" t="s">
        <v>57788</v>
      </c>
      <c r="V12673" t="s">
        <v>60356</v>
      </c>
      <c r="W12673" t="s">
        <v>44764</v>
      </c>
      <c r="X12673" t="s">
        <v>45112</v>
      </c>
    </row>
    <row r="12674" spans="1:24">
      <c r="A12674">
        <f>HYPERLINK("https://www.philgeps.gov.ph/GEPSNONPILOT/Tender/SplashBidNoticeAbstractUI.aspx?menuIndex=3&amp;refID=7021234&amp;Result=3","7021234")</f>
        <v>0</v>
      </c>
      <c r="B12674" t="s">
        <v>1591</v>
      </c>
      <c r="C12674" t="s">
        <v>15317</v>
      </c>
      <c r="D12674" t="s">
        <v>18058</v>
      </c>
      <c r="E12674" t="s">
        <v>29077</v>
      </c>
      <c r="F12674" t="s">
        <v>31574</v>
      </c>
      <c r="G12674" t="s">
        <v>31582</v>
      </c>
      <c r="H12674" t="s">
        <v>31591</v>
      </c>
      <c r="I12674" t="s">
        <v>8822</v>
      </c>
      <c r="J12674" t="s">
        <v>32026</v>
      </c>
      <c r="K12674" t="s">
        <v>41192</v>
      </c>
      <c r="M12674" t="s">
        <v>43195</v>
      </c>
      <c r="N12674" t="s">
        <v>45095</v>
      </c>
      <c r="O12674" t="s">
        <v>45096</v>
      </c>
      <c r="P12674">
        <v>0</v>
      </c>
      <c r="Q12674">
        <v>0</v>
      </c>
      <c r="R12674" t="s">
        <v>45111</v>
      </c>
      <c r="S12674" t="s">
        <v>45694</v>
      </c>
      <c r="T12674" t="s">
        <v>46922</v>
      </c>
      <c r="U12674" t="s">
        <v>57789</v>
      </c>
      <c r="V12674" t="s">
        <v>60356</v>
      </c>
      <c r="W12674" t="s">
        <v>44764</v>
      </c>
      <c r="X12674" t="s">
        <v>45112</v>
      </c>
    </row>
    <row r="12675" spans="1:24">
      <c r="A12675">
        <f>HYPERLINK("https://www.philgeps.gov.ph/GEPSNONPILOT/Tender/SplashBidNoticeAbstractUI.aspx?menuIndex=3&amp;refID=7021215&amp;Result=3","7021215")</f>
        <v>0</v>
      </c>
      <c r="B12675" t="s">
        <v>1888</v>
      </c>
      <c r="C12675" t="s">
        <v>15318</v>
      </c>
      <c r="D12675" t="s">
        <v>18040</v>
      </c>
      <c r="E12675" t="s">
        <v>15318</v>
      </c>
      <c r="F12675" t="s">
        <v>31574</v>
      </c>
      <c r="G12675" t="s">
        <v>31581</v>
      </c>
      <c r="H12675" t="s">
        <v>31590</v>
      </c>
      <c r="I12675" t="s">
        <v>4046</v>
      </c>
      <c r="J12675" t="s">
        <v>39545</v>
      </c>
      <c r="K12675" t="s">
        <v>41190</v>
      </c>
      <c r="M12675" t="s">
        <v>43531</v>
      </c>
      <c r="N12675" t="s">
        <v>45095</v>
      </c>
      <c r="O12675" t="s">
        <v>45096</v>
      </c>
      <c r="P12675">
        <v>0</v>
      </c>
      <c r="Q12675">
        <v>1</v>
      </c>
      <c r="R12675" t="s">
        <v>45111</v>
      </c>
      <c r="S12675" t="s">
        <v>45694</v>
      </c>
      <c r="T12675" t="s">
        <v>46926</v>
      </c>
      <c r="U12675" t="s">
        <v>57387</v>
      </c>
      <c r="W12675" t="s">
        <v>43531</v>
      </c>
      <c r="X12675" t="s">
        <v>45112</v>
      </c>
    </row>
    <row r="12676" spans="1:24">
      <c r="A12676">
        <f>HYPERLINK("https://www.philgeps.gov.ph/GEPSNONPILOT/Tender/SplashBidNoticeAbstractUI.aspx?menuIndex=3&amp;refID=7021272&amp;Result=3","7021272")</f>
        <v>0</v>
      </c>
      <c r="B12676" t="s">
        <v>1028</v>
      </c>
      <c r="C12676" t="s">
        <v>15319</v>
      </c>
      <c r="D12676" t="s">
        <v>18055</v>
      </c>
      <c r="E12676" t="s">
        <v>29078</v>
      </c>
      <c r="F12676" t="s">
        <v>31574</v>
      </c>
      <c r="G12676" t="s">
        <v>31582</v>
      </c>
      <c r="H12676" t="s">
        <v>31590</v>
      </c>
      <c r="I12676" t="s">
        <v>31666</v>
      </c>
      <c r="J12676" t="s">
        <v>32101</v>
      </c>
      <c r="K12676" t="s">
        <v>41198</v>
      </c>
      <c r="M12676" t="s">
        <v>42569</v>
      </c>
      <c r="N12676" t="s">
        <v>45095</v>
      </c>
      <c r="O12676" t="s">
        <v>45096</v>
      </c>
      <c r="P12676">
        <v>0</v>
      </c>
      <c r="Q12676">
        <v>9</v>
      </c>
      <c r="R12676" t="s">
        <v>45111</v>
      </c>
      <c r="S12676" t="s">
        <v>45694</v>
      </c>
      <c r="T12676" t="s">
        <v>46932</v>
      </c>
      <c r="U12676" t="s">
        <v>55947</v>
      </c>
      <c r="W12676" t="s">
        <v>61687</v>
      </c>
      <c r="X12676" t="s">
        <v>45112</v>
      </c>
    </row>
    <row r="12677" spans="1:24">
      <c r="A12677">
        <f>HYPERLINK("https://www.philgeps.gov.ph/GEPSNONPILOT/Tender/SplashBidNoticeAbstractUI.aspx?menuIndex=3&amp;refID=7021259&amp;Result=3","7021259")</f>
        <v>0</v>
      </c>
      <c r="B12677" t="s">
        <v>1591</v>
      </c>
      <c r="C12677" t="s">
        <v>15320</v>
      </c>
      <c r="D12677" t="s">
        <v>18058</v>
      </c>
      <c r="E12677" t="s">
        <v>29079</v>
      </c>
      <c r="F12677" t="s">
        <v>31574</v>
      </c>
      <c r="G12677" t="s">
        <v>31582</v>
      </c>
      <c r="H12677" t="s">
        <v>31591</v>
      </c>
      <c r="I12677" t="s">
        <v>8822</v>
      </c>
      <c r="J12677" t="s">
        <v>32120</v>
      </c>
      <c r="K12677" t="s">
        <v>41203</v>
      </c>
      <c r="M12677" t="s">
        <v>43195</v>
      </c>
      <c r="N12677" t="s">
        <v>45095</v>
      </c>
      <c r="O12677" t="s">
        <v>45096</v>
      </c>
      <c r="P12677">
        <v>0</v>
      </c>
      <c r="Q12677">
        <v>1</v>
      </c>
      <c r="R12677" t="s">
        <v>45111</v>
      </c>
      <c r="S12677" t="s">
        <v>45694</v>
      </c>
      <c r="T12677" t="s">
        <v>46922</v>
      </c>
      <c r="U12677" t="s">
        <v>57790</v>
      </c>
      <c r="V12677" t="s">
        <v>60356</v>
      </c>
      <c r="W12677" t="s">
        <v>44764</v>
      </c>
      <c r="X12677" t="s">
        <v>45112</v>
      </c>
    </row>
    <row r="12678" spans="1:24">
      <c r="A12678">
        <f>HYPERLINK("https://www.philgeps.gov.ph/GEPSNONPILOT/Tender/SplashBidNoticeAbstractUI.aspx?menuIndex=3&amp;refID=7021257&amp;Result=3","7021257")</f>
        <v>0</v>
      </c>
      <c r="B12678" t="s">
        <v>1888</v>
      </c>
      <c r="C12678" t="s">
        <v>15321</v>
      </c>
      <c r="D12678" t="s">
        <v>18040</v>
      </c>
      <c r="E12678" t="s">
        <v>29080</v>
      </c>
      <c r="F12678" t="s">
        <v>31574</v>
      </c>
      <c r="G12678" t="s">
        <v>31582</v>
      </c>
      <c r="H12678" t="s">
        <v>31590</v>
      </c>
      <c r="I12678" t="s">
        <v>4046</v>
      </c>
      <c r="J12678" t="s">
        <v>39546</v>
      </c>
      <c r="K12678" t="s">
        <v>41196</v>
      </c>
      <c r="M12678" t="s">
        <v>43531</v>
      </c>
      <c r="N12678" t="s">
        <v>45095</v>
      </c>
      <c r="O12678" t="s">
        <v>45096</v>
      </c>
      <c r="P12678">
        <v>0</v>
      </c>
      <c r="Q12678">
        <v>3</v>
      </c>
      <c r="R12678" t="s">
        <v>45111</v>
      </c>
      <c r="S12678" t="s">
        <v>45694</v>
      </c>
      <c r="T12678" t="s">
        <v>46926</v>
      </c>
      <c r="U12678" t="s">
        <v>57791</v>
      </c>
      <c r="W12678" t="s">
        <v>43531</v>
      </c>
      <c r="X12678" t="s">
        <v>45112</v>
      </c>
    </row>
    <row r="12679" spans="1:24">
      <c r="A12679">
        <f>HYPERLINK("https://www.philgeps.gov.ph/GEPSNONPILOT/Tender/SplashBidNoticeAbstractUI.aspx?menuIndex=3&amp;refID=7021319&amp;Result=3","7021319")</f>
        <v>0</v>
      </c>
      <c r="B12679" t="s">
        <v>1242</v>
      </c>
      <c r="C12679" t="s">
        <v>15322</v>
      </c>
      <c r="D12679" t="s">
        <v>18056</v>
      </c>
      <c r="E12679" t="s">
        <v>29081</v>
      </c>
      <c r="F12679" t="s">
        <v>31574</v>
      </c>
      <c r="G12679" t="s">
        <v>31582</v>
      </c>
      <c r="H12679" t="s">
        <v>31590</v>
      </c>
      <c r="I12679" t="s">
        <v>3487</v>
      </c>
      <c r="J12679" t="s">
        <v>39547</v>
      </c>
      <c r="K12679" t="s">
        <v>41185</v>
      </c>
      <c r="M12679" t="s">
        <v>42805</v>
      </c>
      <c r="N12679" t="s">
        <v>45095</v>
      </c>
      <c r="O12679" t="s">
        <v>45096</v>
      </c>
      <c r="P12679">
        <v>0</v>
      </c>
      <c r="Q12679">
        <v>6</v>
      </c>
      <c r="R12679" t="s">
        <v>45111</v>
      </c>
      <c r="S12679" t="s">
        <v>45694</v>
      </c>
      <c r="T12679" t="s">
        <v>46945</v>
      </c>
      <c r="U12679" t="s">
        <v>57792</v>
      </c>
      <c r="W12679" t="s">
        <v>42805</v>
      </c>
      <c r="X12679" t="s">
        <v>45112</v>
      </c>
    </row>
    <row r="12680" spans="1:24">
      <c r="A12680">
        <f>HYPERLINK("https://www.philgeps.gov.ph/GEPSNONPILOT/Tender/SplashBidNoticeAbstractUI.aspx?menuIndex=3&amp;refID=7021258&amp;Result=3","7021258")</f>
        <v>0</v>
      </c>
      <c r="B12680" t="s">
        <v>1872</v>
      </c>
      <c r="C12680" t="s">
        <v>15323</v>
      </c>
      <c r="D12680" t="s">
        <v>18095</v>
      </c>
      <c r="E12680" t="s">
        <v>21405</v>
      </c>
      <c r="F12680" t="s">
        <v>31574</v>
      </c>
      <c r="G12680" t="s">
        <v>31582</v>
      </c>
      <c r="H12680" t="s">
        <v>31591</v>
      </c>
      <c r="I12680" t="s">
        <v>8822</v>
      </c>
      <c r="J12680" t="s">
        <v>35053</v>
      </c>
      <c r="K12680" t="s">
        <v>41200</v>
      </c>
      <c r="M12680" t="s">
        <v>43512</v>
      </c>
      <c r="N12680" t="s">
        <v>45095</v>
      </c>
      <c r="O12680" t="s">
        <v>45096</v>
      </c>
      <c r="P12680">
        <v>0</v>
      </c>
      <c r="Q12680">
        <v>0</v>
      </c>
      <c r="R12680" t="s">
        <v>45111</v>
      </c>
      <c r="S12680" t="s">
        <v>45694</v>
      </c>
      <c r="T12680" t="s">
        <v>47176</v>
      </c>
      <c r="U12680" t="s">
        <v>57793</v>
      </c>
      <c r="W12680" t="s">
        <v>43512</v>
      </c>
      <c r="X12680" t="s">
        <v>45112</v>
      </c>
    </row>
    <row r="12681" spans="1:24">
      <c r="A12681">
        <f>HYPERLINK("https://www.philgeps.gov.ph/GEPSNONPILOT/Tender/SplashBidNoticeAbstractUI.aspx?menuIndex=3&amp;refID=7021370&amp;Result=3","7021370")</f>
        <v>0</v>
      </c>
      <c r="B12681" t="s">
        <v>313</v>
      </c>
      <c r="C12681" t="s">
        <v>15324</v>
      </c>
      <c r="D12681" t="s">
        <v>18039</v>
      </c>
      <c r="E12681" t="s">
        <v>29082</v>
      </c>
      <c r="F12681" t="s">
        <v>31574</v>
      </c>
      <c r="G12681" t="s">
        <v>31582</v>
      </c>
      <c r="H12681" t="s">
        <v>31591</v>
      </c>
      <c r="I12681" t="s">
        <v>8822</v>
      </c>
      <c r="J12681" t="s">
        <v>39000</v>
      </c>
      <c r="K12681" t="s">
        <v>41376</v>
      </c>
      <c r="M12681" t="s">
        <v>44792</v>
      </c>
      <c r="N12681" t="s">
        <v>45095</v>
      </c>
      <c r="O12681" t="s">
        <v>45096</v>
      </c>
      <c r="P12681">
        <v>0</v>
      </c>
      <c r="Q12681">
        <v>2</v>
      </c>
      <c r="R12681" t="s">
        <v>45111</v>
      </c>
      <c r="S12681" t="s">
        <v>45694</v>
      </c>
      <c r="T12681" t="s">
        <v>46945</v>
      </c>
      <c r="U12681" t="s">
        <v>57794</v>
      </c>
      <c r="V12681" t="s">
        <v>61233</v>
      </c>
      <c r="W12681" t="s">
        <v>44792</v>
      </c>
      <c r="X12681" t="s">
        <v>45112</v>
      </c>
    </row>
    <row r="12682" spans="1:24">
      <c r="A12682">
        <f>HYPERLINK("https://www.philgeps.gov.ph/GEPSNONPILOT/Tender/SplashBidNoticeAbstractUI.aspx?menuIndex=3&amp;refID=7021327&amp;Result=3","7021327")</f>
        <v>0</v>
      </c>
      <c r="B12682" t="s">
        <v>2948</v>
      </c>
      <c r="C12682" t="s">
        <v>15325</v>
      </c>
      <c r="D12682" t="s">
        <v>18095</v>
      </c>
      <c r="E12682" t="s">
        <v>29083</v>
      </c>
      <c r="F12682" t="s">
        <v>31574</v>
      </c>
      <c r="G12682" t="s">
        <v>31582</v>
      </c>
      <c r="H12682" t="s">
        <v>31591</v>
      </c>
      <c r="I12682" t="s">
        <v>8822</v>
      </c>
      <c r="J12682" t="s">
        <v>39548</v>
      </c>
      <c r="K12682" t="s">
        <v>41337</v>
      </c>
      <c r="M12682" t="s">
        <v>44762</v>
      </c>
      <c r="N12682" t="s">
        <v>45095</v>
      </c>
      <c r="O12682" t="s">
        <v>45096</v>
      </c>
      <c r="P12682">
        <v>0</v>
      </c>
      <c r="Q12682">
        <v>0</v>
      </c>
      <c r="R12682" t="s">
        <v>45111</v>
      </c>
      <c r="S12682" t="s">
        <v>45694</v>
      </c>
      <c r="T12682" t="s">
        <v>46966</v>
      </c>
      <c r="U12682" t="s">
        <v>57723</v>
      </c>
      <c r="W12682" t="s">
        <v>44762</v>
      </c>
      <c r="X12682" t="s">
        <v>45112</v>
      </c>
    </row>
    <row r="12683" spans="1:24">
      <c r="A12683">
        <f>HYPERLINK("https://www.philgeps.gov.ph/GEPSNONPILOT/Tender/SplashBidNoticeAbstractUI.aspx?menuIndex=3&amp;refID=7021214&amp;Result=3","7021214")</f>
        <v>0</v>
      </c>
      <c r="B12683" t="s">
        <v>126</v>
      </c>
      <c r="C12683" t="s">
        <v>15326</v>
      </c>
      <c r="D12683" t="s">
        <v>18125</v>
      </c>
      <c r="E12683" t="s">
        <v>29084</v>
      </c>
      <c r="F12683" t="s">
        <v>31574</v>
      </c>
      <c r="G12683" t="s">
        <v>31582</v>
      </c>
      <c r="H12683" t="s">
        <v>31590</v>
      </c>
      <c r="I12683" t="s">
        <v>3539</v>
      </c>
      <c r="J12683" t="s">
        <v>39549</v>
      </c>
      <c r="K12683" t="s">
        <v>41215</v>
      </c>
      <c r="M12683" t="s">
        <v>43782</v>
      </c>
      <c r="N12683" t="s">
        <v>45095</v>
      </c>
      <c r="O12683" t="s">
        <v>45096</v>
      </c>
      <c r="Q12683">
        <v>3</v>
      </c>
      <c r="R12683" t="s">
        <v>45111</v>
      </c>
      <c r="S12683" t="s">
        <v>45749</v>
      </c>
      <c r="T12683" t="s">
        <v>46982</v>
      </c>
      <c r="U12683" t="s">
        <v>57795</v>
      </c>
      <c r="V12683" t="s">
        <v>61234</v>
      </c>
      <c r="W12683" t="s">
        <v>41610</v>
      </c>
      <c r="X12683" t="s">
        <v>45112</v>
      </c>
    </row>
    <row r="12684" spans="1:24">
      <c r="A12684">
        <f>HYPERLINK("https://www.philgeps.gov.ph/GEPSNONPILOT/Tender/SplashBidNoticeAbstractUI.aspx?menuIndex=3&amp;refID=7021355&amp;Result=3","7021355")</f>
        <v>0</v>
      </c>
      <c r="B12684" t="s">
        <v>1482</v>
      </c>
      <c r="C12684" t="s">
        <v>15327</v>
      </c>
      <c r="D12684" t="s">
        <v>18037</v>
      </c>
      <c r="E12684" t="s">
        <v>29085</v>
      </c>
      <c r="F12684" t="s">
        <v>31574</v>
      </c>
      <c r="G12684" t="s">
        <v>31582</v>
      </c>
      <c r="H12684" t="s">
        <v>31590</v>
      </c>
      <c r="I12684" t="s">
        <v>31616</v>
      </c>
      <c r="J12684" t="s">
        <v>39550</v>
      </c>
      <c r="K12684" t="s">
        <v>41200</v>
      </c>
      <c r="M12684" t="s">
        <v>43067</v>
      </c>
      <c r="N12684" t="s">
        <v>45095</v>
      </c>
      <c r="O12684" t="s">
        <v>45096</v>
      </c>
      <c r="P12684">
        <v>0</v>
      </c>
      <c r="Q12684">
        <v>8</v>
      </c>
      <c r="R12684" t="s">
        <v>45111</v>
      </c>
      <c r="S12684" t="s">
        <v>45694</v>
      </c>
      <c r="T12684" t="s">
        <v>46932</v>
      </c>
      <c r="U12684" t="s">
        <v>51078</v>
      </c>
      <c r="W12684" t="s">
        <v>43067</v>
      </c>
      <c r="X12684" t="s">
        <v>45112</v>
      </c>
    </row>
    <row r="12685" spans="1:24">
      <c r="A12685">
        <f>HYPERLINK("https://www.philgeps.gov.ph/GEPSNONPILOT/Tender/SplashBidNoticeAbstractUI.aspx?menuIndex=3&amp;refID=7021292&amp;Result=3","7021292")</f>
        <v>0</v>
      </c>
      <c r="B12685" t="s">
        <v>2400</v>
      </c>
      <c r="C12685" t="s">
        <v>15328</v>
      </c>
      <c r="D12685" t="s">
        <v>18046</v>
      </c>
      <c r="E12685" t="s">
        <v>29086</v>
      </c>
      <c r="F12685" t="s">
        <v>31574</v>
      </c>
      <c r="G12685" t="s">
        <v>31582</v>
      </c>
      <c r="H12685" t="s">
        <v>31591</v>
      </c>
      <c r="I12685" t="s">
        <v>8822</v>
      </c>
      <c r="J12685" t="s">
        <v>31730</v>
      </c>
      <c r="K12685" t="s">
        <v>41198</v>
      </c>
      <c r="M12685" t="s">
        <v>44127</v>
      </c>
      <c r="N12685" t="s">
        <v>45095</v>
      </c>
      <c r="O12685" t="s">
        <v>45096</v>
      </c>
      <c r="P12685">
        <v>0</v>
      </c>
      <c r="Q12685">
        <v>0</v>
      </c>
      <c r="R12685" t="s">
        <v>45111</v>
      </c>
      <c r="S12685" t="s">
        <v>45694</v>
      </c>
      <c r="T12685" t="s">
        <v>46910</v>
      </c>
      <c r="U12685" t="s">
        <v>57796</v>
      </c>
      <c r="W12685" t="s">
        <v>44127</v>
      </c>
      <c r="X12685" t="s">
        <v>45112</v>
      </c>
    </row>
    <row r="12686" spans="1:24">
      <c r="A12686">
        <f>HYPERLINK("https://www.philgeps.gov.ph/GEPSNONPILOT/Tender/SplashBidNoticeAbstractUI.aspx?menuIndex=3&amp;refID=7021271&amp;Result=3","7021271")</f>
        <v>0</v>
      </c>
      <c r="B12686" t="s">
        <v>1888</v>
      </c>
      <c r="C12686" t="s">
        <v>15329</v>
      </c>
      <c r="D12686" t="s">
        <v>18040</v>
      </c>
      <c r="E12686" t="s">
        <v>29087</v>
      </c>
      <c r="F12686" t="s">
        <v>31574</v>
      </c>
      <c r="G12686" t="s">
        <v>31582</v>
      </c>
      <c r="H12686" t="s">
        <v>31590</v>
      </c>
      <c r="I12686" t="s">
        <v>6800</v>
      </c>
      <c r="J12686" t="s">
        <v>39551</v>
      </c>
      <c r="K12686" t="s">
        <v>41196</v>
      </c>
      <c r="M12686" t="s">
        <v>43531</v>
      </c>
      <c r="N12686" t="s">
        <v>45095</v>
      </c>
      <c r="O12686" t="s">
        <v>45096</v>
      </c>
      <c r="P12686">
        <v>0</v>
      </c>
      <c r="Q12686">
        <v>0</v>
      </c>
      <c r="R12686" t="s">
        <v>45111</v>
      </c>
      <c r="S12686" t="s">
        <v>45694</v>
      </c>
      <c r="T12686" t="s">
        <v>46926</v>
      </c>
      <c r="U12686" t="s">
        <v>57791</v>
      </c>
      <c r="W12686" t="s">
        <v>43531</v>
      </c>
      <c r="X12686" t="s">
        <v>45112</v>
      </c>
    </row>
    <row r="12687" spans="1:24">
      <c r="A12687">
        <f>HYPERLINK("https://www.philgeps.gov.ph/GEPSNONPILOT/Tender/SplashBidNoticeAbstractUI.aspx?menuIndex=3&amp;refID=7021342&amp;Result=3","7021342")</f>
        <v>0</v>
      </c>
      <c r="B12687" t="s">
        <v>2948</v>
      </c>
      <c r="C12687" t="s">
        <v>15330</v>
      </c>
      <c r="D12687" t="s">
        <v>18095</v>
      </c>
      <c r="E12687" t="s">
        <v>29088</v>
      </c>
      <c r="F12687" t="s">
        <v>31574</v>
      </c>
      <c r="G12687" t="s">
        <v>31582</v>
      </c>
      <c r="H12687" t="s">
        <v>31591</v>
      </c>
      <c r="I12687" t="s">
        <v>8822</v>
      </c>
      <c r="J12687" t="s">
        <v>39552</v>
      </c>
      <c r="K12687" t="s">
        <v>41282</v>
      </c>
      <c r="M12687" t="s">
        <v>44762</v>
      </c>
      <c r="N12687" t="s">
        <v>45095</v>
      </c>
      <c r="O12687" t="s">
        <v>45096</v>
      </c>
      <c r="P12687">
        <v>0</v>
      </c>
      <c r="Q12687">
        <v>0</v>
      </c>
      <c r="R12687" t="s">
        <v>45111</v>
      </c>
      <c r="S12687" t="s">
        <v>45694</v>
      </c>
      <c r="T12687" t="s">
        <v>46966</v>
      </c>
      <c r="U12687" t="s">
        <v>57797</v>
      </c>
      <c r="W12687" t="s">
        <v>44762</v>
      </c>
      <c r="X12687" t="s">
        <v>45112</v>
      </c>
    </row>
    <row r="12688" spans="1:24">
      <c r="A12688">
        <f>HYPERLINK("https://www.philgeps.gov.ph/GEPSNONPILOT/Tender/SplashBidNoticeAbstractUI.aspx?menuIndex=3&amp;refID=7021349&amp;Result=3","7021349")</f>
        <v>0</v>
      </c>
      <c r="B12688" t="s">
        <v>401</v>
      </c>
      <c r="C12688" t="s">
        <v>15331</v>
      </c>
      <c r="D12688" t="s">
        <v>18052</v>
      </c>
      <c r="E12688" t="s">
        <v>29089</v>
      </c>
      <c r="F12688" t="s">
        <v>31574</v>
      </c>
      <c r="G12688" t="s">
        <v>31582</v>
      </c>
      <c r="H12688" t="s">
        <v>31590</v>
      </c>
      <c r="I12688" t="s">
        <v>31621</v>
      </c>
      <c r="J12688" t="s">
        <v>39553</v>
      </c>
      <c r="K12688" t="s">
        <v>41185</v>
      </c>
      <c r="M12688" t="s">
        <v>41892</v>
      </c>
      <c r="N12688" t="s">
        <v>45095</v>
      </c>
      <c r="O12688" t="s">
        <v>45096</v>
      </c>
      <c r="P12688">
        <v>0</v>
      </c>
      <c r="Q12688">
        <v>1</v>
      </c>
      <c r="R12688" t="s">
        <v>45111</v>
      </c>
      <c r="S12688" t="s">
        <v>45694</v>
      </c>
      <c r="T12688" t="s">
        <v>46914</v>
      </c>
      <c r="U12688" t="s">
        <v>51307</v>
      </c>
      <c r="W12688" t="s">
        <v>41892</v>
      </c>
      <c r="X12688" t="s">
        <v>45112</v>
      </c>
    </row>
    <row r="12689" spans="1:24">
      <c r="A12689">
        <f>HYPERLINK("https://www.philgeps.gov.ph/GEPSNONPILOT/Tender/SplashBidNoticeAbstractUI.aspx?menuIndex=3&amp;refID=7021354&amp;Result=3","7021354")</f>
        <v>0</v>
      </c>
      <c r="B12689" t="s">
        <v>2971</v>
      </c>
      <c r="C12689" t="s">
        <v>15332</v>
      </c>
      <c r="D12689" t="s">
        <v>18088</v>
      </c>
      <c r="E12689" t="s">
        <v>19098</v>
      </c>
      <c r="F12689" t="s">
        <v>31574</v>
      </c>
      <c r="G12689" t="s">
        <v>31582</v>
      </c>
      <c r="H12689" t="s">
        <v>31590</v>
      </c>
      <c r="I12689" t="s">
        <v>7185</v>
      </c>
      <c r="J12689" t="s">
        <v>39554</v>
      </c>
      <c r="K12689" t="s">
        <v>41191</v>
      </c>
      <c r="M12689" t="s">
        <v>44793</v>
      </c>
      <c r="N12689" t="s">
        <v>45095</v>
      </c>
      <c r="O12689" t="s">
        <v>45096</v>
      </c>
      <c r="P12689">
        <v>0</v>
      </c>
      <c r="Q12689">
        <v>8</v>
      </c>
      <c r="R12689" t="s">
        <v>45111</v>
      </c>
      <c r="S12689" t="s">
        <v>45694</v>
      </c>
      <c r="T12689" t="s">
        <v>47098</v>
      </c>
      <c r="U12689" t="s">
        <v>57798</v>
      </c>
      <c r="V12689" t="s">
        <v>61235</v>
      </c>
      <c r="W12689" t="s">
        <v>44793</v>
      </c>
      <c r="X12689" t="s">
        <v>45112</v>
      </c>
    </row>
    <row r="12690" spans="1:24">
      <c r="A12690">
        <f>HYPERLINK("https://www.philgeps.gov.ph/GEPSNONPILOT/Tender/SplashBidNoticeAbstractUI.aspx?menuIndex=3&amp;refID=7021359&amp;Result=3","7021359")</f>
        <v>0</v>
      </c>
      <c r="B12690" t="s">
        <v>1887</v>
      </c>
      <c r="C12690" t="s">
        <v>15333</v>
      </c>
      <c r="D12690" t="s">
        <v>18022</v>
      </c>
      <c r="E12690" t="s">
        <v>29090</v>
      </c>
      <c r="F12690" t="s">
        <v>31574</v>
      </c>
      <c r="G12690" t="s">
        <v>31584</v>
      </c>
      <c r="H12690" t="s">
        <v>31590</v>
      </c>
      <c r="I12690" t="s">
        <v>4046</v>
      </c>
      <c r="J12690" t="s">
        <v>39555</v>
      </c>
      <c r="K12690" t="s">
        <v>41184</v>
      </c>
      <c r="M12690" t="s">
        <v>43846</v>
      </c>
      <c r="N12690" t="s">
        <v>45095</v>
      </c>
      <c r="O12690" t="s">
        <v>45096</v>
      </c>
      <c r="Q12690">
        <v>5</v>
      </c>
      <c r="R12690" t="s">
        <v>45111</v>
      </c>
      <c r="S12690" t="s">
        <v>45750</v>
      </c>
      <c r="T12690" t="s">
        <v>47125</v>
      </c>
      <c r="U12690" t="s">
        <v>57799</v>
      </c>
      <c r="W12690" t="s">
        <v>43846</v>
      </c>
      <c r="X12690" t="s">
        <v>45112</v>
      </c>
    </row>
    <row r="12691" spans="1:24">
      <c r="A12691">
        <f>HYPERLINK("https://www.philgeps.gov.ph/GEPSNONPILOT/Tender/SplashBidNoticeAbstractUI.aspx?menuIndex=3&amp;refID=7021333&amp;Result=3","7021333")</f>
        <v>0</v>
      </c>
      <c r="B12691" t="s">
        <v>2948</v>
      </c>
      <c r="C12691" t="s">
        <v>15334</v>
      </c>
      <c r="D12691" t="s">
        <v>18095</v>
      </c>
      <c r="E12691" t="s">
        <v>29091</v>
      </c>
      <c r="F12691" t="s">
        <v>31574</v>
      </c>
      <c r="G12691" t="s">
        <v>31582</v>
      </c>
      <c r="H12691" t="s">
        <v>31591</v>
      </c>
      <c r="I12691" t="s">
        <v>8822</v>
      </c>
      <c r="J12691" t="s">
        <v>39556</v>
      </c>
      <c r="K12691" t="s">
        <v>41257</v>
      </c>
      <c r="M12691" t="s">
        <v>44762</v>
      </c>
      <c r="N12691" t="s">
        <v>45095</v>
      </c>
      <c r="O12691" t="s">
        <v>45096</v>
      </c>
      <c r="P12691">
        <v>0</v>
      </c>
      <c r="Q12691">
        <v>0</v>
      </c>
      <c r="R12691" t="s">
        <v>45111</v>
      </c>
      <c r="S12691" t="s">
        <v>45694</v>
      </c>
      <c r="T12691" t="s">
        <v>46966</v>
      </c>
      <c r="U12691" t="s">
        <v>57800</v>
      </c>
      <c r="W12691" t="s">
        <v>44762</v>
      </c>
      <c r="X12691" t="s">
        <v>45112</v>
      </c>
    </row>
    <row r="12692" spans="1:24">
      <c r="A12692">
        <f>HYPERLINK("https://www.philgeps.gov.ph/GEPSNONPILOT/Tender/SplashBidNoticeAbstractUI.aspx?menuIndex=3&amp;refID=7021345&amp;Result=3","7021345")</f>
        <v>0</v>
      </c>
      <c r="B12692" t="s">
        <v>2972</v>
      </c>
      <c r="C12692" t="s">
        <v>15335</v>
      </c>
      <c r="E12692" t="s">
        <v>19469</v>
      </c>
      <c r="F12692" t="s">
        <v>31574</v>
      </c>
      <c r="G12692" t="s">
        <v>31582</v>
      </c>
      <c r="H12692" t="s">
        <v>31590</v>
      </c>
      <c r="I12692" t="s">
        <v>3651</v>
      </c>
      <c r="J12692" t="s">
        <v>39557</v>
      </c>
      <c r="K12692" t="s">
        <v>41184</v>
      </c>
      <c r="M12692" t="s">
        <v>44794</v>
      </c>
      <c r="N12692" t="s">
        <v>45095</v>
      </c>
      <c r="O12692" t="s">
        <v>45096</v>
      </c>
      <c r="P12692">
        <v>0</v>
      </c>
      <c r="Q12692">
        <v>0</v>
      </c>
      <c r="R12692" t="s">
        <v>45111</v>
      </c>
      <c r="S12692" t="s">
        <v>45694</v>
      </c>
      <c r="T12692" t="s">
        <v>47154</v>
      </c>
      <c r="U12692" t="s">
        <v>57801</v>
      </c>
      <c r="W12692" t="s">
        <v>44794</v>
      </c>
      <c r="X12692" t="s">
        <v>45112</v>
      </c>
    </row>
    <row r="12693" spans="1:24">
      <c r="A12693">
        <f>HYPERLINK("https://www.philgeps.gov.ph/GEPSNONPILOT/Tender/SplashBidNoticeAbstractUI.aspx?menuIndex=3&amp;refID=7021337&amp;Result=3","7021337")</f>
        <v>0</v>
      </c>
      <c r="B12693" t="s">
        <v>2948</v>
      </c>
      <c r="C12693" t="s">
        <v>15336</v>
      </c>
      <c r="D12693" t="s">
        <v>18095</v>
      </c>
      <c r="E12693" t="s">
        <v>29092</v>
      </c>
      <c r="F12693" t="s">
        <v>31574</v>
      </c>
      <c r="G12693" t="s">
        <v>31582</v>
      </c>
      <c r="H12693" t="s">
        <v>31591</v>
      </c>
      <c r="I12693" t="s">
        <v>8822</v>
      </c>
      <c r="J12693" t="s">
        <v>39558</v>
      </c>
      <c r="K12693" t="s">
        <v>41253</v>
      </c>
      <c r="M12693" t="s">
        <v>44762</v>
      </c>
      <c r="N12693" t="s">
        <v>45095</v>
      </c>
      <c r="O12693" t="s">
        <v>45096</v>
      </c>
      <c r="P12693">
        <v>0</v>
      </c>
      <c r="Q12693">
        <v>0</v>
      </c>
      <c r="R12693" t="s">
        <v>45111</v>
      </c>
      <c r="S12693" t="s">
        <v>45694</v>
      </c>
      <c r="T12693" t="s">
        <v>46966</v>
      </c>
      <c r="U12693" t="s">
        <v>57797</v>
      </c>
      <c r="W12693" t="s">
        <v>44762</v>
      </c>
      <c r="X12693" t="s">
        <v>45112</v>
      </c>
    </row>
    <row r="12694" spans="1:24">
      <c r="A12694">
        <f>HYPERLINK("https://www.philgeps.gov.ph/GEPSNONPILOT/Tender/SplashBidNoticeAbstractUI.aspx?menuIndex=3&amp;refID=7021347&amp;Result=3","7021347")</f>
        <v>0</v>
      </c>
      <c r="B12694" t="s">
        <v>2948</v>
      </c>
      <c r="C12694" t="s">
        <v>15337</v>
      </c>
      <c r="D12694" t="s">
        <v>18095</v>
      </c>
      <c r="E12694" t="s">
        <v>29093</v>
      </c>
      <c r="F12694" t="s">
        <v>31574</v>
      </c>
      <c r="G12694" t="s">
        <v>31582</v>
      </c>
      <c r="H12694" t="s">
        <v>31591</v>
      </c>
      <c r="I12694" t="s">
        <v>8822</v>
      </c>
      <c r="J12694" t="s">
        <v>32550</v>
      </c>
      <c r="K12694" t="s">
        <v>41189</v>
      </c>
      <c r="M12694" t="s">
        <v>44762</v>
      </c>
      <c r="N12694" t="s">
        <v>45095</v>
      </c>
      <c r="O12694" t="s">
        <v>45096</v>
      </c>
      <c r="P12694">
        <v>0</v>
      </c>
      <c r="Q12694">
        <v>1</v>
      </c>
      <c r="R12694" t="s">
        <v>45111</v>
      </c>
      <c r="S12694" t="s">
        <v>45694</v>
      </c>
      <c r="T12694" t="s">
        <v>46966</v>
      </c>
      <c r="U12694" t="s">
        <v>57802</v>
      </c>
      <c r="W12694" t="s">
        <v>44762</v>
      </c>
      <c r="X12694" t="s">
        <v>45112</v>
      </c>
    </row>
    <row r="12695" spans="1:24">
      <c r="A12695">
        <f>HYPERLINK("https://www.philgeps.gov.ph/GEPSNONPILOT/Tender/SplashBidNoticeAbstractUI.aspx?menuIndex=3&amp;refID=7021410&amp;Result=3","7021410")</f>
        <v>0</v>
      </c>
      <c r="B12695" t="s">
        <v>50</v>
      </c>
      <c r="C12695" t="s">
        <v>15338</v>
      </c>
      <c r="D12695" t="s">
        <v>18042</v>
      </c>
      <c r="E12695" t="s">
        <v>29094</v>
      </c>
      <c r="F12695" t="s">
        <v>31574</v>
      </c>
      <c r="G12695" t="s">
        <v>31582</v>
      </c>
      <c r="H12695" t="s">
        <v>31590</v>
      </c>
      <c r="I12695" t="s">
        <v>31605</v>
      </c>
      <c r="J12695" t="s">
        <v>39559</v>
      </c>
      <c r="K12695" t="s">
        <v>41186</v>
      </c>
      <c r="M12695" t="s">
        <v>41533</v>
      </c>
      <c r="N12695" t="s">
        <v>45095</v>
      </c>
      <c r="O12695" t="s">
        <v>45096</v>
      </c>
      <c r="P12695">
        <v>0</v>
      </c>
      <c r="Q12695">
        <v>1</v>
      </c>
      <c r="R12695" t="s">
        <v>45111</v>
      </c>
      <c r="S12695" t="s">
        <v>45694</v>
      </c>
      <c r="T12695" t="s">
        <v>46926</v>
      </c>
      <c r="U12695" t="s">
        <v>57803</v>
      </c>
      <c r="W12695" t="s">
        <v>41533</v>
      </c>
      <c r="X12695" t="s">
        <v>45112</v>
      </c>
    </row>
    <row r="12696" spans="1:24">
      <c r="A12696">
        <f>HYPERLINK("https://www.philgeps.gov.ph/GEPSNONPILOT/Tender/SplashBidNoticeAbstractUI.aspx?menuIndex=3&amp;refID=7021395&amp;Result=3","7021395")</f>
        <v>0</v>
      </c>
      <c r="B12696" t="s">
        <v>2973</v>
      </c>
      <c r="C12696" t="s">
        <v>15339</v>
      </c>
      <c r="D12696" t="s">
        <v>18076</v>
      </c>
      <c r="E12696" t="s">
        <v>29095</v>
      </c>
      <c r="F12696" t="s">
        <v>31574</v>
      </c>
      <c r="G12696" t="s">
        <v>31582</v>
      </c>
      <c r="H12696" t="s">
        <v>31590</v>
      </c>
      <c r="I12696" t="s">
        <v>31631</v>
      </c>
      <c r="J12696" t="s">
        <v>32026</v>
      </c>
      <c r="K12696" t="s">
        <v>41192</v>
      </c>
      <c r="M12696" t="s">
        <v>44795</v>
      </c>
      <c r="N12696" t="s">
        <v>45095</v>
      </c>
      <c r="O12696" t="s">
        <v>45096</v>
      </c>
      <c r="P12696">
        <v>0</v>
      </c>
      <c r="Q12696">
        <v>1</v>
      </c>
      <c r="R12696" t="s">
        <v>45111</v>
      </c>
      <c r="S12696" t="s">
        <v>45694</v>
      </c>
      <c r="T12696" t="s">
        <v>46920</v>
      </c>
      <c r="U12696" t="s">
        <v>57804</v>
      </c>
      <c r="W12696" t="s">
        <v>44795</v>
      </c>
      <c r="X12696" t="s">
        <v>45112</v>
      </c>
    </row>
    <row r="12697" spans="1:24">
      <c r="A12697">
        <f>HYPERLINK("https://www.philgeps.gov.ph/GEPSNONPILOT/Tender/SplashBidNoticeAbstractUI.aspx?menuIndex=3&amp;refID=7021406&amp;Result=3","7021406")</f>
        <v>0</v>
      </c>
      <c r="B12697" t="s">
        <v>50</v>
      </c>
      <c r="C12697" t="s">
        <v>15340</v>
      </c>
      <c r="D12697" t="s">
        <v>18042</v>
      </c>
      <c r="E12697" t="s">
        <v>29096</v>
      </c>
      <c r="F12697" t="s">
        <v>31574</v>
      </c>
      <c r="G12697" t="s">
        <v>31582</v>
      </c>
      <c r="H12697" t="s">
        <v>31590</v>
      </c>
      <c r="I12697" t="s">
        <v>31615</v>
      </c>
      <c r="J12697" t="s">
        <v>32421</v>
      </c>
      <c r="K12697" t="s">
        <v>41186</v>
      </c>
      <c r="M12697" t="s">
        <v>41533</v>
      </c>
      <c r="N12697" t="s">
        <v>45095</v>
      </c>
      <c r="O12697" t="s">
        <v>45096</v>
      </c>
      <c r="P12697">
        <v>0</v>
      </c>
      <c r="Q12697">
        <v>3</v>
      </c>
      <c r="R12697" t="s">
        <v>45111</v>
      </c>
      <c r="S12697" t="s">
        <v>45694</v>
      </c>
      <c r="T12697" t="s">
        <v>46926</v>
      </c>
      <c r="U12697" t="s">
        <v>57805</v>
      </c>
      <c r="W12697" t="s">
        <v>41533</v>
      </c>
      <c r="X12697" t="s">
        <v>45112</v>
      </c>
    </row>
    <row r="12698" spans="1:24">
      <c r="A12698">
        <f>HYPERLINK("https://www.philgeps.gov.ph/GEPSNONPILOT/Tender/SplashBidNoticeAbstractUI.aspx?menuIndex=3&amp;refID=7021378&amp;Result=3","7021378")</f>
        <v>0</v>
      </c>
      <c r="B12698" t="s">
        <v>2974</v>
      </c>
      <c r="C12698" t="s">
        <v>15341</v>
      </c>
      <c r="D12698" t="s">
        <v>18044</v>
      </c>
      <c r="E12698" t="s">
        <v>29097</v>
      </c>
      <c r="F12698" t="s">
        <v>31574</v>
      </c>
      <c r="G12698" t="s">
        <v>31581</v>
      </c>
      <c r="H12698" t="s">
        <v>31590</v>
      </c>
      <c r="I12698" t="s">
        <v>5717</v>
      </c>
      <c r="J12698" t="s">
        <v>39560</v>
      </c>
      <c r="K12698" t="s">
        <v>41211</v>
      </c>
      <c r="M12698" t="s">
        <v>44796</v>
      </c>
      <c r="N12698" t="s">
        <v>45095</v>
      </c>
      <c r="O12698" t="s">
        <v>45096</v>
      </c>
      <c r="P12698">
        <v>0</v>
      </c>
      <c r="Q12698">
        <v>1</v>
      </c>
      <c r="R12698" t="s">
        <v>45111</v>
      </c>
      <c r="S12698" t="s">
        <v>45694</v>
      </c>
      <c r="T12698" t="s">
        <v>47164</v>
      </c>
      <c r="U12698" t="s">
        <v>57806</v>
      </c>
      <c r="W12698" t="s">
        <v>44796</v>
      </c>
      <c r="X12698" t="s">
        <v>45112</v>
      </c>
    </row>
    <row r="12699" spans="1:24">
      <c r="A12699">
        <f>HYPERLINK("https://www.philgeps.gov.ph/GEPSNONPILOT/Tender/SplashBidNoticeAbstractUI.aspx?menuIndex=3&amp;refID=7021411&amp;Result=3","7021411")</f>
        <v>0</v>
      </c>
      <c r="B12699" t="s">
        <v>1153</v>
      </c>
      <c r="C12699" t="s">
        <v>15342</v>
      </c>
      <c r="D12699" t="s">
        <v>18036</v>
      </c>
      <c r="E12699" t="s">
        <v>29098</v>
      </c>
      <c r="F12699" t="s">
        <v>31574</v>
      </c>
      <c r="G12699" t="s">
        <v>31582</v>
      </c>
      <c r="H12699" t="s">
        <v>31591</v>
      </c>
      <c r="I12699" t="s">
        <v>8822</v>
      </c>
      <c r="J12699" t="s">
        <v>31730</v>
      </c>
      <c r="K12699" t="s">
        <v>41287</v>
      </c>
      <c r="M12699" t="s">
        <v>42709</v>
      </c>
      <c r="N12699" t="s">
        <v>45095</v>
      </c>
      <c r="O12699" t="s">
        <v>45096</v>
      </c>
      <c r="P12699">
        <v>0</v>
      </c>
      <c r="Q12699">
        <v>0</v>
      </c>
      <c r="R12699" t="s">
        <v>45111</v>
      </c>
      <c r="S12699" t="s">
        <v>45694</v>
      </c>
      <c r="T12699" t="s">
        <v>46943</v>
      </c>
      <c r="U12699" t="s">
        <v>57807</v>
      </c>
      <c r="W12699" t="s">
        <v>61768</v>
      </c>
      <c r="X12699" t="s">
        <v>45112</v>
      </c>
    </row>
    <row r="12700" spans="1:24">
      <c r="A12700">
        <f>HYPERLINK("https://www.philgeps.gov.ph/GEPSNONPILOT/Tender/SplashBidNoticeAbstractUI.aspx?menuIndex=3&amp;refID=7021380&amp;Result=3","7021380")</f>
        <v>0</v>
      </c>
      <c r="B12700" t="s">
        <v>2972</v>
      </c>
      <c r="C12700" t="s">
        <v>15343</v>
      </c>
      <c r="E12700" t="s">
        <v>19894</v>
      </c>
      <c r="F12700" t="s">
        <v>31574</v>
      </c>
      <c r="G12700" t="s">
        <v>31582</v>
      </c>
      <c r="H12700" t="s">
        <v>31590</v>
      </c>
      <c r="I12700" t="s">
        <v>3520</v>
      </c>
      <c r="J12700" t="s">
        <v>39561</v>
      </c>
      <c r="K12700" t="s">
        <v>41184</v>
      </c>
      <c r="M12700" t="s">
        <v>44794</v>
      </c>
      <c r="N12700" t="s">
        <v>45095</v>
      </c>
      <c r="O12700" t="s">
        <v>45096</v>
      </c>
      <c r="P12700">
        <v>0</v>
      </c>
      <c r="Q12700">
        <v>1</v>
      </c>
      <c r="R12700" t="s">
        <v>45111</v>
      </c>
      <c r="S12700" t="s">
        <v>45694</v>
      </c>
      <c r="T12700" t="s">
        <v>47154</v>
      </c>
      <c r="U12700" t="s">
        <v>57808</v>
      </c>
      <c r="W12700" t="s">
        <v>44794</v>
      </c>
      <c r="X12700" t="s">
        <v>45112</v>
      </c>
    </row>
    <row r="12701" spans="1:24">
      <c r="A12701">
        <f>HYPERLINK("https://www.philgeps.gov.ph/GEPSNONPILOT/Tender/SplashBidNoticeAbstractUI.aspx?menuIndex=3&amp;refID=7021449&amp;Result=3","7021449")</f>
        <v>0</v>
      </c>
      <c r="B12701" t="s">
        <v>2837</v>
      </c>
      <c r="C12701" t="s">
        <v>15344</v>
      </c>
      <c r="D12701" t="s">
        <v>18065</v>
      </c>
      <c r="E12701" t="s">
        <v>29099</v>
      </c>
      <c r="F12701" t="s">
        <v>31574</v>
      </c>
      <c r="G12701" t="s">
        <v>31582</v>
      </c>
      <c r="H12701" t="s">
        <v>31591</v>
      </c>
      <c r="I12701" t="s">
        <v>8822</v>
      </c>
      <c r="J12701" t="s">
        <v>39562</v>
      </c>
      <c r="K12701" t="s">
        <v>41184</v>
      </c>
      <c r="L12701" t="s">
        <v>2837</v>
      </c>
      <c r="M12701" t="s">
        <v>44618</v>
      </c>
      <c r="N12701" t="s">
        <v>45095</v>
      </c>
      <c r="O12701" t="s">
        <v>45096</v>
      </c>
      <c r="P12701">
        <v>0</v>
      </c>
      <c r="Q12701">
        <v>0</v>
      </c>
      <c r="R12701" t="s">
        <v>45111</v>
      </c>
      <c r="S12701" t="s">
        <v>45694</v>
      </c>
      <c r="T12701" t="s">
        <v>46926</v>
      </c>
      <c r="U12701" t="s">
        <v>57809</v>
      </c>
      <c r="V12701" t="s">
        <v>61054</v>
      </c>
      <c r="W12701" t="s">
        <v>44618</v>
      </c>
      <c r="X12701" t="s">
        <v>45112</v>
      </c>
    </row>
    <row r="12702" spans="1:24">
      <c r="A12702">
        <f>HYPERLINK("https://www.philgeps.gov.ph/GEPSNONPILOT/Tender/SplashBidNoticeAbstractUI.aspx?menuIndex=3&amp;refID=7021330&amp;Result=3","7021330")</f>
        <v>0</v>
      </c>
      <c r="B12702" t="s">
        <v>2975</v>
      </c>
      <c r="C12702" t="s">
        <v>4157</v>
      </c>
      <c r="D12702" t="s">
        <v>18072</v>
      </c>
      <c r="E12702" t="s">
        <v>29100</v>
      </c>
      <c r="F12702" t="s">
        <v>31574</v>
      </c>
      <c r="G12702" t="s">
        <v>31582</v>
      </c>
      <c r="H12702" t="s">
        <v>31590</v>
      </c>
      <c r="I12702" t="s">
        <v>31598</v>
      </c>
      <c r="J12702" t="s">
        <v>34968</v>
      </c>
      <c r="K12702" t="s">
        <v>41185</v>
      </c>
      <c r="M12702" t="s">
        <v>44797</v>
      </c>
      <c r="N12702" t="s">
        <v>45095</v>
      </c>
      <c r="O12702" t="s">
        <v>45096</v>
      </c>
      <c r="Q12702">
        <v>17</v>
      </c>
      <c r="R12702" t="s">
        <v>45111</v>
      </c>
      <c r="S12702" t="s">
        <v>45751</v>
      </c>
      <c r="T12702" t="s">
        <v>46979</v>
      </c>
      <c r="U12702" t="s">
        <v>57810</v>
      </c>
      <c r="W12702" t="s">
        <v>44797</v>
      </c>
      <c r="X12702" t="s">
        <v>45112</v>
      </c>
    </row>
    <row r="12703" spans="1:24">
      <c r="A12703">
        <f>HYPERLINK("https://www.philgeps.gov.ph/GEPSNONPILOT/Tender/SplashBidNoticeAbstractUI.aspx?menuIndex=3&amp;refID=7021427&amp;Result=3","7021427")</f>
        <v>0</v>
      </c>
      <c r="B12703" t="s">
        <v>2976</v>
      </c>
      <c r="C12703" t="s">
        <v>15345</v>
      </c>
      <c r="D12703" t="s">
        <v>18073</v>
      </c>
      <c r="E12703" t="s">
        <v>20000</v>
      </c>
      <c r="F12703" t="s">
        <v>31574</v>
      </c>
      <c r="G12703" t="s">
        <v>31582</v>
      </c>
      <c r="H12703" t="s">
        <v>31591</v>
      </c>
      <c r="I12703" t="s">
        <v>8822</v>
      </c>
      <c r="J12703" t="s">
        <v>31781</v>
      </c>
      <c r="K12703" t="s">
        <v>41317</v>
      </c>
      <c r="M12703" t="s">
        <v>44798</v>
      </c>
      <c r="N12703" t="s">
        <v>45095</v>
      </c>
      <c r="O12703" t="s">
        <v>45096</v>
      </c>
      <c r="P12703">
        <v>0</v>
      </c>
      <c r="Q12703">
        <v>0</v>
      </c>
      <c r="R12703" t="s">
        <v>45111</v>
      </c>
      <c r="S12703" t="s">
        <v>45694</v>
      </c>
      <c r="T12703" t="s">
        <v>46955</v>
      </c>
      <c r="U12703" t="s">
        <v>57811</v>
      </c>
      <c r="W12703" t="s">
        <v>44798</v>
      </c>
      <c r="X12703" t="s">
        <v>45112</v>
      </c>
    </row>
    <row r="12704" spans="1:24">
      <c r="A12704">
        <f>HYPERLINK("https://www.philgeps.gov.ph/GEPSNONPILOT/Tender/SplashBidNoticeAbstractUI.aspx?menuIndex=3&amp;refID=7021461&amp;Result=3","7021461")</f>
        <v>0</v>
      </c>
      <c r="B12704" t="s">
        <v>2837</v>
      </c>
      <c r="C12704" t="s">
        <v>15346</v>
      </c>
      <c r="D12704" t="s">
        <v>18065</v>
      </c>
      <c r="E12704" t="s">
        <v>29101</v>
      </c>
      <c r="F12704" t="s">
        <v>31574</v>
      </c>
      <c r="G12704" t="s">
        <v>31582</v>
      </c>
      <c r="H12704" t="s">
        <v>31591</v>
      </c>
      <c r="I12704" t="s">
        <v>8822</v>
      </c>
      <c r="J12704" t="s">
        <v>34071</v>
      </c>
      <c r="K12704" t="s">
        <v>41184</v>
      </c>
      <c r="L12704" t="s">
        <v>2837</v>
      </c>
      <c r="M12704" t="s">
        <v>44618</v>
      </c>
      <c r="N12704" t="s">
        <v>45095</v>
      </c>
      <c r="O12704" t="s">
        <v>45096</v>
      </c>
      <c r="P12704">
        <v>0</v>
      </c>
      <c r="Q12704">
        <v>1</v>
      </c>
      <c r="R12704" t="s">
        <v>45111</v>
      </c>
      <c r="S12704" t="s">
        <v>45694</v>
      </c>
      <c r="T12704" t="s">
        <v>46926</v>
      </c>
      <c r="U12704" t="s">
        <v>57809</v>
      </c>
      <c r="V12704" t="s">
        <v>61054</v>
      </c>
      <c r="W12704" t="s">
        <v>44618</v>
      </c>
      <c r="X12704" t="s">
        <v>45112</v>
      </c>
    </row>
    <row r="12705" spans="1:24">
      <c r="A12705">
        <f>HYPERLINK("https://www.philgeps.gov.ph/GEPSNONPILOT/Tender/SplashBidNoticeAbstractUI.aspx?menuIndex=3&amp;refID=7021389&amp;Result=3","7021389")</f>
        <v>0</v>
      </c>
      <c r="B12705" t="s">
        <v>2973</v>
      </c>
      <c r="C12705" t="s">
        <v>15347</v>
      </c>
      <c r="D12705" t="s">
        <v>18076</v>
      </c>
      <c r="E12705" t="s">
        <v>29102</v>
      </c>
      <c r="F12705" t="s">
        <v>31574</v>
      </c>
      <c r="G12705" t="s">
        <v>31582</v>
      </c>
      <c r="H12705" t="s">
        <v>31590</v>
      </c>
      <c r="I12705" t="s">
        <v>31615</v>
      </c>
      <c r="J12705" t="s">
        <v>35542</v>
      </c>
      <c r="K12705" t="s">
        <v>41243</v>
      </c>
      <c r="M12705" t="s">
        <v>44795</v>
      </c>
      <c r="N12705" t="s">
        <v>45095</v>
      </c>
      <c r="O12705" t="s">
        <v>45096</v>
      </c>
      <c r="P12705">
        <v>0</v>
      </c>
      <c r="Q12705">
        <v>3</v>
      </c>
      <c r="R12705" t="s">
        <v>45111</v>
      </c>
      <c r="S12705" t="s">
        <v>45694</v>
      </c>
      <c r="T12705" t="s">
        <v>46920</v>
      </c>
      <c r="U12705" t="s">
        <v>57812</v>
      </c>
      <c r="W12705" t="s">
        <v>44795</v>
      </c>
      <c r="X12705" t="s">
        <v>45112</v>
      </c>
    </row>
    <row r="12706" spans="1:24">
      <c r="A12706">
        <f>HYPERLINK("https://www.philgeps.gov.ph/GEPSNONPILOT/Tender/SplashBidNoticeAbstractUI.aspx?menuIndex=3&amp;refID=7021415&amp;Result=3","7021415")</f>
        <v>0</v>
      </c>
      <c r="B12706" t="s">
        <v>2977</v>
      </c>
      <c r="C12706" t="s">
        <v>15348</v>
      </c>
      <c r="D12706" t="s">
        <v>18031</v>
      </c>
      <c r="E12706" t="s">
        <v>29103</v>
      </c>
      <c r="F12706" t="s">
        <v>31574</v>
      </c>
      <c r="G12706" t="s">
        <v>31582</v>
      </c>
      <c r="H12706" t="s">
        <v>31591</v>
      </c>
      <c r="I12706" t="s">
        <v>8822</v>
      </c>
      <c r="J12706" t="s">
        <v>39563</v>
      </c>
      <c r="K12706" t="s">
        <v>41256</v>
      </c>
      <c r="M12706" t="s">
        <v>44799</v>
      </c>
      <c r="N12706" t="s">
        <v>45095</v>
      </c>
      <c r="O12706" t="s">
        <v>45096</v>
      </c>
      <c r="P12706">
        <v>0</v>
      </c>
      <c r="Q12706">
        <v>38</v>
      </c>
      <c r="R12706" t="s">
        <v>45111</v>
      </c>
      <c r="S12706" t="s">
        <v>45694</v>
      </c>
      <c r="T12706" t="s">
        <v>46945</v>
      </c>
      <c r="U12706" t="s">
        <v>57813</v>
      </c>
      <c r="W12706" t="s">
        <v>44799</v>
      </c>
      <c r="X12706" t="s">
        <v>45112</v>
      </c>
    </row>
    <row r="12707" spans="1:24">
      <c r="A12707">
        <f>HYPERLINK("https://www.philgeps.gov.ph/GEPSNONPILOT/Tender/SplashBidNoticeAbstractUI.aspx?menuIndex=3&amp;refID=7021429&amp;Result=3","7021429")</f>
        <v>0</v>
      </c>
      <c r="B12707" t="s">
        <v>1153</v>
      </c>
      <c r="C12707" t="s">
        <v>15349</v>
      </c>
      <c r="D12707" t="s">
        <v>18036</v>
      </c>
      <c r="E12707" t="s">
        <v>29104</v>
      </c>
      <c r="F12707" t="s">
        <v>31574</v>
      </c>
      <c r="G12707" t="s">
        <v>31582</v>
      </c>
      <c r="H12707" t="s">
        <v>31591</v>
      </c>
      <c r="I12707" t="s">
        <v>8822</v>
      </c>
      <c r="J12707" t="s">
        <v>31730</v>
      </c>
      <c r="K12707" t="s">
        <v>41200</v>
      </c>
      <c r="M12707" t="s">
        <v>42709</v>
      </c>
      <c r="N12707" t="s">
        <v>45095</v>
      </c>
      <c r="O12707" t="s">
        <v>45096</v>
      </c>
      <c r="P12707">
        <v>0</v>
      </c>
      <c r="Q12707">
        <v>0</v>
      </c>
      <c r="R12707" t="s">
        <v>45111</v>
      </c>
      <c r="S12707" t="s">
        <v>45694</v>
      </c>
      <c r="T12707" t="s">
        <v>46943</v>
      </c>
      <c r="U12707" t="s">
        <v>57814</v>
      </c>
      <c r="W12707" t="s">
        <v>61768</v>
      </c>
      <c r="X12707" t="s">
        <v>45112</v>
      </c>
    </row>
    <row r="12708" spans="1:24">
      <c r="A12708">
        <f>HYPERLINK("https://www.philgeps.gov.ph/GEPSNONPILOT/Tender/SplashBidNoticeAbstractUI.aspx?menuIndex=3&amp;refID=7021455&amp;Result=3","7021455")</f>
        <v>0</v>
      </c>
      <c r="B12708" t="s">
        <v>2837</v>
      </c>
      <c r="C12708" t="s">
        <v>15350</v>
      </c>
      <c r="D12708" t="s">
        <v>18065</v>
      </c>
      <c r="E12708" t="s">
        <v>29105</v>
      </c>
      <c r="F12708" t="s">
        <v>31574</v>
      </c>
      <c r="G12708" t="s">
        <v>31582</v>
      </c>
      <c r="H12708" t="s">
        <v>31591</v>
      </c>
      <c r="I12708" t="s">
        <v>8822</v>
      </c>
      <c r="J12708" t="s">
        <v>34058</v>
      </c>
      <c r="K12708" t="s">
        <v>41184</v>
      </c>
      <c r="L12708" t="s">
        <v>2837</v>
      </c>
      <c r="M12708" t="s">
        <v>44618</v>
      </c>
      <c r="N12708" t="s">
        <v>45095</v>
      </c>
      <c r="O12708" t="s">
        <v>45096</v>
      </c>
      <c r="P12708">
        <v>0</v>
      </c>
      <c r="Q12708">
        <v>0</v>
      </c>
      <c r="R12708" t="s">
        <v>45111</v>
      </c>
      <c r="S12708" t="s">
        <v>45694</v>
      </c>
      <c r="T12708" t="s">
        <v>46926</v>
      </c>
      <c r="U12708" t="s">
        <v>57809</v>
      </c>
      <c r="V12708" t="s">
        <v>61054</v>
      </c>
      <c r="W12708" t="s">
        <v>44618</v>
      </c>
      <c r="X12708" t="s">
        <v>45112</v>
      </c>
    </row>
    <row r="12709" spans="1:24">
      <c r="A12709">
        <f>HYPERLINK("https://www.philgeps.gov.ph/GEPSNONPILOT/Tender/SplashBidNoticeAbstractUI.aspx?menuIndex=3&amp;refID=7021414&amp;Result=3","7021414")</f>
        <v>0</v>
      </c>
      <c r="B12709" t="s">
        <v>1153</v>
      </c>
      <c r="C12709" t="s">
        <v>15351</v>
      </c>
      <c r="D12709" t="s">
        <v>18036</v>
      </c>
      <c r="E12709" t="s">
        <v>29106</v>
      </c>
      <c r="F12709" t="s">
        <v>31574</v>
      </c>
      <c r="G12709" t="s">
        <v>31582</v>
      </c>
      <c r="H12709" t="s">
        <v>31591</v>
      </c>
      <c r="I12709" t="s">
        <v>8822</v>
      </c>
      <c r="J12709" t="s">
        <v>31730</v>
      </c>
      <c r="K12709" t="s">
        <v>41200</v>
      </c>
      <c r="M12709" t="s">
        <v>42709</v>
      </c>
      <c r="N12709" t="s">
        <v>45095</v>
      </c>
      <c r="O12709" t="s">
        <v>45096</v>
      </c>
      <c r="P12709">
        <v>0</v>
      </c>
      <c r="Q12709">
        <v>1</v>
      </c>
      <c r="R12709" t="s">
        <v>45111</v>
      </c>
      <c r="S12709" t="s">
        <v>45694</v>
      </c>
      <c r="T12709" t="s">
        <v>46943</v>
      </c>
      <c r="U12709" t="s">
        <v>57815</v>
      </c>
      <c r="W12709" t="s">
        <v>61768</v>
      </c>
      <c r="X12709" t="s">
        <v>45112</v>
      </c>
    </row>
    <row r="12710" spans="1:24">
      <c r="A12710">
        <f>HYPERLINK("https://www.philgeps.gov.ph/GEPSNONPILOT/Tender/SplashBidNoticeAbstractUI.aspx?menuIndex=3&amp;refID=7021442&amp;Result=3","7021442")</f>
        <v>0</v>
      </c>
      <c r="B12710" t="s">
        <v>1153</v>
      </c>
      <c r="C12710" t="s">
        <v>15352</v>
      </c>
      <c r="D12710" t="s">
        <v>18036</v>
      </c>
      <c r="E12710" t="s">
        <v>29107</v>
      </c>
      <c r="F12710" t="s">
        <v>31574</v>
      </c>
      <c r="G12710" t="s">
        <v>31582</v>
      </c>
      <c r="H12710" t="s">
        <v>31591</v>
      </c>
      <c r="I12710" t="s">
        <v>8822</v>
      </c>
      <c r="J12710" t="s">
        <v>32550</v>
      </c>
      <c r="K12710" t="s">
        <v>41198</v>
      </c>
      <c r="M12710" t="s">
        <v>42709</v>
      </c>
      <c r="N12710" t="s">
        <v>45095</v>
      </c>
      <c r="O12710" t="s">
        <v>45096</v>
      </c>
      <c r="P12710">
        <v>0</v>
      </c>
      <c r="Q12710">
        <v>0</v>
      </c>
      <c r="R12710" t="s">
        <v>45111</v>
      </c>
      <c r="S12710" t="s">
        <v>45694</v>
      </c>
      <c r="T12710" t="s">
        <v>46943</v>
      </c>
      <c r="U12710" t="s">
        <v>57816</v>
      </c>
      <c r="W12710" t="s">
        <v>61768</v>
      </c>
      <c r="X12710" t="s">
        <v>45112</v>
      </c>
    </row>
    <row r="12711" spans="1:24">
      <c r="A12711">
        <f>HYPERLINK("https://www.philgeps.gov.ph/GEPSNONPILOT/Tender/SplashBidNoticeAbstractUI.aspx?menuIndex=3&amp;refID=7021465&amp;Result=3","7021465")</f>
        <v>0</v>
      </c>
      <c r="B12711" t="s">
        <v>2837</v>
      </c>
      <c r="C12711" t="s">
        <v>15353</v>
      </c>
      <c r="D12711" t="s">
        <v>18065</v>
      </c>
      <c r="E12711" t="s">
        <v>29108</v>
      </c>
      <c r="F12711" t="s">
        <v>31574</v>
      </c>
      <c r="G12711" t="s">
        <v>31582</v>
      </c>
      <c r="H12711" t="s">
        <v>31591</v>
      </c>
      <c r="I12711" t="s">
        <v>8822</v>
      </c>
      <c r="J12711" t="s">
        <v>39564</v>
      </c>
      <c r="K12711" t="s">
        <v>41184</v>
      </c>
      <c r="L12711" t="s">
        <v>2837</v>
      </c>
      <c r="M12711" t="s">
        <v>44618</v>
      </c>
      <c r="N12711" t="s">
        <v>45095</v>
      </c>
      <c r="O12711" t="s">
        <v>45096</v>
      </c>
      <c r="P12711">
        <v>0</v>
      </c>
      <c r="Q12711">
        <v>1</v>
      </c>
      <c r="R12711" t="s">
        <v>45111</v>
      </c>
      <c r="S12711" t="s">
        <v>45694</v>
      </c>
      <c r="T12711" t="s">
        <v>46926</v>
      </c>
      <c r="U12711" t="s">
        <v>57809</v>
      </c>
      <c r="V12711" t="s">
        <v>61054</v>
      </c>
      <c r="W12711" t="s">
        <v>44618</v>
      </c>
      <c r="X12711" t="s">
        <v>45112</v>
      </c>
    </row>
    <row r="12712" spans="1:24">
      <c r="A12712">
        <f>HYPERLINK("https://www.philgeps.gov.ph/GEPSNONPILOT/Tender/SplashBidNoticeAbstractUI.aspx?menuIndex=3&amp;refID=7021495&amp;Result=3","7021495")</f>
        <v>0</v>
      </c>
      <c r="B12712" t="s">
        <v>2308</v>
      </c>
      <c r="C12712" t="s">
        <v>15354</v>
      </c>
      <c r="D12712" t="s">
        <v>18096</v>
      </c>
      <c r="E12712" t="s">
        <v>29109</v>
      </c>
      <c r="F12712" t="s">
        <v>31574</v>
      </c>
      <c r="G12712" t="s">
        <v>31582</v>
      </c>
      <c r="H12712" t="s">
        <v>31591</v>
      </c>
      <c r="I12712" t="s">
        <v>8822</v>
      </c>
      <c r="J12712" t="s">
        <v>39565</v>
      </c>
      <c r="K12712" t="s">
        <v>41200</v>
      </c>
      <c r="M12712" t="s">
        <v>44018</v>
      </c>
      <c r="N12712" t="s">
        <v>45095</v>
      </c>
      <c r="O12712" t="s">
        <v>45096</v>
      </c>
      <c r="P12712">
        <v>0</v>
      </c>
      <c r="Q12712">
        <v>0</v>
      </c>
      <c r="R12712" t="s">
        <v>45111</v>
      </c>
      <c r="S12712" t="s">
        <v>45694</v>
      </c>
      <c r="T12712" t="s">
        <v>46979</v>
      </c>
      <c r="U12712" t="s">
        <v>57817</v>
      </c>
      <c r="W12712" t="s">
        <v>44018</v>
      </c>
      <c r="X12712" t="s">
        <v>45112</v>
      </c>
    </row>
    <row r="12713" spans="1:24">
      <c r="A12713">
        <f>HYPERLINK("https://www.philgeps.gov.ph/GEPSNONPILOT/Tender/SplashBidNoticeAbstractUI.aspx?menuIndex=3&amp;refID=7021412&amp;Result=3","7021412")</f>
        <v>0</v>
      </c>
      <c r="B12713" t="s">
        <v>2977</v>
      </c>
      <c r="C12713" t="s">
        <v>15355</v>
      </c>
      <c r="D12713" t="s">
        <v>18031</v>
      </c>
      <c r="E12713" t="s">
        <v>29110</v>
      </c>
      <c r="F12713" t="s">
        <v>31574</v>
      </c>
      <c r="G12713" t="s">
        <v>31582</v>
      </c>
      <c r="H12713" t="s">
        <v>31591</v>
      </c>
      <c r="I12713" t="s">
        <v>8822</v>
      </c>
      <c r="J12713" t="s">
        <v>39566</v>
      </c>
      <c r="K12713" t="s">
        <v>41256</v>
      </c>
      <c r="M12713" t="s">
        <v>44799</v>
      </c>
      <c r="N12713" t="s">
        <v>45095</v>
      </c>
      <c r="O12713" t="s">
        <v>45096</v>
      </c>
      <c r="P12713">
        <v>0</v>
      </c>
      <c r="Q12713">
        <v>38</v>
      </c>
      <c r="R12713" t="s">
        <v>45111</v>
      </c>
      <c r="S12713" t="s">
        <v>45694</v>
      </c>
      <c r="T12713" t="s">
        <v>46945</v>
      </c>
      <c r="U12713" t="s">
        <v>57818</v>
      </c>
      <c r="W12713" t="s">
        <v>44799</v>
      </c>
      <c r="X12713" t="s">
        <v>45112</v>
      </c>
    </row>
    <row r="12714" spans="1:24">
      <c r="A12714">
        <f>HYPERLINK("https://www.philgeps.gov.ph/GEPSNONPILOT/Tender/SplashBidNoticeAbstractUI.aspx?menuIndex=3&amp;refID=7021502&amp;Result=3","7021502")</f>
        <v>0</v>
      </c>
      <c r="B12714" t="s">
        <v>1891</v>
      </c>
      <c r="C12714" t="s">
        <v>15356</v>
      </c>
      <c r="D12714" t="s">
        <v>18056</v>
      </c>
      <c r="E12714" t="s">
        <v>29111</v>
      </c>
      <c r="F12714" t="s">
        <v>31574</v>
      </c>
      <c r="G12714" t="s">
        <v>31582</v>
      </c>
      <c r="H12714" t="s">
        <v>31591</v>
      </c>
      <c r="I12714" t="s">
        <v>8822</v>
      </c>
      <c r="J12714" t="s">
        <v>39567</v>
      </c>
      <c r="K12714" t="s">
        <v>41295</v>
      </c>
      <c r="L12714" t="s">
        <v>1891</v>
      </c>
      <c r="M12714" t="s">
        <v>43534</v>
      </c>
      <c r="N12714" t="s">
        <v>45095</v>
      </c>
      <c r="O12714" t="s">
        <v>45096</v>
      </c>
      <c r="P12714">
        <v>0</v>
      </c>
      <c r="Q12714">
        <v>2</v>
      </c>
      <c r="R12714" t="s">
        <v>45111</v>
      </c>
      <c r="S12714" t="s">
        <v>45694</v>
      </c>
      <c r="T12714" t="s">
        <v>46914</v>
      </c>
      <c r="U12714" t="s">
        <v>57819</v>
      </c>
      <c r="W12714" t="s">
        <v>43534</v>
      </c>
      <c r="X12714" t="s">
        <v>45112</v>
      </c>
    </row>
    <row r="12715" spans="1:24">
      <c r="A12715">
        <f>HYPERLINK("https://www.philgeps.gov.ph/GEPSNONPILOT/Tender/SplashBidNoticeAbstractUI.aspx?menuIndex=3&amp;refID=7021501&amp;Result=3","7021501")</f>
        <v>0</v>
      </c>
      <c r="B12715" t="s">
        <v>867</v>
      </c>
      <c r="C12715" t="s">
        <v>15357</v>
      </c>
      <c r="D12715" t="s">
        <v>18022</v>
      </c>
      <c r="E12715" t="s">
        <v>15357</v>
      </c>
      <c r="F12715" t="s">
        <v>31574</v>
      </c>
      <c r="G12715" t="s">
        <v>31582</v>
      </c>
      <c r="H12715" t="s">
        <v>31590</v>
      </c>
      <c r="I12715" t="s">
        <v>3487</v>
      </c>
      <c r="J12715" t="s">
        <v>39568</v>
      </c>
      <c r="K12715" t="s">
        <v>41184</v>
      </c>
      <c r="M12715" t="s">
        <v>42387</v>
      </c>
      <c r="N12715" t="s">
        <v>45095</v>
      </c>
      <c r="O12715" t="s">
        <v>45096</v>
      </c>
      <c r="P12715">
        <v>0</v>
      </c>
      <c r="Q12715">
        <v>8</v>
      </c>
      <c r="R12715" t="s">
        <v>45111</v>
      </c>
      <c r="S12715" t="s">
        <v>45694</v>
      </c>
      <c r="T12715" t="s">
        <v>46955</v>
      </c>
      <c r="U12715" t="s">
        <v>57820</v>
      </c>
      <c r="W12715" t="s">
        <v>42387</v>
      </c>
      <c r="X12715" t="s">
        <v>45112</v>
      </c>
    </row>
    <row r="12716" spans="1:24">
      <c r="A12716">
        <f>HYPERLINK("https://www.philgeps.gov.ph/GEPSNONPILOT/Tender/SplashBidNoticeAbstractUI.aspx?menuIndex=3&amp;refID=7021500&amp;Result=3","7021500")</f>
        <v>0</v>
      </c>
      <c r="B12716" t="s">
        <v>1891</v>
      </c>
      <c r="C12716" t="s">
        <v>15358</v>
      </c>
      <c r="D12716" t="s">
        <v>18056</v>
      </c>
      <c r="E12716" t="s">
        <v>29112</v>
      </c>
      <c r="F12716" t="s">
        <v>31574</v>
      </c>
      <c r="G12716" t="s">
        <v>31582</v>
      </c>
      <c r="H12716" t="s">
        <v>31590</v>
      </c>
      <c r="I12716" t="s">
        <v>31626</v>
      </c>
      <c r="J12716" t="s">
        <v>39569</v>
      </c>
      <c r="K12716" t="s">
        <v>41191</v>
      </c>
      <c r="L12716" t="s">
        <v>1891</v>
      </c>
      <c r="M12716" t="s">
        <v>43534</v>
      </c>
      <c r="N12716" t="s">
        <v>45095</v>
      </c>
      <c r="O12716" t="s">
        <v>45096</v>
      </c>
      <c r="P12716">
        <v>0</v>
      </c>
      <c r="Q12716">
        <v>2</v>
      </c>
      <c r="R12716" t="s">
        <v>45111</v>
      </c>
      <c r="S12716" t="s">
        <v>45694</v>
      </c>
      <c r="T12716" t="s">
        <v>46914</v>
      </c>
      <c r="U12716" t="s">
        <v>57821</v>
      </c>
      <c r="W12716" t="s">
        <v>43534</v>
      </c>
      <c r="X12716" t="s">
        <v>45112</v>
      </c>
    </row>
    <row r="12717" spans="1:24">
      <c r="A12717">
        <f>HYPERLINK("https://www.philgeps.gov.ph/GEPSNONPILOT/Tender/SplashBidNoticeAbstractUI.aspx?menuIndex=3&amp;refID=7021486&amp;Result=3","7021486")</f>
        <v>0</v>
      </c>
      <c r="B12717" t="s">
        <v>910</v>
      </c>
      <c r="C12717" t="s">
        <v>15359</v>
      </c>
      <c r="D12717" t="s">
        <v>18066</v>
      </c>
      <c r="E12717" t="s">
        <v>29113</v>
      </c>
      <c r="F12717" t="s">
        <v>31574</v>
      </c>
      <c r="G12717" t="s">
        <v>31582</v>
      </c>
      <c r="H12717" t="s">
        <v>31590</v>
      </c>
      <c r="I12717" t="s">
        <v>31619</v>
      </c>
      <c r="J12717" t="s">
        <v>39570</v>
      </c>
      <c r="K12717" t="s">
        <v>41184</v>
      </c>
      <c r="M12717" t="s">
        <v>42434</v>
      </c>
      <c r="N12717" t="s">
        <v>45095</v>
      </c>
      <c r="O12717" t="s">
        <v>45096</v>
      </c>
      <c r="P12717">
        <v>0</v>
      </c>
      <c r="Q12717">
        <v>9</v>
      </c>
      <c r="R12717" t="s">
        <v>45111</v>
      </c>
      <c r="S12717" t="s">
        <v>45694</v>
      </c>
      <c r="T12717" t="s">
        <v>46979</v>
      </c>
      <c r="U12717" t="s">
        <v>57822</v>
      </c>
      <c r="W12717" t="s">
        <v>42434</v>
      </c>
      <c r="X12717" t="s">
        <v>45112</v>
      </c>
    </row>
    <row r="12718" spans="1:24">
      <c r="A12718">
        <f>HYPERLINK("https://www.philgeps.gov.ph/GEPSNONPILOT/Tender/SplashBidNoticeAbstractUI.aspx?menuIndex=3&amp;refID=7021470&amp;Result=3","7021470")</f>
        <v>0</v>
      </c>
      <c r="B12718" t="s">
        <v>2837</v>
      </c>
      <c r="C12718" t="s">
        <v>15360</v>
      </c>
      <c r="D12718" t="s">
        <v>18065</v>
      </c>
      <c r="E12718" t="s">
        <v>29114</v>
      </c>
      <c r="F12718" t="s">
        <v>31574</v>
      </c>
      <c r="G12718" t="s">
        <v>31582</v>
      </c>
      <c r="H12718" t="s">
        <v>31591</v>
      </c>
      <c r="I12718" t="s">
        <v>8822</v>
      </c>
      <c r="J12718" t="s">
        <v>39571</v>
      </c>
      <c r="K12718" t="s">
        <v>41184</v>
      </c>
      <c r="L12718" t="s">
        <v>2837</v>
      </c>
      <c r="M12718" t="s">
        <v>44618</v>
      </c>
      <c r="N12718" t="s">
        <v>45095</v>
      </c>
      <c r="O12718" t="s">
        <v>45096</v>
      </c>
      <c r="P12718">
        <v>0</v>
      </c>
      <c r="Q12718">
        <v>0</v>
      </c>
      <c r="R12718" t="s">
        <v>45111</v>
      </c>
      <c r="S12718" t="s">
        <v>45694</v>
      </c>
      <c r="T12718" t="s">
        <v>46926</v>
      </c>
      <c r="U12718" t="s">
        <v>57809</v>
      </c>
      <c r="V12718" t="s">
        <v>61054</v>
      </c>
      <c r="W12718" t="s">
        <v>44618</v>
      </c>
      <c r="X12718" t="s">
        <v>45112</v>
      </c>
    </row>
    <row r="12719" spans="1:24">
      <c r="A12719">
        <f>HYPERLINK("https://www.philgeps.gov.ph/GEPSNONPILOT/Tender/SplashBidNoticeAbstractUI.aspx?menuIndex=3&amp;refID=7021475&amp;Result=3","7021475")</f>
        <v>0</v>
      </c>
      <c r="B12719" t="s">
        <v>2837</v>
      </c>
      <c r="C12719" t="s">
        <v>15361</v>
      </c>
      <c r="D12719" t="s">
        <v>18065</v>
      </c>
      <c r="E12719" t="s">
        <v>29115</v>
      </c>
      <c r="F12719" t="s">
        <v>31574</v>
      </c>
      <c r="G12719" t="s">
        <v>31582</v>
      </c>
      <c r="H12719" t="s">
        <v>31591</v>
      </c>
      <c r="I12719" t="s">
        <v>8822</v>
      </c>
      <c r="J12719" t="s">
        <v>39572</v>
      </c>
      <c r="K12719" t="s">
        <v>41184</v>
      </c>
      <c r="L12719" t="s">
        <v>2837</v>
      </c>
      <c r="M12719" t="s">
        <v>44618</v>
      </c>
      <c r="N12719" t="s">
        <v>45095</v>
      </c>
      <c r="O12719" t="s">
        <v>45096</v>
      </c>
      <c r="P12719">
        <v>0</v>
      </c>
      <c r="Q12719">
        <v>1</v>
      </c>
      <c r="R12719" t="s">
        <v>45111</v>
      </c>
      <c r="S12719" t="s">
        <v>45694</v>
      </c>
      <c r="T12719" t="s">
        <v>46926</v>
      </c>
      <c r="U12719" t="s">
        <v>57809</v>
      </c>
      <c r="V12719" t="s">
        <v>61054</v>
      </c>
      <c r="W12719" t="s">
        <v>44618</v>
      </c>
      <c r="X12719" t="s">
        <v>45112</v>
      </c>
    </row>
    <row r="12720" spans="1:24">
      <c r="A12720">
        <f>HYPERLINK("https://www.philgeps.gov.ph/GEPSNONPILOT/Tender/SplashBidNoticeAbstractUI.aspx?menuIndex=3&amp;refID=7021503&amp;Result=3","7021503")</f>
        <v>0</v>
      </c>
      <c r="B12720" t="s">
        <v>1891</v>
      </c>
      <c r="C12720" t="s">
        <v>15362</v>
      </c>
      <c r="D12720" t="s">
        <v>18056</v>
      </c>
      <c r="E12720" t="s">
        <v>29116</v>
      </c>
      <c r="F12720" t="s">
        <v>31574</v>
      </c>
      <c r="G12720" t="s">
        <v>31582</v>
      </c>
      <c r="H12720" t="s">
        <v>31591</v>
      </c>
      <c r="I12720" t="s">
        <v>8822</v>
      </c>
      <c r="J12720" t="s">
        <v>32101</v>
      </c>
      <c r="K12720" t="s">
        <v>41295</v>
      </c>
      <c r="L12720" t="s">
        <v>1891</v>
      </c>
      <c r="M12720" t="s">
        <v>43534</v>
      </c>
      <c r="N12720" t="s">
        <v>45095</v>
      </c>
      <c r="O12720" t="s">
        <v>45096</v>
      </c>
      <c r="P12720">
        <v>0</v>
      </c>
      <c r="Q12720">
        <v>3</v>
      </c>
      <c r="R12720" t="s">
        <v>45111</v>
      </c>
      <c r="S12720" t="s">
        <v>45694</v>
      </c>
      <c r="T12720" t="s">
        <v>46914</v>
      </c>
      <c r="U12720" t="s">
        <v>57823</v>
      </c>
      <c r="W12720" t="s">
        <v>43534</v>
      </c>
      <c r="X12720" t="s">
        <v>45112</v>
      </c>
    </row>
    <row r="12721" spans="1:24">
      <c r="A12721">
        <f>HYPERLINK("https://www.philgeps.gov.ph/GEPSNONPILOT/Tender/SplashBidNoticeAbstractUI.aspx?menuIndex=3&amp;refID=7021480&amp;Result=3","7021480")</f>
        <v>0</v>
      </c>
      <c r="B12721" t="s">
        <v>2837</v>
      </c>
      <c r="C12721" t="s">
        <v>15363</v>
      </c>
      <c r="D12721" t="s">
        <v>18065</v>
      </c>
      <c r="E12721" t="s">
        <v>29117</v>
      </c>
      <c r="F12721" t="s">
        <v>31574</v>
      </c>
      <c r="G12721" t="s">
        <v>31582</v>
      </c>
      <c r="H12721" t="s">
        <v>31591</v>
      </c>
      <c r="I12721" t="s">
        <v>8822</v>
      </c>
      <c r="J12721" t="s">
        <v>33252</v>
      </c>
      <c r="K12721" t="s">
        <v>41184</v>
      </c>
      <c r="L12721" t="s">
        <v>2837</v>
      </c>
      <c r="M12721" t="s">
        <v>44618</v>
      </c>
      <c r="N12721" t="s">
        <v>45095</v>
      </c>
      <c r="O12721" t="s">
        <v>45096</v>
      </c>
      <c r="P12721">
        <v>0</v>
      </c>
      <c r="Q12721">
        <v>1</v>
      </c>
      <c r="R12721" t="s">
        <v>45111</v>
      </c>
      <c r="S12721" t="s">
        <v>45694</v>
      </c>
      <c r="T12721" t="s">
        <v>46926</v>
      </c>
      <c r="U12721" t="s">
        <v>57809</v>
      </c>
      <c r="V12721" t="s">
        <v>61054</v>
      </c>
      <c r="W12721" t="s">
        <v>44618</v>
      </c>
      <c r="X12721" t="s">
        <v>45112</v>
      </c>
    </row>
    <row r="12722" spans="1:24">
      <c r="A12722">
        <f>HYPERLINK("https://www.philgeps.gov.ph/GEPSNONPILOT/Tender/SplashBidNoticeAbstractUI.aspx?menuIndex=3&amp;refID=7021507&amp;Result=3","7021507")</f>
        <v>0</v>
      </c>
      <c r="B12722" t="s">
        <v>2308</v>
      </c>
      <c r="C12722" t="s">
        <v>15364</v>
      </c>
      <c r="D12722" t="s">
        <v>18096</v>
      </c>
      <c r="E12722" t="s">
        <v>29118</v>
      </c>
      <c r="F12722" t="s">
        <v>31574</v>
      </c>
      <c r="G12722" t="s">
        <v>31582</v>
      </c>
      <c r="H12722" t="s">
        <v>31591</v>
      </c>
      <c r="I12722" t="s">
        <v>8822</v>
      </c>
      <c r="J12722" t="s">
        <v>38059</v>
      </c>
      <c r="K12722" t="s">
        <v>41192</v>
      </c>
      <c r="M12722" t="s">
        <v>44018</v>
      </c>
      <c r="N12722" t="s">
        <v>45095</v>
      </c>
      <c r="O12722" t="s">
        <v>45096</v>
      </c>
      <c r="P12722">
        <v>0</v>
      </c>
      <c r="Q12722">
        <v>0</v>
      </c>
      <c r="R12722" t="s">
        <v>45111</v>
      </c>
      <c r="S12722" t="s">
        <v>45694</v>
      </c>
      <c r="T12722" t="s">
        <v>46979</v>
      </c>
      <c r="U12722" t="s">
        <v>57817</v>
      </c>
      <c r="W12722" t="s">
        <v>44018</v>
      </c>
      <c r="X12722" t="s">
        <v>45112</v>
      </c>
    </row>
    <row r="12723" spans="1:24">
      <c r="A12723">
        <f>HYPERLINK("https://www.philgeps.gov.ph/GEPSNONPILOT/Tender/SplashBidNoticeAbstractUI.aspx?menuIndex=3&amp;refID=7021521&amp;Result=3","7021521")</f>
        <v>0</v>
      </c>
      <c r="B12723" t="s">
        <v>2308</v>
      </c>
      <c r="C12723" t="s">
        <v>15365</v>
      </c>
      <c r="D12723" t="s">
        <v>18096</v>
      </c>
      <c r="E12723" t="s">
        <v>29119</v>
      </c>
      <c r="F12723" t="s">
        <v>31574</v>
      </c>
      <c r="G12723" t="s">
        <v>31582</v>
      </c>
      <c r="H12723" t="s">
        <v>31591</v>
      </c>
      <c r="I12723" t="s">
        <v>8822</v>
      </c>
      <c r="J12723" t="s">
        <v>39573</v>
      </c>
      <c r="K12723" t="s">
        <v>41192</v>
      </c>
      <c r="M12723" t="s">
        <v>44018</v>
      </c>
      <c r="N12723" t="s">
        <v>45095</v>
      </c>
      <c r="O12723" t="s">
        <v>45096</v>
      </c>
      <c r="P12723">
        <v>0</v>
      </c>
      <c r="Q12723">
        <v>0</v>
      </c>
      <c r="R12723" t="s">
        <v>45111</v>
      </c>
      <c r="S12723" t="s">
        <v>45694</v>
      </c>
      <c r="T12723" t="s">
        <v>46979</v>
      </c>
      <c r="U12723" t="s">
        <v>57817</v>
      </c>
      <c r="W12723" t="s">
        <v>44018</v>
      </c>
      <c r="X12723" t="s">
        <v>45112</v>
      </c>
    </row>
    <row r="12724" spans="1:24">
      <c r="A12724">
        <f>HYPERLINK("https://www.philgeps.gov.ph/GEPSNONPILOT/Tender/SplashBidNoticeAbstractUI.aspx?menuIndex=3&amp;refID=7021622&amp;Result=3","7021622")</f>
        <v>0</v>
      </c>
      <c r="B12724" t="s">
        <v>785</v>
      </c>
      <c r="C12724" t="s">
        <v>15366</v>
      </c>
      <c r="D12724" t="s">
        <v>18051</v>
      </c>
      <c r="E12724" t="s">
        <v>19907</v>
      </c>
      <c r="F12724" t="s">
        <v>31574</v>
      </c>
      <c r="G12724" t="s">
        <v>31582</v>
      </c>
      <c r="H12724" t="s">
        <v>31590</v>
      </c>
      <c r="I12724" t="s">
        <v>14034</v>
      </c>
      <c r="J12724" t="s">
        <v>31771</v>
      </c>
      <c r="K12724" t="s">
        <v>41192</v>
      </c>
      <c r="M12724" t="s">
        <v>42299</v>
      </c>
      <c r="N12724" t="s">
        <v>45095</v>
      </c>
      <c r="O12724" t="s">
        <v>45096</v>
      </c>
      <c r="P12724">
        <v>0</v>
      </c>
      <c r="Q12724">
        <v>5</v>
      </c>
      <c r="R12724" t="s">
        <v>45111</v>
      </c>
      <c r="S12724" t="s">
        <v>45694</v>
      </c>
      <c r="T12724" t="s">
        <v>46989</v>
      </c>
      <c r="U12724" t="s">
        <v>57824</v>
      </c>
      <c r="W12724" t="s">
        <v>42299</v>
      </c>
      <c r="X12724" t="s">
        <v>45112</v>
      </c>
    </row>
    <row r="12725" spans="1:24">
      <c r="A12725">
        <f>HYPERLINK("https://www.philgeps.gov.ph/GEPSNONPILOT/Tender/SplashBidNoticeAbstractUI.aspx?menuIndex=3&amp;refID=7021596&amp;Result=3","7021596")</f>
        <v>0</v>
      </c>
      <c r="B12725" t="s">
        <v>165</v>
      </c>
      <c r="C12725" t="s">
        <v>15367</v>
      </c>
      <c r="D12725" t="s">
        <v>18027</v>
      </c>
      <c r="E12725" t="s">
        <v>29120</v>
      </c>
      <c r="F12725" t="s">
        <v>31574</v>
      </c>
      <c r="G12725" t="s">
        <v>31582</v>
      </c>
      <c r="H12725" t="s">
        <v>31591</v>
      </c>
      <c r="I12725" t="s">
        <v>8822</v>
      </c>
      <c r="J12725" t="s">
        <v>39574</v>
      </c>
      <c r="K12725" t="s">
        <v>41185</v>
      </c>
      <c r="M12725" t="s">
        <v>41649</v>
      </c>
      <c r="N12725" t="s">
        <v>45095</v>
      </c>
      <c r="O12725" t="s">
        <v>45096</v>
      </c>
      <c r="P12725">
        <v>0</v>
      </c>
      <c r="Q12725">
        <v>0</v>
      </c>
      <c r="R12725" t="s">
        <v>45111</v>
      </c>
      <c r="S12725" t="s">
        <v>45694</v>
      </c>
      <c r="T12725" t="s">
        <v>47164</v>
      </c>
      <c r="U12725" t="s">
        <v>57825</v>
      </c>
      <c r="W12725" t="s">
        <v>41649</v>
      </c>
      <c r="X12725" t="s">
        <v>45112</v>
      </c>
    </row>
    <row r="12726" spans="1:24">
      <c r="A12726">
        <f>HYPERLINK("https://www.philgeps.gov.ph/GEPSNONPILOT/Tender/SplashBidNoticeAbstractUI.aspx?menuIndex=3&amp;refID=7021556&amp;Result=3","7021556")</f>
        <v>0</v>
      </c>
      <c r="B12726" t="s">
        <v>2978</v>
      </c>
      <c r="C12726" t="s">
        <v>15368</v>
      </c>
      <c r="D12726" t="s">
        <v>18041</v>
      </c>
      <c r="E12726" t="s">
        <v>20026</v>
      </c>
      <c r="F12726" t="s">
        <v>31574</v>
      </c>
      <c r="G12726" t="s">
        <v>31582</v>
      </c>
      <c r="H12726" t="s">
        <v>31590</v>
      </c>
      <c r="I12726" t="s">
        <v>8258</v>
      </c>
      <c r="J12726" t="s">
        <v>39575</v>
      </c>
      <c r="K12726" t="s">
        <v>41197</v>
      </c>
      <c r="M12726" t="s">
        <v>44800</v>
      </c>
      <c r="N12726" t="s">
        <v>45095</v>
      </c>
      <c r="O12726" t="s">
        <v>45096</v>
      </c>
      <c r="P12726">
        <v>0</v>
      </c>
      <c r="Q12726">
        <v>1</v>
      </c>
      <c r="R12726" t="s">
        <v>45111</v>
      </c>
      <c r="S12726" t="s">
        <v>45694</v>
      </c>
      <c r="T12726" t="s">
        <v>46952</v>
      </c>
      <c r="U12726" t="s">
        <v>57826</v>
      </c>
      <c r="W12726" t="s">
        <v>44800</v>
      </c>
      <c r="X12726" t="s">
        <v>45112</v>
      </c>
    </row>
    <row r="12727" spans="1:24">
      <c r="A12727">
        <f>HYPERLINK("https://www.philgeps.gov.ph/GEPSNONPILOT/Tender/SplashBidNoticeAbstractUI.aspx?menuIndex=3&amp;refID=7021551&amp;Result=3","7021551")</f>
        <v>0</v>
      </c>
      <c r="B12727" t="s">
        <v>867</v>
      </c>
      <c r="C12727" t="s">
        <v>15369</v>
      </c>
      <c r="D12727" t="s">
        <v>18022</v>
      </c>
      <c r="E12727" t="s">
        <v>29121</v>
      </c>
      <c r="F12727" t="s">
        <v>31574</v>
      </c>
      <c r="G12727" t="s">
        <v>31582</v>
      </c>
      <c r="H12727" t="s">
        <v>31590</v>
      </c>
      <c r="I12727" t="s">
        <v>7185</v>
      </c>
      <c r="J12727" t="s">
        <v>39576</v>
      </c>
      <c r="K12727" t="s">
        <v>41184</v>
      </c>
      <c r="M12727" t="s">
        <v>42387</v>
      </c>
      <c r="N12727" t="s">
        <v>45095</v>
      </c>
      <c r="O12727" t="s">
        <v>45096</v>
      </c>
      <c r="P12727">
        <v>0</v>
      </c>
      <c r="Q12727">
        <v>39</v>
      </c>
      <c r="R12727" t="s">
        <v>45111</v>
      </c>
      <c r="S12727" t="s">
        <v>45694</v>
      </c>
      <c r="T12727" t="s">
        <v>47068</v>
      </c>
      <c r="U12727" t="s">
        <v>57827</v>
      </c>
      <c r="W12727" t="s">
        <v>42387</v>
      </c>
      <c r="X12727" t="s">
        <v>45112</v>
      </c>
    </row>
    <row r="12728" spans="1:24">
      <c r="A12728">
        <f>HYPERLINK("https://www.philgeps.gov.ph/GEPSNONPILOT/Tender/SplashBidNoticeAbstractUI.aspx?menuIndex=3&amp;refID=7021542&amp;Result=3","7021542")</f>
        <v>0</v>
      </c>
      <c r="B12728" t="s">
        <v>867</v>
      </c>
      <c r="C12728" t="s">
        <v>15370</v>
      </c>
      <c r="D12728" t="s">
        <v>18022</v>
      </c>
      <c r="E12728" t="s">
        <v>29122</v>
      </c>
      <c r="F12728" t="s">
        <v>31574</v>
      </c>
      <c r="G12728" t="s">
        <v>31582</v>
      </c>
      <c r="H12728" t="s">
        <v>31590</v>
      </c>
      <c r="I12728" t="s">
        <v>3651</v>
      </c>
      <c r="J12728" t="s">
        <v>39577</v>
      </c>
      <c r="K12728" t="s">
        <v>41184</v>
      </c>
      <c r="M12728" t="s">
        <v>42387</v>
      </c>
      <c r="N12728" t="s">
        <v>45095</v>
      </c>
      <c r="O12728" t="s">
        <v>45096</v>
      </c>
      <c r="Q12728">
        <v>5</v>
      </c>
      <c r="R12728" t="s">
        <v>45111</v>
      </c>
      <c r="S12728" t="s">
        <v>45752</v>
      </c>
      <c r="T12728" t="s">
        <v>46932</v>
      </c>
      <c r="U12728" t="s">
        <v>57828</v>
      </c>
      <c r="W12728" t="s">
        <v>42387</v>
      </c>
      <c r="X12728" t="s">
        <v>45112</v>
      </c>
    </row>
    <row r="12729" spans="1:24">
      <c r="A12729">
        <f>HYPERLINK("https://www.philgeps.gov.ph/GEPSNONPILOT/Tender/SplashBidNoticeAbstractUI.aspx?menuIndex=3&amp;refID=7021576&amp;Result=3","7021576")</f>
        <v>0</v>
      </c>
      <c r="B12729" t="s">
        <v>2978</v>
      </c>
      <c r="C12729" t="s">
        <v>15371</v>
      </c>
      <c r="D12729" t="s">
        <v>18041</v>
      </c>
      <c r="E12729" t="s">
        <v>24535</v>
      </c>
      <c r="F12729" t="s">
        <v>31574</v>
      </c>
      <c r="G12729" t="s">
        <v>31582</v>
      </c>
      <c r="H12729" t="s">
        <v>31590</v>
      </c>
      <c r="I12729" t="s">
        <v>5717</v>
      </c>
      <c r="J12729" t="s">
        <v>39578</v>
      </c>
      <c r="K12729" t="s">
        <v>41197</v>
      </c>
      <c r="M12729" t="s">
        <v>44800</v>
      </c>
      <c r="N12729" t="s">
        <v>45095</v>
      </c>
      <c r="O12729" t="s">
        <v>45096</v>
      </c>
      <c r="P12729">
        <v>0</v>
      </c>
      <c r="Q12729">
        <v>0</v>
      </c>
      <c r="R12729" t="s">
        <v>45111</v>
      </c>
      <c r="S12729" t="s">
        <v>45694</v>
      </c>
      <c r="T12729" t="s">
        <v>46952</v>
      </c>
      <c r="U12729" t="s">
        <v>57829</v>
      </c>
      <c r="W12729" t="s">
        <v>44800</v>
      </c>
      <c r="X12729" t="s">
        <v>45112</v>
      </c>
    </row>
    <row r="12730" spans="1:24">
      <c r="A12730">
        <f>HYPERLINK("https://www.philgeps.gov.ph/GEPSNONPILOT/Tender/SplashBidNoticeAbstractUI.aspx?menuIndex=3&amp;refID=7021512&amp;Result=3","7021512")</f>
        <v>0</v>
      </c>
      <c r="B12730" t="s">
        <v>867</v>
      </c>
      <c r="C12730" t="s">
        <v>15372</v>
      </c>
      <c r="D12730" t="s">
        <v>18022</v>
      </c>
      <c r="E12730" t="s">
        <v>29123</v>
      </c>
      <c r="F12730" t="s">
        <v>31574</v>
      </c>
      <c r="G12730" t="s">
        <v>31582</v>
      </c>
      <c r="H12730" t="s">
        <v>31590</v>
      </c>
      <c r="I12730" t="s">
        <v>31603</v>
      </c>
      <c r="J12730" t="s">
        <v>39579</v>
      </c>
      <c r="K12730" t="s">
        <v>41184</v>
      </c>
      <c r="M12730" t="s">
        <v>42387</v>
      </c>
      <c r="N12730" t="s">
        <v>45095</v>
      </c>
      <c r="O12730" t="s">
        <v>45096</v>
      </c>
      <c r="Q12730">
        <v>14</v>
      </c>
      <c r="R12730" t="s">
        <v>45111</v>
      </c>
      <c r="S12730" t="s">
        <v>45753</v>
      </c>
      <c r="T12730" t="s">
        <v>46979</v>
      </c>
      <c r="U12730" t="s">
        <v>57830</v>
      </c>
      <c r="W12730" t="s">
        <v>42387</v>
      </c>
      <c r="X12730" t="s">
        <v>45112</v>
      </c>
    </row>
    <row r="12731" spans="1:24">
      <c r="A12731">
        <f>HYPERLINK("https://www.philgeps.gov.ph/GEPSNONPILOT/Tender/SplashBidNoticeAbstractUI.aspx?menuIndex=3&amp;refID=7021529&amp;Result=3","7021529")</f>
        <v>0</v>
      </c>
      <c r="B12731" t="s">
        <v>2293</v>
      </c>
      <c r="C12731" t="s">
        <v>15373</v>
      </c>
      <c r="D12731" t="s">
        <v>18057</v>
      </c>
      <c r="E12731" t="s">
        <v>29124</v>
      </c>
      <c r="F12731" t="s">
        <v>31574</v>
      </c>
      <c r="G12731" t="s">
        <v>31582</v>
      </c>
      <c r="H12731" t="s">
        <v>31590</v>
      </c>
      <c r="I12731" t="s">
        <v>4046</v>
      </c>
      <c r="J12731" t="s">
        <v>39580</v>
      </c>
      <c r="K12731" t="s">
        <v>41196</v>
      </c>
      <c r="M12731" t="s">
        <v>44002</v>
      </c>
      <c r="N12731" t="s">
        <v>45095</v>
      </c>
      <c r="O12731" t="s">
        <v>45096</v>
      </c>
      <c r="Q12731">
        <v>4</v>
      </c>
      <c r="R12731" t="s">
        <v>45111</v>
      </c>
      <c r="S12731" t="s">
        <v>45754</v>
      </c>
      <c r="T12731" t="s">
        <v>46926</v>
      </c>
      <c r="U12731" t="s">
        <v>57831</v>
      </c>
      <c r="V12731" t="s">
        <v>61236</v>
      </c>
      <c r="W12731" t="s">
        <v>44002</v>
      </c>
      <c r="X12731" t="s">
        <v>45112</v>
      </c>
    </row>
    <row r="12732" spans="1:24">
      <c r="A12732">
        <f>HYPERLINK("https://www.philgeps.gov.ph/GEPSNONPILOT/Tender/SplashBidNoticeAbstractUI.aspx?menuIndex=3&amp;refID=7021582&amp;Result=3","7021582")</f>
        <v>0</v>
      </c>
      <c r="B12732" t="s">
        <v>677</v>
      </c>
      <c r="C12732" t="s">
        <v>15374</v>
      </c>
      <c r="D12732" t="s">
        <v>18058</v>
      </c>
      <c r="E12732" t="s">
        <v>29125</v>
      </c>
      <c r="F12732" t="s">
        <v>31574</v>
      </c>
      <c r="G12732" t="s">
        <v>31582</v>
      </c>
      <c r="H12732" t="s">
        <v>31590</v>
      </c>
      <c r="I12732" t="s">
        <v>7162</v>
      </c>
      <c r="J12732" t="s">
        <v>31935</v>
      </c>
      <c r="K12732" t="s">
        <v>41189</v>
      </c>
      <c r="M12732" t="s">
        <v>42184</v>
      </c>
      <c r="N12732" t="s">
        <v>45095</v>
      </c>
      <c r="O12732" t="s">
        <v>45096</v>
      </c>
      <c r="P12732">
        <v>0</v>
      </c>
      <c r="Q12732">
        <v>3</v>
      </c>
      <c r="R12732" t="s">
        <v>45111</v>
      </c>
      <c r="S12732" t="s">
        <v>45694</v>
      </c>
      <c r="T12732" t="s">
        <v>46922</v>
      </c>
      <c r="U12732" t="s">
        <v>57832</v>
      </c>
      <c r="V12732" t="s">
        <v>60007</v>
      </c>
      <c r="W12732" t="s">
        <v>42184</v>
      </c>
      <c r="X12732" t="s">
        <v>45112</v>
      </c>
    </row>
    <row r="12733" spans="1:24">
      <c r="A12733">
        <f>HYPERLINK("https://www.philgeps.gov.ph/GEPSNONPILOT/Tender/SplashBidNoticeAbstractUI.aspx?menuIndex=3&amp;refID=6948817&amp;Result=3","6948817")</f>
        <v>0</v>
      </c>
      <c r="B12733" t="s">
        <v>2588</v>
      </c>
      <c r="C12733" t="s">
        <v>15375</v>
      </c>
      <c r="D12733" t="s">
        <v>18062</v>
      </c>
      <c r="E12733" t="s">
        <v>29126</v>
      </c>
      <c r="F12733" t="s">
        <v>31574</v>
      </c>
      <c r="G12733" t="s">
        <v>31582</v>
      </c>
      <c r="H12733" t="s">
        <v>31591</v>
      </c>
      <c r="I12733" t="s">
        <v>8822</v>
      </c>
      <c r="J12733" t="s">
        <v>33740</v>
      </c>
      <c r="K12733" t="s">
        <v>41340</v>
      </c>
      <c r="M12733" t="s">
        <v>44330</v>
      </c>
      <c r="N12733" t="s">
        <v>45095</v>
      </c>
      <c r="O12733" t="s">
        <v>45096</v>
      </c>
      <c r="P12733">
        <v>0</v>
      </c>
      <c r="Q12733">
        <v>2</v>
      </c>
      <c r="R12733" t="s">
        <v>45112</v>
      </c>
      <c r="S12733" t="s">
        <v>45755</v>
      </c>
      <c r="T12733" t="s">
        <v>46980</v>
      </c>
      <c r="U12733" t="s">
        <v>57833</v>
      </c>
      <c r="V12733" t="s">
        <v>60824</v>
      </c>
      <c r="W12733" t="s">
        <v>44330</v>
      </c>
      <c r="X12733" t="s">
        <v>45162</v>
      </c>
    </row>
    <row r="12734" spans="1:24">
      <c r="A12734">
        <f>HYPERLINK("https://www.philgeps.gov.ph/GEPSNONPILOT/Tender/SplashBidNoticeAbstractUI.aspx?menuIndex=3&amp;refID=7021648&amp;Result=3","7021648")</f>
        <v>0</v>
      </c>
      <c r="B12734" t="s">
        <v>2932</v>
      </c>
      <c r="C12734" t="s">
        <v>15376</v>
      </c>
      <c r="D12734" t="s">
        <v>18100</v>
      </c>
      <c r="E12734" t="s">
        <v>29127</v>
      </c>
      <c r="F12734" t="s">
        <v>31574</v>
      </c>
      <c r="G12734" t="s">
        <v>31582</v>
      </c>
      <c r="H12734" t="s">
        <v>31591</v>
      </c>
      <c r="I12734" t="s">
        <v>8822</v>
      </c>
      <c r="J12734" t="s">
        <v>32413</v>
      </c>
      <c r="K12734" t="s">
        <v>41186</v>
      </c>
      <c r="M12734" t="s">
        <v>44743</v>
      </c>
      <c r="N12734" t="s">
        <v>45095</v>
      </c>
      <c r="O12734" t="s">
        <v>45096</v>
      </c>
      <c r="P12734">
        <v>0</v>
      </c>
      <c r="Q12734">
        <v>1</v>
      </c>
      <c r="R12734" t="s">
        <v>45111</v>
      </c>
      <c r="S12734" t="s">
        <v>45694</v>
      </c>
      <c r="T12734" t="s">
        <v>46917</v>
      </c>
      <c r="U12734" t="s">
        <v>57834</v>
      </c>
      <c r="W12734" t="s">
        <v>44743</v>
      </c>
      <c r="X12734" t="s">
        <v>45112</v>
      </c>
    </row>
    <row r="12735" spans="1:24">
      <c r="A12735">
        <f>HYPERLINK("https://www.philgeps.gov.ph/GEPSNONPILOT/Tender/SplashBidNoticeAbstractUI.aspx?menuIndex=3&amp;refID=7021562&amp;Result=3","7021562")</f>
        <v>0</v>
      </c>
      <c r="B12735" t="s">
        <v>1085</v>
      </c>
      <c r="C12735" t="s">
        <v>15377</v>
      </c>
      <c r="E12735" t="s">
        <v>29128</v>
      </c>
      <c r="F12735" t="s">
        <v>31574</v>
      </c>
      <c r="G12735" t="s">
        <v>31588</v>
      </c>
      <c r="H12735" t="s">
        <v>31590</v>
      </c>
      <c r="I12735" t="s">
        <v>31614</v>
      </c>
      <c r="J12735" t="s">
        <v>39581</v>
      </c>
      <c r="K12735" t="s">
        <v>41192</v>
      </c>
      <c r="M12735" t="s">
        <v>42634</v>
      </c>
      <c r="N12735" t="s">
        <v>45095</v>
      </c>
      <c r="O12735" t="s">
        <v>45096</v>
      </c>
      <c r="Q12735">
        <v>2</v>
      </c>
      <c r="R12735" t="s">
        <v>45111</v>
      </c>
      <c r="S12735" t="s">
        <v>45756</v>
      </c>
      <c r="T12735" t="s">
        <v>46955</v>
      </c>
      <c r="U12735" t="s">
        <v>57835</v>
      </c>
      <c r="V12735" t="s">
        <v>60869</v>
      </c>
      <c r="W12735" t="s">
        <v>42634</v>
      </c>
      <c r="X12735" t="s">
        <v>45112</v>
      </c>
    </row>
    <row r="12736" spans="1:24">
      <c r="A12736">
        <f>HYPERLINK("https://www.philgeps.gov.ph/GEPSNONPILOT/Tender/SplashBidNoticeAbstractUI.aspx?menuIndex=3&amp;refID=7021532&amp;Result=3","7021532")</f>
        <v>0</v>
      </c>
      <c r="B12736" t="s">
        <v>867</v>
      </c>
      <c r="C12736" t="s">
        <v>15378</v>
      </c>
      <c r="D12736" t="s">
        <v>18022</v>
      </c>
      <c r="E12736" t="s">
        <v>29129</v>
      </c>
      <c r="F12736" t="s">
        <v>31574</v>
      </c>
      <c r="G12736" t="s">
        <v>31582</v>
      </c>
      <c r="H12736" t="s">
        <v>31590</v>
      </c>
      <c r="I12736" t="s">
        <v>31610</v>
      </c>
      <c r="J12736" t="s">
        <v>39582</v>
      </c>
      <c r="K12736" t="s">
        <v>41184</v>
      </c>
      <c r="M12736" t="s">
        <v>42387</v>
      </c>
      <c r="N12736" t="s">
        <v>45095</v>
      </c>
      <c r="O12736" t="s">
        <v>45096</v>
      </c>
      <c r="Q12736">
        <v>13</v>
      </c>
      <c r="R12736" t="s">
        <v>45111</v>
      </c>
      <c r="S12736" t="s">
        <v>45757</v>
      </c>
      <c r="T12736" t="s">
        <v>46989</v>
      </c>
      <c r="U12736" t="s">
        <v>57836</v>
      </c>
      <c r="W12736" t="s">
        <v>42387</v>
      </c>
      <c r="X12736" t="s">
        <v>45112</v>
      </c>
    </row>
    <row r="12737" spans="1:24">
      <c r="A12737">
        <f>HYPERLINK("https://www.philgeps.gov.ph/GEPSNONPILOT/Tender/SplashBidNoticeAbstractUI.aspx?menuIndex=3&amp;refID=7021626&amp;Result=3","7021626")</f>
        <v>0</v>
      </c>
      <c r="B12737" t="s">
        <v>1329</v>
      </c>
      <c r="C12737" t="s">
        <v>15379</v>
      </c>
      <c r="E12737" t="s">
        <v>29130</v>
      </c>
      <c r="F12737" t="s">
        <v>31574</v>
      </c>
      <c r="G12737" t="s">
        <v>31582</v>
      </c>
      <c r="H12737" t="s">
        <v>31591</v>
      </c>
      <c r="I12737" t="s">
        <v>8822</v>
      </c>
      <c r="J12737" t="s">
        <v>39583</v>
      </c>
      <c r="K12737" t="s">
        <v>41371</v>
      </c>
      <c r="M12737" t="s">
        <v>44783</v>
      </c>
      <c r="N12737" t="s">
        <v>45095</v>
      </c>
      <c r="O12737" t="s">
        <v>45096</v>
      </c>
      <c r="P12737">
        <v>0</v>
      </c>
      <c r="Q12737">
        <v>10</v>
      </c>
      <c r="R12737" t="s">
        <v>45111</v>
      </c>
      <c r="S12737" t="s">
        <v>45694</v>
      </c>
      <c r="T12737" t="s">
        <v>47419</v>
      </c>
      <c r="U12737" t="s">
        <v>57837</v>
      </c>
      <c r="V12737" t="s">
        <v>61237</v>
      </c>
      <c r="W12737" t="s">
        <v>44783</v>
      </c>
      <c r="X12737" t="s">
        <v>45112</v>
      </c>
    </row>
    <row r="12738" spans="1:24">
      <c r="A12738">
        <f>HYPERLINK("https://www.philgeps.gov.ph/GEPSNONPILOT/Tender/SplashBidNoticeAbstractUI.aspx?menuIndex=3&amp;refID=7021646&amp;Result=3","7021646")</f>
        <v>0</v>
      </c>
      <c r="B12738" t="s">
        <v>2932</v>
      </c>
      <c r="C12738" t="s">
        <v>15380</v>
      </c>
      <c r="D12738" t="s">
        <v>18100</v>
      </c>
      <c r="E12738" t="s">
        <v>29131</v>
      </c>
      <c r="F12738" t="s">
        <v>31574</v>
      </c>
      <c r="G12738" t="s">
        <v>31582</v>
      </c>
      <c r="H12738" t="s">
        <v>31591</v>
      </c>
      <c r="I12738" t="s">
        <v>8822</v>
      </c>
      <c r="J12738" t="s">
        <v>31741</v>
      </c>
      <c r="K12738" t="s">
        <v>41186</v>
      </c>
      <c r="M12738" t="s">
        <v>44743</v>
      </c>
      <c r="N12738" t="s">
        <v>45095</v>
      </c>
      <c r="O12738" t="s">
        <v>45096</v>
      </c>
      <c r="P12738">
        <v>0</v>
      </c>
      <c r="Q12738">
        <v>1</v>
      </c>
      <c r="R12738" t="s">
        <v>45111</v>
      </c>
      <c r="S12738" t="s">
        <v>45694</v>
      </c>
      <c r="T12738" t="s">
        <v>46917</v>
      </c>
      <c r="U12738" t="s">
        <v>57838</v>
      </c>
      <c r="W12738" t="s">
        <v>44743</v>
      </c>
      <c r="X12738" t="s">
        <v>45112</v>
      </c>
    </row>
    <row r="12739" spans="1:24">
      <c r="A12739">
        <f>HYPERLINK("https://www.philgeps.gov.ph/GEPSNONPILOT/Tender/SplashBidNoticeAbstractUI.aspx?menuIndex=3&amp;refID=7021522&amp;Result=3","7021522")</f>
        <v>0</v>
      </c>
      <c r="B12739" t="s">
        <v>867</v>
      </c>
      <c r="C12739" t="s">
        <v>15381</v>
      </c>
      <c r="D12739" t="s">
        <v>18022</v>
      </c>
      <c r="E12739" t="s">
        <v>29132</v>
      </c>
      <c r="F12739" t="s">
        <v>31574</v>
      </c>
      <c r="G12739" t="s">
        <v>31582</v>
      </c>
      <c r="H12739" t="s">
        <v>31590</v>
      </c>
      <c r="I12739" t="s">
        <v>31610</v>
      </c>
      <c r="J12739" t="s">
        <v>39584</v>
      </c>
      <c r="K12739" t="s">
        <v>41184</v>
      </c>
      <c r="M12739" t="s">
        <v>42387</v>
      </c>
      <c r="N12739" t="s">
        <v>45095</v>
      </c>
      <c r="O12739" t="s">
        <v>45096</v>
      </c>
      <c r="Q12739">
        <v>14</v>
      </c>
      <c r="R12739" t="s">
        <v>45111</v>
      </c>
      <c r="S12739" t="s">
        <v>45758</v>
      </c>
      <c r="T12739" t="s">
        <v>47043</v>
      </c>
      <c r="U12739" t="s">
        <v>57839</v>
      </c>
      <c r="W12739" t="s">
        <v>42387</v>
      </c>
      <c r="X12739" t="s">
        <v>45112</v>
      </c>
    </row>
    <row r="12740" spans="1:24">
      <c r="A12740">
        <f>HYPERLINK("https://www.philgeps.gov.ph/GEPSNONPILOT/Tender/SplashBidNoticeAbstractUI.aspx?menuIndex=3&amp;refID=7021515&amp;Result=3","7021515")</f>
        <v>0</v>
      </c>
      <c r="B12740" t="s">
        <v>2308</v>
      </c>
      <c r="C12740" t="s">
        <v>15382</v>
      </c>
      <c r="D12740" t="s">
        <v>18096</v>
      </c>
      <c r="E12740" t="s">
        <v>29133</v>
      </c>
      <c r="F12740" t="s">
        <v>31574</v>
      </c>
      <c r="G12740" t="s">
        <v>31582</v>
      </c>
      <c r="H12740" t="s">
        <v>31591</v>
      </c>
      <c r="I12740" t="s">
        <v>8822</v>
      </c>
      <c r="J12740" t="s">
        <v>39585</v>
      </c>
      <c r="K12740" t="s">
        <v>41200</v>
      </c>
      <c r="M12740" t="s">
        <v>44018</v>
      </c>
      <c r="N12740" t="s">
        <v>45095</v>
      </c>
      <c r="O12740" t="s">
        <v>45096</v>
      </c>
      <c r="P12740">
        <v>0</v>
      </c>
      <c r="Q12740">
        <v>0</v>
      </c>
      <c r="R12740" t="s">
        <v>45111</v>
      </c>
      <c r="S12740" t="s">
        <v>45694</v>
      </c>
      <c r="T12740" t="s">
        <v>46979</v>
      </c>
      <c r="U12740" t="s">
        <v>57817</v>
      </c>
      <c r="W12740" t="s">
        <v>44018</v>
      </c>
      <c r="X12740" t="s">
        <v>45112</v>
      </c>
    </row>
    <row r="12741" spans="1:24">
      <c r="A12741">
        <f>HYPERLINK("https://www.philgeps.gov.ph/GEPSNONPILOT/Tender/SplashBidNoticeAbstractUI.aspx?menuIndex=3&amp;refID=6931679&amp;Result=3","6931679")</f>
        <v>0</v>
      </c>
      <c r="B12741" t="s">
        <v>188</v>
      </c>
      <c r="C12741" t="s">
        <v>15383</v>
      </c>
      <c r="D12741" t="s">
        <v>18037</v>
      </c>
      <c r="E12741" t="s">
        <v>29134</v>
      </c>
      <c r="F12741" t="s">
        <v>31574</v>
      </c>
      <c r="G12741" t="s">
        <v>31582</v>
      </c>
      <c r="H12741" t="s">
        <v>31591</v>
      </c>
      <c r="I12741" t="s">
        <v>8822</v>
      </c>
      <c r="J12741" t="s">
        <v>31730</v>
      </c>
      <c r="K12741" t="s">
        <v>41243</v>
      </c>
      <c r="M12741" t="s">
        <v>41673</v>
      </c>
      <c r="N12741" t="s">
        <v>45095</v>
      </c>
      <c r="O12741" t="s">
        <v>45096</v>
      </c>
      <c r="Q12741">
        <v>6</v>
      </c>
      <c r="R12741" t="s">
        <v>45112</v>
      </c>
      <c r="S12741" t="s">
        <v>45759</v>
      </c>
      <c r="T12741" t="s">
        <v>47422</v>
      </c>
      <c r="U12741" t="s">
        <v>57840</v>
      </c>
      <c r="V12741" t="s">
        <v>61238</v>
      </c>
      <c r="W12741" t="s">
        <v>41673</v>
      </c>
      <c r="X12741" t="s">
        <v>45172</v>
      </c>
    </row>
    <row r="12742" spans="1:24">
      <c r="A12742">
        <f>HYPERLINK("https://www.philgeps.gov.ph/GEPSNONPILOT/Tender/SplashBidNoticeAbstractUI.aspx?menuIndex=3&amp;refID=6977990&amp;Result=3","6977990")</f>
        <v>0</v>
      </c>
      <c r="B12742" t="s">
        <v>38</v>
      </c>
      <c r="C12742" t="s">
        <v>15384</v>
      </c>
      <c r="D12742" t="s">
        <v>18033</v>
      </c>
      <c r="E12742" t="s">
        <v>29135</v>
      </c>
      <c r="F12742" t="s">
        <v>31574</v>
      </c>
      <c r="G12742" t="s">
        <v>31582</v>
      </c>
      <c r="H12742" t="s">
        <v>31590</v>
      </c>
      <c r="I12742" t="s">
        <v>31619</v>
      </c>
      <c r="J12742" t="s">
        <v>39586</v>
      </c>
      <c r="K12742" t="s">
        <v>41186</v>
      </c>
      <c r="M12742" t="s">
        <v>41663</v>
      </c>
      <c r="N12742" t="s">
        <v>45095</v>
      </c>
      <c r="O12742" t="s">
        <v>45096</v>
      </c>
      <c r="P12742">
        <v>0</v>
      </c>
      <c r="Q12742">
        <v>4</v>
      </c>
      <c r="R12742" t="s">
        <v>45112</v>
      </c>
      <c r="S12742" t="s">
        <v>45755</v>
      </c>
      <c r="T12742" t="s">
        <v>46930</v>
      </c>
      <c r="U12742" t="s">
        <v>57841</v>
      </c>
      <c r="V12742" t="s">
        <v>59888</v>
      </c>
      <c r="W12742" t="s">
        <v>41663</v>
      </c>
      <c r="X12742" t="s">
        <v>45141</v>
      </c>
    </row>
    <row r="12743" spans="1:24">
      <c r="A12743">
        <f>HYPERLINK("https://www.philgeps.gov.ph/GEPSNONPILOT/Tender/SplashBidNoticeAbstractUI.aspx?menuIndex=3&amp;refID=7002869&amp;Result=3","7002869")</f>
        <v>0</v>
      </c>
      <c r="B12743" t="s">
        <v>2407</v>
      </c>
      <c r="C12743" t="s">
        <v>15385</v>
      </c>
      <c r="D12743" t="s">
        <v>18083</v>
      </c>
      <c r="E12743" t="s">
        <v>29136</v>
      </c>
      <c r="F12743" t="s">
        <v>31574</v>
      </c>
      <c r="G12743" t="s">
        <v>31582</v>
      </c>
      <c r="H12743" t="s">
        <v>31591</v>
      </c>
      <c r="I12743" t="s">
        <v>8822</v>
      </c>
      <c r="J12743" t="s">
        <v>31730</v>
      </c>
      <c r="K12743" t="s">
        <v>41217</v>
      </c>
      <c r="M12743" t="s">
        <v>44134</v>
      </c>
      <c r="N12743" t="s">
        <v>45095</v>
      </c>
      <c r="O12743" t="s">
        <v>45096</v>
      </c>
      <c r="P12743">
        <v>0</v>
      </c>
      <c r="Q12743">
        <v>0</v>
      </c>
      <c r="R12743" t="s">
        <v>45112</v>
      </c>
      <c r="S12743" t="s">
        <v>45755</v>
      </c>
      <c r="T12743" t="s">
        <v>47423</v>
      </c>
      <c r="U12743" t="s">
        <v>57842</v>
      </c>
      <c r="W12743" t="s">
        <v>44134</v>
      </c>
      <c r="X12743" t="s">
        <v>45124</v>
      </c>
    </row>
    <row r="12744" spans="1:24">
      <c r="A12744">
        <f>HYPERLINK("https://www.philgeps.gov.ph/GEPSNONPILOT/Tender/SplashBidNoticeAbstractUI.aspx?menuIndex=3&amp;refID=7012340&amp;Result=3","7012340")</f>
        <v>0</v>
      </c>
      <c r="B12744" t="s">
        <v>2979</v>
      </c>
      <c r="C12744" t="s">
        <v>15386</v>
      </c>
      <c r="D12744" t="s">
        <v>18107</v>
      </c>
      <c r="E12744" t="s">
        <v>29137</v>
      </c>
      <c r="F12744" t="s">
        <v>31574</v>
      </c>
      <c r="G12744" t="s">
        <v>31588</v>
      </c>
      <c r="H12744" t="s">
        <v>31591</v>
      </c>
      <c r="I12744" t="s">
        <v>8822</v>
      </c>
      <c r="J12744" t="s">
        <v>32101</v>
      </c>
      <c r="K12744" t="s">
        <v>41198</v>
      </c>
      <c r="M12744" t="s">
        <v>44801</v>
      </c>
      <c r="N12744" t="s">
        <v>45095</v>
      </c>
      <c r="O12744" t="s">
        <v>45096</v>
      </c>
      <c r="P12744">
        <v>0</v>
      </c>
      <c r="Q12744">
        <v>1</v>
      </c>
      <c r="R12744" t="s">
        <v>45112</v>
      </c>
      <c r="S12744" t="s">
        <v>45755</v>
      </c>
      <c r="T12744" t="s">
        <v>47212</v>
      </c>
      <c r="U12744" t="s">
        <v>57843</v>
      </c>
      <c r="V12744" t="s">
        <v>61239</v>
      </c>
      <c r="W12744" t="s">
        <v>44801</v>
      </c>
      <c r="X12744" t="s">
        <v>45117</v>
      </c>
    </row>
    <row r="12745" spans="1:24">
      <c r="A12745">
        <f>HYPERLINK("https://www.philgeps.gov.ph/GEPSNONPILOT/Tender/SplashBidNoticeAbstractUI.aspx?menuIndex=3&amp;refID=7009119&amp;Result=3","7009119")</f>
        <v>0</v>
      </c>
      <c r="B12745" t="s">
        <v>2581</v>
      </c>
      <c r="C12745" t="s">
        <v>15387</v>
      </c>
      <c r="D12745" t="s">
        <v>18075</v>
      </c>
      <c r="E12745" t="s">
        <v>29138</v>
      </c>
      <c r="F12745" t="s">
        <v>31574</v>
      </c>
      <c r="G12745" t="s">
        <v>31582</v>
      </c>
      <c r="H12745" t="s">
        <v>31591</v>
      </c>
      <c r="I12745" t="s">
        <v>8822</v>
      </c>
      <c r="J12745" t="s">
        <v>35045</v>
      </c>
      <c r="K12745" t="s">
        <v>41192</v>
      </c>
      <c r="M12745" t="s">
        <v>44322</v>
      </c>
      <c r="N12745" t="s">
        <v>45095</v>
      </c>
      <c r="O12745" t="s">
        <v>45096</v>
      </c>
      <c r="P12745">
        <v>0</v>
      </c>
      <c r="Q12745">
        <v>0</v>
      </c>
      <c r="R12745" t="s">
        <v>45112</v>
      </c>
      <c r="S12745" t="s">
        <v>45755</v>
      </c>
      <c r="T12745" t="s">
        <v>46980</v>
      </c>
      <c r="U12745" t="s">
        <v>57844</v>
      </c>
      <c r="V12745" t="s">
        <v>60812</v>
      </c>
      <c r="W12745" t="s">
        <v>44322</v>
      </c>
      <c r="X12745" t="s">
        <v>45121</v>
      </c>
    </row>
    <row r="12746" spans="1:24">
      <c r="A12746">
        <f>HYPERLINK("https://www.philgeps.gov.ph/GEPSNONPILOT/Tender/SplashBidNoticeAbstractUI.aspx?menuIndex=3&amp;refID=7009114&amp;Result=3","7009114")</f>
        <v>0</v>
      </c>
      <c r="B12746" t="s">
        <v>2581</v>
      </c>
      <c r="C12746" t="s">
        <v>15388</v>
      </c>
      <c r="D12746" t="s">
        <v>18075</v>
      </c>
      <c r="E12746" t="s">
        <v>29139</v>
      </c>
      <c r="F12746" t="s">
        <v>31574</v>
      </c>
      <c r="G12746" t="s">
        <v>31582</v>
      </c>
      <c r="H12746" t="s">
        <v>31591</v>
      </c>
      <c r="I12746" t="s">
        <v>8822</v>
      </c>
      <c r="J12746" t="s">
        <v>39587</v>
      </c>
      <c r="K12746" t="s">
        <v>41217</v>
      </c>
      <c r="M12746" t="s">
        <v>44322</v>
      </c>
      <c r="N12746" t="s">
        <v>45095</v>
      </c>
      <c r="O12746" t="s">
        <v>45096</v>
      </c>
      <c r="P12746">
        <v>0</v>
      </c>
      <c r="Q12746">
        <v>0</v>
      </c>
      <c r="R12746" t="s">
        <v>45112</v>
      </c>
      <c r="S12746" t="s">
        <v>45755</v>
      </c>
      <c r="T12746" t="s">
        <v>46980</v>
      </c>
      <c r="U12746" t="s">
        <v>57845</v>
      </c>
      <c r="V12746" t="s">
        <v>60812</v>
      </c>
      <c r="W12746" t="s">
        <v>44322</v>
      </c>
      <c r="X12746" t="s">
        <v>45121</v>
      </c>
    </row>
    <row r="12747" spans="1:24">
      <c r="A12747">
        <f>HYPERLINK("https://www.philgeps.gov.ph/GEPSNONPILOT/Tender/SplashBidNoticeAbstractUI.aspx?menuIndex=3&amp;refID=7009115&amp;Result=3","7009115")</f>
        <v>0</v>
      </c>
      <c r="B12747" t="s">
        <v>2581</v>
      </c>
      <c r="C12747" t="s">
        <v>15389</v>
      </c>
      <c r="D12747" t="s">
        <v>18075</v>
      </c>
      <c r="E12747" t="s">
        <v>29140</v>
      </c>
      <c r="F12747" t="s">
        <v>31574</v>
      </c>
      <c r="G12747" t="s">
        <v>31582</v>
      </c>
      <c r="H12747" t="s">
        <v>31591</v>
      </c>
      <c r="I12747" t="s">
        <v>8822</v>
      </c>
      <c r="J12747" t="s">
        <v>32760</v>
      </c>
      <c r="K12747" t="s">
        <v>41192</v>
      </c>
      <c r="M12747" t="s">
        <v>44322</v>
      </c>
      <c r="N12747" t="s">
        <v>45095</v>
      </c>
      <c r="O12747" t="s">
        <v>45096</v>
      </c>
      <c r="P12747">
        <v>0</v>
      </c>
      <c r="Q12747">
        <v>0</v>
      </c>
      <c r="R12747" t="s">
        <v>45112</v>
      </c>
      <c r="S12747" t="s">
        <v>45755</v>
      </c>
      <c r="T12747" t="s">
        <v>46980</v>
      </c>
      <c r="U12747" t="s">
        <v>57846</v>
      </c>
      <c r="V12747" t="s">
        <v>60812</v>
      </c>
      <c r="W12747" t="s">
        <v>44322</v>
      </c>
      <c r="X12747" t="s">
        <v>45121</v>
      </c>
    </row>
    <row r="12748" spans="1:24">
      <c r="A12748">
        <f>HYPERLINK("https://www.philgeps.gov.ph/GEPSNONPILOT/Tender/SplashBidNoticeAbstractUI.aspx?menuIndex=3&amp;refID=7009111&amp;Result=3","7009111")</f>
        <v>0</v>
      </c>
      <c r="B12748" t="s">
        <v>2581</v>
      </c>
      <c r="C12748" t="s">
        <v>15390</v>
      </c>
      <c r="D12748" t="s">
        <v>18075</v>
      </c>
      <c r="E12748" t="s">
        <v>29141</v>
      </c>
      <c r="F12748" t="s">
        <v>31574</v>
      </c>
      <c r="G12748" t="s">
        <v>31582</v>
      </c>
      <c r="H12748" t="s">
        <v>31591</v>
      </c>
      <c r="I12748" t="s">
        <v>8822</v>
      </c>
      <c r="J12748" t="s">
        <v>32026</v>
      </c>
      <c r="K12748" t="s">
        <v>41192</v>
      </c>
      <c r="M12748" t="s">
        <v>44322</v>
      </c>
      <c r="N12748" t="s">
        <v>45095</v>
      </c>
      <c r="O12748" t="s">
        <v>45096</v>
      </c>
      <c r="P12748">
        <v>0</v>
      </c>
      <c r="Q12748">
        <v>0</v>
      </c>
      <c r="R12748" t="s">
        <v>45112</v>
      </c>
      <c r="S12748" t="s">
        <v>45755</v>
      </c>
      <c r="T12748" t="s">
        <v>46980</v>
      </c>
      <c r="U12748" t="s">
        <v>57847</v>
      </c>
      <c r="V12748" t="s">
        <v>60812</v>
      </c>
      <c r="W12748" t="s">
        <v>44322</v>
      </c>
      <c r="X12748" t="s">
        <v>45121</v>
      </c>
    </row>
    <row r="12749" spans="1:24">
      <c r="A12749">
        <f>HYPERLINK("https://www.philgeps.gov.ph/GEPSNONPILOT/Tender/SplashBidNoticeAbstractUI.aspx?menuIndex=3&amp;refID=7014707&amp;Result=3","7014707")</f>
        <v>0</v>
      </c>
      <c r="B12749" t="s">
        <v>2712</v>
      </c>
      <c r="C12749" t="s">
        <v>15391</v>
      </c>
      <c r="D12749" t="s">
        <v>18041</v>
      </c>
      <c r="E12749" t="s">
        <v>29142</v>
      </c>
      <c r="F12749" t="s">
        <v>31574</v>
      </c>
      <c r="G12749" t="s">
        <v>31582</v>
      </c>
      <c r="H12749" t="s">
        <v>31590</v>
      </c>
      <c r="I12749" t="s">
        <v>31615</v>
      </c>
      <c r="J12749" t="s">
        <v>39588</v>
      </c>
      <c r="K12749" t="s">
        <v>41184</v>
      </c>
      <c r="M12749" t="s">
        <v>44483</v>
      </c>
      <c r="N12749" t="s">
        <v>45095</v>
      </c>
      <c r="O12749" t="s">
        <v>45096</v>
      </c>
      <c r="P12749">
        <v>0</v>
      </c>
      <c r="Q12749">
        <v>5</v>
      </c>
      <c r="R12749" t="s">
        <v>45112</v>
      </c>
      <c r="S12749" t="s">
        <v>45755</v>
      </c>
      <c r="T12749" t="s">
        <v>46914</v>
      </c>
      <c r="U12749" t="s">
        <v>55893</v>
      </c>
      <c r="W12749" t="s">
        <v>44483</v>
      </c>
      <c r="X12749" t="s">
        <v>45116</v>
      </c>
    </row>
    <row r="12750" spans="1:24">
      <c r="A12750">
        <f>HYPERLINK("https://www.philgeps.gov.ph/GEPSNONPILOT/Tender/SplashBidNoticeAbstractUI.aspx?menuIndex=3&amp;refID=7014653&amp;Result=3","7014653")</f>
        <v>0</v>
      </c>
      <c r="B12750" t="s">
        <v>2980</v>
      </c>
      <c r="C12750" t="s">
        <v>15392</v>
      </c>
      <c r="D12750" t="s">
        <v>18071</v>
      </c>
      <c r="E12750" t="s">
        <v>29143</v>
      </c>
      <c r="F12750" t="s">
        <v>31574</v>
      </c>
      <c r="G12750" t="s">
        <v>31582</v>
      </c>
      <c r="H12750" t="s">
        <v>31590</v>
      </c>
      <c r="I12750" t="s">
        <v>7185</v>
      </c>
      <c r="J12750" t="s">
        <v>39589</v>
      </c>
      <c r="K12750" t="s">
        <v>41189</v>
      </c>
      <c r="M12750" t="s">
        <v>44802</v>
      </c>
      <c r="N12750" t="s">
        <v>45095</v>
      </c>
      <c r="O12750" t="s">
        <v>45096</v>
      </c>
      <c r="P12750">
        <v>0</v>
      </c>
      <c r="Q12750">
        <v>5</v>
      </c>
      <c r="R12750" t="s">
        <v>45112</v>
      </c>
      <c r="S12750" t="s">
        <v>45755</v>
      </c>
      <c r="T12750" t="s">
        <v>46906</v>
      </c>
      <c r="U12750" t="s">
        <v>57848</v>
      </c>
      <c r="W12750" t="s">
        <v>44802</v>
      </c>
      <c r="X12750" t="s">
        <v>45116</v>
      </c>
    </row>
    <row r="12751" spans="1:24">
      <c r="A12751">
        <f>HYPERLINK("https://www.philgeps.gov.ph/GEPSNONPILOT/Tender/SplashBidNoticeAbstractUI.aspx?menuIndex=3&amp;refID=6978642&amp;Result=3","6978642")</f>
        <v>0</v>
      </c>
      <c r="B12751" t="s">
        <v>38</v>
      </c>
      <c r="C12751" t="s">
        <v>15393</v>
      </c>
      <c r="D12751" t="s">
        <v>18033</v>
      </c>
      <c r="E12751" t="s">
        <v>29144</v>
      </c>
      <c r="F12751" t="s">
        <v>31574</v>
      </c>
      <c r="G12751" t="s">
        <v>31582</v>
      </c>
      <c r="H12751" t="s">
        <v>31590</v>
      </c>
      <c r="I12751" t="s">
        <v>3489</v>
      </c>
      <c r="J12751" t="s">
        <v>39590</v>
      </c>
      <c r="K12751" t="s">
        <v>41194</v>
      </c>
      <c r="M12751" t="s">
        <v>41663</v>
      </c>
      <c r="N12751" t="s">
        <v>45095</v>
      </c>
      <c r="O12751" t="s">
        <v>45096</v>
      </c>
      <c r="P12751">
        <v>0</v>
      </c>
      <c r="Q12751">
        <v>0</v>
      </c>
      <c r="R12751" t="s">
        <v>45112</v>
      </c>
      <c r="S12751" t="s">
        <v>45755</v>
      </c>
      <c r="T12751" t="s">
        <v>46930</v>
      </c>
      <c r="U12751" t="s">
        <v>57849</v>
      </c>
      <c r="V12751" t="s">
        <v>59888</v>
      </c>
      <c r="W12751" t="s">
        <v>41663</v>
      </c>
      <c r="X12751" t="s">
        <v>45141</v>
      </c>
    </row>
    <row r="12752" spans="1:24">
      <c r="A12752">
        <f>HYPERLINK("https://www.philgeps.gov.ph/GEPSNONPILOT/Tender/SplashBidNoticeAbstractUI.aspx?menuIndex=3&amp;refID=7014563&amp;Result=3","7014563")</f>
        <v>0</v>
      </c>
      <c r="B12752" t="s">
        <v>1898</v>
      </c>
      <c r="C12752" t="s">
        <v>15394</v>
      </c>
      <c r="D12752" t="s">
        <v>18047</v>
      </c>
      <c r="E12752" t="s">
        <v>29145</v>
      </c>
      <c r="F12752" t="s">
        <v>31574</v>
      </c>
      <c r="G12752" t="s">
        <v>31582</v>
      </c>
      <c r="H12752" t="s">
        <v>31591</v>
      </c>
      <c r="I12752" t="s">
        <v>8822</v>
      </c>
      <c r="J12752" t="s">
        <v>35844</v>
      </c>
      <c r="K12752" t="s">
        <v>41266</v>
      </c>
      <c r="M12752" t="s">
        <v>43543</v>
      </c>
      <c r="N12752" t="s">
        <v>45095</v>
      </c>
      <c r="O12752" t="s">
        <v>45096</v>
      </c>
      <c r="P12752">
        <v>0</v>
      </c>
      <c r="Q12752">
        <v>2</v>
      </c>
      <c r="R12752" t="s">
        <v>45112</v>
      </c>
      <c r="S12752" t="s">
        <v>45755</v>
      </c>
      <c r="T12752" t="s">
        <v>47106</v>
      </c>
      <c r="U12752" t="s">
        <v>57850</v>
      </c>
      <c r="W12752" t="s">
        <v>43543</v>
      </c>
      <c r="X12752" t="s">
        <v>45116</v>
      </c>
    </row>
    <row r="12753" spans="1:24">
      <c r="A12753">
        <f>HYPERLINK("https://www.philgeps.gov.ph/GEPSNONPILOT/Tender/SplashBidNoticeAbstractUI.aspx?menuIndex=3&amp;refID=7014683&amp;Result=3","7014683")</f>
        <v>0</v>
      </c>
      <c r="B12753" t="s">
        <v>2981</v>
      </c>
      <c r="C12753" t="s">
        <v>15395</v>
      </c>
      <c r="D12753" t="s">
        <v>18028</v>
      </c>
      <c r="E12753" t="s">
        <v>29146</v>
      </c>
      <c r="F12753" t="s">
        <v>31574</v>
      </c>
      <c r="G12753" t="s">
        <v>31582</v>
      </c>
      <c r="H12753" t="s">
        <v>31590</v>
      </c>
      <c r="I12753" t="s">
        <v>7185</v>
      </c>
      <c r="J12753" t="s">
        <v>35045</v>
      </c>
      <c r="K12753" t="s">
        <v>41184</v>
      </c>
      <c r="M12753" t="s">
        <v>44803</v>
      </c>
      <c r="N12753" t="s">
        <v>45095</v>
      </c>
      <c r="O12753" t="s">
        <v>45096</v>
      </c>
      <c r="P12753">
        <v>0</v>
      </c>
      <c r="Q12753">
        <v>1</v>
      </c>
      <c r="R12753" t="s">
        <v>45112</v>
      </c>
      <c r="S12753" t="s">
        <v>45755</v>
      </c>
      <c r="T12753" t="s">
        <v>46926</v>
      </c>
      <c r="U12753" t="s">
        <v>57851</v>
      </c>
      <c r="W12753" t="s">
        <v>44803</v>
      </c>
      <c r="X12753" t="s">
        <v>45116</v>
      </c>
    </row>
    <row r="12754" spans="1:24">
      <c r="A12754">
        <f>HYPERLINK("https://www.philgeps.gov.ph/GEPSNONPILOT/Tender/SplashBidNoticeAbstractUI.aspx?menuIndex=3&amp;refID=7009105&amp;Result=3","7009105")</f>
        <v>0</v>
      </c>
      <c r="B12754" t="s">
        <v>2581</v>
      </c>
      <c r="C12754" t="s">
        <v>15396</v>
      </c>
      <c r="D12754" t="s">
        <v>18075</v>
      </c>
      <c r="E12754" t="s">
        <v>29147</v>
      </c>
      <c r="F12754" t="s">
        <v>31574</v>
      </c>
      <c r="G12754" t="s">
        <v>31582</v>
      </c>
      <c r="H12754" t="s">
        <v>31591</v>
      </c>
      <c r="I12754" t="s">
        <v>8822</v>
      </c>
      <c r="J12754" t="s">
        <v>39591</v>
      </c>
      <c r="K12754" t="s">
        <v>41192</v>
      </c>
      <c r="M12754" t="s">
        <v>44322</v>
      </c>
      <c r="N12754" t="s">
        <v>45095</v>
      </c>
      <c r="O12754" t="s">
        <v>45096</v>
      </c>
      <c r="P12754">
        <v>0</v>
      </c>
      <c r="Q12754">
        <v>0</v>
      </c>
      <c r="R12754" t="s">
        <v>45112</v>
      </c>
      <c r="S12754" t="s">
        <v>45755</v>
      </c>
      <c r="T12754" t="s">
        <v>46980</v>
      </c>
      <c r="U12754" t="s">
        <v>57852</v>
      </c>
      <c r="V12754" t="s">
        <v>61240</v>
      </c>
      <c r="W12754" t="s">
        <v>44322</v>
      </c>
      <c r="X12754" t="s">
        <v>45121</v>
      </c>
    </row>
    <row r="12755" spans="1:24">
      <c r="A12755">
        <f>HYPERLINK("https://www.philgeps.gov.ph/GEPSNONPILOT/Tender/SplashBidNoticeAbstractUI.aspx?menuIndex=3&amp;refID=7014726&amp;Result=3","7014726")</f>
        <v>0</v>
      </c>
      <c r="B12755" t="s">
        <v>2980</v>
      </c>
      <c r="C12755" t="s">
        <v>15397</v>
      </c>
      <c r="D12755" t="s">
        <v>18071</v>
      </c>
      <c r="E12755" t="s">
        <v>29148</v>
      </c>
      <c r="F12755" t="s">
        <v>31574</v>
      </c>
      <c r="G12755" t="s">
        <v>31582</v>
      </c>
      <c r="H12755" t="s">
        <v>31590</v>
      </c>
      <c r="I12755" t="s">
        <v>8569</v>
      </c>
      <c r="J12755" t="s">
        <v>39592</v>
      </c>
      <c r="K12755" t="s">
        <v>41189</v>
      </c>
      <c r="M12755" t="s">
        <v>44802</v>
      </c>
      <c r="N12755" t="s">
        <v>45095</v>
      </c>
      <c r="O12755" t="s">
        <v>45096</v>
      </c>
      <c r="P12755">
        <v>0</v>
      </c>
      <c r="Q12755">
        <v>4</v>
      </c>
      <c r="R12755" t="s">
        <v>45112</v>
      </c>
      <c r="S12755" t="s">
        <v>45755</v>
      </c>
      <c r="T12755" t="s">
        <v>47376</v>
      </c>
      <c r="U12755" t="s">
        <v>57853</v>
      </c>
      <c r="W12755" t="s">
        <v>44802</v>
      </c>
      <c r="X12755" t="s">
        <v>45116</v>
      </c>
    </row>
    <row r="12756" spans="1:24">
      <c r="A12756">
        <f>HYPERLINK("https://www.philgeps.gov.ph/GEPSNONPILOT/Tender/SplashBidNoticeAbstractUI.aspx?menuIndex=3&amp;refID=7014542&amp;Result=3","7014542")</f>
        <v>0</v>
      </c>
      <c r="B12756" t="s">
        <v>1898</v>
      </c>
      <c r="C12756" t="s">
        <v>15398</v>
      </c>
      <c r="D12756" t="s">
        <v>18047</v>
      </c>
      <c r="E12756" t="s">
        <v>29149</v>
      </c>
      <c r="F12756" t="s">
        <v>31574</v>
      </c>
      <c r="G12756" t="s">
        <v>31582</v>
      </c>
      <c r="H12756" t="s">
        <v>31591</v>
      </c>
      <c r="I12756" t="s">
        <v>8822</v>
      </c>
      <c r="J12756" t="s">
        <v>39593</v>
      </c>
      <c r="K12756" t="s">
        <v>41254</v>
      </c>
      <c r="M12756" t="s">
        <v>43543</v>
      </c>
      <c r="N12756" t="s">
        <v>45095</v>
      </c>
      <c r="O12756" t="s">
        <v>45096</v>
      </c>
      <c r="P12756">
        <v>0</v>
      </c>
      <c r="Q12756">
        <v>2</v>
      </c>
      <c r="R12756" t="s">
        <v>45112</v>
      </c>
      <c r="S12756" t="s">
        <v>45755</v>
      </c>
      <c r="T12756" t="s">
        <v>47106</v>
      </c>
      <c r="U12756" t="s">
        <v>57854</v>
      </c>
      <c r="W12756" t="s">
        <v>43543</v>
      </c>
      <c r="X12756" t="s">
        <v>45116</v>
      </c>
    </row>
    <row r="12757" spans="1:24">
      <c r="A12757">
        <f>HYPERLINK("https://www.philgeps.gov.ph/GEPSNONPILOT/Tender/SplashBidNoticeAbstractUI.aspx?menuIndex=3&amp;refID=7002861&amp;Result=3","7002861")</f>
        <v>0</v>
      </c>
      <c r="B12757" t="s">
        <v>2407</v>
      </c>
      <c r="C12757" t="s">
        <v>15399</v>
      </c>
      <c r="D12757" t="s">
        <v>18083</v>
      </c>
      <c r="E12757" t="s">
        <v>29150</v>
      </c>
      <c r="F12757" t="s">
        <v>31574</v>
      </c>
      <c r="G12757" t="s">
        <v>31582</v>
      </c>
      <c r="H12757" t="s">
        <v>31591</v>
      </c>
      <c r="I12757" t="s">
        <v>8822</v>
      </c>
      <c r="J12757" t="s">
        <v>39594</v>
      </c>
      <c r="K12757" t="s">
        <v>41231</v>
      </c>
      <c r="M12757" t="s">
        <v>44134</v>
      </c>
      <c r="N12757" t="s">
        <v>45095</v>
      </c>
      <c r="O12757" t="s">
        <v>45096</v>
      </c>
      <c r="P12757">
        <v>0</v>
      </c>
      <c r="Q12757">
        <v>0</v>
      </c>
      <c r="R12757" t="s">
        <v>45112</v>
      </c>
      <c r="S12757" t="s">
        <v>45755</v>
      </c>
      <c r="T12757" t="s">
        <v>47423</v>
      </c>
      <c r="U12757" t="s">
        <v>57855</v>
      </c>
      <c r="W12757" t="s">
        <v>44134</v>
      </c>
      <c r="X12757" t="s">
        <v>45124</v>
      </c>
    </row>
    <row r="12758" spans="1:24">
      <c r="A12758">
        <f>HYPERLINK("https://www.philgeps.gov.ph/GEPSNONPILOT/Tender/SplashBidNoticeAbstractUI.aspx?menuIndex=3&amp;refID=7014738&amp;Result=3","7014738")</f>
        <v>0</v>
      </c>
      <c r="B12758" t="s">
        <v>2712</v>
      </c>
      <c r="C12758" t="s">
        <v>15400</v>
      </c>
      <c r="D12758" t="s">
        <v>18041</v>
      </c>
      <c r="E12758" t="s">
        <v>29151</v>
      </c>
      <c r="F12758" t="s">
        <v>31574</v>
      </c>
      <c r="G12758" t="s">
        <v>31582</v>
      </c>
      <c r="H12758" t="s">
        <v>31590</v>
      </c>
      <c r="I12758" t="s">
        <v>31615</v>
      </c>
      <c r="J12758" t="s">
        <v>35824</v>
      </c>
      <c r="K12758" t="s">
        <v>41184</v>
      </c>
      <c r="M12758" t="s">
        <v>44483</v>
      </c>
      <c r="N12758" t="s">
        <v>45095</v>
      </c>
      <c r="O12758" t="s">
        <v>45096</v>
      </c>
      <c r="P12758">
        <v>0</v>
      </c>
      <c r="Q12758">
        <v>6</v>
      </c>
      <c r="R12758" t="s">
        <v>45112</v>
      </c>
      <c r="S12758" t="s">
        <v>45755</v>
      </c>
      <c r="T12758" t="s">
        <v>46914</v>
      </c>
      <c r="U12758" t="s">
        <v>55893</v>
      </c>
      <c r="W12758" t="s">
        <v>44483</v>
      </c>
      <c r="X12758" t="s">
        <v>45116</v>
      </c>
    </row>
    <row r="12759" spans="1:24">
      <c r="A12759">
        <f>HYPERLINK("https://www.philgeps.gov.ph/GEPSNONPILOT/Tender/SplashBidNoticeAbstractUI.aspx?menuIndex=3&amp;refID=7014513&amp;Result=3","7014513")</f>
        <v>0</v>
      </c>
      <c r="B12759" t="s">
        <v>1898</v>
      </c>
      <c r="C12759" t="s">
        <v>15401</v>
      </c>
      <c r="D12759" t="s">
        <v>18047</v>
      </c>
      <c r="E12759" t="s">
        <v>29152</v>
      </c>
      <c r="F12759" t="s">
        <v>31574</v>
      </c>
      <c r="G12759" t="s">
        <v>31582</v>
      </c>
      <c r="H12759" t="s">
        <v>31591</v>
      </c>
      <c r="I12759" t="s">
        <v>8822</v>
      </c>
      <c r="J12759" t="s">
        <v>39595</v>
      </c>
      <c r="K12759" t="s">
        <v>41247</v>
      </c>
      <c r="M12759" t="s">
        <v>43543</v>
      </c>
      <c r="N12759" t="s">
        <v>45095</v>
      </c>
      <c r="O12759" t="s">
        <v>45096</v>
      </c>
      <c r="P12759">
        <v>0</v>
      </c>
      <c r="Q12759">
        <v>3</v>
      </c>
      <c r="R12759" t="s">
        <v>45112</v>
      </c>
      <c r="S12759" t="s">
        <v>45755</v>
      </c>
      <c r="T12759" t="s">
        <v>47106</v>
      </c>
      <c r="U12759" t="s">
        <v>57856</v>
      </c>
      <c r="W12759" t="s">
        <v>43543</v>
      </c>
      <c r="X12759" t="s">
        <v>45116</v>
      </c>
    </row>
    <row r="12760" spans="1:24">
      <c r="A12760">
        <f>HYPERLINK("https://www.philgeps.gov.ph/GEPSNONPILOT/Tender/SplashBidNoticeAbstractUI.aspx?menuIndex=3&amp;refID=7002878&amp;Result=3","7002878")</f>
        <v>0</v>
      </c>
      <c r="B12760" t="s">
        <v>2407</v>
      </c>
      <c r="C12760" t="s">
        <v>15402</v>
      </c>
      <c r="D12760" t="s">
        <v>18083</v>
      </c>
      <c r="E12760" t="s">
        <v>29153</v>
      </c>
      <c r="F12760" t="s">
        <v>31574</v>
      </c>
      <c r="G12760" t="s">
        <v>31582</v>
      </c>
      <c r="H12760" t="s">
        <v>31591</v>
      </c>
      <c r="I12760" t="s">
        <v>8822</v>
      </c>
      <c r="J12760" t="s">
        <v>32662</v>
      </c>
      <c r="K12760" t="s">
        <v>41264</v>
      </c>
      <c r="M12760" t="s">
        <v>44134</v>
      </c>
      <c r="N12760" t="s">
        <v>45095</v>
      </c>
      <c r="O12760" t="s">
        <v>45096</v>
      </c>
      <c r="P12760">
        <v>0</v>
      </c>
      <c r="Q12760">
        <v>0</v>
      </c>
      <c r="R12760" t="s">
        <v>45112</v>
      </c>
      <c r="S12760" t="s">
        <v>45755</v>
      </c>
      <c r="T12760" t="s">
        <v>47423</v>
      </c>
      <c r="U12760" t="s">
        <v>57857</v>
      </c>
      <c r="W12760" t="s">
        <v>44134</v>
      </c>
      <c r="X12760" t="s">
        <v>45124</v>
      </c>
    </row>
    <row r="12761" spans="1:24">
      <c r="A12761">
        <f>HYPERLINK("https://www.philgeps.gov.ph/GEPSNONPILOT/Tender/SplashBidNoticeAbstractUI.aspx?menuIndex=3&amp;refID=7009107&amp;Result=3","7009107")</f>
        <v>0</v>
      </c>
      <c r="B12761" t="s">
        <v>2581</v>
      </c>
      <c r="C12761" t="s">
        <v>15403</v>
      </c>
      <c r="D12761" t="s">
        <v>18075</v>
      </c>
      <c r="E12761" t="s">
        <v>29154</v>
      </c>
      <c r="F12761" t="s">
        <v>31574</v>
      </c>
      <c r="G12761" t="s">
        <v>31582</v>
      </c>
      <c r="H12761" t="s">
        <v>31591</v>
      </c>
      <c r="I12761" t="s">
        <v>8822</v>
      </c>
      <c r="J12761" t="s">
        <v>31935</v>
      </c>
      <c r="K12761" t="s">
        <v>41192</v>
      </c>
      <c r="M12761" t="s">
        <v>44322</v>
      </c>
      <c r="N12761" t="s">
        <v>45095</v>
      </c>
      <c r="O12761" t="s">
        <v>45096</v>
      </c>
      <c r="P12761">
        <v>0</v>
      </c>
      <c r="Q12761">
        <v>0</v>
      </c>
      <c r="R12761" t="s">
        <v>45112</v>
      </c>
      <c r="S12761" t="s">
        <v>45755</v>
      </c>
      <c r="T12761" t="s">
        <v>46980</v>
      </c>
      <c r="U12761" t="s">
        <v>57858</v>
      </c>
      <c r="V12761" t="s">
        <v>61241</v>
      </c>
      <c r="W12761" t="s">
        <v>44322</v>
      </c>
      <c r="X12761" t="s">
        <v>45121</v>
      </c>
    </row>
    <row r="12762" spans="1:24">
      <c r="A12762">
        <f>HYPERLINK("https://www.philgeps.gov.ph/GEPSNONPILOT/Tender/SplashBidNoticeAbstractUI.aspx?menuIndex=3&amp;refID=7016075&amp;Result=3","7016075")</f>
        <v>0</v>
      </c>
      <c r="B12762" t="s">
        <v>2982</v>
      </c>
      <c r="C12762" t="s">
        <v>15404</v>
      </c>
      <c r="D12762" t="s">
        <v>18066</v>
      </c>
      <c r="E12762" t="s">
        <v>29155</v>
      </c>
      <c r="F12762" t="s">
        <v>31574</v>
      </c>
      <c r="G12762" t="s">
        <v>31582</v>
      </c>
      <c r="H12762" t="s">
        <v>31592</v>
      </c>
      <c r="I12762" t="s">
        <v>31659</v>
      </c>
      <c r="J12762" t="s">
        <v>39596</v>
      </c>
      <c r="K12762" t="s">
        <v>41186</v>
      </c>
      <c r="M12762" t="s">
        <v>44804</v>
      </c>
      <c r="N12762" t="s">
        <v>45095</v>
      </c>
      <c r="O12762" t="s">
        <v>45096</v>
      </c>
      <c r="P12762">
        <v>0</v>
      </c>
      <c r="Q12762">
        <v>2</v>
      </c>
      <c r="R12762" t="s">
        <v>45112</v>
      </c>
      <c r="S12762" t="s">
        <v>45755</v>
      </c>
      <c r="T12762" t="s">
        <v>46979</v>
      </c>
      <c r="U12762" t="s">
        <v>57859</v>
      </c>
      <c r="W12762" t="s">
        <v>44804</v>
      </c>
      <c r="X12762" t="s">
        <v>45116</v>
      </c>
    </row>
    <row r="12763" spans="1:24">
      <c r="A12763">
        <f>HYPERLINK("https://www.philgeps.gov.ph/GEPSNONPILOT/Tender/SplashBidNoticeAbstractUI.aspx?menuIndex=3&amp;refID=7015776&amp;Result=3","7015776")</f>
        <v>0</v>
      </c>
      <c r="B12763" t="s">
        <v>2983</v>
      </c>
      <c r="C12763" t="s">
        <v>15405</v>
      </c>
      <c r="D12763" t="s">
        <v>18087</v>
      </c>
      <c r="E12763" t="s">
        <v>29156</v>
      </c>
      <c r="F12763" t="s">
        <v>31574</v>
      </c>
      <c r="G12763" t="s">
        <v>31582</v>
      </c>
      <c r="H12763" t="s">
        <v>31590</v>
      </c>
      <c r="I12763" t="s">
        <v>31625</v>
      </c>
      <c r="J12763" t="s">
        <v>39597</v>
      </c>
      <c r="K12763" t="s">
        <v>41186</v>
      </c>
      <c r="M12763" t="s">
        <v>44805</v>
      </c>
      <c r="N12763" t="s">
        <v>45095</v>
      </c>
      <c r="O12763" t="s">
        <v>45096</v>
      </c>
      <c r="Q12763">
        <v>0</v>
      </c>
      <c r="R12763" t="s">
        <v>45112</v>
      </c>
      <c r="S12763" t="s">
        <v>45760</v>
      </c>
      <c r="T12763" t="s">
        <v>46979</v>
      </c>
      <c r="U12763" t="s">
        <v>57860</v>
      </c>
      <c r="W12763" t="s">
        <v>44805</v>
      </c>
      <c r="X12763" t="s">
        <v>45116</v>
      </c>
    </row>
    <row r="12764" spans="1:24">
      <c r="A12764">
        <f>HYPERLINK("https://www.philgeps.gov.ph/GEPSNONPILOT/Tender/SplashBidNoticeAbstractUI.aspx?menuIndex=3&amp;refID=7015939&amp;Result=3","7015939")</f>
        <v>0</v>
      </c>
      <c r="B12764" t="s">
        <v>357</v>
      </c>
      <c r="C12764" t="s">
        <v>15406</v>
      </c>
      <c r="D12764" t="s">
        <v>18026</v>
      </c>
      <c r="E12764" t="s">
        <v>29157</v>
      </c>
      <c r="F12764" t="s">
        <v>31574</v>
      </c>
      <c r="G12764" t="s">
        <v>31582</v>
      </c>
      <c r="H12764" t="s">
        <v>31590</v>
      </c>
      <c r="I12764" t="s">
        <v>31615</v>
      </c>
      <c r="J12764" t="s">
        <v>39598</v>
      </c>
      <c r="K12764" t="s">
        <v>41184</v>
      </c>
      <c r="M12764" t="s">
        <v>42576</v>
      </c>
      <c r="N12764" t="s">
        <v>45095</v>
      </c>
      <c r="O12764" t="s">
        <v>45096</v>
      </c>
      <c r="P12764">
        <v>0</v>
      </c>
      <c r="Q12764">
        <v>9</v>
      </c>
      <c r="R12764" t="s">
        <v>45112</v>
      </c>
      <c r="S12764" t="s">
        <v>45755</v>
      </c>
      <c r="T12764" t="s">
        <v>46932</v>
      </c>
      <c r="U12764" t="s">
        <v>57861</v>
      </c>
      <c r="W12764" t="s">
        <v>42576</v>
      </c>
      <c r="X12764" t="s">
        <v>45116</v>
      </c>
    </row>
    <row r="12765" spans="1:24">
      <c r="A12765">
        <f>HYPERLINK("https://www.philgeps.gov.ph/GEPSNONPILOT/Tender/SplashBidNoticeAbstractUI.aspx?menuIndex=3&amp;refID=7016115&amp;Result=3","7016115")</f>
        <v>0</v>
      </c>
      <c r="B12765" t="s">
        <v>574</v>
      </c>
      <c r="C12765" t="s">
        <v>15407</v>
      </c>
      <c r="D12765" t="s">
        <v>18040</v>
      </c>
      <c r="E12765" t="s">
        <v>29158</v>
      </c>
      <c r="F12765" t="s">
        <v>31574</v>
      </c>
      <c r="G12765" t="s">
        <v>31582</v>
      </c>
      <c r="H12765" t="s">
        <v>31591</v>
      </c>
      <c r="I12765" t="s">
        <v>8822</v>
      </c>
      <c r="J12765" t="s">
        <v>39599</v>
      </c>
      <c r="K12765" t="s">
        <v>41203</v>
      </c>
      <c r="M12765" t="s">
        <v>42075</v>
      </c>
      <c r="N12765" t="s">
        <v>45095</v>
      </c>
      <c r="O12765" t="s">
        <v>45096</v>
      </c>
      <c r="P12765">
        <v>0</v>
      </c>
      <c r="Q12765">
        <v>1</v>
      </c>
      <c r="R12765" t="s">
        <v>45112</v>
      </c>
      <c r="S12765" t="s">
        <v>45755</v>
      </c>
      <c r="T12765" t="s">
        <v>47424</v>
      </c>
      <c r="U12765" t="s">
        <v>57862</v>
      </c>
      <c r="W12765" t="s">
        <v>42075</v>
      </c>
      <c r="X12765" t="s">
        <v>45116</v>
      </c>
    </row>
    <row r="12766" spans="1:24">
      <c r="A12766">
        <f>HYPERLINK("https://www.philgeps.gov.ph/GEPSNONPILOT/Tender/SplashBidNoticeAbstractUI.aspx?menuIndex=3&amp;refID=6978672&amp;Result=3","6978672")</f>
        <v>0</v>
      </c>
      <c r="B12766" t="s">
        <v>38</v>
      </c>
      <c r="C12766" t="s">
        <v>15408</v>
      </c>
      <c r="D12766" t="s">
        <v>18033</v>
      </c>
      <c r="E12766" t="s">
        <v>29159</v>
      </c>
      <c r="F12766" t="s">
        <v>31574</v>
      </c>
      <c r="G12766" t="s">
        <v>31582</v>
      </c>
      <c r="H12766" t="s">
        <v>31590</v>
      </c>
      <c r="I12766" t="s">
        <v>3489</v>
      </c>
      <c r="J12766" t="s">
        <v>39600</v>
      </c>
      <c r="K12766" t="s">
        <v>41191</v>
      </c>
      <c r="M12766" t="s">
        <v>41663</v>
      </c>
      <c r="N12766" t="s">
        <v>45095</v>
      </c>
      <c r="O12766" t="s">
        <v>45096</v>
      </c>
      <c r="P12766">
        <v>0</v>
      </c>
      <c r="Q12766">
        <v>0</v>
      </c>
      <c r="R12766" t="s">
        <v>45112</v>
      </c>
      <c r="S12766" t="s">
        <v>45755</v>
      </c>
      <c r="T12766" t="s">
        <v>46930</v>
      </c>
      <c r="U12766" t="s">
        <v>57863</v>
      </c>
      <c r="V12766" t="s">
        <v>59888</v>
      </c>
      <c r="W12766" t="s">
        <v>41663</v>
      </c>
      <c r="X12766" t="s">
        <v>45141</v>
      </c>
    </row>
    <row r="12767" spans="1:24">
      <c r="A12767">
        <f>HYPERLINK("https://www.philgeps.gov.ph/GEPSNONPILOT/Tender/SplashBidNoticeAbstractUI.aspx?menuIndex=3&amp;refID=7015959&amp;Result=3","7015959")</f>
        <v>0</v>
      </c>
      <c r="B12767" t="s">
        <v>357</v>
      </c>
      <c r="C12767" t="s">
        <v>15409</v>
      </c>
      <c r="D12767" t="s">
        <v>18026</v>
      </c>
      <c r="E12767" t="s">
        <v>19473</v>
      </c>
      <c r="F12767" t="s">
        <v>31574</v>
      </c>
      <c r="G12767" t="s">
        <v>31582</v>
      </c>
      <c r="H12767" t="s">
        <v>31590</v>
      </c>
      <c r="I12767" t="s">
        <v>31615</v>
      </c>
      <c r="J12767" t="s">
        <v>33344</v>
      </c>
      <c r="K12767" t="s">
        <v>41184</v>
      </c>
      <c r="M12767" t="s">
        <v>42576</v>
      </c>
      <c r="N12767" t="s">
        <v>45095</v>
      </c>
      <c r="O12767" t="s">
        <v>45096</v>
      </c>
      <c r="P12767">
        <v>0</v>
      </c>
      <c r="Q12767">
        <v>7</v>
      </c>
      <c r="R12767" t="s">
        <v>45112</v>
      </c>
      <c r="S12767" t="s">
        <v>45755</v>
      </c>
      <c r="T12767" t="s">
        <v>46932</v>
      </c>
      <c r="U12767" t="s">
        <v>57864</v>
      </c>
      <c r="W12767" t="s">
        <v>42576</v>
      </c>
      <c r="X12767" t="s">
        <v>45116</v>
      </c>
    </row>
    <row r="12768" spans="1:24">
      <c r="A12768">
        <f>HYPERLINK("https://www.philgeps.gov.ph/GEPSNONPILOT/Tender/SplashBidNoticeAbstractUI.aspx?menuIndex=3&amp;refID=7014771&amp;Result=3","7014771")</f>
        <v>0</v>
      </c>
      <c r="B12768" t="s">
        <v>2980</v>
      </c>
      <c r="C12768" t="s">
        <v>15410</v>
      </c>
      <c r="D12768" t="s">
        <v>18071</v>
      </c>
      <c r="E12768" t="s">
        <v>29160</v>
      </c>
      <c r="F12768" t="s">
        <v>31574</v>
      </c>
      <c r="G12768" t="s">
        <v>31582</v>
      </c>
      <c r="H12768" t="s">
        <v>31590</v>
      </c>
      <c r="I12768" t="s">
        <v>6800</v>
      </c>
      <c r="J12768" t="s">
        <v>39601</v>
      </c>
      <c r="K12768" t="s">
        <v>41189</v>
      </c>
      <c r="M12768" t="s">
        <v>44802</v>
      </c>
      <c r="N12768" t="s">
        <v>45095</v>
      </c>
      <c r="O12768" t="s">
        <v>45096</v>
      </c>
      <c r="P12768">
        <v>0</v>
      </c>
      <c r="Q12768">
        <v>4</v>
      </c>
      <c r="R12768" t="s">
        <v>45112</v>
      </c>
      <c r="S12768" t="s">
        <v>45755</v>
      </c>
      <c r="T12768" t="s">
        <v>47376</v>
      </c>
      <c r="U12768" t="s">
        <v>57865</v>
      </c>
      <c r="W12768" t="s">
        <v>44802</v>
      </c>
      <c r="X12768" t="s">
        <v>45116</v>
      </c>
    </row>
    <row r="12769" spans="1:24">
      <c r="A12769">
        <f>HYPERLINK("https://www.philgeps.gov.ph/GEPSNONPILOT/Tender/SplashBidNoticeAbstractUI.aspx?menuIndex=3&amp;refID=7015734&amp;Result=3","7015734")</f>
        <v>0</v>
      </c>
      <c r="B12769" t="s">
        <v>2717</v>
      </c>
      <c r="C12769" t="s">
        <v>15411</v>
      </c>
      <c r="D12769" t="s">
        <v>18079</v>
      </c>
      <c r="E12769" t="s">
        <v>20111</v>
      </c>
      <c r="F12769" t="s">
        <v>31574</v>
      </c>
      <c r="G12769" t="s">
        <v>31582</v>
      </c>
      <c r="H12769" t="s">
        <v>31590</v>
      </c>
      <c r="I12769" t="s">
        <v>31689</v>
      </c>
      <c r="J12769" t="s">
        <v>32986</v>
      </c>
      <c r="K12769" t="s">
        <v>41200</v>
      </c>
      <c r="M12769" t="s">
        <v>44488</v>
      </c>
      <c r="N12769" t="s">
        <v>45095</v>
      </c>
      <c r="O12769" t="s">
        <v>45096</v>
      </c>
      <c r="Q12769">
        <v>9</v>
      </c>
      <c r="R12769" t="s">
        <v>45112</v>
      </c>
      <c r="S12769" t="s">
        <v>45761</v>
      </c>
      <c r="T12769" t="s">
        <v>47425</v>
      </c>
      <c r="U12769" t="s">
        <v>57866</v>
      </c>
      <c r="W12769" t="s">
        <v>44488</v>
      </c>
      <c r="X12769" t="s">
        <v>45116</v>
      </c>
    </row>
    <row r="12770" spans="1:24">
      <c r="A12770">
        <f>HYPERLINK("https://www.philgeps.gov.ph/GEPSNONPILOT/Tender/SplashBidNoticeAbstractUI.aspx?menuIndex=3&amp;refID=7015925&amp;Result=3","7015925")</f>
        <v>0</v>
      </c>
      <c r="B12770" t="s">
        <v>357</v>
      </c>
      <c r="C12770" t="s">
        <v>15412</v>
      </c>
      <c r="D12770" t="s">
        <v>18026</v>
      </c>
      <c r="E12770" t="s">
        <v>29161</v>
      </c>
      <c r="F12770" t="s">
        <v>31574</v>
      </c>
      <c r="G12770" t="s">
        <v>31582</v>
      </c>
      <c r="H12770" t="s">
        <v>31590</v>
      </c>
      <c r="I12770" t="s">
        <v>31615</v>
      </c>
      <c r="J12770" t="s">
        <v>32405</v>
      </c>
      <c r="K12770" t="s">
        <v>41184</v>
      </c>
      <c r="M12770" t="s">
        <v>42576</v>
      </c>
      <c r="N12770" t="s">
        <v>45095</v>
      </c>
      <c r="O12770" t="s">
        <v>45096</v>
      </c>
      <c r="P12770">
        <v>0</v>
      </c>
      <c r="Q12770">
        <v>7</v>
      </c>
      <c r="R12770" t="s">
        <v>45112</v>
      </c>
      <c r="S12770" t="s">
        <v>45755</v>
      </c>
      <c r="T12770" t="s">
        <v>46932</v>
      </c>
      <c r="U12770" t="s">
        <v>57867</v>
      </c>
      <c r="W12770" t="s">
        <v>42576</v>
      </c>
      <c r="X12770" t="s">
        <v>45116</v>
      </c>
    </row>
    <row r="12771" spans="1:24">
      <c r="A12771">
        <f>HYPERLINK("https://www.philgeps.gov.ph/GEPSNONPILOT/Tender/SplashBidNoticeAbstractUI.aspx?menuIndex=3&amp;refID=7014759&amp;Result=3","7014759")</f>
        <v>0</v>
      </c>
      <c r="B12771" t="s">
        <v>2980</v>
      </c>
      <c r="C12771" t="s">
        <v>15413</v>
      </c>
      <c r="D12771" t="s">
        <v>18071</v>
      </c>
      <c r="E12771" t="s">
        <v>29162</v>
      </c>
      <c r="F12771" t="s">
        <v>31574</v>
      </c>
      <c r="G12771" t="s">
        <v>31582</v>
      </c>
      <c r="H12771" t="s">
        <v>31590</v>
      </c>
      <c r="I12771" t="s">
        <v>31602</v>
      </c>
      <c r="J12771" t="s">
        <v>39602</v>
      </c>
      <c r="K12771" t="s">
        <v>41189</v>
      </c>
      <c r="M12771" t="s">
        <v>44802</v>
      </c>
      <c r="N12771" t="s">
        <v>45095</v>
      </c>
      <c r="O12771" t="s">
        <v>45096</v>
      </c>
      <c r="P12771">
        <v>0</v>
      </c>
      <c r="Q12771">
        <v>0</v>
      </c>
      <c r="R12771" t="s">
        <v>45112</v>
      </c>
      <c r="S12771" t="s">
        <v>45755</v>
      </c>
      <c r="T12771" t="s">
        <v>46906</v>
      </c>
      <c r="U12771" t="s">
        <v>57868</v>
      </c>
      <c r="W12771" t="s">
        <v>44802</v>
      </c>
      <c r="X12771" t="s">
        <v>45116</v>
      </c>
    </row>
    <row r="12772" spans="1:24">
      <c r="A12772">
        <f>HYPERLINK("https://www.philgeps.gov.ph/GEPSNONPILOT/Tender/SplashBidNoticeAbstractUI.aspx?menuIndex=3&amp;refID=7016876&amp;Result=3","7016876")</f>
        <v>0</v>
      </c>
      <c r="B12772" t="s">
        <v>1373</v>
      </c>
      <c r="C12772" t="s">
        <v>15414</v>
      </c>
      <c r="D12772" t="s">
        <v>18036</v>
      </c>
      <c r="E12772" t="s">
        <v>25430</v>
      </c>
      <c r="F12772" t="s">
        <v>31574</v>
      </c>
      <c r="G12772" t="s">
        <v>31582</v>
      </c>
      <c r="H12772" t="s">
        <v>31591</v>
      </c>
      <c r="I12772" t="s">
        <v>31663</v>
      </c>
      <c r="J12772" t="s">
        <v>39603</v>
      </c>
      <c r="K12772" t="s">
        <v>41185</v>
      </c>
      <c r="M12772" t="s">
        <v>42947</v>
      </c>
      <c r="N12772" t="s">
        <v>45095</v>
      </c>
      <c r="O12772" t="s">
        <v>45096</v>
      </c>
      <c r="Q12772">
        <v>0</v>
      </c>
      <c r="R12772" t="s">
        <v>45112</v>
      </c>
      <c r="S12772" t="s">
        <v>45762</v>
      </c>
      <c r="T12772" t="s">
        <v>46918</v>
      </c>
      <c r="U12772" t="s">
        <v>57869</v>
      </c>
      <c r="W12772" t="s">
        <v>42947</v>
      </c>
      <c r="X12772" t="s">
        <v>45115</v>
      </c>
    </row>
    <row r="12773" spans="1:24">
      <c r="A12773">
        <f>HYPERLINK("https://www.philgeps.gov.ph/GEPSNONPILOT/Tender/SplashBidNoticeAbstractUI.aspx?menuIndex=3&amp;refID=7015521&amp;Result=3","7015521")</f>
        <v>0</v>
      </c>
      <c r="B12773" t="s">
        <v>357</v>
      </c>
      <c r="C12773" t="s">
        <v>15415</v>
      </c>
      <c r="D12773" t="s">
        <v>18026</v>
      </c>
      <c r="E12773" t="s">
        <v>25759</v>
      </c>
      <c r="F12773" t="s">
        <v>31574</v>
      </c>
      <c r="G12773" t="s">
        <v>31582</v>
      </c>
      <c r="H12773" t="s">
        <v>31590</v>
      </c>
      <c r="I12773" t="s">
        <v>31605</v>
      </c>
      <c r="J12773" t="s">
        <v>39604</v>
      </c>
      <c r="K12773" t="s">
        <v>41184</v>
      </c>
      <c r="M12773" t="s">
        <v>42576</v>
      </c>
      <c r="N12773" t="s">
        <v>45095</v>
      </c>
      <c r="O12773" t="s">
        <v>45096</v>
      </c>
      <c r="P12773">
        <v>0</v>
      </c>
      <c r="Q12773">
        <v>4</v>
      </c>
      <c r="R12773" t="s">
        <v>45112</v>
      </c>
      <c r="S12773" t="s">
        <v>45755</v>
      </c>
      <c r="T12773" t="s">
        <v>46932</v>
      </c>
      <c r="U12773" t="s">
        <v>57870</v>
      </c>
      <c r="W12773" t="s">
        <v>42576</v>
      </c>
      <c r="X12773" t="s">
        <v>45116</v>
      </c>
    </row>
    <row r="12774" spans="1:24">
      <c r="A12774">
        <f>HYPERLINK("https://www.philgeps.gov.ph/GEPSNONPILOT/Tender/SplashBidNoticeAbstractUI.aspx?menuIndex=3&amp;refID=7016710&amp;Result=3","7016710")</f>
        <v>0</v>
      </c>
      <c r="B12774" t="s">
        <v>363</v>
      </c>
      <c r="C12774" t="s">
        <v>15416</v>
      </c>
      <c r="D12774" t="s">
        <v>18044</v>
      </c>
      <c r="E12774" t="s">
        <v>29163</v>
      </c>
      <c r="F12774" t="s">
        <v>31574</v>
      </c>
      <c r="G12774" t="s">
        <v>31582</v>
      </c>
      <c r="H12774" t="s">
        <v>31590</v>
      </c>
      <c r="I12774" t="s">
        <v>31615</v>
      </c>
      <c r="J12774" t="s">
        <v>39605</v>
      </c>
      <c r="K12774" t="s">
        <v>41184</v>
      </c>
      <c r="M12774" t="s">
        <v>41853</v>
      </c>
      <c r="N12774" t="s">
        <v>45095</v>
      </c>
      <c r="O12774" t="s">
        <v>45096</v>
      </c>
      <c r="P12774">
        <v>0</v>
      </c>
      <c r="Q12774">
        <v>8</v>
      </c>
      <c r="R12774" t="s">
        <v>45112</v>
      </c>
      <c r="S12774" t="s">
        <v>45755</v>
      </c>
      <c r="T12774" t="s">
        <v>46979</v>
      </c>
      <c r="U12774" t="s">
        <v>57871</v>
      </c>
      <c r="W12774" t="s">
        <v>41853</v>
      </c>
      <c r="X12774" t="s">
        <v>45115</v>
      </c>
    </row>
    <row r="12775" spans="1:24">
      <c r="A12775">
        <f>HYPERLINK("https://www.philgeps.gov.ph/GEPSNONPILOT/Tender/SplashBidNoticeAbstractUI.aspx?menuIndex=3&amp;refID=7016560&amp;Result=3","7016560")</f>
        <v>0</v>
      </c>
      <c r="B12775" t="s">
        <v>2984</v>
      </c>
      <c r="C12775" t="s">
        <v>15417</v>
      </c>
      <c r="D12775" t="s">
        <v>18039</v>
      </c>
      <c r="E12775" t="s">
        <v>18972</v>
      </c>
      <c r="F12775" t="s">
        <v>31574</v>
      </c>
      <c r="G12775" t="s">
        <v>31582</v>
      </c>
      <c r="H12775" t="s">
        <v>31591</v>
      </c>
      <c r="I12775" t="s">
        <v>8822</v>
      </c>
      <c r="J12775" t="s">
        <v>39606</v>
      </c>
      <c r="K12775" t="s">
        <v>41189</v>
      </c>
      <c r="M12775" t="s">
        <v>44806</v>
      </c>
      <c r="N12775" t="s">
        <v>45095</v>
      </c>
      <c r="O12775" t="s">
        <v>45096</v>
      </c>
      <c r="P12775">
        <v>0</v>
      </c>
      <c r="Q12775">
        <v>0</v>
      </c>
      <c r="R12775" t="s">
        <v>45112</v>
      </c>
      <c r="S12775" t="s">
        <v>45755</v>
      </c>
      <c r="T12775" t="s">
        <v>47043</v>
      </c>
      <c r="U12775" t="s">
        <v>57872</v>
      </c>
      <c r="W12775" t="s">
        <v>44806</v>
      </c>
      <c r="X12775" t="s">
        <v>45115</v>
      </c>
    </row>
    <row r="12776" spans="1:24">
      <c r="A12776">
        <f>HYPERLINK("https://www.philgeps.gov.ph/GEPSNONPILOT/Tender/SplashBidNoticeAbstractUI.aspx?menuIndex=3&amp;refID=7015966&amp;Result=3","7015966")</f>
        <v>0</v>
      </c>
      <c r="B12776" t="s">
        <v>2407</v>
      </c>
      <c r="C12776" t="s">
        <v>15418</v>
      </c>
      <c r="D12776" t="s">
        <v>18083</v>
      </c>
      <c r="E12776" t="s">
        <v>29164</v>
      </c>
      <c r="F12776" t="s">
        <v>31574</v>
      </c>
      <c r="G12776" t="s">
        <v>31582</v>
      </c>
      <c r="H12776" t="s">
        <v>31591</v>
      </c>
      <c r="I12776" t="s">
        <v>8822</v>
      </c>
      <c r="J12776" t="s">
        <v>31730</v>
      </c>
      <c r="K12776" t="s">
        <v>41195</v>
      </c>
      <c r="M12776" t="s">
        <v>44134</v>
      </c>
      <c r="N12776" t="s">
        <v>45095</v>
      </c>
      <c r="O12776" t="s">
        <v>45096</v>
      </c>
      <c r="P12776">
        <v>0</v>
      </c>
      <c r="Q12776">
        <v>0</v>
      </c>
      <c r="R12776" t="s">
        <v>45112</v>
      </c>
      <c r="S12776" t="s">
        <v>45755</v>
      </c>
      <c r="T12776" t="s">
        <v>47423</v>
      </c>
      <c r="U12776" t="s">
        <v>57873</v>
      </c>
      <c r="W12776" t="s">
        <v>44134</v>
      </c>
      <c r="X12776" t="s">
        <v>45116</v>
      </c>
    </row>
    <row r="12777" spans="1:24">
      <c r="A12777">
        <f>HYPERLINK("https://www.philgeps.gov.ph/GEPSNONPILOT/Tender/SplashBidNoticeAbstractUI.aspx?menuIndex=3&amp;refID=7016707&amp;Result=3","7016707")</f>
        <v>0</v>
      </c>
      <c r="B12777" t="s">
        <v>1029</v>
      </c>
      <c r="C12777" t="s">
        <v>15419</v>
      </c>
      <c r="E12777" t="s">
        <v>29165</v>
      </c>
      <c r="F12777" t="s">
        <v>31574</v>
      </c>
      <c r="G12777" t="s">
        <v>31582</v>
      </c>
      <c r="H12777" t="s">
        <v>31590</v>
      </c>
      <c r="I12777" t="s">
        <v>31594</v>
      </c>
      <c r="J12777" t="s">
        <v>35044</v>
      </c>
      <c r="K12777" t="s">
        <v>41184</v>
      </c>
      <c r="M12777" t="s">
        <v>44721</v>
      </c>
      <c r="N12777" t="s">
        <v>45095</v>
      </c>
      <c r="O12777" t="s">
        <v>45096</v>
      </c>
      <c r="P12777">
        <v>0</v>
      </c>
      <c r="Q12777">
        <v>15</v>
      </c>
      <c r="R12777" t="s">
        <v>45112</v>
      </c>
      <c r="S12777" t="s">
        <v>45755</v>
      </c>
      <c r="T12777" t="s">
        <v>46910</v>
      </c>
      <c r="U12777" t="s">
        <v>57874</v>
      </c>
      <c r="W12777" t="s">
        <v>44721</v>
      </c>
      <c r="X12777" t="s">
        <v>45115</v>
      </c>
    </row>
    <row r="12778" spans="1:24">
      <c r="A12778">
        <f>HYPERLINK("https://www.philgeps.gov.ph/GEPSNONPILOT/Tender/SplashBidNoticeAbstractUI.aspx?menuIndex=3&amp;refID=7016559&amp;Result=3","7016559")</f>
        <v>0</v>
      </c>
      <c r="B12778" t="s">
        <v>2984</v>
      </c>
      <c r="C12778" t="s">
        <v>15420</v>
      </c>
      <c r="D12778" t="s">
        <v>18039</v>
      </c>
      <c r="E12778" t="s">
        <v>19618</v>
      </c>
      <c r="F12778" t="s">
        <v>31574</v>
      </c>
      <c r="G12778" t="s">
        <v>31582</v>
      </c>
      <c r="H12778" t="s">
        <v>31591</v>
      </c>
      <c r="I12778" t="s">
        <v>8822</v>
      </c>
      <c r="J12778" t="s">
        <v>39607</v>
      </c>
      <c r="K12778" t="s">
        <v>41189</v>
      </c>
      <c r="M12778" t="s">
        <v>44806</v>
      </c>
      <c r="N12778" t="s">
        <v>45095</v>
      </c>
      <c r="O12778" t="s">
        <v>45096</v>
      </c>
      <c r="P12778">
        <v>0</v>
      </c>
      <c r="Q12778">
        <v>0</v>
      </c>
      <c r="R12778" t="s">
        <v>45112</v>
      </c>
      <c r="S12778" t="s">
        <v>45755</v>
      </c>
      <c r="T12778" t="s">
        <v>47043</v>
      </c>
      <c r="U12778" t="s">
        <v>57875</v>
      </c>
      <c r="W12778" t="s">
        <v>44806</v>
      </c>
      <c r="X12778" t="s">
        <v>45115</v>
      </c>
    </row>
    <row r="12779" spans="1:24">
      <c r="A12779">
        <f>HYPERLINK("https://www.philgeps.gov.ph/GEPSNONPILOT/Tender/SplashBidNoticeAbstractUI.aspx?menuIndex=3&amp;refID=7014754&amp;Result=3","7014754")</f>
        <v>0</v>
      </c>
      <c r="B12779" t="s">
        <v>2712</v>
      </c>
      <c r="C12779" t="s">
        <v>15421</v>
      </c>
      <c r="D12779" t="s">
        <v>18041</v>
      </c>
      <c r="E12779" t="s">
        <v>29166</v>
      </c>
      <c r="F12779" t="s">
        <v>31574</v>
      </c>
      <c r="G12779" t="s">
        <v>31582</v>
      </c>
      <c r="H12779" t="s">
        <v>31590</v>
      </c>
      <c r="I12779" t="s">
        <v>31615</v>
      </c>
      <c r="J12779" t="s">
        <v>39608</v>
      </c>
      <c r="K12779" t="s">
        <v>41184</v>
      </c>
      <c r="M12779" t="s">
        <v>44483</v>
      </c>
      <c r="N12779" t="s">
        <v>45095</v>
      </c>
      <c r="O12779" t="s">
        <v>45096</v>
      </c>
      <c r="P12779">
        <v>0</v>
      </c>
      <c r="Q12779">
        <v>6</v>
      </c>
      <c r="R12779" t="s">
        <v>45112</v>
      </c>
      <c r="S12779" t="s">
        <v>45755</v>
      </c>
      <c r="T12779" t="s">
        <v>46914</v>
      </c>
      <c r="U12779" t="s">
        <v>55893</v>
      </c>
      <c r="W12779" t="s">
        <v>44483</v>
      </c>
      <c r="X12779" t="s">
        <v>45116</v>
      </c>
    </row>
    <row r="12780" spans="1:24">
      <c r="A12780">
        <f>HYPERLINK("https://www.philgeps.gov.ph/GEPSNONPILOT/Tender/SplashBidNoticeAbstractUI.aspx?menuIndex=3&amp;refID=7016558&amp;Result=3","7016558")</f>
        <v>0</v>
      </c>
      <c r="B12780" t="s">
        <v>2984</v>
      </c>
      <c r="C12780" t="s">
        <v>15422</v>
      </c>
      <c r="D12780" t="s">
        <v>18039</v>
      </c>
      <c r="E12780" t="s">
        <v>18815</v>
      </c>
      <c r="F12780" t="s">
        <v>31574</v>
      </c>
      <c r="G12780" t="s">
        <v>31582</v>
      </c>
      <c r="H12780" t="s">
        <v>31591</v>
      </c>
      <c r="I12780" t="s">
        <v>8822</v>
      </c>
      <c r="J12780" t="s">
        <v>39609</v>
      </c>
      <c r="K12780" t="s">
        <v>41203</v>
      </c>
      <c r="M12780" t="s">
        <v>44806</v>
      </c>
      <c r="N12780" t="s">
        <v>45095</v>
      </c>
      <c r="O12780" t="s">
        <v>45096</v>
      </c>
      <c r="P12780">
        <v>0</v>
      </c>
      <c r="Q12780">
        <v>0</v>
      </c>
      <c r="R12780" t="s">
        <v>45112</v>
      </c>
      <c r="S12780" t="s">
        <v>45755</v>
      </c>
      <c r="T12780" t="s">
        <v>47043</v>
      </c>
      <c r="U12780" t="s">
        <v>57876</v>
      </c>
      <c r="W12780" t="s">
        <v>44806</v>
      </c>
      <c r="X12780" t="s">
        <v>45115</v>
      </c>
    </row>
    <row r="12781" spans="1:24">
      <c r="A12781">
        <f>HYPERLINK("https://www.philgeps.gov.ph/GEPSNONPILOT/Tender/SplashBidNoticeAbstractUI.aspx?menuIndex=3&amp;refID=7016879&amp;Result=3","7016879")</f>
        <v>0</v>
      </c>
      <c r="B12781" t="s">
        <v>2985</v>
      </c>
      <c r="C12781" t="s">
        <v>15423</v>
      </c>
      <c r="D12781" t="s">
        <v>18088</v>
      </c>
      <c r="E12781" t="s">
        <v>29167</v>
      </c>
      <c r="F12781" t="s">
        <v>31574</v>
      </c>
      <c r="G12781" t="s">
        <v>31582</v>
      </c>
      <c r="H12781" t="s">
        <v>31591</v>
      </c>
      <c r="I12781" t="s">
        <v>8822</v>
      </c>
      <c r="J12781" t="s">
        <v>39610</v>
      </c>
      <c r="K12781" t="s">
        <v>41192</v>
      </c>
      <c r="M12781" t="s">
        <v>44807</v>
      </c>
      <c r="N12781" t="s">
        <v>45095</v>
      </c>
      <c r="O12781" t="s">
        <v>45096</v>
      </c>
      <c r="P12781">
        <v>0</v>
      </c>
      <c r="Q12781">
        <v>0</v>
      </c>
      <c r="R12781" t="s">
        <v>45112</v>
      </c>
      <c r="S12781" t="s">
        <v>45755</v>
      </c>
      <c r="T12781" t="s">
        <v>46914</v>
      </c>
      <c r="U12781" t="s">
        <v>57877</v>
      </c>
      <c r="W12781" t="s">
        <v>44807</v>
      </c>
      <c r="X12781" t="s">
        <v>45115</v>
      </c>
    </row>
    <row r="12782" spans="1:24">
      <c r="A12782">
        <f>HYPERLINK("https://www.philgeps.gov.ph/GEPSNONPILOT/Tender/SplashBidNoticeAbstractUI.aspx?menuIndex=3&amp;refID=7016397&amp;Result=3","7016397")</f>
        <v>0</v>
      </c>
      <c r="B12782" t="s">
        <v>2986</v>
      </c>
      <c r="C12782" t="s">
        <v>15424</v>
      </c>
      <c r="D12782" t="s">
        <v>18090</v>
      </c>
      <c r="E12782" t="s">
        <v>29168</v>
      </c>
      <c r="F12782" t="s">
        <v>31574</v>
      </c>
      <c r="G12782" t="s">
        <v>31582</v>
      </c>
      <c r="H12782" t="s">
        <v>31591</v>
      </c>
      <c r="I12782" t="s">
        <v>8822</v>
      </c>
      <c r="J12782" t="s">
        <v>33343</v>
      </c>
      <c r="K12782" t="s">
        <v>41192</v>
      </c>
      <c r="M12782" t="s">
        <v>44808</v>
      </c>
      <c r="N12782" t="s">
        <v>45095</v>
      </c>
      <c r="O12782" t="s">
        <v>45096</v>
      </c>
      <c r="P12782">
        <v>0</v>
      </c>
      <c r="Q12782">
        <v>1</v>
      </c>
      <c r="R12782" t="s">
        <v>45112</v>
      </c>
      <c r="S12782" t="s">
        <v>45755</v>
      </c>
      <c r="T12782" t="s">
        <v>46952</v>
      </c>
      <c r="U12782" t="s">
        <v>57878</v>
      </c>
      <c r="V12782" t="s">
        <v>61242</v>
      </c>
      <c r="W12782" t="s">
        <v>44808</v>
      </c>
      <c r="X12782" t="s">
        <v>45116</v>
      </c>
    </row>
    <row r="12783" spans="1:24">
      <c r="A12783">
        <f>HYPERLINK("https://www.philgeps.gov.ph/GEPSNONPILOT/Tender/SplashBidNoticeAbstractUI.aspx?menuIndex=3&amp;refID=7016990&amp;Result=3","7016990")</f>
        <v>0</v>
      </c>
      <c r="B12783" t="s">
        <v>2405</v>
      </c>
      <c r="C12783" t="s">
        <v>15425</v>
      </c>
      <c r="D12783" t="s">
        <v>18052</v>
      </c>
      <c r="E12783" t="s">
        <v>21506</v>
      </c>
      <c r="F12783" t="s">
        <v>31574</v>
      </c>
      <c r="G12783" t="s">
        <v>31582</v>
      </c>
      <c r="H12783" t="s">
        <v>31591</v>
      </c>
      <c r="I12783" t="s">
        <v>8822</v>
      </c>
      <c r="J12783" t="s">
        <v>31727</v>
      </c>
      <c r="K12783" t="s">
        <v>41192</v>
      </c>
      <c r="M12783" t="s">
        <v>44132</v>
      </c>
      <c r="N12783" t="s">
        <v>45095</v>
      </c>
      <c r="O12783" t="s">
        <v>45096</v>
      </c>
      <c r="P12783">
        <v>0</v>
      </c>
      <c r="Q12783">
        <v>0</v>
      </c>
      <c r="R12783" t="s">
        <v>45112</v>
      </c>
      <c r="S12783" t="s">
        <v>45755</v>
      </c>
      <c r="T12783" t="s">
        <v>47228</v>
      </c>
      <c r="U12783" t="s">
        <v>50981</v>
      </c>
      <c r="W12783" t="s">
        <v>44132</v>
      </c>
      <c r="X12783" t="s">
        <v>45115</v>
      </c>
    </row>
    <row r="12784" spans="1:24">
      <c r="A12784">
        <f>HYPERLINK("https://www.philgeps.gov.ph/GEPSNONPILOT/Tender/SplashBidNoticeAbstractUI.aspx?menuIndex=3&amp;refID=7017006&amp;Result=3","7017006")</f>
        <v>0</v>
      </c>
      <c r="B12784" t="s">
        <v>2616</v>
      </c>
      <c r="C12784" t="s">
        <v>15426</v>
      </c>
      <c r="D12784" t="s">
        <v>18077</v>
      </c>
      <c r="E12784" t="s">
        <v>29169</v>
      </c>
      <c r="F12784" t="s">
        <v>31574</v>
      </c>
      <c r="G12784" t="s">
        <v>31582</v>
      </c>
      <c r="H12784" t="s">
        <v>31591</v>
      </c>
      <c r="I12784" t="s">
        <v>31632</v>
      </c>
      <c r="J12784" t="s">
        <v>32799</v>
      </c>
      <c r="K12784" t="s">
        <v>41192</v>
      </c>
      <c r="M12784" t="s">
        <v>44365</v>
      </c>
      <c r="N12784" t="s">
        <v>45095</v>
      </c>
      <c r="O12784" t="s">
        <v>45096</v>
      </c>
      <c r="P12784">
        <v>0</v>
      </c>
      <c r="Q12784">
        <v>0</v>
      </c>
      <c r="R12784" t="s">
        <v>45112</v>
      </c>
      <c r="S12784" t="s">
        <v>45755</v>
      </c>
      <c r="T12784" t="s">
        <v>46979</v>
      </c>
      <c r="U12784" t="s">
        <v>57879</v>
      </c>
      <c r="W12784" t="s">
        <v>44365</v>
      </c>
      <c r="X12784" t="s">
        <v>45115</v>
      </c>
    </row>
    <row r="12785" spans="1:24">
      <c r="A12785">
        <f>HYPERLINK("https://www.philgeps.gov.ph/GEPSNONPILOT/Tender/SplashBidNoticeAbstractUI.aspx?menuIndex=3&amp;refID=7016944&amp;Result=3","7016944")</f>
        <v>0</v>
      </c>
      <c r="B12785" t="s">
        <v>2405</v>
      </c>
      <c r="C12785" t="s">
        <v>15427</v>
      </c>
      <c r="D12785" t="s">
        <v>18052</v>
      </c>
      <c r="E12785" t="s">
        <v>21506</v>
      </c>
      <c r="F12785" t="s">
        <v>31574</v>
      </c>
      <c r="G12785" t="s">
        <v>31582</v>
      </c>
      <c r="H12785" t="s">
        <v>31591</v>
      </c>
      <c r="I12785" t="s">
        <v>8822</v>
      </c>
      <c r="J12785" t="s">
        <v>39611</v>
      </c>
      <c r="K12785" t="s">
        <v>41185</v>
      </c>
      <c r="M12785" t="s">
        <v>44132</v>
      </c>
      <c r="N12785" t="s">
        <v>45095</v>
      </c>
      <c r="O12785" t="s">
        <v>45096</v>
      </c>
      <c r="P12785">
        <v>0</v>
      </c>
      <c r="Q12785">
        <v>0</v>
      </c>
      <c r="R12785" t="s">
        <v>45112</v>
      </c>
      <c r="S12785" t="s">
        <v>45755</v>
      </c>
      <c r="T12785" t="s">
        <v>47228</v>
      </c>
      <c r="U12785" t="s">
        <v>50981</v>
      </c>
      <c r="W12785" t="s">
        <v>44132</v>
      </c>
      <c r="X12785" t="s">
        <v>45115</v>
      </c>
    </row>
    <row r="12786" spans="1:24">
      <c r="A12786">
        <f>HYPERLINK("https://www.philgeps.gov.ph/GEPSNONPILOT/Tender/SplashBidNoticeAbstractUI.aspx?menuIndex=3&amp;refID=7016936&amp;Result=3","7016936")</f>
        <v>0</v>
      </c>
      <c r="B12786" t="s">
        <v>2405</v>
      </c>
      <c r="C12786" t="s">
        <v>15428</v>
      </c>
      <c r="D12786" t="s">
        <v>18052</v>
      </c>
      <c r="E12786" t="s">
        <v>25672</v>
      </c>
      <c r="F12786" t="s">
        <v>31574</v>
      </c>
      <c r="G12786" t="s">
        <v>31582</v>
      </c>
      <c r="H12786" t="s">
        <v>31591</v>
      </c>
      <c r="I12786" t="s">
        <v>8822</v>
      </c>
      <c r="J12786" t="s">
        <v>31947</v>
      </c>
      <c r="K12786" t="s">
        <v>41192</v>
      </c>
      <c r="M12786" t="s">
        <v>44132</v>
      </c>
      <c r="N12786" t="s">
        <v>45095</v>
      </c>
      <c r="O12786" t="s">
        <v>45096</v>
      </c>
      <c r="P12786">
        <v>0</v>
      </c>
      <c r="Q12786">
        <v>0</v>
      </c>
      <c r="R12786" t="s">
        <v>45112</v>
      </c>
      <c r="S12786" t="s">
        <v>45755</v>
      </c>
      <c r="T12786" t="s">
        <v>47228</v>
      </c>
      <c r="U12786" t="s">
        <v>50981</v>
      </c>
      <c r="W12786" t="s">
        <v>44132</v>
      </c>
      <c r="X12786" t="s">
        <v>45115</v>
      </c>
    </row>
    <row r="12787" spans="1:24">
      <c r="A12787">
        <f>HYPERLINK("https://www.philgeps.gov.ph/GEPSNONPILOT/Tender/SplashBidNoticeAbstractUI.aspx?menuIndex=3&amp;refID=7017076&amp;Result=3","7017076")</f>
        <v>0</v>
      </c>
      <c r="B12787" t="s">
        <v>2405</v>
      </c>
      <c r="C12787" t="s">
        <v>15429</v>
      </c>
      <c r="D12787" t="s">
        <v>18052</v>
      </c>
      <c r="E12787" t="s">
        <v>19923</v>
      </c>
      <c r="F12787" t="s">
        <v>31574</v>
      </c>
      <c r="G12787" t="s">
        <v>31582</v>
      </c>
      <c r="H12787" t="s">
        <v>31591</v>
      </c>
      <c r="I12787" t="s">
        <v>8822</v>
      </c>
      <c r="J12787" t="s">
        <v>31845</v>
      </c>
      <c r="K12787" t="s">
        <v>41185</v>
      </c>
      <c r="M12787" t="s">
        <v>44132</v>
      </c>
      <c r="N12787" t="s">
        <v>45095</v>
      </c>
      <c r="O12787" t="s">
        <v>45096</v>
      </c>
      <c r="P12787">
        <v>0</v>
      </c>
      <c r="Q12787">
        <v>0</v>
      </c>
      <c r="R12787" t="s">
        <v>45112</v>
      </c>
      <c r="S12787" t="s">
        <v>45755</v>
      </c>
      <c r="T12787" t="s">
        <v>47228</v>
      </c>
      <c r="U12787" t="s">
        <v>50981</v>
      </c>
      <c r="W12787" t="s">
        <v>44132</v>
      </c>
      <c r="X12787" t="s">
        <v>45115</v>
      </c>
    </row>
    <row r="12788" spans="1:24">
      <c r="A12788">
        <f>HYPERLINK("https://www.philgeps.gov.ph/GEPSNONPILOT/Tender/SplashBidNoticeAbstractUI.aspx?menuIndex=3&amp;refID=7016924&amp;Result=3","7016924")</f>
        <v>0</v>
      </c>
      <c r="B12788" t="s">
        <v>2405</v>
      </c>
      <c r="C12788" t="s">
        <v>15430</v>
      </c>
      <c r="D12788" t="s">
        <v>18052</v>
      </c>
      <c r="E12788" t="s">
        <v>19936</v>
      </c>
      <c r="F12788" t="s">
        <v>31574</v>
      </c>
      <c r="G12788" t="s">
        <v>31582</v>
      </c>
      <c r="H12788" t="s">
        <v>31591</v>
      </c>
      <c r="I12788" t="s">
        <v>8822</v>
      </c>
      <c r="J12788" t="s">
        <v>31789</v>
      </c>
      <c r="K12788" t="s">
        <v>41185</v>
      </c>
      <c r="M12788" t="s">
        <v>44132</v>
      </c>
      <c r="N12788" t="s">
        <v>45095</v>
      </c>
      <c r="O12788" t="s">
        <v>45096</v>
      </c>
      <c r="P12788">
        <v>0</v>
      </c>
      <c r="Q12788">
        <v>0</v>
      </c>
      <c r="R12788" t="s">
        <v>45112</v>
      </c>
      <c r="S12788" t="s">
        <v>45755</v>
      </c>
      <c r="T12788" t="s">
        <v>47228</v>
      </c>
      <c r="U12788" t="s">
        <v>50981</v>
      </c>
      <c r="W12788" t="s">
        <v>44132</v>
      </c>
      <c r="X12788" t="s">
        <v>45115</v>
      </c>
    </row>
    <row r="12789" spans="1:24">
      <c r="A12789">
        <f>HYPERLINK("https://www.philgeps.gov.ph/GEPSNONPILOT/Tender/SplashBidNoticeAbstractUI.aspx?menuIndex=3&amp;refID=7016950&amp;Result=3","7016950")</f>
        <v>0</v>
      </c>
      <c r="B12789" t="s">
        <v>2405</v>
      </c>
      <c r="C12789" t="s">
        <v>15431</v>
      </c>
      <c r="D12789" t="s">
        <v>18052</v>
      </c>
      <c r="E12789" t="s">
        <v>20826</v>
      </c>
      <c r="F12789" t="s">
        <v>31574</v>
      </c>
      <c r="G12789" t="s">
        <v>31582</v>
      </c>
      <c r="H12789" t="s">
        <v>31591</v>
      </c>
      <c r="I12789" t="s">
        <v>8822</v>
      </c>
      <c r="J12789" t="s">
        <v>32334</v>
      </c>
      <c r="K12789" t="s">
        <v>41185</v>
      </c>
      <c r="M12789" t="s">
        <v>44132</v>
      </c>
      <c r="N12789" t="s">
        <v>45095</v>
      </c>
      <c r="O12789" t="s">
        <v>45096</v>
      </c>
      <c r="P12789">
        <v>0</v>
      </c>
      <c r="Q12789">
        <v>0</v>
      </c>
      <c r="R12789" t="s">
        <v>45112</v>
      </c>
      <c r="S12789" t="s">
        <v>45755</v>
      </c>
      <c r="T12789" t="s">
        <v>47228</v>
      </c>
      <c r="U12789" t="s">
        <v>50981</v>
      </c>
      <c r="W12789" t="s">
        <v>44132</v>
      </c>
      <c r="X12789" t="s">
        <v>45115</v>
      </c>
    </row>
    <row r="12790" spans="1:24">
      <c r="A12790">
        <f>HYPERLINK("https://www.philgeps.gov.ph/GEPSNONPILOT/Tender/SplashBidNoticeAbstractUI.aspx?menuIndex=3&amp;refID=7016903&amp;Result=3","7016903")</f>
        <v>0</v>
      </c>
      <c r="B12790" t="s">
        <v>2405</v>
      </c>
      <c r="C12790" t="s">
        <v>15432</v>
      </c>
      <c r="D12790" t="s">
        <v>18052</v>
      </c>
      <c r="E12790" t="s">
        <v>19923</v>
      </c>
      <c r="F12790" t="s">
        <v>31574</v>
      </c>
      <c r="G12790" t="s">
        <v>31582</v>
      </c>
      <c r="H12790" t="s">
        <v>31591</v>
      </c>
      <c r="I12790" t="s">
        <v>8822</v>
      </c>
      <c r="J12790" t="s">
        <v>31845</v>
      </c>
      <c r="K12790" t="s">
        <v>41185</v>
      </c>
      <c r="M12790" t="s">
        <v>44132</v>
      </c>
      <c r="N12790" t="s">
        <v>45095</v>
      </c>
      <c r="O12790" t="s">
        <v>45096</v>
      </c>
      <c r="P12790">
        <v>0</v>
      </c>
      <c r="Q12790">
        <v>0</v>
      </c>
      <c r="R12790" t="s">
        <v>45112</v>
      </c>
      <c r="S12790" t="s">
        <v>45755</v>
      </c>
      <c r="T12790" t="s">
        <v>47228</v>
      </c>
      <c r="U12790" t="s">
        <v>50981</v>
      </c>
      <c r="W12790" t="s">
        <v>44132</v>
      </c>
      <c r="X12790" t="s">
        <v>45115</v>
      </c>
    </row>
    <row r="12791" spans="1:24">
      <c r="A12791">
        <f>HYPERLINK("https://www.philgeps.gov.ph/GEPSNONPILOT/Tender/SplashBidNoticeAbstractUI.aspx?menuIndex=3&amp;refID=7017020&amp;Result=3","7017020")</f>
        <v>0</v>
      </c>
      <c r="B12791" t="s">
        <v>2405</v>
      </c>
      <c r="C12791" t="s">
        <v>15433</v>
      </c>
      <c r="D12791" t="s">
        <v>18052</v>
      </c>
      <c r="E12791" t="s">
        <v>21506</v>
      </c>
      <c r="F12791" t="s">
        <v>31574</v>
      </c>
      <c r="G12791" t="s">
        <v>31582</v>
      </c>
      <c r="H12791" t="s">
        <v>31591</v>
      </c>
      <c r="I12791" t="s">
        <v>8822</v>
      </c>
      <c r="J12791" t="s">
        <v>32232</v>
      </c>
      <c r="K12791" t="s">
        <v>41192</v>
      </c>
      <c r="M12791" t="s">
        <v>44132</v>
      </c>
      <c r="N12791" t="s">
        <v>45095</v>
      </c>
      <c r="O12791" t="s">
        <v>45096</v>
      </c>
      <c r="P12791">
        <v>0</v>
      </c>
      <c r="Q12791">
        <v>0</v>
      </c>
      <c r="R12791" t="s">
        <v>45112</v>
      </c>
      <c r="S12791" t="s">
        <v>45755</v>
      </c>
      <c r="T12791" t="s">
        <v>47228</v>
      </c>
      <c r="U12791" t="s">
        <v>50981</v>
      </c>
      <c r="W12791" t="s">
        <v>44132</v>
      </c>
      <c r="X12791" t="s">
        <v>45115</v>
      </c>
    </row>
    <row r="12792" spans="1:24">
      <c r="A12792">
        <f>HYPERLINK("https://www.philgeps.gov.ph/GEPSNONPILOT/Tender/SplashBidNoticeAbstractUI.aspx?menuIndex=3&amp;refID=7017102&amp;Result=3","7017102")</f>
        <v>0</v>
      </c>
      <c r="B12792" t="s">
        <v>2405</v>
      </c>
      <c r="C12792" t="s">
        <v>15434</v>
      </c>
      <c r="D12792" t="s">
        <v>18052</v>
      </c>
      <c r="E12792" t="s">
        <v>25672</v>
      </c>
      <c r="F12792" t="s">
        <v>31574</v>
      </c>
      <c r="G12792" t="s">
        <v>31582</v>
      </c>
      <c r="H12792" t="s">
        <v>31591</v>
      </c>
      <c r="I12792" t="s">
        <v>31607</v>
      </c>
      <c r="J12792" t="s">
        <v>32012</v>
      </c>
      <c r="K12792" t="s">
        <v>41185</v>
      </c>
      <c r="M12792" t="s">
        <v>44132</v>
      </c>
      <c r="N12792" t="s">
        <v>45095</v>
      </c>
      <c r="O12792" t="s">
        <v>45096</v>
      </c>
      <c r="P12792">
        <v>0</v>
      </c>
      <c r="Q12792">
        <v>1</v>
      </c>
      <c r="R12792" t="s">
        <v>45112</v>
      </c>
      <c r="S12792" t="s">
        <v>45755</v>
      </c>
      <c r="T12792" t="s">
        <v>47228</v>
      </c>
      <c r="U12792" t="s">
        <v>50981</v>
      </c>
      <c r="W12792" t="s">
        <v>44132</v>
      </c>
      <c r="X12792" t="s">
        <v>45115</v>
      </c>
    </row>
    <row r="12793" spans="1:24">
      <c r="A12793">
        <f>HYPERLINK("https://www.philgeps.gov.ph/GEPSNONPILOT/Tender/SplashBidNoticeAbstractUI.aspx?menuIndex=3&amp;refID=7016965&amp;Result=3","7016965")</f>
        <v>0</v>
      </c>
      <c r="B12793" t="s">
        <v>2878</v>
      </c>
      <c r="C12793" t="s">
        <v>15435</v>
      </c>
      <c r="D12793" t="s">
        <v>18046</v>
      </c>
      <c r="E12793" t="s">
        <v>29170</v>
      </c>
      <c r="F12793" t="s">
        <v>31575</v>
      </c>
      <c r="G12793" t="s">
        <v>31582</v>
      </c>
      <c r="H12793" t="s">
        <v>31590</v>
      </c>
      <c r="I12793" t="s">
        <v>31615</v>
      </c>
      <c r="J12793" t="s">
        <v>32085</v>
      </c>
      <c r="K12793" t="s">
        <v>41186</v>
      </c>
      <c r="M12793" t="s">
        <v>44669</v>
      </c>
      <c r="N12793" t="s">
        <v>45095</v>
      </c>
      <c r="O12793" t="s">
        <v>45096</v>
      </c>
      <c r="P12793">
        <v>0</v>
      </c>
      <c r="Q12793">
        <v>5</v>
      </c>
      <c r="R12793" t="s">
        <v>45112</v>
      </c>
      <c r="S12793" t="s">
        <v>45755</v>
      </c>
      <c r="T12793" t="s">
        <v>46995</v>
      </c>
      <c r="U12793" t="s">
        <v>57880</v>
      </c>
      <c r="V12793" t="s">
        <v>61150</v>
      </c>
      <c r="W12793" t="s">
        <v>44669</v>
      </c>
      <c r="X12793" t="s">
        <v>45115</v>
      </c>
    </row>
    <row r="12794" spans="1:24">
      <c r="A12794">
        <f>HYPERLINK("https://www.philgeps.gov.ph/GEPSNONPILOT/Tender/SplashBidNoticeAbstractUI.aspx?menuIndex=3&amp;refID=7017000&amp;Result=3","7017000")</f>
        <v>0</v>
      </c>
      <c r="B12794" t="s">
        <v>2405</v>
      </c>
      <c r="C12794" t="s">
        <v>15436</v>
      </c>
      <c r="D12794" t="s">
        <v>18052</v>
      </c>
      <c r="E12794" t="s">
        <v>19923</v>
      </c>
      <c r="F12794" t="s">
        <v>31574</v>
      </c>
      <c r="G12794" t="s">
        <v>31582</v>
      </c>
      <c r="H12794" t="s">
        <v>31591</v>
      </c>
      <c r="I12794" t="s">
        <v>8822</v>
      </c>
      <c r="J12794" t="s">
        <v>31780</v>
      </c>
      <c r="K12794" t="s">
        <v>41192</v>
      </c>
      <c r="M12794" t="s">
        <v>44132</v>
      </c>
      <c r="N12794" t="s">
        <v>45095</v>
      </c>
      <c r="O12794" t="s">
        <v>45096</v>
      </c>
      <c r="P12794">
        <v>0</v>
      </c>
      <c r="Q12794">
        <v>0</v>
      </c>
      <c r="R12794" t="s">
        <v>45112</v>
      </c>
      <c r="S12794" t="s">
        <v>45755</v>
      </c>
      <c r="T12794" t="s">
        <v>47228</v>
      </c>
      <c r="U12794" t="s">
        <v>50981</v>
      </c>
      <c r="W12794" t="s">
        <v>44132</v>
      </c>
      <c r="X12794" t="s">
        <v>45115</v>
      </c>
    </row>
    <row r="12795" spans="1:24">
      <c r="A12795">
        <f>HYPERLINK("https://www.philgeps.gov.ph/GEPSNONPILOT/Tender/SplashBidNoticeAbstractUI.aspx?menuIndex=3&amp;refID=7017112&amp;Result=3","7017112")</f>
        <v>0</v>
      </c>
      <c r="B12795" t="s">
        <v>670</v>
      </c>
      <c r="C12795" t="s">
        <v>15437</v>
      </c>
      <c r="E12795" t="s">
        <v>29171</v>
      </c>
      <c r="F12795" t="s">
        <v>31574</v>
      </c>
      <c r="G12795" t="s">
        <v>31582</v>
      </c>
      <c r="H12795" t="s">
        <v>31590</v>
      </c>
      <c r="I12795" t="s">
        <v>31660</v>
      </c>
      <c r="J12795" t="s">
        <v>39612</v>
      </c>
      <c r="K12795" t="s">
        <v>41192</v>
      </c>
      <c r="M12795" t="s">
        <v>44809</v>
      </c>
      <c r="N12795" t="s">
        <v>45095</v>
      </c>
      <c r="O12795" t="s">
        <v>45096</v>
      </c>
      <c r="P12795">
        <v>0</v>
      </c>
      <c r="Q12795">
        <v>5</v>
      </c>
      <c r="R12795" t="s">
        <v>45112</v>
      </c>
      <c r="S12795" t="s">
        <v>45755</v>
      </c>
      <c r="T12795" t="s">
        <v>46914</v>
      </c>
      <c r="U12795" t="s">
        <v>57881</v>
      </c>
      <c r="W12795" t="s">
        <v>44809</v>
      </c>
      <c r="X12795" t="s">
        <v>45115</v>
      </c>
    </row>
    <row r="12796" spans="1:24">
      <c r="A12796">
        <f>HYPERLINK("https://www.philgeps.gov.ph/GEPSNONPILOT/Tender/SplashBidNoticeAbstractUI.aspx?menuIndex=3&amp;refID=7017111&amp;Result=3","7017111")</f>
        <v>0</v>
      </c>
      <c r="B12796" t="s">
        <v>2405</v>
      </c>
      <c r="C12796" t="s">
        <v>15438</v>
      </c>
      <c r="D12796" t="s">
        <v>18052</v>
      </c>
      <c r="E12796" t="s">
        <v>21506</v>
      </c>
      <c r="F12796" t="s">
        <v>31574</v>
      </c>
      <c r="G12796" t="s">
        <v>31582</v>
      </c>
      <c r="H12796" t="s">
        <v>31591</v>
      </c>
      <c r="I12796" t="s">
        <v>8822</v>
      </c>
      <c r="J12796" t="s">
        <v>32093</v>
      </c>
      <c r="K12796" t="s">
        <v>41185</v>
      </c>
      <c r="M12796" t="s">
        <v>44132</v>
      </c>
      <c r="N12796" t="s">
        <v>45095</v>
      </c>
      <c r="O12796" t="s">
        <v>45096</v>
      </c>
      <c r="P12796">
        <v>0</v>
      </c>
      <c r="Q12796">
        <v>0</v>
      </c>
      <c r="R12796" t="s">
        <v>45112</v>
      </c>
      <c r="S12796" t="s">
        <v>45755</v>
      </c>
      <c r="T12796" t="s">
        <v>47228</v>
      </c>
      <c r="U12796" t="s">
        <v>50981</v>
      </c>
      <c r="W12796" t="s">
        <v>44132</v>
      </c>
      <c r="X12796" t="s">
        <v>45115</v>
      </c>
    </row>
    <row r="12797" spans="1:24">
      <c r="A12797">
        <f>HYPERLINK("https://www.philgeps.gov.ph/GEPSNONPILOT/Tender/SplashBidNoticeAbstractUI.aspx?menuIndex=3&amp;refID=7017088&amp;Result=3","7017088")</f>
        <v>0</v>
      </c>
      <c r="B12797" t="s">
        <v>65</v>
      </c>
      <c r="C12797" t="s">
        <v>15439</v>
      </c>
      <c r="D12797" t="s">
        <v>18066</v>
      </c>
      <c r="E12797" t="s">
        <v>29172</v>
      </c>
      <c r="F12797" t="s">
        <v>31574</v>
      </c>
      <c r="G12797" t="s">
        <v>31582</v>
      </c>
      <c r="H12797" t="s">
        <v>31590</v>
      </c>
      <c r="I12797" t="s">
        <v>31694</v>
      </c>
      <c r="J12797" t="s">
        <v>32076</v>
      </c>
      <c r="K12797" t="s">
        <v>41192</v>
      </c>
      <c r="M12797" t="s">
        <v>41549</v>
      </c>
      <c r="N12797" t="s">
        <v>45095</v>
      </c>
      <c r="O12797" t="s">
        <v>45096</v>
      </c>
      <c r="P12797">
        <v>0</v>
      </c>
      <c r="Q12797">
        <v>2</v>
      </c>
      <c r="R12797" t="s">
        <v>45112</v>
      </c>
      <c r="S12797" t="s">
        <v>45755</v>
      </c>
      <c r="T12797" t="s">
        <v>46917</v>
      </c>
      <c r="U12797" t="s">
        <v>55949</v>
      </c>
      <c r="W12797" t="s">
        <v>41549</v>
      </c>
      <c r="X12797" t="s">
        <v>45115</v>
      </c>
    </row>
    <row r="12798" spans="1:24">
      <c r="A12798">
        <f>HYPERLINK("https://www.philgeps.gov.ph/GEPSNONPILOT/Tender/SplashBidNoticeAbstractUI.aspx?menuIndex=3&amp;refID=7016979&amp;Result=3","7016979")</f>
        <v>0</v>
      </c>
      <c r="B12798" t="s">
        <v>2405</v>
      </c>
      <c r="C12798" t="s">
        <v>15440</v>
      </c>
      <c r="D12798" t="s">
        <v>18052</v>
      </c>
      <c r="E12798" t="s">
        <v>25672</v>
      </c>
      <c r="F12798" t="s">
        <v>31574</v>
      </c>
      <c r="G12798" t="s">
        <v>31582</v>
      </c>
      <c r="H12798" t="s">
        <v>31591</v>
      </c>
      <c r="I12798" t="s">
        <v>8822</v>
      </c>
      <c r="J12798" t="s">
        <v>31845</v>
      </c>
      <c r="K12798" t="s">
        <v>41185</v>
      </c>
      <c r="M12798" t="s">
        <v>44132</v>
      </c>
      <c r="N12798" t="s">
        <v>45095</v>
      </c>
      <c r="O12798" t="s">
        <v>45096</v>
      </c>
      <c r="P12798">
        <v>0</v>
      </c>
      <c r="Q12798">
        <v>0</v>
      </c>
      <c r="R12798" t="s">
        <v>45112</v>
      </c>
      <c r="S12798" t="s">
        <v>45755</v>
      </c>
      <c r="T12798" t="s">
        <v>47228</v>
      </c>
      <c r="U12798" t="s">
        <v>50981</v>
      </c>
      <c r="W12798" t="s">
        <v>44132</v>
      </c>
      <c r="X12798" t="s">
        <v>45115</v>
      </c>
    </row>
    <row r="12799" spans="1:24">
      <c r="A12799">
        <f>HYPERLINK("https://www.philgeps.gov.ph/GEPSNONPILOT/Tender/SplashBidNoticeAbstractUI.aspx?menuIndex=3&amp;refID=7017119&amp;Result=3","7017119")</f>
        <v>0</v>
      </c>
      <c r="B12799" t="s">
        <v>2878</v>
      </c>
      <c r="C12799" t="s">
        <v>15441</v>
      </c>
      <c r="D12799" t="s">
        <v>18046</v>
      </c>
      <c r="E12799" t="s">
        <v>28259</v>
      </c>
      <c r="F12799" t="s">
        <v>31575</v>
      </c>
      <c r="G12799" t="s">
        <v>31582</v>
      </c>
      <c r="H12799" t="s">
        <v>31591</v>
      </c>
      <c r="I12799" t="s">
        <v>8822</v>
      </c>
      <c r="J12799" t="s">
        <v>35720</v>
      </c>
      <c r="K12799" t="s">
        <v>41345</v>
      </c>
      <c r="M12799" t="s">
        <v>44669</v>
      </c>
      <c r="N12799" t="s">
        <v>45095</v>
      </c>
      <c r="O12799" t="s">
        <v>45096</v>
      </c>
      <c r="P12799">
        <v>0</v>
      </c>
      <c r="Q12799">
        <v>0</v>
      </c>
      <c r="R12799" t="s">
        <v>45112</v>
      </c>
      <c r="S12799" t="s">
        <v>45755</v>
      </c>
      <c r="T12799" t="s">
        <v>46979</v>
      </c>
      <c r="U12799" t="s">
        <v>57882</v>
      </c>
      <c r="V12799" t="s">
        <v>61243</v>
      </c>
      <c r="W12799" t="s">
        <v>44669</v>
      </c>
      <c r="X12799" t="s">
        <v>45115</v>
      </c>
    </row>
    <row r="12800" spans="1:24">
      <c r="A12800">
        <f>HYPERLINK("https://www.philgeps.gov.ph/GEPSNONPILOT/Tender/SplashBidNoticeAbstractUI.aspx?menuIndex=3&amp;refID=7017089&amp;Result=3","7017089")</f>
        <v>0</v>
      </c>
      <c r="B12800" t="s">
        <v>2405</v>
      </c>
      <c r="C12800" t="s">
        <v>15442</v>
      </c>
      <c r="D12800" t="s">
        <v>18052</v>
      </c>
      <c r="E12800" t="s">
        <v>19936</v>
      </c>
      <c r="F12800" t="s">
        <v>31574</v>
      </c>
      <c r="G12800" t="s">
        <v>31582</v>
      </c>
      <c r="H12800" t="s">
        <v>31590</v>
      </c>
      <c r="I12800" t="s">
        <v>31648</v>
      </c>
      <c r="J12800" t="s">
        <v>31830</v>
      </c>
      <c r="K12800" t="s">
        <v>41186</v>
      </c>
      <c r="M12800" t="s">
        <v>44132</v>
      </c>
      <c r="N12800" t="s">
        <v>45095</v>
      </c>
      <c r="O12800" t="s">
        <v>45096</v>
      </c>
      <c r="P12800">
        <v>0</v>
      </c>
      <c r="Q12800">
        <v>1</v>
      </c>
      <c r="R12800" t="s">
        <v>45112</v>
      </c>
      <c r="S12800" t="s">
        <v>45755</v>
      </c>
      <c r="T12800" t="s">
        <v>47228</v>
      </c>
      <c r="U12800" t="s">
        <v>50981</v>
      </c>
      <c r="W12800" t="s">
        <v>44132</v>
      </c>
      <c r="X12800" t="s">
        <v>45115</v>
      </c>
    </row>
    <row r="12801" spans="1:24">
      <c r="A12801">
        <f>HYPERLINK("https://www.philgeps.gov.ph/GEPSNONPILOT/Tender/SplashBidNoticeAbstractUI.aspx?menuIndex=3&amp;refID=7017149&amp;Result=3","7017149")</f>
        <v>0</v>
      </c>
      <c r="B12801" t="s">
        <v>65</v>
      </c>
      <c r="C12801" t="s">
        <v>15443</v>
      </c>
      <c r="E12801" t="s">
        <v>29173</v>
      </c>
      <c r="F12801" t="s">
        <v>31574</v>
      </c>
      <c r="G12801" t="s">
        <v>31582</v>
      </c>
      <c r="H12801" t="s">
        <v>31590</v>
      </c>
      <c r="I12801" t="s">
        <v>31625</v>
      </c>
      <c r="J12801" t="s">
        <v>35824</v>
      </c>
      <c r="K12801" t="s">
        <v>41192</v>
      </c>
      <c r="M12801" t="s">
        <v>41549</v>
      </c>
      <c r="N12801" t="s">
        <v>45095</v>
      </c>
      <c r="O12801" t="s">
        <v>45096</v>
      </c>
      <c r="Q12801">
        <v>4</v>
      </c>
      <c r="R12801" t="s">
        <v>45112</v>
      </c>
      <c r="S12801" t="s">
        <v>45763</v>
      </c>
      <c r="T12801" t="s">
        <v>47143</v>
      </c>
      <c r="U12801" t="s">
        <v>55949</v>
      </c>
      <c r="W12801" t="s">
        <v>41549</v>
      </c>
      <c r="X12801" t="s">
        <v>45115</v>
      </c>
    </row>
    <row r="12802" spans="1:24">
      <c r="A12802">
        <f>HYPERLINK("https://www.philgeps.gov.ph/GEPSNONPILOT/Tender/SplashBidNoticeAbstractUI.aspx?menuIndex=3&amp;refID=7017080&amp;Result=3","7017080")</f>
        <v>0</v>
      </c>
      <c r="B12802" t="s">
        <v>1359</v>
      </c>
      <c r="C12802" t="s">
        <v>15444</v>
      </c>
      <c r="D12802" t="s">
        <v>18043</v>
      </c>
      <c r="E12802" t="s">
        <v>29174</v>
      </c>
      <c r="F12802" t="s">
        <v>31574</v>
      </c>
      <c r="G12802" t="s">
        <v>31582</v>
      </c>
      <c r="H12802" t="s">
        <v>31590</v>
      </c>
      <c r="I12802" t="s">
        <v>31615</v>
      </c>
      <c r="J12802" t="s">
        <v>31771</v>
      </c>
      <c r="K12802" t="s">
        <v>41192</v>
      </c>
      <c r="M12802" t="s">
        <v>42931</v>
      </c>
      <c r="N12802" t="s">
        <v>45095</v>
      </c>
      <c r="O12802" t="s">
        <v>45096</v>
      </c>
      <c r="P12802">
        <v>0</v>
      </c>
      <c r="Q12802">
        <v>7</v>
      </c>
      <c r="R12802" t="s">
        <v>45112</v>
      </c>
      <c r="S12802" t="s">
        <v>45755</v>
      </c>
      <c r="T12802" t="s">
        <v>47084</v>
      </c>
      <c r="U12802" t="s">
        <v>57883</v>
      </c>
      <c r="V12802" t="s">
        <v>61244</v>
      </c>
      <c r="W12802" t="s">
        <v>42931</v>
      </c>
      <c r="X12802" t="s">
        <v>45115</v>
      </c>
    </row>
    <row r="12803" spans="1:24">
      <c r="A12803">
        <f>HYPERLINK("https://www.philgeps.gov.ph/GEPSNONPILOT/Tender/SplashBidNoticeAbstractUI.aspx?menuIndex=3&amp;refID=7017201&amp;Result=3","7017201")</f>
        <v>0</v>
      </c>
      <c r="B12803" t="s">
        <v>2405</v>
      </c>
      <c r="C12803" t="s">
        <v>15445</v>
      </c>
      <c r="D12803" t="s">
        <v>18052</v>
      </c>
      <c r="E12803" t="s">
        <v>19936</v>
      </c>
      <c r="F12803" t="s">
        <v>31574</v>
      </c>
      <c r="G12803" t="s">
        <v>31582</v>
      </c>
      <c r="H12803" t="s">
        <v>31591</v>
      </c>
      <c r="I12803" t="s">
        <v>8822</v>
      </c>
      <c r="J12803" t="s">
        <v>33007</v>
      </c>
      <c r="K12803" t="s">
        <v>41185</v>
      </c>
      <c r="M12803" t="s">
        <v>44132</v>
      </c>
      <c r="N12803" t="s">
        <v>45095</v>
      </c>
      <c r="O12803" t="s">
        <v>45096</v>
      </c>
      <c r="P12803">
        <v>0</v>
      </c>
      <c r="Q12803">
        <v>0</v>
      </c>
      <c r="R12803" t="s">
        <v>45112</v>
      </c>
      <c r="S12803" t="s">
        <v>45755</v>
      </c>
      <c r="T12803" t="s">
        <v>47228</v>
      </c>
      <c r="U12803" t="s">
        <v>50981</v>
      </c>
      <c r="W12803" t="s">
        <v>44132</v>
      </c>
      <c r="X12803" t="s">
        <v>45115</v>
      </c>
    </row>
    <row r="12804" spans="1:24">
      <c r="A12804">
        <f>HYPERLINK("https://www.philgeps.gov.ph/GEPSNONPILOT/Tender/SplashBidNoticeAbstractUI.aspx?menuIndex=3&amp;refID=7017139&amp;Result=3","7017139")</f>
        <v>0</v>
      </c>
      <c r="B12804" t="s">
        <v>2405</v>
      </c>
      <c r="C12804" t="s">
        <v>15446</v>
      </c>
      <c r="D12804" t="s">
        <v>18052</v>
      </c>
      <c r="E12804" t="s">
        <v>20828</v>
      </c>
      <c r="F12804" t="s">
        <v>31574</v>
      </c>
      <c r="G12804" t="s">
        <v>31582</v>
      </c>
      <c r="H12804" t="s">
        <v>31591</v>
      </c>
      <c r="I12804" t="s">
        <v>8822</v>
      </c>
      <c r="J12804" t="s">
        <v>39613</v>
      </c>
      <c r="K12804" t="s">
        <v>41185</v>
      </c>
      <c r="M12804" t="s">
        <v>44132</v>
      </c>
      <c r="N12804" t="s">
        <v>45095</v>
      </c>
      <c r="O12804" t="s">
        <v>45096</v>
      </c>
      <c r="P12804">
        <v>0</v>
      </c>
      <c r="Q12804">
        <v>0</v>
      </c>
      <c r="R12804" t="s">
        <v>45112</v>
      </c>
      <c r="S12804" t="s">
        <v>45755</v>
      </c>
      <c r="T12804" t="s">
        <v>47228</v>
      </c>
      <c r="U12804" t="s">
        <v>50981</v>
      </c>
      <c r="W12804" t="s">
        <v>44132</v>
      </c>
      <c r="X12804" t="s">
        <v>45115</v>
      </c>
    </row>
    <row r="12805" spans="1:24">
      <c r="A12805">
        <f>HYPERLINK("https://www.philgeps.gov.ph/GEPSNONPILOT/Tender/SplashBidNoticeAbstractUI.aspx?menuIndex=3&amp;refID=7017116&amp;Result=3","7017116")</f>
        <v>0</v>
      </c>
      <c r="B12805" t="s">
        <v>1359</v>
      </c>
      <c r="C12805" t="s">
        <v>15447</v>
      </c>
      <c r="D12805" t="s">
        <v>18043</v>
      </c>
      <c r="E12805" t="s">
        <v>29174</v>
      </c>
      <c r="F12805" t="s">
        <v>31574</v>
      </c>
      <c r="G12805" t="s">
        <v>31582</v>
      </c>
      <c r="H12805" t="s">
        <v>31590</v>
      </c>
      <c r="I12805" t="s">
        <v>31615</v>
      </c>
      <c r="J12805" t="s">
        <v>32085</v>
      </c>
      <c r="K12805" t="s">
        <v>41192</v>
      </c>
      <c r="M12805" t="s">
        <v>42931</v>
      </c>
      <c r="N12805" t="s">
        <v>45095</v>
      </c>
      <c r="O12805" t="s">
        <v>45096</v>
      </c>
      <c r="P12805">
        <v>0</v>
      </c>
      <c r="Q12805">
        <v>5</v>
      </c>
      <c r="R12805" t="s">
        <v>45112</v>
      </c>
      <c r="S12805" t="s">
        <v>45755</v>
      </c>
      <c r="T12805" t="s">
        <v>47084</v>
      </c>
      <c r="U12805" t="s">
        <v>57884</v>
      </c>
      <c r="V12805" t="s">
        <v>61244</v>
      </c>
      <c r="W12805" t="s">
        <v>42931</v>
      </c>
      <c r="X12805" t="s">
        <v>45115</v>
      </c>
    </row>
    <row r="12806" spans="1:24">
      <c r="A12806">
        <f>HYPERLINK("https://www.philgeps.gov.ph/GEPSNONPILOT/Tender/SplashBidNoticeAbstractUI.aspx?menuIndex=3&amp;refID=7017236&amp;Result=3","7017236")</f>
        <v>0</v>
      </c>
      <c r="B12806" t="s">
        <v>2488</v>
      </c>
      <c r="C12806" t="s">
        <v>15448</v>
      </c>
      <c r="D12806" t="s">
        <v>18045</v>
      </c>
      <c r="E12806" t="s">
        <v>29175</v>
      </c>
      <c r="F12806" t="s">
        <v>31574</v>
      </c>
      <c r="G12806" t="s">
        <v>31582</v>
      </c>
      <c r="H12806" t="s">
        <v>31590</v>
      </c>
      <c r="I12806" t="s">
        <v>31608</v>
      </c>
      <c r="J12806" t="s">
        <v>39614</v>
      </c>
      <c r="K12806" t="s">
        <v>41192</v>
      </c>
      <c r="M12806" t="s">
        <v>44219</v>
      </c>
      <c r="N12806" t="s">
        <v>45095</v>
      </c>
      <c r="O12806" t="s">
        <v>45096</v>
      </c>
      <c r="Q12806">
        <v>12</v>
      </c>
      <c r="R12806" t="s">
        <v>45112</v>
      </c>
      <c r="S12806" t="s">
        <v>45764</v>
      </c>
      <c r="T12806" t="s">
        <v>46955</v>
      </c>
      <c r="U12806" t="s">
        <v>54867</v>
      </c>
      <c r="V12806" t="s">
        <v>61245</v>
      </c>
      <c r="W12806" t="s">
        <v>44219</v>
      </c>
      <c r="X12806" t="s">
        <v>45115</v>
      </c>
    </row>
    <row r="12807" spans="1:24">
      <c r="A12807">
        <f>HYPERLINK("https://www.philgeps.gov.ph/GEPSNONPILOT/Tender/SplashBidNoticeAbstractUI.aspx?menuIndex=3&amp;refID=7017136&amp;Result=3","7017136")</f>
        <v>0</v>
      </c>
      <c r="B12807" t="s">
        <v>670</v>
      </c>
      <c r="C12807" t="s">
        <v>15449</v>
      </c>
      <c r="E12807" t="s">
        <v>29176</v>
      </c>
      <c r="F12807" t="s">
        <v>31574</v>
      </c>
      <c r="G12807" t="s">
        <v>31582</v>
      </c>
      <c r="H12807" t="s">
        <v>31590</v>
      </c>
      <c r="I12807" t="s">
        <v>31660</v>
      </c>
      <c r="J12807" t="s">
        <v>39615</v>
      </c>
      <c r="K12807" t="s">
        <v>41192</v>
      </c>
      <c r="M12807" t="s">
        <v>44809</v>
      </c>
      <c r="N12807" t="s">
        <v>45095</v>
      </c>
      <c r="O12807" t="s">
        <v>45096</v>
      </c>
      <c r="P12807">
        <v>0</v>
      </c>
      <c r="Q12807">
        <v>4</v>
      </c>
      <c r="R12807" t="s">
        <v>45112</v>
      </c>
      <c r="S12807" t="s">
        <v>45755</v>
      </c>
      <c r="T12807" t="s">
        <v>46914</v>
      </c>
      <c r="U12807" t="s">
        <v>57885</v>
      </c>
      <c r="W12807" t="s">
        <v>44809</v>
      </c>
      <c r="X12807" t="s">
        <v>45115</v>
      </c>
    </row>
    <row r="12808" spans="1:24">
      <c r="A12808">
        <f>HYPERLINK("https://www.philgeps.gov.ph/GEPSNONPILOT/Tender/SplashBidNoticeAbstractUI.aspx?menuIndex=3&amp;refID=7017232&amp;Result=3","7017232")</f>
        <v>0</v>
      </c>
      <c r="B12808" t="s">
        <v>196</v>
      </c>
      <c r="C12808" t="s">
        <v>15450</v>
      </c>
      <c r="D12808" t="s">
        <v>18046</v>
      </c>
      <c r="E12808" t="s">
        <v>29177</v>
      </c>
      <c r="F12808" t="s">
        <v>31574</v>
      </c>
      <c r="G12808" t="s">
        <v>31582</v>
      </c>
      <c r="H12808" t="s">
        <v>31591</v>
      </c>
      <c r="I12808" t="s">
        <v>8822</v>
      </c>
      <c r="J12808" t="s">
        <v>39616</v>
      </c>
      <c r="K12808" t="s">
        <v>41452</v>
      </c>
      <c r="M12808" t="s">
        <v>44810</v>
      </c>
      <c r="N12808" t="s">
        <v>45095</v>
      </c>
      <c r="O12808" t="s">
        <v>45096</v>
      </c>
      <c r="Q12808">
        <v>2</v>
      </c>
      <c r="R12808" t="s">
        <v>45112</v>
      </c>
      <c r="S12808" t="s">
        <v>45419</v>
      </c>
      <c r="T12808" t="s">
        <v>46918</v>
      </c>
      <c r="U12808" t="s">
        <v>57886</v>
      </c>
      <c r="V12808" t="s">
        <v>61246</v>
      </c>
      <c r="W12808" t="s">
        <v>44810</v>
      </c>
      <c r="X12808" t="s">
        <v>45115</v>
      </c>
    </row>
    <row r="12809" spans="1:24">
      <c r="A12809">
        <f>HYPERLINK("https://www.philgeps.gov.ph/GEPSNONPILOT/Tender/SplashBidNoticeAbstractUI.aspx?menuIndex=3&amp;refID=7017157&amp;Result=3","7017157")</f>
        <v>0</v>
      </c>
      <c r="B12809" t="s">
        <v>196</v>
      </c>
      <c r="C12809" t="s">
        <v>15451</v>
      </c>
      <c r="D12809" t="s">
        <v>18046</v>
      </c>
      <c r="E12809" t="s">
        <v>29178</v>
      </c>
      <c r="F12809" t="s">
        <v>31574</v>
      </c>
      <c r="G12809" t="s">
        <v>31582</v>
      </c>
      <c r="H12809" t="s">
        <v>31591</v>
      </c>
      <c r="I12809" t="s">
        <v>8822</v>
      </c>
      <c r="J12809" t="s">
        <v>39617</v>
      </c>
      <c r="K12809" t="s">
        <v>41335</v>
      </c>
      <c r="M12809" t="s">
        <v>44810</v>
      </c>
      <c r="N12809" t="s">
        <v>45095</v>
      </c>
      <c r="O12809" t="s">
        <v>45096</v>
      </c>
      <c r="P12809">
        <v>0</v>
      </c>
      <c r="Q12809">
        <v>3</v>
      </c>
      <c r="R12809" t="s">
        <v>45112</v>
      </c>
      <c r="S12809" t="s">
        <v>45755</v>
      </c>
      <c r="T12809" t="s">
        <v>46918</v>
      </c>
      <c r="U12809" t="s">
        <v>57887</v>
      </c>
      <c r="V12809" t="s">
        <v>61247</v>
      </c>
      <c r="W12809" t="s">
        <v>44810</v>
      </c>
      <c r="X12809" t="s">
        <v>45115</v>
      </c>
    </row>
    <row r="12810" spans="1:24">
      <c r="A12810">
        <f>HYPERLINK("https://www.philgeps.gov.ph/GEPSNONPILOT/Tender/SplashBidNoticeAbstractUI.aspx?menuIndex=3&amp;refID=7017242&amp;Result=3","7017242")</f>
        <v>0</v>
      </c>
      <c r="B12810" t="s">
        <v>196</v>
      </c>
      <c r="C12810" t="s">
        <v>15452</v>
      </c>
      <c r="D12810" t="s">
        <v>18046</v>
      </c>
      <c r="E12810" t="s">
        <v>29179</v>
      </c>
      <c r="F12810" t="s">
        <v>31574</v>
      </c>
      <c r="G12810" t="s">
        <v>31582</v>
      </c>
      <c r="H12810" t="s">
        <v>31591</v>
      </c>
      <c r="I12810" t="s">
        <v>8822</v>
      </c>
      <c r="J12810" t="s">
        <v>34882</v>
      </c>
      <c r="K12810" t="s">
        <v>41263</v>
      </c>
      <c r="M12810" t="s">
        <v>44810</v>
      </c>
      <c r="N12810" t="s">
        <v>45095</v>
      </c>
      <c r="O12810" t="s">
        <v>45096</v>
      </c>
      <c r="P12810">
        <v>0</v>
      </c>
      <c r="Q12810">
        <v>2</v>
      </c>
      <c r="R12810" t="s">
        <v>45112</v>
      </c>
      <c r="S12810" t="s">
        <v>45755</v>
      </c>
      <c r="T12810" t="s">
        <v>46918</v>
      </c>
      <c r="U12810" t="s">
        <v>57888</v>
      </c>
      <c r="W12810" t="s">
        <v>44810</v>
      </c>
      <c r="X12810" t="s">
        <v>45115</v>
      </c>
    </row>
    <row r="12811" spans="1:24">
      <c r="A12811">
        <f>HYPERLINK("https://www.philgeps.gov.ph/GEPSNONPILOT/Tender/SplashBidNoticeAbstractUI.aspx?menuIndex=3&amp;refID=7017218&amp;Result=3","7017218")</f>
        <v>0</v>
      </c>
      <c r="B12811" t="s">
        <v>2405</v>
      </c>
      <c r="C12811" t="s">
        <v>15453</v>
      </c>
      <c r="D12811" t="s">
        <v>18052</v>
      </c>
      <c r="E12811" t="s">
        <v>25672</v>
      </c>
      <c r="F12811" t="s">
        <v>31574</v>
      </c>
      <c r="G12811" t="s">
        <v>31582</v>
      </c>
      <c r="H12811" t="s">
        <v>31591</v>
      </c>
      <c r="I12811" t="s">
        <v>31622</v>
      </c>
      <c r="J12811" t="s">
        <v>39618</v>
      </c>
      <c r="K12811" t="s">
        <v>41185</v>
      </c>
      <c r="M12811" t="s">
        <v>44132</v>
      </c>
      <c r="N12811" t="s">
        <v>45095</v>
      </c>
      <c r="O12811" t="s">
        <v>45096</v>
      </c>
      <c r="P12811">
        <v>0</v>
      </c>
      <c r="Q12811">
        <v>0</v>
      </c>
      <c r="R12811" t="s">
        <v>45112</v>
      </c>
      <c r="S12811" t="s">
        <v>45755</v>
      </c>
      <c r="T12811" t="s">
        <v>47228</v>
      </c>
      <c r="U12811" t="s">
        <v>50981</v>
      </c>
      <c r="W12811" t="s">
        <v>44132</v>
      </c>
      <c r="X12811" t="s">
        <v>45115</v>
      </c>
    </row>
    <row r="12812" spans="1:24">
      <c r="A12812">
        <f>HYPERLINK("https://www.philgeps.gov.ph/GEPSNONPILOT/Tender/SplashBidNoticeAbstractUI.aspx?menuIndex=3&amp;refID=7017183&amp;Result=3","7017183")</f>
        <v>0</v>
      </c>
      <c r="B12812" t="s">
        <v>196</v>
      </c>
      <c r="C12812" t="s">
        <v>15454</v>
      </c>
      <c r="D12812" t="s">
        <v>18046</v>
      </c>
      <c r="E12812" t="s">
        <v>29180</v>
      </c>
      <c r="F12812" t="s">
        <v>31574</v>
      </c>
      <c r="G12812" t="s">
        <v>31582</v>
      </c>
      <c r="H12812" t="s">
        <v>31591</v>
      </c>
      <c r="I12812" t="s">
        <v>8822</v>
      </c>
      <c r="J12812" t="s">
        <v>34743</v>
      </c>
      <c r="K12812" t="s">
        <v>41301</v>
      </c>
      <c r="M12812" t="s">
        <v>44810</v>
      </c>
      <c r="N12812" t="s">
        <v>45095</v>
      </c>
      <c r="O12812" t="s">
        <v>45096</v>
      </c>
      <c r="P12812">
        <v>0</v>
      </c>
      <c r="Q12812">
        <v>3</v>
      </c>
      <c r="R12812" t="s">
        <v>45112</v>
      </c>
      <c r="S12812" t="s">
        <v>45755</v>
      </c>
      <c r="T12812" t="s">
        <v>46918</v>
      </c>
      <c r="U12812" t="s">
        <v>57889</v>
      </c>
      <c r="V12812" t="s">
        <v>61248</v>
      </c>
      <c r="W12812" t="s">
        <v>44810</v>
      </c>
      <c r="X12812" t="s">
        <v>45115</v>
      </c>
    </row>
    <row r="12813" spans="1:24">
      <c r="A12813">
        <f>HYPERLINK("https://www.philgeps.gov.ph/GEPSNONPILOT/Tender/SplashBidNoticeAbstractUI.aspx?menuIndex=3&amp;refID=7017265&amp;Result=3","7017265")</f>
        <v>0</v>
      </c>
      <c r="B12813" t="s">
        <v>1319</v>
      </c>
      <c r="C12813" t="s">
        <v>15455</v>
      </c>
      <c r="D12813" t="s">
        <v>18075</v>
      </c>
      <c r="E12813" t="s">
        <v>29181</v>
      </c>
      <c r="F12813" t="s">
        <v>31574</v>
      </c>
      <c r="G12813" t="s">
        <v>31582</v>
      </c>
      <c r="H12813" t="s">
        <v>31590</v>
      </c>
      <c r="I12813" t="s">
        <v>31661</v>
      </c>
      <c r="J12813" t="s">
        <v>32126</v>
      </c>
      <c r="K12813" t="s">
        <v>41196</v>
      </c>
      <c r="M12813" t="s">
        <v>42889</v>
      </c>
      <c r="N12813" t="s">
        <v>45095</v>
      </c>
      <c r="O12813" t="s">
        <v>45096</v>
      </c>
      <c r="P12813">
        <v>0</v>
      </c>
      <c r="Q12813">
        <v>4</v>
      </c>
      <c r="R12813" t="s">
        <v>45112</v>
      </c>
      <c r="S12813" t="s">
        <v>45755</v>
      </c>
      <c r="T12813" t="s">
        <v>46955</v>
      </c>
      <c r="U12813" t="s">
        <v>57890</v>
      </c>
      <c r="V12813" t="s">
        <v>61249</v>
      </c>
      <c r="W12813" t="s">
        <v>42889</v>
      </c>
      <c r="X12813" t="s">
        <v>45115</v>
      </c>
    </row>
    <row r="12814" spans="1:24">
      <c r="A12814">
        <f>HYPERLINK("https://www.philgeps.gov.ph/GEPSNONPILOT/Tender/SplashBidNoticeAbstractUI.aspx?menuIndex=3&amp;refID=7017209&amp;Result=3","7017209")</f>
        <v>0</v>
      </c>
      <c r="B12814" t="s">
        <v>196</v>
      </c>
      <c r="C12814" t="s">
        <v>15456</v>
      </c>
      <c r="D12814" t="s">
        <v>18046</v>
      </c>
      <c r="E12814" t="s">
        <v>29182</v>
      </c>
      <c r="F12814" t="s">
        <v>31574</v>
      </c>
      <c r="G12814" t="s">
        <v>31582</v>
      </c>
      <c r="H12814" t="s">
        <v>31591</v>
      </c>
      <c r="I12814" t="s">
        <v>8822</v>
      </c>
      <c r="J12814" t="s">
        <v>33279</v>
      </c>
      <c r="K12814" t="s">
        <v>41207</v>
      </c>
      <c r="M12814" t="s">
        <v>44810</v>
      </c>
      <c r="N12814" t="s">
        <v>45095</v>
      </c>
      <c r="O12814" t="s">
        <v>45096</v>
      </c>
      <c r="P12814">
        <v>0</v>
      </c>
      <c r="Q12814">
        <v>2</v>
      </c>
      <c r="R12814" t="s">
        <v>45112</v>
      </c>
      <c r="S12814" t="s">
        <v>45755</v>
      </c>
      <c r="T12814" t="s">
        <v>46918</v>
      </c>
      <c r="U12814" t="s">
        <v>57891</v>
      </c>
      <c r="V12814" t="s">
        <v>61250</v>
      </c>
      <c r="W12814" t="s">
        <v>44810</v>
      </c>
      <c r="X12814" t="s">
        <v>45115</v>
      </c>
    </row>
    <row r="12815" spans="1:24">
      <c r="A12815">
        <f>HYPERLINK("https://www.philgeps.gov.ph/GEPSNONPILOT/Tender/SplashBidNoticeAbstractUI.aspx?menuIndex=3&amp;refID=7017152&amp;Result=3","7017152")</f>
        <v>0</v>
      </c>
      <c r="B12815" t="s">
        <v>1319</v>
      </c>
      <c r="C12815" t="s">
        <v>15457</v>
      </c>
      <c r="D12815" t="s">
        <v>18075</v>
      </c>
      <c r="E12815" t="s">
        <v>29183</v>
      </c>
      <c r="F12815" t="s">
        <v>31574</v>
      </c>
      <c r="G12815" t="s">
        <v>31582</v>
      </c>
      <c r="H12815" t="s">
        <v>31590</v>
      </c>
      <c r="I12815" t="s">
        <v>3901</v>
      </c>
      <c r="J12815" t="s">
        <v>39619</v>
      </c>
      <c r="K12815" t="s">
        <v>41196</v>
      </c>
      <c r="M12815" t="s">
        <v>42889</v>
      </c>
      <c r="N12815" t="s">
        <v>45095</v>
      </c>
      <c r="O12815" t="s">
        <v>45096</v>
      </c>
      <c r="P12815">
        <v>0</v>
      </c>
      <c r="Q12815">
        <v>5</v>
      </c>
      <c r="R12815" t="s">
        <v>45112</v>
      </c>
      <c r="S12815" t="s">
        <v>45755</v>
      </c>
      <c r="T12815" t="s">
        <v>46955</v>
      </c>
      <c r="U12815" t="s">
        <v>57892</v>
      </c>
      <c r="V12815" t="s">
        <v>61251</v>
      </c>
      <c r="W12815" t="s">
        <v>42889</v>
      </c>
      <c r="X12815" t="s">
        <v>45115</v>
      </c>
    </row>
    <row r="12816" spans="1:24">
      <c r="A12816">
        <f>HYPERLINK("https://www.philgeps.gov.ph/GEPSNONPILOT/Tender/SplashBidNoticeAbstractUI.aspx?menuIndex=3&amp;refID=7017192&amp;Result=3","7017192")</f>
        <v>0</v>
      </c>
      <c r="B12816" t="s">
        <v>2405</v>
      </c>
      <c r="C12816" t="s">
        <v>15458</v>
      </c>
      <c r="D12816" t="s">
        <v>18052</v>
      </c>
      <c r="E12816" t="s">
        <v>19923</v>
      </c>
      <c r="F12816" t="s">
        <v>31574</v>
      </c>
      <c r="G12816" t="s">
        <v>31582</v>
      </c>
      <c r="H12816" t="s">
        <v>31591</v>
      </c>
      <c r="I12816" t="s">
        <v>8822</v>
      </c>
      <c r="J12816" t="s">
        <v>31842</v>
      </c>
      <c r="K12816" t="s">
        <v>41185</v>
      </c>
      <c r="M12816" t="s">
        <v>44132</v>
      </c>
      <c r="N12816" t="s">
        <v>45095</v>
      </c>
      <c r="O12816" t="s">
        <v>45096</v>
      </c>
      <c r="P12816">
        <v>0</v>
      </c>
      <c r="Q12816">
        <v>0</v>
      </c>
      <c r="R12816" t="s">
        <v>45112</v>
      </c>
      <c r="S12816" t="s">
        <v>45755</v>
      </c>
      <c r="T12816" t="s">
        <v>47228</v>
      </c>
      <c r="U12816" t="s">
        <v>50981</v>
      </c>
      <c r="W12816" t="s">
        <v>44132</v>
      </c>
      <c r="X12816" t="s">
        <v>45115</v>
      </c>
    </row>
    <row r="12817" spans="1:24">
      <c r="A12817">
        <f>HYPERLINK("https://www.philgeps.gov.ph/GEPSNONPILOT/Tender/SplashBidNoticeAbstractUI.aspx?menuIndex=3&amp;refID=7017230&amp;Result=3","7017230")</f>
        <v>0</v>
      </c>
      <c r="B12817" t="s">
        <v>2405</v>
      </c>
      <c r="C12817" t="s">
        <v>15459</v>
      </c>
      <c r="D12817" t="s">
        <v>18052</v>
      </c>
      <c r="E12817" t="s">
        <v>21506</v>
      </c>
      <c r="F12817" t="s">
        <v>31574</v>
      </c>
      <c r="G12817" t="s">
        <v>31582</v>
      </c>
      <c r="H12817" t="s">
        <v>31591</v>
      </c>
      <c r="I12817" t="s">
        <v>8822</v>
      </c>
      <c r="J12817" t="s">
        <v>32017</v>
      </c>
      <c r="K12817" t="s">
        <v>41185</v>
      </c>
      <c r="M12817" t="s">
        <v>44132</v>
      </c>
      <c r="N12817" t="s">
        <v>45095</v>
      </c>
      <c r="O12817" t="s">
        <v>45096</v>
      </c>
      <c r="P12817">
        <v>0</v>
      </c>
      <c r="Q12817">
        <v>0</v>
      </c>
      <c r="R12817" t="s">
        <v>45112</v>
      </c>
      <c r="S12817" t="s">
        <v>45755</v>
      </c>
      <c r="T12817" t="s">
        <v>47228</v>
      </c>
      <c r="U12817" t="s">
        <v>50981</v>
      </c>
      <c r="W12817" t="s">
        <v>44132</v>
      </c>
      <c r="X12817" t="s">
        <v>45115</v>
      </c>
    </row>
    <row r="12818" spans="1:24">
      <c r="A12818">
        <f>HYPERLINK("https://www.philgeps.gov.ph/GEPSNONPILOT/Tender/SplashBidNoticeAbstractUI.aspx?menuIndex=3&amp;refID=7017253&amp;Result=3","7017253")</f>
        <v>0</v>
      </c>
      <c r="B12818" t="s">
        <v>670</v>
      </c>
      <c r="C12818" t="s">
        <v>15460</v>
      </c>
      <c r="E12818" t="s">
        <v>29184</v>
      </c>
      <c r="F12818" t="s">
        <v>31574</v>
      </c>
      <c r="G12818" t="s">
        <v>31582</v>
      </c>
      <c r="H12818" t="s">
        <v>31592</v>
      </c>
      <c r="I12818" t="s">
        <v>31678</v>
      </c>
      <c r="J12818" t="s">
        <v>32421</v>
      </c>
      <c r="K12818" t="s">
        <v>41225</v>
      </c>
      <c r="M12818" t="s">
        <v>44809</v>
      </c>
      <c r="N12818" t="s">
        <v>45095</v>
      </c>
      <c r="O12818" t="s">
        <v>45096</v>
      </c>
      <c r="P12818">
        <v>0</v>
      </c>
      <c r="Q12818">
        <v>6</v>
      </c>
      <c r="R12818" t="s">
        <v>45112</v>
      </c>
      <c r="S12818" t="s">
        <v>45755</v>
      </c>
      <c r="T12818" t="s">
        <v>46914</v>
      </c>
      <c r="U12818" t="s">
        <v>57893</v>
      </c>
      <c r="W12818" t="s">
        <v>44809</v>
      </c>
      <c r="X12818" t="s">
        <v>45115</v>
      </c>
    </row>
    <row r="12819" spans="1:24">
      <c r="A12819">
        <f>HYPERLINK("https://www.philgeps.gov.ph/GEPSNONPILOT/Tender/SplashBidNoticeAbstractUI.aspx?menuIndex=3&amp;refID=7017274&amp;Result=3","7017274")</f>
        <v>0</v>
      </c>
      <c r="B12819" t="s">
        <v>1723</v>
      </c>
      <c r="C12819" t="s">
        <v>15461</v>
      </c>
      <c r="D12819" t="s">
        <v>18022</v>
      </c>
      <c r="E12819" t="s">
        <v>29185</v>
      </c>
      <c r="F12819" t="s">
        <v>31574</v>
      </c>
      <c r="G12819" t="s">
        <v>31582</v>
      </c>
      <c r="H12819" t="s">
        <v>31590</v>
      </c>
      <c r="I12819" t="s">
        <v>31615</v>
      </c>
      <c r="J12819" t="s">
        <v>39620</v>
      </c>
      <c r="K12819" t="s">
        <v>41184</v>
      </c>
      <c r="M12819" t="s">
        <v>43340</v>
      </c>
      <c r="N12819" t="s">
        <v>45095</v>
      </c>
      <c r="O12819" t="s">
        <v>45096</v>
      </c>
      <c r="P12819">
        <v>0</v>
      </c>
      <c r="Q12819">
        <v>20</v>
      </c>
      <c r="R12819" t="s">
        <v>45112</v>
      </c>
      <c r="S12819" t="s">
        <v>45755</v>
      </c>
      <c r="T12819" t="s">
        <v>46992</v>
      </c>
      <c r="U12819" t="s">
        <v>51835</v>
      </c>
      <c r="W12819" t="s">
        <v>43340</v>
      </c>
      <c r="X12819" t="s">
        <v>45115</v>
      </c>
    </row>
    <row r="12820" spans="1:24">
      <c r="A12820">
        <f>HYPERLINK("https://www.philgeps.gov.ph/GEPSNONPILOT/Tender/SplashBidNoticeAbstractUI.aspx?menuIndex=3&amp;refID=7017252&amp;Result=3","7017252")</f>
        <v>0</v>
      </c>
      <c r="B12820" t="s">
        <v>1723</v>
      </c>
      <c r="C12820" t="s">
        <v>15462</v>
      </c>
      <c r="D12820" t="s">
        <v>18022</v>
      </c>
      <c r="E12820" t="s">
        <v>29186</v>
      </c>
      <c r="F12820" t="s">
        <v>31574</v>
      </c>
      <c r="G12820" t="s">
        <v>31582</v>
      </c>
      <c r="H12820" t="s">
        <v>31590</v>
      </c>
      <c r="I12820" t="s">
        <v>31656</v>
      </c>
      <c r="J12820" t="s">
        <v>35235</v>
      </c>
      <c r="K12820" t="s">
        <v>41184</v>
      </c>
      <c r="M12820" t="s">
        <v>43340</v>
      </c>
      <c r="N12820" t="s">
        <v>45095</v>
      </c>
      <c r="O12820" t="s">
        <v>45096</v>
      </c>
      <c r="P12820">
        <v>0</v>
      </c>
      <c r="Q12820">
        <v>10</v>
      </c>
      <c r="R12820" t="s">
        <v>45112</v>
      </c>
      <c r="S12820" t="s">
        <v>45755</v>
      </c>
      <c r="T12820" t="s">
        <v>47134</v>
      </c>
      <c r="U12820" t="s">
        <v>51835</v>
      </c>
      <c r="W12820" t="s">
        <v>43340</v>
      </c>
      <c r="X12820" t="s">
        <v>45115</v>
      </c>
    </row>
    <row r="12821" spans="1:24">
      <c r="A12821">
        <f>HYPERLINK("https://www.philgeps.gov.ph/GEPSNONPILOT/Tender/SplashBidNoticeAbstractUI.aspx?menuIndex=3&amp;refID=7017121&amp;Result=3","7017121")</f>
        <v>0</v>
      </c>
      <c r="B12821" t="s">
        <v>2405</v>
      </c>
      <c r="C12821" t="s">
        <v>15463</v>
      </c>
      <c r="D12821" t="s">
        <v>18052</v>
      </c>
      <c r="E12821" t="s">
        <v>20826</v>
      </c>
      <c r="F12821" t="s">
        <v>31574</v>
      </c>
      <c r="G12821" t="s">
        <v>31582</v>
      </c>
      <c r="H12821" t="s">
        <v>31591</v>
      </c>
      <c r="I12821" t="s">
        <v>8822</v>
      </c>
      <c r="J12821" t="s">
        <v>31949</v>
      </c>
      <c r="K12821" t="s">
        <v>41192</v>
      </c>
      <c r="M12821" t="s">
        <v>44132</v>
      </c>
      <c r="N12821" t="s">
        <v>45095</v>
      </c>
      <c r="O12821" t="s">
        <v>45096</v>
      </c>
      <c r="P12821">
        <v>0</v>
      </c>
      <c r="Q12821">
        <v>0</v>
      </c>
      <c r="R12821" t="s">
        <v>45112</v>
      </c>
      <c r="S12821" t="s">
        <v>45755</v>
      </c>
      <c r="T12821" t="s">
        <v>47228</v>
      </c>
      <c r="U12821" t="s">
        <v>50981</v>
      </c>
      <c r="W12821" t="s">
        <v>44132</v>
      </c>
      <c r="X12821" t="s">
        <v>45115</v>
      </c>
    </row>
    <row r="12822" spans="1:24">
      <c r="A12822">
        <f>HYPERLINK("https://www.philgeps.gov.ph/GEPSNONPILOT/Tender/SplashBidNoticeAbstractUI.aspx?menuIndex=3&amp;refID=7017298&amp;Result=3","7017298")</f>
        <v>0</v>
      </c>
      <c r="B12822" t="s">
        <v>2405</v>
      </c>
      <c r="C12822" t="s">
        <v>15464</v>
      </c>
      <c r="D12822" t="s">
        <v>18052</v>
      </c>
      <c r="E12822" t="s">
        <v>20826</v>
      </c>
      <c r="F12822" t="s">
        <v>31574</v>
      </c>
      <c r="G12822" t="s">
        <v>31582</v>
      </c>
      <c r="H12822" t="s">
        <v>31591</v>
      </c>
      <c r="I12822" t="s">
        <v>8822</v>
      </c>
      <c r="J12822" t="s">
        <v>32258</v>
      </c>
      <c r="K12822" t="s">
        <v>41192</v>
      </c>
      <c r="M12822" t="s">
        <v>44132</v>
      </c>
      <c r="N12822" t="s">
        <v>45095</v>
      </c>
      <c r="O12822" t="s">
        <v>45096</v>
      </c>
      <c r="P12822">
        <v>0</v>
      </c>
      <c r="Q12822">
        <v>0</v>
      </c>
      <c r="R12822" t="s">
        <v>45112</v>
      </c>
      <c r="S12822" t="s">
        <v>45755</v>
      </c>
      <c r="T12822" t="s">
        <v>47228</v>
      </c>
      <c r="U12822" t="s">
        <v>50981</v>
      </c>
      <c r="W12822" t="s">
        <v>44132</v>
      </c>
      <c r="X12822" t="s">
        <v>45115</v>
      </c>
    </row>
    <row r="12823" spans="1:24">
      <c r="A12823">
        <f>HYPERLINK("https://www.philgeps.gov.ph/GEPSNONPILOT/Tender/SplashBidNoticeAbstractUI.aspx?menuIndex=3&amp;refID=7017319&amp;Result=3","7017319")</f>
        <v>0</v>
      </c>
      <c r="B12823" t="s">
        <v>1830</v>
      </c>
      <c r="C12823" t="s">
        <v>15465</v>
      </c>
      <c r="D12823" t="s">
        <v>18023</v>
      </c>
      <c r="E12823" t="s">
        <v>29187</v>
      </c>
      <c r="F12823" t="s">
        <v>31574</v>
      </c>
      <c r="G12823" t="s">
        <v>31582</v>
      </c>
      <c r="H12823" t="s">
        <v>31591</v>
      </c>
      <c r="I12823" t="s">
        <v>8822</v>
      </c>
      <c r="J12823" t="s">
        <v>39621</v>
      </c>
      <c r="K12823" t="s">
        <v>41189</v>
      </c>
      <c r="M12823" t="s">
        <v>44742</v>
      </c>
      <c r="N12823" t="s">
        <v>45095</v>
      </c>
      <c r="O12823" t="s">
        <v>45096</v>
      </c>
      <c r="P12823">
        <v>0</v>
      </c>
      <c r="Q12823">
        <v>14</v>
      </c>
      <c r="R12823" t="s">
        <v>45112</v>
      </c>
      <c r="S12823" t="s">
        <v>45755</v>
      </c>
      <c r="T12823" t="s">
        <v>46979</v>
      </c>
      <c r="U12823" t="s">
        <v>57501</v>
      </c>
      <c r="W12823" t="s">
        <v>44742</v>
      </c>
      <c r="X12823" t="s">
        <v>45115</v>
      </c>
    </row>
    <row r="12824" spans="1:24">
      <c r="A12824">
        <f>HYPERLINK("https://www.philgeps.gov.ph/GEPSNONPILOT/Tender/SplashBidNoticeAbstractUI.aspx?menuIndex=3&amp;refID=7017296&amp;Result=3","7017296")</f>
        <v>0</v>
      </c>
      <c r="B12824" t="s">
        <v>196</v>
      </c>
      <c r="C12824" t="s">
        <v>15466</v>
      </c>
      <c r="D12824" t="s">
        <v>18046</v>
      </c>
      <c r="E12824" t="s">
        <v>29188</v>
      </c>
      <c r="F12824" t="s">
        <v>31574</v>
      </c>
      <c r="G12824" t="s">
        <v>31582</v>
      </c>
      <c r="H12824" t="s">
        <v>31591</v>
      </c>
      <c r="I12824" t="s">
        <v>8822</v>
      </c>
      <c r="J12824" t="s">
        <v>34882</v>
      </c>
      <c r="K12824" t="s">
        <v>41263</v>
      </c>
      <c r="M12824" t="s">
        <v>44810</v>
      </c>
      <c r="N12824" t="s">
        <v>45095</v>
      </c>
      <c r="O12824" t="s">
        <v>45096</v>
      </c>
      <c r="P12824">
        <v>0</v>
      </c>
      <c r="Q12824">
        <v>4</v>
      </c>
      <c r="R12824" t="s">
        <v>45112</v>
      </c>
      <c r="S12824" t="s">
        <v>45755</v>
      </c>
      <c r="T12824" t="s">
        <v>46918</v>
      </c>
      <c r="U12824" t="s">
        <v>57894</v>
      </c>
      <c r="W12824" t="s">
        <v>44810</v>
      </c>
      <c r="X12824" t="s">
        <v>45115</v>
      </c>
    </row>
    <row r="12825" spans="1:24">
      <c r="A12825">
        <f>HYPERLINK("https://www.philgeps.gov.ph/GEPSNONPILOT/Tender/SplashBidNoticeAbstractUI.aspx?menuIndex=3&amp;refID=7017314&amp;Result=3","7017314")</f>
        <v>0</v>
      </c>
      <c r="B12825" t="s">
        <v>196</v>
      </c>
      <c r="C12825" t="s">
        <v>15467</v>
      </c>
      <c r="D12825" t="s">
        <v>18046</v>
      </c>
      <c r="E12825" t="s">
        <v>29189</v>
      </c>
      <c r="F12825" t="s">
        <v>31574</v>
      </c>
      <c r="G12825" t="s">
        <v>31582</v>
      </c>
      <c r="H12825" t="s">
        <v>31591</v>
      </c>
      <c r="I12825" t="s">
        <v>8822</v>
      </c>
      <c r="J12825" t="s">
        <v>31883</v>
      </c>
      <c r="K12825" t="s">
        <v>41186</v>
      </c>
      <c r="M12825" t="s">
        <v>44810</v>
      </c>
      <c r="N12825" t="s">
        <v>45095</v>
      </c>
      <c r="O12825" t="s">
        <v>45096</v>
      </c>
      <c r="P12825">
        <v>0</v>
      </c>
      <c r="Q12825">
        <v>2</v>
      </c>
      <c r="R12825" t="s">
        <v>45112</v>
      </c>
      <c r="S12825" t="s">
        <v>45755</v>
      </c>
      <c r="T12825" t="s">
        <v>46918</v>
      </c>
      <c r="U12825" t="s">
        <v>57895</v>
      </c>
      <c r="W12825" t="s">
        <v>44810</v>
      </c>
      <c r="X12825" t="s">
        <v>45115</v>
      </c>
    </row>
    <row r="12826" spans="1:24">
      <c r="A12826">
        <f>HYPERLINK("https://www.philgeps.gov.ph/GEPSNONPILOT/Tender/SplashBidNoticeAbstractUI.aspx?menuIndex=3&amp;refID=7017358&amp;Result=3","7017358")</f>
        <v>0</v>
      </c>
      <c r="B12826" t="s">
        <v>1014</v>
      </c>
      <c r="C12826" t="s">
        <v>15468</v>
      </c>
      <c r="D12826" t="s">
        <v>18059</v>
      </c>
      <c r="E12826" t="s">
        <v>29190</v>
      </c>
      <c r="F12826" t="s">
        <v>31574</v>
      </c>
      <c r="G12826" t="s">
        <v>31582</v>
      </c>
      <c r="H12826" t="s">
        <v>31591</v>
      </c>
      <c r="I12826" t="s">
        <v>31623</v>
      </c>
      <c r="J12826" t="s">
        <v>39622</v>
      </c>
      <c r="K12826" t="s">
        <v>41243</v>
      </c>
      <c r="M12826" t="s">
        <v>42555</v>
      </c>
      <c r="N12826" t="s">
        <v>45095</v>
      </c>
      <c r="O12826" t="s">
        <v>45096</v>
      </c>
      <c r="P12826">
        <v>0</v>
      </c>
      <c r="Q12826">
        <v>0</v>
      </c>
      <c r="R12826" t="s">
        <v>45112</v>
      </c>
      <c r="S12826" t="s">
        <v>45755</v>
      </c>
      <c r="T12826" t="s">
        <v>46926</v>
      </c>
      <c r="U12826" t="s">
        <v>57896</v>
      </c>
      <c r="W12826" t="s">
        <v>42555</v>
      </c>
      <c r="X12826" t="s">
        <v>45115</v>
      </c>
    </row>
    <row r="12827" spans="1:24">
      <c r="A12827">
        <f>HYPERLINK("https://www.philgeps.gov.ph/GEPSNONPILOT/Tender/SplashBidNoticeAbstractUI.aspx?menuIndex=3&amp;refID=7017300&amp;Result=3","7017300")</f>
        <v>0</v>
      </c>
      <c r="B12827" t="s">
        <v>1830</v>
      </c>
      <c r="C12827" t="s">
        <v>15469</v>
      </c>
      <c r="D12827" t="s">
        <v>18023</v>
      </c>
      <c r="E12827" t="s">
        <v>29191</v>
      </c>
      <c r="F12827" t="s">
        <v>31574</v>
      </c>
      <c r="G12827" t="s">
        <v>31582</v>
      </c>
      <c r="H12827" t="s">
        <v>31591</v>
      </c>
      <c r="I12827" t="s">
        <v>8822</v>
      </c>
      <c r="J12827" t="s">
        <v>39623</v>
      </c>
      <c r="K12827" t="s">
        <v>41189</v>
      </c>
      <c r="M12827" t="s">
        <v>44742</v>
      </c>
      <c r="N12827" t="s">
        <v>45095</v>
      </c>
      <c r="O12827" t="s">
        <v>45096</v>
      </c>
      <c r="P12827">
        <v>0</v>
      </c>
      <c r="Q12827">
        <v>15</v>
      </c>
      <c r="R12827" t="s">
        <v>45112</v>
      </c>
      <c r="S12827" t="s">
        <v>45755</v>
      </c>
      <c r="T12827" t="s">
        <v>46979</v>
      </c>
      <c r="U12827" t="s">
        <v>57501</v>
      </c>
      <c r="W12827" t="s">
        <v>44742</v>
      </c>
      <c r="X12827" t="s">
        <v>45115</v>
      </c>
    </row>
    <row r="12828" spans="1:24">
      <c r="A12828">
        <f>HYPERLINK("https://www.philgeps.gov.ph/GEPSNONPILOT/Tender/SplashBidNoticeAbstractUI.aspx?menuIndex=3&amp;refID=7017350&amp;Result=3","7017350")</f>
        <v>0</v>
      </c>
      <c r="B12828" t="s">
        <v>1319</v>
      </c>
      <c r="C12828" t="s">
        <v>15470</v>
      </c>
      <c r="D12828" t="s">
        <v>18075</v>
      </c>
      <c r="E12828" t="s">
        <v>29192</v>
      </c>
      <c r="F12828" t="s">
        <v>31574</v>
      </c>
      <c r="G12828" t="s">
        <v>31582</v>
      </c>
      <c r="H12828" t="s">
        <v>31590</v>
      </c>
      <c r="I12828" t="s">
        <v>31689</v>
      </c>
      <c r="J12828" t="s">
        <v>32019</v>
      </c>
      <c r="K12828" t="s">
        <v>41196</v>
      </c>
      <c r="M12828" t="s">
        <v>42889</v>
      </c>
      <c r="N12828" t="s">
        <v>45095</v>
      </c>
      <c r="O12828" t="s">
        <v>45096</v>
      </c>
      <c r="Q12828">
        <v>7</v>
      </c>
      <c r="R12828" t="s">
        <v>45112</v>
      </c>
      <c r="S12828" t="s">
        <v>45765</v>
      </c>
      <c r="T12828" t="s">
        <v>46955</v>
      </c>
      <c r="U12828" t="s">
        <v>57897</v>
      </c>
      <c r="V12828" t="s">
        <v>61252</v>
      </c>
      <c r="W12828" t="s">
        <v>42889</v>
      </c>
      <c r="X12828" t="s">
        <v>45115</v>
      </c>
    </row>
    <row r="12829" spans="1:24">
      <c r="A12829">
        <f>HYPERLINK("https://www.philgeps.gov.ph/GEPSNONPILOT/Tender/SplashBidNoticeAbstractUI.aspx?menuIndex=3&amp;refID=7017303&amp;Result=3","7017303")</f>
        <v>0</v>
      </c>
      <c r="B12829" t="s">
        <v>2405</v>
      </c>
      <c r="C12829" t="s">
        <v>15471</v>
      </c>
      <c r="D12829" t="s">
        <v>18052</v>
      </c>
      <c r="E12829" t="s">
        <v>20828</v>
      </c>
      <c r="F12829" t="s">
        <v>31574</v>
      </c>
      <c r="G12829" t="s">
        <v>31582</v>
      </c>
      <c r="H12829" t="s">
        <v>31591</v>
      </c>
      <c r="I12829" t="s">
        <v>8822</v>
      </c>
      <c r="J12829" t="s">
        <v>31845</v>
      </c>
      <c r="K12829" t="s">
        <v>41185</v>
      </c>
      <c r="M12829" t="s">
        <v>44132</v>
      </c>
      <c r="N12829" t="s">
        <v>45095</v>
      </c>
      <c r="O12829" t="s">
        <v>45096</v>
      </c>
      <c r="P12829">
        <v>0</v>
      </c>
      <c r="Q12829">
        <v>0</v>
      </c>
      <c r="R12829" t="s">
        <v>45112</v>
      </c>
      <c r="S12829" t="s">
        <v>45755</v>
      </c>
      <c r="T12829" t="s">
        <v>47228</v>
      </c>
      <c r="U12829" t="s">
        <v>50981</v>
      </c>
      <c r="W12829" t="s">
        <v>44132</v>
      </c>
      <c r="X12829" t="s">
        <v>45115</v>
      </c>
    </row>
    <row r="12830" spans="1:24">
      <c r="A12830">
        <f>HYPERLINK("https://www.philgeps.gov.ph/GEPSNONPILOT/Tender/SplashBidNoticeAbstractUI.aspx?menuIndex=3&amp;refID=7017402&amp;Result=3","7017402")</f>
        <v>0</v>
      </c>
      <c r="B12830" t="s">
        <v>2955</v>
      </c>
      <c r="C12830" t="s">
        <v>15472</v>
      </c>
      <c r="D12830" t="s">
        <v>18033</v>
      </c>
      <c r="E12830" t="s">
        <v>29193</v>
      </c>
      <c r="F12830" t="s">
        <v>31574</v>
      </c>
      <c r="G12830" t="s">
        <v>31582</v>
      </c>
      <c r="H12830" t="s">
        <v>31591</v>
      </c>
      <c r="I12830" t="s">
        <v>31695</v>
      </c>
      <c r="J12830" t="s">
        <v>39624</v>
      </c>
      <c r="K12830" t="s">
        <v>41200</v>
      </c>
      <c r="M12830" t="s">
        <v>44774</v>
      </c>
      <c r="N12830" t="s">
        <v>45095</v>
      </c>
      <c r="O12830" t="s">
        <v>45096</v>
      </c>
      <c r="P12830">
        <v>0</v>
      </c>
      <c r="Q12830">
        <v>2</v>
      </c>
      <c r="R12830" t="s">
        <v>45112</v>
      </c>
      <c r="S12830" t="s">
        <v>45755</v>
      </c>
      <c r="T12830" t="s">
        <v>47212</v>
      </c>
      <c r="U12830" t="s">
        <v>57898</v>
      </c>
      <c r="V12830" t="s">
        <v>61253</v>
      </c>
      <c r="W12830" t="s">
        <v>44774</v>
      </c>
      <c r="X12830" t="s">
        <v>45115</v>
      </c>
    </row>
    <row r="12831" spans="1:24">
      <c r="A12831">
        <f>HYPERLINK("https://www.philgeps.gov.ph/GEPSNONPILOT/Tender/SplashBidNoticeAbstractUI.aspx?menuIndex=3&amp;refID=7017320&amp;Result=3","7017320")</f>
        <v>0</v>
      </c>
      <c r="B12831" t="s">
        <v>196</v>
      </c>
      <c r="C12831" t="s">
        <v>15473</v>
      </c>
      <c r="D12831" t="s">
        <v>18046</v>
      </c>
      <c r="E12831" t="s">
        <v>29194</v>
      </c>
      <c r="F12831" t="s">
        <v>31574</v>
      </c>
      <c r="G12831" t="s">
        <v>31582</v>
      </c>
      <c r="H12831" t="s">
        <v>31591</v>
      </c>
      <c r="I12831" t="s">
        <v>8822</v>
      </c>
      <c r="J12831" t="s">
        <v>31883</v>
      </c>
      <c r="K12831" t="s">
        <v>41186</v>
      </c>
      <c r="M12831" t="s">
        <v>44810</v>
      </c>
      <c r="N12831" t="s">
        <v>45095</v>
      </c>
      <c r="O12831" t="s">
        <v>45096</v>
      </c>
      <c r="P12831">
        <v>0</v>
      </c>
      <c r="Q12831">
        <v>1</v>
      </c>
      <c r="R12831" t="s">
        <v>45112</v>
      </c>
      <c r="S12831" t="s">
        <v>45755</v>
      </c>
      <c r="T12831" t="s">
        <v>46918</v>
      </c>
      <c r="U12831" t="s">
        <v>57899</v>
      </c>
      <c r="W12831" t="s">
        <v>44810</v>
      </c>
      <c r="X12831" t="s">
        <v>45115</v>
      </c>
    </row>
    <row r="12832" spans="1:24">
      <c r="A12832">
        <f>HYPERLINK("https://www.philgeps.gov.ph/GEPSNONPILOT/Tender/SplashBidNoticeAbstractUI.aspx?menuIndex=3&amp;refID=7017308&amp;Result=3","7017308")</f>
        <v>0</v>
      </c>
      <c r="B12832" t="s">
        <v>2405</v>
      </c>
      <c r="C12832" t="s">
        <v>15474</v>
      </c>
      <c r="D12832" t="s">
        <v>18052</v>
      </c>
      <c r="E12832" t="s">
        <v>19014</v>
      </c>
      <c r="F12832" t="s">
        <v>31574</v>
      </c>
      <c r="G12832" t="s">
        <v>31582</v>
      </c>
      <c r="H12832" t="s">
        <v>31591</v>
      </c>
      <c r="I12832" t="s">
        <v>8822</v>
      </c>
      <c r="J12832" t="s">
        <v>31726</v>
      </c>
      <c r="K12832" t="s">
        <v>41185</v>
      </c>
      <c r="M12832" t="s">
        <v>44132</v>
      </c>
      <c r="N12832" t="s">
        <v>45095</v>
      </c>
      <c r="O12832" t="s">
        <v>45096</v>
      </c>
      <c r="P12832">
        <v>0</v>
      </c>
      <c r="Q12832">
        <v>0</v>
      </c>
      <c r="R12832" t="s">
        <v>45112</v>
      </c>
      <c r="S12832" t="s">
        <v>45755</v>
      </c>
      <c r="T12832" t="s">
        <v>46973</v>
      </c>
      <c r="U12832" t="s">
        <v>50981</v>
      </c>
      <c r="W12832" t="s">
        <v>44132</v>
      </c>
      <c r="X12832" t="s">
        <v>45115</v>
      </c>
    </row>
    <row r="12833" spans="1:24">
      <c r="A12833">
        <f>HYPERLINK("https://www.philgeps.gov.ph/GEPSNONPILOT/Tender/SplashBidNoticeAbstractUI.aspx?menuIndex=3&amp;refID=7017366&amp;Result=3","7017366")</f>
        <v>0</v>
      </c>
      <c r="B12833" t="s">
        <v>1014</v>
      </c>
      <c r="C12833" t="s">
        <v>15475</v>
      </c>
      <c r="D12833" t="s">
        <v>18059</v>
      </c>
      <c r="E12833" t="s">
        <v>29195</v>
      </c>
      <c r="F12833" t="s">
        <v>31574</v>
      </c>
      <c r="G12833" t="s">
        <v>31582</v>
      </c>
      <c r="H12833" t="s">
        <v>31591</v>
      </c>
      <c r="I12833" t="s">
        <v>31623</v>
      </c>
      <c r="J12833" t="s">
        <v>39622</v>
      </c>
      <c r="K12833" t="s">
        <v>41243</v>
      </c>
      <c r="M12833" t="s">
        <v>42555</v>
      </c>
      <c r="N12833" t="s">
        <v>45095</v>
      </c>
      <c r="O12833" t="s">
        <v>45096</v>
      </c>
      <c r="P12833">
        <v>0</v>
      </c>
      <c r="Q12833">
        <v>0</v>
      </c>
      <c r="R12833" t="s">
        <v>45112</v>
      </c>
      <c r="S12833" t="s">
        <v>45755</v>
      </c>
      <c r="T12833" t="s">
        <v>46926</v>
      </c>
      <c r="U12833" t="s">
        <v>57896</v>
      </c>
      <c r="W12833" t="s">
        <v>42555</v>
      </c>
      <c r="X12833" t="s">
        <v>45115</v>
      </c>
    </row>
    <row r="12834" spans="1:24">
      <c r="A12834">
        <f>HYPERLINK("https://www.philgeps.gov.ph/GEPSNONPILOT/Tender/SplashBidNoticeAbstractUI.aspx?menuIndex=3&amp;refID=7017316&amp;Result=3","7017316")</f>
        <v>0</v>
      </c>
      <c r="B12834" t="s">
        <v>2405</v>
      </c>
      <c r="C12834" t="s">
        <v>15476</v>
      </c>
      <c r="D12834" t="s">
        <v>18052</v>
      </c>
      <c r="E12834" t="s">
        <v>19014</v>
      </c>
      <c r="F12834" t="s">
        <v>31574</v>
      </c>
      <c r="G12834" t="s">
        <v>31582</v>
      </c>
      <c r="H12834" t="s">
        <v>31591</v>
      </c>
      <c r="I12834" t="s">
        <v>8822</v>
      </c>
      <c r="J12834" t="s">
        <v>31842</v>
      </c>
      <c r="K12834" t="s">
        <v>41185</v>
      </c>
      <c r="M12834" t="s">
        <v>44132</v>
      </c>
      <c r="N12834" t="s">
        <v>45095</v>
      </c>
      <c r="O12834" t="s">
        <v>45096</v>
      </c>
      <c r="P12834">
        <v>0</v>
      </c>
      <c r="Q12834">
        <v>0</v>
      </c>
      <c r="R12834" t="s">
        <v>45112</v>
      </c>
      <c r="S12834" t="s">
        <v>45755</v>
      </c>
      <c r="T12834" t="s">
        <v>47228</v>
      </c>
      <c r="U12834" t="s">
        <v>50981</v>
      </c>
      <c r="W12834" t="s">
        <v>44132</v>
      </c>
      <c r="X12834" t="s">
        <v>45115</v>
      </c>
    </row>
    <row r="12835" spans="1:24">
      <c r="A12835">
        <f>HYPERLINK("https://www.philgeps.gov.ph/GEPSNONPILOT/Tender/SplashBidNoticeAbstractUI.aspx?menuIndex=3&amp;refID=7017430&amp;Result=3","7017430")</f>
        <v>0</v>
      </c>
      <c r="B12835" t="s">
        <v>2955</v>
      </c>
      <c r="C12835" t="s">
        <v>15477</v>
      </c>
      <c r="D12835" t="s">
        <v>18033</v>
      </c>
      <c r="E12835" t="s">
        <v>29196</v>
      </c>
      <c r="F12835" t="s">
        <v>31574</v>
      </c>
      <c r="G12835" t="s">
        <v>31582</v>
      </c>
      <c r="H12835" t="s">
        <v>31591</v>
      </c>
      <c r="I12835" t="s">
        <v>31695</v>
      </c>
      <c r="J12835" t="s">
        <v>39625</v>
      </c>
      <c r="K12835" t="s">
        <v>41200</v>
      </c>
      <c r="M12835" t="s">
        <v>44774</v>
      </c>
      <c r="N12835" t="s">
        <v>45095</v>
      </c>
      <c r="O12835" t="s">
        <v>45096</v>
      </c>
      <c r="P12835">
        <v>0</v>
      </c>
      <c r="Q12835">
        <v>2</v>
      </c>
      <c r="R12835" t="s">
        <v>45112</v>
      </c>
      <c r="S12835" t="s">
        <v>45755</v>
      </c>
      <c r="T12835" t="s">
        <v>47143</v>
      </c>
      <c r="U12835" t="s">
        <v>57900</v>
      </c>
      <c r="V12835" t="s">
        <v>61253</v>
      </c>
      <c r="W12835" t="s">
        <v>44774</v>
      </c>
      <c r="X12835" t="s">
        <v>45115</v>
      </c>
    </row>
    <row r="12836" spans="1:24">
      <c r="A12836">
        <f>HYPERLINK("https://www.philgeps.gov.ph/GEPSNONPILOT/Tender/SplashBidNoticeAbstractUI.aspx?menuIndex=3&amp;refID=7017339&amp;Result=3","7017339")</f>
        <v>0</v>
      </c>
      <c r="B12836" t="s">
        <v>2987</v>
      </c>
      <c r="C12836" t="s">
        <v>15478</v>
      </c>
      <c r="D12836" t="s">
        <v>18033</v>
      </c>
      <c r="E12836" t="s">
        <v>29197</v>
      </c>
      <c r="F12836" t="s">
        <v>31574</v>
      </c>
      <c r="G12836" t="s">
        <v>31582</v>
      </c>
      <c r="H12836" t="s">
        <v>31590</v>
      </c>
      <c r="I12836" t="s">
        <v>4046</v>
      </c>
      <c r="J12836" t="s">
        <v>39626</v>
      </c>
      <c r="K12836" t="s">
        <v>41190</v>
      </c>
      <c r="M12836" t="s">
        <v>44811</v>
      </c>
      <c r="N12836" t="s">
        <v>45095</v>
      </c>
      <c r="O12836" t="s">
        <v>45096</v>
      </c>
      <c r="P12836">
        <v>0</v>
      </c>
      <c r="Q12836">
        <v>0</v>
      </c>
      <c r="R12836" t="s">
        <v>45112</v>
      </c>
      <c r="S12836" t="s">
        <v>45755</v>
      </c>
      <c r="T12836" t="s">
        <v>46939</v>
      </c>
      <c r="U12836" t="s">
        <v>57901</v>
      </c>
      <c r="W12836" t="s">
        <v>44811</v>
      </c>
      <c r="X12836" t="s">
        <v>45115</v>
      </c>
    </row>
    <row r="12837" spans="1:24">
      <c r="A12837">
        <f>HYPERLINK("https://www.philgeps.gov.ph/GEPSNONPILOT/Tender/SplashBidNoticeAbstractUI.aspx?menuIndex=3&amp;refID=7017384&amp;Result=3","7017384")</f>
        <v>0</v>
      </c>
      <c r="B12837" t="s">
        <v>2955</v>
      </c>
      <c r="C12837" t="s">
        <v>15479</v>
      </c>
      <c r="D12837" t="s">
        <v>18033</v>
      </c>
      <c r="E12837" t="s">
        <v>29198</v>
      </c>
      <c r="F12837" t="s">
        <v>31574</v>
      </c>
      <c r="G12837" t="s">
        <v>31582</v>
      </c>
      <c r="H12837" t="s">
        <v>31591</v>
      </c>
      <c r="I12837" t="s">
        <v>31695</v>
      </c>
      <c r="J12837" t="s">
        <v>39627</v>
      </c>
      <c r="K12837" t="s">
        <v>41200</v>
      </c>
      <c r="M12837" t="s">
        <v>44774</v>
      </c>
      <c r="N12837" t="s">
        <v>45095</v>
      </c>
      <c r="O12837" t="s">
        <v>45096</v>
      </c>
      <c r="P12837">
        <v>0</v>
      </c>
      <c r="Q12837">
        <v>2</v>
      </c>
      <c r="R12837" t="s">
        <v>45112</v>
      </c>
      <c r="S12837" t="s">
        <v>45755</v>
      </c>
      <c r="T12837" t="s">
        <v>47086</v>
      </c>
      <c r="U12837" t="s">
        <v>57902</v>
      </c>
      <c r="V12837" t="s">
        <v>61253</v>
      </c>
      <c r="W12837" t="s">
        <v>44774</v>
      </c>
      <c r="X12837" t="s">
        <v>45115</v>
      </c>
    </row>
    <row r="12838" spans="1:24">
      <c r="A12838">
        <f>HYPERLINK("https://www.philgeps.gov.ph/GEPSNONPILOT/Tender/SplashBidNoticeAbstractUI.aspx?menuIndex=3&amp;refID=7017461&amp;Result=3","7017461")</f>
        <v>0</v>
      </c>
      <c r="B12838" t="s">
        <v>2488</v>
      </c>
      <c r="C12838" t="s">
        <v>15480</v>
      </c>
      <c r="D12838" t="s">
        <v>18045</v>
      </c>
      <c r="E12838" t="s">
        <v>29199</v>
      </c>
      <c r="F12838" t="s">
        <v>31574</v>
      </c>
      <c r="G12838" t="s">
        <v>31582</v>
      </c>
      <c r="H12838" t="s">
        <v>31590</v>
      </c>
      <c r="I12838" t="s">
        <v>31621</v>
      </c>
      <c r="J12838" t="s">
        <v>39628</v>
      </c>
      <c r="K12838" t="s">
        <v>41192</v>
      </c>
      <c r="M12838" t="s">
        <v>44219</v>
      </c>
      <c r="N12838" t="s">
        <v>45095</v>
      </c>
      <c r="O12838" t="s">
        <v>45096</v>
      </c>
      <c r="P12838">
        <v>0</v>
      </c>
      <c r="Q12838">
        <v>5</v>
      </c>
      <c r="R12838" t="s">
        <v>45112</v>
      </c>
      <c r="S12838" t="s">
        <v>45755</v>
      </c>
      <c r="T12838" t="s">
        <v>46989</v>
      </c>
      <c r="U12838" t="s">
        <v>54867</v>
      </c>
      <c r="V12838" t="s">
        <v>61254</v>
      </c>
      <c r="W12838" t="s">
        <v>44219</v>
      </c>
      <c r="X12838" t="s">
        <v>45115</v>
      </c>
    </row>
    <row r="12839" spans="1:24">
      <c r="A12839">
        <f>HYPERLINK("https://www.philgeps.gov.ph/GEPSNONPILOT/Tender/SplashBidNoticeAbstractUI.aspx?menuIndex=3&amp;refID=7017431&amp;Result=3","7017431")</f>
        <v>0</v>
      </c>
      <c r="B12839" t="s">
        <v>2988</v>
      </c>
      <c r="C12839" t="s">
        <v>15481</v>
      </c>
      <c r="D12839" t="s">
        <v>18022</v>
      </c>
      <c r="E12839" t="s">
        <v>19113</v>
      </c>
      <c r="F12839" t="s">
        <v>31574</v>
      </c>
      <c r="G12839" t="s">
        <v>31582</v>
      </c>
      <c r="H12839" t="s">
        <v>31590</v>
      </c>
      <c r="I12839" t="s">
        <v>31606</v>
      </c>
      <c r="J12839" t="s">
        <v>35608</v>
      </c>
      <c r="K12839" t="s">
        <v>41186</v>
      </c>
      <c r="M12839" t="s">
        <v>44812</v>
      </c>
      <c r="N12839" t="s">
        <v>45095</v>
      </c>
      <c r="O12839" t="s">
        <v>45096</v>
      </c>
      <c r="P12839">
        <v>0</v>
      </c>
      <c r="Q12839">
        <v>11</v>
      </c>
      <c r="R12839" t="s">
        <v>45112</v>
      </c>
      <c r="S12839" t="s">
        <v>45755</v>
      </c>
      <c r="T12839" t="s">
        <v>47376</v>
      </c>
      <c r="U12839" t="s">
        <v>57903</v>
      </c>
      <c r="V12839" t="s">
        <v>61255</v>
      </c>
      <c r="W12839" t="s">
        <v>44812</v>
      </c>
      <c r="X12839" t="s">
        <v>45115</v>
      </c>
    </row>
    <row r="12840" spans="1:24">
      <c r="A12840">
        <f>HYPERLINK("https://www.philgeps.gov.ph/GEPSNONPILOT/Tender/SplashBidNoticeAbstractUI.aspx?menuIndex=3&amp;refID=7017367&amp;Result=3","7017367")</f>
        <v>0</v>
      </c>
      <c r="B12840" t="s">
        <v>2955</v>
      </c>
      <c r="C12840" t="s">
        <v>15482</v>
      </c>
      <c r="D12840" t="s">
        <v>18033</v>
      </c>
      <c r="E12840" t="s">
        <v>29200</v>
      </c>
      <c r="F12840" t="s">
        <v>31574</v>
      </c>
      <c r="G12840" t="s">
        <v>31582</v>
      </c>
      <c r="H12840" t="s">
        <v>31590</v>
      </c>
      <c r="I12840" t="s">
        <v>4046</v>
      </c>
      <c r="J12840" t="s">
        <v>39629</v>
      </c>
      <c r="K12840" t="s">
        <v>41196</v>
      </c>
      <c r="M12840" t="s">
        <v>44774</v>
      </c>
      <c r="N12840" t="s">
        <v>45095</v>
      </c>
      <c r="O12840" t="s">
        <v>45096</v>
      </c>
      <c r="P12840">
        <v>0</v>
      </c>
      <c r="Q12840">
        <v>0</v>
      </c>
      <c r="R12840" t="s">
        <v>45112</v>
      </c>
      <c r="S12840" t="s">
        <v>45755</v>
      </c>
      <c r="T12840" t="s">
        <v>46989</v>
      </c>
      <c r="U12840" t="s">
        <v>57904</v>
      </c>
      <c r="V12840" t="s">
        <v>61256</v>
      </c>
      <c r="W12840" t="s">
        <v>44774</v>
      </c>
      <c r="X12840" t="s">
        <v>45115</v>
      </c>
    </row>
    <row r="12841" spans="1:24">
      <c r="A12841">
        <f>HYPERLINK("https://www.philgeps.gov.ph/GEPSNONPILOT/Tender/SplashBidNoticeAbstractUI.aspx?menuIndex=3&amp;refID=7017477&amp;Result=3","7017477")</f>
        <v>0</v>
      </c>
      <c r="B12841" t="s">
        <v>2955</v>
      </c>
      <c r="C12841" t="s">
        <v>15483</v>
      </c>
      <c r="D12841" t="s">
        <v>18033</v>
      </c>
      <c r="E12841" t="s">
        <v>29201</v>
      </c>
      <c r="F12841" t="s">
        <v>31574</v>
      </c>
      <c r="G12841" t="s">
        <v>31582</v>
      </c>
      <c r="H12841" t="s">
        <v>31590</v>
      </c>
      <c r="I12841" t="s">
        <v>4046</v>
      </c>
      <c r="J12841" t="s">
        <v>39630</v>
      </c>
      <c r="K12841" t="s">
        <v>41196</v>
      </c>
      <c r="M12841" t="s">
        <v>44774</v>
      </c>
      <c r="N12841" t="s">
        <v>45095</v>
      </c>
      <c r="O12841" t="s">
        <v>45096</v>
      </c>
      <c r="P12841">
        <v>0</v>
      </c>
      <c r="Q12841">
        <v>0</v>
      </c>
      <c r="R12841" t="s">
        <v>45112</v>
      </c>
      <c r="S12841" t="s">
        <v>45755</v>
      </c>
      <c r="T12841" t="s">
        <v>46955</v>
      </c>
      <c r="U12841" t="s">
        <v>57904</v>
      </c>
      <c r="V12841" t="s">
        <v>61253</v>
      </c>
      <c r="W12841" t="s">
        <v>44774</v>
      </c>
      <c r="X12841" t="s">
        <v>45115</v>
      </c>
    </row>
    <row r="12842" spans="1:24">
      <c r="A12842">
        <f>HYPERLINK("https://www.philgeps.gov.ph/GEPSNONPILOT/Tender/SplashBidNoticeAbstractUI.aspx?menuIndex=3&amp;refID=7017668&amp;Result=3","7017668")</f>
        <v>0</v>
      </c>
      <c r="B12842" t="s">
        <v>182</v>
      </c>
      <c r="C12842" t="s">
        <v>15484</v>
      </c>
      <c r="D12842" t="s">
        <v>18060</v>
      </c>
      <c r="E12842" t="s">
        <v>29202</v>
      </c>
      <c r="F12842" t="s">
        <v>31574</v>
      </c>
      <c r="G12842" t="s">
        <v>31582</v>
      </c>
      <c r="H12842" t="s">
        <v>31590</v>
      </c>
      <c r="I12842" t="s">
        <v>31599</v>
      </c>
      <c r="J12842" t="s">
        <v>36444</v>
      </c>
      <c r="K12842" t="s">
        <v>41190</v>
      </c>
      <c r="M12842" t="s">
        <v>44709</v>
      </c>
      <c r="N12842" t="s">
        <v>45095</v>
      </c>
      <c r="O12842" t="s">
        <v>45096</v>
      </c>
      <c r="P12842">
        <v>0</v>
      </c>
      <c r="Q12842">
        <v>2</v>
      </c>
      <c r="R12842" t="s">
        <v>45112</v>
      </c>
      <c r="S12842" t="s">
        <v>45755</v>
      </c>
      <c r="T12842" t="s">
        <v>46926</v>
      </c>
      <c r="U12842" t="s">
        <v>57905</v>
      </c>
      <c r="W12842" t="s">
        <v>44709</v>
      </c>
      <c r="X12842" t="s">
        <v>45115</v>
      </c>
    </row>
    <row r="12843" spans="1:24">
      <c r="A12843">
        <f>HYPERLINK("https://www.philgeps.gov.ph/GEPSNONPILOT/Tender/SplashBidNoticeAbstractUI.aspx?menuIndex=3&amp;refID=7017426&amp;Result=3","7017426")</f>
        <v>0</v>
      </c>
      <c r="B12843" t="s">
        <v>1709</v>
      </c>
      <c r="C12843" t="s">
        <v>15485</v>
      </c>
      <c r="D12843" t="s">
        <v>18071</v>
      </c>
      <c r="E12843" t="s">
        <v>29203</v>
      </c>
      <c r="F12843" t="s">
        <v>31574</v>
      </c>
      <c r="G12843" t="s">
        <v>31582</v>
      </c>
      <c r="H12843" t="s">
        <v>31590</v>
      </c>
      <c r="I12843" t="s">
        <v>4046</v>
      </c>
      <c r="J12843" t="s">
        <v>39631</v>
      </c>
      <c r="K12843" t="s">
        <v>41196</v>
      </c>
      <c r="M12843" t="s">
        <v>43325</v>
      </c>
      <c r="N12843" t="s">
        <v>45095</v>
      </c>
      <c r="O12843" t="s">
        <v>45096</v>
      </c>
      <c r="P12843">
        <v>0</v>
      </c>
      <c r="Q12843">
        <v>1</v>
      </c>
      <c r="R12843" t="s">
        <v>45112</v>
      </c>
      <c r="S12843" t="s">
        <v>45755</v>
      </c>
      <c r="T12843" t="s">
        <v>46955</v>
      </c>
      <c r="U12843" t="s">
        <v>57906</v>
      </c>
      <c r="V12843" t="s">
        <v>60399</v>
      </c>
      <c r="W12843" t="s">
        <v>43325</v>
      </c>
      <c r="X12843" t="s">
        <v>45115</v>
      </c>
    </row>
    <row r="12844" spans="1:24">
      <c r="A12844">
        <f>HYPERLINK("https://www.philgeps.gov.ph/GEPSNONPILOT/Tender/SplashBidNoticeAbstractUI.aspx?menuIndex=3&amp;refID=7017597&amp;Result=3","7017597")</f>
        <v>0</v>
      </c>
      <c r="B12844" t="s">
        <v>1268</v>
      </c>
      <c r="C12844" t="s">
        <v>15486</v>
      </c>
      <c r="D12844" t="s">
        <v>18082</v>
      </c>
      <c r="E12844" t="s">
        <v>29204</v>
      </c>
      <c r="F12844" t="s">
        <v>31574</v>
      </c>
      <c r="G12844" t="s">
        <v>31582</v>
      </c>
      <c r="H12844" t="s">
        <v>31590</v>
      </c>
      <c r="I12844" t="s">
        <v>7185</v>
      </c>
      <c r="J12844" t="s">
        <v>39632</v>
      </c>
      <c r="K12844" t="s">
        <v>41200</v>
      </c>
      <c r="M12844" t="s">
        <v>42836</v>
      </c>
      <c r="N12844" t="s">
        <v>45095</v>
      </c>
      <c r="O12844" t="s">
        <v>45096</v>
      </c>
      <c r="P12844">
        <v>0</v>
      </c>
      <c r="Q12844">
        <v>3</v>
      </c>
      <c r="R12844" t="s">
        <v>45112</v>
      </c>
      <c r="S12844" t="s">
        <v>45755</v>
      </c>
      <c r="T12844" t="s">
        <v>46989</v>
      </c>
      <c r="U12844" t="s">
        <v>57907</v>
      </c>
      <c r="W12844" t="s">
        <v>42836</v>
      </c>
      <c r="X12844" t="s">
        <v>45115</v>
      </c>
    </row>
    <row r="12845" spans="1:24">
      <c r="A12845">
        <f>HYPERLINK("https://www.philgeps.gov.ph/GEPSNONPILOT/Tender/SplashBidNoticeAbstractUI.aspx?menuIndex=3&amp;refID=7017610&amp;Result=3","7017610")</f>
        <v>0</v>
      </c>
      <c r="B12845" t="s">
        <v>182</v>
      </c>
      <c r="C12845" t="s">
        <v>15487</v>
      </c>
      <c r="D12845" t="s">
        <v>18060</v>
      </c>
      <c r="E12845" t="s">
        <v>29205</v>
      </c>
      <c r="F12845" t="s">
        <v>31574</v>
      </c>
      <c r="G12845" t="s">
        <v>31582</v>
      </c>
      <c r="H12845" t="s">
        <v>31590</v>
      </c>
      <c r="I12845" t="s">
        <v>31599</v>
      </c>
      <c r="J12845" t="s">
        <v>39633</v>
      </c>
      <c r="K12845" t="s">
        <v>41190</v>
      </c>
      <c r="M12845" t="s">
        <v>44709</v>
      </c>
      <c r="N12845" t="s">
        <v>45095</v>
      </c>
      <c r="O12845" t="s">
        <v>45096</v>
      </c>
      <c r="P12845">
        <v>0</v>
      </c>
      <c r="Q12845">
        <v>2</v>
      </c>
      <c r="R12845" t="s">
        <v>45112</v>
      </c>
      <c r="S12845" t="s">
        <v>45755</v>
      </c>
      <c r="T12845" t="s">
        <v>46926</v>
      </c>
      <c r="U12845" t="s">
        <v>57908</v>
      </c>
      <c r="W12845" t="s">
        <v>44709</v>
      </c>
      <c r="X12845" t="s">
        <v>45115</v>
      </c>
    </row>
    <row r="12846" spans="1:24">
      <c r="A12846">
        <f>HYPERLINK("https://www.philgeps.gov.ph/GEPSNONPILOT/Tender/SplashBidNoticeAbstractUI.aspx?menuIndex=3&amp;refID=7017718&amp;Result=3","7017718")</f>
        <v>0</v>
      </c>
      <c r="B12846" t="s">
        <v>182</v>
      </c>
      <c r="C12846" t="s">
        <v>15488</v>
      </c>
      <c r="D12846" t="s">
        <v>18060</v>
      </c>
      <c r="E12846" t="s">
        <v>29206</v>
      </c>
      <c r="F12846" t="s">
        <v>31574</v>
      </c>
      <c r="G12846" t="s">
        <v>31582</v>
      </c>
      <c r="H12846" t="s">
        <v>31590</v>
      </c>
      <c r="I12846" t="s">
        <v>3487</v>
      </c>
      <c r="J12846" t="s">
        <v>31935</v>
      </c>
      <c r="K12846" t="s">
        <v>41190</v>
      </c>
      <c r="M12846" t="s">
        <v>44709</v>
      </c>
      <c r="N12846" t="s">
        <v>45095</v>
      </c>
      <c r="O12846" t="s">
        <v>45096</v>
      </c>
      <c r="P12846">
        <v>0</v>
      </c>
      <c r="Q12846">
        <v>2</v>
      </c>
      <c r="R12846" t="s">
        <v>45112</v>
      </c>
      <c r="S12846" t="s">
        <v>45755</v>
      </c>
      <c r="T12846" t="s">
        <v>46926</v>
      </c>
      <c r="U12846" t="s">
        <v>57909</v>
      </c>
      <c r="W12846" t="s">
        <v>44709</v>
      </c>
      <c r="X12846" t="s">
        <v>45115</v>
      </c>
    </row>
    <row r="12847" spans="1:24">
      <c r="A12847">
        <f>HYPERLINK("https://www.philgeps.gov.ph/GEPSNONPILOT/Tender/SplashBidNoticeAbstractUI.aspx?menuIndex=3&amp;refID=7017629&amp;Result=3","7017629")</f>
        <v>0</v>
      </c>
      <c r="B12847" t="s">
        <v>1268</v>
      </c>
      <c r="C12847" t="s">
        <v>6384</v>
      </c>
      <c r="D12847" t="s">
        <v>18082</v>
      </c>
      <c r="E12847" t="s">
        <v>29207</v>
      </c>
      <c r="F12847" t="s">
        <v>31574</v>
      </c>
      <c r="G12847" t="s">
        <v>31582</v>
      </c>
      <c r="H12847" t="s">
        <v>31590</v>
      </c>
      <c r="I12847" t="s">
        <v>8258</v>
      </c>
      <c r="J12847" t="s">
        <v>39634</v>
      </c>
      <c r="K12847" t="s">
        <v>41192</v>
      </c>
      <c r="M12847" t="s">
        <v>42836</v>
      </c>
      <c r="N12847" t="s">
        <v>45095</v>
      </c>
      <c r="O12847" t="s">
        <v>45096</v>
      </c>
      <c r="P12847">
        <v>0</v>
      </c>
      <c r="Q12847">
        <v>4</v>
      </c>
      <c r="R12847" t="s">
        <v>45112</v>
      </c>
      <c r="S12847" t="s">
        <v>45755</v>
      </c>
      <c r="T12847" t="s">
        <v>46989</v>
      </c>
      <c r="U12847" t="s">
        <v>57910</v>
      </c>
      <c r="W12847" t="s">
        <v>42836</v>
      </c>
      <c r="X12847" t="s">
        <v>45115</v>
      </c>
    </row>
    <row r="12848" spans="1:24">
      <c r="A12848">
        <f>HYPERLINK("https://www.philgeps.gov.ph/GEPSNONPILOT/Tender/SplashBidNoticeAbstractUI.aspx?menuIndex=3&amp;refID=7017571&amp;Result=3","7017571")</f>
        <v>0</v>
      </c>
      <c r="B12848" t="s">
        <v>182</v>
      </c>
      <c r="C12848" t="s">
        <v>15489</v>
      </c>
      <c r="D12848" t="s">
        <v>18060</v>
      </c>
      <c r="E12848" t="s">
        <v>29208</v>
      </c>
      <c r="F12848" t="s">
        <v>31574</v>
      </c>
      <c r="G12848" t="s">
        <v>31582</v>
      </c>
      <c r="H12848" t="s">
        <v>31590</v>
      </c>
      <c r="I12848" t="s">
        <v>31599</v>
      </c>
      <c r="J12848" t="s">
        <v>39635</v>
      </c>
      <c r="K12848" t="s">
        <v>41190</v>
      </c>
      <c r="M12848" t="s">
        <v>44709</v>
      </c>
      <c r="N12848" t="s">
        <v>45095</v>
      </c>
      <c r="O12848" t="s">
        <v>45096</v>
      </c>
      <c r="P12848">
        <v>0</v>
      </c>
      <c r="Q12848">
        <v>3</v>
      </c>
      <c r="R12848" t="s">
        <v>45112</v>
      </c>
      <c r="S12848" t="s">
        <v>45755</v>
      </c>
      <c r="T12848" t="s">
        <v>46926</v>
      </c>
      <c r="U12848" t="s">
        <v>57911</v>
      </c>
      <c r="W12848" t="s">
        <v>44709</v>
      </c>
      <c r="X12848" t="s">
        <v>45115</v>
      </c>
    </row>
    <row r="12849" spans="1:24">
      <c r="A12849">
        <f>HYPERLINK("https://www.philgeps.gov.ph/GEPSNONPILOT/Tender/SplashBidNoticeAbstractUI.aspx?menuIndex=3&amp;refID=7017563&amp;Result=3","7017563")</f>
        <v>0</v>
      </c>
      <c r="B12849" t="s">
        <v>1268</v>
      </c>
      <c r="C12849" t="s">
        <v>15490</v>
      </c>
      <c r="D12849" t="s">
        <v>18082</v>
      </c>
      <c r="E12849" t="s">
        <v>29209</v>
      </c>
      <c r="F12849" t="s">
        <v>31574</v>
      </c>
      <c r="G12849" t="s">
        <v>31582</v>
      </c>
      <c r="H12849" t="s">
        <v>31590</v>
      </c>
      <c r="I12849" t="s">
        <v>31616</v>
      </c>
      <c r="J12849" t="s">
        <v>39636</v>
      </c>
      <c r="K12849" t="s">
        <v>41192</v>
      </c>
      <c r="M12849" t="s">
        <v>42836</v>
      </c>
      <c r="N12849" t="s">
        <v>45095</v>
      </c>
      <c r="O12849" t="s">
        <v>45096</v>
      </c>
      <c r="P12849">
        <v>0</v>
      </c>
      <c r="Q12849">
        <v>3</v>
      </c>
      <c r="R12849" t="s">
        <v>45112</v>
      </c>
      <c r="S12849" t="s">
        <v>45755</v>
      </c>
      <c r="T12849" t="s">
        <v>46989</v>
      </c>
      <c r="U12849" t="s">
        <v>57912</v>
      </c>
      <c r="W12849" t="s">
        <v>42836</v>
      </c>
      <c r="X12849" t="s">
        <v>45115</v>
      </c>
    </row>
    <row r="12850" spans="1:24">
      <c r="A12850">
        <f>HYPERLINK("https://www.philgeps.gov.ph/GEPSNONPILOT/Tender/SplashBidNoticeAbstractUI.aspx?menuIndex=3&amp;refID=7017636&amp;Result=3","7017636")</f>
        <v>0</v>
      </c>
      <c r="B12850" t="s">
        <v>2989</v>
      </c>
      <c r="C12850" t="s">
        <v>15491</v>
      </c>
      <c r="D12850" t="s">
        <v>18028</v>
      </c>
      <c r="E12850" t="s">
        <v>18975</v>
      </c>
      <c r="F12850" t="s">
        <v>31574</v>
      </c>
      <c r="G12850" t="s">
        <v>31582</v>
      </c>
      <c r="H12850" t="s">
        <v>31591</v>
      </c>
      <c r="I12850" t="s">
        <v>8822</v>
      </c>
      <c r="J12850" t="s">
        <v>39637</v>
      </c>
      <c r="K12850" t="s">
        <v>41184</v>
      </c>
      <c r="M12850" t="s">
        <v>44813</v>
      </c>
      <c r="N12850" t="s">
        <v>45095</v>
      </c>
      <c r="O12850" t="s">
        <v>45096</v>
      </c>
      <c r="P12850">
        <v>0</v>
      </c>
      <c r="Q12850">
        <v>0</v>
      </c>
      <c r="R12850" t="s">
        <v>45112</v>
      </c>
      <c r="S12850" t="s">
        <v>45755</v>
      </c>
      <c r="T12850" t="s">
        <v>47124</v>
      </c>
      <c r="U12850" t="s">
        <v>57913</v>
      </c>
      <c r="W12850" t="s">
        <v>44813</v>
      </c>
      <c r="X12850" t="s">
        <v>45115</v>
      </c>
    </row>
    <row r="12851" spans="1:24">
      <c r="A12851">
        <f>HYPERLINK("https://www.philgeps.gov.ph/GEPSNONPILOT/Tender/SplashBidNoticeAbstractUI.aspx?menuIndex=3&amp;refID=7017529&amp;Result=3","7017529")</f>
        <v>0</v>
      </c>
      <c r="B12851" t="s">
        <v>87</v>
      </c>
      <c r="C12851" t="s">
        <v>15492</v>
      </c>
      <c r="D12851" t="s">
        <v>18054</v>
      </c>
      <c r="E12851" t="s">
        <v>29210</v>
      </c>
      <c r="F12851" t="s">
        <v>31574</v>
      </c>
      <c r="G12851" t="s">
        <v>31582</v>
      </c>
      <c r="H12851" t="s">
        <v>31590</v>
      </c>
      <c r="I12851" t="s">
        <v>31607</v>
      </c>
      <c r="J12851" t="s">
        <v>32421</v>
      </c>
      <c r="K12851" t="s">
        <v>41192</v>
      </c>
      <c r="M12851" t="s">
        <v>41571</v>
      </c>
      <c r="N12851" t="s">
        <v>45095</v>
      </c>
      <c r="O12851" t="s">
        <v>45096</v>
      </c>
      <c r="Q12851">
        <v>4</v>
      </c>
      <c r="R12851" t="s">
        <v>45112</v>
      </c>
      <c r="S12851" t="s">
        <v>45664</v>
      </c>
      <c r="T12851" t="s">
        <v>46955</v>
      </c>
      <c r="U12851" t="s">
        <v>57914</v>
      </c>
      <c r="V12851" t="s">
        <v>61257</v>
      </c>
      <c r="W12851" t="s">
        <v>41571</v>
      </c>
      <c r="X12851" t="s">
        <v>45115</v>
      </c>
    </row>
    <row r="12852" spans="1:24">
      <c r="A12852">
        <f>HYPERLINK("https://www.philgeps.gov.ph/GEPSNONPILOT/Tender/SplashBidNoticeAbstractUI.aspx?menuIndex=3&amp;refID=7017594&amp;Result=3","7017594")</f>
        <v>0</v>
      </c>
      <c r="B12852" t="s">
        <v>1024</v>
      </c>
      <c r="C12852" t="s">
        <v>15493</v>
      </c>
      <c r="E12852" t="s">
        <v>29211</v>
      </c>
      <c r="F12852" t="s">
        <v>31574</v>
      </c>
      <c r="G12852" t="s">
        <v>31582</v>
      </c>
      <c r="H12852" t="s">
        <v>31591</v>
      </c>
      <c r="I12852" t="s">
        <v>8056</v>
      </c>
      <c r="J12852" t="s">
        <v>39638</v>
      </c>
      <c r="K12852" t="s">
        <v>41184</v>
      </c>
      <c r="M12852" t="s">
        <v>42565</v>
      </c>
      <c r="N12852" t="s">
        <v>45095</v>
      </c>
      <c r="O12852" t="s">
        <v>45096</v>
      </c>
      <c r="P12852">
        <v>0</v>
      </c>
      <c r="Q12852">
        <v>8</v>
      </c>
      <c r="R12852" t="s">
        <v>45112</v>
      </c>
      <c r="S12852" t="s">
        <v>45755</v>
      </c>
      <c r="T12852" t="s">
        <v>47426</v>
      </c>
      <c r="U12852" t="s">
        <v>57915</v>
      </c>
      <c r="W12852" t="s">
        <v>42565</v>
      </c>
      <c r="X12852" t="s">
        <v>45115</v>
      </c>
    </row>
    <row r="12853" spans="1:24">
      <c r="A12853">
        <f>HYPERLINK("https://www.philgeps.gov.ph/GEPSNONPILOT/Tender/SplashBidNoticeAbstractUI.aspx?menuIndex=3&amp;refID=7017939&amp;Result=3","7017939")</f>
        <v>0</v>
      </c>
      <c r="B12853" t="s">
        <v>246</v>
      </c>
      <c r="C12853" t="s">
        <v>15494</v>
      </c>
      <c r="D12853" t="s">
        <v>18126</v>
      </c>
      <c r="E12853" t="s">
        <v>29212</v>
      </c>
      <c r="F12853" t="s">
        <v>31574</v>
      </c>
      <c r="G12853" t="s">
        <v>31582</v>
      </c>
      <c r="H12853" t="s">
        <v>31590</v>
      </c>
      <c r="I12853" t="s">
        <v>31614</v>
      </c>
      <c r="J12853" t="s">
        <v>39639</v>
      </c>
      <c r="K12853" t="s">
        <v>41185</v>
      </c>
      <c r="M12853" t="s">
        <v>42490</v>
      </c>
      <c r="N12853" t="s">
        <v>45095</v>
      </c>
      <c r="O12853" t="s">
        <v>45096</v>
      </c>
      <c r="Q12853">
        <v>5</v>
      </c>
      <c r="R12853" t="s">
        <v>45112</v>
      </c>
      <c r="S12853" t="s">
        <v>45766</v>
      </c>
      <c r="T12853" t="s">
        <v>46989</v>
      </c>
      <c r="U12853" t="s">
        <v>57916</v>
      </c>
      <c r="W12853" t="s">
        <v>42490</v>
      </c>
      <c r="X12853" t="s">
        <v>45115</v>
      </c>
    </row>
    <row r="12854" spans="1:24">
      <c r="A12854">
        <f>HYPERLINK("https://www.philgeps.gov.ph/GEPSNONPILOT/Tender/SplashBidNoticeAbstractUI.aspx?menuIndex=3&amp;refID=7017967&amp;Result=3","7017967")</f>
        <v>0</v>
      </c>
      <c r="B12854" t="s">
        <v>1014</v>
      </c>
      <c r="C12854" t="s">
        <v>15495</v>
      </c>
      <c r="D12854" t="s">
        <v>18059</v>
      </c>
      <c r="E12854" t="s">
        <v>29213</v>
      </c>
      <c r="F12854" t="s">
        <v>31574</v>
      </c>
      <c r="G12854" t="s">
        <v>31585</v>
      </c>
      <c r="H12854" t="s">
        <v>31590</v>
      </c>
      <c r="I12854" t="s">
        <v>31595</v>
      </c>
      <c r="J12854" t="s">
        <v>39640</v>
      </c>
      <c r="K12854" t="s">
        <v>41196</v>
      </c>
      <c r="M12854" t="s">
        <v>43480</v>
      </c>
      <c r="N12854" t="s">
        <v>45095</v>
      </c>
      <c r="O12854" t="s">
        <v>45096</v>
      </c>
      <c r="P12854">
        <v>0</v>
      </c>
      <c r="Q12854">
        <v>6</v>
      </c>
      <c r="R12854" t="s">
        <v>45112</v>
      </c>
      <c r="S12854" t="s">
        <v>45755</v>
      </c>
      <c r="T12854" t="s">
        <v>46905</v>
      </c>
      <c r="U12854" t="s">
        <v>57917</v>
      </c>
      <c r="W12854" t="s">
        <v>43480</v>
      </c>
      <c r="X12854" t="s">
        <v>45115</v>
      </c>
    </row>
    <row r="12855" spans="1:24">
      <c r="A12855">
        <f>HYPERLINK("https://www.philgeps.gov.ph/GEPSNONPILOT/Tender/SplashBidNoticeAbstractUI.aspx?menuIndex=3&amp;refID=7017530&amp;Result=3","7017530")</f>
        <v>0</v>
      </c>
      <c r="B12855" t="s">
        <v>1268</v>
      </c>
      <c r="C12855" t="s">
        <v>15490</v>
      </c>
      <c r="D12855" t="s">
        <v>18082</v>
      </c>
      <c r="E12855" t="s">
        <v>29214</v>
      </c>
      <c r="F12855" t="s">
        <v>31574</v>
      </c>
      <c r="G12855" t="s">
        <v>31582</v>
      </c>
      <c r="H12855" t="s">
        <v>31590</v>
      </c>
      <c r="I12855" t="s">
        <v>31662</v>
      </c>
      <c r="J12855" t="s">
        <v>39641</v>
      </c>
      <c r="K12855" t="s">
        <v>41192</v>
      </c>
      <c r="M12855" t="s">
        <v>42836</v>
      </c>
      <c r="N12855" t="s">
        <v>45095</v>
      </c>
      <c r="O12855" t="s">
        <v>45096</v>
      </c>
      <c r="P12855">
        <v>0</v>
      </c>
      <c r="Q12855">
        <v>7</v>
      </c>
      <c r="R12855" t="s">
        <v>45112</v>
      </c>
      <c r="S12855" t="s">
        <v>45755</v>
      </c>
      <c r="T12855" t="s">
        <v>46989</v>
      </c>
      <c r="U12855" t="s">
        <v>57918</v>
      </c>
      <c r="W12855" t="s">
        <v>42836</v>
      </c>
      <c r="X12855" t="s">
        <v>45115</v>
      </c>
    </row>
    <row r="12856" spans="1:24">
      <c r="A12856">
        <f>HYPERLINK("https://www.philgeps.gov.ph/GEPSNONPILOT/Tender/SplashBidNoticeAbstractUI.aspx?menuIndex=3&amp;refID=7017483&amp;Result=3","7017483")</f>
        <v>0</v>
      </c>
      <c r="B12856" t="s">
        <v>182</v>
      </c>
      <c r="C12856" t="s">
        <v>15496</v>
      </c>
      <c r="D12856" t="s">
        <v>18060</v>
      </c>
      <c r="E12856" t="s">
        <v>29215</v>
      </c>
      <c r="F12856" t="s">
        <v>31574</v>
      </c>
      <c r="G12856" t="s">
        <v>31582</v>
      </c>
      <c r="H12856" t="s">
        <v>31590</v>
      </c>
      <c r="I12856" t="s">
        <v>3651</v>
      </c>
      <c r="J12856" t="s">
        <v>39642</v>
      </c>
      <c r="K12856" t="s">
        <v>41216</v>
      </c>
      <c r="M12856" t="s">
        <v>44709</v>
      </c>
      <c r="N12856" t="s">
        <v>45095</v>
      </c>
      <c r="O12856" t="s">
        <v>45096</v>
      </c>
      <c r="P12856">
        <v>0</v>
      </c>
      <c r="Q12856">
        <v>0</v>
      </c>
      <c r="R12856" t="s">
        <v>45112</v>
      </c>
      <c r="S12856" t="s">
        <v>45755</v>
      </c>
      <c r="T12856" t="s">
        <v>46926</v>
      </c>
      <c r="U12856" t="s">
        <v>57919</v>
      </c>
      <c r="W12856" t="s">
        <v>44709</v>
      </c>
      <c r="X12856" t="s">
        <v>45115</v>
      </c>
    </row>
    <row r="12857" spans="1:24">
      <c r="A12857">
        <f>HYPERLINK("https://www.philgeps.gov.ph/GEPSNONPILOT/Tender/SplashBidNoticeAbstractUI.aspx?menuIndex=3&amp;refID=7017795&amp;Result=3","7017795")</f>
        <v>0</v>
      </c>
      <c r="B12857" t="s">
        <v>2990</v>
      </c>
      <c r="C12857" t="s">
        <v>15497</v>
      </c>
      <c r="D12857" t="s">
        <v>18089</v>
      </c>
      <c r="E12857" t="s">
        <v>29216</v>
      </c>
      <c r="F12857" t="s">
        <v>31574</v>
      </c>
      <c r="G12857" t="s">
        <v>31582</v>
      </c>
      <c r="H12857" t="s">
        <v>31590</v>
      </c>
      <c r="I12857" t="s">
        <v>4046</v>
      </c>
      <c r="J12857" t="s">
        <v>39643</v>
      </c>
      <c r="K12857" t="s">
        <v>41213</v>
      </c>
      <c r="M12857" t="s">
        <v>44814</v>
      </c>
      <c r="N12857" t="s">
        <v>45095</v>
      </c>
      <c r="O12857" t="s">
        <v>45096</v>
      </c>
      <c r="P12857">
        <v>0</v>
      </c>
      <c r="Q12857">
        <v>1</v>
      </c>
      <c r="R12857" t="s">
        <v>45112</v>
      </c>
      <c r="S12857" t="s">
        <v>45755</v>
      </c>
      <c r="T12857" t="s">
        <v>46921</v>
      </c>
      <c r="U12857" t="s">
        <v>57920</v>
      </c>
      <c r="W12857" t="s">
        <v>44814</v>
      </c>
      <c r="X12857" t="s">
        <v>45115</v>
      </c>
    </row>
    <row r="12858" spans="1:24">
      <c r="A12858">
        <f>HYPERLINK("https://www.philgeps.gov.ph/GEPSNONPILOT/Tender/SplashBidNoticeAbstractUI.aspx?menuIndex=3&amp;refID=7017912&amp;Result=3","7017912")</f>
        <v>0</v>
      </c>
      <c r="B12858" t="s">
        <v>2991</v>
      </c>
      <c r="C12858" t="s">
        <v>15498</v>
      </c>
      <c r="D12858" t="s">
        <v>18068</v>
      </c>
      <c r="E12858" t="s">
        <v>29217</v>
      </c>
      <c r="F12858" t="s">
        <v>31576</v>
      </c>
      <c r="G12858" t="s">
        <v>31582</v>
      </c>
      <c r="H12858" t="s">
        <v>31590</v>
      </c>
      <c r="I12858" t="s">
        <v>31608</v>
      </c>
      <c r="J12858" t="s">
        <v>39644</v>
      </c>
      <c r="K12858" t="s">
        <v>41191</v>
      </c>
      <c r="M12858" t="s">
        <v>44815</v>
      </c>
      <c r="N12858" t="s">
        <v>45095</v>
      </c>
      <c r="O12858" t="s">
        <v>45096</v>
      </c>
      <c r="P12858">
        <v>0</v>
      </c>
      <c r="Q12858">
        <v>6</v>
      </c>
      <c r="R12858" t="s">
        <v>45112</v>
      </c>
      <c r="S12858" t="s">
        <v>45755</v>
      </c>
      <c r="T12858" t="s">
        <v>47046</v>
      </c>
      <c r="U12858" t="s">
        <v>57921</v>
      </c>
      <c r="W12858" t="s">
        <v>44815</v>
      </c>
      <c r="X12858" t="s">
        <v>45115</v>
      </c>
    </row>
    <row r="12859" spans="1:24">
      <c r="A12859">
        <f>HYPERLINK("https://www.philgeps.gov.ph/GEPSNONPILOT/Tender/SplashBidNoticeAbstractUI.aspx?menuIndex=3&amp;refID=7017526&amp;Result=3","7017526")</f>
        <v>0</v>
      </c>
      <c r="B12859" t="s">
        <v>182</v>
      </c>
      <c r="C12859" t="s">
        <v>15499</v>
      </c>
      <c r="D12859" t="s">
        <v>18060</v>
      </c>
      <c r="E12859" t="s">
        <v>29218</v>
      </c>
      <c r="F12859" t="s">
        <v>31574</v>
      </c>
      <c r="G12859" t="s">
        <v>31582</v>
      </c>
      <c r="H12859" t="s">
        <v>31590</v>
      </c>
      <c r="I12859" t="s">
        <v>3651</v>
      </c>
      <c r="J12859" t="s">
        <v>39645</v>
      </c>
      <c r="K12859" t="s">
        <v>41216</v>
      </c>
      <c r="M12859" t="s">
        <v>44709</v>
      </c>
      <c r="N12859" t="s">
        <v>45095</v>
      </c>
      <c r="O12859" t="s">
        <v>45096</v>
      </c>
      <c r="P12859">
        <v>0</v>
      </c>
      <c r="Q12859">
        <v>0</v>
      </c>
      <c r="R12859" t="s">
        <v>45112</v>
      </c>
      <c r="S12859" t="s">
        <v>45755</v>
      </c>
      <c r="T12859" t="s">
        <v>46926</v>
      </c>
      <c r="U12859" t="s">
        <v>57922</v>
      </c>
      <c r="W12859" t="s">
        <v>44709</v>
      </c>
      <c r="X12859" t="s">
        <v>45115</v>
      </c>
    </row>
    <row r="12860" spans="1:24">
      <c r="A12860">
        <f>HYPERLINK("https://www.philgeps.gov.ph/GEPSNONPILOT/Tender/SplashBidNoticeAbstractUI.aspx?menuIndex=3&amp;refID=7017808&amp;Result=3","7017808")</f>
        <v>0</v>
      </c>
      <c r="B12860" t="s">
        <v>2992</v>
      </c>
      <c r="C12860" t="s">
        <v>15500</v>
      </c>
      <c r="D12860" t="s">
        <v>18035</v>
      </c>
      <c r="E12860" t="s">
        <v>29219</v>
      </c>
      <c r="F12860" t="s">
        <v>31574</v>
      </c>
      <c r="G12860" t="s">
        <v>31582</v>
      </c>
      <c r="H12860" t="s">
        <v>31590</v>
      </c>
      <c r="I12860" t="s">
        <v>31608</v>
      </c>
      <c r="J12860" t="s">
        <v>32742</v>
      </c>
      <c r="K12860" t="s">
        <v>41196</v>
      </c>
      <c r="M12860" t="s">
        <v>44816</v>
      </c>
      <c r="N12860" t="s">
        <v>45095</v>
      </c>
      <c r="O12860" t="s">
        <v>45096</v>
      </c>
      <c r="P12860">
        <v>0</v>
      </c>
      <c r="Q12860">
        <v>11</v>
      </c>
      <c r="R12860" t="s">
        <v>45112</v>
      </c>
      <c r="S12860" t="s">
        <v>45755</v>
      </c>
      <c r="T12860" t="s">
        <v>46926</v>
      </c>
      <c r="U12860" t="s">
        <v>57923</v>
      </c>
      <c r="V12860" t="s">
        <v>61258</v>
      </c>
      <c r="W12860" t="s">
        <v>44816</v>
      </c>
      <c r="X12860" t="s">
        <v>45115</v>
      </c>
    </row>
    <row r="12861" spans="1:24">
      <c r="A12861">
        <f>HYPERLINK("https://www.philgeps.gov.ph/GEPSNONPILOT/Tender/SplashBidNoticeAbstractUI.aspx?menuIndex=3&amp;refID=7018022&amp;Result=3","7018022")</f>
        <v>0</v>
      </c>
      <c r="B12861" t="s">
        <v>1969</v>
      </c>
      <c r="C12861" t="s">
        <v>15501</v>
      </c>
      <c r="D12861" t="s">
        <v>18071</v>
      </c>
      <c r="E12861" t="s">
        <v>29220</v>
      </c>
      <c r="F12861" t="s">
        <v>31574</v>
      </c>
      <c r="G12861" t="s">
        <v>31582</v>
      </c>
      <c r="H12861" t="s">
        <v>31590</v>
      </c>
      <c r="I12861" t="s">
        <v>31640</v>
      </c>
      <c r="J12861" t="s">
        <v>39646</v>
      </c>
      <c r="K12861" t="s">
        <v>41185</v>
      </c>
      <c r="M12861" t="s">
        <v>43626</v>
      </c>
      <c r="N12861" t="s">
        <v>45095</v>
      </c>
      <c r="O12861" t="s">
        <v>45096</v>
      </c>
      <c r="P12861">
        <v>0</v>
      </c>
      <c r="Q12861">
        <v>5</v>
      </c>
      <c r="R12861" t="s">
        <v>45112</v>
      </c>
      <c r="S12861" t="s">
        <v>45755</v>
      </c>
      <c r="T12861" t="s">
        <v>47003</v>
      </c>
      <c r="U12861" t="s">
        <v>57924</v>
      </c>
      <c r="V12861" t="s">
        <v>60523</v>
      </c>
      <c r="W12861" t="s">
        <v>43626</v>
      </c>
      <c r="X12861" t="s">
        <v>45115</v>
      </c>
    </row>
    <row r="12862" spans="1:24">
      <c r="A12862">
        <f>HYPERLINK("https://www.philgeps.gov.ph/GEPSNONPILOT/Tender/SplashBidNoticeAbstractUI.aspx?menuIndex=3&amp;refID=7018154&amp;Result=3","7018154")</f>
        <v>0</v>
      </c>
      <c r="B12862" t="s">
        <v>2813</v>
      </c>
      <c r="C12862" t="s">
        <v>15502</v>
      </c>
      <c r="D12862" t="s">
        <v>18058</v>
      </c>
      <c r="E12862" t="s">
        <v>29221</v>
      </c>
      <c r="F12862" t="s">
        <v>31574</v>
      </c>
      <c r="G12862" t="s">
        <v>31582</v>
      </c>
      <c r="H12862" t="s">
        <v>31591</v>
      </c>
      <c r="I12862" t="s">
        <v>8822</v>
      </c>
      <c r="J12862" t="s">
        <v>31730</v>
      </c>
      <c r="K12862" t="s">
        <v>41200</v>
      </c>
      <c r="M12862" t="s">
        <v>44589</v>
      </c>
      <c r="N12862" t="s">
        <v>45095</v>
      </c>
      <c r="O12862" t="s">
        <v>45096</v>
      </c>
      <c r="P12862">
        <v>0</v>
      </c>
      <c r="Q12862">
        <v>7</v>
      </c>
      <c r="R12862" t="s">
        <v>45112</v>
      </c>
      <c r="S12862" t="s">
        <v>45755</v>
      </c>
      <c r="T12862" t="s">
        <v>46979</v>
      </c>
      <c r="U12862" t="s">
        <v>57925</v>
      </c>
      <c r="V12862" t="s">
        <v>61022</v>
      </c>
      <c r="W12862" t="s">
        <v>44589</v>
      </c>
      <c r="X12862" t="s">
        <v>45115</v>
      </c>
    </row>
    <row r="12863" spans="1:24">
      <c r="A12863">
        <f>HYPERLINK("https://www.philgeps.gov.ph/GEPSNONPILOT/Tender/SplashBidNoticeAbstractUI.aspx?menuIndex=3&amp;refID=7018067&amp;Result=3","7018067")</f>
        <v>0</v>
      </c>
      <c r="B12863" t="s">
        <v>1969</v>
      </c>
      <c r="C12863" t="s">
        <v>15503</v>
      </c>
      <c r="D12863" t="s">
        <v>18071</v>
      </c>
      <c r="E12863" t="s">
        <v>29222</v>
      </c>
      <c r="F12863" t="s">
        <v>31574</v>
      </c>
      <c r="G12863" t="s">
        <v>31582</v>
      </c>
      <c r="H12863" t="s">
        <v>31590</v>
      </c>
      <c r="I12863" t="s">
        <v>3520</v>
      </c>
      <c r="J12863" t="s">
        <v>39647</v>
      </c>
      <c r="K12863" t="s">
        <v>41196</v>
      </c>
      <c r="M12863" t="s">
        <v>43626</v>
      </c>
      <c r="N12863" t="s">
        <v>45095</v>
      </c>
      <c r="O12863" t="s">
        <v>45096</v>
      </c>
      <c r="P12863">
        <v>0</v>
      </c>
      <c r="Q12863">
        <v>6</v>
      </c>
      <c r="R12863" t="s">
        <v>45112</v>
      </c>
      <c r="S12863" t="s">
        <v>45755</v>
      </c>
      <c r="T12863" t="s">
        <v>47003</v>
      </c>
      <c r="U12863" t="s">
        <v>57926</v>
      </c>
      <c r="V12863" t="s">
        <v>60523</v>
      </c>
      <c r="W12863" t="s">
        <v>43626</v>
      </c>
      <c r="X12863" t="s">
        <v>45115</v>
      </c>
    </row>
    <row r="12864" spans="1:24">
      <c r="A12864">
        <f>HYPERLINK("https://www.philgeps.gov.ph/GEPSNONPILOT/Tender/SplashBidNoticeAbstractUI.aspx?menuIndex=3&amp;refID=7018047&amp;Result=3","7018047")</f>
        <v>0</v>
      </c>
      <c r="B12864" t="s">
        <v>1159</v>
      </c>
      <c r="C12864" t="s">
        <v>15504</v>
      </c>
      <c r="D12864" t="s">
        <v>18081</v>
      </c>
      <c r="E12864" t="s">
        <v>29223</v>
      </c>
      <c r="F12864" t="s">
        <v>31574</v>
      </c>
      <c r="G12864" t="s">
        <v>31582</v>
      </c>
      <c r="H12864" t="s">
        <v>31590</v>
      </c>
      <c r="I12864" t="s">
        <v>4046</v>
      </c>
      <c r="J12864" t="s">
        <v>39648</v>
      </c>
      <c r="K12864" t="s">
        <v>41190</v>
      </c>
      <c r="M12864" t="s">
        <v>42717</v>
      </c>
      <c r="N12864" t="s">
        <v>45095</v>
      </c>
      <c r="O12864" t="s">
        <v>45096</v>
      </c>
      <c r="P12864">
        <v>0</v>
      </c>
      <c r="Q12864">
        <v>1</v>
      </c>
      <c r="R12864" t="s">
        <v>45112</v>
      </c>
      <c r="S12864" t="s">
        <v>45755</v>
      </c>
      <c r="T12864" t="s">
        <v>46980</v>
      </c>
      <c r="U12864" t="s">
        <v>57927</v>
      </c>
      <c r="V12864" t="s">
        <v>60159</v>
      </c>
      <c r="W12864" t="s">
        <v>42717</v>
      </c>
      <c r="X12864" t="s">
        <v>45115</v>
      </c>
    </row>
    <row r="12865" spans="1:24">
      <c r="A12865">
        <f>HYPERLINK("https://www.philgeps.gov.ph/GEPSNONPILOT/Tender/SplashBidNoticeAbstractUI.aspx?menuIndex=3&amp;refID=7018152&amp;Result=3","7018152")</f>
        <v>0</v>
      </c>
      <c r="B12865" t="s">
        <v>353</v>
      </c>
      <c r="C12865" t="s">
        <v>15505</v>
      </c>
      <c r="D12865" t="s">
        <v>18068</v>
      </c>
      <c r="E12865" t="s">
        <v>29224</v>
      </c>
      <c r="F12865" t="s">
        <v>31574</v>
      </c>
      <c r="G12865" t="s">
        <v>31582</v>
      </c>
      <c r="H12865" t="s">
        <v>31591</v>
      </c>
      <c r="I12865" t="s">
        <v>8822</v>
      </c>
      <c r="J12865" t="s">
        <v>32497</v>
      </c>
      <c r="K12865" t="s">
        <v>41200</v>
      </c>
      <c r="M12865" t="s">
        <v>41842</v>
      </c>
      <c r="N12865" t="s">
        <v>45095</v>
      </c>
      <c r="O12865" t="s">
        <v>45096</v>
      </c>
      <c r="P12865">
        <v>0</v>
      </c>
      <c r="Q12865">
        <v>0</v>
      </c>
      <c r="R12865" t="s">
        <v>45112</v>
      </c>
      <c r="S12865" t="s">
        <v>45755</v>
      </c>
      <c r="T12865" t="s">
        <v>46932</v>
      </c>
      <c r="U12865" t="s">
        <v>57928</v>
      </c>
      <c r="V12865" t="s">
        <v>59923</v>
      </c>
      <c r="W12865" t="s">
        <v>41842</v>
      </c>
      <c r="X12865" t="s">
        <v>45115</v>
      </c>
    </row>
    <row r="12866" spans="1:24">
      <c r="A12866">
        <f>HYPERLINK("https://www.philgeps.gov.ph/GEPSNONPILOT/Tender/SplashBidNoticeAbstractUI.aspx?menuIndex=3&amp;refID=7018037&amp;Result=3","7018037")</f>
        <v>0</v>
      </c>
      <c r="B12866" t="s">
        <v>2993</v>
      </c>
      <c r="C12866" t="s">
        <v>15506</v>
      </c>
      <c r="D12866" t="s">
        <v>18041</v>
      </c>
      <c r="E12866" t="s">
        <v>29225</v>
      </c>
      <c r="F12866" t="s">
        <v>31574</v>
      </c>
      <c r="G12866" t="s">
        <v>31582</v>
      </c>
      <c r="H12866" t="s">
        <v>31591</v>
      </c>
      <c r="I12866" t="s">
        <v>8822</v>
      </c>
      <c r="J12866" t="s">
        <v>31730</v>
      </c>
      <c r="K12866" t="s">
        <v>41184</v>
      </c>
      <c r="M12866" t="s">
        <v>44817</v>
      </c>
      <c r="N12866" t="s">
        <v>45095</v>
      </c>
      <c r="O12866" t="s">
        <v>45096</v>
      </c>
      <c r="P12866">
        <v>0</v>
      </c>
      <c r="Q12866">
        <v>8</v>
      </c>
      <c r="R12866" t="s">
        <v>45112</v>
      </c>
      <c r="S12866" t="s">
        <v>45755</v>
      </c>
      <c r="T12866" t="s">
        <v>46914</v>
      </c>
      <c r="U12866" t="s">
        <v>57929</v>
      </c>
      <c r="V12866" t="s">
        <v>61259</v>
      </c>
      <c r="W12866" t="s">
        <v>44817</v>
      </c>
      <c r="X12866" t="s">
        <v>45115</v>
      </c>
    </row>
    <row r="12867" spans="1:24">
      <c r="A12867">
        <f>HYPERLINK("https://www.philgeps.gov.ph/GEPSNONPILOT/Tender/SplashBidNoticeAbstractUI.aspx?menuIndex=3&amp;refID=7018126&amp;Result=3","7018126")</f>
        <v>0</v>
      </c>
      <c r="B12867" t="s">
        <v>2813</v>
      </c>
      <c r="C12867" t="s">
        <v>15507</v>
      </c>
      <c r="D12867" t="s">
        <v>18058</v>
      </c>
      <c r="E12867" t="s">
        <v>29226</v>
      </c>
      <c r="F12867" t="s">
        <v>31574</v>
      </c>
      <c r="G12867" t="s">
        <v>31582</v>
      </c>
      <c r="H12867" t="s">
        <v>31591</v>
      </c>
      <c r="I12867" t="s">
        <v>8822</v>
      </c>
      <c r="J12867" t="s">
        <v>33574</v>
      </c>
      <c r="K12867" t="s">
        <v>41192</v>
      </c>
      <c r="M12867" t="s">
        <v>44589</v>
      </c>
      <c r="N12867" t="s">
        <v>45095</v>
      </c>
      <c r="O12867" t="s">
        <v>45096</v>
      </c>
      <c r="P12867">
        <v>0</v>
      </c>
      <c r="Q12867">
        <v>4</v>
      </c>
      <c r="R12867" t="s">
        <v>45112</v>
      </c>
      <c r="S12867" t="s">
        <v>45755</v>
      </c>
      <c r="T12867" t="s">
        <v>46979</v>
      </c>
      <c r="U12867" t="s">
        <v>57930</v>
      </c>
      <c r="V12867" t="s">
        <v>61022</v>
      </c>
      <c r="W12867" t="s">
        <v>44589</v>
      </c>
      <c r="X12867" t="s">
        <v>45115</v>
      </c>
    </row>
    <row r="12868" spans="1:24">
      <c r="A12868">
        <f>HYPERLINK("https://www.philgeps.gov.ph/GEPSNONPILOT/Tender/SplashBidNoticeAbstractUI.aspx?menuIndex=3&amp;refID=7018071&amp;Result=3","7018071")</f>
        <v>0</v>
      </c>
      <c r="B12868" t="s">
        <v>246</v>
      </c>
      <c r="C12868" t="s">
        <v>15508</v>
      </c>
      <c r="D12868" t="s">
        <v>18127</v>
      </c>
      <c r="E12868" t="s">
        <v>29227</v>
      </c>
      <c r="F12868" t="s">
        <v>31574</v>
      </c>
      <c r="G12868" t="s">
        <v>31582</v>
      </c>
      <c r="H12868" t="s">
        <v>31590</v>
      </c>
      <c r="I12868" t="s">
        <v>31631</v>
      </c>
      <c r="J12868" t="s">
        <v>39649</v>
      </c>
      <c r="K12868" t="s">
        <v>41186</v>
      </c>
      <c r="M12868" t="s">
        <v>42490</v>
      </c>
      <c r="N12868" t="s">
        <v>45095</v>
      </c>
      <c r="O12868" t="s">
        <v>45096</v>
      </c>
      <c r="Q12868">
        <v>1</v>
      </c>
      <c r="R12868" t="s">
        <v>45112</v>
      </c>
      <c r="S12868" t="s">
        <v>45767</v>
      </c>
      <c r="T12868" t="s">
        <v>46989</v>
      </c>
      <c r="U12868" t="s">
        <v>57931</v>
      </c>
      <c r="W12868" t="s">
        <v>42490</v>
      </c>
      <c r="X12868" t="s">
        <v>45115</v>
      </c>
    </row>
    <row r="12869" spans="1:24">
      <c r="A12869">
        <f>HYPERLINK("https://www.philgeps.gov.ph/GEPSNONPILOT/Tender/SplashBidNoticeAbstractUI.aspx?menuIndex=3&amp;refID=7018205&amp;Result=3","7018205")</f>
        <v>0</v>
      </c>
      <c r="B12869" t="s">
        <v>182</v>
      </c>
      <c r="C12869" t="s">
        <v>15509</v>
      </c>
      <c r="D12869" t="s">
        <v>18060</v>
      </c>
      <c r="E12869" t="s">
        <v>29228</v>
      </c>
      <c r="F12869" t="s">
        <v>31574</v>
      </c>
      <c r="G12869" t="s">
        <v>31582</v>
      </c>
      <c r="H12869" t="s">
        <v>31590</v>
      </c>
      <c r="I12869" t="s">
        <v>4354</v>
      </c>
      <c r="J12869" t="s">
        <v>39650</v>
      </c>
      <c r="K12869" t="s">
        <v>41190</v>
      </c>
      <c r="M12869" t="s">
        <v>44709</v>
      </c>
      <c r="N12869" t="s">
        <v>45095</v>
      </c>
      <c r="O12869" t="s">
        <v>45096</v>
      </c>
      <c r="P12869">
        <v>0</v>
      </c>
      <c r="Q12869">
        <v>4</v>
      </c>
      <c r="R12869" t="s">
        <v>45112</v>
      </c>
      <c r="S12869" t="s">
        <v>45755</v>
      </c>
      <c r="T12869" t="s">
        <v>46926</v>
      </c>
      <c r="U12869" t="s">
        <v>57932</v>
      </c>
      <c r="W12869" t="s">
        <v>44709</v>
      </c>
      <c r="X12869" t="s">
        <v>45115</v>
      </c>
    </row>
    <row r="12870" spans="1:24">
      <c r="A12870">
        <f>HYPERLINK("https://www.philgeps.gov.ph/GEPSNONPILOT/Tender/SplashBidNoticeAbstractUI.aspx?menuIndex=3&amp;refID=7018174&amp;Result=3","7018174")</f>
        <v>0</v>
      </c>
      <c r="B12870" t="s">
        <v>1709</v>
      </c>
      <c r="C12870" t="s">
        <v>15510</v>
      </c>
      <c r="D12870" t="s">
        <v>18071</v>
      </c>
      <c r="E12870" t="s">
        <v>29229</v>
      </c>
      <c r="F12870" t="s">
        <v>31574</v>
      </c>
      <c r="G12870" t="s">
        <v>31582</v>
      </c>
      <c r="H12870" t="s">
        <v>31590</v>
      </c>
      <c r="I12870" t="s">
        <v>4046</v>
      </c>
      <c r="J12870" t="s">
        <v>39651</v>
      </c>
      <c r="K12870" t="s">
        <v>41196</v>
      </c>
      <c r="M12870" t="s">
        <v>43325</v>
      </c>
      <c r="N12870" t="s">
        <v>45095</v>
      </c>
      <c r="O12870" t="s">
        <v>45096</v>
      </c>
      <c r="P12870">
        <v>0</v>
      </c>
      <c r="Q12870">
        <v>1</v>
      </c>
      <c r="R12870" t="s">
        <v>45112</v>
      </c>
      <c r="S12870" t="s">
        <v>45755</v>
      </c>
      <c r="T12870" t="s">
        <v>46955</v>
      </c>
      <c r="U12870" t="s">
        <v>57933</v>
      </c>
      <c r="V12870" t="s">
        <v>60399</v>
      </c>
      <c r="W12870" t="s">
        <v>43325</v>
      </c>
      <c r="X12870" t="s">
        <v>45115</v>
      </c>
    </row>
    <row r="12871" spans="1:24">
      <c r="A12871">
        <f>HYPERLINK("https://www.philgeps.gov.ph/GEPSNONPILOT/Tender/SplashBidNoticeAbstractUI.aspx?menuIndex=3&amp;refID=7018075&amp;Result=3","7018075")</f>
        <v>0</v>
      </c>
      <c r="B12871" t="s">
        <v>182</v>
      </c>
      <c r="C12871" t="s">
        <v>15511</v>
      </c>
      <c r="D12871" t="s">
        <v>18060</v>
      </c>
      <c r="E12871" t="s">
        <v>29230</v>
      </c>
      <c r="F12871" t="s">
        <v>31574</v>
      </c>
      <c r="G12871" t="s">
        <v>31582</v>
      </c>
      <c r="H12871" t="s">
        <v>31590</v>
      </c>
      <c r="I12871" t="s">
        <v>7185</v>
      </c>
      <c r="J12871" t="s">
        <v>39652</v>
      </c>
      <c r="K12871" t="s">
        <v>41190</v>
      </c>
      <c r="M12871" t="s">
        <v>44709</v>
      </c>
      <c r="N12871" t="s">
        <v>45095</v>
      </c>
      <c r="O12871" t="s">
        <v>45096</v>
      </c>
      <c r="P12871">
        <v>0</v>
      </c>
      <c r="Q12871">
        <v>6</v>
      </c>
      <c r="R12871" t="s">
        <v>45112</v>
      </c>
      <c r="S12871" t="s">
        <v>45755</v>
      </c>
      <c r="T12871" t="s">
        <v>46926</v>
      </c>
      <c r="U12871" t="s">
        <v>57934</v>
      </c>
      <c r="W12871" t="s">
        <v>44709</v>
      </c>
      <c r="X12871" t="s">
        <v>45115</v>
      </c>
    </row>
    <row r="12872" spans="1:24">
      <c r="A12872">
        <f>HYPERLINK("https://www.philgeps.gov.ph/GEPSNONPILOT/Tender/SplashBidNoticeAbstractUI.aspx?menuIndex=3&amp;refID=7018191&amp;Result=3","7018191")</f>
        <v>0</v>
      </c>
      <c r="B12872" t="s">
        <v>1969</v>
      </c>
      <c r="C12872" t="s">
        <v>15512</v>
      </c>
      <c r="D12872" t="s">
        <v>18071</v>
      </c>
      <c r="E12872" t="s">
        <v>29231</v>
      </c>
      <c r="F12872" t="s">
        <v>31574</v>
      </c>
      <c r="G12872" t="s">
        <v>31582</v>
      </c>
      <c r="H12872" t="s">
        <v>31591</v>
      </c>
      <c r="I12872" t="s">
        <v>8822</v>
      </c>
      <c r="J12872" t="s">
        <v>39653</v>
      </c>
      <c r="K12872" t="s">
        <v>41329</v>
      </c>
      <c r="M12872" t="s">
        <v>43626</v>
      </c>
      <c r="N12872" t="s">
        <v>45095</v>
      </c>
      <c r="O12872" t="s">
        <v>45096</v>
      </c>
      <c r="P12872">
        <v>0</v>
      </c>
      <c r="Q12872">
        <v>0</v>
      </c>
      <c r="R12872" t="s">
        <v>45112</v>
      </c>
      <c r="S12872" t="s">
        <v>45755</v>
      </c>
      <c r="T12872" t="s">
        <v>47003</v>
      </c>
      <c r="U12872" t="s">
        <v>57935</v>
      </c>
      <c r="V12872" t="s">
        <v>60523</v>
      </c>
      <c r="W12872" t="s">
        <v>43626</v>
      </c>
      <c r="X12872" t="s">
        <v>45115</v>
      </c>
    </row>
    <row r="12873" spans="1:24">
      <c r="A12873">
        <f>HYPERLINK("https://www.philgeps.gov.ph/GEPSNONPILOT/Tender/SplashBidNoticeAbstractUI.aspx?menuIndex=3&amp;refID=7018170&amp;Result=3","7018170")</f>
        <v>0</v>
      </c>
      <c r="B12873" t="s">
        <v>2813</v>
      </c>
      <c r="C12873" t="s">
        <v>15513</v>
      </c>
      <c r="D12873" t="s">
        <v>18058</v>
      </c>
      <c r="E12873" t="s">
        <v>29232</v>
      </c>
      <c r="F12873" t="s">
        <v>31574</v>
      </c>
      <c r="G12873" t="s">
        <v>31582</v>
      </c>
      <c r="H12873" t="s">
        <v>31591</v>
      </c>
      <c r="I12873" t="s">
        <v>8822</v>
      </c>
      <c r="J12873" t="s">
        <v>31771</v>
      </c>
      <c r="K12873" t="s">
        <v>41189</v>
      </c>
      <c r="M12873" t="s">
        <v>44589</v>
      </c>
      <c r="N12873" t="s">
        <v>45095</v>
      </c>
      <c r="O12873" t="s">
        <v>45096</v>
      </c>
      <c r="Q12873">
        <v>5</v>
      </c>
      <c r="R12873" t="s">
        <v>45112</v>
      </c>
      <c r="S12873" t="s">
        <v>45768</v>
      </c>
      <c r="T12873" t="s">
        <v>46979</v>
      </c>
      <c r="U12873" t="s">
        <v>57936</v>
      </c>
      <c r="V12873" t="s">
        <v>61022</v>
      </c>
      <c r="W12873" t="s">
        <v>44589</v>
      </c>
      <c r="X12873" t="s">
        <v>45115</v>
      </c>
    </row>
    <row r="12874" spans="1:24">
      <c r="A12874">
        <f>HYPERLINK("https://www.philgeps.gov.ph/GEPSNONPILOT/Tender/SplashBidNoticeAbstractUI.aspx?menuIndex=3&amp;refID=7018214&amp;Result=3","7018214")</f>
        <v>0</v>
      </c>
      <c r="B12874" t="s">
        <v>2813</v>
      </c>
      <c r="C12874" t="s">
        <v>15514</v>
      </c>
      <c r="D12874" t="s">
        <v>18058</v>
      </c>
      <c r="E12874" t="s">
        <v>29233</v>
      </c>
      <c r="F12874" t="s">
        <v>31574</v>
      </c>
      <c r="G12874" t="s">
        <v>31582</v>
      </c>
      <c r="H12874" t="s">
        <v>31591</v>
      </c>
      <c r="I12874" t="s">
        <v>8822</v>
      </c>
      <c r="J12874" t="s">
        <v>39654</v>
      </c>
      <c r="K12874" t="s">
        <v>41192</v>
      </c>
      <c r="M12874" t="s">
        <v>44589</v>
      </c>
      <c r="N12874" t="s">
        <v>45095</v>
      </c>
      <c r="O12874" t="s">
        <v>45096</v>
      </c>
      <c r="Q12874">
        <v>4</v>
      </c>
      <c r="R12874" t="s">
        <v>45112</v>
      </c>
      <c r="S12874" t="s">
        <v>45769</v>
      </c>
      <c r="T12874" t="s">
        <v>46979</v>
      </c>
      <c r="U12874" t="s">
        <v>57937</v>
      </c>
      <c r="V12874" t="s">
        <v>61022</v>
      </c>
      <c r="W12874" t="s">
        <v>44589</v>
      </c>
      <c r="X12874" t="s">
        <v>45115</v>
      </c>
    </row>
    <row r="12875" spans="1:24">
      <c r="A12875">
        <f>HYPERLINK("https://www.philgeps.gov.ph/GEPSNONPILOT/Tender/SplashBidNoticeAbstractUI.aspx?menuIndex=3&amp;refID=7018172&amp;Result=3","7018172")</f>
        <v>0</v>
      </c>
      <c r="B12875" t="s">
        <v>1319</v>
      </c>
      <c r="C12875" t="s">
        <v>15515</v>
      </c>
      <c r="D12875" t="s">
        <v>18075</v>
      </c>
      <c r="E12875" t="s">
        <v>29234</v>
      </c>
      <c r="F12875" t="s">
        <v>31574</v>
      </c>
      <c r="G12875" t="s">
        <v>31582</v>
      </c>
      <c r="H12875" t="s">
        <v>31590</v>
      </c>
      <c r="I12875" t="s">
        <v>31615</v>
      </c>
      <c r="J12875" t="s">
        <v>31771</v>
      </c>
      <c r="K12875" t="s">
        <v>41196</v>
      </c>
      <c r="M12875" t="s">
        <v>42889</v>
      </c>
      <c r="N12875" t="s">
        <v>45095</v>
      </c>
      <c r="O12875" t="s">
        <v>45096</v>
      </c>
      <c r="Q12875">
        <v>4</v>
      </c>
      <c r="R12875" t="s">
        <v>45112</v>
      </c>
      <c r="S12875" t="s">
        <v>45770</v>
      </c>
      <c r="T12875" t="s">
        <v>46955</v>
      </c>
      <c r="U12875" t="s">
        <v>57938</v>
      </c>
      <c r="V12875" t="s">
        <v>61260</v>
      </c>
      <c r="W12875" t="s">
        <v>42889</v>
      </c>
      <c r="X12875" t="s">
        <v>45115</v>
      </c>
    </row>
    <row r="12876" spans="1:24">
      <c r="A12876">
        <f>HYPERLINK("https://www.philgeps.gov.ph/GEPSNONPILOT/Tender/SplashBidNoticeAbstractUI.aspx?menuIndex=3&amp;refID=7018136&amp;Result=3","7018136")</f>
        <v>0</v>
      </c>
      <c r="B12876" t="s">
        <v>1969</v>
      </c>
      <c r="C12876" t="s">
        <v>15516</v>
      </c>
      <c r="D12876" t="s">
        <v>18071</v>
      </c>
      <c r="E12876" t="s">
        <v>29235</v>
      </c>
      <c r="F12876" t="s">
        <v>31574</v>
      </c>
      <c r="G12876" t="s">
        <v>31582</v>
      </c>
      <c r="H12876" t="s">
        <v>31590</v>
      </c>
      <c r="I12876" t="s">
        <v>4046</v>
      </c>
      <c r="J12876" t="s">
        <v>39655</v>
      </c>
      <c r="K12876" t="s">
        <v>41185</v>
      </c>
      <c r="M12876" t="s">
        <v>43626</v>
      </c>
      <c r="N12876" t="s">
        <v>45095</v>
      </c>
      <c r="O12876" t="s">
        <v>45096</v>
      </c>
      <c r="P12876">
        <v>0</v>
      </c>
      <c r="Q12876">
        <v>1</v>
      </c>
      <c r="R12876" t="s">
        <v>45112</v>
      </c>
      <c r="S12876" t="s">
        <v>45755</v>
      </c>
      <c r="T12876" t="s">
        <v>47003</v>
      </c>
      <c r="U12876" t="s">
        <v>57939</v>
      </c>
      <c r="V12876" t="s">
        <v>60523</v>
      </c>
      <c r="W12876" t="s">
        <v>43626</v>
      </c>
      <c r="X12876" t="s">
        <v>45115</v>
      </c>
    </row>
    <row r="12877" spans="1:24">
      <c r="A12877">
        <f>HYPERLINK("https://www.philgeps.gov.ph/GEPSNONPILOT/Tender/SplashBidNoticeAbstractUI.aspx?menuIndex=3&amp;refID=7018224&amp;Result=3","7018224")</f>
        <v>0</v>
      </c>
      <c r="B12877" t="s">
        <v>2813</v>
      </c>
      <c r="C12877" t="s">
        <v>15517</v>
      </c>
      <c r="D12877" t="s">
        <v>18058</v>
      </c>
      <c r="E12877" t="s">
        <v>29236</v>
      </c>
      <c r="F12877" t="s">
        <v>31574</v>
      </c>
      <c r="G12877" t="s">
        <v>31582</v>
      </c>
      <c r="H12877" t="s">
        <v>31591</v>
      </c>
      <c r="I12877" t="s">
        <v>8822</v>
      </c>
      <c r="J12877" t="s">
        <v>32101</v>
      </c>
      <c r="K12877" t="s">
        <v>41192</v>
      </c>
      <c r="M12877" t="s">
        <v>44589</v>
      </c>
      <c r="N12877" t="s">
        <v>45095</v>
      </c>
      <c r="O12877" t="s">
        <v>45096</v>
      </c>
      <c r="P12877">
        <v>0</v>
      </c>
      <c r="Q12877">
        <v>8</v>
      </c>
      <c r="R12877" t="s">
        <v>45112</v>
      </c>
      <c r="S12877" t="s">
        <v>45755</v>
      </c>
      <c r="T12877" t="s">
        <v>46979</v>
      </c>
      <c r="U12877" t="s">
        <v>57940</v>
      </c>
      <c r="V12877" t="s">
        <v>61022</v>
      </c>
      <c r="W12877" t="s">
        <v>44589</v>
      </c>
      <c r="X12877" t="s">
        <v>45115</v>
      </c>
    </row>
    <row r="12878" spans="1:24">
      <c r="A12878">
        <f>HYPERLINK("https://www.philgeps.gov.ph/GEPSNONPILOT/Tender/SplashBidNoticeAbstractUI.aspx?menuIndex=3&amp;refID=7018245&amp;Result=3","7018245")</f>
        <v>0</v>
      </c>
      <c r="B12878" t="s">
        <v>2813</v>
      </c>
      <c r="C12878" t="s">
        <v>15518</v>
      </c>
      <c r="D12878" t="s">
        <v>18058</v>
      </c>
      <c r="E12878" t="s">
        <v>29237</v>
      </c>
      <c r="F12878" t="s">
        <v>31574</v>
      </c>
      <c r="G12878" t="s">
        <v>31582</v>
      </c>
      <c r="H12878" t="s">
        <v>31591</v>
      </c>
      <c r="I12878" t="s">
        <v>8822</v>
      </c>
      <c r="J12878" t="s">
        <v>34689</v>
      </c>
      <c r="K12878" t="s">
        <v>41352</v>
      </c>
      <c r="M12878" t="s">
        <v>44589</v>
      </c>
      <c r="N12878" t="s">
        <v>45095</v>
      </c>
      <c r="O12878" t="s">
        <v>45096</v>
      </c>
      <c r="P12878">
        <v>0</v>
      </c>
      <c r="Q12878">
        <v>9</v>
      </c>
      <c r="R12878" t="s">
        <v>45112</v>
      </c>
      <c r="S12878" t="s">
        <v>45755</v>
      </c>
      <c r="T12878" t="s">
        <v>46979</v>
      </c>
      <c r="U12878" t="s">
        <v>57941</v>
      </c>
      <c r="V12878" t="s">
        <v>61022</v>
      </c>
      <c r="W12878" t="s">
        <v>44589</v>
      </c>
      <c r="X12878" t="s">
        <v>45115</v>
      </c>
    </row>
    <row r="12879" spans="1:24">
      <c r="A12879">
        <f>HYPERLINK("https://www.philgeps.gov.ph/GEPSNONPILOT/Tender/SplashBidNoticeAbstractUI.aspx?menuIndex=3&amp;refID=7018239&amp;Result=3","7018239")</f>
        <v>0</v>
      </c>
      <c r="B12879" t="s">
        <v>182</v>
      </c>
      <c r="C12879" t="s">
        <v>15519</v>
      </c>
      <c r="D12879" t="s">
        <v>18060</v>
      </c>
      <c r="E12879" t="s">
        <v>29238</v>
      </c>
      <c r="F12879" t="s">
        <v>31574</v>
      </c>
      <c r="G12879" t="s">
        <v>31582</v>
      </c>
      <c r="H12879" t="s">
        <v>31590</v>
      </c>
      <c r="I12879" t="s">
        <v>7185</v>
      </c>
      <c r="J12879" t="s">
        <v>39656</v>
      </c>
      <c r="K12879" t="s">
        <v>41190</v>
      </c>
      <c r="M12879" t="s">
        <v>44709</v>
      </c>
      <c r="N12879" t="s">
        <v>45095</v>
      </c>
      <c r="O12879" t="s">
        <v>45096</v>
      </c>
      <c r="P12879">
        <v>0</v>
      </c>
      <c r="Q12879">
        <v>5</v>
      </c>
      <c r="R12879" t="s">
        <v>45112</v>
      </c>
      <c r="S12879" t="s">
        <v>45755</v>
      </c>
      <c r="T12879" t="s">
        <v>46926</v>
      </c>
      <c r="U12879" t="s">
        <v>57942</v>
      </c>
      <c r="W12879" t="s">
        <v>44709</v>
      </c>
      <c r="X12879" t="s">
        <v>45115</v>
      </c>
    </row>
    <row r="12880" spans="1:24">
      <c r="A12880">
        <f>HYPERLINK("https://www.philgeps.gov.ph/GEPSNONPILOT/Tender/SplashBidNoticeAbstractUI.aspx?menuIndex=3&amp;refID=7018160&amp;Result=3","7018160")</f>
        <v>0</v>
      </c>
      <c r="B12880" t="s">
        <v>2813</v>
      </c>
      <c r="C12880" t="s">
        <v>15520</v>
      </c>
      <c r="D12880" t="s">
        <v>18058</v>
      </c>
      <c r="E12880" t="s">
        <v>29239</v>
      </c>
      <c r="F12880" t="s">
        <v>31574</v>
      </c>
      <c r="G12880" t="s">
        <v>31582</v>
      </c>
      <c r="H12880" t="s">
        <v>31591</v>
      </c>
      <c r="I12880" t="s">
        <v>8822</v>
      </c>
      <c r="J12880" t="s">
        <v>32026</v>
      </c>
      <c r="K12880" t="s">
        <v>41209</v>
      </c>
      <c r="M12880" t="s">
        <v>44589</v>
      </c>
      <c r="N12880" t="s">
        <v>45095</v>
      </c>
      <c r="O12880" t="s">
        <v>45096</v>
      </c>
      <c r="P12880">
        <v>0</v>
      </c>
      <c r="Q12880">
        <v>5</v>
      </c>
      <c r="R12880" t="s">
        <v>45112</v>
      </c>
      <c r="S12880" t="s">
        <v>45755</v>
      </c>
      <c r="T12880" t="s">
        <v>46979</v>
      </c>
      <c r="U12880" t="s">
        <v>57943</v>
      </c>
      <c r="V12880" t="s">
        <v>61022</v>
      </c>
      <c r="W12880" t="s">
        <v>44589</v>
      </c>
      <c r="X12880" t="s">
        <v>45115</v>
      </c>
    </row>
    <row r="12881" spans="1:24">
      <c r="A12881">
        <f>HYPERLINK("https://www.philgeps.gov.ph/GEPSNONPILOT/Tender/SplashBidNoticeAbstractUI.aspx?menuIndex=3&amp;refID=7018253&amp;Result=3","7018253")</f>
        <v>0</v>
      </c>
      <c r="B12881" t="s">
        <v>1709</v>
      </c>
      <c r="C12881" t="s">
        <v>15521</v>
      </c>
      <c r="D12881" t="s">
        <v>18071</v>
      </c>
      <c r="E12881" t="s">
        <v>29240</v>
      </c>
      <c r="F12881" t="s">
        <v>31574</v>
      </c>
      <c r="G12881" t="s">
        <v>31582</v>
      </c>
      <c r="H12881" t="s">
        <v>31590</v>
      </c>
      <c r="I12881" t="s">
        <v>4046</v>
      </c>
      <c r="J12881" t="s">
        <v>39657</v>
      </c>
      <c r="K12881" t="s">
        <v>41196</v>
      </c>
      <c r="M12881" t="s">
        <v>43325</v>
      </c>
      <c r="N12881" t="s">
        <v>45095</v>
      </c>
      <c r="O12881" t="s">
        <v>45096</v>
      </c>
      <c r="P12881">
        <v>0</v>
      </c>
      <c r="Q12881">
        <v>0</v>
      </c>
      <c r="R12881" t="s">
        <v>45112</v>
      </c>
      <c r="S12881" t="s">
        <v>45755</v>
      </c>
      <c r="T12881" t="s">
        <v>46955</v>
      </c>
      <c r="U12881" t="s">
        <v>57944</v>
      </c>
      <c r="V12881" t="s">
        <v>60399</v>
      </c>
      <c r="W12881" t="s">
        <v>43325</v>
      </c>
      <c r="X12881" t="s">
        <v>45115</v>
      </c>
    </row>
    <row r="12882" spans="1:24">
      <c r="A12882">
        <f>HYPERLINK("https://www.philgeps.gov.ph/GEPSNONPILOT/Tender/SplashBidNoticeAbstractUI.aspx?menuIndex=3&amp;refID=7018265&amp;Result=3","7018265")</f>
        <v>0</v>
      </c>
      <c r="B12882" t="s">
        <v>182</v>
      </c>
      <c r="C12882" t="s">
        <v>15522</v>
      </c>
      <c r="D12882" t="s">
        <v>18060</v>
      </c>
      <c r="E12882" t="s">
        <v>29241</v>
      </c>
      <c r="F12882" t="s">
        <v>31574</v>
      </c>
      <c r="G12882" t="s">
        <v>31582</v>
      </c>
      <c r="H12882" t="s">
        <v>31590</v>
      </c>
      <c r="I12882" t="s">
        <v>31602</v>
      </c>
      <c r="J12882" t="s">
        <v>39658</v>
      </c>
      <c r="K12882" t="s">
        <v>41190</v>
      </c>
      <c r="M12882" t="s">
        <v>44709</v>
      </c>
      <c r="N12882" t="s">
        <v>45095</v>
      </c>
      <c r="O12882" t="s">
        <v>45096</v>
      </c>
      <c r="P12882">
        <v>0</v>
      </c>
      <c r="Q12882">
        <v>1</v>
      </c>
      <c r="R12882" t="s">
        <v>45112</v>
      </c>
      <c r="S12882" t="s">
        <v>45755</v>
      </c>
      <c r="T12882" t="s">
        <v>46926</v>
      </c>
      <c r="U12882" t="s">
        <v>57945</v>
      </c>
      <c r="W12882" t="s">
        <v>44709</v>
      </c>
      <c r="X12882" t="s">
        <v>45115</v>
      </c>
    </row>
    <row r="12883" spans="1:24">
      <c r="A12883">
        <f>HYPERLINK("https://www.philgeps.gov.ph/GEPSNONPILOT/Tender/SplashBidNoticeAbstractUI.aspx?menuIndex=3&amp;refID=7018318&amp;Result=3","7018318")</f>
        <v>0</v>
      </c>
      <c r="B12883" t="s">
        <v>182</v>
      </c>
      <c r="C12883" t="s">
        <v>15523</v>
      </c>
      <c r="D12883" t="s">
        <v>18060</v>
      </c>
      <c r="E12883" t="s">
        <v>29242</v>
      </c>
      <c r="F12883" t="s">
        <v>31574</v>
      </c>
      <c r="G12883" t="s">
        <v>31582</v>
      </c>
      <c r="H12883" t="s">
        <v>31590</v>
      </c>
      <c r="I12883" t="s">
        <v>7185</v>
      </c>
      <c r="J12883" t="s">
        <v>39659</v>
      </c>
      <c r="K12883" t="s">
        <v>41190</v>
      </c>
      <c r="M12883" t="s">
        <v>44709</v>
      </c>
      <c r="N12883" t="s">
        <v>45095</v>
      </c>
      <c r="O12883" t="s">
        <v>45096</v>
      </c>
      <c r="P12883">
        <v>0</v>
      </c>
      <c r="Q12883">
        <v>6</v>
      </c>
      <c r="R12883" t="s">
        <v>45112</v>
      </c>
      <c r="S12883" t="s">
        <v>45755</v>
      </c>
      <c r="T12883" t="s">
        <v>46926</v>
      </c>
      <c r="U12883" t="s">
        <v>57946</v>
      </c>
      <c r="W12883" t="s">
        <v>44709</v>
      </c>
      <c r="X12883" t="s">
        <v>45115</v>
      </c>
    </row>
    <row r="12884" spans="1:24">
      <c r="A12884">
        <f>HYPERLINK("https://www.philgeps.gov.ph/GEPSNONPILOT/Tender/SplashBidNoticeAbstractUI.aspx?menuIndex=3&amp;refID=7018299&amp;Result=3","7018299")</f>
        <v>0</v>
      </c>
      <c r="B12884" t="s">
        <v>182</v>
      </c>
      <c r="C12884" t="s">
        <v>15524</v>
      </c>
      <c r="D12884" t="s">
        <v>18060</v>
      </c>
      <c r="E12884" t="s">
        <v>29243</v>
      </c>
      <c r="F12884" t="s">
        <v>31574</v>
      </c>
      <c r="G12884" t="s">
        <v>31582</v>
      </c>
      <c r="H12884" t="s">
        <v>31590</v>
      </c>
      <c r="I12884" t="s">
        <v>31638</v>
      </c>
      <c r="J12884" t="s">
        <v>39660</v>
      </c>
      <c r="K12884" t="s">
        <v>41186</v>
      </c>
      <c r="M12884" t="s">
        <v>44709</v>
      </c>
      <c r="N12884" t="s">
        <v>45095</v>
      </c>
      <c r="O12884" t="s">
        <v>45096</v>
      </c>
      <c r="P12884">
        <v>0</v>
      </c>
      <c r="Q12884">
        <v>2</v>
      </c>
      <c r="R12884" t="s">
        <v>45112</v>
      </c>
      <c r="S12884" t="s">
        <v>45755</v>
      </c>
      <c r="T12884" t="s">
        <v>46926</v>
      </c>
      <c r="U12884" t="s">
        <v>57947</v>
      </c>
      <c r="W12884" t="s">
        <v>44709</v>
      </c>
      <c r="X12884" t="s">
        <v>45115</v>
      </c>
    </row>
    <row r="12885" spans="1:24">
      <c r="A12885">
        <f>HYPERLINK("https://www.philgeps.gov.ph/GEPSNONPILOT/Tender/SplashBidNoticeAbstractUI.aspx?menuIndex=3&amp;refID=7018379&amp;Result=3","7018379")</f>
        <v>0</v>
      </c>
      <c r="B12885" t="s">
        <v>251</v>
      </c>
      <c r="C12885" t="s">
        <v>15525</v>
      </c>
      <c r="D12885" t="s">
        <v>18057</v>
      </c>
      <c r="E12885" t="s">
        <v>29244</v>
      </c>
      <c r="F12885" t="s">
        <v>31574</v>
      </c>
      <c r="G12885" t="s">
        <v>31582</v>
      </c>
      <c r="H12885" t="s">
        <v>31590</v>
      </c>
      <c r="I12885" t="s">
        <v>31615</v>
      </c>
      <c r="J12885" t="s">
        <v>39661</v>
      </c>
      <c r="K12885" t="s">
        <v>41196</v>
      </c>
      <c r="M12885" t="s">
        <v>44818</v>
      </c>
      <c r="N12885" t="s">
        <v>45095</v>
      </c>
      <c r="O12885" t="s">
        <v>45096</v>
      </c>
      <c r="P12885">
        <v>0</v>
      </c>
      <c r="Q12885">
        <v>5</v>
      </c>
      <c r="R12885" t="s">
        <v>45112</v>
      </c>
      <c r="S12885" t="s">
        <v>45755</v>
      </c>
      <c r="T12885" t="s">
        <v>46910</v>
      </c>
      <c r="U12885" t="s">
        <v>57948</v>
      </c>
      <c r="W12885" t="s">
        <v>44818</v>
      </c>
      <c r="X12885" t="s">
        <v>45115</v>
      </c>
    </row>
    <row r="12886" spans="1:24">
      <c r="A12886">
        <f>HYPERLINK("https://www.philgeps.gov.ph/GEPSNONPILOT/Tender/SplashBidNoticeAbstractUI.aspx?menuIndex=3&amp;refID=7018627&amp;Result=3","7018627")</f>
        <v>0</v>
      </c>
      <c r="B12886" t="s">
        <v>574</v>
      </c>
      <c r="C12886" t="s">
        <v>15526</v>
      </c>
      <c r="D12886" t="s">
        <v>18040</v>
      </c>
      <c r="E12886" t="s">
        <v>29245</v>
      </c>
      <c r="F12886" t="s">
        <v>31574</v>
      </c>
      <c r="G12886" t="s">
        <v>31582</v>
      </c>
      <c r="H12886" t="s">
        <v>31591</v>
      </c>
      <c r="I12886" t="s">
        <v>8822</v>
      </c>
      <c r="J12886" t="s">
        <v>31771</v>
      </c>
      <c r="K12886" t="s">
        <v>41192</v>
      </c>
      <c r="M12886" t="s">
        <v>42075</v>
      </c>
      <c r="N12886" t="s">
        <v>45095</v>
      </c>
      <c r="O12886" t="s">
        <v>45096</v>
      </c>
      <c r="P12886">
        <v>0</v>
      </c>
      <c r="Q12886">
        <v>3</v>
      </c>
      <c r="R12886" t="s">
        <v>45112</v>
      </c>
      <c r="S12886" t="s">
        <v>45755</v>
      </c>
      <c r="T12886" t="s">
        <v>47424</v>
      </c>
      <c r="U12886" t="s">
        <v>57949</v>
      </c>
      <c r="W12886" t="s">
        <v>42075</v>
      </c>
      <c r="X12886" t="s">
        <v>45114</v>
      </c>
    </row>
    <row r="12887" spans="1:24">
      <c r="A12887">
        <f>HYPERLINK("https://www.philgeps.gov.ph/GEPSNONPILOT/Tender/SplashBidNoticeAbstractUI.aspx?menuIndex=3&amp;refID=7018364&amp;Result=3","7018364")</f>
        <v>0</v>
      </c>
      <c r="B12887" t="s">
        <v>251</v>
      </c>
      <c r="C12887" t="s">
        <v>15527</v>
      </c>
      <c r="D12887" t="s">
        <v>18057</v>
      </c>
      <c r="E12887" t="s">
        <v>29246</v>
      </c>
      <c r="F12887" t="s">
        <v>31574</v>
      </c>
      <c r="G12887" t="s">
        <v>31582</v>
      </c>
      <c r="H12887" t="s">
        <v>31590</v>
      </c>
      <c r="I12887" t="s">
        <v>31615</v>
      </c>
      <c r="J12887" t="s">
        <v>32537</v>
      </c>
      <c r="K12887" t="s">
        <v>41196</v>
      </c>
      <c r="M12887" t="s">
        <v>44818</v>
      </c>
      <c r="N12887" t="s">
        <v>45095</v>
      </c>
      <c r="O12887" t="s">
        <v>45096</v>
      </c>
      <c r="P12887">
        <v>0</v>
      </c>
      <c r="Q12887">
        <v>5</v>
      </c>
      <c r="R12887" t="s">
        <v>45112</v>
      </c>
      <c r="S12887" t="s">
        <v>45755</v>
      </c>
      <c r="T12887" t="s">
        <v>46910</v>
      </c>
      <c r="U12887" t="s">
        <v>57950</v>
      </c>
      <c r="W12887" t="s">
        <v>44818</v>
      </c>
      <c r="X12887" t="s">
        <v>45115</v>
      </c>
    </row>
    <row r="12888" spans="1:24">
      <c r="A12888">
        <f>HYPERLINK("https://www.philgeps.gov.ph/GEPSNONPILOT/Tender/SplashBidNoticeAbstractUI.aspx?menuIndex=3&amp;refID=7018390&amp;Result=3","7018390")</f>
        <v>0</v>
      </c>
      <c r="B12888" t="s">
        <v>2785</v>
      </c>
      <c r="C12888" t="s">
        <v>15528</v>
      </c>
      <c r="D12888" t="s">
        <v>18037</v>
      </c>
      <c r="E12888" t="s">
        <v>29247</v>
      </c>
      <c r="F12888" t="s">
        <v>31574</v>
      </c>
      <c r="G12888" t="s">
        <v>31588</v>
      </c>
      <c r="H12888" t="s">
        <v>31590</v>
      </c>
      <c r="I12888" t="s">
        <v>6800</v>
      </c>
      <c r="J12888" t="s">
        <v>39662</v>
      </c>
      <c r="K12888" t="s">
        <v>41192</v>
      </c>
      <c r="M12888" t="s">
        <v>44819</v>
      </c>
      <c r="N12888" t="s">
        <v>45095</v>
      </c>
      <c r="O12888" t="s">
        <v>45096</v>
      </c>
      <c r="P12888">
        <v>0</v>
      </c>
      <c r="Q12888">
        <v>10</v>
      </c>
      <c r="R12888" t="s">
        <v>45112</v>
      </c>
      <c r="S12888" t="s">
        <v>45755</v>
      </c>
      <c r="T12888" t="s">
        <v>47045</v>
      </c>
      <c r="U12888" t="s">
        <v>57951</v>
      </c>
      <c r="V12888" t="s">
        <v>60990</v>
      </c>
      <c r="W12888" t="s">
        <v>44560</v>
      </c>
      <c r="X12888" t="s">
        <v>45115</v>
      </c>
    </row>
    <row r="12889" spans="1:24">
      <c r="A12889">
        <f>HYPERLINK("https://www.philgeps.gov.ph/GEPSNONPILOT/Tender/SplashBidNoticeAbstractUI.aspx?menuIndex=3&amp;refID=7018607&amp;Result=3","7018607")</f>
        <v>0</v>
      </c>
      <c r="B12889" t="s">
        <v>971</v>
      </c>
      <c r="C12889" t="s">
        <v>14464</v>
      </c>
      <c r="D12889" t="s">
        <v>18042</v>
      </c>
      <c r="E12889" t="s">
        <v>29248</v>
      </c>
      <c r="F12889" t="s">
        <v>31574</v>
      </c>
      <c r="G12889" t="s">
        <v>31582</v>
      </c>
      <c r="H12889" t="s">
        <v>31591</v>
      </c>
      <c r="I12889" t="s">
        <v>8822</v>
      </c>
      <c r="J12889" t="s">
        <v>31771</v>
      </c>
      <c r="K12889" t="s">
        <v>41240</v>
      </c>
      <c r="M12889" t="s">
        <v>42501</v>
      </c>
      <c r="N12889" t="s">
        <v>45095</v>
      </c>
      <c r="O12889" t="s">
        <v>45096</v>
      </c>
      <c r="P12889">
        <v>0</v>
      </c>
      <c r="Q12889">
        <v>0</v>
      </c>
      <c r="R12889" t="s">
        <v>45112</v>
      </c>
      <c r="S12889" t="s">
        <v>45755</v>
      </c>
      <c r="T12889" t="s">
        <v>46979</v>
      </c>
      <c r="U12889" t="s">
        <v>57952</v>
      </c>
      <c r="W12889" t="s">
        <v>42501</v>
      </c>
      <c r="X12889" t="s">
        <v>45114</v>
      </c>
    </row>
    <row r="12890" spans="1:24">
      <c r="A12890">
        <f>HYPERLINK("https://www.philgeps.gov.ph/GEPSNONPILOT/Tender/SplashBidNoticeAbstractUI.aspx?menuIndex=3&amp;refID=7018332&amp;Result=3","7018332")</f>
        <v>0</v>
      </c>
      <c r="B12890" t="s">
        <v>251</v>
      </c>
      <c r="C12890" t="s">
        <v>15529</v>
      </c>
      <c r="D12890" t="s">
        <v>18057</v>
      </c>
      <c r="E12890" t="s">
        <v>29249</v>
      </c>
      <c r="F12890" t="s">
        <v>31574</v>
      </c>
      <c r="G12890" t="s">
        <v>31582</v>
      </c>
      <c r="H12890" t="s">
        <v>31591</v>
      </c>
      <c r="I12890" t="s">
        <v>8822</v>
      </c>
      <c r="J12890" t="s">
        <v>32277</v>
      </c>
      <c r="K12890" t="s">
        <v>41200</v>
      </c>
      <c r="M12890" t="s">
        <v>44818</v>
      </c>
      <c r="N12890" t="s">
        <v>45095</v>
      </c>
      <c r="O12890" t="s">
        <v>45096</v>
      </c>
      <c r="P12890">
        <v>0</v>
      </c>
      <c r="Q12890">
        <v>0</v>
      </c>
      <c r="R12890" t="s">
        <v>45112</v>
      </c>
      <c r="S12890" t="s">
        <v>45755</v>
      </c>
      <c r="T12890" t="s">
        <v>46910</v>
      </c>
      <c r="U12890" t="s">
        <v>57953</v>
      </c>
      <c r="W12890" t="s">
        <v>44818</v>
      </c>
      <c r="X12890" t="s">
        <v>45115</v>
      </c>
    </row>
    <row r="12891" spans="1:24">
      <c r="A12891">
        <f>HYPERLINK("https://www.philgeps.gov.ph/GEPSNONPILOT/Tender/SplashBidNoticeAbstractUI.aspx?menuIndex=3&amp;refID=7018378&amp;Result=3","7018378")</f>
        <v>0</v>
      </c>
      <c r="B12891" t="s">
        <v>182</v>
      </c>
      <c r="C12891" t="s">
        <v>15530</v>
      </c>
      <c r="D12891" t="s">
        <v>18060</v>
      </c>
      <c r="E12891" t="s">
        <v>29250</v>
      </c>
      <c r="F12891" t="s">
        <v>31574</v>
      </c>
      <c r="G12891" t="s">
        <v>31582</v>
      </c>
      <c r="H12891" t="s">
        <v>31590</v>
      </c>
      <c r="I12891" t="s">
        <v>4327</v>
      </c>
      <c r="J12891" t="s">
        <v>39663</v>
      </c>
      <c r="K12891" t="s">
        <v>41186</v>
      </c>
      <c r="M12891" t="s">
        <v>44709</v>
      </c>
      <c r="N12891" t="s">
        <v>45095</v>
      </c>
      <c r="O12891" t="s">
        <v>45096</v>
      </c>
      <c r="P12891">
        <v>0</v>
      </c>
      <c r="Q12891">
        <v>1</v>
      </c>
      <c r="R12891" t="s">
        <v>45112</v>
      </c>
      <c r="S12891" t="s">
        <v>45755</v>
      </c>
      <c r="T12891" t="s">
        <v>46926</v>
      </c>
      <c r="U12891" t="s">
        <v>57954</v>
      </c>
      <c r="W12891" t="s">
        <v>44709</v>
      </c>
      <c r="X12891" t="s">
        <v>45115</v>
      </c>
    </row>
    <row r="12892" spans="1:24">
      <c r="A12892">
        <f>HYPERLINK("https://www.philgeps.gov.ph/GEPSNONPILOT/Tender/SplashBidNoticeAbstractUI.aspx?menuIndex=3&amp;refID=7018554&amp;Result=3","7018554")</f>
        <v>0</v>
      </c>
      <c r="B12892" t="s">
        <v>251</v>
      </c>
      <c r="C12892" t="s">
        <v>15531</v>
      </c>
      <c r="D12892" t="s">
        <v>18057</v>
      </c>
      <c r="E12892" t="s">
        <v>29251</v>
      </c>
      <c r="F12892" t="s">
        <v>31574</v>
      </c>
      <c r="G12892" t="s">
        <v>31582</v>
      </c>
      <c r="H12892" t="s">
        <v>31591</v>
      </c>
      <c r="I12892" t="s">
        <v>8822</v>
      </c>
      <c r="J12892" t="s">
        <v>31781</v>
      </c>
      <c r="K12892" t="s">
        <v>41192</v>
      </c>
      <c r="M12892" t="s">
        <v>44818</v>
      </c>
      <c r="N12892" t="s">
        <v>45095</v>
      </c>
      <c r="O12892" t="s">
        <v>45096</v>
      </c>
      <c r="P12892">
        <v>0</v>
      </c>
      <c r="Q12892">
        <v>0</v>
      </c>
      <c r="R12892" t="s">
        <v>45112</v>
      </c>
      <c r="S12892" t="s">
        <v>45755</v>
      </c>
      <c r="T12892" t="s">
        <v>46910</v>
      </c>
      <c r="U12892" t="s">
        <v>57955</v>
      </c>
      <c r="W12892" t="s">
        <v>44818</v>
      </c>
      <c r="X12892" t="s">
        <v>45115</v>
      </c>
    </row>
    <row r="12893" spans="1:24">
      <c r="A12893">
        <f>HYPERLINK("https://www.philgeps.gov.ph/GEPSNONPILOT/Tender/SplashBidNoticeAbstractUI.aspx?menuIndex=3&amp;refID=7018547&amp;Result=3","7018547")</f>
        <v>0</v>
      </c>
      <c r="B12893" t="s">
        <v>251</v>
      </c>
      <c r="C12893" t="s">
        <v>15532</v>
      </c>
      <c r="D12893" t="s">
        <v>18057</v>
      </c>
      <c r="E12893" t="s">
        <v>29252</v>
      </c>
      <c r="F12893" t="s">
        <v>31574</v>
      </c>
      <c r="G12893" t="s">
        <v>31582</v>
      </c>
      <c r="H12893" t="s">
        <v>31590</v>
      </c>
      <c r="I12893" t="s">
        <v>31615</v>
      </c>
      <c r="J12893" t="s">
        <v>39664</v>
      </c>
      <c r="K12893" t="s">
        <v>41196</v>
      </c>
      <c r="M12893" t="s">
        <v>44818</v>
      </c>
      <c r="N12893" t="s">
        <v>45095</v>
      </c>
      <c r="O12893" t="s">
        <v>45096</v>
      </c>
      <c r="P12893">
        <v>0</v>
      </c>
      <c r="Q12893">
        <v>7</v>
      </c>
      <c r="R12893" t="s">
        <v>45112</v>
      </c>
      <c r="S12893" t="s">
        <v>45755</v>
      </c>
      <c r="T12893" t="s">
        <v>46910</v>
      </c>
      <c r="U12893" t="s">
        <v>57956</v>
      </c>
      <c r="W12893" t="s">
        <v>44818</v>
      </c>
      <c r="X12893" t="s">
        <v>45115</v>
      </c>
    </row>
    <row r="12894" spans="1:24">
      <c r="A12894">
        <f>HYPERLINK("https://www.philgeps.gov.ph/GEPSNONPILOT/Tender/SplashBidNoticeAbstractUI.aspx?menuIndex=3&amp;refID=7018532&amp;Result=3","7018532")</f>
        <v>0</v>
      </c>
      <c r="B12894" t="s">
        <v>2994</v>
      </c>
      <c r="C12894" t="s">
        <v>15533</v>
      </c>
      <c r="D12894" t="s">
        <v>18087</v>
      </c>
      <c r="E12894" t="s">
        <v>29253</v>
      </c>
      <c r="F12894" t="s">
        <v>31574</v>
      </c>
      <c r="G12894" t="s">
        <v>31582</v>
      </c>
      <c r="H12894" t="s">
        <v>31590</v>
      </c>
      <c r="I12894" t="s">
        <v>14544</v>
      </c>
      <c r="J12894" t="s">
        <v>39665</v>
      </c>
      <c r="K12894" t="s">
        <v>41196</v>
      </c>
      <c r="M12894" t="s">
        <v>44820</v>
      </c>
      <c r="N12894" t="s">
        <v>45095</v>
      </c>
      <c r="O12894" t="s">
        <v>45096</v>
      </c>
      <c r="P12894">
        <v>0</v>
      </c>
      <c r="Q12894">
        <v>1</v>
      </c>
      <c r="R12894" t="s">
        <v>45112</v>
      </c>
      <c r="S12894" t="s">
        <v>45755</v>
      </c>
      <c r="T12894" t="s">
        <v>46979</v>
      </c>
      <c r="U12894" t="s">
        <v>57957</v>
      </c>
      <c r="V12894" t="s">
        <v>61261</v>
      </c>
      <c r="W12894" t="s">
        <v>44820</v>
      </c>
      <c r="X12894" t="s">
        <v>45115</v>
      </c>
    </row>
    <row r="12895" spans="1:24">
      <c r="A12895">
        <f>HYPERLINK("https://www.philgeps.gov.ph/GEPSNONPILOT/Tender/SplashBidNoticeAbstractUI.aspx?menuIndex=3&amp;refID=7018361&amp;Result=3","7018361")</f>
        <v>0</v>
      </c>
      <c r="B12895" t="s">
        <v>182</v>
      </c>
      <c r="C12895" t="s">
        <v>15534</v>
      </c>
      <c r="D12895" t="s">
        <v>18060</v>
      </c>
      <c r="E12895" t="s">
        <v>29254</v>
      </c>
      <c r="F12895" t="s">
        <v>31574</v>
      </c>
      <c r="G12895" t="s">
        <v>31582</v>
      </c>
      <c r="H12895" t="s">
        <v>31590</v>
      </c>
      <c r="I12895" t="s">
        <v>31594</v>
      </c>
      <c r="J12895" t="s">
        <v>39666</v>
      </c>
      <c r="K12895" t="s">
        <v>41190</v>
      </c>
      <c r="M12895" t="s">
        <v>44709</v>
      </c>
      <c r="N12895" t="s">
        <v>45095</v>
      </c>
      <c r="O12895" t="s">
        <v>45096</v>
      </c>
      <c r="P12895">
        <v>0</v>
      </c>
      <c r="Q12895">
        <v>14</v>
      </c>
      <c r="R12895" t="s">
        <v>45112</v>
      </c>
      <c r="S12895" t="s">
        <v>45755</v>
      </c>
      <c r="T12895" t="s">
        <v>46926</v>
      </c>
      <c r="U12895" t="s">
        <v>57958</v>
      </c>
      <c r="W12895" t="s">
        <v>44709</v>
      </c>
      <c r="X12895" t="s">
        <v>45115</v>
      </c>
    </row>
    <row r="12896" spans="1:24">
      <c r="A12896">
        <f>HYPERLINK("https://www.philgeps.gov.ph/GEPSNONPILOT/Tender/SplashBidNoticeAbstractUI.aspx?menuIndex=3&amp;refID=7018523&amp;Result=3","7018523")</f>
        <v>0</v>
      </c>
      <c r="B12896" t="s">
        <v>2994</v>
      </c>
      <c r="C12896" t="s">
        <v>15535</v>
      </c>
      <c r="D12896" t="s">
        <v>18087</v>
      </c>
      <c r="E12896" t="s">
        <v>29255</v>
      </c>
      <c r="F12896" t="s">
        <v>31574</v>
      </c>
      <c r="G12896" t="s">
        <v>31582</v>
      </c>
      <c r="H12896" t="s">
        <v>31590</v>
      </c>
      <c r="I12896" t="s">
        <v>14544</v>
      </c>
      <c r="J12896" t="s">
        <v>39667</v>
      </c>
      <c r="K12896" t="s">
        <v>41196</v>
      </c>
      <c r="M12896" t="s">
        <v>44820</v>
      </c>
      <c r="N12896" t="s">
        <v>45095</v>
      </c>
      <c r="O12896" t="s">
        <v>45096</v>
      </c>
      <c r="P12896">
        <v>0</v>
      </c>
      <c r="Q12896">
        <v>0</v>
      </c>
      <c r="R12896" t="s">
        <v>45112</v>
      </c>
      <c r="S12896" t="s">
        <v>45755</v>
      </c>
      <c r="T12896" t="s">
        <v>46979</v>
      </c>
      <c r="U12896" t="s">
        <v>57959</v>
      </c>
      <c r="V12896" t="s">
        <v>61262</v>
      </c>
      <c r="W12896" t="s">
        <v>44820</v>
      </c>
      <c r="X12896" t="s">
        <v>45115</v>
      </c>
    </row>
    <row r="12897" spans="1:24">
      <c r="A12897">
        <f>HYPERLINK("https://www.philgeps.gov.ph/GEPSNONPILOT/Tender/SplashBidNoticeAbstractUI.aspx?menuIndex=3&amp;refID=7018393&amp;Result=3","7018393")</f>
        <v>0</v>
      </c>
      <c r="B12897" t="s">
        <v>251</v>
      </c>
      <c r="C12897" t="s">
        <v>15536</v>
      </c>
      <c r="D12897" t="s">
        <v>18057</v>
      </c>
      <c r="E12897" t="s">
        <v>29256</v>
      </c>
      <c r="F12897" t="s">
        <v>31574</v>
      </c>
      <c r="G12897" t="s">
        <v>31582</v>
      </c>
      <c r="H12897" t="s">
        <v>31590</v>
      </c>
      <c r="I12897" t="s">
        <v>31615</v>
      </c>
      <c r="J12897" t="s">
        <v>39191</v>
      </c>
      <c r="K12897" t="s">
        <v>41196</v>
      </c>
      <c r="M12897" t="s">
        <v>44818</v>
      </c>
      <c r="N12897" t="s">
        <v>45095</v>
      </c>
      <c r="O12897" t="s">
        <v>45096</v>
      </c>
      <c r="P12897">
        <v>0</v>
      </c>
      <c r="Q12897">
        <v>4</v>
      </c>
      <c r="R12897" t="s">
        <v>45112</v>
      </c>
      <c r="S12897" t="s">
        <v>45755</v>
      </c>
      <c r="T12897" t="s">
        <v>46910</v>
      </c>
      <c r="U12897" t="s">
        <v>57960</v>
      </c>
      <c r="W12897" t="s">
        <v>44818</v>
      </c>
      <c r="X12897" t="s">
        <v>45115</v>
      </c>
    </row>
    <row r="12898" spans="1:24">
      <c r="A12898">
        <f>HYPERLINK("https://www.philgeps.gov.ph/GEPSNONPILOT/Tender/SplashBidNoticeAbstractUI.aspx?menuIndex=3&amp;refID=7018635&amp;Result=3","7018635")</f>
        <v>0</v>
      </c>
      <c r="B12898" t="s">
        <v>1224</v>
      </c>
      <c r="C12898" t="s">
        <v>15537</v>
      </c>
      <c r="E12898" t="s">
        <v>29257</v>
      </c>
      <c r="F12898" t="s">
        <v>31574</v>
      </c>
      <c r="G12898" t="s">
        <v>31582</v>
      </c>
      <c r="H12898" t="s">
        <v>31590</v>
      </c>
      <c r="I12898" t="s">
        <v>31596</v>
      </c>
      <c r="J12898" t="s">
        <v>39668</v>
      </c>
      <c r="K12898" t="s">
        <v>41225</v>
      </c>
      <c r="M12898" t="s">
        <v>42786</v>
      </c>
      <c r="N12898" t="s">
        <v>45095</v>
      </c>
      <c r="O12898" t="s">
        <v>45096</v>
      </c>
      <c r="P12898">
        <v>0</v>
      </c>
      <c r="Q12898">
        <v>2</v>
      </c>
      <c r="R12898" t="s">
        <v>45112</v>
      </c>
      <c r="S12898" t="s">
        <v>45755</v>
      </c>
      <c r="T12898" t="s">
        <v>47086</v>
      </c>
      <c r="U12898" t="s">
        <v>57961</v>
      </c>
      <c r="W12898" t="s">
        <v>42786</v>
      </c>
      <c r="X12898" t="s">
        <v>45114</v>
      </c>
    </row>
    <row r="12899" spans="1:24">
      <c r="A12899">
        <f>HYPERLINK("https://www.philgeps.gov.ph/GEPSNONPILOT/Tender/SplashBidNoticeAbstractUI.aspx?menuIndex=3&amp;refID=7018507&amp;Result=3","7018507")</f>
        <v>0</v>
      </c>
      <c r="B12899" t="s">
        <v>2994</v>
      </c>
      <c r="C12899" t="s">
        <v>15538</v>
      </c>
      <c r="D12899" t="s">
        <v>18087</v>
      </c>
      <c r="E12899" t="s">
        <v>29258</v>
      </c>
      <c r="F12899" t="s">
        <v>31574</v>
      </c>
      <c r="G12899" t="s">
        <v>31582</v>
      </c>
      <c r="H12899" t="s">
        <v>31591</v>
      </c>
      <c r="I12899" t="s">
        <v>8822</v>
      </c>
      <c r="J12899" t="s">
        <v>39669</v>
      </c>
      <c r="K12899" t="s">
        <v>41189</v>
      </c>
      <c r="M12899" t="s">
        <v>44820</v>
      </c>
      <c r="N12899" t="s">
        <v>45095</v>
      </c>
      <c r="O12899" t="s">
        <v>45096</v>
      </c>
      <c r="P12899">
        <v>0</v>
      </c>
      <c r="Q12899">
        <v>1</v>
      </c>
      <c r="R12899" t="s">
        <v>45112</v>
      </c>
      <c r="S12899" t="s">
        <v>45755</v>
      </c>
      <c r="T12899" t="s">
        <v>46979</v>
      </c>
      <c r="U12899" t="s">
        <v>57962</v>
      </c>
      <c r="V12899" t="s">
        <v>61263</v>
      </c>
      <c r="W12899" t="s">
        <v>44820</v>
      </c>
      <c r="X12899" t="s">
        <v>45115</v>
      </c>
    </row>
    <row r="12900" spans="1:24">
      <c r="A12900">
        <f>HYPERLINK("https://www.philgeps.gov.ph/GEPSNONPILOT/Tender/SplashBidNoticeAbstractUI.aspx?menuIndex=3&amp;refID=7018746&amp;Result=3","7018746")</f>
        <v>0</v>
      </c>
      <c r="B12900" t="s">
        <v>2995</v>
      </c>
      <c r="C12900" t="s">
        <v>15539</v>
      </c>
      <c r="D12900" t="s">
        <v>18070</v>
      </c>
      <c r="E12900" t="s">
        <v>27038</v>
      </c>
      <c r="F12900" t="s">
        <v>31574</v>
      </c>
      <c r="G12900" t="s">
        <v>31582</v>
      </c>
      <c r="H12900" t="s">
        <v>31591</v>
      </c>
      <c r="I12900" t="s">
        <v>8822</v>
      </c>
      <c r="J12900" t="s">
        <v>39670</v>
      </c>
      <c r="K12900" t="s">
        <v>41329</v>
      </c>
      <c r="M12900" t="s">
        <v>44821</v>
      </c>
      <c r="N12900" t="s">
        <v>45095</v>
      </c>
      <c r="O12900" t="s">
        <v>45096</v>
      </c>
      <c r="P12900">
        <v>0</v>
      </c>
      <c r="Q12900">
        <v>0</v>
      </c>
      <c r="R12900" t="s">
        <v>45112</v>
      </c>
      <c r="S12900" t="s">
        <v>45755</v>
      </c>
      <c r="T12900" t="s">
        <v>47046</v>
      </c>
      <c r="U12900" t="s">
        <v>57963</v>
      </c>
      <c r="W12900" t="s">
        <v>44821</v>
      </c>
      <c r="X12900" t="s">
        <v>45114</v>
      </c>
    </row>
    <row r="12901" spans="1:24">
      <c r="A12901">
        <f>HYPERLINK("https://www.philgeps.gov.ph/GEPSNONPILOT/Tender/SplashBidNoticeAbstractUI.aspx?menuIndex=3&amp;refID=7018517&amp;Result=3","7018517")</f>
        <v>0</v>
      </c>
      <c r="B12901" t="s">
        <v>2994</v>
      </c>
      <c r="C12901" t="s">
        <v>15540</v>
      </c>
      <c r="D12901" t="s">
        <v>18087</v>
      </c>
      <c r="E12901" t="s">
        <v>29259</v>
      </c>
      <c r="F12901" t="s">
        <v>31574</v>
      </c>
      <c r="G12901" t="s">
        <v>31582</v>
      </c>
      <c r="H12901" t="s">
        <v>31590</v>
      </c>
      <c r="I12901" t="s">
        <v>4046</v>
      </c>
      <c r="J12901" t="s">
        <v>39671</v>
      </c>
      <c r="K12901" t="s">
        <v>41196</v>
      </c>
      <c r="M12901" t="s">
        <v>44820</v>
      </c>
      <c r="N12901" t="s">
        <v>45095</v>
      </c>
      <c r="O12901" t="s">
        <v>45096</v>
      </c>
      <c r="P12901">
        <v>0</v>
      </c>
      <c r="Q12901">
        <v>0</v>
      </c>
      <c r="R12901" t="s">
        <v>45112</v>
      </c>
      <c r="S12901" t="s">
        <v>45755</v>
      </c>
      <c r="T12901" t="s">
        <v>46979</v>
      </c>
      <c r="U12901" t="s">
        <v>57964</v>
      </c>
      <c r="V12901" t="s">
        <v>61262</v>
      </c>
      <c r="W12901" t="s">
        <v>44820</v>
      </c>
      <c r="X12901" t="s">
        <v>45115</v>
      </c>
    </row>
    <row r="12902" spans="1:24">
      <c r="A12902">
        <f>HYPERLINK("https://www.philgeps.gov.ph/GEPSNONPILOT/Tender/SplashBidNoticeAbstractUI.aspx?menuIndex=3&amp;refID=7018733&amp;Result=3","7018733")</f>
        <v>0</v>
      </c>
      <c r="B12902" t="s">
        <v>2995</v>
      </c>
      <c r="C12902" t="s">
        <v>15541</v>
      </c>
      <c r="D12902" t="s">
        <v>18070</v>
      </c>
      <c r="E12902" t="s">
        <v>19618</v>
      </c>
      <c r="F12902" t="s">
        <v>31574</v>
      </c>
      <c r="G12902" t="s">
        <v>31582</v>
      </c>
      <c r="H12902" t="s">
        <v>31591</v>
      </c>
      <c r="I12902" t="s">
        <v>8822</v>
      </c>
      <c r="J12902" t="s">
        <v>32026</v>
      </c>
      <c r="K12902" t="s">
        <v>41240</v>
      </c>
      <c r="M12902" t="s">
        <v>44821</v>
      </c>
      <c r="N12902" t="s">
        <v>45095</v>
      </c>
      <c r="O12902" t="s">
        <v>45096</v>
      </c>
      <c r="P12902">
        <v>0</v>
      </c>
      <c r="Q12902">
        <v>0</v>
      </c>
      <c r="R12902" t="s">
        <v>45112</v>
      </c>
      <c r="S12902" t="s">
        <v>45755</v>
      </c>
      <c r="T12902" t="s">
        <v>47046</v>
      </c>
      <c r="U12902" t="s">
        <v>57963</v>
      </c>
      <c r="W12902" t="s">
        <v>44821</v>
      </c>
      <c r="X12902" t="s">
        <v>45114</v>
      </c>
    </row>
    <row r="12903" spans="1:24">
      <c r="A12903">
        <f>HYPERLINK("https://www.philgeps.gov.ph/GEPSNONPILOT/Tender/SplashBidNoticeAbstractUI.aspx?menuIndex=3&amp;refID=7018744&amp;Result=3","7018744")</f>
        <v>0</v>
      </c>
      <c r="B12903" t="s">
        <v>2995</v>
      </c>
      <c r="C12903" t="s">
        <v>15542</v>
      </c>
      <c r="D12903" t="s">
        <v>18070</v>
      </c>
      <c r="E12903" t="s">
        <v>23583</v>
      </c>
      <c r="F12903" t="s">
        <v>31574</v>
      </c>
      <c r="G12903" t="s">
        <v>31582</v>
      </c>
      <c r="H12903" t="s">
        <v>31591</v>
      </c>
      <c r="I12903" t="s">
        <v>8822</v>
      </c>
      <c r="J12903" t="s">
        <v>31935</v>
      </c>
      <c r="K12903" t="s">
        <v>41244</v>
      </c>
      <c r="M12903" t="s">
        <v>44821</v>
      </c>
      <c r="N12903" t="s">
        <v>45095</v>
      </c>
      <c r="O12903" t="s">
        <v>45096</v>
      </c>
      <c r="P12903">
        <v>0</v>
      </c>
      <c r="Q12903">
        <v>0</v>
      </c>
      <c r="R12903" t="s">
        <v>45112</v>
      </c>
      <c r="S12903" t="s">
        <v>45755</v>
      </c>
      <c r="T12903" t="s">
        <v>47046</v>
      </c>
      <c r="U12903" t="s">
        <v>57963</v>
      </c>
      <c r="W12903" t="s">
        <v>44821</v>
      </c>
      <c r="X12903" t="s">
        <v>45114</v>
      </c>
    </row>
    <row r="12904" spans="1:24">
      <c r="A12904">
        <f>HYPERLINK("https://www.philgeps.gov.ph/GEPSNONPILOT/Tender/SplashBidNoticeAbstractUI.aspx?menuIndex=3&amp;refID=7018469&amp;Result=3","7018469")</f>
        <v>0</v>
      </c>
      <c r="B12904" t="s">
        <v>2996</v>
      </c>
      <c r="C12904" t="s">
        <v>15543</v>
      </c>
      <c r="D12904" t="s">
        <v>18044</v>
      </c>
      <c r="E12904" t="s">
        <v>18607</v>
      </c>
      <c r="F12904" t="s">
        <v>31574</v>
      </c>
      <c r="G12904" t="s">
        <v>31582</v>
      </c>
      <c r="H12904" t="s">
        <v>31590</v>
      </c>
      <c r="I12904" t="s">
        <v>5717</v>
      </c>
      <c r="J12904" t="s">
        <v>39672</v>
      </c>
      <c r="K12904" t="s">
        <v>41193</v>
      </c>
      <c r="M12904" t="s">
        <v>44822</v>
      </c>
      <c r="N12904" t="s">
        <v>45095</v>
      </c>
      <c r="O12904" t="s">
        <v>45096</v>
      </c>
      <c r="P12904">
        <v>0</v>
      </c>
      <c r="Q12904">
        <v>8</v>
      </c>
      <c r="R12904" t="s">
        <v>45112</v>
      </c>
      <c r="S12904" t="s">
        <v>45755</v>
      </c>
      <c r="T12904" t="s">
        <v>46979</v>
      </c>
      <c r="U12904" t="s">
        <v>57965</v>
      </c>
      <c r="W12904" t="s">
        <v>44822</v>
      </c>
      <c r="X12904" t="s">
        <v>45115</v>
      </c>
    </row>
    <row r="12905" spans="1:24">
      <c r="A12905">
        <f>HYPERLINK("https://www.philgeps.gov.ph/GEPSNONPILOT/Tender/SplashBidNoticeAbstractUI.aspx?menuIndex=3&amp;refID=7018640&amp;Result=3","7018640")</f>
        <v>0</v>
      </c>
      <c r="B12905" t="s">
        <v>1224</v>
      </c>
      <c r="C12905" t="s">
        <v>15544</v>
      </c>
      <c r="E12905" t="s">
        <v>29260</v>
      </c>
      <c r="F12905" t="s">
        <v>31574</v>
      </c>
      <c r="G12905" t="s">
        <v>31582</v>
      </c>
      <c r="H12905" t="s">
        <v>31590</v>
      </c>
      <c r="I12905" t="s">
        <v>31690</v>
      </c>
      <c r="J12905" t="s">
        <v>31771</v>
      </c>
      <c r="K12905" t="s">
        <v>41186</v>
      </c>
      <c r="M12905" t="s">
        <v>42786</v>
      </c>
      <c r="N12905" t="s">
        <v>45095</v>
      </c>
      <c r="O12905" t="s">
        <v>45096</v>
      </c>
      <c r="P12905">
        <v>0</v>
      </c>
      <c r="Q12905">
        <v>6</v>
      </c>
      <c r="R12905" t="s">
        <v>45112</v>
      </c>
      <c r="S12905" t="s">
        <v>45755</v>
      </c>
      <c r="T12905" t="s">
        <v>46923</v>
      </c>
      <c r="U12905" t="s">
        <v>57966</v>
      </c>
      <c r="W12905" t="s">
        <v>42786</v>
      </c>
      <c r="X12905" t="s">
        <v>45114</v>
      </c>
    </row>
    <row r="12906" spans="1:24">
      <c r="A12906">
        <f>HYPERLINK("https://www.philgeps.gov.ph/GEPSNONPILOT/Tender/SplashBidNoticeAbstractUI.aspx?menuIndex=3&amp;refID=7018741&amp;Result=3","7018741")</f>
        <v>0</v>
      </c>
      <c r="B12906" t="s">
        <v>2995</v>
      </c>
      <c r="C12906" t="s">
        <v>15545</v>
      </c>
      <c r="D12906" t="s">
        <v>18070</v>
      </c>
      <c r="E12906" t="s">
        <v>25030</v>
      </c>
      <c r="F12906" t="s">
        <v>31574</v>
      </c>
      <c r="G12906" t="s">
        <v>31582</v>
      </c>
      <c r="H12906" t="s">
        <v>31591</v>
      </c>
      <c r="I12906" t="s">
        <v>8822</v>
      </c>
      <c r="J12906" t="s">
        <v>32019</v>
      </c>
      <c r="K12906" t="s">
        <v>41195</v>
      </c>
      <c r="M12906" t="s">
        <v>44821</v>
      </c>
      <c r="N12906" t="s">
        <v>45095</v>
      </c>
      <c r="O12906" t="s">
        <v>45096</v>
      </c>
      <c r="P12906">
        <v>0</v>
      </c>
      <c r="Q12906">
        <v>0</v>
      </c>
      <c r="R12906" t="s">
        <v>45112</v>
      </c>
      <c r="S12906" t="s">
        <v>45755</v>
      </c>
      <c r="T12906" t="s">
        <v>47046</v>
      </c>
      <c r="U12906" t="s">
        <v>57963</v>
      </c>
      <c r="W12906" t="s">
        <v>44821</v>
      </c>
      <c r="X12906" t="s">
        <v>45114</v>
      </c>
    </row>
    <row r="12907" spans="1:24">
      <c r="A12907">
        <f>HYPERLINK("https://www.philgeps.gov.ph/GEPSNONPILOT/Tender/SplashBidNoticeAbstractUI.aspx?menuIndex=3&amp;refID=7018750&amp;Result=3","7018750")</f>
        <v>0</v>
      </c>
      <c r="B12907" t="s">
        <v>2995</v>
      </c>
      <c r="C12907" t="s">
        <v>15546</v>
      </c>
      <c r="D12907" t="s">
        <v>18070</v>
      </c>
      <c r="E12907" t="s">
        <v>20407</v>
      </c>
      <c r="F12907" t="s">
        <v>31574</v>
      </c>
      <c r="G12907" t="s">
        <v>31582</v>
      </c>
      <c r="H12907" t="s">
        <v>31590</v>
      </c>
      <c r="I12907" t="s">
        <v>31601</v>
      </c>
      <c r="J12907" t="s">
        <v>39673</v>
      </c>
      <c r="K12907" t="s">
        <v>41196</v>
      </c>
      <c r="M12907" t="s">
        <v>44821</v>
      </c>
      <c r="N12907" t="s">
        <v>45095</v>
      </c>
      <c r="O12907" t="s">
        <v>45096</v>
      </c>
      <c r="P12907">
        <v>0</v>
      </c>
      <c r="Q12907">
        <v>10</v>
      </c>
      <c r="R12907" t="s">
        <v>45112</v>
      </c>
      <c r="S12907" t="s">
        <v>45755</v>
      </c>
      <c r="T12907" t="s">
        <v>47068</v>
      </c>
      <c r="U12907" t="s">
        <v>57967</v>
      </c>
      <c r="W12907" t="s">
        <v>44821</v>
      </c>
      <c r="X12907" t="s">
        <v>45114</v>
      </c>
    </row>
    <row r="12908" spans="1:24">
      <c r="A12908">
        <f>HYPERLINK("https://www.philgeps.gov.ph/GEPSNONPILOT/Tender/SplashBidNoticeAbstractUI.aspx?menuIndex=3&amp;refID=7018886&amp;Result=3","7018886")</f>
        <v>0</v>
      </c>
      <c r="B12908" t="s">
        <v>2997</v>
      </c>
      <c r="C12908" t="s">
        <v>15547</v>
      </c>
      <c r="D12908" t="s">
        <v>18066</v>
      </c>
      <c r="E12908" t="s">
        <v>29261</v>
      </c>
      <c r="F12908" t="s">
        <v>31574</v>
      </c>
      <c r="G12908" t="s">
        <v>31582</v>
      </c>
      <c r="H12908" t="s">
        <v>31590</v>
      </c>
      <c r="I12908" t="s">
        <v>4046</v>
      </c>
      <c r="J12908" t="s">
        <v>39674</v>
      </c>
      <c r="K12908" t="s">
        <v>41186</v>
      </c>
      <c r="M12908" t="s">
        <v>44823</v>
      </c>
      <c r="N12908" t="s">
        <v>45095</v>
      </c>
      <c r="O12908" t="s">
        <v>45096</v>
      </c>
      <c r="P12908">
        <v>0</v>
      </c>
      <c r="Q12908">
        <v>1</v>
      </c>
      <c r="R12908" t="s">
        <v>45112</v>
      </c>
      <c r="S12908" t="s">
        <v>45755</v>
      </c>
      <c r="T12908" t="s">
        <v>46955</v>
      </c>
      <c r="U12908" t="s">
        <v>57968</v>
      </c>
      <c r="W12908" t="s">
        <v>44823</v>
      </c>
      <c r="X12908" t="s">
        <v>45113</v>
      </c>
    </row>
    <row r="12909" spans="1:24">
      <c r="A12909">
        <f>HYPERLINK("https://www.philgeps.gov.ph/GEPSNONPILOT/Tender/SplashBidNoticeAbstractUI.aspx?menuIndex=3&amp;refID=7018888&amp;Result=3","7018888")</f>
        <v>0</v>
      </c>
      <c r="B12909" t="s">
        <v>1511</v>
      </c>
      <c r="C12909" t="s">
        <v>15548</v>
      </c>
      <c r="D12909" t="s">
        <v>18022</v>
      </c>
      <c r="E12909" t="s">
        <v>29262</v>
      </c>
      <c r="F12909" t="s">
        <v>31574</v>
      </c>
      <c r="G12909" t="s">
        <v>31582</v>
      </c>
      <c r="H12909" t="s">
        <v>31590</v>
      </c>
      <c r="I12909" t="s">
        <v>31608</v>
      </c>
      <c r="J12909" t="s">
        <v>39675</v>
      </c>
      <c r="K12909" t="s">
        <v>41186</v>
      </c>
      <c r="M12909" t="s">
        <v>44387</v>
      </c>
      <c r="N12909" t="s">
        <v>45095</v>
      </c>
      <c r="O12909" t="s">
        <v>45096</v>
      </c>
      <c r="Q12909">
        <v>15</v>
      </c>
      <c r="R12909" t="s">
        <v>45112</v>
      </c>
      <c r="S12909" t="s">
        <v>45771</v>
      </c>
      <c r="T12909" t="s">
        <v>47046</v>
      </c>
      <c r="U12909" t="s">
        <v>57969</v>
      </c>
      <c r="W12909" t="s">
        <v>44387</v>
      </c>
      <c r="X12909" t="s">
        <v>45113</v>
      </c>
    </row>
    <row r="12910" spans="1:24">
      <c r="A12910">
        <f>HYPERLINK("https://www.philgeps.gov.ph/GEPSNONPILOT/Tender/SplashBidNoticeAbstractUI.aspx?menuIndex=3&amp;refID=7018879&amp;Result=3","7018879")</f>
        <v>0</v>
      </c>
      <c r="B12910" t="s">
        <v>1511</v>
      </c>
      <c r="C12910" t="s">
        <v>15549</v>
      </c>
      <c r="D12910" t="s">
        <v>18022</v>
      </c>
      <c r="E12910" t="s">
        <v>29263</v>
      </c>
      <c r="F12910" t="s">
        <v>31574</v>
      </c>
      <c r="G12910" t="s">
        <v>31582</v>
      </c>
      <c r="H12910" t="s">
        <v>31590</v>
      </c>
      <c r="I12910" t="s">
        <v>31608</v>
      </c>
      <c r="J12910" t="s">
        <v>39676</v>
      </c>
      <c r="K12910" t="s">
        <v>41186</v>
      </c>
      <c r="M12910" t="s">
        <v>44387</v>
      </c>
      <c r="N12910" t="s">
        <v>45095</v>
      </c>
      <c r="O12910" t="s">
        <v>45096</v>
      </c>
      <c r="Q12910">
        <v>7</v>
      </c>
      <c r="R12910" t="s">
        <v>45112</v>
      </c>
      <c r="S12910" t="s">
        <v>45772</v>
      </c>
      <c r="T12910" t="s">
        <v>47143</v>
      </c>
      <c r="U12910" t="s">
        <v>57970</v>
      </c>
      <c r="W12910" t="s">
        <v>44387</v>
      </c>
      <c r="X12910" t="s">
        <v>45113</v>
      </c>
    </row>
    <row r="12911" spans="1:24">
      <c r="A12911">
        <f>HYPERLINK("https://www.philgeps.gov.ph/GEPSNONPILOT/Tender/SplashBidNoticeAbstractUI.aspx?menuIndex=3&amp;refID=7018649&amp;Result=3","7018649")</f>
        <v>0</v>
      </c>
      <c r="B12911" t="s">
        <v>574</v>
      </c>
      <c r="C12911" t="s">
        <v>15550</v>
      </c>
      <c r="D12911" t="s">
        <v>18040</v>
      </c>
      <c r="E12911" t="s">
        <v>29264</v>
      </c>
      <c r="F12911" t="s">
        <v>31574</v>
      </c>
      <c r="G12911" t="s">
        <v>31582</v>
      </c>
      <c r="H12911" t="s">
        <v>31590</v>
      </c>
      <c r="I12911" t="s">
        <v>31689</v>
      </c>
      <c r="J12911" t="s">
        <v>36002</v>
      </c>
      <c r="K12911" t="s">
        <v>41196</v>
      </c>
      <c r="M12911" t="s">
        <v>42075</v>
      </c>
      <c r="N12911" t="s">
        <v>45095</v>
      </c>
      <c r="O12911" t="s">
        <v>45096</v>
      </c>
      <c r="P12911">
        <v>0</v>
      </c>
      <c r="Q12911">
        <v>8</v>
      </c>
      <c r="R12911" t="s">
        <v>45112</v>
      </c>
      <c r="S12911" t="s">
        <v>45755</v>
      </c>
      <c r="T12911" t="s">
        <v>47424</v>
      </c>
      <c r="U12911" t="s">
        <v>57971</v>
      </c>
      <c r="W12911" t="s">
        <v>42075</v>
      </c>
      <c r="X12911" t="s">
        <v>45114</v>
      </c>
    </row>
    <row r="12912" spans="1:24">
      <c r="A12912">
        <f>HYPERLINK("https://www.philgeps.gov.ph/GEPSNONPILOT/Tender/SplashBidNoticeAbstractUI.aspx?menuIndex=3&amp;refID=7018738&amp;Result=3","7018738")</f>
        <v>0</v>
      </c>
      <c r="B12912" t="s">
        <v>2995</v>
      </c>
      <c r="C12912" t="s">
        <v>15551</v>
      </c>
      <c r="D12912" t="s">
        <v>18070</v>
      </c>
      <c r="E12912" t="s">
        <v>18972</v>
      </c>
      <c r="F12912" t="s">
        <v>31574</v>
      </c>
      <c r="G12912" t="s">
        <v>31582</v>
      </c>
      <c r="H12912" t="s">
        <v>31591</v>
      </c>
      <c r="I12912" t="s">
        <v>8822</v>
      </c>
      <c r="J12912" t="s">
        <v>32019</v>
      </c>
      <c r="K12912" t="s">
        <v>41186</v>
      </c>
      <c r="M12912" t="s">
        <v>44821</v>
      </c>
      <c r="N12912" t="s">
        <v>45095</v>
      </c>
      <c r="O12912" t="s">
        <v>45096</v>
      </c>
      <c r="P12912">
        <v>0</v>
      </c>
      <c r="Q12912">
        <v>0</v>
      </c>
      <c r="R12912" t="s">
        <v>45112</v>
      </c>
      <c r="S12912" t="s">
        <v>45755</v>
      </c>
      <c r="T12912" t="s">
        <v>47046</v>
      </c>
      <c r="U12912" t="s">
        <v>57963</v>
      </c>
      <c r="W12912" t="s">
        <v>44821</v>
      </c>
      <c r="X12912" t="s">
        <v>45114</v>
      </c>
    </row>
    <row r="12913" spans="1:24">
      <c r="A12913">
        <f>HYPERLINK("https://www.philgeps.gov.ph/GEPSNONPILOT/Tender/SplashBidNoticeAbstractUI.aspx?menuIndex=3&amp;refID=7018872&amp;Result=3","7018872")</f>
        <v>0</v>
      </c>
      <c r="B12913" t="s">
        <v>1271</v>
      </c>
      <c r="C12913" t="s">
        <v>15552</v>
      </c>
      <c r="D12913" t="s">
        <v>18064</v>
      </c>
      <c r="E12913" t="s">
        <v>29265</v>
      </c>
      <c r="F12913" t="s">
        <v>31574</v>
      </c>
      <c r="G12913" t="s">
        <v>31582</v>
      </c>
      <c r="H12913" t="s">
        <v>31590</v>
      </c>
      <c r="I12913" t="s">
        <v>7185</v>
      </c>
      <c r="J12913" t="s">
        <v>39677</v>
      </c>
      <c r="K12913" t="s">
        <v>41195</v>
      </c>
      <c r="M12913" t="s">
        <v>42839</v>
      </c>
      <c r="N12913" t="s">
        <v>45095</v>
      </c>
      <c r="O12913" t="s">
        <v>45096</v>
      </c>
      <c r="P12913">
        <v>0</v>
      </c>
      <c r="Q12913">
        <v>5</v>
      </c>
      <c r="R12913" t="s">
        <v>45112</v>
      </c>
      <c r="S12913" t="s">
        <v>45755</v>
      </c>
      <c r="T12913" t="s">
        <v>46932</v>
      </c>
      <c r="U12913" t="s">
        <v>57972</v>
      </c>
      <c r="W12913" t="s">
        <v>61695</v>
      </c>
      <c r="X12913" t="s">
        <v>45113</v>
      </c>
    </row>
    <row r="12914" spans="1:24">
      <c r="A12914">
        <f>HYPERLINK("https://www.philgeps.gov.ph/GEPSNONPILOT/Tender/SplashBidNoticeAbstractUI.aspx?menuIndex=3&amp;refID=7018817&amp;Result=3","7018817")</f>
        <v>0</v>
      </c>
      <c r="B12914" t="s">
        <v>1012</v>
      </c>
      <c r="C12914" t="s">
        <v>15553</v>
      </c>
      <c r="D12914" t="s">
        <v>18024</v>
      </c>
      <c r="E12914" t="s">
        <v>29266</v>
      </c>
      <c r="F12914" t="s">
        <v>31574</v>
      </c>
      <c r="G12914" t="s">
        <v>31582</v>
      </c>
      <c r="H12914" t="s">
        <v>31590</v>
      </c>
      <c r="I12914" t="s">
        <v>31615</v>
      </c>
      <c r="J12914" t="s">
        <v>33507</v>
      </c>
      <c r="K12914" t="s">
        <v>41192</v>
      </c>
      <c r="M12914" t="s">
        <v>42552</v>
      </c>
      <c r="N12914" t="s">
        <v>45095</v>
      </c>
      <c r="O12914" t="s">
        <v>45096</v>
      </c>
      <c r="P12914">
        <v>0</v>
      </c>
      <c r="Q12914">
        <v>7</v>
      </c>
      <c r="R12914" t="s">
        <v>45112</v>
      </c>
      <c r="S12914" t="s">
        <v>45755</v>
      </c>
      <c r="T12914" t="s">
        <v>46952</v>
      </c>
      <c r="U12914" t="s">
        <v>57973</v>
      </c>
      <c r="W12914" t="s">
        <v>42552</v>
      </c>
      <c r="X12914" t="s">
        <v>45114</v>
      </c>
    </row>
    <row r="12915" spans="1:24">
      <c r="A12915">
        <f>HYPERLINK("https://www.philgeps.gov.ph/GEPSNONPILOT/Tender/SplashBidNoticeAbstractUI.aspx?menuIndex=3&amp;refID=7018754&amp;Result=3","7018754")</f>
        <v>0</v>
      </c>
      <c r="B12915" t="s">
        <v>2293</v>
      </c>
      <c r="C12915" t="s">
        <v>15554</v>
      </c>
      <c r="D12915" t="s">
        <v>18057</v>
      </c>
      <c r="E12915" t="s">
        <v>29267</v>
      </c>
      <c r="F12915" t="s">
        <v>31574</v>
      </c>
      <c r="G12915" t="s">
        <v>31582</v>
      </c>
      <c r="H12915" t="s">
        <v>31591</v>
      </c>
      <c r="I12915" t="s">
        <v>8822</v>
      </c>
      <c r="J12915" t="s">
        <v>33574</v>
      </c>
      <c r="K12915" t="s">
        <v>41243</v>
      </c>
      <c r="M12915" t="s">
        <v>44002</v>
      </c>
      <c r="N12915" t="s">
        <v>45095</v>
      </c>
      <c r="O12915" t="s">
        <v>45096</v>
      </c>
      <c r="Q12915">
        <v>12</v>
      </c>
      <c r="R12915" t="s">
        <v>45112</v>
      </c>
      <c r="S12915" t="s">
        <v>45773</v>
      </c>
      <c r="T12915" t="s">
        <v>46926</v>
      </c>
      <c r="U12915" t="s">
        <v>57974</v>
      </c>
      <c r="V12915" t="s">
        <v>60691</v>
      </c>
      <c r="W12915" t="s">
        <v>44002</v>
      </c>
      <c r="X12915" t="s">
        <v>45114</v>
      </c>
    </row>
    <row r="12916" spans="1:24">
      <c r="A12916">
        <f>HYPERLINK("https://www.philgeps.gov.ph/GEPSNONPILOT/Tender/SplashBidNoticeAbstractUI.aspx?menuIndex=3&amp;refID=7018875&amp;Result=3","7018875")</f>
        <v>0</v>
      </c>
      <c r="B12916" t="s">
        <v>1271</v>
      </c>
      <c r="C12916" t="s">
        <v>15555</v>
      </c>
      <c r="D12916" t="s">
        <v>18064</v>
      </c>
      <c r="E12916" t="s">
        <v>29268</v>
      </c>
      <c r="F12916" t="s">
        <v>31574</v>
      </c>
      <c r="G12916" t="s">
        <v>31585</v>
      </c>
      <c r="H12916" t="s">
        <v>31590</v>
      </c>
      <c r="I12916" t="s">
        <v>6800</v>
      </c>
      <c r="J12916" t="s">
        <v>39678</v>
      </c>
      <c r="K12916" t="s">
        <v>41192</v>
      </c>
      <c r="M12916" t="s">
        <v>42839</v>
      </c>
      <c r="N12916" t="s">
        <v>45095</v>
      </c>
      <c r="O12916" t="s">
        <v>45096</v>
      </c>
      <c r="P12916">
        <v>0</v>
      </c>
      <c r="Q12916">
        <v>4</v>
      </c>
      <c r="R12916" t="s">
        <v>45112</v>
      </c>
      <c r="S12916" t="s">
        <v>45755</v>
      </c>
      <c r="T12916" t="s">
        <v>46932</v>
      </c>
      <c r="U12916" t="s">
        <v>57975</v>
      </c>
      <c r="W12916" t="s">
        <v>61695</v>
      </c>
      <c r="X12916" t="s">
        <v>45113</v>
      </c>
    </row>
    <row r="12917" spans="1:24">
      <c r="A12917">
        <f>HYPERLINK("https://www.philgeps.gov.ph/GEPSNONPILOT/Tender/SplashBidNoticeAbstractUI.aspx?menuIndex=3&amp;refID=7018816&amp;Result=3","7018816")</f>
        <v>0</v>
      </c>
      <c r="B12917" t="s">
        <v>1012</v>
      </c>
      <c r="C12917" t="s">
        <v>15556</v>
      </c>
      <c r="D12917" t="s">
        <v>18024</v>
      </c>
      <c r="E12917" t="s">
        <v>29269</v>
      </c>
      <c r="F12917" t="s">
        <v>31574</v>
      </c>
      <c r="G12917" t="s">
        <v>31582</v>
      </c>
      <c r="H12917" t="s">
        <v>31590</v>
      </c>
      <c r="I12917" t="s">
        <v>3901</v>
      </c>
      <c r="J12917" t="s">
        <v>31771</v>
      </c>
      <c r="K12917" t="s">
        <v>41186</v>
      </c>
      <c r="M12917" t="s">
        <v>42552</v>
      </c>
      <c r="N12917" t="s">
        <v>45095</v>
      </c>
      <c r="O12917" t="s">
        <v>45096</v>
      </c>
      <c r="P12917">
        <v>0</v>
      </c>
      <c r="Q12917">
        <v>6</v>
      </c>
      <c r="R12917" t="s">
        <v>45112</v>
      </c>
      <c r="S12917" t="s">
        <v>45755</v>
      </c>
      <c r="T12917" t="s">
        <v>46952</v>
      </c>
      <c r="U12917" t="s">
        <v>57976</v>
      </c>
      <c r="W12917" t="s">
        <v>42552</v>
      </c>
      <c r="X12917" t="s">
        <v>45114</v>
      </c>
    </row>
    <row r="12918" spans="1:24">
      <c r="A12918">
        <f>HYPERLINK("https://www.philgeps.gov.ph/GEPSNONPILOT/Tender/SplashBidNoticeAbstractUI.aspx?menuIndex=3&amp;refID=7018878&amp;Result=3","7018878")</f>
        <v>0</v>
      </c>
      <c r="B12918" t="s">
        <v>1511</v>
      </c>
      <c r="C12918" t="s">
        <v>15557</v>
      </c>
      <c r="D12918" t="s">
        <v>18022</v>
      </c>
      <c r="E12918" t="s">
        <v>29270</v>
      </c>
      <c r="F12918" t="s">
        <v>31574</v>
      </c>
      <c r="G12918" t="s">
        <v>31582</v>
      </c>
      <c r="H12918" t="s">
        <v>31590</v>
      </c>
      <c r="I12918" t="s">
        <v>31608</v>
      </c>
      <c r="J12918" t="s">
        <v>39679</v>
      </c>
      <c r="K12918" t="s">
        <v>41185</v>
      </c>
      <c r="M12918" t="s">
        <v>44387</v>
      </c>
      <c r="N12918" t="s">
        <v>45095</v>
      </c>
      <c r="O12918" t="s">
        <v>45096</v>
      </c>
      <c r="Q12918">
        <v>30</v>
      </c>
      <c r="R12918" t="s">
        <v>45112</v>
      </c>
      <c r="S12918" t="s">
        <v>45774</v>
      </c>
      <c r="T12918" t="s">
        <v>46955</v>
      </c>
      <c r="U12918" t="s">
        <v>57977</v>
      </c>
      <c r="W12918" t="s">
        <v>44387</v>
      </c>
      <c r="X12918" t="s">
        <v>45113</v>
      </c>
    </row>
    <row r="12919" spans="1:24">
      <c r="A12919">
        <f>HYPERLINK("https://www.philgeps.gov.ph/GEPSNONPILOT/Tender/SplashBidNoticeAbstractUI.aspx?menuIndex=3&amp;refID=7018753&amp;Result=3","7018753")</f>
        <v>0</v>
      </c>
      <c r="B12919" t="s">
        <v>2293</v>
      </c>
      <c r="C12919" t="s">
        <v>15558</v>
      </c>
      <c r="D12919" t="s">
        <v>18057</v>
      </c>
      <c r="E12919" t="s">
        <v>29271</v>
      </c>
      <c r="F12919" t="s">
        <v>31574</v>
      </c>
      <c r="G12919" t="s">
        <v>31582</v>
      </c>
      <c r="H12919" t="s">
        <v>31591</v>
      </c>
      <c r="I12919" t="s">
        <v>8822</v>
      </c>
      <c r="J12919" t="s">
        <v>39680</v>
      </c>
      <c r="K12919" t="s">
        <v>41240</v>
      </c>
      <c r="M12919" t="s">
        <v>44002</v>
      </c>
      <c r="N12919" t="s">
        <v>45095</v>
      </c>
      <c r="O12919" t="s">
        <v>45096</v>
      </c>
      <c r="Q12919">
        <v>23</v>
      </c>
      <c r="R12919" t="s">
        <v>45112</v>
      </c>
      <c r="S12919" t="s">
        <v>45775</v>
      </c>
      <c r="T12919" t="s">
        <v>46926</v>
      </c>
      <c r="U12919" t="s">
        <v>57978</v>
      </c>
      <c r="V12919" t="s">
        <v>60691</v>
      </c>
      <c r="W12919" t="s">
        <v>44002</v>
      </c>
      <c r="X12919" t="s">
        <v>45114</v>
      </c>
    </row>
    <row r="12920" spans="1:24">
      <c r="A12920">
        <f>HYPERLINK("https://www.philgeps.gov.ph/GEPSNONPILOT/Tender/SplashBidNoticeAbstractUI.aspx?menuIndex=3&amp;refID=7018890&amp;Result=3","7018890")</f>
        <v>0</v>
      </c>
      <c r="B12920" t="s">
        <v>1511</v>
      </c>
      <c r="C12920" t="s">
        <v>15559</v>
      </c>
      <c r="D12920" t="s">
        <v>18022</v>
      </c>
      <c r="E12920" t="s">
        <v>29272</v>
      </c>
      <c r="F12920" t="s">
        <v>31574</v>
      </c>
      <c r="G12920" t="s">
        <v>31582</v>
      </c>
      <c r="H12920" t="s">
        <v>31590</v>
      </c>
      <c r="I12920" t="s">
        <v>31608</v>
      </c>
      <c r="J12920" t="s">
        <v>39681</v>
      </c>
      <c r="K12920" t="s">
        <v>41210</v>
      </c>
      <c r="M12920" t="s">
        <v>44387</v>
      </c>
      <c r="N12920" t="s">
        <v>45095</v>
      </c>
      <c r="O12920" t="s">
        <v>45096</v>
      </c>
      <c r="Q12920">
        <v>11</v>
      </c>
      <c r="R12920" t="s">
        <v>45112</v>
      </c>
      <c r="S12920" t="s">
        <v>45776</v>
      </c>
      <c r="T12920" t="s">
        <v>46979</v>
      </c>
      <c r="U12920" t="s">
        <v>57979</v>
      </c>
      <c r="W12920" t="s">
        <v>44387</v>
      </c>
      <c r="X12920" t="s">
        <v>45113</v>
      </c>
    </row>
    <row r="12921" spans="1:24">
      <c r="A12921">
        <f>HYPERLINK("https://www.philgeps.gov.ph/GEPSNONPILOT/Tender/SplashBidNoticeAbstractUI.aspx?menuIndex=3&amp;refID=7018762&amp;Result=3","7018762")</f>
        <v>0</v>
      </c>
      <c r="B12921" t="s">
        <v>2998</v>
      </c>
      <c r="C12921" t="s">
        <v>15560</v>
      </c>
      <c r="D12921" t="s">
        <v>18027</v>
      </c>
      <c r="E12921" t="s">
        <v>19856</v>
      </c>
      <c r="F12921" t="s">
        <v>31574</v>
      </c>
      <c r="G12921" t="s">
        <v>31582</v>
      </c>
      <c r="H12921" t="s">
        <v>31591</v>
      </c>
      <c r="I12921" t="s">
        <v>8822</v>
      </c>
      <c r="J12921" t="s">
        <v>39682</v>
      </c>
      <c r="K12921" t="s">
        <v>41191</v>
      </c>
      <c r="M12921" t="s">
        <v>44824</v>
      </c>
      <c r="N12921" t="s">
        <v>45095</v>
      </c>
      <c r="O12921" t="s">
        <v>45096</v>
      </c>
      <c r="P12921">
        <v>0</v>
      </c>
      <c r="Q12921">
        <v>0</v>
      </c>
      <c r="R12921" t="s">
        <v>45112</v>
      </c>
      <c r="S12921" t="s">
        <v>45755</v>
      </c>
      <c r="T12921" t="s">
        <v>46910</v>
      </c>
      <c r="U12921" t="s">
        <v>49103</v>
      </c>
      <c r="W12921" t="s">
        <v>44824</v>
      </c>
      <c r="X12921" t="s">
        <v>45114</v>
      </c>
    </row>
    <row r="12922" spans="1:24">
      <c r="A12922">
        <f>HYPERLINK("https://www.philgeps.gov.ph/GEPSNONPILOT/Tender/SplashBidNoticeAbstractUI.aspx?menuIndex=3&amp;refID=7018897&amp;Result=3","7018897")</f>
        <v>0</v>
      </c>
      <c r="B12922" t="s">
        <v>953</v>
      </c>
      <c r="C12922" t="s">
        <v>15561</v>
      </c>
      <c r="D12922" t="s">
        <v>18090</v>
      </c>
      <c r="E12922" t="s">
        <v>29273</v>
      </c>
      <c r="F12922" t="s">
        <v>31574</v>
      </c>
      <c r="G12922" t="s">
        <v>31582</v>
      </c>
      <c r="H12922" t="s">
        <v>31590</v>
      </c>
      <c r="I12922" t="s">
        <v>8822</v>
      </c>
      <c r="J12922" t="s">
        <v>39683</v>
      </c>
      <c r="K12922" t="s">
        <v>41196</v>
      </c>
      <c r="M12922" t="s">
        <v>42480</v>
      </c>
      <c r="N12922" t="s">
        <v>45095</v>
      </c>
      <c r="O12922" t="s">
        <v>45096</v>
      </c>
      <c r="P12922">
        <v>0</v>
      </c>
      <c r="Q12922">
        <v>3</v>
      </c>
      <c r="R12922" t="s">
        <v>45112</v>
      </c>
      <c r="S12922" t="s">
        <v>45755</v>
      </c>
      <c r="T12922" t="s">
        <v>46945</v>
      </c>
      <c r="U12922" t="s">
        <v>55268</v>
      </c>
      <c r="W12922" t="s">
        <v>42480</v>
      </c>
      <c r="X12922" t="s">
        <v>45113</v>
      </c>
    </row>
    <row r="12923" spans="1:24">
      <c r="A12923">
        <f>HYPERLINK("https://www.philgeps.gov.ph/GEPSNONPILOT/Tender/SplashBidNoticeAbstractUI.aspx?menuIndex=3&amp;refID=7018896&amp;Result=3","7018896")</f>
        <v>0</v>
      </c>
      <c r="B12923" t="s">
        <v>953</v>
      </c>
      <c r="C12923" t="s">
        <v>6138</v>
      </c>
      <c r="D12923" t="s">
        <v>18090</v>
      </c>
      <c r="E12923" t="s">
        <v>29274</v>
      </c>
      <c r="F12923" t="s">
        <v>31574</v>
      </c>
      <c r="G12923" t="s">
        <v>31582</v>
      </c>
      <c r="H12923" t="s">
        <v>31591</v>
      </c>
      <c r="I12923" t="s">
        <v>8822</v>
      </c>
      <c r="J12923" t="s">
        <v>39684</v>
      </c>
      <c r="K12923" t="s">
        <v>41200</v>
      </c>
      <c r="M12923" t="s">
        <v>42480</v>
      </c>
      <c r="N12923" t="s">
        <v>45095</v>
      </c>
      <c r="O12923" t="s">
        <v>45096</v>
      </c>
      <c r="P12923">
        <v>0</v>
      </c>
      <c r="Q12923">
        <v>0</v>
      </c>
      <c r="R12923" t="s">
        <v>45112</v>
      </c>
      <c r="S12923" t="s">
        <v>45755</v>
      </c>
      <c r="T12923" t="s">
        <v>47403</v>
      </c>
      <c r="U12923" t="s">
        <v>57980</v>
      </c>
      <c r="W12923" t="s">
        <v>42480</v>
      </c>
      <c r="X12923" t="s">
        <v>45113</v>
      </c>
    </row>
    <row r="12924" spans="1:24">
      <c r="A12924">
        <f>HYPERLINK("https://www.philgeps.gov.ph/GEPSNONPILOT/Tender/SplashBidNoticeAbstractUI.aspx?menuIndex=3&amp;refID=7018892&amp;Result=3","7018892")</f>
        <v>0</v>
      </c>
      <c r="B12924" t="s">
        <v>953</v>
      </c>
      <c r="C12924" t="s">
        <v>15562</v>
      </c>
      <c r="D12924" t="s">
        <v>18090</v>
      </c>
      <c r="E12924" t="s">
        <v>29275</v>
      </c>
      <c r="F12924" t="s">
        <v>31574</v>
      </c>
      <c r="G12924" t="s">
        <v>31582</v>
      </c>
      <c r="H12924" t="s">
        <v>31591</v>
      </c>
      <c r="I12924" t="s">
        <v>8822</v>
      </c>
      <c r="J12924" t="s">
        <v>39685</v>
      </c>
      <c r="K12924" t="s">
        <v>41196</v>
      </c>
      <c r="M12924" t="s">
        <v>42480</v>
      </c>
      <c r="N12924" t="s">
        <v>45095</v>
      </c>
      <c r="O12924" t="s">
        <v>45096</v>
      </c>
      <c r="P12924">
        <v>0</v>
      </c>
      <c r="Q12924">
        <v>1</v>
      </c>
      <c r="R12924" t="s">
        <v>45112</v>
      </c>
      <c r="S12924" t="s">
        <v>45755</v>
      </c>
      <c r="T12924" t="s">
        <v>47403</v>
      </c>
      <c r="U12924" t="s">
        <v>57981</v>
      </c>
      <c r="W12924" t="s">
        <v>42480</v>
      </c>
      <c r="X12924" t="s">
        <v>45113</v>
      </c>
    </row>
    <row r="12925" spans="1:24">
      <c r="A12925">
        <f>HYPERLINK("https://www.philgeps.gov.ph/GEPSNONPILOT/Tender/SplashBidNoticeAbstractUI.aspx?menuIndex=3&amp;refID=7018999&amp;Result=3","7018999")</f>
        <v>0</v>
      </c>
      <c r="B12925" t="s">
        <v>942</v>
      </c>
      <c r="C12925" t="s">
        <v>15563</v>
      </c>
      <c r="D12925" t="s">
        <v>18036</v>
      </c>
      <c r="E12925" t="s">
        <v>29276</v>
      </c>
      <c r="F12925" t="s">
        <v>31574</v>
      </c>
      <c r="G12925" t="s">
        <v>31582</v>
      </c>
      <c r="H12925" t="s">
        <v>31590</v>
      </c>
      <c r="I12925" t="s">
        <v>14544</v>
      </c>
      <c r="J12925" t="s">
        <v>39686</v>
      </c>
      <c r="K12925" t="s">
        <v>41196</v>
      </c>
      <c r="M12925" t="s">
        <v>42469</v>
      </c>
      <c r="N12925" t="s">
        <v>45095</v>
      </c>
      <c r="O12925" t="s">
        <v>45096</v>
      </c>
      <c r="Q12925">
        <v>1</v>
      </c>
      <c r="R12925" t="s">
        <v>45112</v>
      </c>
      <c r="S12925" t="s">
        <v>45777</v>
      </c>
      <c r="T12925" t="s">
        <v>47143</v>
      </c>
      <c r="U12925" t="s">
        <v>57982</v>
      </c>
      <c r="V12925" t="s">
        <v>61264</v>
      </c>
      <c r="W12925" t="s">
        <v>42469</v>
      </c>
      <c r="X12925" t="s">
        <v>45113</v>
      </c>
    </row>
    <row r="12926" spans="1:24">
      <c r="A12926">
        <f>HYPERLINK("https://www.philgeps.gov.ph/GEPSNONPILOT/Tender/SplashBidNoticeAbstractUI.aspx?menuIndex=3&amp;refID=7019002&amp;Result=3","7019002")</f>
        <v>0</v>
      </c>
      <c r="B12926" t="s">
        <v>1098</v>
      </c>
      <c r="C12926" t="s">
        <v>15564</v>
      </c>
      <c r="D12926" t="s">
        <v>18055</v>
      </c>
      <c r="E12926" t="s">
        <v>29277</v>
      </c>
      <c r="F12926" t="s">
        <v>31574</v>
      </c>
      <c r="G12926" t="s">
        <v>31582</v>
      </c>
      <c r="H12926" t="s">
        <v>31590</v>
      </c>
      <c r="I12926" t="s">
        <v>3520</v>
      </c>
      <c r="J12926" t="s">
        <v>32476</v>
      </c>
      <c r="K12926" t="s">
        <v>41186</v>
      </c>
      <c r="M12926" t="s">
        <v>42647</v>
      </c>
      <c r="N12926" t="s">
        <v>45095</v>
      </c>
      <c r="O12926" t="s">
        <v>45096</v>
      </c>
      <c r="P12926">
        <v>0</v>
      </c>
      <c r="Q12926">
        <v>3</v>
      </c>
      <c r="R12926" t="s">
        <v>45112</v>
      </c>
      <c r="S12926" t="s">
        <v>45755</v>
      </c>
      <c r="T12926" t="s">
        <v>46955</v>
      </c>
      <c r="U12926" t="s">
        <v>57983</v>
      </c>
      <c r="V12926" t="s">
        <v>61265</v>
      </c>
      <c r="W12926" t="s">
        <v>42647</v>
      </c>
      <c r="X12926" t="s">
        <v>45113</v>
      </c>
    </row>
    <row r="12927" spans="1:24">
      <c r="A12927">
        <f>HYPERLINK("https://www.philgeps.gov.ph/GEPSNONPILOT/Tender/SplashBidNoticeAbstractUI.aspx?menuIndex=3&amp;refID=7018910&amp;Result=3","7018910")</f>
        <v>0</v>
      </c>
      <c r="B12927" t="s">
        <v>2999</v>
      </c>
      <c r="C12927" t="s">
        <v>15565</v>
      </c>
      <c r="D12927" t="s">
        <v>18048</v>
      </c>
      <c r="E12927" t="s">
        <v>22090</v>
      </c>
      <c r="F12927" t="s">
        <v>31574</v>
      </c>
      <c r="G12927" t="s">
        <v>31582</v>
      </c>
      <c r="H12927" t="s">
        <v>31591</v>
      </c>
      <c r="I12927" t="s">
        <v>8822</v>
      </c>
      <c r="J12927" t="s">
        <v>32662</v>
      </c>
      <c r="K12927" t="s">
        <v>41243</v>
      </c>
      <c r="L12927" t="s">
        <v>2999</v>
      </c>
      <c r="M12927" t="s">
        <v>44825</v>
      </c>
      <c r="N12927" t="s">
        <v>45095</v>
      </c>
      <c r="O12927" t="s">
        <v>45096</v>
      </c>
      <c r="P12927">
        <v>0</v>
      </c>
      <c r="Q12927">
        <v>2</v>
      </c>
      <c r="R12927" t="s">
        <v>45112</v>
      </c>
      <c r="S12927" t="s">
        <v>45755</v>
      </c>
      <c r="T12927" t="s">
        <v>46917</v>
      </c>
      <c r="U12927" t="s">
        <v>57984</v>
      </c>
      <c r="W12927" t="s">
        <v>44825</v>
      </c>
      <c r="X12927" t="s">
        <v>45113</v>
      </c>
    </row>
    <row r="12928" spans="1:24">
      <c r="A12928">
        <f>HYPERLINK("https://www.philgeps.gov.ph/GEPSNONPILOT/Tender/SplashBidNoticeAbstractUI.aspx?menuIndex=3&amp;refID=7018992&amp;Result=3","7018992")</f>
        <v>0</v>
      </c>
      <c r="B12928" t="s">
        <v>2137</v>
      </c>
      <c r="C12928" t="s">
        <v>15566</v>
      </c>
      <c r="D12928" t="s">
        <v>18064</v>
      </c>
      <c r="E12928" t="s">
        <v>19505</v>
      </c>
      <c r="F12928" t="s">
        <v>31574</v>
      </c>
      <c r="G12928" t="s">
        <v>31582</v>
      </c>
      <c r="H12928" t="s">
        <v>31590</v>
      </c>
      <c r="I12928" t="s">
        <v>31615</v>
      </c>
      <c r="J12928" t="s">
        <v>39687</v>
      </c>
      <c r="K12928" t="s">
        <v>41184</v>
      </c>
      <c r="M12928" t="s">
        <v>43819</v>
      </c>
      <c r="N12928" t="s">
        <v>45095</v>
      </c>
      <c r="O12928" t="s">
        <v>45096</v>
      </c>
      <c r="P12928">
        <v>0</v>
      </c>
      <c r="Q12928">
        <v>7</v>
      </c>
      <c r="R12928" t="s">
        <v>45112</v>
      </c>
      <c r="S12928" t="s">
        <v>45755</v>
      </c>
      <c r="T12928" t="s">
        <v>46932</v>
      </c>
      <c r="U12928" t="s">
        <v>57985</v>
      </c>
      <c r="W12928" t="s">
        <v>43819</v>
      </c>
      <c r="X12928" t="s">
        <v>45113</v>
      </c>
    </row>
    <row r="12929" spans="1:24">
      <c r="A12929">
        <f>HYPERLINK("https://www.philgeps.gov.ph/GEPSNONPILOT/Tender/SplashBidNoticeAbstractUI.aspx?menuIndex=3&amp;refID=7018964&amp;Result=3","7018964")</f>
        <v>0</v>
      </c>
      <c r="B12929" t="s">
        <v>3000</v>
      </c>
      <c r="C12929" t="s">
        <v>15567</v>
      </c>
      <c r="D12929" t="s">
        <v>18102</v>
      </c>
      <c r="E12929" t="s">
        <v>29278</v>
      </c>
      <c r="F12929" t="s">
        <v>31574</v>
      </c>
      <c r="G12929" t="s">
        <v>31582</v>
      </c>
      <c r="H12929" t="s">
        <v>31590</v>
      </c>
      <c r="I12929" t="s">
        <v>31600</v>
      </c>
      <c r="J12929" t="s">
        <v>39688</v>
      </c>
      <c r="K12929" t="s">
        <v>41186</v>
      </c>
      <c r="M12929" t="s">
        <v>44826</v>
      </c>
      <c r="N12929" t="s">
        <v>45095</v>
      </c>
      <c r="O12929" t="s">
        <v>45096</v>
      </c>
      <c r="P12929">
        <v>0</v>
      </c>
      <c r="Q12929">
        <v>0</v>
      </c>
      <c r="R12929" t="s">
        <v>45112</v>
      </c>
      <c r="S12929" t="s">
        <v>45755</v>
      </c>
      <c r="T12929" t="s">
        <v>47171</v>
      </c>
      <c r="U12929" t="s">
        <v>57986</v>
      </c>
      <c r="V12929" t="s">
        <v>61266</v>
      </c>
      <c r="W12929" t="s">
        <v>44826</v>
      </c>
      <c r="X12929" t="s">
        <v>45113</v>
      </c>
    </row>
    <row r="12930" spans="1:24">
      <c r="A12930">
        <f>HYPERLINK("https://www.philgeps.gov.ph/GEPSNONPILOT/Tender/SplashBidNoticeAbstractUI.aspx?menuIndex=3&amp;refID=7018967&amp;Result=3","7018967")</f>
        <v>0</v>
      </c>
      <c r="B12930" t="s">
        <v>2994</v>
      </c>
      <c r="C12930" t="s">
        <v>15568</v>
      </c>
      <c r="D12930" t="s">
        <v>18087</v>
      </c>
      <c r="E12930" t="s">
        <v>29279</v>
      </c>
      <c r="F12930" t="s">
        <v>31574</v>
      </c>
      <c r="G12930" t="s">
        <v>31582</v>
      </c>
      <c r="H12930" t="s">
        <v>31590</v>
      </c>
      <c r="I12930" t="s">
        <v>14544</v>
      </c>
      <c r="J12930" t="s">
        <v>33035</v>
      </c>
      <c r="K12930" t="s">
        <v>41196</v>
      </c>
      <c r="M12930" t="s">
        <v>44820</v>
      </c>
      <c r="N12930" t="s">
        <v>45095</v>
      </c>
      <c r="O12930" t="s">
        <v>45096</v>
      </c>
      <c r="P12930">
        <v>0</v>
      </c>
      <c r="Q12930">
        <v>1</v>
      </c>
      <c r="R12930" t="s">
        <v>45112</v>
      </c>
      <c r="S12930" t="s">
        <v>45755</v>
      </c>
      <c r="T12930" t="s">
        <v>46979</v>
      </c>
      <c r="U12930" t="s">
        <v>57987</v>
      </c>
      <c r="V12930" t="s">
        <v>61267</v>
      </c>
      <c r="W12930" t="s">
        <v>44820</v>
      </c>
      <c r="X12930" t="s">
        <v>45113</v>
      </c>
    </row>
    <row r="12931" spans="1:24">
      <c r="A12931">
        <f>HYPERLINK("https://www.philgeps.gov.ph/GEPSNONPILOT/Tender/SplashBidNoticeAbstractUI.aspx?menuIndex=3&amp;refID=7018893&amp;Result=3","7018893")</f>
        <v>0</v>
      </c>
      <c r="B12931" t="s">
        <v>953</v>
      </c>
      <c r="C12931" t="s">
        <v>13283</v>
      </c>
      <c r="D12931" t="s">
        <v>18090</v>
      </c>
      <c r="E12931" t="s">
        <v>29280</v>
      </c>
      <c r="F12931" t="s">
        <v>31574</v>
      </c>
      <c r="G12931" t="s">
        <v>31582</v>
      </c>
      <c r="H12931" t="s">
        <v>31591</v>
      </c>
      <c r="I12931" t="s">
        <v>8822</v>
      </c>
      <c r="J12931" t="s">
        <v>39689</v>
      </c>
      <c r="K12931" t="s">
        <v>41192</v>
      </c>
      <c r="M12931" t="s">
        <v>42480</v>
      </c>
      <c r="N12931" t="s">
        <v>45095</v>
      </c>
      <c r="O12931" t="s">
        <v>45096</v>
      </c>
      <c r="P12931">
        <v>0</v>
      </c>
      <c r="Q12931">
        <v>0</v>
      </c>
      <c r="R12931" t="s">
        <v>45112</v>
      </c>
      <c r="S12931" t="s">
        <v>45755</v>
      </c>
      <c r="T12931" t="s">
        <v>47403</v>
      </c>
      <c r="U12931" t="s">
        <v>57988</v>
      </c>
      <c r="W12931" t="s">
        <v>42480</v>
      </c>
      <c r="X12931" t="s">
        <v>45113</v>
      </c>
    </row>
    <row r="12932" spans="1:24">
      <c r="A12932">
        <f>HYPERLINK("https://www.philgeps.gov.ph/GEPSNONPILOT/Tender/SplashBidNoticeAbstractUI.aspx?menuIndex=3&amp;refID=7018938&amp;Result=3","7018938")</f>
        <v>0</v>
      </c>
      <c r="B12932" t="s">
        <v>1098</v>
      </c>
      <c r="C12932" t="s">
        <v>15569</v>
      </c>
      <c r="D12932" t="s">
        <v>18055</v>
      </c>
      <c r="E12932" t="s">
        <v>29281</v>
      </c>
      <c r="F12932" t="s">
        <v>31574</v>
      </c>
      <c r="G12932" t="s">
        <v>31582</v>
      </c>
      <c r="H12932" t="s">
        <v>31590</v>
      </c>
      <c r="I12932" t="s">
        <v>3487</v>
      </c>
      <c r="J12932" t="s">
        <v>39690</v>
      </c>
      <c r="K12932" t="s">
        <v>41196</v>
      </c>
      <c r="M12932" t="s">
        <v>42647</v>
      </c>
      <c r="N12932" t="s">
        <v>45095</v>
      </c>
      <c r="O12932" t="s">
        <v>45096</v>
      </c>
      <c r="P12932">
        <v>0</v>
      </c>
      <c r="Q12932">
        <v>8</v>
      </c>
      <c r="R12932" t="s">
        <v>45112</v>
      </c>
      <c r="S12932" t="s">
        <v>45755</v>
      </c>
      <c r="T12932" t="s">
        <v>47008</v>
      </c>
      <c r="U12932" t="s">
        <v>57989</v>
      </c>
      <c r="V12932" t="s">
        <v>61268</v>
      </c>
      <c r="W12932" t="s">
        <v>42647</v>
      </c>
      <c r="X12932" t="s">
        <v>45113</v>
      </c>
    </row>
    <row r="12933" spans="1:24">
      <c r="A12933">
        <f>HYPERLINK("https://www.philgeps.gov.ph/GEPSNONPILOT/Tender/SplashBidNoticeAbstractUI.aspx?menuIndex=3&amp;refID=7018974&amp;Result=3","7018974")</f>
        <v>0</v>
      </c>
      <c r="B12933" t="s">
        <v>1256</v>
      </c>
      <c r="C12933" t="s">
        <v>15570</v>
      </c>
      <c r="E12933" t="s">
        <v>29282</v>
      </c>
      <c r="F12933" t="s">
        <v>31574</v>
      </c>
      <c r="G12933" t="s">
        <v>31582</v>
      </c>
      <c r="H12933" t="s">
        <v>31590</v>
      </c>
      <c r="I12933" t="s">
        <v>31608</v>
      </c>
      <c r="J12933" t="s">
        <v>31771</v>
      </c>
      <c r="K12933" t="s">
        <v>41184</v>
      </c>
      <c r="M12933" t="s">
        <v>42823</v>
      </c>
      <c r="N12933" t="s">
        <v>45095</v>
      </c>
      <c r="O12933" t="s">
        <v>45096</v>
      </c>
      <c r="Q12933">
        <v>21</v>
      </c>
      <c r="R12933" t="s">
        <v>45112</v>
      </c>
      <c r="S12933" t="s">
        <v>45351</v>
      </c>
      <c r="T12933" t="s">
        <v>46945</v>
      </c>
      <c r="U12933" t="s">
        <v>50108</v>
      </c>
      <c r="W12933" t="s">
        <v>42823</v>
      </c>
      <c r="X12933" t="s">
        <v>45113</v>
      </c>
    </row>
    <row r="12934" spans="1:24">
      <c r="A12934">
        <f>HYPERLINK("https://www.philgeps.gov.ph/GEPSNONPILOT/Tender/SplashBidNoticeAbstractUI.aspx?menuIndex=3&amp;refID=7019004&amp;Result=3","7019004")</f>
        <v>0</v>
      </c>
      <c r="B12934" t="s">
        <v>942</v>
      </c>
      <c r="C12934" t="s">
        <v>15571</v>
      </c>
      <c r="D12934" t="s">
        <v>18036</v>
      </c>
      <c r="E12934" t="s">
        <v>29283</v>
      </c>
      <c r="F12934" t="s">
        <v>31574</v>
      </c>
      <c r="G12934" t="s">
        <v>31582</v>
      </c>
      <c r="H12934" t="s">
        <v>31590</v>
      </c>
      <c r="I12934" t="s">
        <v>14544</v>
      </c>
      <c r="J12934" t="s">
        <v>39691</v>
      </c>
      <c r="K12934" t="s">
        <v>41196</v>
      </c>
      <c r="M12934" t="s">
        <v>42469</v>
      </c>
      <c r="N12934" t="s">
        <v>45095</v>
      </c>
      <c r="O12934" t="s">
        <v>45096</v>
      </c>
      <c r="P12934">
        <v>0</v>
      </c>
      <c r="Q12934">
        <v>0</v>
      </c>
      <c r="R12934" t="s">
        <v>45112</v>
      </c>
      <c r="S12934" t="s">
        <v>45755</v>
      </c>
      <c r="T12934" t="s">
        <v>47143</v>
      </c>
      <c r="U12934" t="s">
        <v>57990</v>
      </c>
      <c r="V12934" t="s">
        <v>61264</v>
      </c>
      <c r="W12934" t="s">
        <v>42469</v>
      </c>
      <c r="X12934" t="s">
        <v>45113</v>
      </c>
    </row>
    <row r="12935" spans="1:24">
      <c r="A12935">
        <f>HYPERLINK("https://www.philgeps.gov.ph/GEPSNONPILOT/Tender/SplashBidNoticeAbstractUI.aspx?menuIndex=3&amp;refID=7018993&amp;Result=3","7018993")</f>
        <v>0</v>
      </c>
      <c r="B12935" t="s">
        <v>2137</v>
      </c>
      <c r="C12935" t="s">
        <v>15572</v>
      </c>
      <c r="D12935" t="s">
        <v>18064</v>
      </c>
      <c r="E12935" t="s">
        <v>19545</v>
      </c>
      <c r="F12935" t="s">
        <v>31574</v>
      </c>
      <c r="G12935" t="s">
        <v>31582</v>
      </c>
      <c r="H12935" t="s">
        <v>31590</v>
      </c>
      <c r="I12935" t="s">
        <v>31615</v>
      </c>
      <c r="J12935" t="s">
        <v>39692</v>
      </c>
      <c r="K12935" t="s">
        <v>41184</v>
      </c>
      <c r="M12935" t="s">
        <v>43819</v>
      </c>
      <c r="N12935" t="s">
        <v>45095</v>
      </c>
      <c r="O12935" t="s">
        <v>45096</v>
      </c>
      <c r="P12935">
        <v>0</v>
      </c>
      <c r="Q12935">
        <v>4</v>
      </c>
      <c r="R12935" t="s">
        <v>45112</v>
      </c>
      <c r="S12935" t="s">
        <v>45755</v>
      </c>
      <c r="T12935" t="s">
        <v>46932</v>
      </c>
      <c r="U12935" t="s">
        <v>57991</v>
      </c>
      <c r="W12935" t="s">
        <v>43819</v>
      </c>
      <c r="X12935" t="s">
        <v>45113</v>
      </c>
    </row>
    <row r="12936" spans="1:24">
      <c r="A12936">
        <f>HYPERLINK("https://www.philgeps.gov.ph/GEPSNONPILOT/Tender/SplashBidNoticeAbstractUI.aspx?menuIndex=3&amp;refID=7018902&amp;Result=3","7018902")</f>
        <v>0</v>
      </c>
      <c r="B12936" t="s">
        <v>2999</v>
      </c>
      <c r="C12936" t="s">
        <v>15573</v>
      </c>
      <c r="D12936" t="s">
        <v>18048</v>
      </c>
      <c r="E12936" t="s">
        <v>18430</v>
      </c>
      <c r="F12936" t="s">
        <v>31574</v>
      </c>
      <c r="G12936" t="s">
        <v>31582</v>
      </c>
      <c r="H12936" t="s">
        <v>31591</v>
      </c>
      <c r="I12936" t="s">
        <v>8822</v>
      </c>
      <c r="J12936" t="s">
        <v>35234</v>
      </c>
      <c r="K12936" t="s">
        <v>41192</v>
      </c>
      <c r="L12936" t="s">
        <v>2999</v>
      </c>
      <c r="M12936" t="s">
        <v>44825</v>
      </c>
      <c r="N12936" t="s">
        <v>45095</v>
      </c>
      <c r="O12936" t="s">
        <v>45096</v>
      </c>
      <c r="P12936">
        <v>0</v>
      </c>
      <c r="Q12936">
        <v>1</v>
      </c>
      <c r="R12936" t="s">
        <v>45112</v>
      </c>
      <c r="S12936" t="s">
        <v>45755</v>
      </c>
      <c r="T12936" t="s">
        <v>46917</v>
      </c>
      <c r="U12936" t="s">
        <v>57992</v>
      </c>
      <c r="W12936" t="s">
        <v>44825</v>
      </c>
      <c r="X12936" t="s">
        <v>45113</v>
      </c>
    </row>
    <row r="12937" spans="1:24">
      <c r="A12937">
        <f>HYPERLINK("https://www.philgeps.gov.ph/GEPSNONPILOT/Tender/SplashBidNoticeAbstractUI.aspx?menuIndex=3&amp;refID=7018957&amp;Result=3","7018957")</f>
        <v>0</v>
      </c>
      <c r="B12937" t="s">
        <v>3000</v>
      </c>
      <c r="C12937" t="s">
        <v>15574</v>
      </c>
      <c r="D12937" t="s">
        <v>18102</v>
      </c>
      <c r="E12937" t="s">
        <v>29284</v>
      </c>
      <c r="F12937" t="s">
        <v>31574</v>
      </c>
      <c r="G12937" t="s">
        <v>31582</v>
      </c>
      <c r="H12937" t="s">
        <v>31590</v>
      </c>
      <c r="I12937" t="s">
        <v>31599</v>
      </c>
      <c r="J12937" t="s">
        <v>31848</v>
      </c>
      <c r="K12937" t="s">
        <v>41186</v>
      </c>
      <c r="M12937" t="s">
        <v>44826</v>
      </c>
      <c r="N12937" t="s">
        <v>45095</v>
      </c>
      <c r="O12937" t="s">
        <v>45096</v>
      </c>
      <c r="P12937">
        <v>0</v>
      </c>
      <c r="Q12937">
        <v>0</v>
      </c>
      <c r="R12937" t="s">
        <v>45112</v>
      </c>
      <c r="S12937" t="s">
        <v>45755</v>
      </c>
      <c r="T12937" t="s">
        <v>47171</v>
      </c>
      <c r="U12937" t="s">
        <v>57986</v>
      </c>
      <c r="V12937" t="s">
        <v>61269</v>
      </c>
      <c r="W12937" t="s">
        <v>44826</v>
      </c>
      <c r="X12937" t="s">
        <v>45113</v>
      </c>
    </row>
    <row r="12938" spans="1:24">
      <c r="A12938">
        <f>HYPERLINK("https://www.philgeps.gov.ph/GEPSNONPILOT/Tender/SplashBidNoticeAbstractUI.aspx?menuIndex=3&amp;refID=7018916&amp;Result=3","7018916")</f>
        <v>0</v>
      </c>
      <c r="B12938" t="s">
        <v>2448</v>
      </c>
      <c r="C12938" t="s">
        <v>15575</v>
      </c>
      <c r="D12938" t="s">
        <v>18047</v>
      </c>
      <c r="E12938" t="s">
        <v>29285</v>
      </c>
      <c r="F12938" t="s">
        <v>31574</v>
      </c>
      <c r="G12938" t="s">
        <v>31582</v>
      </c>
      <c r="H12938" t="s">
        <v>31591</v>
      </c>
      <c r="I12938" t="s">
        <v>8822</v>
      </c>
      <c r="J12938" t="s">
        <v>35794</v>
      </c>
      <c r="K12938" t="s">
        <v>41200</v>
      </c>
      <c r="M12938" t="s">
        <v>44176</v>
      </c>
      <c r="N12938" t="s">
        <v>45095</v>
      </c>
      <c r="O12938" t="s">
        <v>45096</v>
      </c>
      <c r="P12938">
        <v>0</v>
      </c>
      <c r="Q12938">
        <v>0</v>
      </c>
      <c r="R12938" t="s">
        <v>45112</v>
      </c>
      <c r="S12938" t="s">
        <v>45755</v>
      </c>
      <c r="T12938" t="s">
        <v>46932</v>
      </c>
      <c r="U12938" t="s">
        <v>57993</v>
      </c>
      <c r="W12938" t="s">
        <v>44176</v>
      </c>
      <c r="X12938" t="s">
        <v>45113</v>
      </c>
    </row>
    <row r="12939" spans="1:24">
      <c r="A12939">
        <f>HYPERLINK("https://www.philgeps.gov.ph/GEPSNONPILOT/Tender/SplashBidNoticeAbstractUI.aspx?menuIndex=3&amp;refID=7018898&amp;Result=3","7018898")</f>
        <v>0</v>
      </c>
      <c r="B12939" t="s">
        <v>2999</v>
      </c>
      <c r="C12939" t="s">
        <v>15576</v>
      </c>
      <c r="D12939" t="s">
        <v>18048</v>
      </c>
      <c r="E12939" t="s">
        <v>18553</v>
      </c>
      <c r="F12939" t="s">
        <v>31574</v>
      </c>
      <c r="G12939" t="s">
        <v>31582</v>
      </c>
      <c r="H12939" t="s">
        <v>31591</v>
      </c>
      <c r="I12939" t="s">
        <v>8822</v>
      </c>
      <c r="J12939" t="s">
        <v>31935</v>
      </c>
      <c r="K12939" t="s">
        <v>41192</v>
      </c>
      <c r="L12939" t="s">
        <v>2999</v>
      </c>
      <c r="M12939" t="s">
        <v>44825</v>
      </c>
      <c r="N12939" t="s">
        <v>45095</v>
      </c>
      <c r="O12939" t="s">
        <v>45096</v>
      </c>
      <c r="P12939">
        <v>0</v>
      </c>
      <c r="Q12939">
        <v>1</v>
      </c>
      <c r="R12939" t="s">
        <v>45112</v>
      </c>
      <c r="S12939" t="s">
        <v>45755</v>
      </c>
      <c r="T12939" t="s">
        <v>46917</v>
      </c>
      <c r="U12939" t="s">
        <v>57994</v>
      </c>
      <c r="W12939" t="s">
        <v>44825</v>
      </c>
      <c r="X12939" t="s">
        <v>45113</v>
      </c>
    </row>
    <row r="12940" spans="1:24">
      <c r="A12940">
        <f>HYPERLINK("https://www.philgeps.gov.ph/GEPSNONPILOT/Tender/SplashBidNoticeAbstractUI.aspx?menuIndex=3&amp;refID=7018934&amp;Result=3","7018934")</f>
        <v>0</v>
      </c>
      <c r="B12940" t="s">
        <v>3001</v>
      </c>
      <c r="C12940" t="s">
        <v>5553</v>
      </c>
      <c r="E12940" t="s">
        <v>18448</v>
      </c>
      <c r="F12940" t="s">
        <v>31574</v>
      </c>
      <c r="G12940" t="s">
        <v>31582</v>
      </c>
      <c r="H12940" t="s">
        <v>31590</v>
      </c>
      <c r="I12940" t="s">
        <v>8822</v>
      </c>
      <c r="J12940" t="s">
        <v>39693</v>
      </c>
      <c r="K12940" t="s">
        <v>41184</v>
      </c>
      <c r="M12940" t="s">
        <v>44827</v>
      </c>
      <c r="N12940" t="s">
        <v>45095</v>
      </c>
      <c r="O12940" t="s">
        <v>45096</v>
      </c>
      <c r="P12940">
        <v>0</v>
      </c>
      <c r="Q12940">
        <v>0</v>
      </c>
      <c r="R12940" t="s">
        <v>45112</v>
      </c>
      <c r="S12940" t="s">
        <v>45755</v>
      </c>
      <c r="T12940" t="s">
        <v>47050</v>
      </c>
      <c r="U12940" t="s">
        <v>50687</v>
      </c>
      <c r="W12940" t="s">
        <v>44827</v>
      </c>
      <c r="X12940" t="s">
        <v>45113</v>
      </c>
    </row>
    <row r="12941" spans="1:24">
      <c r="A12941">
        <f>HYPERLINK("https://www.philgeps.gov.ph/GEPSNONPILOT/Tender/SplashBidNoticeAbstractUI.aspx?menuIndex=3&amp;refID=7019041&amp;Result=3","7019041")</f>
        <v>0</v>
      </c>
      <c r="B12941" t="s">
        <v>3002</v>
      </c>
      <c r="C12941" t="s">
        <v>15577</v>
      </c>
      <c r="D12941" t="s">
        <v>18043</v>
      </c>
      <c r="E12941" t="s">
        <v>25038</v>
      </c>
      <c r="F12941" t="s">
        <v>31574</v>
      </c>
      <c r="G12941" t="s">
        <v>31582</v>
      </c>
      <c r="H12941" t="s">
        <v>31590</v>
      </c>
      <c r="I12941" t="s">
        <v>4046</v>
      </c>
      <c r="J12941" t="s">
        <v>39694</v>
      </c>
      <c r="K12941" t="s">
        <v>41191</v>
      </c>
      <c r="M12941" t="s">
        <v>44828</v>
      </c>
      <c r="N12941" t="s">
        <v>45095</v>
      </c>
      <c r="O12941" t="s">
        <v>45096</v>
      </c>
      <c r="P12941">
        <v>0</v>
      </c>
      <c r="Q12941">
        <v>1</v>
      </c>
      <c r="R12941" t="s">
        <v>45112</v>
      </c>
      <c r="S12941" t="s">
        <v>45755</v>
      </c>
      <c r="T12941" t="s">
        <v>47105</v>
      </c>
      <c r="U12941" t="s">
        <v>57995</v>
      </c>
      <c r="W12941" t="s">
        <v>44828</v>
      </c>
      <c r="X12941" t="s">
        <v>45113</v>
      </c>
    </row>
    <row r="12942" spans="1:24">
      <c r="A12942">
        <f>HYPERLINK("https://www.philgeps.gov.ph/GEPSNONPILOT/Tender/SplashBidNoticeAbstractUI.aspx?menuIndex=3&amp;refID=7019029&amp;Result=3","7019029")</f>
        <v>0</v>
      </c>
      <c r="B12942" t="s">
        <v>1087</v>
      </c>
      <c r="C12942" t="s">
        <v>15578</v>
      </c>
      <c r="D12942" t="s">
        <v>18107</v>
      </c>
      <c r="E12942" t="s">
        <v>29286</v>
      </c>
      <c r="F12942" t="s">
        <v>31574</v>
      </c>
      <c r="G12942" t="s">
        <v>31582</v>
      </c>
      <c r="H12942" t="s">
        <v>31590</v>
      </c>
      <c r="I12942" t="s">
        <v>5717</v>
      </c>
      <c r="J12942" t="s">
        <v>39695</v>
      </c>
      <c r="K12942" t="s">
        <v>41196</v>
      </c>
      <c r="M12942" t="s">
        <v>42636</v>
      </c>
      <c r="N12942" t="s">
        <v>45095</v>
      </c>
      <c r="O12942" t="s">
        <v>45096</v>
      </c>
      <c r="P12942">
        <v>0</v>
      </c>
      <c r="Q12942">
        <v>1</v>
      </c>
      <c r="R12942" t="s">
        <v>45112</v>
      </c>
      <c r="S12942" t="s">
        <v>45755</v>
      </c>
      <c r="T12942" t="s">
        <v>46910</v>
      </c>
      <c r="U12942" t="s">
        <v>57996</v>
      </c>
      <c r="W12942" t="s">
        <v>42636</v>
      </c>
      <c r="X12942" t="s">
        <v>45113</v>
      </c>
    </row>
    <row r="12943" spans="1:24">
      <c r="A12943">
        <f>HYPERLINK("https://www.philgeps.gov.ph/GEPSNONPILOT/Tender/SplashBidNoticeAbstractUI.aspx?menuIndex=3&amp;refID=7019035&amp;Result=3","7019035")</f>
        <v>0</v>
      </c>
      <c r="B12943" t="s">
        <v>1997</v>
      </c>
      <c r="C12943" t="s">
        <v>15579</v>
      </c>
      <c r="D12943" t="s">
        <v>18023</v>
      </c>
      <c r="E12943" t="s">
        <v>29287</v>
      </c>
      <c r="F12943" t="s">
        <v>31574</v>
      </c>
      <c r="G12943" t="s">
        <v>31582</v>
      </c>
      <c r="H12943" t="s">
        <v>31591</v>
      </c>
      <c r="I12943" t="s">
        <v>8822</v>
      </c>
      <c r="J12943" t="s">
        <v>34059</v>
      </c>
      <c r="K12943" t="s">
        <v>41363</v>
      </c>
      <c r="M12943" t="s">
        <v>43659</v>
      </c>
      <c r="N12943" t="s">
        <v>45095</v>
      </c>
      <c r="O12943" t="s">
        <v>45096</v>
      </c>
      <c r="P12943">
        <v>0</v>
      </c>
      <c r="Q12943">
        <v>12</v>
      </c>
      <c r="R12943" t="s">
        <v>45112</v>
      </c>
      <c r="S12943" t="s">
        <v>45755</v>
      </c>
      <c r="T12943" t="s">
        <v>46979</v>
      </c>
      <c r="U12943" t="s">
        <v>57997</v>
      </c>
      <c r="V12943" t="s">
        <v>61270</v>
      </c>
      <c r="W12943" t="s">
        <v>43659</v>
      </c>
      <c r="X12943" t="s">
        <v>45113</v>
      </c>
    </row>
    <row r="12944" spans="1:24">
      <c r="A12944">
        <f>HYPERLINK("https://www.philgeps.gov.ph/GEPSNONPILOT/Tender/SplashBidNoticeAbstractUI.aspx?menuIndex=3&amp;refID=7019087&amp;Result=3","7019087")</f>
        <v>0</v>
      </c>
      <c r="B12944" t="s">
        <v>1120</v>
      </c>
      <c r="C12944" t="s">
        <v>15580</v>
      </c>
      <c r="E12944" t="s">
        <v>29288</v>
      </c>
      <c r="F12944" t="s">
        <v>31574</v>
      </c>
      <c r="G12944" t="s">
        <v>31581</v>
      </c>
      <c r="H12944" t="s">
        <v>31590</v>
      </c>
      <c r="I12944" t="s">
        <v>31594</v>
      </c>
      <c r="J12944" t="s">
        <v>39048</v>
      </c>
      <c r="K12944" t="s">
        <v>41192</v>
      </c>
      <c r="M12944" t="s">
        <v>42817</v>
      </c>
      <c r="N12944" t="s">
        <v>45095</v>
      </c>
      <c r="O12944" t="s">
        <v>45096</v>
      </c>
      <c r="Q12944">
        <v>18</v>
      </c>
      <c r="R12944" t="s">
        <v>45112</v>
      </c>
      <c r="S12944" t="s">
        <v>45778</v>
      </c>
      <c r="T12944" t="s">
        <v>47176</v>
      </c>
      <c r="U12944" t="s">
        <v>57998</v>
      </c>
      <c r="W12944" t="s">
        <v>42817</v>
      </c>
      <c r="X12944" t="s">
        <v>45113</v>
      </c>
    </row>
    <row r="12945" spans="1:24">
      <c r="A12945">
        <f>HYPERLINK("https://www.philgeps.gov.ph/GEPSNONPILOT/Tender/SplashBidNoticeAbstractUI.aspx?menuIndex=3&amp;refID=7019073&amp;Result=3","7019073")</f>
        <v>0</v>
      </c>
      <c r="B12945" t="s">
        <v>1997</v>
      </c>
      <c r="C12945" t="s">
        <v>15581</v>
      </c>
      <c r="D12945" t="s">
        <v>18023</v>
      </c>
      <c r="E12945" t="s">
        <v>29289</v>
      </c>
      <c r="F12945" t="s">
        <v>31574</v>
      </c>
      <c r="G12945" t="s">
        <v>31582</v>
      </c>
      <c r="H12945" t="s">
        <v>31591</v>
      </c>
      <c r="I12945" t="s">
        <v>8822</v>
      </c>
      <c r="J12945" t="s">
        <v>37939</v>
      </c>
      <c r="K12945" t="s">
        <v>41453</v>
      </c>
      <c r="M12945" t="s">
        <v>43659</v>
      </c>
      <c r="N12945" t="s">
        <v>45095</v>
      </c>
      <c r="O12945" t="s">
        <v>45096</v>
      </c>
      <c r="P12945">
        <v>0</v>
      </c>
      <c r="Q12945">
        <v>3</v>
      </c>
      <c r="R12945" t="s">
        <v>45112</v>
      </c>
      <c r="S12945" t="s">
        <v>45755</v>
      </c>
      <c r="T12945" t="s">
        <v>46979</v>
      </c>
      <c r="U12945" t="s">
        <v>57999</v>
      </c>
      <c r="V12945" t="s">
        <v>61270</v>
      </c>
      <c r="W12945" t="s">
        <v>43659</v>
      </c>
      <c r="X12945" t="s">
        <v>45113</v>
      </c>
    </row>
    <row r="12946" spans="1:24">
      <c r="A12946">
        <f>HYPERLINK("https://www.philgeps.gov.ph/GEPSNONPILOT/Tender/SplashBidNoticeAbstractUI.aspx?menuIndex=3&amp;refID=7019057&amp;Result=3","7019057")</f>
        <v>0</v>
      </c>
      <c r="B12946" t="s">
        <v>670</v>
      </c>
      <c r="C12946" t="s">
        <v>15582</v>
      </c>
      <c r="D12946" t="s">
        <v>18022</v>
      </c>
      <c r="E12946" t="s">
        <v>29290</v>
      </c>
      <c r="F12946" t="s">
        <v>31574</v>
      </c>
      <c r="G12946" t="s">
        <v>31582</v>
      </c>
      <c r="H12946" t="s">
        <v>31590</v>
      </c>
      <c r="I12946" t="s">
        <v>31594</v>
      </c>
      <c r="J12946" t="s">
        <v>39696</v>
      </c>
      <c r="K12946" t="s">
        <v>41186</v>
      </c>
      <c r="M12946" t="s">
        <v>44829</v>
      </c>
      <c r="N12946" t="s">
        <v>45095</v>
      </c>
      <c r="O12946" t="s">
        <v>45096</v>
      </c>
      <c r="P12946">
        <v>0</v>
      </c>
      <c r="Q12946">
        <v>10</v>
      </c>
      <c r="R12946" t="s">
        <v>45112</v>
      </c>
      <c r="S12946" t="s">
        <v>45755</v>
      </c>
      <c r="T12946" t="s">
        <v>46914</v>
      </c>
      <c r="U12946" t="s">
        <v>58000</v>
      </c>
      <c r="W12946" t="s">
        <v>44829</v>
      </c>
      <c r="X12946" t="s">
        <v>45113</v>
      </c>
    </row>
    <row r="12947" spans="1:24">
      <c r="A12947">
        <f>HYPERLINK("https://www.philgeps.gov.ph/GEPSNONPILOT/Tender/SplashBidNoticeAbstractUI.aspx?menuIndex=3&amp;refID=7019054&amp;Result=3","7019054")</f>
        <v>0</v>
      </c>
      <c r="B12947" t="s">
        <v>1120</v>
      </c>
      <c r="C12947" t="s">
        <v>15583</v>
      </c>
      <c r="E12947" t="s">
        <v>29291</v>
      </c>
      <c r="F12947" t="s">
        <v>31574</v>
      </c>
      <c r="G12947" t="s">
        <v>31581</v>
      </c>
      <c r="H12947" t="s">
        <v>31590</v>
      </c>
      <c r="I12947" t="s">
        <v>31597</v>
      </c>
      <c r="J12947" t="s">
        <v>39697</v>
      </c>
      <c r="K12947" t="s">
        <v>41185</v>
      </c>
      <c r="M12947" t="s">
        <v>42817</v>
      </c>
      <c r="N12947" t="s">
        <v>45095</v>
      </c>
      <c r="O12947" t="s">
        <v>45096</v>
      </c>
      <c r="Q12947">
        <v>5</v>
      </c>
      <c r="R12947" t="s">
        <v>45112</v>
      </c>
      <c r="S12947" t="s">
        <v>45779</v>
      </c>
      <c r="T12947" t="s">
        <v>47176</v>
      </c>
      <c r="U12947" t="s">
        <v>58001</v>
      </c>
      <c r="W12947" t="s">
        <v>42817</v>
      </c>
      <c r="X12947" t="s">
        <v>45113</v>
      </c>
    </row>
    <row r="12948" spans="1:24">
      <c r="A12948">
        <f>HYPERLINK("https://www.philgeps.gov.ph/GEPSNONPILOT/Tender/SplashBidNoticeAbstractUI.aspx?menuIndex=3&amp;refID=7019098&amp;Result=3","7019098")</f>
        <v>0</v>
      </c>
      <c r="B12948" t="s">
        <v>1256</v>
      </c>
      <c r="C12948" t="s">
        <v>15584</v>
      </c>
      <c r="E12948" t="s">
        <v>29292</v>
      </c>
      <c r="F12948" t="s">
        <v>31574</v>
      </c>
      <c r="G12948" t="s">
        <v>31581</v>
      </c>
      <c r="H12948" t="s">
        <v>31590</v>
      </c>
      <c r="I12948" t="s">
        <v>31594</v>
      </c>
      <c r="J12948" t="s">
        <v>31848</v>
      </c>
      <c r="K12948" t="s">
        <v>41186</v>
      </c>
      <c r="M12948" t="s">
        <v>42823</v>
      </c>
      <c r="N12948" t="s">
        <v>45095</v>
      </c>
      <c r="O12948" t="s">
        <v>45096</v>
      </c>
      <c r="Q12948">
        <v>8</v>
      </c>
      <c r="R12948" t="s">
        <v>45112</v>
      </c>
      <c r="S12948" t="s">
        <v>45780</v>
      </c>
      <c r="T12948" t="s">
        <v>47176</v>
      </c>
      <c r="U12948" t="s">
        <v>58002</v>
      </c>
      <c r="W12948" t="s">
        <v>42823</v>
      </c>
      <c r="X12948" t="s">
        <v>45113</v>
      </c>
    </row>
    <row r="12949" spans="1:24">
      <c r="A12949">
        <f>HYPERLINK("https://www.philgeps.gov.ph/GEPSNONPILOT/Tender/SplashBidNoticeAbstractUI.aspx?menuIndex=3&amp;refID=7019058&amp;Result=3","7019058")</f>
        <v>0</v>
      </c>
      <c r="B12949" t="s">
        <v>670</v>
      </c>
      <c r="C12949" t="s">
        <v>15585</v>
      </c>
      <c r="D12949" t="s">
        <v>18022</v>
      </c>
      <c r="E12949" t="s">
        <v>29293</v>
      </c>
      <c r="F12949" t="s">
        <v>31574</v>
      </c>
      <c r="G12949" t="s">
        <v>31582</v>
      </c>
      <c r="H12949" t="s">
        <v>31590</v>
      </c>
      <c r="I12949" t="s">
        <v>31594</v>
      </c>
      <c r="J12949" t="s">
        <v>39698</v>
      </c>
      <c r="K12949" t="s">
        <v>41189</v>
      </c>
      <c r="M12949" t="s">
        <v>44829</v>
      </c>
      <c r="N12949" t="s">
        <v>45095</v>
      </c>
      <c r="O12949" t="s">
        <v>45096</v>
      </c>
      <c r="P12949">
        <v>0</v>
      </c>
      <c r="Q12949">
        <v>14</v>
      </c>
      <c r="R12949" t="s">
        <v>45112</v>
      </c>
      <c r="S12949" t="s">
        <v>45755</v>
      </c>
      <c r="T12949" t="s">
        <v>46914</v>
      </c>
      <c r="U12949" t="s">
        <v>58003</v>
      </c>
      <c r="W12949" t="s">
        <v>44829</v>
      </c>
      <c r="X12949" t="s">
        <v>45113</v>
      </c>
    </row>
    <row r="12950" spans="1:24">
      <c r="A12950">
        <f>HYPERLINK("https://www.philgeps.gov.ph/GEPSNONPILOT/Tender/SplashBidNoticeAbstractUI.aspx?menuIndex=3&amp;refID=7019034&amp;Result=3","7019034")</f>
        <v>0</v>
      </c>
      <c r="B12950" t="s">
        <v>194</v>
      </c>
      <c r="C12950" t="s">
        <v>15586</v>
      </c>
      <c r="D12950" t="s">
        <v>18065</v>
      </c>
      <c r="E12950" t="s">
        <v>24761</v>
      </c>
      <c r="F12950" t="s">
        <v>31574</v>
      </c>
      <c r="G12950" t="s">
        <v>31582</v>
      </c>
      <c r="H12950" t="s">
        <v>31590</v>
      </c>
      <c r="I12950" t="s">
        <v>31595</v>
      </c>
      <c r="J12950" t="s">
        <v>39699</v>
      </c>
      <c r="K12950" t="s">
        <v>41184</v>
      </c>
      <c r="M12950" t="s">
        <v>41679</v>
      </c>
      <c r="N12950" t="s">
        <v>45095</v>
      </c>
      <c r="O12950" t="s">
        <v>45096</v>
      </c>
      <c r="Q12950">
        <v>8</v>
      </c>
      <c r="R12950" t="s">
        <v>45112</v>
      </c>
      <c r="S12950" t="s">
        <v>45781</v>
      </c>
      <c r="T12950" t="s">
        <v>46923</v>
      </c>
      <c r="U12950" t="s">
        <v>58004</v>
      </c>
      <c r="W12950" t="s">
        <v>41679</v>
      </c>
      <c r="X12950" t="s">
        <v>45113</v>
      </c>
    </row>
    <row r="12951" spans="1:24">
      <c r="A12951">
        <f>HYPERLINK("https://www.philgeps.gov.ph/GEPSNONPILOT/Tender/SplashBidNoticeAbstractUI.aspx?menuIndex=3&amp;refID=7019047&amp;Result=3","7019047")</f>
        <v>0</v>
      </c>
      <c r="B12951" t="s">
        <v>3002</v>
      </c>
      <c r="C12951" t="s">
        <v>15587</v>
      </c>
      <c r="D12951" t="s">
        <v>18043</v>
      </c>
      <c r="E12951" t="s">
        <v>20329</v>
      </c>
      <c r="F12951" t="s">
        <v>31574</v>
      </c>
      <c r="G12951" t="s">
        <v>31582</v>
      </c>
      <c r="H12951" t="s">
        <v>31590</v>
      </c>
      <c r="I12951" t="s">
        <v>4046</v>
      </c>
      <c r="J12951" t="s">
        <v>39700</v>
      </c>
      <c r="K12951" t="s">
        <v>41191</v>
      </c>
      <c r="M12951" t="s">
        <v>44828</v>
      </c>
      <c r="N12951" t="s">
        <v>45095</v>
      </c>
      <c r="O12951" t="s">
        <v>45096</v>
      </c>
      <c r="P12951">
        <v>0</v>
      </c>
      <c r="Q12951">
        <v>0</v>
      </c>
      <c r="R12951" t="s">
        <v>45112</v>
      </c>
      <c r="S12951" t="s">
        <v>45755</v>
      </c>
      <c r="T12951" t="s">
        <v>47105</v>
      </c>
      <c r="U12951" t="s">
        <v>57995</v>
      </c>
      <c r="W12951" t="s">
        <v>44828</v>
      </c>
      <c r="X12951" t="s">
        <v>45113</v>
      </c>
    </row>
    <row r="12952" spans="1:24">
      <c r="A12952">
        <f>HYPERLINK("https://www.philgeps.gov.ph/GEPSNONPILOT/Tender/SplashBidNoticeAbstractUI.aspx?menuIndex=3&amp;refID=7019050&amp;Result=3","7019050")</f>
        <v>0</v>
      </c>
      <c r="B12952" t="s">
        <v>1507</v>
      </c>
      <c r="C12952" t="s">
        <v>15588</v>
      </c>
      <c r="D12952" t="s">
        <v>18045</v>
      </c>
      <c r="E12952" t="s">
        <v>29294</v>
      </c>
      <c r="F12952" t="s">
        <v>31574</v>
      </c>
      <c r="G12952" t="s">
        <v>31582</v>
      </c>
      <c r="H12952" t="s">
        <v>31591</v>
      </c>
      <c r="I12952" t="s">
        <v>8822</v>
      </c>
      <c r="J12952" t="s">
        <v>32019</v>
      </c>
      <c r="K12952" t="s">
        <v>41192</v>
      </c>
      <c r="M12952" t="s">
        <v>43094</v>
      </c>
      <c r="N12952" t="s">
        <v>45095</v>
      </c>
      <c r="O12952" t="s">
        <v>45096</v>
      </c>
      <c r="P12952">
        <v>0</v>
      </c>
      <c r="Q12952">
        <v>0</v>
      </c>
      <c r="R12952" t="s">
        <v>45112</v>
      </c>
      <c r="S12952" t="s">
        <v>45755</v>
      </c>
      <c r="T12952" t="s">
        <v>46979</v>
      </c>
      <c r="U12952" t="s">
        <v>58005</v>
      </c>
      <c r="W12952" t="s">
        <v>43094</v>
      </c>
      <c r="X12952" t="s">
        <v>45113</v>
      </c>
    </row>
    <row r="12953" spans="1:24">
      <c r="A12953">
        <f>HYPERLINK("https://www.philgeps.gov.ph/GEPSNONPILOT/Tender/SplashBidNoticeAbstractUI.aspx?menuIndex=3&amp;refID=7019083&amp;Result=3","7019083")</f>
        <v>0</v>
      </c>
      <c r="B12953" t="s">
        <v>1153</v>
      </c>
      <c r="C12953" t="s">
        <v>15589</v>
      </c>
      <c r="D12953" t="s">
        <v>18036</v>
      </c>
      <c r="E12953" t="s">
        <v>29295</v>
      </c>
      <c r="F12953" t="s">
        <v>31574</v>
      </c>
      <c r="G12953" t="s">
        <v>31582</v>
      </c>
      <c r="H12953" t="s">
        <v>31590</v>
      </c>
      <c r="I12953" t="s">
        <v>14544</v>
      </c>
      <c r="J12953" t="s">
        <v>33740</v>
      </c>
      <c r="K12953" t="s">
        <v>41196</v>
      </c>
      <c r="M12953" t="s">
        <v>42709</v>
      </c>
      <c r="N12953" t="s">
        <v>45095</v>
      </c>
      <c r="O12953" t="s">
        <v>45096</v>
      </c>
      <c r="P12953">
        <v>0</v>
      </c>
      <c r="Q12953">
        <v>3</v>
      </c>
      <c r="R12953" t="s">
        <v>45112</v>
      </c>
      <c r="S12953" t="s">
        <v>45755</v>
      </c>
      <c r="T12953" t="s">
        <v>47043</v>
      </c>
      <c r="U12953" t="s">
        <v>58006</v>
      </c>
      <c r="W12953" t="s">
        <v>61691</v>
      </c>
      <c r="X12953" t="s">
        <v>45113</v>
      </c>
    </row>
    <row r="12954" spans="1:24">
      <c r="A12954">
        <f>HYPERLINK("https://www.philgeps.gov.ph/GEPSNONPILOT/Tender/SplashBidNoticeAbstractUI.aspx?menuIndex=3&amp;refID=7019081&amp;Result=3","7019081")</f>
        <v>0</v>
      </c>
      <c r="B12954" t="s">
        <v>1153</v>
      </c>
      <c r="C12954" t="s">
        <v>15590</v>
      </c>
      <c r="D12954" t="s">
        <v>18036</v>
      </c>
      <c r="E12954" t="s">
        <v>29296</v>
      </c>
      <c r="F12954" t="s">
        <v>31574</v>
      </c>
      <c r="G12954" t="s">
        <v>31582</v>
      </c>
      <c r="H12954" t="s">
        <v>31590</v>
      </c>
      <c r="I12954" t="s">
        <v>31631</v>
      </c>
      <c r="J12954" t="s">
        <v>39701</v>
      </c>
      <c r="K12954" t="s">
        <v>41196</v>
      </c>
      <c r="M12954" t="s">
        <v>42709</v>
      </c>
      <c r="N12954" t="s">
        <v>45095</v>
      </c>
      <c r="O12954" t="s">
        <v>45096</v>
      </c>
      <c r="P12954">
        <v>0</v>
      </c>
      <c r="Q12954">
        <v>2</v>
      </c>
      <c r="R12954" t="s">
        <v>45112</v>
      </c>
      <c r="S12954" t="s">
        <v>45755</v>
      </c>
      <c r="T12954" t="s">
        <v>47043</v>
      </c>
      <c r="U12954" t="s">
        <v>58007</v>
      </c>
      <c r="W12954" t="s">
        <v>61691</v>
      </c>
      <c r="X12954" t="s">
        <v>45113</v>
      </c>
    </row>
    <row r="12955" spans="1:24">
      <c r="A12955">
        <f>HYPERLINK("https://www.philgeps.gov.ph/GEPSNONPILOT/Tender/SplashBidNoticeAbstractUI.aspx?menuIndex=3&amp;refID=7019118&amp;Result=3","7019118")</f>
        <v>0</v>
      </c>
      <c r="B12955" t="s">
        <v>3003</v>
      </c>
      <c r="C12955" t="s">
        <v>15591</v>
      </c>
      <c r="D12955" t="s">
        <v>18022</v>
      </c>
      <c r="E12955" t="s">
        <v>29297</v>
      </c>
      <c r="F12955" t="s">
        <v>31574</v>
      </c>
      <c r="G12955" t="s">
        <v>31582</v>
      </c>
      <c r="H12955" t="s">
        <v>31590</v>
      </c>
      <c r="I12955" t="s">
        <v>31596</v>
      </c>
      <c r="J12955" t="s">
        <v>39702</v>
      </c>
      <c r="K12955" t="s">
        <v>41186</v>
      </c>
      <c r="M12955" t="s">
        <v>44830</v>
      </c>
      <c r="N12955" t="s">
        <v>45095</v>
      </c>
      <c r="O12955" t="s">
        <v>45096</v>
      </c>
      <c r="P12955">
        <v>0</v>
      </c>
      <c r="Q12955">
        <v>4</v>
      </c>
      <c r="R12955" t="s">
        <v>45112</v>
      </c>
      <c r="S12955" t="s">
        <v>45755</v>
      </c>
      <c r="T12955" t="s">
        <v>46980</v>
      </c>
      <c r="U12955" t="s">
        <v>58008</v>
      </c>
      <c r="V12955" t="s">
        <v>61271</v>
      </c>
      <c r="W12955" t="s">
        <v>44830</v>
      </c>
      <c r="X12955" t="s">
        <v>45113</v>
      </c>
    </row>
    <row r="12956" spans="1:24">
      <c r="A12956">
        <f>HYPERLINK("https://www.philgeps.gov.ph/GEPSNONPILOT/Tender/SplashBidNoticeAbstractUI.aspx?menuIndex=3&amp;refID=7019128&amp;Result=3","7019128")</f>
        <v>0</v>
      </c>
      <c r="B12956" t="s">
        <v>3003</v>
      </c>
      <c r="C12956" t="s">
        <v>15592</v>
      </c>
      <c r="D12956" t="s">
        <v>18022</v>
      </c>
      <c r="E12956" t="s">
        <v>29298</v>
      </c>
      <c r="F12956" t="s">
        <v>31574</v>
      </c>
      <c r="G12956" t="s">
        <v>31582</v>
      </c>
      <c r="H12956" t="s">
        <v>31590</v>
      </c>
      <c r="I12956" t="s">
        <v>31596</v>
      </c>
      <c r="J12956" t="s">
        <v>39703</v>
      </c>
      <c r="K12956" t="s">
        <v>41186</v>
      </c>
      <c r="M12956" t="s">
        <v>44830</v>
      </c>
      <c r="N12956" t="s">
        <v>45095</v>
      </c>
      <c r="O12956" t="s">
        <v>45096</v>
      </c>
      <c r="P12956">
        <v>0</v>
      </c>
      <c r="Q12956">
        <v>4</v>
      </c>
      <c r="R12956" t="s">
        <v>45112</v>
      </c>
      <c r="S12956" t="s">
        <v>45755</v>
      </c>
      <c r="T12956" t="s">
        <v>46980</v>
      </c>
      <c r="U12956" t="s">
        <v>58008</v>
      </c>
      <c r="V12956" t="s">
        <v>61271</v>
      </c>
      <c r="W12956" t="s">
        <v>44830</v>
      </c>
      <c r="X12956" t="s">
        <v>45113</v>
      </c>
    </row>
    <row r="12957" spans="1:24">
      <c r="A12957">
        <f>HYPERLINK("https://www.philgeps.gov.ph/GEPSNONPILOT/Tender/SplashBidNoticeAbstractUI.aspx?menuIndex=3&amp;refID=7019044&amp;Result=3","7019044")</f>
        <v>0</v>
      </c>
      <c r="B12957" t="s">
        <v>3002</v>
      </c>
      <c r="C12957" t="s">
        <v>15593</v>
      </c>
      <c r="D12957" t="s">
        <v>18043</v>
      </c>
      <c r="E12957" t="s">
        <v>20327</v>
      </c>
      <c r="F12957" t="s">
        <v>31574</v>
      </c>
      <c r="G12957" t="s">
        <v>31582</v>
      </c>
      <c r="H12957" t="s">
        <v>31590</v>
      </c>
      <c r="I12957" t="s">
        <v>4046</v>
      </c>
      <c r="J12957" t="s">
        <v>39704</v>
      </c>
      <c r="K12957" t="s">
        <v>41191</v>
      </c>
      <c r="M12957" t="s">
        <v>44828</v>
      </c>
      <c r="N12957" t="s">
        <v>45095</v>
      </c>
      <c r="O12957" t="s">
        <v>45096</v>
      </c>
      <c r="P12957">
        <v>0</v>
      </c>
      <c r="Q12957">
        <v>0</v>
      </c>
      <c r="R12957" t="s">
        <v>45112</v>
      </c>
      <c r="S12957" t="s">
        <v>45755</v>
      </c>
      <c r="T12957" t="s">
        <v>47105</v>
      </c>
      <c r="U12957" t="s">
        <v>57995</v>
      </c>
      <c r="W12957" t="s">
        <v>44828</v>
      </c>
      <c r="X12957" t="s">
        <v>45113</v>
      </c>
    </row>
    <row r="12958" spans="1:24">
      <c r="A12958">
        <f>HYPERLINK("https://www.philgeps.gov.ph/GEPSNONPILOT/Tender/SplashBidNoticeAbstractUI.aspx?menuIndex=3&amp;refID=7019124&amp;Result=3","7019124")</f>
        <v>0</v>
      </c>
      <c r="B12958" t="s">
        <v>3003</v>
      </c>
      <c r="C12958" t="s">
        <v>15594</v>
      </c>
      <c r="D12958" t="s">
        <v>18022</v>
      </c>
      <c r="E12958" t="s">
        <v>29299</v>
      </c>
      <c r="F12958" t="s">
        <v>31574</v>
      </c>
      <c r="G12958" t="s">
        <v>31582</v>
      </c>
      <c r="H12958" t="s">
        <v>31590</v>
      </c>
      <c r="I12958" t="s">
        <v>31596</v>
      </c>
      <c r="J12958" t="s">
        <v>39705</v>
      </c>
      <c r="K12958" t="s">
        <v>41186</v>
      </c>
      <c r="M12958" t="s">
        <v>44830</v>
      </c>
      <c r="N12958" t="s">
        <v>45095</v>
      </c>
      <c r="O12958" t="s">
        <v>45096</v>
      </c>
      <c r="P12958">
        <v>0</v>
      </c>
      <c r="Q12958">
        <v>4</v>
      </c>
      <c r="R12958" t="s">
        <v>45112</v>
      </c>
      <c r="S12958" t="s">
        <v>45755</v>
      </c>
      <c r="T12958" t="s">
        <v>46980</v>
      </c>
      <c r="U12958" t="s">
        <v>58008</v>
      </c>
      <c r="V12958" t="s">
        <v>61271</v>
      </c>
      <c r="W12958" t="s">
        <v>44830</v>
      </c>
      <c r="X12958" t="s">
        <v>45113</v>
      </c>
    </row>
    <row r="12959" spans="1:24">
      <c r="A12959">
        <f>HYPERLINK("https://www.philgeps.gov.ph/GEPSNONPILOT/Tender/SplashBidNoticeAbstractUI.aspx?menuIndex=3&amp;refID=7019085&amp;Result=3","7019085")</f>
        <v>0</v>
      </c>
      <c r="B12959" t="s">
        <v>1153</v>
      </c>
      <c r="C12959" t="s">
        <v>15595</v>
      </c>
      <c r="D12959" t="s">
        <v>18036</v>
      </c>
      <c r="E12959" t="s">
        <v>29300</v>
      </c>
      <c r="F12959" t="s">
        <v>31574</v>
      </c>
      <c r="G12959" t="s">
        <v>31582</v>
      </c>
      <c r="H12959" t="s">
        <v>31590</v>
      </c>
      <c r="I12959" t="s">
        <v>31612</v>
      </c>
      <c r="J12959" t="s">
        <v>39706</v>
      </c>
      <c r="K12959" t="s">
        <v>41192</v>
      </c>
      <c r="M12959" t="s">
        <v>42709</v>
      </c>
      <c r="N12959" t="s">
        <v>45095</v>
      </c>
      <c r="O12959" t="s">
        <v>45096</v>
      </c>
      <c r="P12959">
        <v>0</v>
      </c>
      <c r="Q12959">
        <v>3</v>
      </c>
      <c r="R12959" t="s">
        <v>45112</v>
      </c>
      <c r="S12959" t="s">
        <v>45755</v>
      </c>
      <c r="T12959" t="s">
        <v>46979</v>
      </c>
      <c r="U12959" t="s">
        <v>58009</v>
      </c>
      <c r="W12959" t="s">
        <v>61691</v>
      </c>
      <c r="X12959" t="s">
        <v>45113</v>
      </c>
    </row>
    <row r="12960" spans="1:24">
      <c r="A12960">
        <f>HYPERLINK("https://www.philgeps.gov.ph/GEPSNONPILOT/Tender/SplashBidNoticeAbstractUI.aspx?menuIndex=3&amp;refID=7019051&amp;Result=3","7019051")</f>
        <v>0</v>
      </c>
      <c r="B12960" t="s">
        <v>1507</v>
      </c>
      <c r="C12960" t="s">
        <v>15596</v>
      </c>
      <c r="D12960" t="s">
        <v>18045</v>
      </c>
      <c r="E12960" t="s">
        <v>29301</v>
      </c>
      <c r="F12960" t="s">
        <v>31574</v>
      </c>
      <c r="G12960" t="s">
        <v>31582</v>
      </c>
      <c r="H12960" t="s">
        <v>31590</v>
      </c>
      <c r="I12960" t="s">
        <v>31599</v>
      </c>
      <c r="J12960" t="s">
        <v>31724</v>
      </c>
      <c r="K12960" t="s">
        <v>41186</v>
      </c>
      <c r="M12960" t="s">
        <v>43094</v>
      </c>
      <c r="N12960" t="s">
        <v>45095</v>
      </c>
      <c r="O12960" t="s">
        <v>45096</v>
      </c>
      <c r="P12960">
        <v>0</v>
      </c>
      <c r="Q12960">
        <v>2</v>
      </c>
      <c r="R12960" t="s">
        <v>45112</v>
      </c>
      <c r="S12960" t="s">
        <v>45755</v>
      </c>
      <c r="T12960" t="s">
        <v>46979</v>
      </c>
      <c r="U12960" t="s">
        <v>58010</v>
      </c>
      <c r="W12960" t="s">
        <v>43094</v>
      </c>
      <c r="X12960" t="s">
        <v>45113</v>
      </c>
    </row>
    <row r="12961" spans="1:24">
      <c r="A12961">
        <f>HYPERLINK("https://www.philgeps.gov.ph/GEPSNONPILOT/Tender/SplashBidNoticeAbstractUI.aspx?menuIndex=3&amp;refID=7019134&amp;Result=3","7019134")</f>
        <v>0</v>
      </c>
      <c r="B12961" t="s">
        <v>3003</v>
      </c>
      <c r="C12961" t="s">
        <v>15597</v>
      </c>
      <c r="D12961" t="s">
        <v>18022</v>
      </c>
      <c r="E12961" t="s">
        <v>29302</v>
      </c>
      <c r="F12961" t="s">
        <v>31574</v>
      </c>
      <c r="G12961" t="s">
        <v>31582</v>
      </c>
      <c r="H12961" t="s">
        <v>31590</v>
      </c>
      <c r="I12961" t="s">
        <v>31596</v>
      </c>
      <c r="J12961" t="s">
        <v>39707</v>
      </c>
      <c r="K12961" t="s">
        <v>41186</v>
      </c>
      <c r="M12961" t="s">
        <v>44830</v>
      </c>
      <c r="N12961" t="s">
        <v>45095</v>
      </c>
      <c r="O12961" t="s">
        <v>45096</v>
      </c>
      <c r="P12961">
        <v>0</v>
      </c>
      <c r="Q12961">
        <v>5</v>
      </c>
      <c r="R12961" t="s">
        <v>45112</v>
      </c>
      <c r="S12961" t="s">
        <v>45755</v>
      </c>
      <c r="T12961" t="s">
        <v>46980</v>
      </c>
      <c r="U12961" t="s">
        <v>58008</v>
      </c>
      <c r="V12961" t="s">
        <v>61271</v>
      </c>
      <c r="W12961" t="s">
        <v>44830</v>
      </c>
      <c r="X12961" t="s">
        <v>45113</v>
      </c>
    </row>
    <row r="12962" spans="1:24">
      <c r="A12962">
        <f>HYPERLINK("https://www.philgeps.gov.ph/GEPSNONPILOT/Tender/SplashBidNoticeAbstractUI.aspx?menuIndex=3&amp;refID=7003330&amp;Result=3","7003330")</f>
        <v>0</v>
      </c>
      <c r="B12962" t="s">
        <v>948</v>
      </c>
      <c r="C12962" t="s">
        <v>15598</v>
      </c>
      <c r="D12962" t="s">
        <v>18066</v>
      </c>
      <c r="E12962" t="s">
        <v>29303</v>
      </c>
      <c r="F12962" t="s">
        <v>31574</v>
      </c>
      <c r="G12962" t="s">
        <v>31582</v>
      </c>
      <c r="H12962" t="s">
        <v>31590</v>
      </c>
      <c r="I12962" t="s">
        <v>31614</v>
      </c>
      <c r="J12962" t="s">
        <v>31730</v>
      </c>
      <c r="K12962" t="s">
        <v>41186</v>
      </c>
      <c r="M12962" t="s">
        <v>42716</v>
      </c>
      <c r="N12962" t="s">
        <v>45095</v>
      </c>
      <c r="O12962" t="s">
        <v>45096</v>
      </c>
      <c r="Q12962">
        <v>1</v>
      </c>
      <c r="R12962" t="s">
        <v>45113</v>
      </c>
      <c r="S12962" t="s">
        <v>45782</v>
      </c>
      <c r="T12962" t="s">
        <v>46979</v>
      </c>
      <c r="U12962" t="s">
        <v>58011</v>
      </c>
      <c r="V12962" t="s">
        <v>60158</v>
      </c>
      <c r="W12962" t="s">
        <v>42716</v>
      </c>
      <c r="X12962" t="s">
        <v>45124</v>
      </c>
    </row>
    <row r="12963" spans="1:24">
      <c r="A12963">
        <f>HYPERLINK("https://www.philgeps.gov.ph/GEPSNONPILOT/Tender/SplashBidNoticeAbstractUI.aspx?menuIndex=3&amp;refID=7017171&amp;Result=3","7017171")</f>
        <v>0</v>
      </c>
      <c r="B12963" t="s">
        <v>144</v>
      </c>
      <c r="C12963" t="s">
        <v>15599</v>
      </c>
      <c r="D12963" t="s">
        <v>18076</v>
      </c>
      <c r="E12963" t="s">
        <v>29304</v>
      </c>
      <c r="F12963" t="s">
        <v>31574</v>
      </c>
      <c r="G12963" t="s">
        <v>31582</v>
      </c>
      <c r="H12963" t="s">
        <v>31591</v>
      </c>
      <c r="I12963" t="s">
        <v>8822</v>
      </c>
      <c r="J12963" t="s">
        <v>39708</v>
      </c>
      <c r="K12963" t="s">
        <v>41341</v>
      </c>
      <c r="M12963" t="s">
        <v>44418</v>
      </c>
      <c r="N12963" t="s">
        <v>45095</v>
      </c>
      <c r="O12963" t="s">
        <v>45096</v>
      </c>
      <c r="P12963">
        <v>0</v>
      </c>
      <c r="Q12963">
        <v>1</v>
      </c>
      <c r="R12963" t="s">
        <v>45113</v>
      </c>
      <c r="S12963" t="s">
        <v>45783</v>
      </c>
      <c r="T12963" t="s">
        <v>47002</v>
      </c>
      <c r="U12963" t="s">
        <v>58012</v>
      </c>
      <c r="W12963" t="s">
        <v>44418</v>
      </c>
      <c r="X12963" t="s">
        <v>45115</v>
      </c>
    </row>
    <row r="12964" spans="1:24">
      <c r="A12964">
        <f>HYPERLINK("https://www.philgeps.gov.ph/GEPSNONPILOT/Tender/SplashBidNoticeAbstractUI.aspx?menuIndex=3&amp;refID=7016955&amp;Result=3","7016955")</f>
        <v>0</v>
      </c>
      <c r="B12964" t="s">
        <v>144</v>
      </c>
      <c r="C12964" t="s">
        <v>15600</v>
      </c>
      <c r="D12964" t="s">
        <v>18076</v>
      </c>
      <c r="E12964" t="s">
        <v>29305</v>
      </c>
      <c r="F12964" t="s">
        <v>31574</v>
      </c>
      <c r="G12964" t="s">
        <v>31582</v>
      </c>
      <c r="H12964" t="s">
        <v>31591</v>
      </c>
      <c r="I12964" t="s">
        <v>8822</v>
      </c>
      <c r="J12964" t="s">
        <v>39709</v>
      </c>
      <c r="K12964" t="s">
        <v>41201</v>
      </c>
      <c r="M12964" t="s">
        <v>44418</v>
      </c>
      <c r="N12964" t="s">
        <v>45095</v>
      </c>
      <c r="O12964" t="s">
        <v>45096</v>
      </c>
      <c r="P12964">
        <v>0</v>
      </c>
      <c r="Q12964">
        <v>0</v>
      </c>
      <c r="R12964" t="s">
        <v>45113</v>
      </c>
      <c r="S12964" t="s">
        <v>45783</v>
      </c>
      <c r="T12964" t="s">
        <v>47002</v>
      </c>
      <c r="U12964" t="s">
        <v>58013</v>
      </c>
      <c r="W12964" t="s">
        <v>44418</v>
      </c>
      <c r="X12964" t="s">
        <v>45115</v>
      </c>
    </row>
    <row r="12965" spans="1:24">
      <c r="A12965">
        <f>HYPERLINK("https://www.philgeps.gov.ph/GEPSNONPILOT/Tender/SplashBidNoticeAbstractUI.aspx?menuIndex=3&amp;refID=7016795&amp;Result=3","7016795")</f>
        <v>0</v>
      </c>
      <c r="B12965" t="s">
        <v>144</v>
      </c>
      <c r="C12965" t="s">
        <v>15601</v>
      </c>
      <c r="D12965" t="s">
        <v>18076</v>
      </c>
      <c r="E12965" t="s">
        <v>29306</v>
      </c>
      <c r="F12965" t="s">
        <v>31574</v>
      </c>
      <c r="G12965" t="s">
        <v>31582</v>
      </c>
      <c r="H12965" t="s">
        <v>31591</v>
      </c>
      <c r="I12965" t="s">
        <v>8822</v>
      </c>
      <c r="J12965" t="s">
        <v>39710</v>
      </c>
      <c r="K12965" t="s">
        <v>41454</v>
      </c>
      <c r="M12965" t="s">
        <v>44418</v>
      </c>
      <c r="N12965" t="s">
        <v>45095</v>
      </c>
      <c r="O12965" t="s">
        <v>45096</v>
      </c>
      <c r="P12965">
        <v>0</v>
      </c>
      <c r="Q12965">
        <v>1</v>
      </c>
      <c r="R12965" t="s">
        <v>45113</v>
      </c>
      <c r="S12965" t="s">
        <v>45783</v>
      </c>
      <c r="T12965" t="s">
        <v>47002</v>
      </c>
      <c r="U12965" t="s">
        <v>58014</v>
      </c>
      <c r="W12965" t="s">
        <v>44418</v>
      </c>
      <c r="X12965" t="s">
        <v>45115</v>
      </c>
    </row>
    <row r="12966" spans="1:24">
      <c r="A12966">
        <f>HYPERLINK("https://www.philgeps.gov.ph/GEPSNONPILOT/Tender/SplashBidNoticeAbstractUI.aspx?menuIndex=3&amp;refID=7019145&amp;Result=3","7019145")</f>
        <v>0</v>
      </c>
      <c r="B12966" t="s">
        <v>670</v>
      </c>
      <c r="C12966" t="s">
        <v>15602</v>
      </c>
      <c r="D12966" t="s">
        <v>18106</v>
      </c>
      <c r="E12966" t="s">
        <v>29307</v>
      </c>
      <c r="F12966" t="s">
        <v>31574</v>
      </c>
      <c r="G12966" t="s">
        <v>31582</v>
      </c>
      <c r="H12966" t="s">
        <v>31590</v>
      </c>
      <c r="I12966" t="s">
        <v>31594</v>
      </c>
      <c r="J12966" t="s">
        <v>39711</v>
      </c>
      <c r="K12966" t="s">
        <v>41192</v>
      </c>
      <c r="M12966" t="s">
        <v>44831</v>
      </c>
      <c r="N12966" t="s">
        <v>45095</v>
      </c>
      <c r="O12966" t="s">
        <v>45096</v>
      </c>
      <c r="P12966">
        <v>0</v>
      </c>
      <c r="Q12966">
        <v>23</v>
      </c>
      <c r="R12966" t="s">
        <v>45112</v>
      </c>
      <c r="S12966" t="s">
        <v>45755</v>
      </c>
      <c r="T12966" t="s">
        <v>46914</v>
      </c>
      <c r="U12966" t="s">
        <v>58015</v>
      </c>
      <c r="W12966" t="s">
        <v>44831</v>
      </c>
      <c r="X12966" t="s">
        <v>45113</v>
      </c>
    </row>
    <row r="12967" spans="1:24">
      <c r="A12967">
        <f>HYPERLINK("https://www.philgeps.gov.ph/GEPSNONPILOT/Tender/SplashBidNoticeAbstractUI.aspx?menuIndex=3&amp;refID=7017018&amp;Result=3","7017018")</f>
        <v>0</v>
      </c>
      <c r="B12967" t="s">
        <v>144</v>
      </c>
      <c r="C12967" t="s">
        <v>15603</v>
      </c>
      <c r="D12967" t="s">
        <v>18076</v>
      </c>
      <c r="E12967" t="s">
        <v>29308</v>
      </c>
      <c r="F12967" t="s">
        <v>31574</v>
      </c>
      <c r="G12967" t="s">
        <v>31582</v>
      </c>
      <c r="H12967" t="s">
        <v>31591</v>
      </c>
      <c r="I12967" t="s">
        <v>8822</v>
      </c>
      <c r="J12967" t="s">
        <v>39712</v>
      </c>
      <c r="K12967" t="s">
        <v>41264</v>
      </c>
      <c r="M12967" t="s">
        <v>44418</v>
      </c>
      <c r="N12967" t="s">
        <v>45095</v>
      </c>
      <c r="O12967" t="s">
        <v>45096</v>
      </c>
      <c r="P12967">
        <v>0</v>
      </c>
      <c r="Q12967">
        <v>0</v>
      </c>
      <c r="R12967" t="s">
        <v>45113</v>
      </c>
      <c r="S12967" t="s">
        <v>45783</v>
      </c>
      <c r="T12967" t="s">
        <v>47002</v>
      </c>
      <c r="U12967" t="s">
        <v>58016</v>
      </c>
      <c r="W12967" t="s">
        <v>44418</v>
      </c>
      <c r="X12967" t="s">
        <v>45115</v>
      </c>
    </row>
    <row r="12968" spans="1:24">
      <c r="A12968">
        <f>HYPERLINK("https://www.philgeps.gov.ph/GEPSNONPILOT/Tender/SplashBidNoticeAbstractUI.aspx?menuIndex=3&amp;refID=7016002&amp;Result=3","7016002")</f>
        <v>0</v>
      </c>
      <c r="B12968" t="s">
        <v>144</v>
      </c>
      <c r="C12968" t="s">
        <v>15604</v>
      </c>
      <c r="D12968" t="s">
        <v>18076</v>
      </c>
      <c r="E12968" t="s">
        <v>29309</v>
      </c>
      <c r="F12968" t="s">
        <v>31574</v>
      </c>
      <c r="G12968" t="s">
        <v>31582</v>
      </c>
      <c r="H12968" t="s">
        <v>31591</v>
      </c>
      <c r="I12968" t="s">
        <v>8822</v>
      </c>
      <c r="J12968" t="s">
        <v>39713</v>
      </c>
      <c r="K12968" t="s">
        <v>41234</v>
      </c>
      <c r="M12968" t="s">
        <v>44418</v>
      </c>
      <c r="N12968" t="s">
        <v>45095</v>
      </c>
      <c r="O12968" t="s">
        <v>45096</v>
      </c>
      <c r="P12968">
        <v>0</v>
      </c>
      <c r="Q12968">
        <v>1</v>
      </c>
      <c r="R12968" t="s">
        <v>45113</v>
      </c>
      <c r="S12968" t="s">
        <v>45783</v>
      </c>
      <c r="T12968" t="s">
        <v>47002</v>
      </c>
      <c r="U12968" t="s">
        <v>58017</v>
      </c>
      <c r="W12968" t="s">
        <v>44418</v>
      </c>
      <c r="X12968" t="s">
        <v>45116</v>
      </c>
    </row>
    <row r="12969" spans="1:24">
      <c r="A12969">
        <f>HYPERLINK("https://www.philgeps.gov.ph/GEPSNONPILOT/Tender/SplashBidNoticeAbstractUI.aspx?menuIndex=3&amp;refID=7010540&amp;Result=3","7010540")</f>
        <v>0</v>
      </c>
      <c r="B12969" t="s">
        <v>1777</v>
      </c>
      <c r="C12969" t="s">
        <v>15605</v>
      </c>
      <c r="E12969" t="s">
        <v>29310</v>
      </c>
      <c r="F12969" t="s">
        <v>31574</v>
      </c>
      <c r="G12969" t="s">
        <v>31582</v>
      </c>
      <c r="H12969" t="s">
        <v>31590</v>
      </c>
      <c r="I12969" t="s">
        <v>31599</v>
      </c>
      <c r="J12969" t="s">
        <v>39714</v>
      </c>
      <c r="K12969" t="s">
        <v>41186</v>
      </c>
      <c r="M12969" t="s">
        <v>44832</v>
      </c>
      <c r="N12969" t="s">
        <v>45095</v>
      </c>
      <c r="O12969" t="s">
        <v>45096</v>
      </c>
      <c r="Q12969">
        <v>3</v>
      </c>
      <c r="R12969" t="s">
        <v>45113</v>
      </c>
      <c r="S12969" t="s">
        <v>45784</v>
      </c>
      <c r="T12969" t="s">
        <v>46955</v>
      </c>
      <c r="U12969" t="s">
        <v>58018</v>
      </c>
      <c r="W12969" t="s">
        <v>44832</v>
      </c>
      <c r="X12969" t="s">
        <v>45118</v>
      </c>
    </row>
    <row r="12970" spans="1:24">
      <c r="A12970">
        <f>HYPERLINK("https://www.philgeps.gov.ph/GEPSNONPILOT/Tender/SplashBidNoticeAbstractUI.aspx?menuIndex=3&amp;refID=7016899&amp;Result=3","7016899")</f>
        <v>0</v>
      </c>
      <c r="B12970" t="s">
        <v>144</v>
      </c>
      <c r="C12970" t="s">
        <v>15606</v>
      </c>
      <c r="D12970" t="s">
        <v>18076</v>
      </c>
      <c r="E12970" t="s">
        <v>29311</v>
      </c>
      <c r="F12970" t="s">
        <v>31574</v>
      </c>
      <c r="G12970" t="s">
        <v>31582</v>
      </c>
      <c r="H12970" t="s">
        <v>31591</v>
      </c>
      <c r="I12970" t="s">
        <v>8822</v>
      </c>
      <c r="J12970" t="s">
        <v>39715</v>
      </c>
      <c r="K12970" t="s">
        <v>41239</v>
      </c>
      <c r="M12970" t="s">
        <v>44418</v>
      </c>
      <c r="N12970" t="s">
        <v>45095</v>
      </c>
      <c r="O12970" t="s">
        <v>45096</v>
      </c>
      <c r="P12970">
        <v>0</v>
      </c>
      <c r="Q12970">
        <v>0</v>
      </c>
      <c r="R12970" t="s">
        <v>45113</v>
      </c>
      <c r="S12970" t="s">
        <v>45783</v>
      </c>
      <c r="T12970" t="s">
        <v>47002</v>
      </c>
      <c r="U12970" t="s">
        <v>58019</v>
      </c>
      <c r="W12970" t="s">
        <v>44418</v>
      </c>
      <c r="X12970" t="s">
        <v>45115</v>
      </c>
    </row>
    <row r="12971" spans="1:24">
      <c r="A12971">
        <f>HYPERLINK("https://www.philgeps.gov.ph/GEPSNONPILOT/Tender/SplashBidNoticeAbstractUI.aspx?menuIndex=3&amp;refID=7009986&amp;Result=3","7009986")</f>
        <v>0</v>
      </c>
      <c r="B12971" t="s">
        <v>1777</v>
      </c>
      <c r="C12971" t="s">
        <v>15607</v>
      </c>
      <c r="D12971" t="s">
        <v>18128</v>
      </c>
      <c r="E12971" t="s">
        <v>29312</v>
      </c>
      <c r="F12971" t="s">
        <v>31574</v>
      </c>
      <c r="G12971" t="s">
        <v>31582</v>
      </c>
      <c r="H12971" t="s">
        <v>31590</v>
      </c>
      <c r="I12971" t="s">
        <v>31631</v>
      </c>
      <c r="J12971" t="s">
        <v>39716</v>
      </c>
      <c r="K12971" t="s">
        <v>41186</v>
      </c>
      <c r="M12971" t="s">
        <v>44832</v>
      </c>
      <c r="N12971" t="s">
        <v>45095</v>
      </c>
      <c r="O12971" t="s">
        <v>45096</v>
      </c>
      <c r="P12971">
        <v>0</v>
      </c>
      <c r="Q12971">
        <v>1</v>
      </c>
      <c r="R12971" t="s">
        <v>45113</v>
      </c>
      <c r="S12971" t="s">
        <v>45783</v>
      </c>
      <c r="T12971" t="s">
        <v>46955</v>
      </c>
      <c r="U12971" t="s">
        <v>58020</v>
      </c>
      <c r="W12971" t="s">
        <v>44832</v>
      </c>
      <c r="X12971" t="s">
        <v>45118</v>
      </c>
    </row>
    <row r="12972" spans="1:24">
      <c r="A12972">
        <f>HYPERLINK("https://www.philgeps.gov.ph/GEPSNONPILOT/Tender/SplashBidNoticeAbstractUI.aspx?menuIndex=3&amp;refID=7019143&amp;Result=3","7019143")</f>
        <v>0</v>
      </c>
      <c r="B12972" t="s">
        <v>3003</v>
      </c>
      <c r="C12972" t="s">
        <v>15608</v>
      </c>
      <c r="D12972" t="s">
        <v>18022</v>
      </c>
      <c r="E12972" t="s">
        <v>29313</v>
      </c>
      <c r="F12972" t="s">
        <v>31574</v>
      </c>
      <c r="G12972" t="s">
        <v>31582</v>
      </c>
      <c r="H12972" t="s">
        <v>31590</v>
      </c>
      <c r="I12972" t="s">
        <v>31721</v>
      </c>
      <c r="J12972" t="s">
        <v>32026</v>
      </c>
      <c r="K12972" t="s">
        <v>41186</v>
      </c>
      <c r="M12972" t="s">
        <v>44830</v>
      </c>
      <c r="N12972" t="s">
        <v>45095</v>
      </c>
      <c r="O12972" t="s">
        <v>45096</v>
      </c>
      <c r="P12972">
        <v>0</v>
      </c>
      <c r="Q12972">
        <v>1</v>
      </c>
      <c r="R12972" t="s">
        <v>45112</v>
      </c>
      <c r="S12972" t="s">
        <v>45755</v>
      </c>
      <c r="T12972" t="s">
        <v>46905</v>
      </c>
      <c r="U12972" t="s">
        <v>58021</v>
      </c>
      <c r="V12972" t="s">
        <v>61271</v>
      </c>
      <c r="W12972" t="s">
        <v>44830</v>
      </c>
      <c r="X12972" t="s">
        <v>45113</v>
      </c>
    </row>
    <row r="12973" spans="1:24">
      <c r="A12973">
        <f>HYPERLINK("https://www.philgeps.gov.ph/GEPSNONPILOT/Tender/SplashBidNoticeAbstractUI.aspx?menuIndex=3&amp;refID=7017453&amp;Result=3","7017453")</f>
        <v>0</v>
      </c>
      <c r="B12973" t="s">
        <v>144</v>
      </c>
      <c r="C12973" t="s">
        <v>15609</v>
      </c>
      <c r="D12973" t="s">
        <v>18076</v>
      </c>
      <c r="E12973" t="s">
        <v>29314</v>
      </c>
      <c r="F12973" t="s">
        <v>31574</v>
      </c>
      <c r="G12973" t="s">
        <v>31582</v>
      </c>
      <c r="H12973" t="s">
        <v>31591</v>
      </c>
      <c r="I12973" t="s">
        <v>8822</v>
      </c>
      <c r="J12973" t="s">
        <v>39717</v>
      </c>
      <c r="K12973" t="s">
        <v>41350</v>
      </c>
      <c r="M12973" t="s">
        <v>44418</v>
      </c>
      <c r="N12973" t="s">
        <v>45095</v>
      </c>
      <c r="O12973" t="s">
        <v>45096</v>
      </c>
      <c r="P12973">
        <v>0</v>
      </c>
      <c r="Q12973">
        <v>0</v>
      </c>
      <c r="R12973" t="s">
        <v>45113</v>
      </c>
      <c r="S12973" t="s">
        <v>45783</v>
      </c>
      <c r="T12973" t="s">
        <v>47002</v>
      </c>
      <c r="U12973" t="s">
        <v>58022</v>
      </c>
      <c r="W12973" t="s">
        <v>44418</v>
      </c>
      <c r="X12973" t="s">
        <v>45115</v>
      </c>
    </row>
    <row r="12974" spans="1:24">
      <c r="A12974">
        <f>HYPERLINK("https://www.philgeps.gov.ph/GEPSNONPILOT/Tender/SplashBidNoticeAbstractUI.aspx?menuIndex=3&amp;refID=7019139&amp;Result=3","7019139")</f>
        <v>0</v>
      </c>
      <c r="B12974" t="s">
        <v>3003</v>
      </c>
      <c r="C12974" t="s">
        <v>15610</v>
      </c>
      <c r="D12974" t="s">
        <v>18022</v>
      </c>
      <c r="E12974" t="s">
        <v>29315</v>
      </c>
      <c r="F12974" t="s">
        <v>31574</v>
      </c>
      <c r="G12974" t="s">
        <v>31582</v>
      </c>
      <c r="H12974" t="s">
        <v>31590</v>
      </c>
      <c r="I12974" t="s">
        <v>4677</v>
      </c>
      <c r="J12974" t="s">
        <v>39718</v>
      </c>
      <c r="K12974" t="s">
        <v>41186</v>
      </c>
      <c r="M12974" t="s">
        <v>44830</v>
      </c>
      <c r="N12974" t="s">
        <v>45095</v>
      </c>
      <c r="O12974" t="s">
        <v>45096</v>
      </c>
      <c r="P12974">
        <v>0</v>
      </c>
      <c r="Q12974">
        <v>3</v>
      </c>
      <c r="R12974" t="s">
        <v>45112</v>
      </c>
      <c r="S12974" t="s">
        <v>45755</v>
      </c>
      <c r="T12974" t="s">
        <v>46905</v>
      </c>
      <c r="U12974" t="s">
        <v>58023</v>
      </c>
      <c r="V12974" t="s">
        <v>61271</v>
      </c>
      <c r="W12974" t="s">
        <v>44830</v>
      </c>
      <c r="X12974" t="s">
        <v>45113</v>
      </c>
    </row>
    <row r="12975" spans="1:24">
      <c r="A12975">
        <f>HYPERLINK("https://www.philgeps.gov.ph/GEPSNONPILOT/Tender/SplashBidNoticeAbstractUI.aspx?menuIndex=3&amp;refID=7017272&amp;Result=3","7017272")</f>
        <v>0</v>
      </c>
      <c r="B12975" t="s">
        <v>144</v>
      </c>
      <c r="C12975" t="s">
        <v>15611</v>
      </c>
      <c r="D12975" t="s">
        <v>18076</v>
      </c>
      <c r="E12975" t="s">
        <v>29316</v>
      </c>
      <c r="F12975" t="s">
        <v>31574</v>
      </c>
      <c r="G12975" t="s">
        <v>31582</v>
      </c>
      <c r="H12975" t="s">
        <v>31591</v>
      </c>
      <c r="I12975" t="s">
        <v>8822</v>
      </c>
      <c r="J12975" t="s">
        <v>39719</v>
      </c>
      <c r="K12975" t="s">
        <v>41350</v>
      </c>
      <c r="M12975" t="s">
        <v>44418</v>
      </c>
      <c r="N12975" t="s">
        <v>45095</v>
      </c>
      <c r="O12975" t="s">
        <v>45096</v>
      </c>
      <c r="P12975">
        <v>0</v>
      </c>
      <c r="Q12975">
        <v>0</v>
      </c>
      <c r="R12975" t="s">
        <v>45113</v>
      </c>
      <c r="S12975" t="s">
        <v>45783</v>
      </c>
      <c r="T12975" t="s">
        <v>47002</v>
      </c>
      <c r="U12975" t="s">
        <v>58024</v>
      </c>
      <c r="W12975" t="s">
        <v>44418</v>
      </c>
      <c r="X12975" t="s">
        <v>45115</v>
      </c>
    </row>
    <row r="12976" spans="1:24">
      <c r="A12976">
        <f>HYPERLINK("https://www.philgeps.gov.ph/GEPSNONPILOT/Tender/SplashBidNoticeAbstractUI.aspx?menuIndex=3&amp;refID=7017208&amp;Result=3","7017208")</f>
        <v>0</v>
      </c>
      <c r="B12976" t="s">
        <v>144</v>
      </c>
      <c r="C12976" t="s">
        <v>15612</v>
      </c>
      <c r="D12976" t="s">
        <v>18076</v>
      </c>
      <c r="E12976" t="s">
        <v>29317</v>
      </c>
      <c r="F12976" t="s">
        <v>31574</v>
      </c>
      <c r="G12976" t="s">
        <v>31582</v>
      </c>
      <c r="H12976" t="s">
        <v>31591</v>
      </c>
      <c r="I12976" t="s">
        <v>8822</v>
      </c>
      <c r="J12976" t="s">
        <v>39720</v>
      </c>
      <c r="K12976" t="s">
        <v>41185</v>
      </c>
      <c r="M12976" t="s">
        <v>44418</v>
      </c>
      <c r="N12976" t="s">
        <v>45095</v>
      </c>
      <c r="O12976" t="s">
        <v>45096</v>
      </c>
      <c r="P12976">
        <v>0</v>
      </c>
      <c r="Q12976">
        <v>0</v>
      </c>
      <c r="R12976" t="s">
        <v>45113</v>
      </c>
      <c r="S12976" t="s">
        <v>45783</v>
      </c>
      <c r="T12976" t="s">
        <v>47002</v>
      </c>
      <c r="U12976" t="s">
        <v>58025</v>
      </c>
      <c r="W12976" t="s">
        <v>44418</v>
      </c>
      <c r="X12976" t="s">
        <v>45115</v>
      </c>
    </row>
    <row r="12977" spans="1:24">
      <c r="A12977">
        <f>HYPERLINK("https://www.philgeps.gov.ph/GEPSNONPILOT/Tender/SplashBidNoticeAbstractUI.aspx?menuIndex=3&amp;refID=7019140&amp;Result=3","7019140")</f>
        <v>0</v>
      </c>
      <c r="B12977" t="s">
        <v>3003</v>
      </c>
      <c r="C12977" t="s">
        <v>15613</v>
      </c>
      <c r="D12977" t="s">
        <v>18022</v>
      </c>
      <c r="E12977" t="s">
        <v>29318</v>
      </c>
      <c r="F12977" t="s">
        <v>31574</v>
      </c>
      <c r="G12977" t="s">
        <v>31582</v>
      </c>
      <c r="H12977" t="s">
        <v>31590</v>
      </c>
      <c r="I12977" t="s">
        <v>4677</v>
      </c>
      <c r="J12977" t="s">
        <v>39721</v>
      </c>
      <c r="K12977" t="s">
        <v>41186</v>
      </c>
      <c r="M12977" t="s">
        <v>44830</v>
      </c>
      <c r="N12977" t="s">
        <v>45095</v>
      </c>
      <c r="O12977" t="s">
        <v>45096</v>
      </c>
      <c r="P12977">
        <v>0</v>
      </c>
      <c r="Q12977">
        <v>2</v>
      </c>
      <c r="R12977" t="s">
        <v>45112</v>
      </c>
      <c r="S12977" t="s">
        <v>45755</v>
      </c>
      <c r="T12977" t="s">
        <v>46905</v>
      </c>
      <c r="U12977" t="s">
        <v>58023</v>
      </c>
      <c r="V12977" t="s">
        <v>61271</v>
      </c>
      <c r="W12977" t="s">
        <v>44830</v>
      </c>
      <c r="X12977" t="s">
        <v>45113</v>
      </c>
    </row>
    <row r="12978" spans="1:24">
      <c r="A12978">
        <f>HYPERLINK("https://www.philgeps.gov.ph/GEPSNONPILOT/Tender/SplashBidNoticeAbstractUI.aspx?menuIndex=3&amp;refID=7017235&amp;Result=3","7017235")</f>
        <v>0</v>
      </c>
      <c r="B12978" t="s">
        <v>2248</v>
      </c>
      <c r="C12978" t="s">
        <v>15614</v>
      </c>
      <c r="D12978" t="s">
        <v>18078</v>
      </c>
      <c r="E12978" t="s">
        <v>29319</v>
      </c>
      <c r="F12978" t="s">
        <v>31574</v>
      </c>
      <c r="G12978" t="s">
        <v>31582</v>
      </c>
      <c r="H12978" t="s">
        <v>31590</v>
      </c>
      <c r="I12978" t="s">
        <v>31614</v>
      </c>
      <c r="J12978" t="s">
        <v>32530</v>
      </c>
      <c r="K12978" t="s">
        <v>41185</v>
      </c>
      <c r="M12978" t="s">
        <v>43946</v>
      </c>
      <c r="N12978" t="s">
        <v>45095</v>
      </c>
      <c r="O12978" t="s">
        <v>45096</v>
      </c>
      <c r="P12978">
        <v>0</v>
      </c>
      <c r="Q12978">
        <v>2</v>
      </c>
      <c r="R12978" t="s">
        <v>45113</v>
      </c>
      <c r="S12978" t="s">
        <v>45783</v>
      </c>
      <c r="T12978" t="s">
        <v>46966</v>
      </c>
      <c r="U12978" t="s">
        <v>58026</v>
      </c>
      <c r="W12978" t="s">
        <v>43946</v>
      </c>
      <c r="X12978" t="s">
        <v>45115</v>
      </c>
    </row>
    <row r="12979" spans="1:24">
      <c r="A12979">
        <f>HYPERLINK("https://www.philgeps.gov.ph/GEPSNONPILOT/Tender/SplashBidNoticeAbstractUI.aspx?menuIndex=3&amp;refID=7017713&amp;Result=3","7017713")</f>
        <v>0</v>
      </c>
      <c r="B12979" t="s">
        <v>144</v>
      </c>
      <c r="C12979" t="s">
        <v>15615</v>
      </c>
      <c r="D12979" t="s">
        <v>18076</v>
      </c>
      <c r="E12979" t="s">
        <v>29320</v>
      </c>
      <c r="F12979" t="s">
        <v>31574</v>
      </c>
      <c r="G12979" t="s">
        <v>31582</v>
      </c>
      <c r="H12979" t="s">
        <v>31591</v>
      </c>
      <c r="I12979" t="s">
        <v>8822</v>
      </c>
      <c r="J12979" t="s">
        <v>39722</v>
      </c>
      <c r="K12979" t="s">
        <v>41384</v>
      </c>
      <c r="M12979" t="s">
        <v>44418</v>
      </c>
      <c r="N12979" t="s">
        <v>45095</v>
      </c>
      <c r="O12979" t="s">
        <v>45096</v>
      </c>
      <c r="P12979">
        <v>0</v>
      </c>
      <c r="Q12979">
        <v>0</v>
      </c>
      <c r="R12979" t="s">
        <v>45113</v>
      </c>
      <c r="S12979" t="s">
        <v>45783</v>
      </c>
      <c r="T12979" t="s">
        <v>47002</v>
      </c>
      <c r="U12979" t="s">
        <v>58027</v>
      </c>
      <c r="W12979" t="s">
        <v>44418</v>
      </c>
      <c r="X12979" t="s">
        <v>45115</v>
      </c>
    </row>
    <row r="12980" spans="1:24">
      <c r="A12980">
        <f>HYPERLINK("https://www.philgeps.gov.ph/GEPSNONPILOT/Tender/SplashBidNoticeAbstractUI.aspx?menuIndex=3&amp;refID=7019142&amp;Result=3","7019142")</f>
        <v>0</v>
      </c>
      <c r="B12980" t="s">
        <v>3003</v>
      </c>
      <c r="C12980" t="s">
        <v>15616</v>
      </c>
      <c r="D12980" t="s">
        <v>18022</v>
      </c>
      <c r="E12980" t="s">
        <v>29321</v>
      </c>
      <c r="F12980" t="s">
        <v>31574</v>
      </c>
      <c r="G12980" t="s">
        <v>31582</v>
      </c>
      <c r="H12980" t="s">
        <v>31590</v>
      </c>
      <c r="I12980" t="s">
        <v>31689</v>
      </c>
      <c r="J12980" t="s">
        <v>34858</v>
      </c>
      <c r="K12980" t="s">
        <v>41186</v>
      </c>
      <c r="M12980" t="s">
        <v>44830</v>
      </c>
      <c r="N12980" t="s">
        <v>45095</v>
      </c>
      <c r="O12980" t="s">
        <v>45096</v>
      </c>
      <c r="P12980">
        <v>0</v>
      </c>
      <c r="Q12980">
        <v>2</v>
      </c>
      <c r="R12980" t="s">
        <v>45112</v>
      </c>
      <c r="S12980" t="s">
        <v>45755</v>
      </c>
      <c r="T12980" t="s">
        <v>46905</v>
      </c>
      <c r="U12980" t="s">
        <v>58028</v>
      </c>
      <c r="V12980" t="s">
        <v>61271</v>
      </c>
      <c r="W12980" t="s">
        <v>44830</v>
      </c>
      <c r="X12980" t="s">
        <v>45113</v>
      </c>
    </row>
    <row r="12981" spans="1:24">
      <c r="A12981">
        <f>HYPERLINK("https://www.philgeps.gov.ph/GEPSNONPILOT/Tender/SplashBidNoticeAbstractUI.aspx?menuIndex=3&amp;refID=7018579&amp;Result=3","7018579")</f>
        <v>0</v>
      </c>
      <c r="B12981" t="s">
        <v>3004</v>
      </c>
      <c r="C12981" t="s">
        <v>15617</v>
      </c>
      <c r="D12981" t="s">
        <v>18043</v>
      </c>
      <c r="E12981" t="s">
        <v>29322</v>
      </c>
      <c r="F12981" t="s">
        <v>31579</v>
      </c>
      <c r="G12981" t="s">
        <v>31582</v>
      </c>
      <c r="H12981" t="s">
        <v>31590</v>
      </c>
      <c r="I12981" t="s">
        <v>31614</v>
      </c>
      <c r="J12981" t="s">
        <v>35596</v>
      </c>
      <c r="K12981" t="s">
        <v>41189</v>
      </c>
      <c r="M12981" t="s">
        <v>44833</v>
      </c>
      <c r="N12981" t="s">
        <v>45095</v>
      </c>
      <c r="O12981" t="s">
        <v>45096</v>
      </c>
      <c r="Q12981">
        <v>11</v>
      </c>
      <c r="R12981" t="s">
        <v>45113</v>
      </c>
      <c r="S12981" t="s">
        <v>45785</v>
      </c>
      <c r="T12981" t="s">
        <v>47228</v>
      </c>
      <c r="U12981" t="s">
        <v>58029</v>
      </c>
      <c r="W12981" t="s">
        <v>44833</v>
      </c>
      <c r="X12981" t="s">
        <v>45114</v>
      </c>
    </row>
    <row r="12982" spans="1:24">
      <c r="A12982">
        <f>HYPERLINK("https://www.philgeps.gov.ph/GEPSNONPILOT/Tender/SplashBidNoticeAbstractUI.aspx?menuIndex=3&amp;refID=7018599&amp;Result=3","7018599")</f>
        <v>0</v>
      </c>
      <c r="B12982" t="s">
        <v>901</v>
      </c>
      <c r="C12982" t="s">
        <v>15618</v>
      </c>
      <c r="D12982" t="s">
        <v>18066</v>
      </c>
      <c r="E12982" t="s">
        <v>29323</v>
      </c>
      <c r="F12982" t="s">
        <v>31574</v>
      </c>
      <c r="G12982" t="s">
        <v>31582</v>
      </c>
      <c r="H12982" t="s">
        <v>31591</v>
      </c>
      <c r="I12982" t="s">
        <v>8822</v>
      </c>
      <c r="J12982" t="s">
        <v>34070</v>
      </c>
      <c r="K12982" t="s">
        <v>41260</v>
      </c>
      <c r="M12982" t="s">
        <v>42425</v>
      </c>
      <c r="N12982" t="s">
        <v>45095</v>
      </c>
      <c r="O12982" t="s">
        <v>45096</v>
      </c>
      <c r="P12982">
        <v>0</v>
      </c>
      <c r="Q12982">
        <v>4</v>
      </c>
      <c r="R12982" t="s">
        <v>45113</v>
      </c>
      <c r="S12982" t="s">
        <v>45783</v>
      </c>
      <c r="T12982" t="s">
        <v>46973</v>
      </c>
      <c r="U12982" t="s">
        <v>58030</v>
      </c>
      <c r="W12982" t="s">
        <v>42425</v>
      </c>
      <c r="X12982" t="s">
        <v>45114</v>
      </c>
    </row>
    <row r="12983" spans="1:24">
      <c r="A12983">
        <f>HYPERLINK("https://www.philgeps.gov.ph/GEPSNONPILOT/Tender/SplashBidNoticeAbstractUI.aspx?menuIndex=3&amp;refID=7017963&amp;Result=3","7017963")</f>
        <v>0</v>
      </c>
      <c r="B12983" t="s">
        <v>144</v>
      </c>
      <c r="C12983" t="s">
        <v>15619</v>
      </c>
      <c r="D12983" t="s">
        <v>18076</v>
      </c>
      <c r="E12983" t="s">
        <v>29324</v>
      </c>
      <c r="F12983" t="s">
        <v>31574</v>
      </c>
      <c r="G12983" t="s">
        <v>31582</v>
      </c>
      <c r="H12983" t="s">
        <v>31591</v>
      </c>
      <c r="I12983" t="s">
        <v>8822</v>
      </c>
      <c r="J12983" t="s">
        <v>39723</v>
      </c>
      <c r="K12983" t="s">
        <v>41370</v>
      </c>
      <c r="M12983" t="s">
        <v>44418</v>
      </c>
      <c r="N12983" t="s">
        <v>45095</v>
      </c>
      <c r="O12983" t="s">
        <v>45096</v>
      </c>
      <c r="P12983">
        <v>0</v>
      </c>
      <c r="Q12983">
        <v>0</v>
      </c>
      <c r="R12983" t="s">
        <v>45113</v>
      </c>
      <c r="S12983" t="s">
        <v>45783</v>
      </c>
      <c r="T12983" t="s">
        <v>47002</v>
      </c>
      <c r="U12983" t="s">
        <v>58031</v>
      </c>
      <c r="W12983" t="s">
        <v>44418</v>
      </c>
      <c r="X12983" t="s">
        <v>45115</v>
      </c>
    </row>
    <row r="12984" spans="1:24">
      <c r="A12984">
        <f>HYPERLINK("https://www.philgeps.gov.ph/GEPSNONPILOT/Tender/SplashBidNoticeAbstractUI.aspx?menuIndex=3&amp;refID=7017891&amp;Result=3","7017891")</f>
        <v>0</v>
      </c>
      <c r="B12984" t="s">
        <v>144</v>
      </c>
      <c r="C12984" t="s">
        <v>15620</v>
      </c>
      <c r="D12984" t="s">
        <v>18076</v>
      </c>
      <c r="E12984" t="s">
        <v>29325</v>
      </c>
      <c r="F12984" t="s">
        <v>31574</v>
      </c>
      <c r="G12984" t="s">
        <v>31582</v>
      </c>
      <c r="H12984" t="s">
        <v>31591</v>
      </c>
      <c r="I12984" t="s">
        <v>8822</v>
      </c>
      <c r="J12984" t="s">
        <v>39723</v>
      </c>
      <c r="K12984" t="s">
        <v>41370</v>
      </c>
      <c r="M12984" t="s">
        <v>44418</v>
      </c>
      <c r="N12984" t="s">
        <v>45095</v>
      </c>
      <c r="O12984" t="s">
        <v>45096</v>
      </c>
      <c r="P12984">
        <v>0</v>
      </c>
      <c r="Q12984">
        <v>0</v>
      </c>
      <c r="R12984" t="s">
        <v>45113</v>
      </c>
      <c r="S12984" t="s">
        <v>45783</v>
      </c>
      <c r="T12984" t="s">
        <v>47002</v>
      </c>
      <c r="U12984" t="s">
        <v>58032</v>
      </c>
      <c r="W12984" t="s">
        <v>44418</v>
      </c>
      <c r="X12984" t="s">
        <v>45115</v>
      </c>
    </row>
    <row r="12985" spans="1:24">
      <c r="A12985">
        <f>HYPERLINK("https://www.philgeps.gov.ph/GEPSNONPILOT/Tender/SplashBidNoticeAbstractUI.aspx?menuIndex=3&amp;refID=7017742&amp;Result=3","7017742")</f>
        <v>0</v>
      </c>
      <c r="B12985" t="s">
        <v>40</v>
      </c>
      <c r="C12985" t="s">
        <v>15621</v>
      </c>
      <c r="D12985" t="s">
        <v>18035</v>
      </c>
      <c r="E12985" t="s">
        <v>29326</v>
      </c>
      <c r="F12985" t="s">
        <v>31574</v>
      </c>
      <c r="G12985" t="s">
        <v>31582</v>
      </c>
      <c r="H12985" t="s">
        <v>31591</v>
      </c>
      <c r="I12985" t="s">
        <v>8822</v>
      </c>
      <c r="J12985" t="s">
        <v>36643</v>
      </c>
      <c r="K12985" t="s">
        <v>41357</v>
      </c>
      <c r="M12985" t="s">
        <v>41523</v>
      </c>
      <c r="N12985" t="s">
        <v>45095</v>
      </c>
      <c r="O12985" t="s">
        <v>45096</v>
      </c>
      <c r="P12985">
        <v>0</v>
      </c>
      <c r="Q12985">
        <v>19</v>
      </c>
      <c r="R12985" t="s">
        <v>45113</v>
      </c>
      <c r="S12985" t="s">
        <v>45783</v>
      </c>
      <c r="T12985" t="s">
        <v>46979</v>
      </c>
      <c r="U12985" t="s">
        <v>56687</v>
      </c>
      <c r="V12985" t="s">
        <v>59850</v>
      </c>
      <c r="W12985" t="s">
        <v>41523</v>
      </c>
      <c r="X12985" t="s">
        <v>45115</v>
      </c>
    </row>
    <row r="12986" spans="1:24">
      <c r="A12986">
        <f>HYPERLINK("https://www.philgeps.gov.ph/GEPSNONPILOT/Tender/SplashBidNoticeAbstractUI.aspx?menuIndex=3&amp;refID=7018577&amp;Result=3","7018577")</f>
        <v>0</v>
      </c>
      <c r="B12986" t="s">
        <v>3004</v>
      </c>
      <c r="C12986" t="s">
        <v>15622</v>
      </c>
      <c r="D12986" t="s">
        <v>18043</v>
      </c>
      <c r="E12986" t="s">
        <v>29327</v>
      </c>
      <c r="F12986" t="s">
        <v>31579</v>
      </c>
      <c r="G12986" t="s">
        <v>31582</v>
      </c>
      <c r="H12986" t="s">
        <v>31590</v>
      </c>
      <c r="I12986" t="s">
        <v>31614</v>
      </c>
      <c r="J12986" t="s">
        <v>39724</v>
      </c>
      <c r="K12986" t="s">
        <v>41189</v>
      </c>
      <c r="M12986" t="s">
        <v>44833</v>
      </c>
      <c r="N12986" t="s">
        <v>45095</v>
      </c>
      <c r="O12986" t="s">
        <v>45096</v>
      </c>
      <c r="Q12986">
        <v>5</v>
      </c>
      <c r="R12986" t="s">
        <v>45113</v>
      </c>
      <c r="S12986" t="s">
        <v>45786</v>
      </c>
      <c r="T12986" t="s">
        <v>47228</v>
      </c>
      <c r="U12986" t="s">
        <v>58033</v>
      </c>
      <c r="W12986" t="s">
        <v>44833</v>
      </c>
      <c r="X12986" t="s">
        <v>45114</v>
      </c>
    </row>
    <row r="12987" spans="1:24">
      <c r="A12987">
        <f>HYPERLINK("https://www.philgeps.gov.ph/GEPSNONPILOT/Tender/SplashBidNoticeAbstractUI.aspx?menuIndex=3&amp;refID=7018722&amp;Result=3","7018722")</f>
        <v>0</v>
      </c>
      <c r="B12987" t="s">
        <v>3005</v>
      </c>
      <c r="C12987" t="s">
        <v>15623</v>
      </c>
      <c r="D12987" t="s">
        <v>18072</v>
      </c>
      <c r="E12987" t="s">
        <v>29328</v>
      </c>
      <c r="F12987" t="s">
        <v>31574</v>
      </c>
      <c r="G12987" t="s">
        <v>31582</v>
      </c>
      <c r="H12987" t="s">
        <v>31590</v>
      </c>
      <c r="I12987" t="s">
        <v>4046</v>
      </c>
      <c r="J12987" t="s">
        <v>39725</v>
      </c>
      <c r="K12987" t="s">
        <v>41190</v>
      </c>
      <c r="M12987" t="s">
        <v>44834</v>
      </c>
      <c r="N12987" t="s">
        <v>45095</v>
      </c>
      <c r="O12987" t="s">
        <v>45096</v>
      </c>
      <c r="Q12987">
        <v>0</v>
      </c>
      <c r="R12987" t="s">
        <v>45113</v>
      </c>
      <c r="S12987" t="s">
        <v>45787</v>
      </c>
      <c r="T12987" t="s">
        <v>46979</v>
      </c>
      <c r="U12987" t="s">
        <v>58034</v>
      </c>
      <c r="V12987" t="s">
        <v>59888</v>
      </c>
      <c r="W12987" t="s">
        <v>61769</v>
      </c>
      <c r="X12987" t="s">
        <v>45114</v>
      </c>
    </row>
    <row r="12988" spans="1:24">
      <c r="A12988">
        <f>HYPERLINK("https://www.philgeps.gov.ph/GEPSNONPILOT/Tender/SplashBidNoticeAbstractUI.aspx?menuIndex=3&amp;refID=7017941&amp;Result=3","7017941")</f>
        <v>0</v>
      </c>
      <c r="B12988" t="s">
        <v>40</v>
      </c>
      <c r="C12988" t="s">
        <v>15624</v>
      </c>
      <c r="D12988" t="s">
        <v>18035</v>
      </c>
      <c r="E12988" t="s">
        <v>29329</v>
      </c>
      <c r="F12988" t="s">
        <v>31574</v>
      </c>
      <c r="G12988" t="s">
        <v>31582</v>
      </c>
      <c r="H12988" t="s">
        <v>31591</v>
      </c>
      <c r="I12988" t="s">
        <v>8822</v>
      </c>
      <c r="J12988" t="s">
        <v>34697</v>
      </c>
      <c r="K12988" t="s">
        <v>41200</v>
      </c>
      <c r="M12988" t="s">
        <v>41523</v>
      </c>
      <c r="N12988" t="s">
        <v>45095</v>
      </c>
      <c r="O12988" t="s">
        <v>45096</v>
      </c>
      <c r="P12988">
        <v>0</v>
      </c>
      <c r="Q12988">
        <v>29</v>
      </c>
      <c r="R12988" t="s">
        <v>45113</v>
      </c>
      <c r="S12988" t="s">
        <v>45783</v>
      </c>
      <c r="T12988" t="s">
        <v>46979</v>
      </c>
      <c r="U12988" t="s">
        <v>54981</v>
      </c>
      <c r="V12988" t="s">
        <v>59850</v>
      </c>
      <c r="W12988" t="s">
        <v>41523</v>
      </c>
      <c r="X12988" t="s">
        <v>45115</v>
      </c>
    </row>
    <row r="12989" spans="1:24">
      <c r="A12989">
        <f>HYPERLINK("https://www.philgeps.gov.ph/GEPSNONPILOT/Tender/SplashBidNoticeAbstractUI.aspx?menuIndex=3&amp;refID=7018706&amp;Result=3","7018706")</f>
        <v>0</v>
      </c>
      <c r="B12989" t="s">
        <v>3006</v>
      </c>
      <c r="C12989" t="s">
        <v>15625</v>
      </c>
      <c r="D12989" t="s">
        <v>18104</v>
      </c>
      <c r="E12989" t="s">
        <v>29330</v>
      </c>
      <c r="F12989" t="s">
        <v>31574</v>
      </c>
      <c r="G12989" t="s">
        <v>31582</v>
      </c>
      <c r="H12989" t="s">
        <v>31591</v>
      </c>
      <c r="I12989" t="s">
        <v>8822</v>
      </c>
      <c r="J12989" t="s">
        <v>34697</v>
      </c>
      <c r="K12989" t="s">
        <v>41285</v>
      </c>
      <c r="M12989" t="s">
        <v>44835</v>
      </c>
      <c r="N12989" t="s">
        <v>45095</v>
      </c>
      <c r="O12989" t="s">
        <v>45096</v>
      </c>
      <c r="P12989">
        <v>0</v>
      </c>
      <c r="Q12989">
        <v>0</v>
      </c>
      <c r="R12989" t="s">
        <v>45113</v>
      </c>
      <c r="S12989" t="s">
        <v>45783</v>
      </c>
      <c r="T12989" t="s">
        <v>46979</v>
      </c>
      <c r="U12989" t="s">
        <v>58035</v>
      </c>
      <c r="V12989" t="s">
        <v>61272</v>
      </c>
      <c r="W12989" t="s">
        <v>44835</v>
      </c>
      <c r="X12989" t="s">
        <v>45114</v>
      </c>
    </row>
    <row r="12990" spans="1:24">
      <c r="A12990">
        <f>HYPERLINK("https://www.philgeps.gov.ph/GEPSNONPILOT/Tender/SplashBidNoticeAbstractUI.aspx?menuIndex=3&amp;refID=7018674&amp;Result=3","7018674")</f>
        <v>0</v>
      </c>
      <c r="B12990" t="s">
        <v>3006</v>
      </c>
      <c r="C12990" t="s">
        <v>15626</v>
      </c>
      <c r="D12990" t="s">
        <v>18104</v>
      </c>
      <c r="E12990" t="s">
        <v>29331</v>
      </c>
      <c r="F12990" t="s">
        <v>31574</v>
      </c>
      <c r="G12990" t="s">
        <v>31582</v>
      </c>
      <c r="H12990" t="s">
        <v>31591</v>
      </c>
      <c r="I12990" t="s">
        <v>8822</v>
      </c>
      <c r="J12990" t="s">
        <v>39726</v>
      </c>
      <c r="K12990" t="s">
        <v>41455</v>
      </c>
      <c r="M12990" t="s">
        <v>44835</v>
      </c>
      <c r="N12990" t="s">
        <v>45095</v>
      </c>
      <c r="O12990" t="s">
        <v>45096</v>
      </c>
      <c r="P12990">
        <v>0</v>
      </c>
      <c r="Q12990">
        <v>0</v>
      </c>
      <c r="R12990" t="s">
        <v>45113</v>
      </c>
      <c r="S12990" t="s">
        <v>45783</v>
      </c>
      <c r="T12990" t="s">
        <v>46979</v>
      </c>
      <c r="U12990" t="s">
        <v>58036</v>
      </c>
      <c r="V12990" t="s">
        <v>61272</v>
      </c>
      <c r="W12990" t="s">
        <v>44835</v>
      </c>
      <c r="X12990" t="s">
        <v>45114</v>
      </c>
    </row>
    <row r="12991" spans="1:24">
      <c r="A12991">
        <f>HYPERLINK("https://www.philgeps.gov.ph/GEPSNONPILOT/Tender/SplashBidNoticeAbstractUI.aspx?menuIndex=3&amp;refID=7017834&amp;Result=3","7017834")</f>
        <v>0</v>
      </c>
      <c r="B12991" t="s">
        <v>40</v>
      </c>
      <c r="C12991" t="s">
        <v>15627</v>
      </c>
      <c r="D12991" t="s">
        <v>18035</v>
      </c>
      <c r="E12991" t="s">
        <v>29332</v>
      </c>
      <c r="F12991" t="s">
        <v>31574</v>
      </c>
      <c r="G12991" t="s">
        <v>31582</v>
      </c>
      <c r="H12991" t="s">
        <v>31591</v>
      </c>
      <c r="I12991" t="s">
        <v>8822</v>
      </c>
      <c r="J12991" t="s">
        <v>34697</v>
      </c>
      <c r="K12991" t="s">
        <v>41200</v>
      </c>
      <c r="M12991" t="s">
        <v>41523</v>
      </c>
      <c r="N12991" t="s">
        <v>45095</v>
      </c>
      <c r="O12991" t="s">
        <v>45096</v>
      </c>
      <c r="P12991">
        <v>0</v>
      </c>
      <c r="Q12991">
        <v>31</v>
      </c>
      <c r="R12991" t="s">
        <v>45113</v>
      </c>
      <c r="S12991" t="s">
        <v>45783</v>
      </c>
      <c r="T12991" t="s">
        <v>46979</v>
      </c>
      <c r="U12991" t="s">
        <v>54981</v>
      </c>
      <c r="V12991" t="s">
        <v>59850</v>
      </c>
      <c r="W12991" t="s">
        <v>41523</v>
      </c>
      <c r="X12991" t="s">
        <v>45115</v>
      </c>
    </row>
    <row r="12992" spans="1:24">
      <c r="A12992">
        <f>HYPERLINK("https://www.philgeps.gov.ph/GEPSNONPILOT/Tender/SplashBidNoticeAbstractUI.aspx?menuIndex=3&amp;refID=7018728&amp;Result=3","7018728")</f>
        <v>0</v>
      </c>
      <c r="B12992" t="s">
        <v>3005</v>
      </c>
      <c r="C12992" t="s">
        <v>15628</v>
      </c>
      <c r="D12992" t="s">
        <v>18072</v>
      </c>
      <c r="E12992" t="s">
        <v>29333</v>
      </c>
      <c r="F12992" t="s">
        <v>31574</v>
      </c>
      <c r="G12992" t="s">
        <v>31582</v>
      </c>
      <c r="H12992" t="s">
        <v>31590</v>
      </c>
      <c r="I12992" t="s">
        <v>4046</v>
      </c>
      <c r="J12992" t="s">
        <v>39727</v>
      </c>
      <c r="K12992" t="s">
        <v>41190</v>
      </c>
      <c r="M12992" t="s">
        <v>44834</v>
      </c>
      <c r="N12992" t="s">
        <v>45095</v>
      </c>
      <c r="O12992" t="s">
        <v>45096</v>
      </c>
      <c r="Q12992">
        <v>0</v>
      </c>
      <c r="R12992" t="s">
        <v>45113</v>
      </c>
      <c r="S12992" t="s">
        <v>45419</v>
      </c>
      <c r="T12992" t="s">
        <v>46979</v>
      </c>
      <c r="U12992" t="s">
        <v>58037</v>
      </c>
      <c r="V12992" t="s">
        <v>59888</v>
      </c>
      <c r="W12992" t="s">
        <v>61769</v>
      </c>
      <c r="X12992" t="s">
        <v>45114</v>
      </c>
    </row>
    <row r="12993" spans="1:24">
      <c r="A12993">
        <f>HYPERLINK("https://www.philgeps.gov.ph/GEPSNONPILOT/Tender/SplashBidNoticeAbstractUI.aspx?menuIndex=3&amp;refID=7018600&amp;Result=3","7018600")</f>
        <v>0</v>
      </c>
      <c r="B12993" t="s">
        <v>901</v>
      </c>
      <c r="C12993" t="s">
        <v>15629</v>
      </c>
      <c r="D12993" t="s">
        <v>18066</v>
      </c>
      <c r="E12993" t="s">
        <v>29334</v>
      </c>
      <c r="F12993" t="s">
        <v>31574</v>
      </c>
      <c r="G12993" t="s">
        <v>31582</v>
      </c>
      <c r="H12993" t="s">
        <v>31591</v>
      </c>
      <c r="I12993" t="s">
        <v>8822</v>
      </c>
      <c r="J12993" t="s">
        <v>34697</v>
      </c>
      <c r="K12993" t="s">
        <v>41263</v>
      </c>
      <c r="M12993" t="s">
        <v>42425</v>
      </c>
      <c r="N12993" t="s">
        <v>45095</v>
      </c>
      <c r="O12993" t="s">
        <v>45096</v>
      </c>
      <c r="P12993">
        <v>0</v>
      </c>
      <c r="Q12993">
        <v>2</v>
      </c>
      <c r="R12993" t="s">
        <v>45113</v>
      </c>
      <c r="S12993" t="s">
        <v>45783</v>
      </c>
      <c r="T12993" t="s">
        <v>46973</v>
      </c>
      <c r="U12993" t="s">
        <v>58038</v>
      </c>
      <c r="W12993" t="s">
        <v>42425</v>
      </c>
      <c r="X12993" t="s">
        <v>45114</v>
      </c>
    </row>
    <row r="12994" spans="1:24">
      <c r="A12994">
        <f>HYPERLINK("https://www.philgeps.gov.ph/GEPSNONPILOT/Tender/SplashBidNoticeAbstractUI.aspx?menuIndex=3&amp;refID=7018601&amp;Result=3","7018601")</f>
        <v>0</v>
      </c>
      <c r="B12994" t="s">
        <v>901</v>
      </c>
      <c r="C12994" t="s">
        <v>15630</v>
      </c>
      <c r="D12994" t="s">
        <v>18066</v>
      </c>
      <c r="E12994" t="s">
        <v>29335</v>
      </c>
      <c r="F12994" t="s">
        <v>31574</v>
      </c>
      <c r="G12994" t="s">
        <v>31582</v>
      </c>
      <c r="H12994" t="s">
        <v>31591</v>
      </c>
      <c r="I12994" t="s">
        <v>8822</v>
      </c>
      <c r="J12994" t="s">
        <v>39728</v>
      </c>
      <c r="K12994" t="s">
        <v>41192</v>
      </c>
      <c r="M12994" t="s">
        <v>42425</v>
      </c>
      <c r="N12994" t="s">
        <v>45095</v>
      </c>
      <c r="O12994" t="s">
        <v>45096</v>
      </c>
      <c r="P12994">
        <v>0</v>
      </c>
      <c r="Q12994">
        <v>3</v>
      </c>
      <c r="R12994" t="s">
        <v>45113</v>
      </c>
      <c r="S12994" t="s">
        <v>45783</v>
      </c>
      <c r="T12994" t="s">
        <v>46973</v>
      </c>
      <c r="U12994" t="s">
        <v>58039</v>
      </c>
      <c r="W12994" t="s">
        <v>42425</v>
      </c>
      <c r="X12994" t="s">
        <v>45114</v>
      </c>
    </row>
    <row r="12995" spans="1:24">
      <c r="A12995">
        <f>HYPERLINK("https://www.philgeps.gov.ph/GEPSNONPILOT/Tender/SplashBidNoticeAbstractUI.aspx?menuIndex=3&amp;refID=7018717&amp;Result=3","7018717")</f>
        <v>0</v>
      </c>
      <c r="B12995" t="s">
        <v>894</v>
      </c>
      <c r="C12995" t="s">
        <v>15631</v>
      </c>
      <c r="D12995" t="s">
        <v>18039</v>
      </c>
      <c r="E12995" t="s">
        <v>29336</v>
      </c>
      <c r="F12995" t="s">
        <v>31574</v>
      </c>
      <c r="G12995" t="s">
        <v>31582</v>
      </c>
      <c r="H12995" t="s">
        <v>31591</v>
      </c>
      <c r="I12995" t="s">
        <v>8822</v>
      </c>
      <c r="J12995" t="s">
        <v>31964</v>
      </c>
      <c r="K12995" t="s">
        <v>41192</v>
      </c>
      <c r="M12995" t="s">
        <v>42418</v>
      </c>
      <c r="N12995" t="s">
        <v>45095</v>
      </c>
      <c r="O12995" t="s">
        <v>45096</v>
      </c>
      <c r="P12995">
        <v>0</v>
      </c>
      <c r="Q12995">
        <v>0</v>
      </c>
      <c r="R12995" t="s">
        <v>45113</v>
      </c>
      <c r="S12995" t="s">
        <v>45783</v>
      </c>
      <c r="T12995" t="s">
        <v>46946</v>
      </c>
      <c r="U12995" t="s">
        <v>58040</v>
      </c>
      <c r="W12995" t="s">
        <v>42418</v>
      </c>
      <c r="X12995" t="s">
        <v>45114</v>
      </c>
    </row>
    <row r="12996" spans="1:24">
      <c r="A12996">
        <f>HYPERLINK("https://www.philgeps.gov.ph/GEPSNONPILOT/Tender/SplashBidNoticeAbstractUI.aspx?menuIndex=3&amp;refID=7017790&amp;Result=3","7017790")</f>
        <v>0</v>
      </c>
      <c r="B12996" t="s">
        <v>40</v>
      </c>
      <c r="C12996" t="s">
        <v>15632</v>
      </c>
      <c r="D12996" t="s">
        <v>18035</v>
      </c>
      <c r="E12996" t="s">
        <v>29337</v>
      </c>
      <c r="F12996" t="s">
        <v>31574</v>
      </c>
      <c r="G12996" t="s">
        <v>31582</v>
      </c>
      <c r="H12996" t="s">
        <v>31591</v>
      </c>
      <c r="I12996" t="s">
        <v>8822</v>
      </c>
      <c r="J12996" t="s">
        <v>34697</v>
      </c>
      <c r="K12996" t="s">
        <v>41200</v>
      </c>
      <c r="M12996" t="s">
        <v>41523</v>
      </c>
      <c r="N12996" t="s">
        <v>45095</v>
      </c>
      <c r="O12996" t="s">
        <v>45096</v>
      </c>
      <c r="P12996">
        <v>0</v>
      </c>
      <c r="Q12996">
        <v>35</v>
      </c>
      <c r="R12996" t="s">
        <v>45113</v>
      </c>
      <c r="S12996" t="s">
        <v>45783</v>
      </c>
      <c r="T12996" t="s">
        <v>46979</v>
      </c>
      <c r="U12996" t="s">
        <v>54981</v>
      </c>
      <c r="V12996" t="s">
        <v>59850</v>
      </c>
      <c r="W12996" t="s">
        <v>41523</v>
      </c>
      <c r="X12996" t="s">
        <v>45115</v>
      </c>
    </row>
    <row r="12997" spans="1:24">
      <c r="A12997">
        <f>HYPERLINK("https://www.philgeps.gov.ph/GEPSNONPILOT/Tender/SplashBidNoticeAbstractUI.aspx?menuIndex=3&amp;refID=7018760&amp;Result=3","7018760")</f>
        <v>0</v>
      </c>
      <c r="B12997" t="s">
        <v>3005</v>
      </c>
      <c r="C12997" t="s">
        <v>15633</v>
      </c>
      <c r="D12997" t="s">
        <v>18072</v>
      </c>
      <c r="E12997" t="s">
        <v>29338</v>
      </c>
      <c r="F12997" t="s">
        <v>31574</v>
      </c>
      <c r="G12997" t="s">
        <v>31582</v>
      </c>
      <c r="H12997" t="s">
        <v>31590</v>
      </c>
      <c r="I12997" t="s">
        <v>31608</v>
      </c>
      <c r="J12997" t="s">
        <v>39729</v>
      </c>
      <c r="K12997" t="s">
        <v>41190</v>
      </c>
      <c r="M12997" t="s">
        <v>44834</v>
      </c>
      <c r="N12997" t="s">
        <v>45095</v>
      </c>
      <c r="O12997" t="s">
        <v>45096</v>
      </c>
      <c r="P12997">
        <v>0</v>
      </c>
      <c r="Q12997">
        <v>2</v>
      </c>
      <c r="R12997" t="s">
        <v>45113</v>
      </c>
      <c r="S12997" t="s">
        <v>45783</v>
      </c>
      <c r="T12997" t="s">
        <v>46979</v>
      </c>
      <c r="U12997" t="s">
        <v>58041</v>
      </c>
      <c r="V12997" t="s">
        <v>59888</v>
      </c>
      <c r="W12997" t="s">
        <v>61769</v>
      </c>
      <c r="X12997" t="s">
        <v>45114</v>
      </c>
    </row>
    <row r="12998" spans="1:24">
      <c r="A12998">
        <f>HYPERLINK("https://www.philgeps.gov.ph/GEPSNONPILOT/Tender/SplashBidNoticeAbstractUI.aspx?menuIndex=3&amp;refID=7018771&amp;Result=3","7018771")</f>
        <v>0</v>
      </c>
      <c r="B12998" t="s">
        <v>3005</v>
      </c>
      <c r="C12998" t="s">
        <v>15634</v>
      </c>
      <c r="D12998" t="s">
        <v>18072</v>
      </c>
      <c r="E12998" t="s">
        <v>29339</v>
      </c>
      <c r="F12998" t="s">
        <v>31574</v>
      </c>
      <c r="G12998" t="s">
        <v>31582</v>
      </c>
      <c r="H12998" t="s">
        <v>31590</v>
      </c>
      <c r="I12998" t="s">
        <v>31612</v>
      </c>
      <c r="J12998" t="s">
        <v>39730</v>
      </c>
      <c r="K12998" t="s">
        <v>41196</v>
      </c>
      <c r="M12998" t="s">
        <v>44834</v>
      </c>
      <c r="N12998" t="s">
        <v>45095</v>
      </c>
      <c r="O12998" t="s">
        <v>45096</v>
      </c>
      <c r="Q12998">
        <v>1</v>
      </c>
      <c r="R12998" t="s">
        <v>45113</v>
      </c>
      <c r="S12998" t="s">
        <v>45725</v>
      </c>
      <c r="T12998" t="s">
        <v>46979</v>
      </c>
      <c r="U12998" t="s">
        <v>58042</v>
      </c>
      <c r="V12998" t="s">
        <v>59888</v>
      </c>
      <c r="W12998" t="s">
        <v>61769</v>
      </c>
      <c r="X12998" t="s">
        <v>45114</v>
      </c>
    </row>
    <row r="12999" spans="1:24">
      <c r="A12999">
        <f>HYPERLINK("https://www.philgeps.gov.ph/GEPSNONPILOT/Tender/SplashBidNoticeAbstractUI.aspx?menuIndex=3&amp;refID=7018765&amp;Result=3","7018765")</f>
        <v>0</v>
      </c>
      <c r="B12999" t="s">
        <v>3005</v>
      </c>
      <c r="C12999" t="s">
        <v>15635</v>
      </c>
      <c r="D12999" t="s">
        <v>18072</v>
      </c>
      <c r="E12999" t="s">
        <v>29340</v>
      </c>
      <c r="F12999" t="s">
        <v>31574</v>
      </c>
      <c r="G12999" t="s">
        <v>31582</v>
      </c>
      <c r="H12999" t="s">
        <v>31590</v>
      </c>
      <c r="I12999" t="s">
        <v>31640</v>
      </c>
      <c r="J12999" t="s">
        <v>39731</v>
      </c>
      <c r="K12999" t="s">
        <v>41196</v>
      </c>
      <c r="M12999" t="s">
        <v>44834</v>
      </c>
      <c r="N12999" t="s">
        <v>45095</v>
      </c>
      <c r="O12999" t="s">
        <v>45096</v>
      </c>
      <c r="P12999">
        <v>0</v>
      </c>
      <c r="Q12999">
        <v>1</v>
      </c>
      <c r="R12999" t="s">
        <v>45113</v>
      </c>
      <c r="S12999" t="s">
        <v>45783</v>
      </c>
      <c r="T12999" t="s">
        <v>46979</v>
      </c>
      <c r="U12999" t="s">
        <v>58043</v>
      </c>
      <c r="V12999" t="s">
        <v>59888</v>
      </c>
      <c r="W12999" t="s">
        <v>61769</v>
      </c>
      <c r="X12999" t="s">
        <v>45114</v>
      </c>
    </row>
    <row r="13000" spans="1:24">
      <c r="A13000">
        <f>HYPERLINK("https://www.philgeps.gov.ph/GEPSNONPILOT/Tender/SplashBidNoticeAbstractUI.aspx?menuIndex=3&amp;refID=7018773&amp;Result=3","7018773")</f>
        <v>0</v>
      </c>
      <c r="B13000" t="s">
        <v>3005</v>
      </c>
      <c r="C13000" t="s">
        <v>15636</v>
      </c>
      <c r="D13000" t="s">
        <v>18072</v>
      </c>
      <c r="E13000" t="s">
        <v>29341</v>
      </c>
      <c r="F13000" t="s">
        <v>31574</v>
      </c>
      <c r="G13000" t="s">
        <v>31582</v>
      </c>
      <c r="H13000" t="s">
        <v>31590</v>
      </c>
      <c r="I13000" t="s">
        <v>31619</v>
      </c>
      <c r="J13000" t="s">
        <v>39732</v>
      </c>
      <c r="K13000" t="s">
        <v>41196</v>
      </c>
      <c r="M13000" t="s">
        <v>44834</v>
      </c>
      <c r="N13000" t="s">
        <v>45095</v>
      </c>
      <c r="O13000" t="s">
        <v>45096</v>
      </c>
      <c r="P13000">
        <v>0</v>
      </c>
      <c r="Q13000">
        <v>3</v>
      </c>
      <c r="R13000" t="s">
        <v>45113</v>
      </c>
      <c r="S13000" t="s">
        <v>45783</v>
      </c>
      <c r="T13000" t="s">
        <v>46979</v>
      </c>
      <c r="U13000" t="s">
        <v>58044</v>
      </c>
      <c r="V13000" t="s">
        <v>59888</v>
      </c>
      <c r="W13000" t="s">
        <v>61769</v>
      </c>
      <c r="X13000" t="s">
        <v>45114</v>
      </c>
    </row>
    <row r="13001" spans="1:24">
      <c r="A13001">
        <f>HYPERLINK("https://www.philgeps.gov.ph/GEPSNONPILOT/Tender/SplashBidNoticeAbstractUI.aspx?menuIndex=3&amp;refID=7018800&amp;Result=3","7018800")</f>
        <v>0</v>
      </c>
      <c r="B13001" t="s">
        <v>2108</v>
      </c>
      <c r="C13001" t="s">
        <v>15637</v>
      </c>
      <c r="D13001" t="s">
        <v>18028</v>
      </c>
      <c r="E13001" t="s">
        <v>29342</v>
      </c>
      <c r="F13001" t="s">
        <v>31574</v>
      </c>
      <c r="G13001" t="s">
        <v>31582</v>
      </c>
      <c r="H13001" t="s">
        <v>31591</v>
      </c>
      <c r="I13001" t="s">
        <v>8822</v>
      </c>
      <c r="J13001" t="s">
        <v>39733</v>
      </c>
      <c r="K13001" t="s">
        <v>41189</v>
      </c>
      <c r="M13001" t="s">
        <v>43787</v>
      </c>
      <c r="N13001" t="s">
        <v>45095</v>
      </c>
      <c r="O13001" t="s">
        <v>45096</v>
      </c>
      <c r="Q13001">
        <v>1</v>
      </c>
      <c r="R13001" t="s">
        <v>45113</v>
      </c>
      <c r="S13001" t="s">
        <v>45788</v>
      </c>
      <c r="T13001" t="s">
        <v>46979</v>
      </c>
      <c r="U13001" t="s">
        <v>58045</v>
      </c>
      <c r="W13001" t="s">
        <v>43787</v>
      </c>
      <c r="X13001" t="s">
        <v>45114</v>
      </c>
    </row>
    <row r="13002" spans="1:24">
      <c r="A13002">
        <f>HYPERLINK("https://www.philgeps.gov.ph/GEPSNONPILOT/Tender/SplashBidNoticeAbstractUI.aspx?menuIndex=3&amp;refID=7018777&amp;Result=3","7018777")</f>
        <v>0</v>
      </c>
      <c r="B13002" t="s">
        <v>3005</v>
      </c>
      <c r="C13002" t="s">
        <v>15638</v>
      </c>
      <c r="D13002" t="s">
        <v>18072</v>
      </c>
      <c r="E13002" t="s">
        <v>29343</v>
      </c>
      <c r="F13002" t="s">
        <v>31574</v>
      </c>
      <c r="G13002" t="s">
        <v>31582</v>
      </c>
      <c r="H13002" t="s">
        <v>31590</v>
      </c>
      <c r="I13002" t="s">
        <v>31605</v>
      </c>
      <c r="J13002" t="s">
        <v>39734</v>
      </c>
      <c r="K13002" t="s">
        <v>41190</v>
      </c>
      <c r="M13002" t="s">
        <v>44834</v>
      </c>
      <c r="N13002" t="s">
        <v>45095</v>
      </c>
      <c r="O13002" t="s">
        <v>45096</v>
      </c>
      <c r="P13002">
        <v>0</v>
      </c>
      <c r="Q13002">
        <v>0</v>
      </c>
      <c r="R13002" t="s">
        <v>45113</v>
      </c>
      <c r="S13002" t="s">
        <v>45783</v>
      </c>
      <c r="T13002" t="s">
        <v>46979</v>
      </c>
      <c r="U13002" t="s">
        <v>58046</v>
      </c>
      <c r="V13002" t="s">
        <v>59888</v>
      </c>
      <c r="W13002" t="s">
        <v>61769</v>
      </c>
      <c r="X13002" t="s">
        <v>45114</v>
      </c>
    </row>
    <row r="13003" spans="1:24">
      <c r="A13003">
        <f>HYPERLINK("https://www.philgeps.gov.ph/GEPSNONPILOT/Tender/SplashBidNoticeAbstractUI.aspx?menuIndex=3&amp;refID=7018868&amp;Result=3","7018868")</f>
        <v>0</v>
      </c>
      <c r="B13003" t="s">
        <v>1653</v>
      </c>
      <c r="C13003" t="s">
        <v>3219</v>
      </c>
      <c r="D13003" t="s">
        <v>18090</v>
      </c>
      <c r="E13003" t="s">
        <v>18544</v>
      </c>
      <c r="F13003" t="s">
        <v>31574</v>
      </c>
      <c r="G13003" t="s">
        <v>31582</v>
      </c>
      <c r="H13003" t="s">
        <v>31590</v>
      </c>
      <c r="I13003" t="s">
        <v>4327</v>
      </c>
      <c r="J13003" t="s">
        <v>39735</v>
      </c>
      <c r="K13003" t="s">
        <v>41196</v>
      </c>
      <c r="M13003" t="s">
        <v>43264</v>
      </c>
      <c r="N13003" t="s">
        <v>45095</v>
      </c>
      <c r="O13003" t="s">
        <v>45096</v>
      </c>
      <c r="P13003">
        <v>0</v>
      </c>
      <c r="Q13003">
        <v>11</v>
      </c>
      <c r="R13003" t="s">
        <v>45113</v>
      </c>
      <c r="S13003" t="s">
        <v>45783</v>
      </c>
      <c r="T13003" t="s">
        <v>46949</v>
      </c>
      <c r="U13003" t="s">
        <v>58047</v>
      </c>
      <c r="W13003" t="s">
        <v>43264</v>
      </c>
      <c r="X13003" t="s">
        <v>45114</v>
      </c>
    </row>
    <row r="13004" spans="1:24">
      <c r="A13004">
        <f>HYPERLINK("https://www.philgeps.gov.ph/GEPSNONPILOT/Tender/SplashBidNoticeAbstractUI.aspx?menuIndex=3&amp;refID=7018782&amp;Result=3","7018782")</f>
        <v>0</v>
      </c>
      <c r="B13004" t="s">
        <v>2108</v>
      </c>
      <c r="C13004" t="s">
        <v>15639</v>
      </c>
      <c r="D13004" t="s">
        <v>18028</v>
      </c>
      <c r="E13004" t="s">
        <v>29344</v>
      </c>
      <c r="F13004" t="s">
        <v>31574</v>
      </c>
      <c r="G13004" t="s">
        <v>31582</v>
      </c>
      <c r="H13004" t="s">
        <v>31591</v>
      </c>
      <c r="I13004" t="s">
        <v>8822</v>
      </c>
      <c r="J13004" t="s">
        <v>39736</v>
      </c>
      <c r="K13004" t="s">
        <v>41200</v>
      </c>
      <c r="M13004" t="s">
        <v>43787</v>
      </c>
      <c r="N13004" t="s">
        <v>45095</v>
      </c>
      <c r="O13004" t="s">
        <v>45096</v>
      </c>
      <c r="Q13004">
        <v>1</v>
      </c>
      <c r="R13004" t="s">
        <v>45113</v>
      </c>
      <c r="S13004" t="s">
        <v>45789</v>
      </c>
      <c r="T13004" t="s">
        <v>47008</v>
      </c>
      <c r="U13004" t="s">
        <v>58048</v>
      </c>
      <c r="W13004" t="s">
        <v>43787</v>
      </c>
      <c r="X13004" t="s">
        <v>45114</v>
      </c>
    </row>
    <row r="13005" spans="1:24">
      <c r="A13005">
        <f>HYPERLINK("https://www.philgeps.gov.ph/GEPSNONPILOT/Tender/SplashBidNoticeAbstractUI.aspx?menuIndex=3&amp;refID=7018864&amp;Result=3","7018864")</f>
        <v>0</v>
      </c>
      <c r="B13005" t="s">
        <v>1653</v>
      </c>
      <c r="C13005" t="s">
        <v>15640</v>
      </c>
      <c r="D13005" t="s">
        <v>18090</v>
      </c>
      <c r="E13005" t="s">
        <v>29345</v>
      </c>
      <c r="F13005" t="s">
        <v>31574</v>
      </c>
      <c r="G13005" t="s">
        <v>31582</v>
      </c>
      <c r="H13005" t="s">
        <v>31590</v>
      </c>
      <c r="I13005" t="s">
        <v>31600</v>
      </c>
      <c r="J13005" t="s">
        <v>39737</v>
      </c>
      <c r="K13005" t="s">
        <v>41196</v>
      </c>
      <c r="M13005" t="s">
        <v>43264</v>
      </c>
      <c r="N13005" t="s">
        <v>45095</v>
      </c>
      <c r="O13005" t="s">
        <v>45096</v>
      </c>
      <c r="P13005">
        <v>0</v>
      </c>
      <c r="Q13005">
        <v>2</v>
      </c>
      <c r="R13005" t="s">
        <v>45113</v>
      </c>
      <c r="S13005" t="s">
        <v>45783</v>
      </c>
      <c r="T13005" t="s">
        <v>46949</v>
      </c>
      <c r="U13005" t="s">
        <v>58049</v>
      </c>
      <c r="W13005" t="s">
        <v>43264</v>
      </c>
      <c r="X13005" t="s">
        <v>45114</v>
      </c>
    </row>
    <row r="13006" spans="1:24">
      <c r="A13006">
        <f>HYPERLINK("https://www.philgeps.gov.ph/GEPSNONPILOT/Tender/SplashBidNoticeAbstractUI.aspx?menuIndex=3&amp;refID=7018861&amp;Result=3","7018861")</f>
        <v>0</v>
      </c>
      <c r="B13006" t="s">
        <v>1653</v>
      </c>
      <c r="C13006" t="s">
        <v>15641</v>
      </c>
      <c r="D13006" t="s">
        <v>18090</v>
      </c>
      <c r="E13006" t="s">
        <v>29346</v>
      </c>
      <c r="F13006" t="s">
        <v>31574</v>
      </c>
      <c r="G13006" t="s">
        <v>31582</v>
      </c>
      <c r="H13006" t="s">
        <v>31590</v>
      </c>
      <c r="I13006" t="s">
        <v>31600</v>
      </c>
      <c r="J13006" t="s">
        <v>39738</v>
      </c>
      <c r="K13006" t="s">
        <v>41196</v>
      </c>
      <c r="M13006" t="s">
        <v>43264</v>
      </c>
      <c r="N13006" t="s">
        <v>45095</v>
      </c>
      <c r="O13006" t="s">
        <v>45096</v>
      </c>
      <c r="P13006">
        <v>0</v>
      </c>
      <c r="Q13006">
        <v>2</v>
      </c>
      <c r="R13006" t="s">
        <v>45113</v>
      </c>
      <c r="S13006" t="s">
        <v>45783</v>
      </c>
      <c r="T13006" t="s">
        <v>46949</v>
      </c>
      <c r="U13006" t="s">
        <v>58050</v>
      </c>
      <c r="W13006" t="s">
        <v>43264</v>
      </c>
      <c r="X13006" t="s">
        <v>45114</v>
      </c>
    </row>
    <row r="13007" spans="1:24">
      <c r="A13007">
        <f>HYPERLINK("https://www.philgeps.gov.ph/GEPSNONPILOT/Tender/SplashBidNoticeAbstractUI.aspx?menuIndex=3&amp;refID=7018865&amp;Result=3","7018865")</f>
        <v>0</v>
      </c>
      <c r="B13007" t="s">
        <v>1653</v>
      </c>
      <c r="C13007" t="s">
        <v>15642</v>
      </c>
      <c r="D13007" t="s">
        <v>18090</v>
      </c>
      <c r="E13007" t="s">
        <v>29347</v>
      </c>
      <c r="F13007" t="s">
        <v>31574</v>
      </c>
      <c r="G13007" t="s">
        <v>31582</v>
      </c>
      <c r="H13007" t="s">
        <v>31590</v>
      </c>
      <c r="I13007" t="s">
        <v>31600</v>
      </c>
      <c r="J13007" t="s">
        <v>35380</v>
      </c>
      <c r="K13007" t="s">
        <v>41196</v>
      </c>
      <c r="M13007" t="s">
        <v>43264</v>
      </c>
      <c r="N13007" t="s">
        <v>45095</v>
      </c>
      <c r="O13007" t="s">
        <v>45096</v>
      </c>
      <c r="P13007">
        <v>0</v>
      </c>
      <c r="Q13007">
        <v>1</v>
      </c>
      <c r="R13007" t="s">
        <v>45113</v>
      </c>
      <c r="S13007" t="s">
        <v>45783</v>
      </c>
      <c r="T13007" t="s">
        <v>46949</v>
      </c>
      <c r="U13007" t="s">
        <v>58051</v>
      </c>
      <c r="W13007" t="s">
        <v>43264</v>
      </c>
      <c r="X13007" t="s">
        <v>45114</v>
      </c>
    </row>
    <row r="13008" spans="1:24">
      <c r="A13008">
        <f>HYPERLINK("https://www.philgeps.gov.ph/GEPSNONPILOT/Tender/SplashBidNoticeAbstractUI.aspx?menuIndex=3&amp;refID=7016054&amp;Result=3","7016054")</f>
        <v>0</v>
      </c>
      <c r="B13008" t="s">
        <v>2868</v>
      </c>
      <c r="C13008" t="s">
        <v>15643</v>
      </c>
      <c r="D13008" t="s">
        <v>18064</v>
      </c>
      <c r="E13008" t="s">
        <v>29348</v>
      </c>
      <c r="F13008" t="s">
        <v>31574</v>
      </c>
      <c r="G13008" t="s">
        <v>31582</v>
      </c>
      <c r="H13008" t="s">
        <v>31591</v>
      </c>
      <c r="I13008" t="s">
        <v>8822</v>
      </c>
      <c r="J13008" t="s">
        <v>35456</v>
      </c>
      <c r="K13008" t="s">
        <v>41200</v>
      </c>
      <c r="M13008" t="s">
        <v>44658</v>
      </c>
      <c r="N13008" t="s">
        <v>45095</v>
      </c>
      <c r="O13008" t="s">
        <v>45096</v>
      </c>
      <c r="Q13008">
        <v>4</v>
      </c>
      <c r="R13008" t="s">
        <v>45114</v>
      </c>
      <c r="S13008" t="s">
        <v>45790</v>
      </c>
      <c r="T13008" t="s">
        <v>46913</v>
      </c>
      <c r="U13008" t="s">
        <v>58052</v>
      </c>
      <c r="W13008" t="s">
        <v>44658</v>
      </c>
      <c r="X13008" t="s">
        <v>45116</v>
      </c>
    </row>
    <row r="13009" spans="1:24">
      <c r="A13009">
        <f>HYPERLINK("https://www.philgeps.gov.ph/GEPSNONPILOT/Tender/SplashBidNoticeAbstractUI.aspx?menuIndex=3&amp;refID=7018866&amp;Result=3","7018866")</f>
        <v>0</v>
      </c>
      <c r="B13009" t="s">
        <v>1653</v>
      </c>
      <c r="C13009" t="s">
        <v>15644</v>
      </c>
      <c r="D13009" t="s">
        <v>18090</v>
      </c>
      <c r="E13009" t="s">
        <v>29349</v>
      </c>
      <c r="F13009" t="s">
        <v>31574</v>
      </c>
      <c r="G13009" t="s">
        <v>31582</v>
      </c>
      <c r="H13009" t="s">
        <v>31590</v>
      </c>
      <c r="I13009" t="s">
        <v>31615</v>
      </c>
      <c r="J13009" t="s">
        <v>35234</v>
      </c>
      <c r="K13009" t="s">
        <v>41186</v>
      </c>
      <c r="M13009" t="s">
        <v>43264</v>
      </c>
      <c r="N13009" t="s">
        <v>45095</v>
      </c>
      <c r="O13009" t="s">
        <v>45096</v>
      </c>
      <c r="P13009">
        <v>0</v>
      </c>
      <c r="Q13009">
        <v>6</v>
      </c>
      <c r="R13009" t="s">
        <v>45113</v>
      </c>
      <c r="S13009" t="s">
        <v>45783</v>
      </c>
      <c r="T13009" t="s">
        <v>46949</v>
      </c>
      <c r="U13009" t="s">
        <v>58053</v>
      </c>
      <c r="W13009" t="s">
        <v>43264</v>
      </c>
      <c r="X13009" t="s">
        <v>45114</v>
      </c>
    </row>
    <row r="13010" spans="1:24">
      <c r="A13010">
        <f>HYPERLINK("https://www.philgeps.gov.ph/GEPSNONPILOT/Tender/SplashBidNoticeAbstractUI.aspx?menuIndex=3&amp;refID=7018863&amp;Result=3","7018863")</f>
        <v>0</v>
      </c>
      <c r="B13010" t="s">
        <v>1653</v>
      </c>
      <c r="C13010" t="s">
        <v>15645</v>
      </c>
      <c r="D13010" t="s">
        <v>18090</v>
      </c>
      <c r="E13010" t="s">
        <v>29350</v>
      </c>
      <c r="F13010" t="s">
        <v>31574</v>
      </c>
      <c r="G13010" t="s">
        <v>31582</v>
      </c>
      <c r="H13010" t="s">
        <v>31590</v>
      </c>
      <c r="I13010" t="s">
        <v>31602</v>
      </c>
      <c r="J13010" t="s">
        <v>39739</v>
      </c>
      <c r="K13010" t="s">
        <v>41189</v>
      </c>
      <c r="M13010" t="s">
        <v>43264</v>
      </c>
      <c r="N13010" t="s">
        <v>45095</v>
      </c>
      <c r="O13010" t="s">
        <v>45096</v>
      </c>
      <c r="P13010">
        <v>0</v>
      </c>
      <c r="Q13010">
        <v>1</v>
      </c>
      <c r="R13010" t="s">
        <v>45113</v>
      </c>
      <c r="S13010" t="s">
        <v>45783</v>
      </c>
      <c r="T13010" t="s">
        <v>46949</v>
      </c>
      <c r="U13010" t="s">
        <v>58054</v>
      </c>
      <c r="W13010" t="s">
        <v>43264</v>
      </c>
      <c r="X13010" t="s">
        <v>45114</v>
      </c>
    </row>
    <row r="13011" spans="1:24">
      <c r="A13011">
        <f>HYPERLINK("https://www.philgeps.gov.ph/GEPSNONPILOT/Tender/SplashBidNoticeAbstractUI.aspx?menuIndex=3&amp;refID=6995581&amp;Result=3","6995581")</f>
        <v>0</v>
      </c>
      <c r="B13011" t="s">
        <v>3007</v>
      </c>
      <c r="C13011" t="s">
        <v>15646</v>
      </c>
      <c r="D13011" t="s">
        <v>18056</v>
      </c>
      <c r="E13011" t="s">
        <v>29351</v>
      </c>
      <c r="F13011" t="s">
        <v>31574</v>
      </c>
      <c r="G13011" t="s">
        <v>31582</v>
      </c>
      <c r="H13011" t="s">
        <v>31590</v>
      </c>
      <c r="I13011" t="s">
        <v>4046</v>
      </c>
      <c r="J13011" t="s">
        <v>39740</v>
      </c>
      <c r="K13011" t="s">
        <v>41185</v>
      </c>
      <c r="M13011" t="s">
        <v>44836</v>
      </c>
      <c r="N13011" t="s">
        <v>45095</v>
      </c>
      <c r="O13011" t="s">
        <v>45096</v>
      </c>
      <c r="P13011">
        <v>0</v>
      </c>
      <c r="Q13011">
        <v>0</v>
      </c>
      <c r="R13011" t="s">
        <v>45114</v>
      </c>
      <c r="S13011" t="s">
        <v>45791</v>
      </c>
      <c r="T13011" t="s">
        <v>46913</v>
      </c>
      <c r="U13011" t="s">
        <v>58055</v>
      </c>
      <c r="V13011" t="s">
        <v>61273</v>
      </c>
      <c r="W13011" t="s">
        <v>44836</v>
      </c>
      <c r="X13011" t="s">
        <v>45130</v>
      </c>
    </row>
    <row r="13012" spans="1:24">
      <c r="A13012">
        <f>HYPERLINK("https://www.philgeps.gov.ph/GEPSNONPILOT/Tender/SplashBidNoticeAbstractUI.aspx?menuIndex=3&amp;refID=7015601&amp;Result=3","7015601")</f>
        <v>0</v>
      </c>
      <c r="B13012" t="s">
        <v>3008</v>
      </c>
      <c r="C13012" t="s">
        <v>4244</v>
      </c>
      <c r="D13012" t="s">
        <v>18027</v>
      </c>
      <c r="E13012" t="s">
        <v>19545</v>
      </c>
      <c r="F13012" t="s">
        <v>31574</v>
      </c>
      <c r="G13012" t="s">
        <v>31583</v>
      </c>
      <c r="H13012" t="s">
        <v>31590</v>
      </c>
      <c r="I13012" t="s">
        <v>6800</v>
      </c>
      <c r="J13012" t="s">
        <v>31845</v>
      </c>
      <c r="K13012" t="s">
        <v>41184</v>
      </c>
      <c r="M13012" t="s">
        <v>44837</v>
      </c>
      <c r="N13012" t="s">
        <v>45095</v>
      </c>
      <c r="O13012" t="s">
        <v>45096</v>
      </c>
      <c r="P13012">
        <v>0</v>
      </c>
      <c r="Q13012">
        <v>2</v>
      </c>
      <c r="R13012" t="s">
        <v>45114</v>
      </c>
      <c r="S13012" t="s">
        <v>45791</v>
      </c>
      <c r="T13012" t="s">
        <v>47100</v>
      </c>
      <c r="U13012" t="s">
        <v>58056</v>
      </c>
      <c r="W13012" t="s">
        <v>44837</v>
      </c>
      <c r="X13012" t="s">
        <v>45116</v>
      </c>
    </row>
    <row r="13013" spans="1:24">
      <c r="A13013">
        <f>HYPERLINK("https://www.philgeps.gov.ph/GEPSNONPILOT/Tender/SplashBidNoticeAbstractUI.aspx?menuIndex=3&amp;refID=7018870&amp;Result=3","7018870")</f>
        <v>0</v>
      </c>
      <c r="B13013" t="s">
        <v>1653</v>
      </c>
      <c r="C13013" t="s">
        <v>15647</v>
      </c>
      <c r="D13013" t="s">
        <v>18090</v>
      </c>
      <c r="E13013" t="s">
        <v>29352</v>
      </c>
      <c r="F13013" t="s">
        <v>31574</v>
      </c>
      <c r="G13013" t="s">
        <v>31582</v>
      </c>
      <c r="H13013" t="s">
        <v>31590</v>
      </c>
      <c r="I13013" t="s">
        <v>3489</v>
      </c>
      <c r="J13013" t="s">
        <v>31804</v>
      </c>
      <c r="K13013" t="s">
        <v>41196</v>
      </c>
      <c r="M13013" t="s">
        <v>43264</v>
      </c>
      <c r="N13013" t="s">
        <v>45095</v>
      </c>
      <c r="O13013" t="s">
        <v>45096</v>
      </c>
      <c r="P13013">
        <v>0</v>
      </c>
      <c r="Q13013">
        <v>2</v>
      </c>
      <c r="R13013" t="s">
        <v>45113</v>
      </c>
      <c r="S13013" t="s">
        <v>45783</v>
      </c>
      <c r="T13013" t="s">
        <v>46949</v>
      </c>
      <c r="U13013" t="s">
        <v>58057</v>
      </c>
      <c r="W13013" t="s">
        <v>43264</v>
      </c>
      <c r="X13013" t="s">
        <v>45114</v>
      </c>
    </row>
    <row r="13014" spans="1:24">
      <c r="A13014">
        <f>HYPERLINK("https://www.philgeps.gov.ph/GEPSNONPILOT/Tender/SplashBidNoticeAbstractUI.aspx?menuIndex=3&amp;refID=7016069&amp;Result=3","7016069")</f>
        <v>0</v>
      </c>
      <c r="B13014" t="s">
        <v>141</v>
      </c>
      <c r="C13014" t="s">
        <v>15648</v>
      </c>
      <c r="D13014" t="s">
        <v>18074</v>
      </c>
      <c r="E13014" t="s">
        <v>29353</v>
      </c>
      <c r="F13014" t="s">
        <v>31574</v>
      </c>
      <c r="G13014" t="s">
        <v>31582</v>
      </c>
      <c r="H13014" t="s">
        <v>31590</v>
      </c>
      <c r="I13014" t="s">
        <v>31599</v>
      </c>
      <c r="J13014" t="s">
        <v>31888</v>
      </c>
      <c r="K13014" t="s">
        <v>41184</v>
      </c>
      <c r="M13014" t="s">
        <v>41625</v>
      </c>
      <c r="N13014" t="s">
        <v>45095</v>
      </c>
      <c r="O13014" t="s">
        <v>45096</v>
      </c>
      <c r="P13014">
        <v>0</v>
      </c>
      <c r="Q13014">
        <v>1</v>
      </c>
      <c r="R13014" t="s">
        <v>45114</v>
      </c>
      <c r="S13014" t="s">
        <v>45791</v>
      </c>
      <c r="T13014" t="s">
        <v>46989</v>
      </c>
      <c r="U13014" t="s">
        <v>58058</v>
      </c>
      <c r="W13014" t="s">
        <v>41625</v>
      </c>
      <c r="X13014" t="s">
        <v>45116</v>
      </c>
    </row>
    <row r="13015" spans="1:24">
      <c r="A13015">
        <f>HYPERLINK("https://www.philgeps.gov.ph/GEPSNONPILOT/Tender/SplashBidNoticeAbstractUI.aspx?menuIndex=3&amp;refID=6893108-2&amp;Result=3","6893108-2")</f>
        <v>0</v>
      </c>
      <c r="B13015" t="s">
        <v>1742</v>
      </c>
      <c r="C13015" t="s">
        <v>15649</v>
      </c>
      <c r="D13015" t="s">
        <v>18022</v>
      </c>
      <c r="E13015" t="s">
        <v>29354</v>
      </c>
      <c r="F13015" t="s">
        <v>31574</v>
      </c>
      <c r="G13015" t="s">
        <v>31582</v>
      </c>
      <c r="H13015" t="s">
        <v>31593</v>
      </c>
      <c r="I13015" t="s">
        <v>31593</v>
      </c>
      <c r="J13015" t="s">
        <v>39741</v>
      </c>
      <c r="K13015" t="s">
        <v>41184</v>
      </c>
      <c r="M13015" t="s">
        <v>43695</v>
      </c>
      <c r="N13015" t="s">
        <v>45095</v>
      </c>
      <c r="O13015" t="s">
        <v>45096</v>
      </c>
      <c r="Q13015">
        <v>0</v>
      </c>
      <c r="R13015" t="s">
        <v>45114</v>
      </c>
      <c r="S13015" t="s">
        <v>45792</v>
      </c>
      <c r="T13015" t="s">
        <v>47003</v>
      </c>
      <c r="U13015" t="s">
        <v>58059</v>
      </c>
      <c r="W13015" t="s">
        <v>43695</v>
      </c>
      <c r="X13015" t="s">
        <v>45115</v>
      </c>
    </row>
    <row r="13016" spans="1:24">
      <c r="A13016">
        <f>HYPERLINK("https://www.philgeps.gov.ph/GEPSNONPILOT/Tender/SplashBidNoticeAbstractUI.aspx?menuIndex=3&amp;refID=7001689&amp;Result=3","7001689")</f>
        <v>0</v>
      </c>
      <c r="B13016" t="s">
        <v>952</v>
      </c>
      <c r="C13016" t="s">
        <v>15650</v>
      </c>
      <c r="D13016" t="s">
        <v>18058</v>
      </c>
      <c r="E13016" t="s">
        <v>29355</v>
      </c>
      <c r="F13016" t="s">
        <v>31574</v>
      </c>
      <c r="G13016" t="s">
        <v>31581</v>
      </c>
      <c r="H13016" t="s">
        <v>31590</v>
      </c>
      <c r="I13016" t="s">
        <v>3487</v>
      </c>
      <c r="J13016" t="s">
        <v>31843</v>
      </c>
      <c r="K13016" t="s">
        <v>41184</v>
      </c>
      <c r="M13016" t="s">
        <v>42479</v>
      </c>
      <c r="N13016" t="s">
        <v>45095</v>
      </c>
      <c r="O13016" t="s">
        <v>45096</v>
      </c>
      <c r="Q13016">
        <v>0</v>
      </c>
      <c r="R13016" t="s">
        <v>45114</v>
      </c>
      <c r="S13016" t="s">
        <v>45484</v>
      </c>
      <c r="T13016" t="s">
        <v>47106</v>
      </c>
      <c r="U13016" t="s">
        <v>58060</v>
      </c>
      <c r="W13016" t="s">
        <v>42479</v>
      </c>
      <c r="X13016" t="s">
        <v>45125</v>
      </c>
    </row>
    <row r="13017" spans="1:24">
      <c r="A13017">
        <f>HYPERLINK("https://www.philgeps.gov.ph/GEPSNONPILOT/Tender/SplashBidNoticeAbstractUI.aspx?menuIndex=3&amp;refID=7013770&amp;Result=3","7013770")</f>
        <v>0</v>
      </c>
      <c r="B13017" t="s">
        <v>2256</v>
      </c>
      <c r="C13017" t="s">
        <v>15651</v>
      </c>
      <c r="D13017" t="s">
        <v>18056</v>
      </c>
      <c r="E13017" t="s">
        <v>26285</v>
      </c>
      <c r="F13017" t="s">
        <v>31574</v>
      </c>
      <c r="G13017" t="s">
        <v>31582</v>
      </c>
      <c r="H13017" t="s">
        <v>31590</v>
      </c>
      <c r="I13017" t="s">
        <v>31620</v>
      </c>
      <c r="J13017" t="s">
        <v>33039</v>
      </c>
      <c r="K13017" t="s">
        <v>41196</v>
      </c>
      <c r="M13017" t="s">
        <v>43955</v>
      </c>
      <c r="N13017" t="s">
        <v>45095</v>
      </c>
      <c r="O13017" t="s">
        <v>45096</v>
      </c>
      <c r="P13017">
        <v>0</v>
      </c>
      <c r="Q13017">
        <v>4</v>
      </c>
      <c r="R13017" t="s">
        <v>45114</v>
      </c>
      <c r="S13017" t="s">
        <v>45791</v>
      </c>
      <c r="T13017" t="s">
        <v>47427</v>
      </c>
      <c r="U13017" t="s">
        <v>58061</v>
      </c>
      <c r="V13017" t="s">
        <v>60660</v>
      </c>
      <c r="W13017" t="s">
        <v>43955</v>
      </c>
      <c r="X13017" t="s">
        <v>45117</v>
      </c>
    </row>
    <row r="13018" spans="1:24">
      <c r="A13018">
        <f>HYPERLINK("https://www.philgeps.gov.ph/GEPSNONPILOT/Tender/SplashBidNoticeAbstractUI.aspx?menuIndex=3&amp;refID=6995513&amp;Result=3","6995513")</f>
        <v>0</v>
      </c>
      <c r="B13018" t="s">
        <v>3007</v>
      </c>
      <c r="C13018" t="s">
        <v>15652</v>
      </c>
      <c r="D13018" t="s">
        <v>18056</v>
      </c>
      <c r="E13018" t="s">
        <v>28708</v>
      </c>
      <c r="F13018" t="s">
        <v>31574</v>
      </c>
      <c r="G13018" t="s">
        <v>31582</v>
      </c>
      <c r="H13018" t="s">
        <v>31590</v>
      </c>
      <c r="I13018" t="s">
        <v>4046</v>
      </c>
      <c r="J13018" t="s">
        <v>39742</v>
      </c>
      <c r="K13018" t="s">
        <v>41185</v>
      </c>
      <c r="M13018" t="s">
        <v>44836</v>
      </c>
      <c r="N13018" t="s">
        <v>45095</v>
      </c>
      <c r="O13018" t="s">
        <v>45096</v>
      </c>
      <c r="P13018">
        <v>0</v>
      </c>
      <c r="Q13018">
        <v>0</v>
      </c>
      <c r="R13018" t="s">
        <v>45114</v>
      </c>
      <c r="S13018" t="s">
        <v>45791</v>
      </c>
      <c r="T13018" t="s">
        <v>46913</v>
      </c>
      <c r="U13018" t="s">
        <v>58062</v>
      </c>
      <c r="V13018" t="s">
        <v>61274</v>
      </c>
      <c r="W13018" t="s">
        <v>44836</v>
      </c>
      <c r="X13018" t="s">
        <v>45130</v>
      </c>
    </row>
    <row r="13019" spans="1:24">
      <c r="A13019">
        <f>HYPERLINK("https://www.philgeps.gov.ph/GEPSNONPILOT/Tender/SplashBidNoticeAbstractUI.aspx?menuIndex=3&amp;refID=6946738&amp;Result=3","6946738")</f>
        <v>0</v>
      </c>
      <c r="B13019" t="s">
        <v>3009</v>
      </c>
      <c r="C13019" t="s">
        <v>15653</v>
      </c>
      <c r="D13019" t="s">
        <v>18037</v>
      </c>
      <c r="E13019" t="s">
        <v>23995</v>
      </c>
      <c r="F13019" t="s">
        <v>31574</v>
      </c>
      <c r="G13019" t="s">
        <v>31582</v>
      </c>
      <c r="H13019" t="s">
        <v>31591</v>
      </c>
      <c r="I13019" t="s">
        <v>8822</v>
      </c>
      <c r="J13019" t="s">
        <v>32497</v>
      </c>
      <c r="K13019" t="s">
        <v>41200</v>
      </c>
      <c r="M13019" t="s">
        <v>44838</v>
      </c>
      <c r="N13019" t="s">
        <v>45095</v>
      </c>
      <c r="O13019" t="s">
        <v>45096</v>
      </c>
      <c r="P13019">
        <v>0</v>
      </c>
      <c r="Q13019">
        <v>0</v>
      </c>
      <c r="R13019" t="s">
        <v>45114</v>
      </c>
      <c r="S13019" t="s">
        <v>45791</v>
      </c>
      <c r="T13019" t="s">
        <v>47183</v>
      </c>
      <c r="U13019" t="s">
        <v>58063</v>
      </c>
      <c r="W13019" t="s">
        <v>44838</v>
      </c>
      <c r="X13019" t="s">
        <v>45166</v>
      </c>
    </row>
    <row r="13020" spans="1:24">
      <c r="A13020">
        <f>HYPERLINK("https://www.philgeps.gov.ph/GEPSNONPILOT/Tender/SplashBidNoticeAbstractUI.aspx?menuIndex=3&amp;refID=7016088&amp;Result=3","7016088")</f>
        <v>0</v>
      </c>
      <c r="B13020" t="s">
        <v>141</v>
      </c>
      <c r="C13020" t="s">
        <v>15654</v>
      </c>
      <c r="D13020" t="s">
        <v>18074</v>
      </c>
      <c r="E13020" t="s">
        <v>29356</v>
      </c>
      <c r="F13020" t="s">
        <v>31574</v>
      </c>
      <c r="G13020" t="s">
        <v>31582</v>
      </c>
      <c r="H13020" t="s">
        <v>31591</v>
      </c>
      <c r="I13020" t="s">
        <v>8822</v>
      </c>
      <c r="J13020" t="s">
        <v>39743</v>
      </c>
      <c r="K13020" t="s">
        <v>41184</v>
      </c>
      <c r="M13020" t="s">
        <v>41625</v>
      </c>
      <c r="N13020" t="s">
        <v>45095</v>
      </c>
      <c r="O13020" t="s">
        <v>45096</v>
      </c>
      <c r="P13020">
        <v>0</v>
      </c>
      <c r="Q13020">
        <v>1</v>
      </c>
      <c r="R13020" t="s">
        <v>45114</v>
      </c>
      <c r="S13020" t="s">
        <v>45791</v>
      </c>
      <c r="T13020" t="s">
        <v>46989</v>
      </c>
      <c r="U13020" t="s">
        <v>58064</v>
      </c>
      <c r="W13020" t="s">
        <v>41625</v>
      </c>
      <c r="X13020" t="s">
        <v>45116</v>
      </c>
    </row>
    <row r="13021" spans="1:24">
      <c r="A13021">
        <f>HYPERLINK("https://www.philgeps.gov.ph/GEPSNONPILOT/Tender/SplashBidNoticeAbstractUI.aspx?menuIndex=3&amp;refID=7016096&amp;Result=3","7016096")</f>
        <v>0</v>
      </c>
      <c r="B13021" t="s">
        <v>1023</v>
      </c>
      <c r="C13021" t="s">
        <v>15655</v>
      </c>
      <c r="E13021" t="s">
        <v>29357</v>
      </c>
      <c r="F13021" t="s">
        <v>31574</v>
      </c>
      <c r="G13021" t="s">
        <v>31582</v>
      </c>
      <c r="H13021" t="s">
        <v>31590</v>
      </c>
      <c r="I13021" t="s">
        <v>31595</v>
      </c>
      <c r="J13021" t="s">
        <v>39744</v>
      </c>
      <c r="K13021" t="s">
        <v>41184</v>
      </c>
      <c r="M13021" t="s">
        <v>42564</v>
      </c>
      <c r="N13021" t="s">
        <v>45095</v>
      </c>
      <c r="O13021" t="s">
        <v>45096</v>
      </c>
      <c r="P13021">
        <v>0</v>
      </c>
      <c r="Q13021">
        <v>17</v>
      </c>
      <c r="R13021" t="s">
        <v>45114</v>
      </c>
      <c r="S13021" t="s">
        <v>45791</v>
      </c>
      <c r="T13021" t="s">
        <v>46980</v>
      </c>
      <c r="U13021" t="s">
        <v>58065</v>
      </c>
      <c r="W13021" t="s">
        <v>42564</v>
      </c>
      <c r="X13021" t="s">
        <v>45116</v>
      </c>
    </row>
    <row r="13022" spans="1:24">
      <c r="A13022">
        <f>HYPERLINK("https://www.philgeps.gov.ph/GEPSNONPILOT/Tender/SplashBidNoticeAbstractUI.aspx?menuIndex=3&amp;refID=7016282&amp;Result=3","7016282")</f>
        <v>0</v>
      </c>
      <c r="B13022" t="s">
        <v>1545</v>
      </c>
      <c r="C13022" t="s">
        <v>15656</v>
      </c>
      <c r="D13022" t="s">
        <v>18023</v>
      </c>
      <c r="E13022" t="s">
        <v>29358</v>
      </c>
      <c r="F13022" t="s">
        <v>31574</v>
      </c>
      <c r="G13022" t="s">
        <v>31582</v>
      </c>
      <c r="H13022" t="s">
        <v>31591</v>
      </c>
      <c r="I13022" t="s">
        <v>8822</v>
      </c>
      <c r="J13022" t="s">
        <v>33252</v>
      </c>
      <c r="K13022" t="s">
        <v>41341</v>
      </c>
      <c r="M13022" t="s">
        <v>43141</v>
      </c>
      <c r="N13022" t="s">
        <v>45095</v>
      </c>
      <c r="O13022" t="s">
        <v>45096</v>
      </c>
      <c r="P13022">
        <v>0</v>
      </c>
      <c r="Q13022">
        <v>42</v>
      </c>
      <c r="R13022" t="s">
        <v>45114</v>
      </c>
      <c r="S13022" t="s">
        <v>45791</v>
      </c>
      <c r="T13022" t="s">
        <v>47067</v>
      </c>
      <c r="U13022" t="s">
        <v>58066</v>
      </c>
      <c r="W13022" t="s">
        <v>43141</v>
      </c>
      <c r="X13022" t="s">
        <v>45116</v>
      </c>
    </row>
    <row r="13023" spans="1:24">
      <c r="A13023">
        <f>HYPERLINK("https://www.philgeps.gov.ph/GEPSNONPILOT/Tender/SplashBidNoticeAbstractUI.aspx?menuIndex=3&amp;refID=7016149&amp;Result=3","7016149")</f>
        <v>0</v>
      </c>
      <c r="B13023" t="s">
        <v>141</v>
      </c>
      <c r="C13023" t="s">
        <v>15657</v>
      </c>
      <c r="D13023" t="s">
        <v>18074</v>
      </c>
      <c r="E13023" t="s">
        <v>29359</v>
      </c>
      <c r="F13023" t="s">
        <v>31574</v>
      </c>
      <c r="G13023" t="s">
        <v>31582</v>
      </c>
      <c r="H13023" t="s">
        <v>31591</v>
      </c>
      <c r="I13023" t="s">
        <v>8822</v>
      </c>
      <c r="J13023" t="s">
        <v>39745</v>
      </c>
      <c r="K13023" t="s">
        <v>41184</v>
      </c>
      <c r="M13023" t="s">
        <v>41625</v>
      </c>
      <c r="N13023" t="s">
        <v>45095</v>
      </c>
      <c r="O13023" t="s">
        <v>45096</v>
      </c>
      <c r="P13023">
        <v>0</v>
      </c>
      <c r="Q13023">
        <v>2</v>
      </c>
      <c r="R13023" t="s">
        <v>45114</v>
      </c>
      <c r="S13023" t="s">
        <v>45791</v>
      </c>
      <c r="T13023" t="s">
        <v>46989</v>
      </c>
      <c r="U13023" t="s">
        <v>58067</v>
      </c>
      <c r="W13023" t="s">
        <v>41625</v>
      </c>
      <c r="X13023" t="s">
        <v>45116</v>
      </c>
    </row>
    <row r="13024" spans="1:24">
      <c r="A13024">
        <f>HYPERLINK("https://www.philgeps.gov.ph/GEPSNONPILOT/Tender/SplashBidNoticeAbstractUI.aspx?menuIndex=3&amp;refID=7016266&amp;Result=3","7016266")</f>
        <v>0</v>
      </c>
      <c r="B13024" t="s">
        <v>1545</v>
      </c>
      <c r="C13024" t="s">
        <v>15658</v>
      </c>
      <c r="D13024" t="s">
        <v>18023</v>
      </c>
      <c r="E13024" t="s">
        <v>29360</v>
      </c>
      <c r="F13024" t="s">
        <v>31574</v>
      </c>
      <c r="G13024" t="s">
        <v>31582</v>
      </c>
      <c r="H13024" t="s">
        <v>31591</v>
      </c>
      <c r="I13024" t="s">
        <v>8822</v>
      </c>
      <c r="J13024" t="s">
        <v>32101</v>
      </c>
      <c r="K13024" t="s">
        <v>41317</v>
      </c>
      <c r="M13024" t="s">
        <v>43141</v>
      </c>
      <c r="N13024" t="s">
        <v>45095</v>
      </c>
      <c r="O13024" t="s">
        <v>45096</v>
      </c>
      <c r="P13024">
        <v>0</v>
      </c>
      <c r="Q13024">
        <v>42</v>
      </c>
      <c r="R13024" t="s">
        <v>45114</v>
      </c>
      <c r="S13024" t="s">
        <v>45791</v>
      </c>
      <c r="T13024" t="s">
        <v>47067</v>
      </c>
      <c r="U13024" t="s">
        <v>58066</v>
      </c>
      <c r="W13024" t="s">
        <v>43141</v>
      </c>
      <c r="X13024" t="s">
        <v>45116</v>
      </c>
    </row>
    <row r="13025" spans="1:24">
      <c r="A13025">
        <f>HYPERLINK("https://www.philgeps.gov.ph/GEPSNONPILOT/Tender/SplashBidNoticeAbstractUI.aspx?menuIndex=3&amp;refID=7016122&amp;Result=3","7016122")</f>
        <v>0</v>
      </c>
      <c r="B13025" t="s">
        <v>141</v>
      </c>
      <c r="C13025" t="s">
        <v>15659</v>
      </c>
      <c r="D13025" t="s">
        <v>18074</v>
      </c>
      <c r="E13025" t="s">
        <v>29361</v>
      </c>
      <c r="F13025" t="s">
        <v>31574</v>
      </c>
      <c r="G13025" t="s">
        <v>31582</v>
      </c>
      <c r="H13025" t="s">
        <v>31591</v>
      </c>
      <c r="I13025" t="s">
        <v>8822</v>
      </c>
      <c r="J13025" t="s">
        <v>39746</v>
      </c>
      <c r="K13025" t="s">
        <v>41184</v>
      </c>
      <c r="M13025" t="s">
        <v>41625</v>
      </c>
      <c r="N13025" t="s">
        <v>45095</v>
      </c>
      <c r="O13025" t="s">
        <v>45096</v>
      </c>
      <c r="P13025">
        <v>0</v>
      </c>
      <c r="Q13025">
        <v>1</v>
      </c>
      <c r="R13025" t="s">
        <v>45114</v>
      </c>
      <c r="S13025" t="s">
        <v>45791</v>
      </c>
      <c r="T13025" t="s">
        <v>46989</v>
      </c>
      <c r="U13025" t="s">
        <v>58068</v>
      </c>
      <c r="W13025" t="s">
        <v>41625</v>
      </c>
      <c r="X13025" t="s">
        <v>45116</v>
      </c>
    </row>
    <row r="13026" spans="1:24">
      <c r="A13026">
        <f>HYPERLINK("https://www.philgeps.gov.ph/GEPSNONPILOT/Tender/SplashBidNoticeAbstractUI.aspx?menuIndex=3&amp;refID=7016326&amp;Result=3","7016326")</f>
        <v>0</v>
      </c>
      <c r="B13026" t="s">
        <v>3010</v>
      </c>
      <c r="C13026" t="s">
        <v>15660</v>
      </c>
      <c r="D13026" t="s">
        <v>18056</v>
      </c>
      <c r="E13026" t="s">
        <v>29362</v>
      </c>
      <c r="F13026" t="s">
        <v>31574</v>
      </c>
      <c r="G13026" t="s">
        <v>31582</v>
      </c>
      <c r="H13026" t="s">
        <v>31591</v>
      </c>
      <c r="I13026" t="s">
        <v>8822</v>
      </c>
      <c r="J13026" t="s">
        <v>39747</v>
      </c>
      <c r="K13026" t="s">
        <v>41203</v>
      </c>
      <c r="M13026" t="s">
        <v>44839</v>
      </c>
      <c r="N13026" t="s">
        <v>45095</v>
      </c>
      <c r="O13026" t="s">
        <v>45096</v>
      </c>
      <c r="Q13026">
        <v>30</v>
      </c>
      <c r="R13026" t="s">
        <v>45114</v>
      </c>
      <c r="S13026" t="s">
        <v>45793</v>
      </c>
      <c r="T13026" t="s">
        <v>46913</v>
      </c>
      <c r="U13026" t="s">
        <v>58069</v>
      </c>
      <c r="V13026" t="s">
        <v>61275</v>
      </c>
      <c r="W13026" t="s">
        <v>44839</v>
      </c>
      <c r="X13026" t="s">
        <v>45116</v>
      </c>
    </row>
    <row r="13027" spans="1:24">
      <c r="A13027">
        <f>HYPERLINK("https://www.philgeps.gov.ph/GEPSNONPILOT/Tender/SplashBidNoticeAbstractUI.aspx?menuIndex=3&amp;refID=7016256&amp;Result=3","7016256")</f>
        <v>0</v>
      </c>
      <c r="B13027" t="s">
        <v>3010</v>
      </c>
      <c r="C13027" t="s">
        <v>15661</v>
      </c>
      <c r="D13027" t="s">
        <v>18056</v>
      </c>
      <c r="E13027" t="s">
        <v>29363</v>
      </c>
      <c r="F13027" t="s">
        <v>31574</v>
      </c>
      <c r="G13027" t="s">
        <v>31582</v>
      </c>
      <c r="H13027" t="s">
        <v>31591</v>
      </c>
      <c r="I13027" t="s">
        <v>8822</v>
      </c>
      <c r="J13027" t="s">
        <v>39748</v>
      </c>
      <c r="K13027" t="s">
        <v>41192</v>
      </c>
      <c r="M13027" t="s">
        <v>44839</v>
      </c>
      <c r="N13027" t="s">
        <v>45095</v>
      </c>
      <c r="O13027" t="s">
        <v>45096</v>
      </c>
      <c r="Q13027">
        <v>33</v>
      </c>
      <c r="R13027" t="s">
        <v>45114</v>
      </c>
      <c r="S13027" t="s">
        <v>45794</v>
      </c>
      <c r="T13027" t="s">
        <v>46913</v>
      </c>
      <c r="U13027" t="s">
        <v>58070</v>
      </c>
      <c r="V13027" t="s">
        <v>61276</v>
      </c>
      <c r="W13027" t="s">
        <v>44839</v>
      </c>
      <c r="X13027" t="s">
        <v>45116</v>
      </c>
    </row>
    <row r="13028" spans="1:24">
      <c r="A13028">
        <f>HYPERLINK("https://www.philgeps.gov.ph/GEPSNONPILOT/Tender/SplashBidNoticeAbstractUI.aspx?menuIndex=3&amp;refID=7016319&amp;Result=3","7016319")</f>
        <v>0</v>
      </c>
      <c r="B13028" t="s">
        <v>3010</v>
      </c>
      <c r="C13028" t="s">
        <v>15662</v>
      </c>
      <c r="D13028" t="s">
        <v>18056</v>
      </c>
      <c r="E13028" t="s">
        <v>29364</v>
      </c>
      <c r="F13028" t="s">
        <v>31574</v>
      </c>
      <c r="G13028" t="s">
        <v>31582</v>
      </c>
      <c r="H13028" t="s">
        <v>31591</v>
      </c>
      <c r="I13028" t="s">
        <v>8822</v>
      </c>
      <c r="J13028" t="s">
        <v>39749</v>
      </c>
      <c r="K13028" t="s">
        <v>41192</v>
      </c>
      <c r="M13028" t="s">
        <v>44839</v>
      </c>
      <c r="N13028" t="s">
        <v>45095</v>
      </c>
      <c r="O13028" t="s">
        <v>45096</v>
      </c>
      <c r="Q13028">
        <v>45</v>
      </c>
      <c r="R13028" t="s">
        <v>45114</v>
      </c>
      <c r="S13028" t="s">
        <v>45795</v>
      </c>
      <c r="T13028" t="s">
        <v>46913</v>
      </c>
      <c r="U13028" t="s">
        <v>58071</v>
      </c>
      <c r="V13028" t="s">
        <v>61277</v>
      </c>
      <c r="W13028" t="s">
        <v>44839</v>
      </c>
      <c r="X13028" t="s">
        <v>45116</v>
      </c>
    </row>
    <row r="13029" spans="1:24">
      <c r="A13029">
        <f>HYPERLINK("https://www.philgeps.gov.ph/GEPSNONPILOT/Tender/SplashBidNoticeAbstractUI.aspx?menuIndex=3&amp;refID=7016312&amp;Result=3","7016312")</f>
        <v>0</v>
      </c>
      <c r="B13029" t="s">
        <v>3010</v>
      </c>
      <c r="C13029" t="s">
        <v>15663</v>
      </c>
      <c r="D13029" t="s">
        <v>18056</v>
      </c>
      <c r="E13029" t="s">
        <v>29365</v>
      </c>
      <c r="F13029" t="s">
        <v>31574</v>
      </c>
      <c r="G13029" t="s">
        <v>31582</v>
      </c>
      <c r="H13029" t="s">
        <v>31591</v>
      </c>
      <c r="I13029" t="s">
        <v>8822</v>
      </c>
      <c r="J13029" t="s">
        <v>39750</v>
      </c>
      <c r="K13029" t="s">
        <v>41192</v>
      </c>
      <c r="M13029" t="s">
        <v>44839</v>
      </c>
      <c r="N13029" t="s">
        <v>45095</v>
      </c>
      <c r="O13029" t="s">
        <v>45096</v>
      </c>
      <c r="Q13029">
        <v>34</v>
      </c>
      <c r="R13029" t="s">
        <v>45114</v>
      </c>
      <c r="S13029" t="s">
        <v>45702</v>
      </c>
      <c r="T13029" t="s">
        <v>46913</v>
      </c>
      <c r="U13029" t="s">
        <v>58072</v>
      </c>
      <c r="V13029" t="s">
        <v>61278</v>
      </c>
      <c r="W13029" t="s">
        <v>44839</v>
      </c>
      <c r="X13029" t="s">
        <v>45116</v>
      </c>
    </row>
    <row r="13030" spans="1:24">
      <c r="A13030">
        <f>HYPERLINK("https://www.philgeps.gov.ph/GEPSNONPILOT/Tender/SplashBidNoticeAbstractUI.aspx?menuIndex=3&amp;refID=7016307&amp;Result=3","7016307")</f>
        <v>0</v>
      </c>
      <c r="B13030" t="s">
        <v>3010</v>
      </c>
      <c r="C13030" t="s">
        <v>15664</v>
      </c>
      <c r="D13030" t="s">
        <v>18056</v>
      </c>
      <c r="E13030" t="s">
        <v>29366</v>
      </c>
      <c r="F13030" t="s">
        <v>31574</v>
      </c>
      <c r="G13030" t="s">
        <v>31582</v>
      </c>
      <c r="H13030" t="s">
        <v>31591</v>
      </c>
      <c r="I13030" t="s">
        <v>8822</v>
      </c>
      <c r="J13030" t="s">
        <v>39751</v>
      </c>
      <c r="K13030" t="s">
        <v>41192</v>
      </c>
      <c r="M13030" t="s">
        <v>44839</v>
      </c>
      <c r="N13030" t="s">
        <v>45095</v>
      </c>
      <c r="O13030" t="s">
        <v>45096</v>
      </c>
      <c r="Q13030">
        <v>41</v>
      </c>
      <c r="R13030" t="s">
        <v>45114</v>
      </c>
      <c r="S13030" t="s">
        <v>45796</v>
      </c>
      <c r="T13030" t="s">
        <v>46913</v>
      </c>
      <c r="U13030" t="s">
        <v>58073</v>
      </c>
      <c r="V13030" t="s">
        <v>61279</v>
      </c>
      <c r="W13030" t="s">
        <v>44839</v>
      </c>
      <c r="X13030" t="s">
        <v>45116</v>
      </c>
    </row>
    <row r="13031" spans="1:24">
      <c r="A13031">
        <f>HYPERLINK("https://www.philgeps.gov.ph/GEPSNONPILOT/Tender/SplashBidNoticeAbstractUI.aspx?menuIndex=3&amp;refID=7016249&amp;Result=3","7016249")</f>
        <v>0</v>
      </c>
      <c r="B13031" t="s">
        <v>3010</v>
      </c>
      <c r="C13031" t="s">
        <v>15665</v>
      </c>
      <c r="D13031" t="s">
        <v>18056</v>
      </c>
      <c r="E13031" t="s">
        <v>29367</v>
      </c>
      <c r="F13031" t="s">
        <v>31574</v>
      </c>
      <c r="G13031" t="s">
        <v>31582</v>
      </c>
      <c r="H13031" t="s">
        <v>31591</v>
      </c>
      <c r="I13031" t="s">
        <v>8822</v>
      </c>
      <c r="J13031" t="s">
        <v>39752</v>
      </c>
      <c r="K13031" t="s">
        <v>41192</v>
      </c>
      <c r="M13031" t="s">
        <v>44839</v>
      </c>
      <c r="N13031" t="s">
        <v>45095</v>
      </c>
      <c r="O13031" t="s">
        <v>45096</v>
      </c>
      <c r="Q13031">
        <v>32</v>
      </c>
      <c r="R13031" t="s">
        <v>45114</v>
      </c>
      <c r="S13031" t="s">
        <v>45797</v>
      </c>
      <c r="T13031" t="s">
        <v>46913</v>
      </c>
      <c r="U13031" t="s">
        <v>58074</v>
      </c>
      <c r="V13031" t="s">
        <v>61280</v>
      </c>
      <c r="W13031" t="s">
        <v>44839</v>
      </c>
      <c r="X13031" t="s">
        <v>45116</v>
      </c>
    </row>
    <row r="13032" spans="1:24">
      <c r="A13032">
        <f>HYPERLINK("https://www.philgeps.gov.ph/GEPSNONPILOT/Tender/SplashBidNoticeAbstractUI.aspx?menuIndex=3&amp;refID=7016275&amp;Result=3","7016275")</f>
        <v>0</v>
      </c>
      <c r="B13032" t="s">
        <v>1545</v>
      </c>
      <c r="C13032" t="s">
        <v>15666</v>
      </c>
      <c r="D13032" t="s">
        <v>18023</v>
      </c>
      <c r="E13032" t="s">
        <v>29368</v>
      </c>
      <c r="F13032" t="s">
        <v>31574</v>
      </c>
      <c r="G13032" t="s">
        <v>31582</v>
      </c>
      <c r="H13032" t="s">
        <v>31591</v>
      </c>
      <c r="I13032" t="s">
        <v>8822</v>
      </c>
      <c r="J13032" t="s">
        <v>32026</v>
      </c>
      <c r="K13032" t="s">
        <v>41185</v>
      </c>
      <c r="M13032" t="s">
        <v>43141</v>
      </c>
      <c r="N13032" t="s">
        <v>45095</v>
      </c>
      <c r="O13032" t="s">
        <v>45096</v>
      </c>
      <c r="P13032">
        <v>0</v>
      </c>
      <c r="Q13032">
        <v>37</v>
      </c>
      <c r="R13032" t="s">
        <v>45114</v>
      </c>
      <c r="S13032" t="s">
        <v>45791</v>
      </c>
      <c r="T13032" t="s">
        <v>47067</v>
      </c>
      <c r="U13032" t="s">
        <v>58066</v>
      </c>
      <c r="W13032" t="s">
        <v>43141</v>
      </c>
      <c r="X13032" t="s">
        <v>45116</v>
      </c>
    </row>
    <row r="13033" spans="1:24">
      <c r="A13033">
        <f>HYPERLINK("https://www.philgeps.gov.ph/GEPSNONPILOT/Tender/SplashBidNoticeAbstractUI.aspx?menuIndex=3&amp;refID=7016302&amp;Result=3","7016302")</f>
        <v>0</v>
      </c>
      <c r="B13033" t="s">
        <v>3010</v>
      </c>
      <c r="C13033" t="s">
        <v>15667</v>
      </c>
      <c r="D13033" t="s">
        <v>18056</v>
      </c>
      <c r="E13033" t="s">
        <v>27984</v>
      </c>
      <c r="F13033" t="s">
        <v>31574</v>
      </c>
      <c r="G13033" t="s">
        <v>31582</v>
      </c>
      <c r="H13033" t="s">
        <v>31591</v>
      </c>
      <c r="I13033" t="s">
        <v>8822</v>
      </c>
      <c r="J13033" t="s">
        <v>39753</v>
      </c>
      <c r="K13033" t="s">
        <v>41189</v>
      </c>
      <c r="M13033" t="s">
        <v>44839</v>
      </c>
      <c r="N13033" t="s">
        <v>45095</v>
      </c>
      <c r="O13033" t="s">
        <v>45096</v>
      </c>
      <c r="Q13033">
        <v>36</v>
      </c>
      <c r="R13033" t="s">
        <v>45114</v>
      </c>
      <c r="S13033" t="s">
        <v>45798</v>
      </c>
      <c r="T13033" t="s">
        <v>46913</v>
      </c>
      <c r="U13033" t="s">
        <v>58075</v>
      </c>
      <c r="V13033" t="s">
        <v>61281</v>
      </c>
      <c r="W13033" t="s">
        <v>44839</v>
      </c>
      <c r="X13033" t="s">
        <v>45116</v>
      </c>
    </row>
    <row r="13034" spans="1:24">
      <c r="A13034">
        <f>HYPERLINK("https://www.philgeps.gov.ph/GEPSNONPILOT/Tender/SplashBidNoticeAbstractUI.aspx?menuIndex=3&amp;refID=7016243&amp;Result=3","7016243")</f>
        <v>0</v>
      </c>
      <c r="B13034" t="s">
        <v>3010</v>
      </c>
      <c r="C13034" t="s">
        <v>15668</v>
      </c>
      <c r="D13034" t="s">
        <v>18056</v>
      </c>
      <c r="E13034" t="s">
        <v>29369</v>
      </c>
      <c r="F13034" t="s">
        <v>31574</v>
      </c>
      <c r="G13034" t="s">
        <v>31582</v>
      </c>
      <c r="H13034" t="s">
        <v>31591</v>
      </c>
      <c r="I13034" t="s">
        <v>8822</v>
      </c>
      <c r="J13034" t="s">
        <v>39754</v>
      </c>
      <c r="K13034" t="s">
        <v>41192</v>
      </c>
      <c r="M13034" t="s">
        <v>44839</v>
      </c>
      <c r="N13034" t="s">
        <v>45095</v>
      </c>
      <c r="O13034" t="s">
        <v>45096</v>
      </c>
      <c r="Q13034">
        <v>41</v>
      </c>
      <c r="R13034" t="s">
        <v>45114</v>
      </c>
      <c r="S13034" t="s">
        <v>45799</v>
      </c>
      <c r="T13034" t="s">
        <v>46913</v>
      </c>
      <c r="U13034" t="s">
        <v>58076</v>
      </c>
      <c r="V13034" t="s">
        <v>61282</v>
      </c>
      <c r="W13034" t="s">
        <v>44839</v>
      </c>
      <c r="X13034" t="s">
        <v>45116</v>
      </c>
    </row>
    <row r="13035" spans="1:24">
      <c r="A13035">
        <f>HYPERLINK("https://www.philgeps.gov.ph/GEPSNONPILOT/Tender/SplashBidNoticeAbstractUI.aspx?menuIndex=3&amp;refID=7016333&amp;Result=3","7016333")</f>
        <v>0</v>
      </c>
      <c r="B13035" t="s">
        <v>3010</v>
      </c>
      <c r="C13035" t="s">
        <v>15669</v>
      </c>
      <c r="D13035" t="s">
        <v>18056</v>
      </c>
      <c r="E13035" t="s">
        <v>29370</v>
      </c>
      <c r="F13035" t="s">
        <v>31574</v>
      </c>
      <c r="G13035" t="s">
        <v>31582</v>
      </c>
      <c r="H13035" t="s">
        <v>31591</v>
      </c>
      <c r="I13035" t="s">
        <v>8822</v>
      </c>
      <c r="J13035" t="s">
        <v>39755</v>
      </c>
      <c r="K13035" t="s">
        <v>41192</v>
      </c>
      <c r="M13035" t="s">
        <v>44839</v>
      </c>
      <c r="N13035" t="s">
        <v>45095</v>
      </c>
      <c r="O13035" t="s">
        <v>45096</v>
      </c>
      <c r="Q13035">
        <v>32</v>
      </c>
      <c r="R13035" t="s">
        <v>45114</v>
      </c>
      <c r="S13035" t="s">
        <v>45800</v>
      </c>
      <c r="T13035" t="s">
        <v>46913</v>
      </c>
      <c r="U13035" t="s">
        <v>58077</v>
      </c>
      <c r="V13035" t="s">
        <v>61283</v>
      </c>
      <c r="W13035" t="s">
        <v>44839</v>
      </c>
      <c r="X13035" t="s">
        <v>45116</v>
      </c>
    </row>
    <row r="13036" spans="1:24">
      <c r="A13036">
        <f>HYPERLINK("https://www.philgeps.gov.ph/GEPSNONPILOT/Tender/SplashBidNoticeAbstractUI.aspx?menuIndex=3&amp;refID=7016232&amp;Result=3","7016232")</f>
        <v>0</v>
      </c>
      <c r="B13036" t="s">
        <v>3010</v>
      </c>
      <c r="C13036" t="s">
        <v>15670</v>
      </c>
      <c r="D13036" t="s">
        <v>18056</v>
      </c>
      <c r="E13036" t="s">
        <v>24969</v>
      </c>
      <c r="F13036" t="s">
        <v>31574</v>
      </c>
      <c r="G13036" t="s">
        <v>31582</v>
      </c>
      <c r="H13036" t="s">
        <v>31591</v>
      </c>
      <c r="I13036" t="s">
        <v>8822</v>
      </c>
      <c r="J13036" t="s">
        <v>39756</v>
      </c>
      <c r="K13036" t="s">
        <v>41192</v>
      </c>
      <c r="M13036" t="s">
        <v>44839</v>
      </c>
      <c r="N13036" t="s">
        <v>45095</v>
      </c>
      <c r="O13036" t="s">
        <v>45096</v>
      </c>
      <c r="Q13036">
        <v>47</v>
      </c>
      <c r="R13036" t="s">
        <v>45114</v>
      </c>
      <c r="S13036" t="s">
        <v>45801</v>
      </c>
      <c r="T13036" t="s">
        <v>46913</v>
      </c>
      <c r="U13036" t="s">
        <v>58078</v>
      </c>
      <c r="V13036" t="s">
        <v>61284</v>
      </c>
      <c r="W13036" t="s">
        <v>44839</v>
      </c>
      <c r="X13036" t="s">
        <v>45116</v>
      </c>
    </row>
    <row r="13037" spans="1:24">
      <c r="A13037">
        <f>HYPERLINK("https://www.philgeps.gov.ph/GEPSNONPILOT/Tender/SplashBidNoticeAbstractUI.aspx?menuIndex=3&amp;refID=7016305&amp;Result=3","7016305")</f>
        <v>0</v>
      </c>
      <c r="B13037" t="s">
        <v>3010</v>
      </c>
      <c r="C13037" t="s">
        <v>15671</v>
      </c>
      <c r="D13037" t="s">
        <v>18056</v>
      </c>
      <c r="E13037" t="s">
        <v>27995</v>
      </c>
      <c r="F13037" t="s">
        <v>31574</v>
      </c>
      <c r="G13037" t="s">
        <v>31582</v>
      </c>
      <c r="H13037" t="s">
        <v>31591</v>
      </c>
      <c r="I13037" t="s">
        <v>8822</v>
      </c>
      <c r="J13037" t="s">
        <v>39757</v>
      </c>
      <c r="K13037" t="s">
        <v>41189</v>
      </c>
      <c r="M13037" t="s">
        <v>44839</v>
      </c>
      <c r="N13037" t="s">
        <v>45095</v>
      </c>
      <c r="O13037" t="s">
        <v>45096</v>
      </c>
      <c r="Q13037">
        <v>44</v>
      </c>
      <c r="R13037" t="s">
        <v>45114</v>
      </c>
      <c r="S13037" t="s">
        <v>45802</v>
      </c>
      <c r="T13037" t="s">
        <v>46913</v>
      </c>
      <c r="U13037" t="s">
        <v>58079</v>
      </c>
      <c r="V13037" t="s">
        <v>61285</v>
      </c>
      <c r="W13037" t="s">
        <v>44839</v>
      </c>
      <c r="X13037" t="s">
        <v>45116</v>
      </c>
    </row>
    <row r="13038" spans="1:24">
      <c r="A13038">
        <f>HYPERLINK("https://www.philgeps.gov.ph/GEPSNONPILOT/Tender/SplashBidNoticeAbstractUI.aspx?menuIndex=3&amp;refID=7016281&amp;Result=3","7016281")</f>
        <v>0</v>
      </c>
      <c r="B13038" t="s">
        <v>3010</v>
      </c>
      <c r="C13038" t="s">
        <v>15672</v>
      </c>
      <c r="D13038" t="s">
        <v>18056</v>
      </c>
      <c r="E13038" t="s">
        <v>28011</v>
      </c>
      <c r="F13038" t="s">
        <v>31574</v>
      </c>
      <c r="G13038" t="s">
        <v>31582</v>
      </c>
      <c r="H13038" t="s">
        <v>31591</v>
      </c>
      <c r="I13038" t="s">
        <v>8822</v>
      </c>
      <c r="J13038" t="s">
        <v>39758</v>
      </c>
      <c r="K13038" t="s">
        <v>41192</v>
      </c>
      <c r="M13038" t="s">
        <v>44839</v>
      </c>
      <c r="N13038" t="s">
        <v>45095</v>
      </c>
      <c r="O13038" t="s">
        <v>45096</v>
      </c>
      <c r="Q13038">
        <v>41</v>
      </c>
      <c r="R13038" t="s">
        <v>45114</v>
      </c>
      <c r="S13038" t="s">
        <v>45347</v>
      </c>
      <c r="T13038" t="s">
        <v>46913</v>
      </c>
      <c r="U13038" t="s">
        <v>58080</v>
      </c>
      <c r="V13038" t="s">
        <v>61286</v>
      </c>
      <c r="W13038" t="s">
        <v>44839</v>
      </c>
      <c r="X13038" t="s">
        <v>45116</v>
      </c>
    </row>
    <row r="13039" spans="1:24">
      <c r="A13039">
        <f>HYPERLINK("https://www.philgeps.gov.ph/GEPSNONPILOT/Tender/SplashBidNoticeAbstractUI.aspx?menuIndex=3&amp;refID=7016286&amp;Result=3","7016286")</f>
        <v>0</v>
      </c>
      <c r="B13039" t="s">
        <v>1545</v>
      </c>
      <c r="C13039" t="s">
        <v>15673</v>
      </c>
      <c r="D13039" t="s">
        <v>18023</v>
      </c>
      <c r="E13039" t="s">
        <v>29371</v>
      </c>
      <c r="F13039" t="s">
        <v>31574</v>
      </c>
      <c r="G13039" t="s">
        <v>31582</v>
      </c>
      <c r="H13039" t="s">
        <v>31591</v>
      </c>
      <c r="I13039" t="s">
        <v>8822</v>
      </c>
      <c r="J13039" t="s">
        <v>39759</v>
      </c>
      <c r="K13039" t="s">
        <v>41185</v>
      </c>
      <c r="M13039" t="s">
        <v>43141</v>
      </c>
      <c r="N13039" t="s">
        <v>45095</v>
      </c>
      <c r="O13039" t="s">
        <v>45096</v>
      </c>
      <c r="P13039">
        <v>0</v>
      </c>
      <c r="Q13039">
        <v>43</v>
      </c>
      <c r="R13039" t="s">
        <v>45114</v>
      </c>
      <c r="S13039" t="s">
        <v>45791</v>
      </c>
      <c r="T13039" t="s">
        <v>47067</v>
      </c>
      <c r="U13039" t="s">
        <v>58066</v>
      </c>
      <c r="W13039" t="s">
        <v>43141</v>
      </c>
      <c r="X13039" t="s">
        <v>45116</v>
      </c>
    </row>
    <row r="13040" spans="1:24">
      <c r="A13040">
        <f>HYPERLINK("https://www.philgeps.gov.ph/GEPSNONPILOT/Tender/SplashBidNoticeAbstractUI.aspx?menuIndex=3&amp;refID=7016298&amp;Result=3","7016298")</f>
        <v>0</v>
      </c>
      <c r="B13040" t="s">
        <v>3010</v>
      </c>
      <c r="C13040" t="s">
        <v>15674</v>
      </c>
      <c r="D13040" t="s">
        <v>18056</v>
      </c>
      <c r="E13040" t="s">
        <v>19688</v>
      </c>
      <c r="F13040" t="s">
        <v>31574</v>
      </c>
      <c r="G13040" t="s">
        <v>31582</v>
      </c>
      <c r="H13040" t="s">
        <v>31591</v>
      </c>
      <c r="I13040" t="s">
        <v>8822</v>
      </c>
      <c r="J13040" t="s">
        <v>39760</v>
      </c>
      <c r="K13040" t="s">
        <v>41192</v>
      </c>
      <c r="M13040" t="s">
        <v>44839</v>
      </c>
      <c r="N13040" t="s">
        <v>45095</v>
      </c>
      <c r="O13040" t="s">
        <v>45096</v>
      </c>
      <c r="Q13040">
        <v>31</v>
      </c>
      <c r="R13040" t="s">
        <v>45114</v>
      </c>
      <c r="S13040" t="s">
        <v>45803</v>
      </c>
      <c r="T13040" t="s">
        <v>46913</v>
      </c>
      <c r="U13040" t="s">
        <v>58081</v>
      </c>
      <c r="V13040" t="s">
        <v>61287</v>
      </c>
      <c r="W13040" t="s">
        <v>44839</v>
      </c>
      <c r="X13040" t="s">
        <v>45116</v>
      </c>
    </row>
    <row r="13041" spans="1:24">
      <c r="A13041">
        <f>HYPERLINK("https://www.philgeps.gov.ph/GEPSNONPILOT/Tender/SplashBidNoticeAbstractUI.aspx?menuIndex=3&amp;refID=7016667&amp;Result=3","7016667")</f>
        <v>0</v>
      </c>
      <c r="B13041" t="s">
        <v>141</v>
      </c>
      <c r="C13041" t="s">
        <v>15675</v>
      </c>
      <c r="D13041" t="s">
        <v>18074</v>
      </c>
      <c r="E13041" t="s">
        <v>29372</v>
      </c>
      <c r="F13041" t="s">
        <v>31574</v>
      </c>
      <c r="G13041" t="s">
        <v>31582</v>
      </c>
      <c r="H13041" t="s">
        <v>31591</v>
      </c>
      <c r="I13041" t="s">
        <v>8822</v>
      </c>
      <c r="J13041" t="s">
        <v>39761</v>
      </c>
      <c r="K13041" t="s">
        <v>41184</v>
      </c>
      <c r="M13041" t="s">
        <v>41625</v>
      </c>
      <c r="N13041" t="s">
        <v>45095</v>
      </c>
      <c r="O13041" t="s">
        <v>45096</v>
      </c>
      <c r="P13041">
        <v>0</v>
      </c>
      <c r="Q13041">
        <v>1</v>
      </c>
      <c r="R13041" t="s">
        <v>45114</v>
      </c>
      <c r="S13041" t="s">
        <v>45791</v>
      </c>
      <c r="T13041" t="s">
        <v>46989</v>
      </c>
      <c r="U13041" t="s">
        <v>58082</v>
      </c>
      <c r="W13041" t="s">
        <v>41625</v>
      </c>
      <c r="X13041" t="s">
        <v>45115</v>
      </c>
    </row>
    <row r="13042" spans="1:24">
      <c r="A13042">
        <f>HYPERLINK("https://www.philgeps.gov.ph/GEPSNONPILOT/Tender/SplashBidNoticeAbstractUI.aspx?menuIndex=3&amp;refID=7016288&amp;Result=3","7016288")</f>
        <v>0</v>
      </c>
      <c r="B13042" t="s">
        <v>3010</v>
      </c>
      <c r="C13042" t="s">
        <v>15676</v>
      </c>
      <c r="D13042" t="s">
        <v>18056</v>
      </c>
      <c r="E13042" t="s">
        <v>23017</v>
      </c>
      <c r="F13042" t="s">
        <v>31574</v>
      </c>
      <c r="G13042" t="s">
        <v>31582</v>
      </c>
      <c r="H13042" t="s">
        <v>31591</v>
      </c>
      <c r="I13042" t="s">
        <v>8822</v>
      </c>
      <c r="J13042" t="s">
        <v>39762</v>
      </c>
      <c r="K13042" t="s">
        <v>41192</v>
      </c>
      <c r="M13042" t="s">
        <v>44839</v>
      </c>
      <c r="N13042" t="s">
        <v>45095</v>
      </c>
      <c r="O13042" t="s">
        <v>45096</v>
      </c>
      <c r="Q13042">
        <v>40</v>
      </c>
      <c r="R13042" t="s">
        <v>45114</v>
      </c>
      <c r="S13042" t="s">
        <v>45804</v>
      </c>
      <c r="T13042" t="s">
        <v>46913</v>
      </c>
      <c r="U13042" t="s">
        <v>58083</v>
      </c>
      <c r="V13042" t="s">
        <v>61288</v>
      </c>
      <c r="W13042" t="s">
        <v>44839</v>
      </c>
      <c r="X13042" t="s">
        <v>45116</v>
      </c>
    </row>
    <row r="13043" spans="1:24">
      <c r="A13043">
        <f>HYPERLINK("https://www.philgeps.gov.ph/GEPSNONPILOT/Tender/SplashBidNoticeAbstractUI.aspx?menuIndex=3&amp;refID=7016617&amp;Result=3","7016617")</f>
        <v>0</v>
      </c>
      <c r="B13043" t="s">
        <v>141</v>
      </c>
      <c r="C13043" t="s">
        <v>15677</v>
      </c>
      <c r="D13043" t="s">
        <v>18074</v>
      </c>
      <c r="E13043" t="s">
        <v>29373</v>
      </c>
      <c r="F13043" t="s">
        <v>31574</v>
      </c>
      <c r="G13043" t="s">
        <v>31582</v>
      </c>
      <c r="H13043" t="s">
        <v>31591</v>
      </c>
      <c r="I13043" t="s">
        <v>8822</v>
      </c>
      <c r="J13043" t="s">
        <v>39763</v>
      </c>
      <c r="K13043" t="s">
        <v>41184</v>
      </c>
      <c r="M13043" t="s">
        <v>41625</v>
      </c>
      <c r="N13043" t="s">
        <v>45095</v>
      </c>
      <c r="O13043" t="s">
        <v>45096</v>
      </c>
      <c r="P13043">
        <v>0</v>
      </c>
      <c r="Q13043">
        <v>1</v>
      </c>
      <c r="R13043" t="s">
        <v>45114</v>
      </c>
      <c r="S13043" t="s">
        <v>45791</v>
      </c>
      <c r="T13043" t="s">
        <v>46989</v>
      </c>
      <c r="U13043" t="s">
        <v>58084</v>
      </c>
      <c r="W13043" t="s">
        <v>41625</v>
      </c>
      <c r="X13043" t="s">
        <v>45115</v>
      </c>
    </row>
    <row r="13044" spans="1:24">
      <c r="A13044">
        <f>HYPERLINK("https://www.philgeps.gov.ph/GEPSNONPILOT/Tender/SplashBidNoticeAbstractUI.aspx?menuIndex=3&amp;refID=7016701&amp;Result=3","7016701")</f>
        <v>0</v>
      </c>
      <c r="B13044" t="s">
        <v>141</v>
      </c>
      <c r="C13044" t="s">
        <v>15678</v>
      </c>
      <c r="D13044" t="s">
        <v>18074</v>
      </c>
      <c r="E13044" t="s">
        <v>29374</v>
      </c>
      <c r="F13044" t="s">
        <v>31574</v>
      </c>
      <c r="G13044" t="s">
        <v>31582</v>
      </c>
      <c r="H13044" t="s">
        <v>31590</v>
      </c>
      <c r="I13044" t="s">
        <v>8822</v>
      </c>
      <c r="J13044" t="s">
        <v>39764</v>
      </c>
      <c r="K13044" t="s">
        <v>41184</v>
      </c>
      <c r="M13044" t="s">
        <v>41625</v>
      </c>
      <c r="N13044" t="s">
        <v>45095</v>
      </c>
      <c r="O13044" t="s">
        <v>45096</v>
      </c>
      <c r="P13044">
        <v>0</v>
      </c>
      <c r="Q13044">
        <v>1</v>
      </c>
      <c r="R13044" t="s">
        <v>45114</v>
      </c>
      <c r="S13044" t="s">
        <v>45791</v>
      </c>
      <c r="T13044" t="s">
        <v>46989</v>
      </c>
      <c r="U13044" t="s">
        <v>58085</v>
      </c>
      <c r="W13044" t="s">
        <v>41625</v>
      </c>
      <c r="X13044" t="s">
        <v>45115</v>
      </c>
    </row>
    <row r="13045" spans="1:24">
      <c r="A13045">
        <f>HYPERLINK("https://www.philgeps.gov.ph/GEPSNONPILOT/Tender/SplashBidNoticeAbstractUI.aspx?menuIndex=3&amp;refID=7016606&amp;Result=3","7016606")</f>
        <v>0</v>
      </c>
      <c r="B13045" t="s">
        <v>2969</v>
      </c>
      <c r="C13045" t="s">
        <v>15679</v>
      </c>
      <c r="D13045" t="s">
        <v>18095</v>
      </c>
      <c r="E13045" t="s">
        <v>29375</v>
      </c>
      <c r="F13045" t="s">
        <v>31574</v>
      </c>
      <c r="G13045" t="s">
        <v>31582</v>
      </c>
      <c r="H13045" t="s">
        <v>31591</v>
      </c>
      <c r="I13045" t="s">
        <v>31627</v>
      </c>
      <c r="J13045" t="s">
        <v>39765</v>
      </c>
      <c r="K13045" t="s">
        <v>41200</v>
      </c>
      <c r="M13045" t="s">
        <v>44790</v>
      </c>
      <c r="N13045" t="s">
        <v>45095</v>
      </c>
      <c r="O13045" t="s">
        <v>45096</v>
      </c>
      <c r="Q13045">
        <v>0</v>
      </c>
      <c r="R13045" t="s">
        <v>45114</v>
      </c>
      <c r="S13045" t="s">
        <v>45805</v>
      </c>
      <c r="T13045" t="s">
        <v>46955</v>
      </c>
      <c r="U13045" t="s">
        <v>58086</v>
      </c>
      <c r="W13045" t="s">
        <v>44790</v>
      </c>
      <c r="X13045" t="s">
        <v>45115</v>
      </c>
    </row>
    <row r="13046" spans="1:24">
      <c r="A13046">
        <f>HYPERLINK("https://www.philgeps.gov.ph/GEPSNONPILOT/Tender/SplashBidNoticeAbstractUI.aspx?menuIndex=3&amp;refID=7016755&amp;Result=3","7016755")</f>
        <v>0</v>
      </c>
      <c r="B13046" t="s">
        <v>1448</v>
      </c>
      <c r="C13046" t="s">
        <v>15680</v>
      </c>
      <c r="D13046" t="s">
        <v>18043</v>
      </c>
      <c r="E13046" t="s">
        <v>29376</v>
      </c>
      <c r="F13046" t="s">
        <v>31574</v>
      </c>
      <c r="G13046" t="s">
        <v>31582</v>
      </c>
      <c r="H13046" t="s">
        <v>31591</v>
      </c>
      <c r="I13046" t="s">
        <v>8822</v>
      </c>
      <c r="J13046" t="s">
        <v>32504</v>
      </c>
      <c r="K13046" t="s">
        <v>41279</v>
      </c>
      <c r="M13046" t="s">
        <v>43027</v>
      </c>
      <c r="N13046" t="s">
        <v>45095</v>
      </c>
      <c r="O13046" t="s">
        <v>45096</v>
      </c>
      <c r="Q13046">
        <v>1</v>
      </c>
      <c r="R13046" t="s">
        <v>45114</v>
      </c>
      <c r="S13046" t="s">
        <v>45806</v>
      </c>
      <c r="T13046" t="s">
        <v>46973</v>
      </c>
      <c r="U13046" t="s">
        <v>58087</v>
      </c>
      <c r="W13046" t="s">
        <v>43027</v>
      </c>
      <c r="X13046" t="s">
        <v>45115</v>
      </c>
    </row>
    <row r="13047" spans="1:24">
      <c r="A13047">
        <f>HYPERLINK("https://www.philgeps.gov.ph/GEPSNONPILOT/Tender/SplashBidNoticeAbstractUI.aspx?menuIndex=3&amp;refID=7016748&amp;Result=3","7016748")</f>
        <v>0</v>
      </c>
      <c r="B13047" t="s">
        <v>2653</v>
      </c>
      <c r="C13047" t="s">
        <v>15681</v>
      </c>
      <c r="D13047" t="s">
        <v>18042</v>
      </c>
      <c r="E13047" t="s">
        <v>29377</v>
      </c>
      <c r="F13047" t="s">
        <v>31574</v>
      </c>
      <c r="G13047" t="s">
        <v>31582</v>
      </c>
      <c r="H13047" t="s">
        <v>31590</v>
      </c>
      <c r="I13047" t="s">
        <v>31640</v>
      </c>
      <c r="J13047" t="s">
        <v>32530</v>
      </c>
      <c r="K13047" t="s">
        <v>41186</v>
      </c>
      <c r="M13047" t="s">
        <v>44411</v>
      </c>
      <c r="N13047" t="s">
        <v>45095</v>
      </c>
      <c r="O13047" t="s">
        <v>45096</v>
      </c>
      <c r="P13047">
        <v>0</v>
      </c>
      <c r="Q13047">
        <v>7</v>
      </c>
      <c r="R13047" t="s">
        <v>45114</v>
      </c>
      <c r="S13047" t="s">
        <v>45791</v>
      </c>
      <c r="T13047" t="s">
        <v>46932</v>
      </c>
      <c r="U13047" t="s">
        <v>58088</v>
      </c>
      <c r="W13047" t="s">
        <v>44411</v>
      </c>
      <c r="X13047" t="s">
        <v>45115</v>
      </c>
    </row>
    <row r="13048" spans="1:24">
      <c r="A13048">
        <f>HYPERLINK("https://www.philgeps.gov.ph/GEPSNONPILOT/Tender/SplashBidNoticeAbstractUI.aspx?menuIndex=3&amp;refID=7016683&amp;Result=3","7016683")</f>
        <v>0</v>
      </c>
      <c r="B13048" t="s">
        <v>141</v>
      </c>
      <c r="C13048" t="s">
        <v>15682</v>
      </c>
      <c r="D13048" t="s">
        <v>18074</v>
      </c>
      <c r="E13048" t="s">
        <v>29378</v>
      </c>
      <c r="F13048" t="s">
        <v>31574</v>
      </c>
      <c r="G13048" t="s">
        <v>31582</v>
      </c>
      <c r="H13048" t="s">
        <v>31591</v>
      </c>
      <c r="I13048" t="s">
        <v>8822</v>
      </c>
      <c r="J13048" t="s">
        <v>39766</v>
      </c>
      <c r="K13048" t="s">
        <v>41184</v>
      </c>
      <c r="M13048" t="s">
        <v>41625</v>
      </c>
      <c r="N13048" t="s">
        <v>45095</v>
      </c>
      <c r="O13048" t="s">
        <v>45096</v>
      </c>
      <c r="P13048">
        <v>0</v>
      </c>
      <c r="Q13048">
        <v>1</v>
      </c>
      <c r="R13048" t="s">
        <v>45114</v>
      </c>
      <c r="S13048" t="s">
        <v>45791</v>
      </c>
      <c r="T13048" t="s">
        <v>46989</v>
      </c>
      <c r="U13048" t="s">
        <v>58089</v>
      </c>
      <c r="W13048" t="s">
        <v>41625</v>
      </c>
      <c r="X13048" t="s">
        <v>45115</v>
      </c>
    </row>
    <row r="13049" spans="1:24">
      <c r="A13049">
        <f>HYPERLINK("https://www.philgeps.gov.ph/GEPSNONPILOT/Tender/SplashBidNoticeAbstractUI.aspx?menuIndex=3&amp;refID=7016775&amp;Result=3","7016775")</f>
        <v>0</v>
      </c>
      <c r="B13049" t="s">
        <v>1448</v>
      </c>
      <c r="C13049" t="s">
        <v>15683</v>
      </c>
      <c r="D13049" t="s">
        <v>18043</v>
      </c>
      <c r="E13049" t="s">
        <v>29379</v>
      </c>
      <c r="F13049" t="s">
        <v>31574</v>
      </c>
      <c r="G13049" t="s">
        <v>31582</v>
      </c>
      <c r="H13049" t="s">
        <v>31591</v>
      </c>
      <c r="I13049" t="s">
        <v>8822</v>
      </c>
      <c r="J13049" t="s">
        <v>39767</v>
      </c>
      <c r="K13049" t="s">
        <v>41202</v>
      </c>
      <c r="M13049" t="s">
        <v>43027</v>
      </c>
      <c r="N13049" t="s">
        <v>45095</v>
      </c>
      <c r="O13049" t="s">
        <v>45096</v>
      </c>
      <c r="P13049">
        <v>0</v>
      </c>
      <c r="Q13049">
        <v>0</v>
      </c>
      <c r="R13049" t="s">
        <v>45114</v>
      </c>
      <c r="S13049" t="s">
        <v>45791</v>
      </c>
      <c r="T13049" t="s">
        <v>46973</v>
      </c>
      <c r="U13049" t="s">
        <v>58087</v>
      </c>
      <c r="W13049" t="s">
        <v>43027</v>
      </c>
      <c r="X13049" t="s">
        <v>45115</v>
      </c>
    </row>
    <row r="13050" spans="1:24">
      <c r="A13050">
        <f>HYPERLINK("https://www.philgeps.gov.ph/GEPSNONPILOT/Tender/SplashBidNoticeAbstractUI.aspx?menuIndex=3&amp;refID=7016602&amp;Result=3","7016602")</f>
        <v>0</v>
      </c>
      <c r="B13050" t="s">
        <v>141</v>
      </c>
      <c r="C13050" t="s">
        <v>15684</v>
      </c>
      <c r="D13050" t="s">
        <v>18074</v>
      </c>
      <c r="E13050" t="s">
        <v>29380</v>
      </c>
      <c r="F13050" t="s">
        <v>31574</v>
      </c>
      <c r="G13050" t="s">
        <v>31582</v>
      </c>
      <c r="H13050" t="s">
        <v>31591</v>
      </c>
      <c r="I13050" t="s">
        <v>8822</v>
      </c>
      <c r="J13050" t="s">
        <v>39768</v>
      </c>
      <c r="K13050" t="s">
        <v>41184</v>
      </c>
      <c r="M13050" t="s">
        <v>41625</v>
      </c>
      <c r="N13050" t="s">
        <v>45095</v>
      </c>
      <c r="O13050" t="s">
        <v>45096</v>
      </c>
      <c r="P13050">
        <v>0</v>
      </c>
      <c r="Q13050">
        <v>1</v>
      </c>
      <c r="R13050" t="s">
        <v>45114</v>
      </c>
      <c r="S13050" t="s">
        <v>45791</v>
      </c>
      <c r="T13050" t="s">
        <v>46989</v>
      </c>
      <c r="U13050" t="s">
        <v>58090</v>
      </c>
      <c r="W13050" t="s">
        <v>41625</v>
      </c>
      <c r="X13050" t="s">
        <v>45115</v>
      </c>
    </row>
    <row r="13051" spans="1:24">
      <c r="A13051">
        <f>HYPERLINK("https://www.philgeps.gov.ph/GEPSNONPILOT/Tender/SplashBidNoticeAbstractUI.aspx?menuIndex=3&amp;refID=7016690&amp;Result=3","7016690")</f>
        <v>0</v>
      </c>
      <c r="B13051" t="s">
        <v>1448</v>
      </c>
      <c r="C13051" t="s">
        <v>15685</v>
      </c>
      <c r="D13051" t="s">
        <v>18043</v>
      </c>
      <c r="E13051" t="s">
        <v>29381</v>
      </c>
      <c r="F13051" t="s">
        <v>31574</v>
      </c>
      <c r="G13051" t="s">
        <v>31582</v>
      </c>
      <c r="H13051" t="s">
        <v>31591</v>
      </c>
      <c r="I13051" t="s">
        <v>8822</v>
      </c>
      <c r="J13051" t="s">
        <v>33252</v>
      </c>
      <c r="K13051" t="s">
        <v>41310</v>
      </c>
      <c r="M13051" t="s">
        <v>43027</v>
      </c>
      <c r="N13051" t="s">
        <v>45095</v>
      </c>
      <c r="O13051" t="s">
        <v>45096</v>
      </c>
      <c r="Q13051">
        <v>2</v>
      </c>
      <c r="R13051" t="s">
        <v>45114</v>
      </c>
      <c r="S13051" t="s">
        <v>45807</v>
      </c>
      <c r="T13051" t="s">
        <v>46973</v>
      </c>
      <c r="U13051" t="s">
        <v>58087</v>
      </c>
      <c r="W13051" t="s">
        <v>43027</v>
      </c>
      <c r="X13051" t="s">
        <v>45115</v>
      </c>
    </row>
    <row r="13052" spans="1:24">
      <c r="A13052">
        <f>HYPERLINK("https://www.philgeps.gov.ph/GEPSNONPILOT/Tender/SplashBidNoticeAbstractUI.aspx?menuIndex=3&amp;refID=7016593&amp;Result=3","7016593")</f>
        <v>0</v>
      </c>
      <c r="B13052" t="s">
        <v>141</v>
      </c>
      <c r="C13052" t="s">
        <v>15686</v>
      </c>
      <c r="D13052" t="s">
        <v>18074</v>
      </c>
      <c r="E13052" t="s">
        <v>29382</v>
      </c>
      <c r="F13052" t="s">
        <v>31574</v>
      </c>
      <c r="G13052" t="s">
        <v>31582</v>
      </c>
      <c r="H13052" t="s">
        <v>31591</v>
      </c>
      <c r="I13052" t="s">
        <v>8822</v>
      </c>
      <c r="J13052" t="s">
        <v>39769</v>
      </c>
      <c r="K13052" t="s">
        <v>41184</v>
      </c>
      <c r="M13052" t="s">
        <v>41625</v>
      </c>
      <c r="N13052" t="s">
        <v>45095</v>
      </c>
      <c r="O13052" t="s">
        <v>45096</v>
      </c>
      <c r="P13052">
        <v>0</v>
      </c>
      <c r="Q13052">
        <v>1</v>
      </c>
      <c r="R13052" t="s">
        <v>45114</v>
      </c>
      <c r="S13052" t="s">
        <v>45791</v>
      </c>
      <c r="T13052" t="s">
        <v>46989</v>
      </c>
      <c r="U13052" t="s">
        <v>58091</v>
      </c>
      <c r="W13052" t="s">
        <v>41625</v>
      </c>
      <c r="X13052" t="s">
        <v>45115</v>
      </c>
    </row>
    <row r="13053" spans="1:24">
      <c r="A13053">
        <f>HYPERLINK("https://www.philgeps.gov.ph/GEPSNONPILOT/Tender/SplashBidNoticeAbstractUI.aspx?menuIndex=3&amp;refID=7016734&amp;Result=3","7016734")</f>
        <v>0</v>
      </c>
      <c r="B13053" t="s">
        <v>1448</v>
      </c>
      <c r="C13053" t="s">
        <v>15687</v>
      </c>
      <c r="D13053" t="s">
        <v>18043</v>
      </c>
      <c r="E13053" t="s">
        <v>29383</v>
      </c>
      <c r="F13053" t="s">
        <v>31574</v>
      </c>
      <c r="G13053" t="s">
        <v>31582</v>
      </c>
      <c r="H13053" t="s">
        <v>31591</v>
      </c>
      <c r="I13053" t="s">
        <v>8822</v>
      </c>
      <c r="J13053" t="s">
        <v>36513</v>
      </c>
      <c r="K13053" t="s">
        <v>41209</v>
      </c>
      <c r="M13053" t="s">
        <v>43027</v>
      </c>
      <c r="N13053" t="s">
        <v>45095</v>
      </c>
      <c r="O13053" t="s">
        <v>45096</v>
      </c>
      <c r="P13053">
        <v>0</v>
      </c>
      <c r="Q13053">
        <v>1</v>
      </c>
      <c r="R13053" t="s">
        <v>45114</v>
      </c>
      <c r="S13053" t="s">
        <v>45791</v>
      </c>
      <c r="T13053" t="s">
        <v>46973</v>
      </c>
      <c r="U13053" t="s">
        <v>58087</v>
      </c>
      <c r="W13053" t="s">
        <v>43027</v>
      </c>
      <c r="X13053" t="s">
        <v>45115</v>
      </c>
    </row>
    <row r="13054" spans="1:24">
      <c r="A13054">
        <f>HYPERLINK("https://www.philgeps.gov.ph/GEPSNONPILOT/Tender/SplashBidNoticeAbstractUI.aspx?menuIndex=3&amp;refID=7016554&amp;Result=3","7016554")</f>
        <v>0</v>
      </c>
      <c r="B13054" t="s">
        <v>2068</v>
      </c>
      <c r="C13054" t="s">
        <v>15688</v>
      </c>
      <c r="D13054" t="s">
        <v>18059</v>
      </c>
      <c r="E13054" t="s">
        <v>29384</v>
      </c>
      <c r="F13054" t="s">
        <v>31574</v>
      </c>
      <c r="G13054" t="s">
        <v>31582</v>
      </c>
      <c r="H13054" t="s">
        <v>31591</v>
      </c>
      <c r="I13054" t="s">
        <v>8822</v>
      </c>
      <c r="J13054" t="s">
        <v>32421</v>
      </c>
      <c r="K13054" t="s">
        <v>41185</v>
      </c>
      <c r="M13054" t="s">
        <v>43742</v>
      </c>
      <c r="N13054" t="s">
        <v>45095</v>
      </c>
      <c r="O13054" t="s">
        <v>45096</v>
      </c>
      <c r="P13054">
        <v>0</v>
      </c>
      <c r="Q13054">
        <v>0</v>
      </c>
      <c r="R13054" t="s">
        <v>45114</v>
      </c>
      <c r="S13054" t="s">
        <v>45791</v>
      </c>
      <c r="T13054" t="s">
        <v>46979</v>
      </c>
      <c r="U13054" t="s">
        <v>58092</v>
      </c>
      <c r="W13054" t="s">
        <v>43742</v>
      </c>
      <c r="X13054" t="s">
        <v>45115</v>
      </c>
    </row>
    <row r="13055" spans="1:24">
      <c r="A13055">
        <f>HYPERLINK("https://www.philgeps.gov.ph/GEPSNONPILOT/Tender/SplashBidNoticeAbstractUI.aspx?menuIndex=3&amp;refID=7016714&amp;Result=3","7016714")</f>
        <v>0</v>
      </c>
      <c r="B13055" t="s">
        <v>1448</v>
      </c>
      <c r="C13055" t="s">
        <v>15689</v>
      </c>
      <c r="D13055" t="s">
        <v>18043</v>
      </c>
      <c r="E13055" t="s">
        <v>29385</v>
      </c>
      <c r="F13055" t="s">
        <v>31574</v>
      </c>
      <c r="G13055" t="s">
        <v>31582</v>
      </c>
      <c r="H13055" t="s">
        <v>31591</v>
      </c>
      <c r="I13055" t="s">
        <v>8822</v>
      </c>
      <c r="J13055" t="s">
        <v>32504</v>
      </c>
      <c r="K13055" t="s">
        <v>41279</v>
      </c>
      <c r="M13055" t="s">
        <v>43027</v>
      </c>
      <c r="N13055" t="s">
        <v>45095</v>
      </c>
      <c r="O13055" t="s">
        <v>45096</v>
      </c>
      <c r="P13055">
        <v>0</v>
      </c>
      <c r="Q13055">
        <v>1</v>
      </c>
      <c r="R13055" t="s">
        <v>45114</v>
      </c>
      <c r="S13055" t="s">
        <v>45791</v>
      </c>
      <c r="T13055" t="s">
        <v>46973</v>
      </c>
      <c r="U13055" t="s">
        <v>58087</v>
      </c>
      <c r="W13055" t="s">
        <v>43027</v>
      </c>
      <c r="X13055" t="s">
        <v>45115</v>
      </c>
    </row>
    <row r="13056" spans="1:24">
      <c r="A13056">
        <f>HYPERLINK("https://www.philgeps.gov.ph/GEPSNONPILOT/Tender/SplashBidNoticeAbstractUI.aspx?menuIndex=3&amp;refID=7016703&amp;Result=3","7016703")</f>
        <v>0</v>
      </c>
      <c r="B13056" t="s">
        <v>1448</v>
      </c>
      <c r="C13056" t="s">
        <v>15690</v>
      </c>
      <c r="D13056" t="s">
        <v>18043</v>
      </c>
      <c r="E13056" t="s">
        <v>29386</v>
      </c>
      <c r="F13056" t="s">
        <v>31574</v>
      </c>
      <c r="G13056" t="s">
        <v>31582</v>
      </c>
      <c r="H13056" t="s">
        <v>31591</v>
      </c>
      <c r="I13056" t="s">
        <v>8822</v>
      </c>
      <c r="J13056" t="s">
        <v>32504</v>
      </c>
      <c r="K13056" t="s">
        <v>41279</v>
      </c>
      <c r="M13056" t="s">
        <v>43027</v>
      </c>
      <c r="N13056" t="s">
        <v>45095</v>
      </c>
      <c r="O13056" t="s">
        <v>45096</v>
      </c>
      <c r="P13056">
        <v>0</v>
      </c>
      <c r="Q13056">
        <v>2</v>
      </c>
      <c r="R13056" t="s">
        <v>45114</v>
      </c>
      <c r="S13056" t="s">
        <v>45791</v>
      </c>
      <c r="T13056" t="s">
        <v>46973</v>
      </c>
      <c r="U13056" t="s">
        <v>58087</v>
      </c>
      <c r="W13056" t="s">
        <v>43027</v>
      </c>
      <c r="X13056" t="s">
        <v>45115</v>
      </c>
    </row>
    <row r="13057" spans="1:24">
      <c r="A13057">
        <f>HYPERLINK("https://www.philgeps.gov.ph/GEPSNONPILOT/Tender/SplashBidNoticeAbstractUI.aspx?menuIndex=3&amp;refID=7016800&amp;Result=3","7016800")</f>
        <v>0</v>
      </c>
      <c r="B13057" t="s">
        <v>1448</v>
      </c>
      <c r="C13057" t="s">
        <v>15691</v>
      </c>
      <c r="D13057" t="s">
        <v>18043</v>
      </c>
      <c r="E13057" t="s">
        <v>29387</v>
      </c>
      <c r="F13057" t="s">
        <v>31574</v>
      </c>
      <c r="G13057" t="s">
        <v>31582</v>
      </c>
      <c r="H13057" t="s">
        <v>31591</v>
      </c>
      <c r="I13057" t="s">
        <v>8822</v>
      </c>
      <c r="J13057" t="s">
        <v>39770</v>
      </c>
      <c r="K13057" t="s">
        <v>41243</v>
      </c>
      <c r="M13057" t="s">
        <v>43027</v>
      </c>
      <c r="N13057" t="s">
        <v>45095</v>
      </c>
      <c r="O13057" t="s">
        <v>45096</v>
      </c>
      <c r="P13057">
        <v>0</v>
      </c>
      <c r="Q13057">
        <v>3</v>
      </c>
      <c r="R13057" t="s">
        <v>45114</v>
      </c>
      <c r="S13057" t="s">
        <v>45791</v>
      </c>
      <c r="T13057" t="s">
        <v>46973</v>
      </c>
      <c r="U13057" t="s">
        <v>58087</v>
      </c>
      <c r="W13057" t="s">
        <v>43027</v>
      </c>
      <c r="X13057" t="s">
        <v>45115</v>
      </c>
    </row>
    <row r="13058" spans="1:24">
      <c r="A13058">
        <f>HYPERLINK("https://www.philgeps.gov.ph/GEPSNONPILOT/Tender/SplashBidNoticeAbstractUI.aspx?menuIndex=3&amp;refID=7016806&amp;Result=3","7016806")</f>
        <v>0</v>
      </c>
      <c r="B13058" t="s">
        <v>3011</v>
      </c>
      <c r="C13058" t="s">
        <v>15692</v>
      </c>
      <c r="D13058" t="s">
        <v>18088</v>
      </c>
      <c r="E13058" t="s">
        <v>29388</v>
      </c>
      <c r="F13058" t="s">
        <v>31574</v>
      </c>
      <c r="G13058" t="s">
        <v>31582</v>
      </c>
      <c r="H13058" t="s">
        <v>31590</v>
      </c>
      <c r="I13058" t="s">
        <v>31654</v>
      </c>
      <c r="J13058" t="s">
        <v>39771</v>
      </c>
      <c r="K13058" t="s">
        <v>41186</v>
      </c>
      <c r="M13058" t="s">
        <v>44840</v>
      </c>
      <c r="N13058" t="s">
        <v>45095</v>
      </c>
      <c r="O13058" t="s">
        <v>45096</v>
      </c>
      <c r="P13058">
        <v>0</v>
      </c>
      <c r="Q13058">
        <v>9</v>
      </c>
      <c r="R13058" t="s">
        <v>45114</v>
      </c>
      <c r="S13058" t="s">
        <v>45791</v>
      </c>
      <c r="T13058" t="s">
        <v>46923</v>
      </c>
      <c r="U13058" t="s">
        <v>58093</v>
      </c>
      <c r="W13058" t="s">
        <v>44840</v>
      </c>
      <c r="X13058" t="s">
        <v>45115</v>
      </c>
    </row>
    <row r="13059" spans="1:24">
      <c r="A13059">
        <f>HYPERLINK("https://www.philgeps.gov.ph/GEPSNONPILOT/Tender/SplashBidNoticeAbstractUI.aspx?menuIndex=3&amp;refID=7016928&amp;Result=3","7016928")</f>
        <v>0</v>
      </c>
      <c r="B13059" t="s">
        <v>347</v>
      </c>
      <c r="C13059" t="s">
        <v>15693</v>
      </c>
      <c r="D13059" t="s">
        <v>18058</v>
      </c>
      <c r="E13059" t="s">
        <v>29389</v>
      </c>
      <c r="F13059" t="s">
        <v>31574</v>
      </c>
      <c r="G13059" t="s">
        <v>31582</v>
      </c>
      <c r="H13059" t="s">
        <v>31590</v>
      </c>
      <c r="I13059" t="s">
        <v>31615</v>
      </c>
      <c r="J13059" t="s">
        <v>32026</v>
      </c>
      <c r="K13059" t="s">
        <v>41189</v>
      </c>
      <c r="M13059" t="s">
        <v>41835</v>
      </c>
      <c r="N13059" t="s">
        <v>45095</v>
      </c>
      <c r="O13059" t="s">
        <v>45096</v>
      </c>
      <c r="P13059">
        <v>0</v>
      </c>
      <c r="Q13059">
        <v>5</v>
      </c>
      <c r="R13059" t="s">
        <v>45114</v>
      </c>
      <c r="S13059" t="s">
        <v>45791</v>
      </c>
      <c r="T13059" t="s">
        <v>46955</v>
      </c>
      <c r="U13059" t="s">
        <v>58094</v>
      </c>
      <c r="W13059" t="s">
        <v>41835</v>
      </c>
      <c r="X13059" t="s">
        <v>45115</v>
      </c>
    </row>
    <row r="13060" spans="1:24">
      <c r="A13060">
        <f>HYPERLINK("https://www.philgeps.gov.ph/GEPSNONPILOT/Tender/SplashBidNoticeAbstractUI.aspx?menuIndex=3&amp;refID=7016338&amp;Result=3","7016338")</f>
        <v>0</v>
      </c>
      <c r="B13060" t="s">
        <v>3010</v>
      </c>
      <c r="C13060" t="s">
        <v>15694</v>
      </c>
      <c r="D13060" t="s">
        <v>18056</v>
      </c>
      <c r="E13060" t="s">
        <v>29390</v>
      </c>
      <c r="F13060" t="s">
        <v>31574</v>
      </c>
      <c r="G13060" t="s">
        <v>31582</v>
      </c>
      <c r="H13060" t="s">
        <v>31591</v>
      </c>
      <c r="I13060" t="s">
        <v>8822</v>
      </c>
      <c r="J13060" t="s">
        <v>39772</v>
      </c>
      <c r="K13060" t="s">
        <v>41203</v>
      </c>
      <c r="M13060" t="s">
        <v>44839</v>
      </c>
      <c r="N13060" t="s">
        <v>45095</v>
      </c>
      <c r="O13060" t="s">
        <v>45096</v>
      </c>
      <c r="Q13060">
        <v>38</v>
      </c>
      <c r="R13060" t="s">
        <v>45114</v>
      </c>
      <c r="S13060" t="s">
        <v>45808</v>
      </c>
      <c r="T13060" t="s">
        <v>46913</v>
      </c>
      <c r="U13060" t="s">
        <v>58095</v>
      </c>
      <c r="V13060" t="s">
        <v>61289</v>
      </c>
      <c r="W13060" t="s">
        <v>44839</v>
      </c>
      <c r="X13060" t="s">
        <v>45116</v>
      </c>
    </row>
    <row r="13061" spans="1:24">
      <c r="A13061">
        <f>HYPERLINK("https://www.philgeps.gov.ph/GEPSNONPILOT/Tender/SplashBidNoticeAbstractUI.aspx?menuIndex=3&amp;refID=7016810&amp;Result=3","7016810")</f>
        <v>0</v>
      </c>
      <c r="B13061" t="s">
        <v>1197</v>
      </c>
      <c r="C13061" t="s">
        <v>15695</v>
      </c>
      <c r="D13061" t="s">
        <v>18073</v>
      </c>
      <c r="E13061" t="s">
        <v>29391</v>
      </c>
      <c r="F13061" t="s">
        <v>31574</v>
      </c>
      <c r="G13061" t="s">
        <v>31582</v>
      </c>
      <c r="H13061" t="s">
        <v>31590</v>
      </c>
      <c r="I13061" t="s">
        <v>4046</v>
      </c>
      <c r="J13061" t="s">
        <v>39773</v>
      </c>
      <c r="K13061" t="s">
        <v>41196</v>
      </c>
      <c r="M13061" t="s">
        <v>42757</v>
      </c>
      <c r="N13061" t="s">
        <v>45095</v>
      </c>
      <c r="O13061" t="s">
        <v>45096</v>
      </c>
      <c r="P13061">
        <v>0</v>
      </c>
      <c r="Q13061">
        <v>3</v>
      </c>
      <c r="R13061" t="s">
        <v>45114</v>
      </c>
      <c r="S13061" t="s">
        <v>45791</v>
      </c>
      <c r="T13061" t="s">
        <v>46918</v>
      </c>
      <c r="U13061" t="s">
        <v>58096</v>
      </c>
      <c r="W13061" t="s">
        <v>42757</v>
      </c>
      <c r="X13061" t="s">
        <v>45115</v>
      </c>
    </row>
    <row r="13062" spans="1:24">
      <c r="A13062">
        <f>HYPERLINK("https://www.philgeps.gov.ph/GEPSNONPILOT/Tender/SplashBidNoticeAbstractUI.aspx?menuIndex=3&amp;refID=7016869&amp;Result=3","7016869")</f>
        <v>0</v>
      </c>
      <c r="B13062" t="s">
        <v>347</v>
      </c>
      <c r="C13062" t="s">
        <v>15696</v>
      </c>
      <c r="D13062" t="s">
        <v>18058</v>
      </c>
      <c r="E13062" t="s">
        <v>29392</v>
      </c>
      <c r="F13062" t="s">
        <v>31574</v>
      </c>
      <c r="G13062" t="s">
        <v>31582</v>
      </c>
      <c r="H13062" t="s">
        <v>31590</v>
      </c>
      <c r="I13062" t="s">
        <v>31615</v>
      </c>
      <c r="J13062" t="s">
        <v>39774</v>
      </c>
      <c r="K13062" t="s">
        <v>41189</v>
      </c>
      <c r="M13062" t="s">
        <v>41835</v>
      </c>
      <c r="N13062" t="s">
        <v>45095</v>
      </c>
      <c r="O13062" t="s">
        <v>45096</v>
      </c>
      <c r="Q13062">
        <v>9</v>
      </c>
      <c r="R13062" t="s">
        <v>45114</v>
      </c>
      <c r="S13062" t="s">
        <v>45486</v>
      </c>
      <c r="T13062" t="s">
        <v>46955</v>
      </c>
      <c r="U13062" t="s">
        <v>58097</v>
      </c>
      <c r="W13062" t="s">
        <v>41835</v>
      </c>
      <c r="X13062" t="s">
        <v>45115</v>
      </c>
    </row>
    <row r="13063" spans="1:24">
      <c r="A13063">
        <f>HYPERLINK("https://www.philgeps.gov.ph/GEPSNONPILOT/Tender/SplashBidNoticeAbstractUI.aspx?menuIndex=3&amp;refID=7016920&amp;Result=3","7016920")</f>
        <v>0</v>
      </c>
      <c r="B13063" t="s">
        <v>196</v>
      </c>
      <c r="C13063" t="s">
        <v>15697</v>
      </c>
      <c r="D13063" t="s">
        <v>18046</v>
      </c>
      <c r="E13063" t="s">
        <v>29393</v>
      </c>
      <c r="F13063" t="s">
        <v>31574</v>
      </c>
      <c r="G13063" t="s">
        <v>31582</v>
      </c>
      <c r="H13063" t="s">
        <v>31590</v>
      </c>
      <c r="I13063" t="s">
        <v>31608</v>
      </c>
      <c r="J13063" t="s">
        <v>39775</v>
      </c>
      <c r="K13063" t="s">
        <v>41196</v>
      </c>
      <c r="M13063" t="s">
        <v>42524</v>
      </c>
      <c r="N13063" t="s">
        <v>45095</v>
      </c>
      <c r="O13063" t="s">
        <v>45096</v>
      </c>
      <c r="P13063">
        <v>0</v>
      </c>
      <c r="Q13063">
        <v>4</v>
      </c>
      <c r="R13063" t="s">
        <v>45114</v>
      </c>
      <c r="S13063" t="s">
        <v>45791</v>
      </c>
      <c r="T13063" t="s">
        <v>47183</v>
      </c>
      <c r="U13063" t="s">
        <v>58098</v>
      </c>
      <c r="V13063" t="s">
        <v>61290</v>
      </c>
      <c r="W13063" t="s">
        <v>42524</v>
      </c>
      <c r="X13063" t="s">
        <v>45115</v>
      </c>
    </row>
    <row r="13064" spans="1:24">
      <c r="A13064">
        <f>HYPERLINK("https://www.philgeps.gov.ph/GEPSNONPILOT/Tender/SplashBidNoticeAbstractUI.aspx?menuIndex=3&amp;refID=7016857&amp;Result=3","7016857")</f>
        <v>0</v>
      </c>
      <c r="B13064" t="s">
        <v>2653</v>
      </c>
      <c r="C13064" t="s">
        <v>15698</v>
      </c>
      <c r="D13064" t="s">
        <v>18042</v>
      </c>
      <c r="E13064" t="s">
        <v>29394</v>
      </c>
      <c r="F13064" t="s">
        <v>31574</v>
      </c>
      <c r="G13064" t="s">
        <v>31582</v>
      </c>
      <c r="H13064" t="s">
        <v>31590</v>
      </c>
      <c r="I13064" t="s">
        <v>31615</v>
      </c>
      <c r="J13064" t="s">
        <v>33866</v>
      </c>
      <c r="K13064" t="s">
        <v>41186</v>
      </c>
      <c r="M13064" t="s">
        <v>44411</v>
      </c>
      <c r="N13064" t="s">
        <v>45095</v>
      </c>
      <c r="O13064" t="s">
        <v>45096</v>
      </c>
      <c r="P13064">
        <v>0</v>
      </c>
      <c r="Q13064">
        <v>4</v>
      </c>
      <c r="R13064" t="s">
        <v>45114</v>
      </c>
      <c r="S13064" t="s">
        <v>45791</v>
      </c>
      <c r="T13064" t="s">
        <v>46932</v>
      </c>
      <c r="U13064" t="s">
        <v>58099</v>
      </c>
      <c r="W13064" t="s">
        <v>44411</v>
      </c>
      <c r="X13064" t="s">
        <v>45115</v>
      </c>
    </row>
    <row r="13065" spans="1:24">
      <c r="A13065">
        <f>HYPERLINK("https://www.philgeps.gov.ph/GEPSNONPILOT/Tender/SplashBidNoticeAbstractUI.aspx?menuIndex=3&amp;refID=7016880&amp;Result=3","7016880")</f>
        <v>0</v>
      </c>
      <c r="B13065" t="s">
        <v>803</v>
      </c>
      <c r="C13065" t="s">
        <v>15699</v>
      </c>
      <c r="D13065" t="s">
        <v>18058</v>
      </c>
      <c r="E13065" t="s">
        <v>29395</v>
      </c>
      <c r="F13065" t="s">
        <v>31574</v>
      </c>
      <c r="G13065" t="s">
        <v>31582</v>
      </c>
      <c r="H13065" t="s">
        <v>31591</v>
      </c>
      <c r="I13065" t="s">
        <v>8822</v>
      </c>
      <c r="J13065" t="s">
        <v>39776</v>
      </c>
      <c r="K13065" t="s">
        <v>41189</v>
      </c>
      <c r="M13065" t="s">
        <v>42318</v>
      </c>
      <c r="N13065" t="s">
        <v>45095</v>
      </c>
      <c r="O13065" t="s">
        <v>45096</v>
      </c>
      <c r="Q13065">
        <v>5</v>
      </c>
      <c r="R13065" t="s">
        <v>45114</v>
      </c>
      <c r="S13065" t="s">
        <v>45809</v>
      </c>
      <c r="T13065" t="s">
        <v>46952</v>
      </c>
      <c r="U13065" t="s">
        <v>58100</v>
      </c>
      <c r="W13065" t="s">
        <v>42318</v>
      </c>
      <c r="X13065" t="s">
        <v>45115</v>
      </c>
    </row>
    <row r="13066" spans="1:24">
      <c r="A13066">
        <f>HYPERLINK("https://www.philgeps.gov.ph/GEPSNONPILOT/Tender/SplashBidNoticeAbstractUI.aspx?menuIndex=3&amp;refID=7016711&amp;Result=3","7016711")</f>
        <v>0</v>
      </c>
      <c r="B13066" t="s">
        <v>515</v>
      </c>
      <c r="C13066" t="s">
        <v>15700</v>
      </c>
      <c r="D13066" t="s">
        <v>18045</v>
      </c>
      <c r="E13066" t="s">
        <v>29396</v>
      </c>
      <c r="F13066" t="s">
        <v>31578</v>
      </c>
      <c r="G13066" t="s">
        <v>31581</v>
      </c>
      <c r="H13066" t="s">
        <v>31590</v>
      </c>
      <c r="I13066" t="s">
        <v>14544</v>
      </c>
      <c r="J13066" t="s">
        <v>31782</v>
      </c>
      <c r="K13066" t="s">
        <v>41196</v>
      </c>
      <c r="M13066" t="s">
        <v>42011</v>
      </c>
      <c r="N13066" t="s">
        <v>45095</v>
      </c>
      <c r="O13066" t="s">
        <v>45096</v>
      </c>
      <c r="P13066">
        <v>0</v>
      </c>
      <c r="Q13066">
        <v>0</v>
      </c>
      <c r="R13066" t="s">
        <v>45114</v>
      </c>
      <c r="S13066" t="s">
        <v>45791</v>
      </c>
      <c r="T13066" t="s">
        <v>47004</v>
      </c>
      <c r="U13066" t="s">
        <v>58101</v>
      </c>
      <c r="W13066" t="s">
        <v>42011</v>
      </c>
      <c r="X13066" t="s">
        <v>45115</v>
      </c>
    </row>
    <row r="13067" spans="1:24">
      <c r="A13067">
        <f>HYPERLINK("https://www.philgeps.gov.ph/GEPSNONPILOT/Tender/SplashBidNoticeAbstractUI.aspx?menuIndex=3&amp;refID=7016901&amp;Result=3","7016901")</f>
        <v>0</v>
      </c>
      <c r="B13067" t="s">
        <v>353</v>
      </c>
      <c r="C13067" t="s">
        <v>15701</v>
      </c>
      <c r="D13067" t="s">
        <v>18068</v>
      </c>
      <c r="E13067" t="s">
        <v>29397</v>
      </c>
      <c r="F13067" t="s">
        <v>31574</v>
      </c>
      <c r="G13067" t="s">
        <v>31582</v>
      </c>
      <c r="H13067" t="s">
        <v>31590</v>
      </c>
      <c r="I13067" t="s">
        <v>31599</v>
      </c>
      <c r="J13067" t="s">
        <v>39777</v>
      </c>
      <c r="K13067" t="s">
        <v>41186</v>
      </c>
      <c r="M13067" t="s">
        <v>41842</v>
      </c>
      <c r="N13067" t="s">
        <v>45095</v>
      </c>
      <c r="O13067" t="s">
        <v>45096</v>
      </c>
      <c r="P13067">
        <v>0</v>
      </c>
      <c r="Q13067">
        <v>3</v>
      </c>
      <c r="R13067" t="s">
        <v>45114</v>
      </c>
      <c r="S13067" t="s">
        <v>45791</v>
      </c>
      <c r="T13067" t="s">
        <v>46932</v>
      </c>
      <c r="U13067" t="s">
        <v>58102</v>
      </c>
      <c r="V13067" t="s">
        <v>61291</v>
      </c>
      <c r="W13067" t="s">
        <v>41842</v>
      </c>
      <c r="X13067" t="s">
        <v>45115</v>
      </c>
    </row>
    <row r="13068" spans="1:24">
      <c r="A13068">
        <f>HYPERLINK("https://www.philgeps.gov.ph/GEPSNONPILOT/Tender/SplashBidNoticeAbstractUI.aspx?menuIndex=3&amp;refID=7016846&amp;Result=3","7016846")</f>
        <v>0</v>
      </c>
      <c r="B13068" t="s">
        <v>1448</v>
      </c>
      <c r="C13068" t="s">
        <v>15702</v>
      </c>
      <c r="D13068" t="s">
        <v>18043</v>
      </c>
      <c r="E13068" t="s">
        <v>29398</v>
      </c>
      <c r="F13068" t="s">
        <v>31574</v>
      </c>
      <c r="G13068" t="s">
        <v>31582</v>
      </c>
      <c r="H13068" t="s">
        <v>31591</v>
      </c>
      <c r="I13068" t="s">
        <v>8822</v>
      </c>
      <c r="J13068" t="s">
        <v>39778</v>
      </c>
      <c r="K13068" t="s">
        <v>41200</v>
      </c>
      <c r="M13068" t="s">
        <v>43027</v>
      </c>
      <c r="N13068" t="s">
        <v>45095</v>
      </c>
      <c r="O13068" t="s">
        <v>45096</v>
      </c>
      <c r="Q13068">
        <v>1</v>
      </c>
      <c r="R13068" t="s">
        <v>45114</v>
      </c>
      <c r="S13068" t="s">
        <v>45810</v>
      </c>
      <c r="T13068" t="s">
        <v>46973</v>
      </c>
      <c r="U13068" t="s">
        <v>58087</v>
      </c>
      <c r="W13068" t="s">
        <v>43027</v>
      </c>
      <c r="X13068" t="s">
        <v>45115</v>
      </c>
    </row>
    <row r="13069" spans="1:24">
      <c r="A13069">
        <f>HYPERLINK("https://www.philgeps.gov.ph/GEPSNONPILOT/Tender/SplashBidNoticeAbstractUI.aspx?menuIndex=3&amp;refID=7016962&amp;Result=3","7016962")</f>
        <v>0</v>
      </c>
      <c r="B13069" t="s">
        <v>347</v>
      </c>
      <c r="C13069" t="s">
        <v>15703</v>
      </c>
      <c r="D13069" t="s">
        <v>18058</v>
      </c>
      <c r="E13069" t="s">
        <v>29399</v>
      </c>
      <c r="F13069" t="s">
        <v>31574</v>
      </c>
      <c r="G13069" t="s">
        <v>31582</v>
      </c>
      <c r="H13069" t="s">
        <v>31591</v>
      </c>
      <c r="I13069" t="s">
        <v>8822</v>
      </c>
      <c r="J13069" t="s">
        <v>31935</v>
      </c>
      <c r="K13069" t="s">
        <v>41316</v>
      </c>
      <c r="M13069" t="s">
        <v>41835</v>
      </c>
      <c r="N13069" t="s">
        <v>45095</v>
      </c>
      <c r="O13069" t="s">
        <v>45096</v>
      </c>
      <c r="P13069">
        <v>0</v>
      </c>
      <c r="Q13069">
        <v>2</v>
      </c>
      <c r="R13069" t="s">
        <v>45114</v>
      </c>
      <c r="S13069" t="s">
        <v>45791</v>
      </c>
      <c r="T13069" t="s">
        <v>46955</v>
      </c>
      <c r="U13069" t="s">
        <v>58103</v>
      </c>
      <c r="W13069" t="s">
        <v>41835</v>
      </c>
      <c r="X13069" t="s">
        <v>45115</v>
      </c>
    </row>
    <row r="13070" spans="1:24">
      <c r="A13070">
        <f>HYPERLINK("https://www.philgeps.gov.ph/GEPSNONPILOT/Tender/SplashBidNoticeAbstractUI.aspx?menuIndex=3&amp;refID=7016877&amp;Result=3","7016877")</f>
        <v>0</v>
      </c>
      <c r="B13070" t="s">
        <v>2653</v>
      </c>
      <c r="C13070" t="s">
        <v>15704</v>
      </c>
      <c r="D13070" t="s">
        <v>18042</v>
      </c>
      <c r="E13070" t="s">
        <v>29400</v>
      </c>
      <c r="F13070" t="s">
        <v>31574</v>
      </c>
      <c r="G13070" t="s">
        <v>31582</v>
      </c>
      <c r="H13070" t="s">
        <v>31590</v>
      </c>
      <c r="I13070" t="s">
        <v>31615</v>
      </c>
      <c r="J13070" t="s">
        <v>32120</v>
      </c>
      <c r="K13070" t="s">
        <v>41186</v>
      </c>
      <c r="M13070" t="s">
        <v>44411</v>
      </c>
      <c r="N13070" t="s">
        <v>45095</v>
      </c>
      <c r="O13070" t="s">
        <v>45096</v>
      </c>
      <c r="P13070">
        <v>0</v>
      </c>
      <c r="Q13070">
        <v>5</v>
      </c>
      <c r="R13070" t="s">
        <v>45114</v>
      </c>
      <c r="S13070" t="s">
        <v>45791</v>
      </c>
      <c r="T13070" t="s">
        <v>46932</v>
      </c>
      <c r="U13070" t="s">
        <v>58104</v>
      </c>
      <c r="W13070" t="s">
        <v>44411</v>
      </c>
      <c r="X13070" t="s">
        <v>45115</v>
      </c>
    </row>
    <row r="13071" spans="1:24">
      <c r="A13071">
        <f>HYPERLINK("https://www.philgeps.gov.ph/GEPSNONPILOT/Tender/SplashBidNoticeAbstractUI.aspx?menuIndex=3&amp;refID=7016826&amp;Result=3","7016826")</f>
        <v>0</v>
      </c>
      <c r="B13071" t="s">
        <v>1448</v>
      </c>
      <c r="C13071" t="s">
        <v>15705</v>
      </c>
      <c r="D13071" t="s">
        <v>18043</v>
      </c>
      <c r="E13071" t="s">
        <v>29401</v>
      </c>
      <c r="F13071" t="s">
        <v>31574</v>
      </c>
      <c r="G13071" t="s">
        <v>31582</v>
      </c>
      <c r="H13071" t="s">
        <v>31591</v>
      </c>
      <c r="I13071" t="s">
        <v>8822</v>
      </c>
      <c r="J13071" t="s">
        <v>39779</v>
      </c>
      <c r="K13071" t="s">
        <v>41256</v>
      </c>
      <c r="M13071" t="s">
        <v>43027</v>
      </c>
      <c r="N13071" t="s">
        <v>45095</v>
      </c>
      <c r="O13071" t="s">
        <v>45096</v>
      </c>
      <c r="Q13071">
        <v>3</v>
      </c>
      <c r="R13071" t="s">
        <v>45114</v>
      </c>
      <c r="S13071" t="s">
        <v>45364</v>
      </c>
      <c r="T13071" t="s">
        <v>46973</v>
      </c>
      <c r="U13071" t="s">
        <v>58087</v>
      </c>
      <c r="W13071" t="s">
        <v>43027</v>
      </c>
      <c r="X13071" t="s">
        <v>45115</v>
      </c>
    </row>
    <row r="13072" spans="1:24">
      <c r="A13072">
        <f>HYPERLINK("https://www.philgeps.gov.ph/GEPSNONPILOT/Tender/SplashBidNoticeAbstractUI.aspx?menuIndex=3&amp;refID=7017013&amp;Result=3","7017013")</f>
        <v>0</v>
      </c>
      <c r="B13072" t="s">
        <v>353</v>
      </c>
      <c r="C13072" t="s">
        <v>15706</v>
      </c>
      <c r="D13072" t="s">
        <v>18068</v>
      </c>
      <c r="E13072" t="s">
        <v>29402</v>
      </c>
      <c r="F13072" t="s">
        <v>31574</v>
      </c>
      <c r="G13072" t="s">
        <v>31582</v>
      </c>
      <c r="H13072" t="s">
        <v>31591</v>
      </c>
      <c r="I13072" t="s">
        <v>8822</v>
      </c>
      <c r="J13072" t="s">
        <v>31947</v>
      </c>
      <c r="K13072" t="s">
        <v>41189</v>
      </c>
      <c r="M13072" t="s">
        <v>41842</v>
      </c>
      <c r="N13072" t="s">
        <v>45095</v>
      </c>
      <c r="O13072" t="s">
        <v>45096</v>
      </c>
      <c r="P13072">
        <v>0</v>
      </c>
      <c r="Q13072">
        <v>0</v>
      </c>
      <c r="R13072" t="s">
        <v>45114</v>
      </c>
      <c r="S13072" t="s">
        <v>45791</v>
      </c>
      <c r="T13072" t="s">
        <v>46932</v>
      </c>
      <c r="U13072" t="s">
        <v>58105</v>
      </c>
      <c r="V13072" t="s">
        <v>59923</v>
      </c>
      <c r="W13072" t="s">
        <v>41842</v>
      </c>
      <c r="X13072" t="s">
        <v>45115</v>
      </c>
    </row>
    <row r="13073" spans="1:24">
      <c r="A13073">
        <f>HYPERLINK("https://www.philgeps.gov.ph/GEPSNONPILOT/Tender/SplashBidNoticeAbstractUI.aspx?menuIndex=3&amp;refID=7017034&amp;Result=3","7017034")</f>
        <v>0</v>
      </c>
      <c r="B13073" t="s">
        <v>1601</v>
      </c>
      <c r="C13073" t="s">
        <v>15707</v>
      </c>
      <c r="D13073" t="s">
        <v>18036</v>
      </c>
      <c r="E13073" t="s">
        <v>29403</v>
      </c>
      <c r="F13073" t="s">
        <v>31574</v>
      </c>
      <c r="G13073" t="s">
        <v>31582</v>
      </c>
      <c r="H13073" t="s">
        <v>31591</v>
      </c>
      <c r="I13073" t="s">
        <v>8822</v>
      </c>
      <c r="J13073" t="s">
        <v>32986</v>
      </c>
      <c r="K13073" t="s">
        <v>41335</v>
      </c>
      <c r="L13073" t="s">
        <v>1601</v>
      </c>
      <c r="M13073" t="s">
        <v>43205</v>
      </c>
      <c r="N13073" t="s">
        <v>45095</v>
      </c>
      <c r="O13073" t="s">
        <v>45096</v>
      </c>
      <c r="P13073">
        <v>0</v>
      </c>
      <c r="Q13073">
        <v>0</v>
      </c>
      <c r="R13073" t="s">
        <v>45114</v>
      </c>
      <c r="S13073" t="s">
        <v>45791</v>
      </c>
      <c r="T13073" t="s">
        <v>46918</v>
      </c>
      <c r="U13073" t="s">
        <v>58106</v>
      </c>
      <c r="W13073" t="s">
        <v>43205</v>
      </c>
      <c r="X13073" t="s">
        <v>45115</v>
      </c>
    </row>
    <row r="13074" spans="1:24">
      <c r="A13074">
        <f>HYPERLINK("https://www.philgeps.gov.ph/GEPSNONPILOT/Tender/SplashBidNoticeAbstractUI.aspx?menuIndex=3&amp;refID=7017062&amp;Result=3","7017062")</f>
        <v>0</v>
      </c>
      <c r="B13074" t="s">
        <v>353</v>
      </c>
      <c r="C13074" t="s">
        <v>15708</v>
      </c>
      <c r="D13074" t="s">
        <v>18068</v>
      </c>
      <c r="E13074" t="s">
        <v>29404</v>
      </c>
      <c r="F13074" t="s">
        <v>31574</v>
      </c>
      <c r="G13074" t="s">
        <v>31582</v>
      </c>
      <c r="H13074" t="s">
        <v>31591</v>
      </c>
      <c r="I13074" t="s">
        <v>8822</v>
      </c>
      <c r="J13074" t="s">
        <v>31947</v>
      </c>
      <c r="K13074" t="s">
        <v>41189</v>
      </c>
      <c r="M13074" t="s">
        <v>41842</v>
      </c>
      <c r="N13074" t="s">
        <v>45095</v>
      </c>
      <c r="O13074" t="s">
        <v>45096</v>
      </c>
      <c r="P13074">
        <v>0</v>
      </c>
      <c r="Q13074">
        <v>0</v>
      </c>
      <c r="R13074" t="s">
        <v>45114</v>
      </c>
      <c r="S13074" t="s">
        <v>45791</v>
      </c>
      <c r="T13074" t="s">
        <v>46932</v>
      </c>
      <c r="U13074" t="s">
        <v>58107</v>
      </c>
      <c r="V13074" t="s">
        <v>59923</v>
      </c>
      <c r="W13074" t="s">
        <v>41842</v>
      </c>
      <c r="X13074" t="s">
        <v>45115</v>
      </c>
    </row>
    <row r="13075" spans="1:24">
      <c r="A13075">
        <f>HYPERLINK("https://www.philgeps.gov.ph/GEPSNONPILOT/Tender/SplashBidNoticeAbstractUI.aspx?menuIndex=3&amp;refID=7016587&amp;Result=3","7016587")</f>
        <v>0</v>
      </c>
      <c r="B13075" t="s">
        <v>2969</v>
      </c>
      <c r="C13075" t="s">
        <v>15709</v>
      </c>
      <c r="D13075" t="s">
        <v>18095</v>
      </c>
      <c r="E13075" t="s">
        <v>29405</v>
      </c>
      <c r="F13075" t="s">
        <v>31574</v>
      </c>
      <c r="G13075" t="s">
        <v>31582</v>
      </c>
      <c r="H13075" t="s">
        <v>31591</v>
      </c>
      <c r="I13075" t="s">
        <v>31627</v>
      </c>
      <c r="J13075" t="s">
        <v>39780</v>
      </c>
      <c r="K13075" t="s">
        <v>41200</v>
      </c>
      <c r="M13075" t="s">
        <v>44790</v>
      </c>
      <c r="N13075" t="s">
        <v>45095</v>
      </c>
      <c r="O13075" t="s">
        <v>45096</v>
      </c>
      <c r="Q13075">
        <v>0</v>
      </c>
      <c r="R13075" t="s">
        <v>45114</v>
      </c>
      <c r="S13075" t="s">
        <v>45811</v>
      </c>
      <c r="T13075" t="s">
        <v>46955</v>
      </c>
      <c r="U13075" t="s">
        <v>58108</v>
      </c>
      <c r="W13075" t="s">
        <v>44790</v>
      </c>
      <c r="X13075" t="s">
        <v>45115</v>
      </c>
    </row>
    <row r="13076" spans="1:24">
      <c r="A13076">
        <f>HYPERLINK("https://www.philgeps.gov.ph/GEPSNONPILOT/Tender/SplashBidNoticeAbstractUI.aspx?menuIndex=3&amp;refID=7017008&amp;Result=3","7017008")</f>
        <v>0</v>
      </c>
      <c r="B13076" t="s">
        <v>1436</v>
      </c>
      <c r="C13076" t="s">
        <v>15710</v>
      </c>
      <c r="D13076" t="s">
        <v>18040</v>
      </c>
      <c r="E13076" t="s">
        <v>29406</v>
      </c>
      <c r="F13076" t="s">
        <v>31574</v>
      </c>
      <c r="G13076" t="s">
        <v>31582</v>
      </c>
      <c r="H13076" t="s">
        <v>31591</v>
      </c>
      <c r="I13076" t="s">
        <v>8822</v>
      </c>
      <c r="J13076" t="s">
        <v>32497</v>
      </c>
      <c r="K13076" t="s">
        <v>41186</v>
      </c>
      <c r="M13076" t="s">
        <v>43012</v>
      </c>
      <c r="N13076" t="s">
        <v>45095</v>
      </c>
      <c r="O13076" t="s">
        <v>45096</v>
      </c>
      <c r="P13076">
        <v>0</v>
      </c>
      <c r="Q13076">
        <v>1</v>
      </c>
      <c r="R13076" t="s">
        <v>45114</v>
      </c>
      <c r="S13076" t="s">
        <v>45791</v>
      </c>
      <c r="T13076" t="s">
        <v>46904</v>
      </c>
      <c r="U13076" t="s">
        <v>58109</v>
      </c>
      <c r="W13076" t="s">
        <v>43012</v>
      </c>
      <c r="X13076" t="s">
        <v>45115</v>
      </c>
    </row>
    <row r="13077" spans="1:24">
      <c r="A13077">
        <f>HYPERLINK("https://www.philgeps.gov.ph/GEPSNONPILOT/Tender/SplashBidNoticeAbstractUI.aspx?menuIndex=3&amp;refID=7017077&amp;Result=3","7017077")</f>
        <v>0</v>
      </c>
      <c r="B13077" t="s">
        <v>1554</v>
      </c>
      <c r="C13077" t="s">
        <v>15711</v>
      </c>
      <c r="D13077" t="s">
        <v>18056</v>
      </c>
      <c r="E13077" t="s">
        <v>29407</v>
      </c>
      <c r="F13077" t="s">
        <v>31574</v>
      </c>
      <c r="G13077" t="s">
        <v>31582</v>
      </c>
      <c r="H13077" t="s">
        <v>31591</v>
      </c>
      <c r="I13077" t="s">
        <v>8822</v>
      </c>
      <c r="J13077" t="s">
        <v>39781</v>
      </c>
      <c r="K13077" t="s">
        <v>41200</v>
      </c>
      <c r="M13077" t="s">
        <v>44237</v>
      </c>
      <c r="N13077" t="s">
        <v>45095</v>
      </c>
      <c r="O13077" t="s">
        <v>45096</v>
      </c>
      <c r="P13077">
        <v>0</v>
      </c>
      <c r="Q13077">
        <v>0</v>
      </c>
      <c r="R13077" t="s">
        <v>45114</v>
      </c>
      <c r="S13077" t="s">
        <v>45791</v>
      </c>
      <c r="T13077" t="s">
        <v>46979</v>
      </c>
      <c r="U13077" t="s">
        <v>58110</v>
      </c>
      <c r="V13077" t="s">
        <v>61148</v>
      </c>
      <c r="W13077" t="s">
        <v>44237</v>
      </c>
      <c r="X13077" t="s">
        <v>45115</v>
      </c>
    </row>
    <row r="13078" spans="1:24">
      <c r="A13078">
        <f>HYPERLINK("https://www.philgeps.gov.ph/GEPSNONPILOT/Tender/SplashBidNoticeAbstractUI.aspx?menuIndex=3&amp;refID=7016342&amp;Result=3","7016342")</f>
        <v>0</v>
      </c>
      <c r="B13078" t="s">
        <v>3010</v>
      </c>
      <c r="C13078" t="s">
        <v>15712</v>
      </c>
      <c r="D13078" t="s">
        <v>18056</v>
      </c>
      <c r="E13078" t="s">
        <v>29408</v>
      </c>
      <c r="F13078" t="s">
        <v>31574</v>
      </c>
      <c r="G13078" t="s">
        <v>31582</v>
      </c>
      <c r="H13078" t="s">
        <v>31591</v>
      </c>
      <c r="I13078" t="s">
        <v>8822</v>
      </c>
      <c r="J13078" t="s">
        <v>39782</v>
      </c>
      <c r="K13078" t="s">
        <v>41203</v>
      </c>
      <c r="M13078" t="s">
        <v>44839</v>
      </c>
      <c r="N13078" t="s">
        <v>45095</v>
      </c>
      <c r="O13078" t="s">
        <v>45096</v>
      </c>
      <c r="Q13078">
        <v>43</v>
      </c>
      <c r="R13078" t="s">
        <v>45114</v>
      </c>
      <c r="S13078" t="s">
        <v>45812</v>
      </c>
      <c r="T13078" t="s">
        <v>46913</v>
      </c>
      <c r="U13078" t="s">
        <v>58111</v>
      </c>
      <c r="V13078" t="s">
        <v>61292</v>
      </c>
      <c r="W13078" t="s">
        <v>44839</v>
      </c>
      <c r="X13078" t="s">
        <v>45116</v>
      </c>
    </row>
    <row r="13079" spans="1:24">
      <c r="A13079">
        <f>HYPERLINK("https://www.philgeps.gov.ph/GEPSNONPILOT/Tender/SplashBidNoticeAbstractUI.aspx?menuIndex=3&amp;refID=7016977&amp;Result=3","7016977")</f>
        <v>0</v>
      </c>
      <c r="B13079" t="s">
        <v>1860</v>
      </c>
      <c r="C13079" t="s">
        <v>15713</v>
      </c>
      <c r="D13079" t="s">
        <v>18058</v>
      </c>
      <c r="E13079" t="s">
        <v>29409</v>
      </c>
      <c r="F13079" t="s">
        <v>31574</v>
      </c>
      <c r="G13079" t="s">
        <v>31582</v>
      </c>
      <c r="H13079" t="s">
        <v>31590</v>
      </c>
      <c r="I13079" t="s">
        <v>8822</v>
      </c>
      <c r="J13079" t="s">
        <v>39783</v>
      </c>
      <c r="K13079" t="s">
        <v>41198</v>
      </c>
      <c r="M13079" t="s">
        <v>43498</v>
      </c>
      <c r="N13079" t="s">
        <v>45095</v>
      </c>
      <c r="O13079" t="s">
        <v>45096</v>
      </c>
      <c r="P13079">
        <v>0</v>
      </c>
      <c r="Q13079">
        <v>0</v>
      </c>
      <c r="R13079" t="s">
        <v>45114</v>
      </c>
      <c r="S13079" t="s">
        <v>45791</v>
      </c>
      <c r="T13079" t="s">
        <v>46969</v>
      </c>
      <c r="U13079" t="s">
        <v>58112</v>
      </c>
      <c r="W13079" t="s">
        <v>43498</v>
      </c>
      <c r="X13079" t="s">
        <v>45115</v>
      </c>
    </row>
    <row r="13080" spans="1:24">
      <c r="A13080">
        <f>HYPERLINK("https://www.philgeps.gov.ph/GEPSNONPILOT/Tender/SplashBidNoticeAbstractUI.aspx?menuIndex=3&amp;refID=7017124&amp;Result=3","7017124")</f>
        <v>0</v>
      </c>
      <c r="B13080" t="s">
        <v>1554</v>
      </c>
      <c r="C13080" t="s">
        <v>15714</v>
      </c>
      <c r="D13080" t="s">
        <v>18056</v>
      </c>
      <c r="E13080" t="s">
        <v>29410</v>
      </c>
      <c r="F13080" t="s">
        <v>31574</v>
      </c>
      <c r="G13080" t="s">
        <v>31582</v>
      </c>
      <c r="H13080" t="s">
        <v>31591</v>
      </c>
      <c r="I13080" t="s">
        <v>8822</v>
      </c>
      <c r="J13080" t="s">
        <v>39784</v>
      </c>
      <c r="K13080" t="s">
        <v>41252</v>
      </c>
      <c r="M13080" t="s">
        <v>44237</v>
      </c>
      <c r="N13080" t="s">
        <v>45095</v>
      </c>
      <c r="O13080" t="s">
        <v>45096</v>
      </c>
      <c r="P13080">
        <v>0</v>
      </c>
      <c r="Q13080">
        <v>0</v>
      </c>
      <c r="R13080" t="s">
        <v>45114</v>
      </c>
      <c r="S13080" t="s">
        <v>45791</v>
      </c>
      <c r="T13080" t="s">
        <v>46979</v>
      </c>
      <c r="U13080" t="s">
        <v>58110</v>
      </c>
      <c r="V13080" t="s">
        <v>61148</v>
      </c>
      <c r="W13080" t="s">
        <v>44237</v>
      </c>
      <c r="X13080" t="s">
        <v>45115</v>
      </c>
    </row>
    <row r="13081" spans="1:24">
      <c r="A13081">
        <f>HYPERLINK("https://www.philgeps.gov.ph/GEPSNONPILOT/Tender/SplashBidNoticeAbstractUI.aspx?menuIndex=3&amp;refID=7017107&amp;Result=3","7017107")</f>
        <v>0</v>
      </c>
      <c r="B13081" t="s">
        <v>289</v>
      </c>
      <c r="C13081" t="s">
        <v>15715</v>
      </c>
      <c r="D13081" t="s">
        <v>18044</v>
      </c>
      <c r="E13081" t="s">
        <v>29411</v>
      </c>
      <c r="F13081" t="s">
        <v>31574</v>
      </c>
      <c r="G13081" t="s">
        <v>31582</v>
      </c>
      <c r="H13081" t="s">
        <v>31591</v>
      </c>
      <c r="I13081" t="s">
        <v>8822</v>
      </c>
      <c r="J13081" t="s">
        <v>32026</v>
      </c>
      <c r="K13081" t="s">
        <v>41189</v>
      </c>
      <c r="M13081" t="s">
        <v>41775</v>
      </c>
      <c r="N13081" t="s">
        <v>45095</v>
      </c>
      <c r="O13081" t="s">
        <v>45096</v>
      </c>
      <c r="P13081">
        <v>0</v>
      </c>
      <c r="Q13081">
        <v>0</v>
      </c>
      <c r="R13081" t="s">
        <v>45114</v>
      </c>
      <c r="S13081" t="s">
        <v>45791</v>
      </c>
      <c r="T13081" t="s">
        <v>46926</v>
      </c>
      <c r="U13081" t="s">
        <v>58113</v>
      </c>
      <c r="W13081" t="s">
        <v>61661</v>
      </c>
      <c r="X13081" t="s">
        <v>45115</v>
      </c>
    </row>
    <row r="13082" spans="1:24">
      <c r="A13082">
        <f>HYPERLINK("https://www.philgeps.gov.ph/GEPSNONPILOT/Tender/SplashBidNoticeAbstractUI.aspx?menuIndex=3&amp;refID=7016967&amp;Result=3","7016967")</f>
        <v>0</v>
      </c>
      <c r="B13082" t="s">
        <v>1868</v>
      </c>
      <c r="C13082" t="s">
        <v>15716</v>
      </c>
      <c r="D13082" t="s">
        <v>18079</v>
      </c>
      <c r="E13082" t="s">
        <v>29412</v>
      </c>
      <c r="F13082" t="s">
        <v>31574</v>
      </c>
      <c r="G13082" t="s">
        <v>31582</v>
      </c>
      <c r="H13082" t="s">
        <v>31590</v>
      </c>
      <c r="I13082" t="s">
        <v>31614</v>
      </c>
      <c r="J13082" t="s">
        <v>39785</v>
      </c>
      <c r="K13082" t="s">
        <v>41186</v>
      </c>
      <c r="M13082" t="s">
        <v>43507</v>
      </c>
      <c r="N13082" t="s">
        <v>45095</v>
      </c>
      <c r="O13082" t="s">
        <v>45096</v>
      </c>
      <c r="P13082">
        <v>0</v>
      </c>
      <c r="Q13082">
        <v>0</v>
      </c>
      <c r="R13082" t="s">
        <v>45114</v>
      </c>
      <c r="S13082" t="s">
        <v>45791</v>
      </c>
      <c r="T13082" t="s">
        <v>47183</v>
      </c>
      <c r="U13082" t="s">
        <v>58114</v>
      </c>
      <c r="V13082" t="s">
        <v>60890</v>
      </c>
      <c r="W13082" t="s">
        <v>43507</v>
      </c>
      <c r="X13082" t="s">
        <v>45115</v>
      </c>
    </row>
    <row r="13083" spans="1:24">
      <c r="A13083">
        <f>HYPERLINK("https://www.philgeps.gov.ph/GEPSNONPILOT/Tender/SplashBidNoticeAbstractUI.aspx?menuIndex=3&amp;refID=7016995&amp;Result=3","7016995")</f>
        <v>0</v>
      </c>
      <c r="B13083" t="s">
        <v>2211</v>
      </c>
      <c r="C13083" t="s">
        <v>15717</v>
      </c>
      <c r="D13083" t="s">
        <v>18034</v>
      </c>
      <c r="E13083" t="s">
        <v>29413</v>
      </c>
      <c r="F13083" t="s">
        <v>31574</v>
      </c>
      <c r="G13083" t="s">
        <v>31582</v>
      </c>
      <c r="H13083" t="s">
        <v>31591</v>
      </c>
      <c r="I13083" t="s">
        <v>8822</v>
      </c>
      <c r="J13083" t="s">
        <v>39786</v>
      </c>
      <c r="K13083" t="s">
        <v>41190</v>
      </c>
      <c r="M13083" t="s">
        <v>43901</v>
      </c>
      <c r="N13083" t="s">
        <v>45095</v>
      </c>
      <c r="O13083" t="s">
        <v>45096</v>
      </c>
      <c r="P13083">
        <v>0</v>
      </c>
      <c r="Q13083">
        <v>0</v>
      </c>
      <c r="R13083" t="s">
        <v>45114</v>
      </c>
      <c r="S13083" t="s">
        <v>45791</v>
      </c>
      <c r="T13083" t="s">
        <v>46930</v>
      </c>
      <c r="U13083" t="s">
        <v>53698</v>
      </c>
      <c r="W13083" t="s">
        <v>43901</v>
      </c>
      <c r="X13083" t="s">
        <v>45115</v>
      </c>
    </row>
    <row r="13084" spans="1:24">
      <c r="A13084">
        <f>HYPERLINK("https://www.philgeps.gov.ph/GEPSNONPILOT/Tender/SplashBidNoticeAbstractUI.aspx?menuIndex=3&amp;refID=7017172&amp;Result=3","7017172")</f>
        <v>0</v>
      </c>
      <c r="B13084" t="s">
        <v>289</v>
      </c>
      <c r="C13084" t="s">
        <v>15718</v>
      </c>
      <c r="D13084" t="s">
        <v>18044</v>
      </c>
      <c r="E13084" t="s">
        <v>29414</v>
      </c>
      <c r="F13084" t="s">
        <v>31574</v>
      </c>
      <c r="G13084" t="s">
        <v>31582</v>
      </c>
      <c r="H13084" t="s">
        <v>31591</v>
      </c>
      <c r="I13084" t="s">
        <v>8822</v>
      </c>
      <c r="J13084" t="s">
        <v>32510</v>
      </c>
      <c r="K13084" t="s">
        <v>41209</v>
      </c>
      <c r="M13084" t="s">
        <v>41775</v>
      </c>
      <c r="N13084" t="s">
        <v>45095</v>
      </c>
      <c r="O13084" t="s">
        <v>45096</v>
      </c>
      <c r="P13084">
        <v>0</v>
      </c>
      <c r="Q13084">
        <v>0</v>
      </c>
      <c r="R13084" t="s">
        <v>45114</v>
      </c>
      <c r="S13084" t="s">
        <v>45791</v>
      </c>
      <c r="T13084" t="s">
        <v>46926</v>
      </c>
      <c r="U13084" t="s">
        <v>58115</v>
      </c>
      <c r="W13084" t="s">
        <v>61661</v>
      </c>
      <c r="X13084" t="s">
        <v>45115</v>
      </c>
    </row>
    <row r="13085" spans="1:24">
      <c r="A13085">
        <f>HYPERLINK("https://www.philgeps.gov.ph/GEPSNONPILOT/Tender/SplashBidNoticeAbstractUI.aspx?menuIndex=3&amp;refID=7017082&amp;Result=3","7017082")</f>
        <v>0</v>
      </c>
      <c r="B13085" t="s">
        <v>289</v>
      </c>
      <c r="C13085" t="s">
        <v>15719</v>
      </c>
      <c r="D13085" t="s">
        <v>18044</v>
      </c>
      <c r="E13085" t="s">
        <v>29415</v>
      </c>
      <c r="F13085" t="s">
        <v>31574</v>
      </c>
      <c r="G13085" t="s">
        <v>31582</v>
      </c>
      <c r="H13085" t="s">
        <v>31591</v>
      </c>
      <c r="I13085" t="s">
        <v>8822</v>
      </c>
      <c r="J13085" t="s">
        <v>39787</v>
      </c>
      <c r="K13085" t="s">
        <v>41189</v>
      </c>
      <c r="M13085" t="s">
        <v>41775</v>
      </c>
      <c r="N13085" t="s">
        <v>45095</v>
      </c>
      <c r="O13085" t="s">
        <v>45096</v>
      </c>
      <c r="P13085">
        <v>0</v>
      </c>
      <c r="Q13085">
        <v>0</v>
      </c>
      <c r="R13085" t="s">
        <v>45114</v>
      </c>
      <c r="S13085" t="s">
        <v>45791</v>
      </c>
      <c r="T13085" t="s">
        <v>46926</v>
      </c>
      <c r="U13085" t="s">
        <v>58116</v>
      </c>
      <c r="W13085" t="s">
        <v>61661</v>
      </c>
      <c r="X13085" t="s">
        <v>45115</v>
      </c>
    </row>
    <row r="13086" spans="1:24">
      <c r="A13086">
        <f>HYPERLINK("https://www.philgeps.gov.ph/GEPSNONPILOT/Tender/SplashBidNoticeAbstractUI.aspx?menuIndex=3&amp;refID=7017282&amp;Result=3","7017282")</f>
        <v>0</v>
      </c>
      <c r="B13086" t="s">
        <v>551</v>
      </c>
      <c r="C13086" t="s">
        <v>15720</v>
      </c>
      <c r="D13086" t="s">
        <v>18096</v>
      </c>
      <c r="E13086" t="s">
        <v>29416</v>
      </c>
      <c r="F13086" t="s">
        <v>31574</v>
      </c>
      <c r="G13086" t="s">
        <v>31582</v>
      </c>
      <c r="H13086" t="s">
        <v>31590</v>
      </c>
      <c r="I13086" t="s">
        <v>31594</v>
      </c>
      <c r="J13086" t="s">
        <v>36920</v>
      </c>
      <c r="K13086" t="s">
        <v>41186</v>
      </c>
      <c r="M13086" t="s">
        <v>42048</v>
      </c>
      <c r="N13086" t="s">
        <v>45095</v>
      </c>
      <c r="O13086" t="s">
        <v>45096</v>
      </c>
      <c r="P13086">
        <v>0</v>
      </c>
      <c r="Q13086">
        <v>25</v>
      </c>
      <c r="R13086" t="s">
        <v>45114</v>
      </c>
      <c r="S13086" t="s">
        <v>45791</v>
      </c>
      <c r="T13086" t="s">
        <v>46938</v>
      </c>
      <c r="U13086" t="s">
        <v>58117</v>
      </c>
      <c r="W13086" t="s">
        <v>42048</v>
      </c>
      <c r="X13086" t="s">
        <v>45115</v>
      </c>
    </row>
    <row r="13087" spans="1:24">
      <c r="A13087">
        <f>HYPERLINK("https://www.philgeps.gov.ph/GEPSNONPILOT/Tender/SplashBidNoticeAbstractUI.aspx?menuIndex=3&amp;refID=7017193&amp;Result=3","7017193")</f>
        <v>0</v>
      </c>
      <c r="B13087" t="s">
        <v>3012</v>
      </c>
      <c r="C13087" t="s">
        <v>15721</v>
      </c>
      <c r="D13087" t="s">
        <v>18071</v>
      </c>
      <c r="E13087" t="s">
        <v>29417</v>
      </c>
      <c r="F13087" t="s">
        <v>31574</v>
      </c>
      <c r="G13087" t="s">
        <v>31582</v>
      </c>
      <c r="H13087" t="s">
        <v>31590</v>
      </c>
      <c r="I13087" t="s">
        <v>31615</v>
      </c>
      <c r="J13087" t="s">
        <v>32120</v>
      </c>
      <c r="K13087" t="s">
        <v>41186</v>
      </c>
      <c r="M13087" t="s">
        <v>44841</v>
      </c>
      <c r="N13087" t="s">
        <v>45095</v>
      </c>
      <c r="O13087" t="s">
        <v>45096</v>
      </c>
      <c r="P13087">
        <v>0</v>
      </c>
      <c r="Q13087">
        <v>3</v>
      </c>
      <c r="R13087" t="s">
        <v>45114</v>
      </c>
      <c r="S13087" t="s">
        <v>45791</v>
      </c>
      <c r="T13087" t="s">
        <v>47021</v>
      </c>
      <c r="U13087" t="s">
        <v>58118</v>
      </c>
      <c r="W13087" t="s">
        <v>44841</v>
      </c>
      <c r="X13087" t="s">
        <v>45115</v>
      </c>
    </row>
    <row r="13088" spans="1:24">
      <c r="A13088">
        <f>HYPERLINK("https://www.philgeps.gov.ph/GEPSNONPILOT/Tender/SplashBidNoticeAbstractUI.aspx?menuIndex=3&amp;refID=7017134&amp;Result=3","7017134")</f>
        <v>0</v>
      </c>
      <c r="B13088" t="s">
        <v>1868</v>
      </c>
      <c r="C13088" t="s">
        <v>15722</v>
      </c>
      <c r="D13088" t="s">
        <v>18079</v>
      </c>
      <c r="E13088" t="s">
        <v>29418</v>
      </c>
      <c r="F13088" t="s">
        <v>31574</v>
      </c>
      <c r="G13088" t="s">
        <v>31582</v>
      </c>
      <c r="H13088" t="s">
        <v>31590</v>
      </c>
      <c r="I13088" t="s">
        <v>31599</v>
      </c>
      <c r="J13088" t="s">
        <v>32049</v>
      </c>
      <c r="K13088" t="s">
        <v>41186</v>
      </c>
      <c r="M13088" t="s">
        <v>43507</v>
      </c>
      <c r="N13088" t="s">
        <v>45095</v>
      </c>
      <c r="O13088" t="s">
        <v>45096</v>
      </c>
      <c r="P13088">
        <v>0</v>
      </c>
      <c r="Q13088">
        <v>0</v>
      </c>
      <c r="R13088" t="s">
        <v>45114</v>
      </c>
      <c r="S13088" t="s">
        <v>45791</v>
      </c>
      <c r="T13088" t="s">
        <v>47183</v>
      </c>
      <c r="U13088" t="s">
        <v>58119</v>
      </c>
      <c r="W13088" t="s">
        <v>43507</v>
      </c>
      <c r="X13088" t="s">
        <v>45115</v>
      </c>
    </row>
    <row r="13089" spans="1:24">
      <c r="A13089">
        <f>HYPERLINK("https://www.philgeps.gov.ph/GEPSNONPILOT/Tender/SplashBidNoticeAbstractUI.aspx?menuIndex=3&amp;refID=7017200&amp;Result=3","7017200")</f>
        <v>0</v>
      </c>
      <c r="B13089" t="s">
        <v>1554</v>
      </c>
      <c r="C13089" t="s">
        <v>15723</v>
      </c>
      <c r="D13089" t="s">
        <v>18056</v>
      </c>
      <c r="E13089" t="s">
        <v>29419</v>
      </c>
      <c r="F13089" t="s">
        <v>31574</v>
      </c>
      <c r="G13089" t="s">
        <v>31582</v>
      </c>
      <c r="H13089" t="s">
        <v>31591</v>
      </c>
      <c r="I13089" t="s">
        <v>8822</v>
      </c>
      <c r="J13089" t="s">
        <v>39788</v>
      </c>
      <c r="K13089" t="s">
        <v>41192</v>
      </c>
      <c r="M13089" t="s">
        <v>44237</v>
      </c>
      <c r="N13089" t="s">
        <v>45095</v>
      </c>
      <c r="O13089" t="s">
        <v>45096</v>
      </c>
      <c r="P13089">
        <v>0</v>
      </c>
      <c r="Q13089">
        <v>1</v>
      </c>
      <c r="R13089" t="s">
        <v>45114</v>
      </c>
      <c r="S13089" t="s">
        <v>45791</v>
      </c>
      <c r="T13089" t="s">
        <v>46979</v>
      </c>
      <c r="U13089" t="s">
        <v>58110</v>
      </c>
      <c r="V13089" t="s">
        <v>61148</v>
      </c>
      <c r="W13089" t="s">
        <v>44237</v>
      </c>
      <c r="X13089" t="s">
        <v>45115</v>
      </c>
    </row>
    <row r="13090" spans="1:24">
      <c r="A13090">
        <f>HYPERLINK("https://www.philgeps.gov.ph/GEPSNONPILOT/Tender/SplashBidNoticeAbstractUI.aspx?menuIndex=3&amp;refID=7017276&amp;Result=3","7017276")</f>
        <v>0</v>
      </c>
      <c r="B13090" t="s">
        <v>1196</v>
      </c>
      <c r="C13090" t="s">
        <v>15724</v>
      </c>
      <c r="D13090" t="s">
        <v>18026</v>
      </c>
      <c r="E13090" t="s">
        <v>29420</v>
      </c>
      <c r="F13090" t="s">
        <v>31574</v>
      </c>
      <c r="G13090" t="s">
        <v>31582</v>
      </c>
      <c r="H13090" t="s">
        <v>31590</v>
      </c>
      <c r="I13090" t="s">
        <v>14544</v>
      </c>
      <c r="J13090" t="s">
        <v>39789</v>
      </c>
      <c r="K13090" t="s">
        <v>41190</v>
      </c>
      <c r="M13090" t="s">
        <v>43471</v>
      </c>
      <c r="N13090" t="s">
        <v>45095</v>
      </c>
      <c r="O13090" t="s">
        <v>45096</v>
      </c>
      <c r="P13090">
        <v>0</v>
      </c>
      <c r="Q13090">
        <v>2</v>
      </c>
      <c r="R13090" t="s">
        <v>45114</v>
      </c>
      <c r="S13090" t="s">
        <v>45791</v>
      </c>
      <c r="T13090" t="s">
        <v>46979</v>
      </c>
      <c r="U13090" t="s">
        <v>58120</v>
      </c>
      <c r="V13090" t="s">
        <v>61293</v>
      </c>
      <c r="W13090" t="s">
        <v>61718</v>
      </c>
      <c r="X13090" t="s">
        <v>45115</v>
      </c>
    </row>
    <row r="13091" spans="1:24">
      <c r="A13091">
        <f>HYPERLINK("https://www.philgeps.gov.ph/GEPSNONPILOT/Tender/SplashBidNoticeAbstractUI.aspx?menuIndex=3&amp;refID=7017254&amp;Result=3","7017254")</f>
        <v>0</v>
      </c>
      <c r="B13091" t="s">
        <v>1196</v>
      </c>
      <c r="C13091" t="s">
        <v>15725</v>
      </c>
      <c r="D13091" t="s">
        <v>18026</v>
      </c>
      <c r="E13091" t="s">
        <v>29421</v>
      </c>
      <c r="F13091" t="s">
        <v>31574</v>
      </c>
      <c r="G13091" t="s">
        <v>31582</v>
      </c>
      <c r="H13091" t="s">
        <v>31590</v>
      </c>
      <c r="I13091" t="s">
        <v>8258</v>
      </c>
      <c r="J13091" t="s">
        <v>39790</v>
      </c>
      <c r="K13091" t="s">
        <v>41190</v>
      </c>
      <c r="M13091" t="s">
        <v>43471</v>
      </c>
      <c r="N13091" t="s">
        <v>45095</v>
      </c>
      <c r="O13091" t="s">
        <v>45096</v>
      </c>
      <c r="P13091">
        <v>0</v>
      </c>
      <c r="Q13091">
        <v>15</v>
      </c>
      <c r="R13091" t="s">
        <v>45114</v>
      </c>
      <c r="S13091" t="s">
        <v>45791</v>
      </c>
      <c r="T13091" t="s">
        <v>46979</v>
      </c>
      <c r="U13091" t="s">
        <v>58120</v>
      </c>
      <c r="V13091" t="s">
        <v>61293</v>
      </c>
      <c r="W13091" t="s">
        <v>61718</v>
      </c>
      <c r="X13091" t="s">
        <v>45115</v>
      </c>
    </row>
    <row r="13092" spans="1:24">
      <c r="A13092">
        <f>HYPERLINK("https://www.philgeps.gov.ph/GEPSNONPILOT/Tender/SplashBidNoticeAbstractUI.aspx?menuIndex=3&amp;refID=7017280&amp;Result=3","7017280")</f>
        <v>0</v>
      </c>
      <c r="B13092" t="s">
        <v>1196</v>
      </c>
      <c r="C13092" t="s">
        <v>15726</v>
      </c>
      <c r="D13092" t="s">
        <v>18026</v>
      </c>
      <c r="E13092" t="s">
        <v>29422</v>
      </c>
      <c r="F13092" t="s">
        <v>31574</v>
      </c>
      <c r="G13092" t="s">
        <v>31582</v>
      </c>
      <c r="H13092" t="s">
        <v>31590</v>
      </c>
      <c r="I13092" t="s">
        <v>31602</v>
      </c>
      <c r="J13092" t="s">
        <v>39791</v>
      </c>
      <c r="K13092" t="s">
        <v>41190</v>
      </c>
      <c r="M13092" t="s">
        <v>43471</v>
      </c>
      <c r="N13092" t="s">
        <v>45095</v>
      </c>
      <c r="O13092" t="s">
        <v>45096</v>
      </c>
      <c r="P13092">
        <v>0</v>
      </c>
      <c r="Q13092">
        <v>0</v>
      </c>
      <c r="R13092" t="s">
        <v>45114</v>
      </c>
      <c r="S13092" t="s">
        <v>45791</v>
      </c>
      <c r="T13092" t="s">
        <v>46979</v>
      </c>
      <c r="U13092" t="s">
        <v>58120</v>
      </c>
      <c r="V13092" t="s">
        <v>61293</v>
      </c>
      <c r="W13092" t="s">
        <v>61718</v>
      </c>
      <c r="X13092" t="s">
        <v>45115</v>
      </c>
    </row>
    <row r="13093" spans="1:24">
      <c r="A13093">
        <f>HYPERLINK("https://www.philgeps.gov.ph/GEPSNONPILOT/Tender/SplashBidNoticeAbstractUI.aspx?menuIndex=3&amp;refID=7017270&amp;Result=3","7017270")</f>
        <v>0</v>
      </c>
      <c r="B13093" t="s">
        <v>1196</v>
      </c>
      <c r="C13093" t="s">
        <v>15727</v>
      </c>
      <c r="D13093" t="s">
        <v>18026</v>
      </c>
      <c r="E13093" t="s">
        <v>29423</v>
      </c>
      <c r="F13093" t="s">
        <v>31574</v>
      </c>
      <c r="G13093" t="s">
        <v>31582</v>
      </c>
      <c r="H13093" t="s">
        <v>31590</v>
      </c>
      <c r="I13093" t="s">
        <v>31615</v>
      </c>
      <c r="J13093" t="s">
        <v>31771</v>
      </c>
      <c r="K13093" t="s">
        <v>41190</v>
      </c>
      <c r="M13093" t="s">
        <v>43471</v>
      </c>
      <c r="N13093" t="s">
        <v>45095</v>
      </c>
      <c r="O13093" t="s">
        <v>45096</v>
      </c>
      <c r="P13093">
        <v>0</v>
      </c>
      <c r="Q13093">
        <v>5</v>
      </c>
      <c r="R13093" t="s">
        <v>45114</v>
      </c>
      <c r="S13093" t="s">
        <v>45791</v>
      </c>
      <c r="T13093" t="s">
        <v>46979</v>
      </c>
      <c r="U13093" t="s">
        <v>58120</v>
      </c>
      <c r="V13093" t="s">
        <v>61293</v>
      </c>
      <c r="W13093" t="s">
        <v>61718</v>
      </c>
      <c r="X13093" t="s">
        <v>45115</v>
      </c>
    </row>
    <row r="13094" spans="1:24">
      <c r="A13094">
        <f>HYPERLINK("https://www.philgeps.gov.ph/GEPSNONPILOT/Tender/SplashBidNoticeAbstractUI.aspx?menuIndex=3&amp;refID=7017309&amp;Result=3","7017309")</f>
        <v>0</v>
      </c>
      <c r="B13094" t="s">
        <v>1196</v>
      </c>
      <c r="C13094" t="s">
        <v>15728</v>
      </c>
      <c r="D13094" t="s">
        <v>18026</v>
      </c>
      <c r="E13094" t="s">
        <v>29424</v>
      </c>
      <c r="F13094" t="s">
        <v>31574</v>
      </c>
      <c r="G13094" t="s">
        <v>31582</v>
      </c>
      <c r="H13094" t="s">
        <v>31590</v>
      </c>
      <c r="I13094" t="s">
        <v>31615</v>
      </c>
      <c r="J13094" t="s">
        <v>34952</v>
      </c>
      <c r="K13094" t="s">
        <v>41190</v>
      </c>
      <c r="M13094" t="s">
        <v>43471</v>
      </c>
      <c r="N13094" t="s">
        <v>45095</v>
      </c>
      <c r="O13094" t="s">
        <v>45096</v>
      </c>
      <c r="Q13094">
        <v>9</v>
      </c>
      <c r="R13094" t="s">
        <v>45114</v>
      </c>
      <c r="S13094" t="s">
        <v>45813</v>
      </c>
      <c r="T13094" t="s">
        <v>46979</v>
      </c>
      <c r="U13094" t="s">
        <v>58120</v>
      </c>
      <c r="V13094" t="s">
        <v>61293</v>
      </c>
      <c r="W13094" t="s">
        <v>61718</v>
      </c>
      <c r="X13094" t="s">
        <v>45115</v>
      </c>
    </row>
    <row r="13095" spans="1:24">
      <c r="A13095">
        <f>HYPERLINK("https://www.philgeps.gov.ph/GEPSNONPILOT/Tender/SplashBidNoticeAbstractUI.aspx?menuIndex=3&amp;refID=7017317&amp;Result=3","7017317")</f>
        <v>0</v>
      </c>
      <c r="B13095" t="s">
        <v>1196</v>
      </c>
      <c r="C13095" t="s">
        <v>15729</v>
      </c>
      <c r="D13095" t="s">
        <v>18026</v>
      </c>
      <c r="E13095" t="s">
        <v>29425</v>
      </c>
      <c r="F13095" t="s">
        <v>31574</v>
      </c>
      <c r="G13095" t="s">
        <v>31582</v>
      </c>
      <c r="H13095" t="s">
        <v>31590</v>
      </c>
      <c r="I13095" t="s">
        <v>31594</v>
      </c>
      <c r="J13095" t="s">
        <v>39792</v>
      </c>
      <c r="K13095" t="s">
        <v>41190</v>
      </c>
      <c r="M13095" t="s">
        <v>43471</v>
      </c>
      <c r="N13095" t="s">
        <v>45095</v>
      </c>
      <c r="O13095" t="s">
        <v>45096</v>
      </c>
      <c r="P13095">
        <v>0</v>
      </c>
      <c r="Q13095">
        <v>14</v>
      </c>
      <c r="R13095" t="s">
        <v>45114</v>
      </c>
      <c r="S13095" t="s">
        <v>45791</v>
      </c>
      <c r="T13095" t="s">
        <v>46979</v>
      </c>
      <c r="U13095" t="s">
        <v>58120</v>
      </c>
      <c r="V13095" t="s">
        <v>61293</v>
      </c>
      <c r="W13095" t="s">
        <v>61718</v>
      </c>
      <c r="X13095" t="s">
        <v>45115</v>
      </c>
    </row>
    <row r="13096" spans="1:24">
      <c r="A13096">
        <f>HYPERLINK("https://www.philgeps.gov.ph/GEPSNONPILOT/Tender/SplashBidNoticeAbstractUI.aspx?menuIndex=3&amp;refID=7017304&amp;Result=3","7017304")</f>
        <v>0</v>
      </c>
      <c r="B13096" t="s">
        <v>1196</v>
      </c>
      <c r="C13096" t="s">
        <v>15730</v>
      </c>
      <c r="D13096" t="s">
        <v>18026</v>
      </c>
      <c r="E13096" t="s">
        <v>29426</v>
      </c>
      <c r="F13096" t="s">
        <v>31574</v>
      </c>
      <c r="G13096" t="s">
        <v>31582</v>
      </c>
      <c r="H13096" t="s">
        <v>31590</v>
      </c>
      <c r="I13096" t="s">
        <v>31704</v>
      </c>
      <c r="J13096" t="s">
        <v>39793</v>
      </c>
      <c r="K13096" t="s">
        <v>41190</v>
      </c>
      <c r="M13096" t="s">
        <v>43471</v>
      </c>
      <c r="N13096" t="s">
        <v>45095</v>
      </c>
      <c r="O13096" t="s">
        <v>45096</v>
      </c>
      <c r="Q13096">
        <v>0</v>
      </c>
      <c r="R13096" t="s">
        <v>45114</v>
      </c>
      <c r="S13096" t="s">
        <v>45814</v>
      </c>
      <c r="T13096" t="s">
        <v>46979</v>
      </c>
      <c r="U13096" t="s">
        <v>58120</v>
      </c>
      <c r="V13096" t="s">
        <v>61293</v>
      </c>
      <c r="W13096" t="s">
        <v>61718</v>
      </c>
      <c r="X13096" t="s">
        <v>45115</v>
      </c>
    </row>
    <row r="13097" spans="1:24">
      <c r="A13097">
        <f>HYPERLINK("https://www.philgeps.gov.ph/GEPSNONPILOT/Tender/SplashBidNoticeAbstractUI.aspx?menuIndex=3&amp;refID=7017284&amp;Result=3","7017284")</f>
        <v>0</v>
      </c>
      <c r="B13097" t="s">
        <v>2743</v>
      </c>
      <c r="C13097" t="s">
        <v>15731</v>
      </c>
      <c r="D13097" t="s">
        <v>18023</v>
      </c>
      <c r="E13097" t="s">
        <v>29427</v>
      </c>
      <c r="F13097" t="s">
        <v>31574</v>
      </c>
      <c r="G13097" t="s">
        <v>31582</v>
      </c>
      <c r="H13097" t="s">
        <v>31590</v>
      </c>
      <c r="I13097" t="s">
        <v>31644</v>
      </c>
      <c r="J13097" t="s">
        <v>39794</v>
      </c>
      <c r="K13097" t="s">
        <v>41184</v>
      </c>
      <c r="M13097" t="s">
        <v>44515</v>
      </c>
      <c r="N13097" t="s">
        <v>45095</v>
      </c>
      <c r="O13097" t="s">
        <v>45096</v>
      </c>
      <c r="P13097">
        <v>0</v>
      </c>
      <c r="Q13097">
        <v>16</v>
      </c>
      <c r="R13097" t="s">
        <v>45114</v>
      </c>
      <c r="S13097" t="s">
        <v>45791</v>
      </c>
      <c r="T13097" t="s">
        <v>46991</v>
      </c>
      <c r="U13097" t="s">
        <v>58121</v>
      </c>
      <c r="W13097" t="s">
        <v>44515</v>
      </c>
      <c r="X13097" t="s">
        <v>45115</v>
      </c>
    </row>
    <row r="13098" spans="1:24">
      <c r="A13098">
        <f>HYPERLINK("https://www.philgeps.gov.ph/GEPSNONPILOT/Tender/SplashBidNoticeAbstractUI.aspx?menuIndex=3&amp;refID=7017217&amp;Result=3","7017217")</f>
        <v>0</v>
      </c>
      <c r="B13098" t="s">
        <v>1868</v>
      </c>
      <c r="C13098" t="s">
        <v>15732</v>
      </c>
      <c r="D13098" t="s">
        <v>18079</v>
      </c>
      <c r="E13098" t="s">
        <v>29428</v>
      </c>
      <c r="F13098" t="s">
        <v>31574</v>
      </c>
      <c r="G13098" t="s">
        <v>31582</v>
      </c>
      <c r="H13098" t="s">
        <v>31590</v>
      </c>
      <c r="I13098" t="s">
        <v>31614</v>
      </c>
      <c r="J13098" t="s">
        <v>32121</v>
      </c>
      <c r="K13098" t="s">
        <v>41186</v>
      </c>
      <c r="M13098" t="s">
        <v>43507</v>
      </c>
      <c r="N13098" t="s">
        <v>45095</v>
      </c>
      <c r="O13098" t="s">
        <v>45096</v>
      </c>
      <c r="P13098">
        <v>0</v>
      </c>
      <c r="Q13098">
        <v>2</v>
      </c>
      <c r="R13098" t="s">
        <v>45114</v>
      </c>
      <c r="S13098" t="s">
        <v>45791</v>
      </c>
      <c r="T13098" t="s">
        <v>47183</v>
      </c>
      <c r="U13098" t="s">
        <v>58122</v>
      </c>
      <c r="W13098" t="s">
        <v>43507</v>
      </c>
      <c r="X13098" t="s">
        <v>45115</v>
      </c>
    </row>
    <row r="13099" spans="1:24">
      <c r="A13099">
        <f>HYPERLINK("https://www.philgeps.gov.ph/GEPSNONPILOT/Tender/SplashBidNoticeAbstractUI.aspx?menuIndex=3&amp;refID=7017324&amp;Result=3","7017324")</f>
        <v>0</v>
      </c>
      <c r="B13099" t="s">
        <v>1196</v>
      </c>
      <c r="C13099" t="s">
        <v>15733</v>
      </c>
      <c r="D13099" t="s">
        <v>18026</v>
      </c>
      <c r="E13099" t="s">
        <v>29429</v>
      </c>
      <c r="F13099" t="s">
        <v>31574</v>
      </c>
      <c r="G13099" t="s">
        <v>31582</v>
      </c>
      <c r="H13099" t="s">
        <v>31590</v>
      </c>
      <c r="I13099" t="s">
        <v>4046</v>
      </c>
      <c r="J13099" t="s">
        <v>39795</v>
      </c>
      <c r="K13099" t="s">
        <v>41190</v>
      </c>
      <c r="M13099" t="s">
        <v>43471</v>
      </c>
      <c r="N13099" t="s">
        <v>45095</v>
      </c>
      <c r="O13099" t="s">
        <v>45096</v>
      </c>
      <c r="P13099">
        <v>0</v>
      </c>
      <c r="Q13099">
        <v>1</v>
      </c>
      <c r="R13099" t="s">
        <v>45114</v>
      </c>
      <c r="S13099" t="s">
        <v>45791</v>
      </c>
      <c r="T13099" t="s">
        <v>46979</v>
      </c>
      <c r="U13099" t="s">
        <v>58120</v>
      </c>
      <c r="V13099" t="s">
        <v>61293</v>
      </c>
      <c r="W13099" t="s">
        <v>61718</v>
      </c>
      <c r="X13099" t="s">
        <v>45115</v>
      </c>
    </row>
    <row r="13100" spans="1:24">
      <c r="A13100">
        <f>HYPERLINK("https://www.philgeps.gov.ph/GEPSNONPILOT/Tender/SplashBidNoticeAbstractUI.aspx?menuIndex=3&amp;refID=7017286&amp;Result=3","7017286")</f>
        <v>0</v>
      </c>
      <c r="B13100" t="s">
        <v>721</v>
      </c>
      <c r="C13100" t="s">
        <v>15734</v>
      </c>
      <c r="D13100" t="s">
        <v>18041</v>
      </c>
      <c r="E13100" t="s">
        <v>29430</v>
      </c>
      <c r="F13100" t="s">
        <v>31574</v>
      </c>
      <c r="G13100" t="s">
        <v>31582</v>
      </c>
      <c r="H13100" t="s">
        <v>31591</v>
      </c>
      <c r="I13100" t="s">
        <v>8822</v>
      </c>
      <c r="J13100" t="s">
        <v>32942</v>
      </c>
      <c r="K13100" t="s">
        <v>41198</v>
      </c>
      <c r="M13100" t="s">
        <v>44436</v>
      </c>
      <c r="N13100" t="s">
        <v>45095</v>
      </c>
      <c r="O13100" t="s">
        <v>45096</v>
      </c>
      <c r="P13100">
        <v>0</v>
      </c>
      <c r="Q13100">
        <v>7</v>
      </c>
      <c r="R13100" t="s">
        <v>45114</v>
      </c>
      <c r="S13100" t="s">
        <v>45791</v>
      </c>
      <c r="T13100" t="s">
        <v>47039</v>
      </c>
      <c r="U13100" t="s">
        <v>58123</v>
      </c>
      <c r="V13100" t="s">
        <v>60892</v>
      </c>
      <c r="W13100" t="s">
        <v>44436</v>
      </c>
      <c r="X13100" t="s">
        <v>45115</v>
      </c>
    </row>
    <row r="13101" spans="1:24">
      <c r="A13101">
        <f>HYPERLINK("https://www.philgeps.gov.ph/GEPSNONPILOT/Tender/SplashBidNoticeAbstractUI.aspx?menuIndex=3&amp;refID=7017294&amp;Result=3","7017294")</f>
        <v>0</v>
      </c>
      <c r="B13101" t="s">
        <v>721</v>
      </c>
      <c r="C13101" t="s">
        <v>15735</v>
      </c>
      <c r="D13101" t="s">
        <v>18041</v>
      </c>
      <c r="E13101" t="s">
        <v>29431</v>
      </c>
      <c r="F13101" t="s">
        <v>31574</v>
      </c>
      <c r="G13101" t="s">
        <v>31582</v>
      </c>
      <c r="H13101" t="s">
        <v>31591</v>
      </c>
      <c r="I13101" t="s">
        <v>8822</v>
      </c>
      <c r="J13101" t="s">
        <v>39796</v>
      </c>
      <c r="K13101" t="s">
        <v>41192</v>
      </c>
      <c r="M13101" t="s">
        <v>44436</v>
      </c>
      <c r="N13101" t="s">
        <v>45095</v>
      </c>
      <c r="O13101" t="s">
        <v>45096</v>
      </c>
      <c r="P13101">
        <v>0</v>
      </c>
      <c r="Q13101">
        <v>3</v>
      </c>
      <c r="R13101" t="s">
        <v>45114</v>
      </c>
      <c r="S13101" t="s">
        <v>45791</v>
      </c>
      <c r="T13101" t="s">
        <v>47039</v>
      </c>
      <c r="U13101" t="s">
        <v>58124</v>
      </c>
      <c r="V13101" t="s">
        <v>60892</v>
      </c>
      <c r="W13101" t="s">
        <v>44436</v>
      </c>
      <c r="X13101" t="s">
        <v>45115</v>
      </c>
    </row>
    <row r="13102" spans="1:24">
      <c r="A13102">
        <f>HYPERLINK("https://www.philgeps.gov.ph/GEPSNONPILOT/Tender/SplashBidNoticeAbstractUI.aspx?menuIndex=3&amp;refID=7017375&amp;Result=3","7017375")</f>
        <v>0</v>
      </c>
      <c r="B13102" t="s">
        <v>1554</v>
      </c>
      <c r="C13102" t="s">
        <v>15736</v>
      </c>
      <c r="D13102" t="s">
        <v>18056</v>
      </c>
      <c r="E13102" t="s">
        <v>29432</v>
      </c>
      <c r="F13102" t="s">
        <v>31574</v>
      </c>
      <c r="G13102" t="s">
        <v>31582</v>
      </c>
      <c r="H13102" t="s">
        <v>31591</v>
      </c>
      <c r="I13102" t="s">
        <v>8822</v>
      </c>
      <c r="J13102" t="s">
        <v>39797</v>
      </c>
      <c r="K13102" t="s">
        <v>41189</v>
      </c>
      <c r="M13102" t="s">
        <v>44237</v>
      </c>
      <c r="N13102" t="s">
        <v>45095</v>
      </c>
      <c r="O13102" t="s">
        <v>45096</v>
      </c>
      <c r="P13102">
        <v>0</v>
      </c>
      <c r="Q13102">
        <v>1</v>
      </c>
      <c r="R13102" t="s">
        <v>45114</v>
      </c>
      <c r="S13102" t="s">
        <v>45791</v>
      </c>
      <c r="T13102" t="s">
        <v>46979</v>
      </c>
      <c r="U13102" t="s">
        <v>58125</v>
      </c>
      <c r="V13102" t="s">
        <v>61148</v>
      </c>
      <c r="W13102" t="s">
        <v>44237</v>
      </c>
      <c r="X13102" t="s">
        <v>45115</v>
      </c>
    </row>
    <row r="13103" spans="1:24">
      <c r="A13103">
        <f>HYPERLINK("https://www.philgeps.gov.ph/GEPSNONPILOT/Tender/SplashBidNoticeAbstractUI.aspx?menuIndex=3&amp;refID=7017360&amp;Result=3","7017360")</f>
        <v>0</v>
      </c>
      <c r="B13103" t="s">
        <v>347</v>
      </c>
      <c r="C13103" t="s">
        <v>15737</v>
      </c>
      <c r="D13103" t="s">
        <v>18058</v>
      </c>
      <c r="E13103" t="s">
        <v>29433</v>
      </c>
      <c r="F13103" t="s">
        <v>31574</v>
      </c>
      <c r="G13103" t="s">
        <v>31582</v>
      </c>
      <c r="H13103" t="s">
        <v>31591</v>
      </c>
      <c r="I13103" t="s">
        <v>8822</v>
      </c>
      <c r="J13103" t="s">
        <v>33507</v>
      </c>
      <c r="K13103" t="s">
        <v>41456</v>
      </c>
      <c r="M13103" t="s">
        <v>41835</v>
      </c>
      <c r="N13103" t="s">
        <v>45095</v>
      </c>
      <c r="O13103" t="s">
        <v>45096</v>
      </c>
      <c r="P13103">
        <v>0</v>
      </c>
      <c r="Q13103">
        <v>2</v>
      </c>
      <c r="R13103" t="s">
        <v>45114</v>
      </c>
      <c r="S13103" t="s">
        <v>45791</v>
      </c>
      <c r="T13103" t="s">
        <v>46955</v>
      </c>
      <c r="U13103" t="s">
        <v>58126</v>
      </c>
      <c r="W13103" t="s">
        <v>41835</v>
      </c>
      <c r="X13103" t="s">
        <v>45115</v>
      </c>
    </row>
    <row r="13104" spans="1:24">
      <c r="A13104">
        <f>HYPERLINK("https://www.philgeps.gov.ph/GEPSNONPILOT/Tender/SplashBidNoticeAbstractUI.aspx?menuIndex=3&amp;refID=7017341&amp;Result=3","7017341")</f>
        <v>0</v>
      </c>
      <c r="B13104" t="s">
        <v>2781</v>
      </c>
      <c r="C13104" t="s">
        <v>13827</v>
      </c>
      <c r="D13104" t="s">
        <v>18033</v>
      </c>
      <c r="E13104" t="s">
        <v>18175</v>
      </c>
      <c r="F13104" t="s">
        <v>31574</v>
      </c>
      <c r="G13104" t="s">
        <v>31582</v>
      </c>
      <c r="H13104" t="s">
        <v>31590</v>
      </c>
      <c r="I13104" t="s">
        <v>4046</v>
      </c>
      <c r="J13104" t="s">
        <v>39798</v>
      </c>
      <c r="K13104" t="s">
        <v>41196</v>
      </c>
      <c r="M13104" t="s">
        <v>44556</v>
      </c>
      <c r="N13104" t="s">
        <v>45095</v>
      </c>
      <c r="O13104" t="s">
        <v>45096</v>
      </c>
      <c r="P13104">
        <v>0</v>
      </c>
      <c r="Q13104">
        <v>1</v>
      </c>
      <c r="R13104" t="s">
        <v>45114</v>
      </c>
      <c r="S13104" t="s">
        <v>45791</v>
      </c>
      <c r="T13104" t="s">
        <v>46918</v>
      </c>
      <c r="U13104" t="s">
        <v>58127</v>
      </c>
      <c r="V13104" t="s">
        <v>61294</v>
      </c>
      <c r="W13104" t="s">
        <v>44556</v>
      </c>
      <c r="X13104" t="s">
        <v>45115</v>
      </c>
    </row>
    <row r="13105" spans="1:24">
      <c r="A13105">
        <f>HYPERLINK("https://www.philgeps.gov.ph/GEPSNONPILOT/Tender/SplashBidNoticeAbstractUI.aspx?menuIndex=3&amp;refID=7017403&amp;Result=3","7017403")</f>
        <v>0</v>
      </c>
      <c r="B13105" t="s">
        <v>1120</v>
      </c>
      <c r="C13105" t="s">
        <v>15738</v>
      </c>
      <c r="E13105" t="s">
        <v>29434</v>
      </c>
      <c r="F13105" t="s">
        <v>31574</v>
      </c>
      <c r="G13105" t="s">
        <v>31581</v>
      </c>
      <c r="H13105" t="s">
        <v>31590</v>
      </c>
      <c r="I13105" t="s">
        <v>31594</v>
      </c>
      <c r="J13105" t="s">
        <v>39799</v>
      </c>
      <c r="K13105" t="s">
        <v>41184</v>
      </c>
      <c r="M13105" t="s">
        <v>42817</v>
      </c>
      <c r="N13105" t="s">
        <v>45095</v>
      </c>
      <c r="O13105" t="s">
        <v>45096</v>
      </c>
      <c r="Q13105">
        <v>11</v>
      </c>
      <c r="R13105" t="s">
        <v>45114</v>
      </c>
      <c r="S13105" t="s">
        <v>45815</v>
      </c>
      <c r="T13105" t="s">
        <v>47176</v>
      </c>
      <c r="U13105" t="s">
        <v>58128</v>
      </c>
      <c r="W13105" t="s">
        <v>42817</v>
      </c>
      <c r="X13105" t="s">
        <v>45115</v>
      </c>
    </row>
    <row r="13106" spans="1:24">
      <c r="A13106">
        <f>HYPERLINK("https://www.philgeps.gov.ph/GEPSNONPILOT/Tender/SplashBidNoticeAbstractUI.aspx?menuIndex=3&amp;refID=7017456&amp;Result=3","7017456")</f>
        <v>0</v>
      </c>
      <c r="B13106" t="s">
        <v>353</v>
      </c>
      <c r="C13106" t="s">
        <v>15739</v>
      </c>
      <c r="D13106" t="s">
        <v>18068</v>
      </c>
      <c r="E13106" t="s">
        <v>29435</v>
      </c>
      <c r="F13106" t="s">
        <v>31574</v>
      </c>
      <c r="G13106" t="s">
        <v>31582</v>
      </c>
      <c r="H13106" t="s">
        <v>31591</v>
      </c>
      <c r="I13106" t="s">
        <v>8822</v>
      </c>
      <c r="J13106" t="s">
        <v>31935</v>
      </c>
      <c r="K13106" t="s">
        <v>41200</v>
      </c>
      <c r="M13106" t="s">
        <v>41842</v>
      </c>
      <c r="N13106" t="s">
        <v>45095</v>
      </c>
      <c r="O13106" t="s">
        <v>45096</v>
      </c>
      <c r="P13106">
        <v>0</v>
      </c>
      <c r="Q13106">
        <v>0</v>
      </c>
      <c r="R13106" t="s">
        <v>45114</v>
      </c>
      <c r="S13106" t="s">
        <v>45791</v>
      </c>
      <c r="T13106" t="s">
        <v>46932</v>
      </c>
      <c r="U13106" t="s">
        <v>58129</v>
      </c>
      <c r="V13106" t="s">
        <v>59923</v>
      </c>
      <c r="W13106" t="s">
        <v>41842</v>
      </c>
      <c r="X13106" t="s">
        <v>45115</v>
      </c>
    </row>
    <row r="13107" spans="1:24">
      <c r="A13107">
        <f>HYPERLINK("https://www.philgeps.gov.ph/GEPSNONPILOT/Tender/SplashBidNoticeAbstractUI.aspx?menuIndex=3&amp;refID=7017411&amp;Result=3","7017411")</f>
        <v>0</v>
      </c>
      <c r="B13107" t="s">
        <v>1592</v>
      </c>
      <c r="C13107" t="s">
        <v>15740</v>
      </c>
      <c r="D13107" t="s">
        <v>18072</v>
      </c>
      <c r="E13107" t="s">
        <v>29436</v>
      </c>
      <c r="F13107" t="s">
        <v>31574</v>
      </c>
      <c r="G13107" t="s">
        <v>31582</v>
      </c>
      <c r="H13107" t="s">
        <v>31591</v>
      </c>
      <c r="I13107" t="s">
        <v>8822</v>
      </c>
      <c r="J13107" t="s">
        <v>37292</v>
      </c>
      <c r="K13107" t="s">
        <v>41265</v>
      </c>
      <c r="M13107" t="s">
        <v>43196</v>
      </c>
      <c r="N13107" t="s">
        <v>45095</v>
      </c>
      <c r="O13107" t="s">
        <v>45096</v>
      </c>
      <c r="P13107">
        <v>0</v>
      </c>
      <c r="Q13107">
        <v>0</v>
      </c>
      <c r="R13107" t="s">
        <v>45114</v>
      </c>
      <c r="S13107" t="s">
        <v>45791</v>
      </c>
      <c r="T13107" t="s">
        <v>47076</v>
      </c>
      <c r="U13107" t="s">
        <v>51461</v>
      </c>
      <c r="W13107" t="s">
        <v>43196</v>
      </c>
      <c r="X13107" t="s">
        <v>45115</v>
      </c>
    </row>
    <row r="13108" spans="1:24">
      <c r="A13108">
        <f>HYPERLINK("https://www.philgeps.gov.ph/GEPSNONPILOT/Tender/SplashBidNoticeAbstractUI.aspx?menuIndex=3&amp;refID=7017443&amp;Result=3","7017443")</f>
        <v>0</v>
      </c>
      <c r="B13108" t="s">
        <v>1592</v>
      </c>
      <c r="C13108" t="s">
        <v>15741</v>
      </c>
      <c r="D13108" t="s">
        <v>18072</v>
      </c>
      <c r="E13108" t="s">
        <v>29437</v>
      </c>
      <c r="F13108" t="s">
        <v>31574</v>
      </c>
      <c r="G13108" t="s">
        <v>31582</v>
      </c>
      <c r="H13108" t="s">
        <v>31590</v>
      </c>
      <c r="I13108" t="s">
        <v>4046</v>
      </c>
      <c r="J13108" t="s">
        <v>39800</v>
      </c>
      <c r="K13108" t="s">
        <v>41186</v>
      </c>
      <c r="M13108" t="s">
        <v>43196</v>
      </c>
      <c r="N13108" t="s">
        <v>45095</v>
      </c>
      <c r="O13108" t="s">
        <v>45096</v>
      </c>
      <c r="P13108">
        <v>0</v>
      </c>
      <c r="Q13108">
        <v>2</v>
      </c>
      <c r="R13108" t="s">
        <v>45114</v>
      </c>
      <c r="S13108" t="s">
        <v>45791</v>
      </c>
      <c r="T13108" t="s">
        <v>47076</v>
      </c>
      <c r="U13108" t="s">
        <v>51461</v>
      </c>
      <c r="W13108" t="s">
        <v>43196</v>
      </c>
      <c r="X13108" t="s">
        <v>45115</v>
      </c>
    </row>
    <row r="13109" spans="1:24">
      <c r="A13109">
        <f>HYPERLINK("https://www.philgeps.gov.ph/GEPSNONPILOT/Tender/SplashBidNoticeAbstractUI.aspx?menuIndex=3&amp;refID=7017361&amp;Result=3","7017361")</f>
        <v>0</v>
      </c>
      <c r="B13109" t="s">
        <v>1713</v>
      </c>
      <c r="C13109" t="s">
        <v>15742</v>
      </c>
      <c r="D13109" t="s">
        <v>18053</v>
      </c>
      <c r="E13109" t="s">
        <v>29438</v>
      </c>
      <c r="F13109" t="s">
        <v>31574</v>
      </c>
      <c r="G13109" t="s">
        <v>31582</v>
      </c>
      <c r="H13109" t="s">
        <v>31590</v>
      </c>
      <c r="I13109" t="s">
        <v>31631</v>
      </c>
      <c r="J13109" t="s">
        <v>39801</v>
      </c>
      <c r="K13109" t="s">
        <v>41196</v>
      </c>
      <c r="M13109" t="s">
        <v>43329</v>
      </c>
      <c r="N13109" t="s">
        <v>45095</v>
      </c>
      <c r="O13109" t="s">
        <v>45096</v>
      </c>
      <c r="P13109">
        <v>0</v>
      </c>
      <c r="Q13109">
        <v>0</v>
      </c>
      <c r="R13109" t="s">
        <v>45114</v>
      </c>
      <c r="S13109" t="s">
        <v>45791</v>
      </c>
      <c r="T13109" t="s">
        <v>46985</v>
      </c>
      <c r="U13109" t="s">
        <v>58130</v>
      </c>
      <c r="W13109" t="s">
        <v>43329</v>
      </c>
      <c r="X13109" t="s">
        <v>45115</v>
      </c>
    </row>
    <row r="13110" spans="1:24">
      <c r="A13110">
        <f>HYPERLINK("https://www.philgeps.gov.ph/GEPSNONPILOT/Tender/SplashBidNoticeAbstractUI.aspx?menuIndex=3&amp;refID=7017445&amp;Result=3","7017445")</f>
        <v>0</v>
      </c>
      <c r="B13110" t="s">
        <v>136</v>
      </c>
      <c r="C13110" t="s">
        <v>15743</v>
      </c>
      <c r="D13110" t="s">
        <v>18071</v>
      </c>
      <c r="E13110" t="s">
        <v>29439</v>
      </c>
      <c r="F13110" t="s">
        <v>31574</v>
      </c>
      <c r="G13110" t="s">
        <v>31582</v>
      </c>
      <c r="H13110" t="s">
        <v>31590</v>
      </c>
      <c r="I13110" t="s">
        <v>31615</v>
      </c>
      <c r="J13110" t="s">
        <v>37315</v>
      </c>
      <c r="K13110" t="s">
        <v>41193</v>
      </c>
      <c r="M13110" t="s">
        <v>41620</v>
      </c>
      <c r="N13110" t="s">
        <v>45095</v>
      </c>
      <c r="O13110" t="s">
        <v>45096</v>
      </c>
      <c r="P13110">
        <v>0</v>
      </c>
      <c r="Q13110">
        <v>5</v>
      </c>
      <c r="R13110" t="s">
        <v>45114</v>
      </c>
      <c r="S13110" t="s">
        <v>45791</v>
      </c>
      <c r="T13110" t="s">
        <v>46910</v>
      </c>
      <c r="U13110" t="s">
        <v>58131</v>
      </c>
      <c r="W13110" t="s">
        <v>41620</v>
      </c>
      <c r="X13110" t="s">
        <v>45115</v>
      </c>
    </row>
    <row r="13111" spans="1:24">
      <c r="A13111">
        <f>HYPERLINK("https://www.philgeps.gov.ph/GEPSNONPILOT/Tender/SplashBidNoticeAbstractUI.aspx?menuIndex=3&amp;refID=7017436&amp;Result=3","7017436")</f>
        <v>0</v>
      </c>
      <c r="B13111" t="s">
        <v>1554</v>
      </c>
      <c r="C13111" t="s">
        <v>15744</v>
      </c>
      <c r="D13111" t="s">
        <v>18056</v>
      </c>
      <c r="E13111" t="s">
        <v>29440</v>
      </c>
      <c r="F13111" t="s">
        <v>31574</v>
      </c>
      <c r="G13111" t="s">
        <v>31582</v>
      </c>
      <c r="H13111" t="s">
        <v>31591</v>
      </c>
      <c r="I13111" t="s">
        <v>8822</v>
      </c>
      <c r="J13111" t="s">
        <v>39802</v>
      </c>
      <c r="K13111" t="s">
        <v>41189</v>
      </c>
      <c r="M13111" t="s">
        <v>44237</v>
      </c>
      <c r="N13111" t="s">
        <v>45095</v>
      </c>
      <c r="O13111" t="s">
        <v>45096</v>
      </c>
      <c r="P13111">
        <v>0</v>
      </c>
      <c r="Q13111">
        <v>0</v>
      </c>
      <c r="R13111" t="s">
        <v>45114</v>
      </c>
      <c r="S13111" t="s">
        <v>45791</v>
      </c>
      <c r="T13111" t="s">
        <v>46979</v>
      </c>
      <c r="U13111" t="s">
        <v>58132</v>
      </c>
      <c r="V13111" t="s">
        <v>61148</v>
      </c>
      <c r="W13111" t="s">
        <v>44237</v>
      </c>
      <c r="X13111" t="s">
        <v>45115</v>
      </c>
    </row>
    <row r="13112" spans="1:24">
      <c r="A13112">
        <f>HYPERLINK("https://www.philgeps.gov.ph/GEPSNONPILOT/Tender/SplashBidNoticeAbstractUI.aspx?menuIndex=3&amp;refID=7017410&amp;Result=3","7017410")</f>
        <v>0</v>
      </c>
      <c r="B13112" t="s">
        <v>1554</v>
      </c>
      <c r="C13112" t="s">
        <v>15745</v>
      </c>
      <c r="D13112" t="s">
        <v>18056</v>
      </c>
      <c r="E13112" t="s">
        <v>29441</v>
      </c>
      <c r="F13112" t="s">
        <v>31574</v>
      </c>
      <c r="G13112" t="s">
        <v>31582</v>
      </c>
      <c r="H13112" t="s">
        <v>31591</v>
      </c>
      <c r="I13112" t="s">
        <v>8822</v>
      </c>
      <c r="J13112" t="s">
        <v>39803</v>
      </c>
      <c r="K13112" t="s">
        <v>41263</v>
      </c>
      <c r="M13112" t="s">
        <v>44237</v>
      </c>
      <c r="N13112" t="s">
        <v>45095</v>
      </c>
      <c r="O13112" t="s">
        <v>45096</v>
      </c>
      <c r="P13112">
        <v>0</v>
      </c>
      <c r="Q13112">
        <v>1</v>
      </c>
      <c r="R13112" t="s">
        <v>45114</v>
      </c>
      <c r="S13112" t="s">
        <v>45791</v>
      </c>
      <c r="T13112" t="s">
        <v>46979</v>
      </c>
      <c r="U13112" t="s">
        <v>58133</v>
      </c>
      <c r="V13112" t="s">
        <v>61148</v>
      </c>
      <c r="W13112" t="s">
        <v>44237</v>
      </c>
      <c r="X13112" t="s">
        <v>45115</v>
      </c>
    </row>
    <row r="13113" spans="1:24">
      <c r="A13113">
        <f>HYPERLINK("https://www.philgeps.gov.ph/GEPSNONPILOT/Tender/SplashBidNoticeAbstractUI.aspx?menuIndex=3&amp;refID=7017451&amp;Result=3","7017451")</f>
        <v>0</v>
      </c>
      <c r="B13113" t="s">
        <v>1554</v>
      </c>
      <c r="C13113" t="s">
        <v>15746</v>
      </c>
      <c r="D13113" t="s">
        <v>18056</v>
      </c>
      <c r="E13113" t="s">
        <v>29442</v>
      </c>
      <c r="F13113" t="s">
        <v>31574</v>
      </c>
      <c r="G13113" t="s">
        <v>31582</v>
      </c>
      <c r="H13113" t="s">
        <v>31591</v>
      </c>
      <c r="I13113" t="s">
        <v>8822</v>
      </c>
      <c r="J13113" t="s">
        <v>39804</v>
      </c>
      <c r="K13113" t="s">
        <v>41189</v>
      </c>
      <c r="M13113" t="s">
        <v>44237</v>
      </c>
      <c r="N13113" t="s">
        <v>45095</v>
      </c>
      <c r="O13113" t="s">
        <v>45096</v>
      </c>
      <c r="P13113">
        <v>0</v>
      </c>
      <c r="Q13113">
        <v>0</v>
      </c>
      <c r="R13113" t="s">
        <v>45114</v>
      </c>
      <c r="S13113" t="s">
        <v>45791</v>
      </c>
      <c r="T13113" t="s">
        <v>46979</v>
      </c>
      <c r="U13113" t="s">
        <v>58132</v>
      </c>
      <c r="V13113" t="s">
        <v>61148</v>
      </c>
      <c r="W13113" t="s">
        <v>44237</v>
      </c>
      <c r="X13113" t="s">
        <v>45115</v>
      </c>
    </row>
    <row r="13114" spans="1:24">
      <c r="A13114">
        <f>HYPERLINK("https://www.philgeps.gov.ph/GEPSNONPILOT/Tender/SplashBidNoticeAbstractUI.aspx?menuIndex=3&amp;refID=7017441&amp;Result=3","7017441")</f>
        <v>0</v>
      </c>
      <c r="B13114" t="s">
        <v>439</v>
      </c>
      <c r="C13114" t="s">
        <v>15747</v>
      </c>
      <c r="D13114" t="s">
        <v>18046</v>
      </c>
      <c r="E13114" t="s">
        <v>29443</v>
      </c>
      <c r="F13114" t="s">
        <v>31574</v>
      </c>
      <c r="G13114" t="s">
        <v>31582</v>
      </c>
      <c r="H13114" t="s">
        <v>31590</v>
      </c>
      <c r="I13114" t="s">
        <v>31600</v>
      </c>
      <c r="J13114" t="s">
        <v>39805</v>
      </c>
      <c r="K13114" t="s">
        <v>41184</v>
      </c>
      <c r="M13114" t="s">
        <v>41932</v>
      </c>
      <c r="N13114" t="s">
        <v>45095</v>
      </c>
      <c r="O13114" t="s">
        <v>45096</v>
      </c>
      <c r="P13114">
        <v>0</v>
      </c>
      <c r="Q13114">
        <v>3</v>
      </c>
      <c r="R13114" t="s">
        <v>45114</v>
      </c>
      <c r="S13114" t="s">
        <v>45791</v>
      </c>
      <c r="T13114" t="s">
        <v>46938</v>
      </c>
      <c r="U13114" t="s">
        <v>58134</v>
      </c>
      <c r="W13114" t="s">
        <v>41932</v>
      </c>
      <c r="X13114" t="s">
        <v>45115</v>
      </c>
    </row>
    <row r="13115" spans="1:24">
      <c r="A13115">
        <f>HYPERLINK("https://www.philgeps.gov.ph/GEPSNONPILOT/Tender/SplashBidNoticeAbstractUI.aspx?menuIndex=3&amp;refID=7017478&amp;Result=3","7017478")</f>
        <v>0</v>
      </c>
      <c r="B13115" t="s">
        <v>359</v>
      </c>
      <c r="C13115" t="s">
        <v>15748</v>
      </c>
      <c r="D13115" t="s">
        <v>18025</v>
      </c>
      <c r="E13115" t="s">
        <v>29444</v>
      </c>
      <c r="F13115" t="s">
        <v>31574</v>
      </c>
      <c r="G13115" t="s">
        <v>31582</v>
      </c>
      <c r="H13115" t="s">
        <v>31591</v>
      </c>
      <c r="I13115" t="s">
        <v>8822</v>
      </c>
      <c r="J13115" t="s">
        <v>33507</v>
      </c>
      <c r="K13115" t="s">
        <v>41246</v>
      </c>
      <c r="M13115" t="s">
        <v>41849</v>
      </c>
      <c r="N13115" t="s">
        <v>45095</v>
      </c>
      <c r="O13115" t="s">
        <v>45096</v>
      </c>
      <c r="P13115">
        <v>0</v>
      </c>
      <c r="Q13115">
        <v>2</v>
      </c>
      <c r="R13115" t="s">
        <v>45114</v>
      </c>
      <c r="S13115" t="s">
        <v>45791</v>
      </c>
      <c r="T13115" t="s">
        <v>46935</v>
      </c>
      <c r="U13115" t="s">
        <v>58135</v>
      </c>
      <c r="W13115" t="s">
        <v>41849</v>
      </c>
      <c r="X13115" t="s">
        <v>45115</v>
      </c>
    </row>
    <row r="13116" spans="1:24">
      <c r="A13116">
        <f>HYPERLINK("https://www.philgeps.gov.ph/GEPSNONPILOT/Tender/SplashBidNoticeAbstractUI.aspx?menuIndex=3&amp;refID=7017423&amp;Result=3","7017423")</f>
        <v>0</v>
      </c>
      <c r="B13116" t="s">
        <v>1554</v>
      </c>
      <c r="C13116" t="s">
        <v>15749</v>
      </c>
      <c r="D13116" t="s">
        <v>18056</v>
      </c>
      <c r="E13116" t="s">
        <v>29445</v>
      </c>
      <c r="F13116" t="s">
        <v>31574</v>
      </c>
      <c r="G13116" t="s">
        <v>31582</v>
      </c>
      <c r="H13116" t="s">
        <v>31591</v>
      </c>
      <c r="I13116" t="s">
        <v>8822</v>
      </c>
      <c r="J13116" t="s">
        <v>39806</v>
      </c>
      <c r="K13116" t="s">
        <v>41189</v>
      </c>
      <c r="M13116" t="s">
        <v>44237</v>
      </c>
      <c r="N13116" t="s">
        <v>45095</v>
      </c>
      <c r="O13116" t="s">
        <v>45096</v>
      </c>
      <c r="P13116">
        <v>0</v>
      </c>
      <c r="Q13116">
        <v>1</v>
      </c>
      <c r="R13116" t="s">
        <v>45114</v>
      </c>
      <c r="S13116" t="s">
        <v>45791</v>
      </c>
      <c r="T13116" t="s">
        <v>46979</v>
      </c>
      <c r="U13116" t="s">
        <v>58132</v>
      </c>
      <c r="V13116" t="s">
        <v>61148</v>
      </c>
      <c r="W13116" t="s">
        <v>44237</v>
      </c>
      <c r="X13116" t="s">
        <v>45115</v>
      </c>
    </row>
    <row r="13117" spans="1:24">
      <c r="A13117">
        <f>HYPERLINK("https://www.philgeps.gov.ph/GEPSNONPILOT/Tender/SplashBidNoticeAbstractUI.aspx?menuIndex=3&amp;refID=7017414&amp;Result=3","7017414")</f>
        <v>0</v>
      </c>
      <c r="B13117" t="s">
        <v>1482</v>
      </c>
      <c r="C13117" t="s">
        <v>15750</v>
      </c>
      <c r="D13117" t="s">
        <v>18037</v>
      </c>
      <c r="E13117" t="s">
        <v>29446</v>
      </c>
      <c r="F13117" t="s">
        <v>31574</v>
      </c>
      <c r="G13117" t="s">
        <v>31582</v>
      </c>
      <c r="H13117" t="s">
        <v>31590</v>
      </c>
      <c r="I13117" t="s">
        <v>31608</v>
      </c>
      <c r="J13117" t="s">
        <v>32510</v>
      </c>
      <c r="K13117" t="s">
        <v>41186</v>
      </c>
      <c r="M13117" t="s">
        <v>43067</v>
      </c>
      <c r="N13117" t="s">
        <v>45095</v>
      </c>
      <c r="O13117" t="s">
        <v>45096</v>
      </c>
      <c r="P13117">
        <v>0</v>
      </c>
      <c r="Q13117">
        <v>14</v>
      </c>
      <c r="R13117" t="s">
        <v>45114</v>
      </c>
      <c r="S13117" t="s">
        <v>45791</v>
      </c>
      <c r="T13117" t="s">
        <v>46926</v>
      </c>
      <c r="U13117" t="s">
        <v>51078</v>
      </c>
      <c r="W13117" t="s">
        <v>43067</v>
      </c>
      <c r="X13117" t="s">
        <v>45115</v>
      </c>
    </row>
    <row r="13118" spans="1:24">
      <c r="A13118">
        <f>HYPERLINK("https://www.philgeps.gov.ph/GEPSNONPILOT/Tender/SplashBidNoticeAbstractUI.aspx?menuIndex=3&amp;refID=7017481&amp;Result=3","7017481")</f>
        <v>0</v>
      </c>
      <c r="B13118" t="s">
        <v>353</v>
      </c>
      <c r="C13118" t="s">
        <v>15751</v>
      </c>
      <c r="D13118" t="s">
        <v>18068</v>
      </c>
      <c r="E13118" t="s">
        <v>29447</v>
      </c>
      <c r="F13118" t="s">
        <v>31574</v>
      </c>
      <c r="G13118" t="s">
        <v>31582</v>
      </c>
      <c r="H13118" t="s">
        <v>31591</v>
      </c>
      <c r="I13118" t="s">
        <v>8822</v>
      </c>
      <c r="J13118" t="s">
        <v>39807</v>
      </c>
      <c r="K13118" t="s">
        <v>41189</v>
      </c>
      <c r="M13118" t="s">
        <v>41842</v>
      </c>
      <c r="N13118" t="s">
        <v>45095</v>
      </c>
      <c r="O13118" t="s">
        <v>45096</v>
      </c>
      <c r="P13118">
        <v>0</v>
      </c>
      <c r="Q13118">
        <v>0</v>
      </c>
      <c r="R13118" t="s">
        <v>45114</v>
      </c>
      <c r="S13118" t="s">
        <v>45791</v>
      </c>
      <c r="T13118" t="s">
        <v>46932</v>
      </c>
      <c r="U13118" t="s">
        <v>58136</v>
      </c>
      <c r="V13118" t="s">
        <v>59923</v>
      </c>
      <c r="W13118" t="s">
        <v>41842</v>
      </c>
      <c r="X13118" t="s">
        <v>45115</v>
      </c>
    </row>
    <row r="13119" spans="1:24">
      <c r="A13119">
        <f>HYPERLINK("https://www.philgeps.gov.ph/GEPSNONPILOT/Tender/SplashBidNoticeAbstractUI.aspx?menuIndex=3&amp;refID=7017421&amp;Result=3","7017421")</f>
        <v>0</v>
      </c>
      <c r="B13119" t="s">
        <v>3009</v>
      </c>
      <c r="C13119" t="s">
        <v>15752</v>
      </c>
      <c r="D13119" t="s">
        <v>18037</v>
      </c>
      <c r="E13119" t="s">
        <v>29448</v>
      </c>
      <c r="F13119" t="s">
        <v>31574</v>
      </c>
      <c r="G13119" t="s">
        <v>31582</v>
      </c>
      <c r="H13119" t="s">
        <v>31591</v>
      </c>
      <c r="I13119" t="s">
        <v>8822</v>
      </c>
      <c r="J13119" t="s">
        <v>31964</v>
      </c>
      <c r="K13119" t="s">
        <v>41200</v>
      </c>
      <c r="M13119" t="s">
        <v>44838</v>
      </c>
      <c r="N13119" t="s">
        <v>45095</v>
      </c>
      <c r="O13119" t="s">
        <v>45096</v>
      </c>
      <c r="P13119">
        <v>0</v>
      </c>
      <c r="Q13119">
        <v>0</v>
      </c>
      <c r="R13119" t="s">
        <v>45114</v>
      </c>
      <c r="S13119" t="s">
        <v>45791</v>
      </c>
      <c r="T13119" t="s">
        <v>47183</v>
      </c>
      <c r="U13119" t="s">
        <v>58137</v>
      </c>
      <c r="W13119" t="s">
        <v>44838</v>
      </c>
      <c r="X13119" t="s">
        <v>45115</v>
      </c>
    </row>
    <row r="13120" spans="1:24">
      <c r="A13120">
        <f>HYPERLINK("https://www.philgeps.gov.ph/GEPSNONPILOT/Tender/SplashBidNoticeAbstractUI.aspx?menuIndex=3&amp;refID=7017465&amp;Result=3","7017465")</f>
        <v>0</v>
      </c>
      <c r="B13120" t="s">
        <v>1554</v>
      </c>
      <c r="C13120" t="s">
        <v>15753</v>
      </c>
      <c r="D13120" t="s">
        <v>18056</v>
      </c>
      <c r="E13120" t="s">
        <v>29449</v>
      </c>
      <c r="F13120" t="s">
        <v>31574</v>
      </c>
      <c r="G13120" t="s">
        <v>31582</v>
      </c>
      <c r="H13120" t="s">
        <v>31591</v>
      </c>
      <c r="I13120" t="s">
        <v>8822</v>
      </c>
      <c r="J13120" t="s">
        <v>39808</v>
      </c>
      <c r="K13120" t="s">
        <v>41192</v>
      </c>
      <c r="M13120" t="s">
        <v>44237</v>
      </c>
      <c r="N13120" t="s">
        <v>45095</v>
      </c>
      <c r="O13120" t="s">
        <v>45096</v>
      </c>
      <c r="P13120">
        <v>0</v>
      </c>
      <c r="Q13120">
        <v>0</v>
      </c>
      <c r="R13120" t="s">
        <v>45114</v>
      </c>
      <c r="S13120" t="s">
        <v>45791</v>
      </c>
      <c r="T13120" t="s">
        <v>46979</v>
      </c>
      <c r="U13120" t="s">
        <v>58132</v>
      </c>
      <c r="V13120" t="s">
        <v>61148</v>
      </c>
      <c r="W13120" t="s">
        <v>44237</v>
      </c>
      <c r="X13120" t="s">
        <v>45115</v>
      </c>
    </row>
    <row r="13121" spans="1:24">
      <c r="A13121">
        <f>HYPERLINK("https://www.philgeps.gov.ph/GEPSNONPILOT/Tender/SplashBidNoticeAbstractUI.aspx?menuIndex=3&amp;refID=7017484&amp;Result=3","7017484")</f>
        <v>0</v>
      </c>
      <c r="B13121" t="s">
        <v>2489</v>
      </c>
      <c r="C13121" t="s">
        <v>15754</v>
      </c>
      <c r="D13121" t="s">
        <v>18055</v>
      </c>
      <c r="E13121" t="s">
        <v>29450</v>
      </c>
      <c r="F13121" t="s">
        <v>31574</v>
      </c>
      <c r="G13121" t="s">
        <v>31582</v>
      </c>
      <c r="H13121" t="s">
        <v>31591</v>
      </c>
      <c r="I13121" t="s">
        <v>8822</v>
      </c>
      <c r="J13121" t="s">
        <v>39809</v>
      </c>
      <c r="K13121" t="s">
        <v>41247</v>
      </c>
      <c r="L13121" t="s">
        <v>2489</v>
      </c>
      <c r="M13121" t="s">
        <v>44220</v>
      </c>
      <c r="N13121" t="s">
        <v>45095</v>
      </c>
      <c r="O13121" t="s">
        <v>45096</v>
      </c>
      <c r="P13121">
        <v>0</v>
      </c>
      <c r="Q13121">
        <v>17</v>
      </c>
      <c r="R13121" t="s">
        <v>45114</v>
      </c>
      <c r="S13121" t="s">
        <v>45791</v>
      </c>
      <c r="T13121" t="s">
        <v>46926</v>
      </c>
      <c r="U13121" t="s">
        <v>58138</v>
      </c>
      <c r="W13121" t="s">
        <v>44220</v>
      </c>
      <c r="X13121" t="s">
        <v>45115</v>
      </c>
    </row>
    <row r="13122" spans="1:24">
      <c r="A13122">
        <f>HYPERLINK("https://www.philgeps.gov.ph/GEPSNONPILOT/Tender/SplashBidNoticeAbstractUI.aspx?menuIndex=3&amp;refID=7017496&amp;Result=3","7017496")</f>
        <v>0</v>
      </c>
      <c r="B13122" t="s">
        <v>2248</v>
      </c>
      <c r="C13122" t="s">
        <v>15755</v>
      </c>
      <c r="D13122" t="s">
        <v>18078</v>
      </c>
      <c r="E13122" t="s">
        <v>29319</v>
      </c>
      <c r="F13122" t="s">
        <v>31574</v>
      </c>
      <c r="G13122" t="s">
        <v>31582</v>
      </c>
      <c r="H13122" t="s">
        <v>31590</v>
      </c>
      <c r="I13122" t="s">
        <v>31614</v>
      </c>
      <c r="J13122" t="s">
        <v>31935</v>
      </c>
      <c r="K13122" t="s">
        <v>41186</v>
      </c>
      <c r="M13122" t="s">
        <v>43946</v>
      </c>
      <c r="N13122" t="s">
        <v>45095</v>
      </c>
      <c r="O13122" t="s">
        <v>45096</v>
      </c>
      <c r="P13122">
        <v>0</v>
      </c>
      <c r="Q13122">
        <v>6</v>
      </c>
      <c r="R13122" t="s">
        <v>45114</v>
      </c>
      <c r="S13122" t="s">
        <v>45791</v>
      </c>
      <c r="T13122" t="s">
        <v>46926</v>
      </c>
      <c r="U13122" t="s">
        <v>58139</v>
      </c>
      <c r="W13122" t="s">
        <v>43946</v>
      </c>
      <c r="X13122" t="s">
        <v>45115</v>
      </c>
    </row>
    <row r="13123" spans="1:24">
      <c r="A13123">
        <f>HYPERLINK("https://www.philgeps.gov.ph/GEPSNONPILOT/Tender/SplashBidNoticeAbstractUI.aspx?menuIndex=3&amp;refID=7017606&amp;Result=3","7017606")</f>
        <v>0</v>
      </c>
      <c r="B13123" t="s">
        <v>1554</v>
      </c>
      <c r="C13123" t="s">
        <v>15756</v>
      </c>
      <c r="D13123" t="s">
        <v>18056</v>
      </c>
      <c r="E13123" t="s">
        <v>29451</v>
      </c>
      <c r="F13123" t="s">
        <v>31574</v>
      </c>
      <c r="G13123" t="s">
        <v>31582</v>
      </c>
      <c r="H13123" t="s">
        <v>31591</v>
      </c>
      <c r="I13123" t="s">
        <v>8822</v>
      </c>
      <c r="J13123" t="s">
        <v>39810</v>
      </c>
      <c r="K13123" t="s">
        <v>41189</v>
      </c>
      <c r="M13123" t="s">
        <v>44237</v>
      </c>
      <c r="N13123" t="s">
        <v>45095</v>
      </c>
      <c r="O13123" t="s">
        <v>45096</v>
      </c>
      <c r="P13123">
        <v>0</v>
      </c>
      <c r="Q13123">
        <v>0</v>
      </c>
      <c r="R13123" t="s">
        <v>45114</v>
      </c>
      <c r="S13123" t="s">
        <v>45791</v>
      </c>
      <c r="T13123" t="s">
        <v>46979</v>
      </c>
      <c r="U13123" t="s">
        <v>58132</v>
      </c>
      <c r="V13123" t="s">
        <v>61148</v>
      </c>
      <c r="W13123" t="s">
        <v>44237</v>
      </c>
      <c r="X13123" t="s">
        <v>45115</v>
      </c>
    </row>
    <row r="13124" spans="1:24">
      <c r="A13124">
        <f>HYPERLINK("https://www.philgeps.gov.ph/GEPSNONPILOT/Tender/SplashBidNoticeAbstractUI.aspx?menuIndex=3&amp;refID=7017497&amp;Result=3","7017497")</f>
        <v>0</v>
      </c>
      <c r="B13124" t="s">
        <v>353</v>
      </c>
      <c r="C13124" t="s">
        <v>15757</v>
      </c>
      <c r="D13124" t="s">
        <v>18068</v>
      </c>
      <c r="E13124" t="s">
        <v>29452</v>
      </c>
      <c r="F13124" t="s">
        <v>31574</v>
      </c>
      <c r="G13124" t="s">
        <v>31582</v>
      </c>
      <c r="H13124" t="s">
        <v>31591</v>
      </c>
      <c r="I13124" t="s">
        <v>8822</v>
      </c>
      <c r="J13124" t="s">
        <v>31947</v>
      </c>
      <c r="K13124" t="s">
        <v>41189</v>
      </c>
      <c r="M13124" t="s">
        <v>41842</v>
      </c>
      <c r="N13124" t="s">
        <v>45095</v>
      </c>
      <c r="O13124" t="s">
        <v>45096</v>
      </c>
      <c r="P13124">
        <v>0</v>
      </c>
      <c r="Q13124">
        <v>0</v>
      </c>
      <c r="R13124" t="s">
        <v>45114</v>
      </c>
      <c r="S13124" t="s">
        <v>45791</v>
      </c>
      <c r="T13124" t="s">
        <v>46932</v>
      </c>
      <c r="U13124" t="s">
        <v>58140</v>
      </c>
      <c r="V13124" t="s">
        <v>59927</v>
      </c>
      <c r="W13124" t="s">
        <v>41842</v>
      </c>
      <c r="X13124" t="s">
        <v>45115</v>
      </c>
    </row>
    <row r="13125" spans="1:24">
      <c r="A13125">
        <f>HYPERLINK("https://www.philgeps.gov.ph/GEPSNONPILOT/Tender/SplashBidNoticeAbstractUI.aspx?menuIndex=3&amp;refID=7017520&amp;Result=3","7017520")</f>
        <v>0</v>
      </c>
      <c r="B13125" t="s">
        <v>353</v>
      </c>
      <c r="C13125" t="s">
        <v>15758</v>
      </c>
      <c r="D13125" t="s">
        <v>18068</v>
      </c>
      <c r="E13125" t="s">
        <v>29453</v>
      </c>
      <c r="F13125" t="s">
        <v>31574</v>
      </c>
      <c r="G13125" t="s">
        <v>31582</v>
      </c>
      <c r="H13125" t="s">
        <v>31591</v>
      </c>
      <c r="I13125" t="s">
        <v>8822</v>
      </c>
      <c r="J13125" t="s">
        <v>31947</v>
      </c>
      <c r="K13125" t="s">
        <v>41189</v>
      </c>
      <c r="M13125" t="s">
        <v>41842</v>
      </c>
      <c r="N13125" t="s">
        <v>45095</v>
      </c>
      <c r="O13125" t="s">
        <v>45096</v>
      </c>
      <c r="P13125">
        <v>0</v>
      </c>
      <c r="Q13125">
        <v>0</v>
      </c>
      <c r="R13125" t="s">
        <v>45114</v>
      </c>
      <c r="S13125" t="s">
        <v>45791</v>
      </c>
      <c r="T13125" t="s">
        <v>46932</v>
      </c>
      <c r="U13125" t="s">
        <v>58105</v>
      </c>
      <c r="V13125" t="s">
        <v>59923</v>
      </c>
      <c r="W13125" t="s">
        <v>41842</v>
      </c>
      <c r="X13125" t="s">
        <v>45115</v>
      </c>
    </row>
    <row r="13126" spans="1:24">
      <c r="A13126">
        <f>HYPERLINK("https://www.philgeps.gov.ph/GEPSNONPILOT/Tender/SplashBidNoticeAbstractUI.aspx?menuIndex=3&amp;refID=7017548&amp;Result=3","7017548")</f>
        <v>0</v>
      </c>
      <c r="B13126" t="s">
        <v>2463</v>
      </c>
      <c r="C13126" t="s">
        <v>15759</v>
      </c>
      <c r="D13126" t="s">
        <v>18033</v>
      </c>
      <c r="E13126" t="s">
        <v>29454</v>
      </c>
      <c r="F13126" t="s">
        <v>31574</v>
      </c>
      <c r="G13126" t="s">
        <v>31582</v>
      </c>
      <c r="H13126" t="s">
        <v>31591</v>
      </c>
      <c r="I13126" t="s">
        <v>8822</v>
      </c>
      <c r="J13126" t="s">
        <v>32026</v>
      </c>
      <c r="K13126" t="s">
        <v>41244</v>
      </c>
      <c r="M13126" t="s">
        <v>44192</v>
      </c>
      <c r="N13126" t="s">
        <v>45095</v>
      </c>
      <c r="O13126" t="s">
        <v>45096</v>
      </c>
      <c r="P13126">
        <v>0</v>
      </c>
      <c r="Q13126">
        <v>0</v>
      </c>
      <c r="R13126" t="s">
        <v>45114</v>
      </c>
      <c r="S13126" t="s">
        <v>45791</v>
      </c>
      <c r="T13126" t="s">
        <v>46973</v>
      </c>
      <c r="U13126" t="s">
        <v>58141</v>
      </c>
      <c r="W13126" t="s">
        <v>44192</v>
      </c>
      <c r="X13126" t="s">
        <v>45115</v>
      </c>
    </row>
    <row r="13127" spans="1:24">
      <c r="A13127">
        <f>HYPERLINK("https://www.philgeps.gov.ph/GEPSNONPILOT/Tender/SplashBidNoticeAbstractUI.aspx?menuIndex=3&amp;refID=7017656&amp;Result=3","7017656")</f>
        <v>0</v>
      </c>
      <c r="B13127" t="s">
        <v>3009</v>
      </c>
      <c r="C13127" t="s">
        <v>15760</v>
      </c>
      <c r="D13127" t="s">
        <v>18037</v>
      </c>
      <c r="E13127" t="s">
        <v>29455</v>
      </c>
      <c r="F13127" t="s">
        <v>31574</v>
      </c>
      <c r="G13127" t="s">
        <v>31582</v>
      </c>
      <c r="H13127" t="s">
        <v>31590</v>
      </c>
      <c r="I13127" t="s">
        <v>31654</v>
      </c>
      <c r="J13127" t="s">
        <v>31728</v>
      </c>
      <c r="K13127" t="s">
        <v>41200</v>
      </c>
      <c r="M13127" t="s">
        <v>44838</v>
      </c>
      <c r="N13127" t="s">
        <v>45095</v>
      </c>
      <c r="O13127" t="s">
        <v>45096</v>
      </c>
      <c r="P13127">
        <v>0</v>
      </c>
      <c r="Q13127">
        <v>4</v>
      </c>
      <c r="R13127" t="s">
        <v>45114</v>
      </c>
      <c r="S13127" t="s">
        <v>45791</v>
      </c>
      <c r="T13127" t="s">
        <v>47183</v>
      </c>
      <c r="U13127" t="s">
        <v>58137</v>
      </c>
      <c r="W13127" t="s">
        <v>44838</v>
      </c>
      <c r="X13127" t="s">
        <v>45115</v>
      </c>
    </row>
    <row r="13128" spans="1:24">
      <c r="A13128">
        <f>HYPERLINK("https://www.philgeps.gov.ph/GEPSNONPILOT/Tender/SplashBidNoticeAbstractUI.aspx?menuIndex=3&amp;refID=7017489&amp;Result=3","7017489")</f>
        <v>0</v>
      </c>
      <c r="B13128" t="s">
        <v>1592</v>
      </c>
      <c r="C13128" t="s">
        <v>15761</v>
      </c>
      <c r="D13128" t="s">
        <v>18072</v>
      </c>
      <c r="E13128" t="s">
        <v>29456</v>
      </c>
      <c r="F13128" t="s">
        <v>31574</v>
      </c>
      <c r="G13128" t="s">
        <v>31582</v>
      </c>
      <c r="H13128" t="s">
        <v>31590</v>
      </c>
      <c r="I13128" t="s">
        <v>4046</v>
      </c>
      <c r="J13128" t="s">
        <v>39811</v>
      </c>
      <c r="K13128" t="s">
        <v>41186</v>
      </c>
      <c r="M13128" t="s">
        <v>43196</v>
      </c>
      <c r="N13128" t="s">
        <v>45095</v>
      </c>
      <c r="O13128" t="s">
        <v>45096</v>
      </c>
      <c r="P13128">
        <v>0</v>
      </c>
      <c r="Q13128">
        <v>0</v>
      </c>
      <c r="R13128" t="s">
        <v>45114</v>
      </c>
      <c r="S13128" t="s">
        <v>45791</v>
      </c>
      <c r="T13128" t="s">
        <v>47076</v>
      </c>
      <c r="U13128" t="s">
        <v>51461</v>
      </c>
      <c r="W13128" t="s">
        <v>43196</v>
      </c>
      <c r="X13128" t="s">
        <v>45115</v>
      </c>
    </row>
    <row r="13129" spans="1:24">
      <c r="A13129">
        <f>HYPERLINK("https://www.philgeps.gov.ph/GEPSNONPILOT/Tender/SplashBidNoticeAbstractUI.aspx?menuIndex=3&amp;refID=7017510&amp;Result=3","7017510")</f>
        <v>0</v>
      </c>
      <c r="B13129" t="s">
        <v>3009</v>
      </c>
      <c r="C13129" t="s">
        <v>15762</v>
      </c>
      <c r="D13129" t="s">
        <v>18037</v>
      </c>
      <c r="E13129" t="s">
        <v>29457</v>
      </c>
      <c r="F13129" t="s">
        <v>31574</v>
      </c>
      <c r="G13129" t="s">
        <v>31582</v>
      </c>
      <c r="H13129" t="s">
        <v>31591</v>
      </c>
      <c r="I13129" t="s">
        <v>8822</v>
      </c>
      <c r="J13129" t="s">
        <v>31935</v>
      </c>
      <c r="K13129" t="s">
        <v>41200</v>
      </c>
      <c r="M13129" t="s">
        <v>44838</v>
      </c>
      <c r="N13129" t="s">
        <v>45095</v>
      </c>
      <c r="O13129" t="s">
        <v>45096</v>
      </c>
      <c r="P13129">
        <v>0</v>
      </c>
      <c r="Q13129">
        <v>0</v>
      </c>
      <c r="R13129" t="s">
        <v>45114</v>
      </c>
      <c r="S13129" t="s">
        <v>45791</v>
      </c>
      <c r="T13129" t="s">
        <v>47183</v>
      </c>
      <c r="U13129" t="s">
        <v>58137</v>
      </c>
      <c r="W13129" t="s">
        <v>44838</v>
      </c>
      <c r="X13129" t="s">
        <v>45115</v>
      </c>
    </row>
    <row r="13130" spans="1:24">
      <c r="A13130">
        <f>HYPERLINK("https://www.philgeps.gov.ph/GEPSNONPILOT/Tender/SplashBidNoticeAbstractUI.aspx?menuIndex=3&amp;refID=7017723&amp;Result=3","7017723")</f>
        <v>0</v>
      </c>
      <c r="B13130" t="s">
        <v>1554</v>
      </c>
      <c r="C13130" t="s">
        <v>15763</v>
      </c>
      <c r="D13130" t="s">
        <v>18056</v>
      </c>
      <c r="E13130" t="s">
        <v>29458</v>
      </c>
      <c r="F13130" t="s">
        <v>31574</v>
      </c>
      <c r="G13130" t="s">
        <v>31582</v>
      </c>
      <c r="H13130" t="s">
        <v>31591</v>
      </c>
      <c r="I13130" t="s">
        <v>8822</v>
      </c>
      <c r="J13130" t="s">
        <v>39812</v>
      </c>
      <c r="K13130" t="s">
        <v>41192</v>
      </c>
      <c r="M13130" t="s">
        <v>44237</v>
      </c>
      <c r="N13130" t="s">
        <v>45095</v>
      </c>
      <c r="O13130" t="s">
        <v>45096</v>
      </c>
      <c r="P13130">
        <v>0</v>
      </c>
      <c r="Q13130">
        <v>1</v>
      </c>
      <c r="R13130" t="s">
        <v>45114</v>
      </c>
      <c r="S13130" t="s">
        <v>45791</v>
      </c>
      <c r="T13130" t="s">
        <v>46926</v>
      </c>
      <c r="U13130" t="s">
        <v>58142</v>
      </c>
      <c r="V13130" t="s">
        <v>61148</v>
      </c>
      <c r="W13130" t="s">
        <v>44237</v>
      </c>
      <c r="X13130" t="s">
        <v>45115</v>
      </c>
    </row>
    <row r="13131" spans="1:24">
      <c r="A13131">
        <f>HYPERLINK("https://www.philgeps.gov.ph/GEPSNONPILOT/Tender/SplashBidNoticeAbstractUI.aspx?menuIndex=3&amp;refID=7017574&amp;Result=3","7017574")</f>
        <v>0</v>
      </c>
      <c r="B13131" t="s">
        <v>1554</v>
      </c>
      <c r="C13131" t="s">
        <v>15764</v>
      </c>
      <c r="D13131" t="s">
        <v>18056</v>
      </c>
      <c r="E13131" t="s">
        <v>29459</v>
      </c>
      <c r="F13131" t="s">
        <v>31574</v>
      </c>
      <c r="G13131" t="s">
        <v>31582</v>
      </c>
      <c r="H13131" t="s">
        <v>31591</v>
      </c>
      <c r="I13131" t="s">
        <v>8822</v>
      </c>
      <c r="J13131" t="s">
        <v>39813</v>
      </c>
      <c r="K13131" t="s">
        <v>41189</v>
      </c>
      <c r="M13131" t="s">
        <v>44237</v>
      </c>
      <c r="N13131" t="s">
        <v>45095</v>
      </c>
      <c r="O13131" t="s">
        <v>45096</v>
      </c>
      <c r="P13131">
        <v>0</v>
      </c>
      <c r="Q13131">
        <v>0</v>
      </c>
      <c r="R13131" t="s">
        <v>45114</v>
      </c>
      <c r="S13131" t="s">
        <v>45791</v>
      </c>
      <c r="T13131" t="s">
        <v>46979</v>
      </c>
      <c r="U13131" t="s">
        <v>58132</v>
      </c>
      <c r="V13131" t="s">
        <v>61148</v>
      </c>
      <c r="W13131" t="s">
        <v>44237</v>
      </c>
      <c r="X13131" t="s">
        <v>45115</v>
      </c>
    </row>
    <row r="13132" spans="1:24">
      <c r="A13132">
        <f>HYPERLINK("https://www.philgeps.gov.ph/GEPSNONPILOT/Tender/SplashBidNoticeAbstractUI.aspx?menuIndex=3&amp;refID=7017507&amp;Result=3","7017507")</f>
        <v>0</v>
      </c>
      <c r="B13132" t="s">
        <v>1120</v>
      </c>
      <c r="C13132" t="s">
        <v>15765</v>
      </c>
      <c r="E13132" t="s">
        <v>29460</v>
      </c>
      <c r="F13132" t="s">
        <v>31574</v>
      </c>
      <c r="G13132" t="s">
        <v>31581</v>
      </c>
      <c r="H13132" t="s">
        <v>31590</v>
      </c>
      <c r="I13132" t="s">
        <v>31594</v>
      </c>
      <c r="J13132" t="s">
        <v>39814</v>
      </c>
      <c r="K13132" t="s">
        <v>41184</v>
      </c>
      <c r="M13132" t="s">
        <v>42817</v>
      </c>
      <c r="N13132" t="s">
        <v>45095</v>
      </c>
      <c r="O13132" t="s">
        <v>45096</v>
      </c>
      <c r="Q13132">
        <v>8</v>
      </c>
      <c r="R13132" t="s">
        <v>45114</v>
      </c>
      <c r="S13132" t="s">
        <v>45816</v>
      </c>
      <c r="T13132" t="s">
        <v>47176</v>
      </c>
      <c r="U13132" t="s">
        <v>58143</v>
      </c>
      <c r="W13132" t="s">
        <v>42817</v>
      </c>
      <c r="X13132" t="s">
        <v>45115</v>
      </c>
    </row>
    <row r="13133" spans="1:24">
      <c r="A13133">
        <f>HYPERLINK("https://www.philgeps.gov.ph/GEPSNONPILOT/Tender/SplashBidNoticeAbstractUI.aspx?menuIndex=3&amp;refID=7017672&amp;Result=3","7017672")</f>
        <v>0</v>
      </c>
      <c r="B13133" t="s">
        <v>1554</v>
      </c>
      <c r="C13133" t="s">
        <v>15766</v>
      </c>
      <c r="D13133" t="s">
        <v>18056</v>
      </c>
      <c r="E13133" t="s">
        <v>29461</v>
      </c>
      <c r="F13133" t="s">
        <v>31574</v>
      </c>
      <c r="G13133" t="s">
        <v>31582</v>
      </c>
      <c r="H13133" t="s">
        <v>31591</v>
      </c>
      <c r="I13133" t="s">
        <v>8822</v>
      </c>
      <c r="J13133" t="s">
        <v>39815</v>
      </c>
      <c r="K13133" t="s">
        <v>41192</v>
      </c>
      <c r="M13133" t="s">
        <v>44237</v>
      </c>
      <c r="N13133" t="s">
        <v>45095</v>
      </c>
      <c r="O13133" t="s">
        <v>45096</v>
      </c>
      <c r="P13133">
        <v>0</v>
      </c>
      <c r="Q13133">
        <v>0</v>
      </c>
      <c r="R13133" t="s">
        <v>45114</v>
      </c>
      <c r="S13133" t="s">
        <v>45791</v>
      </c>
      <c r="T13133" t="s">
        <v>46926</v>
      </c>
      <c r="U13133" t="s">
        <v>58144</v>
      </c>
      <c r="V13133" t="s">
        <v>61148</v>
      </c>
      <c r="W13133" t="s">
        <v>44237</v>
      </c>
      <c r="X13133" t="s">
        <v>45115</v>
      </c>
    </row>
    <row r="13134" spans="1:24">
      <c r="A13134">
        <f>HYPERLINK("https://www.philgeps.gov.ph/GEPSNONPILOT/Tender/SplashBidNoticeAbstractUI.aspx?menuIndex=3&amp;refID=7017700&amp;Result=3","7017700")</f>
        <v>0</v>
      </c>
      <c r="B13134" t="s">
        <v>3013</v>
      </c>
      <c r="C13134" t="s">
        <v>15767</v>
      </c>
      <c r="D13134" t="s">
        <v>18051</v>
      </c>
      <c r="E13134" t="s">
        <v>29462</v>
      </c>
      <c r="F13134" t="s">
        <v>31574</v>
      </c>
      <c r="G13134" t="s">
        <v>31582</v>
      </c>
      <c r="H13134" t="s">
        <v>31591</v>
      </c>
      <c r="I13134" t="s">
        <v>8822</v>
      </c>
      <c r="J13134" t="s">
        <v>39816</v>
      </c>
      <c r="K13134" t="s">
        <v>41329</v>
      </c>
      <c r="M13134" t="s">
        <v>44842</v>
      </c>
      <c r="N13134" t="s">
        <v>45095</v>
      </c>
      <c r="O13134" t="s">
        <v>45096</v>
      </c>
      <c r="P13134">
        <v>0</v>
      </c>
      <c r="Q13134">
        <v>0</v>
      </c>
      <c r="R13134" t="s">
        <v>45114</v>
      </c>
      <c r="S13134" t="s">
        <v>45791</v>
      </c>
      <c r="T13134" t="s">
        <v>46926</v>
      </c>
      <c r="U13134" t="s">
        <v>58145</v>
      </c>
      <c r="W13134" t="s">
        <v>44842</v>
      </c>
      <c r="X13134" t="s">
        <v>45115</v>
      </c>
    </row>
    <row r="13135" spans="1:24">
      <c r="A13135">
        <f>HYPERLINK("https://www.philgeps.gov.ph/GEPSNONPILOT/Tender/SplashBidNoticeAbstractUI.aspx?menuIndex=3&amp;refID=7017741&amp;Result=3","7017741")</f>
        <v>0</v>
      </c>
      <c r="B13135" t="s">
        <v>3013</v>
      </c>
      <c r="C13135" t="s">
        <v>15768</v>
      </c>
      <c r="D13135" t="s">
        <v>18051</v>
      </c>
      <c r="E13135" t="s">
        <v>29463</v>
      </c>
      <c r="F13135" t="s">
        <v>31574</v>
      </c>
      <c r="G13135" t="s">
        <v>31582</v>
      </c>
      <c r="H13135" t="s">
        <v>31591</v>
      </c>
      <c r="I13135" t="s">
        <v>8822</v>
      </c>
      <c r="J13135" t="s">
        <v>39817</v>
      </c>
      <c r="K13135" t="s">
        <v>41310</v>
      </c>
      <c r="M13135" t="s">
        <v>44842</v>
      </c>
      <c r="N13135" t="s">
        <v>45095</v>
      </c>
      <c r="O13135" t="s">
        <v>45096</v>
      </c>
      <c r="P13135">
        <v>0</v>
      </c>
      <c r="Q13135">
        <v>0</v>
      </c>
      <c r="R13135" t="s">
        <v>45114</v>
      </c>
      <c r="S13135" t="s">
        <v>45791</v>
      </c>
      <c r="T13135" t="s">
        <v>46926</v>
      </c>
      <c r="U13135" t="s">
        <v>58145</v>
      </c>
      <c r="W13135" t="s">
        <v>44842</v>
      </c>
      <c r="X13135" t="s">
        <v>45115</v>
      </c>
    </row>
    <row r="13136" spans="1:24">
      <c r="A13136">
        <f>HYPERLINK("https://www.philgeps.gov.ph/GEPSNONPILOT/Tender/SplashBidNoticeAbstractUI.aspx?menuIndex=3&amp;refID=7017681&amp;Result=3","7017681")</f>
        <v>0</v>
      </c>
      <c r="B13136" t="s">
        <v>1554</v>
      </c>
      <c r="C13136" t="s">
        <v>15769</v>
      </c>
      <c r="D13136" t="s">
        <v>18056</v>
      </c>
      <c r="E13136" t="s">
        <v>29464</v>
      </c>
      <c r="F13136" t="s">
        <v>31574</v>
      </c>
      <c r="G13136" t="s">
        <v>31582</v>
      </c>
      <c r="H13136" t="s">
        <v>31591</v>
      </c>
      <c r="I13136" t="s">
        <v>8822</v>
      </c>
      <c r="J13136" t="s">
        <v>39818</v>
      </c>
      <c r="K13136" t="s">
        <v>41203</v>
      </c>
      <c r="M13136" t="s">
        <v>44237</v>
      </c>
      <c r="N13136" t="s">
        <v>45095</v>
      </c>
      <c r="O13136" t="s">
        <v>45096</v>
      </c>
      <c r="P13136">
        <v>0</v>
      </c>
      <c r="Q13136">
        <v>0</v>
      </c>
      <c r="R13136" t="s">
        <v>45114</v>
      </c>
      <c r="S13136" t="s">
        <v>45791</v>
      </c>
      <c r="T13136" t="s">
        <v>46926</v>
      </c>
      <c r="U13136" t="s">
        <v>58144</v>
      </c>
      <c r="V13136" t="s">
        <v>61148</v>
      </c>
      <c r="W13136" t="s">
        <v>44237</v>
      </c>
      <c r="X13136" t="s">
        <v>45115</v>
      </c>
    </row>
    <row r="13137" spans="1:24">
      <c r="A13137">
        <f>HYPERLINK("https://www.philgeps.gov.ph/GEPSNONPILOT/Tender/SplashBidNoticeAbstractUI.aspx?menuIndex=3&amp;refID=7017719&amp;Result=3","7017719")</f>
        <v>0</v>
      </c>
      <c r="B13137" t="s">
        <v>1601</v>
      </c>
      <c r="C13137" t="s">
        <v>15770</v>
      </c>
      <c r="D13137" t="s">
        <v>18036</v>
      </c>
      <c r="E13137" t="s">
        <v>29465</v>
      </c>
      <c r="F13137" t="s">
        <v>31574</v>
      </c>
      <c r="G13137" t="s">
        <v>31582</v>
      </c>
      <c r="H13137" t="s">
        <v>31590</v>
      </c>
      <c r="I13137" t="s">
        <v>4046</v>
      </c>
      <c r="J13137" t="s">
        <v>39819</v>
      </c>
      <c r="K13137" t="s">
        <v>41196</v>
      </c>
      <c r="M13137" t="s">
        <v>44843</v>
      </c>
      <c r="N13137" t="s">
        <v>45095</v>
      </c>
      <c r="O13137" t="s">
        <v>45096</v>
      </c>
      <c r="P13137">
        <v>0</v>
      </c>
      <c r="Q13137">
        <v>2</v>
      </c>
      <c r="R13137" t="s">
        <v>45114</v>
      </c>
      <c r="S13137" t="s">
        <v>45791</v>
      </c>
      <c r="T13137" t="s">
        <v>46979</v>
      </c>
      <c r="U13137" t="s">
        <v>48730</v>
      </c>
      <c r="W13137" t="s">
        <v>44843</v>
      </c>
      <c r="X13137" t="s">
        <v>45115</v>
      </c>
    </row>
    <row r="13138" spans="1:24">
      <c r="A13138">
        <f>HYPERLINK("https://www.philgeps.gov.ph/GEPSNONPILOT/Tender/SplashBidNoticeAbstractUI.aspx?menuIndex=3&amp;refID=7017501&amp;Result=3","7017501")</f>
        <v>0</v>
      </c>
      <c r="B13138" t="s">
        <v>1156</v>
      </c>
      <c r="C13138" t="s">
        <v>15771</v>
      </c>
      <c r="D13138" t="s">
        <v>18040</v>
      </c>
      <c r="E13138" t="s">
        <v>29466</v>
      </c>
      <c r="F13138" t="s">
        <v>31574</v>
      </c>
      <c r="G13138" t="s">
        <v>31582</v>
      </c>
      <c r="H13138" t="s">
        <v>31591</v>
      </c>
      <c r="I13138" t="s">
        <v>8822</v>
      </c>
      <c r="J13138" t="s">
        <v>39820</v>
      </c>
      <c r="K13138" t="s">
        <v>41244</v>
      </c>
      <c r="M13138" t="s">
        <v>42713</v>
      </c>
      <c r="N13138" t="s">
        <v>45095</v>
      </c>
      <c r="O13138" t="s">
        <v>45096</v>
      </c>
      <c r="P13138">
        <v>0</v>
      </c>
      <c r="Q13138">
        <v>0</v>
      </c>
      <c r="R13138" t="s">
        <v>45114</v>
      </c>
      <c r="S13138" t="s">
        <v>45791</v>
      </c>
      <c r="T13138" t="s">
        <v>46969</v>
      </c>
      <c r="U13138" t="s">
        <v>58146</v>
      </c>
      <c r="V13138" t="s">
        <v>61295</v>
      </c>
      <c r="W13138" t="s">
        <v>42713</v>
      </c>
      <c r="X13138" t="s">
        <v>45115</v>
      </c>
    </row>
    <row r="13139" spans="1:24">
      <c r="A13139">
        <f>HYPERLINK("https://www.philgeps.gov.ph/GEPSNONPILOT/Tender/SplashBidNoticeAbstractUI.aspx?menuIndex=3&amp;refID=7017712&amp;Result=3","7017712")</f>
        <v>0</v>
      </c>
      <c r="B13139" t="s">
        <v>3014</v>
      </c>
      <c r="C13139" t="s">
        <v>15772</v>
      </c>
      <c r="D13139" t="s">
        <v>18036</v>
      </c>
      <c r="E13139" t="s">
        <v>20026</v>
      </c>
      <c r="F13139" t="s">
        <v>31575</v>
      </c>
      <c r="G13139" t="s">
        <v>31582</v>
      </c>
      <c r="H13139" t="s">
        <v>31590</v>
      </c>
      <c r="I13139" t="s">
        <v>31608</v>
      </c>
      <c r="J13139" t="s">
        <v>39821</v>
      </c>
      <c r="K13139" t="s">
        <v>41192</v>
      </c>
      <c r="M13139" t="s">
        <v>44844</v>
      </c>
      <c r="N13139" t="s">
        <v>45095</v>
      </c>
      <c r="O13139" t="s">
        <v>45096</v>
      </c>
      <c r="P13139">
        <v>0</v>
      </c>
      <c r="Q13139">
        <v>5</v>
      </c>
      <c r="R13139" t="s">
        <v>45114</v>
      </c>
      <c r="S13139" t="s">
        <v>45791</v>
      </c>
      <c r="T13139" t="s">
        <v>47134</v>
      </c>
      <c r="U13139" t="s">
        <v>58147</v>
      </c>
      <c r="W13139" t="s">
        <v>44844</v>
      </c>
      <c r="X13139" t="s">
        <v>45115</v>
      </c>
    </row>
    <row r="13140" spans="1:24">
      <c r="A13140">
        <f>HYPERLINK("https://www.philgeps.gov.ph/GEPSNONPILOT/Tender/SplashBidNoticeAbstractUI.aspx?menuIndex=3&amp;refID=7017550&amp;Result=3","7017550")</f>
        <v>0</v>
      </c>
      <c r="B13140" t="s">
        <v>1554</v>
      </c>
      <c r="C13140" t="s">
        <v>15773</v>
      </c>
      <c r="D13140" t="s">
        <v>18056</v>
      </c>
      <c r="E13140" t="s">
        <v>29467</v>
      </c>
      <c r="F13140" t="s">
        <v>31574</v>
      </c>
      <c r="G13140" t="s">
        <v>31582</v>
      </c>
      <c r="H13140" t="s">
        <v>31591</v>
      </c>
      <c r="I13140" t="s">
        <v>8822</v>
      </c>
      <c r="J13140" t="s">
        <v>39822</v>
      </c>
      <c r="K13140" t="s">
        <v>41263</v>
      </c>
      <c r="M13140" t="s">
        <v>44237</v>
      </c>
      <c r="N13140" t="s">
        <v>45095</v>
      </c>
      <c r="O13140" t="s">
        <v>45096</v>
      </c>
      <c r="P13140">
        <v>0</v>
      </c>
      <c r="Q13140">
        <v>0</v>
      </c>
      <c r="R13140" t="s">
        <v>45114</v>
      </c>
      <c r="S13140" t="s">
        <v>45791</v>
      </c>
      <c r="T13140" t="s">
        <v>46979</v>
      </c>
      <c r="U13140" t="s">
        <v>58132</v>
      </c>
      <c r="V13140" t="s">
        <v>61148</v>
      </c>
      <c r="W13140" t="s">
        <v>44237</v>
      </c>
      <c r="X13140" t="s">
        <v>45115</v>
      </c>
    </row>
    <row r="13141" spans="1:24">
      <c r="A13141">
        <f>HYPERLINK("https://www.philgeps.gov.ph/GEPSNONPILOT/Tender/SplashBidNoticeAbstractUI.aspx?menuIndex=3&amp;refID=7017770&amp;Result=3","7017770")</f>
        <v>0</v>
      </c>
      <c r="B13141" t="s">
        <v>1601</v>
      </c>
      <c r="C13141" t="s">
        <v>15774</v>
      </c>
      <c r="D13141" t="s">
        <v>18036</v>
      </c>
      <c r="E13141" t="s">
        <v>29468</v>
      </c>
      <c r="F13141" t="s">
        <v>31574</v>
      </c>
      <c r="G13141" t="s">
        <v>31582</v>
      </c>
      <c r="H13141" t="s">
        <v>31590</v>
      </c>
      <c r="I13141" t="s">
        <v>4046</v>
      </c>
      <c r="J13141" t="s">
        <v>39823</v>
      </c>
      <c r="K13141" t="s">
        <v>41196</v>
      </c>
      <c r="M13141" t="s">
        <v>44843</v>
      </c>
      <c r="N13141" t="s">
        <v>45095</v>
      </c>
      <c r="O13141" t="s">
        <v>45096</v>
      </c>
      <c r="P13141">
        <v>0</v>
      </c>
      <c r="Q13141">
        <v>0</v>
      </c>
      <c r="R13141" t="s">
        <v>45114</v>
      </c>
      <c r="S13141" t="s">
        <v>45791</v>
      </c>
      <c r="T13141" t="s">
        <v>46979</v>
      </c>
      <c r="U13141" t="s">
        <v>48730</v>
      </c>
      <c r="W13141" t="s">
        <v>44843</v>
      </c>
      <c r="X13141" t="s">
        <v>45115</v>
      </c>
    </row>
    <row r="13142" spans="1:24">
      <c r="A13142">
        <f>HYPERLINK("https://www.philgeps.gov.ph/GEPSNONPILOT/Tender/SplashBidNoticeAbstractUI.aspx?menuIndex=3&amp;refID=7017811&amp;Result=3","7017811")</f>
        <v>0</v>
      </c>
      <c r="B13142" t="s">
        <v>1554</v>
      </c>
      <c r="C13142" t="s">
        <v>15775</v>
      </c>
      <c r="D13142" t="s">
        <v>18056</v>
      </c>
      <c r="E13142" t="s">
        <v>29469</v>
      </c>
      <c r="F13142" t="s">
        <v>31574</v>
      </c>
      <c r="G13142" t="s">
        <v>31582</v>
      </c>
      <c r="H13142" t="s">
        <v>31591</v>
      </c>
      <c r="I13142" t="s">
        <v>8822</v>
      </c>
      <c r="J13142" t="s">
        <v>39824</v>
      </c>
      <c r="K13142" t="s">
        <v>41192</v>
      </c>
      <c r="M13142" t="s">
        <v>44237</v>
      </c>
      <c r="N13142" t="s">
        <v>45095</v>
      </c>
      <c r="O13142" t="s">
        <v>45096</v>
      </c>
      <c r="P13142">
        <v>0</v>
      </c>
      <c r="Q13142">
        <v>0</v>
      </c>
      <c r="R13142" t="s">
        <v>45114</v>
      </c>
      <c r="S13142" t="s">
        <v>45791</v>
      </c>
      <c r="T13142" t="s">
        <v>46926</v>
      </c>
      <c r="U13142" t="s">
        <v>58110</v>
      </c>
      <c r="V13142" t="s">
        <v>61148</v>
      </c>
      <c r="W13142" t="s">
        <v>44237</v>
      </c>
      <c r="X13142" t="s">
        <v>45115</v>
      </c>
    </row>
    <row r="13143" spans="1:24">
      <c r="A13143">
        <f>HYPERLINK("https://www.philgeps.gov.ph/GEPSNONPILOT/Tender/SplashBidNoticeAbstractUI.aspx?menuIndex=3&amp;refID=7017786&amp;Result=3","7017786")</f>
        <v>0</v>
      </c>
      <c r="B13143" t="s">
        <v>1554</v>
      </c>
      <c r="C13143" t="s">
        <v>15776</v>
      </c>
      <c r="D13143" t="s">
        <v>18056</v>
      </c>
      <c r="E13143" t="s">
        <v>29470</v>
      </c>
      <c r="F13143" t="s">
        <v>31574</v>
      </c>
      <c r="G13143" t="s">
        <v>31582</v>
      </c>
      <c r="H13143" t="s">
        <v>31591</v>
      </c>
      <c r="I13143" t="s">
        <v>8822</v>
      </c>
      <c r="J13143" t="s">
        <v>39825</v>
      </c>
      <c r="K13143" t="s">
        <v>41189</v>
      </c>
      <c r="M13143" t="s">
        <v>44237</v>
      </c>
      <c r="N13143" t="s">
        <v>45095</v>
      </c>
      <c r="O13143" t="s">
        <v>45096</v>
      </c>
      <c r="P13143">
        <v>0</v>
      </c>
      <c r="Q13143">
        <v>0</v>
      </c>
      <c r="R13143" t="s">
        <v>45114</v>
      </c>
      <c r="S13143" t="s">
        <v>45791</v>
      </c>
      <c r="T13143" t="s">
        <v>46926</v>
      </c>
      <c r="U13143" t="s">
        <v>58142</v>
      </c>
      <c r="V13143" t="s">
        <v>61148</v>
      </c>
      <c r="W13143" t="s">
        <v>44237</v>
      </c>
      <c r="X13143" t="s">
        <v>45115</v>
      </c>
    </row>
    <row r="13144" spans="1:24">
      <c r="A13144">
        <f>HYPERLINK("https://www.philgeps.gov.ph/GEPSNONPILOT/Tender/SplashBidNoticeAbstractUI.aspx?menuIndex=3&amp;refID=7017782&amp;Result=3","7017782")</f>
        <v>0</v>
      </c>
      <c r="B13144" t="s">
        <v>3013</v>
      </c>
      <c r="C13144" t="s">
        <v>15777</v>
      </c>
      <c r="D13144" t="s">
        <v>18051</v>
      </c>
      <c r="E13144" t="s">
        <v>29471</v>
      </c>
      <c r="F13144" t="s">
        <v>31574</v>
      </c>
      <c r="G13144" t="s">
        <v>31582</v>
      </c>
      <c r="H13144" t="s">
        <v>31591</v>
      </c>
      <c r="I13144" t="s">
        <v>8822</v>
      </c>
      <c r="J13144" t="s">
        <v>39826</v>
      </c>
      <c r="K13144" t="s">
        <v>41286</v>
      </c>
      <c r="M13144" t="s">
        <v>44842</v>
      </c>
      <c r="N13144" t="s">
        <v>45095</v>
      </c>
      <c r="O13144" t="s">
        <v>45096</v>
      </c>
      <c r="P13144">
        <v>0</v>
      </c>
      <c r="Q13144">
        <v>0</v>
      </c>
      <c r="R13144" t="s">
        <v>45114</v>
      </c>
      <c r="S13144" t="s">
        <v>45791</v>
      </c>
      <c r="T13144" t="s">
        <v>46926</v>
      </c>
      <c r="U13144" t="s">
        <v>58145</v>
      </c>
      <c r="W13144" t="s">
        <v>44842</v>
      </c>
      <c r="X13144" t="s">
        <v>45115</v>
      </c>
    </row>
    <row r="13145" spans="1:24">
      <c r="A13145">
        <f>HYPERLINK("https://www.philgeps.gov.ph/GEPSNONPILOT/Tender/SplashBidNoticeAbstractUI.aspx?menuIndex=3&amp;refID=7017859&amp;Result=3","7017859")</f>
        <v>0</v>
      </c>
      <c r="B13145" t="s">
        <v>1520</v>
      </c>
      <c r="C13145" t="s">
        <v>15778</v>
      </c>
      <c r="E13145" t="s">
        <v>29472</v>
      </c>
      <c r="F13145" t="s">
        <v>31574</v>
      </c>
      <c r="G13145" t="s">
        <v>31582</v>
      </c>
      <c r="H13145" t="s">
        <v>31591</v>
      </c>
      <c r="I13145" t="s">
        <v>8822</v>
      </c>
      <c r="J13145" t="s">
        <v>39827</v>
      </c>
      <c r="K13145" t="s">
        <v>41184</v>
      </c>
      <c r="M13145" t="s">
        <v>43111</v>
      </c>
      <c r="N13145" t="s">
        <v>45095</v>
      </c>
      <c r="O13145" t="s">
        <v>45096</v>
      </c>
      <c r="Q13145">
        <v>57</v>
      </c>
      <c r="R13145" t="s">
        <v>45114</v>
      </c>
      <c r="S13145" t="s">
        <v>45817</v>
      </c>
      <c r="T13145" t="s">
        <v>46973</v>
      </c>
      <c r="U13145" t="s">
        <v>51225</v>
      </c>
      <c r="W13145" t="s">
        <v>61704</v>
      </c>
      <c r="X13145" t="s">
        <v>45115</v>
      </c>
    </row>
    <row r="13146" spans="1:24">
      <c r="A13146">
        <f>HYPERLINK("https://www.philgeps.gov.ph/GEPSNONPILOT/Tender/SplashBidNoticeAbstractUI.aspx?menuIndex=3&amp;refID=7017946&amp;Result=3","7017946")</f>
        <v>0</v>
      </c>
      <c r="B13146" t="s">
        <v>2117</v>
      </c>
      <c r="C13146" t="s">
        <v>15779</v>
      </c>
      <c r="D13146" t="s">
        <v>18070</v>
      </c>
      <c r="E13146" t="s">
        <v>29327</v>
      </c>
      <c r="F13146" t="s">
        <v>31574</v>
      </c>
      <c r="G13146" t="s">
        <v>31582</v>
      </c>
      <c r="H13146" t="s">
        <v>31592</v>
      </c>
      <c r="I13146" t="s">
        <v>31620</v>
      </c>
      <c r="J13146" t="s">
        <v>39828</v>
      </c>
      <c r="K13146" t="s">
        <v>41185</v>
      </c>
      <c r="M13146" t="s">
        <v>44536</v>
      </c>
      <c r="N13146" t="s">
        <v>45095</v>
      </c>
      <c r="O13146" t="s">
        <v>45096</v>
      </c>
      <c r="Q13146">
        <v>20</v>
      </c>
      <c r="R13146" t="s">
        <v>45114</v>
      </c>
      <c r="S13146" t="s">
        <v>45818</v>
      </c>
      <c r="T13146" t="s">
        <v>46904</v>
      </c>
      <c r="U13146" t="s">
        <v>58148</v>
      </c>
      <c r="W13146" t="s">
        <v>44536</v>
      </c>
      <c r="X13146" t="s">
        <v>45115</v>
      </c>
    </row>
    <row r="13147" spans="1:24">
      <c r="A13147">
        <f>HYPERLINK("https://www.philgeps.gov.ph/GEPSNONPILOT/Tender/SplashBidNoticeAbstractUI.aspx?menuIndex=3&amp;refID=7017810&amp;Result=3","7017810")</f>
        <v>0</v>
      </c>
      <c r="B13147" t="s">
        <v>1601</v>
      </c>
      <c r="C13147" t="s">
        <v>15780</v>
      </c>
      <c r="D13147" t="s">
        <v>18036</v>
      </c>
      <c r="E13147" t="s">
        <v>29473</v>
      </c>
      <c r="F13147" t="s">
        <v>31574</v>
      </c>
      <c r="G13147" t="s">
        <v>31582</v>
      </c>
      <c r="H13147" t="s">
        <v>31590</v>
      </c>
      <c r="I13147" t="s">
        <v>31596</v>
      </c>
      <c r="J13147" t="s">
        <v>39829</v>
      </c>
      <c r="K13147" t="s">
        <v>41196</v>
      </c>
      <c r="M13147" t="s">
        <v>44843</v>
      </c>
      <c r="N13147" t="s">
        <v>45095</v>
      </c>
      <c r="O13147" t="s">
        <v>45096</v>
      </c>
      <c r="P13147">
        <v>0</v>
      </c>
      <c r="Q13147">
        <v>2</v>
      </c>
      <c r="R13147" t="s">
        <v>45114</v>
      </c>
      <c r="S13147" t="s">
        <v>45791</v>
      </c>
      <c r="T13147" t="s">
        <v>46979</v>
      </c>
      <c r="U13147" t="s">
        <v>58149</v>
      </c>
      <c r="W13147" t="s">
        <v>44843</v>
      </c>
      <c r="X13147" t="s">
        <v>45115</v>
      </c>
    </row>
    <row r="13148" spans="1:24">
      <c r="A13148">
        <f>HYPERLINK("https://www.philgeps.gov.ph/GEPSNONPILOT/Tender/SplashBidNoticeAbstractUI.aspx?menuIndex=3&amp;refID=7017944&amp;Result=3","7017944")</f>
        <v>0</v>
      </c>
      <c r="B13148" t="s">
        <v>1554</v>
      </c>
      <c r="C13148" t="s">
        <v>15781</v>
      </c>
      <c r="D13148" t="s">
        <v>18056</v>
      </c>
      <c r="E13148" t="s">
        <v>29474</v>
      </c>
      <c r="F13148" t="s">
        <v>31574</v>
      </c>
      <c r="G13148" t="s">
        <v>31582</v>
      </c>
      <c r="H13148" t="s">
        <v>31591</v>
      </c>
      <c r="I13148" t="s">
        <v>8822</v>
      </c>
      <c r="J13148" t="s">
        <v>39830</v>
      </c>
      <c r="K13148" t="s">
        <v>41192</v>
      </c>
      <c r="M13148" t="s">
        <v>44237</v>
      </c>
      <c r="N13148" t="s">
        <v>45095</v>
      </c>
      <c r="O13148" t="s">
        <v>45096</v>
      </c>
      <c r="P13148">
        <v>0</v>
      </c>
      <c r="Q13148">
        <v>0</v>
      </c>
      <c r="R13148" t="s">
        <v>45114</v>
      </c>
      <c r="S13148" t="s">
        <v>45791</v>
      </c>
      <c r="T13148" t="s">
        <v>46926</v>
      </c>
      <c r="U13148" t="s">
        <v>58142</v>
      </c>
      <c r="V13148" t="s">
        <v>61148</v>
      </c>
      <c r="W13148" t="s">
        <v>44237</v>
      </c>
      <c r="X13148" t="s">
        <v>45115</v>
      </c>
    </row>
    <row r="13149" spans="1:24">
      <c r="A13149">
        <f>HYPERLINK("https://www.philgeps.gov.ph/GEPSNONPILOT/Tender/SplashBidNoticeAbstractUI.aspx?menuIndex=3&amp;refID=7017938&amp;Result=3","7017938")</f>
        <v>0</v>
      </c>
      <c r="B13149" t="s">
        <v>2196</v>
      </c>
      <c r="C13149" t="s">
        <v>15782</v>
      </c>
      <c r="D13149" t="s">
        <v>18086</v>
      </c>
      <c r="E13149" t="s">
        <v>29475</v>
      </c>
      <c r="F13149" t="s">
        <v>31574</v>
      </c>
      <c r="G13149" t="s">
        <v>31582</v>
      </c>
      <c r="H13149" t="s">
        <v>31591</v>
      </c>
      <c r="I13149" t="s">
        <v>8822</v>
      </c>
      <c r="J13149" t="s">
        <v>32504</v>
      </c>
      <c r="K13149" t="s">
        <v>41189</v>
      </c>
      <c r="M13149" t="s">
        <v>43884</v>
      </c>
      <c r="N13149" t="s">
        <v>45095</v>
      </c>
      <c r="O13149" t="s">
        <v>45096</v>
      </c>
      <c r="Q13149">
        <v>0</v>
      </c>
      <c r="R13149" t="s">
        <v>45114</v>
      </c>
      <c r="S13149" t="s">
        <v>45819</v>
      </c>
      <c r="T13149" t="s">
        <v>46918</v>
      </c>
      <c r="U13149" t="s">
        <v>53634</v>
      </c>
      <c r="W13149" t="s">
        <v>43884</v>
      </c>
      <c r="X13149" t="s">
        <v>45115</v>
      </c>
    </row>
    <row r="13150" spans="1:24">
      <c r="A13150">
        <f>HYPERLINK("https://www.philgeps.gov.ph/GEPSNONPILOT/Tender/SplashBidNoticeAbstractUI.aspx?menuIndex=3&amp;refID=7017908&amp;Result=3","7017908")</f>
        <v>0</v>
      </c>
      <c r="B13150" t="s">
        <v>401</v>
      </c>
      <c r="C13150" t="s">
        <v>15783</v>
      </c>
      <c r="D13150" t="s">
        <v>18052</v>
      </c>
      <c r="E13150" t="s">
        <v>29476</v>
      </c>
      <c r="F13150" t="s">
        <v>31574</v>
      </c>
      <c r="G13150" t="s">
        <v>31582</v>
      </c>
      <c r="H13150" t="s">
        <v>31590</v>
      </c>
      <c r="I13150" t="s">
        <v>7185</v>
      </c>
      <c r="J13150" t="s">
        <v>39831</v>
      </c>
      <c r="K13150" t="s">
        <v>41186</v>
      </c>
      <c r="M13150" t="s">
        <v>41892</v>
      </c>
      <c r="N13150" t="s">
        <v>45095</v>
      </c>
      <c r="O13150" t="s">
        <v>45096</v>
      </c>
      <c r="P13150">
        <v>0</v>
      </c>
      <c r="Q13150">
        <v>3</v>
      </c>
      <c r="R13150" t="s">
        <v>45114</v>
      </c>
      <c r="S13150" t="s">
        <v>45791</v>
      </c>
      <c r="T13150" t="s">
        <v>46914</v>
      </c>
      <c r="U13150" t="s">
        <v>51307</v>
      </c>
      <c r="W13150" t="s">
        <v>41892</v>
      </c>
      <c r="X13150" t="s">
        <v>45115</v>
      </c>
    </row>
    <row r="13151" spans="1:24">
      <c r="A13151">
        <f>HYPERLINK("https://www.philgeps.gov.ph/GEPSNONPILOT/Tender/SplashBidNoticeAbstractUI.aspx?menuIndex=3&amp;refID=7017903&amp;Result=3","7017903")</f>
        <v>0</v>
      </c>
      <c r="B13151" t="s">
        <v>1554</v>
      </c>
      <c r="C13151" t="s">
        <v>15784</v>
      </c>
      <c r="D13151" t="s">
        <v>18056</v>
      </c>
      <c r="E13151" t="s">
        <v>29477</v>
      </c>
      <c r="F13151" t="s">
        <v>31574</v>
      </c>
      <c r="G13151" t="s">
        <v>31582</v>
      </c>
      <c r="H13151" t="s">
        <v>31591</v>
      </c>
      <c r="I13151" t="s">
        <v>8822</v>
      </c>
      <c r="J13151" t="s">
        <v>39832</v>
      </c>
      <c r="K13151" t="s">
        <v>41260</v>
      </c>
      <c r="M13151" t="s">
        <v>44237</v>
      </c>
      <c r="N13151" t="s">
        <v>45095</v>
      </c>
      <c r="O13151" t="s">
        <v>45096</v>
      </c>
      <c r="P13151">
        <v>0</v>
      </c>
      <c r="Q13151">
        <v>1</v>
      </c>
      <c r="R13151" t="s">
        <v>45114</v>
      </c>
      <c r="S13151" t="s">
        <v>45791</v>
      </c>
      <c r="T13151" t="s">
        <v>46926</v>
      </c>
      <c r="U13151" t="s">
        <v>58142</v>
      </c>
      <c r="V13151" t="s">
        <v>61148</v>
      </c>
      <c r="W13151" t="s">
        <v>44237</v>
      </c>
      <c r="X13151" t="s">
        <v>45115</v>
      </c>
    </row>
    <row r="13152" spans="1:24">
      <c r="A13152">
        <f>HYPERLINK("https://www.philgeps.gov.ph/GEPSNONPILOT/Tender/SplashBidNoticeAbstractUI.aspx?menuIndex=3&amp;refID=7017913&amp;Result=3","7017913")</f>
        <v>0</v>
      </c>
      <c r="B13152" t="s">
        <v>3013</v>
      </c>
      <c r="C13152" t="s">
        <v>15785</v>
      </c>
      <c r="D13152" t="s">
        <v>18051</v>
      </c>
      <c r="E13152" t="s">
        <v>29478</v>
      </c>
      <c r="F13152" t="s">
        <v>31574</v>
      </c>
      <c r="G13152" t="s">
        <v>31582</v>
      </c>
      <c r="H13152" t="s">
        <v>31591</v>
      </c>
      <c r="I13152" t="s">
        <v>8822</v>
      </c>
      <c r="J13152" t="s">
        <v>39833</v>
      </c>
      <c r="K13152" t="s">
        <v>41287</v>
      </c>
      <c r="M13152" t="s">
        <v>44842</v>
      </c>
      <c r="N13152" t="s">
        <v>45095</v>
      </c>
      <c r="O13152" t="s">
        <v>45096</v>
      </c>
      <c r="P13152">
        <v>0</v>
      </c>
      <c r="Q13152">
        <v>0</v>
      </c>
      <c r="R13152" t="s">
        <v>45114</v>
      </c>
      <c r="S13152" t="s">
        <v>45791</v>
      </c>
      <c r="T13152" t="s">
        <v>46926</v>
      </c>
      <c r="U13152" t="s">
        <v>58145</v>
      </c>
      <c r="W13152" t="s">
        <v>44842</v>
      </c>
      <c r="X13152" t="s">
        <v>45115</v>
      </c>
    </row>
    <row r="13153" spans="1:24">
      <c r="A13153">
        <f>HYPERLINK("https://www.philgeps.gov.ph/GEPSNONPILOT/Tender/SplashBidNoticeAbstractUI.aspx?menuIndex=3&amp;refID=7017837&amp;Result=3","7017837")</f>
        <v>0</v>
      </c>
      <c r="B13153" t="s">
        <v>1554</v>
      </c>
      <c r="C13153" t="s">
        <v>15786</v>
      </c>
      <c r="D13153" t="s">
        <v>18056</v>
      </c>
      <c r="E13153" t="s">
        <v>29479</v>
      </c>
      <c r="F13153" t="s">
        <v>31574</v>
      </c>
      <c r="G13153" t="s">
        <v>31582</v>
      </c>
      <c r="H13153" t="s">
        <v>31591</v>
      </c>
      <c r="I13153" t="s">
        <v>8822</v>
      </c>
      <c r="J13153" t="s">
        <v>39834</v>
      </c>
      <c r="K13153" t="s">
        <v>41185</v>
      </c>
      <c r="M13153" t="s">
        <v>44237</v>
      </c>
      <c r="N13153" t="s">
        <v>45095</v>
      </c>
      <c r="O13153" t="s">
        <v>45096</v>
      </c>
      <c r="P13153">
        <v>0</v>
      </c>
      <c r="Q13153">
        <v>0</v>
      </c>
      <c r="R13153" t="s">
        <v>45114</v>
      </c>
      <c r="S13153" t="s">
        <v>45791</v>
      </c>
      <c r="T13153" t="s">
        <v>46926</v>
      </c>
      <c r="U13153" t="s">
        <v>58150</v>
      </c>
      <c r="V13153" t="s">
        <v>61148</v>
      </c>
      <c r="W13153" t="s">
        <v>44237</v>
      </c>
      <c r="X13153" t="s">
        <v>45115</v>
      </c>
    </row>
    <row r="13154" spans="1:24">
      <c r="A13154">
        <f>HYPERLINK("https://www.philgeps.gov.ph/GEPSNONPILOT/Tender/SplashBidNoticeAbstractUI.aspx?menuIndex=3&amp;refID=7017890&amp;Result=3","7017890")</f>
        <v>0</v>
      </c>
      <c r="B13154" t="s">
        <v>3013</v>
      </c>
      <c r="C13154" t="s">
        <v>15787</v>
      </c>
      <c r="D13154" t="s">
        <v>18051</v>
      </c>
      <c r="E13154" t="s">
        <v>29480</v>
      </c>
      <c r="F13154" t="s">
        <v>31574</v>
      </c>
      <c r="G13154" t="s">
        <v>31582</v>
      </c>
      <c r="H13154" t="s">
        <v>31591</v>
      </c>
      <c r="I13154" t="s">
        <v>8822</v>
      </c>
      <c r="J13154" t="s">
        <v>39835</v>
      </c>
      <c r="K13154" t="s">
        <v>41252</v>
      </c>
      <c r="M13154" t="s">
        <v>44842</v>
      </c>
      <c r="N13154" t="s">
        <v>45095</v>
      </c>
      <c r="O13154" t="s">
        <v>45096</v>
      </c>
      <c r="P13154">
        <v>0</v>
      </c>
      <c r="Q13154">
        <v>0</v>
      </c>
      <c r="R13154" t="s">
        <v>45114</v>
      </c>
      <c r="S13154" t="s">
        <v>45791</v>
      </c>
      <c r="T13154" t="s">
        <v>46926</v>
      </c>
      <c r="U13154" t="s">
        <v>58145</v>
      </c>
      <c r="W13154" t="s">
        <v>44842</v>
      </c>
      <c r="X13154" t="s">
        <v>45115</v>
      </c>
    </row>
    <row r="13155" spans="1:24">
      <c r="A13155">
        <f>HYPERLINK("https://www.philgeps.gov.ph/GEPSNONPILOT/Tender/SplashBidNoticeAbstractUI.aspx?menuIndex=3&amp;refID=7017888&amp;Result=3","7017888")</f>
        <v>0</v>
      </c>
      <c r="B13155" t="s">
        <v>2287</v>
      </c>
      <c r="C13155" t="s">
        <v>15788</v>
      </c>
      <c r="D13155" t="s">
        <v>18025</v>
      </c>
      <c r="E13155" t="s">
        <v>29481</v>
      </c>
      <c r="F13155" t="s">
        <v>31574</v>
      </c>
      <c r="G13155" t="s">
        <v>31582</v>
      </c>
      <c r="H13155" t="s">
        <v>31590</v>
      </c>
      <c r="I13155" t="s">
        <v>4046</v>
      </c>
      <c r="J13155" t="s">
        <v>35404</v>
      </c>
      <c r="K13155" t="s">
        <v>41196</v>
      </c>
      <c r="M13155" t="s">
        <v>43995</v>
      </c>
      <c r="N13155" t="s">
        <v>45095</v>
      </c>
      <c r="O13155" t="s">
        <v>45096</v>
      </c>
      <c r="P13155">
        <v>0</v>
      </c>
      <c r="Q13155">
        <v>1</v>
      </c>
      <c r="R13155" t="s">
        <v>45114</v>
      </c>
      <c r="S13155" t="s">
        <v>45791</v>
      </c>
      <c r="T13155" t="s">
        <v>46949</v>
      </c>
      <c r="U13155" t="s">
        <v>58151</v>
      </c>
      <c r="W13155" t="s">
        <v>43995</v>
      </c>
      <c r="X13155" t="s">
        <v>45115</v>
      </c>
    </row>
    <row r="13156" spans="1:24">
      <c r="A13156">
        <f>HYPERLINK("https://www.philgeps.gov.ph/GEPSNONPILOT/Tender/SplashBidNoticeAbstractUI.aspx?menuIndex=3&amp;refID=7017966&amp;Result=3","7017966")</f>
        <v>0</v>
      </c>
      <c r="B13156" t="s">
        <v>2196</v>
      </c>
      <c r="C13156" t="s">
        <v>15789</v>
      </c>
      <c r="D13156" t="s">
        <v>18086</v>
      </c>
      <c r="E13156" t="s">
        <v>29482</v>
      </c>
      <c r="F13156" t="s">
        <v>31574</v>
      </c>
      <c r="G13156" t="s">
        <v>31582</v>
      </c>
      <c r="H13156" t="s">
        <v>31591</v>
      </c>
      <c r="I13156" t="s">
        <v>8822</v>
      </c>
      <c r="J13156" t="s">
        <v>39836</v>
      </c>
      <c r="K13156" t="s">
        <v>41189</v>
      </c>
      <c r="M13156" t="s">
        <v>43884</v>
      </c>
      <c r="N13156" t="s">
        <v>45095</v>
      </c>
      <c r="O13156" t="s">
        <v>45096</v>
      </c>
      <c r="Q13156">
        <v>0</v>
      </c>
      <c r="R13156" t="s">
        <v>45114</v>
      </c>
      <c r="S13156" t="s">
        <v>45820</v>
      </c>
      <c r="T13156" t="s">
        <v>46918</v>
      </c>
      <c r="U13156" t="s">
        <v>53634</v>
      </c>
      <c r="W13156" t="s">
        <v>43884</v>
      </c>
      <c r="X13156" t="s">
        <v>45115</v>
      </c>
    </row>
    <row r="13157" spans="1:24">
      <c r="A13157">
        <f>HYPERLINK("https://www.philgeps.gov.ph/GEPSNONPILOT/Tender/SplashBidNoticeAbstractUI.aspx?menuIndex=3&amp;refID=7017935&amp;Result=3","7017935")</f>
        <v>0</v>
      </c>
      <c r="B13157" t="s">
        <v>3013</v>
      </c>
      <c r="C13157" t="s">
        <v>15790</v>
      </c>
      <c r="D13157" t="s">
        <v>18051</v>
      </c>
      <c r="E13157" t="s">
        <v>29483</v>
      </c>
      <c r="F13157" t="s">
        <v>31574</v>
      </c>
      <c r="G13157" t="s">
        <v>31582</v>
      </c>
      <c r="H13157" t="s">
        <v>31591</v>
      </c>
      <c r="I13157" t="s">
        <v>8822</v>
      </c>
      <c r="J13157" t="s">
        <v>39837</v>
      </c>
      <c r="K13157" t="s">
        <v>41200</v>
      </c>
      <c r="M13157" t="s">
        <v>44842</v>
      </c>
      <c r="N13157" t="s">
        <v>45095</v>
      </c>
      <c r="O13157" t="s">
        <v>45096</v>
      </c>
      <c r="P13157">
        <v>0</v>
      </c>
      <c r="Q13157">
        <v>0</v>
      </c>
      <c r="R13157" t="s">
        <v>45114</v>
      </c>
      <c r="S13157" t="s">
        <v>45791</v>
      </c>
      <c r="T13157" t="s">
        <v>46926</v>
      </c>
      <c r="U13157" t="s">
        <v>58145</v>
      </c>
      <c r="W13157" t="s">
        <v>44842</v>
      </c>
      <c r="X13157" t="s">
        <v>45115</v>
      </c>
    </row>
    <row r="13158" spans="1:24">
      <c r="A13158">
        <f>HYPERLINK("https://www.philgeps.gov.ph/GEPSNONPILOT/Tender/SplashBidNoticeAbstractUI.aspx?menuIndex=3&amp;refID=7017877&amp;Result=3","7017877")</f>
        <v>0</v>
      </c>
      <c r="B13158" t="s">
        <v>1520</v>
      </c>
      <c r="C13158" t="s">
        <v>15791</v>
      </c>
      <c r="E13158" t="s">
        <v>29484</v>
      </c>
      <c r="F13158" t="s">
        <v>31574</v>
      </c>
      <c r="G13158" t="s">
        <v>31582</v>
      </c>
      <c r="H13158" t="s">
        <v>31591</v>
      </c>
      <c r="I13158" t="s">
        <v>8822</v>
      </c>
      <c r="J13158" t="s">
        <v>39838</v>
      </c>
      <c r="K13158" t="s">
        <v>41184</v>
      </c>
      <c r="M13158" t="s">
        <v>43111</v>
      </c>
      <c r="N13158" t="s">
        <v>45095</v>
      </c>
      <c r="O13158" t="s">
        <v>45096</v>
      </c>
      <c r="Q13158">
        <v>44</v>
      </c>
      <c r="R13158" t="s">
        <v>45114</v>
      </c>
      <c r="S13158" t="s">
        <v>45821</v>
      </c>
      <c r="T13158" t="s">
        <v>46973</v>
      </c>
      <c r="U13158" t="s">
        <v>51225</v>
      </c>
      <c r="W13158" t="s">
        <v>61704</v>
      </c>
      <c r="X13158" t="s">
        <v>45115</v>
      </c>
    </row>
    <row r="13159" spans="1:24">
      <c r="A13159">
        <f>HYPERLINK("https://www.philgeps.gov.ph/GEPSNONPILOT/Tender/SplashBidNoticeAbstractUI.aspx?menuIndex=3&amp;refID=7018040&amp;Result=3","7018040")</f>
        <v>0</v>
      </c>
      <c r="B13159" t="s">
        <v>2196</v>
      </c>
      <c r="C13159" t="s">
        <v>15792</v>
      </c>
      <c r="D13159" t="s">
        <v>18086</v>
      </c>
      <c r="E13159" t="s">
        <v>29485</v>
      </c>
      <c r="F13159" t="s">
        <v>31574</v>
      </c>
      <c r="G13159" t="s">
        <v>31582</v>
      </c>
      <c r="H13159" t="s">
        <v>31591</v>
      </c>
      <c r="I13159" t="s">
        <v>8822</v>
      </c>
      <c r="J13159" t="s">
        <v>39839</v>
      </c>
      <c r="K13159" t="s">
        <v>41189</v>
      </c>
      <c r="M13159" t="s">
        <v>43884</v>
      </c>
      <c r="N13159" t="s">
        <v>45095</v>
      </c>
      <c r="O13159" t="s">
        <v>45096</v>
      </c>
      <c r="Q13159">
        <v>0</v>
      </c>
      <c r="R13159" t="s">
        <v>45114</v>
      </c>
      <c r="S13159" t="s">
        <v>45822</v>
      </c>
      <c r="T13159" t="s">
        <v>46918</v>
      </c>
      <c r="U13159" t="s">
        <v>53634</v>
      </c>
      <c r="W13159" t="s">
        <v>43884</v>
      </c>
      <c r="X13159" t="s">
        <v>45115</v>
      </c>
    </row>
    <row r="13160" spans="1:24">
      <c r="A13160">
        <f>HYPERLINK("https://www.philgeps.gov.ph/GEPSNONPILOT/Tender/SplashBidNoticeAbstractUI.aspx?menuIndex=3&amp;refID=7017976&amp;Result=3","7017976")</f>
        <v>0</v>
      </c>
      <c r="B13160" t="s">
        <v>2971</v>
      </c>
      <c r="C13160" t="s">
        <v>15793</v>
      </c>
      <c r="D13160" t="s">
        <v>18088</v>
      </c>
      <c r="E13160" t="s">
        <v>29486</v>
      </c>
      <c r="F13160" t="s">
        <v>31574</v>
      </c>
      <c r="G13160" t="s">
        <v>31582</v>
      </c>
      <c r="H13160" t="s">
        <v>31590</v>
      </c>
      <c r="I13160" t="s">
        <v>31633</v>
      </c>
      <c r="J13160" t="s">
        <v>39840</v>
      </c>
      <c r="K13160" t="s">
        <v>41191</v>
      </c>
      <c r="M13160" t="s">
        <v>44793</v>
      </c>
      <c r="N13160" t="s">
        <v>45095</v>
      </c>
      <c r="O13160" t="s">
        <v>45096</v>
      </c>
      <c r="P13160">
        <v>0</v>
      </c>
      <c r="Q13160">
        <v>9</v>
      </c>
      <c r="R13160" t="s">
        <v>45114</v>
      </c>
      <c r="S13160" t="s">
        <v>45791</v>
      </c>
      <c r="T13160" t="s">
        <v>46979</v>
      </c>
      <c r="U13160" t="s">
        <v>58152</v>
      </c>
      <c r="V13160" t="s">
        <v>61235</v>
      </c>
      <c r="W13160" t="s">
        <v>44793</v>
      </c>
      <c r="X13160" t="s">
        <v>45115</v>
      </c>
    </row>
    <row r="13161" spans="1:24">
      <c r="A13161">
        <f>HYPERLINK("https://www.philgeps.gov.ph/GEPSNONPILOT/Tender/SplashBidNoticeAbstractUI.aspx?menuIndex=3&amp;refID=7017896&amp;Result=3","7017896")</f>
        <v>0</v>
      </c>
      <c r="B13161" t="s">
        <v>1520</v>
      </c>
      <c r="C13161" t="s">
        <v>15794</v>
      </c>
      <c r="E13161" t="s">
        <v>29487</v>
      </c>
      <c r="F13161" t="s">
        <v>31574</v>
      </c>
      <c r="G13161" t="s">
        <v>31582</v>
      </c>
      <c r="H13161" t="s">
        <v>31591</v>
      </c>
      <c r="I13161" t="s">
        <v>8822</v>
      </c>
      <c r="J13161" t="s">
        <v>39841</v>
      </c>
      <c r="K13161" t="s">
        <v>41184</v>
      </c>
      <c r="M13161" t="s">
        <v>43111</v>
      </c>
      <c r="N13161" t="s">
        <v>45095</v>
      </c>
      <c r="O13161" t="s">
        <v>45096</v>
      </c>
      <c r="Q13161">
        <v>48</v>
      </c>
      <c r="R13161" t="s">
        <v>45114</v>
      </c>
      <c r="S13161" t="s">
        <v>45823</v>
      </c>
      <c r="T13161" t="s">
        <v>46973</v>
      </c>
      <c r="U13161" t="s">
        <v>51225</v>
      </c>
      <c r="W13161" t="s">
        <v>61704</v>
      </c>
      <c r="X13161" t="s">
        <v>45115</v>
      </c>
    </row>
    <row r="13162" spans="1:24">
      <c r="A13162">
        <f>HYPERLINK("https://www.philgeps.gov.ph/GEPSNONPILOT/Tender/SplashBidNoticeAbstractUI.aspx?menuIndex=3&amp;refID=7018031&amp;Result=3","7018031")</f>
        <v>0</v>
      </c>
      <c r="B13162" t="s">
        <v>1554</v>
      </c>
      <c r="C13162" t="s">
        <v>15795</v>
      </c>
      <c r="D13162" t="s">
        <v>18056</v>
      </c>
      <c r="E13162" t="s">
        <v>29488</v>
      </c>
      <c r="F13162" t="s">
        <v>31574</v>
      </c>
      <c r="G13162" t="s">
        <v>31582</v>
      </c>
      <c r="H13162" t="s">
        <v>31591</v>
      </c>
      <c r="I13162" t="s">
        <v>8822</v>
      </c>
      <c r="J13162" t="s">
        <v>39842</v>
      </c>
      <c r="K13162" t="s">
        <v>41192</v>
      </c>
      <c r="M13162" t="s">
        <v>44237</v>
      </c>
      <c r="N13162" t="s">
        <v>45095</v>
      </c>
      <c r="O13162" t="s">
        <v>45096</v>
      </c>
      <c r="P13162">
        <v>0</v>
      </c>
      <c r="Q13162">
        <v>0</v>
      </c>
      <c r="R13162" t="s">
        <v>45114</v>
      </c>
      <c r="S13162" t="s">
        <v>45791</v>
      </c>
      <c r="T13162" t="s">
        <v>46922</v>
      </c>
      <c r="U13162" t="s">
        <v>58142</v>
      </c>
      <c r="V13162" t="s">
        <v>61148</v>
      </c>
      <c r="W13162" t="s">
        <v>44237</v>
      </c>
      <c r="X13162" t="s">
        <v>45115</v>
      </c>
    </row>
    <row r="13163" spans="1:24">
      <c r="A13163">
        <f>HYPERLINK("https://www.philgeps.gov.ph/GEPSNONPILOT/Tender/SplashBidNoticeAbstractUI.aspx?menuIndex=3&amp;refID=7018013&amp;Result=3","7018013")</f>
        <v>0</v>
      </c>
      <c r="B13163" t="s">
        <v>3015</v>
      </c>
      <c r="C13163" t="s">
        <v>15796</v>
      </c>
      <c r="D13163" t="s">
        <v>18028</v>
      </c>
      <c r="E13163" t="s">
        <v>18574</v>
      </c>
      <c r="F13163" t="s">
        <v>31574</v>
      </c>
      <c r="G13163" t="s">
        <v>31582</v>
      </c>
      <c r="H13163" t="s">
        <v>31591</v>
      </c>
      <c r="I13163" t="s">
        <v>31627</v>
      </c>
      <c r="J13163" t="s">
        <v>31843</v>
      </c>
      <c r="K13163" t="s">
        <v>41196</v>
      </c>
      <c r="L13163" t="s">
        <v>3015</v>
      </c>
      <c r="M13163" t="s">
        <v>44845</v>
      </c>
      <c r="N13163" t="s">
        <v>45095</v>
      </c>
      <c r="O13163" t="s">
        <v>45096</v>
      </c>
      <c r="P13163">
        <v>0</v>
      </c>
      <c r="Q13163">
        <v>0</v>
      </c>
      <c r="R13163" t="s">
        <v>45114</v>
      </c>
      <c r="S13163" t="s">
        <v>45791</v>
      </c>
      <c r="T13163" t="s">
        <v>46918</v>
      </c>
      <c r="U13163" t="s">
        <v>58153</v>
      </c>
      <c r="W13163" t="s">
        <v>44845</v>
      </c>
      <c r="X13163" t="s">
        <v>45115</v>
      </c>
    </row>
    <row r="13164" spans="1:24">
      <c r="A13164">
        <f>HYPERLINK("https://www.philgeps.gov.ph/GEPSNONPILOT/Tender/SplashBidNoticeAbstractUI.aspx?menuIndex=3&amp;refID=7017820&amp;Result=3","7017820")</f>
        <v>0</v>
      </c>
      <c r="B13164" t="s">
        <v>3013</v>
      </c>
      <c r="C13164" t="s">
        <v>15797</v>
      </c>
      <c r="D13164" t="s">
        <v>18051</v>
      </c>
      <c r="E13164" t="s">
        <v>29489</v>
      </c>
      <c r="F13164" t="s">
        <v>31574</v>
      </c>
      <c r="G13164" t="s">
        <v>31582</v>
      </c>
      <c r="H13164" t="s">
        <v>31591</v>
      </c>
      <c r="I13164" t="s">
        <v>8822</v>
      </c>
      <c r="J13164" t="s">
        <v>39843</v>
      </c>
      <c r="K13164" t="s">
        <v>41333</v>
      </c>
      <c r="M13164" t="s">
        <v>44842</v>
      </c>
      <c r="N13164" t="s">
        <v>45095</v>
      </c>
      <c r="O13164" t="s">
        <v>45096</v>
      </c>
      <c r="P13164">
        <v>0</v>
      </c>
      <c r="Q13164">
        <v>1</v>
      </c>
      <c r="R13164" t="s">
        <v>45114</v>
      </c>
      <c r="S13164" t="s">
        <v>45791</v>
      </c>
      <c r="T13164" t="s">
        <v>46926</v>
      </c>
      <c r="U13164" t="s">
        <v>58145</v>
      </c>
      <c r="W13164" t="s">
        <v>44842</v>
      </c>
      <c r="X13164" t="s">
        <v>45115</v>
      </c>
    </row>
    <row r="13165" spans="1:24">
      <c r="A13165">
        <f>HYPERLINK("https://www.philgeps.gov.ph/GEPSNONPILOT/Tender/SplashBidNoticeAbstractUI.aspx?menuIndex=3&amp;refID=7018000&amp;Result=3","7018000")</f>
        <v>0</v>
      </c>
      <c r="B13165" t="s">
        <v>1554</v>
      </c>
      <c r="C13165" t="s">
        <v>15798</v>
      </c>
      <c r="D13165" t="s">
        <v>18056</v>
      </c>
      <c r="E13165" t="s">
        <v>29490</v>
      </c>
      <c r="F13165" t="s">
        <v>31574</v>
      </c>
      <c r="G13165" t="s">
        <v>31582</v>
      </c>
      <c r="H13165" t="s">
        <v>31591</v>
      </c>
      <c r="I13165" t="s">
        <v>8822</v>
      </c>
      <c r="J13165" t="s">
        <v>39844</v>
      </c>
      <c r="K13165" t="s">
        <v>41192</v>
      </c>
      <c r="M13165" t="s">
        <v>44237</v>
      </c>
      <c r="N13165" t="s">
        <v>45095</v>
      </c>
      <c r="O13165" t="s">
        <v>45096</v>
      </c>
      <c r="P13165">
        <v>0</v>
      </c>
      <c r="Q13165">
        <v>0</v>
      </c>
      <c r="R13165" t="s">
        <v>45114</v>
      </c>
      <c r="S13165" t="s">
        <v>45791</v>
      </c>
      <c r="T13165" t="s">
        <v>46926</v>
      </c>
      <c r="U13165" t="s">
        <v>58142</v>
      </c>
      <c r="V13165" t="s">
        <v>61148</v>
      </c>
      <c r="W13165" t="s">
        <v>44237</v>
      </c>
      <c r="X13165" t="s">
        <v>45115</v>
      </c>
    </row>
    <row r="13166" spans="1:24">
      <c r="A13166">
        <f>HYPERLINK("https://www.philgeps.gov.ph/GEPSNONPILOT/Tender/SplashBidNoticeAbstractUI.aspx?menuIndex=3&amp;refID=7017856&amp;Result=3","7017856")</f>
        <v>0</v>
      </c>
      <c r="B13166" t="s">
        <v>1868</v>
      </c>
      <c r="C13166" t="s">
        <v>15799</v>
      </c>
      <c r="D13166" t="s">
        <v>18079</v>
      </c>
      <c r="E13166" t="s">
        <v>29491</v>
      </c>
      <c r="F13166" t="s">
        <v>31574</v>
      </c>
      <c r="G13166" t="s">
        <v>31582</v>
      </c>
      <c r="H13166" t="s">
        <v>31590</v>
      </c>
      <c r="I13166" t="s">
        <v>4046</v>
      </c>
      <c r="J13166" t="s">
        <v>39845</v>
      </c>
      <c r="K13166" t="s">
        <v>41184</v>
      </c>
      <c r="M13166" t="s">
        <v>43507</v>
      </c>
      <c r="N13166" t="s">
        <v>45095</v>
      </c>
      <c r="O13166" t="s">
        <v>45096</v>
      </c>
      <c r="Q13166">
        <v>1</v>
      </c>
      <c r="R13166" t="s">
        <v>45114</v>
      </c>
      <c r="S13166" t="s">
        <v>45824</v>
      </c>
      <c r="T13166" t="s">
        <v>47183</v>
      </c>
      <c r="U13166" t="s">
        <v>58154</v>
      </c>
      <c r="W13166" t="s">
        <v>43507</v>
      </c>
      <c r="X13166" t="s">
        <v>45115</v>
      </c>
    </row>
    <row r="13167" spans="1:24">
      <c r="A13167">
        <f>HYPERLINK("https://www.philgeps.gov.ph/GEPSNONPILOT/Tender/SplashBidNoticeAbstractUI.aspx?menuIndex=3&amp;refID=7018080&amp;Result=3","7018080")</f>
        <v>0</v>
      </c>
      <c r="B13167" t="s">
        <v>1554</v>
      </c>
      <c r="C13167" t="s">
        <v>15800</v>
      </c>
      <c r="D13167" t="s">
        <v>18056</v>
      </c>
      <c r="E13167" t="s">
        <v>29492</v>
      </c>
      <c r="F13167" t="s">
        <v>31574</v>
      </c>
      <c r="G13167" t="s">
        <v>31582</v>
      </c>
      <c r="H13167" t="s">
        <v>31591</v>
      </c>
      <c r="I13167" t="s">
        <v>8822</v>
      </c>
      <c r="J13167" t="s">
        <v>39846</v>
      </c>
      <c r="K13167" t="s">
        <v>41217</v>
      </c>
      <c r="M13167" t="s">
        <v>44237</v>
      </c>
      <c r="N13167" t="s">
        <v>45095</v>
      </c>
      <c r="O13167" t="s">
        <v>45096</v>
      </c>
      <c r="P13167">
        <v>0</v>
      </c>
      <c r="Q13167">
        <v>0</v>
      </c>
      <c r="R13167" t="s">
        <v>45114</v>
      </c>
      <c r="S13167" t="s">
        <v>45791</v>
      </c>
      <c r="T13167" t="s">
        <v>46922</v>
      </c>
      <c r="U13167" t="s">
        <v>58142</v>
      </c>
      <c r="V13167" t="s">
        <v>61148</v>
      </c>
      <c r="W13167" t="s">
        <v>44237</v>
      </c>
      <c r="X13167" t="s">
        <v>45115</v>
      </c>
    </row>
    <row r="13168" spans="1:24">
      <c r="A13168">
        <f>HYPERLINK("https://www.philgeps.gov.ph/GEPSNONPILOT/Tender/SplashBidNoticeAbstractUI.aspx?menuIndex=3&amp;refID=7018018&amp;Result=3","7018018")</f>
        <v>0</v>
      </c>
      <c r="B13168" t="s">
        <v>1554</v>
      </c>
      <c r="C13168" t="s">
        <v>15801</v>
      </c>
      <c r="D13168" t="s">
        <v>18056</v>
      </c>
      <c r="E13168" t="s">
        <v>29493</v>
      </c>
      <c r="F13168" t="s">
        <v>31574</v>
      </c>
      <c r="G13168" t="s">
        <v>31582</v>
      </c>
      <c r="H13168" t="s">
        <v>31591</v>
      </c>
      <c r="I13168" t="s">
        <v>8822</v>
      </c>
      <c r="J13168" t="s">
        <v>39847</v>
      </c>
      <c r="K13168" t="s">
        <v>41263</v>
      </c>
      <c r="M13168" t="s">
        <v>44237</v>
      </c>
      <c r="N13168" t="s">
        <v>45095</v>
      </c>
      <c r="O13168" t="s">
        <v>45096</v>
      </c>
      <c r="P13168">
        <v>0</v>
      </c>
      <c r="Q13168">
        <v>0</v>
      </c>
      <c r="R13168" t="s">
        <v>45114</v>
      </c>
      <c r="S13168" t="s">
        <v>45791</v>
      </c>
      <c r="T13168" t="s">
        <v>46926</v>
      </c>
      <c r="U13168" t="s">
        <v>58142</v>
      </c>
      <c r="V13168" t="s">
        <v>61148</v>
      </c>
      <c r="W13168" t="s">
        <v>44237</v>
      </c>
      <c r="X13168" t="s">
        <v>45115</v>
      </c>
    </row>
    <row r="13169" spans="1:24">
      <c r="A13169">
        <f>HYPERLINK("https://www.philgeps.gov.ph/GEPSNONPILOT/Tender/SplashBidNoticeAbstractUI.aspx?menuIndex=3&amp;refID=7018063&amp;Result=3","7018063")</f>
        <v>0</v>
      </c>
      <c r="B13169" t="s">
        <v>1264</v>
      </c>
      <c r="C13169" t="s">
        <v>15802</v>
      </c>
      <c r="D13169" t="s">
        <v>18039</v>
      </c>
      <c r="E13169" t="s">
        <v>29494</v>
      </c>
      <c r="F13169" t="s">
        <v>31574</v>
      </c>
      <c r="G13169" t="s">
        <v>31582</v>
      </c>
      <c r="H13169" t="s">
        <v>31591</v>
      </c>
      <c r="I13169" t="s">
        <v>8822</v>
      </c>
      <c r="J13169" t="s">
        <v>39848</v>
      </c>
      <c r="K13169" t="s">
        <v>41203</v>
      </c>
      <c r="M13169" t="s">
        <v>42832</v>
      </c>
      <c r="N13169" t="s">
        <v>45095</v>
      </c>
      <c r="O13169" t="s">
        <v>45096</v>
      </c>
      <c r="P13169">
        <v>0</v>
      </c>
      <c r="Q13169">
        <v>0</v>
      </c>
      <c r="R13169" t="s">
        <v>45114</v>
      </c>
      <c r="S13169" t="s">
        <v>45791</v>
      </c>
      <c r="T13169" t="s">
        <v>47143</v>
      </c>
      <c r="U13169" t="s">
        <v>58155</v>
      </c>
      <c r="W13169" t="s">
        <v>42832</v>
      </c>
      <c r="X13169" t="s">
        <v>45115</v>
      </c>
    </row>
    <row r="13170" spans="1:24">
      <c r="A13170">
        <f>HYPERLINK("https://www.philgeps.gov.ph/GEPSNONPILOT/Tender/SplashBidNoticeAbstractUI.aspx?menuIndex=3&amp;refID=7018011&amp;Result=3","7018011")</f>
        <v>0</v>
      </c>
      <c r="B13170" t="s">
        <v>2117</v>
      </c>
      <c r="C13170" t="s">
        <v>15803</v>
      </c>
      <c r="D13170" t="s">
        <v>18070</v>
      </c>
      <c r="E13170" t="s">
        <v>29322</v>
      </c>
      <c r="F13170" t="s">
        <v>31574</v>
      </c>
      <c r="G13170" t="s">
        <v>31582</v>
      </c>
      <c r="H13170" t="s">
        <v>31592</v>
      </c>
      <c r="I13170" t="s">
        <v>31620</v>
      </c>
      <c r="J13170" t="s">
        <v>32906</v>
      </c>
      <c r="K13170" t="s">
        <v>41185</v>
      </c>
      <c r="M13170" t="s">
        <v>44536</v>
      </c>
      <c r="N13170" t="s">
        <v>45095</v>
      </c>
      <c r="O13170" t="s">
        <v>45096</v>
      </c>
      <c r="Q13170">
        <v>37</v>
      </c>
      <c r="R13170" t="s">
        <v>45114</v>
      </c>
      <c r="S13170" t="s">
        <v>45825</v>
      </c>
      <c r="T13170" t="s">
        <v>46904</v>
      </c>
      <c r="U13170" t="s">
        <v>58156</v>
      </c>
      <c r="W13170" t="s">
        <v>44536</v>
      </c>
      <c r="X13170" t="s">
        <v>45115</v>
      </c>
    </row>
    <row r="13171" spans="1:24">
      <c r="A13171">
        <f>HYPERLINK("https://www.philgeps.gov.ph/GEPSNONPILOT/Tender/SplashBidNoticeAbstractUI.aspx?menuIndex=3&amp;refID=7017997&amp;Result=3","7017997")</f>
        <v>0</v>
      </c>
      <c r="B13171" t="s">
        <v>3013</v>
      </c>
      <c r="C13171" t="s">
        <v>15804</v>
      </c>
      <c r="D13171" t="s">
        <v>18051</v>
      </c>
      <c r="E13171" t="s">
        <v>29495</v>
      </c>
      <c r="F13171" t="s">
        <v>31574</v>
      </c>
      <c r="G13171" t="s">
        <v>31582</v>
      </c>
      <c r="H13171" t="s">
        <v>31591</v>
      </c>
      <c r="I13171" t="s">
        <v>8822</v>
      </c>
      <c r="J13171" t="s">
        <v>39849</v>
      </c>
      <c r="K13171" t="s">
        <v>41287</v>
      </c>
      <c r="M13171" t="s">
        <v>44842</v>
      </c>
      <c r="N13171" t="s">
        <v>45095</v>
      </c>
      <c r="O13171" t="s">
        <v>45096</v>
      </c>
      <c r="P13171">
        <v>0</v>
      </c>
      <c r="Q13171">
        <v>0</v>
      </c>
      <c r="R13171" t="s">
        <v>45114</v>
      </c>
      <c r="S13171" t="s">
        <v>45791</v>
      </c>
      <c r="T13171" t="s">
        <v>46926</v>
      </c>
      <c r="U13171" t="s">
        <v>58145</v>
      </c>
      <c r="W13171" t="s">
        <v>44842</v>
      </c>
      <c r="X13171" t="s">
        <v>45115</v>
      </c>
    </row>
    <row r="13172" spans="1:24">
      <c r="A13172">
        <f>HYPERLINK("https://www.philgeps.gov.ph/GEPSNONPILOT/Tender/SplashBidNoticeAbstractUI.aspx?menuIndex=3&amp;refID=7018097&amp;Result=3","7018097")</f>
        <v>0</v>
      </c>
      <c r="B13172" t="s">
        <v>1945</v>
      </c>
      <c r="C13172" t="s">
        <v>15805</v>
      </c>
      <c r="D13172" t="s">
        <v>18052</v>
      </c>
      <c r="E13172" t="s">
        <v>29496</v>
      </c>
      <c r="F13172" t="s">
        <v>31574</v>
      </c>
      <c r="G13172" t="s">
        <v>31582</v>
      </c>
      <c r="H13172" t="s">
        <v>31591</v>
      </c>
      <c r="I13172" t="s">
        <v>8822</v>
      </c>
      <c r="J13172" t="s">
        <v>32261</v>
      </c>
      <c r="K13172" t="s">
        <v>41192</v>
      </c>
      <c r="M13172" t="s">
        <v>43600</v>
      </c>
      <c r="N13172" t="s">
        <v>45095</v>
      </c>
      <c r="O13172" t="s">
        <v>45096</v>
      </c>
      <c r="P13172">
        <v>0</v>
      </c>
      <c r="Q13172">
        <v>0</v>
      </c>
      <c r="R13172" t="s">
        <v>45114</v>
      </c>
      <c r="S13172" t="s">
        <v>45791</v>
      </c>
      <c r="T13172" t="s">
        <v>47080</v>
      </c>
      <c r="U13172" t="s">
        <v>52707</v>
      </c>
      <c r="W13172" t="s">
        <v>43600</v>
      </c>
      <c r="X13172" t="s">
        <v>45115</v>
      </c>
    </row>
    <row r="13173" spans="1:24">
      <c r="A13173">
        <f>HYPERLINK("https://www.philgeps.gov.ph/GEPSNONPILOT/Tender/SplashBidNoticeAbstractUI.aspx?menuIndex=3&amp;refID=7018002&amp;Result=3","7018002")</f>
        <v>0</v>
      </c>
      <c r="B13173" t="s">
        <v>1215</v>
      </c>
      <c r="C13173" t="s">
        <v>15806</v>
      </c>
      <c r="D13173" t="s">
        <v>18030</v>
      </c>
      <c r="E13173" t="s">
        <v>29497</v>
      </c>
      <c r="F13173" t="s">
        <v>31574</v>
      </c>
      <c r="G13173" t="s">
        <v>31582</v>
      </c>
      <c r="H13173" t="s">
        <v>31590</v>
      </c>
      <c r="I13173" t="s">
        <v>31615</v>
      </c>
      <c r="J13173" t="s">
        <v>39850</v>
      </c>
      <c r="K13173" t="s">
        <v>41184</v>
      </c>
      <c r="M13173" t="s">
        <v>44846</v>
      </c>
      <c r="N13173" t="s">
        <v>45095</v>
      </c>
      <c r="O13173" t="s">
        <v>45096</v>
      </c>
      <c r="Q13173">
        <v>5</v>
      </c>
      <c r="R13173" t="s">
        <v>45114</v>
      </c>
      <c r="S13173" t="s">
        <v>45826</v>
      </c>
      <c r="T13173" t="s">
        <v>46917</v>
      </c>
      <c r="U13173" t="s">
        <v>58157</v>
      </c>
      <c r="V13173" t="s">
        <v>61296</v>
      </c>
      <c r="W13173" t="s">
        <v>44846</v>
      </c>
      <c r="X13173" t="s">
        <v>45115</v>
      </c>
    </row>
    <row r="13174" spans="1:24">
      <c r="A13174">
        <f>HYPERLINK("https://www.philgeps.gov.ph/GEPSNONPILOT/Tender/SplashBidNoticeAbstractUI.aspx?menuIndex=3&amp;refID=7018065&amp;Result=3","7018065")</f>
        <v>0</v>
      </c>
      <c r="B13174" t="s">
        <v>1554</v>
      </c>
      <c r="C13174" t="s">
        <v>15807</v>
      </c>
      <c r="D13174" t="s">
        <v>18056</v>
      </c>
      <c r="E13174" t="s">
        <v>29498</v>
      </c>
      <c r="F13174" t="s">
        <v>31574</v>
      </c>
      <c r="G13174" t="s">
        <v>31582</v>
      </c>
      <c r="H13174" t="s">
        <v>31591</v>
      </c>
      <c r="I13174" t="s">
        <v>8822</v>
      </c>
      <c r="J13174" t="s">
        <v>39851</v>
      </c>
      <c r="K13174" t="s">
        <v>41192</v>
      </c>
      <c r="M13174" t="s">
        <v>44237</v>
      </c>
      <c r="N13174" t="s">
        <v>45095</v>
      </c>
      <c r="O13174" t="s">
        <v>45096</v>
      </c>
      <c r="P13174">
        <v>0</v>
      </c>
      <c r="Q13174">
        <v>0</v>
      </c>
      <c r="R13174" t="s">
        <v>45114</v>
      </c>
      <c r="S13174" t="s">
        <v>45791</v>
      </c>
      <c r="T13174" t="s">
        <v>46922</v>
      </c>
      <c r="U13174" t="s">
        <v>58142</v>
      </c>
      <c r="V13174" t="s">
        <v>61148</v>
      </c>
      <c r="W13174" t="s">
        <v>44237</v>
      </c>
      <c r="X13174" t="s">
        <v>45115</v>
      </c>
    </row>
    <row r="13175" spans="1:24">
      <c r="A13175">
        <f>HYPERLINK("https://www.philgeps.gov.ph/GEPSNONPILOT/Tender/SplashBidNoticeAbstractUI.aspx?menuIndex=3&amp;refID=7018092&amp;Result=3","7018092")</f>
        <v>0</v>
      </c>
      <c r="B13175" t="s">
        <v>1554</v>
      </c>
      <c r="C13175" t="s">
        <v>15808</v>
      </c>
      <c r="D13175" t="s">
        <v>18056</v>
      </c>
      <c r="E13175" t="s">
        <v>29499</v>
      </c>
      <c r="F13175" t="s">
        <v>31574</v>
      </c>
      <c r="G13175" t="s">
        <v>31582</v>
      </c>
      <c r="H13175" t="s">
        <v>31591</v>
      </c>
      <c r="I13175" t="s">
        <v>8822</v>
      </c>
      <c r="J13175" t="s">
        <v>39852</v>
      </c>
      <c r="K13175" t="s">
        <v>41189</v>
      </c>
      <c r="M13175" t="s">
        <v>44237</v>
      </c>
      <c r="N13175" t="s">
        <v>45095</v>
      </c>
      <c r="O13175" t="s">
        <v>45096</v>
      </c>
      <c r="P13175">
        <v>0</v>
      </c>
      <c r="Q13175">
        <v>0</v>
      </c>
      <c r="R13175" t="s">
        <v>45114</v>
      </c>
      <c r="S13175" t="s">
        <v>45791</v>
      </c>
      <c r="T13175" t="s">
        <v>46922</v>
      </c>
      <c r="U13175" t="s">
        <v>58158</v>
      </c>
      <c r="V13175" t="s">
        <v>61148</v>
      </c>
      <c r="W13175" t="s">
        <v>44237</v>
      </c>
      <c r="X13175" t="s">
        <v>45115</v>
      </c>
    </row>
    <row r="13176" spans="1:24">
      <c r="A13176">
        <f>HYPERLINK("https://www.philgeps.gov.ph/GEPSNONPILOT/Tender/SplashBidNoticeAbstractUI.aspx?menuIndex=3&amp;refID=7017998&amp;Result=3","7017998")</f>
        <v>0</v>
      </c>
      <c r="B13176" t="s">
        <v>2196</v>
      </c>
      <c r="C13176" t="s">
        <v>15809</v>
      </c>
      <c r="D13176" t="s">
        <v>18086</v>
      </c>
      <c r="E13176" t="s">
        <v>29500</v>
      </c>
      <c r="F13176" t="s">
        <v>31574</v>
      </c>
      <c r="G13176" t="s">
        <v>31582</v>
      </c>
      <c r="H13176" t="s">
        <v>31591</v>
      </c>
      <c r="I13176" t="s">
        <v>8822</v>
      </c>
      <c r="J13176" t="s">
        <v>39853</v>
      </c>
      <c r="K13176" t="s">
        <v>41189</v>
      </c>
      <c r="M13176" t="s">
        <v>43884</v>
      </c>
      <c r="N13176" t="s">
        <v>45095</v>
      </c>
      <c r="O13176" t="s">
        <v>45096</v>
      </c>
      <c r="Q13176">
        <v>0</v>
      </c>
      <c r="R13176" t="s">
        <v>45114</v>
      </c>
      <c r="S13176" t="s">
        <v>45827</v>
      </c>
      <c r="T13176" t="s">
        <v>46918</v>
      </c>
      <c r="U13176" t="s">
        <v>53634</v>
      </c>
      <c r="W13176" t="s">
        <v>43884</v>
      </c>
      <c r="X13176" t="s">
        <v>45115</v>
      </c>
    </row>
    <row r="13177" spans="1:24">
      <c r="A13177">
        <f>HYPERLINK("https://www.philgeps.gov.ph/GEPSNONPILOT/Tender/SplashBidNoticeAbstractUI.aspx?menuIndex=3&amp;refID=7017987&amp;Result=3","7017987")</f>
        <v>0</v>
      </c>
      <c r="B13177" t="s">
        <v>1554</v>
      </c>
      <c r="C13177" t="s">
        <v>15810</v>
      </c>
      <c r="D13177" t="s">
        <v>18056</v>
      </c>
      <c r="E13177" t="s">
        <v>29501</v>
      </c>
      <c r="F13177" t="s">
        <v>31574</v>
      </c>
      <c r="G13177" t="s">
        <v>31582</v>
      </c>
      <c r="H13177" t="s">
        <v>31591</v>
      </c>
      <c r="I13177" t="s">
        <v>8822</v>
      </c>
      <c r="J13177" t="s">
        <v>39854</v>
      </c>
      <c r="K13177" t="s">
        <v>41192</v>
      </c>
      <c r="M13177" t="s">
        <v>44237</v>
      </c>
      <c r="N13177" t="s">
        <v>45095</v>
      </c>
      <c r="O13177" t="s">
        <v>45096</v>
      </c>
      <c r="P13177">
        <v>0</v>
      </c>
      <c r="Q13177">
        <v>1</v>
      </c>
      <c r="R13177" t="s">
        <v>45114</v>
      </c>
      <c r="S13177" t="s">
        <v>45791</v>
      </c>
      <c r="T13177" t="s">
        <v>46926</v>
      </c>
      <c r="U13177" t="s">
        <v>58142</v>
      </c>
      <c r="V13177" t="s">
        <v>61148</v>
      </c>
      <c r="W13177" t="s">
        <v>44237</v>
      </c>
      <c r="X13177" t="s">
        <v>45115</v>
      </c>
    </row>
    <row r="13178" spans="1:24">
      <c r="A13178">
        <f>HYPERLINK("https://www.philgeps.gov.ph/GEPSNONPILOT/Tender/SplashBidNoticeAbstractUI.aspx?menuIndex=3&amp;refID=7017978&amp;Result=3","7017978")</f>
        <v>0</v>
      </c>
      <c r="B13178" t="s">
        <v>3013</v>
      </c>
      <c r="C13178" t="s">
        <v>15811</v>
      </c>
      <c r="D13178" t="s">
        <v>18051</v>
      </c>
      <c r="E13178" t="s">
        <v>29502</v>
      </c>
      <c r="F13178" t="s">
        <v>31574</v>
      </c>
      <c r="G13178" t="s">
        <v>31582</v>
      </c>
      <c r="H13178" t="s">
        <v>31591</v>
      </c>
      <c r="I13178" t="s">
        <v>8822</v>
      </c>
      <c r="J13178" t="s">
        <v>39855</v>
      </c>
      <c r="K13178" t="s">
        <v>41243</v>
      </c>
      <c r="M13178" t="s">
        <v>44842</v>
      </c>
      <c r="N13178" t="s">
        <v>45095</v>
      </c>
      <c r="O13178" t="s">
        <v>45096</v>
      </c>
      <c r="P13178">
        <v>0</v>
      </c>
      <c r="Q13178">
        <v>1</v>
      </c>
      <c r="R13178" t="s">
        <v>45114</v>
      </c>
      <c r="S13178" t="s">
        <v>45791</v>
      </c>
      <c r="T13178" t="s">
        <v>46926</v>
      </c>
      <c r="U13178" t="s">
        <v>58145</v>
      </c>
      <c r="W13178" t="s">
        <v>44842</v>
      </c>
      <c r="X13178" t="s">
        <v>45115</v>
      </c>
    </row>
    <row r="13179" spans="1:24">
      <c r="A13179">
        <f>HYPERLINK("https://www.philgeps.gov.ph/GEPSNONPILOT/Tender/SplashBidNoticeAbstractUI.aspx?menuIndex=3&amp;refID=7018087&amp;Result=3","7018087")</f>
        <v>0</v>
      </c>
      <c r="B13179" t="s">
        <v>1541</v>
      </c>
      <c r="C13179" t="s">
        <v>15812</v>
      </c>
      <c r="D13179" t="s">
        <v>18043</v>
      </c>
      <c r="E13179" t="s">
        <v>19545</v>
      </c>
      <c r="F13179" t="s">
        <v>31574</v>
      </c>
      <c r="G13179" t="s">
        <v>31582</v>
      </c>
      <c r="H13179" t="s">
        <v>31590</v>
      </c>
      <c r="I13179" t="s">
        <v>31615</v>
      </c>
      <c r="J13179" t="s">
        <v>31758</v>
      </c>
      <c r="K13179" t="s">
        <v>41186</v>
      </c>
      <c r="M13179" t="s">
        <v>43136</v>
      </c>
      <c r="N13179" t="s">
        <v>45095</v>
      </c>
      <c r="O13179" t="s">
        <v>45096</v>
      </c>
      <c r="P13179">
        <v>0</v>
      </c>
      <c r="Q13179">
        <v>5</v>
      </c>
      <c r="R13179" t="s">
        <v>45114</v>
      </c>
      <c r="S13179" t="s">
        <v>45791</v>
      </c>
      <c r="T13179" t="s">
        <v>46937</v>
      </c>
      <c r="U13179" t="s">
        <v>58159</v>
      </c>
      <c r="W13179" t="s">
        <v>43136</v>
      </c>
      <c r="X13179" t="s">
        <v>45115</v>
      </c>
    </row>
    <row r="13180" spans="1:24">
      <c r="A13180">
        <f>HYPERLINK("https://www.philgeps.gov.ph/GEPSNONPILOT/Tender/SplashBidNoticeAbstractUI.aspx?menuIndex=3&amp;refID=7017979&amp;Result=3","7017979")</f>
        <v>0</v>
      </c>
      <c r="B13180" t="s">
        <v>1554</v>
      </c>
      <c r="C13180" t="s">
        <v>15813</v>
      </c>
      <c r="D13180" t="s">
        <v>18056</v>
      </c>
      <c r="E13180" t="s">
        <v>29503</v>
      </c>
      <c r="F13180" t="s">
        <v>31574</v>
      </c>
      <c r="G13180" t="s">
        <v>31582</v>
      </c>
      <c r="H13180" t="s">
        <v>31591</v>
      </c>
      <c r="I13180" t="s">
        <v>8822</v>
      </c>
      <c r="J13180" t="s">
        <v>39856</v>
      </c>
      <c r="K13180" t="s">
        <v>41203</v>
      </c>
      <c r="M13180" t="s">
        <v>44237</v>
      </c>
      <c r="N13180" t="s">
        <v>45095</v>
      </c>
      <c r="O13180" t="s">
        <v>45096</v>
      </c>
      <c r="P13180">
        <v>0</v>
      </c>
      <c r="Q13180">
        <v>0</v>
      </c>
      <c r="R13180" t="s">
        <v>45114</v>
      </c>
      <c r="S13180" t="s">
        <v>45791</v>
      </c>
      <c r="T13180" t="s">
        <v>46926</v>
      </c>
      <c r="U13180" t="s">
        <v>58142</v>
      </c>
      <c r="V13180" t="s">
        <v>61148</v>
      </c>
      <c r="W13180" t="s">
        <v>44237</v>
      </c>
      <c r="X13180" t="s">
        <v>45115</v>
      </c>
    </row>
    <row r="13181" spans="1:24">
      <c r="A13181">
        <f>HYPERLINK("https://www.philgeps.gov.ph/GEPSNONPILOT/Tender/SplashBidNoticeAbstractUI.aspx?menuIndex=3&amp;refID=7018101&amp;Result=3","7018101")</f>
        <v>0</v>
      </c>
      <c r="B13181" t="s">
        <v>1554</v>
      </c>
      <c r="C13181" t="s">
        <v>15814</v>
      </c>
      <c r="D13181" t="s">
        <v>18056</v>
      </c>
      <c r="E13181" t="s">
        <v>29504</v>
      </c>
      <c r="F13181" t="s">
        <v>31574</v>
      </c>
      <c r="G13181" t="s">
        <v>31582</v>
      </c>
      <c r="H13181" t="s">
        <v>31591</v>
      </c>
      <c r="I13181" t="s">
        <v>8822</v>
      </c>
      <c r="J13181" t="s">
        <v>39857</v>
      </c>
      <c r="K13181" t="s">
        <v>41189</v>
      </c>
      <c r="M13181" t="s">
        <v>44237</v>
      </c>
      <c r="N13181" t="s">
        <v>45095</v>
      </c>
      <c r="O13181" t="s">
        <v>45096</v>
      </c>
      <c r="P13181">
        <v>0</v>
      </c>
      <c r="Q13181">
        <v>0</v>
      </c>
      <c r="R13181" t="s">
        <v>45114</v>
      </c>
      <c r="S13181" t="s">
        <v>45791</v>
      </c>
      <c r="T13181" t="s">
        <v>46922</v>
      </c>
      <c r="U13181" t="s">
        <v>58158</v>
      </c>
      <c r="V13181" t="s">
        <v>61148</v>
      </c>
      <c r="W13181" t="s">
        <v>44237</v>
      </c>
      <c r="X13181" t="s">
        <v>45115</v>
      </c>
    </row>
    <row r="13182" spans="1:24">
      <c r="A13182">
        <f>HYPERLINK("https://www.philgeps.gov.ph/GEPSNONPILOT/Tender/SplashBidNoticeAbstractUI.aspx?menuIndex=3&amp;refID=7018179&amp;Result=3","7018179")</f>
        <v>0</v>
      </c>
      <c r="B13182" t="s">
        <v>2653</v>
      </c>
      <c r="C13182" t="s">
        <v>15815</v>
      </c>
      <c r="D13182" t="s">
        <v>18042</v>
      </c>
      <c r="E13182" t="s">
        <v>29505</v>
      </c>
      <c r="F13182" t="s">
        <v>31574</v>
      </c>
      <c r="G13182" t="s">
        <v>31582</v>
      </c>
      <c r="H13182" t="s">
        <v>31590</v>
      </c>
      <c r="I13182" t="s">
        <v>3489</v>
      </c>
      <c r="J13182" t="s">
        <v>39858</v>
      </c>
      <c r="K13182" t="s">
        <v>41186</v>
      </c>
      <c r="M13182" t="s">
        <v>44411</v>
      </c>
      <c r="N13182" t="s">
        <v>45095</v>
      </c>
      <c r="O13182" t="s">
        <v>45096</v>
      </c>
      <c r="P13182">
        <v>0</v>
      </c>
      <c r="Q13182">
        <v>1</v>
      </c>
      <c r="R13182" t="s">
        <v>45114</v>
      </c>
      <c r="S13182" t="s">
        <v>45791</v>
      </c>
      <c r="T13182" t="s">
        <v>46932</v>
      </c>
      <c r="U13182" t="s">
        <v>58160</v>
      </c>
      <c r="W13182" t="s">
        <v>44411</v>
      </c>
      <c r="X13182" t="s">
        <v>45115</v>
      </c>
    </row>
    <row r="13183" spans="1:24">
      <c r="A13183">
        <f>HYPERLINK("https://www.philgeps.gov.ph/GEPSNONPILOT/Tender/SplashBidNoticeAbstractUI.aspx?menuIndex=3&amp;refID=7018129&amp;Result=3","7018129")</f>
        <v>0</v>
      </c>
      <c r="B13183" t="s">
        <v>1554</v>
      </c>
      <c r="C13183" t="s">
        <v>15816</v>
      </c>
      <c r="D13183" t="s">
        <v>18056</v>
      </c>
      <c r="E13183" t="s">
        <v>29506</v>
      </c>
      <c r="F13183" t="s">
        <v>31574</v>
      </c>
      <c r="G13183" t="s">
        <v>31582</v>
      </c>
      <c r="H13183" t="s">
        <v>31591</v>
      </c>
      <c r="I13183" t="s">
        <v>8822</v>
      </c>
      <c r="J13183" t="s">
        <v>39859</v>
      </c>
      <c r="K13183" t="s">
        <v>41192</v>
      </c>
      <c r="M13183" t="s">
        <v>44237</v>
      </c>
      <c r="N13183" t="s">
        <v>45095</v>
      </c>
      <c r="O13183" t="s">
        <v>45096</v>
      </c>
      <c r="P13183">
        <v>0</v>
      </c>
      <c r="Q13183">
        <v>0</v>
      </c>
      <c r="R13183" t="s">
        <v>45114</v>
      </c>
      <c r="S13183" t="s">
        <v>45791</v>
      </c>
      <c r="T13183" t="s">
        <v>46922</v>
      </c>
      <c r="U13183" t="s">
        <v>58161</v>
      </c>
      <c r="V13183" t="s">
        <v>61148</v>
      </c>
      <c r="W13183" t="s">
        <v>44237</v>
      </c>
      <c r="X13183" t="s">
        <v>45115</v>
      </c>
    </row>
    <row r="13184" spans="1:24">
      <c r="A13184">
        <f>HYPERLINK("https://www.philgeps.gov.ph/GEPSNONPILOT/Tender/SplashBidNoticeAbstractUI.aspx?menuIndex=3&amp;refID=7018123&amp;Result=3","7018123")</f>
        <v>0</v>
      </c>
      <c r="B13184" t="s">
        <v>1945</v>
      </c>
      <c r="C13184" t="s">
        <v>15817</v>
      </c>
      <c r="D13184" t="s">
        <v>18052</v>
      </c>
      <c r="E13184" t="s">
        <v>29507</v>
      </c>
      <c r="F13184" t="s">
        <v>31574</v>
      </c>
      <c r="G13184" t="s">
        <v>31582</v>
      </c>
      <c r="H13184" t="s">
        <v>31591</v>
      </c>
      <c r="I13184" t="s">
        <v>8822</v>
      </c>
      <c r="J13184" t="s">
        <v>31824</v>
      </c>
      <c r="K13184" t="s">
        <v>41192</v>
      </c>
      <c r="M13184" t="s">
        <v>43600</v>
      </c>
      <c r="N13184" t="s">
        <v>45095</v>
      </c>
      <c r="O13184" t="s">
        <v>45096</v>
      </c>
      <c r="P13184">
        <v>0</v>
      </c>
      <c r="Q13184">
        <v>0</v>
      </c>
      <c r="R13184" t="s">
        <v>45114</v>
      </c>
      <c r="S13184" t="s">
        <v>45791</v>
      </c>
      <c r="T13184" t="s">
        <v>47080</v>
      </c>
      <c r="U13184" t="s">
        <v>52707</v>
      </c>
      <c r="W13184" t="s">
        <v>43600</v>
      </c>
      <c r="X13184" t="s">
        <v>45115</v>
      </c>
    </row>
    <row r="13185" spans="1:24">
      <c r="A13185">
        <f>HYPERLINK("https://www.philgeps.gov.ph/GEPSNONPILOT/Tender/SplashBidNoticeAbstractUI.aspx?menuIndex=3&amp;refID=7018121&amp;Result=3","7018121")</f>
        <v>0</v>
      </c>
      <c r="B13185" t="s">
        <v>2248</v>
      </c>
      <c r="C13185" t="s">
        <v>15818</v>
      </c>
      <c r="D13185" t="s">
        <v>18078</v>
      </c>
      <c r="E13185" t="s">
        <v>29508</v>
      </c>
      <c r="F13185" t="s">
        <v>31574</v>
      </c>
      <c r="G13185" t="s">
        <v>31582</v>
      </c>
      <c r="H13185" t="s">
        <v>31590</v>
      </c>
      <c r="I13185" t="s">
        <v>31631</v>
      </c>
      <c r="J13185" t="s">
        <v>39860</v>
      </c>
      <c r="K13185" t="s">
        <v>41186</v>
      </c>
      <c r="M13185" t="s">
        <v>43946</v>
      </c>
      <c r="N13185" t="s">
        <v>45095</v>
      </c>
      <c r="O13185" t="s">
        <v>45096</v>
      </c>
      <c r="P13185">
        <v>0</v>
      </c>
      <c r="Q13185">
        <v>2</v>
      </c>
      <c r="R13185" t="s">
        <v>45114</v>
      </c>
      <c r="S13185" t="s">
        <v>45791</v>
      </c>
      <c r="T13185" t="s">
        <v>46991</v>
      </c>
      <c r="U13185" t="s">
        <v>58162</v>
      </c>
      <c r="W13185" t="s">
        <v>43946</v>
      </c>
      <c r="X13185" t="s">
        <v>45115</v>
      </c>
    </row>
    <row r="13186" spans="1:24">
      <c r="A13186">
        <f>HYPERLINK("https://www.philgeps.gov.ph/GEPSNONPILOT/Tender/SplashBidNoticeAbstractUI.aspx?menuIndex=3&amp;refID=7018177&amp;Result=3","7018177")</f>
        <v>0</v>
      </c>
      <c r="B13186" t="s">
        <v>1554</v>
      </c>
      <c r="C13186" t="s">
        <v>15819</v>
      </c>
      <c r="D13186" t="s">
        <v>18056</v>
      </c>
      <c r="E13186" t="s">
        <v>29509</v>
      </c>
      <c r="F13186" t="s">
        <v>31574</v>
      </c>
      <c r="G13186" t="s">
        <v>31582</v>
      </c>
      <c r="H13186" t="s">
        <v>31591</v>
      </c>
      <c r="I13186" t="s">
        <v>8822</v>
      </c>
      <c r="J13186" t="s">
        <v>39861</v>
      </c>
      <c r="K13186" t="s">
        <v>41185</v>
      </c>
      <c r="M13186" t="s">
        <v>44237</v>
      </c>
      <c r="N13186" t="s">
        <v>45095</v>
      </c>
      <c r="O13186" t="s">
        <v>45096</v>
      </c>
      <c r="Q13186">
        <v>0</v>
      </c>
      <c r="R13186" t="s">
        <v>45114</v>
      </c>
      <c r="S13186" t="s">
        <v>45828</v>
      </c>
      <c r="T13186" t="s">
        <v>46922</v>
      </c>
      <c r="U13186" t="s">
        <v>58161</v>
      </c>
      <c r="V13186" t="s">
        <v>61148</v>
      </c>
      <c r="W13186" t="s">
        <v>44237</v>
      </c>
      <c r="X13186" t="s">
        <v>45115</v>
      </c>
    </row>
    <row r="13187" spans="1:24">
      <c r="A13187">
        <f>HYPERLINK("https://www.philgeps.gov.ph/GEPSNONPILOT/Tender/SplashBidNoticeAbstractUI.aspx?menuIndex=3&amp;refID=7018112&amp;Result=3","7018112")</f>
        <v>0</v>
      </c>
      <c r="B13187" t="s">
        <v>1554</v>
      </c>
      <c r="C13187" t="s">
        <v>15820</v>
      </c>
      <c r="D13187" t="s">
        <v>18056</v>
      </c>
      <c r="E13187" t="s">
        <v>29510</v>
      </c>
      <c r="F13187" t="s">
        <v>31574</v>
      </c>
      <c r="G13187" t="s">
        <v>31582</v>
      </c>
      <c r="H13187" t="s">
        <v>31591</v>
      </c>
      <c r="I13187" t="s">
        <v>8822</v>
      </c>
      <c r="J13187" t="s">
        <v>39862</v>
      </c>
      <c r="K13187" t="s">
        <v>41185</v>
      </c>
      <c r="M13187" t="s">
        <v>44237</v>
      </c>
      <c r="N13187" t="s">
        <v>45095</v>
      </c>
      <c r="O13187" t="s">
        <v>45096</v>
      </c>
      <c r="P13187">
        <v>0</v>
      </c>
      <c r="Q13187">
        <v>0</v>
      </c>
      <c r="R13187" t="s">
        <v>45114</v>
      </c>
      <c r="S13187" t="s">
        <v>45791</v>
      </c>
      <c r="T13187" t="s">
        <v>46922</v>
      </c>
      <c r="U13187" t="s">
        <v>58158</v>
      </c>
      <c r="V13187" t="s">
        <v>61148</v>
      </c>
      <c r="W13187" t="s">
        <v>44237</v>
      </c>
      <c r="X13187" t="s">
        <v>45115</v>
      </c>
    </row>
    <row r="13188" spans="1:24">
      <c r="A13188">
        <f>HYPERLINK("https://www.philgeps.gov.ph/GEPSNONPILOT/Tender/SplashBidNoticeAbstractUI.aspx?menuIndex=3&amp;refID=7018161&amp;Result=3","7018161")</f>
        <v>0</v>
      </c>
      <c r="B13188" t="s">
        <v>1248</v>
      </c>
      <c r="C13188" t="s">
        <v>15821</v>
      </c>
      <c r="D13188" t="s">
        <v>18043</v>
      </c>
      <c r="E13188" t="s">
        <v>29511</v>
      </c>
      <c r="F13188" t="s">
        <v>31574</v>
      </c>
      <c r="G13188" t="s">
        <v>31582</v>
      </c>
      <c r="H13188" t="s">
        <v>31591</v>
      </c>
      <c r="I13188" t="s">
        <v>8822</v>
      </c>
      <c r="J13188" t="s">
        <v>39863</v>
      </c>
      <c r="K13188" t="s">
        <v>41200</v>
      </c>
      <c r="M13188" t="s">
        <v>44740</v>
      </c>
      <c r="N13188" t="s">
        <v>45095</v>
      </c>
      <c r="O13188" t="s">
        <v>45096</v>
      </c>
      <c r="Q13188">
        <v>3</v>
      </c>
      <c r="R13188" t="s">
        <v>45114</v>
      </c>
      <c r="S13188" t="s">
        <v>45829</v>
      </c>
      <c r="T13188" t="s">
        <v>46973</v>
      </c>
      <c r="U13188" t="s">
        <v>58163</v>
      </c>
      <c r="W13188" t="s">
        <v>44740</v>
      </c>
      <c r="X13188" t="s">
        <v>45115</v>
      </c>
    </row>
    <row r="13189" spans="1:24">
      <c r="A13189">
        <f>HYPERLINK("https://www.philgeps.gov.ph/GEPSNONPILOT/Tender/SplashBidNoticeAbstractUI.aspx?menuIndex=3&amp;refID=7018226&amp;Result=3","7018226")</f>
        <v>0</v>
      </c>
      <c r="B13189" t="s">
        <v>1248</v>
      </c>
      <c r="C13189" t="s">
        <v>15822</v>
      </c>
      <c r="D13189" t="s">
        <v>18043</v>
      </c>
      <c r="E13189" t="s">
        <v>29512</v>
      </c>
      <c r="F13189" t="s">
        <v>31574</v>
      </c>
      <c r="G13189" t="s">
        <v>31582</v>
      </c>
      <c r="H13189" t="s">
        <v>31591</v>
      </c>
      <c r="I13189" t="s">
        <v>8822</v>
      </c>
      <c r="J13189" t="s">
        <v>39864</v>
      </c>
      <c r="K13189" t="s">
        <v>41243</v>
      </c>
      <c r="M13189" t="s">
        <v>44740</v>
      </c>
      <c r="N13189" t="s">
        <v>45095</v>
      </c>
      <c r="O13189" t="s">
        <v>45096</v>
      </c>
      <c r="Q13189">
        <v>2</v>
      </c>
      <c r="R13189" t="s">
        <v>45114</v>
      </c>
      <c r="S13189" t="s">
        <v>45830</v>
      </c>
      <c r="T13189" t="s">
        <v>46973</v>
      </c>
      <c r="U13189" t="s">
        <v>58164</v>
      </c>
      <c r="W13189" t="s">
        <v>44740</v>
      </c>
      <c r="X13189" t="s">
        <v>45115</v>
      </c>
    </row>
    <row r="13190" spans="1:24">
      <c r="A13190">
        <f>HYPERLINK("https://www.philgeps.gov.ph/GEPSNONPILOT/Tender/SplashBidNoticeAbstractUI.aspx?menuIndex=3&amp;refID=7018114&amp;Result=3","7018114")</f>
        <v>0</v>
      </c>
      <c r="B13190" t="s">
        <v>1248</v>
      </c>
      <c r="C13190" t="s">
        <v>15823</v>
      </c>
      <c r="D13190" t="s">
        <v>18043</v>
      </c>
      <c r="E13190" t="s">
        <v>29513</v>
      </c>
      <c r="F13190" t="s">
        <v>31574</v>
      </c>
      <c r="G13190" t="s">
        <v>31582</v>
      </c>
      <c r="H13190" t="s">
        <v>31591</v>
      </c>
      <c r="I13190" t="s">
        <v>8822</v>
      </c>
      <c r="J13190" t="s">
        <v>34360</v>
      </c>
      <c r="K13190" t="s">
        <v>41401</v>
      </c>
      <c r="M13190" t="s">
        <v>44740</v>
      </c>
      <c r="N13190" t="s">
        <v>45095</v>
      </c>
      <c r="O13190" t="s">
        <v>45096</v>
      </c>
      <c r="Q13190">
        <v>2</v>
      </c>
      <c r="R13190" t="s">
        <v>45114</v>
      </c>
      <c r="S13190" t="s">
        <v>45831</v>
      </c>
      <c r="T13190" t="s">
        <v>46973</v>
      </c>
      <c r="U13190" t="s">
        <v>58165</v>
      </c>
      <c r="W13190" t="s">
        <v>44740</v>
      </c>
      <c r="X13190" t="s">
        <v>45115</v>
      </c>
    </row>
    <row r="13191" spans="1:24">
      <c r="A13191">
        <f>HYPERLINK("https://www.philgeps.gov.ph/GEPSNONPILOT/Tender/SplashBidNoticeAbstractUI.aspx?menuIndex=3&amp;refID=7018149&amp;Result=3","7018149")</f>
        <v>0</v>
      </c>
      <c r="B13191" t="s">
        <v>1945</v>
      </c>
      <c r="C13191" t="s">
        <v>15824</v>
      </c>
      <c r="D13191" t="s">
        <v>18052</v>
      </c>
      <c r="E13191" t="s">
        <v>29514</v>
      </c>
      <c r="F13191" t="s">
        <v>31574</v>
      </c>
      <c r="G13191" t="s">
        <v>31582</v>
      </c>
      <c r="H13191" t="s">
        <v>31591</v>
      </c>
      <c r="I13191" t="s">
        <v>8822</v>
      </c>
      <c r="J13191" t="s">
        <v>31766</v>
      </c>
      <c r="K13191" t="s">
        <v>41192</v>
      </c>
      <c r="M13191" t="s">
        <v>43600</v>
      </c>
      <c r="N13191" t="s">
        <v>45095</v>
      </c>
      <c r="O13191" t="s">
        <v>45096</v>
      </c>
      <c r="P13191">
        <v>0</v>
      </c>
      <c r="Q13191">
        <v>0</v>
      </c>
      <c r="R13191" t="s">
        <v>45114</v>
      </c>
      <c r="S13191" t="s">
        <v>45791</v>
      </c>
      <c r="T13191" t="s">
        <v>47080</v>
      </c>
      <c r="U13191" t="s">
        <v>52707</v>
      </c>
      <c r="W13191" t="s">
        <v>43600</v>
      </c>
      <c r="X13191" t="s">
        <v>45115</v>
      </c>
    </row>
    <row r="13192" spans="1:24">
      <c r="A13192">
        <f>HYPERLINK("https://www.philgeps.gov.ph/GEPSNONPILOT/Tender/SplashBidNoticeAbstractUI.aspx?menuIndex=3&amp;refID=7018228&amp;Result=3","7018228")</f>
        <v>0</v>
      </c>
      <c r="B13192" t="s">
        <v>2844</v>
      </c>
      <c r="C13192" t="s">
        <v>15825</v>
      </c>
      <c r="D13192" t="s">
        <v>18044</v>
      </c>
      <c r="E13192" t="s">
        <v>29515</v>
      </c>
      <c r="F13192" t="s">
        <v>31574</v>
      </c>
      <c r="G13192" t="s">
        <v>31582</v>
      </c>
      <c r="H13192" t="s">
        <v>31591</v>
      </c>
      <c r="I13192" t="s">
        <v>8822</v>
      </c>
      <c r="J13192" t="s">
        <v>32510</v>
      </c>
      <c r="K13192" t="s">
        <v>41189</v>
      </c>
      <c r="M13192" t="s">
        <v>44627</v>
      </c>
      <c r="N13192" t="s">
        <v>45095</v>
      </c>
      <c r="O13192" t="s">
        <v>45096</v>
      </c>
      <c r="P13192">
        <v>0</v>
      </c>
      <c r="Q13192">
        <v>11</v>
      </c>
      <c r="R13192" t="s">
        <v>45114</v>
      </c>
      <c r="S13192" t="s">
        <v>45791</v>
      </c>
      <c r="T13192" t="s">
        <v>46979</v>
      </c>
      <c r="U13192" t="s">
        <v>56835</v>
      </c>
      <c r="W13192" t="s">
        <v>44627</v>
      </c>
      <c r="X13192" t="s">
        <v>45115</v>
      </c>
    </row>
    <row r="13193" spans="1:24">
      <c r="A13193">
        <f>HYPERLINK("https://www.philgeps.gov.ph/GEPSNONPILOT/Tender/SplashBidNoticeAbstractUI.aspx?menuIndex=3&amp;refID=7018199&amp;Result=3","7018199")</f>
        <v>0</v>
      </c>
      <c r="B13193" t="s">
        <v>1554</v>
      </c>
      <c r="C13193" t="s">
        <v>15826</v>
      </c>
      <c r="D13193" t="s">
        <v>18056</v>
      </c>
      <c r="E13193" t="s">
        <v>29516</v>
      </c>
      <c r="F13193" t="s">
        <v>31574</v>
      </c>
      <c r="G13193" t="s">
        <v>31582</v>
      </c>
      <c r="H13193" t="s">
        <v>31591</v>
      </c>
      <c r="I13193" t="s">
        <v>8822</v>
      </c>
      <c r="J13193" t="s">
        <v>39865</v>
      </c>
      <c r="K13193" t="s">
        <v>41192</v>
      </c>
      <c r="M13193" t="s">
        <v>44237</v>
      </c>
      <c r="N13193" t="s">
        <v>45095</v>
      </c>
      <c r="O13193" t="s">
        <v>45096</v>
      </c>
      <c r="P13193">
        <v>0</v>
      </c>
      <c r="Q13193">
        <v>0</v>
      </c>
      <c r="R13193" t="s">
        <v>45114</v>
      </c>
      <c r="S13193" t="s">
        <v>45791</v>
      </c>
      <c r="T13193" t="s">
        <v>46922</v>
      </c>
      <c r="U13193" t="s">
        <v>58161</v>
      </c>
      <c r="V13193" t="s">
        <v>61148</v>
      </c>
      <c r="W13193" t="s">
        <v>44237</v>
      </c>
      <c r="X13193" t="s">
        <v>45115</v>
      </c>
    </row>
    <row r="13194" spans="1:24">
      <c r="A13194">
        <f>HYPERLINK("https://www.philgeps.gov.ph/GEPSNONPILOT/Tender/SplashBidNoticeAbstractUI.aspx?menuIndex=3&amp;refID=7018303&amp;Result=3","7018303")</f>
        <v>0</v>
      </c>
      <c r="B13194" t="s">
        <v>1197</v>
      </c>
      <c r="C13194" t="s">
        <v>15827</v>
      </c>
      <c r="D13194" t="s">
        <v>18073</v>
      </c>
      <c r="E13194" t="s">
        <v>29517</v>
      </c>
      <c r="F13194" t="s">
        <v>31574</v>
      </c>
      <c r="G13194" t="s">
        <v>31582</v>
      </c>
      <c r="H13194" t="s">
        <v>31590</v>
      </c>
      <c r="I13194" t="s">
        <v>4327</v>
      </c>
      <c r="J13194" t="s">
        <v>31771</v>
      </c>
      <c r="K13194" t="s">
        <v>41192</v>
      </c>
      <c r="M13194" t="s">
        <v>42757</v>
      </c>
      <c r="N13194" t="s">
        <v>45095</v>
      </c>
      <c r="O13194" t="s">
        <v>45096</v>
      </c>
      <c r="P13194">
        <v>0</v>
      </c>
      <c r="Q13194">
        <v>2</v>
      </c>
      <c r="R13194" t="s">
        <v>45114</v>
      </c>
      <c r="S13194" t="s">
        <v>45791</v>
      </c>
      <c r="T13194" t="s">
        <v>46918</v>
      </c>
      <c r="U13194" t="s">
        <v>58166</v>
      </c>
      <c r="W13194" t="s">
        <v>42757</v>
      </c>
      <c r="X13194" t="s">
        <v>45115</v>
      </c>
    </row>
    <row r="13195" spans="1:24">
      <c r="A13195">
        <f>HYPERLINK("https://www.philgeps.gov.ph/GEPSNONPILOT/Tender/SplashBidNoticeAbstractUI.aspx?menuIndex=3&amp;refID=7018207&amp;Result=3","7018207")</f>
        <v>0</v>
      </c>
      <c r="B13195" t="s">
        <v>1248</v>
      </c>
      <c r="C13195" t="s">
        <v>15828</v>
      </c>
      <c r="D13195" t="s">
        <v>18043</v>
      </c>
      <c r="E13195" t="s">
        <v>29518</v>
      </c>
      <c r="F13195" t="s">
        <v>31574</v>
      </c>
      <c r="G13195" t="s">
        <v>31582</v>
      </c>
      <c r="H13195" t="s">
        <v>31591</v>
      </c>
      <c r="I13195" t="s">
        <v>8822</v>
      </c>
      <c r="J13195" t="s">
        <v>34069</v>
      </c>
      <c r="K13195" t="s">
        <v>41189</v>
      </c>
      <c r="M13195" t="s">
        <v>44740</v>
      </c>
      <c r="N13195" t="s">
        <v>45095</v>
      </c>
      <c r="O13195" t="s">
        <v>45096</v>
      </c>
      <c r="Q13195">
        <v>1</v>
      </c>
      <c r="R13195" t="s">
        <v>45114</v>
      </c>
      <c r="S13195" t="s">
        <v>45832</v>
      </c>
      <c r="T13195" t="s">
        <v>46973</v>
      </c>
      <c r="U13195" t="s">
        <v>58167</v>
      </c>
      <c r="W13195" t="s">
        <v>44740</v>
      </c>
      <c r="X13195" t="s">
        <v>45115</v>
      </c>
    </row>
    <row r="13196" spans="1:24">
      <c r="A13196">
        <f>HYPERLINK("https://www.philgeps.gov.ph/GEPSNONPILOT/Tender/SplashBidNoticeAbstractUI.aspx?menuIndex=3&amp;refID=7018196&amp;Result=3","7018196")</f>
        <v>0</v>
      </c>
      <c r="B13196" t="s">
        <v>1248</v>
      </c>
      <c r="C13196" t="s">
        <v>15829</v>
      </c>
      <c r="D13196" t="s">
        <v>18043</v>
      </c>
      <c r="E13196" t="s">
        <v>29519</v>
      </c>
      <c r="F13196" t="s">
        <v>31574</v>
      </c>
      <c r="G13196" t="s">
        <v>31582</v>
      </c>
      <c r="H13196" t="s">
        <v>31591</v>
      </c>
      <c r="I13196" t="s">
        <v>8822</v>
      </c>
      <c r="J13196" t="s">
        <v>32504</v>
      </c>
      <c r="K13196" t="s">
        <v>41200</v>
      </c>
      <c r="M13196" t="s">
        <v>44740</v>
      </c>
      <c r="N13196" t="s">
        <v>45095</v>
      </c>
      <c r="O13196" t="s">
        <v>45096</v>
      </c>
      <c r="Q13196">
        <v>1</v>
      </c>
      <c r="R13196" t="s">
        <v>45114</v>
      </c>
      <c r="S13196" t="s">
        <v>45833</v>
      </c>
      <c r="T13196" t="s">
        <v>46973</v>
      </c>
      <c r="U13196" t="s">
        <v>58168</v>
      </c>
      <c r="W13196" t="s">
        <v>44740</v>
      </c>
      <c r="X13196" t="s">
        <v>45115</v>
      </c>
    </row>
    <row r="13197" spans="1:24">
      <c r="A13197">
        <f>HYPERLINK("https://www.philgeps.gov.ph/GEPSNONPILOT/Tender/SplashBidNoticeAbstractUI.aspx?menuIndex=3&amp;refID=7018135&amp;Result=3","7018135")</f>
        <v>0</v>
      </c>
      <c r="B13197" t="s">
        <v>1554</v>
      </c>
      <c r="C13197" t="s">
        <v>15830</v>
      </c>
      <c r="D13197" t="s">
        <v>18056</v>
      </c>
      <c r="E13197" t="s">
        <v>29520</v>
      </c>
      <c r="F13197" t="s">
        <v>31574</v>
      </c>
      <c r="G13197" t="s">
        <v>31582</v>
      </c>
      <c r="H13197" t="s">
        <v>31591</v>
      </c>
      <c r="I13197" t="s">
        <v>8822</v>
      </c>
      <c r="J13197" t="s">
        <v>39866</v>
      </c>
      <c r="K13197" t="s">
        <v>41257</v>
      </c>
      <c r="M13197" t="s">
        <v>44237</v>
      </c>
      <c r="N13197" t="s">
        <v>45095</v>
      </c>
      <c r="O13197" t="s">
        <v>45096</v>
      </c>
      <c r="P13197">
        <v>0</v>
      </c>
      <c r="Q13197">
        <v>1</v>
      </c>
      <c r="R13197" t="s">
        <v>45114</v>
      </c>
      <c r="S13197" t="s">
        <v>45791</v>
      </c>
      <c r="T13197" t="s">
        <v>46922</v>
      </c>
      <c r="U13197" t="s">
        <v>58161</v>
      </c>
      <c r="V13197" t="s">
        <v>61148</v>
      </c>
      <c r="W13197" t="s">
        <v>44237</v>
      </c>
      <c r="X13197" t="s">
        <v>45115</v>
      </c>
    </row>
    <row r="13198" spans="1:24">
      <c r="A13198">
        <f>HYPERLINK("https://www.philgeps.gov.ph/GEPSNONPILOT/Tender/SplashBidNoticeAbstractUI.aspx?menuIndex=3&amp;refID=7018163&amp;Result=3","7018163")</f>
        <v>0</v>
      </c>
      <c r="B13198" t="s">
        <v>1554</v>
      </c>
      <c r="C13198" t="s">
        <v>15831</v>
      </c>
      <c r="D13198" t="s">
        <v>18056</v>
      </c>
      <c r="E13198" t="s">
        <v>29521</v>
      </c>
      <c r="F13198" t="s">
        <v>31574</v>
      </c>
      <c r="G13198" t="s">
        <v>31582</v>
      </c>
      <c r="H13198" t="s">
        <v>31591</v>
      </c>
      <c r="I13198" t="s">
        <v>7162</v>
      </c>
      <c r="J13198" t="s">
        <v>39866</v>
      </c>
      <c r="K13198" t="s">
        <v>41257</v>
      </c>
      <c r="M13198" t="s">
        <v>44237</v>
      </c>
      <c r="N13198" t="s">
        <v>45095</v>
      </c>
      <c r="O13198" t="s">
        <v>45096</v>
      </c>
      <c r="P13198">
        <v>0</v>
      </c>
      <c r="Q13198">
        <v>0</v>
      </c>
      <c r="R13198" t="s">
        <v>45114</v>
      </c>
      <c r="S13198" t="s">
        <v>45791</v>
      </c>
      <c r="T13198" t="s">
        <v>46922</v>
      </c>
      <c r="U13198" t="s">
        <v>58161</v>
      </c>
      <c r="V13198" t="s">
        <v>61148</v>
      </c>
      <c r="W13198" t="s">
        <v>44237</v>
      </c>
      <c r="X13198" t="s">
        <v>45115</v>
      </c>
    </row>
    <row r="13199" spans="1:24">
      <c r="A13199">
        <f>HYPERLINK("https://www.philgeps.gov.ph/GEPSNONPILOT/Tender/SplashBidNoticeAbstractUI.aspx?menuIndex=3&amp;refID=7018218&amp;Result=3","7018218")</f>
        <v>0</v>
      </c>
      <c r="B13199" t="s">
        <v>1248</v>
      </c>
      <c r="C13199" t="s">
        <v>15832</v>
      </c>
      <c r="D13199" t="s">
        <v>18043</v>
      </c>
      <c r="E13199" t="s">
        <v>29522</v>
      </c>
      <c r="F13199" t="s">
        <v>31574</v>
      </c>
      <c r="G13199" t="s">
        <v>31582</v>
      </c>
      <c r="H13199" t="s">
        <v>31591</v>
      </c>
      <c r="I13199" t="s">
        <v>8822</v>
      </c>
      <c r="J13199" t="s">
        <v>39867</v>
      </c>
      <c r="K13199" t="s">
        <v>41243</v>
      </c>
      <c r="M13199" t="s">
        <v>44740</v>
      </c>
      <c r="N13199" t="s">
        <v>45095</v>
      </c>
      <c r="O13199" t="s">
        <v>45096</v>
      </c>
      <c r="Q13199">
        <v>5</v>
      </c>
      <c r="R13199" t="s">
        <v>45114</v>
      </c>
      <c r="S13199" t="s">
        <v>45834</v>
      </c>
      <c r="T13199" t="s">
        <v>46973</v>
      </c>
      <c r="U13199" t="s">
        <v>58169</v>
      </c>
      <c r="W13199" t="s">
        <v>44740</v>
      </c>
      <c r="X13199" t="s">
        <v>45115</v>
      </c>
    </row>
    <row r="13200" spans="1:24">
      <c r="A13200">
        <f>HYPERLINK("https://www.philgeps.gov.ph/GEPSNONPILOT/Tender/SplashBidNoticeAbstractUI.aspx?menuIndex=3&amp;refID=7018193&amp;Result=3","7018193")</f>
        <v>0</v>
      </c>
      <c r="B13200" t="s">
        <v>1554</v>
      </c>
      <c r="C13200" t="s">
        <v>15833</v>
      </c>
      <c r="D13200" t="s">
        <v>18056</v>
      </c>
      <c r="E13200" t="s">
        <v>29523</v>
      </c>
      <c r="F13200" t="s">
        <v>31574</v>
      </c>
      <c r="G13200" t="s">
        <v>31582</v>
      </c>
      <c r="H13200" t="s">
        <v>31591</v>
      </c>
      <c r="I13200" t="s">
        <v>8822</v>
      </c>
      <c r="J13200" t="s">
        <v>39868</v>
      </c>
      <c r="K13200" t="s">
        <v>41240</v>
      </c>
      <c r="M13200" t="s">
        <v>44237</v>
      </c>
      <c r="N13200" t="s">
        <v>45095</v>
      </c>
      <c r="O13200" t="s">
        <v>45096</v>
      </c>
      <c r="P13200">
        <v>0</v>
      </c>
      <c r="Q13200">
        <v>1</v>
      </c>
      <c r="R13200" t="s">
        <v>45114</v>
      </c>
      <c r="S13200" t="s">
        <v>45791</v>
      </c>
      <c r="T13200" t="s">
        <v>46922</v>
      </c>
      <c r="U13200" t="s">
        <v>58161</v>
      </c>
      <c r="V13200" t="s">
        <v>61148</v>
      </c>
      <c r="W13200" t="s">
        <v>44237</v>
      </c>
      <c r="X13200" t="s">
        <v>45115</v>
      </c>
    </row>
    <row r="13201" spans="1:24">
      <c r="A13201">
        <f>HYPERLINK("https://www.philgeps.gov.ph/GEPSNONPILOT/Tender/SplashBidNoticeAbstractUI.aspx?menuIndex=3&amp;refID=7018186&amp;Result=3","7018186")</f>
        <v>0</v>
      </c>
      <c r="B13201" t="s">
        <v>1248</v>
      </c>
      <c r="C13201" t="s">
        <v>15834</v>
      </c>
      <c r="D13201" t="s">
        <v>18043</v>
      </c>
      <c r="E13201" t="s">
        <v>29524</v>
      </c>
      <c r="F13201" t="s">
        <v>31574</v>
      </c>
      <c r="G13201" t="s">
        <v>31582</v>
      </c>
      <c r="H13201" t="s">
        <v>31591</v>
      </c>
      <c r="I13201" t="s">
        <v>8822</v>
      </c>
      <c r="J13201" t="s">
        <v>39869</v>
      </c>
      <c r="K13201" t="s">
        <v>41334</v>
      </c>
      <c r="M13201" t="s">
        <v>44740</v>
      </c>
      <c r="N13201" t="s">
        <v>45095</v>
      </c>
      <c r="O13201" t="s">
        <v>45096</v>
      </c>
      <c r="Q13201">
        <v>4</v>
      </c>
      <c r="R13201" t="s">
        <v>45114</v>
      </c>
      <c r="S13201" t="s">
        <v>45835</v>
      </c>
      <c r="T13201" t="s">
        <v>46973</v>
      </c>
      <c r="U13201" t="s">
        <v>58170</v>
      </c>
      <c r="W13201" t="s">
        <v>44740</v>
      </c>
      <c r="X13201" t="s">
        <v>45115</v>
      </c>
    </row>
    <row r="13202" spans="1:24">
      <c r="A13202">
        <f>HYPERLINK("https://www.philgeps.gov.ph/GEPSNONPILOT/Tender/SplashBidNoticeAbstractUI.aspx?menuIndex=3&amp;refID=7018410&amp;Result=3","7018410")</f>
        <v>0</v>
      </c>
      <c r="B13202" t="s">
        <v>497</v>
      </c>
      <c r="C13202" t="s">
        <v>15835</v>
      </c>
      <c r="D13202" t="s">
        <v>18098</v>
      </c>
      <c r="E13202" t="s">
        <v>29525</v>
      </c>
      <c r="F13202" t="s">
        <v>31574</v>
      </c>
      <c r="G13202" t="s">
        <v>31582</v>
      </c>
      <c r="H13202" t="s">
        <v>31591</v>
      </c>
      <c r="I13202" t="s">
        <v>8822</v>
      </c>
      <c r="J13202" t="s">
        <v>39870</v>
      </c>
      <c r="K13202" t="s">
        <v>41457</v>
      </c>
      <c r="M13202" t="s">
        <v>41993</v>
      </c>
      <c r="N13202" t="s">
        <v>45095</v>
      </c>
      <c r="O13202" t="s">
        <v>45096</v>
      </c>
      <c r="P13202">
        <v>0</v>
      </c>
      <c r="Q13202">
        <v>2</v>
      </c>
      <c r="R13202" t="s">
        <v>45114</v>
      </c>
      <c r="S13202" t="s">
        <v>45791</v>
      </c>
      <c r="T13202" t="s">
        <v>46985</v>
      </c>
      <c r="U13202" t="s">
        <v>58171</v>
      </c>
      <c r="W13202" t="s">
        <v>41993</v>
      </c>
      <c r="X13202" t="s">
        <v>45115</v>
      </c>
    </row>
    <row r="13203" spans="1:24">
      <c r="A13203">
        <f>HYPERLINK("https://www.philgeps.gov.ph/GEPSNONPILOT/Tender/SplashBidNoticeAbstractUI.aspx?menuIndex=3&amp;refID=7018398&amp;Result=3","7018398")</f>
        <v>0</v>
      </c>
      <c r="B13203" t="s">
        <v>2196</v>
      </c>
      <c r="C13203" t="s">
        <v>15836</v>
      </c>
      <c r="D13203" t="s">
        <v>18086</v>
      </c>
      <c r="E13203" t="s">
        <v>29526</v>
      </c>
      <c r="F13203" t="s">
        <v>31574</v>
      </c>
      <c r="G13203" t="s">
        <v>31582</v>
      </c>
      <c r="H13203" t="s">
        <v>31591</v>
      </c>
      <c r="I13203" t="s">
        <v>8822</v>
      </c>
      <c r="J13203" t="s">
        <v>39871</v>
      </c>
      <c r="K13203" t="s">
        <v>41257</v>
      </c>
      <c r="M13203" t="s">
        <v>43884</v>
      </c>
      <c r="N13203" t="s">
        <v>45095</v>
      </c>
      <c r="O13203" t="s">
        <v>45096</v>
      </c>
      <c r="Q13203">
        <v>0</v>
      </c>
      <c r="R13203" t="s">
        <v>45114</v>
      </c>
      <c r="S13203" t="s">
        <v>45836</v>
      </c>
      <c r="T13203" t="s">
        <v>46918</v>
      </c>
      <c r="U13203" t="s">
        <v>53634</v>
      </c>
      <c r="W13203" t="s">
        <v>43884</v>
      </c>
      <c r="X13203" t="s">
        <v>45115</v>
      </c>
    </row>
    <row r="13204" spans="1:24">
      <c r="A13204">
        <f>HYPERLINK("https://www.philgeps.gov.ph/GEPSNONPILOT/Tender/SplashBidNoticeAbstractUI.aspx?menuIndex=3&amp;refID=7018373&amp;Result=3","7018373")</f>
        <v>0</v>
      </c>
      <c r="B13204" t="s">
        <v>1156</v>
      </c>
      <c r="C13204" t="s">
        <v>15837</v>
      </c>
      <c r="D13204" t="s">
        <v>18040</v>
      </c>
      <c r="E13204" t="s">
        <v>29527</v>
      </c>
      <c r="F13204" t="s">
        <v>31574</v>
      </c>
      <c r="G13204" t="s">
        <v>31582</v>
      </c>
      <c r="H13204" t="s">
        <v>31591</v>
      </c>
      <c r="I13204" t="s">
        <v>8822</v>
      </c>
      <c r="J13204" t="s">
        <v>39872</v>
      </c>
      <c r="K13204" t="s">
        <v>41235</v>
      </c>
      <c r="M13204" t="s">
        <v>42713</v>
      </c>
      <c r="N13204" t="s">
        <v>45095</v>
      </c>
      <c r="O13204" t="s">
        <v>45096</v>
      </c>
      <c r="P13204">
        <v>0</v>
      </c>
      <c r="Q13204">
        <v>0</v>
      </c>
      <c r="R13204" t="s">
        <v>45114</v>
      </c>
      <c r="S13204" t="s">
        <v>45791</v>
      </c>
      <c r="T13204" t="s">
        <v>46969</v>
      </c>
      <c r="U13204" t="s">
        <v>58172</v>
      </c>
      <c r="V13204" t="s">
        <v>61297</v>
      </c>
      <c r="W13204" t="s">
        <v>42713</v>
      </c>
      <c r="X13204" t="s">
        <v>45115</v>
      </c>
    </row>
    <row r="13205" spans="1:24">
      <c r="A13205">
        <f>HYPERLINK("https://www.philgeps.gov.ph/GEPSNONPILOT/Tender/SplashBidNoticeAbstractUI.aspx?menuIndex=3&amp;refID=7018412&amp;Result=3","7018412")</f>
        <v>0</v>
      </c>
      <c r="B13205" t="s">
        <v>2196</v>
      </c>
      <c r="C13205" t="s">
        <v>15838</v>
      </c>
      <c r="D13205" t="s">
        <v>18086</v>
      </c>
      <c r="E13205" t="s">
        <v>29528</v>
      </c>
      <c r="F13205" t="s">
        <v>31574</v>
      </c>
      <c r="G13205" t="s">
        <v>31582</v>
      </c>
      <c r="H13205" t="s">
        <v>31591</v>
      </c>
      <c r="I13205" t="s">
        <v>8822</v>
      </c>
      <c r="J13205" t="s">
        <v>32019</v>
      </c>
      <c r="K13205" t="s">
        <v>41186</v>
      </c>
      <c r="M13205" t="s">
        <v>43884</v>
      </c>
      <c r="N13205" t="s">
        <v>45095</v>
      </c>
      <c r="O13205" t="s">
        <v>45096</v>
      </c>
      <c r="P13205">
        <v>0</v>
      </c>
      <c r="Q13205">
        <v>0</v>
      </c>
      <c r="R13205" t="s">
        <v>45114</v>
      </c>
      <c r="S13205" t="s">
        <v>45791</v>
      </c>
      <c r="T13205" t="s">
        <v>46918</v>
      </c>
      <c r="U13205" t="s">
        <v>53634</v>
      </c>
      <c r="W13205" t="s">
        <v>43884</v>
      </c>
      <c r="X13205" t="s">
        <v>45115</v>
      </c>
    </row>
    <row r="13206" spans="1:24">
      <c r="A13206">
        <f>HYPERLINK("https://www.philgeps.gov.ph/GEPSNONPILOT/Tender/SplashBidNoticeAbstractUI.aspx?menuIndex=3&amp;refID=7018404&amp;Result=3","7018404")</f>
        <v>0</v>
      </c>
      <c r="B13206" t="s">
        <v>2196</v>
      </c>
      <c r="C13206" t="s">
        <v>15839</v>
      </c>
      <c r="D13206" t="s">
        <v>18086</v>
      </c>
      <c r="E13206" t="s">
        <v>29529</v>
      </c>
      <c r="F13206" t="s">
        <v>31574</v>
      </c>
      <c r="G13206" t="s">
        <v>31582</v>
      </c>
      <c r="H13206" t="s">
        <v>31591</v>
      </c>
      <c r="I13206" t="s">
        <v>8822</v>
      </c>
      <c r="J13206" t="s">
        <v>32101</v>
      </c>
      <c r="K13206" t="s">
        <v>41285</v>
      </c>
      <c r="M13206" t="s">
        <v>43884</v>
      </c>
      <c r="N13206" t="s">
        <v>45095</v>
      </c>
      <c r="O13206" t="s">
        <v>45096</v>
      </c>
      <c r="Q13206">
        <v>0</v>
      </c>
      <c r="R13206" t="s">
        <v>45114</v>
      </c>
      <c r="S13206" t="s">
        <v>45837</v>
      </c>
      <c r="T13206" t="s">
        <v>46918</v>
      </c>
      <c r="U13206" t="s">
        <v>53634</v>
      </c>
      <c r="W13206" t="s">
        <v>43884</v>
      </c>
      <c r="X13206" t="s">
        <v>45115</v>
      </c>
    </row>
    <row r="13207" spans="1:24">
      <c r="A13207">
        <f>HYPERLINK("https://www.philgeps.gov.ph/GEPSNONPILOT/Tender/SplashBidNoticeAbstractUI.aspx?menuIndex=3&amp;refID=7018455&amp;Result=3","7018455")</f>
        <v>0</v>
      </c>
      <c r="B13207" t="s">
        <v>1524</v>
      </c>
      <c r="C13207" t="s">
        <v>15840</v>
      </c>
      <c r="D13207" t="s">
        <v>18083</v>
      </c>
      <c r="E13207" t="s">
        <v>29530</v>
      </c>
      <c r="F13207" t="s">
        <v>31574</v>
      </c>
      <c r="G13207" t="s">
        <v>31582</v>
      </c>
      <c r="H13207" t="s">
        <v>31591</v>
      </c>
      <c r="I13207" t="s">
        <v>8822</v>
      </c>
      <c r="J13207" t="s">
        <v>39873</v>
      </c>
      <c r="K13207" t="s">
        <v>41431</v>
      </c>
      <c r="M13207" t="s">
        <v>43115</v>
      </c>
      <c r="N13207" t="s">
        <v>45095</v>
      </c>
      <c r="O13207" t="s">
        <v>45096</v>
      </c>
      <c r="Q13207">
        <v>0</v>
      </c>
      <c r="R13207" t="s">
        <v>45114</v>
      </c>
      <c r="S13207" t="s">
        <v>45838</v>
      </c>
      <c r="T13207" t="s">
        <v>46973</v>
      </c>
      <c r="U13207" t="s">
        <v>58173</v>
      </c>
      <c r="V13207" t="s">
        <v>61298</v>
      </c>
      <c r="W13207" t="s">
        <v>43115</v>
      </c>
      <c r="X13207" t="s">
        <v>45115</v>
      </c>
    </row>
    <row r="13208" spans="1:24">
      <c r="A13208">
        <f>HYPERLINK("https://www.philgeps.gov.ph/GEPSNONPILOT/Tender/SplashBidNoticeAbstractUI.aspx?menuIndex=3&amp;refID=7018386&amp;Result=3","7018386")</f>
        <v>0</v>
      </c>
      <c r="B13208" t="s">
        <v>290</v>
      </c>
      <c r="C13208" t="s">
        <v>15841</v>
      </c>
      <c r="D13208" t="s">
        <v>18043</v>
      </c>
      <c r="E13208" t="s">
        <v>29531</v>
      </c>
      <c r="F13208" t="s">
        <v>31574</v>
      </c>
      <c r="G13208" t="s">
        <v>31582</v>
      </c>
      <c r="H13208" t="s">
        <v>31591</v>
      </c>
      <c r="I13208" t="s">
        <v>8822</v>
      </c>
      <c r="J13208" t="s">
        <v>39874</v>
      </c>
      <c r="K13208" t="s">
        <v>41200</v>
      </c>
      <c r="M13208" t="s">
        <v>44847</v>
      </c>
      <c r="N13208" t="s">
        <v>45095</v>
      </c>
      <c r="O13208" t="s">
        <v>45096</v>
      </c>
      <c r="P13208">
        <v>0</v>
      </c>
      <c r="Q13208">
        <v>0</v>
      </c>
      <c r="R13208" t="s">
        <v>45114</v>
      </c>
      <c r="S13208" t="s">
        <v>45791</v>
      </c>
      <c r="T13208" t="s">
        <v>46923</v>
      </c>
      <c r="U13208" t="s">
        <v>58174</v>
      </c>
      <c r="W13208" t="s">
        <v>44847</v>
      </c>
      <c r="X13208" t="s">
        <v>45115</v>
      </c>
    </row>
    <row r="13209" spans="1:24">
      <c r="A13209">
        <f>HYPERLINK("https://www.philgeps.gov.ph/GEPSNONPILOT/Tender/SplashBidNoticeAbstractUI.aspx?menuIndex=3&amp;refID=7018453&amp;Result=3","7018453")</f>
        <v>0</v>
      </c>
      <c r="B13209" t="s">
        <v>1524</v>
      </c>
      <c r="C13209" t="s">
        <v>15842</v>
      </c>
      <c r="D13209" t="s">
        <v>18083</v>
      </c>
      <c r="E13209" t="s">
        <v>29532</v>
      </c>
      <c r="F13209" t="s">
        <v>31574</v>
      </c>
      <c r="G13209" t="s">
        <v>31582</v>
      </c>
      <c r="H13209" t="s">
        <v>31591</v>
      </c>
      <c r="I13209" t="s">
        <v>8822</v>
      </c>
      <c r="J13209" t="s">
        <v>39875</v>
      </c>
      <c r="K13209" t="s">
        <v>41268</v>
      </c>
      <c r="M13209" t="s">
        <v>43115</v>
      </c>
      <c r="N13209" t="s">
        <v>45095</v>
      </c>
      <c r="O13209" t="s">
        <v>45096</v>
      </c>
      <c r="P13209">
        <v>0</v>
      </c>
      <c r="Q13209">
        <v>0</v>
      </c>
      <c r="R13209" t="s">
        <v>45114</v>
      </c>
      <c r="S13209" t="s">
        <v>45791</v>
      </c>
      <c r="T13209" t="s">
        <v>46973</v>
      </c>
      <c r="U13209" t="s">
        <v>58175</v>
      </c>
      <c r="V13209" t="s">
        <v>61299</v>
      </c>
      <c r="W13209" t="s">
        <v>43115</v>
      </c>
      <c r="X13209" t="s">
        <v>45115</v>
      </c>
    </row>
    <row r="13210" spans="1:24">
      <c r="A13210">
        <f>HYPERLINK("https://www.philgeps.gov.ph/GEPSNONPILOT/Tender/SplashBidNoticeAbstractUI.aspx?menuIndex=3&amp;refID=7018358&amp;Result=3","7018358")</f>
        <v>0</v>
      </c>
      <c r="B13210" t="s">
        <v>3016</v>
      </c>
      <c r="C13210" t="s">
        <v>15843</v>
      </c>
      <c r="D13210" t="s">
        <v>18033</v>
      </c>
      <c r="E13210" t="s">
        <v>29533</v>
      </c>
      <c r="F13210" t="s">
        <v>31574</v>
      </c>
      <c r="G13210" t="s">
        <v>31582</v>
      </c>
      <c r="H13210" t="s">
        <v>31590</v>
      </c>
      <c r="I13210" t="s">
        <v>4046</v>
      </c>
      <c r="J13210" t="s">
        <v>39876</v>
      </c>
      <c r="K13210" t="s">
        <v>41196</v>
      </c>
      <c r="M13210" t="s">
        <v>44848</v>
      </c>
      <c r="N13210" t="s">
        <v>45095</v>
      </c>
      <c r="O13210" t="s">
        <v>45096</v>
      </c>
      <c r="P13210">
        <v>0</v>
      </c>
      <c r="Q13210">
        <v>3</v>
      </c>
      <c r="R13210" t="s">
        <v>45114</v>
      </c>
      <c r="S13210" t="s">
        <v>45791</v>
      </c>
      <c r="T13210" t="s">
        <v>46918</v>
      </c>
      <c r="U13210" t="s">
        <v>58176</v>
      </c>
      <c r="W13210" t="s">
        <v>61770</v>
      </c>
      <c r="X13210" t="s">
        <v>45115</v>
      </c>
    </row>
    <row r="13211" spans="1:24">
      <c r="A13211">
        <f>HYPERLINK("https://www.philgeps.gov.ph/GEPSNONPILOT/Tender/SplashBidNoticeAbstractUI.aspx?menuIndex=3&amp;refID=7018440&amp;Result=3","7018440")</f>
        <v>0</v>
      </c>
      <c r="B13211" t="s">
        <v>3017</v>
      </c>
      <c r="C13211" t="s">
        <v>15844</v>
      </c>
      <c r="D13211" t="s">
        <v>18056</v>
      </c>
      <c r="E13211" t="s">
        <v>29534</v>
      </c>
      <c r="F13211" t="s">
        <v>31574</v>
      </c>
      <c r="G13211" t="s">
        <v>31582</v>
      </c>
      <c r="H13211" t="s">
        <v>31590</v>
      </c>
      <c r="I13211" t="s">
        <v>31620</v>
      </c>
      <c r="J13211" t="s">
        <v>32458</v>
      </c>
      <c r="K13211" t="s">
        <v>41189</v>
      </c>
      <c r="M13211" t="s">
        <v>44849</v>
      </c>
      <c r="N13211" t="s">
        <v>45095</v>
      </c>
      <c r="O13211" t="s">
        <v>45096</v>
      </c>
      <c r="P13211">
        <v>0</v>
      </c>
      <c r="Q13211">
        <v>25</v>
      </c>
      <c r="R13211" t="s">
        <v>45114</v>
      </c>
      <c r="S13211" t="s">
        <v>45791</v>
      </c>
      <c r="T13211" t="s">
        <v>46921</v>
      </c>
      <c r="U13211" t="s">
        <v>58177</v>
      </c>
      <c r="W13211" t="s">
        <v>44849</v>
      </c>
      <c r="X13211" t="s">
        <v>45115</v>
      </c>
    </row>
    <row r="13212" spans="1:24">
      <c r="A13212">
        <f>HYPERLINK("https://www.philgeps.gov.ph/GEPSNONPILOT/Tender/SplashBidNoticeAbstractUI.aspx?menuIndex=3&amp;refID=7018415&amp;Result=3","7018415")</f>
        <v>0</v>
      </c>
      <c r="B13212" t="s">
        <v>2196</v>
      </c>
      <c r="C13212" t="s">
        <v>15845</v>
      </c>
      <c r="D13212" t="s">
        <v>18086</v>
      </c>
      <c r="E13212" t="s">
        <v>29535</v>
      </c>
      <c r="F13212" t="s">
        <v>31574</v>
      </c>
      <c r="G13212" t="s">
        <v>31582</v>
      </c>
      <c r="H13212" t="s">
        <v>31591</v>
      </c>
      <c r="I13212" t="s">
        <v>8822</v>
      </c>
      <c r="J13212" t="s">
        <v>31935</v>
      </c>
      <c r="K13212" t="s">
        <v>41186</v>
      </c>
      <c r="M13212" t="s">
        <v>43884</v>
      </c>
      <c r="N13212" t="s">
        <v>45095</v>
      </c>
      <c r="O13212" t="s">
        <v>45096</v>
      </c>
      <c r="Q13212">
        <v>0</v>
      </c>
      <c r="R13212" t="s">
        <v>45114</v>
      </c>
      <c r="S13212" t="s">
        <v>45839</v>
      </c>
      <c r="T13212" t="s">
        <v>46918</v>
      </c>
      <c r="U13212" t="s">
        <v>53634</v>
      </c>
      <c r="W13212" t="s">
        <v>43884</v>
      </c>
      <c r="X13212" t="s">
        <v>45115</v>
      </c>
    </row>
    <row r="13213" spans="1:24">
      <c r="A13213">
        <f>HYPERLINK("https://www.philgeps.gov.ph/GEPSNONPILOT/Tender/SplashBidNoticeAbstractUI.aspx?menuIndex=3&amp;refID=7018467&amp;Result=3","7018467")</f>
        <v>0</v>
      </c>
      <c r="B13213" t="s">
        <v>3018</v>
      </c>
      <c r="C13213" t="s">
        <v>3328</v>
      </c>
      <c r="D13213" t="s">
        <v>18029</v>
      </c>
      <c r="E13213" t="s">
        <v>18448</v>
      </c>
      <c r="F13213" t="s">
        <v>31574</v>
      </c>
      <c r="G13213" t="s">
        <v>31582</v>
      </c>
      <c r="H13213" t="s">
        <v>31590</v>
      </c>
      <c r="I13213" t="s">
        <v>5717</v>
      </c>
      <c r="J13213" t="s">
        <v>39877</v>
      </c>
      <c r="K13213" t="s">
        <v>41186</v>
      </c>
      <c r="M13213" t="s">
        <v>44850</v>
      </c>
      <c r="N13213" t="s">
        <v>45095</v>
      </c>
      <c r="O13213" t="s">
        <v>45096</v>
      </c>
      <c r="P13213">
        <v>0</v>
      </c>
      <c r="Q13213">
        <v>6</v>
      </c>
      <c r="R13213" t="s">
        <v>45114</v>
      </c>
      <c r="S13213" t="s">
        <v>45791</v>
      </c>
      <c r="T13213" t="s">
        <v>47050</v>
      </c>
      <c r="U13213" t="s">
        <v>58178</v>
      </c>
      <c r="W13213" t="s">
        <v>44850</v>
      </c>
      <c r="X13213" t="s">
        <v>45115</v>
      </c>
    </row>
    <row r="13214" spans="1:24">
      <c r="A13214">
        <f>HYPERLINK("https://www.philgeps.gov.ph/GEPSNONPILOT/Tender/SplashBidNoticeAbstractUI.aspx?menuIndex=3&amp;refID=7018309&amp;Result=3","7018309")</f>
        <v>0</v>
      </c>
      <c r="B13214" t="s">
        <v>748</v>
      </c>
      <c r="C13214" t="s">
        <v>15846</v>
      </c>
      <c r="D13214" t="s">
        <v>18081</v>
      </c>
      <c r="E13214" t="s">
        <v>29536</v>
      </c>
      <c r="F13214" t="s">
        <v>31574</v>
      </c>
      <c r="G13214" t="s">
        <v>31582</v>
      </c>
      <c r="H13214" t="s">
        <v>31590</v>
      </c>
      <c r="I13214" t="s">
        <v>4046</v>
      </c>
      <c r="J13214" t="s">
        <v>33409</v>
      </c>
      <c r="K13214" t="s">
        <v>41184</v>
      </c>
      <c r="L13214" t="s">
        <v>748</v>
      </c>
      <c r="M13214" t="s">
        <v>42262</v>
      </c>
      <c r="N13214" t="s">
        <v>45095</v>
      </c>
      <c r="O13214" t="s">
        <v>45096</v>
      </c>
      <c r="P13214">
        <v>0</v>
      </c>
      <c r="Q13214">
        <v>0</v>
      </c>
      <c r="R13214" t="s">
        <v>45114</v>
      </c>
      <c r="S13214" t="s">
        <v>45791</v>
      </c>
      <c r="T13214" t="s">
        <v>47073</v>
      </c>
      <c r="U13214" t="s">
        <v>58179</v>
      </c>
      <c r="W13214" t="s">
        <v>42262</v>
      </c>
      <c r="X13214" t="s">
        <v>45115</v>
      </c>
    </row>
    <row r="13215" spans="1:24">
      <c r="A13215">
        <f>HYPERLINK("https://www.philgeps.gov.ph/GEPSNONPILOT/Tender/SplashBidNoticeAbstractUI.aspx?menuIndex=3&amp;refID=7018447&amp;Result=3","7018447")</f>
        <v>0</v>
      </c>
      <c r="B13215" t="s">
        <v>1524</v>
      </c>
      <c r="C13215" t="s">
        <v>15847</v>
      </c>
      <c r="D13215" t="s">
        <v>18083</v>
      </c>
      <c r="E13215" t="s">
        <v>29537</v>
      </c>
      <c r="F13215" t="s">
        <v>31574</v>
      </c>
      <c r="G13215" t="s">
        <v>31582</v>
      </c>
      <c r="H13215" t="s">
        <v>31591</v>
      </c>
      <c r="I13215" t="s">
        <v>8822</v>
      </c>
      <c r="J13215" t="s">
        <v>39878</v>
      </c>
      <c r="K13215" t="s">
        <v>41458</v>
      </c>
      <c r="M13215" t="s">
        <v>43115</v>
      </c>
      <c r="N13215" t="s">
        <v>45095</v>
      </c>
      <c r="O13215" t="s">
        <v>45096</v>
      </c>
      <c r="P13215">
        <v>0</v>
      </c>
      <c r="Q13215">
        <v>0</v>
      </c>
      <c r="R13215" t="s">
        <v>45114</v>
      </c>
      <c r="S13215" t="s">
        <v>45791</v>
      </c>
      <c r="T13215" t="s">
        <v>46973</v>
      </c>
      <c r="U13215" t="s">
        <v>58180</v>
      </c>
      <c r="V13215" t="s">
        <v>61300</v>
      </c>
      <c r="W13215" t="s">
        <v>43115</v>
      </c>
      <c r="X13215" t="s">
        <v>45115</v>
      </c>
    </row>
    <row r="13216" spans="1:24">
      <c r="A13216">
        <f>HYPERLINK("https://www.philgeps.gov.ph/GEPSNONPILOT/Tender/SplashBidNoticeAbstractUI.aspx?menuIndex=3&amp;refID=7018320&amp;Result=3","7018320")</f>
        <v>0</v>
      </c>
      <c r="B13216" t="s">
        <v>3019</v>
      </c>
      <c r="C13216" t="s">
        <v>10007</v>
      </c>
      <c r="D13216" t="s">
        <v>18075</v>
      </c>
      <c r="E13216" t="s">
        <v>18162</v>
      </c>
      <c r="F13216" t="s">
        <v>31574</v>
      </c>
      <c r="G13216" t="s">
        <v>31582</v>
      </c>
      <c r="H13216" t="s">
        <v>31590</v>
      </c>
      <c r="I13216" t="s">
        <v>31633</v>
      </c>
      <c r="J13216" t="s">
        <v>33219</v>
      </c>
      <c r="K13216" t="s">
        <v>41190</v>
      </c>
      <c r="M13216" t="s">
        <v>44851</v>
      </c>
      <c r="N13216" t="s">
        <v>45095</v>
      </c>
      <c r="O13216" t="s">
        <v>45096</v>
      </c>
      <c r="P13216">
        <v>0</v>
      </c>
      <c r="Q13216">
        <v>4</v>
      </c>
      <c r="R13216" t="s">
        <v>45114</v>
      </c>
      <c r="S13216" t="s">
        <v>45791</v>
      </c>
      <c r="T13216" t="s">
        <v>46913</v>
      </c>
      <c r="U13216" t="s">
        <v>58181</v>
      </c>
      <c r="V13216" t="s">
        <v>61301</v>
      </c>
      <c r="W13216" t="s">
        <v>44851</v>
      </c>
      <c r="X13216" t="s">
        <v>45115</v>
      </c>
    </row>
    <row r="13217" spans="1:24">
      <c r="A13217">
        <f>HYPERLINK("https://www.philgeps.gov.ph/GEPSNONPILOT/Tender/SplashBidNoticeAbstractUI.aspx?menuIndex=3&amp;refID=7018423&amp;Result=3","7018423")</f>
        <v>0</v>
      </c>
      <c r="B13217" t="s">
        <v>3017</v>
      </c>
      <c r="C13217" t="s">
        <v>15848</v>
      </c>
      <c r="D13217" t="s">
        <v>18056</v>
      </c>
      <c r="E13217" t="s">
        <v>29538</v>
      </c>
      <c r="F13217" t="s">
        <v>31574</v>
      </c>
      <c r="G13217" t="s">
        <v>31582</v>
      </c>
      <c r="H13217" t="s">
        <v>31590</v>
      </c>
      <c r="I13217" t="s">
        <v>31620</v>
      </c>
      <c r="J13217" t="s">
        <v>32101</v>
      </c>
      <c r="K13217" t="s">
        <v>41189</v>
      </c>
      <c r="M13217" t="s">
        <v>44849</v>
      </c>
      <c r="N13217" t="s">
        <v>45095</v>
      </c>
      <c r="O13217" t="s">
        <v>45096</v>
      </c>
      <c r="P13217">
        <v>0</v>
      </c>
      <c r="Q13217">
        <v>25</v>
      </c>
      <c r="R13217" t="s">
        <v>45114</v>
      </c>
      <c r="S13217" t="s">
        <v>45791</v>
      </c>
      <c r="T13217" t="s">
        <v>46922</v>
      </c>
      <c r="U13217" t="s">
        <v>58182</v>
      </c>
      <c r="W13217" t="s">
        <v>44849</v>
      </c>
      <c r="X13217" t="s">
        <v>45115</v>
      </c>
    </row>
    <row r="13218" spans="1:24">
      <c r="A13218">
        <f>HYPERLINK("https://www.philgeps.gov.ph/GEPSNONPILOT/Tender/SplashBidNoticeAbstractUI.aspx?menuIndex=3&amp;refID=7018375&amp;Result=3","7018375")</f>
        <v>0</v>
      </c>
      <c r="B13218" t="s">
        <v>939</v>
      </c>
      <c r="C13218" t="s">
        <v>15849</v>
      </c>
      <c r="D13218" t="s">
        <v>18037</v>
      </c>
      <c r="E13218" t="s">
        <v>29448</v>
      </c>
      <c r="F13218" t="s">
        <v>31574</v>
      </c>
      <c r="G13218" t="s">
        <v>31582</v>
      </c>
      <c r="H13218" t="s">
        <v>31590</v>
      </c>
      <c r="I13218" t="s">
        <v>4046</v>
      </c>
      <c r="J13218" t="s">
        <v>39879</v>
      </c>
      <c r="K13218" t="s">
        <v>41196</v>
      </c>
      <c r="M13218" t="s">
        <v>42466</v>
      </c>
      <c r="N13218" t="s">
        <v>45095</v>
      </c>
      <c r="O13218" t="s">
        <v>45096</v>
      </c>
      <c r="P13218">
        <v>0</v>
      </c>
      <c r="Q13218">
        <v>1</v>
      </c>
      <c r="R13218" t="s">
        <v>45114</v>
      </c>
      <c r="S13218" t="s">
        <v>45791</v>
      </c>
      <c r="T13218" t="s">
        <v>46949</v>
      </c>
      <c r="U13218" t="s">
        <v>58183</v>
      </c>
      <c r="W13218" t="s">
        <v>42466</v>
      </c>
      <c r="X13218" t="s">
        <v>45115</v>
      </c>
    </row>
    <row r="13219" spans="1:24">
      <c r="A13219">
        <f>HYPERLINK("https://www.philgeps.gov.ph/GEPSNONPILOT/Tender/SplashBidNoticeAbstractUI.aspx?menuIndex=3&amp;refID=7018311&amp;Result=3","7018311")</f>
        <v>0</v>
      </c>
      <c r="B13219" t="s">
        <v>1264</v>
      </c>
      <c r="C13219" t="s">
        <v>15850</v>
      </c>
      <c r="D13219" t="s">
        <v>18039</v>
      </c>
      <c r="E13219" t="s">
        <v>29539</v>
      </c>
      <c r="F13219" t="s">
        <v>31574</v>
      </c>
      <c r="G13219" t="s">
        <v>31582</v>
      </c>
      <c r="H13219" t="s">
        <v>31590</v>
      </c>
      <c r="I13219" t="s">
        <v>31615</v>
      </c>
      <c r="J13219" t="s">
        <v>33513</v>
      </c>
      <c r="K13219" t="s">
        <v>41186</v>
      </c>
      <c r="M13219" t="s">
        <v>42832</v>
      </c>
      <c r="N13219" t="s">
        <v>45095</v>
      </c>
      <c r="O13219" t="s">
        <v>45096</v>
      </c>
      <c r="P13219">
        <v>0</v>
      </c>
      <c r="Q13219">
        <v>6</v>
      </c>
      <c r="R13219" t="s">
        <v>45114</v>
      </c>
      <c r="S13219" t="s">
        <v>45791</v>
      </c>
      <c r="T13219" t="s">
        <v>47143</v>
      </c>
      <c r="U13219" t="s">
        <v>58184</v>
      </c>
      <c r="W13219" t="s">
        <v>42832</v>
      </c>
      <c r="X13219" t="s">
        <v>45115</v>
      </c>
    </row>
    <row r="13220" spans="1:24">
      <c r="A13220">
        <f>HYPERLINK("https://www.philgeps.gov.ph/GEPSNONPILOT/Tender/SplashBidNoticeAbstractUI.aspx?menuIndex=3&amp;refID=7018305&amp;Result=3","7018305")</f>
        <v>0</v>
      </c>
      <c r="B13220" t="s">
        <v>3017</v>
      </c>
      <c r="C13220" t="s">
        <v>15851</v>
      </c>
      <c r="D13220" t="s">
        <v>18056</v>
      </c>
      <c r="E13220" t="s">
        <v>29540</v>
      </c>
      <c r="F13220" t="s">
        <v>31574</v>
      </c>
      <c r="G13220" t="s">
        <v>31582</v>
      </c>
      <c r="H13220" t="s">
        <v>31590</v>
      </c>
      <c r="I13220" t="s">
        <v>7185</v>
      </c>
      <c r="J13220" t="s">
        <v>39880</v>
      </c>
      <c r="K13220" t="s">
        <v>41196</v>
      </c>
      <c r="M13220" t="s">
        <v>44849</v>
      </c>
      <c r="N13220" t="s">
        <v>45095</v>
      </c>
      <c r="O13220" t="s">
        <v>45096</v>
      </c>
      <c r="P13220">
        <v>0</v>
      </c>
      <c r="Q13220">
        <v>12</v>
      </c>
      <c r="R13220" t="s">
        <v>45114</v>
      </c>
      <c r="S13220" t="s">
        <v>45791</v>
      </c>
      <c r="T13220" t="s">
        <v>46926</v>
      </c>
      <c r="U13220" t="s">
        <v>58185</v>
      </c>
      <c r="W13220" t="s">
        <v>44849</v>
      </c>
      <c r="X13220" t="s">
        <v>45115</v>
      </c>
    </row>
    <row r="13221" spans="1:24">
      <c r="A13221">
        <f>HYPERLINK("https://www.philgeps.gov.ph/GEPSNONPILOT/Tender/SplashBidNoticeAbstractUI.aspx?menuIndex=3&amp;refID=7018474&amp;Result=3","7018474")</f>
        <v>0</v>
      </c>
      <c r="B13221" t="s">
        <v>3018</v>
      </c>
      <c r="C13221" t="s">
        <v>8198</v>
      </c>
      <c r="D13221" t="s">
        <v>18029</v>
      </c>
      <c r="E13221" t="s">
        <v>18448</v>
      </c>
      <c r="F13221" t="s">
        <v>31574</v>
      </c>
      <c r="G13221" t="s">
        <v>31582</v>
      </c>
      <c r="H13221" t="s">
        <v>31590</v>
      </c>
      <c r="I13221" t="s">
        <v>31699</v>
      </c>
      <c r="J13221" t="s">
        <v>31844</v>
      </c>
      <c r="K13221" t="s">
        <v>41192</v>
      </c>
      <c r="M13221" t="s">
        <v>44850</v>
      </c>
      <c r="N13221" t="s">
        <v>45095</v>
      </c>
      <c r="O13221" t="s">
        <v>45096</v>
      </c>
      <c r="P13221">
        <v>0</v>
      </c>
      <c r="Q13221">
        <v>2</v>
      </c>
      <c r="R13221" t="s">
        <v>45114</v>
      </c>
      <c r="S13221" t="s">
        <v>45791</v>
      </c>
      <c r="T13221" t="s">
        <v>47067</v>
      </c>
      <c r="U13221" t="s">
        <v>58178</v>
      </c>
      <c r="W13221" t="s">
        <v>44850</v>
      </c>
      <c r="X13221" t="s">
        <v>45115</v>
      </c>
    </row>
    <row r="13222" spans="1:24">
      <c r="A13222">
        <f>HYPERLINK("https://www.philgeps.gov.ph/GEPSNONPILOT/Tender/SplashBidNoticeAbstractUI.aspx?menuIndex=3&amp;refID=7018470&amp;Result=3","7018470")</f>
        <v>0</v>
      </c>
      <c r="B13222" t="s">
        <v>1234</v>
      </c>
      <c r="C13222" t="s">
        <v>15852</v>
      </c>
      <c r="D13222" t="s">
        <v>18094</v>
      </c>
      <c r="E13222" t="s">
        <v>29541</v>
      </c>
      <c r="F13222" t="s">
        <v>31574</v>
      </c>
      <c r="G13222" t="s">
        <v>31582</v>
      </c>
      <c r="H13222" t="s">
        <v>31590</v>
      </c>
      <c r="I13222" t="s">
        <v>31601</v>
      </c>
      <c r="J13222" t="s">
        <v>32986</v>
      </c>
      <c r="K13222" t="s">
        <v>41217</v>
      </c>
      <c r="M13222" t="s">
        <v>42796</v>
      </c>
      <c r="N13222" t="s">
        <v>45095</v>
      </c>
      <c r="O13222" t="s">
        <v>45096</v>
      </c>
      <c r="P13222">
        <v>0</v>
      </c>
      <c r="Q13222">
        <v>8</v>
      </c>
      <c r="R13222" t="s">
        <v>45114</v>
      </c>
      <c r="S13222" t="s">
        <v>45791</v>
      </c>
      <c r="T13222" t="s">
        <v>46920</v>
      </c>
      <c r="U13222" t="s">
        <v>58186</v>
      </c>
      <c r="W13222" t="s">
        <v>42796</v>
      </c>
      <c r="X13222" t="s">
        <v>45115</v>
      </c>
    </row>
    <row r="13223" spans="1:24">
      <c r="A13223">
        <f>HYPERLINK("https://www.philgeps.gov.ph/GEPSNONPILOT/Tender/SplashBidNoticeAbstractUI.aspx?menuIndex=3&amp;refID=7018476&amp;Result=3","7018476")</f>
        <v>0</v>
      </c>
      <c r="B13223" t="s">
        <v>3018</v>
      </c>
      <c r="C13223" t="s">
        <v>15853</v>
      </c>
      <c r="D13223" t="s">
        <v>18029</v>
      </c>
      <c r="E13223" t="s">
        <v>18448</v>
      </c>
      <c r="F13223" t="s">
        <v>31574</v>
      </c>
      <c r="G13223" t="s">
        <v>31582</v>
      </c>
      <c r="H13223" t="s">
        <v>31590</v>
      </c>
      <c r="I13223" t="s">
        <v>8258</v>
      </c>
      <c r="J13223" t="s">
        <v>39881</v>
      </c>
      <c r="K13223" t="s">
        <v>41186</v>
      </c>
      <c r="M13223" t="s">
        <v>44850</v>
      </c>
      <c r="N13223" t="s">
        <v>45095</v>
      </c>
      <c r="O13223" t="s">
        <v>45096</v>
      </c>
      <c r="P13223">
        <v>0</v>
      </c>
      <c r="Q13223">
        <v>21</v>
      </c>
      <c r="R13223" t="s">
        <v>45114</v>
      </c>
      <c r="S13223" t="s">
        <v>45791</v>
      </c>
      <c r="T13223" t="s">
        <v>47067</v>
      </c>
      <c r="U13223" t="s">
        <v>58178</v>
      </c>
      <c r="W13223" t="s">
        <v>44850</v>
      </c>
      <c r="X13223" t="s">
        <v>45115</v>
      </c>
    </row>
    <row r="13224" spans="1:24">
      <c r="A13224">
        <f>HYPERLINK("https://www.philgeps.gov.ph/GEPSNONPILOT/Tender/SplashBidNoticeAbstractUI.aspx?menuIndex=3&amp;refID=7018471&amp;Result=3","7018471")</f>
        <v>0</v>
      </c>
      <c r="B13224" t="s">
        <v>3018</v>
      </c>
      <c r="C13224" t="s">
        <v>15854</v>
      </c>
      <c r="D13224" t="s">
        <v>18029</v>
      </c>
      <c r="E13224" t="s">
        <v>18448</v>
      </c>
      <c r="F13224" t="s">
        <v>31574</v>
      </c>
      <c r="G13224" t="s">
        <v>31582</v>
      </c>
      <c r="H13224" t="s">
        <v>31590</v>
      </c>
      <c r="I13224" t="s">
        <v>31595</v>
      </c>
      <c r="J13224" t="s">
        <v>39882</v>
      </c>
      <c r="K13224" t="s">
        <v>41186</v>
      </c>
      <c r="M13224" t="s">
        <v>44850</v>
      </c>
      <c r="N13224" t="s">
        <v>45095</v>
      </c>
      <c r="O13224" t="s">
        <v>45096</v>
      </c>
      <c r="P13224">
        <v>0</v>
      </c>
      <c r="Q13224">
        <v>5</v>
      </c>
      <c r="R13224" t="s">
        <v>45114</v>
      </c>
      <c r="S13224" t="s">
        <v>45791</v>
      </c>
      <c r="T13224" t="s">
        <v>47050</v>
      </c>
      <c r="U13224" t="s">
        <v>58178</v>
      </c>
      <c r="W13224" t="s">
        <v>44850</v>
      </c>
      <c r="X13224" t="s">
        <v>45115</v>
      </c>
    </row>
    <row r="13225" spans="1:24">
      <c r="A13225">
        <f>HYPERLINK("https://www.philgeps.gov.ph/GEPSNONPILOT/Tender/SplashBidNoticeAbstractUI.aspx?menuIndex=3&amp;refID=7018481&amp;Result=3","7018481")</f>
        <v>0</v>
      </c>
      <c r="B13225" t="s">
        <v>3020</v>
      </c>
      <c r="C13225" t="s">
        <v>15855</v>
      </c>
      <c r="D13225" t="s">
        <v>18022</v>
      </c>
      <c r="E13225" t="s">
        <v>29542</v>
      </c>
      <c r="F13225" t="s">
        <v>31574</v>
      </c>
      <c r="G13225" t="s">
        <v>31582</v>
      </c>
      <c r="H13225" t="s">
        <v>31590</v>
      </c>
      <c r="I13225" t="s">
        <v>31608</v>
      </c>
      <c r="J13225" t="s">
        <v>32421</v>
      </c>
      <c r="K13225" t="s">
        <v>41459</v>
      </c>
      <c r="L13225" t="s">
        <v>3020</v>
      </c>
      <c r="M13225" t="s">
        <v>44852</v>
      </c>
      <c r="N13225" t="s">
        <v>45095</v>
      </c>
      <c r="O13225" t="s">
        <v>45096</v>
      </c>
      <c r="P13225">
        <v>0</v>
      </c>
      <c r="Q13225">
        <v>5</v>
      </c>
      <c r="R13225" t="s">
        <v>45114</v>
      </c>
      <c r="S13225" t="s">
        <v>45791</v>
      </c>
      <c r="T13225" t="s">
        <v>46932</v>
      </c>
      <c r="U13225" t="s">
        <v>58187</v>
      </c>
      <c r="V13225" t="s">
        <v>61302</v>
      </c>
      <c r="W13225" t="s">
        <v>44852</v>
      </c>
      <c r="X13225" t="s">
        <v>45115</v>
      </c>
    </row>
    <row r="13226" spans="1:24">
      <c r="A13226">
        <f>HYPERLINK("https://www.philgeps.gov.ph/GEPSNONPILOT/Tender/SplashBidNoticeAbstractUI.aspx?menuIndex=3&amp;refID=7018535&amp;Result=3","7018535")</f>
        <v>0</v>
      </c>
      <c r="B13226" t="s">
        <v>3021</v>
      </c>
      <c r="C13226" t="s">
        <v>15856</v>
      </c>
      <c r="D13226" t="s">
        <v>18055</v>
      </c>
      <c r="E13226" t="s">
        <v>28708</v>
      </c>
      <c r="F13226" t="s">
        <v>31574</v>
      </c>
      <c r="G13226" t="s">
        <v>31582</v>
      </c>
      <c r="H13226" t="s">
        <v>31590</v>
      </c>
      <c r="I13226" t="s">
        <v>4046</v>
      </c>
      <c r="J13226" t="s">
        <v>39883</v>
      </c>
      <c r="K13226" t="s">
        <v>41193</v>
      </c>
      <c r="M13226" t="s">
        <v>44853</v>
      </c>
      <c r="N13226" t="s">
        <v>45095</v>
      </c>
      <c r="O13226" t="s">
        <v>45096</v>
      </c>
      <c r="P13226">
        <v>0</v>
      </c>
      <c r="Q13226">
        <v>10</v>
      </c>
      <c r="R13226" t="s">
        <v>45114</v>
      </c>
      <c r="S13226" t="s">
        <v>45791</v>
      </c>
      <c r="T13226" t="s">
        <v>46911</v>
      </c>
      <c r="U13226" t="s">
        <v>58188</v>
      </c>
      <c r="W13226" t="s">
        <v>44853</v>
      </c>
      <c r="X13226" t="s">
        <v>45115</v>
      </c>
    </row>
    <row r="13227" spans="1:24">
      <c r="A13227">
        <f>HYPERLINK("https://www.philgeps.gov.ph/GEPSNONPILOT/Tender/SplashBidNoticeAbstractUI.aspx?menuIndex=3&amp;refID=7018479&amp;Result=3","7018479")</f>
        <v>0</v>
      </c>
      <c r="B13227" t="s">
        <v>3018</v>
      </c>
      <c r="C13227" t="s">
        <v>15857</v>
      </c>
      <c r="D13227" t="s">
        <v>18029</v>
      </c>
      <c r="E13227" t="s">
        <v>18448</v>
      </c>
      <c r="F13227" t="s">
        <v>31574</v>
      </c>
      <c r="G13227" t="s">
        <v>31582</v>
      </c>
      <c r="H13227" t="s">
        <v>31590</v>
      </c>
      <c r="I13227" t="s">
        <v>7185</v>
      </c>
      <c r="J13227" t="s">
        <v>39884</v>
      </c>
      <c r="K13227" t="s">
        <v>41186</v>
      </c>
      <c r="M13227" t="s">
        <v>44850</v>
      </c>
      <c r="N13227" t="s">
        <v>45095</v>
      </c>
      <c r="O13227" t="s">
        <v>45096</v>
      </c>
      <c r="P13227">
        <v>0</v>
      </c>
      <c r="Q13227">
        <v>19</v>
      </c>
      <c r="R13227" t="s">
        <v>45114</v>
      </c>
      <c r="S13227" t="s">
        <v>45791</v>
      </c>
      <c r="T13227" t="s">
        <v>47058</v>
      </c>
      <c r="U13227" t="s">
        <v>58178</v>
      </c>
      <c r="W13227" t="s">
        <v>44850</v>
      </c>
      <c r="X13227" t="s">
        <v>45115</v>
      </c>
    </row>
    <row r="13228" spans="1:24">
      <c r="A13228">
        <f>HYPERLINK("https://www.philgeps.gov.ph/GEPSNONPILOT/Tender/SplashBidNoticeAbstractUI.aspx?menuIndex=3&amp;refID=7018513&amp;Result=3","7018513")</f>
        <v>0</v>
      </c>
      <c r="B13228" t="s">
        <v>823</v>
      </c>
      <c r="C13228" t="s">
        <v>15858</v>
      </c>
      <c r="D13228" t="s">
        <v>18073</v>
      </c>
      <c r="E13228" t="s">
        <v>29543</v>
      </c>
      <c r="F13228" t="s">
        <v>31574</v>
      </c>
      <c r="G13228" t="s">
        <v>31582</v>
      </c>
      <c r="H13228" t="s">
        <v>31591</v>
      </c>
      <c r="I13228" t="s">
        <v>8822</v>
      </c>
      <c r="J13228" t="s">
        <v>39885</v>
      </c>
      <c r="K13228" t="s">
        <v>41184</v>
      </c>
      <c r="M13228" t="s">
        <v>42700</v>
      </c>
      <c r="N13228" t="s">
        <v>45095</v>
      </c>
      <c r="O13228" t="s">
        <v>45096</v>
      </c>
      <c r="P13228">
        <v>0</v>
      </c>
      <c r="Q13228">
        <v>0</v>
      </c>
      <c r="R13228" t="s">
        <v>45114</v>
      </c>
      <c r="S13228" t="s">
        <v>45791</v>
      </c>
      <c r="T13228" t="s">
        <v>46979</v>
      </c>
      <c r="U13228" t="s">
        <v>58189</v>
      </c>
      <c r="W13228" t="s">
        <v>42700</v>
      </c>
      <c r="X13228" t="s">
        <v>45115</v>
      </c>
    </row>
    <row r="13229" spans="1:24">
      <c r="A13229">
        <f>HYPERLINK("https://www.philgeps.gov.ph/GEPSNONPILOT/Tender/SplashBidNoticeAbstractUI.aspx?menuIndex=3&amp;refID=7018504&amp;Result=3","7018504")</f>
        <v>0</v>
      </c>
      <c r="B13229" t="s">
        <v>1238</v>
      </c>
      <c r="C13229" t="s">
        <v>15859</v>
      </c>
      <c r="D13229" t="s">
        <v>18049</v>
      </c>
      <c r="E13229" t="s">
        <v>29544</v>
      </c>
      <c r="F13229" t="s">
        <v>31574</v>
      </c>
      <c r="G13229" t="s">
        <v>31582</v>
      </c>
      <c r="H13229" t="s">
        <v>31591</v>
      </c>
      <c r="I13229" t="s">
        <v>8822</v>
      </c>
      <c r="J13229" t="s">
        <v>39886</v>
      </c>
      <c r="K13229" t="s">
        <v>41392</v>
      </c>
      <c r="M13229" t="s">
        <v>42800</v>
      </c>
      <c r="N13229" t="s">
        <v>45095</v>
      </c>
      <c r="O13229" t="s">
        <v>45096</v>
      </c>
      <c r="P13229">
        <v>0</v>
      </c>
      <c r="Q13229">
        <v>1</v>
      </c>
      <c r="R13229" t="s">
        <v>45114</v>
      </c>
      <c r="S13229" t="s">
        <v>45791</v>
      </c>
      <c r="T13229" t="s">
        <v>46979</v>
      </c>
      <c r="U13229" t="s">
        <v>58190</v>
      </c>
      <c r="W13229" t="s">
        <v>42800</v>
      </c>
      <c r="X13229" t="s">
        <v>45115</v>
      </c>
    </row>
    <row r="13230" spans="1:24">
      <c r="A13230">
        <f>HYPERLINK("https://www.philgeps.gov.ph/GEPSNONPILOT/Tender/SplashBidNoticeAbstractUI.aspx?menuIndex=3&amp;refID=7018512&amp;Result=3","7018512")</f>
        <v>0</v>
      </c>
      <c r="B13230" t="s">
        <v>823</v>
      </c>
      <c r="C13230" t="s">
        <v>15860</v>
      </c>
      <c r="D13230" t="s">
        <v>18073</v>
      </c>
      <c r="E13230" t="s">
        <v>29545</v>
      </c>
      <c r="F13230" t="s">
        <v>31574</v>
      </c>
      <c r="G13230" t="s">
        <v>31582</v>
      </c>
      <c r="H13230" t="s">
        <v>31591</v>
      </c>
      <c r="I13230" t="s">
        <v>8822</v>
      </c>
      <c r="J13230" t="s">
        <v>33124</v>
      </c>
      <c r="K13230" t="s">
        <v>41184</v>
      </c>
      <c r="M13230" t="s">
        <v>42700</v>
      </c>
      <c r="N13230" t="s">
        <v>45095</v>
      </c>
      <c r="O13230" t="s">
        <v>45096</v>
      </c>
      <c r="P13230">
        <v>0</v>
      </c>
      <c r="Q13230">
        <v>1</v>
      </c>
      <c r="R13230" t="s">
        <v>45114</v>
      </c>
      <c r="S13230" t="s">
        <v>45791</v>
      </c>
      <c r="T13230" t="s">
        <v>46979</v>
      </c>
      <c r="U13230" t="s">
        <v>58191</v>
      </c>
      <c r="W13230" t="s">
        <v>42700</v>
      </c>
      <c r="X13230" t="s">
        <v>45115</v>
      </c>
    </row>
    <row r="13231" spans="1:24">
      <c r="A13231">
        <f>HYPERLINK("https://www.philgeps.gov.ph/GEPSNONPILOT/Tender/SplashBidNoticeAbstractUI.aspx?menuIndex=3&amp;refID=7018502&amp;Result=3","7018502")</f>
        <v>0</v>
      </c>
      <c r="B13231" t="s">
        <v>3022</v>
      </c>
      <c r="C13231" t="s">
        <v>8441</v>
      </c>
      <c r="D13231" t="s">
        <v>18056</v>
      </c>
      <c r="E13231" t="s">
        <v>18364</v>
      </c>
      <c r="F13231" t="s">
        <v>31574</v>
      </c>
      <c r="G13231" t="s">
        <v>31582</v>
      </c>
      <c r="H13231" t="s">
        <v>31591</v>
      </c>
      <c r="I13231" t="s">
        <v>8822</v>
      </c>
      <c r="J13231" t="s">
        <v>39887</v>
      </c>
      <c r="K13231" t="s">
        <v>41184</v>
      </c>
      <c r="M13231" t="s">
        <v>44854</v>
      </c>
      <c r="N13231" t="s">
        <v>45095</v>
      </c>
      <c r="O13231" t="s">
        <v>45096</v>
      </c>
      <c r="P13231">
        <v>0</v>
      </c>
      <c r="Q13231">
        <v>0</v>
      </c>
      <c r="R13231" t="s">
        <v>45114</v>
      </c>
      <c r="S13231" t="s">
        <v>45791</v>
      </c>
      <c r="T13231" t="s">
        <v>46911</v>
      </c>
      <c r="U13231" t="s">
        <v>58192</v>
      </c>
      <c r="W13231" t="s">
        <v>44854</v>
      </c>
      <c r="X13231" t="s">
        <v>45115</v>
      </c>
    </row>
    <row r="13232" spans="1:24">
      <c r="A13232">
        <f>HYPERLINK("https://www.philgeps.gov.ph/GEPSNONPILOT/Tender/SplashBidNoticeAbstractUI.aspx?menuIndex=3&amp;refID=7018511&amp;Result=3","7018511")</f>
        <v>0</v>
      </c>
      <c r="B13232" t="s">
        <v>823</v>
      </c>
      <c r="C13232" t="s">
        <v>15861</v>
      </c>
      <c r="D13232" t="s">
        <v>18073</v>
      </c>
      <c r="E13232" t="s">
        <v>29546</v>
      </c>
      <c r="F13232" t="s">
        <v>31574</v>
      </c>
      <c r="G13232" t="s">
        <v>31582</v>
      </c>
      <c r="H13232" t="s">
        <v>31591</v>
      </c>
      <c r="I13232" t="s">
        <v>8822</v>
      </c>
      <c r="J13232" t="s">
        <v>33124</v>
      </c>
      <c r="K13232" t="s">
        <v>41184</v>
      </c>
      <c r="M13232" t="s">
        <v>42700</v>
      </c>
      <c r="N13232" t="s">
        <v>45095</v>
      </c>
      <c r="O13232" t="s">
        <v>45096</v>
      </c>
      <c r="P13232">
        <v>0</v>
      </c>
      <c r="Q13232">
        <v>1</v>
      </c>
      <c r="R13232" t="s">
        <v>45114</v>
      </c>
      <c r="S13232" t="s">
        <v>45791</v>
      </c>
      <c r="T13232" t="s">
        <v>46979</v>
      </c>
      <c r="U13232" t="s">
        <v>58193</v>
      </c>
      <c r="W13232" t="s">
        <v>42700</v>
      </c>
      <c r="X13232" t="s">
        <v>45115</v>
      </c>
    </row>
    <row r="13233" spans="1:24">
      <c r="A13233">
        <f>HYPERLINK("https://www.philgeps.gov.ph/GEPSNONPILOT/Tender/SplashBidNoticeAbstractUI.aspx?menuIndex=3&amp;refID=7018496&amp;Result=3","7018496")</f>
        <v>0</v>
      </c>
      <c r="B13233" t="s">
        <v>1238</v>
      </c>
      <c r="C13233" t="s">
        <v>15862</v>
      </c>
      <c r="D13233" t="s">
        <v>18049</v>
      </c>
      <c r="E13233" t="s">
        <v>29547</v>
      </c>
      <c r="F13233" t="s">
        <v>31574</v>
      </c>
      <c r="G13233" t="s">
        <v>31582</v>
      </c>
      <c r="H13233" t="s">
        <v>31591</v>
      </c>
      <c r="I13233" t="s">
        <v>8822</v>
      </c>
      <c r="J13233" t="s">
        <v>39888</v>
      </c>
      <c r="K13233" t="s">
        <v>41235</v>
      </c>
      <c r="M13233" t="s">
        <v>42800</v>
      </c>
      <c r="N13233" t="s">
        <v>45095</v>
      </c>
      <c r="O13233" t="s">
        <v>45096</v>
      </c>
      <c r="P13233">
        <v>0</v>
      </c>
      <c r="Q13233">
        <v>2</v>
      </c>
      <c r="R13233" t="s">
        <v>45114</v>
      </c>
      <c r="S13233" t="s">
        <v>45791</v>
      </c>
      <c r="T13233" t="s">
        <v>46979</v>
      </c>
      <c r="U13233" t="s">
        <v>58194</v>
      </c>
      <c r="W13233" t="s">
        <v>42800</v>
      </c>
      <c r="X13233" t="s">
        <v>45115</v>
      </c>
    </row>
    <row r="13234" spans="1:24">
      <c r="A13234">
        <f>HYPERLINK("https://www.philgeps.gov.ph/GEPSNONPILOT/Tender/SplashBidNoticeAbstractUI.aspx?menuIndex=3&amp;refID=7018561&amp;Result=3","7018561")</f>
        <v>0</v>
      </c>
      <c r="B13234" t="s">
        <v>3004</v>
      </c>
      <c r="C13234" t="s">
        <v>15863</v>
      </c>
      <c r="D13234" t="s">
        <v>18043</v>
      </c>
      <c r="E13234" t="s">
        <v>29548</v>
      </c>
      <c r="F13234" t="s">
        <v>31579</v>
      </c>
      <c r="G13234" t="s">
        <v>31582</v>
      </c>
      <c r="H13234" t="s">
        <v>31590</v>
      </c>
      <c r="I13234" t="s">
        <v>31614</v>
      </c>
      <c r="J13234" t="s">
        <v>33514</v>
      </c>
      <c r="K13234" t="s">
        <v>41189</v>
      </c>
      <c r="M13234" t="s">
        <v>44833</v>
      </c>
      <c r="N13234" t="s">
        <v>45095</v>
      </c>
      <c r="O13234" t="s">
        <v>45096</v>
      </c>
      <c r="Q13234">
        <v>5</v>
      </c>
      <c r="R13234" t="s">
        <v>45114</v>
      </c>
      <c r="S13234" t="s">
        <v>45840</v>
      </c>
      <c r="T13234" t="s">
        <v>46936</v>
      </c>
      <c r="U13234" t="s">
        <v>58195</v>
      </c>
      <c r="W13234" t="s">
        <v>44833</v>
      </c>
      <c r="X13234" t="s">
        <v>45115</v>
      </c>
    </row>
    <row r="13235" spans="1:24">
      <c r="A13235">
        <f>HYPERLINK("https://www.philgeps.gov.ph/GEPSNONPILOT/Tender/SplashBidNoticeAbstractUI.aspx?menuIndex=3&amp;refID=7018559&amp;Result=3","7018559")</f>
        <v>0</v>
      </c>
      <c r="B13235" t="s">
        <v>3023</v>
      </c>
      <c r="C13235" t="s">
        <v>15864</v>
      </c>
      <c r="D13235" t="s">
        <v>18022</v>
      </c>
      <c r="E13235" t="s">
        <v>29549</v>
      </c>
      <c r="F13235" t="s">
        <v>31574</v>
      </c>
      <c r="G13235" t="s">
        <v>31582</v>
      </c>
      <c r="H13235" t="s">
        <v>31590</v>
      </c>
      <c r="I13235" t="s">
        <v>31596</v>
      </c>
      <c r="J13235" t="s">
        <v>39889</v>
      </c>
      <c r="K13235" t="s">
        <v>41225</v>
      </c>
      <c r="M13235" t="s">
        <v>44855</v>
      </c>
      <c r="N13235" t="s">
        <v>45095</v>
      </c>
      <c r="O13235" t="s">
        <v>45096</v>
      </c>
      <c r="P13235">
        <v>0</v>
      </c>
      <c r="Q13235">
        <v>4</v>
      </c>
      <c r="R13235" t="s">
        <v>45114</v>
      </c>
      <c r="S13235" t="s">
        <v>45791</v>
      </c>
      <c r="T13235" t="s">
        <v>46936</v>
      </c>
      <c r="U13235" t="s">
        <v>58196</v>
      </c>
      <c r="W13235" t="s">
        <v>61771</v>
      </c>
      <c r="X13235" t="s">
        <v>45115</v>
      </c>
    </row>
    <row r="13236" spans="1:24">
      <c r="A13236">
        <f>HYPERLINK("https://www.philgeps.gov.ph/GEPSNONPILOT/Tender/SplashBidNoticeAbstractUI.aspx?menuIndex=3&amp;refID=7018505&amp;Result=3","7018505")</f>
        <v>0</v>
      </c>
      <c r="B13236" t="s">
        <v>3024</v>
      </c>
      <c r="C13236" t="s">
        <v>15865</v>
      </c>
      <c r="E13236" t="s">
        <v>29550</v>
      </c>
      <c r="F13236" t="s">
        <v>31574</v>
      </c>
      <c r="G13236" t="s">
        <v>31581</v>
      </c>
      <c r="H13236" t="s">
        <v>31590</v>
      </c>
      <c r="I13236" t="s">
        <v>31619</v>
      </c>
      <c r="J13236" t="s">
        <v>31724</v>
      </c>
      <c r="K13236" t="s">
        <v>41184</v>
      </c>
      <c r="M13236" t="s">
        <v>44856</v>
      </c>
      <c r="N13236" t="s">
        <v>45095</v>
      </c>
      <c r="O13236" t="s">
        <v>45096</v>
      </c>
      <c r="P13236">
        <v>0</v>
      </c>
      <c r="Q13236">
        <v>5</v>
      </c>
      <c r="R13236" t="s">
        <v>45114</v>
      </c>
      <c r="S13236" t="s">
        <v>45791</v>
      </c>
      <c r="T13236" t="s">
        <v>46990</v>
      </c>
      <c r="U13236" t="s">
        <v>58197</v>
      </c>
      <c r="W13236" t="s">
        <v>44856</v>
      </c>
      <c r="X13236" t="s">
        <v>45115</v>
      </c>
    </row>
    <row r="13237" spans="1:24">
      <c r="A13237">
        <f>HYPERLINK("https://www.philgeps.gov.ph/GEPSNONPILOT/Tender/SplashBidNoticeAbstractUI.aspx?menuIndex=3&amp;refID=7018508&amp;Result=3","7018508")</f>
        <v>0</v>
      </c>
      <c r="B13237" t="s">
        <v>823</v>
      </c>
      <c r="C13237" t="s">
        <v>15866</v>
      </c>
      <c r="D13237" t="s">
        <v>18073</v>
      </c>
      <c r="E13237" t="s">
        <v>29551</v>
      </c>
      <c r="F13237" t="s">
        <v>31574</v>
      </c>
      <c r="G13237" t="s">
        <v>31582</v>
      </c>
      <c r="H13237" t="s">
        <v>31591</v>
      </c>
      <c r="I13237" t="s">
        <v>8822</v>
      </c>
      <c r="J13237" t="s">
        <v>33124</v>
      </c>
      <c r="K13237" t="s">
        <v>41184</v>
      </c>
      <c r="M13237" t="s">
        <v>42700</v>
      </c>
      <c r="N13237" t="s">
        <v>45095</v>
      </c>
      <c r="O13237" t="s">
        <v>45096</v>
      </c>
      <c r="P13237">
        <v>0</v>
      </c>
      <c r="Q13237">
        <v>0</v>
      </c>
      <c r="R13237" t="s">
        <v>45114</v>
      </c>
      <c r="S13237" t="s">
        <v>45791</v>
      </c>
      <c r="T13237" t="s">
        <v>46979</v>
      </c>
      <c r="U13237" t="s">
        <v>58198</v>
      </c>
      <c r="W13237" t="s">
        <v>42700</v>
      </c>
      <c r="X13237" t="s">
        <v>45115</v>
      </c>
    </row>
    <row r="13238" spans="1:24">
      <c r="A13238">
        <f>HYPERLINK("https://www.philgeps.gov.ph/GEPSNONPILOT/Tender/SplashBidNoticeAbstractUI.aspx?menuIndex=3&amp;refID=7018544&amp;Result=3","7018544")</f>
        <v>0</v>
      </c>
      <c r="B13238" t="s">
        <v>1641</v>
      </c>
      <c r="C13238" t="s">
        <v>15867</v>
      </c>
      <c r="D13238" t="s">
        <v>18056</v>
      </c>
      <c r="E13238" t="s">
        <v>29552</v>
      </c>
      <c r="F13238" t="s">
        <v>31574</v>
      </c>
      <c r="G13238" t="s">
        <v>31582</v>
      </c>
      <c r="H13238" t="s">
        <v>31591</v>
      </c>
      <c r="I13238" t="s">
        <v>8822</v>
      </c>
      <c r="J13238" t="s">
        <v>39890</v>
      </c>
      <c r="K13238" t="s">
        <v>41460</v>
      </c>
      <c r="M13238" t="s">
        <v>43251</v>
      </c>
      <c r="N13238" t="s">
        <v>45095</v>
      </c>
      <c r="O13238" t="s">
        <v>45096</v>
      </c>
      <c r="P13238">
        <v>0</v>
      </c>
      <c r="Q13238">
        <v>0</v>
      </c>
      <c r="R13238" t="s">
        <v>45114</v>
      </c>
      <c r="S13238" t="s">
        <v>45791</v>
      </c>
      <c r="T13238" t="s">
        <v>46979</v>
      </c>
      <c r="U13238" t="s">
        <v>58199</v>
      </c>
      <c r="W13238" t="s">
        <v>43251</v>
      </c>
      <c r="X13238" t="s">
        <v>45115</v>
      </c>
    </row>
    <row r="13239" spans="1:24">
      <c r="A13239">
        <f>HYPERLINK("https://www.philgeps.gov.ph/GEPSNONPILOT/Tender/SplashBidNoticeAbstractUI.aspx?menuIndex=3&amp;refID=7018562&amp;Result=3","7018562")</f>
        <v>0</v>
      </c>
      <c r="B13239" t="s">
        <v>3004</v>
      </c>
      <c r="C13239" t="s">
        <v>15868</v>
      </c>
      <c r="D13239" t="s">
        <v>18043</v>
      </c>
      <c r="E13239" t="s">
        <v>29448</v>
      </c>
      <c r="F13239" t="s">
        <v>31579</v>
      </c>
      <c r="G13239" t="s">
        <v>31582</v>
      </c>
      <c r="H13239" t="s">
        <v>31590</v>
      </c>
      <c r="I13239" t="s">
        <v>31614</v>
      </c>
      <c r="J13239" t="s">
        <v>33514</v>
      </c>
      <c r="K13239" t="s">
        <v>41189</v>
      </c>
      <c r="M13239" t="s">
        <v>44833</v>
      </c>
      <c r="N13239" t="s">
        <v>45095</v>
      </c>
      <c r="O13239" t="s">
        <v>45096</v>
      </c>
      <c r="Q13239">
        <v>4</v>
      </c>
      <c r="R13239" t="s">
        <v>45114</v>
      </c>
      <c r="S13239" t="s">
        <v>45841</v>
      </c>
      <c r="T13239" t="s">
        <v>47228</v>
      </c>
      <c r="U13239" t="s">
        <v>58200</v>
      </c>
      <c r="W13239" t="s">
        <v>44833</v>
      </c>
      <c r="X13239" t="s">
        <v>45115</v>
      </c>
    </row>
    <row r="13240" spans="1:24">
      <c r="A13240">
        <f>HYPERLINK("https://www.philgeps.gov.ph/GEPSNONPILOT/Tender/SplashBidNoticeAbstractUI.aspx?menuIndex=3&amp;refID=7018575&amp;Result=3","7018575")</f>
        <v>0</v>
      </c>
      <c r="B13240" t="s">
        <v>3004</v>
      </c>
      <c r="C13240" t="s">
        <v>15869</v>
      </c>
      <c r="D13240" t="s">
        <v>18043</v>
      </c>
      <c r="E13240" t="s">
        <v>29553</v>
      </c>
      <c r="F13240" t="s">
        <v>31579</v>
      </c>
      <c r="G13240" t="s">
        <v>31582</v>
      </c>
      <c r="H13240" t="s">
        <v>31590</v>
      </c>
      <c r="I13240" t="s">
        <v>31614</v>
      </c>
      <c r="J13240" t="s">
        <v>39891</v>
      </c>
      <c r="K13240" t="s">
        <v>41189</v>
      </c>
      <c r="M13240" t="s">
        <v>44833</v>
      </c>
      <c r="N13240" t="s">
        <v>45095</v>
      </c>
      <c r="O13240" t="s">
        <v>45096</v>
      </c>
      <c r="Q13240">
        <v>7</v>
      </c>
      <c r="R13240" t="s">
        <v>45114</v>
      </c>
      <c r="S13240" t="s">
        <v>45280</v>
      </c>
      <c r="T13240" t="s">
        <v>47228</v>
      </c>
      <c r="U13240" t="s">
        <v>58201</v>
      </c>
      <c r="W13240" t="s">
        <v>44833</v>
      </c>
      <c r="X13240" t="s">
        <v>45115</v>
      </c>
    </row>
    <row r="13241" spans="1:24">
      <c r="A13241">
        <f>HYPERLINK("https://www.philgeps.gov.ph/GEPSNONPILOT/Tender/SplashBidNoticeAbstractUI.aspx?menuIndex=3&amp;refID=7018569&amp;Result=3","7018569")</f>
        <v>0</v>
      </c>
      <c r="B13241" t="s">
        <v>3004</v>
      </c>
      <c r="C13241" t="s">
        <v>15870</v>
      </c>
      <c r="D13241" t="s">
        <v>18043</v>
      </c>
      <c r="E13241" t="s">
        <v>29455</v>
      </c>
      <c r="F13241" t="s">
        <v>31579</v>
      </c>
      <c r="G13241" t="s">
        <v>31582</v>
      </c>
      <c r="H13241" t="s">
        <v>31590</v>
      </c>
      <c r="I13241" t="s">
        <v>31614</v>
      </c>
      <c r="J13241" t="s">
        <v>39892</v>
      </c>
      <c r="K13241" t="s">
        <v>41189</v>
      </c>
      <c r="M13241" t="s">
        <v>44833</v>
      </c>
      <c r="N13241" t="s">
        <v>45095</v>
      </c>
      <c r="O13241" t="s">
        <v>45096</v>
      </c>
      <c r="Q13241">
        <v>5</v>
      </c>
      <c r="R13241" t="s">
        <v>45114</v>
      </c>
      <c r="S13241" t="s">
        <v>45842</v>
      </c>
      <c r="T13241" t="s">
        <v>47228</v>
      </c>
      <c r="U13241" t="s">
        <v>58202</v>
      </c>
      <c r="W13241" t="s">
        <v>44833</v>
      </c>
      <c r="X13241" t="s">
        <v>45115</v>
      </c>
    </row>
    <row r="13242" spans="1:24">
      <c r="A13242">
        <f>HYPERLINK("https://www.philgeps.gov.ph/GEPSNONPILOT/Tender/SplashBidNoticeAbstractUI.aspx?menuIndex=3&amp;refID=7018518&amp;Result=3","7018518")</f>
        <v>0</v>
      </c>
      <c r="B13242" t="s">
        <v>823</v>
      </c>
      <c r="C13242" t="s">
        <v>15871</v>
      </c>
      <c r="D13242" t="s">
        <v>18073</v>
      </c>
      <c r="E13242" t="s">
        <v>29554</v>
      </c>
      <c r="F13242" t="s">
        <v>31574</v>
      </c>
      <c r="G13242" t="s">
        <v>31582</v>
      </c>
      <c r="H13242" t="s">
        <v>31591</v>
      </c>
      <c r="I13242" t="s">
        <v>8822</v>
      </c>
      <c r="J13242" t="s">
        <v>33193</v>
      </c>
      <c r="K13242" t="s">
        <v>41184</v>
      </c>
      <c r="M13242" t="s">
        <v>42700</v>
      </c>
      <c r="N13242" t="s">
        <v>45095</v>
      </c>
      <c r="O13242" t="s">
        <v>45096</v>
      </c>
      <c r="Q13242">
        <v>0</v>
      </c>
      <c r="R13242" t="s">
        <v>45114</v>
      </c>
      <c r="S13242" t="s">
        <v>45843</v>
      </c>
      <c r="T13242" t="s">
        <v>46979</v>
      </c>
      <c r="U13242" t="s">
        <v>58203</v>
      </c>
      <c r="W13242" t="s">
        <v>42700</v>
      </c>
      <c r="X13242" t="s">
        <v>45115</v>
      </c>
    </row>
    <row r="13243" spans="1:24">
      <c r="A13243">
        <f>HYPERLINK("https://www.philgeps.gov.ph/GEPSNONPILOT/Tender/SplashBidNoticeAbstractUI.aspx?menuIndex=3&amp;refID=7018571&amp;Result=3","7018571")</f>
        <v>0</v>
      </c>
      <c r="B13243" t="s">
        <v>1543</v>
      </c>
      <c r="C13243" t="s">
        <v>15872</v>
      </c>
      <c r="E13243" t="s">
        <v>29555</v>
      </c>
      <c r="F13243" t="s">
        <v>31574</v>
      </c>
      <c r="G13243" t="s">
        <v>31582</v>
      </c>
      <c r="H13243" t="s">
        <v>31590</v>
      </c>
      <c r="I13243" t="s">
        <v>31596</v>
      </c>
      <c r="J13243" t="s">
        <v>39893</v>
      </c>
      <c r="K13243" t="s">
        <v>41184</v>
      </c>
      <c r="M13243" t="s">
        <v>44857</v>
      </c>
      <c r="N13243" t="s">
        <v>45095</v>
      </c>
      <c r="O13243" t="s">
        <v>45096</v>
      </c>
      <c r="Q13243">
        <v>3</v>
      </c>
      <c r="R13243" t="s">
        <v>45114</v>
      </c>
      <c r="S13243" t="s">
        <v>45844</v>
      </c>
      <c r="T13243" t="s">
        <v>46936</v>
      </c>
      <c r="U13243" t="s">
        <v>58204</v>
      </c>
      <c r="W13243" t="s">
        <v>44857</v>
      </c>
      <c r="X13243" t="s">
        <v>45115</v>
      </c>
    </row>
    <row r="13244" spans="1:24">
      <c r="A13244">
        <f>HYPERLINK("https://www.philgeps.gov.ph/GEPSNONPILOT/Tender/SplashBidNoticeAbstractUI.aspx?menuIndex=3&amp;refID=7009913&amp;Result=3","7009913")</f>
        <v>0</v>
      </c>
      <c r="B13244" t="s">
        <v>2219</v>
      </c>
      <c r="C13244" t="s">
        <v>15873</v>
      </c>
      <c r="D13244" t="s">
        <v>18077</v>
      </c>
      <c r="E13244" t="s">
        <v>29556</v>
      </c>
      <c r="F13244" t="s">
        <v>31574</v>
      </c>
      <c r="G13244" t="s">
        <v>31582</v>
      </c>
      <c r="H13244" t="s">
        <v>31590</v>
      </c>
      <c r="I13244" t="s">
        <v>4046</v>
      </c>
      <c r="J13244" t="s">
        <v>39894</v>
      </c>
      <c r="K13244" t="s">
        <v>41191</v>
      </c>
      <c r="M13244" t="s">
        <v>43911</v>
      </c>
      <c r="N13244" t="s">
        <v>45095</v>
      </c>
      <c r="O13244" t="s">
        <v>45096</v>
      </c>
      <c r="P13244">
        <v>0</v>
      </c>
      <c r="Q13244">
        <v>0</v>
      </c>
      <c r="R13244" t="s">
        <v>45115</v>
      </c>
      <c r="S13244" t="s">
        <v>45845</v>
      </c>
      <c r="T13244" t="s">
        <v>47168</v>
      </c>
      <c r="U13244" t="s">
        <v>58205</v>
      </c>
      <c r="W13244" t="s">
        <v>43911</v>
      </c>
      <c r="X13244" t="s">
        <v>45118</v>
      </c>
    </row>
    <row r="13245" spans="1:24">
      <c r="A13245">
        <f>HYPERLINK("https://www.philgeps.gov.ph/GEPSNONPILOT/Tender/SplashBidNoticeAbstractUI.aspx?menuIndex=3&amp;refID=7009997&amp;Result=3","7009997")</f>
        <v>0</v>
      </c>
      <c r="B13245" t="s">
        <v>2219</v>
      </c>
      <c r="C13245" t="s">
        <v>15874</v>
      </c>
      <c r="D13245" t="s">
        <v>18101</v>
      </c>
      <c r="E13245" t="s">
        <v>29557</v>
      </c>
      <c r="F13245" t="s">
        <v>31574</v>
      </c>
      <c r="G13245" t="s">
        <v>31582</v>
      </c>
      <c r="H13245" t="s">
        <v>31590</v>
      </c>
      <c r="I13245" t="s">
        <v>4046</v>
      </c>
      <c r="J13245" t="s">
        <v>39895</v>
      </c>
      <c r="K13245" t="s">
        <v>41191</v>
      </c>
      <c r="M13245" t="s">
        <v>43911</v>
      </c>
      <c r="N13245" t="s">
        <v>45095</v>
      </c>
      <c r="O13245" t="s">
        <v>45096</v>
      </c>
      <c r="P13245">
        <v>0</v>
      </c>
      <c r="Q13245">
        <v>0</v>
      </c>
      <c r="R13245" t="s">
        <v>45115</v>
      </c>
      <c r="S13245" t="s">
        <v>45845</v>
      </c>
      <c r="T13245" t="s">
        <v>47168</v>
      </c>
      <c r="U13245" t="s">
        <v>58206</v>
      </c>
      <c r="W13245" t="s">
        <v>43911</v>
      </c>
      <c r="X13245" t="s">
        <v>45118</v>
      </c>
    </row>
    <row r="13246" spans="1:24">
      <c r="A13246">
        <f>HYPERLINK("https://www.philgeps.gov.ph/GEPSNONPILOT/Tender/SplashBidNoticeAbstractUI.aspx?menuIndex=3&amp;refID=7018515&amp;Result=3","7018515")</f>
        <v>0</v>
      </c>
      <c r="B13246" t="s">
        <v>823</v>
      </c>
      <c r="C13246" t="s">
        <v>15875</v>
      </c>
      <c r="D13246" t="s">
        <v>18073</v>
      </c>
      <c r="E13246" t="s">
        <v>29558</v>
      </c>
      <c r="F13246" t="s">
        <v>31574</v>
      </c>
      <c r="G13246" t="s">
        <v>31582</v>
      </c>
      <c r="H13246" t="s">
        <v>31591</v>
      </c>
      <c r="I13246" t="s">
        <v>8822</v>
      </c>
      <c r="J13246" t="s">
        <v>32026</v>
      </c>
      <c r="K13246" t="s">
        <v>41184</v>
      </c>
      <c r="M13246" t="s">
        <v>42700</v>
      </c>
      <c r="N13246" t="s">
        <v>45095</v>
      </c>
      <c r="O13246" t="s">
        <v>45096</v>
      </c>
      <c r="P13246">
        <v>0</v>
      </c>
      <c r="Q13246">
        <v>1</v>
      </c>
      <c r="R13246" t="s">
        <v>45114</v>
      </c>
      <c r="S13246" t="s">
        <v>45791</v>
      </c>
      <c r="T13246" t="s">
        <v>46979</v>
      </c>
      <c r="U13246" t="s">
        <v>58207</v>
      </c>
      <c r="W13246" t="s">
        <v>42700</v>
      </c>
      <c r="X13246" t="s">
        <v>45115</v>
      </c>
    </row>
    <row r="13247" spans="1:24">
      <c r="A13247">
        <f>HYPERLINK("https://www.philgeps.gov.ph/GEPSNONPILOT/Tender/SplashBidNoticeAbstractUI.aspx?menuIndex=3&amp;refID=7018573&amp;Result=3","7018573")</f>
        <v>0</v>
      </c>
      <c r="B13247" t="s">
        <v>3004</v>
      </c>
      <c r="C13247" t="s">
        <v>15876</v>
      </c>
      <c r="D13247" t="s">
        <v>18043</v>
      </c>
      <c r="E13247" t="s">
        <v>29559</v>
      </c>
      <c r="F13247" t="s">
        <v>31574</v>
      </c>
      <c r="G13247" t="s">
        <v>31582</v>
      </c>
      <c r="H13247" t="s">
        <v>31590</v>
      </c>
      <c r="I13247" t="s">
        <v>31614</v>
      </c>
      <c r="J13247" t="s">
        <v>32101</v>
      </c>
      <c r="K13247" t="s">
        <v>41189</v>
      </c>
      <c r="M13247" t="s">
        <v>44833</v>
      </c>
      <c r="N13247" t="s">
        <v>45095</v>
      </c>
      <c r="O13247" t="s">
        <v>45096</v>
      </c>
      <c r="Q13247">
        <v>9</v>
      </c>
      <c r="R13247" t="s">
        <v>45114</v>
      </c>
      <c r="S13247" t="s">
        <v>45846</v>
      </c>
      <c r="T13247" t="s">
        <v>47228</v>
      </c>
      <c r="U13247" t="s">
        <v>58208</v>
      </c>
      <c r="W13247" t="s">
        <v>44833</v>
      </c>
      <c r="X13247" t="s">
        <v>45115</v>
      </c>
    </row>
    <row r="13248" spans="1:24">
      <c r="A13248">
        <f>HYPERLINK("https://www.philgeps.gov.ph/GEPSNONPILOT/Tender/SplashBidNoticeAbstractUI.aspx?menuIndex=3&amp;refID=7009764&amp;Result=3","7009764")</f>
        <v>0</v>
      </c>
      <c r="B13248" t="s">
        <v>2219</v>
      </c>
      <c r="C13248" t="s">
        <v>15877</v>
      </c>
      <c r="D13248" t="s">
        <v>18077</v>
      </c>
      <c r="E13248" t="s">
        <v>29560</v>
      </c>
      <c r="F13248" t="s">
        <v>31574</v>
      </c>
      <c r="G13248" t="s">
        <v>31582</v>
      </c>
      <c r="H13248" t="s">
        <v>31590</v>
      </c>
      <c r="I13248" t="s">
        <v>31615</v>
      </c>
      <c r="J13248" t="s">
        <v>34550</v>
      </c>
      <c r="K13248" t="s">
        <v>41191</v>
      </c>
      <c r="M13248" t="s">
        <v>43911</v>
      </c>
      <c r="N13248" t="s">
        <v>45095</v>
      </c>
      <c r="O13248" t="s">
        <v>45096</v>
      </c>
      <c r="P13248">
        <v>0</v>
      </c>
      <c r="Q13248">
        <v>8</v>
      </c>
      <c r="R13248" t="s">
        <v>45115</v>
      </c>
      <c r="S13248" t="s">
        <v>45845</v>
      </c>
      <c r="T13248" t="s">
        <v>47168</v>
      </c>
      <c r="U13248" t="s">
        <v>58209</v>
      </c>
      <c r="W13248" t="s">
        <v>43911</v>
      </c>
      <c r="X13248" t="s">
        <v>45118</v>
      </c>
    </row>
    <row r="13249" spans="1:24">
      <c r="A13249">
        <f>HYPERLINK("https://www.philgeps.gov.ph/GEPSNONPILOT/Tender/SplashBidNoticeAbstractUI.aspx?menuIndex=3&amp;refID=7018563&amp;Result=3","7018563")</f>
        <v>0</v>
      </c>
      <c r="B13249" t="s">
        <v>3023</v>
      </c>
      <c r="C13249" t="s">
        <v>15878</v>
      </c>
      <c r="D13249" t="s">
        <v>18022</v>
      </c>
      <c r="E13249" t="s">
        <v>29561</v>
      </c>
      <c r="F13249" t="s">
        <v>31574</v>
      </c>
      <c r="G13249" t="s">
        <v>31582</v>
      </c>
      <c r="H13249" t="s">
        <v>31590</v>
      </c>
      <c r="I13249" t="s">
        <v>31596</v>
      </c>
      <c r="J13249" t="s">
        <v>39896</v>
      </c>
      <c r="K13249" t="s">
        <v>41225</v>
      </c>
      <c r="M13249" t="s">
        <v>44855</v>
      </c>
      <c r="N13249" t="s">
        <v>45095</v>
      </c>
      <c r="O13249" t="s">
        <v>45096</v>
      </c>
      <c r="P13249">
        <v>0</v>
      </c>
      <c r="Q13249">
        <v>5</v>
      </c>
      <c r="R13249" t="s">
        <v>45114</v>
      </c>
      <c r="S13249" t="s">
        <v>45791</v>
      </c>
      <c r="T13249" t="s">
        <v>46936</v>
      </c>
      <c r="U13249" t="s">
        <v>58196</v>
      </c>
      <c r="W13249" t="s">
        <v>61771</v>
      </c>
      <c r="X13249" t="s">
        <v>45115</v>
      </c>
    </row>
    <row r="13250" spans="1:24">
      <c r="A13250">
        <f>HYPERLINK("https://www.philgeps.gov.ph/GEPSNONPILOT/Tender/SplashBidNoticeAbstractUI.aspx?menuIndex=3&amp;refID=7018570&amp;Result=3","7018570")</f>
        <v>0</v>
      </c>
      <c r="B13250" t="s">
        <v>3004</v>
      </c>
      <c r="C13250" t="s">
        <v>15879</v>
      </c>
      <c r="D13250" t="s">
        <v>18043</v>
      </c>
      <c r="E13250" t="s">
        <v>29562</v>
      </c>
      <c r="F13250" t="s">
        <v>31579</v>
      </c>
      <c r="G13250" t="s">
        <v>31582</v>
      </c>
      <c r="H13250" t="s">
        <v>31590</v>
      </c>
      <c r="I13250" t="s">
        <v>31614</v>
      </c>
      <c r="J13250" t="s">
        <v>39892</v>
      </c>
      <c r="K13250" t="s">
        <v>41189</v>
      </c>
      <c r="M13250" t="s">
        <v>44833</v>
      </c>
      <c r="N13250" t="s">
        <v>45095</v>
      </c>
      <c r="O13250" t="s">
        <v>45096</v>
      </c>
      <c r="Q13250">
        <v>6</v>
      </c>
      <c r="R13250" t="s">
        <v>45114</v>
      </c>
      <c r="S13250" t="s">
        <v>45847</v>
      </c>
      <c r="T13250" t="s">
        <v>47228</v>
      </c>
      <c r="U13250" t="s">
        <v>58210</v>
      </c>
      <c r="W13250" t="s">
        <v>44833</v>
      </c>
      <c r="X13250" t="s">
        <v>45115</v>
      </c>
    </row>
    <row r="13251" spans="1:24">
      <c r="A13251">
        <f>HYPERLINK("https://www.philgeps.gov.ph/GEPSNONPILOT/Tender/SplashBidNoticeAbstractUI.aspx?menuIndex=3&amp;refID=7009319&amp;Result=3","7009319")</f>
        <v>0</v>
      </c>
      <c r="B13251" t="s">
        <v>3025</v>
      </c>
      <c r="C13251" t="s">
        <v>15880</v>
      </c>
      <c r="D13251" t="s">
        <v>18058</v>
      </c>
      <c r="E13251" t="s">
        <v>29563</v>
      </c>
      <c r="F13251" t="s">
        <v>31574</v>
      </c>
      <c r="G13251" t="s">
        <v>31582</v>
      </c>
      <c r="H13251" t="s">
        <v>31591</v>
      </c>
      <c r="I13251" t="s">
        <v>8822</v>
      </c>
      <c r="J13251" t="s">
        <v>39897</v>
      </c>
      <c r="K13251" t="s">
        <v>41222</v>
      </c>
      <c r="M13251" t="s">
        <v>44858</v>
      </c>
      <c r="N13251" t="s">
        <v>45095</v>
      </c>
      <c r="O13251" t="s">
        <v>45096</v>
      </c>
      <c r="Q13251">
        <v>9</v>
      </c>
      <c r="R13251" t="s">
        <v>45115</v>
      </c>
      <c r="S13251" t="s">
        <v>45848</v>
      </c>
      <c r="T13251" t="s">
        <v>46932</v>
      </c>
      <c r="U13251" t="s">
        <v>58211</v>
      </c>
      <c r="V13251" t="s">
        <v>59973</v>
      </c>
      <c r="W13251" t="s">
        <v>44858</v>
      </c>
      <c r="X13251" t="s">
        <v>45121</v>
      </c>
    </row>
    <row r="13252" spans="1:24">
      <c r="A13252">
        <f>HYPERLINK("https://www.philgeps.gov.ph/GEPSNONPILOT/Tender/SplashBidNoticeAbstractUI.aspx?menuIndex=3&amp;refID=7010758&amp;Result=3","7010758")</f>
        <v>0</v>
      </c>
      <c r="B13252" t="s">
        <v>2219</v>
      </c>
      <c r="C13252" t="s">
        <v>15881</v>
      </c>
      <c r="D13252" t="s">
        <v>18077</v>
      </c>
      <c r="E13252" t="s">
        <v>29564</v>
      </c>
      <c r="F13252" t="s">
        <v>31574</v>
      </c>
      <c r="G13252" t="s">
        <v>31582</v>
      </c>
      <c r="H13252" t="s">
        <v>31590</v>
      </c>
      <c r="I13252" t="s">
        <v>31615</v>
      </c>
      <c r="J13252" t="s">
        <v>31730</v>
      </c>
      <c r="K13252" t="s">
        <v>41191</v>
      </c>
      <c r="M13252" t="s">
        <v>43911</v>
      </c>
      <c r="N13252" t="s">
        <v>45095</v>
      </c>
      <c r="O13252" t="s">
        <v>45096</v>
      </c>
      <c r="P13252">
        <v>0</v>
      </c>
      <c r="Q13252">
        <v>7</v>
      </c>
      <c r="R13252" t="s">
        <v>45115</v>
      </c>
      <c r="S13252" t="s">
        <v>45845</v>
      </c>
      <c r="T13252" t="s">
        <v>47168</v>
      </c>
      <c r="U13252" t="s">
        <v>58212</v>
      </c>
      <c r="W13252" t="s">
        <v>43911</v>
      </c>
      <c r="X13252" t="s">
        <v>45118</v>
      </c>
    </row>
    <row r="13253" spans="1:24">
      <c r="A13253">
        <f>HYPERLINK("https://www.philgeps.gov.ph/GEPSNONPILOT/Tender/SplashBidNoticeAbstractUI.aspx?menuIndex=3&amp;refID=7018566&amp;Result=3","7018566")</f>
        <v>0</v>
      </c>
      <c r="B13253" t="s">
        <v>3004</v>
      </c>
      <c r="C13253" t="s">
        <v>15882</v>
      </c>
      <c r="D13253" t="s">
        <v>18043</v>
      </c>
      <c r="E13253" t="s">
        <v>29457</v>
      </c>
      <c r="F13253" t="s">
        <v>31579</v>
      </c>
      <c r="G13253" t="s">
        <v>31582</v>
      </c>
      <c r="H13253" t="s">
        <v>31590</v>
      </c>
      <c r="I13253" t="s">
        <v>31614</v>
      </c>
      <c r="J13253" t="s">
        <v>33514</v>
      </c>
      <c r="K13253" t="s">
        <v>41189</v>
      </c>
      <c r="M13253" t="s">
        <v>44833</v>
      </c>
      <c r="N13253" t="s">
        <v>45095</v>
      </c>
      <c r="O13253" t="s">
        <v>45096</v>
      </c>
      <c r="Q13253">
        <v>5</v>
      </c>
      <c r="R13253" t="s">
        <v>45114</v>
      </c>
      <c r="S13253" t="s">
        <v>45849</v>
      </c>
      <c r="T13253" t="s">
        <v>47228</v>
      </c>
      <c r="U13253" t="s">
        <v>58213</v>
      </c>
      <c r="W13253" t="s">
        <v>44833</v>
      </c>
      <c r="X13253" t="s">
        <v>45115</v>
      </c>
    </row>
    <row r="13254" spans="1:24">
      <c r="A13254">
        <f>HYPERLINK("https://www.philgeps.gov.ph/GEPSNONPILOT/Tender/SplashBidNoticeAbstractUI.aspx?menuIndex=3&amp;refID=7010492&amp;Result=3","7010492")</f>
        <v>0</v>
      </c>
      <c r="B13254" t="s">
        <v>321</v>
      </c>
      <c r="C13254" t="s">
        <v>15883</v>
      </c>
      <c r="D13254" t="s">
        <v>18045</v>
      </c>
      <c r="E13254" t="s">
        <v>29565</v>
      </c>
      <c r="F13254" t="s">
        <v>31574</v>
      </c>
      <c r="G13254" t="s">
        <v>31582</v>
      </c>
      <c r="H13254" t="s">
        <v>31590</v>
      </c>
      <c r="I13254" t="s">
        <v>31608</v>
      </c>
      <c r="J13254" t="s">
        <v>39898</v>
      </c>
      <c r="K13254" t="s">
        <v>41192</v>
      </c>
      <c r="M13254" t="s">
        <v>42164</v>
      </c>
      <c r="N13254" t="s">
        <v>45095</v>
      </c>
      <c r="O13254" t="s">
        <v>45096</v>
      </c>
      <c r="P13254">
        <v>0</v>
      </c>
      <c r="Q13254">
        <v>15</v>
      </c>
      <c r="R13254" t="s">
        <v>45115</v>
      </c>
      <c r="S13254" t="s">
        <v>45845</v>
      </c>
      <c r="T13254" t="s">
        <v>46913</v>
      </c>
      <c r="U13254" t="s">
        <v>58214</v>
      </c>
      <c r="V13254" t="s">
        <v>61303</v>
      </c>
      <c r="W13254" t="s">
        <v>61772</v>
      </c>
      <c r="X13254" t="s">
        <v>45118</v>
      </c>
    </row>
    <row r="13255" spans="1:24">
      <c r="A13255">
        <f>HYPERLINK("https://www.philgeps.gov.ph/GEPSNONPILOT/Tender/SplashBidNoticeAbstractUI.aspx?menuIndex=3&amp;refID=7001459&amp;Result=3","7001459")</f>
        <v>0</v>
      </c>
      <c r="B13255" t="s">
        <v>2549</v>
      </c>
      <c r="C13255" t="s">
        <v>4307</v>
      </c>
      <c r="D13255" t="s">
        <v>18052</v>
      </c>
      <c r="E13255" t="s">
        <v>29548</v>
      </c>
      <c r="F13255" t="s">
        <v>31574</v>
      </c>
      <c r="G13255" t="s">
        <v>31582</v>
      </c>
      <c r="H13255" t="s">
        <v>31590</v>
      </c>
      <c r="I13255" t="s">
        <v>31602</v>
      </c>
      <c r="J13255" t="s">
        <v>32799</v>
      </c>
      <c r="K13255" t="s">
        <v>41190</v>
      </c>
      <c r="L13255" t="s">
        <v>2549</v>
      </c>
      <c r="M13255" t="s">
        <v>44286</v>
      </c>
      <c r="N13255" t="s">
        <v>45095</v>
      </c>
      <c r="O13255" t="s">
        <v>45096</v>
      </c>
      <c r="P13255">
        <v>0</v>
      </c>
      <c r="Q13255">
        <v>0</v>
      </c>
      <c r="R13255" t="s">
        <v>45115</v>
      </c>
      <c r="S13255" t="s">
        <v>45845</v>
      </c>
      <c r="T13255" t="s">
        <v>47094</v>
      </c>
      <c r="U13255" t="s">
        <v>58215</v>
      </c>
      <c r="W13255" t="s">
        <v>44286</v>
      </c>
      <c r="X13255" t="s">
        <v>45125</v>
      </c>
    </row>
    <row r="13256" spans="1:24">
      <c r="A13256">
        <f>HYPERLINK("https://www.philgeps.gov.ph/GEPSNONPILOT/Tender/SplashBidNoticeAbstractUI.aspx?menuIndex=3&amp;refID=7009575&amp;Result=3","7009575")</f>
        <v>0</v>
      </c>
      <c r="B13256" t="s">
        <v>1611</v>
      </c>
      <c r="C13256" t="s">
        <v>7802</v>
      </c>
      <c r="D13256" t="s">
        <v>18068</v>
      </c>
      <c r="E13256" t="s">
        <v>28220</v>
      </c>
      <c r="F13256" t="s">
        <v>31574</v>
      </c>
      <c r="G13256" t="s">
        <v>31582</v>
      </c>
      <c r="H13256" t="s">
        <v>31590</v>
      </c>
      <c r="I13256" t="s">
        <v>4046</v>
      </c>
      <c r="J13256" t="s">
        <v>39899</v>
      </c>
      <c r="K13256" t="s">
        <v>41193</v>
      </c>
      <c r="M13256" t="s">
        <v>43216</v>
      </c>
      <c r="N13256" t="s">
        <v>45095</v>
      </c>
      <c r="O13256" t="s">
        <v>45096</v>
      </c>
      <c r="P13256">
        <v>0</v>
      </c>
      <c r="Q13256">
        <v>1</v>
      </c>
      <c r="R13256" t="s">
        <v>45115</v>
      </c>
      <c r="S13256" t="s">
        <v>45845</v>
      </c>
      <c r="T13256" t="s">
        <v>47021</v>
      </c>
      <c r="U13256" t="s">
        <v>58216</v>
      </c>
      <c r="W13256" t="s">
        <v>43216</v>
      </c>
      <c r="X13256" t="s">
        <v>45119</v>
      </c>
    </row>
    <row r="13257" spans="1:24">
      <c r="A13257">
        <f>HYPERLINK("https://www.philgeps.gov.ph/GEPSNONPILOT/Tender/SplashBidNoticeAbstractUI.aspx?menuIndex=3&amp;refID=7010657&amp;Result=3","7010657")</f>
        <v>0</v>
      </c>
      <c r="B13257" t="s">
        <v>2219</v>
      </c>
      <c r="C13257" t="s">
        <v>15884</v>
      </c>
      <c r="D13257" t="s">
        <v>18077</v>
      </c>
      <c r="E13257" t="s">
        <v>29566</v>
      </c>
      <c r="F13257" t="s">
        <v>31574</v>
      </c>
      <c r="G13257" t="s">
        <v>31582</v>
      </c>
      <c r="H13257" t="s">
        <v>31590</v>
      </c>
      <c r="I13257" t="s">
        <v>4046</v>
      </c>
      <c r="J13257" t="s">
        <v>39900</v>
      </c>
      <c r="K13257" t="s">
        <v>41191</v>
      </c>
      <c r="M13257" t="s">
        <v>43911</v>
      </c>
      <c r="N13257" t="s">
        <v>45095</v>
      </c>
      <c r="O13257" t="s">
        <v>45096</v>
      </c>
      <c r="P13257">
        <v>0</v>
      </c>
      <c r="Q13257">
        <v>0</v>
      </c>
      <c r="R13257" t="s">
        <v>45115</v>
      </c>
      <c r="S13257" t="s">
        <v>45845</v>
      </c>
      <c r="T13257" t="s">
        <v>47168</v>
      </c>
      <c r="U13257" t="s">
        <v>58217</v>
      </c>
      <c r="W13257" t="s">
        <v>43911</v>
      </c>
      <c r="X13257" t="s">
        <v>45118</v>
      </c>
    </row>
    <row r="13258" spans="1:24">
      <c r="A13258">
        <f>HYPERLINK("https://www.philgeps.gov.ph/GEPSNONPILOT/Tender/SplashBidNoticeAbstractUI.aspx?menuIndex=3&amp;refID=7010707&amp;Result=3","7010707")</f>
        <v>0</v>
      </c>
      <c r="B13258" t="s">
        <v>2219</v>
      </c>
      <c r="C13258" t="s">
        <v>15885</v>
      </c>
      <c r="D13258" t="s">
        <v>18077</v>
      </c>
      <c r="E13258" t="s">
        <v>29567</v>
      </c>
      <c r="F13258" t="s">
        <v>31574</v>
      </c>
      <c r="G13258" t="s">
        <v>31582</v>
      </c>
      <c r="H13258" t="s">
        <v>31590</v>
      </c>
      <c r="I13258" t="s">
        <v>31615</v>
      </c>
      <c r="J13258" t="s">
        <v>32076</v>
      </c>
      <c r="K13258" t="s">
        <v>41191</v>
      </c>
      <c r="M13258" t="s">
        <v>43911</v>
      </c>
      <c r="N13258" t="s">
        <v>45095</v>
      </c>
      <c r="O13258" t="s">
        <v>45096</v>
      </c>
      <c r="P13258">
        <v>0</v>
      </c>
      <c r="Q13258">
        <v>6</v>
      </c>
      <c r="R13258" t="s">
        <v>45115</v>
      </c>
      <c r="S13258" t="s">
        <v>45845</v>
      </c>
      <c r="T13258" t="s">
        <v>47168</v>
      </c>
      <c r="U13258" t="s">
        <v>58218</v>
      </c>
      <c r="W13258" t="s">
        <v>43911</v>
      </c>
      <c r="X13258" t="s">
        <v>45118</v>
      </c>
    </row>
    <row r="13259" spans="1:24">
      <c r="A13259">
        <f>HYPERLINK("https://www.philgeps.gov.ph/GEPSNONPILOT/Tender/SplashBidNoticeAbstractUI.aspx?menuIndex=3&amp;refID=7010965&amp;Result=3","7010965")</f>
        <v>0</v>
      </c>
      <c r="B13259" t="s">
        <v>2054</v>
      </c>
      <c r="C13259" t="s">
        <v>15886</v>
      </c>
      <c r="D13259" t="s">
        <v>18037</v>
      </c>
      <c r="E13259" t="s">
        <v>29568</v>
      </c>
      <c r="F13259" t="s">
        <v>31574</v>
      </c>
      <c r="G13259" t="s">
        <v>31582</v>
      </c>
      <c r="H13259" t="s">
        <v>31590</v>
      </c>
      <c r="I13259" t="s">
        <v>4046</v>
      </c>
      <c r="J13259" t="s">
        <v>39901</v>
      </c>
      <c r="K13259" t="s">
        <v>41186</v>
      </c>
      <c r="M13259" t="s">
        <v>43723</v>
      </c>
      <c r="N13259" t="s">
        <v>45095</v>
      </c>
      <c r="O13259" t="s">
        <v>45096</v>
      </c>
      <c r="P13259">
        <v>0</v>
      </c>
      <c r="Q13259">
        <v>0</v>
      </c>
      <c r="R13259" t="s">
        <v>45115</v>
      </c>
      <c r="S13259" t="s">
        <v>45845</v>
      </c>
      <c r="T13259" t="s">
        <v>47242</v>
      </c>
      <c r="U13259" t="s">
        <v>58219</v>
      </c>
      <c r="W13259" t="s">
        <v>43723</v>
      </c>
      <c r="X13259" t="s">
        <v>45118</v>
      </c>
    </row>
    <row r="13260" spans="1:24">
      <c r="A13260">
        <f>HYPERLINK("https://www.philgeps.gov.ph/GEPSNONPILOT/Tender/SplashBidNoticeAbstractUI.aspx?menuIndex=3&amp;refID=7010372&amp;Result=3","7010372")</f>
        <v>0</v>
      </c>
      <c r="B13260" t="s">
        <v>321</v>
      </c>
      <c r="C13260" t="s">
        <v>15887</v>
      </c>
      <c r="D13260" t="s">
        <v>18050</v>
      </c>
      <c r="E13260" t="s">
        <v>29569</v>
      </c>
      <c r="F13260" t="s">
        <v>31574</v>
      </c>
      <c r="G13260" t="s">
        <v>31582</v>
      </c>
      <c r="H13260" t="s">
        <v>31590</v>
      </c>
      <c r="I13260" t="s">
        <v>31608</v>
      </c>
      <c r="J13260" t="s">
        <v>39902</v>
      </c>
      <c r="K13260" t="s">
        <v>41192</v>
      </c>
      <c r="M13260" t="s">
        <v>42164</v>
      </c>
      <c r="N13260" t="s">
        <v>45095</v>
      </c>
      <c r="O13260" t="s">
        <v>45096</v>
      </c>
      <c r="P13260">
        <v>0</v>
      </c>
      <c r="Q13260">
        <v>14</v>
      </c>
      <c r="R13260" t="s">
        <v>45115</v>
      </c>
      <c r="S13260" t="s">
        <v>45845</v>
      </c>
      <c r="T13260" t="s">
        <v>47002</v>
      </c>
      <c r="U13260" t="s">
        <v>58220</v>
      </c>
      <c r="V13260" t="s">
        <v>61303</v>
      </c>
      <c r="W13260" t="s">
        <v>61772</v>
      </c>
      <c r="X13260" t="s">
        <v>45118</v>
      </c>
    </row>
    <row r="13261" spans="1:24">
      <c r="A13261">
        <f>HYPERLINK("https://www.philgeps.gov.ph/GEPSNONPILOT/Tender/SplashBidNoticeAbstractUI.aspx?menuIndex=3&amp;refID=7002818&amp;Result=3","7002818")</f>
        <v>0</v>
      </c>
      <c r="B13261" t="s">
        <v>3025</v>
      </c>
      <c r="C13261" t="s">
        <v>15888</v>
      </c>
      <c r="D13261" t="s">
        <v>18058</v>
      </c>
      <c r="E13261" t="s">
        <v>29570</v>
      </c>
      <c r="F13261" t="s">
        <v>31574</v>
      </c>
      <c r="G13261" t="s">
        <v>31582</v>
      </c>
      <c r="H13261" t="s">
        <v>31591</v>
      </c>
      <c r="I13261" t="s">
        <v>8822</v>
      </c>
      <c r="J13261" t="s">
        <v>39903</v>
      </c>
      <c r="K13261" t="s">
        <v>41198</v>
      </c>
      <c r="M13261" t="s">
        <v>44858</v>
      </c>
      <c r="N13261" t="s">
        <v>45095</v>
      </c>
      <c r="O13261" t="s">
        <v>45096</v>
      </c>
      <c r="Q13261">
        <v>12</v>
      </c>
      <c r="R13261" t="s">
        <v>45115</v>
      </c>
      <c r="S13261" t="s">
        <v>45850</v>
      </c>
      <c r="T13261" t="s">
        <v>46932</v>
      </c>
      <c r="U13261" t="s">
        <v>58221</v>
      </c>
      <c r="V13261" t="s">
        <v>59973</v>
      </c>
      <c r="W13261" t="s">
        <v>44858</v>
      </c>
      <c r="X13261" t="s">
        <v>45124</v>
      </c>
    </row>
    <row r="13262" spans="1:24">
      <c r="A13262">
        <f>HYPERLINK("https://www.philgeps.gov.ph/GEPSNONPILOT/Tender/SplashBidNoticeAbstractUI.aspx?menuIndex=3&amp;refID=7011985&amp;Result=3","7011985")</f>
        <v>0</v>
      </c>
      <c r="B13262" t="s">
        <v>1819</v>
      </c>
      <c r="C13262" t="s">
        <v>15889</v>
      </c>
      <c r="D13262" t="s">
        <v>18027</v>
      </c>
      <c r="E13262" t="s">
        <v>29571</v>
      </c>
      <c r="F13262" t="s">
        <v>31574</v>
      </c>
      <c r="G13262" t="s">
        <v>31582</v>
      </c>
      <c r="H13262" t="s">
        <v>31591</v>
      </c>
      <c r="I13262" t="s">
        <v>8822</v>
      </c>
      <c r="J13262" t="s">
        <v>34071</v>
      </c>
      <c r="K13262" t="s">
        <v>41267</v>
      </c>
      <c r="L13262" t="s">
        <v>1819</v>
      </c>
      <c r="M13262" t="s">
        <v>43454</v>
      </c>
      <c r="N13262" t="s">
        <v>45095</v>
      </c>
      <c r="O13262" t="s">
        <v>45096</v>
      </c>
      <c r="P13262">
        <v>0</v>
      </c>
      <c r="Q13262">
        <v>12</v>
      </c>
      <c r="R13262" t="s">
        <v>45115</v>
      </c>
      <c r="S13262" t="s">
        <v>45845</v>
      </c>
      <c r="T13262" t="s">
        <v>47171</v>
      </c>
      <c r="U13262" t="s">
        <v>58222</v>
      </c>
      <c r="W13262" t="s">
        <v>43454</v>
      </c>
      <c r="X13262" t="s">
        <v>45117</v>
      </c>
    </row>
    <row r="13263" spans="1:24">
      <c r="A13263">
        <f>HYPERLINK("https://www.philgeps.gov.ph/GEPSNONPILOT/Tender/SplashBidNoticeAbstractUI.aspx?menuIndex=3&amp;refID=7012099&amp;Result=3","7012099")</f>
        <v>0</v>
      </c>
      <c r="B13263" t="s">
        <v>1819</v>
      </c>
      <c r="C13263" t="s">
        <v>15890</v>
      </c>
      <c r="D13263" t="s">
        <v>18027</v>
      </c>
      <c r="E13263" t="s">
        <v>29572</v>
      </c>
      <c r="F13263" t="s">
        <v>31574</v>
      </c>
      <c r="G13263" t="s">
        <v>31582</v>
      </c>
      <c r="H13263" t="s">
        <v>31591</v>
      </c>
      <c r="I13263" t="s">
        <v>8822</v>
      </c>
      <c r="J13263" t="s">
        <v>34697</v>
      </c>
      <c r="K13263" t="s">
        <v>41189</v>
      </c>
      <c r="L13263" t="s">
        <v>1819</v>
      </c>
      <c r="M13263" t="s">
        <v>43454</v>
      </c>
      <c r="N13263" t="s">
        <v>45095</v>
      </c>
      <c r="O13263" t="s">
        <v>45096</v>
      </c>
      <c r="P13263">
        <v>0</v>
      </c>
      <c r="Q13263">
        <v>2</v>
      </c>
      <c r="R13263" t="s">
        <v>45115</v>
      </c>
      <c r="S13263" t="s">
        <v>45845</v>
      </c>
      <c r="T13263" t="s">
        <v>47171</v>
      </c>
      <c r="U13263" t="s">
        <v>58222</v>
      </c>
      <c r="W13263" t="s">
        <v>43454</v>
      </c>
      <c r="X13263" t="s">
        <v>45117</v>
      </c>
    </row>
    <row r="13264" spans="1:24">
      <c r="A13264">
        <f>HYPERLINK("https://www.philgeps.gov.ph/GEPSNONPILOT/Tender/SplashBidNoticeAbstractUI.aspx?menuIndex=3&amp;refID=7012043&amp;Result=3","7012043")</f>
        <v>0</v>
      </c>
      <c r="B13264" t="s">
        <v>1819</v>
      </c>
      <c r="C13264" t="s">
        <v>15891</v>
      </c>
      <c r="D13264" t="s">
        <v>18027</v>
      </c>
      <c r="E13264" t="s">
        <v>29573</v>
      </c>
      <c r="F13264" t="s">
        <v>31574</v>
      </c>
      <c r="G13264" t="s">
        <v>31582</v>
      </c>
      <c r="H13264" t="s">
        <v>31591</v>
      </c>
      <c r="I13264" t="s">
        <v>8822</v>
      </c>
      <c r="J13264" t="s">
        <v>34071</v>
      </c>
      <c r="K13264" t="s">
        <v>41267</v>
      </c>
      <c r="L13264" t="s">
        <v>1819</v>
      </c>
      <c r="M13264" t="s">
        <v>43454</v>
      </c>
      <c r="N13264" t="s">
        <v>45095</v>
      </c>
      <c r="O13264" t="s">
        <v>45096</v>
      </c>
      <c r="P13264">
        <v>0</v>
      </c>
      <c r="Q13264">
        <v>11</v>
      </c>
      <c r="R13264" t="s">
        <v>45115</v>
      </c>
      <c r="S13264" t="s">
        <v>45845</v>
      </c>
      <c r="T13264" t="s">
        <v>47171</v>
      </c>
      <c r="U13264" t="s">
        <v>58222</v>
      </c>
      <c r="W13264" t="s">
        <v>43454</v>
      </c>
      <c r="X13264" t="s">
        <v>45117</v>
      </c>
    </row>
    <row r="13265" spans="1:24">
      <c r="A13265">
        <f>HYPERLINK("https://www.philgeps.gov.ph/GEPSNONPILOT/Tender/SplashBidNoticeAbstractUI.aspx?menuIndex=3&amp;refID=7012209&amp;Result=3","7012209")</f>
        <v>0</v>
      </c>
      <c r="B13265" t="s">
        <v>1819</v>
      </c>
      <c r="C13265" t="s">
        <v>15892</v>
      </c>
      <c r="D13265" t="s">
        <v>18027</v>
      </c>
      <c r="E13265" t="s">
        <v>29574</v>
      </c>
      <c r="F13265" t="s">
        <v>31574</v>
      </c>
      <c r="G13265" t="s">
        <v>31582</v>
      </c>
      <c r="H13265" t="s">
        <v>31591</v>
      </c>
      <c r="I13265" t="s">
        <v>8822</v>
      </c>
      <c r="J13265" t="s">
        <v>32504</v>
      </c>
      <c r="K13265" t="s">
        <v>41195</v>
      </c>
      <c r="L13265" t="s">
        <v>1819</v>
      </c>
      <c r="M13265" t="s">
        <v>43454</v>
      </c>
      <c r="N13265" t="s">
        <v>45095</v>
      </c>
      <c r="O13265" t="s">
        <v>45096</v>
      </c>
      <c r="P13265">
        <v>0</v>
      </c>
      <c r="Q13265">
        <v>2</v>
      </c>
      <c r="R13265" t="s">
        <v>45115</v>
      </c>
      <c r="S13265" t="s">
        <v>45845</v>
      </c>
      <c r="T13265" t="s">
        <v>47171</v>
      </c>
      <c r="U13265" t="s">
        <v>58222</v>
      </c>
      <c r="W13265" t="s">
        <v>43454</v>
      </c>
      <c r="X13265" t="s">
        <v>45117</v>
      </c>
    </row>
    <row r="13266" spans="1:24">
      <c r="A13266">
        <f>HYPERLINK("https://www.philgeps.gov.ph/GEPSNONPILOT/Tender/SplashBidNoticeAbstractUI.aspx?menuIndex=3&amp;refID=7012194&amp;Result=3","7012194")</f>
        <v>0</v>
      </c>
      <c r="B13266" t="s">
        <v>1819</v>
      </c>
      <c r="C13266" t="s">
        <v>15893</v>
      </c>
      <c r="D13266" t="s">
        <v>18027</v>
      </c>
      <c r="E13266" t="s">
        <v>29575</v>
      </c>
      <c r="F13266" t="s">
        <v>31574</v>
      </c>
      <c r="G13266" t="s">
        <v>31582</v>
      </c>
      <c r="H13266" t="s">
        <v>31591</v>
      </c>
      <c r="I13266" t="s">
        <v>8822</v>
      </c>
      <c r="J13266" t="s">
        <v>31819</v>
      </c>
      <c r="K13266" t="s">
        <v>41431</v>
      </c>
      <c r="L13266" t="s">
        <v>1819</v>
      </c>
      <c r="M13266" t="s">
        <v>43454</v>
      </c>
      <c r="N13266" t="s">
        <v>45095</v>
      </c>
      <c r="O13266" t="s">
        <v>45096</v>
      </c>
      <c r="P13266">
        <v>0</v>
      </c>
      <c r="Q13266">
        <v>2</v>
      </c>
      <c r="R13266" t="s">
        <v>45115</v>
      </c>
      <c r="S13266" t="s">
        <v>45845</v>
      </c>
      <c r="T13266" t="s">
        <v>47171</v>
      </c>
      <c r="U13266" t="s">
        <v>58222</v>
      </c>
      <c r="W13266" t="s">
        <v>43454</v>
      </c>
      <c r="X13266" t="s">
        <v>45117</v>
      </c>
    </row>
    <row r="13267" spans="1:24">
      <c r="A13267">
        <f>HYPERLINK("https://www.philgeps.gov.ph/GEPSNONPILOT/Tender/SplashBidNoticeAbstractUI.aspx?menuIndex=3&amp;refID=7012045&amp;Result=3","7012045")</f>
        <v>0</v>
      </c>
      <c r="B13267" t="s">
        <v>1819</v>
      </c>
      <c r="C13267" t="s">
        <v>15894</v>
      </c>
      <c r="D13267" t="s">
        <v>18027</v>
      </c>
      <c r="E13267" t="s">
        <v>29576</v>
      </c>
      <c r="F13267" t="s">
        <v>31574</v>
      </c>
      <c r="G13267" t="s">
        <v>31582</v>
      </c>
      <c r="H13267" t="s">
        <v>31591</v>
      </c>
      <c r="I13267" t="s">
        <v>8822</v>
      </c>
      <c r="J13267" t="s">
        <v>33445</v>
      </c>
      <c r="K13267" t="s">
        <v>41198</v>
      </c>
      <c r="L13267" t="s">
        <v>1819</v>
      </c>
      <c r="M13267" t="s">
        <v>43454</v>
      </c>
      <c r="N13267" t="s">
        <v>45095</v>
      </c>
      <c r="O13267" t="s">
        <v>45096</v>
      </c>
      <c r="P13267">
        <v>0</v>
      </c>
      <c r="Q13267">
        <v>6</v>
      </c>
      <c r="R13267" t="s">
        <v>45115</v>
      </c>
      <c r="S13267" t="s">
        <v>45845</v>
      </c>
      <c r="T13267" t="s">
        <v>47171</v>
      </c>
      <c r="U13267" t="s">
        <v>58222</v>
      </c>
      <c r="W13267" t="s">
        <v>43454</v>
      </c>
      <c r="X13267" t="s">
        <v>45117</v>
      </c>
    </row>
    <row r="13268" spans="1:24">
      <c r="A13268">
        <f>HYPERLINK("https://www.philgeps.gov.ph/GEPSNONPILOT/Tender/SplashBidNoticeAbstractUI.aspx?menuIndex=3&amp;refID=7012066&amp;Result=3","7012066")</f>
        <v>0</v>
      </c>
      <c r="B13268" t="s">
        <v>1819</v>
      </c>
      <c r="C13268" t="s">
        <v>15895</v>
      </c>
      <c r="D13268" t="s">
        <v>18027</v>
      </c>
      <c r="E13268" t="s">
        <v>29577</v>
      </c>
      <c r="F13268" t="s">
        <v>31574</v>
      </c>
      <c r="G13268" t="s">
        <v>31582</v>
      </c>
      <c r="H13268" t="s">
        <v>31591</v>
      </c>
      <c r="I13268" t="s">
        <v>8822</v>
      </c>
      <c r="J13268" t="s">
        <v>33279</v>
      </c>
      <c r="K13268" t="s">
        <v>41189</v>
      </c>
      <c r="L13268" t="s">
        <v>1819</v>
      </c>
      <c r="M13268" t="s">
        <v>43454</v>
      </c>
      <c r="N13268" t="s">
        <v>45095</v>
      </c>
      <c r="O13268" t="s">
        <v>45096</v>
      </c>
      <c r="P13268">
        <v>0</v>
      </c>
      <c r="Q13268">
        <v>6</v>
      </c>
      <c r="R13268" t="s">
        <v>45115</v>
      </c>
      <c r="S13268" t="s">
        <v>45845</v>
      </c>
      <c r="T13268" t="s">
        <v>47171</v>
      </c>
      <c r="U13268" t="s">
        <v>58222</v>
      </c>
      <c r="W13268" t="s">
        <v>43454</v>
      </c>
      <c r="X13268" t="s">
        <v>45117</v>
      </c>
    </row>
    <row r="13269" spans="1:24">
      <c r="A13269">
        <f>HYPERLINK("https://www.philgeps.gov.ph/GEPSNONPILOT/Tender/SplashBidNoticeAbstractUI.aspx?menuIndex=3&amp;refID=7012175&amp;Result=3","7012175")</f>
        <v>0</v>
      </c>
      <c r="B13269" t="s">
        <v>1819</v>
      </c>
      <c r="C13269" t="s">
        <v>15896</v>
      </c>
      <c r="D13269" t="s">
        <v>18027</v>
      </c>
      <c r="E13269" t="s">
        <v>29578</v>
      </c>
      <c r="F13269" t="s">
        <v>31574</v>
      </c>
      <c r="G13269" t="s">
        <v>31582</v>
      </c>
      <c r="H13269" t="s">
        <v>31591</v>
      </c>
      <c r="I13269" t="s">
        <v>8822</v>
      </c>
      <c r="J13269" t="s">
        <v>34923</v>
      </c>
      <c r="K13269" t="s">
        <v>41192</v>
      </c>
      <c r="L13269" t="s">
        <v>1819</v>
      </c>
      <c r="M13269" t="s">
        <v>43454</v>
      </c>
      <c r="N13269" t="s">
        <v>45095</v>
      </c>
      <c r="O13269" t="s">
        <v>45096</v>
      </c>
      <c r="P13269">
        <v>0</v>
      </c>
      <c r="Q13269">
        <v>3</v>
      </c>
      <c r="R13269" t="s">
        <v>45115</v>
      </c>
      <c r="S13269" t="s">
        <v>45845</v>
      </c>
      <c r="T13269" t="s">
        <v>47171</v>
      </c>
      <c r="U13269" t="s">
        <v>58222</v>
      </c>
      <c r="W13269" t="s">
        <v>43454</v>
      </c>
      <c r="X13269" t="s">
        <v>45117</v>
      </c>
    </row>
    <row r="13270" spans="1:24">
      <c r="A13270">
        <f>HYPERLINK("https://www.philgeps.gov.ph/GEPSNONPILOT/Tender/SplashBidNoticeAbstractUI.aspx?menuIndex=3&amp;refID=7012187&amp;Result=3","7012187")</f>
        <v>0</v>
      </c>
      <c r="B13270" t="s">
        <v>1819</v>
      </c>
      <c r="C13270" t="s">
        <v>15897</v>
      </c>
      <c r="D13270" t="s">
        <v>18027</v>
      </c>
      <c r="E13270" t="s">
        <v>29579</v>
      </c>
      <c r="F13270" t="s">
        <v>31574</v>
      </c>
      <c r="G13270" t="s">
        <v>31582</v>
      </c>
      <c r="H13270" t="s">
        <v>31591</v>
      </c>
      <c r="I13270" t="s">
        <v>8822</v>
      </c>
      <c r="J13270" t="s">
        <v>33252</v>
      </c>
      <c r="K13270" t="s">
        <v>41189</v>
      </c>
      <c r="L13270" t="s">
        <v>1819</v>
      </c>
      <c r="M13270" t="s">
        <v>43454</v>
      </c>
      <c r="N13270" t="s">
        <v>45095</v>
      </c>
      <c r="O13270" t="s">
        <v>45096</v>
      </c>
      <c r="P13270">
        <v>0</v>
      </c>
      <c r="Q13270">
        <v>1</v>
      </c>
      <c r="R13270" t="s">
        <v>45115</v>
      </c>
      <c r="S13270" t="s">
        <v>45845</v>
      </c>
      <c r="T13270" t="s">
        <v>47171</v>
      </c>
      <c r="U13270" t="s">
        <v>58222</v>
      </c>
      <c r="W13270" t="s">
        <v>43454</v>
      </c>
      <c r="X13270" t="s">
        <v>45117</v>
      </c>
    </row>
    <row r="13271" spans="1:24">
      <c r="A13271">
        <f>HYPERLINK("https://www.philgeps.gov.ph/GEPSNONPILOT/Tender/SplashBidNoticeAbstractUI.aspx?menuIndex=3&amp;refID=7012109&amp;Result=3","7012109")</f>
        <v>0</v>
      </c>
      <c r="B13271" t="s">
        <v>1613</v>
      </c>
      <c r="C13271" t="s">
        <v>15898</v>
      </c>
      <c r="D13271" t="s">
        <v>18027</v>
      </c>
      <c r="E13271" t="s">
        <v>29580</v>
      </c>
      <c r="F13271" t="s">
        <v>31574</v>
      </c>
      <c r="G13271" t="s">
        <v>31582</v>
      </c>
      <c r="H13271" t="s">
        <v>31590</v>
      </c>
      <c r="I13271" t="s">
        <v>31615</v>
      </c>
      <c r="J13271" t="s">
        <v>31947</v>
      </c>
      <c r="K13271" t="s">
        <v>41186</v>
      </c>
      <c r="M13271" t="s">
        <v>43218</v>
      </c>
      <c r="N13271" t="s">
        <v>45095</v>
      </c>
      <c r="O13271" t="s">
        <v>45096</v>
      </c>
      <c r="P13271">
        <v>0</v>
      </c>
      <c r="Q13271">
        <v>1</v>
      </c>
      <c r="R13271" t="s">
        <v>45115</v>
      </c>
      <c r="S13271" t="s">
        <v>45845</v>
      </c>
      <c r="T13271" t="s">
        <v>47076</v>
      </c>
      <c r="U13271" t="s">
        <v>58223</v>
      </c>
      <c r="V13271" t="s">
        <v>61304</v>
      </c>
      <c r="W13271" t="s">
        <v>43218</v>
      </c>
      <c r="X13271" t="s">
        <v>45117</v>
      </c>
    </row>
    <row r="13272" spans="1:24">
      <c r="A13272">
        <f>HYPERLINK("https://www.philgeps.gov.ph/GEPSNONPILOT/Tender/SplashBidNoticeAbstractUI.aspx?menuIndex=3&amp;refID=7012001&amp;Result=3","7012001")</f>
        <v>0</v>
      </c>
      <c r="B13272" t="s">
        <v>2219</v>
      </c>
      <c r="C13272" t="s">
        <v>15899</v>
      </c>
      <c r="D13272" t="s">
        <v>18077</v>
      </c>
      <c r="E13272" t="s">
        <v>29581</v>
      </c>
      <c r="F13272" t="s">
        <v>31574</v>
      </c>
      <c r="G13272" t="s">
        <v>31582</v>
      </c>
      <c r="H13272" t="s">
        <v>31591</v>
      </c>
      <c r="I13272" t="s">
        <v>31593</v>
      </c>
      <c r="J13272" t="s">
        <v>39904</v>
      </c>
      <c r="K13272" t="s">
        <v>41192</v>
      </c>
      <c r="M13272" t="s">
        <v>43911</v>
      </c>
      <c r="N13272" t="s">
        <v>45095</v>
      </c>
      <c r="O13272" t="s">
        <v>45096</v>
      </c>
      <c r="P13272">
        <v>0</v>
      </c>
      <c r="Q13272">
        <v>0</v>
      </c>
      <c r="R13272" t="s">
        <v>45115</v>
      </c>
      <c r="S13272" t="s">
        <v>45845</v>
      </c>
      <c r="T13272" t="s">
        <v>47168</v>
      </c>
      <c r="U13272" t="s">
        <v>58224</v>
      </c>
      <c r="W13272" t="s">
        <v>43911</v>
      </c>
      <c r="X13272" t="s">
        <v>45117</v>
      </c>
    </row>
    <row r="13273" spans="1:24">
      <c r="A13273">
        <f>HYPERLINK("https://www.philgeps.gov.ph/GEPSNONPILOT/Tender/SplashBidNoticeAbstractUI.aspx?menuIndex=3&amp;refID=7012160&amp;Result=3","7012160")</f>
        <v>0</v>
      </c>
      <c r="B13273" t="s">
        <v>1819</v>
      </c>
      <c r="C13273" t="s">
        <v>15900</v>
      </c>
      <c r="D13273" t="s">
        <v>18027</v>
      </c>
      <c r="E13273" t="s">
        <v>29582</v>
      </c>
      <c r="F13273" t="s">
        <v>31574</v>
      </c>
      <c r="G13273" t="s">
        <v>31582</v>
      </c>
      <c r="H13273" t="s">
        <v>31591</v>
      </c>
      <c r="I13273" t="s">
        <v>8822</v>
      </c>
      <c r="J13273" t="s">
        <v>34685</v>
      </c>
      <c r="K13273" t="s">
        <v>41192</v>
      </c>
      <c r="L13273" t="s">
        <v>1819</v>
      </c>
      <c r="M13273" t="s">
        <v>43454</v>
      </c>
      <c r="N13273" t="s">
        <v>45095</v>
      </c>
      <c r="O13273" t="s">
        <v>45096</v>
      </c>
      <c r="P13273">
        <v>0</v>
      </c>
      <c r="Q13273">
        <v>2</v>
      </c>
      <c r="R13273" t="s">
        <v>45115</v>
      </c>
      <c r="S13273" t="s">
        <v>45845</v>
      </c>
      <c r="T13273" t="s">
        <v>47171</v>
      </c>
      <c r="U13273" t="s">
        <v>58222</v>
      </c>
      <c r="W13273" t="s">
        <v>43454</v>
      </c>
      <c r="X13273" t="s">
        <v>45117</v>
      </c>
    </row>
    <row r="13274" spans="1:24">
      <c r="A13274">
        <f>HYPERLINK("https://www.philgeps.gov.ph/GEPSNONPILOT/Tender/SplashBidNoticeAbstractUI.aspx?menuIndex=3&amp;refID=7012151&amp;Result=3","7012151")</f>
        <v>0</v>
      </c>
      <c r="B13274" t="s">
        <v>1819</v>
      </c>
      <c r="C13274" t="s">
        <v>15901</v>
      </c>
      <c r="D13274" t="s">
        <v>18027</v>
      </c>
      <c r="E13274" t="s">
        <v>29583</v>
      </c>
      <c r="F13274" t="s">
        <v>31574</v>
      </c>
      <c r="G13274" t="s">
        <v>31582</v>
      </c>
      <c r="H13274" t="s">
        <v>31591</v>
      </c>
      <c r="I13274" t="s">
        <v>8822</v>
      </c>
      <c r="J13274" t="s">
        <v>34070</v>
      </c>
      <c r="K13274" t="s">
        <v>41200</v>
      </c>
      <c r="L13274" t="s">
        <v>1819</v>
      </c>
      <c r="M13274" t="s">
        <v>43454</v>
      </c>
      <c r="N13274" t="s">
        <v>45095</v>
      </c>
      <c r="O13274" t="s">
        <v>45096</v>
      </c>
      <c r="P13274">
        <v>0</v>
      </c>
      <c r="Q13274">
        <v>2</v>
      </c>
      <c r="R13274" t="s">
        <v>45115</v>
      </c>
      <c r="S13274" t="s">
        <v>45845</v>
      </c>
      <c r="T13274" t="s">
        <v>47171</v>
      </c>
      <c r="U13274" t="s">
        <v>58222</v>
      </c>
      <c r="W13274" t="s">
        <v>43454</v>
      </c>
      <c r="X13274" t="s">
        <v>45117</v>
      </c>
    </row>
    <row r="13275" spans="1:24">
      <c r="A13275">
        <f>HYPERLINK("https://www.philgeps.gov.ph/GEPSNONPILOT/Tender/SplashBidNoticeAbstractUI.aspx?menuIndex=3&amp;refID=7012087&amp;Result=3","7012087")</f>
        <v>0</v>
      </c>
      <c r="B13275" t="s">
        <v>1819</v>
      </c>
      <c r="C13275" t="s">
        <v>15902</v>
      </c>
      <c r="D13275" t="s">
        <v>18027</v>
      </c>
      <c r="E13275" t="s">
        <v>29584</v>
      </c>
      <c r="F13275" t="s">
        <v>31574</v>
      </c>
      <c r="G13275" t="s">
        <v>31582</v>
      </c>
      <c r="H13275" t="s">
        <v>31591</v>
      </c>
      <c r="I13275" t="s">
        <v>8822</v>
      </c>
      <c r="J13275" t="s">
        <v>37633</v>
      </c>
      <c r="K13275" t="s">
        <v>41189</v>
      </c>
      <c r="L13275" t="s">
        <v>1819</v>
      </c>
      <c r="M13275" t="s">
        <v>43454</v>
      </c>
      <c r="N13275" t="s">
        <v>45095</v>
      </c>
      <c r="O13275" t="s">
        <v>45096</v>
      </c>
      <c r="P13275">
        <v>0</v>
      </c>
      <c r="Q13275">
        <v>5</v>
      </c>
      <c r="R13275" t="s">
        <v>45115</v>
      </c>
      <c r="S13275" t="s">
        <v>45845</v>
      </c>
      <c r="T13275" t="s">
        <v>47171</v>
      </c>
      <c r="U13275" t="s">
        <v>58222</v>
      </c>
      <c r="W13275" t="s">
        <v>43454</v>
      </c>
      <c r="X13275" t="s">
        <v>45117</v>
      </c>
    </row>
    <row r="13276" spans="1:24">
      <c r="A13276">
        <f>HYPERLINK("https://www.philgeps.gov.ph/GEPSNONPILOT/Tender/SplashBidNoticeAbstractUI.aspx?menuIndex=3&amp;refID=7012120&amp;Result=3","7012120")</f>
        <v>0</v>
      </c>
      <c r="B13276" t="s">
        <v>1819</v>
      </c>
      <c r="C13276" t="s">
        <v>15903</v>
      </c>
      <c r="D13276" t="s">
        <v>18027</v>
      </c>
      <c r="E13276" t="s">
        <v>29585</v>
      </c>
      <c r="F13276" t="s">
        <v>31574</v>
      </c>
      <c r="G13276" t="s">
        <v>31582</v>
      </c>
      <c r="H13276" t="s">
        <v>31591</v>
      </c>
      <c r="I13276" t="s">
        <v>8822</v>
      </c>
      <c r="J13276" t="s">
        <v>38289</v>
      </c>
      <c r="K13276" t="s">
        <v>41200</v>
      </c>
      <c r="L13276" t="s">
        <v>1819</v>
      </c>
      <c r="M13276" t="s">
        <v>43454</v>
      </c>
      <c r="N13276" t="s">
        <v>45095</v>
      </c>
      <c r="O13276" t="s">
        <v>45096</v>
      </c>
      <c r="P13276">
        <v>0</v>
      </c>
      <c r="Q13276">
        <v>4</v>
      </c>
      <c r="R13276" t="s">
        <v>45115</v>
      </c>
      <c r="S13276" t="s">
        <v>45845</v>
      </c>
      <c r="T13276" t="s">
        <v>47171</v>
      </c>
      <c r="U13276" t="s">
        <v>58222</v>
      </c>
      <c r="W13276" t="s">
        <v>43454</v>
      </c>
      <c r="X13276" t="s">
        <v>45117</v>
      </c>
    </row>
    <row r="13277" spans="1:24">
      <c r="A13277">
        <f>HYPERLINK("https://www.philgeps.gov.ph/GEPSNONPILOT/Tender/SplashBidNoticeAbstractUI.aspx?menuIndex=3&amp;refID=7012146&amp;Result=3","7012146")</f>
        <v>0</v>
      </c>
      <c r="B13277" t="s">
        <v>2219</v>
      </c>
      <c r="C13277" t="s">
        <v>15904</v>
      </c>
      <c r="D13277" t="s">
        <v>18077</v>
      </c>
      <c r="E13277" t="s">
        <v>29586</v>
      </c>
      <c r="F13277" t="s">
        <v>31574</v>
      </c>
      <c r="G13277" t="s">
        <v>31582</v>
      </c>
      <c r="H13277" t="s">
        <v>31591</v>
      </c>
      <c r="I13277" t="s">
        <v>8822</v>
      </c>
      <c r="J13277" t="s">
        <v>39905</v>
      </c>
      <c r="K13277" t="s">
        <v>41189</v>
      </c>
      <c r="M13277" t="s">
        <v>43911</v>
      </c>
      <c r="N13277" t="s">
        <v>45095</v>
      </c>
      <c r="O13277" t="s">
        <v>45096</v>
      </c>
      <c r="P13277">
        <v>0</v>
      </c>
      <c r="Q13277">
        <v>0</v>
      </c>
      <c r="R13277" t="s">
        <v>45115</v>
      </c>
      <c r="S13277" t="s">
        <v>45845</v>
      </c>
      <c r="T13277" t="s">
        <v>47168</v>
      </c>
      <c r="U13277" t="s">
        <v>58225</v>
      </c>
      <c r="W13277" t="s">
        <v>43911</v>
      </c>
      <c r="X13277" t="s">
        <v>45117</v>
      </c>
    </row>
    <row r="13278" spans="1:24">
      <c r="A13278">
        <f>HYPERLINK("https://www.philgeps.gov.ph/GEPSNONPILOT/Tender/SplashBidNoticeAbstractUI.aspx?menuIndex=3&amp;refID=7012128&amp;Result=3","7012128")</f>
        <v>0</v>
      </c>
      <c r="B13278" t="s">
        <v>2157</v>
      </c>
      <c r="C13278" t="s">
        <v>15905</v>
      </c>
      <c r="D13278" t="s">
        <v>18037</v>
      </c>
      <c r="E13278" t="s">
        <v>29587</v>
      </c>
      <c r="F13278" t="s">
        <v>31574</v>
      </c>
      <c r="G13278" t="s">
        <v>31581</v>
      </c>
      <c r="H13278" t="s">
        <v>31591</v>
      </c>
      <c r="I13278" t="s">
        <v>8822</v>
      </c>
      <c r="J13278" t="s">
        <v>33252</v>
      </c>
      <c r="K13278" t="s">
        <v>41192</v>
      </c>
      <c r="M13278" t="s">
        <v>43840</v>
      </c>
      <c r="N13278" t="s">
        <v>45095</v>
      </c>
      <c r="O13278" t="s">
        <v>45096</v>
      </c>
      <c r="Q13278">
        <v>2</v>
      </c>
      <c r="R13278" t="s">
        <v>45115</v>
      </c>
      <c r="S13278" t="s">
        <v>45851</v>
      </c>
      <c r="T13278" t="s">
        <v>47106</v>
      </c>
      <c r="U13278" t="s">
        <v>58226</v>
      </c>
      <c r="V13278" t="s">
        <v>60131</v>
      </c>
      <c r="W13278" t="s">
        <v>43840</v>
      </c>
      <c r="X13278" t="s">
        <v>45117</v>
      </c>
    </row>
    <row r="13279" spans="1:24">
      <c r="A13279">
        <f>HYPERLINK("https://www.philgeps.gov.ph/GEPSNONPILOT/Tender/SplashBidNoticeAbstractUI.aspx?menuIndex=3&amp;refID=7012114&amp;Result=3","7012114")</f>
        <v>0</v>
      </c>
      <c r="B13279" t="s">
        <v>1819</v>
      </c>
      <c r="C13279" t="s">
        <v>15906</v>
      </c>
      <c r="D13279" t="s">
        <v>18027</v>
      </c>
      <c r="E13279" t="s">
        <v>29588</v>
      </c>
      <c r="F13279" t="s">
        <v>31574</v>
      </c>
      <c r="G13279" t="s">
        <v>31582</v>
      </c>
      <c r="H13279" t="s">
        <v>31591</v>
      </c>
      <c r="I13279" t="s">
        <v>8822</v>
      </c>
      <c r="J13279" t="s">
        <v>38465</v>
      </c>
      <c r="K13279" t="s">
        <v>41200</v>
      </c>
      <c r="L13279" t="s">
        <v>1819</v>
      </c>
      <c r="M13279" t="s">
        <v>43454</v>
      </c>
      <c r="N13279" t="s">
        <v>45095</v>
      </c>
      <c r="O13279" t="s">
        <v>45096</v>
      </c>
      <c r="P13279">
        <v>0</v>
      </c>
      <c r="Q13279">
        <v>4</v>
      </c>
      <c r="R13279" t="s">
        <v>45115</v>
      </c>
      <c r="S13279" t="s">
        <v>45845</v>
      </c>
      <c r="T13279" t="s">
        <v>47171</v>
      </c>
      <c r="U13279" t="s">
        <v>58222</v>
      </c>
      <c r="W13279" t="s">
        <v>43454</v>
      </c>
      <c r="X13279" t="s">
        <v>45117</v>
      </c>
    </row>
    <row r="13280" spans="1:24">
      <c r="A13280">
        <f>HYPERLINK("https://www.philgeps.gov.ph/GEPSNONPILOT/Tender/SplashBidNoticeAbstractUI.aspx?menuIndex=3&amp;refID=7012142&amp;Result=3","7012142")</f>
        <v>0</v>
      </c>
      <c r="B13280" t="s">
        <v>1819</v>
      </c>
      <c r="C13280" t="s">
        <v>15907</v>
      </c>
      <c r="D13280" t="s">
        <v>18027</v>
      </c>
      <c r="E13280" t="s">
        <v>29589</v>
      </c>
      <c r="F13280" t="s">
        <v>31574</v>
      </c>
      <c r="G13280" t="s">
        <v>31582</v>
      </c>
      <c r="H13280" t="s">
        <v>31591</v>
      </c>
      <c r="I13280" t="s">
        <v>8822</v>
      </c>
      <c r="J13280" t="s">
        <v>38289</v>
      </c>
      <c r="K13280" t="s">
        <v>41200</v>
      </c>
      <c r="L13280" t="s">
        <v>1819</v>
      </c>
      <c r="M13280" t="s">
        <v>43454</v>
      </c>
      <c r="N13280" t="s">
        <v>45095</v>
      </c>
      <c r="O13280" t="s">
        <v>45096</v>
      </c>
      <c r="P13280">
        <v>0</v>
      </c>
      <c r="Q13280">
        <v>1</v>
      </c>
      <c r="R13280" t="s">
        <v>45115</v>
      </c>
      <c r="S13280" t="s">
        <v>45845</v>
      </c>
      <c r="T13280" t="s">
        <v>47171</v>
      </c>
      <c r="U13280" t="s">
        <v>58222</v>
      </c>
      <c r="W13280" t="s">
        <v>43454</v>
      </c>
      <c r="X13280" t="s">
        <v>45117</v>
      </c>
    </row>
    <row r="13281" spans="1:24">
      <c r="A13281">
        <f>HYPERLINK("https://www.philgeps.gov.ph/GEPSNONPILOT/Tender/SplashBidNoticeAbstractUI.aspx?menuIndex=3&amp;refID=7012225&amp;Result=3","7012225")</f>
        <v>0</v>
      </c>
      <c r="B13281" t="s">
        <v>1819</v>
      </c>
      <c r="C13281" t="s">
        <v>15908</v>
      </c>
      <c r="D13281" t="s">
        <v>18027</v>
      </c>
      <c r="E13281" t="s">
        <v>29590</v>
      </c>
      <c r="F13281" t="s">
        <v>31574</v>
      </c>
      <c r="G13281" t="s">
        <v>31582</v>
      </c>
      <c r="H13281" t="s">
        <v>31591</v>
      </c>
      <c r="I13281" t="s">
        <v>8822</v>
      </c>
      <c r="J13281" t="s">
        <v>32504</v>
      </c>
      <c r="K13281" t="s">
        <v>41186</v>
      </c>
      <c r="L13281" t="s">
        <v>1819</v>
      </c>
      <c r="M13281" t="s">
        <v>43454</v>
      </c>
      <c r="N13281" t="s">
        <v>45095</v>
      </c>
      <c r="O13281" t="s">
        <v>45096</v>
      </c>
      <c r="P13281">
        <v>0</v>
      </c>
      <c r="Q13281">
        <v>2</v>
      </c>
      <c r="R13281" t="s">
        <v>45115</v>
      </c>
      <c r="S13281" t="s">
        <v>45845</v>
      </c>
      <c r="T13281" t="s">
        <v>47171</v>
      </c>
      <c r="U13281" t="s">
        <v>58222</v>
      </c>
      <c r="W13281" t="s">
        <v>43454</v>
      </c>
      <c r="X13281" t="s">
        <v>45117</v>
      </c>
    </row>
    <row r="13282" spans="1:24">
      <c r="A13282">
        <f>HYPERLINK("https://www.philgeps.gov.ph/GEPSNONPILOT/Tender/SplashBidNoticeAbstractUI.aspx?menuIndex=3&amp;refID=7012293&amp;Result=3","7012293")</f>
        <v>0</v>
      </c>
      <c r="B13282" t="s">
        <v>2219</v>
      </c>
      <c r="C13282" t="s">
        <v>15909</v>
      </c>
      <c r="D13282" t="s">
        <v>18077</v>
      </c>
      <c r="E13282" t="s">
        <v>29591</v>
      </c>
      <c r="F13282" t="s">
        <v>31574</v>
      </c>
      <c r="G13282" t="s">
        <v>31582</v>
      </c>
      <c r="H13282" t="s">
        <v>31591</v>
      </c>
      <c r="I13282" t="s">
        <v>8822</v>
      </c>
      <c r="J13282" t="s">
        <v>39906</v>
      </c>
      <c r="K13282" t="s">
        <v>41189</v>
      </c>
      <c r="M13282" t="s">
        <v>43911</v>
      </c>
      <c r="N13282" t="s">
        <v>45095</v>
      </c>
      <c r="O13282" t="s">
        <v>45096</v>
      </c>
      <c r="P13282">
        <v>0</v>
      </c>
      <c r="Q13282">
        <v>0</v>
      </c>
      <c r="R13282" t="s">
        <v>45115</v>
      </c>
      <c r="S13282" t="s">
        <v>45845</v>
      </c>
      <c r="T13282" t="s">
        <v>47067</v>
      </c>
      <c r="U13282" t="s">
        <v>58227</v>
      </c>
      <c r="W13282" t="s">
        <v>43911</v>
      </c>
      <c r="X13282" t="s">
        <v>45117</v>
      </c>
    </row>
    <row r="13283" spans="1:24">
      <c r="A13283">
        <f>HYPERLINK("https://www.philgeps.gov.ph/GEPSNONPILOT/Tender/SplashBidNoticeAbstractUI.aspx?menuIndex=3&amp;refID=7012866&amp;Result=3","7012866")</f>
        <v>0</v>
      </c>
      <c r="B13283" t="s">
        <v>443</v>
      </c>
      <c r="C13283" t="s">
        <v>15910</v>
      </c>
      <c r="D13283" t="s">
        <v>18062</v>
      </c>
      <c r="E13283" t="s">
        <v>29592</v>
      </c>
      <c r="F13283" t="s">
        <v>31574</v>
      </c>
      <c r="G13283" t="s">
        <v>31582</v>
      </c>
      <c r="H13283" t="s">
        <v>31591</v>
      </c>
      <c r="I13283" t="s">
        <v>8822</v>
      </c>
      <c r="J13283" t="s">
        <v>34070</v>
      </c>
      <c r="K13283" t="s">
        <v>41326</v>
      </c>
      <c r="M13283" t="s">
        <v>44475</v>
      </c>
      <c r="N13283" t="s">
        <v>45095</v>
      </c>
      <c r="O13283" t="s">
        <v>45096</v>
      </c>
      <c r="P13283">
        <v>0</v>
      </c>
      <c r="Q13283">
        <v>4</v>
      </c>
      <c r="R13283" t="s">
        <v>45115</v>
      </c>
      <c r="S13283" t="s">
        <v>45845</v>
      </c>
      <c r="T13283" t="s">
        <v>46973</v>
      </c>
      <c r="U13283" t="s">
        <v>55869</v>
      </c>
      <c r="V13283" t="s">
        <v>61305</v>
      </c>
      <c r="W13283" t="s">
        <v>44475</v>
      </c>
      <c r="X13283" t="s">
        <v>45117</v>
      </c>
    </row>
    <row r="13284" spans="1:24">
      <c r="A13284">
        <f>HYPERLINK("https://www.philgeps.gov.ph/GEPSNONPILOT/Tender/SplashBidNoticeAbstractUI.aspx?menuIndex=3&amp;refID=7012399&amp;Result=3","7012399")</f>
        <v>0</v>
      </c>
      <c r="B13284" t="s">
        <v>2054</v>
      </c>
      <c r="C13284" t="s">
        <v>15911</v>
      </c>
      <c r="D13284" t="s">
        <v>18037</v>
      </c>
      <c r="E13284" t="s">
        <v>29593</v>
      </c>
      <c r="F13284" t="s">
        <v>31574</v>
      </c>
      <c r="G13284" t="s">
        <v>31582</v>
      </c>
      <c r="H13284" t="s">
        <v>31590</v>
      </c>
      <c r="I13284" t="s">
        <v>31673</v>
      </c>
      <c r="J13284" t="s">
        <v>39907</v>
      </c>
      <c r="K13284" t="s">
        <v>41186</v>
      </c>
      <c r="M13284" t="s">
        <v>43723</v>
      </c>
      <c r="N13284" t="s">
        <v>45095</v>
      </c>
      <c r="O13284" t="s">
        <v>45096</v>
      </c>
      <c r="P13284">
        <v>0</v>
      </c>
      <c r="Q13284">
        <v>2</v>
      </c>
      <c r="R13284" t="s">
        <v>45115</v>
      </c>
      <c r="S13284" t="s">
        <v>45845</v>
      </c>
      <c r="T13284" t="s">
        <v>46973</v>
      </c>
      <c r="U13284" t="s">
        <v>58228</v>
      </c>
      <c r="W13284" t="s">
        <v>43723</v>
      </c>
      <c r="X13284" t="s">
        <v>45117</v>
      </c>
    </row>
    <row r="13285" spans="1:24">
      <c r="A13285">
        <f>HYPERLINK("https://www.philgeps.gov.ph/GEPSNONPILOT/Tender/SplashBidNoticeAbstractUI.aspx?menuIndex=3&amp;refID=7012845&amp;Result=3","7012845")</f>
        <v>0</v>
      </c>
      <c r="B13285" t="s">
        <v>75</v>
      </c>
      <c r="C13285" t="s">
        <v>15912</v>
      </c>
      <c r="D13285" t="s">
        <v>18054</v>
      </c>
      <c r="E13285" t="s">
        <v>29594</v>
      </c>
      <c r="F13285" t="s">
        <v>31574</v>
      </c>
      <c r="G13285" t="s">
        <v>31582</v>
      </c>
      <c r="H13285" t="s">
        <v>31590</v>
      </c>
      <c r="I13285" t="s">
        <v>4327</v>
      </c>
      <c r="J13285" t="s">
        <v>39908</v>
      </c>
      <c r="K13285" t="s">
        <v>41186</v>
      </c>
      <c r="M13285" t="s">
        <v>41559</v>
      </c>
      <c r="N13285" t="s">
        <v>45095</v>
      </c>
      <c r="O13285" t="s">
        <v>45096</v>
      </c>
      <c r="P13285">
        <v>0</v>
      </c>
      <c r="Q13285">
        <v>2</v>
      </c>
      <c r="R13285" t="s">
        <v>45115</v>
      </c>
      <c r="S13285" t="s">
        <v>45845</v>
      </c>
      <c r="T13285" t="s">
        <v>47076</v>
      </c>
      <c r="U13285" t="s">
        <v>58229</v>
      </c>
      <c r="W13285" t="s">
        <v>41559</v>
      </c>
      <c r="X13285" t="s">
        <v>45117</v>
      </c>
    </row>
    <row r="13286" spans="1:24">
      <c r="A13286">
        <f>HYPERLINK("https://www.philgeps.gov.ph/GEPSNONPILOT/Tender/SplashBidNoticeAbstractUI.aspx?menuIndex=3&amp;refID=7012815&amp;Result=3","7012815")</f>
        <v>0</v>
      </c>
      <c r="B13286" t="s">
        <v>340</v>
      </c>
      <c r="C13286" t="s">
        <v>15913</v>
      </c>
      <c r="D13286" t="s">
        <v>18077</v>
      </c>
      <c r="E13286" t="s">
        <v>29595</v>
      </c>
      <c r="F13286" t="s">
        <v>31574</v>
      </c>
      <c r="G13286" t="s">
        <v>31582</v>
      </c>
      <c r="H13286" t="s">
        <v>31590</v>
      </c>
      <c r="I13286" t="s">
        <v>31598</v>
      </c>
      <c r="J13286" t="s">
        <v>32101</v>
      </c>
      <c r="K13286" t="s">
        <v>41184</v>
      </c>
      <c r="M13286" t="s">
        <v>41828</v>
      </c>
      <c r="N13286" t="s">
        <v>45095</v>
      </c>
      <c r="O13286" t="s">
        <v>45096</v>
      </c>
      <c r="Q13286">
        <v>7</v>
      </c>
      <c r="R13286" t="s">
        <v>45115</v>
      </c>
      <c r="S13286" t="s">
        <v>45852</v>
      </c>
      <c r="T13286" t="s">
        <v>46917</v>
      </c>
      <c r="U13286" t="s">
        <v>58230</v>
      </c>
      <c r="W13286" t="s">
        <v>41828</v>
      </c>
      <c r="X13286" t="s">
        <v>45117</v>
      </c>
    </row>
    <row r="13287" spans="1:24">
      <c r="A13287">
        <f>HYPERLINK("https://www.philgeps.gov.ph/GEPSNONPILOT/Tender/SplashBidNoticeAbstractUI.aspx?menuIndex=3&amp;refID=7012786&amp;Result=3","7012786")</f>
        <v>0</v>
      </c>
      <c r="B13287" t="s">
        <v>75</v>
      </c>
      <c r="C13287" t="s">
        <v>15914</v>
      </c>
      <c r="D13287" t="s">
        <v>18054</v>
      </c>
      <c r="E13287" t="s">
        <v>29596</v>
      </c>
      <c r="F13287" t="s">
        <v>31574</v>
      </c>
      <c r="G13287" t="s">
        <v>31582</v>
      </c>
      <c r="H13287" t="s">
        <v>31590</v>
      </c>
      <c r="I13287" t="s">
        <v>31608</v>
      </c>
      <c r="J13287" t="s">
        <v>39909</v>
      </c>
      <c r="K13287" t="s">
        <v>41186</v>
      </c>
      <c r="M13287" t="s">
        <v>41559</v>
      </c>
      <c r="N13287" t="s">
        <v>45095</v>
      </c>
      <c r="O13287" t="s">
        <v>45096</v>
      </c>
      <c r="P13287">
        <v>0</v>
      </c>
      <c r="Q13287">
        <v>10</v>
      </c>
      <c r="R13287" t="s">
        <v>45115</v>
      </c>
      <c r="S13287" t="s">
        <v>45845</v>
      </c>
      <c r="T13287" t="s">
        <v>47076</v>
      </c>
      <c r="U13287" t="s">
        <v>58231</v>
      </c>
      <c r="W13287" t="s">
        <v>41559</v>
      </c>
      <c r="X13287" t="s">
        <v>45117</v>
      </c>
    </row>
    <row r="13288" spans="1:24">
      <c r="A13288">
        <f>HYPERLINK("https://www.philgeps.gov.ph/GEPSNONPILOT/Tender/SplashBidNoticeAbstractUI.aspx?menuIndex=3&amp;refID=7012923&amp;Result=3","7012923")</f>
        <v>0</v>
      </c>
      <c r="B13288" t="s">
        <v>443</v>
      </c>
      <c r="C13288" t="s">
        <v>15915</v>
      </c>
      <c r="D13288" t="s">
        <v>18062</v>
      </c>
      <c r="E13288" t="s">
        <v>29597</v>
      </c>
      <c r="F13288" t="s">
        <v>31574</v>
      </c>
      <c r="G13288" t="s">
        <v>31582</v>
      </c>
      <c r="H13288" t="s">
        <v>31591</v>
      </c>
      <c r="I13288" t="s">
        <v>8822</v>
      </c>
      <c r="J13288" t="s">
        <v>39910</v>
      </c>
      <c r="K13288" t="s">
        <v>41198</v>
      </c>
      <c r="M13288" t="s">
        <v>44475</v>
      </c>
      <c r="N13288" t="s">
        <v>45095</v>
      </c>
      <c r="O13288" t="s">
        <v>45096</v>
      </c>
      <c r="P13288">
        <v>0</v>
      </c>
      <c r="Q13288">
        <v>7</v>
      </c>
      <c r="R13288" t="s">
        <v>45115</v>
      </c>
      <c r="S13288" t="s">
        <v>45845</v>
      </c>
      <c r="T13288" t="s">
        <v>46973</v>
      </c>
      <c r="U13288" t="s">
        <v>55869</v>
      </c>
      <c r="V13288" t="s">
        <v>61306</v>
      </c>
      <c r="W13288" t="s">
        <v>44475</v>
      </c>
      <c r="X13288" t="s">
        <v>45117</v>
      </c>
    </row>
    <row r="13289" spans="1:24">
      <c r="A13289">
        <f>HYPERLINK("https://www.philgeps.gov.ph/GEPSNONPILOT/Tender/SplashBidNoticeAbstractUI.aspx?menuIndex=3&amp;refID=7012716&amp;Result=3","7012716")</f>
        <v>0</v>
      </c>
      <c r="B13289" t="s">
        <v>1613</v>
      </c>
      <c r="C13289" t="s">
        <v>15916</v>
      </c>
      <c r="D13289" t="s">
        <v>18027</v>
      </c>
      <c r="E13289" t="s">
        <v>29598</v>
      </c>
      <c r="F13289" t="s">
        <v>31574</v>
      </c>
      <c r="G13289" t="s">
        <v>31582</v>
      </c>
      <c r="H13289" t="s">
        <v>31590</v>
      </c>
      <c r="I13289" t="s">
        <v>31615</v>
      </c>
      <c r="J13289" t="s">
        <v>32026</v>
      </c>
      <c r="K13289" t="s">
        <v>41217</v>
      </c>
      <c r="M13289" t="s">
        <v>43218</v>
      </c>
      <c r="N13289" t="s">
        <v>45095</v>
      </c>
      <c r="O13289" t="s">
        <v>45096</v>
      </c>
      <c r="P13289">
        <v>0</v>
      </c>
      <c r="Q13289">
        <v>3</v>
      </c>
      <c r="R13289" t="s">
        <v>45115</v>
      </c>
      <c r="S13289" t="s">
        <v>45845</v>
      </c>
      <c r="T13289" t="s">
        <v>47076</v>
      </c>
      <c r="U13289" t="s">
        <v>58232</v>
      </c>
      <c r="V13289" t="s">
        <v>61304</v>
      </c>
      <c r="W13289" t="s">
        <v>43218</v>
      </c>
      <c r="X13289" t="s">
        <v>45117</v>
      </c>
    </row>
    <row r="13290" spans="1:24">
      <c r="A13290">
        <f>HYPERLINK("https://www.philgeps.gov.ph/GEPSNONPILOT/Tender/SplashBidNoticeAbstractUI.aspx?menuIndex=3&amp;refID=7012677&amp;Result=3","7012677")</f>
        <v>0</v>
      </c>
      <c r="B13290" t="s">
        <v>2041</v>
      </c>
      <c r="C13290" t="s">
        <v>15917</v>
      </c>
      <c r="D13290" t="s">
        <v>18049</v>
      </c>
      <c r="E13290" t="s">
        <v>29599</v>
      </c>
      <c r="F13290" t="s">
        <v>31574</v>
      </c>
      <c r="G13290" t="s">
        <v>31582</v>
      </c>
      <c r="H13290" t="s">
        <v>31591</v>
      </c>
      <c r="I13290" t="s">
        <v>8822</v>
      </c>
      <c r="J13290" t="s">
        <v>31771</v>
      </c>
      <c r="K13290" t="s">
        <v>41189</v>
      </c>
      <c r="M13290" t="s">
        <v>43879</v>
      </c>
      <c r="N13290" t="s">
        <v>45095</v>
      </c>
      <c r="O13290" t="s">
        <v>45096</v>
      </c>
      <c r="Q13290">
        <v>0</v>
      </c>
      <c r="R13290" t="s">
        <v>45115</v>
      </c>
      <c r="S13290" t="s">
        <v>45853</v>
      </c>
      <c r="T13290" t="s">
        <v>47064</v>
      </c>
      <c r="U13290" t="s">
        <v>58233</v>
      </c>
      <c r="W13290" t="s">
        <v>43879</v>
      </c>
      <c r="X13290" t="s">
        <v>45117</v>
      </c>
    </row>
    <row r="13291" spans="1:24">
      <c r="A13291">
        <f>HYPERLINK("https://www.philgeps.gov.ph/GEPSNONPILOT/Tender/SplashBidNoticeAbstractUI.aspx?menuIndex=3&amp;refID=7012919&amp;Result=3","7012919")</f>
        <v>0</v>
      </c>
      <c r="B13291" t="s">
        <v>3026</v>
      </c>
      <c r="C13291" t="s">
        <v>15918</v>
      </c>
      <c r="D13291" t="s">
        <v>18038</v>
      </c>
      <c r="E13291" t="s">
        <v>29600</v>
      </c>
      <c r="F13291" t="s">
        <v>31574</v>
      </c>
      <c r="G13291" t="s">
        <v>31582</v>
      </c>
      <c r="H13291" t="s">
        <v>31591</v>
      </c>
      <c r="I13291" t="s">
        <v>8822</v>
      </c>
      <c r="J13291" t="s">
        <v>32361</v>
      </c>
      <c r="K13291" t="s">
        <v>41189</v>
      </c>
      <c r="M13291" t="s">
        <v>44859</v>
      </c>
      <c r="N13291" t="s">
        <v>45095</v>
      </c>
      <c r="O13291" t="s">
        <v>45096</v>
      </c>
      <c r="P13291">
        <v>0</v>
      </c>
      <c r="Q13291">
        <v>0</v>
      </c>
      <c r="R13291" t="s">
        <v>45115</v>
      </c>
      <c r="S13291" t="s">
        <v>45845</v>
      </c>
      <c r="T13291" t="s">
        <v>46991</v>
      </c>
      <c r="U13291" t="s">
        <v>58234</v>
      </c>
      <c r="V13291" t="s">
        <v>60958</v>
      </c>
      <c r="W13291" t="s">
        <v>44859</v>
      </c>
      <c r="X13291" t="s">
        <v>45117</v>
      </c>
    </row>
    <row r="13292" spans="1:24">
      <c r="A13292">
        <f>HYPERLINK("https://www.philgeps.gov.ph/GEPSNONPILOT/Tender/SplashBidNoticeAbstractUI.aspx?menuIndex=3&amp;refID=7012799&amp;Result=3","7012799")</f>
        <v>0</v>
      </c>
      <c r="B13292" t="s">
        <v>1613</v>
      </c>
      <c r="C13292" t="s">
        <v>15919</v>
      </c>
      <c r="D13292" t="s">
        <v>18027</v>
      </c>
      <c r="E13292" t="s">
        <v>29601</v>
      </c>
      <c r="F13292" t="s">
        <v>31574</v>
      </c>
      <c r="G13292" t="s">
        <v>31582</v>
      </c>
      <c r="H13292" t="s">
        <v>31590</v>
      </c>
      <c r="I13292" t="s">
        <v>8258</v>
      </c>
      <c r="J13292" t="s">
        <v>39911</v>
      </c>
      <c r="K13292" t="s">
        <v>41186</v>
      </c>
      <c r="M13292" t="s">
        <v>43218</v>
      </c>
      <c r="N13292" t="s">
        <v>45095</v>
      </c>
      <c r="O13292" t="s">
        <v>45096</v>
      </c>
      <c r="P13292">
        <v>0</v>
      </c>
      <c r="Q13292">
        <v>0</v>
      </c>
      <c r="R13292" t="s">
        <v>45115</v>
      </c>
      <c r="S13292" t="s">
        <v>45845</v>
      </c>
      <c r="T13292" t="s">
        <v>47076</v>
      </c>
      <c r="U13292" t="s">
        <v>58235</v>
      </c>
      <c r="W13292" t="s">
        <v>43218</v>
      </c>
      <c r="X13292" t="s">
        <v>45117</v>
      </c>
    </row>
    <row r="13293" spans="1:24">
      <c r="A13293">
        <f>HYPERLINK("https://www.philgeps.gov.ph/GEPSNONPILOT/Tender/SplashBidNoticeAbstractUI.aspx?menuIndex=3&amp;refID=7012459&amp;Result=3","7012459")</f>
        <v>0</v>
      </c>
      <c r="B13293" t="s">
        <v>1613</v>
      </c>
      <c r="C13293" t="s">
        <v>15920</v>
      </c>
      <c r="D13293" t="s">
        <v>18027</v>
      </c>
      <c r="E13293" t="s">
        <v>29602</v>
      </c>
      <c r="F13293" t="s">
        <v>31574</v>
      </c>
      <c r="G13293" t="s">
        <v>31582</v>
      </c>
      <c r="H13293" t="s">
        <v>31590</v>
      </c>
      <c r="I13293" t="s">
        <v>31596</v>
      </c>
      <c r="J13293" t="s">
        <v>32049</v>
      </c>
      <c r="K13293" t="s">
        <v>41198</v>
      </c>
      <c r="M13293" t="s">
        <v>43218</v>
      </c>
      <c r="N13293" t="s">
        <v>45095</v>
      </c>
      <c r="O13293" t="s">
        <v>45096</v>
      </c>
      <c r="P13293">
        <v>0</v>
      </c>
      <c r="Q13293">
        <v>2</v>
      </c>
      <c r="R13293" t="s">
        <v>45115</v>
      </c>
      <c r="S13293" t="s">
        <v>45845</v>
      </c>
      <c r="T13293" t="s">
        <v>47076</v>
      </c>
      <c r="U13293" t="s">
        <v>58236</v>
      </c>
      <c r="W13293" t="s">
        <v>43218</v>
      </c>
      <c r="X13293" t="s">
        <v>45117</v>
      </c>
    </row>
    <row r="13294" spans="1:24">
      <c r="A13294">
        <f>HYPERLINK("https://www.philgeps.gov.ph/GEPSNONPILOT/Tender/SplashBidNoticeAbstractUI.aspx?menuIndex=3&amp;refID=7012979&amp;Result=3","7012979")</f>
        <v>0</v>
      </c>
      <c r="B13294" t="s">
        <v>3026</v>
      </c>
      <c r="C13294" t="s">
        <v>15921</v>
      </c>
      <c r="D13294" t="s">
        <v>18038</v>
      </c>
      <c r="E13294" t="s">
        <v>29603</v>
      </c>
      <c r="F13294" t="s">
        <v>31574</v>
      </c>
      <c r="G13294" t="s">
        <v>31585</v>
      </c>
      <c r="H13294" t="s">
        <v>31591</v>
      </c>
      <c r="I13294" t="s">
        <v>8822</v>
      </c>
      <c r="J13294" t="s">
        <v>32232</v>
      </c>
      <c r="K13294" t="s">
        <v>41192</v>
      </c>
      <c r="M13294" t="s">
        <v>44859</v>
      </c>
      <c r="N13294" t="s">
        <v>45095</v>
      </c>
      <c r="O13294" t="s">
        <v>45096</v>
      </c>
      <c r="P13294">
        <v>0</v>
      </c>
      <c r="Q13294">
        <v>0</v>
      </c>
      <c r="R13294" t="s">
        <v>45115</v>
      </c>
      <c r="S13294" t="s">
        <v>45845</v>
      </c>
      <c r="T13294" t="s">
        <v>46991</v>
      </c>
      <c r="U13294" t="s">
        <v>58237</v>
      </c>
      <c r="V13294" t="s">
        <v>60958</v>
      </c>
      <c r="W13294" t="s">
        <v>44859</v>
      </c>
      <c r="X13294" t="s">
        <v>45117</v>
      </c>
    </row>
    <row r="13295" spans="1:24">
      <c r="A13295">
        <f>HYPERLINK("https://www.philgeps.gov.ph/GEPSNONPILOT/Tender/SplashBidNoticeAbstractUI.aspx?menuIndex=3&amp;refID=7012942&amp;Result=3","7012942")</f>
        <v>0</v>
      </c>
      <c r="B13295" t="s">
        <v>2054</v>
      </c>
      <c r="C13295" t="s">
        <v>15922</v>
      </c>
      <c r="D13295" t="s">
        <v>18037</v>
      </c>
      <c r="E13295" t="s">
        <v>29604</v>
      </c>
      <c r="F13295" t="s">
        <v>31574</v>
      </c>
      <c r="G13295" t="s">
        <v>31582</v>
      </c>
      <c r="H13295" t="s">
        <v>31591</v>
      </c>
      <c r="I13295" t="s">
        <v>8822</v>
      </c>
      <c r="J13295" t="s">
        <v>33610</v>
      </c>
      <c r="K13295" t="s">
        <v>41185</v>
      </c>
      <c r="M13295" t="s">
        <v>43723</v>
      </c>
      <c r="N13295" t="s">
        <v>45095</v>
      </c>
      <c r="O13295" t="s">
        <v>45096</v>
      </c>
      <c r="P13295">
        <v>0</v>
      </c>
      <c r="Q13295">
        <v>0</v>
      </c>
      <c r="R13295" t="s">
        <v>45115</v>
      </c>
      <c r="S13295" t="s">
        <v>45845</v>
      </c>
      <c r="T13295" t="s">
        <v>47106</v>
      </c>
      <c r="U13295" t="s">
        <v>58228</v>
      </c>
      <c r="W13295" t="s">
        <v>43723</v>
      </c>
      <c r="X13295" t="s">
        <v>45117</v>
      </c>
    </row>
    <row r="13296" spans="1:24">
      <c r="A13296">
        <f>HYPERLINK("https://www.philgeps.gov.ph/GEPSNONPILOT/Tender/SplashBidNoticeAbstractUI.aspx?menuIndex=3&amp;refID=7012960&amp;Result=3","7012960")</f>
        <v>0</v>
      </c>
      <c r="B13296" t="s">
        <v>1613</v>
      </c>
      <c r="C13296" t="s">
        <v>15923</v>
      </c>
      <c r="D13296" t="s">
        <v>18027</v>
      </c>
      <c r="E13296" t="s">
        <v>29605</v>
      </c>
      <c r="F13296" t="s">
        <v>31574</v>
      </c>
      <c r="G13296" t="s">
        <v>31582</v>
      </c>
      <c r="H13296" t="s">
        <v>31590</v>
      </c>
      <c r="I13296" t="s">
        <v>31616</v>
      </c>
      <c r="J13296" t="s">
        <v>39912</v>
      </c>
      <c r="K13296" t="s">
        <v>41217</v>
      </c>
      <c r="M13296" t="s">
        <v>43218</v>
      </c>
      <c r="N13296" t="s">
        <v>45095</v>
      </c>
      <c r="O13296" t="s">
        <v>45096</v>
      </c>
      <c r="P13296">
        <v>0</v>
      </c>
      <c r="Q13296">
        <v>8</v>
      </c>
      <c r="R13296" t="s">
        <v>45115</v>
      </c>
      <c r="S13296" t="s">
        <v>45845</v>
      </c>
      <c r="T13296" t="s">
        <v>47076</v>
      </c>
      <c r="U13296" t="s">
        <v>58238</v>
      </c>
      <c r="V13296" t="s">
        <v>61304</v>
      </c>
      <c r="W13296" t="s">
        <v>43218</v>
      </c>
      <c r="X13296" t="s">
        <v>45117</v>
      </c>
    </row>
    <row r="13297" spans="1:24">
      <c r="A13297">
        <f>HYPERLINK("https://www.philgeps.gov.ph/GEPSNONPILOT/Tender/SplashBidNoticeAbstractUI.aspx?menuIndex=3&amp;refID=7012851&amp;Result=3","7012851")</f>
        <v>0</v>
      </c>
      <c r="B13297" t="s">
        <v>1784</v>
      </c>
      <c r="C13297" t="s">
        <v>15924</v>
      </c>
      <c r="D13297" t="s">
        <v>18090</v>
      </c>
      <c r="E13297" t="s">
        <v>29606</v>
      </c>
      <c r="F13297" t="s">
        <v>31574</v>
      </c>
      <c r="G13297" t="s">
        <v>31582</v>
      </c>
      <c r="H13297" t="s">
        <v>31591</v>
      </c>
      <c r="I13297" t="s">
        <v>8822</v>
      </c>
      <c r="J13297" t="s">
        <v>39913</v>
      </c>
      <c r="K13297" t="s">
        <v>41185</v>
      </c>
      <c r="M13297" t="s">
        <v>43414</v>
      </c>
      <c r="N13297" t="s">
        <v>45095</v>
      </c>
      <c r="O13297" t="s">
        <v>45096</v>
      </c>
      <c r="P13297">
        <v>0</v>
      </c>
      <c r="Q13297">
        <v>0</v>
      </c>
      <c r="R13297" t="s">
        <v>45115</v>
      </c>
      <c r="S13297" t="s">
        <v>45845</v>
      </c>
      <c r="T13297" t="s">
        <v>46932</v>
      </c>
      <c r="U13297" t="s">
        <v>58239</v>
      </c>
      <c r="W13297" t="s">
        <v>43414</v>
      </c>
      <c r="X13297" t="s">
        <v>45117</v>
      </c>
    </row>
    <row r="13298" spans="1:24">
      <c r="A13298">
        <f>HYPERLINK("https://www.philgeps.gov.ph/GEPSNONPILOT/Tender/SplashBidNoticeAbstractUI.aspx?menuIndex=3&amp;refID=7013032&amp;Result=3","7013032")</f>
        <v>0</v>
      </c>
      <c r="B13298" t="s">
        <v>443</v>
      </c>
      <c r="C13298" t="s">
        <v>15925</v>
      </c>
      <c r="D13298" t="s">
        <v>18062</v>
      </c>
      <c r="E13298" t="s">
        <v>29607</v>
      </c>
      <c r="F13298" t="s">
        <v>31574</v>
      </c>
      <c r="G13298" t="s">
        <v>31582</v>
      </c>
      <c r="H13298" t="s">
        <v>31591</v>
      </c>
      <c r="I13298" t="s">
        <v>8822</v>
      </c>
      <c r="J13298" t="s">
        <v>34697</v>
      </c>
      <c r="K13298" t="s">
        <v>41310</v>
      </c>
      <c r="M13298" t="s">
        <v>44475</v>
      </c>
      <c r="N13298" t="s">
        <v>45095</v>
      </c>
      <c r="O13298" t="s">
        <v>45096</v>
      </c>
      <c r="P13298">
        <v>0</v>
      </c>
      <c r="Q13298">
        <v>5</v>
      </c>
      <c r="R13298" t="s">
        <v>45115</v>
      </c>
      <c r="S13298" t="s">
        <v>45845</v>
      </c>
      <c r="T13298" t="s">
        <v>46973</v>
      </c>
      <c r="U13298" t="s">
        <v>48547</v>
      </c>
      <c r="V13298" t="s">
        <v>61307</v>
      </c>
      <c r="W13298" t="s">
        <v>44475</v>
      </c>
      <c r="X13298" t="s">
        <v>45117</v>
      </c>
    </row>
    <row r="13299" spans="1:24">
      <c r="A13299">
        <f>HYPERLINK("https://www.philgeps.gov.ph/GEPSNONPILOT/Tender/SplashBidNoticeAbstractUI.aspx?menuIndex=3&amp;refID=7012419&amp;Result=3","7012419")</f>
        <v>0</v>
      </c>
      <c r="B13299" t="s">
        <v>3027</v>
      </c>
      <c r="C13299" t="s">
        <v>15926</v>
      </c>
      <c r="D13299" t="s">
        <v>18027</v>
      </c>
      <c r="E13299" t="s">
        <v>29608</v>
      </c>
      <c r="F13299" t="s">
        <v>31574</v>
      </c>
      <c r="G13299" t="s">
        <v>31582</v>
      </c>
      <c r="H13299" t="s">
        <v>31591</v>
      </c>
      <c r="I13299" t="s">
        <v>8822</v>
      </c>
      <c r="J13299" t="s">
        <v>39914</v>
      </c>
      <c r="K13299" t="s">
        <v>41335</v>
      </c>
      <c r="M13299" t="s">
        <v>44860</v>
      </c>
      <c r="N13299" t="s">
        <v>45095</v>
      </c>
      <c r="O13299" t="s">
        <v>45096</v>
      </c>
      <c r="P13299">
        <v>0</v>
      </c>
      <c r="Q13299">
        <v>5</v>
      </c>
      <c r="R13299" t="s">
        <v>45115</v>
      </c>
      <c r="S13299" t="s">
        <v>45845</v>
      </c>
      <c r="T13299" t="s">
        <v>47092</v>
      </c>
      <c r="U13299" t="s">
        <v>58240</v>
      </c>
      <c r="W13299" t="s">
        <v>44860</v>
      </c>
      <c r="X13299" t="s">
        <v>45117</v>
      </c>
    </row>
    <row r="13300" spans="1:24">
      <c r="A13300">
        <f>HYPERLINK("https://www.philgeps.gov.ph/GEPSNONPILOT/Tender/SplashBidNoticeAbstractUI.aspx?menuIndex=3&amp;refID=7013065&amp;Result=3","7013065")</f>
        <v>0</v>
      </c>
      <c r="B13300" t="s">
        <v>1859</v>
      </c>
      <c r="C13300" t="s">
        <v>15927</v>
      </c>
      <c r="D13300" t="s">
        <v>18027</v>
      </c>
      <c r="E13300" t="s">
        <v>29609</v>
      </c>
      <c r="F13300" t="s">
        <v>31574</v>
      </c>
      <c r="G13300" t="s">
        <v>31582</v>
      </c>
      <c r="H13300" t="s">
        <v>31590</v>
      </c>
      <c r="I13300" t="s">
        <v>4046</v>
      </c>
      <c r="J13300" t="s">
        <v>39915</v>
      </c>
      <c r="K13300" t="s">
        <v>41191</v>
      </c>
      <c r="L13300" t="s">
        <v>1859</v>
      </c>
      <c r="M13300" t="s">
        <v>44638</v>
      </c>
      <c r="N13300" t="s">
        <v>45095</v>
      </c>
      <c r="O13300" t="s">
        <v>45096</v>
      </c>
      <c r="P13300">
        <v>0</v>
      </c>
      <c r="Q13300">
        <v>1</v>
      </c>
      <c r="R13300" t="s">
        <v>45115</v>
      </c>
      <c r="S13300" t="s">
        <v>45845</v>
      </c>
      <c r="T13300" t="s">
        <v>47050</v>
      </c>
      <c r="U13300" t="s">
        <v>58241</v>
      </c>
      <c r="V13300" t="s">
        <v>61308</v>
      </c>
      <c r="W13300" t="s">
        <v>44638</v>
      </c>
      <c r="X13300" t="s">
        <v>45117</v>
      </c>
    </row>
    <row r="13301" spans="1:24">
      <c r="A13301">
        <f>HYPERLINK("https://www.philgeps.gov.ph/GEPSNONPILOT/Tender/SplashBidNoticeAbstractUI.aspx?menuIndex=3&amp;refID=7013511&amp;Result=3","7013511")</f>
        <v>0</v>
      </c>
      <c r="B13301" t="s">
        <v>3028</v>
      </c>
      <c r="C13301" t="s">
        <v>15928</v>
      </c>
      <c r="D13301" t="s">
        <v>18062</v>
      </c>
      <c r="E13301" t="s">
        <v>18192</v>
      </c>
      <c r="F13301" t="s">
        <v>31574</v>
      </c>
      <c r="G13301" t="s">
        <v>31582</v>
      </c>
      <c r="H13301" t="s">
        <v>31590</v>
      </c>
      <c r="I13301" t="s">
        <v>31605</v>
      </c>
      <c r="J13301" t="s">
        <v>39916</v>
      </c>
      <c r="K13301" t="s">
        <v>41186</v>
      </c>
      <c r="M13301" t="s">
        <v>44861</v>
      </c>
      <c r="N13301" t="s">
        <v>45095</v>
      </c>
      <c r="O13301" t="s">
        <v>45096</v>
      </c>
      <c r="P13301">
        <v>0</v>
      </c>
      <c r="Q13301">
        <v>2</v>
      </c>
      <c r="R13301" t="s">
        <v>45115</v>
      </c>
      <c r="S13301" t="s">
        <v>45845</v>
      </c>
      <c r="T13301" t="s">
        <v>46973</v>
      </c>
      <c r="U13301" t="s">
        <v>58242</v>
      </c>
      <c r="W13301" t="s">
        <v>44861</v>
      </c>
      <c r="X13301" t="s">
        <v>45117</v>
      </c>
    </row>
    <row r="13302" spans="1:24">
      <c r="A13302">
        <f>HYPERLINK("https://www.philgeps.gov.ph/GEPSNONPILOT/Tender/SplashBidNoticeAbstractUI.aspx?menuIndex=3&amp;refID=7012989&amp;Result=3","7012989")</f>
        <v>0</v>
      </c>
      <c r="B13302" t="s">
        <v>1029</v>
      </c>
      <c r="C13302" t="s">
        <v>15929</v>
      </c>
      <c r="E13302" t="s">
        <v>29610</v>
      </c>
      <c r="F13302" t="s">
        <v>31574</v>
      </c>
      <c r="G13302" t="s">
        <v>31582</v>
      </c>
      <c r="H13302" t="s">
        <v>31590</v>
      </c>
      <c r="I13302" t="s">
        <v>8258</v>
      </c>
      <c r="J13302" t="s">
        <v>39917</v>
      </c>
      <c r="K13302" t="s">
        <v>41184</v>
      </c>
      <c r="M13302" t="s">
        <v>42570</v>
      </c>
      <c r="N13302" t="s">
        <v>45095</v>
      </c>
      <c r="O13302" t="s">
        <v>45096</v>
      </c>
      <c r="Q13302">
        <v>9</v>
      </c>
      <c r="R13302" t="s">
        <v>45115</v>
      </c>
      <c r="S13302" t="s">
        <v>45854</v>
      </c>
      <c r="T13302" t="s">
        <v>46965</v>
      </c>
      <c r="U13302" t="s">
        <v>58243</v>
      </c>
      <c r="W13302" t="s">
        <v>42570</v>
      </c>
      <c r="X13302" t="s">
        <v>45117</v>
      </c>
    </row>
    <row r="13303" spans="1:24">
      <c r="A13303">
        <f>HYPERLINK("https://www.philgeps.gov.ph/GEPSNONPILOT/Tender/SplashBidNoticeAbstractUI.aspx?menuIndex=3&amp;refID=7013088&amp;Result=3","7013088")</f>
        <v>0</v>
      </c>
      <c r="B13303" t="s">
        <v>2054</v>
      </c>
      <c r="C13303" t="s">
        <v>15930</v>
      </c>
      <c r="D13303" t="s">
        <v>18037</v>
      </c>
      <c r="E13303" t="s">
        <v>29611</v>
      </c>
      <c r="F13303" t="s">
        <v>31574</v>
      </c>
      <c r="G13303" t="s">
        <v>31582</v>
      </c>
      <c r="H13303" t="s">
        <v>31590</v>
      </c>
      <c r="I13303" t="s">
        <v>5222</v>
      </c>
      <c r="J13303" t="s">
        <v>39918</v>
      </c>
      <c r="K13303" t="s">
        <v>41186</v>
      </c>
      <c r="M13303" t="s">
        <v>43723</v>
      </c>
      <c r="N13303" t="s">
        <v>45095</v>
      </c>
      <c r="O13303" t="s">
        <v>45096</v>
      </c>
      <c r="P13303">
        <v>0</v>
      </c>
      <c r="Q13303">
        <v>2</v>
      </c>
      <c r="R13303" t="s">
        <v>45115</v>
      </c>
      <c r="S13303" t="s">
        <v>45845</v>
      </c>
      <c r="T13303" t="s">
        <v>47080</v>
      </c>
      <c r="U13303" t="s">
        <v>58228</v>
      </c>
      <c r="W13303" t="s">
        <v>43723</v>
      </c>
      <c r="X13303" t="s">
        <v>45117</v>
      </c>
    </row>
    <row r="13304" spans="1:24">
      <c r="A13304">
        <f>HYPERLINK("https://www.philgeps.gov.ph/GEPSNONPILOT/Tender/SplashBidNoticeAbstractUI.aspx?menuIndex=3&amp;refID=7012997&amp;Result=3","7012997")</f>
        <v>0</v>
      </c>
      <c r="B13304" t="s">
        <v>1859</v>
      </c>
      <c r="C13304" t="s">
        <v>15931</v>
      </c>
      <c r="D13304" t="s">
        <v>18027</v>
      </c>
      <c r="E13304" t="s">
        <v>29612</v>
      </c>
      <c r="F13304" t="s">
        <v>31574</v>
      </c>
      <c r="G13304" t="s">
        <v>31582</v>
      </c>
      <c r="H13304" t="s">
        <v>31590</v>
      </c>
      <c r="I13304" t="s">
        <v>4046</v>
      </c>
      <c r="J13304" t="s">
        <v>39919</v>
      </c>
      <c r="K13304" t="s">
        <v>41189</v>
      </c>
      <c r="L13304" t="s">
        <v>1859</v>
      </c>
      <c r="M13304" t="s">
        <v>44638</v>
      </c>
      <c r="N13304" t="s">
        <v>45095</v>
      </c>
      <c r="O13304" t="s">
        <v>45096</v>
      </c>
      <c r="P13304">
        <v>0</v>
      </c>
      <c r="Q13304">
        <v>4</v>
      </c>
      <c r="R13304" t="s">
        <v>45115</v>
      </c>
      <c r="S13304" t="s">
        <v>45845</v>
      </c>
      <c r="T13304" t="s">
        <v>47050</v>
      </c>
      <c r="U13304" t="s">
        <v>58241</v>
      </c>
      <c r="V13304" t="s">
        <v>61309</v>
      </c>
      <c r="W13304" t="s">
        <v>44638</v>
      </c>
      <c r="X13304" t="s">
        <v>45117</v>
      </c>
    </row>
    <row r="13305" spans="1:24">
      <c r="A13305">
        <f>HYPERLINK("https://www.philgeps.gov.ph/GEPSNONPILOT/Tender/SplashBidNoticeAbstractUI.aspx?menuIndex=3&amp;refID=7012248&amp;Result=3","7012248")</f>
        <v>0</v>
      </c>
      <c r="B13305" t="s">
        <v>1819</v>
      </c>
      <c r="C13305" t="s">
        <v>15932</v>
      </c>
      <c r="D13305" t="s">
        <v>18027</v>
      </c>
      <c r="E13305" t="s">
        <v>29613</v>
      </c>
      <c r="F13305" t="s">
        <v>31574</v>
      </c>
      <c r="G13305" t="s">
        <v>31582</v>
      </c>
      <c r="H13305" t="s">
        <v>31591</v>
      </c>
      <c r="I13305" t="s">
        <v>8822</v>
      </c>
      <c r="J13305" t="s">
        <v>31935</v>
      </c>
      <c r="K13305" t="s">
        <v>41185</v>
      </c>
      <c r="L13305" t="s">
        <v>1819</v>
      </c>
      <c r="M13305" t="s">
        <v>43454</v>
      </c>
      <c r="N13305" t="s">
        <v>45095</v>
      </c>
      <c r="O13305" t="s">
        <v>45096</v>
      </c>
      <c r="P13305">
        <v>0</v>
      </c>
      <c r="Q13305">
        <v>2</v>
      </c>
      <c r="R13305" t="s">
        <v>45115</v>
      </c>
      <c r="S13305" t="s">
        <v>45845</v>
      </c>
      <c r="T13305" t="s">
        <v>47171</v>
      </c>
      <c r="U13305" t="s">
        <v>58222</v>
      </c>
      <c r="W13305" t="s">
        <v>43454</v>
      </c>
      <c r="X13305" t="s">
        <v>45117</v>
      </c>
    </row>
    <row r="13306" spans="1:24">
      <c r="A13306">
        <f>HYPERLINK("https://www.philgeps.gov.ph/GEPSNONPILOT/Tender/SplashBidNoticeAbstractUI.aspx?menuIndex=3&amp;refID=7013039&amp;Result=3","7013039")</f>
        <v>0</v>
      </c>
      <c r="B13306" t="s">
        <v>1859</v>
      </c>
      <c r="C13306" t="s">
        <v>15933</v>
      </c>
      <c r="D13306" t="s">
        <v>18027</v>
      </c>
      <c r="E13306" t="s">
        <v>29614</v>
      </c>
      <c r="F13306" t="s">
        <v>31574</v>
      </c>
      <c r="G13306" t="s">
        <v>31582</v>
      </c>
      <c r="H13306" t="s">
        <v>31590</v>
      </c>
      <c r="I13306" t="s">
        <v>4046</v>
      </c>
      <c r="J13306" t="s">
        <v>39920</v>
      </c>
      <c r="K13306" t="s">
        <v>41191</v>
      </c>
      <c r="L13306" t="s">
        <v>1859</v>
      </c>
      <c r="M13306" t="s">
        <v>44638</v>
      </c>
      <c r="N13306" t="s">
        <v>45095</v>
      </c>
      <c r="O13306" t="s">
        <v>45096</v>
      </c>
      <c r="P13306">
        <v>0</v>
      </c>
      <c r="Q13306">
        <v>0</v>
      </c>
      <c r="R13306" t="s">
        <v>45115</v>
      </c>
      <c r="S13306" t="s">
        <v>45845</v>
      </c>
      <c r="T13306" t="s">
        <v>47050</v>
      </c>
      <c r="U13306" t="s">
        <v>58241</v>
      </c>
      <c r="V13306" t="s">
        <v>61310</v>
      </c>
      <c r="W13306" t="s">
        <v>44638</v>
      </c>
      <c r="X13306" t="s">
        <v>45117</v>
      </c>
    </row>
    <row r="13307" spans="1:24">
      <c r="A13307">
        <f>HYPERLINK("https://www.philgeps.gov.ph/GEPSNONPILOT/Tender/SplashBidNoticeAbstractUI.aspx?menuIndex=3&amp;refID=7013372&amp;Result=3","7013372")</f>
        <v>0</v>
      </c>
      <c r="B13307" t="s">
        <v>2010</v>
      </c>
      <c r="C13307" t="s">
        <v>15934</v>
      </c>
      <c r="D13307" t="s">
        <v>18059</v>
      </c>
      <c r="F13307" t="s">
        <v>31575</v>
      </c>
      <c r="G13307" t="s">
        <v>31582</v>
      </c>
      <c r="H13307" t="s">
        <v>31590</v>
      </c>
      <c r="I13307" t="s">
        <v>4046</v>
      </c>
      <c r="J13307" t="s">
        <v>31727</v>
      </c>
      <c r="K13307" t="s">
        <v>41184</v>
      </c>
      <c r="M13307" t="s">
        <v>43672</v>
      </c>
      <c r="N13307" t="s">
        <v>45095</v>
      </c>
      <c r="O13307" t="s">
        <v>45096</v>
      </c>
      <c r="P13307">
        <v>0</v>
      </c>
      <c r="Q13307">
        <v>0</v>
      </c>
      <c r="R13307" t="s">
        <v>45115</v>
      </c>
      <c r="S13307" t="s">
        <v>45845</v>
      </c>
      <c r="T13307" t="s">
        <v>47050</v>
      </c>
      <c r="U13307" t="s">
        <v>58244</v>
      </c>
      <c r="W13307" t="s">
        <v>43672</v>
      </c>
      <c r="X13307" t="s">
        <v>45117</v>
      </c>
    </row>
    <row r="13308" spans="1:24">
      <c r="A13308">
        <f>HYPERLINK("https://www.philgeps.gov.ph/GEPSNONPILOT/Tender/SplashBidNoticeAbstractUI.aspx?menuIndex=3&amp;refID=7013274&amp;Result=3","7013274")</f>
        <v>0</v>
      </c>
      <c r="B13308" t="s">
        <v>3029</v>
      </c>
      <c r="C13308" t="s">
        <v>15935</v>
      </c>
      <c r="D13308" t="s">
        <v>18029</v>
      </c>
      <c r="E13308" t="s">
        <v>29615</v>
      </c>
      <c r="F13308" t="s">
        <v>31574</v>
      </c>
      <c r="G13308" t="s">
        <v>31582</v>
      </c>
      <c r="H13308" t="s">
        <v>31591</v>
      </c>
      <c r="I13308" t="s">
        <v>8822</v>
      </c>
      <c r="J13308" t="s">
        <v>39921</v>
      </c>
      <c r="K13308" t="s">
        <v>41204</v>
      </c>
      <c r="M13308" t="s">
        <v>44862</v>
      </c>
      <c r="N13308" t="s">
        <v>45095</v>
      </c>
      <c r="O13308" t="s">
        <v>45096</v>
      </c>
      <c r="P13308">
        <v>0</v>
      </c>
      <c r="Q13308">
        <v>0</v>
      </c>
      <c r="R13308" t="s">
        <v>45115</v>
      </c>
      <c r="S13308" t="s">
        <v>45845</v>
      </c>
      <c r="T13308" t="s">
        <v>46985</v>
      </c>
      <c r="U13308" t="s">
        <v>58245</v>
      </c>
      <c r="W13308" t="s">
        <v>44862</v>
      </c>
      <c r="X13308" t="s">
        <v>45117</v>
      </c>
    </row>
    <row r="13309" spans="1:24">
      <c r="A13309">
        <f>HYPERLINK("https://www.philgeps.gov.ph/GEPSNONPILOT/Tender/SplashBidNoticeAbstractUI.aspx?menuIndex=3&amp;refID=7012281&amp;Result=3","7012281")</f>
        <v>0</v>
      </c>
      <c r="B13309" t="s">
        <v>1819</v>
      </c>
      <c r="C13309" t="s">
        <v>15936</v>
      </c>
      <c r="D13309" t="s">
        <v>18027</v>
      </c>
      <c r="E13309" t="s">
        <v>29616</v>
      </c>
      <c r="F13309" t="s">
        <v>31574</v>
      </c>
      <c r="G13309" t="s">
        <v>31582</v>
      </c>
      <c r="H13309" t="s">
        <v>31591</v>
      </c>
      <c r="I13309" t="s">
        <v>8822</v>
      </c>
      <c r="J13309" t="s">
        <v>31935</v>
      </c>
      <c r="K13309" t="s">
        <v>41185</v>
      </c>
      <c r="L13309" t="s">
        <v>1819</v>
      </c>
      <c r="M13309" t="s">
        <v>43454</v>
      </c>
      <c r="N13309" t="s">
        <v>45095</v>
      </c>
      <c r="O13309" t="s">
        <v>45096</v>
      </c>
      <c r="P13309">
        <v>0</v>
      </c>
      <c r="Q13309">
        <v>2</v>
      </c>
      <c r="R13309" t="s">
        <v>45115</v>
      </c>
      <c r="S13309" t="s">
        <v>45845</v>
      </c>
      <c r="T13309" t="s">
        <v>47171</v>
      </c>
      <c r="U13309" t="s">
        <v>58222</v>
      </c>
      <c r="W13309" t="s">
        <v>43454</v>
      </c>
      <c r="X13309" t="s">
        <v>45117</v>
      </c>
    </row>
    <row r="13310" spans="1:24">
      <c r="A13310">
        <f>HYPERLINK("https://www.philgeps.gov.ph/GEPSNONPILOT/Tender/SplashBidNoticeAbstractUI.aspx?menuIndex=3&amp;refID=7013446&amp;Result=3","7013446")</f>
        <v>0</v>
      </c>
      <c r="B13310" t="s">
        <v>2782</v>
      </c>
      <c r="C13310" t="s">
        <v>15937</v>
      </c>
      <c r="D13310" t="s">
        <v>18102</v>
      </c>
      <c r="E13310" t="s">
        <v>29617</v>
      </c>
      <c r="F13310" t="s">
        <v>31574</v>
      </c>
      <c r="G13310" t="s">
        <v>31582</v>
      </c>
      <c r="H13310" t="s">
        <v>31590</v>
      </c>
      <c r="I13310" t="s">
        <v>31620</v>
      </c>
      <c r="J13310" t="s">
        <v>39922</v>
      </c>
      <c r="K13310" t="s">
        <v>41186</v>
      </c>
      <c r="M13310" t="s">
        <v>44557</v>
      </c>
      <c r="N13310" t="s">
        <v>45095</v>
      </c>
      <c r="O13310" t="s">
        <v>45096</v>
      </c>
      <c r="P13310">
        <v>0</v>
      </c>
      <c r="Q13310">
        <v>1</v>
      </c>
      <c r="R13310" t="s">
        <v>45115</v>
      </c>
      <c r="S13310" t="s">
        <v>45845</v>
      </c>
      <c r="T13310" t="s">
        <v>46979</v>
      </c>
      <c r="U13310" t="s">
        <v>58246</v>
      </c>
      <c r="W13310" t="s">
        <v>44557</v>
      </c>
      <c r="X13310" t="s">
        <v>45117</v>
      </c>
    </row>
    <row r="13311" spans="1:24">
      <c r="A13311">
        <f>HYPERLINK("https://www.philgeps.gov.ph/GEPSNONPILOT/Tender/SplashBidNoticeAbstractUI.aspx?menuIndex=3&amp;refID=7013091&amp;Result=3","7013091")</f>
        <v>0</v>
      </c>
      <c r="B13311" t="s">
        <v>3026</v>
      </c>
      <c r="C13311" t="s">
        <v>15938</v>
      </c>
      <c r="D13311" t="s">
        <v>18038</v>
      </c>
      <c r="E13311" t="s">
        <v>29618</v>
      </c>
      <c r="F13311" t="s">
        <v>31574</v>
      </c>
      <c r="G13311" t="s">
        <v>31585</v>
      </c>
      <c r="H13311" t="s">
        <v>31590</v>
      </c>
      <c r="I13311" t="s">
        <v>8822</v>
      </c>
      <c r="J13311" t="s">
        <v>32232</v>
      </c>
      <c r="K13311" t="s">
        <v>41192</v>
      </c>
      <c r="M13311" t="s">
        <v>44859</v>
      </c>
      <c r="N13311" t="s">
        <v>45095</v>
      </c>
      <c r="O13311" t="s">
        <v>45096</v>
      </c>
      <c r="P13311">
        <v>0</v>
      </c>
      <c r="Q13311">
        <v>0</v>
      </c>
      <c r="R13311" t="s">
        <v>45115</v>
      </c>
      <c r="S13311" t="s">
        <v>45845</v>
      </c>
      <c r="T13311" t="s">
        <v>46991</v>
      </c>
      <c r="U13311" t="s">
        <v>58247</v>
      </c>
      <c r="V13311" t="s">
        <v>60958</v>
      </c>
      <c r="W13311" t="s">
        <v>44859</v>
      </c>
      <c r="X13311" t="s">
        <v>45117</v>
      </c>
    </row>
    <row r="13312" spans="1:24">
      <c r="A13312">
        <f>HYPERLINK("https://www.philgeps.gov.ph/GEPSNONPILOT/Tender/SplashBidNoticeAbstractUI.aspx?menuIndex=3&amp;refID=7013136&amp;Result=3","7013136")</f>
        <v>0</v>
      </c>
      <c r="B13312" t="s">
        <v>3026</v>
      </c>
      <c r="C13312" t="s">
        <v>15939</v>
      </c>
      <c r="D13312" t="s">
        <v>18038</v>
      </c>
      <c r="E13312" t="s">
        <v>29619</v>
      </c>
      <c r="F13312" t="s">
        <v>31574</v>
      </c>
      <c r="G13312" t="s">
        <v>31585</v>
      </c>
      <c r="H13312" t="s">
        <v>31591</v>
      </c>
      <c r="I13312" t="s">
        <v>8822</v>
      </c>
      <c r="J13312" t="s">
        <v>32049</v>
      </c>
      <c r="K13312" t="s">
        <v>41192</v>
      </c>
      <c r="M13312" t="s">
        <v>44859</v>
      </c>
      <c r="N13312" t="s">
        <v>45095</v>
      </c>
      <c r="O13312" t="s">
        <v>45096</v>
      </c>
      <c r="P13312">
        <v>0</v>
      </c>
      <c r="Q13312">
        <v>0</v>
      </c>
      <c r="R13312" t="s">
        <v>45115</v>
      </c>
      <c r="S13312" t="s">
        <v>45845</v>
      </c>
      <c r="T13312" t="s">
        <v>46991</v>
      </c>
      <c r="U13312" t="s">
        <v>58248</v>
      </c>
      <c r="V13312" t="s">
        <v>60958</v>
      </c>
      <c r="W13312" t="s">
        <v>44859</v>
      </c>
      <c r="X13312" t="s">
        <v>45117</v>
      </c>
    </row>
    <row r="13313" spans="1:24">
      <c r="A13313">
        <f>HYPERLINK("https://www.philgeps.gov.ph/GEPSNONPILOT/Tender/SplashBidNoticeAbstractUI.aspx?menuIndex=3&amp;refID=7013679&amp;Result=3","7013679")</f>
        <v>0</v>
      </c>
      <c r="B13313" t="s">
        <v>2782</v>
      </c>
      <c r="C13313" t="s">
        <v>15940</v>
      </c>
      <c r="D13313" t="s">
        <v>18102</v>
      </c>
      <c r="E13313" t="s">
        <v>29620</v>
      </c>
      <c r="F13313" t="s">
        <v>31574</v>
      </c>
      <c r="G13313" t="s">
        <v>31582</v>
      </c>
      <c r="H13313" t="s">
        <v>31590</v>
      </c>
      <c r="I13313" t="s">
        <v>14544</v>
      </c>
      <c r="J13313" t="s">
        <v>39923</v>
      </c>
      <c r="K13313" t="s">
        <v>41186</v>
      </c>
      <c r="M13313" t="s">
        <v>44557</v>
      </c>
      <c r="N13313" t="s">
        <v>45095</v>
      </c>
      <c r="O13313" t="s">
        <v>45096</v>
      </c>
      <c r="P13313">
        <v>0</v>
      </c>
      <c r="Q13313">
        <v>1</v>
      </c>
      <c r="R13313" t="s">
        <v>45115</v>
      </c>
      <c r="S13313" t="s">
        <v>45845</v>
      </c>
      <c r="T13313" t="s">
        <v>46979</v>
      </c>
      <c r="U13313" t="s">
        <v>58249</v>
      </c>
      <c r="W13313" t="s">
        <v>44557</v>
      </c>
      <c r="X13313" t="s">
        <v>45117</v>
      </c>
    </row>
    <row r="13314" spans="1:24">
      <c r="A13314">
        <f>HYPERLINK("https://www.philgeps.gov.ph/GEPSNONPILOT/Tender/SplashBidNoticeAbstractUI.aspx?menuIndex=3&amp;refID=7013851&amp;Result=3","7013851")</f>
        <v>0</v>
      </c>
      <c r="B13314" t="s">
        <v>3030</v>
      </c>
      <c r="C13314" t="s">
        <v>15941</v>
      </c>
      <c r="D13314" t="s">
        <v>18041</v>
      </c>
      <c r="E13314" t="s">
        <v>29621</v>
      </c>
      <c r="F13314" t="s">
        <v>31574</v>
      </c>
      <c r="G13314" t="s">
        <v>31582</v>
      </c>
      <c r="H13314" t="s">
        <v>31590</v>
      </c>
      <c r="I13314" t="s">
        <v>31615</v>
      </c>
      <c r="J13314" t="s">
        <v>32026</v>
      </c>
      <c r="K13314" t="s">
        <v>41184</v>
      </c>
      <c r="M13314" t="s">
        <v>44863</v>
      </c>
      <c r="N13314" t="s">
        <v>45095</v>
      </c>
      <c r="O13314" t="s">
        <v>45096</v>
      </c>
      <c r="P13314">
        <v>0</v>
      </c>
      <c r="Q13314">
        <v>4</v>
      </c>
      <c r="R13314" t="s">
        <v>45115</v>
      </c>
      <c r="S13314" t="s">
        <v>45845</v>
      </c>
      <c r="T13314" t="s">
        <v>46962</v>
      </c>
      <c r="U13314" t="s">
        <v>58250</v>
      </c>
      <c r="V13314" t="s">
        <v>61311</v>
      </c>
      <c r="W13314" t="s">
        <v>44863</v>
      </c>
      <c r="X13314" t="s">
        <v>45117</v>
      </c>
    </row>
    <row r="13315" spans="1:24">
      <c r="A13315">
        <f>HYPERLINK("https://www.philgeps.gov.ph/GEPSNONPILOT/Tender/SplashBidNoticeAbstractUI.aspx?menuIndex=3&amp;refID=7013571&amp;Result=3","7013571")</f>
        <v>0</v>
      </c>
      <c r="B13315" t="s">
        <v>3031</v>
      </c>
      <c r="C13315" t="s">
        <v>15942</v>
      </c>
      <c r="D13315" t="s">
        <v>18056</v>
      </c>
      <c r="E13315" t="s">
        <v>29622</v>
      </c>
      <c r="F13315" t="s">
        <v>31574</v>
      </c>
      <c r="G13315" t="s">
        <v>31582</v>
      </c>
      <c r="H13315" t="s">
        <v>31591</v>
      </c>
      <c r="I13315" t="s">
        <v>31630</v>
      </c>
      <c r="J13315" t="s">
        <v>39924</v>
      </c>
      <c r="K13315" t="s">
        <v>41186</v>
      </c>
      <c r="M13315" t="s">
        <v>44864</v>
      </c>
      <c r="N13315" t="s">
        <v>45095</v>
      </c>
      <c r="O13315" t="s">
        <v>45096</v>
      </c>
      <c r="Q13315">
        <v>7</v>
      </c>
      <c r="R13315" t="s">
        <v>45115</v>
      </c>
      <c r="S13315" t="s">
        <v>45855</v>
      </c>
      <c r="T13315" t="s">
        <v>46979</v>
      </c>
      <c r="U13315" t="s">
        <v>58251</v>
      </c>
      <c r="W13315" t="s">
        <v>44864</v>
      </c>
      <c r="X13315" t="s">
        <v>45117</v>
      </c>
    </row>
    <row r="13316" spans="1:24">
      <c r="A13316">
        <f>HYPERLINK("https://www.philgeps.gov.ph/GEPSNONPILOT/Tender/SplashBidNoticeAbstractUI.aspx?menuIndex=3&amp;refID=7013880&amp;Result=3","7013880")</f>
        <v>0</v>
      </c>
      <c r="B13316" t="s">
        <v>3026</v>
      </c>
      <c r="C13316" t="s">
        <v>15943</v>
      </c>
      <c r="D13316" t="s">
        <v>18038</v>
      </c>
      <c r="E13316" t="s">
        <v>29623</v>
      </c>
      <c r="F13316" t="s">
        <v>31574</v>
      </c>
      <c r="G13316" t="s">
        <v>31582</v>
      </c>
      <c r="H13316" t="s">
        <v>31590</v>
      </c>
      <c r="I13316" t="s">
        <v>3539</v>
      </c>
      <c r="J13316" t="s">
        <v>31728</v>
      </c>
      <c r="K13316" t="s">
        <v>41186</v>
      </c>
      <c r="M13316" t="s">
        <v>44859</v>
      </c>
      <c r="N13316" t="s">
        <v>45095</v>
      </c>
      <c r="O13316" t="s">
        <v>45096</v>
      </c>
      <c r="P13316">
        <v>0</v>
      </c>
      <c r="Q13316">
        <v>0</v>
      </c>
      <c r="R13316" t="s">
        <v>45115</v>
      </c>
      <c r="S13316" t="s">
        <v>45845</v>
      </c>
      <c r="T13316" t="s">
        <v>46991</v>
      </c>
      <c r="U13316" t="s">
        <v>58252</v>
      </c>
      <c r="V13316" t="s">
        <v>60127</v>
      </c>
      <c r="W13316" t="s">
        <v>44859</v>
      </c>
      <c r="X13316" t="s">
        <v>45117</v>
      </c>
    </row>
    <row r="13317" spans="1:24">
      <c r="A13317">
        <f>HYPERLINK("https://www.philgeps.gov.ph/GEPSNONPILOT/Tender/SplashBidNoticeAbstractUI.aspx?menuIndex=3&amp;refID=7013565&amp;Result=3","7013565")</f>
        <v>0</v>
      </c>
      <c r="B13317" t="s">
        <v>1302</v>
      </c>
      <c r="C13317" t="s">
        <v>15944</v>
      </c>
      <c r="D13317" t="s">
        <v>18076</v>
      </c>
      <c r="E13317" t="s">
        <v>29624</v>
      </c>
      <c r="F13317" t="s">
        <v>31574</v>
      </c>
      <c r="G13317" t="s">
        <v>31582</v>
      </c>
      <c r="H13317" t="s">
        <v>31590</v>
      </c>
      <c r="I13317" t="s">
        <v>31608</v>
      </c>
      <c r="J13317" t="s">
        <v>35765</v>
      </c>
      <c r="K13317" t="s">
        <v>41185</v>
      </c>
      <c r="M13317" t="s">
        <v>42872</v>
      </c>
      <c r="N13317" t="s">
        <v>45095</v>
      </c>
      <c r="O13317" t="s">
        <v>45096</v>
      </c>
      <c r="P13317">
        <v>0</v>
      </c>
      <c r="Q13317">
        <v>12</v>
      </c>
      <c r="R13317" t="s">
        <v>45115</v>
      </c>
      <c r="S13317" t="s">
        <v>45845</v>
      </c>
      <c r="T13317" t="s">
        <v>46945</v>
      </c>
      <c r="U13317" t="s">
        <v>58253</v>
      </c>
      <c r="W13317" t="s">
        <v>42872</v>
      </c>
      <c r="X13317" t="s">
        <v>45117</v>
      </c>
    </row>
    <row r="13318" spans="1:24">
      <c r="A13318">
        <f>HYPERLINK("https://www.philgeps.gov.ph/GEPSNONPILOT/Tender/SplashBidNoticeAbstractUI.aspx?menuIndex=3&amp;refID=7013946&amp;Result=3","7013946")</f>
        <v>0</v>
      </c>
      <c r="B13318" t="s">
        <v>1492</v>
      </c>
      <c r="C13318" t="s">
        <v>15945</v>
      </c>
      <c r="D13318" t="s">
        <v>18072</v>
      </c>
      <c r="E13318" t="s">
        <v>29625</v>
      </c>
      <c r="F13318" t="s">
        <v>31574</v>
      </c>
      <c r="G13318" t="s">
        <v>31582</v>
      </c>
      <c r="H13318" t="s">
        <v>31591</v>
      </c>
      <c r="I13318" t="s">
        <v>8822</v>
      </c>
      <c r="J13318" t="s">
        <v>39925</v>
      </c>
      <c r="K13318" t="s">
        <v>41189</v>
      </c>
      <c r="M13318" t="s">
        <v>43100</v>
      </c>
      <c r="N13318" t="s">
        <v>45095</v>
      </c>
      <c r="O13318" t="s">
        <v>45096</v>
      </c>
      <c r="Q13318">
        <v>1</v>
      </c>
      <c r="R13318" t="s">
        <v>45115</v>
      </c>
      <c r="S13318" t="s">
        <v>45813</v>
      </c>
      <c r="T13318" t="s">
        <v>47301</v>
      </c>
      <c r="U13318" t="s">
        <v>58254</v>
      </c>
      <c r="W13318" t="s">
        <v>43100</v>
      </c>
      <c r="X13318" t="s">
        <v>45117</v>
      </c>
    </row>
    <row r="13319" spans="1:24">
      <c r="A13319">
        <f>HYPERLINK("https://www.philgeps.gov.ph/GEPSNONPILOT/Tender/SplashBidNoticeAbstractUI.aspx?menuIndex=3&amp;refID=7014228&amp;Result=3","7014228")</f>
        <v>0</v>
      </c>
      <c r="B13319" t="s">
        <v>2293</v>
      </c>
      <c r="C13319" t="s">
        <v>15946</v>
      </c>
      <c r="D13319" t="s">
        <v>18057</v>
      </c>
      <c r="E13319" t="s">
        <v>29626</v>
      </c>
      <c r="F13319" t="s">
        <v>31574</v>
      </c>
      <c r="G13319" t="s">
        <v>31582</v>
      </c>
      <c r="H13319" t="s">
        <v>31590</v>
      </c>
      <c r="I13319" t="s">
        <v>4046</v>
      </c>
      <c r="J13319" t="s">
        <v>39926</v>
      </c>
      <c r="K13319" t="s">
        <v>41186</v>
      </c>
      <c r="M13319" t="s">
        <v>44002</v>
      </c>
      <c r="N13319" t="s">
        <v>45095</v>
      </c>
      <c r="O13319" t="s">
        <v>45096</v>
      </c>
      <c r="Q13319">
        <v>2</v>
      </c>
      <c r="R13319" t="s">
        <v>45115</v>
      </c>
      <c r="S13319" t="s">
        <v>45436</v>
      </c>
      <c r="T13319" t="s">
        <v>46973</v>
      </c>
      <c r="U13319" t="s">
        <v>58255</v>
      </c>
      <c r="V13319" t="s">
        <v>60691</v>
      </c>
      <c r="W13319" t="s">
        <v>44002</v>
      </c>
      <c r="X13319" t="s">
        <v>45117</v>
      </c>
    </row>
    <row r="13320" spans="1:24">
      <c r="A13320">
        <f>HYPERLINK("https://www.philgeps.gov.ph/GEPSNONPILOT/Tender/SplashBidNoticeAbstractUI.aspx?menuIndex=3&amp;refID=7014312&amp;Result=3","7014312")</f>
        <v>0</v>
      </c>
      <c r="B13320" t="s">
        <v>2778</v>
      </c>
      <c r="C13320" t="s">
        <v>15947</v>
      </c>
      <c r="D13320" t="s">
        <v>18053</v>
      </c>
      <c r="E13320" t="s">
        <v>29627</v>
      </c>
      <c r="F13320" t="s">
        <v>31574</v>
      </c>
      <c r="G13320" t="s">
        <v>31582</v>
      </c>
      <c r="H13320" t="s">
        <v>31591</v>
      </c>
      <c r="I13320" t="s">
        <v>8822</v>
      </c>
      <c r="J13320" t="s">
        <v>39927</v>
      </c>
      <c r="K13320" t="s">
        <v>41365</v>
      </c>
      <c r="M13320" t="s">
        <v>44553</v>
      </c>
      <c r="N13320" t="s">
        <v>45095</v>
      </c>
      <c r="O13320" t="s">
        <v>45096</v>
      </c>
      <c r="P13320">
        <v>0</v>
      </c>
      <c r="Q13320">
        <v>1</v>
      </c>
      <c r="R13320" t="s">
        <v>45115</v>
      </c>
      <c r="S13320" t="s">
        <v>45845</v>
      </c>
      <c r="T13320" t="s">
        <v>47154</v>
      </c>
      <c r="U13320" t="s">
        <v>58256</v>
      </c>
      <c r="W13320" t="s">
        <v>44553</v>
      </c>
      <c r="X13320" t="s">
        <v>45116</v>
      </c>
    </row>
    <row r="13321" spans="1:24">
      <c r="A13321">
        <f>HYPERLINK("https://www.philgeps.gov.ph/GEPSNONPILOT/Tender/SplashBidNoticeAbstractUI.aspx?menuIndex=3&amp;refID=7014311&amp;Result=3","7014311")</f>
        <v>0</v>
      </c>
      <c r="B13321" t="s">
        <v>2778</v>
      </c>
      <c r="C13321" t="s">
        <v>15948</v>
      </c>
      <c r="D13321" t="s">
        <v>18053</v>
      </c>
      <c r="E13321" t="s">
        <v>29628</v>
      </c>
      <c r="F13321" t="s">
        <v>31574</v>
      </c>
      <c r="G13321" t="s">
        <v>31582</v>
      </c>
      <c r="H13321" t="s">
        <v>31591</v>
      </c>
      <c r="I13321" t="s">
        <v>8822</v>
      </c>
      <c r="J13321" t="s">
        <v>39928</v>
      </c>
      <c r="K13321" t="s">
        <v>41246</v>
      </c>
      <c r="M13321" t="s">
        <v>44553</v>
      </c>
      <c r="N13321" t="s">
        <v>45095</v>
      </c>
      <c r="O13321" t="s">
        <v>45096</v>
      </c>
      <c r="P13321">
        <v>0</v>
      </c>
      <c r="Q13321">
        <v>0</v>
      </c>
      <c r="R13321" t="s">
        <v>45115</v>
      </c>
      <c r="S13321" t="s">
        <v>45845</v>
      </c>
      <c r="T13321" t="s">
        <v>47154</v>
      </c>
      <c r="U13321" t="s">
        <v>58257</v>
      </c>
      <c r="W13321" t="s">
        <v>44553</v>
      </c>
      <c r="X13321" t="s">
        <v>45116</v>
      </c>
    </row>
    <row r="13322" spans="1:24">
      <c r="A13322">
        <f>HYPERLINK("https://www.philgeps.gov.ph/GEPSNONPILOT/Tender/SplashBidNoticeAbstractUI.aspx?menuIndex=3&amp;refID=7013890&amp;Result=3","7013890")</f>
        <v>0</v>
      </c>
      <c r="B13322" t="s">
        <v>231</v>
      </c>
      <c r="C13322" t="s">
        <v>15949</v>
      </c>
      <c r="D13322" t="s">
        <v>18088</v>
      </c>
      <c r="E13322" t="s">
        <v>29629</v>
      </c>
      <c r="F13322" t="s">
        <v>31574</v>
      </c>
      <c r="G13322" t="s">
        <v>31582</v>
      </c>
      <c r="H13322" t="s">
        <v>31591</v>
      </c>
      <c r="I13322" t="s">
        <v>8822</v>
      </c>
      <c r="J13322" t="s">
        <v>39929</v>
      </c>
      <c r="K13322" t="s">
        <v>41241</v>
      </c>
      <c r="M13322" t="s">
        <v>41716</v>
      </c>
      <c r="N13322" t="s">
        <v>45095</v>
      </c>
      <c r="O13322" t="s">
        <v>45096</v>
      </c>
      <c r="P13322">
        <v>0</v>
      </c>
      <c r="Q13322">
        <v>0</v>
      </c>
      <c r="R13322" t="s">
        <v>45115</v>
      </c>
      <c r="S13322" t="s">
        <v>45845</v>
      </c>
      <c r="T13322" t="s">
        <v>46926</v>
      </c>
      <c r="U13322" t="s">
        <v>58258</v>
      </c>
      <c r="W13322" t="s">
        <v>41716</v>
      </c>
      <c r="X13322" t="s">
        <v>45117</v>
      </c>
    </row>
    <row r="13323" spans="1:24">
      <c r="A13323">
        <f>HYPERLINK("https://www.philgeps.gov.ph/GEPSNONPILOT/Tender/SplashBidNoticeAbstractUI.aspx?menuIndex=3&amp;refID=7014224&amp;Result=3","7014224")</f>
        <v>0</v>
      </c>
      <c r="B13323" t="s">
        <v>2293</v>
      </c>
      <c r="C13323" t="s">
        <v>15950</v>
      </c>
      <c r="D13323" t="s">
        <v>18057</v>
      </c>
      <c r="E13323" t="s">
        <v>29630</v>
      </c>
      <c r="F13323" t="s">
        <v>31574</v>
      </c>
      <c r="G13323" t="s">
        <v>31582</v>
      </c>
      <c r="H13323" t="s">
        <v>31590</v>
      </c>
      <c r="I13323" t="s">
        <v>4046</v>
      </c>
      <c r="J13323" t="s">
        <v>36444</v>
      </c>
      <c r="K13323" t="s">
        <v>41196</v>
      </c>
      <c r="M13323" t="s">
        <v>44002</v>
      </c>
      <c r="N13323" t="s">
        <v>45095</v>
      </c>
      <c r="O13323" t="s">
        <v>45096</v>
      </c>
      <c r="Q13323">
        <v>1</v>
      </c>
      <c r="R13323" t="s">
        <v>45115</v>
      </c>
      <c r="S13323" t="s">
        <v>45524</v>
      </c>
      <c r="T13323" t="s">
        <v>46973</v>
      </c>
      <c r="U13323" t="s">
        <v>58259</v>
      </c>
      <c r="V13323" t="s">
        <v>60691</v>
      </c>
      <c r="W13323" t="s">
        <v>44002</v>
      </c>
      <c r="X13323" t="s">
        <v>45117</v>
      </c>
    </row>
    <row r="13324" spans="1:24">
      <c r="A13324">
        <f>HYPERLINK("https://www.philgeps.gov.ph/GEPSNONPILOT/Tender/SplashBidNoticeAbstractUI.aspx?menuIndex=3&amp;refID=7013908&amp;Result=3","7013908")</f>
        <v>0</v>
      </c>
      <c r="B13324" t="s">
        <v>3026</v>
      </c>
      <c r="C13324" t="s">
        <v>15951</v>
      </c>
      <c r="D13324" t="s">
        <v>18038</v>
      </c>
      <c r="E13324" t="s">
        <v>29631</v>
      </c>
      <c r="F13324" t="s">
        <v>31574</v>
      </c>
      <c r="G13324" t="s">
        <v>31582</v>
      </c>
      <c r="H13324" t="s">
        <v>31590</v>
      </c>
      <c r="I13324" t="s">
        <v>6800</v>
      </c>
      <c r="J13324" t="s">
        <v>31741</v>
      </c>
      <c r="K13324" t="s">
        <v>41186</v>
      </c>
      <c r="M13324" t="s">
        <v>44859</v>
      </c>
      <c r="N13324" t="s">
        <v>45095</v>
      </c>
      <c r="O13324" t="s">
        <v>45096</v>
      </c>
      <c r="Q13324">
        <v>2</v>
      </c>
      <c r="R13324" t="s">
        <v>45115</v>
      </c>
      <c r="S13324" t="s">
        <v>45856</v>
      </c>
      <c r="T13324" t="s">
        <v>46991</v>
      </c>
      <c r="U13324" t="s">
        <v>58260</v>
      </c>
      <c r="V13324" t="s">
        <v>60127</v>
      </c>
      <c r="W13324" t="s">
        <v>44859</v>
      </c>
      <c r="X13324" t="s">
        <v>45117</v>
      </c>
    </row>
    <row r="13325" spans="1:24">
      <c r="A13325">
        <f>HYPERLINK("https://www.philgeps.gov.ph/GEPSNONPILOT/Tender/SplashBidNoticeAbstractUI.aspx?menuIndex=3&amp;refID=7013961&amp;Result=3","7013961")</f>
        <v>0</v>
      </c>
      <c r="B13325" t="s">
        <v>2782</v>
      </c>
      <c r="C13325" t="s">
        <v>15940</v>
      </c>
      <c r="D13325" t="s">
        <v>18102</v>
      </c>
      <c r="E13325" t="s">
        <v>29632</v>
      </c>
      <c r="F13325" t="s">
        <v>31574</v>
      </c>
      <c r="G13325" t="s">
        <v>31582</v>
      </c>
      <c r="H13325" t="s">
        <v>31590</v>
      </c>
      <c r="I13325" t="s">
        <v>14544</v>
      </c>
      <c r="J13325" t="s">
        <v>39930</v>
      </c>
      <c r="K13325" t="s">
        <v>41186</v>
      </c>
      <c r="M13325" t="s">
        <v>44557</v>
      </c>
      <c r="N13325" t="s">
        <v>45095</v>
      </c>
      <c r="O13325" t="s">
        <v>45096</v>
      </c>
      <c r="P13325">
        <v>0</v>
      </c>
      <c r="Q13325">
        <v>1</v>
      </c>
      <c r="R13325" t="s">
        <v>45115</v>
      </c>
      <c r="S13325" t="s">
        <v>45845</v>
      </c>
      <c r="T13325" t="s">
        <v>46979</v>
      </c>
      <c r="U13325" t="s">
        <v>58261</v>
      </c>
      <c r="W13325" t="s">
        <v>44557</v>
      </c>
      <c r="X13325" t="s">
        <v>45117</v>
      </c>
    </row>
    <row r="13326" spans="1:24">
      <c r="A13326">
        <f>HYPERLINK("https://www.philgeps.gov.ph/GEPSNONPILOT/Tender/SplashBidNoticeAbstractUI.aspx?menuIndex=3&amp;refID=7013831&amp;Result=3","7013831")</f>
        <v>0</v>
      </c>
      <c r="B13326" t="s">
        <v>231</v>
      </c>
      <c r="C13326" t="s">
        <v>15952</v>
      </c>
      <c r="D13326" t="s">
        <v>18088</v>
      </c>
      <c r="E13326" t="s">
        <v>29633</v>
      </c>
      <c r="F13326" t="s">
        <v>31574</v>
      </c>
      <c r="G13326" t="s">
        <v>31582</v>
      </c>
      <c r="H13326" t="s">
        <v>31591</v>
      </c>
      <c r="I13326" t="s">
        <v>8822</v>
      </c>
      <c r="J13326" t="s">
        <v>39931</v>
      </c>
      <c r="K13326" t="s">
        <v>41185</v>
      </c>
      <c r="M13326" t="s">
        <v>41716</v>
      </c>
      <c r="N13326" t="s">
        <v>45095</v>
      </c>
      <c r="O13326" t="s">
        <v>45096</v>
      </c>
      <c r="P13326">
        <v>0</v>
      </c>
      <c r="Q13326">
        <v>0</v>
      </c>
      <c r="R13326" t="s">
        <v>45115</v>
      </c>
      <c r="S13326" t="s">
        <v>45845</v>
      </c>
      <c r="T13326" t="s">
        <v>46926</v>
      </c>
      <c r="U13326" t="s">
        <v>58262</v>
      </c>
      <c r="W13326" t="s">
        <v>41716</v>
      </c>
      <c r="X13326" t="s">
        <v>45117</v>
      </c>
    </row>
    <row r="13327" spans="1:24">
      <c r="A13327">
        <f>HYPERLINK("https://www.philgeps.gov.ph/GEPSNONPILOT/Tender/SplashBidNoticeAbstractUI.aspx?menuIndex=3&amp;refID=7014350&amp;Result=3","7014350")</f>
        <v>0</v>
      </c>
      <c r="B13327" t="s">
        <v>2939</v>
      </c>
      <c r="C13327" t="s">
        <v>15953</v>
      </c>
      <c r="E13327" t="s">
        <v>29634</v>
      </c>
      <c r="F13327" t="s">
        <v>31574</v>
      </c>
      <c r="G13327" t="s">
        <v>31582</v>
      </c>
      <c r="H13327" t="s">
        <v>31591</v>
      </c>
      <c r="I13327" t="s">
        <v>8822</v>
      </c>
      <c r="J13327" t="s">
        <v>35596</v>
      </c>
      <c r="K13327" t="s">
        <v>41217</v>
      </c>
      <c r="M13327" t="s">
        <v>44753</v>
      </c>
      <c r="N13327" t="s">
        <v>45095</v>
      </c>
      <c r="O13327" t="s">
        <v>45096</v>
      </c>
      <c r="P13327">
        <v>0</v>
      </c>
      <c r="Q13327">
        <v>5</v>
      </c>
      <c r="R13327" t="s">
        <v>45115</v>
      </c>
      <c r="S13327" t="s">
        <v>45845</v>
      </c>
      <c r="T13327" t="s">
        <v>46982</v>
      </c>
      <c r="U13327" t="s">
        <v>58263</v>
      </c>
      <c r="W13327" t="s">
        <v>44753</v>
      </c>
      <c r="X13327" t="s">
        <v>45116</v>
      </c>
    </row>
    <row r="13328" spans="1:24">
      <c r="A13328">
        <f>HYPERLINK("https://www.philgeps.gov.ph/GEPSNONPILOT/Tender/SplashBidNoticeAbstractUI.aspx?menuIndex=3&amp;refID=7014218&amp;Result=3","7014218")</f>
        <v>0</v>
      </c>
      <c r="B13328" t="s">
        <v>2293</v>
      </c>
      <c r="C13328" t="s">
        <v>15954</v>
      </c>
      <c r="D13328" t="s">
        <v>18057</v>
      </c>
      <c r="E13328" t="s">
        <v>29635</v>
      </c>
      <c r="F13328" t="s">
        <v>31574</v>
      </c>
      <c r="G13328" t="s">
        <v>31582</v>
      </c>
      <c r="H13328" t="s">
        <v>31590</v>
      </c>
      <c r="I13328" t="s">
        <v>4046</v>
      </c>
      <c r="J13328" t="s">
        <v>39932</v>
      </c>
      <c r="K13328" t="s">
        <v>41196</v>
      </c>
      <c r="M13328" t="s">
        <v>44002</v>
      </c>
      <c r="N13328" t="s">
        <v>45095</v>
      </c>
      <c r="O13328" t="s">
        <v>45096</v>
      </c>
      <c r="Q13328">
        <v>2</v>
      </c>
      <c r="R13328" t="s">
        <v>45115</v>
      </c>
      <c r="S13328" t="s">
        <v>45517</v>
      </c>
      <c r="T13328" t="s">
        <v>46973</v>
      </c>
      <c r="U13328" t="s">
        <v>58264</v>
      </c>
      <c r="V13328" t="s">
        <v>60691</v>
      </c>
      <c r="W13328" t="s">
        <v>44002</v>
      </c>
      <c r="X13328" t="s">
        <v>45117</v>
      </c>
    </row>
    <row r="13329" spans="1:24">
      <c r="A13329">
        <f>HYPERLINK("https://www.philgeps.gov.ph/GEPSNONPILOT/Tender/SplashBidNoticeAbstractUI.aspx?menuIndex=3&amp;refID=7014351&amp;Result=3","7014351")</f>
        <v>0</v>
      </c>
      <c r="B13329" t="s">
        <v>2077</v>
      </c>
      <c r="C13329" t="s">
        <v>15955</v>
      </c>
      <c r="D13329" t="s">
        <v>18089</v>
      </c>
      <c r="E13329" t="s">
        <v>29636</v>
      </c>
      <c r="F13329" t="s">
        <v>31574</v>
      </c>
      <c r="G13329" t="s">
        <v>31582</v>
      </c>
      <c r="H13329" t="s">
        <v>31590</v>
      </c>
      <c r="I13329" t="s">
        <v>31619</v>
      </c>
      <c r="J13329" t="s">
        <v>31947</v>
      </c>
      <c r="K13329" t="s">
        <v>41186</v>
      </c>
      <c r="M13329" t="s">
        <v>43752</v>
      </c>
      <c r="N13329" t="s">
        <v>45095</v>
      </c>
      <c r="O13329" t="s">
        <v>45096</v>
      </c>
      <c r="P13329">
        <v>0</v>
      </c>
      <c r="Q13329">
        <v>3</v>
      </c>
      <c r="R13329" t="s">
        <v>45115</v>
      </c>
      <c r="S13329" t="s">
        <v>45845</v>
      </c>
      <c r="T13329" t="s">
        <v>46977</v>
      </c>
      <c r="U13329" t="s">
        <v>58265</v>
      </c>
      <c r="W13329" t="s">
        <v>43752</v>
      </c>
      <c r="X13329" t="s">
        <v>45116</v>
      </c>
    </row>
    <row r="13330" spans="1:24">
      <c r="A13330">
        <f>HYPERLINK("https://www.philgeps.gov.ph/GEPSNONPILOT/Tender/SplashBidNoticeAbstractUI.aspx?menuIndex=3&amp;refID=7014335&amp;Result=3","7014335")</f>
        <v>0</v>
      </c>
      <c r="B13330" t="s">
        <v>2782</v>
      </c>
      <c r="C13330" t="s">
        <v>13508</v>
      </c>
      <c r="D13330" t="s">
        <v>18102</v>
      </c>
      <c r="E13330" t="s">
        <v>29637</v>
      </c>
      <c r="F13330" t="s">
        <v>31574</v>
      </c>
      <c r="G13330" t="s">
        <v>31582</v>
      </c>
      <c r="H13330" t="s">
        <v>31590</v>
      </c>
      <c r="I13330" t="s">
        <v>31602</v>
      </c>
      <c r="J13330" t="s">
        <v>31771</v>
      </c>
      <c r="K13330" t="s">
        <v>41186</v>
      </c>
      <c r="M13330" t="s">
        <v>44557</v>
      </c>
      <c r="N13330" t="s">
        <v>45095</v>
      </c>
      <c r="O13330" t="s">
        <v>45096</v>
      </c>
      <c r="P13330">
        <v>0</v>
      </c>
      <c r="Q13330">
        <v>0</v>
      </c>
      <c r="R13330" t="s">
        <v>45115</v>
      </c>
      <c r="S13330" t="s">
        <v>45845</v>
      </c>
      <c r="T13330" t="s">
        <v>46979</v>
      </c>
      <c r="U13330" t="s">
        <v>58266</v>
      </c>
      <c r="W13330" t="s">
        <v>44557</v>
      </c>
      <c r="X13330" t="s">
        <v>45116</v>
      </c>
    </row>
    <row r="13331" spans="1:24">
      <c r="A13331">
        <f>HYPERLINK("https://www.philgeps.gov.ph/GEPSNONPILOT/Tender/SplashBidNoticeAbstractUI.aspx?menuIndex=3&amp;refID=7014354&amp;Result=3","7014354")</f>
        <v>0</v>
      </c>
      <c r="B13331" t="s">
        <v>2611</v>
      </c>
      <c r="C13331" t="s">
        <v>15956</v>
      </c>
      <c r="D13331" t="s">
        <v>18065</v>
      </c>
      <c r="E13331" t="s">
        <v>29638</v>
      </c>
      <c r="F13331" t="s">
        <v>31574</v>
      </c>
      <c r="G13331" t="s">
        <v>31582</v>
      </c>
      <c r="H13331" t="s">
        <v>31591</v>
      </c>
      <c r="I13331" t="s">
        <v>8822</v>
      </c>
      <c r="J13331" t="s">
        <v>39933</v>
      </c>
      <c r="K13331" t="s">
        <v>41461</v>
      </c>
      <c r="M13331" t="s">
        <v>44357</v>
      </c>
      <c r="N13331" t="s">
        <v>45095</v>
      </c>
      <c r="O13331" t="s">
        <v>45096</v>
      </c>
      <c r="P13331">
        <v>0</v>
      </c>
      <c r="Q13331">
        <v>9</v>
      </c>
      <c r="R13331" t="s">
        <v>45115</v>
      </c>
      <c r="S13331" t="s">
        <v>45845</v>
      </c>
      <c r="T13331" t="s">
        <v>47003</v>
      </c>
      <c r="U13331" t="s">
        <v>58267</v>
      </c>
      <c r="V13331" t="s">
        <v>61007</v>
      </c>
      <c r="W13331" t="s">
        <v>61747</v>
      </c>
      <c r="X13331" t="s">
        <v>45116</v>
      </c>
    </row>
    <row r="13332" spans="1:24">
      <c r="A13332">
        <f>HYPERLINK("https://www.philgeps.gov.ph/GEPSNONPILOT/Tender/SplashBidNoticeAbstractUI.aspx?menuIndex=3&amp;refID=7014317&amp;Result=3","7014317")</f>
        <v>0</v>
      </c>
      <c r="B13332" t="s">
        <v>2778</v>
      </c>
      <c r="C13332" t="s">
        <v>15957</v>
      </c>
      <c r="D13332" t="s">
        <v>18053</v>
      </c>
      <c r="E13332" t="s">
        <v>29639</v>
      </c>
      <c r="F13332" t="s">
        <v>31574</v>
      </c>
      <c r="G13332" t="s">
        <v>31582</v>
      </c>
      <c r="H13332" t="s">
        <v>31591</v>
      </c>
      <c r="I13332" t="s">
        <v>31642</v>
      </c>
      <c r="J13332" t="s">
        <v>32510</v>
      </c>
      <c r="K13332" t="s">
        <v>41196</v>
      </c>
      <c r="M13332" t="s">
        <v>44553</v>
      </c>
      <c r="N13332" t="s">
        <v>45095</v>
      </c>
      <c r="O13332" t="s">
        <v>45096</v>
      </c>
      <c r="P13332">
        <v>0</v>
      </c>
      <c r="Q13332">
        <v>4</v>
      </c>
      <c r="R13332" t="s">
        <v>45115</v>
      </c>
      <c r="S13332" t="s">
        <v>45845</v>
      </c>
      <c r="T13332" t="s">
        <v>47154</v>
      </c>
      <c r="U13332" t="s">
        <v>58268</v>
      </c>
      <c r="W13332" t="s">
        <v>44553</v>
      </c>
      <c r="X13332" t="s">
        <v>45116</v>
      </c>
    </row>
    <row r="13333" spans="1:24">
      <c r="A13333">
        <f>HYPERLINK("https://www.philgeps.gov.ph/GEPSNONPILOT/Tender/SplashBidNoticeAbstractUI.aspx?menuIndex=3&amp;refID=7014367&amp;Result=3","7014367")</f>
        <v>0</v>
      </c>
      <c r="B13333" t="s">
        <v>2455</v>
      </c>
      <c r="C13333" t="s">
        <v>15958</v>
      </c>
      <c r="E13333" t="s">
        <v>29640</v>
      </c>
      <c r="F13333" t="s">
        <v>31574</v>
      </c>
      <c r="G13333" t="s">
        <v>31582</v>
      </c>
      <c r="H13333" t="s">
        <v>31591</v>
      </c>
      <c r="I13333" t="s">
        <v>8822</v>
      </c>
      <c r="J13333" t="s">
        <v>32504</v>
      </c>
      <c r="K13333" t="s">
        <v>41200</v>
      </c>
      <c r="M13333" t="s">
        <v>44184</v>
      </c>
      <c r="N13333" t="s">
        <v>45095</v>
      </c>
      <c r="O13333" t="s">
        <v>45096</v>
      </c>
      <c r="P13333">
        <v>0</v>
      </c>
      <c r="Q13333">
        <v>1</v>
      </c>
      <c r="R13333" t="s">
        <v>45115</v>
      </c>
      <c r="S13333" t="s">
        <v>45845</v>
      </c>
      <c r="T13333" t="s">
        <v>47183</v>
      </c>
      <c r="U13333" t="s">
        <v>51835</v>
      </c>
      <c r="W13333" t="s">
        <v>44184</v>
      </c>
      <c r="X13333" t="s">
        <v>45116</v>
      </c>
    </row>
    <row r="13334" spans="1:24">
      <c r="A13334">
        <f>HYPERLINK("https://www.philgeps.gov.ph/GEPSNONPILOT/Tender/SplashBidNoticeAbstractUI.aspx?menuIndex=3&amp;refID=7014144&amp;Result=3","7014144")</f>
        <v>0</v>
      </c>
      <c r="B13334" t="s">
        <v>1156</v>
      </c>
      <c r="C13334" t="s">
        <v>15959</v>
      </c>
      <c r="D13334" t="s">
        <v>18040</v>
      </c>
      <c r="E13334" t="s">
        <v>29641</v>
      </c>
      <c r="F13334" t="s">
        <v>31574</v>
      </c>
      <c r="G13334" t="s">
        <v>31582</v>
      </c>
      <c r="H13334" t="s">
        <v>31591</v>
      </c>
      <c r="I13334" t="s">
        <v>8822</v>
      </c>
      <c r="J13334" t="s">
        <v>39934</v>
      </c>
      <c r="K13334" t="s">
        <v>41274</v>
      </c>
      <c r="M13334" t="s">
        <v>42713</v>
      </c>
      <c r="N13334" t="s">
        <v>45095</v>
      </c>
      <c r="O13334" t="s">
        <v>45096</v>
      </c>
      <c r="P13334">
        <v>0</v>
      </c>
      <c r="Q13334">
        <v>1</v>
      </c>
      <c r="R13334" t="s">
        <v>45115</v>
      </c>
      <c r="S13334" t="s">
        <v>45845</v>
      </c>
      <c r="T13334" t="s">
        <v>47106</v>
      </c>
      <c r="U13334" t="s">
        <v>58269</v>
      </c>
      <c r="V13334" t="s">
        <v>61312</v>
      </c>
      <c r="W13334" t="s">
        <v>42713</v>
      </c>
      <c r="X13334" t="s">
        <v>45117</v>
      </c>
    </row>
    <row r="13335" spans="1:24">
      <c r="A13335">
        <f>HYPERLINK("https://www.philgeps.gov.ph/GEPSNONPILOT/Tender/SplashBidNoticeAbstractUI.aspx?menuIndex=3&amp;refID=7014315&amp;Result=3","7014315")</f>
        <v>0</v>
      </c>
      <c r="B13335" t="s">
        <v>2778</v>
      </c>
      <c r="C13335" t="s">
        <v>15960</v>
      </c>
      <c r="D13335" t="s">
        <v>18053</v>
      </c>
      <c r="E13335" t="s">
        <v>29642</v>
      </c>
      <c r="F13335" t="s">
        <v>31574</v>
      </c>
      <c r="G13335" t="s">
        <v>31582</v>
      </c>
      <c r="H13335" t="s">
        <v>31591</v>
      </c>
      <c r="I13335" t="s">
        <v>8822</v>
      </c>
      <c r="J13335" t="s">
        <v>39935</v>
      </c>
      <c r="K13335" t="s">
        <v>41287</v>
      </c>
      <c r="M13335" t="s">
        <v>44553</v>
      </c>
      <c r="N13335" t="s">
        <v>45095</v>
      </c>
      <c r="O13335" t="s">
        <v>45096</v>
      </c>
      <c r="P13335">
        <v>0</v>
      </c>
      <c r="Q13335">
        <v>1</v>
      </c>
      <c r="R13335" t="s">
        <v>45115</v>
      </c>
      <c r="S13335" t="s">
        <v>45845</v>
      </c>
      <c r="T13335" t="s">
        <v>47154</v>
      </c>
      <c r="U13335" t="s">
        <v>58270</v>
      </c>
      <c r="W13335" t="s">
        <v>44553</v>
      </c>
      <c r="X13335" t="s">
        <v>45116</v>
      </c>
    </row>
    <row r="13336" spans="1:24">
      <c r="A13336">
        <f>HYPERLINK("https://www.philgeps.gov.ph/GEPSNONPILOT/Tender/SplashBidNoticeAbstractUI.aspx?menuIndex=3&amp;refID=7014037&amp;Result=3","7014037")</f>
        <v>0</v>
      </c>
      <c r="B13336" t="s">
        <v>3032</v>
      </c>
      <c r="C13336" t="s">
        <v>15961</v>
      </c>
      <c r="D13336" t="s">
        <v>18029</v>
      </c>
      <c r="E13336" t="s">
        <v>18629</v>
      </c>
      <c r="F13336" t="s">
        <v>31574</v>
      </c>
      <c r="G13336" t="s">
        <v>31582</v>
      </c>
      <c r="H13336" t="s">
        <v>31590</v>
      </c>
      <c r="I13336" t="s">
        <v>4046</v>
      </c>
      <c r="J13336" t="s">
        <v>39936</v>
      </c>
      <c r="K13336" t="s">
        <v>41198</v>
      </c>
      <c r="M13336" t="s">
        <v>44865</v>
      </c>
      <c r="N13336" t="s">
        <v>45095</v>
      </c>
      <c r="O13336" t="s">
        <v>45096</v>
      </c>
      <c r="P13336">
        <v>0</v>
      </c>
      <c r="Q13336">
        <v>0</v>
      </c>
      <c r="R13336" t="s">
        <v>45115</v>
      </c>
      <c r="S13336" t="s">
        <v>45845</v>
      </c>
      <c r="T13336" t="s">
        <v>46979</v>
      </c>
      <c r="U13336" t="s">
        <v>58271</v>
      </c>
      <c r="W13336" t="s">
        <v>44865</v>
      </c>
      <c r="X13336" t="s">
        <v>45117</v>
      </c>
    </row>
    <row r="13337" spans="1:24">
      <c r="A13337">
        <f>HYPERLINK("https://www.philgeps.gov.ph/GEPSNONPILOT/Tender/SplashBidNoticeAbstractUI.aspx?menuIndex=3&amp;refID=7014319&amp;Result=3","7014319")</f>
        <v>0</v>
      </c>
      <c r="B13337" t="s">
        <v>2068</v>
      </c>
      <c r="C13337" t="s">
        <v>15962</v>
      </c>
      <c r="D13337" t="s">
        <v>18059</v>
      </c>
      <c r="E13337" t="s">
        <v>20900</v>
      </c>
      <c r="F13337" t="s">
        <v>31574</v>
      </c>
      <c r="G13337" t="s">
        <v>31582</v>
      </c>
      <c r="H13337" t="s">
        <v>31590</v>
      </c>
      <c r="I13337" t="s">
        <v>4046</v>
      </c>
      <c r="J13337" t="s">
        <v>39937</v>
      </c>
      <c r="K13337" t="s">
        <v>41186</v>
      </c>
      <c r="M13337" t="s">
        <v>43742</v>
      </c>
      <c r="N13337" t="s">
        <v>45095</v>
      </c>
      <c r="O13337" t="s">
        <v>45096</v>
      </c>
      <c r="P13337">
        <v>0</v>
      </c>
      <c r="Q13337">
        <v>1</v>
      </c>
      <c r="R13337" t="s">
        <v>45115</v>
      </c>
      <c r="S13337" t="s">
        <v>45845</v>
      </c>
      <c r="T13337" t="s">
        <v>47083</v>
      </c>
      <c r="U13337" t="s">
        <v>58272</v>
      </c>
      <c r="W13337" t="s">
        <v>43742</v>
      </c>
      <c r="X13337" t="s">
        <v>45116</v>
      </c>
    </row>
    <row r="13338" spans="1:24">
      <c r="A13338">
        <f>HYPERLINK("https://www.philgeps.gov.ph/GEPSNONPILOT/Tender/SplashBidNoticeAbstractUI.aspx?menuIndex=3&amp;refID=7014374&amp;Result=3","7014374")</f>
        <v>0</v>
      </c>
      <c r="B13338" t="s">
        <v>325</v>
      </c>
      <c r="C13338" t="s">
        <v>15963</v>
      </c>
      <c r="D13338" t="s">
        <v>18022</v>
      </c>
      <c r="E13338" t="s">
        <v>29643</v>
      </c>
      <c r="F13338" t="s">
        <v>31574</v>
      </c>
      <c r="G13338" t="s">
        <v>31582</v>
      </c>
      <c r="H13338" t="s">
        <v>31591</v>
      </c>
      <c r="I13338" t="s">
        <v>8822</v>
      </c>
      <c r="J13338" t="s">
        <v>39938</v>
      </c>
      <c r="K13338" t="s">
        <v>41184</v>
      </c>
      <c r="M13338" t="s">
        <v>41813</v>
      </c>
      <c r="N13338" t="s">
        <v>45095</v>
      </c>
      <c r="O13338" t="s">
        <v>45096</v>
      </c>
      <c r="Q13338">
        <v>17</v>
      </c>
      <c r="R13338" t="s">
        <v>45115</v>
      </c>
      <c r="S13338" t="s">
        <v>45857</v>
      </c>
      <c r="T13338" t="s">
        <v>46913</v>
      </c>
      <c r="U13338" t="s">
        <v>58273</v>
      </c>
      <c r="W13338" t="s">
        <v>41813</v>
      </c>
      <c r="X13338" t="s">
        <v>45116</v>
      </c>
    </row>
    <row r="13339" spans="1:24">
      <c r="A13339">
        <f>HYPERLINK("https://www.philgeps.gov.ph/GEPSNONPILOT/Tender/SplashBidNoticeAbstractUI.aspx?menuIndex=3&amp;refID=7014385&amp;Result=3","7014385")</f>
        <v>0</v>
      </c>
      <c r="B13339" t="s">
        <v>2455</v>
      </c>
      <c r="C13339" t="s">
        <v>15964</v>
      </c>
      <c r="E13339" t="s">
        <v>29644</v>
      </c>
      <c r="F13339" t="s">
        <v>31574</v>
      </c>
      <c r="G13339" t="s">
        <v>31582</v>
      </c>
      <c r="H13339" t="s">
        <v>31591</v>
      </c>
      <c r="I13339" t="s">
        <v>8822</v>
      </c>
      <c r="J13339" t="s">
        <v>34659</v>
      </c>
      <c r="K13339" t="s">
        <v>41189</v>
      </c>
      <c r="M13339" t="s">
        <v>44184</v>
      </c>
      <c r="N13339" t="s">
        <v>45095</v>
      </c>
      <c r="O13339" t="s">
        <v>45096</v>
      </c>
      <c r="P13339">
        <v>0</v>
      </c>
      <c r="Q13339">
        <v>0</v>
      </c>
      <c r="R13339" t="s">
        <v>45115</v>
      </c>
      <c r="S13339" t="s">
        <v>45845</v>
      </c>
      <c r="T13339" t="s">
        <v>47183</v>
      </c>
      <c r="U13339" t="s">
        <v>51835</v>
      </c>
      <c r="W13339" t="s">
        <v>44184</v>
      </c>
      <c r="X13339" t="s">
        <v>45116</v>
      </c>
    </row>
    <row r="13340" spans="1:24">
      <c r="A13340">
        <f>HYPERLINK("https://www.philgeps.gov.ph/GEPSNONPILOT/Tender/SplashBidNoticeAbstractUI.aspx?menuIndex=3&amp;refID=7014313&amp;Result=3","7014313")</f>
        <v>0</v>
      </c>
      <c r="B13340" t="s">
        <v>2778</v>
      </c>
      <c r="C13340" t="s">
        <v>15965</v>
      </c>
      <c r="D13340" t="s">
        <v>18053</v>
      </c>
      <c r="E13340" t="s">
        <v>29645</v>
      </c>
      <c r="F13340" t="s">
        <v>31574</v>
      </c>
      <c r="G13340" t="s">
        <v>31582</v>
      </c>
      <c r="H13340" t="s">
        <v>31591</v>
      </c>
      <c r="I13340" t="s">
        <v>8822</v>
      </c>
      <c r="J13340" t="s">
        <v>39939</v>
      </c>
      <c r="K13340" t="s">
        <v>41316</v>
      </c>
      <c r="M13340" t="s">
        <v>44553</v>
      </c>
      <c r="N13340" t="s">
        <v>45095</v>
      </c>
      <c r="O13340" t="s">
        <v>45096</v>
      </c>
      <c r="P13340">
        <v>0</v>
      </c>
      <c r="Q13340">
        <v>1</v>
      </c>
      <c r="R13340" t="s">
        <v>45115</v>
      </c>
      <c r="S13340" t="s">
        <v>45845</v>
      </c>
      <c r="T13340" t="s">
        <v>47154</v>
      </c>
      <c r="U13340" t="s">
        <v>58274</v>
      </c>
      <c r="W13340" t="s">
        <v>44553</v>
      </c>
      <c r="X13340" t="s">
        <v>45116</v>
      </c>
    </row>
    <row r="13341" spans="1:24">
      <c r="A13341">
        <f>HYPERLINK("https://www.philgeps.gov.ph/GEPSNONPILOT/Tender/SplashBidNoticeAbstractUI.aspx?menuIndex=3&amp;refID=7014320&amp;Result=3","7014320")</f>
        <v>0</v>
      </c>
      <c r="B13341" t="s">
        <v>2068</v>
      </c>
      <c r="C13341" t="s">
        <v>15966</v>
      </c>
      <c r="D13341" t="s">
        <v>18059</v>
      </c>
      <c r="E13341" t="s">
        <v>20898</v>
      </c>
      <c r="F13341" t="s">
        <v>31574</v>
      </c>
      <c r="G13341" t="s">
        <v>31582</v>
      </c>
      <c r="H13341" t="s">
        <v>31590</v>
      </c>
      <c r="I13341" t="s">
        <v>31612</v>
      </c>
      <c r="J13341" t="s">
        <v>39940</v>
      </c>
      <c r="K13341" t="s">
        <v>41186</v>
      </c>
      <c r="M13341" t="s">
        <v>43742</v>
      </c>
      <c r="N13341" t="s">
        <v>45095</v>
      </c>
      <c r="O13341" t="s">
        <v>45096</v>
      </c>
      <c r="P13341">
        <v>0</v>
      </c>
      <c r="Q13341">
        <v>1</v>
      </c>
      <c r="R13341" t="s">
        <v>45115</v>
      </c>
      <c r="S13341" t="s">
        <v>45845</v>
      </c>
      <c r="T13341" t="s">
        <v>47083</v>
      </c>
      <c r="U13341" t="s">
        <v>58275</v>
      </c>
      <c r="W13341" t="s">
        <v>43742</v>
      </c>
      <c r="X13341" t="s">
        <v>45116</v>
      </c>
    </row>
    <row r="13342" spans="1:24">
      <c r="A13342">
        <f>HYPERLINK("https://www.philgeps.gov.ph/GEPSNONPILOT/Tender/SplashBidNoticeAbstractUI.aspx?menuIndex=3&amp;refID=7014397&amp;Result=3","7014397")</f>
        <v>0</v>
      </c>
      <c r="B13342" t="s">
        <v>2611</v>
      </c>
      <c r="C13342" t="s">
        <v>15967</v>
      </c>
      <c r="D13342" t="s">
        <v>18065</v>
      </c>
      <c r="E13342" t="s">
        <v>29646</v>
      </c>
      <c r="F13342" t="s">
        <v>31574</v>
      </c>
      <c r="G13342" t="s">
        <v>31582</v>
      </c>
      <c r="H13342" t="s">
        <v>31591</v>
      </c>
      <c r="I13342" t="s">
        <v>8822</v>
      </c>
      <c r="J13342" t="s">
        <v>37999</v>
      </c>
      <c r="K13342" t="s">
        <v>41462</v>
      </c>
      <c r="M13342" t="s">
        <v>44357</v>
      </c>
      <c r="N13342" t="s">
        <v>45095</v>
      </c>
      <c r="O13342" t="s">
        <v>45096</v>
      </c>
      <c r="P13342">
        <v>0</v>
      </c>
      <c r="Q13342">
        <v>6</v>
      </c>
      <c r="R13342" t="s">
        <v>45115</v>
      </c>
      <c r="S13342" t="s">
        <v>45845</v>
      </c>
      <c r="T13342" t="s">
        <v>47003</v>
      </c>
      <c r="U13342" t="s">
        <v>58276</v>
      </c>
      <c r="V13342" t="s">
        <v>61007</v>
      </c>
      <c r="W13342" t="s">
        <v>61747</v>
      </c>
      <c r="X13342" t="s">
        <v>45116</v>
      </c>
    </row>
    <row r="13343" spans="1:24">
      <c r="A13343">
        <f>HYPERLINK("https://www.philgeps.gov.ph/GEPSNONPILOT/Tender/SplashBidNoticeAbstractUI.aspx?menuIndex=3&amp;refID=7013966&amp;Result=3","7013966")</f>
        <v>0</v>
      </c>
      <c r="B13343" t="s">
        <v>231</v>
      </c>
      <c r="C13343" t="s">
        <v>15968</v>
      </c>
      <c r="D13343" t="s">
        <v>18088</v>
      </c>
      <c r="E13343" t="s">
        <v>29647</v>
      </c>
      <c r="F13343" t="s">
        <v>31574</v>
      </c>
      <c r="G13343" t="s">
        <v>31582</v>
      </c>
      <c r="H13343" t="s">
        <v>31591</v>
      </c>
      <c r="I13343" t="s">
        <v>8822</v>
      </c>
      <c r="J13343" t="s">
        <v>39941</v>
      </c>
      <c r="K13343" t="s">
        <v>41339</v>
      </c>
      <c r="M13343" t="s">
        <v>41716</v>
      </c>
      <c r="N13343" t="s">
        <v>45095</v>
      </c>
      <c r="O13343" t="s">
        <v>45096</v>
      </c>
      <c r="P13343">
        <v>0</v>
      </c>
      <c r="Q13343">
        <v>0</v>
      </c>
      <c r="R13343" t="s">
        <v>45115</v>
      </c>
      <c r="S13343" t="s">
        <v>45845</v>
      </c>
      <c r="T13343" t="s">
        <v>46926</v>
      </c>
      <c r="U13343" t="s">
        <v>58277</v>
      </c>
      <c r="W13343" t="s">
        <v>41716</v>
      </c>
      <c r="X13343" t="s">
        <v>45117</v>
      </c>
    </row>
    <row r="13344" spans="1:24">
      <c r="A13344">
        <f>HYPERLINK("https://www.philgeps.gov.ph/GEPSNONPILOT/Tender/SplashBidNoticeAbstractUI.aspx?menuIndex=3&amp;refID=7014381&amp;Result=3","7014381")</f>
        <v>0</v>
      </c>
      <c r="B13344" t="s">
        <v>2939</v>
      </c>
      <c r="C13344" t="s">
        <v>15969</v>
      </c>
      <c r="E13344" t="s">
        <v>29648</v>
      </c>
      <c r="F13344" t="s">
        <v>31574</v>
      </c>
      <c r="G13344" t="s">
        <v>31582</v>
      </c>
      <c r="H13344" t="s">
        <v>31591</v>
      </c>
      <c r="I13344" t="s">
        <v>8822</v>
      </c>
      <c r="J13344" t="s">
        <v>32101</v>
      </c>
      <c r="K13344" t="s">
        <v>41339</v>
      </c>
      <c r="M13344" t="s">
        <v>44753</v>
      </c>
      <c r="N13344" t="s">
        <v>45095</v>
      </c>
      <c r="O13344" t="s">
        <v>45096</v>
      </c>
      <c r="P13344">
        <v>0</v>
      </c>
      <c r="Q13344">
        <v>2</v>
      </c>
      <c r="R13344" t="s">
        <v>45115</v>
      </c>
      <c r="S13344" t="s">
        <v>45845</v>
      </c>
      <c r="T13344" t="s">
        <v>46982</v>
      </c>
      <c r="U13344" t="s">
        <v>58263</v>
      </c>
      <c r="W13344" t="s">
        <v>44753</v>
      </c>
      <c r="X13344" t="s">
        <v>45116</v>
      </c>
    </row>
    <row r="13345" spans="1:24">
      <c r="A13345">
        <f>HYPERLINK("https://www.philgeps.gov.ph/GEPSNONPILOT/Tender/SplashBidNoticeAbstractUI.aspx?menuIndex=3&amp;refID=7014387&amp;Result=3","7014387")</f>
        <v>0</v>
      </c>
      <c r="B13345" t="s">
        <v>255</v>
      </c>
      <c r="C13345" t="s">
        <v>15970</v>
      </c>
      <c r="D13345" t="s">
        <v>18082</v>
      </c>
      <c r="E13345" t="s">
        <v>29649</v>
      </c>
      <c r="F13345" t="s">
        <v>31574</v>
      </c>
      <c r="G13345" t="s">
        <v>31582</v>
      </c>
      <c r="H13345" t="s">
        <v>31591</v>
      </c>
      <c r="I13345" t="s">
        <v>8822</v>
      </c>
      <c r="J13345" t="s">
        <v>34917</v>
      </c>
      <c r="K13345" t="s">
        <v>41298</v>
      </c>
      <c r="M13345" t="s">
        <v>41741</v>
      </c>
      <c r="N13345" t="s">
        <v>45095</v>
      </c>
      <c r="O13345" t="s">
        <v>45096</v>
      </c>
      <c r="Q13345">
        <v>1</v>
      </c>
      <c r="R13345" t="s">
        <v>45115</v>
      </c>
      <c r="S13345" t="s">
        <v>45858</v>
      </c>
      <c r="T13345" t="s">
        <v>47050</v>
      </c>
      <c r="U13345" t="s">
        <v>58278</v>
      </c>
      <c r="V13345" t="s">
        <v>61313</v>
      </c>
      <c r="W13345" t="s">
        <v>41741</v>
      </c>
      <c r="X13345" t="s">
        <v>45116</v>
      </c>
    </row>
    <row r="13346" spans="1:24">
      <c r="A13346">
        <f>HYPERLINK("https://www.philgeps.gov.ph/GEPSNONPILOT/Tender/SplashBidNoticeAbstractUI.aspx?menuIndex=3&amp;refID=7014438&amp;Result=3","7014438")</f>
        <v>0</v>
      </c>
      <c r="B13346" t="s">
        <v>1443</v>
      </c>
      <c r="C13346" t="s">
        <v>15971</v>
      </c>
      <c r="D13346" t="s">
        <v>18074</v>
      </c>
      <c r="E13346" t="s">
        <v>29650</v>
      </c>
      <c r="F13346" t="s">
        <v>31574</v>
      </c>
      <c r="G13346" t="s">
        <v>31582</v>
      </c>
      <c r="H13346" t="s">
        <v>31591</v>
      </c>
      <c r="I13346" t="s">
        <v>8822</v>
      </c>
      <c r="J13346" t="s">
        <v>39942</v>
      </c>
      <c r="K13346" t="s">
        <v>41463</v>
      </c>
      <c r="M13346" t="s">
        <v>43523</v>
      </c>
      <c r="N13346" t="s">
        <v>45095</v>
      </c>
      <c r="O13346" t="s">
        <v>45096</v>
      </c>
      <c r="P13346">
        <v>0</v>
      </c>
      <c r="Q13346">
        <v>0</v>
      </c>
      <c r="R13346" t="s">
        <v>45115</v>
      </c>
      <c r="S13346" t="s">
        <v>45845</v>
      </c>
      <c r="T13346" t="s">
        <v>47255</v>
      </c>
      <c r="U13346" t="s">
        <v>58279</v>
      </c>
      <c r="V13346" t="s">
        <v>60477</v>
      </c>
      <c r="W13346" t="s">
        <v>43523</v>
      </c>
      <c r="X13346" t="s">
        <v>45116</v>
      </c>
    </row>
    <row r="13347" spans="1:24">
      <c r="A13347">
        <f>HYPERLINK("https://www.philgeps.gov.ph/GEPSNONPILOT/Tender/SplashBidNoticeAbstractUI.aspx?menuIndex=3&amp;refID=7014429&amp;Result=3","7014429")</f>
        <v>0</v>
      </c>
      <c r="B13347" t="s">
        <v>2611</v>
      </c>
      <c r="C13347" t="s">
        <v>15972</v>
      </c>
      <c r="D13347" t="s">
        <v>18065</v>
      </c>
      <c r="E13347" t="s">
        <v>29651</v>
      </c>
      <c r="F13347" t="s">
        <v>31574</v>
      </c>
      <c r="G13347" t="s">
        <v>31582</v>
      </c>
      <c r="H13347" t="s">
        <v>31591</v>
      </c>
      <c r="I13347" t="s">
        <v>8822</v>
      </c>
      <c r="J13347" t="s">
        <v>39943</v>
      </c>
      <c r="K13347" t="s">
        <v>41256</v>
      </c>
      <c r="M13347" t="s">
        <v>44357</v>
      </c>
      <c r="N13347" t="s">
        <v>45095</v>
      </c>
      <c r="O13347" t="s">
        <v>45096</v>
      </c>
      <c r="P13347">
        <v>0</v>
      </c>
      <c r="Q13347">
        <v>4</v>
      </c>
      <c r="R13347" t="s">
        <v>45115</v>
      </c>
      <c r="S13347" t="s">
        <v>45845</v>
      </c>
      <c r="T13347" t="s">
        <v>47003</v>
      </c>
      <c r="U13347" t="s">
        <v>58280</v>
      </c>
      <c r="V13347" t="s">
        <v>61007</v>
      </c>
      <c r="W13347" t="s">
        <v>61747</v>
      </c>
      <c r="X13347" t="s">
        <v>45116</v>
      </c>
    </row>
    <row r="13348" spans="1:24">
      <c r="A13348">
        <f>HYPERLINK("https://www.philgeps.gov.ph/GEPSNONPILOT/Tender/SplashBidNoticeAbstractUI.aspx?menuIndex=3&amp;refID=7014479&amp;Result=3","7014479")</f>
        <v>0</v>
      </c>
      <c r="B13348" t="s">
        <v>1443</v>
      </c>
      <c r="C13348" t="s">
        <v>15973</v>
      </c>
      <c r="D13348" t="s">
        <v>18074</v>
      </c>
      <c r="E13348" t="s">
        <v>29652</v>
      </c>
      <c r="F13348" t="s">
        <v>31574</v>
      </c>
      <c r="G13348" t="s">
        <v>31582</v>
      </c>
      <c r="H13348" t="s">
        <v>31591</v>
      </c>
      <c r="I13348" t="s">
        <v>8822</v>
      </c>
      <c r="J13348" t="s">
        <v>39944</v>
      </c>
      <c r="K13348" t="s">
        <v>41189</v>
      </c>
      <c r="M13348" t="s">
        <v>43523</v>
      </c>
      <c r="N13348" t="s">
        <v>45095</v>
      </c>
      <c r="O13348" t="s">
        <v>45096</v>
      </c>
      <c r="P13348">
        <v>0</v>
      </c>
      <c r="Q13348">
        <v>0</v>
      </c>
      <c r="R13348" t="s">
        <v>45115</v>
      </c>
      <c r="S13348" t="s">
        <v>45845</v>
      </c>
      <c r="T13348" t="s">
        <v>47255</v>
      </c>
      <c r="U13348" t="s">
        <v>58281</v>
      </c>
      <c r="V13348" t="s">
        <v>60477</v>
      </c>
      <c r="W13348" t="s">
        <v>43523</v>
      </c>
      <c r="X13348" t="s">
        <v>45116</v>
      </c>
    </row>
    <row r="13349" spans="1:24">
      <c r="A13349">
        <f>HYPERLINK("https://www.philgeps.gov.ph/GEPSNONPILOT/Tender/SplashBidNoticeAbstractUI.aspx?menuIndex=3&amp;refID=7014526&amp;Result=3","7014526")</f>
        <v>0</v>
      </c>
      <c r="B13349" t="s">
        <v>1443</v>
      </c>
      <c r="C13349" t="s">
        <v>15974</v>
      </c>
      <c r="D13349" t="s">
        <v>18074</v>
      </c>
      <c r="E13349" t="s">
        <v>29653</v>
      </c>
      <c r="F13349" t="s">
        <v>31574</v>
      </c>
      <c r="G13349" t="s">
        <v>31582</v>
      </c>
      <c r="H13349" t="s">
        <v>31591</v>
      </c>
      <c r="I13349" t="s">
        <v>8822</v>
      </c>
      <c r="J13349" t="s">
        <v>39945</v>
      </c>
      <c r="K13349" t="s">
        <v>41189</v>
      </c>
      <c r="M13349" t="s">
        <v>43523</v>
      </c>
      <c r="N13349" t="s">
        <v>45095</v>
      </c>
      <c r="O13349" t="s">
        <v>45096</v>
      </c>
      <c r="P13349">
        <v>0</v>
      </c>
      <c r="Q13349">
        <v>0</v>
      </c>
      <c r="R13349" t="s">
        <v>45115</v>
      </c>
      <c r="S13349" t="s">
        <v>45845</v>
      </c>
      <c r="T13349" t="s">
        <v>47255</v>
      </c>
      <c r="U13349" t="s">
        <v>58282</v>
      </c>
      <c r="V13349" t="s">
        <v>60477</v>
      </c>
      <c r="W13349" t="s">
        <v>43523</v>
      </c>
      <c r="X13349" t="s">
        <v>45116</v>
      </c>
    </row>
    <row r="13350" spans="1:24">
      <c r="A13350">
        <f>HYPERLINK("https://www.philgeps.gov.ph/GEPSNONPILOT/Tender/SplashBidNoticeAbstractUI.aspx?menuIndex=3&amp;refID=7014461&amp;Result=3","7014461")</f>
        <v>0</v>
      </c>
      <c r="B13350" t="s">
        <v>1443</v>
      </c>
      <c r="C13350" t="s">
        <v>15975</v>
      </c>
      <c r="D13350" t="s">
        <v>18074</v>
      </c>
      <c r="E13350" t="s">
        <v>29654</v>
      </c>
      <c r="F13350" t="s">
        <v>31574</v>
      </c>
      <c r="G13350" t="s">
        <v>31582</v>
      </c>
      <c r="H13350" t="s">
        <v>31591</v>
      </c>
      <c r="I13350" t="s">
        <v>8822</v>
      </c>
      <c r="J13350" t="s">
        <v>39946</v>
      </c>
      <c r="K13350" t="s">
        <v>41198</v>
      </c>
      <c r="M13350" t="s">
        <v>43523</v>
      </c>
      <c r="N13350" t="s">
        <v>45095</v>
      </c>
      <c r="O13350" t="s">
        <v>45096</v>
      </c>
      <c r="P13350">
        <v>0</v>
      </c>
      <c r="Q13350">
        <v>0</v>
      </c>
      <c r="R13350" t="s">
        <v>45115</v>
      </c>
      <c r="S13350" t="s">
        <v>45845</v>
      </c>
      <c r="T13350" t="s">
        <v>47255</v>
      </c>
      <c r="U13350" t="s">
        <v>58283</v>
      </c>
      <c r="V13350" t="s">
        <v>60477</v>
      </c>
      <c r="W13350" t="s">
        <v>43523</v>
      </c>
      <c r="X13350" t="s">
        <v>45116</v>
      </c>
    </row>
    <row r="13351" spans="1:24">
      <c r="A13351">
        <f>HYPERLINK("https://www.philgeps.gov.ph/GEPSNONPILOT/Tender/SplashBidNoticeAbstractUI.aspx?menuIndex=3&amp;refID=7014403&amp;Result=3","7014403")</f>
        <v>0</v>
      </c>
      <c r="B13351" t="s">
        <v>1443</v>
      </c>
      <c r="C13351" t="s">
        <v>15976</v>
      </c>
      <c r="D13351" t="s">
        <v>18074</v>
      </c>
      <c r="E13351" t="s">
        <v>29655</v>
      </c>
      <c r="F13351" t="s">
        <v>31574</v>
      </c>
      <c r="G13351" t="s">
        <v>31582</v>
      </c>
      <c r="H13351" t="s">
        <v>31591</v>
      </c>
      <c r="I13351" t="s">
        <v>8822</v>
      </c>
      <c r="J13351" t="s">
        <v>39947</v>
      </c>
      <c r="K13351" t="s">
        <v>41198</v>
      </c>
      <c r="M13351" t="s">
        <v>43523</v>
      </c>
      <c r="N13351" t="s">
        <v>45095</v>
      </c>
      <c r="O13351" t="s">
        <v>45096</v>
      </c>
      <c r="P13351">
        <v>0</v>
      </c>
      <c r="Q13351">
        <v>0</v>
      </c>
      <c r="R13351" t="s">
        <v>45115</v>
      </c>
      <c r="S13351" t="s">
        <v>45845</v>
      </c>
      <c r="T13351" t="s">
        <v>47255</v>
      </c>
      <c r="U13351" t="s">
        <v>58284</v>
      </c>
      <c r="V13351" t="s">
        <v>60477</v>
      </c>
      <c r="W13351" t="s">
        <v>43523</v>
      </c>
      <c r="X13351" t="s">
        <v>45116</v>
      </c>
    </row>
    <row r="13352" spans="1:24">
      <c r="A13352">
        <f>HYPERLINK("https://www.philgeps.gov.ph/GEPSNONPILOT/Tender/SplashBidNoticeAbstractUI.aspx?menuIndex=3&amp;refID=7014514&amp;Result=3","7014514")</f>
        <v>0</v>
      </c>
      <c r="B13352" t="s">
        <v>289</v>
      </c>
      <c r="C13352" t="s">
        <v>15977</v>
      </c>
      <c r="D13352" t="s">
        <v>18044</v>
      </c>
      <c r="E13352" t="s">
        <v>29656</v>
      </c>
      <c r="F13352" t="s">
        <v>31574</v>
      </c>
      <c r="G13352" t="s">
        <v>31582</v>
      </c>
      <c r="H13352" t="s">
        <v>31590</v>
      </c>
      <c r="I13352" t="s">
        <v>8258</v>
      </c>
      <c r="J13352" t="s">
        <v>39948</v>
      </c>
      <c r="K13352" t="s">
        <v>41189</v>
      </c>
      <c r="M13352" t="s">
        <v>41775</v>
      </c>
      <c r="N13352" t="s">
        <v>45095</v>
      </c>
      <c r="O13352" t="s">
        <v>45096</v>
      </c>
      <c r="P13352">
        <v>0</v>
      </c>
      <c r="Q13352">
        <v>3</v>
      </c>
      <c r="R13352" t="s">
        <v>45115</v>
      </c>
      <c r="S13352" t="s">
        <v>45845</v>
      </c>
      <c r="T13352" t="s">
        <v>46979</v>
      </c>
      <c r="U13352" t="s">
        <v>58285</v>
      </c>
      <c r="W13352" t="s">
        <v>61661</v>
      </c>
      <c r="X13352" t="s">
        <v>45116</v>
      </c>
    </row>
    <row r="13353" spans="1:24">
      <c r="A13353">
        <f>HYPERLINK("https://www.philgeps.gov.ph/GEPSNONPILOT/Tender/SplashBidNoticeAbstractUI.aspx?menuIndex=3&amp;refID=7014516&amp;Result=3","7014516")</f>
        <v>0</v>
      </c>
      <c r="B13353" t="s">
        <v>1443</v>
      </c>
      <c r="C13353" t="s">
        <v>15978</v>
      </c>
      <c r="D13353" t="s">
        <v>18074</v>
      </c>
      <c r="E13353" t="s">
        <v>29657</v>
      </c>
      <c r="F13353" t="s">
        <v>31574</v>
      </c>
      <c r="G13353" t="s">
        <v>31582</v>
      </c>
      <c r="H13353" t="s">
        <v>31591</v>
      </c>
      <c r="I13353" t="s">
        <v>8822</v>
      </c>
      <c r="J13353" t="s">
        <v>39949</v>
      </c>
      <c r="K13353" t="s">
        <v>41189</v>
      </c>
      <c r="M13353" t="s">
        <v>43523</v>
      </c>
      <c r="N13353" t="s">
        <v>45095</v>
      </c>
      <c r="O13353" t="s">
        <v>45096</v>
      </c>
      <c r="P13353">
        <v>0</v>
      </c>
      <c r="Q13353">
        <v>1</v>
      </c>
      <c r="R13353" t="s">
        <v>45115</v>
      </c>
      <c r="S13353" t="s">
        <v>45845</v>
      </c>
      <c r="T13353" t="s">
        <v>47255</v>
      </c>
      <c r="U13353" t="s">
        <v>58282</v>
      </c>
      <c r="V13353" t="s">
        <v>60477</v>
      </c>
      <c r="W13353" t="s">
        <v>43523</v>
      </c>
      <c r="X13353" t="s">
        <v>45116</v>
      </c>
    </row>
    <row r="13354" spans="1:24">
      <c r="A13354">
        <f>HYPERLINK("https://www.philgeps.gov.ph/GEPSNONPILOT/Tender/SplashBidNoticeAbstractUI.aspx?menuIndex=3&amp;refID=7014498&amp;Result=3","7014498")</f>
        <v>0</v>
      </c>
      <c r="B13354" t="s">
        <v>1443</v>
      </c>
      <c r="C13354" t="s">
        <v>15979</v>
      </c>
      <c r="D13354" t="s">
        <v>18074</v>
      </c>
      <c r="E13354" t="s">
        <v>29658</v>
      </c>
      <c r="F13354" t="s">
        <v>31574</v>
      </c>
      <c r="G13354" t="s">
        <v>31582</v>
      </c>
      <c r="H13354" t="s">
        <v>31591</v>
      </c>
      <c r="I13354" t="s">
        <v>8822</v>
      </c>
      <c r="J13354" t="s">
        <v>39949</v>
      </c>
      <c r="K13354" t="s">
        <v>41189</v>
      </c>
      <c r="M13354" t="s">
        <v>43523</v>
      </c>
      <c r="N13354" t="s">
        <v>45095</v>
      </c>
      <c r="O13354" t="s">
        <v>45096</v>
      </c>
      <c r="P13354">
        <v>0</v>
      </c>
      <c r="Q13354">
        <v>1</v>
      </c>
      <c r="R13354" t="s">
        <v>45115</v>
      </c>
      <c r="S13354" t="s">
        <v>45845</v>
      </c>
      <c r="T13354" t="s">
        <v>47255</v>
      </c>
      <c r="U13354" t="s">
        <v>58282</v>
      </c>
      <c r="V13354" t="s">
        <v>60477</v>
      </c>
      <c r="W13354" t="s">
        <v>43523</v>
      </c>
      <c r="X13354" t="s">
        <v>45116</v>
      </c>
    </row>
    <row r="13355" spans="1:24">
      <c r="A13355">
        <f>HYPERLINK("https://www.philgeps.gov.ph/GEPSNONPILOT/Tender/SplashBidNoticeAbstractUI.aspx?menuIndex=3&amp;refID=7014544&amp;Result=3","7014544")</f>
        <v>0</v>
      </c>
      <c r="B13355" t="s">
        <v>1443</v>
      </c>
      <c r="C13355" t="s">
        <v>15980</v>
      </c>
      <c r="D13355" t="s">
        <v>18074</v>
      </c>
      <c r="E13355" t="s">
        <v>29659</v>
      </c>
      <c r="F13355" t="s">
        <v>31574</v>
      </c>
      <c r="G13355" t="s">
        <v>31582</v>
      </c>
      <c r="H13355" t="s">
        <v>31591</v>
      </c>
      <c r="I13355" t="s">
        <v>8822</v>
      </c>
      <c r="J13355" t="s">
        <v>39950</v>
      </c>
      <c r="K13355" t="s">
        <v>41189</v>
      </c>
      <c r="M13355" t="s">
        <v>43523</v>
      </c>
      <c r="N13355" t="s">
        <v>45095</v>
      </c>
      <c r="O13355" t="s">
        <v>45096</v>
      </c>
      <c r="P13355">
        <v>0</v>
      </c>
      <c r="Q13355">
        <v>0</v>
      </c>
      <c r="R13355" t="s">
        <v>45115</v>
      </c>
      <c r="S13355" t="s">
        <v>45845</v>
      </c>
      <c r="T13355" t="s">
        <v>47255</v>
      </c>
      <c r="U13355" t="s">
        <v>56607</v>
      </c>
      <c r="V13355" t="s">
        <v>60477</v>
      </c>
      <c r="W13355" t="s">
        <v>43523</v>
      </c>
      <c r="X13355" t="s">
        <v>45116</v>
      </c>
    </row>
    <row r="13356" spans="1:24">
      <c r="A13356">
        <f>HYPERLINK("https://www.philgeps.gov.ph/GEPSNONPILOT/Tender/SplashBidNoticeAbstractUI.aspx?menuIndex=3&amp;refID=7014401&amp;Result=3","7014401")</f>
        <v>0</v>
      </c>
      <c r="B13356" t="s">
        <v>1310</v>
      </c>
      <c r="C13356" t="s">
        <v>15981</v>
      </c>
      <c r="D13356" t="s">
        <v>18074</v>
      </c>
      <c r="E13356" t="s">
        <v>29660</v>
      </c>
      <c r="F13356" t="s">
        <v>31574</v>
      </c>
      <c r="G13356" t="s">
        <v>31582</v>
      </c>
      <c r="H13356" t="s">
        <v>31590</v>
      </c>
      <c r="I13356" t="s">
        <v>3539</v>
      </c>
      <c r="J13356" t="s">
        <v>39951</v>
      </c>
      <c r="K13356" t="s">
        <v>41190</v>
      </c>
      <c r="M13356" t="s">
        <v>42880</v>
      </c>
      <c r="N13356" t="s">
        <v>45095</v>
      </c>
      <c r="O13356" t="s">
        <v>45096</v>
      </c>
      <c r="P13356">
        <v>0</v>
      </c>
      <c r="Q13356">
        <v>0</v>
      </c>
      <c r="R13356" t="s">
        <v>45115</v>
      </c>
      <c r="S13356" t="s">
        <v>45845</v>
      </c>
      <c r="T13356" t="s">
        <v>47043</v>
      </c>
      <c r="U13356" t="s">
        <v>58286</v>
      </c>
      <c r="W13356" t="s">
        <v>42880</v>
      </c>
      <c r="X13356" t="s">
        <v>45116</v>
      </c>
    </row>
    <row r="13357" spans="1:24">
      <c r="A13357">
        <f>HYPERLINK("https://www.philgeps.gov.ph/GEPSNONPILOT/Tender/SplashBidNoticeAbstractUI.aspx?menuIndex=3&amp;refID=7014395&amp;Result=3","7014395")</f>
        <v>0</v>
      </c>
      <c r="B13357" t="s">
        <v>2939</v>
      </c>
      <c r="C13357" t="s">
        <v>15982</v>
      </c>
      <c r="E13357" t="s">
        <v>29661</v>
      </c>
      <c r="F13357" t="s">
        <v>31574</v>
      </c>
      <c r="G13357" t="s">
        <v>31582</v>
      </c>
      <c r="H13357" t="s">
        <v>31591</v>
      </c>
      <c r="I13357" t="s">
        <v>8822</v>
      </c>
      <c r="J13357" t="s">
        <v>39952</v>
      </c>
      <c r="K13357" t="s">
        <v>41207</v>
      </c>
      <c r="M13357" t="s">
        <v>44753</v>
      </c>
      <c r="N13357" t="s">
        <v>45095</v>
      </c>
      <c r="O13357" t="s">
        <v>45096</v>
      </c>
      <c r="P13357">
        <v>0</v>
      </c>
      <c r="Q13357">
        <v>3</v>
      </c>
      <c r="R13357" t="s">
        <v>45115</v>
      </c>
      <c r="S13357" t="s">
        <v>45845</v>
      </c>
      <c r="T13357" t="s">
        <v>46982</v>
      </c>
      <c r="U13357" t="s">
        <v>58263</v>
      </c>
      <c r="W13357" t="s">
        <v>44753</v>
      </c>
      <c r="X13357" t="s">
        <v>45116</v>
      </c>
    </row>
    <row r="13358" spans="1:24">
      <c r="A13358">
        <f>HYPERLINK("https://www.philgeps.gov.ph/GEPSNONPILOT/Tender/SplashBidNoticeAbstractUI.aspx?menuIndex=3&amp;refID=7014481&amp;Result=3","7014481")</f>
        <v>0</v>
      </c>
      <c r="B13358" t="s">
        <v>1784</v>
      </c>
      <c r="C13358" t="s">
        <v>15983</v>
      </c>
      <c r="D13358" t="s">
        <v>18090</v>
      </c>
      <c r="E13358" t="s">
        <v>29662</v>
      </c>
      <c r="F13358" t="s">
        <v>31574</v>
      </c>
      <c r="G13358" t="s">
        <v>31582</v>
      </c>
      <c r="H13358" t="s">
        <v>31591</v>
      </c>
      <c r="I13358" t="s">
        <v>8822</v>
      </c>
      <c r="J13358" t="s">
        <v>39953</v>
      </c>
      <c r="K13358" t="s">
        <v>41392</v>
      </c>
      <c r="M13358" t="s">
        <v>43414</v>
      </c>
      <c r="N13358" t="s">
        <v>45095</v>
      </c>
      <c r="O13358" t="s">
        <v>45096</v>
      </c>
      <c r="P13358">
        <v>0</v>
      </c>
      <c r="Q13358">
        <v>2</v>
      </c>
      <c r="R13358" t="s">
        <v>45115</v>
      </c>
      <c r="S13358" t="s">
        <v>45845</v>
      </c>
      <c r="T13358" t="s">
        <v>46932</v>
      </c>
      <c r="U13358" t="s">
        <v>58287</v>
      </c>
      <c r="W13358" t="s">
        <v>43414</v>
      </c>
      <c r="X13358" t="s">
        <v>45116</v>
      </c>
    </row>
    <row r="13359" spans="1:24">
      <c r="A13359">
        <f>HYPERLINK("https://www.philgeps.gov.ph/GEPSNONPILOT/Tender/SplashBidNoticeAbstractUI.aspx?menuIndex=3&amp;refID=7014551&amp;Result=3","7014551")</f>
        <v>0</v>
      </c>
      <c r="B13359" t="s">
        <v>1446</v>
      </c>
      <c r="C13359" t="s">
        <v>15984</v>
      </c>
      <c r="D13359" t="s">
        <v>18052</v>
      </c>
      <c r="E13359" t="s">
        <v>18647</v>
      </c>
      <c r="F13359" t="s">
        <v>31574</v>
      </c>
      <c r="G13359" t="s">
        <v>31582</v>
      </c>
      <c r="H13359" t="s">
        <v>31590</v>
      </c>
      <c r="I13359" t="s">
        <v>31615</v>
      </c>
      <c r="J13359" t="s">
        <v>39954</v>
      </c>
      <c r="K13359" t="s">
        <v>41189</v>
      </c>
      <c r="M13359" t="s">
        <v>43025</v>
      </c>
      <c r="N13359" t="s">
        <v>45095</v>
      </c>
      <c r="O13359" t="s">
        <v>45096</v>
      </c>
      <c r="P13359">
        <v>0</v>
      </c>
      <c r="Q13359">
        <v>5</v>
      </c>
      <c r="R13359" t="s">
        <v>45115</v>
      </c>
      <c r="S13359" t="s">
        <v>45845</v>
      </c>
      <c r="T13359" t="s">
        <v>47157</v>
      </c>
      <c r="U13359" t="s">
        <v>50981</v>
      </c>
      <c r="V13359" t="s">
        <v>61314</v>
      </c>
      <c r="W13359" t="s">
        <v>43025</v>
      </c>
      <c r="X13359" t="s">
        <v>45116</v>
      </c>
    </row>
    <row r="13360" spans="1:24">
      <c r="A13360">
        <f>HYPERLINK("https://www.philgeps.gov.ph/GEPSNONPILOT/Tender/SplashBidNoticeAbstractUI.aspx?menuIndex=3&amp;refID=7014558&amp;Result=3","7014558")</f>
        <v>0</v>
      </c>
      <c r="B13360" t="s">
        <v>1443</v>
      </c>
      <c r="C13360" t="s">
        <v>15985</v>
      </c>
      <c r="D13360" t="s">
        <v>18074</v>
      </c>
      <c r="E13360" t="s">
        <v>29663</v>
      </c>
      <c r="F13360" t="s">
        <v>31574</v>
      </c>
      <c r="G13360" t="s">
        <v>31582</v>
      </c>
      <c r="H13360" t="s">
        <v>31591</v>
      </c>
      <c r="I13360" t="s">
        <v>8822</v>
      </c>
      <c r="J13360" t="s">
        <v>39955</v>
      </c>
      <c r="K13360" t="s">
        <v>41189</v>
      </c>
      <c r="M13360" t="s">
        <v>43523</v>
      </c>
      <c r="N13360" t="s">
        <v>45095</v>
      </c>
      <c r="O13360" t="s">
        <v>45096</v>
      </c>
      <c r="P13360">
        <v>0</v>
      </c>
      <c r="Q13360">
        <v>0</v>
      </c>
      <c r="R13360" t="s">
        <v>45115</v>
      </c>
      <c r="S13360" t="s">
        <v>45845</v>
      </c>
      <c r="T13360" t="s">
        <v>47255</v>
      </c>
      <c r="U13360" t="s">
        <v>58288</v>
      </c>
      <c r="V13360" t="s">
        <v>60477</v>
      </c>
      <c r="W13360" t="s">
        <v>43523</v>
      </c>
      <c r="X13360" t="s">
        <v>45116</v>
      </c>
    </row>
    <row r="13361" spans="1:24">
      <c r="A13361">
        <f>HYPERLINK("https://www.philgeps.gov.ph/GEPSNONPILOT/Tender/SplashBidNoticeAbstractUI.aspx?menuIndex=3&amp;refID=7014631&amp;Result=3","7014631")</f>
        <v>0</v>
      </c>
      <c r="B13361" t="s">
        <v>2782</v>
      </c>
      <c r="C13361" t="s">
        <v>15986</v>
      </c>
      <c r="D13361" t="s">
        <v>18102</v>
      </c>
      <c r="E13361" t="s">
        <v>29664</v>
      </c>
      <c r="F13361" t="s">
        <v>31578</v>
      </c>
      <c r="G13361" t="s">
        <v>31582</v>
      </c>
      <c r="H13361" t="s">
        <v>31590</v>
      </c>
      <c r="I13361" t="s">
        <v>31615</v>
      </c>
      <c r="J13361" t="s">
        <v>35720</v>
      </c>
      <c r="K13361" t="s">
        <v>41185</v>
      </c>
      <c r="M13361" t="s">
        <v>44557</v>
      </c>
      <c r="N13361" t="s">
        <v>45095</v>
      </c>
      <c r="O13361" t="s">
        <v>45096</v>
      </c>
      <c r="P13361">
        <v>0</v>
      </c>
      <c r="Q13361">
        <v>3</v>
      </c>
      <c r="R13361" t="s">
        <v>45115</v>
      </c>
      <c r="S13361" t="s">
        <v>45845</v>
      </c>
      <c r="T13361" t="s">
        <v>46979</v>
      </c>
      <c r="U13361" t="s">
        <v>58289</v>
      </c>
      <c r="W13361" t="s">
        <v>44557</v>
      </c>
      <c r="X13361" t="s">
        <v>45116</v>
      </c>
    </row>
    <row r="13362" spans="1:24">
      <c r="A13362">
        <f>HYPERLINK("https://www.philgeps.gov.ph/GEPSNONPILOT/Tender/SplashBidNoticeAbstractUI.aspx?menuIndex=3&amp;refID=7014627&amp;Result=3","7014627")</f>
        <v>0</v>
      </c>
      <c r="B13362" t="s">
        <v>3033</v>
      </c>
      <c r="C13362" t="s">
        <v>15987</v>
      </c>
      <c r="D13362" t="s">
        <v>18059</v>
      </c>
      <c r="E13362" t="s">
        <v>29665</v>
      </c>
      <c r="F13362" t="s">
        <v>31574</v>
      </c>
      <c r="G13362" t="s">
        <v>31582</v>
      </c>
      <c r="H13362" t="s">
        <v>31591</v>
      </c>
      <c r="I13362" t="s">
        <v>8822</v>
      </c>
      <c r="J13362" t="s">
        <v>39956</v>
      </c>
      <c r="K13362" t="s">
        <v>41193</v>
      </c>
      <c r="M13362" t="s">
        <v>44866</v>
      </c>
      <c r="N13362" t="s">
        <v>45095</v>
      </c>
      <c r="O13362" t="s">
        <v>45096</v>
      </c>
      <c r="P13362">
        <v>0</v>
      </c>
      <c r="Q13362">
        <v>0</v>
      </c>
      <c r="R13362" t="s">
        <v>45115</v>
      </c>
      <c r="S13362" t="s">
        <v>45845</v>
      </c>
      <c r="T13362" t="s">
        <v>47177</v>
      </c>
      <c r="U13362" t="s">
        <v>58290</v>
      </c>
      <c r="W13362" t="s">
        <v>44866</v>
      </c>
      <c r="X13362" t="s">
        <v>45116</v>
      </c>
    </row>
    <row r="13363" spans="1:24">
      <c r="A13363">
        <f>HYPERLINK("https://www.philgeps.gov.ph/GEPSNONPILOT/Tender/SplashBidNoticeAbstractUI.aspx?menuIndex=3&amp;refID=7014538&amp;Result=3","7014538")</f>
        <v>0</v>
      </c>
      <c r="B13363" t="s">
        <v>2611</v>
      </c>
      <c r="C13363" t="s">
        <v>15988</v>
      </c>
      <c r="D13363" t="s">
        <v>18065</v>
      </c>
      <c r="E13363" t="s">
        <v>29666</v>
      </c>
      <c r="F13363" t="s">
        <v>31574</v>
      </c>
      <c r="G13363" t="s">
        <v>31582</v>
      </c>
      <c r="H13363" t="s">
        <v>31591</v>
      </c>
      <c r="I13363" t="s">
        <v>8822</v>
      </c>
      <c r="J13363" t="s">
        <v>39957</v>
      </c>
      <c r="K13363" t="s">
        <v>41377</v>
      </c>
      <c r="M13363" t="s">
        <v>44357</v>
      </c>
      <c r="N13363" t="s">
        <v>45095</v>
      </c>
      <c r="O13363" t="s">
        <v>45096</v>
      </c>
      <c r="P13363">
        <v>0</v>
      </c>
      <c r="Q13363">
        <v>5</v>
      </c>
      <c r="R13363" t="s">
        <v>45115</v>
      </c>
      <c r="S13363" t="s">
        <v>45845</v>
      </c>
      <c r="T13363" t="s">
        <v>47376</v>
      </c>
      <c r="U13363" t="s">
        <v>58291</v>
      </c>
      <c r="V13363" t="s">
        <v>61007</v>
      </c>
      <c r="W13363" t="s">
        <v>61747</v>
      </c>
      <c r="X13363" t="s">
        <v>45116</v>
      </c>
    </row>
    <row r="13364" spans="1:24">
      <c r="A13364">
        <f>HYPERLINK("https://www.philgeps.gov.ph/GEPSNONPILOT/Tender/SplashBidNoticeAbstractUI.aspx?menuIndex=3&amp;refID=7014547&amp;Result=3","7014547")</f>
        <v>0</v>
      </c>
      <c r="B13364" t="s">
        <v>289</v>
      </c>
      <c r="C13364" t="s">
        <v>15989</v>
      </c>
      <c r="D13364" t="s">
        <v>18044</v>
      </c>
      <c r="E13364" t="s">
        <v>29667</v>
      </c>
      <c r="F13364" t="s">
        <v>31574</v>
      </c>
      <c r="G13364" t="s">
        <v>31582</v>
      </c>
      <c r="H13364" t="s">
        <v>31590</v>
      </c>
      <c r="I13364" t="s">
        <v>31620</v>
      </c>
      <c r="J13364" t="s">
        <v>37315</v>
      </c>
      <c r="K13364" t="s">
        <v>41189</v>
      </c>
      <c r="M13364" t="s">
        <v>41775</v>
      </c>
      <c r="N13364" t="s">
        <v>45095</v>
      </c>
      <c r="O13364" t="s">
        <v>45096</v>
      </c>
      <c r="P13364">
        <v>0</v>
      </c>
      <c r="Q13364">
        <v>7</v>
      </c>
      <c r="R13364" t="s">
        <v>45115</v>
      </c>
      <c r="S13364" t="s">
        <v>45845</v>
      </c>
      <c r="T13364" t="s">
        <v>46979</v>
      </c>
      <c r="U13364" t="s">
        <v>58292</v>
      </c>
      <c r="W13364" t="s">
        <v>61661</v>
      </c>
      <c r="X13364" t="s">
        <v>45116</v>
      </c>
    </row>
    <row r="13365" spans="1:24">
      <c r="A13365">
        <f>HYPERLINK("https://www.philgeps.gov.ph/GEPSNONPILOT/Tender/SplashBidNoticeAbstractUI.aspx?menuIndex=3&amp;refID=7014482&amp;Result=3","7014482")</f>
        <v>0</v>
      </c>
      <c r="B13365" t="s">
        <v>2611</v>
      </c>
      <c r="C13365" t="s">
        <v>15990</v>
      </c>
      <c r="D13365" t="s">
        <v>18065</v>
      </c>
      <c r="E13365" t="s">
        <v>29668</v>
      </c>
      <c r="F13365" t="s">
        <v>31574</v>
      </c>
      <c r="G13365" t="s">
        <v>31582</v>
      </c>
      <c r="H13365" t="s">
        <v>31591</v>
      </c>
      <c r="I13365" t="s">
        <v>8822</v>
      </c>
      <c r="J13365" t="s">
        <v>39958</v>
      </c>
      <c r="K13365" t="s">
        <v>41235</v>
      </c>
      <c r="M13365" t="s">
        <v>44357</v>
      </c>
      <c r="N13365" t="s">
        <v>45095</v>
      </c>
      <c r="O13365" t="s">
        <v>45096</v>
      </c>
      <c r="P13365">
        <v>0</v>
      </c>
      <c r="Q13365">
        <v>6</v>
      </c>
      <c r="R13365" t="s">
        <v>45115</v>
      </c>
      <c r="S13365" t="s">
        <v>45845</v>
      </c>
      <c r="T13365" t="s">
        <v>47376</v>
      </c>
      <c r="U13365" t="s">
        <v>58293</v>
      </c>
      <c r="V13365" t="s">
        <v>61007</v>
      </c>
      <c r="W13365" t="s">
        <v>61747</v>
      </c>
      <c r="X13365" t="s">
        <v>45116</v>
      </c>
    </row>
    <row r="13366" spans="1:24">
      <c r="A13366">
        <f>HYPERLINK("https://www.philgeps.gov.ph/GEPSNONPILOT/Tender/SplashBidNoticeAbstractUI.aspx?menuIndex=3&amp;refID=7014624&amp;Result=3","7014624")</f>
        <v>0</v>
      </c>
      <c r="B13366" t="s">
        <v>113</v>
      </c>
      <c r="C13366" t="s">
        <v>15991</v>
      </c>
      <c r="D13366" t="s">
        <v>18066</v>
      </c>
      <c r="E13366" t="s">
        <v>29384</v>
      </c>
      <c r="F13366" t="s">
        <v>31574</v>
      </c>
      <c r="G13366" t="s">
        <v>31582</v>
      </c>
      <c r="H13366" t="s">
        <v>31590</v>
      </c>
      <c r="I13366" t="s">
        <v>31607</v>
      </c>
      <c r="J13366" t="s">
        <v>39959</v>
      </c>
      <c r="K13366" t="s">
        <v>41196</v>
      </c>
      <c r="M13366" t="s">
        <v>41597</v>
      </c>
      <c r="N13366" t="s">
        <v>45095</v>
      </c>
      <c r="O13366" t="s">
        <v>45096</v>
      </c>
      <c r="P13366">
        <v>0</v>
      </c>
      <c r="Q13366">
        <v>12</v>
      </c>
      <c r="R13366" t="s">
        <v>45115</v>
      </c>
      <c r="S13366" t="s">
        <v>45845</v>
      </c>
      <c r="T13366" t="s">
        <v>46949</v>
      </c>
      <c r="U13366" t="s">
        <v>58294</v>
      </c>
      <c r="V13366" t="s">
        <v>61315</v>
      </c>
      <c r="W13366" t="s">
        <v>41597</v>
      </c>
      <c r="X13366" t="s">
        <v>45116</v>
      </c>
    </row>
    <row r="13367" spans="1:24">
      <c r="A13367">
        <f>HYPERLINK("https://www.philgeps.gov.ph/GEPSNONPILOT/Tender/SplashBidNoticeAbstractUI.aspx?menuIndex=3&amp;refID=7014611&amp;Result=3","7014611")</f>
        <v>0</v>
      </c>
      <c r="B13367" t="s">
        <v>1565</v>
      </c>
      <c r="C13367" t="s">
        <v>15992</v>
      </c>
      <c r="D13367" t="s">
        <v>18057</v>
      </c>
      <c r="E13367" t="s">
        <v>29669</v>
      </c>
      <c r="F13367" t="s">
        <v>31574</v>
      </c>
      <c r="G13367" t="s">
        <v>31582</v>
      </c>
      <c r="H13367" t="s">
        <v>31590</v>
      </c>
      <c r="I13367" t="s">
        <v>5222</v>
      </c>
      <c r="J13367" t="s">
        <v>36698</v>
      </c>
      <c r="K13367" t="s">
        <v>41186</v>
      </c>
      <c r="M13367" t="s">
        <v>43164</v>
      </c>
      <c r="N13367" t="s">
        <v>45095</v>
      </c>
      <c r="O13367" t="s">
        <v>45096</v>
      </c>
      <c r="P13367">
        <v>0</v>
      </c>
      <c r="Q13367">
        <v>4</v>
      </c>
      <c r="R13367" t="s">
        <v>45115</v>
      </c>
      <c r="S13367" t="s">
        <v>45845</v>
      </c>
      <c r="T13367" t="s">
        <v>46932</v>
      </c>
      <c r="U13367" t="s">
        <v>58295</v>
      </c>
      <c r="W13367" t="s">
        <v>61709</v>
      </c>
      <c r="X13367" t="s">
        <v>45116</v>
      </c>
    </row>
    <row r="13368" spans="1:24">
      <c r="A13368">
        <f>HYPERLINK("https://www.philgeps.gov.ph/GEPSNONPILOT/Tender/SplashBidNoticeAbstractUI.aspx?menuIndex=3&amp;refID=7014578&amp;Result=3","7014578")</f>
        <v>0</v>
      </c>
      <c r="B13368" t="s">
        <v>1443</v>
      </c>
      <c r="C13368" t="s">
        <v>15993</v>
      </c>
      <c r="D13368" t="s">
        <v>18074</v>
      </c>
      <c r="E13368" t="s">
        <v>29670</v>
      </c>
      <c r="F13368" t="s">
        <v>31574</v>
      </c>
      <c r="G13368" t="s">
        <v>31582</v>
      </c>
      <c r="H13368" t="s">
        <v>31591</v>
      </c>
      <c r="I13368" t="s">
        <v>8822</v>
      </c>
      <c r="J13368" t="s">
        <v>39960</v>
      </c>
      <c r="K13368" t="s">
        <v>41189</v>
      </c>
      <c r="M13368" t="s">
        <v>43523</v>
      </c>
      <c r="N13368" t="s">
        <v>45095</v>
      </c>
      <c r="O13368" t="s">
        <v>45096</v>
      </c>
      <c r="P13368">
        <v>0</v>
      </c>
      <c r="Q13368">
        <v>0</v>
      </c>
      <c r="R13368" t="s">
        <v>45115</v>
      </c>
      <c r="S13368" t="s">
        <v>45845</v>
      </c>
      <c r="T13368" t="s">
        <v>47255</v>
      </c>
      <c r="U13368" t="s">
        <v>58296</v>
      </c>
      <c r="V13368" t="s">
        <v>60477</v>
      </c>
      <c r="W13368" t="s">
        <v>43523</v>
      </c>
      <c r="X13368" t="s">
        <v>45116</v>
      </c>
    </row>
    <row r="13369" spans="1:24">
      <c r="A13369">
        <f>HYPERLINK("https://www.philgeps.gov.ph/GEPSNONPILOT/Tender/SplashBidNoticeAbstractUI.aspx?menuIndex=3&amp;refID=7014608&amp;Result=3","7014608")</f>
        <v>0</v>
      </c>
      <c r="B13369" t="s">
        <v>296</v>
      </c>
      <c r="C13369" t="s">
        <v>15994</v>
      </c>
      <c r="D13369" t="s">
        <v>18040</v>
      </c>
      <c r="E13369" t="s">
        <v>29671</v>
      </c>
      <c r="F13369" t="s">
        <v>31574</v>
      </c>
      <c r="G13369" t="s">
        <v>31582</v>
      </c>
      <c r="H13369" t="s">
        <v>31590</v>
      </c>
      <c r="I13369" t="s">
        <v>3489</v>
      </c>
      <c r="J13369" t="s">
        <v>39961</v>
      </c>
      <c r="K13369" t="s">
        <v>41186</v>
      </c>
      <c r="M13369" t="s">
        <v>41782</v>
      </c>
      <c r="N13369" t="s">
        <v>45095</v>
      </c>
      <c r="O13369" t="s">
        <v>45096</v>
      </c>
      <c r="P13369">
        <v>0</v>
      </c>
      <c r="Q13369">
        <v>1</v>
      </c>
      <c r="R13369" t="s">
        <v>45115</v>
      </c>
      <c r="S13369" t="s">
        <v>45845</v>
      </c>
      <c r="T13369" t="s">
        <v>46979</v>
      </c>
      <c r="U13369" t="s">
        <v>58297</v>
      </c>
      <c r="V13369" t="s">
        <v>59950</v>
      </c>
      <c r="W13369" t="s">
        <v>41782</v>
      </c>
      <c r="X13369" t="s">
        <v>45116</v>
      </c>
    </row>
    <row r="13370" spans="1:24">
      <c r="A13370">
        <f>HYPERLINK("https://www.philgeps.gov.ph/GEPSNONPILOT/Tender/SplashBidNoticeAbstractUI.aspx?menuIndex=3&amp;refID=7014596&amp;Result=3","7014596")</f>
        <v>0</v>
      </c>
      <c r="B13370" t="s">
        <v>48</v>
      </c>
      <c r="C13370" t="s">
        <v>15995</v>
      </c>
      <c r="D13370" t="s">
        <v>18041</v>
      </c>
      <c r="E13370" t="s">
        <v>29672</v>
      </c>
      <c r="F13370" t="s">
        <v>31574</v>
      </c>
      <c r="G13370" t="s">
        <v>31582</v>
      </c>
      <c r="H13370" t="s">
        <v>31591</v>
      </c>
      <c r="I13370" t="s">
        <v>8822</v>
      </c>
      <c r="J13370" t="s">
        <v>39962</v>
      </c>
      <c r="K13370" t="s">
        <v>41184</v>
      </c>
      <c r="M13370" t="s">
        <v>43376</v>
      </c>
      <c r="N13370" t="s">
        <v>45095</v>
      </c>
      <c r="O13370" t="s">
        <v>45096</v>
      </c>
      <c r="Q13370">
        <v>11</v>
      </c>
      <c r="R13370" t="s">
        <v>45115</v>
      </c>
      <c r="S13370" t="s">
        <v>45859</v>
      </c>
      <c r="T13370" t="s">
        <v>46932</v>
      </c>
      <c r="U13370" t="s">
        <v>51925</v>
      </c>
      <c r="W13370" t="s">
        <v>43376</v>
      </c>
      <c r="X13370" t="s">
        <v>45116</v>
      </c>
    </row>
    <row r="13371" spans="1:24">
      <c r="A13371">
        <f>HYPERLINK("https://www.philgeps.gov.ph/GEPSNONPILOT/Tender/SplashBidNoticeAbstractUI.aspx?menuIndex=3&amp;refID=7014597&amp;Result=3","7014597")</f>
        <v>0</v>
      </c>
      <c r="B13371" t="s">
        <v>1443</v>
      </c>
      <c r="C13371" t="s">
        <v>15996</v>
      </c>
      <c r="D13371" t="s">
        <v>18074</v>
      </c>
      <c r="E13371" t="s">
        <v>29673</v>
      </c>
      <c r="F13371" t="s">
        <v>31574</v>
      </c>
      <c r="G13371" t="s">
        <v>31582</v>
      </c>
      <c r="H13371" t="s">
        <v>31591</v>
      </c>
      <c r="I13371" t="s">
        <v>8822</v>
      </c>
      <c r="J13371" t="s">
        <v>39963</v>
      </c>
      <c r="K13371" t="s">
        <v>41189</v>
      </c>
      <c r="M13371" t="s">
        <v>43523</v>
      </c>
      <c r="N13371" t="s">
        <v>45095</v>
      </c>
      <c r="O13371" t="s">
        <v>45096</v>
      </c>
      <c r="P13371">
        <v>0</v>
      </c>
      <c r="Q13371">
        <v>0</v>
      </c>
      <c r="R13371" t="s">
        <v>45115</v>
      </c>
      <c r="S13371" t="s">
        <v>45845</v>
      </c>
      <c r="T13371" t="s">
        <v>47255</v>
      </c>
      <c r="U13371" t="s">
        <v>58298</v>
      </c>
      <c r="V13371" t="s">
        <v>60477</v>
      </c>
      <c r="W13371" t="s">
        <v>43523</v>
      </c>
      <c r="X13371" t="s">
        <v>45116</v>
      </c>
    </row>
    <row r="13372" spans="1:24">
      <c r="A13372">
        <f>HYPERLINK("https://www.philgeps.gov.ph/GEPSNONPILOT/Tender/SplashBidNoticeAbstractUI.aspx?menuIndex=3&amp;refID=7014609&amp;Result=3","7014609")</f>
        <v>0</v>
      </c>
      <c r="B13372" t="s">
        <v>1443</v>
      </c>
      <c r="C13372" t="s">
        <v>15997</v>
      </c>
      <c r="D13372" t="s">
        <v>18074</v>
      </c>
      <c r="E13372" t="s">
        <v>29674</v>
      </c>
      <c r="F13372" t="s">
        <v>31574</v>
      </c>
      <c r="G13372" t="s">
        <v>31582</v>
      </c>
      <c r="H13372" t="s">
        <v>31591</v>
      </c>
      <c r="I13372" t="s">
        <v>8822</v>
      </c>
      <c r="J13372" t="s">
        <v>39964</v>
      </c>
      <c r="K13372" t="s">
        <v>41189</v>
      </c>
      <c r="M13372" t="s">
        <v>43523</v>
      </c>
      <c r="N13372" t="s">
        <v>45095</v>
      </c>
      <c r="O13372" t="s">
        <v>45096</v>
      </c>
      <c r="P13372">
        <v>0</v>
      </c>
      <c r="Q13372">
        <v>0</v>
      </c>
      <c r="R13372" t="s">
        <v>45115</v>
      </c>
      <c r="S13372" t="s">
        <v>45845</v>
      </c>
      <c r="T13372" t="s">
        <v>47255</v>
      </c>
      <c r="U13372" t="s">
        <v>58299</v>
      </c>
      <c r="V13372" t="s">
        <v>60477</v>
      </c>
      <c r="W13372" t="s">
        <v>43523</v>
      </c>
      <c r="X13372" t="s">
        <v>45116</v>
      </c>
    </row>
    <row r="13373" spans="1:24">
      <c r="A13373">
        <f>HYPERLINK("https://www.philgeps.gov.ph/GEPSNONPILOT/Tender/SplashBidNoticeAbstractUI.aspx?menuIndex=3&amp;refID=7014566&amp;Result=3","7014566")</f>
        <v>0</v>
      </c>
      <c r="B13373" t="s">
        <v>1443</v>
      </c>
      <c r="C13373" t="s">
        <v>15998</v>
      </c>
      <c r="D13373" t="s">
        <v>18074</v>
      </c>
      <c r="E13373" t="s">
        <v>29675</v>
      </c>
      <c r="F13373" t="s">
        <v>31574</v>
      </c>
      <c r="G13373" t="s">
        <v>31582</v>
      </c>
      <c r="H13373" t="s">
        <v>31591</v>
      </c>
      <c r="I13373" t="s">
        <v>8822</v>
      </c>
      <c r="J13373" t="s">
        <v>39965</v>
      </c>
      <c r="K13373" t="s">
        <v>41189</v>
      </c>
      <c r="M13373" t="s">
        <v>43523</v>
      </c>
      <c r="N13373" t="s">
        <v>45095</v>
      </c>
      <c r="O13373" t="s">
        <v>45096</v>
      </c>
      <c r="P13373">
        <v>0</v>
      </c>
      <c r="Q13373">
        <v>0</v>
      </c>
      <c r="R13373" t="s">
        <v>45115</v>
      </c>
      <c r="S13373" t="s">
        <v>45845</v>
      </c>
      <c r="T13373" t="s">
        <v>47255</v>
      </c>
      <c r="U13373" t="s">
        <v>58300</v>
      </c>
      <c r="V13373" t="s">
        <v>60477</v>
      </c>
      <c r="W13373" t="s">
        <v>43523</v>
      </c>
      <c r="X13373" t="s">
        <v>45116</v>
      </c>
    </row>
    <row r="13374" spans="1:24">
      <c r="A13374">
        <f>HYPERLINK("https://www.philgeps.gov.ph/GEPSNONPILOT/Tender/SplashBidNoticeAbstractUI.aspx?menuIndex=3&amp;refID=7014635&amp;Result=3","7014635")</f>
        <v>0</v>
      </c>
      <c r="B13374" t="s">
        <v>1443</v>
      </c>
      <c r="C13374" t="s">
        <v>15999</v>
      </c>
      <c r="D13374" t="s">
        <v>18074</v>
      </c>
      <c r="E13374" t="s">
        <v>29676</v>
      </c>
      <c r="F13374" t="s">
        <v>31574</v>
      </c>
      <c r="G13374" t="s">
        <v>31582</v>
      </c>
      <c r="H13374" t="s">
        <v>31591</v>
      </c>
      <c r="I13374" t="s">
        <v>8822</v>
      </c>
      <c r="J13374" t="s">
        <v>39966</v>
      </c>
      <c r="K13374" t="s">
        <v>41200</v>
      </c>
      <c r="M13374" t="s">
        <v>43523</v>
      </c>
      <c r="N13374" t="s">
        <v>45095</v>
      </c>
      <c r="O13374" t="s">
        <v>45096</v>
      </c>
      <c r="P13374">
        <v>0</v>
      </c>
      <c r="Q13374">
        <v>0</v>
      </c>
      <c r="R13374" t="s">
        <v>45115</v>
      </c>
      <c r="S13374" t="s">
        <v>45845</v>
      </c>
      <c r="T13374" t="s">
        <v>47255</v>
      </c>
      <c r="U13374" t="s">
        <v>58301</v>
      </c>
      <c r="V13374" t="s">
        <v>60477</v>
      </c>
      <c r="W13374" t="s">
        <v>43523</v>
      </c>
      <c r="X13374" t="s">
        <v>45116</v>
      </c>
    </row>
    <row r="13375" spans="1:24">
      <c r="A13375">
        <f>HYPERLINK("https://www.philgeps.gov.ph/GEPSNONPILOT/Tender/SplashBidNoticeAbstractUI.aspx?menuIndex=3&amp;refID=7014652&amp;Result=3","7014652")</f>
        <v>0</v>
      </c>
      <c r="B13375" t="s">
        <v>2678</v>
      </c>
      <c r="C13375" t="s">
        <v>16000</v>
      </c>
      <c r="D13375" t="s">
        <v>18066</v>
      </c>
      <c r="E13375" t="s">
        <v>29677</v>
      </c>
      <c r="F13375" t="s">
        <v>31575</v>
      </c>
      <c r="G13375" t="s">
        <v>31582</v>
      </c>
      <c r="H13375" t="s">
        <v>31591</v>
      </c>
      <c r="I13375" t="s">
        <v>8822</v>
      </c>
      <c r="J13375" t="s">
        <v>36513</v>
      </c>
      <c r="K13375" t="s">
        <v>41243</v>
      </c>
      <c r="M13375" t="s">
        <v>44443</v>
      </c>
      <c r="N13375" t="s">
        <v>45095</v>
      </c>
      <c r="O13375" t="s">
        <v>45096</v>
      </c>
      <c r="Q13375">
        <v>5</v>
      </c>
      <c r="R13375" t="s">
        <v>45115</v>
      </c>
      <c r="S13375" t="s">
        <v>45860</v>
      </c>
      <c r="T13375" t="s">
        <v>46982</v>
      </c>
      <c r="U13375" t="s">
        <v>55729</v>
      </c>
      <c r="V13375" t="s">
        <v>61316</v>
      </c>
      <c r="W13375" t="s">
        <v>44443</v>
      </c>
      <c r="X13375" t="s">
        <v>45116</v>
      </c>
    </row>
    <row r="13376" spans="1:24">
      <c r="A13376">
        <f>HYPERLINK("https://www.philgeps.gov.ph/GEPSNONPILOT/Tender/SplashBidNoticeAbstractUI.aspx?menuIndex=3&amp;refID=7014679&amp;Result=3","7014679")</f>
        <v>0</v>
      </c>
      <c r="B13376" t="s">
        <v>1443</v>
      </c>
      <c r="C13376" t="s">
        <v>16001</v>
      </c>
      <c r="D13376" t="s">
        <v>18074</v>
      </c>
      <c r="E13376" t="s">
        <v>29678</v>
      </c>
      <c r="F13376" t="s">
        <v>31574</v>
      </c>
      <c r="G13376" t="s">
        <v>31582</v>
      </c>
      <c r="H13376" t="s">
        <v>31591</v>
      </c>
      <c r="I13376" t="s">
        <v>8822</v>
      </c>
      <c r="J13376" t="s">
        <v>39967</v>
      </c>
      <c r="K13376" t="s">
        <v>41189</v>
      </c>
      <c r="M13376" t="s">
        <v>43523</v>
      </c>
      <c r="N13376" t="s">
        <v>45095</v>
      </c>
      <c r="O13376" t="s">
        <v>45096</v>
      </c>
      <c r="P13376">
        <v>0</v>
      </c>
      <c r="Q13376">
        <v>0</v>
      </c>
      <c r="R13376" t="s">
        <v>45115</v>
      </c>
      <c r="S13376" t="s">
        <v>45845</v>
      </c>
      <c r="T13376" t="s">
        <v>47255</v>
      </c>
      <c r="U13376" t="s">
        <v>58302</v>
      </c>
      <c r="V13376" t="s">
        <v>60477</v>
      </c>
      <c r="W13376" t="s">
        <v>43523</v>
      </c>
      <c r="X13376" t="s">
        <v>45116</v>
      </c>
    </row>
    <row r="13377" spans="1:24">
      <c r="A13377">
        <f>HYPERLINK("https://www.philgeps.gov.ph/GEPSNONPILOT/Tender/SplashBidNoticeAbstractUI.aspx?menuIndex=3&amp;refID=7014696&amp;Result=3","7014696")</f>
        <v>0</v>
      </c>
      <c r="B13377" t="s">
        <v>1443</v>
      </c>
      <c r="C13377" t="s">
        <v>16002</v>
      </c>
      <c r="D13377" t="s">
        <v>18074</v>
      </c>
      <c r="E13377" t="s">
        <v>29679</v>
      </c>
      <c r="F13377" t="s">
        <v>31574</v>
      </c>
      <c r="G13377" t="s">
        <v>31582</v>
      </c>
      <c r="H13377" t="s">
        <v>31591</v>
      </c>
      <c r="I13377" t="s">
        <v>8822</v>
      </c>
      <c r="J13377" t="s">
        <v>39968</v>
      </c>
      <c r="K13377" t="s">
        <v>41189</v>
      </c>
      <c r="M13377" t="s">
        <v>43523</v>
      </c>
      <c r="N13377" t="s">
        <v>45095</v>
      </c>
      <c r="O13377" t="s">
        <v>45096</v>
      </c>
      <c r="P13377">
        <v>0</v>
      </c>
      <c r="Q13377">
        <v>0</v>
      </c>
      <c r="R13377" t="s">
        <v>45115</v>
      </c>
      <c r="S13377" t="s">
        <v>45845</v>
      </c>
      <c r="T13377" t="s">
        <v>47255</v>
      </c>
      <c r="U13377" t="s">
        <v>58303</v>
      </c>
      <c r="V13377" t="s">
        <v>60477</v>
      </c>
      <c r="W13377" t="s">
        <v>43523</v>
      </c>
      <c r="X13377" t="s">
        <v>45116</v>
      </c>
    </row>
    <row r="13378" spans="1:24">
      <c r="A13378">
        <f>HYPERLINK("https://www.philgeps.gov.ph/GEPSNONPILOT/Tender/SplashBidNoticeAbstractUI.aspx?menuIndex=3&amp;refID=7014575&amp;Result=3","7014575")</f>
        <v>0</v>
      </c>
      <c r="B13378" t="s">
        <v>289</v>
      </c>
      <c r="C13378" t="s">
        <v>16003</v>
      </c>
      <c r="D13378" t="s">
        <v>18044</v>
      </c>
      <c r="E13378" t="s">
        <v>29680</v>
      </c>
      <c r="F13378" t="s">
        <v>31574</v>
      </c>
      <c r="G13378" t="s">
        <v>31582</v>
      </c>
      <c r="H13378" t="s">
        <v>31590</v>
      </c>
      <c r="I13378" t="s">
        <v>31700</v>
      </c>
      <c r="J13378" t="s">
        <v>39969</v>
      </c>
      <c r="K13378" t="s">
        <v>41189</v>
      </c>
      <c r="M13378" t="s">
        <v>41775</v>
      </c>
      <c r="N13378" t="s">
        <v>45095</v>
      </c>
      <c r="O13378" t="s">
        <v>45096</v>
      </c>
      <c r="P13378">
        <v>0</v>
      </c>
      <c r="Q13378">
        <v>3</v>
      </c>
      <c r="R13378" t="s">
        <v>45115</v>
      </c>
      <c r="S13378" t="s">
        <v>45845</v>
      </c>
      <c r="T13378" t="s">
        <v>46979</v>
      </c>
      <c r="U13378" t="s">
        <v>58304</v>
      </c>
      <c r="W13378" t="s">
        <v>61661</v>
      </c>
      <c r="X13378" t="s">
        <v>45116</v>
      </c>
    </row>
    <row r="13379" spans="1:24">
      <c r="A13379">
        <f>HYPERLINK("https://www.philgeps.gov.ph/GEPSNONPILOT/Tender/SplashBidNoticeAbstractUI.aspx?menuIndex=3&amp;refID=7014674&amp;Result=3","7014674")</f>
        <v>0</v>
      </c>
      <c r="B13379" t="s">
        <v>3034</v>
      </c>
      <c r="C13379" t="s">
        <v>16004</v>
      </c>
      <c r="D13379" t="s">
        <v>18081</v>
      </c>
      <c r="E13379" t="s">
        <v>29681</v>
      </c>
      <c r="F13379" t="s">
        <v>31574</v>
      </c>
      <c r="G13379" t="s">
        <v>31582</v>
      </c>
      <c r="H13379" t="s">
        <v>31590</v>
      </c>
      <c r="I13379" t="s">
        <v>4046</v>
      </c>
      <c r="J13379" t="s">
        <v>39970</v>
      </c>
      <c r="K13379" t="s">
        <v>41196</v>
      </c>
      <c r="M13379" t="s">
        <v>44867</v>
      </c>
      <c r="N13379" t="s">
        <v>45095</v>
      </c>
      <c r="O13379" t="s">
        <v>45096</v>
      </c>
      <c r="P13379">
        <v>0</v>
      </c>
      <c r="Q13379">
        <v>0</v>
      </c>
      <c r="R13379" t="s">
        <v>45115</v>
      </c>
      <c r="S13379" t="s">
        <v>45845</v>
      </c>
      <c r="T13379" t="s">
        <v>47106</v>
      </c>
      <c r="U13379" t="s">
        <v>58305</v>
      </c>
      <c r="W13379" t="s">
        <v>44867</v>
      </c>
      <c r="X13379" t="s">
        <v>45116</v>
      </c>
    </row>
    <row r="13380" spans="1:24">
      <c r="A13380">
        <f>HYPERLINK("https://www.philgeps.gov.ph/GEPSNONPILOT/Tender/SplashBidNoticeAbstractUI.aspx?menuIndex=3&amp;refID=7014701&amp;Result=3","7014701")</f>
        <v>0</v>
      </c>
      <c r="B13380" t="s">
        <v>663</v>
      </c>
      <c r="C13380" t="s">
        <v>16005</v>
      </c>
      <c r="E13380" t="s">
        <v>29682</v>
      </c>
      <c r="F13380" t="s">
        <v>31574</v>
      </c>
      <c r="G13380" t="s">
        <v>31582</v>
      </c>
      <c r="H13380" t="s">
        <v>31590</v>
      </c>
      <c r="I13380" t="s">
        <v>31615</v>
      </c>
      <c r="J13380" t="s">
        <v>31771</v>
      </c>
      <c r="K13380" t="s">
        <v>41184</v>
      </c>
      <c r="M13380" t="s">
        <v>42168</v>
      </c>
      <c r="N13380" t="s">
        <v>45095</v>
      </c>
      <c r="O13380" t="s">
        <v>45096</v>
      </c>
      <c r="P13380">
        <v>0</v>
      </c>
      <c r="Q13380">
        <v>4</v>
      </c>
      <c r="R13380" t="s">
        <v>45115</v>
      </c>
      <c r="S13380" t="s">
        <v>45845</v>
      </c>
      <c r="T13380" t="s">
        <v>46922</v>
      </c>
      <c r="U13380" t="s">
        <v>58306</v>
      </c>
      <c r="W13380" t="s">
        <v>42168</v>
      </c>
      <c r="X13380" t="s">
        <v>45116</v>
      </c>
    </row>
    <row r="13381" spans="1:24">
      <c r="A13381">
        <f>HYPERLINK("https://www.philgeps.gov.ph/GEPSNONPILOT/Tender/SplashBidNoticeAbstractUI.aspx?menuIndex=3&amp;refID=7014767&amp;Result=3","7014767")</f>
        <v>0</v>
      </c>
      <c r="B13381" t="s">
        <v>663</v>
      </c>
      <c r="C13381" t="s">
        <v>16006</v>
      </c>
      <c r="E13381" t="s">
        <v>19079</v>
      </c>
      <c r="F13381" t="s">
        <v>31574</v>
      </c>
      <c r="G13381" t="s">
        <v>31582</v>
      </c>
      <c r="H13381" t="s">
        <v>31591</v>
      </c>
      <c r="I13381" t="s">
        <v>31600</v>
      </c>
      <c r="J13381" t="s">
        <v>39971</v>
      </c>
      <c r="K13381" t="s">
        <v>41184</v>
      </c>
      <c r="M13381" t="s">
        <v>42168</v>
      </c>
      <c r="N13381" t="s">
        <v>45095</v>
      </c>
      <c r="O13381" t="s">
        <v>45096</v>
      </c>
      <c r="P13381">
        <v>0</v>
      </c>
      <c r="Q13381">
        <v>0</v>
      </c>
      <c r="R13381" t="s">
        <v>45115</v>
      </c>
      <c r="S13381" t="s">
        <v>45845</v>
      </c>
      <c r="T13381" t="s">
        <v>46922</v>
      </c>
      <c r="U13381" t="s">
        <v>58307</v>
      </c>
      <c r="W13381" t="s">
        <v>42168</v>
      </c>
      <c r="X13381" t="s">
        <v>45116</v>
      </c>
    </row>
    <row r="13382" spans="1:24">
      <c r="A13382">
        <f>HYPERLINK("https://www.philgeps.gov.ph/GEPSNONPILOT/Tender/SplashBidNoticeAbstractUI.aspx?menuIndex=3&amp;refID=7014666&amp;Result=3","7014666")</f>
        <v>0</v>
      </c>
      <c r="B13382" t="s">
        <v>1443</v>
      </c>
      <c r="C13382" t="s">
        <v>16007</v>
      </c>
      <c r="D13382" t="s">
        <v>18074</v>
      </c>
      <c r="E13382" t="s">
        <v>29683</v>
      </c>
      <c r="F13382" t="s">
        <v>31574</v>
      </c>
      <c r="G13382" t="s">
        <v>31582</v>
      </c>
      <c r="H13382" t="s">
        <v>31591</v>
      </c>
      <c r="I13382" t="s">
        <v>8822</v>
      </c>
      <c r="J13382" t="s">
        <v>39972</v>
      </c>
      <c r="K13382" t="s">
        <v>41189</v>
      </c>
      <c r="M13382" t="s">
        <v>43523</v>
      </c>
      <c r="N13382" t="s">
        <v>45095</v>
      </c>
      <c r="O13382" t="s">
        <v>45096</v>
      </c>
      <c r="P13382">
        <v>0</v>
      </c>
      <c r="Q13382">
        <v>0</v>
      </c>
      <c r="R13382" t="s">
        <v>45115</v>
      </c>
      <c r="S13382" t="s">
        <v>45845</v>
      </c>
      <c r="T13382" t="s">
        <v>47255</v>
      </c>
      <c r="U13382" t="s">
        <v>58308</v>
      </c>
      <c r="V13382" t="s">
        <v>60477</v>
      </c>
      <c r="W13382" t="s">
        <v>43523</v>
      </c>
      <c r="X13382" t="s">
        <v>45116</v>
      </c>
    </row>
    <row r="13383" spans="1:24">
      <c r="A13383">
        <f>HYPERLINK("https://www.philgeps.gov.ph/GEPSNONPILOT/Tender/SplashBidNoticeAbstractUI.aspx?menuIndex=3&amp;refID=7014740&amp;Result=3","7014740")</f>
        <v>0</v>
      </c>
      <c r="B13383" t="s">
        <v>1443</v>
      </c>
      <c r="C13383" t="s">
        <v>16008</v>
      </c>
      <c r="D13383" t="s">
        <v>18074</v>
      </c>
      <c r="E13383" t="s">
        <v>29684</v>
      </c>
      <c r="F13383" t="s">
        <v>31574</v>
      </c>
      <c r="G13383" t="s">
        <v>31582</v>
      </c>
      <c r="H13383" t="s">
        <v>31591</v>
      </c>
      <c r="I13383" t="s">
        <v>8822</v>
      </c>
      <c r="J13383" t="s">
        <v>39973</v>
      </c>
      <c r="K13383" t="s">
        <v>41189</v>
      </c>
      <c r="M13383" t="s">
        <v>43523</v>
      </c>
      <c r="N13383" t="s">
        <v>45095</v>
      </c>
      <c r="O13383" t="s">
        <v>45096</v>
      </c>
      <c r="P13383">
        <v>0</v>
      </c>
      <c r="Q13383">
        <v>1</v>
      </c>
      <c r="R13383" t="s">
        <v>45115</v>
      </c>
      <c r="S13383" t="s">
        <v>45845</v>
      </c>
      <c r="T13383" t="s">
        <v>47255</v>
      </c>
      <c r="U13383" t="s">
        <v>58309</v>
      </c>
      <c r="V13383" t="s">
        <v>60477</v>
      </c>
      <c r="W13383" t="s">
        <v>43523</v>
      </c>
      <c r="X13383" t="s">
        <v>45116</v>
      </c>
    </row>
    <row r="13384" spans="1:24">
      <c r="A13384">
        <f>HYPERLINK("https://www.philgeps.gov.ph/GEPSNONPILOT/Tender/SplashBidNoticeAbstractUI.aspx?menuIndex=3&amp;refID=7014565&amp;Result=3","7014565")</f>
        <v>0</v>
      </c>
      <c r="B13384" t="s">
        <v>1446</v>
      </c>
      <c r="C13384" t="s">
        <v>16009</v>
      </c>
      <c r="D13384" t="s">
        <v>18052</v>
      </c>
      <c r="E13384" t="s">
        <v>23284</v>
      </c>
      <c r="F13384" t="s">
        <v>31574</v>
      </c>
      <c r="G13384" t="s">
        <v>31582</v>
      </c>
      <c r="H13384" t="s">
        <v>31590</v>
      </c>
      <c r="I13384" t="s">
        <v>31607</v>
      </c>
      <c r="J13384" t="s">
        <v>39974</v>
      </c>
      <c r="K13384" t="s">
        <v>41186</v>
      </c>
      <c r="M13384" t="s">
        <v>43025</v>
      </c>
      <c r="N13384" t="s">
        <v>45095</v>
      </c>
      <c r="O13384" t="s">
        <v>45096</v>
      </c>
      <c r="P13384">
        <v>0</v>
      </c>
      <c r="Q13384">
        <v>1</v>
      </c>
      <c r="R13384" t="s">
        <v>45115</v>
      </c>
      <c r="S13384" t="s">
        <v>45845</v>
      </c>
      <c r="T13384" t="s">
        <v>47157</v>
      </c>
      <c r="U13384" t="s">
        <v>50981</v>
      </c>
      <c r="V13384" t="s">
        <v>61317</v>
      </c>
      <c r="W13384" t="s">
        <v>43025</v>
      </c>
      <c r="X13384" t="s">
        <v>45116</v>
      </c>
    </row>
    <row r="13385" spans="1:24">
      <c r="A13385">
        <f>HYPERLINK("https://www.philgeps.gov.ph/GEPSNONPILOT/Tender/SplashBidNoticeAbstractUI.aspx?menuIndex=3&amp;refID=7014764&amp;Result=3","7014764")</f>
        <v>0</v>
      </c>
      <c r="B13385" t="s">
        <v>1443</v>
      </c>
      <c r="C13385" t="s">
        <v>16010</v>
      </c>
      <c r="D13385" t="s">
        <v>18074</v>
      </c>
      <c r="E13385" t="s">
        <v>29685</v>
      </c>
      <c r="F13385" t="s">
        <v>31574</v>
      </c>
      <c r="G13385" t="s">
        <v>31582</v>
      </c>
      <c r="H13385" t="s">
        <v>31591</v>
      </c>
      <c r="I13385" t="s">
        <v>8822</v>
      </c>
      <c r="J13385" t="s">
        <v>39975</v>
      </c>
      <c r="K13385" t="s">
        <v>41189</v>
      </c>
      <c r="M13385" t="s">
        <v>43523</v>
      </c>
      <c r="N13385" t="s">
        <v>45095</v>
      </c>
      <c r="O13385" t="s">
        <v>45096</v>
      </c>
      <c r="P13385">
        <v>0</v>
      </c>
      <c r="Q13385">
        <v>0</v>
      </c>
      <c r="R13385" t="s">
        <v>45115</v>
      </c>
      <c r="S13385" t="s">
        <v>45845</v>
      </c>
      <c r="T13385" t="s">
        <v>47255</v>
      </c>
      <c r="U13385" t="s">
        <v>58310</v>
      </c>
      <c r="V13385" t="s">
        <v>60477</v>
      </c>
      <c r="W13385" t="s">
        <v>43523</v>
      </c>
      <c r="X13385" t="s">
        <v>45116</v>
      </c>
    </row>
    <row r="13386" spans="1:24">
      <c r="A13386">
        <f>HYPERLINK("https://www.philgeps.gov.ph/GEPSNONPILOT/Tender/SplashBidNoticeAbstractUI.aspx?menuIndex=3&amp;refID=7014731&amp;Result=3","7014731")</f>
        <v>0</v>
      </c>
      <c r="B13386" t="s">
        <v>663</v>
      </c>
      <c r="C13386" t="s">
        <v>16011</v>
      </c>
      <c r="E13386" t="s">
        <v>20862</v>
      </c>
      <c r="F13386" t="s">
        <v>31574</v>
      </c>
      <c r="G13386" t="s">
        <v>31582</v>
      </c>
      <c r="H13386" t="s">
        <v>31591</v>
      </c>
      <c r="I13386" t="s">
        <v>31600</v>
      </c>
      <c r="J13386" t="s">
        <v>39976</v>
      </c>
      <c r="K13386" t="s">
        <v>41184</v>
      </c>
      <c r="M13386" t="s">
        <v>42168</v>
      </c>
      <c r="N13386" t="s">
        <v>45095</v>
      </c>
      <c r="O13386" t="s">
        <v>45096</v>
      </c>
      <c r="P13386">
        <v>0</v>
      </c>
      <c r="Q13386">
        <v>0</v>
      </c>
      <c r="R13386" t="s">
        <v>45115</v>
      </c>
      <c r="S13386" t="s">
        <v>45845</v>
      </c>
      <c r="T13386" t="s">
        <v>46922</v>
      </c>
      <c r="U13386" t="s">
        <v>58311</v>
      </c>
      <c r="W13386" t="s">
        <v>42168</v>
      </c>
      <c r="X13386" t="s">
        <v>45116</v>
      </c>
    </row>
    <row r="13387" spans="1:24">
      <c r="A13387">
        <f>HYPERLINK("https://www.philgeps.gov.ph/GEPSNONPILOT/Tender/SplashBidNoticeAbstractUI.aspx?menuIndex=3&amp;refID=7014742&amp;Result=3","7014742")</f>
        <v>0</v>
      </c>
      <c r="B13387" t="s">
        <v>2961</v>
      </c>
      <c r="C13387" t="s">
        <v>16012</v>
      </c>
      <c r="D13387" t="s">
        <v>18037</v>
      </c>
      <c r="E13387" t="s">
        <v>29686</v>
      </c>
      <c r="F13387" t="s">
        <v>31574</v>
      </c>
      <c r="G13387" t="s">
        <v>31582</v>
      </c>
      <c r="H13387" t="s">
        <v>31590</v>
      </c>
      <c r="I13387" t="s">
        <v>31615</v>
      </c>
      <c r="J13387" t="s">
        <v>32407</v>
      </c>
      <c r="K13387" t="s">
        <v>41186</v>
      </c>
      <c r="M13387" t="s">
        <v>44781</v>
      </c>
      <c r="N13387" t="s">
        <v>45095</v>
      </c>
      <c r="O13387" t="s">
        <v>45096</v>
      </c>
      <c r="P13387">
        <v>0</v>
      </c>
      <c r="Q13387">
        <v>6</v>
      </c>
      <c r="R13387" t="s">
        <v>45115</v>
      </c>
      <c r="S13387" t="s">
        <v>45845</v>
      </c>
      <c r="T13387" t="s">
        <v>46938</v>
      </c>
      <c r="U13387" t="s">
        <v>58312</v>
      </c>
      <c r="W13387" t="s">
        <v>44781</v>
      </c>
      <c r="X13387" t="s">
        <v>45116</v>
      </c>
    </row>
    <row r="13388" spans="1:24">
      <c r="A13388">
        <f>HYPERLINK("https://www.philgeps.gov.ph/GEPSNONPILOT/Tender/SplashBidNoticeAbstractUI.aspx?menuIndex=3&amp;refID=7014744&amp;Result=3","7014744")</f>
        <v>0</v>
      </c>
      <c r="B13388" t="s">
        <v>663</v>
      </c>
      <c r="C13388" t="s">
        <v>16013</v>
      </c>
      <c r="E13388" t="s">
        <v>20886</v>
      </c>
      <c r="F13388" t="s">
        <v>31574</v>
      </c>
      <c r="G13388" t="s">
        <v>31582</v>
      </c>
      <c r="H13388" t="s">
        <v>31591</v>
      </c>
      <c r="I13388" t="s">
        <v>31600</v>
      </c>
      <c r="J13388" t="s">
        <v>39977</v>
      </c>
      <c r="K13388" t="s">
        <v>41184</v>
      </c>
      <c r="M13388" t="s">
        <v>42168</v>
      </c>
      <c r="N13388" t="s">
        <v>45095</v>
      </c>
      <c r="O13388" t="s">
        <v>45096</v>
      </c>
      <c r="P13388">
        <v>0</v>
      </c>
      <c r="Q13388">
        <v>0</v>
      </c>
      <c r="R13388" t="s">
        <v>45115</v>
      </c>
      <c r="S13388" t="s">
        <v>45845</v>
      </c>
      <c r="T13388" t="s">
        <v>46922</v>
      </c>
      <c r="U13388" t="s">
        <v>58313</v>
      </c>
      <c r="W13388" t="s">
        <v>42168</v>
      </c>
      <c r="X13388" t="s">
        <v>45116</v>
      </c>
    </row>
    <row r="13389" spans="1:24">
      <c r="A13389">
        <f>HYPERLINK("https://www.philgeps.gov.ph/GEPSNONPILOT/Tender/SplashBidNoticeAbstractUI.aspx?menuIndex=3&amp;refID=7014833&amp;Result=3","7014833")</f>
        <v>0</v>
      </c>
      <c r="B13389" t="s">
        <v>1443</v>
      </c>
      <c r="C13389" t="s">
        <v>16014</v>
      </c>
      <c r="D13389" t="s">
        <v>18074</v>
      </c>
      <c r="E13389" t="s">
        <v>29687</v>
      </c>
      <c r="F13389" t="s">
        <v>31574</v>
      </c>
      <c r="G13389" t="s">
        <v>31582</v>
      </c>
      <c r="H13389" t="s">
        <v>31591</v>
      </c>
      <c r="I13389" t="s">
        <v>8822</v>
      </c>
      <c r="J13389" t="s">
        <v>39978</v>
      </c>
      <c r="K13389" t="s">
        <v>41189</v>
      </c>
      <c r="M13389" t="s">
        <v>43523</v>
      </c>
      <c r="N13389" t="s">
        <v>45095</v>
      </c>
      <c r="O13389" t="s">
        <v>45096</v>
      </c>
      <c r="P13389">
        <v>0</v>
      </c>
      <c r="Q13389">
        <v>0</v>
      </c>
      <c r="R13389" t="s">
        <v>45115</v>
      </c>
      <c r="S13389" t="s">
        <v>45845</v>
      </c>
      <c r="T13389" t="s">
        <v>47255</v>
      </c>
      <c r="U13389" t="s">
        <v>58314</v>
      </c>
      <c r="V13389" t="s">
        <v>60477</v>
      </c>
      <c r="W13389" t="s">
        <v>43523</v>
      </c>
      <c r="X13389" t="s">
        <v>45116</v>
      </c>
    </row>
    <row r="13390" spans="1:24">
      <c r="A13390">
        <f>HYPERLINK("https://www.philgeps.gov.ph/GEPSNONPILOT/Tender/SplashBidNoticeAbstractUI.aspx?menuIndex=3&amp;refID=7014737&amp;Result=3","7014737")</f>
        <v>0</v>
      </c>
      <c r="B13390" t="s">
        <v>2678</v>
      </c>
      <c r="C13390" t="s">
        <v>16015</v>
      </c>
      <c r="D13390" t="s">
        <v>18066</v>
      </c>
      <c r="E13390" t="s">
        <v>29688</v>
      </c>
      <c r="F13390" t="s">
        <v>31575</v>
      </c>
      <c r="G13390" t="s">
        <v>31582</v>
      </c>
      <c r="H13390" t="s">
        <v>31591</v>
      </c>
      <c r="I13390" t="s">
        <v>8822</v>
      </c>
      <c r="J13390" t="s">
        <v>34697</v>
      </c>
      <c r="K13390" t="s">
        <v>41350</v>
      </c>
      <c r="M13390" t="s">
        <v>44443</v>
      </c>
      <c r="N13390" t="s">
        <v>45095</v>
      </c>
      <c r="O13390" t="s">
        <v>45096</v>
      </c>
      <c r="Q13390">
        <v>6</v>
      </c>
      <c r="R13390" t="s">
        <v>45115</v>
      </c>
      <c r="S13390" t="s">
        <v>45861</v>
      </c>
      <c r="T13390" t="s">
        <v>46982</v>
      </c>
      <c r="U13390" t="s">
        <v>55729</v>
      </c>
      <c r="V13390" t="s">
        <v>61318</v>
      </c>
      <c r="W13390" t="s">
        <v>44443</v>
      </c>
      <c r="X13390" t="s">
        <v>45116</v>
      </c>
    </row>
    <row r="13391" spans="1:24">
      <c r="A13391">
        <f>HYPERLINK("https://www.philgeps.gov.ph/GEPSNONPILOT/Tender/SplashBidNoticeAbstractUI.aspx?menuIndex=3&amp;refID=7014796&amp;Result=3","7014796")</f>
        <v>0</v>
      </c>
      <c r="B13391" t="s">
        <v>1573</v>
      </c>
      <c r="C13391" t="s">
        <v>16016</v>
      </c>
      <c r="D13391" t="s">
        <v>18023</v>
      </c>
      <c r="E13391" t="s">
        <v>29689</v>
      </c>
      <c r="F13391" t="s">
        <v>31574</v>
      </c>
      <c r="G13391" t="s">
        <v>31584</v>
      </c>
      <c r="H13391" t="s">
        <v>31590</v>
      </c>
      <c r="I13391" t="s">
        <v>3873</v>
      </c>
      <c r="J13391" t="s">
        <v>31950</v>
      </c>
      <c r="K13391" t="s">
        <v>41191</v>
      </c>
      <c r="M13391" t="s">
        <v>43176</v>
      </c>
      <c r="N13391" t="s">
        <v>45095</v>
      </c>
      <c r="O13391" t="s">
        <v>45096</v>
      </c>
      <c r="Q13391">
        <v>0</v>
      </c>
      <c r="R13391" t="s">
        <v>45115</v>
      </c>
      <c r="S13391" t="s">
        <v>45862</v>
      </c>
      <c r="T13391" t="s">
        <v>46979</v>
      </c>
      <c r="U13391" t="s">
        <v>58315</v>
      </c>
      <c r="W13391" t="s">
        <v>43176</v>
      </c>
      <c r="X13391" t="s">
        <v>45116</v>
      </c>
    </row>
    <row r="13392" spans="1:24">
      <c r="A13392">
        <f>HYPERLINK("https://www.philgeps.gov.ph/GEPSNONPILOT/Tender/SplashBidNoticeAbstractUI.aspx?menuIndex=3&amp;refID=7014789&amp;Result=3","7014789")</f>
        <v>0</v>
      </c>
      <c r="B13392" t="s">
        <v>768</v>
      </c>
      <c r="C13392" t="s">
        <v>16017</v>
      </c>
      <c r="D13392" t="s">
        <v>18086</v>
      </c>
      <c r="E13392" t="s">
        <v>29690</v>
      </c>
      <c r="F13392" t="s">
        <v>31574</v>
      </c>
      <c r="G13392" t="s">
        <v>31582</v>
      </c>
      <c r="H13392" t="s">
        <v>31590</v>
      </c>
      <c r="I13392" t="s">
        <v>3539</v>
      </c>
      <c r="J13392" t="s">
        <v>39979</v>
      </c>
      <c r="K13392" t="s">
        <v>41260</v>
      </c>
      <c r="M13392" t="s">
        <v>42282</v>
      </c>
      <c r="N13392" t="s">
        <v>45095</v>
      </c>
      <c r="O13392" t="s">
        <v>45096</v>
      </c>
      <c r="P13392">
        <v>0</v>
      </c>
      <c r="Q13392">
        <v>0</v>
      </c>
      <c r="R13392" t="s">
        <v>45115</v>
      </c>
      <c r="S13392" t="s">
        <v>45845</v>
      </c>
      <c r="T13392" t="s">
        <v>47076</v>
      </c>
      <c r="U13392" t="s">
        <v>58316</v>
      </c>
      <c r="W13392" t="s">
        <v>42282</v>
      </c>
      <c r="X13392" t="s">
        <v>45116</v>
      </c>
    </row>
    <row r="13393" spans="1:24">
      <c r="A13393">
        <f>HYPERLINK("https://www.philgeps.gov.ph/GEPSNONPILOT/Tender/SplashBidNoticeAbstractUI.aspx?menuIndex=3&amp;refID=7014824&amp;Result=3","7014824")</f>
        <v>0</v>
      </c>
      <c r="B13393" t="s">
        <v>2782</v>
      </c>
      <c r="C13393" t="s">
        <v>16018</v>
      </c>
      <c r="D13393" t="s">
        <v>18102</v>
      </c>
      <c r="E13393" t="s">
        <v>29691</v>
      </c>
      <c r="F13393" t="s">
        <v>31574</v>
      </c>
      <c r="G13393" t="s">
        <v>31582</v>
      </c>
      <c r="H13393" t="s">
        <v>31591</v>
      </c>
      <c r="I13393" t="s">
        <v>8822</v>
      </c>
      <c r="J13393" t="s">
        <v>39980</v>
      </c>
      <c r="K13393" t="s">
        <v>41243</v>
      </c>
      <c r="M13393" t="s">
        <v>44557</v>
      </c>
      <c r="N13393" t="s">
        <v>45095</v>
      </c>
      <c r="O13393" t="s">
        <v>45096</v>
      </c>
      <c r="P13393">
        <v>0</v>
      </c>
      <c r="Q13393">
        <v>0</v>
      </c>
      <c r="R13393" t="s">
        <v>45115</v>
      </c>
      <c r="S13393" t="s">
        <v>45845</v>
      </c>
      <c r="T13393" t="s">
        <v>46979</v>
      </c>
      <c r="U13393" t="s">
        <v>58317</v>
      </c>
      <c r="W13393" t="s">
        <v>44557</v>
      </c>
      <c r="X13393" t="s">
        <v>45116</v>
      </c>
    </row>
    <row r="13394" spans="1:24">
      <c r="A13394">
        <f>HYPERLINK("https://www.philgeps.gov.ph/GEPSNONPILOT/Tender/SplashBidNoticeAbstractUI.aspx?menuIndex=3&amp;refID=7014711&amp;Result=3","7014711")</f>
        <v>0</v>
      </c>
      <c r="B13394" t="s">
        <v>1443</v>
      </c>
      <c r="C13394" t="s">
        <v>16019</v>
      </c>
      <c r="D13394" t="s">
        <v>18074</v>
      </c>
      <c r="E13394" t="s">
        <v>29692</v>
      </c>
      <c r="F13394" t="s">
        <v>31574</v>
      </c>
      <c r="G13394" t="s">
        <v>31582</v>
      </c>
      <c r="H13394" t="s">
        <v>31591</v>
      </c>
      <c r="I13394" t="s">
        <v>8822</v>
      </c>
      <c r="J13394" t="s">
        <v>39981</v>
      </c>
      <c r="K13394" t="s">
        <v>41189</v>
      </c>
      <c r="M13394" t="s">
        <v>43523</v>
      </c>
      <c r="N13394" t="s">
        <v>45095</v>
      </c>
      <c r="O13394" t="s">
        <v>45096</v>
      </c>
      <c r="P13394">
        <v>0</v>
      </c>
      <c r="Q13394">
        <v>0</v>
      </c>
      <c r="R13394" t="s">
        <v>45115</v>
      </c>
      <c r="S13394" t="s">
        <v>45845</v>
      </c>
      <c r="T13394" t="s">
        <v>47255</v>
      </c>
      <c r="U13394" t="s">
        <v>58318</v>
      </c>
      <c r="V13394" t="s">
        <v>60477</v>
      </c>
      <c r="W13394" t="s">
        <v>43523</v>
      </c>
      <c r="X13394" t="s">
        <v>45116</v>
      </c>
    </row>
    <row r="13395" spans="1:24">
      <c r="A13395">
        <f>HYPERLINK("https://www.philgeps.gov.ph/GEPSNONPILOT/Tender/SplashBidNoticeAbstractUI.aspx?menuIndex=3&amp;refID=7014709&amp;Result=3","7014709")</f>
        <v>0</v>
      </c>
      <c r="B13395" t="s">
        <v>2678</v>
      </c>
      <c r="C13395" t="s">
        <v>16020</v>
      </c>
      <c r="D13395" t="s">
        <v>18066</v>
      </c>
      <c r="E13395" t="s">
        <v>29693</v>
      </c>
      <c r="F13395" t="s">
        <v>31575</v>
      </c>
      <c r="G13395" t="s">
        <v>31582</v>
      </c>
      <c r="H13395" t="s">
        <v>31591</v>
      </c>
      <c r="I13395" t="s">
        <v>8822</v>
      </c>
      <c r="J13395" t="s">
        <v>33252</v>
      </c>
      <c r="K13395" t="s">
        <v>41198</v>
      </c>
      <c r="M13395" t="s">
        <v>44443</v>
      </c>
      <c r="N13395" t="s">
        <v>45095</v>
      </c>
      <c r="O13395" t="s">
        <v>45096</v>
      </c>
      <c r="Q13395">
        <v>4</v>
      </c>
      <c r="R13395" t="s">
        <v>45115</v>
      </c>
      <c r="S13395" t="s">
        <v>45863</v>
      </c>
      <c r="T13395" t="s">
        <v>46982</v>
      </c>
      <c r="U13395" t="s">
        <v>55729</v>
      </c>
      <c r="V13395" t="s">
        <v>61318</v>
      </c>
      <c r="W13395" t="s">
        <v>44443</v>
      </c>
      <c r="X13395" t="s">
        <v>45116</v>
      </c>
    </row>
    <row r="13396" spans="1:24">
      <c r="A13396">
        <f>HYPERLINK("https://www.philgeps.gov.ph/GEPSNONPILOT/Tender/SplashBidNoticeAbstractUI.aspx?menuIndex=3&amp;refID=7014728&amp;Result=3","7014728")</f>
        <v>0</v>
      </c>
      <c r="B13396" t="s">
        <v>1443</v>
      </c>
      <c r="C13396" t="s">
        <v>16021</v>
      </c>
      <c r="D13396" t="s">
        <v>18074</v>
      </c>
      <c r="E13396" t="s">
        <v>29694</v>
      </c>
      <c r="F13396" t="s">
        <v>31574</v>
      </c>
      <c r="G13396" t="s">
        <v>31582</v>
      </c>
      <c r="H13396" t="s">
        <v>31591</v>
      </c>
      <c r="I13396" t="s">
        <v>8822</v>
      </c>
      <c r="J13396" t="s">
        <v>39982</v>
      </c>
      <c r="K13396" t="s">
        <v>41189</v>
      </c>
      <c r="M13396" t="s">
        <v>43523</v>
      </c>
      <c r="N13396" t="s">
        <v>45095</v>
      </c>
      <c r="O13396" t="s">
        <v>45096</v>
      </c>
      <c r="P13396">
        <v>0</v>
      </c>
      <c r="Q13396">
        <v>1</v>
      </c>
      <c r="R13396" t="s">
        <v>45115</v>
      </c>
      <c r="S13396" t="s">
        <v>45845</v>
      </c>
      <c r="T13396" t="s">
        <v>47255</v>
      </c>
      <c r="U13396" t="s">
        <v>58319</v>
      </c>
      <c r="V13396" t="s">
        <v>60477</v>
      </c>
      <c r="W13396" t="s">
        <v>43523</v>
      </c>
      <c r="X13396" t="s">
        <v>45116</v>
      </c>
    </row>
    <row r="13397" spans="1:24">
      <c r="A13397">
        <f>HYPERLINK("https://www.philgeps.gov.ph/GEPSNONPILOT/Tender/SplashBidNoticeAbstractUI.aspx?menuIndex=3&amp;refID=7014792&amp;Result=3","7014792")</f>
        <v>0</v>
      </c>
      <c r="B13397" t="s">
        <v>1443</v>
      </c>
      <c r="C13397" t="s">
        <v>16022</v>
      </c>
      <c r="D13397" t="s">
        <v>18074</v>
      </c>
      <c r="E13397" t="s">
        <v>29695</v>
      </c>
      <c r="F13397" t="s">
        <v>31574</v>
      </c>
      <c r="G13397" t="s">
        <v>31582</v>
      </c>
      <c r="H13397" t="s">
        <v>31591</v>
      </c>
      <c r="I13397" t="s">
        <v>8822</v>
      </c>
      <c r="J13397" t="s">
        <v>39983</v>
      </c>
      <c r="K13397" t="s">
        <v>41200</v>
      </c>
      <c r="M13397" t="s">
        <v>43523</v>
      </c>
      <c r="N13397" t="s">
        <v>45095</v>
      </c>
      <c r="O13397" t="s">
        <v>45096</v>
      </c>
      <c r="P13397">
        <v>0</v>
      </c>
      <c r="Q13397">
        <v>0</v>
      </c>
      <c r="R13397" t="s">
        <v>45115</v>
      </c>
      <c r="S13397" t="s">
        <v>45845</v>
      </c>
      <c r="T13397" t="s">
        <v>47255</v>
      </c>
      <c r="U13397" t="s">
        <v>58320</v>
      </c>
      <c r="V13397" t="s">
        <v>60477</v>
      </c>
      <c r="W13397" t="s">
        <v>43523</v>
      </c>
      <c r="X13397" t="s">
        <v>45116</v>
      </c>
    </row>
    <row r="13398" spans="1:24">
      <c r="A13398">
        <f>HYPERLINK("https://www.philgeps.gov.ph/GEPSNONPILOT/Tender/SplashBidNoticeAbstractUI.aspx?menuIndex=3&amp;refID=7014802&amp;Result=3","7014802")</f>
        <v>0</v>
      </c>
      <c r="B13398" t="s">
        <v>2678</v>
      </c>
      <c r="C13398" t="s">
        <v>16023</v>
      </c>
      <c r="D13398" t="s">
        <v>18066</v>
      </c>
      <c r="E13398" t="s">
        <v>29696</v>
      </c>
      <c r="F13398" t="s">
        <v>31575</v>
      </c>
      <c r="G13398" t="s">
        <v>31582</v>
      </c>
      <c r="H13398" t="s">
        <v>31591</v>
      </c>
      <c r="I13398" t="s">
        <v>8822</v>
      </c>
      <c r="J13398" t="s">
        <v>34707</v>
      </c>
      <c r="K13398" t="s">
        <v>41202</v>
      </c>
      <c r="M13398" t="s">
        <v>44443</v>
      </c>
      <c r="N13398" t="s">
        <v>45095</v>
      </c>
      <c r="O13398" t="s">
        <v>45096</v>
      </c>
      <c r="Q13398">
        <v>7</v>
      </c>
      <c r="R13398" t="s">
        <v>45115</v>
      </c>
      <c r="S13398" t="s">
        <v>45864</v>
      </c>
      <c r="T13398" t="s">
        <v>46982</v>
      </c>
      <c r="U13398" t="s">
        <v>55729</v>
      </c>
      <c r="V13398" t="s">
        <v>61319</v>
      </c>
      <c r="W13398" t="s">
        <v>44443</v>
      </c>
      <c r="X13398" t="s">
        <v>45116</v>
      </c>
    </row>
    <row r="13399" spans="1:24">
      <c r="A13399">
        <f>HYPERLINK("https://www.philgeps.gov.ph/GEPSNONPILOT/Tender/SplashBidNoticeAbstractUI.aspx?menuIndex=3&amp;refID=7014710&amp;Result=3","7014710")</f>
        <v>0</v>
      </c>
      <c r="B13399" t="s">
        <v>669</v>
      </c>
      <c r="C13399" t="s">
        <v>16024</v>
      </c>
      <c r="D13399" t="s">
        <v>18050</v>
      </c>
      <c r="E13399" t="s">
        <v>29697</v>
      </c>
      <c r="F13399" t="s">
        <v>31574</v>
      </c>
      <c r="G13399" t="s">
        <v>31582</v>
      </c>
      <c r="H13399" t="s">
        <v>31591</v>
      </c>
      <c r="I13399" t="s">
        <v>8822</v>
      </c>
      <c r="J13399" t="s">
        <v>34058</v>
      </c>
      <c r="K13399" t="s">
        <v>41464</v>
      </c>
      <c r="M13399" t="s">
        <v>42174</v>
      </c>
      <c r="N13399" t="s">
        <v>45095</v>
      </c>
      <c r="O13399" t="s">
        <v>45096</v>
      </c>
      <c r="P13399">
        <v>0</v>
      </c>
      <c r="Q13399">
        <v>4</v>
      </c>
      <c r="R13399" t="s">
        <v>45115</v>
      </c>
      <c r="S13399" t="s">
        <v>45845</v>
      </c>
      <c r="T13399" t="s">
        <v>47159</v>
      </c>
      <c r="U13399" t="s">
        <v>58321</v>
      </c>
      <c r="W13399" t="s">
        <v>42174</v>
      </c>
      <c r="X13399" t="s">
        <v>45116</v>
      </c>
    </row>
    <row r="13400" spans="1:24">
      <c r="A13400">
        <f>HYPERLINK("https://www.philgeps.gov.ph/GEPSNONPILOT/Tender/SplashBidNoticeAbstractUI.aspx?menuIndex=3&amp;refID=7014896&amp;Result=3","7014896")</f>
        <v>0</v>
      </c>
      <c r="B13400" t="s">
        <v>725</v>
      </c>
      <c r="C13400" t="s">
        <v>16025</v>
      </c>
      <c r="D13400" t="s">
        <v>18092</v>
      </c>
      <c r="E13400" t="s">
        <v>29698</v>
      </c>
      <c r="F13400" t="s">
        <v>31574</v>
      </c>
      <c r="G13400" t="s">
        <v>31588</v>
      </c>
      <c r="H13400" t="s">
        <v>31590</v>
      </c>
      <c r="I13400" t="s">
        <v>31602</v>
      </c>
      <c r="J13400" t="s">
        <v>39984</v>
      </c>
      <c r="K13400" t="s">
        <v>41193</v>
      </c>
      <c r="M13400" t="s">
        <v>42235</v>
      </c>
      <c r="N13400" t="s">
        <v>45095</v>
      </c>
      <c r="O13400" t="s">
        <v>45096</v>
      </c>
      <c r="P13400">
        <v>0</v>
      </c>
      <c r="Q13400">
        <v>0</v>
      </c>
      <c r="R13400" t="s">
        <v>45115</v>
      </c>
      <c r="S13400" t="s">
        <v>45845</v>
      </c>
      <c r="T13400" t="s">
        <v>46932</v>
      </c>
      <c r="U13400" t="s">
        <v>58322</v>
      </c>
      <c r="V13400" t="s">
        <v>61320</v>
      </c>
      <c r="W13400" t="s">
        <v>42235</v>
      </c>
      <c r="X13400" t="s">
        <v>45116</v>
      </c>
    </row>
    <row r="13401" spans="1:24">
      <c r="A13401">
        <f>HYPERLINK("https://www.philgeps.gov.ph/GEPSNONPILOT/Tender/SplashBidNoticeAbstractUI.aspx?menuIndex=3&amp;refID=7014840&amp;Result=3","7014840")</f>
        <v>0</v>
      </c>
      <c r="B13401" t="s">
        <v>3035</v>
      </c>
      <c r="C13401" t="s">
        <v>16026</v>
      </c>
      <c r="D13401" t="s">
        <v>18045</v>
      </c>
      <c r="E13401" t="s">
        <v>29699</v>
      </c>
      <c r="F13401" t="s">
        <v>31574</v>
      </c>
      <c r="G13401" t="s">
        <v>31582</v>
      </c>
      <c r="H13401" t="s">
        <v>31591</v>
      </c>
      <c r="I13401" t="s">
        <v>8822</v>
      </c>
      <c r="J13401" t="s">
        <v>39985</v>
      </c>
      <c r="K13401" t="s">
        <v>41200</v>
      </c>
      <c r="M13401" t="s">
        <v>44868</v>
      </c>
      <c r="N13401" t="s">
        <v>45095</v>
      </c>
      <c r="O13401" t="s">
        <v>45096</v>
      </c>
      <c r="Q13401">
        <v>1</v>
      </c>
      <c r="R13401" t="s">
        <v>45115</v>
      </c>
      <c r="S13401" t="s">
        <v>45865</v>
      </c>
      <c r="T13401" t="s">
        <v>46973</v>
      </c>
      <c r="U13401" t="s">
        <v>58323</v>
      </c>
      <c r="V13401" t="s">
        <v>61321</v>
      </c>
      <c r="W13401" t="s">
        <v>44868</v>
      </c>
      <c r="X13401" t="s">
        <v>45116</v>
      </c>
    </row>
    <row r="13402" spans="1:24">
      <c r="A13402">
        <f>HYPERLINK("https://www.philgeps.gov.ph/GEPSNONPILOT/Tender/SplashBidNoticeAbstractUI.aspx?menuIndex=3&amp;refID=7014819&amp;Result=3","7014819")</f>
        <v>0</v>
      </c>
      <c r="B13402" t="s">
        <v>1443</v>
      </c>
      <c r="C13402" t="s">
        <v>16027</v>
      </c>
      <c r="D13402" t="s">
        <v>18074</v>
      </c>
      <c r="E13402" t="s">
        <v>29700</v>
      </c>
      <c r="F13402" t="s">
        <v>31574</v>
      </c>
      <c r="G13402" t="s">
        <v>31582</v>
      </c>
      <c r="H13402" t="s">
        <v>31591</v>
      </c>
      <c r="I13402" t="s">
        <v>8822</v>
      </c>
      <c r="J13402" t="s">
        <v>39978</v>
      </c>
      <c r="K13402" t="s">
        <v>41189</v>
      </c>
      <c r="M13402" t="s">
        <v>43523</v>
      </c>
      <c r="N13402" t="s">
        <v>45095</v>
      </c>
      <c r="O13402" t="s">
        <v>45096</v>
      </c>
      <c r="P13402">
        <v>0</v>
      </c>
      <c r="Q13402">
        <v>0</v>
      </c>
      <c r="R13402" t="s">
        <v>45115</v>
      </c>
      <c r="S13402" t="s">
        <v>45845</v>
      </c>
      <c r="T13402" t="s">
        <v>47255</v>
      </c>
      <c r="U13402" t="s">
        <v>58324</v>
      </c>
      <c r="V13402" t="s">
        <v>60477</v>
      </c>
      <c r="W13402" t="s">
        <v>43523</v>
      </c>
      <c r="X13402" t="s">
        <v>45116</v>
      </c>
    </row>
    <row r="13403" spans="1:24">
      <c r="A13403">
        <f>HYPERLINK("https://www.philgeps.gov.ph/GEPSNONPILOT/Tender/SplashBidNoticeAbstractUI.aspx?menuIndex=3&amp;refID=7014905&amp;Result=3","7014905")</f>
        <v>0</v>
      </c>
      <c r="B13403" t="s">
        <v>1665</v>
      </c>
      <c r="C13403" t="s">
        <v>16028</v>
      </c>
      <c r="D13403" t="s">
        <v>18075</v>
      </c>
      <c r="E13403" t="s">
        <v>29701</v>
      </c>
      <c r="F13403" t="s">
        <v>31574</v>
      </c>
      <c r="G13403" t="s">
        <v>31582</v>
      </c>
      <c r="H13403" t="s">
        <v>31590</v>
      </c>
      <c r="I13403" t="s">
        <v>31641</v>
      </c>
      <c r="J13403" t="s">
        <v>39986</v>
      </c>
      <c r="K13403" t="s">
        <v>41186</v>
      </c>
      <c r="M13403" t="s">
        <v>43278</v>
      </c>
      <c r="N13403" t="s">
        <v>45095</v>
      </c>
      <c r="O13403" t="s">
        <v>45096</v>
      </c>
      <c r="P13403">
        <v>0</v>
      </c>
      <c r="Q13403">
        <v>4</v>
      </c>
      <c r="R13403" t="s">
        <v>45115</v>
      </c>
      <c r="S13403" t="s">
        <v>45845</v>
      </c>
      <c r="T13403" t="s">
        <v>46936</v>
      </c>
      <c r="U13403" t="s">
        <v>58325</v>
      </c>
      <c r="W13403" t="s">
        <v>43278</v>
      </c>
      <c r="X13403" t="s">
        <v>45116</v>
      </c>
    </row>
    <row r="13404" spans="1:24">
      <c r="A13404">
        <f>HYPERLINK("https://www.philgeps.gov.ph/GEPSNONPILOT/Tender/SplashBidNoticeAbstractUI.aspx?menuIndex=3&amp;refID=7014897&amp;Result=3","7014897")</f>
        <v>0</v>
      </c>
      <c r="B13404" t="s">
        <v>3035</v>
      </c>
      <c r="C13404" t="s">
        <v>16029</v>
      </c>
      <c r="D13404" t="s">
        <v>18045</v>
      </c>
      <c r="E13404" t="s">
        <v>29702</v>
      </c>
      <c r="F13404" t="s">
        <v>31574</v>
      </c>
      <c r="G13404" t="s">
        <v>31582</v>
      </c>
      <c r="H13404" t="s">
        <v>31591</v>
      </c>
      <c r="I13404" t="s">
        <v>8822</v>
      </c>
      <c r="J13404" t="s">
        <v>39987</v>
      </c>
      <c r="K13404" t="s">
        <v>41274</v>
      </c>
      <c r="M13404" t="s">
        <v>44868</v>
      </c>
      <c r="N13404" t="s">
        <v>45095</v>
      </c>
      <c r="O13404" t="s">
        <v>45096</v>
      </c>
      <c r="Q13404">
        <v>0</v>
      </c>
      <c r="R13404" t="s">
        <v>45115</v>
      </c>
      <c r="S13404" t="s">
        <v>45866</v>
      </c>
      <c r="T13404" t="s">
        <v>46973</v>
      </c>
      <c r="U13404" t="s">
        <v>58326</v>
      </c>
      <c r="V13404" t="s">
        <v>61322</v>
      </c>
      <c r="W13404" t="s">
        <v>44868</v>
      </c>
      <c r="X13404" t="s">
        <v>45116</v>
      </c>
    </row>
    <row r="13405" spans="1:24">
      <c r="A13405">
        <f>HYPERLINK("https://www.philgeps.gov.ph/GEPSNONPILOT/Tender/SplashBidNoticeAbstractUI.aspx?menuIndex=3&amp;refID=7014911&amp;Result=3","7014911")</f>
        <v>0</v>
      </c>
      <c r="B13405" t="s">
        <v>100</v>
      </c>
      <c r="C13405" t="s">
        <v>16030</v>
      </c>
      <c r="D13405" t="s">
        <v>18064</v>
      </c>
      <c r="E13405" t="s">
        <v>29703</v>
      </c>
      <c r="F13405" t="s">
        <v>31574</v>
      </c>
      <c r="G13405" t="s">
        <v>31582</v>
      </c>
      <c r="H13405" t="s">
        <v>31591</v>
      </c>
      <c r="I13405" t="s">
        <v>8822</v>
      </c>
      <c r="J13405" t="s">
        <v>32026</v>
      </c>
      <c r="K13405" t="s">
        <v>41228</v>
      </c>
      <c r="M13405" t="s">
        <v>41584</v>
      </c>
      <c r="N13405" t="s">
        <v>45095</v>
      </c>
      <c r="O13405" t="s">
        <v>45096</v>
      </c>
      <c r="P13405">
        <v>0</v>
      </c>
      <c r="Q13405">
        <v>1</v>
      </c>
      <c r="R13405" t="s">
        <v>45115</v>
      </c>
      <c r="S13405" t="s">
        <v>45845</v>
      </c>
      <c r="T13405" t="s">
        <v>46946</v>
      </c>
      <c r="U13405" t="s">
        <v>58327</v>
      </c>
      <c r="W13405" t="s">
        <v>41584</v>
      </c>
      <c r="X13405" t="s">
        <v>45116</v>
      </c>
    </row>
    <row r="13406" spans="1:24">
      <c r="A13406">
        <f>HYPERLINK("https://www.philgeps.gov.ph/GEPSNONPILOT/Tender/SplashBidNoticeAbstractUI.aspx?menuIndex=3&amp;refID=7014873&amp;Result=3","7014873")</f>
        <v>0</v>
      </c>
      <c r="B13406" t="s">
        <v>3035</v>
      </c>
      <c r="C13406" t="s">
        <v>16031</v>
      </c>
      <c r="D13406" t="s">
        <v>18045</v>
      </c>
      <c r="E13406" t="s">
        <v>29704</v>
      </c>
      <c r="F13406" t="s">
        <v>31574</v>
      </c>
      <c r="G13406" t="s">
        <v>31582</v>
      </c>
      <c r="H13406" t="s">
        <v>31591</v>
      </c>
      <c r="I13406" t="s">
        <v>8822</v>
      </c>
      <c r="J13406" t="s">
        <v>39988</v>
      </c>
      <c r="K13406" t="s">
        <v>41209</v>
      </c>
      <c r="M13406" t="s">
        <v>44868</v>
      </c>
      <c r="N13406" t="s">
        <v>45095</v>
      </c>
      <c r="O13406" t="s">
        <v>45096</v>
      </c>
      <c r="Q13406">
        <v>0</v>
      </c>
      <c r="R13406" t="s">
        <v>45115</v>
      </c>
      <c r="S13406" t="s">
        <v>45867</v>
      </c>
      <c r="T13406" t="s">
        <v>46973</v>
      </c>
      <c r="U13406" t="s">
        <v>58323</v>
      </c>
      <c r="V13406" t="s">
        <v>61323</v>
      </c>
      <c r="W13406" t="s">
        <v>44868</v>
      </c>
      <c r="X13406" t="s">
        <v>45116</v>
      </c>
    </row>
    <row r="13407" spans="1:24">
      <c r="A13407">
        <f>HYPERLINK("https://www.philgeps.gov.ph/GEPSNONPILOT/Tender/SplashBidNoticeAbstractUI.aspx?menuIndex=3&amp;refID=7014888&amp;Result=3","7014888")</f>
        <v>0</v>
      </c>
      <c r="B13407" t="s">
        <v>2678</v>
      </c>
      <c r="C13407" t="s">
        <v>16032</v>
      </c>
      <c r="D13407" t="s">
        <v>18066</v>
      </c>
      <c r="E13407" t="s">
        <v>29705</v>
      </c>
      <c r="F13407" t="s">
        <v>31575</v>
      </c>
      <c r="G13407" t="s">
        <v>31582</v>
      </c>
      <c r="H13407" t="s">
        <v>31591</v>
      </c>
      <c r="I13407" t="s">
        <v>8822</v>
      </c>
      <c r="J13407" t="s">
        <v>34980</v>
      </c>
      <c r="K13407" t="s">
        <v>41256</v>
      </c>
      <c r="M13407" t="s">
        <v>44443</v>
      </c>
      <c r="N13407" t="s">
        <v>45095</v>
      </c>
      <c r="O13407" t="s">
        <v>45096</v>
      </c>
      <c r="Q13407">
        <v>6</v>
      </c>
      <c r="R13407" t="s">
        <v>45115</v>
      </c>
      <c r="S13407" t="s">
        <v>45868</v>
      </c>
      <c r="T13407" t="s">
        <v>46982</v>
      </c>
      <c r="U13407" t="s">
        <v>55729</v>
      </c>
      <c r="V13407" t="s">
        <v>61318</v>
      </c>
      <c r="W13407" t="s">
        <v>44443</v>
      </c>
      <c r="X13407" t="s">
        <v>45116</v>
      </c>
    </row>
    <row r="13408" spans="1:24">
      <c r="A13408">
        <f>HYPERLINK("https://www.philgeps.gov.ph/GEPSNONPILOT/Tender/SplashBidNoticeAbstractUI.aspx?menuIndex=3&amp;refID=7014893&amp;Result=3","7014893")</f>
        <v>0</v>
      </c>
      <c r="B13408" t="s">
        <v>1443</v>
      </c>
      <c r="C13408" t="s">
        <v>16033</v>
      </c>
      <c r="D13408" t="s">
        <v>18074</v>
      </c>
      <c r="E13408" t="s">
        <v>29706</v>
      </c>
      <c r="F13408" t="s">
        <v>31574</v>
      </c>
      <c r="G13408" t="s">
        <v>31582</v>
      </c>
      <c r="H13408" t="s">
        <v>31591</v>
      </c>
      <c r="I13408" t="s">
        <v>8822</v>
      </c>
      <c r="J13408" t="s">
        <v>39989</v>
      </c>
      <c r="K13408" t="s">
        <v>41200</v>
      </c>
      <c r="M13408" t="s">
        <v>43523</v>
      </c>
      <c r="N13408" t="s">
        <v>45095</v>
      </c>
      <c r="O13408" t="s">
        <v>45096</v>
      </c>
      <c r="P13408">
        <v>0</v>
      </c>
      <c r="Q13408">
        <v>0</v>
      </c>
      <c r="R13408" t="s">
        <v>45115</v>
      </c>
      <c r="S13408" t="s">
        <v>45845</v>
      </c>
      <c r="T13408" t="s">
        <v>47255</v>
      </c>
      <c r="U13408" t="s">
        <v>58328</v>
      </c>
      <c r="V13408" t="s">
        <v>60477</v>
      </c>
      <c r="W13408" t="s">
        <v>43523</v>
      </c>
      <c r="X13408" t="s">
        <v>45116</v>
      </c>
    </row>
    <row r="13409" spans="1:24">
      <c r="A13409">
        <f>HYPERLINK("https://www.philgeps.gov.ph/GEPSNONPILOT/Tender/SplashBidNoticeAbstractUI.aspx?menuIndex=3&amp;refID=7014856&amp;Result=3","7014856")</f>
        <v>0</v>
      </c>
      <c r="B13409" t="s">
        <v>3035</v>
      </c>
      <c r="C13409" t="s">
        <v>16034</v>
      </c>
      <c r="D13409" t="s">
        <v>18045</v>
      </c>
      <c r="E13409" t="s">
        <v>29707</v>
      </c>
      <c r="F13409" t="s">
        <v>31574</v>
      </c>
      <c r="G13409" t="s">
        <v>31582</v>
      </c>
      <c r="H13409" t="s">
        <v>31591</v>
      </c>
      <c r="I13409" t="s">
        <v>8822</v>
      </c>
      <c r="J13409" t="s">
        <v>31771</v>
      </c>
      <c r="K13409" t="s">
        <v>41209</v>
      </c>
      <c r="M13409" t="s">
        <v>44868</v>
      </c>
      <c r="N13409" t="s">
        <v>45095</v>
      </c>
      <c r="O13409" t="s">
        <v>45096</v>
      </c>
      <c r="Q13409">
        <v>0</v>
      </c>
      <c r="R13409" t="s">
        <v>45115</v>
      </c>
      <c r="S13409" t="s">
        <v>45869</v>
      </c>
      <c r="T13409" t="s">
        <v>46973</v>
      </c>
      <c r="U13409" t="s">
        <v>58326</v>
      </c>
      <c r="V13409" t="s">
        <v>61324</v>
      </c>
      <c r="W13409" t="s">
        <v>44868</v>
      </c>
      <c r="X13409" t="s">
        <v>45116</v>
      </c>
    </row>
    <row r="13410" spans="1:24">
      <c r="A13410">
        <f>HYPERLINK("https://www.philgeps.gov.ph/GEPSNONPILOT/Tender/SplashBidNoticeAbstractUI.aspx?menuIndex=3&amp;refID=7014919&amp;Result=3","7014919")</f>
        <v>0</v>
      </c>
      <c r="B13410" t="s">
        <v>3035</v>
      </c>
      <c r="C13410" t="s">
        <v>16035</v>
      </c>
      <c r="D13410" t="s">
        <v>18045</v>
      </c>
      <c r="E13410" t="s">
        <v>29708</v>
      </c>
      <c r="F13410" t="s">
        <v>31574</v>
      </c>
      <c r="G13410" t="s">
        <v>31582</v>
      </c>
      <c r="H13410" t="s">
        <v>31591</v>
      </c>
      <c r="I13410" t="s">
        <v>8822</v>
      </c>
      <c r="J13410" t="s">
        <v>39990</v>
      </c>
      <c r="K13410" t="s">
        <v>41209</v>
      </c>
      <c r="M13410" t="s">
        <v>44868</v>
      </c>
      <c r="N13410" t="s">
        <v>45095</v>
      </c>
      <c r="O13410" t="s">
        <v>45096</v>
      </c>
      <c r="Q13410">
        <v>0</v>
      </c>
      <c r="R13410" t="s">
        <v>45115</v>
      </c>
      <c r="S13410" t="s">
        <v>45870</v>
      </c>
      <c r="T13410" t="s">
        <v>46973</v>
      </c>
      <c r="U13410" t="s">
        <v>58326</v>
      </c>
      <c r="V13410" t="s">
        <v>61325</v>
      </c>
      <c r="W13410" t="s">
        <v>44868</v>
      </c>
      <c r="X13410" t="s">
        <v>45116</v>
      </c>
    </row>
    <row r="13411" spans="1:24">
      <c r="A13411">
        <f>HYPERLINK("https://www.philgeps.gov.ph/GEPSNONPILOT/Tender/SplashBidNoticeAbstractUI.aspx?menuIndex=3&amp;refID=7014883&amp;Result=3","7014883")</f>
        <v>0</v>
      </c>
      <c r="B13411" t="s">
        <v>1029</v>
      </c>
      <c r="C13411" t="s">
        <v>16036</v>
      </c>
      <c r="E13411" t="s">
        <v>29709</v>
      </c>
      <c r="F13411" t="s">
        <v>31574</v>
      </c>
      <c r="G13411" t="s">
        <v>31582</v>
      </c>
      <c r="H13411" t="s">
        <v>31590</v>
      </c>
      <c r="I13411" t="s">
        <v>31619</v>
      </c>
      <c r="J13411" t="s">
        <v>39991</v>
      </c>
      <c r="K13411" t="s">
        <v>41184</v>
      </c>
      <c r="M13411" t="s">
        <v>42570</v>
      </c>
      <c r="N13411" t="s">
        <v>45095</v>
      </c>
      <c r="O13411" t="s">
        <v>45096</v>
      </c>
      <c r="P13411">
        <v>0</v>
      </c>
      <c r="Q13411">
        <v>15</v>
      </c>
      <c r="R13411" t="s">
        <v>45115</v>
      </c>
      <c r="S13411" t="s">
        <v>45845</v>
      </c>
      <c r="T13411" t="s">
        <v>46910</v>
      </c>
      <c r="U13411" t="s">
        <v>58329</v>
      </c>
      <c r="W13411" t="s">
        <v>42570</v>
      </c>
      <c r="X13411" t="s">
        <v>45116</v>
      </c>
    </row>
    <row r="13412" spans="1:24">
      <c r="A13412">
        <f>HYPERLINK("https://www.philgeps.gov.ph/GEPSNONPILOT/Tender/SplashBidNoticeAbstractUI.aspx?menuIndex=3&amp;refID=7014954&amp;Result=3","7014954")</f>
        <v>0</v>
      </c>
      <c r="B13412" t="s">
        <v>2678</v>
      </c>
      <c r="C13412" t="s">
        <v>16037</v>
      </c>
      <c r="D13412" t="s">
        <v>18066</v>
      </c>
      <c r="E13412" t="s">
        <v>29710</v>
      </c>
      <c r="F13412" t="s">
        <v>31575</v>
      </c>
      <c r="G13412" t="s">
        <v>31582</v>
      </c>
      <c r="H13412" t="s">
        <v>31591</v>
      </c>
      <c r="I13412" t="s">
        <v>8822</v>
      </c>
      <c r="J13412" t="s">
        <v>34070</v>
      </c>
      <c r="K13412" t="s">
        <v>41322</v>
      </c>
      <c r="M13412" t="s">
        <v>44443</v>
      </c>
      <c r="N13412" t="s">
        <v>45095</v>
      </c>
      <c r="O13412" t="s">
        <v>45096</v>
      </c>
      <c r="Q13412">
        <v>5</v>
      </c>
      <c r="R13412" t="s">
        <v>45115</v>
      </c>
      <c r="S13412" t="s">
        <v>45871</v>
      </c>
      <c r="T13412" t="s">
        <v>46982</v>
      </c>
      <c r="U13412" t="s">
        <v>55729</v>
      </c>
      <c r="V13412" t="s">
        <v>61318</v>
      </c>
      <c r="W13412" t="s">
        <v>44443</v>
      </c>
      <c r="X13412" t="s">
        <v>45116</v>
      </c>
    </row>
    <row r="13413" spans="1:24">
      <c r="A13413">
        <f>HYPERLINK("https://www.philgeps.gov.ph/GEPSNONPILOT/Tender/SplashBidNoticeAbstractUI.aspx?menuIndex=3&amp;refID=7014906&amp;Result=3","7014906")</f>
        <v>0</v>
      </c>
      <c r="B13413" t="s">
        <v>1443</v>
      </c>
      <c r="C13413" t="s">
        <v>16038</v>
      </c>
      <c r="D13413" t="s">
        <v>18074</v>
      </c>
      <c r="E13413" t="s">
        <v>29711</v>
      </c>
      <c r="F13413" t="s">
        <v>31574</v>
      </c>
      <c r="G13413" t="s">
        <v>31582</v>
      </c>
      <c r="H13413" t="s">
        <v>31591</v>
      </c>
      <c r="I13413" t="s">
        <v>8822</v>
      </c>
      <c r="J13413" t="s">
        <v>39992</v>
      </c>
      <c r="K13413" t="s">
        <v>41200</v>
      </c>
      <c r="M13413" t="s">
        <v>43523</v>
      </c>
      <c r="N13413" t="s">
        <v>45095</v>
      </c>
      <c r="O13413" t="s">
        <v>45096</v>
      </c>
      <c r="P13413">
        <v>0</v>
      </c>
      <c r="Q13413">
        <v>2</v>
      </c>
      <c r="R13413" t="s">
        <v>45115</v>
      </c>
      <c r="S13413" t="s">
        <v>45845</v>
      </c>
      <c r="T13413" t="s">
        <v>47255</v>
      </c>
      <c r="U13413" t="s">
        <v>58330</v>
      </c>
      <c r="V13413" t="s">
        <v>60477</v>
      </c>
      <c r="W13413" t="s">
        <v>43523</v>
      </c>
      <c r="X13413" t="s">
        <v>45116</v>
      </c>
    </row>
    <row r="13414" spans="1:24">
      <c r="A13414">
        <f>HYPERLINK("https://www.philgeps.gov.ph/GEPSNONPILOT/Tender/SplashBidNoticeAbstractUI.aspx?menuIndex=3&amp;refID=7014924&amp;Result=3","7014924")</f>
        <v>0</v>
      </c>
      <c r="B13414" t="s">
        <v>1443</v>
      </c>
      <c r="C13414" t="s">
        <v>16039</v>
      </c>
      <c r="D13414" t="s">
        <v>18074</v>
      </c>
      <c r="E13414" t="s">
        <v>29712</v>
      </c>
      <c r="F13414" t="s">
        <v>31574</v>
      </c>
      <c r="G13414" t="s">
        <v>31582</v>
      </c>
      <c r="H13414" t="s">
        <v>31591</v>
      </c>
      <c r="I13414" t="s">
        <v>8822</v>
      </c>
      <c r="J13414" t="s">
        <v>39993</v>
      </c>
      <c r="K13414" t="s">
        <v>41394</v>
      </c>
      <c r="M13414" t="s">
        <v>43523</v>
      </c>
      <c r="N13414" t="s">
        <v>45095</v>
      </c>
      <c r="O13414" t="s">
        <v>45096</v>
      </c>
      <c r="P13414">
        <v>0</v>
      </c>
      <c r="Q13414">
        <v>0</v>
      </c>
      <c r="R13414" t="s">
        <v>45115</v>
      </c>
      <c r="S13414" t="s">
        <v>45845</v>
      </c>
      <c r="T13414" t="s">
        <v>47255</v>
      </c>
      <c r="U13414" t="s">
        <v>58331</v>
      </c>
      <c r="V13414" t="s">
        <v>60477</v>
      </c>
      <c r="W13414" t="s">
        <v>43523</v>
      </c>
      <c r="X13414" t="s">
        <v>45116</v>
      </c>
    </row>
    <row r="13415" spans="1:24">
      <c r="A13415">
        <f>HYPERLINK("https://www.philgeps.gov.ph/GEPSNONPILOT/Tender/SplashBidNoticeAbstractUI.aspx?menuIndex=3&amp;refID=7014898&amp;Result=3","7014898")</f>
        <v>0</v>
      </c>
      <c r="B13415" t="s">
        <v>3036</v>
      </c>
      <c r="C13415" t="s">
        <v>16040</v>
      </c>
      <c r="D13415" t="s">
        <v>18053</v>
      </c>
      <c r="E13415" t="s">
        <v>29713</v>
      </c>
      <c r="F13415" t="s">
        <v>31574</v>
      </c>
      <c r="G13415" t="s">
        <v>31582</v>
      </c>
      <c r="H13415" t="s">
        <v>31590</v>
      </c>
      <c r="I13415" t="s">
        <v>31599</v>
      </c>
      <c r="J13415" t="s">
        <v>39994</v>
      </c>
      <c r="K13415" t="s">
        <v>41196</v>
      </c>
      <c r="M13415" t="s">
        <v>44869</v>
      </c>
      <c r="N13415" t="s">
        <v>45095</v>
      </c>
      <c r="O13415" t="s">
        <v>45096</v>
      </c>
      <c r="P13415">
        <v>0</v>
      </c>
      <c r="Q13415">
        <v>4</v>
      </c>
      <c r="R13415" t="s">
        <v>45115</v>
      </c>
      <c r="S13415" t="s">
        <v>45845</v>
      </c>
      <c r="T13415" t="s">
        <v>47154</v>
      </c>
      <c r="U13415" t="s">
        <v>58332</v>
      </c>
      <c r="W13415" t="s">
        <v>44869</v>
      </c>
      <c r="X13415" t="s">
        <v>45116</v>
      </c>
    </row>
    <row r="13416" spans="1:24">
      <c r="A13416">
        <f>HYPERLINK("https://www.philgeps.gov.ph/GEPSNONPILOT/Tender/SplashBidNoticeAbstractUI.aspx?menuIndex=3&amp;refID=7014867&amp;Result=3","7014867")</f>
        <v>0</v>
      </c>
      <c r="B13416" t="s">
        <v>1443</v>
      </c>
      <c r="C13416" t="s">
        <v>16041</v>
      </c>
      <c r="D13416" t="s">
        <v>18074</v>
      </c>
      <c r="E13416" t="s">
        <v>29714</v>
      </c>
      <c r="F13416" t="s">
        <v>31574</v>
      </c>
      <c r="G13416" t="s">
        <v>31582</v>
      </c>
      <c r="H13416" t="s">
        <v>31591</v>
      </c>
      <c r="I13416" t="s">
        <v>8822</v>
      </c>
      <c r="J13416" t="s">
        <v>39995</v>
      </c>
      <c r="K13416" t="s">
        <v>41465</v>
      </c>
      <c r="M13416" t="s">
        <v>43523</v>
      </c>
      <c r="N13416" t="s">
        <v>45095</v>
      </c>
      <c r="O13416" t="s">
        <v>45096</v>
      </c>
      <c r="P13416">
        <v>0</v>
      </c>
      <c r="Q13416">
        <v>0</v>
      </c>
      <c r="R13416" t="s">
        <v>45115</v>
      </c>
      <c r="S13416" t="s">
        <v>45845</v>
      </c>
      <c r="T13416" t="s">
        <v>47255</v>
      </c>
      <c r="U13416" t="s">
        <v>58333</v>
      </c>
      <c r="V13416" t="s">
        <v>60477</v>
      </c>
      <c r="W13416" t="s">
        <v>43523</v>
      </c>
      <c r="X13416" t="s">
        <v>45116</v>
      </c>
    </row>
    <row r="13417" spans="1:24">
      <c r="A13417">
        <f>HYPERLINK("https://www.philgeps.gov.ph/GEPSNONPILOT/Tender/SplashBidNoticeAbstractUI.aspx?menuIndex=3&amp;refID=7014935&amp;Result=3","7014935")</f>
        <v>0</v>
      </c>
      <c r="B13417" t="s">
        <v>3035</v>
      </c>
      <c r="C13417" t="s">
        <v>16042</v>
      </c>
      <c r="D13417" t="s">
        <v>18045</v>
      </c>
      <c r="E13417" t="s">
        <v>29715</v>
      </c>
      <c r="F13417" t="s">
        <v>31574</v>
      </c>
      <c r="G13417" t="s">
        <v>31582</v>
      </c>
      <c r="H13417" t="s">
        <v>31591</v>
      </c>
      <c r="I13417" t="s">
        <v>8822</v>
      </c>
      <c r="J13417" t="s">
        <v>37484</v>
      </c>
      <c r="K13417" t="s">
        <v>41200</v>
      </c>
      <c r="M13417" t="s">
        <v>44868</v>
      </c>
      <c r="N13417" t="s">
        <v>45095</v>
      </c>
      <c r="O13417" t="s">
        <v>45096</v>
      </c>
      <c r="Q13417">
        <v>0</v>
      </c>
      <c r="R13417" t="s">
        <v>45115</v>
      </c>
      <c r="S13417" t="s">
        <v>45872</v>
      </c>
      <c r="T13417" t="s">
        <v>46973</v>
      </c>
      <c r="U13417" t="s">
        <v>58334</v>
      </c>
      <c r="V13417" t="s">
        <v>61326</v>
      </c>
      <c r="W13417" t="s">
        <v>44868</v>
      </c>
      <c r="X13417" t="s">
        <v>45116</v>
      </c>
    </row>
    <row r="13418" spans="1:24">
      <c r="A13418">
        <f>HYPERLINK("https://www.philgeps.gov.ph/GEPSNONPILOT/Tender/SplashBidNoticeAbstractUI.aspx?menuIndex=3&amp;refID=7014995&amp;Result=3","7014995")</f>
        <v>0</v>
      </c>
      <c r="B13418" t="s">
        <v>3037</v>
      </c>
      <c r="C13418" t="s">
        <v>16043</v>
      </c>
      <c r="D13418" t="s">
        <v>18059</v>
      </c>
      <c r="E13418" t="s">
        <v>29716</v>
      </c>
      <c r="F13418" t="s">
        <v>31574</v>
      </c>
      <c r="G13418" t="s">
        <v>31582</v>
      </c>
      <c r="H13418" t="s">
        <v>31590</v>
      </c>
      <c r="I13418" t="s">
        <v>4046</v>
      </c>
      <c r="J13418" t="s">
        <v>39996</v>
      </c>
      <c r="K13418" t="s">
        <v>41196</v>
      </c>
      <c r="M13418" t="s">
        <v>44870</v>
      </c>
      <c r="N13418" t="s">
        <v>45095</v>
      </c>
      <c r="O13418" t="s">
        <v>45096</v>
      </c>
      <c r="P13418">
        <v>0</v>
      </c>
      <c r="Q13418">
        <v>0</v>
      </c>
      <c r="R13418" t="s">
        <v>45115</v>
      </c>
      <c r="S13418" t="s">
        <v>45845</v>
      </c>
      <c r="T13418" t="s">
        <v>47076</v>
      </c>
      <c r="U13418" t="s">
        <v>58335</v>
      </c>
      <c r="V13418" t="s">
        <v>61327</v>
      </c>
      <c r="W13418" t="s">
        <v>44870</v>
      </c>
      <c r="X13418" t="s">
        <v>45116</v>
      </c>
    </row>
    <row r="13419" spans="1:24">
      <c r="A13419">
        <f>HYPERLINK("https://www.philgeps.gov.ph/GEPSNONPILOT/Tender/SplashBidNoticeAbstractUI.aspx?menuIndex=3&amp;refID=7015044&amp;Result=3","7015044")</f>
        <v>0</v>
      </c>
      <c r="B13419" t="s">
        <v>2782</v>
      </c>
      <c r="C13419" t="s">
        <v>16044</v>
      </c>
      <c r="D13419" t="s">
        <v>18102</v>
      </c>
      <c r="E13419" t="s">
        <v>29717</v>
      </c>
      <c r="F13419" t="s">
        <v>31574</v>
      </c>
      <c r="G13419" t="s">
        <v>31582</v>
      </c>
      <c r="H13419" t="s">
        <v>31591</v>
      </c>
      <c r="I13419" t="s">
        <v>8822</v>
      </c>
      <c r="J13419" t="s">
        <v>39997</v>
      </c>
      <c r="K13419" t="s">
        <v>41189</v>
      </c>
      <c r="M13419" t="s">
        <v>44557</v>
      </c>
      <c r="N13419" t="s">
        <v>45095</v>
      </c>
      <c r="O13419" t="s">
        <v>45096</v>
      </c>
      <c r="P13419">
        <v>0</v>
      </c>
      <c r="Q13419">
        <v>0</v>
      </c>
      <c r="R13419" t="s">
        <v>45115</v>
      </c>
      <c r="S13419" t="s">
        <v>45845</v>
      </c>
      <c r="T13419" t="s">
        <v>46979</v>
      </c>
      <c r="U13419" t="s">
        <v>58336</v>
      </c>
      <c r="W13419" t="s">
        <v>44557</v>
      </c>
      <c r="X13419" t="s">
        <v>45116</v>
      </c>
    </row>
    <row r="13420" spans="1:24">
      <c r="A13420">
        <f>HYPERLINK("https://www.philgeps.gov.ph/GEPSNONPILOT/Tender/SplashBidNoticeAbstractUI.aspx?menuIndex=3&amp;refID=7015007&amp;Result=3","7015007")</f>
        <v>0</v>
      </c>
      <c r="B13420" t="s">
        <v>3036</v>
      </c>
      <c r="C13420" t="s">
        <v>8176</v>
      </c>
      <c r="D13420" t="s">
        <v>18053</v>
      </c>
      <c r="E13420" t="s">
        <v>29718</v>
      </c>
      <c r="F13420" t="s">
        <v>31574</v>
      </c>
      <c r="G13420" t="s">
        <v>31582</v>
      </c>
      <c r="H13420" t="s">
        <v>31590</v>
      </c>
      <c r="I13420" t="s">
        <v>5717</v>
      </c>
      <c r="J13420" t="s">
        <v>39998</v>
      </c>
      <c r="K13420" t="s">
        <v>41196</v>
      </c>
      <c r="M13420" t="s">
        <v>44869</v>
      </c>
      <c r="N13420" t="s">
        <v>45095</v>
      </c>
      <c r="O13420" t="s">
        <v>45096</v>
      </c>
      <c r="P13420">
        <v>0</v>
      </c>
      <c r="Q13420">
        <v>3</v>
      </c>
      <c r="R13420" t="s">
        <v>45115</v>
      </c>
      <c r="S13420" t="s">
        <v>45845</v>
      </c>
      <c r="T13420" t="s">
        <v>47154</v>
      </c>
      <c r="U13420" t="s">
        <v>58337</v>
      </c>
      <c r="W13420" t="s">
        <v>44869</v>
      </c>
      <c r="X13420" t="s">
        <v>45116</v>
      </c>
    </row>
    <row r="13421" spans="1:24">
      <c r="A13421">
        <f>HYPERLINK("https://www.philgeps.gov.ph/GEPSNONPILOT/Tender/SplashBidNoticeAbstractUI.aspx?menuIndex=3&amp;refID=7014931&amp;Result=3","7014931")</f>
        <v>0</v>
      </c>
      <c r="B13421" t="s">
        <v>3037</v>
      </c>
      <c r="C13421" t="s">
        <v>16045</v>
      </c>
      <c r="D13421" t="s">
        <v>18059</v>
      </c>
      <c r="E13421" t="s">
        <v>29719</v>
      </c>
      <c r="F13421" t="s">
        <v>31574</v>
      </c>
      <c r="G13421" t="s">
        <v>31582</v>
      </c>
      <c r="H13421" t="s">
        <v>31591</v>
      </c>
      <c r="I13421" t="s">
        <v>8822</v>
      </c>
      <c r="J13421" t="s">
        <v>39999</v>
      </c>
      <c r="K13421" t="s">
        <v>41186</v>
      </c>
      <c r="M13421" t="s">
        <v>44870</v>
      </c>
      <c r="N13421" t="s">
        <v>45095</v>
      </c>
      <c r="O13421" t="s">
        <v>45096</v>
      </c>
      <c r="P13421">
        <v>0</v>
      </c>
      <c r="Q13421">
        <v>0</v>
      </c>
      <c r="R13421" t="s">
        <v>45115</v>
      </c>
      <c r="S13421" t="s">
        <v>45845</v>
      </c>
      <c r="T13421" t="s">
        <v>47076</v>
      </c>
      <c r="U13421" t="s">
        <v>58338</v>
      </c>
      <c r="V13421" t="s">
        <v>61328</v>
      </c>
      <c r="W13421" t="s">
        <v>44870</v>
      </c>
      <c r="X13421" t="s">
        <v>45116</v>
      </c>
    </row>
    <row r="13422" spans="1:24">
      <c r="A13422">
        <f>HYPERLINK("https://www.philgeps.gov.ph/GEPSNONPILOT/Tender/SplashBidNoticeAbstractUI.aspx?menuIndex=3&amp;refID=7015001&amp;Result=3","7015001")</f>
        <v>0</v>
      </c>
      <c r="B13422" t="s">
        <v>326</v>
      </c>
      <c r="C13422" t="s">
        <v>16046</v>
      </c>
      <c r="D13422" t="s">
        <v>18050</v>
      </c>
      <c r="E13422" t="s">
        <v>29720</v>
      </c>
      <c r="F13422" t="s">
        <v>31574</v>
      </c>
      <c r="G13422" t="s">
        <v>31582</v>
      </c>
      <c r="H13422" t="s">
        <v>31590</v>
      </c>
      <c r="I13422" t="s">
        <v>31615</v>
      </c>
      <c r="J13422" t="s">
        <v>39255</v>
      </c>
      <c r="K13422" t="s">
        <v>41192</v>
      </c>
      <c r="M13422" t="s">
        <v>41814</v>
      </c>
      <c r="N13422" t="s">
        <v>45095</v>
      </c>
      <c r="O13422" t="s">
        <v>45096</v>
      </c>
      <c r="P13422">
        <v>0</v>
      </c>
      <c r="Q13422">
        <v>4</v>
      </c>
      <c r="R13422" t="s">
        <v>45115</v>
      </c>
      <c r="S13422" t="s">
        <v>45845</v>
      </c>
      <c r="T13422" t="s">
        <v>46949</v>
      </c>
      <c r="U13422" t="s">
        <v>58339</v>
      </c>
      <c r="W13422" t="s">
        <v>41814</v>
      </c>
      <c r="X13422" t="s">
        <v>45116</v>
      </c>
    </row>
    <row r="13423" spans="1:24">
      <c r="A13423">
        <f>HYPERLINK("https://www.philgeps.gov.ph/GEPSNONPILOT/Tender/SplashBidNoticeAbstractUI.aspx?menuIndex=3&amp;refID=7015035&amp;Result=3","7015035")</f>
        <v>0</v>
      </c>
      <c r="B13423" t="s">
        <v>1733</v>
      </c>
      <c r="C13423" t="s">
        <v>16047</v>
      </c>
      <c r="D13423" t="s">
        <v>18040</v>
      </c>
      <c r="E13423" t="s">
        <v>29721</v>
      </c>
      <c r="F13423" t="s">
        <v>31574</v>
      </c>
      <c r="G13423" t="s">
        <v>31582</v>
      </c>
      <c r="H13423" t="s">
        <v>31591</v>
      </c>
      <c r="I13423" t="s">
        <v>8822</v>
      </c>
      <c r="J13423" t="s">
        <v>40000</v>
      </c>
      <c r="K13423" t="s">
        <v>41192</v>
      </c>
      <c r="M13423" t="s">
        <v>44606</v>
      </c>
      <c r="N13423" t="s">
        <v>45095</v>
      </c>
      <c r="O13423" t="s">
        <v>45096</v>
      </c>
      <c r="P13423">
        <v>0</v>
      </c>
      <c r="Q13423">
        <v>2</v>
      </c>
      <c r="R13423" t="s">
        <v>45115</v>
      </c>
      <c r="S13423" t="s">
        <v>45845</v>
      </c>
      <c r="T13423" t="s">
        <v>47074</v>
      </c>
      <c r="U13423" t="s">
        <v>58340</v>
      </c>
      <c r="W13423" t="s">
        <v>44606</v>
      </c>
      <c r="X13423" t="s">
        <v>45116</v>
      </c>
    </row>
    <row r="13424" spans="1:24">
      <c r="A13424">
        <f>HYPERLINK("https://www.philgeps.gov.ph/GEPSNONPILOT/Tender/SplashBidNoticeAbstractUI.aspx?menuIndex=3&amp;refID=7014845&amp;Result=3","7014845")</f>
        <v>0</v>
      </c>
      <c r="B13424" t="s">
        <v>1443</v>
      </c>
      <c r="C13424" t="s">
        <v>16048</v>
      </c>
      <c r="D13424" t="s">
        <v>18074</v>
      </c>
      <c r="E13424" t="s">
        <v>29722</v>
      </c>
      <c r="F13424" t="s">
        <v>31574</v>
      </c>
      <c r="G13424" t="s">
        <v>31582</v>
      </c>
      <c r="H13424" t="s">
        <v>31591</v>
      </c>
      <c r="I13424" t="s">
        <v>8822</v>
      </c>
      <c r="J13424" t="s">
        <v>40001</v>
      </c>
      <c r="K13424" t="s">
        <v>41189</v>
      </c>
      <c r="M13424" t="s">
        <v>43523</v>
      </c>
      <c r="N13424" t="s">
        <v>45095</v>
      </c>
      <c r="O13424" t="s">
        <v>45096</v>
      </c>
      <c r="P13424">
        <v>0</v>
      </c>
      <c r="Q13424">
        <v>0</v>
      </c>
      <c r="R13424" t="s">
        <v>45115</v>
      </c>
      <c r="S13424" t="s">
        <v>45845</v>
      </c>
      <c r="T13424" t="s">
        <v>47255</v>
      </c>
      <c r="U13424" t="s">
        <v>58341</v>
      </c>
      <c r="V13424" t="s">
        <v>60477</v>
      </c>
      <c r="W13424" t="s">
        <v>43523</v>
      </c>
      <c r="X13424" t="s">
        <v>45116</v>
      </c>
    </row>
    <row r="13425" spans="1:24">
      <c r="A13425">
        <f>HYPERLINK("https://www.philgeps.gov.ph/GEPSNONPILOT/Tender/SplashBidNoticeAbstractUI.aspx?menuIndex=3&amp;refID=7014969&amp;Result=3","7014969")</f>
        <v>0</v>
      </c>
      <c r="B13425" t="s">
        <v>3036</v>
      </c>
      <c r="C13425" t="s">
        <v>16049</v>
      </c>
      <c r="D13425" t="s">
        <v>18053</v>
      </c>
      <c r="E13425" t="s">
        <v>29723</v>
      </c>
      <c r="F13425" t="s">
        <v>31574</v>
      </c>
      <c r="G13425" t="s">
        <v>31582</v>
      </c>
      <c r="H13425" t="s">
        <v>31590</v>
      </c>
      <c r="I13425" t="s">
        <v>31644</v>
      </c>
      <c r="J13425" t="s">
        <v>40002</v>
      </c>
      <c r="K13425" t="s">
        <v>41196</v>
      </c>
      <c r="M13425" t="s">
        <v>44869</v>
      </c>
      <c r="N13425" t="s">
        <v>45095</v>
      </c>
      <c r="O13425" t="s">
        <v>45096</v>
      </c>
      <c r="P13425">
        <v>0</v>
      </c>
      <c r="Q13425">
        <v>12</v>
      </c>
      <c r="R13425" t="s">
        <v>45115</v>
      </c>
      <c r="S13425" t="s">
        <v>45845</v>
      </c>
      <c r="T13425" t="s">
        <v>47154</v>
      </c>
      <c r="U13425" t="s">
        <v>58342</v>
      </c>
      <c r="W13425" t="s">
        <v>44869</v>
      </c>
      <c r="X13425" t="s">
        <v>45116</v>
      </c>
    </row>
    <row r="13426" spans="1:24">
      <c r="A13426">
        <f>HYPERLINK("https://www.philgeps.gov.ph/GEPSNONPILOT/Tender/SplashBidNoticeAbstractUI.aspx?menuIndex=3&amp;refID=7015056&amp;Result=3","7015056")</f>
        <v>0</v>
      </c>
      <c r="B13426" t="s">
        <v>2782</v>
      </c>
      <c r="C13426" t="s">
        <v>16050</v>
      </c>
      <c r="D13426" t="s">
        <v>18102</v>
      </c>
      <c r="E13426" t="s">
        <v>29724</v>
      </c>
      <c r="F13426" t="s">
        <v>31574</v>
      </c>
      <c r="G13426" t="s">
        <v>31582</v>
      </c>
      <c r="H13426" t="s">
        <v>31591</v>
      </c>
      <c r="I13426" t="s">
        <v>8822</v>
      </c>
      <c r="J13426" t="s">
        <v>40003</v>
      </c>
      <c r="K13426" t="s">
        <v>41274</v>
      </c>
      <c r="M13426" t="s">
        <v>44557</v>
      </c>
      <c r="N13426" t="s">
        <v>45095</v>
      </c>
      <c r="O13426" t="s">
        <v>45096</v>
      </c>
      <c r="P13426">
        <v>0</v>
      </c>
      <c r="Q13426">
        <v>0</v>
      </c>
      <c r="R13426" t="s">
        <v>45115</v>
      </c>
      <c r="S13426" t="s">
        <v>45845</v>
      </c>
      <c r="T13426" t="s">
        <v>46979</v>
      </c>
      <c r="U13426" t="s">
        <v>58343</v>
      </c>
      <c r="W13426" t="s">
        <v>44557</v>
      </c>
      <c r="X13426" t="s">
        <v>45116</v>
      </c>
    </row>
    <row r="13427" spans="1:24">
      <c r="A13427">
        <f>HYPERLINK("https://www.philgeps.gov.ph/GEPSNONPILOT/Tender/SplashBidNoticeAbstractUI.aspx?menuIndex=3&amp;refID=7015018&amp;Result=3","7015018")</f>
        <v>0</v>
      </c>
      <c r="B13427" t="s">
        <v>2041</v>
      </c>
      <c r="C13427" t="s">
        <v>16051</v>
      </c>
      <c r="D13427" t="s">
        <v>18049</v>
      </c>
      <c r="E13427" t="s">
        <v>29725</v>
      </c>
      <c r="F13427" t="s">
        <v>31574</v>
      </c>
      <c r="G13427" t="s">
        <v>31582</v>
      </c>
      <c r="H13427" t="s">
        <v>31591</v>
      </c>
      <c r="I13427" t="s">
        <v>8822</v>
      </c>
      <c r="J13427" t="s">
        <v>35362</v>
      </c>
      <c r="K13427" t="s">
        <v>41224</v>
      </c>
      <c r="M13427" t="s">
        <v>43879</v>
      </c>
      <c r="N13427" t="s">
        <v>45095</v>
      </c>
      <c r="O13427" t="s">
        <v>45096</v>
      </c>
      <c r="P13427">
        <v>0</v>
      </c>
      <c r="Q13427">
        <v>0</v>
      </c>
      <c r="R13427" t="s">
        <v>45115</v>
      </c>
      <c r="S13427" t="s">
        <v>45845</v>
      </c>
      <c r="T13427" t="s">
        <v>47064</v>
      </c>
      <c r="U13427" t="s">
        <v>58344</v>
      </c>
      <c r="W13427" t="s">
        <v>43879</v>
      </c>
      <c r="X13427" t="s">
        <v>45116</v>
      </c>
    </row>
    <row r="13428" spans="1:24">
      <c r="A13428">
        <f>HYPERLINK("https://www.philgeps.gov.ph/GEPSNONPILOT/Tender/SplashBidNoticeAbstractUI.aspx?menuIndex=3&amp;refID=7015030&amp;Result=3","7015030")</f>
        <v>0</v>
      </c>
      <c r="B13428" t="s">
        <v>726</v>
      </c>
      <c r="C13428" t="s">
        <v>16052</v>
      </c>
      <c r="D13428" t="s">
        <v>18058</v>
      </c>
      <c r="E13428" t="s">
        <v>29726</v>
      </c>
      <c r="F13428" t="s">
        <v>31574</v>
      </c>
      <c r="G13428" t="s">
        <v>31582</v>
      </c>
      <c r="H13428" t="s">
        <v>31591</v>
      </c>
      <c r="I13428" t="s">
        <v>8822</v>
      </c>
      <c r="J13428" t="s">
        <v>40004</v>
      </c>
      <c r="K13428" t="s">
        <v>41466</v>
      </c>
      <c r="M13428" t="s">
        <v>44233</v>
      </c>
      <c r="N13428" t="s">
        <v>45095</v>
      </c>
      <c r="O13428" t="s">
        <v>45096</v>
      </c>
      <c r="P13428">
        <v>0</v>
      </c>
      <c r="Q13428">
        <v>8</v>
      </c>
      <c r="R13428" t="s">
        <v>45115</v>
      </c>
      <c r="S13428" t="s">
        <v>45845</v>
      </c>
      <c r="T13428" t="s">
        <v>46931</v>
      </c>
      <c r="U13428" t="s">
        <v>58345</v>
      </c>
      <c r="W13428" t="s">
        <v>44233</v>
      </c>
      <c r="X13428" t="s">
        <v>45116</v>
      </c>
    </row>
    <row r="13429" spans="1:24">
      <c r="A13429">
        <f>HYPERLINK("https://www.philgeps.gov.ph/GEPSNONPILOT/Tender/SplashBidNoticeAbstractUI.aspx?menuIndex=3&amp;refID=7015144&amp;Result=3","7015144")</f>
        <v>0</v>
      </c>
      <c r="B13429" t="s">
        <v>1733</v>
      </c>
      <c r="C13429" t="s">
        <v>16053</v>
      </c>
      <c r="D13429" t="s">
        <v>18040</v>
      </c>
      <c r="E13429" t="s">
        <v>29727</v>
      </c>
      <c r="F13429" t="s">
        <v>31574</v>
      </c>
      <c r="G13429" t="s">
        <v>31582</v>
      </c>
      <c r="H13429" t="s">
        <v>31591</v>
      </c>
      <c r="I13429" t="s">
        <v>8822</v>
      </c>
      <c r="J13429" t="s">
        <v>40005</v>
      </c>
      <c r="K13429" t="s">
        <v>41192</v>
      </c>
      <c r="M13429" t="s">
        <v>44606</v>
      </c>
      <c r="N13429" t="s">
        <v>45095</v>
      </c>
      <c r="O13429" t="s">
        <v>45096</v>
      </c>
      <c r="P13429">
        <v>0</v>
      </c>
      <c r="Q13429">
        <v>2</v>
      </c>
      <c r="R13429" t="s">
        <v>45115</v>
      </c>
      <c r="S13429" t="s">
        <v>45845</v>
      </c>
      <c r="T13429" t="s">
        <v>47074</v>
      </c>
      <c r="U13429" t="s">
        <v>58340</v>
      </c>
      <c r="W13429" t="s">
        <v>44606</v>
      </c>
      <c r="X13429" t="s">
        <v>45116</v>
      </c>
    </row>
    <row r="13430" spans="1:24">
      <c r="A13430">
        <f>HYPERLINK("https://www.philgeps.gov.ph/GEPSNONPILOT/Tender/SplashBidNoticeAbstractUI.aspx?menuIndex=3&amp;refID=7015087&amp;Result=3","7015087")</f>
        <v>0</v>
      </c>
      <c r="B13430" t="s">
        <v>3038</v>
      </c>
      <c r="C13430" t="s">
        <v>16054</v>
      </c>
      <c r="D13430" t="s">
        <v>18058</v>
      </c>
      <c r="E13430" t="s">
        <v>20000</v>
      </c>
      <c r="F13430" t="s">
        <v>31574</v>
      </c>
      <c r="G13430" t="s">
        <v>31585</v>
      </c>
      <c r="H13430" t="s">
        <v>31590</v>
      </c>
      <c r="I13430" t="s">
        <v>4327</v>
      </c>
      <c r="J13430" t="s">
        <v>40006</v>
      </c>
      <c r="K13430" t="s">
        <v>41186</v>
      </c>
      <c r="M13430" t="s">
        <v>44871</v>
      </c>
      <c r="N13430" t="s">
        <v>45095</v>
      </c>
      <c r="O13430" t="s">
        <v>45096</v>
      </c>
      <c r="Q13430">
        <v>6</v>
      </c>
      <c r="R13430" t="s">
        <v>45115</v>
      </c>
      <c r="S13430" t="s">
        <v>45873</v>
      </c>
      <c r="T13430" t="s">
        <v>46955</v>
      </c>
      <c r="U13430" t="s">
        <v>58346</v>
      </c>
      <c r="W13430" t="s">
        <v>44871</v>
      </c>
      <c r="X13430" t="s">
        <v>45116</v>
      </c>
    </row>
    <row r="13431" spans="1:24">
      <c r="A13431">
        <f>HYPERLINK("https://www.philgeps.gov.ph/GEPSNONPILOT/Tender/SplashBidNoticeAbstractUI.aspx?menuIndex=3&amp;refID=7015058&amp;Result=3","7015058")</f>
        <v>0</v>
      </c>
      <c r="B13431" t="s">
        <v>2041</v>
      </c>
      <c r="C13431" t="s">
        <v>16055</v>
      </c>
      <c r="D13431" t="s">
        <v>18049</v>
      </c>
      <c r="E13431" t="s">
        <v>29728</v>
      </c>
      <c r="F13431" t="s">
        <v>31574</v>
      </c>
      <c r="G13431" t="s">
        <v>31582</v>
      </c>
      <c r="H13431" t="s">
        <v>31591</v>
      </c>
      <c r="I13431" t="s">
        <v>8822</v>
      </c>
      <c r="J13431" t="s">
        <v>33279</v>
      </c>
      <c r="K13431" t="s">
        <v>41243</v>
      </c>
      <c r="M13431" t="s">
        <v>43879</v>
      </c>
      <c r="N13431" t="s">
        <v>45095</v>
      </c>
      <c r="O13431" t="s">
        <v>45096</v>
      </c>
      <c r="P13431">
        <v>0</v>
      </c>
      <c r="Q13431">
        <v>0</v>
      </c>
      <c r="R13431" t="s">
        <v>45115</v>
      </c>
      <c r="S13431" t="s">
        <v>45845</v>
      </c>
      <c r="T13431" t="s">
        <v>47064</v>
      </c>
      <c r="U13431" t="s">
        <v>58347</v>
      </c>
      <c r="W13431" t="s">
        <v>43879</v>
      </c>
      <c r="X13431" t="s">
        <v>45116</v>
      </c>
    </row>
    <row r="13432" spans="1:24">
      <c r="A13432">
        <f>HYPERLINK("https://www.philgeps.gov.ph/GEPSNONPILOT/Tender/SplashBidNoticeAbstractUI.aspx?menuIndex=3&amp;refID=7015105&amp;Result=3","7015105")</f>
        <v>0</v>
      </c>
      <c r="B13432" t="s">
        <v>3039</v>
      </c>
      <c r="C13432" t="s">
        <v>16056</v>
      </c>
      <c r="D13432" t="s">
        <v>18025</v>
      </c>
      <c r="E13432" t="s">
        <v>18533</v>
      </c>
      <c r="F13432" t="s">
        <v>31575</v>
      </c>
      <c r="G13432" t="s">
        <v>31582</v>
      </c>
      <c r="H13432" t="s">
        <v>31591</v>
      </c>
      <c r="I13432" t="s">
        <v>8822</v>
      </c>
      <c r="J13432" t="s">
        <v>40007</v>
      </c>
      <c r="K13432" t="s">
        <v>41191</v>
      </c>
      <c r="M13432" t="s">
        <v>44872</v>
      </c>
      <c r="N13432" t="s">
        <v>45095</v>
      </c>
      <c r="O13432" t="s">
        <v>45096</v>
      </c>
      <c r="P13432">
        <v>0</v>
      </c>
      <c r="Q13432">
        <v>1</v>
      </c>
      <c r="R13432" t="s">
        <v>45115</v>
      </c>
      <c r="S13432" t="s">
        <v>45845</v>
      </c>
      <c r="T13432" t="s">
        <v>47076</v>
      </c>
      <c r="U13432" t="s">
        <v>58348</v>
      </c>
      <c r="W13432" t="s">
        <v>44872</v>
      </c>
      <c r="X13432" t="s">
        <v>45116</v>
      </c>
    </row>
    <row r="13433" spans="1:24">
      <c r="A13433">
        <f>HYPERLINK("https://www.philgeps.gov.ph/GEPSNONPILOT/Tender/SplashBidNoticeAbstractUI.aspx?menuIndex=3&amp;refID=7015243&amp;Result=3","7015243")</f>
        <v>0</v>
      </c>
      <c r="B13433" t="s">
        <v>2608</v>
      </c>
      <c r="C13433" t="s">
        <v>16057</v>
      </c>
      <c r="D13433" t="s">
        <v>18024</v>
      </c>
      <c r="E13433" t="s">
        <v>29729</v>
      </c>
      <c r="F13433" t="s">
        <v>31574</v>
      </c>
      <c r="G13433" t="s">
        <v>31582</v>
      </c>
      <c r="H13433" t="s">
        <v>31590</v>
      </c>
      <c r="I13433" t="s">
        <v>31602</v>
      </c>
      <c r="J13433" t="s">
        <v>40008</v>
      </c>
      <c r="K13433" t="s">
        <v>41189</v>
      </c>
      <c r="M13433" t="s">
        <v>44353</v>
      </c>
      <c r="N13433" t="s">
        <v>45095</v>
      </c>
      <c r="O13433" t="s">
        <v>45096</v>
      </c>
      <c r="P13433">
        <v>0</v>
      </c>
      <c r="Q13433">
        <v>1</v>
      </c>
      <c r="R13433" t="s">
        <v>45115</v>
      </c>
      <c r="S13433" t="s">
        <v>45845</v>
      </c>
      <c r="T13433" t="s">
        <v>47159</v>
      </c>
      <c r="U13433" t="s">
        <v>55434</v>
      </c>
      <c r="W13433" t="s">
        <v>44353</v>
      </c>
      <c r="X13433" t="s">
        <v>45116</v>
      </c>
    </row>
    <row r="13434" spans="1:24">
      <c r="A13434">
        <f>HYPERLINK("https://www.philgeps.gov.ph/GEPSNONPILOT/Tender/SplashBidNoticeAbstractUI.aspx?menuIndex=3&amp;refID=7015127&amp;Result=3","7015127")</f>
        <v>0</v>
      </c>
      <c r="B13434" t="s">
        <v>1079</v>
      </c>
      <c r="C13434" t="s">
        <v>16058</v>
      </c>
      <c r="E13434" t="s">
        <v>29730</v>
      </c>
      <c r="F13434" t="s">
        <v>31574</v>
      </c>
      <c r="G13434" t="s">
        <v>31582</v>
      </c>
      <c r="H13434" t="s">
        <v>31590</v>
      </c>
      <c r="I13434" t="s">
        <v>31614</v>
      </c>
      <c r="J13434" t="s">
        <v>39821</v>
      </c>
      <c r="K13434" t="s">
        <v>41184</v>
      </c>
      <c r="M13434" t="s">
        <v>43686</v>
      </c>
      <c r="N13434" t="s">
        <v>45095</v>
      </c>
      <c r="O13434" t="s">
        <v>45096</v>
      </c>
      <c r="P13434">
        <v>0</v>
      </c>
      <c r="Q13434">
        <v>3</v>
      </c>
      <c r="R13434" t="s">
        <v>45115</v>
      </c>
      <c r="S13434" t="s">
        <v>45845</v>
      </c>
      <c r="T13434" t="s">
        <v>46913</v>
      </c>
      <c r="U13434" t="s">
        <v>58349</v>
      </c>
      <c r="V13434" t="s">
        <v>61079</v>
      </c>
      <c r="W13434" t="s">
        <v>43686</v>
      </c>
      <c r="X13434" t="s">
        <v>45116</v>
      </c>
    </row>
    <row r="13435" spans="1:24">
      <c r="A13435">
        <f>HYPERLINK("https://www.philgeps.gov.ph/GEPSNONPILOT/Tender/SplashBidNoticeAbstractUI.aspx?menuIndex=3&amp;refID=7015270&amp;Result=3","7015270")</f>
        <v>0</v>
      </c>
      <c r="B13435" t="s">
        <v>118</v>
      </c>
      <c r="C13435" t="s">
        <v>16059</v>
      </c>
      <c r="D13435" t="s">
        <v>18055</v>
      </c>
      <c r="E13435" t="s">
        <v>29731</v>
      </c>
      <c r="F13435" t="s">
        <v>31574</v>
      </c>
      <c r="G13435" t="s">
        <v>31582</v>
      </c>
      <c r="H13435" t="s">
        <v>31591</v>
      </c>
      <c r="I13435" t="s">
        <v>8822</v>
      </c>
      <c r="J13435" t="s">
        <v>40009</v>
      </c>
      <c r="K13435" t="s">
        <v>41198</v>
      </c>
      <c r="M13435" t="s">
        <v>41602</v>
      </c>
      <c r="N13435" t="s">
        <v>45095</v>
      </c>
      <c r="O13435" t="s">
        <v>45096</v>
      </c>
      <c r="P13435">
        <v>0</v>
      </c>
      <c r="Q13435">
        <v>23</v>
      </c>
      <c r="R13435" t="s">
        <v>45115</v>
      </c>
      <c r="S13435" t="s">
        <v>45845</v>
      </c>
      <c r="T13435" t="s">
        <v>47050</v>
      </c>
      <c r="U13435" t="s">
        <v>58350</v>
      </c>
      <c r="W13435" t="s">
        <v>41602</v>
      </c>
      <c r="X13435" t="s">
        <v>45116</v>
      </c>
    </row>
    <row r="13436" spans="1:24">
      <c r="A13436">
        <f>HYPERLINK("https://www.philgeps.gov.ph/GEPSNONPILOT/Tender/SplashBidNoticeAbstractUI.aspx?menuIndex=3&amp;refID=7015267&amp;Result=3","7015267")</f>
        <v>0</v>
      </c>
      <c r="B13436" t="s">
        <v>2219</v>
      </c>
      <c r="C13436" t="s">
        <v>16060</v>
      </c>
      <c r="D13436" t="s">
        <v>18077</v>
      </c>
      <c r="E13436" t="s">
        <v>29732</v>
      </c>
      <c r="F13436" t="s">
        <v>31574</v>
      </c>
      <c r="G13436" t="s">
        <v>31582</v>
      </c>
      <c r="H13436" t="s">
        <v>31590</v>
      </c>
      <c r="I13436" t="s">
        <v>7162</v>
      </c>
      <c r="J13436" t="s">
        <v>40010</v>
      </c>
      <c r="K13436" t="s">
        <v>41191</v>
      </c>
      <c r="M13436" t="s">
        <v>43911</v>
      </c>
      <c r="N13436" t="s">
        <v>45095</v>
      </c>
      <c r="O13436" t="s">
        <v>45096</v>
      </c>
      <c r="P13436">
        <v>0</v>
      </c>
      <c r="Q13436">
        <v>0</v>
      </c>
      <c r="R13436" t="s">
        <v>45115</v>
      </c>
      <c r="S13436" t="s">
        <v>45845</v>
      </c>
      <c r="T13436" t="s">
        <v>47168</v>
      </c>
      <c r="U13436" t="s">
        <v>58351</v>
      </c>
      <c r="W13436" t="s">
        <v>43911</v>
      </c>
      <c r="X13436" t="s">
        <v>45116</v>
      </c>
    </row>
    <row r="13437" spans="1:24">
      <c r="A13437">
        <f>HYPERLINK("https://www.philgeps.gov.ph/GEPSNONPILOT/Tender/SplashBidNoticeAbstractUI.aspx?menuIndex=3&amp;refID=7015365&amp;Result=3","7015365")</f>
        <v>0</v>
      </c>
      <c r="B13437" t="s">
        <v>1524</v>
      </c>
      <c r="C13437" t="s">
        <v>16061</v>
      </c>
      <c r="D13437" t="s">
        <v>18083</v>
      </c>
      <c r="E13437" t="s">
        <v>29733</v>
      </c>
      <c r="F13437" t="s">
        <v>31574</v>
      </c>
      <c r="G13437" t="s">
        <v>31582</v>
      </c>
      <c r="H13437" t="s">
        <v>31591</v>
      </c>
      <c r="I13437" t="s">
        <v>8822</v>
      </c>
      <c r="J13437" t="s">
        <v>40011</v>
      </c>
      <c r="K13437" t="s">
        <v>41268</v>
      </c>
      <c r="M13437" t="s">
        <v>43115</v>
      </c>
      <c r="N13437" t="s">
        <v>45095</v>
      </c>
      <c r="O13437" t="s">
        <v>45096</v>
      </c>
      <c r="Q13437">
        <v>0</v>
      </c>
      <c r="R13437" t="s">
        <v>45115</v>
      </c>
      <c r="S13437" t="s">
        <v>45871</v>
      </c>
      <c r="T13437" t="s">
        <v>47050</v>
      </c>
      <c r="U13437" t="s">
        <v>58352</v>
      </c>
      <c r="V13437" t="s">
        <v>61329</v>
      </c>
      <c r="W13437" t="s">
        <v>43115</v>
      </c>
      <c r="X13437" t="s">
        <v>45116</v>
      </c>
    </row>
    <row r="13438" spans="1:24">
      <c r="A13438">
        <f>HYPERLINK("https://www.philgeps.gov.ph/GEPSNONPILOT/Tender/SplashBidNoticeAbstractUI.aspx?menuIndex=3&amp;refID=7015229&amp;Result=3","7015229")</f>
        <v>0</v>
      </c>
      <c r="B13438" t="s">
        <v>1119</v>
      </c>
      <c r="C13438" t="s">
        <v>16062</v>
      </c>
      <c r="D13438" t="s">
        <v>18025</v>
      </c>
      <c r="E13438" t="s">
        <v>29734</v>
      </c>
      <c r="F13438" t="s">
        <v>31574</v>
      </c>
      <c r="G13438" t="s">
        <v>31582</v>
      </c>
      <c r="H13438" t="s">
        <v>31591</v>
      </c>
      <c r="I13438" t="s">
        <v>8822</v>
      </c>
      <c r="J13438" t="s">
        <v>40012</v>
      </c>
      <c r="K13438" t="s">
        <v>41192</v>
      </c>
      <c r="M13438" t="s">
        <v>42669</v>
      </c>
      <c r="N13438" t="s">
        <v>45095</v>
      </c>
      <c r="O13438" t="s">
        <v>45096</v>
      </c>
      <c r="P13438">
        <v>0</v>
      </c>
      <c r="Q13438">
        <v>1</v>
      </c>
      <c r="R13438" t="s">
        <v>45115</v>
      </c>
      <c r="S13438" t="s">
        <v>45845</v>
      </c>
      <c r="T13438" t="s">
        <v>47050</v>
      </c>
      <c r="U13438" t="s">
        <v>58353</v>
      </c>
      <c r="W13438" t="s">
        <v>42669</v>
      </c>
      <c r="X13438" t="s">
        <v>45116</v>
      </c>
    </row>
    <row r="13439" spans="1:24">
      <c r="A13439">
        <f>HYPERLINK("https://www.philgeps.gov.ph/GEPSNONPILOT/Tender/SplashBidNoticeAbstractUI.aspx?menuIndex=3&amp;refID=7015271&amp;Result=3","7015271")</f>
        <v>0</v>
      </c>
      <c r="B13439" t="s">
        <v>2608</v>
      </c>
      <c r="C13439" t="s">
        <v>16063</v>
      </c>
      <c r="D13439" t="s">
        <v>18024</v>
      </c>
      <c r="E13439" t="s">
        <v>29735</v>
      </c>
      <c r="F13439" t="s">
        <v>31574</v>
      </c>
      <c r="G13439" t="s">
        <v>31585</v>
      </c>
      <c r="H13439" t="s">
        <v>31590</v>
      </c>
      <c r="I13439" t="s">
        <v>31602</v>
      </c>
      <c r="J13439" t="s">
        <v>38630</v>
      </c>
      <c r="K13439" t="s">
        <v>41189</v>
      </c>
      <c r="M13439" t="s">
        <v>44353</v>
      </c>
      <c r="N13439" t="s">
        <v>45095</v>
      </c>
      <c r="O13439" t="s">
        <v>45096</v>
      </c>
      <c r="P13439">
        <v>0</v>
      </c>
      <c r="Q13439">
        <v>1</v>
      </c>
      <c r="R13439" t="s">
        <v>45115</v>
      </c>
      <c r="S13439" t="s">
        <v>45845</v>
      </c>
      <c r="T13439" t="s">
        <v>47159</v>
      </c>
      <c r="U13439" t="s">
        <v>55434</v>
      </c>
      <c r="W13439" t="s">
        <v>44353</v>
      </c>
      <c r="X13439" t="s">
        <v>45116</v>
      </c>
    </row>
    <row r="13440" spans="1:24">
      <c r="A13440">
        <f>HYPERLINK("https://www.philgeps.gov.ph/GEPSNONPILOT/Tender/SplashBidNoticeAbstractUI.aspx?menuIndex=3&amp;refID=7015361&amp;Result=3","7015361")</f>
        <v>0</v>
      </c>
      <c r="B13440" t="s">
        <v>3040</v>
      </c>
      <c r="C13440" t="s">
        <v>16064</v>
      </c>
      <c r="D13440" t="s">
        <v>18065</v>
      </c>
      <c r="E13440" t="s">
        <v>29736</v>
      </c>
      <c r="F13440" t="s">
        <v>31574</v>
      </c>
      <c r="G13440" t="s">
        <v>31582</v>
      </c>
      <c r="H13440" t="s">
        <v>31590</v>
      </c>
      <c r="I13440" t="s">
        <v>4046</v>
      </c>
      <c r="J13440" t="s">
        <v>40013</v>
      </c>
      <c r="K13440" t="s">
        <v>41211</v>
      </c>
      <c r="M13440" t="s">
        <v>44873</v>
      </c>
      <c r="N13440" t="s">
        <v>45095</v>
      </c>
      <c r="O13440" t="s">
        <v>45096</v>
      </c>
      <c r="P13440">
        <v>0</v>
      </c>
      <c r="Q13440">
        <v>0</v>
      </c>
      <c r="R13440" t="s">
        <v>45115</v>
      </c>
      <c r="S13440" t="s">
        <v>45845</v>
      </c>
      <c r="T13440" t="s">
        <v>47076</v>
      </c>
      <c r="U13440" t="s">
        <v>58354</v>
      </c>
      <c r="W13440" t="s">
        <v>44873</v>
      </c>
      <c r="X13440" t="s">
        <v>45116</v>
      </c>
    </row>
    <row r="13441" spans="1:24">
      <c r="A13441">
        <f>HYPERLINK("https://www.philgeps.gov.ph/GEPSNONPILOT/Tender/SplashBidNoticeAbstractUI.aspx?menuIndex=3&amp;refID=7015338&amp;Result=3","7015338")</f>
        <v>0</v>
      </c>
      <c r="B13441" t="s">
        <v>3041</v>
      </c>
      <c r="C13441" t="s">
        <v>6692</v>
      </c>
      <c r="D13441" t="s">
        <v>18098</v>
      </c>
      <c r="E13441" t="s">
        <v>29737</v>
      </c>
      <c r="F13441" t="s">
        <v>31574</v>
      </c>
      <c r="G13441" t="s">
        <v>31582</v>
      </c>
      <c r="H13441" t="s">
        <v>31590</v>
      </c>
      <c r="I13441" t="s">
        <v>8258</v>
      </c>
      <c r="J13441" t="s">
        <v>40014</v>
      </c>
      <c r="K13441" t="s">
        <v>41186</v>
      </c>
      <c r="M13441" t="s">
        <v>44874</v>
      </c>
      <c r="N13441" t="s">
        <v>45095</v>
      </c>
      <c r="O13441" t="s">
        <v>45096</v>
      </c>
      <c r="P13441">
        <v>0</v>
      </c>
      <c r="Q13441">
        <v>14</v>
      </c>
      <c r="R13441" t="s">
        <v>45115</v>
      </c>
      <c r="S13441" t="s">
        <v>45845</v>
      </c>
      <c r="T13441" t="s">
        <v>46914</v>
      </c>
      <c r="U13441" t="s">
        <v>58355</v>
      </c>
      <c r="V13441" t="s">
        <v>61330</v>
      </c>
      <c r="W13441" t="s">
        <v>44874</v>
      </c>
      <c r="X13441" t="s">
        <v>45116</v>
      </c>
    </row>
    <row r="13442" spans="1:24">
      <c r="A13442">
        <f>HYPERLINK("https://www.philgeps.gov.ph/GEPSNONPILOT/Tender/SplashBidNoticeAbstractUI.aspx?menuIndex=3&amp;refID=7015394&amp;Result=3","7015394")</f>
        <v>0</v>
      </c>
      <c r="B13442" t="s">
        <v>1733</v>
      </c>
      <c r="C13442" t="s">
        <v>16065</v>
      </c>
      <c r="D13442" t="s">
        <v>18040</v>
      </c>
      <c r="E13442" t="s">
        <v>29738</v>
      </c>
      <c r="F13442" t="s">
        <v>31574</v>
      </c>
      <c r="G13442" t="s">
        <v>31582</v>
      </c>
      <c r="H13442" t="s">
        <v>31591</v>
      </c>
      <c r="I13442" t="s">
        <v>8822</v>
      </c>
      <c r="J13442" t="s">
        <v>40015</v>
      </c>
      <c r="K13442" t="s">
        <v>41192</v>
      </c>
      <c r="M13442" t="s">
        <v>43352</v>
      </c>
      <c r="N13442" t="s">
        <v>45095</v>
      </c>
      <c r="O13442" t="s">
        <v>45096</v>
      </c>
      <c r="P13442">
        <v>0</v>
      </c>
      <c r="Q13442">
        <v>2</v>
      </c>
      <c r="R13442" t="s">
        <v>45115</v>
      </c>
      <c r="S13442" t="s">
        <v>45845</v>
      </c>
      <c r="T13442" t="s">
        <v>47074</v>
      </c>
      <c r="U13442" t="s">
        <v>58356</v>
      </c>
      <c r="W13442" t="s">
        <v>43352</v>
      </c>
      <c r="X13442" t="s">
        <v>45116</v>
      </c>
    </row>
    <row r="13443" spans="1:24">
      <c r="A13443">
        <f>HYPERLINK("https://www.philgeps.gov.ph/GEPSNONPILOT/Tender/SplashBidNoticeAbstractUI.aspx?menuIndex=3&amp;refID=7015156&amp;Result=3","7015156")</f>
        <v>0</v>
      </c>
      <c r="B13443" t="s">
        <v>290</v>
      </c>
      <c r="C13443" t="s">
        <v>16066</v>
      </c>
      <c r="D13443" t="s">
        <v>18043</v>
      </c>
      <c r="E13443" t="s">
        <v>29739</v>
      </c>
      <c r="F13443" t="s">
        <v>31574</v>
      </c>
      <c r="G13443" t="s">
        <v>31582</v>
      </c>
      <c r="H13443" t="s">
        <v>31591</v>
      </c>
      <c r="I13443" t="s">
        <v>8822</v>
      </c>
      <c r="J13443" t="s">
        <v>40016</v>
      </c>
      <c r="K13443" t="s">
        <v>41189</v>
      </c>
      <c r="M13443" t="s">
        <v>44847</v>
      </c>
      <c r="N13443" t="s">
        <v>45095</v>
      </c>
      <c r="O13443" t="s">
        <v>45096</v>
      </c>
      <c r="P13443">
        <v>0</v>
      </c>
      <c r="Q13443">
        <v>1</v>
      </c>
      <c r="R13443" t="s">
        <v>45115</v>
      </c>
      <c r="S13443" t="s">
        <v>45845</v>
      </c>
      <c r="T13443" t="s">
        <v>47171</v>
      </c>
      <c r="U13443" t="s">
        <v>58174</v>
      </c>
      <c r="W13443" t="s">
        <v>44847</v>
      </c>
      <c r="X13443" t="s">
        <v>45116</v>
      </c>
    </row>
    <row r="13444" spans="1:24">
      <c r="A13444">
        <f>HYPERLINK("https://www.philgeps.gov.ph/GEPSNONPILOT/Tender/SplashBidNoticeAbstractUI.aspx?menuIndex=3&amp;refID=7015277&amp;Result=3","7015277")</f>
        <v>0</v>
      </c>
      <c r="B13444" t="s">
        <v>388</v>
      </c>
      <c r="C13444" t="s">
        <v>16067</v>
      </c>
      <c r="D13444" t="s">
        <v>18089</v>
      </c>
      <c r="E13444" t="s">
        <v>29740</v>
      </c>
      <c r="F13444" t="s">
        <v>31574</v>
      </c>
      <c r="G13444" t="s">
        <v>31582</v>
      </c>
      <c r="H13444" t="s">
        <v>31590</v>
      </c>
      <c r="I13444" t="s">
        <v>31615</v>
      </c>
      <c r="J13444" t="s">
        <v>32361</v>
      </c>
      <c r="K13444" t="s">
        <v>41193</v>
      </c>
      <c r="M13444" t="s">
        <v>41879</v>
      </c>
      <c r="N13444" t="s">
        <v>45095</v>
      </c>
      <c r="O13444" t="s">
        <v>45096</v>
      </c>
      <c r="P13444">
        <v>0</v>
      </c>
      <c r="Q13444">
        <v>2</v>
      </c>
      <c r="R13444" t="s">
        <v>45115</v>
      </c>
      <c r="S13444" t="s">
        <v>45845</v>
      </c>
      <c r="T13444" t="s">
        <v>46965</v>
      </c>
      <c r="U13444" t="s">
        <v>58357</v>
      </c>
      <c r="V13444" t="s">
        <v>59933</v>
      </c>
      <c r="W13444" t="s">
        <v>41879</v>
      </c>
      <c r="X13444" t="s">
        <v>45116</v>
      </c>
    </row>
    <row r="13445" spans="1:24">
      <c r="A13445">
        <f>HYPERLINK("https://www.philgeps.gov.ph/GEPSNONPILOT/Tender/SplashBidNoticeAbstractUI.aspx?menuIndex=3&amp;refID=7015334&amp;Result=3","7015334")</f>
        <v>0</v>
      </c>
      <c r="B13445" t="s">
        <v>1733</v>
      </c>
      <c r="C13445" t="s">
        <v>16068</v>
      </c>
      <c r="D13445" t="s">
        <v>18040</v>
      </c>
      <c r="E13445" t="s">
        <v>29741</v>
      </c>
      <c r="F13445" t="s">
        <v>31574</v>
      </c>
      <c r="G13445" t="s">
        <v>31582</v>
      </c>
      <c r="H13445" t="s">
        <v>31591</v>
      </c>
      <c r="I13445" t="s">
        <v>8822</v>
      </c>
      <c r="J13445" t="s">
        <v>40017</v>
      </c>
      <c r="K13445" t="s">
        <v>41186</v>
      </c>
      <c r="M13445" t="s">
        <v>43352</v>
      </c>
      <c r="N13445" t="s">
        <v>45095</v>
      </c>
      <c r="O13445" t="s">
        <v>45096</v>
      </c>
      <c r="P13445">
        <v>0</v>
      </c>
      <c r="Q13445">
        <v>2</v>
      </c>
      <c r="R13445" t="s">
        <v>45115</v>
      </c>
      <c r="S13445" t="s">
        <v>45845</v>
      </c>
      <c r="T13445" t="s">
        <v>46913</v>
      </c>
      <c r="U13445" t="s">
        <v>58358</v>
      </c>
      <c r="W13445" t="s">
        <v>43352</v>
      </c>
      <c r="X13445" t="s">
        <v>45116</v>
      </c>
    </row>
    <row r="13446" spans="1:24">
      <c r="A13446">
        <f>HYPERLINK("https://www.philgeps.gov.ph/GEPSNONPILOT/Tender/SplashBidNoticeAbstractUI.aspx?menuIndex=3&amp;refID=7015352&amp;Result=3","7015352")</f>
        <v>0</v>
      </c>
      <c r="B13446" t="s">
        <v>2104</v>
      </c>
      <c r="C13446" t="s">
        <v>16069</v>
      </c>
      <c r="D13446" t="s">
        <v>18039</v>
      </c>
      <c r="E13446" t="s">
        <v>29742</v>
      </c>
      <c r="F13446" t="s">
        <v>31574</v>
      </c>
      <c r="G13446" t="s">
        <v>31582</v>
      </c>
      <c r="H13446" t="s">
        <v>31591</v>
      </c>
      <c r="I13446" t="s">
        <v>8822</v>
      </c>
      <c r="J13446" t="s">
        <v>40018</v>
      </c>
      <c r="K13446" t="s">
        <v>41192</v>
      </c>
      <c r="M13446" t="s">
        <v>44875</v>
      </c>
      <c r="N13446" t="s">
        <v>45095</v>
      </c>
      <c r="O13446" t="s">
        <v>45096</v>
      </c>
      <c r="P13446">
        <v>0</v>
      </c>
      <c r="Q13446">
        <v>0</v>
      </c>
      <c r="R13446" t="s">
        <v>45115</v>
      </c>
      <c r="S13446" t="s">
        <v>45845</v>
      </c>
      <c r="T13446" t="s">
        <v>46985</v>
      </c>
      <c r="U13446" t="s">
        <v>58359</v>
      </c>
      <c r="W13446" t="s">
        <v>44875</v>
      </c>
      <c r="X13446" t="s">
        <v>45116</v>
      </c>
    </row>
    <row r="13447" spans="1:24">
      <c r="A13447">
        <f>HYPERLINK("https://www.philgeps.gov.ph/GEPSNONPILOT/Tender/SplashBidNoticeAbstractUI.aspx?menuIndex=3&amp;refID=7015364&amp;Result=3","7015364")</f>
        <v>0</v>
      </c>
      <c r="B13447" t="s">
        <v>1733</v>
      </c>
      <c r="C13447" t="s">
        <v>16070</v>
      </c>
      <c r="D13447" t="s">
        <v>18040</v>
      </c>
      <c r="E13447" t="s">
        <v>29743</v>
      </c>
      <c r="F13447" t="s">
        <v>31574</v>
      </c>
      <c r="G13447" t="s">
        <v>31582</v>
      </c>
      <c r="H13447" t="s">
        <v>31591</v>
      </c>
      <c r="I13447" t="s">
        <v>8822</v>
      </c>
      <c r="J13447" t="s">
        <v>40019</v>
      </c>
      <c r="K13447" t="s">
        <v>41192</v>
      </c>
      <c r="M13447" t="s">
        <v>43352</v>
      </c>
      <c r="N13447" t="s">
        <v>45095</v>
      </c>
      <c r="O13447" t="s">
        <v>45096</v>
      </c>
      <c r="P13447">
        <v>0</v>
      </c>
      <c r="Q13447">
        <v>1</v>
      </c>
      <c r="R13447" t="s">
        <v>45115</v>
      </c>
      <c r="S13447" t="s">
        <v>45845</v>
      </c>
      <c r="T13447" t="s">
        <v>47074</v>
      </c>
      <c r="U13447" t="s">
        <v>58356</v>
      </c>
      <c r="W13447" t="s">
        <v>43352</v>
      </c>
      <c r="X13447" t="s">
        <v>45116</v>
      </c>
    </row>
    <row r="13448" spans="1:24">
      <c r="A13448">
        <f>HYPERLINK("https://www.philgeps.gov.ph/GEPSNONPILOT/Tender/SplashBidNoticeAbstractUI.aspx?menuIndex=3&amp;refID=7015325&amp;Result=3","7015325")</f>
        <v>0</v>
      </c>
      <c r="B13448" t="s">
        <v>2608</v>
      </c>
      <c r="C13448" t="s">
        <v>16057</v>
      </c>
      <c r="D13448" t="s">
        <v>18024</v>
      </c>
      <c r="E13448" t="s">
        <v>29744</v>
      </c>
      <c r="F13448" t="s">
        <v>31574</v>
      </c>
      <c r="G13448" t="s">
        <v>31581</v>
      </c>
      <c r="H13448" t="s">
        <v>31590</v>
      </c>
      <c r="I13448" t="s">
        <v>4046</v>
      </c>
      <c r="J13448" t="s">
        <v>40020</v>
      </c>
      <c r="K13448" t="s">
        <v>41189</v>
      </c>
      <c r="M13448" t="s">
        <v>44353</v>
      </c>
      <c r="N13448" t="s">
        <v>45095</v>
      </c>
      <c r="O13448" t="s">
        <v>45096</v>
      </c>
      <c r="P13448">
        <v>0</v>
      </c>
      <c r="Q13448">
        <v>0</v>
      </c>
      <c r="R13448" t="s">
        <v>45115</v>
      </c>
      <c r="S13448" t="s">
        <v>45845</v>
      </c>
      <c r="T13448" t="s">
        <v>47159</v>
      </c>
      <c r="U13448" t="s">
        <v>55380</v>
      </c>
      <c r="W13448" t="s">
        <v>44353</v>
      </c>
      <c r="X13448" t="s">
        <v>45116</v>
      </c>
    </row>
    <row r="13449" spans="1:24">
      <c r="A13449">
        <f>HYPERLINK("https://www.philgeps.gov.ph/GEPSNONPILOT/Tender/SplashBidNoticeAbstractUI.aspx?menuIndex=3&amp;refID=7015326&amp;Result=3","7015326")</f>
        <v>0</v>
      </c>
      <c r="B13449" t="s">
        <v>1116</v>
      </c>
      <c r="C13449" t="s">
        <v>7178</v>
      </c>
      <c r="D13449" t="s">
        <v>18095</v>
      </c>
      <c r="E13449" t="s">
        <v>29745</v>
      </c>
      <c r="F13449" t="s">
        <v>31574</v>
      </c>
      <c r="G13449" t="s">
        <v>31582</v>
      </c>
      <c r="H13449" t="s">
        <v>31590</v>
      </c>
      <c r="I13449" t="s">
        <v>7185</v>
      </c>
      <c r="J13449" t="s">
        <v>40021</v>
      </c>
      <c r="K13449" t="s">
        <v>41190</v>
      </c>
      <c r="M13449" t="s">
        <v>42665</v>
      </c>
      <c r="N13449" t="s">
        <v>45095</v>
      </c>
      <c r="O13449" t="s">
        <v>45096</v>
      </c>
      <c r="P13449">
        <v>0</v>
      </c>
      <c r="Q13449">
        <v>14</v>
      </c>
      <c r="R13449" t="s">
        <v>45115</v>
      </c>
      <c r="S13449" t="s">
        <v>45845</v>
      </c>
      <c r="T13449" t="s">
        <v>47076</v>
      </c>
      <c r="U13449" t="s">
        <v>58360</v>
      </c>
      <c r="V13449" t="s">
        <v>61331</v>
      </c>
      <c r="W13449" t="s">
        <v>42665</v>
      </c>
      <c r="X13449" t="s">
        <v>45116</v>
      </c>
    </row>
    <row r="13450" spans="1:24">
      <c r="A13450">
        <f>HYPERLINK("https://www.philgeps.gov.ph/GEPSNONPILOT/Tender/SplashBidNoticeAbstractUI.aspx?menuIndex=3&amp;refID=7015339&amp;Result=3","7015339")</f>
        <v>0</v>
      </c>
      <c r="B13450" t="s">
        <v>1524</v>
      </c>
      <c r="C13450" t="s">
        <v>16071</v>
      </c>
      <c r="D13450" t="s">
        <v>18083</v>
      </c>
      <c r="E13450" t="s">
        <v>29746</v>
      </c>
      <c r="F13450" t="s">
        <v>31574</v>
      </c>
      <c r="G13450" t="s">
        <v>31582</v>
      </c>
      <c r="H13450" t="s">
        <v>31591</v>
      </c>
      <c r="I13450" t="s">
        <v>8822</v>
      </c>
      <c r="J13450" t="s">
        <v>40022</v>
      </c>
      <c r="K13450" t="s">
        <v>41268</v>
      </c>
      <c r="M13450" t="s">
        <v>43115</v>
      </c>
      <c r="N13450" t="s">
        <v>45095</v>
      </c>
      <c r="O13450" t="s">
        <v>45096</v>
      </c>
      <c r="Q13450">
        <v>0</v>
      </c>
      <c r="R13450" t="s">
        <v>45115</v>
      </c>
      <c r="S13450" t="s">
        <v>45868</v>
      </c>
      <c r="T13450" t="s">
        <v>47050</v>
      </c>
      <c r="U13450" t="s">
        <v>58361</v>
      </c>
      <c r="V13450" t="s">
        <v>61332</v>
      </c>
      <c r="W13450" t="s">
        <v>43115</v>
      </c>
      <c r="X13450" t="s">
        <v>45116</v>
      </c>
    </row>
    <row r="13451" spans="1:24">
      <c r="A13451">
        <f>HYPERLINK("https://www.philgeps.gov.ph/GEPSNONPILOT/Tender/SplashBidNoticeAbstractUI.aspx?menuIndex=3&amp;refID=7015260&amp;Result=3","7015260")</f>
        <v>0</v>
      </c>
      <c r="B13451" t="s">
        <v>60</v>
      </c>
      <c r="C13451" t="s">
        <v>16072</v>
      </c>
      <c r="D13451" t="s">
        <v>18050</v>
      </c>
      <c r="E13451" t="s">
        <v>29747</v>
      </c>
      <c r="F13451" t="s">
        <v>31574</v>
      </c>
      <c r="G13451" t="s">
        <v>31582</v>
      </c>
      <c r="H13451" t="s">
        <v>31590</v>
      </c>
      <c r="I13451" t="s">
        <v>31630</v>
      </c>
      <c r="J13451" t="s">
        <v>40023</v>
      </c>
      <c r="K13451" t="s">
        <v>41192</v>
      </c>
      <c r="M13451" t="s">
        <v>41544</v>
      </c>
      <c r="N13451" t="s">
        <v>45095</v>
      </c>
      <c r="O13451" t="s">
        <v>45096</v>
      </c>
      <c r="P13451">
        <v>0</v>
      </c>
      <c r="Q13451">
        <v>6</v>
      </c>
      <c r="R13451" t="s">
        <v>45115</v>
      </c>
      <c r="S13451" t="s">
        <v>45845</v>
      </c>
      <c r="T13451" t="s">
        <v>46973</v>
      </c>
      <c r="U13451" t="s">
        <v>58362</v>
      </c>
      <c r="W13451" t="s">
        <v>41544</v>
      </c>
      <c r="X13451" t="s">
        <v>45116</v>
      </c>
    </row>
    <row r="13452" spans="1:24">
      <c r="A13452">
        <f>HYPERLINK("https://www.philgeps.gov.ph/GEPSNONPILOT/Tender/SplashBidNoticeAbstractUI.aspx?menuIndex=3&amp;refID=7015493&amp;Result=3","7015493")</f>
        <v>0</v>
      </c>
      <c r="B13452" t="s">
        <v>668</v>
      </c>
      <c r="C13452" t="s">
        <v>16073</v>
      </c>
      <c r="D13452" t="s">
        <v>18086</v>
      </c>
      <c r="E13452" t="s">
        <v>29748</v>
      </c>
      <c r="F13452" t="s">
        <v>31574</v>
      </c>
      <c r="G13452" t="s">
        <v>31582</v>
      </c>
      <c r="H13452" t="s">
        <v>31590</v>
      </c>
      <c r="I13452" t="s">
        <v>4046</v>
      </c>
      <c r="J13452" t="s">
        <v>40024</v>
      </c>
      <c r="K13452" t="s">
        <v>41190</v>
      </c>
      <c r="M13452" t="s">
        <v>42173</v>
      </c>
      <c r="N13452" t="s">
        <v>45095</v>
      </c>
      <c r="O13452" t="s">
        <v>45096</v>
      </c>
      <c r="P13452">
        <v>0</v>
      </c>
      <c r="Q13452">
        <v>1</v>
      </c>
      <c r="R13452" t="s">
        <v>45115</v>
      </c>
      <c r="S13452" t="s">
        <v>45845</v>
      </c>
      <c r="T13452" t="s">
        <v>46949</v>
      </c>
      <c r="U13452" t="s">
        <v>48872</v>
      </c>
      <c r="W13452" t="s">
        <v>42173</v>
      </c>
      <c r="X13452" t="s">
        <v>45116</v>
      </c>
    </row>
    <row r="13453" spans="1:24">
      <c r="A13453">
        <f>HYPERLINK("https://www.philgeps.gov.ph/GEPSNONPILOT/Tender/SplashBidNoticeAbstractUI.aspx?menuIndex=3&amp;refID=7015469&amp;Result=3","7015469")</f>
        <v>0</v>
      </c>
      <c r="B13453" t="s">
        <v>2219</v>
      </c>
      <c r="C13453" t="s">
        <v>16074</v>
      </c>
      <c r="D13453" t="s">
        <v>18077</v>
      </c>
      <c r="E13453" t="s">
        <v>29749</v>
      </c>
      <c r="F13453" t="s">
        <v>31574</v>
      </c>
      <c r="G13453" t="s">
        <v>31582</v>
      </c>
      <c r="H13453" t="s">
        <v>31590</v>
      </c>
      <c r="I13453" t="s">
        <v>31616</v>
      </c>
      <c r="J13453" t="s">
        <v>40025</v>
      </c>
      <c r="K13453" t="s">
        <v>41191</v>
      </c>
      <c r="M13453" t="s">
        <v>43911</v>
      </c>
      <c r="N13453" t="s">
        <v>45095</v>
      </c>
      <c r="O13453" t="s">
        <v>45096</v>
      </c>
      <c r="P13453">
        <v>0</v>
      </c>
      <c r="Q13453">
        <v>1</v>
      </c>
      <c r="R13453" t="s">
        <v>45115</v>
      </c>
      <c r="S13453" t="s">
        <v>45845</v>
      </c>
      <c r="T13453" t="s">
        <v>47168</v>
      </c>
      <c r="U13453" t="s">
        <v>58363</v>
      </c>
      <c r="W13453" t="s">
        <v>43911</v>
      </c>
      <c r="X13453" t="s">
        <v>45116</v>
      </c>
    </row>
    <row r="13454" spans="1:24">
      <c r="A13454">
        <f>HYPERLINK("https://www.philgeps.gov.ph/GEPSNONPILOT/Tender/SplashBidNoticeAbstractUI.aspx?menuIndex=3&amp;refID=7015400&amp;Result=3","7015400")</f>
        <v>0</v>
      </c>
      <c r="B13454" t="s">
        <v>2104</v>
      </c>
      <c r="C13454" t="s">
        <v>16075</v>
      </c>
      <c r="D13454" t="s">
        <v>18039</v>
      </c>
      <c r="E13454" t="s">
        <v>29750</v>
      </c>
      <c r="F13454" t="s">
        <v>31574</v>
      </c>
      <c r="G13454" t="s">
        <v>31582</v>
      </c>
      <c r="H13454" t="s">
        <v>31591</v>
      </c>
      <c r="I13454" t="s">
        <v>8822</v>
      </c>
      <c r="J13454" t="s">
        <v>40026</v>
      </c>
      <c r="K13454" t="s">
        <v>41194</v>
      </c>
      <c r="M13454" t="s">
        <v>44875</v>
      </c>
      <c r="N13454" t="s">
        <v>45095</v>
      </c>
      <c r="O13454" t="s">
        <v>45096</v>
      </c>
      <c r="Q13454">
        <v>0</v>
      </c>
      <c r="R13454" t="s">
        <v>45115</v>
      </c>
      <c r="S13454" t="s">
        <v>45874</v>
      </c>
      <c r="T13454" t="s">
        <v>46985</v>
      </c>
      <c r="U13454" t="s">
        <v>58364</v>
      </c>
      <c r="W13454" t="s">
        <v>44875</v>
      </c>
      <c r="X13454" t="s">
        <v>45116</v>
      </c>
    </row>
    <row r="13455" spans="1:24">
      <c r="A13455">
        <f>HYPERLINK("https://www.philgeps.gov.ph/GEPSNONPILOT/Tender/SplashBidNoticeAbstractUI.aspx?menuIndex=3&amp;refID=7015314&amp;Result=3","7015314")</f>
        <v>0</v>
      </c>
      <c r="B13455" t="s">
        <v>357</v>
      </c>
      <c r="C13455" t="s">
        <v>16076</v>
      </c>
      <c r="D13455" t="s">
        <v>18026</v>
      </c>
      <c r="E13455" t="s">
        <v>26006</v>
      </c>
      <c r="F13455" t="s">
        <v>31574</v>
      </c>
      <c r="G13455" t="s">
        <v>31582</v>
      </c>
      <c r="H13455" t="s">
        <v>31591</v>
      </c>
      <c r="I13455" t="s">
        <v>8822</v>
      </c>
      <c r="J13455" t="s">
        <v>40027</v>
      </c>
      <c r="K13455" t="s">
        <v>41184</v>
      </c>
      <c r="M13455" t="s">
        <v>42576</v>
      </c>
      <c r="N13455" t="s">
        <v>45095</v>
      </c>
      <c r="O13455" t="s">
        <v>45096</v>
      </c>
      <c r="P13455">
        <v>0</v>
      </c>
      <c r="Q13455">
        <v>8</v>
      </c>
      <c r="R13455" t="s">
        <v>45115</v>
      </c>
      <c r="S13455" t="s">
        <v>45845</v>
      </c>
      <c r="T13455" t="s">
        <v>47064</v>
      </c>
      <c r="U13455" t="s">
        <v>58365</v>
      </c>
      <c r="W13455" t="s">
        <v>42576</v>
      </c>
      <c r="X13455" t="s">
        <v>45116</v>
      </c>
    </row>
    <row r="13456" spans="1:24">
      <c r="A13456">
        <f>HYPERLINK("https://www.philgeps.gov.ph/GEPSNONPILOT/Tender/SplashBidNoticeAbstractUI.aspx?menuIndex=3&amp;refID=7015295&amp;Result=3","7015295")</f>
        <v>0</v>
      </c>
      <c r="B13456" t="s">
        <v>1882</v>
      </c>
      <c r="C13456" t="s">
        <v>16077</v>
      </c>
      <c r="E13456" t="s">
        <v>29751</v>
      </c>
      <c r="F13456" t="s">
        <v>31574</v>
      </c>
      <c r="G13456" t="s">
        <v>31582</v>
      </c>
      <c r="H13456" t="s">
        <v>31591</v>
      </c>
      <c r="I13456" t="s">
        <v>8822</v>
      </c>
      <c r="J13456" t="s">
        <v>40028</v>
      </c>
      <c r="K13456" t="s">
        <v>41235</v>
      </c>
      <c r="M13456" t="s">
        <v>43525</v>
      </c>
      <c r="N13456" t="s">
        <v>45095</v>
      </c>
      <c r="O13456" t="s">
        <v>45096</v>
      </c>
      <c r="Q13456">
        <v>3</v>
      </c>
      <c r="R13456" t="s">
        <v>45115</v>
      </c>
      <c r="S13456" t="s">
        <v>45875</v>
      </c>
      <c r="T13456" t="s">
        <v>46973</v>
      </c>
      <c r="U13456" t="s">
        <v>58366</v>
      </c>
      <c r="V13456" t="s">
        <v>60687</v>
      </c>
      <c r="W13456" t="s">
        <v>43525</v>
      </c>
      <c r="X13456" t="s">
        <v>45116</v>
      </c>
    </row>
    <row r="13457" spans="1:24">
      <c r="A13457">
        <f>HYPERLINK("https://www.philgeps.gov.ph/GEPSNONPILOT/Tender/SplashBidNoticeAbstractUI.aspx?menuIndex=3&amp;refID=7015495&amp;Result=3","7015495")</f>
        <v>0</v>
      </c>
      <c r="B13457" t="s">
        <v>355</v>
      </c>
      <c r="C13457" t="s">
        <v>16078</v>
      </c>
      <c r="D13457" t="s">
        <v>18043</v>
      </c>
      <c r="E13457" t="s">
        <v>29752</v>
      </c>
      <c r="F13457" t="s">
        <v>31574</v>
      </c>
      <c r="G13457" t="s">
        <v>31582</v>
      </c>
      <c r="H13457" t="s">
        <v>31591</v>
      </c>
      <c r="I13457" t="s">
        <v>8822</v>
      </c>
      <c r="J13457" t="s">
        <v>40029</v>
      </c>
      <c r="K13457" t="s">
        <v>41203</v>
      </c>
      <c r="M13457" t="s">
        <v>41845</v>
      </c>
      <c r="N13457" t="s">
        <v>45095</v>
      </c>
      <c r="O13457" t="s">
        <v>45096</v>
      </c>
      <c r="P13457">
        <v>0</v>
      </c>
      <c r="Q13457">
        <v>0</v>
      </c>
      <c r="R13457" t="s">
        <v>45115</v>
      </c>
      <c r="S13457" t="s">
        <v>45845</v>
      </c>
      <c r="T13457" t="s">
        <v>47050</v>
      </c>
      <c r="U13457" t="s">
        <v>58367</v>
      </c>
      <c r="V13457" t="s">
        <v>61333</v>
      </c>
      <c r="W13457" t="s">
        <v>41845</v>
      </c>
      <c r="X13457" t="s">
        <v>45116</v>
      </c>
    </row>
    <row r="13458" spans="1:24">
      <c r="A13458">
        <f>HYPERLINK("https://www.philgeps.gov.ph/GEPSNONPILOT/Tender/SplashBidNoticeAbstractUI.aspx?menuIndex=3&amp;refID=7015466&amp;Result=3","7015466")</f>
        <v>0</v>
      </c>
      <c r="B13458" t="s">
        <v>3042</v>
      </c>
      <c r="C13458" t="s">
        <v>16079</v>
      </c>
      <c r="D13458" t="s">
        <v>18063</v>
      </c>
      <c r="E13458" t="s">
        <v>20408</v>
      </c>
      <c r="F13458" t="s">
        <v>31574</v>
      </c>
      <c r="G13458" t="s">
        <v>31582</v>
      </c>
      <c r="H13458" t="s">
        <v>31590</v>
      </c>
      <c r="I13458" t="s">
        <v>31644</v>
      </c>
      <c r="J13458" t="s">
        <v>32019</v>
      </c>
      <c r="K13458" t="s">
        <v>41185</v>
      </c>
      <c r="M13458" t="s">
        <v>44876</v>
      </c>
      <c r="N13458" t="s">
        <v>45095</v>
      </c>
      <c r="O13458" t="s">
        <v>45096</v>
      </c>
      <c r="P13458">
        <v>0</v>
      </c>
      <c r="Q13458">
        <v>4</v>
      </c>
      <c r="R13458" t="s">
        <v>45115</v>
      </c>
      <c r="S13458" t="s">
        <v>45845</v>
      </c>
      <c r="T13458" t="s">
        <v>47019</v>
      </c>
      <c r="U13458" t="s">
        <v>58368</v>
      </c>
      <c r="V13458" t="s">
        <v>61334</v>
      </c>
      <c r="W13458" t="s">
        <v>44876</v>
      </c>
      <c r="X13458" t="s">
        <v>45116</v>
      </c>
    </row>
    <row r="13459" spans="1:24">
      <c r="A13459">
        <f>HYPERLINK("https://www.philgeps.gov.ph/GEPSNONPILOT/Tender/SplashBidNoticeAbstractUI.aspx?menuIndex=3&amp;refID=7015397&amp;Result=3","7015397")</f>
        <v>0</v>
      </c>
      <c r="B13459" t="s">
        <v>41</v>
      </c>
      <c r="C13459" t="s">
        <v>3539</v>
      </c>
      <c r="D13459" t="s">
        <v>18036</v>
      </c>
      <c r="E13459" t="s">
        <v>29753</v>
      </c>
      <c r="F13459" t="s">
        <v>31574</v>
      </c>
      <c r="G13459" t="s">
        <v>31582</v>
      </c>
      <c r="H13459" t="s">
        <v>31590</v>
      </c>
      <c r="I13459" t="s">
        <v>3539</v>
      </c>
      <c r="J13459" t="s">
        <v>33135</v>
      </c>
      <c r="K13459" t="s">
        <v>41186</v>
      </c>
      <c r="M13459" t="s">
        <v>41524</v>
      </c>
      <c r="N13459" t="s">
        <v>45095</v>
      </c>
      <c r="O13459" t="s">
        <v>45096</v>
      </c>
      <c r="P13459">
        <v>0</v>
      </c>
      <c r="Q13459">
        <v>1</v>
      </c>
      <c r="R13459" t="s">
        <v>45115</v>
      </c>
      <c r="S13459" t="s">
        <v>45845</v>
      </c>
      <c r="T13459" t="s">
        <v>46979</v>
      </c>
      <c r="U13459" t="s">
        <v>58369</v>
      </c>
      <c r="W13459" t="s">
        <v>41524</v>
      </c>
      <c r="X13459" t="s">
        <v>45116</v>
      </c>
    </row>
    <row r="13460" spans="1:24">
      <c r="A13460">
        <f>HYPERLINK("https://www.philgeps.gov.ph/GEPSNONPILOT/Tender/SplashBidNoticeAbstractUI.aspx?menuIndex=3&amp;refID=7015604&amp;Result=3","7015604")</f>
        <v>0</v>
      </c>
      <c r="B13460" t="s">
        <v>1733</v>
      </c>
      <c r="C13460" t="s">
        <v>16080</v>
      </c>
      <c r="D13460" t="s">
        <v>18040</v>
      </c>
      <c r="E13460" t="s">
        <v>29754</v>
      </c>
      <c r="F13460" t="s">
        <v>31574</v>
      </c>
      <c r="G13460" t="s">
        <v>31582</v>
      </c>
      <c r="H13460" t="s">
        <v>31591</v>
      </c>
      <c r="I13460" t="s">
        <v>8822</v>
      </c>
      <c r="J13460" t="s">
        <v>31771</v>
      </c>
      <c r="K13460" t="s">
        <v>41189</v>
      </c>
      <c r="M13460" t="s">
        <v>43352</v>
      </c>
      <c r="N13460" t="s">
        <v>45095</v>
      </c>
      <c r="O13460" t="s">
        <v>45096</v>
      </c>
      <c r="P13460">
        <v>0</v>
      </c>
      <c r="Q13460">
        <v>1</v>
      </c>
      <c r="R13460" t="s">
        <v>45115</v>
      </c>
      <c r="S13460" t="s">
        <v>45845</v>
      </c>
      <c r="T13460" t="s">
        <v>47188</v>
      </c>
      <c r="U13460" t="s">
        <v>49422</v>
      </c>
      <c r="W13460" t="s">
        <v>43352</v>
      </c>
      <c r="X13460" t="s">
        <v>45116</v>
      </c>
    </row>
    <row r="13461" spans="1:24">
      <c r="A13461">
        <f>HYPERLINK("https://www.philgeps.gov.ph/GEPSNONPILOT/Tender/SplashBidNoticeAbstractUI.aspx?menuIndex=3&amp;refID=7015539&amp;Result=3","7015539")</f>
        <v>0</v>
      </c>
      <c r="B13461" t="s">
        <v>1733</v>
      </c>
      <c r="C13461" t="s">
        <v>16081</v>
      </c>
      <c r="D13461" t="s">
        <v>18040</v>
      </c>
      <c r="E13461" t="s">
        <v>29755</v>
      </c>
      <c r="F13461" t="s">
        <v>31574</v>
      </c>
      <c r="G13461" t="s">
        <v>31582</v>
      </c>
      <c r="H13461" t="s">
        <v>31591</v>
      </c>
      <c r="I13461" t="s">
        <v>8822</v>
      </c>
      <c r="J13461" t="s">
        <v>32497</v>
      </c>
      <c r="K13461" t="s">
        <v>41192</v>
      </c>
      <c r="M13461" t="s">
        <v>43352</v>
      </c>
      <c r="N13461" t="s">
        <v>45095</v>
      </c>
      <c r="O13461" t="s">
        <v>45096</v>
      </c>
      <c r="P13461">
        <v>0</v>
      </c>
      <c r="Q13461">
        <v>1</v>
      </c>
      <c r="R13461" t="s">
        <v>45115</v>
      </c>
      <c r="S13461" t="s">
        <v>45845</v>
      </c>
      <c r="T13461" t="s">
        <v>47188</v>
      </c>
      <c r="U13461" t="s">
        <v>58370</v>
      </c>
      <c r="W13461" t="s">
        <v>43352</v>
      </c>
      <c r="X13461" t="s">
        <v>45116</v>
      </c>
    </row>
    <row r="13462" spans="1:24">
      <c r="A13462">
        <f>HYPERLINK("https://www.philgeps.gov.ph/GEPSNONPILOT/Tender/SplashBidNoticeAbstractUI.aspx?menuIndex=3&amp;refID=7015620&amp;Result=3","7015620")</f>
        <v>0</v>
      </c>
      <c r="B13462" t="s">
        <v>1733</v>
      </c>
      <c r="C13462" t="s">
        <v>16082</v>
      </c>
      <c r="D13462" t="s">
        <v>18040</v>
      </c>
      <c r="E13462" t="s">
        <v>29756</v>
      </c>
      <c r="F13462" t="s">
        <v>31574</v>
      </c>
      <c r="G13462" t="s">
        <v>31582</v>
      </c>
      <c r="H13462" t="s">
        <v>31591</v>
      </c>
      <c r="I13462" t="s">
        <v>31593</v>
      </c>
      <c r="J13462" t="s">
        <v>32019</v>
      </c>
      <c r="K13462" t="s">
        <v>41192</v>
      </c>
      <c r="M13462" t="s">
        <v>43352</v>
      </c>
      <c r="N13462" t="s">
        <v>45095</v>
      </c>
      <c r="O13462" t="s">
        <v>45096</v>
      </c>
      <c r="P13462">
        <v>0</v>
      </c>
      <c r="Q13462">
        <v>1</v>
      </c>
      <c r="R13462" t="s">
        <v>45115</v>
      </c>
      <c r="S13462" t="s">
        <v>45845</v>
      </c>
      <c r="T13462" t="s">
        <v>47188</v>
      </c>
      <c r="U13462" t="s">
        <v>49422</v>
      </c>
      <c r="W13462" t="s">
        <v>43352</v>
      </c>
      <c r="X13462" t="s">
        <v>45116</v>
      </c>
    </row>
    <row r="13463" spans="1:24">
      <c r="A13463">
        <f>HYPERLINK("https://www.philgeps.gov.ph/GEPSNONPILOT/Tender/SplashBidNoticeAbstractUI.aspx?menuIndex=3&amp;refID=7015483&amp;Result=3","7015483")</f>
        <v>0</v>
      </c>
      <c r="B13463" t="s">
        <v>3034</v>
      </c>
      <c r="C13463" t="s">
        <v>16083</v>
      </c>
      <c r="D13463" t="s">
        <v>18081</v>
      </c>
      <c r="E13463" t="s">
        <v>29757</v>
      </c>
      <c r="F13463" t="s">
        <v>31574</v>
      </c>
      <c r="G13463" t="s">
        <v>31582</v>
      </c>
      <c r="H13463" t="s">
        <v>31590</v>
      </c>
      <c r="I13463" t="s">
        <v>31615</v>
      </c>
      <c r="J13463" t="s">
        <v>32742</v>
      </c>
      <c r="K13463" t="s">
        <v>41186</v>
      </c>
      <c r="M13463" t="s">
        <v>44867</v>
      </c>
      <c r="N13463" t="s">
        <v>45095</v>
      </c>
      <c r="O13463" t="s">
        <v>45096</v>
      </c>
      <c r="P13463">
        <v>0</v>
      </c>
      <c r="Q13463">
        <v>1</v>
      </c>
      <c r="R13463" t="s">
        <v>45115</v>
      </c>
      <c r="S13463" t="s">
        <v>45845</v>
      </c>
      <c r="T13463" t="s">
        <v>47106</v>
      </c>
      <c r="U13463" t="s">
        <v>58371</v>
      </c>
      <c r="W13463" t="s">
        <v>44867</v>
      </c>
      <c r="X13463" t="s">
        <v>45116</v>
      </c>
    </row>
    <row r="13464" spans="1:24">
      <c r="A13464">
        <f>HYPERLINK("https://www.philgeps.gov.ph/GEPSNONPILOT/Tender/SplashBidNoticeAbstractUI.aspx?menuIndex=3&amp;refID=7015586&amp;Result=3","7015586")</f>
        <v>0</v>
      </c>
      <c r="B13464" t="s">
        <v>3043</v>
      </c>
      <c r="C13464" t="s">
        <v>14097</v>
      </c>
      <c r="D13464" t="s">
        <v>18040</v>
      </c>
      <c r="E13464" t="s">
        <v>29758</v>
      </c>
      <c r="F13464" t="s">
        <v>31574</v>
      </c>
      <c r="G13464" t="s">
        <v>31582</v>
      </c>
      <c r="H13464" t="s">
        <v>31591</v>
      </c>
      <c r="I13464" t="s">
        <v>8822</v>
      </c>
      <c r="J13464" t="s">
        <v>31819</v>
      </c>
      <c r="K13464" t="s">
        <v>41243</v>
      </c>
      <c r="M13464" t="s">
        <v>44877</v>
      </c>
      <c r="N13464" t="s">
        <v>45095</v>
      </c>
      <c r="O13464" t="s">
        <v>45096</v>
      </c>
      <c r="P13464">
        <v>0</v>
      </c>
      <c r="Q13464">
        <v>2</v>
      </c>
      <c r="R13464" t="s">
        <v>45115</v>
      </c>
      <c r="S13464" t="s">
        <v>45845</v>
      </c>
      <c r="T13464" t="s">
        <v>47000</v>
      </c>
      <c r="U13464" t="s">
        <v>58372</v>
      </c>
      <c r="V13464" t="s">
        <v>61335</v>
      </c>
      <c r="W13464" t="s">
        <v>44877</v>
      </c>
      <c r="X13464" t="s">
        <v>45116</v>
      </c>
    </row>
    <row r="13465" spans="1:24">
      <c r="A13465">
        <f>HYPERLINK("https://www.philgeps.gov.ph/GEPSNONPILOT/Tender/SplashBidNoticeAbstractUI.aspx?menuIndex=3&amp;refID=7015554&amp;Result=3","7015554")</f>
        <v>0</v>
      </c>
      <c r="B13465" t="s">
        <v>1488</v>
      </c>
      <c r="C13465" t="s">
        <v>16084</v>
      </c>
      <c r="D13465" t="s">
        <v>18088</v>
      </c>
      <c r="E13465" t="s">
        <v>21914</v>
      </c>
      <c r="F13465" t="s">
        <v>31574</v>
      </c>
      <c r="G13465" t="s">
        <v>31582</v>
      </c>
      <c r="H13465" t="s">
        <v>31591</v>
      </c>
      <c r="I13465" t="s">
        <v>8822</v>
      </c>
      <c r="J13465" t="s">
        <v>35045</v>
      </c>
      <c r="K13465" t="s">
        <v>41184</v>
      </c>
      <c r="M13465" t="s">
        <v>43073</v>
      </c>
      <c r="N13465" t="s">
        <v>45095</v>
      </c>
      <c r="O13465" t="s">
        <v>45096</v>
      </c>
      <c r="P13465">
        <v>0</v>
      </c>
      <c r="Q13465">
        <v>0</v>
      </c>
      <c r="R13465" t="s">
        <v>45115</v>
      </c>
      <c r="S13465" t="s">
        <v>45845</v>
      </c>
      <c r="T13465" t="s">
        <v>46926</v>
      </c>
      <c r="U13465" t="s">
        <v>58373</v>
      </c>
      <c r="V13465" t="s">
        <v>61336</v>
      </c>
      <c r="W13465" t="s">
        <v>43073</v>
      </c>
      <c r="X13465" t="s">
        <v>45116</v>
      </c>
    </row>
    <row r="13466" spans="1:24">
      <c r="A13466">
        <f>HYPERLINK("https://www.philgeps.gov.ph/GEPSNONPILOT/Tender/SplashBidNoticeAbstractUI.aspx?menuIndex=3&amp;refID=7015611&amp;Result=3","7015611")</f>
        <v>0</v>
      </c>
      <c r="B13466" t="s">
        <v>1819</v>
      </c>
      <c r="C13466" t="s">
        <v>16085</v>
      </c>
      <c r="D13466" t="s">
        <v>18027</v>
      </c>
      <c r="E13466" t="s">
        <v>29759</v>
      </c>
      <c r="F13466" t="s">
        <v>31574</v>
      </c>
      <c r="G13466" t="s">
        <v>31582</v>
      </c>
      <c r="H13466" t="s">
        <v>31591</v>
      </c>
      <c r="I13466" t="s">
        <v>8822</v>
      </c>
      <c r="J13466" t="s">
        <v>34360</v>
      </c>
      <c r="K13466" t="s">
        <v>41243</v>
      </c>
      <c r="L13466" t="s">
        <v>1819</v>
      </c>
      <c r="M13466" t="s">
        <v>43454</v>
      </c>
      <c r="N13466" t="s">
        <v>45095</v>
      </c>
      <c r="O13466" t="s">
        <v>45096</v>
      </c>
      <c r="P13466">
        <v>0</v>
      </c>
      <c r="Q13466">
        <v>8</v>
      </c>
      <c r="R13466" t="s">
        <v>45115</v>
      </c>
      <c r="S13466" t="s">
        <v>45845</v>
      </c>
      <c r="T13466" t="s">
        <v>47188</v>
      </c>
      <c r="U13466" t="s">
        <v>58374</v>
      </c>
      <c r="W13466" t="s">
        <v>43454</v>
      </c>
      <c r="X13466" t="s">
        <v>45116</v>
      </c>
    </row>
    <row r="13467" spans="1:24">
      <c r="A13467">
        <f>HYPERLINK("https://www.philgeps.gov.ph/GEPSNONPILOT/Tender/SplashBidNoticeAbstractUI.aspx?menuIndex=3&amp;refID=7015491&amp;Result=3","7015491")</f>
        <v>0</v>
      </c>
      <c r="B13467" t="s">
        <v>3044</v>
      </c>
      <c r="C13467" t="s">
        <v>16086</v>
      </c>
      <c r="D13467" t="s">
        <v>18037</v>
      </c>
      <c r="E13467" t="s">
        <v>29760</v>
      </c>
      <c r="F13467" t="s">
        <v>31574</v>
      </c>
      <c r="G13467" t="s">
        <v>31582</v>
      </c>
      <c r="H13467" t="s">
        <v>31590</v>
      </c>
      <c r="I13467" t="s">
        <v>31615</v>
      </c>
      <c r="J13467" t="s">
        <v>32510</v>
      </c>
      <c r="K13467" t="s">
        <v>41200</v>
      </c>
      <c r="M13467" t="s">
        <v>44878</v>
      </c>
      <c r="N13467" t="s">
        <v>45095</v>
      </c>
      <c r="O13467" t="s">
        <v>45096</v>
      </c>
      <c r="P13467">
        <v>0</v>
      </c>
      <c r="Q13467">
        <v>8</v>
      </c>
      <c r="R13467" t="s">
        <v>45115</v>
      </c>
      <c r="S13467" t="s">
        <v>45845</v>
      </c>
      <c r="T13467" t="s">
        <v>46938</v>
      </c>
      <c r="U13467" t="s">
        <v>58375</v>
      </c>
      <c r="W13467" t="s">
        <v>44878</v>
      </c>
      <c r="X13467" t="s">
        <v>45116</v>
      </c>
    </row>
    <row r="13468" spans="1:24">
      <c r="A13468">
        <f>HYPERLINK("https://www.philgeps.gov.ph/GEPSNONPILOT/Tender/SplashBidNoticeAbstractUI.aspx?menuIndex=3&amp;refID=7015602&amp;Result=3","7015602")</f>
        <v>0</v>
      </c>
      <c r="B13468" t="s">
        <v>1488</v>
      </c>
      <c r="C13468" t="s">
        <v>16087</v>
      </c>
      <c r="D13468" t="s">
        <v>18088</v>
      </c>
      <c r="E13468" t="s">
        <v>21914</v>
      </c>
      <c r="F13468" t="s">
        <v>31574</v>
      </c>
      <c r="G13468" t="s">
        <v>31582</v>
      </c>
      <c r="H13468" t="s">
        <v>31591</v>
      </c>
      <c r="I13468" t="s">
        <v>8822</v>
      </c>
      <c r="J13468" t="s">
        <v>33613</v>
      </c>
      <c r="K13468" t="s">
        <v>41184</v>
      </c>
      <c r="M13468" t="s">
        <v>43073</v>
      </c>
      <c r="N13468" t="s">
        <v>45095</v>
      </c>
      <c r="O13468" t="s">
        <v>45096</v>
      </c>
      <c r="P13468">
        <v>0</v>
      </c>
      <c r="Q13468">
        <v>0</v>
      </c>
      <c r="R13468" t="s">
        <v>45115</v>
      </c>
      <c r="S13468" t="s">
        <v>45845</v>
      </c>
      <c r="T13468" t="s">
        <v>46926</v>
      </c>
      <c r="U13468" t="s">
        <v>58376</v>
      </c>
      <c r="V13468" t="s">
        <v>61336</v>
      </c>
      <c r="W13468" t="s">
        <v>43073</v>
      </c>
      <c r="X13468" t="s">
        <v>45116</v>
      </c>
    </row>
    <row r="13469" spans="1:24">
      <c r="A13469">
        <f>HYPERLINK("https://www.philgeps.gov.ph/GEPSNONPILOT/Tender/SplashBidNoticeAbstractUI.aspx?menuIndex=3&amp;refID=7015683&amp;Result=3","7015683")</f>
        <v>0</v>
      </c>
      <c r="B13469" t="s">
        <v>450</v>
      </c>
      <c r="C13469" t="s">
        <v>16088</v>
      </c>
      <c r="D13469" t="s">
        <v>18039</v>
      </c>
      <c r="E13469" t="s">
        <v>29761</v>
      </c>
      <c r="F13469" t="s">
        <v>31574</v>
      </c>
      <c r="G13469" t="s">
        <v>31582</v>
      </c>
      <c r="H13469" t="s">
        <v>31591</v>
      </c>
      <c r="I13469" t="s">
        <v>8822</v>
      </c>
      <c r="J13469" t="s">
        <v>39143</v>
      </c>
      <c r="K13469" t="s">
        <v>41396</v>
      </c>
      <c r="M13469" t="s">
        <v>41944</v>
      </c>
      <c r="N13469" t="s">
        <v>45095</v>
      </c>
      <c r="O13469" t="s">
        <v>45096</v>
      </c>
      <c r="P13469">
        <v>0</v>
      </c>
      <c r="Q13469">
        <v>2</v>
      </c>
      <c r="R13469" t="s">
        <v>45115</v>
      </c>
      <c r="S13469" t="s">
        <v>45845</v>
      </c>
      <c r="T13469" t="s">
        <v>47050</v>
      </c>
      <c r="U13469" t="s">
        <v>58377</v>
      </c>
      <c r="W13469" t="s">
        <v>41944</v>
      </c>
      <c r="X13469" t="s">
        <v>45116</v>
      </c>
    </row>
    <row r="13470" spans="1:24">
      <c r="A13470">
        <f>HYPERLINK("https://www.philgeps.gov.ph/GEPSNONPILOT/Tender/SplashBidNoticeAbstractUI.aspx?menuIndex=3&amp;refID=7015695&amp;Result=3","7015695")</f>
        <v>0</v>
      </c>
      <c r="B13470" t="s">
        <v>3045</v>
      </c>
      <c r="C13470" t="s">
        <v>16089</v>
      </c>
      <c r="D13470" t="s">
        <v>18090</v>
      </c>
      <c r="E13470" t="s">
        <v>29762</v>
      </c>
      <c r="F13470" t="s">
        <v>31574</v>
      </c>
      <c r="G13470" t="s">
        <v>31582</v>
      </c>
      <c r="H13470" t="s">
        <v>31591</v>
      </c>
      <c r="I13470" t="s">
        <v>8822</v>
      </c>
      <c r="J13470" t="s">
        <v>40030</v>
      </c>
      <c r="K13470" t="s">
        <v>41189</v>
      </c>
      <c r="M13470" t="s">
        <v>44879</v>
      </c>
      <c r="N13470" t="s">
        <v>45095</v>
      </c>
      <c r="O13470" t="s">
        <v>45096</v>
      </c>
      <c r="P13470">
        <v>0</v>
      </c>
      <c r="Q13470">
        <v>1</v>
      </c>
      <c r="R13470" t="s">
        <v>45115</v>
      </c>
      <c r="S13470" t="s">
        <v>45845</v>
      </c>
      <c r="T13470" t="s">
        <v>46973</v>
      </c>
      <c r="U13470" t="s">
        <v>58378</v>
      </c>
      <c r="W13470" t="s">
        <v>44879</v>
      </c>
      <c r="X13470" t="s">
        <v>45116</v>
      </c>
    </row>
    <row r="13471" spans="1:24">
      <c r="A13471">
        <f>HYPERLINK("https://www.philgeps.gov.ph/GEPSNONPILOT/Tender/SplashBidNoticeAbstractUI.aspx?menuIndex=3&amp;refID=7015667&amp;Result=3","7015667")</f>
        <v>0</v>
      </c>
      <c r="B13471" t="s">
        <v>290</v>
      </c>
      <c r="C13471" t="s">
        <v>16090</v>
      </c>
      <c r="D13471" t="s">
        <v>18043</v>
      </c>
      <c r="E13471" t="s">
        <v>29763</v>
      </c>
      <c r="F13471" t="s">
        <v>31574</v>
      </c>
      <c r="G13471" t="s">
        <v>31582</v>
      </c>
      <c r="H13471" t="s">
        <v>31591</v>
      </c>
      <c r="I13471" t="s">
        <v>8822</v>
      </c>
      <c r="J13471" t="s">
        <v>40016</v>
      </c>
      <c r="K13471" t="s">
        <v>41189</v>
      </c>
      <c r="M13471" t="s">
        <v>44847</v>
      </c>
      <c r="N13471" t="s">
        <v>45095</v>
      </c>
      <c r="O13471" t="s">
        <v>45096</v>
      </c>
      <c r="P13471">
        <v>0</v>
      </c>
      <c r="Q13471">
        <v>1</v>
      </c>
      <c r="R13471" t="s">
        <v>45115</v>
      </c>
      <c r="S13471" t="s">
        <v>45845</v>
      </c>
      <c r="T13471" t="s">
        <v>47171</v>
      </c>
      <c r="U13471" t="s">
        <v>58174</v>
      </c>
      <c r="W13471" t="s">
        <v>44847</v>
      </c>
      <c r="X13471" t="s">
        <v>45116</v>
      </c>
    </row>
    <row r="13472" spans="1:24">
      <c r="A13472">
        <f>HYPERLINK("https://www.philgeps.gov.ph/GEPSNONPILOT/Tender/SplashBidNoticeAbstractUI.aspx?menuIndex=3&amp;refID=7015693&amp;Result=3","7015693")</f>
        <v>0</v>
      </c>
      <c r="B13472" t="s">
        <v>88</v>
      </c>
      <c r="C13472" t="s">
        <v>16091</v>
      </c>
      <c r="D13472" t="s">
        <v>18056</v>
      </c>
      <c r="E13472" t="s">
        <v>29764</v>
      </c>
      <c r="F13472" t="s">
        <v>31574</v>
      </c>
      <c r="G13472" t="s">
        <v>31582</v>
      </c>
      <c r="H13472" t="s">
        <v>31591</v>
      </c>
      <c r="I13472" t="s">
        <v>8822</v>
      </c>
      <c r="J13472" t="s">
        <v>40031</v>
      </c>
      <c r="K13472" t="s">
        <v>41266</v>
      </c>
      <c r="M13472" t="s">
        <v>41572</v>
      </c>
      <c r="N13472" t="s">
        <v>45095</v>
      </c>
      <c r="O13472" t="s">
        <v>45096</v>
      </c>
      <c r="P13472">
        <v>0</v>
      </c>
      <c r="Q13472">
        <v>2</v>
      </c>
      <c r="R13472" t="s">
        <v>45115</v>
      </c>
      <c r="S13472" t="s">
        <v>45845</v>
      </c>
      <c r="T13472" t="s">
        <v>46913</v>
      </c>
      <c r="U13472" t="s">
        <v>58379</v>
      </c>
      <c r="W13472" t="s">
        <v>41572</v>
      </c>
      <c r="X13472" t="s">
        <v>45116</v>
      </c>
    </row>
    <row r="13473" spans="1:24">
      <c r="A13473">
        <f>HYPERLINK("https://www.philgeps.gov.ph/GEPSNONPILOT/Tender/SplashBidNoticeAbstractUI.aspx?menuIndex=3&amp;refID=7015689&amp;Result=3","7015689")</f>
        <v>0</v>
      </c>
      <c r="B13473" t="s">
        <v>3046</v>
      </c>
      <c r="C13473" t="s">
        <v>16092</v>
      </c>
      <c r="D13473" t="s">
        <v>18066</v>
      </c>
      <c r="E13473" t="s">
        <v>19072</v>
      </c>
      <c r="F13473" t="s">
        <v>31574</v>
      </c>
      <c r="G13473" t="s">
        <v>31582</v>
      </c>
      <c r="H13473" t="s">
        <v>31591</v>
      </c>
      <c r="I13473" t="s">
        <v>8822</v>
      </c>
      <c r="J13473" t="s">
        <v>40032</v>
      </c>
      <c r="K13473" t="s">
        <v>41189</v>
      </c>
      <c r="M13473" t="s">
        <v>44880</v>
      </c>
      <c r="N13473" t="s">
        <v>45095</v>
      </c>
      <c r="O13473" t="s">
        <v>45096</v>
      </c>
      <c r="P13473">
        <v>0</v>
      </c>
      <c r="Q13473">
        <v>2</v>
      </c>
      <c r="R13473" t="s">
        <v>45115</v>
      </c>
      <c r="S13473" t="s">
        <v>45845</v>
      </c>
      <c r="T13473" t="s">
        <v>46991</v>
      </c>
      <c r="U13473" t="s">
        <v>58380</v>
      </c>
      <c r="W13473" t="s">
        <v>44880</v>
      </c>
      <c r="X13473" t="s">
        <v>45116</v>
      </c>
    </row>
    <row r="13474" spans="1:24">
      <c r="A13474">
        <f>HYPERLINK("https://www.philgeps.gov.ph/GEPSNONPILOT/Tender/SplashBidNoticeAbstractUI.aspx?menuIndex=3&amp;refID=7015640&amp;Result=3","7015640")</f>
        <v>0</v>
      </c>
      <c r="B13474" t="s">
        <v>1733</v>
      </c>
      <c r="C13474" t="s">
        <v>16093</v>
      </c>
      <c r="D13474" t="s">
        <v>18040</v>
      </c>
      <c r="E13474" t="s">
        <v>29765</v>
      </c>
      <c r="F13474" t="s">
        <v>31574</v>
      </c>
      <c r="G13474" t="s">
        <v>31582</v>
      </c>
      <c r="H13474" t="s">
        <v>31591</v>
      </c>
      <c r="I13474" t="s">
        <v>8822</v>
      </c>
      <c r="J13474" t="s">
        <v>34070</v>
      </c>
      <c r="K13474" t="s">
        <v>41203</v>
      </c>
      <c r="M13474" t="s">
        <v>43352</v>
      </c>
      <c r="N13474" t="s">
        <v>45095</v>
      </c>
      <c r="O13474" t="s">
        <v>45096</v>
      </c>
      <c r="P13474">
        <v>0</v>
      </c>
      <c r="Q13474">
        <v>0</v>
      </c>
      <c r="R13474" t="s">
        <v>45115</v>
      </c>
      <c r="S13474" t="s">
        <v>45845</v>
      </c>
      <c r="T13474" t="s">
        <v>47188</v>
      </c>
      <c r="U13474" t="s">
        <v>58381</v>
      </c>
      <c r="W13474" t="s">
        <v>43352</v>
      </c>
      <c r="X13474" t="s">
        <v>45116</v>
      </c>
    </row>
    <row r="13475" spans="1:24">
      <c r="A13475">
        <f>HYPERLINK("https://www.philgeps.gov.ph/GEPSNONPILOT/Tender/SplashBidNoticeAbstractUI.aspx?menuIndex=3&amp;refID=7015639&amp;Result=3","7015639")</f>
        <v>0</v>
      </c>
      <c r="B13475" t="s">
        <v>1733</v>
      </c>
      <c r="C13475" t="s">
        <v>16094</v>
      </c>
      <c r="D13475" t="s">
        <v>18040</v>
      </c>
      <c r="E13475" t="s">
        <v>29766</v>
      </c>
      <c r="F13475" t="s">
        <v>31574</v>
      </c>
      <c r="G13475" t="s">
        <v>31582</v>
      </c>
      <c r="H13475" t="s">
        <v>31591</v>
      </c>
      <c r="I13475" t="s">
        <v>8822</v>
      </c>
      <c r="J13475" t="s">
        <v>40033</v>
      </c>
      <c r="K13475" t="s">
        <v>41192</v>
      </c>
      <c r="M13475" t="s">
        <v>44606</v>
      </c>
      <c r="N13475" t="s">
        <v>45095</v>
      </c>
      <c r="O13475" t="s">
        <v>45096</v>
      </c>
      <c r="P13475">
        <v>0</v>
      </c>
      <c r="Q13475">
        <v>2</v>
      </c>
      <c r="R13475" t="s">
        <v>45115</v>
      </c>
      <c r="S13475" t="s">
        <v>45845</v>
      </c>
      <c r="T13475" t="s">
        <v>47074</v>
      </c>
      <c r="U13475" t="s">
        <v>58382</v>
      </c>
      <c r="W13475" t="s">
        <v>44606</v>
      </c>
      <c r="X13475" t="s">
        <v>45116</v>
      </c>
    </row>
    <row r="13476" spans="1:24">
      <c r="A13476">
        <f>HYPERLINK("https://www.philgeps.gov.ph/GEPSNONPILOT/Tender/SplashBidNoticeAbstractUI.aspx?menuIndex=3&amp;refID=7015658&amp;Result=3","7015658")</f>
        <v>0</v>
      </c>
      <c r="B13476" t="s">
        <v>88</v>
      </c>
      <c r="C13476" t="s">
        <v>16095</v>
      </c>
      <c r="D13476" t="s">
        <v>18056</v>
      </c>
      <c r="E13476" t="s">
        <v>29767</v>
      </c>
      <c r="F13476" t="s">
        <v>31574</v>
      </c>
      <c r="G13476" t="s">
        <v>31582</v>
      </c>
      <c r="H13476" t="s">
        <v>31591</v>
      </c>
      <c r="I13476" t="s">
        <v>8822</v>
      </c>
      <c r="J13476" t="s">
        <v>34689</v>
      </c>
      <c r="K13476" t="s">
        <v>41189</v>
      </c>
      <c r="M13476" t="s">
        <v>41572</v>
      </c>
      <c r="N13476" t="s">
        <v>45095</v>
      </c>
      <c r="O13476" t="s">
        <v>45096</v>
      </c>
      <c r="P13476">
        <v>0</v>
      </c>
      <c r="Q13476">
        <v>3</v>
      </c>
      <c r="R13476" t="s">
        <v>45115</v>
      </c>
      <c r="S13476" t="s">
        <v>45845</v>
      </c>
      <c r="T13476" t="s">
        <v>46913</v>
      </c>
      <c r="U13476" t="s">
        <v>58383</v>
      </c>
      <c r="W13476" t="s">
        <v>41572</v>
      </c>
      <c r="X13476" t="s">
        <v>45116</v>
      </c>
    </row>
    <row r="13477" spans="1:24">
      <c r="A13477">
        <f>HYPERLINK("https://www.philgeps.gov.ph/GEPSNONPILOT/Tender/SplashBidNoticeAbstractUI.aspx?menuIndex=3&amp;refID=7015705&amp;Result=3","7015705")</f>
        <v>0</v>
      </c>
      <c r="B13477" t="s">
        <v>1451</v>
      </c>
      <c r="C13477" t="s">
        <v>16096</v>
      </c>
      <c r="D13477" t="s">
        <v>18070</v>
      </c>
      <c r="E13477" t="s">
        <v>29768</v>
      </c>
      <c r="F13477" t="s">
        <v>31574</v>
      </c>
      <c r="G13477" t="s">
        <v>31582</v>
      </c>
      <c r="H13477" t="s">
        <v>31590</v>
      </c>
      <c r="I13477" t="s">
        <v>31601</v>
      </c>
      <c r="J13477" t="s">
        <v>37901</v>
      </c>
      <c r="K13477" t="s">
        <v>41185</v>
      </c>
      <c r="M13477" t="s">
        <v>43031</v>
      </c>
      <c r="N13477" t="s">
        <v>45095</v>
      </c>
      <c r="O13477" t="s">
        <v>45096</v>
      </c>
      <c r="P13477">
        <v>0</v>
      </c>
      <c r="Q13477">
        <v>12</v>
      </c>
      <c r="R13477" t="s">
        <v>45115</v>
      </c>
      <c r="S13477" t="s">
        <v>45845</v>
      </c>
      <c r="T13477" t="s">
        <v>46910</v>
      </c>
      <c r="U13477" t="s">
        <v>58384</v>
      </c>
      <c r="W13477" t="s">
        <v>43031</v>
      </c>
      <c r="X13477" t="s">
        <v>45116</v>
      </c>
    </row>
    <row r="13478" spans="1:24">
      <c r="A13478">
        <f>HYPERLINK("https://www.philgeps.gov.ph/GEPSNONPILOT/Tender/SplashBidNoticeAbstractUI.aspx?menuIndex=3&amp;refID=7015712&amp;Result=3","7015712")</f>
        <v>0</v>
      </c>
      <c r="B13478" t="s">
        <v>1733</v>
      </c>
      <c r="C13478" t="s">
        <v>16097</v>
      </c>
      <c r="D13478" t="s">
        <v>18040</v>
      </c>
      <c r="E13478" t="s">
        <v>29769</v>
      </c>
      <c r="F13478" t="s">
        <v>31574</v>
      </c>
      <c r="G13478" t="s">
        <v>31582</v>
      </c>
      <c r="H13478" t="s">
        <v>31591</v>
      </c>
      <c r="I13478" t="s">
        <v>8822</v>
      </c>
      <c r="J13478" t="s">
        <v>31935</v>
      </c>
      <c r="K13478" t="s">
        <v>41260</v>
      </c>
      <c r="M13478" t="s">
        <v>44606</v>
      </c>
      <c r="N13478" t="s">
        <v>45095</v>
      </c>
      <c r="O13478" t="s">
        <v>45096</v>
      </c>
      <c r="P13478">
        <v>0</v>
      </c>
      <c r="Q13478">
        <v>1</v>
      </c>
      <c r="R13478" t="s">
        <v>45115</v>
      </c>
      <c r="S13478" t="s">
        <v>45845</v>
      </c>
      <c r="T13478" t="s">
        <v>47188</v>
      </c>
      <c r="U13478" t="s">
        <v>58385</v>
      </c>
      <c r="W13478" t="s">
        <v>44606</v>
      </c>
      <c r="X13478" t="s">
        <v>45116</v>
      </c>
    </row>
    <row r="13479" spans="1:24">
      <c r="A13479">
        <f>HYPERLINK("https://www.philgeps.gov.ph/GEPSNONPILOT/Tender/SplashBidNoticeAbstractUI.aspx?menuIndex=3&amp;refID=7015644&amp;Result=3","7015644")</f>
        <v>0</v>
      </c>
      <c r="B13479" t="s">
        <v>450</v>
      </c>
      <c r="C13479" t="s">
        <v>16098</v>
      </c>
      <c r="D13479" t="s">
        <v>18039</v>
      </c>
      <c r="E13479" t="s">
        <v>29770</v>
      </c>
      <c r="F13479" t="s">
        <v>31574</v>
      </c>
      <c r="G13479" t="s">
        <v>31582</v>
      </c>
      <c r="H13479" t="s">
        <v>31591</v>
      </c>
      <c r="I13479" t="s">
        <v>8822</v>
      </c>
      <c r="J13479" t="s">
        <v>39121</v>
      </c>
      <c r="K13479" t="s">
        <v>41425</v>
      </c>
      <c r="M13479" t="s">
        <v>41944</v>
      </c>
      <c r="N13479" t="s">
        <v>45095</v>
      </c>
      <c r="O13479" t="s">
        <v>45096</v>
      </c>
      <c r="P13479">
        <v>0</v>
      </c>
      <c r="Q13479">
        <v>2</v>
      </c>
      <c r="R13479" t="s">
        <v>45115</v>
      </c>
      <c r="S13479" t="s">
        <v>45845</v>
      </c>
      <c r="T13479" t="s">
        <v>47050</v>
      </c>
      <c r="U13479" t="s">
        <v>58377</v>
      </c>
      <c r="W13479" t="s">
        <v>41944</v>
      </c>
      <c r="X13479" t="s">
        <v>45116</v>
      </c>
    </row>
    <row r="13480" spans="1:24">
      <c r="A13480">
        <f>HYPERLINK("https://www.philgeps.gov.ph/GEPSNONPILOT/Tender/SplashBidNoticeAbstractUI.aspx?menuIndex=3&amp;refID=7015760&amp;Result=3","7015760")</f>
        <v>0</v>
      </c>
      <c r="B13480" t="s">
        <v>1819</v>
      </c>
      <c r="C13480" t="s">
        <v>16099</v>
      </c>
      <c r="D13480" t="s">
        <v>18027</v>
      </c>
      <c r="E13480" t="s">
        <v>29771</v>
      </c>
      <c r="F13480" t="s">
        <v>31574</v>
      </c>
      <c r="G13480" t="s">
        <v>31582</v>
      </c>
      <c r="H13480" t="s">
        <v>31591</v>
      </c>
      <c r="I13480" t="s">
        <v>8822</v>
      </c>
      <c r="J13480" t="s">
        <v>34697</v>
      </c>
      <c r="K13480" t="s">
        <v>41192</v>
      </c>
      <c r="L13480" t="s">
        <v>1819</v>
      </c>
      <c r="M13480" t="s">
        <v>43454</v>
      </c>
      <c r="N13480" t="s">
        <v>45095</v>
      </c>
      <c r="O13480" t="s">
        <v>45096</v>
      </c>
      <c r="P13480">
        <v>0</v>
      </c>
      <c r="Q13480">
        <v>2</v>
      </c>
      <c r="R13480" t="s">
        <v>45115</v>
      </c>
      <c r="S13480" t="s">
        <v>45845</v>
      </c>
      <c r="T13480" t="s">
        <v>47188</v>
      </c>
      <c r="U13480" t="s">
        <v>58374</v>
      </c>
      <c r="W13480" t="s">
        <v>43454</v>
      </c>
      <c r="X13480" t="s">
        <v>45116</v>
      </c>
    </row>
    <row r="13481" spans="1:24">
      <c r="A13481">
        <f>HYPERLINK("https://www.philgeps.gov.ph/GEPSNONPILOT/Tender/SplashBidNoticeAbstractUI.aspx?menuIndex=3&amp;refID=7015739&amp;Result=3","7015739")</f>
        <v>0</v>
      </c>
      <c r="B13481" t="s">
        <v>1819</v>
      </c>
      <c r="C13481" t="s">
        <v>16100</v>
      </c>
      <c r="D13481" t="s">
        <v>18027</v>
      </c>
      <c r="E13481" t="s">
        <v>29772</v>
      </c>
      <c r="F13481" t="s">
        <v>31574</v>
      </c>
      <c r="G13481" t="s">
        <v>31582</v>
      </c>
      <c r="H13481" t="s">
        <v>31591</v>
      </c>
      <c r="I13481" t="s">
        <v>8822</v>
      </c>
      <c r="J13481" t="s">
        <v>33445</v>
      </c>
      <c r="K13481" t="s">
        <v>41198</v>
      </c>
      <c r="L13481" t="s">
        <v>1819</v>
      </c>
      <c r="M13481" t="s">
        <v>43454</v>
      </c>
      <c r="N13481" t="s">
        <v>45095</v>
      </c>
      <c r="O13481" t="s">
        <v>45096</v>
      </c>
      <c r="P13481">
        <v>0</v>
      </c>
      <c r="Q13481">
        <v>4</v>
      </c>
      <c r="R13481" t="s">
        <v>45115</v>
      </c>
      <c r="S13481" t="s">
        <v>45845</v>
      </c>
      <c r="T13481" t="s">
        <v>47188</v>
      </c>
      <c r="U13481" t="s">
        <v>58374</v>
      </c>
      <c r="W13481" t="s">
        <v>43454</v>
      </c>
      <c r="X13481" t="s">
        <v>45116</v>
      </c>
    </row>
    <row r="13482" spans="1:24">
      <c r="A13482">
        <f>HYPERLINK("https://www.philgeps.gov.ph/GEPSNONPILOT/Tender/SplashBidNoticeAbstractUI.aspx?menuIndex=3&amp;refID=7015653&amp;Result=3","7015653")</f>
        <v>0</v>
      </c>
      <c r="B13482" t="s">
        <v>1451</v>
      </c>
      <c r="C13482" t="s">
        <v>16101</v>
      </c>
      <c r="D13482" t="s">
        <v>18070</v>
      </c>
      <c r="E13482" t="s">
        <v>29773</v>
      </c>
      <c r="F13482" t="s">
        <v>31574</v>
      </c>
      <c r="G13482" t="s">
        <v>31582</v>
      </c>
      <c r="H13482" t="s">
        <v>31590</v>
      </c>
      <c r="I13482" t="s">
        <v>31615</v>
      </c>
      <c r="J13482" t="s">
        <v>40034</v>
      </c>
      <c r="K13482" t="s">
        <v>41185</v>
      </c>
      <c r="M13482" t="s">
        <v>43031</v>
      </c>
      <c r="N13482" t="s">
        <v>45095</v>
      </c>
      <c r="O13482" t="s">
        <v>45096</v>
      </c>
      <c r="P13482">
        <v>0</v>
      </c>
      <c r="Q13482">
        <v>4</v>
      </c>
      <c r="R13482" t="s">
        <v>45115</v>
      </c>
      <c r="S13482" t="s">
        <v>45845</v>
      </c>
      <c r="T13482" t="s">
        <v>46914</v>
      </c>
      <c r="U13482" t="s">
        <v>58386</v>
      </c>
      <c r="W13482" t="s">
        <v>43031</v>
      </c>
      <c r="X13482" t="s">
        <v>45116</v>
      </c>
    </row>
    <row r="13483" spans="1:24">
      <c r="A13483">
        <f>HYPERLINK("https://www.philgeps.gov.ph/GEPSNONPILOT/Tender/SplashBidNoticeAbstractUI.aspx?menuIndex=3&amp;refID=7015736&amp;Result=3","7015736")</f>
        <v>0</v>
      </c>
      <c r="B13483" t="s">
        <v>1733</v>
      </c>
      <c r="C13483" t="s">
        <v>16102</v>
      </c>
      <c r="D13483" t="s">
        <v>18040</v>
      </c>
      <c r="E13483" t="s">
        <v>29774</v>
      </c>
      <c r="F13483" t="s">
        <v>31574</v>
      </c>
      <c r="G13483" t="s">
        <v>31582</v>
      </c>
      <c r="H13483" t="s">
        <v>31591</v>
      </c>
      <c r="I13483" t="s">
        <v>8822</v>
      </c>
      <c r="J13483" t="s">
        <v>31935</v>
      </c>
      <c r="K13483" t="s">
        <v>41260</v>
      </c>
      <c r="M13483" t="s">
        <v>44606</v>
      </c>
      <c r="N13483" t="s">
        <v>45095</v>
      </c>
      <c r="O13483" t="s">
        <v>45096</v>
      </c>
      <c r="P13483">
        <v>0</v>
      </c>
      <c r="Q13483">
        <v>0</v>
      </c>
      <c r="R13483" t="s">
        <v>45115</v>
      </c>
      <c r="S13483" t="s">
        <v>45845</v>
      </c>
      <c r="T13483" t="s">
        <v>47188</v>
      </c>
      <c r="U13483" t="s">
        <v>58387</v>
      </c>
      <c r="W13483" t="s">
        <v>44606</v>
      </c>
      <c r="X13483" t="s">
        <v>45116</v>
      </c>
    </row>
    <row r="13484" spans="1:24">
      <c r="A13484">
        <f>HYPERLINK("https://www.philgeps.gov.ph/GEPSNONPILOT/Tender/SplashBidNoticeAbstractUI.aspx?menuIndex=3&amp;refID=7015740&amp;Result=3","7015740")</f>
        <v>0</v>
      </c>
      <c r="B13484" t="s">
        <v>450</v>
      </c>
      <c r="C13484" t="s">
        <v>16103</v>
      </c>
      <c r="D13484" t="s">
        <v>18039</v>
      </c>
      <c r="E13484" t="s">
        <v>29775</v>
      </c>
      <c r="F13484" t="s">
        <v>31574</v>
      </c>
      <c r="G13484" t="s">
        <v>31582</v>
      </c>
      <c r="H13484" t="s">
        <v>31591</v>
      </c>
      <c r="I13484" t="s">
        <v>8822</v>
      </c>
      <c r="J13484" t="s">
        <v>40035</v>
      </c>
      <c r="K13484" t="s">
        <v>41396</v>
      </c>
      <c r="M13484" t="s">
        <v>41944</v>
      </c>
      <c r="N13484" t="s">
        <v>45095</v>
      </c>
      <c r="O13484" t="s">
        <v>45096</v>
      </c>
      <c r="P13484">
        <v>0</v>
      </c>
      <c r="Q13484">
        <v>1</v>
      </c>
      <c r="R13484" t="s">
        <v>45115</v>
      </c>
      <c r="S13484" t="s">
        <v>45845</v>
      </c>
      <c r="T13484" t="s">
        <v>47050</v>
      </c>
      <c r="U13484" t="s">
        <v>58377</v>
      </c>
      <c r="W13484" t="s">
        <v>41944</v>
      </c>
      <c r="X13484" t="s">
        <v>45116</v>
      </c>
    </row>
    <row r="13485" spans="1:24">
      <c r="A13485">
        <f>HYPERLINK("https://www.philgeps.gov.ph/GEPSNONPILOT/Tender/SplashBidNoticeAbstractUI.aspx?menuIndex=3&amp;refID=7015708&amp;Result=3","7015708")</f>
        <v>0</v>
      </c>
      <c r="B13485" t="s">
        <v>450</v>
      </c>
      <c r="C13485" t="s">
        <v>16104</v>
      </c>
      <c r="D13485" t="s">
        <v>18039</v>
      </c>
      <c r="E13485" t="s">
        <v>29776</v>
      </c>
      <c r="F13485" t="s">
        <v>31574</v>
      </c>
      <c r="G13485" t="s">
        <v>31582</v>
      </c>
      <c r="H13485" t="s">
        <v>31591</v>
      </c>
      <c r="I13485" t="s">
        <v>8822</v>
      </c>
      <c r="J13485" t="s">
        <v>39226</v>
      </c>
      <c r="K13485" t="s">
        <v>41396</v>
      </c>
      <c r="M13485" t="s">
        <v>41944</v>
      </c>
      <c r="N13485" t="s">
        <v>45095</v>
      </c>
      <c r="O13485" t="s">
        <v>45096</v>
      </c>
      <c r="P13485">
        <v>0</v>
      </c>
      <c r="Q13485">
        <v>0</v>
      </c>
      <c r="R13485" t="s">
        <v>45115</v>
      </c>
      <c r="S13485" t="s">
        <v>45845</v>
      </c>
      <c r="T13485" t="s">
        <v>47050</v>
      </c>
      <c r="U13485" t="s">
        <v>58377</v>
      </c>
      <c r="W13485" t="s">
        <v>41944</v>
      </c>
      <c r="X13485" t="s">
        <v>45116</v>
      </c>
    </row>
    <row r="13486" spans="1:24">
      <c r="A13486">
        <f>HYPERLINK("https://www.philgeps.gov.ph/GEPSNONPILOT/Tender/SplashBidNoticeAbstractUI.aspx?menuIndex=3&amp;refID=7015735&amp;Result=3","7015735")</f>
        <v>0</v>
      </c>
      <c r="B13486" t="s">
        <v>2211</v>
      </c>
      <c r="C13486" t="s">
        <v>16105</v>
      </c>
      <c r="D13486" t="s">
        <v>18034</v>
      </c>
      <c r="E13486" t="s">
        <v>29777</v>
      </c>
      <c r="F13486" t="s">
        <v>31574</v>
      </c>
      <c r="G13486" t="s">
        <v>31582</v>
      </c>
      <c r="H13486" t="s">
        <v>31591</v>
      </c>
      <c r="I13486" t="s">
        <v>8822</v>
      </c>
      <c r="J13486" t="s">
        <v>40036</v>
      </c>
      <c r="K13486" t="s">
        <v>41462</v>
      </c>
      <c r="M13486" t="s">
        <v>43901</v>
      </c>
      <c r="N13486" t="s">
        <v>45095</v>
      </c>
      <c r="O13486" t="s">
        <v>45096</v>
      </c>
      <c r="P13486">
        <v>0</v>
      </c>
      <c r="Q13486">
        <v>1</v>
      </c>
      <c r="R13486" t="s">
        <v>45115</v>
      </c>
      <c r="S13486" t="s">
        <v>45845</v>
      </c>
      <c r="T13486" t="s">
        <v>46930</v>
      </c>
      <c r="U13486" t="s">
        <v>53698</v>
      </c>
      <c r="W13486" t="s">
        <v>43901</v>
      </c>
      <c r="X13486" t="s">
        <v>45116</v>
      </c>
    </row>
    <row r="13487" spans="1:24">
      <c r="A13487">
        <f>HYPERLINK("https://www.philgeps.gov.ph/GEPSNONPILOT/Tender/SplashBidNoticeAbstractUI.aspx?menuIndex=3&amp;refID=7015810&amp;Result=3","7015810")</f>
        <v>0</v>
      </c>
      <c r="B13487" t="s">
        <v>323</v>
      </c>
      <c r="C13487" t="s">
        <v>16106</v>
      </c>
      <c r="E13487" t="s">
        <v>29778</v>
      </c>
      <c r="F13487" t="s">
        <v>31574</v>
      </c>
      <c r="G13487" t="s">
        <v>31582</v>
      </c>
      <c r="H13487" t="s">
        <v>31590</v>
      </c>
      <c r="I13487" t="s">
        <v>31671</v>
      </c>
      <c r="J13487" t="s">
        <v>40037</v>
      </c>
      <c r="K13487" t="s">
        <v>41189</v>
      </c>
      <c r="M13487" t="s">
        <v>44881</v>
      </c>
      <c r="N13487" t="s">
        <v>45095</v>
      </c>
      <c r="O13487" t="s">
        <v>45096</v>
      </c>
      <c r="Q13487">
        <v>4</v>
      </c>
      <c r="R13487" t="s">
        <v>45115</v>
      </c>
      <c r="S13487" t="s">
        <v>45876</v>
      </c>
      <c r="T13487" t="s">
        <v>46917</v>
      </c>
      <c r="U13487" t="s">
        <v>58388</v>
      </c>
      <c r="W13487" t="s">
        <v>44881</v>
      </c>
      <c r="X13487" t="s">
        <v>45116</v>
      </c>
    </row>
    <row r="13488" spans="1:24">
      <c r="A13488">
        <f>HYPERLINK("https://www.philgeps.gov.ph/GEPSNONPILOT/Tender/SplashBidNoticeAbstractUI.aspx?menuIndex=3&amp;refID=7015728&amp;Result=3","7015728")</f>
        <v>0</v>
      </c>
      <c r="B13488" t="s">
        <v>1819</v>
      </c>
      <c r="C13488" t="s">
        <v>16107</v>
      </c>
      <c r="D13488" t="s">
        <v>18027</v>
      </c>
      <c r="E13488" t="s">
        <v>29779</v>
      </c>
      <c r="F13488" t="s">
        <v>31574</v>
      </c>
      <c r="G13488" t="s">
        <v>31582</v>
      </c>
      <c r="H13488" t="s">
        <v>31591</v>
      </c>
      <c r="I13488" t="s">
        <v>8822</v>
      </c>
      <c r="J13488" t="s">
        <v>40038</v>
      </c>
      <c r="K13488" t="s">
        <v>41198</v>
      </c>
      <c r="L13488" t="s">
        <v>1819</v>
      </c>
      <c r="M13488" t="s">
        <v>43454</v>
      </c>
      <c r="N13488" t="s">
        <v>45095</v>
      </c>
      <c r="O13488" t="s">
        <v>45096</v>
      </c>
      <c r="Q13488">
        <v>9</v>
      </c>
      <c r="R13488" t="s">
        <v>45115</v>
      </c>
      <c r="S13488" t="s">
        <v>45877</v>
      </c>
      <c r="T13488" t="s">
        <v>47188</v>
      </c>
      <c r="U13488" t="s">
        <v>58374</v>
      </c>
      <c r="W13488" t="s">
        <v>43454</v>
      </c>
      <c r="X13488" t="s">
        <v>45116</v>
      </c>
    </row>
    <row r="13489" spans="1:24">
      <c r="A13489">
        <f>HYPERLINK("https://www.philgeps.gov.ph/GEPSNONPILOT/Tender/SplashBidNoticeAbstractUI.aspx?menuIndex=3&amp;refID=7015770&amp;Result=3","7015770")</f>
        <v>0</v>
      </c>
      <c r="B13489" t="s">
        <v>1819</v>
      </c>
      <c r="C13489" t="s">
        <v>16108</v>
      </c>
      <c r="D13489" t="s">
        <v>18027</v>
      </c>
      <c r="E13489" t="s">
        <v>29780</v>
      </c>
      <c r="F13489" t="s">
        <v>31574</v>
      </c>
      <c r="G13489" t="s">
        <v>31582</v>
      </c>
      <c r="H13489" t="s">
        <v>31591</v>
      </c>
      <c r="I13489" t="s">
        <v>8822</v>
      </c>
      <c r="J13489" t="s">
        <v>34697</v>
      </c>
      <c r="K13489" t="s">
        <v>41189</v>
      </c>
      <c r="L13489" t="s">
        <v>1819</v>
      </c>
      <c r="M13489" t="s">
        <v>43454</v>
      </c>
      <c r="N13489" t="s">
        <v>45095</v>
      </c>
      <c r="O13489" t="s">
        <v>45096</v>
      </c>
      <c r="P13489">
        <v>0</v>
      </c>
      <c r="Q13489">
        <v>3</v>
      </c>
      <c r="R13489" t="s">
        <v>45115</v>
      </c>
      <c r="S13489" t="s">
        <v>45845</v>
      </c>
      <c r="T13489" t="s">
        <v>47188</v>
      </c>
      <c r="U13489" t="s">
        <v>58374</v>
      </c>
      <c r="W13489" t="s">
        <v>43454</v>
      </c>
      <c r="X13489" t="s">
        <v>45116</v>
      </c>
    </row>
    <row r="13490" spans="1:24">
      <c r="A13490">
        <f>HYPERLINK("https://www.philgeps.gov.ph/GEPSNONPILOT/Tender/SplashBidNoticeAbstractUI.aspx?menuIndex=3&amp;refID=7015808&amp;Result=3","7015808")</f>
        <v>0</v>
      </c>
      <c r="B13490" t="s">
        <v>3047</v>
      </c>
      <c r="C13490" t="s">
        <v>16109</v>
      </c>
      <c r="D13490" t="s">
        <v>18040</v>
      </c>
      <c r="E13490" t="s">
        <v>29781</v>
      </c>
      <c r="F13490" t="s">
        <v>31574</v>
      </c>
      <c r="G13490" t="s">
        <v>31582</v>
      </c>
      <c r="H13490" t="s">
        <v>31590</v>
      </c>
      <c r="I13490" t="s">
        <v>31614</v>
      </c>
      <c r="J13490" t="s">
        <v>37446</v>
      </c>
      <c r="K13490" t="s">
        <v>41184</v>
      </c>
      <c r="M13490" t="s">
        <v>44882</v>
      </c>
      <c r="N13490" t="s">
        <v>45095</v>
      </c>
      <c r="O13490" t="s">
        <v>45096</v>
      </c>
      <c r="P13490">
        <v>0</v>
      </c>
      <c r="Q13490">
        <v>2</v>
      </c>
      <c r="R13490" t="s">
        <v>45115</v>
      </c>
      <c r="S13490" t="s">
        <v>45845</v>
      </c>
      <c r="T13490" t="s">
        <v>46989</v>
      </c>
      <c r="U13490" t="s">
        <v>58389</v>
      </c>
      <c r="W13490" t="s">
        <v>44882</v>
      </c>
      <c r="X13490" t="s">
        <v>45116</v>
      </c>
    </row>
    <row r="13491" spans="1:24">
      <c r="A13491">
        <f>HYPERLINK("https://www.philgeps.gov.ph/GEPSNONPILOT/Tender/SplashBidNoticeAbstractUI.aspx?menuIndex=3&amp;refID=7015805&amp;Result=3","7015805")</f>
        <v>0</v>
      </c>
      <c r="B13491" t="s">
        <v>1819</v>
      </c>
      <c r="C13491" t="s">
        <v>16110</v>
      </c>
      <c r="D13491" t="s">
        <v>18027</v>
      </c>
      <c r="E13491" t="s">
        <v>29782</v>
      </c>
      <c r="F13491" t="s">
        <v>31574</v>
      </c>
      <c r="G13491" t="s">
        <v>31582</v>
      </c>
      <c r="H13491" t="s">
        <v>31591</v>
      </c>
      <c r="I13491" t="s">
        <v>8822</v>
      </c>
      <c r="J13491" t="s">
        <v>40039</v>
      </c>
      <c r="K13491" t="s">
        <v>41189</v>
      </c>
      <c r="L13491" t="s">
        <v>1819</v>
      </c>
      <c r="M13491" t="s">
        <v>43454</v>
      </c>
      <c r="N13491" t="s">
        <v>45095</v>
      </c>
      <c r="O13491" t="s">
        <v>45096</v>
      </c>
      <c r="P13491">
        <v>0</v>
      </c>
      <c r="Q13491">
        <v>1</v>
      </c>
      <c r="R13491" t="s">
        <v>45115</v>
      </c>
      <c r="S13491" t="s">
        <v>45845</v>
      </c>
      <c r="T13491" t="s">
        <v>47188</v>
      </c>
      <c r="U13491" t="s">
        <v>58374</v>
      </c>
      <c r="W13491" t="s">
        <v>43454</v>
      </c>
      <c r="X13491" t="s">
        <v>45116</v>
      </c>
    </row>
    <row r="13492" spans="1:24">
      <c r="A13492">
        <f>HYPERLINK("https://www.philgeps.gov.ph/GEPSNONPILOT/Tender/SplashBidNoticeAbstractUI.aspx?menuIndex=3&amp;refID=7015793&amp;Result=3","7015793")</f>
        <v>0</v>
      </c>
      <c r="B13492" t="s">
        <v>1819</v>
      </c>
      <c r="C13492" t="s">
        <v>16111</v>
      </c>
      <c r="D13492" t="s">
        <v>18027</v>
      </c>
      <c r="E13492" t="s">
        <v>29783</v>
      </c>
      <c r="F13492" t="s">
        <v>31574</v>
      </c>
      <c r="G13492" t="s">
        <v>31582</v>
      </c>
      <c r="H13492" t="s">
        <v>31591</v>
      </c>
      <c r="I13492" t="s">
        <v>8822</v>
      </c>
      <c r="J13492" t="s">
        <v>40040</v>
      </c>
      <c r="K13492" t="s">
        <v>41209</v>
      </c>
      <c r="L13492" t="s">
        <v>1819</v>
      </c>
      <c r="M13492" t="s">
        <v>43454</v>
      </c>
      <c r="N13492" t="s">
        <v>45095</v>
      </c>
      <c r="O13492" t="s">
        <v>45096</v>
      </c>
      <c r="P13492">
        <v>0</v>
      </c>
      <c r="Q13492">
        <v>3</v>
      </c>
      <c r="R13492" t="s">
        <v>45115</v>
      </c>
      <c r="S13492" t="s">
        <v>45845</v>
      </c>
      <c r="T13492" t="s">
        <v>47188</v>
      </c>
      <c r="U13492" t="s">
        <v>58374</v>
      </c>
      <c r="W13492" t="s">
        <v>43454</v>
      </c>
      <c r="X13492" t="s">
        <v>45116</v>
      </c>
    </row>
    <row r="13493" spans="1:24">
      <c r="A13493">
        <f>HYPERLINK("https://www.philgeps.gov.ph/GEPSNONPILOT/Tender/SplashBidNoticeAbstractUI.aspx?menuIndex=3&amp;refID=7015729&amp;Result=3","7015729")</f>
        <v>0</v>
      </c>
      <c r="B13493" t="s">
        <v>88</v>
      </c>
      <c r="C13493" t="s">
        <v>16112</v>
      </c>
      <c r="D13493" t="s">
        <v>18056</v>
      </c>
      <c r="E13493" t="s">
        <v>29784</v>
      </c>
      <c r="F13493" t="s">
        <v>31574</v>
      </c>
      <c r="G13493" t="s">
        <v>31582</v>
      </c>
      <c r="H13493" t="s">
        <v>31591</v>
      </c>
      <c r="I13493" t="s">
        <v>8822</v>
      </c>
      <c r="J13493" t="s">
        <v>40041</v>
      </c>
      <c r="K13493" t="s">
        <v>41189</v>
      </c>
      <c r="M13493" t="s">
        <v>41572</v>
      </c>
      <c r="N13493" t="s">
        <v>45095</v>
      </c>
      <c r="O13493" t="s">
        <v>45096</v>
      </c>
      <c r="P13493">
        <v>0</v>
      </c>
      <c r="Q13493">
        <v>2</v>
      </c>
      <c r="R13493" t="s">
        <v>45115</v>
      </c>
      <c r="S13493" t="s">
        <v>45845</v>
      </c>
      <c r="T13493" t="s">
        <v>46913</v>
      </c>
      <c r="U13493" t="s">
        <v>58390</v>
      </c>
      <c r="W13493" t="s">
        <v>41572</v>
      </c>
      <c r="X13493" t="s">
        <v>45116</v>
      </c>
    </row>
    <row r="13494" spans="1:24">
      <c r="A13494">
        <f>HYPERLINK("https://www.philgeps.gov.ph/GEPSNONPILOT/Tender/SplashBidNoticeAbstractUI.aspx?menuIndex=3&amp;refID=7015791&amp;Result=3","7015791")</f>
        <v>0</v>
      </c>
      <c r="B13494" t="s">
        <v>2620</v>
      </c>
      <c r="C13494" t="s">
        <v>16113</v>
      </c>
      <c r="D13494" t="s">
        <v>18070</v>
      </c>
      <c r="E13494" t="s">
        <v>29785</v>
      </c>
      <c r="F13494" t="s">
        <v>31574</v>
      </c>
      <c r="G13494" t="s">
        <v>31582</v>
      </c>
      <c r="H13494" t="s">
        <v>31592</v>
      </c>
      <c r="I13494" t="s">
        <v>3651</v>
      </c>
      <c r="J13494" t="s">
        <v>35542</v>
      </c>
      <c r="K13494" t="s">
        <v>41466</v>
      </c>
      <c r="M13494" t="s">
        <v>44370</v>
      </c>
      <c r="N13494" t="s">
        <v>45095</v>
      </c>
      <c r="O13494" t="s">
        <v>45096</v>
      </c>
      <c r="P13494">
        <v>0</v>
      </c>
      <c r="Q13494">
        <v>0</v>
      </c>
      <c r="R13494" t="s">
        <v>45115</v>
      </c>
      <c r="S13494" t="s">
        <v>45845</v>
      </c>
      <c r="T13494" t="s">
        <v>47064</v>
      </c>
      <c r="U13494" t="s">
        <v>58391</v>
      </c>
      <c r="W13494" t="s">
        <v>44370</v>
      </c>
      <c r="X13494" t="s">
        <v>45116</v>
      </c>
    </row>
    <row r="13495" spans="1:24">
      <c r="A13495">
        <f>HYPERLINK("https://www.philgeps.gov.ph/GEPSNONPILOT/Tender/SplashBidNoticeAbstractUI.aspx?menuIndex=3&amp;refID=7015789&amp;Result=3","7015789")</f>
        <v>0</v>
      </c>
      <c r="B13495" t="s">
        <v>1245</v>
      </c>
      <c r="C13495" t="s">
        <v>16114</v>
      </c>
      <c r="D13495" t="s">
        <v>18072</v>
      </c>
      <c r="E13495" t="s">
        <v>29786</v>
      </c>
      <c r="F13495" t="s">
        <v>31574</v>
      </c>
      <c r="G13495" t="s">
        <v>31582</v>
      </c>
      <c r="H13495" t="s">
        <v>31590</v>
      </c>
      <c r="I13495" t="s">
        <v>31615</v>
      </c>
      <c r="J13495" t="s">
        <v>32026</v>
      </c>
      <c r="K13495" t="s">
        <v>41186</v>
      </c>
      <c r="L13495" t="s">
        <v>1245</v>
      </c>
      <c r="M13495" t="s">
        <v>42808</v>
      </c>
      <c r="N13495" t="s">
        <v>45095</v>
      </c>
      <c r="O13495" t="s">
        <v>45096</v>
      </c>
      <c r="Q13495">
        <v>3</v>
      </c>
      <c r="R13495" t="s">
        <v>45115</v>
      </c>
      <c r="S13495" t="s">
        <v>45878</v>
      </c>
      <c r="T13495" t="s">
        <v>46920</v>
      </c>
      <c r="U13495" t="s">
        <v>58392</v>
      </c>
      <c r="V13495" t="s">
        <v>57537</v>
      </c>
      <c r="W13495" t="s">
        <v>42808</v>
      </c>
      <c r="X13495" t="s">
        <v>45116</v>
      </c>
    </row>
    <row r="13496" spans="1:24">
      <c r="A13496">
        <f>HYPERLINK("https://www.philgeps.gov.ph/GEPSNONPILOT/Tender/SplashBidNoticeAbstractUI.aspx?menuIndex=3&amp;refID=7015746&amp;Result=3","7015746")</f>
        <v>0</v>
      </c>
      <c r="B13496" t="s">
        <v>1819</v>
      </c>
      <c r="C13496" t="s">
        <v>16115</v>
      </c>
      <c r="D13496" t="s">
        <v>18027</v>
      </c>
      <c r="E13496" t="s">
        <v>29787</v>
      </c>
      <c r="F13496" t="s">
        <v>31574</v>
      </c>
      <c r="G13496" t="s">
        <v>31582</v>
      </c>
      <c r="H13496" t="s">
        <v>31591</v>
      </c>
      <c r="I13496" t="s">
        <v>8822</v>
      </c>
      <c r="J13496" t="s">
        <v>37633</v>
      </c>
      <c r="K13496" t="s">
        <v>41200</v>
      </c>
      <c r="L13496" t="s">
        <v>1819</v>
      </c>
      <c r="M13496" t="s">
        <v>43454</v>
      </c>
      <c r="N13496" t="s">
        <v>45095</v>
      </c>
      <c r="O13496" t="s">
        <v>45096</v>
      </c>
      <c r="P13496">
        <v>0</v>
      </c>
      <c r="Q13496">
        <v>5</v>
      </c>
      <c r="R13496" t="s">
        <v>45115</v>
      </c>
      <c r="S13496" t="s">
        <v>45845</v>
      </c>
      <c r="T13496" t="s">
        <v>47188</v>
      </c>
      <c r="U13496" t="s">
        <v>58374</v>
      </c>
      <c r="W13496" t="s">
        <v>43454</v>
      </c>
      <c r="X13496" t="s">
        <v>45116</v>
      </c>
    </row>
    <row r="13497" spans="1:24">
      <c r="A13497">
        <f>HYPERLINK("https://www.philgeps.gov.ph/GEPSNONPILOT/Tender/SplashBidNoticeAbstractUI.aspx?menuIndex=3&amp;refID=7015766&amp;Result=3","7015766")</f>
        <v>0</v>
      </c>
      <c r="B13497" t="s">
        <v>2219</v>
      </c>
      <c r="C13497" t="s">
        <v>16116</v>
      </c>
      <c r="D13497" t="s">
        <v>18077</v>
      </c>
      <c r="E13497" t="s">
        <v>29788</v>
      </c>
      <c r="F13497" t="s">
        <v>31574</v>
      </c>
      <c r="G13497" t="s">
        <v>31582</v>
      </c>
      <c r="H13497" t="s">
        <v>31590</v>
      </c>
      <c r="I13497" t="s">
        <v>4046</v>
      </c>
      <c r="J13497" t="s">
        <v>40042</v>
      </c>
      <c r="K13497" t="s">
        <v>41191</v>
      </c>
      <c r="M13497" t="s">
        <v>43911</v>
      </c>
      <c r="N13497" t="s">
        <v>45095</v>
      </c>
      <c r="O13497" t="s">
        <v>45096</v>
      </c>
      <c r="P13497">
        <v>0</v>
      </c>
      <c r="Q13497">
        <v>0</v>
      </c>
      <c r="R13497" t="s">
        <v>45115</v>
      </c>
      <c r="S13497" t="s">
        <v>45845</v>
      </c>
      <c r="T13497" t="s">
        <v>47168</v>
      </c>
      <c r="U13497" t="s">
        <v>58393</v>
      </c>
      <c r="W13497" t="s">
        <v>43911</v>
      </c>
      <c r="X13497" t="s">
        <v>45116</v>
      </c>
    </row>
    <row r="13498" spans="1:24">
      <c r="A13498">
        <f>HYPERLINK("https://www.philgeps.gov.ph/GEPSNONPILOT/Tender/SplashBidNoticeAbstractUI.aspx?menuIndex=3&amp;refID=7015779&amp;Result=3","7015779")</f>
        <v>0</v>
      </c>
      <c r="B13498" t="s">
        <v>290</v>
      </c>
      <c r="C13498" t="s">
        <v>16117</v>
      </c>
      <c r="D13498" t="s">
        <v>18043</v>
      </c>
      <c r="E13498" t="s">
        <v>29789</v>
      </c>
      <c r="F13498" t="s">
        <v>31574</v>
      </c>
      <c r="G13498" t="s">
        <v>31582</v>
      </c>
      <c r="H13498" t="s">
        <v>31591</v>
      </c>
      <c r="I13498" t="s">
        <v>8822</v>
      </c>
      <c r="J13498" t="s">
        <v>40043</v>
      </c>
      <c r="K13498" t="s">
        <v>41467</v>
      </c>
      <c r="M13498" t="s">
        <v>44847</v>
      </c>
      <c r="N13498" t="s">
        <v>45095</v>
      </c>
      <c r="O13498" t="s">
        <v>45096</v>
      </c>
      <c r="P13498">
        <v>0</v>
      </c>
      <c r="Q13498">
        <v>2</v>
      </c>
      <c r="R13498" t="s">
        <v>45115</v>
      </c>
      <c r="S13498" t="s">
        <v>45845</v>
      </c>
      <c r="T13498" t="s">
        <v>47171</v>
      </c>
      <c r="U13498" t="s">
        <v>58174</v>
      </c>
      <c r="W13498" t="s">
        <v>44847</v>
      </c>
      <c r="X13498" t="s">
        <v>45116</v>
      </c>
    </row>
    <row r="13499" spans="1:24">
      <c r="A13499">
        <f>HYPERLINK("https://www.philgeps.gov.ph/GEPSNONPILOT/Tender/SplashBidNoticeAbstractUI.aspx?menuIndex=3&amp;refID=7015801&amp;Result=3","7015801")</f>
        <v>0</v>
      </c>
      <c r="B13499" t="s">
        <v>2478</v>
      </c>
      <c r="C13499" t="s">
        <v>16118</v>
      </c>
      <c r="D13499" t="s">
        <v>18054</v>
      </c>
      <c r="E13499" t="s">
        <v>23290</v>
      </c>
      <c r="F13499" t="s">
        <v>31574</v>
      </c>
      <c r="G13499" t="s">
        <v>31582</v>
      </c>
      <c r="H13499" t="s">
        <v>31590</v>
      </c>
      <c r="I13499" t="s">
        <v>4046</v>
      </c>
      <c r="J13499" t="s">
        <v>40044</v>
      </c>
      <c r="K13499" t="s">
        <v>41196</v>
      </c>
      <c r="M13499" t="s">
        <v>44208</v>
      </c>
      <c r="N13499" t="s">
        <v>45095</v>
      </c>
      <c r="O13499" t="s">
        <v>45096</v>
      </c>
      <c r="P13499">
        <v>0</v>
      </c>
      <c r="Q13499">
        <v>0</v>
      </c>
      <c r="R13499" t="s">
        <v>45115</v>
      </c>
      <c r="S13499" t="s">
        <v>45845</v>
      </c>
      <c r="T13499" t="s">
        <v>46985</v>
      </c>
      <c r="U13499" t="s">
        <v>58394</v>
      </c>
      <c r="W13499" t="s">
        <v>44208</v>
      </c>
      <c r="X13499" t="s">
        <v>45116</v>
      </c>
    </row>
    <row r="13500" spans="1:24">
      <c r="A13500">
        <f>HYPERLINK("https://www.philgeps.gov.ph/GEPSNONPILOT/Tender/SplashBidNoticeAbstractUI.aspx?menuIndex=3&amp;refID=7015777&amp;Result=3","7015777")</f>
        <v>0</v>
      </c>
      <c r="B13500" t="s">
        <v>1819</v>
      </c>
      <c r="C13500" t="s">
        <v>16119</v>
      </c>
      <c r="D13500" t="s">
        <v>18027</v>
      </c>
      <c r="E13500" t="s">
        <v>29790</v>
      </c>
      <c r="F13500" t="s">
        <v>31574</v>
      </c>
      <c r="G13500" t="s">
        <v>31582</v>
      </c>
      <c r="H13500" t="s">
        <v>31591</v>
      </c>
      <c r="I13500" t="s">
        <v>8822</v>
      </c>
      <c r="J13500" t="s">
        <v>34743</v>
      </c>
      <c r="K13500" t="s">
        <v>41189</v>
      </c>
      <c r="L13500" t="s">
        <v>1819</v>
      </c>
      <c r="M13500" t="s">
        <v>43454</v>
      </c>
      <c r="N13500" t="s">
        <v>45095</v>
      </c>
      <c r="O13500" t="s">
        <v>45096</v>
      </c>
      <c r="P13500">
        <v>0</v>
      </c>
      <c r="Q13500">
        <v>3</v>
      </c>
      <c r="R13500" t="s">
        <v>45115</v>
      </c>
      <c r="S13500" t="s">
        <v>45845</v>
      </c>
      <c r="T13500" t="s">
        <v>47188</v>
      </c>
      <c r="U13500" t="s">
        <v>58374</v>
      </c>
      <c r="W13500" t="s">
        <v>43454</v>
      </c>
      <c r="X13500" t="s">
        <v>45116</v>
      </c>
    </row>
    <row r="13501" spans="1:24">
      <c r="A13501">
        <f>HYPERLINK("https://www.philgeps.gov.ph/GEPSNONPILOT/Tender/SplashBidNoticeAbstractUI.aspx?menuIndex=3&amp;refID=7015824&amp;Result=3","7015824")</f>
        <v>0</v>
      </c>
      <c r="B13501" t="s">
        <v>2702</v>
      </c>
      <c r="C13501" t="s">
        <v>16120</v>
      </c>
      <c r="D13501" t="s">
        <v>18081</v>
      </c>
      <c r="E13501" t="s">
        <v>20007</v>
      </c>
      <c r="F13501" t="s">
        <v>31574</v>
      </c>
      <c r="G13501" t="s">
        <v>31582</v>
      </c>
      <c r="H13501" t="s">
        <v>31590</v>
      </c>
      <c r="I13501" t="s">
        <v>31596</v>
      </c>
      <c r="J13501" t="s">
        <v>40045</v>
      </c>
      <c r="K13501" t="s">
        <v>41187</v>
      </c>
      <c r="M13501" t="s">
        <v>44472</v>
      </c>
      <c r="N13501" t="s">
        <v>45095</v>
      </c>
      <c r="O13501" t="s">
        <v>45096</v>
      </c>
      <c r="P13501">
        <v>0</v>
      </c>
      <c r="Q13501">
        <v>2</v>
      </c>
      <c r="R13501" t="s">
        <v>45115</v>
      </c>
      <c r="S13501" t="s">
        <v>45845</v>
      </c>
      <c r="T13501" t="s">
        <v>47076</v>
      </c>
      <c r="U13501" t="s">
        <v>58395</v>
      </c>
      <c r="V13501" t="s">
        <v>61337</v>
      </c>
      <c r="W13501" t="s">
        <v>44472</v>
      </c>
      <c r="X13501" t="s">
        <v>45116</v>
      </c>
    </row>
    <row r="13502" spans="1:24">
      <c r="A13502">
        <f>HYPERLINK("https://www.philgeps.gov.ph/GEPSNONPILOT/Tender/SplashBidNoticeAbstractUI.aspx?menuIndex=3&amp;refID=7015811&amp;Result=3","7015811")</f>
        <v>0</v>
      </c>
      <c r="B13502" t="s">
        <v>1891</v>
      </c>
      <c r="C13502" t="s">
        <v>16121</v>
      </c>
      <c r="D13502" t="s">
        <v>18056</v>
      </c>
      <c r="E13502" t="s">
        <v>29791</v>
      </c>
      <c r="F13502" t="s">
        <v>31574</v>
      </c>
      <c r="G13502" t="s">
        <v>31581</v>
      </c>
      <c r="H13502" t="s">
        <v>31591</v>
      </c>
      <c r="I13502" t="s">
        <v>8822</v>
      </c>
      <c r="J13502" t="s">
        <v>40046</v>
      </c>
      <c r="K13502" t="s">
        <v>41203</v>
      </c>
      <c r="L13502" t="s">
        <v>1891</v>
      </c>
      <c r="M13502" t="s">
        <v>43534</v>
      </c>
      <c r="N13502" t="s">
        <v>45095</v>
      </c>
      <c r="O13502" t="s">
        <v>45096</v>
      </c>
      <c r="P13502">
        <v>0</v>
      </c>
      <c r="Q13502">
        <v>3</v>
      </c>
      <c r="R13502" t="s">
        <v>45115</v>
      </c>
      <c r="S13502" t="s">
        <v>45845</v>
      </c>
      <c r="T13502" t="s">
        <v>46985</v>
      </c>
      <c r="U13502" t="s">
        <v>58396</v>
      </c>
      <c r="W13502" t="s">
        <v>43534</v>
      </c>
      <c r="X13502" t="s">
        <v>45116</v>
      </c>
    </row>
    <row r="13503" spans="1:24">
      <c r="A13503">
        <f>HYPERLINK("https://www.philgeps.gov.ph/GEPSNONPILOT/Tender/SplashBidNoticeAbstractUI.aspx?menuIndex=3&amp;refID=7015822&amp;Result=3","7015822")</f>
        <v>0</v>
      </c>
      <c r="B13503" t="s">
        <v>1819</v>
      </c>
      <c r="C13503" t="s">
        <v>16122</v>
      </c>
      <c r="D13503" t="s">
        <v>18027</v>
      </c>
      <c r="E13503" t="s">
        <v>29792</v>
      </c>
      <c r="F13503" t="s">
        <v>31574</v>
      </c>
      <c r="G13503" t="s">
        <v>31582</v>
      </c>
      <c r="H13503" t="s">
        <v>31591</v>
      </c>
      <c r="I13503" t="s">
        <v>8822</v>
      </c>
      <c r="J13503" t="s">
        <v>34070</v>
      </c>
      <c r="K13503" t="s">
        <v>41189</v>
      </c>
      <c r="L13503" t="s">
        <v>1819</v>
      </c>
      <c r="M13503" t="s">
        <v>43454</v>
      </c>
      <c r="N13503" t="s">
        <v>45095</v>
      </c>
      <c r="O13503" t="s">
        <v>45096</v>
      </c>
      <c r="P13503">
        <v>0</v>
      </c>
      <c r="Q13503">
        <v>1</v>
      </c>
      <c r="R13503" t="s">
        <v>45115</v>
      </c>
      <c r="S13503" t="s">
        <v>45845</v>
      </c>
      <c r="T13503" t="s">
        <v>47188</v>
      </c>
      <c r="U13503" t="s">
        <v>58374</v>
      </c>
      <c r="W13503" t="s">
        <v>43454</v>
      </c>
      <c r="X13503" t="s">
        <v>45116</v>
      </c>
    </row>
    <row r="13504" spans="1:24">
      <c r="A13504">
        <f>HYPERLINK("https://www.philgeps.gov.ph/GEPSNONPILOT/Tender/SplashBidNoticeAbstractUI.aspx?menuIndex=3&amp;refID=7015871&amp;Result=3","7015871")</f>
        <v>0</v>
      </c>
      <c r="B13504" t="s">
        <v>1733</v>
      </c>
      <c r="C13504" t="s">
        <v>16123</v>
      </c>
      <c r="D13504" t="s">
        <v>18040</v>
      </c>
      <c r="E13504" t="s">
        <v>29793</v>
      </c>
      <c r="F13504" t="s">
        <v>31574</v>
      </c>
      <c r="G13504" t="s">
        <v>31582</v>
      </c>
      <c r="H13504" t="s">
        <v>31591</v>
      </c>
      <c r="I13504" t="s">
        <v>8822</v>
      </c>
      <c r="J13504" t="s">
        <v>31935</v>
      </c>
      <c r="K13504" t="s">
        <v>41260</v>
      </c>
      <c r="M13504" t="s">
        <v>44606</v>
      </c>
      <c r="N13504" t="s">
        <v>45095</v>
      </c>
      <c r="O13504" t="s">
        <v>45096</v>
      </c>
      <c r="P13504">
        <v>0</v>
      </c>
      <c r="Q13504">
        <v>0</v>
      </c>
      <c r="R13504" t="s">
        <v>45115</v>
      </c>
      <c r="S13504" t="s">
        <v>45845</v>
      </c>
      <c r="T13504" t="s">
        <v>47188</v>
      </c>
      <c r="U13504" t="s">
        <v>58397</v>
      </c>
      <c r="W13504" t="s">
        <v>44606</v>
      </c>
      <c r="X13504" t="s">
        <v>45116</v>
      </c>
    </row>
    <row r="13505" spans="1:24">
      <c r="A13505">
        <f>HYPERLINK("https://www.philgeps.gov.ph/GEPSNONPILOT/Tender/SplashBidNoticeAbstractUI.aspx?menuIndex=3&amp;refID=7015815&amp;Result=3","7015815")</f>
        <v>0</v>
      </c>
      <c r="B13505" t="s">
        <v>1819</v>
      </c>
      <c r="C13505" t="s">
        <v>16124</v>
      </c>
      <c r="D13505" t="s">
        <v>18027</v>
      </c>
      <c r="E13505" t="s">
        <v>29794</v>
      </c>
      <c r="F13505" t="s">
        <v>31574</v>
      </c>
      <c r="G13505" t="s">
        <v>31582</v>
      </c>
      <c r="H13505" t="s">
        <v>31591</v>
      </c>
      <c r="I13505" t="s">
        <v>8822</v>
      </c>
      <c r="J13505" t="s">
        <v>40047</v>
      </c>
      <c r="K13505" t="s">
        <v>41189</v>
      </c>
      <c r="L13505" t="s">
        <v>1819</v>
      </c>
      <c r="M13505" t="s">
        <v>43454</v>
      </c>
      <c r="N13505" t="s">
        <v>45095</v>
      </c>
      <c r="O13505" t="s">
        <v>45096</v>
      </c>
      <c r="P13505">
        <v>0</v>
      </c>
      <c r="Q13505">
        <v>2</v>
      </c>
      <c r="R13505" t="s">
        <v>45115</v>
      </c>
      <c r="S13505" t="s">
        <v>45845</v>
      </c>
      <c r="T13505" t="s">
        <v>47188</v>
      </c>
      <c r="U13505" t="s">
        <v>58374</v>
      </c>
      <c r="W13505" t="s">
        <v>43454</v>
      </c>
      <c r="X13505" t="s">
        <v>45116</v>
      </c>
    </row>
    <row r="13506" spans="1:24">
      <c r="A13506">
        <f>HYPERLINK("https://www.philgeps.gov.ph/GEPSNONPILOT/Tender/SplashBidNoticeAbstractUI.aspx?menuIndex=3&amp;refID=7015830&amp;Result=3","7015830")</f>
        <v>0</v>
      </c>
      <c r="B13506" t="s">
        <v>1819</v>
      </c>
      <c r="C13506" t="s">
        <v>16125</v>
      </c>
      <c r="D13506" t="s">
        <v>18027</v>
      </c>
      <c r="E13506" t="s">
        <v>29795</v>
      </c>
      <c r="F13506" t="s">
        <v>31574</v>
      </c>
      <c r="G13506" t="s">
        <v>31582</v>
      </c>
      <c r="H13506" t="s">
        <v>31591</v>
      </c>
      <c r="I13506" t="s">
        <v>8822</v>
      </c>
      <c r="J13506" t="s">
        <v>34685</v>
      </c>
      <c r="K13506" t="s">
        <v>41192</v>
      </c>
      <c r="L13506" t="s">
        <v>1819</v>
      </c>
      <c r="M13506" t="s">
        <v>43454</v>
      </c>
      <c r="N13506" t="s">
        <v>45095</v>
      </c>
      <c r="O13506" t="s">
        <v>45096</v>
      </c>
      <c r="P13506">
        <v>0</v>
      </c>
      <c r="Q13506">
        <v>2</v>
      </c>
      <c r="R13506" t="s">
        <v>45115</v>
      </c>
      <c r="S13506" t="s">
        <v>45845</v>
      </c>
      <c r="T13506" t="s">
        <v>47188</v>
      </c>
      <c r="U13506" t="s">
        <v>58374</v>
      </c>
      <c r="W13506" t="s">
        <v>43454</v>
      </c>
      <c r="X13506" t="s">
        <v>45116</v>
      </c>
    </row>
    <row r="13507" spans="1:24">
      <c r="A13507">
        <f>HYPERLINK("https://www.philgeps.gov.ph/GEPSNONPILOT/Tender/SplashBidNoticeAbstractUI.aspx?menuIndex=3&amp;refID=7015819&amp;Result=3","7015819")</f>
        <v>0</v>
      </c>
      <c r="B13507" t="s">
        <v>1891</v>
      </c>
      <c r="C13507" t="s">
        <v>16126</v>
      </c>
      <c r="D13507" t="s">
        <v>18056</v>
      </c>
      <c r="E13507" t="s">
        <v>29796</v>
      </c>
      <c r="F13507" t="s">
        <v>31574</v>
      </c>
      <c r="G13507" t="s">
        <v>31582</v>
      </c>
      <c r="H13507" t="s">
        <v>31591</v>
      </c>
      <c r="I13507" t="s">
        <v>8822</v>
      </c>
      <c r="J13507" t="s">
        <v>40048</v>
      </c>
      <c r="K13507" t="s">
        <v>41203</v>
      </c>
      <c r="L13507" t="s">
        <v>1891</v>
      </c>
      <c r="M13507" t="s">
        <v>43534</v>
      </c>
      <c r="N13507" t="s">
        <v>45095</v>
      </c>
      <c r="O13507" t="s">
        <v>45096</v>
      </c>
      <c r="P13507">
        <v>0</v>
      </c>
      <c r="Q13507">
        <v>3</v>
      </c>
      <c r="R13507" t="s">
        <v>45115</v>
      </c>
      <c r="S13507" t="s">
        <v>45845</v>
      </c>
      <c r="T13507" t="s">
        <v>46985</v>
      </c>
      <c r="U13507" t="s">
        <v>58398</v>
      </c>
      <c r="W13507" t="s">
        <v>43534</v>
      </c>
      <c r="X13507" t="s">
        <v>45116</v>
      </c>
    </row>
    <row r="13508" spans="1:24">
      <c r="A13508">
        <f>HYPERLINK("https://www.philgeps.gov.ph/GEPSNONPILOT/Tender/SplashBidNoticeAbstractUI.aspx?menuIndex=3&amp;refID=7015854&amp;Result=3","7015854")</f>
        <v>0</v>
      </c>
      <c r="B13508" t="s">
        <v>2478</v>
      </c>
      <c r="C13508" t="s">
        <v>16127</v>
      </c>
      <c r="D13508" t="s">
        <v>18054</v>
      </c>
      <c r="E13508" t="s">
        <v>20977</v>
      </c>
      <c r="F13508" t="s">
        <v>31574</v>
      </c>
      <c r="G13508" t="s">
        <v>31582</v>
      </c>
      <c r="H13508" t="s">
        <v>31590</v>
      </c>
      <c r="I13508" t="s">
        <v>4046</v>
      </c>
      <c r="J13508" t="s">
        <v>40049</v>
      </c>
      <c r="K13508" t="s">
        <v>41196</v>
      </c>
      <c r="M13508" t="s">
        <v>44208</v>
      </c>
      <c r="N13508" t="s">
        <v>45095</v>
      </c>
      <c r="O13508" t="s">
        <v>45096</v>
      </c>
      <c r="P13508">
        <v>0</v>
      </c>
      <c r="Q13508">
        <v>0</v>
      </c>
      <c r="R13508" t="s">
        <v>45115</v>
      </c>
      <c r="S13508" t="s">
        <v>45845</v>
      </c>
      <c r="T13508" t="s">
        <v>46985</v>
      </c>
      <c r="U13508" t="s">
        <v>58394</v>
      </c>
      <c r="W13508" t="s">
        <v>44208</v>
      </c>
      <c r="X13508" t="s">
        <v>45116</v>
      </c>
    </row>
    <row r="13509" spans="1:24">
      <c r="A13509">
        <f>HYPERLINK("https://www.philgeps.gov.ph/GEPSNONPILOT/Tender/SplashBidNoticeAbstractUI.aspx?menuIndex=3&amp;refID=7015817&amp;Result=3","7015817")</f>
        <v>0</v>
      </c>
      <c r="B13509" t="s">
        <v>2478</v>
      </c>
      <c r="C13509" t="s">
        <v>16128</v>
      </c>
      <c r="D13509" t="s">
        <v>18054</v>
      </c>
      <c r="E13509" t="s">
        <v>20971</v>
      </c>
      <c r="F13509" t="s">
        <v>31574</v>
      </c>
      <c r="G13509" t="s">
        <v>31582</v>
      </c>
      <c r="H13509" t="s">
        <v>31590</v>
      </c>
      <c r="I13509" t="s">
        <v>4046</v>
      </c>
      <c r="J13509" t="s">
        <v>40049</v>
      </c>
      <c r="K13509" t="s">
        <v>41196</v>
      </c>
      <c r="M13509" t="s">
        <v>44208</v>
      </c>
      <c r="N13509" t="s">
        <v>45095</v>
      </c>
      <c r="O13509" t="s">
        <v>45096</v>
      </c>
      <c r="P13509">
        <v>0</v>
      </c>
      <c r="Q13509">
        <v>0</v>
      </c>
      <c r="R13509" t="s">
        <v>45115</v>
      </c>
      <c r="S13509" t="s">
        <v>45845</v>
      </c>
      <c r="T13509" t="s">
        <v>46985</v>
      </c>
      <c r="U13509" t="s">
        <v>58394</v>
      </c>
      <c r="W13509" t="s">
        <v>44208</v>
      </c>
      <c r="X13509" t="s">
        <v>45116</v>
      </c>
    </row>
    <row r="13510" spans="1:24">
      <c r="A13510">
        <f>HYPERLINK("https://www.philgeps.gov.ph/GEPSNONPILOT/Tender/SplashBidNoticeAbstractUI.aspx?menuIndex=3&amp;refID=7015855&amp;Result=3","7015855")</f>
        <v>0</v>
      </c>
      <c r="B13510" t="s">
        <v>1819</v>
      </c>
      <c r="C13510" t="s">
        <v>16129</v>
      </c>
      <c r="D13510" t="s">
        <v>18027</v>
      </c>
      <c r="E13510" t="s">
        <v>29797</v>
      </c>
      <c r="F13510" t="s">
        <v>31574</v>
      </c>
      <c r="G13510" t="s">
        <v>31582</v>
      </c>
      <c r="H13510" t="s">
        <v>31591</v>
      </c>
      <c r="I13510" t="s">
        <v>8822</v>
      </c>
      <c r="J13510" t="s">
        <v>32526</v>
      </c>
      <c r="K13510" t="s">
        <v>41186</v>
      </c>
      <c r="L13510" t="s">
        <v>1819</v>
      </c>
      <c r="M13510" t="s">
        <v>43454</v>
      </c>
      <c r="N13510" t="s">
        <v>45095</v>
      </c>
      <c r="O13510" t="s">
        <v>45096</v>
      </c>
      <c r="P13510">
        <v>0</v>
      </c>
      <c r="Q13510">
        <v>0</v>
      </c>
      <c r="R13510" t="s">
        <v>45115</v>
      </c>
      <c r="S13510" t="s">
        <v>45845</v>
      </c>
      <c r="T13510" t="s">
        <v>47188</v>
      </c>
      <c r="U13510" t="s">
        <v>58374</v>
      </c>
      <c r="W13510" t="s">
        <v>43454</v>
      </c>
      <c r="X13510" t="s">
        <v>45116</v>
      </c>
    </row>
    <row r="13511" spans="1:24">
      <c r="A13511">
        <f>HYPERLINK("https://www.philgeps.gov.ph/GEPSNONPILOT/Tender/SplashBidNoticeAbstractUI.aspx?menuIndex=3&amp;refID=7015841&amp;Result=3","7015841")</f>
        <v>0</v>
      </c>
      <c r="B13511" t="s">
        <v>1819</v>
      </c>
      <c r="C13511" t="s">
        <v>16130</v>
      </c>
      <c r="D13511" t="s">
        <v>18027</v>
      </c>
      <c r="E13511" t="s">
        <v>29798</v>
      </c>
      <c r="F13511" t="s">
        <v>31574</v>
      </c>
      <c r="G13511" t="s">
        <v>31582</v>
      </c>
      <c r="H13511" t="s">
        <v>31591</v>
      </c>
      <c r="I13511" t="s">
        <v>8822</v>
      </c>
      <c r="J13511" t="s">
        <v>33252</v>
      </c>
      <c r="K13511" t="s">
        <v>41192</v>
      </c>
      <c r="L13511" t="s">
        <v>1819</v>
      </c>
      <c r="M13511" t="s">
        <v>43454</v>
      </c>
      <c r="N13511" t="s">
        <v>45095</v>
      </c>
      <c r="O13511" t="s">
        <v>45096</v>
      </c>
      <c r="P13511">
        <v>0</v>
      </c>
      <c r="Q13511">
        <v>1</v>
      </c>
      <c r="R13511" t="s">
        <v>45115</v>
      </c>
      <c r="S13511" t="s">
        <v>45845</v>
      </c>
      <c r="T13511" t="s">
        <v>47188</v>
      </c>
      <c r="U13511" t="s">
        <v>58374</v>
      </c>
      <c r="W13511" t="s">
        <v>43454</v>
      </c>
      <c r="X13511" t="s">
        <v>45116</v>
      </c>
    </row>
    <row r="13512" spans="1:24">
      <c r="A13512">
        <f>HYPERLINK("https://www.philgeps.gov.ph/GEPSNONPILOT/Tender/SplashBidNoticeAbstractUI.aspx?menuIndex=3&amp;refID=7015935&amp;Result=3","7015935")</f>
        <v>0</v>
      </c>
      <c r="B13512" t="s">
        <v>1245</v>
      </c>
      <c r="C13512" t="s">
        <v>16131</v>
      </c>
      <c r="D13512" t="s">
        <v>18072</v>
      </c>
      <c r="E13512" t="s">
        <v>29799</v>
      </c>
      <c r="F13512" t="s">
        <v>31574</v>
      </c>
      <c r="G13512" t="s">
        <v>31582</v>
      </c>
      <c r="H13512" t="s">
        <v>31590</v>
      </c>
      <c r="I13512" t="s">
        <v>31615</v>
      </c>
      <c r="J13512" t="s">
        <v>32026</v>
      </c>
      <c r="K13512" t="s">
        <v>41186</v>
      </c>
      <c r="L13512" t="s">
        <v>1245</v>
      </c>
      <c r="M13512" t="s">
        <v>42808</v>
      </c>
      <c r="N13512" t="s">
        <v>45095</v>
      </c>
      <c r="O13512" t="s">
        <v>45096</v>
      </c>
      <c r="Q13512">
        <v>3</v>
      </c>
      <c r="R13512" t="s">
        <v>45115</v>
      </c>
      <c r="S13512" t="s">
        <v>45879</v>
      </c>
      <c r="T13512" t="s">
        <v>46989</v>
      </c>
      <c r="U13512" t="s">
        <v>58399</v>
      </c>
      <c r="V13512" t="s">
        <v>57537</v>
      </c>
      <c r="W13512" t="s">
        <v>42808</v>
      </c>
      <c r="X13512" t="s">
        <v>45116</v>
      </c>
    </row>
    <row r="13513" spans="1:24">
      <c r="A13513">
        <f>HYPERLINK("https://www.philgeps.gov.ph/GEPSNONPILOT/Tender/SplashBidNoticeAbstractUI.aspx?menuIndex=3&amp;refID=7015878&amp;Result=3","7015878")</f>
        <v>0</v>
      </c>
      <c r="B13513" t="s">
        <v>2478</v>
      </c>
      <c r="C13513" t="s">
        <v>8033</v>
      </c>
      <c r="D13513" t="s">
        <v>18054</v>
      </c>
      <c r="E13513" t="s">
        <v>21005</v>
      </c>
      <c r="F13513" t="s">
        <v>31574</v>
      </c>
      <c r="G13513" t="s">
        <v>31582</v>
      </c>
      <c r="H13513" t="s">
        <v>31590</v>
      </c>
      <c r="I13513" t="s">
        <v>4046</v>
      </c>
      <c r="J13513" t="s">
        <v>32126</v>
      </c>
      <c r="K13513" t="s">
        <v>41196</v>
      </c>
      <c r="M13513" t="s">
        <v>44208</v>
      </c>
      <c r="N13513" t="s">
        <v>45095</v>
      </c>
      <c r="O13513" t="s">
        <v>45096</v>
      </c>
      <c r="P13513">
        <v>0</v>
      </c>
      <c r="Q13513">
        <v>0</v>
      </c>
      <c r="R13513" t="s">
        <v>45115</v>
      </c>
      <c r="S13513" t="s">
        <v>45845</v>
      </c>
      <c r="T13513" t="s">
        <v>46985</v>
      </c>
      <c r="U13513" t="s">
        <v>58400</v>
      </c>
      <c r="W13513" t="s">
        <v>44208</v>
      </c>
      <c r="X13513" t="s">
        <v>45116</v>
      </c>
    </row>
    <row r="13514" spans="1:24">
      <c r="A13514">
        <f>HYPERLINK("https://www.philgeps.gov.ph/GEPSNONPILOT/Tender/SplashBidNoticeAbstractUI.aspx?menuIndex=3&amp;refID=7015877&amp;Result=3","7015877")</f>
        <v>0</v>
      </c>
      <c r="B13514" t="s">
        <v>670</v>
      </c>
      <c r="C13514" t="s">
        <v>16132</v>
      </c>
      <c r="D13514" t="s">
        <v>18022</v>
      </c>
      <c r="E13514" t="s">
        <v>29800</v>
      </c>
      <c r="F13514" t="s">
        <v>31574</v>
      </c>
      <c r="G13514" t="s">
        <v>31581</v>
      </c>
      <c r="H13514" t="s">
        <v>31592</v>
      </c>
      <c r="I13514" t="s">
        <v>31623</v>
      </c>
      <c r="J13514" t="s">
        <v>32325</v>
      </c>
      <c r="K13514" t="s">
        <v>41237</v>
      </c>
      <c r="M13514" t="s">
        <v>43697</v>
      </c>
      <c r="N13514" t="s">
        <v>45095</v>
      </c>
      <c r="O13514" t="s">
        <v>45096</v>
      </c>
      <c r="Q13514">
        <v>2</v>
      </c>
      <c r="R13514" t="s">
        <v>45115</v>
      </c>
      <c r="S13514" t="s">
        <v>45880</v>
      </c>
      <c r="T13514" t="s">
        <v>46985</v>
      </c>
      <c r="U13514" t="s">
        <v>58401</v>
      </c>
      <c r="W13514" t="s">
        <v>43697</v>
      </c>
      <c r="X13514" t="s">
        <v>45116</v>
      </c>
    </row>
    <row r="13515" spans="1:24">
      <c r="A13515">
        <f>HYPERLINK("https://www.philgeps.gov.ph/GEPSNONPILOT/Tender/SplashBidNoticeAbstractUI.aspx?menuIndex=3&amp;refID=7015944&amp;Result=3","7015944")</f>
        <v>0</v>
      </c>
      <c r="B13515" t="s">
        <v>622</v>
      </c>
      <c r="C13515" t="s">
        <v>16133</v>
      </c>
      <c r="D13515" t="s">
        <v>18025</v>
      </c>
      <c r="E13515" t="s">
        <v>29801</v>
      </c>
      <c r="F13515" t="s">
        <v>31574</v>
      </c>
      <c r="G13515" t="s">
        <v>31582</v>
      </c>
      <c r="H13515" t="s">
        <v>31590</v>
      </c>
      <c r="I13515" t="s">
        <v>6800</v>
      </c>
      <c r="J13515" t="s">
        <v>40050</v>
      </c>
      <c r="K13515" t="s">
        <v>41196</v>
      </c>
      <c r="M13515" t="s">
        <v>42126</v>
      </c>
      <c r="N13515" t="s">
        <v>45095</v>
      </c>
      <c r="O13515" t="s">
        <v>45096</v>
      </c>
      <c r="P13515">
        <v>0</v>
      </c>
      <c r="Q13515">
        <v>2</v>
      </c>
      <c r="R13515" t="s">
        <v>45115</v>
      </c>
      <c r="S13515" t="s">
        <v>45845</v>
      </c>
      <c r="T13515" t="s">
        <v>47212</v>
      </c>
      <c r="U13515" t="s">
        <v>58402</v>
      </c>
      <c r="V13515" t="s">
        <v>60565</v>
      </c>
      <c r="W13515" t="s">
        <v>42126</v>
      </c>
      <c r="X13515" t="s">
        <v>45116</v>
      </c>
    </row>
    <row r="13516" spans="1:24">
      <c r="A13516">
        <f>HYPERLINK("https://www.philgeps.gov.ph/GEPSNONPILOT/Tender/SplashBidNoticeAbstractUI.aspx?menuIndex=3&amp;refID=7016037&amp;Result=3","7016037")</f>
        <v>0</v>
      </c>
      <c r="B13516" t="s">
        <v>353</v>
      </c>
      <c r="C13516" t="s">
        <v>16134</v>
      </c>
      <c r="D13516" t="s">
        <v>18068</v>
      </c>
      <c r="E13516" t="s">
        <v>29802</v>
      </c>
      <c r="F13516" t="s">
        <v>31574</v>
      </c>
      <c r="G13516" t="s">
        <v>31582</v>
      </c>
      <c r="H13516" t="s">
        <v>31590</v>
      </c>
      <c r="I13516" t="s">
        <v>31623</v>
      </c>
      <c r="J13516" t="s">
        <v>32019</v>
      </c>
      <c r="K13516" t="s">
        <v>41189</v>
      </c>
      <c r="M13516" t="s">
        <v>41842</v>
      </c>
      <c r="N13516" t="s">
        <v>45095</v>
      </c>
      <c r="O13516" t="s">
        <v>45096</v>
      </c>
      <c r="P13516">
        <v>0</v>
      </c>
      <c r="Q13516">
        <v>0</v>
      </c>
      <c r="R13516" t="s">
        <v>45115</v>
      </c>
      <c r="S13516" t="s">
        <v>45845</v>
      </c>
      <c r="T13516" t="s">
        <v>46932</v>
      </c>
      <c r="U13516" t="s">
        <v>58403</v>
      </c>
      <c r="V13516" t="s">
        <v>61338</v>
      </c>
      <c r="W13516" t="s">
        <v>41842</v>
      </c>
      <c r="X13516" t="s">
        <v>45116</v>
      </c>
    </row>
    <row r="13517" spans="1:24">
      <c r="A13517">
        <f>HYPERLINK("https://www.philgeps.gov.ph/GEPSNONPILOT/Tender/SplashBidNoticeAbstractUI.aspx?menuIndex=3&amp;refID=7015842&amp;Result=3","7015842")</f>
        <v>0</v>
      </c>
      <c r="B13517" t="s">
        <v>1891</v>
      </c>
      <c r="C13517" t="s">
        <v>16135</v>
      </c>
      <c r="D13517" t="s">
        <v>18056</v>
      </c>
      <c r="E13517" t="s">
        <v>29803</v>
      </c>
      <c r="F13517" t="s">
        <v>31574</v>
      </c>
      <c r="G13517" t="s">
        <v>31582</v>
      </c>
      <c r="H13517" t="s">
        <v>31591</v>
      </c>
      <c r="I13517" t="s">
        <v>8822</v>
      </c>
      <c r="J13517" t="s">
        <v>40051</v>
      </c>
      <c r="K13517" t="s">
        <v>41295</v>
      </c>
      <c r="L13517" t="s">
        <v>1891</v>
      </c>
      <c r="M13517" t="s">
        <v>43534</v>
      </c>
      <c r="N13517" t="s">
        <v>45095</v>
      </c>
      <c r="O13517" t="s">
        <v>45096</v>
      </c>
      <c r="P13517">
        <v>0</v>
      </c>
      <c r="Q13517">
        <v>4</v>
      </c>
      <c r="R13517" t="s">
        <v>45115</v>
      </c>
      <c r="S13517" t="s">
        <v>45845</v>
      </c>
      <c r="T13517" t="s">
        <v>46985</v>
      </c>
      <c r="U13517" t="s">
        <v>58404</v>
      </c>
      <c r="W13517" t="s">
        <v>43534</v>
      </c>
      <c r="X13517" t="s">
        <v>45116</v>
      </c>
    </row>
    <row r="13518" spans="1:24">
      <c r="A13518">
        <f>HYPERLINK("https://www.philgeps.gov.ph/GEPSNONPILOT/Tender/SplashBidNoticeAbstractUI.aspx?menuIndex=3&amp;refID=7016035&amp;Result=3","7016035")</f>
        <v>0</v>
      </c>
      <c r="B13518" t="s">
        <v>323</v>
      </c>
      <c r="C13518" t="s">
        <v>16136</v>
      </c>
      <c r="E13518" t="s">
        <v>29804</v>
      </c>
      <c r="F13518" t="s">
        <v>31574</v>
      </c>
      <c r="G13518" t="s">
        <v>31582</v>
      </c>
      <c r="H13518" t="s">
        <v>31590</v>
      </c>
      <c r="I13518" t="s">
        <v>31671</v>
      </c>
      <c r="J13518" t="s">
        <v>40052</v>
      </c>
      <c r="K13518" t="s">
        <v>41202</v>
      </c>
      <c r="M13518" t="s">
        <v>44881</v>
      </c>
      <c r="N13518" t="s">
        <v>45095</v>
      </c>
      <c r="O13518" t="s">
        <v>45096</v>
      </c>
      <c r="Q13518">
        <v>14</v>
      </c>
      <c r="R13518" t="s">
        <v>45115</v>
      </c>
      <c r="S13518" t="s">
        <v>45881</v>
      </c>
      <c r="T13518" t="s">
        <v>46917</v>
      </c>
      <c r="U13518" t="s">
        <v>58388</v>
      </c>
      <c r="W13518" t="s">
        <v>44881</v>
      </c>
      <c r="X13518" t="s">
        <v>45116</v>
      </c>
    </row>
    <row r="13519" spans="1:24">
      <c r="A13519">
        <f>HYPERLINK("https://www.philgeps.gov.ph/GEPSNONPILOT/Tender/SplashBidNoticeAbstractUI.aspx?menuIndex=3&amp;refID=7016026&amp;Result=3","7016026")</f>
        <v>0</v>
      </c>
      <c r="B13519" t="s">
        <v>1926</v>
      </c>
      <c r="C13519" t="s">
        <v>16137</v>
      </c>
      <c r="D13519" t="s">
        <v>18099</v>
      </c>
      <c r="E13519" t="s">
        <v>29805</v>
      </c>
      <c r="F13519" t="s">
        <v>31574</v>
      </c>
      <c r="G13519" t="s">
        <v>31582</v>
      </c>
      <c r="H13519" t="s">
        <v>31591</v>
      </c>
      <c r="I13519" t="s">
        <v>8822</v>
      </c>
      <c r="J13519" t="s">
        <v>40053</v>
      </c>
      <c r="K13519" t="s">
        <v>41192</v>
      </c>
      <c r="M13519" t="s">
        <v>43578</v>
      </c>
      <c r="N13519" t="s">
        <v>45095</v>
      </c>
      <c r="O13519" t="s">
        <v>45096</v>
      </c>
      <c r="Q13519">
        <v>0</v>
      </c>
      <c r="R13519" t="s">
        <v>45115</v>
      </c>
      <c r="S13519" t="s">
        <v>45882</v>
      </c>
      <c r="T13519" t="s">
        <v>46918</v>
      </c>
      <c r="U13519" t="s">
        <v>58405</v>
      </c>
      <c r="V13519" t="s">
        <v>61339</v>
      </c>
      <c r="W13519" t="s">
        <v>43578</v>
      </c>
      <c r="X13519" t="s">
        <v>45116</v>
      </c>
    </row>
    <row r="13520" spans="1:24">
      <c r="A13520">
        <f>HYPERLINK("https://www.philgeps.gov.ph/GEPSNONPILOT/Tender/SplashBidNoticeAbstractUI.aspx?menuIndex=3&amp;refID=7016023&amp;Result=3","7016023")</f>
        <v>0</v>
      </c>
      <c r="B13520" t="s">
        <v>2001</v>
      </c>
      <c r="C13520" t="s">
        <v>16138</v>
      </c>
      <c r="D13520" t="s">
        <v>18058</v>
      </c>
      <c r="E13520" t="s">
        <v>29806</v>
      </c>
      <c r="F13520" t="s">
        <v>31574</v>
      </c>
      <c r="G13520" t="s">
        <v>31582</v>
      </c>
      <c r="H13520" t="s">
        <v>31591</v>
      </c>
      <c r="I13520" t="s">
        <v>8822</v>
      </c>
      <c r="J13520" t="s">
        <v>40054</v>
      </c>
      <c r="K13520" t="s">
        <v>41243</v>
      </c>
      <c r="M13520" t="s">
        <v>43663</v>
      </c>
      <c r="N13520" t="s">
        <v>45095</v>
      </c>
      <c r="O13520" t="s">
        <v>45096</v>
      </c>
      <c r="Q13520">
        <v>1</v>
      </c>
      <c r="R13520" t="s">
        <v>45115</v>
      </c>
      <c r="S13520" t="s">
        <v>45883</v>
      </c>
      <c r="T13520" t="s">
        <v>47050</v>
      </c>
      <c r="U13520" t="s">
        <v>58406</v>
      </c>
      <c r="V13520" t="s">
        <v>61340</v>
      </c>
      <c r="W13520" t="s">
        <v>43663</v>
      </c>
      <c r="X13520" t="s">
        <v>45116</v>
      </c>
    </row>
    <row r="13521" spans="1:24">
      <c r="A13521">
        <f>HYPERLINK("https://www.philgeps.gov.ph/GEPSNONPILOT/Tender/SplashBidNoticeAbstractUI.aspx?menuIndex=3&amp;refID=7015921&amp;Result=3","7015921")</f>
        <v>0</v>
      </c>
      <c r="B13521" t="s">
        <v>753</v>
      </c>
      <c r="C13521" t="s">
        <v>16139</v>
      </c>
      <c r="D13521" t="s">
        <v>18073</v>
      </c>
      <c r="E13521" t="s">
        <v>29807</v>
      </c>
      <c r="F13521" t="s">
        <v>31574</v>
      </c>
      <c r="G13521" t="s">
        <v>31582</v>
      </c>
      <c r="H13521" t="s">
        <v>31592</v>
      </c>
      <c r="I13521" t="s">
        <v>31596</v>
      </c>
      <c r="J13521" t="s">
        <v>40055</v>
      </c>
      <c r="K13521" t="s">
        <v>41468</v>
      </c>
      <c r="M13521" t="s">
        <v>44079</v>
      </c>
      <c r="N13521" t="s">
        <v>45095</v>
      </c>
      <c r="O13521" t="s">
        <v>45096</v>
      </c>
      <c r="Q13521">
        <v>2</v>
      </c>
      <c r="R13521" t="s">
        <v>45115</v>
      </c>
      <c r="S13521" t="s">
        <v>45884</v>
      </c>
      <c r="T13521" t="s">
        <v>47076</v>
      </c>
      <c r="U13521" t="s">
        <v>58407</v>
      </c>
      <c r="W13521" t="s">
        <v>61736</v>
      </c>
      <c r="X13521" t="s">
        <v>45116</v>
      </c>
    </row>
    <row r="13522" spans="1:24">
      <c r="A13522">
        <f>HYPERLINK("https://www.philgeps.gov.ph/GEPSNONPILOT/Tender/SplashBidNoticeAbstractUI.aspx?menuIndex=3&amp;refID=7016010&amp;Result=3","7016010")</f>
        <v>0</v>
      </c>
      <c r="B13522" t="s">
        <v>323</v>
      </c>
      <c r="C13522" t="s">
        <v>16140</v>
      </c>
      <c r="E13522" t="s">
        <v>29808</v>
      </c>
      <c r="F13522" t="s">
        <v>31574</v>
      </c>
      <c r="G13522" t="s">
        <v>31582</v>
      </c>
      <c r="H13522" t="s">
        <v>31590</v>
      </c>
      <c r="I13522" t="s">
        <v>31671</v>
      </c>
      <c r="J13522" t="s">
        <v>40056</v>
      </c>
      <c r="K13522" t="s">
        <v>41189</v>
      </c>
      <c r="M13522" t="s">
        <v>44881</v>
      </c>
      <c r="N13522" t="s">
        <v>45095</v>
      </c>
      <c r="O13522" t="s">
        <v>45096</v>
      </c>
      <c r="Q13522">
        <v>10</v>
      </c>
      <c r="R13522" t="s">
        <v>45115</v>
      </c>
      <c r="S13522" t="s">
        <v>45885</v>
      </c>
      <c r="T13522" t="s">
        <v>46917</v>
      </c>
      <c r="U13522" t="s">
        <v>58388</v>
      </c>
      <c r="W13522" t="s">
        <v>44881</v>
      </c>
      <c r="X13522" t="s">
        <v>45116</v>
      </c>
    </row>
    <row r="13523" spans="1:24">
      <c r="A13523">
        <f>HYPERLINK("https://www.philgeps.gov.ph/GEPSNONPILOT/Tender/SplashBidNoticeAbstractUI.aspx?menuIndex=3&amp;refID=7015930&amp;Result=3","7015930")</f>
        <v>0</v>
      </c>
      <c r="B13523" t="s">
        <v>2608</v>
      </c>
      <c r="C13523" t="s">
        <v>16141</v>
      </c>
      <c r="D13523" t="s">
        <v>18024</v>
      </c>
      <c r="E13523" t="s">
        <v>29809</v>
      </c>
      <c r="F13523" t="s">
        <v>31574</v>
      </c>
      <c r="G13523" t="s">
        <v>31582</v>
      </c>
      <c r="H13523" t="s">
        <v>31590</v>
      </c>
      <c r="I13523" t="s">
        <v>4046</v>
      </c>
      <c r="J13523" t="s">
        <v>40057</v>
      </c>
      <c r="K13523" t="s">
        <v>41189</v>
      </c>
      <c r="M13523" t="s">
        <v>44353</v>
      </c>
      <c r="N13523" t="s">
        <v>45095</v>
      </c>
      <c r="O13523" t="s">
        <v>45096</v>
      </c>
      <c r="P13523">
        <v>0</v>
      </c>
      <c r="Q13523">
        <v>0</v>
      </c>
      <c r="R13523" t="s">
        <v>45115</v>
      </c>
      <c r="S13523" t="s">
        <v>45845</v>
      </c>
      <c r="T13523" t="s">
        <v>47159</v>
      </c>
      <c r="U13523" t="s">
        <v>55434</v>
      </c>
      <c r="W13523" t="s">
        <v>44353</v>
      </c>
      <c r="X13523" t="s">
        <v>45116</v>
      </c>
    </row>
    <row r="13524" spans="1:24">
      <c r="A13524">
        <f>HYPERLINK("https://www.philgeps.gov.ph/GEPSNONPILOT/Tender/SplashBidNoticeAbstractUI.aspx?menuIndex=3&amp;refID=7016003&amp;Result=3","7016003")</f>
        <v>0</v>
      </c>
      <c r="B13524" t="s">
        <v>290</v>
      </c>
      <c r="C13524" t="s">
        <v>16142</v>
      </c>
      <c r="D13524" t="s">
        <v>18043</v>
      </c>
      <c r="E13524" t="s">
        <v>29810</v>
      </c>
      <c r="F13524" t="s">
        <v>31574</v>
      </c>
      <c r="G13524" t="s">
        <v>31582</v>
      </c>
      <c r="H13524" t="s">
        <v>31590</v>
      </c>
      <c r="I13524" t="s">
        <v>31615</v>
      </c>
      <c r="J13524" t="s">
        <v>40058</v>
      </c>
      <c r="K13524" t="s">
        <v>41186</v>
      </c>
      <c r="M13524" t="s">
        <v>42052</v>
      </c>
      <c r="N13524" t="s">
        <v>45095</v>
      </c>
      <c r="O13524" t="s">
        <v>45096</v>
      </c>
      <c r="Q13524">
        <v>3</v>
      </c>
      <c r="R13524" t="s">
        <v>45115</v>
      </c>
      <c r="S13524" t="s">
        <v>45782</v>
      </c>
      <c r="T13524" t="s">
        <v>46973</v>
      </c>
      <c r="U13524" t="s">
        <v>48590</v>
      </c>
      <c r="W13524" t="s">
        <v>42052</v>
      </c>
      <c r="X13524" t="s">
        <v>45116</v>
      </c>
    </row>
    <row r="13525" spans="1:24">
      <c r="A13525">
        <f>HYPERLINK("https://www.philgeps.gov.ph/GEPSNONPILOT/Tender/SplashBidNoticeAbstractUI.aspx?menuIndex=3&amp;refID=7016070&amp;Result=3","7016070")</f>
        <v>0</v>
      </c>
      <c r="B13525" t="s">
        <v>851</v>
      </c>
      <c r="C13525" t="s">
        <v>16143</v>
      </c>
      <c r="D13525" t="s">
        <v>18045</v>
      </c>
      <c r="E13525" t="s">
        <v>29811</v>
      </c>
      <c r="F13525" t="s">
        <v>31574</v>
      </c>
      <c r="G13525" t="s">
        <v>31582</v>
      </c>
      <c r="H13525" t="s">
        <v>31591</v>
      </c>
      <c r="I13525" t="s">
        <v>8822</v>
      </c>
      <c r="J13525" t="s">
        <v>33574</v>
      </c>
      <c r="K13525" t="s">
        <v>41200</v>
      </c>
      <c r="M13525" t="s">
        <v>42370</v>
      </c>
      <c r="N13525" t="s">
        <v>45095</v>
      </c>
      <c r="O13525" t="s">
        <v>45096</v>
      </c>
      <c r="P13525">
        <v>0</v>
      </c>
      <c r="Q13525">
        <v>0</v>
      </c>
      <c r="R13525" t="s">
        <v>45115</v>
      </c>
      <c r="S13525" t="s">
        <v>45845</v>
      </c>
      <c r="T13525" t="s">
        <v>47106</v>
      </c>
      <c r="U13525" t="s">
        <v>58408</v>
      </c>
      <c r="W13525" t="s">
        <v>42370</v>
      </c>
      <c r="X13525" t="s">
        <v>45116</v>
      </c>
    </row>
    <row r="13526" spans="1:24">
      <c r="A13526">
        <f>HYPERLINK("https://www.philgeps.gov.ph/GEPSNONPILOT/Tender/SplashBidNoticeAbstractUI.aspx?menuIndex=3&amp;refID=7016004&amp;Result=3","7016004")</f>
        <v>0</v>
      </c>
      <c r="B13526" t="s">
        <v>353</v>
      </c>
      <c r="C13526" t="s">
        <v>16144</v>
      </c>
      <c r="D13526" t="s">
        <v>18068</v>
      </c>
      <c r="E13526" t="s">
        <v>29812</v>
      </c>
      <c r="F13526" t="s">
        <v>31574</v>
      </c>
      <c r="G13526" t="s">
        <v>31582</v>
      </c>
      <c r="H13526" t="s">
        <v>31590</v>
      </c>
      <c r="I13526" t="s">
        <v>31623</v>
      </c>
      <c r="J13526" t="s">
        <v>40059</v>
      </c>
      <c r="K13526" t="s">
        <v>41189</v>
      </c>
      <c r="M13526" t="s">
        <v>41842</v>
      </c>
      <c r="N13526" t="s">
        <v>45095</v>
      </c>
      <c r="O13526" t="s">
        <v>45096</v>
      </c>
      <c r="P13526">
        <v>0</v>
      </c>
      <c r="Q13526">
        <v>0</v>
      </c>
      <c r="R13526" t="s">
        <v>45115</v>
      </c>
      <c r="S13526" t="s">
        <v>45845</v>
      </c>
      <c r="T13526" t="s">
        <v>46932</v>
      </c>
      <c r="U13526" t="s">
        <v>58409</v>
      </c>
      <c r="V13526" t="s">
        <v>61341</v>
      </c>
      <c r="W13526" t="s">
        <v>41842</v>
      </c>
      <c r="X13526" t="s">
        <v>45116</v>
      </c>
    </row>
    <row r="13527" spans="1:24">
      <c r="A13527">
        <f>HYPERLINK("https://www.philgeps.gov.ph/GEPSNONPILOT/Tender/SplashBidNoticeAbstractUI.aspx?menuIndex=3&amp;refID=7016025&amp;Result=3","7016025")</f>
        <v>0</v>
      </c>
      <c r="B13527" t="s">
        <v>290</v>
      </c>
      <c r="C13527" t="s">
        <v>16145</v>
      </c>
      <c r="D13527" t="s">
        <v>18043</v>
      </c>
      <c r="E13527" t="s">
        <v>29813</v>
      </c>
      <c r="F13527" t="s">
        <v>31574</v>
      </c>
      <c r="G13527" t="s">
        <v>31582</v>
      </c>
      <c r="H13527" t="s">
        <v>31590</v>
      </c>
      <c r="I13527" t="s">
        <v>31615</v>
      </c>
      <c r="J13527" t="s">
        <v>31771</v>
      </c>
      <c r="K13527" t="s">
        <v>41186</v>
      </c>
      <c r="M13527" t="s">
        <v>42052</v>
      </c>
      <c r="N13527" t="s">
        <v>45095</v>
      </c>
      <c r="O13527" t="s">
        <v>45096</v>
      </c>
      <c r="Q13527">
        <v>5</v>
      </c>
      <c r="R13527" t="s">
        <v>45115</v>
      </c>
      <c r="S13527" t="s">
        <v>45886</v>
      </c>
      <c r="T13527" t="s">
        <v>46973</v>
      </c>
      <c r="U13527" t="s">
        <v>48590</v>
      </c>
      <c r="W13527" t="s">
        <v>42052</v>
      </c>
      <c r="X13527" t="s">
        <v>45116</v>
      </c>
    </row>
    <row r="13528" spans="1:24">
      <c r="A13528">
        <f>HYPERLINK("https://www.philgeps.gov.ph/GEPSNONPILOT/Tender/SplashBidNoticeAbstractUI.aspx?menuIndex=3&amp;refID=7016080&amp;Result=3","7016080")</f>
        <v>0</v>
      </c>
      <c r="B13528" t="s">
        <v>2451</v>
      </c>
      <c r="C13528" t="s">
        <v>16146</v>
      </c>
      <c r="D13528" t="s">
        <v>18052</v>
      </c>
      <c r="E13528" t="s">
        <v>29814</v>
      </c>
      <c r="F13528" t="s">
        <v>31574</v>
      </c>
      <c r="G13528" t="s">
        <v>31582</v>
      </c>
      <c r="H13528" t="s">
        <v>31590</v>
      </c>
      <c r="I13528" t="s">
        <v>31722</v>
      </c>
      <c r="J13528" t="s">
        <v>33856</v>
      </c>
      <c r="K13528" t="s">
        <v>41185</v>
      </c>
      <c r="M13528" t="s">
        <v>44179</v>
      </c>
      <c r="N13528" t="s">
        <v>45095</v>
      </c>
      <c r="O13528" t="s">
        <v>45096</v>
      </c>
      <c r="P13528">
        <v>0</v>
      </c>
      <c r="Q13528">
        <v>2</v>
      </c>
      <c r="R13528" t="s">
        <v>45115</v>
      </c>
      <c r="S13528" t="s">
        <v>45845</v>
      </c>
      <c r="T13528" t="s">
        <v>46973</v>
      </c>
      <c r="U13528" t="s">
        <v>58410</v>
      </c>
      <c r="W13528" t="s">
        <v>44179</v>
      </c>
      <c r="X13528" t="s">
        <v>45116</v>
      </c>
    </row>
    <row r="13529" spans="1:24">
      <c r="A13529">
        <f>HYPERLINK("https://www.philgeps.gov.ph/GEPSNONPILOT/Tender/SplashBidNoticeAbstractUI.aspx?menuIndex=3&amp;refID=7015990&amp;Result=3","7015990")</f>
        <v>0</v>
      </c>
      <c r="B13529" t="s">
        <v>3048</v>
      </c>
      <c r="C13529" t="s">
        <v>16147</v>
      </c>
      <c r="D13529" t="s">
        <v>18025</v>
      </c>
      <c r="E13529" t="s">
        <v>29815</v>
      </c>
      <c r="F13529" t="s">
        <v>31574</v>
      </c>
      <c r="G13529" t="s">
        <v>31581</v>
      </c>
      <c r="H13529" t="s">
        <v>31592</v>
      </c>
      <c r="I13529" t="s">
        <v>3539</v>
      </c>
      <c r="J13529" t="s">
        <v>40060</v>
      </c>
      <c r="K13529" t="s">
        <v>41244</v>
      </c>
      <c r="M13529" t="s">
        <v>44883</v>
      </c>
      <c r="N13529" t="s">
        <v>45095</v>
      </c>
      <c r="O13529" t="s">
        <v>45096</v>
      </c>
      <c r="P13529">
        <v>0</v>
      </c>
      <c r="Q13529">
        <v>0</v>
      </c>
      <c r="R13529" t="s">
        <v>45115</v>
      </c>
      <c r="S13529" t="s">
        <v>45845</v>
      </c>
      <c r="T13529" t="s">
        <v>47128</v>
      </c>
      <c r="U13529" t="s">
        <v>58411</v>
      </c>
      <c r="W13529" t="s">
        <v>44883</v>
      </c>
      <c r="X13529" t="s">
        <v>45116</v>
      </c>
    </row>
    <row r="13530" spans="1:24">
      <c r="A13530">
        <f>HYPERLINK("https://www.philgeps.gov.ph/GEPSNONPILOT/Tender/SplashBidNoticeAbstractUI.aspx?menuIndex=3&amp;refID=7016074&amp;Result=3","7016074")</f>
        <v>0</v>
      </c>
      <c r="B13530" t="s">
        <v>290</v>
      </c>
      <c r="C13530" t="s">
        <v>16148</v>
      </c>
      <c r="D13530" t="s">
        <v>18043</v>
      </c>
      <c r="E13530" t="s">
        <v>29816</v>
      </c>
      <c r="F13530" t="s">
        <v>31574</v>
      </c>
      <c r="G13530" t="s">
        <v>31582</v>
      </c>
      <c r="H13530" t="s">
        <v>31590</v>
      </c>
      <c r="I13530" t="s">
        <v>31615</v>
      </c>
      <c r="J13530" t="s">
        <v>40061</v>
      </c>
      <c r="K13530" t="s">
        <v>41186</v>
      </c>
      <c r="M13530" t="s">
        <v>42052</v>
      </c>
      <c r="N13530" t="s">
        <v>45095</v>
      </c>
      <c r="O13530" t="s">
        <v>45096</v>
      </c>
      <c r="P13530">
        <v>0</v>
      </c>
      <c r="Q13530">
        <v>3</v>
      </c>
      <c r="R13530" t="s">
        <v>45115</v>
      </c>
      <c r="S13530" t="s">
        <v>45845</v>
      </c>
      <c r="T13530" t="s">
        <v>46973</v>
      </c>
      <c r="U13530" t="s">
        <v>48590</v>
      </c>
      <c r="W13530" t="s">
        <v>42052</v>
      </c>
      <c r="X13530" t="s">
        <v>45116</v>
      </c>
    </row>
    <row r="13531" spans="1:24">
      <c r="A13531">
        <f>HYPERLINK("https://www.philgeps.gov.ph/GEPSNONPILOT/Tender/SplashBidNoticeAbstractUI.aspx?menuIndex=3&amp;refID=7016076&amp;Result=3","7016076")</f>
        <v>0</v>
      </c>
      <c r="B13531" t="s">
        <v>1888</v>
      </c>
      <c r="C13531" t="s">
        <v>16149</v>
      </c>
      <c r="D13531" t="s">
        <v>18040</v>
      </c>
      <c r="E13531" t="s">
        <v>29817</v>
      </c>
      <c r="F13531" t="s">
        <v>31574</v>
      </c>
      <c r="G13531" t="s">
        <v>31582</v>
      </c>
      <c r="H13531" t="s">
        <v>31591</v>
      </c>
      <c r="I13531" t="s">
        <v>8822</v>
      </c>
      <c r="J13531" t="s">
        <v>32101</v>
      </c>
      <c r="K13531" t="s">
        <v>41293</v>
      </c>
      <c r="M13531" t="s">
        <v>43531</v>
      </c>
      <c r="N13531" t="s">
        <v>45095</v>
      </c>
      <c r="O13531" t="s">
        <v>45096</v>
      </c>
      <c r="P13531">
        <v>0</v>
      </c>
      <c r="Q13531">
        <v>1</v>
      </c>
      <c r="R13531" t="s">
        <v>45115</v>
      </c>
      <c r="S13531" t="s">
        <v>45845</v>
      </c>
      <c r="T13531" t="s">
        <v>46973</v>
      </c>
      <c r="U13531" t="s">
        <v>58412</v>
      </c>
      <c r="W13531" t="s">
        <v>43531</v>
      </c>
      <c r="X13531" t="s">
        <v>45116</v>
      </c>
    </row>
    <row r="13532" spans="1:24">
      <c r="A13532">
        <f>HYPERLINK("https://www.philgeps.gov.ph/GEPSNONPILOT/Tender/SplashBidNoticeAbstractUI.aspx?menuIndex=3&amp;refID=7016049&amp;Result=3","7016049")</f>
        <v>0</v>
      </c>
      <c r="B13532" t="s">
        <v>851</v>
      </c>
      <c r="C13532" t="s">
        <v>16150</v>
      </c>
      <c r="D13532" t="s">
        <v>18045</v>
      </c>
      <c r="E13532" t="s">
        <v>29818</v>
      </c>
      <c r="F13532" t="s">
        <v>31574</v>
      </c>
      <c r="G13532" t="s">
        <v>31582</v>
      </c>
      <c r="H13532" t="s">
        <v>31591</v>
      </c>
      <c r="I13532" t="s">
        <v>8822</v>
      </c>
      <c r="J13532" t="s">
        <v>31935</v>
      </c>
      <c r="K13532" t="s">
        <v>41228</v>
      </c>
      <c r="M13532" t="s">
        <v>42370</v>
      </c>
      <c r="N13532" t="s">
        <v>45095</v>
      </c>
      <c r="O13532" t="s">
        <v>45096</v>
      </c>
      <c r="Q13532">
        <v>0</v>
      </c>
      <c r="R13532" t="s">
        <v>45115</v>
      </c>
      <c r="S13532" t="s">
        <v>45887</v>
      </c>
      <c r="T13532" t="s">
        <v>47106</v>
      </c>
      <c r="U13532" t="s">
        <v>58408</v>
      </c>
      <c r="W13532" t="s">
        <v>42370</v>
      </c>
      <c r="X13532" t="s">
        <v>45116</v>
      </c>
    </row>
    <row r="13533" spans="1:24">
      <c r="A13533">
        <f>HYPERLINK("https://www.philgeps.gov.ph/GEPSNONPILOT/Tender/SplashBidNoticeAbstractUI.aspx?menuIndex=3&amp;refID=7015984&amp;Result=3","7015984")</f>
        <v>0</v>
      </c>
      <c r="B13533" t="s">
        <v>3049</v>
      </c>
      <c r="C13533" t="s">
        <v>16151</v>
      </c>
      <c r="D13533" t="s">
        <v>18104</v>
      </c>
      <c r="E13533" t="s">
        <v>20031</v>
      </c>
      <c r="F13533" t="s">
        <v>31574</v>
      </c>
      <c r="G13533" t="s">
        <v>31582</v>
      </c>
      <c r="H13533" t="s">
        <v>31590</v>
      </c>
      <c r="I13533" t="s">
        <v>4046</v>
      </c>
      <c r="J13533" t="s">
        <v>40062</v>
      </c>
      <c r="K13533" t="s">
        <v>41196</v>
      </c>
      <c r="M13533" t="s">
        <v>44884</v>
      </c>
      <c r="N13533" t="s">
        <v>45095</v>
      </c>
      <c r="O13533" t="s">
        <v>45096</v>
      </c>
      <c r="Q13533">
        <v>1</v>
      </c>
      <c r="R13533" t="s">
        <v>45115</v>
      </c>
      <c r="S13533" t="s">
        <v>45888</v>
      </c>
      <c r="T13533" t="s">
        <v>47428</v>
      </c>
      <c r="U13533" t="s">
        <v>58413</v>
      </c>
      <c r="W13533" t="s">
        <v>44884</v>
      </c>
      <c r="X13533" t="s">
        <v>45116</v>
      </c>
    </row>
    <row r="13534" spans="1:24">
      <c r="A13534">
        <f>HYPERLINK("https://www.philgeps.gov.ph/GEPSNONPILOT/Tender/SplashBidNoticeAbstractUI.aspx?menuIndex=3&amp;refID=7015969&amp;Result=3","7015969")</f>
        <v>0</v>
      </c>
      <c r="B13534" t="s">
        <v>450</v>
      </c>
      <c r="C13534" t="s">
        <v>16152</v>
      </c>
      <c r="D13534" t="s">
        <v>18039</v>
      </c>
      <c r="E13534" t="s">
        <v>29819</v>
      </c>
      <c r="F13534" t="s">
        <v>31574</v>
      </c>
      <c r="G13534" t="s">
        <v>31582</v>
      </c>
      <c r="H13534" t="s">
        <v>31591</v>
      </c>
      <c r="I13534" t="s">
        <v>8822</v>
      </c>
      <c r="J13534" t="s">
        <v>39226</v>
      </c>
      <c r="K13534" t="s">
        <v>41396</v>
      </c>
      <c r="M13534" t="s">
        <v>41944</v>
      </c>
      <c r="N13534" t="s">
        <v>45095</v>
      </c>
      <c r="O13534" t="s">
        <v>45096</v>
      </c>
      <c r="P13534">
        <v>0</v>
      </c>
      <c r="Q13534">
        <v>2</v>
      </c>
      <c r="R13534" t="s">
        <v>45115</v>
      </c>
      <c r="S13534" t="s">
        <v>45845</v>
      </c>
      <c r="T13534" t="s">
        <v>47050</v>
      </c>
      <c r="U13534" t="s">
        <v>58377</v>
      </c>
      <c r="W13534" t="s">
        <v>41944</v>
      </c>
      <c r="X13534" t="s">
        <v>45116</v>
      </c>
    </row>
    <row r="13535" spans="1:24">
      <c r="A13535">
        <f>HYPERLINK("https://www.philgeps.gov.ph/GEPSNONPILOT/Tender/SplashBidNoticeAbstractUI.aspx?menuIndex=3&amp;refID=7015976&amp;Result=3","7015976")</f>
        <v>0</v>
      </c>
      <c r="B13535" t="s">
        <v>323</v>
      </c>
      <c r="C13535" t="s">
        <v>16153</v>
      </c>
      <c r="E13535" t="s">
        <v>29820</v>
      </c>
      <c r="F13535" t="s">
        <v>31574</v>
      </c>
      <c r="G13535" t="s">
        <v>31582</v>
      </c>
      <c r="H13535" t="s">
        <v>31590</v>
      </c>
      <c r="I13535" t="s">
        <v>31671</v>
      </c>
      <c r="J13535" t="s">
        <v>40063</v>
      </c>
      <c r="K13535" t="s">
        <v>41243</v>
      </c>
      <c r="M13535" t="s">
        <v>44881</v>
      </c>
      <c r="N13535" t="s">
        <v>45095</v>
      </c>
      <c r="O13535" t="s">
        <v>45096</v>
      </c>
      <c r="Q13535">
        <v>10</v>
      </c>
      <c r="R13535" t="s">
        <v>45115</v>
      </c>
      <c r="S13535" t="s">
        <v>45889</v>
      </c>
      <c r="T13535" t="s">
        <v>46917</v>
      </c>
      <c r="U13535" t="s">
        <v>58388</v>
      </c>
      <c r="W13535" t="s">
        <v>44881</v>
      </c>
      <c r="X13535" t="s">
        <v>45116</v>
      </c>
    </row>
    <row r="13536" spans="1:24">
      <c r="A13536">
        <f>HYPERLINK("https://www.philgeps.gov.ph/GEPSNONPILOT/Tender/SplashBidNoticeAbstractUI.aspx?menuIndex=3&amp;refID=7016048&amp;Result=3","7016048")</f>
        <v>0</v>
      </c>
      <c r="B13536" t="s">
        <v>290</v>
      </c>
      <c r="C13536" t="s">
        <v>16154</v>
      </c>
      <c r="D13536" t="s">
        <v>18043</v>
      </c>
      <c r="E13536" t="s">
        <v>29821</v>
      </c>
      <c r="F13536" t="s">
        <v>31574</v>
      </c>
      <c r="G13536" t="s">
        <v>31582</v>
      </c>
      <c r="H13536" t="s">
        <v>31590</v>
      </c>
      <c r="I13536" t="s">
        <v>31615</v>
      </c>
      <c r="J13536" t="s">
        <v>32120</v>
      </c>
      <c r="K13536" t="s">
        <v>41186</v>
      </c>
      <c r="M13536" t="s">
        <v>42052</v>
      </c>
      <c r="N13536" t="s">
        <v>45095</v>
      </c>
      <c r="O13536" t="s">
        <v>45096</v>
      </c>
      <c r="P13536">
        <v>0</v>
      </c>
      <c r="Q13536">
        <v>4</v>
      </c>
      <c r="R13536" t="s">
        <v>45115</v>
      </c>
      <c r="S13536" t="s">
        <v>45845</v>
      </c>
      <c r="T13536" t="s">
        <v>46973</v>
      </c>
      <c r="U13536" t="s">
        <v>48590</v>
      </c>
      <c r="W13536" t="s">
        <v>42052</v>
      </c>
      <c r="X13536" t="s">
        <v>45116</v>
      </c>
    </row>
    <row r="13537" spans="1:24">
      <c r="A13537">
        <f>HYPERLINK("https://www.philgeps.gov.ph/GEPSNONPILOT/Tender/SplashBidNoticeAbstractUI.aspx?menuIndex=3&amp;refID=7016059&amp;Result=3","7016059")</f>
        <v>0</v>
      </c>
      <c r="B13537" t="s">
        <v>3050</v>
      </c>
      <c r="C13537" t="s">
        <v>16155</v>
      </c>
      <c r="D13537" t="s">
        <v>18045</v>
      </c>
      <c r="E13537" t="s">
        <v>29822</v>
      </c>
      <c r="F13537" t="s">
        <v>31574</v>
      </c>
      <c r="G13537" t="s">
        <v>31582</v>
      </c>
      <c r="H13537" t="s">
        <v>31590</v>
      </c>
      <c r="I13537" t="s">
        <v>31655</v>
      </c>
      <c r="J13537" t="s">
        <v>32076</v>
      </c>
      <c r="K13537" t="s">
        <v>41186</v>
      </c>
      <c r="M13537" t="s">
        <v>44885</v>
      </c>
      <c r="N13537" t="s">
        <v>45095</v>
      </c>
      <c r="O13537" t="s">
        <v>45096</v>
      </c>
      <c r="P13537">
        <v>0</v>
      </c>
      <c r="Q13537">
        <v>9</v>
      </c>
      <c r="R13537" t="s">
        <v>45115</v>
      </c>
      <c r="S13537" t="s">
        <v>45845</v>
      </c>
      <c r="T13537" t="s">
        <v>46920</v>
      </c>
      <c r="U13537" t="s">
        <v>58414</v>
      </c>
      <c r="W13537" t="s">
        <v>44885</v>
      </c>
      <c r="X13537" t="s">
        <v>45116</v>
      </c>
    </row>
    <row r="13538" spans="1:24">
      <c r="A13538">
        <f>HYPERLINK("https://www.philgeps.gov.ph/GEPSNONPILOT/Tender/SplashBidNoticeAbstractUI.aspx?menuIndex=3&amp;refID=7016083&amp;Result=3","7016083")</f>
        <v>0</v>
      </c>
      <c r="B13538" t="s">
        <v>851</v>
      </c>
      <c r="C13538" t="s">
        <v>16156</v>
      </c>
      <c r="D13538" t="s">
        <v>18045</v>
      </c>
      <c r="E13538" t="s">
        <v>29823</v>
      </c>
      <c r="F13538" t="s">
        <v>31574</v>
      </c>
      <c r="G13538" t="s">
        <v>31582</v>
      </c>
      <c r="H13538" t="s">
        <v>31591</v>
      </c>
      <c r="I13538" t="s">
        <v>8822</v>
      </c>
      <c r="J13538" t="s">
        <v>34070</v>
      </c>
      <c r="K13538" t="s">
        <v>41200</v>
      </c>
      <c r="M13538" t="s">
        <v>42370</v>
      </c>
      <c r="N13538" t="s">
        <v>45095</v>
      </c>
      <c r="O13538" t="s">
        <v>45096</v>
      </c>
      <c r="P13538">
        <v>0</v>
      </c>
      <c r="Q13538">
        <v>0</v>
      </c>
      <c r="R13538" t="s">
        <v>45115</v>
      </c>
      <c r="S13538" t="s">
        <v>45845</v>
      </c>
      <c r="T13538" t="s">
        <v>47106</v>
      </c>
      <c r="U13538" t="s">
        <v>58408</v>
      </c>
      <c r="W13538" t="s">
        <v>42370</v>
      </c>
      <c r="X13538" t="s">
        <v>45116</v>
      </c>
    </row>
    <row r="13539" spans="1:24">
      <c r="A13539">
        <f>HYPERLINK("https://www.philgeps.gov.ph/GEPSNONPILOT/Tender/SplashBidNoticeAbstractUI.aspx?menuIndex=3&amp;refID=7016081&amp;Result=3","7016081")</f>
        <v>0</v>
      </c>
      <c r="B13539" t="s">
        <v>323</v>
      </c>
      <c r="C13539" t="s">
        <v>16157</v>
      </c>
      <c r="E13539" t="s">
        <v>29824</v>
      </c>
      <c r="F13539" t="s">
        <v>31574</v>
      </c>
      <c r="G13539" t="s">
        <v>31582</v>
      </c>
      <c r="H13539" t="s">
        <v>31590</v>
      </c>
      <c r="I13539" t="s">
        <v>31671</v>
      </c>
      <c r="J13539" t="s">
        <v>40064</v>
      </c>
      <c r="K13539" t="s">
        <v>41189</v>
      </c>
      <c r="M13539" t="s">
        <v>44881</v>
      </c>
      <c r="N13539" t="s">
        <v>45095</v>
      </c>
      <c r="O13539" t="s">
        <v>45096</v>
      </c>
      <c r="Q13539">
        <v>4</v>
      </c>
      <c r="R13539" t="s">
        <v>45115</v>
      </c>
      <c r="S13539" t="s">
        <v>45890</v>
      </c>
      <c r="T13539" t="s">
        <v>46917</v>
      </c>
      <c r="U13539" t="s">
        <v>58388</v>
      </c>
      <c r="W13539" t="s">
        <v>44881</v>
      </c>
      <c r="X13539" t="s">
        <v>45116</v>
      </c>
    </row>
    <row r="13540" spans="1:24">
      <c r="A13540">
        <f>HYPERLINK("https://www.philgeps.gov.ph/GEPSNONPILOT/Tender/SplashBidNoticeAbstractUI.aspx?menuIndex=3&amp;refID=7015843&amp;Result=3","7015843")</f>
        <v>0</v>
      </c>
      <c r="B13540" t="s">
        <v>2478</v>
      </c>
      <c r="C13540" t="s">
        <v>16158</v>
      </c>
      <c r="D13540" t="s">
        <v>18054</v>
      </c>
      <c r="E13540" t="s">
        <v>20978</v>
      </c>
      <c r="F13540" t="s">
        <v>31574</v>
      </c>
      <c r="G13540" t="s">
        <v>31582</v>
      </c>
      <c r="H13540" t="s">
        <v>31590</v>
      </c>
      <c r="I13540" t="s">
        <v>4046</v>
      </c>
      <c r="J13540" t="s">
        <v>40065</v>
      </c>
      <c r="K13540" t="s">
        <v>41196</v>
      </c>
      <c r="M13540" t="s">
        <v>44208</v>
      </c>
      <c r="N13540" t="s">
        <v>45095</v>
      </c>
      <c r="O13540" t="s">
        <v>45096</v>
      </c>
      <c r="P13540">
        <v>0</v>
      </c>
      <c r="Q13540">
        <v>0</v>
      </c>
      <c r="R13540" t="s">
        <v>45115</v>
      </c>
      <c r="S13540" t="s">
        <v>45845</v>
      </c>
      <c r="T13540" t="s">
        <v>46985</v>
      </c>
      <c r="U13540" t="s">
        <v>52199</v>
      </c>
      <c r="W13540" t="s">
        <v>44208</v>
      </c>
      <c r="X13540" t="s">
        <v>45116</v>
      </c>
    </row>
    <row r="13541" spans="1:24">
      <c r="A13541">
        <f>HYPERLINK("https://www.philgeps.gov.ph/GEPSNONPILOT/Tender/SplashBidNoticeAbstractUI.aspx?menuIndex=3&amp;refID=7016113&amp;Result=3","7016113")</f>
        <v>0</v>
      </c>
      <c r="B13541" t="s">
        <v>2971</v>
      </c>
      <c r="C13541" t="s">
        <v>16159</v>
      </c>
      <c r="D13541" t="s">
        <v>18088</v>
      </c>
      <c r="E13541" t="s">
        <v>29825</v>
      </c>
      <c r="F13541" t="s">
        <v>31574</v>
      </c>
      <c r="G13541" t="s">
        <v>31582</v>
      </c>
      <c r="H13541" t="s">
        <v>31590</v>
      </c>
      <c r="I13541" t="s">
        <v>31608</v>
      </c>
      <c r="J13541" t="s">
        <v>40066</v>
      </c>
      <c r="K13541" t="s">
        <v>41191</v>
      </c>
      <c r="M13541" t="s">
        <v>44793</v>
      </c>
      <c r="N13541" t="s">
        <v>45095</v>
      </c>
      <c r="O13541" t="s">
        <v>45096</v>
      </c>
      <c r="P13541">
        <v>0</v>
      </c>
      <c r="Q13541">
        <v>11</v>
      </c>
      <c r="R13541" t="s">
        <v>45115</v>
      </c>
      <c r="S13541" t="s">
        <v>45845</v>
      </c>
      <c r="T13541" t="s">
        <v>47065</v>
      </c>
      <c r="U13541" t="s">
        <v>58415</v>
      </c>
      <c r="V13541" t="s">
        <v>61235</v>
      </c>
      <c r="W13541" t="s">
        <v>44793</v>
      </c>
      <c r="X13541" t="s">
        <v>45116</v>
      </c>
    </row>
    <row r="13542" spans="1:24">
      <c r="A13542">
        <f>HYPERLINK("https://www.philgeps.gov.ph/GEPSNONPILOT/Tender/SplashBidNoticeAbstractUI.aspx?menuIndex=3&amp;refID=7015846&amp;Result=3","7015846")</f>
        <v>0</v>
      </c>
      <c r="B13542" t="s">
        <v>1819</v>
      </c>
      <c r="C13542" t="s">
        <v>16160</v>
      </c>
      <c r="D13542" t="s">
        <v>18027</v>
      </c>
      <c r="E13542" t="s">
        <v>29826</v>
      </c>
      <c r="F13542" t="s">
        <v>31574</v>
      </c>
      <c r="G13542" t="s">
        <v>31582</v>
      </c>
      <c r="H13542" t="s">
        <v>31591</v>
      </c>
      <c r="I13542" t="s">
        <v>8822</v>
      </c>
      <c r="J13542" t="s">
        <v>38736</v>
      </c>
      <c r="K13542" t="s">
        <v>41192</v>
      </c>
      <c r="L13542" t="s">
        <v>1819</v>
      </c>
      <c r="M13542" t="s">
        <v>43454</v>
      </c>
      <c r="N13542" t="s">
        <v>45095</v>
      </c>
      <c r="O13542" t="s">
        <v>45096</v>
      </c>
      <c r="P13542">
        <v>0</v>
      </c>
      <c r="Q13542">
        <v>2</v>
      </c>
      <c r="R13542" t="s">
        <v>45115</v>
      </c>
      <c r="S13542" t="s">
        <v>45845</v>
      </c>
      <c r="T13542" t="s">
        <v>47188</v>
      </c>
      <c r="U13542" t="s">
        <v>58374</v>
      </c>
      <c r="W13542" t="s">
        <v>43454</v>
      </c>
      <c r="X13542" t="s">
        <v>45116</v>
      </c>
    </row>
    <row r="13543" spans="1:24">
      <c r="A13543">
        <f>HYPERLINK("https://www.philgeps.gov.ph/GEPSNONPILOT/Tender/SplashBidNoticeAbstractUI.aspx?menuIndex=3&amp;refID=7016120&amp;Result=3","7016120")</f>
        <v>0</v>
      </c>
      <c r="B13543" t="s">
        <v>2770</v>
      </c>
      <c r="C13543" t="s">
        <v>16161</v>
      </c>
      <c r="D13543" t="s">
        <v>18044</v>
      </c>
      <c r="E13543" t="s">
        <v>29827</v>
      </c>
      <c r="F13543" t="s">
        <v>31574</v>
      </c>
      <c r="G13543" t="s">
        <v>31582</v>
      </c>
      <c r="H13543" t="s">
        <v>31591</v>
      </c>
      <c r="I13543" t="s">
        <v>8822</v>
      </c>
      <c r="J13543" t="s">
        <v>40067</v>
      </c>
      <c r="K13543" t="s">
        <v>41192</v>
      </c>
      <c r="M13543" t="s">
        <v>44545</v>
      </c>
      <c r="N13543" t="s">
        <v>45095</v>
      </c>
      <c r="O13543" t="s">
        <v>45096</v>
      </c>
      <c r="P13543">
        <v>0</v>
      </c>
      <c r="Q13543">
        <v>1</v>
      </c>
      <c r="R13543" t="s">
        <v>45115</v>
      </c>
      <c r="S13543" t="s">
        <v>45845</v>
      </c>
      <c r="T13543" t="s">
        <v>47046</v>
      </c>
      <c r="U13543" t="s">
        <v>58416</v>
      </c>
      <c r="W13543" t="s">
        <v>44545</v>
      </c>
      <c r="X13543" t="s">
        <v>45116</v>
      </c>
    </row>
    <row r="13544" spans="1:24">
      <c r="A13544">
        <f>HYPERLINK("https://www.philgeps.gov.ph/GEPSNONPILOT/Tender/SplashBidNoticeAbstractUI.aspx?menuIndex=3&amp;refID=7015866&amp;Result=3","7015866")</f>
        <v>0</v>
      </c>
      <c r="B13544" t="s">
        <v>2478</v>
      </c>
      <c r="C13544" t="s">
        <v>16162</v>
      </c>
      <c r="D13544" t="s">
        <v>18054</v>
      </c>
      <c r="E13544" t="s">
        <v>20984</v>
      </c>
      <c r="F13544" t="s">
        <v>31574</v>
      </c>
      <c r="G13544" t="s">
        <v>31582</v>
      </c>
      <c r="H13544" t="s">
        <v>31590</v>
      </c>
      <c r="I13544" t="s">
        <v>4046</v>
      </c>
      <c r="J13544" t="s">
        <v>40049</v>
      </c>
      <c r="K13544" t="s">
        <v>41196</v>
      </c>
      <c r="M13544" t="s">
        <v>44208</v>
      </c>
      <c r="N13544" t="s">
        <v>45095</v>
      </c>
      <c r="O13544" t="s">
        <v>45096</v>
      </c>
      <c r="P13544">
        <v>0</v>
      </c>
      <c r="Q13544">
        <v>0</v>
      </c>
      <c r="R13544" t="s">
        <v>45115</v>
      </c>
      <c r="S13544" t="s">
        <v>45845</v>
      </c>
      <c r="T13544" t="s">
        <v>46985</v>
      </c>
      <c r="U13544" t="s">
        <v>58394</v>
      </c>
      <c r="W13544" t="s">
        <v>44208</v>
      </c>
      <c r="X13544" t="s">
        <v>45116</v>
      </c>
    </row>
    <row r="13545" spans="1:24">
      <c r="A13545">
        <f>HYPERLINK("https://www.philgeps.gov.ph/GEPSNONPILOT/Tender/SplashBidNoticeAbstractUI.aspx?menuIndex=3&amp;refID=7016112&amp;Result=3","7016112")</f>
        <v>0</v>
      </c>
      <c r="B13545" t="s">
        <v>1888</v>
      </c>
      <c r="C13545" t="s">
        <v>16163</v>
      </c>
      <c r="D13545" t="s">
        <v>18040</v>
      </c>
      <c r="E13545" t="s">
        <v>29828</v>
      </c>
      <c r="F13545" t="s">
        <v>31574</v>
      </c>
      <c r="G13545" t="s">
        <v>31582</v>
      </c>
      <c r="H13545" t="s">
        <v>31591</v>
      </c>
      <c r="I13545" t="s">
        <v>8822</v>
      </c>
      <c r="J13545" t="s">
        <v>32026</v>
      </c>
      <c r="K13545" t="s">
        <v>41200</v>
      </c>
      <c r="M13545" t="s">
        <v>43531</v>
      </c>
      <c r="N13545" t="s">
        <v>45095</v>
      </c>
      <c r="O13545" t="s">
        <v>45096</v>
      </c>
      <c r="P13545">
        <v>0</v>
      </c>
      <c r="Q13545">
        <v>0</v>
      </c>
      <c r="R13545" t="s">
        <v>45115</v>
      </c>
      <c r="S13545" t="s">
        <v>45845</v>
      </c>
      <c r="T13545" t="s">
        <v>46973</v>
      </c>
      <c r="U13545" t="s">
        <v>58417</v>
      </c>
      <c r="W13545" t="s">
        <v>43531</v>
      </c>
      <c r="X13545" t="s">
        <v>45116</v>
      </c>
    </row>
    <row r="13546" spans="1:24">
      <c r="A13546">
        <f>HYPERLINK("https://www.philgeps.gov.ph/GEPSNONPILOT/Tender/SplashBidNoticeAbstractUI.aspx?menuIndex=3&amp;refID=7016103&amp;Result=3","7016103")</f>
        <v>0</v>
      </c>
      <c r="B13546" t="s">
        <v>1926</v>
      </c>
      <c r="C13546" t="s">
        <v>16164</v>
      </c>
      <c r="D13546" t="s">
        <v>18099</v>
      </c>
      <c r="E13546" t="s">
        <v>29829</v>
      </c>
      <c r="F13546" t="s">
        <v>31574</v>
      </c>
      <c r="G13546" t="s">
        <v>31582</v>
      </c>
      <c r="H13546" t="s">
        <v>31591</v>
      </c>
      <c r="I13546" t="s">
        <v>8822</v>
      </c>
      <c r="J13546" t="s">
        <v>40068</v>
      </c>
      <c r="K13546" t="s">
        <v>41189</v>
      </c>
      <c r="M13546" t="s">
        <v>43578</v>
      </c>
      <c r="N13546" t="s">
        <v>45095</v>
      </c>
      <c r="O13546" t="s">
        <v>45096</v>
      </c>
      <c r="Q13546">
        <v>0</v>
      </c>
      <c r="R13546" t="s">
        <v>45115</v>
      </c>
      <c r="S13546" t="s">
        <v>45854</v>
      </c>
      <c r="T13546" t="s">
        <v>46918</v>
      </c>
      <c r="U13546" t="s">
        <v>58418</v>
      </c>
      <c r="V13546" t="s">
        <v>60507</v>
      </c>
      <c r="W13546" t="s">
        <v>43578</v>
      </c>
      <c r="X13546" t="s">
        <v>45116</v>
      </c>
    </row>
    <row r="13547" spans="1:24">
      <c r="A13547">
        <f>HYPERLINK("https://www.philgeps.gov.ph/GEPSNONPILOT/Tender/SplashBidNoticeAbstractUI.aspx?menuIndex=3&amp;refID=7016125&amp;Result=3","7016125")</f>
        <v>0</v>
      </c>
      <c r="B13547" t="s">
        <v>1639</v>
      </c>
      <c r="C13547" t="s">
        <v>16165</v>
      </c>
      <c r="E13547" t="s">
        <v>29830</v>
      </c>
      <c r="F13547" t="s">
        <v>31574</v>
      </c>
      <c r="G13547" t="s">
        <v>31582</v>
      </c>
      <c r="H13547" t="s">
        <v>31590</v>
      </c>
      <c r="I13547" t="s">
        <v>3873</v>
      </c>
      <c r="J13547" t="s">
        <v>40069</v>
      </c>
      <c r="K13547" t="s">
        <v>41184</v>
      </c>
      <c r="M13547" t="s">
        <v>43248</v>
      </c>
      <c r="N13547" t="s">
        <v>45095</v>
      </c>
      <c r="O13547" t="s">
        <v>45096</v>
      </c>
      <c r="Q13547">
        <v>0</v>
      </c>
      <c r="R13547" t="s">
        <v>45115</v>
      </c>
      <c r="S13547" t="s">
        <v>45891</v>
      </c>
      <c r="T13547" t="s">
        <v>46914</v>
      </c>
      <c r="U13547" t="s">
        <v>58419</v>
      </c>
      <c r="W13547" t="s">
        <v>43248</v>
      </c>
      <c r="X13547" t="s">
        <v>45116</v>
      </c>
    </row>
    <row r="13548" spans="1:24">
      <c r="A13548">
        <f>HYPERLINK("https://www.philgeps.gov.ph/GEPSNONPILOT/Tender/SplashBidNoticeAbstractUI.aspx?menuIndex=3&amp;refID=7016091&amp;Result=3","7016091")</f>
        <v>0</v>
      </c>
      <c r="B13548" t="s">
        <v>290</v>
      </c>
      <c r="C13548" t="s">
        <v>16166</v>
      </c>
      <c r="D13548" t="s">
        <v>18043</v>
      </c>
      <c r="E13548" t="s">
        <v>29831</v>
      </c>
      <c r="F13548" t="s">
        <v>31574</v>
      </c>
      <c r="G13548" t="s">
        <v>31582</v>
      </c>
      <c r="H13548" t="s">
        <v>31590</v>
      </c>
      <c r="I13548" t="s">
        <v>31615</v>
      </c>
      <c r="J13548" t="s">
        <v>31771</v>
      </c>
      <c r="K13548" t="s">
        <v>41186</v>
      </c>
      <c r="M13548" t="s">
        <v>42052</v>
      </c>
      <c r="N13548" t="s">
        <v>45095</v>
      </c>
      <c r="O13548" t="s">
        <v>45096</v>
      </c>
      <c r="P13548">
        <v>0</v>
      </c>
      <c r="Q13548">
        <v>5</v>
      </c>
      <c r="R13548" t="s">
        <v>45115</v>
      </c>
      <c r="S13548" t="s">
        <v>45845</v>
      </c>
      <c r="T13548" t="s">
        <v>46973</v>
      </c>
      <c r="U13548" t="s">
        <v>48590</v>
      </c>
      <c r="W13548" t="s">
        <v>42052</v>
      </c>
      <c r="X13548" t="s">
        <v>45116</v>
      </c>
    </row>
    <row r="13549" spans="1:24">
      <c r="A13549">
        <f>HYPERLINK("https://www.philgeps.gov.ph/GEPSNONPILOT/Tender/SplashBidNoticeAbstractUI.aspx?menuIndex=3&amp;refID=7016108&amp;Result=3","7016108")</f>
        <v>0</v>
      </c>
      <c r="B13549" t="s">
        <v>290</v>
      </c>
      <c r="C13549" t="s">
        <v>16167</v>
      </c>
      <c r="D13549" t="s">
        <v>18043</v>
      </c>
      <c r="E13549" t="s">
        <v>29832</v>
      </c>
      <c r="F13549" t="s">
        <v>31574</v>
      </c>
      <c r="G13549" t="s">
        <v>31582</v>
      </c>
      <c r="H13549" t="s">
        <v>31590</v>
      </c>
      <c r="I13549" t="s">
        <v>31615</v>
      </c>
      <c r="J13549" t="s">
        <v>32101</v>
      </c>
      <c r="K13549" t="s">
        <v>41186</v>
      </c>
      <c r="M13549" t="s">
        <v>42052</v>
      </c>
      <c r="N13549" t="s">
        <v>45095</v>
      </c>
      <c r="O13549" t="s">
        <v>45096</v>
      </c>
      <c r="Q13549">
        <v>6</v>
      </c>
      <c r="R13549" t="s">
        <v>45115</v>
      </c>
      <c r="S13549" t="s">
        <v>45892</v>
      </c>
      <c r="T13549" t="s">
        <v>46973</v>
      </c>
      <c r="U13549" t="s">
        <v>48590</v>
      </c>
      <c r="W13549" t="s">
        <v>42052</v>
      </c>
      <c r="X13549" t="s">
        <v>45116</v>
      </c>
    </row>
    <row r="13550" spans="1:24">
      <c r="A13550">
        <f>HYPERLINK("https://www.philgeps.gov.ph/GEPSNONPILOT/Tender/SplashBidNoticeAbstractUI.aspx?menuIndex=3&amp;refID=7016129&amp;Result=3","7016129")</f>
        <v>0</v>
      </c>
      <c r="B13550" t="s">
        <v>393</v>
      </c>
      <c r="C13550" t="s">
        <v>16168</v>
      </c>
      <c r="D13550" t="s">
        <v>18022</v>
      </c>
      <c r="E13550" t="s">
        <v>29833</v>
      </c>
      <c r="F13550" t="s">
        <v>31574</v>
      </c>
      <c r="G13550" t="s">
        <v>31582</v>
      </c>
      <c r="H13550" t="s">
        <v>31590</v>
      </c>
      <c r="I13550" t="s">
        <v>7185</v>
      </c>
      <c r="J13550" t="s">
        <v>39006</v>
      </c>
      <c r="K13550" t="s">
        <v>41186</v>
      </c>
      <c r="M13550" t="s">
        <v>41884</v>
      </c>
      <c r="N13550" t="s">
        <v>45095</v>
      </c>
      <c r="O13550" t="s">
        <v>45096</v>
      </c>
      <c r="P13550">
        <v>0</v>
      </c>
      <c r="Q13550">
        <v>3</v>
      </c>
      <c r="R13550" t="s">
        <v>45115</v>
      </c>
      <c r="S13550" t="s">
        <v>45845</v>
      </c>
      <c r="T13550" t="s">
        <v>47228</v>
      </c>
      <c r="U13550" t="s">
        <v>58420</v>
      </c>
      <c r="W13550" t="s">
        <v>41884</v>
      </c>
      <c r="X13550" t="s">
        <v>45116</v>
      </c>
    </row>
    <row r="13551" spans="1:24">
      <c r="A13551">
        <f>HYPERLINK("https://www.philgeps.gov.ph/GEPSNONPILOT/Tender/SplashBidNoticeAbstractUI.aspx?menuIndex=3&amp;refID=7016148&amp;Result=3","7016148")</f>
        <v>0</v>
      </c>
      <c r="B13551" t="s">
        <v>1978</v>
      </c>
      <c r="C13551" t="s">
        <v>16169</v>
      </c>
      <c r="D13551" t="s">
        <v>18079</v>
      </c>
      <c r="E13551" t="s">
        <v>29834</v>
      </c>
      <c r="F13551" t="s">
        <v>31574</v>
      </c>
      <c r="G13551" t="s">
        <v>31588</v>
      </c>
      <c r="H13551" t="s">
        <v>31591</v>
      </c>
      <c r="I13551" t="s">
        <v>8822</v>
      </c>
      <c r="J13551" t="s">
        <v>33252</v>
      </c>
      <c r="K13551" t="s">
        <v>41189</v>
      </c>
      <c r="M13551" t="s">
        <v>43635</v>
      </c>
      <c r="N13551" t="s">
        <v>45095</v>
      </c>
      <c r="O13551" t="s">
        <v>45096</v>
      </c>
      <c r="Q13551">
        <v>2</v>
      </c>
      <c r="R13551" t="s">
        <v>45115</v>
      </c>
      <c r="S13551" t="s">
        <v>45893</v>
      </c>
      <c r="T13551" t="s">
        <v>47159</v>
      </c>
      <c r="U13551" t="s">
        <v>49578</v>
      </c>
      <c r="W13551" t="s">
        <v>43635</v>
      </c>
      <c r="X13551" t="s">
        <v>45116</v>
      </c>
    </row>
    <row r="13552" spans="1:24">
      <c r="A13552">
        <f>HYPERLINK("https://www.philgeps.gov.ph/GEPSNONPILOT/Tender/SplashBidNoticeAbstractUI.aspx?menuIndex=3&amp;refID=7016101&amp;Result=3","7016101")</f>
        <v>0</v>
      </c>
      <c r="B13552" t="s">
        <v>1888</v>
      </c>
      <c r="C13552" t="s">
        <v>16170</v>
      </c>
      <c r="D13552" t="s">
        <v>18040</v>
      </c>
      <c r="E13552" t="s">
        <v>29835</v>
      </c>
      <c r="F13552" t="s">
        <v>31574</v>
      </c>
      <c r="G13552" t="s">
        <v>31582</v>
      </c>
      <c r="H13552" t="s">
        <v>31591</v>
      </c>
      <c r="I13552" t="s">
        <v>8822</v>
      </c>
      <c r="J13552" t="s">
        <v>31730</v>
      </c>
      <c r="K13552" t="s">
        <v>41379</v>
      </c>
      <c r="M13552" t="s">
        <v>43531</v>
      </c>
      <c r="N13552" t="s">
        <v>45095</v>
      </c>
      <c r="O13552" t="s">
        <v>45096</v>
      </c>
      <c r="P13552">
        <v>0</v>
      </c>
      <c r="Q13552">
        <v>1</v>
      </c>
      <c r="R13552" t="s">
        <v>45115</v>
      </c>
      <c r="S13552" t="s">
        <v>45845</v>
      </c>
      <c r="T13552" t="s">
        <v>46973</v>
      </c>
      <c r="U13552" t="s">
        <v>58421</v>
      </c>
      <c r="W13552" t="s">
        <v>43531</v>
      </c>
      <c r="X13552" t="s">
        <v>45116</v>
      </c>
    </row>
    <row r="13553" spans="1:24">
      <c r="A13553">
        <f>HYPERLINK("https://www.philgeps.gov.ph/GEPSNONPILOT/Tender/SplashBidNoticeAbstractUI.aspx?menuIndex=3&amp;refID=7016098&amp;Result=3","7016098")</f>
        <v>0</v>
      </c>
      <c r="B13553" t="s">
        <v>1978</v>
      </c>
      <c r="C13553" t="s">
        <v>16171</v>
      </c>
      <c r="D13553" t="s">
        <v>18079</v>
      </c>
      <c r="E13553" t="s">
        <v>29836</v>
      </c>
      <c r="F13553" t="s">
        <v>31574</v>
      </c>
      <c r="G13553" t="s">
        <v>31588</v>
      </c>
      <c r="H13553" t="s">
        <v>31591</v>
      </c>
      <c r="I13553" t="s">
        <v>8822</v>
      </c>
      <c r="J13553" t="s">
        <v>34707</v>
      </c>
      <c r="K13553" t="s">
        <v>41209</v>
      </c>
      <c r="M13553" t="s">
        <v>43635</v>
      </c>
      <c r="N13553" t="s">
        <v>45095</v>
      </c>
      <c r="O13553" t="s">
        <v>45096</v>
      </c>
      <c r="Q13553">
        <v>3</v>
      </c>
      <c r="R13553" t="s">
        <v>45115</v>
      </c>
      <c r="S13553" t="s">
        <v>45894</v>
      </c>
      <c r="T13553" t="s">
        <v>47159</v>
      </c>
      <c r="U13553" t="s">
        <v>49578</v>
      </c>
      <c r="W13553" t="s">
        <v>43635</v>
      </c>
      <c r="X13553" t="s">
        <v>45116</v>
      </c>
    </row>
    <row r="13554" spans="1:24">
      <c r="A13554">
        <f>HYPERLINK("https://www.philgeps.gov.ph/GEPSNONPILOT/Tender/SplashBidNoticeAbstractUI.aspx?menuIndex=3&amp;refID=7016134&amp;Result=3","7016134")</f>
        <v>0</v>
      </c>
      <c r="B13554" t="s">
        <v>1888</v>
      </c>
      <c r="C13554" t="s">
        <v>16172</v>
      </c>
      <c r="D13554" t="s">
        <v>18040</v>
      </c>
      <c r="E13554" t="s">
        <v>29837</v>
      </c>
      <c r="F13554" t="s">
        <v>31574</v>
      </c>
      <c r="G13554" t="s">
        <v>31582</v>
      </c>
      <c r="H13554" t="s">
        <v>31591</v>
      </c>
      <c r="I13554" t="s">
        <v>8822</v>
      </c>
      <c r="J13554" t="s">
        <v>31947</v>
      </c>
      <c r="K13554" t="s">
        <v>41260</v>
      </c>
      <c r="M13554" t="s">
        <v>43531</v>
      </c>
      <c r="N13554" t="s">
        <v>45095</v>
      </c>
      <c r="O13554" t="s">
        <v>45096</v>
      </c>
      <c r="P13554">
        <v>0</v>
      </c>
      <c r="Q13554">
        <v>0</v>
      </c>
      <c r="R13554" t="s">
        <v>45115</v>
      </c>
      <c r="S13554" t="s">
        <v>45845</v>
      </c>
      <c r="T13554" t="s">
        <v>46973</v>
      </c>
      <c r="U13554" t="s">
        <v>58422</v>
      </c>
      <c r="W13554" t="s">
        <v>43531</v>
      </c>
      <c r="X13554" t="s">
        <v>45116</v>
      </c>
    </row>
    <row r="13555" spans="1:24">
      <c r="A13555">
        <f>HYPERLINK("https://www.philgeps.gov.ph/GEPSNONPILOT/Tender/SplashBidNoticeAbstractUI.aspx?menuIndex=3&amp;refID=7016137&amp;Result=3","7016137")</f>
        <v>0</v>
      </c>
      <c r="B13555" t="s">
        <v>397</v>
      </c>
      <c r="C13555" t="s">
        <v>16173</v>
      </c>
      <c r="D13555" t="s">
        <v>18040</v>
      </c>
      <c r="E13555" t="s">
        <v>29838</v>
      </c>
      <c r="F13555" t="s">
        <v>31574</v>
      </c>
      <c r="G13555" t="s">
        <v>31582</v>
      </c>
      <c r="H13555" t="s">
        <v>31590</v>
      </c>
      <c r="I13555" t="s">
        <v>31615</v>
      </c>
      <c r="J13555" t="s">
        <v>40070</v>
      </c>
      <c r="K13555" t="s">
        <v>41186</v>
      </c>
      <c r="M13555" t="s">
        <v>41888</v>
      </c>
      <c r="N13555" t="s">
        <v>45095</v>
      </c>
      <c r="O13555" t="s">
        <v>45096</v>
      </c>
      <c r="P13555">
        <v>0</v>
      </c>
      <c r="Q13555">
        <v>7</v>
      </c>
      <c r="R13555" t="s">
        <v>45115</v>
      </c>
      <c r="S13555" t="s">
        <v>45845</v>
      </c>
      <c r="T13555" t="s">
        <v>47076</v>
      </c>
      <c r="U13555" t="s">
        <v>58423</v>
      </c>
      <c r="W13555" t="s">
        <v>41888</v>
      </c>
      <c r="X13555" t="s">
        <v>45116</v>
      </c>
    </row>
    <row r="13556" spans="1:24">
      <c r="A13556">
        <f>HYPERLINK("https://www.philgeps.gov.ph/GEPSNONPILOT/Tender/SplashBidNoticeAbstractUI.aspx?menuIndex=3&amp;refID=7016171&amp;Result=3","7016171")</f>
        <v>0</v>
      </c>
      <c r="B13556" t="s">
        <v>393</v>
      </c>
      <c r="C13556" t="s">
        <v>16174</v>
      </c>
      <c r="D13556" t="s">
        <v>18022</v>
      </c>
      <c r="E13556" t="s">
        <v>29839</v>
      </c>
      <c r="F13556" t="s">
        <v>31574</v>
      </c>
      <c r="G13556" t="s">
        <v>31582</v>
      </c>
      <c r="H13556" t="s">
        <v>31590</v>
      </c>
      <c r="I13556" t="s">
        <v>7185</v>
      </c>
      <c r="J13556" t="s">
        <v>40071</v>
      </c>
      <c r="K13556" t="s">
        <v>41186</v>
      </c>
      <c r="M13556" t="s">
        <v>44608</v>
      </c>
      <c r="N13556" t="s">
        <v>45095</v>
      </c>
      <c r="O13556" t="s">
        <v>45096</v>
      </c>
      <c r="P13556">
        <v>0</v>
      </c>
      <c r="Q13556">
        <v>7</v>
      </c>
      <c r="R13556" t="s">
        <v>45115</v>
      </c>
      <c r="S13556" t="s">
        <v>45845</v>
      </c>
      <c r="T13556" t="s">
        <v>47228</v>
      </c>
      <c r="U13556" t="s">
        <v>58424</v>
      </c>
      <c r="W13556" t="s">
        <v>44608</v>
      </c>
      <c r="X13556" t="s">
        <v>45116</v>
      </c>
    </row>
    <row r="13557" spans="1:24">
      <c r="A13557">
        <f>HYPERLINK("https://www.philgeps.gov.ph/GEPSNONPILOT/Tender/SplashBidNoticeAbstractUI.aspx?menuIndex=3&amp;refID=7016130&amp;Result=3","7016130")</f>
        <v>0</v>
      </c>
      <c r="B13557" t="s">
        <v>1032</v>
      </c>
      <c r="C13557" t="s">
        <v>16175</v>
      </c>
      <c r="E13557" t="s">
        <v>29840</v>
      </c>
      <c r="F13557" t="s">
        <v>31574</v>
      </c>
      <c r="G13557" t="s">
        <v>31582</v>
      </c>
      <c r="H13557" t="s">
        <v>31590</v>
      </c>
      <c r="I13557" t="s">
        <v>31594</v>
      </c>
      <c r="J13557" t="s">
        <v>37676</v>
      </c>
      <c r="K13557" t="s">
        <v>41192</v>
      </c>
      <c r="M13557" t="s">
        <v>42573</v>
      </c>
      <c r="N13557" t="s">
        <v>45095</v>
      </c>
      <c r="O13557" t="s">
        <v>45096</v>
      </c>
      <c r="Q13557">
        <v>16</v>
      </c>
      <c r="R13557" t="s">
        <v>45115</v>
      </c>
      <c r="S13557" t="s">
        <v>45895</v>
      </c>
      <c r="T13557" t="s">
        <v>46992</v>
      </c>
      <c r="U13557" t="s">
        <v>58425</v>
      </c>
      <c r="W13557" t="s">
        <v>42573</v>
      </c>
      <c r="X13557" t="s">
        <v>45116</v>
      </c>
    </row>
    <row r="13558" spans="1:24">
      <c r="A13558">
        <f>HYPERLINK("https://www.philgeps.gov.ph/GEPSNONPILOT/Tender/SplashBidNoticeAbstractUI.aspx?menuIndex=3&amp;refID=7016135&amp;Result=3","7016135")</f>
        <v>0</v>
      </c>
      <c r="B13558" t="s">
        <v>393</v>
      </c>
      <c r="C13558" t="s">
        <v>16176</v>
      </c>
      <c r="D13558" t="s">
        <v>18022</v>
      </c>
      <c r="E13558" t="s">
        <v>29841</v>
      </c>
      <c r="F13558" t="s">
        <v>31574</v>
      </c>
      <c r="G13558" t="s">
        <v>31582</v>
      </c>
      <c r="H13558" t="s">
        <v>31590</v>
      </c>
      <c r="I13558" t="s">
        <v>31603</v>
      </c>
      <c r="J13558" t="s">
        <v>32101</v>
      </c>
      <c r="K13558" t="s">
        <v>41186</v>
      </c>
      <c r="M13558" t="s">
        <v>44886</v>
      </c>
      <c r="N13558" t="s">
        <v>45095</v>
      </c>
      <c r="O13558" t="s">
        <v>45096</v>
      </c>
      <c r="P13558">
        <v>0</v>
      </c>
      <c r="Q13558">
        <v>15</v>
      </c>
      <c r="R13558" t="s">
        <v>45115</v>
      </c>
      <c r="S13558" t="s">
        <v>45845</v>
      </c>
      <c r="T13558" t="s">
        <v>47228</v>
      </c>
      <c r="U13558" t="s">
        <v>58426</v>
      </c>
      <c r="W13558" t="s">
        <v>44886</v>
      </c>
      <c r="X13558" t="s">
        <v>45116</v>
      </c>
    </row>
    <row r="13559" spans="1:24">
      <c r="A13559">
        <f>HYPERLINK("https://www.philgeps.gov.ph/GEPSNONPILOT/Tender/SplashBidNoticeAbstractUI.aspx?menuIndex=3&amp;refID=7016140&amp;Result=3","7016140")</f>
        <v>0</v>
      </c>
      <c r="B13559" t="s">
        <v>353</v>
      </c>
      <c r="C13559" t="s">
        <v>16177</v>
      </c>
      <c r="D13559" t="s">
        <v>18068</v>
      </c>
      <c r="E13559" t="s">
        <v>29842</v>
      </c>
      <c r="F13559" t="s">
        <v>31574</v>
      </c>
      <c r="G13559" t="s">
        <v>31582</v>
      </c>
      <c r="H13559" t="s">
        <v>31590</v>
      </c>
      <c r="I13559" t="s">
        <v>8822</v>
      </c>
      <c r="J13559" t="s">
        <v>40072</v>
      </c>
      <c r="K13559" t="s">
        <v>41189</v>
      </c>
      <c r="M13559" t="s">
        <v>41842</v>
      </c>
      <c r="N13559" t="s">
        <v>45095</v>
      </c>
      <c r="O13559" t="s">
        <v>45096</v>
      </c>
      <c r="P13559">
        <v>0</v>
      </c>
      <c r="Q13559">
        <v>0</v>
      </c>
      <c r="R13559" t="s">
        <v>45115</v>
      </c>
      <c r="S13559" t="s">
        <v>45845</v>
      </c>
      <c r="T13559" t="s">
        <v>46932</v>
      </c>
      <c r="U13559" t="s">
        <v>58136</v>
      </c>
      <c r="V13559" t="s">
        <v>61342</v>
      </c>
      <c r="W13559" t="s">
        <v>41842</v>
      </c>
      <c r="X13559" t="s">
        <v>45116</v>
      </c>
    </row>
    <row r="13560" spans="1:24">
      <c r="A13560">
        <f>HYPERLINK("https://www.philgeps.gov.ph/GEPSNONPILOT/Tender/SplashBidNoticeAbstractUI.aspx?menuIndex=3&amp;refID=7016172&amp;Result=3","7016172")</f>
        <v>0</v>
      </c>
      <c r="B13560" t="s">
        <v>1032</v>
      </c>
      <c r="C13560" t="s">
        <v>16178</v>
      </c>
      <c r="E13560" t="s">
        <v>29843</v>
      </c>
      <c r="F13560" t="s">
        <v>31574</v>
      </c>
      <c r="G13560" t="s">
        <v>31582</v>
      </c>
      <c r="H13560" t="s">
        <v>31590</v>
      </c>
      <c r="I13560" t="s">
        <v>31594</v>
      </c>
      <c r="J13560" t="s">
        <v>33193</v>
      </c>
      <c r="K13560" t="s">
        <v>41192</v>
      </c>
      <c r="M13560" t="s">
        <v>42573</v>
      </c>
      <c r="N13560" t="s">
        <v>45095</v>
      </c>
      <c r="O13560" t="s">
        <v>45096</v>
      </c>
      <c r="Q13560">
        <v>19</v>
      </c>
      <c r="R13560" t="s">
        <v>45115</v>
      </c>
      <c r="S13560" t="s">
        <v>45393</v>
      </c>
      <c r="T13560" t="s">
        <v>46988</v>
      </c>
      <c r="U13560" t="s">
        <v>58427</v>
      </c>
      <c r="W13560" t="s">
        <v>42573</v>
      </c>
      <c r="X13560" t="s">
        <v>45116</v>
      </c>
    </row>
    <row r="13561" spans="1:24">
      <c r="A13561">
        <f>HYPERLINK("https://www.philgeps.gov.ph/GEPSNONPILOT/Tender/SplashBidNoticeAbstractUI.aspx?menuIndex=3&amp;refID=7016147&amp;Result=3","7016147")</f>
        <v>0</v>
      </c>
      <c r="B13561" t="s">
        <v>2975</v>
      </c>
      <c r="C13561" t="s">
        <v>8754</v>
      </c>
      <c r="D13561" t="s">
        <v>18072</v>
      </c>
      <c r="E13561" t="s">
        <v>29844</v>
      </c>
      <c r="F13561" t="s">
        <v>31574</v>
      </c>
      <c r="G13561" t="s">
        <v>31582</v>
      </c>
      <c r="H13561" t="s">
        <v>31590</v>
      </c>
      <c r="I13561" t="s">
        <v>31594</v>
      </c>
      <c r="J13561" t="s">
        <v>31819</v>
      </c>
      <c r="K13561" t="s">
        <v>41189</v>
      </c>
      <c r="M13561" t="s">
        <v>44797</v>
      </c>
      <c r="N13561" t="s">
        <v>45095</v>
      </c>
      <c r="O13561" t="s">
        <v>45096</v>
      </c>
      <c r="P13561">
        <v>0</v>
      </c>
      <c r="Q13561">
        <v>16</v>
      </c>
      <c r="R13561" t="s">
        <v>45115</v>
      </c>
      <c r="S13561" t="s">
        <v>45845</v>
      </c>
      <c r="T13561" t="s">
        <v>47159</v>
      </c>
      <c r="U13561" t="s">
        <v>58428</v>
      </c>
      <c r="W13561" t="s">
        <v>44797</v>
      </c>
      <c r="X13561" t="s">
        <v>45116</v>
      </c>
    </row>
    <row r="13562" spans="1:24">
      <c r="A13562">
        <f>HYPERLINK("https://www.philgeps.gov.ph/GEPSNONPILOT/Tender/SplashBidNoticeAbstractUI.aspx?menuIndex=3&amp;refID=7016203&amp;Result=3","7016203")</f>
        <v>0</v>
      </c>
      <c r="B13562" t="s">
        <v>1149</v>
      </c>
      <c r="C13562" t="s">
        <v>16179</v>
      </c>
      <c r="D13562" t="s">
        <v>18054</v>
      </c>
      <c r="E13562" t="s">
        <v>29845</v>
      </c>
      <c r="F13562" t="s">
        <v>31574</v>
      </c>
      <c r="G13562" t="s">
        <v>31582</v>
      </c>
      <c r="H13562" t="s">
        <v>31591</v>
      </c>
      <c r="I13562" t="s">
        <v>8822</v>
      </c>
      <c r="J13562" t="s">
        <v>33574</v>
      </c>
      <c r="K13562" t="s">
        <v>41186</v>
      </c>
      <c r="L13562" t="s">
        <v>1149</v>
      </c>
      <c r="M13562" t="s">
        <v>42704</v>
      </c>
      <c r="N13562" t="s">
        <v>45095</v>
      </c>
      <c r="O13562" t="s">
        <v>45096</v>
      </c>
      <c r="Q13562">
        <v>4</v>
      </c>
      <c r="R13562" t="s">
        <v>45115</v>
      </c>
      <c r="S13562" t="s">
        <v>45683</v>
      </c>
      <c r="T13562" t="s">
        <v>46963</v>
      </c>
      <c r="U13562" t="s">
        <v>58429</v>
      </c>
      <c r="W13562" t="s">
        <v>42704</v>
      </c>
      <c r="X13562" t="s">
        <v>45116</v>
      </c>
    </row>
    <row r="13563" spans="1:24">
      <c r="A13563">
        <f>HYPERLINK("https://www.philgeps.gov.ph/GEPSNONPILOT/Tender/SplashBidNoticeAbstractUI.aspx?menuIndex=3&amp;refID=7016189&amp;Result=3","7016189")</f>
        <v>0</v>
      </c>
      <c r="B13563" t="s">
        <v>393</v>
      </c>
      <c r="C13563" t="s">
        <v>16180</v>
      </c>
      <c r="D13563" t="s">
        <v>18022</v>
      </c>
      <c r="E13563" t="s">
        <v>29846</v>
      </c>
      <c r="F13563" t="s">
        <v>31574</v>
      </c>
      <c r="G13563" t="s">
        <v>31582</v>
      </c>
      <c r="H13563" t="s">
        <v>31590</v>
      </c>
      <c r="I13563" t="s">
        <v>31615</v>
      </c>
      <c r="J13563" t="s">
        <v>40073</v>
      </c>
      <c r="K13563" t="s">
        <v>41186</v>
      </c>
      <c r="M13563" t="s">
        <v>44608</v>
      </c>
      <c r="N13563" t="s">
        <v>45095</v>
      </c>
      <c r="O13563" t="s">
        <v>45096</v>
      </c>
      <c r="P13563">
        <v>0</v>
      </c>
      <c r="Q13563">
        <v>4</v>
      </c>
      <c r="R13563" t="s">
        <v>45115</v>
      </c>
      <c r="S13563" t="s">
        <v>45845</v>
      </c>
      <c r="T13563" t="s">
        <v>47228</v>
      </c>
      <c r="U13563" t="s">
        <v>58430</v>
      </c>
      <c r="W13563" t="s">
        <v>44608</v>
      </c>
      <c r="X13563" t="s">
        <v>45116</v>
      </c>
    </row>
    <row r="13564" spans="1:24">
      <c r="A13564">
        <f>HYPERLINK("https://www.philgeps.gov.ph/GEPSNONPILOT/Tender/SplashBidNoticeAbstractUI.aspx?menuIndex=3&amp;refID=7016184&amp;Result=3","7016184")</f>
        <v>0</v>
      </c>
      <c r="B13564" t="s">
        <v>1926</v>
      </c>
      <c r="C13564" t="s">
        <v>16181</v>
      </c>
      <c r="D13564" t="s">
        <v>18099</v>
      </c>
      <c r="E13564" t="s">
        <v>29847</v>
      </c>
      <c r="F13564" t="s">
        <v>31574</v>
      </c>
      <c r="G13564" t="s">
        <v>31582</v>
      </c>
      <c r="H13564" t="s">
        <v>31591</v>
      </c>
      <c r="I13564" t="s">
        <v>8822</v>
      </c>
      <c r="J13564" t="s">
        <v>40074</v>
      </c>
      <c r="K13564" t="s">
        <v>41192</v>
      </c>
      <c r="M13564" t="s">
        <v>43578</v>
      </c>
      <c r="N13564" t="s">
        <v>45095</v>
      </c>
      <c r="O13564" t="s">
        <v>45096</v>
      </c>
      <c r="Q13564">
        <v>0</v>
      </c>
      <c r="R13564" t="s">
        <v>45115</v>
      </c>
      <c r="S13564" t="s">
        <v>45482</v>
      </c>
      <c r="T13564" t="s">
        <v>46918</v>
      </c>
      <c r="U13564" t="s">
        <v>58431</v>
      </c>
      <c r="V13564" t="s">
        <v>60507</v>
      </c>
      <c r="W13564" t="s">
        <v>43578</v>
      </c>
      <c r="X13564" t="s">
        <v>45116</v>
      </c>
    </row>
    <row r="13565" spans="1:24">
      <c r="A13565">
        <f>HYPERLINK("https://www.philgeps.gov.ph/GEPSNONPILOT/Tender/SplashBidNoticeAbstractUI.aspx?menuIndex=3&amp;refID=7016204&amp;Result=3","7016204")</f>
        <v>0</v>
      </c>
      <c r="B13565" t="s">
        <v>1871</v>
      </c>
      <c r="C13565" t="s">
        <v>16182</v>
      </c>
      <c r="D13565" t="s">
        <v>18037</v>
      </c>
      <c r="E13565" t="s">
        <v>29848</v>
      </c>
      <c r="F13565" t="s">
        <v>31574</v>
      </c>
      <c r="G13565" t="s">
        <v>31582</v>
      </c>
      <c r="H13565" t="s">
        <v>31591</v>
      </c>
      <c r="I13565" t="s">
        <v>8822</v>
      </c>
      <c r="J13565" t="s">
        <v>32019</v>
      </c>
      <c r="K13565" t="s">
        <v>41185</v>
      </c>
      <c r="M13565" t="s">
        <v>43641</v>
      </c>
      <c r="N13565" t="s">
        <v>45095</v>
      </c>
      <c r="O13565" t="s">
        <v>45096</v>
      </c>
      <c r="P13565">
        <v>0</v>
      </c>
      <c r="Q13565">
        <v>2</v>
      </c>
      <c r="R13565" t="s">
        <v>45115</v>
      </c>
      <c r="S13565" t="s">
        <v>45845</v>
      </c>
      <c r="T13565" t="s">
        <v>47183</v>
      </c>
      <c r="U13565" t="s">
        <v>58432</v>
      </c>
      <c r="W13565" t="s">
        <v>43641</v>
      </c>
      <c r="X13565" t="s">
        <v>45116</v>
      </c>
    </row>
    <row r="13566" spans="1:24">
      <c r="A13566">
        <f>HYPERLINK("https://www.philgeps.gov.ph/GEPSNONPILOT/Tender/SplashBidNoticeAbstractUI.aspx?menuIndex=3&amp;refID=7016251&amp;Result=3","7016251")</f>
        <v>0</v>
      </c>
      <c r="B13566" t="s">
        <v>1978</v>
      </c>
      <c r="C13566" t="s">
        <v>16183</v>
      </c>
      <c r="D13566" t="s">
        <v>18079</v>
      </c>
      <c r="E13566" t="s">
        <v>29849</v>
      </c>
      <c r="F13566" t="s">
        <v>31574</v>
      </c>
      <c r="G13566" t="s">
        <v>31588</v>
      </c>
      <c r="H13566" t="s">
        <v>31591</v>
      </c>
      <c r="I13566" t="s">
        <v>8822</v>
      </c>
      <c r="J13566" t="s">
        <v>37939</v>
      </c>
      <c r="K13566" t="s">
        <v>41469</v>
      </c>
      <c r="M13566" t="s">
        <v>43635</v>
      </c>
      <c r="N13566" t="s">
        <v>45095</v>
      </c>
      <c r="O13566" t="s">
        <v>45096</v>
      </c>
      <c r="Q13566">
        <v>7</v>
      </c>
      <c r="R13566" t="s">
        <v>45115</v>
      </c>
      <c r="S13566" t="s">
        <v>45896</v>
      </c>
      <c r="T13566" t="s">
        <v>47159</v>
      </c>
      <c r="U13566" t="s">
        <v>49578</v>
      </c>
      <c r="W13566" t="s">
        <v>43635</v>
      </c>
      <c r="X13566" t="s">
        <v>45116</v>
      </c>
    </row>
    <row r="13567" spans="1:24">
      <c r="A13567">
        <f>HYPERLINK("https://www.philgeps.gov.ph/GEPSNONPILOT/Tender/SplashBidNoticeAbstractUI.aspx?menuIndex=3&amp;refID=7016250&amp;Result=3","7016250")</f>
        <v>0</v>
      </c>
      <c r="B13567" t="s">
        <v>1511</v>
      </c>
      <c r="C13567" t="s">
        <v>16184</v>
      </c>
      <c r="E13567" t="s">
        <v>29850</v>
      </c>
      <c r="F13567" t="s">
        <v>31574</v>
      </c>
      <c r="G13567" t="s">
        <v>31582</v>
      </c>
      <c r="H13567" t="s">
        <v>31590</v>
      </c>
      <c r="I13567" t="s">
        <v>31631</v>
      </c>
      <c r="J13567" t="s">
        <v>40075</v>
      </c>
      <c r="K13567" t="s">
        <v>41184</v>
      </c>
      <c r="M13567" t="s">
        <v>44387</v>
      </c>
      <c r="N13567" t="s">
        <v>45095</v>
      </c>
      <c r="O13567" t="s">
        <v>45096</v>
      </c>
      <c r="Q13567">
        <v>12</v>
      </c>
      <c r="R13567" t="s">
        <v>45115</v>
      </c>
      <c r="S13567" t="s">
        <v>45897</v>
      </c>
      <c r="T13567" t="s">
        <v>47301</v>
      </c>
      <c r="U13567" t="s">
        <v>58433</v>
      </c>
      <c r="W13567" t="s">
        <v>44387</v>
      </c>
      <c r="X13567" t="s">
        <v>45116</v>
      </c>
    </row>
    <row r="13568" spans="1:24">
      <c r="A13568">
        <f>HYPERLINK("https://www.philgeps.gov.ph/GEPSNONPILOT/Tender/SplashBidNoticeAbstractUI.aspx?menuIndex=3&amp;refID=7016199&amp;Result=3","7016199")</f>
        <v>0</v>
      </c>
      <c r="B13568" t="s">
        <v>1786</v>
      </c>
      <c r="C13568" t="s">
        <v>16185</v>
      </c>
      <c r="D13568" t="s">
        <v>18079</v>
      </c>
      <c r="E13568" t="s">
        <v>29851</v>
      </c>
      <c r="F13568" t="s">
        <v>31574</v>
      </c>
      <c r="G13568" t="s">
        <v>31582</v>
      </c>
      <c r="H13568" t="s">
        <v>31591</v>
      </c>
      <c r="I13568" t="s">
        <v>8822</v>
      </c>
      <c r="J13568" t="s">
        <v>33445</v>
      </c>
      <c r="K13568" t="s">
        <v>41403</v>
      </c>
      <c r="M13568" t="s">
        <v>43416</v>
      </c>
      <c r="N13568" t="s">
        <v>45095</v>
      </c>
      <c r="O13568" t="s">
        <v>45096</v>
      </c>
      <c r="Q13568">
        <v>1</v>
      </c>
      <c r="R13568" t="s">
        <v>45115</v>
      </c>
      <c r="S13568" t="s">
        <v>45898</v>
      </c>
      <c r="T13568" t="s">
        <v>46979</v>
      </c>
      <c r="U13568" t="s">
        <v>58434</v>
      </c>
      <c r="W13568" t="s">
        <v>43416</v>
      </c>
      <c r="X13568" t="s">
        <v>45116</v>
      </c>
    </row>
    <row r="13569" spans="1:24">
      <c r="A13569">
        <f>HYPERLINK("https://www.philgeps.gov.ph/GEPSNONPILOT/Tender/SplashBidNoticeAbstractUI.aspx?menuIndex=3&amp;refID=7016230&amp;Result=3","7016230")</f>
        <v>0</v>
      </c>
      <c r="B13569" t="s">
        <v>462</v>
      </c>
      <c r="C13569" t="s">
        <v>16186</v>
      </c>
      <c r="D13569" t="s">
        <v>18033</v>
      </c>
      <c r="E13569" t="s">
        <v>29852</v>
      </c>
      <c r="F13569" t="s">
        <v>31574</v>
      </c>
      <c r="G13569" t="s">
        <v>31582</v>
      </c>
      <c r="H13569" t="s">
        <v>31590</v>
      </c>
      <c r="I13569" t="s">
        <v>14544</v>
      </c>
      <c r="J13569" t="s">
        <v>40076</v>
      </c>
      <c r="K13569" t="s">
        <v>41192</v>
      </c>
      <c r="M13569" t="s">
        <v>41956</v>
      </c>
      <c r="N13569" t="s">
        <v>45095</v>
      </c>
      <c r="O13569" t="s">
        <v>45096</v>
      </c>
      <c r="P13569">
        <v>0</v>
      </c>
      <c r="Q13569">
        <v>1</v>
      </c>
      <c r="R13569" t="s">
        <v>45115</v>
      </c>
      <c r="S13569" t="s">
        <v>45845</v>
      </c>
      <c r="T13569" t="s">
        <v>47159</v>
      </c>
      <c r="U13569" t="s">
        <v>58435</v>
      </c>
      <c r="V13569" t="s">
        <v>61343</v>
      </c>
      <c r="W13569" t="s">
        <v>41956</v>
      </c>
      <c r="X13569" t="s">
        <v>45116</v>
      </c>
    </row>
    <row r="13570" spans="1:24">
      <c r="A13570">
        <f>HYPERLINK("https://www.philgeps.gov.ph/GEPSNONPILOT/Tender/SplashBidNoticeAbstractUI.aspx?menuIndex=3&amp;refID=7016218&amp;Result=3","7016218")</f>
        <v>0</v>
      </c>
      <c r="B13570" t="s">
        <v>1978</v>
      </c>
      <c r="C13570" t="s">
        <v>16187</v>
      </c>
      <c r="D13570" t="s">
        <v>18079</v>
      </c>
      <c r="E13570" t="s">
        <v>29853</v>
      </c>
      <c r="F13570" t="s">
        <v>31574</v>
      </c>
      <c r="G13570" t="s">
        <v>31588</v>
      </c>
      <c r="H13570" t="s">
        <v>31591</v>
      </c>
      <c r="I13570" t="s">
        <v>8822</v>
      </c>
      <c r="J13570" t="s">
        <v>33301</v>
      </c>
      <c r="K13570" t="s">
        <v>41244</v>
      </c>
      <c r="M13570" t="s">
        <v>43635</v>
      </c>
      <c r="N13570" t="s">
        <v>45095</v>
      </c>
      <c r="O13570" t="s">
        <v>45096</v>
      </c>
      <c r="Q13570">
        <v>4</v>
      </c>
      <c r="R13570" t="s">
        <v>45115</v>
      </c>
      <c r="S13570" t="s">
        <v>45899</v>
      </c>
      <c r="T13570" t="s">
        <v>47159</v>
      </c>
      <c r="U13570" t="s">
        <v>49578</v>
      </c>
      <c r="W13570" t="s">
        <v>43635</v>
      </c>
      <c r="X13570" t="s">
        <v>45116</v>
      </c>
    </row>
    <row r="13571" spans="1:24">
      <c r="A13571">
        <f>HYPERLINK("https://www.philgeps.gov.ph/GEPSNONPILOT/Tender/SplashBidNoticeAbstractUI.aspx?menuIndex=3&amp;refID=7016206&amp;Result=3","7016206")</f>
        <v>0</v>
      </c>
      <c r="B13571" t="s">
        <v>1786</v>
      </c>
      <c r="C13571" t="s">
        <v>16188</v>
      </c>
      <c r="D13571" t="s">
        <v>18079</v>
      </c>
      <c r="E13571" t="s">
        <v>29854</v>
      </c>
      <c r="F13571" t="s">
        <v>31574</v>
      </c>
      <c r="G13571" t="s">
        <v>31582</v>
      </c>
      <c r="H13571" t="s">
        <v>31591</v>
      </c>
      <c r="I13571" t="s">
        <v>8822</v>
      </c>
      <c r="J13571" t="s">
        <v>34707</v>
      </c>
      <c r="K13571" t="s">
        <v>41470</v>
      </c>
      <c r="M13571" t="s">
        <v>43416</v>
      </c>
      <c r="N13571" t="s">
        <v>45095</v>
      </c>
      <c r="O13571" t="s">
        <v>45096</v>
      </c>
      <c r="Q13571">
        <v>1</v>
      </c>
      <c r="R13571" t="s">
        <v>45115</v>
      </c>
      <c r="S13571" t="s">
        <v>45900</v>
      </c>
      <c r="T13571" t="s">
        <v>46979</v>
      </c>
      <c r="U13571" t="s">
        <v>58436</v>
      </c>
      <c r="W13571" t="s">
        <v>43416</v>
      </c>
      <c r="X13571" t="s">
        <v>45116</v>
      </c>
    </row>
    <row r="13572" spans="1:24">
      <c r="A13572">
        <f>HYPERLINK("https://www.philgeps.gov.ph/GEPSNONPILOT/Tender/SplashBidNoticeAbstractUI.aspx?menuIndex=3&amp;refID=7016176&amp;Result=3","7016176")</f>
        <v>0</v>
      </c>
      <c r="B13572" t="s">
        <v>2291</v>
      </c>
      <c r="C13572" t="s">
        <v>16189</v>
      </c>
      <c r="D13572" t="s">
        <v>18079</v>
      </c>
      <c r="E13572" t="s">
        <v>29855</v>
      </c>
      <c r="F13572" t="s">
        <v>31574</v>
      </c>
      <c r="G13572" t="s">
        <v>31582</v>
      </c>
      <c r="H13572" t="s">
        <v>31592</v>
      </c>
      <c r="I13572" t="s">
        <v>31623</v>
      </c>
      <c r="J13572" t="s">
        <v>40077</v>
      </c>
      <c r="K13572" t="s">
        <v>41225</v>
      </c>
      <c r="M13572" t="s">
        <v>44000</v>
      </c>
      <c r="N13572" t="s">
        <v>45095</v>
      </c>
      <c r="O13572" t="s">
        <v>45096</v>
      </c>
      <c r="Q13572">
        <v>0</v>
      </c>
      <c r="R13572" t="s">
        <v>45115</v>
      </c>
      <c r="S13572" t="s">
        <v>45901</v>
      </c>
      <c r="T13572" t="s">
        <v>46911</v>
      </c>
      <c r="U13572" t="s">
        <v>58437</v>
      </c>
      <c r="W13572" t="s">
        <v>44000</v>
      </c>
      <c r="X13572" t="s">
        <v>45116</v>
      </c>
    </row>
    <row r="13573" spans="1:24">
      <c r="A13573">
        <f>HYPERLINK("https://www.philgeps.gov.ph/GEPSNONPILOT/Tender/SplashBidNoticeAbstractUI.aspx?menuIndex=3&amp;refID=7016261&amp;Result=3","7016261")</f>
        <v>0</v>
      </c>
      <c r="B13573" t="s">
        <v>877</v>
      </c>
      <c r="C13573" t="s">
        <v>16190</v>
      </c>
      <c r="D13573" t="s">
        <v>18096</v>
      </c>
      <c r="E13573" t="s">
        <v>29856</v>
      </c>
      <c r="F13573" t="s">
        <v>31574</v>
      </c>
      <c r="G13573" t="s">
        <v>31582</v>
      </c>
      <c r="H13573" t="s">
        <v>31590</v>
      </c>
      <c r="I13573" t="s">
        <v>4046</v>
      </c>
      <c r="J13573" t="s">
        <v>34213</v>
      </c>
      <c r="K13573" t="s">
        <v>41196</v>
      </c>
      <c r="M13573" t="s">
        <v>42398</v>
      </c>
      <c r="N13573" t="s">
        <v>45095</v>
      </c>
      <c r="O13573" t="s">
        <v>45096</v>
      </c>
      <c r="P13573">
        <v>0</v>
      </c>
      <c r="Q13573">
        <v>1</v>
      </c>
      <c r="R13573" t="s">
        <v>45115</v>
      </c>
      <c r="S13573" t="s">
        <v>45845</v>
      </c>
      <c r="T13573" t="s">
        <v>46973</v>
      </c>
      <c r="U13573" t="s">
        <v>58438</v>
      </c>
      <c r="W13573" t="s">
        <v>42398</v>
      </c>
      <c r="X13573" t="s">
        <v>45116</v>
      </c>
    </row>
    <row r="13574" spans="1:24">
      <c r="A13574">
        <f>HYPERLINK("https://www.philgeps.gov.ph/GEPSNONPILOT/Tender/SplashBidNoticeAbstractUI.aspx?menuIndex=3&amp;refID=7016241&amp;Result=3","7016241")</f>
        <v>0</v>
      </c>
      <c r="B13574" t="s">
        <v>1926</v>
      </c>
      <c r="C13574" t="s">
        <v>16191</v>
      </c>
      <c r="D13574" t="s">
        <v>18099</v>
      </c>
      <c r="E13574" t="s">
        <v>29857</v>
      </c>
      <c r="F13574" t="s">
        <v>31574</v>
      </c>
      <c r="G13574" t="s">
        <v>31582</v>
      </c>
      <c r="H13574" t="s">
        <v>31591</v>
      </c>
      <c r="I13574" t="s">
        <v>8822</v>
      </c>
      <c r="J13574" t="s">
        <v>40078</v>
      </c>
      <c r="K13574" t="s">
        <v>41202</v>
      </c>
      <c r="M13574" t="s">
        <v>43578</v>
      </c>
      <c r="N13574" t="s">
        <v>45095</v>
      </c>
      <c r="O13574" t="s">
        <v>45096</v>
      </c>
      <c r="Q13574">
        <v>1</v>
      </c>
      <c r="R13574" t="s">
        <v>45115</v>
      </c>
      <c r="S13574" t="s">
        <v>45902</v>
      </c>
      <c r="T13574" t="s">
        <v>46918</v>
      </c>
      <c r="U13574" t="s">
        <v>58439</v>
      </c>
      <c r="V13574" t="s">
        <v>61344</v>
      </c>
      <c r="W13574" t="s">
        <v>43578</v>
      </c>
      <c r="X13574" t="s">
        <v>45116</v>
      </c>
    </row>
    <row r="13575" spans="1:24">
      <c r="A13575">
        <f>HYPERLINK("https://www.philgeps.gov.ph/GEPSNONPILOT/Tender/SplashBidNoticeAbstractUI.aspx?menuIndex=3&amp;refID=7016267&amp;Result=3","7016267")</f>
        <v>0</v>
      </c>
      <c r="B13575" t="s">
        <v>877</v>
      </c>
      <c r="C13575" t="s">
        <v>16192</v>
      </c>
      <c r="D13575" t="s">
        <v>18096</v>
      </c>
      <c r="E13575" t="s">
        <v>29858</v>
      </c>
      <c r="F13575" t="s">
        <v>31574</v>
      </c>
      <c r="G13575" t="s">
        <v>31582</v>
      </c>
      <c r="H13575" t="s">
        <v>31590</v>
      </c>
      <c r="I13575" t="s">
        <v>4046</v>
      </c>
      <c r="J13575" t="s">
        <v>40079</v>
      </c>
      <c r="K13575" t="s">
        <v>41196</v>
      </c>
      <c r="M13575" t="s">
        <v>42398</v>
      </c>
      <c r="N13575" t="s">
        <v>45095</v>
      </c>
      <c r="O13575" t="s">
        <v>45096</v>
      </c>
      <c r="P13575">
        <v>0</v>
      </c>
      <c r="Q13575">
        <v>0</v>
      </c>
      <c r="R13575" t="s">
        <v>45115</v>
      </c>
      <c r="S13575" t="s">
        <v>45845</v>
      </c>
      <c r="T13575" t="s">
        <v>46973</v>
      </c>
      <c r="U13575" t="s">
        <v>58440</v>
      </c>
      <c r="W13575" t="s">
        <v>42398</v>
      </c>
      <c r="X13575" t="s">
        <v>45116</v>
      </c>
    </row>
    <row r="13576" spans="1:24">
      <c r="A13576">
        <f>HYPERLINK("https://www.philgeps.gov.ph/GEPSNONPILOT/Tender/SplashBidNoticeAbstractUI.aspx?menuIndex=3&amp;refID=7016190&amp;Result=3","7016190")</f>
        <v>0</v>
      </c>
      <c r="B13576" t="s">
        <v>1786</v>
      </c>
      <c r="C13576" t="s">
        <v>16193</v>
      </c>
      <c r="D13576" t="s">
        <v>18079</v>
      </c>
      <c r="E13576" t="s">
        <v>29859</v>
      </c>
      <c r="F13576" t="s">
        <v>31574</v>
      </c>
      <c r="G13576" t="s">
        <v>31582</v>
      </c>
      <c r="H13576" t="s">
        <v>31591</v>
      </c>
      <c r="I13576" t="s">
        <v>8822</v>
      </c>
      <c r="J13576" t="s">
        <v>33252</v>
      </c>
      <c r="K13576" t="s">
        <v>41200</v>
      </c>
      <c r="M13576" t="s">
        <v>43416</v>
      </c>
      <c r="N13576" t="s">
        <v>45095</v>
      </c>
      <c r="O13576" t="s">
        <v>45096</v>
      </c>
      <c r="P13576">
        <v>0</v>
      </c>
      <c r="Q13576">
        <v>0</v>
      </c>
      <c r="R13576" t="s">
        <v>45115</v>
      </c>
      <c r="S13576" t="s">
        <v>45845</v>
      </c>
      <c r="T13576" t="s">
        <v>46979</v>
      </c>
      <c r="U13576" t="s">
        <v>58441</v>
      </c>
      <c r="W13576" t="s">
        <v>43416</v>
      </c>
      <c r="X13576" t="s">
        <v>45116</v>
      </c>
    </row>
    <row r="13577" spans="1:24">
      <c r="A13577">
        <f>HYPERLINK("https://www.philgeps.gov.ph/GEPSNONPILOT/Tender/SplashBidNoticeAbstractUI.aspx?menuIndex=3&amp;refID=7016211&amp;Result=3","7016211")</f>
        <v>0</v>
      </c>
      <c r="B13577" t="s">
        <v>1871</v>
      </c>
      <c r="C13577" t="s">
        <v>16194</v>
      </c>
      <c r="D13577" t="s">
        <v>18037</v>
      </c>
      <c r="E13577" t="s">
        <v>29860</v>
      </c>
      <c r="F13577" t="s">
        <v>31574</v>
      </c>
      <c r="G13577" t="s">
        <v>31582</v>
      </c>
      <c r="H13577" t="s">
        <v>31591</v>
      </c>
      <c r="I13577" t="s">
        <v>8822</v>
      </c>
      <c r="J13577" t="s">
        <v>32001</v>
      </c>
      <c r="K13577" t="s">
        <v>41185</v>
      </c>
      <c r="M13577" t="s">
        <v>43641</v>
      </c>
      <c r="N13577" t="s">
        <v>45095</v>
      </c>
      <c r="O13577" t="s">
        <v>45096</v>
      </c>
      <c r="P13577">
        <v>0</v>
      </c>
      <c r="Q13577">
        <v>0</v>
      </c>
      <c r="R13577" t="s">
        <v>45115</v>
      </c>
      <c r="S13577" t="s">
        <v>45845</v>
      </c>
      <c r="T13577" t="s">
        <v>47183</v>
      </c>
      <c r="U13577" t="s">
        <v>58442</v>
      </c>
      <c r="W13577" t="s">
        <v>43641</v>
      </c>
      <c r="X13577" t="s">
        <v>45116</v>
      </c>
    </row>
    <row r="13578" spans="1:24">
      <c r="A13578">
        <f>HYPERLINK("https://www.philgeps.gov.ph/GEPSNONPILOT/Tender/SplashBidNoticeAbstractUI.aspx?menuIndex=3&amp;refID=7016207&amp;Result=3","7016207")</f>
        <v>0</v>
      </c>
      <c r="B13578" t="s">
        <v>1032</v>
      </c>
      <c r="C13578" t="s">
        <v>16195</v>
      </c>
      <c r="E13578" t="s">
        <v>29861</v>
      </c>
      <c r="F13578" t="s">
        <v>31574</v>
      </c>
      <c r="G13578" t="s">
        <v>31582</v>
      </c>
      <c r="H13578" t="s">
        <v>31590</v>
      </c>
      <c r="I13578" t="s">
        <v>31594</v>
      </c>
      <c r="J13578" t="s">
        <v>32504</v>
      </c>
      <c r="K13578" t="s">
        <v>41192</v>
      </c>
      <c r="M13578" t="s">
        <v>42573</v>
      </c>
      <c r="N13578" t="s">
        <v>45095</v>
      </c>
      <c r="O13578" t="s">
        <v>45096</v>
      </c>
      <c r="P13578">
        <v>0</v>
      </c>
      <c r="Q13578">
        <v>28</v>
      </c>
      <c r="R13578" t="s">
        <v>45115</v>
      </c>
      <c r="S13578" t="s">
        <v>45845</v>
      </c>
      <c r="T13578" t="s">
        <v>47134</v>
      </c>
      <c r="U13578" t="s">
        <v>58443</v>
      </c>
      <c r="W13578" t="s">
        <v>42573</v>
      </c>
      <c r="X13578" t="s">
        <v>45116</v>
      </c>
    </row>
    <row r="13579" spans="1:24">
      <c r="A13579">
        <f>HYPERLINK("https://www.philgeps.gov.ph/GEPSNONPILOT/Tender/SplashBidNoticeAbstractUI.aspx?menuIndex=3&amp;refID=7016271&amp;Result=3","7016271")</f>
        <v>0</v>
      </c>
      <c r="B13579" t="s">
        <v>877</v>
      </c>
      <c r="C13579" t="s">
        <v>16196</v>
      </c>
      <c r="D13579" t="s">
        <v>18096</v>
      </c>
      <c r="E13579" t="s">
        <v>29862</v>
      </c>
      <c r="F13579" t="s">
        <v>31574</v>
      </c>
      <c r="G13579" t="s">
        <v>31582</v>
      </c>
      <c r="H13579" t="s">
        <v>31590</v>
      </c>
      <c r="I13579" t="s">
        <v>31602</v>
      </c>
      <c r="J13579" t="s">
        <v>40080</v>
      </c>
      <c r="K13579" t="s">
        <v>41196</v>
      </c>
      <c r="M13579" t="s">
        <v>42398</v>
      </c>
      <c r="N13579" t="s">
        <v>45095</v>
      </c>
      <c r="O13579" t="s">
        <v>45096</v>
      </c>
      <c r="P13579">
        <v>0</v>
      </c>
      <c r="Q13579">
        <v>0</v>
      </c>
      <c r="R13579" t="s">
        <v>45115</v>
      </c>
      <c r="S13579" t="s">
        <v>45845</v>
      </c>
      <c r="T13579" t="s">
        <v>46973</v>
      </c>
      <c r="U13579" t="s">
        <v>58444</v>
      </c>
      <c r="W13579" t="s">
        <v>42398</v>
      </c>
      <c r="X13579" t="s">
        <v>45116</v>
      </c>
    </row>
    <row r="13580" spans="1:24">
      <c r="A13580">
        <f>HYPERLINK("https://www.philgeps.gov.ph/GEPSNONPILOT/Tender/SplashBidNoticeAbstractUI.aspx?menuIndex=3&amp;refID=7016263&amp;Result=3","7016263")</f>
        <v>0</v>
      </c>
      <c r="B13580" t="s">
        <v>3051</v>
      </c>
      <c r="C13580" t="s">
        <v>7245</v>
      </c>
      <c r="D13580" t="s">
        <v>18071</v>
      </c>
      <c r="E13580" t="s">
        <v>29863</v>
      </c>
      <c r="F13580" t="s">
        <v>31574</v>
      </c>
      <c r="G13580" t="s">
        <v>31588</v>
      </c>
      <c r="H13580" t="s">
        <v>31590</v>
      </c>
      <c r="I13580" t="s">
        <v>31596</v>
      </c>
      <c r="J13580" t="s">
        <v>40081</v>
      </c>
      <c r="K13580" t="s">
        <v>41210</v>
      </c>
      <c r="M13580" t="s">
        <v>44887</v>
      </c>
      <c r="N13580" t="s">
        <v>45095</v>
      </c>
      <c r="O13580" t="s">
        <v>45096</v>
      </c>
      <c r="P13580">
        <v>0</v>
      </c>
      <c r="Q13580">
        <v>3</v>
      </c>
      <c r="R13580" t="s">
        <v>45115</v>
      </c>
      <c r="S13580" t="s">
        <v>45845</v>
      </c>
      <c r="T13580" t="s">
        <v>46934</v>
      </c>
      <c r="U13580" t="s">
        <v>58445</v>
      </c>
      <c r="W13580" t="s">
        <v>44887</v>
      </c>
      <c r="X13580" t="s">
        <v>45116</v>
      </c>
    </row>
    <row r="13581" spans="1:24">
      <c r="A13581">
        <f>HYPERLINK("https://www.philgeps.gov.ph/GEPSNONPILOT/Tender/SplashBidNoticeAbstractUI.aspx?menuIndex=3&amp;refID=7016296&amp;Result=3","7016296")</f>
        <v>0</v>
      </c>
      <c r="B13581" t="s">
        <v>2689</v>
      </c>
      <c r="C13581" t="s">
        <v>16197</v>
      </c>
      <c r="D13581" t="s">
        <v>18027</v>
      </c>
      <c r="E13581" t="s">
        <v>29864</v>
      </c>
      <c r="F13581" t="s">
        <v>31574</v>
      </c>
      <c r="G13581" t="s">
        <v>31582</v>
      </c>
      <c r="H13581" t="s">
        <v>31591</v>
      </c>
      <c r="I13581" t="s">
        <v>8822</v>
      </c>
      <c r="J13581" t="s">
        <v>34360</v>
      </c>
      <c r="K13581" t="s">
        <v>41419</v>
      </c>
      <c r="M13581" t="s">
        <v>44454</v>
      </c>
      <c r="N13581" t="s">
        <v>45095</v>
      </c>
      <c r="O13581" t="s">
        <v>45096</v>
      </c>
      <c r="P13581">
        <v>0</v>
      </c>
      <c r="Q13581">
        <v>13</v>
      </c>
      <c r="R13581" t="s">
        <v>45115</v>
      </c>
      <c r="S13581" t="s">
        <v>45845</v>
      </c>
      <c r="T13581" t="s">
        <v>46963</v>
      </c>
      <c r="U13581" t="s">
        <v>58446</v>
      </c>
      <c r="V13581" t="s">
        <v>61345</v>
      </c>
      <c r="W13581" t="s">
        <v>44454</v>
      </c>
      <c r="X13581" t="s">
        <v>45116</v>
      </c>
    </row>
    <row r="13582" spans="1:24">
      <c r="A13582">
        <f>HYPERLINK("https://www.philgeps.gov.ph/GEPSNONPILOT/Tender/SplashBidNoticeAbstractUI.aspx?menuIndex=3&amp;refID=7016277&amp;Result=3","7016277")</f>
        <v>0</v>
      </c>
      <c r="B13582" t="s">
        <v>1978</v>
      </c>
      <c r="C13582" t="s">
        <v>16198</v>
      </c>
      <c r="D13582" t="s">
        <v>18079</v>
      </c>
      <c r="E13582" t="s">
        <v>29865</v>
      </c>
      <c r="F13582" t="s">
        <v>31574</v>
      </c>
      <c r="G13582" t="s">
        <v>31588</v>
      </c>
      <c r="H13582" t="s">
        <v>31591</v>
      </c>
      <c r="I13582" t="s">
        <v>8822</v>
      </c>
      <c r="J13582" t="s">
        <v>34070</v>
      </c>
      <c r="K13582" t="s">
        <v>41244</v>
      </c>
      <c r="M13582" t="s">
        <v>43635</v>
      </c>
      <c r="N13582" t="s">
        <v>45095</v>
      </c>
      <c r="O13582" t="s">
        <v>45096</v>
      </c>
      <c r="Q13582">
        <v>3</v>
      </c>
      <c r="R13582" t="s">
        <v>45115</v>
      </c>
      <c r="S13582" t="s">
        <v>45903</v>
      </c>
      <c r="T13582" t="s">
        <v>47159</v>
      </c>
      <c r="U13582" t="s">
        <v>49578</v>
      </c>
      <c r="W13582" t="s">
        <v>43635</v>
      </c>
      <c r="X13582" t="s">
        <v>45116</v>
      </c>
    </row>
    <row r="13583" spans="1:24">
      <c r="A13583">
        <f>HYPERLINK("https://www.philgeps.gov.ph/GEPSNONPILOT/Tender/SplashBidNoticeAbstractUI.aspx?menuIndex=3&amp;refID=7016294&amp;Result=3","7016294")</f>
        <v>0</v>
      </c>
      <c r="B13583" t="s">
        <v>1978</v>
      </c>
      <c r="C13583" t="s">
        <v>16199</v>
      </c>
      <c r="D13583" t="s">
        <v>18079</v>
      </c>
      <c r="E13583" t="s">
        <v>29866</v>
      </c>
      <c r="F13583" t="s">
        <v>31574</v>
      </c>
      <c r="G13583" t="s">
        <v>31588</v>
      </c>
      <c r="H13583" t="s">
        <v>31591</v>
      </c>
      <c r="I13583" t="s">
        <v>8822</v>
      </c>
      <c r="J13583" t="s">
        <v>34070</v>
      </c>
      <c r="K13583" t="s">
        <v>41244</v>
      </c>
      <c r="M13583" t="s">
        <v>43635</v>
      </c>
      <c r="N13583" t="s">
        <v>45095</v>
      </c>
      <c r="O13583" t="s">
        <v>45096</v>
      </c>
      <c r="Q13583">
        <v>2</v>
      </c>
      <c r="R13583" t="s">
        <v>45115</v>
      </c>
      <c r="S13583" t="s">
        <v>45904</v>
      </c>
      <c r="T13583" t="s">
        <v>47159</v>
      </c>
      <c r="U13583" t="s">
        <v>49578</v>
      </c>
      <c r="W13583" t="s">
        <v>43635</v>
      </c>
      <c r="X13583" t="s">
        <v>45116</v>
      </c>
    </row>
    <row r="13584" spans="1:24">
      <c r="A13584">
        <f>HYPERLINK("https://www.philgeps.gov.ph/GEPSNONPILOT/Tender/SplashBidNoticeAbstractUI.aspx?menuIndex=3&amp;refID=7016309&amp;Result=3","7016309")</f>
        <v>0</v>
      </c>
      <c r="B13584" t="s">
        <v>2003</v>
      </c>
      <c r="C13584" t="s">
        <v>16200</v>
      </c>
      <c r="D13584" t="s">
        <v>18022</v>
      </c>
      <c r="E13584" t="s">
        <v>29867</v>
      </c>
      <c r="F13584" t="s">
        <v>31574</v>
      </c>
      <c r="G13584" t="s">
        <v>31582</v>
      </c>
      <c r="H13584" t="s">
        <v>31591</v>
      </c>
      <c r="I13584" t="s">
        <v>8822</v>
      </c>
      <c r="J13584" t="s">
        <v>40082</v>
      </c>
      <c r="K13584" t="s">
        <v>41235</v>
      </c>
      <c r="M13584" t="s">
        <v>43665</v>
      </c>
      <c r="N13584" t="s">
        <v>45095</v>
      </c>
      <c r="O13584" t="s">
        <v>45096</v>
      </c>
      <c r="Q13584">
        <v>56</v>
      </c>
      <c r="R13584" t="s">
        <v>45115</v>
      </c>
      <c r="S13584" t="s">
        <v>45905</v>
      </c>
      <c r="T13584" t="s">
        <v>46973</v>
      </c>
      <c r="U13584" t="s">
        <v>52971</v>
      </c>
      <c r="W13584" t="s">
        <v>43665</v>
      </c>
      <c r="X13584" t="s">
        <v>45116</v>
      </c>
    </row>
    <row r="13585" spans="1:24">
      <c r="A13585">
        <f>HYPERLINK("https://www.philgeps.gov.ph/GEPSNONPILOT/Tender/SplashBidNoticeAbstractUI.aspx?menuIndex=3&amp;refID=7016287&amp;Result=3","7016287")</f>
        <v>0</v>
      </c>
      <c r="B13585" t="s">
        <v>877</v>
      </c>
      <c r="C13585" t="s">
        <v>16201</v>
      </c>
      <c r="D13585" t="s">
        <v>18096</v>
      </c>
      <c r="E13585" t="s">
        <v>29868</v>
      </c>
      <c r="F13585" t="s">
        <v>31574</v>
      </c>
      <c r="G13585" t="s">
        <v>31582</v>
      </c>
      <c r="H13585" t="s">
        <v>31591</v>
      </c>
      <c r="I13585" t="s">
        <v>8822</v>
      </c>
      <c r="J13585" t="s">
        <v>35362</v>
      </c>
      <c r="K13585" t="s">
        <v>41209</v>
      </c>
      <c r="M13585" t="s">
        <v>42398</v>
      </c>
      <c r="N13585" t="s">
        <v>45095</v>
      </c>
      <c r="O13585" t="s">
        <v>45096</v>
      </c>
      <c r="P13585">
        <v>0</v>
      </c>
      <c r="Q13585">
        <v>1</v>
      </c>
      <c r="R13585" t="s">
        <v>45115</v>
      </c>
      <c r="S13585" t="s">
        <v>45845</v>
      </c>
      <c r="T13585" t="s">
        <v>47064</v>
      </c>
      <c r="U13585" t="s">
        <v>58447</v>
      </c>
      <c r="W13585" t="s">
        <v>42398</v>
      </c>
      <c r="X13585" t="s">
        <v>45116</v>
      </c>
    </row>
    <row r="13586" spans="1:24">
      <c r="A13586">
        <f>HYPERLINK("https://www.philgeps.gov.ph/GEPSNONPILOT/Tender/SplashBidNoticeAbstractUI.aspx?menuIndex=3&amp;refID=7016295&amp;Result=3","7016295")</f>
        <v>0</v>
      </c>
      <c r="B13586" t="s">
        <v>877</v>
      </c>
      <c r="C13586" t="s">
        <v>16202</v>
      </c>
      <c r="D13586" t="s">
        <v>18096</v>
      </c>
      <c r="E13586" t="s">
        <v>29869</v>
      </c>
      <c r="F13586" t="s">
        <v>31574</v>
      </c>
      <c r="G13586" t="s">
        <v>31582</v>
      </c>
      <c r="H13586" t="s">
        <v>31591</v>
      </c>
      <c r="I13586" t="s">
        <v>8822</v>
      </c>
      <c r="J13586" t="s">
        <v>33445</v>
      </c>
      <c r="K13586" t="s">
        <v>41209</v>
      </c>
      <c r="M13586" t="s">
        <v>42398</v>
      </c>
      <c r="N13586" t="s">
        <v>45095</v>
      </c>
      <c r="O13586" t="s">
        <v>45096</v>
      </c>
      <c r="P13586">
        <v>0</v>
      </c>
      <c r="Q13586">
        <v>1</v>
      </c>
      <c r="R13586" t="s">
        <v>45115</v>
      </c>
      <c r="S13586" t="s">
        <v>45845</v>
      </c>
      <c r="T13586" t="s">
        <v>47064</v>
      </c>
      <c r="U13586" t="s">
        <v>58448</v>
      </c>
      <c r="W13586" t="s">
        <v>42398</v>
      </c>
      <c r="X13586" t="s">
        <v>45116</v>
      </c>
    </row>
    <row r="13587" spans="1:24">
      <c r="A13587">
        <f>HYPERLINK("https://www.philgeps.gov.ph/GEPSNONPILOT/Tender/SplashBidNoticeAbstractUI.aspx?menuIndex=3&amp;refID=7016279&amp;Result=3","7016279")</f>
        <v>0</v>
      </c>
      <c r="B13587" t="s">
        <v>877</v>
      </c>
      <c r="C13587" t="s">
        <v>16203</v>
      </c>
      <c r="D13587" t="s">
        <v>18096</v>
      </c>
      <c r="E13587" t="s">
        <v>29870</v>
      </c>
      <c r="F13587" t="s">
        <v>31574</v>
      </c>
      <c r="G13587" t="s">
        <v>31582</v>
      </c>
      <c r="H13587" t="s">
        <v>31591</v>
      </c>
      <c r="I13587" t="s">
        <v>8822</v>
      </c>
      <c r="J13587" t="s">
        <v>34707</v>
      </c>
      <c r="K13587" t="s">
        <v>41448</v>
      </c>
      <c r="M13587" t="s">
        <v>42398</v>
      </c>
      <c r="N13587" t="s">
        <v>45095</v>
      </c>
      <c r="O13587" t="s">
        <v>45096</v>
      </c>
      <c r="P13587">
        <v>0</v>
      </c>
      <c r="Q13587">
        <v>0</v>
      </c>
      <c r="R13587" t="s">
        <v>45115</v>
      </c>
      <c r="S13587" t="s">
        <v>45845</v>
      </c>
      <c r="T13587" t="s">
        <v>47064</v>
      </c>
      <c r="U13587" t="s">
        <v>58449</v>
      </c>
      <c r="W13587" t="s">
        <v>42398</v>
      </c>
      <c r="X13587" t="s">
        <v>45116</v>
      </c>
    </row>
    <row r="13588" spans="1:24">
      <c r="A13588">
        <f>HYPERLINK("https://www.philgeps.gov.ph/GEPSNONPILOT/Tender/SplashBidNoticeAbstractUI.aspx?menuIndex=3&amp;refID=7016283&amp;Result=3","7016283")</f>
        <v>0</v>
      </c>
      <c r="B13588" t="s">
        <v>877</v>
      </c>
      <c r="C13588" t="s">
        <v>16204</v>
      </c>
      <c r="D13588" t="s">
        <v>18096</v>
      </c>
      <c r="E13588" t="s">
        <v>29871</v>
      </c>
      <c r="F13588" t="s">
        <v>31574</v>
      </c>
      <c r="G13588" t="s">
        <v>31582</v>
      </c>
      <c r="H13588" t="s">
        <v>31591</v>
      </c>
      <c r="I13588" t="s">
        <v>8822</v>
      </c>
      <c r="J13588" t="s">
        <v>34707</v>
      </c>
      <c r="K13588" t="s">
        <v>41448</v>
      </c>
      <c r="M13588" t="s">
        <v>42398</v>
      </c>
      <c r="N13588" t="s">
        <v>45095</v>
      </c>
      <c r="O13588" t="s">
        <v>45096</v>
      </c>
      <c r="P13588">
        <v>0</v>
      </c>
      <c r="Q13588">
        <v>1</v>
      </c>
      <c r="R13588" t="s">
        <v>45115</v>
      </c>
      <c r="S13588" t="s">
        <v>45845</v>
      </c>
      <c r="T13588" t="s">
        <v>47064</v>
      </c>
      <c r="U13588" t="s">
        <v>58450</v>
      </c>
      <c r="W13588" t="s">
        <v>42398</v>
      </c>
      <c r="X13588" t="s">
        <v>45116</v>
      </c>
    </row>
    <row r="13589" spans="1:24">
      <c r="A13589">
        <f>HYPERLINK("https://www.philgeps.gov.ph/GEPSNONPILOT/Tender/SplashBidNoticeAbstractUI.aspx?menuIndex=3&amp;refID=7016315&amp;Result=3","7016315")</f>
        <v>0</v>
      </c>
      <c r="B13589" t="s">
        <v>2003</v>
      </c>
      <c r="C13589" t="s">
        <v>16205</v>
      </c>
      <c r="D13589" t="s">
        <v>18022</v>
      </c>
      <c r="E13589" t="s">
        <v>24377</v>
      </c>
      <c r="F13589" t="s">
        <v>31574</v>
      </c>
      <c r="G13589" t="s">
        <v>31582</v>
      </c>
      <c r="H13589" t="s">
        <v>31591</v>
      </c>
      <c r="I13589" t="s">
        <v>8822</v>
      </c>
      <c r="J13589" t="s">
        <v>40083</v>
      </c>
      <c r="K13589" t="s">
        <v>41198</v>
      </c>
      <c r="M13589" t="s">
        <v>43665</v>
      </c>
      <c r="N13589" t="s">
        <v>45095</v>
      </c>
      <c r="O13589" t="s">
        <v>45096</v>
      </c>
      <c r="Q13589">
        <v>49</v>
      </c>
      <c r="R13589" t="s">
        <v>45115</v>
      </c>
      <c r="S13589" t="s">
        <v>45906</v>
      </c>
      <c r="T13589" t="s">
        <v>46973</v>
      </c>
      <c r="U13589" t="s">
        <v>52971</v>
      </c>
      <c r="W13589" t="s">
        <v>43665</v>
      </c>
      <c r="X13589" t="s">
        <v>45116</v>
      </c>
    </row>
    <row r="13590" spans="1:24">
      <c r="A13590">
        <f>HYPERLINK("https://www.philgeps.gov.ph/GEPSNONPILOT/Tender/SplashBidNoticeAbstractUI.aspx?menuIndex=3&amp;refID=7016278&amp;Result=3","7016278")</f>
        <v>0</v>
      </c>
      <c r="B13590" t="s">
        <v>447</v>
      </c>
      <c r="C13590" t="s">
        <v>16206</v>
      </c>
      <c r="D13590" t="s">
        <v>18044</v>
      </c>
      <c r="E13590" t="s">
        <v>29872</v>
      </c>
      <c r="F13590" t="s">
        <v>31574</v>
      </c>
      <c r="G13590" t="s">
        <v>31582</v>
      </c>
      <c r="H13590" t="s">
        <v>31591</v>
      </c>
      <c r="I13590" t="s">
        <v>8822</v>
      </c>
      <c r="J13590" t="s">
        <v>40084</v>
      </c>
      <c r="K13590" t="s">
        <v>41192</v>
      </c>
      <c r="M13590" t="s">
        <v>41941</v>
      </c>
      <c r="N13590" t="s">
        <v>45095</v>
      </c>
      <c r="O13590" t="s">
        <v>45096</v>
      </c>
      <c r="P13590">
        <v>0</v>
      </c>
      <c r="Q13590">
        <v>0</v>
      </c>
      <c r="R13590" t="s">
        <v>45115</v>
      </c>
      <c r="S13590" t="s">
        <v>45845</v>
      </c>
      <c r="T13590" t="s">
        <v>46930</v>
      </c>
      <c r="U13590" t="s">
        <v>58451</v>
      </c>
      <c r="W13590" t="s">
        <v>41941</v>
      </c>
      <c r="X13590" t="s">
        <v>45116</v>
      </c>
    </row>
    <row r="13591" spans="1:24">
      <c r="A13591">
        <f>HYPERLINK("https://www.philgeps.gov.ph/GEPSNONPILOT/Tender/SplashBidNoticeAbstractUI.aspx?menuIndex=3&amp;refID=7016297&amp;Result=3","7016297")</f>
        <v>0</v>
      </c>
      <c r="B13591" t="s">
        <v>877</v>
      </c>
      <c r="C13591" t="s">
        <v>16207</v>
      </c>
      <c r="D13591" t="s">
        <v>18096</v>
      </c>
      <c r="E13591" t="s">
        <v>29873</v>
      </c>
      <c r="F13591" t="s">
        <v>31574</v>
      </c>
      <c r="G13591" t="s">
        <v>31582</v>
      </c>
      <c r="H13591" t="s">
        <v>31591</v>
      </c>
      <c r="I13591" t="s">
        <v>8822</v>
      </c>
      <c r="J13591" t="s">
        <v>34069</v>
      </c>
      <c r="K13591" t="s">
        <v>41192</v>
      </c>
      <c r="M13591" t="s">
        <v>42398</v>
      </c>
      <c r="N13591" t="s">
        <v>45095</v>
      </c>
      <c r="O13591" t="s">
        <v>45096</v>
      </c>
      <c r="P13591">
        <v>0</v>
      </c>
      <c r="Q13591">
        <v>0</v>
      </c>
      <c r="R13591" t="s">
        <v>45115</v>
      </c>
      <c r="S13591" t="s">
        <v>45845</v>
      </c>
      <c r="T13591" t="s">
        <v>47064</v>
      </c>
      <c r="U13591" t="s">
        <v>58452</v>
      </c>
      <c r="W13591" t="s">
        <v>42398</v>
      </c>
      <c r="X13591" t="s">
        <v>45116</v>
      </c>
    </row>
    <row r="13592" spans="1:24">
      <c r="A13592">
        <f>HYPERLINK("https://www.philgeps.gov.ph/GEPSNONPILOT/Tender/SplashBidNoticeAbstractUI.aspx?menuIndex=3&amp;refID=7016290&amp;Result=3","7016290")</f>
        <v>0</v>
      </c>
      <c r="B13592" t="s">
        <v>877</v>
      </c>
      <c r="C13592" t="s">
        <v>16208</v>
      </c>
      <c r="D13592" t="s">
        <v>18096</v>
      </c>
      <c r="E13592" t="s">
        <v>29874</v>
      </c>
      <c r="F13592" t="s">
        <v>31574</v>
      </c>
      <c r="G13592" t="s">
        <v>31582</v>
      </c>
      <c r="H13592" t="s">
        <v>31591</v>
      </c>
      <c r="I13592" t="s">
        <v>8822</v>
      </c>
      <c r="J13592" t="s">
        <v>33279</v>
      </c>
      <c r="K13592" t="s">
        <v>41448</v>
      </c>
      <c r="M13592" t="s">
        <v>42398</v>
      </c>
      <c r="N13592" t="s">
        <v>45095</v>
      </c>
      <c r="O13592" t="s">
        <v>45096</v>
      </c>
      <c r="P13592">
        <v>0</v>
      </c>
      <c r="Q13592">
        <v>1</v>
      </c>
      <c r="R13592" t="s">
        <v>45115</v>
      </c>
      <c r="S13592" t="s">
        <v>45845</v>
      </c>
      <c r="T13592" t="s">
        <v>47064</v>
      </c>
      <c r="U13592" t="s">
        <v>58453</v>
      </c>
      <c r="W13592" t="s">
        <v>42398</v>
      </c>
      <c r="X13592" t="s">
        <v>45116</v>
      </c>
    </row>
    <row r="13593" spans="1:24">
      <c r="A13593">
        <f>HYPERLINK("https://www.philgeps.gov.ph/GEPSNONPILOT/Tender/SplashBidNoticeAbstractUI.aspx?menuIndex=3&amp;refID=7016336&amp;Result=3","7016336")</f>
        <v>0</v>
      </c>
      <c r="B13593" t="s">
        <v>3052</v>
      </c>
      <c r="C13593" t="s">
        <v>16209</v>
      </c>
      <c r="D13593" t="s">
        <v>18050</v>
      </c>
      <c r="E13593" t="s">
        <v>29875</v>
      </c>
      <c r="F13593" t="s">
        <v>31574</v>
      </c>
      <c r="G13593" t="s">
        <v>31582</v>
      </c>
      <c r="H13593" t="s">
        <v>31590</v>
      </c>
      <c r="I13593" t="s">
        <v>31603</v>
      </c>
      <c r="J13593" t="s">
        <v>34764</v>
      </c>
      <c r="K13593" t="s">
        <v>41185</v>
      </c>
      <c r="M13593" t="s">
        <v>44888</v>
      </c>
      <c r="N13593" t="s">
        <v>45095</v>
      </c>
      <c r="O13593" t="s">
        <v>45096</v>
      </c>
      <c r="P13593">
        <v>0</v>
      </c>
      <c r="Q13593">
        <v>11</v>
      </c>
      <c r="R13593" t="s">
        <v>45115</v>
      </c>
      <c r="S13593" t="s">
        <v>45845</v>
      </c>
      <c r="T13593" t="s">
        <v>46917</v>
      </c>
      <c r="U13593" t="s">
        <v>58454</v>
      </c>
      <c r="V13593" t="s">
        <v>61346</v>
      </c>
      <c r="W13593" t="s">
        <v>44888</v>
      </c>
      <c r="X13593" t="s">
        <v>45116</v>
      </c>
    </row>
    <row r="13594" spans="1:24">
      <c r="A13594">
        <f>HYPERLINK("https://www.philgeps.gov.ph/GEPSNONPILOT/Tender/SplashBidNoticeAbstractUI.aspx?menuIndex=3&amp;refID=7016299&amp;Result=3","7016299")</f>
        <v>0</v>
      </c>
      <c r="B13594" t="s">
        <v>877</v>
      </c>
      <c r="C13594" t="s">
        <v>16210</v>
      </c>
      <c r="D13594" t="s">
        <v>18096</v>
      </c>
      <c r="E13594" t="s">
        <v>29876</v>
      </c>
      <c r="F13594" t="s">
        <v>31574</v>
      </c>
      <c r="G13594" t="s">
        <v>31582</v>
      </c>
      <c r="H13594" t="s">
        <v>31591</v>
      </c>
      <c r="I13594" t="s">
        <v>8822</v>
      </c>
      <c r="J13594" t="s">
        <v>37633</v>
      </c>
      <c r="K13594" t="s">
        <v>41234</v>
      </c>
      <c r="M13594" t="s">
        <v>42398</v>
      </c>
      <c r="N13594" t="s">
        <v>45095</v>
      </c>
      <c r="O13594" t="s">
        <v>45096</v>
      </c>
      <c r="P13594">
        <v>0</v>
      </c>
      <c r="Q13594">
        <v>0</v>
      </c>
      <c r="R13594" t="s">
        <v>45115</v>
      </c>
      <c r="S13594" t="s">
        <v>45845</v>
      </c>
      <c r="T13594" t="s">
        <v>47064</v>
      </c>
      <c r="U13594" t="s">
        <v>58455</v>
      </c>
      <c r="W13594" t="s">
        <v>42398</v>
      </c>
      <c r="X13594" t="s">
        <v>45116</v>
      </c>
    </row>
    <row r="13595" spans="1:24">
      <c r="A13595">
        <f>HYPERLINK("https://www.philgeps.gov.ph/GEPSNONPILOT/Tender/SplashBidNoticeAbstractUI.aspx?menuIndex=3&amp;refID=7016356&amp;Result=3","7016356")</f>
        <v>0</v>
      </c>
      <c r="B13595" t="s">
        <v>1583</v>
      </c>
      <c r="C13595" t="s">
        <v>16211</v>
      </c>
      <c r="D13595" t="s">
        <v>18027</v>
      </c>
      <c r="E13595" t="s">
        <v>29877</v>
      </c>
      <c r="F13595" t="s">
        <v>31574</v>
      </c>
      <c r="G13595" t="s">
        <v>31582</v>
      </c>
      <c r="H13595" t="s">
        <v>31591</v>
      </c>
      <c r="I13595" t="s">
        <v>8822</v>
      </c>
      <c r="J13595" t="s">
        <v>32076</v>
      </c>
      <c r="K13595" t="s">
        <v>41192</v>
      </c>
      <c r="M13595" t="s">
        <v>43187</v>
      </c>
      <c r="N13595" t="s">
        <v>45095</v>
      </c>
      <c r="O13595" t="s">
        <v>45096</v>
      </c>
      <c r="P13595">
        <v>0</v>
      </c>
      <c r="Q13595">
        <v>0</v>
      </c>
      <c r="R13595" t="s">
        <v>45115</v>
      </c>
      <c r="S13595" t="s">
        <v>45845</v>
      </c>
      <c r="T13595" t="s">
        <v>46973</v>
      </c>
      <c r="U13595" t="s">
        <v>58456</v>
      </c>
      <c r="V13595" t="s">
        <v>60350</v>
      </c>
      <c r="W13595" t="s">
        <v>43187</v>
      </c>
      <c r="X13595" t="s">
        <v>45116</v>
      </c>
    </row>
    <row r="13596" spans="1:24">
      <c r="A13596">
        <f>HYPERLINK("https://www.philgeps.gov.ph/GEPSNONPILOT/Tender/SplashBidNoticeAbstractUI.aspx?menuIndex=3&amp;refID=7016332&amp;Result=3","7016332")</f>
        <v>0</v>
      </c>
      <c r="B13596" t="s">
        <v>2003</v>
      </c>
      <c r="C13596" t="s">
        <v>16212</v>
      </c>
      <c r="D13596" t="s">
        <v>18022</v>
      </c>
      <c r="E13596" t="s">
        <v>29878</v>
      </c>
      <c r="F13596" t="s">
        <v>31574</v>
      </c>
      <c r="G13596" t="s">
        <v>31582</v>
      </c>
      <c r="H13596" t="s">
        <v>31591</v>
      </c>
      <c r="I13596" t="s">
        <v>8822</v>
      </c>
      <c r="J13596" t="s">
        <v>40085</v>
      </c>
      <c r="K13596" t="s">
        <v>41200</v>
      </c>
      <c r="M13596" t="s">
        <v>43665</v>
      </c>
      <c r="N13596" t="s">
        <v>45095</v>
      </c>
      <c r="O13596" t="s">
        <v>45096</v>
      </c>
      <c r="Q13596">
        <v>42</v>
      </c>
      <c r="R13596" t="s">
        <v>45115</v>
      </c>
      <c r="S13596" t="s">
        <v>45907</v>
      </c>
      <c r="T13596" t="s">
        <v>46973</v>
      </c>
      <c r="U13596" t="s">
        <v>52971</v>
      </c>
      <c r="W13596" t="s">
        <v>43665</v>
      </c>
      <c r="X13596" t="s">
        <v>45116</v>
      </c>
    </row>
    <row r="13597" spans="1:24">
      <c r="A13597">
        <f>HYPERLINK("https://www.philgeps.gov.ph/GEPSNONPILOT/Tender/SplashBidNoticeAbstractUI.aspx?menuIndex=3&amp;refID=7016318&amp;Result=3","7016318")</f>
        <v>0</v>
      </c>
      <c r="B13597" t="s">
        <v>2003</v>
      </c>
      <c r="C13597" t="s">
        <v>16213</v>
      </c>
      <c r="D13597" t="s">
        <v>18022</v>
      </c>
      <c r="E13597" t="s">
        <v>27104</v>
      </c>
      <c r="F13597" t="s">
        <v>31574</v>
      </c>
      <c r="G13597" t="s">
        <v>31582</v>
      </c>
      <c r="H13597" t="s">
        <v>31591</v>
      </c>
      <c r="I13597" t="s">
        <v>8822</v>
      </c>
      <c r="J13597" t="s">
        <v>40086</v>
      </c>
      <c r="K13597" t="s">
        <v>41198</v>
      </c>
      <c r="M13597" t="s">
        <v>43665</v>
      </c>
      <c r="N13597" t="s">
        <v>45095</v>
      </c>
      <c r="O13597" t="s">
        <v>45096</v>
      </c>
      <c r="Q13597">
        <v>53</v>
      </c>
      <c r="R13597" t="s">
        <v>45115</v>
      </c>
      <c r="S13597" t="s">
        <v>45908</v>
      </c>
      <c r="T13597" t="s">
        <v>46973</v>
      </c>
      <c r="U13597" t="s">
        <v>52971</v>
      </c>
      <c r="W13597" t="s">
        <v>43665</v>
      </c>
      <c r="X13597" t="s">
        <v>45116</v>
      </c>
    </row>
    <row r="13598" spans="1:24">
      <c r="A13598">
        <f>HYPERLINK("https://www.philgeps.gov.ph/GEPSNONPILOT/Tender/SplashBidNoticeAbstractUI.aspx?menuIndex=3&amp;refID=7016316&amp;Result=3","7016316")</f>
        <v>0</v>
      </c>
      <c r="B13598" t="s">
        <v>2196</v>
      </c>
      <c r="C13598" t="s">
        <v>16214</v>
      </c>
      <c r="D13598" t="s">
        <v>18086</v>
      </c>
      <c r="E13598" t="s">
        <v>29879</v>
      </c>
      <c r="F13598" t="s">
        <v>31574</v>
      </c>
      <c r="G13598" t="s">
        <v>31582</v>
      </c>
      <c r="H13598" t="s">
        <v>31591</v>
      </c>
      <c r="I13598" t="s">
        <v>8822</v>
      </c>
      <c r="J13598" t="s">
        <v>40087</v>
      </c>
      <c r="K13598" t="s">
        <v>41192</v>
      </c>
      <c r="M13598" t="s">
        <v>43884</v>
      </c>
      <c r="N13598" t="s">
        <v>45095</v>
      </c>
      <c r="O13598" t="s">
        <v>45096</v>
      </c>
      <c r="P13598">
        <v>0</v>
      </c>
      <c r="Q13598">
        <v>0</v>
      </c>
      <c r="R13598" t="s">
        <v>45115</v>
      </c>
      <c r="S13598" t="s">
        <v>45845</v>
      </c>
      <c r="T13598" t="s">
        <v>46973</v>
      </c>
      <c r="U13598" t="s">
        <v>53634</v>
      </c>
      <c r="W13598" t="s">
        <v>43884</v>
      </c>
      <c r="X13598" t="s">
        <v>45116</v>
      </c>
    </row>
    <row r="13599" spans="1:24">
      <c r="A13599">
        <f>HYPERLINK("https://www.philgeps.gov.ph/GEPSNONPILOT/Tender/SplashBidNoticeAbstractUI.aspx?menuIndex=3&amp;refID=7016303&amp;Result=3","7016303")</f>
        <v>0</v>
      </c>
      <c r="B13599" t="s">
        <v>877</v>
      </c>
      <c r="C13599" t="s">
        <v>16215</v>
      </c>
      <c r="D13599" t="s">
        <v>18096</v>
      </c>
      <c r="E13599" t="s">
        <v>29880</v>
      </c>
      <c r="F13599" t="s">
        <v>31574</v>
      </c>
      <c r="G13599" t="s">
        <v>31582</v>
      </c>
      <c r="H13599" t="s">
        <v>31591</v>
      </c>
      <c r="I13599" t="s">
        <v>8822</v>
      </c>
      <c r="J13599" t="s">
        <v>33279</v>
      </c>
      <c r="K13599" t="s">
        <v>41448</v>
      </c>
      <c r="M13599" t="s">
        <v>42398</v>
      </c>
      <c r="N13599" t="s">
        <v>45095</v>
      </c>
      <c r="O13599" t="s">
        <v>45096</v>
      </c>
      <c r="P13599">
        <v>0</v>
      </c>
      <c r="Q13599">
        <v>0</v>
      </c>
      <c r="R13599" t="s">
        <v>45115</v>
      </c>
      <c r="S13599" t="s">
        <v>45845</v>
      </c>
      <c r="T13599" t="s">
        <v>47064</v>
      </c>
      <c r="U13599" t="s">
        <v>58457</v>
      </c>
      <c r="W13599" t="s">
        <v>42398</v>
      </c>
      <c r="X13599" t="s">
        <v>45116</v>
      </c>
    </row>
    <row r="13600" spans="1:24">
      <c r="A13600">
        <f>HYPERLINK("https://www.philgeps.gov.ph/GEPSNONPILOT/Tender/SplashBidNoticeAbstractUI.aspx?menuIndex=3&amp;refID=7016328&amp;Result=3","7016328")</f>
        <v>0</v>
      </c>
      <c r="B13600" t="s">
        <v>2003</v>
      </c>
      <c r="C13600" t="s">
        <v>16216</v>
      </c>
      <c r="D13600" t="s">
        <v>18022</v>
      </c>
      <c r="E13600" t="s">
        <v>29881</v>
      </c>
      <c r="F13600" t="s">
        <v>31574</v>
      </c>
      <c r="G13600" t="s">
        <v>31582</v>
      </c>
      <c r="H13600" t="s">
        <v>31591</v>
      </c>
      <c r="I13600" t="s">
        <v>8822</v>
      </c>
      <c r="J13600" t="s">
        <v>40088</v>
      </c>
      <c r="K13600" t="s">
        <v>41202</v>
      </c>
      <c r="M13600" t="s">
        <v>43665</v>
      </c>
      <c r="N13600" t="s">
        <v>45095</v>
      </c>
      <c r="O13600" t="s">
        <v>45096</v>
      </c>
      <c r="Q13600">
        <v>51</v>
      </c>
      <c r="R13600" t="s">
        <v>45115</v>
      </c>
      <c r="S13600" t="s">
        <v>45909</v>
      </c>
      <c r="T13600" t="s">
        <v>46973</v>
      </c>
      <c r="U13600" t="s">
        <v>52971</v>
      </c>
      <c r="W13600" t="s">
        <v>43665</v>
      </c>
      <c r="X13600" t="s">
        <v>45116</v>
      </c>
    </row>
    <row r="13601" spans="1:24">
      <c r="A13601">
        <f>HYPERLINK("https://www.philgeps.gov.ph/GEPSNONPILOT/Tender/SplashBidNoticeAbstractUI.aspx?menuIndex=3&amp;refID=7016358&amp;Result=3","7016358")</f>
        <v>0</v>
      </c>
      <c r="B13601" t="s">
        <v>2094</v>
      </c>
      <c r="C13601" t="s">
        <v>16217</v>
      </c>
      <c r="D13601" t="s">
        <v>18038</v>
      </c>
      <c r="E13601" t="s">
        <v>29882</v>
      </c>
      <c r="F13601" t="s">
        <v>31574</v>
      </c>
      <c r="G13601" t="s">
        <v>31582</v>
      </c>
      <c r="H13601" t="s">
        <v>31590</v>
      </c>
      <c r="I13601" t="s">
        <v>5717</v>
      </c>
      <c r="J13601" t="s">
        <v>40089</v>
      </c>
      <c r="K13601" t="s">
        <v>41190</v>
      </c>
      <c r="M13601" t="s">
        <v>43771</v>
      </c>
      <c r="N13601" t="s">
        <v>45095</v>
      </c>
      <c r="O13601" t="s">
        <v>45096</v>
      </c>
      <c r="P13601">
        <v>0</v>
      </c>
      <c r="Q13601">
        <v>6</v>
      </c>
      <c r="R13601" t="s">
        <v>45115</v>
      </c>
      <c r="S13601" t="s">
        <v>45845</v>
      </c>
      <c r="T13601" t="s">
        <v>47183</v>
      </c>
      <c r="U13601" t="s">
        <v>58458</v>
      </c>
      <c r="V13601" t="s">
        <v>60606</v>
      </c>
      <c r="W13601" t="s">
        <v>43771</v>
      </c>
      <c r="X13601" t="s">
        <v>45116</v>
      </c>
    </row>
    <row r="13602" spans="1:24">
      <c r="A13602">
        <f>HYPERLINK("https://www.philgeps.gov.ph/GEPSNONPILOT/Tender/SplashBidNoticeAbstractUI.aspx?menuIndex=3&amp;refID=7016407&amp;Result=3","7016407")</f>
        <v>0</v>
      </c>
      <c r="B13602" t="s">
        <v>2013</v>
      </c>
      <c r="C13602" t="s">
        <v>16218</v>
      </c>
      <c r="D13602" t="s">
        <v>18095</v>
      </c>
      <c r="E13602" t="s">
        <v>29883</v>
      </c>
      <c r="F13602" t="s">
        <v>31574</v>
      </c>
      <c r="G13602" t="s">
        <v>31582</v>
      </c>
      <c r="H13602" t="s">
        <v>31591</v>
      </c>
      <c r="I13602" t="s">
        <v>8822</v>
      </c>
      <c r="J13602" t="s">
        <v>34707</v>
      </c>
      <c r="K13602" t="s">
        <v>41198</v>
      </c>
      <c r="M13602" t="s">
        <v>43675</v>
      </c>
      <c r="N13602" t="s">
        <v>45095</v>
      </c>
      <c r="O13602" t="s">
        <v>45096</v>
      </c>
      <c r="Q13602">
        <v>40</v>
      </c>
      <c r="R13602" t="s">
        <v>45115</v>
      </c>
      <c r="S13602" t="s">
        <v>45910</v>
      </c>
      <c r="T13602" t="s">
        <v>46985</v>
      </c>
      <c r="U13602" t="s">
        <v>58459</v>
      </c>
      <c r="V13602" t="s">
        <v>61347</v>
      </c>
      <c r="W13602" t="s">
        <v>43675</v>
      </c>
      <c r="X13602" t="s">
        <v>45116</v>
      </c>
    </row>
    <row r="13603" spans="1:24">
      <c r="A13603">
        <f>HYPERLINK("https://www.philgeps.gov.ph/GEPSNONPILOT/Tender/SplashBidNoticeAbstractUI.aspx?menuIndex=3&amp;refID=7016380&amp;Result=3","7016380")</f>
        <v>0</v>
      </c>
      <c r="B13603" t="s">
        <v>1156</v>
      </c>
      <c r="C13603" t="s">
        <v>16219</v>
      </c>
      <c r="D13603" t="s">
        <v>18040</v>
      </c>
      <c r="E13603" t="s">
        <v>29884</v>
      </c>
      <c r="F13603" t="s">
        <v>31574</v>
      </c>
      <c r="G13603" t="s">
        <v>31582</v>
      </c>
      <c r="H13603" t="s">
        <v>31590</v>
      </c>
      <c r="I13603" t="s">
        <v>3487</v>
      </c>
      <c r="J13603" t="s">
        <v>40090</v>
      </c>
      <c r="K13603" t="s">
        <v>41192</v>
      </c>
      <c r="M13603" t="s">
        <v>42713</v>
      </c>
      <c r="N13603" t="s">
        <v>45095</v>
      </c>
      <c r="O13603" t="s">
        <v>45096</v>
      </c>
      <c r="P13603">
        <v>0</v>
      </c>
      <c r="Q13603">
        <v>8</v>
      </c>
      <c r="R13603" t="s">
        <v>45115</v>
      </c>
      <c r="S13603" t="s">
        <v>45845</v>
      </c>
      <c r="T13603" t="s">
        <v>47106</v>
      </c>
      <c r="U13603" t="s">
        <v>58460</v>
      </c>
      <c r="V13603" t="s">
        <v>61348</v>
      </c>
      <c r="W13603" t="s">
        <v>42713</v>
      </c>
      <c r="X13603" t="s">
        <v>45116</v>
      </c>
    </row>
    <row r="13604" spans="1:24">
      <c r="A13604">
        <f>HYPERLINK("https://www.philgeps.gov.ph/GEPSNONPILOT/Tender/SplashBidNoticeAbstractUI.aspx?menuIndex=3&amp;refID=7016398&amp;Result=3","7016398")</f>
        <v>0</v>
      </c>
      <c r="B13604" t="s">
        <v>1665</v>
      </c>
      <c r="C13604" t="s">
        <v>16220</v>
      </c>
      <c r="D13604" t="s">
        <v>18075</v>
      </c>
      <c r="E13604" t="s">
        <v>29885</v>
      </c>
      <c r="F13604" t="s">
        <v>31574</v>
      </c>
      <c r="G13604" t="s">
        <v>31582</v>
      </c>
      <c r="H13604" t="s">
        <v>31591</v>
      </c>
      <c r="I13604" t="s">
        <v>8822</v>
      </c>
      <c r="J13604" t="s">
        <v>40091</v>
      </c>
      <c r="K13604" t="s">
        <v>41244</v>
      </c>
      <c r="M13604" t="s">
        <v>43877</v>
      </c>
      <c r="N13604" t="s">
        <v>45095</v>
      </c>
      <c r="O13604" t="s">
        <v>45096</v>
      </c>
      <c r="P13604">
        <v>0</v>
      </c>
      <c r="Q13604">
        <v>0</v>
      </c>
      <c r="R13604" t="s">
        <v>45115</v>
      </c>
      <c r="S13604" t="s">
        <v>45845</v>
      </c>
      <c r="T13604" t="s">
        <v>46973</v>
      </c>
      <c r="U13604" t="s">
        <v>58461</v>
      </c>
      <c r="W13604" t="s">
        <v>43877</v>
      </c>
      <c r="X13604" t="s">
        <v>45116</v>
      </c>
    </row>
    <row r="13605" spans="1:24">
      <c r="A13605">
        <f>HYPERLINK("https://www.philgeps.gov.ph/GEPSNONPILOT/Tender/SplashBidNoticeAbstractUI.aspx?menuIndex=3&amp;refID=7016370&amp;Result=3","7016370")</f>
        <v>0</v>
      </c>
      <c r="B13605" t="s">
        <v>1665</v>
      </c>
      <c r="C13605" t="s">
        <v>16221</v>
      </c>
      <c r="D13605" t="s">
        <v>18075</v>
      </c>
      <c r="E13605" t="s">
        <v>29886</v>
      </c>
      <c r="F13605" t="s">
        <v>31574</v>
      </c>
      <c r="G13605" t="s">
        <v>31582</v>
      </c>
      <c r="H13605" t="s">
        <v>31591</v>
      </c>
      <c r="I13605" t="s">
        <v>8822</v>
      </c>
      <c r="J13605" t="s">
        <v>40092</v>
      </c>
      <c r="K13605" t="s">
        <v>41200</v>
      </c>
      <c r="M13605" t="s">
        <v>43877</v>
      </c>
      <c r="N13605" t="s">
        <v>45095</v>
      </c>
      <c r="O13605" t="s">
        <v>45096</v>
      </c>
      <c r="P13605">
        <v>0</v>
      </c>
      <c r="Q13605">
        <v>8</v>
      </c>
      <c r="R13605" t="s">
        <v>45115</v>
      </c>
      <c r="S13605" t="s">
        <v>45845</v>
      </c>
      <c r="T13605" t="s">
        <v>46973</v>
      </c>
      <c r="U13605" t="s">
        <v>58462</v>
      </c>
      <c r="W13605" t="s">
        <v>43877</v>
      </c>
      <c r="X13605" t="s">
        <v>45116</v>
      </c>
    </row>
    <row r="13606" spans="1:24">
      <c r="A13606">
        <f>HYPERLINK("https://www.philgeps.gov.ph/GEPSNONPILOT/Tender/SplashBidNoticeAbstractUI.aspx?menuIndex=3&amp;refID=7016369&amp;Result=3","7016369")</f>
        <v>0</v>
      </c>
      <c r="B13606" t="s">
        <v>2094</v>
      </c>
      <c r="C13606" t="s">
        <v>16222</v>
      </c>
      <c r="D13606" t="s">
        <v>18038</v>
      </c>
      <c r="E13606" t="s">
        <v>29887</v>
      </c>
      <c r="F13606" t="s">
        <v>31574</v>
      </c>
      <c r="G13606" t="s">
        <v>31582</v>
      </c>
      <c r="H13606" t="s">
        <v>31590</v>
      </c>
      <c r="I13606" t="s">
        <v>31655</v>
      </c>
      <c r="J13606" t="s">
        <v>40093</v>
      </c>
      <c r="K13606" t="s">
        <v>41190</v>
      </c>
      <c r="M13606" t="s">
        <v>43771</v>
      </c>
      <c r="N13606" t="s">
        <v>45095</v>
      </c>
      <c r="O13606" t="s">
        <v>45096</v>
      </c>
      <c r="P13606">
        <v>0</v>
      </c>
      <c r="Q13606">
        <v>6</v>
      </c>
      <c r="R13606" t="s">
        <v>45115</v>
      </c>
      <c r="S13606" t="s">
        <v>45845</v>
      </c>
      <c r="T13606" t="s">
        <v>47183</v>
      </c>
      <c r="U13606" t="s">
        <v>58463</v>
      </c>
      <c r="V13606" t="s">
        <v>61349</v>
      </c>
      <c r="W13606" t="s">
        <v>43771</v>
      </c>
      <c r="X13606" t="s">
        <v>45116</v>
      </c>
    </row>
    <row r="13607" spans="1:24">
      <c r="A13607">
        <f>HYPERLINK("https://www.philgeps.gov.ph/GEPSNONPILOT/Tender/SplashBidNoticeAbstractUI.aspx?menuIndex=3&amp;refID=7016405&amp;Result=3","7016405")</f>
        <v>0</v>
      </c>
      <c r="B13607" t="s">
        <v>1665</v>
      </c>
      <c r="C13607" t="s">
        <v>16223</v>
      </c>
      <c r="D13607" t="s">
        <v>18075</v>
      </c>
      <c r="E13607" t="s">
        <v>29888</v>
      </c>
      <c r="F13607" t="s">
        <v>31574</v>
      </c>
      <c r="G13607" t="s">
        <v>31582</v>
      </c>
      <c r="H13607" t="s">
        <v>31591</v>
      </c>
      <c r="I13607" t="s">
        <v>8822</v>
      </c>
      <c r="J13607" t="s">
        <v>40094</v>
      </c>
      <c r="K13607" t="s">
        <v>41388</v>
      </c>
      <c r="M13607" t="s">
        <v>43877</v>
      </c>
      <c r="N13607" t="s">
        <v>45095</v>
      </c>
      <c r="O13607" t="s">
        <v>45096</v>
      </c>
      <c r="P13607">
        <v>0</v>
      </c>
      <c r="Q13607">
        <v>8</v>
      </c>
      <c r="R13607" t="s">
        <v>45115</v>
      </c>
      <c r="S13607" t="s">
        <v>45845</v>
      </c>
      <c r="T13607" t="s">
        <v>46973</v>
      </c>
      <c r="U13607" t="s">
        <v>58461</v>
      </c>
      <c r="W13607" t="s">
        <v>43877</v>
      </c>
      <c r="X13607" t="s">
        <v>45116</v>
      </c>
    </row>
    <row r="13608" spans="1:24">
      <c r="A13608">
        <f>HYPERLINK("https://www.philgeps.gov.ph/GEPSNONPILOT/Tender/SplashBidNoticeAbstractUI.aspx?menuIndex=3&amp;refID=7016418&amp;Result=3","7016418")</f>
        <v>0</v>
      </c>
      <c r="B13608" t="s">
        <v>1665</v>
      </c>
      <c r="C13608" t="s">
        <v>16224</v>
      </c>
      <c r="D13608" t="s">
        <v>18075</v>
      </c>
      <c r="E13608" t="s">
        <v>29889</v>
      </c>
      <c r="F13608" t="s">
        <v>31574</v>
      </c>
      <c r="G13608" t="s">
        <v>31582</v>
      </c>
      <c r="H13608" t="s">
        <v>31591</v>
      </c>
      <c r="I13608" t="s">
        <v>8822</v>
      </c>
      <c r="J13608" t="s">
        <v>40095</v>
      </c>
      <c r="K13608" t="s">
        <v>41414</v>
      </c>
      <c r="M13608" t="s">
        <v>43877</v>
      </c>
      <c r="N13608" t="s">
        <v>45095</v>
      </c>
      <c r="O13608" t="s">
        <v>45096</v>
      </c>
      <c r="P13608">
        <v>0</v>
      </c>
      <c r="Q13608">
        <v>4</v>
      </c>
      <c r="R13608" t="s">
        <v>45115</v>
      </c>
      <c r="S13608" t="s">
        <v>45845</v>
      </c>
      <c r="T13608" t="s">
        <v>46973</v>
      </c>
      <c r="U13608" t="s">
        <v>58461</v>
      </c>
      <c r="W13608" t="s">
        <v>43877</v>
      </c>
      <c r="X13608" t="s">
        <v>45116</v>
      </c>
    </row>
    <row r="13609" spans="1:24">
      <c r="A13609">
        <f>HYPERLINK("https://www.philgeps.gov.ph/GEPSNONPILOT/Tender/SplashBidNoticeAbstractUI.aspx?menuIndex=3&amp;refID=7016360&amp;Result=3","7016360")</f>
        <v>0</v>
      </c>
      <c r="B13609" t="s">
        <v>1160</v>
      </c>
      <c r="C13609" t="s">
        <v>16225</v>
      </c>
      <c r="D13609" t="s">
        <v>18036</v>
      </c>
      <c r="E13609" t="s">
        <v>29890</v>
      </c>
      <c r="F13609" t="s">
        <v>31574</v>
      </c>
      <c r="G13609" t="s">
        <v>31582</v>
      </c>
      <c r="H13609" t="s">
        <v>31591</v>
      </c>
      <c r="I13609" t="s">
        <v>8822</v>
      </c>
      <c r="J13609" t="s">
        <v>31935</v>
      </c>
      <c r="K13609" t="s">
        <v>41203</v>
      </c>
      <c r="M13609" t="s">
        <v>42718</v>
      </c>
      <c r="N13609" t="s">
        <v>45095</v>
      </c>
      <c r="O13609" t="s">
        <v>45096</v>
      </c>
      <c r="P13609">
        <v>0</v>
      </c>
      <c r="Q13609">
        <v>1</v>
      </c>
      <c r="R13609" t="s">
        <v>45115</v>
      </c>
      <c r="S13609" t="s">
        <v>45845</v>
      </c>
      <c r="T13609" t="s">
        <v>46979</v>
      </c>
      <c r="U13609" t="s">
        <v>58464</v>
      </c>
      <c r="V13609" t="s">
        <v>61350</v>
      </c>
      <c r="W13609" t="s">
        <v>42718</v>
      </c>
      <c r="X13609" t="s">
        <v>45116</v>
      </c>
    </row>
    <row r="13610" spans="1:24">
      <c r="A13610">
        <f>HYPERLINK("https://www.philgeps.gov.ph/GEPSNONPILOT/Tender/SplashBidNoticeAbstractUI.aspx?menuIndex=3&amp;refID=7016432&amp;Result=3","7016432")</f>
        <v>0</v>
      </c>
      <c r="B13610" t="s">
        <v>2013</v>
      </c>
      <c r="C13610" t="s">
        <v>16226</v>
      </c>
      <c r="D13610" t="s">
        <v>18095</v>
      </c>
      <c r="E13610" t="s">
        <v>29891</v>
      </c>
      <c r="F13610" t="s">
        <v>31574</v>
      </c>
      <c r="G13610" t="s">
        <v>31582</v>
      </c>
      <c r="H13610" t="s">
        <v>31591</v>
      </c>
      <c r="I13610" t="s">
        <v>8822</v>
      </c>
      <c r="J13610" t="s">
        <v>40096</v>
      </c>
      <c r="K13610" t="s">
        <v>41360</v>
      </c>
      <c r="M13610" t="s">
        <v>43675</v>
      </c>
      <c r="N13610" t="s">
        <v>45095</v>
      </c>
      <c r="O13610" t="s">
        <v>45096</v>
      </c>
      <c r="Q13610">
        <v>25</v>
      </c>
      <c r="R13610" t="s">
        <v>45115</v>
      </c>
      <c r="S13610" t="s">
        <v>45911</v>
      </c>
      <c r="T13610" t="s">
        <v>46985</v>
      </c>
      <c r="U13610" t="s">
        <v>58465</v>
      </c>
      <c r="V13610" t="s">
        <v>61351</v>
      </c>
      <c r="W13610" t="s">
        <v>43675</v>
      </c>
      <c r="X13610" t="s">
        <v>45116</v>
      </c>
    </row>
    <row r="13611" spans="1:24">
      <c r="A13611">
        <f>HYPERLINK("https://www.philgeps.gov.ph/GEPSNONPILOT/Tender/SplashBidNoticeAbstractUI.aspx?menuIndex=3&amp;refID=7016413&amp;Result=3","7016413")</f>
        <v>0</v>
      </c>
      <c r="B13611" t="s">
        <v>2094</v>
      </c>
      <c r="C13611" t="s">
        <v>16227</v>
      </c>
      <c r="D13611" t="s">
        <v>18038</v>
      </c>
      <c r="E13611" t="s">
        <v>29892</v>
      </c>
      <c r="F13611" t="s">
        <v>31574</v>
      </c>
      <c r="G13611" t="s">
        <v>31582</v>
      </c>
      <c r="H13611" t="s">
        <v>31590</v>
      </c>
      <c r="I13611" t="s">
        <v>14544</v>
      </c>
      <c r="J13611" t="s">
        <v>40097</v>
      </c>
      <c r="K13611" t="s">
        <v>41190</v>
      </c>
      <c r="M13611" t="s">
        <v>43771</v>
      </c>
      <c r="N13611" t="s">
        <v>45095</v>
      </c>
      <c r="O13611" t="s">
        <v>45096</v>
      </c>
      <c r="P13611">
        <v>0</v>
      </c>
      <c r="Q13611">
        <v>0</v>
      </c>
      <c r="R13611" t="s">
        <v>45115</v>
      </c>
      <c r="S13611" t="s">
        <v>45845</v>
      </c>
      <c r="T13611" t="s">
        <v>47183</v>
      </c>
      <c r="U13611" t="s">
        <v>58466</v>
      </c>
      <c r="V13611" t="s">
        <v>60606</v>
      </c>
      <c r="W13611" t="s">
        <v>43771</v>
      </c>
      <c r="X13611" t="s">
        <v>45116</v>
      </c>
    </row>
    <row r="13612" spans="1:24">
      <c r="A13612">
        <f>HYPERLINK("https://www.philgeps.gov.ph/GEPSNONPILOT/Tender/SplashBidNoticeAbstractUI.aspx?menuIndex=3&amp;refID=7016423&amp;Result=3","7016423")</f>
        <v>0</v>
      </c>
      <c r="B13612" t="s">
        <v>2094</v>
      </c>
      <c r="C13612" t="s">
        <v>16228</v>
      </c>
      <c r="D13612" t="s">
        <v>18038</v>
      </c>
      <c r="E13612" t="s">
        <v>29893</v>
      </c>
      <c r="F13612" t="s">
        <v>31574</v>
      </c>
      <c r="G13612" t="s">
        <v>31582</v>
      </c>
      <c r="H13612" t="s">
        <v>31590</v>
      </c>
      <c r="I13612" t="s">
        <v>31621</v>
      </c>
      <c r="J13612" t="s">
        <v>40098</v>
      </c>
      <c r="K13612" t="s">
        <v>41190</v>
      </c>
      <c r="M13612" t="s">
        <v>43771</v>
      </c>
      <c r="N13612" t="s">
        <v>45095</v>
      </c>
      <c r="O13612" t="s">
        <v>45096</v>
      </c>
      <c r="P13612">
        <v>0</v>
      </c>
      <c r="Q13612">
        <v>4</v>
      </c>
      <c r="R13612" t="s">
        <v>45115</v>
      </c>
      <c r="S13612" t="s">
        <v>45845</v>
      </c>
      <c r="T13612" t="s">
        <v>47183</v>
      </c>
      <c r="U13612" t="s">
        <v>58467</v>
      </c>
      <c r="V13612" t="s">
        <v>60606</v>
      </c>
      <c r="W13612" t="s">
        <v>43771</v>
      </c>
      <c r="X13612" t="s">
        <v>45116</v>
      </c>
    </row>
    <row r="13613" spans="1:24">
      <c r="A13613">
        <f>HYPERLINK("https://www.philgeps.gov.ph/GEPSNONPILOT/Tender/SplashBidNoticeAbstractUI.aspx?menuIndex=3&amp;refID=7016421&amp;Result=3","7016421")</f>
        <v>0</v>
      </c>
      <c r="B13613" t="s">
        <v>2013</v>
      </c>
      <c r="C13613" t="s">
        <v>16229</v>
      </c>
      <c r="D13613" t="s">
        <v>18095</v>
      </c>
      <c r="E13613" t="s">
        <v>29894</v>
      </c>
      <c r="F13613" t="s">
        <v>31574</v>
      </c>
      <c r="G13613" t="s">
        <v>31582</v>
      </c>
      <c r="H13613" t="s">
        <v>31591</v>
      </c>
      <c r="I13613" t="s">
        <v>8822</v>
      </c>
      <c r="J13613" t="s">
        <v>34596</v>
      </c>
      <c r="K13613" t="s">
        <v>41471</v>
      </c>
      <c r="M13613" t="s">
        <v>43675</v>
      </c>
      <c r="N13613" t="s">
        <v>45095</v>
      </c>
      <c r="O13613" t="s">
        <v>45096</v>
      </c>
      <c r="Q13613">
        <v>28</v>
      </c>
      <c r="R13613" t="s">
        <v>45115</v>
      </c>
      <c r="S13613" t="s">
        <v>45912</v>
      </c>
      <c r="T13613" t="s">
        <v>46992</v>
      </c>
      <c r="U13613" t="s">
        <v>58468</v>
      </c>
      <c r="V13613" t="s">
        <v>61352</v>
      </c>
      <c r="W13613" t="s">
        <v>43675</v>
      </c>
      <c r="X13613" t="s">
        <v>45116</v>
      </c>
    </row>
    <row r="13614" spans="1:24">
      <c r="A13614">
        <f>HYPERLINK("https://www.philgeps.gov.ph/GEPSNONPILOT/Tender/SplashBidNoticeAbstractUI.aspx?menuIndex=3&amp;refID=7016433&amp;Result=3","7016433")</f>
        <v>0</v>
      </c>
      <c r="B13614" t="s">
        <v>2094</v>
      </c>
      <c r="C13614" t="s">
        <v>16230</v>
      </c>
      <c r="D13614" t="s">
        <v>18038</v>
      </c>
      <c r="E13614" t="s">
        <v>29895</v>
      </c>
      <c r="F13614" t="s">
        <v>31574</v>
      </c>
      <c r="G13614" t="s">
        <v>31582</v>
      </c>
      <c r="H13614" t="s">
        <v>31590</v>
      </c>
      <c r="I13614" t="s">
        <v>31602</v>
      </c>
      <c r="J13614" t="s">
        <v>40099</v>
      </c>
      <c r="K13614" t="s">
        <v>41186</v>
      </c>
      <c r="M13614" t="s">
        <v>43771</v>
      </c>
      <c r="N13614" t="s">
        <v>45095</v>
      </c>
      <c r="O13614" t="s">
        <v>45096</v>
      </c>
      <c r="P13614">
        <v>0</v>
      </c>
      <c r="Q13614">
        <v>0</v>
      </c>
      <c r="R13614" t="s">
        <v>45115</v>
      </c>
      <c r="S13614" t="s">
        <v>45845</v>
      </c>
      <c r="T13614" t="s">
        <v>47183</v>
      </c>
      <c r="U13614" t="s">
        <v>58469</v>
      </c>
      <c r="V13614" t="s">
        <v>60606</v>
      </c>
      <c r="W13614" t="s">
        <v>43771</v>
      </c>
      <c r="X13614" t="s">
        <v>45116</v>
      </c>
    </row>
    <row r="13615" spans="1:24">
      <c r="A13615">
        <f>HYPERLINK("https://www.philgeps.gov.ph/GEPSNONPILOT/Tender/SplashBidNoticeAbstractUI.aspx?menuIndex=3&amp;refID=7016422&amp;Result=3","7016422")</f>
        <v>0</v>
      </c>
      <c r="B13615" t="s">
        <v>1665</v>
      </c>
      <c r="C13615" t="s">
        <v>16231</v>
      </c>
      <c r="D13615" t="s">
        <v>18075</v>
      </c>
      <c r="E13615" t="s">
        <v>29896</v>
      </c>
      <c r="F13615" t="s">
        <v>31574</v>
      </c>
      <c r="G13615" t="s">
        <v>31582</v>
      </c>
      <c r="H13615" t="s">
        <v>31591</v>
      </c>
      <c r="I13615" t="s">
        <v>8822</v>
      </c>
      <c r="J13615" t="s">
        <v>40100</v>
      </c>
      <c r="K13615" t="s">
        <v>41200</v>
      </c>
      <c r="M13615" t="s">
        <v>43877</v>
      </c>
      <c r="N13615" t="s">
        <v>45095</v>
      </c>
      <c r="O13615" t="s">
        <v>45096</v>
      </c>
      <c r="P13615">
        <v>0</v>
      </c>
      <c r="Q13615">
        <v>11</v>
      </c>
      <c r="R13615" t="s">
        <v>45115</v>
      </c>
      <c r="S13615" t="s">
        <v>45845</v>
      </c>
      <c r="T13615" t="s">
        <v>46973</v>
      </c>
      <c r="U13615" t="s">
        <v>58461</v>
      </c>
      <c r="W13615" t="s">
        <v>43877</v>
      </c>
      <c r="X13615" t="s">
        <v>45116</v>
      </c>
    </row>
    <row r="13616" spans="1:24">
      <c r="A13616">
        <f>HYPERLINK("https://www.philgeps.gov.ph/GEPSNONPILOT/Tender/SplashBidNoticeAbstractUI.aspx?menuIndex=3&amp;refID=7016427&amp;Result=3","7016427")</f>
        <v>0</v>
      </c>
      <c r="B13616" t="s">
        <v>2013</v>
      </c>
      <c r="C13616" t="s">
        <v>16232</v>
      </c>
      <c r="D13616" t="s">
        <v>18095</v>
      </c>
      <c r="E13616" t="s">
        <v>29897</v>
      </c>
      <c r="F13616" t="s">
        <v>31574</v>
      </c>
      <c r="G13616" t="s">
        <v>31582</v>
      </c>
      <c r="H13616" t="s">
        <v>31591</v>
      </c>
      <c r="I13616" t="s">
        <v>8822</v>
      </c>
      <c r="J13616" t="s">
        <v>40101</v>
      </c>
      <c r="K13616" t="s">
        <v>41277</v>
      </c>
      <c r="M13616" t="s">
        <v>43675</v>
      </c>
      <c r="N13616" t="s">
        <v>45095</v>
      </c>
      <c r="O13616" t="s">
        <v>45096</v>
      </c>
      <c r="Q13616">
        <v>25</v>
      </c>
      <c r="R13616" t="s">
        <v>45115</v>
      </c>
      <c r="S13616" t="s">
        <v>45913</v>
      </c>
      <c r="T13616" t="s">
        <v>46985</v>
      </c>
      <c r="U13616" t="s">
        <v>58470</v>
      </c>
      <c r="V13616" t="s">
        <v>61353</v>
      </c>
      <c r="W13616" t="s">
        <v>43675</v>
      </c>
      <c r="X13616" t="s">
        <v>45116</v>
      </c>
    </row>
    <row r="13617" spans="1:24">
      <c r="A13617">
        <f>HYPERLINK("https://www.philgeps.gov.ph/GEPSNONPILOT/Tender/SplashBidNoticeAbstractUI.aspx?menuIndex=3&amp;refID=7016419&amp;Result=3","7016419")</f>
        <v>0</v>
      </c>
      <c r="B13617" t="s">
        <v>1583</v>
      </c>
      <c r="C13617" t="s">
        <v>16233</v>
      </c>
      <c r="D13617" t="s">
        <v>18027</v>
      </c>
      <c r="E13617" t="s">
        <v>29898</v>
      </c>
      <c r="F13617" t="s">
        <v>31574</v>
      </c>
      <c r="G13617" t="s">
        <v>31582</v>
      </c>
      <c r="H13617" t="s">
        <v>31591</v>
      </c>
      <c r="I13617" t="s">
        <v>8822</v>
      </c>
      <c r="J13617" t="s">
        <v>40102</v>
      </c>
      <c r="K13617" t="s">
        <v>41200</v>
      </c>
      <c r="M13617" t="s">
        <v>43187</v>
      </c>
      <c r="N13617" t="s">
        <v>45095</v>
      </c>
      <c r="O13617" t="s">
        <v>45096</v>
      </c>
      <c r="P13617">
        <v>0</v>
      </c>
      <c r="Q13617">
        <v>0</v>
      </c>
      <c r="R13617" t="s">
        <v>45115</v>
      </c>
      <c r="S13617" t="s">
        <v>45845</v>
      </c>
      <c r="T13617" t="s">
        <v>46973</v>
      </c>
      <c r="U13617" t="s">
        <v>58471</v>
      </c>
      <c r="V13617" t="s">
        <v>60350</v>
      </c>
      <c r="W13617" t="s">
        <v>43187</v>
      </c>
      <c r="X13617" t="s">
        <v>45116</v>
      </c>
    </row>
    <row r="13618" spans="1:24">
      <c r="A13618">
        <f>HYPERLINK("https://www.philgeps.gov.ph/GEPSNONPILOT/Tender/SplashBidNoticeAbstractUI.aspx?menuIndex=3&amp;refID=7016453&amp;Result=3","7016453")</f>
        <v>0</v>
      </c>
      <c r="B13618" t="s">
        <v>2245</v>
      </c>
      <c r="C13618" t="s">
        <v>16234</v>
      </c>
      <c r="D13618" t="s">
        <v>18040</v>
      </c>
      <c r="E13618" t="s">
        <v>29899</v>
      </c>
      <c r="F13618" t="s">
        <v>31574</v>
      </c>
      <c r="G13618" t="s">
        <v>31582</v>
      </c>
      <c r="H13618" t="s">
        <v>31591</v>
      </c>
      <c r="I13618" t="s">
        <v>8822</v>
      </c>
      <c r="J13618" t="s">
        <v>31935</v>
      </c>
      <c r="K13618" t="s">
        <v>41192</v>
      </c>
      <c r="M13618" t="s">
        <v>43943</v>
      </c>
      <c r="N13618" t="s">
        <v>45095</v>
      </c>
      <c r="O13618" t="s">
        <v>45096</v>
      </c>
      <c r="P13618">
        <v>0</v>
      </c>
      <c r="Q13618">
        <v>0</v>
      </c>
      <c r="R13618" t="s">
        <v>45115</v>
      </c>
      <c r="S13618" t="s">
        <v>45845</v>
      </c>
      <c r="T13618" t="s">
        <v>47050</v>
      </c>
      <c r="U13618" t="s">
        <v>58472</v>
      </c>
      <c r="W13618" t="s">
        <v>43943</v>
      </c>
      <c r="X13618" t="s">
        <v>45116</v>
      </c>
    </row>
    <row r="13619" spans="1:24">
      <c r="A13619">
        <f>HYPERLINK("https://www.philgeps.gov.ph/GEPSNONPILOT/Tender/SplashBidNoticeAbstractUI.aspx?menuIndex=3&amp;refID=7016381&amp;Result=3","7016381")</f>
        <v>0</v>
      </c>
      <c r="B13619" t="s">
        <v>2094</v>
      </c>
      <c r="C13619" t="s">
        <v>16235</v>
      </c>
      <c r="D13619" t="s">
        <v>18038</v>
      </c>
      <c r="E13619" t="s">
        <v>29900</v>
      </c>
      <c r="F13619" t="s">
        <v>31574</v>
      </c>
      <c r="G13619" t="s">
        <v>31582</v>
      </c>
      <c r="H13619" t="s">
        <v>31590</v>
      </c>
      <c r="I13619" t="s">
        <v>4046</v>
      </c>
      <c r="J13619" t="s">
        <v>40103</v>
      </c>
      <c r="K13619" t="s">
        <v>41190</v>
      </c>
      <c r="M13619" t="s">
        <v>43771</v>
      </c>
      <c r="N13619" t="s">
        <v>45095</v>
      </c>
      <c r="O13619" t="s">
        <v>45096</v>
      </c>
      <c r="P13619">
        <v>0</v>
      </c>
      <c r="Q13619">
        <v>1</v>
      </c>
      <c r="R13619" t="s">
        <v>45115</v>
      </c>
      <c r="S13619" t="s">
        <v>45845</v>
      </c>
      <c r="T13619" t="s">
        <v>47183</v>
      </c>
      <c r="U13619" t="s">
        <v>58473</v>
      </c>
      <c r="V13619" t="s">
        <v>61349</v>
      </c>
      <c r="W13619" t="s">
        <v>43771</v>
      </c>
      <c r="X13619" t="s">
        <v>45116</v>
      </c>
    </row>
    <row r="13620" spans="1:24">
      <c r="A13620">
        <f>HYPERLINK("https://www.philgeps.gov.ph/GEPSNONPILOT/Tender/SplashBidNoticeAbstractUI.aspx?menuIndex=3&amp;refID=7016451&amp;Result=3","7016451")</f>
        <v>0</v>
      </c>
      <c r="B13620" t="s">
        <v>2689</v>
      </c>
      <c r="C13620" t="s">
        <v>16236</v>
      </c>
      <c r="D13620" t="s">
        <v>18027</v>
      </c>
      <c r="E13620" t="s">
        <v>29901</v>
      </c>
      <c r="F13620" t="s">
        <v>31574</v>
      </c>
      <c r="G13620" t="s">
        <v>31582</v>
      </c>
      <c r="H13620" t="s">
        <v>31591</v>
      </c>
      <c r="I13620" t="s">
        <v>8822</v>
      </c>
      <c r="J13620" t="s">
        <v>39147</v>
      </c>
      <c r="K13620" t="s">
        <v>41472</v>
      </c>
      <c r="M13620" t="s">
        <v>44454</v>
      </c>
      <c r="N13620" t="s">
        <v>45095</v>
      </c>
      <c r="O13620" t="s">
        <v>45096</v>
      </c>
      <c r="Q13620">
        <v>13</v>
      </c>
      <c r="R13620" t="s">
        <v>45115</v>
      </c>
      <c r="S13620" t="s">
        <v>45914</v>
      </c>
      <c r="T13620" t="s">
        <v>46914</v>
      </c>
      <c r="U13620" t="s">
        <v>58446</v>
      </c>
      <c r="V13620" t="s">
        <v>61354</v>
      </c>
      <c r="W13620" t="s">
        <v>44454</v>
      </c>
      <c r="X13620" t="s">
        <v>45116</v>
      </c>
    </row>
    <row r="13621" spans="1:24">
      <c r="A13621">
        <f>HYPERLINK("https://www.philgeps.gov.ph/GEPSNONPILOT/Tender/SplashBidNoticeAbstractUI.aspx?menuIndex=3&amp;refID=7016447&amp;Result=3","7016447")</f>
        <v>0</v>
      </c>
      <c r="B13621" t="s">
        <v>2094</v>
      </c>
      <c r="C13621" t="s">
        <v>16237</v>
      </c>
      <c r="D13621" t="s">
        <v>18038</v>
      </c>
      <c r="E13621" t="s">
        <v>29902</v>
      </c>
      <c r="F13621" t="s">
        <v>31574</v>
      </c>
      <c r="G13621" t="s">
        <v>31582</v>
      </c>
      <c r="H13621" t="s">
        <v>31590</v>
      </c>
      <c r="I13621" t="s">
        <v>4046</v>
      </c>
      <c r="J13621" t="s">
        <v>40104</v>
      </c>
      <c r="K13621" t="s">
        <v>41190</v>
      </c>
      <c r="M13621" t="s">
        <v>43771</v>
      </c>
      <c r="N13621" t="s">
        <v>45095</v>
      </c>
      <c r="O13621" t="s">
        <v>45096</v>
      </c>
      <c r="P13621">
        <v>0</v>
      </c>
      <c r="Q13621">
        <v>0</v>
      </c>
      <c r="R13621" t="s">
        <v>45115</v>
      </c>
      <c r="S13621" t="s">
        <v>45845</v>
      </c>
      <c r="T13621" t="s">
        <v>47183</v>
      </c>
      <c r="U13621" t="s">
        <v>58474</v>
      </c>
      <c r="V13621" t="s">
        <v>60606</v>
      </c>
      <c r="W13621" t="s">
        <v>43771</v>
      </c>
      <c r="X13621" t="s">
        <v>45116</v>
      </c>
    </row>
    <row r="13622" spans="1:24">
      <c r="A13622">
        <f>HYPERLINK("https://www.philgeps.gov.ph/GEPSNONPILOT/Tender/SplashBidNoticeAbstractUI.aspx?menuIndex=3&amp;refID=7016445&amp;Result=3","7016445")</f>
        <v>0</v>
      </c>
      <c r="B13622" t="s">
        <v>2689</v>
      </c>
      <c r="C13622" t="s">
        <v>16238</v>
      </c>
      <c r="D13622" t="s">
        <v>18027</v>
      </c>
      <c r="E13622" t="s">
        <v>29903</v>
      </c>
      <c r="F13622" t="s">
        <v>31574</v>
      </c>
      <c r="G13622" t="s">
        <v>31582</v>
      </c>
      <c r="H13622" t="s">
        <v>31591</v>
      </c>
      <c r="I13622" t="s">
        <v>8822</v>
      </c>
      <c r="J13622" t="s">
        <v>34070</v>
      </c>
      <c r="K13622" t="s">
        <v>41205</v>
      </c>
      <c r="M13622" t="s">
        <v>44454</v>
      </c>
      <c r="N13622" t="s">
        <v>45095</v>
      </c>
      <c r="O13622" t="s">
        <v>45096</v>
      </c>
      <c r="P13622">
        <v>0</v>
      </c>
      <c r="Q13622">
        <v>1</v>
      </c>
      <c r="R13622" t="s">
        <v>45115</v>
      </c>
      <c r="S13622" t="s">
        <v>45845</v>
      </c>
      <c r="T13622" t="s">
        <v>46963</v>
      </c>
      <c r="U13622" t="s">
        <v>58475</v>
      </c>
      <c r="V13622" t="s">
        <v>61355</v>
      </c>
      <c r="W13622" t="s">
        <v>44454</v>
      </c>
      <c r="X13622" t="s">
        <v>45116</v>
      </c>
    </row>
    <row r="13623" spans="1:24">
      <c r="A13623">
        <f>HYPERLINK("https://www.philgeps.gov.ph/GEPSNONPILOT/Tender/SplashBidNoticeAbstractUI.aspx?menuIndex=3&amp;refID=7016455&amp;Result=3","7016455")</f>
        <v>0</v>
      </c>
      <c r="B13623" t="s">
        <v>2245</v>
      </c>
      <c r="C13623" t="s">
        <v>16239</v>
      </c>
      <c r="D13623" t="s">
        <v>18040</v>
      </c>
      <c r="E13623" t="s">
        <v>29904</v>
      </c>
      <c r="F13623" t="s">
        <v>31574</v>
      </c>
      <c r="G13623" t="s">
        <v>31582</v>
      </c>
      <c r="H13623" t="s">
        <v>31591</v>
      </c>
      <c r="I13623" t="s">
        <v>8822</v>
      </c>
      <c r="J13623" t="s">
        <v>32497</v>
      </c>
      <c r="K13623" t="s">
        <v>41192</v>
      </c>
      <c r="M13623" t="s">
        <v>43943</v>
      </c>
      <c r="N13623" t="s">
        <v>45095</v>
      </c>
      <c r="O13623" t="s">
        <v>45096</v>
      </c>
      <c r="P13623">
        <v>0</v>
      </c>
      <c r="Q13623">
        <v>0</v>
      </c>
      <c r="R13623" t="s">
        <v>45115</v>
      </c>
      <c r="S13623" t="s">
        <v>45845</v>
      </c>
      <c r="T13623" t="s">
        <v>47050</v>
      </c>
      <c r="U13623" t="s">
        <v>58476</v>
      </c>
      <c r="W13623" t="s">
        <v>43943</v>
      </c>
      <c r="X13623" t="s">
        <v>45116</v>
      </c>
    </row>
    <row r="13624" spans="1:24">
      <c r="A13624">
        <f>HYPERLINK("https://www.philgeps.gov.ph/GEPSNONPILOT/Tender/SplashBidNoticeAbstractUI.aspx?menuIndex=3&amp;refID=7016392&amp;Result=3","7016392")</f>
        <v>0</v>
      </c>
      <c r="B13624" t="s">
        <v>1665</v>
      </c>
      <c r="C13624" t="s">
        <v>16240</v>
      </c>
      <c r="D13624" t="s">
        <v>18075</v>
      </c>
      <c r="E13624" t="s">
        <v>29905</v>
      </c>
      <c r="F13624" t="s">
        <v>31574</v>
      </c>
      <c r="G13624" t="s">
        <v>31582</v>
      </c>
      <c r="H13624" t="s">
        <v>31591</v>
      </c>
      <c r="I13624" t="s">
        <v>8822</v>
      </c>
      <c r="J13624" t="s">
        <v>40105</v>
      </c>
      <c r="K13624" t="s">
        <v>41252</v>
      </c>
      <c r="M13624" t="s">
        <v>43877</v>
      </c>
      <c r="N13624" t="s">
        <v>45095</v>
      </c>
      <c r="O13624" t="s">
        <v>45096</v>
      </c>
      <c r="P13624">
        <v>0</v>
      </c>
      <c r="Q13624">
        <v>7</v>
      </c>
      <c r="R13624" t="s">
        <v>45115</v>
      </c>
      <c r="S13624" t="s">
        <v>45845</v>
      </c>
      <c r="T13624" t="s">
        <v>46973</v>
      </c>
      <c r="U13624" t="s">
        <v>58461</v>
      </c>
      <c r="W13624" t="s">
        <v>43877</v>
      </c>
      <c r="X13624" t="s">
        <v>45116</v>
      </c>
    </row>
    <row r="13625" spans="1:24">
      <c r="A13625">
        <f>HYPERLINK("https://www.philgeps.gov.ph/GEPSNONPILOT/Tender/SplashBidNoticeAbstractUI.aspx?menuIndex=3&amp;refID=7016444&amp;Result=3","7016444")</f>
        <v>0</v>
      </c>
      <c r="B13625" t="s">
        <v>2094</v>
      </c>
      <c r="C13625" t="s">
        <v>16241</v>
      </c>
      <c r="D13625" t="s">
        <v>18038</v>
      </c>
      <c r="E13625" t="s">
        <v>29906</v>
      </c>
      <c r="F13625" t="s">
        <v>31574</v>
      </c>
      <c r="G13625" t="s">
        <v>31582</v>
      </c>
      <c r="H13625" t="s">
        <v>31590</v>
      </c>
      <c r="I13625" t="s">
        <v>4046</v>
      </c>
      <c r="J13625" t="s">
        <v>40106</v>
      </c>
      <c r="K13625" t="s">
        <v>41190</v>
      </c>
      <c r="M13625" t="s">
        <v>43771</v>
      </c>
      <c r="N13625" t="s">
        <v>45095</v>
      </c>
      <c r="O13625" t="s">
        <v>45096</v>
      </c>
      <c r="P13625">
        <v>0</v>
      </c>
      <c r="Q13625">
        <v>0</v>
      </c>
      <c r="R13625" t="s">
        <v>45115</v>
      </c>
      <c r="S13625" t="s">
        <v>45845</v>
      </c>
      <c r="T13625" t="s">
        <v>47183</v>
      </c>
      <c r="U13625" t="s">
        <v>58477</v>
      </c>
      <c r="V13625" t="s">
        <v>60606</v>
      </c>
      <c r="W13625" t="s">
        <v>43771</v>
      </c>
      <c r="X13625" t="s">
        <v>45116</v>
      </c>
    </row>
    <row r="13626" spans="1:24">
      <c r="A13626">
        <f>HYPERLINK("https://www.philgeps.gov.ph/GEPSNONPILOT/Tender/SplashBidNoticeAbstractUI.aspx?menuIndex=3&amp;refID=7016452&amp;Result=3","7016452")</f>
        <v>0</v>
      </c>
      <c r="B13626" t="s">
        <v>2689</v>
      </c>
      <c r="C13626" t="s">
        <v>16242</v>
      </c>
      <c r="D13626" t="s">
        <v>18027</v>
      </c>
      <c r="E13626" t="s">
        <v>29907</v>
      </c>
      <c r="F13626" t="s">
        <v>31574</v>
      </c>
      <c r="G13626" t="s">
        <v>31582</v>
      </c>
      <c r="H13626" t="s">
        <v>31591</v>
      </c>
      <c r="I13626" t="s">
        <v>8822</v>
      </c>
      <c r="J13626" t="s">
        <v>34596</v>
      </c>
      <c r="K13626" t="s">
        <v>41472</v>
      </c>
      <c r="M13626" t="s">
        <v>44454</v>
      </c>
      <c r="N13626" t="s">
        <v>45095</v>
      </c>
      <c r="O13626" t="s">
        <v>45096</v>
      </c>
      <c r="Q13626">
        <v>10</v>
      </c>
      <c r="R13626" t="s">
        <v>45115</v>
      </c>
      <c r="S13626" t="s">
        <v>45915</v>
      </c>
      <c r="T13626" t="s">
        <v>46914</v>
      </c>
      <c r="U13626" t="s">
        <v>58478</v>
      </c>
      <c r="V13626" t="s">
        <v>61356</v>
      </c>
      <c r="W13626" t="s">
        <v>44454</v>
      </c>
      <c r="X13626" t="s">
        <v>45116</v>
      </c>
    </row>
    <row r="13627" spans="1:24">
      <c r="A13627">
        <f>HYPERLINK("https://www.philgeps.gov.ph/GEPSNONPILOT/Tender/SplashBidNoticeAbstractUI.aspx?menuIndex=3&amp;refID=7016446&amp;Result=3","7016446")</f>
        <v>0</v>
      </c>
      <c r="B13627" t="s">
        <v>447</v>
      </c>
      <c r="C13627" t="s">
        <v>16243</v>
      </c>
      <c r="D13627" t="s">
        <v>18044</v>
      </c>
      <c r="E13627" t="s">
        <v>29908</v>
      </c>
      <c r="F13627" t="s">
        <v>31574</v>
      </c>
      <c r="G13627" t="s">
        <v>31582</v>
      </c>
      <c r="H13627" t="s">
        <v>31591</v>
      </c>
      <c r="I13627" t="s">
        <v>8822</v>
      </c>
      <c r="J13627" t="s">
        <v>31789</v>
      </c>
      <c r="K13627" t="s">
        <v>41186</v>
      </c>
      <c r="M13627" t="s">
        <v>41941</v>
      </c>
      <c r="N13627" t="s">
        <v>45095</v>
      </c>
      <c r="O13627" t="s">
        <v>45096</v>
      </c>
      <c r="P13627">
        <v>0</v>
      </c>
      <c r="Q13627">
        <v>0</v>
      </c>
      <c r="R13627" t="s">
        <v>45115</v>
      </c>
      <c r="S13627" t="s">
        <v>45845</v>
      </c>
      <c r="T13627" t="s">
        <v>46930</v>
      </c>
      <c r="U13627" t="s">
        <v>48363</v>
      </c>
      <c r="W13627" t="s">
        <v>41941</v>
      </c>
      <c r="X13627" t="s">
        <v>45116</v>
      </c>
    </row>
    <row r="13628" spans="1:24">
      <c r="A13628">
        <f>HYPERLINK("https://www.philgeps.gov.ph/GEPSNONPILOT/Tender/SplashBidNoticeAbstractUI.aspx?menuIndex=3&amp;refID=7016466&amp;Result=3","7016466")</f>
        <v>0</v>
      </c>
      <c r="B13628" t="s">
        <v>2689</v>
      </c>
      <c r="C13628" t="s">
        <v>16244</v>
      </c>
      <c r="D13628" t="s">
        <v>18027</v>
      </c>
      <c r="E13628" t="s">
        <v>29909</v>
      </c>
      <c r="F13628" t="s">
        <v>31574</v>
      </c>
      <c r="G13628" t="s">
        <v>31582</v>
      </c>
      <c r="H13628" t="s">
        <v>31591</v>
      </c>
      <c r="I13628" t="s">
        <v>8822</v>
      </c>
      <c r="J13628" t="s">
        <v>40107</v>
      </c>
      <c r="K13628" t="s">
        <v>41432</v>
      </c>
      <c r="M13628" t="s">
        <v>44454</v>
      </c>
      <c r="N13628" t="s">
        <v>45095</v>
      </c>
      <c r="O13628" t="s">
        <v>45096</v>
      </c>
      <c r="Q13628">
        <v>3</v>
      </c>
      <c r="R13628" t="s">
        <v>45115</v>
      </c>
      <c r="S13628" t="s">
        <v>45916</v>
      </c>
      <c r="T13628" t="s">
        <v>46914</v>
      </c>
      <c r="U13628" t="s">
        <v>58479</v>
      </c>
      <c r="V13628" t="s">
        <v>61357</v>
      </c>
      <c r="W13628" t="s">
        <v>44454</v>
      </c>
      <c r="X13628" t="s">
        <v>45116</v>
      </c>
    </row>
    <row r="13629" spans="1:24">
      <c r="A13629">
        <f>HYPERLINK("https://www.philgeps.gov.ph/GEPSNONPILOT/Tender/SplashBidNoticeAbstractUI.aspx?menuIndex=3&amp;refID=7016462&amp;Result=3","7016462")</f>
        <v>0</v>
      </c>
      <c r="B13629" t="s">
        <v>1017</v>
      </c>
      <c r="C13629" t="s">
        <v>16245</v>
      </c>
      <c r="D13629" t="s">
        <v>18022</v>
      </c>
      <c r="E13629" t="s">
        <v>29910</v>
      </c>
      <c r="F13629" t="s">
        <v>31574</v>
      </c>
      <c r="G13629" t="s">
        <v>31582</v>
      </c>
      <c r="H13629" t="s">
        <v>31591</v>
      </c>
      <c r="I13629" t="s">
        <v>8822</v>
      </c>
      <c r="J13629" t="s">
        <v>40108</v>
      </c>
      <c r="K13629" t="s">
        <v>41342</v>
      </c>
      <c r="M13629" t="s">
        <v>44889</v>
      </c>
      <c r="N13629" t="s">
        <v>45095</v>
      </c>
      <c r="O13629" t="s">
        <v>45096</v>
      </c>
      <c r="P13629">
        <v>0</v>
      </c>
      <c r="Q13629">
        <v>151</v>
      </c>
      <c r="R13629" t="s">
        <v>45115</v>
      </c>
      <c r="S13629" t="s">
        <v>45845</v>
      </c>
      <c r="T13629" t="s">
        <v>47050</v>
      </c>
      <c r="U13629" t="s">
        <v>58480</v>
      </c>
      <c r="W13629" t="s">
        <v>44889</v>
      </c>
      <c r="X13629" t="s">
        <v>45116</v>
      </c>
    </row>
    <row r="13630" spans="1:24">
      <c r="A13630">
        <f>HYPERLINK("https://www.philgeps.gov.ph/GEPSNONPILOT/Tender/SplashBidNoticeAbstractUI.aspx?menuIndex=3&amp;refID=7016388&amp;Result=3","7016388")</f>
        <v>0</v>
      </c>
      <c r="B13630" t="s">
        <v>2094</v>
      </c>
      <c r="C13630" t="s">
        <v>16246</v>
      </c>
      <c r="D13630" t="s">
        <v>18038</v>
      </c>
      <c r="E13630" t="s">
        <v>29911</v>
      </c>
      <c r="F13630" t="s">
        <v>31574</v>
      </c>
      <c r="G13630" t="s">
        <v>31582</v>
      </c>
      <c r="H13630" t="s">
        <v>31590</v>
      </c>
      <c r="I13630" t="s">
        <v>4046</v>
      </c>
      <c r="J13630" t="s">
        <v>40109</v>
      </c>
      <c r="K13630" t="s">
        <v>41190</v>
      </c>
      <c r="M13630" t="s">
        <v>43771</v>
      </c>
      <c r="N13630" t="s">
        <v>45095</v>
      </c>
      <c r="O13630" t="s">
        <v>45096</v>
      </c>
      <c r="P13630">
        <v>0</v>
      </c>
      <c r="Q13630">
        <v>1</v>
      </c>
      <c r="R13630" t="s">
        <v>45115</v>
      </c>
      <c r="S13630" t="s">
        <v>45845</v>
      </c>
      <c r="T13630" t="s">
        <v>47183</v>
      </c>
      <c r="U13630" t="s">
        <v>58477</v>
      </c>
      <c r="V13630" t="s">
        <v>60606</v>
      </c>
      <c r="W13630" t="s">
        <v>43771</v>
      </c>
      <c r="X13630" t="s">
        <v>45116</v>
      </c>
    </row>
    <row r="13631" spans="1:24">
      <c r="A13631">
        <f>HYPERLINK("https://www.philgeps.gov.ph/GEPSNONPILOT/Tender/SplashBidNoticeAbstractUI.aspx?menuIndex=3&amp;refID=7016459&amp;Result=3","7016459")</f>
        <v>0</v>
      </c>
      <c r="B13631" t="s">
        <v>3053</v>
      </c>
      <c r="C13631" t="s">
        <v>16247</v>
      </c>
      <c r="D13631" t="s">
        <v>18022</v>
      </c>
      <c r="E13631" t="s">
        <v>29912</v>
      </c>
      <c r="F13631" t="s">
        <v>31574</v>
      </c>
      <c r="G13631" t="s">
        <v>31582</v>
      </c>
      <c r="H13631" t="s">
        <v>31592</v>
      </c>
      <c r="I13631" t="s">
        <v>31662</v>
      </c>
      <c r="J13631" t="s">
        <v>32639</v>
      </c>
      <c r="K13631" t="s">
        <v>41200</v>
      </c>
      <c r="M13631" t="s">
        <v>44890</v>
      </c>
      <c r="N13631" t="s">
        <v>45095</v>
      </c>
      <c r="O13631" t="s">
        <v>45096</v>
      </c>
      <c r="P13631">
        <v>0</v>
      </c>
      <c r="Q13631">
        <v>3</v>
      </c>
      <c r="R13631" t="s">
        <v>45115</v>
      </c>
      <c r="S13631" t="s">
        <v>45845</v>
      </c>
      <c r="T13631" t="s">
        <v>46963</v>
      </c>
      <c r="U13631" t="s">
        <v>58481</v>
      </c>
      <c r="W13631" t="s">
        <v>61773</v>
      </c>
      <c r="X13631" t="s">
        <v>45116</v>
      </c>
    </row>
    <row r="13632" spans="1:24">
      <c r="A13632">
        <f>HYPERLINK("https://www.philgeps.gov.ph/GEPSNONPILOT/Tender/SplashBidNoticeAbstractUI.aspx?menuIndex=3&amp;refID=7016415&amp;Result=3","7016415")</f>
        <v>0</v>
      </c>
      <c r="B13632" t="s">
        <v>2013</v>
      </c>
      <c r="C13632" t="s">
        <v>16248</v>
      </c>
      <c r="D13632" t="s">
        <v>18095</v>
      </c>
      <c r="E13632" t="s">
        <v>29913</v>
      </c>
      <c r="F13632" t="s">
        <v>31574</v>
      </c>
      <c r="G13632" t="s">
        <v>31582</v>
      </c>
      <c r="H13632" t="s">
        <v>31591</v>
      </c>
      <c r="I13632" t="s">
        <v>8822</v>
      </c>
      <c r="J13632" t="s">
        <v>40110</v>
      </c>
      <c r="K13632" t="s">
        <v>41198</v>
      </c>
      <c r="M13632" t="s">
        <v>43675</v>
      </c>
      <c r="N13632" t="s">
        <v>45095</v>
      </c>
      <c r="O13632" t="s">
        <v>45096</v>
      </c>
      <c r="Q13632">
        <v>38</v>
      </c>
      <c r="R13632" t="s">
        <v>45115</v>
      </c>
      <c r="S13632" t="s">
        <v>45917</v>
      </c>
      <c r="T13632" t="s">
        <v>46985</v>
      </c>
      <c r="U13632" t="s">
        <v>58482</v>
      </c>
      <c r="V13632" t="s">
        <v>61358</v>
      </c>
      <c r="W13632" t="s">
        <v>43675</v>
      </c>
      <c r="X13632" t="s">
        <v>45116</v>
      </c>
    </row>
    <row r="13633" spans="1:24">
      <c r="A13633">
        <f>HYPERLINK("https://www.philgeps.gov.ph/GEPSNONPILOT/Tender/SplashBidNoticeAbstractUI.aspx?menuIndex=3&amp;refID=7016437&amp;Result=3","7016437")</f>
        <v>0</v>
      </c>
      <c r="B13633" t="s">
        <v>2013</v>
      </c>
      <c r="C13633" t="s">
        <v>16249</v>
      </c>
      <c r="D13633" t="s">
        <v>18095</v>
      </c>
      <c r="E13633" t="s">
        <v>29914</v>
      </c>
      <c r="F13633" t="s">
        <v>31574</v>
      </c>
      <c r="G13633" t="s">
        <v>31582</v>
      </c>
      <c r="H13633" t="s">
        <v>31591</v>
      </c>
      <c r="I13633" t="s">
        <v>8822</v>
      </c>
      <c r="J13633" t="s">
        <v>40111</v>
      </c>
      <c r="K13633" t="s">
        <v>41243</v>
      </c>
      <c r="M13633" t="s">
        <v>43675</v>
      </c>
      <c r="N13633" t="s">
        <v>45095</v>
      </c>
      <c r="O13633" t="s">
        <v>45096</v>
      </c>
      <c r="Q13633">
        <v>28</v>
      </c>
      <c r="R13633" t="s">
        <v>45115</v>
      </c>
      <c r="S13633" t="s">
        <v>45918</v>
      </c>
      <c r="T13633" t="s">
        <v>46985</v>
      </c>
      <c r="U13633" t="s">
        <v>58483</v>
      </c>
      <c r="V13633" t="s">
        <v>61359</v>
      </c>
      <c r="W13633" t="s">
        <v>43675</v>
      </c>
      <c r="X13633" t="s">
        <v>45116</v>
      </c>
    </row>
    <row r="13634" spans="1:24">
      <c r="A13634">
        <f>HYPERLINK("https://www.philgeps.gov.ph/GEPSNONPILOT/Tender/SplashBidNoticeAbstractUI.aspx?menuIndex=3&amp;refID=7016457&amp;Result=3","7016457")</f>
        <v>0</v>
      </c>
      <c r="B13634" t="s">
        <v>1846</v>
      </c>
      <c r="C13634" t="s">
        <v>16250</v>
      </c>
      <c r="D13634" t="s">
        <v>18066</v>
      </c>
      <c r="E13634" t="s">
        <v>29915</v>
      </c>
      <c r="F13634" t="s">
        <v>31574</v>
      </c>
      <c r="G13634" t="s">
        <v>31582</v>
      </c>
      <c r="H13634" t="s">
        <v>31591</v>
      </c>
      <c r="I13634" t="s">
        <v>8822</v>
      </c>
      <c r="J13634" t="s">
        <v>31935</v>
      </c>
      <c r="K13634" t="s">
        <v>41192</v>
      </c>
      <c r="M13634" t="s">
        <v>43484</v>
      </c>
      <c r="N13634" t="s">
        <v>45095</v>
      </c>
      <c r="O13634" t="s">
        <v>45096</v>
      </c>
      <c r="P13634">
        <v>0</v>
      </c>
      <c r="Q13634">
        <v>1</v>
      </c>
      <c r="R13634" t="s">
        <v>45115</v>
      </c>
      <c r="S13634" t="s">
        <v>45845</v>
      </c>
      <c r="T13634" t="s">
        <v>47159</v>
      </c>
      <c r="U13634" t="s">
        <v>58484</v>
      </c>
      <c r="W13634" t="s">
        <v>43484</v>
      </c>
      <c r="X13634" t="s">
        <v>45116</v>
      </c>
    </row>
    <row r="13635" spans="1:24">
      <c r="A13635">
        <f>HYPERLINK("https://www.philgeps.gov.ph/GEPSNONPILOT/Tender/SplashBidNoticeAbstractUI.aspx?menuIndex=3&amp;refID=7016461&amp;Result=3","7016461")</f>
        <v>0</v>
      </c>
      <c r="B13635" t="s">
        <v>2689</v>
      </c>
      <c r="C13635" t="s">
        <v>16251</v>
      </c>
      <c r="D13635" t="s">
        <v>18027</v>
      </c>
      <c r="E13635" t="s">
        <v>29916</v>
      </c>
      <c r="F13635" t="s">
        <v>31574</v>
      </c>
      <c r="G13635" t="s">
        <v>31582</v>
      </c>
      <c r="H13635" t="s">
        <v>31591</v>
      </c>
      <c r="I13635" t="s">
        <v>8822</v>
      </c>
      <c r="J13635" t="s">
        <v>34697</v>
      </c>
      <c r="K13635" t="s">
        <v>41472</v>
      </c>
      <c r="M13635" t="s">
        <v>44454</v>
      </c>
      <c r="N13635" t="s">
        <v>45095</v>
      </c>
      <c r="O13635" t="s">
        <v>45096</v>
      </c>
      <c r="P13635">
        <v>0</v>
      </c>
      <c r="Q13635">
        <v>1</v>
      </c>
      <c r="R13635" t="s">
        <v>45115</v>
      </c>
      <c r="S13635" t="s">
        <v>45845</v>
      </c>
      <c r="T13635" t="s">
        <v>46963</v>
      </c>
      <c r="U13635" t="s">
        <v>58485</v>
      </c>
      <c r="V13635" t="s">
        <v>61360</v>
      </c>
      <c r="W13635" t="s">
        <v>44454</v>
      </c>
      <c r="X13635" t="s">
        <v>45116</v>
      </c>
    </row>
    <row r="13636" spans="1:24">
      <c r="A13636">
        <f>HYPERLINK("https://www.philgeps.gov.ph/GEPSNONPILOT/Tender/SplashBidNoticeAbstractUI.aspx?menuIndex=3&amp;refID=7016434&amp;Result=3","7016434")</f>
        <v>0</v>
      </c>
      <c r="B13636" t="s">
        <v>231</v>
      </c>
      <c r="C13636" t="s">
        <v>16252</v>
      </c>
      <c r="D13636" t="s">
        <v>18088</v>
      </c>
      <c r="E13636" t="s">
        <v>29917</v>
      </c>
      <c r="F13636" t="s">
        <v>31574</v>
      </c>
      <c r="G13636" t="s">
        <v>31582</v>
      </c>
      <c r="H13636" t="s">
        <v>31591</v>
      </c>
      <c r="I13636" t="s">
        <v>8822</v>
      </c>
      <c r="J13636" t="s">
        <v>32258</v>
      </c>
      <c r="K13636" t="s">
        <v>41269</v>
      </c>
      <c r="M13636" t="s">
        <v>41716</v>
      </c>
      <c r="N13636" t="s">
        <v>45095</v>
      </c>
      <c r="O13636" t="s">
        <v>45096</v>
      </c>
      <c r="P13636">
        <v>0</v>
      </c>
      <c r="Q13636">
        <v>0</v>
      </c>
      <c r="R13636" t="s">
        <v>45115</v>
      </c>
      <c r="S13636" t="s">
        <v>45845</v>
      </c>
      <c r="T13636" t="s">
        <v>46926</v>
      </c>
      <c r="U13636" t="s">
        <v>58486</v>
      </c>
      <c r="W13636" t="s">
        <v>41716</v>
      </c>
      <c r="X13636" t="s">
        <v>45116</v>
      </c>
    </row>
    <row r="13637" spans="1:24">
      <c r="A13637">
        <f>HYPERLINK("https://www.philgeps.gov.ph/GEPSNONPILOT/Tender/SplashBidNoticeAbstractUI.aspx?menuIndex=3&amp;refID=7016468&amp;Result=3","7016468")</f>
        <v>0</v>
      </c>
      <c r="B13637" t="s">
        <v>2245</v>
      </c>
      <c r="C13637" t="s">
        <v>16253</v>
      </c>
      <c r="D13637" t="s">
        <v>18040</v>
      </c>
      <c r="E13637" t="s">
        <v>29918</v>
      </c>
      <c r="F13637" t="s">
        <v>31574</v>
      </c>
      <c r="G13637" t="s">
        <v>31582</v>
      </c>
      <c r="H13637" t="s">
        <v>31591</v>
      </c>
      <c r="I13637" t="s">
        <v>8822</v>
      </c>
      <c r="J13637" t="s">
        <v>32019</v>
      </c>
      <c r="K13637" t="s">
        <v>41186</v>
      </c>
      <c r="M13637" t="s">
        <v>43943</v>
      </c>
      <c r="N13637" t="s">
        <v>45095</v>
      </c>
      <c r="O13637" t="s">
        <v>45096</v>
      </c>
      <c r="P13637">
        <v>0</v>
      </c>
      <c r="Q13637">
        <v>0</v>
      </c>
      <c r="R13637" t="s">
        <v>45115</v>
      </c>
      <c r="S13637" t="s">
        <v>45845</v>
      </c>
      <c r="T13637" t="s">
        <v>47050</v>
      </c>
      <c r="U13637" t="s">
        <v>58476</v>
      </c>
      <c r="W13637" t="s">
        <v>43943</v>
      </c>
      <c r="X13637" t="s">
        <v>45116</v>
      </c>
    </row>
    <row r="13638" spans="1:24">
      <c r="A13638">
        <f>HYPERLINK("https://www.philgeps.gov.ph/GEPSNONPILOT/Tender/SplashBidNoticeAbstractUI.aspx?menuIndex=3&amp;refID=7016438&amp;Result=3","7016438")</f>
        <v>0</v>
      </c>
      <c r="B13638" t="s">
        <v>2094</v>
      </c>
      <c r="C13638" t="s">
        <v>16254</v>
      </c>
      <c r="D13638" t="s">
        <v>18038</v>
      </c>
      <c r="E13638" t="s">
        <v>29919</v>
      </c>
      <c r="F13638" t="s">
        <v>31574</v>
      </c>
      <c r="G13638" t="s">
        <v>31582</v>
      </c>
      <c r="H13638" t="s">
        <v>31590</v>
      </c>
      <c r="I13638" t="s">
        <v>31602</v>
      </c>
      <c r="J13638" t="s">
        <v>40099</v>
      </c>
      <c r="K13638" t="s">
        <v>41186</v>
      </c>
      <c r="M13638" t="s">
        <v>43771</v>
      </c>
      <c r="N13638" t="s">
        <v>45095</v>
      </c>
      <c r="O13638" t="s">
        <v>45096</v>
      </c>
      <c r="P13638">
        <v>0</v>
      </c>
      <c r="Q13638">
        <v>0</v>
      </c>
      <c r="R13638" t="s">
        <v>45115</v>
      </c>
      <c r="S13638" t="s">
        <v>45845</v>
      </c>
      <c r="T13638" t="s">
        <v>47183</v>
      </c>
      <c r="U13638" t="s">
        <v>58469</v>
      </c>
      <c r="V13638" t="s">
        <v>60606</v>
      </c>
      <c r="W13638" t="s">
        <v>43771</v>
      </c>
      <c r="X13638" t="s">
        <v>45116</v>
      </c>
    </row>
    <row r="13639" spans="1:24">
      <c r="A13639">
        <f>HYPERLINK("https://www.philgeps.gov.ph/GEPSNONPILOT/Tender/SplashBidNoticeAbstractUI.aspx?menuIndex=3&amp;refID=7016458&amp;Result=3","7016458")</f>
        <v>0</v>
      </c>
      <c r="B13639" t="s">
        <v>2245</v>
      </c>
      <c r="C13639" t="s">
        <v>16255</v>
      </c>
      <c r="D13639" t="s">
        <v>18040</v>
      </c>
      <c r="E13639" t="s">
        <v>29920</v>
      </c>
      <c r="F13639" t="s">
        <v>31574</v>
      </c>
      <c r="G13639" t="s">
        <v>31582</v>
      </c>
      <c r="H13639" t="s">
        <v>31591</v>
      </c>
      <c r="I13639" t="s">
        <v>8822</v>
      </c>
      <c r="J13639" t="s">
        <v>32019</v>
      </c>
      <c r="K13639" t="s">
        <v>41185</v>
      </c>
      <c r="M13639" t="s">
        <v>43943</v>
      </c>
      <c r="N13639" t="s">
        <v>45095</v>
      </c>
      <c r="O13639" t="s">
        <v>45096</v>
      </c>
      <c r="P13639">
        <v>0</v>
      </c>
      <c r="Q13639">
        <v>0</v>
      </c>
      <c r="R13639" t="s">
        <v>45115</v>
      </c>
      <c r="S13639" t="s">
        <v>45845</v>
      </c>
      <c r="T13639" t="s">
        <v>47050</v>
      </c>
      <c r="U13639" t="s">
        <v>58472</v>
      </c>
      <c r="W13639" t="s">
        <v>43943</v>
      </c>
      <c r="X13639" t="s">
        <v>45116</v>
      </c>
    </row>
    <row r="13640" spans="1:24">
      <c r="A13640">
        <f>HYPERLINK("https://www.philgeps.gov.ph/GEPSNONPILOT/Tender/SplashBidNoticeAbstractUI.aspx?menuIndex=3&amp;refID=7016456&amp;Result=3","7016456")</f>
        <v>0</v>
      </c>
      <c r="B13640" t="s">
        <v>2689</v>
      </c>
      <c r="C13640" t="s">
        <v>16256</v>
      </c>
      <c r="D13640" t="s">
        <v>18027</v>
      </c>
      <c r="E13640" t="s">
        <v>29921</v>
      </c>
      <c r="F13640" t="s">
        <v>31574</v>
      </c>
      <c r="G13640" t="s">
        <v>31582</v>
      </c>
      <c r="H13640" t="s">
        <v>31591</v>
      </c>
      <c r="I13640" t="s">
        <v>8822</v>
      </c>
      <c r="J13640" t="s">
        <v>34697</v>
      </c>
      <c r="K13640" t="s">
        <v>41432</v>
      </c>
      <c r="M13640" t="s">
        <v>44454</v>
      </c>
      <c r="N13640" t="s">
        <v>45095</v>
      </c>
      <c r="O13640" t="s">
        <v>45096</v>
      </c>
      <c r="P13640">
        <v>0</v>
      </c>
      <c r="Q13640">
        <v>2</v>
      </c>
      <c r="R13640" t="s">
        <v>45115</v>
      </c>
      <c r="S13640" t="s">
        <v>45845</v>
      </c>
      <c r="T13640" t="s">
        <v>46963</v>
      </c>
      <c r="U13640" t="s">
        <v>58487</v>
      </c>
      <c r="V13640" t="s">
        <v>61361</v>
      </c>
      <c r="W13640" t="s">
        <v>44454</v>
      </c>
      <c r="X13640" t="s">
        <v>45116</v>
      </c>
    </row>
    <row r="13641" spans="1:24">
      <c r="A13641">
        <f>HYPERLINK("https://www.philgeps.gov.ph/GEPSNONPILOT/Tender/SplashBidNoticeAbstractUI.aspx?menuIndex=3&amp;refID=7016483&amp;Result=3","7016483")</f>
        <v>0</v>
      </c>
      <c r="B13641" t="s">
        <v>2245</v>
      </c>
      <c r="C13641" t="s">
        <v>16257</v>
      </c>
      <c r="D13641" t="s">
        <v>18040</v>
      </c>
      <c r="E13641" t="s">
        <v>29922</v>
      </c>
      <c r="F13641" t="s">
        <v>31574</v>
      </c>
      <c r="G13641" t="s">
        <v>31582</v>
      </c>
      <c r="H13641" t="s">
        <v>31591</v>
      </c>
      <c r="I13641" t="s">
        <v>8822</v>
      </c>
      <c r="J13641" t="s">
        <v>31935</v>
      </c>
      <c r="K13641" t="s">
        <v>41186</v>
      </c>
      <c r="M13641" t="s">
        <v>43943</v>
      </c>
      <c r="N13641" t="s">
        <v>45095</v>
      </c>
      <c r="O13641" t="s">
        <v>45096</v>
      </c>
      <c r="P13641">
        <v>0</v>
      </c>
      <c r="Q13641">
        <v>0</v>
      </c>
      <c r="R13641" t="s">
        <v>45115</v>
      </c>
      <c r="S13641" t="s">
        <v>45845</v>
      </c>
      <c r="T13641" t="s">
        <v>47050</v>
      </c>
      <c r="U13641" t="s">
        <v>58472</v>
      </c>
      <c r="W13641" t="s">
        <v>43943</v>
      </c>
      <c r="X13641" t="s">
        <v>45116</v>
      </c>
    </row>
    <row r="13642" spans="1:24">
      <c r="A13642">
        <f>HYPERLINK("https://www.philgeps.gov.ph/GEPSNONPILOT/Tender/SplashBidNoticeAbstractUI.aspx?menuIndex=3&amp;refID=7016479&amp;Result=3","7016479")</f>
        <v>0</v>
      </c>
      <c r="B13642" t="s">
        <v>2245</v>
      </c>
      <c r="C13642" t="s">
        <v>16258</v>
      </c>
      <c r="D13642" t="s">
        <v>18040</v>
      </c>
      <c r="E13642" t="s">
        <v>29923</v>
      </c>
      <c r="F13642" t="s">
        <v>31574</v>
      </c>
      <c r="G13642" t="s">
        <v>31582</v>
      </c>
      <c r="H13642" t="s">
        <v>31591</v>
      </c>
      <c r="I13642" t="s">
        <v>8822</v>
      </c>
      <c r="J13642" t="s">
        <v>31935</v>
      </c>
      <c r="K13642" t="s">
        <v>41186</v>
      </c>
      <c r="M13642" t="s">
        <v>43943</v>
      </c>
      <c r="N13642" t="s">
        <v>45095</v>
      </c>
      <c r="O13642" t="s">
        <v>45096</v>
      </c>
      <c r="P13642">
        <v>0</v>
      </c>
      <c r="Q13642">
        <v>0</v>
      </c>
      <c r="R13642" t="s">
        <v>45115</v>
      </c>
      <c r="S13642" t="s">
        <v>45845</v>
      </c>
      <c r="T13642" t="s">
        <v>47050</v>
      </c>
      <c r="U13642" t="s">
        <v>58472</v>
      </c>
      <c r="W13642" t="s">
        <v>43943</v>
      </c>
      <c r="X13642" t="s">
        <v>45116</v>
      </c>
    </row>
    <row r="13643" spans="1:24">
      <c r="A13643">
        <f>HYPERLINK("https://www.philgeps.gov.ph/GEPSNONPILOT/Tender/SplashBidNoticeAbstractUI.aspx?menuIndex=3&amp;refID=7016478&amp;Result=3","7016478")</f>
        <v>0</v>
      </c>
      <c r="B13643" t="s">
        <v>447</v>
      </c>
      <c r="C13643" t="s">
        <v>16259</v>
      </c>
      <c r="D13643" t="s">
        <v>18044</v>
      </c>
      <c r="E13643" t="s">
        <v>29924</v>
      </c>
      <c r="F13643" t="s">
        <v>31574</v>
      </c>
      <c r="G13643" t="s">
        <v>31582</v>
      </c>
      <c r="H13643" t="s">
        <v>31591</v>
      </c>
      <c r="I13643" t="s">
        <v>8822</v>
      </c>
      <c r="J13643" t="s">
        <v>40112</v>
      </c>
      <c r="K13643" t="s">
        <v>41186</v>
      </c>
      <c r="M13643" t="s">
        <v>41941</v>
      </c>
      <c r="N13643" t="s">
        <v>45095</v>
      </c>
      <c r="O13643" t="s">
        <v>45096</v>
      </c>
      <c r="P13643">
        <v>0</v>
      </c>
      <c r="Q13643">
        <v>0</v>
      </c>
      <c r="R13643" t="s">
        <v>45115</v>
      </c>
      <c r="S13643" t="s">
        <v>45845</v>
      </c>
      <c r="T13643" t="s">
        <v>46985</v>
      </c>
      <c r="U13643" t="s">
        <v>58488</v>
      </c>
      <c r="W13643" t="s">
        <v>41941</v>
      </c>
      <c r="X13643" t="s">
        <v>45116</v>
      </c>
    </row>
    <row r="13644" spans="1:24">
      <c r="A13644">
        <f>HYPERLINK("https://www.philgeps.gov.ph/GEPSNONPILOT/Tender/SplashBidNoticeAbstractUI.aspx?menuIndex=3&amp;refID=7016482&amp;Result=3","7016482")</f>
        <v>0</v>
      </c>
      <c r="B13644" t="s">
        <v>2143</v>
      </c>
      <c r="C13644" t="s">
        <v>16260</v>
      </c>
      <c r="E13644" t="s">
        <v>29925</v>
      </c>
      <c r="F13644" t="s">
        <v>31574</v>
      </c>
      <c r="G13644" t="s">
        <v>31582</v>
      </c>
      <c r="H13644" t="s">
        <v>31591</v>
      </c>
      <c r="I13644" t="s">
        <v>8822</v>
      </c>
      <c r="J13644" t="s">
        <v>31935</v>
      </c>
      <c r="K13644" t="s">
        <v>41185</v>
      </c>
      <c r="M13644" t="s">
        <v>43825</v>
      </c>
      <c r="N13644" t="s">
        <v>45095</v>
      </c>
      <c r="O13644" t="s">
        <v>45096</v>
      </c>
      <c r="Q13644">
        <v>0</v>
      </c>
      <c r="R13644" t="s">
        <v>45115</v>
      </c>
      <c r="S13644" t="s">
        <v>45919</v>
      </c>
      <c r="T13644" t="s">
        <v>46985</v>
      </c>
      <c r="U13644" t="s">
        <v>58489</v>
      </c>
      <c r="V13644" t="s">
        <v>60619</v>
      </c>
      <c r="W13644" t="s">
        <v>43825</v>
      </c>
      <c r="X13644" t="s">
        <v>45116</v>
      </c>
    </row>
    <row r="13645" spans="1:24">
      <c r="A13645">
        <f>HYPERLINK("https://www.philgeps.gov.ph/GEPSNONPILOT/Tender/SplashBidNoticeAbstractUI.aspx?menuIndex=3&amp;refID=7016496&amp;Result=3","7016496")</f>
        <v>0</v>
      </c>
      <c r="B13645" t="s">
        <v>2143</v>
      </c>
      <c r="C13645" t="s">
        <v>16261</v>
      </c>
      <c r="D13645" t="s">
        <v>18027</v>
      </c>
      <c r="E13645" t="s">
        <v>29926</v>
      </c>
      <c r="F13645" t="s">
        <v>31574</v>
      </c>
      <c r="G13645" t="s">
        <v>31582</v>
      </c>
      <c r="H13645" t="s">
        <v>31590</v>
      </c>
      <c r="I13645" t="s">
        <v>31602</v>
      </c>
      <c r="J13645" t="s">
        <v>40113</v>
      </c>
      <c r="K13645" t="s">
        <v>41189</v>
      </c>
      <c r="M13645" t="s">
        <v>44891</v>
      </c>
      <c r="N13645" t="s">
        <v>45095</v>
      </c>
      <c r="O13645" t="s">
        <v>45096</v>
      </c>
      <c r="P13645">
        <v>0</v>
      </c>
      <c r="Q13645">
        <v>0</v>
      </c>
      <c r="R13645" t="s">
        <v>45115</v>
      </c>
      <c r="S13645" t="s">
        <v>45845</v>
      </c>
      <c r="T13645" t="s">
        <v>46963</v>
      </c>
      <c r="U13645" t="s">
        <v>58490</v>
      </c>
      <c r="V13645" t="s">
        <v>61362</v>
      </c>
      <c r="W13645" t="s">
        <v>44891</v>
      </c>
      <c r="X13645" t="s">
        <v>45116</v>
      </c>
    </row>
    <row r="13646" spans="1:24">
      <c r="A13646">
        <f>HYPERLINK("https://www.philgeps.gov.ph/GEPSNONPILOT/Tender/SplashBidNoticeAbstractUI.aspx?menuIndex=3&amp;refID=7016494&amp;Result=3","7016494")</f>
        <v>0</v>
      </c>
      <c r="B13646" t="s">
        <v>691</v>
      </c>
      <c r="C13646" t="s">
        <v>16262</v>
      </c>
      <c r="D13646" t="s">
        <v>18043</v>
      </c>
      <c r="E13646" t="s">
        <v>29927</v>
      </c>
      <c r="F13646" t="s">
        <v>31574</v>
      </c>
      <c r="G13646" t="s">
        <v>31582</v>
      </c>
      <c r="H13646" t="s">
        <v>31591</v>
      </c>
      <c r="I13646" t="s">
        <v>8822</v>
      </c>
      <c r="J13646" t="s">
        <v>40114</v>
      </c>
      <c r="K13646" t="s">
        <v>41196</v>
      </c>
      <c r="M13646" t="s">
        <v>44640</v>
      </c>
      <c r="N13646" t="s">
        <v>45095</v>
      </c>
      <c r="O13646" t="s">
        <v>45096</v>
      </c>
      <c r="P13646">
        <v>0</v>
      </c>
      <c r="Q13646">
        <v>7</v>
      </c>
      <c r="R13646" t="s">
        <v>45115</v>
      </c>
      <c r="S13646" t="s">
        <v>45845</v>
      </c>
      <c r="T13646" t="s">
        <v>47159</v>
      </c>
      <c r="U13646" t="s">
        <v>56911</v>
      </c>
      <c r="W13646" t="s">
        <v>44640</v>
      </c>
      <c r="X13646" t="s">
        <v>45116</v>
      </c>
    </row>
    <row r="13647" spans="1:24">
      <c r="A13647">
        <f>HYPERLINK("https://www.philgeps.gov.ph/GEPSNONPILOT/Tender/SplashBidNoticeAbstractUI.aspx?menuIndex=3&amp;refID=7016485&amp;Result=3","7016485")</f>
        <v>0</v>
      </c>
      <c r="B13647" t="s">
        <v>691</v>
      </c>
      <c r="C13647" t="s">
        <v>16263</v>
      </c>
      <c r="D13647" t="s">
        <v>18043</v>
      </c>
      <c r="E13647" t="s">
        <v>29928</v>
      </c>
      <c r="F13647" t="s">
        <v>31574</v>
      </c>
      <c r="G13647" t="s">
        <v>31582</v>
      </c>
      <c r="H13647" t="s">
        <v>31591</v>
      </c>
      <c r="I13647" t="s">
        <v>8822</v>
      </c>
      <c r="J13647" t="s">
        <v>31771</v>
      </c>
      <c r="K13647" t="s">
        <v>41303</v>
      </c>
      <c r="M13647" t="s">
        <v>44640</v>
      </c>
      <c r="N13647" t="s">
        <v>45095</v>
      </c>
      <c r="O13647" t="s">
        <v>45096</v>
      </c>
      <c r="P13647">
        <v>0</v>
      </c>
      <c r="Q13647">
        <v>6</v>
      </c>
      <c r="R13647" t="s">
        <v>45115</v>
      </c>
      <c r="S13647" t="s">
        <v>45845</v>
      </c>
      <c r="T13647" t="s">
        <v>47159</v>
      </c>
      <c r="U13647" t="s">
        <v>56911</v>
      </c>
      <c r="W13647" t="s">
        <v>44640</v>
      </c>
      <c r="X13647" t="s">
        <v>45116</v>
      </c>
    </row>
    <row r="13648" spans="1:24">
      <c r="A13648">
        <f>HYPERLINK("https://www.philgeps.gov.ph/GEPSNONPILOT/Tender/SplashBidNoticeAbstractUI.aspx?menuIndex=3&amp;refID=7016490&amp;Result=3","7016490")</f>
        <v>0</v>
      </c>
      <c r="B13648" t="s">
        <v>2143</v>
      </c>
      <c r="C13648" t="s">
        <v>16264</v>
      </c>
      <c r="E13648" t="s">
        <v>29929</v>
      </c>
      <c r="F13648" t="s">
        <v>31574</v>
      </c>
      <c r="G13648" t="s">
        <v>31582</v>
      </c>
      <c r="H13648" t="s">
        <v>31591</v>
      </c>
      <c r="I13648" t="s">
        <v>8822</v>
      </c>
      <c r="J13648" t="s">
        <v>31935</v>
      </c>
      <c r="K13648" t="s">
        <v>41185</v>
      </c>
      <c r="M13648" t="s">
        <v>43825</v>
      </c>
      <c r="N13648" t="s">
        <v>45095</v>
      </c>
      <c r="O13648" t="s">
        <v>45096</v>
      </c>
      <c r="Q13648">
        <v>1</v>
      </c>
      <c r="R13648" t="s">
        <v>45115</v>
      </c>
      <c r="S13648" t="s">
        <v>45920</v>
      </c>
      <c r="T13648" t="s">
        <v>46985</v>
      </c>
      <c r="U13648" t="s">
        <v>58489</v>
      </c>
      <c r="V13648" t="s">
        <v>60619</v>
      </c>
      <c r="W13648" t="s">
        <v>43825</v>
      </c>
      <c r="X13648" t="s">
        <v>45116</v>
      </c>
    </row>
    <row r="13649" spans="1:24">
      <c r="A13649">
        <f>HYPERLINK("https://www.philgeps.gov.ph/GEPSNONPILOT/Tender/SplashBidNoticeAbstractUI.aspx?menuIndex=3&amp;refID=7016480&amp;Result=3","7016480")</f>
        <v>0</v>
      </c>
      <c r="B13649" t="s">
        <v>1017</v>
      </c>
      <c r="C13649" t="s">
        <v>16265</v>
      </c>
      <c r="D13649" t="s">
        <v>18022</v>
      </c>
      <c r="E13649" t="s">
        <v>29930</v>
      </c>
      <c r="F13649" t="s">
        <v>31574</v>
      </c>
      <c r="G13649" t="s">
        <v>31582</v>
      </c>
      <c r="H13649" t="s">
        <v>31591</v>
      </c>
      <c r="I13649" t="s">
        <v>8822</v>
      </c>
      <c r="J13649" t="s">
        <v>40115</v>
      </c>
      <c r="K13649" t="s">
        <v>41235</v>
      </c>
      <c r="M13649" t="s">
        <v>44889</v>
      </c>
      <c r="N13649" t="s">
        <v>45095</v>
      </c>
      <c r="O13649" t="s">
        <v>45096</v>
      </c>
      <c r="P13649">
        <v>0</v>
      </c>
      <c r="Q13649">
        <v>157</v>
      </c>
      <c r="R13649" t="s">
        <v>45115</v>
      </c>
      <c r="S13649" t="s">
        <v>45845</v>
      </c>
      <c r="T13649" t="s">
        <v>47050</v>
      </c>
      <c r="U13649" t="s">
        <v>58480</v>
      </c>
      <c r="W13649" t="s">
        <v>44889</v>
      </c>
      <c r="X13649" t="s">
        <v>45116</v>
      </c>
    </row>
    <row r="13650" spans="1:24">
      <c r="A13650">
        <f>HYPERLINK("https://www.philgeps.gov.ph/GEPSNONPILOT/Tender/SplashBidNoticeAbstractUI.aspx?menuIndex=3&amp;refID=7016493&amp;Result=3","7016493")</f>
        <v>0</v>
      </c>
      <c r="B13650" t="s">
        <v>2143</v>
      </c>
      <c r="C13650" t="s">
        <v>16266</v>
      </c>
      <c r="E13650" t="s">
        <v>29931</v>
      </c>
      <c r="F13650" t="s">
        <v>31574</v>
      </c>
      <c r="G13650" t="s">
        <v>31582</v>
      </c>
      <c r="H13650" t="s">
        <v>31591</v>
      </c>
      <c r="I13650" t="s">
        <v>8822</v>
      </c>
      <c r="J13650" t="s">
        <v>31935</v>
      </c>
      <c r="K13650" t="s">
        <v>41192</v>
      </c>
      <c r="M13650" t="s">
        <v>43825</v>
      </c>
      <c r="N13650" t="s">
        <v>45095</v>
      </c>
      <c r="O13650" t="s">
        <v>45096</v>
      </c>
      <c r="Q13650">
        <v>0</v>
      </c>
      <c r="R13650" t="s">
        <v>45115</v>
      </c>
      <c r="S13650" t="s">
        <v>45921</v>
      </c>
      <c r="T13650" t="s">
        <v>46985</v>
      </c>
      <c r="U13650" t="s">
        <v>58489</v>
      </c>
      <c r="V13650" t="s">
        <v>60619</v>
      </c>
      <c r="W13650" t="s">
        <v>43825</v>
      </c>
      <c r="X13650" t="s">
        <v>45116</v>
      </c>
    </row>
    <row r="13651" spans="1:24">
      <c r="A13651">
        <f>HYPERLINK("https://www.philgeps.gov.ph/GEPSNONPILOT/Tender/SplashBidNoticeAbstractUI.aspx?menuIndex=3&amp;refID=7016486&amp;Result=3","7016486")</f>
        <v>0</v>
      </c>
      <c r="B13651" t="s">
        <v>2143</v>
      </c>
      <c r="C13651" t="s">
        <v>16267</v>
      </c>
      <c r="E13651" t="s">
        <v>29932</v>
      </c>
      <c r="F13651" t="s">
        <v>31574</v>
      </c>
      <c r="G13651" t="s">
        <v>31582</v>
      </c>
      <c r="H13651" t="s">
        <v>31591</v>
      </c>
      <c r="I13651" t="s">
        <v>8822</v>
      </c>
      <c r="J13651" t="s">
        <v>31935</v>
      </c>
      <c r="K13651" t="s">
        <v>41185</v>
      </c>
      <c r="M13651" t="s">
        <v>43825</v>
      </c>
      <c r="N13651" t="s">
        <v>45095</v>
      </c>
      <c r="O13651" t="s">
        <v>45096</v>
      </c>
      <c r="Q13651">
        <v>0</v>
      </c>
      <c r="R13651" t="s">
        <v>45115</v>
      </c>
      <c r="S13651" t="s">
        <v>45920</v>
      </c>
      <c r="T13651" t="s">
        <v>46985</v>
      </c>
      <c r="U13651" t="s">
        <v>58489</v>
      </c>
      <c r="V13651" t="s">
        <v>60619</v>
      </c>
      <c r="W13651" t="s">
        <v>43825</v>
      </c>
      <c r="X13651" t="s">
        <v>45116</v>
      </c>
    </row>
    <row r="13652" spans="1:24">
      <c r="A13652">
        <f>HYPERLINK("https://www.philgeps.gov.ph/GEPSNONPILOT/Tender/SplashBidNoticeAbstractUI.aspx?menuIndex=3&amp;refID=7016484&amp;Result=3","7016484")</f>
        <v>0</v>
      </c>
      <c r="B13652" t="s">
        <v>2143</v>
      </c>
      <c r="C13652" t="s">
        <v>16268</v>
      </c>
      <c r="E13652" t="s">
        <v>29933</v>
      </c>
      <c r="F13652" t="s">
        <v>31574</v>
      </c>
      <c r="G13652" t="s">
        <v>31582</v>
      </c>
      <c r="H13652" t="s">
        <v>31591</v>
      </c>
      <c r="I13652" t="s">
        <v>8822</v>
      </c>
      <c r="J13652" t="s">
        <v>31935</v>
      </c>
      <c r="K13652" t="s">
        <v>41185</v>
      </c>
      <c r="M13652" t="s">
        <v>43825</v>
      </c>
      <c r="N13652" t="s">
        <v>45095</v>
      </c>
      <c r="O13652" t="s">
        <v>45096</v>
      </c>
      <c r="Q13652">
        <v>0</v>
      </c>
      <c r="R13652" t="s">
        <v>45115</v>
      </c>
      <c r="S13652" t="s">
        <v>45922</v>
      </c>
      <c r="T13652" t="s">
        <v>46985</v>
      </c>
      <c r="U13652" t="s">
        <v>58489</v>
      </c>
      <c r="V13652" t="s">
        <v>60619</v>
      </c>
      <c r="W13652" t="s">
        <v>43825</v>
      </c>
      <c r="X13652" t="s">
        <v>45116</v>
      </c>
    </row>
    <row r="13653" spans="1:24">
      <c r="A13653">
        <f>HYPERLINK("https://www.philgeps.gov.ph/GEPSNONPILOT/Tender/SplashBidNoticeAbstractUI.aspx?menuIndex=3&amp;refID=7016475&amp;Result=3","7016475")</f>
        <v>0</v>
      </c>
      <c r="B13653" t="s">
        <v>2245</v>
      </c>
      <c r="C13653" t="s">
        <v>16269</v>
      </c>
      <c r="D13653" t="s">
        <v>18040</v>
      </c>
      <c r="E13653" t="s">
        <v>29934</v>
      </c>
      <c r="F13653" t="s">
        <v>31574</v>
      </c>
      <c r="G13653" t="s">
        <v>31582</v>
      </c>
      <c r="H13653" t="s">
        <v>31591</v>
      </c>
      <c r="I13653" t="s">
        <v>8822</v>
      </c>
      <c r="J13653" t="s">
        <v>31935</v>
      </c>
      <c r="K13653" t="s">
        <v>41185</v>
      </c>
      <c r="M13653" t="s">
        <v>43943</v>
      </c>
      <c r="N13653" t="s">
        <v>45095</v>
      </c>
      <c r="O13653" t="s">
        <v>45096</v>
      </c>
      <c r="P13653">
        <v>0</v>
      </c>
      <c r="Q13653">
        <v>0</v>
      </c>
      <c r="R13653" t="s">
        <v>45115</v>
      </c>
      <c r="S13653" t="s">
        <v>45845</v>
      </c>
      <c r="T13653" t="s">
        <v>47050</v>
      </c>
      <c r="U13653" t="s">
        <v>58472</v>
      </c>
      <c r="W13653" t="s">
        <v>43943</v>
      </c>
      <c r="X13653" t="s">
        <v>45116</v>
      </c>
    </row>
    <row r="13654" spans="1:24">
      <c r="A13654">
        <f>HYPERLINK("https://www.philgeps.gov.ph/GEPSNONPILOT/Tender/SplashBidNoticeAbstractUI.aspx?menuIndex=3&amp;refID=7016472&amp;Result=3","7016472")</f>
        <v>0</v>
      </c>
      <c r="B13654" t="s">
        <v>1017</v>
      </c>
      <c r="C13654" t="s">
        <v>16270</v>
      </c>
      <c r="D13654" t="s">
        <v>18022</v>
      </c>
      <c r="E13654" t="s">
        <v>29935</v>
      </c>
      <c r="F13654" t="s">
        <v>31574</v>
      </c>
      <c r="G13654" t="s">
        <v>31582</v>
      </c>
      <c r="H13654" t="s">
        <v>31591</v>
      </c>
      <c r="I13654" t="s">
        <v>8822</v>
      </c>
      <c r="J13654" t="s">
        <v>40116</v>
      </c>
      <c r="K13654" t="s">
        <v>41235</v>
      </c>
      <c r="M13654" t="s">
        <v>44889</v>
      </c>
      <c r="N13654" t="s">
        <v>45095</v>
      </c>
      <c r="O13654" t="s">
        <v>45096</v>
      </c>
      <c r="P13654">
        <v>0</v>
      </c>
      <c r="Q13654">
        <v>159</v>
      </c>
      <c r="R13654" t="s">
        <v>45115</v>
      </c>
      <c r="S13654" t="s">
        <v>45845</v>
      </c>
      <c r="T13654" t="s">
        <v>47050</v>
      </c>
      <c r="U13654" t="s">
        <v>55360</v>
      </c>
      <c r="W13654" t="s">
        <v>44889</v>
      </c>
      <c r="X13654" t="s">
        <v>45116</v>
      </c>
    </row>
    <row r="13655" spans="1:24">
      <c r="A13655">
        <f>HYPERLINK("https://www.philgeps.gov.ph/GEPSNONPILOT/Tender/SplashBidNoticeAbstractUI.aspx?menuIndex=3&amp;refID=7016481&amp;Result=3","7016481")</f>
        <v>0</v>
      </c>
      <c r="B13655" t="s">
        <v>2245</v>
      </c>
      <c r="C13655" t="s">
        <v>16271</v>
      </c>
      <c r="D13655" t="s">
        <v>18040</v>
      </c>
      <c r="E13655" t="s">
        <v>29936</v>
      </c>
      <c r="F13655" t="s">
        <v>31574</v>
      </c>
      <c r="G13655" t="s">
        <v>31582</v>
      </c>
      <c r="H13655" t="s">
        <v>31591</v>
      </c>
      <c r="I13655" t="s">
        <v>8822</v>
      </c>
      <c r="J13655" t="s">
        <v>32235</v>
      </c>
      <c r="K13655" t="s">
        <v>41186</v>
      </c>
      <c r="M13655" t="s">
        <v>43943</v>
      </c>
      <c r="N13655" t="s">
        <v>45095</v>
      </c>
      <c r="O13655" t="s">
        <v>45096</v>
      </c>
      <c r="P13655">
        <v>0</v>
      </c>
      <c r="Q13655">
        <v>0</v>
      </c>
      <c r="R13655" t="s">
        <v>45115</v>
      </c>
      <c r="S13655" t="s">
        <v>45845</v>
      </c>
      <c r="T13655" t="s">
        <v>47050</v>
      </c>
      <c r="U13655" t="s">
        <v>58476</v>
      </c>
      <c r="W13655" t="s">
        <v>43943</v>
      </c>
      <c r="X13655" t="s">
        <v>45116</v>
      </c>
    </row>
    <row r="13656" spans="1:24">
      <c r="A13656">
        <f>HYPERLINK("https://www.philgeps.gov.ph/GEPSNONPILOT/Tender/SplashBidNoticeAbstractUI.aspx?menuIndex=3&amp;refID=7016487&amp;Result=3","7016487")</f>
        <v>0</v>
      </c>
      <c r="B13656" t="s">
        <v>1017</v>
      </c>
      <c r="C13656" t="s">
        <v>16272</v>
      </c>
      <c r="D13656" t="s">
        <v>18022</v>
      </c>
      <c r="E13656" t="s">
        <v>29937</v>
      </c>
      <c r="F13656" t="s">
        <v>31574</v>
      </c>
      <c r="G13656" t="s">
        <v>31582</v>
      </c>
      <c r="H13656" t="s">
        <v>31591</v>
      </c>
      <c r="I13656" t="s">
        <v>8822</v>
      </c>
      <c r="J13656" t="s">
        <v>40117</v>
      </c>
      <c r="K13656" t="s">
        <v>41206</v>
      </c>
      <c r="M13656" t="s">
        <v>44889</v>
      </c>
      <c r="N13656" t="s">
        <v>45095</v>
      </c>
      <c r="O13656" t="s">
        <v>45096</v>
      </c>
      <c r="P13656">
        <v>0</v>
      </c>
      <c r="Q13656">
        <v>222</v>
      </c>
      <c r="R13656" t="s">
        <v>45115</v>
      </c>
      <c r="S13656" t="s">
        <v>45845</v>
      </c>
      <c r="T13656" t="s">
        <v>47050</v>
      </c>
      <c r="U13656" t="s">
        <v>58491</v>
      </c>
      <c r="W13656" t="s">
        <v>44889</v>
      </c>
      <c r="X13656" t="s">
        <v>45116</v>
      </c>
    </row>
    <row r="13657" spans="1:24">
      <c r="A13657">
        <f>HYPERLINK("https://www.philgeps.gov.ph/GEPSNONPILOT/Tender/SplashBidNoticeAbstractUI.aspx?menuIndex=3&amp;refID=7004897&amp;Result=3","7004897")</f>
        <v>0</v>
      </c>
      <c r="B13657" t="s">
        <v>2340</v>
      </c>
      <c r="C13657" t="s">
        <v>16273</v>
      </c>
      <c r="D13657" t="s">
        <v>18036</v>
      </c>
      <c r="E13657" t="s">
        <v>29938</v>
      </c>
      <c r="F13657" t="s">
        <v>31574</v>
      </c>
      <c r="G13657" t="s">
        <v>31582</v>
      </c>
      <c r="H13657" t="s">
        <v>31590</v>
      </c>
      <c r="I13657" t="s">
        <v>31602</v>
      </c>
      <c r="J13657" t="s">
        <v>40118</v>
      </c>
      <c r="K13657" t="s">
        <v>41189</v>
      </c>
      <c r="M13657" t="s">
        <v>44055</v>
      </c>
      <c r="N13657" t="s">
        <v>45095</v>
      </c>
      <c r="O13657" t="s">
        <v>45096</v>
      </c>
      <c r="P13657">
        <v>0</v>
      </c>
      <c r="Q13657">
        <v>0</v>
      </c>
      <c r="R13657" t="s">
        <v>45116</v>
      </c>
      <c r="S13657" t="s">
        <v>45923</v>
      </c>
      <c r="T13657" t="s">
        <v>46914</v>
      </c>
      <c r="U13657" t="s">
        <v>58492</v>
      </c>
      <c r="V13657" t="s">
        <v>60582</v>
      </c>
      <c r="W13657" t="s">
        <v>44055</v>
      </c>
      <c r="X13657" t="s">
        <v>45123</v>
      </c>
    </row>
    <row r="13658" spans="1:24">
      <c r="A13658">
        <f>HYPERLINK("https://www.philgeps.gov.ph/GEPSNONPILOT/Tender/SplashBidNoticeAbstractUI.aspx?menuIndex=3&amp;refID=7004878&amp;Result=3","7004878")</f>
        <v>0</v>
      </c>
      <c r="B13658" t="s">
        <v>2340</v>
      </c>
      <c r="C13658" t="s">
        <v>16274</v>
      </c>
      <c r="D13658" t="s">
        <v>18036</v>
      </c>
      <c r="E13658" t="s">
        <v>29939</v>
      </c>
      <c r="F13658" t="s">
        <v>31574</v>
      </c>
      <c r="G13658" t="s">
        <v>31582</v>
      </c>
      <c r="H13658" t="s">
        <v>31591</v>
      </c>
      <c r="I13658" t="s">
        <v>8822</v>
      </c>
      <c r="J13658" t="s">
        <v>40119</v>
      </c>
      <c r="K13658" t="s">
        <v>41348</v>
      </c>
      <c r="M13658" t="s">
        <v>44053</v>
      </c>
      <c r="N13658" t="s">
        <v>45095</v>
      </c>
      <c r="O13658" t="s">
        <v>45096</v>
      </c>
      <c r="P13658">
        <v>0</v>
      </c>
      <c r="Q13658">
        <v>1</v>
      </c>
      <c r="R13658" t="s">
        <v>45116</v>
      </c>
      <c r="S13658" t="s">
        <v>45923</v>
      </c>
      <c r="T13658" t="s">
        <v>46914</v>
      </c>
      <c r="U13658" t="s">
        <v>58493</v>
      </c>
      <c r="V13658" t="s">
        <v>60582</v>
      </c>
      <c r="W13658" t="s">
        <v>44053</v>
      </c>
      <c r="X13658" t="s">
        <v>45123</v>
      </c>
    </row>
    <row r="13659" spans="1:24">
      <c r="A13659">
        <f>HYPERLINK("https://www.philgeps.gov.ph/GEPSNONPILOT/Tender/SplashBidNoticeAbstractUI.aspx?menuIndex=3&amp;refID=7016471&amp;Result=3","7016471")</f>
        <v>0</v>
      </c>
      <c r="B13659" t="s">
        <v>2689</v>
      </c>
      <c r="C13659" t="s">
        <v>16275</v>
      </c>
      <c r="D13659" t="s">
        <v>18027</v>
      </c>
      <c r="E13659" t="s">
        <v>29940</v>
      </c>
      <c r="F13659" t="s">
        <v>31574</v>
      </c>
      <c r="G13659" t="s">
        <v>31582</v>
      </c>
      <c r="H13659" t="s">
        <v>31591</v>
      </c>
      <c r="I13659" t="s">
        <v>8822</v>
      </c>
      <c r="J13659" t="s">
        <v>34980</v>
      </c>
      <c r="K13659" t="s">
        <v>41472</v>
      </c>
      <c r="M13659" t="s">
        <v>44454</v>
      </c>
      <c r="N13659" t="s">
        <v>45095</v>
      </c>
      <c r="O13659" t="s">
        <v>45096</v>
      </c>
      <c r="P13659">
        <v>0</v>
      </c>
      <c r="Q13659">
        <v>7</v>
      </c>
      <c r="R13659" t="s">
        <v>45115</v>
      </c>
      <c r="S13659" t="s">
        <v>45845</v>
      </c>
      <c r="T13659" t="s">
        <v>46963</v>
      </c>
      <c r="U13659" t="s">
        <v>58494</v>
      </c>
      <c r="V13659" t="s">
        <v>61363</v>
      </c>
      <c r="W13659" t="s">
        <v>44454</v>
      </c>
      <c r="X13659" t="s">
        <v>45116</v>
      </c>
    </row>
    <row r="13660" spans="1:24">
      <c r="A13660">
        <f>HYPERLINK("https://www.philgeps.gov.ph/GEPSNONPILOT/Tender/SplashBidNoticeAbstractUI.aspx?menuIndex=3&amp;refID=7016440&amp;Result=3","7016440")</f>
        <v>0</v>
      </c>
      <c r="B13660" t="s">
        <v>231</v>
      </c>
      <c r="C13660" t="s">
        <v>16276</v>
      </c>
      <c r="D13660" t="s">
        <v>18088</v>
      </c>
      <c r="E13660" t="s">
        <v>29941</v>
      </c>
      <c r="F13660" t="s">
        <v>31574</v>
      </c>
      <c r="G13660" t="s">
        <v>31582</v>
      </c>
      <c r="H13660" t="s">
        <v>31591</v>
      </c>
      <c r="I13660" t="s">
        <v>8822</v>
      </c>
      <c r="J13660" t="s">
        <v>31962</v>
      </c>
      <c r="K13660" t="s">
        <v>41206</v>
      </c>
      <c r="M13660" t="s">
        <v>41716</v>
      </c>
      <c r="N13660" t="s">
        <v>45095</v>
      </c>
      <c r="O13660" t="s">
        <v>45096</v>
      </c>
      <c r="P13660">
        <v>0</v>
      </c>
      <c r="Q13660">
        <v>0</v>
      </c>
      <c r="R13660" t="s">
        <v>45115</v>
      </c>
      <c r="S13660" t="s">
        <v>45845</v>
      </c>
      <c r="T13660" t="s">
        <v>46926</v>
      </c>
      <c r="U13660" t="s">
        <v>58495</v>
      </c>
      <c r="W13660" t="s">
        <v>41716</v>
      </c>
      <c r="X13660" t="s">
        <v>45116</v>
      </c>
    </row>
    <row r="13661" spans="1:24">
      <c r="A13661">
        <f>HYPERLINK("https://www.philgeps.gov.ph/GEPSNONPILOT/Tender/SplashBidNoticeAbstractUI.aspx?menuIndex=3&amp;refID=7016495&amp;Result=3","7016495")</f>
        <v>0</v>
      </c>
      <c r="B13661" t="s">
        <v>2143</v>
      </c>
      <c r="C13661" t="s">
        <v>16277</v>
      </c>
      <c r="E13661" t="s">
        <v>29942</v>
      </c>
      <c r="F13661" t="s">
        <v>31574</v>
      </c>
      <c r="G13661" t="s">
        <v>31582</v>
      </c>
      <c r="H13661" t="s">
        <v>31591</v>
      </c>
      <c r="I13661" t="s">
        <v>8822</v>
      </c>
      <c r="J13661" t="s">
        <v>32019</v>
      </c>
      <c r="K13661" t="s">
        <v>41185</v>
      </c>
      <c r="M13661" t="s">
        <v>43825</v>
      </c>
      <c r="N13661" t="s">
        <v>45095</v>
      </c>
      <c r="O13661" t="s">
        <v>45096</v>
      </c>
      <c r="Q13661">
        <v>0</v>
      </c>
      <c r="R13661" t="s">
        <v>45115</v>
      </c>
      <c r="S13661" t="s">
        <v>45921</v>
      </c>
      <c r="T13661" t="s">
        <v>46985</v>
      </c>
      <c r="U13661" t="s">
        <v>58489</v>
      </c>
      <c r="V13661" t="s">
        <v>60619</v>
      </c>
      <c r="W13661" t="s">
        <v>43825</v>
      </c>
      <c r="X13661" t="s">
        <v>45116</v>
      </c>
    </row>
    <row r="13662" spans="1:24">
      <c r="A13662">
        <f>HYPERLINK("https://www.philgeps.gov.ph/GEPSNONPILOT/Tender/SplashBidNoticeAbstractUI.aspx?menuIndex=3&amp;refID=6996992&amp;Result=3","6996992")</f>
        <v>0</v>
      </c>
      <c r="B13662" t="s">
        <v>2340</v>
      </c>
      <c r="C13662" t="s">
        <v>16278</v>
      </c>
      <c r="D13662" t="s">
        <v>18036</v>
      </c>
      <c r="E13662" t="s">
        <v>29943</v>
      </c>
      <c r="F13662" t="s">
        <v>31574</v>
      </c>
      <c r="G13662" t="s">
        <v>31582</v>
      </c>
      <c r="H13662" t="s">
        <v>31591</v>
      </c>
      <c r="I13662" t="s">
        <v>8822</v>
      </c>
      <c r="J13662" t="s">
        <v>40120</v>
      </c>
      <c r="K13662" t="s">
        <v>41198</v>
      </c>
      <c r="M13662" t="s">
        <v>44053</v>
      </c>
      <c r="N13662" t="s">
        <v>45095</v>
      </c>
      <c r="O13662" t="s">
        <v>45096</v>
      </c>
      <c r="P13662">
        <v>0</v>
      </c>
      <c r="Q13662">
        <v>1</v>
      </c>
      <c r="R13662" t="s">
        <v>45116</v>
      </c>
      <c r="S13662" t="s">
        <v>45923</v>
      </c>
      <c r="T13662" t="s">
        <v>46914</v>
      </c>
      <c r="U13662" t="s">
        <v>58496</v>
      </c>
      <c r="V13662" t="s">
        <v>60582</v>
      </c>
      <c r="W13662" t="s">
        <v>44053</v>
      </c>
      <c r="X13662" t="s">
        <v>45129</v>
      </c>
    </row>
    <row r="13663" spans="1:24">
      <c r="A13663">
        <f>HYPERLINK("https://www.philgeps.gov.ph/GEPSNONPILOT/Tender/SplashBidNoticeAbstractUI.aspx?menuIndex=3&amp;refID=7016477&amp;Result=3","7016477")</f>
        <v>0</v>
      </c>
      <c r="B13663" t="s">
        <v>2143</v>
      </c>
      <c r="C13663" t="s">
        <v>16279</v>
      </c>
      <c r="E13663" t="s">
        <v>29944</v>
      </c>
      <c r="F13663" t="s">
        <v>31574</v>
      </c>
      <c r="G13663" t="s">
        <v>31582</v>
      </c>
      <c r="H13663" t="s">
        <v>31591</v>
      </c>
      <c r="I13663" t="s">
        <v>8822</v>
      </c>
      <c r="J13663" t="s">
        <v>31935</v>
      </c>
      <c r="K13663" t="s">
        <v>41185</v>
      </c>
      <c r="M13663" t="s">
        <v>43825</v>
      </c>
      <c r="N13663" t="s">
        <v>45095</v>
      </c>
      <c r="O13663" t="s">
        <v>45096</v>
      </c>
      <c r="Q13663">
        <v>0</v>
      </c>
      <c r="R13663" t="s">
        <v>45115</v>
      </c>
      <c r="S13663" t="s">
        <v>45919</v>
      </c>
      <c r="T13663" t="s">
        <v>46985</v>
      </c>
      <c r="U13663" t="s">
        <v>58489</v>
      </c>
      <c r="V13663" t="s">
        <v>60619</v>
      </c>
      <c r="W13663" t="s">
        <v>43825</v>
      </c>
      <c r="X13663" t="s">
        <v>45116</v>
      </c>
    </row>
    <row r="13664" spans="1:24">
      <c r="A13664">
        <f>HYPERLINK("https://www.philgeps.gov.ph/GEPSNONPILOT/Tender/SplashBidNoticeAbstractUI.aspx?menuIndex=3&amp;refID=6918700&amp;Result=3","6918700")</f>
        <v>0</v>
      </c>
      <c r="B13664" t="s">
        <v>3054</v>
      </c>
      <c r="C13664" t="s">
        <v>16280</v>
      </c>
      <c r="D13664" t="s">
        <v>18056</v>
      </c>
      <c r="E13664" t="s">
        <v>29945</v>
      </c>
      <c r="F13664" t="s">
        <v>31574</v>
      </c>
      <c r="G13664" t="s">
        <v>31582</v>
      </c>
      <c r="H13664" t="s">
        <v>31591</v>
      </c>
      <c r="I13664" t="s">
        <v>8822</v>
      </c>
      <c r="J13664" t="s">
        <v>40121</v>
      </c>
      <c r="K13664" t="s">
        <v>41198</v>
      </c>
      <c r="M13664" t="s">
        <v>44892</v>
      </c>
      <c r="N13664" t="s">
        <v>45095</v>
      </c>
      <c r="O13664" t="s">
        <v>45096</v>
      </c>
      <c r="P13664">
        <v>0</v>
      </c>
      <c r="Q13664">
        <v>7</v>
      </c>
      <c r="R13664" t="s">
        <v>45116</v>
      </c>
      <c r="S13664" t="s">
        <v>45923</v>
      </c>
      <c r="T13664" t="s">
        <v>46973</v>
      </c>
      <c r="U13664" t="s">
        <v>58497</v>
      </c>
      <c r="V13664" t="s">
        <v>61364</v>
      </c>
      <c r="W13664" t="s">
        <v>44892</v>
      </c>
      <c r="X13664" t="s">
        <v>45177</v>
      </c>
    </row>
    <row r="13665" spans="1:24">
      <c r="A13665">
        <f>HYPERLINK("https://www.philgeps.gov.ph/GEPSNONPILOT/Tender/SplashBidNoticeAbstractUI.aspx?menuIndex=3&amp;refID=6997003&amp;Result=3","6997003")</f>
        <v>0</v>
      </c>
      <c r="B13665" t="s">
        <v>2340</v>
      </c>
      <c r="C13665" t="s">
        <v>16281</v>
      </c>
      <c r="D13665" t="s">
        <v>18036</v>
      </c>
      <c r="E13665" t="s">
        <v>29946</v>
      </c>
      <c r="F13665" t="s">
        <v>31574</v>
      </c>
      <c r="G13665" t="s">
        <v>31582</v>
      </c>
      <c r="H13665" t="s">
        <v>31591</v>
      </c>
      <c r="I13665" t="s">
        <v>8822</v>
      </c>
      <c r="J13665" t="s">
        <v>40122</v>
      </c>
      <c r="K13665" t="s">
        <v>41198</v>
      </c>
      <c r="M13665" t="s">
        <v>44053</v>
      </c>
      <c r="N13665" t="s">
        <v>45095</v>
      </c>
      <c r="O13665" t="s">
        <v>45096</v>
      </c>
      <c r="P13665">
        <v>0</v>
      </c>
      <c r="Q13665">
        <v>1</v>
      </c>
      <c r="R13665" t="s">
        <v>45116</v>
      </c>
      <c r="S13665" t="s">
        <v>45923</v>
      </c>
      <c r="T13665" t="s">
        <v>46914</v>
      </c>
      <c r="U13665" t="s">
        <v>58498</v>
      </c>
      <c r="V13665" t="s">
        <v>60582</v>
      </c>
      <c r="W13665" t="s">
        <v>44053</v>
      </c>
      <c r="X13665" t="s">
        <v>45129</v>
      </c>
    </row>
    <row r="13666" spans="1:24">
      <c r="A13666">
        <f>HYPERLINK("https://www.philgeps.gov.ph/GEPSNONPILOT/Tender/SplashBidNoticeAbstractUI.aspx?menuIndex=3&amp;refID=7016535&amp;Result=3","7016535")</f>
        <v>0</v>
      </c>
      <c r="B13666" t="s">
        <v>1087</v>
      </c>
      <c r="C13666" t="s">
        <v>16282</v>
      </c>
      <c r="D13666" t="s">
        <v>18107</v>
      </c>
      <c r="E13666" t="s">
        <v>29947</v>
      </c>
      <c r="F13666" t="s">
        <v>31574</v>
      </c>
      <c r="G13666" t="s">
        <v>31582</v>
      </c>
      <c r="H13666" t="s">
        <v>31590</v>
      </c>
      <c r="I13666" t="s">
        <v>7162</v>
      </c>
      <c r="J13666" t="s">
        <v>40123</v>
      </c>
      <c r="K13666" t="s">
        <v>41196</v>
      </c>
      <c r="M13666" t="s">
        <v>42636</v>
      </c>
      <c r="N13666" t="s">
        <v>45095</v>
      </c>
      <c r="O13666" t="s">
        <v>45096</v>
      </c>
      <c r="P13666">
        <v>0</v>
      </c>
      <c r="Q13666">
        <v>0</v>
      </c>
      <c r="R13666" t="s">
        <v>45115</v>
      </c>
      <c r="S13666" t="s">
        <v>45845</v>
      </c>
      <c r="T13666" t="s">
        <v>47064</v>
      </c>
      <c r="U13666" t="s">
        <v>58499</v>
      </c>
      <c r="W13666" t="s">
        <v>42636</v>
      </c>
      <c r="X13666" t="s">
        <v>45116</v>
      </c>
    </row>
    <row r="13667" spans="1:24">
      <c r="A13667">
        <f>HYPERLINK("https://www.philgeps.gov.ph/GEPSNONPILOT/Tender/SplashBidNoticeAbstractUI.aspx?menuIndex=3&amp;refID=7016542&amp;Result=3","7016542")</f>
        <v>0</v>
      </c>
      <c r="B13667" t="s">
        <v>1087</v>
      </c>
      <c r="C13667" t="s">
        <v>16283</v>
      </c>
      <c r="D13667" t="s">
        <v>18107</v>
      </c>
      <c r="E13667" t="s">
        <v>29948</v>
      </c>
      <c r="F13667" t="s">
        <v>31574</v>
      </c>
      <c r="G13667" t="s">
        <v>31582</v>
      </c>
      <c r="H13667" t="s">
        <v>31590</v>
      </c>
      <c r="I13667" t="s">
        <v>31630</v>
      </c>
      <c r="J13667" t="s">
        <v>31843</v>
      </c>
      <c r="K13667" t="s">
        <v>41196</v>
      </c>
      <c r="M13667" t="s">
        <v>42636</v>
      </c>
      <c r="N13667" t="s">
        <v>45095</v>
      </c>
      <c r="O13667" t="s">
        <v>45096</v>
      </c>
      <c r="P13667">
        <v>0</v>
      </c>
      <c r="Q13667">
        <v>0</v>
      </c>
      <c r="R13667" t="s">
        <v>45115</v>
      </c>
      <c r="S13667" t="s">
        <v>45845</v>
      </c>
      <c r="T13667" t="s">
        <v>47064</v>
      </c>
      <c r="U13667" t="s">
        <v>58500</v>
      </c>
      <c r="W13667" t="s">
        <v>42636</v>
      </c>
      <c r="X13667" t="s">
        <v>45116</v>
      </c>
    </row>
    <row r="13668" spans="1:24">
      <c r="A13668">
        <f>HYPERLINK("https://www.philgeps.gov.ph/GEPSNONPILOT/Tender/SplashBidNoticeAbstractUI.aspx?menuIndex=3&amp;refID=6997016&amp;Result=3","6997016")</f>
        <v>0</v>
      </c>
      <c r="B13668" t="s">
        <v>2340</v>
      </c>
      <c r="C13668" t="s">
        <v>16284</v>
      </c>
      <c r="D13668" t="s">
        <v>18036</v>
      </c>
      <c r="E13668" t="s">
        <v>29949</v>
      </c>
      <c r="F13668" t="s">
        <v>31574</v>
      </c>
      <c r="G13668" t="s">
        <v>31582</v>
      </c>
      <c r="H13668" t="s">
        <v>31591</v>
      </c>
      <c r="I13668" t="s">
        <v>8822</v>
      </c>
      <c r="J13668" t="s">
        <v>40124</v>
      </c>
      <c r="K13668" t="s">
        <v>41260</v>
      </c>
      <c r="M13668" t="s">
        <v>44053</v>
      </c>
      <c r="N13668" t="s">
        <v>45095</v>
      </c>
      <c r="O13668" t="s">
        <v>45096</v>
      </c>
      <c r="P13668">
        <v>0</v>
      </c>
      <c r="Q13668">
        <v>1</v>
      </c>
      <c r="R13668" t="s">
        <v>45116</v>
      </c>
      <c r="S13668" t="s">
        <v>45923</v>
      </c>
      <c r="T13668" t="s">
        <v>46914</v>
      </c>
      <c r="U13668" t="s">
        <v>58501</v>
      </c>
      <c r="V13668" t="s">
        <v>60582</v>
      </c>
      <c r="W13668" t="s">
        <v>44053</v>
      </c>
      <c r="X13668" t="s">
        <v>45129</v>
      </c>
    </row>
    <row r="13669" spans="1:24">
      <c r="A13669">
        <f>HYPERLINK("https://www.philgeps.gov.ph/GEPSNONPILOT/Tender/SplashBidNoticeAbstractUI.aspx?menuIndex=3&amp;refID=7016528&amp;Result=3","7016528")</f>
        <v>0</v>
      </c>
      <c r="B13669" t="s">
        <v>580</v>
      </c>
      <c r="C13669" t="s">
        <v>16285</v>
      </c>
      <c r="D13669" t="s">
        <v>18048</v>
      </c>
      <c r="E13669" t="s">
        <v>29950</v>
      </c>
      <c r="F13669" t="s">
        <v>31574</v>
      </c>
      <c r="G13669" t="s">
        <v>31582</v>
      </c>
      <c r="H13669" t="s">
        <v>31590</v>
      </c>
      <c r="I13669" t="s">
        <v>14544</v>
      </c>
      <c r="J13669" t="s">
        <v>40125</v>
      </c>
      <c r="K13669" t="s">
        <v>41196</v>
      </c>
      <c r="M13669" t="s">
        <v>42082</v>
      </c>
      <c r="N13669" t="s">
        <v>45095</v>
      </c>
      <c r="O13669" t="s">
        <v>45096</v>
      </c>
      <c r="P13669">
        <v>0</v>
      </c>
      <c r="Q13669">
        <v>1</v>
      </c>
      <c r="R13669" t="s">
        <v>45115</v>
      </c>
      <c r="S13669" t="s">
        <v>45845</v>
      </c>
      <c r="T13669" t="s">
        <v>46920</v>
      </c>
      <c r="U13669" t="s">
        <v>58502</v>
      </c>
      <c r="V13669" t="s">
        <v>60709</v>
      </c>
      <c r="W13669" t="s">
        <v>42082</v>
      </c>
      <c r="X13669" t="s">
        <v>45116</v>
      </c>
    </row>
    <row r="13670" spans="1:24">
      <c r="A13670">
        <f>HYPERLINK("https://www.philgeps.gov.ph/GEPSNONPILOT/Tender/SplashBidNoticeAbstractUI.aspx?menuIndex=3&amp;refID=7000370&amp;Result=3","7000370")</f>
        <v>0</v>
      </c>
      <c r="B13670" t="s">
        <v>2340</v>
      </c>
      <c r="C13670" t="s">
        <v>16286</v>
      </c>
      <c r="D13670" t="s">
        <v>18036</v>
      </c>
      <c r="E13670" t="s">
        <v>29951</v>
      </c>
      <c r="F13670" t="s">
        <v>31574</v>
      </c>
      <c r="G13670" t="s">
        <v>31582</v>
      </c>
      <c r="H13670" t="s">
        <v>31591</v>
      </c>
      <c r="I13670" t="s">
        <v>8822</v>
      </c>
      <c r="J13670" t="s">
        <v>40126</v>
      </c>
      <c r="K13670" t="s">
        <v>41209</v>
      </c>
      <c r="M13670" t="s">
        <v>44053</v>
      </c>
      <c r="N13670" t="s">
        <v>45095</v>
      </c>
      <c r="O13670" t="s">
        <v>45096</v>
      </c>
      <c r="P13670">
        <v>0</v>
      </c>
      <c r="Q13670">
        <v>1</v>
      </c>
      <c r="R13670" t="s">
        <v>45116</v>
      </c>
      <c r="S13670" t="s">
        <v>45923</v>
      </c>
      <c r="T13670" t="s">
        <v>46914</v>
      </c>
      <c r="U13670" t="s">
        <v>58503</v>
      </c>
      <c r="V13670" t="s">
        <v>60582</v>
      </c>
      <c r="W13670" t="s">
        <v>44053</v>
      </c>
      <c r="X13670" t="s">
        <v>45128</v>
      </c>
    </row>
    <row r="13671" spans="1:24">
      <c r="A13671">
        <f>HYPERLINK("https://www.philgeps.gov.ph/GEPSNONPILOT/Tender/SplashBidNoticeAbstractUI.aspx?menuIndex=3&amp;refID=7016497&amp;Result=3","7016497")</f>
        <v>0</v>
      </c>
      <c r="B13671" t="s">
        <v>2143</v>
      </c>
      <c r="C13671" t="s">
        <v>16287</v>
      </c>
      <c r="E13671" t="s">
        <v>29952</v>
      </c>
      <c r="F13671" t="s">
        <v>31574</v>
      </c>
      <c r="G13671" t="s">
        <v>31582</v>
      </c>
      <c r="H13671" t="s">
        <v>31591</v>
      </c>
      <c r="I13671" t="s">
        <v>8822</v>
      </c>
      <c r="J13671" t="s">
        <v>32019</v>
      </c>
      <c r="K13671" t="s">
        <v>41185</v>
      </c>
      <c r="M13671" t="s">
        <v>43825</v>
      </c>
      <c r="N13671" t="s">
        <v>45095</v>
      </c>
      <c r="O13671" t="s">
        <v>45096</v>
      </c>
      <c r="Q13671">
        <v>0</v>
      </c>
      <c r="R13671" t="s">
        <v>45115</v>
      </c>
      <c r="S13671" t="s">
        <v>45924</v>
      </c>
      <c r="T13671" t="s">
        <v>46985</v>
      </c>
      <c r="U13671" t="s">
        <v>58489</v>
      </c>
      <c r="V13671" t="s">
        <v>60619</v>
      </c>
      <c r="W13671" t="s">
        <v>43825</v>
      </c>
      <c r="X13671" t="s">
        <v>45116</v>
      </c>
    </row>
    <row r="13672" spans="1:24">
      <c r="A13672">
        <f>HYPERLINK("https://www.philgeps.gov.ph/GEPSNONPILOT/Tender/SplashBidNoticeAbstractUI.aspx?menuIndex=3&amp;refID=7016521&amp;Result=3","7016521")</f>
        <v>0</v>
      </c>
      <c r="B13672" t="s">
        <v>2549</v>
      </c>
      <c r="C13672" t="s">
        <v>16288</v>
      </c>
      <c r="D13672" t="s">
        <v>18052</v>
      </c>
      <c r="E13672" t="s">
        <v>29548</v>
      </c>
      <c r="F13672" t="s">
        <v>31574</v>
      </c>
      <c r="G13672" t="s">
        <v>31582</v>
      </c>
      <c r="H13672" t="s">
        <v>31590</v>
      </c>
      <c r="I13672" t="s">
        <v>31632</v>
      </c>
      <c r="J13672" t="s">
        <v>40127</v>
      </c>
      <c r="K13672" t="s">
        <v>41190</v>
      </c>
      <c r="L13672" t="s">
        <v>2549</v>
      </c>
      <c r="M13672" t="s">
        <v>44286</v>
      </c>
      <c r="N13672" t="s">
        <v>45095</v>
      </c>
      <c r="O13672" t="s">
        <v>45096</v>
      </c>
      <c r="P13672">
        <v>0</v>
      </c>
      <c r="Q13672">
        <v>0</v>
      </c>
      <c r="R13672" t="s">
        <v>45115</v>
      </c>
      <c r="S13672" t="s">
        <v>45845</v>
      </c>
      <c r="T13672" t="s">
        <v>47094</v>
      </c>
      <c r="U13672" t="s">
        <v>58504</v>
      </c>
      <c r="W13672" t="s">
        <v>44286</v>
      </c>
      <c r="X13672" t="s">
        <v>45116</v>
      </c>
    </row>
    <row r="13673" spans="1:24">
      <c r="A13673">
        <f>HYPERLINK("https://www.philgeps.gov.ph/GEPSNONPILOT/Tender/SplashBidNoticeAbstractUI.aspx?menuIndex=3&amp;refID=7016498&amp;Result=3","7016498")</f>
        <v>0</v>
      </c>
      <c r="B13673" t="s">
        <v>2143</v>
      </c>
      <c r="C13673" t="s">
        <v>16289</v>
      </c>
      <c r="E13673" t="s">
        <v>29953</v>
      </c>
      <c r="F13673" t="s">
        <v>31574</v>
      </c>
      <c r="G13673" t="s">
        <v>31582</v>
      </c>
      <c r="H13673" t="s">
        <v>31591</v>
      </c>
      <c r="I13673" t="s">
        <v>8822</v>
      </c>
      <c r="J13673" t="s">
        <v>32019</v>
      </c>
      <c r="K13673" t="s">
        <v>41185</v>
      </c>
      <c r="M13673" t="s">
        <v>43825</v>
      </c>
      <c r="N13673" t="s">
        <v>45095</v>
      </c>
      <c r="O13673" t="s">
        <v>45096</v>
      </c>
      <c r="Q13673">
        <v>0</v>
      </c>
      <c r="R13673" t="s">
        <v>45115</v>
      </c>
      <c r="S13673" t="s">
        <v>45925</v>
      </c>
      <c r="T13673" t="s">
        <v>46985</v>
      </c>
      <c r="U13673" t="s">
        <v>58489</v>
      </c>
      <c r="V13673" t="s">
        <v>60619</v>
      </c>
      <c r="W13673" t="s">
        <v>43825</v>
      </c>
      <c r="X13673" t="s">
        <v>45116</v>
      </c>
    </row>
    <row r="13674" spans="1:24">
      <c r="A13674">
        <f>HYPERLINK("https://www.philgeps.gov.ph/GEPSNONPILOT/Tender/SplashBidNoticeAbstractUI.aspx?menuIndex=3&amp;refID=7008325&amp;Result=3","7008325")</f>
        <v>0</v>
      </c>
      <c r="B13674" t="s">
        <v>2379</v>
      </c>
      <c r="C13674" t="s">
        <v>16290</v>
      </c>
      <c r="D13674" t="s">
        <v>18090</v>
      </c>
      <c r="E13674" t="s">
        <v>26549</v>
      </c>
      <c r="F13674" t="s">
        <v>31574</v>
      </c>
      <c r="G13674" t="s">
        <v>31582</v>
      </c>
      <c r="H13674" t="s">
        <v>31591</v>
      </c>
      <c r="I13674" t="s">
        <v>8822</v>
      </c>
      <c r="J13674" t="s">
        <v>32510</v>
      </c>
      <c r="K13674" t="s">
        <v>41200</v>
      </c>
      <c r="M13674" t="s">
        <v>44103</v>
      </c>
      <c r="N13674" t="s">
        <v>45095</v>
      </c>
      <c r="O13674" t="s">
        <v>45096</v>
      </c>
      <c r="P13674">
        <v>0</v>
      </c>
      <c r="Q13674">
        <v>0</v>
      </c>
      <c r="R13674" t="s">
        <v>45116</v>
      </c>
      <c r="S13674" t="s">
        <v>45923</v>
      </c>
      <c r="T13674" t="s">
        <v>47064</v>
      </c>
      <c r="U13674" t="s">
        <v>54527</v>
      </c>
      <c r="W13674" t="s">
        <v>44103</v>
      </c>
      <c r="X13674" t="s">
        <v>45122</v>
      </c>
    </row>
    <row r="13675" spans="1:24">
      <c r="A13675">
        <f>HYPERLINK("https://www.philgeps.gov.ph/GEPSNONPILOT/Tender/SplashBidNoticeAbstractUI.aspx?menuIndex=3&amp;refID=7016512&amp;Result=3","7016512")</f>
        <v>0</v>
      </c>
      <c r="B13675" t="s">
        <v>2862</v>
      </c>
      <c r="C13675" t="s">
        <v>16291</v>
      </c>
      <c r="D13675" t="s">
        <v>18053</v>
      </c>
      <c r="E13675" t="s">
        <v>29954</v>
      </c>
      <c r="F13675" t="s">
        <v>31574</v>
      </c>
      <c r="G13675" t="s">
        <v>31582</v>
      </c>
      <c r="H13675" t="s">
        <v>31591</v>
      </c>
      <c r="I13675" t="s">
        <v>8822</v>
      </c>
      <c r="J13675" t="s">
        <v>40128</v>
      </c>
      <c r="K13675" t="s">
        <v>41192</v>
      </c>
      <c r="M13675" t="s">
        <v>44652</v>
      </c>
      <c r="N13675" t="s">
        <v>45095</v>
      </c>
      <c r="O13675" t="s">
        <v>45096</v>
      </c>
      <c r="P13675">
        <v>0</v>
      </c>
      <c r="Q13675">
        <v>1</v>
      </c>
      <c r="R13675" t="s">
        <v>45115</v>
      </c>
      <c r="S13675" t="s">
        <v>45845</v>
      </c>
      <c r="T13675" t="s">
        <v>47183</v>
      </c>
      <c r="U13675" t="s">
        <v>58505</v>
      </c>
      <c r="W13675" t="s">
        <v>61760</v>
      </c>
      <c r="X13675" t="s">
        <v>45116</v>
      </c>
    </row>
    <row r="13676" spans="1:24">
      <c r="A13676">
        <f>HYPERLINK("https://www.philgeps.gov.ph/GEPSNONPILOT/Tender/SplashBidNoticeAbstractUI.aspx?menuIndex=3&amp;refID=7009837&amp;Result=3","7009837")</f>
        <v>0</v>
      </c>
      <c r="B13676" t="s">
        <v>198</v>
      </c>
      <c r="C13676" t="s">
        <v>16292</v>
      </c>
      <c r="D13676" t="s">
        <v>18053</v>
      </c>
      <c r="E13676" t="s">
        <v>29955</v>
      </c>
      <c r="F13676" t="s">
        <v>31574</v>
      </c>
      <c r="G13676" t="s">
        <v>31582</v>
      </c>
      <c r="H13676" t="s">
        <v>31591</v>
      </c>
      <c r="I13676" t="s">
        <v>8822</v>
      </c>
      <c r="J13676" t="s">
        <v>40129</v>
      </c>
      <c r="K13676" t="s">
        <v>41381</v>
      </c>
      <c r="M13676" t="s">
        <v>42853</v>
      </c>
      <c r="N13676" t="s">
        <v>45095</v>
      </c>
      <c r="O13676" t="s">
        <v>45096</v>
      </c>
      <c r="Q13676">
        <v>0</v>
      </c>
      <c r="R13676" t="s">
        <v>45116</v>
      </c>
      <c r="S13676" t="s">
        <v>45256</v>
      </c>
      <c r="T13676" t="s">
        <v>47050</v>
      </c>
      <c r="U13676" t="s">
        <v>58506</v>
      </c>
      <c r="W13676" t="s">
        <v>42853</v>
      </c>
      <c r="X13676" t="s">
        <v>45118</v>
      </c>
    </row>
    <row r="13677" spans="1:24">
      <c r="A13677">
        <f>HYPERLINK("https://www.philgeps.gov.ph/GEPSNONPILOT/Tender/SplashBidNoticeAbstractUI.aspx?menuIndex=3&amp;refID=6942089&amp;Result=3","6942089")</f>
        <v>0</v>
      </c>
      <c r="B13677" t="s">
        <v>1595</v>
      </c>
      <c r="C13677" t="s">
        <v>16293</v>
      </c>
      <c r="D13677" t="s">
        <v>18094</v>
      </c>
      <c r="E13677" t="s">
        <v>29956</v>
      </c>
      <c r="F13677" t="s">
        <v>31574</v>
      </c>
      <c r="G13677" t="s">
        <v>31582</v>
      </c>
      <c r="H13677" t="s">
        <v>31591</v>
      </c>
      <c r="I13677" t="s">
        <v>8822</v>
      </c>
      <c r="J13677" t="s">
        <v>40130</v>
      </c>
      <c r="K13677" t="s">
        <v>41322</v>
      </c>
      <c r="M13677" t="s">
        <v>43199</v>
      </c>
      <c r="N13677" t="s">
        <v>45095</v>
      </c>
      <c r="O13677" t="s">
        <v>45096</v>
      </c>
      <c r="P13677">
        <v>0</v>
      </c>
      <c r="Q13677">
        <v>2</v>
      </c>
      <c r="R13677" t="s">
        <v>45116</v>
      </c>
      <c r="S13677" t="s">
        <v>45923</v>
      </c>
      <c r="T13677" t="s">
        <v>47301</v>
      </c>
      <c r="U13677" t="s">
        <v>58507</v>
      </c>
      <c r="W13677" t="s">
        <v>43199</v>
      </c>
      <c r="X13677" t="s">
        <v>45168</v>
      </c>
    </row>
    <row r="13678" spans="1:24">
      <c r="A13678">
        <f>HYPERLINK("https://www.philgeps.gov.ph/GEPSNONPILOT/Tender/SplashBidNoticeAbstractUI.aspx?menuIndex=3&amp;refID=7009984&amp;Result=3","7009984")</f>
        <v>0</v>
      </c>
      <c r="B13678" t="s">
        <v>46</v>
      </c>
      <c r="C13678" t="s">
        <v>16294</v>
      </c>
      <c r="E13678" t="s">
        <v>29957</v>
      </c>
      <c r="F13678" t="s">
        <v>31574</v>
      </c>
      <c r="G13678" t="s">
        <v>31582</v>
      </c>
      <c r="H13678" t="s">
        <v>31591</v>
      </c>
      <c r="I13678" t="s">
        <v>8822</v>
      </c>
      <c r="J13678" t="s">
        <v>32101</v>
      </c>
      <c r="K13678" t="s">
        <v>41184</v>
      </c>
      <c r="M13678" t="s">
        <v>41529</v>
      </c>
      <c r="N13678" t="s">
        <v>45095</v>
      </c>
      <c r="O13678" t="s">
        <v>45096</v>
      </c>
      <c r="P13678">
        <v>0</v>
      </c>
      <c r="Q13678">
        <v>1</v>
      </c>
      <c r="R13678" t="s">
        <v>45116</v>
      </c>
      <c r="S13678" t="s">
        <v>45923</v>
      </c>
      <c r="T13678" t="s">
        <v>47154</v>
      </c>
      <c r="U13678" t="s">
        <v>58508</v>
      </c>
      <c r="W13678" t="s">
        <v>41529</v>
      </c>
      <c r="X13678" t="s">
        <v>45118</v>
      </c>
    </row>
    <row r="13679" spans="1:24">
      <c r="A13679">
        <f>HYPERLINK("https://www.philgeps.gov.ph/GEPSNONPILOT/Tender/SplashBidNoticeAbstractUI.aspx?menuIndex=3&amp;refID=7010033&amp;Result=3","7010033")</f>
        <v>0</v>
      </c>
      <c r="B13679" t="s">
        <v>46</v>
      </c>
      <c r="C13679" t="s">
        <v>16295</v>
      </c>
      <c r="E13679" t="s">
        <v>29958</v>
      </c>
      <c r="F13679" t="s">
        <v>31574</v>
      </c>
      <c r="G13679" t="s">
        <v>31582</v>
      </c>
      <c r="H13679" t="s">
        <v>31591</v>
      </c>
      <c r="I13679" t="s">
        <v>8822</v>
      </c>
      <c r="J13679" t="s">
        <v>40131</v>
      </c>
      <c r="K13679" t="s">
        <v>41184</v>
      </c>
      <c r="M13679" t="s">
        <v>41529</v>
      </c>
      <c r="N13679" t="s">
        <v>45095</v>
      </c>
      <c r="O13679" t="s">
        <v>45096</v>
      </c>
      <c r="P13679">
        <v>0</v>
      </c>
      <c r="Q13679">
        <v>2</v>
      </c>
      <c r="R13679" t="s">
        <v>45116</v>
      </c>
      <c r="S13679" t="s">
        <v>45923</v>
      </c>
      <c r="T13679" t="s">
        <v>47154</v>
      </c>
      <c r="U13679" t="s">
        <v>58509</v>
      </c>
      <c r="W13679" t="s">
        <v>41529</v>
      </c>
      <c r="X13679" t="s">
        <v>45118</v>
      </c>
    </row>
    <row r="13680" spans="1:24">
      <c r="A13680">
        <f>HYPERLINK("https://www.philgeps.gov.ph/GEPSNONPILOT/Tender/SplashBidNoticeAbstractUI.aspx?menuIndex=3&amp;refID=7016503&amp;Result=3","7016503")</f>
        <v>0</v>
      </c>
      <c r="B13680" t="s">
        <v>2143</v>
      </c>
      <c r="C13680" t="s">
        <v>16296</v>
      </c>
      <c r="E13680" t="s">
        <v>29959</v>
      </c>
      <c r="F13680" t="s">
        <v>31574</v>
      </c>
      <c r="G13680" t="s">
        <v>31582</v>
      </c>
      <c r="H13680" t="s">
        <v>31591</v>
      </c>
      <c r="I13680" t="s">
        <v>8822</v>
      </c>
      <c r="J13680" t="s">
        <v>32019</v>
      </c>
      <c r="K13680" t="s">
        <v>41192</v>
      </c>
      <c r="M13680" t="s">
        <v>43825</v>
      </c>
      <c r="N13680" t="s">
        <v>45095</v>
      </c>
      <c r="O13680" t="s">
        <v>45096</v>
      </c>
      <c r="Q13680">
        <v>0</v>
      </c>
      <c r="R13680" t="s">
        <v>45115</v>
      </c>
      <c r="S13680" t="s">
        <v>45926</v>
      </c>
      <c r="T13680" t="s">
        <v>46985</v>
      </c>
      <c r="U13680" t="s">
        <v>58489</v>
      </c>
      <c r="V13680" t="s">
        <v>60619</v>
      </c>
      <c r="W13680" t="s">
        <v>43825</v>
      </c>
      <c r="X13680" t="s">
        <v>45116</v>
      </c>
    </row>
    <row r="13681" spans="1:24">
      <c r="A13681">
        <f>HYPERLINK("https://www.philgeps.gov.ph/GEPSNONPILOT/Tender/SplashBidNoticeAbstractUI.aspx?menuIndex=3&amp;refID=7016519&amp;Result=3","7016519")</f>
        <v>0</v>
      </c>
      <c r="B13681" t="s">
        <v>108</v>
      </c>
      <c r="C13681" t="s">
        <v>16297</v>
      </c>
      <c r="D13681" t="s">
        <v>18022</v>
      </c>
      <c r="E13681" t="s">
        <v>29960</v>
      </c>
      <c r="F13681" t="s">
        <v>31574</v>
      </c>
      <c r="G13681" t="s">
        <v>31581</v>
      </c>
      <c r="H13681" t="s">
        <v>31590</v>
      </c>
      <c r="I13681" t="s">
        <v>14544</v>
      </c>
      <c r="J13681" t="s">
        <v>40132</v>
      </c>
      <c r="K13681" t="s">
        <v>41186</v>
      </c>
      <c r="M13681" t="s">
        <v>41592</v>
      </c>
      <c r="N13681" t="s">
        <v>45095</v>
      </c>
      <c r="O13681" t="s">
        <v>45096</v>
      </c>
      <c r="Q13681">
        <v>4</v>
      </c>
      <c r="R13681" t="s">
        <v>45115</v>
      </c>
      <c r="S13681" t="s">
        <v>45927</v>
      </c>
      <c r="T13681" t="s">
        <v>47154</v>
      </c>
      <c r="U13681" t="s">
        <v>58510</v>
      </c>
      <c r="W13681" t="s">
        <v>41592</v>
      </c>
      <c r="X13681" t="s">
        <v>45116</v>
      </c>
    </row>
    <row r="13682" spans="1:24">
      <c r="A13682">
        <f>HYPERLINK("https://www.philgeps.gov.ph/GEPSNONPILOT/Tender/SplashBidNoticeAbstractUI.aspx?menuIndex=3&amp;refID=7009951&amp;Result=3","7009951")</f>
        <v>0</v>
      </c>
      <c r="B13682" t="s">
        <v>46</v>
      </c>
      <c r="C13682" t="s">
        <v>16298</v>
      </c>
      <c r="E13682" t="s">
        <v>29961</v>
      </c>
      <c r="F13682" t="s">
        <v>31574</v>
      </c>
      <c r="G13682" t="s">
        <v>31582</v>
      </c>
      <c r="H13682" t="s">
        <v>31591</v>
      </c>
      <c r="I13682" t="s">
        <v>8822</v>
      </c>
      <c r="J13682" t="s">
        <v>32101</v>
      </c>
      <c r="K13682" t="s">
        <v>41184</v>
      </c>
      <c r="M13682" t="s">
        <v>41529</v>
      </c>
      <c r="N13682" t="s">
        <v>45095</v>
      </c>
      <c r="O13682" t="s">
        <v>45096</v>
      </c>
      <c r="P13682">
        <v>0</v>
      </c>
      <c r="Q13682">
        <v>2</v>
      </c>
      <c r="R13682" t="s">
        <v>45116</v>
      </c>
      <c r="S13682" t="s">
        <v>45923</v>
      </c>
      <c r="T13682" t="s">
        <v>47154</v>
      </c>
      <c r="U13682" t="s">
        <v>58511</v>
      </c>
      <c r="W13682" t="s">
        <v>41529</v>
      </c>
      <c r="X13682" t="s">
        <v>45118</v>
      </c>
    </row>
    <row r="13683" spans="1:24">
      <c r="A13683">
        <f>HYPERLINK("https://www.philgeps.gov.ph/GEPSNONPILOT/Tender/SplashBidNoticeAbstractUI.aspx?menuIndex=3&amp;refID=7009966&amp;Result=3","7009966")</f>
        <v>0</v>
      </c>
      <c r="B13683" t="s">
        <v>46</v>
      </c>
      <c r="C13683" t="s">
        <v>16299</v>
      </c>
      <c r="E13683" t="s">
        <v>29962</v>
      </c>
      <c r="F13683" t="s">
        <v>31574</v>
      </c>
      <c r="G13683" t="s">
        <v>31582</v>
      </c>
      <c r="H13683" t="s">
        <v>31591</v>
      </c>
      <c r="I13683" t="s">
        <v>8822</v>
      </c>
      <c r="J13683" t="s">
        <v>31771</v>
      </c>
      <c r="K13683" t="s">
        <v>41184</v>
      </c>
      <c r="M13683" t="s">
        <v>41529</v>
      </c>
      <c r="N13683" t="s">
        <v>45095</v>
      </c>
      <c r="O13683" t="s">
        <v>45096</v>
      </c>
      <c r="P13683">
        <v>0</v>
      </c>
      <c r="Q13683">
        <v>2</v>
      </c>
      <c r="R13683" t="s">
        <v>45116</v>
      </c>
      <c r="S13683" t="s">
        <v>45923</v>
      </c>
      <c r="T13683" t="s">
        <v>47154</v>
      </c>
      <c r="U13683" t="s">
        <v>58512</v>
      </c>
      <c r="W13683" t="s">
        <v>41529</v>
      </c>
      <c r="X13683" t="s">
        <v>45118</v>
      </c>
    </row>
    <row r="13684" spans="1:24">
      <c r="A13684">
        <f>HYPERLINK("https://www.philgeps.gov.ph/GEPSNONPILOT/Tender/SplashBidNoticeAbstractUI.aspx?menuIndex=3&amp;refID=7016508&amp;Result=3","7016508")</f>
        <v>0</v>
      </c>
      <c r="B13684" t="s">
        <v>447</v>
      </c>
      <c r="C13684" t="s">
        <v>16300</v>
      </c>
      <c r="D13684" t="s">
        <v>18044</v>
      </c>
      <c r="E13684" t="s">
        <v>29963</v>
      </c>
      <c r="F13684" t="s">
        <v>31574</v>
      </c>
      <c r="G13684" t="s">
        <v>31582</v>
      </c>
      <c r="H13684" t="s">
        <v>31590</v>
      </c>
      <c r="I13684" t="s">
        <v>8258</v>
      </c>
      <c r="J13684" t="s">
        <v>40133</v>
      </c>
      <c r="K13684" t="s">
        <v>41196</v>
      </c>
      <c r="M13684" t="s">
        <v>41941</v>
      </c>
      <c r="N13684" t="s">
        <v>45095</v>
      </c>
      <c r="O13684" t="s">
        <v>45096</v>
      </c>
      <c r="P13684">
        <v>0</v>
      </c>
      <c r="Q13684">
        <v>11</v>
      </c>
      <c r="R13684" t="s">
        <v>45115</v>
      </c>
      <c r="S13684" t="s">
        <v>45845</v>
      </c>
      <c r="T13684" t="s">
        <v>46985</v>
      </c>
      <c r="U13684" t="s">
        <v>58513</v>
      </c>
      <c r="W13684" t="s">
        <v>41941</v>
      </c>
      <c r="X13684" t="s">
        <v>45116</v>
      </c>
    </row>
    <row r="13685" spans="1:24">
      <c r="A13685">
        <f>HYPERLINK("https://www.philgeps.gov.ph/GEPSNONPILOT/Tender/SplashBidNoticeAbstractUI.aspx?menuIndex=3&amp;refID=7010007&amp;Result=3","7010007")</f>
        <v>0</v>
      </c>
      <c r="B13685" t="s">
        <v>46</v>
      </c>
      <c r="C13685" t="s">
        <v>16301</v>
      </c>
      <c r="E13685" t="s">
        <v>29964</v>
      </c>
      <c r="F13685" t="s">
        <v>31574</v>
      </c>
      <c r="G13685" t="s">
        <v>31582</v>
      </c>
      <c r="H13685" t="s">
        <v>31591</v>
      </c>
      <c r="I13685" t="s">
        <v>8822</v>
      </c>
      <c r="J13685" t="s">
        <v>40134</v>
      </c>
      <c r="K13685" t="s">
        <v>41184</v>
      </c>
      <c r="M13685" t="s">
        <v>41529</v>
      </c>
      <c r="N13685" t="s">
        <v>45095</v>
      </c>
      <c r="O13685" t="s">
        <v>45096</v>
      </c>
      <c r="P13685">
        <v>0</v>
      </c>
      <c r="Q13685">
        <v>2</v>
      </c>
      <c r="R13685" t="s">
        <v>45116</v>
      </c>
      <c r="S13685" t="s">
        <v>45923</v>
      </c>
      <c r="T13685" t="s">
        <v>47154</v>
      </c>
      <c r="U13685" t="s">
        <v>58514</v>
      </c>
      <c r="W13685" t="s">
        <v>41529</v>
      </c>
      <c r="X13685" t="s">
        <v>45118</v>
      </c>
    </row>
    <row r="13686" spans="1:24">
      <c r="A13686">
        <f>HYPERLINK("https://www.philgeps.gov.ph/GEPSNONPILOT/Tender/SplashBidNoticeAbstractUI.aspx?menuIndex=3&amp;refID=7009844&amp;Result=3","7009844")</f>
        <v>0</v>
      </c>
      <c r="B13686" t="s">
        <v>46</v>
      </c>
      <c r="C13686" t="s">
        <v>16302</v>
      </c>
      <c r="E13686" t="s">
        <v>29965</v>
      </c>
      <c r="F13686" t="s">
        <v>31574</v>
      </c>
      <c r="G13686" t="s">
        <v>31582</v>
      </c>
      <c r="H13686" t="s">
        <v>31591</v>
      </c>
      <c r="I13686" t="s">
        <v>8822</v>
      </c>
      <c r="J13686" t="s">
        <v>32101</v>
      </c>
      <c r="K13686" t="s">
        <v>41184</v>
      </c>
      <c r="M13686" t="s">
        <v>41529</v>
      </c>
      <c r="N13686" t="s">
        <v>45095</v>
      </c>
      <c r="O13686" t="s">
        <v>45096</v>
      </c>
      <c r="P13686">
        <v>0</v>
      </c>
      <c r="Q13686">
        <v>7</v>
      </c>
      <c r="R13686" t="s">
        <v>45116</v>
      </c>
      <c r="S13686" t="s">
        <v>45923</v>
      </c>
      <c r="T13686" t="s">
        <v>47154</v>
      </c>
      <c r="U13686" t="s">
        <v>58515</v>
      </c>
      <c r="W13686" t="s">
        <v>41529</v>
      </c>
      <c r="X13686" t="s">
        <v>45118</v>
      </c>
    </row>
    <row r="13687" spans="1:24">
      <c r="A13687">
        <f>HYPERLINK("https://www.philgeps.gov.ph/GEPSNONPILOT/Tender/SplashBidNoticeAbstractUI.aspx?menuIndex=3&amp;refID=7009910&amp;Result=3","7009910")</f>
        <v>0</v>
      </c>
      <c r="B13687" t="s">
        <v>46</v>
      </c>
      <c r="C13687" t="s">
        <v>16303</v>
      </c>
      <c r="E13687" t="s">
        <v>29966</v>
      </c>
      <c r="F13687" t="s">
        <v>31574</v>
      </c>
      <c r="G13687" t="s">
        <v>31582</v>
      </c>
      <c r="H13687" t="s">
        <v>31591</v>
      </c>
      <c r="I13687" t="s">
        <v>8822</v>
      </c>
      <c r="J13687" t="s">
        <v>32101</v>
      </c>
      <c r="K13687" t="s">
        <v>41184</v>
      </c>
      <c r="M13687" t="s">
        <v>41529</v>
      </c>
      <c r="N13687" t="s">
        <v>45095</v>
      </c>
      <c r="O13687" t="s">
        <v>45096</v>
      </c>
      <c r="P13687">
        <v>0</v>
      </c>
      <c r="Q13687">
        <v>2</v>
      </c>
      <c r="R13687" t="s">
        <v>45116</v>
      </c>
      <c r="S13687" t="s">
        <v>45923</v>
      </c>
      <c r="T13687" t="s">
        <v>47154</v>
      </c>
      <c r="U13687" t="s">
        <v>58516</v>
      </c>
      <c r="W13687" t="s">
        <v>41529</v>
      </c>
      <c r="X13687" t="s">
        <v>45118</v>
      </c>
    </row>
    <row r="13688" spans="1:24">
      <c r="A13688">
        <f>HYPERLINK("https://www.philgeps.gov.ph/GEPSNONPILOT/Tender/SplashBidNoticeAbstractUI.aspx?menuIndex=3&amp;refID=7008567&amp;Result=3","7008567")</f>
        <v>0</v>
      </c>
      <c r="B13688" t="s">
        <v>3055</v>
      </c>
      <c r="C13688" t="s">
        <v>16304</v>
      </c>
      <c r="E13688" t="s">
        <v>29967</v>
      </c>
      <c r="F13688" t="s">
        <v>31574</v>
      </c>
      <c r="G13688" t="s">
        <v>31582</v>
      </c>
      <c r="H13688" t="s">
        <v>31591</v>
      </c>
      <c r="I13688" t="s">
        <v>8822</v>
      </c>
      <c r="J13688" t="s">
        <v>40135</v>
      </c>
      <c r="K13688" t="s">
        <v>41198</v>
      </c>
      <c r="M13688" t="s">
        <v>44893</v>
      </c>
      <c r="N13688" t="s">
        <v>45095</v>
      </c>
      <c r="O13688" t="s">
        <v>45096</v>
      </c>
      <c r="Q13688">
        <v>0</v>
      </c>
      <c r="R13688" t="s">
        <v>45116</v>
      </c>
      <c r="S13688" t="s">
        <v>45928</v>
      </c>
      <c r="T13688" t="s">
        <v>47077</v>
      </c>
      <c r="U13688" t="s">
        <v>58517</v>
      </c>
      <c r="V13688" t="s">
        <v>61365</v>
      </c>
      <c r="W13688" t="s">
        <v>44893</v>
      </c>
      <c r="X13688" t="s">
        <v>45122</v>
      </c>
    </row>
    <row r="13689" spans="1:24">
      <c r="A13689">
        <f>HYPERLINK("https://www.philgeps.gov.ph/GEPSNONPILOT/Tender/SplashBidNoticeAbstractUI.aspx?menuIndex=3&amp;refID=7009927&amp;Result=3","7009927")</f>
        <v>0</v>
      </c>
      <c r="B13689" t="s">
        <v>46</v>
      </c>
      <c r="C13689" t="s">
        <v>16305</v>
      </c>
      <c r="E13689" t="s">
        <v>29968</v>
      </c>
      <c r="F13689" t="s">
        <v>31574</v>
      </c>
      <c r="G13689" t="s">
        <v>31582</v>
      </c>
      <c r="H13689" t="s">
        <v>31591</v>
      </c>
      <c r="I13689" t="s">
        <v>8822</v>
      </c>
      <c r="J13689" t="s">
        <v>31771</v>
      </c>
      <c r="K13689" t="s">
        <v>41184</v>
      </c>
      <c r="M13689" t="s">
        <v>41529</v>
      </c>
      <c r="N13689" t="s">
        <v>45095</v>
      </c>
      <c r="O13689" t="s">
        <v>45096</v>
      </c>
      <c r="P13689">
        <v>0</v>
      </c>
      <c r="Q13689">
        <v>2</v>
      </c>
      <c r="R13689" t="s">
        <v>45116</v>
      </c>
      <c r="S13689" t="s">
        <v>45923</v>
      </c>
      <c r="T13689" t="s">
        <v>47154</v>
      </c>
      <c r="U13689" t="s">
        <v>58518</v>
      </c>
      <c r="W13689" t="s">
        <v>41529</v>
      </c>
      <c r="X13689" t="s">
        <v>45118</v>
      </c>
    </row>
    <row r="13690" spans="1:24">
      <c r="A13690">
        <f>HYPERLINK("https://www.philgeps.gov.ph/GEPSNONPILOT/Tender/SplashBidNoticeAbstractUI.aspx?menuIndex=3&amp;refID=7008558&amp;Result=3","7008558")</f>
        <v>0</v>
      </c>
      <c r="B13690" t="s">
        <v>3055</v>
      </c>
      <c r="C13690" t="s">
        <v>16306</v>
      </c>
      <c r="D13690" t="s">
        <v>18051</v>
      </c>
      <c r="E13690" t="s">
        <v>29969</v>
      </c>
      <c r="F13690" t="s">
        <v>31574</v>
      </c>
      <c r="G13690" t="s">
        <v>31582</v>
      </c>
      <c r="H13690" t="s">
        <v>31591</v>
      </c>
      <c r="I13690" t="s">
        <v>8822</v>
      </c>
      <c r="J13690" t="s">
        <v>40136</v>
      </c>
      <c r="K13690" t="s">
        <v>41256</v>
      </c>
      <c r="M13690" t="s">
        <v>44893</v>
      </c>
      <c r="N13690" t="s">
        <v>45095</v>
      </c>
      <c r="O13690" t="s">
        <v>45096</v>
      </c>
      <c r="P13690">
        <v>0</v>
      </c>
      <c r="Q13690">
        <v>0</v>
      </c>
      <c r="R13690" t="s">
        <v>45116</v>
      </c>
      <c r="S13690" t="s">
        <v>45923</v>
      </c>
      <c r="T13690" t="s">
        <v>47077</v>
      </c>
      <c r="U13690" t="s">
        <v>58519</v>
      </c>
      <c r="V13690" t="s">
        <v>61365</v>
      </c>
      <c r="W13690" t="s">
        <v>44893</v>
      </c>
      <c r="X13690" t="s">
        <v>45122</v>
      </c>
    </row>
    <row r="13691" spans="1:24">
      <c r="A13691">
        <f>HYPERLINK("https://www.philgeps.gov.ph/GEPSNONPILOT/Tender/SplashBidNoticeAbstractUI.aspx?menuIndex=3&amp;refID=7009929&amp;Result=3","7009929")</f>
        <v>0</v>
      </c>
      <c r="B13691" t="s">
        <v>3056</v>
      </c>
      <c r="C13691" t="s">
        <v>16307</v>
      </c>
      <c r="D13691" t="s">
        <v>18059</v>
      </c>
      <c r="E13691" t="s">
        <v>29970</v>
      </c>
      <c r="F13691" t="s">
        <v>31574</v>
      </c>
      <c r="G13691" t="s">
        <v>31582</v>
      </c>
      <c r="H13691" t="s">
        <v>31591</v>
      </c>
      <c r="I13691" t="s">
        <v>8822</v>
      </c>
      <c r="J13691" t="s">
        <v>40137</v>
      </c>
      <c r="K13691" t="s">
        <v>41186</v>
      </c>
      <c r="M13691" t="s">
        <v>44894</v>
      </c>
      <c r="N13691" t="s">
        <v>45095</v>
      </c>
      <c r="O13691" t="s">
        <v>45096</v>
      </c>
      <c r="P13691">
        <v>0</v>
      </c>
      <c r="Q13691">
        <v>0</v>
      </c>
      <c r="R13691" t="s">
        <v>45116</v>
      </c>
      <c r="S13691" t="s">
        <v>45923</v>
      </c>
      <c r="T13691" t="s">
        <v>47076</v>
      </c>
      <c r="U13691" t="s">
        <v>58520</v>
      </c>
      <c r="W13691" t="s">
        <v>44894</v>
      </c>
      <c r="X13691" t="s">
        <v>45118</v>
      </c>
    </row>
    <row r="13692" spans="1:24">
      <c r="A13692">
        <f>HYPERLINK("https://www.philgeps.gov.ph/GEPSNONPILOT/Tender/SplashBidNoticeAbstractUI.aspx?menuIndex=3&amp;refID=7008538&amp;Result=3","7008538")</f>
        <v>0</v>
      </c>
      <c r="B13692" t="s">
        <v>3055</v>
      </c>
      <c r="C13692" t="s">
        <v>16308</v>
      </c>
      <c r="D13692" t="s">
        <v>18051</v>
      </c>
      <c r="E13692" t="s">
        <v>29971</v>
      </c>
      <c r="F13692" t="s">
        <v>31574</v>
      </c>
      <c r="G13692" t="s">
        <v>31582</v>
      </c>
      <c r="H13692" t="s">
        <v>31591</v>
      </c>
      <c r="I13692" t="s">
        <v>8822</v>
      </c>
      <c r="J13692" t="s">
        <v>40138</v>
      </c>
      <c r="K13692" t="s">
        <v>41198</v>
      </c>
      <c r="M13692" t="s">
        <v>44893</v>
      </c>
      <c r="N13692" t="s">
        <v>45095</v>
      </c>
      <c r="O13692" t="s">
        <v>45096</v>
      </c>
      <c r="P13692">
        <v>0</v>
      </c>
      <c r="Q13692">
        <v>1</v>
      </c>
      <c r="R13692" t="s">
        <v>45116</v>
      </c>
      <c r="S13692" t="s">
        <v>45923</v>
      </c>
      <c r="T13692" t="s">
        <v>47077</v>
      </c>
      <c r="U13692" t="s">
        <v>58521</v>
      </c>
      <c r="V13692" t="s">
        <v>61365</v>
      </c>
      <c r="W13692" t="s">
        <v>44893</v>
      </c>
      <c r="X13692" t="s">
        <v>45122</v>
      </c>
    </row>
    <row r="13693" spans="1:24">
      <c r="A13693">
        <f>HYPERLINK("https://www.philgeps.gov.ph/GEPSNONPILOT/Tender/SplashBidNoticeAbstractUI.aspx?menuIndex=3&amp;refID=7009585&amp;Result=3","7009585")</f>
        <v>0</v>
      </c>
      <c r="B13693" t="s">
        <v>1282</v>
      </c>
      <c r="C13693" t="s">
        <v>16309</v>
      </c>
      <c r="D13693" t="s">
        <v>18033</v>
      </c>
      <c r="E13693" t="s">
        <v>26086</v>
      </c>
      <c r="F13693" t="s">
        <v>31574</v>
      </c>
      <c r="G13693" t="s">
        <v>31582</v>
      </c>
      <c r="H13693" t="s">
        <v>31591</v>
      </c>
      <c r="I13693" t="s">
        <v>8822</v>
      </c>
      <c r="J13693" t="s">
        <v>31962</v>
      </c>
      <c r="K13693" t="s">
        <v>41192</v>
      </c>
      <c r="M13693" t="s">
        <v>42850</v>
      </c>
      <c r="N13693" t="s">
        <v>45095</v>
      </c>
      <c r="O13693" t="s">
        <v>45096</v>
      </c>
      <c r="P13693">
        <v>0</v>
      </c>
      <c r="Q13693">
        <v>0</v>
      </c>
      <c r="R13693" t="s">
        <v>45116</v>
      </c>
      <c r="S13693" t="s">
        <v>45923</v>
      </c>
      <c r="T13693" t="s">
        <v>46905</v>
      </c>
      <c r="U13693" t="s">
        <v>58522</v>
      </c>
      <c r="W13693" t="s">
        <v>42850</v>
      </c>
      <c r="X13693" t="s">
        <v>45119</v>
      </c>
    </row>
    <row r="13694" spans="1:24">
      <c r="A13694">
        <f>HYPERLINK("https://www.philgeps.gov.ph/GEPSNONPILOT/Tender/SplashBidNoticeAbstractUI.aspx?menuIndex=3&amp;refID=7010089&amp;Result=3","7010089")</f>
        <v>0</v>
      </c>
      <c r="B13694" t="s">
        <v>46</v>
      </c>
      <c r="C13694" t="s">
        <v>16310</v>
      </c>
      <c r="E13694" t="s">
        <v>29972</v>
      </c>
      <c r="F13694" t="s">
        <v>31574</v>
      </c>
      <c r="G13694" t="s">
        <v>31582</v>
      </c>
      <c r="H13694" t="s">
        <v>31591</v>
      </c>
      <c r="I13694" t="s">
        <v>8822</v>
      </c>
      <c r="J13694" t="s">
        <v>40139</v>
      </c>
      <c r="K13694" t="s">
        <v>41184</v>
      </c>
      <c r="M13694" t="s">
        <v>41529</v>
      </c>
      <c r="N13694" t="s">
        <v>45095</v>
      </c>
      <c r="O13694" t="s">
        <v>45096</v>
      </c>
      <c r="P13694">
        <v>0</v>
      </c>
      <c r="Q13694">
        <v>0</v>
      </c>
      <c r="R13694" t="s">
        <v>45116</v>
      </c>
      <c r="S13694" t="s">
        <v>45923</v>
      </c>
      <c r="T13694" t="s">
        <v>47154</v>
      </c>
      <c r="U13694" t="s">
        <v>58523</v>
      </c>
      <c r="W13694" t="s">
        <v>41529</v>
      </c>
      <c r="X13694" t="s">
        <v>45118</v>
      </c>
    </row>
    <row r="13695" spans="1:24">
      <c r="A13695">
        <f>HYPERLINK("https://www.philgeps.gov.ph/GEPSNONPILOT/Tender/SplashBidNoticeAbstractUI.aspx?menuIndex=3&amp;refID=7008407&amp;Result=3","7008407")</f>
        <v>0</v>
      </c>
      <c r="B13695" t="s">
        <v>2379</v>
      </c>
      <c r="C13695" t="s">
        <v>16311</v>
      </c>
      <c r="D13695" t="s">
        <v>18090</v>
      </c>
      <c r="E13695" t="s">
        <v>26653</v>
      </c>
      <c r="F13695" t="s">
        <v>31574</v>
      </c>
      <c r="G13695" t="s">
        <v>31582</v>
      </c>
      <c r="H13695" t="s">
        <v>31591</v>
      </c>
      <c r="I13695" t="s">
        <v>8822</v>
      </c>
      <c r="J13695" t="s">
        <v>32510</v>
      </c>
      <c r="K13695" t="s">
        <v>41243</v>
      </c>
      <c r="M13695" t="s">
        <v>44103</v>
      </c>
      <c r="N13695" t="s">
        <v>45095</v>
      </c>
      <c r="O13695" t="s">
        <v>45096</v>
      </c>
      <c r="P13695">
        <v>0</v>
      </c>
      <c r="Q13695">
        <v>0</v>
      </c>
      <c r="R13695" t="s">
        <v>45116</v>
      </c>
      <c r="S13695" t="s">
        <v>45923</v>
      </c>
      <c r="T13695" t="s">
        <v>47071</v>
      </c>
      <c r="U13695" t="s">
        <v>54527</v>
      </c>
      <c r="W13695" t="s">
        <v>44103</v>
      </c>
      <c r="X13695" t="s">
        <v>45122</v>
      </c>
    </row>
    <row r="13696" spans="1:24">
      <c r="A13696">
        <f>HYPERLINK("https://www.philgeps.gov.ph/GEPSNONPILOT/Tender/SplashBidNoticeAbstractUI.aspx?menuIndex=3&amp;refID=7009589&amp;Result=3","7009589")</f>
        <v>0</v>
      </c>
      <c r="B13696" t="s">
        <v>1282</v>
      </c>
      <c r="C13696" t="s">
        <v>16312</v>
      </c>
      <c r="D13696" t="s">
        <v>18033</v>
      </c>
      <c r="E13696" t="s">
        <v>26088</v>
      </c>
      <c r="F13696" t="s">
        <v>31574</v>
      </c>
      <c r="G13696" t="s">
        <v>31582</v>
      </c>
      <c r="H13696" t="s">
        <v>31590</v>
      </c>
      <c r="I13696" t="s">
        <v>6800</v>
      </c>
      <c r="J13696" t="s">
        <v>31789</v>
      </c>
      <c r="K13696" t="s">
        <v>41186</v>
      </c>
      <c r="M13696" t="s">
        <v>42850</v>
      </c>
      <c r="N13696" t="s">
        <v>45095</v>
      </c>
      <c r="O13696" t="s">
        <v>45096</v>
      </c>
      <c r="P13696">
        <v>0</v>
      </c>
      <c r="Q13696">
        <v>1</v>
      </c>
      <c r="R13696" t="s">
        <v>45116</v>
      </c>
      <c r="S13696" t="s">
        <v>45923</v>
      </c>
      <c r="T13696" t="s">
        <v>46905</v>
      </c>
      <c r="U13696" t="s">
        <v>58524</v>
      </c>
      <c r="W13696" t="s">
        <v>42850</v>
      </c>
      <c r="X13696" t="s">
        <v>45119</v>
      </c>
    </row>
    <row r="13697" spans="1:24">
      <c r="A13697">
        <f>HYPERLINK("https://www.philgeps.gov.ph/GEPSNONPILOT/Tender/SplashBidNoticeAbstractUI.aspx?menuIndex=3&amp;refID=7010043&amp;Result=3","7010043")</f>
        <v>0</v>
      </c>
      <c r="B13697" t="s">
        <v>3056</v>
      </c>
      <c r="C13697" t="s">
        <v>16313</v>
      </c>
      <c r="D13697" t="s">
        <v>18059</v>
      </c>
      <c r="E13697" t="s">
        <v>29973</v>
      </c>
      <c r="F13697" t="s">
        <v>31574</v>
      </c>
      <c r="G13697" t="s">
        <v>31582</v>
      </c>
      <c r="H13697" t="s">
        <v>31591</v>
      </c>
      <c r="I13697" t="s">
        <v>8822</v>
      </c>
      <c r="J13697" t="s">
        <v>40140</v>
      </c>
      <c r="K13697" t="s">
        <v>41269</v>
      </c>
      <c r="M13697" t="s">
        <v>44894</v>
      </c>
      <c r="N13697" t="s">
        <v>45095</v>
      </c>
      <c r="O13697" t="s">
        <v>45096</v>
      </c>
      <c r="P13697">
        <v>0</v>
      </c>
      <c r="Q13697">
        <v>0</v>
      </c>
      <c r="R13697" t="s">
        <v>45116</v>
      </c>
      <c r="S13697" t="s">
        <v>45923</v>
      </c>
      <c r="T13697" t="s">
        <v>47076</v>
      </c>
      <c r="U13697" t="s">
        <v>58525</v>
      </c>
      <c r="W13697" t="s">
        <v>44894</v>
      </c>
      <c r="X13697" t="s">
        <v>45118</v>
      </c>
    </row>
    <row r="13698" spans="1:24">
      <c r="A13698">
        <f>HYPERLINK("https://www.philgeps.gov.ph/GEPSNONPILOT/Tender/SplashBidNoticeAbstractUI.aspx?menuIndex=3&amp;refID=7010245&amp;Result=3","7010245")</f>
        <v>0</v>
      </c>
      <c r="B13698" t="s">
        <v>346</v>
      </c>
      <c r="C13698" t="s">
        <v>16314</v>
      </c>
      <c r="D13698" t="s">
        <v>18044</v>
      </c>
      <c r="E13698" t="s">
        <v>29974</v>
      </c>
      <c r="F13698" t="s">
        <v>31574</v>
      </c>
      <c r="G13698" t="s">
        <v>31582</v>
      </c>
      <c r="H13698" t="s">
        <v>31590</v>
      </c>
      <c r="I13698" t="s">
        <v>31599</v>
      </c>
      <c r="J13698" t="s">
        <v>40141</v>
      </c>
      <c r="K13698" t="s">
        <v>41190</v>
      </c>
      <c r="M13698" t="s">
        <v>41834</v>
      </c>
      <c r="N13698" t="s">
        <v>45095</v>
      </c>
      <c r="O13698" t="s">
        <v>45096</v>
      </c>
      <c r="P13698">
        <v>0</v>
      </c>
      <c r="Q13698">
        <v>1</v>
      </c>
      <c r="R13698" t="s">
        <v>45116</v>
      </c>
      <c r="S13698" t="s">
        <v>45923</v>
      </c>
      <c r="T13698" t="s">
        <v>47050</v>
      </c>
      <c r="U13698" t="s">
        <v>58526</v>
      </c>
      <c r="W13698" t="s">
        <v>61746</v>
      </c>
      <c r="X13698" t="s">
        <v>45118</v>
      </c>
    </row>
    <row r="13699" spans="1:24">
      <c r="A13699">
        <f>HYPERLINK("https://www.philgeps.gov.ph/GEPSNONPILOT/Tender/SplashBidNoticeAbstractUI.aspx?menuIndex=3&amp;refID=7009817&amp;Result=3","7009817")</f>
        <v>0</v>
      </c>
      <c r="B13699" t="s">
        <v>198</v>
      </c>
      <c r="C13699" t="s">
        <v>16315</v>
      </c>
      <c r="D13699" t="s">
        <v>18053</v>
      </c>
      <c r="E13699" t="s">
        <v>29975</v>
      </c>
      <c r="F13699" t="s">
        <v>31574</v>
      </c>
      <c r="G13699" t="s">
        <v>31582</v>
      </c>
      <c r="H13699" t="s">
        <v>31591</v>
      </c>
      <c r="I13699" t="s">
        <v>8822</v>
      </c>
      <c r="J13699" t="s">
        <v>33574</v>
      </c>
      <c r="K13699" t="s">
        <v>41219</v>
      </c>
      <c r="M13699" t="s">
        <v>42853</v>
      </c>
      <c r="N13699" t="s">
        <v>45095</v>
      </c>
      <c r="O13699" t="s">
        <v>45096</v>
      </c>
      <c r="P13699">
        <v>0</v>
      </c>
      <c r="Q13699">
        <v>0</v>
      </c>
      <c r="R13699" t="s">
        <v>45116</v>
      </c>
      <c r="S13699" t="s">
        <v>45923</v>
      </c>
      <c r="T13699" t="s">
        <v>47050</v>
      </c>
      <c r="U13699" t="s">
        <v>58527</v>
      </c>
      <c r="W13699" t="s">
        <v>42853</v>
      </c>
      <c r="X13699" t="s">
        <v>45118</v>
      </c>
    </row>
    <row r="13700" spans="1:24">
      <c r="A13700">
        <f>HYPERLINK("https://www.philgeps.gov.ph/GEPSNONPILOT/Tender/SplashBidNoticeAbstractUI.aspx?menuIndex=3&amp;refID=7010399&amp;Result=3","7010399")</f>
        <v>0</v>
      </c>
      <c r="B13700" t="s">
        <v>3055</v>
      </c>
      <c r="C13700" t="s">
        <v>16316</v>
      </c>
      <c r="D13700" t="s">
        <v>18026</v>
      </c>
      <c r="E13700" t="s">
        <v>29976</v>
      </c>
      <c r="F13700" t="s">
        <v>31574</v>
      </c>
      <c r="G13700" t="s">
        <v>31582</v>
      </c>
      <c r="H13700" t="s">
        <v>31591</v>
      </c>
      <c r="I13700" t="s">
        <v>8822</v>
      </c>
      <c r="J13700" t="s">
        <v>40142</v>
      </c>
      <c r="K13700" t="s">
        <v>41189</v>
      </c>
      <c r="M13700" t="s">
        <v>44893</v>
      </c>
      <c r="N13700" t="s">
        <v>45095</v>
      </c>
      <c r="O13700" t="s">
        <v>45096</v>
      </c>
      <c r="P13700">
        <v>0</v>
      </c>
      <c r="Q13700">
        <v>1</v>
      </c>
      <c r="R13700" t="s">
        <v>45116</v>
      </c>
      <c r="S13700" t="s">
        <v>45923</v>
      </c>
      <c r="T13700" t="s">
        <v>47077</v>
      </c>
      <c r="U13700" t="s">
        <v>58528</v>
      </c>
      <c r="V13700" t="s">
        <v>61366</v>
      </c>
      <c r="W13700" t="s">
        <v>44893</v>
      </c>
      <c r="X13700" t="s">
        <v>45118</v>
      </c>
    </row>
    <row r="13701" spans="1:24">
      <c r="A13701">
        <f>HYPERLINK("https://www.philgeps.gov.ph/GEPSNONPILOT/Tender/SplashBidNoticeAbstractUI.aspx?menuIndex=3&amp;refID=7010397&amp;Result=3","7010397")</f>
        <v>0</v>
      </c>
      <c r="B13701" t="s">
        <v>3056</v>
      </c>
      <c r="C13701" t="s">
        <v>16317</v>
      </c>
      <c r="D13701" t="s">
        <v>18059</v>
      </c>
      <c r="E13701" t="s">
        <v>29977</v>
      </c>
      <c r="F13701" t="s">
        <v>31574</v>
      </c>
      <c r="G13701" t="s">
        <v>31582</v>
      </c>
      <c r="H13701" t="s">
        <v>31591</v>
      </c>
      <c r="I13701" t="s">
        <v>8822</v>
      </c>
      <c r="J13701" t="s">
        <v>40143</v>
      </c>
      <c r="K13701" t="s">
        <v>41186</v>
      </c>
      <c r="M13701" t="s">
        <v>44894</v>
      </c>
      <c r="N13701" t="s">
        <v>45095</v>
      </c>
      <c r="O13701" t="s">
        <v>45096</v>
      </c>
      <c r="P13701">
        <v>0</v>
      </c>
      <c r="Q13701">
        <v>0</v>
      </c>
      <c r="R13701" t="s">
        <v>45116</v>
      </c>
      <c r="S13701" t="s">
        <v>45923</v>
      </c>
      <c r="T13701" t="s">
        <v>47076</v>
      </c>
      <c r="U13701" t="s">
        <v>58529</v>
      </c>
      <c r="W13701" t="s">
        <v>44894</v>
      </c>
      <c r="X13701" t="s">
        <v>45118</v>
      </c>
    </row>
    <row r="13702" spans="1:24">
      <c r="A13702">
        <f>HYPERLINK("https://www.philgeps.gov.ph/GEPSNONPILOT/Tender/SplashBidNoticeAbstractUI.aspx?menuIndex=3&amp;refID=7004900&amp;Result=3","7004900")</f>
        <v>0</v>
      </c>
      <c r="B13702" t="s">
        <v>2340</v>
      </c>
      <c r="C13702" t="s">
        <v>16318</v>
      </c>
      <c r="D13702" t="s">
        <v>18036</v>
      </c>
      <c r="E13702" t="s">
        <v>29978</v>
      </c>
      <c r="F13702" t="s">
        <v>31574</v>
      </c>
      <c r="G13702" t="s">
        <v>31582</v>
      </c>
      <c r="H13702" t="s">
        <v>31590</v>
      </c>
      <c r="I13702" t="s">
        <v>31602</v>
      </c>
      <c r="J13702" t="s">
        <v>40144</v>
      </c>
      <c r="K13702" t="s">
        <v>41189</v>
      </c>
      <c r="M13702" t="s">
        <v>44055</v>
      </c>
      <c r="N13702" t="s">
        <v>45095</v>
      </c>
      <c r="O13702" t="s">
        <v>45096</v>
      </c>
      <c r="P13702">
        <v>0</v>
      </c>
      <c r="Q13702">
        <v>0</v>
      </c>
      <c r="R13702" t="s">
        <v>45116</v>
      </c>
      <c r="S13702" t="s">
        <v>45923</v>
      </c>
      <c r="T13702" t="s">
        <v>46914</v>
      </c>
      <c r="U13702" t="s">
        <v>58530</v>
      </c>
      <c r="V13702" t="s">
        <v>60582</v>
      </c>
      <c r="W13702" t="s">
        <v>44055</v>
      </c>
      <c r="X13702" t="s">
        <v>45123</v>
      </c>
    </row>
    <row r="13703" spans="1:24">
      <c r="A13703">
        <f>HYPERLINK("https://www.philgeps.gov.ph/GEPSNONPILOT/Tender/SplashBidNoticeAbstractUI.aspx?menuIndex=3&amp;refID=7010319&amp;Result=3","7010319")</f>
        <v>0</v>
      </c>
      <c r="B13703" t="s">
        <v>332</v>
      </c>
      <c r="C13703" t="s">
        <v>16319</v>
      </c>
      <c r="D13703" t="s">
        <v>18040</v>
      </c>
      <c r="E13703" t="s">
        <v>29979</v>
      </c>
      <c r="F13703" t="s">
        <v>31574</v>
      </c>
      <c r="G13703" t="s">
        <v>31582</v>
      </c>
      <c r="H13703" t="s">
        <v>31591</v>
      </c>
      <c r="I13703" t="s">
        <v>8822</v>
      </c>
      <c r="J13703" t="s">
        <v>40145</v>
      </c>
      <c r="K13703" t="s">
        <v>41184</v>
      </c>
      <c r="M13703" t="s">
        <v>41820</v>
      </c>
      <c r="N13703" t="s">
        <v>45095</v>
      </c>
      <c r="O13703" t="s">
        <v>45096</v>
      </c>
      <c r="P13703">
        <v>0</v>
      </c>
      <c r="Q13703">
        <v>1</v>
      </c>
      <c r="R13703" t="s">
        <v>45116</v>
      </c>
      <c r="S13703" t="s">
        <v>45923</v>
      </c>
      <c r="T13703" t="s">
        <v>46941</v>
      </c>
      <c r="U13703" t="s">
        <v>58531</v>
      </c>
      <c r="W13703" t="s">
        <v>41820</v>
      </c>
      <c r="X13703" t="s">
        <v>45118</v>
      </c>
    </row>
    <row r="13704" spans="1:24">
      <c r="A13704">
        <f>HYPERLINK("https://www.philgeps.gov.ph/GEPSNONPILOT/Tender/SplashBidNoticeAbstractUI.aspx?menuIndex=3&amp;refID=7008549&amp;Result=3","7008549")</f>
        <v>0</v>
      </c>
      <c r="B13704" t="s">
        <v>3055</v>
      </c>
      <c r="C13704" t="s">
        <v>16320</v>
      </c>
      <c r="D13704" t="s">
        <v>18051</v>
      </c>
      <c r="E13704" t="s">
        <v>29980</v>
      </c>
      <c r="F13704" t="s">
        <v>31574</v>
      </c>
      <c r="G13704" t="s">
        <v>31582</v>
      </c>
      <c r="H13704" t="s">
        <v>31591</v>
      </c>
      <c r="I13704" t="s">
        <v>8822</v>
      </c>
      <c r="J13704" t="s">
        <v>40146</v>
      </c>
      <c r="K13704" t="s">
        <v>41198</v>
      </c>
      <c r="M13704" t="s">
        <v>44893</v>
      </c>
      <c r="N13704" t="s">
        <v>45095</v>
      </c>
      <c r="O13704" t="s">
        <v>45096</v>
      </c>
      <c r="P13704">
        <v>0</v>
      </c>
      <c r="Q13704">
        <v>1</v>
      </c>
      <c r="R13704" t="s">
        <v>45116</v>
      </c>
      <c r="S13704" t="s">
        <v>45923</v>
      </c>
      <c r="T13704" t="s">
        <v>47077</v>
      </c>
      <c r="U13704" t="s">
        <v>58532</v>
      </c>
      <c r="V13704" t="s">
        <v>61365</v>
      </c>
      <c r="W13704" t="s">
        <v>44893</v>
      </c>
      <c r="X13704" t="s">
        <v>45122</v>
      </c>
    </row>
    <row r="13705" spans="1:24">
      <c r="A13705">
        <f>HYPERLINK("https://www.philgeps.gov.ph/GEPSNONPILOT/Tender/SplashBidNoticeAbstractUI.aspx?menuIndex=3&amp;refID=7010247&amp;Result=3","7010247")</f>
        <v>0</v>
      </c>
      <c r="B13705" t="s">
        <v>3055</v>
      </c>
      <c r="C13705" t="s">
        <v>16321</v>
      </c>
      <c r="D13705" t="s">
        <v>18026</v>
      </c>
      <c r="E13705" t="s">
        <v>29981</v>
      </c>
      <c r="F13705" t="s">
        <v>31574</v>
      </c>
      <c r="G13705" t="s">
        <v>31582</v>
      </c>
      <c r="H13705" t="s">
        <v>31591</v>
      </c>
      <c r="I13705" t="s">
        <v>7162</v>
      </c>
      <c r="J13705" t="s">
        <v>40147</v>
      </c>
      <c r="K13705" t="s">
        <v>41192</v>
      </c>
      <c r="M13705" t="s">
        <v>44893</v>
      </c>
      <c r="N13705" t="s">
        <v>45095</v>
      </c>
      <c r="O13705" t="s">
        <v>45096</v>
      </c>
      <c r="P13705">
        <v>0</v>
      </c>
      <c r="Q13705">
        <v>8</v>
      </c>
      <c r="R13705" t="s">
        <v>45116</v>
      </c>
      <c r="S13705" t="s">
        <v>45923</v>
      </c>
      <c r="T13705" t="s">
        <v>47077</v>
      </c>
      <c r="U13705" t="s">
        <v>58533</v>
      </c>
      <c r="V13705" t="s">
        <v>61366</v>
      </c>
      <c r="W13705" t="s">
        <v>44893</v>
      </c>
      <c r="X13705" t="s">
        <v>45118</v>
      </c>
    </row>
    <row r="13706" spans="1:24">
      <c r="A13706">
        <f>HYPERLINK("https://www.philgeps.gov.ph/GEPSNONPILOT/Tender/SplashBidNoticeAbstractUI.aspx?menuIndex=3&amp;refID=7016500&amp;Result=3","7016500")</f>
        <v>0</v>
      </c>
      <c r="B13706" t="s">
        <v>2143</v>
      </c>
      <c r="C13706" t="s">
        <v>16322</v>
      </c>
      <c r="E13706" t="s">
        <v>29982</v>
      </c>
      <c r="F13706" t="s">
        <v>31574</v>
      </c>
      <c r="G13706" t="s">
        <v>31582</v>
      </c>
      <c r="H13706" t="s">
        <v>31591</v>
      </c>
      <c r="I13706" t="s">
        <v>8822</v>
      </c>
      <c r="J13706" t="s">
        <v>32019</v>
      </c>
      <c r="K13706" t="s">
        <v>41185</v>
      </c>
      <c r="M13706" t="s">
        <v>43825</v>
      </c>
      <c r="N13706" t="s">
        <v>45095</v>
      </c>
      <c r="O13706" t="s">
        <v>45096</v>
      </c>
      <c r="Q13706">
        <v>0</v>
      </c>
      <c r="R13706" t="s">
        <v>45115</v>
      </c>
      <c r="S13706" t="s">
        <v>45925</v>
      </c>
      <c r="T13706" t="s">
        <v>46985</v>
      </c>
      <c r="U13706" t="s">
        <v>58489</v>
      </c>
      <c r="V13706" t="s">
        <v>60619</v>
      </c>
      <c r="W13706" t="s">
        <v>43825</v>
      </c>
      <c r="X13706" t="s">
        <v>45116</v>
      </c>
    </row>
    <row r="13707" spans="1:24">
      <c r="A13707">
        <f>HYPERLINK("https://www.philgeps.gov.ph/GEPSNONPILOT/Tender/SplashBidNoticeAbstractUI.aspx?menuIndex=3&amp;refID=7010387&amp;Result=3","7010387")</f>
        <v>0</v>
      </c>
      <c r="B13707" t="s">
        <v>3055</v>
      </c>
      <c r="C13707" t="s">
        <v>16323</v>
      </c>
      <c r="D13707" t="s">
        <v>18026</v>
      </c>
      <c r="E13707" t="s">
        <v>29983</v>
      </c>
      <c r="F13707" t="s">
        <v>31574</v>
      </c>
      <c r="G13707" t="s">
        <v>31582</v>
      </c>
      <c r="H13707" t="s">
        <v>31591</v>
      </c>
      <c r="I13707" t="s">
        <v>8822</v>
      </c>
      <c r="J13707" t="s">
        <v>40148</v>
      </c>
      <c r="K13707" t="s">
        <v>41189</v>
      </c>
      <c r="M13707" t="s">
        <v>44893</v>
      </c>
      <c r="N13707" t="s">
        <v>45095</v>
      </c>
      <c r="O13707" t="s">
        <v>45096</v>
      </c>
      <c r="P13707">
        <v>0</v>
      </c>
      <c r="Q13707">
        <v>0</v>
      </c>
      <c r="R13707" t="s">
        <v>45116</v>
      </c>
      <c r="S13707" t="s">
        <v>45923</v>
      </c>
      <c r="T13707" t="s">
        <v>47077</v>
      </c>
      <c r="U13707" t="s">
        <v>58534</v>
      </c>
      <c r="V13707" t="s">
        <v>61366</v>
      </c>
      <c r="W13707" t="s">
        <v>44893</v>
      </c>
      <c r="X13707" t="s">
        <v>45118</v>
      </c>
    </row>
    <row r="13708" spans="1:24">
      <c r="A13708">
        <f>HYPERLINK("https://www.philgeps.gov.ph/GEPSNONPILOT/Tender/SplashBidNoticeAbstractUI.aspx?menuIndex=3&amp;refID=7010191&amp;Result=3","7010191")</f>
        <v>0</v>
      </c>
      <c r="B13708" t="s">
        <v>3055</v>
      </c>
      <c r="C13708" t="s">
        <v>16324</v>
      </c>
      <c r="D13708" t="s">
        <v>18026</v>
      </c>
      <c r="E13708" t="s">
        <v>29984</v>
      </c>
      <c r="F13708" t="s">
        <v>31574</v>
      </c>
      <c r="G13708" t="s">
        <v>31582</v>
      </c>
      <c r="H13708" t="s">
        <v>31591</v>
      </c>
      <c r="I13708" t="s">
        <v>8822</v>
      </c>
      <c r="J13708" t="s">
        <v>40149</v>
      </c>
      <c r="K13708" t="s">
        <v>41192</v>
      </c>
      <c r="M13708" t="s">
        <v>44893</v>
      </c>
      <c r="N13708" t="s">
        <v>45095</v>
      </c>
      <c r="O13708" t="s">
        <v>45096</v>
      </c>
      <c r="P13708">
        <v>0</v>
      </c>
      <c r="Q13708">
        <v>0</v>
      </c>
      <c r="R13708" t="s">
        <v>45116</v>
      </c>
      <c r="S13708" t="s">
        <v>45923</v>
      </c>
      <c r="T13708" t="s">
        <v>47077</v>
      </c>
      <c r="U13708" t="s">
        <v>58535</v>
      </c>
      <c r="V13708" t="s">
        <v>61366</v>
      </c>
      <c r="W13708" t="s">
        <v>44893</v>
      </c>
      <c r="X13708" t="s">
        <v>45118</v>
      </c>
    </row>
    <row r="13709" spans="1:24">
      <c r="A13709">
        <f>HYPERLINK("https://www.philgeps.gov.ph/GEPSNONPILOT/Tender/SplashBidNoticeAbstractUI.aspx?menuIndex=3&amp;refID=7010175&amp;Result=3","7010175")</f>
        <v>0</v>
      </c>
      <c r="B13709" t="s">
        <v>346</v>
      </c>
      <c r="C13709" t="s">
        <v>16325</v>
      </c>
      <c r="D13709" t="s">
        <v>18044</v>
      </c>
      <c r="E13709" t="s">
        <v>29985</v>
      </c>
      <c r="F13709" t="s">
        <v>31574</v>
      </c>
      <c r="G13709" t="s">
        <v>31582</v>
      </c>
      <c r="H13709" t="s">
        <v>31590</v>
      </c>
      <c r="I13709" t="s">
        <v>7185</v>
      </c>
      <c r="J13709" t="s">
        <v>40150</v>
      </c>
      <c r="K13709" t="s">
        <v>41190</v>
      </c>
      <c r="M13709" t="s">
        <v>41834</v>
      </c>
      <c r="N13709" t="s">
        <v>45095</v>
      </c>
      <c r="O13709" t="s">
        <v>45096</v>
      </c>
      <c r="P13709">
        <v>0</v>
      </c>
      <c r="Q13709">
        <v>3</v>
      </c>
      <c r="R13709" t="s">
        <v>45116</v>
      </c>
      <c r="S13709" t="s">
        <v>45923</v>
      </c>
      <c r="T13709" t="s">
        <v>47050</v>
      </c>
      <c r="U13709" t="s">
        <v>58536</v>
      </c>
      <c r="W13709" t="s">
        <v>61746</v>
      </c>
      <c r="X13709" t="s">
        <v>45118</v>
      </c>
    </row>
    <row r="13710" spans="1:24">
      <c r="A13710">
        <f>HYPERLINK("https://www.philgeps.gov.ph/GEPSNONPILOT/Tender/SplashBidNoticeAbstractUI.aspx?menuIndex=3&amp;refID=7010209&amp;Result=3","7010209")</f>
        <v>0</v>
      </c>
      <c r="B13710" t="s">
        <v>1901</v>
      </c>
      <c r="C13710" t="s">
        <v>16326</v>
      </c>
      <c r="E13710" t="s">
        <v>29986</v>
      </c>
      <c r="F13710" t="s">
        <v>31574</v>
      </c>
      <c r="G13710" t="s">
        <v>31582</v>
      </c>
      <c r="H13710" t="s">
        <v>31590</v>
      </c>
      <c r="I13710" t="s">
        <v>31615</v>
      </c>
      <c r="J13710" t="s">
        <v>40151</v>
      </c>
      <c r="K13710" t="s">
        <v>41186</v>
      </c>
      <c r="M13710" t="s">
        <v>43546</v>
      </c>
      <c r="N13710" t="s">
        <v>45095</v>
      </c>
      <c r="O13710" t="s">
        <v>45096</v>
      </c>
      <c r="P13710">
        <v>0</v>
      </c>
      <c r="Q13710">
        <v>3</v>
      </c>
      <c r="R13710" t="s">
        <v>45116</v>
      </c>
      <c r="S13710" t="s">
        <v>45923</v>
      </c>
      <c r="T13710" t="s">
        <v>47021</v>
      </c>
      <c r="U13710" t="s">
        <v>52522</v>
      </c>
      <c r="W13710" t="s">
        <v>43546</v>
      </c>
      <c r="X13710" t="s">
        <v>45118</v>
      </c>
    </row>
    <row r="13711" spans="1:24">
      <c r="A13711">
        <f>HYPERLINK("https://www.philgeps.gov.ph/GEPSNONPILOT/Tender/SplashBidNoticeAbstractUI.aspx?menuIndex=3&amp;refID=7010167&amp;Result=3","7010167")</f>
        <v>0</v>
      </c>
      <c r="B13711" t="s">
        <v>3055</v>
      </c>
      <c r="C13711" t="s">
        <v>16327</v>
      </c>
      <c r="D13711" t="s">
        <v>18026</v>
      </c>
      <c r="E13711" t="s">
        <v>29987</v>
      </c>
      <c r="F13711" t="s">
        <v>31574</v>
      </c>
      <c r="G13711" t="s">
        <v>31582</v>
      </c>
      <c r="H13711" t="s">
        <v>31591</v>
      </c>
      <c r="I13711" t="s">
        <v>8822</v>
      </c>
      <c r="J13711" t="s">
        <v>40152</v>
      </c>
      <c r="K13711" t="s">
        <v>41189</v>
      </c>
      <c r="M13711" t="s">
        <v>44893</v>
      </c>
      <c r="N13711" t="s">
        <v>45095</v>
      </c>
      <c r="O13711" t="s">
        <v>45096</v>
      </c>
      <c r="P13711">
        <v>0</v>
      </c>
      <c r="Q13711">
        <v>0</v>
      </c>
      <c r="R13711" t="s">
        <v>45116</v>
      </c>
      <c r="S13711" t="s">
        <v>45923</v>
      </c>
      <c r="T13711" t="s">
        <v>47067</v>
      </c>
      <c r="U13711" t="s">
        <v>58537</v>
      </c>
      <c r="V13711" t="s">
        <v>61366</v>
      </c>
      <c r="W13711" t="s">
        <v>44893</v>
      </c>
      <c r="X13711" t="s">
        <v>45118</v>
      </c>
    </row>
    <row r="13712" spans="1:24">
      <c r="A13712">
        <f>HYPERLINK("https://www.philgeps.gov.ph/GEPSNONPILOT/Tender/SplashBidNoticeAbstractUI.aspx?menuIndex=3&amp;refID=7010839&amp;Result=3","7010839")</f>
        <v>0</v>
      </c>
      <c r="B13712" t="s">
        <v>3056</v>
      </c>
      <c r="C13712" t="s">
        <v>16328</v>
      </c>
      <c r="D13712" t="s">
        <v>18059</v>
      </c>
      <c r="E13712" t="s">
        <v>29988</v>
      </c>
      <c r="F13712" t="s">
        <v>31574</v>
      </c>
      <c r="G13712" t="s">
        <v>31582</v>
      </c>
      <c r="H13712" t="s">
        <v>31591</v>
      </c>
      <c r="I13712" t="s">
        <v>8822</v>
      </c>
      <c r="J13712" t="s">
        <v>40153</v>
      </c>
      <c r="K13712" t="s">
        <v>41185</v>
      </c>
      <c r="M13712" t="s">
        <v>44894</v>
      </c>
      <c r="N13712" t="s">
        <v>45095</v>
      </c>
      <c r="O13712" t="s">
        <v>45096</v>
      </c>
      <c r="P13712">
        <v>0</v>
      </c>
      <c r="Q13712">
        <v>0</v>
      </c>
      <c r="R13712" t="s">
        <v>45116</v>
      </c>
      <c r="S13712" t="s">
        <v>45923</v>
      </c>
      <c r="T13712" t="s">
        <v>47076</v>
      </c>
      <c r="U13712" t="s">
        <v>58538</v>
      </c>
      <c r="W13712" t="s">
        <v>44894</v>
      </c>
      <c r="X13712" t="s">
        <v>45118</v>
      </c>
    </row>
    <row r="13713" spans="1:24">
      <c r="A13713">
        <f>HYPERLINK("https://www.philgeps.gov.ph/GEPSNONPILOT/Tender/SplashBidNoticeAbstractUI.aspx?menuIndex=3&amp;refID=7010223&amp;Result=3","7010223")</f>
        <v>0</v>
      </c>
      <c r="B13713" t="s">
        <v>3055</v>
      </c>
      <c r="C13713" t="s">
        <v>16329</v>
      </c>
      <c r="D13713" t="s">
        <v>18026</v>
      </c>
      <c r="E13713" t="s">
        <v>29989</v>
      </c>
      <c r="F13713" t="s">
        <v>31574</v>
      </c>
      <c r="G13713" t="s">
        <v>31582</v>
      </c>
      <c r="H13713" t="s">
        <v>31591</v>
      </c>
      <c r="I13713" t="s">
        <v>7162</v>
      </c>
      <c r="J13713" t="s">
        <v>40154</v>
      </c>
      <c r="K13713" t="s">
        <v>41186</v>
      </c>
      <c r="M13713" t="s">
        <v>44893</v>
      </c>
      <c r="N13713" t="s">
        <v>45095</v>
      </c>
      <c r="O13713" t="s">
        <v>45096</v>
      </c>
      <c r="P13713">
        <v>0</v>
      </c>
      <c r="Q13713">
        <v>6</v>
      </c>
      <c r="R13713" t="s">
        <v>45116</v>
      </c>
      <c r="S13713" t="s">
        <v>45923</v>
      </c>
      <c r="T13713" t="s">
        <v>47077</v>
      </c>
      <c r="U13713" t="s">
        <v>58539</v>
      </c>
      <c r="V13713" t="s">
        <v>61366</v>
      </c>
      <c r="W13713" t="s">
        <v>44893</v>
      </c>
      <c r="X13713" t="s">
        <v>45118</v>
      </c>
    </row>
    <row r="13714" spans="1:24">
      <c r="A13714">
        <f>HYPERLINK("https://www.philgeps.gov.ph/GEPSNONPILOT/Tender/SplashBidNoticeAbstractUI.aspx?menuIndex=3&amp;refID=7010293&amp;Result=3","7010293")</f>
        <v>0</v>
      </c>
      <c r="B13714" t="s">
        <v>3055</v>
      </c>
      <c r="C13714" t="s">
        <v>16330</v>
      </c>
      <c r="D13714" t="s">
        <v>18026</v>
      </c>
      <c r="E13714" t="s">
        <v>29990</v>
      </c>
      <c r="F13714" t="s">
        <v>31574</v>
      </c>
      <c r="G13714" t="s">
        <v>31582</v>
      </c>
      <c r="H13714" t="s">
        <v>31591</v>
      </c>
      <c r="I13714" t="s">
        <v>8822</v>
      </c>
      <c r="J13714" t="s">
        <v>40155</v>
      </c>
      <c r="K13714" t="s">
        <v>41203</v>
      </c>
      <c r="M13714" t="s">
        <v>44893</v>
      </c>
      <c r="N13714" t="s">
        <v>45095</v>
      </c>
      <c r="O13714" t="s">
        <v>45096</v>
      </c>
      <c r="P13714">
        <v>0</v>
      </c>
      <c r="Q13714">
        <v>0</v>
      </c>
      <c r="R13714" t="s">
        <v>45116</v>
      </c>
      <c r="S13714" t="s">
        <v>45923</v>
      </c>
      <c r="T13714" t="s">
        <v>47077</v>
      </c>
      <c r="U13714" t="s">
        <v>58540</v>
      </c>
      <c r="V13714" t="s">
        <v>61366</v>
      </c>
      <c r="W13714" t="s">
        <v>44893</v>
      </c>
      <c r="X13714" t="s">
        <v>45118</v>
      </c>
    </row>
    <row r="13715" spans="1:24">
      <c r="A13715">
        <f>HYPERLINK("https://www.philgeps.gov.ph/GEPSNONPILOT/Tender/SplashBidNoticeAbstractUI.aspx?menuIndex=3&amp;refID=7010132&amp;Result=3","7010132")</f>
        <v>0</v>
      </c>
      <c r="B13715" t="s">
        <v>46</v>
      </c>
      <c r="C13715" t="s">
        <v>16331</v>
      </c>
      <c r="E13715" t="s">
        <v>29991</v>
      </c>
      <c r="F13715" t="s">
        <v>31574</v>
      </c>
      <c r="G13715" t="s">
        <v>31582</v>
      </c>
      <c r="H13715" t="s">
        <v>31591</v>
      </c>
      <c r="I13715" t="s">
        <v>8822</v>
      </c>
      <c r="J13715" t="s">
        <v>40156</v>
      </c>
      <c r="K13715" t="s">
        <v>41184</v>
      </c>
      <c r="M13715" t="s">
        <v>41529</v>
      </c>
      <c r="N13715" t="s">
        <v>45095</v>
      </c>
      <c r="O13715" t="s">
        <v>45096</v>
      </c>
      <c r="P13715">
        <v>0</v>
      </c>
      <c r="Q13715">
        <v>4</v>
      </c>
      <c r="R13715" t="s">
        <v>45116</v>
      </c>
      <c r="S13715" t="s">
        <v>45923</v>
      </c>
      <c r="T13715" t="s">
        <v>47154</v>
      </c>
      <c r="U13715" t="s">
        <v>58541</v>
      </c>
      <c r="W13715" t="s">
        <v>41529</v>
      </c>
      <c r="X13715" t="s">
        <v>45118</v>
      </c>
    </row>
    <row r="13716" spans="1:24">
      <c r="A13716">
        <f>HYPERLINK("https://www.philgeps.gov.ph/GEPSNONPILOT/Tender/SplashBidNoticeAbstractUI.aspx?menuIndex=3&amp;refID=7010141&amp;Result=3","7010141")</f>
        <v>0</v>
      </c>
      <c r="B13716" t="s">
        <v>346</v>
      </c>
      <c r="C13716" t="s">
        <v>16332</v>
      </c>
      <c r="D13716" t="s">
        <v>18044</v>
      </c>
      <c r="E13716" t="s">
        <v>29992</v>
      </c>
      <c r="F13716" t="s">
        <v>31574</v>
      </c>
      <c r="G13716" t="s">
        <v>31582</v>
      </c>
      <c r="H13716" t="s">
        <v>31592</v>
      </c>
      <c r="I13716" t="s">
        <v>3539</v>
      </c>
      <c r="J13716" t="s">
        <v>40157</v>
      </c>
      <c r="K13716" t="s">
        <v>41225</v>
      </c>
      <c r="M13716" t="s">
        <v>41834</v>
      </c>
      <c r="N13716" t="s">
        <v>45095</v>
      </c>
      <c r="O13716" t="s">
        <v>45096</v>
      </c>
      <c r="P13716">
        <v>0</v>
      </c>
      <c r="Q13716">
        <v>0</v>
      </c>
      <c r="R13716" t="s">
        <v>45116</v>
      </c>
      <c r="S13716" t="s">
        <v>45923</v>
      </c>
      <c r="T13716" t="s">
        <v>47050</v>
      </c>
      <c r="U13716" t="s">
        <v>58542</v>
      </c>
      <c r="W13716" t="s">
        <v>61746</v>
      </c>
      <c r="X13716" t="s">
        <v>45118</v>
      </c>
    </row>
    <row r="13717" spans="1:24">
      <c r="A13717">
        <f>HYPERLINK("https://www.philgeps.gov.ph/GEPSNONPILOT/Tender/SplashBidNoticeAbstractUI.aspx?menuIndex=3&amp;refID=7011062&amp;Result=3","7011062")</f>
        <v>0</v>
      </c>
      <c r="B13717" t="s">
        <v>201</v>
      </c>
      <c r="C13717" t="s">
        <v>13599</v>
      </c>
      <c r="D13717" t="s">
        <v>18045</v>
      </c>
      <c r="E13717" t="s">
        <v>29993</v>
      </c>
      <c r="F13717" t="s">
        <v>31574</v>
      </c>
      <c r="G13717" t="s">
        <v>31582</v>
      </c>
      <c r="H13717" t="s">
        <v>31590</v>
      </c>
      <c r="I13717" t="s">
        <v>31598</v>
      </c>
      <c r="J13717" t="s">
        <v>34630</v>
      </c>
      <c r="K13717" t="s">
        <v>41184</v>
      </c>
      <c r="M13717" t="s">
        <v>41970</v>
      </c>
      <c r="N13717" t="s">
        <v>45095</v>
      </c>
      <c r="O13717" t="s">
        <v>45096</v>
      </c>
      <c r="Q13717">
        <v>7</v>
      </c>
      <c r="R13717" t="s">
        <v>45116</v>
      </c>
      <c r="S13717" t="s">
        <v>45929</v>
      </c>
      <c r="T13717" t="s">
        <v>47125</v>
      </c>
      <c r="U13717" t="s">
        <v>56428</v>
      </c>
      <c r="V13717" t="s">
        <v>61003</v>
      </c>
      <c r="W13717" t="s">
        <v>41970</v>
      </c>
      <c r="X13717" t="s">
        <v>45118</v>
      </c>
    </row>
    <row r="13718" spans="1:24">
      <c r="A13718">
        <f>HYPERLINK("https://www.philgeps.gov.ph/GEPSNONPILOT/Tender/SplashBidNoticeAbstractUI.aspx?menuIndex=3&amp;refID=7011080&amp;Result=3","7011080")</f>
        <v>0</v>
      </c>
      <c r="B13718" t="s">
        <v>1455</v>
      </c>
      <c r="C13718" t="s">
        <v>16333</v>
      </c>
      <c r="E13718" t="s">
        <v>29994</v>
      </c>
      <c r="F13718" t="s">
        <v>31574</v>
      </c>
      <c r="G13718" t="s">
        <v>31582</v>
      </c>
      <c r="H13718" t="s">
        <v>31591</v>
      </c>
      <c r="I13718" t="s">
        <v>8822</v>
      </c>
      <c r="J13718" t="s">
        <v>40158</v>
      </c>
      <c r="K13718" t="s">
        <v>41243</v>
      </c>
      <c r="M13718" t="s">
        <v>43035</v>
      </c>
      <c r="N13718" t="s">
        <v>45095</v>
      </c>
      <c r="O13718" t="s">
        <v>45096</v>
      </c>
      <c r="Q13718">
        <v>5</v>
      </c>
      <c r="R13718" t="s">
        <v>45116</v>
      </c>
      <c r="S13718" t="s">
        <v>45930</v>
      </c>
      <c r="T13718" t="s">
        <v>47154</v>
      </c>
      <c r="U13718" t="s">
        <v>58543</v>
      </c>
      <c r="W13718" t="s">
        <v>43035</v>
      </c>
      <c r="X13718" t="s">
        <v>45118</v>
      </c>
    </row>
    <row r="13719" spans="1:24">
      <c r="A13719">
        <f>HYPERLINK("https://www.philgeps.gov.ph/GEPSNONPILOT/Tender/SplashBidNoticeAbstractUI.aspx?menuIndex=3&amp;refID=7010281&amp;Result=3","7010281")</f>
        <v>0</v>
      </c>
      <c r="B13719" t="s">
        <v>3055</v>
      </c>
      <c r="C13719" t="s">
        <v>16334</v>
      </c>
      <c r="D13719" t="s">
        <v>18026</v>
      </c>
      <c r="E13719" t="s">
        <v>29995</v>
      </c>
      <c r="F13719" t="s">
        <v>31574</v>
      </c>
      <c r="G13719" t="s">
        <v>31582</v>
      </c>
      <c r="H13719" t="s">
        <v>31591</v>
      </c>
      <c r="I13719" t="s">
        <v>8822</v>
      </c>
      <c r="J13719" t="s">
        <v>40159</v>
      </c>
      <c r="K13719" t="s">
        <v>41185</v>
      </c>
      <c r="M13719" t="s">
        <v>44893</v>
      </c>
      <c r="N13719" t="s">
        <v>45095</v>
      </c>
      <c r="O13719" t="s">
        <v>45096</v>
      </c>
      <c r="P13719">
        <v>0</v>
      </c>
      <c r="Q13719">
        <v>1</v>
      </c>
      <c r="R13719" t="s">
        <v>45116</v>
      </c>
      <c r="S13719" t="s">
        <v>45923</v>
      </c>
      <c r="T13719" t="s">
        <v>47077</v>
      </c>
      <c r="U13719" t="s">
        <v>58544</v>
      </c>
      <c r="V13719" t="s">
        <v>61366</v>
      </c>
      <c r="W13719" t="s">
        <v>44893</v>
      </c>
      <c r="X13719" t="s">
        <v>45118</v>
      </c>
    </row>
    <row r="13720" spans="1:24">
      <c r="A13720">
        <f>HYPERLINK("https://www.philgeps.gov.ph/GEPSNONPILOT/Tender/SplashBidNoticeAbstractUI.aspx?menuIndex=3&amp;refID=7011071&amp;Result=3","7011071")</f>
        <v>0</v>
      </c>
      <c r="B13720" t="s">
        <v>1111</v>
      </c>
      <c r="C13720" t="s">
        <v>16335</v>
      </c>
      <c r="D13720" t="s">
        <v>18081</v>
      </c>
      <c r="E13720" t="s">
        <v>29996</v>
      </c>
      <c r="F13720" t="s">
        <v>31574</v>
      </c>
      <c r="G13720" t="s">
        <v>31582</v>
      </c>
      <c r="H13720" t="s">
        <v>31593</v>
      </c>
      <c r="I13720" t="s">
        <v>31593</v>
      </c>
      <c r="J13720" t="s">
        <v>39478</v>
      </c>
      <c r="K13720" t="s">
        <v>41198</v>
      </c>
      <c r="M13720" t="s">
        <v>42660</v>
      </c>
      <c r="N13720" t="s">
        <v>45095</v>
      </c>
      <c r="O13720" t="s">
        <v>45096</v>
      </c>
      <c r="P13720">
        <v>0</v>
      </c>
      <c r="Q13720">
        <v>7</v>
      </c>
      <c r="R13720" t="s">
        <v>45116</v>
      </c>
      <c r="S13720" t="s">
        <v>45923</v>
      </c>
      <c r="T13720" t="s">
        <v>46994</v>
      </c>
      <c r="U13720" t="s">
        <v>58545</v>
      </c>
      <c r="W13720" t="s">
        <v>42660</v>
      </c>
      <c r="X13720" t="s">
        <v>45118</v>
      </c>
    </row>
    <row r="13721" spans="1:24">
      <c r="A13721">
        <f>HYPERLINK("https://www.philgeps.gov.ph/GEPSNONPILOT/Tender/SplashBidNoticeAbstractUI.aspx?menuIndex=3&amp;refID=7011002&amp;Result=3","7011002")</f>
        <v>0</v>
      </c>
      <c r="B13721" t="s">
        <v>1111</v>
      </c>
      <c r="C13721" t="s">
        <v>16336</v>
      </c>
      <c r="D13721" t="s">
        <v>18081</v>
      </c>
      <c r="E13721" t="s">
        <v>29997</v>
      </c>
      <c r="F13721" t="s">
        <v>31574</v>
      </c>
      <c r="G13721" t="s">
        <v>31582</v>
      </c>
      <c r="H13721" t="s">
        <v>31593</v>
      </c>
      <c r="I13721" t="s">
        <v>31593</v>
      </c>
      <c r="J13721" t="s">
        <v>40160</v>
      </c>
      <c r="K13721" t="s">
        <v>41200</v>
      </c>
      <c r="M13721" t="s">
        <v>42660</v>
      </c>
      <c r="N13721" t="s">
        <v>45095</v>
      </c>
      <c r="O13721" t="s">
        <v>45096</v>
      </c>
      <c r="P13721">
        <v>0</v>
      </c>
      <c r="Q13721">
        <v>6</v>
      </c>
      <c r="R13721" t="s">
        <v>45116</v>
      </c>
      <c r="S13721" t="s">
        <v>45923</v>
      </c>
      <c r="T13721" t="s">
        <v>46926</v>
      </c>
      <c r="U13721" t="s">
        <v>58546</v>
      </c>
      <c r="W13721" t="s">
        <v>42660</v>
      </c>
      <c r="X13721" t="s">
        <v>45118</v>
      </c>
    </row>
    <row r="13722" spans="1:24">
      <c r="A13722">
        <f>HYPERLINK("https://www.philgeps.gov.ph/GEPSNONPILOT/Tender/SplashBidNoticeAbstractUI.aspx?menuIndex=3&amp;refID=7011093&amp;Result=3","7011093")</f>
        <v>0</v>
      </c>
      <c r="B13722" t="s">
        <v>201</v>
      </c>
      <c r="C13722" t="s">
        <v>13599</v>
      </c>
      <c r="D13722" t="s">
        <v>18045</v>
      </c>
      <c r="E13722" t="s">
        <v>29998</v>
      </c>
      <c r="F13722" t="s">
        <v>31574</v>
      </c>
      <c r="G13722" t="s">
        <v>31582</v>
      </c>
      <c r="H13722" t="s">
        <v>31590</v>
      </c>
      <c r="I13722" t="s">
        <v>31598</v>
      </c>
      <c r="J13722" t="s">
        <v>35927</v>
      </c>
      <c r="K13722" t="s">
        <v>41184</v>
      </c>
      <c r="M13722" t="s">
        <v>41970</v>
      </c>
      <c r="N13722" t="s">
        <v>45095</v>
      </c>
      <c r="O13722" t="s">
        <v>45096</v>
      </c>
      <c r="Q13722">
        <v>8</v>
      </c>
      <c r="R13722" t="s">
        <v>45116</v>
      </c>
      <c r="S13722" t="s">
        <v>45931</v>
      </c>
      <c r="T13722" t="s">
        <v>47125</v>
      </c>
      <c r="U13722" t="s">
        <v>56428</v>
      </c>
      <c r="V13722" t="s">
        <v>61003</v>
      </c>
      <c r="W13722" t="s">
        <v>41970</v>
      </c>
      <c r="X13722" t="s">
        <v>45118</v>
      </c>
    </row>
    <row r="13723" spans="1:24">
      <c r="A13723">
        <f>HYPERLINK("https://www.philgeps.gov.ph/GEPSNONPILOT/Tender/SplashBidNoticeAbstractUI.aspx?menuIndex=3&amp;refID=7010721&amp;Result=3","7010721")</f>
        <v>0</v>
      </c>
      <c r="B13723" t="s">
        <v>3057</v>
      </c>
      <c r="C13723" t="s">
        <v>16337</v>
      </c>
      <c r="D13723" t="s">
        <v>18053</v>
      </c>
      <c r="E13723" t="s">
        <v>29999</v>
      </c>
      <c r="F13723" t="s">
        <v>31574</v>
      </c>
      <c r="G13723" t="s">
        <v>31582</v>
      </c>
      <c r="H13723" t="s">
        <v>31591</v>
      </c>
      <c r="I13723" t="s">
        <v>8822</v>
      </c>
      <c r="J13723" t="s">
        <v>40161</v>
      </c>
      <c r="K13723" t="s">
        <v>41243</v>
      </c>
      <c r="M13723" t="s">
        <v>44895</v>
      </c>
      <c r="N13723" t="s">
        <v>45095</v>
      </c>
      <c r="O13723" t="s">
        <v>45096</v>
      </c>
      <c r="P13723">
        <v>0</v>
      </c>
      <c r="Q13723">
        <v>3</v>
      </c>
      <c r="R13723" t="s">
        <v>45116</v>
      </c>
      <c r="S13723" t="s">
        <v>45923</v>
      </c>
      <c r="T13723" t="s">
        <v>47064</v>
      </c>
      <c r="U13723" t="s">
        <v>58547</v>
      </c>
      <c r="W13723" t="s">
        <v>44895</v>
      </c>
      <c r="X13723" t="s">
        <v>45118</v>
      </c>
    </row>
    <row r="13724" spans="1:24">
      <c r="A13724">
        <f>HYPERLINK("https://www.philgeps.gov.ph/GEPSNONPILOT/Tender/SplashBidNoticeAbstractUI.aspx?menuIndex=3&amp;refID=7010894&amp;Result=3","7010894")</f>
        <v>0</v>
      </c>
      <c r="B13724" t="s">
        <v>1901</v>
      </c>
      <c r="C13724" t="s">
        <v>16338</v>
      </c>
      <c r="E13724" t="s">
        <v>30000</v>
      </c>
      <c r="F13724" t="s">
        <v>31574</v>
      </c>
      <c r="G13724" t="s">
        <v>31582</v>
      </c>
      <c r="H13724" t="s">
        <v>31590</v>
      </c>
      <c r="I13724" t="s">
        <v>3651</v>
      </c>
      <c r="J13724" t="s">
        <v>40162</v>
      </c>
      <c r="K13724" t="s">
        <v>41191</v>
      </c>
      <c r="M13724" t="s">
        <v>43546</v>
      </c>
      <c r="N13724" t="s">
        <v>45095</v>
      </c>
      <c r="O13724" t="s">
        <v>45096</v>
      </c>
      <c r="P13724">
        <v>0</v>
      </c>
      <c r="Q13724">
        <v>0</v>
      </c>
      <c r="R13724" t="s">
        <v>45116</v>
      </c>
      <c r="S13724" t="s">
        <v>45923</v>
      </c>
      <c r="T13724" t="s">
        <v>47021</v>
      </c>
      <c r="U13724" t="s">
        <v>52522</v>
      </c>
      <c r="W13724" t="s">
        <v>43546</v>
      </c>
      <c r="X13724" t="s">
        <v>45118</v>
      </c>
    </row>
    <row r="13725" spans="1:24">
      <c r="A13725">
        <f>HYPERLINK("https://www.philgeps.gov.ph/GEPSNONPILOT/Tender/SplashBidNoticeAbstractUI.aspx?menuIndex=3&amp;refID=7010699&amp;Result=3","7010699")</f>
        <v>0</v>
      </c>
      <c r="B13725" t="s">
        <v>3057</v>
      </c>
      <c r="C13725" t="s">
        <v>16339</v>
      </c>
      <c r="D13725" t="s">
        <v>18053</v>
      </c>
      <c r="E13725" t="s">
        <v>30001</v>
      </c>
      <c r="F13725" t="s">
        <v>31574</v>
      </c>
      <c r="G13725" t="s">
        <v>31582</v>
      </c>
      <c r="H13725" t="s">
        <v>31591</v>
      </c>
      <c r="I13725" t="s">
        <v>8822</v>
      </c>
      <c r="J13725" t="s">
        <v>31781</v>
      </c>
      <c r="K13725" t="s">
        <v>41192</v>
      </c>
      <c r="M13725" t="s">
        <v>44895</v>
      </c>
      <c r="N13725" t="s">
        <v>45095</v>
      </c>
      <c r="O13725" t="s">
        <v>45096</v>
      </c>
      <c r="P13725">
        <v>0</v>
      </c>
      <c r="Q13725">
        <v>3</v>
      </c>
      <c r="R13725" t="s">
        <v>45116</v>
      </c>
      <c r="S13725" t="s">
        <v>45923</v>
      </c>
      <c r="T13725" t="s">
        <v>47064</v>
      </c>
      <c r="U13725" t="s">
        <v>58548</v>
      </c>
      <c r="W13725" t="s">
        <v>44895</v>
      </c>
      <c r="X13725" t="s">
        <v>45118</v>
      </c>
    </row>
    <row r="13726" spans="1:24">
      <c r="A13726">
        <f>HYPERLINK("https://www.philgeps.gov.ph/GEPSNONPILOT/Tender/SplashBidNoticeAbstractUI.aspx?menuIndex=3&amp;refID=7010133&amp;Result=3","7010133")</f>
        <v>0</v>
      </c>
      <c r="B13726" t="s">
        <v>3055</v>
      </c>
      <c r="C13726" t="s">
        <v>16340</v>
      </c>
      <c r="D13726" t="s">
        <v>18026</v>
      </c>
      <c r="E13726" t="s">
        <v>30002</v>
      </c>
      <c r="F13726" t="s">
        <v>31574</v>
      </c>
      <c r="G13726" t="s">
        <v>31582</v>
      </c>
      <c r="H13726" t="s">
        <v>31591</v>
      </c>
      <c r="I13726" t="s">
        <v>8822</v>
      </c>
      <c r="J13726" t="s">
        <v>40163</v>
      </c>
      <c r="K13726" t="s">
        <v>41200</v>
      </c>
      <c r="M13726" t="s">
        <v>44893</v>
      </c>
      <c r="N13726" t="s">
        <v>45095</v>
      </c>
      <c r="O13726" t="s">
        <v>45096</v>
      </c>
      <c r="P13726">
        <v>0</v>
      </c>
      <c r="Q13726">
        <v>1</v>
      </c>
      <c r="R13726" t="s">
        <v>45116</v>
      </c>
      <c r="S13726" t="s">
        <v>45923</v>
      </c>
      <c r="T13726" t="s">
        <v>47077</v>
      </c>
      <c r="U13726" t="s">
        <v>58549</v>
      </c>
      <c r="V13726" t="s">
        <v>61366</v>
      </c>
      <c r="W13726" t="s">
        <v>44893</v>
      </c>
      <c r="X13726" t="s">
        <v>45118</v>
      </c>
    </row>
    <row r="13727" spans="1:24">
      <c r="A13727">
        <f>HYPERLINK("https://www.philgeps.gov.ph/GEPSNONPILOT/Tender/SplashBidNoticeAbstractUI.aspx?menuIndex=3&amp;refID=7010677&amp;Result=3","7010677")</f>
        <v>0</v>
      </c>
      <c r="B13727" t="s">
        <v>3058</v>
      </c>
      <c r="C13727" t="s">
        <v>16341</v>
      </c>
      <c r="D13727" t="s">
        <v>18053</v>
      </c>
      <c r="E13727" t="s">
        <v>30003</v>
      </c>
      <c r="F13727" t="s">
        <v>31574</v>
      </c>
      <c r="G13727" t="s">
        <v>31582</v>
      </c>
      <c r="H13727" t="s">
        <v>31590</v>
      </c>
      <c r="I13727" t="s">
        <v>31636</v>
      </c>
      <c r="J13727" t="s">
        <v>31771</v>
      </c>
      <c r="K13727" t="s">
        <v>41192</v>
      </c>
      <c r="M13727" t="s">
        <v>44896</v>
      </c>
      <c r="N13727" t="s">
        <v>45095</v>
      </c>
      <c r="O13727" t="s">
        <v>45096</v>
      </c>
      <c r="P13727">
        <v>0</v>
      </c>
      <c r="Q13727">
        <v>4</v>
      </c>
      <c r="R13727" t="s">
        <v>45116</v>
      </c>
      <c r="S13727" t="s">
        <v>45923</v>
      </c>
      <c r="T13727" t="s">
        <v>46963</v>
      </c>
      <c r="U13727" t="s">
        <v>58550</v>
      </c>
      <c r="W13727" t="s">
        <v>44896</v>
      </c>
      <c r="X13727" t="s">
        <v>45118</v>
      </c>
    </row>
    <row r="13728" spans="1:24">
      <c r="A13728">
        <f>HYPERLINK("https://www.philgeps.gov.ph/GEPSNONPILOT/Tender/SplashBidNoticeAbstractUI.aspx?menuIndex=3&amp;refID=7010978&amp;Result=3","7010978")</f>
        <v>0</v>
      </c>
      <c r="B13728" t="s">
        <v>3056</v>
      </c>
      <c r="C13728" t="s">
        <v>16342</v>
      </c>
      <c r="D13728" t="s">
        <v>18059</v>
      </c>
      <c r="E13728" t="s">
        <v>30004</v>
      </c>
      <c r="F13728" t="s">
        <v>31574</v>
      </c>
      <c r="G13728" t="s">
        <v>31582</v>
      </c>
      <c r="H13728" t="s">
        <v>31591</v>
      </c>
      <c r="I13728" t="s">
        <v>8822</v>
      </c>
      <c r="J13728" t="s">
        <v>40164</v>
      </c>
      <c r="K13728" t="s">
        <v>41234</v>
      </c>
      <c r="M13728" t="s">
        <v>44894</v>
      </c>
      <c r="N13728" t="s">
        <v>45095</v>
      </c>
      <c r="O13728" t="s">
        <v>45096</v>
      </c>
      <c r="P13728">
        <v>0</v>
      </c>
      <c r="Q13728">
        <v>1</v>
      </c>
      <c r="R13728" t="s">
        <v>45116</v>
      </c>
      <c r="S13728" t="s">
        <v>45923</v>
      </c>
      <c r="T13728" t="s">
        <v>47076</v>
      </c>
      <c r="U13728" t="s">
        <v>58551</v>
      </c>
      <c r="W13728" t="s">
        <v>44894</v>
      </c>
      <c r="X13728" t="s">
        <v>45118</v>
      </c>
    </row>
    <row r="13729" spans="1:24">
      <c r="A13729">
        <f>HYPERLINK("https://www.philgeps.gov.ph/GEPSNONPILOT/Tender/SplashBidNoticeAbstractUI.aspx?menuIndex=3&amp;refID=7010986&amp;Result=3","7010986")</f>
        <v>0</v>
      </c>
      <c r="B13729" t="s">
        <v>1601</v>
      </c>
      <c r="C13729" t="s">
        <v>16343</v>
      </c>
      <c r="D13729" t="s">
        <v>18036</v>
      </c>
      <c r="E13729" t="s">
        <v>30005</v>
      </c>
      <c r="F13729" t="s">
        <v>31574</v>
      </c>
      <c r="G13729" t="s">
        <v>31582</v>
      </c>
      <c r="H13729" t="s">
        <v>31591</v>
      </c>
      <c r="I13729" t="s">
        <v>8822</v>
      </c>
      <c r="J13729" t="s">
        <v>34743</v>
      </c>
      <c r="K13729" t="s">
        <v>41473</v>
      </c>
      <c r="M13729" t="s">
        <v>43205</v>
      </c>
      <c r="N13729" t="s">
        <v>45095</v>
      </c>
      <c r="O13729" t="s">
        <v>45096</v>
      </c>
      <c r="P13729">
        <v>0</v>
      </c>
      <c r="Q13729">
        <v>0</v>
      </c>
      <c r="R13729" t="s">
        <v>45116</v>
      </c>
      <c r="S13729" t="s">
        <v>45923</v>
      </c>
      <c r="T13729" t="s">
        <v>46973</v>
      </c>
      <c r="U13729" t="s">
        <v>58552</v>
      </c>
      <c r="W13729" t="s">
        <v>43205</v>
      </c>
      <c r="X13729" t="s">
        <v>45118</v>
      </c>
    </row>
    <row r="13730" spans="1:24">
      <c r="A13730">
        <f>HYPERLINK("https://www.philgeps.gov.ph/GEPSNONPILOT/Tender/SplashBidNoticeAbstractUI.aspx?menuIndex=3&amp;refID=7010676&amp;Result=3","7010676")</f>
        <v>0</v>
      </c>
      <c r="B13730" t="s">
        <v>3057</v>
      </c>
      <c r="C13730" t="s">
        <v>16344</v>
      </c>
      <c r="D13730" t="s">
        <v>18053</v>
      </c>
      <c r="E13730" t="s">
        <v>30006</v>
      </c>
      <c r="F13730" t="s">
        <v>31574</v>
      </c>
      <c r="G13730" t="s">
        <v>31582</v>
      </c>
      <c r="H13730" t="s">
        <v>31591</v>
      </c>
      <c r="I13730" t="s">
        <v>8822</v>
      </c>
      <c r="J13730" t="s">
        <v>40165</v>
      </c>
      <c r="K13730" t="s">
        <v>41209</v>
      </c>
      <c r="M13730" t="s">
        <v>44895</v>
      </c>
      <c r="N13730" t="s">
        <v>45095</v>
      </c>
      <c r="O13730" t="s">
        <v>45096</v>
      </c>
      <c r="P13730">
        <v>0</v>
      </c>
      <c r="Q13730">
        <v>3</v>
      </c>
      <c r="R13730" t="s">
        <v>45116</v>
      </c>
      <c r="S13730" t="s">
        <v>45923</v>
      </c>
      <c r="T13730" t="s">
        <v>47064</v>
      </c>
      <c r="U13730" t="s">
        <v>58553</v>
      </c>
      <c r="W13730" t="s">
        <v>44895</v>
      </c>
      <c r="X13730" t="s">
        <v>45118</v>
      </c>
    </row>
    <row r="13731" spans="1:24">
      <c r="A13731">
        <f>HYPERLINK("https://www.philgeps.gov.ph/GEPSNONPILOT/Tender/SplashBidNoticeAbstractUI.aspx?menuIndex=3&amp;refID=7010646&amp;Result=3","7010646")</f>
        <v>0</v>
      </c>
      <c r="B13731" t="s">
        <v>2001</v>
      </c>
      <c r="C13731" t="s">
        <v>16345</v>
      </c>
      <c r="D13731" t="s">
        <v>18058</v>
      </c>
      <c r="E13731" t="s">
        <v>30007</v>
      </c>
      <c r="F13731" t="s">
        <v>31574</v>
      </c>
      <c r="G13731" t="s">
        <v>31582</v>
      </c>
      <c r="H13731" t="s">
        <v>31591</v>
      </c>
      <c r="I13731" t="s">
        <v>8822</v>
      </c>
      <c r="J13731" t="s">
        <v>40166</v>
      </c>
      <c r="K13731" t="s">
        <v>41224</v>
      </c>
      <c r="L13731" t="s">
        <v>2001</v>
      </c>
      <c r="M13731" t="s">
        <v>43663</v>
      </c>
      <c r="N13731" t="s">
        <v>45095</v>
      </c>
      <c r="O13731" t="s">
        <v>45096</v>
      </c>
      <c r="Q13731">
        <v>1</v>
      </c>
      <c r="R13731" t="s">
        <v>45116</v>
      </c>
      <c r="S13731" t="s">
        <v>45932</v>
      </c>
      <c r="T13731" t="s">
        <v>47159</v>
      </c>
      <c r="U13731" t="s">
        <v>58554</v>
      </c>
      <c r="V13731" t="s">
        <v>61367</v>
      </c>
      <c r="W13731" t="s">
        <v>43663</v>
      </c>
      <c r="X13731" t="s">
        <v>45118</v>
      </c>
    </row>
    <row r="13732" spans="1:24">
      <c r="A13732">
        <f>HYPERLINK("https://www.philgeps.gov.ph/GEPSNONPILOT/Tender/SplashBidNoticeAbstractUI.aspx?menuIndex=3&amp;refID=7010713&amp;Result=3","7010713")</f>
        <v>0</v>
      </c>
      <c r="B13732" t="s">
        <v>594</v>
      </c>
      <c r="C13732" t="s">
        <v>16346</v>
      </c>
      <c r="D13732" t="s">
        <v>18106</v>
      </c>
      <c r="E13732" t="s">
        <v>30008</v>
      </c>
      <c r="F13732" t="s">
        <v>31574</v>
      </c>
      <c r="G13732" t="s">
        <v>31582</v>
      </c>
      <c r="H13732" t="s">
        <v>31590</v>
      </c>
      <c r="I13732" t="s">
        <v>31608</v>
      </c>
      <c r="J13732" t="s">
        <v>37072</v>
      </c>
      <c r="K13732" t="s">
        <v>41189</v>
      </c>
      <c r="M13732" t="s">
        <v>43915</v>
      </c>
      <c r="N13732" t="s">
        <v>45095</v>
      </c>
      <c r="O13732" t="s">
        <v>45096</v>
      </c>
      <c r="P13732">
        <v>0</v>
      </c>
      <c r="Q13732">
        <v>7</v>
      </c>
      <c r="R13732" t="s">
        <v>45116</v>
      </c>
      <c r="S13732" t="s">
        <v>45923</v>
      </c>
      <c r="T13732" t="s">
        <v>47301</v>
      </c>
      <c r="U13732" t="s">
        <v>58555</v>
      </c>
      <c r="W13732" t="s">
        <v>43915</v>
      </c>
      <c r="X13732" t="s">
        <v>45118</v>
      </c>
    </row>
    <row r="13733" spans="1:24">
      <c r="A13733">
        <f>HYPERLINK("https://www.philgeps.gov.ph/GEPSNONPILOT/Tender/SplashBidNoticeAbstractUI.aspx?menuIndex=3&amp;refID=7010973&amp;Result=3","7010973")</f>
        <v>0</v>
      </c>
      <c r="B13733" t="s">
        <v>201</v>
      </c>
      <c r="C13733" t="s">
        <v>13599</v>
      </c>
      <c r="D13733" t="s">
        <v>18045</v>
      </c>
      <c r="E13733" t="s">
        <v>30009</v>
      </c>
      <c r="F13733" t="s">
        <v>31574</v>
      </c>
      <c r="G13733" t="s">
        <v>31582</v>
      </c>
      <c r="H13733" t="s">
        <v>31590</v>
      </c>
      <c r="I13733" t="s">
        <v>31598</v>
      </c>
      <c r="J13733" t="s">
        <v>40167</v>
      </c>
      <c r="K13733" t="s">
        <v>41184</v>
      </c>
      <c r="M13733" t="s">
        <v>41970</v>
      </c>
      <c r="N13733" t="s">
        <v>45095</v>
      </c>
      <c r="O13733" t="s">
        <v>45096</v>
      </c>
      <c r="Q13733">
        <v>16</v>
      </c>
      <c r="R13733" t="s">
        <v>45116</v>
      </c>
      <c r="S13733" t="s">
        <v>45933</v>
      </c>
      <c r="T13733" t="s">
        <v>47125</v>
      </c>
      <c r="U13733" t="s">
        <v>56428</v>
      </c>
      <c r="V13733" t="s">
        <v>61003</v>
      </c>
      <c r="W13733" t="s">
        <v>41970</v>
      </c>
      <c r="X13733" t="s">
        <v>45118</v>
      </c>
    </row>
    <row r="13734" spans="1:24">
      <c r="A13734">
        <f>HYPERLINK("https://www.philgeps.gov.ph/GEPSNONPILOT/Tender/SplashBidNoticeAbstractUI.aspx?menuIndex=3&amp;refID=7010630&amp;Result=3","7010630")</f>
        <v>0</v>
      </c>
      <c r="B13734" t="s">
        <v>1985</v>
      </c>
      <c r="C13734" t="s">
        <v>9351</v>
      </c>
      <c r="D13734" t="s">
        <v>18022</v>
      </c>
      <c r="E13734" t="s">
        <v>30010</v>
      </c>
      <c r="F13734" t="s">
        <v>31574</v>
      </c>
      <c r="G13734" t="s">
        <v>31582</v>
      </c>
      <c r="H13734" t="s">
        <v>31590</v>
      </c>
      <c r="I13734" t="s">
        <v>8258</v>
      </c>
      <c r="J13734" t="s">
        <v>40168</v>
      </c>
      <c r="K13734" t="s">
        <v>41196</v>
      </c>
      <c r="M13734" t="s">
        <v>43645</v>
      </c>
      <c r="N13734" t="s">
        <v>45095</v>
      </c>
      <c r="O13734" t="s">
        <v>45096</v>
      </c>
      <c r="P13734">
        <v>0</v>
      </c>
      <c r="Q13734">
        <v>12</v>
      </c>
      <c r="R13734" t="s">
        <v>45116</v>
      </c>
      <c r="S13734" t="s">
        <v>45923</v>
      </c>
      <c r="T13734" t="s">
        <v>47076</v>
      </c>
      <c r="U13734" t="s">
        <v>58556</v>
      </c>
      <c r="W13734" t="s">
        <v>43645</v>
      </c>
      <c r="X13734" t="s">
        <v>45118</v>
      </c>
    </row>
    <row r="13735" spans="1:24">
      <c r="A13735">
        <f>HYPERLINK("https://www.philgeps.gov.ph/GEPSNONPILOT/Tender/SplashBidNoticeAbstractUI.aspx?menuIndex=3&amp;refID=7011129&amp;Result=3","7011129")</f>
        <v>0</v>
      </c>
      <c r="B13735" t="s">
        <v>1455</v>
      </c>
      <c r="C13735" t="s">
        <v>16347</v>
      </c>
      <c r="E13735" t="s">
        <v>30011</v>
      </c>
      <c r="F13735" t="s">
        <v>31574</v>
      </c>
      <c r="G13735" t="s">
        <v>31582</v>
      </c>
      <c r="H13735" t="s">
        <v>31591</v>
      </c>
      <c r="I13735" t="s">
        <v>8822</v>
      </c>
      <c r="J13735" t="s">
        <v>40169</v>
      </c>
      <c r="K13735" t="s">
        <v>41198</v>
      </c>
      <c r="M13735" t="s">
        <v>43035</v>
      </c>
      <c r="N13735" t="s">
        <v>45095</v>
      </c>
      <c r="O13735" t="s">
        <v>45096</v>
      </c>
      <c r="Q13735">
        <v>10</v>
      </c>
      <c r="R13735" t="s">
        <v>45116</v>
      </c>
      <c r="S13735" t="s">
        <v>45934</v>
      </c>
      <c r="T13735" t="s">
        <v>47154</v>
      </c>
      <c r="U13735" t="s">
        <v>58543</v>
      </c>
      <c r="W13735" t="s">
        <v>43035</v>
      </c>
      <c r="X13735" t="s">
        <v>45118</v>
      </c>
    </row>
    <row r="13736" spans="1:24">
      <c r="A13736">
        <f>HYPERLINK("https://www.philgeps.gov.ph/GEPSNONPILOT/Tender/SplashBidNoticeAbstractUI.aspx?menuIndex=3&amp;refID=7010691&amp;Result=3","7010691")</f>
        <v>0</v>
      </c>
      <c r="B13736" t="s">
        <v>3056</v>
      </c>
      <c r="C13736" t="s">
        <v>16348</v>
      </c>
      <c r="D13736" t="s">
        <v>18059</v>
      </c>
      <c r="E13736" t="s">
        <v>30012</v>
      </c>
      <c r="F13736" t="s">
        <v>31574</v>
      </c>
      <c r="G13736" t="s">
        <v>31582</v>
      </c>
      <c r="H13736" t="s">
        <v>31591</v>
      </c>
      <c r="I13736" t="s">
        <v>8822</v>
      </c>
      <c r="J13736" t="s">
        <v>40170</v>
      </c>
      <c r="K13736" t="s">
        <v>41439</v>
      </c>
      <c r="M13736" t="s">
        <v>44894</v>
      </c>
      <c r="N13736" t="s">
        <v>45095</v>
      </c>
      <c r="O13736" t="s">
        <v>45096</v>
      </c>
      <c r="P13736">
        <v>0</v>
      </c>
      <c r="Q13736">
        <v>1</v>
      </c>
      <c r="R13736" t="s">
        <v>45116</v>
      </c>
      <c r="S13736" t="s">
        <v>45923</v>
      </c>
      <c r="T13736" t="s">
        <v>47076</v>
      </c>
      <c r="U13736" t="s">
        <v>58557</v>
      </c>
      <c r="W13736" t="s">
        <v>44894</v>
      </c>
      <c r="X13736" t="s">
        <v>45118</v>
      </c>
    </row>
    <row r="13737" spans="1:24">
      <c r="A13737">
        <f>HYPERLINK("https://www.philgeps.gov.ph/GEPSNONPILOT/Tender/SplashBidNoticeAbstractUI.aspx?menuIndex=3&amp;refID=7010587&amp;Result=3","7010587")</f>
        <v>0</v>
      </c>
      <c r="B13737" t="s">
        <v>1985</v>
      </c>
      <c r="C13737" t="s">
        <v>5299</v>
      </c>
      <c r="D13737" t="s">
        <v>18022</v>
      </c>
      <c r="E13737" t="s">
        <v>30013</v>
      </c>
      <c r="F13737" t="s">
        <v>31574</v>
      </c>
      <c r="G13737" t="s">
        <v>31582</v>
      </c>
      <c r="H13737" t="s">
        <v>31590</v>
      </c>
      <c r="I13737" t="s">
        <v>31610</v>
      </c>
      <c r="J13737" t="s">
        <v>40171</v>
      </c>
      <c r="K13737" t="s">
        <v>41196</v>
      </c>
      <c r="M13737" t="s">
        <v>43645</v>
      </c>
      <c r="N13737" t="s">
        <v>45095</v>
      </c>
      <c r="O13737" t="s">
        <v>45096</v>
      </c>
      <c r="P13737">
        <v>0</v>
      </c>
      <c r="Q13737">
        <v>7</v>
      </c>
      <c r="R13737" t="s">
        <v>45116</v>
      </c>
      <c r="S13737" t="s">
        <v>45923</v>
      </c>
      <c r="T13737" t="s">
        <v>47076</v>
      </c>
      <c r="U13737" t="s">
        <v>58558</v>
      </c>
      <c r="W13737" t="s">
        <v>43645</v>
      </c>
      <c r="X13737" t="s">
        <v>45118</v>
      </c>
    </row>
    <row r="13738" spans="1:24">
      <c r="A13738">
        <f>HYPERLINK("https://www.philgeps.gov.ph/GEPSNONPILOT/Tender/SplashBidNoticeAbstractUI.aspx?menuIndex=3&amp;refID=7011874&amp;Result=3","7011874")</f>
        <v>0</v>
      </c>
      <c r="B13738" t="s">
        <v>3059</v>
      </c>
      <c r="C13738" t="s">
        <v>16349</v>
      </c>
      <c r="D13738" t="s">
        <v>18059</v>
      </c>
      <c r="E13738" t="s">
        <v>30014</v>
      </c>
      <c r="F13738" t="s">
        <v>31574</v>
      </c>
      <c r="G13738" t="s">
        <v>31582</v>
      </c>
      <c r="H13738" t="s">
        <v>31590</v>
      </c>
      <c r="I13738" t="s">
        <v>31615</v>
      </c>
      <c r="J13738" t="s">
        <v>33343</v>
      </c>
      <c r="K13738" t="s">
        <v>41196</v>
      </c>
      <c r="M13738" t="s">
        <v>44897</v>
      </c>
      <c r="N13738" t="s">
        <v>45095</v>
      </c>
      <c r="O13738" t="s">
        <v>45096</v>
      </c>
      <c r="P13738">
        <v>0</v>
      </c>
      <c r="Q13738">
        <v>3</v>
      </c>
      <c r="R13738" t="s">
        <v>45116</v>
      </c>
      <c r="S13738" t="s">
        <v>45923</v>
      </c>
      <c r="T13738" t="s">
        <v>47183</v>
      </c>
      <c r="U13738" t="s">
        <v>58559</v>
      </c>
      <c r="V13738" t="s">
        <v>61368</v>
      </c>
      <c r="W13738" t="s">
        <v>44897</v>
      </c>
      <c r="X13738" t="s">
        <v>45117</v>
      </c>
    </row>
    <row r="13739" spans="1:24">
      <c r="A13739">
        <f>HYPERLINK("https://www.philgeps.gov.ph/GEPSNONPILOT/Tender/SplashBidNoticeAbstractUI.aspx?menuIndex=3&amp;refID=7011832&amp;Result=3","7011832")</f>
        <v>0</v>
      </c>
      <c r="B13739" t="s">
        <v>3060</v>
      </c>
      <c r="C13739" t="s">
        <v>16350</v>
      </c>
      <c r="D13739" t="s">
        <v>18066</v>
      </c>
      <c r="E13739" t="s">
        <v>30015</v>
      </c>
      <c r="F13739" t="s">
        <v>31575</v>
      </c>
      <c r="G13739" t="s">
        <v>31582</v>
      </c>
      <c r="H13739" t="s">
        <v>31591</v>
      </c>
      <c r="I13739" t="s">
        <v>8822</v>
      </c>
      <c r="J13739" t="s">
        <v>32869</v>
      </c>
      <c r="K13739" t="s">
        <v>41260</v>
      </c>
      <c r="L13739" t="s">
        <v>3060</v>
      </c>
      <c r="M13739" t="s">
        <v>44898</v>
      </c>
      <c r="N13739" t="s">
        <v>45095</v>
      </c>
      <c r="O13739" t="s">
        <v>45096</v>
      </c>
      <c r="P13739">
        <v>0</v>
      </c>
      <c r="Q13739">
        <v>0</v>
      </c>
      <c r="R13739" t="s">
        <v>45116</v>
      </c>
      <c r="S13739" t="s">
        <v>45923</v>
      </c>
      <c r="T13739" t="s">
        <v>46920</v>
      </c>
      <c r="U13739" t="s">
        <v>58560</v>
      </c>
      <c r="V13739" t="s">
        <v>61369</v>
      </c>
      <c r="W13739" t="s">
        <v>44898</v>
      </c>
      <c r="X13739" t="s">
        <v>45117</v>
      </c>
    </row>
    <row r="13740" spans="1:24">
      <c r="A13740">
        <f>HYPERLINK("https://www.philgeps.gov.ph/GEPSNONPILOT/Tender/SplashBidNoticeAbstractUI.aspx?menuIndex=3&amp;refID=7011843&amp;Result=3","7011843")</f>
        <v>0</v>
      </c>
      <c r="B13740" t="s">
        <v>524</v>
      </c>
      <c r="C13740" t="s">
        <v>16351</v>
      </c>
      <c r="D13740" t="s">
        <v>18094</v>
      </c>
      <c r="E13740" t="s">
        <v>30016</v>
      </c>
      <c r="F13740" t="s">
        <v>31574</v>
      </c>
      <c r="G13740" t="s">
        <v>31582</v>
      </c>
      <c r="H13740" t="s">
        <v>31591</v>
      </c>
      <c r="I13740" t="s">
        <v>8822</v>
      </c>
      <c r="J13740" t="s">
        <v>40172</v>
      </c>
      <c r="K13740" t="s">
        <v>41293</v>
      </c>
      <c r="M13740" t="s">
        <v>43926</v>
      </c>
      <c r="N13740" t="s">
        <v>45095</v>
      </c>
      <c r="O13740" t="s">
        <v>45096</v>
      </c>
      <c r="P13740">
        <v>0</v>
      </c>
      <c r="Q13740">
        <v>2</v>
      </c>
      <c r="R13740" t="s">
        <v>45116</v>
      </c>
      <c r="S13740" t="s">
        <v>45923</v>
      </c>
      <c r="T13740" t="s">
        <v>47050</v>
      </c>
      <c r="U13740" t="s">
        <v>57254</v>
      </c>
      <c r="W13740" t="s">
        <v>43926</v>
      </c>
      <c r="X13740" t="s">
        <v>45117</v>
      </c>
    </row>
    <row r="13741" spans="1:24">
      <c r="A13741">
        <f>HYPERLINK("https://www.philgeps.gov.ph/GEPSNONPILOT/Tender/SplashBidNoticeAbstractUI.aspx?menuIndex=3&amp;refID=7011821&amp;Result=3","7011821")</f>
        <v>0</v>
      </c>
      <c r="B13741" t="s">
        <v>3060</v>
      </c>
      <c r="C13741" t="s">
        <v>16352</v>
      </c>
      <c r="D13741" t="s">
        <v>18066</v>
      </c>
      <c r="E13741" t="s">
        <v>30017</v>
      </c>
      <c r="F13741" t="s">
        <v>31575</v>
      </c>
      <c r="G13741" t="s">
        <v>31582</v>
      </c>
      <c r="H13741" t="s">
        <v>31591</v>
      </c>
      <c r="I13741" t="s">
        <v>8822</v>
      </c>
      <c r="J13741" t="s">
        <v>31789</v>
      </c>
      <c r="K13741" t="s">
        <v>41186</v>
      </c>
      <c r="L13741" t="s">
        <v>3060</v>
      </c>
      <c r="M13741" t="s">
        <v>44898</v>
      </c>
      <c r="N13741" t="s">
        <v>45095</v>
      </c>
      <c r="O13741" t="s">
        <v>45096</v>
      </c>
      <c r="P13741">
        <v>0</v>
      </c>
      <c r="Q13741">
        <v>0</v>
      </c>
      <c r="R13741" t="s">
        <v>45116</v>
      </c>
      <c r="S13741" t="s">
        <v>45923</v>
      </c>
      <c r="T13741" t="s">
        <v>46920</v>
      </c>
      <c r="U13741" t="s">
        <v>58561</v>
      </c>
      <c r="V13741" t="s">
        <v>61370</v>
      </c>
      <c r="W13741" t="s">
        <v>44898</v>
      </c>
      <c r="X13741" t="s">
        <v>45117</v>
      </c>
    </row>
    <row r="13742" spans="1:24">
      <c r="A13742">
        <f>HYPERLINK("https://www.philgeps.gov.ph/GEPSNONPILOT/Tender/SplashBidNoticeAbstractUI.aspx?menuIndex=3&amp;refID=7011834&amp;Result=3","7011834")</f>
        <v>0</v>
      </c>
      <c r="B13742" t="s">
        <v>3060</v>
      </c>
      <c r="C13742" t="s">
        <v>16353</v>
      </c>
      <c r="D13742" t="s">
        <v>18066</v>
      </c>
      <c r="E13742" t="s">
        <v>30018</v>
      </c>
      <c r="F13742" t="s">
        <v>31575</v>
      </c>
      <c r="G13742" t="s">
        <v>31582</v>
      </c>
      <c r="H13742" t="s">
        <v>31591</v>
      </c>
      <c r="I13742" t="s">
        <v>8822</v>
      </c>
      <c r="J13742" t="s">
        <v>32019</v>
      </c>
      <c r="K13742" t="s">
        <v>41185</v>
      </c>
      <c r="L13742" t="s">
        <v>3060</v>
      </c>
      <c r="M13742" t="s">
        <v>44898</v>
      </c>
      <c r="N13742" t="s">
        <v>45095</v>
      </c>
      <c r="O13742" t="s">
        <v>45096</v>
      </c>
      <c r="P13742">
        <v>0</v>
      </c>
      <c r="Q13742">
        <v>0</v>
      </c>
      <c r="R13742" t="s">
        <v>45116</v>
      </c>
      <c r="S13742" t="s">
        <v>45923</v>
      </c>
      <c r="T13742" t="s">
        <v>46920</v>
      </c>
      <c r="U13742" t="s">
        <v>58562</v>
      </c>
      <c r="V13742" t="s">
        <v>61369</v>
      </c>
      <c r="W13742" t="s">
        <v>44898</v>
      </c>
      <c r="X13742" t="s">
        <v>45117</v>
      </c>
    </row>
    <row r="13743" spans="1:24">
      <c r="A13743">
        <f>HYPERLINK("https://www.philgeps.gov.ph/GEPSNONPILOT/Tender/SplashBidNoticeAbstractUI.aspx?menuIndex=3&amp;refID=7010597&amp;Result=3","7010597")</f>
        <v>0</v>
      </c>
      <c r="B13743" t="s">
        <v>3056</v>
      </c>
      <c r="C13743" t="s">
        <v>16354</v>
      </c>
      <c r="D13743" t="s">
        <v>18059</v>
      </c>
      <c r="E13743" t="s">
        <v>30019</v>
      </c>
      <c r="F13743" t="s">
        <v>31574</v>
      </c>
      <c r="G13743" t="s">
        <v>31582</v>
      </c>
      <c r="H13743" t="s">
        <v>31591</v>
      </c>
      <c r="I13743" t="s">
        <v>8822</v>
      </c>
      <c r="J13743" t="s">
        <v>40173</v>
      </c>
      <c r="K13743" t="s">
        <v>41186</v>
      </c>
      <c r="M13743" t="s">
        <v>44894</v>
      </c>
      <c r="N13743" t="s">
        <v>45095</v>
      </c>
      <c r="O13743" t="s">
        <v>45096</v>
      </c>
      <c r="P13743">
        <v>0</v>
      </c>
      <c r="Q13743">
        <v>0</v>
      </c>
      <c r="R13743" t="s">
        <v>45116</v>
      </c>
      <c r="S13743" t="s">
        <v>45923</v>
      </c>
      <c r="T13743" t="s">
        <v>47076</v>
      </c>
      <c r="U13743" t="s">
        <v>58563</v>
      </c>
      <c r="W13743" t="s">
        <v>44894</v>
      </c>
      <c r="X13743" t="s">
        <v>45118</v>
      </c>
    </row>
    <row r="13744" spans="1:24">
      <c r="A13744">
        <f>HYPERLINK("https://www.philgeps.gov.ph/GEPSNONPILOT/Tender/SplashBidNoticeAbstractUI.aspx?menuIndex=3&amp;refID=7011840&amp;Result=3","7011840")</f>
        <v>0</v>
      </c>
      <c r="B13744" t="s">
        <v>3060</v>
      </c>
      <c r="C13744" t="s">
        <v>16355</v>
      </c>
      <c r="D13744" t="s">
        <v>18066</v>
      </c>
      <c r="E13744" t="s">
        <v>30020</v>
      </c>
      <c r="F13744" t="s">
        <v>31575</v>
      </c>
      <c r="G13744" t="s">
        <v>31582</v>
      </c>
      <c r="H13744" t="s">
        <v>31591</v>
      </c>
      <c r="I13744" t="s">
        <v>8822</v>
      </c>
      <c r="J13744" t="s">
        <v>31947</v>
      </c>
      <c r="K13744" t="s">
        <v>41185</v>
      </c>
      <c r="L13744" t="s">
        <v>3060</v>
      </c>
      <c r="M13744" t="s">
        <v>44898</v>
      </c>
      <c r="N13744" t="s">
        <v>45095</v>
      </c>
      <c r="O13744" t="s">
        <v>45096</v>
      </c>
      <c r="P13744">
        <v>0</v>
      </c>
      <c r="Q13744">
        <v>0</v>
      </c>
      <c r="R13744" t="s">
        <v>45116</v>
      </c>
      <c r="S13744" t="s">
        <v>45923</v>
      </c>
      <c r="T13744" t="s">
        <v>46920</v>
      </c>
      <c r="U13744" t="s">
        <v>58564</v>
      </c>
      <c r="V13744" t="s">
        <v>61369</v>
      </c>
      <c r="W13744" t="s">
        <v>44898</v>
      </c>
      <c r="X13744" t="s">
        <v>45117</v>
      </c>
    </row>
    <row r="13745" spans="1:24">
      <c r="A13745">
        <f>HYPERLINK("https://www.philgeps.gov.ph/GEPSNONPILOT/Tender/SplashBidNoticeAbstractUI.aspx?menuIndex=3&amp;refID=7011816&amp;Result=3","7011816")</f>
        <v>0</v>
      </c>
      <c r="B13745" t="s">
        <v>3060</v>
      </c>
      <c r="C13745" t="s">
        <v>16356</v>
      </c>
      <c r="D13745" t="s">
        <v>18066</v>
      </c>
      <c r="E13745" t="s">
        <v>30021</v>
      </c>
      <c r="F13745" t="s">
        <v>31575</v>
      </c>
      <c r="G13745" t="s">
        <v>31582</v>
      </c>
      <c r="H13745" t="s">
        <v>31591</v>
      </c>
      <c r="I13745" t="s">
        <v>8822</v>
      </c>
      <c r="J13745" t="s">
        <v>40174</v>
      </c>
      <c r="K13745" t="s">
        <v>41189</v>
      </c>
      <c r="L13745" t="s">
        <v>3060</v>
      </c>
      <c r="M13745" t="s">
        <v>44898</v>
      </c>
      <c r="N13745" t="s">
        <v>45095</v>
      </c>
      <c r="O13745" t="s">
        <v>45096</v>
      </c>
      <c r="P13745">
        <v>0</v>
      </c>
      <c r="Q13745">
        <v>0</v>
      </c>
      <c r="R13745" t="s">
        <v>45116</v>
      </c>
      <c r="S13745" t="s">
        <v>45923</v>
      </c>
      <c r="T13745" t="s">
        <v>46920</v>
      </c>
      <c r="U13745" t="s">
        <v>58565</v>
      </c>
      <c r="V13745" t="s">
        <v>61371</v>
      </c>
      <c r="W13745" t="s">
        <v>44898</v>
      </c>
      <c r="X13745" t="s">
        <v>45117</v>
      </c>
    </row>
    <row r="13746" spans="1:24">
      <c r="A13746">
        <f>HYPERLINK("https://www.philgeps.gov.ph/GEPSNONPILOT/Tender/SplashBidNoticeAbstractUI.aspx?menuIndex=3&amp;refID=7011826&amp;Result=3","7011826")</f>
        <v>0</v>
      </c>
      <c r="B13746" t="s">
        <v>3060</v>
      </c>
      <c r="C13746" t="s">
        <v>16357</v>
      </c>
      <c r="D13746" t="s">
        <v>18066</v>
      </c>
      <c r="E13746" t="s">
        <v>30022</v>
      </c>
      <c r="F13746" t="s">
        <v>31575</v>
      </c>
      <c r="G13746" t="s">
        <v>31582</v>
      </c>
      <c r="H13746" t="s">
        <v>31591</v>
      </c>
      <c r="I13746" t="s">
        <v>8822</v>
      </c>
      <c r="J13746" t="s">
        <v>40174</v>
      </c>
      <c r="K13746" t="s">
        <v>41189</v>
      </c>
      <c r="L13746" t="s">
        <v>3060</v>
      </c>
      <c r="M13746" t="s">
        <v>44898</v>
      </c>
      <c r="N13746" t="s">
        <v>45095</v>
      </c>
      <c r="O13746" t="s">
        <v>45096</v>
      </c>
      <c r="P13746">
        <v>0</v>
      </c>
      <c r="Q13746">
        <v>0</v>
      </c>
      <c r="R13746" t="s">
        <v>45116</v>
      </c>
      <c r="S13746" t="s">
        <v>45923</v>
      </c>
      <c r="T13746" t="s">
        <v>46920</v>
      </c>
      <c r="U13746" t="s">
        <v>58566</v>
      </c>
      <c r="V13746" t="s">
        <v>61369</v>
      </c>
      <c r="W13746" t="s">
        <v>44898</v>
      </c>
      <c r="X13746" t="s">
        <v>45117</v>
      </c>
    </row>
    <row r="13747" spans="1:24">
      <c r="A13747">
        <f>HYPERLINK("https://www.philgeps.gov.ph/GEPSNONPILOT/Tender/SplashBidNoticeAbstractUI.aspx?menuIndex=3&amp;refID=7011230&amp;Result=3","7011230")</f>
        <v>0</v>
      </c>
      <c r="B13747" t="s">
        <v>1455</v>
      </c>
      <c r="C13747" t="s">
        <v>16358</v>
      </c>
      <c r="E13747" t="s">
        <v>30023</v>
      </c>
      <c r="F13747" t="s">
        <v>31574</v>
      </c>
      <c r="G13747" t="s">
        <v>31582</v>
      </c>
      <c r="H13747" t="s">
        <v>31591</v>
      </c>
      <c r="I13747" t="s">
        <v>8822</v>
      </c>
      <c r="J13747" t="s">
        <v>40175</v>
      </c>
      <c r="K13747" t="s">
        <v>41200</v>
      </c>
      <c r="M13747" t="s">
        <v>43035</v>
      </c>
      <c r="N13747" t="s">
        <v>45095</v>
      </c>
      <c r="O13747" t="s">
        <v>45096</v>
      </c>
      <c r="Q13747">
        <v>7</v>
      </c>
      <c r="R13747" t="s">
        <v>45116</v>
      </c>
      <c r="S13747" t="s">
        <v>45935</v>
      </c>
      <c r="T13747" t="s">
        <v>47154</v>
      </c>
      <c r="U13747" t="s">
        <v>58543</v>
      </c>
      <c r="W13747" t="s">
        <v>43035</v>
      </c>
      <c r="X13747" t="s">
        <v>45118</v>
      </c>
    </row>
    <row r="13748" spans="1:24">
      <c r="A13748">
        <f>HYPERLINK("https://www.philgeps.gov.ph/GEPSNONPILOT/Tender/SplashBidNoticeAbstractUI.aspx?menuIndex=3&amp;refID=7011456&amp;Result=3","7011456")</f>
        <v>0</v>
      </c>
      <c r="B13748" t="s">
        <v>201</v>
      </c>
      <c r="C13748" t="s">
        <v>4235</v>
      </c>
      <c r="D13748" t="s">
        <v>18045</v>
      </c>
      <c r="E13748" t="s">
        <v>30024</v>
      </c>
      <c r="F13748" t="s">
        <v>31574</v>
      </c>
      <c r="G13748" t="s">
        <v>31582</v>
      </c>
      <c r="H13748" t="s">
        <v>31590</v>
      </c>
      <c r="I13748" t="s">
        <v>7185</v>
      </c>
      <c r="J13748" t="s">
        <v>40176</v>
      </c>
      <c r="K13748" t="s">
        <v>41184</v>
      </c>
      <c r="M13748" t="s">
        <v>41970</v>
      </c>
      <c r="N13748" t="s">
        <v>45095</v>
      </c>
      <c r="O13748" t="s">
        <v>45096</v>
      </c>
      <c r="Q13748">
        <v>2</v>
      </c>
      <c r="R13748" t="s">
        <v>45116</v>
      </c>
      <c r="S13748" t="s">
        <v>45936</v>
      </c>
      <c r="T13748" t="s">
        <v>47125</v>
      </c>
      <c r="U13748" t="s">
        <v>56428</v>
      </c>
      <c r="V13748" t="s">
        <v>61003</v>
      </c>
      <c r="W13748" t="s">
        <v>41970</v>
      </c>
      <c r="X13748" t="s">
        <v>45118</v>
      </c>
    </row>
    <row r="13749" spans="1:24">
      <c r="A13749">
        <f>HYPERLINK("https://www.philgeps.gov.ph/GEPSNONPILOT/Tender/SplashBidNoticeAbstractUI.aspx?menuIndex=3&amp;refID=7011332&amp;Result=3","7011332")</f>
        <v>0</v>
      </c>
      <c r="B13749" t="s">
        <v>3056</v>
      </c>
      <c r="C13749" t="s">
        <v>16359</v>
      </c>
      <c r="D13749" t="s">
        <v>18059</v>
      </c>
      <c r="E13749" t="s">
        <v>30025</v>
      </c>
      <c r="F13749" t="s">
        <v>31574</v>
      </c>
      <c r="G13749" t="s">
        <v>31582</v>
      </c>
      <c r="H13749" t="s">
        <v>31591</v>
      </c>
      <c r="I13749" t="s">
        <v>8822</v>
      </c>
      <c r="J13749" t="s">
        <v>40177</v>
      </c>
      <c r="K13749" t="s">
        <v>41291</v>
      </c>
      <c r="M13749" t="s">
        <v>44894</v>
      </c>
      <c r="N13749" t="s">
        <v>45095</v>
      </c>
      <c r="O13749" t="s">
        <v>45096</v>
      </c>
      <c r="P13749">
        <v>0</v>
      </c>
      <c r="Q13749">
        <v>0</v>
      </c>
      <c r="R13749" t="s">
        <v>45116</v>
      </c>
      <c r="S13749" t="s">
        <v>45923</v>
      </c>
      <c r="T13749" t="s">
        <v>47076</v>
      </c>
      <c r="U13749" t="s">
        <v>58567</v>
      </c>
      <c r="W13749" t="s">
        <v>44894</v>
      </c>
      <c r="X13749" t="s">
        <v>45118</v>
      </c>
    </row>
    <row r="13750" spans="1:24">
      <c r="A13750">
        <f>HYPERLINK("https://www.philgeps.gov.ph/GEPSNONPILOT/Tender/SplashBidNoticeAbstractUI.aspx?menuIndex=3&amp;refID=7011262&amp;Result=3","7011262")</f>
        <v>0</v>
      </c>
      <c r="B13750" t="s">
        <v>1655</v>
      </c>
      <c r="C13750" t="s">
        <v>16360</v>
      </c>
      <c r="D13750" t="s">
        <v>18030</v>
      </c>
      <c r="E13750" t="s">
        <v>30026</v>
      </c>
      <c r="F13750" t="s">
        <v>31574</v>
      </c>
      <c r="G13750" t="s">
        <v>31582</v>
      </c>
      <c r="H13750" t="s">
        <v>31590</v>
      </c>
      <c r="I13750" t="s">
        <v>3487</v>
      </c>
      <c r="J13750" t="s">
        <v>40178</v>
      </c>
      <c r="K13750" t="s">
        <v>41191</v>
      </c>
      <c r="M13750" t="s">
        <v>44621</v>
      </c>
      <c r="N13750" t="s">
        <v>45095</v>
      </c>
      <c r="O13750" t="s">
        <v>45096</v>
      </c>
      <c r="P13750">
        <v>0</v>
      </c>
      <c r="Q13750">
        <v>5</v>
      </c>
      <c r="R13750" t="s">
        <v>45116</v>
      </c>
      <c r="S13750" t="s">
        <v>45923</v>
      </c>
      <c r="T13750" t="s">
        <v>47021</v>
      </c>
      <c r="U13750" t="s">
        <v>58568</v>
      </c>
      <c r="W13750" t="s">
        <v>44621</v>
      </c>
      <c r="X13750" t="s">
        <v>45118</v>
      </c>
    </row>
    <row r="13751" spans="1:24">
      <c r="A13751">
        <f>HYPERLINK("https://www.philgeps.gov.ph/GEPSNONPILOT/Tender/SplashBidNoticeAbstractUI.aspx?menuIndex=3&amp;refID=7011279&amp;Result=3","7011279")</f>
        <v>0</v>
      </c>
      <c r="B13751" t="s">
        <v>1455</v>
      </c>
      <c r="C13751" t="s">
        <v>16361</v>
      </c>
      <c r="E13751" t="s">
        <v>30027</v>
      </c>
      <c r="F13751" t="s">
        <v>31574</v>
      </c>
      <c r="G13751" t="s">
        <v>31582</v>
      </c>
      <c r="H13751" t="s">
        <v>31591</v>
      </c>
      <c r="I13751" t="s">
        <v>8822</v>
      </c>
      <c r="J13751" t="s">
        <v>40179</v>
      </c>
      <c r="K13751" t="s">
        <v>41189</v>
      </c>
      <c r="M13751" t="s">
        <v>43035</v>
      </c>
      <c r="N13751" t="s">
        <v>45095</v>
      </c>
      <c r="O13751" t="s">
        <v>45096</v>
      </c>
      <c r="Q13751">
        <v>7</v>
      </c>
      <c r="R13751" t="s">
        <v>45116</v>
      </c>
      <c r="S13751" t="s">
        <v>45937</v>
      </c>
      <c r="T13751" t="s">
        <v>47154</v>
      </c>
      <c r="U13751" t="s">
        <v>58543</v>
      </c>
      <c r="W13751" t="s">
        <v>43035</v>
      </c>
      <c r="X13751" t="s">
        <v>45118</v>
      </c>
    </row>
    <row r="13752" spans="1:24">
      <c r="A13752">
        <f>HYPERLINK("https://www.philgeps.gov.ph/GEPSNONPILOT/Tender/SplashBidNoticeAbstractUI.aspx?menuIndex=3&amp;refID=7010120&amp;Result=3","7010120")</f>
        <v>0</v>
      </c>
      <c r="B13752" t="s">
        <v>46</v>
      </c>
      <c r="C13752" t="s">
        <v>16362</v>
      </c>
      <c r="E13752" t="s">
        <v>30028</v>
      </c>
      <c r="F13752" t="s">
        <v>31574</v>
      </c>
      <c r="G13752" t="s">
        <v>31582</v>
      </c>
      <c r="H13752" t="s">
        <v>31591</v>
      </c>
      <c r="I13752" t="s">
        <v>8822</v>
      </c>
      <c r="J13752" t="s">
        <v>40180</v>
      </c>
      <c r="K13752" t="s">
        <v>41184</v>
      </c>
      <c r="M13752" t="s">
        <v>41529</v>
      </c>
      <c r="N13752" t="s">
        <v>45095</v>
      </c>
      <c r="O13752" t="s">
        <v>45096</v>
      </c>
      <c r="P13752">
        <v>0</v>
      </c>
      <c r="Q13752">
        <v>3</v>
      </c>
      <c r="R13752" t="s">
        <v>45116</v>
      </c>
      <c r="S13752" t="s">
        <v>45923</v>
      </c>
      <c r="T13752" t="s">
        <v>47154</v>
      </c>
      <c r="U13752" t="s">
        <v>58569</v>
      </c>
      <c r="W13752" t="s">
        <v>41529</v>
      </c>
      <c r="X13752" t="s">
        <v>45118</v>
      </c>
    </row>
    <row r="13753" spans="1:24">
      <c r="A13753">
        <f>HYPERLINK("https://www.philgeps.gov.ph/GEPSNONPILOT/Tender/SplashBidNoticeAbstractUI.aspx?menuIndex=3&amp;refID=7011183&amp;Result=3","7011183")</f>
        <v>0</v>
      </c>
      <c r="B13753" t="s">
        <v>201</v>
      </c>
      <c r="C13753" t="s">
        <v>13599</v>
      </c>
      <c r="D13753" t="s">
        <v>18045</v>
      </c>
      <c r="E13753" t="s">
        <v>30029</v>
      </c>
      <c r="F13753" t="s">
        <v>31574</v>
      </c>
      <c r="G13753" t="s">
        <v>31582</v>
      </c>
      <c r="H13753" t="s">
        <v>31590</v>
      </c>
      <c r="I13753" t="s">
        <v>31598</v>
      </c>
      <c r="J13753" t="s">
        <v>33231</v>
      </c>
      <c r="K13753" t="s">
        <v>41184</v>
      </c>
      <c r="M13753" t="s">
        <v>41970</v>
      </c>
      <c r="N13753" t="s">
        <v>45095</v>
      </c>
      <c r="O13753" t="s">
        <v>45096</v>
      </c>
      <c r="Q13753">
        <v>9</v>
      </c>
      <c r="R13753" t="s">
        <v>45116</v>
      </c>
      <c r="S13753" t="s">
        <v>45938</v>
      </c>
      <c r="T13753" t="s">
        <v>47125</v>
      </c>
      <c r="U13753" t="s">
        <v>56428</v>
      </c>
      <c r="V13753" t="s">
        <v>61003</v>
      </c>
      <c r="W13753" t="s">
        <v>41970</v>
      </c>
      <c r="X13753" t="s">
        <v>45118</v>
      </c>
    </row>
    <row r="13754" spans="1:24">
      <c r="A13754">
        <f>HYPERLINK("https://www.philgeps.gov.ph/GEPSNONPILOT/Tender/SplashBidNoticeAbstractUI.aspx?menuIndex=3&amp;refID=7011207&amp;Result=3","7011207")</f>
        <v>0</v>
      </c>
      <c r="B13754" t="s">
        <v>3056</v>
      </c>
      <c r="C13754" t="s">
        <v>16363</v>
      </c>
      <c r="D13754" t="s">
        <v>18059</v>
      </c>
      <c r="E13754" t="s">
        <v>30030</v>
      </c>
      <c r="F13754" t="s">
        <v>31574</v>
      </c>
      <c r="G13754" t="s">
        <v>31582</v>
      </c>
      <c r="H13754" t="s">
        <v>31591</v>
      </c>
      <c r="I13754" t="s">
        <v>8822</v>
      </c>
      <c r="J13754" t="s">
        <v>40181</v>
      </c>
      <c r="K13754" t="s">
        <v>41234</v>
      </c>
      <c r="M13754" t="s">
        <v>44894</v>
      </c>
      <c r="N13754" t="s">
        <v>45095</v>
      </c>
      <c r="O13754" t="s">
        <v>45096</v>
      </c>
      <c r="P13754">
        <v>0</v>
      </c>
      <c r="Q13754">
        <v>1</v>
      </c>
      <c r="R13754" t="s">
        <v>45116</v>
      </c>
      <c r="S13754" t="s">
        <v>45923</v>
      </c>
      <c r="T13754" t="s">
        <v>47076</v>
      </c>
      <c r="U13754" t="s">
        <v>58570</v>
      </c>
      <c r="W13754" t="s">
        <v>44894</v>
      </c>
      <c r="X13754" t="s">
        <v>45118</v>
      </c>
    </row>
    <row r="13755" spans="1:24">
      <c r="A13755">
        <f>HYPERLINK("https://www.philgeps.gov.ph/GEPSNONPILOT/Tender/SplashBidNoticeAbstractUI.aspx?menuIndex=3&amp;refID=7011964&amp;Result=3","7011964")</f>
        <v>0</v>
      </c>
      <c r="B13755" t="s">
        <v>743</v>
      </c>
      <c r="C13755" t="s">
        <v>16364</v>
      </c>
      <c r="D13755" t="s">
        <v>18099</v>
      </c>
      <c r="E13755" t="s">
        <v>30031</v>
      </c>
      <c r="F13755" t="s">
        <v>31574</v>
      </c>
      <c r="G13755" t="s">
        <v>31588</v>
      </c>
      <c r="H13755" t="s">
        <v>31593</v>
      </c>
      <c r="I13755" t="s">
        <v>31593</v>
      </c>
      <c r="J13755" t="s">
        <v>40182</v>
      </c>
      <c r="K13755" t="s">
        <v>41186</v>
      </c>
      <c r="M13755" t="s">
        <v>44899</v>
      </c>
      <c r="N13755" t="s">
        <v>45095</v>
      </c>
      <c r="O13755" t="s">
        <v>45096</v>
      </c>
      <c r="P13755">
        <v>0</v>
      </c>
      <c r="Q13755">
        <v>1</v>
      </c>
      <c r="R13755" t="s">
        <v>45116</v>
      </c>
      <c r="S13755" t="s">
        <v>45923</v>
      </c>
      <c r="T13755" t="s">
        <v>47159</v>
      </c>
      <c r="U13755" t="s">
        <v>58571</v>
      </c>
      <c r="V13755" t="s">
        <v>61372</v>
      </c>
      <c r="W13755" t="s">
        <v>44899</v>
      </c>
      <c r="X13755" t="s">
        <v>45117</v>
      </c>
    </row>
    <row r="13756" spans="1:24">
      <c r="A13756">
        <f>HYPERLINK("https://www.philgeps.gov.ph/GEPSNONPILOT/Tender/SplashBidNoticeAbstractUI.aspx?menuIndex=3&amp;refID=7011205&amp;Result=3","7011205")</f>
        <v>0</v>
      </c>
      <c r="B13756" t="s">
        <v>201</v>
      </c>
      <c r="C13756" t="s">
        <v>13599</v>
      </c>
      <c r="D13756" t="s">
        <v>18045</v>
      </c>
      <c r="E13756" t="s">
        <v>30032</v>
      </c>
      <c r="F13756" t="s">
        <v>31574</v>
      </c>
      <c r="G13756" t="s">
        <v>31582</v>
      </c>
      <c r="H13756" t="s">
        <v>31590</v>
      </c>
      <c r="I13756" t="s">
        <v>31598</v>
      </c>
      <c r="J13756" t="s">
        <v>40183</v>
      </c>
      <c r="K13756" t="s">
        <v>41184</v>
      </c>
      <c r="M13756" t="s">
        <v>41970</v>
      </c>
      <c r="N13756" t="s">
        <v>45095</v>
      </c>
      <c r="O13756" t="s">
        <v>45096</v>
      </c>
      <c r="Q13756">
        <v>8</v>
      </c>
      <c r="R13756" t="s">
        <v>45116</v>
      </c>
      <c r="S13756" t="s">
        <v>45939</v>
      </c>
      <c r="T13756" t="s">
        <v>47125</v>
      </c>
      <c r="U13756" t="s">
        <v>56428</v>
      </c>
      <c r="V13756" t="s">
        <v>61003</v>
      </c>
      <c r="W13756" t="s">
        <v>41970</v>
      </c>
      <c r="X13756" t="s">
        <v>45118</v>
      </c>
    </row>
    <row r="13757" spans="1:24">
      <c r="A13757">
        <f>HYPERLINK("https://www.philgeps.gov.ph/GEPSNONPILOT/Tender/SplashBidNoticeAbstractUI.aspx?menuIndex=3&amp;refID=7011957&amp;Result=3","7011957")</f>
        <v>0</v>
      </c>
      <c r="B13757" t="s">
        <v>2077</v>
      </c>
      <c r="C13757" t="s">
        <v>16365</v>
      </c>
      <c r="D13757" t="s">
        <v>18089</v>
      </c>
      <c r="E13757" t="s">
        <v>23957</v>
      </c>
      <c r="F13757" t="s">
        <v>31574</v>
      </c>
      <c r="G13757" t="s">
        <v>31582</v>
      </c>
      <c r="H13757" t="s">
        <v>31590</v>
      </c>
      <c r="I13757" t="s">
        <v>31602</v>
      </c>
      <c r="J13757" t="s">
        <v>40184</v>
      </c>
      <c r="K13757" t="s">
        <v>41186</v>
      </c>
      <c r="M13757" t="s">
        <v>43752</v>
      </c>
      <c r="N13757" t="s">
        <v>45095</v>
      </c>
      <c r="O13757" t="s">
        <v>45096</v>
      </c>
      <c r="P13757">
        <v>0</v>
      </c>
      <c r="Q13757">
        <v>0</v>
      </c>
      <c r="R13757" t="s">
        <v>45116</v>
      </c>
      <c r="S13757" t="s">
        <v>45923</v>
      </c>
      <c r="T13757" t="s">
        <v>46977</v>
      </c>
      <c r="U13757" t="s">
        <v>58572</v>
      </c>
      <c r="W13757" t="s">
        <v>43752</v>
      </c>
      <c r="X13757" t="s">
        <v>45117</v>
      </c>
    </row>
    <row r="13758" spans="1:24">
      <c r="A13758">
        <f>HYPERLINK("https://www.philgeps.gov.ph/GEPSNONPILOT/Tender/SplashBidNoticeAbstractUI.aspx?menuIndex=3&amp;refID=7011954&amp;Result=3","7011954")</f>
        <v>0</v>
      </c>
      <c r="B13758" t="s">
        <v>62</v>
      </c>
      <c r="C13758" t="s">
        <v>16366</v>
      </c>
      <c r="D13758" t="s">
        <v>18108</v>
      </c>
      <c r="E13758" t="s">
        <v>30033</v>
      </c>
      <c r="F13758" t="s">
        <v>31574</v>
      </c>
      <c r="G13758" t="s">
        <v>31588</v>
      </c>
      <c r="H13758" t="s">
        <v>31591</v>
      </c>
      <c r="I13758" t="s">
        <v>8822</v>
      </c>
      <c r="J13758" t="s">
        <v>40185</v>
      </c>
      <c r="K13758" t="s">
        <v>41184</v>
      </c>
      <c r="L13758" t="s">
        <v>62</v>
      </c>
      <c r="M13758" t="s">
        <v>43390</v>
      </c>
      <c r="N13758" t="s">
        <v>45095</v>
      </c>
      <c r="O13758" t="s">
        <v>45096</v>
      </c>
      <c r="Q13758">
        <v>3</v>
      </c>
      <c r="R13758" t="s">
        <v>45116</v>
      </c>
      <c r="S13758" t="s">
        <v>45940</v>
      </c>
      <c r="T13758" t="s">
        <v>47183</v>
      </c>
      <c r="U13758" t="s">
        <v>58573</v>
      </c>
      <c r="W13758" t="s">
        <v>43390</v>
      </c>
      <c r="X13758" t="s">
        <v>45117</v>
      </c>
    </row>
    <row r="13759" spans="1:24">
      <c r="A13759">
        <f>HYPERLINK("https://www.philgeps.gov.ph/GEPSNONPILOT/Tender/SplashBidNoticeAbstractUI.aspx?menuIndex=3&amp;refID=7011943&amp;Result=3","7011943")</f>
        <v>0</v>
      </c>
      <c r="B13759" t="s">
        <v>59</v>
      </c>
      <c r="C13759" t="s">
        <v>16367</v>
      </c>
      <c r="D13759" t="s">
        <v>18048</v>
      </c>
      <c r="E13759" t="s">
        <v>30034</v>
      </c>
      <c r="F13759" t="s">
        <v>31574</v>
      </c>
      <c r="G13759" t="s">
        <v>31584</v>
      </c>
      <c r="H13759" t="s">
        <v>31590</v>
      </c>
      <c r="I13759" t="s">
        <v>31626</v>
      </c>
      <c r="J13759" t="s">
        <v>31947</v>
      </c>
      <c r="K13759" t="s">
        <v>41186</v>
      </c>
      <c r="M13759" t="s">
        <v>43751</v>
      </c>
      <c r="N13759" t="s">
        <v>45095</v>
      </c>
      <c r="O13759" t="s">
        <v>45096</v>
      </c>
      <c r="Q13759">
        <v>5</v>
      </c>
      <c r="R13759" t="s">
        <v>45116</v>
      </c>
      <c r="S13759" t="s">
        <v>45941</v>
      </c>
      <c r="T13759" t="s">
        <v>46918</v>
      </c>
      <c r="U13759" t="s">
        <v>58574</v>
      </c>
      <c r="W13759" t="s">
        <v>43751</v>
      </c>
      <c r="X13759" t="s">
        <v>45117</v>
      </c>
    </row>
    <row r="13760" spans="1:24">
      <c r="A13760">
        <f>HYPERLINK("https://www.philgeps.gov.ph/GEPSNONPILOT/Tender/SplashBidNoticeAbstractUI.aspx?menuIndex=3&amp;refID=7011919&amp;Result=3","7011919")</f>
        <v>0</v>
      </c>
      <c r="B13760" t="s">
        <v>62</v>
      </c>
      <c r="C13760" t="s">
        <v>16368</v>
      </c>
      <c r="D13760" t="s">
        <v>18108</v>
      </c>
      <c r="E13760" t="s">
        <v>30035</v>
      </c>
      <c r="F13760" t="s">
        <v>31574</v>
      </c>
      <c r="G13760" t="s">
        <v>31588</v>
      </c>
      <c r="H13760" t="s">
        <v>31591</v>
      </c>
      <c r="I13760" t="s">
        <v>8822</v>
      </c>
      <c r="J13760" t="s">
        <v>40186</v>
      </c>
      <c r="K13760" t="s">
        <v>41184</v>
      </c>
      <c r="L13760" t="s">
        <v>62</v>
      </c>
      <c r="M13760" t="s">
        <v>43390</v>
      </c>
      <c r="N13760" t="s">
        <v>45095</v>
      </c>
      <c r="O13760" t="s">
        <v>45096</v>
      </c>
      <c r="Q13760">
        <v>4</v>
      </c>
      <c r="R13760" t="s">
        <v>45116</v>
      </c>
      <c r="S13760" t="s">
        <v>45942</v>
      </c>
      <c r="T13760" t="s">
        <v>47183</v>
      </c>
      <c r="U13760" t="s">
        <v>58575</v>
      </c>
      <c r="W13760" t="s">
        <v>43390</v>
      </c>
      <c r="X13760" t="s">
        <v>45117</v>
      </c>
    </row>
    <row r="13761" spans="1:24">
      <c r="A13761">
        <f>HYPERLINK("https://www.philgeps.gov.ph/GEPSNONPILOT/Tender/SplashBidNoticeAbstractUI.aspx?menuIndex=3&amp;refID=7011974&amp;Result=3","7011974")</f>
        <v>0</v>
      </c>
      <c r="B13761" t="s">
        <v>2092</v>
      </c>
      <c r="C13761" t="s">
        <v>16369</v>
      </c>
      <c r="D13761" t="s">
        <v>18030</v>
      </c>
      <c r="E13761" t="s">
        <v>30036</v>
      </c>
      <c r="F13761" t="s">
        <v>31574</v>
      </c>
      <c r="G13761" t="s">
        <v>31582</v>
      </c>
      <c r="H13761" t="s">
        <v>31591</v>
      </c>
      <c r="I13761" t="s">
        <v>8822</v>
      </c>
      <c r="J13761" t="s">
        <v>40187</v>
      </c>
      <c r="K13761" t="s">
        <v>41203</v>
      </c>
      <c r="M13761" t="s">
        <v>43900</v>
      </c>
      <c r="N13761" t="s">
        <v>45095</v>
      </c>
      <c r="O13761" t="s">
        <v>45096</v>
      </c>
      <c r="Q13761">
        <v>7</v>
      </c>
      <c r="R13761" t="s">
        <v>45116</v>
      </c>
      <c r="S13761" t="s">
        <v>45943</v>
      </c>
      <c r="T13761" t="s">
        <v>47154</v>
      </c>
      <c r="U13761" t="s">
        <v>53298</v>
      </c>
      <c r="V13761" t="s">
        <v>60609</v>
      </c>
      <c r="W13761" t="s">
        <v>43900</v>
      </c>
      <c r="X13761" t="s">
        <v>45117</v>
      </c>
    </row>
    <row r="13762" spans="1:24">
      <c r="A13762">
        <f>HYPERLINK("https://www.philgeps.gov.ph/GEPSNONPILOT/Tender/SplashBidNoticeAbstractUI.aspx?menuIndex=3&amp;refID=7011963&amp;Result=3","7011963")</f>
        <v>0</v>
      </c>
      <c r="B13762" t="s">
        <v>59</v>
      </c>
      <c r="C13762" t="s">
        <v>16370</v>
      </c>
      <c r="D13762" t="s">
        <v>18048</v>
      </c>
      <c r="E13762" t="s">
        <v>30037</v>
      </c>
      <c r="F13762" t="s">
        <v>31574</v>
      </c>
      <c r="G13762" t="s">
        <v>31584</v>
      </c>
      <c r="H13762" t="s">
        <v>31590</v>
      </c>
      <c r="I13762" t="s">
        <v>31608</v>
      </c>
      <c r="J13762" t="s">
        <v>31741</v>
      </c>
      <c r="K13762" t="s">
        <v>41186</v>
      </c>
      <c r="M13762" t="s">
        <v>43751</v>
      </c>
      <c r="N13762" t="s">
        <v>45095</v>
      </c>
      <c r="O13762" t="s">
        <v>45096</v>
      </c>
      <c r="Q13762">
        <v>3</v>
      </c>
      <c r="R13762" t="s">
        <v>45116</v>
      </c>
      <c r="S13762" t="s">
        <v>45944</v>
      </c>
      <c r="T13762" t="s">
        <v>46918</v>
      </c>
      <c r="U13762" t="s">
        <v>58576</v>
      </c>
      <c r="W13762" t="s">
        <v>43751</v>
      </c>
      <c r="X13762" t="s">
        <v>45117</v>
      </c>
    </row>
    <row r="13763" spans="1:24">
      <c r="A13763">
        <f>HYPERLINK("https://www.philgeps.gov.ph/GEPSNONPILOT/Tender/SplashBidNoticeAbstractUI.aspx?menuIndex=3&amp;refID=7011932&amp;Result=3","7011932")</f>
        <v>0</v>
      </c>
      <c r="B13763" t="s">
        <v>62</v>
      </c>
      <c r="C13763" t="s">
        <v>16371</v>
      </c>
      <c r="D13763" t="s">
        <v>18108</v>
      </c>
      <c r="E13763" t="s">
        <v>30038</v>
      </c>
      <c r="F13763" t="s">
        <v>31574</v>
      </c>
      <c r="G13763" t="s">
        <v>31588</v>
      </c>
      <c r="H13763" t="s">
        <v>31591</v>
      </c>
      <c r="I13763" t="s">
        <v>8822</v>
      </c>
      <c r="J13763" t="s">
        <v>40188</v>
      </c>
      <c r="K13763" t="s">
        <v>41184</v>
      </c>
      <c r="L13763" t="s">
        <v>62</v>
      </c>
      <c r="M13763" t="s">
        <v>43390</v>
      </c>
      <c r="N13763" t="s">
        <v>45095</v>
      </c>
      <c r="O13763" t="s">
        <v>45096</v>
      </c>
      <c r="Q13763">
        <v>5</v>
      </c>
      <c r="R13763" t="s">
        <v>45116</v>
      </c>
      <c r="S13763" t="s">
        <v>45945</v>
      </c>
      <c r="T13763" t="s">
        <v>47183</v>
      </c>
      <c r="U13763" t="s">
        <v>58577</v>
      </c>
      <c r="W13763" t="s">
        <v>43390</v>
      </c>
      <c r="X13763" t="s">
        <v>45117</v>
      </c>
    </row>
    <row r="13764" spans="1:24">
      <c r="A13764">
        <f>HYPERLINK("https://www.philgeps.gov.ph/GEPSNONPILOT/Tender/SplashBidNoticeAbstractUI.aspx?menuIndex=3&amp;refID=7011913&amp;Result=3","7011913")</f>
        <v>0</v>
      </c>
      <c r="B13764" t="s">
        <v>3061</v>
      </c>
      <c r="C13764" t="s">
        <v>16372</v>
      </c>
      <c r="D13764" t="s">
        <v>18101</v>
      </c>
      <c r="E13764" t="s">
        <v>30039</v>
      </c>
      <c r="F13764" t="s">
        <v>31574</v>
      </c>
      <c r="G13764" t="s">
        <v>31582</v>
      </c>
      <c r="H13764" t="s">
        <v>31590</v>
      </c>
      <c r="I13764" t="s">
        <v>31648</v>
      </c>
      <c r="J13764" t="s">
        <v>31907</v>
      </c>
      <c r="K13764" t="s">
        <v>41186</v>
      </c>
      <c r="M13764" t="s">
        <v>44900</v>
      </c>
      <c r="N13764" t="s">
        <v>45095</v>
      </c>
      <c r="O13764" t="s">
        <v>45096</v>
      </c>
      <c r="P13764">
        <v>0</v>
      </c>
      <c r="Q13764">
        <v>0</v>
      </c>
      <c r="R13764" t="s">
        <v>45116</v>
      </c>
      <c r="S13764" t="s">
        <v>45923</v>
      </c>
      <c r="T13764" t="s">
        <v>46977</v>
      </c>
      <c r="U13764" t="s">
        <v>58578</v>
      </c>
      <c r="W13764" t="s">
        <v>44900</v>
      </c>
      <c r="X13764" t="s">
        <v>45117</v>
      </c>
    </row>
    <row r="13765" spans="1:24">
      <c r="A13765">
        <f>HYPERLINK("https://www.philgeps.gov.ph/GEPSNONPILOT/Tender/SplashBidNoticeAbstractUI.aspx?menuIndex=3&amp;refID=7011920&amp;Result=3","7011920")</f>
        <v>0</v>
      </c>
      <c r="B13765" t="s">
        <v>1677</v>
      </c>
      <c r="C13765" t="s">
        <v>16373</v>
      </c>
      <c r="D13765" t="s">
        <v>18022</v>
      </c>
      <c r="E13765" t="s">
        <v>30040</v>
      </c>
      <c r="F13765" t="s">
        <v>31574</v>
      </c>
      <c r="G13765" t="s">
        <v>31581</v>
      </c>
      <c r="H13765" t="s">
        <v>31590</v>
      </c>
      <c r="I13765" t="s">
        <v>31633</v>
      </c>
      <c r="J13765" t="s">
        <v>32017</v>
      </c>
      <c r="K13765" t="s">
        <v>41193</v>
      </c>
      <c r="M13765" t="s">
        <v>43290</v>
      </c>
      <c r="N13765" t="s">
        <v>45095</v>
      </c>
      <c r="O13765" t="s">
        <v>45096</v>
      </c>
      <c r="P13765">
        <v>0</v>
      </c>
      <c r="Q13765">
        <v>15</v>
      </c>
      <c r="R13765" t="s">
        <v>45116</v>
      </c>
      <c r="S13765" t="s">
        <v>45923</v>
      </c>
      <c r="T13765" t="s">
        <v>47100</v>
      </c>
      <c r="U13765" t="s">
        <v>58579</v>
      </c>
      <c r="W13765" t="s">
        <v>43290</v>
      </c>
      <c r="X13765" t="s">
        <v>45117</v>
      </c>
    </row>
    <row r="13766" spans="1:24">
      <c r="A13766">
        <f>HYPERLINK("https://www.philgeps.gov.ph/GEPSNONPILOT/Tender/SplashBidNoticeAbstractUI.aspx?menuIndex=3&amp;refID=7011945&amp;Result=3","7011945")</f>
        <v>0</v>
      </c>
      <c r="B13766" t="s">
        <v>2092</v>
      </c>
      <c r="C13766" t="s">
        <v>16374</v>
      </c>
      <c r="D13766" t="s">
        <v>18030</v>
      </c>
      <c r="E13766" t="s">
        <v>30041</v>
      </c>
      <c r="F13766" t="s">
        <v>31574</v>
      </c>
      <c r="G13766" t="s">
        <v>31582</v>
      </c>
      <c r="H13766" t="s">
        <v>31592</v>
      </c>
      <c r="I13766" t="s">
        <v>31705</v>
      </c>
      <c r="J13766" t="s">
        <v>37472</v>
      </c>
      <c r="K13766" t="s">
        <v>41235</v>
      </c>
      <c r="M13766" t="s">
        <v>43900</v>
      </c>
      <c r="N13766" t="s">
        <v>45095</v>
      </c>
      <c r="O13766" t="s">
        <v>45096</v>
      </c>
      <c r="Q13766">
        <v>10</v>
      </c>
      <c r="R13766" t="s">
        <v>45116</v>
      </c>
      <c r="S13766" t="s">
        <v>45946</v>
      </c>
      <c r="T13766" t="s">
        <v>47154</v>
      </c>
      <c r="U13766" t="s">
        <v>53298</v>
      </c>
      <c r="V13766" t="s">
        <v>61176</v>
      </c>
      <c r="W13766" t="s">
        <v>43900</v>
      </c>
      <c r="X13766" t="s">
        <v>45117</v>
      </c>
    </row>
    <row r="13767" spans="1:24">
      <c r="A13767">
        <f>HYPERLINK("https://www.philgeps.gov.ph/GEPSNONPILOT/Tender/SplashBidNoticeAbstractUI.aspx?menuIndex=3&amp;refID=7011905&amp;Result=3","7011905")</f>
        <v>0</v>
      </c>
      <c r="B13767" t="s">
        <v>2159</v>
      </c>
      <c r="C13767" t="s">
        <v>16375</v>
      </c>
      <c r="D13767" t="s">
        <v>18035</v>
      </c>
      <c r="E13767" t="s">
        <v>30042</v>
      </c>
      <c r="F13767" t="s">
        <v>31574</v>
      </c>
      <c r="G13767" t="s">
        <v>31582</v>
      </c>
      <c r="H13767" t="s">
        <v>31591</v>
      </c>
      <c r="I13767" t="s">
        <v>8822</v>
      </c>
      <c r="J13767" t="s">
        <v>40189</v>
      </c>
      <c r="K13767" t="s">
        <v>41474</v>
      </c>
      <c r="M13767" t="s">
        <v>44060</v>
      </c>
      <c r="N13767" t="s">
        <v>45095</v>
      </c>
      <c r="O13767" t="s">
        <v>45096</v>
      </c>
      <c r="Q13767">
        <v>19</v>
      </c>
      <c r="R13767" t="s">
        <v>45116</v>
      </c>
      <c r="S13767" t="s">
        <v>45947</v>
      </c>
      <c r="T13767" t="s">
        <v>47159</v>
      </c>
      <c r="U13767" t="s">
        <v>58580</v>
      </c>
      <c r="V13767" t="s">
        <v>49376</v>
      </c>
      <c r="W13767" t="s">
        <v>44060</v>
      </c>
      <c r="X13767" t="s">
        <v>45117</v>
      </c>
    </row>
    <row r="13768" spans="1:24">
      <c r="A13768">
        <f>HYPERLINK("https://www.philgeps.gov.ph/GEPSNONPILOT/Tender/SplashBidNoticeAbstractUI.aspx?menuIndex=3&amp;refID=7011890&amp;Result=3","7011890")</f>
        <v>0</v>
      </c>
      <c r="B13768" t="s">
        <v>1319</v>
      </c>
      <c r="C13768" t="s">
        <v>16376</v>
      </c>
      <c r="D13768" t="s">
        <v>18075</v>
      </c>
      <c r="E13768" t="s">
        <v>30043</v>
      </c>
      <c r="F13768" t="s">
        <v>31574</v>
      </c>
      <c r="G13768" t="s">
        <v>31582</v>
      </c>
      <c r="H13768" t="s">
        <v>31590</v>
      </c>
      <c r="I13768" t="s">
        <v>6800</v>
      </c>
      <c r="J13768" t="s">
        <v>40190</v>
      </c>
      <c r="K13768" t="s">
        <v>41196</v>
      </c>
      <c r="M13768" t="s">
        <v>42889</v>
      </c>
      <c r="N13768" t="s">
        <v>45095</v>
      </c>
      <c r="O13768" t="s">
        <v>45096</v>
      </c>
      <c r="P13768">
        <v>0</v>
      </c>
      <c r="Q13768">
        <v>4</v>
      </c>
      <c r="R13768" t="s">
        <v>45116</v>
      </c>
      <c r="S13768" t="s">
        <v>45923</v>
      </c>
      <c r="T13768" t="s">
        <v>46985</v>
      </c>
      <c r="U13768" t="s">
        <v>58581</v>
      </c>
      <c r="V13768" t="s">
        <v>61373</v>
      </c>
      <c r="W13768" t="s">
        <v>42889</v>
      </c>
      <c r="X13768" t="s">
        <v>45117</v>
      </c>
    </row>
    <row r="13769" spans="1:24">
      <c r="A13769">
        <f>HYPERLINK("https://www.philgeps.gov.ph/GEPSNONPILOT/Tender/SplashBidNoticeAbstractUI.aspx?menuIndex=3&amp;refID=7011876&amp;Result=3","7011876")</f>
        <v>0</v>
      </c>
      <c r="B13769" t="s">
        <v>2158</v>
      </c>
      <c r="C13769" t="s">
        <v>16377</v>
      </c>
      <c r="D13769" t="s">
        <v>18056</v>
      </c>
      <c r="E13769" t="s">
        <v>30044</v>
      </c>
      <c r="F13769" t="s">
        <v>31574</v>
      </c>
      <c r="G13769" t="s">
        <v>31582</v>
      </c>
      <c r="H13769" t="s">
        <v>31591</v>
      </c>
      <c r="I13769" t="s">
        <v>8822</v>
      </c>
      <c r="J13769" t="s">
        <v>31935</v>
      </c>
      <c r="K13769" t="s">
        <v>41192</v>
      </c>
      <c r="M13769" t="s">
        <v>43841</v>
      </c>
      <c r="N13769" t="s">
        <v>45095</v>
      </c>
      <c r="O13769" t="s">
        <v>45096</v>
      </c>
      <c r="P13769">
        <v>0</v>
      </c>
      <c r="Q13769">
        <v>1</v>
      </c>
      <c r="R13769" t="s">
        <v>45116</v>
      </c>
      <c r="S13769" t="s">
        <v>45923</v>
      </c>
      <c r="T13769" t="s">
        <v>46985</v>
      </c>
      <c r="U13769" t="s">
        <v>58582</v>
      </c>
      <c r="W13769" t="s">
        <v>43841</v>
      </c>
      <c r="X13769" t="s">
        <v>45117</v>
      </c>
    </row>
    <row r="13770" spans="1:24">
      <c r="A13770">
        <f>HYPERLINK("https://www.philgeps.gov.ph/GEPSNONPILOT/Tender/SplashBidNoticeAbstractUI.aspx?menuIndex=3&amp;refID=7011980&amp;Result=3","7011980")</f>
        <v>0</v>
      </c>
      <c r="B13770" t="s">
        <v>176</v>
      </c>
      <c r="C13770" t="s">
        <v>16378</v>
      </c>
      <c r="D13770" t="s">
        <v>18059</v>
      </c>
      <c r="E13770" t="s">
        <v>30045</v>
      </c>
      <c r="F13770" t="s">
        <v>31574</v>
      </c>
      <c r="G13770" t="s">
        <v>31582</v>
      </c>
      <c r="H13770" t="s">
        <v>31590</v>
      </c>
      <c r="I13770" t="s">
        <v>4046</v>
      </c>
      <c r="J13770" t="s">
        <v>40191</v>
      </c>
      <c r="K13770" t="s">
        <v>41193</v>
      </c>
      <c r="M13770" t="s">
        <v>41660</v>
      </c>
      <c r="N13770" t="s">
        <v>45095</v>
      </c>
      <c r="O13770" t="s">
        <v>45096</v>
      </c>
      <c r="P13770">
        <v>0</v>
      </c>
      <c r="Q13770">
        <v>0</v>
      </c>
      <c r="R13770" t="s">
        <v>45116</v>
      </c>
      <c r="S13770" t="s">
        <v>45923</v>
      </c>
      <c r="T13770" t="s">
        <v>47197</v>
      </c>
      <c r="U13770" t="s">
        <v>58583</v>
      </c>
      <c r="W13770" t="s">
        <v>41660</v>
      </c>
      <c r="X13770" t="s">
        <v>45117</v>
      </c>
    </row>
    <row r="13771" spans="1:24">
      <c r="A13771">
        <f>HYPERLINK("https://www.philgeps.gov.ph/GEPSNONPILOT/Tender/SplashBidNoticeAbstractUI.aspx?menuIndex=3&amp;refID=7011166&amp;Result=3","7011166")</f>
        <v>0</v>
      </c>
      <c r="B13771" t="s">
        <v>1455</v>
      </c>
      <c r="C13771" t="s">
        <v>16379</v>
      </c>
      <c r="E13771" t="s">
        <v>30046</v>
      </c>
      <c r="F13771" t="s">
        <v>31574</v>
      </c>
      <c r="G13771" t="s">
        <v>31582</v>
      </c>
      <c r="H13771" t="s">
        <v>31591</v>
      </c>
      <c r="I13771" t="s">
        <v>8822</v>
      </c>
      <c r="J13771" t="s">
        <v>40192</v>
      </c>
      <c r="K13771" t="s">
        <v>41200</v>
      </c>
      <c r="M13771" t="s">
        <v>43035</v>
      </c>
      <c r="N13771" t="s">
        <v>45095</v>
      </c>
      <c r="O13771" t="s">
        <v>45096</v>
      </c>
      <c r="Q13771">
        <v>5</v>
      </c>
      <c r="R13771" t="s">
        <v>45116</v>
      </c>
      <c r="S13771" t="s">
        <v>45948</v>
      </c>
      <c r="T13771" t="s">
        <v>47154</v>
      </c>
      <c r="U13771" t="s">
        <v>58543</v>
      </c>
      <c r="W13771" t="s">
        <v>43035</v>
      </c>
      <c r="X13771" t="s">
        <v>45118</v>
      </c>
    </row>
    <row r="13772" spans="1:24">
      <c r="A13772">
        <f>HYPERLINK("https://www.philgeps.gov.ph/GEPSNONPILOT/Tender/SplashBidNoticeAbstractUI.aspx?menuIndex=3&amp;refID=7011880&amp;Result=3","7011880")</f>
        <v>0</v>
      </c>
      <c r="B13772" t="s">
        <v>1389</v>
      </c>
      <c r="C13772" t="s">
        <v>16380</v>
      </c>
      <c r="D13772" t="s">
        <v>18089</v>
      </c>
      <c r="E13772" t="s">
        <v>30047</v>
      </c>
      <c r="F13772" t="s">
        <v>31574</v>
      </c>
      <c r="G13772" t="s">
        <v>31582</v>
      </c>
      <c r="H13772" t="s">
        <v>31590</v>
      </c>
      <c r="I13772" t="s">
        <v>31615</v>
      </c>
      <c r="J13772" t="s">
        <v>32026</v>
      </c>
      <c r="K13772" t="s">
        <v>41196</v>
      </c>
      <c r="M13772" t="s">
        <v>42963</v>
      </c>
      <c r="N13772" t="s">
        <v>45095</v>
      </c>
      <c r="O13772" t="s">
        <v>45096</v>
      </c>
      <c r="P13772">
        <v>0</v>
      </c>
      <c r="Q13772">
        <v>4</v>
      </c>
      <c r="R13772" t="s">
        <v>45116</v>
      </c>
      <c r="S13772" t="s">
        <v>45923</v>
      </c>
      <c r="T13772" t="s">
        <v>47159</v>
      </c>
      <c r="U13772" t="s">
        <v>58584</v>
      </c>
      <c r="V13772" t="s">
        <v>59130</v>
      </c>
      <c r="W13772" t="s">
        <v>42963</v>
      </c>
      <c r="X13772" t="s">
        <v>45117</v>
      </c>
    </row>
    <row r="13773" spans="1:24">
      <c r="A13773">
        <f>HYPERLINK("https://www.philgeps.gov.ph/GEPSNONPILOT/Tender/SplashBidNoticeAbstractUI.aspx?menuIndex=3&amp;refID=7011155&amp;Result=3","7011155")</f>
        <v>0</v>
      </c>
      <c r="B13773" t="s">
        <v>201</v>
      </c>
      <c r="C13773" t="s">
        <v>13599</v>
      </c>
      <c r="D13773" t="s">
        <v>18045</v>
      </c>
      <c r="E13773" t="s">
        <v>30048</v>
      </c>
      <c r="F13773" t="s">
        <v>31574</v>
      </c>
      <c r="G13773" t="s">
        <v>31582</v>
      </c>
      <c r="H13773" t="s">
        <v>31590</v>
      </c>
      <c r="I13773" t="s">
        <v>31598</v>
      </c>
      <c r="J13773" t="s">
        <v>32049</v>
      </c>
      <c r="K13773" t="s">
        <v>41184</v>
      </c>
      <c r="M13773" t="s">
        <v>41970</v>
      </c>
      <c r="N13773" t="s">
        <v>45095</v>
      </c>
      <c r="O13773" t="s">
        <v>45096</v>
      </c>
      <c r="Q13773">
        <v>11</v>
      </c>
      <c r="R13773" t="s">
        <v>45116</v>
      </c>
      <c r="S13773" t="s">
        <v>45949</v>
      </c>
      <c r="T13773" t="s">
        <v>47125</v>
      </c>
      <c r="U13773" t="s">
        <v>56428</v>
      </c>
      <c r="V13773" t="s">
        <v>61003</v>
      </c>
      <c r="W13773" t="s">
        <v>41970</v>
      </c>
      <c r="X13773" t="s">
        <v>45118</v>
      </c>
    </row>
    <row r="13774" spans="1:24">
      <c r="A13774">
        <f>HYPERLINK("https://www.philgeps.gov.ph/GEPSNONPILOT/Tender/SplashBidNoticeAbstractUI.aspx?menuIndex=3&amp;refID=7012046&amp;Result=3","7012046")</f>
        <v>0</v>
      </c>
      <c r="B13774" t="s">
        <v>1467</v>
      </c>
      <c r="C13774" t="s">
        <v>16381</v>
      </c>
      <c r="D13774" t="s">
        <v>18022</v>
      </c>
      <c r="E13774" t="s">
        <v>30049</v>
      </c>
      <c r="F13774" t="s">
        <v>31574</v>
      </c>
      <c r="G13774" t="s">
        <v>31583</v>
      </c>
      <c r="H13774" t="s">
        <v>31590</v>
      </c>
      <c r="I13774" t="s">
        <v>7185</v>
      </c>
      <c r="J13774" t="s">
        <v>40193</v>
      </c>
      <c r="K13774" t="s">
        <v>41193</v>
      </c>
      <c r="M13774" t="s">
        <v>43579</v>
      </c>
      <c r="N13774" t="s">
        <v>45095</v>
      </c>
      <c r="O13774" t="s">
        <v>45096</v>
      </c>
      <c r="Q13774">
        <v>4</v>
      </c>
      <c r="R13774" t="s">
        <v>45116</v>
      </c>
      <c r="S13774" t="s">
        <v>45950</v>
      </c>
      <c r="T13774" t="s">
        <v>47193</v>
      </c>
      <c r="U13774" t="s">
        <v>58585</v>
      </c>
      <c r="W13774" t="s">
        <v>43579</v>
      </c>
      <c r="X13774" t="s">
        <v>45117</v>
      </c>
    </row>
    <row r="13775" spans="1:24">
      <c r="A13775">
        <f>HYPERLINK("https://www.philgeps.gov.ph/GEPSNONPILOT/Tender/SplashBidNoticeAbstractUI.aspx?menuIndex=3&amp;refID=7011877&amp;Result=3","7011877")</f>
        <v>0</v>
      </c>
      <c r="B13775" t="s">
        <v>2896</v>
      </c>
      <c r="C13775" t="s">
        <v>16382</v>
      </c>
      <c r="D13775" t="s">
        <v>18089</v>
      </c>
      <c r="E13775" t="s">
        <v>30050</v>
      </c>
      <c r="F13775" t="s">
        <v>31574</v>
      </c>
      <c r="G13775" t="s">
        <v>31582</v>
      </c>
      <c r="H13775" t="s">
        <v>31590</v>
      </c>
      <c r="I13775" t="s">
        <v>5717</v>
      </c>
      <c r="J13775" t="s">
        <v>40194</v>
      </c>
      <c r="K13775" t="s">
        <v>41186</v>
      </c>
      <c r="M13775" t="s">
        <v>44689</v>
      </c>
      <c r="N13775" t="s">
        <v>45095</v>
      </c>
      <c r="O13775" t="s">
        <v>45096</v>
      </c>
      <c r="Q13775">
        <v>3</v>
      </c>
      <c r="R13775" t="s">
        <v>45116</v>
      </c>
      <c r="S13775" t="s">
        <v>45951</v>
      </c>
      <c r="T13775" t="s">
        <v>47050</v>
      </c>
      <c r="U13775" t="s">
        <v>58586</v>
      </c>
      <c r="W13775" t="s">
        <v>44689</v>
      </c>
      <c r="X13775" t="s">
        <v>45117</v>
      </c>
    </row>
    <row r="13776" spans="1:24">
      <c r="A13776">
        <f>HYPERLINK("https://www.philgeps.gov.ph/GEPSNONPILOT/Tender/SplashBidNoticeAbstractUI.aspx?menuIndex=3&amp;refID=7012041&amp;Result=3","7012041")</f>
        <v>0</v>
      </c>
      <c r="B13776" t="s">
        <v>2557</v>
      </c>
      <c r="C13776" t="s">
        <v>16383</v>
      </c>
      <c r="D13776" t="s">
        <v>18100</v>
      </c>
      <c r="E13776" t="s">
        <v>30051</v>
      </c>
      <c r="F13776" t="s">
        <v>31574</v>
      </c>
      <c r="G13776" t="s">
        <v>31582</v>
      </c>
      <c r="H13776" t="s">
        <v>31591</v>
      </c>
      <c r="I13776" t="s">
        <v>31632</v>
      </c>
      <c r="J13776" t="s">
        <v>31935</v>
      </c>
      <c r="K13776" t="s">
        <v>41189</v>
      </c>
      <c r="M13776" t="s">
        <v>44296</v>
      </c>
      <c r="N13776" t="s">
        <v>45095</v>
      </c>
      <c r="O13776" t="s">
        <v>45096</v>
      </c>
      <c r="P13776">
        <v>0</v>
      </c>
      <c r="Q13776">
        <v>14</v>
      </c>
      <c r="R13776" t="s">
        <v>45116</v>
      </c>
      <c r="S13776" t="s">
        <v>45923</v>
      </c>
      <c r="T13776" t="s">
        <v>47188</v>
      </c>
      <c r="U13776" t="s">
        <v>58587</v>
      </c>
      <c r="W13776" t="s">
        <v>44296</v>
      </c>
      <c r="X13776" t="s">
        <v>45117</v>
      </c>
    </row>
    <row r="13777" spans="1:24">
      <c r="A13777">
        <f>HYPERLINK("https://www.philgeps.gov.ph/GEPSNONPILOT/Tender/SplashBidNoticeAbstractUI.aspx?menuIndex=3&amp;refID=7012082&amp;Result=3","7012082")</f>
        <v>0</v>
      </c>
      <c r="B13777" t="s">
        <v>2557</v>
      </c>
      <c r="C13777" t="s">
        <v>16383</v>
      </c>
      <c r="D13777" t="s">
        <v>18100</v>
      </c>
      <c r="E13777" t="s">
        <v>30052</v>
      </c>
      <c r="F13777" t="s">
        <v>31574</v>
      </c>
      <c r="G13777" t="s">
        <v>31582</v>
      </c>
      <c r="H13777" t="s">
        <v>31591</v>
      </c>
      <c r="I13777" t="s">
        <v>31632</v>
      </c>
      <c r="J13777" t="s">
        <v>31935</v>
      </c>
      <c r="K13777" t="s">
        <v>41189</v>
      </c>
      <c r="M13777" t="s">
        <v>44296</v>
      </c>
      <c r="N13777" t="s">
        <v>45095</v>
      </c>
      <c r="O13777" t="s">
        <v>45096</v>
      </c>
      <c r="P13777">
        <v>0</v>
      </c>
      <c r="Q13777">
        <v>15</v>
      </c>
      <c r="R13777" t="s">
        <v>45116</v>
      </c>
      <c r="S13777" t="s">
        <v>45923</v>
      </c>
      <c r="T13777" t="s">
        <v>47188</v>
      </c>
      <c r="U13777" t="s">
        <v>58588</v>
      </c>
      <c r="W13777" t="s">
        <v>44296</v>
      </c>
      <c r="X13777" t="s">
        <v>45117</v>
      </c>
    </row>
    <row r="13778" spans="1:24">
      <c r="A13778">
        <f>HYPERLINK("https://www.philgeps.gov.ph/GEPSNONPILOT/Tender/SplashBidNoticeAbstractUI.aspx?menuIndex=3&amp;refID=7011885&amp;Result=3","7011885")</f>
        <v>0</v>
      </c>
      <c r="B13778" t="s">
        <v>62</v>
      </c>
      <c r="C13778" t="s">
        <v>16384</v>
      </c>
      <c r="D13778" t="s">
        <v>18037</v>
      </c>
      <c r="E13778" t="s">
        <v>30053</v>
      </c>
      <c r="F13778" t="s">
        <v>31574</v>
      </c>
      <c r="G13778" t="s">
        <v>31588</v>
      </c>
      <c r="H13778" t="s">
        <v>31591</v>
      </c>
      <c r="I13778" t="s">
        <v>8822</v>
      </c>
      <c r="J13778" t="s">
        <v>40195</v>
      </c>
      <c r="K13778" t="s">
        <v>41184</v>
      </c>
      <c r="L13778" t="s">
        <v>62</v>
      </c>
      <c r="M13778" t="s">
        <v>43390</v>
      </c>
      <c r="N13778" t="s">
        <v>45095</v>
      </c>
      <c r="O13778" t="s">
        <v>45096</v>
      </c>
      <c r="Q13778">
        <v>7</v>
      </c>
      <c r="R13778" t="s">
        <v>45116</v>
      </c>
      <c r="S13778" t="s">
        <v>45952</v>
      </c>
      <c r="T13778" t="s">
        <v>47183</v>
      </c>
      <c r="U13778" t="s">
        <v>58589</v>
      </c>
      <c r="W13778" t="s">
        <v>43390</v>
      </c>
      <c r="X13778" t="s">
        <v>45117</v>
      </c>
    </row>
    <row r="13779" spans="1:24">
      <c r="A13779">
        <f>HYPERLINK("https://www.philgeps.gov.ph/GEPSNONPILOT/Tender/SplashBidNoticeAbstractUI.aspx?menuIndex=3&amp;refID=7012050&amp;Result=3","7012050")</f>
        <v>0</v>
      </c>
      <c r="B13779" t="s">
        <v>2557</v>
      </c>
      <c r="C13779" t="s">
        <v>16383</v>
      </c>
      <c r="D13779" t="s">
        <v>18100</v>
      </c>
      <c r="E13779" t="s">
        <v>30054</v>
      </c>
      <c r="F13779" t="s">
        <v>31574</v>
      </c>
      <c r="G13779" t="s">
        <v>31582</v>
      </c>
      <c r="H13779" t="s">
        <v>31591</v>
      </c>
      <c r="I13779" t="s">
        <v>31632</v>
      </c>
      <c r="J13779" t="s">
        <v>31935</v>
      </c>
      <c r="K13779" t="s">
        <v>41189</v>
      </c>
      <c r="M13779" t="s">
        <v>44296</v>
      </c>
      <c r="N13779" t="s">
        <v>45095</v>
      </c>
      <c r="O13779" t="s">
        <v>45096</v>
      </c>
      <c r="P13779">
        <v>0</v>
      </c>
      <c r="Q13779">
        <v>15</v>
      </c>
      <c r="R13779" t="s">
        <v>45116</v>
      </c>
      <c r="S13779" t="s">
        <v>45923</v>
      </c>
      <c r="T13779" t="s">
        <v>47188</v>
      </c>
      <c r="U13779" t="s">
        <v>58587</v>
      </c>
      <c r="W13779" t="s">
        <v>44296</v>
      </c>
      <c r="X13779" t="s">
        <v>45117</v>
      </c>
    </row>
    <row r="13780" spans="1:24">
      <c r="A13780">
        <f>HYPERLINK("https://www.philgeps.gov.ph/GEPSNONPILOT/Tender/SplashBidNoticeAbstractUI.aspx?menuIndex=3&amp;refID=7012079&amp;Result=3","7012079")</f>
        <v>0</v>
      </c>
      <c r="B13780" t="s">
        <v>1669</v>
      </c>
      <c r="C13780" t="s">
        <v>16385</v>
      </c>
      <c r="D13780" t="s">
        <v>18031</v>
      </c>
      <c r="E13780" t="s">
        <v>30055</v>
      </c>
      <c r="F13780" t="s">
        <v>31574</v>
      </c>
      <c r="G13780" t="s">
        <v>31582</v>
      </c>
      <c r="H13780" t="s">
        <v>31591</v>
      </c>
      <c r="I13780" t="s">
        <v>8822</v>
      </c>
      <c r="J13780" t="s">
        <v>40196</v>
      </c>
      <c r="K13780" t="s">
        <v>41184</v>
      </c>
      <c r="M13780" t="s">
        <v>44901</v>
      </c>
      <c r="N13780" t="s">
        <v>45095</v>
      </c>
      <c r="O13780" t="s">
        <v>45096</v>
      </c>
      <c r="P13780">
        <v>0</v>
      </c>
      <c r="Q13780">
        <v>74</v>
      </c>
      <c r="R13780" t="s">
        <v>45116</v>
      </c>
      <c r="S13780" t="s">
        <v>45923</v>
      </c>
      <c r="T13780" t="s">
        <v>47159</v>
      </c>
      <c r="U13780" t="s">
        <v>58590</v>
      </c>
      <c r="W13780" t="s">
        <v>44901</v>
      </c>
      <c r="X13780" t="s">
        <v>45117</v>
      </c>
    </row>
    <row r="13781" spans="1:24">
      <c r="A13781">
        <f>HYPERLINK("https://www.philgeps.gov.ph/GEPSNONPILOT/Tender/SplashBidNoticeAbstractUI.aspx?menuIndex=3&amp;refID=7011912&amp;Result=3","7011912")</f>
        <v>0</v>
      </c>
      <c r="B13781" t="s">
        <v>62</v>
      </c>
      <c r="C13781" t="s">
        <v>16386</v>
      </c>
      <c r="D13781" t="s">
        <v>18108</v>
      </c>
      <c r="E13781" t="s">
        <v>30056</v>
      </c>
      <c r="F13781" t="s">
        <v>31574</v>
      </c>
      <c r="G13781" t="s">
        <v>31588</v>
      </c>
      <c r="H13781" t="s">
        <v>31591</v>
      </c>
      <c r="I13781" t="s">
        <v>8822</v>
      </c>
      <c r="J13781" t="s">
        <v>32476</v>
      </c>
      <c r="K13781" t="s">
        <v>41184</v>
      </c>
      <c r="L13781" t="s">
        <v>62</v>
      </c>
      <c r="M13781" t="s">
        <v>43390</v>
      </c>
      <c r="N13781" t="s">
        <v>45095</v>
      </c>
      <c r="O13781" t="s">
        <v>45096</v>
      </c>
      <c r="Q13781">
        <v>14</v>
      </c>
      <c r="R13781" t="s">
        <v>45116</v>
      </c>
      <c r="S13781" t="s">
        <v>45953</v>
      </c>
      <c r="T13781" t="s">
        <v>47183</v>
      </c>
      <c r="U13781" t="s">
        <v>58591</v>
      </c>
      <c r="W13781" t="s">
        <v>43390</v>
      </c>
      <c r="X13781" t="s">
        <v>45117</v>
      </c>
    </row>
    <row r="13782" spans="1:24">
      <c r="A13782">
        <f>HYPERLINK("https://www.philgeps.gov.ph/GEPSNONPILOT/Tender/SplashBidNoticeAbstractUI.aspx?menuIndex=3&amp;refID=7012068&amp;Result=3","7012068")</f>
        <v>0</v>
      </c>
      <c r="B13782" t="s">
        <v>1669</v>
      </c>
      <c r="C13782" t="s">
        <v>16387</v>
      </c>
      <c r="D13782" t="s">
        <v>18031</v>
      </c>
      <c r="E13782" t="s">
        <v>30057</v>
      </c>
      <c r="F13782" t="s">
        <v>31574</v>
      </c>
      <c r="G13782" t="s">
        <v>31582</v>
      </c>
      <c r="H13782" t="s">
        <v>31591</v>
      </c>
      <c r="I13782" t="s">
        <v>8822</v>
      </c>
      <c r="J13782" t="s">
        <v>40197</v>
      </c>
      <c r="K13782" t="s">
        <v>41184</v>
      </c>
      <c r="M13782" t="s">
        <v>44901</v>
      </c>
      <c r="N13782" t="s">
        <v>45095</v>
      </c>
      <c r="O13782" t="s">
        <v>45096</v>
      </c>
      <c r="P13782">
        <v>0</v>
      </c>
      <c r="Q13782">
        <v>81</v>
      </c>
      <c r="R13782" t="s">
        <v>45116</v>
      </c>
      <c r="S13782" t="s">
        <v>45923</v>
      </c>
      <c r="T13782" t="s">
        <v>47159</v>
      </c>
      <c r="U13782" t="s">
        <v>58592</v>
      </c>
      <c r="W13782" t="s">
        <v>44901</v>
      </c>
      <c r="X13782" t="s">
        <v>45117</v>
      </c>
    </row>
    <row r="13783" spans="1:24">
      <c r="A13783">
        <f>HYPERLINK("https://www.philgeps.gov.ph/GEPSNONPILOT/Tender/SplashBidNoticeAbstractUI.aspx?menuIndex=3&amp;refID=7012017&amp;Result=3","7012017")</f>
        <v>0</v>
      </c>
      <c r="B13783" t="s">
        <v>201</v>
      </c>
      <c r="C13783" t="s">
        <v>16388</v>
      </c>
      <c r="D13783" t="s">
        <v>18045</v>
      </c>
      <c r="E13783" t="s">
        <v>30058</v>
      </c>
      <c r="F13783" t="s">
        <v>31574</v>
      </c>
      <c r="G13783" t="s">
        <v>31582</v>
      </c>
      <c r="H13783" t="s">
        <v>31590</v>
      </c>
      <c r="I13783" t="s">
        <v>31606</v>
      </c>
      <c r="J13783" t="s">
        <v>40198</v>
      </c>
      <c r="K13783" t="s">
        <v>41184</v>
      </c>
      <c r="M13783" t="s">
        <v>41686</v>
      </c>
      <c r="N13783" t="s">
        <v>45095</v>
      </c>
      <c r="O13783" t="s">
        <v>45096</v>
      </c>
      <c r="P13783">
        <v>0</v>
      </c>
      <c r="Q13783">
        <v>2</v>
      </c>
      <c r="R13783" t="s">
        <v>45116</v>
      </c>
      <c r="S13783" t="s">
        <v>45923</v>
      </c>
      <c r="T13783" t="s">
        <v>47125</v>
      </c>
      <c r="U13783" t="s">
        <v>58593</v>
      </c>
      <c r="V13783" t="s">
        <v>61374</v>
      </c>
      <c r="W13783" t="s">
        <v>41686</v>
      </c>
      <c r="X13783" t="s">
        <v>45117</v>
      </c>
    </row>
    <row r="13784" spans="1:24">
      <c r="A13784">
        <f>HYPERLINK("https://www.philgeps.gov.ph/GEPSNONPILOT/Tender/SplashBidNoticeAbstractUI.aspx?menuIndex=3&amp;refID=7012015&amp;Result=3","7012015")</f>
        <v>0</v>
      </c>
      <c r="B13784" t="s">
        <v>2557</v>
      </c>
      <c r="C13784" t="s">
        <v>16383</v>
      </c>
      <c r="D13784" t="s">
        <v>18100</v>
      </c>
      <c r="E13784" t="s">
        <v>30059</v>
      </c>
      <c r="F13784" t="s">
        <v>31574</v>
      </c>
      <c r="G13784" t="s">
        <v>31582</v>
      </c>
      <c r="H13784" t="s">
        <v>31591</v>
      </c>
      <c r="I13784" t="s">
        <v>31632</v>
      </c>
      <c r="J13784" t="s">
        <v>31771</v>
      </c>
      <c r="K13784" t="s">
        <v>41200</v>
      </c>
      <c r="M13784" t="s">
        <v>44296</v>
      </c>
      <c r="N13784" t="s">
        <v>45095</v>
      </c>
      <c r="O13784" t="s">
        <v>45096</v>
      </c>
      <c r="P13784">
        <v>0</v>
      </c>
      <c r="Q13784">
        <v>15</v>
      </c>
      <c r="R13784" t="s">
        <v>45116</v>
      </c>
      <c r="S13784" t="s">
        <v>45923</v>
      </c>
      <c r="T13784" t="s">
        <v>47188</v>
      </c>
      <c r="U13784" t="s">
        <v>58594</v>
      </c>
      <c r="W13784" t="s">
        <v>44296</v>
      </c>
      <c r="X13784" t="s">
        <v>45117</v>
      </c>
    </row>
    <row r="13785" spans="1:24">
      <c r="A13785">
        <f>HYPERLINK("https://www.philgeps.gov.ph/GEPSNONPILOT/Tender/SplashBidNoticeAbstractUI.aspx?menuIndex=3&amp;refID=7012078&amp;Result=3","7012078")</f>
        <v>0</v>
      </c>
      <c r="B13785" t="s">
        <v>3062</v>
      </c>
      <c r="C13785" t="s">
        <v>16389</v>
      </c>
      <c r="D13785" t="s">
        <v>18056</v>
      </c>
      <c r="E13785" t="s">
        <v>30060</v>
      </c>
      <c r="F13785" t="s">
        <v>31574</v>
      </c>
      <c r="G13785" t="s">
        <v>31582</v>
      </c>
      <c r="H13785" t="s">
        <v>31590</v>
      </c>
      <c r="I13785" t="s">
        <v>4046</v>
      </c>
      <c r="J13785" t="s">
        <v>40199</v>
      </c>
      <c r="K13785" t="s">
        <v>41186</v>
      </c>
      <c r="M13785" t="s">
        <v>44902</v>
      </c>
      <c r="N13785" t="s">
        <v>45095</v>
      </c>
      <c r="O13785" t="s">
        <v>45096</v>
      </c>
      <c r="P13785">
        <v>0</v>
      </c>
      <c r="Q13785">
        <v>0</v>
      </c>
      <c r="R13785" t="s">
        <v>45116</v>
      </c>
      <c r="S13785" t="s">
        <v>45923</v>
      </c>
      <c r="T13785" t="s">
        <v>47077</v>
      </c>
      <c r="U13785" t="s">
        <v>58595</v>
      </c>
      <c r="W13785" t="s">
        <v>44902</v>
      </c>
      <c r="X13785" t="s">
        <v>45117</v>
      </c>
    </row>
    <row r="13786" spans="1:24">
      <c r="A13786">
        <f>HYPERLINK("https://www.philgeps.gov.ph/GEPSNONPILOT/Tender/SplashBidNoticeAbstractUI.aspx?menuIndex=3&amp;refID=7012063&amp;Result=3","7012063")</f>
        <v>0</v>
      </c>
      <c r="B13786" t="s">
        <v>2557</v>
      </c>
      <c r="C13786" t="s">
        <v>16383</v>
      </c>
      <c r="D13786" t="s">
        <v>18100</v>
      </c>
      <c r="E13786" t="s">
        <v>30061</v>
      </c>
      <c r="F13786" t="s">
        <v>31574</v>
      </c>
      <c r="G13786" t="s">
        <v>31582</v>
      </c>
      <c r="H13786" t="s">
        <v>31591</v>
      </c>
      <c r="I13786" t="s">
        <v>31632</v>
      </c>
      <c r="J13786" t="s">
        <v>31935</v>
      </c>
      <c r="K13786" t="s">
        <v>41189</v>
      </c>
      <c r="M13786" t="s">
        <v>44296</v>
      </c>
      <c r="N13786" t="s">
        <v>45095</v>
      </c>
      <c r="O13786" t="s">
        <v>45096</v>
      </c>
      <c r="P13786">
        <v>0</v>
      </c>
      <c r="Q13786">
        <v>14</v>
      </c>
      <c r="R13786" t="s">
        <v>45116</v>
      </c>
      <c r="S13786" t="s">
        <v>45923</v>
      </c>
      <c r="T13786" t="s">
        <v>47188</v>
      </c>
      <c r="U13786" t="s">
        <v>58596</v>
      </c>
      <c r="W13786" t="s">
        <v>44296</v>
      </c>
      <c r="X13786" t="s">
        <v>45117</v>
      </c>
    </row>
    <row r="13787" spans="1:24">
      <c r="A13787">
        <f>HYPERLINK("https://www.philgeps.gov.ph/GEPSNONPILOT/Tender/SplashBidNoticeAbstractUI.aspx?menuIndex=3&amp;refID=7011895&amp;Result=3","7011895")</f>
        <v>0</v>
      </c>
      <c r="B13787" t="s">
        <v>3059</v>
      </c>
      <c r="C13787" t="s">
        <v>16390</v>
      </c>
      <c r="D13787" t="s">
        <v>18059</v>
      </c>
      <c r="E13787" t="s">
        <v>30062</v>
      </c>
      <c r="F13787" t="s">
        <v>31574</v>
      </c>
      <c r="G13787" t="s">
        <v>31582</v>
      </c>
      <c r="H13787" t="s">
        <v>31590</v>
      </c>
      <c r="I13787" t="s">
        <v>31689</v>
      </c>
      <c r="J13787" t="s">
        <v>40200</v>
      </c>
      <c r="K13787" t="s">
        <v>41196</v>
      </c>
      <c r="M13787" t="s">
        <v>44897</v>
      </c>
      <c r="N13787" t="s">
        <v>45095</v>
      </c>
      <c r="O13787" t="s">
        <v>45096</v>
      </c>
      <c r="P13787">
        <v>0</v>
      </c>
      <c r="Q13787">
        <v>5</v>
      </c>
      <c r="R13787" t="s">
        <v>45116</v>
      </c>
      <c r="S13787" t="s">
        <v>45923</v>
      </c>
      <c r="T13787" t="s">
        <v>47183</v>
      </c>
      <c r="U13787" t="s">
        <v>58597</v>
      </c>
      <c r="V13787" t="s">
        <v>61368</v>
      </c>
      <c r="W13787" t="s">
        <v>44897</v>
      </c>
      <c r="X13787" t="s">
        <v>45117</v>
      </c>
    </row>
    <row r="13788" spans="1:24">
      <c r="A13788">
        <f>HYPERLINK("https://www.philgeps.gov.ph/GEPSNONPILOT/Tender/SplashBidNoticeAbstractUI.aspx?menuIndex=3&amp;refID=7011995&amp;Result=3","7011995")</f>
        <v>0</v>
      </c>
      <c r="B13788" t="s">
        <v>1351</v>
      </c>
      <c r="C13788" t="s">
        <v>16391</v>
      </c>
      <c r="D13788" t="s">
        <v>18043</v>
      </c>
      <c r="E13788" t="s">
        <v>30063</v>
      </c>
      <c r="F13788" t="s">
        <v>31574</v>
      </c>
      <c r="G13788" t="s">
        <v>31582</v>
      </c>
      <c r="H13788" t="s">
        <v>31590</v>
      </c>
      <c r="I13788" t="s">
        <v>4327</v>
      </c>
      <c r="J13788" t="s">
        <v>40201</v>
      </c>
      <c r="K13788" t="s">
        <v>41186</v>
      </c>
      <c r="M13788" t="s">
        <v>42923</v>
      </c>
      <c r="N13788" t="s">
        <v>45095</v>
      </c>
      <c r="O13788" t="s">
        <v>45096</v>
      </c>
      <c r="P13788">
        <v>0</v>
      </c>
      <c r="Q13788">
        <v>13</v>
      </c>
      <c r="R13788" t="s">
        <v>45116</v>
      </c>
      <c r="S13788" t="s">
        <v>45923</v>
      </c>
      <c r="T13788" t="s">
        <v>47183</v>
      </c>
      <c r="U13788" t="s">
        <v>58598</v>
      </c>
      <c r="W13788" t="s">
        <v>42923</v>
      </c>
      <c r="X13788" t="s">
        <v>45117</v>
      </c>
    </row>
    <row r="13789" spans="1:24">
      <c r="A13789">
        <f>HYPERLINK("https://www.philgeps.gov.ph/GEPSNONPILOT/Tender/SplashBidNoticeAbstractUI.aspx?menuIndex=3&amp;refID=7012065&amp;Result=3","7012065")</f>
        <v>0</v>
      </c>
      <c r="B13789" t="s">
        <v>201</v>
      </c>
      <c r="C13789" t="s">
        <v>3583</v>
      </c>
      <c r="D13789" t="s">
        <v>18045</v>
      </c>
      <c r="E13789" t="s">
        <v>30064</v>
      </c>
      <c r="F13789" t="s">
        <v>31574</v>
      </c>
      <c r="G13789" t="s">
        <v>31582</v>
      </c>
      <c r="H13789" t="s">
        <v>31590</v>
      </c>
      <c r="I13789" t="s">
        <v>31608</v>
      </c>
      <c r="J13789" t="s">
        <v>40202</v>
      </c>
      <c r="K13789" t="s">
        <v>41184</v>
      </c>
      <c r="M13789" t="s">
        <v>41686</v>
      </c>
      <c r="N13789" t="s">
        <v>45095</v>
      </c>
      <c r="O13789" t="s">
        <v>45096</v>
      </c>
      <c r="P13789">
        <v>0</v>
      </c>
      <c r="Q13789">
        <v>7</v>
      </c>
      <c r="R13789" t="s">
        <v>45116</v>
      </c>
      <c r="S13789" t="s">
        <v>45923</v>
      </c>
      <c r="T13789" t="s">
        <v>47125</v>
      </c>
      <c r="U13789" t="s">
        <v>58599</v>
      </c>
      <c r="V13789" t="s">
        <v>61375</v>
      </c>
      <c r="W13789" t="s">
        <v>41686</v>
      </c>
      <c r="X13789" t="s">
        <v>45117</v>
      </c>
    </row>
    <row r="13790" spans="1:24">
      <c r="A13790">
        <f>HYPERLINK("https://www.philgeps.gov.ph/GEPSNONPILOT/Tender/SplashBidNoticeAbstractUI.aspx?menuIndex=3&amp;refID=7012051&amp;Result=3","7012051")</f>
        <v>0</v>
      </c>
      <c r="B13790" t="s">
        <v>1503</v>
      </c>
      <c r="C13790" t="s">
        <v>16392</v>
      </c>
      <c r="D13790" t="s">
        <v>18030</v>
      </c>
      <c r="E13790" t="s">
        <v>30065</v>
      </c>
      <c r="F13790" t="s">
        <v>31574</v>
      </c>
      <c r="G13790" t="s">
        <v>31582</v>
      </c>
      <c r="H13790" t="s">
        <v>31591</v>
      </c>
      <c r="I13790" t="s">
        <v>8822</v>
      </c>
      <c r="J13790" t="s">
        <v>40203</v>
      </c>
      <c r="K13790" t="s">
        <v>41243</v>
      </c>
      <c r="M13790" t="s">
        <v>43224</v>
      </c>
      <c r="N13790" t="s">
        <v>45095</v>
      </c>
      <c r="O13790" t="s">
        <v>45096</v>
      </c>
      <c r="P13790">
        <v>0</v>
      </c>
      <c r="Q13790">
        <v>35</v>
      </c>
      <c r="R13790" t="s">
        <v>45116</v>
      </c>
      <c r="S13790" t="s">
        <v>45923</v>
      </c>
      <c r="T13790" t="s">
        <v>47050</v>
      </c>
      <c r="U13790" t="s">
        <v>51532</v>
      </c>
      <c r="V13790" t="s">
        <v>60368</v>
      </c>
      <c r="W13790" t="s">
        <v>43224</v>
      </c>
      <c r="X13790" t="s">
        <v>45117</v>
      </c>
    </row>
    <row r="13791" spans="1:24">
      <c r="A13791">
        <f>HYPERLINK("https://www.philgeps.gov.ph/GEPSNONPILOT/Tender/SplashBidNoticeAbstractUI.aspx?menuIndex=3&amp;refID=7012077&amp;Result=3","7012077")</f>
        <v>0</v>
      </c>
      <c r="B13791" t="s">
        <v>743</v>
      </c>
      <c r="C13791" t="s">
        <v>16393</v>
      </c>
      <c r="D13791" t="s">
        <v>18099</v>
      </c>
      <c r="E13791" t="s">
        <v>30066</v>
      </c>
      <c r="F13791" t="s">
        <v>31574</v>
      </c>
      <c r="G13791" t="s">
        <v>31588</v>
      </c>
      <c r="H13791" t="s">
        <v>31591</v>
      </c>
      <c r="I13791" t="s">
        <v>8822</v>
      </c>
      <c r="J13791" t="s">
        <v>40204</v>
      </c>
      <c r="K13791" t="s">
        <v>41201</v>
      </c>
      <c r="M13791" t="s">
        <v>42255</v>
      </c>
      <c r="N13791" t="s">
        <v>45095</v>
      </c>
      <c r="O13791" t="s">
        <v>45096</v>
      </c>
      <c r="P13791">
        <v>0</v>
      </c>
      <c r="Q13791">
        <v>0</v>
      </c>
      <c r="R13791" t="s">
        <v>45116</v>
      </c>
      <c r="S13791" t="s">
        <v>45923</v>
      </c>
      <c r="T13791" t="s">
        <v>47159</v>
      </c>
      <c r="U13791" t="s">
        <v>49049</v>
      </c>
      <c r="V13791" t="s">
        <v>61376</v>
      </c>
      <c r="W13791" t="s">
        <v>44899</v>
      </c>
      <c r="X13791" t="s">
        <v>45117</v>
      </c>
    </row>
    <row r="13792" spans="1:24">
      <c r="A13792">
        <f>HYPERLINK("https://www.philgeps.gov.ph/GEPSNONPILOT/Tender/SplashBidNoticeAbstractUI.aspx?menuIndex=3&amp;refID=7011987&amp;Result=3","7011987")</f>
        <v>0</v>
      </c>
      <c r="B13792" t="s">
        <v>201</v>
      </c>
      <c r="C13792" t="s">
        <v>16394</v>
      </c>
      <c r="D13792" t="s">
        <v>18045</v>
      </c>
      <c r="E13792" t="s">
        <v>30067</v>
      </c>
      <c r="F13792" t="s">
        <v>31574</v>
      </c>
      <c r="G13792" t="s">
        <v>31582</v>
      </c>
      <c r="H13792" t="s">
        <v>31590</v>
      </c>
      <c r="I13792" t="s">
        <v>3901</v>
      </c>
      <c r="J13792" t="s">
        <v>40205</v>
      </c>
      <c r="K13792" t="s">
        <v>41184</v>
      </c>
      <c r="M13792" t="s">
        <v>41686</v>
      </c>
      <c r="N13792" t="s">
        <v>45095</v>
      </c>
      <c r="O13792" t="s">
        <v>45096</v>
      </c>
      <c r="Q13792">
        <v>3</v>
      </c>
      <c r="R13792" t="s">
        <v>45116</v>
      </c>
      <c r="S13792" t="s">
        <v>45954</v>
      </c>
      <c r="T13792" t="s">
        <v>47125</v>
      </c>
      <c r="U13792" t="s">
        <v>58600</v>
      </c>
      <c r="V13792" t="s">
        <v>61377</v>
      </c>
      <c r="W13792" t="s">
        <v>41686</v>
      </c>
      <c r="X13792" t="s">
        <v>45117</v>
      </c>
    </row>
    <row r="13793" spans="1:24">
      <c r="A13793">
        <f>HYPERLINK("https://www.philgeps.gov.ph/GEPSNONPILOT/Tender/SplashBidNoticeAbstractUI.aspx?menuIndex=3&amp;refID=7011902&amp;Result=3","7011902")</f>
        <v>0</v>
      </c>
      <c r="B13793" t="s">
        <v>3061</v>
      </c>
      <c r="C13793" t="s">
        <v>16395</v>
      </c>
      <c r="D13793" t="s">
        <v>18101</v>
      </c>
      <c r="E13793" t="s">
        <v>30068</v>
      </c>
      <c r="F13793" t="s">
        <v>31574</v>
      </c>
      <c r="G13793" t="s">
        <v>31582</v>
      </c>
      <c r="H13793" t="s">
        <v>31590</v>
      </c>
      <c r="I13793" t="s">
        <v>31607</v>
      </c>
      <c r="J13793" t="s">
        <v>40206</v>
      </c>
      <c r="K13793" t="s">
        <v>41198</v>
      </c>
      <c r="M13793" t="s">
        <v>44900</v>
      </c>
      <c r="N13793" t="s">
        <v>45095</v>
      </c>
      <c r="O13793" t="s">
        <v>45096</v>
      </c>
      <c r="P13793">
        <v>0</v>
      </c>
      <c r="Q13793">
        <v>1</v>
      </c>
      <c r="R13793" t="s">
        <v>45116</v>
      </c>
      <c r="S13793" t="s">
        <v>45923</v>
      </c>
      <c r="T13793" t="s">
        <v>46932</v>
      </c>
      <c r="U13793" t="s">
        <v>58601</v>
      </c>
      <c r="W13793" t="s">
        <v>44900</v>
      </c>
      <c r="X13793" t="s">
        <v>45117</v>
      </c>
    </row>
    <row r="13794" spans="1:24">
      <c r="A13794">
        <f>HYPERLINK("https://www.philgeps.gov.ph/GEPSNONPILOT/Tender/SplashBidNoticeAbstractUI.aspx?menuIndex=3&amp;refID=7011986&amp;Result=3","7011986")</f>
        <v>0</v>
      </c>
      <c r="B13794" t="s">
        <v>222</v>
      </c>
      <c r="C13794" t="s">
        <v>16396</v>
      </c>
      <c r="D13794" t="s">
        <v>18033</v>
      </c>
      <c r="E13794" t="s">
        <v>30069</v>
      </c>
      <c r="F13794" t="s">
        <v>31574</v>
      </c>
      <c r="G13794" t="s">
        <v>31582</v>
      </c>
      <c r="H13794" t="s">
        <v>31591</v>
      </c>
      <c r="I13794" t="s">
        <v>4046</v>
      </c>
      <c r="J13794" t="s">
        <v>31771</v>
      </c>
      <c r="K13794" t="s">
        <v>41200</v>
      </c>
      <c r="M13794" t="s">
        <v>41707</v>
      </c>
      <c r="N13794" t="s">
        <v>45095</v>
      </c>
      <c r="O13794" t="s">
        <v>45096</v>
      </c>
      <c r="P13794">
        <v>0</v>
      </c>
      <c r="Q13794">
        <v>10</v>
      </c>
      <c r="R13794" t="s">
        <v>45116</v>
      </c>
      <c r="S13794" t="s">
        <v>45923</v>
      </c>
      <c r="T13794" t="s">
        <v>47076</v>
      </c>
      <c r="U13794" t="s">
        <v>58602</v>
      </c>
      <c r="W13794" t="s">
        <v>41707</v>
      </c>
      <c r="X13794" t="s">
        <v>45117</v>
      </c>
    </row>
    <row r="13795" spans="1:24">
      <c r="A13795">
        <f>HYPERLINK("https://www.philgeps.gov.ph/GEPSNONPILOT/Tender/SplashBidNoticeAbstractUI.aspx?menuIndex=3&amp;refID=7012098&amp;Result=3","7012098")</f>
        <v>0</v>
      </c>
      <c r="B13795" t="s">
        <v>2557</v>
      </c>
      <c r="C13795" t="s">
        <v>16383</v>
      </c>
      <c r="D13795" t="s">
        <v>18100</v>
      </c>
      <c r="E13795" t="s">
        <v>30070</v>
      </c>
      <c r="F13795" t="s">
        <v>31574</v>
      </c>
      <c r="G13795" t="s">
        <v>31582</v>
      </c>
      <c r="H13795" t="s">
        <v>31591</v>
      </c>
      <c r="I13795" t="s">
        <v>31632</v>
      </c>
      <c r="J13795" t="s">
        <v>32019</v>
      </c>
      <c r="K13795" t="s">
        <v>41192</v>
      </c>
      <c r="M13795" t="s">
        <v>44296</v>
      </c>
      <c r="N13795" t="s">
        <v>45095</v>
      </c>
      <c r="O13795" t="s">
        <v>45096</v>
      </c>
      <c r="P13795">
        <v>0</v>
      </c>
      <c r="Q13795">
        <v>14</v>
      </c>
      <c r="R13795" t="s">
        <v>45116</v>
      </c>
      <c r="S13795" t="s">
        <v>45923</v>
      </c>
      <c r="T13795" t="s">
        <v>47188</v>
      </c>
      <c r="U13795" t="s">
        <v>58603</v>
      </c>
      <c r="W13795" t="s">
        <v>44296</v>
      </c>
      <c r="X13795" t="s">
        <v>45117</v>
      </c>
    </row>
    <row r="13796" spans="1:24">
      <c r="A13796">
        <f>HYPERLINK("https://www.philgeps.gov.ph/GEPSNONPILOT/Tender/SplashBidNoticeAbstractUI.aspx?menuIndex=3&amp;refID=7011997&amp;Result=3","7011997")</f>
        <v>0</v>
      </c>
      <c r="B13796" t="s">
        <v>2078</v>
      </c>
      <c r="C13796" t="s">
        <v>16397</v>
      </c>
      <c r="D13796" t="s">
        <v>18072</v>
      </c>
      <c r="E13796" t="s">
        <v>30071</v>
      </c>
      <c r="F13796" t="s">
        <v>31574</v>
      </c>
      <c r="G13796" t="s">
        <v>31582</v>
      </c>
      <c r="H13796" t="s">
        <v>31591</v>
      </c>
      <c r="I13796" t="s">
        <v>8822</v>
      </c>
      <c r="J13796" t="s">
        <v>31781</v>
      </c>
      <c r="K13796" t="s">
        <v>41192</v>
      </c>
      <c r="M13796" t="s">
        <v>43753</v>
      </c>
      <c r="N13796" t="s">
        <v>45095</v>
      </c>
      <c r="O13796" t="s">
        <v>45096</v>
      </c>
      <c r="P13796">
        <v>0</v>
      </c>
      <c r="Q13796">
        <v>0</v>
      </c>
      <c r="R13796" t="s">
        <v>45116</v>
      </c>
      <c r="S13796" t="s">
        <v>45923</v>
      </c>
      <c r="T13796" t="s">
        <v>47064</v>
      </c>
      <c r="U13796" t="s">
        <v>58604</v>
      </c>
      <c r="W13796" t="s">
        <v>43753</v>
      </c>
      <c r="X13796" t="s">
        <v>45117</v>
      </c>
    </row>
    <row r="13797" spans="1:24">
      <c r="A13797">
        <f>HYPERLINK("https://www.philgeps.gov.ph/GEPSNONPILOT/Tender/SplashBidNoticeAbstractUI.aspx?menuIndex=3&amp;refID=7016499&amp;Result=3","7016499")</f>
        <v>0</v>
      </c>
      <c r="B13797" t="s">
        <v>447</v>
      </c>
      <c r="C13797" t="s">
        <v>16398</v>
      </c>
      <c r="D13797" t="s">
        <v>18044</v>
      </c>
      <c r="E13797" t="s">
        <v>30072</v>
      </c>
      <c r="F13797" t="s">
        <v>31574</v>
      </c>
      <c r="G13797" t="s">
        <v>31582</v>
      </c>
      <c r="H13797" t="s">
        <v>31591</v>
      </c>
      <c r="I13797" t="s">
        <v>8822</v>
      </c>
      <c r="J13797" t="s">
        <v>40207</v>
      </c>
      <c r="K13797" t="s">
        <v>41192</v>
      </c>
      <c r="M13797" t="s">
        <v>41941</v>
      </c>
      <c r="N13797" t="s">
        <v>45095</v>
      </c>
      <c r="O13797" t="s">
        <v>45096</v>
      </c>
      <c r="P13797">
        <v>0</v>
      </c>
      <c r="Q13797">
        <v>0</v>
      </c>
      <c r="R13797" t="s">
        <v>45115</v>
      </c>
      <c r="S13797" t="s">
        <v>45845</v>
      </c>
      <c r="T13797" t="s">
        <v>46985</v>
      </c>
      <c r="U13797" t="s">
        <v>58605</v>
      </c>
      <c r="W13797" t="s">
        <v>41941</v>
      </c>
      <c r="X13797" t="s">
        <v>45116</v>
      </c>
    </row>
    <row r="13798" spans="1:24">
      <c r="A13798">
        <f>HYPERLINK("https://www.philgeps.gov.ph/GEPSNONPILOT/Tender/SplashBidNoticeAbstractUI.aspx?menuIndex=3&amp;refID=7012143&amp;Result=3","7012143")</f>
        <v>0</v>
      </c>
      <c r="B13798" t="s">
        <v>1669</v>
      </c>
      <c r="C13798" t="s">
        <v>16399</v>
      </c>
      <c r="D13798" t="s">
        <v>18031</v>
      </c>
      <c r="E13798" t="s">
        <v>30073</v>
      </c>
      <c r="F13798" t="s">
        <v>31574</v>
      </c>
      <c r="G13798" t="s">
        <v>31582</v>
      </c>
      <c r="H13798" t="s">
        <v>31591</v>
      </c>
      <c r="I13798" t="s">
        <v>8822</v>
      </c>
      <c r="J13798" t="s">
        <v>40208</v>
      </c>
      <c r="K13798" t="s">
        <v>41184</v>
      </c>
      <c r="M13798" t="s">
        <v>44901</v>
      </c>
      <c r="N13798" t="s">
        <v>45095</v>
      </c>
      <c r="O13798" t="s">
        <v>45096</v>
      </c>
      <c r="P13798">
        <v>0</v>
      </c>
      <c r="Q13798">
        <v>55</v>
      </c>
      <c r="R13798" t="s">
        <v>45116</v>
      </c>
      <c r="S13798" t="s">
        <v>45923</v>
      </c>
      <c r="T13798" t="s">
        <v>47159</v>
      </c>
      <c r="U13798" t="s">
        <v>58606</v>
      </c>
      <c r="W13798" t="s">
        <v>44901</v>
      </c>
      <c r="X13798" t="s">
        <v>45117</v>
      </c>
    </row>
    <row r="13799" spans="1:24">
      <c r="A13799">
        <f>HYPERLINK("https://www.philgeps.gov.ph/GEPSNONPILOT/Tender/SplashBidNoticeAbstractUI.aspx?menuIndex=3&amp;refID=7012210&amp;Result=3","7012210")</f>
        <v>0</v>
      </c>
      <c r="B13799" t="s">
        <v>3063</v>
      </c>
      <c r="C13799" t="s">
        <v>16400</v>
      </c>
      <c r="D13799" t="s">
        <v>18068</v>
      </c>
      <c r="E13799" t="s">
        <v>30074</v>
      </c>
      <c r="F13799" t="s">
        <v>31574</v>
      </c>
      <c r="G13799" t="s">
        <v>31582</v>
      </c>
      <c r="H13799" t="s">
        <v>31590</v>
      </c>
      <c r="I13799" t="s">
        <v>31601</v>
      </c>
      <c r="J13799" t="s">
        <v>36002</v>
      </c>
      <c r="K13799" t="s">
        <v>41186</v>
      </c>
      <c r="M13799" t="s">
        <v>44903</v>
      </c>
      <c r="N13799" t="s">
        <v>45095</v>
      </c>
      <c r="O13799" t="s">
        <v>45096</v>
      </c>
      <c r="Q13799">
        <v>8</v>
      </c>
      <c r="R13799" t="s">
        <v>45116</v>
      </c>
      <c r="S13799" t="s">
        <v>45955</v>
      </c>
      <c r="T13799" t="s">
        <v>46963</v>
      </c>
      <c r="U13799" t="s">
        <v>58607</v>
      </c>
      <c r="W13799" t="s">
        <v>44903</v>
      </c>
      <c r="X13799" t="s">
        <v>45117</v>
      </c>
    </row>
    <row r="13800" spans="1:24">
      <c r="A13800">
        <f>HYPERLINK("https://www.philgeps.gov.ph/GEPSNONPILOT/Tender/SplashBidNoticeAbstractUI.aspx?menuIndex=3&amp;refID=7012095&amp;Result=3","7012095")</f>
        <v>0</v>
      </c>
      <c r="B13800" t="s">
        <v>1669</v>
      </c>
      <c r="C13800" t="s">
        <v>16401</v>
      </c>
      <c r="D13800" t="s">
        <v>18031</v>
      </c>
      <c r="E13800" t="s">
        <v>30075</v>
      </c>
      <c r="F13800" t="s">
        <v>31574</v>
      </c>
      <c r="G13800" t="s">
        <v>31582</v>
      </c>
      <c r="H13800" t="s">
        <v>31591</v>
      </c>
      <c r="I13800" t="s">
        <v>8822</v>
      </c>
      <c r="J13800" t="s">
        <v>40209</v>
      </c>
      <c r="K13800" t="s">
        <v>41184</v>
      </c>
      <c r="M13800" t="s">
        <v>44901</v>
      </c>
      <c r="N13800" t="s">
        <v>45095</v>
      </c>
      <c r="O13800" t="s">
        <v>45096</v>
      </c>
      <c r="P13800">
        <v>0</v>
      </c>
      <c r="Q13800">
        <v>70</v>
      </c>
      <c r="R13800" t="s">
        <v>45116</v>
      </c>
      <c r="S13800" t="s">
        <v>45923</v>
      </c>
      <c r="T13800" t="s">
        <v>47159</v>
      </c>
      <c r="U13800" t="s">
        <v>58608</v>
      </c>
      <c r="W13800" t="s">
        <v>44901</v>
      </c>
      <c r="X13800" t="s">
        <v>45117</v>
      </c>
    </row>
    <row r="13801" spans="1:24">
      <c r="A13801">
        <f>HYPERLINK("https://www.philgeps.gov.ph/GEPSNONPILOT/Tender/SplashBidNoticeAbstractUI.aspx?menuIndex=3&amp;refID=7011130&amp;Result=3","7011130")</f>
        <v>0</v>
      </c>
      <c r="B13801" t="s">
        <v>201</v>
      </c>
      <c r="C13801" t="s">
        <v>13599</v>
      </c>
      <c r="D13801" t="s">
        <v>18045</v>
      </c>
      <c r="E13801" t="s">
        <v>30076</v>
      </c>
      <c r="F13801" t="s">
        <v>31574</v>
      </c>
      <c r="G13801" t="s">
        <v>31582</v>
      </c>
      <c r="H13801" t="s">
        <v>31590</v>
      </c>
      <c r="I13801" t="s">
        <v>31598</v>
      </c>
      <c r="J13801" t="s">
        <v>40210</v>
      </c>
      <c r="K13801" t="s">
        <v>41184</v>
      </c>
      <c r="M13801" t="s">
        <v>41970</v>
      </c>
      <c r="N13801" t="s">
        <v>45095</v>
      </c>
      <c r="O13801" t="s">
        <v>45096</v>
      </c>
      <c r="Q13801">
        <v>11</v>
      </c>
      <c r="R13801" t="s">
        <v>45116</v>
      </c>
      <c r="S13801" t="s">
        <v>45956</v>
      </c>
      <c r="T13801" t="s">
        <v>47125</v>
      </c>
      <c r="U13801" t="s">
        <v>56428</v>
      </c>
      <c r="V13801" t="s">
        <v>61003</v>
      </c>
      <c r="W13801" t="s">
        <v>41970</v>
      </c>
      <c r="X13801" t="s">
        <v>45118</v>
      </c>
    </row>
    <row r="13802" spans="1:24">
      <c r="A13802">
        <f>HYPERLINK("https://www.philgeps.gov.ph/GEPSNONPILOT/Tender/SplashBidNoticeAbstractUI.aspx?menuIndex=3&amp;refID=7012178&amp;Result=3","7012178")</f>
        <v>0</v>
      </c>
      <c r="B13802" t="s">
        <v>1503</v>
      </c>
      <c r="C13802" t="s">
        <v>16402</v>
      </c>
      <c r="D13802" t="s">
        <v>18030</v>
      </c>
      <c r="E13802" t="s">
        <v>30077</v>
      </c>
      <c r="F13802" t="s">
        <v>31574</v>
      </c>
      <c r="G13802" t="s">
        <v>31582</v>
      </c>
      <c r="H13802" t="s">
        <v>31591</v>
      </c>
      <c r="I13802" t="s">
        <v>8822</v>
      </c>
      <c r="J13802" t="s">
        <v>40211</v>
      </c>
      <c r="K13802" t="s">
        <v>41198</v>
      </c>
      <c r="M13802" t="s">
        <v>43224</v>
      </c>
      <c r="N13802" t="s">
        <v>45095</v>
      </c>
      <c r="O13802" t="s">
        <v>45096</v>
      </c>
      <c r="P13802">
        <v>0</v>
      </c>
      <c r="Q13802">
        <v>46</v>
      </c>
      <c r="R13802" t="s">
        <v>45116</v>
      </c>
      <c r="S13802" t="s">
        <v>45923</v>
      </c>
      <c r="T13802" t="s">
        <v>47050</v>
      </c>
      <c r="U13802" t="s">
        <v>58609</v>
      </c>
      <c r="V13802" t="s">
        <v>60368</v>
      </c>
      <c r="W13802" t="s">
        <v>43224</v>
      </c>
      <c r="X13802" t="s">
        <v>45117</v>
      </c>
    </row>
    <row r="13803" spans="1:24">
      <c r="A13803">
        <f>HYPERLINK("https://www.philgeps.gov.ph/GEPSNONPILOT/Tender/SplashBidNoticeAbstractUI.aspx?menuIndex=3&amp;refID=7012192&amp;Result=3","7012192")</f>
        <v>0</v>
      </c>
      <c r="B13803" t="s">
        <v>222</v>
      </c>
      <c r="C13803" t="s">
        <v>16403</v>
      </c>
      <c r="D13803" t="s">
        <v>18033</v>
      </c>
      <c r="E13803" t="s">
        <v>28169</v>
      </c>
      <c r="F13803" t="s">
        <v>31574</v>
      </c>
      <c r="G13803" t="s">
        <v>31582</v>
      </c>
      <c r="H13803" t="s">
        <v>31591</v>
      </c>
      <c r="I13803" t="s">
        <v>4046</v>
      </c>
      <c r="J13803" t="s">
        <v>40212</v>
      </c>
      <c r="K13803" t="s">
        <v>41189</v>
      </c>
      <c r="M13803" t="s">
        <v>41707</v>
      </c>
      <c r="N13803" t="s">
        <v>45095</v>
      </c>
      <c r="O13803" t="s">
        <v>45096</v>
      </c>
      <c r="P13803">
        <v>0</v>
      </c>
      <c r="Q13803">
        <v>10</v>
      </c>
      <c r="R13803" t="s">
        <v>45116</v>
      </c>
      <c r="S13803" t="s">
        <v>45923</v>
      </c>
      <c r="T13803" t="s">
        <v>47076</v>
      </c>
      <c r="U13803" t="s">
        <v>58610</v>
      </c>
      <c r="W13803" t="s">
        <v>41707</v>
      </c>
      <c r="X13803" t="s">
        <v>45117</v>
      </c>
    </row>
    <row r="13804" spans="1:24">
      <c r="A13804">
        <f>HYPERLINK("https://www.philgeps.gov.ph/GEPSNONPILOT/Tender/SplashBidNoticeAbstractUI.aspx?menuIndex=3&amp;refID=7011984&amp;Result=3","7011984")</f>
        <v>0</v>
      </c>
      <c r="B13804" t="s">
        <v>3040</v>
      </c>
      <c r="C13804" t="s">
        <v>16404</v>
      </c>
      <c r="D13804" t="s">
        <v>18065</v>
      </c>
      <c r="E13804" t="s">
        <v>30078</v>
      </c>
      <c r="F13804" t="s">
        <v>31574</v>
      </c>
      <c r="G13804" t="s">
        <v>31582</v>
      </c>
      <c r="H13804" t="s">
        <v>31590</v>
      </c>
      <c r="I13804" t="s">
        <v>4046</v>
      </c>
      <c r="J13804" t="s">
        <v>40213</v>
      </c>
      <c r="K13804" t="s">
        <v>41211</v>
      </c>
      <c r="M13804" t="s">
        <v>44904</v>
      </c>
      <c r="N13804" t="s">
        <v>45095</v>
      </c>
      <c r="O13804" t="s">
        <v>45096</v>
      </c>
      <c r="P13804">
        <v>0</v>
      </c>
      <c r="Q13804">
        <v>0</v>
      </c>
      <c r="R13804" t="s">
        <v>45116</v>
      </c>
      <c r="S13804" t="s">
        <v>45923</v>
      </c>
      <c r="T13804" t="s">
        <v>47164</v>
      </c>
      <c r="U13804" t="s">
        <v>58611</v>
      </c>
      <c r="W13804" t="s">
        <v>44904</v>
      </c>
      <c r="X13804" t="s">
        <v>45117</v>
      </c>
    </row>
    <row r="13805" spans="1:24">
      <c r="A13805">
        <f>HYPERLINK("https://www.philgeps.gov.ph/GEPSNONPILOT/Tender/SplashBidNoticeAbstractUI.aspx?menuIndex=3&amp;refID=7012240&amp;Result=3","7012240")</f>
        <v>0</v>
      </c>
      <c r="B13805" t="s">
        <v>2863</v>
      </c>
      <c r="C13805" t="s">
        <v>16405</v>
      </c>
      <c r="D13805" t="s">
        <v>18041</v>
      </c>
      <c r="E13805" t="s">
        <v>30079</v>
      </c>
      <c r="F13805" t="s">
        <v>31574</v>
      </c>
      <c r="G13805" t="s">
        <v>31582</v>
      </c>
      <c r="H13805" t="s">
        <v>31590</v>
      </c>
      <c r="I13805" t="s">
        <v>31602</v>
      </c>
      <c r="J13805" t="s">
        <v>40214</v>
      </c>
      <c r="K13805" t="s">
        <v>41240</v>
      </c>
      <c r="M13805" t="s">
        <v>44653</v>
      </c>
      <c r="N13805" t="s">
        <v>45095</v>
      </c>
      <c r="O13805" t="s">
        <v>45096</v>
      </c>
      <c r="P13805">
        <v>0</v>
      </c>
      <c r="Q13805">
        <v>0</v>
      </c>
      <c r="R13805" t="s">
        <v>45116</v>
      </c>
      <c r="S13805" t="s">
        <v>45923</v>
      </c>
      <c r="T13805" t="s">
        <v>47154</v>
      </c>
      <c r="U13805" t="s">
        <v>58612</v>
      </c>
      <c r="W13805" t="s">
        <v>44653</v>
      </c>
      <c r="X13805" t="s">
        <v>45117</v>
      </c>
    </row>
    <row r="13806" spans="1:24">
      <c r="A13806">
        <f>HYPERLINK("https://www.philgeps.gov.ph/GEPSNONPILOT/Tender/SplashBidNoticeAbstractUI.aspx?menuIndex=3&amp;refID=7012177&amp;Result=3","7012177")</f>
        <v>0</v>
      </c>
      <c r="B13806" t="s">
        <v>743</v>
      </c>
      <c r="C13806" t="s">
        <v>16406</v>
      </c>
      <c r="D13806" t="s">
        <v>18099</v>
      </c>
      <c r="E13806" t="s">
        <v>30080</v>
      </c>
      <c r="F13806" t="s">
        <v>31574</v>
      </c>
      <c r="G13806" t="s">
        <v>31588</v>
      </c>
      <c r="H13806" t="s">
        <v>31591</v>
      </c>
      <c r="I13806" t="s">
        <v>8822</v>
      </c>
      <c r="J13806" t="s">
        <v>40215</v>
      </c>
      <c r="K13806" t="s">
        <v>41338</v>
      </c>
      <c r="M13806" t="s">
        <v>44905</v>
      </c>
      <c r="N13806" t="s">
        <v>45095</v>
      </c>
      <c r="O13806" t="s">
        <v>45096</v>
      </c>
      <c r="P13806">
        <v>0</v>
      </c>
      <c r="Q13806">
        <v>0</v>
      </c>
      <c r="R13806" t="s">
        <v>45116</v>
      </c>
      <c r="S13806" t="s">
        <v>45923</v>
      </c>
      <c r="T13806" t="s">
        <v>47159</v>
      </c>
      <c r="U13806" t="s">
        <v>49049</v>
      </c>
      <c r="V13806" t="s">
        <v>61378</v>
      </c>
      <c r="W13806" t="s">
        <v>44905</v>
      </c>
      <c r="X13806" t="s">
        <v>45117</v>
      </c>
    </row>
    <row r="13807" spans="1:24">
      <c r="A13807">
        <f>HYPERLINK("https://www.philgeps.gov.ph/GEPSNONPILOT/Tender/SplashBidNoticeAbstractUI.aspx?menuIndex=3&amp;refID=7012211&amp;Result=3","7012211")</f>
        <v>0</v>
      </c>
      <c r="B13807" t="s">
        <v>1503</v>
      </c>
      <c r="C13807" t="s">
        <v>16407</v>
      </c>
      <c r="D13807" t="s">
        <v>18030</v>
      </c>
      <c r="E13807" t="s">
        <v>30081</v>
      </c>
      <c r="F13807" t="s">
        <v>31574</v>
      </c>
      <c r="G13807" t="s">
        <v>31582</v>
      </c>
      <c r="H13807" t="s">
        <v>31591</v>
      </c>
      <c r="I13807" t="s">
        <v>8822</v>
      </c>
      <c r="J13807" t="s">
        <v>40216</v>
      </c>
      <c r="K13807" t="s">
        <v>41235</v>
      </c>
      <c r="M13807" t="s">
        <v>43224</v>
      </c>
      <c r="N13807" t="s">
        <v>45095</v>
      </c>
      <c r="O13807" t="s">
        <v>45096</v>
      </c>
      <c r="P13807">
        <v>0</v>
      </c>
      <c r="Q13807">
        <v>25</v>
      </c>
      <c r="R13807" t="s">
        <v>45116</v>
      </c>
      <c r="S13807" t="s">
        <v>45923</v>
      </c>
      <c r="T13807" t="s">
        <v>47050</v>
      </c>
      <c r="U13807" t="s">
        <v>51540</v>
      </c>
      <c r="V13807" t="s">
        <v>60368</v>
      </c>
      <c r="W13807" t="s">
        <v>43224</v>
      </c>
      <c r="X13807" t="s">
        <v>45117</v>
      </c>
    </row>
    <row r="13808" spans="1:24">
      <c r="A13808">
        <f>HYPERLINK("https://www.philgeps.gov.ph/GEPSNONPILOT/Tender/SplashBidNoticeAbstractUI.aspx?menuIndex=3&amp;refID=7012174&amp;Result=3","7012174")</f>
        <v>0</v>
      </c>
      <c r="B13808" t="s">
        <v>62</v>
      </c>
      <c r="C13808" t="s">
        <v>16408</v>
      </c>
      <c r="D13808" t="s">
        <v>18037</v>
      </c>
      <c r="E13808" t="s">
        <v>30082</v>
      </c>
      <c r="F13808" t="s">
        <v>31574</v>
      </c>
      <c r="G13808" t="s">
        <v>31582</v>
      </c>
      <c r="H13808" t="s">
        <v>31590</v>
      </c>
      <c r="I13808" t="s">
        <v>31608</v>
      </c>
      <c r="J13808" t="s">
        <v>40217</v>
      </c>
      <c r="K13808" t="s">
        <v>41184</v>
      </c>
      <c r="L13808" t="s">
        <v>62</v>
      </c>
      <c r="M13808" t="s">
        <v>41546</v>
      </c>
      <c r="N13808" t="s">
        <v>45095</v>
      </c>
      <c r="O13808" t="s">
        <v>45096</v>
      </c>
      <c r="Q13808">
        <v>14</v>
      </c>
      <c r="R13808" t="s">
        <v>45116</v>
      </c>
      <c r="S13808" t="s">
        <v>45957</v>
      </c>
      <c r="T13808" t="s">
        <v>47183</v>
      </c>
      <c r="U13808" t="s">
        <v>58613</v>
      </c>
      <c r="W13808" t="s">
        <v>41546</v>
      </c>
      <c r="X13808" t="s">
        <v>45117</v>
      </c>
    </row>
    <row r="13809" spans="1:24">
      <c r="A13809">
        <f>HYPERLINK("https://www.philgeps.gov.ph/GEPSNONPILOT/Tender/SplashBidNoticeAbstractUI.aspx?menuIndex=3&amp;refID=7012150&amp;Result=3","7012150")</f>
        <v>0</v>
      </c>
      <c r="B13809" t="s">
        <v>1503</v>
      </c>
      <c r="C13809" t="s">
        <v>16409</v>
      </c>
      <c r="D13809" t="s">
        <v>18030</v>
      </c>
      <c r="E13809" t="s">
        <v>30083</v>
      </c>
      <c r="F13809" t="s">
        <v>31574</v>
      </c>
      <c r="G13809" t="s">
        <v>31582</v>
      </c>
      <c r="H13809" t="s">
        <v>31591</v>
      </c>
      <c r="I13809" t="s">
        <v>8822</v>
      </c>
      <c r="J13809" t="s">
        <v>40218</v>
      </c>
      <c r="K13809" t="s">
        <v>41198</v>
      </c>
      <c r="M13809" t="s">
        <v>43224</v>
      </c>
      <c r="N13809" t="s">
        <v>45095</v>
      </c>
      <c r="O13809" t="s">
        <v>45096</v>
      </c>
      <c r="P13809">
        <v>0</v>
      </c>
      <c r="Q13809">
        <v>32</v>
      </c>
      <c r="R13809" t="s">
        <v>45116</v>
      </c>
      <c r="S13809" t="s">
        <v>45923</v>
      </c>
      <c r="T13809" t="s">
        <v>47050</v>
      </c>
      <c r="U13809" t="s">
        <v>51531</v>
      </c>
      <c r="V13809" t="s">
        <v>60368</v>
      </c>
      <c r="W13809" t="s">
        <v>43224</v>
      </c>
      <c r="X13809" t="s">
        <v>45117</v>
      </c>
    </row>
    <row r="13810" spans="1:24">
      <c r="A13810">
        <f>HYPERLINK("https://www.philgeps.gov.ph/GEPSNONPILOT/Tender/SplashBidNoticeAbstractUI.aspx?menuIndex=3&amp;refID=7010105&amp;Result=3","7010105")</f>
        <v>0</v>
      </c>
      <c r="B13810" t="s">
        <v>3055</v>
      </c>
      <c r="C13810" t="s">
        <v>16410</v>
      </c>
      <c r="D13810" t="s">
        <v>18026</v>
      </c>
      <c r="E13810" t="s">
        <v>30084</v>
      </c>
      <c r="F13810" t="s">
        <v>31574</v>
      </c>
      <c r="G13810" t="s">
        <v>31582</v>
      </c>
      <c r="H13810" t="s">
        <v>31590</v>
      </c>
      <c r="I13810" t="s">
        <v>31621</v>
      </c>
      <c r="J13810" t="s">
        <v>40219</v>
      </c>
      <c r="K13810" t="s">
        <v>41193</v>
      </c>
      <c r="M13810" t="s">
        <v>44893</v>
      </c>
      <c r="N13810" t="s">
        <v>45095</v>
      </c>
      <c r="O13810" t="s">
        <v>45096</v>
      </c>
      <c r="P13810">
        <v>0</v>
      </c>
      <c r="Q13810">
        <v>2</v>
      </c>
      <c r="R13810" t="s">
        <v>45116</v>
      </c>
      <c r="S13810" t="s">
        <v>45923</v>
      </c>
      <c r="T13810" t="s">
        <v>47077</v>
      </c>
      <c r="U13810" t="s">
        <v>58614</v>
      </c>
      <c r="V13810" t="s">
        <v>61379</v>
      </c>
      <c r="W13810" t="s">
        <v>44893</v>
      </c>
      <c r="X13810" t="s">
        <v>45118</v>
      </c>
    </row>
    <row r="13811" spans="1:24">
      <c r="A13811">
        <f>HYPERLINK("https://www.philgeps.gov.ph/GEPSNONPILOT/Tender/SplashBidNoticeAbstractUI.aspx?menuIndex=3&amp;refID=7012130&amp;Result=3","7012130")</f>
        <v>0</v>
      </c>
      <c r="B13811" t="s">
        <v>2557</v>
      </c>
      <c r="C13811" t="s">
        <v>16383</v>
      </c>
      <c r="D13811" t="s">
        <v>18100</v>
      </c>
      <c r="E13811" t="s">
        <v>30085</v>
      </c>
      <c r="F13811" t="s">
        <v>31574</v>
      </c>
      <c r="G13811" t="s">
        <v>31582</v>
      </c>
      <c r="H13811" t="s">
        <v>31591</v>
      </c>
      <c r="I13811" t="s">
        <v>31632</v>
      </c>
      <c r="J13811" t="s">
        <v>31935</v>
      </c>
      <c r="K13811" t="s">
        <v>41200</v>
      </c>
      <c r="M13811" t="s">
        <v>44296</v>
      </c>
      <c r="N13811" t="s">
        <v>45095</v>
      </c>
      <c r="O13811" t="s">
        <v>45096</v>
      </c>
      <c r="P13811">
        <v>0</v>
      </c>
      <c r="Q13811">
        <v>15</v>
      </c>
      <c r="R13811" t="s">
        <v>45116</v>
      </c>
      <c r="S13811" t="s">
        <v>45923</v>
      </c>
      <c r="T13811" t="s">
        <v>47188</v>
      </c>
      <c r="U13811" t="s">
        <v>58615</v>
      </c>
      <c r="W13811" t="s">
        <v>44296</v>
      </c>
      <c r="X13811" t="s">
        <v>45117</v>
      </c>
    </row>
    <row r="13812" spans="1:24">
      <c r="A13812">
        <f>HYPERLINK("https://www.philgeps.gov.ph/GEPSNONPILOT/Tender/SplashBidNoticeAbstractUI.aspx?menuIndex=3&amp;refID=7012121&amp;Result=3","7012121")</f>
        <v>0</v>
      </c>
      <c r="B13812" t="s">
        <v>743</v>
      </c>
      <c r="C13812" t="s">
        <v>16411</v>
      </c>
      <c r="D13812" t="s">
        <v>18099</v>
      </c>
      <c r="E13812" t="s">
        <v>30086</v>
      </c>
      <c r="F13812" t="s">
        <v>31574</v>
      </c>
      <c r="G13812" t="s">
        <v>31588</v>
      </c>
      <c r="H13812" t="s">
        <v>31591</v>
      </c>
      <c r="I13812" t="s">
        <v>8822</v>
      </c>
      <c r="J13812" t="s">
        <v>40220</v>
      </c>
      <c r="K13812" t="s">
        <v>41337</v>
      </c>
      <c r="M13812" t="s">
        <v>42255</v>
      </c>
      <c r="N13812" t="s">
        <v>45095</v>
      </c>
      <c r="O13812" t="s">
        <v>45096</v>
      </c>
      <c r="P13812">
        <v>0</v>
      </c>
      <c r="Q13812">
        <v>0</v>
      </c>
      <c r="R13812" t="s">
        <v>45116</v>
      </c>
      <c r="S13812" t="s">
        <v>45923</v>
      </c>
      <c r="T13812" t="s">
        <v>47159</v>
      </c>
      <c r="U13812" t="s">
        <v>49049</v>
      </c>
      <c r="V13812" t="s">
        <v>61376</v>
      </c>
      <c r="W13812" t="s">
        <v>44899</v>
      </c>
      <c r="X13812" t="s">
        <v>45117</v>
      </c>
    </row>
    <row r="13813" spans="1:24">
      <c r="A13813">
        <f>HYPERLINK("https://www.philgeps.gov.ph/GEPSNONPILOT/Tender/SplashBidNoticeAbstractUI.aspx?menuIndex=3&amp;refID=7011999&amp;Result=3","7011999")</f>
        <v>0</v>
      </c>
      <c r="B13813" t="s">
        <v>1784</v>
      </c>
      <c r="C13813" t="s">
        <v>16412</v>
      </c>
      <c r="D13813" t="s">
        <v>18090</v>
      </c>
      <c r="E13813" t="s">
        <v>30087</v>
      </c>
      <c r="F13813" t="s">
        <v>31574</v>
      </c>
      <c r="G13813" t="s">
        <v>31582</v>
      </c>
      <c r="H13813" t="s">
        <v>31590</v>
      </c>
      <c r="I13813" t="s">
        <v>7185</v>
      </c>
      <c r="J13813" t="s">
        <v>31730</v>
      </c>
      <c r="K13813" t="s">
        <v>41196</v>
      </c>
      <c r="M13813" t="s">
        <v>43414</v>
      </c>
      <c r="N13813" t="s">
        <v>45095</v>
      </c>
      <c r="O13813" t="s">
        <v>45096</v>
      </c>
      <c r="P13813">
        <v>0</v>
      </c>
      <c r="Q13813">
        <v>7</v>
      </c>
      <c r="R13813" t="s">
        <v>45116</v>
      </c>
      <c r="S13813" t="s">
        <v>45923</v>
      </c>
      <c r="T13813" t="s">
        <v>46932</v>
      </c>
      <c r="U13813" t="s">
        <v>58616</v>
      </c>
      <c r="W13813" t="s">
        <v>43414</v>
      </c>
      <c r="X13813" t="s">
        <v>45117</v>
      </c>
    </row>
    <row r="13814" spans="1:24">
      <c r="A13814">
        <f>HYPERLINK("https://www.philgeps.gov.ph/GEPSNONPILOT/Tender/SplashBidNoticeAbstractUI.aspx?menuIndex=3&amp;refID=7012135&amp;Result=3","7012135")</f>
        <v>0</v>
      </c>
      <c r="B13814" t="s">
        <v>1669</v>
      </c>
      <c r="C13814" t="s">
        <v>16413</v>
      </c>
      <c r="D13814" t="s">
        <v>18031</v>
      </c>
      <c r="E13814" t="s">
        <v>30088</v>
      </c>
      <c r="F13814" t="s">
        <v>31574</v>
      </c>
      <c r="G13814" t="s">
        <v>31582</v>
      </c>
      <c r="H13814" t="s">
        <v>31591</v>
      </c>
      <c r="I13814" t="s">
        <v>8822</v>
      </c>
      <c r="J13814" t="s">
        <v>40221</v>
      </c>
      <c r="K13814" t="s">
        <v>41184</v>
      </c>
      <c r="M13814" t="s">
        <v>44901</v>
      </c>
      <c r="N13814" t="s">
        <v>45095</v>
      </c>
      <c r="O13814" t="s">
        <v>45096</v>
      </c>
      <c r="P13814">
        <v>0</v>
      </c>
      <c r="Q13814">
        <v>54</v>
      </c>
      <c r="R13814" t="s">
        <v>45116</v>
      </c>
      <c r="S13814" t="s">
        <v>45923</v>
      </c>
      <c r="T13814" t="s">
        <v>47159</v>
      </c>
      <c r="U13814" t="s">
        <v>58617</v>
      </c>
      <c r="W13814" t="s">
        <v>44901</v>
      </c>
      <c r="X13814" t="s">
        <v>45117</v>
      </c>
    </row>
    <row r="13815" spans="1:24">
      <c r="A13815">
        <f>HYPERLINK("https://www.philgeps.gov.ph/GEPSNONPILOT/Tender/SplashBidNoticeAbstractUI.aspx?menuIndex=3&amp;refID=7012104&amp;Result=3","7012104")</f>
        <v>0</v>
      </c>
      <c r="B13815" t="s">
        <v>3061</v>
      </c>
      <c r="C13815" t="s">
        <v>16414</v>
      </c>
      <c r="D13815" t="s">
        <v>18101</v>
      </c>
      <c r="E13815" t="s">
        <v>30089</v>
      </c>
      <c r="F13815" t="s">
        <v>31574</v>
      </c>
      <c r="G13815" t="s">
        <v>31582</v>
      </c>
      <c r="H13815" t="s">
        <v>31590</v>
      </c>
      <c r="I13815" t="s">
        <v>31708</v>
      </c>
      <c r="J13815" t="s">
        <v>34485</v>
      </c>
      <c r="K13815" t="s">
        <v>41186</v>
      </c>
      <c r="M13815" t="s">
        <v>44900</v>
      </c>
      <c r="N13815" t="s">
        <v>45095</v>
      </c>
      <c r="O13815" t="s">
        <v>45096</v>
      </c>
      <c r="P13815">
        <v>0</v>
      </c>
      <c r="Q13815">
        <v>1</v>
      </c>
      <c r="R13815" t="s">
        <v>45116</v>
      </c>
      <c r="S13815" t="s">
        <v>45923</v>
      </c>
      <c r="T13815" t="s">
        <v>46977</v>
      </c>
      <c r="U13815" t="s">
        <v>58618</v>
      </c>
      <c r="W13815" t="s">
        <v>44900</v>
      </c>
      <c r="X13815" t="s">
        <v>45117</v>
      </c>
    </row>
    <row r="13816" spans="1:24">
      <c r="A13816">
        <f>HYPERLINK("https://www.philgeps.gov.ph/GEPSNONPILOT/Tender/SplashBidNoticeAbstractUI.aspx?menuIndex=3&amp;refID=7012119&amp;Result=3","7012119")</f>
        <v>0</v>
      </c>
      <c r="B13816" t="s">
        <v>1503</v>
      </c>
      <c r="C13816" t="s">
        <v>16415</v>
      </c>
      <c r="D13816" t="s">
        <v>18030</v>
      </c>
      <c r="E13816" t="s">
        <v>30090</v>
      </c>
      <c r="F13816" t="s">
        <v>31574</v>
      </c>
      <c r="G13816" t="s">
        <v>31582</v>
      </c>
      <c r="H13816" t="s">
        <v>31591</v>
      </c>
      <c r="I13816" t="s">
        <v>8822</v>
      </c>
      <c r="J13816" t="s">
        <v>40222</v>
      </c>
      <c r="K13816" t="s">
        <v>41222</v>
      </c>
      <c r="M13816" t="s">
        <v>43224</v>
      </c>
      <c r="N13816" t="s">
        <v>45095</v>
      </c>
      <c r="O13816" t="s">
        <v>45096</v>
      </c>
      <c r="P13816">
        <v>0</v>
      </c>
      <c r="Q13816">
        <v>33</v>
      </c>
      <c r="R13816" t="s">
        <v>45116</v>
      </c>
      <c r="S13816" t="s">
        <v>45923</v>
      </c>
      <c r="T13816" t="s">
        <v>47050</v>
      </c>
      <c r="U13816" t="s">
        <v>51536</v>
      </c>
      <c r="V13816" t="s">
        <v>61380</v>
      </c>
      <c r="W13816" t="s">
        <v>43224</v>
      </c>
      <c r="X13816" t="s">
        <v>45117</v>
      </c>
    </row>
    <row r="13817" spans="1:24">
      <c r="A13817">
        <f>HYPERLINK("https://www.philgeps.gov.ph/GEPSNONPILOT/Tender/SplashBidNoticeAbstractUI.aspx?menuIndex=3&amp;refID=7012106&amp;Result=3","7012106")</f>
        <v>0</v>
      </c>
      <c r="B13817" t="s">
        <v>67</v>
      </c>
      <c r="C13817" t="s">
        <v>16416</v>
      </c>
      <c r="D13817" t="s">
        <v>18027</v>
      </c>
      <c r="E13817" t="s">
        <v>30091</v>
      </c>
      <c r="F13817" t="s">
        <v>31574</v>
      </c>
      <c r="G13817" t="s">
        <v>31582</v>
      </c>
      <c r="H13817" t="s">
        <v>31591</v>
      </c>
      <c r="I13817" t="s">
        <v>8822</v>
      </c>
      <c r="J13817" t="s">
        <v>40223</v>
      </c>
      <c r="K13817" t="s">
        <v>41189</v>
      </c>
      <c r="M13817" t="s">
        <v>42902</v>
      </c>
      <c r="N13817" t="s">
        <v>45095</v>
      </c>
      <c r="O13817" t="s">
        <v>45096</v>
      </c>
      <c r="P13817">
        <v>0</v>
      </c>
      <c r="Q13817">
        <v>2</v>
      </c>
      <c r="R13817" t="s">
        <v>45116</v>
      </c>
      <c r="S13817" t="s">
        <v>45923</v>
      </c>
      <c r="T13817" t="s">
        <v>46945</v>
      </c>
      <c r="U13817" t="s">
        <v>58619</v>
      </c>
      <c r="W13817" t="s">
        <v>42902</v>
      </c>
      <c r="X13817" t="s">
        <v>45117</v>
      </c>
    </row>
    <row r="13818" spans="1:24">
      <c r="A13818">
        <f>HYPERLINK("https://www.philgeps.gov.ph/GEPSNONPILOT/Tender/SplashBidNoticeAbstractUI.aspx?menuIndex=3&amp;refID=7012132&amp;Result=3","7012132")</f>
        <v>0</v>
      </c>
      <c r="B13818" t="s">
        <v>3064</v>
      </c>
      <c r="C13818" t="s">
        <v>16417</v>
      </c>
      <c r="D13818" t="s">
        <v>18056</v>
      </c>
      <c r="E13818" t="s">
        <v>30092</v>
      </c>
      <c r="F13818" t="s">
        <v>31574</v>
      </c>
      <c r="G13818" t="s">
        <v>31582</v>
      </c>
      <c r="H13818" t="s">
        <v>31591</v>
      </c>
      <c r="I13818" t="s">
        <v>8822</v>
      </c>
      <c r="J13818" t="s">
        <v>40224</v>
      </c>
      <c r="K13818" t="s">
        <v>41189</v>
      </c>
      <c r="M13818" t="s">
        <v>44906</v>
      </c>
      <c r="N13818" t="s">
        <v>45095</v>
      </c>
      <c r="O13818" t="s">
        <v>45096</v>
      </c>
      <c r="P13818">
        <v>0</v>
      </c>
      <c r="Q13818">
        <v>12</v>
      </c>
      <c r="R13818" t="s">
        <v>45116</v>
      </c>
      <c r="S13818" t="s">
        <v>45923</v>
      </c>
      <c r="T13818" t="s">
        <v>47154</v>
      </c>
      <c r="U13818" t="s">
        <v>58620</v>
      </c>
      <c r="W13818" t="s">
        <v>44906</v>
      </c>
      <c r="X13818" t="s">
        <v>45117</v>
      </c>
    </row>
    <row r="13819" spans="1:24">
      <c r="A13819">
        <f>HYPERLINK("https://www.philgeps.gov.ph/GEPSNONPILOT/Tender/SplashBidNoticeAbstractUI.aspx?menuIndex=3&amp;refID=7012105&amp;Result=3","7012105")</f>
        <v>0</v>
      </c>
      <c r="B13819" t="s">
        <v>1669</v>
      </c>
      <c r="C13819" t="s">
        <v>16418</v>
      </c>
      <c r="D13819" t="s">
        <v>18031</v>
      </c>
      <c r="E13819" t="s">
        <v>30093</v>
      </c>
      <c r="F13819" t="s">
        <v>31574</v>
      </c>
      <c r="G13819" t="s">
        <v>31582</v>
      </c>
      <c r="H13819" t="s">
        <v>31591</v>
      </c>
      <c r="I13819" t="s">
        <v>8822</v>
      </c>
      <c r="J13819" t="s">
        <v>40225</v>
      </c>
      <c r="K13819" t="s">
        <v>41184</v>
      </c>
      <c r="M13819" t="s">
        <v>44901</v>
      </c>
      <c r="N13819" t="s">
        <v>45095</v>
      </c>
      <c r="O13819" t="s">
        <v>45096</v>
      </c>
      <c r="P13819">
        <v>0</v>
      </c>
      <c r="Q13819">
        <v>68</v>
      </c>
      <c r="R13819" t="s">
        <v>45116</v>
      </c>
      <c r="S13819" t="s">
        <v>45923</v>
      </c>
      <c r="T13819" t="s">
        <v>47159</v>
      </c>
      <c r="U13819" t="s">
        <v>58621</v>
      </c>
      <c r="W13819" t="s">
        <v>44901</v>
      </c>
      <c r="X13819" t="s">
        <v>45117</v>
      </c>
    </row>
    <row r="13820" spans="1:24">
      <c r="A13820">
        <f>HYPERLINK("https://www.philgeps.gov.ph/GEPSNONPILOT/Tender/SplashBidNoticeAbstractUI.aspx?menuIndex=3&amp;refID=7012116&amp;Result=3","7012116")</f>
        <v>0</v>
      </c>
      <c r="B13820" t="s">
        <v>1700</v>
      </c>
      <c r="C13820" t="s">
        <v>16419</v>
      </c>
      <c r="D13820" t="s">
        <v>18052</v>
      </c>
      <c r="E13820" t="s">
        <v>30094</v>
      </c>
      <c r="F13820" t="s">
        <v>31574</v>
      </c>
      <c r="G13820" t="s">
        <v>31585</v>
      </c>
      <c r="H13820" t="s">
        <v>31590</v>
      </c>
      <c r="I13820" t="s">
        <v>3487</v>
      </c>
      <c r="J13820" t="s">
        <v>40226</v>
      </c>
      <c r="K13820" t="s">
        <v>41186</v>
      </c>
      <c r="M13820" t="s">
        <v>43314</v>
      </c>
      <c r="N13820" t="s">
        <v>45095</v>
      </c>
      <c r="O13820" t="s">
        <v>45096</v>
      </c>
      <c r="P13820">
        <v>0</v>
      </c>
      <c r="Q13820">
        <v>3</v>
      </c>
      <c r="R13820" t="s">
        <v>45116</v>
      </c>
      <c r="S13820" t="s">
        <v>45923</v>
      </c>
      <c r="T13820" t="s">
        <v>47058</v>
      </c>
      <c r="U13820" t="s">
        <v>51769</v>
      </c>
      <c r="V13820" t="s">
        <v>60391</v>
      </c>
      <c r="W13820" t="s">
        <v>43314</v>
      </c>
      <c r="X13820" t="s">
        <v>45117</v>
      </c>
    </row>
    <row r="13821" spans="1:24">
      <c r="A13821">
        <f>HYPERLINK("https://www.philgeps.gov.ph/GEPSNONPILOT/Tender/SplashBidNoticeAbstractUI.aspx?menuIndex=3&amp;refID=7012388&amp;Result=3","7012388")</f>
        <v>0</v>
      </c>
      <c r="B13821" t="s">
        <v>222</v>
      </c>
      <c r="C13821" t="s">
        <v>16420</v>
      </c>
      <c r="D13821" t="s">
        <v>18033</v>
      </c>
      <c r="E13821" t="s">
        <v>30095</v>
      </c>
      <c r="F13821" t="s">
        <v>31574</v>
      </c>
      <c r="G13821" t="s">
        <v>31582</v>
      </c>
      <c r="H13821" t="s">
        <v>31591</v>
      </c>
      <c r="I13821" t="s">
        <v>4046</v>
      </c>
      <c r="J13821" t="s">
        <v>40212</v>
      </c>
      <c r="K13821" t="s">
        <v>41189</v>
      </c>
      <c r="M13821" t="s">
        <v>41707</v>
      </c>
      <c r="N13821" t="s">
        <v>45095</v>
      </c>
      <c r="O13821" t="s">
        <v>45096</v>
      </c>
      <c r="P13821">
        <v>0</v>
      </c>
      <c r="Q13821">
        <v>10</v>
      </c>
      <c r="R13821" t="s">
        <v>45116</v>
      </c>
      <c r="S13821" t="s">
        <v>45923</v>
      </c>
      <c r="T13821" t="s">
        <v>47076</v>
      </c>
      <c r="U13821" t="s">
        <v>58622</v>
      </c>
      <c r="W13821" t="s">
        <v>41707</v>
      </c>
      <c r="X13821" t="s">
        <v>45117</v>
      </c>
    </row>
    <row r="13822" spans="1:24">
      <c r="A13822">
        <f>HYPERLINK("https://www.philgeps.gov.ph/GEPSNONPILOT/Tender/SplashBidNoticeAbstractUI.aspx?menuIndex=3&amp;refID=7012358&amp;Result=3","7012358")</f>
        <v>0</v>
      </c>
      <c r="B13822" t="s">
        <v>1784</v>
      </c>
      <c r="C13822" t="s">
        <v>16421</v>
      </c>
      <c r="D13822" t="s">
        <v>18090</v>
      </c>
      <c r="E13822" t="s">
        <v>30096</v>
      </c>
      <c r="F13822" t="s">
        <v>31574</v>
      </c>
      <c r="G13822" t="s">
        <v>31582</v>
      </c>
      <c r="H13822" t="s">
        <v>31590</v>
      </c>
      <c r="I13822" t="s">
        <v>31614</v>
      </c>
      <c r="J13822" t="s">
        <v>32530</v>
      </c>
      <c r="K13822" t="s">
        <v>41189</v>
      </c>
      <c r="M13822" t="s">
        <v>43414</v>
      </c>
      <c r="N13822" t="s">
        <v>45095</v>
      </c>
      <c r="O13822" t="s">
        <v>45096</v>
      </c>
      <c r="P13822">
        <v>0</v>
      </c>
      <c r="Q13822">
        <v>2</v>
      </c>
      <c r="R13822" t="s">
        <v>45116</v>
      </c>
      <c r="S13822" t="s">
        <v>45923</v>
      </c>
      <c r="T13822" t="s">
        <v>46932</v>
      </c>
      <c r="U13822" t="s">
        <v>58623</v>
      </c>
      <c r="W13822" t="s">
        <v>43414</v>
      </c>
      <c r="X13822" t="s">
        <v>45117</v>
      </c>
    </row>
    <row r="13823" spans="1:24">
      <c r="A13823">
        <f>HYPERLINK("https://www.philgeps.gov.ph/GEPSNONPILOT/Tender/SplashBidNoticeAbstractUI.aspx?menuIndex=3&amp;refID=7012299&amp;Result=3","7012299")</f>
        <v>0</v>
      </c>
      <c r="B13823" t="s">
        <v>62</v>
      </c>
      <c r="C13823" t="s">
        <v>16422</v>
      </c>
      <c r="D13823" t="s">
        <v>18037</v>
      </c>
      <c r="E13823" t="s">
        <v>30097</v>
      </c>
      <c r="F13823" t="s">
        <v>31574</v>
      </c>
      <c r="G13823" t="s">
        <v>31582</v>
      </c>
      <c r="H13823" t="s">
        <v>31590</v>
      </c>
      <c r="I13823" t="s">
        <v>31602</v>
      </c>
      <c r="J13823" t="s">
        <v>40227</v>
      </c>
      <c r="K13823" t="s">
        <v>41184</v>
      </c>
      <c r="L13823" t="s">
        <v>62</v>
      </c>
      <c r="M13823" t="s">
        <v>41546</v>
      </c>
      <c r="N13823" t="s">
        <v>45095</v>
      </c>
      <c r="O13823" t="s">
        <v>45096</v>
      </c>
      <c r="Q13823">
        <v>1</v>
      </c>
      <c r="R13823" t="s">
        <v>45116</v>
      </c>
      <c r="S13823" t="s">
        <v>45958</v>
      </c>
      <c r="T13823" t="s">
        <v>47183</v>
      </c>
      <c r="U13823" t="s">
        <v>58624</v>
      </c>
      <c r="W13823" t="s">
        <v>41546</v>
      </c>
      <c r="X13823" t="s">
        <v>45117</v>
      </c>
    </row>
    <row r="13824" spans="1:24">
      <c r="A13824">
        <f>HYPERLINK("https://www.philgeps.gov.ph/GEPSNONPILOT/Tender/SplashBidNoticeAbstractUI.aspx?menuIndex=3&amp;refID=7012375&amp;Result=3","7012375")</f>
        <v>0</v>
      </c>
      <c r="B13824" t="s">
        <v>62</v>
      </c>
      <c r="C13824" t="s">
        <v>16423</v>
      </c>
      <c r="D13824" t="s">
        <v>18037</v>
      </c>
      <c r="E13824" t="s">
        <v>30098</v>
      </c>
      <c r="F13824" t="s">
        <v>31574</v>
      </c>
      <c r="G13824" t="s">
        <v>31582</v>
      </c>
      <c r="H13824" t="s">
        <v>31590</v>
      </c>
      <c r="I13824" t="s">
        <v>31691</v>
      </c>
      <c r="J13824" t="s">
        <v>32101</v>
      </c>
      <c r="K13824" t="s">
        <v>41184</v>
      </c>
      <c r="L13824" t="s">
        <v>62</v>
      </c>
      <c r="M13824" t="s">
        <v>41546</v>
      </c>
      <c r="N13824" t="s">
        <v>45095</v>
      </c>
      <c r="O13824" t="s">
        <v>45096</v>
      </c>
      <c r="Q13824">
        <v>3</v>
      </c>
      <c r="R13824" t="s">
        <v>45116</v>
      </c>
      <c r="S13824" t="s">
        <v>45959</v>
      </c>
      <c r="T13824" t="s">
        <v>47183</v>
      </c>
      <c r="U13824" t="s">
        <v>58625</v>
      </c>
      <c r="W13824" t="s">
        <v>41546</v>
      </c>
      <c r="X13824" t="s">
        <v>45117</v>
      </c>
    </row>
    <row r="13825" spans="1:24">
      <c r="A13825">
        <f>HYPERLINK("https://www.philgeps.gov.ph/GEPSNONPILOT/Tender/SplashBidNoticeAbstractUI.aspx?menuIndex=3&amp;refID=7012489&amp;Result=3","7012489")</f>
        <v>0</v>
      </c>
      <c r="B13825" t="s">
        <v>1655</v>
      </c>
      <c r="C13825" t="s">
        <v>16424</v>
      </c>
      <c r="D13825" t="s">
        <v>18030</v>
      </c>
      <c r="E13825" t="s">
        <v>30099</v>
      </c>
      <c r="F13825" t="s">
        <v>31574</v>
      </c>
      <c r="G13825" t="s">
        <v>31582</v>
      </c>
      <c r="H13825" t="s">
        <v>31590</v>
      </c>
      <c r="I13825" t="s">
        <v>7185</v>
      </c>
      <c r="J13825" t="s">
        <v>34357</v>
      </c>
      <c r="K13825" t="s">
        <v>41191</v>
      </c>
      <c r="M13825" t="s">
        <v>44621</v>
      </c>
      <c r="N13825" t="s">
        <v>45095</v>
      </c>
      <c r="O13825" t="s">
        <v>45096</v>
      </c>
      <c r="P13825">
        <v>0</v>
      </c>
      <c r="Q13825">
        <v>18</v>
      </c>
      <c r="R13825" t="s">
        <v>45116</v>
      </c>
      <c r="S13825" t="s">
        <v>45923</v>
      </c>
      <c r="T13825" t="s">
        <v>47021</v>
      </c>
      <c r="U13825" t="s">
        <v>58626</v>
      </c>
      <c r="W13825" t="s">
        <v>44621</v>
      </c>
      <c r="X13825" t="s">
        <v>45117</v>
      </c>
    </row>
    <row r="13826" spans="1:24">
      <c r="A13826">
        <f>HYPERLINK("https://www.philgeps.gov.ph/GEPSNONPILOT/Tender/SplashBidNoticeAbstractUI.aspx?menuIndex=3&amp;refID=7012376&amp;Result=3","7012376")</f>
        <v>0</v>
      </c>
      <c r="B13826" t="s">
        <v>3065</v>
      </c>
      <c r="C13826" t="s">
        <v>16425</v>
      </c>
      <c r="D13826" t="s">
        <v>18048</v>
      </c>
      <c r="E13826" t="s">
        <v>30100</v>
      </c>
      <c r="F13826" t="s">
        <v>31574</v>
      </c>
      <c r="G13826" t="s">
        <v>31582</v>
      </c>
      <c r="H13826" t="s">
        <v>31591</v>
      </c>
      <c r="I13826" t="s">
        <v>8822</v>
      </c>
      <c r="J13826" t="s">
        <v>31962</v>
      </c>
      <c r="K13826" t="s">
        <v>41185</v>
      </c>
      <c r="M13826" t="s">
        <v>44907</v>
      </c>
      <c r="N13826" t="s">
        <v>45095</v>
      </c>
      <c r="O13826" t="s">
        <v>45096</v>
      </c>
      <c r="P13826">
        <v>0</v>
      </c>
      <c r="Q13826">
        <v>0</v>
      </c>
      <c r="R13826" t="s">
        <v>45116</v>
      </c>
      <c r="S13826" t="s">
        <v>45923</v>
      </c>
      <c r="T13826" t="s">
        <v>47164</v>
      </c>
      <c r="U13826" t="s">
        <v>58627</v>
      </c>
      <c r="W13826" t="s">
        <v>44907</v>
      </c>
      <c r="X13826" t="s">
        <v>45117</v>
      </c>
    </row>
    <row r="13827" spans="1:24">
      <c r="A13827">
        <f>HYPERLINK("https://www.philgeps.gov.ph/GEPSNONPILOT/Tender/SplashBidNoticeAbstractUI.aspx?menuIndex=3&amp;refID=7012447&amp;Result=3","7012447")</f>
        <v>0</v>
      </c>
      <c r="B13827" t="s">
        <v>1544</v>
      </c>
      <c r="C13827" t="s">
        <v>16426</v>
      </c>
      <c r="D13827" t="s">
        <v>18075</v>
      </c>
      <c r="E13827" t="s">
        <v>30101</v>
      </c>
      <c r="F13827" t="s">
        <v>31574</v>
      </c>
      <c r="G13827" t="s">
        <v>31582</v>
      </c>
      <c r="H13827" t="s">
        <v>31590</v>
      </c>
      <c r="I13827" t="s">
        <v>31661</v>
      </c>
      <c r="J13827" t="s">
        <v>38069</v>
      </c>
      <c r="K13827" t="s">
        <v>41186</v>
      </c>
      <c r="M13827" t="s">
        <v>43139</v>
      </c>
      <c r="N13827" t="s">
        <v>45095</v>
      </c>
      <c r="O13827" t="s">
        <v>45096</v>
      </c>
      <c r="Q13827">
        <v>5</v>
      </c>
      <c r="R13827" t="s">
        <v>45116</v>
      </c>
      <c r="S13827" t="s">
        <v>45960</v>
      </c>
      <c r="T13827" t="s">
        <v>47067</v>
      </c>
      <c r="U13827" t="s">
        <v>58628</v>
      </c>
      <c r="W13827" t="s">
        <v>43139</v>
      </c>
      <c r="X13827" t="s">
        <v>45117</v>
      </c>
    </row>
    <row r="13828" spans="1:24">
      <c r="A13828">
        <f>HYPERLINK("https://www.philgeps.gov.ph/GEPSNONPILOT/Tender/SplashBidNoticeAbstractUI.aspx?menuIndex=3&amp;refID=7012499&amp;Result=3","7012499")</f>
        <v>0</v>
      </c>
      <c r="B13828" t="s">
        <v>222</v>
      </c>
      <c r="C13828" t="s">
        <v>16427</v>
      </c>
      <c r="D13828" t="s">
        <v>18033</v>
      </c>
      <c r="E13828" t="s">
        <v>30102</v>
      </c>
      <c r="F13828" t="s">
        <v>31574</v>
      </c>
      <c r="G13828" t="s">
        <v>31582</v>
      </c>
      <c r="H13828" t="s">
        <v>31591</v>
      </c>
      <c r="I13828" t="s">
        <v>4046</v>
      </c>
      <c r="J13828" t="s">
        <v>40212</v>
      </c>
      <c r="K13828" t="s">
        <v>41189</v>
      </c>
      <c r="M13828" t="s">
        <v>41707</v>
      </c>
      <c r="N13828" t="s">
        <v>45095</v>
      </c>
      <c r="O13828" t="s">
        <v>45096</v>
      </c>
      <c r="P13828">
        <v>0</v>
      </c>
      <c r="Q13828">
        <v>10</v>
      </c>
      <c r="R13828" t="s">
        <v>45116</v>
      </c>
      <c r="S13828" t="s">
        <v>45923</v>
      </c>
      <c r="T13828" t="s">
        <v>47076</v>
      </c>
      <c r="U13828" t="s">
        <v>58629</v>
      </c>
      <c r="W13828" t="s">
        <v>41707</v>
      </c>
      <c r="X13828" t="s">
        <v>45117</v>
      </c>
    </row>
    <row r="13829" spans="1:24">
      <c r="A13829">
        <f>HYPERLINK("https://www.philgeps.gov.ph/GEPSNONPILOT/Tender/SplashBidNoticeAbstractUI.aspx?menuIndex=3&amp;refID=7012422&amp;Result=3","7012422")</f>
        <v>0</v>
      </c>
      <c r="B13829" t="s">
        <v>639</v>
      </c>
      <c r="C13829" t="s">
        <v>16428</v>
      </c>
      <c r="D13829" t="s">
        <v>18056</v>
      </c>
      <c r="E13829" t="s">
        <v>30103</v>
      </c>
      <c r="F13829" t="s">
        <v>31574</v>
      </c>
      <c r="G13829" t="s">
        <v>31582</v>
      </c>
      <c r="H13829" t="s">
        <v>31591</v>
      </c>
      <c r="I13829" t="s">
        <v>8822</v>
      </c>
      <c r="J13829" t="s">
        <v>32550</v>
      </c>
      <c r="K13829" t="s">
        <v>41256</v>
      </c>
      <c r="M13829" t="s">
        <v>42143</v>
      </c>
      <c r="N13829" t="s">
        <v>45095</v>
      </c>
      <c r="O13829" t="s">
        <v>45096</v>
      </c>
      <c r="P13829">
        <v>0</v>
      </c>
      <c r="Q13829">
        <v>0</v>
      </c>
      <c r="R13829" t="s">
        <v>45116</v>
      </c>
      <c r="S13829" t="s">
        <v>45923</v>
      </c>
      <c r="T13829" t="s">
        <v>47050</v>
      </c>
      <c r="U13829" t="s">
        <v>58630</v>
      </c>
      <c r="W13829" t="s">
        <v>42143</v>
      </c>
      <c r="X13829" t="s">
        <v>45117</v>
      </c>
    </row>
    <row r="13830" spans="1:24">
      <c r="A13830">
        <f>HYPERLINK("https://www.philgeps.gov.ph/GEPSNONPILOT/Tender/SplashBidNoticeAbstractUI.aspx?menuIndex=3&amp;refID=7012488&amp;Result=3","7012488")</f>
        <v>0</v>
      </c>
      <c r="B13830" t="s">
        <v>290</v>
      </c>
      <c r="C13830" t="s">
        <v>16429</v>
      </c>
      <c r="D13830" t="s">
        <v>18043</v>
      </c>
      <c r="E13830" t="s">
        <v>30104</v>
      </c>
      <c r="F13830" t="s">
        <v>31574</v>
      </c>
      <c r="G13830" t="s">
        <v>31582</v>
      </c>
      <c r="H13830" t="s">
        <v>31591</v>
      </c>
      <c r="I13830" t="s">
        <v>8822</v>
      </c>
      <c r="J13830" t="s">
        <v>32458</v>
      </c>
      <c r="K13830" t="s">
        <v>41243</v>
      </c>
      <c r="M13830" t="s">
        <v>44847</v>
      </c>
      <c r="N13830" t="s">
        <v>45095</v>
      </c>
      <c r="O13830" t="s">
        <v>45096</v>
      </c>
      <c r="P13830">
        <v>0</v>
      </c>
      <c r="Q13830">
        <v>1</v>
      </c>
      <c r="R13830" t="s">
        <v>45116</v>
      </c>
      <c r="S13830" t="s">
        <v>45923</v>
      </c>
      <c r="T13830" t="s">
        <v>47171</v>
      </c>
      <c r="U13830" t="s">
        <v>58174</v>
      </c>
      <c r="W13830" t="s">
        <v>44847</v>
      </c>
      <c r="X13830" t="s">
        <v>45117</v>
      </c>
    </row>
    <row r="13831" spans="1:24">
      <c r="A13831">
        <f>HYPERLINK("https://www.philgeps.gov.ph/GEPSNONPILOT/Tender/SplashBidNoticeAbstractUI.aspx?menuIndex=3&amp;refID=7012427&amp;Result=3","7012427")</f>
        <v>0</v>
      </c>
      <c r="B13831" t="s">
        <v>1655</v>
      </c>
      <c r="C13831" t="s">
        <v>16430</v>
      </c>
      <c r="D13831" t="s">
        <v>18030</v>
      </c>
      <c r="E13831" t="s">
        <v>30105</v>
      </c>
      <c r="F13831" t="s">
        <v>31574</v>
      </c>
      <c r="G13831" t="s">
        <v>31582</v>
      </c>
      <c r="H13831" t="s">
        <v>31590</v>
      </c>
      <c r="I13831" t="s">
        <v>7185</v>
      </c>
      <c r="J13831" t="s">
        <v>31935</v>
      </c>
      <c r="K13831" t="s">
        <v>41191</v>
      </c>
      <c r="M13831" t="s">
        <v>44621</v>
      </c>
      <c r="N13831" t="s">
        <v>45095</v>
      </c>
      <c r="O13831" t="s">
        <v>45096</v>
      </c>
      <c r="P13831">
        <v>0</v>
      </c>
      <c r="Q13831">
        <v>13</v>
      </c>
      <c r="R13831" t="s">
        <v>45116</v>
      </c>
      <c r="S13831" t="s">
        <v>45923</v>
      </c>
      <c r="T13831" t="s">
        <v>47021</v>
      </c>
      <c r="U13831" t="s">
        <v>58631</v>
      </c>
      <c r="W13831" t="s">
        <v>44621</v>
      </c>
      <c r="X13831" t="s">
        <v>45117</v>
      </c>
    </row>
    <row r="13832" spans="1:24">
      <c r="A13832">
        <f>HYPERLINK("https://www.philgeps.gov.ph/GEPSNONPILOT/Tender/SplashBidNoticeAbstractUI.aspx?menuIndex=3&amp;refID=7012401&amp;Result=3","7012401")</f>
        <v>0</v>
      </c>
      <c r="B13832" t="s">
        <v>40</v>
      </c>
      <c r="C13832" t="s">
        <v>16431</v>
      </c>
      <c r="D13832" t="s">
        <v>18035</v>
      </c>
      <c r="E13832" t="s">
        <v>30106</v>
      </c>
      <c r="F13832" t="s">
        <v>31574</v>
      </c>
      <c r="G13832" t="s">
        <v>31582</v>
      </c>
      <c r="H13832" t="s">
        <v>31591</v>
      </c>
      <c r="I13832" t="s">
        <v>8822</v>
      </c>
      <c r="J13832" t="s">
        <v>40228</v>
      </c>
      <c r="K13832" t="s">
        <v>41189</v>
      </c>
      <c r="M13832" t="s">
        <v>41523</v>
      </c>
      <c r="N13832" t="s">
        <v>45095</v>
      </c>
      <c r="O13832" t="s">
        <v>45096</v>
      </c>
      <c r="P13832">
        <v>0</v>
      </c>
      <c r="Q13832">
        <v>21</v>
      </c>
      <c r="R13832" t="s">
        <v>45116</v>
      </c>
      <c r="S13832" t="s">
        <v>45923</v>
      </c>
      <c r="T13832" t="s">
        <v>47050</v>
      </c>
      <c r="U13832" t="s">
        <v>58632</v>
      </c>
      <c r="V13832" t="s">
        <v>59850</v>
      </c>
      <c r="W13832" t="s">
        <v>41523</v>
      </c>
      <c r="X13832" t="s">
        <v>45117</v>
      </c>
    </row>
    <row r="13833" spans="1:24">
      <c r="A13833">
        <f>HYPERLINK("https://www.philgeps.gov.ph/GEPSNONPILOT/Tender/SplashBidNoticeAbstractUI.aspx?menuIndex=3&amp;refID=7012455&amp;Result=3","7012455")</f>
        <v>0</v>
      </c>
      <c r="B13833" t="s">
        <v>2221</v>
      </c>
      <c r="C13833" t="s">
        <v>16432</v>
      </c>
      <c r="D13833" t="s">
        <v>18052</v>
      </c>
      <c r="E13833" t="s">
        <v>30107</v>
      </c>
      <c r="F13833" t="s">
        <v>31574</v>
      </c>
      <c r="G13833" t="s">
        <v>31582</v>
      </c>
      <c r="H13833" t="s">
        <v>31591</v>
      </c>
      <c r="I13833" t="s">
        <v>8822</v>
      </c>
      <c r="J13833" t="s">
        <v>40229</v>
      </c>
      <c r="K13833" t="s">
        <v>41243</v>
      </c>
      <c r="M13833" t="s">
        <v>44908</v>
      </c>
      <c r="N13833" t="s">
        <v>45095</v>
      </c>
      <c r="O13833" t="s">
        <v>45096</v>
      </c>
      <c r="Q13833">
        <v>4</v>
      </c>
      <c r="R13833" t="s">
        <v>45116</v>
      </c>
      <c r="S13833" t="s">
        <v>45961</v>
      </c>
      <c r="T13833" t="s">
        <v>47159</v>
      </c>
      <c r="U13833" t="s">
        <v>58633</v>
      </c>
      <c r="W13833" t="s">
        <v>44908</v>
      </c>
      <c r="X13833" t="s">
        <v>45117</v>
      </c>
    </row>
    <row r="13834" spans="1:24">
      <c r="A13834">
        <f>HYPERLINK("https://www.philgeps.gov.ph/GEPSNONPILOT/Tender/SplashBidNoticeAbstractUI.aspx?menuIndex=3&amp;refID=7012400&amp;Result=3","7012400")</f>
        <v>0</v>
      </c>
      <c r="B13834" t="s">
        <v>3065</v>
      </c>
      <c r="C13834" t="s">
        <v>16433</v>
      </c>
      <c r="D13834" t="s">
        <v>18048</v>
      </c>
      <c r="E13834" t="s">
        <v>30108</v>
      </c>
      <c r="F13834" t="s">
        <v>31574</v>
      </c>
      <c r="G13834" t="s">
        <v>31582</v>
      </c>
      <c r="H13834" t="s">
        <v>31591</v>
      </c>
      <c r="I13834" t="s">
        <v>8822</v>
      </c>
      <c r="J13834" t="s">
        <v>32381</v>
      </c>
      <c r="K13834" t="s">
        <v>41185</v>
      </c>
      <c r="M13834" t="s">
        <v>44907</v>
      </c>
      <c r="N13834" t="s">
        <v>45095</v>
      </c>
      <c r="O13834" t="s">
        <v>45096</v>
      </c>
      <c r="P13834">
        <v>0</v>
      </c>
      <c r="Q13834">
        <v>0</v>
      </c>
      <c r="R13834" t="s">
        <v>45116</v>
      </c>
      <c r="S13834" t="s">
        <v>45923</v>
      </c>
      <c r="T13834" t="s">
        <v>47164</v>
      </c>
      <c r="U13834" t="s">
        <v>58634</v>
      </c>
      <c r="W13834" t="s">
        <v>44907</v>
      </c>
      <c r="X13834" t="s">
        <v>45117</v>
      </c>
    </row>
    <row r="13835" spans="1:24">
      <c r="A13835">
        <f>HYPERLINK("https://www.philgeps.gov.ph/GEPSNONPILOT/Tender/SplashBidNoticeAbstractUI.aspx?menuIndex=3&amp;refID=7012505&amp;Result=3","7012505")</f>
        <v>0</v>
      </c>
      <c r="B13835" t="s">
        <v>2221</v>
      </c>
      <c r="C13835" t="s">
        <v>16434</v>
      </c>
      <c r="D13835" t="s">
        <v>18052</v>
      </c>
      <c r="E13835" t="s">
        <v>30109</v>
      </c>
      <c r="F13835" t="s">
        <v>31574</v>
      </c>
      <c r="G13835" t="s">
        <v>31582</v>
      </c>
      <c r="H13835" t="s">
        <v>31591</v>
      </c>
      <c r="I13835" t="s">
        <v>8822</v>
      </c>
      <c r="J13835" t="s">
        <v>35362</v>
      </c>
      <c r="K13835" t="s">
        <v>41200</v>
      </c>
      <c r="M13835" t="s">
        <v>44908</v>
      </c>
      <c r="N13835" t="s">
        <v>45095</v>
      </c>
      <c r="O13835" t="s">
        <v>45096</v>
      </c>
      <c r="Q13835">
        <v>4</v>
      </c>
      <c r="R13835" t="s">
        <v>45116</v>
      </c>
      <c r="S13835" t="s">
        <v>45962</v>
      </c>
      <c r="T13835" t="s">
        <v>47159</v>
      </c>
      <c r="U13835" t="s">
        <v>58633</v>
      </c>
      <c r="W13835" t="s">
        <v>44908</v>
      </c>
      <c r="X13835" t="s">
        <v>45117</v>
      </c>
    </row>
    <row r="13836" spans="1:24">
      <c r="A13836">
        <f>HYPERLINK("https://www.philgeps.gov.ph/GEPSNONPILOT/Tender/SplashBidNoticeAbstractUI.aspx?menuIndex=3&amp;refID=7012460&amp;Result=3","7012460")</f>
        <v>0</v>
      </c>
      <c r="B13836" t="s">
        <v>3066</v>
      </c>
      <c r="C13836" t="s">
        <v>14353</v>
      </c>
      <c r="D13836" t="s">
        <v>18046</v>
      </c>
      <c r="E13836" t="s">
        <v>30110</v>
      </c>
      <c r="F13836" t="s">
        <v>31575</v>
      </c>
      <c r="G13836" t="s">
        <v>31582</v>
      </c>
      <c r="H13836" t="s">
        <v>31590</v>
      </c>
      <c r="I13836" t="s">
        <v>31615</v>
      </c>
      <c r="J13836" t="s">
        <v>32869</v>
      </c>
      <c r="K13836" t="s">
        <v>41196</v>
      </c>
      <c r="M13836" t="s">
        <v>44909</v>
      </c>
      <c r="N13836" t="s">
        <v>45095</v>
      </c>
      <c r="O13836" t="s">
        <v>45096</v>
      </c>
      <c r="P13836">
        <v>0</v>
      </c>
      <c r="Q13836">
        <v>5</v>
      </c>
      <c r="R13836" t="s">
        <v>45116</v>
      </c>
      <c r="S13836" t="s">
        <v>45923</v>
      </c>
      <c r="T13836" t="s">
        <v>47076</v>
      </c>
      <c r="U13836" t="s">
        <v>58635</v>
      </c>
      <c r="V13836" t="s">
        <v>61381</v>
      </c>
      <c r="W13836" t="s">
        <v>44909</v>
      </c>
      <c r="X13836" t="s">
        <v>45117</v>
      </c>
    </row>
    <row r="13837" spans="1:24">
      <c r="A13837">
        <f>HYPERLINK("https://www.philgeps.gov.ph/GEPSNONPILOT/Tender/SplashBidNoticeAbstractUI.aspx?menuIndex=3&amp;refID=7012525&amp;Result=3","7012525")</f>
        <v>0</v>
      </c>
      <c r="B13837" t="s">
        <v>58</v>
      </c>
      <c r="C13837" t="s">
        <v>16435</v>
      </c>
      <c r="D13837" t="s">
        <v>18047</v>
      </c>
      <c r="E13837" t="s">
        <v>18647</v>
      </c>
      <c r="F13837" t="s">
        <v>31574</v>
      </c>
      <c r="G13837" t="s">
        <v>31582</v>
      </c>
      <c r="H13837" t="s">
        <v>31591</v>
      </c>
      <c r="I13837" t="s">
        <v>8822</v>
      </c>
      <c r="J13837" t="s">
        <v>32026</v>
      </c>
      <c r="K13837" t="s">
        <v>41203</v>
      </c>
      <c r="M13837" t="s">
        <v>41542</v>
      </c>
      <c r="N13837" t="s">
        <v>45095</v>
      </c>
      <c r="O13837" t="s">
        <v>45096</v>
      </c>
      <c r="P13837">
        <v>0</v>
      </c>
      <c r="Q13837">
        <v>0</v>
      </c>
      <c r="R13837" t="s">
        <v>45116</v>
      </c>
      <c r="S13837" t="s">
        <v>45923</v>
      </c>
      <c r="T13837" t="s">
        <v>47173</v>
      </c>
      <c r="U13837" t="s">
        <v>58636</v>
      </c>
      <c r="V13837" t="s">
        <v>59855</v>
      </c>
      <c r="W13837" t="s">
        <v>41542</v>
      </c>
      <c r="X13837" t="s">
        <v>45117</v>
      </c>
    </row>
    <row r="13838" spans="1:24">
      <c r="A13838">
        <f>HYPERLINK("https://www.philgeps.gov.ph/GEPSNONPILOT/Tender/SplashBidNoticeAbstractUI.aspx?menuIndex=3&amp;refID=7012402&amp;Result=3","7012402")</f>
        <v>0</v>
      </c>
      <c r="B13838" t="s">
        <v>1975</v>
      </c>
      <c r="C13838" t="s">
        <v>16436</v>
      </c>
      <c r="D13838" t="s">
        <v>18033</v>
      </c>
      <c r="E13838" t="s">
        <v>30111</v>
      </c>
      <c r="F13838" t="s">
        <v>31574</v>
      </c>
      <c r="G13838" t="s">
        <v>31587</v>
      </c>
      <c r="H13838" t="s">
        <v>31593</v>
      </c>
      <c r="I13838" t="s">
        <v>31593</v>
      </c>
      <c r="J13838" t="s">
        <v>40230</v>
      </c>
      <c r="K13838" t="s">
        <v>41189</v>
      </c>
      <c r="M13838" t="s">
        <v>43632</v>
      </c>
      <c r="N13838" t="s">
        <v>45095</v>
      </c>
      <c r="O13838" t="s">
        <v>45096</v>
      </c>
      <c r="P13838">
        <v>0</v>
      </c>
      <c r="Q13838">
        <v>1</v>
      </c>
      <c r="R13838" t="s">
        <v>45116</v>
      </c>
      <c r="S13838" t="s">
        <v>45923</v>
      </c>
      <c r="T13838" t="s">
        <v>47159</v>
      </c>
      <c r="U13838" t="s">
        <v>58637</v>
      </c>
      <c r="W13838" t="s">
        <v>43632</v>
      </c>
      <c r="X13838" t="s">
        <v>45117</v>
      </c>
    </row>
    <row r="13839" spans="1:24">
      <c r="A13839">
        <f>HYPERLINK("https://www.philgeps.gov.ph/GEPSNONPILOT/Tender/SplashBidNoticeAbstractUI.aspx?menuIndex=3&amp;refID=7012803&amp;Result=3","7012803")</f>
        <v>0</v>
      </c>
      <c r="B13839" t="s">
        <v>3067</v>
      </c>
      <c r="C13839" t="s">
        <v>16437</v>
      </c>
      <c r="D13839" t="s">
        <v>18049</v>
      </c>
      <c r="E13839" t="s">
        <v>25599</v>
      </c>
      <c r="F13839" t="s">
        <v>31574</v>
      </c>
      <c r="G13839" t="s">
        <v>31582</v>
      </c>
      <c r="H13839" t="s">
        <v>31591</v>
      </c>
      <c r="I13839" t="s">
        <v>8822</v>
      </c>
      <c r="J13839" t="s">
        <v>40231</v>
      </c>
      <c r="K13839" t="s">
        <v>41329</v>
      </c>
      <c r="M13839" t="s">
        <v>44910</v>
      </c>
      <c r="N13839" t="s">
        <v>45095</v>
      </c>
      <c r="O13839" t="s">
        <v>45096</v>
      </c>
      <c r="P13839">
        <v>0</v>
      </c>
      <c r="Q13839">
        <v>0</v>
      </c>
      <c r="R13839" t="s">
        <v>45116</v>
      </c>
      <c r="S13839" t="s">
        <v>45923</v>
      </c>
      <c r="T13839" t="s">
        <v>47159</v>
      </c>
      <c r="U13839" t="s">
        <v>58638</v>
      </c>
      <c r="W13839" t="s">
        <v>44910</v>
      </c>
      <c r="X13839" t="s">
        <v>45117</v>
      </c>
    </row>
    <row r="13840" spans="1:24">
      <c r="A13840">
        <f>HYPERLINK("https://www.philgeps.gov.ph/GEPSNONPILOT/Tender/SplashBidNoticeAbstractUI.aspx?menuIndex=3&amp;refID=7012546&amp;Result=3","7012546")</f>
        <v>0</v>
      </c>
      <c r="B13840" t="s">
        <v>1655</v>
      </c>
      <c r="C13840" t="s">
        <v>16438</v>
      </c>
      <c r="D13840" t="s">
        <v>18030</v>
      </c>
      <c r="E13840" t="s">
        <v>30112</v>
      </c>
      <c r="F13840" t="s">
        <v>31574</v>
      </c>
      <c r="G13840" t="s">
        <v>31582</v>
      </c>
      <c r="H13840" t="s">
        <v>31590</v>
      </c>
      <c r="I13840" t="s">
        <v>6800</v>
      </c>
      <c r="J13840" t="s">
        <v>40232</v>
      </c>
      <c r="K13840" t="s">
        <v>41191</v>
      </c>
      <c r="M13840" t="s">
        <v>44621</v>
      </c>
      <c r="N13840" t="s">
        <v>45095</v>
      </c>
      <c r="O13840" t="s">
        <v>45096</v>
      </c>
      <c r="P13840">
        <v>0</v>
      </c>
      <c r="Q13840">
        <v>6</v>
      </c>
      <c r="R13840" t="s">
        <v>45116</v>
      </c>
      <c r="S13840" t="s">
        <v>45923</v>
      </c>
      <c r="T13840" t="s">
        <v>47021</v>
      </c>
      <c r="U13840" t="s">
        <v>58639</v>
      </c>
      <c r="W13840" t="s">
        <v>44621</v>
      </c>
      <c r="X13840" t="s">
        <v>45117</v>
      </c>
    </row>
    <row r="13841" spans="1:24">
      <c r="A13841">
        <f>HYPERLINK("https://www.philgeps.gov.ph/GEPSNONPILOT/Tender/SplashBidNoticeAbstractUI.aspx?menuIndex=3&amp;refID=7012789&amp;Result=3","7012789")</f>
        <v>0</v>
      </c>
      <c r="B13841" t="s">
        <v>524</v>
      </c>
      <c r="C13841" t="s">
        <v>16439</v>
      </c>
      <c r="D13841" t="s">
        <v>18094</v>
      </c>
      <c r="E13841" t="s">
        <v>30113</v>
      </c>
      <c r="F13841" t="s">
        <v>31574</v>
      </c>
      <c r="G13841" t="s">
        <v>31582</v>
      </c>
      <c r="H13841" t="s">
        <v>31591</v>
      </c>
      <c r="I13841" t="s">
        <v>8822</v>
      </c>
      <c r="J13841" t="s">
        <v>40172</v>
      </c>
      <c r="K13841" t="s">
        <v>41293</v>
      </c>
      <c r="M13841" t="s">
        <v>43926</v>
      </c>
      <c r="N13841" t="s">
        <v>45095</v>
      </c>
      <c r="O13841" t="s">
        <v>45096</v>
      </c>
      <c r="P13841">
        <v>0</v>
      </c>
      <c r="Q13841">
        <v>0</v>
      </c>
      <c r="R13841" t="s">
        <v>45116</v>
      </c>
      <c r="S13841" t="s">
        <v>45923</v>
      </c>
      <c r="T13841" t="s">
        <v>47050</v>
      </c>
      <c r="U13841" t="s">
        <v>57254</v>
      </c>
      <c r="W13841" t="s">
        <v>43926</v>
      </c>
      <c r="X13841" t="s">
        <v>45117</v>
      </c>
    </row>
    <row r="13842" spans="1:24">
      <c r="A13842">
        <f>HYPERLINK("https://www.philgeps.gov.ph/GEPSNONPILOT/Tender/SplashBidNoticeAbstractUI.aspx?menuIndex=3&amp;refID=7012579&amp;Result=3","7012579")</f>
        <v>0</v>
      </c>
      <c r="B13842" t="s">
        <v>506</v>
      </c>
      <c r="C13842" t="s">
        <v>16440</v>
      </c>
      <c r="E13842" t="s">
        <v>30114</v>
      </c>
      <c r="F13842" t="s">
        <v>31574</v>
      </c>
      <c r="G13842" t="s">
        <v>31582</v>
      </c>
      <c r="H13842" t="s">
        <v>31591</v>
      </c>
      <c r="I13842" t="s">
        <v>8822</v>
      </c>
      <c r="J13842" t="s">
        <v>37939</v>
      </c>
      <c r="K13842" t="s">
        <v>41184</v>
      </c>
      <c r="M13842" t="s">
        <v>42002</v>
      </c>
      <c r="N13842" t="s">
        <v>45095</v>
      </c>
      <c r="O13842" t="s">
        <v>45096</v>
      </c>
      <c r="P13842">
        <v>0</v>
      </c>
      <c r="Q13842">
        <v>6</v>
      </c>
      <c r="R13842" t="s">
        <v>45116</v>
      </c>
      <c r="S13842" t="s">
        <v>45923</v>
      </c>
      <c r="T13842" t="s">
        <v>47159</v>
      </c>
      <c r="U13842" t="s">
        <v>58640</v>
      </c>
      <c r="V13842" t="s">
        <v>61382</v>
      </c>
      <c r="W13842" t="s">
        <v>42002</v>
      </c>
      <c r="X13842" t="s">
        <v>45117</v>
      </c>
    </row>
    <row r="13843" spans="1:24">
      <c r="A13843">
        <f>HYPERLINK("https://www.philgeps.gov.ph/GEPSNONPILOT/Tender/SplashBidNoticeAbstractUI.aspx?menuIndex=3&amp;refID=7012818&amp;Result=3","7012818")</f>
        <v>0</v>
      </c>
      <c r="B13843" t="s">
        <v>1434</v>
      </c>
      <c r="C13843" t="s">
        <v>16441</v>
      </c>
      <c r="D13843" t="s">
        <v>18063</v>
      </c>
      <c r="E13843" t="s">
        <v>30115</v>
      </c>
      <c r="F13843" t="s">
        <v>31574</v>
      </c>
      <c r="G13843" t="s">
        <v>31582</v>
      </c>
      <c r="H13843" t="s">
        <v>31591</v>
      </c>
      <c r="I13843" t="s">
        <v>8822</v>
      </c>
      <c r="J13843" t="s">
        <v>32510</v>
      </c>
      <c r="K13843" t="s">
        <v>41192</v>
      </c>
      <c r="M13843" t="s">
        <v>43010</v>
      </c>
      <c r="N13843" t="s">
        <v>45095</v>
      </c>
      <c r="O13843" t="s">
        <v>45096</v>
      </c>
      <c r="P13843">
        <v>0</v>
      </c>
      <c r="Q13843">
        <v>1</v>
      </c>
      <c r="R13843" t="s">
        <v>45116</v>
      </c>
      <c r="S13843" t="s">
        <v>45923</v>
      </c>
      <c r="T13843" t="s">
        <v>47076</v>
      </c>
      <c r="U13843" t="s">
        <v>58641</v>
      </c>
      <c r="V13843" t="s">
        <v>61383</v>
      </c>
      <c r="W13843" t="s">
        <v>43010</v>
      </c>
      <c r="X13843" t="s">
        <v>45117</v>
      </c>
    </row>
    <row r="13844" spans="1:24">
      <c r="A13844">
        <f>HYPERLINK("https://www.philgeps.gov.ph/GEPSNONPILOT/Tender/SplashBidNoticeAbstractUI.aspx?menuIndex=3&amp;refID=7012763&amp;Result=3","7012763")</f>
        <v>0</v>
      </c>
      <c r="B13844" t="s">
        <v>524</v>
      </c>
      <c r="C13844" t="s">
        <v>16442</v>
      </c>
      <c r="D13844" t="s">
        <v>18094</v>
      </c>
      <c r="E13844" t="s">
        <v>30116</v>
      </c>
      <c r="F13844" t="s">
        <v>31574</v>
      </c>
      <c r="G13844" t="s">
        <v>31582</v>
      </c>
      <c r="H13844" t="s">
        <v>31590</v>
      </c>
      <c r="I13844" t="s">
        <v>8822</v>
      </c>
      <c r="J13844" t="s">
        <v>40233</v>
      </c>
      <c r="K13844" t="s">
        <v>41364</v>
      </c>
      <c r="M13844" t="s">
        <v>43926</v>
      </c>
      <c r="N13844" t="s">
        <v>45095</v>
      </c>
      <c r="O13844" t="s">
        <v>45096</v>
      </c>
      <c r="P13844">
        <v>0</v>
      </c>
      <c r="Q13844">
        <v>0</v>
      </c>
      <c r="R13844" t="s">
        <v>45116</v>
      </c>
      <c r="S13844" t="s">
        <v>45923</v>
      </c>
      <c r="T13844" t="s">
        <v>47050</v>
      </c>
      <c r="U13844" t="s">
        <v>57254</v>
      </c>
      <c r="W13844" t="s">
        <v>43926</v>
      </c>
      <c r="X13844" t="s">
        <v>45117</v>
      </c>
    </row>
    <row r="13845" spans="1:24">
      <c r="A13845">
        <f>HYPERLINK("https://www.philgeps.gov.ph/GEPSNONPILOT/Tender/SplashBidNoticeAbstractUI.aspx?menuIndex=3&amp;refID=7012680&amp;Result=3","7012680")</f>
        <v>0</v>
      </c>
      <c r="B13845" t="s">
        <v>3068</v>
      </c>
      <c r="C13845" t="s">
        <v>16443</v>
      </c>
      <c r="D13845" t="s">
        <v>18089</v>
      </c>
      <c r="E13845" t="s">
        <v>30117</v>
      </c>
      <c r="F13845" t="s">
        <v>31574</v>
      </c>
      <c r="G13845" t="s">
        <v>31582</v>
      </c>
      <c r="H13845" t="s">
        <v>31590</v>
      </c>
      <c r="I13845" t="s">
        <v>4046</v>
      </c>
      <c r="J13845" t="s">
        <v>40234</v>
      </c>
      <c r="K13845" t="s">
        <v>41186</v>
      </c>
      <c r="M13845" t="s">
        <v>44911</v>
      </c>
      <c r="N13845" t="s">
        <v>45095</v>
      </c>
      <c r="O13845" t="s">
        <v>45096</v>
      </c>
      <c r="P13845">
        <v>0</v>
      </c>
      <c r="Q13845">
        <v>0</v>
      </c>
      <c r="R13845" t="s">
        <v>45116</v>
      </c>
      <c r="S13845" t="s">
        <v>45923</v>
      </c>
      <c r="T13845" t="s">
        <v>47171</v>
      </c>
      <c r="U13845" t="s">
        <v>58642</v>
      </c>
      <c r="W13845" t="s">
        <v>44911</v>
      </c>
      <c r="X13845" t="s">
        <v>45117</v>
      </c>
    </row>
    <row r="13846" spans="1:24">
      <c r="A13846">
        <f>HYPERLINK("https://www.philgeps.gov.ph/GEPSNONPILOT/Tender/SplashBidNoticeAbstractUI.aspx?menuIndex=3&amp;refID=7012800&amp;Result=3","7012800")</f>
        <v>0</v>
      </c>
      <c r="B13846" t="s">
        <v>1655</v>
      </c>
      <c r="C13846" t="s">
        <v>16444</v>
      </c>
      <c r="D13846" t="s">
        <v>18030</v>
      </c>
      <c r="E13846" t="s">
        <v>30118</v>
      </c>
      <c r="F13846" t="s">
        <v>31574</v>
      </c>
      <c r="G13846" t="s">
        <v>31582</v>
      </c>
      <c r="H13846" t="s">
        <v>31590</v>
      </c>
      <c r="I13846" t="s">
        <v>31599</v>
      </c>
      <c r="J13846" t="s">
        <v>32026</v>
      </c>
      <c r="K13846" t="s">
        <v>41191</v>
      </c>
      <c r="M13846" t="s">
        <v>44621</v>
      </c>
      <c r="N13846" t="s">
        <v>45095</v>
      </c>
      <c r="O13846" t="s">
        <v>45096</v>
      </c>
      <c r="P13846">
        <v>0</v>
      </c>
      <c r="Q13846">
        <v>3</v>
      </c>
      <c r="R13846" t="s">
        <v>45116</v>
      </c>
      <c r="S13846" t="s">
        <v>45923</v>
      </c>
      <c r="T13846" t="s">
        <v>47021</v>
      </c>
      <c r="U13846" t="s">
        <v>58643</v>
      </c>
      <c r="W13846" t="s">
        <v>44621</v>
      </c>
      <c r="X13846" t="s">
        <v>45117</v>
      </c>
    </row>
    <row r="13847" spans="1:24">
      <c r="A13847">
        <f>HYPERLINK("https://www.philgeps.gov.ph/GEPSNONPILOT/Tender/SplashBidNoticeAbstractUI.aspx?menuIndex=3&amp;refID=7012678&amp;Result=3","7012678")</f>
        <v>0</v>
      </c>
      <c r="B13847" t="s">
        <v>222</v>
      </c>
      <c r="C13847" t="s">
        <v>16445</v>
      </c>
      <c r="D13847" t="s">
        <v>18033</v>
      </c>
      <c r="E13847" t="s">
        <v>30119</v>
      </c>
      <c r="F13847" t="s">
        <v>31574</v>
      </c>
      <c r="G13847" t="s">
        <v>31582</v>
      </c>
      <c r="H13847" t="s">
        <v>31591</v>
      </c>
      <c r="I13847" t="s">
        <v>4046</v>
      </c>
      <c r="J13847" t="s">
        <v>40212</v>
      </c>
      <c r="K13847" t="s">
        <v>41189</v>
      </c>
      <c r="M13847" t="s">
        <v>41707</v>
      </c>
      <c r="N13847" t="s">
        <v>45095</v>
      </c>
      <c r="O13847" t="s">
        <v>45096</v>
      </c>
      <c r="P13847">
        <v>0</v>
      </c>
      <c r="Q13847">
        <v>11</v>
      </c>
      <c r="R13847" t="s">
        <v>45116</v>
      </c>
      <c r="S13847" t="s">
        <v>45923</v>
      </c>
      <c r="T13847" t="s">
        <v>47076</v>
      </c>
      <c r="U13847" t="s">
        <v>58644</v>
      </c>
      <c r="W13847" t="s">
        <v>41707</v>
      </c>
      <c r="X13847" t="s">
        <v>45117</v>
      </c>
    </row>
    <row r="13848" spans="1:24">
      <c r="A13848">
        <f>HYPERLINK("https://www.philgeps.gov.ph/GEPSNONPILOT/Tender/SplashBidNoticeAbstractUI.aspx?menuIndex=3&amp;refID=7012557&amp;Result=3","7012557")</f>
        <v>0</v>
      </c>
      <c r="B13848" t="s">
        <v>1671</v>
      </c>
      <c r="C13848" t="s">
        <v>16446</v>
      </c>
      <c r="D13848" t="s">
        <v>18056</v>
      </c>
      <c r="E13848" t="s">
        <v>30120</v>
      </c>
      <c r="F13848" t="s">
        <v>31574</v>
      </c>
      <c r="G13848" t="s">
        <v>31582</v>
      </c>
      <c r="H13848" t="s">
        <v>31591</v>
      </c>
      <c r="I13848" t="s">
        <v>8822</v>
      </c>
      <c r="J13848" t="s">
        <v>31947</v>
      </c>
      <c r="K13848" t="s">
        <v>41185</v>
      </c>
      <c r="M13848" t="s">
        <v>43284</v>
      </c>
      <c r="N13848" t="s">
        <v>45095</v>
      </c>
      <c r="O13848" t="s">
        <v>45096</v>
      </c>
      <c r="P13848">
        <v>0</v>
      </c>
      <c r="Q13848">
        <v>0</v>
      </c>
      <c r="R13848" t="s">
        <v>45116</v>
      </c>
      <c r="S13848" t="s">
        <v>45923</v>
      </c>
      <c r="T13848" t="s">
        <v>47050</v>
      </c>
      <c r="U13848" t="s">
        <v>58645</v>
      </c>
      <c r="W13848" t="s">
        <v>43284</v>
      </c>
      <c r="X13848" t="s">
        <v>45117</v>
      </c>
    </row>
    <row r="13849" spans="1:24">
      <c r="A13849">
        <f>HYPERLINK("https://www.philgeps.gov.ph/GEPSNONPILOT/Tender/SplashBidNoticeAbstractUI.aspx?menuIndex=3&amp;refID=7012675&amp;Result=3","7012675")</f>
        <v>0</v>
      </c>
      <c r="B13849" t="s">
        <v>806</v>
      </c>
      <c r="C13849" t="s">
        <v>16447</v>
      </c>
      <c r="D13849" t="s">
        <v>18025</v>
      </c>
      <c r="E13849" t="s">
        <v>30121</v>
      </c>
      <c r="F13849" t="s">
        <v>31574</v>
      </c>
      <c r="G13849" t="s">
        <v>31582</v>
      </c>
      <c r="H13849" t="s">
        <v>31590</v>
      </c>
      <c r="I13849" t="s">
        <v>31599</v>
      </c>
      <c r="J13849" t="s">
        <v>40235</v>
      </c>
      <c r="K13849" t="s">
        <v>41193</v>
      </c>
      <c r="M13849" t="s">
        <v>42321</v>
      </c>
      <c r="N13849" t="s">
        <v>45095</v>
      </c>
      <c r="O13849" t="s">
        <v>45096</v>
      </c>
      <c r="P13849">
        <v>0</v>
      </c>
      <c r="Q13849">
        <v>3</v>
      </c>
      <c r="R13849" t="s">
        <v>45116</v>
      </c>
      <c r="S13849" t="s">
        <v>45923</v>
      </c>
      <c r="T13849" t="s">
        <v>47176</v>
      </c>
      <c r="U13849" t="s">
        <v>58646</v>
      </c>
      <c r="V13849" t="s">
        <v>61384</v>
      </c>
      <c r="W13849" t="s">
        <v>42321</v>
      </c>
      <c r="X13849" t="s">
        <v>45117</v>
      </c>
    </row>
    <row r="13850" spans="1:24">
      <c r="A13850">
        <f>HYPERLINK("https://www.philgeps.gov.ph/GEPSNONPILOT/Tender/SplashBidNoticeAbstractUI.aspx?menuIndex=3&amp;refID=7012875&amp;Result=3","7012875")</f>
        <v>0</v>
      </c>
      <c r="B13850" t="s">
        <v>2140</v>
      </c>
      <c r="C13850" t="s">
        <v>16448</v>
      </c>
      <c r="D13850" t="s">
        <v>18056</v>
      </c>
      <c r="E13850" t="s">
        <v>30122</v>
      </c>
      <c r="F13850" t="s">
        <v>31574</v>
      </c>
      <c r="G13850" t="s">
        <v>31582</v>
      </c>
      <c r="H13850" t="s">
        <v>31590</v>
      </c>
      <c r="I13850" t="s">
        <v>31605</v>
      </c>
      <c r="J13850" t="s">
        <v>31741</v>
      </c>
      <c r="K13850" t="s">
        <v>41190</v>
      </c>
      <c r="M13850" t="s">
        <v>43822</v>
      </c>
      <c r="N13850" t="s">
        <v>45095</v>
      </c>
      <c r="O13850" t="s">
        <v>45096</v>
      </c>
      <c r="P13850">
        <v>0</v>
      </c>
      <c r="Q13850">
        <v>0</v>
      </c>
      <c r="R13850" t="s">
        <v>45116</v>
      </c>
      <c r="S13850" t="s">
        <v>45923</v>
      </c>
      <c r="T13850" t="s">
        <v>47076</v>
      </c>
      <c r="U13850" t="s">
        <v>58647</v>
      </c>
      <c r="W13850" t="s">
        <v>43822</v>
      </c>
      <c r="X13850" t="s">
        <v>45117</v>
      </c>
    </row>
    <row r="13851" spans="1:24">
      <c r="A13851">
        <f>HYPERLINK("https://www.philgeps.gov.ph/GEPSNONPILOT/Tender/SplashBidNoticeAbstractUI.aspx?menuIndex=3&amp;refID=7012772&amp;Result=3","7012772")</f>
        <v>0</v>
      </c>
      <c r="B13851" t="s">
        <v>3069</v>
      </c>
      <c r="C13851" t="s">
        <v>16449</v>
      </c>
      <c r="D13851" t="s">
        <v>18056</v>
      </c>
      <c r="E13851" t="s">
        <v>20862</v>
      </c>
      <c r="F13851" t="s">
        <v>31574</v>
      </c>
      <c r="G13851" t="s">
        <v>31582</v>
      </c>
      <c r="H13851" t="s">
        <v>31590</v>
      </c>
      <c r="I13851" t="s">
        <v>4046</v>
      </c>
      <c r="J13851" t="s">
        <v>40236</v>
      </c>
      <c r="K13851" t="s">
        <v>41213</v>
      </c>
      <c r="M13851" t="s">
        <v>44912</v>
      </c>
      <c r="N13851" t="s">
        <v>45095</v>
      </c>
      <c r="O13851" t="s">
        <v>45096</v>
      </c>
      <c r="P13851">
        <v>0</v>
      </c>
      <c r="Q13851">
        <v>0</v>
      </c>
      <c r="R13851" t="s">
        <v>45116</v>
      </c>
      <c r="S13851" t="s">
        <v>45923</v>
      </c>
      <c r="T13851" t="s">
        <v>47050</v>
      </c>
      <c r="U13851" t="s">
        <v>58648</v>
      </c>
      <c r="W13851" t="s">
        <v>44912</v>
      </c>
      <c r="X13851" t="s">
        <v>45117</v>
      </c>
    </row>
    <row r="13852" spans="1:24">
      <c r="A13852">
        <f>HYPERLINK("https://www.philgeps.gov.ph/GEPSNONPILOT/Tender/SplashBidNoticeAbstractUI.aspx?menuIndex=3&amp;refID=7012869&amp;Result=3","7012869")</f>
        <v>0</v>
      </c>
      <c r="B13852" t="s">
        <v>1488</v>
      </c>
      <c r="C13852" t="s">
        <v>16450</v>
      </c>
      <c r="D13852" t="s">
        <v>18088</v>
      </c>
      <c r="E13852" t="s">
        <v>21914</v>
      </c>
      <c r="F13852" t="s">
        <v>31574</v>
      </c>
      <c r="G13852" t="s">
        <v>31582</v>
      </c>
      <c r="H13852" t="s">
        <v>31591</v>
      </c>
      <c r="I13852" t="s">
        <v>8822</v>
      </c>
      <c r="J13852" t="s">
        <v>33856</v>
      </c>
      <c r="K13852" t="s">
        <v>41184</v>
      </c>
      <c r="M13852" t="s">
        <v>43073</v>
      </c>
      <c r="N13852" t="s">
        <v>45095</v>
      </c>
      <c r="O13852" t="s">
        <v>45096</v>
      </c>
      <c r="P13852">
        <v>0</v>
      </c>
      <c r="Q13852">
        <v>0</v>
      </c>
      <c r="R13852" t="s">
        <v>45116</v>
      </c>
      <c r="S13852" t="s">
        <v>45923</v>
      </c>
      <c r="T13852" t="s">
        <v>47159</v>
      </c>
      <c r="U13852" t="s">
        <v>58649</v>
      </c>
      <c r="V13852" t="s">
        <v>61385</v>
      </c>
      <c r="W13852" t="s">
        <v>43073</v>
      </c>
      <c r="X13852" t="s">
        <v>45117</v>
      </c>
    </row>
    <row r="13853" spans="1:24">
      <c r="A13853">
        <f>HYPERLINK("https://www.philgeps.gov.ph/GEPSNONPILOT/Tender/SplashBidNoticeAbstractUI.aspx?menuIndex=3&amp;refID=7012820&amp;Result=3","7012820")</f>
        <v>0</v>
      </c>
      <c r="B13853" t="s">
        <v>524</v>
      </c>
      <c r="C13853" t="s">
        <v>16451</v>
      </c>
      <c r="D13853" t="s">
        <v>18094</v>
      </c>
      <c r="E13853" t="s">
        <v>30123</v>
      </c>
      <c r="F13853" t="s">
        <v>31574</v>
      </c>
      <c r="G13853" t="s">
        <v>31582</v>
      </c>
      <c r="H13853" t="s">
        <v>31591</v>
      </c>
      <c r="I13853" t="s">
        <v>8822</v>
      </c>
      <c r="J13853" t="s">
        <v>40172</v>
      </c>
      <c r="K13853" t="s">
        <v>41293</v>
      </c>
      <c r="M13853" t="s">
        <v>43926</v>
      </c>
      <c r="N13853" t="s">
        <v>45095</v>
      </c>
      <c r="O13853" t="s">
        <v>45096</v>
      </c>
      <c r="P13853">
        <v>0</v>
      </c>
      <c r="Q13853">
        <v>2</v>
      </c>
      <c r="R13853" t="s">
        <v>45116</v>
      </c>
      <c r="S13853" t="s">
        <v>45923</v>
      </c>
      <c r="T13853" t="s">
        <v>47076</v>
      </c>
      <c r="U13853" t="s">
        <v>57254</v>
      </c>
      <c r="W13853" t="s">
        <v>43926</v>
      </c>
      <c r="X13853" t="s">
        <v>45117</v>
      </c>
    </row>
    <row r="13854" spans="1:24">
      <c r="A13854">
        <f>HYPERLINK("https://www.philgeps.gov.ph/GEPSNONPILOT/Tender/SplashBidNoticeAbstractUI.aspx?menuIndex=3&amp;refID=7012695&amp;Result=3","7012695")</f>
        <v>0</v>
      </c>
      <c r="B13854" t="s">
        <v>1997</v>
      </c>
      <c r="C13854" t="s">
        <v>16452</v>
      </c>
      <c r="D13854" t="s">
        <v>18023</v>
      </c>
      <c r="E13854" t="s">
        <v>30124</v>
      </c>
      <c r="F13854" t="s">
        <v>31574</v>
      </c>
      <c r="G13854" t="s">
        <v>31582</v>
      </c>
      <c r="H13854" t="s">
        <v>31591</v>
      </c>
      <c r="I13854" t="s">
        <v>8822</v>
      </c>
      <c r="J13854" t="s">
        <v>39147</v>
      </c>
      <c r="K13854" t="s">
        <v>41377</v>
      </c>
      <c r="M13854" t="s">
        <v>43659</v>
      </c>
      <c r="N13854" t="s">
        <v>45095</v>
      </c>
      <c r="O13854" t="s">
        <v>45096</v>
      </c>
      <c r="P13854">
        <v>0</v>
      </c>
      <c r="Q13854">
        <v>4</v>
      </c>
      <c r="R13854" t="s">
        <v>45116</v>
      </c>
      <c r="S13854" t="s">
        <v>45923</v>
      </c>
      <c r="T13854" t="s">
        <v>47050</v>
      </c>
      <c r="U13854" t="s">
        <v>58650</v>
      </c>
      <c r="V13854" t="s">
        <v>61270</v>
      </c>
      <c r="W13854" t="s">
        <v>43659</v>
      </c>
      <c r="X13854" t="s">
        <v>45117</v>
      </c>
    </row>
    <row r="13855" spans="1:24">
      <c r="A13855">
        <f>HYPERLINK("https://www.philgeps.gov.ph/GEPSNONPILOT/Tender/SplashBidNoticeAbstractUI.aspx?menuIndex=3&amp;refID=7012631&amp;Result=3","7012631")</f>
        <v>0</v>
      </c>
      <c r="B13855" t="s">
        <v>2620</v>
      </c>
      <c r="C13855" t="s">
        <v>16453</v>
      </c>
      <c r="D13855" t="s">
        <v>18070</v>
      </c>
      <c r="E13855" t="s">
        <v>30125</v>
      </c>
      <c r="F13855" t="s">
        <v>31574</v>
      </c>
      <c r="G13855" t="s">
        <v>31582</v>
      </c>
      <c r="H13855" t="s">
        <v>31590</v>
      </c>
      <c r="I13855" t="s">
        <v>3651</v>
      </c>
      <c r="J13855" t="s">
        <v>33193</v>
      </c>
      <c r="K13855" t="s">
        <v>41188</v>
      </c>
      <c r="M13855" t="s">
        <v>44370</v>
      </c>
      <c r="N13855" t="s">
        <v>45095</v>
      </c>
      <c r="O13855" t="s">
        <v>45096</v>
      </c>
      <c r="P13855">
        <v>0</v>
      </c>
      <c r="Q13855">
        <v>1</v>
      </c>
      <c r="R13855" t="s">
        <v>45116</v>
      </c>
      <c r="S13855" t="s">
        <v>45923</v>
      </c>
      <c r="T13855" t="s">
        <v>47076</v>
      </c>
      <c r="U13855" t="s">
        <v>58651</v>
      </c>
      <c r="W13855" t="s">
        <v>44370</v>
      </c>
      <c r="X13855" t="s">
        <v>45117</v>
      </c>
    </row>
    <row r="13856" spans="1:24">
      <c r="A13856">
        <f>HYPERLINK("https://www.philgeps.gov.ph/GEPSNONPILOT/Tender/SplashBidNoticeAbstractUI.aspx?menuIndex=3&amp;refID=7012662&amp;Result=3","7012662")</f>
        <v>0</v>
      </c>
      <c r="B13856" t="s">
        <v>62</v>
      </c>
      <c r="C13856" t="s">
        <v>16454</v>
      </c>
      <c r="D13856" t="s">
        <v>18037</v>
      </c>
      <c r="E13856" t="s">
        <v>30126</v>
      </c>
      <c r="F13856" t="s">
        <v>31574</v>
      </c>
      <c r="G13856" t="s">
        <v>31582</v>
      </c>
      <c r="H13856" t="s">
        <v>31590</v>
      </c>
      <c r="I13856" t="s">
        <v>5717</v>
      </c>
      <c r="J13856" t="s">
        <v>40237</v>
      </c>
      <c r="K13856" t="s">
        <v>41184</v>
      </c>
      <c r="L13856" t="s">
        <v>62</v>
      </c>
      <c r="M13856" t="s">
        <v>41546</v>
      </c>
      <c r="N13856" t="s">
        <v>45095</v>
      </c>
      <c r="O13856" t="s">
        <v>45096</v>
      </c>
      <c r="Q13856">
        <v>10</v>
      </c>
      <c r="R13856" t="s">
        <v>45116</v>
      </c>
      <c r="S13856" t="s">
        <v>45963</v>
      </c>
      <c r="T13856" t="s">
        <v>47183</v>
      </c>
      <c r="U13856" t="s">
        <v>58652</v>
      </c>
      <c r="W13856" t="s">
        <v>41546</v>
      </c>
      <c r="X13856" t="s">
        <v>45117</v>
      </c>
    </row>
    <row r="13857" spans="1:24">
      <c r="A13857">
        <f>HYPERLINK("https://www.philgeps.gov.ph/GEPSNONPILOT/Tender/SplashBidNoticeAbstractUI.aspx?menuIndex=3&amp;refID=7012888&amp;Result=3","7012888")</f>
        <v>0</v>
      </c>
      <c r="B13857" t="s">
        <v>3070</v>
      </c>
      <c r="C13857" t="s">
        <v>16455</v>
      </c>
      <c r="E13857" t="s">
        <v>30127</v>
      </c>
      <c r="F13857" t="s">
        <v>31574</v>
      </c>
      <c r="G13857" t="s">
        <v>31585</v>
      </c>
      <c r="H13857" t="s">
        <v>31590</v>
      </c>
      <c r="I13857" t="s">
        <v>4677</v>
      </c>
      <c r="J13857" t="s">
        <v>40238</v>
      </c>
      <c r="K13857" t="s">
        <v>41225</v>
      </c>
      <c r="M13857" t="s">
        <v>44913</v>
      </c>
      <c r="N13857" t="s">
        <v>45095</v>
      </c>
      <c r="O13857" t="s">
        <v>45096</v>
      </c>
      <c r="Q13857">
        <v>1</v>
      </c>
      <c r="R13857" t="s">
        <v>45116</v>
      </c>
      <c r="S13857" t="s">
        <v>45964</v>
      </c>
      <c r="T13857" t="s">
        <v>47183</v>
      </c>
      <c r="U13857" t="s">
        <v>58653</v>
      </c>
      <c r="W13857" t="s">
        <v>44913</v>
      </c>
      <c r="X13857" t="s">
        <v>45117</v>
      </c>
    </row>
    <row r="13858" spans="1:24">
      <c r="A13858">
        <f>HYPERLINK("https://www.philgeps.gov.ph/GEPSNONPILOT/Tender/SplashBidNoticeAbstractUI.aspx?menuIndex=3&amp;refID=7012764&amp;Result=3","7012764")</f>
        <v>0</v>
      </c>
      <c r="B13858" t="s">
        <v>1655</v>
      </c>
      <c r="C13858" t="s">
        <v>16456</v>
      </c>
      <c r="D13858" t="s">
        <v>18030</v>
      </c>
      <c r="E13858" t="s">
        <v>30128</v>
      </c>
      <c r="F13858" t="s">
        <v>31574</v>
      </c>
      <c r="G13858" t="s">
        <v>31582</v>
      </c>
      <c r="H13858" t="s">
        <v>31590</v>
      </c>
      <c r="I13858" t="s">
        <v>3487</v>
      </c>
      <c r="J13858" t="s">
        <v>40239</v>
      </c>
      <c r="K13858" t="s">
        <v>41186</v>
      </c>
      <c r="M13858" t="s">
        <v>44621</v>
      </c>
      <c r="N13858" t="s">
        <v>45095</v>
      </c>
      <c r="O13858" t="s">
        <v>45096</v>
      </c>
      <c r="P13858">
        <v>0</v>
      </c>
      <c r="Q13858">
        <v>21</v>
      </c>
      <c r="R13858" t="s">
        <v>45116</v>
      </c>
      <c r="S13858" t="s">
        <v>45923</v>
      </c>
      <c r="T13858" t="s">
        <v>47021</v>
      </c>
      <c r="U13858" t="s">
        <v>58654</v>
      </c>
      <c r="W13858" t="s">
        <v>44621</v>
      </c>
      <c r="X13858" t="s">
        <v>45117</v>
      </c>
    </row>
    <row r="13859" spans="1:24">
      <c r="A13859">
        <f>HYPERLINK("https://www.philgeps.gov.ph/GEPSNONPILOT/Tender/SplashBidNoticeAbstractUI.aspx?menuIndex=3&amp;refID=7012603&amp;Result=3","7012603")</f>
        <v>0</v>
      </c>
      <c r="B13859" t="s">
        <v>506</v>
      </c>
      <c r="C13859" t="s">
        <v>16457</v>
      </c>
      <c r="E13859" t="s">
        <v>30129</v>
      </c>
      <c r="F13859" t="s">
        <v>31574</v>
      </c>
      <c r="G13859" t="s">
        <v>31582</v>
      </c>
      <c r="H13859" t="s">
        <v>31591</v>
      </c>
      <c r="I13859" t="s">
        <v>8822</v>
      </c>
      <c r="J13859" t="s">
        <v>40240</v>
      </c>
      <c r="K13859" t="s">
        <v>41184</v>
      </c>
      <c r="M13859" t="s">
        <v>42002</v>
      </c>
      <c r="N13859" t="s">
        <v>45095</v>
      </c>
      <c r="O13859" t="s">
        <v>45096</v>
      </c>
      <c r="P13859">
        <v>0</v>
      </c>
      <c r="Q13859">
        <v>2</v>
      </c>
      <c r="R13859" t="s">
        <v>45116</v>
      </c>
      <c r="S13859" t="s">
        <v>45923</v>
      </c>
      <c r="T13859" t="s">
        <v>47159</v>
      </c>
      <c r="U13859" t="s">
        <v>58655</v>
      </c>
      <c r="V13859" t="s">
        <v>61386</v>
      </c>
      <c r="W13859" t="s">
        <v>42002</v>
      </c>
      <c r="X13859" t="s">
        <v>45117</v>
      </c>
    </row>
    <row r="13860" spans="1:24">
      <c r="A13860">
        <f>HYPERLINK("https://www.philgeps.gov.ph/GEPSNONPILOT/Tender/SplashBidNoticeAbstractUI.aspx?menuIndex=3&amp;refID=7012961&amp;Result=3","7012961")</f>
        <v>0</v>
      </c>
      <c r="B13860" t="s">
        <v>143</v>
      </c>
      <c r="C13860" t="s">
        <v>16458</v>
      </c>
      <c r="D13860" t="s">
        <v>18075</v>
      </c>
      <c r="E13860" t="s">
        <v>30130</v>
      </c>
      <c r="F13860" t="s">
        <v>31574</v>
      </c>
      <c r="G13860" t="s">
        <v>31582</v>
      </c>
      <c r="H13860" t="s">
        <v>31591</v>
      </c>
      <c r="I13860" t="s">
        <v>8822</v>
      </c>
      <c r="J13860" t="s">
        <v>31935</v>
      </c>
      <c r="K13860" t="s">
        <v>41315</v>
      </c>
      <c r="M13860" t="s">
        <v>41627</v>
      </c>
      <c r="N13860" t="s">
        <v>45095</v>
      </c>
      <c r="O13860" t="s">
        <v>45096</v>
      </c>
      <c r="P13860">
        <v>0</v>
      </c>
      <c r="Q13860">
        <v>0</v>
      </c>
      <c r="R13860" t="s">
        <v>45116</v>
      </c>
      <c r="S13860" t="s">
        <v>45923</v>
      </c>
      <c r="T13860" t="s">
        <v>47303</v>
      </c>
      <c r="U13860" t="s">
        <v>58656</v>
      </c>
      <c r="W13860" t="s">
        <v>41627</v>
      </c>
      <c r="X13860" t="s">
        <v>45117</v>
      </c>
    </row>
    <row r="13861" spans="1:24">
      <c r="A13861">
        <f>HYPERLINK("https://www.philgeps.gov.ph/GEPSNONPILOT/Tender/SplashBidNoticeAbstractUI.aspx?menuIndex=3&amp;refID=7012893&amp;Result=3","7012893")</f>
        <v>0</v>
      </c>
      <c r="B13861" t="s">
        <v>524</v>
      </c>
      <c r="C13861" t="s">
        <v>16459</v>
      </c>
      <c r="D13861" t="s">
        <v>18094</v>
      </c>
      <c r="E13861" t="s">
        <v>30131</v>
      </c>
      <c r="F13861" t="s">
        <v>31574</v>
      </c>
      <c r="G13861" t="s">
        <v>31582</v>
      </c>
      <c r="H13861" t="s">
        <v>31590</v>
      </c>
      <c r="I13861" t="s">
        <v>8822</v>
      </c>
      <c r="J13861" t="s">
        <v>40172</v>
      </c>
      <c r="K13861" t="s">
        <v>41293</v>
      </c>
      <c r="M13861" t="s">
        <v>43926</v>
      </c>
      <c r="N13861" t="s">
        <v>45095</v>
      </c>
      <c r="O13861" t="s">
        <v>45096</v>
      </c>
      <c r="P13861">
        <v>0</v>
      </c>
      <c r="Q13861">
        <v>0</v>
      </c>
      <c r="R13861" t="s">
        <v>45116</v>
      </c>
      <c r="S13861" t="s">
        <v>45923</v>
      </c>
      <c r="T13861" t="s">
        <v>47050</v>
      </c>
      <c r="U13861" t="s">
        <v>57254</v>
      </c>
      <c r="W13861" t="s">
        <v>43926</v>
      </c>
      <c r="X13861" t="s">
        <v>45117</v>
      </c>
    </row>
    <row r="13862" spans="1:24">
      <c r="A13862">
        <f>HYPERLINK("https://www.philgeps.gov.ph/GEPSNONPILOT/Tender/SplashBidNoticeAbstractUI.aspx?menuIndex=3&amp;refID=7012527&amp;Result=3","7012527")</f>
        <v>0</v>
      </c>
      <c r="B13862" t="s">
        <v>1655</v>
      </c>
      <c r="C13862" t="s">
        <v>16460</v>
      </c>
      <c r="D13862" t="s">
        <v>18030</v>
      </c>
      <c r="E13862" t="s">
        <v>30132</v>
      </c>
      <c r="F13862" t="s">
        <v>31574</v>
      </c>
      <c r="G13862" t="s">
        <v>31582</v>
      </c>
      <c r="H13862" t="s">
        <v>31590</v>
      </c>
      <c r="I13862" t="s">
        <v>7185</v>
      </c>
      <c r="J13862" t="s">
        <v>31935</v>
      </c>
      <c r="K13862" t="s">
        <v>41191</v>
      </c>
      <c r="M13862" t="s">
        <v>44621</v>
      </c>
      <c r="N13862" t="s">
        <v>45095</v>
      </c>
      <c r="O13862" t="s">
        <v>45096</v>
      </c>
      <c r="P13862">
        <v>0</v>
      </c>
      <c r="Q13862">
        <v>12</v>
      </c>
      <c r="R13862" t="s">
        <v>45116</v>
      </c>
      <c r="S13862" t="s">
        <v>45923</v>
      </c>
      <c r="T13862" t="s">
        <v>47021</v>
      </c>
      <c r="U13862" t="s">
        <v>58657</v>
      </c>
      <c r="W13862" t="s">
        <v>44621</v>
      </c>
      <c r="X13862" t="s">
        <v>45117</v>
      </c>
    </row>
    <row r="13863" spans="1:24">
      <c r="A13863">
        <f>HYPERLINK("https://www.philgeps.gov.ph/GEPSNONPILOT/Tender/SplashBidNoticeAbstractUI.aspx?menuIndex=3&amp;refID=7012532&amp;Result=3","7012532")</f>
        <v>0</v>
      </c>
      <c r="B13863" t="s">
        <v>3071</v>
      </c>
      <c r="C13863" t="s">
        <v>16461</v>
      </c>
      <c r="D13863" t="s">
        <v>18100</v>
      </c>
      <c r="E13863" t="s">
        <v>30133</v>
      </c>
      <c r="F13863" t="s">
        <v>31574</v>
      </c>
      <c r="G13863" t="s">
        <v>31582</v>
      </c>
      <c r="H13863" t="s">
        <v>31590</v>
      </c>
      <c r="I13863" t="s">
        <v>31672</v>
      </c>
      <c r="J13863" t="s">
        <v>32076</v>
      </c>
      <c r="K13863" t="s">
        <v>41192</v>
      </c>
      <c r="M13863" t="s">
        <v>44914</v>
      </c>
      <c r="N13863" t="s">
        <v>45095</v>
      </c>
      <c r="O13863" t="s">
        <v>45096</v>
      </c>
      <c r="P13863">
        <v>0</v>
      </c>
      <c r="Q13863">
        <v>2</v>
      </c>
      <c r="R13863" t="s">
        <v>45116</v>
      </c>
      <c r="S13863" t="s">
        <v>45923</v>
      </c>
      <c r="T13863" t="s">
        <v>47242</v>
      </c>
      <c r="U13863" t="s">
        <v>58658</v>
      </c>
      <c r="W13863" t="s">
        <v>44914</v>
      </c>
      <c r="X13863" t="s">
        <v>45117</v>
      </c>
    </row>
    <row r="13864" spans="1:24">
      <c r="A13864">
        <f>HYPERLINK("https://www.philgeps.gov.ph/GEPSNONPILOT/Tender/SplashBidNoticeAbstractUI.aspx?menuIndex=3&amp;refID=7013077&amp;Result=3","7013077")</f>
        <v>0</v>
      </c>
      <c r="B13864" t="s">
        <v>3072</v>
      </c>
      <c r="C13864" t="s">
        <v>16462</v>
      </c>
      <c r="D13864" t="s">
        <v>18040</v>
      </c>
      <c r="E13864" t="s">
        <v>30134</v>
      </c>
      <c r="F13864" t="s">
        <v>31574</v>
      </c>
      <c r="G13864" t="s">
        <v>31582</v>
      </c>
      <c r="H13864" t="s">
        <v>31591</v>
      </c>
      <c r="I13864" t="s">
        <v>8822</v>
      </c>
      <c r="J13864" t="s">
        <v>32085</v>
      </c>
      <c r="K13864" t="s">
        <v>41186</v>
      </c>
      <c r="M13864" t="s">
        <v>44915</v>
      </c>
      <c r="N13864" t="s">
        <v>45095</v>
      </c>
      <c r="O13864" t="s">
        <v>45096</v>
      </c>
      <c r="P13864">
        <v>0</v>
      </c>
      <c r="Q13864">
        <v>0</v>
      </c>
      <c r="R13864" t="s">
        <v>45116</v>
      </c>
      <c r="S13864" t="s">
        <v>45923</v>
      </c>
      <c r="T13864" t="s">
        <v>47154</v>
      </c>
      <c r="U13864" t="s">
        <v>58659</v>
      </c>
      <c r="W13864" t="s">
        <v>44915</v>
      </c>
      <c r="X13864" t="s">
        <v>45117</v>
      </c>
    </row>
    <row r="13865" spans="1:24">
      <c r="A13865">
        <f>HYPERLINK("https://www.philgeps.gov.ph/GEPSNONPILOT/Tender/SplashBidNoticeAbstractUI.aspx?menuIndex=3&amp;refID=7013054&amp;Result=3","7013054")</f>
        <v>0</v>
      </c>
      <c r="B13865" t="s">
        <v>3073</v>
      </c>
      <c r="C13865" t="s">
        <v>16463</v>
      </c>
      <c r="D13865" t="s">
        <v>18025</v>
      </c>
      <c r="E13865" t="s">
        <v>30135</v>
      </c>
      <c r="F13865" t="s">
        <v>31574</v>
      </c>
      <c r="G13865" t="s">
        <v>31582</v>
      </c>
      <c r="H13865" t="s">
        <v>31591</v>
      </c>
      <c r="I13865" t="s">
        <v>8822</v>
      </c>
      <c r="J13865" t="s">
        <v>40241</v>
      </c>
      <c r="K13865" t="s">
        <v>41256</v>
      </c>
      <c r="M13865" t="s">
        <v>44916</v>
      </c>
      <c r="N13865" t="s">
        <v>45095</v>
      </c>
      <c r="O13865" t="s">
        <v>45096</v>
      </c>
      <c r="Q13865">
        <v>8</v>
      </c>
      <c r="R13865" t="s">
        <v>45116</v>
      </c>
      <c r="S13865" t="s">
        <v>45965</v>
      </c>
      <c r="T13865" t="s">
        <v>46985</v>
      </c>
      <c r="U13865" t="s">
        <v>58660</v>
      </c>
      <c r="W13865" t="s">
        <v>44916</v>
      </c>
      <c r="X13865" t="s">
        <v>45117</v>
      </c>
    </row>
    <row r="13866" spans="1:24">
      <c r="A13866">
        <f>HYPERLINK("https://www.philgeps.gov.ph/GEPSNONPILOT/Tender/SplashBidNoticeAbstractUI.aspx?menuIndex=3&amp;refID=7012877&amp;Result=3","7012877")</f>
        <v>0</v>
      </c>
      <c r="B13866" t="s">
        <v>683</v>
      </c>
      <c r="C13866" t="s">
        <v>16464</v>
      </c>
      <c r="D13866" t="s">
        <v>18059</v>
      </c>
      <c r="E13866" t="s">
        <v>30136</v>
      </c>
      <c r="F13866" t="s">
        <v>31574</v>
      </c>
      <c r="G13866" t="s">
        <v>31582</v>
      </c>
      <c r="H13866" t="s">
        <v>31590</v>
      </c>
      <c r="I13866" t="s">
        <v>4046</v>
      </c>
      <c r="J13866" t="s">
        <v>40242</v>
      </c>
      <c r="K13866" t="s">
        <v>41184</v>
      </c>
      <c r="M13866" t="s">
        <v>42190</v>
      </c>
      <c r="N13866" t="s">
        <v>45095</v>
      </c>
      <c r="O13866" t="s">
        <v>45096</v>
      </c>
      <c r="P13866">
        <v>0</v>
      </c>
      <c r="Q13866">
        <v>1</v>
      </c>
      <c r="R13866" t="s">
        <v>45116</v>
      </c>
      <c r="S13866" t="s">
        <v>45923</v>
      </c>
      <c r="T13866" t="s">
        <v>46926</v>
      </c>
      <c r="U13866" t="s">
        <v>58661</v>
      </c>
      <c r="W13866" t="s">
        <v>42190</v>
      </c>
      <c r="X13866" t="s">
        <v>45117</v>
      </c>
    </row>
    <row r="13867" spans="1:24">
      <c r="A13867">
        <f>HYPERLINK("https://www.philgeps.gov.ph/GEPSNONPILOT/Tender/SplashBidNoticeAbstractUI.aspx?menuIndex=3&amp;refID=7013075&amp;Result=3","7013075")</f>
        <v>0</v>
      </c>
      <c r="B13867" t="s">
        <v>75</v>
      </c>
      <c r="C13867" t="s">
        <v>16465</v>
      </c>
      <c r="D13867" t="s">
        <v>18054</v>
      </c>
      <c r="E13867" t="s">
        <v>30137</v>
      </c>
      <c r="F13867" t="s">
        <v>31574</v>
      </c>
      <c r="G13867" t="s">
        <v>31582</v>
      </c>
      <c r="H13867" t="s">
        <v>31590</v>
      </c>
      <c r="I13867" t="s">
        <v>8258</v>
      </c>
      <c r="J13867" t="s">
        <v>40243</v>
      </c>
      <c r="K13867" t="s">
        <v>41186</v>
      </c>
      <c r="M13867" t="s">
        <v>41559</v>
      </c>
      <c r="N13867" t="s">
        <v>45095</v>
      </c>
      <c r="O13867" t="s">
        <v>45096</v>
      </c>
      <c r="Q13867">
        <v>4</v>
      </c>
      <c r="R13867" t="s">
        <v>45116</v>
      </c>
      <c r="S13867" t="s">
        <v>45966</v>
      </c>
      <c r="T13867" t="s">
        <v>47064</v>
      </c>
      <c r="U13867" t="s">
        <v>58662</v>
      </c>
      <c r="W13867" t="s">
        <v>41559</v>
      </c>
      <c r="X13867" t="s">
        <v>45117</v>
      </c>
    </row>
    <row r="13868" spans="1:24">
      <c r="A13868">
        <f>HYPERLINK("https://www.philgeps.gov.ph/GEPSNONPILOT/Tender/SplashBidNoticeAbstractUI.aspx?menuIndex=3&amp;refID=7013019&amp;Result=3","7013019")</f>
        <v>0</v>
      </c>
      <c r="B13868" t="s">
        <v>3072</v>
      </c>
      <c r="C13868" t="s">
        <v>16466</v>
      </c>
      <c r="D13868" t="s">
        <v>18040</v>
      </c>
      <c r="E13868" t="s">
        <v>30138</v>
      </c>
      <c r="F13868" t="s">
        <v>31574</v>
      </c>
      <c r="G13868" t="s">
        <v>31582</v>
      </c>
      <c r="H13868" t="s">
        <v>31590</v>
      </c>
      <c r="I13868" t="s">
        <v>7185</v>
      </c>
      <c r="J13868" t="s">
        <v>32497</v>
      </c>
      <c r="K13868" t="s">
        <v>41196</v>
      </c>
      <c r="M13868" t="s">
        <v>44915</v>
      </c>
      <c r="N13868" t="s">
        <v>45095</v>
      </c>
      <c r="O13868" t="s">
        <v>45096</v>
      </c>
      <c r="P13868">
        <v>0</v>
      </c>
      <c r="Q13868">
        <v>6</v>
      </c>
      <c r="R13868" t="s">
        <v>45116</v>
      </c>
      <c r="S13868" t="s">
        <v>45923</v>
      </c>
      <c r="T13868" t="s">
        <v>47154</v>
      </c>
      <c r="U13868" t="s">
        <v>58663</v>
      </c>
      <c r="W13868" t="s">
        <v>44915</v>
      </c>
      <c r="X13868" t="s">
        <v>45117</v>
      </c>
    </row>
    <row r="13869" spans="1:24">
      <c r="A13869">
        <f>HYPERLINK("https://www.philgeps.gov.ph/GEPSNONPILOT/Tender/SplashBidNoticeAbstractUI.aspx?menuIndex=3&amp;refID=7013067&amp;Result=3","7013067")</f>
        <v>0</v>
      </c>
      <c r="B13869" t="s">
        <v>3074</v>
      </c>
      <c r="C13869" t="s">
        <v>16467</v>
      </c>
      <c r="D13869" t="s">
        <v>18064</v>
      </c>
      <c r="E13869" t="s">
        <v>30139</v>
      </c>
      <c r="F13869" t="s">
        <v>31574</v>
      </c>
      <c r="G13869" t="s">
        <v>31582</v>
      </c>
      <c r="H13869" t="s">
        <v>31590</v>
      </c>
      <c r="I13869" t="s">
        <v>31614</v>
      </c>
      <c r="J13869" t="s">
        <v>40244</v>
      </c>
      <c r="K13869" t="s">
        <v>41200</v>
      </c>
      <c r="M13869" t="s">
        <v>44917</v>
      </c>
      <c r="N13869" t="s">
        <v>45095</v>
      </c>
      <c r="O13869" t="s">
        <v>45096</v>
      </c>
      <c r="P13869">
        <v>0</v>
      </c>
      <c r="Q13869">
        <v>4</v>
      </c>
      <c r="R13869" t="s">
        <v>45116</v>
      </c>
      <c r="S13869" t="s">
        <v>45923</v>
      </c>
      <c r="T13869" t="s">
        <v>46973</v>
      </c>
      <c r="U13869" t="s">
        <v>58664</v>
      </c>
      <c r="W13869" t="s">
        <v>44917</v>
      </c>
      <c r="X13869" t="s">
        <v>45117</v>
      </c>
    </row>
    <row r="13870" spans="1:24">
      <c r="A13870">
        <f>HYPERLINK("https://www.philgeps.gov.ph/GEPSNONPILOT/Tender/SplashBidNoticeAbstractUI.aspx?menuIndex=3&amp;refID=7012962&amp;Result=3","7012962")</f>
        <v>0</v>
      </c>
      <c r="B13870" t="s">
        <v>3072</v>
      </c>
      <c r="C13870" t="s">
        <v>16468</v>
      </c>
      <c r="D13870" t="s">
        <v>18040</v>
      </c>
      <c r="E13870" t="s">
        <v>30140</v>
      </c>
      <c r="F13870" t="s">
        <v>31574</v>
      </c>
      <c r="G13870" t="s">
        <v>31582</v>
      </c>
      <c r="H13870" t="s">
        <v>31590</v>
      </c>
      <c r="I13870" t="s">
        <v>31599</v>
      </c>
      <c r="J13870" t="s">
        <v>33343</v>
      </c>
      <c r="K13870" t="s">
        <v>41213</v>
      </c>
      <c r="M13870" t="s">
        <v>44915</v>
      </c>
      <c r="N13870" t="s">
        <v>45095</v>
      </c>
      <c r="O13870" t="s">
        <v>45096</v>
      </c>
      <c r="P13870">
        <v>0</v>
      </c>
      <c r="Q13870">
        <v>3</v>
      </c>
      <c r="R13870" t="s">
        <v>45116</v>
      </c>
      <c r="S13870" t="s">
        <v>45923</v>
      </c>
      <c r="T13870" t="s">
        <v>47154</v>
      </c>
      <c r="U13870" t="s">
        <v>58665</v>
      </c>
      <c r="W13870" t="s">
        <v>44915</v>
      </c>
      <c r="X13870" t="s">
        <v>45117</v>
      </c>
    </row>
    <row r="13871" spans="1:24">
      <c r="A13871">
        <f>HYPERLINK("https://www.philgeps.gov.ph/GEPSNONPILOT/Tender/SplashBidNoticeAbstractUI.aspx?menuIndex=3&amp;refID=7013047&amp;Result=3","7013047")</f>
        <v>0</v>
      </c>
      <c r="B13871" t="s">
        <v>357</v>
      </c>
      <c r="C13871" t="s">
        <v>14490</v>
      </c>
      <c r="D13871" t="s">
        <v>18026</v>
      </c>
      <c r="E13871" t="s">
        <v>30141</v>
      </c>
      <c r="F13871" t="s">
        <v>31574</v>
      </c>
      <c r="G13871" t="s">
        <v>31582</v>
      </c>
      <c r="H13871" t="s">
        <v>31590</v>
      </c>
      <c r="I13871" t="s">
        <v>4046</v>
      </c>
      <c r="J13871" t="s">
        <v>40245</v>
      </c>
      <c r="K13871" t="s">
        <v>41184</v>
      </c>
      <c r="M13871" t="s">
        <v>42576</v>
      </c>
      <c r="N13871" t="s">
        <v>45095</v>
      </c>
      <c r="O13871" t="s">
        <v>45096</v>
      </c>
      <c r="P13871">
        <v>0</v>
      </c>
      <c r="Q13871">
        <v>4</v>
      </c>
      <c r="R13871" t="s">
        <v>45116</v>
      </c>
      <c r="S13871" t="s">
        <v>45923</v>
      </c>
      <c r="T13871" t="s">
        <v>47076</v>
      </c>
      <c r="U13871" t="s">
        <v>58666</v>
      </c>
      <c r="W13871" t="s">
        <v>42576</v>
      </c>
      <c r="X13871" t="s">
        <v>45117</v>
      </c>
    </row>
    <row r="13872" spans="1:24">
      <c r="A13872">
        <f>HYPERLINK("https://www.philgeps.gov.ph/GEPSNONPILOT/Tender/SplashBidNoticeAbstractUI.aspx?menuIndex=3&amp;refID=7013120&amp;Result=3","7013120")</f>
        <v>0</v>
      </c>
      <c r="B13872" t="s">
        <v>693</v>
      </c>
      <c r="C13872" t="s">
        <v>16469</v>
      </c>
      <c r="D13872" t="s">
        <v>18022</v>
      </c>
      <c r="E13872" t="s">
        <v>30142</v>
      </c>
      <c r="F13872" t="s">
        <v>31574</v>
      </c>
      <c r="G13872" t="s">
        <v>31582</v>
      </c>
      <c r="H13872" t="s">
        <v>31592</v>
      </c>
      <c r="I13872" t="s">
        <v>31623</v>
      </c>
      <c r="J13872" t="s">
        <v>40246</v>
      </c>
      <c r="K13872" t="s">
        <v>41225</v>
      </c>
      <c r="M13872" t="s">
        <v>44769</v>
      </c>
      <c r="N13872" t="s">
        <v>45095</v>
      </c>
      <c r="O13872" t="s">
        <v>45096</v>
      </c>
      <c r="P13872">
        <v>0</v>
      </c>
      <c r="Q13872">
        <v>0</v>
      </c>
      <c r="R13872" t="s">
        <v>45116</v>
      </c>
      <c r="S13872" t="s">
        <v>45923</v>
      </c>
      <c r="T13872" t="s">
        <v>47076</v>
      </c>
      <c r="U13872" t="s">
        <v>58667</v>
      </c>
      <c r="W13872" t="s">
        <v>44769</v>
      </c>
      <c r="X13872" t="s">
        <v>45117</v>
      </c>
    </row>
    <row r="13873" spans="1:24">
      <c r="A13873">
        <f>HYPERLINK("https://www.philgeps.gov.ph/GEPSNONPILOT/Tender/SplashBidNoticeAbstractUI.aspx?menuIndex=3&amp;refID=7012967&amp;Result=3","7012967")</f>
        <v>0</v>
      </c>
      <c r="B13873" t="s">
        <v>1488</v>
      </c>
      <c r="C13873" t="s">
        <v>16470</v>
      </c>
      <c r="D13873" t="s">
        <v>18088</v>
      </c>
      <c r="E13873" t="s">
        <v>21914</v>
      </c>
      <c r="F13873" t="s">
        <v>31574</v>
      </c>
      <c r="G13873" t="s">
        <v>31582</v>
      </c>
      <c r="H13873" t="s">
        <v>31591</v>
      </c>
      <c r="I13873" t="s">
        <v>8822</v>
      </c>
      <c r="J13873" t="s">
        <v>31730</v>
      </c>
      <c r="K13873" t="s">
        <v>41184</v>
      </c>
      <c r="M13873" t="s">
        <v>43073</v>
      </c>
      <c r="N13873" t="s">
        <v>45095</v>
      </c>
      <c r="O13873" t="s">
        <v>45096</v>
      </c>
      <c r="P13873">
        <v>0</v>
      </c>
      <c r="Q13873">
        <v>0</v>
      </c>
      <c r="R13873" t="s">
        <v>45116</v>
      </c>
      <c r="S13873" t="s">
        <v>45923</v>
      </c>
      <c r="T13873" t="s">
        <v>47159</v>
      </c>
      <c r="U13873" t="s">
        <v>58668</v>
      </c>
      <c r="V13873" t="s">
        <v>61385</v>
      </c>
      <c r="W13873" t="s">
        <v>43073</v>
      </c>
      <c r="X13873" t="s">
        <v>45117</v>
      </c>
    </row>
    <row r="13874" spans="1:24">
      <c r="A13874">
        <f>HYPERLINK("https://www.philgeps.gov.ph/GEPSNONPILOT/Tender/SplashBidNoticeAbstractUI.aspx?menuIndex=3&amp;refID=7013030&amp;Result=3","7013030")</f>
        <v>0</v>
      </c>
      <c r="B13874" t="s">
        <v>2065</v>
      </c>
      <c r="C13874" t="s">
        <v>16471</v>
      </c>
      <c r="D13874" t="s">
        <v>18094</v>
      </c>
      <c r="E13874" t="s">
        <v>30143</v>
      </c>
      <c r="F13874" t="s">
        <v>31574</v>
      </c>
      <c r="G13874" t="s">
        <v>31582</v>
      </c>
      <c r="H13874" t="s">
        <v>31590</v>
      </c>
      <c r="I13874" t="s">
        <v>31615</v>
      </c>
      <c r="J13874" t="s">
        <v>31819</v>
      </c>
      <c r="K13874" t="s">
        <v>41186</v>
      </c>
      <c r="M13874" t="s">
        <v>43739</v>
      </c>
      <c r="N13874" t="s">
        <v>45095</v>
      </c>
      <c r="O13874" t="s">
        <v>45096</v>
      </c>
      <c r="P13874">
        <v>0</v>
      </c>
      <c r="Q13874">
        <v>7</v>
      </c>
      <c r="R13874" t="s">
        <v>45116</v>
      </c>
      <c r="S13874" t="s">
        <v>45923</v>
      </c>
      <c r="T13874" t="s">
        <v>47106</v>
      </c>
      <c r="U13874" t="s">
        <v>58669</v>
      </c>
      <c r="V13874" t="s">
        <v>61387</v>
      </c>
      <c r="W13874" t="s">
        <v>43739</v>
      </c>
      <c r="X13874" t="s">
        <v>45117</v>
      </c>
    </row>
    <row r="13875" spans="1:24">
      <c r="A13875">
        <f>HYPERLINK("https://www.philgeps.gov.ph/GEPSNONPILOT/Tender/SplashBidNoticeAbstractUI.aspx?menuIndex=3&amp;refID=7013103&amp;Result=3","7013103")</f>
        <v>0</v>
      </c>
      <c r="B13875" t="s">
        <v>263</v>
      </c>
      <c r="C13875" t="s">
        <v>16472</v>
      </c>
      <c r="D13875" t="s">
        <v>18041</v>
      </c>
      <c r="E13875" t="s">
        <v>30144</v>
      </c>
      <c r="F13875" t="s">
        <v>31574</v>
      </c>
      <c r="G13875" t="s">
        <v>31582</v>
      </c>
      <c r="H13875" t="s">
        <v>31590</v>
      </c>
      <c r="I13875" t="s">
        <v>31615</v>
      </c>
      <c r="J13875" t="s">
        <v>31935</v>
      </c>
      <c r="K13875" t="s">
        <v>41184</v>
      </c>
      <c r="M13875" t="s">
        <v>41749</v>
      </c>
      <c r="N13875" t="s">
        <v>45095</v>
      </c>
      <c r="O13875" t="s">
        <v>45096</v>
      </c>
      <c r="Q13875">
        <v>2</v>
      </c>
      <c r="R13875" t="s">
        <v>45116</v>
      </c>
      <c r="S13875" t="s">
        <v>45967</v>
      </c>
      <c r="T13875" t="s">
        <v>47050</v>
      </c>
      <c r="U13875" t="s">
        <v>58670</v>
      </c>
      <c r="W13875" t="s">
        <v>41749</v>
      </c>
      <c r="X13875" t="s">
        <v>45117</v>
      </c>
    </row>
    <row r="13876" spans="1:24">
      <c r="A13876">
        <f>HYPERLINK("https://www.philgeps.gov.ph/GEPSNONPILOT/Tender/SplashBidNoticeAbstractUI.aspx?menuIndex=3&amp;refID=7013111&amp;Result=3","7013111")</f>
        <v>0</v>
      </c>
      <c r="B13876" t="s">
        <v>176</v>
      </c>
      <c r="C13876" t="s">
        <v>16473</v>
      </c>
      <c r="D13876" t="s">
        <v>18059</v>
      </c>
      <c r="E13876" t="s">
        <v>30145</v>
      </c>
      <c r="F13876" t="s">
        <v>31574</v>
      </c>
      <c r="G13876" t="s">
        <v>31582</v>
      </c>
      <c r="H13876" t="s">
        <v>31590</v>
      </c>
      <c r="I13876" t="s">
        <v>4046</v>
      </c>
      <c r="J13876" t="s">
        <v>40247</v>
      </c>
      <c r="K13876" t="s">
        <v>41193</v>
      </c>
      <c r="M13876" t="s">
        <v>41660</v>
      </c>
      <c r="N13876" t="s">
        <v>45095</v>
      </c>
      <c r="O13876" t="s">
        <v>45096</v>
      </c>
      <c r="P13876">
        <v>0</v>
      </c>
      <c r="Q13876">
        <v>1</v>
      </c>
      <c r="R13876" t="s">
        <v>45116</v>
      </c>
      <c r="S13876" t="s">
        <v>45923</v>
      </c>
      <c r="T13876" t="s">
        <v>47197</v>
      </c>
      <c r="U13876" t="s">
        <v>58671</v>
      </c>
      <c r="W13876" t="s">
        <v>41660</v>
      </c>
      <c r="X13876" t="s">
        <v>45117</v>
      </c>
    </row>
    <row r="13877" spans="1:24">
      <c r="A13877">
        <f>HYPERLINK("https://www.philgeps.gov.ph/GEPSNONPILOT/Tender/SplashBidNoticeAbstractUI.aspx?menuIndex=3&amp;refID=7012999&amp;Result=3","7012999")</f>
        <v>0</v>
      </c>
      <c r="B13877" t="s">
        <v>1758</v>
      </c>
      <c r="C13877" t="s">
        <v>16474</v>
      </c>
      <c r="D13877" t="s">
        <v>18102</v>
      </c>
      <c r="E13877" t="s">
        <v>30146</v>
      </c>
      <c r="F13877" t="s">
        <v>31574</v>
      </c>
      <c r="G13877" t="s">
        <v>31582</v>
      </c>
      <c r="H13877" t="s">
        <v>31591</v>
      </c>
      <c r="I13877" t="s">
        <v>8822</v>
      </c>
      <c r="J13877" t="s">
        <v>40248</v>
      </c>
      <c r="K13877" t="s">
        <v>41185</v>
      </c>
      <c r="M13877" t="s">
        <v>43384</v>
      </c>
      <c r="N13877" t="s">
        <v>45095</v>
      </c>
      <c r="O13877" t="s">
        <v>45096</v>
      </c>
      <c r="P13877">
        <v>0</v>
      </c>
      <c r="Q13877">
        <v>2</v>
      </c>
      <c r="R13877" t="s">
        <v>45116</v>
      </c>
      <c r="S13877" t="s">
        <v>45923</v>
      </c>
      <c r="T13877" t="s">
        <v>47076</v>
      </c>
      <c r="U13877" t="s">
        <v>58672</v>
      </c>
      <c r="V13877" t="s">
        <v>61388</v>
      </c>
      <c r="W13877" t="s">
        <v>43384</v>
      </c>
      <c r="X13877" t="s">
        <v>45117</v>
      </c>
    </row>
    <row r="13878" spans="1:24">
      <c r="A13878">
        <f>HYPERLINK("https://www.philgeps.gov.ph/GEPSNONPILOT/Tender/SplashBidNoticeAbstractUI.aspx?menuIndex=3&amp;refID=7013105&amp;Result=3","7013105")</f>
        <v>0</v>
      </c>
      <c r="B13878" t="s">
        <v>1488</v>
      </c>
      <c r="C13878" t="s">
        <v>16475</v>
      </c>
      <c r="D13878" t="s">
        <v>18088</v>
      </c>
      <c r="E13878" t="s">
        <v>21914</v>
      </c>
      <c r="F13878" t="s">
        <v>31574</v>
      </c>
      <c r="G13878" t="s">
        <v>31582</v>
      </c>
      <c r="H13878" t="s">
        <v>31591</v>
      </c>
      <c r="I13878" t="s">
        <v>8822</v>
      </c>
      <c r="J13878" t="s">
        <v>31771</v>
      </c>
      <c r="K13878" t="s">
        <v>41184</v>
      </c>
      <c r="M13878" t="s">
        <v>43073</v>
      </c>
      <c r="N13878" t="s">
        <v>45095</v>
      </c>
      <c r="O13878" t="s">
        <v>45096</v>
      </c>
      <c r="P13878">
        <v>0</v>
      </c>
      <c r="Q13878">
        <v>0</v>
      </c>
      <c r="R13878" t="s">
        <v>45116</v>
      </c>
      <c r="S13878" t="s">
        <v>45923</v>
      </c>
      <c r="T13878" t="s">
        <v>47159</v>
      </c>
      <c r="U13878" t="s">
        <v>58673</v>
      </c>
      <c r="V13878" t="s">
        <v>61385</v>
      </c>
      <c r="W13878" t="s">
        <v>43073</v>
      </c>
      <c r="X13878" t="s">
        <v>45117</v>
      </c>
    </row>
    <row r="13879" spans="1:24">
      <c r="A13879">
        <f>HYPERLINK("https://www.philgeps.gov.ph/GEPSNONPILOT/Tender/SplashBidNoticeAbstractUI.aspx?menuIndex=3&amp;refID=7012939&amp;Result=3","7012939")</f>
        <v>0</v>
      </c>
      <c r="B13879" t="s">
        <v>1859</v>
      </c>
      <c r="C13879" t="s">
        <v>16476</v>
      </c>
      <c r="D13879" t="s">
        <v>18027</v>
      </c>
      <c r="E13879" t="s">
        <v>30147</v>
      </c>
      <c r="F13879" t="s">
        <v>31574</v>
      </c>
      <c r="G13879" t="s">
        <v>31582</v>
      </c>
      <c r="H13879" t="s">
        <v>31591</v>
      </c>
      <c r="I13879" t="s">
        <v>8822</v>
      </c>
      <c r="J13879" t="s">
        <v>31771</v>
      </c>
      <c r="K13879" t="s">
        <v>41203</v>
      </c>
      <c r="L13879" t="s">
        <v>1859</v>
      </c>
      <c r="M13879" t="s">
        <v>43497</v>
      </c>
      <c r="N13879" t="s">
        <v>45095</v>
      </c>
      <c r="O13879" t="s">
        <v>45096</v>
      </c>
      <c r="P13879">
        <v>0</v>
      </c>
      <c r="Q13879">
        <v>0</v>
      </c>
      <c r="R13879" t="s">
        <v>45116</v>
      </c>
      <c r="S13879" t="s">
        <v>45923</v>
      </c>
      <c r="T13879" t="s">
        <v>47159</v>
      </c>
      <c r="U13879" t="s">
        <v>49422</v>
      </c>
      <c r="V13879" t="s">
        <v>61389</v>
      </c>
      <c r="W13879" t="s">
        <v>43497</v>
      </c>
      <c r="X13879" t="s">
        <v>45117</v>
      </c>
    </row>
    <row r="13880" spans="1:24">
      <c r="A13880">
        <f>HYPERLINK("https://www.philgeps.gov.ph/GEPSNONPILOT/Tender/SplashBidNoticeAbstractUI.aspx?menuIndex=3&amp;refID=7013104&amp;Result=3","7013104")</f>
        <v>0</v>
      </c>
      <c r="B13880" t="s">
        <v>3075</v>
      </c>
      <c r="C13880" t="s">
        <v>16477</v>
      </c>
      <c r="D13880" t="s">
        <v>18066</v>
      </c>
      <c r="E13880" t="s">
        <v>30148</v>
      </c>
      <c r="F13880" t="s">
        <v>31574</v>
      </c>
      <c r="G13880" t="s">
        <v>31582</v>
      </c>
      <c r="H13880" t="s">
        <v>31590</v>
      </c>
      <c r="I13880" t="s">
        <v>4327</v>
      </c>
      <c r="J13880" t="s">
        <v>40249</v>
      </c>
      <c r="K13880" t="s">
        <v>41196</v>
      </c>
      <c r="M13880" t="s">
        <v>44918</v>
      </c>
      <c r="N13880" t="s">
        <v>45095</v>
      </c>
      <c r="O13880" t="s">
        <v>45096</v>
      </c>
      <c r="P13880">
        <v>0</v>
      </c>
      <c r="Q13880">
        <v>11</v>
      </c>
      <c r="R13880" t="s">
        <v>45116</v>
      </c>
      <c r="S13880" t="s">
        <v>45923</v>
      </c>
      <c r="T13880" t="s">
        <v>47050</v>
      </c>
      <c r="U13880" t="s">
        <v>58674</v>
      </c>
      <c r="W13880" t="s">
        <v>44918</v>
      </c>
      <c r="X13880" t="s">
        <v>45117</v>
      </c>
    </row>
    <row r="13881" spans="1:24">
      <c r="A13881">
        <f>HYPERLINK("https://www.philgeps.gov.ph/GEPSNONPILOT/Tender/SplashBidNoticeAbstractUI.aspx?menuIndex=3&amp;refID=7013141&amp;Result=3","7013141")</f>
        <v>0</v>
      </c>
      <c r="B13881" t="s">
        <v>1758</v>
      </c>
      <c r="C13881" t="s">
        <v>16478</v>
      </c>
      <c r="D13881" t="s">
        <v>18102</v>
      </c>
      <c r="E13881" t="s">
        <v>30149</v>
      </c>
      <c r="F13881" t="s">
        <v>31574</v>
      </c>
      <c r="G13881" t="s">
        <v>31582</v>
      </c>
      <c r="H13881" t="s">
        <v>31591</v>
      </c>
      <c r="I13881" t="s">
        <v>8822</v>
      </c>
      <c r="J13881" t="s">
        <v>40250</v>
      </c>
      <c r="K13881" t="s">
        <v>41192</v>
      </c>
      <c r="M13881" t="s">
        <v>43384</v>
      </c>
      <c r="N13881" t="s">
        <v>45095</v>
      </c>
      <c r="O13881" t="s">
        <v>45096</v>
      </c>
      <c r="P13881">
        <v>0</v>
      </c>
      <c r="Q13881">
        <v>3</v>
      </c>
      <c r="R13881" t="s">
        <v>45116</v>
      </c>
      <c r="S13881" t="s">
        <v>45923</v>
      </c>
      <c r="T13881" t="s">
        <v>47076</v>
      </c>
      <c r="U13881" t="s">
        <v>58675</v>
      </c>
      <c r="V13881" t="s">
        <v>61388</v>
      </c>
      <c r="W13881" t="s">
        <v>43384</v>
      </c>
      <c r="X13881" t="s">
        <v>45117</v>
      </c>
    </row>
    <row r="13882" spans="1:24">
      <c r="A13882">
        <f>HYPERLINK("https://www.philgeps.gov.ph/GEPSNONPILOT/Tender/SplashBidNoticeAbstractUI.aspx?menuIndex=3&amp;refID=7013202&amp;Result=3","7013202")</f>
        <v>0</v>
      </c>
      <c r="B13882" t="s">
        <v>3076</v>
      </c>
      <c r="C13882" t="s">
        <v>4523</v>
      </c>
      <c r="D13882" t="s">
        <v>18025</v>
      </c>
      <c r="E13882" t="s">
        <v>30150</v>
      </c>
      <c r="F13882" t="s">
        <v>31574</v>
      </c>
      <c r="G13882" t="s">
        <v>31582</v>
      </c>
      <c r="H13882" t="s">
        <v>31590</v>
      </c>
      <c r="I13882" t="s">
        <v>4046</v>
      </c>
      <c r="J13882" t="s">
        <v>40251</v>
      </c>
      <c r="K13882" t="s">
        <v>41184</v>
      </c>
      <c r="M13882" t="s">
        <v>44919</v>
      </c>
      <c r="N13882" t="s">
        <v>45095</v>
      </c>
      <c r="O13882" t="s">
        <v>45096</v>
      </c>
      <c r="P13882">
        <v>0</v>
      </c>
      <c r="Q13882">
        <v>1</v>
      </c>
      <c r="R13882" t="s">
        <v>45116</v>
      </c>
      <c r="S13882" t="s">
        <v>45923</v>
      </c>
      <c r="T13882" t="s">
        <v>47183</v>
      </c>
      <c r="U13882" t="s">
        <v>58676</v>
      </c>
      <c r="V13882" t="s">
        <v>61390</v>
      </c>
      <c r="W13882" t="s">
        <v>44919</v>
      </c>
      <c r="X13882" t="s">
        <v>45117</v>
      </c>
    </row>
    <row r="13883" spans="1:24">
      <c r="A13883">
        <f>HYPERLINK("https://www.philgeps.gov.ph/GEPSNONPILOT/Tender/SplashBidNoticeAbstractUI.aspx?menuIndex=3&amp;refID=7013165&amp;Result=3","7013165")</f>
        <v>0</v>
      </c>
      <c r="B13883" t="s">
        <v>3074</v>
      </c>
      <c r="C13883" t="s">
        <v>16479</v>
      </c>
      <c r="D13883" t="s">
        <v>18064</v>
      </c>
      <c r="E13883" t="s">
        <v>30151</v>
      </c>
      <c r="F13883" t="s">
        <v>31574</v>
      </c>
      <c r="G13883" t="s">
        <v>31582</v>
      </c>
      <c r="H13883" t="s">
        <v>31591</v>
      </c>
      <c r="I13883" t="s">
        <v>8822</v>
      </c>
      <c r="J13883" t="s">
        <v>40252</v>
      </c>
      <c r="K13883" t="s">
        <v>41202</v>
      </c>
      <c r="M13883" t="s">
        <v>44917</v>
      </c>
      <c r="N13883" t="s">
        <v>45095</v>
      </c>
      <c r="O13883" t="s">
        <v>45096</v>
      </c>
      <c r="P13883">
        <v>0</v>
      </c>
      <c r="Q13883">
        <v>5</v>
      </c>
      <c r="R13883" t="s">
        <v>45116</v>
      </c>
      <c r="S13883" t="s">
        <v>45923</v>
      </c>
      <c r="T13883" t="s">
        <v>46973</v>
      </c>
      <c r="U13883" t="s">
        <v>58677</v>
      </c>
      <c r="W13883" t="s">
        <v>44917</v>
      </c>
      <c r="X13883" t="s">
        <v>45117</v>
      </c>
    </row>
    <row r="13884" spans="1:24">
      <c r="A13884">
        <f>HYPERLINK("https://www.philgeps.gov.ph/GEPSNONPILOT/Tender/SplashBidNoticeAbstractUI.aspx?menuIndex=3&amp;refID=7013151&amp;Result=3","7013151")</f>
        <v>0</v>
      </c>
      <c r="B13884" t="s">
        <v>2004</v>
      </c>
      <c r="C13884" t="s">
        <v>16480</v>
      </c>
      <c r="D13884" t="s">
        <v>18062</v>
      </c>
      <c r="E13884" t="s">
        <v>30152</v>
      </c>
      <c r="F13884" t="s">
        <v>31574</v>
      </c>
      <c r="G13884" t="s">
        <v>31582</v>
      </c>
      <c r="H13884" t="s">
        <v>31590</v>
      </c>
      <c r="I13884" t="s">
        <v>31622</v>
      </c>
      <c r="J13884" t="s">
        <v>40253</v>
      </c>
      <c r="K13884" t="s">
        <v>41200</v>
      </c>
      <c r="M13884" t="s">
        <v>44920</v>
      </c>
      <c r="N13884" t="s">
        <v>45095</v>
      </c>
      <c r="O13884" t="s">
        <v>45096</v>
      </c>
      <c r="Q13884">
        <v>4</v>
      </c>
      <c r="R13884" t="s">
        <v>45116</v>
      </c>
      <c r="S13884" t="s">
        <v>45968</v>
      </c>
      <c r="T13884" t="s">
        <v>47142</v>
      </c>
      <c r="U13884" t="s">
        <v>58678</v>
      </c>
      <c r="W13884" t="s">
        <v>44920</v>
      </c>
      <c r="X13884" t="s">
        <v>45117</v>
      </c>
    </row>
    <row r="13885" spans="1:24">
      <c r="A13885">
        <f>HYPERLINK("https://www.philgeps.gov.ph/GEPSNONPILOT/Tender/SplashBidNoticeAbstractUI.aspx?menuIndex=3&amp;refID=7013183&amp;Result=3","7013183")</f>
        <v>0</v>
      </c>
      <c r="B13885" t="s">
        <v>3075</v>
      </c>
      <c r="C13885" t="s">
        <v>16481</v>
      </c>
      <c r="D13885" t="s">
        <v>18066</v>
      </c>
      <c r="E13885" t="s">
        <v>30153</v>
      </c>
      <c r="F13885" t="s">
        <v>31574</v>
      </c>
      <c r="G13885" t="s">
        <v>31582</v>
      </c>
      <c r="H13885" t="s">
        <v>31590</v>
      </c>
      <c r="I13885" t="s">
        <v>4327</v>
      </c>
      <c r="J13885" t="s">
        <v>31741</v>
      </c>
      <c r="K13885" t="s">
        <v>41196</v>
      </c>
      <c r="M13885" t="s">
        <v>44918</v>
      </c>
      <c r="N13885" t="s">
        <v>45095</v>
      </c>
      <c r="O13885" t="s">
        <v>45096</v>
      </c>
      <c r="P13885">
        <v>0</v>
      </c>
      <c r="Q13885">
        <v>3</v>
      </c>
      <c r="R13885" t="s">
        <v>45116</v>
      </c>
      <c r="S13885" t="s">
        <v>45923</v>
      </c>
      <c r="T13885" t="s">
        <v>47050</v>
      </c>
      <c r="U13885" t="s">
        <v>58679</v>
      </c>
      <c r="W13885" t="s">
        <v>44918</v>
      </c>
      <c r="X13885" t="s">
        <v>45117</v>
      </c>
    </row>
    <row r="13886" spans="1:24">
      <c r="A13886">
        <f>HYPERLINK("https://www.philgeps.gov.ph/GEPSNONPILOT/Tender/SplashBidNoticeAbstractUI.aspx?menuIndex=3&amp;refID=7013142&amp;Result=3","7013142")</f>
        <v>0</v>
      </c>
      <c r="B13886" t="s">
        <v>3075</v>
      </c>
      <c r="C13886" t="s">
        <v>16482</v>
      </c>
      <c r="D13886" t="s">
        <v>18066</v>
      </c>
      <c r="E13886" t="s">
        <v>30154</v>
      </c>
      <c r="F13886" t="s">
        <v>31574</v>
      </c>
      <c r="G13886" t="s">
        <v>31582</v>
      </c>
      <c r="H13886" t="s">
        <v>31590</v>
      </c>
      <c r="I13886" t="s">
        <v>31633</v>
      </c>
      <c r="J13886" t="s">
        <v>31789</v>
      </c>
      <c r="K13886" t="s">
        <v>41196</v>
      </c>
      <c r="M13886" t="s">
        <v>44918</v>
      </c>
      <c r="N13886" t="s">
        <v>45095</v>
      </c>
      <c r="O13886" t="s">
        <v>45096</v>
      </c>
      <c r="P13886">
        <v>0</v>
      </c>
      <c r="Q13886">
        <v>5</v>
      </c>
      <c r="R13886" t="s">
        <v>45116</v>
      </c>
      <c r="S13886" t="s">
        <v>45923</v>
      </c>
      <c r="T13886" t="s">
        <v>47050</v>
      </c>
      <c r="U13886" t="s">
        <v>58680</v>
      </c>
      <c r="W13886" t="s">
        <v>44918</v>
      </c>
      <c r="X13886" t="s">
        <v>45117</v>
      </c>
    </row>
    <row r="13887" spans="1:24">
      <c r="A13887">
        <f>HYPERLINK("https://www.philgeps.gov.ph/GEPSNONPILOT/Tender/SplashBidNoticeAbstractUI.aspx?menuIndex=3&amp;refID=7013262&amp;Result=3","7013262")</f>
        <v>0</v>
      </c>
      <c r="B13887" t="s">
        <v>1926</v>
      </c>
      <c r="C13887" t="s">
        <v>16483</v>
      </c>
      <c r="D13887" t="s">
        <v>18099</v>
      </c>
      <c r="E13887" t="s">
        <v>30155</v>
      </c>
      <c r="F13887" t="s">
        <v>31574</v>
      </c>
      <c r="G13887" t="s">
        <v>31582</v>
      </c>
      <c r="H13887" t="s">
        <v>31590</v>
      </c>
      <c r="I13887" t="s">
        <v>31691</v>
      </c>
      <c r="J13887" t="s">
        <v>40254</v>
      </c>
      <c r="K13887" t="s">
        <v>41196</v>
      </c>
      <c r="M13887" t="s">
        <v>43578</v>
      </c>
      <c r="N13887" t="s">
        <v>45095</v>
      </c>
      <c r="O13887" t="s">
        <v>45096</v>
      </c>
      <c r="P13887">
        <v>0</v>
      </c>
      <c r="Q13887">
        <v>3</v>
      </c>
      <c r="R13887" t="s">
        <v>45116</v>
      </c>
      <c r="S13887" t="s">
        <v>45923</v>
      </c>
      <c r="T13887" t="s">
        <v>46918</v>
      </c>
      <c r="U13887" t="s">
        <v>58681</v>
      </c>
      <c r="V13887" t="s">
        <v>61391</v>
      </c>
      <c r="W13887" t="s">
        <v>43578</v>
      </c>
      <c r="X13887" t="s">
        <v>45117</v>
      </c>
    </row>
    <row r="13888" spans="1:24">
      <c r="A13888">
        <f>HYPERLINK("https://www.philgeps.gov.ph/GEPSNONPILOT/Tender/SplashBidNoticeAbstractUI.aspx?menuIndex=3&amp;refID=7013181&amp;Result=3","7013181")</f>
        <v>0</v>
      </c>
      <c r="B13888" t="s">
        <v>3077</v>
      </c>
      <c r="C13888" t="s">
        <v>16484</v>
      </c>
      <c r="D13888" t="s">
        <v>18059</v>
      </c>
      <c r="E13888" t="s">
        <v>30156</v>
      </c>
      <c r="F13888" t="s">
        <v>31574</v>
      </c>
      <c r="G13888" t="s">
        <v>31582</v>
      </c>
      <c r="H13888" t="s">
        <v>31591</v>
      </c>
      <c r="I13888" t="s">
        <v>8822</v>
      </c>
      <c r="J13888" t="s">
        <v>32026</v>
      </c>
      <c r="K13888" t="s">
        <v>41200</v>
      </c>
      <c r="M13888" t="s">
        <v>44921</v>
      </c>
      <c r="N13888" t="s">
        <v>45095</v>
      </c>
      <c r="O13888" t="s">
        <v>45096</v>
      </c>
      <c r="P13888">
        <v>0</v>
      </c>
      <c r="Q13888">
        <v>0</v>
      </c>
      <c r="R13888" t="s">
        <v>45116</v>
      </c>
      <c r="S13888" t="s">
        <v>45923</v>
      </c>
      <c r="T13888" t="s">
        <v>46985</v>
      </c>
      <c r="U13888" t="s">
        <v>58682</v>
      </c>
      <c r="W13888" t="s">
        <v>44921</v>
      </c>
      <c r="X13888" t="s">
        <v>45117</v>
      </c>
    </row>
    <row r="13889" spans="1:24">
      <c r="A13889">
        <f>HYPERLINK("https://www.philgeps.gov.ph/GEPSNONPILOT/Tender/SplashBidNoticeAbstractUI.aspx?menuIndex=3&amp;refID=7013250&amp;Result=3","7013250")</f>
        <v>0</v>
      </c>
      <c r="B13889" t="s">
        <v>1488</v>
      </c>
      <c r="C13889" t="s">
        <v>16485</v>
      </c>
      <c r="D13889" t="s">
        <v>18088</v>
      </c>
      <c r="E13889" t="s">
        <v>21914</v>
      </c>
      <c r="F13889" t="s">
        <v>31574</v>
      </c>
      <c r="G13889" t="s">
        <v>31582</v>
      </c>
      <c r="H13889" t="s">
        <v>31591</v>
      </c>
      <c r="I13889" t="s">
        <v>8822</v>
      </c>
      <c r="J13889" t="s">
        <v>40255</v>
      </c>
      <c r="K13889" t="s">
        <v>41184</v>
      </c>
      <c r="M13889" t="s">
        <v>43073</v>
      </c>
      <c r="N13889" t="s">
        <v>45095</v>
      </c>
      <c r="O13889" t="s">
        <v>45096</v>
      </c>
      <c r="P13889">
        <v>0</v>
      </c>
      <c r="Q13889">
        <v>0</v>
      </c>
      <c r="R13889" t="s">
        <v>45116</v>
      </c>
      <c r="S13889" t="s">
        <v>45923</v>
      </c>
      <c r="T13889" t="s">
        <v>47159</v>
      </c>
      <c r="U13889" t="s">
        <v>58683</v>
      </c>
      <c r="V13889" t="s">
        <v>61385</v>
      </c>
      <c r="W13889" t="s">
        <v>43073</v>
      </c>
      <c r="X13889" t="s">
        <v>45117</v>
      </c>
    </row>
    <row r="13890" spans="1:24">
      <c r="A13890">
        <f>HYPERLINK("https://www.philgeps.gov.ph/GEPSNONPILOT/Tender/SplashBidNoticeAbstractUI.aspx?menuIndex=3&amp;refID=7013145&amp;Result=3","7013145")</f>
        <v>0</v>
      </c>
      <c r="B13890" t="s">
        <v>3072</v>
      </c>
      <c r="C13890" t="s">
        <v>16486</v>
      </c>
      <c r="D13890" t="s">
        <v>18040</v>
      </c>
      <c r="E13890" t="s">
        <v>30157</v>
      </c>
      <c r="F13890" t="s">
        <v>31574</v>
      </c>
      <c r="G13890" t="s">
        <v>31582</v>
      </c>
      <c r="H13890" t="s">
        <v>31591</v>
      </c>
      <c r="I13890" t="s">
        <v>8822</v>
      </c>
      <c r="J13890" t="s">
        <v>32026</v>
      </c>
      <c r="K13890" t="s">
        <v>41285</v>
      </c>
      <c r="M13890" t="s">
        <v>44915</v>
      </c>
      <c r="N13890" t="s">
        <v>45095</v>
      </c>
      <c r="O13890" t="s">
        <v>45096</v>
      </c>
      <c r="P13890">
        <v>0</v>
      </c>
      <c r="Q13890">
        <v>2</v>
      </c>
      <c r="R13890" t="s">
        <v>45116</v>
      </c>
      <c r="S13890" t="s">
        <v>45923</v>
      </c>
      <c r="T13890" t="s">
        <v>47154</v>
      </c>
      <c r="U13890" t="s">
        <v>58684</v>
      </c>
      <c r="W13890" t="s">
        <v>44915</v>
      </c>
      <c r="X13890" t="s">
        <v>45117</v>
      </c>
    </row>
    <row r="13891" spans="1:24">
      <c r="A13891">
        <f>HYPERLINK("https://www.philgeps.gov.ph/GEPSNONPILOT/Tender/SplashBidNoticeAbstractUI.aspx?menuIndex=3&amp;refID=7013257&amp;Result=3","7013257")</f>
        <v>0</v>
      </c>
      <c r="B13891" t="s">
        <v>1655</v>
      </c>
      <c r="C13891" t="s">
        <v>16487</v>
      </c>
      <c r="D13891" t="s">
        <v>18030</v>
      </c>
      <c r="E13891" t="s">
        <v>30158</v>
      </c>
      <c r="F13891" t="s">
        <v>31574</v>
      </c>
      <c r="G13891" t="s">
        <v>31582</v>
      </c>
      <c r="H13891" t="s">
        <v>31591</v>
      </c>
      <c r="I13891" t="s">
        <v>8822</v>
      </c>
      <c r="J13891" t="s">
        <v>32026</v>
      </c>
      <c r="K13891" t="s">
        <v>41189</v>
      </c>
      <c r="M13891" t="s">
        <v>43267</v>
      </c>
      <c r="N13891" t="s">
        <v>45095</v>
      </c>
      <c r="O13891" t="s">
        <v>45096</v>
      </c>
      <c r="P13891">
        <v>0</v>
      </c>
      <c r="Q13891">
        <v>2</v>
      </c>
      <c r="R13891" t="s">
        <v>45116</v>
      </c>
      <c r="S13891" t="s">
        <v>45923</v>
      </c>
      <c r="T13891" t="s">
        <v>47021</v>
      </c>
      <c r="U13891" t="s">
        <v>58685</v>
      </c>
      <c r="W13891" t="s">
        <v>43267</v>
      </c>
      <c r="X13891" t="s">
        <v>45117</v>
      </c>
    </row>
    <row r="13892" spans="1:24">
      <c r="A13892">
        <f>HYPERLINK("https://www.philgeps.gov.ph/GEPSNONPILOT/Tender/SplashBidNoticeAbstractUI.aspx?menuIndex=3&amp;refID=7013234&amp;Result=3","7013234")</f>
        <v>0</v>
      </c>
      <c r="B13892" t="s">
        <v>1758</v>
      </c>
      <c r="C13892" t="s">
        <v>16488</v>
      </c>
      <c r="D13892" t="s">
        <v>18102</v>
      </c>
      <c r="E13892" t="s">
        <v>29152</v>
      </c>
      <c r="F13892" t="s">
        <v>31574</v>
      </c>
      <c r="G13892" t="s">
        <v>31582</v>
      </c>
      <c r="H13892" t="s">
        <v>31591</v>
      </c>
      <c r="I13892" t="s">
        <v>8822</v>
      </c>
      <c r="J13892" t="s">
        <v>40256</v>
      </c>
      <c r="K13892" t="s">
        <v>41203</v>
      </c>
      <c r="M13892" t="s">
        <v>43384</v>
      </c>
      <c r="N13892" t="s">
        <v>45095</v>
      </c>
      <c r="O13892" t="s">
        <v>45096</v>
      </c>
      <c r="P13892">
        <v>0</v>
      </c>
      <c r="Q13892">
        <v>4</v>
      </c>
      <c r="R13892" t="s">
        <v>45116</v>
      </c>
      <c r="S13892" t="s">
        <v>45923</v>
      </c>
      <c r="T13892" t="s">
        <v>47076</v>
      </c>
      <c r="U13892" t="s">
        <v>58686</v>
      </c>
      <c r="V13892" t="s">
        <v>61392</v>
      </c>
      <c r="W13892" t="s">
        <v>43384</v>
      </c>
      <c r="X13892" t="s">
        <v>45117</v>
      </c>
    </row>
    <row r="13893" spans="1:24">
      <c r="A13893">
        <f>HYPERLINK("https://www.philgeps.gov.ph/GEPSNONPILOT/Tender/SplashBidNoticeAbstractUI.aspx?menuIndex=3&amp;refID=7013241&amp;Result=3","7013241")</f>
        <v>0</v>
      </c>
      <c r="B13893" t="s">
        <v>3077</v>
      </c>
      <c r="C13893" t="s">
        <v>16489</v>
      </c>
      <c r="D13893" t="s">
        <v>18059</v>
      </c>
      <c r="E13893" t="s">
        <v>30159</v>
      </c>
      <c r="F13893" t="s">
        <v>31574</v>
      </c>
      <c r="G13893" t="s">
        <v>31582</v>
      </c>
      <c r="H13893" t="s">
        <v>31591</v>
      </c>
      <c r="I13893" t="s">
        <v>8822</v>
      </c>
      <c r="J13893" t="s">
        <v>31730</v>
      </c>
      <c r="K13893" t="s">
        <v>41399</v>
      </c>
      <c r="M13893" t="s">
        <v>44921</v>
      </c>
      <c r="N13893" t="s">
        <v>45095</v>
      </c>
      <c r="O13893" t="s">
        <v>45096</v>
      </c>
      <c r="P13893">
        <v>0</v>
      </c>
      <c r="Q13893">
        <v>0</v>
      </c>
      <c r="R13893" t="s">
        <v>45116</v>
      </c>
      <c r="S13893" t="s">
        <v>45923</v>
      </c>
      <c r="T13893" t="s">
        <v>46985</v>
      </c>
      <c r="U13893" t="s">
        <v>58687</v>
      </c>
      <c r="W13893" t="s">
        <v>44921</v>
      </c>
      <c r="X13893" t="s">
        <v>45117</v>
      </c>
    </row>
    <row r="13894" spans="1:24">
      <c r="A13894">
        <f>HYPERLINK("https://www.philgeps.gov.ph/GEPSNONPILOT/Tender/SplashBidNoticeAbstractUI.aspx?menuIndex=3&amp;refID=7013208&amp;Result=3","7013208")</f>
        <v>0</v>
      </c>
      <c r="B13894" t="s">
        <v>3077</v>
      </c>
      <c r="C13894" t="s">
        <v>16490</v>
      </c>
      <c r="D13894" t="s">
        <v>18059</v>
      </c>
      <c r="E13894" t="s">
        <v>30160</v>
      </c>
      <c r="F13894" t="s">
        <v>31574</v>
      </c>
      <c r="G13894" t="s">
        <v>31582</v>
      </c>
      <c r="H13894" t="s">
        <v>31591</v>
      </c>
      <c r="I13894" t="s">
        <v>8822</v>
      </c>
      <c r="J13894" t="s">
        <v>40257</v>
      </c>
      <c r="K13894" t="s">
        <v>41406</v>
      </c>
      <c r="M13894" t="s">
        <v>44921</v>
      </c>
      <c r="N13894" t="s">
        <v>45095</v>
      </c>
      <c r="O13894" t="s">
        <v>45096</v>
      </c>
      <c r="P13894">
        <v>0</v>
      </c>
      <c r="Q13894">
        <v>1</v>
      </c>
      <c r="R13894" t="s">
        <v>45116</v>
      </c>
      <c r="S13894" t="s">
        <v>45923</v>
      </c>
      <c r="T13894" t="s">
        <v>46985</v>
      </c>
      <c r="U13894" t="s">
        <v>58688</v>
      </c>
      <c r="W13894" t="s">
        <v>44921</v>
      </c>
      <c r="X13894" t="s">
        <v>45117</v>
      </c>
    </row>
    <row r="13895" spans="1:24">
      <c r="A13895">
        <f>HYPERLINK("https://www.philgeps.gov.ph/GEPSNONPILOT/Tender/SplashBidNoticeAbstractUI.aspx?menuIndex=3&amp;refID=7013276&amp;Result=3","7013276")</f>
        <v>0</v>
      </c>
      <c r="B13895" t="s">
        <v>981</v>
      </c>
      <c r="C13895" t="s">
        <v>16491</v>
      </c>
      <c r="D13895" t="s">
        <v>18039</v>
      </c>
      <c r="E13895" t="s">
        <v>30161</v>
      </c>
      <c r="F13895" t="s">
        <v>31574</v>
      </c>
      <c r="G13895" t="s">
        <v>31582</v>
      </c>
      <c r="H13895" t="s">
        <v>31591</v>
      </c>
      <c r="I13895" t="s">
        <v>8822</v>
      </c>
      <c r="J13895" t="s">
        <v>31935</v>
      </c>
      <c r="K13895" t="s">
        <v>41192</v>
      </c>
      <c r="M13895" t="s">
        <v>42515</v>
      </c>
      <c r="N13895" t="s">
        <v>45095</v>
      </c>
      <c r="O13895" t="s">
        <v>45096</v>
      </c>
      <c r="P13895">
        <v>0</v>
      </c>
      <c r="Q13895">
        <v>1</v>
      </c>
      <c r="R13895" t="s">
        <v>45116</v>
      </c>
      <c r="S13895" t="s">
        <v>45923</v>
      </c>
      <c r="T13895" t="s">
        <v>46985</v>
      </c>
      <c r="U13895" t="s">
        <v>56026</v>
      </c>
      <c r="W13895" t="s">
        <v>42515</v>
      </c>
      <c r="X13895" t="s">
        <v>45117</v>
      </c>
    </row>
    <row r="13896" spans="1:24">
      <c r="A13896">
        <f>HYPERLINK("https://www.philgeps.gov.ph/GEPSNONPILOT/Tender/SplashBidNoticeAbstractUI.aspx?menuIndex=3&amp;refID=7013203&amp;Result=3","7013203")</f>
        <v>0</v>
      </c>
      <c r="B13896" t="s">
        <v>1655</v>
      </c>
      <c r="C13896" t="s">
        <v>16492</v>
      </c>
      <c r="D13896" t="s">
        <v>18030</v>
      </c>
      <c r="E13896" t="s">
        <v>30162</v>
      </c>
      <c r="F13896" t="s">
        <v>31574</v>
      </c>
      <c r="G13896" t="s">
        <v>31582</v>
      </c>
      <c r="H13896" t="s">
        <v>31591</v>
      </c>
      <c r="I13896" t="s">
        <v>8822</v>
      </c>
      <c r="J13896" t="s">
        <v>35831</v>
      </c>
      <c r="K13896" t="s">
        <v>41202</v>
      </c>
      <c r="M13896" t="s">
        <v>43267</v>
      </c>
      <c r="N13896" t="s">
        <v>45095</v>
      </c>
      <c r="O13896" t="s">
        <v>45096</v>
      </c>
      <c r="P13896">
        <v>0</v>
      </c>
      <c r="Q13896">
        <v>4</v>
      </c>
      <c r="R13896" t="s">
        <v>45116</v>
      </c>
      <c r="S13896" t="s">
        <v>45923</v>
      </c>
      <c r="T13896" t="s">
        <v>47021</v>
      </c>
      <c r="U13896" t="s">
        <v>58689</v>
      </c>
      <c r="W13896" t="s">
        <v>43267</v>
      </c>
      <c r="X13896" t="s">
        <v>45117</v>
      </c>
    </row>
    <row r="13897" spans="1:24">
      <c r="A13897">
        <f>HYPERLINK("https://www.philgeps.gov.ph/GEPSNONPILOT/Tender/SplashBidNoticeAbstractUI.aspx?menuIndex=3&amp;refID=7013267&amp;Result=3","7013267")</f>
        <v>0</v>
      </c>
      <c r="B13897" t="s">
        <v>3078</v>
      </c>
      <c r="C13897" t="s">
        <v>16493</v>
      </c>
      <c r="D13897" t="s">
        <v>18084</v>
      </c>
      <c r="E13897" t="s">
        <v>30163</v>
      </c>
      <c r="F13897" t="s">
        <v>31574</v>
      </c>
      <c r="G13897" t="s">
        <v>31582</v>
      </c>
      <c r="H13897" t="s">
        <v>31590</v>
      </c>
      <c r="I13897" t="s">
        <v>31599</v>
      </c>
      <c r="J13897" t="s">
        <v>37256</v>
      </c>
      <c r="K13897" t="s">
        <v>41186</v>
      </c>
      <c r="M13897" t="s">
        <v>44922</v>
      </c>
      <c r="N13897" t="s">
        <v>45095</v>
      </c>
      <c r="O13897" t="s">
        <v>45096</v>
      </c>
      <c r="P13897">
        <v>0</v>
      </c>
      <c r="Q13897">
        <v>1</v>
      </c>
      <c r="R13897" t="s">
        <v>45116</v>
      </c>
      <c r="S13897" t="s">
        <v>45923</v>
      </c>
      <c r="T13897" t="s">
        <v>47050</v>
      </c>
      <c r="U13897" t="s">
        <v>58690</v>
      </c>
      <c r="W13897" t="s">
        <v>44922</v>
      </c>
      <c r="X13897" t="s">
        <v>45117</v>
      </c>
    </row>
    <row r="13898" spans="1:24">
      <c r="A13898">
        <f>HYPERLINK("https://www.philgeps.gov.ph/GEPSNONPILOT/Tender/SplashBidNoticeAbstractUI.aspx?menuIndex=3&amp;refID=7013263&amp;Result=3","7013263")</f>
        <v>0</v>
      </c>
      <c r="B13898" t="s">
        <v>3077</v>
      </c>
      <c r="C13898" t="s">
        <v>16494</v>
      </c>
      <c r="D13898" t="s">
        <v>18059</v>
      </c>
      <c r="E13898" t="s">
        <v>30164</v>
      </c>
      <c r="F13898" t="s">
        <v>31574</v>
      </c>
      <c r="G13898" t="s">
        <v>31582</v>
      </c>
      <c r="H13898" t="s">
        <v>31591</v>
      </c>
      <c r="I13898" t="s">
        <v>8822</v>
      </c>
      <c r="J13898" t="s">
        <v>32101</v>
      </c>
      <c r="K13898" t="s">
        <v>41309</v>
      </c>
      <c r="M13898" t="s">
        <v>44921</v>
      </c>
      <c r="N13898" t="s">
        <v>45095</v>
      </c>
      <c r="O13898" t="s">
        <v>45096</v>
      </c>
      <c r="P13898">
        <v>0</v>
      </c>
      <c r="Q13898">
        <v>0</v>
      </c>
      <c r="R13898" t="s">
        <v>45116</v>
      </c>
      <c r="S13898" t="s">
        <v>45923</v>
      </c>
      <c r="T13898" t="s">
        <v>46985</v>
      </c>
      <c r="U13898" t="s">
        <v>58691</v>
      </c>
      <c r="W13898" t="s">
        <v>44921</v>
      </c>
      <c r="X13898" t="s">
        <v>45117</v>
      </c>
    </row>
    <row r="13899" spans="1:24">
      <c r="A13899">
        <f>HYPERLINK("https://www.philgeps.gov.ph/GEPSNONPILOT/Tender/SplashBidNoticeAbstractUI.aspx?menuIndex=3&amp;refID=7013324&amp;Result=3","7013324")</f>
        <v>0</v>
      </c>
      <c r="B13899" t="s">
        <v>2367</v>
      </c>
      <c r="C13899" t="s">
        <v>16495</v>
      </c>
      <c r="D13899" t="s">
        <v>18022</v>
      </c>
      <c r="E13899" t="s">
        <v>30165</v>
      </c>
      <c r="F13899" t="s">
        <v>31574</v>
      </c>
      <c r="G13899" t="s">
        <v>31582</v>
      </c>
      <c r="H13899" t="s">
        <v>31590</v>
      </c>
      <c r="I13899" t="s">
        <v>31595</v>
      </c>
      <c r="J13899" t="s">
        <v>32662</v>
      </c>
      <c r="K13899" t="s">
        <v>41184</v>
      </c>
      <c r="M13899" t="s">
        <v>44088</v>
      </c>
      <c r="N13899" t="s">
        <v>45095</v>
      </c>
      <c r="O13899" t="s">
        <v>45096</v>
      </c>
      <c r="Q13899">
        <v>18</v>
      </c>
      <c r="R13899" t="s">
        <v>45116</v>
      </c>
      <c r="S13899" t="s">
        <v>45969</v>
      </c>
      <c r="T13899" t="s">
        <v>46985</v>
      </c>
      <c r="U13899" t="s">
        <v>58692</v>
      </c>
      <c r="W13899" t="s">
        <v>44088</v>
      </c>
      <c r="X13899" t="s">
        <v>45117</v>
      </c>
    </row>
    <row r="13900" spans="1:24">
      <c r="A13900">
        <f>HYPERLINK("https://www.philgeps.gov.ph/GEPSNONPILOT/Tender/SplashBidNoticeAbstractUI.aspx?menuIndex=3&amp;refID=7013297&amp;Result=3","7013297")</f>
        <v>0</v>
      </c>
      <c r="B13900" t="s">
        <v>3077</v>
      </c>
      <c r="C13900" t="s">
        <v>16496</v>
      </c>
      <c r="D13900" t="s">
        <v>18059</v>
      </c>
      <c r="E13900" t="s">
        <v>30166</v>
      </c>
      <c r="F13900" t="s">
        <v>31574</v>
      </c>
      <c r="G13900" t="s">
        <v>31582</v>
      </c>
      <c r="H13900" t="s">
        <v>31591</v>
      </c>
      <c r="I13900" t="s">
        <v>8822</v>
      </c>
      <c r="J13900" t="s">
        <v>31730</v>
      </c>
      <c r="K13900" t="s">
        <v>41326</v>
      </c>
      <c r="M13900" t="s">
        <v>44921</v>
      </c>
      <c r="N13900" t="s">
        <v>45095</v>
      </c>
      <c r="O13900" t="s">
        <v>45096</v>
      </c>
      <c r="P13900">
        <v>0</v>
      </c>
      <c r="Q13900">
        <v>0</v>
      </c>
      <c r="R13900" t="s">
        <v>45116</v>
      </c>
      <c r="S13900" t="s">
        <v>45923</v>
      </c>
      <c r="T13900" t="s">
        <v>46985</v>
      </c>
      <c r="U13900" t="s">
        <v>58693</v>
      </c>
      <c r="W13900" t="s">
        <v>44921</v>
      </c>
      <c r="X13900" t="s">
        <v>45117</v>
      </c>
    </row>
    <row r="13901" spans="1:24">
      <c r="A13901">
        <f>HYPERLINK("https://www.philgeps.gov.ph/GEPSNONPILOT/Tender/SplashBidNoticeAbstractUI.aspx?menuIndex=3&amp;refID=7013171&amp;Result=3","7013171")</f>
        <v>0</v>
      </c>
      <c r="B13901" t="s">
        <v>524</v>
      </c>
      <c r="C13901" t="s">
        <v>16497</v>
      </c>
      <c r="D13901" t="s">
        <v>18094</v>
      </c>
      <c r="E13901" t="s">
        <v>30167</v>
      </c>
      <c r="F13901" t="s">
        <v>31574</v>
      </c>
      <c r="G13901" t="s">
        <v>31582</v>
      </c>
      <c r="H13901" t="s">
        <v>31590</v>
      </c>
      <c r="I13901" t="s">
        <v>8822</v>
      </c>
      <c r="J13901" t="s">
        <v>40258</v>
      </c>
      <c r="K13901" t="s">
        <v>41192</v>
      </c>
      <c r="M13901" t="s">
        <v>43926</v>
      </c>
      <c r="N13901" t="s">
        <v>45095</v>
      </c>
      <c r="O13901" t="s">
        <v>45096</v>
      </c>
      <c r="P13901">
        <v>0</v>
      </c>
      <c r="Q13901">
        <v>1</v>
      </c>
      <c r="R13901" t="s">
        <v>45116</v>
      </c>
      <c r="S13901" t="s">
        <v>45923</v>
      </c>
      <c r="T13901" t="s">
        <v>47050</v>
      </c>
      <c r="U13901" t="s">
        <v>57254</v>
      </c>
      <c r="W13901" t="s">
        <v>43926</v>
      </c>
      <c r="X13901" t="s">
        <v>45117</v>
      </c>
    </row>
    <row r="13902" spans="1:24">
      <c r="A13902">
        <f>HYPERLINK("https://www.philgeps.gov.ph/GEPSNONPILOT/Tender/SplashBidNoticeAbstractUI.aspx?menuIndex=3&amp;refID=7013207&amp;Result=3","7013207")</f>
        <v>0</v>
      </c>
      <c r="B13902" t="s">
        <v>981</v>
      </c>
      <c r="C13902" t="s">
        <v>16498</v>
      </c>
      <c r="D13902" t="s">
        <v>18039</v>
      </c>
      <c r="E13902" t="s">
        <v>30168</v>
      </c>
      <c r="F13902" t="s">
        <v>31574</v>
      </c>
      <c r="G13902" t="s">
        <v>31582</v>
      </c>
      <c r="H13902" t="s">
        <v>31591</v>
      </c>
      <c r="I13902" t="s">
        <v>8822</v>
      </c>
      <c r="J13902" t="s">
        <v>39180</v>
      </c>
      <c r="K13902" t="s">
        <v>41192</v>
      </c>
      <c r="M13902" t="s">
        <v>42515</v>
      </c>
      <c r="N13902" t="s">
        <v>45095</v>
      </c>
      <c r="O13902" t="s">
        <v>45096</v>
      </c>
      <c r="P13902">
        <v>0</v>
      </c>
      <c r="Q13902">
        <v>0</v>
      </c>
      <c r="R13902" t="s">
        <v>45116</v>
      </c>
      <c r="S13902" t="s">
        <v>45923</v>
      </c>
      <c r="T13902" t="s">
        <v>46985</v>
      </c>
      <c r="U13902" t="s">
        <v>58694</v>
      </c>
      <c r="W13902" t="s">
        <v>42515</v>
      </c>
      <c r="X13902" t="s">
        <v>45117</v>
      </c>
    </row>
    <row r="13903" spans="1:24">
      <c r="A13903">
        <f>HYPERLINK("https://www.philgeps.gov.ph/GEPSNONPILOT/Tender/SplashBidNoticeAbstractUI.aspx?menuIndex=3&amp;refID=7013290&amp;Result=3","7013290")</f>
        <v>0</v>
      </c>
      <c r="B13903" t="s">
        <v>1655</v>
      </c>
      <c r="C13903" t="s">
        <v>16499</v>
      </c>
      <c r="D13903" t="s">
        <v>18030</v>
      </c>
      <c r="E13903" t="s">
        <v>30169</v>
      </c>
      <c r="F13903" t="s">
        <v>31574</v>
      </c>
      <c r="G13903" t="s">
        <v>31582</v>
      </c>
      <c r="H13903" t="s">
        <v>31591</v>
      </c>
      <c r="I13903" t="s">
        <v>8822</v>
      </c>
      <c r="J13903" t="s">
        <v>31935</v>
      </c>
      <c r="K13903" t="s">
        <v>41185</v>
      </c>
      <c r="M13903" t="s">
        <v>43267</v>
      </c>
      <c r="N13903" t="s">
        <v>45095</v>
      </c>
      <c r="O13903" t="s">
        <v>45096</v>
      </c>
      <c r="P13903">
        <v>0</v>
      </c>
      <c r="Q13903">
        <v>2</v>
      </c>
      <c r="R13903" t="s">
        <v>45116</v>
      </c>
      <c r="S13903" t="s">
        <v>45923</v>
      </c>
      <c r="T13903" t="s">
        <v>47021</v>
      </c>
      <c r="U13903" t="s">
        <v>58695</v>
      </c>
      <c r="W13903" t="s">
        <v>43267</v>
      </c>
      <c r="X13903" t="s">
        <v>45117</v>
      </c>
    </row>
    <row r="13904" spans="1:24">
      <c r="A13904">
        <f>HYPERLINK("https://www.philgeps.gov.ph/GEPSNONPILOT/Tender/SplashBidNoticeAbstractUI.aspx?menuIndex=3&amp;refID=7013320&amp;Result=3","7013320")</f>
        <v>0</v>
      </c>
      <c r="B13904" t="s">
        <v>3078</v>
      </c>
      <c r="C13904" t="s">
        <v>16500</v>
      </c>
      <c r="D13904" t="s">
        <v>18084</v>
      </c>
      <c r="E13904" t="s">
        <v>30170</v>
      </c>
      <c r="F13904" t="s">
        <v>31574</v>
      </c>
      <c r="G13904" t="s">
        <v>31582</v>
      </c>
      <c r="H13904" t="s">
        <v>31591</v>
      </c>
      <c r="I13904" t="s">
        <v>8822</v>
      </c>
      <c r="J13904" t="s">
        <v>31947</v>
      </c>
      <c r="K13904" t="s">
        <v>41189</v>
      </c>
      <c r="M13904" t="s">
        <v>44922</v>
      </c>
      <c r="N13904" t="s">
        <v>45095</v>
      </c>
      <c r="O13904" t="s">
        <v>45096</v>
      </c>
      <c r="P13904">
        <v>0</v>
      </c>
      <c r="Q13904">
        <v>1</v>
      </c>
      <c r="R13904" t="s">
        <v>45116</v>
      </c>
      <c r="S13904" t="s">
        <v>45923</v>
      </c>
      <c r="T13904" t="s">
        <v>47050</v>
      </c>
      <c r="U13904" t="s">
        <v>58696</v>
      </c>
      <c r="W13904" t="s">
        <v>44922</v>
      </c>
      <c r="X13904" t="s">
        <v>45117</v>
      </c>
    </row>
    <row r="13905" spans="1:24">
      <c r="A13905">
        <f>HYPERLINK("https://www.philgeps.gov.ph/GEPSNONPILOT/Tender/SplashBidNoticeAbstractUI.aspx?menuIndex=3&amp;refID=7013201&amp;Result=3","7013201")</f>
        <v>0</v>
      </c>
      <c r="B13905" t="s">
        <v>1014</v>
      </c>
      <c r="C13905" t="s">
        <v>16501</v>
      </c>
      <c r="D13905" t="s">
        <v>18059</v>
      </c>
      <c r="E13905" t="s">
        <v>30171</v>
      </c>
      <c r="F13905" t="s">
        <v>31574</v>
      </c>
      <c r="G13905" t="s">
        <v>31582</v>
      </c>
      <c r="H13905" t="s">
        <v>31590</v>
      </c>
      <c r="I13905" t="s">
        <v>31615</v>
      </c>
      <c r="J13905" t="s">
        <v>40259</v>
      </c>
      <c r="K13905" t="s">
        <v>41192</v>
      </c>
      <c r="M13905" t="s">
        <v>42555</v>
      </c>
      <c r="N13905" t="s">
        <v>45095</v>
      </c>
      <c r="O13905" t="s">
        <v>45096</v>
      </c>
      <c r="P13905">
        <v>0</v>
      </c>
      <c r="Q13905">
        <v>1</v>
      </c>
      <c r="R13905" t="s">
        <v>45116</v>
      </c>
      <c r="S13905" t="s">
        <v>45923</v>
      </c>
      <c r="T13905" t="s">
        <v>47159</v>
      </c>
      <c r="U13905" t="s">
        <v>58697</v>
      </c>
      <c r="W13905" t="s">
        <v>42555</v>
      </c>
      <c r="X13905" t="s">
        <v>45117</v>
      </c>
    </row>
    <row r="13906" spans="1:24">
      <c r="A13906">
        <f>HYPERLINK("https://www.philgeps.gov.ph/GEPSNONPILOT/Tender/SplashBidNoticeAbstractUI.aspx?menuIndex=3&amp;refID=7013280&amp;Result=3","7013280")</f>
        <v>0</v>
      </c>
      <c r="B13906" t="s">
        <v>3079</v>
      </c>
      <c r="C13906" t="s">
        <v>16502</v>
      </c>
      <c r="D13906" t="s">
        <v>18064</v>
      </c>
      <c r="E13906" t="s">
        <v>29457</v>
      </c>
      <c r="F13906" t="s">
        <v>31574</v>
      </c>
      <c r="G13906" t="s">
        <v>31582</v>
      </c>
      <c r="H13906" t="s">
        <v>31590</v>
      </c>
      <c r="I13906" t="s">
        <v>31615</v>
      </c>
      <c r="J13906" t="s">
        <v>32076</v>
      </c>
      <c r="K13906" t="s">
        <v>41192</v>
      </c>
      <c r="M13906" t="s">
        <v>44923</v>
      </c>
      <c r="N13906" t="s">
        <v>45095</v>
      </c>
      <c r="O13906" t="s">
        <v>45096</v>
      </c>
      <c r="P13906">
        <v>0</v>
      </c>
      <c r="Q13906">
        <v>0</v>
      </c>
      <c r="R13906" t="s">
        <v>45116</v>
      </c>
      <c r="S13906" t="s">
        <v>45923</v>
      </c>
      <c r="T13906" t="s">
        <v>46985</v>
      </c>
      <c r="U13906" t="s">
        <v>58698</v>
      </c>
      <c r="W13906" t="s">
        <v>44923</v>
      </c>
      <c r="X13906" t="s">
        <v>45117</v>
      </c>
    </row>
    <row r="13907" spans="1:24">
      <c r="A13907">
        <f>HYPERLINK("https://www.philgeps.gov.ph/GEPSNONPILOT/Tender/SplashBidNoticeAbstractUI.aspx?menuIndex=3&amp;refID=7013308&amp;Result=3","7013308")</f>
        <v>0</v>
      </c>
      <c r="B13907" t="s">
        <v>981</v>
      </c>
      <c r="C13907" t="s">
        <v>16503</v>
      </c>
      <c r="D13907" t="s">
        <v>18039</v>
      </c>
      <c r="E13907" t="s">
        <v>30172</v>
      </c>
      <c r="F13907" t="s">
        <v>31574</v>
      </c>
      <c r="G13907" t="s">
        <v>31582</v>
      </c>
      <c r="H13907" t="s">
        <v>31591</v>
      </c>
      <c r="I13907" t="s">
        <v>8822</v>
      </c>
      <c r="J13907" t="s">
        <v>32497</v>
      </c>
      <c r="K13907" t="s">
        <v>41192</v>
      </c>
      <c r="M13907" t="s">
        <v>42515</v>
      </c>
      <c r="N13907" t="s">
        <v>45095</v>
      </c>
      <c r="O13907" t="s">
        <v>45096</v>
      </c>
      <c r="P13907">
        <v>0</v>
      </c>
      <c r="Q13907">
        <v>1</v>
      </c>
      <c r="R13907" t="s">
        <v>45116</v>
      </c>
      <c r="S13907" t="s">
        <v>45923</v>
      </c>
      <c r="T13907" t="s">
        <v>46985</v>
      </c>
      <c r="U13907" t="s">
        <v>58699</v>
      </c>
      <c r="W13907" t="s">
        <v>42515</v>
      </c>
      <c r="X13907" t="s">
        <v>45117</v>
      </c>
    </row>
    <row r="13908" spans="1:24">
      <c r="A13908">
        <f>HYPERLINK("https://www.philgeps.gov.ph/GEPSNONPILOT/Tender/SplashBidNoticeAbstractUI.aspx?menuIndex=3&amp;refID=7013364&amp;Result=3","7013364")</f>
        <v>0</v>
      </c>
      <c r="B13908" t="s">
        <v>1544</v>
      </c>
      <c r="C13908" t="s">
        <v>10166</v>
      </c>
      <c r="D13908" t="s">
        <v>18075</v>
      </c>
      <c r="E13908" t="s">
        <v>30173</v>
      </c>
      <c r="F13908" t="s">
        <v>31574</v>
      </c>
      <c r="G13908" t="s">
        <v>31582</v>
      </c>
      <c r="H13908" t="s">
        <v>31590</v>
      </c>
      <c r="I13908" t="s">
        <v>31607</v>
      </c>
      <c r="J13908" t="s">
        <v>40260</v>
      </c>
      <c r="K13908" t="s">
        <v>41186</v>
      </c>
      <c r="M13908" t="s">
        <v>43139</v>
      </c>
      <c r="N13908" t="s">
        <v>45095</v>
      </c>
      <c r="O13908" t="s">
        <v>45096</v>
      </c>
      <c r="Q13908">
        <v>2</v>
      </c>
      <c r="R13908" t="s">
        <v>45116</v>
      </c>
      <c r="S13908" t="s">
        <v>45970</v>
      </c>
      <c r="T13908" t="s">
        <v>47067</v>
      </c>
      <c r="U13908" t="s">
        <v>58700</v>
      </c>
      <c r="W13908" t="s">
        <v>43139</v>
      </c>
      <c r="X13908" t="s">
        <v>45117</v>
      </c>
    </row>
    <row r="13909" spans="1:24">
      <c r="A13909">
        <f>HYPERLINK("https://www.philgeps.gov.ph/GEPSNONPILOT/Tender/SplashBidNoticeAbstractUI.aspx?menuIndex=3&amp;refID=7013352&amp;Result=3","7013352")</f>
        <v>0</v>
      </c>
      <c r="B13909" t="s">
        <v>981</v>
      </c>
      <c r="C13909" t="s">
        <v>16504</v>
      </c>
      <c r="D13909" t="s">
        <v>18039</v>
      </c>
      <c r="E13909" t="s">
        <v>30174</v>
      </c>
      <c r="F13909" t="s">
        <v>31574</v>
      </c>
      <c r="G13909" t="s">
        <v>31582</v>
      </c>
      <c r="H13909" t="s">
        <v>31591</v>
      </c>
      <c r="I13909" t="s">
        <v>8822</v>
      </c>
      <c r="J13909" t="s">
        <v>32049</v>
      </c>
      <c r="K13909" t="s">
        <v>41192</v>
      </c>
      <c r="M13909" t="s">
        <v>42515</v>
      </c>
      <c r="N13909" t="s">
        <v>45095</v>
      </c>
      <c r="O13909" t="s">
        <v>45096</v>
      </c>
      <c r="P13909">
        <v>0</v>
      </c>
      <c r="Q13909">
        <v>0</v>
      </c>
      <c r="R13909" t="s">
        <v>45116</v>
      </c>
      <c r="S13909" t="s">
        <v>45923</v>
      </c>
      <c r="T13909" t="s">
        <v>47050</v>
      </c>
      <c r="U13909" t="s">
        <v>58701</v>
      </c>
      <c r="W13909" t="s">
        <v>42515</v>
      </c>
      <c r="X13909" t="s">
        <v>45117</v>
      </c>
    </row>
    <row r="13910" spans="1:24">
      <c r="A13910">
        <f>HYPERLINK("https://www.philgeps.gov.ph/GEPSNONPILOT/Tender/SplashBidNoticeAbstractUI.aspx?menuIndex=3&amp;refID=7013370&amp;Result=3","7013370")</f>
        <v>0</v>
      </c>
      <c r="B13910" t="s">
        <v>1655</v>
      </c>
      <c r="C13910" t="s">
        <v>16505</v>
      </c>
      <c r="D13910" t="s">
        <v>18030</v>
      </c>
      <c r="E13910" t="s">
        <v>30175</v>
      </c>
      <c r="F13910" t="s">
        <v>31574</v>
      </c>
      <c r="G13910" t="s">
        <v>31582</v>
      </c>
      <c r="H13910" t="s">
        <v>31591</v>
      </c>
      <c r="I13910" t="s">
        <v>8822</v>
      </c>
      <c r="J13910" t="s">
        <v>31771</v>
      </c>
      <c r="K13910" t="s">
        <v>41192</v>
      </c>
      <c r="M13910" t="s">
        <v>43267</v>
      </c>
      <c r="N13910" t="s">
        <v>45095</v>
      </c>
      <c r="O13910" t="s">
        <v>45096</v>
      </c>
      <c r="P13910">
        <v>0</v>
      </c>
      <c r="Q13910">
        <v>2</v>
      </c>
      <c r="R13910" t="s">
        <v>45116</v>
      </c>
      <c r="S13910" t="s">
        <v>45923</v>
      </c>
      <c r="T13910" t="s">
        <v>47021</v>
      </c>
      <c r="U13910" t="s">
        <v>58702</v>
      </c>
      <c r="W13910" t="s">
        <v>43267</v>
      </c>
      <c r="X13910" t="s">
        <v>45117</v>
      </c>
    </row>
    <row r="13911" spans="1:24">
      <c r="A13911">
        <f>HYPERLINK("https://www.philgeps.gov.ph/GEPSNONPILOT/Tender/SplashBidNoticeAbstractUI.aspx?menuIndex=3&amp;refID=7013365&amp;Result=3","7013365")</f>
        <v>0</v>
      </c>
      <c r="B13911" t="s">
        <v>3072</v>
      </c>
      <c r="C13911" t="s">
        <v>16506</v>
      </c>
      <c r="D13911" t="s">
        <v>18040</v>
      </c>
      <c r="E13911" t="s">
        <v>30176</v>
      </c>
      <c r="F13911" t="s">
        <v>31574</v>
      </c>
      <c r="G13911" t="s">
        <v>31582</v>
      </c>
      <c r="H13911" t="s">
        <v>31591</v>
      </c>
      <c r="I13911" t="s">
        <v>8822</v>
      </c>
      <c r="J13911" t="s">
        <v>31781</v>
      </c>
      <c r="K13911" t="s">
        <v>41189</v>
      </c>
      <c r="M13911" t="s">
        <v>44915</v>
      </c>
      <c r="N13911" t="s">
        <v>45095</v>
      </c>
      <c r="O13911" t="s">
        <v>45096</v>
      </c>
      <c r="P13911">
        <v>0</v>
      </c>
      <c r="Q13911">
        <v>2</v>
      </c>
      <c r="R13911" t="s">
        <v>45116</v>
      </c>
      <c r="S13911" t="s">
        <v>45923</v>
      </c>
      <c r="T13911" t="s">
        <v>47154</v>
      </c>
      <c r="U13911" t="s">
        <v>58703</v>
      </c>
      <c r="W13911" t="s">
        <v>44915</v>
      </c>
      <c r="X13911" t="s">
        <v>45117</v>
      </c>
    </row>
    <row r="13912" spans="1:24">
      <c r="A13912">
        <f>HYPERLINK("https://www.philgeps.gov.ph/GEPSNONPILOT/Tender/SplashBidNoticeAbstractUI.aspx?menuIndex=3&amp;refID=7013389&amp;Result=3","7013389")</f>
        <v>0</v>
      </c>
      <c r="B13912" t="s">
        <v>1655</v>
      </c>
      <c r="C13912" t="s">
        <v>16507</v>
      </c>
      <c r="D13912" t="s">
        <v>18030</v>
      </c>
      <c r="E13912" t="s">
        <v>30177</v>
      </c>
      <c r="F13912" t="s">
        <v>31574</v>
      </c>
      <c r="G13912" t="s">
        <v>31582</v>
      </c>
      <c r="H13912" t="s">
        <v>31591</v>
      </c>
      <c r="I13912" t="s">
        <v>7162</v>
      </c>
      <c r="J13912" t="s">
        <v>40261</v>
      </c>
      <c r="K13912" t="s">
        <v>41186</v>
      </c>
      <c r="M13912" t="s">
        <v>43267</v>
      </c>
      <c r="N13912" t="s">
        <v>45095</v>
      </c>
      <c r="O13912" t="s">
        <v>45096</v>
      </c>
      <c r="P13912">
        <v>0</v>
      </c>
      <c r="Q13912">
        <v>7</v>
      </c>
      <c r="R13912" t="s">
        <v>45116</v>
      </c>
      <c r="S13912" t="s">
        <v>45923</v>
      </c>
      <c r="T13912" t="s">
        <v>47021</v>
      </c>
      <c r="U13912" t="s">
        <v>58704</v>
      </c>
      <c r="W13912" t="s">
        <v>43267</v>
      </c>
      <c r="X13912" t="s">
        <v>45117</v>
      </c>
    </row>
    <row r="13913" spans="1:24">
      <c r="A13913">
        <f>HYPERLINK("https://www.philgeps.gov.ph/GEPSNONPILOT/Tender/SplashBidNoticeAbstractUI.aspx?menuIndex=3&amp;refID=7013378&amp;Result=3","7013378")</f>
        <v>0</v>
      </c>
      <c r="B13913" t="s">
        <v>981</v>
      </c>
      <c r="C13913" t="s">
        <v>16508</v>
      </c>
      <c r="D13913" t="s">
        <v>18039</v>
      </c>
      <c r="E13913" t="s">
        <v>30178</v>
      </c>
      <c r="F13913" t="s">
        <v>31574</v>
      </c>
      <c r="G13913" t="s">
        <v>31582</v>
      </c>
      <c r="H13913" t="s">
        <v>31591</v>
      </c>
      <c r="I13913" t="s">
        <v>8822</v>
      </c>
      <c r="J13913" t="s">
        <v>32019</v>
      </c>
      <c r="K13913" t="s">
        <v>41192</v>
      </c>
      <c r="M13913" t="s">
        <v>42515</v>
      </c>
      <c r="N13913" t="s">
        <v>45095</v>
      </c>
      <c r="O13913" t="s">
        <v>45096</v>
      </c>
      <c r="P13913">
        <v>0</v>
      </c>
      <c r="Q13913">
        <v>0</v>
      </c>
      <c r="R13913" t="s">
        <v>45116</v>
      </c>
      <c r="S13913" t="s">
        <v>45923</v>
      </c>
      <c r="T13913" t="s">
        <v>46985</v>
      </c>
      <c r="U13913" t="s">
        <v>56027</v>
      </c>
      <c r="W13913" t="s">
        <v>42515</v>
      </c>
      <c r="X13913" t="s">
        <v>45117</v>
      </c>
    </row>
    <row r="13914" spans="1:24">
      <c r="A13914">
        <f>HYPERLINK("https://www.philgeps.gov.ph/GEPSNONPILOT/Tender/SplashBidNoticeAbstractUI.aspx?menuIndex=3&amp;refID=7013335&amp;Result=3","7013335")</f>
        <v>0</v>
      </c>
      <c r="B13914" t="s">
        <v>981</v>
      </c>
      <c r="C13914" t="s">
        <v>16509</v>
      </c>
      <c r="D13914" t="s">
        <v>18039</v>
      </c>
      <c r="E13914" t="s">
        <v>30179</v>
      </c>
      <c r="F13914" t="s">
        <v>31574</v>
      </c>
      <c r="G13914" t="s">
        <v>31582</v>
      </c>
      <c r="H13914" t="s">
        <v>31591</v>
      </c>
      <c r="I13914" t="s">
        <v>8822</v>
      </c>
      <c r="J13914" t="s">
        <v>32001</v>
      </c>
      <c r="K13914" t="s">
        <v>41192</v>
      </c>
      <c r="M13914" t="s">
        <v>42515</v>
      </c>
      <c r="N13914" t="s">
        <v>45095</v>
      </c>
      <c r="O13914" t="s">
        <v>45096</v>
      </c>
      <c r="P13914">
        <v>0</v>
      </c>
      <c r="Q13914">
        <v>1</v>
      </c>
      <c r="R13914" t="s">
        <v>45116</v>
      </c>
      <c r="S13914" t="s">
        <v>45923</v>
      </c>
      <c r="T13914" t="s">
        <v>46985</v>
      </c>
      <c r="U13914" t="s">
        <v>58705</v>
      </c>
      <c r="W13914" t="s">
        <v>42515</v>
      </c>
      <c r="X13914" t="s">
        <v>45117</v>
      </c>
    </row>
    <row r="13915" spans="1:24">
      <c r="A13915">
        <f>HYPERLINK("https://www.philgeps.gov.ph/GEPSNONPILOT/Tender/SplashBidNoticeAbstractUI.aspx?menuIndex=3&amp;refID=7013333&amp;Result=3","7013333")</f>
        <v>0</v>
      </c>
      <c r="B13915" t="s">
        <v>3077</v>
      </c>
      <c r="C13915" t="s">
        <v>16510</v>
      </c>
      <c r="D13915" t="s">
        <v>18059</v>
      </c>
      <c r="E13915" t="s">
        <v>30180</v>
      </c>
      <c r="F13915" t="s">
        <v>31574</v>
      </c>
      <c r="G13915" t="s">
        <v>31582</v>
      </c>
      <c r="H13915" t="s">
        <v>31590</v>
      </c>
      <c r="I13915" t="s">
        <v>31649</v>
      </c>
      <c r="J13915" t="s">
        <v>40262</v>
      </c>
      <c r="K13915" t="s">
        <v>41186</v>
      </c>
      <c r="M13915" t="s">
        <v>44921</v>
      </c>
      <c r="N13915" t="s">
        <v>45095</v>
      </c>
      <c r="O13915" t="s">
        <v>45096</v>
      </c>
      <c r="P13915">
        <v>0</v>
      </c>
      <c r="Q13915">
        <v>3</v>
      </c>
      <c r="R13915" t="s">
        <v>45116</v>
      </c>
      <c r="S13915" t="s">
        <v>45923</v>
      </c>
      <c r="T13915" t="s">
        <v>46985</v>
      </c>
      <c r="U13915" t="s">
        <v>58706</v>
      </c>
      <c r="W13915" t="s">
        <v>44921</v>
      </c>
      <c r="X13915" t="s">
        <v>45117</v>
      </c>
    </row>
    <row r="13916" spans="1:24">
      <c r="A13916">
        <f>HYPERLINK("https://www.philgeps.gov.ph/GEPSNONPILOT/Tender/SplashBidNoticeAbstractUI.aspx?menuIndex=3&amp;refID=7013336&amp;Result=3","7013336")</f>
        <v>0</v>
      </c>
      <c r="B13916" t="s">
        <v>3080</v>
      </c>
      <c r="C13916" t="s">
        <v>16511</v>
      </c>
      <c r="D13916" t="s">
        <v>18076</v>
      </c>
      <c r="E13916" t="s">
        <v>18975</v>
      </c>
      <c r="F13916" t="s">
        <v>31574</v>
      </c>
      <c r="G13916" t="s">
        <v>31582</v>
      </c>
      <c r="H13916" t="s">
        <v>31591</v>
      </c>
      <c r="I13916" t="s">
        <v>8822</v>
      </c>
      <c r="J13916" t="s">
        <v>40263</v>
      </c>
      <c r="K13916" t="s">
        <v>41202</v>
      </c>
      <c r="M13916" t="s">
        <v>44924</v>
      </c>
      <c r="N13916" t="s">
        <v>45095</v>
      </c>
      <c r="O13916" t="s">
        <v>45096</v>
      </c>
      <c r="P13916">
        <v>0</v>
      </c>
      <c r="Q13916">
        <v>4</v>
      </c>
      <c r="R13916" t="s">
        <v>45116</v>
      </c>
      <c r="S13916" t="s">
        <v>45923</v>
      </c>
      <c r="T13916" t="s">
        <v>47183</v>
      </c>
      <c r="U13916" t="s">
        <v>58707</v>
      </c>
      <c r="W13916" t="s">
        <v>44924</v>
      </c>
      <c r="X13916" t="s">
        <v>45117</v>
      </c>
    </row>
    <row r="13917" spans="1:24">
      <c r="A13917">
        <f>HYPERLINK("https://www.philgeps.gov.ph/GEPSNONPILOT/Tender/SplashBidNoticeAbstractUI.aspx?menuIndex=3&amp;refID=7013337&amp;Result=3","7013337")</f>
        <v>0</v>
      </c>
      <c r="B13917" t="s">
        <v>524</v>
      </c>
      <c r="C13917" t="s">
        <v>16512</v>
      </c>
      <c r="D13917" t="s">
        <v>18094</v>
      </c>
      <c r="E13917" t="s">
        <v>30181</v>
      </c>
      <c r="F13917" t="s">
        <v>31574</v>
      </c>
      <c r="G13917" t="s">
        <v>31582</v>
      </c>
      <c r="H13917" t="s">
        <v>31591</v>
      </c>
      <c r="I13917" t="s">
        <v>8822</v>
      </c>
      <c r="J13917" t="s">
        <v>40264</v>
      </c>
      <c r="K13917" t="s">
        <v>41217</v>
      </c>
      <c r="M13917" t="s">
        <v>43926</v>
      </c>
      <c r="N13917" t="s">
        <v>45095</v>
      </c>
      <c r="O13917" t="s">
        <v>45096</v>
      </c>
      <c r="Q13917">
        <v>0</v>
      </c>
      <c r="R13917" t="s">
        <v>45116</v>
      </c>
      <c r="S13917" t="s">
        <v>45971</v>
      </c>
      <c r="T13917" t="s">
        <v>47323</v>
      </c>
      <c r="U13917" t="s">
        <v>57254</v>
      </c>
      <c r="W13917" t="s">
        <v>43926</v>
      </c>
      <c r="X13917" t="s">
        <v>45117</v>
      </c>
    </row>
    <row r="13918" spans="1:24">
      <c r="A13918">
        <f>HYPERLINK("https://www.philgeps.gov.ph/GEPSNONPILOT/Tender/SplashBidNoticeAbstractUI.aspx?menuIndex=3&amp;refID=7013411&amp;Result=3","7013411")</f>
        <v>0</v>
      </c>
      <c r="B13918" t="s">
        <v>3080</v>
      </c>
      <c r="C13918" t="s">
        <v>16513</v>
      </c>
      <c r="D13918" t="s">
        <v>18076</v>
      </c>
      <c r="E13918" t="s">
        <v>19127</v>
      </c>
      <c r="F13918" t="s">
        <v>31574</v>
      </c>
      <c r="G13918" t="s">
        <v>31582</v>
      </c>
      <c r="H13918" t="s">
        <v>31591</v>
      </c>
      <c r="I13918" t="s">
        <v>8822</v>
      </c>
      <c r="J13918" t="s">
        <v>33199</v>
      </c>
      <c r="K13918" t="s">
        <v>41475</v>
      </c>
      <c r="M13918" t="s">
        <v>44924</v>
      </c>
      <c r="N13918" t="s">
        <v>45095</v>
      </c>
      <c r="O13918" t="s">
        <v>45096</v>
      </c>
      <c r="P13918">
        <v>0</v>
      </c>
      <c r="Q13918">
        <v>6</v>
      </c>
      <c r="R13918" t="s">
        <v>45116</v>
      </c>
      <c r="S13918" t="s">
        <v>45923</v>
      </c>
      <c r="T13918" t="s">
        <v>47183</v>
      </c>
      <c r="U13918" t="s">
        <v>58708</v>
      </c>
      <c r="W13918" t="s">
        <v>44924</v>
      </c>
      <c r="X13918" t="s">
        <v>45117</v>
      </c>
    </row>
    <row r="13919" spans="1:24">
      <c r="A13919">
        <f>HYPERLINK("https://www.philgeps.gov.ph/GEPSNONPILOT/Tender/SplashBidNoticeAbstractUI.aspx?menuIndex=3&amp;refID=7013379&amp;Result=3","7013379")</f>
        <v>0</v>
      </c>
      <c r="B13919" t="s">
        <v>469</v>
      </c>
      <c r="C13919" t="s">
        <v>16514</v>
      </c>
      <c r="D13919" t="s">
        <v>18091</v>
      </c>
      <c r="E13919" t="s">
        <v>30182</v>
      </c>
      <c r="F13919" t="s">
        <v>31574</v>
      </c>
      <c r="G13919" t="s">
        <v>31582</v>
      </c>
      <c r="H13919" t="s">
        <v>31591</v>
      </c>
      <c r="I13919" t="s">
        <v>8822</v>
      </c>
      <c r="J13919" t="s">
        <v>40265</v>
      </c>
      <c r="K13919" t="s">
        <v>41189</v>
      </c>
      <c r="M13919" t="s">
        <v>41963</v>
      </c>
      <c r="N13919" t="s">
        <v>45095</v>
      </c>
      <c r="O13919" t="s">
        <v>45096</v>
      </c>
      <c r="P13919">
        <v>0</v>
      </c>
      <c r="Q13919">
        <v>0</v>
      </c>
      <c r="R13919" t="s">
        <v>45116</v>
      </c>
      <c r="S13919" t="s">
        <v>45923</v>
      </c>
      <c r="T13919" t="s">
        <v>47076</v>
      </c>
      <c r="U13919" t="s">
        <v>58709</v>
      </c>
      <c r="W13919" t="s">
        <v>41963</v>
      </c>
      <c r="X13919" t="s">
        <v>45117</v>
      </c>
    </row>
    <row r="13920" spans="1:24">
      <c r="A13920">
        <f>HYPERLINK("https://www.philgeps.gov.ph/GEPSNONPILOT/Tender/SplashBidNoticeAbstractUI.aspx?menuIndex=3&amp;refID=7013409&amp;Result=3","7013409")</f>
        <v>0</v>
      </c>
      <c r="B13920" t="s">
        <v>3072</v>
      </c>
      <c r="C13920" t="s">
        <v>16515</v>
      </c>
      <c r="D13920" t="s">
        <v>18040</v>
      </c>
      <c r="E13920" t="s">
        <v>30183</v>
      </c>
      <c r="F13920" t="s">
        <v>31574</v>
      </c>
      <c r="G13920" t="s">
        <v>31582</v>
      </c>
      <c r="H13920" t="s">
        <v>31591</v>
      </c>
      <c r="I13920" t="s">
        <v>8822</v>
      </c>
      <c r="J13920" t="s">
        <v>31771</v>
      </c>
      <c r="K13920" t="s">
        <v>41203</v>
      </c>
      <c r="M13920" t="s">
        <v>44915</v>
      </c>
      <c r="N13920" t="s">
        <v>45095</v>
      </c>
      <c r="O13920" t="s">
        <v>45096</v>
      </c>
      <c r="P13920">
        <v>0</v>
      </c>
      <c r="Q13920">
        <v>1</v>
      </c>
      <c r="R13920" t="s">
        <v>45116</v>
      </c>
      <c r="S13920" t="s">
        <v>45923</v>
      </c>
      <c r="T13920" t="s">
        <v>47154</v>
      </c>
      <c r="U13920" t="s">
        <v>58710</v>
      </c>
      <c r="W13920" t="s">
        <v>44915</v>
      </c>
      <c r="X13920" t="s">
        <v>45117</v>
      </c>
    </row>
    <row r="13921" spans="1:24">
      <c r="A13921">
        <f>HYPERLINK("https://www.philgeps.gov.ph/GEPSNONPILOT/Tender/SplashBidNoticeAbstractUI.aspx?menuIndex=3&amp;refID=7013437&amp;Result=3","7013437")</f>
        <v>0</v>
      </c>
      <c r="B13921" t="s">
        <v>981</v>
      </c>
      <c r="C13921" t="s">
        <v>16516</v>
      </c>
      <c r="D13921" t="s">
        <v>18039</v>
      </c>
      <c r="E13921" t="s">
        <v>30184</v>
      </c>
      <c r="F13921" t="s">
        <v>31574</v>
      </c>
      <c r="G13921" t="s">
        <v>31582</v>
      </c>
      <c r="H13921" t="s">
        <v>31591</v>
      </c>
      <c r="I13921" t="s">
        <v>8822</v>
      </c>
      <c r="J13921" t="s">
        <v>32019</v>
      </c>
      <c r="K13921" t="s">
        <v>41192</v>
      </c>
      <c r="M13921" t="s">
        <v>42515</v>
      </c>
      <c r="N13921" t="s">
        <v>45095</v>
      </c>
      <c r="O13921" t="s">
        <v>45096</v>
      </c>
      <c r="P13921">
        <v>0</v>
      </c>
      <c r="Q13921">
        <v>1</v>
      </c>
      <c r="R13921" t="s">
        <v>45116</v>
      </c>
      <c r="S13921" t="s">
        <v>45923</v>
      </c>
      <c r="T13921" t="s">
        <v>46985</v>
      </c>
      <c r="U13921" t="s">
        <v>56027</v>
      </c>
      <c r="W13921" t="s">
        <v>42515</v>
      </c>
      <c r="X13921" t="s">
        <v>45117</v>
      </c>
    </row>
    <row r="13922" spans="1:24">
      <c r="A13922">
        <f>HYPERLINK("https://www.philgeps.gov.ph/GEPSNONPILOT/Tender/SplashBidNoticeAbstractUI.aspx?menuIndex=3&amp;refID=7013350&amp;Result=3","7013350")</f>
        <v>0</v>
      </c>
      <c r="B13922" t="s">
        <v>1655</v>
      </c>
      <c r="C13922" t="s">
        <v>16517</v>
      </c>
      <c r="D13922" t="s">
        <v>18030</v>
      </c>
      <c r="E13922" t="s">
        <v>30185</v>
      </c>
      <c r="F13922" t="s">
        <v>31574</v>
      </c>
      <c r="G13922" t="s">
        <v>31582</v>
      </c>
      <c r="H13922" t="s">
        <v>31591</v>
      </c>
      <c r="I13922" t="s">
        <v>8822</v>
      </c>
      <c r="J13922" t="s">
        <v>32026</v>
      </c>
      <c r="K13922" t="s">
        <v>41185</v>
      </c>
      <c r="M13922" t="s">
        <v>43267</v>
      </c>
      <c r="N13922" t="s">
        <v>45095</v>
      </c>
      <c r="O13922" t="s">
        <v>45096</v>
      </c>
      <c r="P13922">
        <v>0</v>
      </c>
      <c r="Q13922">
        <v>3</v>
      </c>
      <c r="R13922" t="s">
        <v>45116</v>
      </c>
      <c r="S13922" t="s">
        <v>45923</v>
      </c>
      <c r="T13922" t="s">
        <v>47021</v>
      </c>
      <c r="U13922" t="s">
        <v>58711</v>
      </c>
      <c r="W13922" t="s">
        <v>43267</v>
      </c>
      <c r="X13922" t="s">
        <v>45117</v>
      </c>
    </row>
    <row r="13923" spans="1:24">
      <c r="A13923">
        <f>HYPERLINK("https://www.philgeps.gov.ph/GEPSNONPILOT/Tender/SplashBidNoticeAbstractUI.aspx?menuIndex=3&amp;refID=7013439&amp;Result=3","7013439")</f>
        <v>0</v>
      </c>
      <c r="B13923" t="s">
        <v>1488</v>
      </c>
      <c r="C13923" t="s">
        <v>16518</v>
      </c>
      <c r="D13923" t="s">
        <v>18088</v>
      </c>
      <c r="E13923" t="s">
        <v>21914</v>
      </c>
      <c r="F13923" t="s">
        <v>31574</v>
      </c>
      <c r="G13923" t="s">
        <v>31582</v>
      </c>
      <c r="H13923" t="s">
        <v>31591</v>
      </c>
      <c r="I13923" t="s">
        <v>8822</v>
      </c>
      <c r="J13923" t="s">
        <v>35045</v>
      </c>
      <c r="K13923" t="s">
        <v>41184</v>
      </c>
      <c r="M13923" t="s">
        <v>43073</v>
      </c>
      <c r="N13923" t="s">
        <v>45095</v>
      </c>
      <c r="O13923" t="s">
        <v>45096</v>
      </c>
      <c r="P13923">
        <v>0</v>
      </c>
      <c r="Q13923">
        <v>0</v>
      </c>
      <c r="R13923" t="s">
        <v>45116</v>
      </c>
      <c r="S13923" t="s">
        <v>45923</v>
      </c>
      <c r="T13923" t="s">
        <v>47159</v>
      </c>
      <c r="U13923" t="s">
        <v>58712</v>
      </c>
      <c r="V13923" t="s">
        <v>61385</v>
      </c>
      <c r="W13923" t="s">
        <v>43073</v>
      </c>
      <c r="X13923" t="s">
        <v>45117</v>
      </c>
    </row>
    <row r="13924" spans="1:24">
      <c r="A13924">
        <f>HYPERLINK("https://www.philgeps.gov.ph/GEPSNONPILOT/Tender/SplashBidNoticeAbstractUI.aspx?menuIndex=3&amp;refID=7013426&amp;Result=3","7013426")</f>
        <v>0</v>
      </c>
      <c r="B13924" t="s">
        <v>303</v>
      </c>
      <c r="C13924" t="s">
        <v>16349</v>
      </c>
      <c r="D13924" t="s">
        <v>18043</v>
      </c>
      <c r="E13924" t="s">
        <v>26653</v>
      </c>
      <c r="F13924" t="s">
        <v>31574</v>
      </c>
      <c r="G13924" t="s">
        <v>31582</v>
      </c>
      <c r="H13924" t="s">
        <v>31590</v>
      </c>
      <c r="I13924" t="s">
        <v>31615</v>
      </c>
      <c r="J13924" t="s">
        <v>32076</v>
      </c>
      <c r="K13924" t="s">
        <v>41190</v>
      </c>
      <c r="M13924" t="s">
        <v>41789</v>
      </c>
      <c r="N13924" t="s">
        <v>45095</v>
      </c>
      <c r="O13924" t="s">
        <v>45096</v>
      </c>
      <c r="Q13924">
        <v>1</v>
      </c>
      <c r="R13924" t="s">
        <v>45116</v>
      </c>
      <c r="S13924" t="s">
        <v>45972</v>
      </c>
      <c r="T13924" t="s">
        <v>46973</v>
      </c>
      <c r="U13924" t="s">
        <v>58713</v>
      </c>
      <c r="W13924" t="s">
        <v>41789</v>
      </c>
      <c r="X13924" t="s">
        <v>45117</v>
      </c>
    </row>
    <row r="13925" spans="1:24">
      <c r="A13925">
        <f>HYPERLINK("https://www.philgeps.gov.ph/GEPSNONPILOT/Tender/SplashBidNoticeAbstractUI.aspx?menuIndex=3&amp;refID=7013472&amp;Result=3","7013472")</f>
        <v>0</v>
      </c>
      <c r="B13925" t="s">
        <v>1211</v>
      </c>
      <c r="C13925" t="s">
        <v>16519</v>
      </c>
      <c r="D13925" t="s">
        <v>18041</v>
      </c>
      <c r="E13925" t="s">
        <v>30186</v>
      </c>
      <c r="F13925" t="s">
        <v>31574</v>
      </c>
      <c r="G13925" t="s">
        <v>31582</v>
      </c>
      <c r="H13925" t="s">
        <v>31590</v>
      </c>
      <c r="I13925" t="s">
        <v>31608</v>
      </c>
      <c r="J13925" t="s">
        <v>40266</v>
      </c>
      <c r="K13925" t="s">
        <v>41185</v>
      </c>
      <c r="M13925" t="s">
        <v>42771</v>
      </c>
      <c r="N13925" t="s">
        <v>45095</v>
      </c>
      <c r="O13925" t="s">
        <v>45096</v>
      </c>
      <c r="P13925">
        <v>0</v>
      </c>
      <c r="Q13925">
        <v>11</v>
      </c>
      <c r="R13925" t="s">
        <v>45116</v>
      </c>
      <c r="S13925" t="s">
        <v>45923</v>
      </c>
      <c r="T13925" t="s">
        <v>47171</v>
      </c>
      <c r="U13925" t="s">
        <v>51681</v>
      </c>
      <c r="W13925" t="s">
        <v>61694</v>
      </c>
      <c r="X13925" t="s">
        <v>45117</v>
      </c>
    </row>
    <row r="13926" spans="1:24">
      <c r="A13926">
        <f>HYPERLINK("https://www.philgeps.gov.ph/GEPSNONPILOT/Tender/SplashBidNoticeAbstractUI.aspx?menuIndex=3&amp;refID=7013487&amp;Result=3","7013487")</f>
        <v>0</v>
      </c>
      <c r="B13926" t="s">
        <v>3081</v>
      </c>
      <c r="C13926" t="s">
        <v>16520</v>
      </c>
      <c r="D13926" t="s">
        <v>18077</v>
      </c>
      <c r="E13926" t="s">
        <v>30187</v>
      </c>
      <c r="F13926" t="s">
        <v>31574</v>
      </c>
      <c r="G13926" t="s">
        <v>31582</v>
      </c>
      <c r="H13926" t="s">
        <v>31590</v>
      </c>
      <c r="I13926" t="s">
        <v>31607</v>
      </c>
      <c r="J13926" t="s">
        <v>40267</v>
      </c>
      <c r="K13926" t="s">
        <v>41193</v>
      </c>
      <c r="M13926" t="s">
        <v>44925</v>
      </c>
      <c r="N13926" t="s">
        <v>45095</v>
      </c>
      <c r="O13926" t="s">
        <v>45096</v>
      </c>
      <c r="P13926">
        <v>0</v>
      </c>
      <c r="Q13926">
        <v>1</v>
      </c>
      <c r="R13926" t="s">
        <v>45116</v>
      </c>
      <c r="S13926" t="s">
        <v>45923</v>
      </c>
      <c r="T13926" t="s">
        <v>46985</v>
      </c>
      <c r="U13926" t="s">
        <v>58714</v>
      </c>
      <c r="W13926" t="s">
        <v>44925</v>
      </c>
      <c r="X13926" t="s">
        <v>45117</v>
      </c>
    </row>
    <row r="13927" spans="1:24">
      <c r="A13927">
        <f>HYPERLINK("https://www.philgeps.gov.ph/GEPSNONPILOT/Tender/SplashBidNoticeAbstractUI.aspx?menuIndex=3&amp;refID=7013449&amp;Result=3","7013449")</f>
        <v>0</v>
      </c>
      <c r="B13927" t="s">
        <v>981</v>
      </c>
      <c r="C13927" t="s">
        <v>16521</v>
      </c>
      <c r="D13927" t="s">
        <v>18039</v>
      </c>
      <c r="E13927" t="s">
        <v>30188</v>
      </c>
      <c r="F13927" t="s">
        <v>31574</v>
      </c>
      <c r="G13927" t="s">
        <v>31582</v>
      </c>
      <c r="H13927" t="s">
        <v>31591</v>
      </c>
      <c r="I13927" t="s">
        <v>8822</v>
      </c>
      <c r="J13927" t="s">
        <v>31789</v>
      </c>
      <c r="K13927" t="s">
        <v>41192</v>
      </c>
      <c r="M13927" t="s">
        <v>42515</v>
      </c>
      <c r="N13927" t="s">
        <v>45095</v>
      </c>
      <c r="O13927" t="s">
        <v>45096</v>
      </c>
      <c r="P13927">
        <v>0</v>
      </c>
      <c r="Q13927">
        <v>0</v>
      </c>
      <c r="R13927" t="s">
        <v>45116</v>
      </c>
      <c r="S13927" t="s">
        <v>45923</v>
      </c>
      <c r="T13927" t="s">
        <v>46985</v>
      </c>
      <c r="U13927" t="s">
        <v>58715</v>
      </c>
      <c r="W13927" t="s">
        <v>42515</v>
      </c>
      <c r="X13927" t="s">
        <v>45117</v>
      </c>
    </row>
    <row r="13928" spans="1:24">
      <c r="A13928">
        <f>HYPERLINK("https://www.philgeps.gov.ph/GEPSNONPILOT/Tender/SplashBidNoticeAbstractUI.aspx?menuIndex=3&amp;refID=7013414&amp;Result=3","7013414")</f>
        <v>0</v>
      </c>
      <c r="B13928" t="s">
        <v>1655</v>
      </c>
      <c r="C13928" t="s">
        <v>16522</v>
      </c>
      <c r="D13928" t="s">
        <v>18030</v>
      </c>
      <c r="E13928" t="s">
        <v>30189</v>
      </c>
      <c r="F13928" t="s">
        <v>31574</v>
      </c>
      <c r="G13928" t="s">
        <v>31582</v>
      </c>
      <c r="H13928" t="s">
        <v>31591</v>
      </c>
      <c r="I13928" t="s">
        <v>8822</v>
      </c>
      <c r="J13928" t="s">
        <v>40268</v>
      </c>
      <c r="K13928" t="s">
        <v>41200</v>
      </c>
      <c r="M13928" t="s">
        <v>43267</v>
      </c>
      <c r="N13928" t="s">
        <v>45095</v>
      </c>
      <c r="O13928" t="s">
        <v>45096</v>
      </c>
      <c r="P13928">
        <v>0</v>
      </c>
      <c r="Q13928">
        <v>2</v>
      </c>
      <c r="R13928" t="s">
        <v>45116</v>
      </c>
      <c r="S13928" t="s">
        <v>45923</v>
      </c>
      <c r="T13928" t="s">
        <v>47021</v>
      </c>
      <c r="U13928" t="s">
        <v>58716</v>
      </c>
      <c r="W13928" t="s">
        <v>43267</v>
      </c>
      <c r="X13928" t="s">
        <v>45117</v>
      </c>
    </row>
    <row r="13929" spans="1:24">
      <c r="A13929">
        <f>HYPERLINK("https://www.philgeps.gov.ph/GEPSNONPILOT/Tender/SplashBidNoticeAbstractUI.aspx?menuIndex=3&amp;refID=7013448&amp;Result=3","7013448")</f>
        <v>0</v>
      </c>
      <c r="B13929" t="s">
        <v>469</v>
      </c>
      <c r="C13929" t="s">
        <v>16523</v>
      </c>
      <c r="D13929" t="s">
        <v>18091</v>
      </c>
      <c r="E13929" t="s">
        <v>30190</v>
      </c>
      <c r="F13929" t="s">
        <v>31574</v>
      </c>
      <c r="G13929" t="s">
        <v>31582</v>
      </c>
      <c r="H13929" t="s">
        <v>31591</v>
      </c>
      <c r="I13929" t="s">
        <v>8822</v>
      </c>
      <c r="J13929" t="s">
        <v>40269</v>
      </c>
      <c r="K13929" t="s">
        <v>41192</v>
      </c>
      <c r="M13929" t="s">
        <v>41963</v>
      </c>
      <c r="N13929" t="s">
        <v>45095</v>
      </c>
      <c r="O13929" t="s">
        <v>45096</v>
      </c>
      <c r="P13929">
        <v>0</v>
      </c>
      <c r="Q13929">
        <v>1</v>
      </c>
      <c r="R13929" t="s">
        <v>45116</v>
      </c>
      <c r="S13929" t="s">
        <v>45923</v>
      </c>
      <c r="T13929" t="s">
        <v>47076</v>
      </c>
      <c r="U13929" t="s">
        <v>58717</v>
      </c>
      <c r="W13929" t="s">
        <v>41963</v>
      </c>
      <c r="X13929" t="s">
        <v>45117</v>
      </c>
    </row>
    <row r="13930" spans="1:24">
      <c r="A13930">
        <f>HYPERLINK("https://www.philgeps.gov.ph/GEPSNONPILOT/Tender/SplashBidNoticeAbstractUI.aspx?menuIndex=3&amp;refID=7013455&amp;Result=3","7013455")</f>
        <v>0</v>
      </c>
      <c r="B13930" t="s">
        <v>3080</v>
      </c>
      <c r="C13930" t="s">
        <v>16524</v>
      </c>
      <c r="D13930" t="s">
        <v>18076</v>
      </c>
      <c r="E13930" t="s">
        <v>18169</v>
      </c>
      <c r="F13930" t="s">
        <v>31574</v>
      </c>
      <c r="G13930" t="s">
        <v>31582</v>
      </c>
      <c r="H13930" t="s">
        <v>31591</v>
      </c>
      <c r="I13930" t="s">
        <v>8822</v>
      </c>
      <c r="J13930" t="s">
        <v>40270</v>
      </c>
      <c r="K13930" t="s">
        <v>41192</v>
      </c>
      <c r="M13930" t="s">
        <v>44924</v>
      </c>
      <c r="N13930" t="s">
        <v>45095</v>
      </c>
      <c r="O13930" t="s">
        <v>45096</v>
      </c>
      <c r="P13930">
        <v>0</v>
      </c>
      <c r="Q13930">
        <v>3</v>
      </c>
      <c r="R13930" t="s">
        <v>45116</v>
      </c>
      <c r="S13930" t="s">
        <v>45923</v>
      </c>
      <c r="T13930" t="s">
        <v>47183</v>
      </c>
      <c r="U13930" t="s">
        <v>58718</v>
      </c>
      <c r="W13930" t="s">
        <v>44924</v>
      </c>
      <c r="X13930" t="s">
        <v>45117</v>
      </c>
    </row>
    <row r="13931" spans="1:24">
      <c r="A13931">
        <f>HYPERLINK("https://www.philgeps.gov.ph/GEPSNONPILOT/Tender/SplashBidNoticeAbstractUI.aspx?menuIndex=3&amp;refID=7013416&amp;Result=3","7013416")</f>
        <v>0</v>
      </c>
      <c r="B13931" t="s">
        <v>469</v>
      </c>
      <c r="C13931" t="s">
        <v>16525</v>
      </c>
      <c r="D13931" t="s">
        <v>18091</v>
      </c>
      <c r="E13931" t="s">
        <v>30191</v>
      </c>
      <c r="F13931" t="s">
        <v>31574</v>
      </c>
      <c r="G13931" t="s">
        <v>31582</v>
      </c>
      <c r="H13931" t="s">
        <v>31591</v>
      </c>
      <c r="I13931" t="s">
        <v>8822</v>
      </c>
      <c r="J13931" t="s">
        <v>40271</v>
      </c>
      <c r="K13931" t="s">
        <v>41189</v>
      </c>
      <c r="M13931" t="s">
        <v>41963</v>
      </c>
      <c r="N13931" t="s">
        <v>45095</v>
      </c>
      <c r="O13931" t="s">
        <v>45096</v>
      </c>
      <c r="P13931">
        <v>0</v>
      </c>
      <c r="Q13931">
        <v>0</v>
      </c>
      <c r="R13931" t="s">
        <v>45116</v>
      </c>
      <c r="S13931" t="s">
        <v>45923</v>
      </c>
      <c r="T13931" t="s">
        <v>47076</v>
      </c>
      <c r="U13931" t="s">
        <v>58719</v>
      </c>
      <c r="W13931" t="s">
        <v>41963</v>
      </c>
      <c r="X13931" t="s">
        <v>45117</v>
      </c>
    </row>
    <row r="13932" spans="1:24">
      <c r="A13932">
        <f>HYPERLINK("https://www.philgeps.gov.ph/GEPSNONPILOT/Tender/SplashBidNoticeAbstractUI.aspx?menuIndex=3&amp;refID=7013461&amp;Result=3","7013461")</f>
        <v>0</v>
      </c>
      <c r="B13932" t="s">
        <v>3082</v>
      </c>
      <c r="C13932" t="s">
        <v>16526</v>
      </c>
      <c r="D13932" t="s">
        <v>18076</v>
      </c>
      <c r="E13932" t="s">
        <v>30192</v>
      </c>
      <c r="F13932" t="s">
        <v>31574</v>
      </c>
      <c r="G13932" t="s">
        <v>31582</v>
      </c>
      <c r="H13932" t="s">
        <v>31591</v>
      </c>
      <c r="I13932" t="s">
        <v>8822</v>
      </c>
      <c r="J13932" t="s">
        <v>40272</v>
      </c>
      <c r="K13932" t="s">
        <v>41186</v>
      </c>
      <c r="M13932" t="s">
        <v>44926</v>
      </c>
      <c r="N13932" t="s">
        <v>45095</v>
      </c>
      <c r="O13932" t="s">
        <v>45096</v>
      </c>
      <c r="P13932">
        <v>0</v>
      </c>
      <c r="Q13932">
        <v>1</v>
      </c>
      <c r="R13932" t="s">
        <v>45116</v>
      </c>
      <c r="S13932" t="s">
        <v>45923</v>
      </c>
      <c r="T13932" t="s">
        <v>47124</v>
      </c>
      <c r="U13932" t="s">
        <v>58720</v>
      </c>
      <c r="W13932" t="s">
        <v>44926</v>
      </c>
      <c r="X13932" t="s">
        <v>45117</v>
      </c>
    </row>
    <row r="13933" spans="1:24">
      <c r="A13933">
        <f>HYPERLINK("https://www.philgeps.gov.ph/GEPSNONPILOT/Tender/SplashBidNoticeAbstractUI.aspx?menuIndex=3&amp;refID=7013432&amp;Result=3","7013432")</f>
        <v>0</v>
      </c>
      <c r="B13933" t="s">
        <v>469</v>
      </c>
      <c r="C13933" t="s">
        <v>16527</v>
      </c>
      <c r="D13933" t="s">
        <v>18091</v>
      </c>
      <c r="E13933" t="s">
        <v>30193</v>
      </c>
      <c r="F13933" t="s">
        <v>31574</v>
      </c>
      <c r="G13933" t="s">
        <v>31582</v>
      </c>
      <c r="H13933" t="s">
        <v>31591</v>
      </c>
      <c r="I13933" t="s">
        <v>8822</v>
      </c>
      <c r="J13933" t="s">
        <v>40273</v>
      </c>
      <c r="K13933" t="s">
        <v>41335</v>
      </c>
      <c r="M13933" t="s">
        <v>41963</v>
      </c>
      <c r="N13933" t="s">
        <v>45095</v>
      </c>
      <c r="O13933" t="s">
        <v>45096</v>
      </c>
      <c r="P13933">
        <v>0</v>
      </c>
      <c r="Q13933">
        <v>0</v>
      </c>
      <c r="R13933" t="s">
        <v>45116</v>
      </c>
      <c r="S13933" t="s">
        <v>45923</v>
      </c>
      <c r="T13933" t="s">
        <v>47076</v>
      </c>
      <c r="U13933" t="s">
        <v>58721</v>
      </c>
      <c r="W13933" t="s">
        <v>41963</v>
      </c>
      <c r="X13933" t="s">
        <v>45117</v>
      </c>
    </row>
    <row r="13934" spans="1:24">
      <c r="A13934">
        <f>HYPERLINK("https://www.philgeps.gov.ph/GEPSNONPILOT/Tender/SplashBidNoticeAbstractUI.aspx?menuIndex=3&amp;refID=7013519&amp;Result=3","7013519")</f>
        <v>0</v>
      </c>
      <c r="B13934" t="s">
        <v>524</v>
      </c>
      <c r="C13934" t="s">
        <v>16528</v>
      </c>
      <c r="D13934" t="s">
        <v>18094</v>
      </c>
      <c r="E13934" t="s">
        <v>30194</v>
      </c>
      <c r="F13934" t="s">
        <v>31574</v>
      </c>
      <c r="G13934" t="s">
        <v>31582</v>
      </c>
      <c r="H13934" t="s">
        <v>31590</v>
      </c>
      <c r="I13934" t="s">
        <v>8822</v>
      </c>
      <c r="J13934" t="s">
        <v>40274</v>
      </c>
      <c r="K13934" t="s">
        <v>41288</v>
      </c>
      <c r="M13934" t="s">
        <v>43926</v>
      </c>
      <c r="N13934" t="s">
        <v>45095</v>
      </c>
      <c r="O13934" t="s">
        <v>45096</v>
      </c>
      <c r="P13934">
        <v>0</v>
      </c>
      <c r="Q13934">
        <v>0</v>
      </c>
      <c r="R13934" t="s">
        <v>45116</v>
      </c>
      <c r="S13934" t="s">
        <v>45923</v>
      </c>
      <c r="T13934" t="s">
        <v>47050</v>
      </c>
      <c r="U13934" t="s">
        <v>57254</v>
      </c>
      <c r="W13934" t="s">
        <v>43926</v>
      </c>
      <c r="X13934" t="s">
        <v>45117</v>
      </c>
    </row>
    <row r="13935" spans="1:24">
      <c r="A13935">
        <f>HYPERLINK("https://www.philgeps.gov.ph/GEPSNONPILOT/Tender/SplashBidNoticeAbstractUI.aspx?menuIndex=3&amp;refID=7013522&amp;Result=3","7013522")</f>
        <v>0</v>
      </c>
      <c r="B13935" t="s">
        <v>349</v>
      </c>
      <c r="C13935" t="s">
        <v>16529</v>
      </c>
      <c r="D13935" t="s">
        <v>18071</v>
      </c>
      <c r="E13935" t="s">
        <v>30195</v>
      </c>
      <c r="F13935" t="s">
        <v>31574</v>
      </c>
      <c r="G13935" t="s">
        <v>31582</v>
      </c>
      <c r="H13935" t="s">
        <v>31590</v>
      </c>
      <c r="I13935" t="s">
        <v>8258</v>
      </c>
      <c r="J13935" t="s">
        <v>40275</v>
      </c>
      <c r="K13935" t="s">
        <v>41191</v>
      </c>
      <c r="L13935" t="s">
        <v>349</v>
      </c>
      <c r="M13935" t="s">
        <v>41837</v>
      </c>
      <c r="N13935" t="s">
        <v>45095</v>
      </c>
      <c r="O13935" t="s">
        <v>45096</v>
      </c>
      <c r="P13935">
        <v>0</v>
      </c>
      <c r="Q13935">
        <v>24</v>
      </c>
      <c r="R13935" t="s">
        <v>45116</v>
      </c>
      <c r="S13935" t="s">
        <v>45923</v>
      </c>
      <c r="T13935" t="s">
        <v>47003</v>
      </c>
      <c r="U13935" t="s">
        <v>58722</v>
      </c>
      <c r="W13935" t="s">
        <v>41837</v>
      </c>
      <c r="X13935" t="s">
        <v>45117</v>
      </c>
    </row>
    <row r="13936" spans="1:24">
      <c r="A13936">
        <f>HYPERLINK("https://www.philgeps.gov.ph/GEPSNONPILOT/Tender/SplashBidNoticeAbstractUI.aspx?menuIndex=3&amp;refID=7013413&amp;Result=3","7013413")</f>
        <v>0</v>
      </c>
      <c r="B13936" t="s">
        <v>981</v>
      </c>
      <c r="C13936" t="s">
        <v>16530</v>
      </c>
      <c r="D13936" t="s">
        <v>18039</v>
      </c>
      <c r="E13936" t="s">
        <v>30196</v>
      </c>
      <c r="F13936" t="s">
        <v>31574</v>
      </c>
      <c r="G13936" t="s">
        <v>31582</v>
      </c>
      <c r="H13936" t="s">
        <v>31591</v>
      </c>
      <c r="I13936" t="s">
        <v>8822</v>
      </c>
      <c r="J13936" t="s">
        <v>32019</v>
      </c>
      <c r="K13936" t="s">
        <v>41192</v>
      </c>
      <c r="M13936" t="s">
        <v>42515</v>
      </c>
      <c r="N13936" t="s">
        <v>45095</v>
      </c>
      <c r="O13936" t="s">
        <v>45096</v>
      </c>
      <c r="P13936">
        <v>0</v>
      </c>
      <c r="Q13936">
        <v>1</v>
      </c>
      <c r="R13936" t="s">
        <v>45116</v>
      </c>
      <c r="S13936" t="s">
        <v>45923</v>
      </c>
      <c r="T13936" t="s">
        <v>46985</v>
      </c>
      <c r="U13936" t="s">
        <v>56027</v>
      </c>
      <c r="W13936" t="s">
        <v>42515</v>
      </c>
      <c r="X13936" t="s">
        <v>45117</v>
      </c>
    </row>
    <row r="13937" spans="1:24">
      <c r="A13937">
        <f>HYPERLINK("https://www.philgeps.gov.ph/GEPSNONPILOT/Tender/SplashBidNoticeAbstractUI.aspx?menuIndex=3&amp;refID=7013534&amp;Result=3","7013534")</f>
        <v>0</v>
      </c>
      <c r="B13937" t="s">
        <v>2573</v>
      </c>
      <c r="C13937" t="s">
        <v>16531</v>
      </c>
      <c r="D13937" t="s">
        <v>18026</v>
      </c>
      <c r="E13937" t="s">
        <v>30197</v>
      </c>
      <c r="F13937" t="s">
        <v>31574</v>
      </c>
      <c r="G13937" t="s">
        <v>31582</v>
      </c>
      <c r="H13937" t="s">
        <v>31590</v>
      </c>
      <c r="I13937" t="s">
        <v>31601</v>
      </c>
      <c r="J13937" t="s">
        <v>32419</v>
      </c>
      <c r="K13937" t="s">
        <v>41200</v>
      </c>
      <c r="M13937" t="s">
        <v>44314</v>
      </c>
      <c r="N13937" t="s">
        <v>45095</v>
      </c>
      <c r="O13937" t="s">
        <v>45096</v>
      </c>
      <c r="P13937">
        <v>0</v>
      </c>
      <c r="Q13937">
        <v>4</v>
      </c>
      <c r="R13937" t="s">
        <v>45116</v>
      </c>
      <c r="S13937" t="s">
        <v>45923</v>
      </c>
      <c r="T13937" t="s">
        <v>47159</v>
      </c>
      <c r="U13937" t="s">
        <v>58723</v>
      </c>
      <c r="W13937" t="s">
        <v>44314</v>
      </c>
      <c r="X13937" t="s">
        <v>45117</v>
      </c>
    </row>
    <row r="13938" spans="1:24">
      <c r="A13938">
        <f>HYPERLINK("https://www.philgeps.gov.ph/GEPSNONPILOT/Tender/SplashBidNoticeAbstractUI.aspx?menuIndex=3&amp;refID=7013443&amp;Result=3","7013443")</f>
        <v>0</v>
      </c>
      <c r="B13938" t="s">
        <v>3072</v>
      </c>
      <c r="C13938" t="s">
        <v>16532</v>
      </c>
      <c r="D13938" t="s">
        <v>18040</v>
      </c>
      <c r="E13938" t="s">
        <v>30198</v>
      </c>
      <c r="F13938" t="s">
        <v>31574</v>
      </c>
      <c r="G13938" t="s">
        <v>31582</v>
      </c>
      <c r="H13938" t="s">
        <v>31591</v>
      </c>
      <c r="I13938" t="s">
        <v>8822</v>
      </c>
      <c r="J13938" t="s">
        <v>32026</v>
      </c>
      <c r="K13938" t="s">
        <v>41192</v>
      </c>
      <c r="M13938" t="s">
        <v>44915</v>
      </c>
      <c r="N13938" t="s">
        <v>45095</v>
      </c>
      <c r="O13938" t="s">
        <v>45096</v>
      </c>
      <c r="P13938">
        <v>0</v>
      </c>
      <c r="Q13938">
        <v>1</v>
      </c>
      <c r="R13938" t="s">
        <v>45116</v>
      </c>
      <c r="S13938" t="s">
        <v>45923</v>
      </c>
      <c r="T13938" t="s">
        <v>47154</v>
      </c>
      <c r="U13938" t="s">
        <v>58724</v>
      </c>
      <c r="W13938" t="s">
        <v>44915</v>
      </c>
      <c r="X13938" t="s">
        <v>45117</v>
      </c>
    </row>
    <row r="13939" spans="1:24">
      <c r="A13939">
        <f>HYPERLINK("https://www.philgeps.gov.ph/GEPSNONPILOT/Tender/SplashBidNoticeAbstractUI.aspx?menuIndex=3&amp;refID=7013536&amp;Result=3","7013536")</f>
        <v>0</v>
      </c>
      <c r="B13939" t="s">
        <v>3072</v>
      </c>
      <c r="C13939" t="s">
        <v>16533</v>
      </c>
      <c r="D13939" t="s">
        <v>18040</v>
      </c>
      <c r="E13939" t="s">
        <v>30199</v>
      </c>
      <c r="F13939" t="s">
        <v>31574</v>
      </c>
      <c r="G13939" t="s">
        <v>31582</v>
      </c>
      <c r="H13939" t="s">
        <v>31591</v>
      </c>
      <c r="I13939" t="s">
        <v>8822</v>
      </c>
      <c r="J13939" t="s">
        <v>31890</v>
      </c>
      <c r="K13939" t="s">
        <v>41195</v>
      </c>
      <c r="M13939" t="s">
        <v>44915</v>
      </c>
      <c r="N13939" t="s">
        <v>45095</v>
      </c>
      <c r="O13939" t="s">
        <v>45096</v>
      </c>
      <c r="P13939">
        <v>0</v>
      </c>
      <c r="Q13939">
        <v>2</v>
      </c>
      <c r="R13939" t="s">
        <v>45116</v>
      </c>
      <c r="S13939" t="s">
        <v>45923</v>
      </c>
      <c r="T13939" t="s">
        <v>47154</v>
      </c>
      <c r="U13939" t="s">
        <v>58725</v>
      </c>
      <c r="W13939" t="s">
        <v>44915</v>
      </c>
      <c r="X13939" t="s">
        <v>45117</v>
      </c>
    </row>
    <row r="13940" spans="1:24">
      <c r="A13940">
        <f>HYPERLINK("https://www.philgeps.gov.ph/GEPSNONPILOT/Tender/SplashBidNoticeAbstractUI.aspx?menuIndex=3&amp;refID=7013580&amp;Result=3","7013580")</f>
        <v>0</v>
      </c>
      <c r="B13940" t="s">
        <v>196</v>
      </c>
      <c r="C13940" t="s">
        <v>16534</v>
      </c>
      <c r="D13940" t="s">
        <v>18046</v>
      </c>
      <c r="E13940" t="s">
        <v>30200</v>
      </c>
      <c r="F13940" t="s">
        <v>31574</v>
      </c>
      <c r="G13940" t="s">
        <v>31582</v>
      </c>
      <c r="H13940" t="s">
        <v>31591</v>
      </c>
      <c r="I13940" t="s">
        <v>8822</v>
      </c>
      <c r="J13940" t="s">
        <v>40276</v>
      </c>
      <c r="K13940" t="s">
        <v>41303</v>
      </c>
      <c r="M13940" t="s">
        <v>41681</v>
      </c>
      <c r="N13940" t="s">
        <v>45095</v>
      </c>
      <c r="O13940" t="s">
        <v>45096</v>
      </c>
      <c r="P13940">
        <v>0</v>
      </c>
      <c r="Q13940">
        <v>1</v>
      </c>
      <c r="R13940" t="s">
        <v>45116</v>
      </c>
      <c r="S13940" t="s">
        <v>45923</v>
      </c>
      <c r="T13940" t="s">
        <v>46973</v>
      </c>
      <c r="U13940" t="s">
        <v>56695</v>
      </c>
      <c r="W13940" t="s">
        <v>41681</v>
      </c>
      <c r="X13940" t="s">
        <v>45117</v>
      </c>
    </row>
    <row r="13941" spans="1:24">
      <c r="A13941">
        <f>HYPERLINK("https://www.philgeps.gov.ph/GEPSNONPILOT/Tender/SplashBidNoticeAbstractUI.aspx?menuIndex=3&amp;refID=7013535&amp;Result=3","7013535")</f>
        <v>0</v>
      </c>
      <c r="B13941" t="s">
        <v>2693</v>
      </c>
      <c r="C13941" t="s">
        <v>6400</v>
      </c>
      <c r="D13941" t="s">
        <v>18052</v>
      </c>
      <c r="E13941" t="s">
        <v>30201</v>
      </c>
      <c r="F13941" t="s">
        <v>31574</v>
      </c>
      <c r="G13941" t="s">
        <v>31582</v>
      </c>
      <c r="H13941" t="s">
        <v>31591</v>
      </c>
      <c r="I13941" t="s">
        <v>8822</v>
      </c>
      <c r="J13941" t="s">
        <v>40277</v>
      </c>
      <c r="K13941" t="s">
        <v>41191</v>
      </c>
      <c r="M13941" t="s">
        <v>44459</v>
      </c>
      <c r="N13941" t="s">
        <v>45095</v>
      </c>
      <c r="O13941" t="s">
        <v>45096</v>
      </c>
      <c r="P13941">
        <v>0</v>
      </c>
      <c r="Q13941">
        <v>0</v>
      </c>
      <c r="R13941" t="s">
        <v>45116</v>
      </c>
      <c r="S13941" t="s">
        <v>45923</v>
      </c>
      <c r="T13941" t="s">
        <v>47064</v>
      </c>
      <c r="U13941" t="s">
        <v>58726</v>
      </c>
      <c r="V13941" t="s">
        <v>61393</v>
      </c>
      <c r="W13941" t="s">
        <v>44459</v>
      </c>
      <c r="X13941" t="s">
        <v>45117</v>
      </c>
    </row>
    <row r="13942" spans="1:24">
      <c r="A13942">
        <f>HYPERLINK("https://www.philgeps.gov.ph/GEPSNONPILOT/Tender/SplashBidNoticeAbstractUI.aspx?menuIndex=3&amp;refID=7013551&amp;Result=3","7013551")</f>
        <v>0</v>
      </c>
      <c r="B13942" t="s">
        <v>1492</v>
      </c>
      <c r="C13942" t="s">
        <v>16535</v>
      </c>
      <c r="D13942" t="s">
        <v>18072</v>
      </c>
      <c r="E13942" t="s">
        <v>30202</v>
      </c>
      <c r="F13942" t="s">
        <v>31574</v>
      </c>
      <c r="G13942" t="s">
        <v>31582</v>
      </c>
      <c r="H13942" t="s">
        <v>31591</v>
      </c>
      <c r="I13942" t="s">
        <v>8822</v>
      </c>
      <c r="J13942" t="s">
        <v>40278</v>
      </c>
      <c r="K13942" t="s">
        <v>41203</v>
      </c>
      <c r="M13942" t="s">
        <v>43077</v>
      </c>
      <c r="N13942" t="s">
        <v>45095</v>
      </c>
      <c r="O13942" t="s">
        <v>45096</v>
      </c>
      <c r="Q13942">
        <v>2</v>
      </c>
      <c r="R13942" t="s">
        <v>45116</v>
      </c>
      <c r="S13942" t="s">
        <v>45973</v>
      </c>
      <c r="T13942" t="s">
        <v>47301</v>
      </c>
      <c r="U13942" t="s">
        <v>58727</v>
      </c>
      <c r="W13942" t="s">
        <v>43077</v>
      </c>
      <c r="X13942" t="s">
        <v>45117</v>
      </c>
    </row>
    <row r="13943" spans="1:24">
      <c r="A13943">
        <f>HYPERLINK("https://www.philgeps.gov.ph/GEPSNONPILOT/Tender/SplashBidNoticeAbstractUI.aspx?menuIndex=3&amp;refID=7013579&amp;Result=3","7013579")</f>
        <v>0</v>
      </c>
      <c r="B13943" t="s">
        <v>1488</v>
      </c>
      <c r="C13943" t="s">
        <v>16536</v>
      </c>
      <c r="D13943" t="s">
        <v>18088</v>
      </c>
      <c r="E13943" t="s">
        <v>21914</v>
      </c>
      <c r="F13943" t="s">
        <v>31574</v>
      </c>
      <c r="G13943" t="s">
        <v>31582</v>
      </c>
      <c r="H13943" t="s">
        <v>31591</v>
      </c>
      <c r="I13943" t="s">
        <v>8822</v>
      </c>
      <c r="J13943" t="s">
        <v>32076</v>
      </c>
      <c r="K13943" t="s">
        <v>41184</v>
      </c>
      <c r="M13943" t="s">
        <v>43073</v>
      </c>
      <c r="N13943" t="s">
        <v>45095</v>
      </c>
      <c r="O13943" t="s">
        <v>45096</v>
      </c>
      <c r="P13943">
        <v>0</v>
      </c>
      <c r="Q13943">
        <v>0</v>
      </c>
      <c r="R13943" t="s">
        <v>45116</v>
      </c>
      <c r="S13943" t="s">
        <v>45923</v>
      </c>
      <c r="T13943" t="s">
        <v>47159</v>
      </c>
      <c r="U13943" t="s">
        <v>58728</v>
      </c>
      <c r="V13943" t="s">
        <v>61385</v>
      </c>
      <c r="W13943" t="s">
        <v>43073</v>
      </c>
      <c r="X13943" t="s">
        <v>45117</v>
      </c>
    </row>
    <row r="13944" spans="1:24">
      <c r="A13944">
        <f>HYPERLINK("https://www.philgeps.gov.ph/GEPSNONPILOT/Tender/SplashBidNoticeAbstractUI.aspx?menuIndex=3&amp;refID=7013547&amp;Result=3","7013547")</f>
        <v>0</v>
      </c>
      <c r="B13944" t="s">
        <v>196</v>
      </c>
      <c r="C13944" t="s">
        <v>16537</v>
      </c>
      <c r="D13944" t="s">
        <v>18046</v>
      </c>
      <c r="E13944" t="s">
        <v>30203</v>
      </c>
      <c r="F13944" t="s">
        <v>31574</v>
      </c>
      <c r="G13944" t="s">
        <v>31582</v>
      </c>
      <c r="H13944" t="s">
        <v>31591</v>
      </c>
      <c r="I13944" t="s">
        <v>8822</v>
      </c>
      <c r="J13944" t="s">
        <v>31935</v>
      </c>
      <c r="K13944" t="s">
        <v>41192</v>
      </c>
      <c r="M13944" t="s">
        <v>41681</v>
      </c>
      <c r="N13944" t="s">
        <v>45095</v>
      </c>
      <c r="O13944" t="s">
        <v>45096</v>
      </c>
      <c r="P13944">
        <v>0</v>
      </c>
      <c r="Q13944">
        <v>3</v>
      </c>
      <c r="R13944" t="s">
        <v>45116</v>
      </c>
      <c r="S13944" t="s">
        <v>45923</v>
      </c>
      <c r="T13944" t="s">
        <v>46973</v>
      </c>
      <c r="U13944" t="s">
        <v>56695</v>
      </c>
      <c r="W13944" t="s">
        <v>41681</v>
      </c>
      <c r="X13944" t="s">
        <v>45117</v>
      </c>
    </row>
    <row r="13945" spans="1:24">
      <c r="A13945">
        <f>HYPERLINK("https://www.philgeps.gov.ph/GEPSNONPILOT/Tender/SplashBidNoticeAbstractUI.aspx?menuIndex=3&amp;refID=7013710&amp;Result=3","7013710")</f>
        <v>0</v>
      </c>
      <c r="B13945" t="s">
        <v>2143</v>
      </c>
      <c r="C13945" t="s">
        <v>16538</v>
      </c>
      <c r="D13945" t="s">
        <v>18027</v>
      </c>
      <c r="E13945" t="s">
        <v>30204</v>
      </c>
      <c r="F13945" t="s">
        <v>31574</v>
      </c>
      <c r="G13945" t="s">
        <v>31582</v>
      </c>
      <c r="H13945" t="s">
        <v>31590</v>
      </c>
      <c r="I13945" t="s">
        <v>31596</v>
      </c>
      <c r="J13945" t="s">
        <v>40279</v>
      </c>
      <c r="K13945" t="s">
        <v>41198</v>
      </c>
      <c r="M13945" t="s">
        <v>44891</v>
      </c>
      <c r="N13945" t="s">
        <v>45095</v>
      </c>
      <c r="O13945" t="s">
        <v>45096</v>
      </c>
      <c r="P13945">
        <v>0</v>
      </c>
      <c r="Q13945">
        <v>3</v>
      </c>
      <c r="R13945" t="s">
        <v>45116</v>
      </c>
      <c r="S13945" t="s">
        <v>45923</v>
      </c>
      <c r="T13945" t="s">
        <v>46985</v>
      </c>
      <c r="U13945" t="s">
        <v>58729</v>
      </c>
      <c r="V13945" t="s">
        <v>61362</v>
      </c>
      <c r="W13945" t="s">
        <v>44891</v>
      </c>
      <c r="X13945" t="s">
        <v>45117</v>
      </c>
    </row>
    <row r="13946" spans="1:24">
      <c r="A13946">
        <f>HYPERLINK("https://www.philgeps.gov.ph/GEPSNONPILOT/Tender/SplashBidNoticeAbstractUI.aspx?menuIndex=3&amp;refID=7013567&amp;Result=3","7013567")</f>
        <v>0</v>
      </c>
      <c r="B13946" t="s">
        <v>1119</v>
      </c>
      <c r="C13946" t="s">
        <v>16539</v>
      </c>
      <c r="D13946" t="s">
        <v>18025</v>
      </c>
      <c r="E13946" t="s">
        <v>30205</v>
      </c>
      <c r="F13946" t="s">
        <v>31574</v>
      </c>
      <c r="G13946" t="s">
        <v>31582</v>
      </c>
      <c r="H13946" t="s">
        <v>31591</v>
      </c>
      <c r="I13946" t="s">
        <v>8822</v>
      </c>
      <c r="J13946" t="s">
        <v>40280</v>
      </c>
      <c r="K13946" t="s">
        <v>41213</v>
      </c>
      <c r="M13946" t="s">
        <v>42669</v>
      </c>
      <c r="N13946" t="s">
        <v>45095</v>
      </c>
      <c r="O13946" t="s">
        <v>45096</v>
      </c>
      <c r="P13946">
        <v>0</v>
      </c>
      <c r="Q13946">
        <v>0</v>
      </c>
      <c r="R13946" t="s">
        <v>45116</v>
      </c>
      <c r="S13946" t="s">
        <v>45923</v>
      </c>
      <c r="T13946" t="s">
        <v>47159</v>
      </c>
      <c r="U13946" t="s">
        <v>58353</v>
      </c>
      <c r="W13946" t="s">
        <v>42669</v>
      </c>
      <c r="X13946" t="s">
        <v>45117</v>
      </c>
    </row>
    <row r="13947" spans="1:24">
      <c r="A13947">
        <f>HYPERLINK("https://www.philgeps.gov.ph/GEPSNONPILOT/Tender/SplashBidNoticeAbstractUI.aspx?menuIndex=3&amp;refID=7013697&amp;Result=3","7013697")</f>
        <v>0</v>
      </c>
      <c r="B13947" t="s">
        <v>1727</v>
      </c>
      <c r="C13947" t="s">
        <v>16540</v>
      </c>
      <c r="D13947" t="s">
        <v>18028</v>
      </c>
      <c r="E13947" t="s">
        <v>30206</v>
      </c>
      <c r="F13947" t="s">
        <v>31574</v>
      </c>
      <c r="G13947" t="s">
        <v>31582</v>
      </c>
      <c r="H13947" t="s">
        <v>31593</v>
      </c>
      <c r="I13947" t="s">
        <v>31718</v>
      </c>
      <c r="J13947" t="s">
        <v>40281</v>
      </c>
      <c r="K13947" t="s">
        <v>41293</v>
      </c>
      <c r="M13947" t="s">
        <v>43345</v>
      </c>
      <c r="N13947" t="s">
        <v>45095</v>
      </c>
      <c r="O13947" t="s">
        <v>45096</v>
      </c>
      <c r="P13947">
        <v>0</v>
      </c>
      <c r="Q13947">
        <v>2</v>
      </c>
      <c r="R13947" t="s">
        <v>45116</v>
      </c>
      <c r="S13947" t="s">
        <v>45923</v>
      </c>
      <c r="T13947" t="s">
        <v>46973</v>
      </c>
      <c r="U13947" t="s">
        <v>58730</v>
      </c>
      <c r="W13947" t="s">
        <v>43345</v>
      </c>
      <c r="X13947" t="s">
        <v>45117</v>
      </c>
    </row>
    <row r="13948" spans="1:24">
      <c r="A13948">
        <f>HYPERLINK("https://www.philgeps.gov.ph/GEPSNONPILOT/Tender/SplashBidNoticeAbstractUI.aspx?menuIndex=3&amp;refID=7013695&amp;Result=3","7013695")</f>
        <v>0</v>
      </c>
      <c r="B13948" t="s">
        <v>1028</v>
      </c>
      <c r="C13948" t="s">
        <v>16541</v>
      </c>
      <c r="D13948" t="s">
        <v>18055</v>
      </c>
      <c r="E13948" t="s">
        <v>30207</v>
      </c>
      <c r="F13948" t="s">
        <v>31574</v>
      </c>
      <c r="G13948" t="s">
        <v>31582</v>
      </c>
      <c r="H13948" t="s">
        <v>31590</v>
      </c>
      <c r="I13948" t="s">
        <v>31594</v>
      </c>
      <c r="J13948" t="s">
        <v>40282</v>
      </c>
      <c r="K13948" t="s">
        <v>41189</v>
      </c>
      <c r="M13948" t="s">
        <v>42569</v>
      </c>
      <c r="N13948" t="s">
        <v>45095</v>
      </c>
      <c r="O13948" t="s">
        <v>45096</v>
      </c>
      <c r="P13948">
        <v>0</v>
      </c>
      <c r="Q13948">
        <v>30</v>
      </c>
      <c r="R13948" t="s">
        <v>45116</v>
      </c>
      <c r="S13948" t="s">
        <v>45923</v>
      </c>
      <c r="T13948" t="s">
        <v>47183</v>
      </c>
      <c r="U13948" t="s">
        <v>55947</v>
      </c>
      <c r="V13948" t="s">
        <v>61394</v>
      </c>
      <c r="W13948" t="s">
        <v>61687</v>
      </c>
      <c r="X13948" t="s">
        <v>45117</v>
      </c>
    </row>
    <row r="13949" spans="1:24">
      <c r="A13949">
        <f>HYPERLINK("https://www.philgeps.gov.ph/GEPSNONPILOT/Tender/SplashBidNoticeAbstractUI.aspx?menuIndex=3&amp;refID=7013601&amp;Result=3","7013601")</f>
        <v>0</v>
      </c>
      <c r="B13949" t="s">
        <v>196</v>
      </c>
      <c r="C13949" t="s">
        <v>16542</v>
      </c>
      <c r="D13949" t="s">
        <v>18046</v>
      </c>
      <c r="E13949" t="s">
        <v>30208</v>
      </c>
      <c r="F13949" t="s">
        <v>31574</v>
      </c>
      <c r="G13949" t="s">
        <v>31582</v>
      </c>
      <c r="H13949" t="s">
        <v>31591</v>
      </c>
      <c r="I13949" t="s">
        <v>8822</v>
      </c>
      <c r="J13949" t="s">
        <v>32019</v>
      </c>
      <c r="K13949" t="s">
        <v>41185</v>
      </c>
      <c r="M13949" t="s">
        <v>41681</v>
      </c>
      <c r="N13949" t="s">
        <v>45095</v>
      </c>
      <c r="O13949" t="s">
        <v>45096</v>
      </c>
      <c r="P13949">
        <v>0</v>
      </c>
      <c r="Q13949">
        <v>0</v>
      </c>
      <c r="R13949" t="s">
        <v>45116</v>
      </c>
      <c r="S13949" t="s">
        <v>45923</v>
      </c>
      <c r="T13949" t="s">
        <v>46973</v>
      </c>
      <c r="U13949" t="s">
        <v>56695</v>
      </c>
      <c r="W13949" t="s">
        <v>41681</v>
      </c>
      <c r="X13949" t="s">
        <v>45117</v>
      </c>
    </row>
    <row r="13950" spans="1:24">
      <c r="A13950">
        <f>HYPERLINK("https://www.philgeps.gov.ph/GEPSNONPILOT/Tender/SplashBidNoticeAbstractUI.aspx?menuIndex=3&amp;refID=7013671&amp;Result=3","7013671")</f>
        <v>0</v>
      </c>
      <c r="B13950" t="s">
        <v>2269</v>
      </c>
      <c r="C13950" t="s">
        <v>16543</v>
      </c>
      <c r="D13950" t="s">
        <v>18066</v>
      </c>
      <c r="E13950" t="s">
        <v>30209</v>
      </c>
      <c r="F13950" t="s">
        <v>31574</v>
      </c>
      <c r="G13950" t="s">
        <v>31582</v>
      </c>
      <c r="H13950" t="s">
        <v>31591</v>
      </c>
      <c r="I13950" t="s">
        <v>8822</v>
      </c>
      <c r="J13950" t="s">
        <v>40283</v>
      </c>
      <c r="K13950" t="s">
        <v>41184</v>
      </c>
      <c r="M13950" t="s">
        <v>43970</v>
      </c>
      <c r="N13950" t="s">
        <v>45095</v>
      </c>
      <c r="O13950" t="s">
        <v>45096</v>
      </c>
      <c r="P13950">
        <v>0</v>
      </c>
      <c r="Q13950">
        <v>0</v>
      </c>
      <c r="R13950" t="s">
        <v>45116</v>
      </c>
      <c r="S13950" t="s">
        <v>45923</v>
      </c>
      <c r="T13950" t="s">
        <v>46985</v>
      </c>
      <c r="U13950" t="s">
        <v>53978</v>
      </c>
      <c r="W13950" t="s">
        <v>43970</v>
      </c>
      <c r="X13950" t="s">
        <v>45117</v>
      </c>
    </row>
    <row r="13951" spans="1:24">
      <c r="A13951">
        <f>HYPERLINK("https://www.philgeps.gov.ph/GEPSNONPILOT/Tender/SplashBidNoticeAbstractUI.aspx?menuIndex=3&amp;refID=7013605&amp;Result=3","7013605")</f>
        <v>0</v>
      </c>
      <c r="B13951" t="s">
        <v>1492</v>
      </c>
      <c r="C13951" t="s">
        <v>16544</v>
      </c>
      <c r="D13951" t="s">
        <v>18072</v>
      </c>
      <c r="E13951" t="s">
        <v>30210</v>
      </c>
      <c r="F13951" t="s">
        <v>31574</v>
      </c>
      <c r="G13951" t="s">
        <v>31582</v>
      </c>
      <c r="H13951" t="s">
        <v>31591</v>
      </c>
      <c r="I13951" t="s">
        <v>8822</v>
      </c>
      <c r="J13951" t="s">
        <v>40284</v>
      </c>
      <c r="K13951" t="s">
        <v>41243</v>
      </c>
      <c r="M13951" t="s">
        <v>43077</v>
      </c>
      <c r="N13951" t="s">
        <v>45095</v>
      </c>
      <c r="O13951" t="s">
        <v>45096</v>
      </c>
      <c r="Q13951">
        <v>2</v>
      </c>
      <c r="R13951" t="s">
        <v>45116</v>
      </c>
      <c r="S13951" t="s">
        <v>45974</v>
      </c>
      <c r="T13951" t="s">
        <v>47301</v>
      </c>
      <c r="U13951" t="s">
        <v>58731</v>
      </c>
      <c r="W13951" t="s">
        <v>43077</v>
      </c>
      <c r="X13951" t="s">
        <v>45117</v>
      </c>
    </row>
    <row r="13952" spans="1:24">
      <c r="A13952">
        <f>HYPERLINK("https://www.philgeps.gov.ph/GEPSNONPILOT/Tender/SplashBidNoticeAbstractUI.aspx?menuIndex=3&amp;refID=7013641&amp;Result=3","7013641")</f>
        <v>0</v>
      </c>
      <c r="B13952" t="s">
        <v>1492</v>
      </c>
      <c r="C13952" t="s">
        <v>16545</v>
      </c>
      <c r="D13952" t="s">
        <v>18072</v>
      </c>
      <c r="E13952" t="s">
        <v>30211</v>
      </c>
      <c r="F13952" t="s">
        <v>31574</v>
      </c>
      <c r="G13952" t="s">
        <v>31582</v>
      </c>
      <c r="H13952" t="s">
        <v>31591</v>
      </c>
      <c r="I13952" t="s">
        <v>8822</v>
      </c>
      <c r="J13952" t="s">
        <v>40285</v>
      </c>
      <c r="K13952" t="s">
        <v>41189</v>
      </c>
      <c r="M13952" t="s">
        <v>43077</v>
      </c>
      <c r="N13952" t="s">
        <v>45095</v>
      </c>
      <c r="O13952" t="s">
        <v>45096</v>
      </c>
      <c r="Q13952">
        <v>2</v>
      </c>
      <c r="R13952" t="s">
        <v>45116</v>
      </c>
      <c r="S13952" t="s">
        <v>45975</v>
      </c>
      <c r="T13952" t="s">
        <v>47301</v>
      </c>
      <c r="U13952" t="s">
        <v>58732</v>
      </c>
      <c r="W13952" t="s">
        <v>43077</v>
      </c>
      <c r="X13952" t="s">
        <v>45117</v>
      </c>
    </row>
    <row r="13953" spans="1:24">
      <c r="A13953">
        <f>HYPERLINK("https://www.philgeps.gov.ph/GEPSNONPILOT/Tender/SplashBidNoticeAbstractUI.aspx?menuIndex=3&amp;refID=7013644&amp;Result=3","7013644")</f>
        <v>0</v>
      </c>
      <c r="B13953" t="s">
        <v>349</v>
      </c>
      <c r="C13953" t="s">
        <v>16546</v>
      </c>
      <c r="D13953" t="s">
        <v>18071</v>
      </c>
      <c r="E13953" t="s">
        <v>30212</v>
      </c>
      <c r="F13953" t="s">
        <v>31574</v>
      </c>
      <c r="G13953" t="s">
        <v>31582</v>
      </c>
      <c r="H13953" t="s">
        <v>31590</v>
      </c>
      <c r="I13953" t="s">
        <v>31594</v>
      </c>
      <c r="J13953" t="s">
        <v>32510</v>
      </c>
      <c r="K13953" t="s">
        <v>41191</v>
      </c>
      <c r="L13953" t="s">
        <v>349</v>
      </c>
      <c r="M13953" t="s">
        <v>41837</v>
      </c>
      <c r="N13953" t="s">
        <v>45095</v>
      </c>
      <c r="O13953" t="s">
        <v>45096</v>
      </c>
      <c r="P13953">
        <v>0</v>
      </c>
      <c r="Q13953">
        <v>31</v>
      </c>
      <c r="R13953" t="s">
        <v>45116</v>
      </c>
      <c r="S13953" t="s">
        <v>45923</v>
      </c>
      <c r="T13953" t="s">
        <v>47003</v>
      </c>
      <c r="U13953" t="s">
        <v>58733</v>
      </c>
      <c r="W13953" t="s">
        <v>41837</v>
      </c>
      <c r="X13953" t="s">
        <v>45117</v>
      </c>
    </row>
    <row r="13954" spans="1:24">
      <c r="A13954">
        <f>HYPERLINK("https://www.philgeps.gov.ph/GEPSNONPILOT/Tender/SplashBidNoticeAbstractUI.aspx?menuIndex=3&amp;refID=7013653&amp;Result=3","7013653")</f>
        <v>0</v>
      </c>
      <c r="B13954" t="s">
        <v>1544</v>
      </c>
      <c r="C13954" t="s">
        <v>16547</v>
      </c>
      <c r="D13954" t="s">
        <v>18075</v>
      </c>
      <c r="E13954" t="s">
        <v>30213</v>
      </c>
      <c r="F13954" t="s">
        <v>31574</v>
      </c>
      <c r="G13954" t="s">
        <v>31582</v>
      </c>
      <c r="H13954" t="s">
        <v>31590</v>
      </c>
      <c r="I13954" t="s">
        <v>31676</v>
      </c>
      <c r="J13954" t="s">
        <v>40286</v>
      </c>
      <c r="K13954" t="s">
        <v>41186</v>
      </c>
      <c r="M13954" t="s">
        <v>43139</v>
      </c>
      <c r="N13954" t="s">
        <v>45095</v>
      </c>
      <c r="O13954" t="s">
        <v>45096</v>
      </c>
      <c r="Q13954">
        <v>4</v>
      </c>
      <c r="R13954" t="s">
        <v>45116</v>
      </c>
      <c r="S13954" t="s">
        <v>45976</v>
      </c>
      <c r="T13954" t="s">
        <v>47067</v>
      </c>
      <c r="U13954" t="s">
        <v>58734</v>
      </c>
      <c r="W13954" t="s">
        <v>43139</v>
      </c>
      <c r="X13954" t="s">
        <v>45117</v>
      </c>
    </row>
    <row r="13955" spans="1:24">
      <c r="A13955">
        <f>HYPERLINK("https://www.philgeps.gov.ph/GEPSNONPILOT/Tender/SplashBidNoticeAbstractUI.aspx?menuIndex=3&amp;refID=7013711&amp;Result=3","7013711")</f>
        <v>0</v>
      </c>
      <c r="B13955" t="s">
        <v>2269</v>
      </c>
      <c r="C13955" t="s">
        <v>16548</v>
      </c>
      <c r="D13955" t="s">
        <v>18066</v>
      </c>
      <c r="E13955" t="s">
        <v>30214</v>
      </c>
      <c r="F13955" t="s">
        <v>31574</v>
      </c>
      <c r="G13955" t="s">
        <v>31582</v>
      </c>
      <c r="H13955" t="s">
        <v>31591</v>
      </c>
      <c r="I13955" t="s">
        <v>8822</v>
      </c>
      <c r="J13955" t="s">
        <v>40287</v>
      </c>
      <c r="K13955" t="s">
        <v>41184</v>
      </c>
      <c r="M13955" t="s">
        <v>43970</v>
      </c>
      <c r="N13955" t="s">
        <v>45095</v>
      </c>
      <c r="O13955" t="s">
        <v>45096</v>
      </c>
      <c r="P13955">
        <v>0</v>
      </c>
      <c r="Q13955">
        <v>1</v>
      </c>
      <c r="R13955" t="s">
        <v>45116</v>
      </c>
      <c r="S13955" t="s">
        <v>45923</v>
      </c>
      <c r="T13955" t="s">
        <v>46985</v>
      </c>
      <c r="U13955" t="s">
        <v>53978</v>
      </c>
      <c r="W13955" t="s">
        <v>43970</v>
      </c>
      <c r="X13955" t="s">
        <v>45117</v>
      </c>
    </row>
    <row r="13956" spans="1:24">
      <c r="A13956">
        <f>HYPERLINK("https://www.philgeps.gov.ph/GEPSNONPILOT/Tender/SplashBidNoticeAbstractUI.aspx?menuIndex=3&amp;refID=7013647&amp;Result=3","7013647")</f>
        <v>0</v>
      </c>
      <c r="B13956" t="s">
        <v>2269</v>
      </c>
      <c r="C13956" t="s">
        <v>16549</v>
      </c>
      <c r="D13956" t="s">
        <v>18066</v>
      </c>
      <c r="E13956" t="s">
        <v>30215</v>
      </c>
      <c r="F13956" t="s">
        <v>31574</v>
      </c>
      <c r="G13956" t="s">
        <v>31582</v>
      </c>
      <c r="H13956" t="s">
        <v>31591</v>
      </c>
      <c r="I13956" t="s">
        <v>8822</v>
      </c>
      <c r="J13956" t="s">
        <v>40288</v>
      </c>
      <c r="K13956" t="s">
        <v>41184</v>
      </c>
      <c r="M13956" t="s">
        <v>43970</v>
      </c>
      <c r="N13956" t="s">
        <v>45095</v>
      </c>
      <c r="O13956" t="s">
        <v>45096</v>
      </c>
      <c r="P13956">
        <v>0</v>
      </c>
      <c r="Q13956">
        <v>0</v>
      </c>
      <c r="R13956" t="s">
        <v>45116</v>
      </c>
      <c r="S13956" t="s">
        <v>45923</v>
      </c>
      <c r="T13956" t="s">
        <v>46985</v>
      </c>
      <c r="U13956" t="s">
        <v>53978</v>
      </c>
      <c r="W13956" t="s">
        <v>43970</v>
      </c>
      <c r="X13956" t="s">
        <v>45117</v>
      </c>
    </row>
    <row r="13957" spans="1:24">
      <c r="A13957">
        <f>HYPERLINK("https://www.philgeps.gov.ph/GEPSNONPILOT/Tender/SplashBidNoticeAbstractUI.aspx?menuIndex=3&amp;refID=7013816&amp;Result=3","7013816")</f>
        <v>0</v>
      </c>
      <c r="B13957" t="s">
        <v>1535</v>
      </c>
      <c r="C13957" t="s">
        <v>16550</v>
      </c>
      <c r="D13957" t="s">
        <v>18073</v>
      </c>
      <c r="E13957" t="s">
        <v>30216</v>
      </c>
      <c r="F13957" t="s">
        <v>31574</v>
      </c>
      <c r="G13957" t="s">
        <v>31582</v>
      </c>
      <c r="H13957" t="s">
        <v>31591</v>
      </c>
      <c r="I13957" t="s">
        <v>8822</v>
      </c>
      <c r="J13957" t="s">
        <v>40289</v>
      </c>
      <c r="K13957" t="s">
        <v>41189</v>
      </c>
      <c r="M13957" t="s">
        <v>43127</v>
      </c>
      <c r="N13957" t="s">
        <v>45095</v>
      </c>
      <c r="O13957" t="s">
        <v>45096</v>
      </c>
      <c r="Q13957">
        <v>0</v>
      </c>
      <c r="R13957" t="s">
        <v>45116</v>
      </c>
      <c r="S13957" t="s">
        <v>45977</v>
      </c>
      <c r="T13957" t="s">
        <v>47429</v>
      </c>
      <c r="U13957" t="s">
        <v>57391</v>
      </c>
      <c r="V13957" t="s">
        <v>61395</v>
      </c>
      <c r="W13957" t="s">
        <v>43127</v>
      </c>
      <c r="X13957" t="s">
        <v>45117</v>
      </c>
    </row>
    <row r="13958" spans="1:24">
      <c r="A13958">
        <f>HYPERLINK("https://www.philgeps.gov.ph/GEPSNONPILOT/Tender/SplashBidNoticeAbstractUI.aspx?menuIndex=3&amp;refID=7013723&amp;Result=3","7013723")</f>
        <v>0</v>
      </c>
      <c r="B13958" t="s">
        <v>522</v>
      </c>
      <c r="C13958" t="s">
        <v>16551</v>
      </c>
      <c r="D13958" t="s">
        <v>18101</v>
      </c>
      <c r="E13958" t="s">
        <v>30217</v>
      </c>
      <c r="F13958" t="s">
        <v>31574</v>
      </c>
      <c r="G13958" t="s">
        <v>31582</v>
      </c>
      <c r="H13958" t="s">
        <v>31591</v>
      </c>
      <c r="I13958" t="s">
        <v>8822</v>
      </c>
      <c r="J13958" t="s">
        <v>40290</v>
      </c>
      <c r="K13958" t="s">
        <v>41189</v>
      </c>
      <c r="M13958" t="s">
        <v>42018</v>
      </c>
      <c r="N13958" t="s">
        <v>45095</v>
      </c>
      <c r="O13958" t="s">
        <v>45096</v>
      </c>
      <c r="P13958">
        <v>0</v>
      </c>
      <c r="Q13958">
        <v>1</v>
      </c>
      <c r="R13958" t="s">
        <v>45116</v>
      </c>
      <c r="S13958" t="s">
        <v>45923</v>
      </c>
      <c r="T13958" t="s">
        <v>47176</v>
      </c>
      <c r="U13958" t="s">
        <v>58735</v>
      </c>
      <c r="W13958" t="s">
        <v>42018</v>
      </c>
      <c r="X13958" t="s">
        <v>45117</v>
      </c>
    </row>
    <row r="13959" spans="1:24">
      <c r="A13959">
        <f>HYPERLINK("https://www.philgeps.gov.ph/GEPSNONPILOT/Tender/SplashBidNoticeAbstractUI.aspx?menuIndex=3&amp;refID=7013698&amp;Result=3","7013698")</f>
        <v>0</v>
      </c>
      <c r="B13959" t="s">
        <v>40</v>
      </c>
      <c r="C13959" t="s">
        <v>16552</v>
      </c>
      <c r="D13959" t="s">
        <v>18035</v>
      </c>
      <c r="E13959" t="s">
        <v>30218</v>
      </c>
      <c r="F13959" t="s">
        <v>31574</v>
      </c>
      <c r="G13959" t="s">
        <v>31582</v>
      </c>
      <c r="H13959" t="s">
        <v>31591</v>
      </c>
      <c r="I13959" t="s">
        <v>8822</v>
      </c>
      <c r="J13959" t="s">
        <v>34697</v>
      </c>
      <c r="K13959" t="s">
        <v>41200</v>
      </c>
      <c r="M13959" t="s">
        <v>41523</v>
      </c>
      <c r="N13959" t="s">
        <v>45095</v>
      </c>
      <c r="O13959" t="s">
        <v>45096</v>
      </c>
      <c r="Q13959">
        <v>32</v>
      </c>
      <c r="R13959" t="s">
        <v>45116</v>
      </c>
      <c r="S13959" t="s">
        <v>45978</v>
      </c>
      <c r="T13959" t="s">
        <v>47050</v>
      </c>
      <c r="U13959" t="s">
        <v>54981</v>
      </c>
      <c r="V13959" t="s">
        <v>59850</v>
      </c>
      <c r="W13959" t="s">
        <v>41523</v>
      </c>
      <c r="X13959" t="s">
        <v>45117</v>
      </c>
    </row>
    <row r="13960" spans="1:24">
      <c r="A13960">
        <f>HYPERLINK("https://www.philgeps.gov.ph/GEPSNONPILOT/Tender/SplashBidNoticeAbstractUI.aspx?menuIndex=3&amp;refID=7013808&amp;Result=3","7013808")</f>
        <v>0</v>
      </c>
      <c r="B13960" t="s">
        <v>2826</v>
      </c>
      <c r="C13960" t="s">
        <v>5681</v>
      </c>
      <c r="D13960" t="s">
        <v>18091</v>
      </c>
      <c r="E13960" t="s">
        <v>30219</v>
      </c>
      <c r="F13960" t="s">
        <v>31574</v>
      </c>
      <c r="G13960" t="s">
        <v>31582</v>
      </c>
      <c r="H13960" t="s">
        <v>31591</v>
      </c>
      <c r="I13960" t="s">
        <v>8822</v>
      </c>
      <c r="J13960" t="s">
        <v>40291</v>
      </c>
      <c r="K13960" t="s">
        <v>41195</v>
      </c>
      <c r="M13960" t="s">
        <v>44604</v>
      </c>
      <c r="N13960" t="s">
        <v>45095</v>
      </c>
      <c r="O13960" t="s">
        <v>45096</v>
      </c>
      <c r="Q13960">
        <v>0</v>
      </c>
      <c r="R13960" t="s">
        <v>45116</v>
      </c>
      <c r="S13960" t="s">
        <v>45979</v>
      </c>
      <c r="T13960" t="s">
        <v>46955</v>
      </c>
      <c r="U13960" t="s">
        <v>58736</v>
      </c>
      <c r="W13960" t="s">
        <v>44604</v>
      </c>
      <c r="X13960" t="s">
        <v>45117</v>
      </c>
    </row>
    <row r="13961" spans="1:24">
      <c r="A13961">
        <f>HYPERLINK("https://www.philgeps.gov.ph/GEPSNONPILOT/Tender/SplashBidNoticeAbstractUI.aspx?menuIndex=3&amp;refID=7013791&amp;Result=3","7013791")</f>
        <v>0</v>
      </c>
      <c r="B13961" t="s">
        <v>2528</v>
      </c>
      <c r="C13961" t="s">
        <v>16553</v>
      </c>
      <c r="D13961" t="s">
        <v>18039</v>
      </c>
      <c r="E13961" t="s">
        <v>30220</v>
      </c>
      <c r="F13961" t="s">
        <v>31574</v>
      </c>
      <c r="G13961" t="s">
        <v>31582</v>
      </c>
      <c r="H13961" t="s">
        <v>31591</v>
      </c>
      <c r="I13961" t="s">
        <v>8822</v>
      </c>
      <c r="J13961" t="s">
        <v>40292</v>
      </c>
      <c r="K13961" t="s">
        <v>41200</v>
      </c>
      <c r="M13961" t="s">
        <v>44263</v>
      </c>
      <c r="N13961" t="s">
        <v>45095</v>
      </c>
      <c r="O13961" t="s">
        <v>45096</v>
      </c>
      <c r="P13961">
        <v>0</v>
      </c>
      <c r="Q13961">
        <v>1</v>
      </c>
      <c r="R13961" t="s">
        <v>45116</v>
      </c>
      <c r="S13961" t="s">
        <v>45923</v>
      </c>
      <c r="T13961" t="s">
        <v>46963</v>
      </c>
      <c r="U13961" t="s">
        <v>58737</v>
      </c>
      <c r="W13961" t="s">
        <v>44263</v>
      </c>
      <c r="X13961" t="s">
        <v>45117</v>
      </c>
    </row>
    <row r="13962" spans="1:24">
      <c r="A13962">
        <f>HYPERLINK("https://www.philgeps.gov.ph/GEPSNONPILOT/Tender/SplashBidNoticeAbstractUI.aspx?menuIndex=3&amp;refID=7013782&amp;Result=3","7013782")</f>
        <v>0</v>
      </c>
      <c r="B13962" t="s">
        <v>40</v>
      </c>
      <c r="C13962" t="s">
        <v>16554</v>
      </c>
      <c r="D13962" t="s">
        <v>18035</v>
      </c>
      <c r="E13962" t="s">
        <v>30221</v>
      </c>
      <c r="F13962" t="s">
        <v>31574</v>
      </c>
      <c r="G13962" t="s">
        <v>31582</v>
      </c>
      <c r="H13962" t="s">
        <v>31591</v>
      </c>
      <c r="I13962" t="s">
        <v>8822</v>
      </c>
      <c r="J13962" t="s">
        <v>40293</v>
      </c>
      <c r="K13962" t="s">
        <v>41401</v>
      </c>
      <c r="M13962" t="s">
        <v>41523</v>
      </c>
      <c r="N13962" t="s">
        <v>45095</v>
      </c>
      <c r="O13962" t="s">
        <v>45096</v>
      </c>
      <c r="Q13962">
        <v>20</v>
      </c>
      <c r="R13962" t="s">
        <v>45116</v>
      </c>
      <c r="S13962" t="s">
        <v>45980</v>
      </c>
      <c r="T13962" t="s">
        <v>47050</v>
      </c>
      <c r="U13962" t="s">
        <v>54981</v>
      </c>
      <c r="V13962" t="s">
        <v>59850</v>
      </c>
      <c r="W13962" t="s">
        <v>41523</v>
      </c>
      <c r="X13962" t="s">
        <v>45117</v>
      </c>
    </row>
    <row r="13963" spans="1:24">
      <c r="A13963">
        <f>HYPERLINK("https://www.philgeps.gov.ph/GEPSNONPILOT/Tender/SplashBidNoticeAbstractUI.aspx?menuIndex=3&amp;refID=7013629&amp;Result=3","7013629")</f>
        <v>0</v>
      </c>
      <c r="B13963" t="s">
        <v>159</v>
      </c>
      <c r="C13963" t="s">
        <v>16555</v>
      </c>
      <c r="D13963" t="s">
        <v>18046</v>
      </c>
      <c r="E13963" t="s">
        <v>30222</v>
      </c>
      <c r="F13963" t="s">
        <v>31574</v>
      </c>
      <c r="G13963" t="s">
        <v>31582</v>
      </c>
      <c r="H13963" t="s">
        <v>31590</v>
      </c>
      <c r="I13963" t="s">
        <v>4046</v>
      </c>
      <c r="J13963" t="s">
        <v>40294</v>
      </c>
      <c r="K13963" t="s">
        <v>41186</v>
      </c>
      <c r="M13963" t="s">
        <v>43387</v>
      </c>
      <c r="N13963" t="s">
        <v>45095</v>
      </c>
      <c r="O13963" t="s">
        <v>45096</v>
      </c>
      <c r="P13963">
        <v>0</v>
      </c>
      <c r="Q13963">
        <v>0</v>
      </c>
      <c r="R13963" t="s">
        <v>45116</v>
      </c>
      <c r="S13963" t="s">
        <v>45923</v>
      </c>
      <c r="T13963" t="s">
        <v>47154</v>
      </c>
      <c r="U13963" t="s">
        <v>47772</v>
      </c>
      <c r="V13963" t="s">
        <v>59890</v>
      </c>
      <c r="W13963" t="s">
        <v>43387</v>
      </c>
      <c r="X13963" t="s">
        <v>45117</v>
      </c>
    </row>
    <row r="13964" spans="1:24">
      <c r="A13964">
        <f>HYPERLINK("https://www.philgeps.gov.ph/GEPSNONPILOT/Tender/SplashBidNoticeAbstractUI.aspx?menuIndex=3&amp;refID=7013774&amp;Result=3","7013774")</f>
        <v>0</v>
      </c>
      <c r="B13964" t="s">
        <v>2770</v>
      </c>
      <c r="C13964" t="s">
        <v>16556</v>
      </c>
      <c r="D13964" t="s">
        <v>18027</v>
      </c>
      <c r="E13964" t="s">
        <v>30223</v>
      </c>
      <c r="F13964" t="s">
        <v>31574</v>
      </c>
      <c r="G13964" t="s">
        <v>31582</v>
      </c>
      <c r="H13964" t="s">
        <v>31590</v>
      </c>
      <c r="I13964" t="s">
        <v>31626</v>
      </c>
      <c r="J13964" t="s">
        <v>40295</v>
      </c>
      <c r="K13964" t="s">
        <v>41192</v>
      </c>
      <c r="M13964" t="s">
        <v>44545</v>
      </c>
      <c r="N13964" t="s">
        <v>45095</v>
      </c>
      <c r="O13964" t="s">
        <v>45096</v>
      </c>
      <c r="P13964">
        <v>0</v>
      </c>
      <c r="Q13964">
        <v>1</v>
      </c>
      <c r="R13964" t="s">
        <v>45116</v>
      </c>
      <c r="S13964" t="s">
        <v>45923</v>
      </c>
      <c r="T13964" t="s">
        <v>47276</v>
      </c>
      <c r="U13964" t="s">
        <v>58738</v>
      </c>
      <c r="W13964" t="s">
        <v>44545</v>
      </c>
      <c r="X13964" t="s">
        <v>45117</v>
      </c>
    </row>
    <row r="13965" spans="1:24">
      <c r="A13965">
        <f>HYPERLINK("https://www.philgeps.gov.ph/GEPSNONPILOT/Tender/SplashBidNoticeAbstractUI.aspx?menuIndex=3&amp;refID=7013785&amp;Result=3","7013785")</f>
        <v>0</v>
      </c>
      <c r="B13965" t="s">
        <v>75</v>
      </c>
      <c r="C13965" t="s">
        <v>16557</v>
      </c>
      <c r="D13965" t="s">
        <v>18054</v>
      </c>
      <c r="E13965" t="s">
        <v>30224</v>
      </c>
      <c r="F13965" t="s">
        <v>31574</v>
      </c>
      <c r="G13965" t="s">
        <v>31582</v>
      </c>
      <c r="H13965" t="s">
        <v>31590</v>
      </c>
      <c r="I13965" t="s">
        <v>7185</v>
      </c>
      <c r="J13965" t="s">
        <v>40296</v>
      </c>
      <c r="K13965" t="s">
        <v>41186</v>
      </c>
      <c r="M13965" t="s">
        <v>41559</v>
      </c>
      <c r="N13965" t="s">
        <v>45095</v>
      </c>
      <c r="O13965" t="s">
        <v>45096</v>
      </c>
      <c r="Q13965">
        <v>5</v>
      </c>
      <c r="R13965" t="s">
        <v>45116</v>
      </c>
      <c r="S13965" t="s">
        <v>45981</v>
      </c>
      <c r="T13965" t="s">
        <v>47064</v>
      </c>
      <c r="U13965" t="s">
        <v>58739</v>
      </c>
      <c r="W13965" t="s">
        <v>41559</v>
      </c>
      <c r="X13965" t="s">
        <v>45117</v>
      </c>
    </row>
    <row r="13966" spans="1:24">
      <c r="A13966">
        <f>HYPERLINK("https://www.philgeps.gov.ph/GEPSNONPILOT/Tender/SplashBidNoticeAbstractUI.aspx?menuIndex=3&amp;refID=7013773&amp;Result=3","7013773")</f>
        <v>0</v>
      </c>
      <c r="B13966" t="s">
        <v>349</v>
      </c>
      <c r="C13966" t="s">
        <v>16558</v>
      </c>
      <c r="D13966" t="s">
        <v>18071</v>
      </c>
      <c r="E13966" t="s">
        <v>30225</v>
      </c>
      <c r="F13966" t="s">
        <v>31574</v>
      </c>
      <c r="G13966" t="s">
        <v>31582</v>
      </c>
      <c r="H13966" t="s">
        <v>31590</v>
      </c>
      <c r="I13966" t="s">
        <v>31598</v>
      </c>
      <c r="J13966" t="s">
        <v>32550</v>
      </c>
      <c r="K13966" t="s">
        <v>41192</v>
      </c>
      <c r="L13966" t="s">
        <v>349</v>
      </c>
      <c r="M13966" t="s">
        <v>41837</v>
      </c>
      <c r="N13966" t="s">
        <v>45095</v>
      </c>
      <c r="O13966" t="s">
        <v>45096</v>
      </c>
      <c r="P13966">
        <v>0</v>
      </c>
      <c r="Q13966">
        <v>18</v>
      </c>
      <c r="R13966" t="s">
        <v>45116</v>
      </c>
      <c r="S13966" t="s">
        <v>45923</v>
      </c>
      <c r="T13966" t="s">
        <v>47003</v>
      </c>
      <c r="U13966" t="s">
        <v>58740</v>
      </c>
      <c r="W13966" t="s">
        <v>41837</v>
      </c>
      <c r="X13966" t="s">
        <v>45117</v>
      </c>
    </row>
    <row r="13967" spans="1:24">
      <c r="A13967">
        <f>HYPERLINK("https://www.philgeps.gov.ph/GEPSNONPILOT/Tender/SplashBidNoticeAbstractUI.aspx?menuIndex=3&amp;refID=7013769&amp;Result=3","7013769")</f>
        <v>0</v>
      </c>
      <c r="B13967" t="s">
        <v>2359</v>
      </c>
      <c r="C13967" t="s">
        <v>16559</v>
      </c>
      <c r="D13967" t="s">
        <v>18078</v>
      </c>
      <c r="E13967" t="s">
        <v>30226</v>
      </c>
      <c r="F13967" t="s">
        <v>31574</v>
      </c>
      <c r="G13967" t="s">
        <v>31582</v>
      </c>
      <c r="H13967" t="s">
        <v>31591</v>
      </c>
      <c r="I13967" t="s">
        <v>8822</v>
      </c>
      <c r="J13967" t="s">
        <v>40297</v>
      </c>
      <c r="K13967" t="s">
        <v>41392</v>
      </c>
      <c r="M13967" t="s">
        <v>44751</v>
      </c>
      <c r="N13967" t="s">
        <v>45095</v>
      </c>
      <c r="O13967" t="s">
        <v>45096</v>
      </c>
      <c r="P13967">
        <v>0</v>
      </c>
      <c r="Q13967">
        <v>3</v>
      </c>
      <c r="R13967" t="s">
        <v>45116</v>
      </c>
      <c r="S13967" t="s">
        <v>45923</v>
      </c>
      <c r="T13967" t="s">
        <v>47154</v>
      </c>
      <c r="U13967" t="s">
        <v>58741</v>
      </c>
      <c r="W13967" t="s">
        <v>44751</v>
      </c>
      <c r="X13967" t="s">
        <v>45117</v>
      </c>
    </row>
    <row r="13968" spans="1:24">
      <c r="A13968">
        <f>HYPERLINK("https://www.philgeps.gov.ph/GEPSNONPILOT/Tender/SplashBidNoticeAbstractUI.aspx?menuIndex=3&amp;refID=7013822&amp;Result=3","7013822")</f>
        <v>0</v>
      </c>
      <c r="B13968" t="s">
        <v>3083</v>
      </c>
      <c r="C13968" t="s">
        <v>16560</v>
      </c>
      <c r="D13968" t="s">
        <v>18035</v>
      </c>
      <c r="E13968" t="s">
        <v>30227</v>
      </c>
      <c r="F13968" t="s">
        <v>31574</v>
      </c>
      <c r="G13968" t="s">
        <v>31582</v>
      </c>
      <c r="H13968" t="s">
        <v>31591</v>
      </c>
      <c r="I13968" t="s">
        <v>8822</v>
      </c>
      <c r="J13968" t="s">
        <v>40298</v>
      </c>
      <c r="K13968" t="s">
        <v>41439</v>
      </c>
      <c r="M13968" t="s">
        <v>44927</v>
      </c>
      <c r="N13968" t="s">
        <v>45095</v>
      </c>
      <c r="O13968" t="s">
        <v>45096</v>
      </c>
      <c r="P13968">
        <v>0</v>
      </c>
      <c r="Q13968">
        <v>36</v>
      </c>
      <c r="R13968" t="s">
        <v>45116</v>
      </c>
      <c r="S13968" t="s">
        <v>45923</v>
      </c>
      <c r="T13968" t="s">
        <v>47050</v>
      </c>
      <c r="U13968" t="s">
        <v>58742</v>
      </c>
      <c r="V13968" t="s">
        <v>60368</v>
      </c>
      <c r="W13968" t="s">
        <v>44927</v>
      </c>
      <c r="X13968" t="s">
        <v>45117</v>
      </c>
    </row>
    <row r="13969" spans="1:24">
      <c r="A13969">
        <f>HYPERLINK("https://www.philgeps.gov.ph/GEPSNONPILOT/Tender/SplashBidNoticeAbstractUI.aspx?menuIndex=3&amp;refID=7013758&amp;Result=3","7013758")</f>
        <v>0</v>
      </c>
      <c r="B13969" t="s">
        <v>145</v>
      </c>
      <c r="C13969" t="s">
        <v>16561</v>
      </c>
      <c r="D13969" t="s">
        <v>18022</v>
      </c>
      <c r="E13969" t="s">
        <v>30228</v>
      </c>
      <c r="F13969" t="s">
        <v>31574</v>
      </c>
      <c r="G13969" t="s">
        <v>31582</v>
      </c>
      <c r="H13969" t="s">
        <v>31590</v>
      </c>
      <c r="I13969" t="s">
        <v>31594</v>
      </c>
      <c r="J13969" t="s">
        <v>40034</v>
      </c>
      <c r="K13969" t="s">
        <v>41184</v>
      </c>
      <c r="M13969" t="s">
        <v>44928</v>
      </c>
      <c r="N13969" t="s">
        <v>45095</v>
      </c>
      <c r="O13969" t="s">
        <v>45096</v>
      </c>
      <c r="Q13969">
        <v>40</v>
      </c>
      <c r="R13969" t="s">
        <v>45116</v>
      </c>
      <c r="S13969" t="s">
        <v>45945</v>
      </c>
      <c r="T13969" t="s">
        <v>47154</v>
      </c>
      <c r="U13969" t="s">
        <v>58743</v>
      </c>
      <c r="W13969" t="s">
        <v>44928</v>
      </c>
      <c r="X13969" t="s">
        <v>45117</v>
      </c>
    </row>
    <row r="13970" spans="1:24">
      <c r="A13970">
        <f>HYPERLINK("https://www.philgeps.gov.ph/GEPSNONPILOT/Tender/SplashBidNoticeAbstractUI.aspx?menuIndex=3&amp;refID=7013749&amp;Result=3","7013749")</f>
        <v>0</v>
      </c>
      <c r="B13970" t="s">
        <v>3084</v>
      </c>
      <c r="C13970" t="s">
        <v>16562</v>
      </c>
      <c r="D13970" t="s">
        <v>18074</v>
      </c>
      <c r="E13970" t="s">
        <v>30229</v>
      </c>
      <c r="F13970" t="s">
        <v>31574</v>
      </c>
      <c r="G13970" t="s">
        <v>31582</v>
      </c>
      <c r="H13970" t="s">
        <v>31591</v>
      </c>
      <c r="I13970" t="s">
        <v>31632</v>
      </c>
      <c r="J13970" t="s">
        <v>40299</v>
      </c>
      <c r="K13970" t="s">
        <v>41348</v>
      </c>
      <c r="M13970" t="s">
        <v>44929</v>
      </c>
      <c r="N13970" t="s">
        <v>45095</v>
      </c>
      <c r="O13970" t="s">
        <v>45096</v>
      </c>
      <c r="P13970">
        <v>0</v>
      </c>
      <c r="Q13970">
        <v>4</v>
      </c>
      <c r="R13970" t="s">
        <v>45116</v>
      </c>
      <c r="S13970" t="s">
        <v>45923</v>
      </c>
      <c r="T13970" t="s">
        <v>46985</v>
      </c>
      <c r="U13970" t="s">
        <v>58744</v>
      </c>
      <c r="W13970" t="s">
        <v>44929</v>
      </c>
      <c r="X13970" t="s">
        <v>45117</v>
      </c>
    </row>
    <row r="13971" spans="1:24">
      <c r="A13971">
        <f>HYPERLINK("https://www.philgeps.gov.ph/GEPSNONPILOT/Tender/SplashBidNoticeAbstractUI.aspx?menuIndex=3&amp;refID=7013751&amp;Result=3","7013751")</f>
        <v>0</v>
      </c>
      <c r="B13971" t="s">
        <v>1488</v>
      </c>
      <c r="C13971" t="s">
        <v>16563</v>
      </c>
      <c r="D13971" t="s">
        <v>18088</v>
      </c>
      <c r="E13971" t="s">
        <v>21914</v>
      </c>
      <c r="F13971" t="s">
        <v>31574</v>
      </c>
      <c r="G13971" t="s">
        <v>31582</v>
      </c>
      <c r="H13971" t="s">
        <v>31591</v>
      </c>
      <c r="I13971" t="s">
        <v>8822</v>
      </c>
      <c r="J13971" t="s">
        <v>38840</v>
      </c>
      <c r="K13971" t="s">
        <v>41184</v>
      </c>
      <c r="M13971" t="s">
        <v>43073</v>
      </c>
      <c r="N13971" t="s">
        <v>45095</v>
      </c>
      <c r="O13971" t="s">
        <v>45096</v>
      </c>
      <c r="P13971">
        <v>0</v>
      </c>
      <c r="Q13971">
        <v>0</v>
      </c>
      <c r="R13971" t="s">
        <v>45116</v>
      </c>
      <c r="S13971" t="s">
        <v>45923</v>
      </c>
      <c r="T13971" t="s">
        <v>47159</v>
      </c>
      <c r="U13971" t="s">
        <v>58745</v>
      </c>
      <c r="V13971" t="s">
        <v>61385</v>
      </c>
      <c r="W13971" t="s">
        <v>43073</v>
      </c>
      <c r="X13971" t="s">
        <v>45117</v>
      </c>
    </row>
    <row r="13972" spans="1:24">
      <c r="A13972">
        <f>HYPERLINK("https://www.philgeps.gov.ph/GEPSNONPILOT/Tender/SplashBidNoticeAbstractUI.aspx?menuIndex=3&amp;refID=7013490&amp;Result=3","7013490")</f>
        <v>0</v>
      </c>
      <c r="B13972" t="s">
        <v>3072</v>
      </c>
      <c r="C13972" t="s">
        <v>16564</v>
      </c>
      <c r="D13972" t="s">
        <v>18040</v>
      </c>
      <c r="E13972" t="s">
        <v>30230</v>
      </c>
      <c r="F13972" t="s">
        <v>31574</v>
      </c>
      <c r="G13972" t="s">
        <v>31582</v>
      </c>
      <c r="H13972" t="s">
        <v>31591</v>
      </c>
      <c r="I13972" t="s">
        <v>8822</v>
      </c>
      <c r="J13972" t="s">
        <v>31771</v>
      </c>
      <c r="K13972" t="s">
        <v>41195</v>
      </c>
      <c r="M13972" t="s">
        <v>44915</v>
      </c>
      <c r="N13972" t="s">
        <v>45095</v>
      </c>
      <c r="O13972" t="s">
        <v>45096</v>
      </c>
      <c r="P13972">
        <v>0</v>
      </c>
      <c r="Q13972">
        <v>1</v>
      </c>
      <c r="R13972" t="s">
        <v>45116</v>
      </c>
      <c r="S13972" t="s">
        <v>45923</v>
      </c>
      <c r="T13972" t="s">
        <v>47154</v>
      </c>
      <c r="U13972" t="s">
        <v>58746</v>
      </c>
      <c r="W13972" t="s">
        <v>44915</v>
      </c>
      <c r="X13972" t="s">
        <v>45117</v>
      </c>
    </row>
    <row r="13973" spans="1:24">
      <c r="A13973">
        <f>HYPERLINK("https://www.philgeps.gov.ph/GEPSNONPILOT/Tender/SplashBidNoticeAbstractUI.aspx?menuIndex=3&amp;refID=7013739&amp;Result=3","7013739")</f>
        <v>0</v>
      </c>
      <c r="B13973" t="s">
        <v>40</v>
      </c>
      <c r="C13973" t="s">
        <v>16565</v>
      </c>
      <c r="D13973" t="s">
        <v>18035</v>
      </c>
      <c r="E13973" t="s">
        <v>30231</v>
      </c>
      <c r="F13973" t="s">
        <v>31574</v>
      </c>
      <c r="G13973" t="s">
        <v>31582</v>
      </c>
      <c r="H13973" t="s">
        <v>31591</v>
      </c>
      <c r="I13973" t="s">
        <v>8822</v>
      </c>
      <c r="J13973" t="s">
        <v>33445</v>
      </c>
      <c r="K13973" t="s">
        <v>41357</v>
      </c>
      <c r="M13973" t="s">
        <v>41523</v>
      </c>
      <c r="N13973" t="s">
        <v>45095</v>
      </c>
      <c r="O13973" t="s">
        <v>45096</v>
      </c>
      <c r="Q13973">
        <v>38</v>
      </c>
      <c r="R13973" t="s">
        <v>45116</v>
      </c>
      <c r="S13973" t="s">
        <v>45982</v>
      </c>
      <c r="T13973" t="s">
        <v>47050</v>
      </c>
      <c r="U13973" t="s">
        <v>54981</v>
      </c>
      <c r="V13973" t="s">
        <v>59850</v>
      </c>
      <c r="W13973" t="s">
        <v>41523</v>
      </c>
      <c r="X13973" t="s">
        <v>45117</v>
      </c>
    </row>
    <row r="13974" spans="1:24">
      <c r="A13974">
        <f>HYPERLINK("https://www.philgeps.gov.ph/GEPSNONPILOT/Tender/SplashBidNoticeAbstractUI.aspx?menuIndex=3&amp;refID=7013493&amp;Result=3","7013493")</f>
        <v>0</v>
      </c>
      <c r="B13974" t="s">
        <v>3085</v>
      </c>
      <c r="C13974" t="s">
        <v>16566</v>
      </c>
      <c r="E13974" t="s">
        <v>30232</v>
      </c>
      <c r="F13974" t="s">
        <v>31574</v>
      </c>
      <c r="G13974" t="s">
        <v>31582</v>
      </c>
      <c r="H13974" t="s">
        <v>31590</v>
      </c>
      <c r="I13974" t="s">
        <v>31648</v>
      </c>
      <c r="J13974" t="s">
        <v>40300</v>
      </c>
      <c r="K13974" t="s">
        <v>41189</v>
      </c>
      <c r="M13974" t="s">
        <v>44930</v>
      </c>
      <c r="N13974" t="s">
        <v>45095</v>
      </c>
      <c r="O13974" t="s">
        <v>45096</v>
      </c>
      <c r="Q13974">
        <v>9</v>
      </c>
      <c r="R13974" t="s">
        <v>45116</v>
      </c>
      <c r="S13974" t="s">
        <v>45983</v>
      </c>
      <c r="T13974" t="s">
        <v>47313</v>
      </c>
      <c r="U13974" t="s">
        <v>58747</v>
      </c>
      <c r="W13974" t="s">
        <v>44930</v>
      </c>
      <c r="X13974" t="s">
        <v>45117</v>
      </c>
    </row>
    <row r="13975" spans="1:24">
      <c r="A13975">
        <f>HYPERLINK("https://www.philgeps.gov.ph/GEPSNONPILOT/Tender/SplashBidNoticeAbstractUI.aspx?menuIndex=3&amp;refID=7013721&amp;Result=3","7013721")</f>
        <v>0</v>
      </c>
      <c r="B13975" t="s">
        <v>3086</v>
      </c>
      <c r="C13975" t="s">
        <v>16567</v>
      </c>
      <c r="D13975" t="s">
        <v>18045</v>
      </c>
      <c r="E13975" t="s">
        <v>30233</v>
      </c>
      <c r="F13975" t="s">
        <v>31574</v>
      </c>
      <c r="G13975" t="s">
        <v>31582</v>
      </c>
      <c r="H13975" t="s">
        <v>31590</v>
      </c>
      <c r="I13975" t="s">
        <v>4046</v>
      </c>
      <c r="J13975" t="s">
        <v>40301</v>
      </c>
      <c r="K13975" t="s">
        <v>41190</v>
      </c>
      <c r="M13975" t="s">
        <v>44931</v>
      </c>
      <c r="N13975" t="s">
        <v>45095</v>
      </c>
      <c r="O13975" t="s">
        <v>45096</v>
      </c>
      <c r="P13975">
        <v>0</v>
      </c>
      <c r="Q13975">
        <v>0</v>
      </c>
      <c r="R13975" t="s">
        <v>45116</v>
      </c>
      <c r="S13975" t="s">
        <v>45923</v>
      </c>
      <c r="T13975" t="s">
        <v>47076</v>
      </c>
      <c r="U13975" t="s">
        <v>58748</v>
      </c>
      <c r="V13975" t="s">
        <v>61396</v>
      </c>
      <c r="W13975" t="s">
        <v>44931</v>
      </c>
      <c r="X13975" t="s">
        <v>45117</v>
      </c>
    </row>
    <row r="13976" spans="1:24">
      <c r="A13976">
        <f>HYPERLINK("https://www.philgeps.gov.ph/GEPSNONPILOT/Tender/SplashBidNoticeAbstractUI.aspx?menuIndex=3&amp;refID=7013726&amp;Result=3","7013726")</f>
        <v>0</v>
      </c>
      <c r="B13976" t="s">
        <v>2528</v>
      </c>
      <c r="C13976" t="s">
        <v>16568</v>
      </c>
      <c r="D13976" t="s">
        <v>18039</v>
      </c>
      <c r="E13976" t="s">
        <v>30234</v>
      </c>
      <c r="F13976" t="s">
        <v>31574</v>
      </c>
      <c r="G13976" t="s">
        <v>31582</v>
      </c>
      <c r="H13976" t="s">
        <v>31591</v>
      </c>
      <c r="I13976" t="s">
        <v>8822</v>
      </c>
      <c r="J13976" t="s">
        <v>40302</v>
      </c>
      <c r="K13976" t="s">
        <v>41198</v>
      </c>
      <c r="M13976" t="s">
        <v>44263</v>
      </c>
      <c r="N13976" t="s">
        <v>45095</v>
      </c>
      <c r="O13976" t="s">
        <v>45096</v>
      </c>
      <c r="P13976">
        <v>0</v>
      </c>
      <c r="Q13976">
        <v>1</v>
      </c>
      <c r="R13976" t="s">
        <v>45116</v>
      </c>
      <c r="S13976" t="s">
        <v>45923</v>
      </c>
      <c r="T13976" t="s">
        <v>46963</v>
      </c>
      <c r="U13976" t="s">
        <v>58749</v>
      </c>
      <c r="W13976" t="s">
        <v>44263</v>
      </c>
      <c r="X13976" t="s">
        <v>45117</v>
      </c>
    </row>
    <row r="13977" spans="1:24">
      <c r="A13977">
        <f>HYPERLINK("https://www.philgeps.gov.ph/GEPSNONPILOT/Tender/SplashBidNoticeAbstractUI.aspx?menuIndex=3&amp;refID=7013955&amp;Result=3","7013955")</f>
        <v>0</v>
      </c>
      <c r="B13977" t="s">
        <v>2787</v>
      </c>
      <c r="C13977" t="s">
        <v>16569</v>
      </c>
      <c r="D13977" t="s">
        <v>18058</v>
      </c>
      <c r="E13977" t="s">
        <v>30235</v>
      </c>
      <c r="F13977" t="s">
        <v>31574</v>
      </c>
      <c r="G13977" t="s">
        <v>31582</v>
      </c>
      <c r="H13977" t="s">
        <v>31590</v>
      </c>
      <c r="I13977" t="s">
        <v>31602</v>
      </c>
      <c r="J13977" t="s">
        <v>40303</v>
      </c>
      <c r="K13977" t="s">
        <v>41225</v>
      </c>
      <c r="M13977" t="s">
        <v>44562</v>
      </c>
      <c r="N13977" t="s">
        <v>45095</v>
      </c>
      <c r="O13977" t="s">
        <v>45096</v>
      </c>
      <c r="P13977">
        <v>0</v>
      </c>
      <c r="Q13977">
        <v>0</v>
      </c>
      <c r="R13977" t="s">
        <v>45116</v>
      </c>
      <c r="S13977" t="s">
        <v>45923</v>
      </c>
      <c r="T13977" t="s">
        <v>47430</v>
      </c>
      <c r="U13977" t="s">
        <v>58750</v>
      </c>
      <c r="W13977" t="s">
        <v>44562</v>
      </c>
      <c r="X13977" t="s">
        <v>45117</v>
      </c>
    </row>
    <row r="13978" spans="1:24">
      <c r="A13978">
        <f>HYPERLINK("https://www.philgeps.gov.ph/GEPSNONPILOT/Tender/SplashBidNoticeAbstractUI.aspx?menuIndex=3&amp;refID=7013780&amp;Result=3","7013780")</f>
        <v>0</v>
      </c>
      <c r="B13978" t="s">
        <v>2227</v>
      </c>
      <c r="C13978" t="s">
        <v>16570</v>
      </c>
      <c r="E13978" t="s">
        <v>30236</v>
      </c>
      <c r="F13978" t="s">
        <v>31574</v>
      </c>
      <c r="G13978" t="s">
        <v>31582</v>
      </c>
      <c r="H13978" t="s">
        <v>31591</v>
      </c>
      <c r="I13978" t="s">
        <v>8822</v>
      </c>
      <c r="J13978" t="s">
        <v>40304</v>
      </c>
      <c r="K13978" t="s">
        <v>41184</v>
      </c>
      <c r="M13978" t="s">
        <v>43920</v>
      </c>
      <c r="N13978" t="s">
        <v>45095</v>
      </c>
      <c r="O13978" t="s">
        <v>45096</v>
      </c>
      <c r="Q13978">
        <v>2</v>
      </c>
      <c r="R13978" t="s">
        <v>45116</v>
      </c>
      <c r="S13978" t="s">
        <v>45984</v>
      </c>
      <c r="T13978" t="s">
        <v>46922</v>
      </c>
      <c r="U13978" t="s">
        <v>58751</v>
      </c>
      <c r="W13978" t="s">
        <v>61731</v>
      </c>
      <c r="X13978" t="s">
        <v>45117</v>
      </c>
    </row>
    <row r="13979" spans="1:24">
      <c r="A13979">
        <f>HYPERLINK("https://www.philgeps.gov.ph/GEPSNONPILOT/Tender/SplashBidNoticeAbstractUI.aspx?menuIndex=3&amp;refID=7013914&amp;Result=3","7013914")</f>
        <v>0</v>
      </c>
      <c r="B13979" t="s">
        <v>3087</v>
      </c>
      <c r="C13979" t="s">
        <v>16571</v>
      </c>
      <c r="D13979" t="s">
        <v>18093</v>
      </c>
      <c r="E13979" t="s">
        <v>30237</v>
      </c>
      <c r="F13979" t="s">
        <v>31574</v>
      </c>
      <c r="G13979" t="s">
        <v>31582</v>
      </c>
      <c r="H13979" t="s">
        <v>31591</v>
      </c>
      <c r="I13979" t="s">
        <v>8822</v>
      </c>
      <c r="J13979" t="s">
        <v>35542</v>
      </c>
      <c r="K13979" t="s">
        <v>41243</v>
      </c>
      <c r="M13979" t="s">
        <v>44932</v>
      </c>
      <c r="N13979" t="s">
        <v>45095</v>
      </c>
      <c r="O13979" t="s">
        <v>45096</v>
      </c>
      <c r="P13979">
        <v>0</v>
      </c>
      <c r="Q13979">
        <v>3</v>
      </c>
      <c r="R13979" t="s">
        <v>45116</v>
      </c>
      <c r="S13979" t="s">
        <v>45923</v>
      </c>
      <c r="T13979" t="s">
        <v>47159</v>
      </c>
      <c r="U13979" t="s">
        <v>58752</v>
      </c>
      <c r="V13979" t="s">
        <v>61397</v>
      </c>
      <c r="W13979" t="s">
        <v>44932</v>
      </c>
      <c r="X13979" t="s">
        <v>45117</v>
      </c>
    </row>
    <row r="13980" spans="1:24">
      <c r="A13980">
        <f>HYPERLINK("https://www.philgeps.gov.ph/GEPSNONPILOT/Tender/SplashBidNoticeAbstractUI.aspx?menuIndex=3&amp;refID=7013933&amp;Result=3","7013933")</f>
        <v>0</v>
      </c>
      <c r="B13980" t="s">
        <v>725</v>
      </c>
      <c r="C13980" t="s">
        <v>16572</v>
      </c>
      <c r="D13980" t="s">
        <v>18092</v>
      </c>
      <c r="E13980" t="s">
        <v>30238</v>
      </c>
      <c r="F13980" t="s">
        <v>31574</v>
      </c>
      <c r="G13980" t="s">
        <v>31588</v>
      </c>
      <c r="H13980" t="s">
        <v>31590</v>
      </c>
      <c r="I13980" t="s">
        <v>31600</v>
      </c>
      <c r="J13980" t="s">
        <v>40305</v>
      </c>
      <c r="K13980" t="s">
        <v>41193</v>
      </c>
      <c r="M13980" t="s">
        <v>42235</v>
      </c>
      <c r="N13980" t="s">
        <v>45095</v>
      </c>
      <c r="O13980" t="s">
        <v>45096</v>
      </c>
      <c r="P13980">
        <v>0</v>
      </c>
      <c r="Q13980">
        <v>0</v>
      </c>
      <c r="R13980" t="s">
        <v>45116</v>
      </c>
      <c r="S13980" t="s">
        <v>45923</v>
      </c>
      <c r="T13980" t="s">
        <v>46932</v>
      </c>
      <c r="U13980" t="s">
        <v>58753</v>
      </c>
      <c r="V13980" t="s">
        <v>61398</v>
      </c>
      <c r="W13980" t="s">
        <v>42235</v>
      </c>
      <c r="X13980" t="s">
        <v>45117</v>
      </c>
    </row>
    <row r="13981" spans="1:24">
      <c r="A13981">
        <f>HYPERLINK("https://www.philgeps.gov.ph/GEPSNONPILOT/Tender/SplashBidNoticeAbstractUI.aspx?menuIndex=3&amp;refID=7013913&amp;Result=3","7013913")</f>
        <v>0</v>
      </c>
      <c r="B13981" t="s">
        <v>3083</v>
      </c>
      <c r="C13981" t="s">
        <v>16573</v>
      </c>
      <c r="D13981" t="s">
        <v>18035</v>
      </c>
      <c r="E13981" t="s">
        <v>30239</v>
      </c>
      <c r="F13981" t="s">
        <v>31574</v>
      </c>
      <c r="G13981" t="s">
        <v>31582</v>
      </c>
      <c r="H13981" t="s">
        <v>31591</v>
      </c>
      <c r="I13981" t="s">
        <v>8822</v>
      </c>
      <c r="J13981" t="s">
        <v>40306</v>
      </c>
      <c r="K13981" t="s">
        <v>41200</v>
      </c>
      <c r="M13981" t="s">
        <v>44927</v>
      </c>
      <c r="N13981" t="s">
        <v>45095</v>
      </c>
      <c r="O13981" t="s">
        <v>45096</v>
      </c>
      <c r="P13981">
        <v>0</v>
      </c>
      <c r="Q13981">
        <v>35</v>
      </c>
      <c r="R13981" t="s">
        <v>45116</v>
      </c>
      <c r="S13981" t="s">
        <v>45923</v>
      </c>
      <c r="T13981" t="s">
        <v>47050</v>
      </c>
      <c r="U13981" t="s">
        <v>58754</v>
      </c>
      <c r="V13981" t="s">
        <v>60368</v>
      </c>
      <c r="W13981" t="s">
        <v>44927</v>
      </c>
      <c r="X13981" t="s">
        <v>45117</v>
      </c>
    </row>
    <row r="13982" spans="1:24">
      <c r="A13982">
        <f>HYPERLINK("https://www.philgeps.gov.ph/GEPSNONPILOT/Tender/SplashBidNoticeAbstractUI.aspx?menuIndex=3&amp;refID=7013934&amp;Result=3","7013934")</f>
        <v>0</v>
      </c>
      <c r="B13982" t="s">
        <v>2573</v>
      </c>
      <c r="C13982" t="s">
        <v>16574</v>
      </c>
      <c r="D13982" t="s">
        <v>18026</v>
      </c>
      <c r="E13982" t="s">
        <v>30240</v>
      </c>
      <c r="F13982" t="s">
        <v>31574</v>
      </c>
      <c r="G13982" t="s">
        <v>31582</v>
      </c>
      <c r="H13982" t="s">
        <v>31591</v>
      </c>
      <c r="I13982" t="s">
        <v>8822</v>
      </c>
      <c r="J13982" t="s">
        <v>40307</v>
      </c>
      <c r="K13982" t="s">
        <v>41203</v>
      </c>
      <c r="M13982" t="s">
        <v>44314</v>
      </c>
      <c r="N13982" t="s">
        <v>45095</v>
      </c>
      <c r="O13982" t="s">
        <v>45096</v>
      </c>
      <c r="P13982">
        <v>0</v>
      </c>
      <c r="Q13982">
        <v>0</v>
      </c>
      <c r="R13982" t="s">
        <v>45116</v>
      </c>
      <c r="S13982" t="s">
        <v>45923</v>
      </c>
      <c r="T13982" t="s">
        <v>47159</v>
      </c>
      <c r="U13982" t="s">
        <v>58755</v>
      </c>
      <c r="W13982" t="s">
        <v>44314</v>
      </c>
      <c r="X13982" t="s">
        <v>45117</v>
      </c>
    </row>
    <row r="13983" spans="1:24">
      <c r="A13983">
        <f>HYPERLINK("https://www.philgeps.gov.ph/GEPSNONPILOT/Tender/SplashBidNoticeAbstractUI.aspx?menuIndex=3&amp;refID=7013954&amp;Result=3","7013954")</f>
        <v>0</v>
      </c>
      <c r="B13983" t="s">
        <v>725</v>
      </c>
      <c r="C13983" t="s">
        <v>16575</v>
      </c>
      <c r="D13983" t="s">
        <v>18092</v>
      </c>
      <c r="E13983" t="s">
        <v>30241</v>
      </c>
      <c r="F13983" t="s">
        <v>31574</v>
      </c>
      <c r="G13983" t="s">
        <v>31588</v>
      </c>
      <c r="H13983" t="s">
        <v>31590</v>
      </c>
      <c r="I13983" t="s">
        <v>31602</v>
      </c>
      <c r="J13983" t="s">
        <v>40308</v>
      </c>
      <c r="K13983" t="s">
        <v>41193</v>
      </c>
      <c r="M13983" t="s">
        <v>42235</v>
      </c>
      <c r="N13983" t="s">
        <v>45095</v>
      </c>
      <c r="O13983" t="s">
        <v>45096</v>
      </c>
      <c r="P13983">
        <v>0</v>
      </c>
      <c r="Q13983">
        <v>0</v>
      </c>
      <c r="R13983" t="s">
        <v>45116</v>
      </c>
      <c r="S13983" t="s">
        <v>45923</v>
      </c>
      <c r="T13983" t="s">
        <v>46932</v>
      </c>
      <c r="U13983" t="s">
        <v>58756</v>
      </c>
      <c r="V13983" t="s">
        <v>61399</v>
      </c>
      <c r="W13983" t="s">
        <v>42235</v>
      </c>
      <c r="X13983" t="s">
        <v>45117</v>
      </c>
    </row>
    <row r="13984" spans="1:24">
      <c r="A13984">
        <f>HYPERLINK("https://www.philgeps.gov.ph/GEPSNONPILOT/Tender/SplashBidNoticeAbstractUI.aspx?menuIndex=3&amp;refID=7013900&amp;Result=3","7013900")</f>
        <v>0</v>
      </c>
      <c r="B13984" t="s">
        <v>312</v>
      </c>
      <c r="C13984" t="s">
        <v>16576</v>
      </c>
      <c r="D13984" t="s">
        <v>18024</v>
      </c>
      <c r="E13984" t="s">
        <v>30242</v>
      </c>
      <c r="F13984" t="s">
        <v>31574</v>
      </c>
      <c r="G13984" t="s">
        <v>31582</v>
      </c>
      <c r="H13984" t="s">
        <v>31590</v>
      </c>
      <c r="I13984" t="s">
        <v>31615</v>
      </c>
      <c r="J13984" t="s">
        <v>36067</v>
      </c>
      <c r="K13984" t="s">
        <v>41237</v>
      </c>
      <c r="M13984" t="s">
        <v>41799</v>
      </c>
      <c r="N13984" t="s">
        <v>45095</v>
      </c>
      <c r="O13984" t="s">
        <v>45096</v>
      </c>
      <c r="P13984">
        <v>0</v>
      </c>
      <c r="Q13984">
        <v>1</v>
      </c>
      <c r="R13984" t="s">
        <v>45116</v>
      </c>
      <c r="S13984" t="s">
        <v>45923</v>
      </c>
      <c r="T13984" t="s">
        <v>47050</v>
      </c>
      <c r="U13984" t="s">
        <v>58757</v>
      </c>
      <c r="W13984" t="s">
        <v>41799</v>
      </c>
      <c r="X13984" t="s">
        <v>45117</v>
      </c>
    </row>
    <row r="13985" spans="1:24">
      <c r="A13985">
        <f>HYPERLINK("https://www.philgeps.gov.ph/GEPSNONPILOT/Tender/SplashBidNoticeAbstractUI.aspx?menuIndex=3&amp;refID=7013882&amp;Result=3","7013882")</f>
        <v>0</v>
      </c>
      <c r="B13985" t="s">
        <v>725</v>
      </c>
      <c r="C13985" t="s">
        <v>16577</v>
      </c>
      <c r="D13985" t="s">
        <v>18092</v>
      </c>
      <c r="E13985" t="s">
        <v>30243</v>
      </c>
      <c r="F13985" t="s">
        <v>31574</v>
      </c>
      <c r="G13985" t="s">
        <v>31588</v>
      </c>
      <c r="H13985" t="s">
        <v>31590</v>
      </c>
      <c r="I13985" t="s">
        <v>31600</v>
      </c>
      <c r="J13985" t="s">
        <v>40309</v>
      </c>
      <c r="K13985" t="s">
        <v>41193</v>
      </c>
      <c r="M13985" t="s">
        <v>42235</v>
      </c>
      <c r="N13985" t="s">
        <v>45095</v>
      </c>
      <c r="O13985" t="s">
        <v>45096</v>
      </c>
      <c r="P13985">
        <v>0</v>
      </c>
      <c r="Q13985">
        <v>0</v>
      </c>
      <c r="R13985" t="s">
        <v>45116</v>
      </c>
      <c r="S13985" t="s">
        <v>45923</v>
      </c>
      <c r="T13985" t="s">
        <v>46932</v>
      </c>
      <c r="U13985" t="s">
        <v>58758</v>
      </c>
      <c r="V13985" t="s">
        <v>61400</v>
      </c>
      <c r="W13985" t="s">
        <v>42235</v>
      </c>
      <c r="X13985" t="s">
        <v>45117</v>
      </c>
    </row>
    <row r="13986" spans="1:24">
      <c r="A13986">
        <f>HYPERLINK("https://www.philgeps.gov.ph/GEPSNONPILOT/Tender/SplashBidNoticeAbstractUI.aspx?menuIndex=3&amp;refID=7013525&amp;Result=3","7013525")</f>
        <v>0</v>
      </c>
      <c r="B13986" t="s">
        <v>1119</v>
      </c>
      <c r="C13986" t="s">
        <v>16578</v>
      </c>
      <c r="D13986" t="s">
        <v>18025</v>
      </c>
      <c r="E13986" t="s">
        <v>30244</v>
      </c>
      <c r="F13986" t="s">
        <v>31574</v>
      </c>
      <c r="G13986" t="s">
        <v>31582</v>
      </c>
      <c r="H13986" t="s">
        <v>31591</v>
      </c>
      <c r="I13986" t="s">
        <v>8822</v>
      </c>
      <c r="J13986" t="s">
        <v>40310</v>
      </c>
      <c r="K13986" t="s">
        <v>41190</v>
      </c>
      <c r="M13986" t="s">
        <v>42669</v>
      </c>
      <c r="N13986" t="s">
        <v>45095</v>
      </c>
      <c r="O13986" t="s">
        <v>45096</v>
      </c>
      <c r="P13986">
        <v>0</v>
      </c>
      <c r="Q13986">
        <v>0</v>
      </c>
      <c r="R13986" t="s">
        <v>45116</v>
      </c>
      <c r="S13986" t="s">
        <v>45923</v>
      </c>
      <c r="T13986" t="s">
        <v>47159</v>
      </c>
      <c r="U13986" t="s">
        <v>58353</v>
      </c>
      <c r="W13986" t="s">
        <v>42669</v>
      </c>
      <c r="X13986" t="s">
        <v>45117</v>
      </c>
    </row>
    <row r="13987" spans="1:24">
      <c r="A13987">
        <f>HYPERLINK("https://www.philgeps.gov.ph/GEPSNONPILOT/Tender/SplashBidNoticeAbstractUI.aspx?menuIndex=3&amp;refID=7013912&amp;Result=3","7013912")</f>
        <v>0</v>
      </c>
      <c r="B13987" t="s">
        <v>725</v>
      </c>
      <c r="C13987" t="s">
        <v>16579</v>
      </c>
      <c r="D13987" t="s">
        <v>18092</v>
      </c>
      <c r="E13987" t="s">
        <v>30245</v>
      </c>
      <c r="F13987" t="s">
        <v>31574</v>
      </c>
      <c r="G13987" t="s">
        <v>31588</v>
      </c>
      <c r="H13987" t="s">
        <v>31590</v>
      </c>
      <c r="I13987" t="s">
        <v>31600</v>
      </c>
      <c r="J13987" t="s">
        <v>40311</v>
      </c>
      <c r="K13987" t="s">
        <v>41193</v>
      </c>
      <c r="M13987" t="s">
        <v>42235</v>
      </c>
      <c r="N13987" t="s">
        <v>45095</v>
      </c>
      <c r="O13987" t="s">
        <v>45096</v>
      </c>
      <c r="P13987">
        <v>0</v>
      </c>
      <c r="Q13987">
        <v>0</v>
      </c>
      <c r="R13987" t="s">
        <v>45116</v>
      </c>
      <c r="S13987" t="s">
        <v>45923</v>
      </c>
      <c r="T13987" t="s">
        <v>46932</v>
      </c>
      <c r="U13987" t="s">
        <v>58759</v>
      </c>
      <c r="V13987" t="s">
        <v>61401</v>
      </c>
      <c r="W13987" t="s">
        <v>42235</v>
      </c>
      <c r="X13987" t="s">
        <v>45117</v>
      </c>
    </row>
    <row r="13988" spans="1:24">
      <c r="A13988">
        <f>HYPERLINK("https://www.philgeps.gov.ph/GEPSNONPILOT/Tender/SplashBidNoticeAbstractUI.aspx?menuIndex=3&amp;refID=7014013&amp;Result=3","7014013")</f>
        <v>0</v>
      </c>
      <c r="B13988" t="s">
        <v>200</v>
      </c>
      <c r="C13988" t="s">
        <v>16580</v>
      </c>
      <c r="D13988" t="s">
        <v>18070</v>
      </c>
      <c r="E13988" t="s">
        <v>30246</v>
      </c>
      <c r="F13988" t="s">
        <v>31574</v>
      </c>
      <c r="G13988" t="s">
        <v>31582</v>
      </c>
      <c r="H13988" t="s">
        <v>31591</v>
      </c>
      <c r="I13988" t="s">
        <v>8822</v>
      </c>
      <c r="J13988" t="s">
        <v>40312</v>
      </c>
      <c r="K13988" t="s">
        <v>41243</v>
      </c>
      <c r="M13988" t="s">
        <v>41685</v>
      </c>
      <c r="N13988" t="s">
        <v>45095</v>
      </c>
      <c r="O13988" t="s">
        <v>45096</v>
      </c>
      <c r="P13988">
        <v>0</v>
      </c>
      <c r="Q13988">
        <v>0</v>
      </c>
      <c r="R13988" t="s">
        <v>45116</v>
      </c>
      <c r="S13988" t="s">
        <v>45923</v>
      </c>
      <c r="T13988" t="s">
        <v>46985</v>
      </c>
      <c r="U13988" t="s">
        <v>58760</v>
      </c>
      <c r="W13988" t="s">
        <v>41685</v>
      </c>
      <c r="X13988" t="s">
        <v>45117</v>
      </c>
    </row>
    <row r="13989" spans="1:24">
      <c r="A13989">
        <f>HYPERLINK("https://www.philgeps.gov.ph/GEPSNONPILOT/Tender/SplashBidNoticeAbstractUI.aspx?menuIndex=3&amp;refID=7013893&amp;Result=3","7013893")</f>
        <v>0</v>
      </c>
      <c r="B13989" t="s">
        <v>1492</v>
      </c>
      <c r="C13989" t="s">
        <v>16581</v>
      </c>
      <c r="D13989" t="s">
        <v>18072</v>
      </c>
      <c r="E13989" t="s">
        <v>30247</v>
      </c>
      <c r="F13989" t="s">
        <v>31574</v>
      </c>
      <c r="G13989" t="s">
        <v>31582</v>
      </c>
      <c r="H13989" t="s">
        <v>31591</v>
      </c>
      <c r="I13989" t="s">
        <v>8822</v>
      </c>
      <c r="J13989" t="s">
        <v>40313</v>
      </c>
      <c r="K13989" t="s">
        <v>41200</v>
      </c>
      <c r="M13989" t="s">
        <v>43100</v>
      </c>
      <c r="N13989" t="s">
        <v>45095</v>
      </c>
      <c r="O13989" t="s">
        <v>45096</v>
      </c>
      <c r="Q13989">
        <v>6</v>
      </c>
      <c r="R13989" t="s">
        <v>45116</v>
      </c>
      <c r="S13989" t="s">
        <v>45985</v>
      </c>
      <c r="T13989" t="s">
        <v>47301</v>
      </c>
      <c r="U13989" t="s">
        <v>58761</v>
      </c>
      <c r="W13989" t="s">
        <v>43100</v>
      </c>
      <c r="X13989" t="s">
        <v>45117</v>
      </c>
    </row>
    <row r="13990" spans="1:24">
      <c r="A13990">
        <f>HYPERLINK("https://www.philgeps.gov.ph/GEPSNONPILOT/Tender/SplashBidNoticeAbstractUI.aspx?menuIndex=3&amp;refID=7013898&amp;Result=3","7013898")</f>
        <v>0</v>
      </c>
      <c r="B13990" t="s">
        <v>1535</v>
      </c>
      <c r="C13990" t="s">
        <v>16582</v>
      </c>
      <c r="D13990" t="s">
        <v>18073</v>
      </c>
      <c r="E13990" t="s">
        <v>30248</v>
      </c>
      <c r="F13990" t="s">
        <v>31574</v>
      </c>
      <c r="G13990" t="s">
        <v>31582</v>
      </c>
      <c r="H13990" t="s">
        <v>31591</v>
      </c>
      <c r="I13990" t="s">
        <v>8822</v>
      </c>
      <c r="J13990" t="s">
        <v>40314</v>
      </c>
      <c r="K13990" t="s">
        <v>41189</v>
      </c>
      <c r="M13990" t="s">
        <v>43127</v>
      </c>
      <c r="N13990" t="s">
        <v>45095</v>
      </c>
      <c r="O13990" t="s">
        <v>45096</v>
      </c>
      <c r="P13990">
        <v>0</v>
      </c>
      <c r="Q13990">
        <v>0</v>
      </c>
      <c r="R13990" t="s">
        <v>45116</v>
      </c>
      <c r="S13990" t="s">
        <v>45923</v>
      </c>
      <c r="T13990" t="s">
        <v>47050</v>
      </c>
      <c r="U13990" t="s">
        <v>57391</v>
      </c>
      <c r="V13990" t="s">
        <v>61402</v>
      </c>
      <c r="W13990" t="s">
        <v>43127</v>
      </c>
      <c r="X13990" t="s">
        <v>45117</v>
      </c>
    </row>
    <row r="13991" spans="1:24">
      <c r="A13991">
        <f>HYPERLINK("https://www.philgeps.gov.ph/GEPSNONPILOT/Tender/SplashBidNoticeAbstractUI.aspx?menuIndex=3&amp;refID=7014069&amp;Result=3","7014069")</f>
        <v>0</v>
      </c>
      <c r="B13991" t="s">
        <v>955</v>
      </c>
      <c r="C13991" t="s">
        <v>16583</v>
      </c>
      <c r="D13991" t="s">
        <v>18043</v>
      </c>
      <c r="E13991" t="s">
        <v>30249</v>
      </c>
      <c r="F13991" t="s">
        <v>31574</v>
      </c>
      <c r="G13991" t="s">
        <v>31582</v>
      </c>
      <c r="H13991" t="s">
        <v>31590</v>
      </c>
      <c r="I13991" t="s">
        <v>31615</v>
      </c>
      <c r="J13991" t="s">
        <v>31758</v>
      </c>
      <c r="K13991" t="s">
        <v>41184</v>
      </c>
      <c r="M13991" t="s">
        <v>42482</v>
      </c>
      <c r="N13991" t="s">
        <v>45095</v>
      </c>
      <c r="O13991" t="s">
        <v>45096</v>
      </c>
      <c r="P13991">
        <v>0</v>
      </c>
      <c r="Q13991">
        <v>1</v>
      </c>
      <c r="R13991" t="s">
        <v>45116</v>
      </c>
      <c r="S13991" t="s">
        <v>45923</v>
      </c>
      <c r="T13991" t="s">
        <v>47050</v>
      </c>
      <c r="U13991" t="s">
        <v>58762</v>
      </c>
      <c r="W13991" t="s">
        <v>42482</v>
      </c>
      <c r="X13991" t="s">
        <v>45117</v>
      </c>
    </row>
    <row r="13992" spans="1:24">
      <c r="A13992">
        <f>HYPERLINK("https://www.philgeps.gov.ph/GEPSNONPILOT/Tender/SplashBidNoticeAbstractUI.aspx?menuIndex=3&amp;refID=7014003&amp;Result=3","7014003")</f>
        <v>0</v>
      </c>
      <c r="B13992" t="s">
        <v>1975</v>
      </c>
      <c r="C13992" t="s">
        <v>16584</v>
      </c>
      <c r="D13992" t="s">
        <v>18033</v>
      </c>
      <c r="E13992" t="s">
        <v>30250</v>
      </c>
      <c r="F13992" t="s">
        <v>31574</v>
      </c>
      <c r="G13992" t="s">
        <v>31582</v>
      </c>
      <c r="H13992" t="s">
        <v>31590</v>
      </c>
      <c r="I13992" t="s">
        <v>6800</v>
      </c>
      <c r="J13992" t="s">
        <v>40315</v>
      </c>
      <c r="K13992" t="s">
        <v>41186</v>
      </c>
      <c r="M13992" t="s">
        <v>43632</v>
      </c>
      <c r="N13992" t="s">
        <v>45095</v>
      </c>
      <c r="O13992" t="s">
        <v>45096</v>
      </c>
      <c r="P13992">
        <v>0</v>
      </c>
      <c r="Q13992">
        <v>3</v>
      </c>
      <c r="R13992" t="s">
        <v>45116</v>
      </c>
      <c r="S13992" t="s">
        <v>45923</v>
      </c>
      <c r="T13992" t="s">
        <v>47159</v>
      </c>
      <c r="U13992" t="s">
        <v>58763</v>
      </c>
      <c r="W13992" t="s">
        <v>43632</v>
      </c>
      <c r="X13992" t="s">
        <v>45117</v>
      </c>
    </row>
    <row r="13993" spans="1:24">
      <c r="A13993">
        <f>HYPERLINK("https://www.philgeps.gov.ph/GEPSNONPILOT/Tender/SplashBidNoticeAbstractUI.aspx?menuIndex=3&amp;refID=7014044&amp;Result=3","7014044")</f>
        <v>0</v>
      </c>
      <c r="B13993" t="s">
        <v>200</v>
      </c>
      <c r="C13993" t="s">
        <v>16585</v>
      </c>
      <c r="D13993" t="s">
        <v>18070</v>
      </c>
      <c r="E13993" t="s">
        <v>30251</v>
      </c>
      <c r="F13993" t="s">
        <v>31574</v>
      </c>
      <c r="G13993" t="s">
        <v>31582</v>
      </c>
      <c r="H13993" t="s">
        <v>31591</v>
      </c>
      <c r="I13993" t="s">
        <v>8822</v>
      </c>
      <c r="J13993" t="s">
        <v>40316</v>
      </c>
      <c r="K13993" t="s">
        <v>41243</v>
      </c>
      <c r="M13993" t="s">
        <v>41685</v>
      </c>
      <c r="N13993" t="s">
        <v>45095</v>
      </c>
      <c r="O13993" t="s">
        <v>45096</v>
      </c>
      <c r="P13993">
        <v>0</v>
      </c>
      <c r="Q13993">
        <v>0</v>
      </c>
      <c r="R13993" t="s">
        <v>45116</v>
      </c>
      <c r="S13993" t="s">
        <v>45923</v>
      </c>
      <c r="T13993" t="s">
        <v>46985</v>
      </c>
      <c r="U13993" t="s">
        <v>58764</v>
      </c>
      <c r="W13993" t="s">
        <v>41685</v>
      </c>
      <c r="X13993" t="s">
        <v>45117</v>
      </c>
    </row>
    <row r="13994" spans="1:24">
      <c r="A13994">
        <f>HYPERLINK("https://www.philgeps.gov.ph/GEPSNONPILOT/Tender/SplashBidNoticeAbstractUI.aspx?menuIndex=3&amp;refID=7013875&amp;Result=3","7013875")</f>
        <v>0</v>
      </c>
      <c r="B13994" t="s">
        <v>3086</v>
      </c>
      <c r="C13994" t="s">
        <v>16586</v>
      </c>
      <c r="D13994" t="s">
        <v>18045</v>
      </c>
      <c r="E13994" t="s">
        <v>30252</v>
      </c>
      <c r="F13994" t="s">
        <v>31574</v>
      </c>
      <c r="G13994" t="s">
        <v>31582</v>
      </c>
      <c r="H13994" t="s">
        <v>31590</v>
      </c>
      <c r="I13994" t="s">
        <v>8822</v>
      </c>
      <c r="J13994" t="s">
        <v>40317</v>
      </c>
      <c r="K13994" t="s">
        <v>41190</v>
      </c>
      <c r="M13994" t="s">
        <v>44931</v>
      </c>
      <c r="N13994" t="s">
        <v>45095</v>
      </c>
      <c r="O13994" t="s">
        <v>45096</v>
      </c>
      <c r="P13994">
        <v>0</v>
      </c>
      <c r="Q13994">
        <v>0</v>
      </c>
      <c r="R13994" t="s">
        <v>45116</v>
      </c>
      <c r="S13994" t="s">
        <v>45923</v>
      </c>
      <c r="T13994" t="s">
        <v>47083</v>
      </c>
      <c r="U13994" t="s">
        <v>58765</v>
      </c>
      <c r="V13994" t="s">
        <v>52621</v>
      </c>
      <c r="W13994" t="s">
        <v>44931</v>
      </c>
      <c r="X13994" t="s">
        <v>45117</v>
      </c>
    </row>
    <row r="13995" spans="1:24">
      <c r="A13995">
        <f>HYPERLINK("https://www.philgeps.gov.ph/GEPSNONPILOT/Tender/SplashBidNoticeAbstractUI.aspx?menuIndex=3&amp;refID=7014043&amp;Result=3","7014043")</f>
        <v>0</v>
      </c>
      <c r="B13995" t="s">
        <v>715</v>
      </c>
      <c r="C13995" t="s">
        <v>16587</v>
      </c>
      <c r="D13995" t="s">
        <v>18058</v>
      </c>
      <c r="E13995" t="s">
        <v>30253</v>
      </c>
      <c r="F13995" t="s">
        <v>31580</v>
      </c>
      <c r="G13995" t="s">
        <v>31582</v>
      </c>
      <c r="H13995" t="s">
        <v>31591</v>
      </c>
      <c r="I13995" t="s">
        <v>8822</v>
      </c>
      <c r="J13995" t="s">
        <v>32026</v>
      </c>
      <c r="K13995" t="s">
        <v>41279</v>
      </c>
      <c r="M13995" t="s">
        <v>42225</v>
      </c>
      <c r="N13995" t="s">
        <v>45095</v>
      </c>
      <c r="O13995" t="s">
        <v>45096</v>
      </c>
      <c r="P13995">
        <v>0</v>
      </c>
      <c r="Q13995">
        <v>2</v>
      </c>
      <c r="R13995" t="s">
        <v>45116</v>
      </c>
      <c r="S13995" t="s">
        <v>45923</v>
      </c>
      <c r="T13995" t="s">
        <v>47076</v>
      </c>
      <c r="U13995" t="s">
        <v>58766</v>
      </c>
      <c r="W13995" t="s">
        <v>42225</v>
      </c>
      <c r="X13995" t="s">
        <v>45117</v>
      </c>
    </row>
    <row r="13996" spans="1:24">
      <c r="A13996">
        <f>HYPERLINK("https://www.philgeps.gov.ph/GEPSNONPILOT/Tender/SplashBidNoticeAbstractUI.aspx?menuIndex=3&amp;refID=7014030&amp;Result=3","7014030")</f>
        <v>0</v>
      </c>
      <c r="B13996" t="s">
        <v>200</v>
      </c>
      <c r="C13996" t="s">
        <v>16588</v>
      </c>
      <c r="D13996" t="s">
        <v>18070</v>
      </c>
      <c r="E13996" t="s">
        <v>30254</v>
      </c>
      <c r="F13996" t="s">
        <v>31574</v>
      </c>
      <c r="G13996" t="s">
        <v>31582</v>
      </c>
      <c r="H13996" t="s">
        <v>31591</v>
      </c>
      <c r="I13996" t="s">
        <v>8822</v>
      </c>
      <c r="J13996" t="s">
        <v>40318</v>
      </c>
      <c r="K13996" t="s">
        <v>41243</v>
      </c>
      <c r="M13996" t="s">
        <v>41685</v>
      </c>
      <c r="N13996" t="s">
        <v>45095</v>
      </c>
      <c r="O13996" t="s">
        <v>45096</v>
      </c>
      <c r="P13996">
        <v>0</v>
      </c>
      <c r="Q13996">
        <v>0</v>
      </c>
      <c r="R13996" t="s">
        <v>45116</v>
      </c>
      <c r="S13996" t="s">
        <v>45923</v>
      </c>
      <c r="T13996" t="s">
        <v>46985</v>
      </c>
      <c r="U13996" t="s">
        <v>58767</v>
      </c>
      <c r="W13996" t="s">
        <v>41685</v>
      </c>
      <c r="X13996" t="s">
        <v>45117</v>
      </c>
    </row>
    <row r="13997" spans="1:24">
      <c r="A13997">
        <f>HYPERLINK("https://www.philgeps.gov.ph/GEPSNONPILOT/Tender/SplashBidNoticeAbstractUI.aspx?menuIndex=3&amp;refID=7014063&amp;Result=3","7014063")</f>
        <v>0</v>
      </c>
      <c r="B13997" t="s">
        <v>955</v>
      </c>
      <c r="C13997" t="s">
        <v>16589</v>
      </c>
      <c r="D13997" t="s">
        <v>18043</v>
      </c>
      <c r="E13997" t="s">
        <v>30255</v>
      </c>
      <c r="F13997" t="s">
        <v>31574</v>
      </c>
      <c r="G13997" t="s">
        <v>31582</v>
      </c>
      <c r="H13997" t="s">
        <v>31590</v>
      </c>
      <c r="I13997" t="s">
        <v>14544</v>
      </c>
      <c r="J13997" t="s">
        <v>40319</v>
      </c>
      <c r="K13997" t="s">
        <v>41184</v>
      </c>
      <c r="M13997" t="s">
        <v>42482</v>
      </c>
      <c r="N13997" t="s">
        <v>45095</v>
      </c>
      <c r="O13997" t="s">
        <v>45096</v>
      </c>
      <c r="P13997">
        <v>0</v>
      </c>
      <c r="Q13997">
        <v>0</v>
      </c>
      <c r="R13997" t="s">
        <v>45116</v>
      </c>
      <c r="S13997" t="s">
        <v>45923</v>
      </c>
      <c r="T13997" t="s">
        <v>46985</v>
      </c>
      <c r="U13997" t="s">
        <v>58768</v>
      </c>
      <c r="W13997" t="s">
        <v>42482</v>
      </c>
      <c r="X13997" t="s">
        <v>45117</v>
      </c>
    </row>
    <row r="13998" spans="1:24">
      <c r="A13998">
        <f>HYPERLINK("https://www.philgeps.gov.ph/GEPSNONPILOT/Tender/SplashBidNoticeAbstractUI.aspx?menuIndex=3&amp;refID=7014040&amp;Result=3","7014040")</f>
        <v>0</v>
      </c>
      <c r="B13998" t="s">
        <v>2092</v>
      </c>
      <c r="C13998" t="s">
        <v>16590</v>
      </c>
      <c r="D13998" t="s">
        <v>18030</v>
      </c>
      <c r="E13998" t="s">
        <v>30256</v>
      </c>
      <c r="F13998" t="s">
        <v>31574</v>
      </c>
      <c r="G13998" t="s">
        <v>31582</v>
      </c>
      <c r="H13998" t="s">
        <v>31592</v>
      </c>
      <c r="I13998" t="s">
        <v>3487</v>
      </c>
      <c r="J13998" t="s">
        <v>40320</v>
      </c>
      <c r="K13998" t="s">
        <v>41186</v>
      </c>
      <c r="M13998" t="s">
        <v>43900</v>
      </c>
      <c r="N13998" t="s">
        <v>45095</v>
      </c>
      <c r="O13998" t="s">
        <v>45096</v>
      </c>
      <c r="Q13998">
        <v>6</v>
      </c>
      <c r="R13998" t="s">
        <v>45116</v>
      </c>
      <c r="S13998" t="s">
        <v>45986</v>
      </c>
      <c r="T13998" t="s">
        <v>47154</v>
      </c>
      <c r="U13998" t="s">
        <v>53298</v>
      </c>
      <c r="V13998" t="s">
        <v>60962</v>
      </c>
      <c r="W13998" t="s">
        <v>43900</v>
      </c>
      <c r="X13998" t="s">
        <v>45117</v>
      </c>
    </row>
    <row r="13999" spans="1:24">
      <c r="A13999">
        <f>HYPERLINK("https://www.philgeps.gov.ph/GEPSNONPILOT/Tender/SplashBidNoticeAbstractUI.aspx?menuIndex=3&amp;refID=7014024&amp;Result=3","7014024")</f>
        <v>0</v>
      </c>
      <c r="B13999" t="s">
        <v>715</v>
      </c>
      <c r="C13999" t="s">
        <v>16591</v>
      </c>
      <c r="D13999" t="s">
        <v>18058</v>
      </c>
      <c r="E13999" t="s">
        <v>30257</v>
      </c>
      <c r="F13999" t="s">
        <v>31574</v>
      </c>
      <c r="G13999" t="s">
        <v>31582</v>
      </c>
      <c r="H13999" t="s">
        <v>31591</v>
      </c>
      <c r="I13999" t="s">
        <v>8822</v>
      </c>
      <c r="J13999" t="s">
        <v>33856</v>
      </c>
      <c r="K13999" t="s">
        <v>41263</v>
      </c>
      <c r="M13999" t="s">
        <v>42225</v>
      </c>
      <c r="N13999" t="s">
        <v>45095</v>
      </c>
      <c r="O13999" t="s">
        <v>45096</v>
      </c>
      <c r="P13999">
        <v>0</v>
      </c>
      <c r="Q13999">
        <v>2</v>
      </c>
      <c r="R13999" t="s">
        <v>45116</v>
      </c>
      <c r="S13999" t="s">
        <v>45923</v>
      </c>
      <c r="T13999" t="s">
        <v>47076</v>
      </c>
      <c r="U13999" t="s">
        <v>58769</v>
      </c>
      <c r="W13999" t="s">
        <v>42225</v>
      </c>
      <c r="X13999" t="s">
        <v>45117</v>
      </c>
    </row>
    <row r="14000" spans="1:24">
      <c r="A14000">
        <f>HYPERLINK("https://www.philgeps.gov.ph/GEPSNONPILOT/Tender/SplashBidNoticeAbstractUI.aspx?menuIndex=3&amp;refID=7014019&amp;Result=3","7014019")</f>
        <v>0</v>
      </c>
      <c r="B14000" t="s">
        <v>955</v>
      </c>
      <c r="C14000" t="s">
        <v>16592</v>
      </c>
      <c r="D14000" t="s">
        <v>18043</v>
      </c>
      <c r="E14000" t="s">
        <v>30258</v>
      </c>
      <c r="F14000" t="s">
        <v>31574</v>
      </c>
      <c r="G14000" t="s">
        <v>31582</v>
      </c>
      <c r="H14000" t="s">
        <v>31590</v>
      </c>
      <c r="I14000" t="s">
        <v>4046</v>
      </c>
      <c r="J14000" t="s">
        <v>40321</v>
      </c>
      <c r="K14000" t="s">
        <v>41184</v>
      </c>
      <c r="M14000" t="s">
        <v>42482</v>
      </c>
      <c r="N14000" t="s">
        <v>45095</v>
      </c>
      <c r="O14000" t="s">
        <v>45096</v>
      </c>
      <c r="P14000">
        <v>0</v>
      </c>
      <c r="Q14000">
        <v>0</v>
      </c>
      <c r="R14000" t="s">
        <v>45116</v>
      </c>
      <c r="S14000" t="s">
        <v>45923</v>
      </c>
      <c r="T14000" t="s">
        <v>47058</v>
      </c>
      <c r="U14000" t="s">
        <v>58770</v>
      </c>
      <c r="W14000" t="s">
        <v>42482</v>
      </c>
      <c r="X14000" t="s">
        <v>45117</v>
      </c>
    </row>
    <row r="14001" spans="1:24">
      <c r="A14001">
        <f>HYPERLINK("https://www.philgeps.gov.ph/GEPSNONPILOT/Tender/SplashBidNoticeAbstractUI.aspx?menuIndex=3&amp;refID=7013994&amp;Result=3","7013994")</f>
        <v>0</v>
      </c>
      <c r="B14001" t="s">
        <v>200</v>
      </c>
      <c r="C14001" t="s">
        <v>16593</v>
      </c>
      <c r="D14001" t="s">
        <v>18070</v>
      </c>
      <c r="E14001" t="s">
        <v>30259</v>
      </c>
      <c r="F14001" t="s">
        <v>31574</v>
      </c>
      <c r="G14001" t="s">
        <v>31582</v>
      </c>
      <c r="H14001" t="s">
        <v>31591</v>
      </c>
      <c r="I14001" t="s">
        <v>8822</v>
      </c>
      <c r="J14001" t="s">
        <v>40322</v>
      </c>
      <c r="K14001" t="s">
        <v>41243</v>
      </c>
      <c r="M14001" t="s">
        <v>41685</v>
      </c>
      <c r="N14001" t="s">
        <v>45095</v>
      </c>
      <c r="O14001" t="s">
        <v>45096</v>
      </c>
      <c r="P14001">
        <v>0</v>
      </c>
      <c r="Q14001">
        <v>0</v>
      </c>
      <c r="R14001" t="s">
        <v>45116</v>
      </c>
      <c r="S14001" t="s">
        <v>45923</v>
      </c>
      <c r="T14001" t="s">
        <v>46985</v>
      </c>
      <c r="U14001" t="s">
        <v>58771</v>
      </c>
      <c r="W14001" t="s">
        <v>41685</v>
      </c>
      <c r="X14001" t="s">
        <v>45117</v>
      </c>
    </row>
    <row r="14002" spans="1:24">
      <c r="A14002">
        <f>HYPERLINK("https://www.philgeps.gov.ph/GEPSNONPILOT/Tender/SplashBidNoticeAbstractUI.aspx?menuIndex=3&amp;refID=7013944&amp;Result=3","7013944")</f>
        <v>0</v>
      </c>
      <c r="B14002" t="s">
        <v>2019</v>
      </c>
      <c r="C14002" t="s">
        <v>16594</v>
      </c>
      <c r="D14002" t="s">
        <v>18070</v>
      </c>
      <c r="E14002" t="s">
        <v>30260</v>
      </c>
      <c r="F14002" t="s">
        <v>31574</v>
      </c>
      <c r="G14002" t="s">
        <v>31582</v>
      </c>
      <c r="H14002" t="s">
        <v>31591</v>
      </c>
      <c r="I14002" t="s">
        <v>8822</v>
      </c>
      <c r="J14002" t="s">
        <v>31771</v>
      </c>
      <c r="K14002" t="s">
        <v>41185</v>
      </c>
      <c r="M14002" t="s">
        <v>43681</v>
      </c>
      <c r="N14002" t="s">
        <v>45095</v>
      </c>
      <c r="O14002" t="s">
        <v>45096</v>
      </c>
      <c r="P14002">
        <v>0</v>
      </c>
      <c r="Q14002">
        <v>0</v>
      </c>
      <c r="R14002" t="s">
        <v>45116</v>
      </c>
      <c r="S14002" t="s">
        <v>45923</v>
      </c>
      <c r="T14002" t="s">
        <v>47067</v>
      </c>
      <c r="U14002" t="s">
        <v>58772</v>
      </c>
      <c r="W14002" t="s">
        <v>44402</v>
      </c>
      <c r="X14002" t="s">
        <v>45117</v>
      </c>
    </row>
    <row r="14003" spans="1:24">
      <c r="A14003">
        <f>HYPERLINK("https://www.philgeps.gov.ph/GEPSNONPILOT/Tender/SplashBidNoticeAbstractUI.aspx?menuIndex=3&amp;refID=7014038&amp;Result=3","7014038")</f>
        <v>0</v>
      </c>
      <c r="B14003" t="s">
        <v>2287</v>
      </c>
      <c r="C14003" t="s">
        <v>15236</v>
      </c>
      <c r="D14003" t="s">
        <v>18025</v>
      </c>
      <c r="E14003" t="s">
        <v>30261</v>
      </c>
      <c r="F14003" t="s">
        <v>31574</v>
      </c>
      <c r="G14003" t="s">
        <v>31582</v>
      </c>
      <c r="H14003" t="s">
        <v>31590</v>
      </c>
      <c r="I14003" t="s">
        <v>31615</v>
      </c>
      <c r="J14003" t="s">
        <v>36779</v>
      </c>
      <c r="K14003" t="s">
        <v>41189</v>
      </c>
      <c r="M14003" t="s">
        <v>43995</v>
      </c>
      <c r="N14003" t="s">
        <v>45095</v>
      </c>
      <c r="O14003" t="s">
        <v>45096</v>
      </c>
      <c r="P14003">
        <v>0</v>
      </c>
      <c r="Q14003">
        <v>10</v>
      </c>
      <c r="R14003" t="s">
        <v>45116</v>
      </c>
      <c r="S14003" t="s">
        <v>45923</v>
      </c>
      <c r="T14003" t="s">
        <v>47064</v>
      </c>
      <c r="U14003" t="s">
        <v>58773</v>
      </c>
      <c r="W14003" t="s">
        <v>43995</v>
      </c>
      <c r="X14003" t="s">
        <v>45117</v>
      </c>
    </row>
    <row r="14004" spans="1:24">
      <c r="A14004">
        <f>HYPERLINK("https://www.philgeps.gov.ph/GEPSNONPILOT/Tender/SplashBidNoticeAbstractUI.aspx?menuIndex=3&amp;refID=7013987&amp;Result=3","7013987")</f>
        <v>0</v>
      </c>
      <c r="B14004" t="s">
        <v>725</v>
      </c>
      <c r="C14004" t="s">
        <v>16595</v>
      </c>
      <c r="D14004" t="s">
        <v>18092</v>
      </c>
      <c r="E14004" t="s">
        <v>30262</v>
      </c>
      <c r="F14004" t="s">
        <v>31574</v>
      </c>
      <c r="G14004" t="s">
        <v>31588</v>
      </c>
      <c r="H14004" t="s">
        <v>31590</v>
      </c>
      <c r="I14004" t="s">
        <v>31602</v>
      </c>
      <c r="J14004" t="s">
        <v>40323</v>
      </c>
      <c r="K14004" t="s">
        <v>41193</v>
      </c>
      <c r="M14004" t="s">
        <v>42235</v>
      </c>
      <c r="N14004" t="s">
        <v>45095</v>
      </c>
      <c r="O14004" t="s">
        <v>45096</v>
      </c>
      <c r="P14004">
        <v>0</v>
      </c>
      <c r="Q14004">
        <v>0</v>
      </c>
      <c r="R14004" t="s">
        <v>45116</v>
      </c>
      <c r="S14004" t="s">
        <v>45923</v>
      </c>
      <c r="T14004" t="s">
        <v>46932</v>
      </c>
      <c r="U14004" t="s">
        <v>58774</v>
      </c>
      <c r="V14004" t="s">
        <v>61403</v>
      </c>
      <c r="W14004" t="s">
        <v>42235</v>
      </c>
      <c r="X14004" t="s">
        <v>45117</v>
      </c>
    </row>
    <row r="14005" spans="1:24">
      <c r="A14005">
        <f>HYPERLINK("https://www.philgeps.gov.ph/GEPSNONPILOT/Tender/SplashBidNoticeAbstractUI.aspx?menuIndex=3&amp;refID=7013962&amp;Result=3","7013962")</f>
        <v>0</v>
      </c>
      <c r="B14005" t="s">
        <v>994</v>
      </c>
      <c r="C14005" t="s">
        <v>16596</v>
      </c>
      <c r="D14005" t="s">
        <v>18048</v>
      </c>
      <c r="E14005" t="s">
        <v>30263</v>
      </c>
      <c r="F14005" t="s">
        <v>31574</v>
      </c>
      <c r="G14005" t="s">
        <v>31581</v>
      </c>
      <c r="H14005" t="s">
        <v>31590</v>
      </c>
      <c r="I14005" t="s">
        <v>31602</v>
      </c>
      <c r="J14005" t="s">
        <v>40324</v>
      </c>
      <c r="K14005" t="s">
        <v>41193</v>
      </c>
      <c r="L14005" t="s">
        <v>994</v>
      </c>
      <c r="M14005" t="s">
        <v>42530</v>
      </c>
      <c r="N14005" t="s">
        <v>45095</v>
      </c>
      <c r="O14005" t="s">
        <v>45096</v>
      </c>
      <c r="P14005">
        <v>0</v>
      </c>
      <c r="Q14005">
        <v>0</v>
      </c>
      <c r="R14005" t="s">
        <v>45116</v>
      </c>
      <c r="S14005" t="s">
        <v>45923</v>
      </c>
      <c r="T14005" t="s">
        <v>47183</v>
      </c>
      <c r="U14005" t="s">
        <v>58775</v>
      </c>
      <c r="V14005" t="s">
        <v>60107</v>
      </c>
      <c r="W14005" t="s">
        <v>42530</v>
      </c>
      <c r="X14005" t="s">
        <v>45117</v>
      </c>
    </row>
    <row r="14006" spans="1:24">
      <c r="A14006">
        <f>HYPERLINK("https://www.philgeps.gov.ph/GEPSNONPILOT/Tender/SplashBidNoticeAbstractUI.aspx?menuIndex=3&amp;refID=7013975&amp;Result=3","7013975")</f>
        <v>0</v>
      </c>
      <c r="B14006" t="s">
        <v>2770</v>
      </c>
      <c r="C14006" t="s">
        <v>16597</v>
      </c>
      <c r="D14006" t="s">
        <v>18107</v>
      </c>
      <c r="E14006" t="s">
        <v>30264</v>
      </c>
      <c r="F14006" t="s">
        <v>31574</v>
      </c>
      <c r="G14006" t="s">
        <v>31582</v>
      </c>
      <c r="H14006" t="s">
        <v>31591</v>
      </c>
      <c r="I14006" t="s">
        <v>8822</v>
      </c>
      <c r="J14006" t="s">
        <v>40325</v>
      </c>
      <c r="K14006" t="s">
        <v>41192</v>
      </c>
      <c r="M14006" t="s">
        <v>44545</v>
      </c>
      <c r="N14006" t="s">
        <v>45095</v>
      </c>
      <c r="O14006" t="s">
        <v>45096</v>
      </c>
      <c r="P14006">
        <v>0</v>
      </c>
      <c r="Q14006">
        <v>0</v>
      </c>
      <c r="R14006" t="s">
        <v>45116</v>
      </c>
      <c r="S14006" t="s">
        <v>45923</v>
      </c>
      <c r="T14006" t="s">
        <v>47193</v>
      </c>
      <c r="U14006" t="s">
        <v>58776</v>
      </c>
      <c r="W14006" t="s">
        <v>44545</v>
      </c>
      <c r="X14006" t="s">
        <v>45117</v>
      </c>
    </row>
    <row r="14007" spans="1:24">
      <c r="A14007">
        <f>HYPERLINK("https://www.philgeps.gov.ph/GEPSNONPILOT/Tender/SplashBidNoticeAbstractUI.aspx?menuIndex=3&amp;refID=7013965&amp;Result=3","7013965")</f>
        <v>0</v>
      </c>
      <c r="B14007" t="s">
        <v>1734</v>
      </c>
      <c r="C14007" t="s">
        <v>16598</v>
      </c>
      <c r="D14007" t="s">
        <v>18076</v>
      </c>
      <c r="E14007" t="s">
        <v>30265</v>
      </c>
      <c r="F14007" t="s">
        <v>31574</v>
      </c>
      <c r="G14007" t="s">
        <v>31582</v>
      </c>
      <c r="H14007" t="s">
        <v>31591</v>
      </c>
      <c r="I14007" t="s">
        <v>8822</v>
      </c>
      <c r="J14007" t="s">
        <v>40326</v>
      </c>
      <c r="K14007" t="s">
        <v>41243</v>
      </c>
      <c r="M14007" t="s">
        <v>43353</v>
      </c>
      <c r="N14007" t="s">
        <v>45095</v>
      </c>
      <c r="O14007" t="s">
        <v>45096</v>
      </c>
      <c r="P14007">
        <v>0</v>
      </c>
      <c r="Q14007">
        <v>1</v>
      </c>
      <c r="R14007" t="s">
        <v>45116</v>
      </c>
      <c r="S14007" t="s">
        <v>45923</v>
      </c>
      <c r="T14007" t="s">
        <v>47124</v>
      </c>
      <c r="U14007" t="s">
        <v>58777</v>
      </c>
      <c r="W14007" t="s">
        <v>43353</v>
      </c>
      <c r="X14007" t="s">
        <v>45117</v>
      </c>
    </row>
    <row r="14008" spans="1:24">
      <c r="A14008">
        <f>HYPERLINK("https://www.philgeps.gov.ph/GEPSNONPILOT/Tender/SplashBidNoticeAbstractUI.aspx?menuIndex=3&amp;refID=7013996&amp;Result=3","7013996")</f>
        <v>0</v>
      </c>
      <c r="B14008" t="s">
        <v>1975</v>
      </c>
      <c r="C14008" t="s">
        <v>16599</v>
      </c>
      <c r="D14008" t="s">
        <v>18033</v>
      </c>
      <c r="E14008" t="s">
        <v>30266</v>
      </c>
      <c r="F14008" t="s">
        <v>31574</v>
      </c>
      <c r="G14008" t="s">
        <v>31582</v>
      </c>
      <c r="H14008" t="s">
        <v>31590</v>
      </c>
      <c r="I14008" t="s">
        <v>6800</v>
      </c>
      <c r="J14008" t="s">
        <v>40327</v>
      </c>
      <c r="K14008" t="s">
        <v>41186</v>
      </c>
      <c r="M14008" t="s">
        <v>43632</v>
      </c>
      <c r="N14008" t="s">
        <v>45095</v>
      </c>
      <c r="O14008" t="s">
        <v>45096</v>
      </c>
      <c r="P14008">
        <v>0</v>
      </c>
      <c r="Q14008">
        <v>5</v>
      </c>
      <c r="R14008" t="s">
        <v>45116</v>
      </c>
      <c r="S14008" t="s">
        <v>45923</v>
      </c>
      <c r="T14008" t="s">
        <v>47159</v>
      </c>
      <c r="U14008" t="s">
        <v>58778</v>
      </c>
      <c r="W14008" t="s">
        <v>43632</v>
      </c>
      <c r="X14008" t="s">
        <v>45117</v>
      </c>
    </row>
    <row r="14009" spans="1:24">
      <c r="A14009">
        <f>HYPERLINK("https://www.philgeps.gov.ph/GEPSNONPILOT/Tender/SplashBidNoticeAbstractUI.aspx?menuIndex=3&amp;refID=7013964&amp;Result=3","7013964")</f>
        <v>0</v>
      </c>
      <c r="B14009" t="s">
        <v>838</v>
      </c>
      <c r="C14009" t="s">
        <v>16600</v>
      </c>
      <c r="D14009" t="s">
        <v>18059</v>
      </c>
      <c r="E14009" t="s">
        <v>28977</v>
      </c>
      <c r="F14009" t="s">
        <v>31574</v>
      </c>
      <c r="G14009" t="s">
        <v>31582</v>
      </c>
      <c r="H14009" t="s">
        <v>31590</v>
      </c>
      <c r="I14009" t="s">
        <v>31615</v>
      </c>
      <c r="J14009" t="s">
        <v>32101</v>
      </c>
      <c r="K14009" t="s">
        <v>41192</v>
      </c>
      <c r="M14009" t="s">
        <v>42357</v>
      </c>
      <c r="N14009" t="s">
        <v>45095</v>
      </c>
      <c r="O14009" t="s">
        <v>45096</v>
      </c>
      <c r="P14009">
        <v>0</v>
      </c>
      <c r="Q14009">
        <v>6</v>
      </c>
      <c r="R14009" t="s">
        <v>45116</v>
      </c>
      <c r="S14009" t="s">
        <v>45923</v>
      </c>
      <c r="T14009" t="s">
        <v>46985</v>
      </c>
      <c r="U14009" t="s">
        <v>58779</v>
      </c>
      <c r="W14009" t="s">
        <v>42357</v>
      </c>
      <c r="X14009" t="s">
        <v>45117</v>
      </c>
    </row>
    <row r="14010" spans="1:24">
      <c r="A14010">
        <f>HYPERLINK("https://www.philgeps.gov.ph/GEPSNONPILOT/Tender/SplashBidNoticeAbstractUI.aspx?menuIndex=3&amp;refID=7013970&amp;Result=3","7013970")</f>
        <v>0</v>
      </c>
      <c r="B14010" t="s">
        <v>725</v>
      </c>
      <c r="C14010" t="s">
        <v>16601</v>
      </c>
      <c r="D14010" t="s">
        <v>18092</v>
      </c>
      <c r="E14010" t="s">
        <v>30267</v>
      </c>
      <c r="F14010" t="s">
        <v>31574</v>
      </c>
      <c r="G14010" t="s">
        <v>31588</v>
      </c>
      <c r="H14010" t="s">
        <v>31590</v>
      </c>
      <c r="I14010" t="s">
        <v>31602</v>
      </c>
      <c r="J14010" t="s">
        <v>40328</v>
      </c>
      <c r="K14010" t="s">
        <v>41193</v>
      </c>
      <c r="M14010" t="s">
        <v>42235</v>
      </c>
      <c r="N14010" t="s">
        <v>45095</v>
      </c>
      <c r="O14010" t="s">
        <v>45096</v>
      </c>
      <c r="P14010">
        <v>0</v>
      </c>
      <c r="Q14010">
        <v>0</v>
      </c>
      <c r="R14010" t="s">
        <v>45116</v>
      </c>
      <c r="S14010" t="s">
        <v>45923</v>
      </c>
      <c r="T14010" t="s">
        <v>46932</v>
      </c>
      <c r="U14010" t="s">
        <v>58780</v>
      </c>
      <c r="V14010" t="s">
        <v>61404</v>
      </c>
      <c r="W14010" t="s">
        <v>42235</v>
      </c>
      <c r="X14010" t="s">
        <v>45117</v>
      </c>
    </row>
    <row r="14011" spans="1:24">
      <c r="A14011">
        <f>HYPERLINK("https://www.philgeps.gov.ph/GEPSNONPILOT/Tender/SplashBidNoticeAbstractUI.aspx?menuIndex=3&amp;refID=7013988&amp;Result=3","7013988")</f>
        <v>0</v>
      </c>
      <c r="B14011" t="s">
        <v>1975</v>
      </c>
      <c r="C14011" t="s">
        <v>16602</v>
      </c>
      <c r="D14011" t="s">
        <v>18033</v>
      </c>
      <c r="E14011" t="s">
        <v>30268</v>
      </c>
      <c r="F14011" t="s">
        <v>31574</v>
      </c>
      <c r="G14011" t="s">
        <v>31582</v>
      </c>
      <c r="H14011" t="s">
        <v>31590</v>
      </c>
      <c r="I14011" t="s">
        <v>6800</v>
      </c>
      <c r="J14011" t="s">
        <v>31930</v>
      </c>
      <c r="K14011" t="s">
        <v>41186</v>
      </c>
      <c r="M14011" t="s">
        <v>43632</v>
      </c>
      <c r="N14011" t="s">
        <v>45095</v>
      </c>
      <c r="O14011" t="s">
        <v>45096</v>
      </c>
      <c r="P14011">
        <v>0</v>
      </c>
      <c r="Q14011">
        <v>3</v>
      </c>
      <c r="R14011" t="s">
        <v>45116</v>
      </c>
      <c r="S14011" t="s">
        <v>45923</v>
      </c>
      <c r="T14011" t="s">
        <v>47159</v>
      </c>
      <c r="U14011" t="s">
        <v>58781</v>
      </c>
      <c r="W14011" t="s">
        <v>43632</v>
      </c>
      <c r="X14011" t="s">
        <v>45117</v>
      </c>
    </row>
    <row r="14012" spans="1:24">
      <c r="A14012">
        <f>HYPERLINK("https://www.philgeps.gov.ph/GEPSNONPILOT/Tender/SplashBidNoticeAbstractUI.aspx?menuIndex=3&amp;refID=7014074&amp;Result=3","7014074")</f>
        <v>0</v>
      </c>
      <c r="B14012" t="s">
        <v>955</v>
      </c>
      <c r="C14012" t="s">
        <v>16603</v>
      </c>
      <c r="D14012" t="s">
        <v>18043</v>
      </c>
      <c r="E14012" t="s">
        <v>30269</v>
      </c>
      <c r="F14012" t="s">
        <v>31574</v>
      </c>
      <c r="G14012" t="s">
        <v>31582</v>
      </c>
      <c r="H14012" t="s">
        <v>31590</v>
      </c>
      <c r="I14012" t="s">
        <v>31616</v>
      </c>
      <c r="J14012" t="s">
        <v>38057</v>
      </c>
      <c r="K14012" t="s">
        <v>41184</v>
      </c>
      <c r="M14012" t="s">
        <v>42482</v>
      </c>
      <c r="N14012" t="s">
        <v>45095</v>
      </c>
      <c r="O14012" t="s">
        <v>45096</v>
      </c>
      <c r="P14012">
        <v>0</v>
      </c>
      <c r="Q14012">
        <v>10</v>
      </c>
      <c r="R14012" t="s">
        <v>45116</v>
      </c>
      <c r="S14012" t="s">
        <v>45923</v>
      </c>
      <c r="T14012" t="s">
        <v>47076</v>
      </c>
      <c r="U14012" t="s">
        <v>58782</v>
      </c>
      <c r="W14012" t="s">
        <v>42482</v>
      </c>
      <c r="X14012" t="s">
        <v>45117</v>
      </c>
    </row>
    <row r="14013" spans="1:24">
      <c r="A14013">
        <f>HYPERLINK("https://www.philgeps.gov.ph/GEPSNONPILOT/Tender/SplashBidNoticeAbstractUI.aspx?menuIndex=3&amp;refID=7013871&amp;Result=3","7013871")</f>
        <v>0</v>
      </c>
      <c r="B14013" t="s">
        <v>1488</v>
      </c>
      <c r="C14013" t="s">
        <v>16604</v>
      </c>
      <c r="D14013" t="s">
        <v>18088</v>
      </c>
      <c r="E14013" t="s">
        <v>21914</v>
      </c>
      <c r="F14013" t="s">
        <v>31574</v>
      </c>
      <c r="G14013" t="s">
        <v>31582</v>
      </c>
      <c r="H14013" t="s">
        <v>31591</v>
      </c>
      <c r="I14013" t="s">
        <v>8822</v>
      </c>
      <c r="J14013" t="s">
        <v>32760</v>
      </c>
      <c r="K14013" t="s">
        <v>41184</v>
      </c>
      <c r="M14013" t="s">
        <v>43073</v>
      </c>
      <c r="N14013" t="s">
        <v>45095</v>
      </c>
      <c r="O14013" t="s">
        <v>45096</v>
      </c>
      <c r="P14013">
        <v>0</v>
      </c>
      <c r="Q14013">
        <v>0</v>
      </c>
      <c r="R14013" t="s">
        <v>45116</v>
      </c>
      <c r="S14013" t="s">
        <v>45923</v>
      </c>
      <c r="T14013" t="s">
        <v>47159</v>
      </c>
      <c r="U14013" t="s">
        <v>58783</v>
      </c>
      <c r="V14013" t="s">
        <v>61385</v>
      </c>
      <c r="W14013" t="s">
        <v>43073</v>
      </c>
      <c r="X14013" t="s">
        <v>45117</v>
      </c>
    </row>
    <row r="14014" spans="1:24">
      <c r="A14014">
        <f>HYPERLINK("https://www.philgeps.gov.ph/GEPSNONPILOT/Tender/SplashBidNoticeAbstractUI.aspx?menuIndex=3&amp;refID=7014023&amp;Result=3","7014023")</f>
        <v>0</v>
      </c>
      <c r="B14014" t="s">
        <v>200</v>
      </c>
      <c r="C14014" t="s">
        <v>16605</v>
      </c>
      <c r="D14014" t="s">
        <v>18070</v>
      </c>
      <c r="E14014" t="s">
        <v>30270</v>
      </c>
      <c r="F14014" t="s">
        <v>31574</v>
      </c>
      <c r="G14014" t="s">
        <v>31582</v>
      </c>
      <c r="H14014" t="s">
        <v>31591</v>
      </c>
      <c r="I14014" t="s">
        <v>8822</v>
      </c>
      <c r="J14014" t="s">
        <v>40329</v>
      </c>
      <c r="K14014" t="s">
        <v>41243</v>
      </c>
      <c r="M14014" t="s">
        <v>41685</v>
      </c>
      <c r="N14014" t="s">
        <v>45095</v>
      </c>
      <c r="O14014" t="s">
        <v>45096</v>
      </c>
      <c r="P14014">
        <v>0</v>
      </c>
      <c r="Q14014">
        <v>0</v>
      </c>
      <c r="R14014" t="s">
        <v>45116</v>
      </c>
      <c r="S14014" t="s">
        <v>45923</v>
      </c>
      <c r="T14014" t="s">
        <v>46985</v>
      </c>
      <c r="U14014" t="s">
        <v>58784</v>
      </c>
      <c r="W14014" t="s">
        <v>41685</v>
      </c>
      <c r="X14014" t="s">
        <v>45117</v>
      </c>
    </row>
    <row r="14015" spans="1:24">
      <c r="A14015">
        <f>HYPERLINK("https://www.philgeps.gov.ph/GEPSNONPILOT/Tender/SplashBidNoticeAbstractUI.aspx?menuIndex=3&amp;refID=7013868&amp;Result=3","7013868")</f>
        <v>0</v>
      </c>
      <c r="B14015" t="s">
        <v>2801</v>
      </c>
      <c r="C14015" t="s">
        <v>16606</v>
      </c>
      <c r="D14015" t="s">
        <v>18043</v>
      </c>
      <c r="E14015" t="s">
        <v>30271</v>
      </c>
      <c r="F14015" t="s">
        <v>31574</v>
      </c>
      <c r="G14015" t="s">
        <v>31582</v>
      </c>
      <c r="H14015" t="s">
        <v>31590</v>
      </c>
      <c r="I14015" t="s">
        <v>31695</v>
      </c>
      <c r="J14015" t="s">
        <v>40330</v>
      </c>
      <c r="K14015" t="s">
        <v>41190</v>
      </c>
      <c r="M14015" t="s">
        <v>44576</v>
      </c>
      <c r="N14015" t="s">
        <v>45095</v>
      </c>
      <c r="O14015" t="s">
        <v>45096</v>
      </c>
      <c r="P14015">
        <v>0</v>
      </c>
      <c r="Q14015">
        <v>0</v>
      </c>
      <c r="R14015" t="s">
        <v>45116</v>
      </c>
      <c r="S14015" t="s">
        <v>45923</v>
      </c>
      <c r="T14015" t="s">
        <v>47183</v>
      </c>
      <c r="U14015" t="s">
        <v>58785</v>
      </c>
      <c r="W14015" t="s">
        <v>44576</v>
      </c>
      <c r="X14015" t="s">
        <v>45117</v>
      </c>
    </row>
    <row r="14016" spans="1:24">
      <c r="A14016">
        <f>HYPERLINK("https://www.philgeps.gov.ph/GEPSNONPILOT/Tender/SplashBidNoticeAbstractUI.aspx?menuIndex=3&amp;refID=7014097&amp;Result=3","7014097")</f>
        <v>0</v>
      </c>
      <c r="B14016" t="s">
        <v>2569</v>
      </c>
      <c r="C14016" t="s">
        <v>16607</v>
      </c>
      <c r="D14016" t="s">
        <v>18075</v>
      </c>
      <c r="E14016" t="s">
        <v>30272</v>
      </c>
      <c r="F14016" t="s">
        <v>31574</v>
      </c>
      <c r="G14016" t="s">
        <v>31582</v>
      </c>
      <c r="H14016" t="s">
        <v>31591</v>
      </c>
      <c r="I14016" t="s">
        <v>8822</v>
      </c>
      <c r="J14016" t="s">
        <v>31935</v>
      </c>
      <c r="K14016" t="s">
        <v>41252</v>
      </c>
      <c r="M14016" t="s">
        <v>44310</v>
      </c>
      <c r="N14016" t="s">
        <v>45095</v>
      </c>
      <c r="O14016" t="s">
        <v>45096</v>
      </c>
      <c r="P14016">
        <v>0</v>
      </c>
      <c r="Q14016">
        <v>0</v>
      </c>
      <c r="R14016" t="s">
        <v>45116</v>
      </c>
      <c r="S14016" t="s">
        <v>45923</v>
      </c>
      <c r="T14016" t="s">
        <v>47159</v>
      </c>
      <c r="U14016" t="s">
        <v>58786</v>
      </c>
      <c r="V14016" t="s">
        <v>61405</v>
      </c>
      <c r="W14016" t="s">
        <v>44310</v>
      </c>
      <c r="X14016" t="s">
        <v>45117</v>
      </c>
    </row>
    <row r="14017" spans="1:24">
      <c r="A14017">
        <f>HYPERLINK("https://www.philgeps.gov.ph/GEPSNONPILOT/Tender/SplashBidNoticeAbstractUI.aspx?menuIndex=3&amp;refID=7013826&amp;Result=3","7013826")</f>
        <v>0</v>
      </c>
      <c r="B14017" t="s">
        <v>2528</v>
      </c>
      <c r="C14017" t="s">
        <v>16608</v>
      </c>
      <c r="D14017" t="s">
        <v>18039</v>
      </c>
      <c r="E14017" t="s">
        <v>30273</v>
      </c>
      <c r="F14017" t="s">
        <v>31574</v>
      </c>
      <c r="G14017" t="s">
        <v>31582</v>
      </c>
      <c r="H14017" t="s">
        <v>31591</v>
      </c>
      <c r="I14017" t="s">
        <v>8822</v>
      </c>
      <c r="J14017" t="s">
        <v>40331</v>
      </c>
      <c r="K14017" t="s">
        <v>41198</v>
      </c>
      <c r="M14017" t="s">
        <v>44263</v>
      </c>
      <c r="N14017" t="s">
        <v>45095</v>
      </c>
      <c r="O14017" t="s">
        <v>45096</v>
      </c>
      <c r="P14017">
        <v>0</v>
      </c>
      <c r="Q14017">
        <v>0</v>
      </c>
      <c r="R14017" t="s">
        <v>45116</v>
      </c>
      <c r="S14017" t="s">
        <v>45923</v>
      </c>
      <c r="T14017" t="s">
        <v>46963</v>
      </c>
      <c r="U14017" t="s">
        <v>58787</v>
      </c>
      <c r="W14017" t="s">
        <v>44263</v>
      </c>
      <c r="X14017" t="s">
        <v>45117</v>
      </c>
    </row>
    <row r="14018" spans="1:24">
      <c r="A14018">
        <f>HYPERLINK("https://www.philgeps.gov.ph/GEPSNONPILOT/Tender/SplashBidNoticeAbstractUI.aspx?menuIndex=3&amp;refID=7013857&amp;Result=3","7013857")</f>
        <v>0</v>
      </c>
      <c r="B14018" t="s">
        <v>1535</v>
      </c>
      <c r="C14018" t="s">
        <v>16609</v>
      </c>
      <c r="D14018" t="s">
        <v>18073</v>
      </c>
      <c r="E14018" t="s">
        <v>30274</v>
      </c>
      <c r="F14018" t="s">
        <v>31574</v>
      </c>
      <c r="G14018" t="s">
        <v>31582</v>
      </c>
      <c r="H14018" t="s">
        <v>31591</v>
      </c>
      <c r="I14018" t="s">
        <v>8822</v>
      </c>
      <c r="J14018" t="s">
        <v>40332</v>
      </c>
      <c r="K14018" t="s">
        <v>41186</v>
      </c>
      <c r="M14018" t="s">
        <v>43127</v>
      </c>
      <c r="N14018" t="s">
        <v>45095</v>
      </c>
      <c r="O14018" t="s">
        <v>45096</v>
      </c>
      <c r="P14018">
        <v>0</v>
      </c>
      <c r="Q14018">
        <v>0</v>
      </c>
      <c r="R14018" t="s">
        <v>45116</v>
      </c>
      <c r="S14018" t="s">
        <v>45923</v>
      </c>
      <c r="T14018" t="s">
        <v>47050</v>
      </c>
      <c r="U14018" t="s">
        <v>57391</v>
      </c>
      <c r="V14018" t="s">
        <v>61406</v>
      </c>
      <c r="W14018" t="s">
        <v>43127</v>
      </c>
      <c r="X14018" t="s">
        <v>45117</v>
      </c>
    </row>
    <row r="14019" spans="1:24">
      <c r="A14019">
        <f>HYPERLINK("https://www.philgeps.gov.ph/GEPSNONPILOT/Tender/SplashBidNoticeAbstractUI.aspx?menuIndex=3&amp;refID=7014121&amp;Result=3","7014121")</f>
        <v>0</v>
      </c>
      <c r="B14019" t="s">
        <v>1143</v>
      </c>
      <c r="C14019" t="s">
        <v>16610</v>
      </c>
      <c r="D14019" t="s">
        <v>18053</v>
      </c>
      <c r="E14019" t="s">
        <v>30275</v>
      </c>
      <c r="F14019" t="s">
        <v>31574</v>
      </c>
      <c r="G14019" t="s">
        <v>31582</v>
      </c>
      <c r="H14019" t="s">
        <v>31591</v>
      </c>
      <c r="I14019" t="s">
        <v>8822</v>
      </c>
      <c r="J14019" t="s">
        <v>40333</v>
      </c>
      <c r="K14019" t="s">
        <v>41247</v>
      </c>
      <c r="M14019" t="s">
        <v>42696</v>
      </c>
      <c r="N14019" t="s">
        <v>45095</v>
      </c>
      <c r="O14019" t="s">
        <v>45096</v>
      </c>
      <c r="P14019">
        <v>0</v>
      </c>
      <c r="Q14019">
        <v>2</v>
      </c>
      <c r="R14019" t="s">
        <v>45116</v>
      </c>
      <c r="S14019" t="s">
        <v>45923</v>
      </c>
      <c r="T14019" t="s">
        <v>47076</v>
      </c>
      <c r="U14019" t="s">
        <v>58788</v>
      </c>
      <c r="W14019" t="s">
        <v>42696</v>
      </c>
      <c r="X14019" t="s">
        <v>45117</v>
      </c>
    </row>
    <row r="14020" spans="1:24">
      <c r="A14020">
        <f>HYPERLINK("https://www.philgeps.gov.ph/GEPSNONPILOT/Tender/SplashBidNoticeAbstractUI.aspx?menuIndex=3&amp;refID=7013873&amp;Result=3","7013873")</f>
        <v>0</v>
      </c>
      <c r="B14020" t="s">
        <v>1535</v>
      </c>
      <c r="C14020" t="s">
        <v>16611</v>
      </c>
      <c r="E14020" t="s">
        <v>30276</v>
      </c>
      <c r="F14020" t="s">
        <v>31574</v>
      </c>
      <c r="G14020" t="s">
        <v>31582</v>
      </c>
      <c r="H14020" t="s">
        <v>31591</v>
      </c>
      <c r="I14020" t="s">
        <v>8822</v>
      </c>
      <c r="J14020" t="s">
        <v>40334</v>
      </c>
      <c r="K14020" t="s">
        <v>41192</v>
      </c>
      <c r="M14020" t="s">
        <v>43127</v>
      </c>
      <c r="N14020" t="s">
        <v>45095</v>
      </c>
      <c r="O14020" t="s">
        <v>45096</v>
      </c>
      <c r="P14020">
        <v>0</v>
      </c>
      <c r="Q14020">
        <v>0</v>
      </c>
      <c r="R14020" t="s">
        <v>45116</v>
      </c>
      <c r="S14020" t="s">
        <v>45923</v>
      </c>
      <c r="T14020" t="s">
        <v>47050</v>
      </c>
      <c r="U14020" t="s">
        <v>57391</v>
      </c>
      <c r="V14020" t="s">
        <v>61407</v>
      </c>
      <c r="W14020" t="s">
        <v>43127</v>
      </c>
      <c r="X14020" t="s">
        <v>45117</v>
      </c>
    </row>
    <row r="14021" spans="1:24">
      <c r="A14021">
        <f>HYPERLINK("https://www.philgeps.gov.ph/GEPSNONPILOT/Tender/SplashBidNoticeAbstractUI.aspx?menuIndex=3&amp;refID=7014122&amp;Result=3","7014122")</f>
        <v>0</v>
      </c>
      <c r="B14021" t="s">
        <v>663</v>
      </c>
      <c r="C14021" t="s">
        <v>16612</v>
      </c>
      <c r="E14021" t="s">
        <v>30277</v>
      </c>
      <c r="F14021" t="s">
        <v>31574</v>
      </c>
      <c r="G14021" t="s">
        <v>31582</v>
      </c>
      <c r="H14021" t="s">
        <v>31591</v>
      </c>
      <c r="I14021" t="s">
        <v>4046</v>
      </c>
      <c r="J14021" t="s">
        <v>40335</v>
      </c>
      <c r="K14021" t="s">
        <v>41184</v>
      </c>
      <c r="M14021" t="s">
        <v>42168</v>
      </c>
      <c r="N14021" t="s">
        <v>45095</v>
      </c>
      <c r="O14021" t="s">
        <v>45096</v>
      </c>
      <c r="P14021">
        <v>0</v>
      </c>
      <c r="Q14021">
        <v>1</v>
      </c>
      <c r="R14021" t="s">
        <v>45116</v>
      </c>
      <c r="S14021" t="s">
        <v>45923</v>
      </c>
      <c r="T14021" t="s">
        <v>46918</v>
      </c>
      <c r="U14021" t="s">
        <v>58789</v>
      </c>
      <c r="W14021" t="s">
        <v>42168</v>
      </c>
      <c r="X14021" t="s">
        <v>45117</v>
      </c>
    </row>
    <row r="14022" spans="1:24">
      <c r="A14022">
        <f>HYPERLINK("https://www.philgeps.gov.ph/GEPSNONPILOT/Tender/SplashBidNoticeAbstractUI.aspx?menuIndex=3&amp;refID=7013825&amp;Result=3","7013825")</f>
        <v>0</v>
      </c>
      <c r="B14022" t="s">
        <v>2065</v>
      </c>
      <c r="C14022" t="s">
        <v>16613</v>
      </c>
      <c r="D14022" t="s">
        <v>18094</v>
      </c>
      <c r="E14022" t="s">
        <v>30278</v>
      </c>
      <c r="F14022" t="s">
        <v>31574</v>
      </c>
      <c r="G14022" t="s">
        <v>31582</v>
      </c>
      <c r="H14022" t="s">
        <v>31591</v>
      </c>
      <c r="I14022" t="s">
        <v>8822</v>
      </c>
      <c r="J14022" t="s">
        <v>40336</v>
      </c>
      <c r="K14022" t="s">
        <v>41186</v>
      </c>
      <c r="M14022" t="s">
        <v>43739</v>
      </c>
      <c r="N14022" t="s">
        <v>45095</v>
      </c>
      <c r="O14022" t="s">
        <v>45096</v>
      </c>
      <c r="P14022">
        <v>0</v>
      </c>
      <c r="Q14022">
        <v>1</v>
      </c>
      <c r="R14022" t="s">
        <v>45116</v>
      </c>
      <c r="S14022" t="s">
        <v>45923</v>
      </c>
      <c r="T14022" t="s">
        <v>47106</v>
      </c>
      <c r="U14022" t="s">
        <v>58790</v>
      </c>
      <c r="W14022" t="s">
        <v>43739</v>
      </c>
      <c r="X14022" t="s">
        <v>45117</v>
      </c>
    </row>
    <row r="14023" spans="1:24">
      <c r="A14023">
        <f>HYPERLINK("https://www.philgeps.gov.ph/GEPSNONPILOT/Tender/SplashBidNoticeAbstractUI.aspx?menuIndex=3&amp;refID=7014105&amp;Result=3","7014105")</f>
        <v>0</v>
      </c>
      <c r="B14023" t="s">
        <v>1511</v>
      </c>
      <c r="C14023" t="s">
        <v>16614</v>
      </c>
      <c r="D14023" t="s">
        <v>18022</v>
      </c>
      <c r="E14023" t="s">
        <v>30279</v>
      </c>
      <c r="F14023" t="s">
        <v>31574</v>
      </c>
      <c r="G14023" t="s">
        <v>31582</v>
      </c>
      <c r="H14023" t="s">
        <v>31592</v>
      </c>
      <c r="I14023" t="s">
        <v>4327</v>
      </c>
      <c r="J14023" t="s">
        <v>40337</v>
      </c>
      <c r="K14023" t="s">
        <v>41225</v>
      </c>
      <c r="M14023" t="s">
        <v>44387</v>
      </c>
      <c r="N14023" t="s">
        <v>45095</v>
      </c>
      <c r="O14023" t="s">
        <v>45096</v>
      </c>
      <c r="Q14023">
        <v>11</v>
      </c>
      <c r="R14023" t="s">
        <v>45116</v>
      </c>
      <c r="S14023" t="s">
        <v>45987</v>
      </c>
      <c r="T14023" t="s">
        <v>47154</v>
      </c>
      <c r="U14023" t="s">
        <v>58791</v>
      </c>
      <c r="W14023" t="s">
        <v>44387</v>
      </c>
      <c r="X14023" t="s">
        <v>45117</v>
      </c>
    </row>
    <row r="14024" spans="1:24">
      <c r="A14024">
        <f>HYPERLINK("https://www.philgeps.gov.ph/GEPSNONPILOT/Tender/SplashBidNoticeAbstractUI.aspx?menuIndex=3&amp;refID=7014120&amp;Result=3","7014120")</f>
        <v>0</v>
      </c>
      <c r="B14024" t="s">
        <v>1770</v>
      </c>
      <c r="C14024" t="s">
        <v>16615</v>
      </c>
      <c r="D14024" t="s">
        <v>18065</v>
      </c>
      <c r="E14024" t="s">
        <v>30280</v>
      </c>
      <c r="F14024" t="s">
        <v>31574</v>
      </c>
      <c r="G14024" t="s">
        <v>31582</v>
      </c>
      <c r="H14024" t="s">
        <v>31591</v>
      </c>
      <c r="I14024" t="s">
        <v>8822</v>
      </c>
      <c r="J14024" t="s">
        <v>32739</v>
      </c>
      <c r="K14024" t="s">
        <v>41228</v>
      </c>
      <c r="L14024" t="s">
        <v>1770</v>
      </c>
      <c r="M14024" t="s">
        <v>44289</v>
      </c>
      <c r="N14024" t="s">
        <v>45095</v>
      </c>
      <c r="O14024" t="s">
        <v>45096</v>
      </c>
      <c r="P14024">
        <v>0</v>
      </c>
      <c r="Q14024">
        <v>0</v>
      </c>
      <c r="R14024" t="s">
        <v>45116</v>
      </c>
      <c r="S14024" t="s">
        <v>45923</v>
      </c>
      <c r="T14024" t="s">
        <v>47159</v>
      </c>
      <c r="U14024" t="s">
        <v>58792</v>
      </c>
      <c r="V14024" t="s">
        <v>61408</v>
      </c>
      <c r="W14024" t="s">
        <v>44289</v>
      </c>
      <c r="X14024" t="s">
        <v>45117</v>
      </c>
    </row>
    <row r="14025" spans="1:24">
      <c r="A14025">
        <f>HYPERLINK("https://www.philgeps.gov.ph/GEPSNONPILOT/Tender/SplashBidNoticeAbstractUI.aspx?menuIndex=3&amp;refID=7014124&amp;Result=3","7014124")</f>
        <v>0</v>
      </c>
      <c r="B14025" t="s">
        <v>1770</v>
      </c>
      <c r="C14025" t="s">
        <v>16616</v>
      </c>
      <c r="D14025" t="s">
        <v>18065</v>
      </c>
      <c r="E14025" t="s">
        <v>30281</v>
      </c>
      <c r="F14025" t="s">
        <v>31574</v>
      </c>
      <c r="G14025" t="s">
        <v>31582</v>
      </c>
      <c r="H14025" t="s">
        <v>31591</v>
      </c>
      <c r="I14025" t="s">
        <v>8822</v>
      </c>
      <c r="J14025" t="s">
        <v>38214</v>
      </c>
      <c r="K14025" t="s">
        <v>41263</v>
      </c>
      <c r="L14025" t="s">
        <v>1770</v>
      </c>
      <c r="M14025" t="s">
        <v>44289</v>
      </c>
      <c r="N14025" t="s">
        <v>45095</v>
      </c>
      <c r="O14025" t="s">
        <v>45096</v>
      </c>
      <c r="P14025">
        <v>0</v>
      </c>
      <c r="Q14025">
        <v>1</v>
      </c>
      <c r="R14025" t="s">
        <v>45116</v>
      </c>
      <c r="S14025" t="s">
        <v>45923</v>
      </c>
      <c r="T14025" t="s">
        <v>47159</v>
      </c>
      <c r="U14025" t="s">
        <v>58792</v>
      </c>
      <c r="V14025" t="s">
        <v>61408</v>
      </c>
      <c r="W14025" t="s">
        <v>44289</v>
      </c>
      <c r="X14025" t="s">
        <v>45117</v>
      </c>
    </row>
    <row r="14026" spans="1:24">
      <c r="A14026">
        <f>HYPERLINK("https://www.philgeps.gov.ph/GEPSNONPILOT/Tender/SplashBidNoticeAbstractUI.aspx?menuIndex=3&amp;refID=7014118&amp;Result=3","7014118")</f>
        <v>0</v>
      </c>
      <c r="B14026" t="s">
        <v>663</v>
      </c>
      <c r="C14026" t="s">
        <v>16617</v>
      </c>
      <c r="E14026" t="s">
        <v>25012</v>
      </c>
      <c r="F14026" t="s">
        <v>31574</v>
      </c>
      <c r="G14026" t="s">
        <v>31582</v>
      </c>
      <c r="H14026" t="s">
        <v>31591</v>
      </c>
      <c r="I14026" t="s">
        <v>31600</v>
      </c>
      <c r="J14026" t="s">
        <v>31771</v>
      </c>
      <c r="K14026" t="s">
        <v>41184</v>
      </c>
      <c r="M14026" t="s">
        <v>42168</v>
      </c>
      <c r="N14026" t="s">
        <v>45095</v>
      </c>
      <c r="O14026" t="s">
        <v>45096</v>
      </c>
      <c r="P14026">
        <v>0</v>
      </c>
      <c r="Q14026">
        <v>0</v>
      </c>
      <c r="R14026" t="s">
        <v>45116</v>
      </c>
      <c r="S14026" t="s">
        <v>45923</v>
      </c>
      <c r="T14026" t="s">
        <v>46918</v>
      </c>
      <c r="U14026" t="s">
        <v>58313</v>
      </c>
      <c r="W14026" t="s">
        <v>42168</v>
      </c>
      <c r="X14026" t="s">
        <v>45117</v>
      </c>
    </row>
    <row r="14027" spans="1:24">
      <c r="A14027">
        <f>HYPERLINK("https://www.philgeps.gov.ph/GEPSNONPILOT/Tender/SplashBidNoticeAbstractUI.aspx?menuIndex=3&amp;refID=7014111&amp;Result=3","7014111")</f>
        <v>0</v>
      </c>
      <c r="B14027" t="s">
        <v>1900</v>
      </c>
      <c r="C14027" t="s">
        <v>16618</v>
      </c>
      <c r="D14027" t="s">
        <v>18073</v>
      </c>
      <c r="E14027" t="s">
        <v>30282</v>
      </c>
      <c r="F14027" t="s">
        <v>31574</v>
      </c>
      <c r="G14027" t="s">
        <v>31582</v>
      </c>
      <c r="H14027" t="s">
        <v>31591</v>
      </c>
      <c r="I14027" t="s">
        <v>8822</v>
      </c>
      <c r="J14027" t="s">
        <v>40338</v>
      </c>
      <c r="K14027" t="s">
        <v>41184</v>
      </c>
      <c r="M14027" t="s">
        <v>43545</v>
      </c>
      <c r="N14027" t="s">
        <v>45095</v>
      </c>
      <c r="O14027" t="s">
        <v>45096</v>
      </c>
      <c r="P14027">
        <v>0</v>
      </c>
      <c r="Q14027">
        <v>0</v>
      </c>
      <c r="R14027" t="s">
        <v>45116</v>
      </c>
      <c r="S14027" t="s">
        <v>45923</v>
      </c>
      <c r="T14027" t="s">
        <v>47171</v>
      </c>
      <c r="U14027" t="s">
        <v>58793</v>
      </c>
      <c r="W14027" t="s">
        <v>43545</v>
      </c>
      <c r="X14027" t="s">
        <v>45117</v>
      </c>
    </row>
    <row r="14028" spans="1:24">
      <c r="A14028">
        <f>HYPERLINK("https://www.philgeps.gov.ph/GEPSNONPILOT/Tender/SplashBidNoticeAbstractUI.aspx?menuIndex=3&amp;refID=7014093&amp;Result=3","7014093")</f>
        <v>0</v>
      </c>
      <c r="B14028" t="s">
        <v>3083</v>
      </c>
      <c r="C14028" t="s">
        <v>16619</v>
      </c>
      <c r="D14028" t="s">
        <v>18035</v>
      </c>
      <c r="E14028" t="s">
        <v>30283</v>
      </c>
      <c r="F14028" t="s">
        <v>31574</v>
      </c>
      <c r="G14028" t="s">
        <v>31582</v>
      </c>
      <c r="H14028" t="s">
        <v>31591</v>
      </c>
      <c r="I14028" t="s">
        <v>8822</v>
      </c>
      <c r="J14028" t="s">
        <v>40339</v>
      </c>
      <c r="K14028" t="s">
        <v>41192</v>
      </c>
      <c r="M14028" t="s">
        <v>44927</v>
      </c>
      <c r="N14028" t="s">
        <v>45095</v>
      </c>
      <c r="O14028" t="s">
        <v>45096</v>
      </c>
      <c r="P14028">
        <v>0</v>
      </c>
      <c r="Q14028">
        <v>29</v>
      </c>
      <c r="R14028" t="s">
        <v>45116</v>
      </c>
      <c r="S14028" t="s">
        <v>45923</v>
      </c>
      <c r="T14028" t="s">
        <v>47050</v>
      </c>
      <c r="U14028" t="s">
        <v>58794</v>
      </c>
      <c r="V14028" t="s">
        <v>60368</v>
      </c>
      <c r="W14028" t="s">
        <v>44927</v>
      </c>
      <c r="X14028" t="s">
        <v>45117</v>
      </c>
    </row>
    <row r="14029" spans="1:24">
      <c r="A14029">
        <f>HYPERLINK("https://www.philgeps.gov.ph/GEPSNONPILOT/Tender/SplashBidNoticeAbstractUI.aspx?menuIndex=3&amp;refID=7014113&amp;Result=3","7014113")</f>
        <v>0</v>
      </c>
      <c r="B14029" t="s">
        <v>1900</v>
      </c>
      <c r="C14029" t="s">
        <v>16620</v>
      </c>
      <c r="D14029" t="s">
        <v>18073</v>
      </c>
      <c r="E14029" t="s">
        <v>30284</v>
      </c>
      <c r="F14029" t="s">
        <v>31574</v>
      </c>
      <c r="G14029" t="s">
        <v>31582</v>
      </c>
      <c r="H14029" t="s">
        <v>31591</v>
      </c>
      <c r="I14029" t="s">
        <v>8822</v>
      </c>
      <c r="J14029" t="s">
        <v>40340</v>
      </c>
      <c r="K14029" t="s">
        <v>41184</v>
      </c>
      <c r="M14029" t="s">
        <v>43545</v>
      </c>
      <c r="N14029" t="s">
        <v>45095</v>
      </c>
      <c r="O14029" t="s">
        <v>45096</v>
      </c>
      <c r="P14029">
        <v>0</v>
      </c>
      <c r="Q14029">
        <v>0</v>
      </c>
      <c r="R14029" t="s">
        <v>45116</v>
      </c>
      <c r="S14029" t="s">
        <v>45923</v>
      </c>
      <c r="T14029" t="s">
        <v>47171</v>
      </c>
      <c r="U14029" t="s">
        <v>58795</v>
      </c>
      <c r="W14029" t="s">
        <v>43545</v>
      </c>
      <c r="X14029" t="s">
        <v>45117</v>
      </c>
    </row>
    <row r="14030" spans="1:24">
      <c r="A14030">
        <f>HYPERLINK("https://www.philgeps.gov.ph/GEPSNONPILOT/Tender/SplashBidNoticeAbstractUI.aspx?menuIndex=3&amp;refID=7014090&amp;Result=3","7014090")</f>
        <v>0</v>
      </c>
      <c r="B14030" t="s">
        <v>3083</v>
      </c>
      <c r="C14030" t="s">
        <v>16621</v>
      </c>
      <c r="D14030" t="s">
        <v>18035</v>
      </c>
      <c r="E14030" t="s">
        <v>30285</v>
      </c>
      <c r="F14030" t="s">
        <v>31574</v>
      </c>
      <c r="G14030" t="s">
        <v>31582</v>
      </c>
      <c r="H14030" t="s">
        <v>31591</v>
      </c>
      <c r="I14030" t="s">
        <v>8822</v>
      </c>
      <c r="J14030" t="s">
        <v>40341</v>
      </c>
      <c r="K14030" t="s">
        <v>41315</v>
      </c>
      <c r="M14030" t="s">
        <v>44927</v>
      </c>
      <c r="N14030" t="s">
        <v>45095</v>
      </c>
      <c r="O14030" t="s">
        <v>45096</v>
      </c>
      <c r="P14030">
        <v>0</v>
      </c>
      <c r="Q14030">
        <v>27</v>
      </c>
      <c r="R14030" t="s">
        <v>45116</v>
      </c>
      <c r="S14030" t="s">
        <v>45923</v>
      </c>
      <c r="T14030" t="s">
        <v>47050</v>
      </c>
      <c r="U14030" t="s">
        <v>58796</v>
      </c>
      <c r="V14030" t="s">
        <v>60368</v>
      </c>
      <c r="W14030" t="s">
        <v>44927</v>
      </c>
      <c r="X14030" t="s">
        <v>45117</v>
      </c>
    </row>
    <row r="14031" spans="1:24">
      <c r="A14031">
        <f>HYPERLINK("https://www.philgeps.gov.ph/GEPSNONPILOT/Tender/SplashBidNoticeAbstractUI.aspx?menuIndex=3&amp;refID=7014089&amp;Result=3","7014089")</f>
        <v>0</v>
      </c>
      <c r="B14031" t="s">
        <v>955</v>
      </c>
      <c r="C14031" t="s">
        <v>16622</v>
      </c>
      <c r="D14031" t="s">
        <v>18043</v>
      </c>
      <c r="E14031" t="s">
        <v>30286</v>
      </c>
      <c r="F14031" t="s">
        <v>31574</v>
      </c>
      <c r="G14031" t="s">
        <v>31582</v>
      </c>
      <c r="H14031" t="s">
        <v>31590</v>
      </c>
      <c r="I14031" t="s">
        <v>31649</v>
      </c>
      <c r="J14031" t="s">
        <v>40342</v>
      </c>
      <c r="K14031" t="s">
        <v>41184</v>
      </c>
      <c r="M14031" t="s">
        <v>42482</v>
      </c>
      <c r="N14031" t="s">
        <v>45095</v>
      </c>
      <c r="O14031" t="s">
        <v>45096</v>
      </c>
      <c r="P14031">
        <v>0</v>
      </c>
      <c r="Q14031">
        <v>2</v>
      </c>
      <c r="R14031" t="s">
        <v>45116</v>
      </c>
      <c r="S14031" t="s">
        <v>45923</v>
      </c>
      <c r="T14031" t="s">
        <v>47191</v>
      </c>
      <c r="U14031" t="s">
        <v>58797</v>
      </c>
      <c r="W14031" t="s">
        <v>42482</v>
      </c>
      <c r="X14031" t="s">
        <v>45117</v>
      </c>
    </row>
    <row r="14032" spans="1:24">
      <c r="A14032">
        <f>HYPERLINK("https://www.philgeps.gov.ph/GEPSNONPILOT/Tender/SplashBidNoticeAbstractUI.aspx?menuIndex=3&amp;refID=7014116&amp;Result=3","7014116")</f>
        <v>0</v>
      </c>
      <c r="B14032" t="s">
        <v>1770</v>
      </c>
      <c r="C14032" t="s">
        <v>16623</v>
      </c>
      <c r="D14032" t="s">
        <v>18065</v>
      </c>
      <c r="E14032" t="s">
        <v>30287</v>
      </c>
      <c r="F14032" t="s">
        <v>31574</v>
      </c>
      <c r="G14032" t="s">
        <v>31582</v>
      </c>
      <c r="H14032" t="s">
        <v>31591</v>
      </c>
      <c r="I14032" t="s">
        <v>8822</v>
      </c>
      <c r="J14032" t="s">
        <v>40343</v>
      </c>
      <c r="K14032" t="s">
        <v>41189</v>
      </c>
      <c r="L14032" t="s">
        <v>1770</v>
      </c>
      <c r="M14032" t="s">
        <v>44289</v>
      </c>
      <c r="N14032" t="s">
        <v>45095</v>
      </c>
      <c r="O14032" t="s">
        <v>45096</v>
      </c>
      <c r="P14032">
        <v>0</v>
      </c>
      <c r="Q14032">
        <v>1</v>
      </c>
      <c r="R14032" t="s">
        <v>45116</v>
      </c>
      <c r="S14032" t="s">
        <v>45923</v>
      </c>
      <c r="T14032" t="s">
        <v>47159</v>
      </c>
      <c r="U14032" t="s">
        <v>58792</v>
      </c>
      <c r="V14032" t="s">
        <v>61408</v>
      </c>
      <c r="W14032" t="s">
        <v>44289</v>
      </c>
      <c r="X14032" t="s">
        <v>45117</v>
      </c>
    </row>
    <row r="14033" spans="1:24">
      <c r="A14033">
        <f>HYPERLINK("https://www.philgeps.gov.ph/GEPSNONPILOT/Tender/SplashBidNoticeAbstractUI.aspx?menuIndex=3&amp;refID=7013720&amp;Result=3","7013720")</f>
        <v>0</v>
      </c>
      <c r="B14033" t="s">
        <v>349</v>
      </c>
      <c r="C14033" t="s">
        <v>16624</v>
      </c>
      <c r="D14033" t="s">
        <v>18071</v>
      </c>
      <c r="E14033" t="s">
        <v>30288</v>
      </c>
      <c r="F14033" t="s">
        <v>31574</v>
      </c>
      <c r="G14033" t="s">
        <v>31582</v>
      </c>
      <c r="H14033" t="s">
        <v>31590</v>
      </c>
      <c r="I14033" t="s">
        <v>31606</v>
      </c>
      <c r="J14033" t="s">
        <v>32504</v>
      </c>
      <c r="K14033" t="s">
        <v>41186</v>
      </c>
      <c r="L14033" t="s">
        <v>349</v>
      </c>
      <c r="M14033" t="s">
        <v>41837</v>
      </c>
      <c r="N14033" t="s">
        <v>45095</v>
      </c>
      <c r="O14033" t="s">
        <v>45096</v>
      </c>
      <c r="P14033">
        <v>0</v>
      </c>
      <c r="Q14033">
        <v>3</v>
      </c>
      <c r="R14033" t="s">
        <v>45116</v>
      </c>
      <c r="S14033" t="s">
        <v>45923</v>
      </c>
      <c r="T14033" t="s">
        <v>47003</v>
      </c>
      <c r="U14033" t="s">
        <v>58798</v>
      </c>
      <c r="W14033" t="s">
        <v>41837</v>
      </c>
      <c r="X14033" t="s">
        <v>45117</v>
      </c>
    </row>
    <row r="14034" spans="1:24">
      <c r="A14034">
        <f>HYPERLINK("https://www.philgeps.gov.ph/GEPSNONPILOT/Tender/SplashBidNoticeAbstractUI.aspx?menuIndex=3&amp;refID=7014085&amp;Result=3","7014085")</f>
        <v>0</v>
      </c>
      <c r="B14034" t="s">
        <v>955</v>
      </c>
      <c r="C14034" t="s">
        <v>16625</v>
      </c>
      <c r="D14034" t="s">
        <v>18043</v>
      </c>
      <c r="E14034" t="s">
        <v>30289</v>
      </c>
      <c r="F14034" t="s">
        <v>31574</v>
      </c>
      <c r="G14034" t="s">
        <v>31582</v>
      </c>
      <c r="H14034" t="s">
        <v>31590</v>
      </c>
      <c r="I14034" t="s">
        <v>31608</v>
      </c>
      <c r="J14034" t="s">
        <v>40344</v>
      </c>
      <c r="K14034" t="s">
        <v>41184</v>
      </c>
      <c r="M14034" t="s">
        <v>42482</v>
      </c>
      <c r="N14034" t="s">
        <v>45095</v>
      </c>
      <c r="O14034" t="s">
        <v>45096</v>
      </c>
      <c r="P14034">
        <v>0</v>
      </c>
      <c r="Q14034">
        <v>10</v>
      </c>
      <c r="R14034" t="s">
        <v>45116</v>
      </c>
      <c r="S14034" t="s">
        <v>45923</v>
      </c>
      <c r="T14034" t="s">
        <v>47083</v>
      </c>
      <c r="U14034" t="s">
        <v>58799</v>
      </c>
      <c r="W14034" t="s">
        <v>42482</v>
      </c>
      <c r="X14034" t="s">
        <v>45117</v>
      </c>
    </row>
    <row r="14035" spans="1:24">
      <c r="A14035">
        <f>HYPERLINK("https://www.philgeps.gov.ph/GEPSNONPILOT/Tender/SplashBidNoticeAbstractUI.aspx?menuIndex=3&amp;refID=7014077&amp;Result=3","7014077")</f>
        <v>0</v>
      </c>
      <c r="B14035" t="s">
        <v>852</v>
      </c>
      <c r="C14035" t="s">
        <v>16626</v>
      </c>
      <c r="D14035" t="s">
        <v>18051</v>
      </c>
      <c r="E14035" t="s">
        <v>30290</v>
      </c>
      <c r="F14035" t="s">
        <v>31574</v>
      </c>
      <c r="G14035" t="s">
        <v>31582</v>
      </c>
      <c r="H14035" t="s">
        <v>31591</v>
      </c>
      <c r="I14035" t="s">
        <v>8822</v>
      </c>
      <c r="J14035" t="s">
        <v>33193</v>
      </c>
      <c r="K14035" t="s">
        <v>41243</v>
      </c>
      <c r="M14035" t="s">
        <v>42371</v>
      </c>
      <c r="N14035" t="s">
        <v>45095</v>
      </c>
      <c r="O14035" t="s">
        <v>45096</v>
      </c>
      <c r="Q14035">
        <v>3</v>
      </c>
      <c r="R14035" t="s">
        <v>45116</v>
      </c>
      <c r="S14035" t="s">
        <v>45988</v>
      </c>
      <c r="T14035" t="s">
        <v>47050</v>
      </c>
      <c r="U14035" t="s">
        <v>58800</v>
      </c>
      <c r="V14035" t="s">
        <v>61409</v>
      </c>
      <c r="W14035" t="s">
        <v>42371</v>
      </c>
      <c r="X14035" t="s">
        <v>45117</v>
      </c>
    </row>
    <row r="14036" spans="1:24">
      <c r="A14036">
        <f>HYPERLINK("https://www.philgeps.gov.ph/GEPSNONPILOT/Tender/SplashBidNoticeAbstractUI.aspx?menuIndex=3&amp;refID=7014117&amp;Result=3","7014117")</f>
        <v>0</v>
      </c>
      <c r="B14036" t="s">
        <v>1143</v>
      </c>
      <c r="C14036" t="s">
        <v>16627</v>
      </c>
      <c r="D14036" t="s">
        <v>18053</v>
      </c>
      <c r="E14036" t="s">
        <v>30291</v>
      </c>
      <c r="F14036" t="s">
        <v>31574</v>
      </c>
      <c r="G14036" t="s">
        <v>31582</v>
      </c>
      <c r="H14036" t="s">
        <v>31591</v>
      </c>
      <c r="I14036" t="s">
        <v>8822</v>
      </c>
      <c r="J14036" t="s">
        <v>40345</v>
      </c>
      <c r="K14036" t="s">
        <v>41352</v>
      </c>
      <c r="M14036" t="s">
        <v>42696</v>
      </c>
      <c r="N14036" t="s">
        <v>45095</v>
      </c>
      <c r="O14036" t="s">
        <v>45096</v>
      </c>
      <c r="P14036">
        <v>0</v>
      </c>
      <c r="Q14036">
        <v>2</v>
      </c>
      <c r="R14036" t="s">
        <v>45116</v>
      </c>
      <c r="S14036" t="s">
        <v>45923</v>
      </c>
      <c r="T14036" t="s">
        <v>47076</v>
      </c>
      <c r="U14036" t="s">
        <v>58801</v>
      </c>
      <c r="W14036" t="s">
        <v>42696</v>
      </c>
      <c r="X14036" t="s">
        <v>45117</v>
      </c>
    </row>
    <row r="14037" spans="1:24">
      <c r="A14037">
        <f>HYPERLINK("https://www.philgeps.gov.ph/GEPSNONPILOT/Tender/SplashBidNoticeAbstractUI.aspx?menuIndex=3&amp;refID=7013716&amp;Result=3","7013716")</f>
        <v>0</v>
      </c>
      <c r="B14037" t="s">
        <v>145</v>
      </c>
      <c r="C14037" t="s">
        <v>16628</v>
      </c>
      <c r="D14037" t="s">
        <v>18066</v>
      </c>
      <c r="E14037" t="s">
        <v>30292</v>
      </c>
      <c r="F14037" t="s">
        <v>31574</v>
      </c>
      <c r="G14037" t="s">
        <v>31582</v>
      </c>
      <c r="H14037" t="s">
        <v>31590</v>
      </c>
      <c r="I14037" t="s">
        <v>3873</v>
      </c>
      <c r="J14037" t="s">
        <v>40346</v>
      </c>
      <c r="K14037" t="s">
        <v>41184</v>
      </c>
      <c r="M14037" t="s">
        <v>44928</v>
      </c>
      <c r="N14037" t="s">
        <v>45095</v>
      </c>
      <c r="O14037" t="s">
        <v>45096</v>
      </c>
      <c r="P14037">
        <v>0</v>
      </c>
      <c r="Q14037">
        <v>5</v>
      </c>
      <c r="R14037" t="s">
        <v>45116</v>
      </c>
      <c r="S14037" t="s">
        <v>45923</v>
      </c>
      <c r="T14037" t="s">
        <v>47154</v>
      </c>
      <c r="U14037" t="s">
        <v>58802</v>
      </c>
      <c r="W14037" t="s">
        <v>44928</v>
      </c>
      <c r="X14037" t="s">
        <v>45117</v>
      </c>
    </row>
    <row r="14038" spans="1:24">
      <c r="A14038">
        <f>HYPERLINK("https://www.philgeps.gov.ph/GEPSNONPILOT/Tender/SplashBidNoticeAbstractUI.aspx?menuIndex=3&amp;refID=7014084&amp;Result=3","7014084")</f>
        <v>0</v>
      </c>
      <c r="B14038" t="s">
        <v>1098</v>
      </c>
      <c r="C14038" t="s">
        <v>16629</v>
      </c>
      <c r="D14038" t="s">
        <v>18055</v>
      </c>
      <c r="E14038" t="s">
        <v>30293</v>
      </c>
      <c r="F14038" t="s">
        <v>31574</v>
      </c>
      <c r="G14038" t="s">
        <v>31582</v>
      </c>
      <c r="H14038" t="s">
        <v>31590</v>
      </c>
      <c r="I14038" t="s">
        <v>4046</v>
      </c>
      <c r="J14038" t="s">
        <v>32121</v>
      </c>
      <c r="K14038" t="s">
        <v>41186</v>
      </c>
      <c r="M14038" t="s">
        <v>42647</v>
      </c>
      <c r="N14038" t="s">
        <v>45095</v>
      </c>
      <c r="O14038" t="s">
        <v>45096</v>
      </c>
      <c r="P14038">
        <v>0</v>
      </c>
      <c r="Q14038">
        <v>20</v>
      </c>
      <c r="R14038" t="s">
        <v>45116</v>
      </c>
      <c r="S14038" t="s">
        <v>45923</v>
      </c>
      <c r="T14038" t="s">
        <v>46982</v>
      </c>
      <c r="U14038" t="s">
        <v>58803</v>
      </c>
      <c r="V14038" t="s">
        <v>61410</v>
      </c>
      <c r="W14038" t="s">
        <v>42647</v>
      </c>
      <c r="X14038" t="s">
        <v>45117</v>
      </c>
    </row>
    <row r="14039" spans="1:24">
      <c r="A14039">
        <f>HYPERLINK("https://www.philgeps.gov.ph/GEPSNONPILOT/Tender/SplashBidNoticeAbstractUI.aspx?menuIndex=3&amp;refID=7014076&amp;Result=3","7014076")</f>
        <v>0</v>
      </c>
      <c r="B14039" t="s">
        <v>1156</v>
      </c>
      <c r="C14039" t="s">
        <v>16630</v>
      </c>
      <c r="D14039" t="s">
        <v>18040</v>
      </c>
      <c r="E14039" t="s">
        <v>30294</v>
      </c>
      <c r="F14039" t="s">
        <v>31574</v>
      </c>
      <c r="G14039" t="s">
        <v>31582</v>
      </c>
      <c r="H14039" t="s">
        <v>31591</v>
      </c>
      <c r="I14039" t="s">
        <v>8822</v>
      </c>
      <c r="J14039" t="s">
        <v>40347</v>
      </c>
      <c r="K14039" t="s">
        <v>41244</v>
      </c>
      <c r="M14039" t="s">
        <v>42713</v>
      </c>
      <c r="N14039" t="s">
        <v>45095</v>
      </c>
      <c r="O14039" t="s">
        <v>45096</v>
      </c>
      <c r="P14039">
        <v>0</v>
      </c>
      <c r="Q14039">
        <v>0</v>
      </c>
      <c r="R14039" t="s">
        <v>45116</v>
      </c>
      <c r="S14039" t="s">
        <v>45923</v>
      </c>
      <c r="T14039" t="s">
        <v>47124</v>
      </c>
      <c r="U14039" t="s">
        <v>58804</v>
      </c>
      <c r="V14039" t="s">
        <v>61411</v>
      </c>
      <c r="W14039" t="s">
        <v>42713</v>
      </c>
      <c r="X14039" t="s">
        <v>45117</v>
      </c>
    </row>
    <row r="14040" spans="1:24">
      <c r="A14040">
        <f>HYPERLINK("https://www.philgeps.gov.ph/GEPSNONPILOT/Tender/SplashBidNoticeAbstractUI.aspx?menuIndex=3&amp;refID=7014158&amp;Result=3","7014158")</f>
        <v>0</v>
      </c>
      <c r="B14040" t="s">
        <v>1770</v>
      </c>
      <c r="C14040" t="s">
        <v>16631</v>
      </c>
      <c r="D14040" t="s">
        <v>18065</v>
      </c>
      <c r="E14040" t="s">
        <v>30295</v>
      </c>
      <c r="F14040" t="s">
        <v>31574</v>
      </c>
      <c r="G14040" t="s">
        <v>31582</v>
      </c>
      <c r="H14040" t="s">
        <v>31591</v>
      </c>
      <c r="I14040" t="s">
        <v>8822</v>
      </c>
      <c r="J14040" t="s">
        <v>32739</v>
      </c>
      <c r="K14040" t="s">
        <v>41228</v>
      </c>
      <c r="L14040" t="s">
        <v>1770</v>
      </c>
      <c r="M14040" t="s">
        <v>44289</v>
      </c>
      <c r="N14040" t="s">
        <v>45095</v>
      </c>
      <c r="O14040" t="s">
        <v>45096</v>
      </c>
      <c r="P14040">
        <v>0</v>
      </c>
      <c r="Q14040">
        <v>0</v>
      </c>
      <c r="R14040" t="s">
        <v>45116</v>
      </c>
      <c r="S14040" t="s">
        <v>45923</v>
      </c>
      <c r="T14040" t="s">
        <v>47159</v>
      </c>
      <c r="U14040" t="s">
        <v>58792</v>
      </c>
      <c r="V14040" t="s">
        <v>61408</v>
      </c>
      <c r="W14040" t="s">
        <v>44289</v>
      </c>
      <c r="X14040" t="s">
        <v>45117</v>
      </c>
    </row>
    <row r="14041" spans="1:24">
      <c r="A14041">
        <f>HYPERLINK("https://www.philgeps.gov.ph/GEPSNONPILOT/Tender/SplashBidNoticeAbstractUI.aspx?menuIndex=3&amp;refID=7014125&amp;Result=3","7014125")</f>
        <v>0</v>
      </c>
      <c r="B14041" t="s">
        <v>1143</v>
      </c>
      <c r="C14041" t="s">
        <v>16632</v>
      </c>
      <c r="D14041" t="s">
        <v>18053</v>
      </c>
      <c r="E14041" t="s">
        <v>30296</v>
      </c>
      <c r="F14041" t="s">
        <v>31574</v>
      </c>
      <c r="G14041" t="s">
        <v>31582</v>
      </c>
      <c r="H14041" t="s">
        <v>31590</v>
      </c>
      <c r="I14041" t="s">
        <v>31614</v>
      </c>
      <c r="J14041" t="s">
        <v>34579</v>
      </c>
      <c r="K14041" t="s">
        <v>41186</v>
      </c>
      <c r="M14041" t="s">
        <v>42696</v>
      </c>
      <c r="N14041" t="s">
        <v>45095</v>
      </c>
      <c r="O14041" t="s">
        <v>45096</v>
      </c>
      <c r="Q14041">
        <v>1</v>
      </c>
      <c r="R14041" t="s">
        <v>45116</v>
      </c>
      <c r="S14041" t="s">
        <v>45989</v>
      </c>
      <c r="T14041" t="s">
        <v>47076</v>
      </c>
      <c r="U14041" t="s">
        <v>58805</v>
      </c>
      <c r="W14041" t="s">
        <v>42696</v>
      </c>
      <c r="X14041" t="s">
        <v>45117</v>
      </c>
    </row>
    <row r="14042" spans="1:24">
      <c r="A14042">
        <f>HYPERLINK("https://www.philgeps.gov.ph/GEPSNONPILOT/Tender/SplashBidNoticeAbstractUI.aspx?menuIndex=3&amp;refID=7014140&amp;Result=3","7014140")</f>
        <v>0</v>
      </c>
      <c r="B14042" t="s">
        <v>1770</v>
      </c>
      <c r="C14042" t="s">
        <v>16633</v>
      </c>
      <c r="D14042" t="s">
        <v>18065</v>
      </c>
      <c r="E14042" t="s">
        <v>30297</v>
      </c>
      <c r="F14042" t="s">
        <v>31574</v>
      </c>
      <c r="G14042" t="s">
        <v>31582</v>
      </c>
      <c r="H14042" t="s">
        <v>31591</v>
      </c>
      <c r="I14042" t="s">
        <v>8822</v>
      </c>
      <c r="J14042" t="s">
        <v>32739</v>
      </c>
      <c r="K14042" t="s">
        <v>41228</v>
      </c>
      <c r="L14042" t="s">
        <v>1770</v>
      </c>
      <c r="M14042" t="s">
        <v>44289</v>
      </c>
      <c r="N14042" t="s">
        <v>45095</v>
      </c>
      <c r="O14042" t="s">
        <v>45096</v>
      </c>
      <c r="P14042">
        <v>0</v>
      </c>
      <c r="Q14042">
        <v>2</v>
      </c>
      <c r="R14042" t="s">
        <v>45116</v>
      </c>
      <c r="S14042" t="s">
        <v>45923</v>
      </c>
      <c r="T14042" t="s">
        <v>47159</v>
      </c>
      <c r="U14042" t="s">
        <v>58792</v>
      </c>
      <c r="V14042" t="s">
        <v>61408</v>
      </c>
      <c r="W14042" t="s">
        <v>44289</v>
      </c>
      <c r="X14042" t="s">
        <v>45117</v>
      </c>
    </row>
    <row r="14043" spans="1:24">
      <c r="A14043">
        <f>HYPERLINK("https://www.philgeps.gov.ph/GEPSNONPILOT/Tender/SplashBidNoticeAbstractUI.aspx?menuIndex=3&amp;refID=7014204&amp;Result=3","7014204")</f>
        <v>0</v>
      </c>
      <c r="B14043" t="s">
        <v>3088</v>
      </c>
      <c r="C14043" t="s">
        <v>16634</v>
      </c>
      <c r="D14043" t="s">
        <v>18078</v>
      </c>
      <c r="E14043" t="s">
        <v>30298</v>
      </c>
      <c r="F14043" t="s">
        <v>31574</v>
      </c>
      <c r="G14043" t="s">
        <v>31582</v>
      </c>
      <c r="H14043" t="s">
        <v>31590</v>
      </c>
      <c r="I14043" t="s">
        <v>4046</v>
      </c>
      <c r="J14043" t="s">
        <v>40348</v>
      </c>
      <c r="K14043" t="s">
        <v>41196</v>
      </c>
      <c r="M14043" t="s">
        <v>44933</v>
      </c>
      <c r="N14043" t="s">
        <v>45095</v>
      </c>
      <c r="O14043" t="s">
        <v>45096</v>
      </c>
      <c r="P14043">
        <v>0</v>
      </c>
      <c r="Q14043">
        <v>0</v>
      </c>
      <c r="R14043" t="s">
        <v>45116</v>
      </c>
      <c r="S14043" t="s">
        <v>45923</v>
      </c>
      <c r="T14043" t="s">
        <v>47050</v>
      </c>
      <c r="U14043" t="s">
        <v>58806</v>
      </c>
      <c r="W14043" t="s">
        <v>44933</v>
      </c>
      <c r="X14043" t="s">
        <v>45117</v>
      </c>
    </row>
    <row r="14044" spans="1:24">
      <c r="A14044">
        <f>HYPERLINK("https://www.philgeps.gov.ph/GEPSNONPILOT/Tender/SplashBidNoticeAbstractUI.aspx?menuIndex=3&amp;refID=7014145&amp;Result=3","7014145")</f>
        <v>0</v>
      </c>
      <c r="B14044" t="s">
        <v>2701</v>
      </c>
      <c r="C14044" t="s">
        <v>16635</v>
      </c>
      <c r="D14044" t="s">
        <v>18039</v>
      </c>
      <c r="E14044" t="s">
        <v>20123</v>
      </c>
      <c r="F14044" t="s">
        <v>31574</v>
      </c>
      <c r="G14044" t="s">
        <v>31582</v>
      </c>
      <c r="H14044" t="s">
        <v>31590</v>
      </c>
      <c r="I14044" t="s">
        <v>31636</v>
      </c>
      <c r="J14044" t="s">
        <v>32811</v>
      </c>
      <c r="K14044" t="s">
        <v>41186</v>
      </c>
      <c r="M14044" t="s">
        <v>44471</v>
      </c>
      <c r="N14044" t="s">
        <v>45095</v>
      </c>
      <c r="O14044" t="s">
        <v>45096</v>
      </c>
      <c r="P14044">
        <v>0</v>
      </c>
      <c r="Q14044">
        <v>1</v>
      </c>
      <c r="R14044" t="s">
        <v>45116</v>
      </c>
      <c r="S14044" t="s">
        <v>45923</v>
      </c>
      <c r="T14044" t="s">
        <v>46916</v>
      </c>
      <c r="U14044" t="s">
        <v>58807</v>
      </c>
      <c r="V14044" t="s">
        <v>58807</v>
      </c>
      <c r="W14044" t="s">
        <v>44471</v>
      </c>
      <c r="X14044" t="s">
        <v>45117</v>
      </c>
    </row>
    <row r="14045" spans="1:24">
      <c r="A14045">
        <f>HYPERLINK("https://www.philgeps.gov.ph/GEPSNONPILOT/Tender/SplashBidNoticeAbstractUI.aspx?menuIndex=3&amp;refID=7014190&amp;Result=3","7014190")</f>
        <v>0</v>
      </c>
      <c r="B14045" t="s">
        <v>3089</v>
      </c>
      <c r="C14045" t="s">
        <v>16636</v>
      </c>
      <c r="D14045" t="s">
        <v>18082</v>
      </c>
      <c r="E14045" t="s">
        <v>30299</v>
      </c>
      <c r="F14045" t="s">
        <v>31574</v>
      </c>
      <c r="G14045" t="s">
        <v>31582</v>
      </c>
      <c r="H14045" t="s">
        <v>31591</v>
      </c>
      <c r="I14045" t="s">
        <v>8822</v>
      </c>
      <c r="J14045" t="s">
        <v>31935</v>
      </c>
      <c r="K14045" t="s">
        <v>41192</v>
      </c>
      <c r="M14045" t="s">
        <v>44934</v>
      </c>
      <c r="N14045" t="s">
        <v>45095</v>
      </c>
      <c r="O14045" t="s">
        <v>45096</v>
      </c>
      <c r="P14045">
        <v>0</v>
      </c>
      <c r="Q14045">
        <v>0</v>
      </c>
      <c r="R14045" t="s">
        <v>45116</v>
      </c>
      <c r="S14045" t="s">
        <v>45923</v>
      </c>
      <c r="T14045" t="s">
        <v>47092</v>
      </c>
      <c r="U14045" t="s">
        <v>58808</v>
      </c>
      <c r="W14045" t="s">
        <v>44934</v>
      </c>
      <c r="X14045" t="s">
        <v>45117</v>
      </c>
    </row>
    <row r="14046" spans="1:24">
      <c r="A14046">
        <f>HYPERLINK("https://www.philgeps.gov.ph/GEPSNONPILOT/Tender/SplashBidNoticeAbstractUI.aspx?menuIndex=3&amp;refID=7014127&amp;Result=3","7014127")</f>
        <v>0</v>
      </c>
      <c r="B14046" t="s">
        <v>1156</v>
      </c>
      <c r="C14046" t="s">
        <v>16637</v>
      </c>
      <c r="D14046" t="s">
        <v>18040</v>
      </c>
      <c r="E14046" t="s">
        <v>30300</v>
      </c>
      <c r="F14046" t="s">
        <v>31574</v>
      </c>
      <c r="G14046" t="s">
        <v>31582</v>
      </c>
      <c r="H14046" t="s">
        <v>31591</v>
      </c>
      <c r="I14046" t="s">
        <v>8822</v>
      </c>
      <c r="J14046" t="s">
        <v>40349</v>
      </c>
      <c r="K14046" t="s">
        <v>41240</v>
      </c>
      <c r="M14046" t="s">
        <v>42713</v>
      </c>
      <c r="N14046" t="s">
        <v>45095</v>
      </c>
      <c r="O14046" t="s">
        <v>45096</v>
      </c>
      <c r="P14046">
        <v>0</v>
      </c>
      <c r="Q14046">
        <v>0</v>
      </c>
      <c r="R14046" t="s">
        <v>45116</v>
      </c>
      <c r="S14046" t="s">
        <v>45923</v>
      </c>
      <c r="T14046" t="s">
        <v>47124</v>
      </c>
      <c r="U14046" t="s">
        <v>58809</v>
      </c>
      <c r="V14046" t="s">
        <v>61412</v>
      </c>
      <c r="W14046" t="s">
        <v>42713</v>
      </c>
      <c r="X14046" t="s">
        <v>45117</v>
      </c>
    </row>
    <row r="14047" spans="1:24">
      <c r="A14047">
        <f>HYPERLINK("https://www.philgeps.gov.ph/GEPSNONPILOT/Tender/SplashBidNoticeAbstractUI.aspx?menuIndex=3&amp;refID=7014136&amp;Result=3","7014136")</f>
        <v>0</v>
      </c>
      <c r="B14047" t="s">
        <v>1770</v>
      </c>
      <c r="C14047" t="s">
        <v>16638</v>
      </c>
      <c r="D14047" t="s">
        <v>18065</v>
      </c>
      <c r="E14047" t="s">
        <v>30301</v>
      </c>
      <c r="F14047" t="s">
        <v>31574</v>
      </c>
      <c r="G14047" t="s">
        <v>31582</v>
      </c>
      <c r="H14047" t="s">
        <v>31591</v>
      </c>
      <c r="I14047" t="s">
        <v>8822</v>
      </c>
      <c r="J14047" t="s">
        <v>38214</v>
      </c>
      <c r="K14047" t="s">
        <v>41263</v>
      </c>
      <c r="L14047" t="s">
        <v>1770</v>
      </c>
      <c r="M14047" t="s">
        <v>44289</v>
      </c>
      <c r="N14047" t="s">
        <v>45095</v>
      </c>
      <c r="O14047" t="s">
        <v>45096</v>
      </c>
      <c r="P14047">
        <v>0</v>
      </c>
      <c r="Q14047">
        <v>1</v>
      </c>
      <c r="R14047" t="s">
        <v>45116</v>
      </c>
      <c r="S14047" t="s">
        <v>45923</v>
      </c>
      <c r="T14047" t="s">
        <v>47159</v>
      </c>
      <c r="U14047" t="s">
        <v>58792</v>
      </c>
      <c r="V14047" t="s">
        <v>61408</v>
      </c>
      <c r="W14047" t="s">
        <v>44289</v>
      </c>
      <c r="X14047" t="s">
        <v>45117</v>
      </c>
    </row>
    <row r="14048" spans="1:24">
      <c r="A14048">
        <f>HYPERLINK("https://www.philgeps.gov.ph/GEPSNONPILOT/Tender/SplashBidNoticeAbstractUI.aspx?menuIndex=3&amp;refID=7014192&amp;Result=3","7014192")</f>
        <v>0</v>
      </c>
      <c r="B14048" t="s">
        <v>1329</v>
      </c>
      <c r="C14048" t="s">
        <v>16639</v>
      </c>
      <c r="E14048" t="s">
        <v>30302</v>
      </c>
      <c r="F14048" t="s">
        <v>31574</v>
      </c>
      <c r="G14048" t="s">
        <v>31582</v>
      </c>
      <c r="H14048" t="s">
        <v>31591</v>
      </c>
      <c r="I14048" t="s">
        <v>8822</v>
      </c>
      <c r="J14048" t="s">
        <v>40350</v>
      </c>
      <c r="K14048" t="s">
        <v>41188</v>
      </c>
      <c r="M14048" t="s">
        <v>44783</v>
      </c>
      <c r="N14048" t="s">
        <v>45095</v>
      </c>
      <c r="O14048" t="s">
        <v>45096</v>
      </c>
      <c r="Q14048">
        <v>15</v>
      </c>
      <c r="R14048" t="s">
        <v>45116</v>
      </c>
      <c r="S14048" t="s">
        <v>45990</v>
      </c>
      <c r="T14048" t="s">
        <v>46988</v>
      </c>
      <c r="U14048" t="s">
        <v>58810</v>
      </c>
      <c r="V14048" t="s">
        <v>58996</v>
      </c>
      <c r="W14048" t="s">
        <v>44783</v>
      </c>
      <c r="X14048" t="s">
        <v>45117</v>
      </c>
    </row>
    <row r="14049" spans="1:24">
      <c r="A14049">
        <f>HYPERLINK("https://www.philgeps.gov.ph/GEPSNONPILOT/Tender/SplashBidNoticeAbstractUI.aspx?menuIndex=3&amp;refID=7014182&amp;Result=3","7014182")</f>
        <v>0</v>
      </c>
      <c r="B14049" t="s">
        <v>966</v>
      </c>
      <c r="C14049" t="s">
        <v>16640</v>
      </c>
      <c r="D14049" t="s">
        <v>18040</v>
      </c>
      <c r="E14049" t="s">
        <v>22697</v>
      </c>
      <c r="F14049" t="s">
        <v>31574</v>
      </c>
      <c r="G14049" t="s">
        <v>31582</v>
      </c>
      <c r="H14049" t="s">
        <v>31590</v>
      </c>
      <c r="I14049" t="s">
        <v>3487</v>
      </c>
      <c r="J14049" t="s">
        <v>31727</v>
      </c>
      <c r="K14049" t="s">
        <v>41212</v>
      </c>
      <c r="L14049" t="s">
        <v>966</v>
      </c>
      <c r="M14049" t="s">
        <v>42495</v>
      </c>
      <c r="N14049" t="s">
        <v>45095</v>
      </c>
      <c r="O14049" t="s">
        <v>45096</v>
      </c>
      <c r="P14049">
        <v>0</v>
      </c>
      <c r="Q14049">
        <v>0</v>
      </c>
      <c r="R14049" t="s">
        <v>45116</v>
      </c>
      <c r="S14049" t="s">
        <v>45923</v>
      </c>
      <c r="T14049" t="s">
        <v>46973</v>
      </c>
      <c r="U14049" t="s">
        <v>58811</v>
      </c>
      <c r="W14049" t="s">
        <v>42495</v>
      </c>
      <c r="X14049" t="s">
        <v>45117</v>
      </c>
    </row>
    <row r="14050" spans="1:24">
      <c r="A14050">
        <f>HYPERLINK("https://www.philgeps.gov.ph/GEPSNONPILOT/Tender/SplashBidNoticeAbstractUI.aspx?menuIndex=3&amp;refID=7014150&amp;Result=3","7014150")</f>
        <v>0</v>
      </c>
      <c r="B14050" t="s">
        <v>1329</v>
      </c>
      <c r="C14050" t="s">
        <v>16641</v>
      </c>
      <c r="E14050" t="s">
        <v>30303</v>
      </c>
      <c r="F14050" t="s">
        <v>31574</v>
      </c>
      <c r="G14050" t="s">
        <v>31582</v>
      </c>
      <c r="H14050" t="s">
        <v>31591</v>
      </c>
      <c r="I14050" t="s">
        <v>8822</v>
      </c>
      <c r="J14050" t="s">
        <v>40351</v>
      </c>
      <c r="K14050" t="s">
        <v>41188</v>
      </c>
      <c r="M14050" t="s">
        <v>44783</v>
      </c>
      <c r="N14050" t="s">
        <v>45095</v>
      </c>
      <c r="O14050" t="s">
        <v>45096</v>
      </c>
      <c r="Q14050">
        <v>14</v>
      </c>
      <c r="R14050" t="s">
        <v>45116</v>
      </c>
      <c r="S14050" t="s">
        <v>45991</v>
      </c>
      <c r="T14050" t="s">
        <v>46988</v>
      </c>
      <c r="U14050" t="s">
        <v>58810</v>
      </c>
      <c r="V14050" t="s">
        <v>58996</v>
      </c>
      <c r="W14050" t="s">
        <v>44783</v>
      </c>
      <c r="X14050" t="s">
        <v>45117</v>
      </c>
    </row>
    <row r="14051" spans="1:24">
      <c r="A14051">
        <f>HYPERLINK("https://www.philgeps.gov.ph/GEPSNONPILOT/Tender/SplashBidNoticeAbstractUI.aspx?menuIndex=3&amp;refID=7014195&amp;Result=3","7014195")</f>
        <v>0</v>
      </c>
      <c r="B14051" t="s">
        <v>3060</v>
      </c>
      <c r="C14051" t="s">
        <v>16642</v>
      </c>
      <c r="D14051" t="s">
        <v>18066</v>
      </c>
      <c r="E14051" t="s">
        <v>30304</v>
      </c>
      <c r="F14051" t="s">
        <v>31575</v>
      </c>
      <c r="G14051" t="s">
        <v>31582</v>
      </c>
      <c r="H14051" t="s">
        <v>31591</v>
      </c>
      <c r="I14051" t="s">
        <v>8822</v>
      </c>
      <c r="J14051" t="s">
        <v>33359</v>
      </c>
      <c r="K14051" t="s">
        <v>41200</v>
      </c>
      <c r="L14051" t="s">
        <v>3060</v>
      </c>
      <c r="M14051" t="s">
        <v>44898</v>
      </c>
      <c r="N14051" t="s">
        <v>45095</v>
      </c>
      <c r="O14051" t="s">
        <v>45096</v>
      </c>
      <c r="P14051">
        <v>0</v>
      </c>
      <c r="Q14051">
        <v>0</v>
      </c>
      <c r="R14051" t="s">
        <v>45116</v>
      </c>
      <c r="S14051" t="s">
        <v>45923</v>
      </c>
      <c r="T14051" t="s">
        <v>46920</v>
      </c>
      <c r="U14051" t="s">
        <v>58812</v>
      </c>
      <c r="V14051" t="s">
        <v>61369</v>
      </c>
      <c r="W14051" t="s">
        <v>44898</v>
      </c>
      <c r="X14051" t="s">
        <v>45117</v>
      </c>
    </row>
    <row r="14052" spans="1:24">
      <c r="A14052">
        <f>HYPERLINK("https://www.philgeps.gov.ph/GEPSNONPILOT/Tender/SplashBidNoticeAbstractUI.aspx?menuIndex=3&amp;refID=7014175&amp;Result=3","7014175")</f>
        <v>0</v>
      </c>
      <c r="B14052" t="s">
        <v>1017</v>
      </c>
      <c r="C14052" t="s">
        <v>16643</v>
      </c>
      <c r="D14052" t="s">
        <v>18022</v>
      </c>
      <c r="E14052" t="s">
        <v>30305</v>
      </c>
      <c r="F14052" t="s">
        <v>31574</v>
      </c>
      <c r="G14052" t="s">
        <v>31582</v>
      </c>
      <c r="H14052" t="s">
        <v>31591</v>
      </c>
      <c r="I14052" t="s">
        <v>8822</v>
      </c>
      <c r="J14052" t="s">
        <v>40352</v>
      </c>
      <c r="K14052" t="s">
        <v>41340</v>
      </c>
      <c r="M14052" t="s">
        <v>44889</v>
      </c>
      <c r="N14052" t="s">
        <v>45095</v>
      </c>
      <c r="O14052" t="s">
        <v>45096</v>
      </c>
      <c r="P14052">
        <v>0</v>
      </c>
      <c r="Q14052">
        <v>271</v>
      </c>
      <c r="R14052" t="s">
        <v>45116</v>
      </c>
      <c r="S14052" t="s">
        <v>45923</v>
      </c>
      <c r="T14052" t="s">
        <v>47159</v>
      </c>
      <c r="U14052" t="s">
        <v>55360</v>
      </c>
      <c r="W14052" t="s">
        <v>44889</v>
      </c>
      <c r="X14052" t="s">
        <v>45117</v>
      </c>
    </row>
    <row r="14053" spans="1:24">
      <c r="A14053">
        <f>HYPERLINK("https://www.philgeps.gov.ph/GEPSNONPILOT/Tender/SplashBidNoticeAbstractUI.aspx?menuIndex=3&amp;refID=7014200&amp;Result=3","7014200")</f>
        <v>0</v>
      </c>
      <c r="B14053" t="s">
        <v>781</v>
      </c>
      <c r="C14053" t="s">
        <v>16644</v>
      </c>
      <c r="D14053" t="s">
        <v>18047</v>
      </c>
      <c r="E14053" t="s">
        <v>30306</v>
      </c>
      <c r="F14053" t="s">
        <v>31574</v>
      </c>
      <c r="G14053" t="s">
        <v>31582</v>
      </c>
      <c r="H14053" t="s">
        <v>31593</v>
      </c>
      <c r="I14053" t="s">
        <v>31593</v>
      </c>
      <c r="J14053" t="s">
        <v>32026</v>
      </c>
      <c r="K14053" t="s">
        <v>41200</v>
      </c>
      <c r="M14053" t="s">
        <v>42316</v>
      </c>
      <c r="N14053" t="s">
        <v>45095</v>
      </c>
      <c r="O14053" t="s">
        <v>45096</v>
      </c>
      <c r="P14053">
        <v>0</v>
      </c>
      <c r="Q14053">
        <v>2</v>
      </c>
      <c r="R14053" t="s">
        <v>45116</v>
      </c>
      <c r="S14053" t="s">
        <v>45923</v>
      </c>
      <c r="T14053" t="s">
        <v>46910</v>
      </c>
      <c r="U14053" t="s">
        <v>49139</v>
      </c>
      <c r="W14053" t="s">
        <v>42316</v>
      </c>
      <c r="X14053" t="s">
        <v>45117</v>
      </c>
    </row>
    <row r="14054" spans="1:24">
      <c r="A14054">
        <f>HYPERLINK("https://www.philgeps.gov.ph/GEPSNONPILOT/Tender/SplashBidNoticeAbstractUI.aspx?menuIndex=3&amp;refID=7014162&amp;Result=3","7014162")</f>
        <v>0</v>
      </c>
      <c r="B14054" t="s">
        <v>1770</v>
      </c>
      <c r="C14054" t="s">
        <v>16645</v>
      </c>
      <c r="D14054" t="s">
        <v>18065</v>
      </c>
      <c r="E14054" t="s">
        <v>30307</v>
      </c>
      <c r="F14054" t="s">
        <v>31574</v>
      </c>
      <c r="G14054" t="s">
        <v>31582</v>
      </c>
      <c r="H14054" t="s">
        <v>31591</v>
      </c>
      <c r="I14054" t="s">
        <v>8822</v>
      </c>
      <c r="J14054" t="s">
        <v>32739</v>
      </c>
      <c r="K14054" t="s">
        <v>41228</v>
      </c>
      <c r="L14054" t="s">
        <v>1770</v>
      </c>
      <c r="M14054" t="s">
        <v>44289</v>
      </c>
      <c r="N14054" t="s">
        <v>45095</v>
      </c>
      <c r="O14054" t="s">
        <v>45096</v>
      </c>
      <c r="P14054">
        <v>0</v>
      </c>
      <c r="Q14054">
        <v>0</v>
      </c>
      <c r="R14054" t="s">
        <v>45116</v>
      </c>
      <c r="S14054" t="s">
        <v>45923</v>
      </c>
      <c r="T14054" t="s">
        <v>47159</v>
      </c>
      <c r="U14054" t="s">
        <v>58813</v>
      </c>
      <c r="V14054" t="s">
        <v>61408</v>
      </c>
      <c r="W14054" t="s">
        <v>44289</v>
      </c>
      <c r="X14054" t="s">
        <v>45117</v>
      </c>
    </row>
    <row r="14055" spans="1:24">
      <c r="A14055">
        <f>HYPERLINK("https://www.philgeps.gov.ph/GEPSNONPILOT/Tender/SplashBidNoticeAbstractUI.aspx?menuIndex=3&amp;refID=7014170&amp;Result=3","7014170")</f>
        <v>0</v>
      </c>
      <c r="B14055" t="s">
        <v>1017</v>
      </c>
      <c r="C14055" t="s">
        <v>16646</v>
      </c>
      <c r="D14055" t="s">
        <v>18022</v>
      </c>
      <c r="E14055" t="s">
        <v>30308</v>
      </c>
      <c r="F14055" t="s">
        <v>31574</v>
      </c>
      <c r="G14055" t="s">
        <v>31582</v>
      </c>
      <c r="H14055" t="s">
        <v>31591</v>
      </c>
      <c r="I14055" t="s">
        <v>8822</v>
      </c>
      <c r="J14055" t="s">
        <v>40353</v>
      </c>
      <c r="K14055" t="s">
        <v>41189</v>
      </c>
      <c r="M14055" t="s">
        <v>44889</v>
      </c>
      <c r="N14055" t="s">
        <v>45095</v>
      </c>
      <c r="O14055" t="s">
        <v>45096</v>
      </c>
      <c r="P14055">
        <v>0</v>
      </c>
      <c r="Q14055">
        <v>250</v>
      </c>
      <c r="R14055" t="s">
        <v>45116</v>
      </c>
      <c r="S14055" t="s">
        <v>45923</v>
      </c>
      <c r="T14055" t="s">
        <v>47159</v>
      </c>
      <c r="U14055" t="s">
        <v>58814</v>
      </c>
      <c r="W14055" t="s">
        <v>44889</v>
      </c>
      <c r="X14055" t="s">
        <v>45117</v>
      </c>
    </row>
    <row r="14056" spans="1:24">
      <c r="A14056">
        <f>HYPERLINK("https://www.philgeps.gov.ph/GEPSNONPILOT/Tender/SplashBidNoticeAbstractUI.aspx?menuIndex=3&amp;refID=7014164&amp;Result=3","7014164")</f>
        <v>0</v>
      </c>
      <c r="B14056" t="s">
        <v>1770</v>
      </c>
      <c r="C14056" t="s">
        <v>16647</v>
      </c>
      <c r="D14056" t="s">
        <v>18065</v>
      </c>
      <c r="E14056" t="s">
        <v>30309</v>
      </c>
      <c r="F14056" t="s">
        <v>31574</v>
      </c>
      <c r="G14056" t="s">
        <v>31582</v>
      </c>
      <c r="H14056" t="s">
        <v>31591</v>
      </c>
      <c r="I14056" t="s">
        <v>8822</v>
      </c>
      <c r="J14056" t="s">
        <v>36135</v>
      </c>
      <c r="K14056" t="s">
        <v>41228</v>
      </c>
      <c r="L14056" t="s">
        <v>1770</v>
      </c>
      <c r="M14056" t="s">
        <v>44289</v>
      </c>
      <c r="N14056" t="s">
        <v>45095</v>
      </c>
      <c r="O14056" t="s">
        <v>45096</v>
      </c>
      <c r="P14056">
        <v>0</v>
      </c>
      <c r="Q14056">
        <v>0</v>
      </c>
      <c r="R14056" t="s">
        <v>45116</v>
      </c>
      <c r="S14056" t="s">
        <v>45923</v>
      </c>
      <c r="T14056" t="s">
        <v>47159</v>
      </c>
      <c r="U14056" t="s">
        <v>58792</v>
      </c>
      <c r="V14056" t="s">
        <v>61408</v>
      </c>
      <c r="W14056" t="s">
        <v>44289</v>
      </c>
      <c r="X14056" t="s">
        <v>45117</v>
      </c>
    </row>
    <row r="14057" spans="1:24">
      <c r="A14057">
        <f>HYPERLINK("https://www.philgeps.gov.ph/GEPSNONPILOT/Tender/SplashBidNoticeAbstractUI.aspx?menuIndex=3&amp;refID=7014215&amp;Result=3","7014215")</f>
        <v>0</v>
      </c>
      <c r="B14057" t="s">
        <v>3088</v>
      </c>
      <c r="C14057" t="s">
        <v>16648</v>
      </c>
      <c r="D14057" t="s">
        <v>18078</v>
      </c>
      <c r="E14057" t="s">
        <v>30310</v>
      </c>
      <c r="F14057" t="s">
        <v>31574</v>
      </c>
      <c r="G14057" t="s">
        <v>31582</v>
      </c>
      <c r="H14057" t="s">
        <v>31591</v>
      </c>
      <c r="I14057" t="s">
        <v>8822</v>
      </c>
      <c r="J14057" t="s">
        <v>31771</v>
      </c>
      <c r="K14057" t="s">
        <v>41200</v>
      </c>
      <c r="M14057" t="s">
        <v>44933</v>
      </c>
      <c r="N14057" t="s">
        <v>45095</v>
      </c>
      <c r="O14057" t="s">
        <v>45096</v>
      </c>
      <c r="P14057">
        <v>0</v>
      </c>
      <c r="Q14057">
        <v>0</v>
      </c>
      <c r="R14057" t="s">
        <v>45116</v>
      </c>
      <c r="S14057" t="s">
        <v>45923</v>
      </c>
      <c r="T14057" t="s">
        <v>47050</v>
      </c>
      <c r="U14057" t="s">
        <v>58815</v>
      </c>
      <c r="W14057" t="s">
        <v>44933</v>
      </c>
      <c r="X14057" t="s">
        <v>45117</v>
      </c>
    </row>
    <row r="14058" spans="1:24">
      <c r="A14058">
        <f>HYPERLINK("https://www.philgeps.gov.ph/GEPSNONPILOT/Tender/SplashBidNoticeAbstractUI.aspx?menuIndex=3&amp;refID=7014225&amp;Result=3","7014225")</f>
        <v>0</v>
      </c>
      <c r="B14058" t="s">
        <v>3060</v>
      </c>
      <c r="C14058" t="s">
        <v>16649</v>
      </c>
      <c r="D14058" t="s">
        <v>18066</v>
      </c>
      <c r="E14058" t="s">
        <v>30311</v>
      </c>
      <c r="F14058" t="s">
        <v>31575</v>
      </c>
      <c r="G14058" t="s">
        <v>31582</v>
      </c>
      <c r="H14058" t="s">
        <v>31590</v>
      </c>
      <c r="I14058" t="s">
        <v>4327</v>
      </c>
      <c r="J14058" t="s">
        <v>32290</v>
      </c>
      <c r="K14058" t="s">
        <v>41206</v>
      </c>
      <c r="L14058" t="s">
        <v>3060</v>
      </c>
      <c r="M14058" t="s">
        <v>44898</v>
      </c>
      <c r="N14058" t="s">
        <v>45095</v>
      </c>
      <c r="O14058" t="s">
        <v>45096</v>
      </c>
      <c r="P14058">
        <v>0</v>
      </c>
      <c r="Q14058">
        <v>2</v>
      </c>
      <c r="R14058" t="s">
        <v>45116</v>
      </c>
      <c r="S14058" t="s">
        <v>45923</v>
      </c>
      <c r="T14058" t="s">
        <v>46920</v>
      </c>
      <c r="U14058" t="s">
        <v>58816</v>
      </c>
      <c r="V14058" t="s">
        <v>61413</v>
      </c>
      <c r="W14058" t="s">
        <v>44898</v>
      </c>
      <c r="X14058" t="s">
        <v>45117</v>
      </c>
    </row>
    <row r="14059" spans="1:24">
      <c r="A14059">
        <f>HYPERLINK("https://www.philgeps.gov.ph/GEPSNONPILOT/Tender/SplashBidNoticeAbstractUI.aspx?menuIndex=3&amp;refID=7014178&amp;Result=3","7014178")</f>
        <v>0</v>
      </c>
      <c r="B14059" t="s">
        <v>1017</v>
      </c>
      <c r="C14059" t="s">
        <v>16650</v>
      </c>
      <c r="D14059" t="s">
        <v>18022</v>
      </c>
      <c r="E14059" t="s">
        <v>30312</v>
      </c>
      <c r="F14059" t="s">
        <v>31574</v>
      </c>
      <c r="G14059" t="s">
        <v>31582</v>
      </c>
      <c r="H14059" t="s">
        <v>31591</v>
      </c>
      <c r="I14059" t="s">
        <v>8822</v>
      </c>
      <c r="J14059" t="s">
        <v>40354</v>
      </c>
      <c r="K14059" t="s">
        <v>41235</v>
      </c>
      <c r="M14059" t="s">
        <v>44889</v>
      </c>
      <c r="N14059" t="s">
        <v>45095</v>
      </c>
      <c r="O14059" t="s">
        <v>45096</v>
      </c>
      <c r="P14059">
        <v>0</v>
      </c>
      <c r="Q14059">
        <v>291</v>
      </c>
      <c r="R14059" t="s">
        <v>45116</v>
      </c>
      <c r="S14059" t="s">
        <v>45923</v>
      </c>
      <c r="T14059" t="s">
        <v>47159</v>
      </c>
      <c r="U14059" t="s">
        <v>55360</v>
      </c>
      <c r="W14059" t="s">
        <v>44889</v>
      </c>
      <c r="X14059" t="s">
        <v>45117</v>
      </c>
    </row>
    <row r="14060" spans="1:24">
      <c r="A14060">
        <f>HYPERLINK("https://www.philgeps.gov.ph/GEPSNONPILOT/Tender/SplashBidNoticeAbstractUI.aspx?menuIndex=3&amp;refID=7014165&amp;Result=3","7014165")</f>
        <v>0</v>
      </c>
      <c r="B14060" t="s">
        <v>1118</v>
      </c>
      <c r="C14060" t="s">
        <v>16651</v>
      </c>
      <c r="D14060" t="s">
        <v>18059</v>
      </c>
      <c r="E14060" t="s">
        <v>30313</v>
      </c>
      <c r="F14060" t="s">
        <v>31574</v>
      </c>
      <c r="G14060" t="s">
        <v>31582</v>
      </c>
      <c r="H14060" t="s">
        <v>31591</v>
      </c>
      <c r="I14060" t="s">
        <v>8822</v>
      </c>
      <c r="J14060" t="s">
        <v>40355</v>
      </c>
      <c r="K14060" t="s">
        <v>41202</v>
      </c>
      <c r="L14060" t="s">
        <v>1118</v>
      </c>
      <c r="M14060" t="s">
        <v>42667</v>
      </c>
      <c r="N14060" t="s">
        <v>45095</v>
      </c>
      <c r="O14060" t="s">
        <v>45096</v>
      </c>
      <c r="P14060">
        <v>0</v>
      </c>
      <c r="Q14060">
        <v>1</v>
      </c>
      <c r="R14060" t="s">
        <v>45116</v>
      </c>
      <c r="S14060" t="s">
        <v>45923</v>
      </c>
      <c r="T14060" t="s">
        <v>46985</v>
      </c>
      <c r="U14060" t="s">
        <v>58817</v>
      </c>
      <c r="V14060" t="s">
        <v>61414</v>
      </c>
      <c r="W14060" t="s">
        <v>42667</v>
      </c>
      <c r="X14060" t="s">
        <v>45117</v>
      </c>
    </row>
    <row r="14061" spans="1:24">
      <c r="A14061">
        <f>HYPERLINK("https://www.philgeps.gov.ph/GEPSNONPILOT/Tender/SplashBidNoticeAbstractUI.aspx?menuIndex=3&amp;refID=7014243&amp;Result=3","7014243")</f>
        <v>0</v>
      </c>
      <c r="B14061" t="s">
        <v>2850</v>
      </c>
      <c r="C14061" t="s">
        <v>16652</v>
      </c>
      <c r="E14061" t="s">
        <v>30314</v>
      </c>
      <c r="F14061" t="s">
        <v>31574</v>
      </c>
      <c r="G14061" t="s">
        <v>31582</v>
      </c>
      <c r="H14061" t="s">
        <v>31591</v>
      </c>
      <c r="I14061" t="s">
        <v>8822</v>
      </c>
      <c r="J14061" t="s">
        <v>40356</v>
      </c>
      <c r="K14061" t="s">
        <v>41184</v>
      </c>
      <c r="M14061" t="s">
        <v>44636</v>
      </c>
      <c r="N14061" t="s">
        <v>45095</v>
      </c>
      <c r="O14061" t="s">
        <v>45096</v>
      </c>
      <c r="P14061">
        <v>0</v>
      </c>
      <c r="Q14061">
        <v>11</v>
      </c>
      <c r="R14061" t="s">
        <v>45116</v>
      </c>
      <c r="S14061" t="s">
        <v>45923</v>
      </c>
      <c r="T14061" t="s">
        <v>47159</v>
      </c>
      <c r="U14061" t="s">
        <v>58818</v>
      </c>
      <c r="W14061" t="s">
        <v>44636</v>
      </c>
      <c r="X14061" t="s">
        <v>45117</v>
      </c>
    </row>
    <row r="14062" spans="1:24">
      <c r="A14062">
        <f>HYPERLINK("https://www.philgeps.gov.ph/GEPSNONPILOT/Tender/SplashBidNoticeAbstractUI.aspx?menuIndex=3&amp;refID=7014240&amp;Result=3","7014240")</f>
        <v>0</v>
      </c>
      <c r="B14062" t="s">
        <v>3090</v>
      </c>
      <c r="C14062" t="s">
        <v>16653</v>
      </c>
      <c r="D14062" t="s">
        <v>18053</v>
      </c>
      <c r="E14062" t="s">
        <v>20896</v>
      </c>
      <c r="F14062" t="s">
        <v>31574</v>
      </c>
      <c r="G14062" t="s">
        <v>31582</v>
      </c>
      <c r="H14062" t="s">
        <v>31590</v>
      </c>
      <c r="I14062" t="s">
        <v>31644</v>
      </c>
      <c r="J14062" t="s">
        <v>31804</v>
      </c>
      <c r="K14062" t="s">
        <v>41193</v>
      </c>
      <c r="L14062" t="s">
        <v>3090</v>
      </c>
      <c r="M14062" t="s">
        <v>44935</v>
      </c>
      <c r="N14062" t="s">
        <v>45095</v>
      </c>
      <c r="O14062" t="s">
        <v>45096</v>
      </c>
      <c r="P14062">
        <v>0</v>
      </c>
      <c r="Q14062">
        <v>1</v>
      </c>
      <c r="R14062" t="s">
        <v>45116</v>
      </c>
      <c r="S14062" t="s">
        <v>45923</v>
      </c>
      <c r="T14062" t="s">
        <v>47076</v>
      </c>
      <c r="U14062" t="s">
        <v>58819</v>
      </c>
      <c r="W14062" t="s">
        <v>44935</v>
      </c>
      <c r="X14062" t="s">
        <v>45117</v>
      </c>
    </row>
    <row r="14063" spans="1:24">
      <c r="A14063">
        <f>HYPERLINK("https://www.philgeps.gov.ph/GEPSNONPILOT/Tender/SplashBidNoticeAbstractUI.aspx?menuIndex=3&amp;refID=7014173&amp;Result=3","7014173")</f>
        <v>0</v>
      </c>
      <c r="B14063" t="s">
        <v>3091</v>
      </c>
      <c r="C14063" t="s">
        <v>16654</v>
      </c>
      <c r="D14063" t="s">
        <v>18040</v>
      </c>
      <c r="E14063" t="s">
        <v>22697</v>
      </c>
      <c r="F14063" t="s">
        <v>31574</v>
      </c>
      <c r="G14063" t="s">
        <v>31582</v>
      </c>
      <c r="H14063" t="s">
        <v>31590</v>
      </c>
      <c r="I14063" t="s">
        <v>3487</v>
      </c>
      <c r="J14063" t="s">
        <v>40357</v>
      </c>
      <c r="K14063" t="s">
        <v>41212</v>
      </c>
      <c r="L14063" t="s">
        <v>3091</v>
      </c>
      <c r="M14063" t="s">
        <v>44936</v>
      </c>
      <c r="N14063" t="s">
        <v>45095</v>
      </c>
      <c r="O14063" t="s">
        <v>45096</v>
      </c>
      <c r="P14063">
        <v>0</v>
      </c>
      <c r="Q14063">
        <v>0</v>
      </c>
      <c r="R14063" t="s">
        <v>45116</v>
      </c>
      <c r="S14063" t="s">
        <v>45923</v>
      </c>
      <c r="T14063" t="s">
        <v>46936</v>
      </c>
      <c r="U14063" t="s">
        <v>58820</v>
      </c>
      <c r="W14063" t="s">
        <v>44936</v>
      </c>
      <c r="X14063" t="s">
        <v>45117</v>
      </c>
    </row>
    <row r="14064" spans="1:24">
      <c r="A14064">
        <f>HYPERLINK("https://www.philgeps.gov.ph/GEPSNONPILOT/Tender/SplashBidNoticeAbstractUI.aspx?menuIndex=3&amp;refID=7014230&amp;Result=3","7014230")</f>
        <v>0</v>
      </c>
      <c r="B14064" t="s">
        <v>3088</v>
      </c>
      <c r="C14064" t="s">
        <v>16655</v>
      </c>
      <c r="D14064" t="s">
        <v>18078</v>
      </c>
      <c r="E14064" t="s">
        <v>30315</v>
      </c>
      <c r="F14064" t="s">
        <v>31574</v>
      </c>
      <c r="G14064" t="s">
        <v>31582</v>
      </c>
      <c r="H14064" t="s">
        <v>31590</v>
      </c>
      <c r="I14064" t="s">
        <v>4327</v>
      </c>
      <c r="J14064" t="s">
        <v>31782</v>
      </c>
      <c r="K14064" t="s">
        <v>41196</v>
      </c>
      <c r="M14064" t="s">
        <v>44933</v>
      </c>
      <c r="N14064" t="s">
        <v>45095</v>
      </c>
      <c r="O14064" t="s">
        <v>45096</v>
      </c>
      <c r="P14064">
        <v>0</v>
      </c>
      <c r="Q14064">
        <v>5</v>
      </c>
      <c r="R14064" t="s">
        <v>45116</v>
      </c>
      <c r="S14064" t="s">
        <v>45923</v>
      </c>
      <c r="T14064" t="s">
        <v>47050</v>
      </c>
      <c r="U14064" t="s">
        <v>58821</v>
      </c>
      <c r="W14064" t="s">
        <v>44933</v>
      </c>
      <c r="X14064" t="s">
        <v>45117</v>
      </c>
    </row>
    <row r="14065" spans="1:24">
      <c r="A14065">
        <f>HYPERLINK("https://www.philgeps.gov.ph/GEPSNONPILOT/Tender/SplashBidNoticeAbstractUI.aspx?menuIndex=3&amp;refID=7014119&amp;Result=3","7014119")</f>
        <v>0</v>
      </c>
      <c r="B14065" t="s">
        <v>663</v>
      </c>
      <c r="C14065" t="s">
        <v>16656</v>
      </c>
      <c r="E14065" t="s">
        <v>30316</v>
      </c>
      <c r="F14065" t="s">
        <v>31574</v>
      </c>
      <c r="G14065" t="s">
        <v>31582</v>
      </c>
      <c r="H14065" t="s">
        <v>31591</v>
      </c>
      <c r="I14065" t="s">
        <v>4046</v>
      </c>
      <c r="J14065" t="s">
        <v>40358</v>
      </c>
      <c r="K14065" t="s">
        <v>41184</v>
      </c>
      <c r="M14065" t="s">
        <v>42168</v>
      </c>
      <c r="N14065" t="s">
        <v>45095</v>
      </c>
      <c r="O14065" t="s">
        <v>45096</v>
      </c>
      <c r="P14065">
        <v>0</v>
      </c>
      <c r="Q14065">
        <v>1</v>
      </c>
      <c r="R14065" t="s">
        <v>45116</v>
      </c>
      <c r="S14065" t="s">
        <v>45923</v>
      </c>
      <c r="T14065" t="s">
        <v>46918</v>
      </c>
      <c r="U14065" t="s">
        <v>58822</v>
      </c>
      <c r="W14065" t="s">
        <v>42168</v>
      </c>
      <c r="X14065" t="s">
        <v>45117</v>
      </c>
    </row>
    <row r="14066" spans="1:24">
      <c r="A14066">
        <f>HYPERLINK("https://www.philgeps.gov.ph/GEPSNONPILOT/Tender/SplashBidNoticeAbstractUI.aspx?menuIndex=3&amp;refID=6940805&amp;Result=3","6940805")</f>
        <v>0</v>
      </c>
      <c r="B14066" t="s">
        <v>2585</v>
      </c>
      <c r="C14066" t="s">
        <v>16657</v>
      </c>
      <c r="D14066" t="s">
        <v>18084</v>
      </c>
      <c r="E14066" t="s">
        <v>30317</v>
      </c>
      <c r="F14066" t="s">
        <v>31574</v>
      </c>
      <c r="G14066" t="s">
        <v>31582</v>
      </c>
      <c r="H14066" t="s">
        <v>31591</v>
      </c>
      <c r="I14066" t="s">
        <v>8822</v>
      </c>
      <c r="J14066" t="s">
        <v>40359</v>
      </c>
      <c r="K14066" t="s">
        <v>41192</v>
      </c>
      <c r="M14066" t="s">
        <v>44327</v>
      </c>
      <c r="N14066" t="s">
        <v>45095</v>
      </c>
      <c r="O14066" t="s">
        <v>45096</v>
      </c>
      <c r="P14066">
        <v>0</v>
      </c>
      <c r="Q14066">
        <v>12</v>
      </c>
      <c r="R14066" t="s">
        <v>45117</v>
      </c>
      <c r="S14066" t="s">
        <v>45992</v>
      </c>
      <c r="T14066" t="s">
        <v>47083</v>
      </c>
      <c r="U14066" t="s">
        <v>58823</v>
      </c>
      <c r="W14066" t="s">
        <v>44327</v>
      </c>
      <c r="X14066" t="s">
        <v>45168</v>
      </c>
    </row>
    <row r="14067" spans="1:24">
      <c r="A14067">
        <f>HYPERLINK("https://www.philgeps.gov.ph/GEPSNONPILOT/Tender/SplashBidNoticeAbstractUI.aspx?menuIndex=3&amp;refID=7014279&amp;Result=3","7014279")</f>
        <v>0</v>
      </c>
      <c r="B14067" t="s">
        <v>3092</v>
      </c>
      <c r="C14067" t="s">
        <v>16658</v>
      </c>
      <c r="D14067" t="s">
        <v>18050</v>
      </c>
      <c r="E14067" t="s">
        <v>30318</v>
      </c>
      <c r="F14067" t="s">
        <v>31574</v>
      </c>
      <c r="G14067" t="s">
        <v>31582</v>
      </c>
      <c r="H14067" t="s">
        <v>31590</v>
      </c>
      <c r="I14067" t="s">
        <v>7185</v>
      </c>
      <c r="J14067" t="s">
        <v>40360</v>
      </c>
      <c r="K14067" t="s">
        <v>41213</v>
      </c>
      <c r="M14067" t="s">
        <v>44937</v>
      </c>
      <c r="N14067" t="s">
        <v>45095</v>
      </c>
      <c r="O14067" t="s">
        <v>45096</v>
      </c>
      <c r="P14067">
        <v>0</v>
      </c>
      <c r="Q14067">
        <v>8</v>
      </c>
      <c r="R14067" t="s">
        <v>45116</v>
      </c>
      <c r="S14067" t="s">
        <v>45923</v>
      </c>
      <c r="T14067" t="s">
        <v>46963</v>
      </c>
      <c r="U14067" t="s">
        <v>58824</v>
      </c>
      <c r="W14067" t="s">
        <v>44937</v>
      </c>
      <c r="X14067" t="s">
        <v>45117</v>
      </c>
    </row>
    <row r="14068" spans="1:24">
      <c r="A14068">
        <f>HYPERLINK("https://www.philgeps.gov.ph/GEPSNONPILOT/Tender/SplashBidNoticeAbstractUI.aspx?menuIndex=3&amp;refID=7005765&amp;Result=3","7005765")</f>
        <v>0</v>
      </c>
      <c r="B14068" t="s">
        <v>2159</v>
      </c>
      <c r="C14068" t="s">
        <v>16659</v>
      </c>
      <c r="D14068" t="s">
        <v>18035</v>
      </c>
      <c r="E14068" t="s">
        <v>30319</v>
      </c>
      <c r="F14068" t="s">
        <v>31574</v>
      </c>
      <c r="G14068" t="s">
        <v>31582</v>
      </c>
      <c r="H14068" t="s">
        <v>31591</v>
      </c>
      <c r="I14068" t="s">
        <v>8822</v>
      </c>
      <c r="J14068" t="s">
        <v>40361</v>
      </c>
      <c r="K14068" t="s">
        <v>41476</v>
      </c>
      <c r="M14068" t="s">
        <v>44060</v>
      </c>
      <c r="N14068" t="s">
        <v>45095</v>
      </c>
      <c r="O14068" t="s">
        <v>45096</v>
      </c>
      <c r="P14068">
        <v>0</v>
      </c>
      <c r="Q14068">
        <v>17</v>
      </c>
      <c r="R14068" t="s">
        <v>45117</v>
      </c>
      <c r="S14068" t="s">
        <v>45992</v>
      </c>
      <c r="T14068" t="s">
        <v>47159</v>
      </c>
      <c r="U14068" t="s">
        <v>58825</v>
      </c>
      <c r="V14068" t="s">
        <v>49354</v>
      </c>
      <c r="W14068" t="s">
        <v>44060</v>
      </c>
      <c r="X14068" t="s">
        <v>45123</v>
      </c>
    </row>
    <row r="14069" spans="1:24">
      <c r="A14069">
        <f>HYPERLINK("https://www.philgeps.gov.ph/GEPSNONPILOT/Tender/SplashBidNoticeAbstractUI.aspx?menuIndex=3&amp;refID=7014251&amp;Result=3","7014251")</f>
        <v>0</v>
      </c>
      <c r="B14069" t="s">
        <v>2850</v>
      </c>
      <c r="C14069" t="s">
        <v>16660</v>
      </c>
      <c r="E14069" t="s">
        <v>30320</v>
      </c>
      <c r="F14069" t="s">
        <v>31574</v>
      </c>
      <c r="G14069" t="s">
        <v>31582</v>
      </c>
      <c r="H14069" t="s">
        <v>31591</v>
      </c>
      <c r="I14069" t="s">
        <v>8822</v>
      </c>
      <c r="J14069" t="s">
        <v>36544</v>
      </c>
      <c r="K14069" t="s">
        <v>41184</v>
      </c>
      <c r="M14069" t="s">
        <v>44636</v>
      </c>
      <c r="N14069" t="s">
        <v>45095</v>
      </c>
      <c r="O14069" t="s">
        <v>45096</v>
      </c>
      <c r="P14069">
        <v>0</v>
      </c>
      <c r="Q14069">
        <v>6</v>
      </c>
      <c r="R14069" t="s">
        <v>45116</v>
      </c>
      <c r="S14069" t="s">
        <v>45923</v>
      </c>
      <c r="T14069" t="s">
        <v>47159</v>
      </c>
      <c r="U14069" t="s">
        <v>58826</v>
      </c>
      <c r="W14069" t="s">
        <v>44636</v>
      </c>
      <c r="X14069" t="s">
        <v>45117</v>
      </c>
    </row>
    <row r="14070" spans="1:24">
      <c r="A14070">
        <f>HYPERLINK("https://www.philgeps.gov.ph/GEPSNONPILOT/Tender/SplashBidNoticeAbstractUI.aspx?menuIndex=3&amp;refID=7014249&amp;Result=3","7014249")</f>
        <v>0</v>
      </c>
      <c r="B14070" t="s">
        <v>2850</v>
      </c>
      <c r="C14070" t="s">
        <v>16661</v>
      </c>
      <c r="E14070" t="s">
        <v>30321</v>
      </c>
      <c r="F14070" t="s">
        <v>31574</v>
      </c>
      <c r="G14070" t="s">
        <v>31582</v>
      </c>
      <c r="H14070" t="s">
        <v>31591</v>
      </c>
      <c r="I14070" t="s">
        <v>8822</v>
      </c>
      <c r="J14070" t="s">
        <v>40362</v>
      </c>
      <c r="K14070" t="s">
        <v>41184</v>
      </c>
      <c r="M14070" t="s">
        <v>44636</v>
      </c>
      <c r="N14070" t="s">
        <v>45095</v>
      </c>
      <c r="O14070" t="s">
        <v>45096</v>
      </c>
      <c r="P14070">
        <v>0</v>
      </c>
      <c r="Q14070">
        <v>6</v>
      </c>
      <c r="R14070" t="s">
        <v>45116</v>
      </c>
      <c r="S14070" t="s">
        <v>45923</v>
      </c>
      <c r="T14070" t="s">
        <v>47159</v>
      </c>
      <c r="U14070" t="s">
        <v>58827</v>
      </c>
      <c r="W14070" t="s">
        <v>44636</v>
      </c>
      <c r="X14070" t="s">
        <v>45117</v>
      </c>
    </row>
    <row r="14071" spans="1:24">
      <c r="A14071">
        <f>HYPERLINK("https://www.philgeps.gov.ph/GEPSNONPILOT/Tender/SplashBidNoticeAbstractUI.aspx?menuIndex=3&amp;refID=7014248&amp;Result=3","7014248")</f>
        <v>0</v>
      </c>
      <c r="B14071" t="s">
        <v>2850</v>
      </c>
      <c r="C14071" t="s">
        <v>16662</v>
      </c>
      <c r="E14071" t="s">
        <v>30322</v>
      </c>
      <c r="F14071" t="s">
        <v>31574</v>
      </c>
      <c r="G14071" t="s">
        <v>31582</v>
      </c>
      <c r="H14071" t="s">
        <v>31591</v>
      </c>
      <c r="I14071" t="s">
        <v>8822</v>
      </c>
      <c r="J14071" t="s">
        <v>40363</v>
      </c>
      <c r="K14071" t="s">
        <v>41184</v>
      </c>
      <c r="M14071" t="s">
        <v>44636</v>
      </c>
      <c r="N14071" t="s">
        <v>45095</v>
      </c>
      <c r="O14071" t="s">
        <v>45096</v>
      </c>
      <c r="P14071">
        <v>0</v>
      </c>
      <c r="Q14071">
        <v>4</v>
      </c>
      <c r="R14071" t="s">
        <v>45116</v>
      </c>
      <c r="S14071" t="s">
        <v>45923</v>
      </c>
      <c r="T14071" t="s">
        <v>47159</v>
      </c>
      <c r="U14071" t="s">
        <v>58828</v>
      </c>
      <c r="W14071" t="s">
        <v>44636</v>
      </c>
      <c r="X14071" t="s">
        <v>45117</v>
      </c>
    </row>
    <row r="14072" spans="1:24">
      <c r="A14072">
        <f>HYPERLINK("https://www.philgeps.gov.ph/GEPSNONPILOT/Tender/SplashBidNoticeAbstractUI.aspx?menuIndex=3&amp;refID=7005832&amp;Result=3","7005832")</f>
        <v>0</v>
      </c>
      <c r="B14072" t="s">
        <v>2379</v>
      </c>
      <c r="C14072" t="s">
        <v>16663</v>
      </c>
      <c r="D14072" t="s">
        <v>18090</v>
      </c>
      <c r="E14072" t="s">
        <v>23458</v>
      </c>
      <c r="F14072" t="s">
        <v>31574</v>
      </c>
      <c r="G14072" t="s">
        <v>31582</v>
      </c>
      <c r="H14072" t="s">
        <v>31591</v>
      </c>
      <c r="I14072" t="s">
        <v>8822</v>
      </c>
      <c r="J14072" t="s">
        <v>40364</v>
      </c>
      <c r="K14072" t="s">
        <v>41188</v>
      </c>
      <c r="M14072" t="s">
        <v>44103</v>
      </c>
      <c r="N14072" t="s">
        <v>45095</v>
      </c>
      <c r="O14072" t="s">
        <v>45096</v>
      </c>
      <c r="P14072">
        <v>0</v>
      </c>
      <c r="Q14072">
        <v>2</v>
      </c>
      <c r="R14072" t="s">
        <v>45117</v>
      </c>
      <c r="S14072" t="s">
        <v>45992</v>
      </c>
      <c r="T14072" t="s">
        <v>47076</v>
      </c>
      <c r="U14072" t="s">
        <v>54527</v>
      </c>
      <c r="W14072" t="s">
        <v>44103</v>
      </c>
      <c r="X14072" t="s">
        <v>45123</v>
      </c>
    </row>
    <row r="14073" spans="1:24">
      <c r="A14073">
        <f>HYPERLINK("https://www.philgeps.gov.ph/GEPSNONPILOT/Tender/SplashBidNoticeAbstractUI.aspx?menuIndex=3&amp;refID=7014268&amp;Result=3","7014268")</f>
        <v>0</v>
      </c>
      <c r="B14073" t="s">
        <v>1922</v>
      </c>
      <c r="C14073" t="s">
        <v>16664</v>
      </c>
      <c r="D14073" t="s">
        <v>18045</v>
      </c>
      <c r="E14073" t="s">
        <v>30323</v>
      </c>
      <c r="F14073" t="s">
        <v>31574</v>
      </c>
      <c r="G14073" t="s">
        <v>31582</v>
      </c>
      <c r="H14073" t="s">
        <v>31590</v>
      </c>
      <c r="I14073" t="s">
        <v>31689</v>
      </c>
      <c r="J14073" t="s">
        <v>31947</v>
      </c>
      <c r="K14073" t="s">
        <v>41190</v>
      </c>
      <c r="M14073" t="s">
        <v>43574</v>
      </c>
      <c r="N14073" t="s">
        <v>45095</v>
      </c>
      <c r="O14073" t="s">
        <v>45096</v>
      </c>
      <c r="P14073">
        <v>0</v>
      </c>
      <c r="Q14073">
        <v>2</v>
      </c>
      <c r="R14073" t="s">
        <v>45116</v>
      </c>
      <c r="S14073" t="s">
        <v>45923</v>
      </c>
      <c r="T14073" t="s">
        <v>47067</v>
      </c>
      <c r="U14073" t="s">
        <v>58829</v>
      </c>
      <c r="V14073" t="s">
        <v>52621</v>
      </c>
      <c r="W14073" t="s">
        <v>43574</v>
      </c>
      <c r="X14073" t="s">
        <v>45117</v>
      </c>
    </row>
    <row r="14074" spans="1:24">
      <c r="A14074">
        <f>HYPERLINK("https://www.philgeps.gov.ph/GEPSNONPILOT/Tender/SplashBidNoticeAbstractUI.aspx?menuIndex=3&amp;refID=7014275&amp;Result=3","7014275")</f>
        <v>0</v>
      </c>
      <c r="B14074" t="s">
        <v>1329</v>
      </c>
      <c r="C14074" t="s">
        <v>16665</v>
      </c>
      <c r="E14074" t="s">
        <v>30324</v>
      </c>
      <c r="F14074" t="s">
        <v>31574</v>
      </c>
      <c r="G14074" t="s">
        <v>31582</v>
      </c>
      <c r="H14074" t="s">
        <v>31591</v>
      </c>
      <c r="I14074" t="s">
        <v>8822</v>
      </c>
      <c r="J14074" t="s">
        <v>40365</v>
      </c>
      <c r="K14074" t="s">
        <v>41187</v>
      </c>
      <c r="M14074" t="s">
        <v>44783</v>
      </c>
      <c r="N14074" t="s">
        <v>45095</v>
      </c>
      <c r="O14074" t="s">
        <v>45096</v>
      </c>
      <c r="Q14074">
        <v>17</v>
      </c>
      <c r="R14074" t="s">
        <v>45116</v>
      </c>
      <c r="S14074" t="s">
        <v>45993</v>
      </c>
      <c r="T14074" t="s">
        <v>46988</v>
      </c>
      <c r="U14074" t="s">
        <v>58830</v>
      </c>
      <c r="V14074" t="s">
        <v>61237</v>
      </c>
      <c r="W14074" t="s">
        <v>44783</v>
      </c>
      <c r="X14074" t="s">
        <v>45117</v>
      </c>
    </row>
    <row r="14075" spans="1:24">
      <c r="A14075">
        <f>HYPERLINK("https://www.philgeps.gov.ph/GEPSNONPILOT/Tender/SplashBidNoticeAbstractUI.aspx?menuIndex=3&amp;refID=7014264&amp;Result=3","7014264")</f>
        <v>0</v>
      </c>
      <c r="B14075" t="s">
        <v>1329</v>
      </c>
      <c r="C14075" t="s">
        <v>16666</v>
      </c>
      <c r="E14075" t="s">
        <v>30325</v>
      </c>
      <c r="F14075" t="s">
        <v>31574</v>
      </c>
      <c r="G14075" t="s">
        <v>31582</v>
      </c>
      <c r="H14075" t="s">
        <v>31591</v>
      </c>
      <c r="I14075" t="s">
        <v>8822</v>
      </c>
      <c r="J14075" t="s">
        <v>40366</v>
      </c>
      <c r="K14075" t="s">
        <v>41230</v>
      </c>
      <c r="M14075" t="s">
        <v>44783</v>
      </c>
      <c r="N14075" t="s">
        <v>45095</v>
      </c>
      <c r="O14075" t="s">
        <v>45096</v>
      </c>
      <c r="Q14075">
        <v>14</v>
      </c>
      <c r="R14075" t="s">
        <v>45116</v>
      </c>
      <c r="S14075" t="s">
        <v>45994</v>
      </c>
      <c r="T14075" t="s">
        <v>46988</v>
      </c>
      <c r="U14075" t="s">
        <v>58831</v>
      </c>
      <c r="V14075" t="s">
        <v>61237</v>
      </c>
      <c r="W14075" t="s">
        <v>44783</v>
      </c>
      <c r="X14075" t="s">
        <v>45117</v>
      </c>
    </row>
    <row r="14076" spans="1:24">
      <c r="A14076">
        <f>HYPERLINK("https://www.philgeps.gov.ph/GEPSNONPILOT/Tender/SplashBidNoticeAbstractUI.aspx?menuIndex=3&amp;refID=7014250&amp;Result=3","7014250")</f>
        <v>0</v>
      </c>
      <c r="B14076" t="s">
        <v>2640</v>
      </c>
      <c r="C14076" t="s">
        <v>16667</v>
      </c>
      <c r="E14076" t="s">
        <v>30326</v>
      </c>
      <c r="F14076" t="s">
        <v>31574</v>
      </c>
      <c r="G14076" t="s">
        <v>31582</v>
      </c>
      <c r="H14076" t="s">
        <v>31591</v>
      </c>
      <c r="I14076" t="s">
        <v>8822</v>
      </c>
      <c r="J14076" t="s">
        <v>40367</v>
      </c>
      <c r="K14076" t="s">
        <v>41412</v>
      </c>
      <c r="M14076" t="s">
        <v>44393</v>
      </c>
      <c r="N14076" t="s">
        <v>45095</v>
      </c>
      <c r="O14076" t="s">
        <v>45096</v>
      </c>
      <c r="P14076">
        <v>0</v>
      </c>
      <c r="Q14076">
        <v>1</v>
      </c>
      <c r="R14076" t="s">
        <v>45116</v>
      </c>
      <c r="S14076" t="s">
        <v>45923</v>
      </c>
      <c r="T14076" t="s">
        <v>47080</v>
      </c>
      <c r="U14076" t="s">
        <v>58832</v>
      </c>
      <c r="W14076" t="s">
        <v>44393</v>
      </c>
      <c r="X14076" t="s">
        <v>45117</v>
      </c>
    </row>
    <row r="14077" spans="1:24">
      <c r="A14077">
        <f>HYPERLINK("https://www.philgeps.gov.ph/GEPSNONPILOT/Tender/SplashBidNoticeAbstractUI.aspx?menuIndex=3&amp;refID=7014245&amp;Result=3","7014245")</f>
        <v>0</v>
      </c>
      <c r="B14077" t="s">
        <v>2850</v>
      </c>
      <c r="C14077" t="s">
        <v>16668</v>
      </c>
      <c r="E14077" t="s">
        <v>30327</v>
      </c>
      <c r="F14077" t="s">
        <v>31574</v>
      </c>
      <c r="G14077" t="s">
        <v>31582</v>
      </c>
      <c r="H14077" t="s">
        <v>31591</v>
      </c>
      <c r="I14077" t="s">
        <v>8822</v>
      </c>
      <c r="J14077" t="s">
        <v>40368</v>
      </c>
      <c r="K14077" t="s">
        <v>41184</v>
      </c>
      <c r="M14077" t="s">
        <v>44636</v>
      </c>
      <c r="N14077" t="s">
        <v>45095</v>
      </c>
      <c r="O14077" t="s">
        <v>45096</v>
      </c>
      <c r="P14077">
        <v>0</v>
      </c>
      <c r="Q14077">
        <v>4</v>
      </c>
      <c r="R14077" t="s">
        <v>45116</v>
      </c>
      <c r="S14077" t="s">
        <v>45923</v>
      </c>
      <c r="T14077" t="s">
        <v>47159</v>
      </c>
      <c r="U14077" t="s">
        <v>58833</v>
      </c>
      <c r="W14077" t="s">
        <v>44636</v>
      </c>
      <c r="X14077" t="s">
        <v>45117</v>
      </c>
    </row>
    <row r="14078" spans="1:24">
      <c r="A14078">
        <f>HYPERLINK("https://www.philgeps.gov.ph/GEPSNONPILOT/Tender/SplashBidNoticeAbstractUI.aspx?menuIndex=3&amp;refID=7007433&amp;Result=3","7007433")</f>
        <v>0</v>
      </c>
      <c r="B14078" t="s">
        <v>3093</v>
      </c>
      <c r="C14078" t="s">
        <v>16669</v>
      </c>
      <c r="D14078" t="s">
        <v>18064</v>
      </c>
      <c r="E14078" t="s">
        <v>30328</v>
      </c>
      <c r="F14078" t="s">
        <v>31574</v>
      </c>
      <c r="G14078" t="s">
        <v>31582</v>
      </c>
      <c r="H14078" t="s">
        <v>31591</v>
      </c>
      <c r="I14078" t="s">
        <v>8822</v>
      </c>
      <c r="J14078" t="s">
        <v>32530</v>
      </c>
      <c r="K14078" t="s">
        <v>41200</v>
      </c>
      <c r="M14078" t="s">
        <v>44938</v>
      </c>
      <c r="N14078" t="s">
        <v>45095</v>
      </c>
      <c r="O14078" t="s">
        <v>45096</v>
      </c>
      <c r="P14078">
        <v>0</v>
      </c>
      <c r="Q14078">
        <v>55</v>
      </c>
      <c r="R14078" t="s">
        <v>45117</v>
      </c>
      <c r="S14078" t="s">
        <v>45992</v>
      </c>
      <c r="T14078" t="s">
        <v>47165</v>
      </c>
      <c r="U14078" t="s">
        <v>58834</v>
      </c>
      <c r="W14078" t="s">
        <v>44938</v>
      </c>
      <c r="X14078" t="s">
        <v>45122</v>
      </c>
    </row>
    <row r="14079" spans="1:24">
      <c r="A14079">
        <f>HYPERLINK("https://www.philgeps.gov.ph/GEPSNONPILOT/Tender/SplashBidNoticeAbstractUI.aspx?menuIndex=3&amp;refID=7014247&amp;Result=3","7014247")</f>
        <v>0</v>
      </c>
      <c r="B14079" t="s">
        <v>2850</v>
      </c>
      <c r="C14079" t="s">
        <v>16670</v>
      </c>
      <c r="E14079" t="s">
        <v>30329</v>
      </c>
      <c r="F14079" t="s">
        <v>31574</v>
      </c>
      <c r="G14079" t="s">
        <v>31582</v>
      </c>
      <c r="H14079" t="s">
        <v>31591</v>
      </c>
      <c r="I14079" t="s">
        <v>8822</v>
      </c>
      <c r="J14079" t="s">
        <v>40369</v>
      </c>
      <c r="K14079" t="s">
        <v>41184</v>
      </c>
      <c r="M14079" t="s">
        <v>44636</v>
      </c>
      <c r="N14079" t="s">
        <v>45095</v>
      </c>
      <c r="O14079" t="s">
        <v>45096</v>
      </c>
      <c r="P14079">
        <v>0</v>
      </c>
      <c r="Q14079">
        <v>4</v>
      </c>
      <c r="R14079" t="s">
        <v>45116</v>
      </c>
      <c r="S14079" t="s">
        <v>45923</v>
      </c>
      <c r="T14079" t="s">
        <v>47159</v>
      </c>
      <c r="U14079" t="s">
        <v>58835</v>
      </c>
      <c r="W14079" t="s">
        <v>44636</v>
      </c>
      <c r="X14079" t="s">
        <v>45117</v>
      </c>
    </row>
    <row r="14080" spans="1:24">
      <c r="A14080">
        <f>HYPERLINK("https://www.philgeps.gov.ph/GEPSNONPILOT/Tender/SplashBidNoticeAbstractUI.aspx?menuIndex=3&amp;refID=7006025&amp;Result=3","7006025")</f>
        <v>0</v>
      </c>
      <c r="B14080" t="s">
        <v>3094</v>
      </c>
      <c r="C14080" t="s">
        <v>16671</v>
      </c>
      <c r="D14080" t="s">
        <v>18041</v>
      </c>
      <c r="E14080" t="s">
        <v>30330</v>
      </c>
      <c r="F14080" t="s">
        <v>31574</v>
      </c>
      <c r="G14080" t="s">
        <v>31582</v>
      </c>
      <c r="H14080" t="s">
        <v>31591</v>
      </c>
      <c r="I14080" t="s">
        <v>8822</v>
      </c>
      <c r="J14080" t="s">
        <v>40370</v>
      </c>
      <c r="K14080" t="s">
        <v>41240</v>
      </c>
      <c r="M14080" t="s">
        <v>44939</v>
      </c>
      <c r="N14080" t="s">
        <v>45095</v>
      </c>
      <c r="O14080" t="s">
        <v>45096</v>
      </c>
      <c r="Q14080">
        <v>7</v>
      </c>
      <c r="R14080" t="s">
        <v>45117</v>
      </c>
      <c r="S14080" t="s">
        <v>45995</v>
      </c>
      <c r="T14080" t="s">
        <v>46985</v>
      </c>
      <c r="U14080" t="s">
        <v>58836</v>
      </c>
      <c r="W14080" t="s">
        <v>44939</v>
      </c>
      <c r="X14080" t="s">
        <v>45123</v>
      </c>
    </row>
    <row r="14081" spans="1:24">
      <c r="A14081">
        <f>HYPERLINK("https://www.philgeps.gov.ph/GEPSNONPILOT/Tender/SplashBidNoticeAbstractUI.aspx?menuIndex=3&amp;refID=7008208&amp;Result=3","7008208")</f>
        <v>0</v>
      </c>
      <c r="B14081" t="s">
        <v>3083</v>
      </c>
      <c r="C14081" t="s">
        <v>16672</v>
      </c>
      <c r="D14081" t="s">
        <v>18035</v>
      </c>
      <c r="E14081" t="s">
        <v>30331</v>
      </c>
      <c r="F14081" t="s">
        <v>31574</v>
      </c>
      <c r="G14081" t="s">
        <v>31582</v>
      </c>
      <c r="H14081" t="s">
        <v>31591</v>
      </c>
      <c r="I14081" t="s">
        <v>8822</v>
      </c>
      <c r="J14081" t="s">
        <v>40371</v>
      </c>
      <c r="K14081" t="s">
        <v>41409</v>
      </c>
      <c r="M14081" t="s">
        <v>44927</v>
      </c>
      <c r="N14081" t="s">
        <v>45095</v>
      </c>
      <c r="O14081" t="s">
        <v>45096</v>
      </c>
      <c r="P14081">
        <v>0</v>
      </c>
      <c r="Q14081">
        <v>39</v>
      </c>
      <c r="R14081" t="s">
        <v>45117</v>
      </c>
      <c r="S14081" t="s">
        <v>45992</v>
      </c>
      <c r="T14081" t="s">
        <v>47159</v>
      </c>
      <c r="U14081" t="s">
        <v>58837</v>
      </c>
      <c r="V14081" t="s">
        <v>60368</v>
      </c>
      <c r="W14081" t="s">
        <v>44927</v>
      </c>
      <c r="X14081" t="s">
        <v>45122</v>
      </c>
    </row>
    <row r="14082" spans="1:24">
      <c r="A14082">
        <f>HYPERLINK("https://www.philgeps.gov.ph/GEPSNONPILOT/Tender/SplashBidNoticeAbstractUI.aspx?menuIndex=3&amp;refID=7008001&amp;Result=3","7008001")</f>
        <v>0</v>
      </c>
      <c r="B14082" t="s">
        <v>3095</v>
      </c>
      <c r="C14082" t="s">
        <v>16673</v>
      </c>
      <c r="D14082" t="s">
        <v>18054</v>
      </c>
      <c r="E14082" t="s">
        <v>30332</v>
      </c>
      <c r="F14082" t="s">
        <v>31574</v>
      </c>
      <c r="G14082" t="s">
        <v>31582</v>
      </c>
      <c r="H14082" t="s">
        <v>31591</v>
      </c>
      <c r="I14082" t="s">
        <v>8822</v>
      </c>
      <c r="J14082" t="s">
        <v>40372</v>
      </c>
      <c r="K14082" t="s">
        <v>41263</v>
      </c>
      <c r="L14082" t="s">
        <v>3095</v>
      </c>
      <c r="M14082" t="s">
        <v>44940</v>
      </c>
      <c r="N14082" t="s">
        <v>45095</v>
      </c>
      <c r="O14082" t="s">
        <v>45096</v>
      </c>
      <c r="P14082">
        <v>0</v>
      </c>
      <c r="Q14082">
        <v>2</v>
      </c>
      <c r="R14082" t="s">
        <v>45117</v>
      </c>
      <c r="S14082" t="s">
        <v>45992</v>
      </c>
      <c r="T14082" t="s">
        <v>47159</v>
      </c>
      <c r="U14082" t="s">
        <v>58838</v>
      </c>
      <c r="V14082" t="s">
        <v>61415</v>
      </c>
      <c r="W14082" t="s">
        <v>61774</v>
      </c>
      <c r="X14082" t="s">
        <v>45122</v>
      </c>
    </row>
    <row r="14083" spans="1:24">
      <c r="A14083">
        <f>HYPERLINK("https://www.philgeps.gov.ph/GEPSNONPILOT/Tender/SplashBidNoticeAbstractUI.aspx?menuIndex=3&amp;refID=7006820&amp;Result=3","7006820")</f>
        <v>0</v>
      </c>
      <c r="B14083" t="s">
        <v>3096</v>
      </c>
      <c r="C14083" t="s">
        <v>16674</v>
      </c>
      <c r="E14083" t="s">
        <v>30333</v>
      </c>
      <c r="F14083" t="s">
        <v>31574</v>
      </c>
      <c r="G14083" t="s">
        <v>31581</v>
      </c>
      <c r="H14083" t="s">
        <v>31590</v>
      </c>
      <c r="I14083" t="s">
        <v>31631</v>
      </c>
      <c r="J14083" t="s">
        <v>40373</v>
      </c>
      <c r="K14083" t="s">
        <v>41281</v>
      </c>
      <c r="M14083" t="s">
        <v>44941</v>
      </c>
      <c r="N14083" t="s">
        <v>45095</v>
      </c>
      <c r="O14083" t="s">
        <v>45096</v>
      </c>
      <c r="Q14083">
        <v>0</v>
      </c>
      <c r="R14083" t="s">
        <v>45117</v>
      </c>
      <c r="S14083" t="s">
        <v>45996</v>
      </c>
      <c r="T14083" t="s">
        <v>46969</v>
      </c>
      <c r="U14083" t="s">
        <v>58839</v>
      </c>
      <c r="W14083" t="s">
        <v>44941</v>
      </c>
      <c r="X14083" t="s">
        <v>45123</v>
      </c>
    </row>
    <row r="14084" spans="1:24">
      <c r="A14084">
        <f>HYPERLINK("https://www.philgeps.gov.ph/GEPSNONPILOT/Tender/SplashBidNoticeAbstractUI.aspx?menuIndex=3&amp;refID=7005914&amp;Result=3","7005914")</f>
        <v>0</v>
      </c>
      <c r="B14084" t="s">
        <v>2159</v>
      </c>
      <c r="C14084" t="s">
        <v>16675</v>
      </c>
      <c r="D14084" t="s">
        <v>18035</v>
      </c>
      <c r="E14084" t="s">
        <v>30334</v>
      </c>
      <c r="F14084" t="s">
        <v>31574</v>
      </c>
      <c r="G14084" t="s">
        <v>31582</v>
      </c>
      <c r="H14084" t="s">
        <v>31591</v>
      </c>
      <c r="I14084" t="s">
        <v>8822</v>
      </c>
      <c r="J14084" t="s">
        <v>40374</v>
      </c>
      <c r="K14084" t="s">
        <v>41477</v>
      </c>
      <c r="M14084" t="s">
        <v>44060</v>
      </c>
      <c r="N14084" t="s">
        <v>45095</v>
      </c>
      <c r="O14084" t="s">
        <v>45096</v>
      </c>
      <c r="Q14084">
        <v>21</v>
      </c>
      <c r="R14084" t="s">
        <v>45117</v>
      </c>
      <c r="S14084" t="s">
        <v>45435</v>
      </c>
      <c r="T14084" t="s">
        <v>47159</v>
      </c>
      <c r="U14084" t="s">
        <v>58840</v>
      </c>
      <c r="V14084" t="s">
        <v>49354</v>
      </c>
      <c r="W14084" t="s">
        <v>44060</v>
      </c>
      <c r="X14084" t="s">
        <v>45123</v>
      </c>
    </row>
    <row r="14085" spans="1:24">
      <c r="A14085">
        <f>HYPERLINK("https://www.philgeps.gov.ph/GEPSNONPILOT/Tender/SplashBidNoticeAbstractUI.aspx?menuIndex=3&amp;refID=7007520&amp;Result=3","7007520")</f>
        <v>0</v>
      </c>
      <c r="B14085" t="s">
        <v>3097</v>
      </c>
      <c r="C14085" t="s">
        <v>16676</v>
      </c>
      <c r="D14085" t="s">
        <v>18096</v>
      </c>
      <c r="E14085" t="s">
        <v>30335</v>
      </c>
      <c r="F14085" t="s">
        <v>31574</v>
      </c>
      <c r="G14085" t="s">
        <v>31582</v>
      </c>
      <c r="H14085" t="s">
        <v>31592</v>
      </c>
      <c r="I14085" t="s">
        <v>31623</v>
      </c>
      <c r="J14085" t="s">
        <v>40375</v>
      </c>
      <c r="K14085" t="s">
        <v>41210</v>
      </c>
      <c r="M14085" t="s">
        <v>44942</v>
      </c>
      <c r="N14085" t="s">
        <v>45095</v>
      </c>
      <c r="O14085" t="s">
        <v>45096</v>
      </c>
      <c r="Q14085">
        <v>2</v>
      </c>
      <c r="R14085" t="s">
        <v>45117</v>
      </c>
      <c r="S14085" t="s">
        <v>45997</v>
      </c>
      <c r="T14085" t="s">
        <v>47158</v>
      </c>
      <c r="U14085" t="s">
        <v>58841</v>
      </c>
      <c r="W14085" t="s">
        <v>44942</v>
      </c>
      <c r="X14085" t="s">
        <v>45122</v>
      </c>
    </row>
    <row r="14086" spans="1:24">
      <c r="A14086">
        <f>HYPERLINK("https://www.philgeps.gov.ph/GEPSNONPILOT/Tender/SplashBidNoticeAbstractUI.aspx?menuIndex=3&amp;refID=7005844&amp;Result=3","7005844")</f>
        <v>0</v>
      </c>
      <c r="B14086" t="s">
        <v>2159</v>
      </c>
      <c r="C14086" t="s">
        <v>16677</v>
      </c>
      <c r="D14086" t="s">
        <v>18100</v>
      </c>
      <c r="E14086" t="s">
        <v>30336</v>
      </c>
      <c r="F14086" t="s">
        <v>31574</v>
      </c>
      <c r="G14086" t="s">
        <v>31582</v>
      </c>
      <c r="H14086" t="s">
        <v>31591</v>
      </c>
      <c r="I14086" t="s">
        <v>8822</v>
      </c>
      <c r="J14086" t="s">
        <v>40376</v>
      </c>
      <c r="K14086" t="s">
        <v>41435</v>
      </c>
      <c r="M14086" t="s">
        <v>44060</v>
      </c>
      <c r="N14086" t="s">
        <v>45095</v>
      </c>
      <c r="O14086" t="s">
        <v>45096</v>
      </c>
      <c r="P14086">
        <v>0</v>
      </c>
      <c r="Q14086">
        <v>19</v>
      </c>
      <c r="R14086" t="s">
        <v>45117</v>
      </c>
      <c r="S14086" t="s">
        <v>45992</v>
      </c>
      <c r="T14086" t="s">
        <v>47159</v>
      </c>
      <c r="U14086" t="s">
        <v>58842</v>
      </c>
      <c r="V14086" t="s">
        <v>49354</v>
      </c>
      <c r="W14086" t="s">
        <v>44060</v>
      </c>
      <c r="X14086" t="s">
        <v>45123</v>
      </c>
    </row>
    <row r="14087" spans="1:24">
      <c r="A14087">
        <f>HYPERLINK("https://www.philgeps.gov.ph/GEPSNONPILOT/Tender/SplashBidNoticeAbstractUI.aspx?menuIndex=3&amp;refID=7009599&amp;Result=3","7009599")</f>
        <v>0</v>
      </c>
      <c r="B14087" t="s">
        <v>1282</v>
      </c>
      <c r="C14087" t="s">
        <v>16678</v>
      </c>
      <c r="D14087" t="s">
        <v>18033</v>
      </c>
      <c r="E14087" t="s">
        <v>22173</v>
      </c>
      <c r="F14087" t="s">
        <v>31574</v>
      </c>
      <c r="G14087" t="s">
        <v>31582</v>
      </c>
      <c r="H14087" t="s">
        <v>31590</v>
      </c>
      <c r="I14087" t="s">
        <v>7185</v>
      </c>
      <c r="J14087" t="s">
        <v>40377</v>
      </c>
      <c r="K14087" t="s">
        <v>41186</v>
      </c>
      <c r="M14087" t="s">
        <v>42850</v>
      </c>
      <c r="N14087" t="s">
        <v>45095</v>
      </c>
      <c r="O14087" t="s">
        <v>45096</v>
      </c>
      <c r="P14087">
        <v>0</v>
      </c>
      <c r="Q14087">
        <v>7</v>
      </c>
      <c r="R14087" t="s">
        <v>45117</v>
      </c>
      <c r="S14087" t="s">
        <v>45992</v>
      </c>
      <c r="T14087" t="s">
        <v>46980</v>
      </c>
      <c r="U14087" t="s">
        <v>58843</v>
      </c>
      <c r="W14087" t="s">
        <v>42850</v>
      </c>
      <c r="X14087" t="s">
        <v>45119</v>
      </c>
    </row>
    <row r="14088" spans="1:24">
      <c r="A14088">
        <f>HYPERLINK("https://www.philgeps.gov.ph/GEPSNONPILOT/Tender/SplashBidNoticeAbstractUI.aspx?menuIndex=3&amp;refID=7008148&amp;Result=3","7008148")</f>
        <v>0</v>
      </c>
      <c r="B14088" t="s">
        <v>3083</v>
      </c>
      <c r="C14088" t="s">
        <v>16679</v>
      </c>
      <c r="D14088" t="s">
        <v>18035</v>
      </c>
      <c r="E14088" t="s">
        <v>30337</v>
      </c>
      <c r="F14088" t="s">
        <v>31574</v>
      </c>
      <c r="G14088" t="s">
        <v>31582</v>
      </c>
      <c r="H14088" t="s">
        <v>31591</v>
      </c>
      <c r="I14088" t="s">
        <v>8822</v>
      </c>
      <c r="J14088" t="s">
        <v>40378</v>
      </c>
      <c r="K14088" t="s">
        <v>41356</v>
      </c>
      <c r="M14088" t="s">
        <v>44927</v>
      </c>
      <c r="N14088" t="s">
        <v>45095</v>
      </c>
      <c r="O14088" t="s">
        <v>45096</v>
      </c>
      <c r="P14088">
        <v>0</v>
      </c>
      <c r="Q14088">
        <v>26</v>
      </c>
      <c r="R14088" t="s">
        <v>45117</v>
      </c>
      <c r="S14088" t="s">
        <v>45992</v>
      </c>
      <c r="T14088" t="s">
        <v>47159</v>
      </c>
      <c r="U14088" t="s">
        <v>58844</v>
      </c>
      <c r="V14088" t="s">
        <v>60368</v>
      </c>
      <c r="W14088" t="s">
        <v>44927</v>
      </c>
      <c r="X14088" t="s">
        <v>45122</v>
      </c>
    </row>
    <row r="14089" spans="1:24">
      <c r="A14089">
        <f>HYPERLINK("https://www.philgeps.gov.ph/GEPSNONPILOT/Tender/SplashBidNoticeAbstractUI.aspx?menuIndex=3&amp;refID=7007408&amp;Result=3","7007408")</f>
        <v>0</v>
      </c>
      <c r="B14089" t="s">
        <v>3093</v>
      </c>
      <c r="C14089" t="s">
        <v>16680</v>
      </c>
      <c r="D14089" t="s">
        <v>18064</v>
      </c>
      <c r="E14089" t="s">
        <v>28355</v>
      </c>
      <c r="F14089" t="s">
        <v>31574</v>
      </c>
      <c r="G14089" t="s">
        <v>31582</v>
      </c>
      <c r="H14089" t="s">
        <v>31591</v>
      </c>
      <c r="I14089" t="s">
        <v>8822</v>
      </c>
      <c r="J14089" t="s">
        <v>32530</v>
      </c>
      <c r="K14089" t="s">
        <v>41200</v>
      </c>
      <c r="M14089" t="s">
        <v>44938</v>
      </c>
      <c r="N14089" t="s">
        <v>45095</v>
      </c>
      <c r="O14089" t="s">
        <v>45096</v>
      </c>
      <c r="P14089">
        <v>0</v>
      </c>
      <c r="Q14089">
        <v>55</v>
      </c>
      <c r="R14089" t="s">
        <v>45117</v>
      </c>
      <c r="S14089" t="s">
        <v>45992</v>
      </c>
      <c r="T14089" t="s">
        <v>47183</v>
      </c>
      <c r="U14089" t="s">
        <v>58845</v>
      </c>
      <c r="W14089" t="s">
        <v>44938</v>
      </c>
      <c r="X14089" t="s">
        <v>45122</v>
      </c>
    </row>
    <row r="14090" spans="1:24">
      <c r="A14090">
        <f>HYPERLINK("https://www.philgeps.gov.ph/GEPSNONPILOT/Tender/SplashBidNoticeAbstractUI.aspx?menuIndex=3&amp;refID=7003655&amp;Result=3","7003655")</f>
        <v>0</v>
      </c>
      <c r="B14090" t="s">
        <v>3098</v>
      </c>
      <c r="C14090" t="s">
        <v>16681</v>
      </c>
      <c r="D14090" t="s">
        <v>18054</v>
      </c>
      <c r="E14090" t="s">
        <v>30338</v>
      </c>
      <c r="F14090" t="s">
        <v>31574</v>
      </c>
      <c r="G14090" t="s">
        <v>31582</v>
      </c>
      <c r="H14090" t="s">
        <v>31590</v>
      </c>
      <c r="I14090" t="s">
        <v>31614</v>
      </c>
      <c r="J14090" t="s">
        <v>40379</v>
      </c>
      <c r="K14090" t="s">
        <v>41192</v>
      </c>
      <c r="M14090" t="s">
        <v>44943</v>
      </c>
      <c r="N14090" t="s">
        <v>45095</v>
      </c>
      <c r="O14090" t="s">
        <v>45096</v>
      </c>
      <c r="Q14090">
        <v>9</v>
      </c>
      <c r="R14090" t="s">
        <v>45117</v>
      </c>
      <c r="S14090" t="s">
        <v>45998</v>
      </c>
      <c r="T14090" t="s">
        <v>47064</v>
      </c>
      <c r="U14090" t="s">
        <v>58846</v>
      </c>
      <c r="W14090" t="s">
        <v>44943</v>
      </c>
      <c r="X14090" t="s">
        <v>45124</v>
      </c>
    </row>
    <row r="14091" spans="1:24">
      <c r="A14091">
        <f>HYPERLINK("https://www.philgeps.gov.ph/GEPSNONPILOT/Tender/SplashBidNoticeAbstractUI.aspx?menuIndex=3&amp;refID=7008565&amp;Result=3","7008565")</f>
        <v>0</v>
      </c>
      <c r="B14091" t="s">
        <v>485</v>
      </c>
      <c r="C14091" t="s">
        <v>16682</v>
      </c>
      <c r="D14091" t="s">
        <v>18048</v>
      </c>
      <c r="E14091" t="s">
        <v>30339</v>
      </c>
      <c r="F14091" t="s">
        <v>31574</v>
      </c>
      <c r="G14091" t="s">
        <v>31582</v>
      </c>
      <c r="H14091" t="s">
        <v>31590</v>
      </c>
      <c r="I14091" t="s">
        <v>3901</v>
      </c>
      <c r="J14091" t="s">
        <v>32101</v>
      </c>
      <c r="K14091" t="s">
        <v>41190</v>
      </c>
      <c r="M14091" t="s">
        <v>43924</v>
      </c>
      <c r="N14091" t="s">
        <v>45095</v>
      </c>
      <c r="O14091" t="s">
        <v>45096</v>
      </c>
      <c r="P14091">
        <v>0</v>
      </c>
      <c r="Q14091">
        <v>4</v>
      </c>
      <c r="R14091" t="s">
        <v>45117</v>
      </c>
      <c r="S14091" t="s">
        <v>45992</v>
      </c>
      <c r="T14091" t="s">
        <v>47067</v>
      </c>
      <c r="U14091" t="s">
        <v>58847</v>
      </c>
      <c r="W14091" t="s">
        <v>43924</v>
      </c>
      <c r="X14091" t="s">
        <v>45122</v>
      </c>
    </row>
    <row r="14092" spans="1:24">
      <c r="A14092">
        <f>HYPERLINK("https://www.philgeps.gov.ph/GEPSNONPILOT/Tender/SplashBidNoticeAbstractUI.aspx?menuIndex=3&amp;refID=7008509&amp;Result=3","7008509")</f>
        <v>0</v>
      </c>
      <c r="B14092" t="s">
        <v>3055</v>
      </c>
      <c r="C14092" t="s">
        <v>16683</v>
      </c>
      <c r="E14092" t="s">
        <v>30340</v>
      </c>
      <c r="F14092" t="s">
        <v>31574</v>
      </c>
      <c r="G14092" t="s">
        <v>31582</v>
      </c>
      <c r="H14092" t="s">
        <v>31590</v>
      </c>
      <c r="I14092" t="s">
        <v>31615</v>
      </c>
      <c r="J14092" t="s">
        <v>32510</v>
      </c>
      <c r="K14092" t="s">
        <v>41193</v>
      </c>
      <c r="M14092" t="s">
        <v>44893</v>
      </c>
      <c r="N14092" t="s">
        <v>45095</v>
      </c>
      <c r="O14092" t="s">
        <v>45096</v>
      </c>
      <c r="P14092">
        <v>0</v>
      </c>
      <c r="Q14092">
        <v>5</v>
      </c>
      <c r="R14092" t="s">
        <v>45117</v>
      </c>
      <c r="S14092" t="s">
        <v>45992</v>
      </c>
      <c r="T14092" t="s">
        <v>47176</v>
      </c>
      <c r="U14092" t="s">
        <v>58848</v>
      </c>
      <c r="V14092" t="s">
        <v>61365</v>
      </c>
      <c r="W14092" t="s">
        <v>44893</v>
      </c>
      <c r="X14092" t="s">
        <v>45122</v>
      </c>
    </row>
    <row r="14093" spans="1:24">
      <c r="A14093">
        <f>HYPERLINK("https://www.philgeps.gov.ph/GEPSNONPILOT/Tender/SplashBidNoticeAbstractUI.aspx?menuIndex=3&amp;refID=7009602&amp;Result=3","7009602")</f>
        <v>0</v>
      </c>
      <c r="B14093" t="s">
        <v>3075</v>
      </c>
      <c r="C14093" t="s">
        <v>16684</v>
      </c>
      <c r="D14093" t="s">
        <v>18066</v>
      </c>
      <c r="E14093" t="s">
        <v>30341</v>
      </c>
      <c r="F14093" t="s">
        <v>31574</v>
      </c>
      <c r="G14093" t="s">
        <v>31582</v>
      </c>
      <c r="H14093" t="s">
        <v>31591</v>
      </c>
      <c r="I14093" t="s">
        <v>8822</v>
      </c>
      <c r="J14093" t="s">
        <v>32232</v>
      </c>
      <c r="K14093" t="s">
        <v>41192</v>
      </c>
      <c r="M14093" t="s">
        <v>44918</v>
      </c>
      <c r="N14093" t="s">
        <v>45095</v>
      </c>
      <c r="O14093" t="s">
        <v>45096</v>
      </c>
      <c r="P14093">
        <v>0</v>
      </c>
      <c r="Q14093">
        <v>1</v>
      </c>
      <c r="R14093" t="s">
        <v>45117</v>
      </c>
      <c r="S14093" t="s">
        <v>45992</v>
      </c>
      <c r="T14093" t="s">
        <v>47159</v>
      </c>
      <c r="U14093" t="s">
        <v>58849</v>
      </c>
      <c r="W14093" t="s">
        <v>44918</v>
      </c>
      <c r="X14093" t="s">
        <v>45119</v>
      </c>
    </row>
    <row r="14094" spans="1:24">
      <c r="A14094">
        <f>HYPERLINK("https://www.philgeps.gov.ph/GEPSNONPILOT/Tender/SplashBidNoticeAbstractUI.aspx?menuIndex=3&amp;refID=7008474&amp;Result=3","7008474")</f>
        <v>0</v>
      </c>
      <c r="B14094" t="s">
        <v>3055</v>
      </c>
      <c r="C14094" t="s">
        <v>16685</v>
      </c>
      <c r="E14094" t="s">
        <v>30342</v>
      </c>
      <c r="F14094" t="s">
        <v>31574</v>
      </c>
      <c r="G14094" t="s">
        <v>31582</v>
      </c>
      <c r="H14094" t="s">
        <v>31590</v>
      </c>
      <c r="I14094" t="s">
        <v>31615</v>
      </c>
      <c r="J14094" t="s">
        <v>31730</v>
      </c>
      <c r="K14094" t="s">
        <v>41193</v>
      </c>
      <c r="M14094" t="s">
        <v>44893</v>
      </c>
      <c r="N14094" t="s">
        <v>45095</v>
      </c>
      <c r="O14094" t="s">
        <v>45096</v>
      </c>
      <c r="P14094">
        <v>0</v>
      </c>
      <c r="Q14094">
        <v>10</v>
      </c>
      <c r="R14094" t="s">
        <v>45117</v>
      </c>
      <c r="S14094" t="s">
        <v>45992</v>
      </c>
      <c r="T14094" t="s">
        <v>47176</v>
      </c>
      <c r="U14094" t="s">
        <v>58850</v>
      </c>
      <c r="V14094" t="s">
        <v>61365</v>
      </c>
      <c r="W14094" t="s">
        <v>44893</v>
      </c>
      <c r="X14094" t="s">
        <v>45122</v>
      </c>
    </row>
    <row r="14095" spans="1:24">
      <c r="A14095">
        <f>HYPERLINK("https://www.philgeps.gov.ph/GEPSNONPILOT/Tender/SplashBidNoticeAbstractUI.aspx?menuIndex=3&amp;refID=7008977&amp;Result=3","7008977")</f>
        <v>0</v>
      </c>
      <c r="B14095" t="s">
        <v>1074</v>
      </c>
      <c r="C14095" t="s">
        <v>16686</v>
      </c>
      <c r="D14095" t="s">
        <v>18040</v>
      </c>
      <c r="E14095" t="s">
        <v>28896</v>
      </c>
      <c r="F14095" t="s">
        <v>31574</v>
      </c>
      <c r="G14095" t="s">
        <v>31585</v>
      </c>
      <c r="H14095" t="s">
        <v>31591</v>
      </c>
      <c r="I14095" t="s">
        <v>8822</v>
      </c>
      <c r="J14095" t="s">
        <v>37971</v>
      </c>
      <c r="K14095" t="s">
        <v>41189</v>
      </c>
      <c r="M14095" t="s">
        <v>42620</v>
      </c>
      <c r="N14095" t="s">
        <v>45095</v>
      </c>
      <c r="O14095" t="s">
        <v>45096</v>
      </c>
      <c r="P14095">
        <v>0</v>
      </c>
      <c r="Q14095">
        <v>1</v>
      </c>
      <c r="R14095" t="s">
        <v>45117</v>
      </c>
      <c r="S14095" t="s">
        <v>45992</v>
      </c>
      <c r="T14095" t="s">
        <v>47159</v>
      </c>
      <c r="U14095" t="s">
        <v>58851</v>
      </c>
      <c r="W14095" t="s">
        <v>42620</v>
      </c>
      <c r="X14095" t="s">
        <v>45120</v>
      </c>
    </row>
    <row r="14096" spans="1:24">
      <c r="A14096">
        <f>HYPERLINK("https://www.philgeps.gov.ph/GEPSNONPILOT/Tender/SplashBidNoticeAbstractUI.aspx?menuIndex=3&amp;refID=7007474&amp;Result=3","7007474")</f>
        <v>0</v>
      </c>
      <c r="B14096" t="s">
        <v>3093</v>
      </c>
      <c r="C14096" t="s">
        <v>16687</v>
      </c>
      <c r="D14096" t="s">
        <v>18064</v>
      </c>
      <c r="E14096" t="s">
        <v>30343</v>
      </c>
      <c r="F14096" t="s">
        <v>31574</v>
      </c>
      <c r="G14096" t="s">
        <v>31582</v>
      </c>
      <c r="H14096" t="s">
        <v>31591</v>
      </c>
      <c r="I14096" t="s">
        <v>8822</v>
      </c>
      <c r="J14096" t="s">
        <v>31728</v>
      </c>
      <c r="K14096" t="s">
        <v>41200</v>
      </c>
      <c r="M14096" t="s">
        <v>44938</v>
      </c>
      <c r="N14096" t="s">
        <v>45095</v>
      </c>
      <c r="O14096" t="s">
        <v>45096</v>
      </c>
      <c r="P14096">
        <v>0</v>
      </c>
      <c r="Q14096">
        <v>29</v>
      </c>
      <c r="R14096" t="s">
        <v>45117</v>
      </c>
      <c r="S14096" t="s">
        <v>45992</v>
      </c>
      <c r="T14096" t="s">
        <v>47314</v>
      </c>
      <c r="U14096" t="s">
        <v>58852</v>
      </c>
      <c r="W14096" t="s">
        <v>44938</v>
      </c>
      <c r="X14096" t="s">
        <v>45122</v>
      </c>
    </row>
    <row r="14097" spans="1:24">
      <c r="A14097">
        <f>HYPERLINK("https://www.philgeps.gov.ph/GEPSNONPILOT/Tender/SplashBidNoticeAbstractUI.aspx?menuIndex=3&amp;refID=7009584&amp;Result=3","7009584")</f>
        <v>0</v>
      </c>
      <c r="B14097" t="s">
        <v>3099</v>
      </c>
      <c r="C14097" t="s">
        <v>16688</v>
      </c>
      <c r="D14097" t="s">
        <v>18046</v>
      </c>
      <c r="E14097" t="s">
        <v>30344</v>
      </c>
      <c r="F14097" t="s">
        <v>31574</v>
      </c>
      <c r="G14097" t="s">
        <v>31582</v>
      </c>
      <c r="H14097" t="s">
        <v>31590</v>
      </c>
      <c r="I14097" t="s">
        <v>31615</v>
      </c>
      <c r="J14097" t="s">
        <v>31819</v>
      </c>
      <c r="K14097" t="s">
        <v>41185</v>
      </c>
      <c r="M14097" t="s">
        <v>44944</v>
      </c>
      <c r="N14097" t="s">
        <v>45095</v>
      </c>
      <c r="O14097" t="s">
        <v>45096</v>
      </c>
      <c r="P14097">
        <v>0</v>
      </c>
      <c r="Q14097">
        <v>6</v>
      </c>
      <c r="R14097" t="s">
        <v>45117</v>
      </c>
      <c r="S14097" t="s">
        <v>45992</v>
      </c>
      <c r="T14097" t="s">
        <v>47176</v>
      </c>
      <c r="U14097" t="s">
        <v>58853</v>
      </c>
      <c r="V14097" t="s">
        <v>61416</v>
      </c>
      <c r="W14097" t="s">
        <v>44944</v>
      </c>
      <c r="X14097" t="s">
        <v>45119</v>
      </c>
    </row>
    <row r="14098" spans="1:24">
      <c r="A14098">
        <f>HYPERLINK("https://www.philgeps.gov.ph/GEPSNONPILOT/Tender/SplashBidNoticeAbstractUI.aspx?menuIndex=3&amp;refID=7009619&amp;Result=3","7009619")</f>
        <v>0</v>
      </c>
      <c r="B14098" t="s">
        <v>3075</v>
      </c>
      <c r="C14098" t="s">
        <v>16689</v>
      </c>
      <c r="D14098" t="s">
        <v>18066</v>
      </c>
      <c r="E14098" t="s">
        <v>30345</v>
      </c>
      <c r="F14098" t="s">
        <v>31574</v>
      </c>
      <c r="G14098" t="s">
        <v>31582</v>
      </c>
      <c r="H14098" t="s">
        <v>31591</v>
      </c>
      <c r="I14098" t="s">
        <v>8822</v>
      </c>
      <c r="J14098" t="s">
        <v>31947</v>
      </c>
      <c r="K14098" t="s">
        <v>41186</v>
      </c>
      <c r="M14098" t="s">
        <v>44918</v>
      </c>
      <c r="N14098" t="s">
        <v>45095</v>
      </c>
      <c r="O14098" t="s">
        <v>45096</v>
      </c>
      <c r="P14098">
        <v>0</v>
      </c>
      <c r="Q14098">
        <v>1</v>
      </c>
      <c r="R14098" t="s">
        <v>45117</v>
      </c>
      <c r="S14098" t="s">
        <v>45992</v>
      </c>
      <c r="T14098" t="s">
        <v>47159</v>
      </c>
      <c r="U14098" t="s">
        <v>58854</v>
      </c>
      <c r="W14098" t="s">
        <v>44918</v>
      </c>
      <c r="X14098" t="s">
        <v>45119</v>
      </c>
    </row>
    <row r="14099" spans="1:24">
      <c r="A14099">
        <f>HYPERLINK("https://www.philgeps.gov.ph/GEPSNONPILOT/Tender/SplashBidNoticeAbstractUI.aspx?menuIndex=3&amp;refID=7008496&amp;Result=3","7008496")</f>
        <v>0</v>
      </c>
      <c r="B14099" t="s">
        <v>3055</v>
      </c>
      <c r="C14099" t="s">
        <v>16690</v>
      </c>
      <c r="E14099" t="s">
        <v>30346</v>
      </c>
      <c r="F14099" t="s">
        <v>31574</v>
      </c>
      <c r="G14099" t="s">
        <v>31582</v>
      </c>
      <c r="H14099" t="s">
        <v>31590</v>
      </c>
      <c r="I14099" t="s">
        <v>31615</v>
      </c>
      <c r="J14099" t="s">
        <v>40380</v>
      </c>
      <c r="K14099" t="s">
        <v>41193</v>
      </c>
      <c r="M14099" t="s">
        <v>44893</v>
      </c>
      <c r="N14099" t="s">
        <v>45095</v>
      </c>
      <c r="O14099" t="s">
        <v>45096</v>
      </c>
      <c r="P14099">
        <v>0</v>
      </c>
      <c r="Q14099">
        <v>9</v>
      </c>
      <c r="R14099" t="s">
        <v>45117</v>
      </c>
      <c r="S14099" t="s">
        <v>45992</v>
      </c>
      <c r="T14099" t="s">
        <v>47176</v>
      </c>
      <c r="U14099" t="s">
        <v>58855</v>
      </c>
      <c r="V14099" t="s">
        <v>61365</v>
      </c>
      <c r="W14099" t="s">
        <v>44893</v>
      </c>
      <c r="X14099" t="s">
        <v>45122</v>
      </c>
    </row>
    <row r="14100" spans="1:24">
      <c r="A14100">
        <f>HYPERLINK("https://www.philgeps.gov.ph/GEPSNONPILOT/Tender/SplashBidNoticeAbstractUI.aspx?menuIndex=3&amp;refID=7009811&amp;Result=3","7009811")</f>
        <v>0</v>
      </c>
      <c r="B14100" t="s">
        <v>3055</v>
      </c>
      <c r="C14100" t="s">
        <v>16691</v>
      </c>
      <c r="E14100" t="s">
        <v>30347</v>
      </c>
      <c r="F14100" t="s">
        <v>31574</v>
      </c>
      <c r="G14100" t="s">
        <v>31582</v>
      </c>
      <c r="H14100" t="s">
        <v>31591</v>
      </c>
      <c r="I14100" t="s">
        <v>8822</v>
      </c>
      <c r="J14100" t="s">
        <v>40381</v>
      </c>
      <c r="K14100" t="s">
        <v>41200</v>
      </c>
      <c r="M14100" t="s">
        <v>44893</v>
      </c>
      <c r="N14100" t="s">
        <v>45095</v>
      </c>
      <c r="O14100" t="s">
        <v>45096</v>
      </c>
      <c r="P14100">
        <v>0</v>
      </c>
      <c r="Q14100">
        <v>0</v>
      </c>
      <c r="R14100" t="s">
        <v>45117</v>
      </c>
      <c r="S14100" t="s">
        <v>45992</v>
      </c>
      <c r="T14100" t="s">
        <v>47176</v>
      </c>
      <c r="U14100" t="s">
        <v>58856</v>
      </c>
      <c r="V14100" t="s">
        <v>61417</v>
      </c>
      <c r="W14100" t="s">
        <v>44893</v>
      </c>
      <c r="X14100" t="s">
        <v>45118</v>
      </c>
    </row>
    <row r="14101" spans="1:24">
      <c r="A14101">
        <f>HYPERLINK("https://www.philgeps.gov.ph/GEPSNONPILOT/Tender/SplashBidNoticeAbstractUI.aspx?menuIndex=3&amp;refID=7008982&amp;Result=3","7008982")</f>
        <v>0</v>
      </c>
      <c r="B14101" t="s">
        <v>1074</v>
      </c>
      <c r="C14101" t="s">
        <v>16692</v>
      </c>
      <c r="D14101" t="s">
        <v>18040</v>
      </c>
      <c r="E14101" t="s">
        <v>30348</v>
      </c>
      <c r="F14101" t="s">
        <v>31574</v>
      </c>
      <c r="G14101" t="s">
        <v>31582</v>
      </c>
      <c r="H14101" t="s">
        <v>31591</v>
      </c>
      <c r="I14101" t="s">
        <v>8822</v>
      </c>
      <c r="J14101" t="s">
        <v>40382</v>
      </c>
      <c r="K14101" t="s">
        <v>41186</v>
      </c>
      <c r="M14101" t="s">
        <v>42620</v>
      </c>
      <c r="N14101" t="s">
        <v>45095</v>
      </c>
      <c r="O14101" t="s">
        <v>45096</v>
      </c>
      <c r="P14101">
        <v>0</v>
      </c>
      <c r="Q14101">
        <v>0</v>
      </c>
      <c r="R14101" t="s">
        <v>45117</v>
      </c>
      <c r="S14101" t="s">
        <v>45992</v>
      </c>
      <c r="T14101" t="s">
        <v>47197</v>
      </c>
      <c r="U14101" t="s">
        <v>58857</v>
      </c>
      <c r="W14101" t="s">
        <v>42620</v>
      </c>
      <c r="X14101" t="s">
        <v>45120</v>
      </c>
    </row>
    <row r="14102" spans="1:24">
      <c r="A14102">
        <f>HYPERLINK("https://www.philgeps.gov.ph/GEPSNONPILOT/Tender/SplashBidNoticeAbstractUI.aspx?menuIndex=3&amp;refID=7009795&amp;Result=3","7009795")</f>
        <v>0</v>
      </c>
      <c r="B14102" t="s">
        <v>3055</v>
      </c>
      <c r="C14102" t="s">
        <v>16693</v>
      </c>
      <c r="D14102" t="s">
        <v>18026</v>
      </c>
      <c r="E14102" t="s">
        <v>30349</v>
      </c>
      <c r="F14102" t="s">
        <v>31574</v>
      </c>
      <c r="G14102" t="s">
        <v>31582</v>
      </c>
      <c r="H14102" t="s">
        <v>31591</v>
      </c>
      <c r="I14102" t="s">
        <v>8822</v>
      </c>
      <c r="J14102" t="s">
        <v>40383</v>
      </c>
      <c r="K14102" t="s">
        <v>41189</v>
      </c>
      <c r="M14102" t="s">
        <v>44893</v>
      </c>
      <c r="N14102" t="s">
        <v>45095</v>
      </c>
      <c r="O14102" t="s">
        <v>45096</v>
      </c>
      <c r="P14102">
        <v>0</v>
      </c>
      <c r="Q14102">
        <v>1</v>
      </c>
      <c r="R14102" t="s">
        <v>45117</v>
      </c>
      <c r="S14102" t="s">
        <v>45992</v>
      </c>
      <c r="T14102" t="s">
        <v>47176</v>
      </c>
      <c r="U14102" t="s">
        <v>58858</v>
      </c>
      <c r="V14102" t="s">
        <v>61417</v>
      </c>
      <c r="W14102" t="s">
        <v>44893</v>
      </c>
      <c r="X14102" t="s">
        <v>45118</v>
      </c>
    </row>
    <row r="14103" spans="1:24">
      <c r="A14103">
        <f>HYPERLINK("https://www.philgeps.gov.ph/GEPSNONPILOT/Tender/SplashBidNoticeAbstractUI.aspx?menuIndex=3&amp;refID=7009818&amp;Result=3","7009818")</f>
        <v>0</v>
      </c>
      <c r="B14103" t="s">
        <v>1429</v>
      </c>
      <c r="C14103" t="s">
        <v>16694</v>
      </c>
      <c r="D14103" t="s">
        <v>18072</v>
      </c>
      <c r="E14103" t="s">
        <v>30350</v>
      </c>
      <c r="F14103" t="s">
        <v>31574</v>
      </c>
      <c r="G14103" t="s">
        <v>31582</v>
      </c>
      <c r="H14103" t="s">
        <v>31590</v>
      </c>
      <c r="I14103" t="s">
        <v>31594</v>
      </c>
      <c r="J14103" t="s">
        <v>40384</v>
      </c>
      <c r="K14103" t="s">
        <v>41186</v>
      </c>
      <c r="M14103" t="s">
        <v>43005</v>
      </c>
      <c r="N14103" t="s">
        <v>45095</v>
      </c>
      <c r="O14103" t="s">
        <v>45096</v>
      </c>
      <c r="P14103">
        <v>0</v>
      </c>
      <c r="Q14103">
        <v>2</v>
      </c>
      <c r="R14103" t="s">
        <v>45117</v>
      </c>
      <c r="S14103" t="s">
        <v>45992</v>
      </c>
      <c r="T14103" t="s">
        <v>47276</v>
      </c>
      <c r="U14103" t="s">
        <v>58859</v>
      </c>
      <c r="V14103" t="s">
        <v>61418</v>
      </c>
      <c r="W14103" t="s">
        <v>43005</v>
      </c>
      <c r="X14103" t="s">
        <v>45118</v>
      </c>
    </row>
    <row r="14104" spans="1:24">
      <c r="A14104">
        <f>HYPERLINK("https://www.philgeps.gov.ph/GEPSNONPILOT/Tender/SplashBidNoticeAbstractUI.aspx?menuIndex=3&amp;refID=7009872&amp;Result=3","7009872")</f>
        <v>0</v>
      </c>
      <c r="B14104" t="s">
        <v>2077</v>
      </c>
      <c r="C14104" t="s">
        <v>16695</v>
      </c>
      <c r="D14104" t="s">
        <v>18089</v>
      </c>
      <c r="E14104" t="s">
        <v>30351</v>
      </c>
      <c r="F14104" t="s">
        <v>31574</v>
      </c>
      <c r="G14104" t="s">
        <v>31582</v>
      </c>
      <c r="H14104" t="s">
        <v>31590</v>
      </c>
      <c r="I14104" t="s">
        <v>31640</v>
      </c>
      <c r="J14104" t="s">
        <v>40385</v>
      </c>
      <c r="K14104" t="s">
        <v>41186</v>
      </c>
      <c r="M14104" t="s">
        <v>43752</v>
      </c>
      <c r="N14104" t="s">
        <v>45095</v>
      </c>
      <c r="O14104" t="s">
        <v>45096</v>
      </c>
      <c r="P14104">
        <v>0</v>
      </c>
      <c r="Q14104">
        <v>4</v>
      </c>
      <c r="R14104" t="s">
        <v>45117</v>
      </c>
      <c r="S14104" t="s">
        <v>45992</v>
      </c>
      <c r="T14104" t="s">
        <v>46977</v>
      </c>
      <c r="U14104" t="s">
        <v>58860</v>
      </c>
      <c r="W14104" t="s">
        <v>43752</v>
      </c>
      <c r="X14104" t="s">
        <v>45118</v>
      </c>
    </row>
    <row r="14105" spans="1:24">
      <c r="A14105">
        <f>HYPERLINK("https://www.philgeps.gov.ph/GEPSNONPILOT/Tender/SplashBidNoticeAbstractUI.aspx?menuIndex=3&amp;refID=7009909&amp;Result=3","7009909")</f>
        <v>0</v>
      </c>
      <c r="B14105" t="s">
        <v>3055</v>
      </c>
      <c r="C14105" t="s">
        <v>16696</v>
      </c>
      <c r="D14105" t="s">
        <v>18026</v>
      </c>
      <c r="E14105" t="s">
        <v>30352</v>
      </c>
      <c r="F14105" t="s">
        <v>31574</v>
      </c>
      <c r="G14105" t="s">
        <v>31582</v>
      </c>
      <c r="H14105" t="s">
        <v>31591</v>
      </c>
      <c r="I14105" t="s">
        <v>8822</v>
      </c>
      <c r="J14105" t="s">
        <v>40386</v>
      </c>
      <c r="K14105" t="s">
        <v>41263</v>
      </c>
      <c r="M14105" t="s">
        <v>44893</v>
      </c>
      <c r="N14105" t="s">
        <v>45095</v>
      </c>
      <c r="O14105" t="s">
        <v>45096</v>
      </c>
      <c r="P14105">
        <v>0</v>
      </c>
      <c r="Q14105">
        <v>0</v>
      </c>
      <c r="R14105" t="s">
        <v>45117</v>
      </c>
      <c r="S14105" t="s">
        <v>45992</v>
      </c>
      <c r="T14105" t="s">
        <v>47176</v>
      </c>
      <c r="U14105" t="s">
        <v>58861</v>
      </c>
      <c r="V14105" t="s">
        <v>61419</v>
      </c>
      <c r="W14105" t="s">
        <v>44893</v>
      </c>
      <c r="X14105" t="s">
        <v>45118</v>
      </c>
    </row>
    <row r="14106" spans="1:24">
      <c r="A14106">
        <f>HYPERLINK("https://www.philgeps.gov.ph/GEPSNONPILOT/Tender/SplashBidNoticeAbstractUI.aspx?menuIndex=3&amp;refID=7009784&amp;Result=3","7009784")</f>
        <v>0</v>
      </c>
      <c r="B14106" t="s">
        <v>3033</v>
      </c>
      <c r="C14106" t="s">
        <v>16697</v>
      </c>
      <c r="D14106" t="s">
        <v>18059</v>
      </c>
      <c r="E14106" t="s">
        <v>30353</v>
      </c>
      <c r="F14106" t="s">
        <v>31574</v>
      </c>
      <c r="G14106" t="s">
        <v>31582</v>
      </c>
      <c r="H14106" t="s">
        <v>31591</v>
      </c>
      <c r="I14106" t="s">
        <v>8822</v>
      </c>
      <c r="J14106" t="s">
        <v>38569</v>
      </c>
      <c r="K14106" t="s">
        <v>41308</v>
      </c>
      <c r="M14106" t="s">
        <v>44866</v>
      </c>
      <c r="N14106" t="s">
        <v>45095</v>
      </c>
      <c r="O14106" t="s">
        <v>45096</v>
      </c>
      <c r="Q14106">
        <v>2</v>
      </c>
      <c r="R14106" t="s">
        <v>45117</v>
      </c>
      <c r="S14106" t="s">
        <v>45937</v>
      </c>
      <c r="T14106" t="s">
        <v>47228</v>
      </c>
      <c r="U14106" t="s">
        <v>58862</v>
      </c>
      <c r="W14106" t="s">
        <v>44866</v>
      </c>
      <c r="X14106" t="s">
        <v>45118</v>
      </c>
    </row>
    <row r="14107" spans="1:24">
      <c r="A14107">
        <f>HYPERLINK("https://www.philgeps.gov.ph/GEPSNONPILOT/Tender/SplashBidNoticeAbstractUI.aspx?menuIndex=3&amp;refID=7009814&amp;Result=3","7009814")</f>
        <v>0</v>
      </c>
      <c r="B14107" t="s">
        <v>683</v>
      </c>
      <c r="C14107" t="s">
        <v>16698</v>
      </c>
      <c r="D14107" t="s">
        <v>18059</v>
      </c>
      <c r="E14107" t="s">
        <v>30354</v>
      </c>
      <c r="F14107" t="s">
        <v>31574</v>
      </c>
      <c r="G14107" t="s">
        <v>31582</v>
      </c>
      <c r="H14107" t="s">
        <v>31591</v>
      </c>
      <c r="I14107" t="s">
        <v>8822</v>
      </c>
      <c r="J14107" t="s">
        <v>33301</v>
      </c>
      <c r="K14107" t="s">
        <v>41184</v>
      </c>
      <c r="M14107" t="s">
        <v>42190</v>
      </c>
      <c r="N14107" t="s">
        <v>45095</v>
      </c>
      <c r="O14107" t="s">
        <v>45096</v>
      </c>
      <c r="P14107">
        <v>0</v>
      </c>
      <c r="Q14107">
        <v>0</v>
      </c>
      <c r="R14107" t="s">
        <v>45117</v>
      </c>
      <c r="S14107" t="s">
        <v>45992</v>
      </c>
      <c r="T14107" t="s">
        <v>47159</v>
      </c>
      <c r="U14107" t="s">
        <v>58863</v>
      </c>
      <c r="W14107" t="s">
        <v>42190</v>
      </c>
      <c r="X14107" t="s">
        <v>45118</v>
      </c>
    </row>
    <row r="14108" spans="1:24">
      <c r="A14108">
        <f>HYPERLINK("https://www.philgeps.gov.ph/GEPSNONPILOT/Tender/SplashBidNoticeAbstractUI.aspx?menuIndex=3&amp;refID=7009874&amp;Result=3","7009874")</f>
        <v>0</v>
      </c>
      <c r="B14108" t="s">
        <v>3055</v>
      </c>
      <c r="C14108" t="s">
        <v>16699</v>
      </c>
      <c r="D14108" t="s">
        <v>18026</v>
      </c>
      <c r="E14108" t="s">
        <v>30355</v>
      </c>
      <c r="F14108" t="s">
        <v>31574</v>
      </c>
      <c r="G14108" t="s">
        <v>31582</v>
      </c>
      <c r="H14108" t="s">
        <v>31591</v>
      </c>
      <c r="I14108" t="s">
        <v>8822</v>
      </c>
      <c r="J14108" t="s">
        <v>40387</v>
      </c>
      <c r="K14108" t="s">
        <v>41200</v>
      </c>
      <c r="M14108" t="s">
        <v>44893</v>
      </c>
      <c r="N14108" t="s">
        <v>45095</v>
      </c>
      <c r="O14108" t="s">
        <v>45096</v>
      </c>
      <c r="P14108">
        <v>0</v>
      </c>
      <c r="Q14108">
        <v>0</v>
      </c>
      <c r="R14108" t="s">
        <v>45117</v>
      </c>
      <c r="S14108" t="s">
        <v>45992</v>
      </c>
      <c r="T14108" t="s">
        <v>47176</v>
      </c>
      <c r="U14108" t="s">
        <v>58864</v>
      </c>
      <c r="V14108" t="s">
        <v>61419</v>
      </c>
      <c r="W14108" t="s">
        <v>44893</v>
      </c>
      <c r="X14108" t="s">
        <v>45118</v>
      </c>
    </row>
    <row r="14109" spans="1:24">
      <c r="A14109">
        <f>HYPERLINK("https://www.philgeps.gov.ph/GEPSNONPILOT/Tender/SplashBidNoticeAbstractUI.aspx?menuIndex=3&amp;refID=7009822&amp;Result=3","7009822")</f>
        <v>0</v>
      </c>
      <c r="B14109" t="s">
        <v>355</v>
      </c>
      <c r="C14109" t="s">
        <v>16700</v>
      </c>
      <c r="D14109" t="s">
        <v>18043</v>
      </c>
      <c r="E14109" t="s">
        <v>30356</v>
      </c>
      <c r="F14109" t="s">
        <v>31574</v>
      </c>
      <c r="G14109" t="s">
        <v>31582</v>
      </c>
      <c r="H14109" t="s">
        <v>31591</v>
      </c>
      <c r="I14109" t="s">
        <v>8822</v>
      </c>
      <c r="J14109" t="s">
        <v>40388</v>
      </c>
      <c r="K14109" t="s">
        <v>41363</v>
      </c>
      <c r="M14109" t="s">
        <v>41845</v>
      </c>
      <c r="N14109" t="s">
        <v>45095</v>
      </c>
      <c r="O14109" t="s">
        <v>45096</v>
      </c>
      <c r="P14109">
        <v>0</v>
      </c>
      <c r="Q14109">
        <v>0</v>
      </c>
      <c r="R14109" t="s">
        <v>45117</v>
      </c>
      <c r="S14109" t="s">
        <v>45992</v>
      </c>
      <c r="T14109" t="s">
        <v>46922</v>
      </c>
      <c r="U14109" t="s">
        <v>58865</v>
      </c>
      <c r="V14109" t="s">
        <v>61333</v>
      </c>
      <c r="W14109" t="s">
        <v>41845</v>
      </c>
      <c r="X14109" t="s">
        <v>45118</v>
      </c>
    </row>
    <row r="14110" spans="1:24">
      <c r="A14110">
        <f>HYPERLINK("https://www.philgeps.gov.ph/GEPSNONPILOT/Tender/SplashBidNoticeAbstractUI.aspx?menuIndex=3&amp;refID=7009869&amp;Result=3","7009869")</f>
        <v>0</v>
      </c>
      <c r="B14110" t="s">
        <v>1429</v>
      </c>
      <c r="C14110" t="s">
        <v>16701</v>
      </c>
      <c r="D14110" t="s">
        <v>18072</v>
      </c>
      <c r="E14110" t="s">
        <v>30357</v>
      </c>
      <c r="F14110" t="s">
        <v>31574</v>
      </c>
      <c r="G14110" t="s">
        <v>31582</v>
      </c>
      <c r="H14110" t="s">
        <v>31590</v>
      </c>
      <c r="I14110" t="s">
        <v>31594</v>
      </c>
      <c r="J14110" t="s">
        <v>40389</v>
      </c>
      <c r="K14110" t="s">
        <v>41186</v>
      </c>
      <c r="M14110" t="s">
        <v>43005</v>
      </c>
      <c r="N14110" t="s">
        <v>45095</v>
      </c>
      <c r="O14110" t="s">
        <v>45096</v>
      </c>
      <c r="P14110">
        <v>0</v>
      </c>
      <c r="Q14110">
        <v>3</v>
      </c>
      <c r="R14110" t="s">
        <v>45117</v>
      </c>
      <c r="S14110" t="s">
        <v>45992</v>
      </c>
      <c r="T14110" t="s">
        <v>46985</v>
      </c>
      <c r="U14110" t="s">
        <v>58866</v>
      </c>
      <c r="V14110" t="s">
        <v>61420</v>
      </c>
      <c r="W14110" t="s">
        <v>43005</v>
      </c>
      <c r="X14110" t="s">
        <v>45118</v>
      </c>
    </row>
    <row r="14111" spans="1:24">
      <c r="A14111">
        <f>HYPERLINK("https://www.philgeps.gov.ph/GEPSNONPILOT/Tender/SplashBidNoticeAbstractUI.aspx?menuIndex=3&amp;refID=7009776&amp;Result=3","7009776")</f>
        <v>0</v>
      </c>
      <c r="B14111" t="s">
        <v>1304</v>
      </c>
      <c r="C14111" t="s">
        <v>16702</v>
      </c>
      <c r="D14111" t="s">
        <v>18090</v>
      </c>
      <c r="E14111" t="s">
        <v>30358</v>
      </c>
      <c r="F14111" t="s">
        <v>31574</v>
      </c>
      <c r="G14111" t="s">
        <v>31582</v>
      </c>
      <c r="H14111" t="s">
        <v>31591</v>
      </c>
      <c r="I14111" t="s">
        <v>4046</v>
      </c>
      <c r="J14111" t="s">
        <v>40390</v>
      </c>
      <c r="K14111" t="s">
        <v>41186</v>
      </c>
      <c r="M14111" t="s">
        <v>42874</v>
      </c>
      <c r="N14111" t="s">
        <v>45095</v>
      </c>
      <c r="O14111" t="s">
        <v>45096</v>
      </c>
      <c r="P14111">
        <v>0</v>
      </c>
      <c r="Q14111">
        <v>3</v>
      </c>
      <c r="R14111" t="s">
        <v>45117</v>
      </c>
      <c r="S14111" t="s">
        <v>45992</v>
      </c>
      <c r="T14111" t="s">
        <v>47159</v>
      </c>
      <c r="U14111" t="s">
        <v>58867</v>
      </c>
      <c r="V14111" t="s">
        <v>61421</v>
      </c>
      <c r="W14111" t="s">
        <v>42874</v>
      </c>
      <c r="X14111" t="s">
        <v>45118</v>
      </c>
    </row>
    <row r="14112" spans="1:24">
      <c r="A14112">
        <f>HYPERLINK("https://www.philgeps.gov.ph/GEPSNONPILOT/Tender/SplashBidNoticeAbstractUI.aspx?menuIndex=3&amp;refID=7009831&amp;Result=3","7009831")</f>
        <v>0</v>
      </c>
      <c r="B14112" t="s">
        <v>3055</v>
      </c>
      <c r="C14112" t="s">
        <v>16703</v>
      </c>
      <c r="D14112" t="s">
        <v>18026</v>
      </c>
      <c r="E14112" t="s">
        <v>30349</v>
      </c>
      <c r="F14112" t="s">
        <v>31574</v>
      </c>
      <c r="G14112" t="s">
        <v>31582</v>
      </c>
      <c r="H14112" t="s">
        <v>31591</v>
      </c>
      <c r="I14112" t="s">
        <v>8822</v>
      </c>
      <c r="J14112" t="s">
        <v>40391</v>
      </c>
      <c r="K14112" t="s">
        <v>41263</v>
      </c>
      <c r="M14112" t="s">
        <v>44893</v>
      </c>
      <c r="N14112" t="s">
        <v>45095</v>
      </c>
      <c r="O14112" t="s">
        <v>45096</v>
      </c>
      <c r="P14112">
        <v>0</v>
      </c>
      <c r="Q14112">
        <v>1</v>
      </c>
      <c r="R14112" t="s">
        <v>45117</v>
      </c>
      <c r="S14112" t="s">
        <v>45992</v>
      </c>
      <c r="T14112" t="s">
        <v>47176</v>
      </c>
      <c r="U14112" t="s">
        <v>58868</v>
      </c>
      <c r="V14112" t="s">
        <v>61417</v>
      </c>
      <c r="W14112" t="s">
        <v>44893</v>
      </c>
      <c r="X14112" t="s">
        <v>45118</v>
      </c>
    </row>
    <row r="14113" spans="1:24">
      <c r="A14113">
        <f>HYPERLINK("https://www.philgeps.gov.ph/GEPSNONPILOT/Tender/SplashBidNoticeAbstractUI.aspx?menuIndex=3&amp;refID=7009625&amp;Result=3","7009625")</f>
        <v>0</v>
      </c>
      <c r="B14113" t="s">
        <v>3075</v>
      </c>
      <c r="C14113" t="s">
        <v>16704</v>
      </c>
      <c r="D14113" t="s">
        <v>18066</v>
      </c>
      <c r="E14113" t="s">
        <v>30359</v>
      </c>
      <c r="F14113" t="s">
        <v>31574</v>
      </c>
      <c r="G14113" t="s">
        <v>31582</v>
      </c>
      <c r="H14113" t="s">
        <v>31591</v>
      </c>
      <c r="I14113" t="s">
        <v>8822</v>
      </c>
      <c r="J14113" t="s">
        <v>31935</v>
      </c>
      <c r="K14113" t="s">
        <v>41192</v>
      </c>
      <c r="M14113" t="s">
        <v>44918</v>
      </c>
      <c r="N14113" t="s">
        <v>45095</v>
      </c>
      <c r="O14113" t="s">
        <v>45096</v>
      </c>
      <c r="P14113">
        <v>0</v>
      </c>
      <c r="Q14113">
        <v>1</v>
      </c>
      <c r="R14113" t="s">
        <v>45117</v>
      </c>
      <c r="S14113" t="s">
        <v>45992</v>
      </c>
      <c r="T14113" t="s">
        <v>47159</v>
      </c>
      <c r="U14113" t="s">
        <v>58869</v>
      </c>
      <c r="W14113" t="s">
        <v>44918</v>
      </c>
      <c r="X14113" t="s">
        <v>45119</v>
      </c>
    </row>
    <row r="14114" spans="1:24">
      <c r="A14114">
        <f>HYPERLINK("https://www.philgeps.gov.ph/GEPSNONPILOT/Tender/SplashBidNoticeAbstractUI.aspx?menuIndex=3&amp;refID=7009857&amp;Result=3","7009857")</f>
        <v>0</v>
      </c>
      <c r="B14114" t="s">
        <v>3055</v>
      </c>
      <c r="C14114" t="s">
        <v>16705</v>
      </c>
      <c r="D14114" t="s">
        <v>18026</v>
      </c>
      <c r="E14114" t="s">
        <v>30360</v>
      </c>
      <c r="F14114" t="s">
        <v>31574</v>
      </c>
      <c r="G14114" t="s">
        <v>31582</v>
      </c>
      <c r="H14114" t="s">
        <v>31591</v>
      </c>
      <c r="I14114" t="s">
        <v>8822</v>
      </c>
      <c r="J14114" t="s">
        <v>40392</v>
      </c>
      <c r="K14114" t="s">
        <v>41189</v>
      </c>
      <c r="M14114" t="s">
        <v>44893</v>
      </c>
      <c r="N14114" t="s">
        <v>45095</v>
      </c>
      <c r="O14114" t="s">
        <v>45096</v>
      </c>
      <c r="P14114">
        <v>0</v>
      </c>
      <c r="Q14114">
        <v>0</v>
      </c>
      <c r="R14114" t="s">
        <v>45117</v>
      </c>
      <c r="S14114" t="s">
        <v>45992</v>
      </c>
      <c r="T14114" t="s">
        <v>47176</v>
      </c>
      <c r="U14114" t="s">
        <v>58870</v>
      </c>
      <c r="V14114" t="s">
        <v>61419</v>
      </c>
      <c r="W14114" t="s">
        <v>44893</v>
      </c>
      <c r="X14114" t="s">
        <v>45118</v>
      </c>
    </row>
    <row r="14115" spans="1:24">
      <c r="A14115">
        <f>HYPERLINK("https://www.philgeps.gov.ph/GEPSNONPILOT/Tender/SplashBidNoticeAbstractUI.aspx?menuIndex=3&amp;refID=7008349&amp;Result=3","7008349")</f>
        <v>0</v>
      </c>
      <c r="B14115" t="s">
        <v>2061</v>
      </c>
      <c r="C14115" t="s">
        <v>16706</v>
      </c>
      <c r="D14115" t="s">
        <v>18041</v>
      </c>
      <c r="E14115" t="s">
        <v>20123</v>
      </c>
      <c r="F14115" t="s">
        <v>31574</v>
      </c>
      <c r="G14115" t="s">
        <v>31582</v>
      </c>
      <c r="H14115" t="s">
        <v>31590</v>
      </c>
      <c r="I14115" t="s">
        <v>31606</v>
      </c>
      <c r="J14115" t="s">
        <v>33114</v>
      </c>
      <c r="K14115" t="s">
        <v>41186</v>
      </c>
      <c r="M14115" t="s">
        <v>43735</v>
      </c>
      <c r="N14115" t="s">
        <v>45095</v>
      </c>
      <c r="O14115" t="s">
        <v>45096</v>
      </c>
      <c r="P14115">
        <v>0</v>
      </c>
      <c r="Q14115">
        <v>3</v>
      </c>
      <c r="R14115" t="s">
        <v>45117</v>
      </c>
      <c r="S14115" t="s">
        <v>45992</v>
      </c>
      <c r="T14115" t="s">
        <v>47193</v>
      </c>
      <c r="U14115" t="s">
        <v>53182</v>
      </c>
      <c r="W14115" t="s">
        <v>43735</v>
      </c>
      <c r="X14115" t="s">
        <v>45122</v>
      </c>
    </row>
    <row r="14116" spans="1:24">
      <c r="A14116">
        <f>HYPERLINK("https://www.philgeps.gov.ph/GEPSNONPILOT/Tender/SplashBidNoticeAbstractUI.aspx?menuIndex=3&amp;refID=7009709&amp;Result=3","7009709")</f>
        <v>0</v>
      </c>
      <c r="B14116" t="s">
        <v>1509</v>
      </c>
      <c r="C14116" t="s">
        <v>16707</v>
      </c>
      <c r="D14116" t="s">
        <v>18022</v>
      </c>
      <c r="E14116" t="s">
        <v>30361</v>
      </c>
      <c r="F14116" t="s">
        <v>31574</v>
      </c>
      <c r="G14116" t="s">
        <v>31582</v>
      </c>
      <c r="H14116" t="s">
        <v>31590</v>
      </c>
      <c r="I14116" t="s">
        <v>31608</v>
      </c>
      <c r="J14116" t="s">
        <v>32550</v>
      </c>
      <c r="K14116" t="s">
        <v>41185</v>
      </c>
      <c r="M14116" t="s">
        <v>44945</v>
      </c>
      <c r="N14116" t="s">
        <v>45095</v>
      </c>
      <c r="O14116" t="s">
        <v>45096</v>
      </c>
      <c r="Q14116">
        <v>7</v>
      </c>
      <c r="R14116" t="s">
        <v>45117</v>
      </c>
      <c r="S14116" t="s">
        <v>45999</v>
      </c>
      <c r="T14116" t="s">
        <v>47159</v>
      </c>
      <c r="U14116" t="s">
        <v>58871</v>
      </c>
      <c r="W14116" t="s">
        <v>44945</v>
      </c>
      <c r="X14116" t="s">
        <v>45119</v>
      </c>
    </row>
    <row r="14117" spans="1:24">
      <c r="A14117">
        <f>HYPERLINK("https://www.philgeps.gov.ph/GEPSNONPILOT/Tender/SplashBidNoticeAbstractUI.aspx?menuIndex=3&amp;refID=7009780&amp;Result=3","7009780")</f>
        <v>0</v>
      </c>
      <c r="B14117" t="s">
        <v>3055</v>
      </c>
      <c r="C14117" t="s">
        <v>16708</v>
      </c>
      <c r="D14117" t="s">
        <v>18026</v>
      </c>
      <c r="E14117" t="s">
        <v>30362</v>
      </c>
      <c r="F14117" t="s">
        <v>31574</v>
      </c>
      <c r="G14117" t="s">
        <v>31582</v>
      </c>
      <c r="H14117" t="s">
        <v>31591</v>
      </c>
      <c r="I14117" t="s">
        <v>8822</v>
      </c>
      <c r="J14117" t="s">
        <v>40393</v>
      </c>
      <c r="K14117" t="s">
        <v>41200</v>
      </c>
      <c r="M14117" t="s">
        <v>44893</v>
      </c>
      <c r="N14117" t="s">
        <v>45095</v>
      </c>
      <c r="O14117" t="s">
        <v>45096</v>
      </c>
      <c r="P14117">
        <v>0</v>
      </c>
      <c r="Q14117">
        <v>0</v>
      </c>
      <c r="R14117" t="s">
        <v>45117</v>
      </c>
      <c r="S14117" t="s">
        <v>45992</v>
      </c>
      <c r="T14117" t="s">
        <v>47176</v>
      </c>
      <c r="U14117" t="s">
        <v>58872</v>
      </c>
      <c r="V14117" t="s">
        <v>61417</v>
      </c>
      <c r="W14117" t="s">
        <v>44893</v>
      </c>
      <c r="X14117" t="s">
        <v>45118</v>
      </c>
    </row>
    <row r="14118" spans="1:24">
      <c r="A14118">
        <f>HYPERLINK("https://www.philgeps.gov.ph/GEPSNONPILOT/Tender/SplashBidNoticeAbstractUI.aspx?menuIndex=3&amp;refID=7009846&amp;Result=3","7009846")</f>
        <v>0</v>
      </c>
      <c r="B14118" t="s">
        <v>3055</v>
      </c>
      <c r="C14118" t="s">
        <v>16709</v>
      </c>
      <c r="D14118" t="s">
        <v>18026</v>
      </c>
      <c r="E14118" t="s">
        <v>30363</v>
      </c>
      <c r="F14118" t="s">
        <v>31574</v>
      </c>
      <c r="G14118" t="s">
        <v>31582</v>
      </c>
      <c r="H14118" t="s">
        <v>31591</v>
      </c>
      <c r="I14118" t="s">
        <v>8822</v>
      </c>
      <c r="J14118" t="s">
        <v>40394</v>
      </c>
      <c r="K14118" t="s">
        <v>41200</v>
      </c>
      <c r="M14118" t="s">
        <v>44893</v>
      </c>
      <c r="N14118" t="s">
        <v>45095</v>
      </c>
      <c r="O14118" t="s">
        <v>45096</v>
      </c>
      <c r="P14118">
        <v>0</v>
      </c>
      <c r="Q14118">
        <v>0</v>
      </c>
      <c r="R14118" t="s">
        <v>45117</v>
      </c>
      <c r="S14118" t="s">
        <v>45992</v>
      </c>
      <c r="T14118" t="s">
        <v>47176</v>
      </c>
      <c r="U14118" t="s">
        <v>58873</v>
      </c>
      <c r="V14118" t="s">
        <v>61419</v>
      </c>
      <c r="W14118" t="s">
        <v>44893</v>
      </c>
      <c r="X14118" t="s">
        <v>45118</v>
      </c>
    </row>
    <row r="14119" spans="1:24">
      <c r="A14119">
        <f>HYPERLINK("https://www.philgeps.gov.ph/GEPSNONPILOT/Tender/SplashBidNoticeAbstractUI.aspx?menuIndex=3&amp;refID=7009923&amp;Result=3","7009923")</f>
        <v>0</v>
      </c>
      <c r="B14119" t="s">
        <v>3055</v>
      </c>
      <c r="C14119" t="s">
        <v>16710</v>
      </c>
      <c r="D14119" t="s">
        <v>18026</v>
      </c>
      <c r="E14119" t="s">
        <v>30364</v>
      </c>
      <c r="F14119" t="s">
        <v>31574</v>
      </c>
      <c r="G14119" t="s">
        <v>31582</v>
      </c>
      <c r="H14119" t="s">
        <v>31591</v>
      </c>
      <c r="I14119" t="s">
        <v>8822</v>
      </c>
      <c r="J14119" t="s">
        <v>40395</v>
      </c>
      <c r="K14119" t="s">
        <v>41189</v>
      </c>
      <c r="M14119" t="s">
        <v>44893</v>
      </c>
      <c r="N14119" t="s">
        <v>45095</v>
      </c>
      <c r="O14119" t="s">
        <v>45096</v>
      </c>
      <c r="P14119">
        <v>0</v>
      </c>
      <c r="Q14119">
        <v>0</v>
      </c>
      <c r="R14119" t="s">
        <v>45117</v>
      </c>
      <c r="S14119" t="s">
        <v>45992</v>
      </c>
      <c r="T14119" t="s">
        <v>47176</v>
      </c>
      <c r="U14119" t="s">
        <v>58874</v>
      </c>
      <c r="V14119" t="s">
        <v>61419</v>
      </c>
      <c r="W14119" t="s">
        <v>44893</v>
      </c>
      <c r="X14119" t="s">
        <v>45118</v>
      </c>
    </row>
    <row r="14120" spans="1:24">
      <c r="A14120">
        <f>HYPERLINK("https://www.philgeps.gov.ph/GEPSNONPILOT/Tender/SplashBidNoticeAbstractUI.aspx?menuIndex=3&amp;refID=7010034&amp;Result=3","7010034")</f>
        <v>0</v>
      </c>
      <c r="B14120" t="s">
        <v>771</v>
      </c>
      <c r="C14120" t="s">
        <v>16711</v>
      </c>
      <c r="D14120" t="s">
        <v>18050</v>
      </c>
      <c r="E14120" t="s">
        <v>30365</v>
      </c>
      <c r="F14120" t="s">
        <v>31574</v>
      </c>
      <c r="G14120" t="s">
        <v>31582</v>
      </c>
      <c r="H14120" t="s">
        <v>31590</v>
      </c>
      <c r="I14120" t="s">
        <v>3487</v>
      </c>
      <c r="J14120" t="s">
        <v>40396</v>
      </c>
      <c r="K14120" t="s">
        <v>41186</v>
      </c>
      <c r="M14120" t="s">
        <v>42285</v>
      </c>
      <c r="N14120" t="s">
        <v>45095</v>
      </c>
      <c r="O14120" t="s">
        <v>45096</v>
      </c>
      <c r="Q14120">
        <v>9</v>
      </c>
      <c r="R14120" t="s">
        <v>45117</v>
      </c>
      <c r="S14120" t="s">
        <v>46000</v>
      </c>
      <c r="T14120" t="s">
        <v>46963</v>
      </c>
      <c r="U14120" t="s">
        <v>58875</v>
      </c>
      <c r="W14120" t="s">
        <v>42285</v>
      </c>
      <c r="X14120" t="s">
        <v>45118</v>
      </c>
    </row>
    <row r="14121" spans="1:24">
      <c r="A14121">
        <f>HYPERLINK("https://www.philgeps.gov.ph/GEPSNONPILOT/Tender/SplashBidNoticeAbstractUI.aspx?menuIndex=3&amp;refID=7010031&amp;Result=3","7010031")</f>
        <v>0</v>
      </c>
      <c r="B14121" t="s">
        <v>2751</v>
      </c>
      <c r="C14121" t="s">
        <v>16712</v>
      </c>
      <c r="D14121" t="s">
        <v>18049</v>
      </c>
      <c r="E14121" t="s">
        <v>30366</v>
      </c>
      <c r="F14121" t="s">
        <v>31574</v>
      </c>
      <c r="G14121" t="s">
        <v>31582</v>
      </c>
      <c r="H14121" t="s">
        <v>31591</v>
      </c>
      <c r="I14121" t="s">
        <v>8822</v>
      </c>
      <c r="J14121" t="s">
        <v>40397</v>
      </c>
      <c r="K14121" t="s">
        <v>41282</v>
      </c>
      <c r="M14121" t="s">
        <v>44523</v>
      </c>
      <c r="N14121" t="s">
        <v>45095</v>
      </c>
      <c r="O14121" t="s">
        <v>45096</v>
      </c>
      <c r="P14121">
        <v>0</v>
      </c>
      <c r="Q14121">
        <v>1</v>
      </c>
      <c r="R14121" t="s">
        <v>45117</v>
      </c>
      <c r="S14121" t="s">
        <v>45992</v>
      </c>
      <c r="T14121" t="s">
        <v>47124</v>
      </c>
      <c r="U14121" t="s">
        <v>58876</v>
      </c>
      <c r="W14121" t="s">
        <v>44523</v>
      </c>
      <c r="X14121" t="s">
        <v>45118</v>
      </c>
    </row>
    <row r="14122" spans="1:24">
      <c r="A14122">
        <f>HYPERLINK("https://www.philgeps.gov.ph/GEPSNONPILOT/Tender/SplashBidNoticeAbstractUI.aspx?menuIndex=3&amp;refID=7010068&amp;Result=3","7010068")</f>
        <v>0</v>
      </c>
      <c r="B14122" t="s">
        <v>1429</v>
      </c>
      <c r="C14122" t="s">
        <v>16713</v>
      </c>
      <c r="D14122" t="s">
        <v>18072</v>
      </c>
      <c r="E14122" t="s">
        <v>30367</v>
      </c>
      <c r="F14122" t="s">
        <v>31574</v>
      </c>
      <c r="G14122" t="s">
        <v>31582</v>
      </c>
      <c r="H14122" t="s">
        <v>31590</v>
      </c>
      <c r="I14122" t="s">
        <v>31595</v>
      </c>
      <c r="J14122" t="s">
        <v>40398</v>
      </c>
      <c r="K14122" t="s">
        <v>41186</v>
      </c>
      <c r="M14122" t="s">
        <v>43005</v>
      </c>
      <c r="N14122" t="s">
        <v>45095</v>
      </c>
      <c r="O14122" t="s">
        <v>45096</v>
      </c>
      <c r="P14122">
        <v>0</v>
      </c>
      <c r="Q14122">
        <v>0</v>
      </c>
      <c r="R14122" t="s">
        <v>45117</v>
      </c>
      <c r="S14122" t="s">
        <v>45992</v>
      </c>
      <c r="T14122" t="s">
        <v>47235</v>
      </c>
      <c r="U14122" t="s">
        <v>58877</v>
      </c>
      <c r="V14122" t="s">
        <v>61422</v>
      </c>
      <c r="W14122" t="s">
        <v>43005</v>
      </c>
      <c r="X14122" t="s">
        <v>45118</v>
      </c>
    </row>
    <row r="14123" spans="1:24">
      <c r="A14123">
        <f>HYPERLINK("https://www.philgeps.gov.ph/GEPSNONPILOT/Tender/SplashBidNoticeAbstractUI.aspx?menuIndex=3&amp;refID=7010190&amp;Result=3","7010190")</f>
        <v>0</v>
      </c>
      <c r="B14123" t="s">
        <v>408</v>
      </c>
      <c r="C14123" t="s">
        <v>16714</v>
      </c>
      <c r="D14123" t="s">
        <v>18059</v>
      </c>
      <c r="E14123" t="s">
        <v>30368</v>
      </c>
      <c r="F14123" t="s">
        <v>31574</v>
      </c>
      <c r="G14123" t="s">
        <v>31582</v>
      </c>
      <c r="H14123" t="s">
        <v>31590</v>
      </c>
      <c r="I14123" t="s">
        <v>8056</v>
      </c>
      <c r="J14123" t="s">
        <v>40399</v>
      </c>
      <c r="K14123" t="s">
        <v>41184</v>
      </c>
      <c r="M14123" t="s">
        <v>41899</v>
      </c>
      <c r="N14123" t="s">
        <v>45095</v>
      </c>
      <c r="O14123" t="s">
        <v>45096</v>
      </c>
      <c r="P14123">
        <v>0</v>
      </c>
      <c r="Q14123">
        <v>4</v>
      </c>
      <c r="R14123" t="s">
        <v>45117</v>
      </c>
      <c r="S14123" t="s">
        <v>45992</v>
      </c>
      <c r="T14123" t="s">
        <v>46938</v>
      </c>
      <c r="U14123" t="s">
        <v>58878</v>
      </c>
      <c r="W14123" t="s">
        <v>41899</v>
      </c>
      <c r="X14123" t="s">
        <v>45118</v>
      </c>
    </row>
    <row r="14124" spans="1:24">
      <c r="A14124">
        <f>HYPERLINK("https://www.philgeps.gov.ph/GEPSNONPILOT/Tender/SplashBidNoticeAbstractUI.aspx?menuIndex=3&amp;refID=7010172&amp;Result=3","7010172")</f>
        <v>0</v>
      </c>
      <c r="B14124" t="s">
        <v>106</v>
      </c>
      <c r="C14124" t="s">
        <v>16715</v>
      </c>
      <c r="D14124" t="s">
        <v>18044</v>
      </c>
      <c r="E14124" t="s">
        <v>30369</v>
      </c>
      <c r="F14124" t="s">
        <v>31574</v>
      </c>
      <c r="G14124" t="s">
        <v>31582</v>
      </c>
      <c r="H14124" t="s">
        <v>31590</v>
      </c>
      <c r="I14124" t="s">
        <v>7185</v>
      </c>
      <c r="J14124" t="s">
        <v>40400</v>
      </c>
      <c r="K14124" t="s">
        <v>41193</v>
      </c>
      <c r="M14124" t="s">
        <v>41590</v>
      </c>
      <c r="N14124" t="s">
        <v>45095</v>
      </c>
      <c r="O14124" t="s">
        <v>45096</v>
      </c>
      <c r="P14124">
        <v>0</v>
      </c>
      <c r="Q14124">
        <v>7</v>
      </c>
      <c r="R14124" t="s">
        <v>45117</v>
      </c>
      <c r="S14124" t="s">
        <v>45992</v>
      </c>
      <c r="T14124" t="s">
        <v>47159</v>
      </c>
      <c r="U14124" t="s">
        <v>47952</v>
      </c>
      <c r="W14124" t="s">
        <v>41590</v>
      </c>
      <c r="X14124" t="s">
        <v>45118</v>
      </c>
    </row>
    <row r="14125" spans="1:24">
      <c r="A14125">
        <f>HYPERLINK("https://www.philgeps.gov.ph/GEPSNONPILOT/Tender/SplashBidNoticeAbstractUI.aspx?menuIndex=3&amp;refID=7010143&amp;Result=3","7010143")</f>
        <v>0</v>
      </c>
      <c r="B14125" t="s">
        <v>1429</v>
      </c>
      <c r="C14125" t="s">
        <v>16716</v>
      </c>
      <c r="D14125" t="s">
        <v>18072</v>
      </c>
      <c r="E14125" t="s">
        <v>30370</v>
      </c>
      <c r="F14125" t="s">
        <v>31574</v>
      </c>
      <c r="G14125" t="s">
        <v>31582</v>
      </c>
      <c r="H14125" t="s">
        <v>31590</v>
      </c>
      <c r="I14125" t="s">
        <v>31612</v>
      </c>
      <c r="J14125" t="s">
        <v>40401</v>
      </c>
      <c r="K14125" t="s">
        <v>41186</v>
      </c>
      <c r="M14125" t="s">
        <v>43005</v>
      </c>
      <c r="N14125" t="s">
        <v>45095</v>
      </c>
      <c r="O14125" t="s">
        <v>45096</v>
      </c>
      <c r="Q14125">
        <v>4</v>
      </c>
      <c r="R14125" t="s">
        <v>45117</v>
      </c>
      <c r="S14125" t="s">
        <v>46001</v>
      </c>
      <c r="T14125" t="s">
        <v>47157</v>
      </c>
      <c r="U14125" t="s">
        <v>58879</v>
      </c>
      <c r="V14125" t="s">
        <v>61423</v>
      </c>
      <c r="W14125" t="s">
        <v>43005</v>
      </c>
      <c r="X14125" t="s">
        <v>45118</v>
      </c>
    </row>
    <row r="14126" spans="1:24">
      <c r="A14126">
        <f>HYPERLINK("https://www.philgeps.gov.ph/GEPSNONPILOT/Tender/SplashBidNoticeAbstractUI.aspx?menuIndex=3&amp;refID=7010056&amp;Result=3","7010056")</f>
        <v>0</v>
      </c>
      <c r="B14126" t="s">
        <v>3100</v>
      </c>
      <c r="C14126" t="s">
        <v>16717</v>
      </c>
      <c r="D14126" t="s">
        <v>18033</v>
      </c>
      <c r="E14126" t="s">
        <v>26024</v>
      </c>
      <c r="F14126" t="s">
        <v>31574</v>
      </c>
      <c r="G14126" t="s">
        <v>31582</v>
      </c>
      <c r="H14126" t="s">
        <v>31591</v>
      </c>
      <c r="I14126" t="s">
        <v>8822</v>
      </c>
      <c r="J14126" t="s">
        <v>31727</v>
      </c>
      <c r="K14126" t="s">
        <v>41186</v>
      </c>
      <c r="M14126" t="s">
        <v>44946</v>
      </c>
      <c r="N14126" t="s">
        <v>45095</v>
      </c>
      <c r="O14126" t="s">
        <v>45096</v>
      </c>
      <c r="P14126">
        <v>0</v>
      </c>
      <c r="Q14126">
        <v>0</v>
      </c>
      <c r="R14126" t="s">
        <v>45117</v>
      </c>
      <c r="S14126" t="s">
        <v>45992</v>
      </c>
      <c r="T14126" t="s">
        <v>47125</v>
      </c>
      <c r="U14126" t="s">
        <v>58880</v>
      </c>
      <c r="W14126" t="s">
        <v>44946</v>
      </c>
      <c r="X14126" t="s">
        <v>45118</v>
      </c>
    </row>
    <row r="14127" spans="1:24">
      <c r="A14127">
        <f>HYPERLINK("https://www.philgeps.gov.ph/GEPSNONPILOT/Tender/SplashBidNoticeAbstractUI.aspx?menuIndex=3&amp;refID=7009891&amp;Result=3","7009891")</f>
        <v>0</v>
      </c>
      <c r="B14127" t="s">
        <v>3055</v>
      </c>
      <c r="C14127" t="s">
        <v>16718</v>
      </c>
      <c r="D14127" t="s">
        <v>18026</v>
      </c>
      <c r="E14127" t="s">
        <v>30371</v>
      </c>
      <c r="F14127" t="s">
        <v>31574</v>
      </c>
      <c r="G14127" t="s">
        <v>31582</v>
      </c>
      <c r="H14127" t="s">
        <v>31591</v>
      </c>
      <c r="I14127" t="s">
        <v>8822</v>
      </c>
      <c r="J14127" t="s">
        <v>40402</v>
      </c>
      <c r="K14127" t="s">
        <v>41200</v>
      </c>
      <c r="M14127" t="s">
        <v>44893</v>
      </c>
      <c r="N14127" t="s">
        <v>45095</v>
      </c>
      <c r="O14127" t="s">
        <v>45096</v>
      </c>
      <c r="P14127">
        <v>0</v>
      </c>
      <c r="Q14127">
        <v>0</v>
      </c>
      <c r="R14127" t="s">
        <v>45117</v>
      </c>
      <c r="S14127" t="s">
        <v>45992</v>
      </c>
      <c r="T14127" t="s">
        <v>47176</v>
      </c>
      <c r="U14127" t="s">
        <v>58881</v>
      </c>
      <c r="V14127" t="s">
        <v>61419</v>
      </c>
      <c r="W14127" t="s">
        <v>44893</v>
      </c>
      <c r="X14127" t="s">
        <v>45118</v>
      </c>
    </row>
    <row r="14128" spans="1:24">
      <c r="A14128">
        <f>HYPERLINK("https://www.philgeps.gov.ph/GEPSNONPILOT/Tender/SplashBidNoticeAbstractUI.aspx?menuIndex=3&amp;refID=7010156&amp;Result=3","7010156")</f>
        <v>0</v>
      </c>
      <c r="B14128" t="s">
        <v>2751</v>
      </c>
      <c r="C14128" t="s">
        <v>16719</v>
      </c>
      <c r="D14128" t="s">
        <v>18049</v>
      </c>
      <c r="E14128" t="s">
        <v>30372</v>
      </c>
      <c r="F14128" t="s">
        <v>31574</v>
      </c>
      <c r="G14128" t="s">
        <v>31582</v>
      </c>
      <c r="H14128" t="s">
        <v>31591</v>
      </c>
      <c r="I14128" t="s">
        <v>8822</v>
      </c>
      <c r="J14128" t="s">
        <v>40403</v>
      </c>
      <c r="K14128" t="s">
        <v>41279</v>
      </c>
      <c r="M14128" t="s">
        <v>44523</v>
      </c>
      <c r="N14128" t="s">
        <v>45095</v>
      </c>
      <c r="O14128" t="s">
        <v>45096</v>
      </c>
      <c r="P14128">
        <v>0</v>
      </c>
      <c r="Q14128">
        <v>1</v>
      </c>
      <c r="R14128" t="s">
        <v>45117</v>
      </c>
      <c r="S14128" t="s">
        <v>45992</v>
      </c>
      <c r="T14128" t="s">
        <v>47124</v>
      </c>
      <c r="U14128" t="s">
        <v>58882</v>
      </c>
      <c r="W14128" t="s">
        <v>44523</v>
      </c>
      <c r="X14128" t="s">
        <v>45118</v>
      </c>
    </row>
    <row r="14129" spans="1:24">
      <c r="A14129">
        <f>HYPERLINK("https://www.philgeps.gov.ph/GEPSNONPILOT/Tender/SplashBidNoticeAbstractUI.aspx?menuIndex=3&amp;refID=7009620&amp;Result=3","7009620")</f>
        <v>0</v>
      </c>
      <c r="B14129" t="s">
        <v>1282</v>
      </c>
      <c r="C14129" t="s">
        <v>16720</v>
      </c>
      <c r="D14129" t="s">
        <v>18033</v>
      </c>
      <c r="E14129" t="s">
        <v>26094</v>
      </c>
      <c r="F14129" t="s">
        <v>31574</v>
      </c>
      <c r="G14129" t="s">
        <v>31582</v>
      </c>
      <c r="H14129" t="s">
        <v>31590</v>
      </c>
      <c r="I14129" t="s">
        <v>31620</v>
      </c>
      <c r="J14129" t="s">
        <v>40404</v>
      </c>
      <c r="K14129" t="s">
        <v>41186</v>
      </c>
      <c r="M14129" t="s">
        <v>42850</v>
      </c>
      <c r="N14129" t="s">
        <v>45095</v>
      </c>
      <c r="O14129" t="s">
        <v>45096</v>
      </c>
      <c r="P14129">
        <v>0</v>
      </c>
      <c r="Q14129">
        <v>10</v>
      </c>
      <c r="R14129" t="s">
        <v>45117</v>
      </c>
      <c r="S14129" t="s">
        <v>45992</v>
      </c>
      <c r="T14129" t="s">
        <v>46980</v>
      </c>
      <c r="U14129" t="s">
        <v>58883</v>
      </c>
      <c r="W14129" t="s">
        <v>42850</v>
      </c>
      <c r="X14129" t="s">
        <v>45119</v>
      </c>
    </row>
    <row r="14130" spans="1:24">
      <c r="A14130">
        <f>HYPERLINK("https://www.philgeps.gov.ph/GEPSNONPILOT/Tender/SplashBidNoticeAbstractUI.aspx?menuIndex=3&amp;refID=7010084&amp;Result=3","7010084")</f>
        <v>0</v>
      </c>
      <c r="B14130" t="s">
        <v>144</v>
      </c>
      <c r="C14130" t="s">
        <v>16721</v>
      </c>
      <c r="D14130" t="s">
        <v>18076</v>
      </c>
      <c r="E14130" t="s">
        <v>30373</v>
      </c>
      <c r="F14130" t="s">
        <v>31574</v>
      </c>
      <c r="G14130" t="s">
        <v>31582</v>
      </c>
      <c r="H14130" t="s">
        <v>31590</v>
      </c>
      <c r="I14130" t="s">
        <v>4046</v>
      </c>
      <c r="J14130" t="s">
        <v>40405</v>
      </c>
      <c r="K14130" t="s">
        <v>41193</v>
      </c>
      <c r="M14130" t="s">
        <v>41843</v>
      </c>
      <c r="N14130" t="s">
        <v>45095</v>
      </c>
      <c r="O14130" t="s">
        <v>45096</v>
      </c>
      <c r="P14130">
        <v>0</v>
      </c>
      <c r="Q14130">
        <v>0</v>
      </c>
      <c r="R14130" t="s">
        <v>45117</v>
      </c>
      <c r="S14130" t="s">
        <v>45992</v>
      </c>
      <c r="T14130" t="s">
        <v>47188</v>
      </c>
      <c r="U14130" t="s">
        <v>58884</v>
      </c>
      <c r="W14130" t="s">
        <v>41843</v>
      </c>
      <c r="X14130" t="s">
        <v>45118</v>
      </c>
    </row>
    <row r="14131" spans="1:24">
      <c r="A14131">
        <f>HYPERLINK("https://www.philgeps.gov.ph/GEPSNONPILOT/Tender/SplashBidNoticeAbstractUI.aspx?menuIndex=3&amp;refID=7010085&amp;Result=3","7010085")</f>
        <v>0</v>
      </c>
      <c r="B14131" t="s">
        <v>683</v>
      </c>
      <c r="C14131" t="s">
        <v>16722</v>
      </c>
      <c r="D14131" t="s">
        <v>18059</v>
      </c>
      <c r="E14131" t="s">
        <v>30374</v>
      </c>
      <c r="F14131" t="s">
        <v>31574</v>
      </c>
      <c r="G14131" t="s">
        <v>31582</v>
      </c>
      <c r="H14131" t="s">
        <v>31590</v>
      </c>
      <c r="I14131" t="s">
        <v>4046</v>
      </c>
      <c r="J14131" t="s">
        <v>40406</v>
      </c>
      <c r="K14131" t="s">
        <v>41184</v>
      </c>
      <c r="M14131" t="s">
        <v>42190</v>
      </c>
      <c r="N14131" t="s">
        <v>45095</v>
      </c>
      <c r="O14131" t="s">
        <v>45096</v>
      </c>
      <c r="P14131">
        <v>0</v>
      </c>
      <c r="Q14131">
        <v>0</v>
      </c>
      <c r="R14131" t="s">
        <v>45117</v>
      </c>
      <c r="S14131" t="s">
        <v>45992</v>
      </c>
      <c r="T14131" t="s">
        <v>47159</v>
      </c>
      <c r="U14131" t="s">
        <v>58885</v>
      </c>
      <c r="W14131" t="s">
        <v>42190</v>
      </c>
      <c r="X14131" t="s">
        <v>45118</v>
      </c>
    </row>
    <row r="14132" spans="1:24">
      <c r="A14132">
        <f>HYPERLINK("https://www.philgeps.gov.ph/GEPSNONPILOT/Tender/SplashBidNoticeAbstractUI.aspx?menuIndex=3&amp;refID=7010026&amp;Result=3","7010026")</f>
        <v>0</v>
      </c>
      <c r="B14132" t="s">
        <v>144</v>
      </c>
      <c r="C14132" t="s">
        <v>16723</v>
      </c>
      <c r="D14132" t="s">
        <v>18076</v>
      </c>
      <c r="E14132" t="s">
        <v>30375</v>
      </c>
      <c r="F14132" t="s">
        <v>31574</v>
      </c>
      <c r="G14132" t="s">
        <v>31582</v>
      </c>
      <c r="H14132" t="s">
        <v>31590</v>
      </c>
      <c r="I14132" t="s">
        <v>4046</v>
      </c>
      <c r="J14132" t="s">
        <v>40407</v>
      </c>
      <c r="K14132" t="s">
        <v>41193</v>
      </c>
      <c r="M14132" t="s">
        <v>41843</v>
      </c>
      <c r="N14132" t="s">
        <v>45095</v>
      </c>
      <c r="O14132" t="s">
        <v>45096</v>
      </c>
      <c r="P14132">
        <v>0</v>
      </c>
      <c r="Q14132">
        <v>0</v>
      </c>
      <c r="R14132" t="s">
        <v>45117</v>
      </c>
      <c r="S14132" t="s">
        <v>45992</v>
      </c>
      <c r="T14132" t="s">
        <v>47188</v>
      </c>
      <c r="U14132" t="s">
        <v>58886</v>
      </c>
      <c r="W14132" t="s">
        <v>41843</v>
      </c>
      <c r="X14132" t="s">
        <v>45118</v>
      </c>
    </row>
    <row r="14133" spans="1:24">
      <c r="A14133">
        <f>HYPERLINK("https://www.philgeps.gov.ph/GEPSNONPILOT/Tender/SplashBidNoticeAbstractUI.aspx?menuIndex=3&amp;refID=7009933&amp;Result=3","7009933")</f>
        <v>0</v>
      </c>
      <c r="B14133" t="s">
        <v>1429</v>
      </c>
      <c r="C14133" t="s">
        <v>16724</v>
      </c>
      <c r="D14133" t="s">
        <v>18072</v>
      </c>
      <c r="E14133" t="s">
        <v>30376</v>
      </c>
      <c r="F14133" t="s">
        <v>31574</v>
      </c>
      <c r="G14133" t="s">
        <v>31582</v>
      </c>
      <c r="H14133" t="s">
        <v>31590</v>
      </c>
      <c r="I14133" t="s">
        <v>31608</v>
      </c>
      <c r="J14133" t="s">
        <v>32459</v>
      </c>
      <c r="K14133" t="s">
        <v>41186</v>
      </c>
      <c r="M14133" t="s">
        <v>43005</v>
      </c>
      <c r="N14133" t="s">
        <v>45095</v>
      </c>
      <c r="O14133" t="s">
        <v>45096</v>
      </c>
      <c r="P14133">
        <v>0</v>
      </c>
      <c r="Q14133">
        <v>2</v>
      </c>
      <c r="R14133" t="s">
        <v>45117</v>
      </c>
      <c r="S14133" t="s">
        <v>45992</v>
      </c>
      <c r="T14133" t="s">
        <v>47301</v>
      </c>
      <c r="U14133" t="s">
        <v>58887</v>
      </c>
      <c r="V14133" t="s">
        <v>61424</v>
      </c>
      <c r="W14133" t="s">
        <v>43005</v>
      </c>
      <c r="X14133" t="s">
        <v>45118</v>
      </c>
    </row>
    <row r="14134" spans="1:24">
      <c r="A14134">
        <f>HYPERLINK("https://www.philgeps.gov.ph/GEPSNONPILOT/Tender/SplashBidNoticeAbstractUI.aspx?menuIndex=3&amp;refID=7010104&amp;Result=3","7010104")</f>
        <v>0</v>
      </c>
      <c r="B14134" t="s">
        <v>144</v>
      </c>
      <c r="C14134" t="s">
        <v>16725</v>
      </c>
      <c r="D14134" t="s">
        <v>18076</v>
      </c>
      <c r="E14134" t="s">
        <v>30377</v>
      </c>
      <c r="F14134" t="s">
        <v>31574</v>
      </c>
      <c r="G14134" t="s">
        <v>31582</v>
      </c>
      <c r="H14134" t="s">
        <v>31590</v>
      </c>
      <c r="I14134" t="s">
        <v>4046</v>
      </c>
      <c r="J14134" t="s">
        <v>40408</v>
      </c>
      <c r="K14134" t="s">
        <v>41193</v>
      </c>
      <c r="M14134" t="s">
        <v>41843</v>
      </c>
      <c r="N14134" t="s">
        <v>45095</v>
      </c>
      <c r="O14134" t="s">
        <v>45096</v>
      </c>
      <c r="P14134">
        <v>0</v>
      </c>
      <c r="Q14134">
        <v>1</v>
      </c>
      <c r="R14134" t="s">
        <v>45117</v>
      </c>
      <c r="S14134" t="s">
        <v>45992</v>
      </c>
      <c r="T14134" t="s">
        <v>47188</v>
      </c>
      <c r="U14134" t="s">
        <v>58888</v>
      </c>
      <c r="W14134" t="s">
        <v>41843</v>
      </c>
      <c r="X14134" t="s">
        <v>45118</v>
      </c>
    </row>
    <row r="14135" spans="1:24">
      <c r="A14135">
        <f>HYPERLINK("https://www.philgeps.gov.ph/GEPSNONPILOT/Tender/SplashBidNoticeAbstractUI.aspx?menuIndex=3&amp;refID=7010015&amp;Result=3","7010015")</f>
        <v>0</v>
      </c>
      <c r="B14135" t="s">
        <v>355</v>
      </c>
      <c r="C14135" t="s">
        <v>16726</v>
      </c>
      <c r="D14135" t="s">
        <v>18043</v>
      </c>
      <c r="E14135" t="s">
        <v>30378</v>
      </c>
      <c r="F14135" t="s">
        <v>31574</v>
      </c>
      <c r="G14135" t="s">
        <v>31582</v>
      </c>
      <c r="H14135" t="s">
        <v>31590</v>
      </c>
      <c r="I14135" t="s">
        <v>3651</v>
      </c>
      <c r="J14135" t="s">
        <v>39380</v>
      </c>
      <c r="K14135" t="s">
        <v>41192</v>
      </c>
      <c r="M14135" t="s">
        <v>41845</v>
      </c>
      <c r="N14135" t="s">
        <v>45095</v>
      </c>
      <c r="O14135" t="s">
        <v>45096</v>
      </c>
      <c r="P14135">
        <v>0</v>
      </c>
      <c r="Q14135">
        <v>1</v>
      </c>
      <c r="R14135" t="s">
        <v>45117</v>
      </c>
      <c r="S14135" t="s">
        <v>45992</v>
      </c>
      <c r="T14135" t="s">
        <v>46922</v>
      </c>
      <c r="U14135" t="s">
        <v>58889</v>
      </c>
      <c r="V14135" t="s">
        <v>61425</v>
      </c>
      <c r="W14135" t="s">
        <v>41845</v>
      </c>
      <c r="X14135" t="s">
        <v>45118</v>
      </c>
    </row>
    <row r="14136" spans="1:24">
      <c r="A14136">
        <f>HYPERLINK("https://www.philgeps.gov.ph/GEPSNONPILOT/Tender/SplashBidNoticeAbstractUI.aspx?menuIndex=3&amp;refID=7010136&amp;Result=3","7010136")</f>
        <v>0</v>
      </c>
      <c r="B14136" t="s">
        <v>408</v>
      </c>
      <c r="C14136" t="s">
        <v>16727</v>
      </c>
      <c r="D14136" t="s">
        <v>18059</v>
      </c>
      <c r="E14136" t="s">
        <v>30379</v>
      </c>
      <c r="F14136" t="s">
        <v>31574</v>
      </c>
      <c r="G14136" t="s">
        <v>31582</v>
      </c>
      <c r="H14136" t="s">
        <v>31590</v>
      </c>
      <c r="I14136" t="s">
        <v>31615</v>
      </c>
      <c r="J14136" t="s">
        <v>38829</v>
      </c>
      <c r="K14136" t="s">
        <v>41184</v>
      </c>
      <c r="M14136" t="s">
        <v>41899</v>
      </c>
      <c r="N14136" t="s">
        <v>45095</v>
      </c>
      <c r="O14136" t="s">
        <v>45096</v>
      </c>
      <c r="P14136">
        <v>0</v>
      </c>
      <c r="Q14136">
        <v>6</v>
      </c>
      <c r="R14136" t="s">
        <v>45117</v>
      </c>
      <c r="S14136" t="s">
        <v>45992</v>
      </c>
      <c r="T14136" t="s">
        <v>47092</v>
      </c>
      <c r="U14136" t="s">
        <v>58878</v>
      </c>
      <c r="W14136" t="s">
        <v>41899</v>
      </c>
      <c r="X14136" t="s">
        <v>45118</v>
      </c>
    </row>
    <row r="14137" spans="1:24">
      <c r="A14137">
        <f>HYPERLINK("https://www.philgeps.gov.ph/GEPSNONPILOT/Tender/SplashBidNoticeAbstractUI.aspx?menuIndex=3&amp;refID=7009992&amp;Result=3","7009992")</f>
        <v>0</v>
      </c>
      <c r="B14137" t="s">
        <v>726</v>
      </c>
      <c r="C14137" t="s">
        <v>16728</v>
      </c>
      <c r="D14137" t="s">
        <v>18058</v>
      </c>
      <c r="E14137" t="s">
        <v>30380</v>
      </c>
      <c r="F14137" t="s">
        <v>31574</v>
      </c>
      <c r="G14137" t="s">
        <v>31582</v>
      </c>
      <c r="H14137" t="s">
        <v>31590</v>
      </c>
      <c r="I14137" t="s">
        <v>31661</v>
      </c>
      <c r="J14137" t="s">
        <v>40409</v>
      </c>
      <c r="K14137" t="s">
        <v>41185</v>
      </c>
      <c r="M14137" t="s">
        <v>44233</v>
      </c>
      <c r="N14137" t="s">
        <v>45095</v>
      </c>
      <c r="O14137" t="s">
        <v>45096</v>
      </c>
      <c r="P14137">
        <v>0</v>
      </c>
      <c r="Q14137">
        <v>8</v>
      </c>
      <c r="R14137" t="s">
        <v>45117</v>
      </c>
      <c r="S14137" t="s">
        <v>45992</v>
      </c>
      <c r="T14137" t="s">
        <v>47313</v>
      </c>
      <c r="U14137" t="s">
        <v>58890</v>
      </c>
      <c r="W14137" t="s">
        <v>44233</v>
      </c>
      <c r="X14137" t="s">
        <v>45118</v>
      </c>
    </row>
    <row r="14138" spans="1:24">
      <c r="A14138">
        <f>HYPERLINK("https://www.philgeps.gov.ph/GEPSNONPILOT/Tender/SplashBidNoticeAbstractUI.aspx?menuIndex=3&amp;refID=7010200&amp;Result=3","7010200")</f>
        <v>0</v>
      </c>
      <c r="B14138" t="s">
        <v>3101</v>
      </c>
      <c r="C14138" t="s">
        <v>16729</v>
      </c>
      <c r="D14138" t="s">
        <v>18092</v>
      </c>
      <c r="E14138" t="s">
        <v>30381</v>
      </c>
      <c r="F14138" t="s">
        <v>31574</v>
      </c>
      <c r="G14138" t="s">
        <v>31582</v>
      </c>
      <c r="H14138" t="s">
        <v>31591</v>
      </c>
      <c r="I14138" t="s">
        <v>8822</v>
      </c>
      <c r="J14138" t="s">
        <v>31789</v>
      </c>
      <c r="K14138" t="s">
        <v>41191</v>
      </c>
      <c r="M14138" t="s">
        <v>44947</v>
      </c>
      <c r="N14138" t="s">
        <v>45095</v>
      </c>
      <c r="O14138" t="s">
        <v>45096</v>
      </c>
      <c r="P14138">
        <v>0</v>
      </c>
      <c r="Q14138">
        <v>0</v>
      </c>
      <c r="R14138" t="s">
        <v>45117</v>
      </c>
      <c r="S14138" t="s">
        <v>45992</v>
      </c>
      <c r="T14138" t="s">
        <v>47154</v>
      </c>
      <c r="U14138" t="s">
        <v>58891</v>
      </c>
      <c r="W14138" t="s">
        <v>44947</v>
      </c>
      <c r="X14138" t="s">
        <v>45118</v>
      </c>
    </row>
    <row r="14139" spans="1:24">
      <c r="A14139">
        <f>HYPERLINK("https://www.philgeps.gov.ph/GEPSNONPILOT/Tender/SplashBidNoticeAbstractUI.aspx?menuIndex=3&amp;refID=7010377&amp;Result=3","7010377")</f>
        <v>0</v>
      </c>
      <c r="B14139" t="s">
        <v>402</v>
      </c>
      <c r="C14139" t="s">
        <v>16730</v>
      </c>
      <c r="D14139" t="s">
        <v>18078</v>
      </c>
      <c r="E14139" t="s">
        <v>30382</v>
      </c>
      <c r="F14139" t="s">
        <v>31574</v>
      </c>
      <c r="G14139" t="s">
        <v>31582</v>
      </c>
      <c r="H14139" t="s">
        <v>31590</v>
      </c>
      <c r="I14139" t="s">
        <v>4046</v>
      </c>
      <c r="J14139" t="s">
        <v>40410</v>
      </c>
      <c r="K14139" t="s">
        <v>41192</v>
      </c>
      <c r="M14139" t="s">
        <v>41893</v>
      </c>
      <c r="N14139" t="s">
        <v>45095</v>
      </c>
      <c r="O14139" t="s">
        <v>45096</v>
      </c>
      <c r="P14139">
        <v>0</v>
      </c>
      <c r="Q14139">
        <v>2</v>
      </c>
      <c r="R14139" t="s">
        <v>45117</v>
      </c>
      <c r="S14139" t="s">
        <v>45992</v>
      </c>
      <c r="T14139" t="s">
        <v>47189</v>
      </c>
      <c r="U14139" t="s">
        <v>58892</v>
      </c>
      <c r="W14139" t="s">
        <v>41893</v>
      </c>
      <c r="X14139" t="s">
        <v>45118</v>
      </c>
    </row>
    <row r="14140" spans="1:24">
      <c r="A14140">
        <f>HYPERLINK("https://www.philgeps.gov.ph/GEPSNONPILOT/Tender/SplashBidNoticeAbstractUI.aspx?menuIndex=3&amp;refID=7009939&amp;Result=3","7009939")</f>
        <v>0</v>
      </c>
      <c r="B14140" t="s">
        <v>2077</v>
      </c>
      <c r="C14140" t="s">
        <v>16731</v>
      </c>
      <c r="D14140" t="s">
        <v>18089</v>
      </c>
      <c r="E14140" t="s">
        <v>30383</v>
      </c>
      <c r="F14140" t="s">
        <v>31574</v>
      </c>
      <c r="G14140" t="s">
        <v>31582</v>
      </c>
      <c r="H14140" t="s">
        <v>31590</v>
      </c>
      <c r="I14140" t="s">
        <v>31608</v>
      </c>
      <c r="J14140" t="s">
        <v>40411</v>
      </c>
      <c r="K14140" t="s">
        <v>41186</v>
      </c>
      <c r="M14140" t="s">
        <v>43752</v>
      </c>
      <c r="N14140" t="s">
        <v>45095</v>
      </c>
      <c r="O14140" t="s">
        <v>45096</v>
      </c>
      <c r="P14140">
        <v>0</v>
      </c>
      <c r="Q14140">
        <v>0</v>
      </c>
      <c r="R14140" t="s">
        <v>45117</v>
      </c>
      <c r="S14140" t="s">
        <v>45992</v>
      </c>
      <c r="T14140" t="s">
        <v>46977</v>
      </c>
      <c r="U14140" t="s">
        <v>58893</v>
      </c>
      <c r="W14140" t="s">
        <v>43752</v>
      </c>
      <c r="X14140" t="s">
        <v>45118</v>
      </c>
    </row>
    <row r="14141" spans="1:24">
      <c r="A14141">
        <f>HYPERLINK("https://www.philgeps.gov.ph/GEPSNONPILOT/Tender/SplashBidNoticeAbstractUI.aspx?menuIndex=3&amp;refID=7010005&amp;Result=3","7010005")</f>
        <v>0</v>
      </c>
      <c r="B14141" t="s">
        <v>1429</v>
      </c>
      <c r="C14141" t="s">
        <v>16732</v>
      </c>
      <c r="D14141" t="s">
        <v>18072</v>
      </c>
      <c r="E14141" t="s">
        <v>30384</v>
      </c>
      <c r="F14141" t="s">
        <v>31574</v>
      </c>
      <c r="G14141" t="s">
        <v>31582</v>
      </c>
      <c r="H14141" t="s">
        <v>31590</v>
      </c>
      <c r="I14141" t="s">
        <v>14034</v>
      </c>
      <c r="J14141" t="s">
        <v>40412</v>
      </c>
      <c r="K14141" t="s">
        <v>41186</v>
      </c>
      <c r="M14141" t="s">
        <v>43005</v>
      </c>
      <c r="N14141" t="s">
        <v>45095</v>
      </c>
      <c r="O14141" t="s">
        <v>45096</v>
      </c>
      <c r="P14141">
        <v>0</v>
      </c>
      <c r="Q14141">
        <v>0</v>
      </c>
      <c r="R14141" t="s">
        <v>45117</v>
      </c>
      <c r="S14141" t="s">
        <v>45992</v>
      </c>
      <c r="T14141" t="s">
        <v>47050</v>
      </c>
      <c r="U14141" t="s">
        <v>58894</v>
      </c>
      <c r="V14141" t="s">
        <v>61426</v>
      </c>
      <c r="W14141" t="s">
        <v>43005</v>
      </c>
      <c r="X14141" t="s">
        <v>45118</v>
      </c>
    </row>
    <row r="14142" spans="1:24">
      <c r="A14142">
        <f>HYPERLINK("https://www.philgeps.gov.ph/GEPSNONPILOT/Tender/SplashBidNoticeAbstractUI.aspx?menuIndex=3&amp;refID=7010014&amp;Result=3","7010014")</f>
        <v>0</v>
      </c>
      <c r="B14142" t="s">
        <v>2096</v>
      </c>
      <c r="C14142" t="s">
        <v>16733</v>
      </c>
      <c r="D14142" t="s">
        <v>18052</v>
      </c>
      <c r="E14142" t="s">
        <v>30385</v>
      </c>
      <c r="F14142" t="s">
        <v>31574</v>
      </c>
      <c r="G14142" t="s">
        <v>31582</v>
      </c>
      <c r="H14142" t="s">
        <v>31591</v>
      </c>
      <c r="I14142" t="s">
        <v>8822</v>
      </c>
      <c r="J14142" t="s">
        <v>32078</v>
      </c>
      <c r="K14142" t="s">
        <v>41244</v>
      </c>
      <c r="M14142" t="s">
        <v>43773</v>
      </c>
      <c r="N14142" t="s">
        <v>45095</v>
      </c>
      <c r="O14142" t="s">
        <v>45096</v>
      </c>
      <c r="P14142">
        <v>0</v>
      </c>
      <c r="Q14142">
        <v>0</v>
      </c>
      <c r="R14142" t="s">
        <v>45117</v>
      </c>
      <c r="S14142" t="s">
        <v>45992</v>
      </c>
      <c r="T14142" t="s">
        <v>46985</v>
      </c>
      <c r="U14142" t="s">
        <v>58895</v>
      </c>
      <c r="W14142" t="s">
        <v>43773</v>
      </c>
      <c r="X14142" t="s">
        <v>45118</v>
      </c>
    </row>
    <row r="14143" spans="1:24">
      <c r="A14143">
        <f>HYPERLINK("https://www.philgeps.gov.ph/GEPSNONPILOT/Tender/SplashBidNoticeAbstractUI.aspx?menuIndex=3&amp;refID=7010290&amp;Result=3","7010290")</f>
        <v>0</v>
      </c>
      <c r="B14143" t="s">
        <v>3102</v>
      </c>
      <c r="C14143" t="s">
        <v>16734</v>
      </c>
      <c r="D14143" t="s">
        <v>18046</v>
      </c>
      <c r="E14143" t="s">
        <v>30386</v>
      </c>
      <c r="F14143" t="s">
        <v>31574</v>
      </c>
      <c r="G14143" t="s">
        <v>31582</v>
      </c>
      <c r="H14143" t="s">
        <v>31590</v>
      </c>
      <c r="I14143" t="s">
        <v>31615</v>
      </c>
      <c r="J14143" t="s">
        <v>31727</v>
      </c>
      <c r="K14143" t="s">
        <v>41190</v>
      </c>
      <c r="M14143" t="s">
        <v>44948</v>
      </c>
      <c r="N14143" t="s">
        <v>45095</v>
      </c>
      <c r="O14143" t="s">
        <v>45096</v>
      </c>
      <c r="P14143">
        <v>0</v>
      </c>
      <c r="Q14143">
        <v>0</v>
      </c>
      <c r="R14143" t="s">
        <v>45117</v>
      </c>
      <c r="S14143" t="s">
        <v>45992</v>
      </c>
      <c r="T14143" t="s">
        <v>46949</v>
      </c>
      <c r="U14143" t="s">
        <v>58896</v>
      </c>
      <c r="W14143" t="s">
        <v>44948</v>
      </c>
      <c r="X14143" t="s">
        <v>45118</v>
      </c>
    </row>
    <row r="14144" spans="1:24">
      <c r="A14144">
        <f>HYPERLINK("https://www.philgeps.gov.ph/GEPSNONPILOT/Tender/SplashBidNoticeAbstractUI.aspx?menuIndex=3&amp;refID=7010213&amp;Result=3","7010213")</f>
        <v>0</v>
      </c>
      <c r="B14144" t="s">
        <v>408</v>
      </c>
      <c r="C14144" t="s">
        <v>16735</v>
      </c>
      <c r="D14144" t="s">
        <v>18059</v>
      </c>
      <c r="E14144" t="s">
        <v>30387</v>
      </c>
      <c r="F14144" t="s">
        <v>31574</v>
      </c>
      <c r="G14144" t="s">
        <v>31582</v>
      </c>
      <c r="H14144" t="s">
        <v>31590</v>
      </c>
      <c r="I14144" t="s">
        <v>8056</v>
      </c>
      <c r="J14144" t="s">
        <v>38741</v>
      </c>
      <c r="K14144" t="s">
        <v>41184</v>
      </c>
      <c r="M14144" t="s">
        <v>41899</v>
      </c>
      <c r="N14144" t="s">
        <v>45095</v>
      </c>
      <c r="O14144" t="s">
        <v>45096</v>
      </c>
      <c r="P14144">
        <v>0</v>
      </c>
      <c r="Q14144">
        <v>5</v>
      </c>
      <c r="R14144" t="s">
        <v>45117</v>
      </c>
      <c r="S14144" t="s">
        <v>45992</v>
      </c>
      <c r="T14144" t="s">
        <v>46938</v>
      </c>
      <c r="U14144" t="s">
        <v>58878</v>
      </c>
      <c r="W14144" t="s">
        <v>41899</v>
      </c>
      <c r="X14144" t="s">
        <v>45118</v>
      </c>
    </row>
    <row r="14145" spans="1:24">
      <c r="A14145">
        <f>HYPERLINK("https://www.philgeps.gov.ph/GEPSNONPILOT/Tender/SplashBidNoticeAbstractUI.aspx?menuIndex=3&amp;refID=7010440&amp;Result=3","7010440")</f>
        <v>0</v>
      </c>
      <c r="B14145" t="s">
        <v>1832</v>
      </c>
      <c r="C14145" t="s">
        <v>16736</v>
      </c>
      <c r="D14145" t="s">
        <v>18034</v>
      </c>
      <c r="E14145" t="s">
        <v>30388</v>
      </c>
      <c r="F14145" t="s">
        <v>31574</v>
      </c>
      <c r="G14145" t="s">
        <v>31582</v>
      </c>
      <c r="H14145" t="s">
        <v>31591</v>
      </c>
      <c r="I14145" t="s">
        <v>8822</v>
      </c>
      <c r="J14145" t="s">
        <v>33344</v>
      </c>
      <c r="K14145" t="s">
        <v>41200</v>
      </c>
      <c r="M14145" t="s">
        <v>43468</v>
      </c>
      <c r="N14145" t="s">
        <v>45095</v>
      </c>
      <c r="O14145" t="s">
        <v>45096</v>
      </c>
      <c r="P14145">
        <v>0</v>
      </c>
      <c r="Q14145">
        <v>0</v>
      </c>
      <c r="R14145" t="s">
        <v>45117</v>
      </c>
      <c r="S14145" t="s">
        <v>45992</v>
      </c>
      <c r="T14145" t="s">
        <v>46985</v>
      </c>
      <c r="U14145" t="s">
        <v>57485</v>
      </c>
      <c r="V14145" t="s">
        <v>61427</v>
      </c>
      <c r="W14145" t="s">
        <v>43468</v>
      </c>
      <c r="X14145" t="s">
        <v>45118</v>
      </c>
    </row>
    <row r="14146" spans="1:24">
      <c r="A14146">
        <f>HYPERLINK("https://www.philgeps.gov.ph/GEPSNONPILOT/Tender/SplashBidNoticeAbstractUI.aspx?menuIndex=3&amp;refID=7010457&amp;Result=3","7010457")</f>
        <v>0</v>
      </c>
      <c r="B14146" t="s">
        <v>1832</v>
      </c>
      <c r="C14146" t="s">
        <v>16737</v>
      </c>
      <c r="D14146" t="s">
        <v>18034</v>
      </c>
      <c r="E14146" t="s">
        <v>30389</v>
      </c>
      <c r="F14146" t="s">
        <v>31574</v>
      </c>
      <c r="G14146" t="s">
        <v>31582</v>
      </c>
      <c r="H14146" t="s">
        <v>31591</v>
      </c>
      <c r="I14146" t="s">
        <v>8822</v>
      </c>
      <c r="J14146" t="s">
        <v>31935</v>
      </c>
      <c r="K14146" t="s">
        <v>41228</v>
      </c>
      <c r="M14146" t="s">
        <v>43468</v>
      </c>
      <c r="N14146" t="s">
        <v>45095</v>
      </c>
      <c r="O14146" t="s">
        <v>45096</v>
      </c>
      <c r="P14146">
        <v>0</v>
      </c>
      <c r="Q14146">
        <v>0</v>
      </c>
      <c r="R14146" t="s">
        <v>45117</v>
      </c>
      <c r="S14146" t="s">
        <v>45992</v>
      </c>
      <c r="T14146" t="s">
        <v>46985</v>
      </c>
      <c r="U14146" t="s">
        <v>57485</v>
      </c>
      <c r="V14146" t="s">
        <v>61428</v>
      </c>
      <c r="W14146" t="s">
        <v>43468</v>
      </c>
      <c r="X14146" t="s">
        <v>45118</v>
      </c>
    </row>
    <row r="14147" spans="1:24">
      <c r="A14147">
        <f>HYPERLINK("https://www.philgeps.gov.ph/GEPSNONPILOT/Tender/SplashBidNoticeAbstractUI.aspx?menuIndex=3&amp;refID=7010335&amp;Result=3","7010335")</f>
        <v>0</v>
      </c>
      <c r="B14147" t="s">
        <v>3103</v>
      </c>
      <c r="C14147" t="s">
        <v>16738</v>
      </c>
      <c r="D14147" t="s">
        <v>18055</v>
      </c>
      <c r="E14147" t="s">
        <v>26086</v>
      </c>
      <c r="F14147" t="s">
        <v>31579</v>
      </c>
      <c r="G14147" t="s">
        <v>31582</v>
      </c>
      <c r="H14147" t="s">
        <v>31590</v>
      </c>
      <c r="I14147" t="s">
        <v>31611</v>
      </c>
      <c r="J14147" t="s">
        <v>32609</v>
      </c>
      <c r="K14147" t="s">
        <v>41195</v>
      </c>
      <c r="M14147" t="s">
        <v>44949</v>
      </c>
      <c r="N14147" t="s">
        <v>45095</v>
      </c>
      <c r="O14147" t="s">
        <v>45096</v>
      </c>
      <c r="P14147">
        <v>0</v>
      </c>
      <c r="Q14147">
        <v>1</v>
      </c>
      <c r="R14147" t="s">
        <v>45117</v>
      </c>
      <c r="S14147" t="s">
        <v>45992</v>
      </c>
      <c r="T14147" t="s">
        <v>46949</v>
      </c>
      <c r="U14147" t="s">
        <v>58897</v>
      </c>
      <c r="V14147" t="s">
        <v>59973</v>
      </c>
      <c r="W14147" t="s">
        <v>44949</v>
      </c>
      <c r="X14147" t="s">
        <v>45118</v>
      </c>
    </row>
    <row r="14148" spans="1:24">
      <c r="A14148">
        <f>HYPERLINK("https://www.philgeps.gov.ph/GEPSNONPILOT/Tender/SplashBidNoticeAbstractUI.aspx?menuIndex=3&amp;refID=7010475&amp;Result=3","7010475")</f>
        <v>0</v>
      </c>
      <c r="B14148" t="s">
        <v>355</v>
      </c>
      <c r="C14148" t="s">
        <v>16739</v>
      </c>
      <c r="D14148" t="s">
        <v>18043</v>
      </c>
      <c r="E14148" t="s">
        <v>30390</v>
      </c>
      <c r="F14148" t="s">
        <v>31574</v>
      </c>
      <c r="G14148" t="s">
        <v>31582</v>
      </c>
      <c r="H14148" t="s">
        <v>31590</v>
      </c>
      <c r="I14148" t="s">
        <v>4046</v>
      </c>
      <c r="J14148" t="s">
        <v>40413</v>
      </c>
      <c r="K14148" t="s">
        <v>41190</v>
      </c>
      <c r="M14148" t="s">
        <v>41845</v>
      </c>
      <c r="N14148" t="s">
        <v>45095</v>
      </c>
      <c r="O14148" t="s">
        <v>45096</v>
      </c>
      <c r="P14148">
        <v>0</v>
      </c>
      <c r="Q14148">
        <v>3</v>
      </c>
      <c r="R14148" t="s">
        <v>45117</v>
      </c>
      <c r="S14148" t="s">
        <v>45992</v>
      </c>
      <c r="T14148" t="s">
        <v>47050</v>
      </c>
      <c r="U14148" t="s">
        <v>58898</v>
      </c>
      <c r="V14148" t="s">
        <v>61429</v>
      </c>
      <c r="W14148" t="s">
        <v>41845</v>
      </c>
      <c r="X14148" t="s">
        <v>45118</v>
      </c>
    </row>
    <row r="14149" spans="1:24">
      <c r="A14149">
        <f>HYPERLINK("https://www.philgeps.gov.ph/GEPSNONPILOT/Tender/SplashBidNoticeAbstractUI.aspx?menuIndex=3&amp;refID=7010300&amp;Result=3","7010300")</f>
        <v>0</v>
      </c>
      <c r="B14149" t="s">
        <v>457</v>
      </c>
      <c r="C14149" t="s">
        <v>16740</v>
      </c>
      <c r="D14149" t="s">
        <v>18033</v>
      </c>
      <c r="E14149" t="s">
        <v>30391</v>
      </c>
      <c r="F14149" t="s">
        <v>31574</v>
      </c>
      <c r="G14149" t="s">
        <v>31582</v>
      </c>
      <c r="H14149" t="s">
        <v>31590</v>
      </c>
      <c r="I14149" t="s">
        <v>4046</v>
      </c>
      <c r="J14149" t="s">
        <v>40414</v>
      </c>
      <c r="K14149" t="s">
        <v>41189</v>
      </c>
      <c r="M14149" t="s">
        <v>41951</v>
      </c>
      <c r="N14149" t="s">
        <v>45095</v>
      </c>
      <c r="O14149" t="s">
        <v>45096</v>
      </c>
      <c r="P14149">
        <v>0</v>
      </c>
      <c r="Q14149">
        <v>0</v>
      </c>
      <c r="R14149" t="s">
        <v>45117</v>
      </c>
      <c r="S14149" t="s">
        <v>45992</v>
      </c>
      <c r="T14149" t="s">
        <v>47125</v>
      </c>
      <c r="U14149" t="s">
        <v>48384</v>
      </c>
      <c r="W14149" t="s">
        <v>41951</v>
      </c>
      <c r="X14149" t="s">
        <v>45118</v>
      </c>
    </row>
    <row r="14150" spans="1:24">
      <c r="A14150">
        <f>HYPERLINK("https://www.philgeps.gov.ph/GEPSNONPILOT/Tender/SplashBidNoticeAbstractUI.aspx?menuIndex=3&amp;refID=7010217&amp;Result=3","7010217")</f>
        <v>0</v>
      </c>
      <c r="B14150" t="s">
        <v>1429</v>
      </c>
      <c r="C14150" t="s">
        <v>16741</v>
      </c>
      <c r="D14150" t="s">
        <v>18072</v>
      </c>
      <c r="E14150" t="s">
        <v>30392</v>
      </c>
      <c r="F14150" t="s">
        <v>31574</v>
      </c>
      <c r="G14150" t="s">
        <v>31582</v>
      </c>
      <c r="H14150" t="s">
        <v>31590</v>
      </c>
      <c r="I14150" t="s">
        <v>4327</v>
      </c>
      <c r="J14150" t="s">
        <v>32318</v>
      </c>
      <c r="K14150" t="s">
        <v>41186</v>
      </c>
      <c r="M14150" t="s">
        <v>43005</v>
      </c>
      <c r="N14150" t="s">
        <v>45095</v>
      </c>
      <c r="O14150" t="s">
        <v>45096</v>
      </c>
      <c r="P14150">
        <v>0</v>
      </c>
      <c r="Q14150">
        <v>1</v>
      </c>
      <c r="R14150" t="s">
        <v>45117</v>
      </c>
      <c r="S14150" t="s">
        <v>45992</v>
      </c>
      <c r="T14150" t="s">
        <v>47431</v>
      </c>
      <c r="U14150" t="s">
        <v>58899</v>
      </c>
      <c r="V14150" t="s">
        <v>61430</v>
      </c>
      <c r="W14150" t="s">
        <v>43005</v>
      </c>
      <c r="X14150" t="s">
        <v>45118</v>
      </c>
    </row>
    <row r="14151" spans="1:24">
      <c r="A14151">
        <f>HYPERLINK("https://www.philgeps.gov.ph/GEPSNONPILOT/Tender/SplashBidNoticeAbstractUI.aspx?menuIndex=3&amp;refID=7010416&amp;Result=3","7010416")</f>
        <v>0</v>
      </c>
      <c r="B14151" t="s">
        <v>1832</v>
      </c>
      <c r="C14151" t="s">
        <v>16742</v>
      </c>
      <c r="D14151" t="s">
        <v>18034</v>
      </c>
      <c r="E14151" t="s">
        <v>30393</v>
      </c>
      <c r="F14151" t="s">
        <v>31574</v>
      </c>
      <c r="G14151" t="s">
        <v>31582</v>
      </c>
      <c r="H14151" t="s">
        <v>31591</v>
      </c>
      <c r="I14151" t="s">
        <v>8822</v>
      </c>
      <c r="J14151" t="s">
        <v>31935</v>
      </c>
      <c r="K14151" t="s">
        <v>41186</v>
      </c>
      <c r="M14151" t="s">
        <v>43468</v>
      </c>
      <c r="N14151" t="s">
        <v>45095</v>
      </c>
      <c r="O14151" t="s">
        <v>45096</v>
      </c>
      <c r="P14151">
        <v>0</v>
      </c>
      <c r="Q14151">
        <v>0</v>
      </c>
      <c r="R14151" t="s">
        <v>45117</v>
      </c>
      <c r="S14151" t="s">
        <v>45992</v>
      </c>
      <c r="T14151" t="s">
        <v>46985</v>
      </c>
      <c r="U14151" t="s">
        <v>57485</v>
      </c>
      <c r="V14151" t="s">
        <v>61428</v>
      </c>
      <c r="W14151" t="s">
        <v>43468</v>
      </c>
      <c r="X14151" t="s">
        <v>45118</v>
      </c>
    </row>
    <row r="14152" spans="1:24">
      <c r="A14152">
        <f>HYPERLINK("https://www.philgeps.gov.ph/GEPSNONPILOT/Tender/SplashBidNoticeAbstractUI.aspx?menuIndex=3&amp;refID=7010434&amp;Result=3","7010434")</f>
        <v>0</v>
      </c>
      <c r="B14152" t="s">
        <v>1832</v>
      </c>
      <c r="C14152" t="s">
        <v>16743</v>
      </c>
      <c r="D14152" t="s">
        <v>18034</v>
      </c>
      <c r="E14152" t="s">
        <v>30394</v>
      </c>
      <c r="F14152" t="s">
        <v>31574</v>
      </c>
      <c r="G14152" t="s">
        <v>31582</v>
      </c>
      <c r="H14152" t="s">
        <v>31591</v>
      </c>
      <c r="I14152" t="s">
        <v>8822</v>
      </c>
      <c r="J14152" t="s">
        <v>32550</v>
      </c>
      <c r="K14152" t="s">
        <v>41198</v>
      </c>
      <c r="M14152" t="s">
        <v>43468</v>
      </c>
      <c r="N14152" t="s">
        <v>45095</v>
      </c>
      <c r="O14152" t="s">
        <v>45096</v>
      </c>
      <c r="P14152">
        <v>0</v>
      </c>
      <c r="Q14152">
        <v>0</v>
      </c>
      <c r="R14152" t="s">
        <v>45117</v>
      </c>
      <c r="S14152" t="s">
        <v>45992</v>
      </c>
      <c r="T14152" t="s">
        <v>46985</v>
      </c>
      <c r="U14152" t="s">
        <v>57485</v>
      </c>
      <c r="V14152" t="s">
        <v>61431</v>
      </c>
      <c r="W14152" t="s">
        <v>43468</v>
      </c>
      <c r="X14152" t="s">
        <v>45118</v>
      </c>
    </row>
    <row r="14153" spans="1:24">
      <c r="A14153">
        <f>HYPERLINK("https://www.philgeps.gov.ph/GEPSNONPILOT/Tender/SplashBidNoticeAbstractUI.aspx?menuIndex=3&amp;refID=7010228&amp;Result=3","7010228")</f>
        <v>0</v>
      </c>
      <c r="B14153" t="s">
        <v>3042</v>
      </c>
      <c r="C14153" t="s">
        <v>16744</v>
      </c>
      <c r="D14153" t="s">
        <v>18063</v>
      </c>
      <c r="E14153" t="s">
        <v>19618</v>
      </c>
      <c r="F14153" t="s">
        <v>31574</v>
      </c>
      <c r="G14153" t="s">
        <v>31582</v>
      </c>
      <c r="H14153" t="s">
        <v>31590</v>
      </c>
      <c r="I14153" t="s">
        <v>8258</v>
      </c>
      <c r="J14153" t="s">
        <v>39010</v>
      </c>
      <c r="K14153" t="s">
        <v>41185</v>
      </c>
      <c r="M14153" t="s">
        <v>44876</v>
      </c>
      <c r="N14153" t="s">
        <v>45095</v>
      </c>
      <c r="O14153" t="s">
        <v>45096</v>
      </c>
      <c r="Q14153">
        <v>14</v>
      </c>
      <c r="R14153" t="s">
        <v>45117</v>
      </c>
      <c r="S14153" t="s">
        <v>46002</v>
      </c>
      <c r="T14153" t="s">
        <v>47183</v>
      </c>
      <c r="U14153" t="s">
        <v>58900</v>
      </c>
      <c r="W14153" t="s">
        <v>44876</v>
      </c>
      <c r="X14153" t="s">
        <v>45118</v>
      </c>
    </row>
    <row r="14154" spans="1:24">
      <c r="A14154">
        <f>HYPERLINK("https://www.philgeps.gov.ph/GEPSNONPILOT/Tender/SplashBidNoticeAbstractUI.aspx?menuIndex=3&amp;refID=7010430&amp;Result=3","7010430")</f>
        <v>0</v>
      </c>
      <c r="B14154" t="s">
        <v>761</v>
      </c>
      <c r="C14154" t="s">
        <v>16745</v>
      </c>
      <c r="D14154" t="s">
        <v>18056</v>
      </c>
      <c r="E14154" t="s">
        <v>30395</v>
      </c>
      <c r="F14154" t="s">
        <v>31574</v>
      </c>
      <c r="G14154" t="s">
        <v>31582</v>
      </c>
      <c r="H14154" t="s">
        <v>31590</v>
      </c>
      <c r="I14154" t="s">
        <v>31607</v>
      </c>
      <c r="J14154" t="s">
        <v>40415</v>
      </c>
      <c r="K14154" t="s">
        <v>41478</v>
      </c>
      <c r="M14154" t="s">
        <v>42275</v>
      </c>
      <c r="N14154" t="s">
        <v>45095</v>
      </c>
      <c r="O14154" t="s">
        <v>45096</v>
      </c>
      <c r="P14154">
        <v>0</v>
      </c>
      <c r="Q14154">
        <v>1</v>
      </c>
      <c r="R14154" t="s">
        <v>45117</v>
      </c>
      <c r="S14154" t="s">
        <v>45992</v>
      </c>
      <c r="T14154" t="s">
        <v>47432</v>
      </c>
      <c r="U14154" t="s">
        <v>58901</v>
      </c>
      <c r="V14154" t="s">
        <v>61432</v>
      </c>
      <c r="W14154" t="s">
        <v>42275</v>
      </c>
      <c r="X14154" t="s">
        <v>45118</v>
      </c>
    </row>
    <row r="14155" spans="1:24">
      <c r="A14155">
        <f>HYPERLINK("https://www.philgeps.gov.ph/GEPSNONPILOT/Tender/SplashBidNoticeAbstractUI.aspx?menuIndex=3&amp;refID=7010427&amp;Result=3","7010427")</f>
        <v>0</v>
      </c>
      <c r="B14155" t="s">
        <v>1832</v>
      </c>
      <c r="C14155" t="s">
        <v>16746</v>
      </c>
      <c r="D14155" t="s">
        <v>18034</v>
      </c>
      <c r="E14155" t="s">
        <v>30396</v>
      </c>
      <c r="F14155" t="s">
        <v>31574</v>
      </c>
      <c r="G14155" t="s">
        <v>31582</v>
      </c>
      <c r="H14155" t="s">
        <v>31591</v>
      </c>
      <c r="I14155" t="s">
        <v>8822</v>
      </c>
      <c r="J14155" t="s">
        <v>31935</v>
      </c>
      <c r="K14155" t="s">
        <v>41186</v>
      </c>
      <c r="M14155" t="s">
        <v>43468</v>
      </c>
      <c r="N14155" t="s">
        <v>45095</v>
      </c>
      <c r="O14155" t="s">
        <v>45096</v>
      </c>
      <c r="P14155">
        <v>0</v>
      </c>
      <c r="Q14155">
        <v>0</v>
      </c>
      <c r="R14155" t="s">
        <v>45117</v>
      </c>
      <c r="S14155" t="s">
        <v>45992</v>
      </c>
      <c r="T14155" t="s">
        <v>46985</v>
      </c>
      <c r="U14155" t="s">
        <v>57485</v>
      </c>
      <c r="V14155" t="s">
        <v>61428</v>
      </c>
      <c r="W14155" t="s">
        <v>43468</v>
      </c>
      <c r="X14155" t="s">
        <v>45118</v>
      </c>
    </row>
    <row r="14156" spans="1:24">
      <c r="A14156">
        <f>HYPERLINK("https://www.philgeps.gov.ph/GEPSNONPILOT/Tender/SplashBidNoticeAbstractUI.aspx?menuIndex=3&amp;refID=7010519&amp;Result=3","7010519")</f>
        <v>0</v>
      </c>
      <c r="B14156" t="s">
        <v>2190</v>
      </c>
      <c r="C14156" t="s">
        <v>16747</v>
      </c>
      <c r="D14156" t="s">
        <v>18025</v>
      </c>
      <c r="E14156" t="s">
        <v>30397</v>
      </c>
      <c r="F14156" t="s">
        <v>31574</v>
      </c>
      <c r="G14156" t="s">
        <v>31582</v>
      </c>
      <c r="H14156" t="s">
        <v>31591</v>
      </c>
      <c r="I14156" t="s">
        <v>8822</v>
      </c>
      <c r="J14156" t="s">
        <v>40416</v>
      </c>
      <c r="K14156" t="s">
        <v>41260</v>
      </c>
      <c r="M14156" t="s">
        <v>43876</v>
      </c>
      <c r="N14156" t="s">
        <v>45095</v>
      </c>
      <c r="O14156" t="s">
        <v>45096</v>
      </c>
      <c r="Q14156">
        <v>3</v>
      </c>
      <c r="R14156" t="s">
        <v>45117</v>
      </c>
      <c r="S14156" t="s">
        <v>46003</v>
      </c>
      <c r="T14156" t="s">
        <v>47159</v>
      </c>
      <c r="U14156" t="s">
        <v>58902</v>
      </c>
      <c r="W14156" t="s">
        <v>43876</v>
      </c>
      <c r="X14156" t="s">
        <v>45118</v>
      </c>
    </row>
    <row r="14157" spans="1:24">
      <c r="A14157">
        <f>HYPERLINK("https://www.philgeps.gov.ph/GEPSNONPILOT/Tender/SplashBidNoticeAbstractUI.aspx?menuIndex=3&amp;refID=7010404&amp;Result=3","7010404")</f>
        <v>0</v>
      </c>
      <c r="B14157" t="s">
        <v>1832</v>
      </c>
      <c r="C14157" t="s">
        <v>16748</v>
      </c>
      <c r="D14157" t="s">
        <v>18034</v>
      </c>
      <c r="E14157" t="s">
        <v>30398</v>
      </c>
      <c r="F14157" t="s">
        <v>31574</v>
      </c>
      <c r="G14157" t="s">
        <v>31582</v>
      </c>
      <c r="H14157" t="s">
        <v>31591</v>
      </c>
      <c r="I14157" t="s">
        <v>8822</v>
      </c>
      <c r="J14157" t="s">
        <v>31935</v>
      </c>
      <c r="K14157" t="s">
        <v>41252</v>
      </c>
      <c r="M14157" t="s">
        <v>43468</v>
      </c>
      <c r="N14157" t="s">
        <v>45095</v>
      </c>
      <c r="O14157" t="s">
        <v>45096</v>
      </c>
      <c r="P14157">
        <v>0</v>
      </c>
      <c r="Q14157">
        <v>1</v>
      </c>
      <c r="R14157" t="s">
        <v>45117</v>
      </c>
      <c r="S14157" t="s">
        <v>45992</v>
      </c>
      <c r="T14157" t="s">
        <v>46985</v>
      </c>
      <c r="U14157" t="s">
        <v>57485</v>
      </c>
      <c r="V14157" t="s">
        <v>61428</v>
      </c>
      <c r="W14157" t="s">
        <v>43468</v>
      </c>
      <c r="X14157" t="s">
        <v>45118</v>
      </c>
    </row>
    <row r="14158" spans="1:24">
      <c r="A14158">
        <f>HYPERLINK("https://www.philgeps.gov.ph/GEPSNONPILOT/Tender/SplashBidNoticeAbstractUI.aspx?menuIndex=3&amp;refID=7010436&amp;Result=3","7010436")</f>
        <v>0</v>
      </c>
      <c r="B14158" t="s">
        <v>3104</v>
      </c>
      <c r="C14158" t="s">
        <v>16749</v>
      </c>
      <c r="D14158" t="s">
        <v>18037</v>
      </c>
      <c r="E14158" t="s">
        <v>30399</v>
      </c>
      <c r="F14158" t="s">
        <v>31574</v>
      </c>
      <c r="G14158" t="s">
        <v>31582</v>
      </c>
      <c r="H14158" t="s">
        <v>31590</v>
      </c>
      <c r="I14158" t="s">
        <v>31615</v>
      </c>
      <c r="J14158" t="s">
        <v>32537</v>
      </c>
      <c r="K14158" t="s">
        <v>41194</v>
      </c>
      <c r="M14158" t="s">
        <v>44950</v>
      </c>
      <c r="N14158" t="s">
        <v>45095</v>
      </c>
      <c r="O14158" t="s">
        <v>45096</v>
      </c>
      <c r="P14158">
        <v>0</v>
      </c>
      <c r="Q14158">
        <v>6</v>
      </c>
      <c r="R14158" t="s">
        <v>45117</v>
      </c>
      <c r="S14158" t="s">
        <v>45992</v>
      </c>
      <c r="T14158" t="s">
        <v>47154</v>
      </c>
      <c r="U14158" t="s">
        <v>58903</v>
      </c>
      <c r="V14158" t="s">
        <v>61433</v>
      </c>
      <c r="W14158" t="s">
        <v>44950</v>
      </c>
      <c r="X14158" t="s">
        <v>45118</v>
      </c>
    </row>
    <row r="14159" spans="1:24">
      <c r="A14159">
        <f>HYPERLINK("https://www.philgeps.gov.ph/GEPSNONPILOT/Tender/SplashBidNoticeAbstractUI.aspx?menuIndex=3&amp;refID=7010493&amp;Result=3","7010493")</f>
        <v>0</v>
      </c>
      <c r="B14159" t="s">
        <v>3042</v>
      </c>
      <c r="C14159" t="s">
        <v>16750</v>
      </c>
      <c r="D14159" t="s">
        <v>18063</v>
      </c>
      <c r="E14159" t="s">
        <v>18972</v>
      </c>
      <c r="F14159" t="s">
        <v>31574</v>
      </c>
      <c r="G14159" t="s">
        <v>31582</v>
      </c>
      <c r="H14159" t="s">
        <v>31590</v>
      </c>
      <c r="I14159" t="s">
        <v>3651</v>
      </c>
      <c r="J14159" t="s">
        <v>40417</v>
      </c>
      <c r="K14159" t="s">
        <v>41185</v>
      </c>
      <c r="M14159" t="s">
        <v>44876</v>
      </c>
      <c r="N14159" t="s">
        <v>45095</v>
      </c>
      <c r="O14159" t="s">
        <v>45096</v>
      </c>
      <c r="Q14159">
        <v>2</v>
      </c>
      <c r="R14159" t="s">
        <v>45117</v>
      </c>
      <c r="S14159" t="s">
        <v>46004</v>
      </c>
      <c r="T14159" t="s">
        <v>47067</v>
      </c>
      <c r="U14159" t="s">
        <v>58904</v>
      </c>
      <c r="W14159" t="s">
        <v>44876</v>
      </c>
      <c r="X14159" t="s">
        <v>45118</v>
      </c>
    </row>
    <row r="14160" spans="1:24">
      <c r="A14160">
        <f>HYPERLINK("https://www.philgeps.gov.ph/GEPSNONPILOT/Tender/SplashBidNoticeAbstractUI.aspx?menuIndex=3&amp;refID=7010392&amp;Result=3","7010392")</f>
        <v>0</v>
      </c>
      <c r="B14160" t="s">
        <v>1832</v>
      </c>
      <c r="C14160" t="s">
        <v>16751</v>
      </c>
      <c r="D14160" t="s">
        <v>18034</v>
      </c>
      <c r="E14160" t="s">
        <v>30400</v>
      </c>
      <c r="F14160" t="s">
        <v>31574</v>
      </c>
      <c r="G14160" t="s">
        <v>31582</v>
      </c>
      <c r="H14160" t="s">
        <v>31591</v>
      </c>
      <c r="I14160" t="s">
        <v>8822</v>
      </c>
      <c r="J14160" t="s">
        <v>31771</v>
      </c>
      <c r="K14160" t="s">
        <v>41198</v>
      </c>
      <c r="M14160" t="s">
        <v>43468</v>
      </c>
      <c r="N14160" t="s">
        <v>45095</v>
      </c>
      <c r="O14160" t="s">
        <v>45096</v>
      </c>
      <c r="P14160">
        <v>0</v>
      </c>
      <c r="Q14160">
        <v>0</v>
      </c>
      <c r="R14160" t="s">
        <v>45117</v>
      </c>
      <c r="S14160" t="s">
        <v>45992</v>
      </c>
      <c r="T14160" t="s">
        <v>46985</v>
      </c>
      <c r="U14160" t="s">
        <v>57485</v>
      </c>
      <c r="V14160" t="s">
        <v>61427</v>
      </c>
      <c r="W14160" t="s">
        <v>43468</v>
      </c>
      <c r="X14160" t="s">
        <v>45118</v>
      </c>
    </row>
    <row r="14161" spans="1:24">
      <c r="A14161">
        <f>HYPERLINK("https://www.philgeps.gov.ph/GEPSNONPILOT/Tender/SplashBidNoticeAbstractUI.aspx?menuIndex=3&amp;refID=7010461&amp;Result=3","7010461")</f>
        <v>0</v>
      </c>
      <c r="B14161" t="s">
        <v>1832</v>
      </c>
      <c r="C14161" t="s">
        <v>16752</v>
      </c>
      <c r="D14161" t="s">
        <v>18034</v>
      </c>
      <c r="E14161" t="s">
        <v>30401</v>
      </c>
      <c r="F14161" t="s">
        <v>31574</v>
      </c>
      <c r="G14161" t="s">
        <v>31582</v>
      </c>
      <c r="H14161" t="s">
        <v>31591</v>
      </c>
      <c r="I14161" t="s">
        <v>8822</v>
      </c>
      <c r="J14161" t="s">
        <v>31935</v>
      </c>
      <c r="K14161" t="s">
        <v>41329</v>
      </c>
      <c r="M14161" t="s">
        <v>43468</v>
      </c>
      <c r="N14161" t="s">
        <v>45095</v>
      </c>
      <c r="O14161" t="s">
        <v>45096</v>
      </c>
      <c r="P14161">
        <v>0</v>
      </c>
      <c r="Q14161">
        <v>0</v>
      </c>
      <c r="R14161" t="s">
        <v>45117</v>
      </c>
      <c r="S14161" t="s">
        <v>45992</v>
      </c>
      <c r="T14161" t="s">
        <v>46985</v>
      </c>
      <c r="U14161" t="s">
        <v>57485</v>
      </c>
      <c r="V14161" t="s">
        <v>61428</v>
      </c>
      <c r="W14161" t="s">
        <v>43468</v>
      </c>
      <c r="X14161" t="s">
        <v>45118</v>
      </c>
    </row>
    <row r="14162" spans="1:24">
      <c r="A14162">
        <f>HYPERLINK("https://www.philgeps.gov.ph/GEPSNONPILOT/Tender/SplashBidNoticeAbstractUI.aspx?menuIndex=3&amp;refID=7010581&amp;Result=3","7010581")</f>
        <v>0</v>
      </c>
      <c r="B14162" t="s">
        <v>1832</v>
      </c>
      <c r="C14162" t="s">
        <v>16753</v>
      </c>
      <c r="D14162" t="s">
        <v>18034</v>
      </c>
      <c r="E14162" t="s">
        <v>30402</v>
      </c>
      <c r="F14162" t="s">
        <v>31574</v>
      </c>
      <c r="G14162" t="s">
        <v>31582</v>
      </c>
      <c r="H14162" t="s">
        <v>31591</v>
      </c>
      <c r="I14162" t="s">
        <v>8822</v>
      </c>
      <c r="J14162" t="s">
        <v>31935</v>
      </c>
      <c r="K14162" t="s">
        <v>41228</v>
      </c>
      <c r="M14162" t="s">
        <v>43468</v>
      </c>
      <c r="N14162" t="s">
        <v>45095</v>
      </c>
      <c r="O14162" t="s">
        <v>45096</v>
      </c>
      <c r="P14162">
        <v>0</v>
      </c>
      <c r="Q14162">
        <v>0</v>
      </c>
      <c r="R14162" t="s">
        <v>45117</v>
      </c>
      <c r="S14162" t="s">
        <v>45992</v>
      </c>
      <c r="T14162" t="s">
        <v>46985</v>
      </c>
      <c r="U14162" t="s">
        <v>57485</v>
      </c>
      <c r="V14162" t="s">
        <v>61428</v>
      </c>
      <c r="W14162" t="s">
        <v>43468</v>
      </c>
      <c r="X14162" t="s">
        <v>45118</v>
      </c>
    </row>
    <row r="14163" spans="1:24">
      <c r="A14163">
        <f>HYPERLINK("https://www.philgeps.gov.ph/GEPSNONPILOT/Tender/SplashBidNoticeAbstractUI.aspx?menuIndex=3&amp;refID=7010207&amp;Result=3","7010207")</f>
        <v>0</v>
      </c>
      <c r="B14163" t="s">
        <v>2643</v>
      </c>
      <c r="C14163" t="s">
        <v>16754</v>
      </c>
      <c r="D14163" t="s">
        <v>18081</v>
      </c>
      <c r="E14163" t="s">
        <v>30403</v>
      </c>
      <c r="F14163" t="s">
        <v>31574</v>
      </c>
      <c r="G14163" t="s">
        <v>31582</v>
      </c>
      <c r="H14163" t="s">
        <v>31590</v>
      </c>
      <c r="I14163" t="s">
        <v>31607</v>
      </c>
      <c r="J14163" t="s">
        <v>33135</v>
      </c>
      <c r="K14163" t="s">
        <v>41196</v>
      </c>
      <c r="M14163" t="s">
        <v>44397</v>
      </c>
      <c r="N14163" t="s">
        <v>45095</v>
      </c>
      <c r="O14163" t="s">
        <v>45096</v>
      </c>
      <c r="P14163">
        <v>0</v>
      </c>
      <c r="Q14163">
        <v>0</v>
      </c>
      <c r="R14163" t="s">
        <v>45117</v>
      </c>
      <c r="S14163" t="s">
        <v>45992</v>
      </c>
      <c r="T14163" t="s">
        <v>47064</v>
      </c>
      <c r="U14163" t="s">
        <v>58905</v>
      </c>
      <c r="W14163" t="s">
        <v>44397</v>
      </c>
      <c r="X14163" t="s">
        <v>45118</v>
      </c>
    </row>
    <row r="14164" spans="1:24">
      <c r="A14164">
        <f>HYPERLINK("https://www.philgeps.gov.ph/GEPSNONPILOT/Tender/SplashBidNoticeAbstractUI.aspx?menuIndex=3&amp;refID=7010571&amp;Result=3","7010571")</f>
        <v>0</v>
      </c>
      <c r="B14164" t="s">
        <v>3105</v>
      </c>
      <c r="C14164" t="s">
        <v>16755</v>
      </c>
      <c r="D14164" t="s">
        <v>18064</v>
      </c>
      <c r="E14164" t="s">
        <v>28708</v>
      </c>
      <c r="F14164" t="s">
        <v>31574</v>
      </c>
      <c r="G14164" t="s">
        <v>31582</v>
      </c>
      <c r="H14164" t="s">
        <v>31591</v>
      </c>
      <c r="I14164" t="s">
        <v>8822</v>
      </c>
      <c r="J14164" t="s">
        <v>31935</v>
      </c>
      <c r="K14164" t="s">
        <v>41269</v>
      </c>
      <c r="M14164" t="s">
        <v>44951</v>
      </c>
      <c r="N14164" t="s">
        <v>45095</v>
      </c>
      <c r="O14164" t="s">
        <v>45096</v>
      </c>
      <c r="P14164">
        <v>0</v>
      </c>
      <c r="Q14164">
        <v>3</v>
      </c>
      <c r="R14164" t="s">
        <v>45117</v>
      </c>
      <c r="S14164" t="s">
        <v>45992</v>
      </c>
      <c r="T14164" t="s">
        <v>47154</v>
      </c>
      <c r="U14164" t="s">
        <v>58906</v>
      </c>
      <c r="W14164" t="s">
        <v>44951</v>
      </c>
      <c r="X14164" t="s">
        <v>45118</v>
      </c>
    </row>
    <row r="14165" spans="1:24">
      <c r="A14165">
        <f>HYPERLINK("https://www.philgeps.gov.ph/GEPSNONPILOT/Tender/SplashBidNoticeAbstractUI.aspx?menuIndex=3&amp;refID=7010560&amp;Result=3","7010560")</f>
        <v>0</v>
      </c>
      <c r="B14165" t="s">
        <v>1832</v>
      </c>
      <c r="C14165" t="s">
        <v>16756</v>
      </c>
      <c r="D14165" t="s">
        <v>18034</v>
      </c>
      <c r="E14165" t="s">
        <v>30404</v>
      </c>
      <c r="F14165" t="s">
        <v>31574</v>
      </c>
      <c r="G14165" t="s">
        <v>31582</v>
      </c>
      <c r="H14165" t="s">
        <v>31591</v>
      </c>
      <c r="I14165" t="s">
        <v>8822</v>
      </c>
      <c r="J14165" t="s">
        <v>32120</v>
      </c>
      <c r="K14165" t="s">
        <v>41186</v>
      </c>
      <c r="M14165" t="s">
        <v>43468</v>
      </c>
      <c r="N14165" t="s">
        <v>45095</v>
      </c>
      <c r="O14165" t="s">
        <v>45096</v>
      </c>
      <c r="P14165">
        <v>0</v>
      </c>
      <c r="Q14165">
        <v>0</v>
      </c>
      <c r="R14165" t="s">
        <v>45117</v>
      </c>
      <c r="S14165" t="s">
        <v>45992</v>
      </c>
      <c r="T14165" t="s">
        <v>46985</v>
      </c>
      <c r="U14165" t="s">
        <v>57485</v>
      </c>
      <c r="V14165" t="s">
        <v>61427</v>
      </c>
      <c r="W14165" t="s">
        <v>43468</v>
      </c>
      <c r="X14165" t="s">
        <v>45118</v>
      </c>
    </row>
    <row r="14166" spans="1:24">
      <c r="A14166">
        <f>HYPERLINK("https://www.philgeps.gov.ph/GEPSNONPILOT/Tender/SplashBidNoticeAbstractUI.aspx?menuIndex=3&amp;refID=7010548&amp;Result=3","7010548")</f>
        <v>0</v>
      </c>
      <c r="B14166" t="s">
        <v>797</v>
      </c>
      <c r="C14166" t="s">
        <v>16757</v>
      </c>
      <c r="D14166" t="s">
        <v>18056</v>
      </c>
      <c r="E14166" t="s">
        <v>30405</v>
      </c>
      <c r="F14166" t="s">
        <v>31574</v>
      </c>
      <c r="G14166" t="s">
        <v>31582</v>
      </c>
      <c r="H14166" t="s">
        <v>31590</v>
      </c>
      <c r="I14166" t="s">
        <v>6800</v>
      </c>
      <c r="J14166" t="s">
        <v>40418</v>
      </c>
      <c r="K14166" t="s">
        <v>41186</v>
      </c>
      <c r="M14166" t="s">
        <v>42325</v>
      </c>
      <c r="N14166" t="s">
        <v>45095</v>
      </c>
      <c r="O14166" t="s">
        <v>45096</v>
      </c>
      <c r="Q14166">
        <v>8</v>
      </c>
      <c r="R14166" t="s">
        <v>45117</v>
      </c>
      <c r="S14166" t="s">
        <v>46005</v>
      </c>
      <c r="T14166" t="s">
        <v>47433</v>
      </c>
      <c r="U14166" t="s">
        <v>49206</v>
      </c>
      <c r="V14166" t="s">
        <v>60050</v>
      </c>
      <c r="W14166" t="s">
        <v>42325</v>
      </c>
      <c r="X14166" t="s">
        <v>45118</v>
      </c>
    </row>
    <row r="14167" spans="1:24">
      <c r="A14167">
        <f>HYPERLINK("https://www.philgeps.gov.ph/GEPSNONPILOT/Tender/SplashBidNoticeAbstractUI.aspx?menuIndex=3&amp;refID=7010564&amp;Result=3","7010564")</f>
        <v>0</v>
      </c>
      <c r="B14167" t="s">
        <v>1832</v>
      </c>
      <c r="C14167" t="s">
        <v>16758</v>
      </c>
      <c r="D14167" t="s">
        <v>18034</v>
      </c>
      <c r="E14167" t="s">
        <v>30406</v>
      </c>
      <c r="F14167" t="s">
        <v>31574</v>
      </c>
      <c r="G14167" t="s">
        <v>31582</v>
      </c>
      <c r="H14167" t="s">
        <v>31591</v>
      </c>
      <c r="I14167" t="s">
        <v>8822</v>
      </c>
      <c r="J14167" t="s">
        <v>31935</v>
      </c>
      <c r="K14167" t="s">
        <v>41240</v>
      </c>
      <c r="M14167" t="s">
        <v>43468</v>
      </c>
      <c r="N14167" t="s">
        <v>45095</v>
      </c>
      <c r="O14167" t="s">
        <v>45096</v>
      </c>
      <c r="P14167">
        <v>0</v>
      </c>
      <c r="Q14167">
        <v>0</v>
      </c>
      <c r="R14167" t="s">
        <v>45117</v>
      </c>
      <c r="S14167" t="s">
        <v>45992</v>
      </c>
      <c r="T14167" t="s">
        <v>46985</v>
      </c>
      <c r="U14167" t="s">
        <v>57485</v>
      </c>
      <c r="V14167" t="s">
        <v>61428</v>
      </c>
      <c r="W14167" t="s">
        <v>43468</v>
      </c>
      <c r="X14167" t="s">
        <v>45118</v>
      </c>
    </row>
    <row r="14168" spans="1:24">
      <c r="A14168">
        <f>HYPERLINK("https://www.philgeps.gov.ph/GEPSNONPILOT/Tender/SplashBidNoticeAbstractUI.aspx?menuIndex=3&amp;refID=7010547&amp;Result=3","7010547")</f>
        <v>0</v>
      </c>
      <c r="B14168" t="s">
        <v>1832</v>
      </c>
      <c r="C14168" t="s">
        <v>16759</v>
      </c>
      <c r="D14168" t="s">
        <v>18034</v>
      </c>
      <c r="E14168" t="s">
        <v>30407</v>
      </c>
      <c r="F14168" t="s">
        <v>31574</v>
      </c>
      <c r="G14168" t="s">
        <v>31582</v>
      </c>
      <c r="H14168" t="s">
        <v>31591</v>
      </c>
      <c r="I14168" t="s">
        <v>8822</v>
      </c>
      <c r="J14168" t="s">
        <v>32530</v>
      </c>
      <c r="K14168" t="s">
        <v>41198</v>
      </c>
      <c r="M14168" t="s">
        <v>43468</v>
      </c>
      <c r="N14168" t="s">
        <v>45095</v>
      </c>
      <c r="O14168" t="s">
        <v>45096</v>
      </c>
      <c r="P14168">
        <v>0</v>
      </c>
      <c r="Q14168">
        <v>0</v>
      </c>
      <c r="R14168" t="s">
        <v>45117</v>
      </c>
      <c r="S14168" t="s">
        <v>45992</v>
      </c>
      <c r="T14168" t="s">
        <v>46985</v>
      </c>
      <c r="U14168" t="s">
        <v>57485</v>
      </c>
      <c r="V14168" t="s">
        <v>61427</v>
      </c>
      <c r="W14168" t="s">
        <v>43468</v>
      </c>
      <c r="X14168" t="s">
        <v>45118</v>
      </c>
    </row>
    <row r="14169" spans="1:24">
      <c r="A14169">
        <f>HYPERLINK("https://www.philgeps.gov.ph/GEPSNONPILOT/Tender/SplashBidNoticeAbstractUI.aspx?menuIndex=3&amp;refID=7010593&amp;Result=3","7010593")</f>
        <v>0</v>
      </c>
      <c r="B14169" t="s">
        <v>3105</v>
      </c>
      <c r="C14169" t="s">
        <v>16760</v>
      </c>
      <c r="D14169" t="s">
        <v>18064</v>
      </c>
      <c r="E14169" t="s">
        <v>29351</v>
      </c>
      <c r="F14169" t="s">
        <v>31574</v>
      </c>
      <c r="G14169" t="s">
        <v>31582</v>
      </c>
      <c r="H14169" t="s">
        <v>31591</v>
      </c>
      <c r="I14169" t="s">
        <v>8822</v>
      </c>
      <c r="J14169" t="s">
        <v>31771</v>
      </c>
      <c r="K14169" t="s">
        <v>41257</v>
      </c>
      <c r="M14169" t="s">
        <v>44951</v>
      </c>
      <c r="N14169" t="s">
        <v>45095</v>
      </c>
      <c r="O14169" t="s">
        <v>45096</v>
      </c>
      <c r="P14169">
        <v>0</v>
      </c>
      <c r="Q14169">
        <v>1</v>
      </c>
      <c r="R14169" t="s">
        <v>45117</v>
      </c>
      <c r="S14169" t="s">
        <v>45992</v>
      </c>
      <c r="T14169" t="s">
        <v>47159</v>
      </c>
      <c r="U14169" t="s">
        <v>58907</v>
      </c>
      <c r="W14169" t="s">
        <v>44951</v>
      </c>
      <c r="X14169" t="s">
        <v>45118</v>
      </c>
    </row>
    <row r="14170" spans="1:24">
      <c r="A14170">
        <f>HYPERLINK("https://www.philgeps.gov.ph/GEPSNONPILOT/Tender/SplashBidNoticeAbstractUI.aspx?menuIndex=3&amp;refID=7010658&amp;Result=3","7010658")</f>
        <v>0</v>
      </c>
      <c r="B14170" t="s">
        <v>725</v>
      </c>
      <c r="C14170" t="s">
        <v>16761</v>
      </c>
      <c r="D14170" t="s">
        <v>18092</v>
      </c>
      <c r="E14170" t="s">
        <v>30408</v>
      </c>
      <c r="F14170" t="s">
        <v>31574</v>
      </c>
      <c r="G14170" t="s">
        <v>31588</v>
      </c>
      <c r="H14170" t="s">
        <v>31590</v>
      </c>
      <c r="I14170" t="s">
        <v>31602</v>
      </c>
      <c r="J14170" t="s">
        <v>40419</v>
      </c>
      <c r="K14170" t="s">
        <v>41193</v>
      </c>
      <c r="M14170" t="s">
        <v>42235</v>
      </c>
      <c r="N14170" t="s">
        <v>45095</v>
      </c>
      <c r="O14170" t="s">
        <v>45096</v>
      </c>
      <c r="P14170">
        <v>0</v>
      </c>
      <c r="Q14170">
        <v>0</v>
      </c>
      <c r="R14170" t="s">
        <v>45117</v>
      </c>
      <c r="S14170" t="s">
        <v>45992</v>
      </c>
      <c r="T14170" t="s">
        <v>47076</v>
      </c>
      <c r="U14170" t="s">
        <v>58908</v>
      </c>
      <c r="V14170" t="s">
        <v>61434</v>
      </c>
      <c r="W14170" t="s">
        <v>42235</v>
      </c>
      <c r="X14170" t="s">
        <v>45118</v>
      </c>
    </row>
    <row r="14171" spans="1:24">
      <c r="A14171">
        <f>HYPERLINK("https://www.philgeps.gov.ph/GEPSNONPILOT/Tender/SplashBidNoticeAbstractUI.aspx?menuIndex=3&amp;refID=7010565&amp;Result=3","7010565")</f>
        <v>0</v>
      </c>
      <c r="B14171" t="s">
        <v>851</v>
      </c>
      <c r="C14171" t="s">
        <v>16762</v>
      </c>
      <c r="D14171" t="s">
        <v>18045</v>
      </c>
      <c r="E14171" t="s">
        <v>30409</v>
      </c>
      <c r="F14171" t="s">
        <v>31574</v>
      </c>
      <c r="G14171" t="s">
        <v>31582</v>
      </c>
      <c r="H14171" t="s">
        <v>31591</v>
      </c>
      <c r="I14171" t="s">
        <v>8822</v>
      </c>
      <c r="J14171" t="s">
        <v>31771</v>
      </c>
      <c r="K14171" t="s">
        <v>41189</v>
      </c>
      <c r="M14171" t="s">
        <v>42370</v>
      </c>
      <c r="N14171" t="s">
        <v>45095</v>
      </c>
      <c r="O14171" t="s">
        <v>45096</v>
      </c>
      <c r="P14171">
        <v>0</v>
      </c>
      <c r="Q14171">
        <v>0</v>
      </c>
      <c r="R14171" t="s">
        <v>45117</v>
      </c>
      <c r="S14171" t="s">
        <v>45992</v>
      </c>
      <c r="T14171" t="s">
        <v>47164</v>
      </c>
      <c r="U14171" t="s">
        <v>56105</v>
      </c>
      <c r="W14171" t="s">
        <v>42370</v>
      </c>
      <c r="X14171" t="s">
        <v>45118</v>
      </c>
    </row>
    <row r="14172" spans="1:24">
      <c r="A14172">
        <f>HYPERLINK("https://www.philgeps.gov.ph/GEPSNONPILOT/Tender/SplashBidNoticeAbstractUI.aspx?menuIndex=3&amp;refID=7010621&amp;Result=3","7010621")</f>
        <v>0</v>
      </c>
      <c r="B14172" t="s">
        <v>1014</v>
      </c>
      <c r="C14172" t="s">
        <v>16763</v>
      </c>
      <c r="D14172" t="s">
        <v>18059</v>
      </c>
      <c r="E14172" t="s">
        <v>30410</v>
      </c>
      <c r="F14172" t="s">
        <v>31574</v>
      </c>
      <c r="G14172" t="s">
        <v>31582</v>
      </c>
      <c r="H14172" t="s">
        <v>31591</v>
      </c>
      <c r="I14172" t="s">
        <v>31623</v>
      </c>
      <c r="J14172" t="s">
        <v>40195</v>
      </c>
      <c r="K14172" t="s">
        <v>41326</v>
      </c>
      <c r="M14172" t="s">
        <v>42555</v>
      </c>
      <c r="N14172" t="s">
        <v>45095</v>
      </c>
      <c r="O14172" t="s">
        <v>45096</v>
      </c>
      <c r="P14172">
        <v>0</v>
      </c>
      <c r="Q14172">
        <v>0</v>
      </c>
      <c r="R14172" t="s">
        <v>45117</v>
      </c>
      <c r="S14172" t="s">
        <v>45992</v>
      </c>
      <c r="T14172" t="s">
        <v>47159</v>
      </c>
      <c r="U14172" t="s">
        <v>58909</v>
      </c>
      <c r="W14172" t="s">
        <v>42555</v>
      </c>
      <c r="X14172" t="s">
        <v>45118</v>
      </c>
    </row>
    <row r="14173" spans="1:24">
      <c r="A14173">
        <f>HYPERLINK("https://www.philgeps.gov.ph/GEPSNONPILOT/Tender/SplashBidNoticeAbstractUI.aspx?menuIndex=3&amp;refID=7010589&amp;Result=3","7010589")</f>
        <v>0</v>
      </c>
      <c r="B14173" t="s">
        <v>1832</v>
      </c>
      <c r="C14173" t="s">
        <v>16764</v>
      </c>
      <c r="D14173" t="s">
        <v>18034</v>
      </c>
      <c r="E14173" t="s">
        <v>30411</v>
      </c>
      <c r="F14173" t="s">
        <v>31574</v>
      </c>
      <c r="G14173" t="s">
        <v>31582</v>
      </c>
      <c r="H14173" t="s">
        <v>31591</v>
      </c>
      <c r="I14173" t="s">
        <v>8822</v>
      </c>
      <c r="J14173" t="s">
        <v>31935</v>
      </c>
      <c r="K14173" t="s">
        <v>41192</v>
      </c>
      <c r="M14173" t="s">
        <v>43468</v>
      </c>
      <c r="N14173" t="s">
        <v>45095</v>
      </c>
      <c r="O14173" t="s">
        <v>45096</v>
      </c>
      <c r="P14173">
        <v>0</v>
      </c>
      <c r="Q14173">
        <v>0</v>
      </c>
      <c r="R14173" t="s">
        <v>45117</v>
      </c>
      <c r="S14173" t="s">
        <v>45992</v>
      </c>
      <c r="T14173" t="s">
        <v>46985</v>
      </c>
      <c r="U14173" t="s">
        <v>57485</v>
      </c>
      <c r="V14173" t="s">
        <v>61428</v>
      </c>
      <c r="W14173" t="s">
        <v>43468</v>
      </c>
      <c r="X14173" t="s">
        <v>45118</v>
      </c>
    </row>
    <row r="14174" spans="1:24">
      <c r="A14174">
        <f>HYPERLINK("https://www.philgeps.gov.ph/GEPSNONPILOT/Tender/SplashBidNoticeAbstractUI.aspx?menuIndex=3&amp;refID=7010634&amp;Result=3","7010634")</f>
        <v>0</v>
      </c>
      <c r="B14174" t="s">
        <v>59</v>
      </c>
      <c r="C14174" t="s">
        <v>16765</v>
      </c>
      <c r="D14174" t="s">
        <v>18048</v>
      </c>
      <c r="E14174" t="s">
        <v>30412</v>
      </c>
      <c r="F14174" t="s">
        <v>31574</v>
      </c>
      <c r="G14174" t="s">
        <v>31582</v>
      </c>
      <c r="H14174" t="s">
        <v>31590</v>
      </c>
      <c r="I14174" t="s">
        <v>8822</v>
      </c>
      <c r="J14174" t="s">
        <v>32419</v>
      </c>
      <c r="K14174" t="s">
        <v>41200</v>
      </c>
      <c r="M14174" t="s">
        <v>44405</v>
      </c>
      <c r="N14174" t="s">
        <v>45095</v>
      </c>
      <c r="O14174" t="s">
        <v>45096</v>
      </c>
      <c r="Q14174">
        <v>2</v>
      </c>
      <c r="R14174" t="s">
        <v>45117</v>
      </c>
      <c r="S14174" t="s">
        <v>46006</v>
      </c>
      <c r="T14174" t="s">
        <v>47391</v>
      </c>
      <c r="U14174" t="s">
        <v>58910</v>
      </c>
      <c r="W14174" t="s">
        <v>44405</v>
      </c>
      <c r="X14174" t="s">
        <v>45118</v>
      </c>
    </row>
    <row r="14175" spans="1:24">
      <c r="A14175">
        <f>HYPERLINK("https://www.philgeps.gov.ph/GEPSNONPILOT/Tender/SplashBidNoticeAbstractUI.aspx?menuIndex=3&amp;refID=7010638&amp;Result=3","7010638")</f>
        <v>0</v>
      </c>
      <c r="B14175" t="s">
        <v>1014</v>
      </c>
      <c r="C14175" t="s">
        <v>16766</v>
      </c>
      <c r="D14175" t="s">
        <v>18059</v>
      </c>
      <c r="E14175" t="s">
        <v>30413</v>
      </c>
      <c r="F14175" t="s">
        <v>31574</v>
      </c>
      <c r="G14175" t="s">
        <v>31582</v>
      </c>
      <c r="H14175" t="s">
        <v>31591</v>
      </c>
      <c r="I14175" t="s">
        <v>31623</v>
      </c>
      <c r="J14175" t="s">
        <v>40195</v>
      </c>
      <c r="K14175" t="s">
        <v>41425</v>
      </c>
      <c r="M14175" t="s">
        <v>42555</v>
      </c>
      <c r="N14175" t="s">
        <v>45095</v>
      </c>
      <c r="O14175" t="s">
        <v>45096</v>
      </c>
      <c r="P14175">
        <v>0</v>
      </c>
      <c r="Q14175">
        <v>1</v>
      </c>
      <c r="R14175" t="s">
        <v>45117</v>
      </c>
      <c r="S14175" t="s">
        <v>45992</v>
      </c>
      <c r="T14175" t="s">
        <v>47159</v>
      </c>
      <c r="U14175" t="s">
        <v>58911</v>
      </c>
      <c r="W14175" t="s">
        <v>42555</v>
      </c>
      <c r="X14175" t="s">
        <v>45118</v>
      </c>
    </row>
    <row r="14176" spans="1:24">
      <c r="A14176">
        <f>HYPERLINK("https://www.philgeps.gov.ph/GEPSNONPILOT/Tender/SplashBidNoticeAbstractUI.aspx?menuIndex=3&amp;refID=7010535&amp;Result=3","7010535")</f>
        <v>0</v>
      </c>
      <c r="B14176" t="s">
        <v>3042</v>
      </c>
      <c r="C14176" t="s">
        <v>16767</v>
      </c>
      <c r="D14176" t="s">
        <v>18063</v>
      </c>
      <c r="E14176" t="s">
        <v>23335</v>
      </c>
      <c r="F14176" t="s">
        <v>31574</v>
      </c>
      <c r="G14176" t="s">
        <v>31582</v>
      </c>
      <c r="H14176" t="s">
        <v>31591</v>
      </c>
      <c r="I14176" t="s">
        <v>8822</v>
      </c>
      <c r="J14176" t="s">
        <v>31947</v>
      </c>
      <c r="K14176" t="s">
        <v>41185</v>
      </c>
      <c r="M14176" t="s">
        <v>44876</v>
      </c>
      <c r="N14176" t="s">
        <v>45095</v>
      </c>
      <c r="O14176" t="s">
        <v>45096</v>
      </c>
      <c r="Q14176">
        <v>1</v>
      </c>
      <c r="R14176" t="s">
        <v>45117</v>
      </c>
      <c r="S14176" t="s">
        <v>46007</v>
      </c>
      <c r="T14176" t="s">
        <v>47323</v>
      </c>
      <c r="U14176" t="s">
        <v>58912</v>
      </c>
      <c r="W14176" t="s">
        <v>44876</v>
      </c>
      <c r="X14176" t="s">
        <v>45118</v>
      </c>
    </row>
    <row r="14177" spans="1:24">
      <c r="A14177">
        <f>HYPERLINK("https://www.philgeps.gov.ph/GEPSNONPILOT/Tender/SplashBidNoticeAbstractUI.aspx?menuIndex=3&amp;refID=7010582&amp;Result=3","7010582")</f>
        <v>0</v>
      </c>
      <c r="B14177" t="s">
        <v>1880</v>
      </c>
      <c r="C14177" t="s">
        <v>16768</v>
      </c>
      <c r="D14177" t="s">
        <v>18056</v>
      </c>
      <c r="E14177" t="s">
        <v>30414</v>
      </c>
      <c r="F14177" t="s">
        <v>31574</v>
      </c>
      <c r="G14177" t="s">
        <v>31582</v>
      </c>
      <c r="H14177" t="s">
        <v>31591</v>
      </c>
      <c r="I14177" t="s">
        <v>31607</v>
      </c>
      <c r="J14177" t="s">
        <v>40420</v>
      </c>
      <c r="K14177" t="s">
        <v>41200</v>
      </c>
      <c r="M14177" t="s">
        <v>43732</v>
      </c>
      <c r="N14177" t="s">
        <v>45095</v>
      </c>
      <c r="O14177" t="s">
        <v>45096</v>
      </c>
      <c r="P14177">
        <v>0</v>
      </c>
      <c r="Q14177">
        <v>1</v>
      </c>
      <c r="R14177" t="s">
        <v>45117</v>
      </c>
      <c r="S14177" t="s">
        <v>45992</v>
      </c>
      <c r="T14177" t="s">
        <v>47171</v>
      </c>
      <c r="U14177" t="s">
        <v>58913</v>
      </c>
      <c r="W14177" t="s">
        <v>43732</v>
      </c>
      <c r="X14177" t="s">
        <v>45118</v>
      </c>
    </row>
    <row r="14178" spans="1:24">
      <c r="A14178">
        <f>HYPERLINK("https://www.philgeps.gov.ph/GEPSNONPILOT/Tender/SplashBidNoticeAbstractUI.aspx?menuIndex=3&amp;refID=7010672&amp;Result=3","7010672")</f>
        <v>0</v>
      </c>
      <c r="B14178" t="s">
        <v>3106</v>
      </c>
      <c r="C14178" t="s">
        <v>16769</v>
      </c>
      <c r="D14178" t="s">
        <v>18024</v>
      </c>
      <c r="E14178" t="s">
        <v>18315</v>
      </c>
      <c r="F14178" t="s">
        <v>31574</v>
      </c>
      <c r="G14178" t="s">
        <v>31582</v>
      </c>
      <c r="H14178" t="s">
        <v>31591</v>
      </c>
      <c r="I14178" t="s">
        <v>4046</v>
      </c>
      <c r="J14178" t="s">
        <v>40421</v>
      </c>
      <c r="K14178" t="s">
        <v>41192</v>
      </c>
      <c r="M14178" t="s">
        <v>44952</v>
      </c>
      <c r="N14178" t="s">
        <v>45095</v>
      </c>
      <c r="O14178" t="s">
        <v>45096</v>
      </c>
      <c r="P14178">
        <v>0</v>
      </c>
      <c r="Q14178">
        <v>2</v>
      </c>
      <c r="R14178" t="s">
        <v>45117</v>
      </c>
      <c r="S14178" t="s">
        <v>45992</v>
      </c>
      <c r="T14178" t="s">
        <v>47093</v>
      </c>
      <c r="U14178" t="s">
        <v>58914</v>
      </c>
      <c r="W14178" t="s">
        <v>44952</v>
      </c>
      <c r="X14178" t="s">
        <v>45118</v>
      </c>
    </row>
    <row r="14179" spans="1:24">
      <c r="A14179">
        <f>HYPERLINK("https://www.philgeps.gov.ph/GEPSNONPILOT/Tender/SplashBidNoticeAbstractUI.aspx?menuIndex=3&amp;refID=7010735&amp;Result=3","7010735")</f>
        <v>0</v>
      </c>
      <c r="B14179" t="s">
        <v>3104</v>
      </c>
      <c r="C14179" t="s">
        <v>16770</v>
      </c>
      <c r="D14179" t="s">
        <v>18037</v>
      </c>
      <c r="E14179" t="s">
        <v>30415</v>
      </c>
      <c r="F14179" t="s">
        <v>31574</v>
      </c>
      <c r="G14179" t="s">
        <v>31582</v>
      </c>
      <c r="H14179" t="s">
        <v>31591</v>
      </c>
      <c r="I14179" t="s">
        <v>8822</v>
      </c>
      <c r="J14179" t="s">
        <v>40422</v>
      </c>
      <c r="K14179" t="s">
        <v>41406</v>
      </c>
      <c r="M14179" t="s">
        <v>44950</v>
      </c>
      <c r="N14179" t="s">
        <v>45095</v>
      </c>
      <c r="O14179" t="s">
        <v>45096</v>
      </c>
      <c r="P14179">
        <v>0</v>
      </c>
      <c r="Q14179">
        <v>1</v>
      </c>
      <c r="R14179" t="s">
        <v>45117</v>
      </c>
      <c r="S14179" t="s">
        <v>45992</v>
      </c>
      <c r="T14179" t="s">
        <v>47154</v>
      </c>
      <c r="U14179" t="s">
        <v>58915</v>
      </c>
      <c r="V14179" t="s">
        <v>61435</v>
      </c>
      <c r="W14179" t="s">
        <v>44950</v>
      </c>
      <c r="X14179" t="s">
        <v>45118</v>
      </c>
    </row>
    <row r="14180" spans="1:24">
      <c r="A14180">
        <f>HYPERLINK("https://www.philgeps.gov.ph/GEPSNONPILOT/Tender/SplashBidNoticeAbstractUI.aspx?menuIndex=3&amp;refID=7010598&amp;Result=3","7010598")</f>
        <v>0</v>
      </c>
      <c r="B14180" t="s">
        <v>1014</v>
      </c>
      <c r="C14180" t="s">
        <v>16771</v>
      </c>
      <c r="E14180" t="s">
        <v>30416</v>
      </c>
      <c r="F14180" t="s">
        <v>31574</v>
      </c>
      <c r="G14180" t="s">
        <v>31582</v>
      </c>
      <c r="H14180" t="s">
        <v>31591</v>
      </c>
      <c r="I14180" t="s">
        <v>31623</v>
      </c>
      <c r="J14180" t="s">
        <v>40195</v>
      </c>
      <c r="K14180" t="s">
        <v>41456</v>
      </c>
      <c r="M14180" t="s">
        <v>42555</v>
      </c>
      <c r="N14180" t="s">
        <v>45095</v>
      </c>
      <c r="O14180" t="s">
        <v>45096</v>
      </c>
      <c r="P14180">
        <v>0</v>
      </c>
      <c r="Q14180">
        <v>0</v>
      </c>
      <c r="R14180" t="s">
        <v>45117</v>
      </c>
      <c r="S14180" t="s">
        <v>45992</v>
      </c>
      <c r="T14180" t="s">
        <v>47159</v>
      </c>
      <c r="U14180" t="s">
        <v>58916</v>
      </c>
      <c r="W14180" t="s">
        <v>42555</v>
      </c>
      <c r="X14180" t="s">
        <v>45118</v>
      </c>
    </row>
    <row r="14181" spans="1:24">
      <c r="A14181">
        <f>HYPERLINK("https://www.philgeps.gov.ph/GEPSNONPILOT/Tender/SplashBidNoticeAbstractUI.aspx?menuIndex=3&amp;refID=7010545&amp;Result=3","7010545")</f>
        <v>0</v>
      </c>
      <c r="B14181" t="s">
        <v>1832</v>
      </c>
      <c r="C14181" t="s">
        <v>16772</v>
      </c>
      <c r="D14181" t="s">
        <v>18034</v>
      </c>
      <c r="E14181" t="s">
        <v>30417</v>
      </c>
      <c r="F14181" t="s">
        <v>31574</v>
      </c>
      <c r="G14181" t="s">
        <v>31582</v>
      </c>
      <c r="H14181" t="s">
        <v>31591</v>
      </c>
      <c r="I14181" t="s">
        <v>8822</v>
      </c>
      <c r="J14181" t="s">
        <v>31935</v>
      </c>
      <c r="K14181" t="s">
        <v>41310</v>
      </c>
      <c r="M14181" t="s">
        <v>43468</v>
      </c>
      <c r="N14181" t="s">
        <v>45095</v>
      </c>
      <c r="O14181" t="s">
        <v>45096</v>
      </c>
      <c r="P14181">
        <v>0</v>
      </c>
      <c r="Q14181">
        <v>0</v>
      </c>
      <c r="R14181" t="s">
        <v>45117</v>
      </c>
      <c r="S14181" t="s">
        <v>45992</v>
      </c>
      <c r="T14181" t="s">
        <v>46985</v>
      </c>
      <c r="U14181" t="s">
        <v>57485</v>
      </c>
      <c r="V14181" t="s">
        <v>61428</v>
      </c>
      <c r="W14181" t="s">
        <v>43468</v>
      </c>
      <c r="X14181" t="s">
        <v>45118</v>
      </c>
    </row>
    <row r="14182" spans="1:24">
      <c r="A14182">
        <f>HYPERLINK("https://www.philgeps.gov.ph/GEPSNONPILOT/Tender/SplashBidNoticeAbstractUI.aspx?menuIndex=3&amp;refID=7010744&amp;Result=3","7010744")</f>
        <v>0</v>
      </c>
      <c r="B14182" t="s">
        <v>1014</v>
      </c>
      <c r="C14182" t="s">
        <v>16773</v>
      </c>
      <c r="D14182" t="s">
        <v>18059</v>
      </c>
      <c r="E14182" t="s">
        <v>30418</v>
      </c>
      <c r="F14182" t="s">
        <v>31574</v>
      </c>
      <c r="G14182" t="s">
        <v>31582</v>
      </c>
      <c r="H14182" t="s">
        <v>31591</v>
      </c>
      <c r="I14182" t="s">
        <v>31623</v>
      </c>
      <c r="J14182" t="s">
        <v>40195</v>
      </c>
      <c r="K14182" t="s">
        <v>41250</v>
      </c>
      <c r="M14182" t="s">
        <v>42555</v>
      </c>
      <c r="N14182" t="s">
        <v>45095</v>
      </c>
      <c r="O14182" t="s">
        <v>45096</v>
      </c>
      <c r="P14182">
        <v>0</v>
      </c>
      <c r="Q14182">
        <v>0</v>
      </c>
      <c r="R14182" t="s">
        <v>45117</v>
      </c>
      <c r="S14182" t="s">
        <v>45992</v>
      </c>
      <c r="T14182" t="s">
        <v>47159</v>
      </c>
      <c r="U14182" t="s">
        <v>58917</v>
      </c>
      <c r="W14182" t="s">
        <v>42555</v>
      </c>
      <c r="X14182" t="s">
        <v>45118</v>
      </c>
    </row>
    <row r="14183" spans="1:24">
      <c r="A14183">
        <f>HYPERLINK("https://www.philgeps.gov.ph/GEPSNONPILOT/Tender/SplashBidNoticeAbstractUI.aspx?menuIndex=3&amp;refID=7010751&amp;Result=3","7010751")</f>
        <v>0</v>
      </c>
      <c r="B14183" t="s">
        <v>3107</v>
      </c>
      <c r="C14183" t="s">
        <v>16774</v>
      </c>
      <c r="D14183" t="s">
        <v>18079</v>
      </c>
      <c r="E14183" t="s">
        <v>19113</v>
      </c>
      <c r="F14183" t="s">
        <v>31574</v>
      </c>
      <c r="G14183" t="s">
        <v>31582</v>
      </c>
      <c r="H14183" t="s">
        <v>31591</v>
      </c>
      <c r="I14183" t="s">
        <v>8822</v>
      </c>
      <c r="J14183" t="s">
        <v>40423</v>
      </c>
      <c r="K14183" t="s">
        <v>41235</v>
      </c>
      <c r="M14183" t="s">
        <v>44953</v>
      </c>
      <c r="N14183" t="s">
        <v>45095</v>
      </c>
      <c r="O14183" t="s">
        <v>45096</v>
      </c>
      <c r="P14183">
        <v>0</v>
      </c>
      <c r="Q14183">
        <v>2</v>
      </c>
      <c r="R14183" t="s">
        <v>45117</v>
      </c>
      <c r="S14183" t="s">
        <v>45992</v>
      </c>
      <c r="T14183" t="s">
        <v>47159</v>
      </c>
      <c r="U14183" t="s">
        <v>58918</v>
      </c>
      <c r="W14183" t="s">
        <v>44953</v>
      </c>
      <c r="X14183" t="s">
        <v>45118</v>
      </c>
    </row>
    <row r="14184" spans="1:24">
      <c r="A14184">
        <f>HYPERLINK("https://www.philgeps.gov.ph/GEPSNONPILOT/Tender/SplashBidNoticeAbstractUI.aspx?menuIndex=3&amp;refID=7010807&amp;Result=3","7010807")</f>
        <v>0</v>
      </c>
      <c r="B14184" t="s">
        <v>1482</v>
      </c>
      <c r="C14184" t="s">
        <v>16775</v>
      </c>
      <c r="D14184" t="s">
        <v>18037</v>
      </c>
      <c r="E14184" t="s">
        <v>30419</v>
      </c>
      <c r="F14184" t="s">
        <v>31574</v>
      </c>
      <c r="G14184" t="s">
        <v>31585</v>
      </c>
      <c r="H14184" t="s">
        <v>31590</v>
      </c>
      <c r="I14184" t="s">
        <v>31700</v>
      </c>
      <c r="J14184" t="s">
        <v>31730</v>
      </c>
      <c r="K14184" t="s">
        <v>41200</v>
      </c>
      <c r="M14184" t="s">
        <v>43067</v>
      </c>
      <c r="N14184" t="s">
        <v>45095</v>
      </c>
      <c r="O14184" t="s">
        <v>45096</v>
      </c>
      <c r="P14184">
        <v>0</v>
      </c>
      <c r="Q14184">
        <v>4</v>
      </c>
      <c r="R14184" t="s">
        <v>45117</v>
      </c>
      <c r="S14184" t="s">
        <v>45992</v>
      </c>
      <c r="T14184" t="s">
        <v>47159</v>
      </c>
      <c r="U14184" t="s">
        <v>51078</v>
      </c>
      <c r="W14184" t="s">
        <v>43067</v>
      </c>
      <c r="X14184" t="s">
        <v>45118</v>
      </c>
    </row>
    <row r="14185" spans="1:24">
      <c r="A14185">
        <f>HYPERLINK("https://www.philgeps.gov.ph/GEPSNONPILOT/Tender/SplashBidNoticeAbstractUI.aspx?menuIndex=3&amp;refID=7010675&amp;Result=3","7010675")</f>
        <v>0</v>
      </c>
      <c r="B14185" t="s">
        <v>2082</v>
      </c>
      <c r="C14185" t="s">
        <v>16776</v>
      </c>
      <c r="D14185" t="s">
        <v>18079</v>
      </c>
      <c r="E14185" t="s">
        <v>30420</v>
      </c>
      <c r="F14185" t="s">
        <v>31574</v>
      </c>
      <c r="G14185" t="s">
        <v>31582</v>
      </c>
      <c r="H14185" t="s">
        <v>31590</v>
      </c>
      <c r="I14185" t="s">
        <v>31615</v>
      </c>
      <c r="J14185" t="s">
        <v>40424</v>
      </c>
      <c r="K14185" t="s">
        <v>41186</v>
      </c>
      <c r="M14185" t="s">
        <v>43757</v>
      </c>
      <c r="N14185" t="s">
        <v>45095</v>
      </c>
      <c r="O14185" t="s">
        <v>45096</v>
      </c>
      <c r="Q14185">
        <v>4</v>
      </c>
      <c r="R14185" t="s">
        <v>45117</v>
      </c>
      <c r="S14185" t="s">
        <v>46008</v>
      </c>
      <c r="T14185" t="s">
        <v>47124</v>
      </c>
      <c r="U14185" t="s">
        <v>58919</v>
      </c>
      <c r="W14185" t="s">
        <v>43757</v>
      </c>
      <c r="X14185" t="s">
        <v>45118</v>
      </c>
    </row>
    <row r="14186" spans="1:24">
      <c r="A14186">
        <f>HYPERLINK("https://www.philgeps.gov.ph/GEPSNONPILOT/Tender/SplashBidNoticeAbstractUI.aspx?menuIndex=3&amp;refID=7010817&amp;Result=3","7010817")</f>
        <v>0</v>
      </c>
      <c r="B14186" t="s">
        <v>3108</v>
      </c>
      <c r="C14186" t="s">
        <v>16777</v>
      </c>
      <c r="D14186" t="s">
        <v>18077</v>
      </c>
      <c r="E14186" t="s">
        <v>19113</v>
      </c>
      <c r="F14186" t="s">
        <v>31574</v>
      </c>
      <c r="G14186" t="s">
        <v>31582</v>
      </c>
      <c r="H14186" t="s">
        <v>31591</v>
      </c>
      <c r="I14186" t="s">
        <v>8822</v>
      </c>
      <c r="J14186" t="s">
        <v>32026</v>
      </c>
      <c r="K14186" t="s">
        <v>41189</v>
      </c>
      <c r="M14186" t="s">
        <v>44954</v>
      </c>
      <c r="N14186" t="s">
        <v>45095</v>
      </c>
      <c r="O14186" t="s">
        <v>45096</v>
      </c>
      <c r="P14186">
        <v>0</v>
      </c>
      <c r="Q14186">
        <v>0</v>
      </c>
      <c r="R14186" t="s">
        <v>45117</v>
      </c>
      <c r="S14186" t="s">
        <v>45992</v>
      </c>
      <c r="T14186" t="s">
        <v>47154</v>
      </c>
      <c r="U14186" t="s">
        <v>58920</v>
      </c>
      <c r="W14186" t="s">
        <v>44954</v>
      </c>
      <c r="X14186" t="s">
        <v>45118</v>
      </c>
    </row>
    <row r="14187" spans="1:24">
      <c r="A14187">
        <f>HYPERLINK("https://www.philgeps.gov.ph/GEPSNONPILOT/Tender/SplashBidNoticeAbstractUI.aspx?menuIndex=3&amp;refID=7010832&amp;Result=3","7010832")</f>
        <v>0</v>
      </c>
      <c r="B14187" t="s">
        <v>1014</v>
      </c>
      <c r="C14187" t="s">
        <v>16778</v>
      </c>
      <c r="D14187" t="s">
        <v>18059</v>
      </c>
      <c r="E14187" t="s">
        <v>30421</v>
      </c>
      <c r="F14187" t="s">
        <v>31574</v>
      </c>
      <c r="G14187" t="s">
        <v>31582</v>
      </c>
      <c r="H14187" t="s">
        <v>31591</v>
      </c>
      <c r="I14187" t="s">
        <v>31623</v>
      </c>
      <c r="J14187" t="s">
        <v>32986</v>
      </c>
      <c r="K14187" t="s">
        <v>41256</v>
      </c>
      <c r="M14187" t="s">
        <v>42555</v>
      </c>
      <c r="N14187" t="s">
        <v>45095</v>
      </c>
      <c r="O14187" t="s">
        <v>45096</v>
      </c>
      <c r="P14187">
        <v>0</v>
      </c>
      <c r="Q14187">
        <v>1</v>
      </c>
      <c r="R14187" t="s">
        <v>45117</v>
      </c>
      <c r="S14187" t="s">
        <v>45992</v>
      </c>
      <c r="T14187" t="s">
        <v>47159</v>
      </c>
      <c r="U14187" t="s">
        <v>58921</v>
      </c>
      <c r="W14187" t="s">
        <v>42555</v>
      </c>
      <c r="X14187" t="s">
        <v>45118</v>
      </c>
    </row>
    <row r="14188" spans="1:24">
      <c r="A14188">
        <f>HYPERLINK("https://www.philgeps.gov.ph/GEPSNONPILOT/Tender/SplashBidNoticeAbstractUI.aspx?menuIndex=3&amp;refID=7010795&amp;Result=3","7010795")</f>
        <v>0</v>
      </c>
      <c r="B14188" t="s">
        <v>355</v>
      </c>
      <c r="C14188" t="s">
        <v>16779</v>
      </c>
      <c r="D14188" t="s">
        <v>18043</v>
      </c>
      <c r="E14188" t="s">
        <v>30422</v>
      </c>
      <c r="F14188" t="s">
        <v>31574</v>
      </c>
      <c r="G14188" t="s">
        <v>31582</v>
      </c>
      <c r="H14188" t="s">
        <v>31590</v>
      </c>
      <c r="I14188" t="s">
        <v>8258</v>
      </c>
      <c r="J14188" t="s">
        <v>40425</v>
      </c>
      <c r="K14188" t="s">
        <v>41190</v>
      </c>
      <c r="M14188" t="s">
        <v>41845</v>
      </c>
      <c r="N14188" t="s">
        <v>45095</v>
      </c>
      <c r="O14188" t="s">
        <v>45096</v>
      </c>
      <c r="P14188">
        <v>0</v>
      </c>
      <c r="Q14188">
        <v>2</v>
      </c>
      <c r="R14188" t="s">
        <v>45117</v>
      </c>
      <c r="S14188" t="s">
        <v>45992</v>
      </c>
      <c r="T14188" t="s">
        <v>47050</v>
      </c>
      <c r="U14188" t="s">
        <v>58922</v>
      </c>
      <c r="V14188" t="s">
        <v>61425</v>
      </c>
      <c r="W14188" t="s">
        <v>41845</v>
      </c>
      <c r="X14188" t="s">
        <v>45118</v>
      </c>
    </row>
    <row r="14189" spans="1:24">
      <c r="A14189">
        <f>HYPERLINK("https://www.philgeps.gov.ph/GEPSNONPILOT/Tender/SplashBidNoticeAbstractUI.aspx?menuIndex=3&amp;refID=7010774&amp;Result=3","7010774")</f>
        <v>0</v>
      </c>
      <c r="B14189" t="s">
        <v>1014</v>
      </c>
      <c r="C14189" t="s">
        <v>16780</v>
      </c>
      <c r="D14189" t="s">
        <v>18059</v>
      </c>
      <c r="E14189" t="s">
        <v>30423</v>
      </c>
      <c r="F14189" t="s">
        <v>31574</v>
      </c>
      <c r="G14189" t="s">
        <v>31582</v>
      </c>
      <c r="H14189" t="s">
        <v>31591</v>
      </c>
      <c r="I14189" t="s">
        <v>31623</v>
      </c>
      <c r="J14189" t="s">
        <v>32241</v>
      </c>
      <c r="K14189" t="s">
        <v>41479</v>
      </c>
      <c r="M14189" t="s">
        <v>42555</v>
      </c>
      <c r="N14189" t="s">
        <v>45095</v>
      </c>
      <c r="O14189" t="s">
        <v>45096</v>
      </c>
      <c r="P14189">
        <v>0</v>
      </c>
      <c r="Q14189">
        <v>0</v>
      </c>
      <c r="R14189" t="s">
        <v>45117</v>
      </c>
      <c r="S14189" t="s">
        <v>45992</v>
      </c>
      <c r="T14189" t="s">
        <v>47159</v>
      </c>
      <c r="U14189" t="s">
        <v>58923</v>
      </c>
      <c r="W14189" t="s">
        <v>42555</v>
      </c>
      <c r="X14189" t="s">
        <v>45118</v>
      </c>
    </row>
    <row r="14190" spans="1:24">
      <c r="A14190">
        <f>HYPERLINK("https://www.philgeps.gov.ph/GEPSNONPILOT/Tender/SplashBidNoticeAbstractUI.aspx?menuIndex=3&amp;refID=7010777&amp;Result=3","7010777")</f>
        <v>0</v>
      </c>
      <c r="B14190" t="s">
        <v>2159</v>
      </c>
      <c r="C14190" t="s">
        <v>16781</v>
      </c>
      <c r="D14190" t="s">
        <v>18035</v>
      </c>
      <c r="E14190" t="s">
        <v>30424</v>
      </c>
      <c r="F14190" t="s">
        <v>31574</v>
      </c>
      <c r="G14190" t="s">
        <v>31588</v>
      </c>
      <c r="H14190" t="s">
        <v>31590</v>
      </c>
      <c r="I14190" t="s">
        <v>31647</v>
      </c>
      <c r="J14190" t="s">
        <v>40426</v>
      </c>
      <c r="K14190" t="s">
        <v>41186</v>
      </c>
      <c r="M14190" t="s">
        <v>44062</v>
      </c>
      <c r="N14190" t="s">
        <v>45095</v>
      </c>
      <c r="O14190" t="s">
        <v>45096</v>
      </c>
      <c r="P14190">
        <v>0</v>
      </c>
      <c r="Q14190">
        <v>8</v>
      </c>
      <c r="R14190" t="s">
        <v>45117</v>
      </c>
      <c r="S14190" t="s">
        <v>45992</v>
      </c>
      <c r="T14190" t="s">
        <v>47159</v>
      </c>
      <c r="U14190" t="s">
        <v>58924</v>
      </c>
      <c r="V14190" t="s">
        <v>61436</v>
      </c>
      <c r="W14190" t="s">
        <v>44062</v>
      </c>
      <c r="X14190" t="s">
        <v>45118</v>
      </c>
    </row>
    <row r="14191" spans="1:24">
      <c r="A14191">
        <f>HYPERLINK("https://www.philgeps.gov.ph/GEPSNONPILOT/Tender/SplashBidNoticeAbstractUI.aspx?menuIndex=3&amp;refID=7010796&amp;Result=3","7010796")</f>
        <v>0</v>
      </c>
      <c r="B14191" t="s">
        <v>1014</v>
      </c>
      <c r="C14191" t="s">
        <v>16782</v>
      </c>
      <c r="D14191" t="s">
        <v>18059</v>
      </c>
      <c r="E14191" t="s">
        <v>30425</v>
      </c>
      <c r="F14191" t="s">
        <v>31574</v>
      </c>
      <c r="G14191" t="s">
        <v>31582</v>
      </c>
      <c r="H14191" t="s">
        <v>31591</v>
      </c>
      <c r="I14191" t="s">
        <v>31623</v>
      </c>
      <c r="J14191" t="s">
        <v>34858</v>
      </c>
      <c r="K14191" t="s">
        <v>41480</v>
      </c>
      <c r="M14191" t="s">
        <v>42555</v>
      </c>
      <c r="N14191" t="s">
        <v>45095</v>
      </c>
      <c r="O14191" t="s">
        <v>45096</v>
      </c>
      <c r="Q14191">
        <v>0</v>
      </c>
      <c r="R14191" t="s">
        <v>45117</v>
      </c>
      <c r="S14191" t="s">
        <v>46009</v>
      </c>
      <c r="T14191" t="s">
        <v>46926</v>
      </c>
      <c r="U14191" t="s">
        <v>58925</v>
      </c>
      <c r="W14191" t="s">
        <v>42555</v>
      </c>
      <c r="X14191" t="s">
        <v>45118</v>
      </c>
    </row>
    <row r="14192" spans="1:24">
      <c r="A14192">
        <f>HYPERLINK("https://www.philgeps.gov.ph/GEPSNONPILOT/Tender/SplashBidNoticeAbstractUI.aspx?menuIndex=3&amp;refID=7010754&amp;Result=3","7010754")</f>
        <v>0</v>
      </c>
      <c r="B14192" t="s">
        <v>851</v>
      </c>
      <c r="C14192" t="s">
        <v>16783</v>
      </c>
      <c r="D14192" t="s">
        <v>18045</v>
      </c>
      <c r="E14192" t="s">
        <v>30426</v>
      </c>
      <c r="F14192" t="s">
        <v>31574</v>
      </c>
      <c r="G14192" t="s">
        <v>31582</v>
      </c>
      <c r="H14192" t="s">
        <v>31591</v>
      </c>
      <c r="I14192" t="s">
        <v>8822</v>
      </c>
      <c r="J14192" t="s">
        <v>31771</v>
      </c>
      <c r="K14192" t="s">
        <v>41189</v>
      </c>
      <c r="M14192" t="s">
        <v>42370</v>
      </c>
      <c r="N14192" t="s">
        <v>45095</v>
      </c>
      <c r="O14192" t="s">
        <v>45096</v>
      </c>
      <c r="P14192">
        <v>0</v>
      </c>
      <c r="Q14192">
        <v>1</v>
      </c>
      <c r="R14192" t="s">
        <v>45117</v>
      </c>
      <c r="S14192" t="s">
        <v>45992</v>
      </c>
      <c r="T14192" t="s">
        <v>47164</v>
      </c>
      <c r="U14192" t="s">
        <v>56105</v>
      </c>
      <c r="W14192" t="s">
        <v>42370</v>
      </c>
      <c r="X14192" t="s">
        <v>45118</v>
      </c>
    </row>
    <row r="14193" spans="1:24">
      <c r="A14193">
        <f>HYPERLINK("https://www.philgeps.gov.ph/GEPSNONPILOT/Tender/SplashBidNoticeAbstractUI.aspx?menuIndex=3&amp;refID=7010700&amp;Result=3","7010700")</f>
        <v>0</v>
      </c>
      <c r="B14193" t="s">
        <v>1549</v>
      </c>
      <c r="C14193" t="s">
        <v>16784</v>
      </c>
      <c r="D14193" t="s">
        <v>18036</v>
      </c>
      <c r="E14193" t="s">
        <v>28708</v>
      </c>
      <c r="F14193" t="s">
        <v>31574</v>
      </c>
      <c r="G14193" t="s">
        <v>31582</v>
      </c>
      <c r="H14193" t="s">
        <v>31590</v>
      </c>
      <c r="I14193" t="s">
        <v>31599</v>
      </c>
      <c r="J14193" t="s">
        <v>40427</v>
      </c>
      <c r="K14193" t="s">
        <v>41191</v>
      </c>
      <c r="M14193" t="s">
        <v>43147</v>
      </c>
      <c r="N14193" t="s">
        <v>45095</v>
      </c>
      <c r="O14193" t="s">
        <v>45096</v>
      </c>
      <c r="P14193">
        <v>0</v>
      </c>
      <c r="Q14193">
        <v>0</v>
      </c>
      <c r="R14193" t="s">
        <v>45117</v>
      </c>
      <c r="S14193" t="s">
        <v>45992</v>
      </c>
      <c r="T14193" t="s">
        <v>47159</v>
      </c>
      <c r="U14193" t="s">
        <v>58926</v>
      </c>
      <c r="W14193" t="s">
        <v>43147</v>
      </c>
      <c r="X14193" t="s">
        <v>45118</v>
      </c>
    </row>
    <row r="14194" spans="1:24">
      <c r="A14194">
        <f>HYPERLINK("https://www.philgeps.gov.ph/GEPSNONPILOT/Tender/SplashBidNoticeAbstractUI.aspx?menuIndex=3&amp;refID=7010704&amp;Result=3","7010704")</f>
        <v>0</v>
      </c>
      <c r="B14194" t="s">
        <v>59</v>
      </c>
      <c r="C14194" t="s">
        <v>16785</v>
      </c>
      <c r="D14194" t="s">
        <v>18048</v>
      </c>
      <c r="E14194" t="s">
        <v>30427</v>
      </c>
      <c r="F14194" t="s">
        <v>31574</v>
      </c>
      <c r="G14194" t="s">
        <v>31582</v>
      </c>
      <c r="H14194" t="s">
        <v>31590</v>
      </c>
      <c r="I14194" t="s">
        <v>31597</v>
      </c>
      <c r="J14194" t="s">
        <v>40428</v>
      </c>
      <c r="K14194" t="s">
        <v>41244</v>
      </c>
      <c r="M14194" t="s">
        <v>44405</v>
      </c>
      <c r="N14194" t="s">
        <v>45095</v>
      </c>
      <c r="O14194" t="s">
        <v>45096</v>
      </c>
      <c r="P14194">
        <v>0</v>
      </c>
      <c r="Q14194">
        <v>10</v>
      </c>
      <c r="R14194" t="s">
        <v>45117</v>
      </c>
      <c r="S14194" t="s">
        <v>45992</v>
      </c>
      <c r="T14194" t="s">
        <v>47391</v>
      </c>
      <c r="U14194" t="s">
        <v>58927</v>
      </c>
      <c r="W14194" t="s">
        <v>44405</v>
      </c>
      <c r="X14194" t="s">
        <v>45118</v>
      </c>
    </row>
    <row r="14195" spans="1:24">
      <c r="A14195">
        <f>HYPERLINK("https://www.philgeps.gov.ph/GEPSNONPILOT/Tender/SplashBidNoticeAbstractUI.aspx?menuIndex=3&amp;refID=7010702&amp;Result=3","7010702")</f>
        <v>0</v>
      </c>
      <c r="B14195" t="s">
        <v>1014</v>
      </c>
      <c r="C14195" t="s">
        <v>16786</v>
      </c>
      <c r="D14195" t="s">
        <v>18059</v>
      </c>
      <c r="E14195" t="s">
        <v>30428</v>
      </c>
      <c r="F14195" t="s">
        <v>31574</v>
      </c>
      <c r="G14195" t="s">
        <v>31582</v>
      </c>
      <c r="H14195" t="s">
        <v>31591</v>
      </c>
      <c r="I14195" t="s">
        <v>31623</v>
      </c>
      <c r="J14195" t="s">
        <v>40195</v>
      </c>
      <c r="K14195" t="s">
        <v>41256</v>
      </c>
      <c r="M14195" t="s">
        <v>42555</v>
      </c>
      <c r="N14195" t="s">
        <v>45095</v>
      </c>
      <c r="O14195" t="s">
        <v>45096</v>
      </c>
      <c r="Q14195">
        <v>1</v>
      </c>
      <c r="R14195" t="s">
        <v>45117</v>
      </c>
      <c r="S14195" t="s">
        <v>46010</v>
      </c>
      <c r="T14195" t="s">
        <v>47159</v>
      </c>
      <c r="U14195" t="s">
        <v>58928</v>
      </c>
      <c r="W14195" t="s">
        <v>42555</v>
      </c>
      <c r="X14195" t="s">
        <v>45118</v>
      </c>
    </row>
    <row r="14196" spans="1:24">
      <c r="A14196">
        <f>HYPERLINK("https://www.philgeps.gov.ph/GEPSNONPILOT/Tender/SplashBidNoticeAbstractUI.aspx?menuIndex=3&amp;refID=7010806&amp;Result=3","7010806")</f>
        <v>0</v>
      </c>
      <c r="B14196" t="s">
        <v>2082</v>
      </c>
      <c r="C14196" t="s">
        <v>16787</v>
      </c>
      <c r="D14196" t="s">
        <v>18079</v>
      </c>
      <c r="E14196" t="s">
        <v>30420</v>
      </c>
      <c r="F14196" t="s">
        <v>31574</v>
      </c>
      <c r="G14196" t="s">
        <v>31582</v>
      </c>
      <c r="H14196" t="s">
        <v>31590</v>
      </c>
      <c r="I14196" t="s">
        <v>31615</v>
      </c>
      <c r="J14196" t="s">
        <v>32510</v>
      </c>
      <c r="K14196" t="s">
        <v>41186</v>
      </c>
      <c r="M14196" t="s">
        <v>43757</v>
      </c>
      <c r="N14196" t="s">
        <v>45095</v>
      </c>
      <c r="O14196" t="s">
        <v>45096</v>
      </c>
      <c r="P14196">
        <v>0</v>
      </c>
      <c r="Q14196">
        <v>3</v>
      </c>
      <c r="R14196" t="s">
        <v>45117</v>
      </c>
      <c r="S14196" t="s">
        <v>45992</v>
      </c>
      <c r="T14196" t="s">
        <v>47124</v>
      </c>
      <c r="U14196" t="s">
        <v>58919</v>
      </c>
      <c r="W14196" t="s">
        <v>43757</v>
      </c>
      <c r="X14196" t="s">
        <v>45118</v>
      </c>
    </row>
    <row r="14197" spans="1:24">
      <c r="A14197">
        <f>HYPERLINK("https://www.philgeps.gov.ph/GEPSNONPILOT/Tender/SplashBidNoticeAbstractUI.aspx?menuIndex=3&amp;refID=7010697&amp;Result=3","7010697")</f>
        <v>0</v>
      </c>
      <c r="B14197" t="s">
        <v>3105</v>
      </c>
      <c r="C14197" t="s">
        <v>16788</v>
      </c>
      <c r="D14197" t="s">
        <v>18064</v>
      </c>
      <c r="E14197" t="s">
        <v>30429</v>
      </c>
      <c r="F14197" t="s">
        <v>31574</v>
      </c>
      <c r="G14197" t="s">
        <v>31582</v>
      </c>
      <c r="H14197" t="s">
        <v>31591</v>
      </c>
      <c r="I14197" t="s">
        <v>8822</v>
      </c>
      <c r="J14197" t="s">
        <v>31947</v>
      </c>
      <c r="K14197" t="s">
        <v>41208</v>
      </c>
      <c r="M14197" t="s">
        <v>44951</v>
      </c>
      <c r="N14197" t="s">
        <v>45095</v>
      </c>
      <c r="O14197" t="s">
        <v>45096</v>
      </c>
      <c r="P14197">
        <v>0</v>
      </c>
      <c r="Q14197">
        <v>2</v>
      </c>
      <c r="R14197" t="s">
        <v>45117</v>
      </c>
      <c r="S14197" t="s">
        <v>45992</v>
      </c>
      <c r="T14197" t="s">
        <v>47177</v>
      </c>
      <c r="U14197" t="s">
        <v>58929</v>
      </c>
      <c r="W14197" t="s">
        <v>44951</v>
      </c>
      <c r="X14197" t="s">
        <v>45118</v>
      </c>
    </row>
    <row r="14198" spans="1:24">
      <c r="A14198">
        <f>HYPERLINK("https://www.philgeps.gov.ph/GEPSNONPILOT/Tender/SplashBidNoticeAbstractUI.aspx?menuIndex=3&amp;refID=7010718&amp;Result=3","7010718")</f>
        <v>0</v>
      </c>
      <c r="B14198" t="s">
        <v>1880</v>
      </c>
      <c r="C14198" t="s">
        <v>16789</v>
      </c>
      <c r="D14198" t="s">
        <v>18056</v>
      </c>
      <c r="E14198" t="s">
        <v>30430</v>
      </c>
      <c r="F14198" t="s">
        <v>31574</v>
      </c>
      <c r="G14198" t="s">
        <v>31582</v>
      </c>
      <c r="H14198" t="s">
        <v>31590</v>
      </c>
      <c r="I14198" t="s">
        <v>4046</v>
      </c>
      <c r="J14198" t="s">
        <v>40429</v>
      </c>
      <c r="K14198" t="s">
        <v>41191</v>
      </c>
      <c r="M14198" t="s">
        <v>43521</v>
      </c>
      <c r="N14198" t="s">
        <v>45095</v>
      </c>
      <c r="O14198" t="s">
        <v>45096</v>
      </c>
      <c r="P14198">
        <v>0</v>
      </c>
      <c r="Q14198">
        <v>0</v>
      </c>
      <c r="R14198" t="s">
        <v>45117</v>
      </c>
      <c r="S14198" t="s">
        <v>45992</v>
      </c>
      <c r="T14198" t="s">
        <v>47171</v>
      </c>
      <c r="U14198" t="s">
        <v>58930</v>
      </c>
      <c r="W14198" t="s">
        <v>43521</v>
      </c>
      <c r="X14198" t="s">
        <v>45118</v>
      </c>
    </row>
    <row r="14199" spans="1:24">
      <c r="A14199">
        <f>HYPERLINK("https://www.philgeps.gov.ph/GEPSNONPILOT/Tender/SplashBidNoticeAbstractUI.aspx?menuIndex=3&amp;refID=7010835&amp;Result=3","7010835")</f>
        <v>0</v>
      </c>
      <c r="B14199" t="s">
        <v>3104</v>
      </c>
      <c r="C14199" t="s">
        <v>16790</v>
      </c>
      <c r="D14199" t="s">
        <v>18037</v>
      </c>
      <c r="E14199" t="s">
        <v>30431</v>
      </c>
      <c r="F14199" t="s">
        <v>31574</v>
      </c>
      <c r="G14199" t="s">
        <v>31582</v>
      </c>
      <c r="H14199" t="s">
        <v>31591</v>
      </c>
      <c r="I14199" t="s">
        <v>8822</v>
      </c>
      <c r="J14199" t="s">
        <v>40430</v>
      </c>
      <c r="K14199" t="s">
        <v>41406</v>
      </c>
      <c r="M14199" t="s">
        <v>44950</v>
      </c>
      <c r="N14199" t="s">
        <v>45095</v>
      </c>
      <c r="O14199" t="s">
        <v>45096</v>
      </c>
      <c r="P14199">
        <v>0</v>
      </c>
      <c r="Q14199">
        <v>1</v>
      </c>
      <c r="R14199" t="s">
        <v>45117</v>
      </c>
      <c r="S14199" t="s">
        <v>45992</v>
      </c>
      <c r="T14199" t="s">
        <v>47154</v>
      </c>
      <c r="U14199" t="s">
        <v>58931</v>
      </c>
      <c r="V14199" t="s">
        <v>61435</v>
      </c>
      <c r="W14199" t="s">
        <v>44950</v>
      </c>
      <c r="X14199" t="s">
        <v>45118</v>
      </c>
    </row>
    <row r="14200" spans="1:24">
      <c r="A14200">
        <f>HYPERLINK("https://www.philgeps.gov.ph/GEPSNONPILOT/Tender/SplashBidNoticeAbstractUI.aspx?menuIndex=3&amp;refID=7010682&amp;Result=3","7010682")</f>
        <v>0</v>
      </c>
      <c r="B14200" t="s">
        <v>598</v>
      </c>
      <c r="C14200" t="s">
        <v>16791</v>
      </c>
      <c r="D14200" t="s">
        <v>18022</v>
      </c>
      <c r="E14200" t="s">
        <v>30432</v>
      </c>
      <c r="F14200" t="s">
        <v>31574</v>
      </c>
      <c r="G14200" t="s">
        <v>31581</v>
      </c>
      <c r="H14200" t="s">
        <v>31590</v>
      </c>
      <c r="I14200" t="s">
        <v>8258</v>
      </c>
      <c r="J14200" t="s">
        <v>31727</v>
      </c>
      <c r="K14200" t="s">
        <v>41193</v>
      </c>
      <c r="M14200" t="s">
        <v>42101</v>
      </c>
      <c r="N14200" t="s">
        <v>45095</v>
      </c>
      <c r="O14200" t="s">
        <v>45096</v>
      </c>
      <c r="Q14200">
        <v>3</v>
      </c>
      <c r="R14200" t="s">
        <v>45117</v>
      </c>
      <c r="S14200" t="s">
        <v>46011</v>
      </c>
      <c r="T14200" t="s">
        <v>47067</v>
      </c>
      <c r="U14200" t="s">
        <v>58932</v>
      </c>
      <c r="V14200" t="s">
        <v>59987</v>
      </c>
      <c r="W14200" t="s">
        <v>42101</v>
      </c>
      <c r="X14200" t="s">
        <v>45118</v>
      </c>
    </row>
    <row r="14201" spans="1:24">
      <c r="A14201">
        <f>HYPERLINK("https://www.philgeps.gov.ph/GEPSNONPILOT/Tender/SplashBidNoticeAbstractUI.aspx?menuIndex=3&amp;refID=7010841&amp;Result=3","7010841")</f>
        <v>0</v>
      </c>
      <c r="B14201" t="s">
        <v>2691</v>
      </c>
      <c r="C14201" t="s">
        <v>16792</v>
      </c>
      <c r="D14201" t="s">
        <v>18075</v>
      </c>
      <c r="E14201" t="s">
        <v>30433</v>
      </c>
      <c r="F14201" t="s">
        <v>31574</v>
      </c>
      <c r="G14201" t="s">
        <v>31582</v>
      </c>
      <c r="H14201" t="s">
        <v>31591</v>
      </c>
      <c r="I14201" t="s">
        <v>8822</v>
      </c>
      <c r="J14201" t="s">
        <v>40431</v>
      </c>
      <c r="K14201" t="s">
        <v>41188</v>
      </c>
      <c r="M14201" t="s">
        <v>44704</v>
      </c>
      <c r="N14201" t="s">
        <v>45095</v>
      </c>
      <c r="O14201" t="s">
        <v>45096</v>
      </c>
      <c r="P14201">
        <v>0</v>
      </c>
      <c r="Q14201">
        <v>8</v>
      </c>
      <c r="R14201" t="s">
        <v>45117</v>
      </c>
      <c r="S14201" t="s">
        <v>45992</v>
      </c>
      <c r="T14201" t="s">
        <v>47050</v>
      </c>
      <c r="U14201" t="s">
        <v>58933</v>
      </c>
      <c r="V14201" t="s">
        <v>61163</v>
      </c>
      <c r="W14201" t="s">
        <v>44704</v>
      </c>
      <c r="X14201" t="s">
        <v>45118</v>
      </c>
    </row>
    <row r="14202" spans="1:24">
      <c r="A14202">
        <f>HYPERLINK("https://www.philgeps.gov.ph/GEPSNONPILOT/Tender/SplashBidNoticeAbstractUI.aspx?menuIndex=3&amp;refID=7010685&amp;Result=3","7010685")</f>
        <v>0</v>
      </c>
      <c r="B14202" t="s">
        <v>1014</v>
      </c>
      <c r="C14202" t="s">
        <v>16793</v>
      </c>
      <c r="D14202" t="s">
        <v>18059</v>
      </c>
      <c r="E14202" t="s">
        <v>30434</v>
      </c>
      <c r="F14202" t="s">
        <v>31574</v>
      </c>
      <c r="G14202" t="s">
        <v>31582</v>
      </c>
      <c r="H14202" t="s">
        <v>31591</v>
      </c>
      <c r="I14202" t="s">
        <v>31623</v>
      </c>
      <c r="J14202" t="s">
        <v>40195</v>
      </c>
      <c r="K14202" t="s">
        <v>41388</v>
      </c>
      <c r="M14202" t="s">
        <v>42555</v>
      </c>
      <c r="N14202" t="s">
        <v>45095</v>
      </c>
      <c r="O14202" t="s">
        <v>45096</v>
      </c>
      <c r="Q14202">
        <v>0</v>
      </c>
      <c r="R14202" t="s">
        <v>45117</v>
      </c>
      <c r="S14202" t="s">
        <v>46012</v>
      </c>
      <c r="T14202" t="s">
        <v>47159</v>
      </c>
      <c r="U14202" t="s">
        <v>58934</v>
      </c>
      <c r="W14202" t="s">
        <v>42555</v>
      </c>
      <c r="X14202" t="s">
        <v>45118</v>
      </c>
    </row>
    <row r="14203" spans="1:24">
      <c r="A14203">
        <f>HYPERLINK("https://www.philgeps.gov.ph/GEPSNONPILOT/Tender/SplashBidNoticeAbstractUI.aspx?menuIndex=3&amp;refID=7010859&amp;Result=3","7010859")</f>
        <v>0</v>
      </c>
      <c r="B14203" t="s">
        <v>1880</v>
      </c>
      <c r="C14203" t="s">
        <v>16794</v>
      </c>
      <c r="D14203" t="s">
        <v>18056</v>
      </c>
      <c r="E14203" t="s">
        <v>30435</v>
      </c>
      <c r="F14203" t="s">
        <v>31574</v>
      </c>
      <c r="G14203" t="s">
        <v>31582</v>
      </c>
      <c r="H14203" t="s">
        <v>31590</v>
      </c>
      <c r="I14203" t="s">
        <v>3901</v>
      </c>
      <c r="J14203" t="s">
        <v>40432</v>
      </c>
      <c r="K14203" t="s">
        <v>41206</v>
      </c>
      <c r="M14203" t="s">
        <v>43521</v>
      </c>
      <c r="N14203" t="s">
        <v>45095</v>
      </c>
      <c r="O14203" t="s">
        <v>45096</v>
      </c>
      <c r="P14203">
        <v>0</v>
      </c>
      <c r="Q14203">
        <v>0</v>
      </c>
      <c r="R14203" t="s">
        <v>45117</v>
      </c>
      <c r="S14203" t="s">
        <v>45992</v>
      </c>
      <c r="T14203" t="s">
        <v>47171</v>
      </c>
      <c r="U14203" t="s">
        <v>58930</v>
      </c>
      <c r="W14203" t="s">
        <v>43521</v>
      </c>
      <c r="X14203" t="s">
        <v>45118</v>
      </c>
    </row>
    <row r="14204" spans="1:24">
      <c r="A14204">
        <f>HYPERLINK("https://www.philgeps.gov.ph/GEPSNONPILOT/Tender/SplashBidNoticeAbstractUI.aspx?menuIndex=3&amp;refID=7010950&amp;Result=3","7010950")</f>
        <v>0</v>
      </c>
      <c r="B14204" t="s">
        <v>1832</v>
      </c>
      <c r="C14204" t="s">
        <v>16795</v>
      </c>
      <c r="D14204" t="s">
        <v>18034</v>
      </c>
      <c r="E14204" t="s">
        <v>30436</v>
      </c>
      <c r="F14204" t="s">
        <v>31574</v>
      </c>
      <c r="G14204" t="s">
        <v>31582</v>
      </c>
      <c r="H14204" t="s">
        <v>31591</v>
      </c>
      <c r="I14204" t="s">
        <v>8822</v>
      </c>
      <c r="J14204" t="s">
        <v>31771</v>
      </c>
      <c r="K14204" t="s">
        <v>41263</v>
      </c>
      <c r="M14204" t="s">
        <v>43468</v>
      </c>
      <c r="N14204" t="s">
        <v>45095</v>
      </c>
      <c r="O14204" t="s">
        <v>45096</v>
      </c>
      <c r="P14204">
        <v>0</v>
      </c>
      <c r="Q14204">
        <v>0</v>
      </c>
      <c r="R14204" t="s">
        <v>45117</v>
      </c>
      <c r="S14204" t="s">
        <v>45992</v>
      </c>
      <c r="T14204" t="s">
        <v>46985</v>
      </c>
      <c r="U14204" t="s">
        <v>57485</v>
      </c>
      <c r="V14204" t="s">
        <v>61427</v>
      </c>
      <c r="W14204" t="s">
        <v>43468</v>
      </c>
      <c r="X14204" t="s">
        <v>45118</v>
      </c>
    </row>
    <row r="14205" spans="1:24">
      <c r="A14205">
        <f>HYPERLINK("https://www.philgeps.gov.ph/GEPSNONPILOT/Tender/SplashBidNoticeAbstractUI.aspx?menuIndex=3&amp;refID=7010949&amp;Result=3","7010949")</f>
        <v>0</v>
      </c>
      <c r="B14205" t="s">
        <v>3099</v>
      </c>
      <c r="C14205" t="s">
        <v>16796</v>
      </c>
      <c r="D14205" t="s">
        <v>18046</v>
      </c>
      <c r="E14205" t="s">
        <v>30437</v>
      </c>
      <c r="F14205" t="s">
        <v>31574</v>
      </c>
      <c r="G14205" t="s">
        <v>31582</v>
      </c>
      <c r="H14205" t="s">
        <v>31590</v>
      </c>
      <c r="I14205" t="s">
        <v>31602</v>
      </c>
      <c r="J14205" t="s">
        <v>40433</v>
      </c>
      <c r="K14205" t="s">
        <v>41190</v>
      </c>
      <c r="M14205" t="s">
        <v>44944</v>
      </c>
      <c r="N14205" t="s">
        <v>45095</v>
      </c>
      <c r="O14205" t="s">
        <v>45096</v>
      </c>
      <c r="P14205">
        <v>0</v>
      </c>
      <c r="Q14205">
        <v>0</v>
      </c>
      <c r="R14205" t="s">
        <v>45117</v>
      </c>
      <c r="S14205" t="s">
        <v>45992</v>
      </c>
      <c r="T14205" t="s">
        <v>47176</v>
      </c>
      <c r="U14205" t="s">
        <v>58853</v>
      </c>
      <c r="V14205" t="s">
        <v>61416</v>
      </c>
      <c r="W14205" t="s">
        <v>44944</v>
      </c>
      <c r="X14205" t="s">
        <v>45118</v>
      </c>
    </row>
    <row r="14206" spans="1:24">
      <c r="A14206">
        <f>HYPERLINK("https://www.philgeps.gov.ph/GEPSNONPILOT/Tender/SplashBidNoticeAbstractUI.aspx?menuIndex=3&amp;refID=7010937&amp;Result=3","7010937")</f>
        <v>0</v>
      </c>
      <c r="B14206" t="s">
        <v>3108</v>
      </c>
      <c r="C14206" t="s">
        <v>16797</v>
      </c>
      <c r="D14206" t="s">
        <v>18077</v>
      </c>
      <c r="E14206" t="s">
        <v>19190</v>
      </c>
      <c r="F14206" t="s">
        <v>31574</v>
      </c>
      <c r="G14206" t="s">
        <v>31582</v>
      </c>
      <c r="H14206" t="s">
        <v>31591</v>
      </c>
      <c r="I14206" t="s">
        <v>8822</v>
      </c>
      <c r="J14206" t="s">
        <v>31771</v>
      </c>
      <c r="K14206" t="s">
        <v>41192</v>
      </c>
      <c r="M14206" t="s">
        <v>44954</v>
      </c>
      <c r="N14206" t="s">
        <v>45095</v>
      </c>
      <c r="O14206" t="s">
        <v>45096</v>
      </c>
      <c r="P14206">
        <v>0</v>
      </c>
      <c r="Q14206">
        <v>0</v>
      </c>
      <c r="R14206" t="s">
        <v>45117</v>
      </c>
      <c r="S14206" t="s">
        <v>45992</v>
      </c>
      <c r="T14206" t="s">
        <v>47159</v>
      </c>
      <c r="U14206" t="s">
        <v>58935</v>
      </c>
      <c r="W14206" t="s">
        <v>44954</v>
      </c>
      <c r="X14206" t="s">
        <v>45118</v>
      </c>
    </row>
    <row r="14207" spans="1:24">
      <c r="A14207">
        <f>HYPERLINK("https://www.philgeps.gov.ph/GEPSNONPILOT/Tender/SplashBidNoticeAbstractUI.aspx?menuIndex=3&amp;refID=7010844&amp;Result=3","7010844")</f>
        <v>0</v>
      </c>
      <c r="B14207" t="s">
        <v>1880</v>
      </c>
      <c r="C14207" t="s">
        <v>16798</v>
      </c>
      <c r="D14207" t="s">
        <v>18056</v>
      </c>
      <c r="E14207" t="s">
        <v>30438</v>
      </c>
      <c r="F14207" t="s">
        <v>31574</v>
      </c>
      <c r="G14207" t="s">
        <v>31582</v>
      </c>
      <c r="H14207" t="s">
        <v>31590</v>
      </c>
      <c r="I14207" t="s">
        <v>31615</v>
      </c>
      <c r="J14207" t="s">
        <v>35053</v>
      </c>
      <c r="K14207" t="s">
        <v>41185</v>
      </c>
      <c r="M14207" t="s">
        <v>43521</v>
      </c>
      <c r="N14207" t="s">
        <v>45095</v>
      </c>
      <c r="O14207" t="s">
        <v>45096</v>
      </c>
      <c r="P14207">
        <v>0</v>
      </c>
      <c r="Q14207">
        <v>7</v>
      </c>
      <c r="R14207" t="s">
        <v>45117</v>
      </c>
      <c r="S14207" t="s">
        <v>45992</v>
      </c>
      <c r="T14207" t="s">
        <v>47171</v>
      </c>
      <c r="U14207" t="s">
        <v>58930</v>
      </c>
      <c r="W14207" t="s">
        <v>43521</v>
      </c>
      <c r="X14207" t="s">
        <v>45118</v>
      </c>
    </row>
    <row r="14208" spans="1:24">
      <c r="A14208">
        <f>HYPERLINK("https://www.philgeps.gov.ph/GEPSNONPILOT/Tender/SplashBidNoticeAbstractUI.aspx?menuIndex=3&amp;refID=7010876&amp;Result=3","7010876")</f>
        <v>0</v>
      </c>
      <c r="B14208" t="s">
        <v>1832</v>
      </c>
      <c r="C14208" t="s">
        <v>16799</v>
      </c>
      <c r="D14208" t="s">
        <v>18034</v>
      </c>
      <c r="E14208" t="s">
        <v>30439</v>
      </c>
      <c r="F14208" t="s">
        <v>31574</v>
      </c>
      <c r="G14208" t="s">
        <v>31582</v>
      </c>
      <c r="H14208" t="s">
        <v>31591</v>
      </c>
      <c r="I14208" t="s">
        <v>8822</v>
      </c>
      <c r="J14208" t="s">
        <v>31771</v>
      </c>
      <c r="K14208" t="s">
        <v>41363</v>
      </c>
      <c r="M14208" t="s">
        <v>43468</v>
      </c>
      <c r="N14208" t="s">
        <v>45095</v>
      </c>
      <c r="O14208" t="s">
        <v>45096</v>
      </c>
      <c r="P14208">
        <v>0</v>
      </c>
      <c r="Q14208">
        <v>0</v>
      </c>
      <c r="R14208" t="s">
        <v>45117</v>
      </c>
      <c r="S14208" t="s">
        <v>45992</v>
      </c>
      <c r="T14208" t="s">
        <v>46985</v>
      </c>
      <c r="U14208" t="s">
        <v>57485</v>
      </c>
      <c r="V14208" t="s">
        <v>61427</v>
      </c>
      <c r="W14208" t="s">
        <v>43468</v>
      </c>
      <c r="X14208" t="s">
        <v>45118</v>
      </c>
    </row>
    <row r="14209" spans="1:24">
      <c r="A14209">
        <f>HYPERLINK("https://www.philgeps.gov.ph/GEPSNONPILOT/Tender/SplashBidNoticeAbstractUI.aspx?menuIndex=3&amp;refID=7010934&amp;Result=3","7010934")</f>
        <v>0</v>
      </c>
      <c r="B14209" t="s">
        <v>1832</v>
      </c>
      <c r="C14209" t="s">
        <v>16800</v>
      </c>
      <c r="D14209" t="s">
        <v>18034</v>
      </c>
      <c r="E14209" t="s">
        <v>30440</v>
      </c>
      <c r="F14209" t="s">
        <v>31574</v>
      </c>
      <c r="G14209" t="s">
        <v>31582</v>
      </c>
      <c r="H14209" t="s">
        <v>31591</v>
      </c>
      <c r="I14209" t="s">
        <v>8822</v>
      </c>
      <c r="J14209" t="s">
        <v>31935</v>
      </c>
      <c r="K14209" t="s">
        <v>41285</v>
      </c>
      <c r="M14209" t="s">
        <v>43468</v>
      </c>
      <c r="N14209" t="s">
        <v>45095</v>
      </c>
      <c r="O14209" t="s">
        <v>45096</v>
      </c>
      <c r="P14209">
        <v>0</v>
      </c>
      <c r="Q14209">
        <v>0</v>
      </c>
      <c r="R14209" t="s">
        <v>45117</v>
      </c>
      <c r="S14209" t="s">
        <v>45992</v>
      </c>
      <c r="T14209" t="s">
        <v>46985</v>
      </c>
      <c r="U14209" t="s">
        <v>57485</v>
      </c>
      <c r="V14209" t="s">
        <v>61428</v>
      </c>
      <c r="W14209" t="s">
        <v>43468</v>
      </c>
      <c r="X14209" t="s">
        <v>45118</v>
      </c>
    </row>
    <row r="14210" spans="1:24">
      <c r="A14210">
        <f>HYPERLINK("https://www.philgeps.gov.ph/GEPSNONPILOT/Tender/SplashBidNoticeAbstractUI.aspx?menuIndex=3&amp;refID=7010884&amp;Result=3","7010884")</f>
        <v>0</v>
      </c>
      <c r="B14210" t="s">
        <v>1832</v>
      </c>
      <c r="C14210" t="s">
        <v>16801</v>
      </c>
      <c r="D14210" t="s">
        <v>18034</v>
      </c>
      <c r="E14210" t="s">
        <v>30441</v>
      </c>
      <c r="F14210" t="s">
        <v>31574</v>
      </c>
      <c r="G14210" t="s">
        <v>31582</v>
      </c>
      <c r="H14210" t="s">
        <v>31591</v>
      </c>
      <c r="I14210" t="s">
        <v>8822</v>
      </c>
      <c r="J14210" t="s">
        <v>31935</v>
      </c>
      <c r="K14210" t="s">
        <v>41329</v>
      </c>
      <c r="M14210" t="s">
        <v>43468</v>
      </c>
      <c r="N14210" t="s">
        <v>45095</v>
      </c>
      <c r="O14210" t="s">
        <v>45096</v>
      </c>
      <c r="P14210">
        <v>0</v>
      </c>
      <c r="Q14210">
        <v>0</v>
      </c>
      <c r="R14210" t="s">
        <v>45117</v>
      </c>
      <c r="S14210" t="s">
        <v>45992</v>
      </c>
      <c r="T14210" t="s">
        <v>46985</v>
      </c>
      <c r="U14210" t="s">
        <v>57485</v>
      </c>
      <c r="V14210" t="s">
        <v>61428</v>
      </c>
      <c r="W14210" t="s">
        <v>43468</v>
      </c>
      <c r="X14210" t="s">
        <v>45118</v>
      </c>
    </row>
    <row r="14211" spans="1:24">
      <c r="A14211">
        <f>HYPERLINK("https://www.philgeps.gov.ph/GEPSNONPILOT/Tender/SplashBidNoticeAbstractUI.aspx?menuIndex=3&amp;refID=7010848&amp;Result=3","7010848")</f>
        <v>0</v>
      </c>
      <c r="B14211" t="s">
        <v>1832</v>
      </c>
      <c r="C14211" t="s">
        <v>16802</v>
      </c>
      <c r="D14211" t="s">
        <v>18034</v>
      </c>
      <c r="E14211" t="s">
        <v>30442</v>
      </c>
      <c r="F14211" t="s">
        <v>31574</v>
      </c>
      <c r="G14211" t="s">
        <v>31582</v>
      </c>
      <c r="H14211" t="s">
        <v>31591</v>
      </c>
      <c r="I14211" t="s">
        <v>8822</v>
      </c>
      <c r="J14211" t="s">
        <v>40434</v>
      </c>
      <c r="K14211" t="s">
        <v>41209</v>
      </c>
      <c r="M14211" t="s">
        <v>43468</v>
      </c>
      <c r="N14211" t="s">
        <v>45095</v>
      </c>
      <c r="O14211" t="s">
        <v>45096</v>
      </c>
      <c r="P14211">
        <v>0</v>
      </c>
      <c r="Q14211">
        <v>0</v>
      </c>
      <c r="R14211" t="s">
        <v>45117</v>
      </c>
      <c r="S14211" t="s">
        <v>45992</v>
      </c>
      <c r="T14211" t="s">
        <v>46985</v>
      </c>
      <c r="U14211" t="s">
        <v>57485</v>
      </c>
      <c r="V14211" t="s">
        <v>61427</v>
      </c>
      <c r="W14211" t="s">
        <v>43468</v>
      </c>
      <c r="X14211" t="s">
        <v>45118</v>
      </c>
    </row>
    <row r="14212" spans="1:24">
      <c r="A14212">
        <f>HYPERLINK("https://www.philgeps.gov.ph/GEPSNONPILOT/Tender/SplashBidNoticeAbstractUI.aspx?menuIndex=3&amp;refID=7010860&amp;Result=3","7010860")</f>
        <v>0</v>
      </c>
      <c r="B14212" t="s">
        <v>1832</v>
      </c>
      <c r="C14212" t="s">
        <v>16803</v>
      </c>
      <c r="D14212" t="s">
        <v>18034</v>
      </c>
      <c r="E14212" t="s">
        <v>30443</v>
      </c>
      <c r="F14212" t="s">
        <v>31574</v>
      </c>
      <c r="G14212" t="s">
        <v>31582</v>
      </c>
      <c r="H14212" t="s">
        <v>31591</v>
      </c>
      <c r="I14212" t="s">
        <v>8822</v>
      </c>
      <c r="J14212" t="s">
        <v>31935</v>
      </c>
      <c r="K14212" t="s">
        <v>41260</v>
      </c>
      <c r="M14212" t="s">
        <v>43468</v>
      </c>
      <c r="N14212" t="s">
        <v>45095</v>
      </c>
      <c r="O14212" t="s">
        <v>45096</v>
      </c>
      <c r="P14212">
        <v>0</v>
      </c>
      <c r="Q14212">
        <v>0</v>
      </c>
      <c r="R14212" t="s">
        <v>45117</v>
      </c>
      <c r="S14212" t="s">
        <v>45992</v>
      </c>
      <c r="T14212" t="s">
        <v>46985</v>
      </c>
      <c r="U14212" t="s">
        <v>57485</v>
      </c>
      <c r="V14212" t="s">
        <v>61428</v>
      </c>
      <c r="W14212" t="s">
        <v>43468</v>
      </c>
      <c r="X14212" t="s">
        <v>45118</v>
      </c>
    </row>
    <row r="14213" spans="1:24">
      <c r="A14213">
        <f>HYPERLINK("https://www.philgeps.gov.ph/GEPSNONPILOT/Tender/SplashBidNoticeAbstractUI.aspx?menuIndex=3&amp;refID=7010899&amp;Result=3","7010899")</f>
        <v>0</v>
      </c>
      <c r="B14213" t="s">
        <v>161</v>
      </c>
      <c r="C14213" t="s">
        <v>16804</v>
      </c>
      <c r="D14213" t="s">
        <v>18129</v>
      </c>
      <c r="E14213" t="s">
        <v>30444</v>
      </c>
      <c r="F14213" t="s">
        <v>31574</v>
      </c>
      <c r="G14213" t="s">
        <v>31582</v>
      </c>
      <c r="H14213" t="s">
        <v>31590</v>
      </c>
      <c r="I14213" t="s">
        <v>31599</v>
      </c>
      <c r="J14213" t="s">
        <v>40435</v>
      </c>
      <c r="K14213" t="s">
        <v>41184</v>
      </c>
      <c r="M14213" t="s">
        <v>41721</v>
      </c>
      <c r="N14213" t="s">
        <v>45095</v>
      </c>
      <c r="O14213" t="s">
        <v>45096</v>
      </c>
      <c r="P14213">
        <v>0</v>
      </c>
      <c r="Q14213">
        <v>1</v>
      </c>
      <c r="R14213" t="s">
        <v>45117</v>
      </c>
      <c r="S14213" t="s">
        <v>45992</v>
      </c>
      <c r="T14213" t="s">
        <v>47154</v>
      </c>
      <c r="U14213" t="s">
        <v>58936</v>
      </c>
      <c r="W14213" t="s">
        <v>41721</v>
      </c>
      <c r="X14213" t="s">
        <v>45118</v>
      </c>
    </row>
    <row r="14214" spans="1:24">
      <c r="A14214">
        <f>HYPERLINK("https://www.philgeps.gov.ph/GEPSNONPILOT/Tender/SplashBidNoticeAbstractUI.aspx?menuIndex=3&amp;refID=7010957&amp;Result=3","7010957")</f>
        <v>0</v>
      </c>
      <c r="B14214" t="s">
        <v>851</v>
      </c>
      <c r="C14214" t="s">
        <v>16805</v>
      </c>
      <c r="D14214" t="s">
        <v>18045</v>
      </c>
      <c r="E14214" t="s">
        <v>30445</v>
      </c>
      <c r="F14214" t="s">
        <v>31574</v>
      </c>
      <c r="G14214" t="s">
        <v>31582</v>
      </c>
      <c r="H14214" t="s">
        <v>31590</v>
      </c>
      <c r="I14214" t="s">
        <v>4046</v>
      </c>
      <c r="J14214" t="s">
        <v>40436</v>
      </c>
      <c r="K14214" t="s">
        <v>41186</v>
      </c>
      <c r="M14214" t="s">
        <v>42370</v>
      </c>
      <c r="N14214" t="s">
        <v>45095</v>
      </c>
      <c r="O14214" t="s">
        <v>45096</v>
      </c>
      <c r="P14214">
        <v>0</v>
      </c>
      <c r="Q14214">
        <v>5</v>
      </c>
      <c r="R14214" t="s">
        <v>45117</v>
      </c>
      <c r="S14214" t="s">
        <v>45992</v>
      </c>
      <c r="T14214" t="s">
        <v>47164</v>
      </c>
      <c r="U14214" t="s">
        <v>58937</v>
      </c>
      <c r="W14214" t="s">
        <v>42370</v>
      </c>
      <c r="X14214" t="s">
        <v>45118</v>
      </c>
    </row>
    <row r="14215" spans="1:24">
      <c r="A14215">
        <f>HYPERLINK("https://www.philgeps.gov.ph/GEPSNONPILOT/Tender/SplashBidNoticeAbstractUI.aspx?menuIndex=3&amp;refID=7010873&amp;Result=3","7010873")</f>
        <v>0</v>
      </c>
      <c r="B14215" t="s">
        <v>1904</v>
      </c>
      <c r="C14215" t="s">
        <v>16806</v>
      </c>
      <c r="D14215" t="s">
        <v>18075</v>
      </c>
      <c r="E14215" t="s">
        <v>30446</v>
      </c>
      <c r="F14215" t="s">
        <v>31574</v>
      </c>
      <c r="G14215" t="s">
        <v>31582</v>
      </c>
      <c r="H14215" t="s">
        <v>31590</v>
      </c>
      <c r="I14215" t="s">
        <v>31615</v>
      </c>
      <c r="J14215" t="s">
        <v>34054</v>
      </c>
      <c r="K14215" t="s">
        <v>41225</v>
      </c>
      <c r="M14215" t="s">
        <v>43549</v>
      </c>
      <c r="N14215" t="s">
        <v>45095</v>
      </c>
      <c r="O14215" t="s">
        <v>45096</v>
      </c>
      <c r="Q14215">
        <v>10</v>
      </c>
      <c r="R14215" t="s">
        <v>45117</v>
      </c>
      <c r="S14215" t="s">
        <v>46013</v>
      </c>
      <c r="T14215" t="s">
        <v>46985</v>
      </c>
      <c r="U14215" t="s">
        <v>58938</v>
      </c>
      <c r="W14215" t="s">
        <v>43549</v>
      </c>
      <c r="X14215" t="s">
        <v>45118</v>
      </c>
    </row>
    <row r="14216" spans="1:24">
      <c r="A14216">
        <f>HYPERLINK("https://www.philgeps.gov.ph/GEPSNONPILOT/Tender/SplashBidNoticeAbstractUI.aspx?menuIndex=3&amp;refID=7010963&amp;Result=3","7010963")</f>
        <v>0</v>
      </c>
      <c r="B14216" t="s">
        <v>196</v>
      </c>
      <c r="C14216" t="s">
        <v>16807</v>
      </c>
      <c r="D14216" t="s">
        <v>18046</v>
      </c>
      <c r="E14216" t="s">
        <v>30447</v>
      </c>
      <c r="F14216" t="s">
        <v>31574</v>
      </c>
      <c r="G14216" t="s">
        <v>31582</v>
      </c>
      <c r="H14216" t="s">
        <v>31590</v>
      </c>
      <c r="I14216" t="s">
        <v>4046</v>
      </c>
      <c r="J14216" t="s">
        <v>40437</v>
      </c>
      <c r="K14216" t="s">
        <v>41186</v>
      </c>
      <c r="M14216" t="s">
        <v>44810</v>
      </c>
      <c r="N14216" t="s">
        <v>45095</v>
      </c>
      <c r="O14216" t="s">
        <v>45096</v>
      </c>
      <c r="P14216">
        <v>0</v>
      </c>
      <c r="Q14216">
        <v>1</v>
      </c>
      <c r="R14216" t="s">
        <v>45117</v>
      </c>
      <c r="S14216" t="s">
        <v>45992</v>
      </c>
      <c r="T14216" t="s">
        <v>47050</v>
      </c>
      <c r="U14216" t="s">
        <v>58939</v>
      </c>
      <c r="W14216" t="s">
        <v>44810</v>
      </c>
      <c r="X14216" t="s">
        <v>45118</v>
      </c>
    </row>
    <row r="14217" spans="1:24">
      <c r="A14217">
        <f>HYPERLINK("https://www.philgeps.gov.ph/GEPSNONPILOT/Tender/SplashBidNoticeAbstractUI.aspx?menuIndex=3&amp;refID=7010977&amp;Result=3","7010977")</f>
        <v>0</v>
      </c>
      <c r="B14217" t="s">
        <v>837</v>
      </c>
      <c r="C14217" t="s">
        <v>16808</v>
      </c>
      <c r="D14217" t="s">
        <v>18086</v>
      </c>
      <c r="E14217" t="s">
        <v>24925</v>
      </c>
      <c r="F14217" t="s">
        <v>31575</v>
      </c>
      <c r="G14217" t="s">
        <v>31588</v>
      </c>
      <c r="H14217" t="s">
        <v>31590</v>
      </c>
      <c r="I14217" t="s">
        <v>31614</v>
      </c>
      <c r="J14217" t="s">
        <v>40438</v>
      </c>
      <c r="K14217" t="s">
        <v>41185</v>
      </c>
      <c r="M14217" t="s">
        <v>42356</v>
      </c>
      <c r="N14217" t="s">
        <v>45095</v>
      </c>
      <c r="O14217" t="s">
        <v>45096</v>
      </c>
      <c r="Q14217">
        <v>7</v>
      </c>
      <c r="R14217" t="s">
        <v>45117</v>
      </c>
      <c r="S14217" t="s">
        <v>46014</v>
      </c>
      <c r="T14217" t="s">
        <v>47154</v>
      </c>
      <c r="U14217" t="s">
        <v>58940</v>
      </c>
      <c r="W14217" t="s">
        <v>42356</v>
      </c>
      <c r="X14217" t="s">
        <v>45118</v>
      </c>
    </row>
    <row r="14218" spans="1:24">
      <c r="A14218">
        <f>HYPERLINK("https://www.philgeps.gov.ph/GEPSNONPILOT/Tender/SplashBidNoticeAbstractUI.aspx?menuIndex=3&amp;refID=7010966&amp;Result=3","7010966")</f>
        <v>0</v>
      </c>
      <c r="B14218" t="s">
        <v>3108</v>
      </c>
      <c r="C14218" t="s">
        <v>16809</v>
      </c>
      <c r="E14218" t="s">
        <v>25191</v>
      </c>
      <c r="F14218" t="s">
        <v>31574</v>
      </c>
      <c r="G14218" t="s">
        <v>31582</v>
      </c>
      <c r="H14218" t="s">
        <v>31590</v>
      </c>
      <c r="I14218" t="s">
        <v>8258</v>
      </c>
      <c r="J14218" t="s">
        <v>31962</v>
      </c>
      <c r="K14218" t="s">
        <v>41191</v>
      </c>
      <c r="M14218" t="s">
        <v>44954</v>
      </c>
      <c r="N14218" t="s">
        <v>45095</v>
      </c>
      <c r="O14218" t="s">
        <v>45096</v>
      </c>
      <c r="P14218">
        <v>0</v>
      </c>
      <c r="Q14218">
        <v>2</v>
      </c>
      <c r="R14218" t="s">
        <v>45117</v>
      </c>
      <c r="S14218" t="s">
        <v>45992</v>
      </c>
      <c r="T14218" t="s">
        <v>47177</v>
      </c>
      <c r="U14218" t="s">
        <v>58941</v>
      </c>
      <c r="W14218" t="s">
        <v>44954</v>
      </c>
      <c r="X14218" t="s">
        <v>45118</v>
      </c>
    </row>
    <row r="14219" spans="1:24">
      <c r="A14219">
        <f>HYPERLINK("https://www.philgeps.gov.ph/GEPSNONPILOT/Tender/SplashBidNoticeAbstractUI.aspx?menuIndex=3&amp;refID=7010955&amp;Result=3","7010955")</f>
        <v>0</v>
      </c>
      <c r="B14219" t="s">
        <v>2082</v>
      </c>
      <c r="C14219" t="s">
        <v>16810</v>
      </c>
      <c r="D14219" t="s">
        <v>18079</v>
      </c>
      <c r="E14219" t="s">
        <v>30420</v>
      </c>
      <c r="F14219" t="s">
        <v>31574</v>
      </c>
      <c r="G14219" t="s">
        <v>31582</v>
      </c>
      <c r="H14219" t="s">
        <v>31590</v>
      </c>
      <c r="I14219" t="s">
        <v>31662</v>
      </c>
      <c r="J14219" t="s">
        <v>32019</v>
      </c>
      <c r="K14219" t="s">
        <v>41191</v>
      </c>
      <c r="M14219" t="s">
        <v>43757</v>
      </c>
      <c r="N14219" t="s">
        <v>45095</v>
      </c>
      <c r="O14219" t="s">
        <v>45096</v>
      </c>
      <c r="P14219">
        <v>0</v>
      </c>
      <c r="Q14219">
        <v>10</v>
      </c>
      <c r="R14219" t="s">
        <v>45117</v>
      </c>
      <c r="S14219" t="s">
        <v>45992</v>
      </c>
      <c r="T14219" t="s">
        <v>47124</v>
      </c>
      <c r="U14219" t="s">
        <v>58942</v>
      </c>
      <c r="W14219" t="s">
        <v>43757</v>
      </c>
      <c r="X14219" t="s">
        <v>45118</v>
      </c>
    </row>
    <row r="14220" spans="1:24">
      <c r="A14220">
        <f>HYPERLINK("https://www.philgeps.gov.ph/GEPSNONPILOT/Tender/SplashBidNoticeAbstractUI.aspx?menuIndex=3&amp;refID=7010882&amp;Result=3","7010882")</f>
        <v>0</v>
      </c>
      <c r="B14220" t="s">
        <v>2082</v>
      </c>
      <c r="C14220" t="s">
        <v>16811</v>
      </c>
      <c r="D14220" t="s">
        <v>18079</v>
      </c>
      <c r="E14220" t="s">
        <v>30420</v>
      </c>
      <c r="F14220" t="s">
        <v>31574</v>
      </c>
      <c r="G14220" t="s">
        <v>31582</v>
      </c>
      <c r="H14220" t="s">
        <v>31590</v>
      </c>
      <c r="I14220" t="s">
        <v>31615</v>
      </c>
      <c r="J14220" t="s">
        <v>31771</v>
      </c>
      <c r="K14220" t="s">
        <v>41186</v>
      </c>
      <c r="M14220" t="s">
        <v>43757</v>
      </c>
      <c r="N14220" t="s">
        <v>45095</v>
      </c>
      <c r="O14220" t="s">
        <v>45096</v>
      </c>
      <c r="P14220">
        <v>0</v>
      </c>
      <c r="Q14220">
        <v>2</v>
      </c>
      <c r="R14220" t="s">
        <v>45117</v>
      </c>
      <c r="S14220" t="s">
        <v>45992</v>
      </c>
      <c r="T14220" t="s">
        <v>47124</v>
      </c>
      <c r="U14220" t="s">
        <v>58942</v>
      </c>
      <c r="W14220" t="s">
        <v>43757</v>
      </c>
      <c r="X14220" t="s">
        <v>45118</v>
      </c>
    </row>
    <row r="14221" spans="1:24">
      <c r="A14221">
        <f>HYPERLINK("https://www.philgeps.gov.ph/GEPSNONPILOT/Tender/SplashBidNoticeAbstractUI.aspx?menuIndex=3&amp;refID=7010851&amp;Result=3","7010851")</f>
        <v>0</v>
      </c>
      <c r="B14221" t="s">
        <v>3109</v>
      </c>
      <c r="C14221" t="s">
        <v>16812</v>
      </c>
      <c r="D14221" t="s">
        <v>18079</v>
      </c>
      <c r="E14221" t="s">
        <v>30448</v>
      </c>
      <c r="F14221" t="s">
        <v>31574</v>
      </c>
      <c r="G14221" t="s">
        <v>31582</v>
      </c>
      <c r="H14221" t="s">
        <v>31590</v>
      </c>
      <c r="I14221" t="s">
        <v>4046</v>
      </c>
      <c r="J14221" t="s">
        <v>40439</v>
      </c>
      <c r="K14221" t="s">
        <v>41184</v>
      </c>
      <c r="M14221" t="s">
        <v>44955</v>
      </c>
      <c r="N14221" t="s">
        <v>45095</v>
      </c>
      <c r="O14221" t="s">
        <v>45096</v>
      </c>
      <c r="P14221">
        <v>0</v>
      </c>
      <c r="Q14221">
        <v>1</v>
      </c>
      <c r="R14221" t="s">
        <v>45117</v>
      </c>
      <c r="S14221" t="s">
        <v>45992</v>
      </c>
      <c r="T14221" t="s">
        <v>47064</v>
      </c>
      <c r="U14221" t="s">
        <v>58943</v>
      </c>
      <c r="W14221" t="s">
        <v>44955</v>
      </c>
      <c r="X14221" t="s">
        <v>45118</v>
      </c>
    </row>
    <row r="14222" spans="1:24">
      <c r="A14222">
        <f>HYPERLINK("https://www.philgeps.gov.ph/GEPSNONPILOT/Tender/SplashBidNoticeAbstractUI.aspx?menuIndex=3&amp;refID=7011047&amp;Result=3","7011047")</f>
        <v>0</v>
      </c>
      <c r="B14222" t="s">
        <v>1590</v>
      </c>
      <c r="C14222" t="s">
        <v>16813</v>
      </c>
      <c r="D14222" t="s">
        <v>18075</v>
      </c>
      <c r="E14222" t="s">
        <v>30449</v>
      </c>
      <c r="F14222" t="s">
        <v>31574</v>
      </c>
      <c r="G14222" t="s">
        <v>31582</v>
      </c>
      <c r="H14222" t="s">
        <v>31590</v>
      </c>
      <c r="I14222" t="s">
        <v>8258</v>
      </c>
      <c r="J14222" t="s">
        <v>35140</v>
      </c>
      <c r="K14222" t="s">
        <v>41186</v>
      </c>
      <c r="M14222" t="s">
        <v>43194</v>
      </c>
      <c r="N14222" t="s">
        <v>45095</v>
      </c>
      <c r="O14222" t="s">
        <v>45096</v>
      </c>
      <c r="Q14222">
        <v>14</v>
      </c>
      <c r="R14222" t="s">
        <v>45117</v>
      </c>
      <c r="S14222" t="s">
        <v>46015</v>
      </c>
      <c r="T14222" t="s">
        <v>47159</v>
      </c>
      <c r="U14222" t="s">
        <v>58944</v>
      </c>
      <c r="W14222" t="s">
        <v>43194</v>
      </c>
      <c r="X14222" t="s">
        <v>45118</v>
      </c>
    </row>
    <row r="14223" spans="1:24">
      <c r="A14223">
        <f>HYPERLINK("https://www.philgeps.gov.ph/GEPSNONPILOT/Tender/SplashBidNoticeAbstractUI.aspx?menuIndex=3&amp;refID=7011054&amp;Result=3","7011054")</f>
        <v>0</v>
      </c>
      <c r="B14223" t="s">
        <v>144</v>
      </c>
      <c r="C14223" t="s">
        <v>16814</v>
      </c>
      <c r="D14223" t="s">
        <v>18076</v>
      </c>
      <c r="E14223" t="s">
        <v>30450</v>
      </c>
      <c r="F14223" t="s">
        <v>31574</v>
      </c>
      <c r="G14223" t="s">
        <v>31582</v>
      </c>
      <c r="H14223" t="s">
        <v>31590</v>
      </c>
      <c r="I14223" t="s">
        <v>31626</v>
      </c>
      <c r="J14223" t="s">
        <v>40440</v>
      </c>
      <c r="K14223" t="s">
        <v>41193</v>
      </c>
      <c r="M14223" t="s">
        <v>41843</v>
      </c>
      <c r="N14223" t="s">
        <v>45095</v>
      </c>
      <c r="O14223" t="s">
        <v>45096</v>
      </c>
      <c r="P14223">
        <v>0</v>
      </c>
      <c r="Q14223">
        <v>1</v>
      </c>
      <c r="R14223" t="s">
        <v>45117</v>
      </c>
      <c r="S14223" t="s">
        <v>45992</v>
      </c>
      <c r="T14223" t="s">
        <v>47188</v>
      </c>
      <c r="U14223" t="s">
        <v>58945</v>
      </c>
      <c r="W14223" t="s">
        <v>41843</v>
      </c>
      <c r="X14223" t="s">
        <v>45118</v>
      </c>
    </row>
    <row r="14224" spans="1:24">
      <c r="A14224">
        <f>HYPERLINK("https://www.philgeps.gov.ph/GEPSNONPILOT/Tender/SplashBidNoticeAbstractUI.aspx?menuIndex=3&amp;refID=7010980&amp;Result=3","7010980")</f>
        <v>0</v>
      </c>
      <c r="B14224" t="s">
        <v>2691</v>
      </c>
      <c r="C14224" t="s">
        <v>16815</v>
      </c>
      <c r="D14224" t="s">
        <v>18049</v>
      </c>
      <c r="E14224" t="s">
        <v>30451</v>
      </c>
      <c r="F14224" t="s">
        <v>31574</v>
      </c>
      <c r="G14224" t="s">
        <v>31585</v>
      </c>
      <c r="H14224" t="s">
        <v>31591</v>
      </c>
      <c r="I14224" t="s">
        <v>8822</v>
      </c>
      <c r="J14224" t="s">
        <v>40441</v>
      </c>
      <c r="K14224" t="s">
        <v>41198</v>
      </c>
      <c r="M14224" t="s">
        <v>44704</v>
      </c>
      <c r="N14224" t="s">
        <v>45095</v>
      </c>
      <c r="O14224" t="s">
        <v>45096</v>
      </c>
      <c r="P14224">
        <v>0</v>
      </c>
      <c r="Q14224">
        <v>2</v>
      </c>
      <c r="R14224" t="s">
        <v>45117</v>
      </c>
      <c r="S14224" t="s">
        <v>45992</v>
      </c>
      <c r="T14224" t="s">
        <v>47050</v>
      </c>
      <c r="U14224" t="s">
        <v>58946</v>
      </c>
      <c r="V14224" t="s">
        <v>61163</v>
      </c>
      <c r="W14224" t="s">
        <v>44704</v>
      </c>
      <c r="X14224" t="s">
        <v>45118</v>
      </c>
    </row>
    <row r="14225" spans="1:24">
      <c r="A14225">
        <f>HYPERLINK("https://www.philgeps.gov.ph/GEPSNONPILOT/Tender/SplashBidNoticeAbstractUI.aspx?menuIndex=3&amp;refID=7011028&amp;Result=3","7011028")</f>
        <v>0</v>
      </c>
      <c r="B14225" t="s">
        <v>1492</v>
      </c>
      <c r="C14225" t="s">
        <v>16816</v>
      </c>
      <c r="D14225" t="s">
        <v>18072</v>
      </c>
      <c r="E14225" t="s">
        <v>30452</v>
      </c>
      <c r="F14225" t="s">
        <v>31574</v>
      </c>
      <c r="G14225" t="s">
        <v>31582</v>
      </c>
      <c r="H14225" t="s">
        <v>31590</v>
      </c>
      <c r="I14225" t="s">
        <v>31602</v>
      </c>
      <c r="J14225" t="s">
        <v>40442</v>
      </c>
      <c r="K14225" t="s">
        <v>41184</v>
      </c>
      <c r="M14225" t="s">
        <v>43077</v>
      </c>
      <c r="N14225" t="s">
        <v>45095</v>
      </c>
      <c r="O14225" t="s">
        <v>45096</v>
      </c>
      <c r="P14225">
        <v>0</v>
      </c>
      <c r="Q14225">
        <v>0</v>
      </c>
      <c r="R14225" t="s">
        <v>45117</v>
      </c>
      <c r="S14225" t="s">
        <v>45992</v>
      </c>
      <c r="T14225" t="s">
        <v>47301</v>
      </c>
      <c r="U14225" t="s">
        <v>58947</v>
      </c>
      <c r="W14225" t="s">
        <v>43077</v>
      </c>
      <c r="X14225" t="s">
        <v>45118</v>
      </c>
    </row>
    <row r="14226" spans="1:24">
      <c r="A14226">
        <f>HYPERLINK("https://www.philgeps.gov.ph/GEPSNONPILOT/Tender/SplashBidNoticeAbstractUI.aspx?menuIndex=3&amp;refID=7011021&amp;Result=3","7011021")</f>
        <v>0</v>
      </c>
      <c r="B14226" t="s">
        <v>313</v>
      </c>
      <c r="C14226" t="s">
        <v>16817</v>
      </c>
      <c r="D14226" t="s">
        <v>18039</v>
      </c>
      <c r="E14226" t="s">
        <v>30453</v>
      </c>
      <c r="F14226" t="s">
        <v>31574</v>
      </c>
      <c r="G14226" t="s">
        <v>31582</v>
      </c>
      <c r="H14226" t="s">
        <v>31590</v>
      </c>
      <c r="I14226" t="s">
        <v>31607</v>
      </c>
      <c r="J14226" t="s">
        <v>40443</v>
      </c>
      <c r="K14226" t="s">
        <v>41186</v>
      </c>
      <c r="M14226" t="s">
        <v>44792</v>
      </c>
      <c r="N14226" t="s">
        <v>45095</v>
      </c>
      <c r="O14226" t="s">
        <v>45096</v>
      </c>
      <c r="P14226">
        <v>0</v>
      </c>
      <c r="Q14226">
        <v>7</v>
      </c>
      <c r="R14226" t="s">
        <v>45117</v>
      </c>
      <c r="S14226" t="s">
        <v>45992</v>
      </c>
      <c r="T14226" t="s">
        <v>47242</v>
      </c>
      <c r="U14226" t="s">
        <v>58948</v>
      </c>
      <c r="W14226" t="s">
        <v>44792</v>
      </c>
      <c r="X14226" t="s">
        <v>45118</v>
      </c>
    </row>
    <row r="14227" spans="1:24">
      <c r="A14227">
        <f>HYPERLINK("https://www.philgeps.gov.ph/GEPSNONPILOT/Tender/SplashBidNoticeAbstractUI.aspx?menuIndex=3&amp;refID=7011018&amp;Result=3","7011018")</f>
        <v>0</v>
      </c>
      <c r="B14227" t="s">
        <v>2751</v>
      </c>
      <c r="C14227" t="s">
        <v>16818</v>
      </c>
      <c r="D14227" t="s">
        <v>18049</v>
      </c>
      <c r="E14227" t="s">
        <v>30454</v>
      </c>
      <c r="F14227" t="s">
        <v>31574</v>
      </c>
      <c r="G14227" t="s">
        <v>31582</v>
      </c>
      <c r="H14227" t="s">
        <v>31591</v>
      </c>
      <c r="I14227" t="s">
        <v>8822</v>
      </c>
      <c r="J14227" t="s">
        <v>40444</v>
      </c>
      <c r="K14227" t="s">
        <v>41186</v>
      </c>
      <c r="M14227" t="s">
        <v>44523</v>
      </c>
      <c r="N14227" t="s">
        <v>45095</v>
      </c>
      <c r="O14227" t="s">
        <v>45096</v>
      </c>
      <c r="P14227">
        <v>0</v>
      </c>
      <c r="Q14227">
        <v>1</v>
      </c>
      <c r="R14227" t="s">
        <v>45117</v>
      </c>
      <c r="S14227" t="s">
        <v>45992</v>
      </c>
      <c r="T14227" t="s">
        <v>47124</v>
      </c>
      <c r="U14227" t="s">
        <v>58949</v>
      </c>
      <c r="W14227" t="s">
        <v>44523</v>
      </c>
      <c r="X14227" t="s">
        <v>45118</v>
      </c>
    </row>
    <row r="14228" spans="1:24">
      <c r="A14228">
        <f>HYPERLINK("https://www.philgeps.gov.ph/GEPSNONPILOT/Tender/SplashBidNoticeAbstractUI.aspx?menuIndex=3&amp;refID=7011026&amp;Result=3","7011026")</f>
        <v>0</v>
      </c>
      <c r="B14228" t="s">
        <v>161</v>
      </c>
      <c r="C14228" t="s">
        <v>16819</v>
      </c>
      <c r="D14228" t="s">
        <v>18067</v>
      </c>
      <c r="E14228" t="s">
        <v>30455</v>
      </c>
      <c r="F14228" t="s">
        <v>31574</v>
      </c>
      <c r="G14228" t="s">
        <v>31582</v>
      </c>
      <c r="H14228" t="s">
        <v>31591</v>
      </c>
      <c r="I14228" t="s">
        <v>31638</v>
      </c>
      <c r="J14228" t="s">
        <v>32333</v>
      </c>
      <c r="K14228" t="s">
        <v>41198</v>
      </c>
      <c r="M14228" t="s">
        <v>41721</v>
      </c>
      <c r="N14228" t="s">
        <v>45095</v>
      </c>
      <c r="O14228" t="s">
        <v>45096</v>
      </c>
      <c r="Q14228">
        <v>9</v>
      </c>
      <c r="R14228" t="s">
        <v>45117</v>
      </c>
      <c r="S14228" t="s">
        <v>46016</v>
      </c>
      <c r="T14228" t="s">
        <v>47154</v>
      </c>
      <c r="U14228" t="s">
        <v>58950</v>
      </c>
      <c r="W14228" t="s">
        <v>41721</v>
      </c>
      <c r="X14228" t="s">
        <v>45118</v>
      </c>
    </row>
    <row r="14229" spans="1:24">
      <c r="A14229">
        <f>HYPERLINK("https://www.philgeps.gov.ph/GEPSNONPILOT/Tender/SplashBidNoticeAbstractUI.aspx?menuIndex=3&amp;refID=7011023&amp;Result=3","7011023")</f>
        <v>0</v>
      </c>
      <c r="B14229" t="s">
        <v>1717</v>
      </c>
      <c r="C14229" t="s">
        <v>16820</v>
      </c>
      <c r="D14229" t="s">
        <v>18053</v>
      </c>
      <c r="E14229" t="s">
        <v>30456</v>
      </c>
      <c r="F14229" t="s">
        <v>31574</v>
      </c>
      <c r="G14229" t="s">
        <v>31582</v>
      </c>
      <c r="H14229" t="s">
        <v>31590</v>
      </c>
      <c r="I14229" t="s">
        <v>31631</v>
      </c>
      <c r="J14229" t="s">
        <v>40445</v>
      </c>
      <c r="K14229" t="s">
        <v>41186</v>
      </c>
      <c r="M14229" t="s">
        <v>43333</v>
      </c>
      <c r="N14229" t="s">
        <v>45095</v>
      </c>
      <c r="O14229" t="s">
        <v>45096</v>
      </c>
      <c r="P14229">
        <v>0</v>
      </c>
      <c r="Q14229">
        <v>3</v>
      </c>
      <c r="R14229" t="s">
        <v>45117</v>
      </c>
      <c r="S14229" t="s">
        <v>45992</v>
      </c>
      <c r="T14229" t="s">
        <v>47159</v>
      </c>
      <c r="U14229" t="s">
        <v>58951</v>
      </c>
      <c r="W14229" t="s">
        <v>43333</v>
      </c>
      <c r="X14229" t="s">
        <v>45118</v>
      </c>
    </row>
    <row r="14230" spans="1:24">
      <c r="A14230">
        <f>HYPERLINK("https://www.philgeps.gov.ph/GEPSNONPILOT/Tender/SplashBidNoticeAbstractUI.aspx?menuIndex=3&amp;refID=7011030&amp;Result=3","7011030")</f>
        <v>0</v>
      </c>
      <c r="B14230" t="s">
        <v>1860</v>
      </c>
      <c r="C14230" t="s">
        <v>16821</v>
      </c>
      <c r="D14230" t="s">
        <v>18058</v>
      </c>
      <c r="E14230" t="s">
        <v>25873</v>
      </c>
      <c r="F14230" t="s">
        <v>31574</v>
      </c>
      <c r="G14230" t="s">
        <v>31582</v>
      </c>
      <c r="H14230" t="s">
        <v>31590</v>
      </c>
      <c r="I14230" t="s">
        <v>31636</v>
      </c>
      <c r="J14230" t="s">
        <v>40446</v>
      </c>
      <c r="K14230" t="s">
        <v>41186</v>
      </c>
      <c r="M14230" t="s">
        <v>43498</v>
      </c>
      <c r="N14230" t="s">
        <v>45095</v>
      </c>
      <c r="O14230" t="s">
        <v>45096</v>
      </c>
      <c r="Q14230">
        <v>9</v>
      </c>
      <c r="R14230" t="s">
        <v>45117</v>
      </c>
      <c r="S14230" t="s">
        <v>46017</v>
      </c>
      <c r="T14230" t="s">
        <v>47164</v>
      </c>
      <c r="U14230" t="s">
        <v>58952</v>
      </c>
      <c r="W14230" t="s">
        <v>43498</v>
      </c>
      <c r="X14230" t="s">
        <v>45118</v>
      </c>
    </row>
    <row r="14231" spans="1:24">
      <c r="A14231">
        <f>HYPERLINK("https://www.philgeps.gov.ph/GEPSNONPILOT/Tender/SplashBidNoticeAbstractUI.aspx?menuIndex=3&amp;refID=7010996&amp;Result=3","7010996")</f>
        <v>0</v>
      </c>
      <c r="B14231" t="s">
        <v>196</v>
      </c>
      <c r="C14231" t="s">
        <v>16822</v>
      </c>
      <c r="D14231" t="s">
        <v>18046</v>
      </c>
      <c r="E14231" t="s">
        <v>30457</v>
      </c>
      <c r="F14231" t="s">
        <v>31574</v>
      </c>
      <c r="G14231" t="s">
        <v>31582</v>
      </c>
      <c r="H14231" t="s">
        <v>31590</v>
      </c>
      <c r="I14231" t="s">
        <v>4046</v>
      </c>
      <c r="J14231" t="s">
        <v>40447</v>
      </c>
      <c r="K14231" t="s">
        <v>41186</v>
      </c>
      <c r="M14231" t="s">
        <v>44810</v>
      </c>
      <c r="N14231" t="s">
        <v>45095</v>
      </c>
      <c r="O14231" t="s">
        <v>45096</v>
      </c>
      <c r="P14231">
        <v>0</v>
      </c>
      <c r="Q14231">
        <v>0</v>
      </c>
      <c r="R14231" t="s">
        <v>45117</v>
      </c>
      <c r="S14231" t="s">
        <v>45992</v>
      </c>
      <c r="T14231" t="s">
        <v>47050</v>
      </c>
      <c r="U14231" t="s">
        <v>58939</v>
      </c>
      <c r="W14231" t="s">
        <v>44810</v>
      </c>
      <c r="X14231" t="s">
        <v>45118</v>
      </c>
    </row>
    <row r="14232" spans="1:24">
      <c r="A14232">
        <f>HYPERLINK("https://www.philgeps.gov.ph/GEPSNONPILOT/Tender/SplashBidNoticeAbstractUI.aspx?menuIndex=3&amp;refID=7011037&amp;Result=3","7011037")</f>
        <v>0</v>
      </c>
      <c r="B14232" t="s">
        <v>3083</v>
      </c>
      <c r="C14232" t="s">
        <v>16823</v>
      </c>
      <c r="D14232" t="s">
        <v>18035</v>
      </c>
      <c r="E14232" t="s">
        <v>30458</v>
      </c>
      <c r="F14232" t="s">
        <v>31574</v>
      </c>
      <c r="G14232" t="s">
        <v>31582</v>
      </c>
      <c r="H14232" t="s">
        <v>31591</v>
      </c>
      <c r="I14232" t="s">
        <v>8822</v>
      </c>
      <c r="J14232" t="s">
        <v>40448</v>
      </c>
      <c r="K14232" t="s">
        <v>41373</v>
      </c>
      <c r="M14232" t="s">
        <v>44927</v>
      </c>
      <c r="N14232" t="s">
        <v>45095</v>
      </c>
      <c r="O14232" t="s">
        <v>45096</v>
      </c>
      <c r="P14232">
        <v>0</v>
      </c>
      <c r="Q14232">
        <v>36</v>
      </c>
      <c r="R14232" t="s">
        <v>45117</v>
      </c>
      <c r="S14232" t="s">
        <v>45992</v>
      </c>
      <c r="T14232" t="s">
        <v>47159</v>
      </c>
      <c r="U14232" t="s">
        <v>58953</v>
      </c>
      <c r="V14232" t="s">
        <v>60368</v>
      </c>
      <c r="W14232" t="s">
        <v>44927</v>
      </c>
      <c r="X14232" t="s">
        <v>45118</v>
      </c>
    </row>
    <row r="14233" spans="1:24">
      <c r="A14233">
        <f>HYPERLINK("https://www.philgeps.gov.ph/GEPSNONPILOT/Tender/SplashBidNoticeAbstractUI.aspx?menuIndex=3&amp;refID=7011097&amp;Result=3","7011097")</f>
        <v>0</v>
      </c>
      <c r="B14233" t="s">
        <v>1733</v>
      </c>
      <c r="C14233" t="s">
        <v>16824</v>
      </c>
      <c r="D14233" t="s">
        <v>18040</v>
      </c>
      <c r="E14233" t="s">
        <v>30459</v>
      </c>
      <c r="F14233" t="s">
        <v>31574</v>
      </c>
      <c r="G14233" t="s">
        <v>31582</v>
      </c>
      <c r="H14233" t="s">
        <v>31591</v>
      </c>
      <c r="I14233" t="s">
        <v>8822</v>
      </c>
      <c r="J14233" t="s">
        <v>32101</v>
      </c>
      <c r="K14233" t="s">
        <v>41203</v>
      </c>
      <c r="M14233" t="s">
        <v>44606</v>
      </c>
      <c r="N14233" t="s">
        <v>45095</v>
      </c>
      <c r="O14233" t="s">
        <v>45096</v>
      </c>
      <c r="P14233">
        <v>0</v>
      </c>
      <c r="Q14233">
        <v>0</v>
      </c>
      <c r="R14233" t="s">
        <v>45117</v>
      </c>
      <c r="S14233" t="s">
        <v>45992</v>
      </c>
      <c r="T14233" t="s">
        <v>47171</v>
      </c>
      <c r="U14233" t="s">
        <v>58954</v>
      </c>
      <c r="W14233" t="s">
        <v>44606</v>
      </c>
      <c r="X14233" t="s">
        <v>45118</v>
      </c>
    </row>
    <row r="14234" spans="1:24">
      <c r="A14234">
        <f>HYPERLINK("https://www.philgeps.gov.ph/GEPSNONPILOT/Tender/SplashBidNoticeAbstractUI.aspx?menuIndex=3&amp;refID=7011084&amp;Result=3","7011084")</f>
        <v>0</v>
      </c>
      <c r="B14234" t="s">
        <v>144</v>
      </c>
      <c r="C14234" t="s">
        <v>16814</v>
      </c>
      <c r="D14234" t="s">
        <v>18076</v>
      </c>
      <c r="E14234" t="s">
        <v>30460</v>
      </c>
      <c r="F14234" t="s">
        <v>31574</v>
      </c>
      <c r="G14234" t="s">
        <v>31582</v>
      </c>
      <c r="H14234" t="s">
        <v>31590</v>
      </c>
      <c r="I14234" t="s">
        <v>31626</v>
      </c>
      <c r="J14234" t="s">
        <v>40449</v>
      </c>
      <c r="K14234" t="s">
        <v>41193</v>
      </c>
      <c r="M14234" t="s">
        <v>41843</v>
      </c>
      <c r="N14234" t="s">
        <v>45095</v>
      </c>
      <c r="O14234" t="s">
        <v>45096</v>
      </c>
      <c r="P14234">
        <v>0</v>
      </c>
      <c r="Q14234">
        <v>1</v>
      </c>
      <c r="R14234" t="s">
        <v>45117</v>
      </c>
      <c r="S14234" t="s">
        <v>45992</v>
      </c>
      <c r="T14234" t="s">
        <v>47188</v>
      </c>
      <c r="U14234" t="s">
        <v>58955</v>
      </c>
      <c r="W14234" t="s">
        <v>41843</v>
      </c>
      <c r="X14234" t="s">
        <v>45118</v>
      </c>
    </row>
    <row r="14235" spans="1:24">
      <c r="A14235">
        <f>HYPERLINK("https://www.philgeps.gov.ph/GEPSNONPILOT/Tender/SplashBidNoticeAbstractUI.aspx?menuIndex=3&amp;refID=7011104&amp;Result=3","7011104")</f>
        <v>0</v>
      </c>
      <c r="B14235" t="s">
        <v>1139</v>
      </c>
      <c r="C14235" t="s">
        <v>16825</v>
      </c>
      <c r="D14235" t="s">
        <v>18023</v>
      </c>
      <c r="E14235" t="s">
        <v>30461</v>
      </c>
      <c r="F14235" t="s">
        <v>31574</v>
      </c>
      <c r="G14235" t="s">
        <v>31582</v>
      </c>
      <c r="H14235" t="s">
        <v>31591</v>
      </c>
      <c r="I14235" t="s">
        <v>8822</v>
      </c>
      <c r="J14235" t="s">
        <v>33574</v>
      </c>
      <c r="K14235" t="s">
        <v>41185</v>
      </c>
      <c r="M14235" t="s">
        <v>42691</v>
      </c>
      <c r="N14235" t="s">
        <v>45095</v>
      </c>
      <c r="O14235" t="s">
        <v>45096</v>
      </c>
      <c r="P14235">
        <v>0</v>
      </c>
      <c r="Q14235">
        <v>25</v>
      </c>
      <c r="R14235" t="s">
        <v>45117</v>
      </c>
      <c r="S14235" t="s">
        <v>45992</v>
      </c>
      <c r="T14235" t="s">
        <v>47154</v>
      </c>
      <c r="U14235" t="s">
        <v>55926</v>
      </c>
      <c r="W14235" t="s">
        <v>42691</v>
      </c>
      <c r="X14235" t="s">
        <v>45118</v>
      </c>
    </row>
    <row r="14236" spans="1:24">
      <c r="A14236">
        <f>HYPERLINK("https://www.philgeps.gov.ph/GEPSNONPILOT/Tender/SplashBidNoticeAbstractUI.aspx?menuIndex=3&amp;refID=7011086&amp;Result=3","7011086")</f>
        <v>0</v>
      </c>
      <c r="B14236" t="s">
        <v>2751</v>
      </c>
      <c r="C14236" t="s">
        <v>16826</v>
      </c>
      <c r="D14236" t="s">
        <v>18049</v>
      </c>
      <c r="E14236" t="s">
        <v>30462</v>
      </c>
      <c r="F14236" t="s">
        <v>31574</v>
      </c>
      <c r="G14236" t="s">
        <v>31582</v>
      </c>
      <c r="H14236" t="s">
        <v>31591</v>
      </c>
      <c r="I14236" t="s">
        <v>8822</v>
      </c>
      <c r="J14236" t="s">
        <v>40450</v>
      </c>
      <c r="K14236" t="s">
        <v>41186</v>
      </c>
      <c r="M14236" t="s">
        <v>44523</v>
      </c>
      <c r="N14236" t="s">
        <v>45095</v>
      </c>
      <c r="O14236" t="s">
        <v>45096</v>
      </c>
      <c r="P14236">
        <v>0</v>
      </c>
      <c r="Q14236">
        <v>1</v>
      </c>
      <c r="R14236" t="s">
        <v>45117</v>
      </c>
      <c r="S14236" t="s">
        <v>45992</v>
      </c>
      <c r="T14236" t="s">
        <v>47124</v>
      </c>
      <c r="U14236" t="s">
        <v>58956</v>
      </c>
      <c r="W14236" t="s">
        <v>44523</v>
      </c>
      <c r="X14236" t="s">
        <v>45118</v>
      </c>
    </row>
    <row r="14237" spans="1:24">
      <c r="A14237">
        <f>HYPERLINK("https://www.philgeps.gov.ph/GEPSNONPILOT/Tender/SplashBidNoticeAbstractUI.aspx?menuIndex=3&amp;refID=7011075&amp;Result=3","7011075")</f>
        <v>0</v>
      </c>
      <c r="B14237" t="s">
        <v>249</v>
      </c>
      <c r="C14237" t="s">
        <v>16827</v>
      </c>
      <c r="D14237" t="s">
        <v>18039</v>
      </c>
      <c r="E14237" t="s">
        <v>30463</v>
      </c>
      <c r="F14237" t="s">
        <v>31574</v>
      </c>
      <c r="G14237" t="s">
        <v>31582</v>
      </c>
      <c r="H14237" t="s">
        <v>31591</v>
      </c>
      <c r="I14237" t="s">
        <v>8822</v>
      </c>
      <c r="J14237" t="s">
        <v>40451</v>
      </c>
      <c r="K14237" t="s">
        <v>41243</v>
      </c>
      <c r="M14237" t="s">
        <v>44182</v>
      </c>
      <c r="N14237" t="s">
        <v>45095</v>
      </c>
      <c r="O14237" t="s">
        <v>45096</v>
      </c>
      <c r="P14237">
        <v>0</v>
      </c>
      <c r="Q14237">
        <v>5</v>
      </c>
      <c r="R14237" t="s">
        <v>45117</v>
      </c>
      <c r="S14237" t="s">
        <v>45992</v>
      </c>
      <c r="T14237" t="s">
        <v>47176</v>
      </c>
      <c r="U14237" t="s">
        <v>58957</v>
      </c>
      <c r="V14237" t="s">
        <v>58996</v>
      </c>
      <c r="W14237" t="s">
        <v>44182</v>
      </c>
      <c r="X14237" t="s">
        <v>45118</v>
      </c>
    </row>
    <row r="14238" spans="1:24">
      <c r="A14238">
        <f>HYPERLINK("https://www.philgeps.gov.ph/GEPSNONPILOT/Tender/SplashBidNoticeAbstractUI.aspx?menuIndex=3&amp;refID=7011067&amp;Result=3","7011067")</f>
        <v>0</v>
      </c>
      <c r="B14238" t="s">
        <v>1139</v>
      </c>
      <c r="C14238" t="s">
        <v>16828</v>
      </c>
      <c r="D14238" t="s">
        <v>18023</v>
      </c>
      <c r="E14238" t="s">
        <v>30464</v>
      </c>
      <c r="F14238" t="s">
        <v>31574</v>
      </c>
      <c r="G14238" t="s">
        <v>31582</v>
      </c>
      <c r="H14238" t="s">
        <v>31591</v>
      </c>
      <c r="I14238" t="s">
        <v>8822</v>
      </c>
      <c r="J14238" t="s">
        <v>40452</v>
      </c>
      <c r="K14238" t="s">
        <v>41185</v>
      </c>
      <c r="M14238" t="s">
        <v>42691</v>
      </c>
      <c r="N14238" t="s">
        <v>45095</v>
      </c>
      <c r="O14238" t="s">
        <v>45096</v>
      </c>
      <c r="P14238">
        <v>0</v>
      </c>
      <c r="Q14238">
        <v>26</v>
      </c>
      <c r="R14238" t="s">
        <v>45117</v>
      </c>
      <c r="S14238" t="s">
        <v>45992</v>
      </c>
      <c r="T14238" t="s">
        <v>47154</v>
      </c>
      <c r="U14238" t="s">
        <v>55926</v>
      </c>
      <c r="W14238" t="s">
        <v>42691</v>
      </c>
      <c r="X14238" t="s">
        <v>45118</v>
      </c>
    </row>
    <row r="14239" spans="1:24">
      <c r="A14239">
        <f>HYPERLINK("https://www.philgeps.gov.ph/GEPSNONPILOT/Tender/SplashBidNoticeAbstractUI.aspx?menuIndex=3&amp;refID=7011128&amp;Result=3","7011128")</f>
        <v>0</v>
      </c>
      <c r="B14239" t="s">
        <v>1927</v>
      </c>
      <c r="C14239" t="s">
        <v>16829</v>
      </c>
      <c r="D14239" t="s">
        <v>18039</v>
      </c>
      <c r="E14239" t="s">
        <v>30465</v>
      </c>
      <c r="F14239" t="s">
        <v>31574</v>
      </c>
      <c r="G14239" t="s">
        <v>31582</v>
      </c>
      <c r="H14239" t="s">
        <v>31590</v>
      </c>
      <c r="I14239" t="s">
        <v>4046</v>
      </c>
      <c r="J14239" t="s">
        <v>40453</v>
      </c>
      <c r="K14239" t="s">
        <v>41184</v>
      </c>
      <c r="M14239" t="s">
        <v>43580</v>
      </c>
      <c r="N14239" t="s">
        <v>45095</v>
      </c>
      <c r="O14239" t="s">
        <v>45096</v>
      </c>
      <c r="P14239">
        <v>0</v>
      </c>
      <c r="Q14239">
        <v>1</v>
      </c>
      <c r="R14239" t="s">
        <v>45117</v>
      </c>
      <c r="S14239" t="s">
        <v>45992</v>
      </c>
      <c r="T14239" t="s">
        <v>46913</v>
      </c>
      <c r="U14239" t="s">
        <v>58958</v>
      </c>
      <c r="W14239" t="s">
        <v>43580</v>
      </c>
      <c r="X14239" t="s">
        <v>45118</v>
      </c>
    </row>
    <row r="14240" spans="1:24">
      <c r="A14240">
        <f>HYPERLINK("https://www.philgeps.gov.ph/GEPSNONPILOT/Tender/SplashBidNoticeAbstractUI.aspx?menuIndex=3&amp;refID=7011200&amp;Result=3","7011200")</f>
        <v>0</v>
      </c>
      <c r="B14240" t="s">
        <v>1927</v>
      </c>
      <c r="C14240" t="s">
        <v>16830</v>
      </c>
      <c r="D14240" t="s">
        <v>18039</v>
      </c>
      <c r="E14240" t="s">
        <v>30466</v>
      </c>
      <c r="F14240" t="s">
        <v>31574</v>
      </c>
      <c r="G14240" t="s">
        <v>31582</v>
      </c>
      <c r="H14240" t="s">
        <v>31590</v>
      </c>
      <c r="I14240" t="s">
        <v>7185</v>
      </c>
      <c r="J14240" t="s">
        <v>40454</v>
      </c>
      <c r="K14240" t="s">
        <v>41184</v>
      </c>
      <c r="M14240" t="s">
        <v>43580</v>
      </c>
      <c r="N14240" t="s">
        <v>45095</v>
      </c>
      <c r="O14240" t="s">
        <v>45096</v>
      </c>
      <c r="P14240">
        <v>0</v>
      </c>
      <c r="Q14240">
        <v>8</v>
      </c>
      <c r="R14240" t="s">
        <v>45117</v>
      </c>
      <c r="S14240" t="s">
        <v>45992</v>
      </c>
      <c r="T14240" t="s">
        <v>46913</v>
      </c>
      <c r="U14240" t="s">
        <v>58959</v>
      </c>
      <c r="W14240" t="s">
        <v>43580</v>
      </c>
      <c r="X14240" t="s">
        <v>45118</v>
      </c>
    </row>
    <row r="14241" spans="1:24">
      <c r="A14241">
        <f>HYPERLINK("https://www.philgeps.gov.ph/GEPSNONPILOT/Tender/SplashBidNoticeAbstractUI.aspx?menuIndex=3&amp;refID=7011146&amp;Result=3","7011146")</f>
        <v>0</v>
      </c>
      <c r="B14241" t="s">
        <v>321</v>
      </c>
      <c r="C14241" t="s">
        <v>16831</v>
      </c>
      <c r="D14241" t="s">
        <v>18130</v>
      </c>
      <c r="E14241" t="s">
        <v>30467</v>
      </c>
      <c r="F14241" t="s">
        <v>31574</v>
      </c>
      <c r="G14241" t="s">
        <v>31582</v>
      </c>
      <c r="H14241" t="s">
        <v>31590</v>
      </c>
      <c r="I14241" t="s">
        <v>3651</v>
      </c>
      <c r="J14241" t="s">
        <v>40455</v>
      </c>
      <c r="K14241" t="s">
        <v>41184</v>
      </c>
      <c r="M14241" t="s">
        <v>42164</v>
      </c>
      <c r="N14241" t="s">
        <v>45095</v>
      </c>
      <c r="O14241" t="s">
        <v>45096</v>
      </c>
      <c r="P14241">
        <v>0</v>
      </c>
      <c r="Q14241">
        <v>10</v>
      </c>
      <c r="R14241" t="s">
        <v>45117</v>
      </c>
      <c r="S14241" t="s">
        <v>45992</v>
      </c>
      <c r="T14241" t="s">
        <v>47301</v>
      </c>
      <c r="U14241" t="s">
        <v>58960</v>
      </c>
      <c r="V14241" t="s">
        <v>61437</v>
      </c>
      <c r="W14241" t="s">
        <v>61772</v>
      </c>
      <c r="X14241" t="s">
        <v>45118</v>
      </c>
    </row>
    <row r="14242" spans="1:24">
      <c r="A14242">
        <f>HYPERLINK("https://www.philgeps.gov.ph/GEPSNONPILOT/Tender/SplashBidNoticeAbstractUI.aspx?menuIndex=3&amp;refID=7011167&amp;Result=3","7011167")</f>
        <v>0</v>
      </c>
      <c r="B14242" t="s">
        <v>2751</v>
      </c>
      <c r="C14242" t="s">
        <v>16832</v>
      </c>
      <c r="D14242" t="s">
        <v>18049</v>
      </c>
      <c r="E14242" t="s">
        <v>30468</v>
      </c>
      <c r="F14242" t="s">
        <v>31574</v>
      </c>
      <c r="G14242" t="s">
        <v>31582</v>
      </c>
      <c r="H14242" t="s">
        <v>31591</v>
      </c>
      <c r="I14242" t="s">
        <v>8822</v>
      </c>
      <c r="J14242" t="s">
        <v>40456</v>
      </c>
      <c r="K14242" t="s">
        <v>41196</v>
      </c>
      <c r="M14242" t="s">
        <v>44523</v>
      </c>
      <c r="N14242" t="s">
        <v>45095</v>
      </c>
      <c r="O14242" t="s">
        <v>45096</v>
      </c>
      <c r="P14242">
        <v>0</v>
      </c>
      <c r="Q14242">
        <v>1</v>
      </c>
      <c r="R14242" t="s">
        <v>45117</v>
      </c>
      <c r="S14242" t="s">
        <v>45992</v>
      </c>
      <c r="T14242" t="s">
        <v>47124</v>
      </c>
      <c r="U14242" t="s">
        <v>58961</v>
      </c>
      <c r="W14242" t="s">
        <v>44523</v>
      </c>
      <c r="X14242" t="s">
        <v>45118</v>
      </c>
    </row>
    <row r="14243" spans="1:24">
      <c r="A14243">
        <f>HYPERLINK("https://www.philgeps.gov.ph/GEPSNONPILOT/Tender/SplashBidNoticeAbstractUI.aspx?menuIndex=3&amp;refID=7011168&amp;Result=3","7011168")</f>
        <v>0</v>
      </c>
      <c r="B14243" t="s">
        <v>2298</v>
      </c>
      <c r="C14243" t="s">
        <v>5396</v>
      </c>
      <c r="D14243" t="s">
        <v>18095</v>
      </c>
      <c r="E14243" t="s">
        <v>30469</v>
      </c>
      <c r="F14243" t="s">
        <v>31574</v>
      </c>
      <c r="G14243" t="s">
        <v>31581</v>
      </c>
      <c r="H14243" t="s">
        <v>31591</v>
      </c>
      <c r="I14243" t="s">
        <v>31663</v>
      </c>
      <c r="J14243" t="s">
        <v>40457</v>
      </c>
      <c r="K14243" t="s">
        <v>41200</v>
      </c>
      <c r="M14243" t="s">
        <v>44007</v>
      </c>
      <c r="N14243" t="s">
        <v>45095</v>
      </c>
      <c r="O14243" t="s">
        <v>45096</v>
      </c>
      <c r="P14243">
        <v>0</v>
      </c>
      <c r="Q14243">
        <v>7</v>
      </c>
      <c r="R14243" t="s">
        <v>45117</v>
      </c>
      <c r="S14243" t="s">
        <v>45992</v>
      </c>
      <c r="T14243" t="s">
        <v>46954</v>
      </c>
      <c r="U14243" t="s">
        <v>58962</v>
      </c>
      <c r="W14243" t="s">
        <v>44007</v>
      </c>
      <c r="X14243" t="s">
        <v>45118</v>
      </c>
    </row>
    <row r="14244" spans="1:24">
      <c r="A14244">
        <f>HYPERLINK("https://www.philgeps.gov.ph/GEPSNONPILOT/Tender/SplashBidNoticeAbstractUI.aspx?menuIndex=3&amp;refID=7011126&amp;Result=3","7011126")</f>
        <v>0</v>
      </c>
      <c r="B14244" t="s">
        <v>2298</v>
      </c>
      <c r="C14244" t="s">
        <v>16833</v>
      </c>
      <c r="D14244" t="s">
        <v>18095</v>
      </c>
      <c r="E14244" t="s">
        <v>30470</v>
      </c>
      <c r="F14244" t="s">
        <v>31574</v>
      </c>
      <c r="G14244" t="s">
        <v>31582</v>
      </c>
      <c r="H14244" t="s">
        <v>31590</v>
      </c>
      <c r="I14244" t="s">
        <v>3901</v>
      </c>
      <c r="J14244" t="s">
        <v>32869</v>
      </c>
      <c r="K14244" t="s">
        <v>41185</v>
      </c>
      <c r="M14244" t="s">
        <v>44007</v>
      </c>
      <c r="N14244" t="s">
        <v>45095</v>
      </c>
      <c r="O14244" t="s">
        <v>45096</v>
      </c>
      <c r="Q14244">
        <v>10</v>
      </c>
      <c r="R14244" t="s">
        <v>45117</v>
      </c>
      <c r="S14244" t="s">
        <v>46018</v>
      </c>
      <c r="T14244" t="s">
        <v>46932</v>
      </c>
      <c r="U14244" t="s">
        <v>58963</v>
      </c>
      <c r="W14244" t="s">
        <v>44007</v>
      </c>
      <c r="X14244" t="s">
        <v>45118</v>
      </c>
    </row>
    <row r="14245" spans="1:24">
      <c r="A14245">
        <f>HYPERLINK("https://www.philgeps.gov.ph/GEPSNONPILOT/Tender/SplashBidNoticeAbstractUI.aspx?menuIndex=3&amp;refID=7011265&amp;Result=3","7011265")</f>
        <v>0</v>
      </c>
      <c r="B14245" t="s">
        <v>2852</v>
      </c>
      <c r="C14245" t="s">
        <v>16834</v>
      </c>
      <c r="D14245" t="s">
        <v>18065</v>
      </c>
      <c r="E14245" t="s">
        <v>30471</v>
      </c>
      <c r="F14245" t="s">
        <v>31574</v>
      </c>
      <c r="G14245" t="s">
        <v>31582</v>
      </c>
      <c r="H14245" t="s">
        <v>31590</v>
      </c>
      <c r="I14245" t="s">
        <v>4327</v>
      </c>
      <c r="J14245" t="s">
        <v>40458</v>
      </c>
      <c r="K14245" t="s">
        <v>41186</v>
      </c>
      <c r="M14245" t="s">
        <v>44639</v>
      </c>
      <c r="N14245" t="s">
        <v>45095</v>
      </c>
      <c r="O14245" t="s">
        <v>45096</v>
      </c>
      <c r="P14245">
        <v>0</v>
      </c>
      <c r="Q14245">
        <v>2</v>
      </c>
      <c r="R14245" t="s">
        <v>45117</v>
      </c>
      <c r="S14245" t="s">
        <v>45992</v>
      </c>
      <c r="T14245" t="s">
        <v>47076</v>
      </c>
      <c r="U14245" t="s">
        <v>58964</v>
      </c>
      <c r="W14245" t="s">
        <v>44639</v>
      </c>
      <c r="X14245" t="s">
        <v>45118</v>
      </c>
    </row>
    <row r="14246" spans="1:24">
      <c r="A14246">
        <f>HYPERLINK("https://www.philgeps.gov.ph/GEPSNONPILOT/Tender/SplashBidNoticeAbstractUI.aspx?menuIndex=3&amp;refID=7011253&amp;Result=3","7011253")</f>
        <v>0</v>
      </c>
      <c r="B14246" t="s">
        <v>683</v>
      </c>
      <c r="C14246" t="s">
        <v>16835</v>
      </c>
      <c r="D14246" t="s">
        <v>18059</v>
      </c>
      <c r="E14246" t="s">
        <v>30472</v>
      </c>
      <c r="F14246" t="s">
        <v>31574</v>
      </c>
      <c r="G14246" t="s">
        <v>31582</v>
      </c>
      <c r="H14246" t="s">
        <v>31591</v>
      </c>
      <c r="I14246" t="s">
        <v>8822</v>
      </c>
      <c r="J14246" t="s">
        <v>34743</v>
      </c>
      <c r="K14246" t="s">
        <v>41184</v>
      </c>
      <c r="M14246" t="s">
        <v>42190</v>
      </c>
      <c r="N14246" t="s">
        <v>45095</v>
      </c>
      <c r="O14246" t="s">
        <v>45096</v>
      </c>
      <c r="P14246">
        <v>0</v>
      </c>
      <c r="Q14246">
        <v>0</v>
      </c>
      <c r="R14246" t="s">
        <v>45117</v>
      </c>
      <c r="S14246" t="s">
        <v>45992</v>
      </c>
      <c r="T14246" t="s">
        <v>47159</v>
      </c>
      <c r="U14246" t="s">
        <v>58965</v>
      </c>
      <c r="W14246" t="s">
        <v>42190</v>
      </c>
      <c r="X14246" t="s">
        <v>45118</v>
      </c>
    </row>
    <row r="14247" spans="1:24">
      <c r="A14247">
        <f>HYPERLINK("https://www.philgeps.gov.ph/GEPSNONPILOT/Tender/SplashBidNoticeAbstractUI.aspx?menuIndex=3&amp;refID=7011218&amp;Result=3","7011218")</f>
        <v>0</v>
      </c>
      <c r="B14247" t="s">
        <v>479</v>
      </c>
      <c r="C14247" t="s">
        <v>16836</v>
      </c>
      <c r="D14247" t="s">
        <v>18079</v>
      </c>
      <c r="E14247" t="s">
        <v>30473</v>
      </c>
      <c r="F14247" t="s">
        <v>31574</v>
      </c>
      <c r="G14247" t="s">
        <v>31582</v>
      </c>
      <c r="H14247" t="s">
        <v>31590</v>
      </c>
      <c r="I14247" t="s">
        <v>31689</v>
      </c>
      <c r="J14247" t="s">
        <v>40459</v>
      </c>
      <c r="K14247" t="s">
        <v>41184</v>
      </c>
      <c r="M14247" t="s">
        <v>42243</v>
      </c>
      <c r="N14247" t="s">
        <v>45095</v>
      </c>
      <c r="O14247" t="s">
        <v>45096</v>
      </c>
      <c r="Q14247">
        <v>3</v>
      </c>
      <c r="R14247" t="s">
        <v>45117</v>
      </c>
      <c r="S14247" t="s">
        <v>46019</v>
      </c>
      <c r="T14247" t="s">
        <v>47154</v>
      </c>
      <c r="U14247" t="s">
        <v>58966</v>
      </c>
      <c r="V14247" t="s">
        <v>61438</v>
      </c>
      <c r="W14247" t="s">
        <v>42243</v>
      </c>
      <c r="X14247" t="s">
        <v>45118</v>
      </c>
    </row>
    <row r="14248" spans="1:24">
      <c r="A14248">
        <f>HYPERLINK("https://www.philgeps.gov.ph/GEPSNONPILOT/Tender/SplashBidNoticeAbstractUI.aspx?menuIndex=3&amp;refID=7011095&amp;Result=3","7011095")</f>
        <v>0</v>
      </c>
      <c r="B14248" t="s">
        <v>2424</v>
      </c>
      <c r="C14248" t="s">
        <v>16837</v>
      </c>
      <c r="E14248" t="s">
        <v>30474</v>
      </c>
      <c r="F14248" t="s">
        <v>31574</v>
      </c>
      <c r="G14248" t="s">
        <v>31582</v>
      </c>
      <c r="H14248" t="s">
        <v>31591</v>
      </c>
      <c r="I14248" t="s">
        <v>8822</v>
      </c>
      <c r="J14248" t="s">
        <v>40460</v>
      </c>
      <c r="K14248" t="s">
        <v>41267</v>
      </c>
      <c r="M14248" t="s">
        <v>44956</v>
      </c>
      <c r="N14248" t="s">
        <v>45095</v>
      </c>
      <c r="O14248" t="s">
        <v>45096</v>
      </c>
      <c r="Q14248">
        <v>11</v>
      </c>
      <c r="R14248" t="s">
        <v>45117</v>
      </c>
      <c r="S14248" t="s">
        <v>46020</v>
      </c>
      <c r="T14248" t="s">
        <v>47159</v>
      </c>
      <c r="U14248" t="s">
        <v>58967</v>
      </c>
      <c r="W14248" t="s">
        <v>44956</v>
      </c>
      <c r="X14248" t="s">
        <v>45118</v>
      </c>
    </row>
    <row r="14249" spans="1:24">
      <c r="A14249">
        <f>HYPERLINK("https://www.philgeps.gov.ph/GEPSNONPILOT/Tender/SplashBidNoticeAbstractUI.aspx?menuIndex=3&amp;refID=7011242&amp;Result=3","7011242")</f>
        <v>0</v>
      </c>
      <c r="B14249" t="s">
        <v>2298</v>
      </c>
      <c r="C14249" t="s">
        <v>16838</v>
      </c>
      <c r="D14249" t="s">
        <v>18095</v>
      </c>
      <c r="E14249" t="s">
        <v>30475</v>
      </c>
      <c r="F14249" t="s">
        <v>31574</v>
      </c>
      <c r="G14249" t="s">
        <v>31582</v>
      </c>
      <c r="H14249" t="s">
        <v>31591</v>
      </c>
      <c r="I14249" t="s">
        <v>8822</v>
      </c>
      <c r="J14249" t="s">
        <v>40461</v>
      </c>
      <c r="K14249" t="s">
        <v>41252</v>
      </c>
      <c r="M14249" t="s">
        <v>44007</v>
      </c>
      <c r="N14249" t="s">
        <v>45095</v>
      </c>
      <c r="O14249" t="s">
        <v>45096</v>
      </c>
      <c r="P14249">
        <v>0</v>
      </c>
      <c r="Q14249">
        <v>4</v>
      </c>
      <c r="R14249" t="s">
        <v>45117</v>
      </c>
      <c r="S14249" t="s">
        <v>45992</v>
      </c>
      <c r="T14249" t="s">
        <v>47198</v>
      </c>
      <c r="U14249" t="s">
        <v>58968</v>
      </c>
      <c r="V14249" t="s">
        <v>61439</v>
      </c>
      <c r="W14249" t="s">
        <v>44007</v>
      </c>
      <c r="X14249" t="s">
        <v>45118</v>
      </c>
    </row>
    <row r="14250" spans="1:24">
      <c r="A14250">
        <f>HYPERLINK("https://www.philgeps.gov.ph/GEPSNONPILOT/Tender/SplashBidNoticeAbstractUI.aspx?menuIndex=3&amp;refID=7011231&amp;Result=3","7011231")</f>
        <v>0</v>
      </c>
      <c r="B14250" t="s">
        <v>1733</v>
      </c>
      <c r="C14250" t="s">
        <v>16839</v>
      </c>
      <c r="D14250" t="s">
        <v>18040</v>
      </c>
      <c r="E14250" t="s">
        <v>30476</v>
      </c>
      <c r="F14250" t="s">
        <v>31574</v>
      </c>
      <c r="G14250" t="s">
        <v>31582</v>
      </c>
      <c r="H14250" t="s">
        <v>31591</v>
      </c>
      <c r="I14250" t="s">
        <v>8822</v>
      </c>
      <c r="J14250" t="s">
        <v>34707</v>
      </c>
      <c r="K14250" t="s">
        <v>41200</v>
      </c>
      <c r="M14250" t="s">
        <v>43352</v>
      </c>
      <c r="N14250" t="s">
        <v>45095</v>
      </c>
      <c r="O14250" t="s">
        <v>45096</v>
      </c>
      <c r="P14250">
        <v>0</v>
      </c>
      <c r="Q14250">
        <v>3</v>
      </c>
      <c r="R14250" t="s">
        <v>45117</v>
      </c>
      <c r="S14250" t="s">
        <v>45992</v>
      </c>
      <c r="T14250" t="s">
        <v>47171</v>
      </c>
      <c r="U14250" t="s">
        <v>58969</v>
      </c>
      <c r="W14250" t="s">
        <v>43352</v>
      </c>
      <c r="X14250" t="s">
        <v>45118</v>
      </c>
    </row>
    <row r="14251" spans="1:24">
      <c r="A14251">
        <f>HYPERLINK("https://www.philgeps.gov.ph/GEPSNONPILOT/Tender/SplashBidNoticeAbstractUI.aspx?menuIndex=3&amp;refID=7011149&amp;Result=3","7011149")</f>
        <v>0</v>
      </c>
      <c r="B14251" t="s">
        <v>1733</v>
      </c>
      <c r="C14251" t="s">
        <v>16840</v>
      </c>
      <c r="D14251" t="s">
        <v>18040</v>
      </c>
      <c r="E14251" t="s">
        <v>30477</v>
      </c>
      <c r="F14251" t="s">
        <v>31574</v>
      </c>
      <c r="G14251" t="s">
        <v>31582</v>
      </c>
      <c r="H14251" t="s">
        <v>31591</v>
      </c>
      <c r="I14251" t="s">
        <v>8822</v>
      </c>
      <c r="J14251" t="s">
        <v>31730</v>
      </c>
      <c r="K14251" t="s">
        <v>41287</v>
      </c>
      <c r="M14251" t="s">
        <v>44606</v>
      </c>
      <c r="N14251" t="s">
        <v>45095</v>
      </c>
      <c r="O14251" t="s">
        <v>45096</v>
      </c>
      <c r="P14251">
        <v>0</v>
      </c>
      <c r="Q14251">
        <v>1</v>
      </c>
      <c r="R14251" t="s">
        <v>45117</v>
      </c>
      <c r="S14251" t="s">
        <v>45992</v>
      </c>
      <c r="T14251" t="s">
        <v>47171</v>
      </c>
      <c r="U14251" t="s">
        <v>58970</v>
      </c>
      <c r="W14251" t="s">
        <v>44606</v>
      </c>
      <c r="X14251" t="s">
        <v>45118</v>
      </c>
    </row>
    <row r="14252" spans="1:24">
      <c r="A14252">
        <f>HYPERLINK("https://www.philgeps.gov.ph/GEPSNONPILOT/Tender/SplashBidNoticeAbstractUI.aspx?menuIndex=3&amp;refID=7011258&amp;Result=3","7011258")</f>
        <v>0</v>
      </c>
      <c r="B14252" t="s">
        <v>1927</v>
      </c>
      <c r="C14252" t="s">
        <v>16841</v>
      </c>
      <c r="D14252" t="s">
        <v>18039</v>
      </c>
      <c r="E14252" t="s">
        <v>30478</v>
      </c>
      <c r="F14252" t="s">
        <v>31574</v>
      </c>
      <c r="G14252" t="s">
        <v>31582</v>
      </c>
      <c r="H14252" t="s">
        <v>31590</v>
      </c>
      <c r="I14252" t="s">
        <v>5717</v>
      </c>
      <c r="J14252" t="s">
        <v>40462</v>
      </c>
      <c r="K14252" t="s">
        <v>41184</v>
      </c>
      <c r="M14252" t="s">
        <v>43580</v>
      </c>
      <c r="N14252" t="s">
        <v>45095</v>
      </c>
      <c r="O14252" t="s">
        <v>45096</v>
      </c>
      <c r="Q14252">
        <v>11</v>
      </c>
      <c r="R14252" t="s">
        <v>45117</v>
      </c>
      <c r="S14252" t="s">
        <v>46021</v>
      </c>
      <c r="T14252" t="s">
        <v>46913</v>
      </c>
      <c r="U14252" t="s">
        <v>58971</v>
      </c>
      <c r="W14252" t="s">
        <v>43580</v>
      </c>
      <c r="X14252" t="s">
        <v>45118</v>
      </c>
    </row>
    <row r="14253" spans="1:24">
      <c r="A14253">
        <f>HYPERLINK("https://www.philgeps.gov.ph/GEPSNONPILOT/Tender/SplashBidNoticeAbstractUI.aspx?menuIndex=3&amp;refID=7011239&amp;Result=3","7011239")</f>
        <v>0</v>
      </c>
      <c r="B14253" t="s">
        <v>91</v>
      </c>
      <c r="C14253" t="s">
        <v>16842</v>
      </c>
      <c r="D14253" t="s">
        <v>18060</v>
      </c>
      <c r="E14253" t="s">
        <v>30479</v>
      </c>
      <c r="F14253" t="s">
        <v>31574</v>
      </c>
      <c r="G14253" t="s">
        <v>31582</v>
      </c>
      <c r="H14253" t="s">
        <v>31591</v>
      </c>
      <c r="I14253" t="s">
        <v>8822</v>
      </c>
      <c r="J14253" t="s">
        <v>40463</v>
      </c>
      <c r="K14253" t="s">
        <v>41200</v>
      </c>
      <c r="M14253" t="s">
        <v>42330</v>
      </c>
      <c r="N14253" t="s">
        <v>45095</v>
      </c>
      <c r="O14253" t="s">
        <v>45096</v>
      </c>
      <c r="P14253">
        <v>0</v>
      </c>
      <c r="Q14253">
        <v>0</v>
      </c>
      <c r="R14253" t="s">
        <v>45117</v>
      </c>
      <c r="S14253" t="s">
        <v>45992</v>
      </c>
      <c r="T14253" t="s">
        <v>47067</v>
      </c>
      <c r="U14253" t="s">
        <v>58972</v>
      </c>
      <c r="W14253" t="s">
        <v>42330</v>
      </c>
      <c r="X14253" t="s">
        <v>45118</v>
      </c>
    </row>
    <row r="14254" spans="1:24">
      <c r="A14254">
        <f>HYPERLINK("https://www.philgeps.gov.ph/GEPSNONPILOT/Tender/SplashBidNoticeAbstractUI.aspx?menuIndex=3&amp;refID=7011150&amp;Result=3","7011150")</f>
        <v>0</v>
      </c>
      <c r="B14254" t="s">
        <v>1860</v>
      </c>
      <c r="C14254" t="s">
        <v>16843</v>
      </c>
      <c r="D14254" t="s">
        <v>18058</v>
      </c>
      <c r="E14254" t="s">
        <v>30480</v>
      </c>
      <c r="F14254" t="s">
        <v>31574</v>
      </c>
      <c r="G14254" t="s">
        <v>31582</v>
      </c>
      <c r="H14254" t="s">
        <v>31591</v>
      </c>
      <c r="I14254" t="s">
        <v>8822</v>
      </c>
      <c r="J14254" t="s">
        <v>40464</v>
      </c>
      <c r="K14254" t="s">
        <v>41198</v>
      </c>
      <c r="M14254" t="s">
        <v>43498</v>
      </c>
      <c r="N14254" t="s">
        <v>45095</v>
      </c>
      <c r="O14254" t="s">
        <v>45096</v>
      </c>
      <c r="Q14254">
        <v>2</v>
      </c>
      <c r="R14254" t="s">
        <v>45117</v>
      </c>
      <c r="S14254" t="s">
        <v>46022</v>
      </c>
      <c r="T14254" t="s">
        <v>47164</v>
      </c>
      <c r="U14254" t="s">
        <v>58112</v>
      </c>
      <c r="W14254" t="s">
        <v>43498</v>
      </c>
      <c r="X14254" t="s">
        <v>45118</v>
      </c>
    </row>
    <row r="14255" spans="1:24">
      <c r="A14255">
        <f>HYPERLINK("https://www.philgeps.gov.ph/GEPSNONPILOT/Tender/SplashBidNoticeAbstractUI.aspx?menuIndex=3&amp;refID=7011316&amp;Result=3","7011316")</f>
        <v>0</v>
      </c>
      <c r="B14255" t="s">
        <v>1305</v>
      </c>
      <c r="C14255" t="s">
        <v>16844</v>
      </c>
      <c r="D14255" t="s">
        <v>18101</v>
      </c>
      <c r="E14255" t="s">
        <v>30481</v>
      </c>
      <c r="F14255" t="s">
        <v>31574</v>
      </c>
      <c r="G14255" t="s">
        <v>31582</v>
      </c>
      <c r="H14255" t="s">
        <v>31591</v>
      </c>
      <c r="I14255" t="s">
        <v>8822</v>
      </c>
      <c r="J14255" t="s">
        <v>40465</v>
      </c>
      <c r="K14255" t="s">
        <v>41290</v>
      </c>
      <c r="M14255" t="s">
        <v>42875</v>
      </c>
      <c r="N14255" t="s">
        <v>45095</v>
      </c>
      <c r="O14255" t="s">
        <v>45096</v>
      </c>
      <c r="P14255">
        <v>0</v>
      </c>
      <c r="Q14255">
        <v>0</v>
      </c>
      <c r="R14255" t="s">
        <v>45117</v>
      </c>
      <c r="S14255" t="s">
        <v>45992</v>
      </c>
      <c r="T14255" t="s">
        <v>47154</v>
      </c>
      <c r="U14255" t="s">
        <v>58973</v>
      </c>
      <c r="W14255" t="s">
        <v>42875</v>
      </c>
      <c r="X14255" t="s">
        <v>45118</v>
      </c>
    </row>
    <row r="14256" spans="1:24">
      <c r="A14256">
        <f>HYPERLINK("https://www.philgeps.gov.ph/GEPSNONPILOT/Tender/SplashBidNoticeAbstractUI.aspx?menuIndex=3&amp;refID=7011275&amp;Result=3","7011275")</f>
        <v>0</v>
      </c>
      <c r="B14256" t="s">
        <v>114</v>
      </c>
      <c r="C14256" t="s">
        <v>16845</v>
      </c>
      <c r="D14256" t="s">
        <v>18067</v>
      </c>
      <c r="E14256" t="s">
        <v>30482</v>
      </c>
      <c r="F14256" t="s">
        <v>31574</v>
      </c>
      <c r="G14256" t="s">
        <v>31582</v>
      </c>
      <c r="H14256" t="s">
        <v>31590</v>
      </c>
      <c r="I14256" t="s">
        <v>3651</v>
      </c>
      <c r="J14256" t="s">
        <v>32333</v>
      </c>
      <c r="K14256" t="s">
        <v>41186</v>
      </c>
      <c r="M14256" t="s">
        <v>41598</v>
      </c>
      <c r="N14256" t="s">
        <v>45095</v>
      </c>
      <c r="O14256" t="s">
        <v>45096</v>
      </c>
      <c r="P14256">
        <v>0</v>
      </c>
      <c r="Q14256">
        <v>0</v>
      </c>
      <c r="R14256" t="s">
        <v>45117</v>
      </c>
      <c r="S14256" t="s">
        <v>45992</v>
      </c>
      <c r="T14256" t="s">
        <v>47076</v>
      </c>
      <c r="U14256" t="s">
        <v>58974</v>
      </c>
      <c r="V14256" t="s">
        <v>61440</v>
      </c>
      <c r="W14256" t="s">
        <v>41598</v>
      </c>
      <c r="X14256" t="s">
        <v>45118</v>
      </c>
    </row>
    <row r="14257" spans="1:24">
      <c r="A14257">
        <f>HYPERLINK("https://www.philgeps.gov.ph/GEPSNONPILOT/Tender/SplashBidNoticeAbstractUI.aspx?menuIndex=3&amp;refID=7011322&amp;Result=3","7011322")</f>
        <v>0</v>
      </c>
      <c r="B14257" t="s">
        <v>176</v>
      </c>
      <c r="C14257" t="s">
        <v>16846</v>
      </c>
      <c r="D14257" t="s">
        <v>18059</v>
      </c>
      <c r="E14257" t="s">
        <v>30483</v>
      </c>
      <c r="F14257" t="s">
        <v>31574</v>
      </c>
      <c r="G14257" t="s">
        <v>31582</v>
      </c>
      <c r="H14257" t="s">
        <v>31590</v>
      </c>
      <c r="I14257" t="s">
        <v>4046</v>
      </c>
      <c r="J14257" t="s">
        <v>40466</v>
      </c>
      <c r="K14257" t="s">
        <v>41193</v>
      </c>
      <c r="M14257" t="s">
        <v>41660</v>
      </c>
      <c r="N14257" t="s">
        <v>45095</v>
      </c>
      <c r="O14257" t="s">
        <v>45096</v>
      </c>
      <c r="P14257">
        <v>0</v>
      </c>
      <c r="Q14257">
        <v>0</v>
      </c>
      <c r="R14257" t="s">
        <v>45117</v>
      </c>
      <c r="S14257" t="s">
        <v>45992</v>
      </c>
      <c r="T14257" t="s">
        <v>47197</v>
      </c>
      <c r="U14257" t="s">
        <v>58975</v>
      </c>
      <c r="W14257" t="s">
        <v>41660</v>
      </c>
      <c r="X14257" t="s">
        <v>45118</v>
      </c>
    </row>
    <row r="14258" spans="1:24">
      <c r="A14258">
        <f>HYPERLINK("https://www.philgeps.gov.ph/GEPSNONPILOT/Tender/SplashBidNoticeAbstractUI.aspx?menuIndex=3&amp;refID=7011292&amp;Result=3","7011292")</f>
        <v>0</v>
      </c>
      <c r="B14258" t="s">
        <v>176</v>
      </c>
      <c r="C14258" t="s">
        <v>16847</v>
      </c>
      <c r="D14258" t="s">
        <v>18059</v>
      </c>
      <c r="E14258" t="s">
        <v>30484</v>
      </c>
      <c r="F14258" t="s">
        <v>31574</v>
      </c>
      <c r="G14258" t="s">
        <v>31582</v>
      </c>
      <c r="H14258" t="s">
        <v>31590</v>
      </c>
      <c r="I14258" t="s">
        <v>4046</v>
      </c>
      <c r="J14258" t="s">
        <v>40467</v>
      </c>
      <c r="K14258" t="s">
        <v>41193</v>
      </c>
      <c r="M14258" t="s">
        <v>41660</v>
      </c>
      <c r="N14258" t="s">
        <v>45095</v>
      </c>
      <c r="O14258" t="s">
        <v>45096</v>
      </c>
      <c r="P14258">
        <v>0</v>
      </c>
      <c r="Q14258">
        <v>0</v>
      </c>
      <c r="R14258" t="s">
        <v>45117</v>
      </c>
      <c r="S14258" t="s">
        <v>45992</v>
      </c>
      <c r="T14258" t="s">
        <v>47197</v>
      </c>
      <c r="U14258" t="s">
        <v>58976</v>
      </c>
      <c r="W14258" t="s">
        <v>41660</v>
      </c>
      <c r="X14258" t="s">
        <v>45118</v>
      </c>
    </row>
    <row r="14259" spans="1:24">
      <c r="A14259">
        <f>HYPERLINK("https://www.philgeps.gov.ph/GEPSNONPILOT/Tender/SplashBidNoticeAbstractUI.aspx?menuIndex=3&amp;refID=7011320&amp;Result=3","7011320")</f>
        <v>0</v>
      </c>
      <c r="B14259" t="s">
        <v>3066</v>
      </c>
      <c r="C14259" t="s">
        <v>16848</v>
      </c>
      <c r="D14259" t="s">
        <v>18046</v>
      </c>
      <c r="E14259" t="s">
        <v>30110</v>
      </c>
      <c r="F14259" t="s">
        <v>31575</v>
      </c>
      <c r="G14259" t="s">
        <v>31582</v>
      </c>
      <c r="H14259" t="s">
        <v>31591</v>
      </c>
      <c r="I14259" t="s">
        <v>8822</v>
      </c>
      <c r="J14259" t="s">
        <v>32550</v>
      </c>
      <c r="K14259" t="s">
        <v>41298</v>
      </c>
      <c r="M14259" t="s">
        <v>44909</v>
      </c>
      <c r="N14259" t="s">
        <v>45095</v>
      </c>
      <c r="O14259" t="s">
        <v>45096</v>
      </c>
      <c r="P14259">
        <v>0</v>
      </c>
      <c r="Q14259">
        <v>4</v>
      </c>
      <c r="R14259" t="s">
        <v>45117</v>
      </c>
      <c r="S14259" t="s">
        <v>45992</v>
      </c>
      <c r="T14259" t="s">
        <v>47434</v>
      </c>
      <c r="U14259" t="s">
        <v>58977</v>
      </c>
      <c r="V14259" t="s">
        <v>61441</v>
      </c>
      <c r="W14259" t="s">
        <v>44909</v>
      </c>
      <c r="X14259" t="s">
        <v>45118</v>
      </c>
    </row>
    <row r="14260" spans="1:24">
      <c r="A14260">
        <f>HYPERLINK("https://www.philgeps.gov.ph/GEPSNONPILOT/Tender/SplashBidNoticeAbstractUI.aspx?menuIndex=3&amp;refID=7011325&amp;Result=3","7011325")</f>
        <v>0</v>
      </c>
      <c r="B14260" t="s">
        <v>3110</v>
      </c>
      <c r="C14260" t="s">
        <v>16849</v>
      </c>
      <c r="D14260" t="s">
        <v>18039</v>
      </c>
      <c r="E14260" t="s">
        <v>24580</v>
      </c>
      <c r="F14260" t="s">
        <v>31574</v>
      </c>
      <c r="G14260" t="s">
        <v>31582</v>
      </c>
      <c r="H14260" t="s">
        <v>31591</v>
      </c>
      <c r="I14260" t="s">
        <v>8822</v>
      </c>
      <c r="J14260" t="s">
        <v>40468</v>
      </c>
      <c r="K14260" t="s">
        <v>41189</v>
      </c>
      <c r="M14260" t="s">
        <v>44957</v>
      </c>
      <c r="N14260" t="s">
        <v>45095</v>
      </c>
      <c r="O14260" t="s">
        <v>45096</v>
      </c>
      <c r="P14260">
        <v>0</v>
      </c>
      <c r="Q14260">
        <v>0</v>
      </c>
      <c r="R14260" t="s">
        <v>45117</v>
      </c>
      <c r="S14260" t="s">
        <v>45992</v>
      </c>
      <c r="T14260" t="s">
        <v>46985</v>
      </c>
      <c r="U14260" t="s">
        <v>58978</v>
      </c>
      <c r="W14260" t="s">
        <v>44957</v>
      </c>
      <c r="X14260" t="s">
        <v>45118</v>
      </c>
    </row>
    <row r="14261" spans="1:24">
      <c r="A14261">
        <f>HYPERLINK("https://www.philgeps.gov.ph/GEPSNONPILOT/Tender/SplashBidNoticeAbstractUI.aspx?menuIndex=3&amp;refID=7011490&amp;Result=3","7011490")</f>
        <v>0</v>
      </c>
      <c r="B14261" t="s">
        <v>3061</v>
      </c>
      <c r="C14261" t="s">
        <v>16850</v>
      </c>
      <c r="D14261" t="s">
        <v>18101</v>
      </c>
      <c r="E14261" t="s">
        <v>30485</v>
      </c>
      <c r="F14261" t="s">
        <v>31574</v>
      </c>
      <c r="G14261" t="s">
        <v>31582</v>
      </c>
      <c r="H14261" t="s">
        <v>31590</v>
      </c>
      <c r="I14261" t="s">
        <v>31607</v>
      </c>
      <c r="J14261" t="s">
        <v>40469</v>
      </c>
      <c r="K14261" t="s">
        <v>41202</v>
      </c>
      <c r="M14261" t="s">
        <v>44900</v>
      </c>
      <c r="N14261" t="s">
        <v>45095</v>
      </c>
      <c r="O14261" t="s">
        <v>45096</v>
      </c>
      <c r="Q14261">
        <v>3</v>
      </c>
      <c r="R14261" t="s">
        <v>45117</v>
      </c>
      <c r="S14261" t="s">
        <v>46023</v>
      </c>
      <c r="T14261" t="s">
        <v>46932</v>
      </c>
      <c r="U14261" t="s">
        <v>58601</v>
      </c>
      <c r="W14261" t="s">
        <v>44900</v>
      </c>
      <c r="X14261" t="s">
        <v>45118</v>
      </c>
    </row>
    <row r="14262" spans="1:24">
      <c r="A14262">
        <f>HYPERLINK("https://www.philgeps.gov.ph/GEPSNONPILOT/Tender/SplashBidNoticeAbstractUI.aspx?menuIndex=3&amp;refID=7011315&amp;Result=3","7011315")</f>
        <v>0</v>
      </c>
      <c r="B14262" t="s">
        <v>1927</v>
      </c>
      <c r="C14262" t="s">
        <v>16851</v>
      </c>
      <c r="D14262" t="s">
        <v>18039</v>
      </c>
      <c r="E14262" t="s">
        <v>30486</v>
      </c>
      <c r="F14262" t="s">
        <v>31574</v>
      </c>
      <c r="G14262" t="s">
        <v>31582</v>
      </c>
      <c r="H14262" t="s">
        <v>31591</v>
      </c>
      <c r="I14262" t="s">
        <v>8822</v>
      </c>
      <c r="J14262" t="s">
        <v>40470</v>
      </c>
      <c r="K14262" t="s">
        <v>41184</v>
      </c>
      <c r="M14262" t="s">
        <v>43580</v>
      </c>
      <c r="N14262" t="s">
        <v>45095</v>
      </c>
      <c r="O14262" t="s">
        <v>45096</v>
      </c>
      <c r="Q14262">
        <v>3</v>
      </c>
      <c r="R14262" t="s">
        <v>45117</v>
      </c>
      <c r="S14262" t="s">
        <v>46024</v>
      </c>
      <c r="T14262" t="s">
        <v>46911</v>
      </c>
      <c r="U14262" t="s">
        <v>58979</v>
      </c>
      <c r="W14262" t="s">
        <v>43580</v>
      </c>
      <c r="X14262" t="s">
        <v>45118</v>
      </c>
    </row>
    <row r="14263" spans="1:24">
      <c r="A14263">
        <f>HYPERLINK("https://www.philgeps.gov.ph/GEPSNONPILOT/Tender/SplashBidNoticeAbstractUI.aspx?menuIndex=3&amp;refID=7011472&amp;Result=3","7011472")</f>
        <v>0</v>
      </c>
      <c r="B14263" t="s">
        <v>1351</v>
      </c>
      <c r="C14263" t="s">
        <v>16852</v>
      </c>
      <c r="D14263" t="s">
        <v>18043</v>
      </c>
      <c r="E14263" t="s">
        <v>30487</v>
      </c>
      <c r="F14263" t="s">
        <v>31574</v>
      </c>
      <c r="G14263" t="s">
        <v>31582</v>
      </c>
      <c r="H14263" t="s">
        <v>31590</v>
      </c>
      <c r="I14263" t="s">
        <v>3901</v>
      </c>
      <c r="J14263" t="s">
        <v>31935</v>
      </c>
      <c r="K14263" t="s">
        <v>41186</v>
      </c>
      <c r="M14263" t="s">
        <v>42923</v>
      </c>
      <c r="N14263" t="s">
        <v>45095</v>
      </c>
      <c r="O14263" t="s">
        <v>45096</v>
      </c>
      <c r="P14263">
        <v>0</v>
      </c>
      <c r="Q14263">
        <v>0</v>
      </c>
      <c r="R14263" t="s">
        <v>45117</v>
      </c>
      <c r="S14263" t="s">
        <v>45992</v>
      </c>
      <c r="T14263" t="s">
        <v>47183</v>
      </c>
      <c r="U14263" t="s">
        <v>58980</v>
      </c>
      <c r="W14263" t="s">
        <v>42923</v>
      </c>
      <c r="X14263" t="s">
        <v>45118</v>
      </c>
    </row>
    <row r="14264" spans="1:24">
      <c r="A14264">
        <f>HYPERLINK("https://www.philgeps.gov.ph/GEPSNONPILOT/Tender/SplashBidNoticeAbstractUI.aspx?menuIndex=3&amp;refID=7011465&amp;Result=3","7011465")</f>
        <v>0</v>
      </c>
      <c r="B14264" t="s">
        <v>3111</v>
      </c>
      <c r="C14264" t="s">
        <v>16853</v>
      </c>
      <c r="D14264" t="s">
        <v>18108</v>
      </c>
      <c r="E14264" t="s">
        <v>30488</v>
      </c>
      <c r="F14264" t="s">
        <v>31574</v>
      </c>
      <c r="G14264" t="s">
        <v>31582</v>
      </c>
      <c r="H14264" t="s">
        <v>31590</v>
      </c>
      <c r="I14264" t="s">
        <v>31608</v>
      </c>
      <c r="J14264" t="s">
        <v>40471</v>
      </c>
      <c r="K14264" t="s">
        <v>41198</v>
      </c>
      <c r="M14264" t="s">
        <v>44958</v>
      </c>
      <c r="N14264" t="s">
        <v>45095</v>
      </c>
      <c r="O14264" t="s">
        <v>45096</v>
      </c>
      <c r="Q14264">
        <v>28</v>
      </c>
      <c r="R14264" t="s">
        <v>45117</v>
      </c>
      <c r="S14264" t="s">
        <v>45626</v>
      </c>
      <c r="T14264" t="s">
        <v>47435</v>
      </c>
      <c r="U14264" t="s">
        <v>58981</v>
      </c>
      <c r="W14264" t="s">
        <v>44958</v>
      </c>
      <c r="X14264" t="s">
        <v>45118</v>
      </c>
    </row>
    <row r="14265" spans="1:24">
      <c r="A14265">
        <f>HYPERLINK("https://www.philgeps.gov.ph/GEPSNONPILOT/Tender/SplashBidNoticeAbstractUI.aspx?menuIndex=3&amp;refID=7011468&amp;Result=3","7011468")</f>
        <v>0</v>
      </c>
      <c r="B14265" t="s">
        <v>2278</v>
      </c>
      <c r="C14265" t="s">
        <v>3665</v>
      </c>
      <c r="D14265" t="s">
        <v>18027</v>
      </c>
      <c r="E14265" t="s">
        <v>30489</v>
      </c>
      <c r="F14265" t="s">
        <v>31574</v>
      </c>
      <c r="G14265" t="s">
        <v>31582</v>
      </c>
      <c r="H14265" t="s">
        <v>31590</v>
      </c>
      <c r="I14265" t="s">
        <v>4046</v>
      </c>
      <c r="J14265" t="s">
        <v>40472</v>
      </c>
      <c r="K14265" t="s">
        <v>41186</v>
      </c>
      <c r="M14265" t="s">
        <v>43985</v>
      </c>
      <c r="N14265" t="s">
        <v>45095</v>
      </c>
      <c r="O14265" t="s">
        <v>45096</v>
      </c>
      <c r="P14265">
        <v>0</v>
      </c>
      <c r="Q14265">
        <v>2</v>
      </c>
      <c r="R14265" t="s">
        <v>45117</v>
      </c>
      <c r="S14265" t="s">
        <v>45992</v>
      </c>
      <c r="T14265" t="s">
        <v>47164</v>
      </c>
      <c r="U14265" t="s">
        <v>58982</v>
      </c>
      <c r="W14265" t="s">
        <v>43985</v>
      </c>
      <c r="X14265" t="s">
        <v>45118</v>
      </c>
    </row>
    <row r="14266" spans="1:24">
      <c r="A14266">
        <f>HYPERLINK("https://www.philgeps.gov.ph/GEPSNONPILOT/Tender/SplashBidNoticeAbstractUI.aspx?menuIndex=3&amp;refID=7011458&amp;Result=3","7011458")</f>
        <v>0</v>
      </c>
      <c r="B14266" t="s">
        <v>91</v>
      </c>
      <c r="C14266" t="s">
        <v>16854</v>
      </c>
      <c r="D14266" t="s">
        <v>18060</v>
      </c>
      <c r="E14266" t="s">
        <v>30490</v>
      </c>
      <c r="F14266" t="s">
        <v>31574</v>
      </c>
      <c r="G14266" t="s">
        <v>31582</v>
      </c>
      <c r="H14266" t="s">
        <v>31591</v>
      </c>
      <c r="I14266" t="s">
        <v>8822</v>
      </c>
      <c r="J14266" t="s">
        <v>40473</v>
      </c>
      <c r="K14266" t="s">
        <v>41192</v>
      </c>
      <c r="M14266" t="s">
        <v>42330</v>
      </c>
      <c r="N14266" t="s">
        <v>45095</v>
      </c>
      <c r="O14266" t="s">
        <v>45096</v>
      </c>
      <c r="P14266">
        <v>0</v>
      </c>
      <c r="Q14266">
        <v>0</v>
      </c>
      <c r="R14266" t="s">
        <v>45117</v>
      </c>
      <c r="S14266" t="s">
        <v>45992</v>
      </c>
      <c r="T14266" t="s">
        <v>47076</v>
      </c>
      <c r="U14266" t="s">
        <v>58983</v>
      </c>
      <c r="W14266" t="s">
        <v>42330</v>
      </c>
      <c r="X14266" t="s">
        <v>45118</v>
      </c>
    </row>
    <row r="14267" spans="1:24">
      <c r="A14267">
        <f>HYPERLINK("https://www.philgeps.gov.ph/GEPSNONPILOT/Tender/SplashBidNoticeAbstractUI.aspx?menuIndex=3&amp;refID=7011438&amp;Result=3","7011438")</f>
        <v>0</v>
      </c>
      <c r="B14267" t="s">
        <v>176</v>
      </c>
      <c r="C14267" t="s">
        <v>16855</v>
      </c>
      <c r="D14267" t="s">
        <v>18059</v>
      </c>
      <c r="E14267" t="s">
        <v>30491</v>
      </c>
      <c r="F14267" t="s">
        <v>31574</v>
      </c>
      <c r="G14267" t="s">
        <v>31582</v>
      </c>
      <c r="H14267" t="s">
        <v>31590</v>
      </c>
      <c r="I14267" t="s">
        <v>4046</v>
      </c>
      <c r="J14267" t="s">
        <v>40474</v>
      </c>
      <c r="K14267" t="s">
        <v>41193</v>
      </c>
      <c r="M14267" t="s">
        <v>41660</v>
      </c>
      <c r="N14267" t="s">
        <v>45095</v>
      </c>
      <c r="O14267" t="s">
        <v>45096</v>
      </c>
      <c r="P14267">
        <v>0</v>
      </c>
      <c r="Q14267">
        <v>0</v>
      </c>
      <c r="R14267" t="s">
        <v>45117</v>
      </c>
      <c r="S14267" t="s">
        <v>45992</v>
      </c>
      <c r="T14267" t="s">
        <v>47197</v>
      </c>
      <c r="U14267" t="s">
        <v>58984</v>
      </c>
      <c r="W14267" t="s">
        <v>41660</v>
      </c>
      <c r="X14267" t="s">
        <v>45118</v>
      </c>
    </row>
    <row r="14268" spans="1:24">
      <c r="A14268">
        <f>HYPERLINK("https://www.philgeps.gov.ph/GEPSNONPILOT/Tender/SplashBidNoticeAbstractUI.aspx?menuIndex=3&amp;refID=7011447&amp;Result=3","7011447")</f>
        <v>0</v>
      </c>
      <c r="B14268" t="s">
        <v>116</v>
      </c>
      <c r="C14268" t="s">
        <v>16856</v>
      </c>
      <c r="D14268" t="s">
        <v>18068</v>
      </c>
      <c r="E14268" t="s">
        <v>30492</v>
      </c>
      <c r="F14268" t="s">
        <v>31574</v>
      </c>
      <c r="G14268" t="s">
        <v>31584</v>
      </c>
      <c r="H14268" t="s">
        <v>31590</v>
      </c>
      <c r="I14268" t="s">
        <v>6800</v>
      </c>
      <c r="J14268" t="s">
        <v>40475</v>
      </c>
      <c r="K14268" t="s">
        <v>41196</v>
      </c>
      <c r="M14268" t="s">
        <v>41600</v>
      </c>
      <c r="N14268" t="s">
        <v>45095</v>
      </c>
      <c r="O14268" t="s">
        <v>45096</v>
      </c>
      <c r="Q14268">
        <v>0</v>
      </c>
      <c r="R14268" t="s">
        <v>45117</v>
      </c>
      <c r="S14268" t="s">
        <v>46025</v>
      </c>
      <c r="T14268" t="s">
        <v>47154</v>
      </c>
      <c r="U14268" t="s">
        <v>58985</v>
      </c>
      <c r="V14268" t="s">
        <v>59888</v>
      </c>
      <c r="W14268" t="s">
        <v>41600</v>
      </c>
      <c r="X14268" t="s">
        <v>45118</v>
      </c>
    </row>
    <row r="14269" spans="1:24">
      <c r="A14269">
        <f>HYPERLINK("https://www.philgeps.gov.ph/GEPSNONPILOT/Tender/SplashBidNoticeAbstractUI.aspx?menuIndex=3&amp;refID=7011412&amp;Result=3","7011412")</f>
        <v>0</v>
      </c>
      <c r="B14269" t="s">
        <v>196</v>
      </c>
      <c r="C14269" t="s">
        <v>16857</v>
      </c>
      <c r="D14269" t="s">
        <v>18046</v>
      </c>
      <c r="E14269" t="s">
        <v>30493</v>
      </c>
      <c r="F14269" t="s">
        <v>31574</v>
      </c>
      <c r="G14269" t="s">
        <v>31582</v>
      </c>
      <c r="H14269" t="s">
        <v>31591</v>
      </c>
      <c r="I14269" t="s">
        <v>8822</v>
      </c>
      <c r="J14269" t="s">
        <v>40476</v>
      </c>
      <c r="K14269" t="s">
        <v>41317</v>
      </c>
      <c r="M14269" t="s">
        <v>42524</v>
      </c>
      <c r="N14269" t="s">
        <v>45095</v>
      </c>
      <c r="O14269" t="s">
        <v>45096</v>
      </c>
      <c r="P14269">
        <v>0</v>
      </c>
      <c r="Q14269">
        <v>2</v>
      </c>
      <c r="R14269" t="s">
        <v>45117</v>
      </c>
      <c r="S14269" t="s">
        <v>45992</v>
      </c>
      <c r="T14269" t="s">
        <v>47159</v>
      </c>
      <c r="U14269" t="s">
        <v>58986</v>
      </c>
      <c r="V14269" t="s">
        <v>61442</v>
      </c>
      <c r="W14269" t="s">
        <v>42524</v>
      </c>
      <c r="X14269" t="s">
        <v>45118</v>
      </c>
    </row>
    <row r="14270" spans="1:24">
      <c r="A14270">
        <f>HYPERLINK("https://www.philgeps.gov.ph/GEPSNONPILOT/Tender/SplashBidNoticeAbstractUI.aspx?menuIndex=3&amp;refID=7011500&amp;Result=3","7011500")</f>
        <v>0</v>
      </c>
      <c r="B14270" t="s">
        <v>1482</v>
      </c>
      <c r="C14270" t="s">
        <v>16858</v>
      </c>
      <c r="D14270" t="s">
        <v>18037</v>
      </c>
      <c r="E14270" t="s">
        <v>30494</v>
      </c>
      <c r="F14270" t="s">
        <v>31574</v>
      </c>
      <c r="G14270" t="s">
        <v>31582</v>
      </c>
      <c r="H14270" t="s">
        <v>31590</v>
      </c>
      <c r="I14270" t="s">
        <v>31594</v>
      </c>
      <c r="J14270" t="s">
        <v>40477</v>
      </c>
      <c r="K14270" t="s">
        <v>41200</v>
      </c>
      <c r="M14270" t="s">
        <v>43067</v>
      </c>
      <c r="N14270" t="s">
        <v>45095</v>
      </c>
      <c r="O14270" t="s">
        <v>45096</v>
      </c>
      <c r="Q14270">
        <v>21</v>
      </c>
      <c r="R14270" t="s">
        <v>45117</v>
      </c>
      <c r="S14270" t="s">
        <v>46026</v>
      </c>
      <c r="T14270" t="s">
        <v>47228</v>
      </c>
      <c r="U14270" t="s">
        <v>51078</v>
      </c>
      <c r="W14270" t="s">
        <v>43067</v>
      </c>
      <c r="X14270" t="s">
        <v>45118</v>
      </c>
    </row>
    <row r="14271" spans="1:24">
      <c r="A14271">
        <f>HYPERLINK("https://www.philgeps.gov.ph/GEPSNONPILOT/Tender/SplashBidNoticeAbstractUI.aspx?menuIndex=3&amp;refID=7011506&amp;Result=3","7011506")</f>
        <v>0</v>
      </c>
      <c r="B14271" t="s">
        <v>3112</v>
      </c>
      <c r="C14271" t="s">
        <v>16859</v>
      </c>
      <c r="D14271" t="s">
        <v>18076</v>
      </c>
      <c r="E14271" t="s">
        <v>30495</v>
      </c>
      <c r="F14271" t="s">
        <v>31574</v>
      </c>
      <c r="G14271" t="s">
        <v>31582</v>
      </c>
      <c r="H14271" t="s">
        <v>31591</v>
      </c>
      <c r="I14271" t="s">
        <v>8822</v>
      </c>
      <c r="J14271" t="s">
        <v>40478</v>
      </c>
      <c r="K14271" t="s">
        <v>41198</v>
      </c>
      <c r="M14271" t="s">
        <v>44959</v>
      </c>
      <c r="N14271" t="s">
        <v>45095</v>
      </c>
      <c r="O14271" t="s">
        <v>45096</v>
      </c>
      <c r="P14271">
        <v>0</v>
      </c>
      <c r="Q14271">
        <v>2</v>
      </c>
      <c r="R14271" t="s">
        <v>45117</v>
      </c>
      <c r="S14271" t="s">
        <v>45992</v>
      </c>
      <c r="T14271" t="s">
        <v>47154</v>
      </c>
      <c r="U14271" t="s">
        <v>58987</v>
      </c>
      <c r="V14271" t="s">
        <v>61443</v>
      </c>
      <c r="W14271" t="s">
        <v>44959</v>
      </c>
      <c r="X14271" t="s">
        <v>45118</v>
      </c>
    </row>
    <row r="14272" spans="1:24">
      <c r="A14272">
        <f>HYPERLINK("https://www.philgeps.gov.ph/GEPSNONPILOT/Tender/SplashBidNoticeAbstractUI.aspx?menuIndex=3&amp;refID=7011586&amp;Result=3","7011586")</f>
        <v>0</v>
      </c>
      <c r="B14272" t="s">
        <v>1830</v>
      </c>
      <c r="C14272" t="s">
        <v>16860</v>
      </c>
      <c r="D14272" t="s">
        <v>18023</v>
      </c>
      <c r="E14272" t="s">
        <v>30496</v>
      </c>
      <c r="F14272" t="s">
        <v>31574</v>
      </c>
      <c r="G14272" t="s">
        <v>31582</v>
      </c>
      <c r="H14272" t="s">
        <v>31591</v>
      </c>
      <c r="I14272" t="s">
        <v>8822</v>
      </c>
      <c r="J14272" t="s">
        <v>40479</v>
      </c>
      <c r="K14272" t="s">
        <v>41243</v>
      </c>
      <c r="M14272" t="s">
        <v>43466</v>
      </c>
      <c r="N14272" t="s">
        <v>45095</v>
      </c>
      <c r="O14272" t="s">
        <v>45096</v>
      </c>
      <c r="P14272">
        <v>0</v>
      </c>
      <c r="Q14272">
        <v>14</v>
      </c>
      <c r="R14272" t="s">
        <v>45117</v>
      </c>
      <c r="S14272" t="s">
        <v>45992</v>
      </c>
      <c r="T14272" t="s">
        <v>46973</v>
      </c>
      <c r="U14272" t="s">
        <v>58988</v>
      </c>
      <c r="W14272" t="s">
        <v>43466</v>
      </c>
      <c r="X14272" t="s">
        <v>45118</v>
      </c>
    </row>
    <row r="14273" spans="1:24">
      <c r="A14273">
        <f>HYPERLINK("https://www.philgeps.gov.ph/GEPSNONPILOT/Tender/SplashBidNoticeAbstractUI.aspx?menuIndex=3&amp;refID=7011571&amp;Result=3","7011571")</f>
        <v>0</v>
      </c>
      <c r="B14273" t="s">
        <v>1922</v>
      </c>
      <c r="C14273" t="s">
        <v>16861</v>
      </c>
      <c r="D14273" t="s">
        <v>18045</v>
      </c>
      <c r="E14273" t="s">
        <v>30497</v>
      </c>
      <c r="F14273" t="s">
        <v>31574</v>
      </c>
      <c r="G14273" t="s">
        <v>31582</v>
      </c>
      <c r="H14273" t="s">
        <v>31590</v>
      </c>
      <c r="I14273" t="s">
        <v>4046</v>
      </c>
      <c r="J14273" t="s">
        <v>40480</v>
      </c>
      <c r="K14273" t="s">
        <v>41190</v>
      </c>
      <c r="M14273" t="s">
        <v>43574</v>
      </c>
      <c r="N14273" t="s">
        <v>45095</v>
      </c>
      <c r="O14273" t="s">
        <v>45096</v>
      </c>
      <c r="P14273">
        <v>0</v>
      </c>
      <c r="Q14273">
        <v>0</v>
      </c>
      <c r="R14273" t="s">
        <v>45117</v>
      </c>
      <c r="S14273" t="s">
        <v>45992</v>
      </c>
      <c r="T14273" t="s">
        <v>47159</v>
      </c>
      <c r="U14273" t="s">
        <v>58989</v>
      </c>
      <c r="V14273" t="s">
        <v>52621</v>
      </c>
      <c r="W14273" t="s">
        <v>43574</v>
      </c>
      <c r="X14273" t="s">
        <v>45118</v>
      </c>
    </row>
    <row r="14274" spans="1:24">
      <c r="A14274">
        <f>HYPERLINK("https://www.philgeps.gov.ph/GEPSNONPILOT/Tender/SplashBidNoticeAbstractUI.aspx?menuIndex=3&amp;refID=7011402&amp;Result=3","7011402")</f>
        <v>0</v>
      </c>
      <c r="B14274" t="s">
        <v>117</v>
      </c>
      <c r="C14274" t="s">
        <v>16862</v>
      </c>
      <c r="D14274" t="s">
        <v>18046</v>
      </c>
      <c r="E14274" t="s">
        <v>30498</v>
      </c>
      <c r="F14274" t="s">
        <v>31574</v>
      </c>
      <c r="G14274" t="s">
        <v>31582</v>
      </c>
      <c r="H14274" t="s">
        <v>31590</v>
      </c>
      <c r="I14274" t="s">
        <v>5717</v>
      </c>
      <c r="J14274" t="s">
        <v>40481</v>
      </c>
      <c r="K14274" t="s">
        <v>41190</v>
      </c>
      <c r="M14274" t="s">
        <v>41601</v>
      </c>
      <c r="N14274" t="s">
        <v>45095</v>
      </c>
      <c r="O14274" t="s">
        <v>45096</v>
      </c>
      <c r="P14274">
        <v>0</v>
      </c>
      <c r="Q14274">
        <v>2</v>
      </c>
      <c r="R14274" t="s">
        <v>45117</v>
      </c>
      <c r="S14274" t="s">
        <v>45992</v>
      </c>
      <c r="T14274" t="s">
        <v>47159</v>
      </c>
      <c r="U14274" t="s">
        <v>55671</v>
      </c>
      <c r="W14274" t="s">
        <v>41601</v>
      </c>
      <c r="X14274" t="s">
        <v>45118</v>
      </c>
    </row>
    <row r="14275" spans="1:24">
      <c r="A14275">
        <f>HYPERLINK("https://www.philgeps.gov.ph/GEPSNONPILOT/Tender/SplashBidNoticeAbstractUI.aspx?menuIndex=3&amp;refID=7011595&amp;Result=3","7011595")</f>
        <v>0</v>
      </c>
      <c r="B14275" t="s">
        <v>64</v>
      </c>
      <c r="C14275" t="s">
        <v>16863</v>
      </c>
      <c r="D14275" t="s">
        <v>18050</v>
      </c>
      <c r="E14275" t="s">
        <v>28899</v>
      </c>
      <c r="F14275" t="s">
        <v>31574</v>
      </c>
      <c r="G14275" t="s">
        <v>31582</v>
      </c>
      <c r="H14275" t="s">
        <v>31591</v>
      </c>
      <c r="I14275" t="s">
        <v>8822</v>
      </c>
      <c r="J14275" t="s">
        <v>32026</v>
      </c>
      <c r="K14275" t="s">
        <v>41198</v>
      </c>
      <c r="M14275" t="s">
        <v>41548</v>
      </c>
      <c r="N14275" t="s">
        <v>45095</v>
      </c>
      <c r="O14275" t="s">
        <v>45096</v>
      </c>
      <c r="P14275">
        <v>0</v>
      </c>
      <c r="Q14275">
        <v>0</v>
      </c>
      <c r="R14275" t="s">
        <v>45117</v>
      </c>
      <c r="S14275" t="s">
        <v>45992</v>
      </c>
      <c r="T14275" t="s">
        <v>46973</v>
      </c>
      <c r="U14275" t="s">
        <v>58990</v>
      </c>
      <c r="V14275" t="s">
        <v>61444</v>
      </c>
      <c r="W14275" t="s">
        <v>41548</v>
      </c>
      <c r="X14275" t="s">
        <v>45118</v>
      </c>
    </row>
    <row r="14276" spans="1:24">
      <c r="A14276">
        <f>HYPERLINK("https://www.philgeps.gov.ph/GEPSNONPILOT/Tender/SplashBidNoticeAbstractUI.aspx?menuIndex=3&amp;refID=7011639&amp;Result=3","7011639")</f>
        <v>0</v>
      </c>
      <c r="B14276" t="s">
        <v>2097</v>
      </c>
      <c r="C14276" t="s">
        <v>16864</v>
      </c>
      <c r="D14276" t="s">
        <v>18088</v>
      </c>
      <c r="E14276" t="s">
        <v>30499</v>
      </c>
      <c r="F14276" t="s">
        <v>31574</v>
      </c>
      <c r="G14276" t="s">
        <v>31582</v>
      </c>
      <c r="H14276" t="s">
        <v>31591</v>
      </c>
      <c r="I14276" t="s">
        <v>8822</v>
      </c>
      <c r="J14276" t="s">
        <v>33574</v>
      </c>
      <c r="K14276" t="s">
        <v>41189</v>
      </c>
      <c r="M14276" t="s">
        <v>43774</v>
      </c>
      <c r="N14276" t="s">
        <v>45095</v>
      </c>
      <c r="O14276" t="s">
        <v>45096</v>
      </c>
      <c r="P14276">
        <v>0</v>
      </c>
      <c r="Q14276">
        <v>1</v>
      </c>
      <c r="R14276" t="s">
        <v>45117</v>
      </c>
      <c r="S14276" t="s">
        <v>45992</v>
      </c>
      <c r="T14276" t="s">
        <v>47159</v>
      </c>
      <c r="U14276" t="s">
        <v>58991</v>
      </c>
      <c r="W14276" t="s">
        <v>43774</v>
      </c>
      <c r="X14276" t="s">
        <v>45118</v>
      </c>
    </row>
    <row r="14277" spans="1:24">
      <c r="A14277">
        <f>HYPERLINK("https://www.philgeps.gov.ph/GEPSNONPILOT/Tender/SplashBidNoticeAbstractUI.aspx?menuIndex=3&amp;refID=7011406&amp;Result=3","7011406")</f>
        <v>0</v>
      </c>
      <c r="B14277" t="s">
        <v>176</v>
      </c>
      <c r="C14277" t="s">
        <v>16865</v>
      </c>
      <c r="D14277" t="s">
        <v>18059</v>
      </c>
      <c r="E14277" t="s">
        <v>30500</v>
      </c>
      <c r="F14277" t="s">
        <v>31574</v>
      </c>
      <c r="G14277" t="s">
        <v>31582</v>
      </c>
      <c r="H14277" t="s">
        <v>31590</v>
      </c>
      <c r="I14277" t="s">
        <v>4046</v>
      </c>
      <c r="J14277" t="s">
        <v>40482</v>
      </c>
      <c r="K14277" t="s">
        <v>41193</v>
      </c>
      <c r="M14277" t="s">
        <v>41660</v>
      </c>
      <c r="N14277" t="s">
        <v>45095</v>
      </c>
      <c r="O14277" t="s">
        <v>45096</v>
      </c>
      <c r="P14277">
        <v>0</v>
      </c>
      <c r="Q14277">
        <v>0</v>
      </c>
      <c r="R14277" t="s">
        <v>45117</v>
      </c>
      <c r="S14277" t="s">
        <v>45992</v>
      </c>
      <c r="T14277" t="s">
        <v>47197</v>
      </c>
      <c r="U14277" t="s">
        <v>58992</v>
      </c>
      <c r="W14277" t="s">
        <v>41660</v>
      </c>
      <c r="X14277" t="s">
        <v>45118</v>
      </c>
    </row>
    <row r="14278" spans="1:24">
      <c r="A14278">
        <f>HYPERLINK("https://www.philgeps.gov.ph/GEPSNONPILOT/Tender/SplashBidNoticeAbstractUI.aspx?menuIndex=3&amp;refID=7011697&amp;Result=3","7011697")</f>
        <v>0</v>
      </c>
      <c r="B14278" t="s">
        <v>2003</v>
      </c>
      <c r="C14278" t="s">
        <v>16866</v>
      </c>
      <c r="D14278" t="s">
        <v>18022</v>
      </c>
      <c r="E14278" t="s">
        <v>30501</v>
      </c>
      <c r="F14278" t="s">
        <v>31574</v>
      </c>
      <c r="G14278" t="s">
        <v>31582</v>
      </c>
      <c r="H14278" t="s">
        <v>31591</v>
      </c>
      <c r="I14278" t="s">
        <v>8822</v>
      </c>
      <c r="J14278" t="s">
        <v>40483</v>
      </c>
      <c r="K14278" t="s">
        <v>41256</v>
      </c>
      <c r="M14278" t="s">
        <v>43665</v>
      </c>
      <c r="N14278" t="s">
        <v>45095</v>
      </c>
      <c r="O14278" t="s">
        <v>45096</v>
      </c>
      <c r="Q14278">
        <v>45</v>
      </c>
      <c r="R14278" t="s">
        <v>45117</v>
      </c>
      <c r="S14278" t="s">
        <v>46027</v>
      </c>
      <c r="T14278" t="s">
        <v>47159</v>
      </c>
      <c r="U14278" t="s">
        <v>52971</v>
      </c>
      <c r="W14278" t="s">
        <v>43665</v>
      </c>
      <c r="X14278" t="s">
        <v>45118</v>
      </c>
    </row>
    <row r="14279" spans="1:24">
      <c r="A14279">
        <f>HYPERLINK("https://www.philgeps.gov.ph/GEPSNONPILOT/Tender/SplashBidNoticeAbstractUI.aspx?menuIndex=3&amp;refID=7011434&amp;Result=3","7011434")</f>
        <v>0</v>
      </c>
      <c r="B14279" t="s">
        <v>3113</v>
      </c>
      <c r="C14279" t="s">
        <v>16867</v>
      </c>
      <c r="D14279" t="s">
        <v>18039</v>
      </c>
      <c r="E14279" t="s">
        <v>30502</v>
      </c>
      <c r="F14279" t="s">
        <v>31574</v>
      </c>
      <c r="G14279" t="s">
        <v>31582</v>
      </c>
      <c r="H14279" t="s">
        <v>31591</v>
      </c>
      <c r="I14279" t="s">
        <v>8822</v>
      </c>
      <c r="J14279" t="s">
        <v>40484</v>
      </c>
      <c r="K14279" t="s">
        <v>41189</v>
      </c>
      <c r="M14279" t="s">
        <v>44960</v>
      </c>
      <c r="N14279" t="s">
        <v>45095</v>
      </c>
      <c r="O14279" t="s">
        <v>45096</v>
      </c>
      <c r="Q14279">
        <v>6</v>
      </c>
      <c r="R14279" t="s">
        <v>45117</v>
      </c>
      <c r="S14279" t="s">
        <v>46028</v>
      </c>
      <c r="T14279" t="s">
        <v>47159</v>
      </c>
      <c r="U14279" t="s">
        <v>58993</v>
      </c>
      <c r="W14279" t="s">
        <v>61775</v>
      </c>
      <c r="X14279" t="s">
        <v>45118</v>
      </c>
    </row>
    <row r="14280" spans="1:24">
      <c r="A14280">
        <f>HYPERLINK("https://www.philgeps.gov.ph/GEPSNONPILOT/Tender/SplashBidNoticeAbstractUI.aspx?menuIndex=3&amp;refID=7011678&amp;Result=3","7011678")</f>
        <v>0</v>
      </c>
      <c r="B14280" t="s">
        <v>852</v>
      </c>
      <c r="C14280" t="s">
        <v>16868</v>
      </c>
      <c r="D14280" t="s">
        <v>18051</v>
      </c>
      <c r="E14280" t="s">
        <v>30503</v>
      </c>
      <c r="F14280" t="s">
        <v>31574</v>
      </c>
      <c r="G14280" t="s">
        <v>31582</v>
      </c>
      <c r="H14280" t="s">
        <v>31591</v>
      </c>
      <c r="I14280" t="s">
        <v>8822</v>
      </c>
      <c r="J14280" t="s">
        <v>32526</v>
      </c>
      <c r="K14280" t="s">
        <v>41244</v>
      </c>
      <c r="M14280" t="s">
        <v>42371</v>
      </c>
      <c r="N14280" t="s">
        <v>45095</v>
      </c>
      <c r="O14280" t="s">
        <v>45096</v>
      </c>
      <c r="Q14280">
        <v>1</v>
      </c>
      <c r="R14280" t="s">
        <v>45117</v>
      </c>
      <c r="S14280" t="s">
        <v>46029</v>
      </c>
      <c r="T14280" t="s">
        <v>47159</v>
      </c>
      <c r="U14280" t="s">
        <v>58994</v>
      </c>
      <c r="V14280" t="s">
        <v>61445</v>
      </c>
      <c r="W14280" t="s">
        <v>42371</v>
      </c>
      <c r="X14280" t="s">
        <v>45118</v>
      </c>
    </row>
    <row r="14281" spans="1:24">
      <c r="A14281">
        <f>HYPERLINK("https://www.philgeps.gov.ph/GEPSNONPILOT/Tender/SplashBidNoticeAbstractUI.aspx?menuIndex=3&amp;refID=7011397&amp;Result=3","7011397")</f>
        <v>0</v>
      </c>
      <c r="B14281" t="s">
        <v>1029</v>
      </c>
      <c r="C14281" t="s">
        <v>16869</v>
      </c>
      <c r="E14281" t="s">
        <v>30504</v>
      </c>
      <c r="F14281" t="s">
        <v>31574</v>
      </c>
      <c r="G14281" t="s">
        <v>31582</v>
      </c>
      <c r="H14281" t="s">
        <v>31590</v>
      </c>
      <c r="I14281" t="s">
        <v>31600</v>
      </c>
      <c r="J14281" t="s">
        <v>40485</v>
      </c>
      <c r="K14281" t="s">
        <v>41184</v>
      </c>
      <c r="M14281" t="s">
        <v>44721</v>
      </c>
      <c r="N14281" t="s">
        <v>45095</v>
      </c>
      <c r="O14281" t="s">
        <v>45096</v>
      </c>
      <c r="P14281">
        <v>0</v>
      </c>
      <c r="Q14281">
        <v>2</v>
      </c>
      <c r="R14281" t="s">
        <v>45117</v>
      </c>
      <c r="S14281" t="s">
        <v>45992</v>
      </c>
      <c r="T14281" t="s">
        <v>47183</v>
      </c>
      <c r="U14281" t="s">
        <v>58995</v>
      </c>
      <c r="W14281" t="s">
        <v>44721</v>
      </c>
      <c r="X14281" t="s">
        <v>45118</v>
      </c>
    </row>
    <row r="14282" spans="1:24">
      <c r="A14282">
        <f>HYPERLINK("https://www.philgeps.gov.ph/GEPSNONPILOT/Tender/SplashBidNoticeAbstractUI.aspx?menuIndex=3&amp;refID=7011689&amp;Result=3","7011689")</f>
        <v>0</v>
      </c>
      <c r="B14282" t="s">
        <v>3113</v>
      </c>
      <c r="C14282" t="s">
        <v>16870</v>
      </c>
      <c r="D14282" t="s">
        <v>18039</v>
      </c>
      <c r="E14282" t="s">
        <v>30505</v>
      </c>
      <c r="F14282" t="s">
        <v>31574</v>
      </c>
      <c r="G14282" t="s">
        <v>31582</v>
      </c>
      <c r="H14282" t="s">
        <v>31591</v>
      </c>
      <c r="I14282" t="s">
        <v>8822</v>
      </c>
      <c r="J14282" t="s">
        <v>40486</v>
      </c>
      <c r="K14282" t="s">
        <v>41189</v>
      </c>
      <c r="M14282" t="s">
        <v>44960</v>
      </c>
      <c r="N14282" t="s">
        <v>45095</v>
      </c>
      <c r="O14282" t="s">
        <v>45096</v>
      </c>
      <c r="Q14282">
        <v>6</v>
      </c>
      <c r="R14282" t="s">
        <v>45117</v>
      </c>
      <c r="S14282" t="s">
        <v>46030</v>
      </c>
      <c r="T14282" t="s">
        <v>47159</v>
      </c>
      <c r="U14282" t="s">
        <v>58996</v>
      </c>
      <c r="W14282" t="s">
        <v>61775</v>
      </c>
      <c r="X14282" t="s">
        <v>45118</v>
      </c>
    </row>
    <row r="14283" spans="1:24">
      <c r="A14283">
        <f>HYPERLINK("https://www.philgeps.gov.ph/GEPSNONPILOT/Tender/SplashBidNoticeAbstractUI.aspx?menuIndex=3&amp;refID=7011676&amp;Result=3","7011676")</f>
        <v>0</v>
      </c>
      <c r="B14283" t="s">
        <v>3090</v>
      </c>
      <c r="C14283" t="s">
        <v>16871</v>
      </c>
      <c r="D14283" t="s">
        <v>18053</v>
      </c>
      <c r="E14283" t="s">
        <v>20898</v>
      </c>
      <c r="F14283" t="s">
        <v>31574</v>
      </c>
      <c r="G14283" t="s">
        <v>31582</v>
      </c>
      <c r="H14283" t="s">
        <v>31591</v>
      </c>
      <c r="I14283" t="s">
        <v>8822</v>
      </c>
      <c r="J14283" t="s">
        <v>36820</v>
      </c>
      <c r="K14283" t="s">
        <v>41274</v>
      </c>
      <c r="L14283" t="s">
        <v>3090</v>
      </c>
      <c r="M14283" t="s">
        <v>44935</v>
      </c>
      <c r="N14283" t="s">
        <v>45095</v>
      </c>
      <c r="O14283" t="s">
        <v>45096</v>
      </c>
      <c r="P14283">
        <v>0</v>
      </c>
      <c r="Q14283">
        <v>1</v>
      </c>
      <c r="R14283" t="s">
        <v>45117</v>
      </c>
      <c r="S14283" t="s">
        <v>45992</v>
      </c>
      <c r="T14283" t="s">
        <v>47183</v>
      </c>
      <c r="U14283" t="s">
        <v>58997</v>
      </c>
      <c r="W14283" t="s">
        <v>44935</v>
      </c>
      <c r="X14283" t="s">
        <v>45118</v>
      </c>
    </row>
    <row r="14284" spans="1:24">
      <c r="A14284">
        <f>HYPERLINK("https://www.philgeps.gov.ph/GEPSNONPILOT/Tender/SplashBidNoticeAbstractUI.aspx?menuIndex=3&amp;refID=7011672&amp;Result=3","7011672")</f>
        <v>0</v>
      </c>
      <c r="B14284" t="s">
        <v>852</v>
      </c>
      <c r="C14284" t="s">
        <v>16872</v>
      </c>
      <c r="D14284" t="s">
        <v>18051</v>
      </c>
      <c r="E14284" t="s">
        <v>30506</v>
      </c>
      <c r="F14284" t="s">
        <v>31574</v>
      </c>
      <c r="G14284" t="s">
        <v>31582</v>
      </c>
      <c r="H14284" t="s">
        <v>31591</v>
      </c>
      <c r="I14284" t="s">
        <v>8822</v>
      </c>
      <c r="J14284" t="s">
        <v>32101</v>
      </c>
      <c r="K14284" t="s">
        <v>41320</v>
      </c>
      <c r="M14284" t="s">
        <v>42371</v>
      </c>
      <c r="N14284" t="s">
        <v>45095</v>
      </c>
      <c r="O14284" t="s">
        <v>45096</v>
      </c>
      <c r="Q14284">
        <v>2</v>
      </c>
      <c r="R14284" t="s">
        <v>45117</v>
      </c>
      <c r="S14284" t="s">
        <v>46031</v>
      </c>
      <c r="T14284" t="s">
        <v>47159</v>
      </c>
      <c r="U14284" t="s">
        <v>58998</v>
      </c>
      <c r="V14284" t="s">
        <v>61446</v>
      </c>
      <c r="W14284" t="s">
        <v>42371</v>
      </c>
      <c r="X14284" t="s">
        <v>45118</v>
      </c>
    </row>
    <row r="14285" spans="1:24">
      <c r="A14285">
        <f>HYPERLINK("https://www.philgeps.gov.ph/GEPSNONPILOT/Tender/SplashBidNoticeAbstractUI.aspx?menuIndex=3&amp;refID=7011354&amp;Result=3","7011354")</f>
        <v>0</v>
      </c>
      <c r="B14285" t="s">
        <v>176</v>
      </c>
      <c r="C14285" t="s">
        <v>16873</v>
      </c>
      <c r="D14285" t="s">
        <v>18059</v>
      </c>
      <c r="E14285" t="s">
        <v>30507</v>
      </c>
      <c r="F14285" t="s">
        <v>31574</v>
      </c>
      <c r="G14285" t="s">
        <v>31582</v>
      </c>
      <c r="H14285" t="s">
        <v>31590</v>
      </c>
      <c r="I14285" t="s">
        <v>4046</v>
      </c>
      <c r="J14285" t="s">
        <v>40487</v>
      </c>
      <c r="K14285" t="s">
        <v>41193</v>
      </c>
      <c r="M14285" t="s">
        <v>41660</v>
      </c>
      <c r="N14285" t="s">
        <v>45095</v>
      </c>
      <c r="O14285" t="s">
        <v>45096</v>
      </c>
      <c r="P14285">
        <v>0</v>
      </c>
      <c r="Q14285">
        <v>0</v>
      </c>
      <c r="R14285" t="s">
        <v>45117</v>
      </c>
      <c r="S14285" t="s">
        <v>45992</v>
      </c>
      <c r="T14285" t="s">
        <v>47197</v>
      </c>
      <c r="U14285" t="s">
        <v>58999</v>
      </c>
      <c r="W14285" t="s">
        <v>41660</v>
      </c>
      <c r="X14285" t="s">
        <v>45118</v>
      </c>
    </row>
    <row r="14286" spans="1:24">
      <c r="A14286">
        <f>HYPERLINK("https://www.philgeps.gov.ph/GEPSNONPILOT/Tender/SplashBidNoticeAbstractUI.aspx?menuIndex=3&amp;refID=7011716&amp;Result=3","7011716")</f>
        <v>0</v>
      </c>
      <c r="B14286" t="s">
        <v>3113</v>
      </c>
      <c r="C14286" t="s">
        <v>16874</v>
      </c>
      <c r="D14286" t="s">
        <v>18039</v>
      </c>
      <c r="E14286" t="s">
        <v>30508</v>
      </c>
      <c r="F14286" t="s">
        <v>31574</v>
      </c>
      <c r="G14286" t="s">
        <v>31582</v>
      </c>
      <c r="H14286" t="s">
        <v>31591</v>
      </c>
      <c r="I14286" t="s">
        <v>8822</v>
      </c>
      <c r="J14286" t="s">
        <v>40488</v>
      </c>
      <c r="K14286" t="s">
        <v>41192</v>
      </c>
      <c r="M14286" t="s">
        <v>44960</v>
      </c>
      <c r="N14286" t="s">
        <v>45095</v>
      </c>
      <c r="O14286" t="s">
        <v>45096</v>
      </c>
      <c r="Q14286">
        <v>5</v>
      </c>
      <c r="R14286" t="s">
        <v>45117</v>
      </c>
      <c r="S14286" t="s">
        <v>46032</v>
      </c>
      <c r="T14286" t="s">
        <v>47159</v>
      </c>
      <c r="U14286" t="s">
        <v>58996</v>
      </c>
      <c r="W14286" t="s">
        <v>61775</v>
      </c>
      <c r="X14286" t="s">
        <v>45118</v>
      </c>
    </row>
    <row r="14287" spans="1:24">
      <c r="A14287">
        <f>HYPERLINK("https://www.philgeps.gov.ph/GEPSNONPILOT/Tender/SplashBidNoticeAbstractUI.aspx?menuIndex=3&amp;refID=7011681&amp;Result=3","7011681")</f>
        <v>0</v>
      </c>
      <c r="B14287" t="s">
        <v>2097</v>
      </c>
      <c r="C14287" t="s">
        <v>16875</v>
      </c>
      <c r="D14287" t="s">
        <v>18088</v>
      </c>
      <c r="E14287" t="s">
        <v>30509</v>
      </c>
      <c r="F14287" t="s">
        <v>31574</v>
      </c>
      <c r="G14287" t="s">
        <v>31582</v>
      </c>
      <c r="H14287" t="s">
        <v>31590</v>
      </c>
      <c r="I14287" t="s">
        <v>14544</v>
      </c>
      <c r="J14287" t="s">
        <v>40489</v>
      </c>
      <c r="K14287" t="s">
        <v>41190</v>
      </c>
      <c r="M14287" t="s">
        <v>43774</v>
      </c>
      <c r="N14287" t="s">
        <v>45095</v>
      </c>
      <c r="O14287" t="s">
        <v>45096</v>
      </c>
      <c r="Q14287">
        <v>2</v>
      </c>
      <c r="R14287" t="s">
        <v>45117</v>
      </c>
      <c r="S14287" t="s">
        <v>46033</v>
      </c>
      <c r="T14287" t="s">
        <v>47159</v>
      </c>
      <c r="U14287" t="s">
        <v>59000</v>
      </c>
      <c r="W14287" t="s">
        <v>43774</v>
      </c>
      <c r="X14287" t="s">
        <v>45118</v>
      </c>
    </row>
    <row r="14288" spans="1:24">
      <c r="A14288">
        <f>HYPERLINK("https://www.philgeps.gov.ph/GEPSNONPILOT/Tender/SplashBidNoticeAbstractUI.aspx?menuIndex=3&amp;refID=7011660&amp;Result=3","7011660")</f>
        <v>0</v>
      </c>
      <c r="B14288" t="s">
        <v>3090</v>
      </c>
      <c r="C14288" t="s">
        <v>16876</v>
      </c>
      <c r="D14288" t="s">
        <v>18053</v>
      </c>
      <c r="E14288" t="s">
        <v>30510</v>
      </c>
      <c r="F14288" t="s">
        <v>31574</v>
      </c>
      <c r="G14288" t="s">
        <v>31582</v>
      </c>
      <c r="H14288" t="s">
        <v>31591</v>
      </c>
      <c r="I14288" t="s">
        <v>8822</v>
      </c>
      <c r="J14288" t="s">
        <v>32869</v>
      </c>
      <c r="K14288" t="s">
        <v>41306</v>
      </c>
      <c r="L14288" t="s">
        <v>3090</v>
      </c>
      <c r="M14288" t="s">
        <v>44935</v>
      </c>
      <c r="N14288" t="s">
        <v>45095</v>
      </c>
      <c r="O14288" t="s">
        <v>45096</v>
      </c>
      <c r="P14288">
        <v>0</v>
      </c>
      <c r="Q14288">
        <v>1</v>
      </c>
      <c r="R14288" t="s">
        <v>45117</v>
      </c>
      <c r="S14288" t="s">
        <v>45992</v>
      </c>
      <c r="T14288" t="s">
        <v>47183</v>
      </c>
      <c r="U14288" t="s">
        <v>59001</v>
      </c>
      <c r="W14288" t="s">
        <v>44935</v>
      </c>
      <c r="X14288" t="s">
        <v>45118</v>
      </c>
    </row>
    <row r="14289" spans="1:24">
      <c r="A14289">
        <f>HYPERLINK("https://www.philgeps.gov.ph/GEPSNONPILOT/Tender/SplashBidNoticeAbstractUI.aspx?menuIndex=3&amp;refID=7011710&amp;Result=3","7011710")</f>
        <v>0</v>
      </c>
      <c r="B14289" t="s">
        <v>2003</v>
      </c>
      <c r="C14289" t="s">
        <v>16877</v>
      </c>
      <c r="D14289" t="s">
        <v>18022</v>
      </c>
      <c r="E14289" t="s">
        <v>30511</v>
      </c>
      <c r="F14289" t="s">
        <v>31574</v>
      </c>
      <c r="G14289" t="s">
        <v>31582</v>
      </c>
      <c r="H14289" t="s">
        <v>31591</v>
      </c>
      <c r="I14289" t="s">
        <v>8822</v>
      </c>
      <c r="J14289" t="s">
        <v>40490</v>
      </c>
      <c r="K14289" t="s">
        <v>41198</v>
      </c>
      <c r="M14289" t="s">
        <v>43665</v>
      </c>
      <c r="N14289" t="s">
        <v>45095</v>
      </c>
      <c r="O14289" t="s">
        <v>45096</v>
      </c>
      <c r="Q14289">
        <v>30</v>
      </c>
      <c r="R14289" t="s">
        <v>45117</v>
      </c>
      <c r="S14289" t="s">
        <v>46034</v>
      </c>
      <c r="T14289" t="s">
        <v>47159</v>
      </c>
      <c r="U14289" t="s">
        <v>52971</v>
      </c>
      <c r="W14289" t="s">
        <v>43665</v>
      </c>
      <c r="X14289" t="s">
        <v>45118</v>
      </c>
    </row>
    <row r="14290" spans="1:24">
      <c r="A14290">
        <f>HYPERLINK("https://www.philgeps.gov.ph/GEPSNONPILOT/Tender/SplashBidNoticeAbstractUI.aspx?menuIndex=3&amp;refID=7011668&amp;Result=3","7011668")</f>
        <v>0</v>
      </c>
      <c r="B14290" t="s">
        <v>3090</v>
      </c>
      <c r="C14290" t="s">
        <v>16878</v>
      </c>
      <c r="D14290" t="s">
        <v>18053</v>
      </c>
      <c r="E14290" t="s">
        <v>20900</v>
      </c>
      <c r="F14290" t="s">
        <v>31574</v>
      </c>
      <c r="G14290" t="s">
        <v>31582</v>
      </c>
      <c r="H14290" t="s">
        <v>31591</v>
      </c>
      <c r="I14290" t="s">
        <v>8822</v>
      </c>
      <c r="J14290" t="s">
        <v>34357</v>
      </c>
      <c r="K14290" t="s">
        <v>41310</v>
      </c>
      <c r="L14290" t="s">
        <v>3090</v>
      </c>
      <c r="M14290" t="s">
        <v>44935</v>
      </c>
      <c r="N14290" t="s">
        <v>45095</v>
      </c>
      <c r="O14290" t="s">
        <v>45096</v>
      </c>
      <c r="P14290">
        <v>0</v>
      </c>
      <c r="Q14290">
        <v>0</v>
      </c>
      <c r="R14290" t="s">
        <v>45117</v>
      </c>
      <c r="S14290" t="s">
        <v>45992</v>
      </c>
      <c r="T14290" t="s">
        <v>47183</v>
      </c>
      <c r="U14290" t="s">
        <v>59002</v>
      </c>
      <c r="W14290" t="s">
        <v>44935</v>
      </c>
      <c r="X14290" t="s">
        <v>45118</v>
      </c>
    </row>
    <row r="14291" spans="1:24">
      <c r="A14291">
        <f>HYPERLINK("https://www.philgeps.gov.ph/GEPSNONPILOT/Tender/SplashBidNoticeAbstractUI.aspx?menuIndex=3&amp;refID=7011707&amp;Result=3","7011707")</f>
        <v>0</v>
      </c>
      <c r="B14291" t="s">
        <v>3114</v>
      </c>
      <c r="C14291" t="s">
        <v>16879</v>
      </c>
      <c r="E14291" t="s">
        <v>20123</v>
      </c>
      <c r="F14291" t="s">
        <v>31574</v>
      </c>
      <c r="G14291" t="s">
        <v>31582</v>
      </c>
      <c r="H14291" t="s">
        <v>31590</v>
      </c>
      <c r="I14291" t="s">
        <v>4046</v>
      </c>
      <c r="J14291" t="s">
        <v>40491</v>
      </c>
      <c r="K14291" t="s">
        <v>41184</v>
      </c>
      <c r="M14291" t="s">
        <v>44961</v>
      </c>
      <c r="N14291" t="s">
        <v>45095</v>
      </c>
      <c r="O14291" t="s">
        <v>45096</v>
      </c>
      <c r="P14291">
        <v>0</v>
      </c>
      <c r="Q14291">
        <v>2</v>
      </c>
      <c r="R14291" t="s">
        <v>45117</v>
      </c>
      <c r="S14291" t="s">
        <v>45992</v>
      </c>
      <c r="T14291" t="s">
        <v>47124</v>
      </c>
      <c r="U14291" t="s">
        <v>59003</v>
      </c>
      <c r="W14291" t="s">
        <v>44961</v>
      </c>
      <c r="X14291" t="s">
        <v>45118</v>
      </c>
    </row>
    <row r="14292" spans="1:24">
      <c r="A14292">
        <f>HYPERLINK("https://www.philgeps.gov.ph/GEPSNONPILOT/Tender/SplashBidNoticeAbstractUI.aspx?menuIndex=3&amp;refID=7011714&amp;Result=3","7011714")</f>
        <v>0</v>
      </c>
      <c r="B14292" t="s">
        <v>2003</v>
      </c>
      <c r="C14292" t="s">
        <v>16880</v>
      </c>
      <c r="D14292" t="s">
        <v>18022</v>
      </c>
      <c r="E14292" t="s">
        <v>30512</v>
      </c>
      <c r="F14292" t="s">
        <v>31574</v>
      </c>
      <c r="G14292" t="s">
        <v>31582</v>
      </c>
      <c r="H14292" t="s">
        <v>31591</v>
      </c>
      <c r="I14292" t="s">
        <v>8822</v>
      </c>
      <c r="J14292" t="s">
        <v>40492</v>
      </c>
      <c r="K14292" t="s">
        <v>41235</v>
      </c>
      <c r="M14292" t="s">
        <v>43665</v>
      </c>
      <c r="N14292" t="s">
        <v>45095</v>
      </c>
      <c r="O14292" t="s">
        <v>45096</v>
      </c>
      <c r="Q14292">
        <v>29</v>
      </c>
      <c r="R14292" t="s">
        <v>45117</v>
      </c>
      <c r="S14292" t="s">
        <v>46035</v>
      </c>
      <c r="T14292" t="s">
        <v>47159</v>
      </c>
      <c r="U14292" t="s">
        <v>52971</v>
      </c>
      <c r="W14292" t="s">
        <v>43665</v>
      </c>
      <c r="X14292" t="s">
        <v>45118</v>
      </c>
    </row>
    <row r="14293" spans="1:24">
      <c r="A14293">
        <f>HYPERLINK("https://www.philgeps.gov.ph/GEPSNONPILOT/Tender/SplashBidNoticeAbstractUI.aspx?menuIndex=3&amp;refID=7011658&amp;Result=3","7011658")</f>
        <v>0</v>
      </c>
      <c r="B14293" t="s">
        <v>3115</v>
      </c>
      <c r="C14293" t="s">
        <v>15243</v>
      </c>
      <c r="D14293" t="s">
        <v>18023</v>
      </c>
      <c r="E14293" t="s">
        <v>30513</v>
      </c>
      <c r="F14293" t="s">
        <v>31574</v>
      </c>
      <c r="G14293" t="s">
        <v>31582</v>
      </c>
      <c r="H14293" t="s">
        <v>31590</v>
      </c>
      <c r="I14293" t="s">
        <v>7185</v>
      </c>
      <c r="J14293" t="s">
        <v>40493</v>
      </c>
      <c r="K14293" t="s">
        <v>41186</v>
      </c>
      <c r="M14293" t="s">
        <v>44962</v>
      </c>
      <c r="N14293" t="s">
        <v>45095</v>
      </c>
      <c r="O14293" t="s">
        <v>45096</v>
      </c>
      <c r="P14293">
        <v>0</v>
      </c>
      <c r="Q14293">
        <v>7</v>
      </c>
      <c r="R14293" t="s">
        <v>45117</v>
      </c>
      <c r="S14293" t="s">
        <v>45992</v>
      </c>
      <c r="T14293" t="s">
        <v>47229</v>
      </c>
      <c r="U14293" t="s">
        <v>59004</v>
      </c>
      <c r="W14293" t="s">
        <v>44962</v>
      </c>
      <c r="X14293" t="s">
        <v>45118</v>
      </c>
    </row>
    <row r="14294" spans="1:24">
      <c r="A14294">
        <f>HYPERLINK("https://www.philgeps.gov.ph/GEPSNONPILOT/Tender/SplashBidNoticeAbstractUI.aspx?menuIndex=3&amp;refID=7011663&amp;Result=3","7011663")</f>
        <v>0</v>
      </c>
      <c r="B14294" t="s">
        <v>1891</v>
      </c>
      <c r="C14294" t="s">
        <v>16881</v>
      </c>
      <c r="D14294" t="s">
        <v>18056</v>
      </c>
      <c r="E14294" t="s">
        <v>30514</v>
      </c>
      <c r="F14294" t="s">
        <v>31574</v>
      </c>
      <c r="G14294" t="s">
        <v>31582</v>
      </c>
      <c r="H14294" t="s">
        <v>31591</v>
      </c>
      <c r="I14294" t="s">
        <v>8822</v>
      </c>
      <c r="J14294" t="s">
        <v>32510</v>
      </c>
      <c r="K14294" t="s">
        <v>41209</v>
      </c>
      <c r="L14294" t="s">
        <v>1891</v>
      </c>
      <c r="M14294" t="s">
        <v>43534</v>
      </c>
      <c r="N14294" t="s">
        <v>45095</v>
      </c>
      <c r="O14294" t="s">
        <v>45096</v>
      </c>
      <c r="P14294">
        <v>0</v>
      </c>
      <c r="Q14294">
        <v>1</v>
      </c>
      <c r="R14294" t="s">
        <v>45117</v>
      </c>
      <c r="S14294" t="s">
        <v>45992</v>
      </c>
      <c r="T14294" t="s">
        <v>47154</v>
      </c>
      <c r="U14294" t="s">
        <v>59005</v>
      </c>
      <c r="W14294" t="s">
        <v>43534</v>
      </c>
      <c r="X14294" t="s">
        <v>45118</v>
      </c>
    </row>
    <row r="14295" spans="1:24">
      <c r="A14295">
        <f>HYPERLINK("https://www.philgeps.gov.ph/GEPSNONPILOT/Tender/SplashBidNoticeAbstractUI.aspx?menuIndex=3&amp;refID=7011655&amp;Result=3","7011655")</f>
        <v>0</v>
      </c>
      <c r="B14295" t="s">
        <v>852</v>
      </c>
      <c r="C14295" t="s">
        <v>16882</v>
      </c>
      <c r="D14295" t="s">
        <v>18051</v>
      </c>
      <c r="E14295" t="s">
        <v>30515</v>
      </c>
      <c r="F14295" t="s">
        <v>31574</v>
      </c>
      <c r="G14295" t="s">
        <v>31582</v>
      </c>
      <c r="H14295" t="s">
        <v>31591</v>
      </c>
      <c r="I14295" t="s">
        <v>8822</v>
      </c>
      <c r="J14295" t="s">
        <v>32510</v>
      </c>
      <c r="K14295" t="s">
        <v>41221</v>
      </c>
      <c r="M14295" t="s">
        <v>42371</v>
      </c>
      <c r="N14295" t="s">
        <v>45095</v>
      </c>
      <c r="O14295" t="s">
        <v>45096</v>
      </c>
      <c r="Q14295">
        <v>2</v>
      </c>
      <c r="R14295" t="s">
        <v>45117</v>
      </c>
      <c r="S14295" t="s">
        <v>46036</v>
      </c>
      <c r="T14295" t="s">
        <v>47159</v>
      </c>
      <c r="U14295" t="s">
        <v>59006</v>
      </c>
      <c r="V14295" t="s">
        <v>61447</v>
      </c>
      <c r="W14295" t="s">
        <v>42371</v>
      </c>
      <c r="X14295" t="s">
        <v>45118</v>
      </c>
    </row>
    <row r="14296" spans="1:24">
      <c r="A14296">
        <f>HYPERLINK("https://www.philgeps.gov.ph/GEPSNONPILOT/Tender/SplashBidNoticeAbstractUI.aspx?menuIndex=3&amp;refID=7011700&amp;Result=3","7011700")</f>
        <v>0</v>
      </c>
      <c r="B14296" t="s">
        <v>3113</v>
      </c>
      <c r="C14296" t="s">
        <v>16883</v>
      </c>
      <c r="D14296" t="s">
        <v>18039</v>
      </c>
      <c r="E14296" t="s">
        <v>30516</v>
      </c>
      <c r="F14296" t="s">
        <v>31574</v>
      </c>
      <c r="G14296" t="s">
        <v>31582</v>
      </c>
      <c r="H14296" t="s">
        <v>31591</v>
      </c>
      <c r="I14296" t="s">
        <v>8822</v>
      </c>
      <c r="J14296" t="s">
        <v>40494</v>
      </c>
      <c r="K14296" t="s">
        <v>41203</v>
      </c>
      <c r="M14296" t="s">
        <v>44960</v>
      </c>
      <c r="N14296" t="s">
        <v>45095</v>
      </c>
      <c r="O14296" t="s">
        <v>45096</v>
      </c>
      <c r="Q14296">
        <v>6</v>
      </c>
      <c r="R14296" t="s">
        <v>45117</v>
      </c>
      <c r="S14296" t="s">
        <v>46037</v>
      </c>
      <c r="T14296" t="s">
        <v>47159</v>
      </c>
      <c r="U14296" t="s">
        <v>58996</v>
      </c>
      <c r="W14296" t="s">
        <v>61775</v>
      </c>
      <c r="X14296" t="s">
        <v>45118</v>
      </c>
    </row>
    <row r="14297" spans="1:24">
      <c r="A14297">
        <f>HYPERLINK("https://www.philgeps.gov.ph/GEPSNONPILOT/Tender/SplashBidNoticeAbstractUI.aspx?menuIndex=3&amp;refID=7011702&amp;Result=3","7011702")</f>
        <v>0</v>
      </c>
      <c r="B14297" t="s">
        <v>2003</v>
      </c>
      <c r="C14297" t="s">
        <v>16884</v>
      </c>
      <c r="D14297" t="s">
        <v>18022</v>
      </c>
      <c r="E14297" t="s">
        <v>30517</v>
      </c>
      <c r="F14297" t="s">
        <v>31574</v>
      </c>
      <c r="G14297" t="s">
        <v>31582</v>
      </c>
      <c r="H14297" t="s">
        <v>31591</v>
      </c>
      <c r="I14297" t="s">
        <v>8822</v>
      </c>
      <c r="J14297" t="s">
        <v>40495</v>
      </c>
      <c r="K14297" t="s">
        <v>41235</v>
      </c>
      <c r="M14297" t="s">
        <v>43665</v>
      </c>
      <c r="N14297" t="s">
        <v>45095</v>
      </c>
      <c r="O14297" t="s">
        <v>45096</v>
      </c>
      <c r="Q14297">
        <v>35</v>
      </c>
      <c r="R14297" t="s">
        <v>45117</v>
      </c>
      <c r="S14297" t="s">
        <v>46038</v>
      </c>
      <c r="T14297" t="s">
        <v>47159</v>
      </c>
      <c r="U14297" t="s">
        <v>52971</v>
      </c>
      <c r="W14297" t="s">
        <v>43665</v>
      </c>
      <c r="X14297" t="s">
        <v>45118</v>
      </c>
    </row>
    <row r="14298" spans="1:24">
      <c r="A14298">
        <f>HYPERLINK("https://www.philgeps.gov.ph/GEPSNONPILOT/Tender/SplashBidNoticeAbstractUI.aspx?menuIndex=3&amp;refID=7011718&amp;Result=3","7011718")</f>
        <v>0</v>
      </c>
      <c r="B14298" t="s">
        <v>3116</v>
      </c>
      <c r="C14298" t="s">
        <v>16885</v>
      </c>
      <c r="D14298" t="s">
        <v>18027</v>
      </c>
      <c r="E14298" t="s">
        <v>30518</v>
      </c>
      <c r="F14298" t="s">
        <v>31574</v>
      </c>
      <c r="G14298" t="s">
        <v>31582</v>
      </c>
      <c r="H14298" t="s">
        <v>31590</v>
      </c>
      <c r="I14298" t="s">
        <v>31615</v>
      </c>
      <c r="J14298" t="s">
        <v>32942</v>
      </c>
      <c r="K14298" t="s">
        <v>41184</v>
      </c>
      <c r="L14298" t="s">
        <v>3116</v>
      </c>
      <c r="M14298" t="s">
        <v>44963</v>
      </c>
      <c r="N14298" t="s">
        <v>45095</v>
      </c>
      <c r="O14298" t="s">
        <v>45096</v>
      </c>
      <c r="P14298">
        <v>0</v>
      </c>
      <c r="Q14298">
        <v>10</v>
      </c>
      <c r="R14298" t="s">
        <v>45117</v>
      </c>
      <c r="S14298" t="s">
        <v>45992</v>
      </c>
      <c r="T14298" t="s">
        <v>47183</v>
      </c>
      <c r="U14298" t="s">
        <v>59007</v>
      </c>
      <c r="W14298" t="s">
        <v>44963</v>
      </c>
      <c r="X14298" t="s">
        <v>45118</v>
      </c>
    </row>
    <row r="14299" spans="1:24">
      <c r="A14299">
        <f>HYPERLINK("https://www.philgeps.gov.ph/GEPSNONPILOT/Tender/SplashBidNoticeAbstractUI.aspx?menuIndex=3&amp;refID=7011724&amp;Result=3","7011724")</f>
        <v>0</v>
      </c>
      <c r="B14299" t="s">
        <v>2003</v>
      </c>
      <c r="C14299" t="s">
        <v>16886</v>
      </c>
      <c r="D14299" t="s">
        <v>18022</v>
      </c>
      <c r="E14299" t="s">
        <v>30519</v>
      </c>
      <c r="F14299" t="s">
        <v>31574</v>
      </c>
      <c r="G14299" t="s">
        <v>31582</v>
      </c>
      <c r="H14299" t="s">
        <v>31591</v>
      </c>
      <c r="I14299" t="s">
        <v>8822</v>
      </c>
      <c r="J14299" t="s">
        <v>40496</v>
      </c>
      <c r="K14299" t="s">
        <v>41202</v>
      </c>
      <c r="M14299" t="s">
        <v>43665</v>
      </c>
      <c r="N14299" t="s">
        <v>45095</v>
      </c>
      <c r="O14299" t="s">
        <v>45096</v>
      </c>
      <c r="Q14299">
        <v>34</v>
      </c>
      <c r="R14299" t="s">
        <v>45117</v>
      </c>
      <c r="S14299" t="s">
        <v>46039</v>
      </c>
      <c r="T14299" t="s">
        <v>47159</v>
      </c>
      <c r="U14299" t="s">
        <v>52971</v>
      </c>
      <c r="W14299" t="s">
        <v>43665</v>
      </c>
      <c r="X14299" t="s">
        <v>45118</v>
      </c>
    </row>
    <row r="14300" spans="1:24">
      <c r="A14300">
        <f>HYPERLINK("https://www.philgeps.gov.ph/GEPSNONPILOT/Tender/SplashBidNoticeAbstractUI.aspx?menuIndex=3&amp;refID=7011386&amp;Result=3","7011386")</f>
        <v>0</v>
      </c>
      <c r="B14300" t="s">
        <v>91</v>
      </c>
      <c r="C14300" t="s">
        <v>16887</v>
      </c>
      <c r="D14300" t="s">
        <v>18060</v>
      </c>
      <c r="E14300" t="s">
        <v>30520</v>
      </c>
      <c r="F14300" t="s">
        <v>31574</v>
      </c>
      <c r="G14300" t="s">
        <v>31582</v>
      </c>
      <c r="H14300" t="s">
        <v>31591</v>
      </c>
      <c r="I14300" t="s">
        <v>8822</v>
      </c>
      <c r="J14300" t="s">
        <v>34069</v>
      </c>
      <c r="K14300" t="s">
        <v>41189</v>
      </c>
      <c r="M14300" t="s">
        <v>42330</v>
      </c>
      <c r="N14300" t="s">
        <v>45095</v>
      </c>
      <c r="O14300" t="s">
        <v>45096</v>
      </c>
      <c r="P14300">
        <v>0</v>
      </c>
      <c r="Q14300">
        <v>0</v>
      </c>
      <c r="R14300" t="s">
        <v>45117</v>
      </c>
      <c r="S14300" t="s">
        <v>45992</v>
      </c>
      <c r="T14300" t="s">
        <v>47076</v>
      </c>
      <c r="U14300" t="s">
        <v>59008</v>
      </c>
      <c r="W14300" t="s">
        <v>42330</v>
      </c>
      <c r="X14300" t="s">
        <v>45118</v>
      </c>
    </row>
    <row r="14301" spans="1:24">
      <c r="A14301">
        <f>HYPERLINK("https://www.philgeps.gov.ph/GEPSNONPILOT/Tender/SplashBidNoticeAbstractUI.aspx?menuIndex=3&amp;refID=7011725&amp;Result=3","7011725")</f>
        <v>0</v>
      </c>
      <c r="B14301" t="s">
        <v>553</v>
      </c>
      <c r="C14301" t="s">
        <v>16888</v>
      </c>
      <c r="D14301" t="s">
        <v>18022</v>
      </c>
      <c r="E14301" t="s">
        <v>30521</v>
      </c>
      <c r="F14301" t="s">
        <v>31574</v>
      </c>
      <c r="G14301" t="s">
        <v>31582</v>
      </c>
      <c r="H14301" t="s">
        <v>31590</v>
      </c>
      <c r="I14301" t="s">
        <v>31608</v>
      </c>
      <c r="J14301" t="s">
        <v>40497</v>
      </c>
      <c r="K14301" t="s">
        <v>41184</v>
      </c>
      <c r="M14301" t="s">
        <v>43994</v>
      </c>
      <c r="N14301" t="s">
        <v>45095</v>
      </c>
      <c r="O14301" t="s">
        <v>45096</v>
      </c>
      <c r="Q14301">
        <v>32</v>
      </c>
      <c r="R14301" t="s">
        <v>45117</v>
      </c>
      <c r="S14301" t="s">
        <v>46040</v>
      </c>
      <c r="T14301" t="s">
        <v>46985</v>
      </c>
      <c r="U14301" t="s">
        <v>59009</v>
      </c>
      <c r="V14301" t="s">
        <v>60684</v>
      </c>
      <c r="W14301" t="s">
        <v>43994</v>
      </c>
      <c r="X14301" t="s">
        <v>45118</v>
      </c>
    </row>
    <row r="14302" spans="1:24">
      <c r="A14302">
        <f>HYPERLINK("https://www.philgeps.gov.ph/GEPSNONPILOT/Tender/SplashBidNoticeAbstractUI.aspx?menuIndex=3&amp;refID=7011763&amp;Result=3","7011763")</f>
        <v>0</v>
      </c>
      <c r="B14302" t="s">
        <v>3117</v>
      </c>
      <c r="C14302" t="s">
        <v>16889</v>
      </c>
      <c r="D14302" t="s">
        <v>18070</v>
      </c>
      <c r="E14302" t="s">
        <v>30522</v>
      </c>
      <c r="F14302" t="s">
        <v>31574</v>
      </c>
      <c r="G14302" t="s">
        <v>31582</v>
      </c>
      <c r="H14302" t="s">
        <v>31591</v>
      </c>
      <c r="I14302" t="s">
        <v>8822</v>
      </c>
      <c r="J14302" t="s">
        <v>40498</v>
      </c>
      <c r="K14302" t="s">
        <v>41198</v>
      </c>
      <c r="M14302" t="s">
        <v>44964</v>
      </c>
      <c r="N14302" t="s">
        <v>45095</v>
      </c>
      <c r="O14302" t="s">
        <v>45096</v>
      </c>
      <c r="Q14302">
        <v>1</v>
      </c>
      <c r="R14302" t="s">
        <v>45117</v>
      </c>
      <c r="S14302" t="s">
        <v>46041</v>
      </c>
      <c r="T14302" t="s">
        <v>47159</v>
      </c>
      <c r="U14302" t="s">
        <v>59010</v>
      </c>
      <c r="W14302" t="s">
        <v>44964</v>
      </c>
      <c r="X14302" t="s">
        <v>45118</v>
      </c>
    </row>
    <row r="14303" spans="1:24">
      <c r="A14303">
        <f>HYPERLINK("https://www.philgeps.gov.ph/GEPSNONPILOT/Tender/SplashBidNoticeAbstractUI.aspx?menuIndex=3&amp;refID=7011666&amp;Result=3","7011666")</f>
        <v>0</v>
      </c>
      <c r="B14303" t="s">
        <v>852</v>
      </c>
      <c r="C14303" t="s">
        <v>16890</v>
      </c>
      <c r="D14303" t="s">
        <v>18051</v>
      </c>
      <c r="E14303" t="s">
        <v>30523</v>
      </c>
      <c r="F14303" t="s">
        <v>31574</v>
      </c>
      <c r="G14303" t="s">
        <v>31582</v>
      </c>
      <c r="H14303" t="s">
        <v>31591</v>
      </c>
      <c r="I14303" t="s">
        <v>8822</v>
      </c>
      <c r="J14303" t="s">
        <v>32026</v>
      </c>
      <c r="K14303" t="s">
        <v>41192</v>
      </c>
      <c r="M14303" t="s">
        <v>42371</v>
      </c>
      <c r="N14303" t="s">
        <v>45095</v>
      </c>
      <c r="O14303" t="s">
        <v>45096</v>
      </c>
      <c r="Q14303">
        <v>1</v>
      </c>
      <c r="R14303" t="s">
        <v>45117</v>
      </c>
      <c r="S14303" t="s">
        <v>46042</v>
      </c>
      <c r="T14303" t="s">
        <v>47159</v>
      </c>
      <c r="U14303" t="s">
        <v>59011</v>
      </c>
      <c r="V14303" t="s">
        <v>61448</v>
      </c>
      <c r="W14303" t="s">
        <v>42371</v>
      </c>
      <c r="X14303" t="s">
        <v>45118</v>
      </c>
    </row>
    <row r="14304" spans="1:24">
      <c r="A14304">
        <f>HYPERLINK("https://www.philgeps.gov.ph/GEPSNONPILOT/Tender/SplashBidNoticeAbstractUI.aspx?menuIndex=3&amp;refID=7011704&amp;Result=3","7011704")</f>
        <v>0</v>
      </c>
      <c r="B14304" t="s">
        <v>2003</v>
      </c>
      <c r="C14304" t="s">
        <v>16891</v>
      </c>
      <c r="D14304" t="s">
        <v>18022</v>
      </c>
      <c r="E14304" t="s">
        <v>30524</v>
      </c>
      <c r="F14304" t="s">
        <v>31574</v>
      </c>
      <c r="G14304" t="s">
        <v>31582</v>
      </c>
      <c r="H14304" t="s">
        <v>31591</v>
      </c>
      <c r="I14304" t="s">
        <v>8822</v>
      </c>
      <c r="J14304" t="s">
        <v>40499</v>
      </c>
      <c r="K14304" t="s">
        <v>41256</v>
      </c>
      <c r="M14304" t="s">
        <v>43665</v>
      </c>
      <c r="N14304" t="s">
        <v>45095</v>
      </c>
      <c r="O14304" t="s">
        <v>45096</v>
      </c>
      <c r="Q14304">
        <v>29</v>
      </c>
      <c r="R14304" t="s">
        <v>45117</v>
      </c>
      <c r="S14304" t="s">
        <v>46043</v>
      </c>
      <c r="T14304" t="s">
        <v>47159</v>
      </c>
      <c r="U14304" t="s">
        <v>52971</v>
      </c>
      <c r="W14304" t="s">
        <v>43665</v>
      </c>
      <c r="X14304" t="s">
        <v>45118</v>
      </c>
    </row>
    <row r="14305" spans="1:24">
      <c r="A14305">
        <f>HYPERLINK("https://www.philgeps.gov.ph/GEPSNONPILOT/Tender/SplashBidNoticeAbstractUI.aspx?menuIndex=3&amp;refID=7011779&amp;Result=3","7011779")</f>
        <v>0</v>
      </c>
      <c r="B14305" t="s">
        <v>3118</v>
      </c>
      <c r="C14305" t="s">
        <v>16892</v>
      </c>
      <c r="D14305" t="s">
        <v>18083</v>
      </c>
      <c r="E14305" t="s">
        <v>30525</v>
      </c>
      <c r="F14305" t="s">
        <v>31574</v>
      </c>
      <c r="G14305" t="s">
        <v>31582</v>
      </c>
      <c r="H14305" t="s">
        <v>31591</v>
      </c>
      <c r="I14305" t="s">
        <v>8822</v>
      </c>
      <c r="J14305" t="s">
        <v>33343</v>
      </c>
      <c r="K14305" t="s">
        <v>41189</v>
      </c>
      <c r="M14305" t="s">
        <v>44965</v>
      </c>
      <c r="N14305" t="s">
        <v>45095</v>
      </c>
      <c r="O14305" t="s">
        <v>45096</v>
      </c>
      <c r="P14305">
        <v>0</v>
      </c>
      <c r="Q14305">
        <v>0</v>
      </c>
      <c r="R14305" t="s">
        <v>45117</v>
      </c>
      <c r="S14305" t="s">
        <v>45992</v>
      </c>
      <c r="T14305" t="s">
        <v>47235</v>
      </c>
      <c r="U14305" t="s">
        <v>59012</v>
      </c>
      <c r="W14305" t="s">
        <v>44965</v>
      </c>
      <c r="X14305" t="s">
        <v>45118</v>
      </c>
    </row>
    <row r="14306" spans="1:24">
      <c r="A14306">
        <f>HYPERLINK("https://www.philgeps.gov.ph/GEPSNONPILOT/Tender/SplashBidNoticeAbstractUI.aspx?menuIndex=3&amp;refID=7001309&amp;Result=3","7001309")</f>
        <v>0</v>
      </c>
      <c r="B14306" t="s">
        <v>1211</v>
      </c>
      <c r="C14306" t="s">
        <v>16893</v>
      </c>
      <c r="D14306" t="s">
        <v>18041</v>
      </c>
      <c r="E14306" t="s">
        <v>30526</v>
      </c>
      <c r="F14306" t="s">
        <v>31574</v>
      </c>
      <c r="G14306" t="s">
        <v>31582</v>
      </c>
      <c r="H14306" t="s">
        <v>31590</v>
      </c>
      <c r="I14306" t="s">
        <v>31625</v>
      </c>
      <c r="J14306" t="s">
        <v>40500</v>
      </c>
      <c r="K14306" t="s">
        <v>41191</v>
      </c>
      <c r="M14306" t="s">
        <v>42771</v>
      </c>
      <c r="N14306" t="s">
        <v>45095</v>
      </c>
      <c r="O14306" t="s">
        <v>45096</v>
      </c>
      <c r="P14306">
        <v>0</v>
      </c>
      <c r="Q14306">
        <v>6</v>
      </c>
      <c r="R14306" t="s">
        <v>45118</v>
      </c>
      <c r="S14306" t="s">
        <v>46044</v>
      </c>
      <c r="T14306" t="s">
        <v>47171</v>
      </c>
      <c r="U14306" t="s">
        <v>51681</v>
      </c>
      <c r="W14306" t="s">
        <v>61694</v>
      </c>
      <c r="X14306" t="s">
        <v>45125</v>
      </c>
    </row>
    <row r="14307" spans="1:24">
      <c r="A14307">
        <f>HYPERLINK("https://www.philgeps.gov.ph/GEPSNONPILOT/Tender/SplashBidNoticeAbstractUI.aspx?menuIndex=3&amp;refID=6999849&amp;Result=3","6999849")</f>
        <v>0</v>
      </c>
      <c r="B14307" t="s">
        <v>1211</v>
      </c>
      <c r="C14307" t="s">
        <v>16894</v>
      </c>
      <c r="D14307" t="s">
        <v>18041</v>
      </c>
      <c r="E14307" t="s">
        <v>30527</v>
      </c>
      <c r="F14307" t="s">
        <v>31574</v>
      </c>
      <c r="G14307" t="s">
        <v>31582</v>
      </c>
      <c r="H14307" t="s">
        <v>31590</v>
      </c>
      <c r="I14307" t="s">
        <v>7185</v>
      </c>
      <c r="J14307" t="s">
        <v>40501</v>
      </c>
      <c r="K14307" t="s">
        <v>41191</v>
      </c>
      <c r="M14307" t="s">
        <v>42771</v>
      </c>
      <c r="N14307" t="s">
        <v>45095</v>
      </c>
      <c r="O14307" t="s">
        <v>45096</v>
      </c>
      <c r="Q14307">
        <v>18</v>
      </c>
      <c r="R14307" t="s">
        <v>45118</v>
      </c>
      <c r="S14307" t="s">
        <v>46045</v>
      </c>
      <c r="T14307" t="s">
        <v>47171</v>
      </c>
      <c r="U14307" t="s">
        <v>51681</v>
      </c>
      <c r="W14307" t="s">
        <v>61694</v>
      </c>
      <c r="X14307" t="s">
        <v>45128</v>
      </c>
    </row>
    <row r="14308" spans="1:24">
      <c r="A14308">
        <f>HYPERLINK("https://www.philgeps.gov.ph/GEPSNONPILOT/Tender/SplashBidNoticeAbstractUI.aspx?menuIndex=3&amp;refID=7001280&amp;Result=3","7001280")</f>
        <v>0</v>
      </c>
      <c r="B14308" t="s">
        <v>1211</v>
      </c>
      <c r="C14308" t="s">
        <v>16895</v>
      </c>
      <c r="D14308" t="s">
        <v>18041</v>
      </c>
      <c r="E14308" t="s">
        <v>30528</v>
      </c>
      <c r="F14308" t="s">
        <v>31574</v>
      </c>
      <c r="G14308" t="s">
        <v>31582</v>
      </c>
      <c r="H14308" t="s">
        <v>31590</v>
      </c>
      <c r="I14308" t="s">
        <v>31616</v>
      </c>
      <c r="J14308" t="s">
        <v>40502</v>
      </c>
      <c r="K14308" t="s">
        <v>41186</v>
      </c>
      <c r="M14308" t="s">
        <v>42771</v>
      </c>
      <c r="N14308" t="s">
        <v>45095</v>
      </c>
      <c r="O14308" t="s">
        <v>45096</v>
      </c>
      <c r="Q14308">
        <v>10</v>
      </c>
      <c r="R14308" t="s">
        <v>45118</v>
      </c>
      <c r="S14308" t="s">
        <v>46046</v>
      </c>
      <c r="T14308" t="s">
        <v>47171</v>
      </c>
      <c r="U14308" t="s">
        <v>51681</v>
      </c>
      <c r="W14308" t="s">
        <v>61694</v>
      </c>
      <c r="X14308" t="s">
        <v>45125</v>
      </c>
    </row>
    <row r="14309" spans="1:24">
      <c r="A14309">
        <f>HYPERLINK("https://www.philgeps.gov.ph/GEPSNONPILOT/Tender/SplashBidNoticeAbstractUI.aspx?menuIndex=3&amp;refID=7011742&amp;Result=3","7011742")</f>
        <v>0</v>
      </c>
      <c r="B14309" t="s">
        <v>961</v>
      </c>
      <c r="C14309" t="s">
        <v>16896</v>
      </c>
      <c r="D14309" t="s">
        <v>18023</v>
      </c>
      <c r="E14309" t="s">
        <v>30529</v>
      </c>
      <c r="F14309" t="s">
        <v>31574</v>
      </c>
      <c r="G14309" t="s">
        <v>31582</v>
      </c>
      <c r="H14309" t="s">
        <v>31590</v>
      </c>
      <c r="I14309" t="s">
        <v>31642</v>
      </c>
      <c r="J14309" t="s">
        <v>31935</v>
      </c>
      <c r="K14309" t="s">
        <v>41185</v>
      </c>
      <c r="M14309" t="s">
        <v>44456</v>
      </c>
      <c r="N14309" t="s">
        <v>45095</v>
      </c>
      <c r="O14309" t="s">
        <v>45096</v>
      </c>
      <c r="Q14309">
        <v>2</v>
      </c>
      <c r="R14309" t="s">
        <v>45117</v>
      </c>
      <c r="S14309" t="s">
        <v>46047</v>
      </c>
      <c r="T14309" t="s">
        <v>46985</v>
      </c>
      <c r="U14309" t="s">
        <v>59013</v>
      </c>
      <c r="W14309" t="s">
        <v>44456</v>
      </c>
      <c r="X14309" t="s">
        <v>45118</v>
      </c>
    </row>
    <row r="14310" spans="1:24">
      <c r="A14310">
        <f>HYPERLINK("https://www.philgeps.gov.ph/GEPSNONPILOT/Tender/SplashBidNoticeAbstractUI.aspx?menuIndex=3&amp;refID=7011735&amp;Result=3","7011735")</f>
        <v>0</v>
      </c>
      <c r="B14310" t="s">
        <v>2097</v>
      </c>
      <c r="C14310" t="s">
        <v>16897</v>
      </c>
      <c r="D14310" t="s">
        <v>18088</v>
      </c>
      <c r="E14310" t="s">
        <v>30530</v>
      </c>
      <c r="F14310" t="s">
        <v>31574</v>
      </c>
      <c r="G14310" t="s">
        <v>31582</v>
      </c>
      <c r="H14310" t="s">
        <v>31590</v>
      </c>
      <c r="I14310" t="s">
        <v>5717</v>
      </c>
      <c r="J14310" t="s">
        <v>40503</v>
      </c>
      <c r="K14310" t="s">
        <v>41190</v>
      </c>
      <c r="M14310" t="s">
        <v>43774</v>
      </c>
      <c r="N14310" t="s">
        <v>45095</v>
      </c>
      <c r="O14310" t="s">
        <v>45096</v>
      </c>
      <c r="P14310">
        <v>0</v>
      </c>
      <c r="Q14310">
        <v>7</v>
      </c>
      <c r="R14310" t="s">
        <v>45117</v>
      </c>
      <c r="S14310" t="s">
        <v>45992</v>
      </c>
      <c r="T14310" t="s">
        <v>47159</v>
      </c>
      <c r="U14310" t="s">
        <v>59014</v>
      </c>
      <c r="W14310" t="s">
        <v>43774</v>
      </c>
      <c r="X14310" t="s">
        <v>45118</v>
      </c>
    </row>
    <row r="14311" spans="1:24">
      <c r="A14311">
        <f>HYPERLINK("https://www.philgeps.gov.ph/GEPSNONPILOT/Tender/SplashBidNoticeAbstractUI.aspx?menuIndex=3&amp;refID=7011738&amp;Result=3","7011738")</f>
        <v>0</v>
      </c>
      <c r="B14311" t="s">
        <v>2003</v>
      </c>
      <c r="C14311" t="s">
        <v>16898</v>
      </c>
      <c r="D14311" t="s">
        <v>18022</v>
      </c>
      <c r="E14311" t="s">
        <v>30531</v>
      </c>
      <c r="F14311" t="s">
        <v>31574</v>
      </c>
      <c r="G14311" t="s">
        <v>31582</v>
      </c>
      <c r="H14311" t="s">
        <v>31591</v>
      </c>
      <c r="I14311" t="s">
        <v>8822</v>
      </c>
      <c r="J14311" t="s">
        <v>40504</v>
      </c>
      <c r="K14311" t="s">
        <v>41382</v>
      </c>
      <c r="M14311" t="s">
        <v>43665</v>
      </c>
      <c r="N14311" t="s">
        <v>45095</v>
      </c>
      <c r="O14311" t="s">
        <v>45096</v>
      </c>
      <c r="Q14311">
        <v>26</v>
      </c>
      <c r="R14311" t="s">
        <v>45117</v>
      </c>
      <c r="S14311" t="s">
        <v>46048</v>
      </c>
      <c r="T14311" t="s">
        <v>47159</v>
      </c>
      <c r="U14311" t="s">
        <v>52971</v>
      </c>
      <c r="W14311" t="s">
        <v>43665</v>
      </c>
      <c r="X14311" t="s">
        <v>45118</v>
      </c>
    </row>
    <row r="14312" spans="1:24">
      <c r="A14312">
        <f>HYPERLINK("https://www.philgeps.gov.ph/GEPSNONPILOT/Tender/SplashBidNoticeAbstractUI.aspx?menuIndex=3&amp;refID=7011757&amp;Result=3","7011757")</f>
        <v>0</v>
      </c>
      <c r="B14312" t="s">
        <v>961</v>
      </c>
      <c r="C14312" t="s">
        <v>16899</v>
      </c>
      <c r="D14312" t="s">
        <v>18023</v>
      </c>
      <c r="E14312" t="s">
        <v>30532</v>
      </c>
      <c r="F14312" t="s">
        <v>31574</v>
      </c>
      <c r="G14312" t="s">
        <v>31582</v>
      </c>
      <c r="H14312" t="s">
        <v>31590</v>
      </c>
      <c r="I14312" t="s">
        <v>31594</v>
      </c>
      <c r="J14312" t="s">
        <v>35720</v>
      </c>
      <c r="K14312" t="s">
        <v>41192</v>
      </c>
      <c r="M14312" t="s">
        <v>44456</v>
      </c>
      <c r="N14312" t="s">
        <v>45095</v>
      </c>
      <c r="O14312" t="s">
        <v>45096</v>
      </c>
      <c r="P14312">
        <v>0</v>
      </c>
      <c r="Q14312">
        <v>8</v>
      </c>
      <c r="R14312" t="s">
        <v>45117</v>
      </c>
      <c r="S14312" t="s">
        <v>45992</v>
      </c>
      <c r="T14312" t="s">
        <v>46985</v>
      </c>
      <c r="U14312" t="s">
        <v>59015</v>
      </c>
      <c r="W14312" t="s">
        <v>44456</v>
      </c>
      <c r="X14312" t="s">
        <v>45118</v>
      </c>
    </row>
    <row r="14313" spans="1:24">
      <c r="A14313">
        <f>HYPERLINK("https://www.philgeps.gov.ph/GEPSNONPILOT/Tender/SplashBidNoticeAbstractUI.aspx?menuIndex=3&amp;refID=7011732&amp;Result=3","7011732")</f>
        <v>0</v>
      </c>
      <c r="B14313" t="s">
        <v>2003</v>
      </c>
      <c r="C14313" t="s">
        <v>16900</v>
      </c>
      <c r="D14313" t="s">
        <v>18022</v>
      </c>
      <c r="E14313" t="s">
        <v>30533</v>
      </c>
      <c r="F14313" t="s">
        <v>31574</v>
      </c>
      <c r="G14313" t="s">
        <v>31582</v>
      </c>
      <c r="H14313" t="s">
        <v>31591</v>
      </c>
      <c r="I14313" t="s">
        <v>8822</v>
      </c>
      <c r="J14313" t="s">
        <v>40505</v>
      </c>
      <c r="K14313" t="s">
        <v>41256</v>
      </c>
      <c r="M14313" t="s">
        <v>43665</v>
      </c>
      <c r="N14313" t="s">
        <v>45095</v>
      </c>
      <c r="O14313" t="s">
        <v>45096</v>
      </c>
      <c r="Q14313">
        <v>30</v>
      </c>
      <c r="R14313" t="s">
        <v>45117</v>
      </c>
      <c r="S14313" t="s">
        <v>46049</v>
      </c>
      <c r="T14313" t="s">
        <v>47159</v>
      </c>
      <c r="U14313" t="s">
        <v>52971</v>
      </c>
      <c r="W14313" t="s">
        <v>43665</v>
      </c>
      <c r="X14313" t="s">
        <v>45118</v>
      </c>
    </row>
    <row r="14314" spans="1:24">
      <c r="A14314">
        <f>HYPERLINK("https://www.philgeps.gov.ph/GEPSNONPILOT/Tender/SplashBidNoticeAbstractUI.aspx?menuIndex=3&amp;refID=7011737&amp;Result=3","7011737")</f>
        <v>0</v>
      </c>
      <c r="B14314" t="s">
        <v>3113</v>
      </c>
      <c r="C14314" t="s">
        <v>16901</v>
      </c>
      <c r="D14314" t="s">
        <v>18039</v>
      </c>
      <c r="E14314" t="s">
        <v>30534</v>
      </c>
      <c r="F14314" t="s">
        <v>31574</v>
      </c>
      <c r="G14314" t="s">
        <v>31582</v>
      </c>
      <c r="H14314" t="s">
        <v>31591</v>
      </c>
      <c r="I14314" t="s">
        <v>8822</v>
      </c>
      <c r="J14314" t="s">
        <v>40506</v>
      </c>
      <c r="K14314" t="s">
        <v>41192</v>
      </c>
      <c r="M14314" t="s">
        <v>44960</v>
      </c>
      <c r="N14314" t="s">
        <v>45095</v>
      </c>
      <c r="O14314" t="s">
        <v>45096</v>
      </c>
      <c r="Q14314">
        <v>5</v>
      </c>
      <c r="R14314" t="s">
        <v>45117</v>
      </c>
      <c r="S14314" t="s">
        <v>46050</v>
      </c>
      <c r="T14314" t="s">
        <v>47159</v>
      </c>
      <c r="U14314" t="s">
        <v>58996</v>
      </c>
      <c r="W14314" t="s">
        <v>61775</v>
      </c>
      <c r="X14314" t="s">
        <v>45118</v>
      </c>
    </row>
    <row r="14315" spans="1:24">
      <c r="A14315">
        <f>HYPERLINK("https://www.philgeps.gov.ph/GEPSNONPILOT/Tender/SplashBidNoticeAbstractUI.aspx?menuIndex=3&amp;refID=7011733&amp;Result=3","7011733")</f>
        <v>0</v>
      </c>
      <c r="B14315" t="s">
        <v>1213</v>
      </c>
      <c r="C14315" t="s">
        <v>16902</v>
      </c>
      <c r="D14315" t="s">
        <v>18066</v>
      </c>
      <c r="E14315" t="s">
        <v>30535</v>
      </c>
      <c r="F14315" t="s">
        <v>31574</v>
      </c>
      <c r="G14315" t="s">
        <v>31582</v>
      </c>
      <c r="H14315" t="s">
        <v>31591</v>
      </c>
      <c r="I14315" t="s">
        <v>8822</v>
      </c>
      <c r="J14315" t="s">
        <v>32550</v>
      </c>
      <c r="K14315" t="s">
        <v>41243</v>
      </c>
      <c r="M14315" t="s">
        <v>42774</v>
      </c>
      <c r="N14315" t="s">
        <v>45095</v>
      </c>
      <c r="O14315" t="s">
        <v>45096</v>
      </c>
      <c r="P14315">
        <v>0</v>
      </c>
      <c r="Q14315">
        <v>4</v>
      </c>
      <c r="R14315" t="s">
        <v>45117</v>
      </c>
      <c r="S14315" t="s">
        <v>45992</v>
      </c>
      <c r="T14315" t="s">
        <v>47159</v>
      </c>
      <c r="U14315" t="s">
        <v>59016</v>
      </c>
      <c r="W14315" t="s">
        <v>42774</v>
      </c>
      <c r="X14315" t="s">
        <v>45118</v>
      </c>
    </row>
    <row r="14316" spans="1:24">
      <c r="A14316">
        <f>HYPERLINK("https://www.philgeps.gov.ph/GEPSNONPILOT/Tender/SplashBidNoticeAbstractUI.aspx?menuIndex=3&amp;refID=7011729&amp;Result=3","7011729")</f>
        <v>0</v>
      </c>
      <c r="B14316" t="s">
        <v>3105</v>
      </c>
      <c r="C14316" t="s">
        <v>16903</v>
      </c>
      <c r="D14316" t="s">
        <v>18064</v>
      </c>
      <c r="E14316" t="s">
        <v>28296</v>
      </c>
      <c r="F14316" t="s">
        <v>31574</v>
      </c>
      <c r="G14316" t="s">
        <v>31582</v>
      </c>
      <c r="H14316" t="s">
        <v>31591</v>
      </c>
      <c r="I14316" t="s">
        <v>8822</v>
      </c>
      <c r="J14316" t="s">
        <v>31771</v>
      </c>
      <c r="K14316" t="s">
        <v>41185</v>
      </c>
      <c r="M14316" t="s">
        <v>44951</v>
      </c>
      <c r="N14316" t="s">
        <v>45095</v>
      </c>
      <c r="O14316" t="s">
        <v>45096</v>
      </c>
      <c r="P14316">
        <v>0</v>
      </c>
      <c r="Q14316">
        <v>2</v>
      </c>
      <c r="R14316" t="s">
        <v>45117</v>
      </c>
      <c r="S14316" t="s">
        <v>45992</v>
      </c>
      <c r="T14316" t="s">
        <v>47183</v>
      </c>
      <c r="U14316" t="s">
        <v>59017</v>
      </c>
      <c r="W14316" t="s">
        <v>44951</v>
      </c>
      <c r="X14316" t="s">
        <v>45118</v>
      </c>
    </row>
    <row r="14317" spans="1:24">
      <c r="A14317">
        <f>HYPERLINK("https://www.philgeps.gov.ph/GEPSNONPILOT/Tender/SplashBidNoticeAbstractUI.aspx?menuIndex=3&amp;refID=7011787&amp;Result=3","7011787")</f>
        <v>0</v>
      </c>
      <c r="B14317" t="s">
        <v>1199</v>
      </c>
      <c r="C14317" t="s">
        <v>16904</v>
      </c>
      <c r="D14317" t="s">
        <v>18084</v>
      </c>
      <c r="E14317" t="s">
        <v>30536</v>
      </c>
      <c r="F14317" t="s">
        <v>31574</v>
      </c>
      <c r="G14317" t="s">
        <v>31582</v>
      </c>
      <c r="H14317" t="s">
        <v>31590</v>
      </c>
      <c r="I14317" t="s">
        <v>31608</v>
      </c>
      <c r="J14317" t="s">
        <v>40507</v>
      </c>
      <c r="K14317" t="s">
        <v>41185</v>
      </c>
      <c r="M14317" t="s">
        <v>42759</v>
      </c>
      <c r="N14317" t="s">
        <v>45095</v>
      </c>
      <c r="O14317" t="s">
        <v>45096</v>
      </c>
      <c r="Q14317">
        <v>8</v>
      </c>
      <c r="R14317" t="s">
        <v>45117</v>
      </c>
      <c r="S14317" t="s">
        <v>46051</v>
      </c>
      <c r="T14317" t="s">
        <v>47050</v>
      </c>
      <c r="U14317" t="s">
        <v>59018</v>
      </c>
      <c r="W14317" t="s">
        <v>42759</v>
      </c>
      <c r="X14317" t="s">
        <v>45118</v>
      </c>
    </row>
    <row r="14318" spans="1:24">
      <c r="A14318">
        <f>HYPERLINK("https://www.philgeps.gov.ph/GEPSNONPILOT/Tender/SplashBidNoticeAbstractUI.aspx?menuIndex=3&amp;refID=7005526&amp;Result=3","7005526")</f>
        <v>0</v>
      </c>
      <c r="B14318" t="s">
        <v>2379</v>
      </c>
      <c r="C14318" t="s">
        <v>16905</v>
      </c>
      <c r="D14318" t="s">
        <v>18090</v>
      </c>
      <c r="E14318" t="s">
        <v>23271</v>
      </c>
      <c r="F14318" t="s">
        <v>31574</v>
      </c>
      <c r="G14318" t="s">
        <v>31582</v>
      </c>
      <c r="H14318" t="s">
        <v>31591</v>
      </c>
      <c r="I14318" t="s">
        <v>8822</v>
      </c>
      <c r="J14318" t="s">
        <v>32101</v>
      </c>
      <c r="K14318" t="s">
        <v>41200</v>
      </c>
      <c r="M14318" t="s">
        <v>44103</v>
      </c>
      <c r="N14318" t="s">
        <v>45095</v>
      </c>
      <c r="O14318" t="s">
        <v>45096</v>
      </c>
      <c r="P14318">
        <v>0</v>
      </c>
      <c r="Q14318">
        <v>0</v>
      </c>
      <c r="R14318" t="s">
        <v>45118</v>
      </c>
      <c r="S14318" t="s">
        <v>46044</v>
      </c>
      <c r="T14318" t="s">
        <v>47183</v>
      </c>
      <c r="U14318" t="s">
        <v>54527</v>
      </c>
      <c r="W14318" t="s">
        <v>44103</v>
      </c>
      <c r="X14318" t="s">
        <v>45123</v>
      </c>
    </row>
    <row r="14319" spans="1:24">
      <c r="A14319">
        <f>HYPERLINK("https://www.philgeps.gov.ph/GEPSNONPILOT/Tender/SplashBidNoticeAbstractUI.aspx?menuIndex=3&amp;refID=7011741&amp;Result=3","7011741")</f>
        <v>0</v>
      </c>
      <c r="B14319" t="s">
        <v>2003</v>
      </c>
      <c r="C14319" t="s">
        <v>16906</v>
      </c>
      <c r="D14319" t="s">
        <v>18022</v>
      </c>
      <c r="E14319" t="s">
        <v>30537</v>
      </c>
      <c r="F14319" t="s">
        <v>31574</v>
      </c>
      <c r="G14319" t="s">
        <v>31582</v>
      </c>
      <c r="H14319" t="s">
        <v>31591</v>
      </c>
      <c r="I14319" t="s">
        <v>8822</v>
      </c>
      <c r="J14319" t="s">
        <v>40508</v>
      </c>
      <c r="K14319" t="s">
        <v>41235</v>
      </c>
      <c r="M14319" t="s">
        <v>43665</v>
      </c>
      <c r="N14319" t="s">
        <v>45095</v>
      </c>
      <c r="O14319" t="s">
        <v>45096</v>
      </c>
      <c r="Q14319">
        <v>23</v>
      </c>
      <c r="R14319" t="s">
        <v>45117</v>
      </c>
      <c r="S14319" t="s">
        <v>46052</v>
      </c>
      <c r="T14319" t="s">
        <v>47159</v>
      </c>
      <c r="U14319" t="s">
        <v>52971</v>
      </c>
      <c r="W14319" t="s">
        <v>43665</v>
      </c>
      <c r="X14319" t="s">
        <v>45118</v>
      </c>
    </row>
    <row r="14320" spans="1:24">
      <c r="A14320">
        <f>HYPERLINK("https://www.philgeps.gov.ph/GEPSNONPILOT/Tender/SplashBidNoticeAbstractUI.aspx?menuIndex=3&amp;refID=7011744&amp;Result=3","7011744")</f>
        <v>0</v>
      </c>
      <c r="B14320" t="s">
        <v>2003</v>
      </c>
      <c r="C14320" t="s">
        <v>16907</v>
      </c>
      <c r="D14320" t="s">
        <v>18022</v>
      </c>
      <c r="E14320" t="s">
        <v>30538</v>
      </c>
      <c r="F14320" t="s">
        <v>31574</v>
      </c>
      <c r="G14320" t="s">
        <v>31582</v>
      </c>
      <c r="H14320" t="s">
        <v>31591</v>
      </c>
      <c r="I14320" t="s">
        <v>8822</v>
      </c>
      <c r="J14320" t="s">
        <v>40509</v>
      </c>
      <c r="K14320" t="s">
        <v>41481</v>
      </c>
      <c r="M14320" t="s">
        <v>43665</v>
      </c>
      <c r="N14320" t="s">
        <v>45095</v>
      </c>
      <c r="O14320" t="s">
        <v>45096</v>
      </c>
      <c r="Q14320">
        <v>25</v>
      </c>
      <c r="R14320" t="s">
        <v>45117</v>
      </c>
      <c r="S14320" t="s">
        <v>46053</v>
      </c>
      <c r="T14320" t="s">
        <v>47159</v>
      </c>
      <c r="U14320" t="s">
        <v>52971</v>
      </c>
      <c r="W14320" t="s">
        <v>43665</v>
      </c>
      <c r="X14320" t="s">
        <v>45118</v>
      </c>
    </row>
    <row r="14321" spans="1:24">
      <c r="A14321">
        <f>HYPERLINK("https://www.philgeps.gov.ph/GEPSNONPILOT/Tender/SplashBidNoticeAbstractUI.aspx?menuIndex=3&amp;refID=7011728&amp;Result=3","7011728")</f>
        <v>0</v>
      </c>
      <c r="B14321" t="s">
        <v>2003</v>
      </c>
      <c r="C14321" t="s">
        <v>16908</v>
      </c>
      <c r="D14321" t="s">
        <v>18022</v>
      </c>
      <c r="E14321" t="s">
        <v>30539</v>
      </c>
      <c r="F14321" t="s">
        <v>31574</v>
      </c>
      <c r="G14321" t="s">
        <v>31582</v>
      </c>
      <c r="H14321" t="s">
        <v>31591</v>
      </c>
      <c r="I14321" t="s">
        <v>8822</v>
      </c>
      <c r="J14321" t="s">
        <v>40510</v>
      </c>
      <c r="K14321" t="s">
        <v>41188</v>
      </c>
      <c r="M14321" t="s">
        <v>43665</v>
      </c>
      <c r="N14321" t="s">
        <v>45095</v>
      </c>
      <c r="O14321" t="s">
        <v>45096</v>
      </c>
      <c r="Q14321">
        <v>25</v>
      </c>
      <c r="R14321" t="s">
        <v>45117</v>
      </c>
      <c r="S14321" t="s">
        <v>46054</v>
      </c>
      <c r="T14321" t="s">
        <v>47159</v>
      </c>
      <c r="U14321" t="s">
        <v>52971</v>
      </c>
      <c r="W14321" t="s">
        <v>43665</v>
      </c>
      <c r="X14321" t="s">
        <v>45118</v>
      </c>
    </row>
    <row r="14322" spans="1:24">
      <c r="A14322">
        <f>HYPERLINK("https://www.philgeps.gov.ph/GEPSNONPILOT/Tender/SplashBidNoticeAbstractUI.aspx?menuIndex=3&amp;refID=7001813&amp;Result=3","7001813")</f>
        <v>0</v>
      </c>
      <c r="B14322" t="s">
        <v>965</v>
      </c>
      <c r="C14322" t="s">
        <v>16909</v>
      </c>
      <c r="E14322" t="s">
        <v>30540</v>
      </c>
      <c r="F14322" t="s">
        <v>31574</v>
      </c>
      <c r="G14322" t="s">
        <v>31582</v>
      </c>
      <c r="H14322" t="s">
        <v>31590</v>
      </c>
      <c r="I14322" t="s">
        <v>3520</v>
      </c>
      <c r="J14322" t="s">
        <v>39132</v>
      </c>
      <c r="K14322" t="s">
        <v>41184</v>
      </c>
      <c r="M14322" t="s">
        <v>42494</v>
      </c>
      <c r="N14322" t="s">
        <v>45095</v>
      </c>
      <c r="O14322" t="s">
        <v>45096</v>
      </c>
      <c r="P14322">
        <v>0</v>
      </c>
      <c r="Q14322">
        <v>6</v>
      </c>
      <c r="R14322" t="s">
        <v>45118</v>
      </c>
      <c r="S14322" t="s">
        <v>46044</v>
      </c>
      <c r="T14322" t="s">
        <v>47154</v>
      </c>
      <c r="U14322" t="s">
        <v>59019</v>
      </c>
      <c r="W14322" t="s">
        <v>42494</v>
      </c>
      <c r="X14322" t="s">
        <v>45125</v>
      </c>
    </row>
    <row r="14323" spans="1:24">
      <c r="A14323">
        <f>HYPERLINK("https://www.philgeps.gov.ph/GEPSNONPILOT/Tender/SplashBidNoticeAbstractUI.aspx?menuIndex=3&amp;refID=7004463&amp;Result=3","7004463")</f>
        <v>0</v>
      </c>
      <c r="B14323" t="s">
        <v>3119</v>
      </c>
      <c r="C14323" t="s">
        <v>16910</v>
      </c>
      <c r="D14323" t="s">
        <v>18027</v>
      </c>
      <c r="E14323" t="s">
        <v>30541</v>
      </c>
      <c r="F14323" t="s">
        <v>31574</v>
      </c>
      <c r="G14323" t="s">
        <v>31582</v>
      </c>
      <c r="H14323" t="s">
        <v>31590</v>
      </c>
      <c r="I14323" t="s">
        <v>31596</v>
      </c>
      <c r="J14323" t="s">
        <v>40511</v>
      </c>
      <c r="K14323" t="s">
        <v>41184</v>
      </c>
      <c r="M14323" t="s">
        <v>44966</v>
      </c>
      <c r="N14323" t="s">
        <v>45095</v>
      </c>
      <c r="O14323" t="s">
        <v>45096</v>
      </c>
      <c r="P14323">
        <v>0</v>
      </c>
      <c r="Q14323">
        <v>3</v>
      </c>
      <c r="R14323" t="s">
        <v>45118</v>
      </c>
      <c r="S14323" t="s">
        <v>46044</v>
      </c>
      <c r="T14323" t="s">
        <v>47050</v>
      </c>
      <c r="U14323" t="s">
        <v>59020</v>
      </c>
      <c r="W14323" t="s">
        <v>44966</v>
      </c>
      <c r="X14323" t="s">
        <v>45124</v>
      </c>
    </row>
    <row r="14324" spans="1:24">
      <c r="A14324">
        <f>HYPERLINK("https://www.philgeps.gov.ph/GEPSNONPILOT/Tender/SplashBidNoticeAbstractUI.aspx?menuIndex=3&amp;refID=7005888&amp;Result=3","7005888")</f>
        <v>0</v>
      </c>
      <c r="B14324" t="s">
        <v>1116</v>
      </c>
      <c r="C14324" t="s">
        <v>16911</v>
      </c>
      <c r="D14324" t="s">
        <v>18095</v>
      </c>
      <c r="E14324" t="s">
        <v>30542</v>
      </c>
      <c r="F14324" t="s">
        <v>31574</v>
      </c>
      <c r="G14324" t="s">
        <v>31582</v>
      </c>
      <c r="H14324" t="s">
        <v>31590</v>
      </c>
      <c r="I14324" t="s">
        <v>8258</v>
      </c>
      <c r="J14324" t="s">
        <v>40512</v>
      </c>
      <c r="K14324" t="s">
        <v>41196</v>
      </c>
      <c r="M14324" t="s">
        <v>42665</v>
      </c>
      <c r="N14324" t="s">
        <v>45095</v>
      </c>
      <c r="O14324" t="s">
        <v>45096</v>
      </c>
      <c r="P14324">
        <v>0</v>
      </c>
      <c r="Q14324">
        <v>10</v>
      </c>
      <c r="R14324" t="s">
        <v>45118</v>
      </c>
      <c r="S14324" t="s">
        <v>46044</v>
      </c>
      <c r="T14324" t="s">
        <v>47183</v>
      </c>
      <c r="U14324" t="s">
        <v>59021</v>
      </c>
      <c r="V14324" t="s">
        <v>61315</v>
      </c>
      <c r="W14324" t="s">
        <v>42665</v>
      </c>
      <c r="X14324" t="s">
        <v>45123</v>
      </c>
    </row>
    <row r="14325" spans="1:24">
      <c r="A14325">
        <f>HYPERLINK("https://www.philgeps.gov.ph/GEPSNONPILOT/Tender/SplashBidNoticeAbstractUI.aspx?menuIndex=3&amp;refID=7004208&amp;Result=3","7004208")</f>
        <v>0</v>
      </c>
      <c r="B14325" t="s">
        <v>630</v>
      </c>
      <c r="C14325" t="s">
        <v>16912</v>
      </c>
      <c r="D14325" t="s">
        <v>18086</v>
      </c>
      <c r="E14325" t="s">
        <v>30543</v>
      </c>
      <c r="F14325" t="s">
        <v>31574</v>
      </c>
      <c r="G14325" t="s">
        <v>31582</v>
      </c>
      <c r="H14325" t="s">
        <v>31591</v>
      </c>
      <c r="I14325" t="s">
        <v>8822</v>
      </c>
      <c r="J14325" t="s">
        <v>40513</v>
      </c>
      <c r="K14325" t="s">
        <v>41192</v>
      </c>
      <c r="M14325" t="s">
        <v>42134</v>
      </c>
      <c r="N14325" t="s">
        <v>45095</v>
      </c>
      <c r="O14325" t="s">
        <v>45096</v>
      </c>
      <c r="P14325">
        <v>0</v>
      </c>
      <c r="Q14325">
        <v>1</v>
      </c>
      <c r="R14325" t="s">
        <v>45118</v>
      </c>
      <c r="S14325" t="s">
        <v>46044</v>
      </c>
      <c r="T14325" t="s">
        <v>47183</v>
      </c>
      <c r="U14325" t="s">
        <v>59022</v>
      </c>
      <c r="W14325" t="s">
        <v>42134</v>
      </c>
      <c r="X14325" t="s">
        <v>45124</v>
      </c>
    </row>
    <row r="14326" spans="1:24">
      <c r="A14326">
        <f>HYPERLINK("https://www.philgeps.gov.ph/GEPSNONPILOT/Tender/SplashBidNoticeAbstractUI.aspx?menuIndex=3&amp;refID=7004162&amp;Result=3","7004162")</f>
        <v>0</v>
      </c>
      <c r="B14326" t="s">
        <v>630</v>
      </c>
      <c r="C14326" t="s">
        <v>16913</v>
      </c>
      <c r="D14326" t="s">
        <v>18086</v>
      </c>
      <c r="E14326" t="s">
        <v>30544</v>
      </c>
      <c r="F14326" t="s">
        <v>31574</v>
      </c>
      <c r="G14326" t="s">
        <v>31582</v>
      </c>
      <c r="H14326" t="s">
        <v>31591</v>
      </c>
      <c r="I14326" t="s">
        <v>8822</v>
      </c>
      <c r="J14326" t="s">
        <v>40514</v>
      </c>
      <c r="K14326" t="s">
        <v>41185</v>
      </c>
      <c r="M14326" t="s">
        <v>42134</v>
      </c>
      <c r="N14326" t="s">
        <v>45095</v>
      </c>
      <c r="O14326" t="s">
        <v>45096</v>
      </c>
      <c r="P14326">
        <v>0</v>
      </c>
      <c r="Q14326">
        <v>1</v>
      </c>
      <c r="R14326" t="s">
        <v>45118</v>
      </c>
      <c r="S14326" t="s">
        <v>46044</v>
      </c>
      <c r="T14326" t="s">
        <v>47183</v>
      </c>
      <c r="U14326" t="s">
        <v>59023</v>
      </c>
      <c r="W14326" t="s">
        <v>42134</v>
      </c>
      <c r="X14326" t="s">
        <v>45124</v>
      </c>
    </row>
    <row r="14327" spans="1:24">
      <c r="A14327">
        <f>HYPERLINK("https://www.philgeps.gov.ph/GEPSNONPILOT/Tender/SplashBidNoticeAbstractUI.aspx?menuIndex=3&amp;refID=7007051&amp;Result=3","7007051")</f>
        <v>0</v>
      </c>
      <c r="B14327" t="s">
        <v>1305</v>
      </c>
      <c r="C14327" t="s">
        <v>16914</v>
      </c>
      <c r="D14327" t="s">
        <v>18101</v>
      </c>
      <c r="E14327" t="s">
        <v>30545</v>
      </c>
      <c r="F14327" t="s">
        <v>31574</v>
      </c>
      <c r="G14327" t="s">
        <v>31582</v>
      </c>
      <c r="H14327" t="s">
        <v>31590</v>
      </c>
      <c r="I14327" t="s">
        <v>31708</v>
      </c>
      <c r="J14327" t="s">
        <v>31771</v>
      </c>
      <c r="K14327" t="s">
        <v>41196</v>
      </c>
      <c r="M14327" t="s">
        <v>42875</v>
      </c>
      <c r="N14327" t="s">
        <v>45095</v>
      </c>
      <c r="O14327" t="s">
        <v>45096</v>
      </c>
      <c r="Q14327">
        <v>10</v>
      </c>
      <c r="R14327" t="s">
        <v>45118</v>
      </c>
      <c r="S14327" t="s">
        <v>46055</v>
      </c>
      <c r="T14327" t="s">
        <v>47154</v>
      </c>
      <c r="U14327" t="s">
        <v>59024</v>
      </c>
      <c r="W14327" t="s">
        <v>42875</v>
      </c>
      <c r="X14327" t="s">
        <v>45122</v>
      </c>
    </row>
    <row r="14328" spans="1:24">
      <c r="A14328">
        <f>HYPERLINK("https://www.philgeps.gov.ph/GEPSNONPILOT/Tender/SplashBidNoticeAbstractUI.aspx?menuIndex=3&amp;refID=7006401&amp;Result=3","7006401")</f>
        <v>0</v>
      </c>
      <c r="B14328" t="s">
        <v>82</v>
      </c>
      <c r="C14328" t="s">
        <v>16915</v>
      </c>
      <c r="D14328" t="s">
        <v>18058</v>
      </c>
      <c r="E14328" t="s">
        <v>30546</v>
      </c>
      <c r="F14328" t="s">
        <v>31574</v>
      </c>
      <c r="G14328" t="s">
        <v>31582</v>
      </c>
      <c r="H14328" t="s">
        <v>31590</v>
      </c>
      <c r="I14328" t="s">
        <v>31602</v>
      </c>
      <c r="J14328" t="s">
        <v>40515</v>
      </c>
      <c r="K14328" t="s">
        <v>41193</v>
      </c>
      <c r="M14328" t="s">
        <v>41566</v>
      </c>
      <c r="N14328" t="s">
        <v>45095</v>
      </c>
      <c r="O14328" t="s">
        <v>45096</v>
      </c>
      <c r="Q14328">
        <v>0</v>
      </c>
      <c r="R14328" t="s">
        <v>45118</v>
      </c>
      <c r="S14328" t="s">
        <v>46056</v>
      </c>
      <c r="T14328" t="s">
        <v>47301</v>
      </c>
      <c r="U14328" t="s">
        <v>47584</v>
      </c>
      <c r="V14328" t="s">
        <v>61449</v>
      </c>
      <c r="W14328" t="s">
        <v>41566</v>
      </c>
      <c r="X14328" t="s">
        <v>45123</v>
      </c>
    </row>
    <row r="14329" spans="1:24">
      <c r="A14329">
        <f>HYPERLINK("https://www.philgeps.gov.ph/GEPSNONPILOT/Tender/SplashBidNoticeAbstractUI.aspx?menuIndex=3&amp;refID=7005678&amp;Result=3","7005678")</f>
        <v>0</v>
      </c>
      <c r="B14329" t="s">
        <v>630</v>
      </c>
      <c r="C14329" t="s">
        <v>16916</v>
      </c>
      <c r="D14329" t="s">
        <v>18086</v>
      </c>
      <c r="E14329" t="s">
        <v>30547</v>
      </c>
      <c r="F14329" t="s">
        <v>31574</v>
      </c>
      <c r="G14329" t="s">
        <v>31582</v>
      </c>
      <c r="H14329" t="s">
        <v>31591</v>
      </c>
      <c r="I14329" t="s">
        <v>8822</v>
      </c>
      <c r="J14329" t="s">
        <v>32101</v>
      </c>
      <c r="K14329" t="s">
        <v>41243</v>
      </c>
      <c r="M14329" t="s">
        <v>42134</v>
      </c>
      <c r="N14329" t="s">
        <v>45095</v>
      </c>
      <c r="O14329" t="s">
        <v>45096</v>
      </c>
      <c r="P14329">
        <v>0</v>
      </c>
      <c r="Q14329">
        <v>2</v>
      </c>
      <c r="R14329" t="s">
        <v>45118</v>
      </c>
      <c r="S14329" t="s">
        <v>46044</v>
      </c>
      <c r="T14329" t="s">
        <v>47183</v>
      </c>
      <c r="U14329" t="s">
        <v>59025</v>
      </c>
      <c r="W14329" t="s">
        <v>42134</v>
      </c>
      <c r="X14329" t="s">
        <v>45123</v>
      </c>
    </row>
    <row r="14330" spans="1:24">
      <c r="A14330">
        <f>HYPERLINK("https://www.philgeps.gov.ph/GEPSNONPILOT/Tender/SplashBidNoticeAbstractUI.aspx?menuIndex=3&amp;refID=7004238&amp;Result=3","7004238")</f>
        <v>0</v>
      </c>
      <c r="B14330" t="s">
        <v>630</v>
      </c>
      <c r="C14330" t="s">
        <v>16917</v>
      </c>
      <c r="D14330" t="s">
        <v>18086</v>
      </c>
      <c r="E14330" t="s">
        <v>30548</v>
      </c>
      <c r="F14330" t="s">
        <v>31574</v>
      </c>
      <c r="G14330" t="s">
        <v>31582</v>
      </c>
      <c r="H14330" t="s">
        <v>31591</v>
      </c>
      <c r="I14330" t="s">
        <v>8822</v>
      </c>
      <c r="J14330" t="s">
        <v>31935</v>
      </c>
      <c r="K14330" t="s">
        <v>41186</v>
      </c>
      <c r="M14330" t="s">
        <v>42134</v>
      </c>
      <c r="N14330" t="s">
        <v>45095</v>
      </c>
      <c r="O14330" t="s">
        <v>45096</v>
      </c>
      <c r="P14330">
        <v>0</v>
      </c>
      <c r="Q14330">
        <v>1</v>
      </c>
      <c r="R14330" t="s">
        <v>45118</v>
      </c>
      <c r="S14330" t="s">
        <v>46044</v>
      </c>
      <c r="T14330" t="s">
        <v>47165</v>
      </c>
      <c r="U14330" t="s">
        <v>59026</v>
      </c>
      <c r="W14330" t="s">
        <v>42134</v>
      </c>
      <c r="X14330" t="s">
        <v>45124</v>
      </c>
    </row>
    <row r="14331" spans="1:24">
      <c r="A14331">
        <f>HYPERLINK("https://www.philgeps.gov.ph/GEPSNONPILOT/Tender/SplashBidNoticeAbstractUI.aspx?menuIndex=3&amp;refID=7006976&amp;Result=3","7006976")</f>
        <v>0</v>
      </c>
      <c r="B14331" t="s">
        <v>252</v>
      </c>
      <c r="C14331" t="s">
        <v>16918</v>
      </c>
      <c r="D14331" t="s">
        <v>18065</v>
      </c>
      <c r="E14331" t="s">
        <v>30549</v>
      </c>
      <c r="F14331" t="s">
        <v>31574</v>
      </c>
      <c r="G14331" t="s">
        <v>31582</v>
      </c>
      <c r="H14331" t="s">
        <v>31590</v>
      </c>
      <c r="I14331" t="s">
        <v>31676</v>
      </c>
      <c r="J14331" t="s">
        <v>35045</v>
      </c>
      <c r="K14331" t="s">
        <v>41185</v>
      </c>
      <c r="M14331" t="s">
        <v>41738</v>
      </c>
      <c r="N14331" t="s">
        <v>45095</v>
      </c>
      <c r="O14331" t="s">
        <v>45096</v>
      </c>
      <c r="P14331">
        <v>0</v>
      </c>
      <c r="Q14331">
        <v>6</v>
      </c>
      <c r="R14331" t="s">
        <v>45118</v>
      </c>
      <c r="S14331" t="s">
        <v>46044</v>
      </c>
      <c r="T14331" t="s">
        <v>46985</v>
      </c>
      <c r="U14331" t="s">
        <v>59027</v>
      </c>
      <c r="W14331" t="s">
        <v>41738</v>
      </c>
      <c r="X14331" t="s">
        <v>45122</v>
      </c>
    </row>
    <row r="14332" spans="1:24">
      <c r="A14332">
        <f>HYPERLINK("https://www.philgeps.gov.ph/GEPSNONPILOT/Tender/SplashBidNoticeAbstractUI.aspx?menuIndex=3&amp;refID=7005622&amp;Result=3","7005622")</f>
        <v>0</v>
      </c>
      <c r="B14332" t="s">
        <v>82</v>
      </c>
      <c r="C14332" t="s">
        <v>16919</v>
      </c>
      <c r="D14332" t="s">
        <v>18058</v>
      </c>
      <c r="E14332" t="s">
        <v>30550</v>
      </c>
      <c r="F14332" t="s">
        <v>31574</v>
      </c>
      <c r="G14332" t="s">
        <v>31582</v>
      </c>
      <c r="H14332" t="s">
        <v>31590</v>
      </c>
      <c r="I14332" t="s">
        <v>3487</v>
      </c>
      <c r="J14332" t="s">
        <v>31935</v>
      </c>
      <c r="K14332" t="s">
        <v>41193</v>
      </c>
      <c r="M14332" t="s">
        <v>41566</v>
      </c>
      <c r="N14332" t="s">
        <v>45095</v>
      </c>
      <c r="O14332" t="s">
        <v>45096</v>
      </c>
      <c r="P14332">
        <v>0</v>
      </c>
      <c r="Q14332">
        <v>0</v>
      </c>
      <c r="R14332" t="s">
        <v>45118</v>
      </c>
      <c r="S14332" t="s">
        <v>46044</v>
      </c>
      <c r="T14332" t="s">
        <v>47301</v>
      </c>
      <c r="U14332" t="s">
        <v>55014</v>
      </c>
      <c r="V14332" t="s">
        <v>61450</v>
      </c>
      <c r="W14332" t="s">
        <v>41566</v>
      </c>
      <c r="X14332" t="s">
        <v>45123</v>
      </c>
    </row>
    <row r="14333" spans="1:24">
      <c r="A14333">
        <f>HYPERLINK("https://www.philgeps.gov.ph/GEPSNONPILOT/Tender/SplashBidNoticeAbstractUI.aspx?menuIndex=3&amp;refID=7005591&amp;Result=3","7005591")</f>
        <v>0</v>
      </c>
      <c r="B14333" t="s">
        <v>82</v>
      </c>
      <c r="C14333" t="s">
        <v>16920</v>
      </c>
      <c r="D14333" t="s">
        <v>18058</v>
      </c>
      <c r="E14333" t="s">
        <v>30551</v>
      </c>
      <c r="F14333" t="s">
        <v>31574</v>
      </c>
      <c r="G14333" t="s">
        <v>31582</v>
      </c>
      <c r="H14333" t="s">
        <v>31590</v>
      </c>
      <c r="I14333" t="s">
        <v>3487</v>
      </c>
      <c r="J14333" t="s">
        <v>40516</v>
      </c>
      <c r="K14333" t="s">
        <v>41193</v>
      </c>
      <c r="M14333" t="s">
        <v>41566</v>
      </c>
      <c r="N14333" t="s">
        <v>45095</v>
      </c>
      <c r="O14333" t="s">
        <v>45096</v>
      </c>
      <c r="Q14333">
        <v>0</v>
      </c>
      <c r="R14333" t="s">
        <v>45118</v>
      </c>
      <c r="S14333" t="s">
        <v>46057</v>
      </c>
      <c r="T14333" t="s">
        <v>47301</v>
      </c>
      <c r="U14333" t="s">
        <v>47584</v>
      </c>
      <c r="V14333" t="s">
        <v>61451</v>
      </c>
      <c r="W14333" t="s">
        <v>41566</v>
      </c>
      <c r="X14333" t="s">
        <v>45123</v>
      </c>
    </row>
    <row r="14334" spans="1:24">
      <c r="A14334">
        <f>HYPERLINK("https://www.philgeps.gov.ph/GEPSNONPILOT/Tender/SplashBidNoticeAbstractUI.aspx?menuIndex=3&amp;refID=7005603&amp;Result=3","7005603")</f>
        <v>0</v>
      </c>
      <c r="B14334" t="s">
        <v>82</v>
      </c>
      <c r="C14334" t="s">
        <v>15031</v>
      </c>
      <c r="D14334" t="s">
        <v>18058</v>
      </c>
      <c r="E14334" t="s">
        <v>30552</v>
      </c>
      <c r="F14334" t="s">
        <v>31574</v>
      </c>
      <c r="G14334" t="s">
        <v>31582</v>
      </c>
      <c r="H14334" t="s">
        <v>31590</v>
      </c>
      <c r="I14334" t="s">
        <v>31615</v>
      </c>
      <c r="J14334" t="s">
        <v>32421</v>
      </c>
      <c r="K14334" t="s">
        <v>41186</v>
      </c>
      <c r="M14334" t="s">
        <v>41566</v>
      </c>
      <c r="N14334" t="s">
        <v>45095</v>
      </c>
      <c r="O14334" t="s">
        <v>45096</v>
      </c>
      <c r="P14334">
        <v>0</v>
      </c>
      <c r="Q14334">
        <v>3</v>
      </c>
      <c r="R14334" t="s">
        <v>45118</v>
      </c>
      <c r="S14334" t="s">
        <v>46044</v>
      </c>
      <c r="T14334" t="s">
        <v>47301</v>
      </c>
      <c r="U14334" t="s">
        <v>47584</v>
      </c>
      <c r="V14334" t="s">
        <v>61452</v>
      </c>
      <c r="W14334" t="s">
        <v>41566</v>
      </c>
      <c r="X14334" t="s">
        <v>45123</v>
      </c>
    </row>
    <row r="14335" spans="1:24">
      <c r="A14335">
        <f>HYPERLINK("https://www.philgeps.gov.ph/GEPSNONPILOT/Tender/SplashBidNoticeAbstractUI.aspx?menuIndex=3&amp;refID=7006551&amp;Result=3","7006551")</f>
        <v>0</v>
      </c>
      <c r="B14335" t="s">
        <v>124</v>
      </c>
      <c r="C14335" t="s">
        <v>16921</v>
      </c>
      <c r="D14335" t="s">
        <v>18065</v>
      </c>
      <c r="E14335" t="s">
        <v>16921</v>
      </c>
      <c r="F14335" t="s">
        <v>31574</v>
      </c>
      <c r="G14335" t="s">
        <v>31582</v>
      </c>
      <c r="H14335" t="s">
        <v>31591</v>
      </c>
      <c r="I14335" t="s">
        <v>31627</v>
      </c>
      <c r="J14335" t="s">
        <v>40517</v>
      </c>
      <c r="K14335" t="s">
        <v>41184</v>
      </c>
      <c r="M14335" t="s">
        <v>42182</v>
      </c>
      <c r="N14335" t="s">
        <v>45095</v>
      </c>
      <c r="O14335" t="s">
        <v>45096</v>
      </c>
      <c r="P14335">
        <v>0</v>
      </c>
      <c r="Q14335">
        <v>2</v>
      </c>
      <c r="R14335" t="s">
        <v>45118</v>
      </c>
      <c r="S14335" t="s">
        <v>46044</v>
      </c>
      <c r="T14335" t="s">
        <v>47176</v>
      </c>
      <c r="U14335" t="s">
        <v>59028</v>
      </c>
      <c r="W14335" t="s">
        <v>42182</v>
      </c>
      <c r="X14335" t="s">
        <v>45123</v>
      </c>
    </row>
    <row r="14336" spans="1:24">
      <c r="A14336">
        <f>HYPERLINK("https://www.philgeps.gov.ph/GEPSNONPILOT/Tender/SplashBidNoticeAbstractUI.aspx?menuIndex=3&amp;refID=7003168&amp;Result=3","7003168")</f>
        <v>0</v>
      </c>
      <c r="B14336" t="s">
        <v>63</v>
      </c>
      <c r="C14336" t="s">
        <v>16922</v>
      </c>
      <c r="D14336" t="s">
        <v>18049</v>
      </c>
      <c r="E14336" t="s">
        <v>30553</v>
      </c>
      <c r="F14336" t="s">
        <v>31574</v>
      </c>
      <c r="G14336" t="s">
        <v>31582</v>
      </c>
      <c r="H14336" t="s">
        <v>31591</v>
      </c>
      <c r="I14336" t="s">
        <v>8822</v>
      </c>
      <c r="J14336" t="s">
        <v>40518</v>
      </c>
      <c r="K14336" t="s">
        <v>41287</v>
      </c>
      <c r="M14336" t="s">
        <v>41547</v>
      </c>
      <c r="N14336" t="s">
        <v>45095</v>
      </c>
      <c r="O14336" t="s">
        <v>45096</v>
      </c>
      <c r="P14336">
        <v>0</v>
      </c>
      <c r="Q14336">
        <v>0</v>
      </c>
      <c r="R14336" t="s">
        <v>45118</v>
      </c>
      <c r="S14336" t="s">
        <v>46044</v>
      </c>
      <c r="T14336" t="s">
        <v>46985</v>
      </c>
      <c r="U14336" t="s">
        <v>59029</v>
      </c>
      <c r="W14336" t="s">
        <v>41547</v>
      </c>
      <c r="X14336" t="s">
        <v>45124</v>
      </c>
    </row>
    <row r="14337" spans="1:24">
      <c r="A14337">
        <f>HYPERLINK("https://www.philgeps.gov.ph/GEPSNONPILOT/Tender/SplashBidNoticeAbstractUI.aspx?menuIndex=3&amp;refID=7005580&amp;Result=3","7005580")</f>
        <v>0</v>
      </c>
      <c r="B14337" t="s">
        <v>82</v>
      </c>
      <c r="C14337" t="s">
        <v>12166</v>
      </c>
      <c r="D14337" t="s">
        <v>18058</v>
      </c>
      <c r="E14337" t="s">
        <v>30554</v>
      </c>
      <c r="F14337" t="s">
        <v>31574</v>
      </c>
      <c r="G14337" t="s">
        <v>31582</v>
      </c>
      <c r="H14337" t="s">
        <v>31590</v>
      </c>
      <c r="I14337" t="s">
        <v>3651</v>
      </c>
      <c r="J14337" t="s">
        <v>40519</v>
      </c>
      <c r="K14337" t="s">
        <v>41193</v>
      </c>
      <c r="M14337" t="s">
        <v>41566</v>
      </c>
      <c r="N14337" t="s">
        <v>45095</v>
      </c>
      <c r="O14337" t="s">
        <v>45096</v>
      </c>
      <c r="P14337">
        <v>0</v>
      </c>
      <c r="Q14337">
        <v>4</v>
      </c>
      <c r="R14337" t="s">
        <v>45118</v>
      </c>
      <c r="S14337" t="s">
        <v>46044</v>
      </c>
      <c r="T14337" t="s">
        <v>47301</v>
      </c>
      <c r="U14337" t="s">
        <v>55014</v>
      </c>
      <c r="V14337" t="s">
        <v>61453</v>
      </c>
      <c r="W14337" t="s">
        <v>41566</v>
      </c>
      <c r="X14337" t="s">
        <v>45123</v>
      </c>
    </row>
    <row r="14338" spans="1:24">
      <c r="A14338">
        <f>HYPERLINK("https://www.philgeps.gov.ph/GEPSNONPILOT/Tender/SplashBidNoticeAbstractUI.aspx?menuIndex=3&amp;refID=7007067&amp;Result=3","7007067")</f>
        <v>0</v>
      </c>
      <c r="B14338" t="s">
        <v>1305</v>
      </c>
      <c r="C14338" t="s">
        <v>16923</v>
      </c>
      <c r="D14338" t="s">
        <v>18101</v>
      </c>
      <c r="E14338" t="s">
        <v>30555</v>
      </c>
      <c r="F14338" t="s">
        <v>31574</v>
      </c>
      <c r="G14338" t="s">
        <v>31582</v>
      </c>
      <c r="H14338" t="s">
        <v>31590</v>
      </c>
      <c r="I14338" t="s">
        <v>7185</v>
      </c>
      <c r="J14338" t="s">
        <v>40520</v>
      </c>
      <c r="K14338" t="s">
        <v>41196</v>
      </c>
      <c r="M14338" t="s">
        <v>42875</v>
      </c>
      <c r="N14338" t="s">
        <v>45095</v>
      </c>
      <c r="O14338" t="s">
        <v>45096</v>
      </c>
      <c r="P14338">
        <v>0</v>
      </c>
      <c r="Q14338">
        <v>5</v>
      </c>
      <c r="R14338" t="s">
        <v>45118</v>
      </c>
      <c r="S14338" t="s">
        <v>46044</v>
      </c>
      <c r="T14338" t="s">
        <v>47154</v>
      </c>
      <c r="U14338" t="s">
        <v>59030</v>
      </c>
      <c r="W14338" t="s">
        <v>42875</v>
      </c>
      <c r="X14338" t="s">
        <v>45122</v>
      </c>
    </row>
    <row r="14339" spans="1:24">
      <c r="A14339">
        <f>HYPERLINK("https://www.philgeps.gov.ph/GEPSNONPILOT/Tender/SplashBidNoticeAbstractUI.aspx?menuIndex=3&amp;refID=7003003&amp;Result=3","7003003")</f>
        <v>0</v>
      </c>
      <c r="B14339" t="s">
        <v>63</v>
      </c>
      <c r="C14339" t="s">
        <v>16924</v>
      </c>
      <c r="D14339" t="s">
        <v>18049</v>
      </c>
      <c r="E14339" t="s">
        <v>30556</v>
      </c>
      <c r="F14339" t="s">
        <v>31574</v>
      </c>
      <c r="G14339" t="s">
        <v>31582</v>
      </c>
      <c r="H14339" t="s">
        <v>31591</v>
      </c>
      <c r="I14339" t="s">
        <v>8822</v>
      </c>
      <c r="J14339" t="s">
        <v>40521</v>
      </c>
      <c r="K14339" t="s">
        <v>41398</v>
      </c>
      <c r="M14339" t="s">
        <v>41547</v>
      </c>
      <c r="N14339" t="s">
        <v>45095</v>
      </c>
      <c r="O14339" t="s">
        <v>45096</v>
      </c>
      <c r="P14339">
        <v>0</v>
      </c>
      <c r="Q14339">
        <v>0</v>
      </c>
      <c r="R14339" t="s">
        <v>45118</v>
      </c>
      <c r="S14339" t="s">
        <v>46044</v>
      </c>
      <c r="T14339" t="s">
        <v>46985</v>
      </c>
      <c r="U14339" t="s">
        <v>59031</v>
      </c>
      <c r="W14339" t="s">
        <v>41547</v>
      </c>
      <c r="X14339" t="s">
        <v>45124</v>
      </c>
    </row>
    <row r="14340" spans="1:24">
      <c r="A14340">
        <f>HYPERLINK("https://www.philgeps.gov.ph/GEPSNONPILOT/Tender/SplashBidNoticeAbstractUI.aspx?menuIndex=3&amp;refID=7007108&amp;Result=3","7007108")</f>
        <v>0</v>
      </c>
      <c r="B14340" t="s">
        <v>1305</v>
      </c>
      <c r="C14340" t="s">
        <v>16925</v>
      </c>
      <c r="D14340" t="s">
        <v>18101</v>
      </c>
      <c r="E14340" t="s">
        <v>30557</v>
      </c>
      <c r="F14340" t="s">
        <v>31574</v>
      </c>
      <c r="G14340" t="s">
        <v>31582</v>
      </c>
      <c r="H14340" t="s">
        <v>31590</v>
      </c>
      <c r="I14340" t="s">
        <v>8258</v>
      </c>
      <c r="J14340" t="s">
        <v>40522</v>
      </c>
      <c r="K14340" t="s">
        <v>41196</v>
      </c>
      <c r="M14340" t="s">
        <v>42875</v>
      </c>
      <c r="N14340" t="s">
        <v>45095</v>
      </c>
      <c r="O14340" t="s">
        <v>45096</v>
      </c>
      <c r="P14340">
        <v>0</v>
      </c>
      <c r="Q14340">
        <v>11</v>
      </c>
      <c r="R14340" t="s">
        <v>45118</v>
      </c>
      <c r="S14340" t="s">
        <v>46044</v>
      </c>
      <c r="T14340" t="s">
        <v>47154</v>
      </c>
      <c r="U14340" t="s">
        <v>59032</v>
      </c>
      <c r="W14340" t="s">
        <v>42875</v>
      </c>
      <c r="X14340" t="s">
        <v>45122</v>
      </c>
    </row>
    <row r="14341" spans="1:24">
      <c r="A14341">
        <f>HYPERLINK("https://www.philgeps.gov.ph/GEPSNONPILOT/Tender/SplashBidNoticeAbstractUI.aspx?menuIndex=3&amp;refID=7005552&amp;Result=3","7005552")</f>
        <v>0</v>
      </c>
      <c r="B14341" t="s">
        <v>2379</v>
      </c>
      <c r="C14341" t="s">
        <v>16926</v>
      </c>
      <c r="D14341" t="s">
        <v>18090</v>
      </c>
      <c r="E14341" t="s">
        <v>23335</v>
      </c>
      <c r="F14341" t="s">
        <v>31574</v>
      </c>
      <c r="G14341" t="s">
        <v>31582</v>
      </c>
      <c r="H14341" t="s">
        <v>31591</v>
      </c>
      <c r="I14341" t="s">
        <v>8822</v>
      </c>
      <c r="J14341" t="s">
        <v>32026</v>
      </c>
      <c r="K14341" t="s">
        <v>41189</v>
      </c>
      <c r="M14341" t="s">
        <v>44103</v>
      </c>
      <c r="N14341" t="s">
        <v>45095</v>
      </c>
      <c r="O14341" t="s">
        <v>45096</v>
      </c>
      <c r="P14341">
        <v>0</v>
      </c>
      <c r="Q14341">
        <v>0</v>
      </c>
      <c r="R14341" t="s">
        <v>45118</v>
      </c>
      <c r="S14341" t="s">
        <v>46044</v>
      </c>
      <c r="T14341" t="s">
        <v>47183</v>
      </c>
      <c r="U14341" t="s">
        <v>54527</v>
      </c>
      <c r="W14341" t="s">
        <v>44103</v>
      </c>
      <c r="X14341" t="s">
        <v>45123</v>
      </c>
    </row>
    <row r="14342" spans="1:24">
      <c r="A14342">
        <f>HYPERLINK("https://www.philgeps.gov.ph/GEPSNONPILOT/Tender/SplashBidNoticeAbstractUI.aspx?menuIndex=3&amp;refID=7007406&amp;Result=3","7007406")</f>
        <v>0</v>
      </c>
      <c r="B14342" t="s">
        <v>3120</v>
      </c>
      <c r="C14342" t="s">
        <v>16927</v>
      </c>
      <c r="D14342" t="s">
        <v>18075</v>
      </c>
      <c r="E14342" t="s">
        <v>30558</v>
      </c>
      <c r="F14342" t="s">
        <v>31574</v>
      </c>
      <c r="G14342" t="s">
        <v>31582</v>
      </c>
      <c r="H14342" t="s">
        <v>31591</v>
      </c>
      <c r="I14342" t="s">
        <v>8822</v>
      </c>
      <c r="J14342" t="s">
        <v>32019</v>
      </c>
      <c r="K14342" t="s">
        <v>41339</v>
      </c>
      <c r="M14342" t="s">
        <v>44967</v>
      </c>
      <c r="N14342" t="s">
        <v>45095</v>
      </c>
      <c r="O14342" t="s">
        <v>45096</v>
      </c>
      <c r="Q14342">
        <v>0</v>
      </c>
      <c r="R14342" t="s">
        <v>45118</v>
      </c>
      <c r="S14342" t="s">
        <v>46058</v>
      </c>
      <c r="T14342" t="s">
        <v>47124</v>
      </c>
      <c r="U14342" t="s">
        <v>59033</v>
      </c>
      <c r="W14342" t="s">
        <v>44967</v>
      </c>
      <c r="X14342" t="s">
        <v>45122</v>
      </c>
    </row>
    <row r="14343" spans="1:24">
      <c r="A14343">
        <f>HYPERLINK("https://www.philgeps.gov.ph/GEPSNONPILOT/Tender/SplashBidNoticeAbstractUI.aspx?menuIndex=3&amp;refID=7008009&amp;Result=3","7008009")</f>
        <v>0</v>
      </c>
      <c r="B14343" t="s">
        <v>3121</v>
      </c>
      <c r="C14343" t="s">
        <v>16928</v>
      </c>
      <c r="D14343" t="s">
        <v>18079</v>
      </c>
      <c r="E14343" t="s">
        <v>21063</v>
      </c>
      <c r="F14343" t="s">
        <v>31574</v>
      </c>
      <c r="G14343" t="s">
        <v>31582</v>
      </c>
      <c r="H14343" t="s">
        <v>31590</v>
      </c>
      <c r="I14343" t="s">
        <v>31612</v>
      </c>
      <c r="J14343" t="s">
        <v>33303</v>
      </c>
      <c r="K14343" t="s">
        <v>41184</v>
      </c>
      <c r="M14343" t="s">
        <v>44968</v>
      </c>
      <c r="N14343" t="s">
        <v>45095</v>
      </c>
      <c r="O14343" t="s">
        <v>45096</v>
      </c>
      <c r="P14343">
        <v>0</v>
      </c>
      <c r="Q14343">
        <v>3</v>
      </c>
      <c r="R14343" t="s">
        <v>45118</v>
      </c>
      <c r="S14343" t="s">
        <v>46044</v>
      </c>
      <c r="T14343" t="s">
        <v>46932</v>
      </c>
      <c r="U14343" t="s">
        <v>59034</v>
      </c>
      <c r="W14343" t="s">
        <v>44968</v>
      </c>
      <c r="X14343" t="s">
        <v>45122</v>
      </c>
    </row>
    <row r="14344" spans="1:24">
      <c r="A14344">
        <f>HYPERLINK("https://www.philgeps.gov.ph/GEPSNONPILOT/Tender/SplashBidNoticeAbstractUI.aspx?menuIndex=3&amp;refID=7007350&amp;Result=3","7007350")</f>
        <v>0</v>
      </c>
      <c r="B14344" t="s">
        <v>3120</v>
      </c>
      <c r="C14344" t="s">
        <v>16929</v>
      </c>
      <c r="D14344" t="s">
        <v>18075</v>
      </c>
      <c r="E14344" t="s">
        <v>30559</v>
      </c>
      <c r="F14344" t="s">
        <v>31574</v>
      </c>
      <c r="G14344" t="s">
        <v>31582</v>
      </c>
      <c r="H14344" t="s">
        <v>31591</v>
      </c>
      <c r="I14344" t="s">
        <v>8822</v>
      </c>
      <c r="J14344" t="s">
        <v>32241</v>
      </c>
      <c r="K14344" t="s">
        <v>41202</v>
      </c>
      <c r="M14344" t="s">
        <v>44967</v>
      </c>
      <c r="N14344" t="s">
        <v>45095</v>
      </c>
      <c r="O14344" t="s">
        <v>45096</v>
      </c>
      <c r="P14344">
        <v>0</v>
      </c>
      <c r="Q14344">
        <v>3</v>
      </c>
      <c r="R14344" t="s">
        <v>45118</v>
      </c>
      <c r="S14344" t="s">
        <v>46044</v>
      </c>
      <c r="T14344" t="s">
        <v>47124</v>
      </c>
      <c r="U14344" t="s">
        <v>59035</v>
      </c>
      <c r="W14344" t="s">
        <v>44967</v>
      </c>
      <c r="X14344" t="s">
        <v>45122</v>
      </c>
    </row>
    <row r="14345" spans="1:24">
      <c r="A14345">
        <f>HYPERLINK("https://www.philgeps.gov.ph/GEPSNONPILOT/Tender/SplashBidNoticeAbstractUI.aspx?menuIndex=3&amp;refID=7004132&amp;Result=3","7004132")</f>
        <v>0</v>
      </c>
      <c r="B14345" t="s">
        <v>630</v>
      </c>
      <c r="C14345" t="s">
        <v>16930</v>
      </c>
      <c r="D14345" t="s">
        <v>18086</v>
      </c>
      <c r="E14345" t="s">
        <v>30560</v>
      </c>
      <c r="F14345" t="s">
        <v>31574</v>
      </c>
      <c r="G14345" t="s">
        <v>31582</v>
      </c>
      <c r="H14345" t="s">
        <v>31591</v>
      </c>
      <c r="I14345" t="s">
        <v>8822</v>
      </c>
      <c r="J14345" t="s">
        <v>33343</v>
      </c>
      <c r="K14345" t="s">
        <v>41192</v>
      </c>
      <c r="M14345" t="s">
        <v>42134</v>
      </c>
      <c r="N14345" t="s">
        <v>45095</v>
      </c>
      <c r="O14345" t="s">
        <v>45096</v>
      </c>
      <c r="P14345">
        <v>0</v>
      </c>
      <c r="Q14345">
        <v>2</v>
      </c>
      <c r="R14345" t="s">
        <v>45118</v>
      </c>
      <c r="S14345" t="s">
        <v>46044</v>
      </c>
      <c r="T14345" t="s">
        <v>47183</v>
      </c>
      <c r="U14345" t="s">
        <v>59036</v>
      </c>
      <c r="W14345" t="s">
        <v>42134</v>
      </c>
      <c r="X14345" t="s">
        <v>45124</v>
      </c>
    </row>
    <row r="14346" spans="1:24">
      <c r="A14346">
        <f>HYPERLINK("https://www.philgeps.gov.ph/GEPSNONPILOT/Tender/SplashBidNoticeAbstractUI.aspx?menuIndex=3&amp;refID=7007456&amp;Result=3","7007456")</f>
        <v>0</v>
      </c>
      <c r="B14346" t="s">
        <v>3120</v>
      </c>
      <c r="C14346" t="s">
        <v>16931</v>
      </c>
      <c r="D14346" t="s">
        <v>18075</v>
      </c>
      <c r="E14346" t="s">
        <v>30561</v>
      </c>
      <c r="F14346" t="s">
        <v>31574</v>
      </c>
      <c r="G14346" t="s">
        <v>31582</v>
      </c>
      <c r="H14346" t="s">
        <v>31591</v>
      </c>
      <c r="I14346" t="s">
        <v>8822</v>
      </c>
      <c r="J14346" t="s">
        <v>31789</v>
      </c>
      <c r="K14346" t="s">
        <v>41185</v>
      </c>
      <c r="M14346" t="s">
        <v>44967</v>
      </c>
      <c r="N14346" t="s">
        <v>45095</v>
      </c>
      <c r="O14346" t="s">
        <v>45096</v>
      </c>
      <c r="P14346">
        <v>0</v>
      </c>
      <c r="Q14346">
        <v>0</v>
      </c>
      <c r="R14346" t="s">
        <v>45118</v>
      </c>
      <c r="S14346" t="s">
        <v>46044</v>
      </c>
      <c r="T14346" t="s">
        <v>47124</v>
      </c>
      <c r="U14346" t="s">
        <v>59037</v>
      </c>
      <c r="W14346" t="s">
        <v>44967</v>
      </c>
      <c r="X14346" t="s">
        <v>45122</v>
      </c>
    </row>
    <row r="14347" spans="1:24">
      <c r="A14347">
        <f>HYPERLINK("https://www.philgeps.gov.ph/GEPSNONPILOT/Tender/SplashBidNoticeAbstractUI.aspx?menuIndex=3&amp;refID=7007987&amp;Result=3","7007987")</f>
        <v>0</v>
      </c>
      <c r="B14347" t="s">
        <v>1654</v>
      </c>
      <c r="C14347" t="s">
        <v>16932</v>
      </c>
      <c r="D14347" t="s">
        <v>18091</v>
      </c>
      <c r="E14347" t="s">
        <v>30562</v>
      </c>
      <c r="F14347" t="s">
        <v>31574</v>
      </c>
      <c r="G14347" t="s">
        <v>31582</v>
      </c>
      <c r="H14347" t="s">
        <v>31591</v>
      </c>
      <c r="I14347" t="s">
        <v>8822</v>
      </c>
      <c r="J14347" t="s">
        <v>32101</v>
      </c>
      <c r="K14347" t="s">
        <v>41189</v>
      </c>
      <c r="M14347" t="s">
        <v>43265</v>
      </c>
      <c r="N14347" t="s">
        <v>45095</v>
      </c>
      <c r="O14347" t="s">
        <v>45096</v>
      </c>
      <c r="P14347">
        <v>0</v>
      </c>
      <c r="Q14347">
        <v>0</v>
      </c>
      <c r="R14347" t="s">
        <v>45118</v>
      </c>
      <c r="S14347" t="s">
        <v>46044</v>
      </c>
      <c r="T14347" t="s">
        <v>47159</v>
      </c>
      <c r="U14347" t="s">
        <v>59038</v>
      </c>
      <c r="W14347" t="s">
        <v>43265</v>
      </c>
      <c r="X14347" t="s">
        <v>45122</v>
      </c>
    </row>
    <row r="14348" spans="1:24">
      <c r="A14348">
        <f>HYPERLINK("https://www.philgeps.gov.ph/GEPSNONPILOT/Tender/SplashBidNoticeAbstractUI.aspx?menuIndex=3&amp;refID=7007209&amp;Result=3","7007209")</f>
        <v>0</v>
      </c>
      <c r="B14348" t="s">
        <v>252</v>
      </c>
      <c r="C14348" t="s">
        <v>16933</v>
      </c>
      <c r="D14348" t="s">
        <v>18065</v>
      </c>
      <c r="E14348" t="s">
        <v>30563</v>
      </c>
      <c r="F14348" t="s">
        <v>31574</v>
      </c>
      <c r="G14348" t="s">
        <v>31582</v>
      </c>
      <c r="H14348" t="s">
        <v>31590</v>
      </c>
      <c r="I14348" t="s">
        <v>3901</v>
      </c>
      <c r="J14348" t="s">
        <v>37315</v>
      </c>
      <c r="K14348" t="s">
        <v>41185</v>
      </c>
      <c r="M14348" t="s">
        <v>41738</v>
      </c>
      <c r="N14348" t="s">
        <v>45095</v>
      </c>
      <c r="O14348" t="s">
        <v>45096</v>
      </c>
      <c r="P14348">
        <v>0</v>
      </c>
      <c r="Q14348">
        <v>12</v>
      </c>
      <c r="R14348" t="s">
        <v>45118</v>
      </c>
      <c r="S14348" t="s">
        <v>46044</v>
      </c>
      <c r="T14348" t="s">
        <v>47050</v>
      </c>
      <c r="U14348" t="s">
        <v>59039</v>
      </c>
      <c r="W14348" t="s">
        <v>41738</v>
      </c>
      <c r="X14348" t="s">
        <v>45122</v>
      </c>
    </row>
    <row r="14349" spans="1:24">
      <c r="A14349">
        <f>HYPERLINK("https://www.philgeps.gov.ph/GEPSNONPILOT/Tender/SplashBidNoticeAbstractUI.aspx?menuIndex=3&amp;refID=7007995&amp;Result=3","7007995")</f>
        <v>0</v>
      </c>
      <c r="B14349" t="s">
        <v>2528</v>
      </c>
      <c r="C14349" t="s">
        <v>16934</v>
      </c>
      <c r="D14349" t="s">
        <v>18039</v>
      </c>
      <c r="E14349" t="s">
        <v>30564</v>
      </c>
      <c r="F14349" t="s">
        <v>31574</v>
      </c>
      <c r="G14349" t="s">
        <v>31582</v>
      </c>
      <c r="H14349" t="s">
        <v>31591</v>
      </c>
      <c r="I14349" t="s">
        <v>8822</v>
      </c>
      <c r="J14349" t="s">
        <v>40523</v>
      </c>
      <c r="K14349" t="s">
        <v>41310</v>
      </c>
      <c r="M14349" t="s">
        <v>44263</v>
      </c>
      <c r="N14349" t="s">
        <v>45095</v>
      </c>
      <c r="O14349" t="s">
        <v>45096</v>
      </c>
      <c r="P14349">
        <v>0</v>
      </c>
      <c r="Q14349">
        <v>0</v>
      </c>
      <c r="R14349" t="s">
        <v>45118</v>
      </c>
      <c r="S14349" t="s">
        <v>46044</v>
      </c>
      <c r="T14349" t="s">
        <v>47154</v>
      </c>
      <c r="U14349" t="s">
        <v>59040</v>
      </c>
      <c r="W14349" t="s">
        <v>44263</v>
      </c>
      <c r="X14349" t="s">
        <v>45122</v>
      </c>
    </row>
    <row r="14350" spans="1:24">
      <c r="A14350">
        <f>HYPERLINK("https://www.philgeps.gov.ph/GEPSNONPILOT/Tender/SplashBidNoticeAbstractUI.aspx?menuIndex=3&amp;refID=7007937&amp;Result=3","7007937")</f>
        <v>0</v>
      </c>
      <c r="B14350" t="s">
        <v>2528</v>
      </c>
      <c r="C14350" t="s">
        <v>16935</v>
      </c>
      <c r="D14350" t="s">
        <v>18039</v>
      </c>
      <c r="E14350" t="s">
        <v>30565</v>
      </c>
      <c r="F14350" t="s">
        <v>31574</v>
      </c>
      <c r="G14350" t="s">
        <v>31582</v>
      </c>
      <c r="H14350" t="s">
        <v>31591</v>
      </c>
      <c r="I14350" t="s">
        <v>8822</v>
      </c>
      <c r="J14350" t="s">
        <v>40524</v>
      </c>
      <c r="K14350" t="s">
        <v>41198</v>
      </c>
      <c r="M14350" t="s">
        <v>44263</v>
      </c>
      <c r="N14350" t="s">
        <v>45095</v>
      </c>
      <c r="O14350" t="s">
        <v>45096</v>
      </c>
      <c r="P14350">
        <v>0</v>
      </c>
      <c r="Q14350">
        <v>0</v>
      </c>
      <c r="R14350" t="s">
        <v>45118</v>
      </c>
      <c r="S14350" t="s">
        <v>46044</v>
      </c>
      <c r="T14350" t="s">
        <v>47154</v>
      </c>
      <c r="U14350" t="s">
        <v>59041</v>
      </c>
      <c r="W14350" t="s">
        <v>44263</v>
      </c>
      <c r="X14350" t="s">
        <v>45122</v>
      </c>
    </row>
    <row r="14351" spans="1:24">
      <c r="A14351">
        <f>HYPERLINK("https://www.philgeps.gov.ph/GEPSNONPILOT/Tender/SplashBidNoticeAbstractUI.aspx?menuIndex=3&amp;refID=7007706&amp;Result=3","7007706")</f>
        <v>0</v>
      </c>
      <c r="B14351" t="s">
        <v>1654</v>
      </c>
      <c r="C14351" t="s">
        <v>16936</v>
      </c>
      <c r="D14351" t="s">
        <v>18091</v>
      </c>
      <c r="E14351" t="s">
        <v>30566</v>
      </c>
      <c r="F14351" t="s">
        <v>31574</v>
      </c>
      <c r="G14351" t="s">
        <v>31582</v>
      </c>
      <c r="H14351" t="s">
        <v>31591</v>
      </c>
      <c r="I14351" t="s">
        <v>8822</v>
      </c>
      <c r="J14351" t="s">
        <v>31771</v>
      </c>
      <c r="K14351" t="s">
        <v>41240</v>
      </c>
      <c r="M14351" t="s">
        <v>43265</v>
      </c>
      <c r="N14351" t="s">
        <v>45095</v>
      </c>
      <c r="O14351" t="s">
        <v>45096</v>
      </c>
      <c r="P14351">
        <v>0</v>
      </c>
      <c r="Q14351">
        <v>0</v>
      </c>
      <c r="R14351" t="s">
        <v>45118</v>
      </c>
      <c r="S14351" t="s">
        <v>46044</v>
      </c>
      <c r="T14351" t="s">
        <v>47159</v>
      </c>
      <c r="U14351" t="s">
        <v>59038</v>
      </c>
      <c r="W14351" t="s">
        <v>43265</v>
      </c>
      <c r="X14351" t="s">
        <v>45122</v>
      </c>
    </row>
    <row r="14352" spans="1:24">
      <c r="A14352">
        <f>HYPERLINK("https://www.philgeps.gov.ph/GEPSNONPILOT/Tender/SplashBidNoticeAbstractUI.aspx?menuIndex=3&amp;refID=7008024&amp;Result=3","7008024")</f>
        <v>0</v>
      </c>
      <c r="B14352" t="s">
        <v>2528</v>
      </c>
      <c r="C14352" t="s">
        <v>16937</v>
      </c>
      <c r="D14352" t="s">
        <v>18039</v>
      </c>
      <c r="E14352" t="s">
        <v>30567</v>
      </c>
      <c r="F14352" t="s">
        <v>31574</v>
      </c>
      <c r="G14352" t="s">
        <v>31582</v>
      </c>
      <c r="H14352" t="s">
        <v>31591</v>
      </c>
      <c r="I14352" t="s">
        <v>8822</v>
      </c>
      <c r="J14352" t="s">
        <v>40525</v>
      </c>
      <c r="K14352" t="s">
        <v>41198</v>
      </c>
      <c r="M14352" t="s">
        <v>44263</v>
      </c>
      <c r="N14352" t="s">
        <v>45095</v>
      </c>
      <c r="O14352" t="s">
        <v>45096</v>
      </c>
      <c r="P14352">
        <v>0</v>
      </c>
      <c r="Q14352">
        <v>0</v>
      </c>
      <c r="R14352" t="s">
        <v>45118</v>
      </c>
      <c r="S14352" t="s">
        <v>46044</v>
      </c>
      <c r="T14352" t="s">
        <v>47154</v>
      </c>
      <c r="U14352" t="s">
        <v>59042</v>
      </c>
      <c r="W14352" t="s">
        <v>44263</v>
      </c>
      <c r="X14352" t="s">
        <v>45122</v>
      </c>
    </row>
    <row r="14353" spans="1:24">
      <c r="A14353">
        <f>HYPERLINK("https://www.philgeps.gov.ph/GEPSNONPILOT/Tender/SplashBidNoticeAbstractUI.aspx?menuIndex=3&amp;refID=7008240&amp;Result=3","7008240")</f>
        <v>0</v>
      </c>
      <c r="B14353" t="s">
        <v>1488</v>
      </c>
      <c r="C14353" t="s">
        <v>16938</v>
      </c>
      <c r="D14353" t="s">
        <v>18088</v>
      </c>
      <c r="E14353" t="s">
        <v>21914</v>
      </c>
      <c r="F14353" t="s">
        <v>31574</v>
      </c>
      <c r="G14353" t="s">
        <v>31582</v>
      </c>
      <c r="H14353" t="s">
        <v>31591</v>
      </c>
      <c r="I14353" t="s">
        <v>8822</v>
      </c>
      <c r="J14353" t="s">
        <v>40526</v>
      </c>
      <c r="K14353" t="s">
        <v>41184</v>
      </c>
      <c r="M14353" t="s">
        <v>43073</v>
      </c>
      <c r="N14353" t="s">
        <v>45095</v>
      </c>
      <c r="O14353" t="s">
        <v>45096</v>
      </c>
      <c r="P14353">
        <v>0</v>
      </c>
      <c r="Q14353">
        <v>0</v>
      </c>
      <c r="R14353" t="s">
        <v>45118</v>
      </c>
      <c r="S14353" t="s">
        <v>46044</v>
      </c>
      <c r="T14353" t="s">
        <v>47159</v>
      </c>
      <c r="U14353" t="s">
        <v>59043</v>
      </c>
      <c r="V14353" t="s">
        <v>61454</v>
      </c>
      <c r="W14353" t="s">
        <v>43073</v>
      </c>
      <c r="X14353" t="s">
        <v>45122</v>
      </c>
    </row>
    <row r="14354" spans="1:24">
      <c r="A14354">
        <f>HYPERLINK("https://www.philgeps.gov.ph/GEPSNONPILOT/Tender/SplashBidNoticeAbstractUI.aspx?menuIndex=3&amp;refID=7007495&amp;Result=3","7007495")</f>
        <v>0</v>
      </c>
      <c r="B14354" t="s">
        <v>3120</v>
      </c>
      <c r="C14354" t="s">
        <v>16939</v>
      </c>
      <c r="D14354" t="s">
        <v>18075</v>
      </c>
      <c r="E14354" t="s">
        <v>30568</v>
      </c>
      <c r="F14354" t="s">
        <v>31574</v>
      </c>
      <c r="G14354" t="s">
        <v>31582</v>
      </c>
      <c r="H14354" t="s">
        <v>31591</v>
      </c>
      <c r="I14354" t="s">
        <v>8822</v>
      </c>
      <c r="J14354" t="s">
        <v>32019</v>
      </c>
      <c r="K14354" t="s">
        <v>41185</v>
      </c>
      <c r="M14354" t="s">
        <v>44967</v>
      </c>
      <c r="N14354" t="s">
        <v>45095</v>
      </c>
      <c r="O14354" t="s">
        <v>45096</v>
      </c>
      <c r="Q14354">
        <v>0</v>
      </c>
      <c r="R14354" t="s">
        <v>45118</v>
      </c>
      <c r="S14354" t="s">
        <v>46059</v>
      </c>
      <c r="T14354" t="s">
        <v>47124</v>
      </c>
      <c r="U14354" t="s">
        <v>59044</v>
      </c>
      <c r="W14354" t="s">
        <v>44967</v>
      </c>
      <c r="X14354" t="s">
        <v>45122</v>
      </c>
    </row>
    <row r="14355" spans="1:24">
      <c r="A14355">
        <f>HYPERLINK("https://www.philgeps.gov.ph/GEPSNONPILOT/Tender/SplashBidNoticeAbstractUI.aspx?menuIndex=3&amp;refID=7008856&amp;Result=3","7008856")</f>
        <v>0</v>
      </c>
      <c r="B14355" t="s">
        <v>961</v>
      </c>
      <c r="C14355" t="s">
        <v>16940</v>
      </c>
      <c r="D14355" t="s">
        <v>18023</v>
      </c>
      <c r="E14355" t="s">
        <v>30569</v>
      </c>
      <c r="F14355" t="s">
        <v>31574</v>
      </c>
      <c r="G14355" t="s">
        <v>31582</v>
      </c>
      <c r="H14355" t="s">
        <v>31590</v>
      </c>
      <c r="I14355" t="s">
        <v>31614</v>
      </c>
      <c r="J14355" t="s">
        <v>32076</v>
      </c>
      <c r="K14355" t="s">
        <v>41185</v>
      </c>
      <c r="M14355" t="s">
        <v>44719</v>
      </c>
      <c r="N14355" t="s">
        <v>45095</v>
      </c>
      <c r="O14355" t="s">
        <v>45096</v>
      </c>
      <c r="P14355">
        <v>0</v>
      </c>
      <c r="Q14355">
        <v>2</v>
      </c>
      <c r="R14355" t="s">
        <v>45118</v>
      </c>
      <c r="S14355" t="s">
        <v>46044</v>
      </c>
      <c r="T14355" t="s">
        <v>46985</v>
      </c>
      <c r="U14355" t="s">
        <v>59045</v>
      </c>
      <c r="W14355" t="s">
        <v>44719</v>
      </c>
      <c r="X14355" t="s">
        <v>45120</v>
      </c>
    </row>
    <row r="14356" spans="1:24">
      <c r="A14356">
        <f>HYPERLINK("https://www.philgeps.gov.ph/GEPSNONPILOT/Tender/SplashBidNoticeAbstractUI.aspx?menuIndex=3&amp;refID=7008365&amp;Result=3","7008365")</f>
        <v>0</v>
      </c>
      <c r="B14356" t="s">
        <v>2418</v>
      </c>
      <c r="C14356" t="s">
        <v>16941</v>
      </c>
      <c r="D14356" t="s">
        <v>18030</v>
      </c>
      <c r="E14356" t="s">
        <v>30570</v>
      </c>
      <c r="F14356" t="s">
        <v>31574</v>
      </c>
      <c r="G14356" t="s">
        <v>31582</v>
      </c>
      <c r="H14356" t="s">
        <v>31590</v>
      </c>
      <c r="I14356" t="s">
        <v>3487</v>
      </c>
      <c r="J14356" t="s">
        <v>32013</v>
      </c>
      <c r="K14356" t="s">
        <v>41186</v>
      </c>
      <c r="M14356" t="s">
        <v>44145</v>
      </c>
      <c r="N14356" t="s">
        <v>45095</v>
      </c>
      <c r="O14356" t="s">
        <v>45096</v>
      </c>
      <c r="P14356">
        <v>0</v>
      </c>
      <c r="Q14356">
        <v>1</v>
      </c>
      <c r="R14356" t="s">
        <v>45118</v>
      </c>
      <c r="S14356" t="s">
        <v>46044</v>
      </c>
      <c r="T14356" t="s">
        <v>47436</v>
      </c>
      <c r="U14356" t="s">
        <v>54660</v>
      </c>
      <c r="W14356" t="s">
        <v>44145</v>
      </c>
      <c r="X14356" t="s">
        <v>45122</v>
      </c>
    </row>
    <row r="14357" spans="1:24">
      <c r="A14357">
        <f>HYPERLINK("https://www.philgeps.gov.ph/GEPSNONPILOT/Tender/SplashBidNoticeAbstractUI.aspx?menuIndex=3&amp;refID=7008511&amp;Result=3","7008511")</f>
        <v>0</v>
      </c>
      <c r="B14357" t="s">
        <v>2641</v>
      </c>
      <c r="C14357" t="s">
        <v>3460</v>
      </c>
      <c r="D14357" t="s">
        <v>18095</v>
      </c>
      <c r="E14357" t="s">
        <v>19633</v>
      </c>
      <c r="F14357" t="s">
        <v>31574</v>
      </c>
      <c r="G14357" t="s">
        <v>31582</v>
      </c>
      <c r="H14357" t="s">
        <v>31590</v>
      </c>
      <c r="I14357" t="s">
        <v>7185</v>
      </c>
      <c r="J14357" t="s">
        <v>40527</v>
      </c>
      <c r="K14357" t="s">
        <v>41186</v>
      </c>
      <c r="M14357" t="s">
        <v>44395</v>
      </c>
      <c r="N14357" t="s">
        <v>45095</v>
      </c>
      <c r="O14357" t="s">
        <v>45096</v>
      </c>
      <c r="Q14357">
        <v>18</v>
      </c>
      <c r="R14357" t="s">
        <v>45118</v>
      </c>
      <c r="S14357" t="s">
        <v>46060</v>
      </c>
      <c r="T14357" t="s">
        <v>47159</v>
      </c>
      <c r="U14357" t="s">
        <v>59046</v>
      </c>
      <c r="W14357" t="s">
        <v>44395</v>
      </c>
      <c r="X14357" t="s">
        <v>45122</v>
      </c>
    </row>
    <row r="14358" spans="1:24">
      <c r="A14358">
        <f>HYPERLINK("https://www.philgeps.gov.ph/GEPSNONPILOT/Tender/SplashBidNoticeAbstractUI.aspx?menuIndex=3&amp;refID=7008106&amp;Result=3","7008106")</f>
        <v>0</v>
      </c>
      <c r="B14358" t="s">
        <v>1654</v>
      </c>
      <c r="C14358" t="s">
        <v>16942</v>
      </c>
      <c r="D14358" t="s">
        <v>18091</v>
      </c>
      <c r="E14358" t="s">
        <v>30571</v>
      </c>
      <c r="F14358" t="s">
        <v>31574</v>
      </c>
      <c r="G14358" t="s">
        <v>31582</v>
      </c>
      <c r="H14358" t="s">
        <v>31591</v>
      </c>
      <c r="I14358" t="s">
        <v>8822</v>
      </c>
      <c r="J14358" t="s">
        <v>40528</v>
      </c>
      <c r="K14358" t="s">
        <v>41192</v>
      </c>
      <c r="M14358" t="s">
        <v>43265</v>
      </c>
      <c r="N14358" t="s">
        <v>45095</v>
      </c>
      <c r="O14358" t="s">
        <v>45096</v>
      </c>
      <c r="P14358">
        <v>0</v>
      </c>
      <c r="Q14358">
        <v>1</v>
      </c>
      <c r="R14358" t="s">
        <v>45118</v>
      </c>
      <c r="S14358" t="s">
        <v>46044</v>
      </c>
      <c r="T14358" t="s">
        <v>47159</v>
      </c>
      <c r="U14358" t="s">
        <v>59038</v>
      </c>
      <c r="W14358" t="s">
        <v>43265</v>
      </c>
      <c r="X14358" t="s">
        <v>45122</v>
      </c>
    </row>
    <row r="14359" spans="1:24">
      <c r="A14359">
        <f>HYPERLINK("https://www.philgeps.gov.ph/GEPSNONPILOT/Tender/SplashBidNoticeAbstractUI.aspx?menuIndex=3&amp;refID=7008860&amp;Result=3","7008860")</f>
        <v>0</v>
      </c>
      <c r="B14359" t="s">
        <v>961</v>
      </c>
      <c r="C14359" t="s">
        <v>16943</v>
      </c>
      <c r="D14359" t="s">
        <v>18023</v>
      </c>
      <c r="E14359" t="s">
        <v>30572</v>
      </c>
      <c r="F14359" t="s">
        <v>31574</v>
      </c>
      <c r="G14359" t="s">
        <v>31582</v>
      </c>
      <c r="H14359" t="s">
        <v>31590</v>
      </c>
      <c r="I14359" t="s">
        <v>31614</v>
      </c>
      <c r="J14359" t="s">
        <v>34091</v>
      </c>
      <c r="K14359" t="s">
        <v>41185</v>
      </c>
      <c r="M14359" t="s">
        <v>44719</v>
      </c>
      <c r="N14359" t="s">
        <v>45095</v>
      </c>
      <c r="O14359" t="s">
        <v>45096</v>
      </c>
      <c r="P14359">
        <v>0</v>
      </c>
      <c r="Q14359">
        <v>2</v>
      </c>
      <c r="R14359" t="s">
        <v>45118</v>
      </c>
      <c r="S14359" t="s">
        <v>46044</v>
      </c>
      <c r="T14359" t="s">
        <v>46985</v>
      </c>
      <c r="U14359" t="s">
        <v>59047</v>
      </c>
      <c r="W14359" t="s">
        <v>44719</v>
      </c>
      <c r="X14359" t="s">
        <v>45120</v>
      </c>
    </row>
    <row r="14360" spans="1:24">
      <c r="A14360">
        <f>HYPERLINK("https://www.philgeps.gov.ph/GEPSNONPILOT/Tender/SplashBidNoticeAbstractUI.aspx?menuIndex=3&amp;refID=7008503&amp;Result=3","7008503")</f>
        <v>0</v>
      </c>
      <c r="B14360" t="s">
        <v>2641</v>
      </c>
      <c r="C14360" t="s">
        <v>16944</v>
      </c>
      <c r="D14360" t="s">
        <v>18095</v>
      </c>
      <c r="E14360" t="s">
        <v>30573</v>
      </c>
      <c r="F14360" t="s">
        <v>31574</v>
      </c>
      <c r="G14360" t="s">
        <v>31582</v>
      </c>
      <c r="H14360" t="s">
        <v>31591</v>
      </c>
      <c r="I14360" t="s">
        <v>8822</v>
      </c>
      <c r="J14360" t="s">
        <v>40529</v>
      </c>
      <c r="K14360" t="s">
        <v>41203</v>
      </c>
      <c r="M14360" t="s">
        <v>44395</v>
      </c>
      <c r="N14360" t="s">
        <v>45095</v>
      </c>
      <c r="O14360" t="s">
        <v>45096</v>
      </c>
      <c r="P14360">
        <v>0</v>
      </c>
      <c r="Q14360">
        <v>2</v>
      </c>
      <c r="R14360" t="s">
        <v>45118</v>
      </c>
      <c r="S14360" t="s">
        <v>46044</v>
      </c>
      <c r="T14360" t="s">
        <v>47154</v>
      </c>
      <c r="U14360" t="s">
        <v>59048</v>
      </c>
      <c r="W14360" t="s">
        <v>44395</v>
      </c>
      <c r="X14360" t="s">
        <v>45122</v>
      </c>
    </row>
    <row r="14361" spans="1:24">
      <c r="A14361">
        <f>HYPERLINK("https://www.philgeps.gov.ph/GEPSNONPILOT/Tender/SplashBidNoticeAbstractUI.aspx?menuIndex=3&amp;refID=7009070&amp;Result=3","7009070")</f>
        <v>0</v>
      </c>
      <c r="B14361" t="s">
        <v>1148</v>
      </c>
      <c r="C14361" t="s">
        <v>16945</v>
      </c>
      <c r="D14361" t="s">
        <v>18081</v>
      </c>
      <c r="E14361" t="s">
        <v>30574</v>
      </c>
      <c r="F14361" t="s">
        <v>31574</v>
      </c>
      <c r="G14361" t="s">
        <v>31582</v>
      </c>
      <c r="H14361" t="s">
        <v>31590</v>
      </c>
      <c r="I14361" t="s">
        <v>31600</v>
      </c>
      <c r="J14361" t="s">
        <v>40530</v>
      </c>
      <c r="K14361" t="s">
        <v>41186</v>
      </c>
      <c r="M14361" t="s">
        <v>42703</v>
      </c>
      <c r="N14361" t="s">
        <v>45095</v>
      </c>
      <c r="O14361" t="s">
        <v>45096</v>
      </c>
      <c r="P14361">
        <v>0</v>
      </c>
      <c r="Q14361">
        <v>1</v>
      </c>
      <c r="R14361" t="s">
        <v>45118</v>
      </c>
      <c r="S14361" t="s">
        <v>46044</v>
      </c>
      <c r="T14361" t="s">
        <v>47183</v>
      </c>
      <c r="U14361" t="s">
        <v>59049</v>
      </c>
      <c r="V14361" t="s">
        <v>61455</v>
      </c>
      <c r="W14361" t="s">
        <v>42703</v>
      </c>
      <c r="X14361" t="s">
        <v>45120</v>
      </c>
    </row>
    <row r="14362" spans="1:24">
      <c r="A14362">
        <f>HYPERLINK("https://www.philgeps.gov.ph/GEPSNONPILOT/Tender/SplashBidNoticeAbstractUI.aspx?menuIndex=3&amp;refID=7007922&amp;Result=3","7007922")</f>
        <v>0</v>
      </c>
      <c r="B14362" t="s">
        <v>1654</v>
      </c>
      <c r="C14362" t="s">
        <v>16946</v>
      </c>
      <c r="D14362" t="s">
        <v>18091</v>
      </c>
      <c r="E14362" t="s">
        <v>30575</v>
      </c>
      <c r="F14362" t="s">
        <v>31574</v>
      </c>
      <c r="G14362" t="s">
        <v>31582</v>
      </c>
      <c r="H14362" t="s">
        <v>31591</v>
      </c>
      <c r="I14362" t="s">
        <v>8822</v>
      </c>
      <c r="J14362" t="s">
        <v>33344</v>
      </c>
      <c r="K14362" t="s">
        <v>41189</v>
      </c>
      <c r="M14362" t="s">
        <v>43265</v>
      </c>
      <c r="N14362" t="s">
        <v>45095</v>
      </c>
      <c r="O14362" t="s">
        <v>45096</v>
      </c>
      <c r="P14362">
        <v>0</v>
      </c>
      <c r="Q14362">
        <v>0</v>
      </c>
      <c r="R14362" t="s">
        <v>45118</v>
      </c>
      <c r="S14362" t="s">
        <v>46044</v>
      </c>
      <c r="T14362" t="s">
        <v>47159</v>
      </c>
      <c r="U14362" t="s">
        <v>59038</v>
      </c>
      <c r="W14362" t="s">
        <v>43265</v>
      </c>
      <c r="X14362" t="s">
        <v>45122</v>
      </c>
    </row>
    <row r="14363" spans="1:24">
      <c r="A14363">
        <f>HYPERLINK("https://www.philgeps.gov.ph/GEPSNONPILOT/Tender/SplashBidNoticeAbstractUI.aspx?menuIndex=3&amp;refID=7009067&amp;Result=3","7009067")</f>
        <v>0</v>
      </c>
      <c r="B14363" t="s">
        <v>1148</v>
      </c>
      <c r="C14363" t="s">
        <v>16947</v>
      </c>
      <c r="D14363" t="s">
        <v>18081</v>
      </c>
      <c r="E14363" t="s">
        <v>30576</v>
      </c>
      <c r="F14363" t="s">
        <v>31574</v>
      </c>
      <c r="G14363" t="s">
        <v>31582</v>
      </c>
      <c r="H14363" t="s">
        <v>31590</v>
      </c>
      <c r="I14363" t="s">
        <v>31600</v>
      </c>
      <c r="J14363" t="s">
        <v>37137</v>
      </c>
      <c r="K14363" t="s">
        <v>41186</v>
      </c>
      <c r="M14363" t="s">
        <v>42703</v>
      </c>
      <c r="N14363" t="s">
        <v>45095</v>
      </c>
      <c r="O14363" t="s">
        <v>45096</v>
      </c>
      <c r="P14363">
        <v>0</v>
      </c>
      <c r="Q14363">
        <v>1</v>
      </c>
      <c r="R14363" t="s">
        <v>45118</v>
      </c>
      <c r="S14363" t="s">
        <v>46044</v>
      </c>
      <c r="T14363" t="s">
        <v>47183</v>
      </c>
      <c r="U14363" t="s">
        <v>59050</v>
      </c>
      <c r="V14363" t="s">
        <v>61455</v>
      </c>
      <c r="W14363" t="s">
        <v>42703</v>
      </c>
      <c r="X14363" t="s">
        <v>45120</v>
      </c>
    </row>
    <row r="14364" spans="1:24">
      <c r="A14364">
        <f>HYPERLINK("https://www.philgeps.gov.ph/GEPSNONPILOT/Tender/SplashBidNoticeAbstractUI.aspx?menuIndex=3&amp;refID=7008955&amp;Result=3","7008955")</f>
        <v>0</v>
      </c>
      <c r="B14364" t="s">
        <v>1057</v>
      </c>
      <c r="C14364" t="s">
        <v>16948</v>
      </c>
      <c r="D14364" t="s">
        <v>18034</v>
      </c>
      <c r="E14364" t="s">
        <v>30577</v>
      </c>
      <c r="F14364" t="s">
        <v>31574</v>
      </c>
      <c r="G14364" t="s">
        <v>31582</v>
      </c>
      <c r="H14364" t="s">
        <v>31590</v>
      </c>
      <c r="I14364" t="s">
        <v>3901</v>
      </c>
      <c r="J14364" t="s">
        <v>34764</v>
      </c>
      <c r="K14364" t="s">
        <v>41192</v>
      </c>
      <c r="M14364" t="s">
        <v>42602</v>
      </c>
      <c r="N14364" t="s">
        <v>45095</v>
      </c>
      <c r="O14364" t="s">
        <v>45096</v>
      </c>
      <c r="Q14364">
        <v>5</v>
      </c>
      <c r="R14364" t="s">
        <v>45118</v>
      </c>
      <c r="S14364" t="s">
        <v>46061</v>
      </c>
      <c r="T14364" t="s">
        <v>46966</v>
      </c>
      <c r="U14364" t="s">
        <v>59051</v>
      </c>
      <c r="W14364" t="s">
        <v>42602</v>
      </c>
      <c r="X14364" t="s">
        <v>45120</v>
      </c>
    </row>
    <row r="14365" spans="1:24">
      <c r="A14365">
        <f>HYPERLINK("https://www.philgeps.gov.ph/GEPSNONPILOT/Tender/SplashBidNoticeAbstractUI.aspx?menuIndex=3&amp;refID=7008950&amp;Result=3","7008950")</f>
        <v>0</v>
      </c>
      <c r="B14365" t="s">
        <v>1057</v>
      </c>
      <c r="C14365" t="s">
        <v>16949</v>
      </c>
      <c r="D14365" t="s">
        <v>18034</v>
      </c>
      <c r="E14365" t="s">
        <v>30578</v>
      </c>
      <c r="F14365" t="s">
        <v>31574</v>
      </c>
      <c r="G14365" t="s">
        <v>31582</v>
      </c>
      <c r="H14365" t="s">
        <v>31590</v>
      </c>
      <c r="I14365" t="s">
        <v>3901</v>
      </c>
      <c r="J14365" t="s">
        <v>40531</v>
      </c>
      <c r="K14365" t="s">
        <v>41192</v>
      </c>
      <c r="M14365" t="s">
        <v>42602</v>
      </c>
      <c r="N14365" t="s">
        <v>45095</v>
      </c>
      <c r="O14365" t="s">
        <v>45096</v>
      </c>
      <c r="Q14365">
        <v>7</v>
      </c>
      <c r="R14365" t="s">
        <v>45118</v>
      </c>
      <c r="S14365" t="s">
        <v>46062</v>
      </c>
      <c r="T14365" t="s">
        <v>46966</v>
      </c>
      <c r="U14365" t="s">
        <v>59052</v>
      </c>
      <c r="W14365" t="s">
        <v>42602</v>
      </c>
      <c r="X14365" t="s">
        <v>45120</v>
      </c>
    </row>
    <row r="14366" spans="1:24">
      <c r="A14366">
        <f>HYPERLINK("https://www.philgeps.gov.ph/GEPSNONPILOT/Tender/SplashBidNoticeAbstractUI.aspx?menuIndex=3&amp;refID=7009066&amp;Result=3","7009066")</f>
        <v>0</v>
      </c>
      <c r="B14366" t="s">
        <v>1148</v>
      </c>
      <c r="C14366" t="s">
        <v>16950</v>
      </c>
      <c r="D14366" t="s">
        <v>18081</v>
      </c>
      <c r="E14366" t="s">
        <v>30579</v>
      </c>
      <c r="F14366" t="s">
        <v>31574</v>
      </c>
      <c r="G14366" t="s">
        <v>31582</v>
      </c>
      <c r="H14366" t="s">
        <v>31590</v>
      </c>
      <c r="I14366" t="s">
        <v>31599</v>
      </c>
      <c r="J14366" t="s">
        <v>32627</v>
      </c>
      <c r="K14366" t="s">
        <v>41186</v>
      </c>
      <c r="M14366" t="s">
        <v>42703</v>
      </c>
      <c r="N14366" t="s">
        <v>45095</v>
      </c>
      <c r="O14366" t="s">
        <v>45096</v>
      </c>
      <c r="P14366">
        <v>0</v>
      </c>
      <c r="Q14366">
        <v>1</v>
      </c>
      <c r="R14366" t="s">
        <v>45118</v>
      </c>
      <c r="S14366" t="s">
        <v>46044</v>
      </c>
      <c r="T14366" t="s">
        <v>47183</v>
      </c>
      <c r="U14366" t="s">
        <v>59053</v>
      </c>
      <c r="V14366" t="s">
        <v>61455</v>
      </c>
      <c r="W14366" t="s">
        <v>42703</v>
      </c>
      <c r="X14366" t="s">
        <v>45120</v>
      </c>
    </row>
    <row r="14367" spans="1:24">
      <c r="A14367">
        <f>HYPERLINK("https://www.philgeps.gov.ph/GEPSNONPILOT/Tender/SplashBidNoticeAbstractUI.aspx?menuIndex=3&amp;refID=7008863&amp;Result=3","7008863")</f>
        <v>0</v>
      </c>
      <c r="B14367" t="s">
        <v>961</v>
      </c>
      <c r="C14367" t="s">
        <v>16951</v>
      </c>
      <c r="D14367" t="s">
        <v>18023</v>
      </c>
      <c r="E14367" t="s">
        <v>30580</v>
      </c>
      <c r="F14367" t="s">
        <v>31574</v>
      </c>
      <c r="G14367" t="s">
        <v>31582</v>
      </c>
      <c r="H14367" t="s">
        <v>31590</v>
      </c>
      <c r="I14367" t="s">
        <v>3901</v>
      </c>
      <c r="J14367" t="s">
        <v>32361</v>
      </c>
      <c r="K14367" t="s">
        <v>41185</v>
      </c>
      <c r="M14367" t="s">
        <v>44719</v>
      </c>
      <c r="N14367" t="s">
        <v>45095</v>
      </c>
      <c r="O14367" t="s">
        <v>45096</v>
      </c>
      <c r="P14367">
        <v>0</v>
      </c>
      <c r="Q14367">
        <v>2</v>
      </c>
      <c r="R14367" t="s">
        <v>45118</v>
      </c>
      <c r="S14367" t="s">
        <v>46044</v>
      </c>
      <c r="T14367" t="s">
        <v>46985</v>
      </c>
      <c r="U14367" t="s">
        <v>59054</v>
      </c>
      <c r="W14367" t="s">
        <v>44719</v>
      </c>
      <c r="X14367" t="s">
        <v>45120</v>
      </c>
    </row>
    <row r="14368" spans="1:24">
      <c r="A14368">
        <f>HYPERLINK("https://www.philgeps.gov.ph/GEPSNONPILOT/Tender/SplashBidNoticeAbstractUI.aspx?menuIndex=3&amp;refID=7008941&amp;Result=3","7008941")</f>
        <v>0</v>
      </c>
      <c r="B14368" t="s">
        <v>1057</v>
      </c>
      <c r="C14368" t="s">
        <v>16952</v>
      </c>
      <c r="D14368" t="s">
        <v>18034</v>
      </c>
      <c r="E14368" t="s">
        <v>30581</v>
      </c>
      <c r="F14368" t="s">
        <v>31574</v>
      </c>
      <c r="G14368" t="s">
        <v>31582</v>
      </c>
      <c r="H14368" t="s">
        <v>31590</v>
      </c>
      <c r="I14368" t="s">
        <v>3901</v>
      </c>
      <c r="J14368" t="s">
        <v>40532</v>
      </c>
      <c r="K14368" t="s">
        <v>41192</v>
      </c>
      <c r="M14368" t="s">
        <v>42602</v>
      </c>
      <c r="N14368" t="s">
        <v>45095</v>
      </c>
      <c r="O14368" t="s">
        <v>45096</v>
      </c>
      <c r="Q14368">
        <v>4</v>
      </c>
      <c r="R14368" t="s">
        <v>45118</v>
      </c>
      <c r="S14368" t="s">
        <v>46063</v>
      </c>
      <c r="T14368" t="s">
        <v>46966</v>
      </c>
      <c r="U14368" t="s">
        <v>59055</v>
      </c>
      <c r="W14368" t="s">
        <v>42602</v>
      </c>
      <c r="X14368" t="s">
        <v>45120</v>
      </c>
    </row>
    <row r="14369" spans="1:24">
      <c r="A14369">
        <f>HYPERLINK("https://www.philgeps.gov.ph/GEPSNONPILOT/Tender/SplashBidNoticeAbstractUI.aspx?menuIndex=3&amp;refID=7009069&amp;Result=3","7009069")</f>
        <v>0</v>
      </c>
      <c r="B14369" t="s">
        <v>1148</v>
      </c>
      <c r="C14369" t="s">
        <v>16953</v>
      </c>
      <c r="D14369" t="s">
        <v>18081</v>
      </c>
      <c r="E14369" t="s">
        <v>30582</v>
      </c>
      <c r="F14369" t="s">
        <v>31574</v>
      </c>
      <c r="G14369" t="s">
        <v>31582</v>
      </c>
      <c r="H14369" t="s">
        <v>31590</v>
      </c>
      <c r="I14369" t="s">
        <v>31600</v>
      </c>
      <c r="J14369" t="s">
        <v>40533</v>
      </c>
      <c r="K14369" t="s">
        <v>41186</v>
      </c>
      <c r="M14369" t="s">
        <v>42703</v>
      </c>
      <c r="N14369" t="s">
        <v>45095</v>
      </c>
      <c r="O14369" t="s">
        <v>45096</v>
      </c>
      <c r="P14369">
        <v>0</v>
      </c>
      <c r="Q14369">
        <v>0</v>
      </c>
      <c r="R14369" t="s">
        <v>45118</v>
      </c>
      <c r="S14369" t="s">
        <v>46044</v>
      </c>
      <c r="T14369" t="s">
        <v>47183</v>
      </c>
      <c r="U14369" t="s">
        <v>59056</v>
      </c>
      <c r="V14369" t="s">
        <v>61455</v>
      </c>
      <c r="W14369" t="s">
        <v>42703</v>
      </c>
      <c r="X14369" t="s">
        <v>45120</v>
      </c>
    </row>
    <row r="14370" spans="1:24">
      <c r="A14370">
        <f>HYPERLINK("https://www.philgeps.gov.ph/GEPSNONPILOT/Tender/SplashBidNoticeAbstractUI.aspx?menuIndex=3&amp;refID=7009090&amp;Result=3","7009090")</f>
        <v>0</v>
      </c>
      <c r="B14370" t="s">
        <v>3122</v>
      </c>
      <c r="C14370" t="s">
        <v>16954</v>
      </c>
      <c r="D14370" t="s">
        <v>18033</v>
      </c>
      <c r="E14370" t="s">
        <v>30583</v>
      </c>
      <c r="F14370" t="s">
        <v>31574</v>
      </c>
      <c r="G14370" t="s">
        <v>31582</v>
      </c>
      <c r="H14370" t="s">
        <v>31591</v>
      </c>
      <c r="I14370" t="s">
        <v>8822</v>
      </c>
      <c r="J14370" t="s">
        <v>31819</v>
      </c>
      <c r="K14370" t="s">
        <v>41202</v>
      </c>
      <c r="M14370" t="s">
        <v>44969</v>
      </c>
      <c r="N14370" t="s">
        <v>45095</v>
      </c>
      <c r="O14370" t="s">
        <v>45096</v>
      </c>
      <c r="P14370">
        <v>0</v>
      </c>
      <c r="Q14370">
        <v>12</v>
      </c>
      <c r="R14370" t="s">
        <v>45118</v>
      </c>
      <c r="S14370" t="s">
        <v>46044</v>
      </c>
      <c r="T14370" t="s">
        <v>47096</v>
      </c>
      <c r="U14370" t="s">
        <v>59057</v>
      </c>
      <c r="V14370" t="s">
        <v>61456</v>
      </c>
      <c r="W14370" t="s">
        <v>44969</v>
      </c>
      <c r="X14370" t="s">
        <v>45121</v>
      </c>
    </row>
    <row r="14371" spans="1:24">
      <c r="A14371">
        <f>HYPERLINK("https://www.philgeps.gov.ph/GEPSNONPILOT/Tender/SplashBidNoticeAbstractUI.aspx?menuIndex=3&amp;refID=7008868&amp;Result=3","7008868")</f>
        <v>0</v>
      </c>
      <c r="B14371" t="s">
        <v>961</v>
      </c>
      <c r="C14371" t="s">
        <v>16955</v>
      </c>
      <c r="D14371" t="s">
        <v>18023</v>
      </c>
      <c r="E14371" t="s">
        <v>30584</v>
      </c>
      <c r="F14371" t="s">
        <v>31574</v>
      </c>
      <c r="G14371" t="s">
        <v>31582</v>
      </c>
      <c r="H14371" t="s">
        <v>31590</v>
      </c>
      <c r="I14371" t="s">
        <v>31599</v>
      </c>
      <c r="J14371" t="s">
        <v>38741</v>
      </c>
      <c r="K14371" t="s">
        <v>41185</v>
      </c>
      <c r="M14371" t="s">
        <v>44719</v>
      </c>
      <c r="N14371" t="s">
        <v>45095</v>
      </c>
      <c r="O14371" t="s">
        <v>45096</v>
      </c>
      <c r="P14371">
        <v>0</v>
      </c>
      <c r="Q14371">
        <v>2</v>
      </c>
      <c r="R14371" t="s">
        <v>45118</v>
      </c>
      <c r="S14371" t="s">
        <v>46044</v>
      </c>
      <c r="T14371" t="s">
        <v>46985</v>
      </c>
      <c r="U14371" t="s">
        <v>59058</v>
      </c>
      <c r="W14371" t="s">
        <v>44719</v>
      </c>
      <c r="X14371" t="s">
        <v>45120</v>
      </c>
    </row>
    <row r="14372" spans="1:24">
      <c r="A14372">
        <f>HYPERLINK("https://www.philgeps.gov.ph/GEPSNONPILOT/Tender/SplashBidNoticeAbstractUI.aspx?menuIndex=3&amp;refID=7009101&amp;Result=3","7009101")</f>
        <v>0</v>
      </c>
      <c r="B14372" t="s">
        <v>575</v>
      </c>
      <c r="C14372" t="s">
        <v>16956</v>
      </c>
      <c r="D14372" t="s">
        <v>18027</v>
      </c>
      <c r="E14372" t="s">
        <v>30585</v>
      </c>
      <c r="F14372" t="s">
        <v>31574</v>
      </c>
      <c r="G14372" t="s">
        <v>31582</v>
      </c>
      <c r="H14372" t="s">
        <v>31590</v>
      </c>
      <c r="I14372" t="s">
        <v>4354</v>
      </c>
      <c r="J14372" t="s">
        <v>40534</v>
      </c>
      <c r="K14372" t="s">
        <v>41184</v>
      </c>
      <c r="M14372" t="s">
        <v>42076</v>
      </c>
      <c r="N14372" t="s">
        <v>45095</v>
      </c>
      <c r="O14372" t="s">
        <v>45096</v>
      </c>
      <c r="P14372">
        <v>0</v>
      </c>
      <c r="Q14372">
        <v>7</v>
      </c>
      <c r="R14372" t="s">
        <v>45118</v>
      </c>
      <c r="S14372" t="s">
        <v>46044</v>
      </c>
      <c r="T14372" t="s">
        <v>47193</v>
      </c>
      <c r="U14372" t="s">
        <v>59059</v>
      </c>
      <c r="W14372" t="s">
        <v>42076</v>
      </c>
      <c r="X14372" t="s">
        <v>45121</v>
      </c>
    </row>
    <row r="14373" spans="1:24">
      <c r="A14373">
        <f>HYPERLINK("https://www.philgeps.gov.ph/GEPSNONPILOT/Tender/SplashBidNoticeAbstractUI.aspx?menuIndex=3&amp;refID=7009358&amp;Result=3","7009358")</f>
        <v>0</v>
      </c>
      <c r="B14373" t="s">
        <v>776</v>
      </c>
      <c r="C14373" t="s">
        <v>16957</v>
      </c>
      <c r="E14373" t="s">
        <v>30586</v>
      </c>
      <c r="F14373" t="s">
        <v>31574</v>
      </c>
      <c r="G14373" t="s">
        <v>31582</v>
      </c>
      <c r="H14373" t="s">
        <v>31593</v>
      </c>
      <c r="I14373" t="s">
        <v>31593</v>
      </c>
      <c r="J14373" t="s">
        <v>36194</v>
      </c>
      <c r="K14373" t="s">
        <v>41281</v>
      </c>
      <c r="M14373" t="s">
        <v>42290</v>
      </c>
      <c r="N14373" t="s">
        <v>45095</v>
      </c>
      <c r="O14373" t="s">
        <v>45096</v>
      </c>
      <c r="Q14373">
        <v>8</v>
      </c>
      <c r="R14373" t="s">
        <v>45118</v>
      </c>
      <c r="S14373" t="s">
        <v>46064</v>
      </c>
      <c r="T14373" t="s">
        <v>46985</v>
      </c>
      <c r="U14373" t="s">
        <v>59060</v>
      </c>
      <c r="W14373" t="s">
        <v>42290</v>
      </c>
      <c r="X14373" t="s">
        <v>45119</v>
      </c>
    </row>
    <row r="14374" spans="1:24">
      <c r="A14374">
        <f>HYPERLINK("https://www.philgeps.gov.ph/GEPSNONPILOT/Tender/SplashBidNoticeAbstractUI.aspx?menuIndex=3&amp;refID=7009285&amp;Result=3","7009285")</f>
        <v>0</v>
      </c>
      <c r="B14374" t="s">
        <v>540</v>
      </c>
      <c r="C14374" t="s">
        <v>16958</v>
      </c>
      <c r="D14374" t="s">
        <v>18022</v>
      </c>
      <c r="E14374" t="s">
        <v>30587</v>
      </c>
      <c r="F14374" t="s">
        <v>31574</v>
      </c>
      <c r="G14374" t="s">
        <v>31582</v>
      </c>
      <c r="H14374" t="s">
        <v>31590</v>
      </c>
      <c r="I14374" t="s">
        <v>31608</v>
      </c>
      <c r="J14374" t="s">
        <v>34807</v>
      </c>
      <c r="K14374" t="s">
        <v>41184</v>
      </c>
      <c r="M14374" t="s">
        <v>42684</v>
      </c>
      <c r="N14374" t="s">
        <v>45095</v>
      </c>
      <c r="O14374" t="s">
        <v>45096</v>
      </c>
      <c r="P14374">
        <v>0</v>
      </c>
      <c r="Q14374">
        <v>11</v>
      </c>
      <c r="R14374" t="s">
        <v>45118</v>
      </c>
      <c r="S14374" t="s">
        <v>46044</v>
      </c>
      <c r="T14374" t="s">
        <v>46949</v>
      </c>
      <c r="U14374" t="s">
        <v>50177</v>
      </c>
      <c r="V14374" t="s">
        <v>61457</v>
      </c>
      <c r="W14374" t="s">
        <v>42684</v>
      </c>
      <c r="X14374" t="s">
        <v>45121</v>
      </c>
    </row>
    <row r="14375" spans="1:24">
      <c r="A14375">
        <f>HYPERLINK("https://www.philgeps.gov.ph/GEPSNONPILOT/Tender/SplashBidNoticeAbstractUI.aspx?menuIndex=3&amp;refID=7009389&amp;Result=3","7009389")</f>
        <v>0</v>
      </c>
      <c r="B14375" t="s">
        <v>192</v>
      </c>
      <c r="C14375" t="s">
        <v>16959</v>
      </c>
      <c r="D14375" t="s">
        <v>18065</v>
      </c>
      <c r="E14375" t="s">
        <v>30588</v>
      </c>
      <c r="F14375" t="s">
        <v>31574</v>
      </c>
      <c r="G14375" t="s">
        <v>31582</v>
      </c>
      <c r="H14375" t="s">
        <v>31590</v>
      </c>
      <c r="I14375" t="s">
        <v>4046</v>
      </c>
      <c r="J14375" t="s">
        <v>40535</v>
      </c>
      <c r="K14375" t="s">
        <v>41186</v>
      </c>
      <c r="M14375" t="s">
        <v>41677</v>
      </c>
      <c r="N14375" t="s">
        <v>45095</v>
      </c>
      <c r="O14375" t="s">
        <v>45096</v>
      </c>
      <c r="P14375">
        <v>0</v>
      </c>
      <c r="Q14375">
        <v>5</v>
      </c>
      <c r="R14375" t="s">
        <v>45118</v>
      </c>
      <c r="S14375" t="s">
        <v>46044</v>
      </c>
      <c r="T14375" t="s">
        <v>47159</v>
      </c>
      <c r="U14375" t="s">
        <v>59061</v>
      </c>
      <c r="W14375" t="s">
        <v>41677</v>
      </c>
      <c r="X14375" t="s">
        <v>45119</v>
      </c>
    </row>
    <row r="14376" spans="1:24">
      <c r="A14376">
        <f>HYPERLINK("https://www.philgeps.gov.ph/GEPSNONPILOT/Tender/SplashBidNoticeAbstractUI.aspx?menuIndex=3&amp;refID=7009355&amp;Result=3","7009355")</f>
        <v>0</v>
      </c>
      <c r="B14376" t="s">
        <v>776</v>
      </c>
      <c r="C14376" t="s">
        <v>16960</v>
      </c>
      <c r="E14376" t="s">
        <v>30589</v>
      </c>
      <c r="F14376" t="s">
        <v>31574</v>
      </c>
      <c r="G14376" t="s">
        <v>31582</v>
      </c>
      <c r="H14376" t="s">
        <v>31593</v>
      </c>
      <c r="I14376" t="s">
        <v>31593</v>
      </c>
      <c r="J14376" t="s">
        <v>40536</v>
      </c>
      <c r="K14376" t="s">
        <v>41281</v>
      </c>
      <c r="M14376" t="s">
        <v>42290</v>
      </c>
      <c r="N14376" t="s">
        <v>45095</v>
      </c>
      <c r="O14376" t="s">
        <v>45096</v>
      </c>
      <c r="Q14376">
        <v>8</v>
      </c>
      <c r="R14376" t="s">
        <v>45118</v>
      </c>
      <c r="S14376" t="s">
        <v>46065</v>
      </c>
      <c r="T14376" t="s">
        <v>46985</v>
      </c>
      <c r="U14376" t="s">
        <v>59062</v>
      </c>
      <c r="W14376" t="s">
        <v>42290</v>
      </c>
      <c r="X14376" t="s">
        <v>45119</v>
      </c>
    </row>
    <row r="14377" spans="1:24">
      <c r="A14377">
        <f>HYPERLINK("https://www.philgeps.gov.ph/GEPSNONPILOT/Tender/SplashBidNoticeAbstractUI.aspx?menuIndex=3&amp;refID=7009365&amp;Result=3","7009365")</f>
        <v>0</v>
      </c>
      <c r="B14377" t="s">
        <v>776</v>
      </c>
      <c r="C14377" t="s">
        <v>16961</v>
      </c>
      <c r="E14377" t="s">
        <v>30590</v>
      </c>
      <c r="F14377" t="s">
        <v>31574</v>
      </c>
      <c r="G14377" t="s">
        <v>31582</v>
      </c>
      <c r="H14377" t="s">
        <v>31593</v>
      </c>
      <c r="I14377" t="s">
        <v>31593</v>
      </c>
      <c r="J14377" t="s">
        <v>36194</v>
      </c>
      <c r="K14377" t="s">
        <v>41281</v>
      </c>
      <c r="M14377" t="s">
        <v>42290</v>
      </c>
      <c r="N14377" t="s">
        <v>45095</v>
      </c>
      <c r="O14377" t="s">
        <v>45096</v>
      </c>
      <c r="Q14377">
        <v>6</v>
      </c>
      <c r="R14377" t="s">
        <v>45118</v>
      </c>
      <c r="S14377" t="s">
        <v>46066</v>
      </c>
      <c r="T14377" t="s">
        <v>46985</v>
      </c>
      <c r="U14377" t="s">
        <v>59063</v>
      </c>
      <c r="W14377" t="s">
        <v>42290</v>
      </c>
      <c r="X14377" t="s">
        <v>45119</v>
      </c>
    </row>
    <row r="14378" spans="1:24">
      <c r="A14378">
        <f>HYPERLINK("https://www.philgeps.gov.ph/GEPSNONPILOT/Tender/SplashBidNoticeAbstractUI.aspx?menuIndex=3&amp;refID=7009384&amp;Result=3","7009384")</f>
        <v>0</v>
      </c>
      <c r="B14378" t="s">
        <v>1057</v>
      </c>
      <c r="C14378" t="s">
        <v>16962</v>
      </c>
      <c r="D14378" t="s">
        <v>18049</v>
      </c>
      <c r="E14378" t="s">
        <v>30591</v>
      </c>
      <c r="F14378" t="s">
        <v>31574</v>
      </c>
      <c r="G14378" t="s">
        <v>31582</v>
      </c>
      <c r="H14378" t="s">
        <v>31590</v>
      </c>
      <c r="I14378" t="s">
        <v>3901</v>
      </c>
      <c r="J14378" t="s">
        <v>40537</v>
      </c>
      <c r="K14378" t="s">
        <v>41192</v>
      </c>
      <c r="M14378" t="s">
        <v>42602</v>
      </c>
      <c r="N14378" t="s">
        <v>45095</v>
      </c>
      <c r="O14378" t="s">
        <v>45096</v>
      </c>
      <c r="Q14378">
        <v>4</v>
      </c>
      <c r="R14378" t="s">
        <v>45118</v>
      </c>
      <c r="S14378" t="s">
        <v>46067</v>
      </c>
      <c r="T14378" t="s">
        <v>46966</v>
      </c>
      <c r="U14378" t="s">
        <v>59064</v>
      </c>
      <c r="W14378" t="s">
        <v>42602</v>
      </c>
      <c r="X14378" t="s">
        <v>45119</v>
      </c>
    </row>
    <row r="14379" spans="1:24">
      <c r="A14379">
        <f>HYPERLINK("https://www.philgeps.gov.ph/GEPSNONPILOT/Tender/SplashBidNoticeAbstractUI.aspx?menuIndex=3&amp;refID=7009381&amp;Result=3","7009381")</f>
        <v>0</v>
      </c>
      <c r="B14379" t="s">
        <v>1057</v>
      </c>
      <c r="C14379" t="s">
        <v>16963</v>
      </c>
      <c r="D14379" t="s">
        <v>18049</v>
      </c>
      <c r="E14379" t="s">
        <v>30592</v>
      </c>
      <c r="F14379" t="s">
        <v>31574</v>
      </c>
      <c r="G14379" t="s">
        <v>31582</v>
      </c>
      <c r="H14379" t="s">
        <v>31590</v>
      </c>
      <c r="I14379" t="s">
        <v>3901</v>
      </c>
      <c r="J14379" t="s">
        <v>32036</v>
      </c>
      <c r="K14379" t="s">
        <v>41192</v>
      </c>
      <c r="M14379" t="s">
        <v>42602</v>
      </c>
      <c r="N14379" t="s">
        <v>45095</v>
      </c>
      <c r="O14379" t="s">
        <v>45096</v>
      </c>
      <c r="Q14379">
        <v>1</v>
      </c>
      <c r="R14379" t="s">
        <v>45118</v>
      </c>
      <c r="S14379" t="s">
        <v>46061</v>
      </c>
      <c r="T14379" t="s">
        <v>46966</v>
      </c>
      <c r="U14379" t="s">
        <v>59065</v>
      </c>
      <c r="W14379" t="s">
        <v>42602</v>
      </c>
      <c r="X14379" t="s">
        <v>45119</v>
      </c>
    </row>
    <row r="14380" spans="1:24">
      <c r="A14380">
        <f>HYPERLINK("https://www.philgeps.gov.ph/GEPSNONPILOT/Tender/SplashBidNoticeAbstractUI.aspx?menuIndex=3&amp;refID=7009440&amp;Result=3","7009440")</f>
        <v>0</v>
      </c>
      <c r="B14380" t="s">
        <v>1057</v>
      </c>
      <c r="C14380" t="s">
        <v>16964</v>
      </c>
      <c r="D14380" t="s">
        <v>18088</v>
      </c>
      <c r="E14380" t="s">
        <v>30593</v>
      </c>
      <c r="F14380" t="s">
        <v>31574</v>
      </c>
      <c r="G14380" t="s">
        <v>31582</v>
      </c>
      <c r="H14380" t="s">
        <v>31590</v>
      </c>
      <c r="I14380" t="s">
        <v>3901</v>
      </c>
      <c r="J14380" t="s">
        <v>40538</v>
      </c>
      <c r="K14380" t="s">
        <v>41192</v>
      </c>
      <c r="M14380" t="s">
        <v>42602</v>
      </c>
      <c r="N14380" t="s">
        <v>45095</v>
      </c>
      <c r="O14380" t="s">
        <v>45096</v>
      </c>
      <c r="Q14380">
        <v>2</v>
      </c>
      <c r="R14380" t="s">
        <v>45118</v>
      </c>
      <c r="S14380" t="s">
        <v>46068</v>
      </c>
      <c r="T14380" t="s">
        <v>46966</v>
      </c>
      <c r="U14380" t="s">
        <v>59066</v>
      </c>
      <c r="W14380" t="s">
        <v>42602</v>
      </c>
      <c r="X14380" t="s">
        <v>45119</v>
      </c>
    </row>
    <row r="14381" spans="1:24">
      <c r="A14381">
        <f>HYPERLINK("https://www.philgeps.gov.ph/GEPSNONPILOT/Tender/SplashBidNoticeAbstractUI.aspx?menuIndex=3&amp;refID=7009446&amp;Result=3","7009446")</f>
        <v>0</v>
      </c>
      <c r="B14381" t="s">
        <v>1057</v>
      </c>
      <c r="C14381" t="s">
        <v>16965</v>
      </c>
      <c r="D14381" t="s">
        <v>18034</v>
      </c>
      <c r="E14381" t="s">
        <v>30594</v>
      </c>
      <c r="F14381" t="s">
        <v>31574</v>
      </c>
      <c r="G14381" t="s">
        <v>31582</v>
      </c>
      <c r="H14381" t="s">
        <v>31590</v>
      </c>
      <c r="I14381" t="s">
        <v>3901</v>
      </c>
      <c r="J14381" t="s">
        <v>40539</v>
      </c>
      <c r="K14381" t="s">
        <v>41192</v>
      </c>
      <c r="M14381" t="s">
        <v>42602</v>
      </c>
      <c r="N14381" t="s">
        <v>45095</v>
      </c>
      <c r="O14381" t="s">
        <v>45096</v>
      </c>
      <c r="Q14381">
        <v>4</v>
      </c>
      <c r="R14381" t="s">
        <v>45118</v>
      </c>
      <c r="S14381" t="s">
        <v>46069</v>
      </c>
      <c r="T14381" t="s">
        <v>46966</v>
      </c>
      <c r="U14381" t="s">
        <v>59067</v>
      </c>
      <c r="W14381" t="s">
        <v>42602</v>
      </c>
      <c r="X14381" t="s">
        <v>45119</v>
      </c>
    </row>
    <row r="14382" spans="1:24">
      <c r="A14382">
        <f>HYPERLINK("https://www.philgeps.gov.ph/GEPSNONPILOT/Tender/SplashBidNoticeAbstractUI.aspx?menuIndex=3&amp;refID=7009431&amp;Result=3","7009431")</f>
        <v>0</v>
      </c>
      <c r="B14382" t="s">
        <v>1057</v>
      </c>
      <c r="C14382" t="s">
        <v>16966</v>
      </c>
      <c r="D14382" t="s">
        <v>18034</v>
      </c>
      <c r="E14382" t="s">
        <v>30595</v>
      </c>
      <c r="F14382" t="s">
        <v>31574</v>
      </c>
      <c r="G14382" t="s">
        <v>31582</v>
      </c>
      <c r="H14382" t="s">
        <v>31590</v>
      </c>
      <c r="I14382" t="s">
        <v>3901</v>
      </c>
      <c r="J14382" t="s">
        <v>34530</v>
      </c>
      <c r="K14382" t="s">
        <v>41192</v>
      </c>
      <c r="M14382" t="s">
        <v>42602</v>
      </c>
      <c r="N14382" t="s">
        <v>45095</v>
      </c>
      <c r="O14382" t="s">
        <v>45096</v>
      </c>
      <c r="Q14382">
        <v>5</v>
      </c>
      <c r="R14382" t="s">
        <v>45118</v>
      </c>
      <c r="S14382" t="s">
        <v>46070</v>
      </c>
      <c r="T14382" t="s">
        <v>46966</v>
      </c>
      <c r="U14382" t="s">
        <v>59068</v>
      </c>
      <c r="W14382" t="s">
        <v>42602</v>
      </c>
      <c r="X14382" t="s">
        <v>45119</v>
      </c>
    </row>
    <row r="14383" spans="1:24">
      <c r="A14383">
        <f>HYPERLINK("https://www.philgeps.gov.ph/GEPSNONPILOT/Tender/SplashBidNoticeAbstractUI.aspx?menuIndex=3&amp;refID=7009445&amp;Result=3","7009445")</f>
        <v>0</v>
      </c>
      <c r="B14383" t="s">
        <v>3123</v>
      </c>
      <c r="C14383" t="s">
        <v>16967</v>
      </c>
      <c r="D14383" t="s">
        <v>18041</v>
      </c>
      <c r="E14383" t="s">
        <v>30596</v>
      </c>
      <c r="F14383" t="s">
        <v>31574</v>
      </c>
      <c r="G14383" t="s">
        <v>31582</v>
      </c>
      <c r="H14383" t="s">
        <v>31590</v>
      </c>
      <c r="I14383" t="s">
        <v>31693</v>
      </c>
      <c r="J14383" t="s">
        <v>34228</v>
      </c>
      <c r="K14383" t="s">
        <v>41184</v>
      </c>
      <c r="M14383" t="s">
        <v>44970</v>
      </c>
      <c r="N14383" t="s">
        <v>45095</v>
      </c>
      <c r="O14383" t="s">
        <v>45096</v>
      </c>
      <c r="P14383">
        <v>0</v>
      </c>
      <c r="Q14383">
        <v>0</v>
      </c>
      <c r="R14383" t="s">
        <v>45118</v>
      </c>
      <c r="S14383" t="s">
        <v>46044</v>
      </c>
      <c r="T14383" t="s">
        <v>47154</v>
      </c>
      <c r="U14383" t="s">
        <v>59069</v>
      </c>
      <c r="W14383" t="s">
        <v>44970</v>
      </c>
      <c r="X14383" t="s">
        <v>45119</v>
      </c>
    </row>
    <row r="14384" spans="1:24">
      <c r="A14384">
        <f>HYPERLINK("https://www.philgeps.gov.ph/GEPSNONPILOT/Tender/SplashBidNoticeAbstractUI.aspx?menuIndex=3&amp;refID=7009071&amp;Result=3","7009071")</f>
        <v>0</v>
      </c>
      <c r="B14384" t="s">
        <v>1148</v>
      </c>
      <c r="C14384" t="s">
        <v>16968</v>
      </c>
      <c r="D14384" t="s">
        <v>18081</v>
      </c>
      <c r="E14384" t="s">
        <v>30597</v>
      </c>
      <c r="F14384" t="s">
        <v>31574</v>
      </c>
      <c r="G14384" t="s">
        <v>31582</v>
      </c>
      <c r="H14384" t="s">
        <v>31590</v>
      </c>
      <c r="I14384" t="s">
        <v>31600</v>
      </c>
      <c r="J14384" t="s">
        <v>40540</v>
      </c>
      <c r="K14384" t="s">
        <v>41186</v>
      </c>
      <c r="M14384" t="s">
        <v>42703</v>
      </c>
      <c r="N14384" t="s">
        <v>45095</v>
      </c>
      <c r="O14384" t="s">
        <v>45096</v>
      </c>
      <c r="P14384">
        <v>0</v>
      </c>
      <c r="Q14384">
        <v>0</v>
      </c>
      <c r="R14384" t="s">
        <v>45118</v>
      </c>
      <c r="S14384" t="s">
        <v>46044</v>
      </c>
      <c r="T14384" t="s">
        <v>47183</v>
      </c>
      <c r="U14384" t="s">
        <v>59070</v>
      </c>
      <c r="V14384" t="s">
        <v>61455</v>
      </c>
      <c r="W14384" t="s">
        <v>42703</v>
      </c>
      <c r="X14384" t="s">
        <v>45120</v>
      </c>
    </row>
    <row r="14385" spans="1:24">
      <c r="A14385">
        <f>HYPERLINK("https://www.philgeps.gov.ph/GEPSNONPILOT/Tender/SplashBidNoticeAbstractUI.aspx?menuIndex=3&amp;refID=7009512&amp;Result=3","7009512")</f>
        <v>0</v>
      </c>
      <c r="B14385" t="s">
        <v>796</v>
      </c>
      <c r="C14385" t="s">
        <v>16969</v>
      </c>
      <c r="D14385" t="s">
        <v>18100</v>
      </c>
      <c r="E14385" t="s">
        <v>30598</v>
      </c>
      <c r="F14385" t="s">
        <v>31574</v>
      </c>
      <c r="G14385" t="s">
        <v>31582</v>
      </c>
      <c r="H14385" t="s">
        <v>31593</v>
      </c>
      <c r="I14385" t="s">
        <v>31593</v>
      </c>
      <c r="J14385" t="s">
        <v>40541</v>
      </c>
      <c r="K14385" t="s">
        <v>41188</v>
      </c>
      <c r="M14385" t="s">
        <v>42310</v>
      </c>
      <c r="N14385" t="s">
        <v>45095</v>
      </c>
      <c r="O14385" t="s">
        <v>45096</v>
      </c>
      <c r="Q14385">
        <v>14</v>
      </c>
      <c r="R14385" t="s">
        <v>45118</v>
      </c>
      <c r="S14385" t="s">
        <v>46071</v>
      </c>
      <c r="T14385" t="s">
        <v>47032</v>
      </c>
      <c r="U14385" t="s">
        <v>59071</v>
      </c>
      <c r="W14385" t="s">
        <v>42310</v>
      </c>
      <c r="X14385" t="s">
        <v>45119</v>
      </c>
    </row>
    <row r="14386" spans="1:24">
      <c r="A14386">
        <f>HYPERLINK("https://www.philgeps.gov.ph/GEPSNONPILOT/Tender/SplashBidNoticeAbstractUI.aspx?menuIndex=3&amp;refID=7009434&amp;Result=3","7009434")</f>
        <v>0</v>
      </c>
      <c r="B14386" t="s">
        <v>3123</v>
      </c>
      <c r="C14386" t="s">
        <v>16970</v>
      </c>
      <c r="D14386" t="s">
        <v>18041</v>
      </c>
      <c r="E14386" t="s">
        <v>30599</v>
      </c>
      <c r="F14386" t="s">
        <v>31574</v>
      </c>
      <c r="G14386" t="s">
        <v>31582</v>
      </c>
      <c r="H14386" t="s">
        <v>31590</v>
      </c>
      <c r="I14386" t="s">
        <v>3539</v>
      </c>
      <c r="J14386" t="s">
        <v>40542</v>
      </c>
      <c r="K14386" t="s">
        <v>41184</v>
      </c>
      <c r="M14386" t="s">
        <v>44970</v>
      </c>
      <c r="N14386" t="s">
        <v>45095</v>
      </c>
      <c r="O14386" t="s">
        <v>45096</v>
      </c>
      <c r="P14386">
        <v>0</v>
      </c>
      <c r="Q14386">
        <v>0</v>
      </c>
      <c r="R14386" t="s">
        <v>45118</v>
      </c>
      <c r="S14386" t="s">
        <v>46044</v>
      </c>
      <c r="T14386" t="s">
        <v>47154</v>
      </c>
      <c r="U14386" t="s">
        <v>59072</v>
      </c>
      <c r="W14386" t="s">
        <v>44970</v>
      </c>
      <c r="X14386" t="s">
        <v>45119</v>
      </c>
    </row>
    <row r="14387" spans="1:24">
      <c r="A14387">
        <f>HYPERLINK("https://www.philgeps.gov.ph/GEPSNONPILOT/Tender/SplashBidNoticeAbstractUI.aspx?menuIndex=3&amp;refID=7009500&amp;Result=3","7009500")</f>
        <v>0</v>
      </c>
      <c r="B14387" t="s">
        <v>575</v>
      </c>
      <c r="C14387" t="s">
        <v>13549</v>
      </c>
      <c r="D14387" t="s">
        <v>18027</v>
      </c>
      <c r="E14387" t="s">
        <v>30600</v>
      </c>
      <c r="F14387" t="s">
        <v>31574</v>
      </c>
      <c r="G14387" t="s">
        <v>31582</v>
      </c>
      <c r="H14387" t="s">
        <v>31590</v>
      </c>
      <c r="I14387" t="s">
        <v>31600</v>
      </c>
      <c r="J14387" t="s">
        <v>40543</v>
      </c>
      <c r="K14387" t="s">
        <v>41184</v>
      </c>
      <c r="M14387" t="s">
        <v>42076</v>
      </c>
      <c r="N14387" t="s">
        <v>45095</v>
      </c>
      <c r="O14387" t="s">
        <v>45096</v>
      </c>
      <c r="P14387">
        <v>0</v>
      </c>
      <c r="Q14387">
        <v>0</v>
      </c>
      <c r="R14387" t="s">
        <v>45118</v>
      </c>
      <c r="S14387" t="s">
        <v>46044</v>
      </c>
      <c r="T14387" t="s">
        <v>47193</v>
      </c>
      <c r="U14387" t="s">
        <v>59073</v>
      </c>
      <c r="W14387" t="s">
        <v>42076</v>
      </c>
      <c r="X14387" t="s">
        <v>45119</v>
      </c>
    </row>
    <row r="14388" spans="1:24">
      <c r="A14388">
        <f>HYPERLINK("https://www.philgeps.gov.ph/GEPSNONPILOT/Tender/SplashBidNoticeAbstractUI.aspx?menuIndex=3&amp;refID=7009234&amp;Result=3","7009234")</f>
        <v>0</v>
      </c>
      <c r="B14388" t="s">
        <v>1997</v>
      </c>
      <c r="C14388" t="s">
        <v>16971</v>
      </c>
      <c r="D14388" t="s">
        <v>18023</v>
      </c>
      <c r="E14388" t="s">
        <v>30601</v>
      </c>
      <c r="F14388" t="s">
        <v>31574</v>
      </c>
      <c r="G14388" t="s">
        <v>31582</v>
      </c>
      <c r="H14388" t="s">
        <v>31591</v>
      </c>
      <c r="I14388" t="s">
        <v>8822</v>
      </c>
      <c r="J14388" t="s">
        <v>34360</v>
      </c>
      <c r="K14388" t="s">
        <v>41477</v>
      </c>
      <c r="M14388" t="s">
        <v>43659</v>
      </c>
      <c r="N14388" t="s">
        <v>45095</v>
      </c>
      <c r="O14388" t="s">
        <v>45096</v>
      </c>
      <c r="P14388">
        <v>0</v>
      </c>
      <c r="Q14388">
        <v>5</v>
      </c>
      <c r="R14388" t="s">
        <v>45118</v>
      </c>
      <c r="S14388" t="s">
        <v>46044</v>
      </c>
      <c r="T14388" t="s">
        <v>47159</v>
      </c>
      <c r="U14388" t="s">
        <v>59074</v>
      </c>
      <c r="V14388" t="s">
        <v>61270</v>
      </c>
      <c r="W14388" t="s">
        <v>43659</v>
      </c>
      <c r="X14388" t="s">
        <v>45121</v>
      </c>
    </row>
    <row r="14389" spans="1:24">
      <c r="A14389">
        <f>HYPERLINK("https://www.philgeps.gov.ph/GEPSNONPILOT/Tender/SplashBidNoticeAbstractUI.aspx?menuIndex=3&amp;refID=7009513&amp;Result=3","7009513")</f>
        <v>0</v>
      </c>
      <c r="B14389" t="s">
        <v>1057</v>
      </c>
      <c r="C14389" t="s">
        <v>16972</v>
      </c>
      <c r="D14389" t="s">
        <v>18034</v>
      </c>
      <c r="E14389" t="s">
        <v>30602</v>
      </c>
      <c r="F14389" t="s">
        <v>31574</v>
      </c>
      <c r="G14389" t="s">
        <v>31582</v>
      </c>
      <c r="H14389" t="s">
        <v>31590</v>
      </c>
      <c r="I14389" t="s">
        <v>3901</v>
      </c>
      <c r="J14389" t="s">
        <v>40544</v>
      </c>
      <c r="K14389" t="s">
        <v>41192</v>
      </c>
      <c r="M14389" t="s">
        <v>42602</v>
      </c>
      <c r="N14389" t="s">
        <v>45095</v>
      </c>
      <c r="O14389" t="s">
        <v>45096</v>
      </c>
      <c r="Q14389">
        <v>7</v>
      </c>
      <c r="R14389" t="s">
        <v>45118</v>
      </c>
      <c r="S14389" t="s">
        <v>46072</v>
      </c>
      <c r="T14389" t="s">
        <v>46966</v>
      </c>
      <c r="U14389" t="s">
        <v>59075</v>
      </c>
      <c r="W14389" t="s">
        <v>42602</v>
      </c>
      <c r="X14389" t="s">
        <v>45119</v>
      </c>
    </row>
    <row r="14390" spans="1:24">
      <c r="A14390">
        <f>HYPERLINK("https://www.philgeps.gov.ph/GEPSNONPILOT/Tender/SplashBidNoticeAbstractUI.aspx?menuIndex=3&amp;refID=7009457&amp;Result=3","7009457")</f>
        <v>0</v>
      </c>
      <c r="B14390" t="s">
        <v>3123</v>
      </c>
      <c r="C14390" t="s">
        <v>16973</v>
      </c>
      <c r="D14390" t="s">
        <v>18041</v>
      </c>
      <c r="E14390" t="s">
        <v>30603</v>
      </c>
      <c r="F14390" t="s">
        <v>31574</v>
      </c>
      <c r="G14390" t="s">
        <v>31582</v>
      </c>
      <c r="H14390" t="s">
        <v>31590</v>
      </c>
      <c r="I14390" t="s">
        <v>31693</v>
      </c>
      <c r="J14390" t="s">
        <v>36540</v>
      </c>
      <c r="K14390" t="s">
        <v>41184</v>
      </c>
      <c r="M14390" t="s">
        <v>44970</v>
      </c>
      <c r="N14390" t="s">
        <v>45095</v>
      </c>
      <c r="O14390" t="s">
        <v>45096</v>
      </c>
      <c r="P14390">
        <v>0</v>
      </c>
      <c r="Q14390">
        <v>0</v>
      </c>
      <c r="R14390" t="s">
        <v>45118</v>
      </c>
      <c r="S14390" t="s">
        <v>46044</v>
      </c>
      <c r="T14390" t="s">
        <v>47154</v>
      </c>
      <c r="U14390" t="s">
        <v>59076</v>
      </c>
      <c r="W14390" t="s">
        <v>44970</v>
      </c>
      <c r="X14390" t="s">
        <v>45119</v>
      </c>
    </row>
    <row r="14391" spans="1:24">
      <c r="A14391">
        <f>HYPERLINK("https://www.philgeps.gov.ph/GEPSNONPILOT/Tender/SplashBidNoticeAbstractUI.aspx?menuIndex=3&amp;refID=7009505&amp;Result=3","7009505")</f>
        <v>0</v>
      </c>
      <c r="B14391" t="s">
        <v>1057</v>
      </c>
      <c r="C14391" t="s">
        <v>16974</v>
      </c>
      <c r="D14391" t="s">
        <v>18034</v>
      </c>
      <c r="E14391" t="s">
        <v>30604</v>
      </c>
      <c r="F14391" t="s">
        <v>31574</v>
      </c>
      <c r="G14391" t="s">
        <v>31582</v>
      </c>
      <c r="H14391" t="s">
        <v>31590</v>
      </c>
      <c r="I14391" t="s">
        <v>3901</v>
      </c>
      <c r="J14391" t="s">
        <v>40545</v>
      </c>
      <c r="K14391" t="s">
        <v>41192</v>
      </c>
      <c r="M14391" t="s">
        <v>42602</v>
      </c>
      <c r="N14391" t="s">
        <v>45095</v>
      </c>
      <c r="O14391" t="s">
        <v>45096</v>
      </c>
      <c r="Q14391">
        <v>5</v>
      </c>
      <c r="R14391" t="s">
        <v>45118</v>
      </c>
      <c r="S14391" t="s">
        <v>46072</v>
      </c>
      <c r="T14391" t="s">
        <v>46966</v>
      </c>
      <c r="U14391" t="s">
        <v>59077</v>
      </c>
      <c r="W14391" t="s">
        <v>42602</v>
      </c>
      <c r="X14391" t="s">
        <v>45119</v>
      </c>
    </row>
    <row r="14392" spans="1:24">
      <c r="A14392">
        <f>HYPERLINK("https://www.philgeps.gov.ph/GEPSNONPILOT/Tender/SplashBidNoticeAbstractUI.aspx?menuIndex=3&amp;refID=7009425&amp;Result=3","7009425")</f>
        <v>0</v>
      </c>
      <c r="B14392" t="s">
        <v>1057</v>
      </c>
      <c r="C14392" t="s">
        <v>16975</v>
      </c>
      <c r="D14392" t="s">
        <v>18034</v>
      </c>
      <c r="E14392" t="s">
        <v>30605</v>
      </c>
      <c r="F14392" t="s">
        <v>31574</v>
      </c>
      <c r="G14392" t="s">
        <v>31582</v>
      </c>
      <c r="H14392" t="s">
        <v>31590</v>
      </c>
      <c r="I14392" t="s">
        <v>3901</v>
      </c>
      <c r="J14392" t="s">
        <v>40532</v>
      </c>
      <c r="K14392" t="s">
        <v>41192</v>
      </c>
      <c r="M14392" t="s">
        <v>42602</v>
      </c>
      <c r="N14392" t="s">
        <v>45095</v>
      </c>
      <c r="O14392" t="s">
        <v>45096</v>
      </c>
      <c r="Q14392">
        <v>4</v>
      </c>
      <c r="R14392" t="s">
        <v>45118</v>
      </c>
      <c r="S14392" t="s">
        <v>46070</v>
      </c>
      <c r="T14392" t="s">
        <v>46966</v>
      </c>
      <c r="U14392" t="s">
        <v>49960</v>
      </c>
      <c r="W14392" t="s">
        <v>42602</v>
      </c>
      <c r="X14392" t="s">
        <v>45119</v>
      </c>
    </row>
    <row r="14393" spans="1:24">
      <c r="A14393">
        <f>HYPERLINK("https://www.philgeps.gov.ph/GEPSNONPILOT/Tender/SplashBidNoticeAbstractUI.aspx?menuIndex=3&amp;refID=7009525&amp;Result=3","7009525")</f>
        <v>0</v>
      </c>
      <c r="B14393" t="s">
        <v>1057</v>
      </c>
      <c r="C14393" t="s">
        <v>16976</v>
      </c>
      <c r="D14393" t="s">
        <v>18049</v>
      </c>
      <c r="E14393" t="s">
        <v>30606</v>
      </c>
      <c r="F14393" t="s">
        <v>31574</v>
      </c>
      <c r="G14393" t="s">
        <v>31582</v>
      </c>
      <c r="H14393" t="s">
        <v>31590</v>
      </c>
      <c r="I14393" t="s">
        <v>3901</v>
      </c>
      <c r="J14393" t="s">
        <v>40546</v>
      </c>
      <c r="K14393" t="s">
        <v>41192</v>
      </c>
      <c r="M14393" t="s">
        <v>42602</v>
      </c>
      <c r="N14393" t="s">
        <v>45095</v>
      </c>
      <c r="O14393" t="s">
        <v>45096</v>
      </c>
      <c r="Q14393">
        <v>6</v>
      </c>
      <c r="R14393" t="s">
        <v>45118</v>
      </c>
      <c r="S14393" t="s">
        <v>46073</v>
      </c>
      <c r="T14393" t="s">
        <v>46966</v>
      </c>
      <c r="U14393" t="s">
        <v>59078</v>
      </c>
      <c r="W14393" t="s">
        <v>42602</v>
      </c>
      <c r="X14393" t="s">
        <v>45119</v>
      </c>
    </row>
    <row r="14394" spans="1:24">
      <c r="A14394">
        <f>HYPERLINK("https://www.philgeps.gov.ph/GEPSNONPILOT/Tender/SplashBidNoticeAbstractUI.aspx?menuIndex=3&amp;refID=7009390&amp;Result=3","7009390")</f>
        <v>0</v>
      </c>
      <c r="B14394" t="s">
        <v>1057</v>
      </c>
      <c r="C14394" t="s">
        <v>16977</v>
      </c>
      <c r="D14394" t="s">
        <v>18049</v>
      </c>
      <c r="E14394" t="s">
        <v>30607</v>
      </c>
      <c r="F14394" t="s">
        <v>31574</v>
      </c>
      <c r="G14394" t="s">
        <v>31582</v>
      </c>
      <c r="H14394" t="s">
        <v>31590</v>
      </c>
      <c r="I14394" t="s">
        <v>3901</v>
      </c>
      <c r="J14394" t="s">
        <v>40547</v>
      </c>
      <c r="K14394" t="s">
        <v>41192</v>
      </c>
      <c r="M14394" t="s">
        <v>42602</v>
      </c>
      <c r="N14394" t="s">
        <v>45095</v>
      </c>
      <c r="O14394" t="s">
        <v>45096</v>
      </c>
      <c r="Q14394">
        <v>5</v>
      </c>
      <c r="R14394" t="s">
        <v>45118</v>
      </c>
      <c r="S14394" t="s">
        <v>46074</v>
      </c>
      <c r="T14394" t="s">
        <v>46966</v>
      </c>
      <c r="U14394" t="s">
        <v>59079</v>
      </c>
      <c r="W14394" t="s">
        <v>42602</v>
      </c>
      <c r="X14394" t="s">
        <v>45119</v>
      </c>
    </row>
    <row r="14395" spans="1:24">
      <c r="A14395">
        <f>HYPERLINK("https://www.philgeps.gov.ph/GEPSNONPILOT/Tender/SplashBidNoticeAbstractUI.aspx?menuIndex=3&amp;refID=7009548&amp;Result=3","7009548")</f>
        <v>0</v>
      </c>
      <c r="B14395" t="s">
        <v>627</v>
      </c>
      <c r="C14395" t="s">
        <v>16978</v>
      </c>
      <c r="E14395" t="s">
        <v>30608</v>
      </c>
      <c r="F14395" t="s">
        <v>31574</v>
      </c>
      <c r="G14395" t="s">
        <v>31582</v>
      </c>
      <c r="H14395" t="s">
        <v>31590</v>
      </c>
      <c r="I14395" t="s">
        <v>4046</v>
      </c>
      <c r="J14395" t="s">
        <v>40548</v>
      </c>
      <c r="K14395" t="s">
        <v>41184</v>
      </c>
      <c r="M14395" t="s">
        <v>42131</v>
      </c>
      <c r="N14395" t="s">
        <v>45095</v>
      </c>
      <c r="O14395" t="s">
        <v>45096</v>
      </c>
      <c r="P14395">
        <v>0</v>
      </c>
      <c r="Q14395">
        <v>0</v>
      </c>
      <c r="R14395" t="s">
        <v>45118</v>
      </c>
      <c r="S14395" t="s">
        <v>46044</v>
      </c>
      <c r="T14395" t="s">
        <v>47183</v>
      </c>
      <c r="U14395" t="s">
        <v>59080</v>
      </c>
      <c r="W14395" t="s">
        <v>42131</v>
      </c>
      <c r="X14395" t="s">
        <v>45119</v>
      </c>
    </row>
    <row r="14396" spans="1:24">
      <c r="A14396">
        <f>HYPERLINK("https://www.philgeps.gov.ph/GEPSNONPILOT/Tender/SplashBidNoticeAbstractUI.aspx?menuIndex=3&amp;refID=7009545&amp;Result=3","7009545")</f>
        <v>0</v>
      </c>
      <c r="B14396" t="s">
        <v>1057</v>
      </c>
      <c r="C14396" t="s">
        <v>16979</v>
      </c>
      <c r="D14396" t="s">
        <v>18075</v>
      </c>
      <c r="E14396" t="s">
        <v>30609</v>
      </c>
      <c r="F14396" t="s">
        <v>31574</v>
      </c>
      <c r="G14396" t="s">
        <v>31582</v>
      </c>
      <c r="H14396" t="s">
        <v>31590</v>
      </c>
      <c r="I14396" t="s">
        <v>3901</v>
      </c>
      <c r="J14396" t="s">
        <v>40549</v>
      </c>
      <c r="K14396" t="s">
        <v>41192</v>
      </c>
      <c r="M14396" t="s">
        <v>42602</v>
      </c>
      <c r="N14396" t="s">
        <v>45095</v>
      </c>
      <c r="O14396" t="s">
        <v>45096</v>
      </c>
      <c r="Q14396">
        <v>6</v>
      </c>
      <c r="R14396" t="s">
        <v>45118</v>
      </c>
      <c r="S14396" t="s">
        <v>46075</v>
      </c>
      <c r="T14396" t="s">
        <v>46966</v>
      </c>
      <c r="U14396" t="s">
        <v>59081</v>
      </c>
      <c r="W14396" t="s">
        <v>42602</v>
      </c>
      <c r="X14396" t="s">
        <v>45119</v>
      </c>
    </row>
    <row r="14397" spans="1:24">
      <c r="A14397">
        <f>HYPERLINK("https://www.philgeps.gov.ph/GEPSNONPILOT/Tender/SplashBidNoticeAbstractUI.aspx?menuIndex=3&amp;refID=7009518&amp;Result=3","7009518")</f>
        <v>0</v>
      </c>
      <c r="B14397" t="s">
        <v>575</v>
      </c>
      <c r="C14397" t="s">
        <v>16980</v>
      </c>
      <c r="D14397" t="s">
        <v>18027</v>
      </c>
      <c r="E14397" t="s">
        <v>30610</v>
      </c>
      <c r="F14397" t="s">
        <v>31574</v>
      </c>
      <c r="G14397" t="s">
        <v>31582</v>
      </c>
      <c r="H14397" t="s">
        <v>31590</v>
      </c>
      <c r="I14397" t="s">
        <v>31619</v>
      </c>
      <c r="J14397" t="s">
        <v>40550</v>
      </c>
      <c r="K14397" t="s">
        <v>41184</v>
      </c>
      <c r="M14397" t="s">
        <v>44971</v>
      </c>
      <c r="N14397" t="s">
        <v>45095</v>
      </c>
      <c r="O14397" t="s">
        <v>45096</v>
      </c>
      <c r="P14397">
        <v>0</v>
      </c>
      <c r="Q14397">
        <v>14</v>
      </c>
      <c r="R14397" t="s">
        <v>45118</v>
      </c>
      <c r="S14397" t="s">
        <v>46044</v>
      </c>
      <c r="T14397" t="s">
        <v>47193</v>
      </c>
      <c r="U14397" t="s">
        <v>59082</v>
      </c>
      <c r="W14397" t="s">
        <v>42076</v>
      </c>
      <c r="X14397" t="s">
        <v>45119</v>
      </c>
    </row>
    <row r="14398" spans="1:24">
      <c r="A14398">
        <f>HYPERLINK("https://www.philgeps.gov.ph/GEPSNONPILOT/Tender/SplashBidNoticeAbstractUI.aspx?menuIndex=3&amp;refID=7009565&amp;Result=3","7009565")</f>
        <v>0</v>
      </c>
      <c r="B14398" t="s">
        <v>627</v>
      </c>
      <c r="C14398" t="s">
        <v>16981</v>
      </c>
      <c r="E14398" t="s">
        <v>30611</v>
      </c>
      <c r="F14398" t="s">
        <v>31574</v>
      </c>
      <c r="G14398" t="s">
        <v>31582</v>
      </c>
      <c r="H14398" t="s">
        <v>31590</v>
      </c>
      <c r="I14398" t="s">
        <v>31614</v>
      </c>
      <c r="J14398" t="s">
        <v>40551</v>
      </c>
      <c r="K14398" t="s">
        <v>41184</v>
      </c>
      <c r="M14398" t="s">
        <v>42131</v>
      </c>
      <c r="N14398" t="s">
        <v>45095</v>
      </c>
      <c r="O14398" t="s">
        <v>45096</v>
      </c>
      <c r="P14398">
        <v>0</v>
      </c>
      <c r="Q14398">
        <v>0</v>
      </c>
      <c r="R14398" t="s">
        <v>45118</v>
      </c>
      <c r="S14398" t="s">
        <v>46044</v>
      </c>
      <c r="T14398" t="s">
        <v>47183</v>
      </c>
      <c r="U14398" t="s">
        <v>59083</v>
      </c>
      <c r="W14398" t="s">
        <v>42131</v>
      </c>
      <c r="X14398" t="s">
        <v>45119</v>
      </c>
    </row>
    <row r="14399" spans="1:24">
      <c r="A14399">
        <f>HYPERLINK("https://www.philgeps.gov.ph/GEPSNONPILOT/Tender/SplashBidNoticeAbstractUI.aspx?menuIndex=3&amp;refID=7009582&amp;Result=3","7009582")</f>
        <v>0</v>
      </c>
      <c r="B14399" t="s">
        <v>3115</v>
      </c>
      <c r="C14399" t="s">
        <v>16982</v>
      </c>
      <c r="D14399" t="s">
        <v>18023</v>
      </c>
      <c r="E14399" t="s">
        <v>30612</v>
      </c>
      <c r="F14399" t="s">
        <v>31574</v>
      </c>
      <c r="G14399" t="s">
        <v>31582</v>
      </c>
      <c r="H14399" t="s">
        <v>31591</v>
      </c>
      <c r="I14399" t="s">
        <v>8822</v>
      </c>
      <c r="J14399" t="s">
        <v>35720</v>
      </c>
      <c r="K14399" t="s">
        <v>41428</v>
      </c>
      <c r="M14399" t="s">
        <v>44962</v>
      </c>
      <c r="N14399" t="s">
        <v>45095</v>
      </c>
      <c r="O14399" t="s">
        <v>45096</v>
      </c>
      <c r="P14399">
        <v>0</v>
      </c>
      <c r="Q14399">
        <v>15</v>
      </c>
      <c r="R14399" t="s">
        <v>45118</v>
      </c>
      <c r="S14399" t="s">
        <v>46044</v>
      </c>
      <c r="T14399" t="s">
        <v>47249</v>
      </c>
      <c r="U14399" t="s">
        <v>59084</v>
      </c>
      <c r="W14399" t="s">
        <v>44962</v>
      </c>
      <c r="X14399" t="s">
        <v>45119</v>
      </c>
    </row>
    <row r="14400" spans="1:24">
      <c r="A14400">
        <f>HYPERLINK("https://www.philgeps.gov.ph/GEPSNONPILOT/Tender/SplashBidNoticeAbstractUI.aspx?menuIndex=3&amp;refID=7009546&amp;Result=3","7009546")</f>
        <v>0</v>
      </c>
      <c r="B14400" t="s">
        <v>627</v>
      </c>
      <c r="C14400" t="s">
        <v>16983</v>
      </c>
      <c r="E14400" t="s">
        <v>30613</v>
      </c>
      <c r="F14400" t="s">
        <v>31574</v>
      </c>
      <c r="G14400" t="s">
        <v>31582</v>
      </c>
      <c r="H14400" t="s">
        <v>31590</v>
      </c>
      <c r="I14400" t="s">
        <v>14544</v>
      </c>
      <c r="J14400" t="s">
        <v>40552</v>
      </c>
      <c r="K14400" t="s">
        <v>41184</v>
      </c>
      <c r="M14400" t="s">
        <v>42131</v>
      </c>
      <c r="N14400" t="s">
        <v>45095</v>
      </c>
      <c r="O14400" t="s">
        <v>45096</v>
      </c>
      <c r="P14400">
        <v>0</v>
      </c>
      <c r="Q14400">
        <v>0</v>
      </c>
      <c r="R14400" t="s">
        <v>45118</v>
      </c>
      <c r="S14400" t="s">
        <v>46044</v>
      </c>
      <c r="T14400" t="s">
        <v>47183</v>
      </c>
      <c r="U14400" t="s">
        <v>59085</v>
      </c>
      <c r="W14400" t="s">
        <v>42131</v>
      </c>
      <c r="X14400" t="s">
        <v>45119</v>
      </c>
    </row>
    <row r="14401" spans="1:24">
      <c r="A14401">
        <f>HYPERLINK("https://www.philgeps.gov.ph/GEPSNONPILOT/Tender/SplashBidNoticeAbstractUI.aspx?menuIndex=3&amp;refID=7009560&amp;Result=3","7009560")</f>
        <v>0</v>
      </c>
      <c r="B14401" t="s">
        <v>627</v>
      </c>
      <c r="C14401" t="s">
        <v>16984</v>
      </c>
      <c r="E14401" t="s">
        <v>30614</v>
      </c>
      <c r="F14401" t="s">
        <v>31574</v>
      </c>
      <c r="G14401" t="s">
        <v>31582</v>
      </c>
      <c r="H14401" t="s">
        <v>31591</v>
      </c>
      <c r="I14401" t="s">
        <v>8822</v>
      </c>
      <c r="J14401" t="s">
        <v>31935</v>
      </c>
      <c r="K14401" t="s">
        <v>41184</v>
      </c>
      <c r="M14401" t="s">
        <v>42131</v>
      </c>
      <c r="N14401" t="s">
        <v>45095</v>
      </c>
      <c r="O14401" t="s">
        <v>45096</v>
      </c>
      <c r="P14401">
        <v>0</v>
      </c>
      <c r="Q14401">
        <v>0</v>
      </c>
      <c r="R14401" t="s">
        <v>45118</v>
      </c>
      <c r="S14401" t="s">
        <v>46044</v>
      </c>
      <c r="T14401" t="s">
        <v>47183</v>
      </c>
      <c r="U14401" t="s">
        <v>59086</v>
      </c>
      <c r="W14401" t="s">
        <v>42131</v>
      </c>
      <c r="X14401" t="s">
        <v>45119</v>
      </c>
    </row>
    <row r="14402" spans="1:24">
      <c r="A14402">
        <f>HYPERLINK("https://www.philgeps.gov.ph/GEPSNONPILOT/Tender/SplashBidNoticeAbstractUI.aspx?menuIndex=3&amp;refID=7009562&amp;Result=3","7009562")</f>
        <v>0</v>
      </c>
      <c r="B14402" t="s">
        <v>627</v>
      </c>
      <c r="C14402" t="s">
        <v>16985</v>
      </c>
      <c r="E14402" t="s">
        <v>30615</v>
      </c>
      <c r="F14402" t="s">
        <v>31574</v>
      </c>
      <c r="G14402" t="s">
        <v>31582</v>
      </c>
      <c r="H14402" t="s">
        <v>31590</v>
      </c>
      <c r="I14402" t="s">
        <v>31614</v>
      </c>
      <c r="J14402" t="s">
        <v>40553</v>
      </c>
      <c r="K14402" t="s">
        <v>41184</v>
      </c>
      <c r="M14402" t="s">
        <v>42131</v>
      </c>
      <c r="N14402" t="s">
        <v>45095</v>
      </c>
      <c r="O14402" t="s">
        <v>45096</v>
      </c>
      <c r="P14402">
        <v>0</v>
      </c>
      <c r="Q14402">
        <v>0</v>
      </c>
      <c r="R14402" t="s">
        <v>45118</v>
      </c>
      <c r="S14402" t="s">
        <v>46044</v>
      </c>
      <c r="T14402" t="s">
        <v>47183</v>
      </c>
      <c r="U14402" t="s">
        <v>59087</v>
      </c>
      <c r="W14402" t="s">
        <v>42131</v>
      </c>
      <c r="X14402" t="s">
        <v>45119</v>
      </c>
    </row>
    <row r="14403" spans="1:24">
      <c r="A14403">
        <f>HYPERLINK("https://www.philgeps.gov.ph/GEPSNONPILOT/Tender/SplashBidNoticeAbstractUI.aspx?menuIndex=3&amp;refID=7009670&amp;Result=3","7009670")</f>
        <v>0</v>
      </c>
      <c r="B14403" t="s">
        <v>1997</v>
      </c>
      <c r="C14403" t="s">
        <v>16986</v>
      </c>
      <c r="D14403" t="s">
        <v>18023</v>
      </c>
      <c r="E14403" t="s">
        <v>30616</v>
      </c>
      <c r="F14403" t="s">
        <v>31574</v>
      </c>
      <c r="G14403" t="s">
        <v>31582</v>
      </c>
      <c r="H14403" t="s">
        <v>31591</v>
      </c>
      <c r="I14403" t="s">
        <v>8822</v>
      </c>
      <c r="J14403" t="s">
        <v>37939</v>
      </c>
      <c r="K14403" t="s">
        <v>41453</v>
      </c>
      <c r="M14403" t="s">
        <v>43659</v>
      </c>
      <c r="N14403" t="s">
        <v>45095</v>
      </c>
      <c r="O14403" t="s">
        <v>45096</v>
      </c>
      <c r="P14403">
        <v>0</v>
      </c>
      <c r="Q14403">
        <v>7</v>
      </c>
      <c r="R14403" t="s">
        <v>45118</v>
      </c>
      <c r="S14403" t="s">
        <v>46044</v>
      </c>
      <c r="T14403" t="s">
        <v>47050</v>
      </c>
      <c r="U14403" t="s">
        <v>59088</v>
      </c>
      <c r="V14403" t="s">
        <v>61270</v>
      </c>
      <c r="W14403" t="s">
        <v>43659</v>
      </c>
      <c r="X14403" t="s">
        <v>45119</v>
      </c>
    </row>
    <row r="14404" spans="1:24">
      <c r="A14404">
        <f>HYPERLINK("https://www.philgeps.gov.ph/GEPSNONPILOT/Tender/SplashBidNoticeAbstractUI.aspx?menuIndex=3&amp;refID=7009553&amp;Result=3","7009553")</f>
        <v>0</v>
      </c>
      <c r="B14404" t="s">
        <v>1282</v>
      </c>
      <c r="C14404" t="s">
        <v>16987</v>
      </c>
      <c r="D14404" t="s">
        <v>18033</v>
      </c>
      <c r="E14404" t="s">
        <v>26077</v>
      </c>
      <c r="F14404" t="s">
        <v>31574</v>
      </c>
      <c r="G14404" t="s">
        <v>31582</v>
      </c>
      <c r="H14404" t="s">
        <v>31591</v>
      </c>
      <c r="I14404" t="s">
        <v>8822</v>
      </c>
      <c r="J14404" t="s">
        <v>32101</v>
      </c>
      <c r="K14404" t="s">
        <v>41192</v>
      </c>
      <c r="M14404" t="s">
        <v>42850</v>
      </c>
      <c r="N14404" t="s">
        <v>45095</v>
      </c>
      <c r="O14404" t="s">
        <v>45096</v>
      </c>
      <c r="P14404">
        <v>0</v>
      </c>
      <c r="Q14404">
        <v>5</v>
      </c>
      <c r="R14404" t="s">
        <v>45118</v>
      </c>
      <c r="S14404" t="s">
        <v>46044</v>
      </c>
      <c r="T14404" t="s">
        <v>47125</v>
      </c>
      <c r="U14404" t="s">
        <v>59089</v>
      </c>
      <c r="W14404" t="s">
        <v>42850</v>
      </c>
      <c r="X14404" t="s">
        <v>45119</v>
      </c>
    </row>
    <row r="14405" spans="1:24">
      <c r="A14405">
        <f>HYPERLINK("https://www.philgeps.gov.ph/GEPSNONPILOT/Tender/SplashBidNoticeAbstractUI.aspx?menuIndex=3&amp;refID=7009530&amp;Result=3","7009530")</f>
        <v>0</v>
      </c>
      <c r="B14405" t="s">
        <v>1282</v>
      </c>
      <c r="C14405" t="s">
        <v>16988</v>
      </c>
      <c r="D14405" t="s">
        <v>18033</v>
      </c>
      <c r="E14405" t="s">
        <v>26076</v>
      </c>
      <c r="F14405" t="s">
        <v>31574</v>
      </c>
      <c r="G14405" t="s">
        <v>31582</v>
      </c>
      <c r="H14405" t="s">
        <v>31591</v>
      </c>
      <c r="I14405" t="s">
        <v>8822</v>
      </c>
      <c r="J14405" t="s">
        <v>32550</v>
      </c>
      <c r="K14405" t="s">
        <v>41268</v>
      </c>
      <c r="M14405" t="s">
        <v>42850</v>
      </c>
      <c r="N14405" t="s">
        <v>45095</v>
      </c>
      <c r="O14405" t="s">
        <v>45096</v>
      </c>
      <c r="P14405">
        <v>0</v>
      </c>
      <c r="Q14405">
        <v>6</v>
      </c>
      <c r="R14405" t="s">
        <v>45118</v>
      </c>
      <c r="S14405" t="s">
        <v>46044</v>
      </c>
      <c r="T14405" t="s">
        <v>46905</v>
      </c>
      <c r="U14405" t="s">
        <v>59090</v>
      </c>
      <c r="W14405" t="s">
        <v>42850</v>
      </c>
      <c r="X14405" t="s">
        <v>45119</v>
      </c>
    </row>
    <row r="14406" spans="1:24">
      <c r="A14406">
        <f>HYPERLINK("https://www.philgeps.gov.ph/GEPSNONPILOT/Tender/SplashBidNoticeAbstractUI.aspx?menuIndex=3&amp;refID=7009556&amp;Result=3","7009556")</f>
        <v>0</v>
      </c>
      <c r="B14406" t="s">
        <v>575</v>
      </c>
      <c r="C14406" t="s">
        <v>16989</v>
      </c>
      <c r="D14406" t="s">
        <v>18027</v>
      </c>
      <c r="E14406" t="s">
        <v>30617</v>
      </c>
      <c r="F14406" t="s">
        <v>31574</v>
      </c>
      <c r="G14406" t="s">
        <v>31582</v>
      </c>
      <c r="H14406" t="s">
        <v>31590</v>
      </c>
      <c r="I14406" t="s">
        <v>31604</v>
      </c>
      <c r="J14406" t="s">
        <v>40554</v>
      </c>
      <c r="K14406" t="s">
        <v>41184</v>
      </c>
      <c r="M14406" t="s">
        <v>42076</v>
      </c>
      <c r="N14406" t="s">
        <v>45095</v>
      </c>
      <c r="O14406" t="s">
        <v>45096</v>
      </c>
      <c r="P14406">
        <v>0</v>
      </c>
      <c r="Q14406">
        <v>5</v>
      </c>
      <c r="R14406" t="s">
        <v>45118</v>
      </c>
      <c r="S14406" t="s">
        <v>46044</v>
      </c>
      <c r="T14406" t="s">
        <v>47193</v>
      </c>
      <c r="U14406" t="s">
        <v>59091</v>
      </c>
      <c r="W14406" t="s">
        <v>42076</v>
      </c>
      <c r="X14406" t="s">
        <v>45119</v>
      </c>
    </row>
    <row r="14407" spans="1:24">
      <c r="A14407">
        <f>HYPERLINK("https://www.philgeps.gov.ph/GEPSNONPILOT/Tender/SplashBidNoticeAbstractUI.aspx?menuIndex=3&amp;refID=7009665&amp;Result=3","7009665")</f>
        <v>0</v>
      </c>
      <c r="B14407" t="s">
        <v>3124</v>
      </c>
      <c r="C14407" t="s">
        <v>16990</v>
      </c>
      <c r="D14407" t="s">
        <v>18084</v>
      </c>
      <c r="E14407" t="s">
        <v>30618</v>
      </c>
      <c r="F14407" t="s">
        <v>31574</v>
      </c>
      <c r="G14407" t="s">
        <v>31582</v>
      </c>
      <c r="H14407" t="s">
        <v>31592</v>
      </c>
      <c r="I14407" t="s">
        <v>31608</v>
      </c>
      <c r="J14407" t="s">
        <v>40555</v>
      </c>
      <c r="K14407" t="s">
        <v>41281</v>
      </c>
      <c r="M14407" t="s">
        <v>44972</v>
      </c>
      <c r="N14407" t="s">
        <v>45095</v>
      </c>
      <c r="O14407" t="s">
        <v>45096</v>
      </c>
      <c r="Q14407">
        <v>18</v>
      </c>
      <c r="R14407" t="s">
        <v>45118</v>
      </c>
      <c r="S14407" t="s">
        <v>46076</v>
      </c>
      <c r="T14407" t="s">
        <v>46973</v>
      </c>
      <c r="U14407" t="s">
        <v>59092</v>
      </c>
      <c r="W14407" t="s">
        <v>44972</v>
      </c>
      <c r="X14407" t="s">
        <v>45119</v>
      </c>
    </row>
    <row r="14408" spans="1:24">
      <c r="A14408">
        <f>HYPERLINK("https://www.philgeps.gov.ph/GEPSNONPILOT/Tender/SplashBidNoticeAbstractUI.aspx?menuIndex=3&amp;refID=7009666&amp;Result=3","7009666")</f>
        <v>0</v>
      </c>
      <c r="B14408" t="s">
        <v>1997</v>
      </c>
      <c r="C14408" t="s">
        <v>16991</v>
      </c>
      <c r="D14408" t="s">
        <v>18023</v>
      </c>
      <c r="E14408" t="s">
        <v>30619</v>
      </c>
      <c r="F14408" t="s">
        <v>31574</v>
      </c>
      <c r="G14408" t="s">
        <v>31582</v>
      </c>
      <c r="H14408" t="s">
        <v>31591</v>
      </c>
      <c r="I14408" t="s">
        <v>8822</v>
      </c>
      <c r="J14408" t="s">
        <v>37939</v>
      </c>
      <c r="K14408" t="s">
        <v>41453</v>
      </c>
      <c r="M14408" t="s">
        <v>43659</v>
      </c>
      <c r="N14408" t="s">
        <v>45095</v>
      </c>
      <c r="O14408" t="s">
        <v>45096</v>
      </c>
      <c r="P14408">
        <v>0</v>
      </c>
      <c r="Q14408">
        <v>7</v>
      </c>
      <c r="R14408" t="s">
        <v>45118</v>
      </c>
      <c r="S14408" t="s">
        <v>46044</v>
      </c>
      <c r="T14408" t="s">
        <v>47159</v>
      </c>
      <c r="U14408" t="s">
        <v>59093</v>
      </c>
      <c r="V14408" t="s">
        <v>61270</v>
      </c>
      <c r="W14408" t="s">
        <v>43659</v>
      </c>
      <c r="X14408" t="s">
        <v>45119</v>
      </c>
    </row>
    <row r="14409" spans="1:24">
      <c r="A14409">
        <f>HYPERLINK("https://www.philgeps.gov.ph/GEPSNONPILOT/Tender/SplashBidNoticeAbstractUI.aspx?menuIndex=3&amp;refID=7009527&amp;Result=3","7009527")</f>
        <v>0</v>
      </c>
      <c r="B14409" t="s">
        <v>1057</v>
      </c>
      <c r="C14409" t="s">
        <v>16949</v>
      </c>
      <c r="D14409" t="s">
        <v>18034</v>
      </c>
      <c r="E14409" t="s">
        <v>30620</v>
      </c>
      <c r="F14409" t="s">
        <v>31574</v>
      </c>
      <c r="G14409" t="s">
        <v>31582</v>
      </c>
      <c r="H14409" t="s">
        <v>31590</v>
      </c>
      <c r="I14409" t="s">
        <v>3901</v>
      </c>
      <c r="J14409" t="s">
        <v>40531</v>
      </c>
      <c r="K14409" t="s">
        <v>41192</v>
      </c>
      <c r="M14409" t="s">
        <v>42602</v>
      </c>
      <c r="N14409" t="s">
        <v>45095</v>
      </c>
      <c r="O14409" t="s">
        <v>45096</v>
      </c>
      <c r="Q14409">
        <v>5</v>
      </c>
      <c r="R14409" t="s">
        <v>45118</v>
      </c>
      <c r="S14409" t="s">
        <v>46077</v>
      </c>
      <c r="T14409" t="s">
        <v>46966</v>
      </c>
      <c r="U14409" t="s">
        <v>59094</v>
      </c>
      <c r="W14409" t="s">
        <v>42602</v>
      </c>
      <c r="X14409" t="s">
        <v>45119</v>
      </c>
    </row>
    <row r="14410" spans="1:24">
      <c r="A14410">
        <f>HYPERLINK("https://www.philgeps.gov.ph/GEPSNONPILOT/Tender/SplashBidNoticeAbstractUI.aspx?menuIndex=3&amp;refID=7004911&amp;Result=3","7004911")</f>
        <v>0</v>
      </c>
      <c r="B14410" t="s">
        <v>1118</v>
      </c>
      <c r="C14410" t="s">
        <v>16992</v>
      </c>
      <c r="D14410" t="s">
        <v>18072</v>
      </c>
      <c r="E14410" t="s">
        <v>30621</v>
      </c>
      <c r="F14410" t="s">
        <v>31574</v>
      </c>
      <c r="G14410" t="s">
        <v>31582</v>
      </c>
      <c r="H14410" t="s">
        <v>31591</v>
      </c>
      <c r="I14410" t="s">
        <v>8822</v>
      </c>
      <c r="J14410" t="s">
        <v>40556</v>
      </c>
      <c r="K14410" t="s">
        <v>41200</v>
      </c>
      <c r="M14410" t="s">
        <v>42667</v>
      </c>
      <c r="N14410" t="s">
        <v>45095</v>
      </c>
      <c r="O14410" t="s">
        <v>45096</v>
      </c>
      <c r="P14410">
        <v>0</v>
      </c>
      <c r="Q14410">
        <v>5</v>
      </c>
      <c r="R14410" t="s">
        <v>45119</v>
      </c>
      <c r="S14410" t="s">
        <v>46078</v>
      </c>
      <c r="T14410" t="s">
        <v>47159</v>
      </c>
      <c r="U14410" t="s">
        <v>59095</v>
      </c>
      <c r="V14410" t="s">
        <v>61458</v>
      </c>
      <c r="W14410" t="s">
        <v>42667</v>
      </c>
      <c r="X14410" t="s">
        <v>45123</v>
      </c>
    </row>
    <row r="14411" spans="1:24">
      <c r="A14411">
        <f>HYPERLINK("https://www.philgeps.gov.ph/GEPSNONPILOT/Tender/SplashBidNoticeAbstractUI.aspx?menuIndex=3&amp;refID=7009664&amp;Result=3","7009664")</f>
        <v>0</v>
      </c>
      <c r="B14411" t="s">
        <v>2689</v>
      </c>
      <c r="C14411" t="s">
        <v>16993</v>
      </c>
      <c r="D14411" t="s">
        <v>18027</v>
      </c>
      <c r="E14411" t="s">
        <v>30622</v>
      </c>
      <c r="F14411" t="s">
        <v>31574</v>
      </c>
      <c r="G14411" t="s">
        <v>31582</v>
      </c>
      <c r="H14411" t="s">
        <v>31591</v>
      </c>
      <c r="I14411" t="s">
        <v>8822</v>
      </c>
      <c r="J14411" t="s">
        <v>31819</v>
      </c>
      <c r="K14411" t="s">
        <v>41303</v>
      </c>
      <c r="M14411" t="s">
        <v>44454</v>
      </c>
      <c r="N14411" t="s">
        <v>45095</v>
      </c>
      <c r="O14411" t="s">
        <v>45096</v>
      </c>
      <c r="P14411">
        <v>0</v>
      </c>
      <c r="Q14411">
        <v>4</v>
      </c>
      <c r="R14411" t="s">
        <v>45118</v>
      </c>
      <c r="S14411" t="s">
        <v>46044</v>
      </c>
      <c r="T14411" t="s">
        <v>47154</v>
      </c>
      <c r="U14411" t="s">
        <v>59096</v>
      </c>
      <c r="W14411" t="s">
        <v>44454</v>
      </c>
      <c r="X14411" t="s">
        <v>45119</v>
      </c>
    </row>
    <row r="14412" spans="1:24">
      <c r="A14412">
        <f>HYPERLINK("https://www.philgeps.gov.ph/GEPSNONPILOT/Tender/SplashBidNoticeAbstractUI.aspx?menuIndex=3&amp;refID=7006008&amp;Result=3","7006008")</f>
        <v>0</v>
      </c>
      <c r="B14412" t="s">
        <v>670</v>
      </c>
      <c r="C14412" t="s">
        <v>16994</v>
      </c>
      <c r="D14412" t="s">
        <v>18022</v>
      </c>
      <c r="E14412" t="s">
        <v>30623</v>
      </c>
      <c r="F14412" t="s">
        <v>31574</v>
      </c>
      <c r="G14412" t="s">
        <v>31582</v>
      </c>
      <c r="H14412" t="s">
        <v>31590</v>
      </c>
      <c r="I14412" t="s">
        <v>7185</v>
      </c>
      <c r="J14412" t="s">
        <v>40557</v>
      </c>
      <c r="K14412" t="s">
        <v>41184</v>
      </c>
      <c r="M14412" t="s">
        <v>44973</v>
      </c>
      <c r="N14412" t="s">
        <v>45095</v>
      </c>
      <c r="O14412" t="s">
        <v>45096</v>
      </c>
      <c r="P14412">
        <v>0</v>
      </c>
      <c r="Q14412">
        <v>11</v>
      </c>
      <c r="R14412" t="s">
        <v>45119</v>
      </c>
      <c r="S14412" t="s">
        <v>46078</v>
      </c>
      <c r="T14412" t="s">
        <v>47154</v>
      </c>
      <c r="U14412" t="s">
        <v>59097</v>
      </c>
      <c r="W14412" t="s">
        <v>44973</v>
      </c>
      <c r="X14412" t="s">
        <v>45123</v>
      </c>
    </row>
    <row r="14413" spans="1:24">
      <c r="A14413">
        <f>HYPERLINK("https://www.philgeps.gov.ph/GEPSNONPILOT/Tender/SplashBidNoticeAbstractUI.aspx?menuIndex=3&amp;refID=7009658&amp;Result=3","7009658")</f>
        <v>0</v>
      </c>
      <c r="B14413" t="s">
        <v>3033</v>
      </c>
      <c r="C14413" t="s">
        <v>16995</v>
      </c>
      <c r="D14413" t="s">
        <v>18059</v>
      </c>
      <c r="E14413" t="s">
        <v>30624</v>
      </c>
      <c r="F14413" t="s">
        <v>31574</v>
      </c>
      <c r="G14413" t="s">
        <v>31582</v>
      </c>
      <c r="H14413" t="s">
        <v>31591</v>
      </c>
      <c r="I14413" t="s">
        <v>8822</v>
      </c>
      <c r="J14413" t="s">
        <v>40558</v>
      </c>
      <c r="K14413" t="s">
        <v>41191</v>
      </c>
      <c r="M14413" t="s">
        <v>44866</v>
      </c>
      <c r="N14413" t="s">
        <v>45095</v>
      </c>
      <c r="O14413" t="s">
        <v>45096</v>
      </c>
      <c r="Q14413">
        <v>3</v>
      </c>
      <c r="R14413" t="s">
        <v>45118</v>
      </c>
      <c r="S14413" t="s">
        <v>46079</v>
      </c>
      <c r="T14413" t="s">
        <v>47228</v>
      </c>
      <c r="U14413" t="s">
        <v>59098</v>
      </c>
      <c r="W14413" t="s">
        <v>44866</v>
      </c>
      <c r="X14413" t="s">
        <v>45119</v>
      </c>
    </row>
    <row r="14414" spans="1:24">
      <c r="A14414">
        <f>HYPERLINK("https://www.philgeps.gov.ph/GEPSNONPILOT/Tender/SplashBidNoticeAbstractUI.aspx?menuIndex=3&amp;refID=7009663&amp;Result=3","7009663")</f>
        <v>0</v>
      </c>
      <c r="B14414" t="s">
        <v>1997</v>
      </c>
      <c r="C14414" t="s">
        <v>16996</v>
      </c>
      <c r="D14414" t="s">
        <v>18023</v>
      </c>
      <c r="E14414" t="s">
        <v>30625</v>
      </c>
      <c r="F14414" t="s">
        <v>31574</v>
      </c>
      <c r="G14414" t="s">
        <v>31582</v>
      </c>
      <c r="H14414" t="s">
        <v>31591</v>
      </c>
      <c r="I14414" t="s">
        <v>8822</v>
      </c>
      <c r="J14414" t="s">
        <v>33574</v>
      </c>
      <c r="K14414" t="s">
        <v>41200</v>
      </c>
      <c r="M14414" t="s">
        <v>43659</v>
      </c>
      <c r="N14414" t="s">
        <v>45095</v>
      </c>
      <c r="O14414" t="s">
        <v>45096</v>
      </c>
      <c r="P14414">
        <v>0</v>
      </c>
      <c r="Q14414">
        <v>7</v>
      </c>
      <c r="R14414" t="s">
        <v>45118</v>
      </c>
      <c r="S14414" t="s">
        <v>46044</v>
      </c>
      <c r="T14414" t="s">
        <v>47159</v>
      </c>
      <c r="U14414" t="s">
        <v>59099</v>
      </c>
      <c r="V14414" t="s">
        <v>61270</v>
      </c>
      <c r="W14414" t="s">
        <v>43659</v>
      </c>
      <c r="X14414" t="s">
        <v>45119</v>
      </c>
    </row>
    <row r="14415" spans="1:24">
      <c r="A14415">
        <f>HYPERLINK("https://www.philgeps.gov.ph/GEPSNONPILOT/Tender/SplashBidNoticeAbstractUI.aspx?menuIndex=3&amp;refID=7009662&amp;Result=3","7009662")</f>
        <v>0</v>
      </c>
      <c r="B14415" t="s">
        <v>2689</v>
      </c>
      <c r="C14415" t="s">
        <v>16997</v>
      </c>
      <c r="D14415" t="s">
        <v>18027</v>
      </c>
      <c r="E14415" t="s">
        <v>30626</v>
      </c>
      <c r="F14415" t="s">
        <v>31574</v>
      </c>
      <c r="G14415" t="s">
        <v>31582</v>
      </c>
      <c r="H14415" t="s">
        <v>31591</v>
      </c>
      <c r="I14415" t="s">
        <v>8822</v>
      </c>
      <c r="J14415" t="s">
        <v>31771</v>
      </c>
      <c r="K14415" t="s">
        <v>41240</v>
      </c>
      <c r="M14415" t="s">
        <v>44454</v>
      </c>
      <c r="N14415" t="s">
        <v>45095</v>
      </c>
      <c r="O14415" t="s">
        <v>45096</v>
      </c>
      <c r="P14415">
        <v>0</v>
      </c>
      <c r="Q14415">
        <v>5</v>
      </c>
      <c r="R14415" t="s">
        <v>45118</v>
      </c>
      <c r="S14415" t="s">
        <v>46044</v>
      </c>
      <c r="T14415" t="s">
        <v>47154</v>
      </c>
      <c r="U14415" t="s">
        <v>59100</v>
      </c>
      <c r="W14415" t="s">
        <v>44454</v>
      </c>
      <c r="X14415" t="s">
        <v>45119</v>
      </c>
    </row>
    <row r="14416" spans="1:24">
      <c r="A14416">
        <f>HYPERLINK("https://www.philgeps.gov.ph/GEPSNONPILOT/Tender/SplashBidNoticeAbstractUI.aspx?menuIndex=3&amp;refID=7009689&amp;Result=3","7009689")</f>
        <v>0</v>
      </c>
      <c r="B14416" t="s">
        <v>328</v>
      </c>
      <c r="C14416" t="s">
        <v>16998</v>
      </c>
      <c r="D14416" t="s">
        <v>18056</v>
      </c>
      <c r="E14416" t="s">
        <v>30627</v>
      </c>
      <c r="F14416" t="s">
        <v>31574</v>
      </c>
      <c r="G14416" t="s">
        <v>31582</v>
      </c>
      <c r="H14416" t="s">
        <v>31590</v>
      </c>
      <c r="I14416" t="s">
        <v>31623</v>
      </c>
      <c r="J14416" t="s">
        <v>40559</v>
      </c>
      <c r="K14416" t="s">
        <v>41250</v>
      </c>
      <c r="M14416" t="s">
        <v>43349</v>
      </c>
      <c r="N14416" t="s">
        <v>45095</v>
      </c>
      <c r="O14416" t="s">
        <v>45096</v>
      </c>
      <c r="P14416">
        <v>0</v>
      </c>
      <c r="Q14416">
        <v>2</v>
      </c>
      <c r="R14416" t="s">
        <v>45118</v>
      </c>
      <c r="S14416" t="s">
        <v>46044</v>
      </c>
      <c r="T14416" t="s">
        <v>47183</v>
      </c>
      <c r="U14416" t="s">
        <v>59101</v>
      </c>
      <c r="W14416" t="s">
        <v>43349</v>
      </c>
      <c r="X14416" t="s">
        <v>45119</v>
      </c>
    </row>
    <row r="14417" spans="1:24">
      <c r="A14417">
        <f>HYPERLINK("https://www.philgeps.gov.ph/GEPSNONPILOT/Tender/SplashBidNoticeAbstractUI.aspx?menuIndex=3&amp;refID=7009550&amp;Result=3","7009550")</f>
        <v>0</v>
      </c>
      <c r="B14417" t="s">
        <v>1057</v>
      </c>
      <c r="C14417" t="s">
        <v>16999</v>
      </c>
      <c r="D14417" t="s">
        <v>18075</v>
      </c>
      <c r="E14417" t="s">
        <v>30628</v>
      </c>
      <c r="F14417" t="s">
        <v>31574</v>
      </c>
      <c r="G14417" t="s">
        <v>31582</v>
      </c>
      <c r="H14417" t="s">
        <v>31590</v>
      </c>
      <c r="I14417" t="s">
        <v>3901</v>
      </c>
      <c r="J14417" t="s">
        <v>40560</v>
      </c>
      <c r="K14417" t="s">
        <v>41192</v>
      </c>
      <c r="M14417" t="s">
        <v>42602</v>
      </c>
      <c r="N14417" t="s">
        <v>45095</v>
      </c>
      <c r="O14417" t="s">
        <v>45096</v>
      </c>
      <c r="Q14417">
        <v>4</v>
      </c>
      <c r="R14417" t="s">
        <v>45118</v>
      </c>
      <c r="S14417" t="s">
        <v>46080</v>
      </c>
      <c r="T14417" t="s">
        <v>46966</v>
      </c>
      <c r="U14417" t="s">
        <v>59102</v>
      </c>
      <c r="W14417" t="s">
        <v>42602</v>
      </c>
      <c r="X14417" t="s">
        <v>45119</v>
      </c>
    </row>
    <row r="14418" spans="1:24">
      <c r="A14418">
        <f>HYPERLINK("https://www.philgeps.gov.ph/GEPSNONPILOT/Tender/SplashBidNoticeAbstractUI.aspx?menuIndex=3&amp;refID=7009605&amp;Result=3","7009605")</f>
        <v>0</v>
      </c>
      <c r="B14418" t="s">
        <v>3115</v>
      </c>
      <c r="C14418" t="s">
        <v>17000</v>
      </c>
      <c r="D14418" t="s">
        <v>18023</v>
      </c>
      <c r="E14418" t="s">
        <v>30629</v>
      </c>
      <c r="F14418" t="s">
        <v>31574</v>
      </c>
      <c r="G14418" t="s">
        <v>31582</v>
      </c>
      <c r="H14418" t="s">
        <v>31591</v>
      </c>
      <c r="I14418" t="s">
        <v>8822</v>
      </c>
      <c r="J14418" t="s">
        <v>32417</v>
      </c>
      <c r="K14418" t="s">
        <v>41449</v>
      </c>
      <c r="M14418" t="s">
        <v>44962</v>
      </c>
      <c r="N14418" t="s">
        <v>45095</v>
      </c>
      <c r="O14418" t="s">
        <v>45096</v>
      </c>
      <c r="P14418">
        <v>0</v>
      </c>
      <c r="Q14418">
        <v>17</v>
      </c>
      <c r="R14418" t="s">
        <v>45118</v>
      </c>
      <c r="S14418" t="s">
        <v>46044</v>
      </c>
      <c r="T14418" t="s">
        <v>47092</v>
      </c>
      <c r="U14418" t="s">
        <v>59084</v>
      </c>
      <c r="W14418" t="s">
        <v>44962</v>
      </c>
      <c r="X14418" t="s">
        <v>45119</v>
      </c>
    </row>
    <row r="14419" spans="1:24">
      <c r="A14419">
        <f>HYPERLINK("https://www.philgeps.gov.ph/GEPSNONPILOT/Tender/SplashBidNoticeAbstractUI.aspx?menuIndex=3&amp;refID=7006216&amp;Result=3","7006216")</f>
        <v>0</v>
      </c>
      <c r="B14419" t="s">
        <v>1351</v>
      </c>
      <c r="C14419" t="s">
        <v>17001</v>
      </c>
      <c r="D14419" t="s">
        <v>18043</v>
      </c>
      <c r="E14419" t="s">
        <v>30630</v>
      </c>
      <c r="F14419" t="s">
        <v>31574</v>
      </c>
      <c r="G14419" t="s">
        <v>31582</v>
      </c>
      <c r="H14419" t="s">
        <v>31590</v>
      </c>
      <c r="I14419" t="s">
        <v>8822</v>
      </c>
      <c r="J14419" t="s">
        <v>37901</v>
      </c>
      <c r="K14419" t="s">
        <v>41189</v>
      </c>
      <c r="M14419" t="s">
        <v>42923</v>
      </c>
      <c r="N14419" t="s">
        <v>45095</v>
      </c>
      <c r="O14419" t="s">
        <v>45096</v>
      </c>
      <c r="Q14419">
        <v>3</v>
      </c>
      <c r="R14419" t="s">
        <v>45119</v>
      </c>
      <c r="S14419" t="s">
        <v>46081</v>
      </c>
      <c r="T14419" t="s">
        <v>47183</v>
      </c>
      <c r="U14419" t="s">
        <v>59103</v>
      </c>
      <c r="W14419" t="s">
        <v>42923</v>
      </c>
      <c r="X14419" t="s">
        <v>45123</v>
      </c>
    </row>
    <row r="14420" spans="1:24">
      <c r="A14420">
        <f>HYPERLINK("https://www.philgeps.gov.ph/GEPSNONPILOT/Tender/SplashBidNoticeAbstractUI.aspx?menuIndex=3&amp;refID=7007200&amp;Result=3","7007200")</f>
        <v>0</v>
      </c>
      <c r="B14420" t="s">
        <v>1386</v>
      </c>
      <c r="C14420" t="s">
        <v>17002</v>
      </c>
      <c r="D14420" t="s">
        <v>18039</v>
      </c>
      <c r="E14420" t="s">
        <v>30631</v>
      </c>
      <c r="F14420" t="s">
        <v>31574</v>
      </c>
      <c r="G14420" t="s">
        <v>31582</v>
      </c>
      <c r="H14420" t="s">
        <v>31590</v>
      </c>
      <c r="I14420" t="s">
        <v>31615</v>
      </c>
      <c r="J14420" t="s">
        <v>32076</v>
      </c>
      <c r="K14420" t="s">
        <v>41184</v>
      </c>
      <c r="M14420" t="s">
        <v>42960</v>
      </c>
      <c r="N14420" t="s">
        <v>45095</v>
      </c>
      <c r="O14420" t="s">
        <v>45096</v>
      </c>
      <c r="P14420">
        <v>0</v>
      </c>
      <c r="Q14420">
        <v>4</v>
      </c>
      <c r="R14420" t="s">
        <v>45119</v>
      </c>
      <c r="S14420" t="s">
        <v>46078</v>
      </c>
      <c r="T14420" t="s">
        <v>47154</v>
      </c>
      <c r="U14420" t="s">
        <v>59104</v>
      </c>
      <c r="W14420" t="s">
        <v>42960</v>
      </c>
      <c r="X14420" t="s">
        <v>45122</v>
      </c>
    </row>
    <row r="14421" spans="1:24">
      <c r="A14421">
        <f>HYPERLINK("https://www.philgeps.gov.ph/GEPSNONPILOT/Tender/SplashBidNoticeAbstractUI.aspx?menuIndex=3&amp;refID=7009704&amp;Result=3","7009704")</f>
        <v>0</v>
      </c>
      <c r="B14421" t="s">
        <v>3123</v>
      </c>
      <c r="C14421" t="s">
        <v>17003</v>
      </c>
      <c r="D14421" t="s">
        <v>18041</v>
      </c>
      <c r="E14421" t="s">
        <v>30632</v>
      </c>
      <c r="F14421" t="s">
        <v>31574</v>
      </c>
      <c r="G14421" t="s">
        <v>31582</v>
      </c>
      <c r="H14421" t="s">
        <v>31590</v>
      </c>
      <c r="I14421" t="s">
        <v>3487</v>
      </c>
      <c r="J14421" t="s">
        <v>32334</v>
      </c>
      <c r="K14421" t="s">
        <v>41184</v>
      </c>
      <c r="M14421" t="s">
        <v>44970</v>
      </c>
      <c r="N14421" t="s">
        <v>45095</v>
      </c>
      <c r="O14421" t="s">
        <v>45096</v>
      </c>
      <c r="P14421">
        <v>0</v>
      </c>
      <c r="Q14421">
        <v>0</v>
      </c>
      <c r="R14421" t="s">
        <v>45118</v>
      </c>
      <c r="S14421" t="s">
        <v>46044</v>
      </c>
      <c r="T14421" t="s">
        <v>47154</v>
      </c>
      <c r="U14421" t="s">
        <v>59105</v>
      </c>
      <c r="W14421" t="s">
        <v>44970</v>
      </c>
      <c r="X14421" t="s">
        <v>45119</v>
      </c>
    </row>
    <row r="14422" spans="1:24">
      <c r="A14422">
        <f>HYPERLINK("https://www.philgeps.gov.ph/GEPSNONPILOT/Tender/SplashBidNoticeAbstractUI.aspx?menuIndex=3&amp;refID=7007161&amp;Result=3","7007161")</f>
        <v>0</v>
      </c>
      <c r="B14422" t="s">
        <v>2388</v>
      </c>
      <c r="C14422" t="s">
        <v>17004</v>
      </c>
      <c r="E14422" t="s">
        <v>25608</v>
      </c>
      <c r="F14422" t="s">
        <v>31574</v>
      </c>
      <c r="G14422" t="s">
        <v>31582</v>
      </c>
      <c r="H14422" t="s">
        <v>31590</v>
      </c>
      <c r="I14422" t="s">
        <v>31631</v>
      </c>
      <c r="J14422" t="s">
        <v>35720</v>
      </c>
      <c r="K14422" t="s">
        <v>41186</v>
      </c>
      <c r="M14422" t="s">
        <v>44114</v>
      </c>
      <c r="N14422" t="s">
        <v>45095</v>
      </c>
      <c r="O14422" t="s">
        <v>45096</v>
      </c>
      <c r="P14422">
        <v>0</v>
      </c>
      <c r="Q14422">
        <v>3</v>
      </c>
      <c r="R14422" t="s">
        <v>45119</v>
      </c>
      <c r="S14422" t="s">
        <v>46078</v>
      </c>
      <c r="T14422" t="s">
        <v>47159</v>
      </c>
      <c r="U14422" t="s">
        <v>59106</v>
      </c>
      <c r="V14422" t="s">
        <v>61459</v>
      </c>
      <c r="W14422" t="s">
        <v>44114</v>
      </c>
      <c r="X14422" t="s">
        <v>45122</v>
      </c>
    </row>
    <row r="14423" spans="1:24">
      <c r="A14423">
        <f>HYPERLINK("https://www.philgeps.gov.ph/GEPSNONPILOT/Tender/SplashBidNoticeAbstractUI.aspx?menuIndex=3&amp;refID=7009593&amp;Result=3","7009593")</f>
        <v>0</v>
      </c>
      <c r="B14423" t="s">
        <v>3115</v>
      </c>
      <c r="C14423" t="s">
        <v>17005</v>
      </c>
      <c r="D14423" t="s">
        <v>18023</v>
      </c>
      <c r="E14423" t="s">
        <v>21770</v>
      </c>
      <c r="F14423" t="s">
        <v>31574</v>
      </c>
      <c r="G14423" t="s">
        <v>31582</v>
      </c>
      <c r="H14423" t="s">
        <v>31591</v>
      </c>
      <c r="I14423" t="s">
        <v>8822</v>
      </c>
      <c r="J14423" t="s">
        <v>31758</v>
      </c>
      <c r="K14423" t="s">
        <v>41293</v>
      </c>
      <c r="M14423" t="s">
        <v>44962</v>
      </c>
      <c r="N14423" t="s">
        <v>45095</v>
      </c>
      <c r="O14423" t="s">
        <v>45096</v>
      </c>
      <c r="P14423">
        <v>0</v>
      </c>
      <c r="Q14423">
        <v>15</v>
      </c>
      <c r="R14423" t="s">
        <v>45118</v>
      </c>
      <c r="S14423" t="s">
        <v>46044</v>
      </c>
      <c r="T14423" t="s">
        <v>46963</v>
      </c>
      <c r="U14423" t="s">
        <v>59084</v>
      </c>
      <c r="W14423" t="s">
        <v>44962</v>
      </c>
      <c r="X14423" t="s">
        <v>45119</v>
      </c>
    </row>
    <row r="14424" spans="1:24">
      <c r="A14424">
        <f>HYPERLINK("https://www.philgeps.gov.ph/GEPSNONPILOT/Tender/SplashBidNoticeAbstractUI.aspx?menuIndex=3&amp;refID=7006849&amp;Result=3","7006849")</f>
        <v>0</v>
      </c>
      <c r="B14424" t="s">
        <v>1118</v>
      </c>
      <c r="C14424" t="s">
        <v>17006</v>
      </c>
      <c r="D14424" t="s">
        <v>18072</v>
      </c>
      <c r="E14424" t="s">
        <v>30633</v>
      </c>
      <c r="F14424" t="s">
        <v>31574</v>
      </c>
      <c r="G14424" t="s">
        <v>31582</v>
      </c>
      <c r="H14424" t="s">
        <v>31591</v>
      </c>
      <c r="I14424" t="s">
        <v>8822</v>
      </c>
      <c r="J14424" t="s">
        <v>40561</v>
      </c>
      <c r="K14424" t="s">
        <v>41202</v>
      </c>
      <c r="M14424" t="s">
        <v>42667</v>
      </c>
      <c r="N14424" t="s">
        <v>45095</v>
      </c>
      <c r="O14424" t="s">
        <v>45096</v>
      </c>
      <c r="P14424">
        <v>0</v>
      </c>
      <c r="Q14424">
        <v>10</v>
      </c>
      <c r="R14424" t="s">
        <v>45119</v>
      </c>
      <c r="S14424" t="s">
        <v>46078</v>
      </c>
      <c r="T14424" t="s">
        <v>47159</v>
      </c>
      <c r="U14424" t="s">
        <v>59107</v>
      </c>
      <c r="V14424" t="s">
        <v>61460</v>
      </c>
      <c r="W14424" t="s">
        <v>42667</v>
      </c>
      <c r="X14424" t="s">
        <v>45122</v>
      </c>
    </row>
    <row r="14425" spans="1:24">
      <c r="A14425">
        <f>HYPERLINK("https://www.philgeps.gov.ph/GEPSNONPILOT/Tender/SplashBidNoticeAbstractUI.aspx?menuIndex=3&amp;refID=7006852&amp;Result=3","7006852")</f>
        <v>0</v>
      </c>
      <c r="B14425" t="s">
        <v>1118</v>
      </c>
      <c r="C14425" t="s">
        <v>17007</v>
      </c>
      <c r="D14425" t="s">
        <v>18072</v>
      </c>
      <c r="E14425" t="s">
        <v>30634</v>
      </c>
      <c r="F14425" t="s">
        <v>31574</v>
      </c>
      <c r="G14425" t="s">
        <v>31582</v>
      </c>
      <c r="H14425" t="s">
        <v>31591</v>
      </c>
      <c r="I14425" t="s">
        <v>8822</v>
      </c>
      <c r="J14425" t="s">
        <v>40562</v>
      </c>
      <c r="K14425" t="s">
        <v>41243</v>
      </c>
      <c r="M14425" t="s">
        <v>42667</v>
      </c>
      <c r="N14425" t="s">
        <v>45095</v>
      </c>
      <c r="O14425" t="s">
        <v>45096</v>
      </c>
      <c r="P14425">
        <v>0</v>
      </c>
      <c r="Q14425">
        <v>4</v>
      </c>
      <c r="R14425" t="s">
        <v>45119</v>
      </c>
      <c r="S14425" t="s">
        <v>46078</v>
      </c>
      <c r="T14425" t="s">
        <v>47159</v>
      </c>
      <c r="U14425" t="s">
        <v>59108</v>
      </c>
      <c r="V14425" t="s">
        <v>61460</v>
      </c>
      <c r="W14425" t="s">
        <v>42667</v>
      </c>
      <c r="X14425" t="s">
        <v>45122</v>
      </c>
    </row>
    <row r="14426" spans="1:24">
      <c r="A14426">
        <f>HYPERLINK("https://www.philgeps.gov.ph/GEPSNONPILOT/Tender/SplashBidNoticeAbstractUI.aspx?menuIndex=3&amp;refID=7007178&amp;Result=3","7007178")</f>
        <v>0</v>
      </c>
      <c r="B14426" t="s">
        <v>1386</v>
      </c>
      <c r="C14426" t="s">
        <v>17008</v>
      </c>
      <c r="D14426" t="s">
        <v>18039</v>
      </c>
      <c r="E14426" t="s">
        <v>30635</v>
      </c>
      <c r="F14426" t="s">
        <v>31574</v>
      </c>
      <c r="G14426" t="s">
        <v>31582</v>
      </c>
      <c r="H14426" t="s">
        <v>31590</v>
      </c>
      <c r="I14426" t="s">
        <v>31614</v>
      </c>
      <c r="J14426" t="s">
        <v>32497</v>
      </c>
      <c r="K14426" t="s">
        <v>41184</v>
      </c>
      <c r="M14426" t="s">
        <v>42960</v>
      </c>
      <c r="N14426" t="s">
        <v>45095</v>
      </c>
      <c r="O14426" t="s">
        <v>45096</v>
      </c>
      <c r="P14426">
        <v>0</v>
      </c>
      <c r="Q14426">
        <v>12</v>
      </c>
      <c r="R14426" t="s">
        <v>45119</v>
      </c>
      <c r="S14426" t="s">
        <v>46078</v>
      </c>
      <c r="T14426" t="s">
        <v>47154</v>
      </c>
      <c r="U14426" t="s">
        <v>59109</v>
      </c>
      <c r="W14426" t="s">
        <v>42960</v>
      </c>
      <c r="X14426" t="s">
        <v>45122</v>
      </c>
    </row>
    <row r="14427" spans="1:24">
      <c r="A14427">
        <f>HYPERLINK("https://www.philgeps.gov.ph/GEPSNONPILOT/Tender/SplashBidNoticeAbstractUI.aspx?menuIndex=3&amp;refID=7007586&amp;Result=3","7007586")</f>
        <v>0</v>
      </c>
      <c r="B14427" t="s">
        <v>124</v>
      </c>
      <c r="C14427" t="s">
        <v>17009</v>
      </c>
      <c r="D14427" t="s">
        <v>18065</v>
      </c>
      <c r="E14427" t="s">
        <v>30636</v>
      </c>
      <c r="F14427" t="s">
        <v>31574</v>
      </c>
      <c r="G14427" t="s">
        <v>31582</v>
      </c>
      <c r="H14427" t="s">
        <v>31590</v>
      </c>
      <c r="I14427" t="s">
        <v>31608</v>
      </c>
      <c r="J14427" t="s">
        <v>40563</v>
      </c>
      <c r="K14427" t="s">
        <v>41184</v>
      </c>
      <c r="M14427" t="s">
        <v>42125</v>
      </c>
      <c r="N14427" t="s">
        <v>45095</v>
      </c>
      <c r="O14427" t="s">
        <v>45096</v>
      </c>
      <c r="Q14427">
        <v>7</v>
      </c>
      <c r="R14427" t="s">
        <v>45119</v>
      </c>
      <c r="S14427" t="s">
        <v>45272</v>
      </c>
      <c r="T14427" t="s">
        <v>47176</v>
      </c>
      <c r="U14427" t="s">
        <v>59110</v>
      </c>
      <c r="W14427" t="s">
        <v>42125</v>
      </c>
      <c r="X14427" t="s">
        <v>45122</v>
      </c>
    </row>
    <row r="14428" spans="1:24">
      <c r="A14428">
        <f>HYPERLINK("https://www.philgeps.gov.ph/GEPSNONPILOT/Tender/SplashBidNoticeAbstractUI.aspx?menuIndex=3&amp;refID=7006857&amp;Result=3","7006857")</f>
        <v>0</v>
      </c>
      <c r="B14428" t="s">
        <v>1118</v>
      </c>
      <c r="C14428" t="s">
        <v>17010</v>
      </c>
      <c r="D14428" t="s">
        <v>18072</v>
      </c>
      <c r="E14428" t="s">
        <v>30637</v>
      </c>
      <c r="F14428" t="s">
        <v>31574</v>
      </c>
      <c r="G14428" t="s">
        <v>31582</v>
      </c>
      <c r="H14428" t="s">
        <v>31591</v>
      </c>
      <c r="I14428" t="s">
        <v>8822</v>
      </c>
      <c r="J14428" t="s">
        <v>40564</v>
      </c>
      <c r="K14428" t="s">
        <v>41198</v>
      </c>
      <c r="M14428" t="s">
        <v>42667</v>
      </c>
      <c r="N14428" t="s">
        <v>45095</v>
      </c>
      <c r="O14428" t="s">
        <v>45096</v>
      </c>
      <c r="P14428">
        <v>0</v>
      </c>
      <c r="Q14428">
        <v>7</v>
      </c>
      <c r="R14428" t="s">
        <v>45119</v>
      </c>
      <c r="S14428" t="s">
        <v>46078</v>
      </c>
      <c r="T14428" t="s">
        <v>47159</v>
      </c>
      <c r="U14428" t="s">
        <v>59111</v>
      </c>
      <c r="V14428" t="s">
        <v>61460</v>
      </c>
      <c r="W14428" t="s">
        <v>42667</v>
      </c>
      <c r="X14428" t="s">
        <v>45122</v>
      </c>
    </row>
    <row r="14429" spans="1:24">
      <c r="A14429">
        <f>HYPERLINK("https://www.philgeps.gov.ph/GEPSNONPILOT/Tender/SplashBidNoticeAbstractUI.aspx?menuIndex=3&amp;refID=7007635&amp;Result=3","7007635")</f>
        <v>0</v>
      </c>
      <c r="B14429" t="s">
        <v>124</v>
      </c>
      <c r="C14429" t="s">
        <v>17011</v>
      </c>
      <c r="D14429" t="s">
        <v>18065</v>
      </c>
      <c r="E14429" t="s">
        <v>30638</v>
      </c>
      <c r="F14429" t="s">
        <v>31574</v>
      </c>
      <c r="G14429" t="s">
        <v>31582</v>
      </c>
      <c r="H14429" t="s">
        <v>31590</v>
      </c>
      <c r="I14429" t="s">
        <v>7185</v>
      </c>
      <c r="J14429" t="s">
        <v>40565</v>
      </c>
      <c r="K14429" t="s">
        <v>41184</v>
      </c>
      <c r="M14429" t="s">
        <v>42125</v>
      </c>
      <c r="N14429" t="s">
        <v>45095</v>
      </c>
      <c r="O14429" t="s">
        <v>45096</v>
      </c>
      <c r="Q14429">
        <v>11</v>
      </c>
      <c r="R14429" t="s">
        <v>45119</v>
      </c>
      <c r="S14429" t="s">
        <v>46082</v>
      </c>
      <c r="T14429" t="s">
        <v>47176</v>
      </c>
      <c r="U14429" t="s">
        <v>59112</v>
      </c>
      <c r="W14429" t="s">
        <v>42125</v>
      </c>
      <c r="X14429" t="s">
        <v>45122</v>
      </c>
    </row>
    <row r="14430" spans="1:24">
      <c r="A14430">
        <f>HYPERLINK("https://www.philgeps.gov.ph/GEPSNONPILOT/Tender/SplashBidNoticeAbstractUI.aspx?menuIndex=3&amp;refID=7007086&amp;Result=3","7007086")</f>
        <v>0</v>
      </c>
      <c r="B14430" t="s">
        <v>1609</v>
      </c>
      <c r="C14430" t="s">
        <v>17012</v>
      </c>
      <c r="D14430" t="s">
        <v>18022</v>
      </c>
      <c r="E14430" t="s">
        <v>30639</v>
      </c>
      <c r="F14430" t="s">
        <v>31574</v>
      </c>
      <c r="G14430" t="s">
        <v>31581</v>
      </c>
      <c r="H14430" t="s">
        <v>31590</v>
      </c>
      <c r="I14430" t="s">
        <v>31599</v>
      </c>
      <c r="J14430" t="s">
        <v>40566</v>
      </c>
      <c r="K14430" t="s">
        <v>41196</v>
      </c>
      <c r="M14430" t="s">
        <v>43214</v>
      </c>
      <c r="N14430" t="s">
        <v>45095</v>
      </c>
      <c r="O14430" t="s">
        <v>45096</v>
      </c>
      <c r="Q14430">
        <v>7</v>
      </c>
      <c r="R14430" t="s">
        <v>45119</v>
      </c>
      <c r="S14430" t="s">
        <v>46083</v>
      </c>
      <c r="T14430" t="s">
        <v>47159</v>
      </c>
      <c r="U14430" t="s">
        <v>59113</v>
      </c>
      <c r="W14430" t="s">
        <v>43214</v>
      </c>
      <c r="X14430" t="s">
        <v>45122</v>
      </c>
    </row>
    <row r="14431" spans="1:24">
      <c r="A14431">
        <f>HYPERLINK("https://www.philgeps.gov.ph/GEPSNONPILOT/Tender/SplashBidNoticeAbstractUI.aspx?menuIndex=3&amp;refID=7007331&amp;Result=3","7007331")</f>
        <v>0</v>
      </c>
      <c r="B14431" t="s">
        <v>2388</v>
      </c>
      <c r="C14431" t="s">
        <v>17013</v>
      </c>
      <c r="E14431" t="s">
        <v>30640</v>
      </c>
      <c r="F14431" t="s">
        <v>31574</v>
      </c>
      <c r="G14431" t="s">
        <v>31582</v>
      </c>
      <c r="H14431" t="s">
        <v>31590</v>
      </c>
      <c r="I14431" t="s">
        <v>7162</v>
      </c>
      <c r="J14431" t="s">
        <v>32504</v>
      </c>
      <c r="K14431" t="s">
        <v>41186</v>
      </c>
      <c r="M14431" t="s">
        <v>44114</v>
      </c>
      <c r="N14431" t="s">
        <v>45095</v>
      </c>
      <c r="O14431" t="s">
        <v>45096</v>
      </c>
      <c r="P14431">
        <v>0</v>
      </c>
      <c r="Q14431">
        <v>7</v>
      </c>
      <c r="R14431" t="s">
        <v>45119</v>
      </c>
      <c r="S14431" t="s">
        <v>46078</v>
      </c>
      <c r="T14431" t="s">
        <v>47159</v>
      </c>
      <c r="U14431" t="s">
        <v>59114</v>
      </c>
      <c r="V14431" t="s">
        <v>61459</v>
      </c>
      <c r="W14431" t="s">
        <v>44114</v>
      </c>
      <c r="X14431" t="s">
        <v>45122</v>
      </c>
    </row>
    <row r="14432" spans="1:24">
      <c r="A14432">
        <f>HYPERLINK("https://www.philgeps.gov.ph/GEPSNONPILOT/Tender/SplashBidNoticeAbstractUI.aspx?menuIndex=3&amp;refID=7007612&amp;Result=3","7007612")</f>
        <v>0</v>
      </c>
      <c r="B14432" t="s">
        <v>124</v>
      </c>
      <c r="C14432" t="s">
        <v>17014</v>
      </c>
      <c r="D14432" t="s">
        <v>18065</v>
      </c>
      <c r="E14432" t="s">
        <v>30641</v>
      </c>
      <c r="F14432" t="s">
        <v>31574</v>
      </c>
      <c r="G14432" t="s">
        <v>31582</v>
      </c>
      <c r="H14432" t="s">
        <v>31590</v>
      </c>
      <c r="I14432" t="s">
        <v>31621</v>
      </c>
      <c r="J14432" t="s">
        <v>40567</v>
      </c>
      <c r="K14432" t="s">
        <v>41184</v>
      </c>
      <c r="M14432" t="s">
        <v>42125</v>
      </c>
      <c r="N14432" t="s">
        <v>45095</v>
      </c>
      <c r="O14432" t="s">
        <v>45096</v>
      </c>
      <c r="Q14432">
        <v>8</v>
      </c>
      <c r="R14432" t="s">
        <v>45119</v>
      </c>
      <c r="S14432" t="s">
        <v>45235</v>
      </c>
      <c r="T14432" t="s">
        <v>47176</v>
      </c>
      <c r="U14432" t="s">
        <v>59115</v>
      </c>
      <c r="W14432" t="s">
        <v>42125</v>
      </c>
      <c r="X14432" t="s">
        <v>45122</v>
      </c>
    </row>
    <row r="14433" spans="1:24">
      <c r="A14433">
        <f>HYPERLINK("https://www.philgeps.gov.ph/GEPSNONPILOT/Tender/SplashBidNoticeAbstractUI.aspx?menuIndex=3&amp;refID=7007504&amp;Result=3","7007504")</f>
        <v>0</v>
      </c>
      <c r="B14433" t="s">
        <v>124</v>
      </c>
      <c r="C14433" t="s">
        <v>17015</v>
      </c>
      <c r="D14433" t="s">
        <v>18065</v>
      </c>
      <c r="E14433" t="s">
        <v>30642</v>
      </c>
      <c r="F14433" t="s">
        <v>31574</v>
      </c>
      <c r="G14433" t="s">
        <v>31582</v>
      </c>
      <c r="H14433" t="s">
        <v>31590</v>
      </c>
      <c r="I14433" t="s">
        <v>14034</v>
      </c>
      <c r="J14433" t="s">
        <v>40568</v>
      </c>
      <c r="K14433" t="s">
        <v>41184</v>
      </c>
      <c r="M14433" t="s">
        <v>42125</v>
      </c>
      <c r="N14433" t="s">
        <v>45095</v>
      </c>
      <c r="O14433" t="s">
        <v>45096</v>
      </c>
      <c r="Q14433">
        <v>7</v>
      </c>
      <c r="R14433" t="s">
        <v>45119</v>
      </c>
      <c r="S14433" t="s">
        <v>46084</v>
      </c>
      <c r="T14433" t="s">
        <v>47176</v>
      </c>
      <c r="U14433" t="s">
        <v>59116</v>
      </c>
      <c r="W14433" t="s">
        <v>42125</v>
      </c>
      <c r="X14433" t="s">
        <v>45122</v>
      </c>
    </row>
    <row r="14434" spans="1:24">
      <c r="A14434">
        <f>HYPERLINK("https://www.philgeps.gov.ph/GEPSNONPILOT/Tender/SplashBidNoticeAbstractUI.aspx?menuIndex=3&amp;refID=7007547&amp;Result=3","7007547")</f>
        <v>0</v>
      </c>
      <c r="B14434" t="s">
        <v>124</v>
      </c>
      <c r="C14434" t="s">
        <v>17016</v>
      </c>
      <c r="D14434" t="s">
        <v>18065</v>
      </c>
      <c r="E14434" t="s">
        <v>30643</v>
      </c>
      <c r="F14434" t="s">
        <v>31574</v>
      </c>
      <c r="G14434" t="s">
        <v>31582</v>
      </c>
      <c r="H14434" t="s">
        <v>31590</v>
      </c>
      <c r="I14434" t="s">
        <v>31608</v>
      </c>
      <c r="J14434" t="s">
        <v>40569</v>
      </c>
      <c r="K14434" t="s">
        <v>41184</v>
      </c>
      <c r="M14434" t="s">
        <v>42125</v>
      </c>
      <c r="N14434" t="s">
        <v>45095</v>
      </c>
      <c r="O14434" t="s">
        <v>45096</v>
      </c>
      <c r="Q14434">
        <v>7</v>
      </c>
      <c r="R14434" t="s">
        <v>45119</v>
      </c>
      <c r="S14434" t="s">
        <v>45365</v>
      </c>
      <c r="T14434" t="s">
        <v>47176</v>
      </c>
      <c r="U14434" t="s">
        <v>59117</v>
      </c>
      <c r="W14434" t="s">
        <v>42125</v>
      </c>
      <c r="X14434" t="s">
        <v>45122</v>
      </c>
    </row>
    <row r="14435" spans="1:24">
      <c r="A14435">
        <f>HYPERLINK("https://www.philgeps.gov.ph/GEPSNONPILOT/Tender/SplashBidNoticeAbstractUI.aspx?menuIndex=3&amp;refID=7007080&amp;Result=3","7007080")</f>
        <v>0</v>
      </c>
      <c r="B14435" t="s">
        <v>2618</v>
      </c>
      <c r="C14435" t="s">
        <v>17017</v>
      </c>
      <c r="D14435" t="s">
        <v>18022</v>
      </c>
      <c r="E14435" t="s">
        <v>30644</v>
      </c>
      <c r="F14435" t="s">
        <v>31574</v>
      </c>
      <c r="G14435" t="s">
        <v>31582</v>
      </c>
      <c r="H14435" t="s">
        <v>31592</v>
      </c>
      <c r="I14435" t="s">
        <v>31596</v>
      </c>
      <c r="J14435" t="s">
        <v>40570</v>
      </c>
      <c r="K14435" t="s">
        <v>41225</v>
      </c>
      <c r="M14435" t="s">
        <v>44368</v>
      </c>
      <c r="N14435" t="s">
        <v>45095</v>
      </c>
      <c r="O14435" t="s">
        <v>45096</v>
      </c>
      <c r="Q14435">
        <v>9</v>
      </c>
      <c r="R14435" t="s">
        <v>45119</v>
      </c>
      <c r="S14435" t="s">
        <v>46085</v>
      </c>
      <c r="T14435" t="s">
        <v>46985</v>
      </c>
      <c r="U14435" t="s">
        <v>59118</v>
      </c>
      <c r="W14435" t="s">
        <v>44368</v>
      </c>
      <c r="X14435" t="s">
        <v>45122</v>
      </c>
    </row>
    <row r="14436" spans="1:24">
      <c r="A14436">
        <f>HYPERLINK("https://www.philgeps.gov.ph/GEPSNONPILOT/Tender/SplashBidNoticeAbstractUI.aspx?menuIndex=3&amp;refID=7007244&amp;Result=3","7007244")</f>
        <v>0</v>
      </c>
      <c r="B14436" t="s">
        <v>2388</v>
      </c>
      <c r="C14436" t="s">
        <v>17013</v>
      </c>
      <c r="E14436" t="s">
        <v>30645</v>
      </c>
      <c r="F14436" t="s">
        <v>31574</v>
      </c>
      <c r="G14436" t="s">
        <v>31582</v>
      </c>
      <c r="H14436" t="s">
        <v>31590</v>
      </c>
      <c r="I14436" t="s">
        <v>7162</v>
      </c>
      <c r="J14436" t="s">
        <v>31883</v>
      </c>
      <c r="K14436" t="s">
        <v>41186</v>
      </c>
      <c r="M14436" t="s">
        <v>44114</v>
      </c>
      <c r="N14436" t="s">
        <v>45095</v>
      </c>
      <c r="O14436" t="s">
        <v>45096</v>
      </c>
      <c r="P14436">
        <v>0</v>
      </c>
      <c r="Q14436">
        <v>7</v>
      </c>
      <c r="R14436" t="s">
        <v>45119</v>
      </c>
      <c r="S14436" t="s">
        <v>46078</v>
      </c>
      <c r="T14436" t="s">
        <v>47159</v>
      </c>
      <c r="U14436" t="s">
        <v>59119</v>
      </c>
      <c r="V14436" t="s">
        <v>61459</v>
      </c>
      <c r="W14436" t="s">
        <v>44114</v>
      </c>
      <c r="X14436" t="s">
        <v>45122</v>
      </c>
    </row>
    <row r="14437" spans="1:24">
      <c r="A14437">
        <f>HYPERLINK("https://www.philgeps.gov.ph/GEPSNONPILOT/Tender/SplashBidNoticeAbstractUI.aspx?menuIndex=3&amp;refID=7007620&amp;Result=3","7007620")</f>
        <v>0</v>
      </c>
      <c r="B14437" t="s">
        <v>124</v>
      </c>
      <c r="C14437" t="s">
        <v>17018</v>
      </c>
      <c r="D14437" t="s">
        <v>18065</v>
      </c>
      <c r="E14437" t="s">
        <v>30646</v>
      </c>
      <c r="F14437" t="s">
        <v>31574</v>
      </c>
      <c r="G14437" t="s">
        <v>31582</v>
      </c>
      <c r="H14437" t="s">
        <v>31590</v>
      </c>
      <c r="I14437" t="s">
        <v>31619</v>
      </c>
      <c r="J14437" t="s">
        <v>40571</v>
      </c>
      <c r="K14437" t="s">
        <v>41184</v>
      </c>
      <c r="M14437" t="s">
        <v>42125</v>
      </c>
      <c r="N14437" t="s">
        <v>45095</v>
      </c>
      <c r="O14437" t="s">
        <v>45096</v>
      </c>
      <c r="Q14437">
        <v>15</v>
      </c>
      <c r="R14437" t="s">
        <v>45119</v>
      </c>
      <c r="S14437" t="s">
        <v>46086</v>
      </c>
      <c r="T14437" t="s">
        <v>47176</v>
      </c>
      <c r="U14437" t="s">
        <v>59120</v>
      </c>
      <c r="W14437" t="s">
        <v>42125</v>
      </c>
      <c r="X14437" t="s">
        <v>45122</v>
      </c>
    </row>
    <row r="14438" spans="1:24">
      <c r="A14438">
        <f>HYPERLINK("https://www.philgeps.gov.ph/GEPSNONPILOT/Tender/SplashBidNoticeAbstractUI.aspx?menuIndex=3&amp;refID=7007647&amp;Result=3","7007647")</f>
        <v>0</v>
      </c>
      <c r="B14438" t="s">
        <v>124</v>
      </c>
      <c r="C14438" t="s">
        <v>17019</v>
      </c>
      <c r="D14438" t="s">
        <v>18065</v>
      </c>
      <c r="E14438" t="s">
        <v>30647</v>
      </c>
      <c r="F14438" t="s">
        <v>31574</v>
      </c>
      <c r="G14438" t="s">
        <v>31582</v>
      </c>
      <c r="H14438" t="s">
        <v>31590</v>
      </c>
      <c r="I14438" t="s">
        <v>8258</v>
      </c>
      <c r="J14438" t="s">
        <v>40572</v>
      </c>
      <c r="K14438" t="s">
        <v>41184</v>
      </c>
      <c r="M14438" t="s">
        <v>42125</v>
      </c>
      <c r="N14438" t="s">
        <v>45095</v>
      </c>
      <c r="O14438" t="s">
        <v>45096</v>
      </c>
      <c r="Q14438">
        <v>21</v>
      </c>
      <c r="R14438" t="s">
        <v>45119</v>
      </c>
      <c r="S14438" t="s">
        <v>46087</v>
      </c>
      <c r="T14438" t="s">
        <v>47176</v>
      </c>
      <c r="U14438" t="s">
        <v>59121</v>
      </c>
      <c r="W14438" t="s">
        <v>42125</v>
      </c>
      <c r="X14438" t="s">
        <v>45122</v>
      </c>
    </row>
    <row r="14439" spans="1:24">
      <c r="A14439">
        <f>HYPERLINK("https://www.philgeps.gov.ph/GEPSNONPILOT/Tender/SplashBidNoticeAbstractUI.aspx?menuIndex=3&amp;refID=7007295&amp;Result=3","7007295")</f>
        <v>0</v>
      </c>
      <c r="B14439" t="s">
        <v>1830</v>
      </c>
      <c r="C14439" t="s">
        <v>17020</v>
      </c>
      <c r="D14439" t="s">
        <v>18023</v>
      </c>
      <c r="E14439" t="s">
        <v>30648</v>
      </c>
      <c r="F14439" t="s">
        <v>31574</v>
      </c>
      <c r="G14439" t="s">
        <v>31582</v>
      </c>
      <c r="H14439" t="s">
        <v>31591</v>
      </c>
      <c r="I14439" t="s">
        <v>8822</v>
      </c>
      <c r="J14439" t="s">
        <v>40573</v>
      </c>
      <c r="K14439" t="s">
        <v>41192</v>
      </c>
      <c r="M14439" t="s">
        <v>44742</v>
      </c>
      <c r="N14439" t="s">
        <v>45095</v>
      </c>
      <c r="O14439" t="s">
        <v>45096</v>
      </c>
      <c r="P14439">
        <v>0</v>
      </c>
      <c r="Q14439">
        <v>9</v>
      </c>
      <c r="R14439" t="s">
        <v>45119</v>
      </c>
      <c r="S14439" t="s">
        <v>46078</v>
      </c>
      <c r="T14439" t="s">
        <v>47159</v>
      </c>
      <c r="U14439" t="s">
        <v>57501</v>
      </c>
      <c r="W14439" t="s">
        <v>44742</v>
      </c>
      <c r="X14439" t="s">
        <v>45122</v>
      </c>
    </row>
    <row r="14440" spans="1:24">
      <c r="A14440">
        <f>HYPERLINK("https://www.philgeps.gov.ph/GEPSNONPILOT/Tender/SplashBidNoticeAbstractUI.aspx?menuIndex=3&amp;refID=7007798&amp;Result=3","7007798")</f>
        <v>0</v>
      </c>
      <c r="B14440" t="s">
        <v>1830</v>
      </c>
      <c r="C14440" t="s">
        <v>17021</v>
      </c>
      <c r="D14440" t="s">
        <v>18023</v>
      </c>
      <c r="E14440" t="s">
        <v>30649</v>
      </c>
      <c r="F14440" t="s">
        <v>31574</v>
      </c>
      <c r="G14440" t="s">
        <v>31582</v>
      </c>
      <c r="H14440" t="s">
        <v>31591</v>
      </c>
      <c r="I14440" t="s">
        <v>8822</v>
      </c>
      <c r="J14440" t="s">
        <v>40574</v>
      </c>
      <c r="K14440" t="s">
        <v>41276</v>
      </c>
      <c r="M14440" t="s">
        <v>44742</v>
      </c>
      <c r="N14440" t="s">
        <v>45095</v>
      </c>
      <c r="O14440" t="s">
        <v>45096</v>
      </c>
      <c r="P14440">
        <v>0</v>
      </c>
      <c r="Q14440">
        <v>6</v>
      </c>
      <c r="R14440" t="s">
        <v>45119</v>
      </c>
      <c r="S14440" t="s">
        <v>46078</v>
      </c>
      <c r="T14440" t="s">
        <v>47159</v>
      </c>
      <c r="U14440" t="s">
        <v>57501</v>
      </c>
      <c r="W14440" t="s">
        <v>44742</v>
      </c>
      <c r="X14440" t="s">
        <v>45122</v>
      </c>
    </row>
    <row r="14441" spans="1:24">
      <c r="A14441">
        <f>HYPERLINK("https://www.philgeps.gov.ph/GEPSNONPILOT/Tender/SplashBidNoticeAbstractUI.aspx?menuIndex=3&amp;refID=7007624&amp;Result=3","7007624")</f>
        <v>0</v>
      </c>
      <c r="B14441" t="s">
        <v>1003</v>
      </c>
      <c r="C14441" t="s">
        <v>17022</v>
      </c>
      <c r="D14441" t="s">
        <v>18057</v>
      </c>
      <c r="E14441" t="s">
        <v>23889</v>
      </c>
      <c r="F14441" t="s">
        <v>31574</v>
      </c>
      <c r="G14441" t="s">
        <v>31582</v>
      </c>
      <c r="H14441" t="s">
        <v>31590</v>
      </c>
      <c r="I14441" t="s">
        <v>31615</v>
      </c>
      <c r="J14441" t="s">
        <v>32120</v>
      </c>
      <c r="K14441" t="s">
        <v>41189</v>
      </c>
      <c r="M14441" t="s">
        <v>42540</v>
      </c>
      <c r="N14441" t="s">
        <v>45095</v>
      </c>
      <c r="O14441" t="s">
        <v>45096</v>
      </c>
      <c r="P14441">
        <v>0</v>
      </c>
      <c r="Q14441">
        <v>3</v>
      </c>
      <c r="R14441" t="s">
        <v>45119</v>
      </c>
      <c r="S14441" t="s">
        <v>46078</v>
      </c>
      <c r="T14441" t="s">
        <v>46979</v>
      </c>
      <c r="U14441" t="s">
        <v>59122</v>
      </c>
      <c r="W14441" t="s">
        <v>42540</v>
      </c>
      <c r="X14441" t="s">
        <v>45122</v>
      </c>
    </row>
    <row r="14442" spans="1:24">
      <c r="A14442">
        <f>HYPERLINK("https://www.philgeps.gov.ph/GEPSNONPILOT/Tender/SplashBidNoticeAbstractUI.aspx?menuIndex=3&amp;refID=7008138&amp;Result=3","7008138")</f>
        <v>0</v>
      </c>
      <c r="B14442" t="s">
        <v>262</v>
      </c>
      <c r="C14442" t="s">
        <v>17023</v>
      </c>
      <c r="D14442" t="s">
        <v>18074</v>
      </c>
      <c r="E14442" t="s">
        <v>30650</v>
      </c>
      <c r="F14442" t="s">
        <v>31574</v>
      </c>
      <c r="G14442" t="s">
        <v>31582</v>
      </c>
      <c r="H14442" t="s">
        <v>31590</v>
      </c>
      <c r="I14442" t="s">
        <v>31633</v>
      </c>
      <c r="J14442" t="s">
        <v>40575</v>
      </c>
      <c r="K14442" t="s">
        <v>41189</v>
      </c>
      <c r="M14442" t="s">
        <v>41748</v>
      </c>
      <c r="N14442" t="s">
        <v>45095</v>
      </c>
      <c r="O14442" t="s">
        <v>45096</v>
      </c>
      <c r="P14442">
        <v>0</v>
      </c>
      <c r="Q14442">
        <v>10</v>
      </c>
      <c r="R14442" t="s">
        <v>45119</v>
      </c>
      <c r="S14442" t="s">
        <v>46078</v>
      </c>
      <c r="T14442" t="s">
        <v>47193</v>
      </c>
      <c r="U14442" t="s">
        <v>59123</v>
      </c>
      <c r="W14442" t="s">
        <v>61745</v>
      </c>
      <c r="X14442" t="s">
        <v>45122</v>
      </c>
    </row>
    <row r="14443" spans="1:24">
      <c r="A14443">
        <f>HYPERLINK("https://www.philgeps.gov.ph/GEPSNONPILOT/Tender/SplashBidNoticeAbstractUI.aspx?menuIndex=3&amp;refID=7007325&amp;Result=3","7007325")</f>
        <v>0</v>
      </c>
      <c r="B14443" t="s">
        <v>2432</v>
      </c>
      <c r="C14443" t="s">
        <v>17024</v>
      </c>
      <c r="D14443" t="s">
        <v>18043</v>
      </c>
      <c r="E14443" t="s">
        <v>21096</v>
      </c>
      <c r="F14443" t="s">
        <v>31574</v>
      </c>
      <c r="G14443" t="s">
        <v>31582</v>
      </c>
      <c r="H14443" t="s">
        <v>31591</v>
      </c>
      <c r="I14443" t="s">
        <v>8822</v>
      </c>
      <c r="J14443" t="s">
        <v>40576</v>
      </c>
      <c r="K14443" t="s">
        <v>41267</v>
      </c>
      <c r="M14443" t="s">
        <v>44159</v>
      </c>
      <c r="N14443" t="s">
        <v>45095</v>
      </c>
      <c r="O14443" t="s">
        <v>45096</v>
      </c>
      <c r="P14443">
        <v>0</v>
      </c>
      <c r="Q14443">
        <v>2</v>
      </c>
      <c r="R14443" t="s">
        <v>45119</v>
      </c>
      <c r="S14443" t="s">
        <v>46078</v>
      </c>
      <c r="T14443" t="s">
        <v>46985</v>
      </c>
      <c r="U14443" t="s">
        <v>59124</v>
      </c>
      <c r="V14443" t="s">
        <v>60754</v>
      </c>
      <c r="W14443" t="s">
        <v>44159</v>
      </c>
      <c r="X14443" t="s">
        <v>45122</v>
      </c>
    </row>
    <row r="14444" spans="1:24">
      <c r="A14444">
        <f>HYPERLINK("https://www.philgeps.gov.ph/GEPSNONPILOT/Tender/SplashBidNoticeAbstractUI.aspx?menuIndex=3&amp;refID=7008524&amp;Result=3","7008524")</f>
        <v>0</v>
      </c>
      <c r="B14444" t="s">
        <v>2287</v>
      </c>
      <c r="C14444" t="s">
        <v>17025</v>
      </c>
      <c r="D14444" t="s">
        <v>18025</v>
      </c>
      <c r="E14444" t="s">
        <v>30651</v>
      </c>
      <c r="F14444" t="s">
        <v>31574</v>
      </c>
      <c r="G14444" t="s">
        <v>31582</v>
      </c>
      <c r="H14444" t="s">
        <v>31591</v>
      </c>
      <c r="I14444" t="s">
        <v>8822</v>
      </c>
      <c r="J14444" t="s">
        <v>40577</v>
      </c>
      <c r="K14444" t="s">
        <v>41243</v>
      </c>
      <c r="M14444" t="s">
        <v>43995</v>
      </c>
      <c r="N14444" t="s">
        <v>45095</v>
      </c>
      <c r="O14444" t="s">
        <v>45096</v>
      </c>
      <c r="P14444">
        <v>0</v>
      </c>
      <c r="Q14444">
        <v>6</v>
      </c>
      <c r="R14444" t="s">
        <v>45119</v>
      </c>
      <c r="S14444" t="s">
        <v>46078</v>
      </c>
      <c r="T14444" t="s">
        <v>47183</v>
      </c>
      <c r="U14444" t="s">
        <v>59125</v>
      </c>
      <c r="W14444" t="s">
        <v>43995</v>
      </c>
      <c r="X14444" t="s">
        <v>45122</v>
      </c>
    </row>
    <row r="14445" spans="1:24">
      <c r="A14445">
        <f>HYPERLINK("https://www.philgeps.gov.ph/GEPSNONPILOT/Tender/SplashBidNoticeAbstractUI.aspx?menuIndex=3&amp;refID=7008178&amp;Result=3","7008178")</f>
        <v>0</v>
      </c>
      <c r="B14445" t="s">
        <v>262</v>
      </c>
      <c r="C14445" t="s">
        <v>17026</v>
      </c>
      <c r="D14445" t="s">
        <v>18074</v>
      </c>
      <c r="E14445" t="s">
        <v>30652</v>
      </c>
      <c r="F14445" t="s">
        <v>31574</v>
      </c>
      <c r="G14445" t="s">
        <v>31582</v>
      </c>
      <c r="H14445" t="s">
        <v>31590</v>
      </c>
      <c r="I14445" t="s">
        <v>8258</v>
      </c>
      <c r="J14445" t="s">
        <v>40578</v>
      </c>
      <c r="K14445" t="s">
        <v>41190</v>
      </c>
      <c r="M14445" t="s">
        <v>41748</v>
      </c>
      <c r="N14445" t="s">
        <v>45095</v>
      </c>
      <c r="O14445" t="s">
        <v>45096</v>
      </c>
      <c r="P14445">
        <v>0</v>
      </c>
      <c r="Q14445">
        <v>8</v>
      </c>
      <c r="R14445" t="s">
        <v>45119</v>
      </c>
      <c r="S14445" t="s">
        <v>46078</v>
      </c>
      <c r="T14445" t="s">
        <v>47193</v>
      </c>
      <c r="U14445" t="s">
        <v>59126</v>
      </c>
      <c r="W14445" t="s">
        <v>61745</v>
      </c>
      <c r="X14445" t="s">
        <v>45122</v>
      </c>
    </row>
    <row r="14446" spans="1:24">
      <c r="A14446">
        <f>HYPERLINK("https://www.philgeps.gov.ph/GEPSNONPILOT/Tender/SplashBidNoticeAbstractUI.aspx?menuIndex=3&amp;refID=7008395&amp;Result=3","7008395")</f>
        <v>0</v>
      </c>
      <c r="B14446" t="s">
        <v>1399</v>
      </c>
      <c r="C14446" t="s">
        <v>17027</v>
      </c>
      <c r="D14446" t="s">
        <v>18081</v>
      </c>
      <c r="E14446" t="s">
        <v>30653</v>
      </c>
      <c r="F14446" t="s">
        <v>31574</v>
      </c>
      <c r="G14446" t="s">
        <v>31582</v>
      </c>
      <c r="H14446" t="s">
        <v>31591</v>
      </c>
      <c r="I14446" t="s">
        <v>8822</v>
      </c>
      <c r="J14446" t="s">
        <v>32510</v>
      </c>
      <c r="K14446" t="s">
        <v>41368</v>
      </c>
      <c r="M14446" t="s">
        <v>43167</v>
      </c>
      <c r="N14446" t="s">
        <v>45095</v>
      </c>
      <c r="O14446" t="s">
        <v>45096</v>
      </c>
      <c r="Q14446">
        <v>0</v>
      </c>
      <c r="R14446" t="s">
        <v>45119</v>
      </c>
      <c r="S14446" t="s">
        <v>46088</v>
      </c>
      <c r="T14446" t="s">
        <v>47183</v>
      </c>
      <c r="U14446" t="s">
        <v>59127</v>
      </c>
      <c r="V14446" t="s">
        <v>53358</v>
      </c>
      <c r="W14446" t="s">
        <v>43167</v>
      </c>
      <c r="X14446" t="s">
        <v>45122</v>
      </c>
    </row>
    <row r="14447" spans="1:24">
      <c r="A14447">
        <f>HYPERLINK("https://www.philgeps.gov.ph/GEPSNONPILOT/Tender/SplashBidNoticeAbstractUI.aspx?menuIndex=3&amp;refID=7008350&amp;Result=3","7008350")</f>
        <v>0</v>
      </c>
      <c r="B14447" t="s">
        <v>262</v>
      </c>
      <c r="C14447" t="s">
        <v>17028</v>
      </c>
      <c r="D14447" t="s">
        <v>18074</v>
      </c>
      <c r="E14447" t="s">
        <v>30654</v>
      </c>
      <c r="F14447" t="s">
        <v>31574</v>
      </c>
      <c r="G14447" t="s">
        <v>31582</v>
      </c>
      <c r="H14447" t="s">
        <v>31591</v>
      </c>
      <c r="I14447" t="s">
        <v>8822</v>
      </c>
      <c r="J14447" t="s">
        <v>40579</v>
      </c>
      <c r="K14447" t="s">
        <v>41427</v>
      </c>
      <c r="M14447" t="s">
        <v>41748</v>
      </c>
      <c r="N14447" t="s">
        <v>45095</v>
      </c>
      <c r="O14447" t="s">
        <v>45096</v>
      </c>
      <c r="P14447">
        <v>0</v>
      </c>
      <c r="Q14447">
        <v>0</v>
      </c>
      <c r="R14447" t="s">
        <v>45119</v>
      </c>
      <c r="S14447" t="s">
        <v>46078</v>
      </c>
      <c r="T14447" t="s">
        <v>47193</v>
      </c>
      <c r="U14447" t="s">
        <v>59128</v>
      </c>
      <c r="W14447" t="s">
        <v>61745</v>
      </c>
      <c r="X14447" t="s">
        <v>45122</v>
      </c>
    </row>
    <row r="14448" spans="1:24">
      <c r="A14448">
        <f>HYPERLINK("https://www.philgeps.gov.ph/GEPSNONPILOT/Tender/SplashBidNoticeAbstractUI.aspx?menuIndex=3&amp;refID=7009148&amp;Result=3","7009148")</f>
        <v>0</v>
      </c>
      <c r="B14448" t="s">
        <v>3125</v>
      </c>
      <c r="C14448" t="s">
        <v>17029</v>
      </c>
      <c r="E14448" t="s">
        <v>30655</v>
      </c>
      <c r="F14448" t="s">
        <v>31574</v>
      </c>
      <c r="G14448" t="s">
        <v>31582</v>
      </c>
      <c r="H14448" t="s">
        <v>31591</v>
      </c>
      <c r="I14448" t="s">
        <v>8822</v>
      </c>
      <c r="J14448" t="s">
        <v>40580</v>
      </c>
      <c r="K14448" t="s">
        <v>41184</v>
      </c>
      <c r="M14448" t="s">
        <v>44974</v>
      </c>
      <c r="N14448" t="s">
        <v>45095</v>
      </c>
      <c r="O14448" t="s">
        <v>45096</v>
      </c>
      <c r="Q14448">
        <v>0</v>
      </c>
      <c r="R14448" t="s">
        <v>45119</v>
      </c>
      <c r="S14448" t="s">
        <v>46089</v>
      </c>
      <c r="T14448" t="s">
        <v>47124</v>
      </c>
      <c r="U14448" t="s">
        <v>59129</v>
      </c>
      <c r="W14448" t="s">
        <v>44974</v>
      </c>
      <c r="X14448" t="s">
        <v>45121</v>
      </c>
    </row>
    <row r="14449" spans="1:24">
      <c r="A14449">
        <f>HYPERLINK("https://www.philgeps.gov.ph/GEPSNONPILOT/Tender/SplashBidNoticeAbstractUI.aspx?menuIndex=3&amp;refID=7008871&amp;Result=3","7008871")</f>
        <v>0</v>
      </c>
      <c r="B14449" t="s">
        <v>3126</v>
      </c>
      <c r="C14449" t="s">
        <v>17030</v>
      </c>
      <c r="D14449" t="s">
        <v>18071</v>
      </c>
      <c r="E14449" t="s">
        <v>30656</v>
      </c>
      <c r="F14449" t="s">
        <v>31574</v>
      </c>
      <c r="G14449" t="s">
        <v>31582</v>
      </c>
      <c r="H14449" t="s">
        <v>31592</v>
      </c>
      <c r="I14449" t="s">
        <v>31611</v>
      </c>
      <c r="J14449" t="s">
        <v>40581</v>
      </c>
      <c r="K14449" t="s">
        <v>41225</v>
      </c>
      <c r="M14449" t="s">
        <v>44975</v>
      </c>
      <c r="N14449" t="s">
        <v>45095</v>
      </c>
      <c r="O14449" t="s">
        <v>45096</v>
      </c>
      <c r="Q14449">
        <v>2</v>
      </c>
      <c r="R14449" t="s">
        <v>45119</v>
      </c>
      <c r="S14449" t="s">
        <v>46090</v>
      </c>
      <c r="T14449" t="s">
        <v>47050</v>
      </c>
      <c r="U14449" t="s">
        <v>59130</v>
      </c>
      <c r="W14449" t="s">
        <v>44975</v>
      </c>
      <c r="X14449" t="s">
        <v>45120</v>
      </c>
    </row>
    <row r="14450" spans="1:24">
      <c r="A14450">
        <f>HYPERLINK("https://www.philgeps.gov.ph/GEPSNONPILOT/Tender/SplashBidNoticeAbstractUI.aspx?menuIndex=3&amp;refID=7008376&amp;Result=3","7008376")</f>
        <v>0</v>
      </c>
      <c r="B14450" t="s">
        <v>1830</v>
      </c>
      <c r="C14450" t="s">
        <v>17031</v>
      </c>
      <c r="D14450" t="s">
        <v>18023</v>
      </c>
      <c r="E14450" t="s">
        <v>30657</v>
      </c>
      <c r="F14450" t="s">
        <v>31574</v>
      </c>
      <c r="G14450" t="s">
        <v>31582</v>
      </c>
      <c r="H14450" t="s">
        <v>31591</v>
      </c>
      <c r="I14450" t="s">
        <v>8822</v>
      </c>
      <c r="J14450" t="s">
        <v>40582</v>
      </c>
      <c r="K14450" t="s">
        <v>41192</v>
      </c>
      <c r="M14450" t="s">
        <v>44742</v>
      </c>
      <c r="N14450" t="s">
        <v>45095</v>
      </c>
      <c r="O14450" t="s">
        <v>45096</v>
      </c>
      <c r="P14450">
        <v>0</v>
      </c>
      <c r="Q14450">
        <v>9</v>
      </c>
      <c r="R14450" t="s">
        <v>45119</v>
      </c>
      <c r="S14450" t="s">
        <v>46078</v>
      </c>
      <c r="T14450" t="s">
        <v>47159</v>
      </c>
      <c r="U14450" t="s">
        <v>57501</v>
      </c>
      <c r="W14450" t="s">
        <v>44742</v>
      </c>
      <c r="X14450" t="s">
        <v>45122</v>
      </c>
    </row>
    <row r="14451" spans="1:24">
      <c r="A14451">
        <f>HYPERLINK("https://www.philgeps.gov.ph/GEPSNONPILOT/Tender/SplashBidNoticeAbstractUI.aspx?menuIndex=3&amp;refID=7008315&amp;Result=3","7008315")</f>
        <v>0</v>
      </c>
      <c r="B14451" t="s">
        <v>262</v>
      </c>
      <c r="C14451" t="s">
        <v>17032</v>
      </c>
      <c r="D14451" t="s">
        <v>18074</v>
      </c>
      <c r="E14451" t="s">
        <v>30658</v>
      </c>
      <c r="F14451" t="s">
        <v>31574</v>
      </c>
      <c r="G14451" t="s">
        <v>31582</v>
      </c>
      <c r="H14451" t="s">
        <v>31591</v>
      </c>
      <c r="I14451" t="s">
        <v>8822</v>
      </c>
      <c r="J14451" t="s">
        <v>40583</v>
      </c>
      <c r="K14451" t="s">
        <v>41316</v>
      </c>
      <c r="M14451" t="s">
        <v>41748</v>
      </c>
      <c r="N14451" t="s">
        <v>45095</v>
      </c>
      <c r="O14451" t="s">
        <v>45096</v>
      </c>
      <c r="P14451">
        <v>0</v>
      </c>
      <c r="Q14451">
        <v>0</v>
      </c>
      <c r="R14451" t="s">
        <v>45119</v>
      </c>
      <c r="S14451" t="s">
        <v>46078</v>
      </c>
      <c r="T14451" t="s">
        <v>47193</v>
      </c>
      <c r="U14451" t="s">
        <v>59131</v>
      </c>
      <c r="W14451" t="s">
        <v>61745</v>
      </c>
      <c r="X14451" t="s">
        <v>45122</v>
      </c>
    </row>
    <row r="14452" spans="1:24">
      <c r="A14452">
        <f>HYPERLINK("https://www.philgeps.gov.ph/GEPSNONPILOT/Tender/SplashBidNoticeAbstractUI.aspx?menuIndex=3&amp;refID=7008331&amp;Result=3","7008331")</f>
        <v>0</v>
      </c>
      <c r="B14452" t="s">
        <v>262</v>
      </c>
      <c r="C14452" t="s">
        <v>17033</v>
      </c>
      <c r="D14452" t="s">
        <v>18074</v>
      </c>
      <c r="E14452" t="s">
        <v>30659</v>
      </c>
      <c r="F14452" t="s">
        <v>31574</v>
      </c>
      <c r="G14452" t="s">
        <v>31582</v>
      </c>
      <c r="H14452" t="s">
        <v>31591</v>
      </c>
      <c r="I14452" t="s">
        <v>8822</v>
      </c>
      <c r="J14452" t="s">
        <v>40584</v>
      </c>
      <c r="K14452" t="s">
        <v>41350</v>
      </c>
      <c r="M14452" t="s">
        <v>41748</v>
      </c>
      <c r="N14452" t="s">
        <v>45095</v>
      </c>
      <c r="O14452" t="s">
        <v>45096</v>
      </c>
      <c r="P14452">
        <v>0</v>
      </c>
      <c r="Q14452">
        <v>0</v>
      </c>
      <c r="R14452" t="s">
        <v>45119</v>
      </c>
      <c r="S14452" t="s">
        <v>46078</v>
      </c>
      <c r="T14452" t="s">
        <v>47193</v>
      </c>
      <c r="U14452" t="s">
        <v>59132</v>
      </c>
      <c r="W14452" t="s">
        <v>61745</v>
      </c>
      <c r="X14452" t="s">
        <v>45122</v>
      </c>
    </row>
    <row r="14453" spans="1:24">
      <c r="A14453">
        <f>HYPERLINK("https://www.philgeps.gov.ph/GEPSNONPILOT/Tender/SplashBidNoticeAbstractUI.aspx?menuIndex=3&amp;refID=7008320&amp;Result=3","7008320")</f>
        <v>0</v>
      </c>
      <c r="B14453" t="s">
        <v>1830</v>
      </c>
      <c r="C14453" t="s">
        <v>17034</v>
      </c>
      <c r="D14453" t="s">
        <v>18023</v>
      </c>
      <c r="E14453" t="s">
        <v>30660</v>
      </c>
      <c r="F14453" t="s">
        <v>31574</v>
      </c>
      <c r="G14453" t="s">
        <v>31582</v>
      </c>
      <c r="H14453" t="s">
        <v>31591</v>
      </c>
      <c r="I14453" t="s">
        <v>8822</v>
      </c>
      <c r="J14453" t="s">
        <v>40585</v>
      </c>
      <c r="K14453" t="s">
        <v>41192</v>
      </c>
      <c r="M14453" t="s">
        <v>44742</v>
      </c>
      <c r="N14453" t="s">
        <v>45095</v>
      </c>
      <c r="O14453" t="s">
        <v>45096</v>
      </c>
      <c r="P14453">
        <v>0</v>
      </c>
      <c r="Q14453">
        <v>14</v>
      </c>
      <c r="R14453" t="s">
        <v>45119</v>
      </c>
      <c r="S14453" t="s">
        <v>46078</v>
      </c>
      <c r="T14453" t="s">
        <v>47159</v>
      </c>
      <c r="U14453" t="s">
        <v>57501</v>
      </c>
      <c r="W14453" t="s">
        <v>44742</v>
      </c>
      <c r="X14453" t="s">
        <v>45122</v>
      </c>
    </row>
    <row r="14454" spans="1:24">
      <c r="A14454">
        <f>HYPERLINK("https://www.philgeps.gov.ph/GEPSNONPILOT/Tender/SplashBidNoticeAbstractUI.aspx?menuIndex=3&amp;refID=7007676&amp;Result=3","7007676")</f>
        <v>0</v>
      </c>
      <c r="B14454" t="s">
        <v>124</v>
      </c>
      <c r="C14454" t="s">
        <v>17035</v>
      </c>
      <c r="D14454" t="s">
        <v>18065</v>
      </c>
      <c r="E14454" t="s">
        <v>30661</v>
      </c>
      <c r="F14454" t="s">
        <v>31574</v>
      </c>
      <c r="G14454" t="s">
        <v>31582</v>
      </c>
      <c r="H14454" t="s">
        <v>31590</v>
      </c>
      <c r="I14454" t="s">
        <v>5717</v>
      </c>
      <c r="J14454" t="s">
        <v>40586</v>
      </c>
      <c r="K14454" t="s">
        <v>41184</v>
      </c>
      <c r="M14454" t="s">
        <v>42125</v>
      </c>
      <c r="N14454" t="s">
        <v>45095</v>
      </c>
      <c r="O14454" t="s">
        <v>45096</v>
      </c>
      <c r="Q14454">
        <v>11</v>
      </c>
      <c r="R14454" t="s">
        <v>45119</v>
      </c>
      <c r="S14454" t="s">
        <v>46091</v>
      </c>
      <c r="T14454" t="s">
        <v>47176</v>
      </c>
      <c r="U14454" t="s">
        <v>59133</v>
      </c>
      <c r="W14454" t="s">
        <v>42125</v>
      </c>
      <c r="X14454" t="s">
        <v>45122</v>
      </c>
    </row>
    <row r="14455" spans="1:24">
      <c r="A14455">
        <f>HYPERLINK("https://www.philgeps.gov.ph/GEPSNONPILOT/Tender/SplashBidNoticeAbstractUI.aspx?menuIndex=3&amp;refID=7008314&amp;Result=3","7008314")</f>
        <v>0</v>
      </c>
      <c r="B14455" t="s">
        <v>355</v>
      </c>
      <c r="C14455" t="s">
        <v>17036</v>
      </c>
      <c r="D14455" t="s">
        <v>18043</v>
      </c>
      <c r="E14455" t="s">
        <v>30662</v>
      </c>
      <c r="F14455" t="s">
        <v>31574</v>
      </c>
      <c r="G14455" t="s">
        <v>31582</v>
      </c>
      <c r="H14455" t="s">
        <v>31590</v>
      </c>
      <c r="I14455" t="s">
        <v>31615</v>
      </c>
      <c r="J14455" t="s">
        <v>40587</v>
      </c>
      <c r="K14455" t="s">
        <v>41186</v>
      </c>
      <c r="M14455" t="s">
        <v>41845</v>
      </c>
      <c r="N14455" t="s">
        <v>45095</v>
      </c>
      <c r="O14455" t="s">
        <v>45096</v>
      </c>
      <c r="P14455">
        <v>0</v>
      </c>
      <c r="Q14455">
        <v>4</v>
      </c>
      <c r="R14455" t="s">
        <v>45119</v>
      </c>
      <c r="S14455" t="s">
        <v>46078</v>
      </c>
      <c r="T14455" t="s">
        <v>46922</v>
      </c>
      <c r="U14455" t="s">
        <v>59134</v>
      </c>
      <c r="V14455" t="s">
        <v>61429</v>
      </c>
      <c r="W14455" t="s">
        <v>41845</v>
      </c>
      <c r="X14455" t="s">
        <v>45122</v>
      </c>
    </row>
    <row r="14456" spans="1:24">
      <c r="A14456">
        <f>HYPERLINK("https://www.philgeps.gov.ph/GEPSNONPILOT/Tender/SplashBidNoticeAbstractUI.aspx?menuIndex=3&amp;refID=7009155&amp;Result=3","7009155")</f>
        <v>0</v>
      </c>
      <c r="B14456" t="s">
        <v>3125</v>
      </c>
      <c r="C14456" t="s">
        <v>17037</v>
      </c>
      <c r="E14456" t="s">
        <v>30663</v>
      </c>
      <c r="F14456" t="s">
        <v>31574</v>
      </c>
      <c r="G14456" t="s">
        <v>31582</v>
      </c>
      <c r="H14456" t="s">
        <v>31591</v>
      </c>
      <c r="I14456" t="s">
        <v>8822</v>
      </c>
      <c r="J14456" t="s">
        <v>40588</v>
      </c>
      <c r="K14456" t="s">
        <v>41184</v>
      </c>
      <c r="M14456" t="s">
        <v>44974</v>
      </c>
      <c r="N14456" t="s">
        <v>45095</v>
      </c>
      <c r="O14456" t="s">
        <v>45096</v>
      </c>
      <c r="Q14456">
        <v>0</v>
      </c>
      <c r="R14456" t="s">
        <v>45119</v>
      </c>
      <c r="S14456" t="s">
        <v>46092</v>
      </c>
      <c r="T14456" t="s">
        <v>47124</v>
      </c>
      <c r="U14456" t="s">
        <v>59135</v>
      </c>
      <c r="W14456" t="s">
        <v>44974</v>
      </c>
      <c r="X14456" t="s">
        <v>45121</v>
      </c>
    </row>
    <row r="14457" spans="1:24">
      <c r="A14457">
        <f>HYPERLINK("https://www.philgeps.gov.ph/GEPSNONPILOT/Tender/SplashBidNoticeAbstractUI.aspx?menuIndex=3&amp;refID=7009149&amp;Result=3","7009149")</f>
        <v>0</v>
      </c>
      <c r="B14457" t="s">
        <v>3125</v>
      </c>
      <c r="C14457" t="s">
        <v>17038</v>
      </c>
      <c r="E14457" t="s">
        <v>30664</v>
      </c>
      <c r="F14457" t="s">
        <v>31574</v>
      </c>
      <c r="G14457" t="s">
        <v>31582</v>
      </c>
      <c r="H14457" t="s">
        <v>31591</v>
      </c>
      <c r="I14457" t="s">
        <v>8822</v>
      </c>
      <c r="J14457" t="s">
        <v>40589</v>
      </c>
      <c r="K14457" t="s">
        <v>41184</v>
      </c>
      <c r="M14457" t="s">
        <v>44974</v>
      </c>
      <c r="N14457" t="s">
        <v>45095</v>
      </c>
      <c r="O14457" t="s">
        <v>45096</v>
      </c>
      <c r="Q14457">
        <v>0</v>
      </c>
      <c r="R14457" t="s">
        <v>45119</v>
      </c>
      <c r="S14457" t="s">
        <v>46093</v>
      </c>
      <c r="T14457" t="s">
        <v>47124</v>
      </c>
      <c r="U14457" t="s">
        <v>59136</v>
      </c>
      <c r="W14457" t="s">
        <v>44974</v>
      </c>
      <c r="X14457" t="s">
        <v>45121</v>
      </c>
    </row>
    <row r="14458" spans="1:24">
      <c r="A14458">
        <f>HYPERLINK("https://www.philgeps.gov.ph/GEPSNONPILOT/Tender/SplashBidNoticeAbstractUI.aspx?menuIndex=3&amp;refID=7006324&amp;Result=3","7006324")</f>
        <v>0</v>
      </c>
      <c r="B14458" t="s">
        <v>3035</v>
      </c>
      <c r="C14458" t="s">
        <v>17039</v>
      </c>
      <c r="D14458" t="s">
        <v>18045</v>
      </c>
      <c r="E14458" t="s">
        <v>30665</v>
      </c>
      <c r="F14458" t="s">
        <v>31574</v>
      </c>
      <c r="G14458" t="s">
        <v>31582</v>
      </c>
      <c r="H14458" t="s">
        <v>31591</v>
      </c>
      <c r="I14458" t="s">
        <v>8822</v>
      </c>
      <c r="J14458" t="s">
        <v>31771</v>
      </c>
      <c r="K14458" t="s">
        <v>41200</v>
      </c>
      <c r="M14458" t="s">
        <v>44868</v>
      </c>
      <c r="N14458" t="s">
        <v>45095</v>
      </c>
      <c r="O14458" t="s">
        <v>45096</v>
      </c>
      <c r="Q14458">
        <v>1</v>
      </c>
      <c r="R14458" t="s">
        <v>45120</v>
      </c>
      <c r="S14458" t="s">
        <v>46094</v>
      </c>
      <c r="T14458" t="s">
        <v>47159</v>
      </c>
      <c r="U14458" t="s">
        <v>59137</v>
      </c>
      <c r="V14458" t="s">
        <v>61461</v>
      </c>
      <c r="W14458" t="s">
        <v>44868</v>
      </c>
      <c r="X14458" t="s">
        <v>45123</v>
      </c>
    </row>
    <row r="14459" spans="1:24">
      <c r="A14459">
        <f>HYPERLINK("https://www.philgeps.gov.ph/GEPSNONPILOT/Tender/SplashBidNoticeAbstractUI.aspx?menuIndex=3&amp;refID=7009150&amp;Result=3","7009150")</f>
        <v>0</v>
      </c>
      <c r="B14459" t="s">
        <v>3125</v>
      </c>
      <c r="C14459" t="s">
        <v>17040</v>
      </c>
      <c r="E14459" t="s">
        <v>30666</v>
      </c>
      <c r="F14459" t="s">
        <v>31574</v>
      </c>
      <c r="G14459" t="s">
        <v>31582</v>
      </c>
      <c r="H14459" t="s">
        <v>31591</v>
      </c>
      <c r="I14459" t="s">
        <v>8822</v>
      </c>
      <c r="J14459" t="s">
        <v>40590</v>
      </c>
      <c r="K14459" t="s">
        <v>41184</v>
      </c>
      <c r="M14459" t="s">
        <v>44974</v>
      </c>
      <c r="N14459" t="s">
        <v>45095</v>
      </c>
      <c r="O14459" t="s">
        <v>45096</v>
      </c>
      <c r="Q14459">
        <v>0</v>
      </c>
      <c r="R14459" t="s">
        <v>45119</v>
      </c>
      <c r="S14459" t="s">
        <v>46095</v>
      </c>
      <c r="T14459" t="s">
        <v>47124</v>
      </c>
      <c r="U14459" t="s">
        <v>59138</v>
      </c>
      <c r="W14459" t="s">
        <v>44974</v>
      </c>
      <c r="X14459" t="s">
        <v>45121</v>
      </c>
    </row>
    <row r="14460" spans="1:24">
      <c r="A14460">
        <f>HYPERLINK("https://www.philgeps.gov.ph/GEPSNONPILOT/Tender/SplashBidNoticeAbstractUI.aspx?menuIndex=3&amp;refID=7009158&amp;Result=3","7009158")</f>
        <v>0</v>
      </c>
      <c r="B14460" t="s">
        <v>3125</v>
      </c>
      <c r="C14460" t="s">
        <v>3993</v>
      </c>
      <c r="E14460" t="s">
        <v>30667</v>
      </c>
      <c r="F14460" t="s">
        <v>31574</v>
      </c>
      <c r="G14460" t="s">
        <v>31582</v>
      </c>
      <c r="H14460" t="s">
        <v>31590</v>
      </c>
      <c r="I14460" t="s">
        <v>5717</v>
      </c>
      <c r="J14460" t="s">
        <v>40591</v>
      </c>
      <c r="K14460" t="s">
        <v>41184</v>
      </c>
      <c r="M14460" t="s">
        <v>44974</v>
      </c>
      <c r="N14460" t="s">
        <v>45095</v>
      </c>
      <c r="O14460" t="s">
        <v>45096</v>
      </c>
      <c r="Q14460">
        <v>5</v>
      </c>
      <c r="R14460" t="s">
        <v>45119</v>
      </c>
      <c r="S14460" t="s">
        <v>46096</v>
      </c>
      <c r="T14460" t="s">
        <v>47124</v>
      </c>
      <c r="U14460" t="s">
        <v>59139</v>
      </c>
      <c r="W14460" t="s">
        <v>44974</v>
      </c>
      <c r="X14460" t="s">
        <v>45121</v>
      </c>
    </row>
    <row r="14461" spans="1:24">
      <c r="A14461">
        <f>HYPERLINK("https://www.philgeps.gov.ph/GEPSNONPILOT/Tender/SplashBidNoticeAbstractUI.aspx?menuIndex=3&amp;refID=7009152&amp;Result=3","7009152")</f>
        <v>0</v>
      </c>
      <c r="B14461" t="s">
        <v>3125</v>
      </c>
      <c r="C14461" t="s">
        <v>17041</v>
      </c>
      <c r="E14461" t="s">
        <v>30668</v>
      </c>
      <c r="F14461" t="s">
        <v>31574</v>
      </c>
      <c r="G14461" t="s">
        <v>31582</v>
      </c>
      <c r="H14461" t="s">
        <v>31591</v>
      </c>
      <c r="I14461" t="s">
        <v>8822</v>
      </c>
      <c r="J14461" t="s">
        <v>40592</v>
      </c>
      <c r="K14461" t="s">
        <v>41184</v>
      </c>
      <c r="M14461" t="s">
        <v>44974</v>
      </c>
      <c r="N14461" t="s">
        <v>45095</v>
      </c>
      <c r="O14461" t="s">
        <v>45096</v>
      </c>
      <c r="Q14461">
        <v>0</v>
      </c>
      <c r="R14461" t="s">
        <v>45119</v>
      </c>
      <c r="S14461" t="s">
        <v>46097</v>
      </c>
      <c r="T14461" t="s">
        <v>47124</v>
      </c>
      <c r="U14461" t="s">
        <v>59140</v>
      </c>
      <c r="W14461" t="s">
        <v>44974</v>
      </c>
      <c r="X14461" t="s">
        <v>45121</v>
      </c>
    </row>
    <row r="14462" spans="1:24">
      <c r="A14462">
        <f>HYPERLINK("https://www.philgeps.gov.ph/GEPSNONPILOT/Tender/SplashBidNoticeAbstractUI.aspx?menuIndex=3&amp;refID=7008282&amp;Result=3","7008282")</f>
        <v>0</v>
      </c>
      <c r="B14462" t="s">
        <v>262</v>
      </c>
      <c r="C14462" t="s">
        <v>17042</v>
      </c>
      <c r="D14462" t="s">
        <v>18074</v>
      </c>
      <c r="E14462" t="s">
        <v>30669</v>
      </c>
      <c r="F14462" t="s">
        <v>31574</v>
      </c>
      <c r="G14462" t="s">
        <v>31582</v>
      </c>
      <c r="H14462" t="s">
        <v>31591</v>
      </c>
      <c r="I14462" t="s">
        <v>8822</v>
      </c>
      <c r="J14462" t="s">
        <v>40593</v>
      </c>
      <c r="K14462" t="s">
        <v>41427</v>
      </c>
      <c r="M14462" t="s">
        <v>41748</v>
      </c>
      <c r="N14462" t="s">
        <v>45095</v>
      </c>
      <c r="O14462" t="s">
        <v>45096</v>
      </c>
      <c r="P14462">
        <v>0</v>
      </c>
      <c r="Q14462">
        <v>1</v>
      </c>
      <c r="R14462" t="s">
        <v>45119</v>
      </c>
      <c r="S14462" t="s">
        <v>46078</v>
      </c>
      <c r="T14462" t="s">
        <v>47193</v>
      </c>
      <c r="U14462" t="s">
        <v>59141</v>
      </c>
      <c r="W14462" t="s">
        <v>61745</v>
      </c>
      <c r="X14462" t="s">
        <v>45122</v>
      </c>
    </row>
    <row r="14463" spans="1:24">
      <c r="A14463">
        <f>HYPERLINK("https://www.philgeps.gov.ph/GEPSNONPILOT/Tender/SplashBidNoticeAbstractUI.aspx?menuIndex=3&amp;refID=7006250&amp;Result=3","7006250")</f>
        <v>0</v>
      </c>
      <c r="B14463" t="s">
        <v>29</v>
      </c>
      <c r="C14463" t="s">
        <v>17043</v>
      </c>
      <c r="D14463" t="s">
        <v>18026</v>
      </c>
      <c r="E14463" t="s">
        <v>25889</v>
      </c>
      <c r="F14463" t="s">
        <v>31574</v>
      </c>
      <c r="G14463" t="s">
        <v>31582</v>
      </c>
      <c r="H14463" t="s">
        <v>31590</v>
      </c>
      <c r="I14463" t="s">
        <v>4046</v>
      </c>
      <c r="J14463" t="s">
        <v>40594</v>
      </c>
      <c r="K14463" t="s">
        <v>41196</v>
      </c>
      <c r="M14463" t="s">
        <v>41511</v>
      </c>
      <c r="N14463" t="s">
        <v>45095</v>
      </c>
      <c r="O14463" t="s">
        <v>45096</v>
      </c>
      <c r="Q14463">
        <v>3</v>
      </c>
      <c r="R14463" t="s">
        <v>45120</v>
      </c>
      <c r="S14463" t="s">
        <v>46098</v>
      </c>
      <c r="T14463" t="s">
        <v>47164</v>
      </c>
      <c r="U14463" t="s">
        <v>59142</v>
      </c>
      <c r="W14463" t="s">
        <v>41511</v>
      </c>
      <c r="X14463" t="s">
        <v>45123</v>
      </c>
    </row>
    <row r="14464" spans="1:24">
      <c r="A14464">
        <f>HYPERLINK("https://www.philgeps.gov.ph/GEPSNONPILOT/Tender/SplashBidNoticeAbstractUI.aspx?menuIndex=3&amp;refID=7009297&amp;Result=3","7009297")</f>
        <v>0</v>
      </c>
      <c r="B14464" t="s">
        <v>3127</v>
      </c>
      <c r="C14464" t="s">
        <v>17044</v>
      </c>
      <c r="D14464" t="s">
        <v>18086</v>
      </c>
      <c r="E14464" t="s">
        <v>30670</v>
      </c>
      <c r="F14464" t="s">
        <v>31574</v>
      </c>
      <c r="G14464" t="s">
        <v>31582</v>
      </c>
      <c r="H14464" t="s">
        <v>31590</v>
      </c>
      <c r="I14464" t="s">
        <v>31594</v>
      </c>
      <c r="J14464" t="s">
        <v>40595</v>
      </c>
      <c r="K14464" t="s">
        <v>41186</v>
      </c>
      <c r="M14464" t="s">
        <v>44976</v>
      </c>
      <c r="N14464" t="s">
        <v>45095</v>
      </c>
      <c r="O14464" t="s">
        <v>45096</v>
      </c>
      <c r="Q14464">
        <v>27</v>
      </c>
      <c r="R14464" t="s">
        <v>45119</v>
      </c>
      <c r="S14464" t="s">
        <v>46099</v>
      </c>
      <c r="T14464" t="s">
        <v>47154</v>
      </c>
      <c r="U14464" t="s">
        <v>59143</v>
      </c>
      <c r="W14464" t="s">
        <v>44976</v>
      </c>
      <c r="X14464" t="s">
        <v>45121</v>
      </c>
    </row>
    <row r="14465" spans="1:24">
      <c r="A14465">
        <f>HYPERLINK("https://www.philgeps.gov.ph/GEPSNONPILOT/Tender/SplashBidNoticeAbstractUI.aspx?menuIndex=3&amp;refID=7008774&amp;Result=3","7008774")</f>
        <v>0</v>
      </c>
      <c r="B14465" t="s">
        <v>3128</v>
      </c>
      <c r="C14465" t="s">
        <v>17045</v>
      </c>
      <c r="D14465" t="s">
        <v>18058</v>
      </c>
      <c r="E14465" t="s">
        <v>30671</v>
      </c>
      <c r="F14465" t="s">
        <v>31574</v>
      </c>
      <c r="G14465" t="s">
        <v>31585</v>
      </c>
      <c r="H14465" t="s">
        <v>31591</v>
      </c>
      <c r="I14465" t="s">
        <v>8822</v>
      </c>
      <c r="J14465" t="s">
        <v>40596</v>
      </c>
      <c r="K14465" t="s">
        <v>41256</v>
      </c>
      <c r="M14465" t="s">
        <v>44977</v>
      </c>
      <c r="N14465" t="s">
        <v>45095</v>
      </c>
      <c r="O14465" t="s">
        <v>45096</v>
      </c>
      <c r="Q14465">
        <v>1</v>
      </c>
      <c r="R14465" t="s">
        <v>45121</v>
      </c>
      <c r="S14465" t="s">
        <v>46100</v>
      </c>
      <c r="T14465" t="s">
        <v>46952</v>
      </c>
      <c r="U14465" t="s">
        <v>59144</v>
      </c>
      <c r="W14465" t="s">
        <v>44977</v>
      </c>
      <c r="X14465" t="s">
        <v>45120</v>
      </c>
    </row>
    <row r="14466" spans="1:24">
      <c r="A14466">
        <f>HYPERLINK("https://www.philgeps.gov.ph/GEPSNONPILOT/Tender/SplashBidNoticeAbstractUI.aspx?menuIndex=3&amp;refID=7009222&amp;Result=3","7009222")</f>
        <v>0</v>
      </c>
      <c r="B14466" t="s">
        <v>2674</v>
      </c>
      <c r="C14466" t="s">
        <v>17046</v>
      </c>
      <c r="D14466" t="s">
        <v>18079</v>
      </c>
      <c r="E14466" t="s">
        <v>30672</v>
      </c>
      <c r="F14466" t="s">
        <v>31574</v>
      </c>
      <c r="G14466" t="s">
        <v>31582</v>
      </c>
      <c r="H14466" t="s">
        <v>31591</v>
      </c>
      <c r="I14466" t="s">
        <v>31663</v>
      </c>
      <c r="J14466" t="s">
        <v>40597</v>
      </c>
      <c r="K14466" t="s">
        <v>41407</v>
      </c>
      <c r="M14466" t="s">
        <v>44437</v>
      </c>
      <c r="N14466" t="s">
        <v>45095</v>
      </c>
      <c r="O14466" t="s">
        <v>45096</v>
      </c>
      <c r="P14466">
        <v>0</v>
      </c>
      <c r="Q14466">
        <v>4</v>
      </c>
      <c r="R14466" t="s">
        <v>45119</v>
      </c>
      <c r="S14466" t="s">
        <v>46078</v>
      </c>
      <c r="T14466" t="s">
        <v>47154</v>
      </c>
      <c r="U14466" t="s">
        <v>59145</v>
      </c>
      <c r="W14466" t="s">
        <v>44437</v>
      </c>
      <c r="X14466" t="s">
        <v>45121</v>
      </c>
    </row>
    <row r="14467" spans="1:24">
      <c r="A14467">
        <f>HYPERLINK("https://www.philgeps.gov.ph/GEPSNONPILOT/Tender/SplashBidNoticeAbstractUI.aspx?menuIndex=3&amp;refID=7004374&amp;Result=3","7004374")</f>
        <v>0</v>
      </c>
      <c r="B14467" t="s">
        <v>3128</v>
      </c>
      <c r="C14467" t="s">
        <v>17047</v>
      </c>
      <c r="D14467" t="s">
        <v>18058</v>
      </c>
      <c r="E14467" t="s">
        <v>30673</v>
      </c>
      <c r="F14467" t="s">
        <v>31574</v>
      </c>
      <c r="G14467" t="s">
        <v>31585</v>
      </c>
      <c r="H14467" t="s">
        <v>31591</v>
      </c>
      <c r="I14467" t="s">
        <v>8822</v>
      </c>
      <c r="J14467" t="s">
        <v>40598</v>
      </c>
      <c r="K14467" t="s">
        <v>41235</v>
      </c>
      <c r="M14467" t="s">
        <v>44977</v>
      </c>
      <c r="N14467" t="s">
        <v>45095</v>
      </c>
      <c r="O14467" t="s">
        <v>45096</v>
      </c>
      <c r="Q14467">
        <v>2</v>
      </c>
      <c r="R14467" t="s">
        <v>45120</v>
      </c>
      <c r="S14467" t="s">
        <v>46101</v>
      </c>
      <c r="T14467" t="s">
        <v>46952</v>
      </c>
      <c r="U14467" t="s">
        <v>59146</v>
      </c>
      <c r="W14467" t="s">
        <v>44977</v>
      </c>
      <c r="X14467" t="s">
        <v>45124</v>
      </c>
    </row>
    <row r="14468" spans="1:24">
      <c r="A14468">
        <f>HYPERLINK("https://www.philgeps.gov.ph/GEPSNONPILOT/Tender/SplashBidNoticeAbstractUI.aspx?menuIndex=3&amp;refID=7007045&amp;Result=3","7007045")</f>
        <v>0</v>
      </c>
      <c r="B14468" t="s">
        <v>335</v>
      </c>
      <c r="C14468" t="s">
        <v>17048</v>
      </c>
      <c r="D14468" t="s">
        <v>18079</v>
      </c>
      <c r="E14468" t="s">
        <v>30674</v>
      </c>
      <c r="F14468" t="s">
        <v>31574</v>
      </c>
      <c r="G14468" t="s">
        <v>31582</v>
      </c>
      <c r="H14468" t="s">
        <v>31590</v>
      </c>
      <c r="I14468" t="s">
        <v>5717</v>
      </c>
      <c r="J14468" t="s">
        <v>40599</v>
      </c>
      <c r="K14468" t="s">
        <v>41196</v>
      </c>
      <c r="M14468" t="s">
        <v>43429</v>
      </c>
      <c r="N14468" t="s">
        <v>45095</v>
      </c>
      <c r="O14468" t="s">
        <v>45096</v>
      </c>
      <c r="P14468">
        <v>0</v>
      </c>
      <c r="Q14468">
        <v>6</v>
      </c>
      <c r="R14468" t="s">
        <v>45120</v>
      </c>
      <c r="S14468" t="s">
        <v>46102</v>
      </c>
      <c r="T14468" t="s">
        <v>47164</v>
      </c>
      <c r="U14468" t="s">
        <v>59147</v>
      </c>
      <c r="W14468" t="s">
        <v>43429</v>
      </c>
      <c r="X14468" t="s">
        <v>45122</v>
      </c>
    </row>
    <row r="14469" spans="1:24">
      <c r="A14469">
        <f>HYPERLINK("https://www.philgeps.gov.ph/GEPSNONPILOT/Tender/SplashBidNoticeAbstractUI.aspx?menuIndex=3&amp;refID=7009228&amp;Result=3","7009228")</f>
        <v>0</v>
      </c>
      <c r="B14469" t="s">
        <v>854</v>
      </c>
      <c r="C14469" t="s">
        <v>17049</v>
      </c>
      <c r="E14469" t="s">
        <v>30675</v>
      </c>
      <c r="F14469" t="s">
        <v>31574</v>
      </c>
      <c r="G14469" t="s">
        <v>31582</v>
      </c>
      <c r="H14469" t="s">
        <v>31593</v>
      </c>
      <c r="I14469" t="s">
        <v>31593</v>
      </c>
      <c r="J14469" t="s">
        <v>35053</v>
      </c>
      <c r="K14469" t="s">
        <v>41184</v>
      </c>
      <c r="M14469" t="s">
        <v>44978</v>
      </c>
      <c r="N14469" t="s">
        <v>45095</v>
      </c>
      <c r="O14469" t="s">
        <v>45096</v>
      </c>
      <c r="Q14469">
        <v>8</v>
      </c>
      <c r="R14469" t="s">
        <v>45119</v>
      </c>
      <c r="S14469" t="s">
        <v>46103</v>
      </c>
      <c r="T14469" t="s">
        <v>47437</v>
      </c>
      <c r="U14469" t="s">
        <v>59148</v>
      </c>
      <c r="W14469" t="s">
        <v>61776</v>
      </c>
      <c r="X14469" t="s">
        <v>45121</v>
      </c>
    </row>
    <row r="14470" spans="1:24">
      <c r="A14470">
        <f>HYPERLINK("https://www.philgeps.gov.ph/GEPSNONPILOT/Tender/SplashBidNoticeAbstractUI.aspx?menuIndex=3&amp;refID=7009161&amp;Result=3","7009161")</f>
        <v>0</v>
      </c>
      <c r="B14470" t="s">
        <v>3125</v>
      </c>
      <c r="C14470" t="s">
        <v>17050</v>
      </c>
      <c r="E14470" t="s">
        <v>30676</v>
      </c>
      <c r="F14470" t="s">
        <v>31574</v>
      </c>
      <c r="G14470" t="s">
        <v>31582</v>
      </c>
      <c r="H14470" t="s">
        <v>31590</v>
      </c>
      <c r="I14470" t="s">
        <v>5717</v>
      </c>
      <c r="J14470" t="s">
        <v>40600</v>
      </c>
      <c r="K14470" t="s">
        <v>41184</v>
      </c>
      <c r="M14470" t="s">
        <v>44974</v>
      </c>
      <c r="N14470" t="s">
        <v>45095</v>
      </c>
      <c r="O14470" t="s">
        <v>45096</v>
      </c>
      <c r="Q14470">
        <v>6</v>
      </c>
      <c r="R14470" t="s">
        <v>45119</v>
      </c>
      <c r="S14470" t="s">
        <v>46104</v>
      </c>
      <c r="T14470" t="s">
        <v>47124</v>
      </c>
      <c r="U14470" t="s">
        <v>59149</v>
      </c>
      <c r="W14470" t="s">
        <v>44974</v>
      </c>
      <c r="X14470" t="s">
        <v>45121</v>
      </c>
    </row>
    <row r="14471" spans="1:24">
      <c r="A14471">
        <f>HYPERLINK("https://www.philgeps.gov.ph/GEPSNONPILOT/Tender/SplashBidNoticeAbstractUI.aspx?menuIndex=3&amp;refID=7007238&amp;Result=3","7007238")</f>
        <v>0</v>
      </c>
      <c r="B14471" t="s">
        <v>2248</v>
      </c>
      <c r="C14471" t="s">
        <v>17051</v>
      </c>
      <c r="D14471" t="s">
        <v>18078</v>
      </c>
      <c r="E14471" t="s">
        <v>30677</v>
      </c>
      <c r="F14471" t="s">
        <v>31574</v>
      </c>
      <c r="G14471" t="s">
        <v>31582</v>
      </c>
      <c r="H14471" t="s">
        <v>31591</v>
      </c>
      <c r="I14471" t="s">
        <v>8822</v>
      </c>
      <c r="J14471" t="s">
        <v>40601</v>
      </c>
      <c r="K14471" t="s">
        <v>41201</v>
      </c>
      <c r="M14471" t="s">
        <v>43946</v>
      </c>
      <c r="N14471" t="s">
        <v>45095</v>
      </c>
      <c r="O14471" t="s">
        <v>45096</v>
      </c>
      <c r="P14471">
        <v>0</v>
      </c>
      <c r="Q14471">
        <v>0</v>
      </c>
      <c r="R14471" t="s">
        <v>45121</v>
      </c>
      <c r="S14471" t="s">
        <v>46105</v>
      </c>
      <c r="T14471" t="s">
        <v>46918</v>
      </c>
      <c r="U14471" t="s">
        <v>59150</v>
      </c>
      <c r="W14471" t="s">
        <v>43946</v>
      </c>
      <c r="X14471" t="s">
        <v>45122</v>
      </c>
    </row>
    <row r="14472" spans="1:24">
      <c r="A14472">
        <f>HYPERLINK("https://www.philgeps.gov.ph/GEPSNONPILOT/Tender/SplashBidNoticeAbstractUI.aspx?menuIndex=3&amp;refID=7006390&amp;Result=3","7006390")</f>
        <v>0</v>
      </c>
      <c r="B14472" t="s">
        <v>3035</v>
      </c>
      <c r="C14472" t="s">
        <v>17052</v>
      </c>
      <c r="D14472" t="s">
        <v>18045</v>
      </c>
      <c r="E14472" t="s">
        <v>30678</v>
      </c>
      <c r="F14472" t="s">
        <v>31574</v>
      </c>
      <c r="G14472" t="s">
        <v>31582</v>
      </c>
      <c r="H14472" t="s">
        <v>31591</v>
      </c>
      <c r="I14472" t="s">
        <v>8822</v>
      </c>
      <c r="J14472" t="s">
        <v>31935</v>
      </c>
      <c r="K14472" t="s">
        <v>41200</v>
      </c>
      <c r="M14472" t="s">
        <v>44868</v>
      </c>
      <c r="N14472" t="s">
        <v>45095</v>
      </c>
      <c r="O14472" t="s">
        <v>45096</v>
      </c>
      <c r="Q14472">
        <v>1</v>
      </c>
      <c r="R14472" t="s">
        <v>45120</v>
      </c>
      <c r="S14472" t="s">
        <v>46106</v>
      </c>
      <c r="T14472" t="s">
        <v>47159</v>
      </c>
      <c r="U14472" t="s">
        <v>59151</v>
      </c>
      <c r="V14472" t="s">
        <v>61462</v>
      </c>
      <c r="W14472" t="s">
        <v>44868</v>
      </c>
      <c r="X14472" t="s">
        <v>45123</v>
      </c>
    </row>
    <row r="14473" spans="1:24">
      <c r="A14473">
        <f>HYPERLINK("https://www.philgeps.gov.ph/GEPSNONPILOT/Tender/SplashBidNoticeAbstractUI.aspx?menuIndex=3&amp;refID=7006372&amp;Result=3","7006372")</f>
        <v>0</v>
      </c>
      <c r="B14473" t="s">
        <v>3035</v>
      </c>
      <c r="C14473" t="s">
        <v>17053</v>
      </c>
      <c r="D14473" t="s">
        <v>18045</v>
      </c>
      <c r="E14473" t="s">
        <v>30679</v>
      </c>
      <c r="F14473" t="s">
        <v>31574</v>
      </c>
      <c r="G14473" t="s">
        <v>31582</v>
      </c>
      <c r="H14473" t="s">
        <v>31591</v>
      </c>
      <c r="I14473" t="s">
        <v>8822</v>
      </c>
      <c r="J14473" t="s">
        <v>32026</v>
      </c>
      <c r="K14473" t="s">
        <v>41200</v>
      </c>
      <c r="M14473" t="s">
        <v>44868</v>
      </c>
      <c r="N14473" t="s">
        <v>45095</v>
      </c>
      <c r="O14473" t="s">
        <v>45096</v>
      </c>
      <c r="Q14473">
        <v>0</v>
      </c>
      <c r="R14473" t="s">
        <v>45120</v>
      </c>
      <c r="S14473" t="s">
        <v>46107</v>
      </c>
      <c r="T14473" t="s">
        <v>47159</v>
      </c>
      <c r="U14473" t="s">
        <v>59152</v>
      </c>
      <c r="V14473" t="s">
        <v>61463</v>
      </c>
      <c r="W14473" t="s">
        <v>44868</v>
      </c>
      <c r="X14473" t="s">
        <v>45123</v>
      </c>
    </row>
    <row r="14474" spans="1:24">
      <c r="A14474">
        <f>HYPERLINK("https://www.philgeps.gov.ph/GEPSNONPILOT/Tender/SplashBidNoticeAbstractUI.aspx?menuIndex=3&amp;refID=7006405&amp;Result=3","7006405")</f>
        <v>0</v>
      </c>
      <c r="B14474" t="s">
        <v>3035</v>
      </c>
      <c r="C14474" t="s">
        <v>17054</v>
      </c>
      <c r="D14474" t="s">
        <v>18045</v>
      </c>
      <c r="E14474" t="s">
        <v>30680</v>
      </c>
      <c r="F14474" t="s">
        <v>31574</v>
      </c>
      <c r="G14474" t="s">
        <v>31582</v>
      </c>
      <c r="H14474" t="s">
        <v>31591</v>
      </c>
      <c r="I14474" t="s">
        <v>8822</v>
      </c>
      <c r="J14474" t="s">
        <v>32026</v>
      </c>
      <c r="K14474" t="s">
        <v>41200</v>
      </c>
      <c r="M14474" t="s">
        <v>44868</v>
      </c>
      <c r="N14474" t="s">
        <v>45095</v>
      </c>
      <c r="O14474" t="s">
        <v>45096</v>
      </c>
      <c r="Q14474">
        <v>0</v>
      </c>
      <c r="R14474" t="s">
        <v>45120</v>
      </c>
      <c r="S14474" t="s">
        <v>46108</v>
      </c>
      <c r="T14474" t="s">
        <v>47159</v>
      </c>
      <c r="U14474" t="s">
        <v>59153</v>
      </c>
      <c r="V14474" t="s">
        <v>61464</v>
      </c>
      <c r="W14474" t="s">
        <v>44868</v>
      </c>
      <c r="X14474" t="s">
        <v>45123</v>
      </c>
    </row>
    <row r="14475" spans="1:24">
      <c r="A14475">
        <f>HYPERLINK("https://www.philgeps.gov.ph/GEPSNONPILOT/Tender/SplashBidNoticeAbstractUI.aspx?menuIndex=3&amp;refID=7007066&amp;Result=3","7007066")</f>
        <v>0</v>
      </c>
      <c r="B14475" t="s">
        <v>1813</v>
      </c>
      <c r="C14475" t="s">
        <v>17055</v>
      </c>
      <c r="D14475" t="s">
        <v>18034</v>
      </c>
      <c r="E14475" t="s">
        <v>30681</v>
      </c>
      <c r="F14475" t="s">
        <v>31574</v>
      </c>
      <c r="G14475" t="s">
        <v>31582</v>
      </c>
      <c r="H14475" t="s">
        <v>31591</v>
      </c>
      <c r="I14475" t="s">
        <v>8822</v>
      </c>
      <c r="J14475" t="s">
        <v>31935</v>
      </c>
      <c r="K14475" t="s">
        <v>41203</v>
      </c>
      <c r="M14475" t="s">
        <v>43447</v>
      </c>
      <c r="N14475" t="s">
        <v>45095</v>
      </c>
      <c r="O14475" t="s">
        <v>45096</v>
      </c>
      <c r="P14475">
        <v>0</v>
      </c>
      <c r="Q14475">
        <v>1</v>
      </c>
      <c r="R14475" t="s">
        <v>45120</v>
      </c>
      <c r="S14475" t="s">
        <v>46102</v>
      </c>
      <c r="T14475" t="s">
        <v>47193</v>
      </c>
      <c r="U14475" t="s">
        <v>52163</v>
      </c>
      <c r="W14475" t="s">
        <v>43447</v>
      </c>
      <c r="X14475" t="s">
        <v>45122</v>
      </c>
    </row>
    <row r="14476" spans="1:24">
      <c r="A14476">
        <f>HYPERLINK("https://www.philgeps.gov.ph/GEPSNONPILOT/Tender/SplashBidNoticeAbstractUI.aspx?menuIndex=3&amp;refID=7006361&amp;Result=3","7006361")</f>
        <v>0</v>
      </c>
      <c r="B14476" t="s">
        <v>3035</v>
      </c>
      <c r="C14476" t="s">
        <v>17056</v>
      </c>
      <c r="D14476" t="s">
        <v>18045</v>
      </c>
      <c r="E14476" t="s">
        <v>30682</v>
      </c>
      <c r="F14476" t="s">
        <v>31574</v>
      </c>
      <c r="G14476" t="s">
        <v>31582</v>
      </c>
      <c r="H14476" t="s">
        <v>31591</v>
      </c>
      <c r="I14476" t="s">
        <v>8822</v>
      </c>
      <c r="J14476" t="s">
        <v>32026</v>
      </c>
      <c r="K14476" t="s">
        <v>41200</v>
      </c>
      <c r="M14476" t="s">
        <v>44868</v>
      </c>
      <c r="N14476" t="s">
        <v>45095</v>
      </c>
      <c r="O14476" t="s">
        <v>45096</v>
      </c>
      <c r="Q14476">
        <v>0</v>
      </c>
      <c r="R14476" t="s">
        <v>45120</v>
      </c>
      <c r="S14476" t="s">
        <v>46109</v>
      </c>
      <c r="T14476" t="s">
        <v>47159</v>
      </c>
      <c r="U14476" t="s">
        <v>59154</v>
      </c>
      <c r="V14476" t="s">
        <v>61465</v>
      </c>
      <c r="W14476" t="s">
        <v>44868</v>
      </c>
      <c r="X14476" t="s">
        <v>45123</v>
      </c>
    </row>
    <row r="14477" spans="1:24">
      <c r="A14477">
        <f>HYPERLINK("https://www.philgeps.gov.ph/GEPSNONPILOT/Tender/SplashBidNoticeAbstractUI.aspx?menuIndex=3&amp;refID=7008990&amp;Result=3","7008990")</f>
        <v>0</v>
      </c>
      <c r="B14477" t="s">
        <v>3129</v>
      </c>
      <c r="C14477" t="s">
        <v>6391</v>
      </c>
      <c r="D14477" t="s">
        <v>18053</v>
      </c>
      <c r="E14477" t="s">
        <v>29548</v>
      </c>
      <c r="F14477" t="s">
        <v>31574</v>
      </c>
      <c r="G14477" t="s">
        <v>31582</v>
      </c>
      <c r="H14477" t="s">
        <v>31590</v>
      </c>
      <c r="I14477" t="s">
        <v>31614</v>
      </c>
      <c r="J14477" t="s">
        <v>31727</v>
      </c>
      <c r="K14477" t="s">
        <v>41193</v>
      </c>
      <c r="M14477" t="s">
        <v>44979</v>
      </c>
      <c r="N14477" t="s">
        <v>45095</v>
      </c>
      <c r="O14477" t="s">
        <v>45096</v>
      </c>
      <c r="P14477">
        <v>0</v>
      </c>
      <c r="Q14477">
        <v>2</v>
      </c>
      <c r="R14477" t="s">
        <v>45121</v>
      </c>
      <c r="S14477" t="s">
        <v>46105</v>
      </c>
      <c r="T14477" t="s">
        <v>46941</v>
      </c>
      <c r="U14477" t="s">
        <v>59155</v>
      </c>
      <c r="W14477" t="s">
        <v>44979</v>
      </c>
      <c r="X14477" t="s">
        <v>45120</v>
      </c>
    </row>
    <row r="14478" spans="1:24">
      <c r="A14478">
        <f>HYPERLINK("https://www.philgeps.gov.ph/GEPSNONPILOT/Tender/SplashBidNoticeAbstractUI.aspx?menuIndex=3&amp;refID=7006972&amp;Result=3","7006972")</f>
        <v>0</v>
      </c>
      <c r="B14478" t="s">
        <v>1352</v>
      </c>
      <c r="C14478" t="s">
        <v>17057</v>
      </c>
      <c r="D14478" t="s">
        <v>18076</v>
      </c>
      <c r="E14478" t="s">
        <v>30683</v>
      </c>
      <c r="F14478" t="s">
        <v>31574</v>
      </c>
      <c r="G14478" t="s">
        <v>31582</v>
      </c>
      <c r="H14478" t="s">
        <v>31591</v>
      </c>
      <c r="I14478" t="s">
        <v>8822</v>
      </c>
      <c r="J14478" t="s">
        <v>40602</v>
      </c>
      <c r="K14478" t="s">
        <v>41189</v>
      </c>
      <c r="M14478" t="s">
        <v>42924</v>
      </c>
      <c r="N14478" t="s">
        <v>45095</v>
      </c>
      <c r="O14478" t="s">
        <v>45096</v>
      </c>
      <c r="P14478">
        <v>0</v>
      </c>
      <c r="Q14478">
        <v>0</v>
      </c>
      <c r="R14478" t="s">
        <v>45120</v>
      </c>
      <c r="S14478" t="s">
        <v>46102</v>
      </c>
      <c r="T14478" t="s">
        <v>47076</v>
      </c>
      <c r="U14478" t="s">
        <v>59156</v>
      </c>
      <c r="W14478" t="s">
        <v>42924</v>
      </c>
      <c r="X14478" t="s">
        <v>45122</v>
      </c>
    </row>
    <row r="14479" spans="1:24">
      <c r="A14479">
        <f>HYPERLINK("https://www.philgeps.gov.ph/GEPSNONPILOT/Tender/SplashBidNoticeAbstractUI.aspx?menuIndex=3&amp;refID=7007111&amp;Result=3","7007111")</f>
        <v>0</v>
      </c>
      <c r="B14479" t="s">
        <v>1692</v>
      </c>
      <c r="C14479" t="s">
        <v>17058</v>
      </c>
      <c r="D14479" t="s">
        <v>18037</v>
      </c>
      <c r="E14479" t="s">
        <v>30684</v>
      </c>
      <c r="F14479" t="s">
        <v>31574</v>
      </c>
      <c r="G14479" t="s">
        <v>31582</v>
      </c>
      <c r="H14479" t="s">
        <v>31590</v>
      </c>
      <c r="I14479" t="s">
        <v>31615</v>
      </c>
      <c r="J14479" t="s">
        <v>34952</v>
      </c>
      <c r="K14479" t="s">
        <v>41185</v>
      </c>
      <c r="M14479" t="s">
        <v>43306</v>
      </c>
      <c r="N14479" t="s">
        <v>45095</v>
      </c>
      <c r="O14479" t="s">
        <v>45096</v>
      </c>
      <c r="Q14479">
        <v>9</v>
      </c>
      <c r="R14479" t="s">
        <v>45120</v>
      </c>
      <c r="S14479" t="s">
        <v>45802</v>
      </c>
      <c r="T14479" t="s">
        <v>47164</v>
      </c>
      <c r="U14479" t="s">
        <v>59157</v>
      </c>
      <c r="W14479" t="s">
        <v>43306</v>
      </c>
      <c r="X14479" t="s">
        <v>45122</v>
      </c>
    </row>
    <row r="14480" spans="1:24">
      <c r="A14480">
        <f>HYPERLINK("https://www.philgeps.gov.ph/GEPSNONPILOT/Tender/SplashBidNoticeAbstractUI.aspx?menuIndex=3&amp;refID=7006341&amp;Result=3","7006341")</f>
        <v>0</v>
      </c>
      <c r="B14480" t="s">
        <v>3035</v>
      </c>
      <c r="C14480" t="s">
        <v>17059</v>
      </c>
      <c r="D14480" t="s">
        <v>18045</v>
      </c>
      <c r="E14480" t="s">
        <v>30685</v>
      </c>
      <c r="F14480" t="s">
        <v>31574</v>
      </c>
      <c r="G14480" t="s">
        <v>31582</v>
      </c>
      <c r="H14480" t="s">
        <v>31591</v>
      </c>
      <c r="I14480" t="s">
        <v>8822</v>
      </c>
      <c r="J14480" t="s">
        <v>32026</v>
      </c>
      <c r="K14480" t="s">
        <v>41200</v>
      </c>
      <c r="M14480" t="s">
        <v>44868</v>
      </c>
      <c r="N14480" t="s">
        <v>45095</v>
      </c>
      <c r="O14480" t="s">
        <v>45096</v>
      </c>
      <c r="Q14480">
        <v>0</v>
      </c>
      <c r="R14480" t="s">
        <v>45120</v>
      </c>
      <c r="S14480" t="s">
        <v>46110</v>
      </c>
      <c r="T14480" t="s">
        <v>47159</v>
      </c>
      <c r="U14480" t="s">
        <v>59158</v>
      </c>
      <c r="V14480" t="s">
        <v>61466</v>
      </c>
      <c r="W14480" t="s">
        <v>44868</v>
      </c>
      <c r="X14480" t="s">
        <v>45123</v>
      </c>
    </row>
    <row r="14481" spans="1:24">
      <c r="A14481">
        <f>HYPERLINK("https://www.philgeps.gov.ph/GEPSNONPILOT/Tender/SplashBidNoticeAbstractUI.aspx?menuIndex=3&amp;refID=7007120&amp;Result=3","7007120")</f>
        <v>0</v>
      </c>
      <c r="B14481" t="s">
        <v>1813</v>
      </c>
      <c r="C14481" t="s">
        <v>17060</v>
      </c>
      <c r="D14481" t="s">
        <v>18034</v>
      </c>
      <c r="E14481" t="s">
        <v>30686</v>
      </c>
      <c r="F14481" t="s">
        <v>31574</v>
      </c>
      <c r="G14481" t="s">
        <v>31582</v>
      </c>
      <c r="H14481" t="s">
        <v>31591</v>
      </c>
      <c r="I14481" t="s">
        <v>8822</v>
      </c>
      <c r="J14481" t="s">
        <v>31935</v>
      </c>
      <c r="K14481" t="s">
        <v>41203</v>
      </c>
      <c r="M14481" t="s">
        <v>43447</v>
      </c>
      <c r="N14481" t="s">
        <v>45095</v>
      </c>
      <c r="O14481" t="s">
        <v>45096</v>
      </c>
      <c r="P14481">
        <v>0</v>
      </c>
      <c r="Q14481">
        <v>1</v>
      </c>
      <c r="R14481" t="s">
        <v>45120</v>
      </c>
      <c r="S14481" t="s">
        <v>46102</v>
      </c>
      <c r="T14481" t="s">
        <v>47193</v>
      </c>
      <c r="U14481" t="s">
        <v>52163</v>
      </c>
      <c r="W14481" t="s">
        <v>43447</v>
      </c>
      <c r="X14481" t="s">
        <v>45122</v>
      </c>
    </row>
    <row r="14482" spans="1:24">
      <c r="A14482">
        <f>HYPERLINK("https://www.philgeps.gov.ph/GEPSNONPILOT/Tender/SplashBidNoticeAbstractUI.aspx?menuIndex=3&amp;refID=7006989&amp;Result=3","7006989")</f>
        <v>0</v>
      </c>
      <c r="B14482" t="s">
        <v>1352</v>
      </c>
      <c r="C14482" t="s">
        <v>17061</v>
      </c>
      <c r="D14482" t="s">
        <v>18076</v>
      </c>
      <c r="E14482" t="s">
        <v>30687</v>
      </c>
      <c r="F14482" t="s">
        <v>31574</v>
      </c>
      <c r="G14482" t="s">
        <v>31582</v>
      </c>
      <c r="H14482" t="s">
        <v>31591</v>
      </c>
      <c r="I14482" t="s">
        <v>8822</v>
      </c>
      <c r="J14482" t="s">
        <v>40603</v>
      </c>
      <c r="K14482" t="s">
        <v>41409</v>
      </c>
      <c r="M14482" t="s">
        <v>42924</v>
      </c>
      <c r="N14482" t="s">
        <v>45095</v>
      </c>
      <c r="O14482" t="s">
        <v>45096</v>
      </c>
      <c r="P14482">
        <v>0</v>
      </c>
      <c r="Q14482">
        <v>0</v>
      </c>
      <c r="R14482" t="s">
        <v>45120</v>
      </c>
      <c r="S14482" t="s">
        <v>46102</v>
      </c>
      <c r="T14482" t="s">
        <v>47076</v>
      </c>
      <c r="U14482" t="s">
        <v>59159</v>
      </c>
      <c r="W14482" t="s">
        <v>42924</v>
      </c>
      <c r="X14482" t="s">
        <v>45122</v>
      </c>
    </row>
    <row r="14483" spans="1:24">
      <c r="A14483">
        <f>HYPERLINK("https://www.philgeps.gov.ph/GEPSNONPILOT/Tender/SplashBidNoticeAbstractUI.aspx?menuIndex=3&amp;refID=7006988&amp;Result=3","7006988")</f>
        <v>0</v>
      </c>
      <c r="B14483" t="s">
        <v>1813</v>
      </c>
      <c r="C14483" t="s">
        <v>17062</v>
      </c>
      <c r="D14483" t="s">
        <v>18034</v>
      </c>
      <c r="E14483" t="s">
        <v>30688</v>
      </c>
      <c r="F14483" t="s">
        <v>31574</v>
      </c>
      <c r="G14483" t="s">
        <v>31582</v>
      </c>
      <c r="H14483" t="s">
        <v>31591</v>
      </c>
      <c r="I14483" t="s">
        <v>8822</v>
      </c>
      <c r="J14483" t="s">
        <v>31935</v>
      </c>
      <c r="K14483" t="s">
        <v>41203</v>
      </c>
      <c r="M14483" t="s">
        <v>43447</v>
      </c>
      <c r="N14483" t="s">
        <v>45095</v>
      </c>
      <c r="O14483" t="s">
        <v>45096</v>
      </c>
      <c r="P14483">
        <v>0</v>
      </c>
      <c r="Q14483">
        <v>2</v>
      </c>
      <c r="R14483" t="s">
        <v>45120</v>
      </c>
      <c r="S14483" t="s">
        <v>46102</v>
      </c>
      <c r="T14483" t="s">
        <v>47193</v>
      </c>
      <c r="U14483" t="s">
        <v>52163</v>
      </c>
      <c r="W14483" t="s">
        <v>43447</v>
      </c>
      <c r="X14483" t="s">
        <v>45122</v>
      </c>
    </row>
    <row r="14484" spans="1:24">
      <c r="A14484">
        <f>HYPERLINK("https://www.philgeps.gov.ph/GEPSNONPILOT/Tender/SplashBidNoticeAbstractUI.aspx?menuIndex=3&amp;refID=7007116&amp;Result=3","7007116")</f>
        <v>0</v>
      </c>
      <c r="B14484" t="s">
        <v>1196</v>
      </c>
      <c r="C14484" t="s">
        <v>17063</v>
      </c>
      <c r="D14484" t="s">
        <v>18026</v>
      </c>
      <c r="E14484" t="s">
        <v>30689</v>
      </c>
      <c r="F14484" t="s">
        <v>31574</v>
      </c>
      <c r="G14484" t="s">
        <v>31582</v>
      </c>
      <c r="H14484" t="s">
        <v>31590</v>
      </c>
      <c r="I14484" t="s">
        <v>8822</v>
      </c>
      <c r="J14484" t="s">
        <v>40604</v>
      </c>
      <c r="K14484" t="s">
        <v>41190</v>
      </c>
      <c r="M14484" t="s">
        <v>43471</v>
      </c>
      <c r="N14484" t="s">
        <v>45095</v>
      </c>
      <c r="O14484" t="s">
        <v>45096</v>
      </c>
      <c r="Q14484">
        <v>8</v>
      </c>
      <c r="R14484" t="s">
        <v>45120</v>
      </c>
      <c r="S14484" t="s">
        <v>46111</v>
      </c>
      <c r="T14484" t="s">
        <v>47159</v>
      </c>
      <c r="U14484" t="s">
        <v>59160</v>
      </c>
      <c r="V14484" t="s">
        <v>61293</v>
      </c>
      <c r="W14484" t="s">
        <v>61718</v>
      </c>
      <c r="X14484" t="s">
        <v>45122</v>
      </c>
    </row>
    <row r="14485" spans="1:24">
      <c r="A14485">
        <f>HYPERLINK("https://www.philgeps.gov.ph/GEPSNONPILOT/Tender/SplashBidNoticeAbstractUI.aspx?menuIndex=3&amp;refID=7007139&amp;Result=3","7007139")</f>
        <v>0</v>
      </c>
      <c r="B14485" t="s">
        <v>1196</v>
      </c>
      <c r="C14485" t="s">
        <v>17064</v>
      </c>
      <c r="D14485" t="s">
        <v>18026</v>
      </c>
      <c r="E14485" t="s">
        <v>30690</v>
      </c>
      <c r="F14485" t="s">
        <v>31574</v>
      </c>
      <c r="G14485" t="s">
        <v>31582</v>
      </c>
      <c r="H14485" t="s">
        <v>31590</v>
      </c>
      <c r="I14485" t="s">
        <v>8822</v>
      </c>
      <c r="J14485" t="s">
        <v>33420</v>
      </c>
      <c r="K14485" t="s">
        <v>41190</v>
      </c>
      <c r="M14485" t="s">
        <v>43471</v>
      </c>
      <c r="N14485" t="s">
        <v>45095</v>
      </c>
      <c r="O14485" t="s">
        <v>45096</v>
      </c>
      <c r="Q14485">
        <v>4</v>
      </c>
      <c r="R14485" t="s">
        <v>45120</v>
      </c>
      <c r="S14485" t="s">
        <v>46112</v>
      </c>
      <c r="T14485" t="s">
        <v>47159</v>
      </c>
      <c r="U14485" t="s">
        <v>59160</v>
      </c>
      <c r="V14485" t="s">
        <v>61293</v>
      </c>
      <c r="W14485" t="s">
        <v>61718</v>
      </c>
      <c r="X14485" t="s">
        <v>45122</v>
      </c>
    </row>
    <row r="14486" spans="1:24">
      <c r="A14486">
        <f>HYPERLINK("https://www.philgeps.gov.ph/GEPSNONPILOT/Tender/SplashBidNoticeAbstractUI.aspx?menuIndex=3&amp;refID=7007155&amp;Result=3","7007155")</f>
        <v>0</v>
      </c>
      <c r="B14486" t="s">
        <v>1196</v>
      </c>
      <c r="C14486" t="s">
        <v>17065</v>
      </c>
      <c r="D14486" t="s">
        <v>18026</v>
      </c>
      <c r="E14486" t="s">
        <v>30691</v>
      </c>
      <c r="F14486" t="s">
        <v>31574</v>
      </c>
      <c r="G14486" t="s">
        <v>31582</v>
      </c>
      <c r="H14486" t="s">
        <v>31590</v>
      </c>
      <c r="I14486" t="s">
        <v>8822</v>
      </c>
      <c r="J14486" t="s">
        <v>32241</v>
      </c>
      <c r="K14486" t="s">
        <v>41190</v>
      </c>
      <c r="M14486" t="s">
        <v>43471</v>
      </c>
      <c r="N14486" t="s">
        <v>45095</v>
      </c>
      <c r="O14486" t="s">
        <v>45096</v>
      </c>
      <c r="Q14486">
        <v>5</v>
      </c>
      <c r="R14486" t="s">
        <v>45120</v>
      </c>
      <c r="S14486" t="s">
        <v>46113</v>
      </c>
      <c r="T14486" t="s">
        <v>47159</v>
      </c>
      <c r="U14486" t="s">
        <v>59160</v>
      </c>
      <c r="V14486" t="s">
        <v>61293</v>
      </c>
      <c r="W14486" t="s">
        <v>61718</v>
      </c>
      <c r="X14486" t="s">
        <v>45122</v>
      </c>
    </row>
    <row r="14487" spans="1:24">
      <c r="A14487">
        <f>HYPERLINK("https://www.philgeps.gov.ph/GEPSNONPILOT/Tender/SplashBidNoticeAbstractUI.aspx?menuIndex=3&amp;refID=7007380&amp;Result=3","7007380")</f>
        <v>0</v>
      </c>
      <c r="B14487" t="s">
        <v>3130</v>
      </c>
      <c r="C14487" t="s">
        <v>17066</v>
      </c>
      <c r="D14487" t="s">
        <v>18083</v>
      </c>
      <c r="E14487" t="s">
        <v>30692</v>
      </c>
      <c r="F14487" t="s">
        <v>31574</v>
      </c>
      <c r="G14487" t="s">
        <v>31582</v>
      </c>
      <c r="H14487" t="s">
        <v>31591</v>
      </c>
      <c r="I14487" t="s">
        <v>8822</v>
      </c>
      <c r="J14487" t="s">
        <v>33856</v>
      </c>
      <c r="K14487" t="s">
        <v>41282</v>
      </c>
      <c r="M14487" t="s">
        <v>44980</v>
      </c>
      <c r="N14487" t="s">
        <v>45095</v>
      </c>
      <c r="O14487" t="s">
        <v>45096</v>
      </c>
      <c r="P14487">
        <v>0</v>
      </c>
      <c r="Q14487">
        <v>1</v>
      </c>
      <c r="R14487" t="s">
        <v>45120</v>
      </c>
      <c r="S14487" t="s">
        <v>46102</v>
      </c>
      <c r="T14487" t="s">
        <v>47430</v>
      </c>
      <c r="U14487" t="s">
        <v>59161</v>
      </c>
      <c r="W14487" t="s">
        <v>44980</v>
      </c>
      <c r="X14487" t="s">
        <v>45122</v>
      </c>
    </row>
    <row r="14488" spans="1:24">
      <c r="A14488">
        <f>HYPERLINK("https://www.philgeps.gov.ph/GEPSNONPILOT/Tender/SplashBidNoticeAbstractUI.aspx?menuIndex=3&amp;refID=7007143&amp;Result=3","7007143")</f>
        <v>0</v>
      </c>
      <c r="B14488" t="s">
        <v>29</v>
      </c>
      <c r="C14488" t="s">
        <v>17067</v>
      </c>
      <c r="D14488" t="s">
        <v>18026</v>
      </c>
      <c r="E14488" t="s">
        <v>25889</v>
      </c>
      <c r="F14488" t="s">
        <v>31574</v>
      </c>
      <c r="G14488" t="s">
        <v>31582</v>
      </c>
      <c r="H14488" t="s">
        <v>31590</v>
      </c>
      <c r="I14488" t="s">
        <v>4046</v>
      </c>
      <c r="J14488" t="s">
        <v>40605</v>
      </c>
      <c r="K14488" t="s">
        <v>41186</v>
      </c>
      <c r="M14488" t="s">
        <v>41511</v>
      </c>
      <c r="N14488" t="s">
        <v>45095</v>
      </c>
      <c r="O14488" t="s">
        <v>45096</v>
      </c>
      <c r="Q14488">
        <v>4</v>
      </c>
      <c r="R14488" t="s">
        <v>45120</v>
      </c>
      <c r="S14488" t="s">
        <v>46114</v>
      </c>
      <c r="T14488" t="s">
        <v>47164</v>
      </c>
      <c r="U14488" t="s">
        <v>59162</v>
      </c>
      <c r="V14488" t="s">
        <v>61467</v>
      </c>
      <c r="W14488" t="s">
        <v>41511</v>
      </c>
      <c r="X14488" t="s">
        <v>45122</v>
      </c>
    </row>
    <row r="14489" spans="1:24">
      <c r="A14489">
        <f>HYPERLINK("https://www.philgeps.gov.ph/GEPSNONPILOT/Tender/SplashBidNoticeAbstractUI.aspx?menuIndex=3&amp;refID=7007389&amp;Result=3","7007389")</f>
        <v>0</v>
      </c>
      <c r="B14489" t="s">
        <v>3130</v>
      </c>
      <c r="C14489" t="s">
        <v>17068</v>
      </c>
      <c r="D14489" t="s">
        <v>18083</v>
      </c>
      <c r="E14489" t="s">
        <v>30693</v>
      </c>
      <c r="F14489" t="s">
        <v>31574</v>
      </c>
      <c r="G14489" t="s">
        <v>31582</v>
      </c>
      <c r="H14489" t="s">
        <v>31591</v>
      </c>
      <c r="I14489" t="s">
        <v>8822</v>
      </c>
      <c r="J14489" t="s">
        <v>32026</v>
      </c>
      <c r="K14489" t="s">
        <v>41206</v>
      </c>
      <c r="M14489" t="s">
        <v>44980</v>
      </c>
      <c r="N14489" t="s">
        <v>45095</v>
      </c>
      <c r="O14489" t="s">
        <v>45096</v>
      </c>
      <c r="P14489">
        <v>0</v>
      </c>
      <c r="Q14489">
        <v>1</v>
      </c>
      <c r="R14489" t="s">
        <v>45120</v>
      </c>
      <c r="S14489" t="s">
        <v>46102</v>
      </c>
      <c r="T14489" t="s">
        <v>47430</v>
      </c>
      <c r="U14489" t="s">
        <v>59163</v>
      </c>
      <c r="W14489" t="s">
        <v>44980</v>
      </c>
      <c r="X14489" t="s">
        <v>45122</v>
      </c>
    </row>
    <row r="14490" spans="1:24">
      <c r="A14490">
        <f>HYPERLINK("https://www.philgeps.gov.ph/GEPSNONPILOT/Tender/SplashBidNoticeAbstractUI.aspx?menuIndex=3&amp;refID=7007337&amp;Result=3","7007337")</f>
        <v>0</v>
      </c>
      <c r="B14490" t="s">
        <v>3130</v>
      </c>
      <c r="C14490" t="s">
        <v>17069</v>
      </c>
      <c r="D14490" t="s">
        <v>18083</v>
      </c>
      <c r="E14490" t="s">
        <v>30694</v>
      </c>
      <c r="F14490" t="s">
        <v>31574</v>
      </c>
      <c r="G14490" t="s">
        <v>31582</v>
      </c>
      <c r="H14490" t="s">
        <v>31591</v>
      </c>
      <c r="I14490" t="s">
        <v>8822</v>
      </c>
      <c r="J14490" t="s">
        <v>40606</v>
      </c>
      <c r="K14490" t="s">
        <v>41201</v>
      </c>
      <c r="M14490" t="s">
        <v>44980</v>
      </c>
      <c r="N14490" t="s">
        <v>45095</v>
      </c>
      <c r="O14490" t="s">
        <v>45096</v>
      </c>
      <c r="P14490">
        <v>0</v>
      </c>
      <c r="Q14490">
        <v>3</v>
      </c>
      <c r="R14490" t="s">
        <v>45120</v>
      </c>
      <c r="S14490" t="s">
        <v>46102</v>
      </c>
      <c r="T14490" t="s">
        <v>47430</v>
      </c>
      <c r="U14490" t="s">
        <v>59164</v>
      </c>
      <c r="W14490" t="s">
        <v>44980</v>
      </c>
      <c r="X14490" t="s">
        <v>45122</v>
      </c>
    </row>
    <row r="14491" spans="1:24">
      <c r="A14491">
        <f>HYPERLINK("https://www.philgeps.gov.ph/GEPSNONPILOT/Tender/SplashBidNoticeAbstractUI.aspx?menuIndex=3&amp;refID=7007294&amp;Result=3","7007294")</f>
        <v>0</v>
      </c>
      <c r="B14491" t="s">
        <v>1562</v>
      </c>
      <c r="C14491" t="s">
        <v>17070</v>
      </c>
      <c r="D14491" t="s">
        <v>18023</v>
      </c>
      <c r="E14491" t="s">
        <v>30695</v>
      </c>
      <c r="F14491" t="s">
        <v>31574</v>
      </c>
      <c r="G14491" t="s">
        <v>31582</v>
      </c>
      <c r="H14491" t="s">
        <v>31590</v>
      </c>
      <c r="I14491" t="s">
        <v>31615</v>
      </c>
      <c r="J14491" t="s">
        <v>40607</v>
      </c>
      <c r="K14491" t="s">
        <v>41186</v>
      </c>
      <c r="M14491" t="s">
        <v>43161</v>
      </c>
      <c r="N14491" t="s">
        <v>45095</v>
      </c>
      <c r="O14491" t="s">
        <v>45096</v>
      </c>
      <c r="P14491">
        <v>0</v>
      </c>
      <c r="Q14491">
        <v>4</v>
      </c>
      <c r="R14491" t="s">
        <v>45120</v>
      </c>
      <c r="S14491" t="s">
        <v>46102</v>
      </c>
      <c r="T14491" t="s">
        <v>47235</v>
      </c>
      <c r="U14491" t="s">
        <v>59165</v>
      </c>
      <c r="W14491" t="s">
        <v>43161</v>
      </c>
      <c r="X14491" t="s">
        <v>45122</v>
      </c>
    </row>
    <row r="14492" spans="1:24">
      <c r="A14492">
        <f>HYPERLINK("https://www.philgeps.gov.ph/GEPSNONPILOT/Tender/SplashBidNoticeAbstractUI.aspx?menuIndex=3&amp;refID=7007355&amp;Result=3","7007355")</f>
        <v>0</v>
      </c>
      <c r="B14492" t="s">
        <v>683</v>
      </c>
      <c r="C14492" t="s">
        <v>17071</v>
      </c>
      <c r="D14492" t="s">
        <v>18059</v>
      </c>
      <c r="E14492" t="s">
        <v>30696</v>
      </c>
      <c r="F14492" t="s">
        <v>31574</v>
      </c>
      <c r="G14492" t="s">
        <v>31582</v>
      </c>
      <c r="H14492" t="s">
        <v>31590</v>
      </c>
      <c r="I14492" t="s">
        <v>31608</v>
      </c>
      <c r="J14492" t="s">
        <v>32101</v>
      </c>
      <c r="K14492" t="s">
        <v>41184</v>
      </c>
      <c r="M14492" t="s">
        <v>42190</v>
      </c>
      <c r="N14492" t="s">
        <v>45095</v>
      </c>
      <c r="O14492" t="s">
        <v>45096</v>
      </c>
      <c r="Q14492">
        <v>2</v>
      </c>
      <c r="R14492" t="s">
        <v>45120</v>
      </c>
      <c r="S14492" t="s">
        <v>46115</v>
      </c>
      <c r="T14492" t="s">
        <v>47159</v>
      </c>
      <c r="U14492" t="s">
        <v>59166</v>
      </c>
      <c r="W14492" t="s">
        <v>42190</v>
      </c>
      <c r="X14492" t="s">
        <v>45122</v>
      </c>
    </row>
    <row r="14493" spans="1:24">
      <c r="A14493">
        <f>HYPERLINK("https://www.philgeps.gov.ph/GEPSNONPILOT/Tender/SplashBidNoticeAbstractUI.aspx?menuIndex=3&amp;refID=7007306&amp;Result=3","7007306")</f>
        <v>0</v>
      </c>
      <c r="B14493" t="s">
        <v>313</v>
      </c>
      <c r="C14493" t="s">
        <v>8872</v>
      </c>
      <c r="D14493" t="s">
        <v>18039</v>
      </c>
      <c r="E14493" t="s">
        <v>6369</v>
      </c>
      <c r="F14493" t="s">
        <v>31574</v>
      </c>
      <c r="G14493" t="s">
        <v>31582</v>
      </c>
      <c r="H14493" t="s">
        <v>31590</v>
      </c>
      <c r="I14493" t="s">
        <v>31608</v>
      </c>
      <c r="J14493" t="s">
        <v>33856</v>
      </c>
      <c r="K14493" t="s">
        <v>41186</v>
      </c>
      <c r="M14493" t="s">
        <v>44792</v>
      </c>
      <c r="N14493" t="s">
        <v>45095</v>
      </c>
      <c r="O14493" t="s">
        <v>45096</v>
      </c>
      <c r="P14493">
        <v>0</v>
      </c>
      <c r="Q14493">
        <v>14</v>
      </c>
      <c r="R14493" t="s">
        <v>45120</v>
      </c>
      <c r="S14493" t="s">
        <v>46102</v>
      </c>
      <c r="T14493" t="s">
        <v>47380</v>
      </c>
      <c r="U14493" t="s">
        <v>59167</v>
      </c>
      <c r="W14493" t="s">
        <v>44792</v>
      </c>
      <c r="X14493" t="s">
        <v>45122</v>
      </c>
    </row>
    <row r="14494" spans="1:24">
      <c r="A14494">
        <f>HYPERLINK("https://www.philgeps.gov.ph/GEPSNONPILOT/Tender/SplashBidNoticeAbstractUI.aspx?menuIndex=3&amp;refID=7007152&amp;Result=3","7007152")</f>
        <v>0</v>
      </c>
      <c r="B14494" t="s">
        <v>1692</v>
      </c>
      <c r="C14494" t="s">
        <v>17072</v>
      </c>
      <c r="D14494" t="s">
        <v>18037</v>
      </c>
      <c r="E14494" t="s">
        <v>30697</v>
      </c>
      <c r="F14494" t="s">
        <v>31574</v>
      </c>
      <c r="G14494" t="s">
        <v>31582</v>
      </c>
      <c r="H14494" t="s">
        <v>31590</v>
      </c>
      <c r="I14494" t="s">
        <v>31615</v>
      </c>
      <c r="J14494" t="s">
        <v>32419</v>
      </c>
      <c r="K14494" t="s">
        <v>41185</v>
      </c>
      <c r="M14494" t="s">
        <v>43306</v>
      </c>
      <c r="N14494" t="s">
        <v>45095</v>
      </c>
      <c r="O14494" t="s">
        <v>45096</v>
      </c>
      <c r="Q14494">
        <v>7</v>
      </c>
      <c r="R14494" t="s">
        <v>45120</v>
      </c>
      <c r="S14494" t="s">
        <v>45797</v>
      </c>
      <c r="T14494" t="s">
        <v>47164</v>
      </c>
      <c r="U14494" t="s">
        <v>59168</v>
      </c>
      <c r="W14494" t="s">
        <v>43306</v>
      </c>
      <c r="X14494" t="s">
        <v>45122</v>
      </c>
    </row>
    <row r="14495" spans="1:24">
      <c r="A14495">
        <f>HYPERLINK("https://www.philgeps.gov.ph/GEPSNONPILOT/Tender/SplashBidNoticeAbstractUI.aspx?menuIndex=3&amp;refID=7007177&amp;Result=3","7007177")</f>
        <v>0</v>
      </c>
      <c r="B14495" t="s">
        <v>1196</v>
      </c>
      <c r="C14495" t="s">
        <v>17073</v>
      </c>
      <c r="D14495" t="s">
        <v>18026</v>
      </c>
      <c r="E14495" t="s">
        <v>30698</v>
      </c>
      <c r="F14495" t="s">
        <v>31574</v>
      </c>
      <c r="G14495" t="s">
        <v>31582</v>
      </c>
      <c r="H14495" t="s">
        <v>31590</v>
      </c>
      <c r="I14495" t="s">
        <v>8822</v>
      </c>
      <c r="J14495" t="s">
        <v>40608</v>
      </c>
      <c r="K14495" t="s">
        <v>41190</v>
      </c>
      <c r="M14495" t="s">
        <v>43471</v>
      </c>
      <c r="N14495" t="s">
        <v>45095</v>
      </c>
      <c r="O14495" t="s">
        <v>45096</v>
      </c>
      <c r="Q14495">
        <v>7</v>
      </c>
      <c r="R14495" t="s">
        <v>45120</v>
      </c>
      <c r="S14495" t="s">
        <v>46116</v>
      </c>
      <c r="T14495" t="s">
        <v>47159</v>
      </c>
      <c r="U14495" t="s">
        <v>59160</v>
      </c>
      <c r="V14495" t="s">
        <v>61293</v>
      </c>
      <c r="W14495" t="s">
        <v>61718</v>
      </c>
      <c r="X14495" t="s">
        <v>45122</v>
      </c>
    </row>
    <row r="14496" spans="1:24">
      <c r="A14496">
        <f>HYPERLINK("https://www.philgeps.gov.ph/GEPSNONPILOT/Tender/SplashBidNoticeAbstractUI.aspx?menuIndex=3&amp;refID=7007189&amp;Result=3","7007189")</f>
        <v>0</v>
      </c>
      <c r="B14496" t="s">
        <v>376</v>
      </c>
      <c r="C14496" t="s">
        <v>17074</v>
      </c>
      <c r="D14496" t="s">
        <v>18074</v>
      </c>
      <c r="E14496" t="s">
        <v>30699</v>
      </c>
      <c r="F14496" t="s">
        <v>31574</v>
      </c>
      <c r="G14496" t="s">
        <v>31582</v>
      </c>
      <c r="H14496" t="s">
        <v>31590</v>
      </c>
      <c r="I14496" t="s">
        <v>31631</v>
      </c>
      <c r="J14496" t="s">
        <v>40609</v>
      </c>
      <c r="K14496" t="s">
        <v>41190</v>
      </c>
      <c r="M14496" t="s">
        <v>41866</v>
      </c>
      <c r="N14496" t="s">
        <v>45095</v>
      </c>
      <c r="O14496" t="s">
        <v>45096</v>
      </c>
      <c r="P14496">
        <v>0</v>
      </c>
      <c r="Q14496">
        <v>0</v>
      </c>
      <c r="R14496" t="s">
        <v>45120</v>
      </c>
      <c r="S14496" t="s">
        <v>46102</v>
      </c>
      <c r="T14496" t="s">
        <v>47154</v>
      </c>
      <c r="U14496" t="s">
        <v>59169</v>
      </c>
      <c r="W14496" t="s">
        <v>41866</v>
      </c>
      <c r="X14496" t="s">
        <v>45122</v>
      </c>
    </row>
    <row r="14497" spans="1:24">
      <c r="A14497">
        <f>HYPERLINK("https://www.philgeps.gov.ph/GEPSNONPILOT/Tender/SplashBidNoticeAbstractUI.aspx?menuIndex=3&amp;refID=7007366&amp;Result=3","7007366")</f>
        <v>0</v>
      </c>
      <c r="B14497" t="s">
        <v>683</v>
      </c>
      <c r="C14497" t="s">
        <v>17075</v>
      </c>
      <c r="D14497" t="s">
        <v>18059</v>
      </c>
      <c r="E14497" t="s">
        <v>30700</v>
      </c>
      <c r="F14497" t="s">
        <v>31574</v>
      </c>
      <c r="G14497" t="s">
        <v>31582</v>
      </c>
      <c r="H14497" t="s">
        <v>31590</v>
      </c>
      <c r="I14497" t="s">
        <v>8258</v>
      </c>
      <c r="J14497" t="s">
        <v>40610</v>
      </c>
      <c r="K14497" t="s">
        <v>41184</v>
      </c>
      <c r="M14497" t="s">
        <v>42190</v>
      </c>
      <c r="N14497" t="s">
        <v>45095</v>
      </c>
      <c r="O14497" t="s">
        <v>45096</v>
      </c>
      <c r="P14497">
        <v>0</v>
      </c>
      <c r="Q14497">
        <v>7</v>
      </c>
      <c r="R14497" t="s">
        <v>45120</v>
      </c>
      <c r="S14497" t="s">
        <v>46102</v>
      </c>
      <c r="T14497" t="s">
        <v>47159</v>
      </c>
      <c r="U14497" t="s">
        <v>59170</v>
      </c>
      <c r="W14497" t="s">
        <v>42190</v>
      </c>
      <c r="X14497" t="s">
        <v>45122</v>
      </c>
    </row>
    <row r="14498" spans="1:24">
      <c r="A14498">
        <f>HYPERLINK("https://www.philgeps.gov.ph/GEPSNONPILOT/Tender/SplashBidNoticeAbstractUI.aspx?menuIndex=3&amp;refID=7007166&amp;Result=3","7007166")</f>
        <v>0</v>
      </c>
      <c r="B14498" t="s">
        <v>1196</v>
      </c>
      <c r="C14498" t="s">
        <v>17076</v>
      </c>
      <c r="D14498" t="s">
        <v>18026</v>
      </c>
      <c r="E14498" t="s">
        <v>30701</v>
      </c>
      <c r="F14498" t="s">
        <v>31574</v>
      </c>
      <c r="G14498" t="s">
        <v>31582</v>
      </c>
      <c r="H14498" t="s">
        <v>31590</v>
      </c>
      <c r="I14498" t="s">
        <v>8822</v>
      </c>
      <c r="J14498" t="s">
        <v>40611</v>
      </c>
      <c r="K14498" t="s">
        <v>41190</v>
      </c>
      <c r="M14498" t="s">
        <v>43471</v>
      </c>
      <c r="N14498" t="s">
        <v>45095</v>
      </c>
      <c r="O14498" t="s">
        <v>45096</v>
      </c>
      <c r="Q14498">
        <v>5</v>
      </c>
      <c r="R14498" t="s">
        <v>45120</v>
      </c>
      <c r="S14498" t="s">
        <v>46117</v>
      </c>
      <c r="T14498" t="s">
        <v>47159</v>
      </c>
      <c r="U14498" t="s">
        <v>59160</v>
      </c>
      <c r="V14498" t="s">
        <v>61293</v>
      </c>
      <c r="W14498" t="s">
        <v>61718</v>
      </c>
      <c r="X14498" t="s">
        <v>45122</v>
      </c>
    </row>
    <row r="14499" spans="1:24">
      <c r="A14499">
        <f>HYPERLINK("https://www.philgeps.gov.ph/GEPSNONPILOT/Tender/SplashBidNoticeAbstractUI.aspx?menuIndex=3&amp;refID=7007393&amp;Result=3","7007393")</f>
        <v>0</v>
      </c>
      <c r="B14499" t="s">
        <v>3130</v>
      </c>
      <c r="C14499" t="s">
        <v>17077</v>
      </c>
      <c r="D14499" t="s">
        <v>18083</v>
      </c>
      <c r="E14499" t="s">
        <v>30702</v>
      </c>
      <c r="F14499" t="s">
        <v>31574</v>
      </c>
      <c r="G14499" t="s">
        <v>31582</v>
      </c>
      <c r="H14499" t="s">
        <v>31591</v>
      </c>
      <c r="I14499" t="s">
        <v>8822</v>
      </c>
      <c r="J14499" t="s">
        <v>40612</v>
      </c>
      <c r="K14499" t="s">
        <v>41329</v>
      </c>
      <c r="M14499" t="s">
        <v>44980</v>
      </c>
      <c r="N14499" t="s">
        <v>45095</v>
      </c>
      <c r="O14499" t="s">
        <v>45096</v>
      </c>
      <c r="P14499">
        <v>0</v>
      </c>
      <c r="Q14499">
        <v>1</v>
      </c>
      <c r="R14499" t="s">
        <v>45120</v>
      </c>
      <c r="S14499" t="s">
        <v>46102</v>
      </c>
      <c r="T14499" t="s">
        <v>47430</v>
      </c>
      <c r="U14499" t="s">
        <v>59171</v>
      </c>
      <c r="W14499" t="s">
        <v>44980</v>
      </c>
      <c r="X14499" t="s">
        <v>45122</v>
      </c>
    </row>
    <row r="14500" spans="1:24">
      <c r="A14500">
        <f>HYPERLINK("https://www.philgeps.gov.ph/GEPSNONPILOT/Tender/SplashBidNoticeAbstractUI.aspx?menuIndex=3&amp;refID=7007158&amp;Result=3","7007158")</f>
        <v>0</v>
      </c>
      <c r="B14500" t="s">
        <v>376</v>
      </c>
      <c r="C14500" t="s">
        <v>5991</v>
      </c>
      <c r="D14500" t="s">
        <v>18074</v>
      </c>
      <c r="E14500" t="s">
        <v>30703</v>
      </c>
      <c r="F14500" t="s">
        <v>31574</v>
      </c>
      <c r="G14500" t="s">
        <v>31582</v>
      </c>
      <c r="H14500" t="s">
        <v>31590</v>
      </c>
      <c r="I14500" t="s">
        <v>8258</v>
      </c>
      <c r="J14500" t="s">
        <v>40613</v>
      </c>
      <c r="K14500" t="s">
        <v>41190</v>
      </c>
      <c r="M14500" t="s">
        <v>41866</v>
      </c>
      <c r="N14500" t="s">
        <v>45095</v>
      </c>
      <c r="O14500" t="s">
        <v>45096</v>
      </c>
      <c r="P14500">
        <v>0</v>
      </c>
      <c r="Q14500">
        <v>1</v>
      </c>
      <c r="R14500" t="s">
        <v>45120</v>
      </c>
      <c r="S14500" t="s">
        <v>46102</v>
      </c>
      <c r="T14500" t="s">
        <v>47154</v>
      </c>
      <c r="U14500" t="s">
        <v>59172</v>
      </c>
      <c r="W14500" t="s">
        <v>41866</v>
      </c>
      <c r="X14500" t="s">
        <v>45122</v>
      </c>
    </row>
    <row r="14501" spans="1:24">
      <c r="A14501">
        <f>HYPERLINK("https://www.philgeps.gov.ph/GEPSNONPILOT/Tender/SplashBidNoticeAbstractUI.aspx?menuIndex=3&amp;refID=7007930&amp;Result=3","7007930")</f>
        <v>0</v>
      </c>
      <c r="B14501" t="s">
        <v>3131</v>
      </c>
      <c r="C14501" t="s">
        <v>17078</v>
      </c>
      <c r="D14501" t="s">
        <v>18070</v>
      </c>
      <c r="E14501" t="s">
        <v>30704</v>
      </c>
      <c r="F14501" t="s">
        <v>31574</v>
      </c>
      <c r="G14501" t="s">
        <v>31582</v>
      </c>
      <c r="H14501" t="s">
        <v>31591</v>
      </c>
      <c r="I14501" t="s">
        <v>4046</v>
      </c>
      <c r="J14501" t="s">
        <v>32019</v>
      </c>
      <c r="K14501" t="s">
        <v>41186</v>
      </c>
      <c r="M14501" t="s">
        <v>44981</v>
      </c>
      <c r="N14501" t="s">
        <v>45095</v>
      </c>
      <c r="O14501" t="s">
        <v>45096</v>
      </c>
      <c r="P14501">
        <v>0</v>
      </c>
      <c r="Q14501">
        <v>1</v>
      </c>
      <c r="R14501" t="s">
        <v>45120</v>
      </c>
      <c r="S14501" t="s">
        <v>46102</v>
      </c>
      <c r="T14501" t="s">
        <v>46980</v>
      </c>
      <c r="U14501" t="s">
        <v>59173</v>
      </c>
      <c r="V14501" t="s">
        <v>61468</v>
      </c>
      <c r="W14501" t="s">
        <v>44981</v>
      </c>
      <c r="X14501" t="s">
        <v>45122</v>
      </c>
    </row>
    <row r="14502" spans="1:24">
      <c r="A14502">
        <f>HYPERLINK("https://www.philgeps.gov.ph/GEPSNONPILOT/Tender/SplashBidNoticeAbstractUI.aspx?menuIndex=3&amp;refID=7007114&amp;Result=3","7007114")</f>
        <v>0</v>
      </c>
      <c r="B14502" t="s">
        <v>29</v>
      </c>
      <c r="C14502" t="s">
        <v>17079</v>
      </c>
      <c r="D14502" t="s">
        <v>18026</v>
      </c>
      <c r="E14502" t="s">
        <v>25889</v>
      </c>
      <c r="F14502" t="s">
        <v>31574</v>
      </c>
      <c r="G14502" t="s">
        <v>31582</v>
      </c>
      <c r="H14502" t="s">
        <v>31590</v>
      </c>
      <c r="I14502" t="s">
        <v>4046</v>
      </c>
      <c r="J14502" t="s">
        <v>40614</v>
      </c>
      <c r="K14502" t="s">
        <v>41186</v>
      </c>
      <c r="M14502" t="s">
        <v>41511</v>
      </c>
      <c r="N14502" t="s">
        <v>45095</v>
      </c>
      <c r="O14502" t="s">
        <v>45096</v>
      </c>
      <c r="Q14502">
        <v>3</v>
      </c>
      <c r="R14502" t="s">
        <v>45120</v>
      </c>
      <c r="S14502" t="s">
        <v>46118</v>
      </c>
      <c r="T14502" t="s">
        <v>47164</v>
      </c>
      <c r="U14502" t="s">
        <v>59174</v>
      </c>
      <c r="V14502" t="s">
        <v>61469</v>
      </c>
      <c r="W14502" t="s">
        <v>41511</v>
      </c>
      <c r="X14502" t="s">
        <v>45122</v>
      </c>
    </row>
    <row r="14503" spans="1:24">
      <c r="A14503">
        <f>HYPERLINK("https://www.philgeps.gov.ph/GEPSNONPILOT/Tender/SplashBidNoticeAbstractUI.aspx?menuIndex=3&amp;refID=7007675&amp;Result=3","7007675")</f>
        <v>0</v>
      </c>
      <c r="B14503" t="s">
        <v>2485</v>
      </c>
      <c r="C14503" t="s">
        <v>17080</v>
      </c>
      <c r="D14503" t="s">
        <v>18084</v>
      </c>
      <c r="E14503" t="s">
        <v>30705</v>
      </c>
      <c r="F14503" t="s">
        <v>31574</v>
      </c>
      <c r="G14503" t="s">
        <v>31582</v>
      </c>
      <c r="H14503" t="s">
        <v>31591</v>
      </c>
      <c r="I14503" t="s">
        <v>8822</v>
      </c>
      <c r="J14503" t="s">
        <v>33252</v>
      </c>
      <c r="K14503" t="s">
        <v>41192</v>
      </c>
      <c r="M14503" t="s">
        <v>44216</v>
      </c>
      <c r="N14503" t="s">
        <v>45095</v>
      </c>
      <c r="O14503" t="s">
        <v>45096</v>
      </c>
      <c r="P14503">
        <v>0</v>
      </c>
      <c r="Q14503">
        <v>25</v>
      </c>
      <c r="R14503" t="s">
        <v>45120</v>
      </c>
      <c r="S14503" t="s">
        <v>46102</v>
      </c>
      <c r="T14503" t="s">
        <v>47159</v>
      </c>
      <c r="U14503" t="s">
        <v>59175</v>
      </c>
      <c r="W14503" t="s">
        <v>61740</v>
      </c>
      <c r="X14503" t="s">
        <v>45122</v>
      </c>
    </row>
    <row r="14504" spans="1:24">
      <c r="A14504">
        <f>HYPERLINK("https://www.philgeps.gov.ph/GEPSNONPILOT/Tender/SplashBidNoticeAbstractUI.aspx?menuIndex=3&amp;refID=7007704&amp;Result=3","7007704")</f>
        <v>0</v>
      </c>
      <c r="B14504" t="s">
        <v>3131</v>
      </c>
      <c r="C14504" t="s">
        <v>14623</v>
      </c>
      <c r="D14504" t="s">
        <v>18070</v>
      </c>
      <c r="E14504" t="s">
        <v>30706</v>
      </c>
      <c r="F14504" t="s">
        <v>31574</v>
      </c>
      <c r="G14504" t="s">
        <v>31582</v>
      </c>
      <c r="H14504" t="s">
        <v>31591</v>
      </c>
      <c r="I14504" t="s">
        <v>8822</v>
      </c>
      <c r="J14504" t="s">
        <v>31730</v>
      </c>
      <c r="K14504" t="s">
        <v>41186</v>
      </c>
      <c r="M14504" t="s">
        <v>44981</v>
      </c>
      <c r="N14504" t="s">
        <v>45095</v>
      </c>
      <c r="O14504" t="s">
        <v>45096</v>
      </c>
      <c r="P14504">
        <v>0</v>
      </c>
      <c r="Q14504">
        <v>0</v>
      </c>
      <c r="R14504" t="s">
        <v>45120</v>
      </c>
      <c r="S14504" t="s">
        <v>46102</v>
      </c>
      <c r="T14504" t="s">
        <v>46980</v>
      </c>
      <c r="U14504" t="s">
        <v>59176</v>
      </c>
      <c r="V14504" t="s">
        <v>61470</v>
      </c>
      <c r="W14504" t="s">
        <v>44981</v>
      </c>
      <c r="X14504" t="s">
        <v>45122</v>
      </c>
    </row>
    <row r="14505" spans="1:24">
      <c r="A14505">
        <f>HYPERLINK("https://www.philgeps.gov.ph/GEPSNONPILOT/Tender/SplashBidNoticeAbstractUI.aspx?menuIndex=3&amp;refID=7007980&amp;Result=3","7007980")</f>
        <v>0</v>
      </c>
      <c r="B14505" t="s">
        <v>3084</v>
      </c>
      <c r="C14505" t="s">
        <v>17081</v>
      </c>
      <c r="D14505" t="s">
        <v>18074</v>
      </c>
      <c r="E14505" t="s">
        <v>30707</v>
      </c>
      <c r="F14505" t="s">
        <v>31574</v>
      </c>
      <c r="G14505" t="s">
        <v>31582</v>
      </c>
      <c r="H14505" t="s">
        <v>31591</v>
      </c>
      <c r="I14505" t="s">
        <v>31632</v>
      </c>
      <c r="J14505" t="s">
        <v>40615</v>
      </c>
      <c r="K14505" t="s">
        <v>41332</v>
      </c>
      <c r="M14505" t="s">
        <v>44929</v>
      </c>
      <c r="N14505" t="s">
        <v>45095</v>
      </c>
      <c r="O14505" t="s">
        <v>45096</v>
      </c>
      <c r="P14505">
        <v>0</v>
      </c>
      <c r="Q14505">
        <v>6</v>
      </c>
      <c r="R14505" t="s">
        <v>45120</v>
      </c>
      <c r="S14505" t="s">
        <v>46102</v>
      </c>
      <c r="T14505" t="s">
        <v>47154</v>
      </c>
      <c r="U14505" t="s">
        <v>59177</v>
      </c>
      <c r="W14505" t="s">
        <v>44929</v>
      </c>
      <c r="X14505" t="s">
        <v>45122</v>
      </c>
    </row>
    <row r="14506" spans="1:24">
      <c r="A14506">
        <f>HYPERLINK("https://www.philgeps.gov.ph/GEPSNONPILOT/Tender/SplashBidNoticeAbstractUI.aspx?menuIndex=3&amp;refID=7007672&amp;Result=3","7007672")</f>
        <v>0</v>
      </c>
      <c r="B14506" t="s">
        <v>2485</v>
      </c>
      <c r="C14506" t="s">
        <v>17082</v>
      </c>
      <c r="D14506" t="s">
        <v>18084</v>
      </c>
      <c r="E14506" t="s">
        <v>30708</v>
      </c>
      <c r="F14506" t="s">
        <v>31574</v>
      </c>
      <c r="G14506" t="s">
        <v>31582</v>
      </c>
      <c r="H14506" t="s">
        <v>31591</v>
      </c>
      <c r="I14506" t="s">
        <v>8822</v>
      </c>
      <c r="J14506" t="s">
        <v>38736</v>
      </c>
      <c r="K14506" t="s">
        <v>41185</v>
      </c>
      <c r="M14506" t="s">
        <v>44216</v>
      </c>
      <c r="N14506" t="s">
        <v>45095</v>
      </c>
      <c r="O14506" t="s">
        <v>45096</v>
      </c>
      <c r="P14506">
        <v>0</v>
      </c>
      <c r="Q14506">
        <v>25</v>
      </c>
      <c r="R14506" t="s">
        <v>45120</v>
      </c>
      <c r="S14506" t="s">
        <v>46102</v>
      </c>
      <c r="T14506" t="s">
        <v>47159</v>
      </c>
      <c r="U14506" t="s">
        <v>59175</v>
      </c>
      <c r="W14506" t="s">
        <v>61740</v>
      </c>
      <c r="X14506" t="s">
        <v>45122</v>
      </c>
    </row>
    <row r="14507" spans="1:24">
      <c r="A14507">
        <f>HYPERLINK("https://www.philgeps.gov.ph/GEPSNONPILOT/Tender/SplashBidNoticeAbstractUI.aspx?menuIndex=3&amp;refID=7007664&amp;Result=3","7007664")</f>
        <v>0</v>
      </c>
      <c r="B14507" t="s">
        <v>2485</v>
      </c>
      <c r="C14507" t="s">
        <v>17083</v>
      </c>
      <c r="D14507" t="s">
        <v>18084</v>
      </c>
      <c r="E14507" t="s">
        <v>30709</v>
      </c>
      <c r="F14507" t="s">
        <v>31574</v>
      </c>
      <c r="G14507" t="s">
        <v>31582</v>
      </c>
      <c r="H14507" t="s">
        <v>31591</v>
      </c>
      <c r="I14507" t="s">
        <v>8822</v>
      </c>
      <c r="J14507" t="s">
        <v>38736</v>
      </c>
      <c r="K14507" t="s">
        <v>41186</v>
      </c>
      <c r="M14507" t="s">
        <v>44216</v>
      </c>
      <c r="N14507" t="s">
        <v>45095</v>
      </c>
      <c r="O14507" t="s">
        <v>45096</v>
      </c>
      <c r="P14507">
        <v>0</v>
      </c>
      <c r="Q14507">
        <v>25</v>
      </c>
      <c r="R14507" t="s">
        <v>45120</v>
      </c>
      <c r="S14507" t="s">
        <v>46102</v>
      </c>
      <c r="T14507" t="s">
        <v>47159</v>
      </c>
      <c r="U14507" t="s">
        <v>59175</v>
      </c>
      <c r="W14507" t="s">
        <v>61740</v>
      </c>
      <c r="X14507" t="s">
        <v>45122</v>
      </c>
    </row>
    <row r="14508" spans="1:24">
      <c r="A14508">
        <f>HYPERLINK("https://www.philgeps.gov.ph/GEPSNONPILOT/Tender/SplashBidNoticeAbstractUI.aspx?menuIndex=3&amp;refID=7007566&amp;Result=3","7007566")</f>
        <v>0</v>
      </c>
      <c r="B14508" t="s">
        <v>1639</v>
      </c>
      <c r="C14508" t="s">
        <v>17084</v>
      </c>
      <c r="E14508" t="s">
        <v>30710</v>
      </c>
      <c r="F14508" t="s">
        <v>31574</v>
      </c>
      <c r="G14508" t="s">
        <v>31582</v>
      </c>
      <c r="H14508" t="s">
        <v>31590</v>
      </c>
      <c r="I14508" t="s">
        <v>31631</v>
      </c>
      <c r="J14508" t="s">
        <v>40616</v>
      </c>
      <c r="K14508" t="s">
        <v>41184</v>
      </c>
      <c r="M14508" t="s">
        <v>43248</v>
      </c>
      <c r="N14508" t="s">
        <v>45095</v>
      </c>
      <c r="O14508" t="s">
        <v>45096</v>
      </c>
      <c r="Q14508">
        <v>2</v>
      </c>
      <c r="R14508" t="s">
        <v>45120</v>
      </c>
      <c r="S14508" t="s">
        <v>46119</v>
      </c>
      <c r="T14508" t="s">
        <v>47154</v>
      </c>
      <c r="U14508" t="s">
        <v>59178</v>
      </c>
      <c r="W14508" t="s">
        <v>43248</v>
      </c>
      <c r="X14508" t="s">
        <v>45122</v>
      </c>
    </row>
    <row r="14509" spans="1:24">
      <c r="A14509">
        <f>HYPERLINK("https://www.philgeps.gov.ph/GEPSNONPILOT/Tender/SplashBidNoticeAbstractUI.aspx?menuIndex=3&amp;refID=7007843&amp;Result=3","7007843")</f>
        <v>0</v>
      </c>
      <c r="B14509" t="s">
        <v>3131</v>
      </c>
      <c r="C14509" t="s">
        <v>17085</v>
      </c>
      <c r="D14509" t="s">
        <v>18070</v>
      </c>
      <c r="E14509" t="s">
        <v>30711</v>
      </c>
      <c r="F14509" t="s">
        <v>31574</v>
      </c>
      <c r="G14509" t="s">
        <v>31582</v>
      </c>
      <c r="H14509" t="s">
        <v>31591</v>
      </c>
      <c r="I14509" t="s">
        <v>8822</v>
      </c>
      <c r="J14509" t="s">
        <v>32361</v>
      </c>
      <c r="K14509" t="s">
        <v>41189</v>
      </c>
      <c r="M14509" t="s">
        <v>44981</v>
      </c>
      <c r="N14509" t="s">
        <v>45095</v>
      </c>
      <c r="O14509" t="s">
        <v>45096</v>
      </c>
      <c r="P14509">
        <v>0</v>
      </c>
      <c r="Q14509">
        <v>0</v>
      </c>
      <c r="R14509" t="s">
        <v>45120</v>
      </c>
      <c r="S14509" t="s">
        <v>46102</v>
      </c>
      <c r="T14509" t="s">
        <v>46980</v>
      </c>
      <c r="U14509" t="s">
        <v>59179</v>
      </c>
      <c r="V14509" t="s">
        <v>61471</v>
      </c>
      <c r="W14509" t="s">
        <v>44981</v>
      </c>
      <c r="X14509" t="s">
        <v>45122</v>
      </c>
    </row>
    <row r="14510" spans="1:24">
      <c r="A14510">
        <f>HYPERLINK("https://www.philgeps.gov.ph/GEPSNONPILOT/Tender/SplashBidNoticeAbstractUI.aspx?menuIndex=3&amp;refID=7007682&amp;Result=3","7007682")</f>
        <v>0</v>
      </c>
      <c r="B14510" t="s">
        <v>2485</v>
      </c>
      <c r="C14510" t="s">
        <v>17086</v>
      </c>
      <c r="D14510" t="s">
        <v>18084</v>
      </c>
      <c r="E14510" t="s">
        <v>30712</v>
      </c>
      <c r="F14510" t="s">
        <v>31574</v>
      </c>
      <c r="G14510" t="s">
        <v>31582</v>
      </c>
      <c r="H14510" t="s">
        <v>31591</v>
      </c>
      <c r="I14510" t="s">
        <v>8822</v>
      </c>
      <c r="J14510" t="s">
        <v>34070</v>
      </c>
      <c r="K14510" t="s">
        <v>41192</v>
      </c>
      <c r="M14510" t="s">
        <v>44216</v>
      </c>
      <c r="N14510" t="s">
        <v>45095</v>
      </c>
      <c r="O14510" t="s">
        <v>45096</v>
      </c>
      <c r="P14510">
        <v>0</v>
      </c>
      <c r="Q14510">
        <v>26</v>
      </c>
      <c r="R14510" t="s">
        <v>45120</v>
      </c>
      <c r="S14510" t="s">
        <v>46102</v>
      </c>
      <c r="T14510" t="s">
        <v>47159</v>
      </c>
      <c r="U14510" t="s">
        <v>59175</v>
      </c>
      <c r="W14510" t="s">
        <v>61740</v>
      </c>
      <c r="X14510" t="s">
        <v>45122</v>
      </c>
    </row>
    <row r="14511" spans="1:24">
      <c r="A14511">
        <f>HYPERLINK("https://www.philgeps.gov.ph/GEPSNONPILOT/Tender/SplashBidNoticeAbstractUI.aspx?menuIndex=3&amp;refID=7007661&amp;Result=3","7007661")</f>
        <v>0</v>
      </c>
      <c r="B14511" t="s">
        <v>2485</v>
      </c>
      <c r="C14511" t="s">
        <v>17087</v>
      </c>
      <c r="D14511" t="s">
        <v>18084</v>
      </c>
      <c r="E14511" t="s">
        <v>30713</v>
      </c>
      <c r="F14511" t="s">
        <v>31574</v>
      </c>
      <c r="G14511" t="s">
        <v>31582</v>
      </c>
      <c r="H14511" t="s">
        <v>31591</v>
      </c>
      <c r="I14511" t="s">
        <v>8822</v>
      </c>
      <c r="J14511" t="s">
        <v>32526</v>
      </c>
      <c r="K14511" t="s">
        <v>41186</v>
      </c>
      <c r="M14511" t="s">
        <v>44216</v>
      </c>
      <c r="N14511" t="s">
        <v>45095</v>
      </c>
      <c r="O14511" t="s">
        <v>45096</v>
      </c>
      <c r="Q14511">
        <v>25</v>
      </c>
      <c r="R14511" t="s">
        <v>45120</v>
      </c>
      <c r="S14511" t="s">
        <v>46120</v>
      </c>
      <c r="T14511" t="s">
        <v>47159</v>
      </c>
      <c r="U14511" t="s">
        <v>59175</v>
      </c>
      <c r="W14511" t="s">
        <v>61740</v>
      </c>
      <c r="X14511" t="s">
        <v>45122</v>
      </c>
    </row>
    <row r="14512" spans="1:24">
      <c r="A14512">
        <f>HYPERLINK("https://www.philgeps.gov.ph/GEPSNONPILOT/Tender/SplashBidNoticeAbstractUI.aspx?menuIndex=3&amp;refID=7007806&amp;Result=3","7007806")</f>
        <v>0</v>
      </c>
      <c r="B14512" t="s">
        <v>2489</v>
      </c>
      <c r="C14512" t="s">
        <v>17088</v>
      </c>
      <c r="D14512" t="s">
        <v>18055</v>
      </c>
      <c r="E14512" t="s">
        <v>30714</v>
      </c>
      <c r="F14512" t="s">
        <v>31574</v>
      </c>
      <c r="G14512" t="s">
        <v>31582</v>
      </c>
      <c r="H14512" t="s">
        <v>31591</v>
      </c>
      <c r="I14512" t="s">
        <v>8822</v>
      </c>
      <c r="J14512" t="s">
        <v>40617</v>
      </c>
      <c r="K14512" t="s">
        <v>41293</v>
      </c>
      <c r="L14512" t="s">
        <v>2489</v>
      </c>
      <c r="M14512" t="s">
        <v>44220</v>
      </c>
      <c r="N14512" t="s">
        <v>45095</v>
      </c>
      <c r="O14512" t="s">
        <v>45096</v>
      </c>
      <c r="P14512">
        <v>0</v>
      </c>
      <c r="Q14512">
        <v>15</v>
      </c>
      <c r="R14512" t="s">
        <v>45120</v>
      </c>
      <c r="S14512" t="s">
        <v>46102</v>
      </c>
      <c r="T14512" t="s">
        <v>47159</v>
      </c>
      <c r="U14512" t="s">
        <v>59180</v>
      </c>
      <c r="W14512" t="s">
        <v>44220</v>
      </c>
      <c r="X14512" t="s">
        <v>45122</v>
      </c>
    </row>
    <row r="14513" spans="1:24">
      <c r="A14513">
        <f>HYPERLINK("https://www.philgeps.gov.ph/GEPSNONPILOT/Tender/SplashBidNoticeAbstractUI.aspx?menuIndex=3&amp;refID=7007689&amp;Result=3","7007689")</f>
        <v>0</v>
      </c>
      <c r="B14513" t="s">
        <v>2485</v>
      </c>
      <c r="C14513" t="s">
        <v>17089</v>
      </c>
      <c r="D14513" t="s">
        <v>18084</v>
      </c>
      <c r="E14513" t="s">
        <v>30715</v>
      </c>
      <c r="F14513" t="s">
        <v>31574</v>
      </c>
      <c r="G14513" t="s">
        <v>31582</v>
      </c>
      <c r="H14513" t="s">
        <v>31591</v>
      </c>
      <c r="I14513" t="s">
        <v>8822</v>
      </c>
      <c r="J14513" t="s">
        <v>40039</v>
      </c>
      <c r="K14513" t="s">
        <v>41378</v>
      </c>
      <c r="M14513" t="s">
        <v>44216</v>
      </c>
      <c r="N14513" t="s">
        <v>45095</v>
      </c>
      <c r="O14513" t="s">
        <v>45096</v>
      </c>
      <c r="Q14513">
        <v>25</v>
      </c>
      <c r="R14513" t="s">
        <v>45120</v>
      </c>
      <c r="S14513" t="s">
        <v>46121</v>
      </c>
      <c r="T14513" t="s">
        <v>47159</v>
      </c>
      <c r="U14513" t="s">
        <v>59175</v>
      </c>
      <c r="W14513" t="s">
        <v>61740</v>
      </c>
      <c r="X14513" t="s">
        <v>45122</v>
      </c>
    </row>
    <row r="14514" spans="1:24">
      <c r="A14514">
        <f>HYPERLINK("https://www.philgeps.gov.ph/GEPSNONPILOT/Tender/SplashBidNoticeAbstractUI.aspx?menuIndex=3&amp;refID=7008255&amp;Result=3","7008255")</f>
        <v>0</v>
      </c>
      <c r="B14514" t="s">
        <v>1515</v>
      </c>
      <c r="C14514" t="s">
        <v>17090</v>
      </c>
      <c r="D14514" t="s">
        <v>18022</v>
      </c>
      <c r="E14514" t="s">
        <v>30716</v>
      </c>
      <c r="F14514" t="s">
        <v>31574</v>
      </c>
      <c r="G14514" t="s">
        <v>31582</v>
      </c>
      <c r="H14514" t="s">
        <v>31590</v>
      </c>
      <c r="I14514" t="s">
        <v>7185</v>
      </c>
      <c r="J14514" t="s">
        <v>40618</v>
      </c>
      <c r="K14514" t="s">
        <v>41184</v>
      </c>
      <c r="M14514" t="s">
        <v>43106</v>
      </c>
      <c r="N14514" t="s">
        <v>45095</v>
      </c>
      <c r="O14514" t="s">
        <v>45096</v>
      </c>
      <c r="P14514">
        <v>0</v>
      </c>
      <c r="Q14514">
        <v>22</v>
      </c>
      <c r="R14514" t="s">
        <v>45120</v>
      </c>
      <c r="S14514" t="s">
        <v>46102</v>
      </c>
      <c r="T14514" t="s">
        <v>47050</v>
      </c>
      <c r="U14514" t="s">
        <v>59181</v>
      </c>
      <c r="W14514" t="s">
        <v>43106</v>
      </c>
      <c r="X14514" t="s">
        <v>45122</v>
      </c>
    </row>
    <row r="14515" spans="1:24">
      <c r="A14515">
        <f>HYPERLINK("https://www.philgeps.gov.ph/GEPSNONPILOT/Tender/SplashBidNoticeAbstractUI.aspx?menuIndex=3&amp;refID=7008097&amp;Result=3","7008097")</f>
        <v>0</v>
      </c>
      <c r="B14515" t="s">
        <v>1536</v>
      </c>
      <c r="C14515" t="s">
        <v>17091</v>
      </c>
      <c r="D14515" t="s">
        <v>18059</v>
      </c>
      <c r="E14515" t="s">
        <v>30717</v>
      </c>
      <c r="F14515" t="s">
        <v>31574</v>
      </c>
      <c r="G14515" t="s">
        <v>31582</v>
      </c>
      <c r="H14515" t="s">
        <v>31590</v>
      </c>
      <c r="I14515" t="s">
        <v>31615</v>
      </c>
      <c r="J14515" t="s">
        <v>32986</v>
      </c>
      <c r="K14515" t="s">
        <v>41198</v>
      </c>
      <c r="M14515" t="s">
        <v>43128</v>
      </c>
      <c r="N14515" t="s">
        <v>45095</v>
      </c>
      <c r="O14515" t="s">
        <v>45096</v>
      </c>
      <c r="P14515">
        <v>0</v>
      </c>
      <c r="Q14515">
        <v>10</v>
      </c>
      <c r="R14515" t="s">
        <v>45120</v>
      </c>
      <c r="S14515" t="s">
        <v>46102</v>
      </c>
      <c r="T14515" t="s">
        <v>47050</v>
      </c>
      <c r="U14515" t="s">
        <v>59182</v>
      </c>
      <c r="W14515" t="s">
        <v>43128</v>
      </c>
      <c r="X14515" t="s">
        <v>45122</v>
      </c>
    </row>
    <row r="14516" spans="1:24">
      <c r="A14516">
        <f>HYPERLINK("https://www.philgeps.gov.ph/GEPSNONPILOT/Tender/SplashBidNoticeAbstractUI.aspx?menuIndex=3&amp;refID=7007823&amp;Result=3","7007823")</f>
        <v>0</v>
      </c>
      <c r="B14516" t="s">
        <v>1114</v>
      </c>
      <c r="C14516" t="s">
        <v>17092</v>
      </c>
      <c r="D14516" t="s">
        <v>18022</v>
      </c>
      <c r="E14516" t="s">
        <v>30718</v>
      </c>
      <c r="F14516" t="s">
        <v>31574</v>
      </c>
      <c r="G14516" t="s">
        <v>31584</v>
      </c>
      <c r="H14516" t="s">
        <v>31590</v>
      </c>
      <c r="I14516" t="s">
        <v>6800</v>
      </c>
      <c r="J14516" t="s">
        <v>40619</v>
      </c>
      <c r="K14516" t="s">
        <v>41193</v>
      </c>
      <c r="M14516" t="s">
        <v>42663</v>
      </c>
      <c r="N14516" t="s">
        <v>45095</v>
      </c>
      <c r="O14516" t="s">
        <v>45096</v>
      </c>
      <c r="Q14516">
        <v>7</v>
      </c>
      <c r="R14516" t="s">
        <v>45120</v>
      </c>
      <c r="S14516" t="s">
        <v>46122</v>
      </c>
      <c r="T14516" t="s">
        <v>47080</v>
      </c>
      <c r="U14516" t="s">
        <v>59183</v>
      </c>
      <c r="W14516" t="s">
        <v>42663</v>
      </c>
      <c r="X14516" t="s">
        <v>45122</v>
      </c>
    </row>
    <row r="14517" spans="1:24">
      <c r="A14517">
        <f>HYPERLINK("https://www.philgeps.gov.ph/GEPSNONPILOT/Tender/SplashBidNoticeAbstractUI.aspx?menuIndex=3&amp;refID=7008327&amp;Result=3","7008327")</f>
        <v>0</v>
      </c>
      <c r="B14517" t="s">
        <v>2240</v>
      </c>
      <c r="C14517" t="s">
        <v>17093</v>
      </c>
      <c r="D14517" t="s">
        <v>18041</v>
      </c>
      <c r="E14517" t="s">
        <v>30719</v>
      </c>
      <c r="F14517" t="s">
        <v>31574</v>
      </c>
      <c r="G14517" t="s">
        <v>31582</v>
      </c>
      <c r="H14517" t="s">
        <v>31591</v>
      </c>
      <c r="I14517" t="s">
        <v>8822</v>
      </c>
      <c r="J14517" t="s">
        <v>40620</v>
      </c>
      <c r="K14517" t="s">
        <v>41228</v>
      </c>
      <c r="M14517" t="s">
        <v>43937</v>
      </c>
      <c r="N14517" t="s">
        <v>45095</v>
      </c>
      <c r="O14517" t="s">
        <v>45096</v>
      </c>
      <c r="P14517">
        <v>0</v>
      </c>
      <c r="Q14517">
        <v>3</v>
      </c>
      <c r="R14517" t="s">
        <v>45120</v>
      </c>
      <c r="S14517" t="s">
        <v>46102</v>
      </c>
      <c r="T14517" t="s">
        <v>47124</v>
      </c>
      <c r="U14517" t="s">
        <v>59184</v>
      </c>
      <c r="W14517" t="s">
        <v>43937</v>
      </c>
      <c r="X14517" t="s">
        <v>45122</v>
      </c>
    </row>
    <row r="14518" spans="1:24">
      <c r="A14518">
        <f>HYPERLINK("https://www.philgeps.gov.ph/GEPSNONPILOT/Tender/SplashBidNoticeAbstractUI.aspx?menuIndex=3&amp;refID=7008051&amp;Result=3","7008051")</f>
        <v>0</v>
      </c>
      <c r="B14518" t="s">
        <v>1536</v>
      </c>
      <c r="C14518" t="s">
        <v>17094</v>
      </c>
      <c r="D14518" t="s">
        <v>18059</v>
      </c>
      <c r="E14518" t="s">
        <v>30720</v>
      </c>
      <c r="F14518" t="s">
        <v>31574</v>
      </c>
      <c r="G14518" t="s">
        <v>31582</v>
      </c>
      <c r="H14518" t="s">
        <v>31590</v>
      </c>
      <c r="I14518" t="s">
        <v>3489</v>
      </c>
      <c r="J14518" t="s">
        <v>32020</v>
      </c>
      <c r="K14518" t="s">
        <v>41196</v>
      </c>
      <c r="M14518" t="s">
        <v>43128</v>
      </c>
      <c r="N14518" t="s">
        <v>45095</v>
      </c>
      <c r="O14518" t="s">
        <v>45096</v>
      </c>
      <c r="P14518">
        <v>0</v>
      </c>
      <c r="Q14518">
        <v>0</v>
      </c>
      <c r="R14518" t="s">
        <v>45120</v>
      </c>
      <c r="S14518" t="s">
        <v>46102</v>
      </c>
      <c r="T14518" t="s">
        <v>47050</v>
      </c>
      <c r="U14518" t="s">
        <v>59185</v>
      </c>
      <c r="W14518" t="s">
        <v>43128</v>
      </c>
      <c r="X14518" t="s">
        <v>45122</v>
      </c>
    </row>
    <row r="14519" spans="1:24">
      <c r="A14519">
        <f>HYPERLINK("https://www.philgeps.gov.ph/GEPSNONPILOT/Tender/SplashBidNoticeAbstractUI.aspx?menuIndex=3&amp;refID=7008218&amp;Result=3","7008218")</f>
        <v>0</v>
      </c>
      <c r="B14519" t="s">
        <v>2240</v>
      </c>
      <c r="C14519" t="s">
        <v>17095</v>
      </c>
      <c r="D14519" t="s">
        <v>18041</v>
      </c>
      <c r="E14519" t="s">
        <v>30721</v>
      </c>
      <c r="F14519" t="s">
        <v>31574</v>
      </c>
      <c r="G14519" t="s">
        <v>31582</v>
      </c>
      <c r="H14519" t="s">
        <v>31591</v>
      </c>
      <c r="I14519" t="s">
        <v>8822</v>
      </c>
      <c r="J14519" t="s">
        <v>32076</v>
      </c>
      <c r="K14519" t="s">
        <v>41192</v>
      </c>
      <c r="M14519" t="s">
        <v>43937</v>
      </c>
      <c r="N14519" t="s">
        <v>45095</v>
      </c>
      <c r="O14519" t="s">
        <v>45096</v>
      </c>
      <c r="P14519">
        <v>0</v>
      </c>
      <c r="Q14519">
        <v>3</v>
      </c>
      <c r="R14519" t="s">
        <v>45120</v>
      </c>
      <c r="S14519" t="s">
        <v>46102</v>
      </c>
      <c r="T14519" t="s">
        <v>47124</v>
      </c>
      <c r="U14519" t="s">
        <v>59184</v>
      </c>
      <c r="W14519" t="s">
        <v>43937</v>
      </c>
      <c r="X14519" t="s">
        <v>45122</v>
      </c>
    </row>
    <row r="14520" spans="1:24">
      <c r="A14520">
        <f>HYPERLINK("https://www.philgeps.gov.ph/GEPSNONPILOT/Tender/SplashBidNoticeAbstractUI.aspx?menuIndex=3&amp;refID=7008012&amp;Result=3","7008012")</f>
        <v>0</v>
      </c>
      <c r="B14520" t="s">
        <v>483</v>
      </c>
      <c r="C14520" t="s">
        <v>17096</v>
      </c>
      <c r="D14520" t="s">
        <v>18042</v>
      </c>
      <c r="E14520" t="s">
        <v>30722</v>
      </c>
      <c r="F14520" t="s">
        <v>31574</v>
      </c>
      <c r="G14520" t="s">
        <v>31582</v>
      </c>
      <c r="H14520" t="s">
        <v>31590</v>
      </c>
      <c r="I14520" t="s">
        <v>7185</v>
      </c>
      <c r="J14520" t="s">
        <v>40621</v>
      </c>
      <c r="K14520" t="s">
        <v>41186</v>
      </c>
      <c r="M14520" t="s">
        <v>41979</v>
      </c>
      <c r="N14520" t="s">
        <v>45095</v>
      </c>
      <c r="O14520" t="s">
        <v>45096</v>
      </c>
      <c r="Q14520">
        <v>6</v>
      </c>
      <c r="R14520" t="s">
        <v>45120</v>
      </c>
      <c r="S14520" t="s">
        <v>46123</v>
      </c>
      <c r="T14520" t="s">
        <v>47154</v>
      </c>
      <c r="U14520" t="s">
        <v>59186</v>
      </c>
      <c r="W14520" t="s">
        <v>41979</v>
      </c>
      <c r="X14520" t="s">
        <v>45122</v>
      </c>
    </row>
    <row r="14521" spans="1:24">
      <c r="A14521">
        <f>HYPERLINK("https://www.philgeps.gov.ph/GEPSNONPILOT/Tender/SplashBidNoticeAbstractUI.aspx?menuIndex=3&amp;refID=7008391&amp;Result=3","7008391")</f>
        <v>0</v>
      </c>
      <c r="B14521" t="s">
        <v>1515</v>
      </c>
      <c r="C14521" t="s">
        <v>17097</v>
      </c>
      <c r="D14521" t="s">
        <v>18022</v>
      </c>
      <c r="E14521" t="s">
        <v>30723</v>
      </c>
      <c r="F14521" t="s">
        <v>31574</v>
      </c>
      <c r="G14521" t="s">
        <v>31582</v>
      </c>
      <c r="H14521" t="s">
        <v>31590</v>
      </c>
      <c r="I14521" t="s">
        <v>31594</v>
      </c>
      <c r="J14521" t="s">
        <v>40622</v>
      </c>
      <c r="K14521" t="s">
        <v>41184</v>
      </c>
      <c r="M14521" t="s">
        <v>43106</v>
      </c>
      <c r="N14521" t="s">
        <v>45095</v>
      </c>
      <c r="O14521" t="s">
        <v>45096</v>
      </c>
      <c r="Q14521">
        <v>23</v>
      </c>
      <c r="R14521" t="s">
        <v>45120</v>
      </c>
      <c r="S14521" t="s">
        <v>46124</v>
      </c>
      <c r="T14521" t="s">
        <v>47050</v>
      </c>
      <c r="U14521" t="s">
        <v>59181</v>
      </c>
      <c r="W14521" t="s">
        <v>43106</v>
      </c>
      <c r="X14521" t="s">
        <v>45122</v>
      </c>
    </row>
    <row r="14522" spans="1:24">
      <c r="A14522">
        <f>HYPERLINK("https://www.philgeps.gov.ph/GEPSNONPILOT/Tender/SplashBidNoticeAbstractUI.aspx?menuIndex=3&amp;refID=7008492&amp;Result=3","7008492")</f>
        <v>0</v>
      </c>
      <c r="B14522" t="s">
        <v>3132</v>
      </c>
      <c r="C14522" t="s">
        <v>3509</v>
      </c>
      <c r="D14522" t="s">
        <v>18065</v>
      </c>
      <c r="E14522" t="s">
        <v>30724</v>
      </c>
      <c r="F14522" t="s">
        <v>31574</v>
      </c>
      <c r="G14522" t="s">
        <v>31582</v>
      </c>
      <c r="H14522" t="s">
        <v>31590</v>
      </c>
      <c r="I14522" t="s">
        <v>8258</v>
      </c>
      <c r="J14522" t="s">
        <v>40623</v>
      </c>
      <c r="K14522" t="s">
        <v>41193</v>
      </c>
      <c r="M14522" t="s">
        <v>44982</v>
      </c>
      <c r="N14522" t="s">
        <v>45095</v>
      </c>
      <c r="O14522" t="s">
        <v>45096</v>
      </c>
      <c r="P14522">
        <v>0</v>
      </c>
      <c r="Q14522">
        <v>1</v>
      </c>
      <c r="R14522" t="s">
        <v>45120</v>
      </c>
      <c r="S14522" t="s">
        <v>46102</v>
      </c>
      <c r="T14522" t="s">
        <v>47438</v>
      </c>
      <c r="U14522" t="s">
        <v>59187</v>
      </c>
      <c r="W14522" t="s">
        <v>44982</v>
      </c>
      <c r="X14522" t="s">
        <v>45122</v>
      </c>
    </row>
    <row r="14523" spans="1:24">
      <c r="A14523">
        <f>HYPERLINK("https://www.philgeps.gov.ph/GEPSNONPILOT/Tender/SplashBidNoticeAbstractUI.aspx?menuIndex=3&amp;refID=7003088&amp;Result=3","7003088")</f>
        <v>0</v>
      </c>
      <c r="B14523" t="s">
        <v>3133</v>
      </c>
      <c r="C14523" t="s">
        <v>17098</v>
      </c>
      <c r="D14523" t="s">
        <v>18062</v>
      </c>
      <c r="E14523" t="s">
        <v>18175</v>
      </c>
      <c r="F14523" t="s">
        <v>31574</v>
      </c>
      <c r="G14523" t="s">
        <v>31582</v>
      </c>
      <c r="H14523" t="s">
        <v>31590</v>
      </c>
      <c r="I14523" t="s">
        <v>31615</v>
      </c>
      <c r="J14523" t="s">
        <v>31821</v>
      </c>
      <c r="K14523" t="s">
        <v>41186</v>
      </c>
      <c r="M14523" t="s">
        <v>44983</v>
      </c>
      <c r="N14523" t="s">
        <v>45095</v>
      </c>
      <c r="O14523" t="s">
        <v>45096</v>
      </c>
      <c r="P14523">
        <v>0</v>
      </c>
      <c r="Q14523">
        <v>5</v>
      </c>
      <c r="R14523" t="s">
        <v>45122</v>
      </c>
      <c r="S14523" t="s">
        <v>46125</v>
      </c>
      <c r="T14523" t="s">
        <v>46980</v>
      </c>
      <c r="U14523" t="s">
        <v>59188</v>
      </c>
      <c r="W14523" t="s">
        <v>44983</v>
      </c>
      <c r="X14523" t="s">
        <v>45124</v>
      </c>
    </row>
    <row r="14524" spans="1:24">
      <c r="A14524">
        <f>HYPERLINK("https://www.philgeps.gov.ph/GEPSNONPILOT/Tender/SplashBidNoticeAbstractUI.aspx?menuIndex=3&amp;refID=7008500&amp;Result=3","7008500")</f>
        <v>0</v>
      </c>
      <c r="B14524" t="s">
        <v>767</v>
      </c>
      <c r="C14524" t="s">
        <v>17099</v>
      </c>
      <c r="D14524" t="s">
        <v>18068</v>
      </c>
      <c r="E14524" t="s">
        <v>30725</v>
      </c>
      <c r="F14524" t="s">
        <v>31574</v>
      </c>
      <c r="G14524" t="s">
        <v>31582</v>
      </c>
      <c r="H14524" t="s">
        <v>31591</v>
      </c>
      <c r="I14524" t="s">
        <v>8822</v>
      </c>
      <c r="J14524" t="s">
        <v>31962</v>
      </c>
      <c r="K14524" t="s">
        <v>41238</v>
      </c>
      <c r="M14524" t="s">
        <v>42281</v>
      </c>
      <c r="N14524" t="s">
        <v>45095</v>
      </c>
      <c r="O14524" t="s">
        <v>45096</v>
      </c>
      <c r="Q14524">
        <v>0</v>
      </c>
      <c r="R14524" t="s">
        <v>45120</v>
      </c>
      <c r="S14524" t="s">
        <v>46126</v>
      </c>
      <c r="T14524" t="s">
        <v>47162</v>
      </c>
      <c r="U14524" t="s">
        <v>59189</v>
      </c>
      <c r="V14524" t="s">
        <v>61472</v>
      </c>
      <c r="W14524" t="s">
        <v>42281</v>
      </c>
      <c r="X14524" t="s">
        <v>45122</v>
      </c>
    </row>
    <row r="14525" spans="1:24">
      <c r="A14525">
        <f>HYPERLINK("https://www.philgeps.gov.ph/GEPSNONPILOT/Tender/SplashBidNoticeAbstractUI.aspx?menuIndex=3&amp;refID=7008618&amp;Result=3","7008618")</f>
        <v>0</v>
      </c>
      <c r="B14525" t="s">
        <v>901</v>
      </c>
      <c r="C14525" t="s">
        <v>17100</v>
      </c>
      <c r="D14525" t="s">
        <v>18066</v>
      </c>
      <c r="E14525" t="s">
        <v>30726</v>
      </c>
      <c r="F14525" t="s">
        <v>31574</v>
      </c>
      <c r="G14525" t="s">
        <v>31582</v>
      </c>
      <c r="H14525" t="s">
        <v>31591</v>
      </c>
      <c r="I14525" t="s">
        <v>8822</v>
      </c>
      <c r="J14525" t="s">
        <v>31819</v>
      </c>
      <c r="K14525" t="s">
        <v>41345</v>
      </c>
      <c r="M14525" t="s">
        <v>42425</v>
      </c>
      <c r="N14525" t="s">
        <v>45095</v>
      </c>
      <c r="O14525" t="s">
        <v>45096</v>
      </c>
      <c r="Q14525">
        <v>4</v>
      </c>
      <c r="R14525" t="s">
        <v>45120</v>
      </c>
      <c r="S14525" t="s">
        <v>46127</v>
      </c>
      <c r="T14525" t="s">
        <v>46973</v>
      </c>
      <c r="U14525" t="s">
        <v>59190</v>
      </c>
      <c r="W14525" t="s">
        <v>42425</v>
      </c>
      <c r="X14525" t="s">
        <v>45122</v>
      </c>
    </row>
    <row r="14526" spans="1:24">
      <c r="A14526">
        <f>HYPERLINK("https://www.philgeps.gov.ph/GEPSNONPILOT/Tender/SplashBidNoticeAbstractUI.aspx?menuIndex=3&amp;refID=7008616&amp;Result=3","7008616")</f>
        <v>0</v>
      </c>
      <c r="B14526" t="s">
        <v>901</v>
      </c>
      <c r="C14526" t="s">
        <v>17101</v>
      </c>
      <c r="D14526" t="s">
        <v>18066</v>
      </c>
      <c r="E14526" t="s">
        <v>30727</v>
      </c>
      <c r="F14526" t="s">
        <v>31574</v>
      </c>
      <c r="G14526" t="s">
        <v>31582</v>
      </c>
      <c r="H14526" t="s">
        <v>31591</v>
      </c>
      <c r="I14526" t="s">
        <v>8822</v>
      </c>
      <c r="J14526" t="s">
        <v>34070</v>
      </c>
      <c r="K14526" t="s">
        <v>41200</v>
      </c>
      <c r="M14526" t="s">
        <v>42425</v>
      </c>
      <c r="N14526" t="s">
        <v>45095</v>
      </c>
      <c r="O14526" t="s">
        <v>45096</v>
      </c>
      <c r="Q14526">
        <v>4</v>
      </c>
      <c r="R14526" t="s">
        <v>45120</v>
      </c>
      <c r="S14526" t="s">
        <v>46128</v>
      </c>
      <c r="T14526" t="s">
        <v>46973</v>
      </c>
      <c r="U14526" t="s">
        <v>59191</v>
      </c>
      <c r="W14526" t="s">
        <v>42425</v>
      </c>
      <c r="X14526" t="s">
        <v>45122</v>
      </c>
    </row>
    <row r="14527" spans="1:24">
      <c r="A14527">
        <f>HYPERLINK("https://www.philgeps.gov.ph/GEPSNONPILOT/Tender/SplashBidNoticeAbstractUI.aspx?menuIndex=3&amp;refID=7008615&amp;Result=3","7008615")</f>
        <v>0</v>
      </c>
      <c r="B14527" t="s">
        <v>901</v>
      </c>
      <c r="C14527" t="s">
        <v>17102</v>
      </c>
      <c r="D14527" t="s">
        <v>18066</v>
      </c>
      <c r="E14527" t="s">
        <v>30728</v>
      </c>
      <c r="F14527" t="s">
        <v>31574</v>
      </c>
      <c r="G14527" t="s">
        <v>31582</v>
      </c>
      <c r="H14527" t="s">
        <v>31591</v>
      </c>
      <c r="I14527" t="s">
        <v>8822</v>
      </c>
      <c r="J14527" t="s">
        <v>40624</v>
      </c>
      <c r="K14527" t="s">
        <v>41202</v>
      </c>
      <c r="M14527" t="s">
        <v>42425</v>
      </c>
      <c r="N14527" t="s">
        <v>45095</v>
      </c>
      <c r="O14527" t="s">
        <v>45096</v>
      </c>
      <c r="Q14527">
        <v>8</v>
      </c>
      <c r="R14527" t="s">
        <v>45120</v>
      </c>
      <c r="S14527" t="s">
        <v>46129</v>
      </c>
      <c r="T14527" t="s">
        <v>46973</v>
      </c>
      <c r="U14527" t="s">
        <v>59192</v>
      </c>
      <c r="W14527" t="s">
        <v>42425</v>
      </c>
      <c r="X14527" t="s">
        <v>45122</v>
      </c>
    </row>
    <row r="14528" spans="1:24">
      <c r="A14528">
        <f>HYPERLINK("https://www.philgeps.gov.ph/GEPSNONPILOT/Tender/SplashBidNoticeAbstractUI.aspx?menuIndex=3&amp;refID=7008625&amp;Result=3","7008625")</f>
        <v>0</v>
      </c>
      <c r="B14528" t="s">
        <v>901</v>
      </c>
      <c r="C14528" t="s">
        <v>17103</v>
      </c>
      <c r="D14528" t="s">
        <v>18066</v>
      </c>
      <c r="E14528" t="s">
        <v>30729</v>
      </c>
      <c r="F14528" t="s">
        <v>31574</v>
      </c>
      <c r="G14528" t="s">
        <v>31582</v>
      </c>
      <c r="H14528" t="s">
        <v>31591</v>
      </c>
      <c r="I14528" t="s">
        <v>8822</v>
      </c>
      <c r="J14528" t="s">
        <v>40625</v>
      </c>
      <c r="K14528" t="s">
        <v>41306</v>
      </c>
      <c r="M14528" t="s">
        <v>42425</v>
      </c>
      <c r="N14528" t="s">
        <v>45095</v>
      </c>
      <c r="O14528" t="s">
        <v>45096</v>
      </c>
      <c r="Q14528">
        <v>8</v>
      </c>
      <c r="R14528" t="s">
        <v>45120</v>
      </c>
      <c r="S14528" t="s">
        <v>46130</v>
      </c>
      <c r="T14528" t="s">
        <v>46973</v>
      </c>
      <c r="U14528" t="s">
        <v>59193</v>
      </c>
      <c r="W14528" t="s">
        <v>42425</v>
      </c>
      <c r="X14528" t="s">
        <v>45122</v>
      </c>
    </row>
    <row r="14529" spans="1:24">
      <c r="A14529">
        <f>HYPERLINK("https://www.philgeps.gov.ph/GEPSNONPILOT/Tender/SplashBidNoticeAbstractUI.aspx?menuIndex=3&amp;refID=7008598&amp;Result=3","7008598")</f>
        <v>0</v>
      </c>
      <c r="B14529" t="s">
        <v>901</v>
      </c>
      <c r="C14529" t="s">
        <v>17104</v>
      </c>
      <c r="D14529" t="s">
        <v>18066</v>
      </c>
      <c r="E14529" t="s">
        <v>30730</v>
      </c>
      <c r="F14529" t="s">
        <v>31574</v>
      </c>
      <c r="G14529" t="s">
        <v>31582</v>
      </c>
      <c r="H14529" t="s">
        <v>31591</v>
      </c>
      <c r="I14529" t="s">
        <v>8822</v>
      </c>
      <c r="J14529" t="s">
        <v>32504</v>
      </c>
      <c r="K14529" t="s">
        <v>41192</v>
      </c>
      <c r="M14529" t="s">
        <v>42425</v>
      </c>
      <c r="N14529" t="s">
        <v>45095</v>
      </c>
      <c r="O14529" t="s">
        <v>45096</v>
      </c>
      <c r="Q14529">
        <v>4</v>
      </c>
      <c r="R14529" t="s">
        <v>45120</v>
      </c>
      <c r="S14529" t="s">
        <v>46131</v>
      </c>
      <c r="T14529" t="s">
        <v>46973</v>
      </c>
      <c r="U14529" t="s">
        <v>59191</v>
      </c>
      <c r="W14529" t="s">
        <v>42425</v>
      </c>
      <c r="X14529" t="s">
        <v>45122</v>
      </c>
    </row>
    <row r="14530" spans="1:24">
      <c r="A14530">
        <f>HYPERLINK("https://www.philgeps.gov.ph/GEPSNONPILOT/Tender/SplashBidNoticeAbstractUI.aspx?menuIndex=3&amp;refID=7004942&amp;Result=3","7004942")</f>
        <v>0</v>
      </c>
      <c r="B14530" t="s">
        <v>155</v>
      </c>
      <c r="C14530" t="s">
        <v>17105</v>
      </c>
      <c r="E14530" t="s">
        <v>20026</v>
      </c>
      <c r="F14530" t="s">
        <v>31574</v>
      </c>
      <c r="G14530" t="s">
        <v>31582</v>
      </c>
      <c r="H14530" t="s">
        <v>31592</v>
      </c>
      <c r="I14530" t="s">
        <v>31623</v>
      </c>
      <c r="J14530" t="s">
        <v>40626</v>
      </c>
      <c r="K14530" t="s">
        <v>41210</v>
      </c>
      <c r="M14530" t="s">
        <v>41639</v>
      </c>
      <c r="N14530" t="s">
        <v>45095</v>
      </c>
      <c r="O14530" t="s">
        <v>45096</v>
      </c>
      <c r="P14530">
        <v>0</v>
      </c>
      <c r="Q14530">
        <v>3</v>
      </c>
      <c r="R14530" t="s">
        <v>45122</v>
      </c>
      <c r="S14530" t="s">
        <v>46125</v>
      </c>
      <c r="T14530" t="s">
        <v>46911</v>
      </c>
      <c r="U14530" t="s">
        <v>59194</v>
      </c>
      <c r="W14530" t="s">
        <v>41639</v>
      </c>
      <c r="X14530" t="s">
        <v>45123</v>
      </c>
    </row>
    <row r="14531" spans="1:24">
      <c r="A14531">
        <f>HYPERLINK("https://www.philgeps.gov.ph/GEPSNONPILOT/Tender/SplashBidNoticeAbstractUI.aspx?menuIndex=3&amp;refID=7008620&amp;Result=3","7008620")</f>
        <v>0</v>
      </c>
      <c r="B14531" t="s">
        <v>901</v>
      </c>
      <c r="C14531" t="s">
        <v>17106</v>
      </c>
      <c r="D14531" t="s">
        <v>18066</v>
      </c>
      <c r="E14531" t="s">
        <v>30731</v>
      </c>
      <c r="F14531" t="s">
        <v>31574</v>
      </c>
      <c r="G14531" t="s">
        <v>31582</v>
      </c>
      <c r="H14531" t="s">
        <v>31591</v>
      </c>
      <c r="I14531" t="s">
        <v>8822</v>
      </c>
      <c r="J14531" t="s">
        <v>33252</v>
      </c>
      <c r="K14531" t="s">
        <v>41189</v>
      </c>
      <c r="M14531" t="s">
        <v>42425</v>
      </c>
      <c r="N14531" t="s">
        <v>45095</v>
      </c>
      <c r="O14531" t="s">
        <v>45096</v>
      </c>
      <c r="Q14531">
        <v>5</v>
      </c>
      <c r="R14531" t="s">
        <v>45120</v>
      </c>
      <c r="S14531" t="s">
        <v>46132</v>
      </c>
      <c r="T14531" t="s">
        <v>46973</v>
      </c>
      <c r="U14531" t="s">
        <v>59191</v>
      </c>
      <c r="W14531" t="s">
        <v>42425</v>
      </c>
      <c r="X14531" t="s">
        <v>45122</v>
      </c>
    </row>
    <row r="14532" spans="1:24">
      <c r="A14532">
        <f>HYPERLINK("https://www.philgeps.gov.ph/GEPSNONPILOT/Tender/SplashBidNoticeAbstractUI.aspx?menuIndex=3&amp;refID=7004683&amp;Result=3","7004683")</f>
        <v>0</v>
      </c>
      <c r="B14532" t="s">
        <v>2029</v>
      </c>
      <c r="C14532" t="s">
        <v>17107</v>
      </c>
      <c r="D14532" t="s">
        <v>18055</v>
      </c>
      <c r="E14532" t="s">
        <v>30732</v>
      </c>
      <c r="F14532" t="s">
        <v>31574</v>
      </c>
      <c r="G14532" t="s">
        <v>31582</v>
      </c>
      <c r="H14532" t="s">
        <v>31591</v>
      </c>
      <c r="I14532" t="s">
        <v>8822</v>
      </c>
      <c r="J14532" t="s">
        <v>31935</v>
      </c>
      <c r="K14532" t="s">
        <v>41287</v>
      </c>
      <c r="M14532" t="s">
        <v>43694</v>
      </c>
      <c r="N14532" t="s">
        <v>45095</v>
      </c>
      <c r="O14532" t="s">
        <v>45096</v>
      </c>
      <c r="P14532">
        <v>0</v>
      </c>
      <c r="Q14532">
        <v>59</v>
      </c>
      <c r="R14532" t="s">
        <v>45122</v>
      </c>
      <c r="S14532" t="s">
        <v>46125</v>
      </c>
      <c r="T14532" t="s">
        <v>47154</v>
      </c>
      <c r="U14532" t="s">
        <v>59195</v>
      </c>
      <c r="V14532" t="s">
        <v>61473</v>
      </c>
      <c r="W14532" t="s">
        <v>43694</v>
      </c>
      <c r="X14532" t="s">
        <v>45124</v>
      </c>
    </row>
    <row r="14533" spans="1:24">
      <c r="A14533">
        <f>HYPERLINK("https://www.philgeps.gov.ph/GEPSNONPILOT/Tender/SplashBidNoticeAbstractUI.aspx?menuIndex=3&amp;refID=7004620&amp;Result=3","7004620")</f>
        <v>0</v>
      </c>
      <c r="B14533" t="s">
        <v>2029</v>
      </c>
      <c r="C14533" t="s">
        <v>17108</v>
      </c>
      <c r="D14533" t="s">
        <v>18055</v>
      </c>
      <c r="E14533" t="s">
        <v>30733</v>
      </c>
      <c r="F14533" t="s">
        <v>31574</v>
      </c>
      <c r="G14533" t="s">
        <v>31582</v>
      </c>
      <c r="H14533" t="s">
        <v>31591</v>
      </c>
      <c r="I14533" t="s">
        <v>8822</v>
      </c>
      <c r="J14533" t="s">
        <v>32019</v>
      </c>
      <c r="K14533" t="s">
        <v>41199</v>
      </c>
      <c r="M14533" t="s">
        <v>43694</v>
      </c>
      <c r="N14533" t="s">
        <v>45095</v>
      </c>
      <c r="O14533" t="s">
        <v>45096</v>
      </c>
      <c r="P14533">
        <v>0</v>
      </c>
      <c r="Q14533">
        <v>37</v>
      </c>
      <c r="R14533" t="s">
        <v>45122</v>
      </c>
      <c r="S14533" t="s">
        <v>46125</v>
      </c>
      <c r="T14533" t="s">
        <v>47154</v>
      </c>
      <c r="U14533" t="s">
        <v>59196</v>
      </c>
      <c r="V14533" t="s">
        <v>61474</v>
      </c>
      <c r="W14533" t="s">
        <v>43694</v>
      </c>
      <c r="X14533" t="s">
        <v>45124</v>
      </c>
    </row>
    <row r="14534" spans="1:24">
      <c r="A14534">
        <f>HYPERLINK("https://www.philgeps.gov.ph/GEPSNONPILOT/Tender/SplashBidNoticeAbstractUI.aspx?menuIndex=3&amp;refID=7008714&amp;Result=3","7008714")</f>
        <v>0</v>
      </c>
      <c r="B14534" t="s">
        <v>135</v>
      </c>
      <c r="C14534" t="s">
        <v>9423</v>
      </c>
      <c r="D14534" t="s">
        <v>18022</v>
      </c>
      <c r="E14534" t="s">
        <v>20000</v>
      </c>
      <c r="F14534" t="s">
        <v>31574</v>
      </c>
      <c r="G14534" t="s">
        <v>31582</v>
      </c>
      <c r="H14534" t="s">
        <v>31591</v>
      </c>
      <c r="I14534" t="s">
        <v>8822</v>
      </c>
      <c r="J14534" t="s">
        <v>34360</v>
      </c>
      <c r="K14534" t="s">
        <v>41256</v>
      </c>
      <c r="M14534" t="s">
        <v>42252</v>
      </c>
      <c r="N14534" t="s">
        <v>45095</v>
      </c>
      <c r="O14534" t="s">
        <v>45096</v>
      </c>
      <c r="P14534">
        <v>0</v>
      </c>
      <c r="Q14534">
        <v>4</v>
      </c>
      <c r="R14534" t="s">
        <v>45120</v>
      </c>
      <c r="S14534" t="s">
        <v>46102</v>
      </c>
      <c r="T14534" t="s">
        <v>47154</v>
      </c>
      <c r="U14534" t="s">
        <v>59197</v>
      </c>
      <c r="W14534" t="s">
        <v>42252</v>
      </c>
      <c r="X14534" t="s">
        <v>45122</v>
      </c>
    </row>
    <row r="14535" spans="1:24">
      <c r="A14535">
        <f>HYPERLINK("https://www.philgeps.gov.ph/GEPSNONPILOT/Tender/SplashBidNoticeAbstractUI.aspx?menuIndex=3&amp;refID=7004843&amp;Result=3","7004843")</f>
        <v>0</v>
      </c>
      <c r="B14535" t="s">
        <v>1997</v>
      </c>
      <c r="C14535" t="s">
        <v>17109</v>
      </c>
      <c r="D14535" t="s">
        <v>18023</v>
      </c>
      <c r="E14535" t="s">
        <v>30734</v>
      </c>
      <c r="F14535" t="s">
        <v>31574</v>
      </c>
      <c r="G14535" t="s">
        <v>31582</v>
      </c>
      <c r="H14535" t="s">
        <v>31593</v>
      </c>
      <c r="I14535" t="s">
        <v>31593</v>
      </c>
      <c r="J14535" t="s">
        <v>40627</v>
      </c>
      <c r="K14535" t="s">
        <v>41189</v>
      </c>
      <c r="M14535" t="s">
        <v>43659</v>
      </c>
      <c r="N14535" t="s">
        <v>45095</v>
      </c>
      <c r="O14535" t="s">
        <v>45096</v>
      </c>
      <c r="P14535">
        <v>0</v>
      </c>
      <c r="Q14535">
        <v>9</v>
      </c>
      <c r="R14535" t="s">
        <v>45122</v>
      </c>
      <c r="S14535" t="s">
        <v>46125</v>
      </c>
      <c r="T14535" t="s">
        <v>47050</v>
      </c>
      <c r="U14535" t="s">
        <v>59198</v>
      </c>
      <c r="V14535" t="s">
        <v>61475</v>
      </c>
      <c r="W14535" t="s">
        <v>43659</v>
      </c>
      <c r="X14535" t="s">
        <v>45123</v>
      </c>
    </row>
    <row r="14536" spans="1:24">
      <c r="A14536">
        <f>HYPERLINK("https://www.philgeps.gov.ph/GEPSNONPILOT/Tender/SplashBidNoticeAbstractUI.aspx?menuIndex=3&amp;refID=7004567&amp;Result=3","7004567")</f>
        <v>0</v>
      </c>
      <c r="B14536" t="s">
        <v>2029</v>
      </c>
      <c r="C14536" t="s">
        <v>17110</v>
      </c>
      <c r="D14536" t="s">
        <v>18055</v>
      </c>
      <c r="E14536" t="s">
        <v>30735</v>
      </c>
      <c r="F14536" t="s">
        <v>31574</v>
      </c>
      <c r="G14536" t="s">
        <v>31582</v>
      </c>
      <c r="H14536" t="s">
        <v>31591</v>
      </c>
      <c r="I14536" t="s">
        <v>8822</v>
      </c>
      <c r="J14536" t="s">
        <v>35794</v>
      </c>
      <c r="K14536" t="s">
        <v>41268</v>
      </c>
      <c r="M14536" t="s">
        <v>43694</v>
      </c>
      <c r="N14536" t="s">
        <v>45095</v>
      </c>
      <c r="O14536" t="s">
        <v>45096</v>
      </c>
      <c r="P14536">
        <v>0</v>
      </c>
      <c r="Q14536">
        <v>68</v>
      </c>
      <c r="R14536" t="s">
        <v>45122</v>
      </c>
      <c r="S14536" t="s">
        <v>46125</v>
      </c>
      <c r="T14536" t="s">
        <v>47154</v>
      </c>
      <c r="U14536" t="s">
        <v>59199</v>
      </c>
      <c r="V14536" t="s">
        <v>61476</v>
      </c>
      <c r="W14536" t="s">
        <v>43694</v>
      </c>
      <c r="X14536" t="s">
        <v>45124</v>
      </c>
    </row>
    <row r="14537" spans="1:24">
      <c r="A14537">
        <f>HYPERLINK("https://www.philgeps.gov.ph/GEPSNONPILOT/Tender/SplashBidNoticeAbstractUI.aspx?menuIndex=3&amp;refID=7008605&amp;Result=3","7008605")</f>
        <v>0</v>
      </c>
      <c r="B14537" t="s">
        <v>901</v>
      </c>
      <c r="C14537" t="s">
        <v>17111</v>
      </c>
      <c r="D14537" t="s">
        <v>18066</v>
      </c>
      <c r="E14537" t="s">
        <v>30736</v>
      </c>
      <c r="F14537" t="s">
        <v>31574</v>
      </c>
      <c r="G14537" t="s">
        <v>31582</v>
      </c>
      <c r="H14537" t="s">
        <v>31591</v>
      </c>
      <c r="I14537" t="s">
        <v>8822</v>
      </c>
      <c r="J14537" t="s">
        <v>34059</v>
      </c>
      <c r="K14537" t="s">
        <v>41457</v>
      </c>
      <c r="M14537" t="s">
        <v>42425</v>
      </c>
      <c r="N14537" t="s">
        <v>45095</v>
      </c>
      <c r="O14537" t="s">
        <v>45096</v>
      </c>
      <c r="Q14537">
        <v>9</v>
      </c>
      <c r="R14537" t="s">
        <v>45120</v>
      </c>
      <c r="S14537" t="s">
        <v>46133</v>
      </c>
      <c r="T14537" t="s">
        <v>46966</v>
      </c>
      <c r="U14537" t="s">
        <v>59200</v>
      </c>
      <c r="W14537" t="s">
        <v>42425</v>
      </c>
      <c r="X14537" t="s">
        <v>45122</v>
      </c>
    </row>
    <row r="14538" spans="1:24">
      <c r="A14538">
        <f>HYPERLINK("https://www.philgeps.gov.ph/GEPSNONPILOT/Tender/SplashBidNoticeAbstractUI.aspx?menuIndex=3&amp;refID=7005101&amp;Result=3","7005101")</f>
        <v>0</v>
      </c>
      <c r="B14538" t="s">
        <v>2585</v>
      </c>
      <c r="C14538" t="s">
        <v>17112</v>
      </c>
      <c r="D14538" t="s">
        <v>18084</v>
      </c>
      <c r="E14538" t="s">
        <v>30737</v>
      </c>
      <c r="F14538" t="s">
        <v>31574</v>
      </c>
      <c r="G14538" t="s">
        <v>31582</v>
      </c>
      <c r="H14538" t="s">
        <v>31591</v>
      </c>
      <c r="I14538" t="s">
        <v>8822</v>
      </c>
      <c r="J14538" t="s">
        <v>31730</v>
      </c>
      <c r="K14538" t="s">
        <v>41189</v>
      </c>
      <c r="M14538" t="s">
        <v>44327</v>
      </c>
      <c r="N14538" t="s">
        <v>45095</v>
      </c>
      <c r="O14538" t="s">
        <v>45096</v>
      </c>
      <c r="Q14538">
        <v>14</v>
      </c>
      <c r="R14538" t="s">
        <v>45122</v>
      </c>
      <c r="S14538" t="s">
        <v>46134</v>
      </c>
      <c r="T14538" t="s">
        <v>47076</v>
      </c>
      <c r="U14538" t="s">
        <v>59201</v>
      </c>
      <c r="W14538" t="s">
        <v>44327</v>
      </c>
      <c r="X14538" t="s">
        <v>45123</v>
      </c>
    </row>
    <row r="14539" spans="1:24">
      <c r="A14539">
        <f>HYPERLINK("https://www.philgeps.gov.ph/GEPSNONPILOT/Tender/SplashBidNoticeAbstractUI.aspx?menuIndex=3&amp;refID=7003289&amp;Result=3","7003289")</f>
        <v>0</v>
      </c>
      <c r="B14539" t="s">
        <v>159</v>
      </c>
      <c r="C14539" t="s">
        <v>17113</v>
      </c>
      <c r="D14539" t="s">
        <v>18046</v>
      </c>
      <c r="E14539" t="s">
        <v>30738</v>
      </c>
      <c r="F14539" t="s">
        <v>31574</v>
      </c>
      <c r="G14539" t="s">
        <v>31582</v>
      </c>
      <c r="H14539" t="s">
        <v>31590</v>
      </c>
      <c r="I14539" t="s">
        <v>14544</v>
      </c>
      <c r="J14539" t="s">
        <v>40628</v>
      </c>
      <c r="K14539" t="s">
        <v>41186</v>
      </c>
      <c r="M14539" t="s">
        <v>41643</v>
      </c>
      <c r="N14539" t="s">
        <v>45095</v>
      </c>
      <c r="O14539" t="s">
        <v>45096</v>
      </c>
      <c r="P14539">
        <v>0</v>
      </c>
      <c r="Q14539">
        <v>0</v>
      </c>
      <c r="R14539" t="s">
        <v>45122</v>
      </c>
      <c r="S14539" t="s">
        <v>46125</v>
      </c>
      <c r="T14539" t="s">
        <v>47154</v>
      </c>
      <c r="U14539" t="s">
        <v>47772</v>
      </c>
      <c r="V14539" t="s">
        <v>59890</v>
      </c>
      <c r="W14539" t="s">
        <v>41643</v>
      </c>
      <c r="X14539" t="s">
        <v>45124</v>
      </c>
    </row>
    <row r="14540" spans="1:24">
      <c r="A14540">
        <f>HYPERLINK("https://www.philgeps.gov.ph/GEPSNONPILOT/Tender/SplashBidNoticeAbstractUI.aspx?menuIndex=3&amp;refID=7008434&amp;Result=3","7008434")</f>
        <v>0</v>
      </c>
      <c r="B14540" t="s">
        <v>2486</v>
      </c>
      <c r="C14540" t="s">
        <v>17114</v>
      </c>
      <c r="D14540" t="s">
        <v>18028</v>
      </c>
      <c r="E14540" t="s">
        <v>30739</v>
      </c>
      <c r="F14540" t="s">
        <v>31574</v>
      </c>
      <c r="G14540" t="s">
        <v>31588</v>
      </c>
      <c r="H14540" t="s">
        <v>31591</v>
      </c>
      <c r="I14540" t="s">
        <v>8822</v>
      </c>
      <c r="J14540" t="s">
        <v>40629</v>
      </c>
      <c r="K14540" t="s">
        <v>41200</v>
      </c>
      <c r="M14540" t="s">
        <v>44217</v>
      </c>
      <c r="N14540" t="s">
        <v>45095</v>
      </c>
      <c r="O14540" t="s">
        <v>45096</v>
      </c>
      <c r="Q14540">
        <v>0</v>
      </c>
      <c r="R14540" t="s">
        <v>45120</v>
      </c>
      <c r="S14540" t="s">
        <v>45517</v>
      </c>
      <c r="T14540" t="s">
        <v>46973</v>
      </c>
      <c r="U14540" t="s">
        <v>59202</v>
      </c>
      <c r="W14540" t="s">
        <v>44217</v>
      </c>
      <c r="X14540" t="s">
        <v>45122</v>
      </c>
    </row>
    <row r="14541" spans="1:24">
      <c r="A14541">
        <f>HYPERLINK("https://www.philgeps.gov.ph/GEPSNONPILOT/Tender/SplashBidNoticeAbstractUI.aspx?menuIndex=3&amp;refID=7005495&amp;Result=3","7005495")</f>
        <v>0</v>
      </c>
      <c r="B14541" t="s">
        <v>66</v>
      </c>
      <c r="C14541" t="s">
        <v>17115</v>
      </c>
      <c r="D14541" t="s">
        <v>18050</v>
      </c>
      <c r="E14541" t="s">
        <v>30740</v>
      </c>
      <c r="F14541" t="s">
        <v>31574</v>
      </c>
      <c r="G14541" t="s">
        <v>31582</v>
      </c>
      <c r="H14541" t="s">
        <v>31591</v>
      </c>
      <c r="I14541" t="s">
        <v>8822</v>
      </c>
      <c r="J14541" t="s">
        <v>32101</v>
      </c>
      <c r="K14541" t="s">
        <v>41406</v>
      </c>
      <c r="L14541" t="s">
        <v>66</v>
      </c>
      <c r="M14541" t="s">
        <v>41550</v>
      </c>
      <c r="N14541" t="s">
        <v>45095</v>
      </c>
      <c r="O14541" t="s">
        <v>45096</v>
      </c>
      <c r="P14541">
        <v>0</v>
      </c>
      <c r="Q14541">
        <v>3</v>
      </c>
      <c r="R14541" t="s">
        <v>45122</v>
      </c>
      <c r="S14541" t="s">
        <v>46125</v>
      </c>
      <c r="T14541" t="s">
        <v>47154</v>
      </c>
      <c r="U14541" t="s">
        <v>59203</v>
      </c>
      <c r="V14541" t="s">
        <v>59860</v>
      </c>
      <c r="W14541" t="s">
        <v>41550</v>
      </c>
      <c r="X14541" t="s">
        <v>45123</v>
      </c>
    </row>
    <row r="14542" spans="1:24">
      <c r="A14542">
        <f>HYPERLINK("https://www.philgeps.gov.ph/GEPSNONPILOT/Tender/SplashBidNoticeAbstractUI.aspx?menuIndex=3&amp;refID=7005077&amp;Result=3","7005077")</f>
        <v>0</v>
      </c>
      <c r="B14542" t="s">
        <v>2434</v>
      </c>
      <c r="C14542" t="s">
        <v>17116</v>
      </c>
      <c r="D14542" t="s">
        <v>18033</v>
      </c>
      <c r="E14542" t="s">
        <v>25686</v>
      </c>
      <c r="F14542" t="s">
        <v>31574</v>
      </c>
      <c r="G14542" t="s">
        <v>31582</v>
      </c>
      <c r="H14542" t="s">
        <v>31590</v>
      </c>
      <c r="I14542" t="s">
        <v>4046</v>
      </c>
      <c r="J14542" t="s">
        <v>40630</v>
      </c>
      <c r="K14542" t="s">
        <v>41186</v>
      </c>
      <c r="M14542" t="s">
        <v>44161</v>
      </c>
      <c r="N14542" t="s">
        <v>45095</v>
      </c>
      <c r="O14542" t="s">
        <v>45096</v>
      </c>
      <c r="P14542">
        <v>0</v>
      </c>
      <c r="Q14542">
        <v>0</v>
      </c>
      <c r="R14542" t="s">
        <v>45122</v>
      </c>
      <c r="S14542" t="s">
        <v>46125</v>
      </c>
      <c r="T14542" t="s">
        <v>46905</v>
      </c>
      <c r="U14542" t="s">
        <v>59204</v>
      </c>
      <c r="V14542" t="s">
        <v>60746</v>
      </c>
      <c r="W14542" t="s">
        <v>44161</v>
      </c>
      <c r="X14542" t="s">
        <v>45123</v>
      </c>
    </row>
    <row r="14543" spans="1:24">
      <c r="A14543">
        <f>HYPERLINK("https://www.philgeps.gov.ph/GEPSNONPILOT/Tender/SplashBidNoticeAbstractUI.aspx?menuIndex=3&amp;refID=7004674&amp;Result=3","7004674")</f>
        <v>0</v>
      </c>
      <c r="B14543" t="s">
        <v>2029</v>
      </c>
      <c r="C14543" t="s">
        <v>17117</v>
      </c>
      <c r="D14543" t="s">
        <v>18055</v>
      </c>
      <c r="E14543" t="s">
        <v>30741</v>
      </c>
      <c r="F14543" t="s">
        <v>31574</v>
      </c>
      <c r="G14543" t="s">
        <v>31582</v>
      </c>
      <c r="H14543" t="s">
        <v>31591</v>
      </c>
      <c r="I14543" t="s">
        <v>8822</v>
      </c>
      <c r="J14543" t="s">
        <v>32232</v>
      </c>
      <c r="K14543" t="s">
        <v>41269</v>
      </c>
      <c r="M14543" t="s">
        <v>43694</v>
      </c>
      <c r="N14543" t="s">
        <v>45095</v>
      </c>
      <c r="O14543" t="s">
        <v>45096</v>
      </c>
      <c r="P14543">
        <v>0</v>
      </c>
      <c r="Q14543">
        <v>35</v>
      </c>
      <c r="R14543" t="s">
        <v>45122</v>
      </c>
      <c r="S14543" t="s">
        <v>46125</v>
      </c>
      <c r="T14543" t="s">
        <v>47154</v>
      </c>
      <c r="U14543" t="s">
        <v>59205</v>
      </c>
      <c r="V14543" t="s">
        <v>61473</v>
      </c>
      <c r="W14543" t="s">
        <v>43694</v>
      </c>
      <c r="X14543" t="s">
        <v>45124</v>
      </c>
    </row>
    <row r="14544" spans="1:24">
      <c r="A14544">
        <f>HYPERLINK("https://www.philgeps.gov.ph/GEPSNONPILOT/Tender/SplashBidNoticeAbstractUI.aspx?menuIndex=3&amp;refID=7005392&amp;Result=3","7005392")</f>
        <v>0</v>
      </c>
      <c r="B14544" t="s">
        <v>59</v>
      </c>
      <c r="C14544" t="s">
        <v>17118</v>
      </c>
      <c r="D14544" t="s">
        <v>18048</v>
      </c>
      <c r="E14544" t="s">
        <v>30742</v>
      </c>
      <c r="F14544" t="s">
        <v>31574</v>
      </c>
      <c r="G14544" t="s">
        <v>31584</v>
      </c>
      <c r="H14544" t="s">
        <v>31590</v>
      </c>
      <c r="I14544" t="s">
        <v>4327</v>
      </c>
      <c r="J14544" t="s">
        <v>35780</v>
      </c>
      <c r="K14544" t="s">
        <v>41186</v>
      </c>
      <c r="M14544" t="s">
        <v>43751</v>
      </c>
      <c r="N14544" t="s">
        <v>45095</v>
      </c>
      <c r="O14544" t="s">
        <v>45096</v>
      </c>
      <c r="Q14544">
        <v>1</v>
      </c>
      <c r="R14544" t="s">
        <v>45122</v>
      </c>
      <c r="S14544" t="s">
        <v>46135</v>
      </c>
      <c r="T14544" t="s">
        <v>46985</v>
      </c>
      <c r="U14544" t="s">
        <v>59206</v>
      </c>
      <c r="W14544" t="s">
        <v>43751</v>
      </c>
      <c r="X14544" t="s">
        <v>45123</v>
      </c>
    </row>
    <row r="14545" spans="1:24">
      <c r="A14545">
        <f>HYPERLINK("https://www.philgeps.gov.ph/GEPSNONPILOT/Tender/SplashBidNoticeAbstractUI.aspx?menuIndex=3&amp;refID=7005112&amp;Result=3","7005112")</f>
        <v>0</v>
      </c>
      <c r="B14545" t="s">
        <v>352</v>
      </c>
      <c r="C14545" t="s">
        <v>17119</v>
      </c>
      <c r="D14545" t="s">
        <v>18023</v>
      </c>
      <c r="E14545" t="s">
        <v>30743</v>
      </c>
      <c r="F14545" t="s">
        <v>31574</v>
      </c>
      <c r="G14545" t="s">
        <v>31582</v>
      </c>
      <c r="H14545" t="s">
        <v>31590</v>
      </c>
      <c r="I14545" t="s">
        <v>8822</v>
      </c>
      <c r="J14545" t="s">
        <v>32497</v>
      </c>
      <c r="K14545" t="s">
        <v>41192</v>
      </c>
      <c r="M14545" t="s">
        <v>41840</v>
      </c>
      <c r="N14545" t="s">
        <v>45095</v>
      </c>
      <c r="O14545" t="s">
        <v>45096</v>
      </c>
      <c r="Q14545">
        <v>8</v>
      </c>
      <c r="R14545" t="s">
        <v>45122</v>
      </c>
      <c r="S14545" t="s">
        <v>46136</v>
      </c>
      <c r="T14545" t="s">
        <v>46955</v>
      </c>
      <c r="U14545" t="s">
        <v>59207</v>
      </c>
      <c r="W14545" t="s">
        <v>41840</v>
      </c>
      <c r="X14545" t="s">
        <v>45123</v>
      </c>
    </row>
    <row r="14546" spans="1:24">
      <c r="A14546">
        <f>HYPERLINK("https://www.philgeps.gov.ph/GEPSNONPILOT/Tender/SplashBidNoticeAbstractUI.aspx?menuIndex=3&amp;refID=7005846&amp;Result=3","7005846")</f>
        <v>0</v>
      </c>
      <c r="B14546" t="s">
        <v>355</v>
      </c>
      <c r="C14546" t="s">
        <v>17120</v>
      </c>
      <c r="D14546" t="s">
        <v>18043</v>
      </c>
      <c r="E14546" t="s">
        <v>30744</v>
      </c>
      <c r="F14546" t="s">
        <v>31574</v>
      </c>
      <c r="G14546" t="s">
        <v>31582</v>
      </c>
      <c r="H14546" t="s">
        <v>31590</v>
      </c>
      <c r="I14546" t="s">
        <v>31653</v>
      </c>
      <c r="J14546" t="s">
        <v>40631</v>
      </c>
      <c r="K14546" t="s">
        <v>41203</v>
      </c>
      <c r="M14546" t="s">
        <v>41845</v>
      </c>
      <c r="N14546" t="s">
        <v>45095</v>
      </c>
      <c r="O14546" t="s">
        <v>45096</v>
      </c>
      <c r="P14546">
        <v>0</v>
      </c>
      <c r="Q14546">
        <v>4</v>
      </c>
      <c r="R14546" t="s">
        <v>45122</v>
      </c>
      <c r="S14546" t="s">
        <v>46125</v>
      </c>
      <c r="T14546" t="s">
        <v>46922</v>
      </c>
      <c r="U14546" t="s">
        <v>59208</v>
      </c>
      <c r="V14546" t="s">
        <v>61429</v>
      </c>
      <c r="W14546" t="s">
        <v>41845</v>
      </c>
      <c r="X14546" t="s">
        <v>45123</v>
      </c>
    </row>
    <row r="14547" spans="1:24">
      <c r="A14547">
        <f>HYPERLINK("https://www.philgeps.gov.ph/GEPSNONPILOT/Tender/SplashBidNoticeAbstractUI.aspx?menuIndex=3&amp;refID=7005264&amp;Result=3","7005264")</f>
        <v>0</v>
      </c>
      <c r="B14547" t="s">
        <v>225</v>
      </c>
      <c r="C14547" t="s">
        <v>17121</v>
      </c>
      <c r="D14547" t="s">
        <v>18081</v>
      </c>
      <c r="E14547" t="s">
        <v>30745</v>
      </c>
      <c r="F14547" t="s">
        <v>31574</v>
      </c>
      <c r="G14547" t="s">
        <v>31582</v>
      </c>
      <c r="H14547" t="s">
        <v>31591</v>
      </c>
      <c r="I14547" t="s">
        <v>8822</v>
      </c>
      <c r="J14547" t="s">
        <v>31935</v>
      </c>
      <c r="K14547" t="s">
        <v>41189</v>
      </c>
      <c r="M14547" t="s">
        <v>41710</v>
      </c>
      <c r="N14547" t="s">
        <v>45095</v>
      </c>
      <c r="O14547" t="s">
        <v>45096</v>
      </c>
      <c r="P14547">
        <v>0</v>
      </c>
      <c r="Q14547">
        <v>1</v>
      </c>
      <c r="R14547" t="s">
        <v>45122</v>
      </c>
      <c r="S14547" t="s">
        <v>46125</v>
      </c>
      <c r="T14547" t="s">
        <v>46991</v>
      </c>
      <c r="U14547" t="s">
        <v>59209</v>
      </c>
      <c r="W14547" t="s">
        <v>41710</v>
      </c>
      <c r="X14547" t="s">
        <v>45123</v>
      </c>
    </row>
    <row r="14548" spans="1:24">
      <c r="A14548">
        <f>HYPERLINK("https://www.philgeps.gov.ph/GEPSNONPILOT/Tender/SplashBidNoticeAbstractUI.aspx?menuIndex=3&amp;refID=7005253&amp;Result=3","7005253")</f>
        <v>0</v>
      </c>
      <c r="B14548" t="s">
        <v>967</v>
      </c>
      <c r="C14548" t="s">
        <v>17122</v>
      </c>
      <c r="D14548" t="s">
        <v>18027</v>
      </c>
      <c r="E14548" t="s">
        <v>30746</v>
      </c>
      <c r="F14548" t="s">
        <v>31574</v>
      </c>
      <c r="G14548" t="s">
        <v>31582</v>
      </c>
      <c r="H14548" t="s">
        <v>31591</v>
      </c>
      <c r="I14548" t="s">
        <v>8822</v>
      </c>
      <c r="J14548" t="s">
        <v>40632</v>
      </c>
      <c r="K14548" t="s">
        <v>41192</v>
      </c>
      <c r="M14548" t="s">
        <v>42496</v>
      </c>
      <c r="N14548" t="s">
        <v>45095</v>
      </c>
      <c r="O14548" t="s">
        <v>45096</v>
      </c>
      <c r="P14548">
        <v>0</v>
      </c>
      <c r="Q14548">
        <v>0</v>
      </c>
      <c r="R14548" t="s">
        <v>45122</v>
      </c>
      <c r="S14548" t="s">
        <v>46125</v>
      </c>
      <c r="T14548" t="s">
        <v>47067</v>
      </c>
      <c r="U14548" t="s">
        <v>59210</v>
      </c>
      <c r="W14548" t="s">
        <v>42496</v>
      </c>
      <c r="X14548" t="s">
        <v>45123</v>
      </c>
    </row>
    <row r="14549" spans="1:24">
      <c r="A14549">
        <f>HYPERLINK("https://www.philgeps.gov.ph/GEPSNONPILOT/Tender/SplashBidNoticeAbstractUI.aspx?menuIndex=3&amp;refID=7005470&amp;Result=3","7005470")</f>
        <v>0</v>
      </c>
      <c r="B14549" t="s">
        <v>797</v>
      </c>
      <c r="C14549" t="s">
        <v>17123</v>
      </c>
      <c r="D14549" t="s">
        <v>18056</v>
      </c>
      <c r="E14549" t="s">
        <v>30747</v>
      </c>
      <c r="F14549" t="s">
        <v>31574</v>
      </c>
      <c r="G14549" t="s">
        <v>31582</v>
      </c>
      <c r="H14549" t="s">
        <v>31590</v>
      </c>
      <c r="I14549" t="s">
        <v>6800</v>
      </c>
      <c r="J14549" t="s">
        <v>40633</v>
      </c>
      <c r="K14549" t="s">
        <v>41186</v>
      </c>
      <c r="M14549" t="s">
        <v>42325</v>
      </c>
      <c r="N14549" t="s">
        <v>45095</v>
      </c>
      <c r="O14549" t="s">
        <v>45096</v>
      </c>
      <c r="Q14549">
        <v>11</v>
      </c>
      <c r="R14549" t="s">
        <v>45122</v>
      </c>
      <c r="S14549" t="s">
        <v>46137</v>
      </c>
      <c r="T14549" t="s">
        <v>47339</v>
      </c>
      <c r="U14549" t="s">
        <v>49206</v>
      </c>
      <c r="V14549" t="s">
        <v>60050</v>
      </c>
      <c r="W14549" t="s">
        <v>42325</v>
      </c>
      <c r="X14549" t="s">
        <v>45123</v>
      </c>
    </row>
    <row r="14550" spans="1:24">
      <c r="A14550">
        <f>HYPERLINK("https://www.philgeps.gov.ph/GEPSNONPILOT/Tender/SplashBidNoticeAbstractUI.aspx?menuIndex=3&amp;refID=7005180&amp;Result=3","7005180")</f>
        <v>0</v>
      </c>
      <c r="B14550" t="s">
        <v>967</v>
      </c>
      <c r="C14550" t="s">
        <v>17124</v>
      </c>
      <c r="D14550" t="s">
        <v>18027</v>
      </c>
      <c r="E14550" t="s">
        <v>30748</v>
      </c>
      <c r="F14550" t="s">
        <v>31574</v>
      </c>
      <c r="G14550" t="s">
        <v>31582</v>
      </c>
      <c r="H14550" t="s">
        <v>31591</v>
      </c>
      <c r="I14550" t="s">
        <v>31607</v>
      </c>
      <c r="J14550" t="s">
        <v>40634</v>
      </c>
      <c r="K14550" t="s">
        <v>41243</v>
      </c>
      <c r="M14550" t="s">
        <v>42496</v>
      </c>
      <c r="N14550" t="s">
        <v>45095</v>
      </c>
      <c r="O14550" t="s">
        <v>45096</v>
      </c>
      <c r="P14550">
        <v>0</v>
      </c>
      <c r="Q14550">
        <v>1</v>
      </c>
      <c r="R14550" t="s">
        <v>45122</v>
      </c>
      <c r="S14550" t="s">
        <v>46125</v>
      </c>
      <c r="T14550" t="s">
        <v>47124</v>
      </c>
      <c r="U14550" t="s">
        <v>59211</v>
      </c>
      <c r="W14550" t="s">
        <v>42496</v>
      </c>
      <c r="X14550" t="s">
        <v>45123</v>
      </c>
    </row>
    <row r="14551" spans="1:24">
      <c r="A14551">
        <f>HYPERLINK("https://www.philgeps.gov.ph/GEPSNONPILOT/Tender/SplashBidNoticeAbstractUI.aspx?menuIndex=3&amp;refID=7005827&amp;Result=3","7005827")</f>
        <v>0</v>
      </c>
      <c r="B14551" t="s">
        <v>326</v>
      </c>
      <c r="C14551" t="s">
        <v>17125</v>
      </c>
      <c r="D14551" t="s">
        <v>18050</v>
      </c>
      <c r="E14551" t="s">
        <v>30749</v>
      </c>
      <c r="F14551" t="s">
        <v>31574</v>
      </c>
      <c r="G14551" t="s">
        <v>31582</v>
      </c>
      <c r="H14551" t="s">
        <v>31591</v>
      </c>
      <c r="I14551" t="s">
        <v>7162</v>
      </c>
      <c r="J14551" t="s">
        <v>40635</v>
      </c>
      <c r="K14551" t="s">
        <v>41192</v>
      </c>
      <c r="M14551" t="s">
        <v>41814</v>
      </c>
      <c r="N14551" t="s">
        <v>45095</v>
      </c>
      <c r="O14551" t="s">
        <v>45096</v>
      </c>
      <c r="Q14551">
        <v>4</v>
      </c>
      <c r="R14551" t="s">
        <v>45122</v>
      </c>
      <c r="S14551" t="s">
        <v>46138</v>
      </c>
      <c r="T14551" t="s">
        <v>46949</v>
      </c>
      <c r="U14551" t="s">
        <v>59212</v>
      </c>
      <c r="W14551" t="s">
        <v>41814</v>
      </c>
      <c r="X14551" t="s">
        <v>45123</v>
      </c>
    </row>
    <row r="14552" spans="1:24">
      <c r="A14552">
        <f>HYPERLINK("https://www.philgeps.gov.ph/GEPSNONPILOT/Tender/SplashBidNoticeAbstractUI.aspx?menuIndex=3&amp;refID=7005306&amp;Result=3","7005306")</f>
        <v>0</v>
      </c>
      <c r="B14552" t="s">
        <v>967</v>
      </c>
      <c r="C14552" t="s">
        <v>17126</v>
      </c>
      <c r="D14552" t="s">
        <v>18027</v>
      </c>
      <c r="E14552" t="s">
        <v>30750</v>
      </c>
      <c r="F14552" t="s">
        <v>31574</v>
      </c>
      <c r="G14552" t="s">
        <v>31582</v>
      </c>
      <c r="H14552" t="s">
        <v>31591</v>
      </c>
      <c r="I14552" t="s">
        <v>31607</v>
      </c>
      <c r="J14552" t="s">
        <v>40636</v>
      </c>
      <c r="K14552" t="s">
        <v>41189</v>
      </c>
      <c r="M14552" t="s">
        <v>42496</v>
      </c>
      <c r="N14552" t="s">
        <v>45095</v>
      </c>
      <c r="O14552" t="s">
        <v>45096</v>
      </c>
      <c r="P14552">
        <v>0</v>
      </c>
      <c r="Q14552">
        <v>0</v>
      </c>
      <c r="R14552" t="s">
        <v>45122</v>
      </c>
      <c r="S14552" t="s">
        <v>46125</v>
      </c>
      <c r="T14552" t="s">
        <v>47124</v>
      </c>
      <c r="U14552" t="s">
        <v>59213</v>
      </c>
      <c r="W14552" t="s">
        <v>42496</v>
      </c>
      <c r="X14552" t="s">
        <v>45123</v>
      </c>
    </row>
    <row r="14553" spans="1:24">
      <c r="A14553">
        <f>HYPERLINK("https://www.philgeps.gov.ph/GEPSNONPILOT/Tender/SplashBidNoticeAbstractUI.aspx?menuIndex=3&amp;refID=7006145&amp;Result=3","7006145")</f>
        <v>0</v>
      </c>
      <c r="B14553" t="s">
        <v>401</v>
      </c>
      <c r="C14553" t="s">
        <v>17127</v>
      </c>
      <c r="D14553" t="s">
        <v>18052</v>
      </c>
      <c r="E14553" t="s">
        <v>30751</v>
      </c>
      <c r="F14553" t="s">
        <v>31574</v>
      </c>
      <c r="G14553" t="s">
        <v>31582</v>
      </c>
      <c r="H14553" t="s">
        <v>31590</v>
      </c>
      <c r="I14553" t="s">
        <v>31602</v>
      </c>
      <c r="J14553" t="s">
        <v>40637</v>
      </c>
      <c r="K14553" t="s">
        <v>41196</v>
      </c>
      <c r="M14553" t="s">
        <v>41892</v>
      </c>
      <c r="N14553" t="s">
        <v>45095</v>
      </c>
      <c r="O14553" t="s">
        <v>45096</v>
      </c>
      <c r="P14553">
        <v>0</v>
      </c>
      <c r="Q14553">
        <v>0</v>
      </c>
      <c r="R14553" t="s">
        <v>45122</v>
      </c>
      <c r="S14553" t="s">
        <v>46125</v>
      </c>
      <c r="T14553" t="s">
        <v>47154</v>
      </c>
      <c r="U14553" t="s">
        <v>51307</v>
      </c>
      <c r="W14553" t="s">
        <v>41892</v>
      </c>
      <c r="X14553" t="s">
        <v>45123</v>
      </c>
    </row>
    <row r="14554" spans="1:24">
      <c r="A14554">
        <f>HYPERLINK("https://www.philgeps.gov.ph/GEPSNONPILOT/Tender/SplashBidNoticeAbstractUI.aspx?menuIndex=3&amp;refID=7006280&amp;Result=3","7006280")</f>
        <v>0</v>
      </c>
      <c r="B14554" t="s">
        <v>401</v>
      </c>
      <c r="C14554" t="s">
        <v>17128</v>
      </c>
      <c r="D14554" t="s">
        <v>18052</v>
      </c>
      <c r="E14554" t="s">
        <v>30752</v>
      </c>
      <c r="F14554" t="s">
        <v>31574</v>
      </c>
      <c r="G14554" t="s">
        <v>31582</v>
      </c>
      <c r="H14554" t="s">
        <v>31590</v>
      </c>
      <c r="I14554" t="s">
        <v>31602</v>
      </c>
      <c r="J14554" t="s">
        <v>40638</v>
      </c>
      <c r="K14554" t="s">
        <v>41196</v>
      </c>
      <c r="M14554" t="s">
        <v>41892</v>
      </c>
      <c r="N14554" t="s">
        <v>45095</v>
      </c>
      <c r="O14554" t="s">
        <v>45096</v>
      </c>
      <c r="P14554">
        <v>0</v>
      </c>
      <c r="Q14554">
        <v>0</v>
      </c>
      <c r="R14554" t="s">
        <v>45122</v>
      </c>
      <c r="S14554" t="s">
        <v>46125</v>
      </c>
      <c r="T14554" t="s">
        <v>47154</v>
      </c>
      <c r="U14554" t="s">
        <v>51307</v>
      </c>
      <c r="W14554" t="s">
        <v>41892</v>
      </c>
      <c r="X14554" t="s">
        <v>45123</v>
      </c>
    </row>
    <row r="14555" spans="1:24">
      <c r="A14555">
        <f>HYPERLINK("https://www.philgeps.gov.ph/GEPSNONPILOT/Tender/SplashBidNoticeAbstractUI.aspx?menuIndex=3&amp;refID=7006335&amp;Result=3","7006335")</f>
        <v>0</v>
      </c>
      <c r="B14555" t="s">
        <v>401</v>
      </c>
      <c r="C14555" t="s">
        <v>17129</v>
      </c>
      <c r="D14555" t="s">
        <v>18052</v>
      </c>
      <c r="E14555" t="s">
        <v>30753</v>
      </c>
      <c r="F14555" t="s">
        <v>31574</v>
      </c>
      <c r="G14555" t="s">
        <v>31582</v>
      </c>
      <c r="H14555" t="s">
        <v>31590</v>
      </c>
      <c r="I14555" t="s">
        <v>31615</v>
      </c>
      <c r="J14555" t="s">
        <v>40639</v>
      </c>
      <c r="K14555" t="s">
        <v>41192</v>
      </c>
      <c r="M14555" t="s">
        <v>41892</v>
      </c>
      <c r="N14555" t="s">
        <v>45095</v>
      </c>
      <c r="O14555" t="s">
        <v>45096</v>
      </c>
      <c r="P14555">
        <v>0</v>
      </c>
      <c r="Q14555">
        <v>10</v>
      </c>
      <c r="R14555" t="s">
        <v>45122</v>
      </c>
      <c r="S14555" t="s">
        <v>46125</v>
      </c>
      <c r="T14555" t="s">
        <v>47154</v>
      </c>
      <c r="U14555" t="s">
        <v>51307</v>
      </c>
      <c r="W14555" t="s">
        <v>41892</v>
      </c>
      <c r="X14555" t="s">
        <v>45123</v>
      </c>
    </row>
    <row r="14556" spans="1:24">
      <c r="A14556">
        <f>HYPERLINK("https://www.philgeps.gov.ph/GEPSNONPILOT/Tender/SplashBidNoticeAbstractUI.aspx?menuIndex=3&amp;refID=7005178&amp;Result=3","7005178")</f>
        <v>0</v>
      </c>
      <c r="B14556" t="s">
        <v>1606</v>
      </c>
      <c r="C14556" t="s">
        <v>17130</v>
      </c>
      <c r="D14556" t="s">
        <v>18072</v>
      </c>
      <c r="E14556" t="s">
        <v>25055</v>
      </c>
      <c r="F14556" t="s">
        <v>31574</v>
      </c>
      <c r="G14556" t="s">
        <v>31582</v>
      </c>
      <c r="H14556" t="s">
        <v>31590</v>
      </c>
      <c r="I14556" t="s">
        <v>6800</v>
      </c>
      <c r="J14556" t="s">
        <v>40640</v>
      </c>
      <c r="K14556" t="s">
        <v>41190</v>
      </c>
      <c r="M14556" t="s">
        <v>43211</v>
      </c>
      <c r="N14556" t="s">
        <v>45095</v>
      </c>
      <c r="O14556" t="s">
        <v>45096</v>
      </c>
      <c r="P14556">
        <v>0</v>
      </c>
      <c r="Q14556">
        <v>3</v>
      </c>
      <c r="R14556" t="s">
        <v>45122</v>
      </c>
      <c r="S14556" t="s">
        <v>46125</v>
      </c>
      <c r="T14556" t="s">
        <v>47154</v>
      </c>
      <c r="U14556" t="s">
        <v>59214</v>
      </c>
      <c r="W14556" t="s">
        <v>43211</v>
      </c>
      <c r="X14556" t="s">
        <v>45123</v>
      </c>
    </row>
    <row r="14557" spans="1:24">
      <c r="A14557">
        <f>HYPERLINK("https://www.philgeps.gov.ph/GEPSNONPILOT/Tender/SplashBidNoticeAbstractUI.aspx?menuIndex=3&amp;refID=7005245&amp;Result=3","7005245")</f>
        <v>0</v>
      </c>
      <c r="B14557" t="s">
        <v>3134</v>
      </c>
      <c r="C14557" t="s">
        <v>17131</v>
      </c>
      <c r="D14557" t="s">
        <v>18033</v>
      </c>
      <c r="E14557" t="s">
        <v>30754</v>
      </c>
      <c r="F14557" t="s">
        <v>31574</v>
      </c>
      <c r="G14557" t="s">
        <v>31582</v>
      </c>
      <c r="H14557" t="s">
        <v>31590</v>
      </c>
      <c r="I14557" t="s">
        <v>31615</v>
      </c>
      <c r="J14557" t="s">
        <v>31947</v>
      </c>
      <c r="K14557" t="s">
        <v>41186</v>
      </c>
      <c r="M14557" t="s">
        <v>44984</v>
      </c>
      <c r="N14557" t="s">
        <v>45095</v>
      </c>
      <c r="O14557" t="s">
        <v>45096</v>
      </c>
      <c r="Q14557">
        <v>2</v>
      </c>
      <c r="R14557" t="s">
        <v>45122</v>
      </c>
      <c r="S14557" t="s">
        <v>46139</v>
      </c>
      <c r="T14557" t="s">
        <v>47154</v>
      </c>
      <c r="U14557" t="s">
        <v>59215</v>
      </c>
      <c r="V14557" t="s">
        <v>61477</v>
      </c>
      <c r="W14557" t="s">
        <v>44984</v>
      </c>
      <c r="X14557" t="s">
        <v>45123</v>
      </c>
    </row>
    <row r="14558" spans="1:24">
      <c r="A14558">
        <f>HYPERLINK("https://www.philgeps.gov.ph/GEPSNONPILOT/Tender/SplashBidNoticeAbstractUI.aspx?menuIndex=3&amp;refID=7006131&amp;Result=3","7006131")</f>
        <v>0</v>
      </c>
      <c r="B14558" t="s">
        <v>1329</v>
      </c>
      <c r="C14558" t="s">
        <v>17132</v>
      </c>
      <c r="E14558" t="s">
        <v>30755</v>
      </c>
      <c r="F14558" t="s">
        <v>31575</v>
      </c>
      <c r="G14558" t="s">
        <v>31589</v>
      </c>
      <c r="H14558" t="s">
        <v>31591</v>
      </c>
      <c r="I14558" t="s">
        <v>8822</v>
      </c>
      <c r="J14558" t="s">
        <v>34314</v>
      </c>
      <c r="K14558" t="s">
        <v>41482</v>
      </c>
      <c r="M14558" t="s">
        <v>44783</v>
      </c>
      <c r="N14558" t="s">
        <v>45095</v>
      </c>
      <c r="O14558" t="s">
        <v>45096</v>
      </c>
      <c r="P14558">
        <v>0</v>
      </c>
      <c r="Q14558">
        <v>13</v>
      </c>
      <c r="R14558" t="s">
        <v>45122</v>
      </c>
      <c r="S14558" t="s">
        <v>46125</v>
      </c>
      <c r="T14558" t="s">
        <v>46916</v>
      </c>
      <c r="U14558" t="s">
        <v>59216</v>
      </c>
      <c r="V14558" t="s">
        <v>61237</v>
      </c>
      <c r="W14558" t="s">
        <v>44783</v>
      </c>
      <c r="X14558" t="s">
        <v>45123</v>
      </c>
    </row>
    <row r="14559" spans="1:24">
      <c r="A14559">
        <f>HYPERLINK("https://www.philgeps.gov.ph/GEPSNONPILOT/Tender/SplashBidNoticeAbstractUI.aspx?menuIndex=3&amp;refID=7006404&amp;Result=3","7006404")</f>
        <v>0</v>
      </c>
      <c r="B14559" t="s">
        <v>1887</v>
      </c>
      <c r="C14559" t="s">
        <v>17133</v>
      </c>
      <c r="D14559" t="s">
        <v>18022</v>
      </c>
      <c r="E14559" t="s">
        <v>30756</v>
      </c>
      <c r="F14559" t="s">
        <v>31574</v>
      </c>
      <c r="G14559" t="s">
        <v>31581</v>
      </c>
      <c r="H14559" t="s">
        <v>31590</v>
      </c>
      <c r="I14559" t="s">
        <v>31601</v>
      </c>
      <c r="J14559" t="s">
        <v>40641</v>
      </c>
      <c r="K14559" t="s">
        <v>41186</v>
      </c>
      <c r="M14559" t="s">
        <v>43530</v>
      </c>
      <c r="N14559" t="s">
        <v>45095</v>
      </c>
      <c r="O14559" t="s">
        <v>45096</v>
      </c>
      <c r="Q14559">
        <v>1</v>
      </c>
      <c r="R14559" t="s">
        <v>45122</v>
      </c>
      <c r="S14559" t="s">
        <v>46140</v>
      </c>
      <c r="T14559" t="s">
        <v>47176</v>
      </c>
      <c r="U14559" t="s">
        <v>59217</v>
      </c>
      <c r="W14559" t="s">
        <v>43530</v>
      </c>
      <c r="X14559" t="s">
        <v>45123</v>
      </c>
    </row>
    <row r="14560" spans="1:24">
      <c r="A14560">
        <f>HYPERLINK("https://www.philgeps.gov.ph/GEPSNONPILOT/Tender/SplashBidNoticeAbstractUI.aspx?menuIndex=3&amp;refID=7006458&amp;Result=3","7006458")</f>
        <v>0</v>
      </c>
      <c r="B14560" t="s">
        <v>401</v>
      </c>
      <c r="C14560" t="s">
        <v>17134</v>
      </c>
      <c r="D14560" t="s">
        <v>18052</v>
      </c>
      <c r="E14560" t="s">
        <v>30757</v>
      </c>
      <c r="F14560" t="s">
        <v>31574</v>
      </c>
      <c r="G14560" t="s">
        <v>31582</v>
      </c>
      <c r="H14560" t="s">
        <v>31590</v>
      </c>
      <c r="I14560" t="s">
        <v>31615</v>
      </c>
      <c r="J14560" t="s">
        <v>40642</v>
      </c>
      <c r="K14560" t="s">
        <v>41186</v>
      </c>
      <c r="M14560" t="s">
        <v>41892</v>
      </c>
      <c r="N14560" t="s">
        <v>45095</v>
      </c>
      <c r="O14560" t="s">
        <v>45096</v>
      </c>
      <c r="P14560">
        <v>0</v>
      </c>
      <c r="Q14560">
        <v>4</v>
      </c>
      <c r="R14560" t="s">
        <v>45122</v>
      </c>
      <c r="S14560" t="s">
        <v>46125</v>
      </c>
      <c r="T14560" t="s">
        <v>47154</v>
      </c>
      <c r="U14560" t="s">
        <v>51307</v>
      </c>
      <c r="W14560" t="s">
        <v>41892</v>
      </c>
      <c r="X14560" t="s">
        <v>45123</v>
      </c>
    </row>
    <row r="14561" spans="1:24">
      <c r="A14561">
        <f>HYPERLINK("https://www.philgeps.gov.ph/GEPSNONPILOT/Tender/SplashBidNoticeAbstractUI.aspx?menuIndex=3&amp;refID=7005239&amp;Result=3","7005239")</f>
        <v>0</v>
      </c>
      <c r="B14561" t="s">
        <v>627</v>
      </c>
      <c r="C14561" t="s">
        <v>17135</v>
      </c>
      <c r="E14561" t="s">
        <v>30758</v>
      </c>
      <c r="F14561" t="s">
        <v>31574</v>
      </c>
      <c r="G14561" t="s">
        <v>31582</v>
      </c>
      <c r="H14561" t="s">
        <v>31591</v>
      </c>
      <c r="I14561" t="s">
        <v>8822</v>
      </c>
      <c r="J14561" t="s">
        <v>40643</v>
      </c>
      <c r="K14561" t="s">
        <v>41184</v>
      </c>
      <c r="M14561" t="s">
        <v>42131</v>
      </c>
      <c r="N14561" t="s">
        <v>45095</v>
      </c>
      <c r="O14561" t="s">
        <v>45096</v>
      </c>
      <c r="P14561">
        <v>0</v>
      </c>
      <c r="Q14561">
        <v>0</v>
      </c>
      <c r="R14561" t="s">
        <v>45122</v>
      </c>
      <c r="S14561" t="s">
        <v>46125</v>
      </c>
      <c r="T14561" t="s">
        <v>47183</v>
      </c>
      <c r="U14561" t="s">
        <v>59218</v>
      </c>
      <c r="W14561" t="s">
        <v>42131</v>
      </c>
      <c r="X14561" t="s">
        <v>45123</v>
      </c>
    </row>
    <row r="14562" spans="1:24">
      <c r="A14562">
        <f>HYPERLINK("https://www.philgeps.gov.ph/GEPSNONPILOT/Tender/SplashBidNoticeAbstractUI.aspx?menuIndex=3&amp;refID=7006340&amp;Result=3","7006340")</f>
        <v>0</v>
      </c>
      <c r="B14562" t="s">
        <v>3135</v>
      </c>
      <c r="C14562" t="s">
        <v>17136</v>
      </c>
      <c r="D14562" t="s">
        <v>18033</v>
      </c>
      <c r="E14562" t="s">
        <v>30759</v>
      </c>
      <c r="F14562" t="s">
        <v>31574</v>
      </c>
      <c r="G14562" t="s">
        <v>31582</v>
      </c>
      <c r="H14562" t="s">
        <v>31590</v>
      </c>
      <c r="I14562" t="s">
        <v>6800</v>
      </c>
      <c r="J14562" t="s">
        <v>40644</v>
      </c>
      <c r="K14562" t="s">
        <v>41184</v>
      </c>
      <c r="M14562" t="s">
        <v>44985</v>
      </c>
      <c r="N14562" t="s">
        <v>45095</v>
      </c>
      <c r="O14562" t="s">
        <v>45096</v>
      </c>
      <c r="Q14562">
        <v>4</v>
      </c>
      <c r="R14562" t="s">
        <v>45122</v>
      </c>
      <c r="S14562" t="s">
        <v>46141</v>
      </c>
      <c r="T14562" t="s">
        <v>47050</v>
      </c>
      <c r="U14562" t="s">
        <v>59219</v>
      </c>
      <c r="V14562" t="s">
        <v>61478</v>
      </c>
      <c r="W14562" t="s">
        <v>44985</v>
      </c>
      <c r="X14562" t="s">
        <v>45123</v>
      </c>
    </row>
    <row r="14563" spans="1:24">
      <c r="A14563">
        <f>HYPERLINK("https://www.philgeps.gov.ph/GEPSNONPILOT/Tender/SplashBidNoticeAbstractUI.aspx?menuIndex=3&amp;refID=7006044&amp;Result=3","7006044")</f>
        <v>0</v>
      </c>
      <c r="B14563" t="s">
        <v>3136</v>
      </c>
      <c r="C14563" t="s">
        <v>17137</v>
      </c>
      <c r="D14563" t="s">
        <v>18056</v>
      </c>
      <c r="E14563" t="s">
        <v>18316</v>
      </c>
      <c r="F14563" t="s">
        <v>31574</v>
      </c>
      <c r="G14563" t="s">
        <v>31582</v>
      </c>
      <c r="H14563" t="s">
        <v>31591</v>
      </c>
      <c r="I14563" t="s">
        <v>8822</v>
      </c>
      <c r="J14563" t="s">
        <v>40645</v>
      </c>
      <c r="K14563" t="s">
        <v>41213</v>
      </c>
      <c r="M14563" t="s">
        <v>44986</v>
      </c>
      <c r="N14563" t="s">
        <v>45095</v>
      </c>
      <c r="O14563" t="s">
        <v>45096</v>
      </c>
      <c r="P14563">
        <v>0</v>
      </c>
      <c r="Q14563">
        <v>0</v>
      </c>
      <c r="R14563" t="s">
        <v>45122</v>
      </c>
      <c r="S14563" t="s">
        <v>46125</v>
      </c>
      <c r="T14563" t="s">
        <v>47164</v>
      </c>
      <c r="U14563" t="s">
        <v>59220</v>
      </c>
      <c r="W14563" t="s">
        <v>44986</v>
      </c>
      <c r="X14563" t="s">
        <v>45123</v>
      </c>
    </row>
    <row r="14564" spans="1:24">
      <c r="A14564">
        <f>HYPERLINK("https://www.philgeps.gov.ph/GEPSNONPILOT/Tender/SplashBidNoticeAbstractUI.aspx?menuIndex=3&amp;refID=7006770&amp;Result=3","7006770")</f>
        <v>0</v>
      </c>
      <c r="B14564" t="s">
        <v>2091</v>
      </c>
      <c r="C14564" t="s">
        <v>17138</v>
      </c>
      <c r="D14564" t="s">
        <v>18100</v>
      </c>
      <c r="E14564" t="s">
        <v>30760</v>
      </c>
      <c r="F14564" t="s">
        <v>31574</v>
      </c>
      <c r="G14564" t="s">
        <v>31582</v>
      </c>
      <c r="H14564" t="s">
        <v>31591</v>
      </c>
      <c r="I14564" t="s">
        <v>8822</v>
      </c>
      <c r="J14564" t="s">
        <v>31771</v>
      </c>
      <c r="K14564" t="s">
        <v>41200</v>
      </c>
      <c r="M14564" t="s">
        <v>43768</v>
      </c>
      <c r="N14564" t="s">
        <v>45095</v>
      </c>
      <c r="O14564" t="s">
        <v>45096</v>
      </c>
      <c r="P14564">
        <v>0</v>
      </c>
      <c r="Q14564">
        <v>3</v>
      </c>
      <c r="R14564" t="s">
        <v>45122</v>
      </c>
      <c r="S14564" t="s">
        <v>46125</v>
      </c>
      <c r="T14564" t="s">
        <v>46969</v>
      </c>
      <c r="U14564" t="s">
        <v>59221</v>
      </c>
      <c r="W14564" t="s">
        <v>43768</v>
      </c>
      <c r="X14564" t="s">
        <v>45123</v>
      </c>
    </row>
    <row r="14565" spans="1:24">
      <c r="A14565">
        <f>HYPERLINK("https://www.philgeps.gov.ph/GEPSNONPILOT/Tender/SplashBidNoticeAbstractUI.aspx?menuIndex=3&amp;refID=7005985&amp;Result=3","7005985")</f>
        <v>0</v>
      </c>
      <c r="B14565" t="s">
        <v>1692</v>
      </c>
      <c r="C14565" t="s">
        <v>17139</v>
      </c>
      <c r="D14565" t="s">
        <v>18037</v>
      </c>
      <c r="E14565" t="s">
        <v>30761</v>
      </c>
      <c r="F14565" t="s">
        <v>31574</v>
      </c>
      <c r="G14565" t="s">
        <v>31582</v>
      </c>
      <c r="H14565" t="s">
        <v>31591</v>
      </c>
      <c r="I14565" t="s">
        <v>8822</v>
      </c>
      <c r="J14565" t="s">
        <v>40646</v>
      </c>
      <c r="K14565" t="s">
        <v>41415</v>
      </c>
      <c r="M14565" t="s">
        <v>43306</v>
      </c>
      <c r="N14565" t="s">
        <v>45095</v>
      </c>
      <c r="O14565" t="s">
        <v>45096</v>
      </c>
      <c r="P14565">
        <v>0</v>
      </c>
      <c r="Q14565">
        <v>6</v>
      </c>
      <c r="R14565" t="s">
        <v>45122</v>
      </c>
      <c r="S14565" t="s">
        <v>46125</v>
      </c>
      <c r="T14565" t="s">
        <v>47183</v>
      </c>
      <c r="U14565" t="s">
        <v>59222</v>
      </c>
      <c r="W14565" t="s">
        <v>43306</v>
      </c>
      <c r="X14565" t="s">
        <v>45123</v>
      </c>
    </row>
    <row r="14566" spans="1:24">
      <c r="A14566">
        <f>HYPERLINK("https://www.philgeps.gov.ph/GEPSNONPILOT/Tender/SplashBidNoticeAbstractUI.aspx?menuIndex=3&amp;refID=7006780&amp;Result=3","7006780")</f>
        <v>0</v>
      </c>
      <c r="B14566" t="s">
        <v>2091</v>
      </c>
      <c r="C14566" t="s">
        <v>17140</v>
      </c>
      <c r="D14566" t="s">
        <v>18100</v>
      </c>
      <c r="E14566" t="s">
        <v>30762</v>
      </c>
      <c r="F14566" t="s">
        <v>31574</v>
      </c>
      <c r="G14566" t="s">
        <v>31582</v>
      </c>
      <c r="H14566" t="s">
        <v>31591</v>
      </c>
      <c r="I14566" t="s">
        <v>8822</v>
      </c>
      <c r="J14566" t="s">
        <v>31819</v>
      </c>
      <c r="K14566" t="s">
        <v>41200</v>
      </c>
      <c r="M14566" t="s">
        <v>43768</v>
      </c>
      <c r="N14566" t="s">
        <v>45095</v>
      </c>
      <c r="O14566" t="s">
        <v>45096</v>
      </c>
      <c r="P14566">
        <v>0</v>
      </c>
      <c r="Q14566">
        <v>3</v>
      </c>
      <c r="R14566" t="s">
        <v>45122</v>
      </c>
      <c r="S14566" t="s">
        <v>46125</v>
      </c>
      <c r="T14566" t="s">
        <v>46969</v>
      </c>
      <c r="U14566" t="s">
        <v>59221</v>
      </c>
      <c r="W14566" t="s">
        <v>43768</v>
      </c>
      <c r="X14566" t="s">
        <v>45123</v>
      </c>
    </row>
    <row r="14567" spans="1:24">
      <c r="A14567">
        <f>HYPERLINK("https://www.philgeps.gov.ph/GEPSNONPILOT/Tender/SplashBidNoticeAbstractUI.aspx?menuIndex=3&amp;refID=7006626&amp;Result=3","7006626")</f>
        <v>0</v>
      </c>
      <c r="B14567" t="s">
        <v>1770</v>
      </c>
      <c r="C14567" t="s">
        <v>17141</v>
      </c>
      <c r="D14567" t="s">
        <v>18065</v>
      </c>
      <c r="E14567" t="s">
        <v>30763</v>
      </c>
      <c r="F14567" t="s">
        <v>31574</v>
      </c>
      <c r="G14567" t="s">
        <v>31582</v>
      </c>
      <c r="H14567" t="s">
        <v>31591</v>
      </c>
      <c r="I14567" t="s">
        <v>8822</v>
      </c>
      <c r="J14567" t="s">
        <v>34707</v>
      </c>
      <c r="K14567" t="s">
        <v>41287</v>
      </c>
      <c r="L14567" t="s">
        <v>1770</v>
      </c>
      <c r="M14567" t="s">
        <v>44289</v>
      </c>
      <c r="N14567" t="s">
        <v>45095</v>
      </c>
      <c r="O14567" t="s">
        <v>45096</v>
      </c>
      <c r="Q14567">
        <v>2</v>
      </c>
      <c r="R14567" t="s">
        <v>45122</v>
      </c>
      <c r="S14567" t="s">
        <v>46142</v>
      </c>
      <c r="T14567" t="s">
        <v>46926</v>
      </c>
      <c r="U14567" t="s">
        <v>59223</v>
      </c>
      <c r="V14567" t="s">
        <v>60322</v>
      </c>
      <c r="W14567" t="s">
        <v>44289</v>
      </c>
      <c r="X14567" t="s">
        <v>45123</v>
      </c>
    </row>
    <row r="14568" spans="1:24">
      <c r="A14568">
        <f>HYPERLINK("https://www.philgeps.gov.ph/GEPSNONPILOT/Tender/SplashBidNoticeAbstractUI.aspx?menuIndex=3&amp;refID=7006661&amp;Result=3","7006661")</f>
        <v>0</v>
      </c>
      <c r="B14568" t="s">
        <v>401</v>
      </c>
      <c r="C14568" t="s">
        <v>17142</v>
      </c>
      <c r="D14568" t="s">
        <v>18052</v>
      </c>
      <c r="E14568" t="s">
        <v>30764</v>
      </c>
      <c r="F14568" t="s">
        <v>31574</v>
      </c>
      <c r="G14568" t="s">
        <v>31582</v>
      </c>
      <c r="H14568" t="s">
        <v>31590</v>
      </c>
      <c r="I14568" t="s">
        <v>7185</v>
      </c>
      <c r="J14568" t="s">
        <v>40647</v>
      </c>
      <c r="K14568" t="s">
        <v>41186</v>
      </c>
      <c r="M14568" t="s">
        <v>41892</v>
      </c>
      <c r="N14568" t="s">
        <v>45095</v>
      </c>
      <c r="O14568" t="s">
        <v>45096</v>
      </c>
      <c r="Q14568">
        <v>5</v>
      </c>
      <c r="R14568" t="s">
        <v>45122</v>
      </c>
      <c r="S14568" t="s">
        <v>46143</v>
      </c>
      <c r="T14568" t="s">
        <v>47154</v>
      </c>
      <c r="U14568" t="s">
        <v>51307</v>
      </c>
      <c r="W14568" t="s">
        <v>41892</v>
      </c>
      <c r="X14568" t="s">
        <v>45123</v>
      </c>
    </row>
    <row r="14569" spans="1:24">
      <c r="A14569">
        <f>HYPERLINK("https://www.philgeps.gov.ph/GEPSNONPILOT/Tender/SplashBidNoticeAbstractUI.aspx?menuIndex=3&amp;refID=7006603&amp;Result=3","7006603")</f>
        <v>0</v>
      </c>
      <c r="B14569" t="s">
        <v>1250</v>
      </c>
      <c r="C14569" t="s">
        <v>17143</v>
      </c>
      <c r="D14569" t="s">
        <v>18084</v>
      </c>
      <c r="E14569" t="s">
        <v>30765</v>
      </c>
      <c r="F14569" t="s">
        <v>31574</v>
      </c>
      <c r="G14569" t="s">
        <v>31582</v>
      </c>
      <c r="H14569" t="s">
        <v>31590</v>
      </c>
      <c r="I14569" t="s">
        <v>3487</v>
      </c>
      <c r="J14569" t="s">
        <v>40648</v>
      </c>
      <c r="K14569" t="s">
        <v>41185</v>
      </c>
      <c r="M14569" t="s">
        <v>44461</v>
      </c>
      <c r="N14569" t="s">
        <v>45095</v>
      </c>
      <c r="O14569" t="s">
        <v>45096</v>
      </c>
      <c r="Q14569">
        <v>5</v>
      </c>
      <c r="R14569" t="s">
        <v>45122</v>
      </c>
      <c r="S14569" t="s">
        <v>46144</v>
      </c>
      <c r="T14569" t="s">
        <v>47183</v>
      </c>
      <c r="U14569" t="s">
        <v>59224</v>
      </c>
      <c r="V14569" t="s">
        <v>61479</v>
      </c>
      <c r="W14569" t="s">
        <v>44461</v>
      </c>
      <c r="X14569" t="s">
        <v>45123</v>
      </c>
    </row>
    <row r="14570" spans="1:24">
      <c r="A14570">
        <f>HYPERLINK("https://www.philgeps.gov.ph/GEPSNONPILOT/Tender/SplashBidNoticeAbstractUI.aspx?menuIndex=3&amp;refID=7006652&amp;Result=3","7006652")</f>
        <v>0</v>
      </c>
      <c r="B14570" t="s">
        <v>401</v>
      </c>
      <c r="C14570" t="s">
        <v>17144</v>
      </c>
      <c r="D14570" t="s">
        <v>18052</v>
      </c>
      <c r="E14570" t="s">
        <v>30766</v>
      </c>
      <c r="F14570" t="s">
        <v>31574</v>
      </c>
      <c r="G14570" t="s">
        <v>31582</v>
      </c>
      <c r="H14570" t="s">
        <v>31590</v>
      </c>
      <c r="I14570" t="s">
        <v>7185</v>
      </c>
      <c r="J14570" t="s">
        <v>40649</v>
      </c>
      <c r="K14570" t="s">
        <v>41186</v>
      </c>
      <c r="M14570" t="s">
        <v>41892</v>
      </c>
      <c r="N14570" t="s">
        <v>45095</v>
      </c>
      <c r="O14570" t="s">
        <v>45096</v>
      </c>
      <c r="Q14570">
        <v>4</v>
      </c>
      <c r="R14570" t="s">
        <v>45122</v>
      </c>
      <c r="S14570" t="s">
        <v>46145</v>
      </c>
      <c r="T14570" t="s">
        <v>47154</v>
      </c>
      <c r="U14570" t="s">
        <v>51307</v>
      </c>
      <c r="W14570" t="s">
        <v>41892</v>
      </c>
      <c r="X14570" t="s">
        <v>45123</v>
      </c>
    </row>
    <row r="14571" spans="1:24">
      <c r="A14571">
        <f>HYPERLINK("https://www.philgeps.gov.ph/GEPSNONPILOT/Tender/SplashBidNoticeAbstractUI.aspx?menuIndex=3&amp;refID=7006667&amp;Result=3","7006667")</f>
        <v>0</v>
      </c>
      <c r="B14571" t="s">
        <v>401</v>
      </c>
      <c r="C14571" t="s">
        <v>17145</v>
      </c>
      <c r="D14571" t="s">
        <v>18052</v>
      </c>
      <c r="E14571" t="s">
        <v>30767</v>
      </c>
      <c r="F14571" t="s">
        <v>31574</v>
      </c>
      <c r="G14571" t="s">
        <v>31582</v>
      </c>
      <c r="H14571" t="s">
        <v>31590</v>
      </c>
      <c r="I14571" t="s">
        <v>7185</v>
      </c>
      <c r="J14571" t="s">
        <v>40650</v>
      </c>
      <c r="K14571" t="s">
        <v>41186</v>
      </c>
      <c r="M14571" t="s">
        <v>41892</v>
      </c>
      <c r="N14571" t="s">
        <v>45095</v>
      </c>
      <c r="O14571" t="s">
        <v>45096</v>
      </c>
      <c r="Q14571">
        <v>7</v>
      </c>
      <c r="R14571" t="s">
        <v>45122</v>
      </c>
      <c r="S14571" t="s">
        <v>46146</v>
      </c>
      <c r="T14571" t="s">
        <v>47154</v>
      </c>
      <c r="U14571" t="s">
        <v>51307</v>
      </c>
      <c r="W14571" t="s">
        <v>41892</v>
      </c>
      <c r="X14571" t="s">
        <v>45123</v>
      </c>
    </row>
    <row r="14572" spans="1:24">
      <c r="A14572">
        <f>HYPERLINK("https://www.philgeps.gov.ph/GEPSNONPILOT/Tender/SplashBidNoticeAbstractUI.aspx?menuIndex=3&amp;refID=7006590&amp;Result=3","7006590")</f>
        <v>0</v>
      </c>
      <c r="B14572" t="s">
        <v>462</v>
      </c>
      <c r="C14572" t="s">
        <v>17146</v>
      </c>
      <c r="D14572" t="s">
        <v>18033</v>
      </c>
      <c r="E14572" t="s">
        <v>30768</v>
      </c>
      <c r="F14572" t="s">
        <v>31574</v>
      </c>
      <c r="G14572" t="s">
        <v>31587</v>
      </c>
      <c r="H14572" t="s">
        <v>31593</v>
      </c>
      <c r="I14572" t="s">
        <v>31593</v>
      </c>
      <c r="J14572" t="s">
        <v>40651</v>
      </c>
      <c r="K14572" t="s">
        <v>41192</v>
      </c>
      <c r="M14572" t="s">
        <v>41956</v>
      </c>
      <c r="N14572" t="s">
        <v>45095</v>
      </c>
      <c r="O14572" t="s">
        <v>45096</v>
      </c>
      <c r="P14572">
        <v>0</v>
      </c>
      <c r="Q14572">
        <v>4</v>
      </c>
      <c r="R14572" t="s">
        <v>45122</v>
      </c>
      <c r="S14572" t="s">
        <v>46125</v>
      </c>
      <c r="T14572" t="s">
        <v>46979</v>
      </c>
      <c r="U14572" t="s">
        <v>59225</v>
      </c>
      <c r="V14572" t="s">
        <v>61480</v>
      </c>
      <c r="W14572" t="s">
        <v>41956</v>
      </c>
      <c r="X14572" t="s">
        <v>45123</v>
      </c>
    </row>
    <row r="14573" spans="1:24">
      <c r="A14573">
        <f>HYPERLINK("https://www.philgeps.gov.ph/GEPSNONPILOT/Tender/SplashBidNoticeAbstractUI.aspx?menuIndex=3&amp;refID=7002150&amp;Result=3","7002150")</f>
        <v>0</v>
      </c>
      <c r="B14573" t="s">
        <v>3098</v>
      </c>
      <c r="C14573" t="s">
        <v>17147</v>
      </c>
      <c r="D14573" t="s">
        <v>18047</v>
      </c>
      <c r="E14573" t="s">
        <v>30769</v>
      </c>
      <c r="F14573" t="s">
        <v>31574</v>
      </c>
      <c r="G14573" t="s">
        <v>31582</v>
      </c>
      <c r="H14573" t="s">
        <v>31591</v>
      </c>
      <c r="I14573" t="s">
        <v>8822</v>
      </c>
      <c r="J14573" t="s">
        <v>40652</v>
      </c>
      <c r="K14573" t="s">
        <v>41243</v>
      </c>
      <c r="M14573" t="s">
        <v>44943</v>
      </c>
      <c r="N14573" t="s">
        <v>45095</v>
      </c>
      <c r="O14573" t="s">
        <v>45096</v>
      </c>
      <c r="P14573">
        <v>0</v>
      </c>
      <c r="Q14573">
        <v>13</v>
      </c>
      <c r="R14573" t="s">
        <v>45123</v>
      </c>
      <c r="S14573" t="s">
        <v>46147</v>
      </c>
      <c r="T14573" t="s">
        <v>47183</v>
      </c>
      <c r="U14573" t="s">
        <v>59226</v>
      </c>
      <c r="W14573" t="s">
        <v>44943</v>
      </c>
      <c r="X14573" t="s">
        <v>45125</v>
      </c>
    </row>
    <row r="14574" spans="1:24">
      <c r="A14574">
        <f>HYPERLINK("https://www.philgeps.gov.ph/GEPSNONPILOT/Tender/SplashBidNoticeAbstractUI.aspx?menuIndex=3&amp;refID=7000126&amp;Result=3","7000126")</f>
        <v>0</v>
      </c>
      <c r="B14574" t="s">
        <v>2691</v>
      </c>
      <c r="C14574" t="s">
        <v>17148</v>
      </c>
      <c r="D14574" t="s">
        <v>18083</v>
      </c>
      <c r="E14574" t="s">
        <v>30770</v>
      </c>
      <c r="F14574" t="s">
        <v>31574</v>
      </c>
      <c r="G14574" t="s">
        <v>31582</v>
      </c>
      <c r="H14574" t="s">
        <v>31591</v>
      </c>
      <c r="I14574" t="s">
        <v>8822</v>
      </c>
      <c r="J14574" t="s">
        <v>40653</v>
      </c>
      <c r="K14574" t="s">
        <v>41267</v>
      </c>
      <c r="M14574" t="s">
        <v>44704</v>
      </c>
      <c r="N14574" t="s">
        <v>45095</v>
      </c>
      <c r="O14574" t="s">
        <v>45096</v>
      </c>
      <c r="Q14574">
        <v>3</v>
      </c>
      <c r="R14574" t="s">
        <v>45123</v>
      </c>
      <c r="S14574" t="s">
        <v>46148</v>
      </c>
      <c r="T14574" t="s">
        <v>47159</v>
      </c>
      <c r="U14574" t="s">
        <v>59227</v>
      </c>
      <c r="V14574" t="s">
        <v>61163</v>
      </c>
      <c r="W14574" t="s">
        <v>44704</v>
      </c>
      <c r="X14574" t="s">
        <v>45128</v>
      </c>
    </row>
    <row r="14575" spans="1:24">
      <c r="A14575">
        <f>HYPERLINK("https://www.philgeps.gov.ph/GEPSNONPILOT/Tender/SplashBidNoticeAbstractUI.aspx?menuIndex=3&amp;refID=7006572&amp;Result=3","7006572")</f>
        <v>0</v>
      </c>
      <c r="B14575" t="s">
        <v>511</v>
      </c>
      <c r="C14575" t="s">
        <v>17149</v>
      </c>
      <c r="D14575" t="s">
        <v>18043</v>
      </c>
      <c r="E14575" t="s">
        <v>30771</v>
      </c>
      <c r="F14575" t="s">
        <v>31579</v>
      </c>
      <c r="G14575" t="s">
        <v>31582</v>
      </c>
      <c r="H14575" t="s">
        <v>31591</v>
      </c>
      <c r="I14575" t="s">
        <v>8822</v>
      </c>
      <c r="J14575" t="s">
        <v>40654</v>
      </c>
      <c r="K14575" t="s">
        <v>41305</v>
      </c>
      <c r="M14575" t="s">
        <v>42007</v>
      </c>
      <c r="N14575" t="s">
        <v>45095</v>
      </c>
      <c r="O14575" t="s">
        <v>45096</v>
      </c>
      <c r="Q14575">
        <v>6</v>
      </c>
      <c r="R14575" t="s">
        <v>45122</v>
      </c>
      <c r="S14575" t="s">
        <v>46149</v>
      </c>
      <c r="T14575" t="s">
        <v>46949</v>
      </c>
      <c r="U14575" t="s">
        <v>59228</v>
      </c>
      <c r="W14575" t="s">
        <v>42007</v>
      </c>
      <c r="X14575" t="s">
        <v>45123</v>
      </c>
    </row>
    <row r="14576" spans="1:24">
      <c r="A14576">
        <f>HYPERLINK("https://www.philgeps.gov.ph/GEPSNONPILOT/Tender/SplashBidNoticeAbstractUI.aspx?menuIndex=3&amp;refID=6996930&amp;Result=3","6996930")</f>
        <v>0</v>
      </c>
      <c r="B14576" t="s">
        <v>3098</v>
      </c>
      <c r="C14576" t="s">
        <v>17150</v>
      </c>
      <c r="D14576" t="s">
        <v>18047</v>
      </c>
      <c r="E14576" t="s">
        <v>30772</v>
      </c>
      <c r="F14576" t="s">
        <v>31574</v>
      </c>
      <c r="G14576" t="s">
        <v>31582</v>
      </c>
      <c r="H14576" t="s">
        <v>31591</v>
      </c>
      <c r="I14576" t="s">
        <v>8822</v>
      </c>
      <c r="J14576" t="s">
        <v>40655</v>
      </c>
      <c r="K14576" t="s">
        <v>41243</v>
      </c>
      <c r="M14576" t="s">
        <v>44943</v>
      </c>
      <c r="N14576" t="s">
        <v>45095</v>
      </c>
      <c r="O14576" t="s">
        <v>45096</v>
      </c>
      <c r="P14576">
        <v>0</v>
      </c>
      <c r="Q14576">
        <v>12</v>
      </c>
      <c r="R14576" t="s">
        <v>45123</v>
      </c>
      <c r="S14576" t="s">
        <v>46147</v>
      </c>
      <c r="T14576" t="s">
        <v>47183</v>
      </c>
      <c r="U14576" t="s">
        <v>59229</v>
      </c>
      <c r="W14576" t="s">
        <v>44943</v>
      </c>
      <c r="X14576" t="s">
        <v>45129</v>
      </c>
    </row>
    <row r="14577" spans="1:24">
      <c r="A14577">
        <f>HYPERLINK("https://www.philgeps.gov.ph/GEPSNONPILOT/Tender/SplashBidNoticeAbstractUI.aspx?menuIndex=3&amp;refID=7003094&amp;Result=3","7003094")</f>
        <v>0</v>
      </c>
      <c r="B14577" t="s">
        <v>1617</v>
      </c>
      <c r="C14577" t="s">
        <v>17151</v>
      </c>
      <c r="E14577" t="s">
        <v>30773</v>
      </c>
      <c r="F14577" t="s">
        <v>31574</v>
      </c>
      <c r="G14577" t="s">
        <v>31582</v>
      </c>
      <c r="H14577" t="s">
        <v>31591</v>
      </c>
      <c r="I14577" t="s">
        <v>8822</v>
      </c>
      <c r="J14577" t="s">
        <v>40656</v>
      </c>
      <c r="K14577" t="s">
        <v>41184</v>
      </c>
      <c r="M14577" t="s">
        <v>44987</v>
      </c>
      <c r="N14577" t="s">
        <v>45095</v>
      </c>
      <c r="O14577" t="s">
        <v>45096</v>
      </c>
      <c r="Q14577">
        <v>1</v>
      </c>
      <c r="R14577" t="s">
        <v>45123</v>
      </c>
      <c r="S14577" t="s">
        <v>46150</v>
      </c>
      <c r="T14577" t="s">
        <v>47159</v>
      </c>
      <c r="U14577" t="s">
        <v>59230</v>
      </c>
      <c r="W14577" t="s">
        <v>44987</v>
      </c>
      <c r="X14577" t="s">
        <v>45124</v>
      </c>
    </row>
    <row r="14578" spans="1:24">
      <c r="A14578">
        <f>HYPERLINK("https://www.philgeps.gov.ph/GEPSNONPILOT/Tender/SplashBidNoticeAbstractUI.aspx?menuIndex=3&amp;refID=7006525&amp;Result=3","7006525")</f>
        <v>0</v>
      </c>
      <c r="B14578" t="s">
        <v>511</v>
      </c>
      <c r="C14578" t="s">
        <v>17152</v>
      </c>
      <c r="D14578" t="s">
        <v>18043</v>
      </c>
      <c r="E14578" t="s">
        <v>30774</v>
      </c>
      <c r="F14578" t="s">
        <v>31579</v>
      </c>
      <c r="G14578" t="s">
        <v>31582</v>
      </c>
      <c r="H14578" t="s">
        <v>31590</v>
      </c>
      <c r="I14578" t="s">
        <v>31622</v>
      </c>
      <c r="J14578" t="s">
        <v>40657</v>
      </c>
      <c r="K14578" t="s">
        <v>41442</v>
      </c>
      <c r="M14578" t="s">
        <v>42007</v>
      </c>
      <c r="N14578" t="s">
        <v>45095</v>
      </c>
      <c r="O14578" t="s">
        <v>45096</v>
      </c>
      <c r="Q14578">
        <v>10</v>
      </c>
      <c r="R14578" t="s">
        <v>45122</v>
      </c>
      <c r="S14578" t="s">
        <v>45655</v>
      </c>
      <c r="T14578" t="s">
        <v>46949</v>
      </c>
      <c r="U14578" t="s">
        <v>59231</v>
      </c>
      <c r="W14578" t="s">
        <v>42007</v>
      </c>
      <c r="X14578" t="s">
        <v>45123</v>
      </c>
    </row>
    <row r="14579" spans="1:24">
      <c r="A14579">
        <f>HYPERLINK("https://www.philgeps.gov.ph/GEPSNONPILOT/Tender/SplashBidNoticeAbstractUI.aspx?menuIndex=3&amp;refID=7006792&amp;Result=3","7006792")</f>
        <v>0</v>
      </c>
      <c r="B14579" t="s">
        <v>2091</v>
      </c>
      <c r="C14579" t="s">
        <v>17153</v>
      </c>
      <c r="D14579" t="s">
        <v>18100</v>
      </c>
      <c r="E14579" t="s">
        <v>30775</v>
      </c>
      <c r="F14579" t="s">
        <v>31574</v>
      </c>
      <c r="G14579" t="s">
        <v>31582</v>
      </c>
      <c r="H14579" t="s">
        <v>31591</v>
      </c>
      <c r="I14579" t="s">
        <v>8822</v>
      </c>
      <c r="J14579" t="s">
        <v>32019</v>
      </c>
      <c r="K14579" t="s">
        <v>41189</v>
      </c>
      <c r="M14579" t="s">
        <v>43768</v>
      </c>
      <c r="N14579" t="s">
        <v>45095</v>
      </c>
      <c r="O14579" t="s">
        <v>45096</v>
      </c>
      <c r="P14579">
        <v>0</v>
      </c>
      <c r="Q14579">
        <v>1</v>
      </c>
      <c r="R14579" t="s">
        <v>45122</v>
      </c>
      <c r="S14579" t="s">
        <v>46125</v>
      </c>
      <c r="T14579" t="s">
        <v>46969</v>
      </c>
      <c r="U14579" t="s">
        <v>59221</v>
      </c>
      <c r="W14579" t="s">
        <v>43768</v>
      </c>
      <c r="X14579" t="s">
        <v>45123</v>
      </c>
    </row>
    <row r="14580" spans="1:24">
      <c r="A14580">
        <f>HYPERLINK("https://www.philgeps.gov.ph/GEPSNONPILOT/Tender/SplashBidNoticeAbstractUI.aspx?menuIndex=3&amp;refID=7003117&amp;Result=3","7003117")</f>
        <v>0</v>
      </c>
      <c r="B14580" t="s">
        <v>1617</v>
      </c>
      <c r="C14580" t="s">
        <v>17154</v>
      </c>
      <c r="E14580" t="s">
        <v>30776</v>
      </c>
      <c r="F14580" t="s">
        <v>31574</v>
      </c>
      <c r="G14580" t="s">
        <v>31582</v>
      </c>
      <c r="H14580" t="s">
        <v>31591</v>
      </c>
      <c r="I14580" t="s">
        <v>8822</v>
      </c>
      <c r="J14580" t="s">
        <v>40658</v>
      </c>
      <c r="K14580" t="s">
        <v>41184</v>
      </c>
      <c r="M14580" t="s">
        <v>44987</v>
      </c>
      <c r="N14580" t="s">
        <v>45095</v>
      </c>
      <c r="O14580" t="s">
        <v>45096</v>
      </c>
      <c r="Q14580">
        <v>1</v>
      </c>
      <c r="R14580" t="s">
        <v>45123</v>
      </c>
      <c r="S14580" t="s">
        <v>45894</v>
      </c>
      <c r="T14580" t="s">
        <v>47159</v>
      </c>
      <c r="U14580" t="s">
        <v>59232</v>
      </c>
      <c r="W14580" t="s">
        <v>44987</v>
      </c>
      <c r="X14580" t="s">
        <v>45124</v>
      </c>
    </row>
    <row r="14581" spans="1:24">
      <c r="A14581">
        <f>HYPERLINK("https://www.philgeps.gov.ph/GEPSNONPILOT/Tender/SplashBidNoticeAbstractUI.aspx?menuIndex=3&amp;refID=7003104&amp;Result=3","7003104")</f>
        <v>0</v>
      </c>
      <c r="B14581" t="s">
        <v>1617</v>
      </c>
      <c r="C14581" t="s">
        <v>17155</v>
      </c>
      <c r="E14581" t="s">
        <v>30777</v>
      </c>
      <c r="F14581" t="s">
        <v>31574</v>
      </c>
      <c r="G14581" t="s">
        <v>31582</v>
      </c>
      <c r="H14581" t="s">
        <v>31591</v>
      </c>
      <c r="I14581" t="s">
        <v>8822</v>
      </c>
      <c r="J14581" t="s">
        <v>40659</v>
      </c>
      <c r="K14581" t="s">
        <v>41184</v>
      </c>
      <c r="M14581" t="s">
        <v>44987</v>
      </c>
      <c r="N14581" t="s">
        <v>45095</v>
      </c>
      <c r="O14581" t="s">
        <v>45096</v>
      </c>
      <c r="Q14581">
        <v>1</v>
      </c>
      <c r="R14581" t="s">
        <v>45123</v>
      </c>
      <c r="S14581" t="s">
        <v>46151</v>
      </c>
      <c r="T14581" t="s">
        <v>47159</v>
      </c>
      <c r="U14581" t="s">
        <v>59233</v>
      </c>
      <c r="W14581" t="s">
        <v>44987</v>
      </c>
      <c r="X14581" t="s">
        <v>45124</v>
      </c>
    </row>
    <row r="14582" spans="1:24">
      <c r="A14582">
        <f>HYPERLINK("https://www.philgeps.gov.ph/GEPSNONPILOT/Tender/SplashBidNoticeAbstractUI.aspx?menuIndex=3&amp;refID=7006375&amp;Result=3","7006375")</f>
        <v>0</v>
      </c>
      <c r="B14582" t="s">
        <v>401</v>
      </c>
      <c r="C14582" t="s">
        <v>17156</v>
      </c>
      <c r="D14582" t="s">
        <v>18052</v>
      </c>
      <c r="E14582" t="s">
        <v>30778</v>
      </c>
      <c r="F14582" t="s">
        <v>31574</v>
      </c>
      <c r="G14582" t="s">
        <v>31582</v>
      </c>
      <c r="H14582" t="s">
        <v>31590</v>
      </c>
      <c r="I14582" t="s">
        <v>31615</v>
      </c>
      <c r="J14582" t="s">
        <v>31730</v>
      </c>
      <c r="K14582" t="s">
        <v>41186</v>
      </c>
      <c r="M14582" t="s">
        <v>41892</v>
      </c>
      <c r="N14582" t="s">
        <v>45095</v>
      </c>
      <c r="O14582" t="s">
        <v>45096</v>
      </c>
      <c r="P14582">
        <v>0</v>
      </c>
      <c r="Q14582">
        <v>5</v>
      </c>
      <c r="R14582" t="s">
        <v>45122</v>
      </c>
      <c r="S14582" t="s">
        <v>46125</v>
      </c>
      <c r="T14582" t="s">
        <v>47154</v>
      </c>
      <c r="U14582" t="s">
        <v>51307</v>
      </c>
      <c r="W14582" t="s">
        <v>41892</v>
      </c>
      <c r="X14582" t="s">
        <v>45123</v>
      </c>
    </row>
    <row r="14583" spans="1:24">
      <c r="A14583">
        <f>HYPERLINK("https://www.philgeps.gov.ph/GEPSNONPILOT/Tender/SplashBidNoticeAbstractUI.aspx?menuIndex=3&amp;refID=7003760&amp;Result=3","7003760")</f>
        <v>0</v>
      </c>
      <c r="B14583" t="s">
        <v>1376</v>
      </c>
      <c r="C14583" t="s">
        <v>17157</v>
      </c>
      <c r="E14583" t="s">
        <v>30779</v>
      </c>
      <c r="F14583" t="s">
        <v>31574</v>
      </c>
      <c r="G14583" t="s">
        <v>31582</v>
      </c>
      <c r="H14583" t="s">
        <v>31591</v>
      </c>
      <c r="I14583" t="s">
        <v>8822</v>
      </c>
      <c r="J14583" t="s">
        <v>32333</v>
      </c>
      <c r="K14583" t="s">
        <v>41184</v>
      </c>
      <c r="M14583" t="s">
        <v>42950</v>
      </c>
      <c r="N14583" t="s">
        <v>45095</v>
      </c>
      <c r="O14583" t="s">
        <v>45096</v>
      </c>
      <c r="Q14583">
        <v>1</v>
      </c>
      <c r="R14583" t="s">
        <v>45123</v>
      </c>
      <c r="S14583" t="s">
        <v>46152</v>
      </c>
      <c r="T14583" t="s">
        <v>47183</v>
      </c>
      <c r="U14583" t="s">
        <v>51044</v>
      </c>
      <c r="W14583" t="s">
        <v>42950</v>
      </c>
      <c r="X14583" t="s">
        <v>45124</v>
      </c>
    </row>
    <row r="14584" spans="1:24">
      <c r="A14584">
        <f>HYPERLINK("https://www.philgeps.gov.ph/GEPSNONPILOT/Tender/SplashBidNoticeAbstractUI.aspx?menuIndex=3&amp;refID=7003730&amp;Result=3","7003730")</f>
        <v>0</v>
      </c>
      <c r="B14584" t="s">
        <v>1520</v>
      </c>
      <c r="C14584" t="s">
        <v>17158</v>
      </c>
      <c r="E14584" t="s">
        <v>30780</v>
      </c>
      <c r="F14584" t="s">
        <v>31574</v>
      </c>
      <c r="G14584" t="s">
        <v>31582</v>
      </c>
      <c r="H14584" t="s">
        <v>31591</v>
      </c>
      <c r="I14584" t="s">
        <v>8822</v>
      </c>
      <c r="J14584" t="s">
        <v>40660</v>
      </c>
      <c r="K14584" t="s">
        <v>41184</v>
      </c>
      <c r="M14584" t="s">
        <v>43111</v>
      </c>
      <c r="N14584" t="s">
        <v>45095</v>
      </c>
      <c r="O14584" t="s">
        <v>45096</v>
      </c>
      <c r="Q14584">
        <v>52</v>
      </c>
      <c r="R14584" t="s">
        <v>45123</v>
      </c>
      <c r="S14584" t="s">
        <v>45967</v>
      </c>
      <c r="T14584" t="s">
        <v>46922</v>
      </c>
      <c r="U14584" t="s">
        <v>51225</v>
      </c>
      <c r="W14584" t="s">
        <v>61704</v>
      </c>
      <c r="X14584" t="s">
        <v>45124</v>
      </c>
    </row>
    <row r="14585" spans="1:24">
      <c r="A14585">
        <f>HYPERLINK("https://www.philgeps.gov.ph/GEPSNONPILOT/Tender/SplashBidNoticeAbstractUI.aspx?menuIndex=3&amp;refID=7003767&amp;Result=3","7003767")</f>
        <v>0</v>
      </c>
      <c r="B14585" t="s">
        <v>1520</v>
      </c>
      <c r="C14585" t="s">
        <v>17159</v>
      </c>
      <c r="E14585" t="s">
        <v>30781</v>
      </c>
      <c r="F14585" t="s">
        <v>31574</v>
      </c>
      <c r="G14585" t="s">
        <v>31582</v>
      </c>
      <c r="H14585" t="s">
        <v>31591</v>
      </c>
      <c r="I14585" t="s">
        <v>8822</v>
      </c>
      <c r="J14585" t="s">
        <v>40661</v>
      </c>
      <c r="K14585" t="s">
        <v>41184</v>
      </c>
      <c r="M14585" t="s">
        <v>43111</v>
      </c>
      <c r="N14585" t="s">
        <v>45095</v>
      </c>
      <c r="O14585" t="s">
        <v>45096</v>
      </c>
      <c r="Q14585">
        <v>59</v>
      </c>
      <c r="R14585" t="s">
        <v>45123</v>
      </c>
      <c r="S14585" t="s">
        <v>46153</v>
      </c>
      <c r="T14585" t="s">
        <v>46922</v>
      </c>
      <c r="U14585" t="s">
        <v>51225</v>
      </c>
      <c r="W14585" t="s">
        <v>61704</v>
      </c>
      <c r="X14585" t="s">
        <v>45124</v>
      </c>
    </row>
    <row r="14586" spans="1:24">
      <c r="A14586">
        <f>HYPERLINK("https://www.philgeps.gov.ph/GEPSNONPILOT/Tender/SplashBidNoticeAbstractUI.aspx?menuIndex=3&amp;refID=7003708&amp;Result=3","7003708")</f>
        <v>0</v>
      </c>
      <c r="B14586" t="s">
        <v>1376</v>
      </c>
      <c r="C14586" t="s">
        <v>17160</v>
      </c>
      <c r="E14586" t="s">
        <v>30782</v>
      </c>
      <c r="F14586" t="s">
        <v>31574</v>
      </c>
      <c r="G14586" t="s">
        <v>31582</v>
      </c>
      <c r="H14586" t="s">
        <v>31591</v>
      </c>
      <c r="I14586" t="s">
        <v>8822</v>
      </c>
      <c r="J14586" t="s">
        <v>34550</v>
      </c>
      <c r="K14586" t="s">
        <v>41184</v>
      </c>
      <c r="M14586" t="s">
        <v>42950</v>
      </c>
      <c r="N14586" t="s">
        <v>45095</v>
      </c>
      <c r="O14586" t="s">
        <v>45096</v>
      </c>
      <c r="Q14586">
        <v>1</v>
      </c>
      <c r="R14586" t="s">
        <v>45123</v>
      </c>
      <c r="S14586" t="s">
        <v>46154</v>
      </c>
      <c r="T14586" t="s">
        <v>47183</v>
      </c>
      <c r="U14586" t="s">
        <v>51044</v>
      </c>
      <c r="W14586" t="s">
        <v>42950</v>
      </c>
      <c r="X14586" t="s">
        <v>45124</v>
      </c>
    </row>
    <row r="14587" spans="1:24">
      <c r="A14587">
        <f>HYPERLINK("https://www.philgeps.gov.ph/GEPSNONPILOT/Tender/SplashBidNoticeAbstractUI.aspx?menuIndex=3&amp;refID=7003754&amp;Result=3","7003754")</f>
        <v>0</v>
      </c>
      <c r="B14587" t="s">
        <v>1520</v>
      </c>
      <c r="C14587" t="s">
        <v>17161</v>
      </c>
      <c r="E14587" t="s">
        <v>30783</v>
      </c>
      <c r="F14587" t="s">
        <v>31574</v>
      </c>
      <c r="G14587" t="s">
        <v>31582</v>
      </c>
      <c r="H14587" t="s">
        <v>31591</v>
      </c>
      <c r="I14587" t="s">
        <v>8822</v>
      </c>
      <c r="J14587" t="s">
        <v>40662</v>
      </c>
      <c r="K14587" t="s">
        <v>41184</v>
      </c>
      <c r="M14587" t="s">
        <v>43111</v>
      </c>
      <c r="N14587" t="s">
        <v>45095</v>
      </c>
      <c r="O14587" t="s">
        <v>45096</v>
      </c>
      <c r="Q14587">
        <v>48</v>
      </c>
      <c r="R14587" t="s">
        <v>45123</v>
      </c>
      <c r="S14587" t="s">
        <v>46155</v>
      </c>
      <c r="T14587" t="s">
        <v>46922</v>
      </c>
      <c r="U14587" t="s">
        <v>51225</v>
      </c>
      <c r="W14587" t="s">
        <v>61704</v>
      </c>
      <c r="X14587" t="s">
        <v>45124</v>
      </c>
    </row>
    <row r="14588" spans="1:24">
      <c r="A14588">
        <f>HYPERLINK("https://www.philgeps.gov.ph/GEPSNONPILOT/Tender/SplashBidNoticeAbstractUI.aspx?menuIndex=3&amp;refID=7003769&amp;Result=3","7003769")</f>
        <v>0</v>
      </c>
      <c r="B14588" t="s">
        <v>3137</v>
      </c>
      <c r="C14588" t="s">
        <v>17162</v>
      </c>
      <c r="D14588" t="s">
        <v>18062</v>
      </c>
      <c r="E14588" t="s">
        <v>30784</v>
      </c>
      <c r="F14588" t="s">
        <v>31574</v>
      </c>
      <c r="G14588" t="s">
        <v>31582</v>
      </c>
      <c r="H14588" t="s">
        <v>31590</v>
      </c>
      <c r="I14588" t="s">
        <v>6800</v>
      </c>
      <c r="J14588" t="s">
        <v>40663</v>
      </c>
      <c r="K14588" t="s">
        <v>41186</v>
      </c>
      <c r="M14588" t="s">
        <v>44988</v>
      </c>
      <c r="N14588" t="s">
        <v>45095</v>
      </c>
      <c r="O14588" t="s">
        <v>45096</v>
      </c>
      <c r="P14588">
        <v>0</v>
      </c>
      <c r="Q14588">
        <v>9</v>
      </c>
      <c r="R14588" t="s">
        <v>45123</v>
      </c>
      <c r="S14588" t="s">
        <v>46147</v>
      </c>
      <c r="T14588" t="s">
        <v>47050</v>
      </c>
      <c r="U14588" t="s">
        <v>59234</v>
      </c>
      <c r="V14588" t="s">
        <v>61481</v>
      </c>
      <c r="W14588" t="s">
        <v>44988</v>
      </c>
      <c r="X14588" t="s">
        <v>45124</v>
      </c>
    </row>
    <row r="14589" spans="1:24">
      <c r="A14589">
        <f>HYPERLINK("https://www.philgeps.gov.ph/GEPSNONPILOT/Tender/SplashBidNoticeAbstractUI.aspx?menuIndex=3&amp;refID=7003723&amp;Result=3","7003723")</f>
        <v>0</v>
      </c>
      <c r="B14589" t="s">
        <v>1376</v>
      </c>
      <c r="C14589" t="s">
        <v>17163</v>
      </c>
      <c r="E14589" t="s">
        <v>30785</v>
      </c>
      <c r="F14589" t="s">
        <v>31574</v>
      </c>
      <c r="G14589" t="s">
        <v>31582</v>
      </c>
      <c r="H14589" t="s">
        <v>31591</v>
      </c>
      <c r="I14589" t="s">
        <v>8822</v>
      </c>
      <c r="J14589" t="s">
        <v>31771</v>
      </c>
      <c r="K14589" t="s">
        <v>41184</v>
      </c>
      <c r="M14589" t="s">
        <v>42950</v>
      </c>
      <c r="N14589" t="s">
        <v>45095</v>
      </c>
      <c r="O14589" t="s">
        <v>45096</v>
      </c>
      <c r="Q14589">
        <v>0</v>
      </c>
      <c r="R14589" t="s">
        <v>45123</v>
      </c>
      <c r="S14589" t="s">
        <v>46156</v>
      </c>
      <c r="T14589" t="s">
        <v>47183</v>
      </c>
      <c r="U14589" t="s">
        <v>51044</v>
      </c>
      <c r="W14589" t="s">
        <v>42950</v>
      </c>
      <c r="X14589" t="s">
        <v>45124</v>
      </c>
    </row>
    <row r="14590" spans="1:24">
      <c r="A14590">
        <f>HYPERLINK("https://www.philgeps.gov.ph/GEPSNONPILOT/Tender/SplashBidNoticeAbstractUI.aspx?menuIndex=3&amp;refID=7003861&amp;Result=3","7003861")</f>
        <v>0</v>
      </c>
      <c r="B14590" t="s">
        <v>159</v>
      </c>
      <c r="C14590" t="s">
        <v>17164</v>
      </c>
      <c r="D14590" t="s">
        <v>18046</v>
      </c>
      <c r="E14590" t="s">
        <v>30786</v>
      </c>
      <c r="F14590" t="s">
        <v>31574</v>
      </c>
      <c r="G14590" t="s">
        <v>31582</v>
      </c>
      <c r="H14590" t="s">
        <v>31590</v>
      </c>
      <c r="I14590" t="s">
        <v>4046</v>
      </c>
      <c r="J14590" t="s">
        <v>40664</v>
      </c>
      <c r="K14590" t="s">
        <v>41186</v>
      </c>
      <c r="M14590" t="s">
        <v>41643</v>
      </c>
      <c r="N14590" t="s">
        <v>45095</v>
      </c>
      <c r="O14590" t="s">
        <v>45096</v>
      </c>
      <c r="P14590">
        <v>0</v>
      </c>
      <c r="Q14590">
        <v>0</v>
      </c>
      <c r="R14590" t="s">
        <v>45123</v>
      </c>
      <c r="S14590" t="s">
        <v>46147</v>
      </c>
      <c r="T14590" t="s">
        <v>47154</v>
      </c>
      <c r="U14590" t="s">
        <v>47772</v>
      </c>
      <c r="V14590" t="s">
        <v>59890</v>
      </c>
      <c r="W14590" t="s">
        <v>41643</v>
      </c>
      <c r="X14590" t="s">
        <v>45124</v>
      </c>
    </row>
    <row r="14591" spans="1:24">
      <c r="A14591">
        <f>HYPERLINK("https://www.philgeps.gov.ph/GEPSNONPILOT/Tender/SplashBidNoticeAbstractUI.aspx?menuIndex=3&amp;refID=7003683&amp;Result=3","7003683")</f>
        <v>0</v>
      </c>
      <c r="B14591" t="s">
        <v>1376</v>
      </c>
      <c r="C14591" t="s">
        <v>17165</v>
      </c>
      <c r="E14591" t="s">
        <v>30787</v>
      </c>
      <c r="F14591" t="s">
        <v>31574</v>
      </c>
      <c r="G14591" t="s">
        <v>31582</v>
      </c>
      <c r="H14591" t="s">
        <v>31591</v>
      </c>
      <c r="I14591" t="s">
        <v>8822</v>
      </c>
      <c r="J14591" t="s">
        <v>40665</v>
      </c>
      <c r="K14591" t="s">
        <v>41184</v>
      </c>
      <c r="M14591" t="s">
        <v>42950</v>
      </c>
      <c r="N14591" t="s">
        <v>45095</v>
      </c>
      <c r="O14591" t="s">
        <v>45096</v>
      </c>
      <c r="Q14591">
        <v>0</v>
      </c>
      <c r="R14591" t="s">
        <v>45123</v>
      </c>
      <c r="S14591" t="s">
        <v>46157</v>
      </c>
      <c r="T14591" t="s">
        <v>47183</v>
      </c>
      <c r="U14591" t="s">
        <v>51044</v>
      </c>
      <c r="W14591" t="s">
        <v>42950</v>
      </c>
      <c r="X14591" t="s">
        <v>45124</v>
      </c>
    </row>
    <row r="14592" spans="1:24">
      <c r="A14592">
        <f>HYPERLINK("https://www.philgeps.gov.ph/GEPSNONPILOT/Tender/SplashBidNoticeAbstractUI.aspx?menuIndex=3&amp;refID=7003885&amp;Result=3","7003885")</f>
        <v>0</v>
      </c>
      <c r="B14592" t="s">
        <v>159</v>
      </c>
      <c r="C14592" t="s">
        <v>17166</v>
      </c>
      <c r="D14592" t="s">
        <v>18046</v>
      </c>
      <c r="E14592" t="s">
        <v>30788</v>
      </c>
      <c r="F14592" t="s">
        <v>31574</v>
      </c>
      <c r="G14592" t="s">
        <v>31582</v>
      </c>
      <c r="H14592" t="s">
        <v>31590</v>
      </c>
      <c r="I14592" t="s">
        <v>4046</v>
      </c>
      <c r="J14592" t="s">
        <v>40666</v>
      </c>
      <c r="K14592" t="s">
        <v>41186</v>
      </c>
      <c r="M14592" t="s">
        <v>41643</v>
      </c>
      <c r="N14592" t="s">
        <v>45095</v>
      </c>
      <c r="O14592" t="s">
        <v>45096</v>
      </c>
      <c r="P14592">
        <v>0</v>
      </c>
      <c r="Q14592">
        <v>0</v>
      </c>
      <c r="R14592" t="s">
        <v>45123</v>
      </c>
      <c r="S14592" t="s">
        <v>46147</v>
      </c>
      <c r="T14592" t="s">
        <v>47154</v>
      </c>
      <c r="U14592" t="s">
        <v>47772</v>
      </c>
      <c r="V14592" t="s">
        <v>59890</v>
      </c>
      <c r="W14592" t="s">
        <v>41643</v>
      </c>
      <c r="X14592" t="s">
        <v>45124</v>
      </c>
    </row>
    <row r="14593" spans="1:24">
      <c r="A14593">
        <f>HYPERLINK("https://www.philgeps.gov.ph/GEPSNONPILOT/Tender/SplashBidNoticeAbstractUI.aspx?menuIndex=3&amp;refID=7003758&amp;Result=3","7003758")</f>
        <v>0</v>
      </c>
      <c r="B14593" t="s">
        <v>1520</v>
      </c>
      <c r="C14593" t="s">
        <v>17167</v>
      </c>
      <c r="E14593" t="s">
        <v>30789</v>
      </c>
      <c r="F14593" t="s">
        <v>31574</v>
      </c>
      <c r="G14593" t="s">
        <v>31582</v>
      </c>
      <c r="H14593" t="s">
        <v>31591</v>
      </c>
      <c r="I14593" t="s">
        <v>8822</v>
      </c>
      <c r="J14593" t="s">
        <v>40667</v>
      </c>
      <c r="K14593" t="s">
        <v>41184</v>
      </c>
      <c r="M14593" t="s">
        <v>43111</v>
      </c>
      <c r="N14593" t="s">
        <v>45095</v>
      </c>
      <c r="O14593" t="s">
        <v>45096</v>
      </c>
      <c r="Q14593">
        <v>45</v>
      </c>
      <c r="R14593" t="s">
        <v>45123</v>
      </c>
      <c r="S14593" t="s">
        <v>46158</v>
      </c>
      <c r="T14593" t="s">
        <v>46922</v>
      </c>
      <c r="U14593" t="s">
        <v>51225</v>
      </c>
      <c r="W14593" t="s">
        <v>61704</v>
      </c>
      <c r="X14593" t="s">
        <v>45124</v>
      </c>
    </row>
    <row r="14594" spans="1:24">
      <c r="A14594">
        <f>HYPERLINK("https://www.philgeps.gov.ph/GEPSNONPILOT/Tender/SplashBidNoticeAbstractUI.aspx?menuIndex=3&amp;refID=7003986&amp;Result=3","7003986")</f>
        <v>0</v>
      </c>
      <c r="B14594" t="s">
        <v>1376</v>
      </c>
      <c r="C14594" t="s">
        <v>17168</v>
      </c>
      <c r="E14594" t="s">
        <v>30790</v>
      </c>
      <c r="F14594" t="s">
        <v>31574</v>
      </c>
      <c r="G14594" t="s">
        <v>31582</v>
      </c>
      <c r="H14594" t="s">
        <v>31591</v>
      </c>
      <c r="I14594" t="s">
        <v>8822</v>
      </c>
      <c r="J14594" t="s">
        <v>40668</v>
      </c>
      <c r="K14594" t="s">
        <v>41184</v>
      </c>
      <c r="M14594" t="s">
        <v>42950</v>
      </c>
      <c r="N14594" t="s">
        <v>45095</v>
      </c>
      <c r="O14594" t="s">
        <v>45096</v>
      </c>
      <c r="Q14594">
        <v>1</v>
      </c>
      <c r="R14594" t="s">
        <v>45123</v>
      </c>
      <c r="S14594" t="s">
        <v>46159</v>
      </c>
      <c r="T14594" t="s">
        <v>47158</v>
      </c>
      <c r="U14594" t="s">
        <v>51044</v>
      </c>
      <c r="W14594" t="s">
        <v>42950</v>
      </c>
      <c r="X14594" t="s">
        <v>45124</v>
      </c>
    </row>
    <row r="14595" spans="1:24">
      <c r="A14595">
        <f>HYPERLINK("https://www.philgeps.gov.ph/GEPSNONPILOT/Tender/SplashBidNoticeAbstractUI.aspx?menuIndex=3&amp;refID=7004014&amp;Result=3","7004014")</f>
        <v>0</v>
      </c>
      <c r="B14595" t="s">
        <v>1376</v>
      </c>
      <c r="C14595" t="s">
        <v>17169</v>
      </c>
      <c r="E14595" t="s">
        <v>30791</v>
      </c>
      <c r="F14595" t="s">
        <v>31574</v>
      </c>
      <c r="G14595" t="s">
        <v>31582</v>
      </c>
      <c r="H14595" t="s">
        <v>31591</v>
      </c>
      <c r="I14595" t="s">
        <v>8822</v>
      </c>
      <c r="J14595" t="s">
        <v>37901</v>
      </c>
      <c r="K14595" t="s">
        <v>41184</v>
      </c>
      <c r="M14595" t="s">
        <v>42950</v>
      </c>
      <c r="N14595" t="s">
        <v>45095</v>
      </c>
      <c r="O14595" t="s">
        <v>45096</v>
      </c>
      <c r="Q14595">
        <v>1</v>
      </c>
      <c r="R14595" t="s">
        <v>45123</v>
      </c>
      <c r="S14595" t="s">
        <v>46160</v>
      </c>
      <c r="T14595" t="s">
        <v>47183</v>
      </c>
      <c r="U14595" t="s">
        <v>51044</v>
      </c>
      <c r="W14595" t="s">
        <v>42950</v>
      </c>
      <c r="X14595" t="s">
        <v>45124</v>
      </c>
    </row>
    <row r="14596" spans="1:24">
      <c r="A14596">
        <f>HYPERLINK("https://www.philgeps.gov.ph/GEPSNONPILOT/Tender/SplashBidNoticeAbstractUI.aspx?menuIndex=3&amp;refID=7003776&amp;Result=3","7003776")</f>
        <v>0</v>
      </c>
      <c r="B14596" t="s">
        <v>1376</v>
      </c>
      <c r="C14596" t="s">
        <v>17170</v>
      </c>
      <c r="E14596" t="s">
        <v>30792</v>
      </c>
      <c r="F14596" t="s">
        <v>31574</v>
      </c>
      <c r="G14596" t="s">
        <v>31582</v>
      </c>
      <c r="H14596" t="s">
        <v>31591</v>
      </c>
      <c r="I14596" t="s">
        <v>8822</v>
      </c>
      <c r="J14596" t="s">
        <v>33193</v>
      </c>
      <c r="K14596" t="s">
        <v>41184</v>
      </c>
      <c r="M14596" t="s">
        <v>42950</v>
      </c>
      <c r="N14596" t="s">
        <v>45095</v>
      </c>
      <c r="O14596" t="s">
        <v>45096</v>
      </c>
      <c r="Q14596">
        <v>0</v>
      </c>
      <c r="R14596" t="s">
        <v>45123</v>
      </c>
      <c r="S14596" t="s">
        <v>46161</v>
      </c>
      <c r="T14596" t="s">
        <v>47183</v>
      </c>
      <c r="U14596" t="s">
        <v>51044</v>
      </c>
      <c r="W14596" t="s">
        <v>42950</v>
      </c>
      <c r="X14596" t="s">
        <v>45124</v>
      </c>
    </row>
    <row r="14597" spans="1:24">
      <c r="A14597">
        <f>HYPERLINK("https://www.philgeps.gov.ph/GEPSNONPILOT/Tender/SplashBidNoticeAbstractUI.aspx?menuIndex=3&amp;refID=7003836&amp;Result=3","7003836")</f>
        <v>0</v>
      </c>
      <c r="B14597" t="s">
        <v>159</v>
      </c>
      <c r="C14597" t="s">
        <v>17171</v>
      </c>
      <c r="D14597" t="s">
        <v>18046</v>
      </c>
      <c r="E14597" t="s">
        <v>30793</v>
      </c>
      <c r="F14597" t="s">
        <v>31574</v>
      </c>
      <c r="G14597" t="s">
        <v>31582</v>
      </c>
      <c r="H14597" t="s">
        <v>31590</v>
      </c>
      <c r="I14597" t="s">
        <v>4046</v>
      </c>
      <c r="J14597" t="s">
        <v>40669</v>
      </c>
      <c r="K14597" t="s">
        <v>41186</v>
      </c>
      <c r="M14597" t="s">
        <v>41643</v>
      </c>
      <c r="N14597" t="s">
        <v>45095</v>
      </c>
      <c r="O14597" t="s">
        <v>45096</v>
      </c>
      <c r="P14597">
        <v>0</v>
      </c>
      <c r="Q14597">
        <v>2</v>
      </c>
      <c r="R14597" t="s">
        <v>45123</v>
      </c>
      <c r="S14597" t="s">
        <v>46147</v>
      </c>
      <c r="T14597" t="s">
        <v>47154</v>
      </c>
      <c r="U14597" t="s">
        <v>47772</v>
      </c>
      <c r="V14597" t="s">
        <v>59890</v>
      </c>
      <c r="W14597" t="s">
        <v>41643</v>
      </c>
      <c r="X14597" t="s">
        <v>45124</v>
      </c>
    </row>
    <row r="14598" spans="1:24">
      <c r="A14598">
        <f>HYPERLINK("https://www.philgeps.gov.ph/GEPSNONPILOT/Tender/SplashBidNoticeAbstractUI.aspx?menuIndex=3&amp;refID=7003950&amp;Result=3","7003950")</f>
        <v>0</v>
      </c>
      <c r="B14598" t="s">
        <v>1376</v>
      </c>
      <c r="C14598" t="s">
        <v>17172</v>
      </c>
      <c r="E14598" t="s">
        <v>30794</v>
      </c>
      <c r="F14598" t="s">
        <v>31574</v>
      </c>
      <c r="G14598" t="s">
        <v>31582</v>
      </c>
      <c r="H14598" t="s">
        <v>31591</v>
      </c>
      <c r="I14598" t="s">
        <v>8822</v>
      </c>
      <c r="J14598" t="s">
        <v>37901</v>
      </c>
      <c r="K14598" t="s">
        <v>41184</v>
      </c>
      <c r="M14598" t="s">
        <v>42950</v>
      </c>
      <c r="N14598" t="s">
        <v>45095</v>
      </c>
      <c r="O14598" t="s">
        <v>45096</v>
      </c>
      <c r="Q14598">
        <v>1</v>
      </c>
      <c r="R14598" t="s">
        <v>45123</v>
      </c>
      <c r="S14598" t="s">
        <v>46162</v>
      </c>
      <c r="T14598" t="s">
        <v>47183</v>
      </c>
      <c r="U14598" t="s">
        <v>51044</v>
      </c>
      <c r="W14598" t="s">
        <v>42950</v>
      </c>
      <c r="X14598" t="s">
        <v>45124</v>
      </c>
    </row>
    <row r="14599" spans="1:24">
      <c r="A14599">
        <f>HYPERLINK("https://www.philgeps.gov.ph/GEPSNONPILOT/Tender/SplashBidNoticeAbstractUI.aspx?menuIndex=3&amp;refID=7003663&amp;Result=3","7003663")</f>
        <v>0</v>
      </c>
      <c r="B14599" t="s">
        <v>1376</v>
      </c>
      <c r="C14599" t="s">
        <v>17173</v>
      </c>
      <c r="E14599" t="s">
        <v>30795</v>
      </c>
      <c r="F14599" t="s">
        <v>31574</v>
      </c>
      <c r="G14599" t="s">
        <v>31582</v>
      </c>
      <c r="H14599" t="s">
        <v>31591</v>
      </c>
      <c r="I14599" t="s">
        <v>8822</v>
      </c>
      <c r="J14599" t="s">
        <v>32019</v>
      </c>
      <c r="K14599" t="s">
        <v>41184</v>
      </c>
      <c r="M14599" t="s">
        <v>42950</v>
      </c>
      <c r="N14599" t="s">
        <v>45095</v>
      </c>
      <c r="O14599" t="s">
        <v>45096</v>
      </c>
      <c r="Q14599">
        <v>0</v>
      </c>
      <c r="R14599" t="s">
        <v>45123</v>
      </c>
      <c r="S14599" t="s">
        <v>46163</v>
      </c>
      <c r="T14599" t="s">
        <v>47183</v>
      </c>
      <c r="U14599" t="s">
        <v>51044</v>
      </c>
      <c r="W14599" t="s">
        <v>42950</v>
      </c>
      <c r="X14599" t="s">
        <v>45124</v>
      </c>
    </row>
    <row r="14600" spans="1:24">
      <c r="A14600">
        <f>HYPERLINK("https://www.philgeps.gov.ph/GEPSNONPILOT/Tender/SplashBidNoticeAbstractUI.aspx?menuIndex=3&amp;refID=7004040&amp;Result=3","7004040")</f>
        <v>0</v>
      </c>
      <c r="B14600" t="s">
        <v>1376</v>
      </c>
      <c r="C14600" t="s">
        <v>17174</v>
      </c>
      <c r="E14600" t="s">
        <v>30796</v>
      </c>
      <c r="F14600" t="s">
        <v>31574</v>
      </c>
      <c r="G14600" t="s">
        <v>31582</v>
      </c>
      <c r="H14600" t="s">
        <v>31591</v>
      </c>
      <c r="I14600" t="s">
        <v>8822</v>
      </c>
      <c r="J14600" t="s">
        <v>34050</v>
      </c>
      <c r="K14600" t="s">
        <v>41184</v>
      </c>
      <c r="M14600" t="s">
        <v>42950</v>
      </c>
      <c r="N14600" t="s">
        <v>45095</v>
      </c>
      <c r="O14600" t="s">
        <v>45096</v>
      </c>
      <c r="Q14600">
        <v>1</v>
      </c>
      <c r="R14600" t="s">
        <v>45123</v>
      </c>
      <c r="S14600" t="s">
        <v>46164</v>
      </c>
      <c r="T14600" t="s">
        <v>47183</v>
      </c>
      <c r="U14600" t="s">
        <v>51044</v>
      </c>
      <c r="W14600" t="s">
        <v>42950</v>
      </c>
      <c r="X14600" t="s">
        <v>45124</v>
      </c>
    </row>
    <row r="14601" spans="1:24">
      <c r="A14601">
        <f>HYPERLINK("https://www.philgeps.gov.ph/GEPSNONPILOT/Tender/SplashBidNoticeAbstractUI.aspx?menuIndex=3&amp;refID=7004027&amp;Result=3","7004027")</f>
        <v>0</v>
      </c>
      <c r="B14601" t="s">
        <v>1612</v>
      </c>
      <c r="C14601" t="s">
        <v>17175</v>
      </c>
      <c r="D14601" t="s">
        <v>18070</v>
      </c>
      <c r="E14601" t="s">
        <v>30797</v>
      </c>
      <c r="F14601" t="s">
        <v>31574</v>
      </c>
      <c r="G14601" t="s">
        <v>31582</v>
      </c>
      <c r="H14601" t="s">
        <v>31591</v>
      </c>
      <c r="I14601" t="s">
        <v>8822</v>
      </c>
      <c r="J14601" t="s">
        <v>40670</v>
      </c>
      <c r="K14601" t="s">
        <v>41198</v>
      </c>
      <c r="M14601" t="s">
        <v>43217</v>
      </c>
      <c r="N14601" t="s">
        <v>45095</v>
      </c>
      <c r="O14601" t="s">
        <v>45096</v>
      </c>
      <c r="Q14601">
        <v>0</v>
      </c>
      <c r="R14601" t="s">
        <v>45123</v>
      </c>
      <c r="S14601" t="s">
        <v>46165</v>
      </c>
      <c r="T14601" t="s">
        <v>46973</v>
      </c>
      <c r="U14601" t="s">
        <v>59235</v>
      </c>
      <c r="W14601" t="s">
        <v>43217</v>
      </c>
      <c r="X14601" t="s">
        <v>45124</v>
      </c>
    </row>
    <row r="14602" spans="1:24">
      <c r="A14602">
        <f>HYPERLINK("https://www.philgeps.gov.ph/GEPSNONPILOT/Tender/SplashBidNoticeAbstractUI.aspx?menuIndex=3&amp;refID=7004534&amp;Result=3","7004534")</f>
        <v>0</v>
      </c>
      <c r="B14602" t="s">
        <v>3138</v>
      </c>
      <c r="C14602" t="s">
        <v>17176</v>
      </c>
      <c r="D14602" t="s">
        <v>18056</v>
      </c>
      <c r="E14602" t="s">
        <v>30798</v>
      </c>
      <c r="F14602" t="s">
        <v>31574</v>
      </c>
      <c r="G14602" t="s">
        <v>31582</v>
      </c>
      <c r="H14602" t="s">
        <v>31590</v>
      </c>
      <c r="I14602" t="s">
        <v>4327</v>
      </c>
      <c r="J14602" t="s">
        <v>32662</v>
      </c>
      <c r="K14602" t="s">
        <v>41189</v>
      </c>
      <c r="M14602" t="s">
        <v>44989</v>
      </c>
      <c r="N14602" t="s">
        <v>45095</v>
      </c>
      <c r="O14602" t="s">
        <v>45096</v>
      </c>
      <c r="Q14602">
        <v>16</v>
      </c>
      <c r="R14602" t="s">
        <v>45123</v>
      </c>
      <c r="S14602" t="s">
        <v>46166</v>
      </c>
      <c r="T14602" t="s">
        <v>47154</v>
      </c>
      <c r="U14602" t="s">
        <v>59236</v>
      </c>
      <c r="W14602" t="s">
        <v>44989</v>
      </c>
      <c r="X14602" t="s">
        <v>45124</v>
      </c>
    </row>
    <row r="14603" spans="1:24">
      <c r="A14603">
        <f>HYPERLINK("https://www.philgeps.gov.ph/GEPSNONPILOT/Tender/SplashBidNoticeAbstractUI.aspx?menuIndex=3&amp;refID=7004028&amp;Result=3","7004028")</f>
        <v>0</v>
      </c>
      <c r="B14603" t="s">
        <v>3139</v>
      </c>
      <c r="C14603" t="s">
        <v>17177</v>
      </c>
      <c r="D14603" t="s">
        <v>18083</v>
      </c>
      <c r="E14603" t="s">
        <v>29682</v>
      </c>
      <c r="F14603" t="s">
        <v>31574</v>
      </c>
      <c r="G14603" t="s">
        <v>31582</v>
      </c>
      <c r="H14603" t="s">
        <v>31590</v>
      </c>
      <c r="I14603" t="s">
        <v>4327</v>
      </c>
      <c r="J14603" t="s">
        <v>32000</v>
      </c>
      <c r="K14603" t="s">
        <v>41190</v>
      </c>
      <c r="M14603" t="s">
        <v>44990</v>
      </c>
      <c r="N14603" t="s">
        <v>45095</v>
      </c>
      <c r="O14603" t="s">
        <v>45096</v>
      </c>
      <c r="P14603">
        <v>0</v>
      </c>
      <c r="Q14603">
        <v>3</v>
      </c>
      <c r="R14603" t="s">
        <v>45123</v>
      </c>
      <c r="S14603" t="s">
        <v>46147</v>
      </c>
      <c r="T14603" t="s">
        <v>46979</v>
      </c>
      <c r="U14603" t="s">
        <v>59237</v>
      </c>
      <c r="W14603" t="s">
        <v>44990</v>
      </c>
      <c r="X14603" t="s">
        <v>45124</v>
      </c>
    </row>
    <row r="14604" spans="1:24">
      <c r="A14604">
        <f>HYPERLINK("https://www.philgeps.gov.ph/GEPSNONPILOT/Tender/SplashBidNoticeAbstractUI.aspx?menuIndex=3&amp;refID=7004214&amp;Result=3","7004214")</f>
        <v>0</v>
      </c>
      <c r="B14604" t="s">
        <v>1376</v>
      </c>
      <c r="C14604" t="s">
        <v>17178</v>
      </c>
      <c r="E14604" t="s">
        <v>30799</v>
      </c>
      <c r="F14604" t="s">
        <v>31574</v>
      </c>
      <c r="G14604" t="s">
        <v>31582</v>
      </c>
      <c r="H14604" t="s">
        <v>31591</v>
      </c>
      <c r="I14604" t="s">
        <v>8822</v>
      </c>
      <c r="J14604" t="s">
        <v>31935</v>
      </c>
      <c r="K14604" t="s">
        <v>41184</v>
      </c>
      <c r="M14604" t="s">
        <v>42950</v>
      </c>
      <c r="N14604" t="s">
        <v>45095</v>
      </c>
      <c r="O14604" t="s">
        <v>45096</v>
      </c>
      <c r="Q14604">
        <v>0</v>
      </c>
      <c r="R14604" t="s">
        <v>45123</v>
      </c>
      <c r="S14604" t="s">
        <v>46167</v>
      </c>
      <c r="T14604" t="s">
        <v>47183</v>
      </c>
      <c r="U14604" t="s">
        <v>51044</v>
      </c>
      <c r="W14604" t="s">
        <v>42950</v>
      </c>
      <c r="X14604" t="s">
        <v>45124</v>
      </c>
    </row>
    <row r="14605" spans="1:24">
      <c r="A14605">
        <f>HYPERLINK("https://www.philgeps.gov.ph/GEPSNONPILOT/Tender/SplashBidNoticeAbstractUI.aspx?menuIndex=3&amp;refID=7004303&amp;Result=3","7004303")</f>
        <v>0</v>
      </c>
      <c r="B14605" t="s">
        <v>1376</v>
      </c>
      <c r="C14605" t="s">
        <v>13349</v>
      </c>
      <c r="E14605" t="s">
        <v>30800</v>
      </c>
      <c r="F14605" t="s">
        <v>31574</v>
      </c>
      <c r="G14605" t="s">
        <v>31582</v>
      </c>
      <c r="H14605" t="s">
        <v>31591</v>
      </c>
      <c r="I14605" t="s">
        <v>8822</v>
      </c>
      <c r="J14605" t="s">
        <v>32026</v>
      </c>
      <c r="K14605" t="s">
        <v>41184</v>
      </c>
      <c r="M14605" t="s">
        <v>42950</v>
      </c>
      <c r="N14605" t="s">
        <v>45095</v>
      </c>
      <c r="O14605" t="s">
        <v>45096</v>
      </c>
      <c r="Q14605">
        <v>0</v>
      </c>
      <c r="R14605" t="s">
        <v>45123</v>
      </c>
      <c r="S14605" t="s">
        <v>46168</v>
      </c>
      <c r="T14605" t="s">
        <v>47183</v>
      </c>
      <c r="U14605" t="s">
        <v>51044</v>
      </c>
      <c r="W14605" t="s">
        <v>42950</v>
      </c>
      <c r="X14605" t="s">
        <v>45124</v>
      </c>
    </row>
    <row r="14606" spans="1:24">
      <c r="A14606">
        <f>HYPERLINK("https://www.philgeps.gov.ph/GEPSNONPILOT/Tender/SplashBidNoticeAbstractUI.aspx?menuIndex=3&amp;refID=7004083&amp;Result=3","7004083")</f>
        <v>0</v>
      </c>
      <c r="B14606" t="s">
        <v>1376</v>
      </c>
      <c r="C14606" t="s">
        <v>17179</v>
      </c>
      <c r="E14606" t="s">
        <v>30801</v>
      </c>
      <c r="F14606" t="s">
        <v>31574</v>
      </c>
      <c r="G14606" t="s">
        <v>31582</v>
      </c>
      <c r="H14606" t="s">
        <v>31591</v>
      </c>
      <c r="I14606" t="s">
        <v>8822</v>
      </c>
      <c r="J14606" t="s">
        <v>31819</v>
      </c>
      <c r="K14606" t="s">
        <v>41184</v>
      </c>
      <c r="M14606" t="s">
        <v>42950</v>
      </c>
      <c r="N14606" t="s">
        <v>45095</v>
      </c>
      <c r="O14606" t="s">
        <v>45096</v>
      </c>
      <c r="Q14606">
        <v>1</v>
      </c>
      <c r="R14606" t="s">
        <v>45123</v>
      </c>
      <c r="S14606" t="s">
        <v>46169</v>
      </c>
      <c r="T14606" t="s">
        <v>47183</v>
      </c>
      <c r="U14606" t="s">
        <v>51044</v>
      </c>
      <c r="W14606" t="s">
        <v>42950</v>
      </c>
      <c r="X14606" t="s">
        <v>45124</v>
      </c>
    </row>
    <row r="14607" spans="1:24">
      <c r="A14607">
        <f>HYPERLINK("https://www.philgeps.gov.ph/GEPSNONPILOT/Tender/SplashBidNoticeAbstractUI.aspx?menuIndex=3&amp;refID=7004336&amp;Result=3","7004336")</f>
        <v>0</v>
      </c>
      <c r="B14607" t="s">
        <v>1376</v>
      </c>
      <c r="C14607" t="s">
        <v>17180</v>
      </c>
      <c r="E14607" t="s">
        <v>30802</v>
      </c>
      <c r="F14607" t="s">
        <v>31574</v>
      </c>
      <c r="G14607" t="s">
        <v>31582</v>
      </c>
      <c r="H14607" t="s">
        <v>31591</v>
      </c>
      <c r="I14607" t="s">
        <v>8822</v>
      </c>
      <c r="J14607" t="s">
        <v>31935</v>
      </c>
      <c r="K14607" t="s">
        <v>41184</v>
      </c>
      <c r="M14607" t="s">
        <v>42950</v>
      </c>
      <c r="N14607" t="s">
        <v>45095</v>
      </c>
      <c r="O14607" t="s">
        <v>45096</v>
      </c>
      <c r="Q14607">
        <v>0</v>
      </c>
      <c r="R14607" t="s">
        <v>45123</v>
      </c>
      <c r="S14607" t="s">
        <v>46170</v>
      </c>
      <c r="T14607" t="s">
        <v>47183</v>
      </c>
      <c r="U14607" t="s">
        <v>51044</v>
      </c>
      <c r="W14607" t="s">
        <v>42950</v>
      </c>
      <c r="X14607" t="s">
        <v>45124</v>
      </c>
    </row>
    <row r="14608" spans="1:24">
      <c r="A14608">
        <f>HYPERLINK("https://www.philgeps.gov.ph/GEPSNONPILOT/Tender/SplashBidNoticeAbstractUI.aspx?menuIndex=3&amp;refID=7004819&amp;Result=3","7004819")</f>
        <v>0</v>
      </c>
      <c r="B14608" t="s">
        <v>1315</v>
      </c>
      <c r="C14608" t="s">
        <v>17181</v>
      </c>
      <c r="D14608" t="s">
        <v>18022</v>
      </c>
      <c r="E14608" t="s">
        <v>18647</v>
      </c>
      <c r="F14608" t="s">
        <v>31574</v>
      </c>
      <c r="G14608" t="s">
        <v>31582</v>
      </c>
      <c r="H14608" t="s">
        <v>31590</v>
      </c>
      <c r="I14608" t="s">
        <v>31610</v>
      </c>
      <c r="J14608" t="s">
        <v>40671</v>
      </c>
      <c r="K14608" t="s">
        <v>41190</v>
      </c>
      <c r="M14608" t="s">
        <v>42885</v>
      </c>
      <c r="N14608" t="s">
        <v>45095</v>
      </c>
      <c r="O14608" t="s">
        <v>45096</v>
      </c>
      <c r="Q14608">
        <v>2</v>
      </c>
      <c r="R14608" t="s">
        <v>45123</v>
      </c>
      <c r="S14608" t="s">
        <v>46171</v>
      </c>
      <c r="T14608" t="s">
        <v>47171</v>
      </c>
      <c r="U14608" t="s">
        <v>59238</v>
      </c>
      <c r="W14608" t="s">
        <v>42885</v>
      </c>
      <c r="X14608" t="s">
        <v>45124</v>
      </c>
    </row>
    <row r="14609" spans="1:24">
      <c r="A14609">
        <f>HYPERLINK("https://www.philgeps.gov.ph/GEPSNONPILOT/Tender/SplashBidNoticeAbstractUI.aspx?menuIndex=3&amp;refID=7004153&amp;Result=3","7004153")</f>
        <v>0</v>
      </c>
      <c r="B14609" t="s">
        <v>3139</v>
      </c>
      <c r="C14609" t="s">
        <v>17182</v>
      </c>
      <c r="D14609" t="s">
        <v>18083</v>
      </c>
      <c r="E14609" t="s">
        <v>20886</v>
      </c>
      <c r="F14609" t="s">
        <v>31574</v>
      </c>
      <c r="G14609" t="s">
        <v>31582</v>
      </c>
      <c r="H14609" t="s">
        <v>31590</v>
      </c>
      <c r="I14609" t="s">
        <v>31615</v>
      </c>
      <c r="J14609" t="s">
        <v>34703</v>
      </c>
      <c r="K14609" t="s">
        <v>41190</v>
      </c>
      <c r="M14609" t="s">
        <v>44990</v>
      </c>
      <c r="N14609" t="s">
        <v>45095</v>
      </c>
      <c r="O14609" t="s">
        <v>45096</v>
      </c>
      <c r="Q14609">
        <v>3</v>
      </c>
      <c r="R14609" t="s">
        <v>45123</v>
      </c>
      <c r="S14609" t="s">
        <v>46172</v>
      </c>
      <c r="T14609" t="s">
        <v>46979</v>
      </c>
      <c r="U14609" t="s">
        <v>59239</v>
      </c>
      <c r="W14609" t="s">
        <v>44990</v>
      </c>
      <c r="X14609" t="s">
        <v>45124</v>
      </c>
    </row>
    <row r="14610" spans="1:24">
      <c r="A14610">
        <f>HYPERLINK("https://www.philgeps.gov.ph/GEPSNONPILOT/Tender/SplashBidNoticeAbstractUI.aspx?menuIndex=3&amp;refID=7004618&amp;Result=3","7004618")</f>
        <v>0</v>
      </c>
      <c r="B14610" t="s">
        <v>3140</v>
      </c>
      <c r="C14610" t="s">
        <v>17183</v>
      </c>
      <c r="D14610" t="s">
        <v>18041</v>
      </c>
      <c r="E14610" t="s">
        <v>30803</v>
      </c>
      <c r="F14610" t="s">
        <v>31574</v>
      </c>
      <c r="G14610" t="s">
        <v>31582</v>
      </c>
      <c r="H14610" t="s">
        <v>31591</v>
      </c>
      <c r="I14610" t="s">
        <v>8822</v>
      </c>
      <c r="J14610" t="s">
        <v>32497</v>
      </c>
      <c r="K14610" t="s">
        <v>41185</v>
      </c>
      <c r="M14610" t="s">
        <v>44991</v>
      </c>
      <c r="N14610" t="s">
        <v>45095</v>
      </c>
      <c r="O14610" t="s">
        <v>45096</v>
      </c>
      <c r="P14610">
        <v>0</v>
      </c>
      <c r="Q14610">
        <v>0</v>
      </c>
      <c r="R14610" t="s">
        <v>45123</v>
      </c>
      <c r="S14610" t="s">
        <v>46147</v>
      </c>
      <c r="T14610" t="s">
        <v>47159</v>
      </c>
      <c r="U14610" t="s">
        <v>59240</v>
      </c>
      <c r="W14610" t="s">
        <v>44991</v>
      </c>
      <c r="X14610" t="s">
        <v>45124</v>
      </c>
    </row>
    <row r="14611" spans="1:24">
      <c r="A14611">
        <f>HYPERLINK("https://www.philgeps.gov.ph/GEPSNONPILOT/Tender/SplashBidNoticeAbstractUI.aspx?menuIndex=3&amp;refID=7004064&amp;Result=3","7004064")</f>
        <v>0</v>
      </c>
      <c r="B14611" t="s">
        <v>1376</v>
      </c>
      <c r="C14611" t="s">
        <v>17184</v>
      </c>
      <c r="E14611" t="s">
        <v>30804</v>
      </c>
      <c r="F14611" t="s">
        <v>31574</v>
      </c>
      <c r="G14611" t="s">
        <v>31582</v>
      </c>
      <c r="H14611" t="s">
        <v>31591</v>
      </c>
      <c r="I14611" t="s">
        <v>8822</v>
      </c>
      <c r="J14611" t="s">
        <v>31730</v>
      </c>
      <c r="K14611" t="s">
        <v>41184</v>
      </c>
      <c r="M14611" t="s">
        <v>42950</v>
      </c>
      <c r="N14611" t="s">
        <v>45095</v>
      </c>
      <c r="O14611" t="s">
        <v>45096</v>
      </c>
      <c r="Q14611">
        <v>1</v>
      </c>
      <c r="R14611" t="s">
        <v>45123</v>
      </c>
      <c r="S14611" t="s">
        <v>46173</v>
      </c>
      <c r="T14611" t="s">
        <v>47183</v>
      </c>
      <c r="U14611" t="s">
        <v>51044</v>
      </c>
      <c r="W14611" t="s">
        <v>42950</v>
      </c>
      <c r="X14611" t="s">
        <v>45124</v>
      </c>
    </row>
    <row r="14612" spans="1:24">
      <c r="A14612">
        <f>HYPERLINK("https://www.philgeps.gov.ph/GEPSNONPILOT/Tender/SplashBidNoticeAbstractUI.aspx?menuIndex=3&amp;refID=7004042&amp;Result=3","7004042")</f>
        <v>0</v>
      </c>
      <c r="B14612" t="s">
        <v>1612</v>
      </c>
      <c r="C14612" t="s">
        <v>17185</v>
      </c>
      <c r="D14612" t="s">
        <v>18070</v>
      </c>
      <c r="E14612" t="s">
        <v>30805</v>
      </c>
      <c r="F14612" t="s">
        <v>31574</v>
      </c>
      <c r="G14612" t="s">
        <v>31582</v>
      </c>
      <c r="H14612" t="s">
        <v>31591</v>
      </c>
      <c r="I14612" t="s">
        <v>8822</v>
      </c>
      <c r="J14612" t="s">
        <v>40672</v>
      </c>
      <c r="K14612" t="s">
        <v>41198</v>
      </c>
      <c r="M14612" t="s">
        <v>43217</v>
      </c>
      <c r="N14612" t="s">
        <v>45095</v>
      </c>
      <c r="O14612" t="s">
        <v>45096</v>
      </c>
      <c r="Q14612">
        <v>0</v>
      </c>
      <c r="R14612" t="s">
        <v>45123</v>
      </c>
      <c r="S14612" t="s">
        <v>46174</v>
      </c>
      <c r="T14612" t="s">
        <v>46973</v>
      </c>
      <c r="U14612" t="s">
        <v>59235</v>
      </c>
      <c r="W14612" t="s">
        <v>43217</v>
      </c>
      <c r="X14612" t="s">
        <v>45124</v>
      </c>
    </row>
    <row r="14613" spans="1:24">
      <c r="A14613">
        <f>HYPERLINK("https://www.philgeps.gov.ph/GEPSNONPILOT/Tender/SplashBidNoticeAbstractUI.aspx?menuIndex=3&amp;refID=7004244&amp;Result=3","7004244")</f>
        <v>0</v>
      </c>
      <c r="B14613" t="s">
        <v>3139</v>
      </c>
      <c r="C14613" t="s">
        <v>17186</v>
      </c>
      <c r="D14613" t="s">
        <v>18083</v>
      </c>
      <c r="E14613" t="s">
        <v>19165</v>
      </c>
      <c r="F14613" t="s">
        <v>31574</v>
      </c>
      <c r="G14613" t="s">
        <v>31582</v>
      </c>
      <c r="H14613" t="s">
        <v>31590</v>
      </c>
      <c r="I14613" t="s">
        <v>31615</v>
      </c>
      <c r="J14613" t="s">
        <v>40673</v>
      </c>
      <c r="K14613" t="s">
        <v>41190</v>
      </c>
      <c r="M14613" t="s">
        <v>44990</v>
      </c>
      <c r="N14613" t="s">
        <v>45095</v>
      </c>
      <c r="O14613" t="s">
        <v>45096</v>
      </c>
      <c r="Q14613">
        <v>5</v>
      </c>
      <c r="R14613" t="s">
        <v>45123</v>
      </c>
      <c r="S14613" t="s">
        <v>46175</v>
      </c>
      <c r="T14613" t="s">
        <v>46979</v>
      </c>
      <c r="U14613" t="s">
        <v>59241</v>
      </c>
      <c r="W14613" t="s">
        <v>44990</v>
      </c>
      <c r="X14613" t="s">
        <v>45124</v>
      </c>
    </row>
    <row r="14614" spans="1:24">
      <c r="A14614">
        <f>HYPERLINK("https://www.philgeps.gov.ph/GEPSNONPILOT/Tender/SplashBidNoticeAbstractUI.aspx?menuIndex=3&amp;refID=7004814&amp;Result=3","7004814")</f>
        <v>0</v>
      </c>
      <c r="B14614" t="s">
        <v>3141</v>
      </c>
      <c r="C14614" t="s">
        <v>17187</v>
      </c>
      <c r="D14614" t="s">
        <v>18022</v>
      </c>
      <c r="E14614" t="s">
        <v>30806</v>
      </c>
      <c r="F14614" t="s">
        <v>31574</v>
      </c>
      <c r="G14614" t="s">
        <v>31582</v>
      </c>
      <c r="H14614" t="s">
        <v>31590</v>
      </c>
      <c r="I14614" t="s">
        <v>31717</v>
      </c>
      <c r="J14614" t="s">
        <v>40674</v>
      </c>
      <c r="K14614" t="s">
        <v>41184</v>
      </c>
      <c r="M14614" t="s">
        <v>44992</v>
      </c>
      <c r="N14614" t="s">
        <v>45095</v>
      </c>
      <c r="O14614" t="s">
        <v>45096</v>
      </c>
      <c r="Q14614">
        <v>21</v>
      </c>
      <c r="R14614" t="s">
        <v>45123</v>
      </c>
      <c r="S14614" t="s">
        <v>46176</v>
      </c>
      <c r="T14614" t="s">
        <v>46966</v>
      </c>
      <c r="U14614" t="s">
        <v>59242</v>
      </c>
      <c r="W14614" t="s">
        <v>44992</v>
      </c>
      <c r="X14614" t="s">
        <v>45124</v>
      </c>
    </row>
    <row r="14615" spans="1:24">
      <c r="A14615">
        <f>HYPERLINK("https://www.philgeps.gov.ph/GEPSNONPILOT/Tender/SplashBidNoticeAbstractUI.aspx?menuIndex=3&amp;refID=6993327&amp;Result=3","6993327")</f>
        <v>0</v>
      </c>
      <c r="B14615" t="s">
        <v>2236</v>
      </c>
      <c r="C14615" t="s">
        <v>17188</v>
      </c>
      <c r="D14615" t="s">
        <v>18084</v>
      </c>
      <c r="E14615" t="s">
        <v>26723</v>
      </c>
      <c r="F14615" t="s">
        <v>31574</v>
      </c>
      <c r="G14615" t="s">
        <v>31582</v>
      </c>
      <c r="H14615" t="s">
        <v>31590</v>
      </c>
      <c r="I14615" t="s">
        <v>31599</v>
      </c>
      <c r="J14615" t="s">
        <v>40675</v>
      </c>
      <c r="K14615" t="s">
        <v>41192</v>
      </c>
      <c r="M14615" t="s">
        <v>43933</v>
      </c>
      <c r="N14615" t="s">
        <v>45095</v>
      </c>
      <c r="O14615" t="s">
        <v>45096</v>
      </c>
      <c r="P14615">
        <v>0</v>
      </c>
      <c r="Q14615">
        <v>1</v>
      </c>
      <c r="R14615" t="s">
        <v>45124</v>
      </c>
      <c r="S14615" t="s">
        <v>46177</v>
      </c>
      <c r="T14615" t="s">
        <v>46991</v>
      </c>
      <c r="U14615" t="s">
        <v>59243</v>
      </c>
      <c r="W14615" t="s">
        <v>43933</v>
      </c>
      <c r="X14615" t="s">
        <v>45131</v>
      </c>
    </row>
    <row r="14616" spans="1:24">
      <c r="A14616">
        <f>HYPERLINK("https://www.philgeps.gov.ph/GEPSNONPILOT/Tender/SplashBidNoticeAbstractUI.aspx?menuIndex=3&amp;refID=7004595&amp;Result=3","7004595")</f>
        <v>0</v>
      </c>
      <c r="B14616" t="s">
        <v>3139</v>
      </c>
      <c r="C14616" t="s">
        <v>17189</v>
      </c>
      <c r="D14616" t="s">
        <v>18083</v>
      </c>
      <c r="E14616" t="s">
        <v>22276</v>
      </c>
      <c r="F14616" t="s">
        <v>31574</v>
      </c>
      <c r="G14616" t="s">
        <v>31582</v>
      </c>
      <c r="H14616" t="s">
        <v>31591</v>
      </c>
      <c r="I14616" t="s">
        <v>8822</v>
      </c>
      <c r="J14616" t="s">
        <v>32277</v>
      </c>
      <c r="K14616" t="s">
        <v>41256</v>
      </c>
      <c r="M14616" t="s">
        <v>44990</v>
      </c>
      <c r="N14616" t="s">
        <v>45095</v>
      </c>
      <c r="O14616" t="s">
        <v>45096</v>
      </c>
      <c r="Q14616">
        <v>7</v>
      </c>
      <c r="R14616" t="s">
        <v>45123</v>
      </c>
      <c r="S14616" t="s">
        <v>46178</v>
      </c>
      <c r="T14616" t="s">
        <v>47439</v>
      </c>
      <c r="U14616" t="s">
        <v>57537</v>
      </c>
      <c r="W14616" t="s">
        <v>44990</v>
      </c>
      <c r="X14616" t="s">
        <v>45124</v>
      </c>
    </row>
    <row r="14617" spans="1:24">
      <c r="A14617">
        <f>HYPERLINK("https://www.philgeps.gov.ph/GEPSNONPILOT/Tender/SplashBidNoticeAbstractUI.aspx?menuIndex=3&amp;refID=6996338&amp;Result=3","6996338")</f>
        <v>0</v>
      </c>
      <c r="B14617" t="s">
        <v>3142</v>
      </c>
      <c r="C14617" t="s">
        <v>17190</v>
      </c>
      <c r="D14617" t="s">
        <v>18079</v>
      </c>
      <c r="E14617" t="s">
        <v>30807</v>
      </c>
      <c r="F14617" t="s">
        <v>31574</v>
      </c>
      <c r="G14617" t="s">
        <v>31582</v>
      </c>
      <c r="H14617" t="s">
        <v>31591</v>
      </c>
      <c r="I14617" t="s">
        <v>31695</v>
      </c>
      <c r="J14617" t="s">
        <v>32550</v>
      </c>
      <c r="K14617" t="s">
        <v>41198</v>
      </c>
      <c r="M14617" t="s">
        <v>44993</v>
      </c>
      <c r="N14617" t="s">
        <v>45095</v>
      </c>
      <c r="O14617" t="s">
        <v>45096</v>
      </c>
      <c r="Q14617">
        <v>7</v>
      </c>
      <c r="R14617" t="s">
        <v>45124</v>
      </c>
      <c r="S14617" t="s">
        <v>46179</v>
      </c>
      <c r="T14617" t="s">
        <v>47143</v>
      </c>
      <c r="U14617" t="s">
        <v>59244</v>
      </c>
      <c r="W14617" t="s">
        <v>44993</v>
      </c>
      <c r="X14617" t="s">
        <v>45129</v>
      </c>
    </row>
    <row r="14618" spans="1:24">
      <c r="A14618">
        <f>HYPERLINK("https://www.philgeps.gov.ph/GEPSNONPILOT/Tender/SplashBidNoticeAbstractUI.aspx?menuIndex=3&amp;refID=7004556&amp;Result=3","7004556")</f>
        <v>0</v>
      </c>
      <c r="B14618" t="s">
        <v>3139</v>
      </c>
      <c r="C14618" t="s">
        <v>17191</v>
      </c>
      <c r="D14618" t="s">
        <v>18083</v>
      </c>
      <c r="E14618" t="s">
        <v>21821</v>
      </c>
      <c r="F14618" t="s">
        <v>31574</v>
      </c>
      <c r="G14618" t="s">
        <v>31582</v>
      </c>
      <c r="H14618" t="s">
        <v>31590</v>
      </c>
      <c r="I14618" t="s">
        <v>31615</v>
      </c>
      <c r="J14618" t="s">
        <v>35794</v>
      </c>
      <c r="K14618" t="s">
        <v>41190</v>
      </c>
      <c r="M14618" t="s">
        <v>44990</v>
      </c>
      <c r="N14618" t="s">
        <v>45095</v>
      </c>
      <c r="O14618" t="s">
        <v>45096</v>
      </c>
      <c r="Q14618">
        <v>4</v>
      </c>
      <c r="R14618" t="s">
        <v>45123</v>
      </c>
      <c r="S14618" t="s">
        <v>46180</v>
      </c>
      <c r="T14618" t="s">
        <v>46979</v>
      </c>
      <c r="U14618" t="s">
        <v>59245</v>
      </c>
      <c r="W14618" t="s">
        <v>44990</v>
      </c>
      <c r="X14618" t="s">
        <v>45124</v>
      </c>
    </row>
    <row r="14619" spans="1:24">
      <c r="A14619">
        <f>HYPERLINK("https://www.philgeps.gov.ph/GEPSNONPILOT/Tender/SplashBidNoticeAbstractUI.aspx?menuIndex=3&amp;refID=7004245&amp;Result=3","7004245")</f>
        <v>0</v>
      </c>
      <c r="B14619" t="s">
        <v>1376</v>
      </c>
      <c r="C14619" t="s">
        <v>6052</v>
      </c>
      <c r="E14619" t="s">
        <v>30808</v>
      </c>
      <c r="F14619" t="s">
        <v>31574</v>
      </c>
      <c r="G14619" t="s">
        <v>31582</v>
      </c>
      <c r="H14619" t="s">
        <v>31591</v>
      </c>
      <c r="I14619" t="s">
        <v>8822</v>
      </c>
      <c r="J14619" t="s">
        <v>31935</v>
      </c>
      <c r="K14619" t="s">
        <v>41184</v>
      </c>
      <c r="M14619" t="s">
        <v>42950</v>
      </c>
      <c r="N14619" t="s">
        <v>45095</v>
      </c>
      <c r="O14619" t="s">
        <v>45096</v>
      </c>
      <c r="Q14619">
        <v>0</v>
      </c>
      <c r="R14619" t="s">
        <v>45123</v>
      </c>
      <c r="S14619" t="s">
        <v>46181</v>
      </c>
      <c r="T14619" t="s">
        <v>47183</v>
      </c>
      <c r="U14619" t="s">
        <v>51044</v>
      </c>
      <c r="W14619" t="s">
        <v>42950</v>
      </c>
      <c r="X14619" t="s">
        <v>45124</v>
      </c>
    </row>
    <row r="14620" spans="1:24">
      <c r="A14620">
        <f>HYPERLINK("https://www.philgeps.gov.ph/GEPSNONPILOT/Tender/SplashBidNoticeAbstractUI.aspx?menuIndex=3&amp;refID=6999681&amp;Result=3","6999681")</f>
        <v>0</v>
      </c>
      <c r="B14620" t="s">
        <v>2877</v>
      </c>
      <c r="C14620" t="s">
        <v>17192</v>
      </c>
      <c r="D14620" t="s">
        <v>18063</v>
      </c>
      <c r="E14620" t="s">
        <v>30809</v>
      </c>
      <c r="F14620" t="s">
        <v>31574</v>
      </c>
      <c r="G14620" t="s">
        <v>31582</v>
      </c>
      <c r="H14620" t="s">
        <v>31590</v>
      </c>
      <c r="I14620" t="s">
        <v>31615</v>
      </c>
      <c r="J14620" t="s">
        <v>32530</v>
      </c>
      <c r="K14620" t="s">
        <v>41192</v>
      </c>
      <c r="M14620" t="s">
        <v>44668</v>
      </c>
      <c r="N14620" t="s">
        <v>45095</v>
      </c>
      <c r="O14620" t="s">
        <v>45096</v>
      </c>
      <c r="P14620">
        <v>0</v>
      </c>
      <c r="Q14620">
        <v>10</v>
      </c>
      <c r="R14620" t="s">
        <v>45124</v>
      </c>
      <c r="S14620" t="s">
        <v>46177</v>
      </c>
      <c r="T14620" t="s">
        <v>46979</v>
      </c>
      <c r="U14620" t="s">
        <v>59246</v>
      </c>
      <c r="W14620" t="s">
        <v>44668</v>
      </c>
      <c r="X14620" t="s">
        <v>45128</v>
      </c>
    </row>
    <row r="14621" spans="1:24">
      <c r="A14621">
        <f>HYPERLINK("https://www.philgeps.gov.ph/GEPSNONPILOT/Tender/SplashBidNoticeAbstractUI.aspx?menuIndex=3&amp;refID=7000507&amp;Result=3","7000507")</f>
        <v>0</v>
      </c>
      <c r="B14621" t="s">
        <v>2691</v>
      </c>
      <c r="C14621" t="s">
        <v>17193</v>
      </c>
      <c r="D14621" t="s">
        <v>18083</v>
      </c>
      <c r="E14621" t="s">
        <v>30810</v>
      </c>
      <c r="F14621" t="s">
        <v>31574</v>
      </c>
      <c r="G14621" t="s">
        <v>31582</v>
      </c>
      <c r="H14621" t="s">
        <v>31591</v>
      </c>
      <c r="I14621" t="s">
        <v>8822</v>
      </c>
      <c r="J14621" t="s">
        <v>40676</v>
      </c>
      <c r="K14621" t="s">
        <v>41188</v>
      </c>
      <c r="M14621" t="s">
        <v>44704</v>
      </c>
      <c r="N14621" t="s">
        <v>45095</v>
      </c>
      <c r="O14621" t="s">
        <v>45096</v>
      </c>
      <c r="Q14621">
        <v>3</v>
      </c>
      <c r="R14621" t="s">
        <v>45124</v>
      </c>
      <c r="S14621" t="s">
        <v>46115</v>
      </c>
      <c r="T14621" t="s">
        <v>47159</v>
      </c>
      <c r="U14621" t="s">
        <v>59247</v>
      </c>
      <c r="V14621" t="s">
        <v>61163</v>
      </c>
      <c r="W14621" t="s">
        <v>44704</v>
      </c>
      <c r="X14621" t="s">
        <v>45128</v>
      </c>
    </row>
    <row r="14622" spans="1:24">
      <c r="A14622">
        <f>HYPERLINK("https://www.philgeps.gov.ph/GEPSNONPILOT/Tender/SplashBidNoticeAbstractUI.aspx?menuIndex=3&amp;refID=7001394&amp;Result=3","7001394")</f>
        <v>0</v>
      </c>
      <c r="B14622" t="s">
        <v>1352</v>
      </c>
      <c r="C14622" t="s">
        <v>17194</v>
      </c>
      <c r="D14622" t="s">
        <v>18076</v>
      </c>
      <c r="E14622" t="s">
        <v>30811</v>
      </c>
      <c r="F14622" t="s">
        <v>31574</v>
      </c>
      <c r="G14622" t="s">
        <v>31582</v>
      </c>
      <c r="H14622" t="s">
        <v>31591</v>
      </c>
      <c r="I14622" t="s">
        <v>8822</v>
      </c>
      <c r="J14622" t="s">
        <v>40677</v>
      </c>
      <c r="K14622" t="s">
        <v>41411</v>
      </c>
      <c r="M14622" t="s">
        <v>42924</v>
      </c>
      <c r="N14622" t="s">
        <v>45095</v>
      </c>
      <c r="O14622" t="s">
        <v>45096</v>
      </c>
      <c r="P14622">
        <v>0</v>
      </c>
      <c r="Q14622">
        <v>0</v>
      </c>
      <c r="R14622" t="s">
        <v>45124</v>
      </c>
      <c r="S14622" t="s">
        <v>46177</v>
      </c>
      <c r="T14622" t="s">
        <v>47183</v>
      </c>
      <c r="U14622" t="s">
        <v>59248</v>
      </c>
      <c r="W14622" t="s">
        <v>42924</v>
      </c>
      <c r="X14622" t="s">
        <v>45125</v>
      </c>
    </row>
    <row r="14623" spans="1:24">
      <c r="A14623">
        <f>HYPERLINK("https://www.philgeps.gov.ph/GEPSNONPILOT/Tender/SplashBidNoticeAbstractUI.aspx?menuIndex=3&amp;refID=7004467&amp;Result=3","7004467")</f>
        <v>0</v>
      </c>
      <c r="B14623" t="s">
        <v>54</v>
      </c>
      <c r="C14623" t="s">
        <v>17195</v>
      </c>
      <c r="D14623" t="s">
        <v>18045</v>
      </c>
      <c r="E14623" t="s">
        <v>30812</v>
      </c>
      <c r="F14623" t="s">
        <v>31574</v>
      </c>
      <c r="G14623" t="s">
        <v>31582</v>
      </c>
      <c r="H14623" t="s">
        <v>31590</v>
      </c>
      <c r="I14623" t="s">
        <v>31615</v>
      </c>
      <c r="J14623" t="s">
        <v>32421</v>
      </c>
      <c r="K14623" t="s">
        <v>41189</v>
      </c>
      <c r="M14623" t="s">
        <v>41538</v>
      </c>
      <c r="N14623" t="s">
        <v>45095</v>
      </c>
      <c r="O14623" t="s">
        <v>45096</v>
      </c>
      <c r="Q14623">
        <v>5</v>
      </c>
      <c r="R14623" t="s">
        <v>45123</v>
      </c>
      <c r="S14623" t="s">
        <v>46182</v>
      </c>
      <c r="T14623" t="s">
        <v>47154</v>
      </c>
      <c r="U14623" t="s">
        <v>59249</v>
      </c>
      <c r="W14623" t="s">
        <v>41538</v>
      </c>
      <c r="X14623" t="s">
        <v>45124</v>
      </c>
    </row>
    <row r="14624" spans="1:24">
      <c r="A14624">
        <f>HYPERLINK("https://www.philgeps.gov.ph/GEPSNONPILOT/Tender/SplashBidNoticeAbstractUI.aspx?menuIndex=3&amp;refID=7000660&amp;Result=3","7000660")</f>
        <v>0</v>
      </c>
      <c r="B14624" t="s">
        <v>1612</v>
      </c>
      <c r="C14624" t="s">
        <v>17196</v>
      </c>
      <c r="D14624" t="s">
        <v>18070</v>
      </c>
      <c r="E14624" t="s">
        <v>30813</v>
      </c>
      <c r="F14624" t="s">
        <v>31574</v>
      </c>
      <c r="G14624" t="s">
        <v>31582</v>
      </c>
      <c r="H14624" t="s">
        <v>31591</v>
      </c>
      <c r="I14624" t="s">
        <v>8822</v>
      </c>
      <c r="J14624" t="s">
        <v>40678</v>
      </c>
      <c r="K14624" t="s">
        <v>41198</v>
      </c>
      <c r="M14624" t="s">
        <v>43217</v>
      </c>
      <c r="N14624" t="s">
        <v>45095</v>
      </c>
      <c r="O14624" t="s">
        <v>45096</v>
      </c>
      <c r="Q14624">
        <v>0</v>
      </c>
      <c r="R14624" t="s">
        <v>45124</v>
      </c>
      <c r="S14624" t="s">
        <v>46183</v>
      </c>
      <c r="T14624" t="s">
        <v>46973</v>
      </c>
      <c r="U14624" t="s">
        <v>51527</v>
      </c>
      <c r="W14624" t="s">
        <v>43217</v>
      </c>
      <c r="X14624" t="s">
        <v>45128</v>
      </c>
    </row>
    <row r="14625" spans="1:24">
      <c r="A14625">
        <f>HYPERLINK("https://www.philgeps.gov.ph/GEPSNONPILOT/Tender/SplashBidNoticeAbstractUI.aspx?menuIndex=3&amp;refID=7001382&amp;Result=3","7001382")</f>
        <v>0</v>
      </c>
      <c r="B14625" t="s">
        <v>1352</v>
      </c>
      <c r="C14625" t="s">
        <v>17197</v>
      </c>
      <c r="D14625" t="s">
        <v>18076</v>
      </c>
      <c r="E14625" t="s">
        <v>30814</v>
      </c>
      <c r="F14625" t="s">
        <v>31574</v>
      </c>
      <c r="G14625" t="s">
        <v>31582</v>
      </c>
      <c r="H14625" t="s">
        <v>31591</v>
      </c>
      <c r="I14625" t="s">
        <v>8822</v>
      </c>
      <c r="J14625" t="s">
        <v>40679</v>
      </c>
      <c r="K14625" t="s">
        <v>41240</v>
      </c>
      <c r="M14625" t="s">
        <v>42924</v>
      </c>
      <c r="N14625" t="s">
        <v>45095</v>
      </c>
      <c r="O14625" t="s">
        <v>45096</v>
      </c>
      <c r="P14625">
        <v>0</v>
      </c>
      <c r="Q14625">
        <v>0</v>
      </c>
      <c r="R14625" t="s">
        <v>45124</v>
      </c>
      <c r="S14625" t="s">
        <v>46177</v>
      </c>
      <c r="T14625" t="s">
        <v>47183</v>
      </c>
      <c r="U14625" t="s">
        <v>59250</v>
      </c>
      <c r="W14625" t="s">
        <v>42924</v>
      </c>
      <c r="X14625" t="s">
        <v>45125</v>
      </c>
    </row>
    <row r="14626" spans="1:24">
      <c r="A14626">
        <f>HYPERLINK("https://www.philgeps.gov.ph/GEPSNONPILOT/Tender/SplashBidNoticeAbstractUI.aspx?menuIndex=3&amp;refID=7001409&amp;Result=3","7001409")</f>
        <v>0</v>
      </c>
      <c r="B14626" t="s">
        <v>1352</v>
      </c>
      <c r="C14626" t="s">
        <v>17198</v>
      </c>
      <c r="D14626" t="s">
        <v>18076</v>
      </c>
      <c r="E14626" t="s">
        <v>30815</v>
      </c>
      <c r="F14626" t="s">
        <v>31574</v>
      </c>
      <c r="G14626" t="s">
        <v>31582</v>
      </c>
      <c r="H14626" t="s">
        <v>31591</v>
      </c>
      <c r="I14626" t="s">
        <v>8822</v>
      </c>
      <c r="J14626" t="s">
        <v>40680</v>
      </c>
      <c r="K14626" t="s">
        <v>41200</v>
      </c>
      <c r="M14626" t="s">
        <v>42924</v>
      </c>
      <c r="N14626" t="s">
        <v>45095</v>
      </c>
      <c r="O14626" t="s">
        <v>45096</v>
      </c>
      <c r="P14626">
        <v>0</v>
      </c>
      <c r="Q14626">
        <v>0</v>
      </c>
      <c r="R14626" t="s">
        <v>45124</v>
      </c>
      <c r="S14626" t="s">
        <v>46177</v>
      </c>
      <c r="T14626" t="s">
        <v>47183</v>
      </c>
      <c r="U14626" t="s">
        <v>59251</v>
      </c>
      <c r="W14626" t="s">
        <v>42924</v>
      </c>
      <c r="X14626" t="s">
        <v>45125</v>
      </c>
    </row>
    <row r="14627" spans="1:24">
      <c r="A14627">
        <f>HYPERLINK("https://www.philgeps.gov.ph/GEPSNONPILOT/Tender/SplashBidNoticeAbstractUI.aspx?menuIndex=3&amp;refID=7001458&amp;Result=3","7001458")</f>
        <v>0</v>
      </c>
      <c r="B14627" t="s">
        <v>2485</v>
      </c>
      <c r="C14627" t="s">
        <v>17199</v>
      </c>
      <c r="D14627" t="s">
        <v>18084</v>
      </c>
      <c r="E14627" t="s">
        <v>30816</v>
      </c>
      <c r="F14627" t="s">
        <v>31574</v>
      </c>
      <c r="G14627" t="s">
        <v>31582</v>
      </c>
      <c r="H14627" t="s">
        <v>31591</v>
      </c>
      <c r="I14627" t="s">
        <v>8822</v>
      </c>
      <c r="J14627" t="s">
        <v>34743</v>
      </c>
      <c r="K14627" t="s">
        <v>41186</v>
      </c>
      <c r="M14627" t="s">
        <v>44994</v>
      </c>
      <c r="N14627" t="s">
        <v>45095</v>
      </c>
      <c r="O14627" t="s">
        <v>45096</v>
      </c>
      <c r="Q14627">
        <v>30</v>
      </c>
      <c r="R14627" t="s">
        <v>45124</v>
      </c>
      <c r="S14627" t="s">
        <v>46184</v>
      </c>
      <c r="T14627" t="s">
        <v>46973</v>
      </c>
      <c r="U14627" t="s">
        <v>59252</v>
      </c>
      <c r="W14627" t="s">
        <v>61740</v>
      </c>
      <c r="X14627" t="s">
        <v>45125</v>
      </c>
    </row>
    <row r="14628" spans="1:24">
      <c r="A14628">
        <f>HYPERLINK("https://www.philgeps.gov.ph/GEPSNONPILOT/Tender/SplashBidNoticeAbstractUI.aspx?menuIndex=3&amp;refID=7001400&amp;Result=3","7001400")</f>
        <v>0</v>
      </c>
      <c r="B14628" t="s">
        <v>1352</v>
      </c>
      <c r="C14628" t="s">
        <v>17200</v>
      </c>
      <c r="D14628" t="s">
        <v>18076</v>
      </c>
      <c r="E14628" t="s">
        <v>30817</v>
      </c>
      <c r="F14628" t="s">
        <v>31574</v>
      </c>
      <c r="G14628" t="s">
        <v>31582</v>
      </c>
      <c r="H14628" t="s">
        <v>31591</v>
      </c>
      <c r="I14628" t="s">
        <v>8822</v>
      </c>
      <c r="J14628" t="s">
        <v>40681</v>
      </c>
      <c r="K14628" t="s">
        <v>41304</v>
      </c>
      <c r="M14628" t="s">
        <v>42924</v>
      </c>
      <c r="N14628" t="s">
        <v>45095</v>
      </c>
      <c r="O14628" t="s">
        <v>45096</v>
      </c>
      <c r="P14628">
        <v>0</v>
      </c>
      <c r="Q14628">
        <v>1</v>
      </c>
      <c r="R14628" t="s">
        <v>45124</v>
      </c>
      <c r="S14628" t="s">
        <v>46177</v>
      </c>
      <c r="T14628" t="s">
        <v>47183</v>
      </c>
      <c r="U14628" t="s">
        <v>59253</v>
      </c>
      <c r="W14628" t="s">
        <v>42924</v>
      </c>
      <c r="X14628" t="s">
        <v>45125</v>
      </c>
    </row>
    <row r="14629" spans="1:24">
      <c r="A14629">
        <f>HYPERLINK("https://www.philgeps.gov.ph/GEPSNONPILOT/Tender/SplashBidNoticeAbstractUI.aspx?menuIndex=3&amp;refID=6999931&amp;Result=3","6999931")</f>
        <v>0</v>
      </c>
      <c r="B14629" t="s">
        <v>670</v>
      </c>
      <c r="C14629" t="s">
        <v>17201</v>
      </c>
      <c r="D14629" t="s">
        <v>18022</v>
      </c>
      <c r="E14629" t="s">
        <v>30818</v>
      </c>
      <c r="F14629" t="s">
        <v>31574</v>
      </c>
      <c r="G14629" t="s">
        <v>31581</v>
      </c>
      <c r="H14629" t="s">
        <v>31592</v>
      </c>
      <c r="I14629" t="s">
        <v>31623</v>
      </c>
      <c r="J14629" t="s">
        <v>32019</v>
      </c>
      <c r="K14629" t="s">
        <v>41192</v>
      </c>
      <c r="M14629" t="s">
        <v>43697</v>
      </c>
      <c r="N14629" t="s">
        <v>45095</v>
      </c>
      <c r="O14629" t="s">
        <v>45096</v>
      </c>
      <c r="Q14629">
        <v>0</v>
      </c>
      <c r="R14629" t="s">
        <v>45124</v>
      </c>
      <c r="S14629" t="s">
        <v>45349</v>
      </c>
      <c r="T14629" t="s">
        <v>46985</v>
      </c>
      <c r="U14629" t="s">
        <v>59254</v>
      </c>
      <c r="W14629" t="s">
        <v>43697</v>
      </c>
      <c r="X14629" t="s">
        <v>45128</v>
      </c>
    </row>
    <row r="14630" spans="1:24">
      <c r="A14630">
        <f>HYPERLINK("https://www.philgeps.gov.ph/GEPSNONPILOT/Tender/SplashBidNoticeAbstractUI.aspx?menuIndex=3&amp;refID=7000657&amp;Result=3","7000657")</f>
        <v>0</v>
      </c>
      <c r="B14630" t="s">
        <v>1612</v>
      </c>
      <c r="C14630" t="s">
        <v>17202</v>
      </c>
      <c r="D14630" t="s">
        <v>18070</v>
      </c>
      <c r="E14630" t="s">
        <v>30819</v>
      </c>
      <c r="F14630" t="s">
        <v>31574</v>
      </c>
      <c r="G14630" t="s">
        <v>31582</v>
      </c>
      <c r="H14630" t="s">
        <v>31591</v>
      </c>
      <c r="I14630" t="s">
        <v>8822</v>
      </c>
      <c r="J14630" t="s">
        <v>40682</v>
      </c>
      <c r="K14630" t="s">
        <v>41376</v>
      </c>
      <c r="M14630" t="s">
        <v>43217</v>
      </c>
      <c r="N14630" t="s">
        <v>45095</v>
      </c>
      <c r="O14630" t="s">
        <v>45096</v>
      </c>
      <c r="Q14630">
        <v>0</v>
      </c>
      <c r="R14630" t="s">
        <v>45124</v>
      </c>
      <c r="S14630" t="s">
        <v>46185</v>
      </c>
      <c r="T14630" t="s">
        <v>46973</v>
      </c>
      <c r="U14630" t="s">
        <v>51527</v>
      </c>
      <c r="W14630" t="s">
        <v>43217</v>
      </c>
      <c r="X14630" t="s">
        <v>45128</v>
      </c>
    </row>
    <row r="14631" spans="1:24">
      <c r="A14631">
        <f>HYPERLINK("https://www.philgeps.gov.ph/GEPSNONPILOT/Tender/SplashBidNoticeAbstractUI.aspx?menuIndex=3&amp;refID=7002542&amp;Result=3","7002542")</f>
        <v>0</v>
      </c>
      <c r="B14631" t="s">
        <v>1612</v>
      </c>
      <c r="C14631" t="s">
        <v>17203</v>
      </c>
      <c r="D14631" t="s">
        <v>18070</v>
      </c>
      <c r="E14631" t="s">
        <v>30820</v>
      </c>
      <c r="F14631" t="s">
        <v>31574</v>
      </c>
      <c r="G14631" t="s">
        <v>31582</v>
      </c>
      <c r="H14631" t="s">
        <v>31591</v>
      </c>
      <c r="I14631" t="s">
        <v>8822</v>
      </c>
      <c r="J14631" t="s">
        <v>40683</v>
      </c>
      <c r="K14631" t="s">
        <v>41256</v>
      </c>
      <c r="M14631" t="s">
        <v>43217</v>
      </c>
      <c r="N14631" t="s">
        <v>45095</v>
      </c>
      <c r="O14631" t="s">
        <v>45096</v>
      </c>
      <c r="Q14631">
        <v>0</v>
      </c>
      <c r="R14631" t="s">
        <v>45124</v>
      </c>
      <c r="S14631" t="s">
        <v>46186</v>
      </c>
      <c r="T14631" t="s">
        <v>46973</v>
      </c>
      <c r="U14631" t="s">
        <v>51527</v>
      </c>
      <c r="W14631" t="s">
        <v>43217</v>
      </c>
      <c r="X14631" t="s">
        <v>45125</v>
      </c>
    </row>
    <row r="14632" spans="1:24">
      <c r="A14632">
        <f>HYPERLINK("https://www.philgeps.gov.ph/GEPSNONPILOT/Tender/SplashBidNoticeAbstractUI.aspx?menuIndex=3&amp;refID=7002426&amp;Result=3","7002426")</f>
        <v>0</v>
      </c>
      <c r="B14632" t="s">
        <v>1612</v>
      </c>
      <c r="C14632" t="s">
        <v>17204</v>
      </c>
      <c r="D14632" t="s">
        <v>18070</v>
      </c>
      <c r="E14632" t="s">
        <v>30821</v>
      </c>
      <c r="F14632" t="s">
        <v>31574</v>
      </c>
      <c r="G14632" t="s">
        <v>31582</v>
      </c>
      <c r="H14632" t="s">
        <v>31591</v>
      </c>
      <c r="I14632" t="s">
        <v>8822</v>
      </c>
      <c r="J14632" t="s">
        <v>40684</v>
      </c>
      <c r="K14632" t="s">
        <v>41256</v>
      </c>
      <c r="M14632" t="s">
        <v>43217</v>
      </c>
      <c r="N14632" t="s">
        <v>45095</v>
      </c>
      <c r="O14632" t="s">
        <v>45096</v>
      </c>
      <c r="Q14632">
        <v>0</v>
      </c>
      <c r="R14632" t="s">
        <v>45124</v>
      </c>
      <c r="S14632" t="s">
        <v>46187</v>
      </c>
      <c r="T14632" t="s">
        <v>46973</v>
      </c>
      <c r="U14632" t="s">
        <v>51527</v>
      </c>
      <c r="W14632" t="s">
        <v>43217</v>
      </c>
      <c r="X14632" t="s">
        <v>45125</v>
      </c>
    </row>
    <row r="14633" spans="1:24">
      <c r="A14633">
        <f>HYPERLINK("https://www.philgeps.gov.ph/GEPSNONPILOT/Tender/SplashBidNoticeAbstractUI.aspx?menuIndex=3&amp;refID=7000551&amp;Result=3","7000551")</f>
        <v>0</v>
      </c>
      <c r="B14633" t="s">
        <v>2691</v>
      </c>
      <c r="C14633" t="s">
        <v>17205</v>
      </c>
      <c r="D14633" t="s">
        <v>18083</v>
      </c>
      <c r="E14633" t="s">
        <v>30822</v>
      </c>
      <c r="F14633" t="s">
        <v>31574</v>
      </c>
      <c r="G14633" t="s">
        <v>31582</v>
      </c>
      <c r="H14633" t="s">
        <v>31591</v>
      </c>
      <c r="I14633" t="s">
        <v>8822</v>
      </c>
      <c r="J14633" t="s">
        <v>40685</v>
      </c>
      <c r="K14633" t="s">
        <v>41198</v>
      </c>
      <c r="M14633" t="s">
        <v>44704</v>
      </c>
      <c r="N14633" t="s">
        <v>45095</v>
      </c>
      <c r="O14633" t="s">
        <v>45096</v>
      </c>
      <c r="Q14633">
        <v>2</v>
      </c>
      <c r="R14633" t="s">
        <v>45124</v>
      </c>
      <c r="S14633" t="s">
        <v>46188</v>
      </c>
      <c r="T14633" t="s">
        <v>47159</v>
      </c>
      <c r="U14633" t="s">
        <v>59255</v>
      </c>
      <c r="V14633" t="s">
        <v>61163</v>
      </c>
      <c r="W14633" t="s">
        <v>44704</v>
      </c>
      <c r="X14633" t="s">
        <v>45128</v>
      </c>
    </row>
    <row r="14634" spans="1:24">
      <c r="A14634">
        <f>HYPERLINK("https://www.philgeps.gov.ph/GEPSNONPILOT/Tender/SplashBidNoticeAbstractUI.aspx?menuIndex=3&amp;refID=7002112&amp;Result=3","7002112")</f>
        <v>0</v>
      </c>
      <c r="B14634" t="s">
        <v>2590</v>
      </c>
      <c r="C14634" t="s">
        <v>17206</v>
      </c>
      <c r="D14634" t="s">
        <v>18054</v>
      </c>
      <c r="E14634" t="s">
        <v>30823</v>
      </c>
      <c r="F14634" t="s">
        <v>31574</v>
      </c>
      <c r="G14634" t="s">
        <v>31582</v>
      </c>
      <c r="H14634" t="s">
        <v>31590</v>
      </c>
      <c r="I14634" t="s">
        <v>31594</v>
      </c>
      <c r="J14634" t="s">
        <v>34054</v>
      </c>
      <c r="K14634" t="s">
        <v>41192</v>
      </c>
      <c r="M14634" t="s">
        <v>44333</v>
      </c>
      <c r="N14634" t="s">
        <v>45095</v>
      </c>
      <c r="O14634" t="s">
        <v>45096</v>
      </c>
      <c r="Q14634">
        <v>41</v>
      </c>
      <c r="R14634" t="s">
        <v>45124</v>
      </c>
      <c r="S14634" t="s">
        <v>46083</v>
      </c>
      <c r="T14634" t="s">
        <v>47159</v>
      </c>
      <c r="U14634" t="s">
        <v>59256</v>
      </c>
      <c r="V14634" t="s">
        <v>60831</v>
      </c>
      <c r="W14634" t="s">
        <v>44333</v>
      </c>
      <c r="X14634" t="s">
        <v>45125</v>
      </c>
    </row>
    <row r="14635" spans="1:24">
      <c r="A14635">
        <f>HYPERLINK("https://www.philgeps.gov.ph/GEPSNONPILOT/Tender/SplashBidNoticeAbstractUI.aspx?menuIndex=3&amp;refID=7001996&amp;Result=3","7001996")</f>
        <v>0</v>
      </c>
      <c r="B14635" t="s">
        <v>3033</v>
      </c>
      <c r="C14635" t="s">
        <v>17207</v>
      </c>
      <c r="D14635" t="s">
        <v>18059</v>
      </c>
      <c r="E14635" t="s">
        <v>30824</v>
      </c>
      <c r="F14635" t="s">
        <v>31574</v>
      </c>
      <c r="G14635" t="s">
        <v>31582</v>
      </c>
      <c r="H14635" t="s">
        <v>31591</v>
      </c>
      <c r="I14635" t="s">
        <v>8822</v>
      </c>
      <c r="J14635" t="s">
        <v>31935</v>
      </c>
      <c r="K14635" t="s">
        <v>41293</v>
      </c>
      <c r="M14635" t="s">
        <v>44866</v>
      </c>
      <c r="N14635" t="s">
        <v>45095</v>
      </c>
      <c r="O14635" t="s">
        <v>45096</v>
      </c>
      <c r="Q14635">
        <v>2</v>
      </c>
      <c r="R14635" t="s">
        <v>45124</v>
      </c>
      <c r="S14635" t="s">
        <v>46189</v>
      </c>
      <c r="T14635" t="s">
        <v>47228</v>
      </c>
      <c r="U14635" t="s">
        <v>59257</v>
      </c>
      <c r="W14635" t="s">
        <v>44866</v>
      </c>
      <c r="X14635" t="s">
        <v>45125</v>
      </c>
    </row>
    <row r="14636" spans="1:24">
      <c r="A14636">
        <f>HYPERLINK("https://www.philgeps.gov.ph/GEPSNONPILOT/Tender/SplashBidNoticeAbstractUI.aspx?menuIndex=3&amp;refID=7000872&amp;Result=3","7000872")</f>
        <v>0</v>
      </c>
      <c r="B14636" t="s">
        <v>1573</v>
      </c>
      <c r="C14636" t="s">
        <v>17208</v>
      </c>
      <c r="D14636" t="s">
        <v>18035</v>
      </c>
      <c r="E14636" t="s">
        <v>30825</v>
      </c>
      <c r="F14636" t="s">
        <v>31574</v>
      </c>
      <c r="G14636" t="s">
        <v>31584</v>
      </c>
      <c r="H14636" t="s">
        <v>31590</v>
      </c>
      <c r="I14636" t="s">
        <v>3873</v>
      </c>
      <c r="J14636" t="s">
        <v>40686</v>
      </c>
      <c r="K14636" t="s">
        <v>41196</v>
      </c>
      <c r="M14636" t="s">
        <v>43176</v>
      </c>
      <c r="N14636" t="s">
        <v>45095</v>
      </c>
      <c r="O14636" t="s">
        <v>45096</v>
      </c>
      <c r="Q14636">
        <v>0</v>
      </c>
      <c r="R14636" t="s">
        <v>45124</v>
      </c>
      <c r="S14636" t="s">
        <v>46190</v>
      </c>
      <c r="T14636" t="s">
        <v>46979</v>
      </c>
      <c r="U14636" t="s">
        <v>59258</v>
      </c>
      <c r="W14636" t="s">
        <v>43176</v>
      </c>
      <c r="X14636" t="s">
        <v>45125</v>
      </c>
    </row>
    <row r="14637" spans="1:24">
      <c r="A14637">
        <f>HYPERLINK("https://www.philgeps.gov.ph/GEPSNONPILOT/Tender/SplashBidNoticeAbstractUI.aspx?menuIndex=3&amp;refID=7001842&amp;Result=3","7001842")</f>
        <v>0</v>
      </c>
      <c r="B14637" t="s">
        <v>479</v>
      </c>
      <c r="C14637" t="s">
        <v>17209</v>
      </c>
      <c r="D14637" t="s">
        <v>18079</v>
      </c>
      <c r="E14637" t="s">
        <v>30826</v>
      </c>
      <c r="F14637" t="s">
        <v>31574</v>
      </c>
      <c r="G14637" t="s">
        <v>31582</v>
      </c>
      <c r="H14637" t="s">
        <v>31590</v>
      </c>
      <c r="I14637" t="s">
        <v>8258</v>
      </c>
      <c r="J14637" t="s">
        <v>40687</v>
      </c>
      <c r="K14637" t="s">
        <v>41184</v>
      </c>
      <c r="M14637" t="s">
        <v>42243</v>
      </c>
      <c r="N14637" t="s">
        <v>45095</v>
      </c>
      <c r="O14637" t="s">
        <v>45096</v>
      </c>
      <c r="Q14637">
        <v>5</v>
      </c>
      <c r="R14637" t="s">
        <v>45124</v>
      </c>
      <c r="S14637" t="s">
        <v>46191</v>
      </c>
      <c r="T14637" t="s">
        <v>46914</v>
      </c>
      <c r="U14637" t="s">
        <v>59259</v>
      </c>
      <c r="V14637" t="s">
        <v>61482</v>
      </c>
      <c r="W14637" t="s">
        <v>42243</v>
      </c>
      <c r="X14637" t="s">
        <v>45125</v>
      </c>
    </row>
    <row r="14638" spans="1:24">
      <c r="A14638">
        <f>HYPERLINK("https://www.philgeps.gov.ph/GEPSNONPILOT/Tender/SplashBidNoticeAbstractUI.aspx?menuIndex=3&amp;refID=6998256&amp;Result=3","6998256")</f>
        <v>0</v>
      </c>
      <c r="B14638" t="s">
        <v>2863</v>
      </c>
      <c r="C14638" t="s">
        <v>17210</v>
      </c>
      <c r="D14638" t="s">
        <v>18041</v>
      </c>
      <c r="E14638" t="s">
        <v>30827</v>
      </c>
      <c r="F14638" t="s">
        <v>31574</v>
      </c>
      <c r="G14638" t="s">
        <v>31582</v>
      </c>
      <c r="H14638" t="s">
        <v>31593</v>
      </c>
      <c r="I14638" t="s">
        <v>31593</v>
      </c>
      <c r="J14638" t="s">
        <v>40688</v>
      </c>
      <c r="K14638" t="s">
        <v>41185</v>
      </c>
      <c r="M14638" t="s">
        <v>44653</v>
      </c>
      <c r="N14638" t="s">
        <v>45095</v>
      </c>
      <c r="O14638" t="s">
        <v>45096</v>
      </c>
      <c r="P14638">
        <v>0</v>
      </c>
      <c r="Q14638">
        <v>4</v>
      </c>
      <c r="R14638" t="s">
        <v>45125</v>
      </c>
      <c r="S14638" t="s">
        <v>46192</v>
      </c>
      <c r="T14638" t="s">
        <v>46955</v>
      </c>
      <c r="U14638" t="s">
        <v>59260</v>
      </c>
      <c r="W14638" t="s">
        <v>44653</v>
      </c>
      <c r="X14638" t="s">
        <v>45126</v>
      </c>
    </row>
    <row r="14639" spans="1:24">
      <c r="A14639">
        <f>HYPERLINK("https://www.philgeps.gov.ph/GEPSNONPILOT/Tender/SplashBidNoticeAbstractUI.aspx?menuIndex=3&amp;refID=7000584&amp;Result=3","7000584")</f>
        <v>0</v>
      </c>
      <c r="B14639" t="s">
        <v>246</v>
      </c>
      <c r="C14639" t="s">
        <v>17211</v>
      </c>
      <c r="D14639" t="s">
        <v>18033</v>
      </c>
      <c r="E14639" t="s">
        <v>30828</v>
      </c>
      <c r="F14639" t="s">
        <v>31574</v>
      </c>
      <c r="G14639" t="s">
        <v>31581</v>
      </c>
      <c r="H14639" t="s">
        <v>31590</v>
      </c>
      <c r="I14639" t="s">
        <v>31603</v>
      </c>
      <c r="J14639" t="s">
        <v>32359</v>
      </c>
      <c r="K14639" t="s">
        <v>41196</v>
      </c>
      <c r="M14639" t="s">
        <v>41732</v>
      </c>
      <c r="N14639" t="s">
        <v>45095</v>
      </c>
      <c r="O14639" t="s">
        <v>45096</v>
      </c>
      <c r="Q14639">
        <v>4</v>
      </c>
      <c r="R14639" t="s">
        <v>45125</v>
      </c>
      <c r="S14639" t="s">
        <v>46193</v>
      </c>
      <c r="T14639" t="s">
        <v>47021</v>
      </c>
      <c r="U14639" t="s">
        <v>59261</v>
      </c>
      <c r="W14639" t="s">
        <v>41732</v>
      </c>
      <c r="X14639" t="s">
        <v>45128</v>
      </c>
    </row>
    <row r="14640" spans="1:24">
      <c r="A14640">
        <f>HYPERLINK("https://www.philgeps.gov.ph/GEPSNONPILOT/Tender/SplashBidNoticeAbstractUI.aspx?menuIndex=3&amp;refID=7002535&amp;Result=3","7002535")</f>
        <v>0</v>
      </c>
      <c r="B14640" t="s">
        <v>1612</v>
      </c>
      <c r="C14640" t="s">
        <v>17212</v>
      </c>
      <c r="D14640" t="s">
        <v>18070</v>
      </c>
      <c r="E14640" t="s">
        <v>30829</v>
      </c>
      <c r="F14640" t="s">
        <v>31574</v>
      </c>
      <c r="G14640" t="s">
        <v>31582</v>
      </c>
      <c r="H14640" t="s">
        <v>31591</v>
      </c>
      <c r="I14640" t="s">
        <v>8822</v>
      </c>
      <c r="J14640" t="s">
        <v>40689</v>
      </c>
      <c r="K14640" t="s">
        <v>41256</v>
      </c>
      <c r="M14640" t="s">
        <v>43217</v>
      </c>
      <c r="N14640" t="s">
        <v>45095</v>
      </c>
      <c r="O14640" t="s">
        <v>45096</v>
      </c>
      <c r="Q14640">
        <v>0</v>
      </c>
      <c r="R14640" t="s">
        <v>45124</v>
      </c>
      <c r="S14640" t="s">
        <v>46194</v>
      </c>
      <c r="T14640" t="s">
        <v>46973</v>
      </c>
      <c r="U14640" t="s">
        <v>51527</v>
      </c>
      <c r="W14640" t="s">
        <v>43217</v>
      </c>
      <c r="X14640" t="s">
        <v>45125</v>
      </c>
    </row>
    <row r="14641" spans="1:24">
      <c r="A14641">
        <f>HYPERLINK("https://www.philgeps.gov.ph/GEPSNONPILOT/Tender/SplashBidNoticeAbstractUI.aspx?menuIndex=3&amp;refID=7000670&amp;Result=3","7000670")</f>
        <v>0</v>
      </c>
      <c r="B14641" t="s">
        <v>1612</v>
      </c>
      <c r="C14641" t="s">
        <v>17213</v>
      </c>
      <c r="D14641" t="s">
        <v>18070</v>
      </c>
      <c r="E14641" t="s">
        <v>30830</v>
      </c>
      <c r="F14641" t="s">
        <v>31574</v>
      </c>
      <c r="G14641" t="s">
        <v>31582</v>
      </c>
      <c r="H14641" t="s">
        <v>31591</v>
      </c>
      <c r="I14641" t="s">
        <v>8822</v>
      </c>
      <c r="J14641" t="s">
        <v>40690</v>
      </c>
      <c r="K14641" t="s">
        <v>41388</v>
      </c>
      <c r="M14641" t="s">
        <v>43217</v>
      </c>
      <c r="N14641" t="s">
        <v>45095</v>
      </c>
      <c r="O14641" t="s">
        <v>45096</v>
      </c>
      <c r="Q14641">
        <v>0</v>
      </c>
      <c r="R14641" t="s">
        <v>45124</v>
      </c>
      <c r="S14641" t="s">
        <v>46195</v>
      </c>
      <c r="T14641" t="s">
        <v>46973</v>
      </c>
      <c r="U14641" t="s">
        <v>51527</v>
      </c>
      <c r="W14641" t="s">
        <v>43217</v>
      </c>
      <c r="X14641" t="s">
        <v>45128</v>
      </c>
    </row>
    <row r="14642" spans="1:24">
      <c r="A14642">
        <f>HYPERLINK("https://www.philgeps.gov.ph/GEPSNONPILOT/Tender/SplashBidNoticeAbstractUI.aspx?menuIndex=3&amp;refID=7000007&amp;Result=3","7000007")</f>
        <v>0</v>
      </c>
      <c r="B14642" t="s">
        <v>2751</v>
      </c>
      <c r="C14642" t="s">
        <v>17214</v>
      </c>
      <c r="D14642" t="s">
        <v>18049</v>
      </c>
      <c r="E14642" t="s">
        <v>30831</v>
      </c>
      <c r="F14642" t="s">
        <v>31574</v>
      </c>
      <c r="G14642" t="s">
        <v>31582</v>
      </c>
      <c r="H14642" t="s">
        <v>31591</v>
      </c>
      <c r="I14642" t="s">
        <v>8822</v>
      </c>
      <c r="J14642" t="s">
        <v>40691</v>
      </c>
      <c r="K14642" t="s">
        <v>41208</v>
      </c>
      <c r="M14642" t="s">
        <v>44523</v>
      </c>
      <c r="N14642" t="s">
        <v>45095</v>
      </c>
      <c r="O14642" t="s">
        <v>45096</v>
      </c>
      <c r="Q14642">
        <v>1</v>
      </c>
      <c r="R14642" t="s">
        <v>45125</v>
      </c>
      <c r="S14642" t="s">
        <v>46196</v>
      </c>
      <c r="T14642" t="s">
        <v>47124</v>
      </c>
      <c r="U14642" t="s">
        <v>59262</v>
      </c>
      <c r="W14642" t="s">
        <v>44523</v>
      </c>
      <c r="X14642" t="s">
        <v>45128</v>
      </c>
    </row>
    <row r="14643" spans="1:24">
      <c r="A14643">
        <f>HYPERLINK("https://www.philgeps.gov.ph/GEPSNONPILOT/Tender/SplashBidNoticeAbstractUI.aspx?menuIndex=3&amp;refID=7000632&amp;Result=3","7000632")</f>
        <v>0</v>
      </c>
      <c r="B14643" t="s">
        <v>439</v>
      </c>
      <c r="C14643" t="s">
        <v>17215</v>
      </c>
      <c r="D14643" t="s">
        <v>18046</v>
      </c>
      <c r="E14643" t="s">
        <v>30832</v>
      </c>
      <c r="F14643" t="s">
        <v>31574</v>
      </c>
      <c r="G14643" t="s">
        <v>31582</v>
      </c>
      <c r="H14643" t="s">
        <v>31590</v>
      </c>
      <c r="I14643" t="s">
        <v>7185</v>
      </c>
      <c r="J14643" t="s">
        <v>31935</v>
      </c>
      <c r="K14643" t="s">
        <v>41184</v>
      </c>
      <c r="M14643" t="s">
        <v>41932</v>
      </c>
      <c r="N14643" t="s">
        <v>45095</v>
      </c>
      <c r="O14643" t="s">
        <v>45096</v>
      </c>
      <c r="P14643">
        <v>0</v>
      </c>
      <c r="Q14643">
        <v>1</v>
      </c>
      <c r="R14643" t="s">
        <v>45125</v>
      </c>
      <c r="S14643" t="s">
        <v>46192</v>
      </c>
      <c r="T14643" t="s">
        <v>47197</v>
      </c>
      <c r="U14643" t="s">
        <v>59263</v>
      </c>
      <c r="W14643" t="s">
        <v>41932</v>
      </c>
      <c r="X14643" t="s">
        <v>45128</v>
      </c>
    </row>
    <row r="14644" spans="1:24">
      <c r="A14644">
        <f>HYPERLINK("https://www.philgeps.gov.ph/GEPSNONPILOT/Tender/SplashBidNoticeAbstractUI.aspx?menuIndex=3&amp;refID=7002518&amp;Result=3","7002518")</f>
        <v>0</v>
      </c>
      <c r="B14644" t="s">
        <v>1612</v>
      </c>
      <c r="C14644" t="s">
        <v>17216</v>
      </c>
      <c r="D14644" t="s">
        <v>18070</v>
      </c>
      <c r="E14644" t="s">
        <v>30833</v>
      </c>
      <c r="F14644" t="s">
        <v>31574</v>
      </c>
      <c r="G14644" t="s">
        <v>31582</v>
      </c>
      <c r="H14644" t="s">
        <v>31591</v>
      </c>
      <c r="I14644" t="s">
        <v>8822</v>
      </c>
      <c r="J14644" t="s">
        <v>40692</v>
      </c>
      <c r="K14644" t="s">
        <v>41304</v>
      </c>
      <c r="M14644" t="s">
        <v>43217</v>
      </c>
      <c r="N14644" t="s">
        <v>45095</v>
      </c>
      <c r="O14644" t="s">
        <v>45096</v>
      </c>
      <c r="Q14644">
        <v>0</v>
      </c>
      <c r="R14644" t="s">
        <v>45124</v>
      </c>
      <c r="S14644" t="s">
        <v>46197</v>
      </c>
      <c r="T14644" t="s">
        <v>46973</v>
      </c>
      <c r="U14644" t="s">
        <v>51527</v>
      </c>
      <c r="W14644" t="s">
        <v>43217</v>
      </c>
      <c r="X14644" t="s">
        <v>45125</v>
      </c>
    </row>
    <row r="14645" spans="1:24">
      <c r="A14645">
        <f>HYPERLINK("https://www.philgeps.gov.ph/GEPSNONPILOT/Tender/SplashBidNoticeAbstractUI.aspx?menuIndex=3&amp;refID=7000206&amp;Result=3","7000206")</f>
        <v>0</v>
      </c>
      <c r="B14645" t="s">
        <v>511</v>
      </c>
      <c r="C14645" t="s">
        <v>17217</v>
      </c>
      <c r="D14645" t="s">
        <v>18043</v>
      </c>
      <c r="E14645" t="s">
        <v>30834</v>
      </c>
      <c r="F14645" t="s">
        <v>31574</v>
      </c>
      <c r="G14645" t="s">
        <v>31582</v>
      </c>
      <c r="H14645" t="s">
        <v>31590</v>
      </c>
      <c r="I14645" t="s">
        <v>31607</v>
      </c>
      <c r="J14645" t="s">
        <v>40693</v>
      </c>
      <c r="K14645" t="s">
        <v>41189</v>
      </c>
      <c r="M14645" t="s">
        <v>42007</v>
      </c>
      <c r="N14645" t="s">
        <v>45095</v>
      </c>
      <c r="O14645" t="s">
        <v>45096</v>
      </c>
      <c r="Q14645">
        <v>17</v>
      </c>
      <c r="R14645" t="s">
        <v>45125</v>
      </c>
      <c r="S14645" t="s">
        <v>46198</v>
      </c>
      <c r="T14645" t="s">
        <v>47183</v>
      </c>
      <c r="U14645" t="s">
        <v>59264</v>
      </c>
      <c r="W14645" t="s">
        <v>42007</v>
      </c>
      <c r="X14645" t="s">
        <v>45128</v>
      </c>
    </row>
    <row r="14646" spans="1:24">
      <c r="A14646">
        <f>HYPERLINK("https://www.philgeps.gov.ph/GEPSNONPILOT/Tender/SplashBidNoticeAbstractUI.aspx?menuIndex=3&amp;refID=7000076&amp;Result=3","7000076")</f>
        <v>0</v>
      </c>
      <c r="B14646" t="s">
        <v>2751</v>
      </c>
      <c r="C14646" t="s">
        <v>17218</v>
      </c>
      <c r="D14646" t="s">
        <v>18049</v>
      </c>
      <c r="E14646" t="s">
        <v>30835</v>
      </c>
      <c r="F14646" t="s">
        <v>31574</v>
      </c>
      <c r="G14646" t="s">
        <v>31582</v>
      </c>
      <c r="H14646" t="s">
        <v>31591</v>
      </c>
      <c r="I14646" t="s">
        <v>8822</v>
      </c>
      <c r="J14646" t="s">
        <v>40694</v>
      </c>
      <c r="K14646" t="s">
        <v>41266</v>
      </c>
      <c r="M14646" t="s">
        <v>44523</v>
      </c>
      <c r="N14646" t="s">
        <v>45095</v>
      </c>
      <c r="O14646" t="s">
        <v>45096</v>
      </c>
      <c r="Q14646">
        <v>1</v>
      </c>
      <c r="R14646" t="s">
        <v>45125</v>
      </c>
      <c r="S14646" t="s">
        <v>46199</v>
      </c>
      <c r="T14646" t="s">
        <v>47124</v>
      </c>
      <c r="U14646" t="s">
        <v>59265</v>
      </c>
      <c r="W14646" t="s">
        <v>44523</v>
      </c>
      <c r="X14646" t="s">
        <v>45128</v>
      </c>
    </row>
    <row r="14647" spans="1:24">
      <c r="A14647">
        <f>HYPERLINK("https://www.philgeps.gov.ph/GEPSNONPILOT/Tender/SplashBidNoticeAbstractUI.aspx?menuIndex=3&amp;refID=6997330&amp;Result=3","6997330")</f>
        <v>0</v>
      </c>
      <c r="B14647" t="s">
        <v>517</v>
      </c>
      <c r="C14647" t="s">
        <v>17219</v>
      </c>
      <c r="D14647" t="s">
        <v>18036</v>
      </c>
      <c r="E14647" t="s">
        <v>30836</v>
      </c>
      <c r="F14647" t="s">
        <v>31574</v>
      </c>
      <c r="G14647" t="s">
        <v>31582</v>
      </c>
      <c r="H14647" t="s">
        <v>31591</v>
      </c>
      <c r="I14647" t="s">
        <v>31663</v>
      </c>
      <c r="J14647" t="s">
        <v>40695</v>
      </c>
      <c r="K14647" t="s">
        <v>41481</v>
      </c>
      <c r="M14647" t="s">
        <v>42013</v>
      </c>
      <c r="N14647" t="s">
        <v>45095</v>
      </c>
      <c r="O14647" t="s">
        <v>45096</v>
      </c>
      <c r="Q14647">
        <v>8</v>
      </c>
      <c r="R14647" t="s">
        <v>45126</v>
      </c>
      <c r="S14647" t="s">
        <v>46200</v>
      </c>
      <c r="T14647" t="s">
        <v>46955</v>
      </c>
      <c r="U14647" t="s">
        <v>59266</v>
      </c>
      <c r="W14647" t="s">
        <v>42013</v>
      </c>
      <c r="X14647" t="s">
        <v>45129</v>
      </c>
    </row>
    <row r="14648" spans="1:24">
      <c r="A14648">
        <f>HYPERLINK("https://www.philgeps.gov.ph/GEPSNONPILOT/Tender/SplashBidNoticeAbstractUI.aspx?menuIndex=3&amp;refID=6996934&amp;Result=3","6996934")</f>
        <v>0</v>
      </c>
      <c r="B14648" t="s">
        <v>553</v>
      </c>
      <c r="C14648" t="s">
        <v>17220</v>
      </c>
      <c r="D14648" t="s">
        <v>18022</v>
      </c>
      <c r="E14648" t="s">
        <v>30837</v>
      </c>
      <c r="F14648" t="s">
        <v>31574</v>
      </c>
      <c r="G14648" t="s">
        <v>31582</v>
      </c>
      <c r="H14648" t="s">
        <v>31590</v>
      </c>
      <c r="I14648" t="s">
        <v>31675</v>
      </c>
      <c r="J14648" t="s">
        <v>32277</v>
      </c>
      <c r="K14648" t="s">
        <v>41184</v>
      </c>
      <c r="M14648" t="s">
        <v>44995</v>
      </c>
      <c r="N14648" t="s">
        <v>45095</v>
      </c>
      <c r="O14648" t="s">
        <v>45096</v>
      </c>
      <c r="Q14648">
        <v>9</v>
      </c>
      <c r="R14648" t="s">
        <v>45126</v>
      </c>
      <c r="S14648" t="s">
        <v>45904</v>
      </c>
      <c r="T14648" t="s">
        <v>46985</v>
      </c>
      <c r="U14648" t="s">
        <v>59267</v>
      </c>
      <c r="W14648" t="s">
        <v>44995</v>
      </c>
      <c r="X14648" t="s">
        <v>45129</v>
      </c>
    </row>
    <row r="14649" spans="1:24">
      <c r="A14649">
        <f>HYPERLINK("https://www.philgeps.gov.ph/GEPSNONPILOT/Tender/SplashBidNoticeAbstractUI.aspx?menuIndex=3&amp;refID=6996373&amp;Result=3","6996373")</f>
        <v>0</v>
      </c>
      <c r="B14649" t="s">
        <v>116</v>
      </c>
      <c r="C14649" t="s">
        <v>17221</v>
      </c>
      <c r="D14649" t="s">
        <v>18068</v>
      </c>
      <c r="E14649" t="s">
        <v>30838</v>
      </c>
      <c r="F14649" t="s">
        <v>31574</v>
      </c>
      <c r="G14649" t="s">
        <v>31581</v>
      </c>
      <c r="H14649" t="s">
        <v>31590</v>
      </c>
      <c r="I14649" t="s">
        <v>31603</v>
      </c>
      <c r="J14649" t="s">
        <v>31753</v>
      </c>
      <c r="K14649" t="s">
        <v>41196</v>
      </c>
      <c r="M14649" t="s">
        <v>41600</v>
      </c>
      <c r="N14649" t="s">
        <v>45095</v>
      </c>
      <c r="O14649" t="s">
        <v>45096</v>
      </c>
      <c r="Q14649">
        <v>6</v>
      </c>
      <c r="R14649" t="s">
        <v>45126</v>
      </c>
      <c r="S14649" t="s">
        <v>46201</v>
      </c>
      <c r="T14649" t="s">
        <v>47154</v>
      </c>
      <c r="U14649" t="s">
        <v>59268</v>
      </c>
      <c r="V14649" t="s">
        <v>59888</v>
      </c>
      <c r="W14649" t="s">
        <v>41600</v>
      </c>
      <c r="X14649" t="s">
        <v>45129</v>
      </c>
    </row>
    <row r="14650" spans="1:24">
      <c r="A14650">
        <f>HYPERLINK("https://www.philgeps.gov.ph/GEPSNONPILOT/Tender/SplashBidNoticeAbstractUI.aspx?menuIndex=3&amp;refID=6998549&amp;Result=3","6998549")</f>
        <v>0</v>
      </c>
      <c r="B14650" t="s">
        <v>2835</v>
      </c>
      <c r="C14650" t="s">
        <v>17222</v>
      </c>
      <c r="D14650" t="s">
        <v>18079</v>
      </c>
      <c r="E14650" t="s">
        <v>30839</v>
      </c>
      <c r="F14650" t="s">
        <v>31574</v>
      </c>
      <c r="G14650" t="s">
        <v>31582</v>
      </c>
      <c r="H14650" t="s">
        <v>31590</v>
      </c>
      <c r="I14650" t="s">
        <v>4046</v>
      </c>
      <c r="J14650" t="s">
        <v>40696</v>
      </c>
      <c r="K14650" t="s">
        <v>41200</v>
      </c>
      <c r="M14650" t="s">
        <v>44996</v>
      </c>
      <c r="N14650" t="s">
        <v>45095</v>
      </c>
      <c r="O14650" t="s">
        <v>45096</v>
      </c>
      <c r="P14650">
        <v>0</v>
      </c>
      <c r="Q14650">
        <v>11</v>
      </c>
      <c r="R14650" t="s">
        <v>45127</v>
      </c>
      <c r="S14650" t="s">
        <v>46202</v>
      </c>
      <c r="T14650" t="s">
        <v>47063</v>
      </c>
      <c r="U14650" t="s">
        <v>59269</v>
      </c>
      <c r="V14650" t="s">
        <v>61483</v>
      </c>
      <c r="W14650" t="s">
        <v>44615</v>
      </c>
      <c r="X14650" t="s">
        <v>45126</v>
      </c>
    </row>
    <row r="14651" spans="1:24">
      <c r="A14651">
        <f>HYPERLINK("https://www.philgeps.gov.ph/GEPSNONPILOT/Tender/SplashBidNoticeAbstractUI.aspx?menuIndex=3&amp;refID=6998320&amp;Result=3","6998320")</f>
        <v>0</v>
      </c>
      <c r="B14651" t="s">
        <v>2835</v>
      </c>
      <c r="C14651" t="s">
        <v>17223</v>
      </c>
      <c r="D14651" t="s">
        <v>18079</v>
      </c>
      <c r="E14651" t="s">
        <v>30840</v>
      </c>
      <c r="F14651" t="s">
        <v>31574</v>
      </c>
      <c r="G14651" t="s">
        <v>31582</v>
      </c>
      <c r="H14651" t="s">
        <v>31590</v>
      </c>
      <c r="I14651" t="s">
        <v>31615</v>
      </c>
      <c r="J14651" t="s">
        <v>40697</v>
      </c>
      <c r="K14651" t="s">
        <v>41192</v>
      </c>
      <c r="M14651" t="s">
        <v>44996</v>
      </c>
      <c r="N14651" t="s">
        <v>45095</v>
      </c>
      <c r="O14651" t="s">
        <v>45096</v>
      </c>
      <c r="Q14651">
        <v>5</v>
      </c>
      <c r="R14651" t="s">
        <v>45127</v>
      </c>
      <c r="S14651" t="s">
        <v>45808</v>
      </c>
      <c r="T14651" t="s">
        <v>47266</v>
      </c>
      <c r="U14651" t="s">
        <v>59270</v>
      </c>
      <c r="V14651" t="s">
        <v>61483</v>
      </c>
      <c r="W14651" t="s">
        <v>44615</v>
      </c>
      <c r="X14651" t="s">
        <v>45126</v>
      </c>
    </row>
    <row r="14652" spans="1:24">
      <c r="A14652">
        <f>HYPERLINK("https://www.philgeps.gov.ph/GEPSNONPILOT/Tender/SplashBidNoticeAbstractUI.aspx?menuIndex=3&amp;refID=6997599&amp;Result=3","6997599")</f>
        <v>0</v>
      </c>
      <c r="B14652" t="s">
        <v>598</v>
      </c>
      <c r="C14652" t="s">
        <v>17224</v>
      </c>
      <c r="D14652" t="s">
        <v>18022</v>
      </c>
      <c r="E14652" t="s">
        <v>30841</v>
      </c>
      <c r="F14652" t="s">
        <v>31574</v>
      </c>
      <c r="G14652" t="s">
        <v>31581</v>
      </c>
      <c r="H14652" t="s">
        <v>31590</v>
      </c>
      <c r="I14652" t="s">
        <v>8258</v>
      </c>
      <c r="J14652" t="s">
        <v>31871</v>
      </c>
      <c r="K14652" t="s">
        <v>41213</v>
      </c>
      <c r="M14652" t="s">
        <v>42101</v>
      </c>
      <c r="N14652" t="s">
        <v>45095</v>
      </c>
      <c r="O14652" t="s">
        <v>45096</v>
      </c>
      <c r="Q14652">
        <v>3</v>
      </c>
      <c r="R14652" t="s">
        <v>45128</v>
      </c>
      <c r="S14652" t="s">
        <v>46203</v>
      </c>
      <c r="T14652" t="s">
        <v>47067</v>
      </c>
      <c r="U14652" t="s">
        <v>59271</v>
      </c>
      <c r="V14652" t="s">
        <v>59987</v>
      </c>
      <c r="W14652" t="s">
        <v>42101</v>
      </c>
      <c r="X14652" t="s">
        <v>45126</v>
      </c>
    </row>
    <row r="14653" spans="1:24">
      <c r="A14653">
        <f>HYPERLINK("https://www.philgeps.gov.ph/GEPSNONPILOT/Tender/SplashBidNoticeAbstractUI.aspx?menuIndex=3&amp;refID=6997129&amp;Result=3","6997129")</f>
        <v>0</v>
      </c>
      <c r="B14653" t="s">
        <v>246</v>
      </c>
      <c r="C14653" t="s">
        <v>17225</v>
      </c>
      <c r="D14653" t="s">
        <v>18033</v>
      </c>
      <c r="E14653" t="s">
        <v>30842</v>
      </c>
      <c r="F14653" t="s">
        <v>31574</v>
      </c>
      <c r="G14653" t="s">
        <v>31581</v>
      </c>
      <c r="H14653" t="s">
        <v>31590</v>
      </c>
      <c r="I14653" t="s">
        <v>31626</v>
      </c>
      <c r="J14653" t="s">
        <v>32232</v>
      </c>
      <c r="K14653" t="s">
        <v>41196</v>
      </c>
      <c r="M14653" t="s">
        <v>41732</v>
      </c>
      <c r="N14653" t="s">
        <v>45095</v>
      </c>
      <c r="O14653" t="s">
        <v>45096</v>
      </c>
      <c r="Q14653">
        <v>0</v>
      </c>
      <c r="R14653" t="s">
        <v>45128</v>
      </c>
      <c r="S14653" t="s">
        <v>46204</v>
      </c>
      <c r="T14653" t="s">
        <v>47077</v>
      </c>
      <c r="U14653" t="s">
        <v>59272</v>
      </c>
      <c r="W14653" t="s">
        <v>41732</v>
      </c>
      <c r="X14653" t="s">
        <v>45129</v>
      </c>
    </row>
    <row r="14654" spans="1:24">
      <c r="A14654">
        <f>HYPERLINK("https://www.philgeps.gov.ph/GEPSNONPILOT/Tender/SplashBidNoticeAbstractUI.aspx?menuIndex=3&amp;refID=6999022&amp;Result=3","6999022")</f>
        <v>0</v>
      </c>
      <c r="B14654" t="s">
        <v>1211</v>
      </c>
      <c r="C14654" t="s">
        <v>17226</v>
      </c>
      <c r="D14654" t="s">
        <v>18041</v>
      </c>
      <c r="E14654" t="s">
        <v>30843</v>
      </c>
      <c r="F14654" t="s">
        <v>31576</v>
      </c>
      <c r="G14654" t="s">
        <v>31588</v>
      </c>
      <c r="H14654" t="s">
        <v>31591</v>
      </c>
      <c r="I14654" t="s">
        <v>8822</v>
      </c>
      <c r="J14654" t="s">
        <v>40698</v>
      </c>
      <c r="K14654" t="s">
        <v>41483</v>
      </c>
      <c r="M14654" t="s">
        <v>42771</v>
      </c>
      <c r="N14654" t="s">
        <v>45095</v>
      </c>
      <c r="O14654" t="s">
        <v>45096</v>
      </c>
      <c r="Q14654">
        <v>17</v>
      </c>
      <c r="R14654" t="s">
        <v>45128</v>
      </c>
      <c r="S14654" t="s">
        <v>46205</v>
      </c>
      <c r="T14654" t="s">
        <v>46926</v>
      </c>
      <c r="U14654" t="s">
        <v>59273</v>
      </c>
      <c r="W14654" t="s">
        <v>61750</v>
      </c>
      <c r="X14654" t="s">
        <v>61781</v>
      </c>
    </row>
    <row r="14655" spans="1:24">
      <c r="A14655">
        <f>HYPERLINK("https://www.philgeps.gov.ph/GEPSNONPILOT/Tender/SplashBidNoticeAbstractUI.aspx?menuIndex=3&amp;refID=6999901&amp;Result=3","6999901")</f>
        <v>0</v>
      </c>
      <c r="B14655" t="s">
        <v>2751</v>
      </c>
      <c r="C14655" t="s">
        <v>17227</v>
      </c>
      <c r="D14655" t="s">
        <v>18049</v>
      </c>
      <c r="E14655" t="s">
        <v>30844</v>
      </c>
      <c r="F14655" t="s">
        <v>31574</v>
      </c>
      <c r="G14655" t="s">
        <v>31582</v>
      </c>
      <c r="H14655" t="s">
        <v>31591</v>
      </c>
      <c r="I14655" t="s">
        <v>8822</v>
      </c>
      <c r="J14655" t="s">
        <v>40699</v>
      </c>
      <c r="K14655" t="s">
        <v>41196</v>
      </c>
      <c r="M14655" t="s">
        <v>44523</v>
      </c>
      <c r="N14655" t="s">
        <v>45095</v>
      </c>
      <c r="O14655" t="s">
        <v>45096</v>
      </c>
      <c r="Q14655">
        <v>1</v>
      </c>
      <c r="R14655" t="s">
        <v>45125</v>
      </c>
      <c r="S14655" t="s">
        <v>46206</v>
      </c>
      <c r="T14655" t="s">
        <v>47124</v>
      </c>
      <c r="U14655" t="s">
        <v>59274</v>
      </c>
      <c r="W14655" t="s">
        <v>44523</v>
      </c>
      <c r="X14655" t="s">
        <v>45128</v>
      </c>
    </row>
    <row r="14656" spans="1:24">
      <c r="A14656">
        <f>HYPERLINK("https://www.philgeps.gov.ph/GEPSNONPILOT/Tender/SplashBidNoticeAbstractUI.aspx?menuIndex=3&amp;refID=6999281&amp;Result=3","6999281")</f>
        <v>0</v>
      </c>
      <c r="B14656" t="s">
        <v>2653</v>
      </c>
      <c r="C14656" t="s">
        <v>17228</v>
      </c>
      <c r="D14656" t="s">
        <v>18042</v>
      </c>
      <c r="E14656" t="s">
        <v>30845</v>
      </c>
      <c r="F14656" t="s">
        <v>31574</v>
      </c>
      <c r="G14656" t="s">
        <v>31582</v>
      </c>
      <c r="H14656" t="s">
        <v>31591</v>
      </c>
      <c r="I14656" t="s">
        <v>8822</v>
      </c>
      <c r="J14656" t="s">
        <v>40700</v>
      </c>
      <c r="K14656" t="s">
        <v>41189</v>
      </c>
      <c r="M14656" t="s">
        <v>44411</v>
      </c>
      <c r="N14656" t="s">
        <v>45095</v>
      </c>
      <c r="O14656" t="s">
        <v>45096</v>
      </c>
      <c r="Q14656">
        <v>1</v>
      </c>
      <c r="R14656" t="s">
        <v>45125</v>
      </c>
      <c r="S14656" t="s">
        <v>46207</v>
      </c>
      <c r="T14656" t="s">
        <v>47183</v>
      </c>
      <c r="U14656" t="s">
        <v>59275</v>
      </c>
      <c r="V14656" t="s">
        <v>61484</v>
      </c>
      <c r="W14656" t="s">
        <v>44411</v>
      </c>
      <c r="X14656" t="s">
        <v>45128</v>
      </c>
    </row>
    <row r="14657" spans="1:24">
      <c r="A14657">
        <f>HYPERLINK("https://www.philgeps.gov.ph/GEPSNONPILOT/Tender/SplashBidNoticeAbstractUI.aspx?menuIndex=3&amp;refID=6997241&amp;Result=3","6997241")</f>
        <v>0</v>
      </c>
      <c r="B14657" t="s">
        <v>246</v>
      </c>
      <c r="C14657" t="s">
        <v>17229</v>
      </c>
      <c r="D14657" t="s">
        <v>18041</v>
      </c>
      <c r="E14657" t="s">
        <v>30846</v>
      </c>
      <c r="F14657" t="s">
        <v>31574</v>
      </c>
      <c r="G14657" t="s">
        <v>31581</v>
      </c>
      <c r="H14657" t="s">
        <v>31590</v>
      </c>
      <c r="I14657" t="s">
        <v>31600</v>
      </c>
      <c r="J14657" t="s">
        <v>31821</v>
      </c>
      <c r="K14657" t="s">
        <v>41196</v>
      </c>
      <c r="M14657" t="s">
        <v>41732</v>
      </c>
      <c r="N14657" t="s">
        <v>45095</v>
      </c>
      <c r="O14657" t="s">
        <v>45096</v>
      </c>
      <c r="Q14657">
        <v>0</v>
      </c>
      <c r="R14657" t="s">
        <v>45128</v>
      </c>
      <c r="S14657" t="s">
        <v>46208</v>
      </c>
      <c r="T14657" t="s">
        <v>47021</v>
      </c>
      <c r="U14657" t="s">
        <v>59276</v>
      </c>
      <c r="W14657" t="s">
        <v>41732</v>
      </c>
      <c r="X14657" t="s">
        <v>45129</v>
      </c>
    </row>
    <row r="14658" spans="1:24">
      <c r="A14658">
        <f>HYPERLINK("https://www.philgeps.gov.ph/GEPSNONPILOT/Tender/SplashBidNoticeAbstractUI.aspx?menuIndex=3&amp;refID=7000717&amp;Result=3","7000717")</f>
        <v>0</v>
      </c>
      <c r="B14658" t="s">
        <v>439</v>
      </c>
      <c r="C14658" t="s">
        <v>17230</v>
      </c>
      <c r="D14658" t="s">
        <v>18046</v>
      </c>
      <c r="E14658" t="s">
        <v>30847</v>
      </c>
      <c r="F14658" t="s">
        <v>31574</v>
      </c>
      <c r="G14658" t="s">
        <v>31582</v>
      </c>
      <c r="H14658" t="s">
        <v>31591</v>
      </c>
      <c r="I14658" t="s">
        <v>8822</v>
      </c>
      <c r="J14658" t="s">
        <v>40701</v>
      </c>
      <c r="K14658" t="s">
        <v>41184</v>
      </c>
      <c r="M14658" t="s">
        <v>41932</v>
      </c>
      <c r="N14658" t="s">
        <v>45095</v>
      </c>
      <c r="O14658" t="s">
        <v>45096</v>
      </c>
      <c r="P14658">
        <v>0</v>
      </c>
      <c r="Q14658">
        <v>1</v>
      </c>
      <c r="R14658" t="s">
        <v>45125</v>
      </c>
      <c r="S14658" t="s">
        <v>46192</v>
      </c>
      <c r="T14658" t="s">
        <v>47197</v>
      </c>
      <c r="U14658" t="s">
        <v>59263</v>
      </c>
      <c r="W14658" t="s">
        <v>41932</v>
      </c>
      <c r="X14658" t="s">
        <v>45128</v>
      </c>
    </row>
    <row r="14659" spans="1:24">
      <c r="A14659">
        <f>HYPERLINK("https://www.philgeps.gov.ph/GEPSNONPILOT/Tender/SplashBidNoticeAbstractUI.aspx?menuIndex=3&amp;refID=6997228&amp;Result=3","6997228")</f>
        <v>0</v>
      </c>
      <c r="B14659" t="s">
        <v>246</v>
      </c>
      <c r="C14659" t="s">
        <v>17229</v>
      </c>
      <c r="D14659" t="s">
        <v>18041</v>
      </c>
      <c r="E14659" t="s">
        <v>30848</v>
      </c>
      <c r="F14659" t="s">
        <v>31574</v>
      </c>
      <c r="G14659" t="s">
        <v>31581</v>
      </c>
      <c r="H14659" t="s">
        <v>31590</v>
      </c>
      <c r="I14659" t="s">
        <v>31600</v>
      </c>
      <c r="J14659" t="s">
        <v>40702</v>
      </c>
      <c r="K14659" t="s">
        <v>41196</v>
      </c>
      <c r="M14659" t="s">
        <v>41732</v>
      </c>
      <c r="N14659" t="s">
        <v>45095</v>
      </c>
      <c r="O14659" t="s">
        <v>45096</v>
      </c>
      <c r="Q14659">
        <v>0</v>
      </c>
      <c r="R14659" t="s">
        <v>45128</v>
      </c>
      <c r="S14659" t="s">
        <v>46209</v>
      </c>
      <c r="T14659" t="s">
        <v>47021</v>
      </c>
      <c r="U14659" t="s">
        <v>59277</v>
      </c>
      <c r="W14659" t="s">
        <v>41732</v>
      </c>
      <c r="X14659" t="s">
        <v>45129</v>
      </c>
    </row>
    <row r="14660" spans="1:24">
      <c r="A14660">
        <f>HYPERLINK("https://www.philgeps.gov.ph/GEPSNONPILOT/Tender/SplashBidNoticeAbstractUI.aspx?menuIndex=3&amp;refID=6997462&amp;Result=3","6997462")</f>
        <v>0</v>
      </c>
      <c r="B14660" t="s">
        <v>1965</v>
      </c>
      <c r="C14660" t="s">
        <v>17231</v>
      </c>
      <c r="D14660" t="s">
        <v>18022</v>
      </c>
      <c r="E14660" t="s">
        <v>30849</v>
      </c>
      <c r="F14660" t="s">
        <v>31574</v>
      </c>
      <c r="G14660" t="s">
        <v>31582</v>
      </c>
      <c r="H14660" t="s">
        <v>31593</v>
      </c>
      <c r="I14660" t="s">
        <v>31593</v>
      </c>
      <c r="J14660" t="s">
        <v>40703</v>
      </c>
      <c r="K14660" t="s">
        <v>41184</v>
      </c>
      <c r="M14660" t="s">
        <v>43622</v>
      </c>
      <c r="N14660" t="s">
        <v>45095</v>
      </c>
      <c r="O14660" t="s">
        <v>45096</v>
      </c>
      <c r="Q14660">
        <v>38</v>
      </c>
      <c r="R14660" t="s">
        <v>45126</v>
      </c>
      <c r="S14660" t="s">
        <v>45336</v>
      </c>
      <c r="T14660" t="s">
        <v>47044</v>
      </c>
      <c r="U14660" t="s">
        <v>52754</v>
      </c>
      <c r="W14660" t="s">
        <v>43622</v>
      </c>
      <c r="X14660" t="s">
        <v>45129</v>
      </c>
    </row>
    <row r="14661" spans="1:24">
      <c r="A14661">
        <f>HYPERLINK("https://www.philgeps.gov.ph/GEPSNONPILOT/Tender/SplashBidNoticeAbstractUI.aspx?menuIndex=3&amp;refID=6993028&amp;Result=3","6993028")</f>
        <v>0</v>
      </c>
      <c r="B14661" t="s">
        <v>3026</v>
      </c>
      <c r="C14661" t="s">
        <v>17232</v>
      </c>
      <c r="D14661" t="s">
        <v>18038</v>
      </c>
      <c r="E14661" t="s">
        <v>30850</v>
      </c>
      <c r="F14661" t="s">
        <v>31574</v>
      </c>
      <c r="G14661" t="s">
        <v>31582</v>
      </c>
      <c r="H14661" t="s">
        <v>31591</v>
      </c>
      <c r="I14661" t="s">
        <v>8822</v>
      </c>
      <c r="J14661" t="s">
        <v>32232</v>
      </c>
      <c r="K14661" t="s">
        <v>41209</v>
      </c>
      <c r="M14661" t="s">
        <v>44859</v>
      </c>
      <c r="N14661" t="s">
        <v>45095</v>
      </c>
      <c r="O14661" t="s">
        <v>45096</v>
      </c>
      <c r="P14661">
        <v>0</v>
      </c>
      <c r="Q14661">
        <v>0</v>
      </c>
      <c r="R14661" t="s">
        <v>45129</v>
      </c>
      <c r="S14661" t="s">
        <v>46210</v>
      </c>
      <c r="T14661" t="s">
        <v>47183</v>
      </c>
      <c r="U14661" t="s">
        <v>59278</v>
      </c>
      <c r="V14661" t="s">
        <v>60127</v>
      </c>
      <c r="W14661" t="s">
        <v>44859</v>
      </c>
      <c r="X14661" t="s">
        <v>45131</v>
      </c>
    </row>
    <row r="14662" spans="1:24">
      <c r="A14662">
        <f>HYPERLINK("https://www.philgeps.gov.ph/GEPSNONPILOT/Tender/SplashBidNoticeAbstractUI.aspx?menuIndex=3&amp;refID=6997268&amp;Result=3","6997268")</f>
        <v>0</v>
      </c>
      <c r="B14662" t="s">
        <v>246</v>
      </c>
      <c r="C14662" t="s">
        <v>17229</v>
      </c>
      <c r="D14662" t="s">
        <v>18041</v>
      </c>
      <c r="E14662" t="s">
        <v>30851</v>
      </c>
      <c r="F14662" t="s">
        <v>31574</v>
      </c>
      <c r="G14662" t="s">
        <v>31581</v>
      </c>
      <c r="H14662" t="s">
        <v>31590</v>
      </c>
      <c r="I14662" t="s">
        <v>31600</v>
      </c>
      <c r="J14662" t="s">
        <v>35399</v>
      </c>
      <c r="K14662" t="s">
        <v>41196</v>
      </c>
      <c r="M14662" t="s">
        <v>41732</v>
      </c>
      <c r="N14662" t="s">
        <v>45095</v>
      </c>
      <c r="O14662" t="s">
        <v>45096</v>
      </c>
      <c r="Q14662">
        <v>0</v>
      </c>
      <c r="R14662" t="s">
        <v>45128</v>
      </c>
      <c r="S14662" t="s">
        <v>45335</v>
      </c>
      <c r="T14662" t="s">
        <v>47021</v>
      </c>
      <c r="U14662" t="s">
        <v>59279</v>
      </c>
      <c r="W14662" t="s">
        <v>41732</v>
      </c>
      <c r="X14662" t="s">
        <v>45129</v>
      </c>
    </row>
    <row r="14663" spans="1:24">
      <c r="A14663">
        <f>HYPERLINK("https://www.philgeps.gov.ph/GEPSNONPILOT/Tender/SplashBidNoticeAbstractUI.aspx?menuIndex=3&amp;refID=6993039&amp;Result=3","6993039")</f>
        <v>0</v>
      </c>
      <c r="B14663" t="s">
        <v>3026</v>
      </c>
      <c r="C14663" t="s">
        <v>17233</v>
      </c>
      <c r="D14663" t="s">
        <v>18038</v>
      </c>
      <c r="E14663" t="s">
        <v>30852</v>
      </c>
      <c r="F14663" t="s">
        <v>31574</v>
      </c>
      <c r="G14663" t="s">
        <v>31582</v>
      </c>
      <c r="H14663" t="s">
        <v>31591</v>
      </c>
      <c r="I14663" t="s">
        <v>8822</v>
      </c>
      <c r="J14663" t="s">
        <v>33610</v>
      </c>
      <c r="K14663" t="s">
        <v>41209</v>
      </c>
      <c r="M14663" t="s">
        <v>44859</v>
      </c>
      <c r="N14663" t="s">
        <v>45095</v>
      </c>
      <c r="O14663" t="s">
        <v>45096</v>
      </c>
      <c r="P14663">
        <v>0</v>
      </c>
      <c r="Q14663">
        <v>0</v>
      </c>
      <c r="R14663" t="s">
        <v>45129</v>
      </c>
      <c r="S14663" t="s">
        <v>46210</v>
      </c>
      <c r="T14663" t="s">
        <v>47183</v>
      </c>
      <c r="U14663" t="s">
        <v>59280</v>
      </c>
      <c r="V14663" t="s">
        <v>60127</v>
      </c>
      <c r="W14663" t="s">
        <v>44859</v>
      </c>
      <c r="X14663" t="s">
        <v>45131</v>
      </c>
    </row>
    <row r="14664" spans="1:24">
      <c r="A14664">
        <f>HYPERLINK("https://www.philgeps.gov.ph/GEPSNONPILOT/Tender/SplashBidNoticeAbstractUI.aspx?menuIndex=3&amp;refID=6993054&amp;Result=3","6993054")</f>
        <v>0</v>
      </c>
      <c r="B14664" t="s">
        <v>3026</v>
      </c>
      <c r="C14664" t="s">
        <v>17234</v>
      </c>
      <c r="D14664" t="s">
        <v>18038</v>
      </c>
      <c r="E14664" t="s">
        <v>30853</v>
      </c>
      <c r="F14664" t="s">
        <v>31574</v>
      </c>
      <c r="G14664" t="s">
        <v>31582</v>
      </c>
      <c r="H14664" t="s">
        <v>31591</v>
      </c>
      <c r="I14664" t="s">
        <v>8822</v>
      </c>
      <c r="J14664" t="s">
        <v>31789</v>
      </c>
      <c r="K14664" t="s">
        <v>41189</v>
      </c>
      <c r="M14664" t="s">
        <v>44859</v>
      </c>
      <c r="N14664" t="s">
        <v>45095</v>
      </c>
      <c r="O14664" t="s">
        <v>45096</v>
      </c>
      <c r="P14664">
        <v>0</v>
      </c>
      <c r="Q14664">
        <v>0</v>
      </c>
      <c r="R14664" t="s">
        <v>45129</v>
      </c>
      <c r="S14664" t="s">
        <v>46210</v>
      </c>
      <c r="T14664" t="s">
        <v>47183</v>
      </c>
      <c r="U14664" t="s">
        <v>59281</v>
      </c>
      <c r="V14664" t="s">
        <v>60127</v>
      </c>
      <c r="W14664" t="s">
        <v>44859</v>
      </c>
      <c r="X14664" t="s">
        <v>45131</v>
      </c>
    </row>
    <row r="14665" spans="1:24">
      <c r="A14665">
        <f>HYPERLINK("https://www.philgeps.gov.ph/GEPSNONPILOT/Tender/SplashBidNoticeAbstractUI.aspx?menuIndex=3&amp;refID=6993048&amp;Result=3","6993048")</f>
        <v>0</v>
      </c>
      <c r="B14665" t="s">
        <v>3026</v>
      </c>
      <c r="C14665" t="s">
        <v>17235</v>
      </c>
      <c r="D14665" t="s">
        <v>18038</v>
      </c>
      <c r="E14665" t="s">
        <v>30854</v>
      </c>
      <c r="F14665" t="s">
        <v>31574</v>
      </c>
      <c r="G14665" t="s">
        <v>31582</v>
      </c>
      <c r="H14665" t="s">
        <v>31591</v>
      </c>
      <c r="I14665" t="s">
        <v>8822</v>
      </c>
      <c r="J14665" t="s">
        <v>31782</v>
      </c>
      <c r="K14665" t="s">
        <v>41192</v>
      </c>
      <c r="M14665" t="s">
        <v>44859</v>
      </c>
      <c r="N14665" t="s">
        <v>45095</v>
      </c>
      <c r="O14665" t="s">
        <v>45096</v>
      </c>
      <c r="P14665">
        <v>0</v>
      </c>
      <c r="Q14665">
        <v>0</v>
      </c>
      <c r="R14665" t="s">
        <v>45129</v>
      </c>
      <c r="S14665" t="s">
        <v>46210</v>
      </c>
      <c r="T14665" t="s">
        <v>47183</v>
      </c>
      <c r="U14665" t="s">
        <v>59282</v>
      </c>
      <c r="V14665" t="s">
        <v>60127</v>
      </c>
      <c r="W14665" t="s">
        <v>44859</v>
      </c>
      <c r="X14665" t="s">
        <v>45131</v>
      </c>
    </row>
    <row r="14666" spans="1:24">
      <c r="A14666">
        <f>HYPERLINK("https://www.philgeps.gov.ph/GEPSNONPILOT/Tender/SplashBidNoticeAbstractUI.aspx?menuIndex=3&amp;refID=6994590&amp;Result=3","6994590")</f>
        <v>0</v>
      </c>
      <c r="B14666" t="s">
        <v>1573</v>
      </c>
      <c r="C14666" t="s">
        <v>17236</v>
      </c>
      <c r="D14666" t="s">
        <v>18028</v>
      </c>
      <c r="E14666" t="s">
        <v>30855</v>
      </c>
      <c r="F14666" t="s">
        <v>31574</v>
      </c>
      <c r="G14666" t="s">
        <v>31581</v>
      </c>
      <c r="H14666" t="s">
        <v>31590</v>
      </c>
      <c r="I14666" t="s">
        <v>31599</v>
      </c>
      <c r="J14666" t="s">
        <v>31726</v>
      </c>
      <c r="K14666" t="s">
        <v>41186</v>
      </c>
      <c r="M14666" t="s">
        <v>43176</v>
      </c>
      <c r="N14666" t="s">
        <v>45095</v>
      </c>
      <c r="O14666" t="s">
        <v>45096</v>
      </c>
      <c r="Q14666">
        <v>0</v>
      </c>
      <c r="R14666" t="s">
        <v>45129</v>
      </c>
      <c r="S14666" t="s">
        <v>46211</v>
      </c>
      <c r="T14666" t="s">
        <v>46979</v>
      </c>
      <c r="U14666" t="s">
        <v>59283</v>
      </c>
      <c r="W14666" t="s">
        <v>43176</v>
      </c>
      <c r="X14666" t="s">
        <v>45130</v>
      </c>
    </row>
    <row r="14667" spans="1:24">
      <c r="A14667">
        <f>HYPERLINK("https://www.philgeps.gov.ph/GEPSNONPILOT/Tender/SplashBidNoticeAbstractUI.aspx?menuIndex=3&amp;refID=6993078&amp;Result=3","6993078")</f>
        <v>0</v>
      </c>
      <c r="B14667" t="s">
        <v>3026</v>
      </c>
      <c r="C14667" t="s">
        <v>17237</v>
      </c>
      <c r="D14667" t="s">
        <v>18038</v>
      </c>
      <c r="E14667" t="s">
        <v>30856</v>
      </c>
      <c r="F14667" t="s">
        <v>31574</v>
      </c>
      <c r="G14667" t="s">
        <v>31582</v>
      </c>
      <c r="H14667" t="s">
        <v>31591</v>
      </c>
      <c r="I14667" t="s">
        <v>8822</v>
      </c>
      <c r="J14667" t="s">
        <v>32026</v>
      </c>
      <c r="K14667" t="s">
        <v>41200</v>
      </c>
      <c r="M14667" t="s">
        <v>44859</v>
      </c>
      <c r="N14667" t="s">
        <v>45095</v>
      </c>
      <c r="O14667" t="s">
        <v>45096</v>
      </c>
      <c r="P14667">
        <v>0</v>
      </c>
      <c r="Q14667">
        <v>0</v>
      </c>
      <c r="R14667" t="s">
        <v>45129</v>
      </c>
      <c r="S14667" t="s">
        <v>46210</v>
      </c>
      <c r="T14667" t="s">
        <v>47183</v>
      </c>
      <c r="U14667" t="s">
        <v>59284</v>
      </c>
      <c r="V14667" t="s">
        <v>60127</v>
      </c>
      <c r="W14667" t="s">
        <v>44859</v>
      </c>
      <c r="X14667" t="s">
        <v>45131</v>
      </c>
    </row>
    <row r="14668" spans="1:24">
      <c r="A14668">
        <f>HYPERLINK("https://www.philgeps.gov.ph/GEPSNONPILOT/Tender/SplashBidNoticeAbstractUI.aspx?menuIndex=3&amp;refID=6995285&amp;Result=3","6995285")</f>
        <v>0</v>
      </c>
      <c r="B14668" t="s">
        <v>1918</v>
      </c>
      <c r="C14668" t="s">
        <v>17238</v>
      </c>
      <c r="D14668" t="s">
        <v>18024</v>
      </c>
      <c r="E14668" t="s">
        <v>30857</v>
      </c>
      <c r="F14668" t="s">
        <v>31574</v>
      </c>
      <c r="G14668" t="s">
        <v>31582</v>
      </c>
      <c r="H14668" t="s">
        <v>31591</v>
      </c>
      <c r="I14668" t="s">
        <v>8822</v>
      </c>
      <c r="J14668" t="s">
        <v>40704</v>
      </c>
      <c r="K14668" t="s">
        <v>41448</v>
      </c>
      <c r="M14668" t="s">
        <v>43568</v>
      </c>
      <c r="N14668" t="s">
        <v>45095</v>
      </c>
      <c r="O14668" t="s">
        <v>45096</v>
      </c>
      <c r="P14668">
        <v>0</v>
      </c>
      <c r="Q14668">
        <v>5</v>
      </c>
      <c r="R14668" t="s">
        <v>45129</v>
      </c>
      <c r="S14668" t="s">
        <v>46210</v>
      </c>
      <c r="T14668" t="s">
        <v>47189</v>
      </c>
      <c r="U14668" t="s">
        <v>59285</v>
      </c>
      <c r="W14668" t="s">
        <v>43568</v>
      </c>
      <c r="X14668" t="s">
        <v>45130</v>
      </c>
    </row>
    <row r="14669" spans="1:24">
      <c r="A14669">
        <f>HYPERLINK("https://www.philgeps.gov.ph/GEPSNONPILOT/Tender/SplashBidNoticeAbstractUI.aspx?menuIndex=3&amp;refID=6992720&amp;Result=3","6992720")</f>
        <v>0</v>
      </c>
      <c r="B14669" t="s">
        <v>255</v>
      </c>
      <c r="C14669" t="s">
        <v>17239</v>
      </c>
      <c r="D14669" t="s">
        <v>18082</v>
      </c>
      <c r="E14669" t="s">
        <v>30858</v>
      </c>
      <c r="F14669" t="s">
        <v>31574</v>
      </c>
      <c r="G14669" t="s">
        <v>31582</v>
      </c>
      <c r="H14669" t="s">
        <v>31591</v>
      </c>
      <c r="I14669" t="s">
        <v>8822</v>
      </c>
      <c r="J14669" t="s">
        <v>40705</v>
      </c>
      <c r="K14669" t="s">
        <v>41256</v>
      </c>
      <c r="M14669" t="s">
        <v>41741</v>
      </c>
      <c r="N14669" t="s">
        <v>45095</v>
      </c>
      <c r="O14669" t="s">
        <v>45096</v>
      </c>
      <c r="Q14669">
        <v>0</v>
      </c>
      <c r="R14669" t="s">
        <v>45130</v>
      </c>
      <c r="S14669" t="s">
        <v>46212</v>
      </c>
      <c r="T14669" t="s">
        <v>47159</v>
      </c>
      <c r="U14669" t="s">
        <v>59286</v>
      </c>
      <c r="V14669" t="s">
        <v>61485</v>
      </c>
      <c r="W14669" t="s">
        <v>41741</v>
      </c>
      <c r="X14669" t="s">
        <v>45131</v>
      </c>
    </row>
    <row r="14670" spans="1:24">
      <c r="A14670">
        <f>HYPERLINK("https://www.philgeps.gov.ph/GEPSNONPILOT/Tender/SplashBidNoticeAbstractUI.aspx?menuIndex=3&amp;refID=6994635&amp;Result=3","6994635")</f>
        <v>0</v>
      </c>
      <c r="B14670" t="s">
        <v>1573</v>
      </c>
      <c r="C14670" t="s">
        <v>17240</v>
      </c>
      <c r="D14670" t="s">
        <v>18023</v>
      </c>
      <c r="E14670" t="s">
        <v>30859</v>
      </c>
      <c r="F14670" t="s">
        <v>31574</v>
      </c>
      <c r="G14670" t="s">
        <v>31581</v>
      </c>
      <c r="H14670" t="s">
        <v>31590</v>
      </c>
      <c r="I14670" t="s">
        <v>31599</v>
      </c>
      <c r="J14670" t="s">
        <v>31789</v>
      </c>
      <c r="K14670" t="s">
        <v>41186</v>
      </c>
      <c r="M14670" t="s">
        <v>43176</v>
      </c>
      <c r="N14670" t="s">
        <v>45095</v>
      </c>
      <c r="O14670" t="s">
        <v>45096</v>
      </c>
      <c r="Q14670">
        <v>0</v>
      </c>
      <c r="R14670" t="s">
        <v>45129</v>
      </c>
      <c r="S14670" t="s">
        <v>46213</v>
      </c>
      <c r="T14670" t="s">
        <v>46979</v>
      </c>
      <c r="U14670" t="s">
        <v>59283</v>
      </c>
      <c r="W14670" t="s">
        <v>43176</v>
      </c>
      <c r="X14670" t="s">
        <v>45130</v>
      </c>
    </row>
    <row r="14671" spans="1:24">
      <c r="A14671">
        <f>HYPERLINK("https://www.philgeps.gov.ph/GEPSNONPILOT/Tender/SplashBidNoticeAbstractUI.aspx?menuIndex=3&amp;refID=6995641&amp;Result=3","6995641")</f>
        <v>0</v>
      </c>
      <c r="B14671" t="s">
        <v>1770</v>
      </c>
      <c r="C14671" t="s">
        <v>17241</v>
      </c>
      <c r="D14671" t="s">
        <v>18065</v>
      </c>
      <c r="E14671" t="s">
        <v>30860</v>
      </c>
      <c r="F14671" t="s">
        <v>31574</v>
      </c>
      <c r="G14671" t="s">
        <v>31582</v>
      </c>
      <c r="H14671" t="s">
        <v>31591</v>
      </c>
      <c r="I14671" t="s">
        <v>8822</v>
      </c>
      <c r="J14671" t="s">
        <v>33252</v>
      </c>
      <c r="K14671" t="s">
        <v>41263</v>
      </c>
      <c r="L14671" t="s">
        <v>1770</v>
      </c>
      <c r="M14671" t="s">
        <v>44289</v>
      </c>
      <c r="N14671" t="s">
        <v>45095</v>
      </c>
      <c r="O14671" t="s">
        <v>45096</v>
      </c>
      <c r="Q14671">
        <v>0</v>
      </c>
      <c r="R14671" t="s">
        <v>45129</v>
      </c>
      <c r="S14671" t="s">
        <v>46214</v>
      </c>
      <c r="T14671" t="s">
        <v>46973</v>
      </c>
      <c r="U14671" t="s">
        <v>59287</v>
      </c>
      <c r="V14671" t="s">
        <v>59973</v>
      </c>
      <c r="W14671" t="s">
        <v>44289</v>
      </c>
      <c r="X14671" t="s">
        <v>45130</v>
      </c>
    </row>
    <row r="14672" spans="1:24">
      <c r="A14672">
        <f>HYPERLINK("https://www.philgeps.gov.ph/GEPSNONPILOT/Tender/SplashBidNoticeAbstractUI.aspx?menuIndex=3&amp;refID=6995869&amp;Result=3","6995869")</f>
        <v>0</v>
      </c>
      <c r="B14672" t="s">
        <v>2572</v>
      </c>
      <c r="C14672" t="s">
        <v>17242</v>
      </c>
      <c r="D14672" t="s">
        <v>18031</v>
      </c>
      <c r="E14672" t="s">
        <v>30861</v>
      </c>
      <c r="F14672" t="s">
        <v>31574</v>
      </c>
      <c r="G14672" t="s">
        <v>31588</v>
      </c>
      <c r="H14672" t="s">
        <v>31591</v>
      </c>
      <c r="I14672" t="s">
        <v>8822</v>
      </c>
      <c r="J14672" t="s">
        <v>40706</v>
      </c>
      <c r="K14672" t="s">
        <v>41243</v>
      </c>
      <c r="M14672" t="s">
        <v>44313</v>
      </c>
      <c r="N14672" t="s">
        <v>45095</v>
      </c>
      <c r="O14672" t="s">
        <v>45096</v>
      </c>
      <c r="Q14672">
        <v>38</v>
      </c>
      <c r="R14672" t="s">
        <v>45129</v>
      </c>
      <c r="S14672" t="s">
        <v>46215</v>
      </c>
      <c r="T14672" t="s">
        <v>46926</v>
      </c>
      <c r="U14672" t="s">
        <v>59288</v>
      </c>
      <c r="V14672" t="s">
        <v>61486</v>
      </c>
      <c r="W14672" t="s">
        <v>44313</v>
      </c>
      <c r="X14672" t="s">
        <v>45130</v>
      </c>
    </row>
    <row r="14673" spans="1:24">
      <c r="A14673">
        <f>HYPERLINK("https://www.philgeps.gov.ph/GEPSNONPILOT/Tender/SplashBidNoticeAbstractUI.aspx?menuIndex=3&amp;refID=6994488&amp;Result=3","6994488")</f>
        <v>0</v>
      </c>
      <c r="B14673" t="s">
        <v>3143</v>
      </c>
      <c r="C14673" t="s">
        <v>17243</v>
      </c>
      <c r="D14673" t="s">
        <v>18022</v>
      </c>
      <c r="E14673" t="s">
        <v>30862</v>
      </c>
      <c r="F14673" t="s">
        <v>31574</v>
      </c>
      <c r="G14673" t="s">
        <v>31582</v>
      </c>
      <c r="H14673" t="s">
        <v>31590</v>
      </c>
      <c r="I14673" t="s">
        <v>31636</v>
      </c>
      <c r="J14673" t="s">
        <v>40707</v>
      </c>
      <c r="K14673" t="s">
        <v>41466</v>
      </c>
      <c r="M14673" t="s">
        <v>44997</v>
      </c>
      <c r="N14673" t="s">
        <v>45095</v>
      </c>
      <c r="O14673" t="s">
        <v>45096</v>
      </c>
      <c r="Q14673">
        <v>17</v>
      </c>
      <c r="R14673" t="s">
        <v>45129</v>
      </c>
      <c r="S14673" t="s">
        <v>46216</v>
      </c>
      <c r="T14673" t="s">
        <v>47196</v>
      </c>
      <c r="U14673" t="s">
        <v>59289</v>
      </c>
      <c r="W14673" t="s">
        <v>44997</v>
      </c>
      <c r="X14673" t="s">
        <v>45130</v>
      </c>
    </row>
    <row r="14674" spans="1:24">
      <c r="A14674">
        <f>HYPERLINK("https://www.philgeps.gov.ph/GEPSNONPILOT/Tender/SplashBidNoticeAbstractUI.aspx?menuIndex=3&amp;refID=6995875&amp;Result=3","6995875")</f>
        <v>0</v>
      </c>
      <c r="B14674" t="s">
        <v>1770</v>
      </c>
      <c r="C14674" t="s">
        <v>17244</v>
      </c>
      <c r="D14674" t="s">
        <v>18065</v>
      </c>
      <c r="E14674" t="s">
        <v>30863</v>
      </c>
      <c r="F14674" t="s">
        <v>31574</v>
      </c>
      <c r="G14674" t="s">
        <v>31582</v>
      </c>
      <c r="H14674" t="s">
        <v>31591</v>
      </c>
      <c r="I14674" t="s">
        <v>8822</v>
      </c>
      <c r="J14674" t="s">
        <v>40708</v>
      </c>
      <c r="K14674" t="s">
        <v>41415</v>
      </c>
      <c r="L14674" t="s">
        <v>1770</v>
      </c>
      <c r="M14674" t="s">
        <v>44289</v>
      </c>
      <c r="N14674" t="s">
        <v>45095</v>
      </c>
      <c r="O14674" t="s">
        <v>45096</v>
      </c>
      <c r="Q14674">
        <v>2</v>
      </c>
      <c r="R14674" t="s">
        <v>45129</v>
      </c>
      <c r="S14674" t="s">
        <v>46217</v>
      </c>
      <c r="T14674" t="s">
        <v>46966</v>
      </c>
      <c r="U14674" t="s">
        <v>49525</v>
      </c>
      <c r="V14674" t="s">
        <v>59973</v>
      </c>
      <c r="W14674" t="s">
        <v>44289</v>
      </c>
      <c r="X14674" t="s">
        <v>45130</v>
      </c>
    </row>
    <row r="14675" spans="1:24">
      <c r="A14675">
        <f>HYPERLINK("https://www.philgeps.gov.ph/GEPSNONPILOT/Tender/SplashBidNoticeAbstractUI.aspx?menuIndex=3&amp;refID=6995567&amp;Result=3","6995567")</f>
        <v>0</v>
      </c>
      <c r="B14675" t="s">
        <v>1770</v>
      </c>
      <c r="C14675" t="s">
        <v>17245</v>
      </c>
      <c r="D14675" t="s">
        <v>18065</v>
      </c>
      <c r="E14675" t="s">
        <v>30864</v>
      </c>
      <c r="F14675" t="s">
        <v>31574</v>
      </c>
      <c r="G14675" t="s">
        <v>31582</v>
      </c>
      <c r="H14675" t="s">
        <v>31591</v>
      </c>
      <c r="I14675" t="s">
        <v>8822</v>
      </c>
      <c r="J14675" t="s">
        <v>33268</v>
      </c>
      <c r="K14675" t="s">
        <v>41256</v>
      </c>
      <c r="L14675" t="s">
        <v>1770</v>
      </c>
      <c r="M14675" t="s">
        <v>44289</v>
      </c>
      <c r="N14675" t="s">
        <v>45095</v>
      </c>
      <c r="O14675" t="s">
        <v>45096</v>
      </c>
      <c r="Q14675">
        <v>3</v>
      </c>
      <c r="R14675" t="s">
        <v>45129</v>
      </c>
      <c r="S14675" t="s">
        <v>46218</v>
      </c>
      <c r="T14675" t="s">
        <v>46973</v>
      </c>
      <c r="U14675" t="s">
        <v>55360</v>
      </c>
      <c r="V14675" t="s">
        <v>59973</v>
      </c>
      <c r="W14675" t="s">
        <v>44289</v>
      </c>
      <c r="X14675" t="s">
        <v>45130</v>
      </c>
    </row>
    <row r="14676" spans="1:24">
      <c r="A14676">
        <f>HYPERLINK("https://www.philgeps.gov.ph/GEPSNONPILOT/Tender/SplashBidNoticeAbstractUI.aspx?menuIndex=3&amp;refID=6992768&amp;Result=3","6992768")</f>
        <v>0</v>
      </c>
      <c r="B14676" t="s">
        <v>255</v>
      </c>
      <c r="C14676" t="s">
        <v>17246</v>
      </c>
      <c r="D14676" t="s">
        <v>18082</v>
      </c>
      <c r="E14676" t="s">
        <v>30865</v>
      </c>
      <c r="F14676" t="s">
        <v>31574</v>
      </c>
      <c r="G14676" t="s">
        <v>31582</v>
      </c>
      <c r="H14676" t="s">
        <v>31591</v>
      </c>
      <c r="I14676" t="s">
        <v>8822</v>
      </c>
      <c r="J14676" t="s">
        <v>40709</v>
      </c>
      <c r="K14676" t="s">
        <v>41267</v>
      </c>
      <c r="M14676" t="s">
        <v>41741</v>
      </c>
      <c r="N14676" t="s">
        <v>45095</v>
      </c>
      <c r="O14676" t="s">
        <v>45096</v>
      </c>
      <c r="Q14676">
        <v>0</v>
      </c>
      <c r="R14676" t="s">
        <v>45130</v>
      </c>
      <c r="S14676" t="s">
        <v>46219</v>
      </c>
      <c r="T14676" t="s">
        <v>47159</v>
      </c>
      <c r="U14676" t="s">
        <v>59290</v>
      </c>
      <c r="V14676" t="s">
        <v>61487</v>
      </c>
      <c r="W14676" t="s">
        <v>41741</v>
      </c>
      <c r="X14676" t="s">
        <v>45131</v>
      </c>
    </row>
    <row r="14677" spans="1:24">
      <c r="A14677">
        <f>HYPERLINK("https://www.philgeps.gov.ph/GEPSNONPILOT/Tender/SplashBidNoticeAbstractUI.aspx?menuIndex=3&amp;refID=6993059&amp;Result=3","6993059")</f>
        <v>0</v>
      </c>
      <c r="B14677" t="s">
        <v>3026</v>
      </c>
      <c r="C14677" t="s">
        <v>17247</v>
      </c>
      <c r="D14677" t="s">
        <v>18038</v>
      </c>
      <c r="E14677" t="s">
        <v>30866</v>
      </c>
      <c r="F14677" t="s">
        <v>31574</v>
      </c>
      <c r="G14677" t="s">
        <v>31582</v>
      </c>
      <c r="H14677" t="s">
        <v>31591</v>
      </c>
      <c r="I14677" t="s">
        <v>8822</v>
      </c>
      <c r="J14677" t="s">
        <v>32120</v>
      </c>
      <c r="K14677" t="s">
        <v>41243</v>
      </c>
      <c r="M14677" t="s">
        <v>44859</v>
      </c>
      <c r="N14677" t="s">
        <v>45095</v>
      </c>
      <c r="O14677" t="s">
        <v>45096</v>
      </c>
      <c r="P14677">
        <v>0</v>
      </c>
      <c r="Q14677">
        <v>0</v>
      </c>
      <c r="R14677" t="s">
        <v>45129</v>
      </c>
      <c r="S14677" t="s">
        <v>46210</v>
      </c>
      <c r="T14677" t="s">
        <v>47183</v>
      </c>
      <c r="U14677" t="s">
        <v>59291</v>
      </c>
      <c r="V14677" t="s">
        <v>60127</v>
      </c>
      <c r="W14677" t="s">
        <v>44859</v>
      </c>
      <c r="X14677" t="s">
        <v>45131</v>
      </c>
    </row>
    <row r="14678" spans="1:24">
      <c r="A14678">
        <f>HYPERLINK("https://www.philgeps.gov.ph/GEPSNONPILOT/Tender/SplashBidNoticeAbstractUI.aspx?menuIndex=3&amp;refID=6995499&amp;Result=3","6995499")</f>
        <v>0</v>
      </c>
      <c r="B14678" t="s">
        <v>1770</v>
      </c>
      <c r="C14678" t="s">
        <v>17248</v>
      </c>
      <c r="D14678" t="s">
        <v>18065</v>
      </c>
      <c r="E14678" t="s">
        <v>30867</v>
      </c>
      <c r="F14678" t="s">
        <v>31574</v>
      </c>
      <c r="G14678" t="s">
        <v>31582</v>
      </c>
      <c r="H14678" t="s">
        <v>31591</v>
      </c>
      <c r="I14678" t="s">
        <v>8822</v>
      </c>
      <c r="J14678" t="s">
        <v>35376</v>
      </c>
      <c r="K14678" t="s">
        <v>41243</v>
      </c>
      <c r="L14678" t="s">
        <v>1770</v>
      </c>
      <c r="M14678" t="s">
        <v>44289</v>
      </c>
      <c r="N14678" t="s">
        <v>45095</v>
      </c>
      <c r="O14678" t="s">
        <v>45096</v>
      </c>
      <c r="Q14678">
        <v>2</v>
      </c>
      <c r="R14678" t="s">
        <v>45129</v>
      </c>
      <c r="S14678" t="s">
        <v>46220</v>
      </c>
      <c r="T14678" t="s">
        <v>46973</v>
      </c>
      <c r="U14678" t="s">
        <v>55360</v>
      </c>
      <c r="V14678" t="s">
        <v>59973</v>
      </c>
      <c r="W14678" t="s">
        <v>44289</v>
      </c>
      <c r="X14678" t="s">
        <v>45130</v>
      </c>
    </row>
    <row r="14679" spans="1:24">
      <c r="A14679">
        <f>HYPERLINK("https://www.philgeps.gov.ph/GEPSNONPILOT/Tender/SplashBidNoticeAbstractUI.aspx?menuIndex=3&amp;refID=6993533&amp;Result=3","6993533")</f>
        <v>0</v>
      </c>
      <c r="B14679" t="s">
        <v>670</v>
      </c>
      <c r="C14679" t="s">
        <v>17249</v>
      </c>
      <c r="D14679" t="s">
        <v>18022</v>
      </c>
      <c r="E14679" t="s">
        <v>30868</v>
      </c>
      <c r="F14679" t="s">
        <v>31574</v>
      </c>
      <c r="G14679" t="s">
        <v>31582</v>
      </c>
      <c r="H14679" t="s">
        <v>31590</v>
      </c>
      <c r="I14679" t="s">
        <v>31608</v>
      </c>
      <c r="J14679" t="s">
        <v>32419</v>
      </c>
      <c r="K14679" t="s">
        <v>41189</v>
      </c>
      <c r="M14679" t="s">
        <v>43902</v>
      </c>
      <c r="N14679" t="s">
        <v>45095</v>
      </c>
      <c r="O14679" t="s">
        <v>45096</v>
      </c>
      <c r="Q14679">
        <v>18</v>
      </c>
      <c r="R14679" t="s">
        <v>45130</v>
      </c>
      <c r="S14679" t="s">
        <v>46221</v>
      </c>
      <c r="T14679" t="s">
        <v>46985</v>
      </c>
      <c r="U14679" t="s">
        <v>59292</v>
      </c>
      <c r="W14679" t="s">
        <v>43902</v>
      </c>
      <c r="X14679" t="s">
        <v>45131</v>
      </c>
    </row>
    <row r="14680" spans="1:24">
      <c r="A14680">
        <f>HYPERLINK("https://www.philgeps.gov.ph/GEPSNONPILOT/Tender/SplashBidNoticeAbstractUI.aspx?menuIndex=3&amp;refID=6995831&amp;Result=3","6995831")</f>
        <v>0</v>
      </c>
      <c r="B14680" t="s">
        <v>3144</v>
      </c>
      <c r="C14680" t="s">
        <v>17250</v>
      </c>
      <c r="D14680" t="s">
        <v>18131</v>
      </c>
      <c r="E14680" t="s">
        <v>30869</v>
      </c>
      <c r="F14680" t="s">
        <v>31574</v>
      </c>
      <c r="G14680" t="s">
        <v>31582</v>
      </c>
      <c r="H14680" t="s">
        <v>31592</v>
      </c>
      <c r="I14680" t="s">
        <v>31623</v>
      </c>
      <c r="J14680" t="s">
        <v>40710</v>
      </c>
      <c r="K14680" t="s">
        <v>41237</v>
      </c>
      <c r="M14680" t="s">
        <v>44998</v>
      </c>
      <c r="N14680" t="s">
        <v>45095</v>
      </c>
      <c r="O14680" t="s">
        <v>45096</v>
      </c>
      <c r="Q14680">
        <v>0</v>
      </c>
      <c r="R14680" t="s">
        <v>45129</v>
      </c>
      <c r="S14680" t="s">
        <v>46222</v>
      </c>
      <c r="T14680" t="s">
        <v>46973</v>
      </c>
      <c r="U14680" t="s">
        <v>59293</v>
      </c>
      <c r="W14680" t="s">
        <v>44998</v>
      </c>
      <c r="X14680" t="s">
        <v>45130</v>
      </c>
    </row>
    <row r="14681" spans="1:24">
      <c r="A14681">
        <f>HYPERLINK("https://www.philgeps.gov.ph/GEPSNONPILOT/Tender/SplashBidNoticeAbstractUI.aspx?menuIndex=3&amp;refID=6990755&amp;Result=3","6990755")</f>
        <v>0</v>
      </c>
      <c r="B14681" t="s">
        <v>196</v>
      </c>
      <c r="C14681" t="s">
        <v>17251</v>
      </c>
      <c r="D14681" t="s">
        <v>18046</v>
      </c>
      <c r="E14681" t="s">
        <v>30870</v>
      </c>
      <c r="F14681" t="s">
        <v>31574</v>
      </c>
      <c r="G14681" t="s">
        <v>31582</v>
      </c>
      <c r="H14681" t="s">
        <v>31593</v>
      </c>
      <c r="I14681" t="s">
        <v>31593</v>
      </c>
      <c r="J14681" t="s">
        <v>40711</v>
      </c>
      <c r="K14681" t="s">
        <v>41186</v>
      </c>
      <c r="M14681" t="s">
        <v>44810</v>
      </c>
      <c r="N14681" t="s">
        <v>45095</v>
      </c>
      <c r="O14681" t="s">
        <v>45096</v>
      </c>
      <c r="Q14681">
        <v>1</v>
      </c>
      <c r="R14681" t="s">
        <v>45131</v>
      </c>
      <c r="S14681" t="s">
        <v>46223</v>
      </c>
      <c r="T14681" t="s">
        <v>47347</v>
      </c>
      <c r="U14681" t="s">
        <v>59294</v>
      </c>
      <c r="W14681" t="s">
        <v>44810</v>
      </c>
      <c r="X14681" t="s">
        <v>45132</v>
      </c>
    </row>
    <row r="14682" spans="1:24">
      <c r="A14682">
        <f>HYPERLINK("https://www.philgeps.gov.ph/GEPSNONPILOT/Tender/SplashBidNoticeAbstractUI.aspx?menuIndex=3&amp;refID=6995669&amp;Result=3","6995669")</f>
        <v>0</v>
      </c>
      <c r="B14682" t="s">
        <v>2842</v>
      </c>
      <c r="C14682" t="s">
        <v>17252</v>
      </c>
      <c r="D14682" t="s">
        <v>18068</v>
      </c>
      <c r="E14682" t="s">
        <v>30871</v>
      </c>
      <c r="F14682" t="s">
        <v>31574</v>
      </c>
      <c r="G14682" t="s">
        <v>31581</v>
      </c>
      <c r="H14682" t="s">
        <v>31590</v>
      </c>
      <c r="I14682" t="s">
        <v>14034</v>
      </c>
      <c r="J14682" t="s">
        <v>33219</v>
      </c>
      <c r="K14682" t="s">
        <v>41190</v>
      </c>
      <c r="M14682" t="s">
        <v>44625</v>
      </c>
      <c r="N14682" t="s">
        <v>45095</v>
      </c>
      <c r="O14682" t="s">
        <v>45096</v>
      </c>
      <c r="Q14682">
        <v>5</v>
      </c>
      <c r="R14682" t="s">
        <v>45129</v>
      </c>
      <c r="S14682" t="s">
        <v>46224</v>
      </c>
      <c r="T14682" t="s">
        <v>47077</v>
      </c>
      <c r="U14682" t="s">
        <v>59295</v>
      </c>
      <c r="V14682" t="s">
        <v>61488</v>
      </c>
      <c r="W14682" t="s">
        <v>44625</v>
      </c>
      <c r="X14682" t="s">
        <v>45130</v>
      </c>
    </row>
    <row r="14683" spans="1:24">
      <c r="A14683">
        <f>HYPERLINK("https://www.philgeps.gov.ph/GEPSNONPILOT/Tender/SplashBidNoticeAbstractUI.aspx?menuIndex=3&amp;refID=6990748&amp;Result=3","6990748")</f>
        <v>0</v>
      </c>
      <c r="B14683" t="s">
        <v>196</v>
      </c>
      <c r="C14683" t="s">
        <v>17253</v>
      </c>
      <c r="D14683" t="s">
        <v>18046</v>
      </c>
      <c r="E14683" t="s">
        <v>30872</v>
      </c>
      <c r="F14683" t="s">
        <v>31574</v>
      </c>
      <c r="G14683" t="s">
        <v>31582</v>
      </c>
      <c r="H14683" t="s">
        <v>31593</v>
      </c>
      <c r="I14683" t="s">
        <v>31593</v>
      </c>
      <c r="J14683" t="s">
        <v>40712</v>
      </c>
      <c r="K14683" t="s">
        <v>41196</v>
      </c>
      <c r="M14683" t="s">
        <v>44810</v>
      </c>
      <c r="N14683" t="s">
        <v>45095</v>
      </c>
      <c r="O14683" t="s">
        <v>45096</v>
      </c>
      <c r="Q14683">
        <v>2</v>
      </c>
      <c r="R14683" t="s">
        <v>45131</v>
      </c>
      <c r="S14683" t="s">
        <v>46225</v>
      </c>
      <c r="T14683" t="s">
        <v>47347</v>
      </c>
      <c r="U14683" t="s">
        <v>59296</v>
      </c>
      <c r="W14683" t="s">
        <v>44810</v>
      </c>
      <c r="X14683" t="s">
        <v>45132</v>
      </c>
    </row>
    <row r="14684" spans="1:24">
      <c r="A14684">
        <f>HYPERLINK("https://www.philgeps.gov.ph/GEPSNONPILOT/Tender/SplashBidNoticeAbstractUI.aspx?menuIndex=3&amp;refID=6994161&amp;Result=3","6994161")</f>
        <v>0</v>
      </c>
      <c r="B14684" t="s">
        <v>1128</v>
      </c>
      <c r="C14684" t="s">
        <v>17254</v>
      </c>
      <c r="D14684" t="s">
        <v>18022</v>
      </c>
      <c r="E14684" t="s">
        <v>30873</v>
      </c>
      <c r="F14684" t="s">
        <v>31574</v>
      </c>
      <c r="G14684" t="s">
        <v>31585</v>
      </c>
      <c r="H14684" t="s">
        <v>31592</v>
      </c>
      <c r="I14684" t="s">
        <v>31644</v>
      </c>
      <c r="J14684" t="s">
        <v>34483</v>
      </c>
      <c r="K14684" t="s">
        <v>41210</v>
      </c>
      <c r="M14684" t="s">
        <v>44999</v>
      </c>
      <c r="N14684" t="s">
        <v>45095</v>
      </c>
      <c r="O14684" t="s">
        <v>45096</v>
      </c>
      <c r="Q14684">
        <v>4</v>
      </c>
      <c r="R14684" t="s">
        <v>45130</v>
      </c>
      <c r="S14684" t="s">
        <v>46226</v>
      </c>
      <c r="T14684" t="s">
        <v>47183</v>
      </c>
      <c r="U14684" t="s">
        <v>59297</v>
      </c>
      <c r="W14684" t="s">
        <v>44999</v>
      </c>
      <c r="X14684" t="s">
        <v>45131</v>
      </c>
    </row>
    <row r="14685" spans="1:24">
      <c r="A14685">
        <f>HYPERLINK("https://www.philgeps.gov.ph/GEPSNONPILOT/Tender/SplashBidNoticeAbstractUI.aspx?menuIndex=3&amp;refID=6994162&amp;Result=3","6994162")</f>
        <v>0</v>
      </c>
      <c r="B14685" t="s">
        <v>2837</v>
      </c>
      <c r="C14685" t="s">
        <v>17255</v>
      </c>
      <c r="D14685" t="s">
        <v>18065</v>
      </c>
      <c r="E14685" t="s">
        <v>30874</v>
      </c>
      <c r="F14685" t="s">
        <v>31574</v>
      </c>
      <c r="G14685" t="s">
        <v>31582</v>
      </c>
      <c r="H14685" t="s">
        <v>31591</v>
      </c>
      <c r="I14685" t="s">
        <v>8822</v>
      </c>
      <c r="J14685" t="s">
        <v>37018</v>
      </c>
      <c r="K14685" t="s">
        <v>41184</v>
      </c>
      <c r="L14685" t="s">
        <v>2837</v>
      </c>
      <c r="M14685" t="s">
        <v>44618</v>
      </c>
      <c r="N14685" t="s">
        <v>45095</v>
      </c>
      <c r="O14685" t="s">
        <v>45096</v>
      </c>
      <c r="Q14685">
        <v>2</v>
      </c>
      <c r="R14685" t="s">
        <v>45130</v>
      </c>
      <c r="S14685" t="s">
        <v>46227</v>
      </c>
      <c r="T14685" t="s">
        <v>46966</v>
      </c>
      <c r="U14685" t="s">
        <v>59298</v>
      </c>
      <c r="V14685" t="s">
        <v>61054</v>
      </c>
      <c r="W14685" t="s">
        <v>44618</v>
      </c>
      <c r="X14685" t="s">
        <v>45131</v>
      </c>
    </row>
    <row r="14686" spans="1:24">
      <c r="A14686">
        <f>HYPERLINK("https://www.philgeps.gov.ph/GEPSNONPILOT/Tender/SplashBidNoticeAbstractUI.aspx?menuIndex=3&amp;refID=6992804&amp;Result=3","6992804")</f>
        <v>0</v>
      </c>
      <c r="B14686" t="s">
        <v>255</v>
      </c>
      <c r="C14686" t="s">
        <v>17256</v>
      </c>
      <c r="D14686" t="s">
        <v>18082</v>
      </c>
      <c r="E14686" t="s">
        <v>30875</v>
      </c>
      <c r="F14686" t="s">
        <v>31574</v>
      </c>
      <c r="G14686" t="s">
        <v>31582</v>
      </c>
      <c r="H14686" t="s">
        <v>31591</v>
      </c>
      <c r="I14686" t="s">
        <v>8822</v>
      </c>
      <c r="J14686" t="s">
        <v>35376</v>
      </c>
      <c r="K14686" t="s">
        <v>41192</v>
      </c>
      <c r="M14686" t="s">
        <v>41741</v>
      </c>
      <c r="N14686" t="s">
        <v>45095</v>
      </c>
      <c r="O14686" t="s">
        <v>45096</v>
      </c>
      <c r="Q14686">
        <v>0</v>
      </c>
      <c r="R14686" t="s">
        <v>45130</v>
      </c>
      <c r="S14686" t="s">
        <v>46228</v>
      </c>
      <c r="T14686" t="s">
        <v>47159</v>
      </c>
      <c r="U14686" t="s">
        <v>59299</v>
      </c>
      <c r="V14686" t="s">
        <v>61489</v>
      </c>
      <c r="W14686" t="s">
        <v>41741</v>
      </c>
      <c r="X14686" t="s">
        <v>45131</v>
      </c>
    </row>
    <row r="14687" spans="1:24">
      <c r="A14687">
        <f>HYPERLINK("https://www.philgeps.gov.ph/GEPSNONPILOT/Tender/SplashBidNoticeAbstractUI.aspx?menuIndex=3&amp;refID=6994164&amp;Result=3","6994164")</f>
        <v>0</v>
      </c>
      <c r="B14687" t="s">
        <v>454</v>
      </c>
      <c r="C14687" t="s">
        <v>17257</v>
      </c>
      <c r="D14687" t="s">
        <v>18024</v>
      </c>
      <c r="E14687" t="s">
        <v>30876</v>
      </c>
      <c r="F14687" t="s">
        <v>31574</v>
      </c>
      <c r="G14687" t="s">
        <v>31582</v>
      </c>
      <c r="H14687" t="s">
        <v>31591</v>
      </c>
      <c r="I14687" t="s">
        <v>8822</v>
      </c>
      <c r="J14687" t="s">
        <v>40713</v>
      </c>
      <c r="K14687" t="s">
        <v>41192</v>
      </c>
      <c r="M14687" t="s">
        <v>43720</v>
      </c>
      <c r="N14687" t="s">
        <v>45095</v>
      </c>
      <c r="O14687" t="s">
        <v>45096</v>
      </c>
      <c r="Q14687">
        <v>1</v>
      </c>
      <c r="R14687" t="s">
        <v>45130</v>
      </c>
      <c r="S14687" t="s">
        <v>46229</v>
      </c>
      <c r="T14687" t="s">
        <v>47076</v>
      </c>
      <c r="U14687" t="s">
        <v>59300</v>
      </c>
      <c r="V14687" t="s">
        <v>61490</v>
      </c>
      <c r="W14687" t="s">
        <v>43720</v>
      </c>
      <c r="X14687" t="s">
        <v>45131</v>
      </c>
    </row>
    <row r="14688" spans="1:24">
      <c r="A14688">
        <f>HYPERLINK("https://www.philgeps.gov.ph/GEPSNONPILOT/Tender/SplashBidNoticeAbstractUI.aspx?menuIndex=3&amp;refID=6992790&amp;Result=3","6992790")</f>
        <v>0</v>
      </c>
      <c r="B14688" t="s">
        <v>553</v>
      </c>
      <c r="C14688" t="s">
        <v>17258</v>
      </c>
      <c r="D14688" t="s">
        <v>18022</v>
      </c>
      <c r="E14688" t="s">
        <v>30877</v>
      </c>
      <c r="F14688" t="s">
        <v>31574</v>
      </c>
      <c r="G14688" t="s">
        <v>31582</v>
      </c>
      <c r="H14688" t="s">
        <v>31590</v>
      </c>
      <c r="I14688" t="s">
        <v>31615</v>
      </c>
      <c r="J14688" t="s">
        <v>40714</v>
      </c>
      <c r="K14688" t="s">
        <v>41184</v>
      </c>
      <c r="M14688" t="s">
        <v>43994</v>
      </c>
      <c r="N14688" t="s">
        <v>45095</v>
      </c>
      <c r="O14688" t="s">
        <v>45096</v>
      </c>
      <c r="Q14688">
        <v>14</v>
      </c>
      <c r="R14688" t="s">
        <v>45130</v>
      </c>
      <c r="S14688" t="s">
        <v>46230</v>
      </c>
      <c r="T14688" t="s">
        <v>46985</v>
      </c>
      <c r="U14688" t="s">
        <v>59301</v>
      </c>
      <c r="V14688" t="s">
        <v>60684</v>
      </c>
      <c r="W14688" t="s">
        <v>43994</v>
      </c>
      <c r="X14688" t="s">
        <v>45131</v>
      </c>
    </row>
    <row r="14689" spans="1:24">
      <c r="A14689">
        <f>HYPERLINK("https://www.philgeps.gov.ph/GEPSNONPILOT/Tender/SplashBidNoticeAbstractUI.aspx?menuIndex=3&amp;refID=6992830&amp;Result=3","6992830")</f>
        <v>0</v>
      </c>
      <c r="B14689" t="s">
        <v>255</v>
      </c>
      <c r="C14689" t="s">
        <v>17259</v>
      </c>
      <c r="D14689" t="s">
        <v>18082</v>
      </c>
      <c r="E14689" t="s">
        <v>30878</v>
      </c>
      <c r="F14689" t="s">
        <v>31574</v>
      </c>
      <c r="G14689" t="s">
        <v>31582</v>
      </c>
      <c r="H14689" t="s">
        <v>31591</v>
      </c>
      <c r="I14689" t="s">
        <v>8822</v>
      </c>
      <c r="J14689" t="s">
        <v>34707</v>
      </c>
      <c r="K14689" t="s">
        <v>41272</v>
      </c>
      <c r="M14689" t="s">
        <v>41741</v>
      </c>
      <c r="N14689" t="s">
        <v>45095</v>
      </c>
      <c r="O14689" t="s">
        <v>45096</v>
      </c>
      <c r="Q14689">
        <v>0</v>
      </c>
      <c r="R14689" t="s">
        <v>45130</v>
      </c>
      <c r="S14689" t="s">
        <v>46231</v>
      </c>
      <c r="T14689" t="s">
        <v>47159</v>
      </c>
      <c r="U14689" t="s">
        <v>59302</v>
      </c>
      <c r="V14689" t="s">
        <v>61491</v>
      </c>
      <c r="W14689" t="s">
        <v>41741</v>
      </c>
      <c r="X14689" t="s">
        <v>45131</v>
      </c>
    </row>
    <row r="14690" spans="1:24">
      <c r="A14690">
        <f>HYPERLINK("https://www.philgeps.gov.ph/GEPSNONPILOT/Tender/SplashBidNoticeAbstractUI.aspx?menuIndex=3&amp;refID=6989801&amp;Result=3","6989801")</f>
        <v>0</v>
      </c>
      <c r="B14690" t="s">
        <v>307</v>
      </c>
      <c r="C14690" t="s">
        <v>17260</v>
      </c>
      <c r="D14690" t="s">
        <v>18066</v>
      </c>
      <c r="E14690" t="s">
        <v>18749</v>
      </c>
      <c r="F14690" t="s">
        <v>31575</v>
      </c>
      <c r="G14690" t="s">
        <v>31582</v>
      </c>
      <c r="H14690" t="s">
        <v>31591</v>
      </c>
      <c r="I14690" t="s">
        <v>8822</v>
      </c>
      <c r="J14690" t="s">
        <v>40715</v>
      </c>
      <c r="K14690" t="s">
        <v>41241</v>
      </c>
      <c r="L14690" t="s">
        <v>307</v>
      </c>
      <c r="M14690" t="s">
        <v>41793</v>
      </c>
      <c r="N14690" t="s">
        <v>45095</v>
      </c>
      <c r="O14690" t="s">
        <v>45096</v>
      </c>
      <c r="Q14690">
        <v>0</v>
      </c>
      <c r="R14690" t="s">
        <v>45132</v>
      </c>
      <c r="S14690" t="s">
        <v>45782</v>
      </c>
      <c r="T14690" t="s">
        <v>47000</v>
      </c>
      <c r="U14690" t="s">
        <v>59303</v>
      </c>
      <c r="W14690" t="s">
        <v>41793</v>
      </c>
      <c r="X14690" t="s">
        <v>45134</v>
      </c>
    </row>
    <row r="14691" spans="1:24">
      <c r="A14691">
        <f>HYPERLINK("https://www.philgeps.gov.ph/GEPSNONPILOT/Tender/SplashBidNoticeAbstractUI.aspx?menuIndex=3&amp;refID=6989765&amp;Result=3","6989765")</f>
        <v>0</v>
      </c>
      <c r="B14691" t="s">
        <v>307</v>
      </c>
      <c r="C14691" t="s">
        <v>17261</v>
      </c>
      <c r="D14691" t="s">
        <v>18066</v>
      </c>
      <c r="E14691" t="s">
        <v>18749</v>
      </c>
      <c r="F14691" t="s">
        <v>31575</v>
      </c>
      <c r="G14691" t="s">
        <v>31582</v>
      </c>
      <c r="H14691" t="s">
        <v>31590</v>
      </c>
      <c r="I14691" t="s">
        <v>5222</v>
      </c>
      <c r="J14691" t="s">
        <v>34537</v>
      </c>
      <c r="K14691" t="s">
        <v>41190</v>
      </c>
      <c r="L14691" t="s">
        <v>307</v>
      </c>
      <c r="M14691" t="s">
        <v>41793</v>
      </c>
      <c r="N14691" t="s">
        <v>45095</v>
      </c>
      <c r="O14691" t="s">
        <v>45096</v>
      </c>
      <c r="Q14691">
        <v>0</v>
      </c>
      <c r="R14691" t="s">
        <v>45132</v>
      </c>
      <c r="S14691" t="s">
        <v>46232</v>
      </c>
      <c r="T14691" t="s">
        <v>47000</v>
      </c>
      <c r="U14691" t="s">
        <v>59304</v>
      </c>
      <c r="W14691" t="s">
        <v>41793</v>
      </c>
      <c r="X14691" t="s">
        <v>45134</v>
      </c>
    </row>
    <row r="14692" spans="1:24">
      <c r="A14692">
        <f>HYPERLINK("https://www.philgeps.gov.ph/GEPSNONPILOT/Tender/SplashBidNoticeAbstractUI.aspx?menuIndex=3&amp;refID=6994072&amp;Result=3","6994072")</f>
        <v>0</v>
      </c>
      <c r="B14692" t="s">
        <v>2837</v>
      </c>
      <c r="C14692" t="s">
        <v>17262</v>
      </c>
      <c r="D14692" t="s">
        <v>18065</v>
      </c>
      <c r="E14692" t="s">
        <v>30879</v>
      </c>
      <c r="F14692" t="s">
        <v>31574</v>
      </c>
      <c r="G14692" t="s">
        <v>31582</v>
      </c>
      <c r="H14692" t="s">
        <v>31591</v>
      </c>
      <c r="I14692" t="s">
        <v>8822</v>
      </c>
      <c r="J14692" t="s">
        <v>37018</v>
      </c>
      <c r="K14692" t="s">
        <v>41184</v>
      </c>
      <c r="L14692" t="s">
        <v>2837</v>
      </c>
      <c r="M14692" t="s">
        <v>44618</v>
      </c>
      <c r="N14692" t="s">
        <v>45095</v>
      </c>
      <c r="O14692" t="s">
        <v>45096</v>
      </c>
      <c r="Q14692">
        <v>4</v>
      </c>
      <c r="R14692" t="s">
        <v>45130</v>
      </c>
      <c r="S14692" t="s">
        <v>46233</v>
      </c>
      <c r="T14692" t="s">
        <v>46973</v>
      </c>
      <c r="U14692" t="s">
        <v>59305</v>
      </c>
      <c r="V14692" t="s">
        <v>61054</v>
      </c>
      <c r="W14692" t="s">
        <v>44618</v>
      </c>
      <c r="X14692" t="s">
        <v>45131</v>
      </c>
    </row>
    <row r="14693" spans="1:24">
      <c r="A14693">
        <f>HYPERLINK("https://www.philgeps.gov.ph/GEPSNONPILOT/Tender/SplashBidNoticeAbstractUI.aspx?menuIndex=3&amp;refID=6994159&amp;Result=3","6994159")</f>
        <v>0</v>
      </c>
      <c r="B14693" t="s">
        <v>2837</v>
      </c>
      <c r="C14693" t="s">
        <v>17263</v>
      </c>
      <c r="D14693" t="s">
        <v>18065</v>
      </c>
      <c r="E14693" t="s">
        <v>30880</v>
      </c>
      <c r="F14693" t="s">
        <v>31574</v>
      </c>
      <c r="G14693" t="s">
        <v>31582</v>
      </c>
      <c r="H14693" t="s">
        <v>31591</v>
      </c>
      <c r="I14693" t="s">
        <v>8822</v>
      </c>
      <c r="J14693" t="s">
        <v>40656</v>
      </c>
      <c r="K14693" t="s">
        <v>41184</v>
      </c>
      <c r="L14693" t="s">
        <v>2837</v>
      </c>
      <c r="M14693" t="s">
        <v>44618</v>
      </c>
      <c r="N14693" t="s">
        <v>45095</v>
      </c>
      <c r="O14693" t="s">
        <v>45096</v>
      </c>
      <c r="Q14693">
        <v>0</v>
      </c>
      <c r="R14693" t="s">
        <v>45130</v>
      </c>
      <c r="S14693" t="s">
        <v>46234</v>
      </c>
      <c r="T14693" t="s">
        <v>46973</v>
      </c>
      <c r="U14693" t="s">
        <v>59298</v>
      </c>
      <c r="V14693" t="s">
        <v>61054</v>
      </c>
      <c r="W14693" t="s">
        <v>44618</v>
      </c>
      <c r="X14693" t="s">
        <v>45131</v>
      </c>
    </row>
    <row r="14694" spans="1:24">
      <c r="A14694">
        <f>HYPERLINK("https://www.philgeps.gov.ph/GEPSNONPILOT/Tender/SplashBidNoticeAbstractUI.aspx?menuIndex=3&amp;refID=6993598&amp;Result=3","6993598")</f>
        <v>0</v>
      </c>
      <c r="B14694" t="s">
        <v>553</v>
      </c>
      <c r="C14694" t="s">
        <v>17264</v>
      </c>
      <c r="D14694" t="s">
        <v>18022</v>
      </c>
      <c r="E14694" t="s">
        <v>30881</v>
      </c>
      <c r="F14694" t="s">
        <v>31574</v>
      </c>
      <c r="G14694" t="s">
        <v>31582</v>
      </c>
      <c r="H14694" t="s">
        <v>31590</v>
      </c>
      <c r="I14694" t="s">
        <v>31707</v>
      </c>
      <c r="J14694" t="s">
        <v>39045</v>
      </c>
      <c r="K14694" t="s">
        <v>41227</v>
      </c>
      <c r="M14694" t="s">
        <v>44995</v>
      </c>
      <c r="N14694" t="s">
        <v>45095</v>
      </c>
      <c r="O14694" t="s">
        <v>45096</v>
      </c>
      <c r="Q14694">
        <v>9</v>
      </c>
      <c r="R14694" t="s">
        <v>45130</v>
      </c>
      <c r="S14694" t="s">
        <v>46235</v>
      </c>
      <c r="T14694" t="s">
        <v>46963</v>
      </c>
      <c r="U14694" t="s">
        <v>59306</v>
      </c>
      <c r="W14694" t="s">
        <v>44995</v>
      </c>
      <c r="X14694" t="s">
        <v>45131</v>
      </c>
    </row>
    <row r="14695" spans="1:24">
      <c r="A14695">
        <f>HYPERLINK("https://www.philgeps.gov.ph/GEPSNONPILOT/Tender/SplashBidNoticeAbstractUI.aspx?menuIndex=3&amp;refID=6991099&amp;Result=3","6991099")</f>
        <v>0</v>
      </c>
      <c r="B14695" t="s">
        <v>246</v>
      </c>
      <c r="C14695" t="s">
        <v>17265</v>
      </c>
      <c r="D14695" t="s">
        <v>18033</v>
      </c>
      <c r="E14695" t="s">
        <v>30882</v>
      </c>
      <c r="F14695" t="s">
        <v>31574</v>
      </c>
      <c r="G14695" t="s">
        <v>31581</v>
      </c>
      <c r="H14695" t="s">
        <v>31590</v>
      </c>
      <c r="I14695" t="s">
        <v>31626</v>
      </c>
      <c r="J14695" t="s">
        <v>32345</v>
      </c>
      <c r="K14695" t="s">
        <v>41196</v>
      </c>
      <c r="M14695" t="s">
        <v>41732</v>
      </c>
      <c r="N14695" t="s">
        <v>45095</v>
      </c>
      <c r="O14695" t="s">
        <v>45096</v>
      </c>
      <c r="Q14695">
        <v>1</v>
      </c>
      <c r="R14695" t="s">
        <v>45131</v>
      </c>
      <c r="S14695" t="s">
        <v>46236</v>
      </c>
      <c r="T14695" t="s">
        <v>47021</v>
      </c>
      <c r="U14695" t="s">
        <v>59307</v>
      </c>
      <c r="W14695" t="s">
        <v>41732</v>
      </c>
      <c r="X14695" t="s">
        <v>45132</v>
      </c>
    </row>
    <row r="14696" spans="1:24">
      <c r="A14696">
        <f>HYPERLINK("https://www.philgeps.gov.ph/GEPSNONPILOT/Tender/SplashBidNoticeAbstractUI.aspx?menuIndex=3&amp;refID=6989964&amp;Result=3","6989964")</f>
        <v>0</v>
      </c>
      <c r="B14696" t="s">
        <v>726</v>
      </c>
      <c r="C14696" t="s">
        <v>17266</v>
      </c>
      <c r="D14696" t="s">
        <v>18058</v>
      </c>
      <c r="E14696" t="s">
        <v>30883</v>
      </c>
      <c r="F14696" t="s">
        <v>31574</v>
      </c>
      <c r="G14696" t="s">
        <v>31582</v>
      </c>
      <c r="H14696" t="s">
        <v>31590</v>
      </c>
      <c r="I14696" t="s">
        <v>31607</v>
      </c>
      <c r="J14696" t="s">
        <v>32076</v>
      </c>
      <c r="K14696" t="s">
        <v>41185</v>
      </c>
      <c r="M14696" t="s">
        <v>44233</v>
      </c>
      <c r="N14696" t="s">
        <v>45095</v>
      </c>
      <c r="O14696" t="s">
        <v>45096</v>
      </c>
      <c r="Q14696">
        <v>10</v>
      </c>
      <c r="R14696" t="s">
        <v>45132</v>
      </c>
      <c r="S14696" t="s">
        <v>46237</v>
      </c>
      <c r="T14696" t="s">
        <v>47168</v>
      </c>
      <c r="U14696" t="s">
        <v>59308</v>
      </c>
      <c r="W14696" t="s">
        <v>44233</v>
      </c>
      <c r="X14696" t="s">
        <v>45134</v>
      </c>
    </row>
    <row r="14697" spans="1:24">
      <c r="A14697">
        <f>HYPERLINK("https://www.philgeps.gov.ph/GEPSNONPILOT/Tender/SplashBidNoticeAbstractUI.aspx?menuIndex=3&amp;refID=6992405&amp;Result=3","6992405")</f>
        <v>0</v>
      </c>
      <c r="B14697" t="s">
        <v>2209</v>
      </c>
      <c r="C14697" t="s">
        <v>17267</v>
      </c>
      <c r="D14697" t="s">
        <v>18051</v>
      </c>
      <c r="E14697" t="s">
        <v>30884</v>
      </c>
      <c r="F14697" t="s">
        <v>31574</v>
      </c>
      <c r="G14697" t="s">
        <v>31582</v>
      </c>
      <c r="H14697" t="s">
        <v>31590</v>
      </c>
      <c r="I14697" t="s">
        <v>3487</v>
      </c>
      <c r="J14697" t="s">
        <v>40716</v>
      </c>
      <c r="K14697" t="s">
        <v>41194</v>
      </c>
      <c r="M14697" t="s">
        <v>45000</v>
      </c>
      <c r="N14697" t="s">
        <v>45095</v>
      </c>
      <c r="O14697" t="s">
        <v>45096</v>
      </c>
      <c r="Q14697">
        <v>10</v>
      </c>
      <c r="R14697" t="s">
        <v>45131</v>
      </c>
      <c r="S14697" t="s">
        <v>46238</v>
      </c>
      <c r="T14697" t="s">
        <v>47176</v>
      </c>
      <c r="U14697" t="s">
        <v>59309</v>
      </c>
      <c r="V14697" t="s">
        <v>61492</v>
      </c>
      <c r="W14697" t="s">
        <v>45000</v>
      </c>
      <c r="X14697" t="s">
        <v>45132</v>
      </c>
    </row>
    <row r="14698" spans="1:24">
      <c r="A14698">
        <f>HYPERLINK("https://www.philgeps.gov.ph/GEPSNONPILOT/Tender/SplashBidNoticeAbstractUI.aspx?menuIndex=3&amp;refID=6985985&amp;Result=3","6985985")</f>
        <v>0</v>
      </c>
      <c r="B14698" t="s">
        <v>670</v>
      </c>
      <c r="C14698" t="s">
        <v>17268</v>
      </c>
      <c r="E14698" t="s">
        <v>30885</v>
      </c>
      <c r="F14698" t="s">
        <v>31574</v>
      </c>
      <c r="G14698" t="s">
        <v>31582</v>
      </c>
      <c r="H14698" t="s">
        <v>31590</v>
      </c>
      <c r="I14698" t="s">
        <v>31608</v>
      </c>
      <c r="J14698" t="s">
        <v>40717</v>
      </c>
      <c r="K14698" t="s">
        <v>41200</v>
      </c>
      <c r="M14698" t="s">
        <v>45001</v>
      </c>
      <c r="N14698" t="s">
        <v>45095</v>
      </c>
      <c r="O14698" t="s">
        <v>45096</v>
      </c>
      <c r="Q14698">
        <v>17</v>
      </c>
      <c r="R14698" t="s">
        <v>45133</v>
      </c>
      <c r="S14698" t="s">
        <v>45765</v>
      </c>
      <c r="T14698" t="s">
        <v>46914</v>
      </c>
      <c r="U14698" t="s">
        <v>59310</v>
      </c>
      <c r="W14698" t="s">
        <v>45001</v>
      </c>
      <c r="X14698" t="s">
        <v>45139</v>
      </c>
    </row>
    <row r="14699" spans="1:24">
      <c r="A14699">
        <f>HYPERLINK("https://www.philgeps.gov.ph/GEPSNONPILOT/Tender/SplashBidNoticeAbstractUI.aspx?menuIndex=3&amp;refID=6990891&amp;Result=3","6990891")</f>
        <v>0</v>
      </c>
      <c r="B14699" t="s">
        <v>3145</v>
      </c>
      <c r="C14699" t="s">
        <v>17269</v>
      </c>
      <c r="D14699" t="s">
        <v>18022</v>
      </c>
      <c r="E14699" t="s">
        <v>30886</v>
      </c>
      <c r="F14699" t="s">
        <v>31574</v>
      </c>
      <c r="G14699" t="s">
        <v>31581</v>
      </c>
      <c r="H14699" t="s">
        <v>31590</v>
      </c>
      <c r="I14699" t="s">
        <v>3487</v>
      </c>
      <c r="J14699" t="s">
        <v>40718</v>
      </c>
      <c r="K14699" t="s">
        <v>41270</v>
      </c>
      <c r="M14699" t="s">
        <v>45002</v>
      </c>
      <c r="N14699" t="s">
        <v>45095</v>
      </c>
      <c r="O14699" t="s">
        <v>45096</v>
      </c>
      <c r="P14699">
        <v>0</v>
      </c>
      <c r="Q14699">
        <v>2</v>
      </c>
      <c r="R14699" t="s">
        <v>45131</v>
      </c>
      <c r="S14699" t="s">
        <v>46239</v>
      </c>
      <c r="T14699" t="s">
        <v>47179</v>
      </c>
      <c r="U14699" t="s">
        <v>59311</v>
      </c>
      <c r="W14699" t="s">
        <v>45002</v>
      </c>
      <c r="X14699" t="s">
        <v>45132</v>
      </c>
    </row>
    <row r="14700" spans="1:24">
      <c r="A14700">
        <f>HYPERLINK("https://www.philgeps.gov.ph/GEPSNONPILOT/Tender/SplashBidNoticeAbstractUI.aspx?menuIndex=3&amp;refID=6985789&amp;Result=3","6985789")</f>
        <v>0</v>
      </c>
      <c r="B14700" t="s">
        <v>1573</v>
      </c>
      <c r="C14700" t="s">
        <v>17270</v>
      </c>
      <c r="D14700" t="s">
        <v>18023</v>
      </c>
      <c r="E14700" t="s">
        <v>30887</v>
      </c>
      <c r="F14700" t="s">
        <v>31574</v>
      </c>
      <c r="G14700" t="s">
        <v>31584</v>
      </c>
      <c r="H14700" t="s">
        <v>31590</v>
      </c>
      <c r="I14700" t="s">
        <v>31626</v>
      </c>
      <c r="J14700" t="s">
        <v>40719</v>
      </c>
      <c r="K14700" t="s">
        <v>41186</v>
      </c>
      <c r="M14700" t="s">
        <v>43176</v>
      </c>
      <c r="N14700" t="s">
        <v>45095</v>
      </c>
      <c r="O14700" t="s">
        <v>45096</v>
      </c>
      <c r="Q14700">
        <v>2</v>
      </c>
      <c r="R14700" t="s">
        <v>45133</v>
      </c>
      <c r="S14700" t="s">
        <v>46240</v>
      </c>
      <c r="T14700" t="s">
        <v>46979</v>
      </c>
      <c r="U14700" t="s">
        <v>59312</v>
      </c>
      <c r="W14700" t="s">
        <v>43176</v>
      </c>
      <c r="X14700" t="s">
        <v>45139</v>
      </c>
    </row>
    <row r="14701" spans="1:24">
      <c r="A14701">
        <f>HYPERLINK("https://www.philgeps.gov.ph/GEPSNONPILOT/Tender/SplashBidNoticeAbstractUI.aspx?menuIndex=3&amp;refID=6989571&amp;Result=3","6989571")</f>
        <v>0</v>
      </c>
      <c r="B14701" t="s">
        <v>726</v>
      </c>
      <c r="C14701" t="s">
        <v>17271</v>
      </c>
      <c r="D14701" t="s">
        <v>18058</v>
      </c>
      <c r="E14701" t="s">
        <v>30888</v>
      </c>
      <c r="F14701" t="s">
        <v>31574</v>
      </c>
      <c r="G14701" t="s">
        <v>31582</v>
      </c>
      <c r="H14701" t="s">
        <v>31590</v>
      </c>
      <c r="I14701" t="s">
        <v>31676</v>
      </c>
      <c r="J14701" t="s">
        <v>40720</v>
      </c>
      <c r="K14701" t="s">
        <v>41192</v>
      </c>
      <c r="M14701" t="s">
        <v>44233</v>
      </c>
      <c r="N14701" t="s">
        <v>45095</v>
      </c>
      <c r="O14701" t="s">
        <v>45096</v>
      </c>
      <c r="Q14701">
        <v>4</v>
      </c>
      <c r="R14701" t="s">
        <v>45132</v>
      </c>
      <c r="S14701" t="s">
        <v>46241</v>
      </c>
      <c r="T14701" t="s">
        <v>47168</v>
      </c>
      <c r="U14701" t="s">
        <v>59313</v>
      </c>
      <c r="W14701" t="s">
        <v>44233</v>
      </c>
      <c r="X14701" t="s">
        <v>45134</v>
      </c>
    </row>
    <row r="14702" spans="1:24">
      <c r="A14702">
        <f>HYPERLINK("https://www.philgeps.gov.ph/GEPSNONPILOT/Tender/SplashBidNoticeAbstractUI.aspx?menuIndex=3&amp;refID=6986257&amp;Result=3","6986257")</f>
        <v>0</v>
      </c>
      <c r="B14702" t="s">
        <v>2227</v>
      </c>
      <c r="C14702" t="s">
        <v>17272</v>
      </c>
      <c r="E14702" t="s">
        <v>30889</v>
      </c>
      <c r="F14702" t="s">
        <v>31574</v>
      </c>
      <c r="G14702" t="s">
        <v>31582</v>
      </c>
      <c r="H14702" t="s">
        <v>31591</v>
      </c>
      <c r="I14702" t="s">
        <v>8822</v>
      </c>
      <c r="J14702" t="s">
        <v>40721</v>
      </c>
      <c r="K14702" t="s">
        <v>41184</v>
      </c>
      <c r="M14702" t="s">
        <v>43920</v>
      </c>
      <c r="N14702" t="s">
        <v>45095</v>
      </c>
      <c r="O14702" t="s">
        <v>45096</v>
      </c>
      <c r="Q14702">
        <v>10</v>
      </c>
      <c r="R14702" t="s">
        <v>45133</v>
      </c>
      <c r="S14702" t="s">
        <v>46242</v>
      </c>
      <c r="T14702" t="s">
        <v>46922</v>
      </c>
      <c r="U14702" t="s">
        <v>59314</v>
      </c>
      <c r="W14702" t="s">
        <v>61731</v>
      </c>
      <c r="X14702" t="s">
        <v>45139</v>
      </c>
    </row>
    <row r="14703" spans="1:24">
      <c r="A14703">
        <f>HYPERLINK("https://www.philgeps.gov.ph/GEPSNONPILOT/Tender/SplashBidNoticeAbstractUI.aspx?menuIndex=3&amp;refID=6991058&amp;Result=3","6991058")</f>
        <v>0</v>
      </c>
      <c r="B14703" t="s">
        <v>246</v>
      </c>
      <c r="C14703" t="s">
        <v>17273</v>
      </c>
      <c r="D14703" t="s">
        <v>18033</v>
      </c>
      <c r="E14703" t="s">
        <v>30890</v>
      </c>
      <c r="F14703" t="s">
        <v>31574</v>
      </c>
      <c r="G14703" t="s">
        <v>31581</v>
      </c>
      <c r="H14703" t="s">
        <v>31590</v>
      </c>
      <c r="I14703" t="s">
        <v>3487</v>
      </c>
      <c r="J14703" t="s">
        <v>32290</v>
      </c>
      <c r="K14703" t="s">
        <v>41196</v>
      </c>
      <c r="M14703" t="s">
        <v>41732</v>
      </c>
      <c r="N14703" t="s">
        <v>45095</v>
      </c>
      <c r="O14703" t="s">
        <v>45096</v>
      </c>
      <c r="Q14703">
        <v>2</v>
      </c>
      <c r="R14703" t="s">
        <v>45131</v>
      </c>
      <c r="S14703" t="s">
        <v>45460</v>
      </c>
      <c r="T14703" t="s">
        <v>47021</v>
      </c>
      <c r="U14703" t="s">
        <v>59315</v>
      </c>
      <c r="W14703" t="s">
        <v>41732</v>
      </c>
      <c r="X14703" t="s">
        <v>45132</v>
      </c>
    </row>
    <row r="14704" spans="1:24">
      <c r="A14704">
        <f>HYPERLINK("https://www.philgeps.gov.ph/GEPSNONPILOT/Tender/SplashBidNoticeAbstractUI.aspx?menuIndex=3&amp;refID=6989721&amp;Result=3","6989721")</f>
        <v>0</v>
      </c>
      <c r="B14704" t="s">
        <v>307</v>
      </c>
      <c r="C14704" t="s">
        <v>17274</v>
      </c>
      <c r="D14704" t="s">
        <v>18066</v>
      </c>
      <c r="E14704" t="s">
        <v>18749</v>
      </c>
      <c r="F14704" t="s">
        <v>31575</v>
      </c>
      <c r="G14704" t="s">
        <v>31582</v>
      </c>
      <c r="H14704" t="s">
        <v>31591</v>
      </c>
      <c r="I14704" t="s">
        <v>8822</v>
      </c>
      <c r="J14704" t="s">
        <v>36342</v>
      </c>
      <c r="K14704" t="s">
        <v>41194</v>
      </c>
      <c r="L14704" t="s">
        <v>307</v>
      </c>
      <c r="M14704" t="s">
        <v>41793</v>
      </c>
      <c r="N14704" t="s">
        <v>45095</v>
      </c>
      <c r="O14704" t="s">
        <v>45096</v>
      </c>
      <c r="Q14704">
        <v>0</v>
      </c>
      <c r="R14704" t="s">
        <v>45132</v>
      </c>
      <c r="S14704" t="s">
        <v>46243</v>
      </c>
      <c r="T14704" t="s">
        <v>47000</v>
      </c>
      <c r="U14704" t="s">
        <v>59316</v>
      </c>
      <c r="W14704" t="s">
        <v>41793</v>
      </c>
      <c r="X14704" t="s">
        <v>45134</v>
      </c>
    </row>
    <row r="14705" spans="1:24">
      <c r="A14705">
        <f>HYPERLINK("https://www.philgeps.gov.ph/GEPSNONPILOT/Tender/SplashBidNoticeAbstractUI.aspx?menuIndex=3&amp;refID=6985832&amp;Result=3","6985832")</f>
        <v>0</v>
      </c>
      <c r="B14705" t="s">
        <v>726</v>
      </c>
      <c r="C14705" t="s">
        <v>17275</v>
      </c>
      <c r="D14705" t="s">
        <v>18058</v>
      </c>
      <c r="E14705" t="s">
        <v>30891</v>
      </c>
      <c r="F14705" t="s">
        <v>31574</v>
      </c>
      <c r="G14705" t="s">
        <v>31582</v>
      </c>
      <c r="H14705" t="s">
        <v>31590</v>
      </c>
      <c r="I14705" t="s">
        <v>31661</v>
      </c>
      <c r="J14705" t="s">
        <v>40722</v>
      </c>
      <c r="K14705" t="s">
        <v>41185</v>
      </c>
      <c r="M14705" t="s">
        <v>44233</v>
      </c>
      <c r="N14705" t="s">
        <v>45095</v>
      </c>
      <c r="O14705" t="s">
        <v>45096</v>
      </c>
      <c r="Q14705">
        <v>8</v>
      </c>
      <c r="R14705" t="s">
        <v>45133</v>
      </c>
      <c r="S14705" t="s">
        <v>46244</v>
      </c>
      <c r="T14705" t="s">
        <v>47197</v>
      </c>
      <c r="U14705" t="s">
        <v>59317</v>
      </c>
      <c r="W14705" t="s">
        <v>44233</v>
      </c>
      <c r="X14705" t="s">
        <v>45139</v>
      </c>
    </row>
    <row r="14706" spans="1:24">
      <c r="A14706">
        <f>HYPERLINK("https://www.philgeps.gov.ph/GEPSNONPILOT/Tender/SplashBidNoticeAbstractUI.aspx?menuIndex=3&amp;refID=6933556&amp;Result=3","6933556")</f>
        <v>0</v>
      </c>
      <c r="B14706" t="s">
        <v>1617</v>
      </c>
      <c r="C14706" t="s">
        <v>17276</v>
      </c>
      <c r="E14706" t="s">
        <v>30892</v>
      </c>
      <c r="F14706" t="s">
        <v>31574</v>
      </c>
      <c r="G14706" t="s">
        <v>31582</v>
      </c>
      <c r="H14706" t="s">
        <v>31591</v>
      </c>
      <c r="I14706" t="s">
        <v>8822</v>
      </c>
      <c r="J14706" t="s">
        <v>40723</v>
      </c>
      <c r="K14706" t="s">
        <v>41184</v>
      </c>
      <c r="M14706" t="s">
        <v>44987</v>
      </c>
      <c r="N14706" t="s">
        <v>45095</v>
      </c>
      <c r="O14706" t="s">
        <v>45096</v>
      </c>
      <c r="Q14706">
        <v>1</v>
      </c>
      <c r="R14706" t="s">
        <v>45133</v>
      </c>
      <c r="S14706" t="s">
        <v>46245</v>
      </c>
      <c r="T14706" t="s">
        <v>47159</v>
      </c>
      <c r="U14706" t="s">
        <v>59318</v>
      </c>
      <c r="W14706" t="s">
        <v>44987</v>
      </c>
      <c r="X14706" t="s">
        <v>45171</v>
      </c>
    </row>
    <row r="14707" spans="1:24">
      <c r="A14707">
        <f>HYPERLINK("https://www.philgeps.gov.ph/GEPSNONPILOT/Tender/SplashBidNoticeAbstractUI.aspx?menuIndex=3&amp;refID=6988609&amp;Result=3","6988609")</f>
        <v>0</v>
      </c>
      <c r="B14707" t="s">
        <v>776</v>
      </c>
      <c r="C14707" t="s">
        <v>17277</v>
      </c>
      <c r="E14707" t="s">
        <v>30893</v>
      </c>
      <c r="F14707" t="s">
        <v>31574</v>
      </c>
      <c r="G14707" t="s">
        <v>31582</v>
      </c>
      <c r="H14707" t="s">
        <v>31593</v>
      </c>
      <c r="I14707" t="s">
        <v>31593</v>
      </c>
      <c r="J14707" t="s">
        <v>40724</v>
      </c>
      <c r="K14707" t="s">
        <v>41184</v>
      </c>
      <c r="M14707" t="s">
        <v>45003</v>
      </c>
      <c r="N14707" t="s">
        <v>45095</v>
      </c>
      <c r="O14707" t="s">
        <v>45096</v>
      </c>
      <c r="Q14707">
        <v>9</v>
      </c>
      <c r="R14707" t="s">
        <v>45134</v>
      </c>
      <c r="S14707" t="s">
        <v>46246</v>
      </c>
      <c r="T14707" t="s">
        <v>46985</v>
      </c>
      <c r="U14707" t="s">
        <v>59319</v>
      </c>
      <c r="W14707" t="s">
        <v>45003</v>
      </c>
      <c r="X14707" t="s">
        <v>45133</v>
      </c>
    </row>
    <row r="14708" spans="1:24">
      <c r="A14708">
        <f>HYPERLINK("https://www.philgeps.gov.ph/GEPSNONPILOT/Tender/SplashBidNoticeAbstractUI.aspx?menuIndex=3&amp;refID=6985726&amp;Result=3","6985726")</f>
        <v>0</v>
      </c>
      <c r="B14708" t="s">
        <v>726</v>
      </c>
      <c r="C14708" t="s">
        <v>17278</v>
      </c>
      <c r="D14708" t="s">
        <v>18058</v>
      </c>
      <c r="E14708" t="s">
        <v>30894</v>
      </c>
      <c r="F14708" t="s">
        <v>31574</v>
      </c>
      <c r="G14708" t="s">
        <v>31582</v>
      </c>
      <c r="H14708" t="s">
        <v>31590</v>
      </c>
      <c r="I14708" t="s">
        <v>31607</v>
      </c>
      <c r="J14708" t="s">
        <v>40725</v>
      </c>
      <c r="K14708" t="s">
        <v>41185</v>
      </c>
      <c r="M14708" t="s">
        <v>44233</v>
      </c>
      <c r="N14708" t="s">
        <v>45095</v>
      </c>
      <c r="O14708" t="s">
        <v>45096</v>
      </c>
      <c r="Q14708">
        <v>10</v>
      </c>
      <c r="R14708" t="s">
        <v>45133</v>
      </c>
      <c r="S14708" t="s">
        <v>46247</v>
      </c>
      <c r="T14708" t="s">
        <v>47197</v>
      </c>
      <c r="U14708" t="s">
        <v>59320</v>
      </c>
      <c r="W14708" t="s">
        <v>44233</v>
      </c>
      <c r="X14708" t="s">
        <v>45139</v>
      </c>
    </row>
    <row r="14709" spans="1:24">
      <c r="A14709">
        <f>HYPERLINK("https://www.philgeps.gov.ph/GEPSNONPILOT/Tender/SplashBidNoticeAbstractUI.aspx?menuIndex=3&amp;refID=6983544&amp;Result=3","6983544")</f>
        <v>0</v>
      </c>
      <c r="B14709" t="s">
        <v>726</v>
      </c>
      <c r="C14709" t="s">
        <v>17279</v>
      </c>
      <c r="E14709" t="s">
        <v>30895</v>
      </c>
      <c r="F14709" t="s">
        <v>31574</v>
      </c>
      <c r="G14709" t="s">
        <v>31582</v>
      </c>
      <c r="H14709" t="s">
        <v>31590</v>
      </c>
      <c r="I14709" t="s">
        <v>31607</v>
      </c>
      <c r="J14709" t="s">
        <v>40726</v>
      </c>
      <c r="K14709" t="s">
        <v>41184</v>
      </c>
      <c r="M14709" t="s">
        <v>44233</v>
      </c>
      <c r="N14709" t="s">
        <v>45095</v>
      </c>
      <c r="O14709" t="s">
        <v>45096</v>
      </c>
      <c r="Q14709">
        <v>9</v>
      </c>
      <c r="R14709" t="s">
        <v>45133</v>
      </c>
      <c r="S14709" t="s">
        <v>46248</v>
      </c>
      <c r="T14709" t="s">
        <v>47197</v>
      </c>
      <c r="U14709" t="s">
        <v>59321</v>
      </c>
      <c r="W14709" t="s">
        <v>44233</v>
      </c>
      <c r="X14709" t="s">
        <v>45138</v>
      </c>
    </row>
    <row r="14710" spans="1:24">
      <c r="A14710">
        <f>HYPERLINK("https://www.philgeps.gov.ph/GEPSNONPILOT/Tender/SplashBidNoticeAbstractUI.aspx?menuIndex=3&amp;refID=6986802&amp;Result=3","6986802")</f>
        <v>0</v>
      </c>
      <c r="B14710" t="s">
        <v>2229</v>
      </c>
      <c r="C14710" t="s">
        <v>17280</v>
      </c>
      <c r="D14710" t="s">
        <v>18079</v>
      </c>
      <c r="E14710" t="s">
        <v>30896</v>
      </c>
      <c r="F14710" t="s">
        <v>31574</v>
      </c>
      <c r="G14710" t="s">
        <v>31582</v>
      </c>
      <c r="H14710" t="s">
        <v>31593</v>
      </c>
      <c r="I14710" t="s">
        <v>8822</v>
      </c>
      <c r="J14710" t="s">
        <v>40727</v>
      </c>
      <c r="K14710" t="s">
        <v>41256</v>
      </c>
      <c r="L14710" t="s">
        <v>2229</v>
      </c>
      <c r="M14710" t="s">
        <v>43922</v>
      </c>
      <c r="N14710" t="s">
        <v>45095</v>
      </c>
      <c r="O14710" t="s">
        <v>45096</v>
      </c>
      <c r="Q14710">
        <v>3</v>
      </c>
      <c r="R14710" t="s">
        <v>45133</v>
      </c>
      <c r="S14710" t="s">
        <v>46249</v>
      </c>
      <c r="T14710" t="s">
        <v>46979</v>
      </c>
      <c r="U14710" t="s">
        <v>59322</v>
      </c>
      <c r="W14710" t="s">
        <v>43922</v>
      </c>
      <c r="X14710" t="s">
        <v>45139</v>
      </c>
    </row>
    <row r="14711" spans="1:24">
      <c r="A14711">
        <f>HYPERLINK("https://www.philgeps.gov.ph/GEPSNONPILOT/Tender/SplashBidNoticeAbstractUI.aspx?menuIndex=3&amp;refID=6986787&amp;Result=3","6986787")</f>
        <v>0</v>
      </c>
      <c r="B14711" t="s">
        <v>2229</v>
      </c>
      <c r="C14711" t="s">
        <v>17281</v>
      </c>
      <c r="D14711" t="s">
        <v>18079</v>
      </c>
      <c r="E14711" t="s">
        <v>30897</v>
      </c>
      <c r="F14711" t="s">
        <v>31574</v>
      </c>
      <c r="G14711" t="s">
        <v>31582</v>
      </c>
      <c r="H14711" t="s">
        <v>31593</v>
      </c>
      <c r="I14711" t="s">
        <v>8822</v>
      </c>
      <c r="J14711" t="s">
        <v>40728</v>
      </c>
      <c r="K14711" t="s">
        <v>41342</v>
      </c>
      <c r="L14711" t="s">
        <v>2229</v>
      </c>
      <c r="M14711" t="s">
        <v>43922</v>
      </c>
      <c r="N14711" t="s">
        <v>45095</v>
      </c>
      <c r="O14711" t="s">
        <v>45096</v>
      </c>
      <c r="Q14711">
        <v>4</v>
      </c>
      <c r="R14711" t="s">
        <v>45133</v>
      </c>
      <c r="S14711" t="s">
        <v>46250</v>
      </c>
      <c r="T14711" t="s">
        <v>46979</v>
      </c>
      <c r="U14711" t="s">
        <v>59322</v>
      </c>
      <c r="W14711" t="s">
        <v>43922</v>
      </c>
      <c r="X14711" t="s">
        <v>45139</v>
      </c>
    </row>
    <row r="14712" spans="1:24">
      <c r="A14712">
        <f>HYPERLINK("https://www.philgeps.gov.ph/GEPSNONPILOT/Tender/SplashBidNoticeAbstractUI.aspx?menuIndex=3&amp;refID=6987993&amp;Result=3","6987993")</f>
        <v>0</v>
      </c>
      <c r="B14712" t="s">
        <v>670</v>
      </c>
      <c r="C14712" t="s">
        <v>17282</v>
      </c>
      <c r="E14712" t="s">
        <v>30898</v>
      </c>
      <c r="F14712" t="s">
        <v>31574</v>
      </c>
      <c r="G14712" t="s">
        <v>31582</v>
      </c>
      <c r="H14712" t="s">
        <v>31590</v>
      </c>
      <c r="I14712" t="s">
        <v>31608</v>
      </c>
      <c r="J14712" t="s">
        <v>32550</v>
      </c>
      <c r="K14712" t="s">
        <v>41200</v>
      </c>
      <c r="M14712" t="s">
        <v>45001</v>
      </c>
      <c r="N14712" t="s">
        <v>45095</v>
      </c>
      <c r="O14712" t="s">
        <v>45096</v>
      </c>
      <c r="Q14712">
        <v>29</v>
      </c>
      <c r="R14712" t="s">
        <v>45134</v>
      </c>
      <c r="S14712" t="s">
        <v>45765</v>
      </c>
      <c r="T14712" t="s">
        <v>46914</v>
      </c>
      <c r="U14712" t="s">
        <v>59323</v>
      </c>
      <c r="W14712" t="s">
        <v>45001</v>
      </c>
      <c r="X14712" t="s">
        <v>45133</v>
      </c>
    </row>
    <row r="14713" spans="1:24">
      <c r="A14713">
        <f>HYPERLINK("https://www.philgeps.gov.ph/GEPSNONPILOT/Tender/SplashBidNoticeAbstractUI.aspx?menuIndex=3&amp;refID=6989148&amp;Result=3","6989148")</f>
        <v>0</v>
      </c>
      <c r="B14713" t="s">
        <v>2092</v>
      </c>
      <c r="C14713" t="s">
        <v>17283</v>
      </c>
      <c r="D14713" t="s">
        <v>18030</v>
      </c>
      <c r="E14713" t="s">
        <v>30899</v>
      </c>
      <c r="F14713" t="s">
        <v>31574</v>
      </c>
      <c r="G14713" t="s">
        <v>31582</v>
      </c>
      <c r="H14713" t="s">
        <v>31592</v>
      </c>
      <c r="I14713" t="s">
        <v>3487</v>
      </c>
      <c r="J14713" t="s">
        <v>40729</v>
      </c>
      <c r="K14713" t="s">
        <v>41192</v>
      </c>
      <c r="M14713" t="s">
        <v>43900</v>
      </c>
      <c r="N14713" t="s">
        <v>45095</v>
      </c>
      <c r="O14713" t="s">
        <v>45096</v>
      </c>
      <c r="Q14713">
        <v>5</v>
      </c>
      <c r="R14713" t="s">
        <v>45135</v>
      </c>
      <c r="S14713" t="s">
        <v>46251</v>
      </c>
      <c r="T14713" t="s">
        <v>47154</v>
      </c>
      <c r="U14713" t="s">
        <v>53298</v>
      </c>
      <c r="V14713" t="s">
        <v>60604</v>
      </c>
      <c r="W14713" t="s">
        <v>43900</v>
      </c>
      <c r="X14713" t="s">
        <v>45134</v>
      </c>
    </row>
    <row r="14714" spans="1:24">
      <c r="A14714">
        <f>HYPERLINK("https://www.philgeps.gov.ph/GEPSNONPILOT/Tender/SplashBidNoticeAbstractUI.aspx?menuIndex=3&amp;refID=6986391&amp;Result=3","6986391")</f>
        <v>0</v>
      </c>
      <c r="B14714" t="s">
        <v>3146</v>
      </c>
      <c r="C14714" t="s">
        <v>17284</v>
      </c>
      <c r="D14714" t="s">
        <v>18053</v>
      </c>
      <c r="E14714" t="s">
        <v>30900</v>
      </c>
      <c r="F14714" t="s">
        <v>31574</v>
      </c>
      <c r="G14714" t="s">
        <v>31582</v>
      </c>
      <c r="H14714" t="s">
        <v>31591</v>
      </c>
      <c r="I14714" t="s">
        <v>31640</v>
      </c>
      <c r="J14714" t="s">
        <v>31781</v>
      </c>
      <c r="K14714" t="s">
        <v>41200</v>
      </c>
      <c r="M14714" t="s">
        <v>45004</v>
      </c>
      <c r="N14714" t="s">
        <v>45095</v>
      </c>
      <c r="O14714" t="s">
        <v>45096</v>
      </c>
      <c r="Q14714">
        <v>11</v>
      </c>
      <c r="R14714" t="s">
        <v>45133</v>
      </c>
      <c r="S14714" t="s">
        <v>46252</v>
      </c>
      <c r="T14714" t="s">
        <v>47440</v>
      </c>
      <c r="U14714" t="s">
        <v>59324</v>
      </c>
      <c r="W14714" t="s">
        <v>45004</v>
      </c>
      <c r="X14714" t="s">
        <v>45139</v>
      </c>
    </row>
    <row r="14715" spans="1:24">
      <c r="A14715">
        <f>HYPERLINK("https://www.philgeps.gov.ph/GEPSNONPILOT/Tender/SplashBidNoticeAbstractUI.aspx?menuIndex=3&amp;refID=6986926&amp;Result=3","6986926")</f>
        <v>0</v>
      </c>
      <c r="B14715" t="s">
        <v>726</v>
      </c>
      <c r="C14715" t="s">
        <v>17285</v>
      </c>
      <c r="D14715" t="s">
        <v>18058</v>
      </c>
      <c r="E14715" t="s">
        <v>30901</v>
      </c>
      <c r="F14715" t="s">
        <v>31574</v>
      </c>
      <c r="G14715" t="s">
        <v>31582</v>
      </c>
      <c r="H14715" t="s">
        <v>31590</v>
      </c>
      <c r="I14715" t="s">
        <v>31708</v>
      </c>
      <c r="J14715" t="s">
        <v>40730</v>
      </c>
      <c r="K14715" t="s">
        <v>41192</v>
      </c>
      <c r="M14715" t="s">
        <v>44233</v>
      </c>
      <c r="N14715" t="s">
        <v>45095</v>
      </c>
      <c r="O14715" t="s">
        <v>45096</v>
      </c>
      <c r="Q14715">
        <v>12</v>
      </c>
      <c r="R14715" t="s">
        <v>45133</v>
      </c>
      <c r="S14715" t="s">
        <v>46253</v>
      </c>
      <c r="T14715" t="s">
        <v>47197</v>
      </c>
      <c r="U14715" t="s">
        <v>59325</v>
      </c>
      <c r="W14715" t="s">
        <v>44233</v>
      </c>
      <c r="X14715" t="s">
        <v>45139</v>
      </c>
    </row>
    <row r="14716" spans="1:24">
      <c r="A14716">
        <f>HYPERLINK("https://www.philgeps.gov.ph/GEPSNONPILOT/Tender/SplashBidNoticeAbstractUI.aspx?menuIndex=3&amp;refID=6986036&amp;Result=3","6986036")</f>
        <v>0</v>
      </c>
      <c r="B14716" t="s">
        <v>2092</v>
      </c>
      <c r="C14716" t="s">
        <v>17286</v>
      </c>
      <c r="D14716" t="s">
        <v>18030</v>
      </c>
      <c r="E14716" t="s">
        <v>30902</v>
      </c>
      <c r="F14716" t="s">
        <v>31574</v>
      </c>
      <c r="G14716" t="s">
        <v>31582</v>
      </c>
      <c r="H14716" t="s">
        <v>31592</v>
      </c>
      <c r="I14716" t="s">
        <v>31705</v>
      </c>
      <c r="J14716" t="s">
        <v>40731</v>
      </c>
      <c r="K14716" t="s">
        <v>41235</v>
      </c>
      <c r="M14716" t="s">
        <v>43900</v>
      </c>
      <c r="N14716" t="s">
        <v>45095</v>
      </c>
      <c r="O14716" t="s">
        <v>45096</v>
      </c>
      <c r="Q14716">
        <v>6</v>
      </c>
      <c r="R14716" t="s">
        <v>45135</v>
      </c>
      <c r="S14716" t="s">
        <v>46254</v>
      </c>
      <c r="T14716" t="s">
        <v>46933</v>
      </c>
      <c r="U14716" t="s">
        <v>53298</v>
      </c>
      <c r="V14716" t="s">
        <v>61176</v>
      </c>
      <c r="W14716" t="s">
        <v>43900</v>
      </c>
      <c r="X14716" t="s">
        <v>45139</v>
      </c>
    </row>
    <row r="14717" spans="1:24">
      <c r="A14717">
        <f>HYPERLINK("https://www.philgeps.gov.ph/GEPSNONPILOT/Tender/SplashBidNoticeAbstractUI.aspx?menuIndex=3&amp;refID=6989512&amp;Result=3","6989512")</f>
        <v>0</v>
      </c>
      <c r="B14717" t="s">
        <v>776</v>
      </c>
      <c r="C14717" t="s">
        <v>17287</v>
      </c>
      <c r="E14717" t="s">
        <v>30903</v>
      </c>
      <c r="F14717" t="s">
        <v>31574</v>
      </c>
      <c r="G14717" t="s">
        <v>31582</v>
      </c>
      <c r="H14717" t="s">
        <v>31593</v>
      </c>
      <c r="I14717" t="s">
        <v>31593</v>
      </c>
      <c r="J14717" t="s">
        <v>40732</v>
      </c>
      <c r="K14717" t="s">
        <v>41184</v>
      </c>
      <c r="M14717" t="s">
        <v>45003</v>
      </c>
      <c r="N14717" t="s">
        <v>45095</v>
      </c>
      <c r="O14717" t="s">
        <v>45096</v>
      </c>
      <c r="Q14717">
        <v>12</v>
      </c>
      <c r="R14717" t="s">
        <v>45135</v>
      </c>
      <c r="S14717" t="s">
        <v>46255</v>
      </c>
      <c r="T14717" t="s">
        <v>46985</v>
      </c>
      <c r="U14717" t="s">
        <v>59326</v>
      </c>
      <c r="W14717" t="s">
        <v>45003</v>
      </c>
      <c r="X14717" t="s">
        <v>45134</v>
      </c>
    </row>
    <row r="14718" spans="1:24">
      <c r="A14718">
        <f>HYPERLINK("https://www.philgeps.gov.ph/GEPSNONPILOT/Tender/SplashBidNoticeAbstractUI.aspx?menuIndex=3&amp;refID=6986862&amp;Result=3","6986862")</f>
        <v>0</v>
      </c>
      <c r="B14718" t="s">
        <v>670</v>
      </c>
      <c r="C14718" t="s">
        <v>17288</v>
      </c>
      <c r="D14718" t="s">
        <v>18022</v>
      </c>
      <c r="E14718" t="s">
        <v>30904</v>
      </c>
      <c r="F14718" t="s">
        <v>31574</v>
      </c>
      <c r="G14718" t="s">
        <v>31582</v>
      </c>
      <c r="H14718" t="s">
        <v>31590</v>
      </c>
      <c r="I14718" t="s">
        <v>31610</v>
      </c>
      <c r="J14718" t="s">
        <v>32986</v>
      </c>
      <c r="K14718" t="s">
        <v>41192</v>
      </c>
      <c r="M14718" t="s">
        <v>45005</v>
      </c>
      <c r="N14718" t="s">
        <v>45095</v>
      </c>
      <c r="O14718" t="s">
        <v>45096</v>
      </c>
      <c r="Q14718">
        <v>21</v>
      </c>
      <c r="R14718" t="s">
        <v>45133</v>
      </c>
      <c r="S14718" t="s">
        <v>46256</v>
      </c>
      <c r="T14718" t="s">
        <v>46985</v>
      </c>
      <c r="U14718" t="s">
        <v>59327</v>
      </c>
      <c r="W14718" t="s">
        <v>45005</v>
      </c>
      <c r="X14718" t="s">
        <v>45139</v>
      </c>
    </row>
    <row r="14719" spans="1:24">
      <c r="A14719">
        <f>HYPERLINK("https://www.philgeps.gov.ph/GEPSNONPILOT/Tender/SplashBidNoticeAbstractUI.aspx?menuIndex=3&amp;refID=6968873&amp;Result=3","6968873")</f>
        <v>0</v>
      </c>
      <c r="B14719" t="s">
        <v>443</v>
      </c>
      <c r="C14719" t="s">
        <v>17289</v>
      </c>
      <c r="D14719" t="s">
        <v>18062</v>
      </c>
      <c r="E14719" t="s">
        <v>30905</v>
      </c>
      <c r="F14719" t="s">
        <v>31574</v>
      </c>
      <c r="G14719" t="s">
        <v>31582</v>
      </c>
      <c r="H14719" t="s">
        <v>31591</v>
      </c>
      <c r="I14719" t="s">
        <v>8822</v>
      </c>
      <c r="J14719" t="s">
        <v>32504</v>
      </c>
      <c r="K14719" t="s">
        <v>41203</v>
      </c>
      <c r="M14719" t="s">
        <v>41936</v>
      </c>
      <c r="N14719" t="s">
        <v>45095</v>
      </c>
      <c r="O14719" t="s">
        <v>45096</v>
      </c>
      <c r="Q14719">
        <v>3</v>
      </c>
      <c r="R14719" t="s">
        <v>45136</v>
      </c>
      <c r="S14719" t="s">
        <v>46257</v>
      </c>
      <c r="T14719" t="s">
        <v>46926</v>
      </c>
      <c r="U14719" t="s">
        <v>48351</v>
      </c>
      <c r="V14719" t="s">
        <v>61493</v>
      </c>
      <c r="W14719" t="s">
        <v>41936</v>
      </c>
      <c r="X14719" t="s">
        <v>45146</v>
      </c>
    </row>
    <row r="14720" spans="1:24">
      <c r="A14720">
        <f>HYPERLINK("https://www.philgeps.gov.ph/GEPSNONPILOT/Tender/SplashBidNoticeAbstractUI.aspx?menuIndex=3&amp;refID=6986798&amp;Result=3","6986798")</f>
        <v>0</v>
      </c>
      <c r="B14720" t="s">
        <v>2229</v>
      </c>
      <c r="C14720" t="s">
        <v>17290</v>
      </c>
      <c r="D14720" t="s">
        <v>18079</v>
      </c>
      <c r="E14720" t="s">
        <v>30906</v>
      </c>
      <c r="F14720" t="s">
        <v>31574</v>
      </c>
      <c r="G14720" t="s">
        <v>31582</v>
      </c>
      <c r="H14720" t="s">
        <v>31593</v>
      </c>
      <c r="I14720" t="s">
        <v>8822</v>
      </c>
      <c r="J14720" t="s">
        <v>40733</v>
      </c>
      <c r="K14720" t="s">
        <v>41342</v>
      </c>
      <c r="L14720" t="s">
        <v>2229</v>
      </c>
      <c r="M14720" t="s">
        <v>43922</v>
      </c>
      <c r="N14720" t="s">
        <v>45095</v>
      </c>
      <c r="O14720" t="s">
        <v>45096</v>
      </c>
      <c r="Q14720">
        <v>2</v>
      </c>
      <c r="R14720" t="s">
        <v>45133</v>
      </c>
      <c r="S14720" t="s">
        <v>46258</v>
      </c>
      <c r="T14720" t="s">
        <v>46979</v>
      </c>
      <c r="U14720" t="s">
        <v>59328</v>
      </c>
      <c r="W14720" t="s">
        <v>43922</v>
      </c>
      <c r="X14720" t="s">
        <v>45139</v>
      </c>
    </row>
    <row r="14721" spans="1:24">
      <c r="A14721">
        <f>HYPERLINK("https://www.philgeps.gov.ph/GEPSNONPILOT/Tender/SplashBidNoticeAbstractUI.aspx?menuIndex=3&amp;refID=6979027&amp;Result=3","6979027")</f>
        <v>0</v>
      </c>
      <c r="B14721" t="s">
        <v>598</v>
      </c>
      <c r="C14721" t="s">
        <v>17291</v>
      </c>
      <c r="D14721" t="s">
        <v>18022</v>
      </c>
      <c r="E14721" t="s">
        <v>30907</v>
      </c>
      <c r="F14721" t="s">
        <v>31574</v>
      </c>
      <c r="G14721" t="s">
        <v>31581</v>
      </c>
      <c r="H14721" t="s">
        <v>31590</v>
      </c>
      <c r="I14721" t="s">
        <v>8258</v>
      </c>
      <c r="J14721" t="s">
        <v>31741</v>
      </c>
      <c r="K14721" t="s">
        <v>41193</v>
      </c>
      <c r="M14721" t="s">
        <v>42101</v>
      </c>
      <c r="N14721" t="s">
        <v>45095</v>
      </c>
      <c r="O14721" t="s">
        <v>45096</v>
      </c>
      <c r="Q14721">
        <v>1</v>
      </c>
      <c r="R14721" t="s">
        <v>45137</v>
      </c>
      <c r="S14721" t="s">
        <v>46259</v>
      </c>
      <c r="T14721" t="s">
        <v>47067</v>
      </c>
      <c r="U14721" t="s">
        <v>59329</v>
      </c>
      <c r="V14721" t="s">
        <v>59987</v>
      </c>
      <c r="W14721" t="s">
        <v>42101</v>
      </c>
      <c r="X14721" t="s">
        <v>45140</v>
      </c>
    </row>
    <row r="14722" spans="1:24">
      <c r="A14722">
        <f>HYPERLINK("https://www.philgeps.gov.ph/GEPSNONPILOT/Tender/SplashBidNoticeAbstractUI.aspx?menuIndex=3&amp;refID=6986404&amp;Result=3","6986404")</f>
        <v>0</v>
      </c>
      <c r="B14722" t="s">
        <v>598</v>
      </c>
      <c r="C14722" t="s">
        <v>17292</v>
      </c>
      <c r="D14722" t="s">
        <v>18022</v>
      </c>
      <c r="E14722" t="s">
        <v>30908</v>
      </c>
      <c r="F14722" t="s">
        <v>31574</v>
      </c>
      <c r="G14722" t="s">
        <v>31581</v>
      </c>
      <c r="H14722" t="s">
        <v>31590</v>
      </c>
      <c r="I14722" t="s">
        <v>31620</v>
      </c>
      <c r="J14722" t="s">
        <v>32375</v>
      </c>
      <c r="K14722" t="s">
        <v>41193</v>
      </c>
      <c r="M14722" t="s">
        <v>42101</v>
      </c>
      <c r="N14722" t="s">
        <v>45095</v>
      </c>
      <c r="O14722" t="s">
        <v>45096</v>
      </c>
      <c r="Q14722">
        <v>5</v>
      </c>
      <c r="R14722" t="s">
        <v>45133</v>
      </c>
      <c r="S14722" t="s">
        <v>46260</v>
      </c>
      <c r="T14722" t="s">
        <v>47067</v>
      </c>
      <c r="U14722" t="s">
        <v>59330</v>
      </c>
      <c r="V14722" t="s">
        <v>59987</v>
      </c>
      <c r="W14722" t="s">
        <v>42101</v>
      </c>
      <c r="X14722" t="s">
        <v>45139</v>
      </c>
    </row>
    <row r="14723" spans="1:24">
      <c r="A14723">
        <f>HYPERLINK("https://www.philgeps.gov.ph/GEPSNONPILOT/Tender/SplashBidNoticeAbstractUI.aspx?menuIndex=3&amp;refID=6968920&amp;Result=3","6968920")</f>
        <v>0</v>
      </c>
      <c r="B14723" t="s">
        <v>443</v>
      </c>
      <c r="C14723" t="s">
        <v>17293</v>
      </c>
      <c r="D14723" t="s">
        <v>18062</v>
      </c>
      <c r="E14723" t="s">
        <v>30909</v>
      </c>
      <c r="F14723" t="s">
        <v>31574</v>
      </c>
      <c r="G14723" t="s">
        <v>31582</v>
      </c>
      <c r="H14723" t="s">
        <v>31591</v>
      </c>
      <c r="I14723" t="s">
        <v>8822</v>
      </c>
      <c r="J14723" t="s">
        <v>32526</v>
      </c>
      <c r="K14723" t="s">
        <v>41203</v>
      </c>
      <c r="M14723" t="s">
        <v>41936</v>
      </c>
      <c r="N14723" t="s">
        <v>45095</v>
      </c>
      <c r="O14723" t="s">
        <v>45096</v>
      </c>
      <c r="Q14723">
        <v>2</v>
      </c>
      <c r="R14723" t="s">
        <v>45136</v>
      </c>
      <c r="S14723" t="s">
        <v>46261</v>
      </c>
      <c r="T14723" t="s">
        <v>46926</v>
      </c>
      <c r="U14723" t="s">
        <v>48351</v>
      </c>
      <c r="V14723" t="s">
        <v>61494</v>
      </c>
      <c r="W14723" t="s">
        <v>41936</v>
      </c>
      <c r="X14723" t="s">
        <v>45146</v>
      </c>
    </row>
    <row r="14724" spans="1:24">
      <c r="A14724">
        <f>HYPERLINK("https://www.philgeps.gov.ph/GEPSNONPILOT/Tender/SplashBidNoticeAbstractUI.aspx?menuIndex=3&amp;refID=6979366&amp;Result=3","6979366")</f>
        <v>0</v>
      </c>
      <c r="B14724" t="s">
        <v>3147</v>
      </c>
      <c r="C14724" t="s">
        <v>17294</v>
      </c>
      <c r="D14724" t="s">
        <v>18022</v>
      </c>
      <c r="E14724" t="s">
        <v>30910</v>
      </c>
      <c r="F14724" t="s">
        <v>31574</v>
      </c>
      <c r="G14724" t="s">
        <v>31582</v>
      </c>
      <c r="H14724" t="s">
        <v>31590</v>
      </c>
      <c r="I14724" t="s">
        <v>31608</v>
      </c>
      <c r="J14724" t="s">
        <v>40734</v>
      </c>
      <c r="K14724" t="s">
        <v>41186</v>
      </c>
      <c r="M14724" t="s">
        <v>45006</v>
      </c>
      <c r="N14724" t="s">
        <v>45095</v>
      </c>
      <c r="O14724" t="s">
        <v>45096</v>
      </c>
      <c r="Q14724">
        <v>23</v>
      </c>
      <c r="R14724" t="s">
        <v>45137</v>
      </c>
      <c r="S14724" t="s">
        <v>46262</v>
      </c>
      <c r="T14724" t="s">
        <v>47441</v>
      </c>
      <c r="U14724" t="s">
        <v>59331</v>
      </c>
      <c r="W14724" t="s">
        <v>45006</v>
      </c>
      <c r="X14724" t="s">
        <v>45140</v>
      </c>
    </row>
    <row r="14725" spans="1:24">
      <c r="A14725">
        <f>HYPERLINK("https://www.philgeps.gov.ph/GEPSNONPILOT/Tender/SplashBidNoticeAbstractUI.aspx?menuIndex=3&amp;refID=6982935&amp;Result=3","6982935")</f>
        <v>0</v>
      </c>
      <c r="B14725" t="s">
        <v>313</v>
      </c>
      <c r="C14725" t="s">
        <v>17295</v>
      </c>
      <c r="D14725" t="s">
        <v>18039</v>
      </c>
      <c r="E14725" t="s">
        <v>30911</v>
      </c>
      <c r="F14725" t="s">
        <v>31574</v>
      </c>
      <c r="G14725" t="s">
        <v>31582</v>
      </c>
      <c r="H14725" t="s">
        <v>31590</v>
      </c>
      <c r="I14725" t="s">
        <v>14544</v>
      </c>
      <c r="J14725" t="s">
        <v>32085</v>
      </c>
      <c r="K14725" t="s">
        <v>41189</v>
      </c>
      <c r="M14725" t="s">
        <v>44792</v>
      </c>
      <c r="N14725" t="s">
        <v>45095</v>
      </c>
      <c r="O14725" t="s">
        <v>45096</v>
      </c>
      <c r="Q14725">
        <v>3</v>
      </c>
      <c r="R14725" t="s">
        <v>45138</v>
      </c>
      <c r="S14725" t="s">
        <v>46263</v>
      </c>
      <c r="T14725" t="s">
        <v>47021</v>
      </c>
      <c r="U14725" t="s">
        <v>59332</v>
      </c>
      <c r="W14725" t="s">
        <v>44792</v>
      </c>
      <c r="X14725" t="s">
        <v>61783</v>
      </c>
    </row>
    <row r="14726" spans="1:24">
      <c r="A14726">
        <f>HYPERLINK("https://www.philgeps.gov.ph/GEPSNONPILOT/Tender/SplashBidNoticeAbstractUI.aspx?menuIndex=3&amp;refID=6979678&amp;Result=3","6979678")</f>
        <v>0</v>
      </c>
      <c r="B14726" t="s">
        <v>1032</v>
      </c>
      <c r="C14726" t="s">
        <v>17296</v>
      </c>
      <c r="D14726" t="s">
        <v>18022</v>
      </c>
      <c r="E14726" t="s">
        <v>30912</v>
      </c>
      <c r="F14726" t="s">
        <v>31574</v>
      </c>
      <c r="G14726" t="s">
        <v>31582</v>
      </c>
      <c r="H14726" t="s">
        <v>31590</v>
      </c>
      <c r="I14726" t="s">
        <v>31599</v>
      </c>
      <c r="J14726" t="s">
        <v>40735</v>
      </c>
      <c r="K14726" t="s">
        <v>41185</v>
      </c>
      <c r="M14726" t="s">
        <v>42573</v>
      </c>
      <c r="N14726" t="s">
        <v>45095</v>
      </c>
      <c r="O14726" t="s">
        <v>45096</v>
      </c>
      <c r="Q14726">
        <v>3</v>
      </c>
      <c r="R14726" t="s">
        <v>45137</v>
      </c>
      <c r="S14726" t="s">
        <v>46230</v>
      </c>
      <c r="T14726" t="s">
        <v>46920</v>
      </c>
      <c r="U14726" t="s">
        <v>49811</v>
      </c>
      <c r="W14726" t="s">
        <v>42573</v>
      </c>
      <c r="X14726" t="s">
        <v>45140</v>
      </c>
    </row>
    <row r="14727" spans="1:24">
      <c r="A14727">
        <f>HYPERLINK("https://www.philgeps.gov.ph/GEPSNONPILOT/Tender/SplashBidNoticeAbstractUI.aspx?menuIndex=3&amp;refID=6989000&amp;Result=3","6989000")</f>
        <v>0</v>
      </c>
      <c r="B14727" t="s">
        <v>59</v>
      </c>
      <c r="C14727" t="s">
        <v>17297</v>
      </c>
      <c r="D14727" t="s">
        <v>18048</v>
      </c>
      <c r="E14727" t="s">
        <v>30913</v>
      </c>
      <c r="F14727" t="s">
        <v>31574</v>
      </c>
      <c r="G14727" t="s">
        <v>31581</v>
      </c>
      <c r="H14727" t="s">
        <v>31590</v>
      </c>
      <c r="I14727" t="s">
        <v>31623</v>
      </c>
      <c r="J14727" t="s">
        <v>35780</v>
      </c>
      <c r="K14727" t="s">
        <v>41186</v>
      </c>
      <c r="M14727" t="s">
        <v>43751</v>
      </c>
      <c r="N14727" t="s">
        <v>45095</v>
      </c>
      <c r="O14727" t="s">
        <v>45096</v>
      </c>
      <c r="Q14727">
        <v>0</v>
      </c>
      <c r="R14727" t="s">
        <v>45135</v>
      </c>
      <c r="S14727" t="s">
        <v>45369</v>
      </c>
      <c r="T14727" t="s">
        <v>46941</v>
      </c>
      <c r="U14727" t="s">
        <v>59333</v>
      </c>
      <c r="V14727" t="s">
        <v>61495</v>
      </c>
      <c r="W14727" t="s">
        <v>43751</v>
      </c>
      <c r="X14727" t="s">
        <v>45134</v>
      </c>
    </row>
    <row r="14728" spans="1:24">
      <c r="A14728">
        <f>HYPERLINK("https://www.philgeps.gov.ph/GEPSNONPILOT/Tender/SplashBidNoticeAbstractUI.aspx?menuIndex=3&amp;refID=6982607&amp;Result=3","6982607")</f>
        <v>0</v>
      </c>
      <c r="B14728" t="s">
        <v>313</v>
      </c>
      <c r="C14728" t="s">
        <v>17298</v>
      </c>
      <c r="D14728" t="s">
        <v>18039</v>
      </c>
      <c r="E14728" t="s">
        <v>17298</v>
      </c>
      <c r="F14728" t="s">
        <v>31574</v>
      </c>
      <c r="G14728" t="s">
        <v>31582</v>
      </c>
      <c r="H14728" t="s">
        <v>31590</v>
      </c>
      <c r="I14728" t="s">
        <v>31607</v>
      </c>
      <c r="J14728" t="s">
        <v>32361</v>
      </c>
      <c r="K14728" t="s">
        <v>41196</v>
      </c>
      <c r="M14728" t="s">
        <v>44792</v>
      </c>
      <c r="N14728" t="s">
        <v>45095</v>
      </c>
      <c r="O14728" t="s">
        <v>45096</v>
      </c>
      <c r="Q14728">
        <v>11</v>
      </c>
      <c r="R14728" t="s">
        <v>45138</v>
      </c>
      <c r="S14728" t="s">
        <v>46264</v>
      </c>
      <c r="T14728" t="s">
        <v>47077</v>
      </c>
      <c r="U14728" t="s">
        <v>59334</v>
      </c>
      <c r="W14728" t="s">
        <v>44792</v>
      </c>
      <c r="X14728" t="s">
        <v>61783</v>
      </c>
    </row>
    <row r="14729" spans="1:24">
      <c r="A14729">
        <f>HYPERLINK("https://www.philgeps.gov.ph/GEPSNONPILOT/Tender/SplashBidNoticeAbstractUI.aspx?menuIndex=3&amp;refID=6979525&amp;Result=3","6979525")</f>
        <v>0</v>
      </c>
      <c r="B14729" t="s">
        <v>3148</v>
      </c>
      <c r="C14729" t="s">
        <v>17299</v>
      </c>
      <c r="D14729" t="s">
        <v>18041</v>
      </c>
      <c r="E14729" t="s">
        <v>30914</v>
      </c>
      <c r="F14729" t="s">
        <v>31574</v>
      </c>
      <c r="G14729" t="s">
        <v>31582</v>
      </c>
      <c r="H14729" t="s">
        <v>31590</v>
      </c>
      <c r="I14729" t="s">
        <v>31619</v>
      </c>
      <c r="J14729" t="s">
        <v>40253</v>
      </c>
      <c r="K14729" t="s">
        <v>41186</v>
      </c>
      <c r="M14729" t="s">
        <v>45007</v>
      </c>
      <c r="N14729" t="s">
        <v>45095</v>
      </c>
      <c r="O14729" t="s">
        <v>45096</v>
      </c>
      <c r="Q14729">
        <v>9</v>
      </c>
      <c r="R14729" t="s">
        <v>45137</v>
      </c>
      <c r="S14729" t="s">
        <v>46265</v>
      </c>
      <c r="T14729" t="s">
        <v>47125</v>
      </c>
      <c r="U14729" t="s">
        <v>59335</v>
      </c>
      <c r="W14729" t="s">
        <v>45007</v>
      </c>
      <c r="X14729" t="s">
        <v>45140</v>
      </c>
    </row>
    <row r="14730" spans="1:24">
      <c r="A14730">
        <f>HYPERLINK("https://www.philgeps.gov.ph/GEPSNONPILOT/Tender/SplashBidNoticeAbstractUI.aspx?menuIndex=3&amp;refID=6979713&amp;Result=3","6979713")</f>
        <v>0</v>
      </c>
      <c r="B14730" t="s">
        <v>1032</v>
      </c>
      <c r="C14730" t="s">
        <v>17300</v>
      </c>
      <c r="D14730" t="s">
        <v>18075</v>
      </c>
      <c r="E14730" t="s">
        <v>30915</v>
      </c>
      <c r="F14730" t="s">
        <v>31574</v>
      </c>
      <c r="G14730" t="s">
        <v>31582</v>
      </c>
      <c r="H14730" t="s">
        <v>31591</v>
      </c>
      <c r="I14730" t="s">
        <v>8822</v>
      </c>
      <c r="J14730" t="s">
        <v>32026</v>
      </c>
      <c r="K14730" t="s">
        <v>41263</v>
      </c>
      <c r="M14730" t="s">
        <v>42573</v>
      </c>
      <c r="N14730" t="s">
        <v>45095</v>
      </c>
      <c r="O14730" t="s">
        <v>45096</v>
      </c>
      <c r="Q14730">
        <v>9</v>
      </c>
      <c r="R14730" t="s">
        <v>45137</v>
      </c>
      <c r="S14730" t="s">
        <v>46266</v>
      </c>
      <c r="T14730" t="s">
        <v>46910</v>
      </c>
      <c r="U14730" t="s">
        <v>49811</v>
      </c>
      <c r="W14730" t="s">
        <v>42573</v>
      </c>
      <c r="X14730" t="s">
        <v>45140</v>
      </c>
    </row>
    <row r="14731" spans="1:24">
      <c r="A14731">
        <f>HYPERLINK("https://www.philgeps.gov.ph/GEPSNONPILOT/Tender/SplashBidNoticeAbstractUI.aspx?menuIndex=3&amp;refID=6982374&amp;Result=3","6982374")</f>
        <v>0</v>
      </c>
      <c r="B14731" t="s">
        <v>313</v>
      </c>
      <c r="C14731" t="s">
        <v>17301</v>
      </c>
      <c r="D14731" t="s">
        <v>18039</v>
      </c>
      <c r="E14731" t="s">
        <v>30916</v>
      </c>
      <c r="F14731" t="s">
        <v>31574</v>
      </c>
      <c r="G14731" t="s">
        <v>31582</v>
      </c>
      <c r="H14731" t="s">
        <v>31591</v>
      </c>
      <c r="I14731" t="s">
        <v>31663</v>
      </c>
      <c r="J14731" t="s">
        <v>40736</v>
      </c>
      <c r="K14731" t="s">
        <v>41243</v>
      </c>
      <c r="M14731" t="s">
        <v>44792</v>
      </c>
      <c r="N14731" t="s">
        <v>45095</v>
      </c>
      <c r="O14731" t="s">
        <v>45096</v>
      </c>
      <c r="Q14731">
        <v>2</v>
      </c>
      <c r="R14731" t="s">
        <v>45138</v>
      </c>
      <c r="S14731" t="s">
        <v>46267</v>
      </c>
      <c r="T14731" t="s">
        <v>47176</v>
      </c>
      <c r="U14731" t="s">
        <v>59336</v>
      </c>
      <c r="W14731" t="s">
        <v>44792</v>
      </c>
      <c r="X14731" t="s">
        <v>61783</v>
      </c>
    </row>
    <row r="14732" spans="1:24">
      <c r="A14732">
        <f>HYPERLINK("https://www.philgeps.gov.ph/GEPSNONPILOT/Tender/SplashBidNoticeAbstractUI.aspx?menuIndex=3&amp;refID=6984969&amp;Result=3","6984969")</f>
        <v>0</v>
      </c>
      <c r="B14732" t="s">
        <v>2286</v>
      </c>
      <c r="C14732" t="s">
        <v>17302</v>
      </c>
      <c r="D14732" t="s">
        <v>18079</v>
      </c>
      <c r="E14732" t="s">
        <v>30917</v>
      </c>
      <c r="F14732" t="s">
        <v>31574</v>
      </c>
      <c r="G14732" t="s">
        <v>31582</v>
      </c>
      <c r="H14732" t="s">
        <v>31591</v>
      </c>
      <c r="I14732" t="s">
        <v>8822</v>
      </c>
      <c r="J14732" t="s">
        <v>38735</v>
      </c>
      <c r="K14732" t="s">
        <v>41192</v>
      </c>
      <c r="M14732" t="s">
        <v>43993</v>
      </c>
      <c r="N14732" t="s">
        <v>45095</v>
      </c>
      <c r="O14732" t="s">
        <v>45096</v>
      </c>
      <c r="Q14732">
        <v>1</v>
      </c>
      <c r="R14732" t="s">
        <v>45139</v>
      </c>
      <c r="S14732" t="s">
        <v>45561</v>
      </c>
      <c r="T14732" t="s">
        <v>47050</v>
      </c>
      <c r="U14732" t="s">
        <v>59337</v>
      </c>
      <c r="W14732" t="s">
        <v>43993</v>
      </c>
      <c r="X14732" t="s">
        <v>45138</v>
      </c>
    </row>
    <row r="14733" spans="1:24">
      <c r="A14733">
        <f>HYPERLINK("https://www.philgeps.gov.ph/GEPSNONPILOT/Tender/SplashBidNoticeAbstractUI.aspx?menuIndex=3&amp;refID=6979581&amp;Result=3","6979581")</f>
        <v>0</v>
      </c>
      <c r="B14733" t="s">
        <v>1032</v>
      </c>
      <c r="C14733" t="s">
        <v>17303</v>
      </c>
      <c r="D14733" t="s">
        <v>18022</v>
      </c>
      <c r="E14733" t="s">
        <v>30918</v>
      </c>
      <c r="F14733" t="s">
        <v>31574</v>
      </c>
      <c r="G14733" t="s">
        <v>31582</v>
      </c>
      <c r="H14733" t="s">
        <v>31590</v>
      </c>
      <c r="I14733" t="s">
        <v>31641</v>
      </c>
      <c r="J14733" t="s">
        <v>34263</v>
      </c>
      <c r="K14733" t="s">
        <v>41185</v>
      </c>
      <c r="M14733" t="s">
        <v>42573</v>
      </c>
      <c r="N14733" t="s">
        <v>45095</v>
      </c>
      <c r="O14733" t="s">
        <v>45096</v>
      </c>
      <c r="Q14733">
        <v>12</v>
      </c>
      <c r="R14733" t="s">
        <v>45137</v>
      </c>
      <c r="S14733" t="s">
        <v>46268</v>
      </c>
      <c r="T14733" t="s">
        <v>46914</v>
      </c>
      <c r="U14733" t="s">
        <v>49811</v>
      </c>
      <c r="W14733" t="s">
        <v>42573</v>
      </c>
      <c r="X14733" t="s">
        <v>45140</v>
      </c>
    </row>
    <row r="14734" spans="1:24">
      <c r="A14734">
        <f>HYPERLINK("https://www.philgeps.gov.ph/GEPSNONPILOT/Tender/SplashBidNoticeAbstractUI.aspx?menuIndex=3&amp;refID=6982237&amp;Result=3","6982237")</f>
        <v>0</v>
      </c>
      <c r="B14734" t="s">
        <v>313</v>
      </c>
      <c r="C14734" t="s">
        <v>17304</v>
      </c>
      <c r="D14734" t="s">
        <v>18039</v>
      </c>
      <c r="E14734" t="s">
        <v>30919</v>
      </c>
      <c r="F14734" t="s">
        <v>31574</v>
      </c>
      <c r="G14734" t="s">
        <v>31582</v>
      </c>
      <c r="H14734" t="s">
        <v>31590</v>
      </c>
      <c r="I14734" t="s">
        <v>31594</v>
      </c>
      <c r="J14734" t="s">
        <v>32001</v>
      </c>
      <c r="K14734" t="s">
        <v>41186</v>
      </c>
      <c r="M14734" t="s">
        <v>44792</v>
      </c>
      <c r="N14734" t="s">
        <v>45095</v>
      </c>
      <c r="O14734" t="s">
        <v>45096</v>
      </c>
      <c r="Q14734">
        <v>23</v>
      </c>
      <c r="R14734" t="s">
        <v>45138</v>
      </c>
      <c r="S14734" t="s">
        <v>46269</v>
      </c>
      <c r="T14734" t="s">
        <v>47193</v>
      </c>
      <c r="U14734" t="s">
        <v>59338</v>
      </c>
      <c r="W14734" t="s">
        <v>44792</v>
      </c>
      <c r="X14734" t="s">
        <v>61783</v>
      </c>
    </row>
    <row r="14735" spans="1:24">
      <c r="A14735">
        <f>HYPERLINK("https://www.philgeps.gov.ph/GEPSNONPILOT/Tender/SplashBidNoticeAbstractUI.aspx?menuIndex=3&amp;refID=6982524&amp;Result=3","6982524")</f>
        <v>0</v>
      </c>
      <c r="B14735" t="s">
        <v>313</v>
      </c>
      <c r="C14735" t="s">
        <v>17305</v>
      </c>
      <c r="D14735" t="s">
        <v>18039</v>
      </c>
      <c r="E14735" t="s">
        <v>17305</v>
      </c>
      <c r="F14735" t="s">
        <v>31574</v>
      </c>
      <c r="G14735" t="s">
        <v>31582</v>
      </c>
      <c r="H14735" t="s">
        <v>31590</v>
      </c>
      <c r="I14735" t="s">
        <v>31607</v>
      </c>
      <c r="J14735" t="s">
        <v>40737</v>
      </c>
      <c r="K14735" t="s">
        <v>41186</v>
      </c>
      <c r="M14735" t="s">
        <v>44792</v>
      </c>
      <c r="N14735" t="s">
        <v>45095</v>
      </c>
      <c r="O14735" t="s">
        <v>45096</v>
      </c>
      <c r="Q14735">
        <v>11</v>
      </c>
      <c r="R14735" t="s">
        <v>45138</v>
      </c>
      <c r="S14735" t="s">
        <v>46270</v>
      </c>
      <c r="T14735" t="s">
        <v>47276</v>
      </c>
      <c r="U14735" t="s">
        <v>59339</v>
      </c>
      <c r="W14735" t="s">
        <v>44792</v>
      </c>
      <c r="X14735" t="s">
        <v>61783</v>
      </c>
    </row>
    <row r="14736" spans="1:24">
      <c r="A14736">
        <f>HYPERLINK("https://www.philgeps.gov.ph/GEPSNONPILOT/Tender/SplashBidNoticeAbstractUI.aspx?menuIndex=3&amp;refID=6982599&amp;Result=3","6982599")</f>
        <v>0</v>
      </c>
      <c r="B14736" t="s">
        <v>670</v>
      </c>
      <c r="C14736" t="s">
        <v>17306</v>
      </c>
      <c r="E14736" t="s">
        <v>30920</v>
      </c>
      <c r="F14736" t="s">
        <v>31574</v>
      </c>
      <c r="G14736" t="s">
        <v>31582</v>
      </c>
      <c r="H14736" t="s">
        <v>31590</v>
      </c>
      <c r="I14736" t="s">
        <v>31608</v>
      </c>
      <c r="J14736" t="s">
        <v>32120</v>
      </c>
      <c r="K14736" t="s">
        <v>41189</v>
      </c>
      <c r="M14736" t="s">
        <v>45001</v>
      </c>
      <c r="N14736" t="s">
        <v>45095</v>
      </c>
      <c r="O14736" t="s">
        <v>45096</v>
      </c>
      <c r="Q14736">
        <v>16</v>
      </c>
      <c r="R14736" t="s">
        <v>45139</v>
      </c>
      <c r="S14736" t="s">
        <v>45509</v>
      </c>
      <c r="T14736" t="s">
        <v>46985</v>
      </c>
      <c r="U14736" t="s">
        <v>59340</v>
      </c>
      <c r="W14736" t="s">
        <v>45001</v>
      </c>
      <c r="X14736" t="s">
        <v>61783</v>
      </c>
    </row>
    <row r="14737" spans="1:24">
      <c r="A14737">
        <f>HYPERLINK("https://www.philgeps.gov.ph/GEPSNONPILOT/Tender/SplashBidNoticeAbstractUI.aspx?menuIndex=3&amp;refID=6984007&amp;Result=3","6984007")</f>
        <v>0</v>
      </c>
      <c r="B14737" t="s">
        <v>2229</v>
      </c>
      <c r="C14737" t="s">
        <v>17307</v>
      </c>
      <c r="D14737" t="s">
        <v>18079</v>
      </c>
      <c r="E14737" t="s">
        <v>30921</v>
      </c>
      <c r="F14737" t="s">
        <v>31574</v>
      </c>
      <c r="G14737" t="s">
        <v>31582</v>
      </c>
      <c r="H14737" t="s">
        <v>31593</v>
      </c>
      <c r="I14737" t="s">
        <v>8822</v>
      </c>
      <c r="J14737" t="s">
        <v>40738</v>
      </c>
      <c r="K14737" t="s">
        <v>41256</v>
      </c>
      <c r="L14737" t="s">
        <v>2229</v>
      </c>
      <c r="M14737" t="s">
        <v>43922</v>
      </c>
      <c r="N14737" t="s">
        <v>45095</v>
      </c>
      <c r="O14737" t="s">
        <v>45096</v>
      </c>
      <c r="Q14737">
        <v>2</v>
      </c>
      <c r="R14737" t="s">
        <v>45139</v>
      </c>
      <c r="S14737" t="s">
        <v>46271</v>
      </c>
      <c r="T14737" t="s">
        <v>46926</v>
      </c>
      <c r="U14737" t="s">
        <v>59322</v>
      </c>
      <c r="W14737" t="s">
        <v>43922</v>
      </c>
      <c r="X14737" t="s">
        <v>45138</v>
      </c>
    </row>
    <row r="14738" spans="1:24">
      <c r="A14738">
        <f>HYPERLINK("https://www.philgeps.gov.ph/GEPSNONPILOT/Tender/SplashBidNoticeAbstractUI.aspx?menuIndex=3&amp;refID=6979620&amp;Result=3","6979620")</f>
        <v>0</v>
      </c>
      <c r="B14738" t="s">
        <v>1032</v>
      </c>
      <c r="C14738" t="s">
        <v>17308</v>
      </c>
      <c r="D14738" t="s">
        <v>18022</v>
      </c>
      <c r="E14738" t="s">
        <v>30922</v>
      </c>
      <c r="F14738" t="s">
        <v>31574</v>
      </c>
      <c r="G14738" t="s">
        <v>31582</v>
      </c>
      <c r="H14738" t="s">
        <v>31590</v>
      </c>
      <c r="I14738" t="s">
        <v>31641</v>
      </c>
      <c r="J14738" t="s">
        <v>40739</v>
      </c>
      <c r="K14738" t="s">
        <v>41185</v>
      </c>
      <c r="M14738" t="s">
        <v>42573</v>
      </c>
      <c r="N14738" t="s">
        <v>45095</v>
      </c>
      <c r="O14738" t="s">
        <v>45096</v>
      </c>
      <c r="Q14738">
        <v>8</v>
      </c>
      <c r="R14738" t="s">
        <v>45137</v>
      </c>
      <c r="S14738" t="s">
        <v>46266</v>
      </c>
      <c r="T14738" t="s">
        <v>46926</v>
      </c>
      <c r="U14738" t="s">
        <v>49811</v>
      </c>
      <c r="W14738" t="s">
        <v>42573</v>
      </c>
      <c r="X14738" t="s">
        <v>45140</v>
      </c>
    </row>
    <row r="14739" spans="1:24">
      <c r="A14739">
        <f>HYPERLINK("https://www.philgeps.gov.ph/GEPSNONPILOT/Tender/SplashBidNoticeAbstractUI.aspx?menuIndex=3&amp;refID=6978347&amp;Result=3","6978347")</f>
        <v>0</v>
      </c>
      <c r="B14739" t="s">
        <v>181</v>
      </c>
      <c r="C14739" t="s">
        <v>17309</v>
      </c>
      <c r="D14739" t="s">
        <v>18022</v>
      </c>
      <c r="E14739" t="s">
        <v>30923</v>
      </c>
      <c r="F14739" t="s">
        <v>31574</v>
      </c>
      <c r="G14739" t="s">
        <v>31582</v>
      </c>
      <c r="H14739" t="s">
        <v>31590</v>
      </c>
      <c r="I14739" t="s">
        <v>31602</v>
      </c>
      <c r="J14739" t="s">
        <v>40740</v>
      </c>
      <c r="K14739" t="s">
        <v>41281</v>
      </c>
      <c r="M14739" t="s">
        <v>45008</v>
      </c>
      <c r="N14739" t="s">
        <v>45095</v>
      </c>
      <c r="O14739" t="s">
        <v>45096</v>
      </c>
      <c r="Q14739">
        <v>2</v>
      </c>
      <c r="R14739" t="s">
        <v>45140</v>
      </c>
      <c r="S14739" t="s">
        <v>46272</v>
      </c>
      <c r="T14739" t="s">
        <v>46979</v>
      </c>
      <c r="U14739" t="s">
        <v>59341</v>
      </c>
      <c r="W14739" t="s">
        <v>45008</v>
      </c>
      <c r="X14739" t="s">
        <v>45141</v>
      </c>
    </row>
    <row r="14740" spans="1:24">
      <c r="A14740">
        <f>HYPERLINK("https://www.philgeps.gov.ph/GEPSNONPILOT/Tender/SplashBidNoticeAbstractUI.aspx?menuIndex=3&amp;refID=6976716&amp;Result=3","6976716")</f>
        <v>0</v>
      </c>
      <c r="B14740" t="s">
        <v>3149</v>
      </c>
      <c r="C14740" t="s">
        <v>17310</v>
      </c>
      <c r="D14740" t="s">
        <v>18044</v>
      </c>
      <c r="E14740" t="s">
        <v>30924</v>
      </c>
      <c r="F14740" t="s">
        <v>31574</v>
      </c>
      <c r="G14740" t="s">
        <v>31582</v>
      </c>
      <c r="H14740" t="s">
        <v>31591</v>
      </c>
      <c r="I14740" t="s">
        <v>8822</v>
      </c>
      <c r="J14740" t="s">
        <v>40741</v>
      </c>
      <c r="K14740" t="s">
        <v>41200</v>
      </c>
      <c r="M14740" t="s">
        <v>45009</v>
      </c>
      <c r="N14740" t="s">
        <v>45095</v>
      </c>
      <c r="O14740" t="s">
        <v>45096</v>
      </c>
      <c r="Q14740">
        <v>4</v>
      </c>
      <c r="R14740" t="s">
        <v>45141</v>
      </c>
      <c r="S14740" t="s">
        <v>46273</v>
      </c>
      <c r="T14740" t="s">
        <v>47442</v>
      </c>
      <c r="U14740" t="s">
        <v>59342</v>
      </c>
      <c r="W14740" t="s">
        <v>45009</v>
      </c>
      <c r="X14740" t="s">
        <v>45142</v>
      </c>
    </row>
    <row r="14741" spans="1:24">
      <c r="A14741">
        <f>HYPERLINK("https://www.philgeps.gov.ph/GEPSNONPILOT/Tender/SplashBidNoticeAbstractUI.aspx?menuIndex=3&amp;refID=6983745&amp;Result=3","6983745")</f>
        <v>0</v>
      </c>
      <c r="B14741" t="s">
        <v>3150</v>
      </c>
      <c r="C14741" t="s">
        <v>17311</v>
      </c>
      <c r="D14741" t="s">
        <v>18056</v>
      </c>
      <c r="E14741" t="s">
        <v>30925</v>
      </c>
      <c r="F14741" t="s">
        <v>31574</v>
      </c>
      <c r="G14741" t="s">
        <v>31582</v>
      </c>
      <c r="H14741" t="s">
        <v>31593</v>
      </c>
      <c r="I14741" t="s">
        <v>31681</v>
      </c>
      <c r="J14741" t="s">
        <v>40742</v>
      </c>
      <c r="K14741" t="s">
        <v>41243</v>
      </c>
      <c r="M14741" t="s">
        <v>45010</v>
      </c>
      <c r="N14741" t="s">
        <v>45095</v>
      </c>
      <c r="O14741" t="s">
        <v>45096</v>
      </c>
      <c r="P14741">
        <v>0</v>
      </c>
      <c r="Q14741">
        <v>9</v>
      </c>
      <c r="R14741" t="s">
        <v>45139</v>
      </c>
      <c r="S14741" t="s">
        <v>46274</v>
      </c>
      <c r="T14741" t="s">
        <v>47066</v>
      </c>
      <c r="U14741" t="s">
        <v>59343</v>
      </c>
      <c r="W14741" t="s">
        <v>45010</v>
      </c>
      <c r="X14741" t="s">
        <v>45138</v>
      </c>
    </row>
    <row r="14742" spans="1:24">
      <c r="A14742">
        <f>HYPERLINK("https://www.philgeps.gov.ph/GEPSNONPILOT/Tender/SplashBidNoticeAbstractUI.aspx?menuIndex=3&amp;refID=6975430&amp;Result=3","6975430")</f>
        <v>0</v>
      </c>
      <c r="B14742" t="s">
        <v>3151</v>
      </c>
      <c r="C14742" t="s">
        <v>17312</v>
      </c>
      <c r="D14742" t="s">
        <v>18052</v>
      </c>
      <c r="E14742" t="s">
        <v>30926</v>
      </c>
      <c r="F14742" t="s">
        <v>31574</v>
      </c>
      <c r="G14742" t="s">
        <v>31582</v>
      </c>
      <c r="H14742" t="s">
        <v>31591</v>
      </c>
      <c r="I14742" t="s">
        <v>8822</v>
      </c>
      <c r="J14742" t="s">
        <v>40743</v>
      </c>
      <c r="K14742" t="s">
        <v>41398</v>
      </c>
      <c r="M14742" t="s">
        <v>45011</v>
      </c>
      <c r="N14742" t="s">
        <v>45095</v>
      </c>
      <c r="O14742" t="s">
        <v>45096</v>
      </c>
      <c r="Q14742">
        <v>1</v>
      </c>
      <c r="R14742" t="s">
        <v>45142</v>
      </c>
      <c r="S14742" t="s">
        <v>46275</v>
      </c>
      <c r="T14742" t="s">
        <v>46979</v>
      </c>
      <c r="U14742" t="s">
        <v>59344</v>
      </c>
      <c r="W14742" t="s">
        <v>45011</v>
      </c>
      <c r="X14742" t="s">
        <v>45143</v>
      </c>
    </row>
    <row r="14743" spans="1:24">
      <c r="A14743">
        <f>HYPERLINK("https://www.philgeps.gov.ph/GEPSNONPILOT/Tender/SplashBidNoticeAbstractUI.aspx?menuIndex=3&amp;refID=6975424&amp;Result=3","6975424")</f>
        <v>0</v>
      </c>
      <c r="B14743" t="s">
        <v>3151</v>
      </c>
      <c r="C14743" t="s">
        <v>17313</v>
      </c>
      <c r="D14743" t="s">
        <v>18052</v>
      </c>
      <c r="E14743" t="s">
        <v>30927</v>
      </c>
      <c r="F14743" t="s">
        <v>31574</v>
      </c>
      <c r="G14743" t="s">
        <v>31582</v>
      </c>
      <c r="H14743" t="s">
        <v>31591</v>
      </c>
      <c r="I14743" t="s">
        <v>8822</v>
      </c>
      <c r="J14743" t="s">
        <v>40286</v>
      </c>
      <c r="K14743" t="s">
        <v>41414</v>
      </c>
      <c r="M14743" t="s">
        <v>45011</v>
      </c>
      <c r="N14743" t="s">
        <v>45095</v>
      </c>
      <c r="O14743" t="s">
        <v>45096</v>
      </c>
      <c r="Q14743">
        <v>1</v>
      </c>
      <c r="R14743" t="s">
        <v>45142</v>
      </c>
      <c r="S14743" t="s">
        <v>46276</v>
      </c>
      <c r="T14743" t="s">
        <v>46979</v>
      </c>
      <c r="U14743" t="s">
        <v>59344</v>
      </c>
      <c r="W14743" t="s">
        <v>45011</v>
      </c>
      <c r="X14743" t="s">
        <v>45143</v>
      </c>
    </row>
    <row r="14744" spans="1:24">
      <c r="A14744">
        <f>HYPERLINK("https://www.philgeps.gov.ph/GEPSNONPILOT/Tender/SplashBidNoticeAbstractUI.aspx?menuIndex=3&amp;refID=6986793&amp;Result=3","6986793")</f>
        <v>0</v>
      </c>
      <c r="B14744" t="s">
        <v>2229</v>
      </c>
      <c r="C14744" t="s">
        <v>17314</v>
      </c>
      <c r="D14744" t="s">
        <v>18079</v>
      </c>
      <c r="E14744" t="s">
        <v>30928</v>
      </c>
      <c r="F14744" t="s">
        <v>31574</v>
      </c>
      <c r="G14744" t="s">
        <v>31582</v>
      </c>
      <c r="H14744" t="s">
        <v>31593</v>
      </c>
      <c r="I14744" t="s">
        <v>8822</v>
      </c>
      <c r="J14744" t="s">
        <v>40744</v>
      </c>
      <c r="K14744" t="s">
        <v>41256</v>
      </c>
      <c r="L14744" t="s">
        <v>2229</v>
      </c>
      <c r="M14744" t="s">
        <v>43922</v>
      </c>
      <c r="N14744" t="s">
        <v>45095</v>
      </c>
      <c r="O14744" t="s">
        <v>45096</v>
      </c>
      <c r="Q14744">
        <v>3</v>
      </c>
      <c r="R14744" t="s">
        <v>45133</v>
      </c>
      <c r="S14744" t="s">
        <v>46277</v>
      </c>
      <c r="T14744" t="s">
        <v>46979</v>
      </c>
      <c r="U14744" t="s">
        <v>59322</v>
      </c>
      <c r="W14744" t="s">
        <v>43922</v>
      </c>
      <c r="X14744" t="s">
        <v>45139</v>
      </c>
    </row>
    <row r="14745" spans="1:24">
      <c r="A14745">
        <f>HYPERLINK("https://www.philgeps.gov.ph/GEPSNONPILOT/Tender/SplashBidNoticeAbstractUI.aspx?menuIndex=3&amp;refID=6979777&amp;Result=3","6979777")</f>
        <v>0</v>
      </c>
      <c r="B14745" t="s">
        <v>1032</v>
      </c>
      <c r="C14745" t="s">
        <v>17315</v>
      </c>
      <c r="D14745" t="s">
        <v>18065</v>
      </c>
      <c r="E14745" t="s">
        <v>30929</v>
      </c>
      <c r="F14745" t="s">
        <v>31574</v>
      </c>
      <c r="G14745" t="s">
        <v>31582</v>
      </c>
      <c r="H14745" t="s">
        <v>31591</v>
      </c>
      <c r="I14745" t="s">
        <v>8822</v>
      </c>
      <c r="J14745" t="s">
        <v>31771</v>
      </c>
      <c r="K14745" t="s">
        <v>41200</v>
      </c>
      <c r="M14745" t="s">
        <v>42573</v>
      </c>
      <c r="N14745" t="s">
        <v>45095</v>
      </c>
      <c r="O14745" t="s">
        <v>45096</v>
      </c>
      <c r="Q14745">
        <v>5</v>
      </c>
      <c r="R14745" t="s">
        <v>45137</v>
      </c>
      <c r="S14745" t="s">
        <v>46278</v>
      </c>
      <c r="T14745" t="s">
        <v>47070</v>
      </c>
      <c r="U14745" t="s">
        <v>49811</v>
      </c>
      <c r="W14745" t="s">
        <v>42573</v>
      </c>
      <c r="X14745" t="s">
        <v>45140</v>
      </c>
    </row>
    <row r="14746" spans="1:24">
      <c r="A14746">
        <f>HYPERLINK("https://www.philgeps.gov.ph/GEPSNONPILOT/Tender/SplashBidNoticeAbstractUI.aspx?menuIndex=3&amp;refID=6976656&amp;Result=3","6976656")</f>
        <v>0</v>
      </c>
      <c r="B14746" t="s">
        <v>3149</v>
      </c>
      <c r="C14746" t="s">
        <v>17316</v>
      </c>
      <c r="D14746" t="s">
        <v>18044</v>
      </c>
      <c r="E14746" t="s">
        <v>30930</v>
      </c>
      <c r="F14746" t="s">
        <v>31574</v>
      </c>
      <c r="G14746" t="s">
        <v>31582</v>
      </c>
      <c r="H14746" t="s">
        <v>31591</v>
      </c>
      <c r="I14746" t="s">
        <v>8822</v>
      </c>
      <c r="J14746" t="s">
        <v>40745</v>
      </c>
      <c r="K14746" t="s">
        <v>41200</v>
      </c>
      <c r="M14746" t="s">
        <v>45009</v>
      </c>
      <c r="N14746" t="s">
        <v>45095</v>
      </c>
      <c r="O14746" t="s">
        <v>45096</v>
      </c>
      <c r="Q14746">
        <v>6</v>
      </c>
      <c r="R14746" t="s">
        <v>45141</v>
      </c>
      <c r="S14746" t="s">
        <v>46279</v>
      </c>
      <c r="T14746" t="s">
        <v>47442</v>
      </c>
      <c r="U14746" t="s">
        <v>59345</v>
      </c>
      <c r="W14746" t="s">
        <v>45009</v>
      </c>
      <c r="X14746" t="s">
        <v>45142</v>
      </c>
    </row>
    <row r="14747" spans="1:24">
      <c r="A14747">
        <f>HYPERLINK("https://www.philgeps.gov.ph/GEPSNONPILOT/Tender/SplashBidNoticeAbstractUI.aspx?menuIndex=3&amp;refID=6975414&amp;Result=3","6975414")</f>
        <v>0</v>
      </c>
      <c r="B14747" t="s">
        <v>3151</v>
      </c>
      <c r="C14747" t="s">
        <v>17317</v>
      </c>
      <c r="D14747" t="s">
        <v>18052</v>
      </c>
      <c r="E14747" t="s">
        <v>30931</v>
      </c>
      <c r="F14747" t="s">
        <v>31574</v>
      </c>
      <c r="G14747" t="s">
        <v>31582</v>
      </c>
      <c r="H14747" t="s">
        <v>31591</v>
      </c>
      <c r="I14747" t="s">
        <v>8822</v>
      </c>
      <c r="J14747" t="s">
        <v>40746</v>
      </c>
      <c r="K14747" t="s">
        <v>41285</v>
      </c>
      <c r="M14747" t="s">
        <v>45011</v>
      </c>
      <c r="N14747" t="s">
        <v>45095</v>
      </c>
      <c r="O14747" t="s">
        <v>45096</v>
      </c>
      <c r="Q14747">
        <v>3</v>
      </c>
      <c r="R14747" t="s">
        <v>45142</v>
      </c>
      <c r="S14747" t="s">
        <v>46280</v>
      </c>
      <c r="T14747" t="s">
        <v>46979</v>
      </c>
      <c r="U14747" t="s">
        <v>59344</v>
      </c>
      <c r="W14747" t="s">
        <v>45011</v>
      </c>
      <c r="X14747" t="s">
        <v>45143</v>
      </c>
    </row>
    <row r="14748" spans="1:24">
      <c r="A14748">
        <f>HYPERLINK("https://www.philgeps.gov.ph/GEPSNONPILOT/Tender/SplashBidNoticeAbstractUI.aspx?menuIndex=3&amp;refID=6975409&amp;Result=3","6975409")</f>
        <v>0</v>
      </c>
      <c r="B14748" t="s">
        <v>3151</v>
      </c>
      <c r="C14748" t="s">
        <v>17318</v>
      </c>
      <c r="D14748" t="s">
        <v>18052</v>
      </c>
      <c r="E14748" t="s">
        <v>30932</v>
      </c>
      <c r="F14748" t="s">
        <v>31574</v>
      </c>
      <c r="G14748" t="s">
        <v>31582</v>
      </c>
      <c r="H14748" t="s">
        <v>31591</v>
      </c>
      <c r="I14748" t="s">
        <v>8822</v>
      </c>
      <c r="J14748" t="s">
        <v>35344</v>
      </c>
      <c r="K14748" t="s">
        <v>41427</v>
      </c>
      <c r="M14748" t="s">
        <v>45011</v>
      </c>
      <c r="N14748" t="s">
        <v>45095</v>
      </c>
      <c r="O14748" t="s">
        <v>45096</v>
      </c>
      <c r="Q14748">
        <v>4</v>
      </c>
      <c r="R14748" t="s">
        <v>45142</v>
      </c>
      <c r="S14748" t="s">
        <v>46281</v>
      </c>
      <c r="T14748" t="s">
        <v>46979</v>
      </c>
      <c r="U14748" t="s">
        <v>59344</v>
      </c>
      <c r="W14748" t="s">
        <v>45011</v>
      </c>
      <c r="X14748" t="s">
        <v>45143</v>
      </c>
    </row>
    <row r="14749" spans="1:24">
      <c r="A14749">
        <f>HYPERLINK("https://www.philgeps.gov.ph/GEPSNONPILOT/Tender/SplashBidNoticeAbstractUI.aspx?menuIndex=3&amp;refID=6975435&amp;Result=3","6975435")</f>
        <v>0</v>
      </c>
      <c r="B14749" t="s">
        <v>3151</v>
      </c>
      <c r="C14749" t="s">
        <v>17319</v>
      </c>
      <c r="D14749" t="s">
        <v>18052</v>
      </c>
      <c r="E14749" t="s">
        <v>30933</v>
      </c>
      <c r="F14749" t="s">
        <v>31574</v>
      </c>
      <c r="G14749" t="s">
        <v>31582</v>
      </c>
      <c r="H14749" t="s">
        <v>31591</v>
      </c>
      <c r="I14749" t="s">
        <v>8822</v>
      </c>
      <c r="J14749" t="s">
        <v>40747</v>
      </c>
      <c r="K14749" t="s">
        <v>41347</v>
      </c>
      <c r="M14749" t="s">
        <v>45011</v>
      </c>
      <c r="N14749" t="s">
        <v>45095</v>
      </c>
      <c r="O14749" t="s">
        <v>45096</v>
      </c>
      <c r="Q14749">
        <v>1</v>
      </c>
      <c r="R14749" t="s">
        <v>45142</v>
      </c>
      <c r="S14749" t="s">
        <v>46282</v>
      </c>
      <c r="T14749" t="s">
        <v>46979</v>
      </c>
      <c r="U14749" t="s">
        <v>59344</v>
      </c>
      <c r="W14749" t="s">
        <v>45011</v>
      </c>
      <c r="X14749" t="s">
        <v>45143</v>
      </c>
    </row>
    <row r="14750" spans="1:24">
      <c r="A14750">
        <f>HYPERLINK("https://www.philgeps.gov.ph/GEPSNONPILOT/Tender/SplashBidNoticeAbstractUI.aspx?menuIndex=3&amp;refID=6977331&amp;Result=3","6977331")</f>
        <v>0</v>
      </c>
      <c r="B14750" t="s">
        <v>3149</v>
      </c>
      <c r="C14750" t="s">
        <v>17320</v>
      </c>
      <c r="D14750" t="s">
        <v>18044</v>
      </c>
      <c r="E14750" t="s">
        <v>30934</v>
      </c>
      <c r="F14750" t="s">
        <v>31574</v>
      </c>
      <c r="G14750" t="s">
        <v>31582</v>
      </c>
      <c r="H14750" t="s">
        <v>31591</v>
      </c>
      <c r="I14750" t="s">
        <v>7162</v>
      </c>
      <c r="J14750" t="s">
        <v>40748</v>
      </c>
      <c r="K14750" t="s">
        <v>41189</v>
      </c>
      <c r="M14750" t="s">
        <v>45009</v>
      </c>
      <c r="N14750" t="s">
        <v>45095</v>
      </c>
      <c r="O14750" t="s">
        <v>45096</v>
      </c>
      <c r="Q14750">
        <v>6</v>
      </c>
      <c r="R14750" t="s">
        <v>45141</v>
      </c>
      <c r="S14750" t="s">
        <v>46283</v>
      </c>
      <c r="T14750" t="s">
        <v>47442</v>
      </c>
      <c r="U14750" t="s">
        <v>59346</v>
      </c>
      <c r="W14750" t="s">
        <v>45009</v>
      </c>
      <c r="X14750" t="s">
        <v>45142</v>
      </c>
    </row>
    <row r="14751" spans="1:24">
      <c r="A14751">
        <f>HYPERLINK("https://www.philgeps.gov.ph/GEPSNONPILOT/Tender/SplashBidNoticeAbstractUI.aspx?menuIndex=3&amp;refID=6974488&amp;Result=3","6974488")</f>
        <v>0</v>
      </c>
      <c r="B14751" t="s">
        <v>854</v>
      </c>
      <c r="C14751" t="s">
        <v>17321</v>
      </c>
      <c r="E14751" t="s">
        <v>30935</v>
      </c>
      <c r="F14751" t="s">
        <v>31574</v>
      </c>
      <c r="G14751" t="s">
        <v>31581</v>
      </c>
      <c r="H14751" t="s">
        <v>31590</v>
      </c>
      <c r="I14751" t="s">
        <v>31670</v>
      </c>
      <c r="J14751" t="s">
        <v>32178</v>
      </c>
      <c r="K14751" t="s">
        <v>41184</v>
      </c>
      <c r="M14751" t="s">
        <v>42813</v>
      </c>
      <c r="N14751" t="s">
        <v>45095</v>
      </c>
      <c r="O14751" t="s">
        <v>45096</v>
      </c>
      <c r="Q14751">
        <v>1</v>
      </c>
      <c r="R14751" t="s">
        <v>45143</v>
      </c>
      <c r="S14751" t="s">
        <v>46284</v>
      </c>
      <c r="T14751" t="s">
        <v>47050</v>
      </c>
      <c r="U14751" t="s">
        <v>59347</v>
      </c>
      <c r="W14751" t="s">
        <v>42813</v>
      </c>
      <c r="X14751" t="s">
        <v>45144</v>
      </c>
    </row>
    <row r="14752" spans="1:24">
      <c r="A14752">
        <f>HYPERLINK("https://www.philgeps.gov.ph/GEPSNONPILOT/Tender/SplashBidNoticeAbstractUI.aspx?menuIndex=3&amp;refID=6961613&amp;Result=3","6961613")</f>
        <v>0</v>
      </c>
      <c r="B14752" t="s">
        <v>2858</v>
      </c>
      <c r="C14752" t="s">
        <v>17322</v>
      </c>
      <c r="D14752" t="s">
        <v>18033</v>
      </c>
      <c r="E14752" t="s">
        <v>30936</v>
      </c>
      <c r="F14752" t="s">
        <v>31574</v>
      </c>
      <c r="G14752" t="s">
        <v>31582</v>
      </c>
      <c r="H14752" t="s">
        <v>31590</v>
      </c>
      <c r="I14752" t="s">
        <v>31620</v>
      </c>
      <c r="J14752" t="s">
        <v>32942</v>
      </c>
      <c r="K14752" t="s">
        <v>41185</v>
      </c>
      <c r="M14752" t="s">
        <v>44648</v>
      </c>
      <c r="N14752" t="s">
        <v>45095</v>
      </c>
      <c r="O14752" t="s">
        <v>45096</v>
      </c>
      <c r="Q14752">
        <v>40</v>
      </c>
      <c r="R14752" t="s">
        <v>45142</v>
      </c>
      <c r="S14752" t="s">
        <v>46285</v>
      </c>
      <c r="T14752" t="s">
        <v>46955</v>
      </c>
      <c r="U14752" t="s">
        <v>59348</v>
      </c>
      <c r="V14752" t="s">
        <v>61496</v>
      </c>
      <c r="W14752" t="s">
        <v>44648</v>
      </c>
      <c r="X14752" t="s">
        <v>45152</v>
      </c>
    </row>
    <row r="14753" spans="1:24">
      <c r="A14753">
        <f>HYPERLINK("https://www.philgeps.gov.ph/GEPSNONPILOT/Tender/SplashBidNoticeAbstractUI.aspx?menuIndex=3&amp;refID=6974141&amp;Result=3","6974141")</f>
        <v>0</v>
      </c>
      <c r="B14753" t="s">
        <v>1703</v>
      </c>
      <c r="C14753" t="s">
        <v>17323</v>
      </c>
      <c r="D14753" t="s">
        <v>18035</v>
      </c>
      <c r="E14753" t="s">
        <v>30937</v>
      </c>
      <c r="F14753" t="s">
        <v>31574</v>
      </c>
      <c r="G14753" t="s">
        <v>31582</v>
      </c>
      <c r="H14753" t="s">
        <v>31591</v>
      </c>
      <c r="I14753" t="s">
        <v>8822</v>
      </c>
      <c r="J14753" t="s">
        <v>40749</v>
      </c>
      <c r="K14753" t="s">
        <v>41295</v>
      </c>
      <c r="M14753" t="s">
        <v>43319</v>
      </c>
      <c r="N14753" t="s">
        <v>45095</v>
      </c>
      <c r="O14753" t="s">
        <v>45096</v>
      </c>
      <c r="Q14753">
        <v>13</v>
      </c>
      <c r="R14753" t="s">
        <v>45143</v>
      </c>
      <c r="S14753" t="s">
        <v>46286</v>
      </c>
      <c r="T14753" t="s">
        <v>46979</v>
      </c>
      <c r="U14753" t="s">
        <v>59349</v>
      </c>
      <c r="V14753" t="s">
        <v>60396</v>
      </c>
      <c r="W14753" t="s">
        <v>43319</v>
      </c>
      <c r="X14753" t="s">
        <v>45144</v>
      </c>
    </row>
    <row r="14754" spans="1:24">
      <c r="A14754">
        <f>HYPERLINK("https://www.philgeps.gov.ph/GEPSNONPILOT/Tender/SplashBidNoticeAbstractUI.aspx?menuIndex=3&amp;refID=6977068&amp;Result=3","6977068")</f>
        <v>0</v>
      </c>
      <c r="B14754" t="s">
        <v>3149</v>
      </c>
      <c r="C14754" t="s">
        <v>17324</v>
      </c>
      <c r="D14754" t="s">
        <v>18044</v>
      </c>
      <c r="E14754" t="s">
        <v>30938</v>
      </c>
      <c r="F14754" t="s">
        <v>31574</v>
      </c>
      <c r="G14754" t="s">
        <v>31582</v>
      </c>
      <c r="H14754" t="s">
        <v>31591</v>
      </c>
      <c r="I14754" t="s">
        <v>8822</v>
      </c>
      <c r="J14754" t="s">
        <v>40750</v>
      </c>
      <c r="K14754" t="s">
        <v>41200</v>
      </c>
      <c r="M14754" t="s">
        <v>45009</v>
      </c>
      <c r="N14754" t="s">
        <v>45095</v>
      </c>
      <c r="O14754" t="s">
        <v>45096</v>
      </c>
      <c r="Q14754">
        <v>4</v>
      </c>
      <c r="R14754" t="s">
        <v>45141</v>
      </c>
      <c r="S14754" t="s">
        <v>46287</v>
      </c>
      <c r="T14754" t="s">
        <v>47442</v>
      </c>
      <c r="U14754" t="s">
        <v>59350</v>
      </c>
      <c r="W14754" t="s">
        <v>45009</v>
      </c>
      <c r="X14754" t="s">
        <v>45142</v>
      </c>
    </row>
    <row r="14755" spans="1:24">
      <c r="A14755">
        <f>HYPERLINK("https://www.philgeps.gov.ph/GEPSNONPILOT/Tender/SplashBidNoticeAbstractUI.aspx?menuIndex=3&amp;refID=6974098&amp;Result=3","6974098")</f>
        <v>0</v>
      </c>
      <c r="B14755" t="s">
        <v>1573</v>
      </c>
      <c r="C14755" t="s">
        <v>17325</v>
      </c>
      <c r="D14755" t="s">
        <v>18100</v>
      </c>
      <c r="E14755" t="s">
        <v>30939</v>
      </c>
      <c r="F14755" t="s">
        <v>31574</v>
      </c>
      <c r="G14755" t="s">
        <v>31581</v>
      </c>
      <c r="H14755" t="s">
        <v>31590</v>
      </c>
      <c r="I14755" t="s">
        <v>31625</v>
      </c>
      <c r="J14755" t="s">
        <v>31927</v>
      </c>
      <c r="K14755" t="s">
        <v>41186</v>
      </c>
      <c r="M14755" t="s">
        <v>43176</v>
      </c>
      <c r="N14755" t="s">
        <v>45095</v>
      </c>
      <c r="O14755" t="s">
        <v>45096</v>
      </c>
      <c r="Q14755">
        <v>0</v>
      </c>
      <c r="R14755" t="s">
        <v>45143</v>
      </c>
      <c r="S14755" t="s">
        <v>46288</v>
      </c>
      <c r="T14755" t="s">
        <v>46979</v>
      </c>
      <c r="U14755" t="s">
        <v>59351</v>
      </c>
      <c r="W14755" t="s">
        <v>43176</v>
      </c>
      <c r="X14755" t="s">
        <v>45144</v>
      </c>
    </row>
    <row r="14756" spans="1:24">
      <c r="A14756">
        <f>HYPERLINK("https://www.philgeps.gov.ph/GEPSNONPILOT/Tender/SplashBidNoticeAbstractUI.aspx?menuIndex=3&amp;refID=6975651&amp;Result=3","6975651")</f>
        <v>0</v>
      </c>
      <c r="B14756" t="s">
        <v>2608</v>
      </c>
      <c r="C14756" t="s">
        <v>17326</v>
      </c>
      <c r="D14756" t="s">
        <v>18024</v>
      </c>
      <c r="E14756" t="s">
        <v>30940</v>
      </c>
      <c r="F14756" t="s">
        <v>31574</v>
      </c>
      <c r="G14756" t="s">
        <v>31581</v>
      </c>
      <c r="H14756" t="s">
        <v>31590</v>
      </c>
      <c r="I14756" t="s">
        <v>4327</v>
      </c>
      <c r="J14756" t="s">
        <v>31830</v>
      </c>
      <c r="K14756" t="s">
        <v>41189</v>
      </c>
      <c r="M14756" t="s">
        <v>44353</v>
      </c>
      <c r="N14756" t="s">
        <v>45095</v>
      </c>
      <c r="O14756" t="s">
        <v>45096</v>
      </c>
      <c r="P14756">
        <v>0</v>
      </c>
      <c r="Q14756">
        <v>1</v>
      </c>
      <c r="R14756" t="s">
        <v>45142</v>
      </c>
      <c r="S14756" t="s">
        <v>46289</v>
      </c>
      <c r="T14756" t="s">
        <v>47443</v>
      </c>
      <c r="U14756" t="s">
        <v>55380</v>
      </c>
      <c r="W14756" t="s">
        <v>44353</v>
      </c>
      <c r="X14756" t="s">
        <v>61784</v>
      </c>
    </row>
    <row r="14757" spans="1:24">
      <c r="A14757">
        <f>HYPERLINK("https://www.philgeps.gov.ph/GEPSNONPILOT/Tender/SplashBidNoticeAbstractUI.aspx?menuIndex=3&amp;refID=6974544&amp;Result=3","6974544")</f>
        <v>0</v>
      </c>
      <c r="B14757" t="s">
        <v>1573</v>
      </c>
      <c r="C14757" t="s">
        <v>17327</v>
      </c>
      <c r="D14757" t="s">
        <v>18035</v>
      </c>
      <c r="E14757" t="s">
        <v>30941</v>
      </c>
      <c r="F14757" t="s">
        <v>31574</v>
      </c>
      <c r="G14757" t="s">
        <v>31584</v>
      </c>
      <c r="H14757" t="s">
        <v>31590</v>
      </c>
      <c r="I14757" t="s">
        <v>31600</v>
      </c>
      <c r="J14757" t="s">
        <v>40751</v>
      </c>
      <c r="K14757" t="s">
        <v>41196</v>
      </c>
      <c r="M14757" t="s">
        <v>43176</v>
      </c>
      <c r="N14757" t="s">
        <v>45095</v>
      </c>
      <c r="O14757" t="s">
        <v>45096</v>
      </c>
      <c r="Q14757">
        <v>2</v>
      </c>
      <c r="R14757" t="s">
        <v>45143</v>
      </c>
      <c r="S14757" t="s">
        <v>45332</v>
      </c>
      <c r="T14757" t="s">
        <v>46979</v>
      </c>
      <c r="U14757" t="s">
        <v>59352</v>
      </c>
      <c r="W14757" t="s">
        <v>43176</v>
      </c>
      <c r="X14757" t="s">
        <v>45144</v>
      </c>
    </row>
    <row r="14758" spans="1:24">
      <c r="A14758">
        <f>HYPERLINK("https://www.philgeps.gov.ph/GEPSNONPILOT/Tender/SplashBidNoticeAbstractUI.aspx?menuIndex=3&amp;refID=6976799&amp;Result=3","6976799")</f>
        <v>0</v>
      </c>
      <c r="B14758" t="s">
        <v>3149</v>
      </c>
      <c r="C14758" t="s">
        <v>17328</v>
      </c>
      <c r="D14758" t="s">
        <v>18044</v>
      </c>
      <c r="E14758" t="s">
        <v>30942</v>
      </c>
      <c r="F14758" t="s">
        <v>31574</v>
      </c>
      <c r="G14758" t="s">
        <v>31582</v>
      </c>
      <c r="H14758" t="s">
        <v>31591</v>
      </c>
      <c r="I14758" t="s">
        <v>8822</v>
      </c>
      <c r="J14758" t="s">
        <v>40752</v>
      </c>
      <c r="K14758" t="s">
        <v>41200</v>
      </c>
      <c r="M14758" t="s">
        <v>45009</v>
      </c>
      <c r="N14758" t="s">
        <v>45095</v>
      </c>
      <c r="O14758" t="s">
        <v>45096</v>
      </c>
      <c r="Q14758">
        <v>4</v>
      </c>
      <c r="R14758" t="s">
        <v>45141</v>
      </c>
      <c r="S14758" t="s">
        <v>46290</v>
      </c>
      <c r="T14758" t="s">
        <v>47442</v>
      </c>
      <c r="U14758" t="s">
        <v>59353</v>
      </c>
      <c r="W14758" t="s">
        <v>45009</v>
      </c>
      <c r="X14758" t="s">
        <v>45142</v>
      </c>
    </row>
    <row r="14759" spans="1:24">
      <c r="A14759">
        <f>HYPERLINK("https://www.philgeps.gov.ph/GEPSNONPILOT/Tender/SplashBidNoticeAbstractUI.aspx?menuIndex=3&amp;refID=6974224&amp;Result=3","6974224")</f>
        <v>0</v>
      </c>
      <c r="B14759" t="s">
        <v>1703</v>
      </c>
      <c r="C14759" t="s">
        <v>17329</v>
      </c>
      <c r="D14759" t="s">
        <v>18035</v>
      </c>
      <c r="E14759" t="s">
        <v>30943</v>
      </c>
      <c r="F14759" t="s">
        <v>31574</v>
      </c>
      <c r="G14759" t="s">
        <v>31582</v>
      </c>
      <c r="H14759" t="s">
        <v>31591</v>
      </c>
      <c r="I14759" t="s">
        <v>8822</v>
      </c>
      <c r="J14759" t="s">
        <v>40753</v>
      </c>
      <c r="K14759" t="s">
        <v>41295</v>
      </c>
      <c r="M14759" t="s">
        <v>43319</v>
      </c>
      <c r="N14759" t="s">
        <v>45095</v>
      </c>
      <c r="O14759" t="s">
        <v>45096</v>
      </c>
      <c r="Q14759">
        <v>15</v>
      </c>
      <c r="R14759" t="s">
        <v>45143</v>
      </c>
      <c r="S14759" t="s">
        <v>46291</v>
      </c>
      <c r="T14759" t="s">
        <v>46979</v>
      </c>
      <c r="U14759" t="s">
        <v>59354</v>
      </c>
      <c r="V14759" t="s">
        <v>60396</v>
      </c>
      <c r="W14759" t="s">
        <v>43319</v>
      </c>
      <c r="X14759" t="s">
        <v>45144</v>
      </c>
    </row>
    <row r="14760" spans="1:24">
      <c r="A14760">
        <f>HYPERLINK("https://www.philgeps.gov.ph/GEPSNONPILOT/Tender/SplashBidNoticeAbstractUI.aspx?menuIndex=3&amp;refID=6976974&amp;Result=3","6976974")</f>
        <v>0</v>
      </c>
      <c r="B14760" t="s">
        <v>3149</v>
      </c>
      <c r="C14760" t="s">
        <v>17330</v>
      </c>
      <c r="D14760" t="s">
        <v>18044</v>
      </c>
      <c r="E14760" t="s">
        <v>30944</v>
      </c>
      <c r="F14760" t="s">
        <v>31574</v>
      </c>
      <c r="G14760" t="s">
        <v>31582</v>
      </c>
      <c r="H14760" t="s">
        <v>31590</v>
      </c>
      <c r="I14760" t="s">
        <v>8822</v>
      </c>
      <c r="J14760" t="s">
        <v>40754</v>
      </c>
      <c r="K14760" t="s">
        <v>41200</v>
      </c>
      <c r="M14760" t="s">
        <v>45009</v>
      </c>
      <c r="N14760" t="s">
        <v>45095</v>
      </c>
      <c r="O14760" t="s">
        <v>45096</v>
      </c>
      <c r="Q14760">
        <v>6</v>
      </c>
      <c r="R14760" t="s">
        <v>45141</v>
      </c>
      <c r="S14760" t="s">
        <v>46292</v>
      </c>
      <c r="T14760" t="s">
        <v>47442</v>
      </c>
      <c r="U14760" t="s">
        <v>59355</v>
      </c>
      <c r="W14760" t="s">
        <v>45009</v>
      </c>
      <c r="X14760" t="s">
        <v>45142</v>
      </c>
    </row>
    <row r="14761" spans="1:24">
      <c r="A14761">
        <f>HYPERLINK("https://www.philgeps.gov.ph/GEPSNONPILOT/Tender/SplashBidNoticeAbstractUI.aspx?menuIndex=3&amp;refID=6972317&amp;Result=3","6972317")</f>
        <v>0</v>
      </c>
      <c r="B14761" t="s">
        <v>2837</v>
      </c>
      <c r="C14761" t="s">
        <v>17331</v>
      </c>
      <c r="D14761" t="s">
        <v>18065</v>
      </c>
      <c r="E14761" t="s">
        <v>30945</v>
      </c>
      <c r="F14761" t="s">
        <v>31574</v>
      </c>
      <c r="G14761" t="s">
        <v>31582</v>
      </c>
      <c r="H14761" t="s">
        <v>31591</v>
      </c>
      <c r="I14761" t="s">
        <v>8822</v>
      </c>
      <c r="J14761" t="s">
        <v>33445</v>
      </c>
      <c r="K14761" t="s">
        <v>41184</v>
      </c>
      <c r="L14761" t="s">
        <v>2837</v>
      </c>
      <c r="M14761" t="s">
        <v>44618</v>
      </c>
      <c r="N14761" t="s">
        <v>45095</v>
      </c>
      <c r="O14761" t="s">
        <v>45096</v>
      </c>
      <c r="Q14761">
        <v>2</v>
      </c>
      <c r="R14761" t="s">
        <v>45144</v>
      </c>
      <c r="S14761" t="s">
        <v>46293</v>
      </c>
      <c r="T14761" t="s">
        <v>47159</v>
      </c>
      <c r="U14761" t="s">
        <v>59356</v>
      </c>
      <c r="V14761" t="s">
        <v>61054</v>
      </c>
      <c r="W14761" t="s">
        <v>44618</v>
      </c>
      <c r="X14761" t="s">
        <v>45145</v>
      </c>
    </row>
    <row r="14762" spans="1:24">
      <c r="A14762">
        <f>HYPERLINK("https://www.philgeps.gov.ph/GEPSNONPILOT/Tender/SplashBidNoticeAbstractUI.aspx?menuIndex=3&amp;refID=6977130&amp;Result=3","6977130")</f>
        <v>0</v>
      </c>
      <c r="B14762" t="s">
        <v>3149</v>
      </c>
      <c r="C14762" t="s">
        <v>17332</v>
      </c>
      <c r="D14762" t="s">
        <v>18044</v>
      </c>
      <c r="E14762" t="s">
        <v>30946</v>
      </c>
      <c r="F14762" t="s">
        <v>31574</v>
      </c>
      <c r="G14762" t="s">
        <v>31582</v>
      </c>
      <c r="H14762" t="s">
        <v>31591</v>
      </c>
      <c r="I14762" t="s">
        <v>7162</v>
      </c>
      <c r="J14762" t="s">
        <v>40755</v>
      </c>
      <c r="K14762" t="s">
        <v>41189</v>
      </c>
      <c r="M14762" t="s">
        <v>45009</v>
      </c>
      <c r="N14762" t="s">
        <v>45095</v>
      </c>
      <c r="O14762" t="s">
        <v>45096</v>
      </c>
      <c r="Q14762">
        <v>7</v>
      </c>
      <c r="R14762" t="s">
        <v>45141</v>
      </c>
      <c r="S14762" t="s">
        <v>46294</v>
      </c>
      <c r="T14762" t="s">
        <v>47442</v>
      </c>
      <c r="U14762" t="s">
        <v>59357</v>
      </c>
      <c r="W14762" t="s">
        <v>45009</v>
      </c>
      <c r="X14762" t="s">
        <v>45142</v>
      </c>
    </row>
    <row r="14763" spans="1:24">
      <c r="A14763">
        <f>HYPERLINK("https://www.philgeps.gov.ph/GEPSNONPILOT/Tender/SplashBidNoticeAbstractUI.aspx?menuIndex=3&amp;refID=6972311&amp;Result=3","6972311")</f>
        <v>0</v>
      </c>
      <c r="B14763" t="s">
        <v>2837</v>
      </c>
      <c r="C14763" t="s">
        <v>17333</v>
      </c>
      <c r="D14763" t="s">
        <v>18065</v>
      </c>
      <c r="E14763" t="s">
        <v>30947</v>
      </c>
      <c r="F14763" t="s">
        <v>31574</v>
      </c>
      <c r="G14763" t="s">
        <v>31582</v>
      </c>
      <c r="H14763" t="s">
        <v>31591</v>
      </c>
      <c r="I14763" t="s">
        <v>8822</v>
      </c>
      <c r="J14763" t="s">
        <v>38736</v>
      </c>
      <c r="K14763" t="s">
        <v>41184</v>
      </c>
      <c r="L14763" t="s">
        <v>2837</v>
      </c>
      <c r="M14763" t="s">
        <v>44618</v>
      </c>
      <c r="N14763" t="s">
        <v>45095</v>
      </c>
      <c r="O14763" t="s">
        <v>45096</v>
      </c>
      <c r="Q14763">
        <v>0</v>
      </c>
      <c r="R14763" t="s">
        <v>45144</v>
      </c>
      <c r="S14763" t="s">
        <v>46295</v>
      </c>
      <c r="T14763" t="s">
        <v>47159</v>
      </c>
      <c r="U14763" t="s">
        <v>59356</v>
      </c>
      <c r="V14763" t="s">
        <v>61054</v>
      </c>
      <c r="W14763" t="s">
        <v>44618</v>
      </c>
      <c r="X14763" t="s">
        <v>45145</v>
      </c>
    </row>
    <row r="14764" spans="1:24">
      <c r="A14764">
        <f>HYPERLINK("https://www.philgeps.gov.ph/GEPSNONPILOT/Tender/SplashBidNoticeAbstractUI.aspx?menuIndex=3&amp;refID=6972300&amp;Result=3","6972300")</f>
        <v>0</v>
      </c>
      <c r="B14764" t="s">
        <v>2837</v>
      </c>
      <c r="C14764" t="s">
        <v>17334</v>
      </c>
      <c r="D14764" t="s">
        <v>18065</v>
      </c>
      <c r="E14764" t="s">
        <v>30948</v>
      </c>
      <c r="F14764" t="s">
        <v>31574</v>
      </c>
      <c r="G14764" t="s">
        <v>31582</v>
      </c>
      <c r="H14764" t="s">
        <v>31591</v>
      </c>
      <c r="I14764" t="s">
        <v>8822</v>
      </c>
      <c r="J14764" t="s">
        <v>38736</v>
      </c>
      <c r="K14764" t="s">
        <v>41184</v>
      </c>
      <c r="L14764" t="s">
        <v>2837</v>
      </c>
      <c r="M14764" t="s">
        <v>44618</v>
      </c>
      <c r="N14764" t="s">
        <v>45095</v>
      </c>
      <c r="O14764" t="s">
        <v>45096</v>
      </c>
      <c r="Q14764">
        <v>0</v>
      </c>
      <c r="R14764" t="s">
        <v>45144</v>
      </c>
      <c r="S14764" t="s">
        <v>46296</v>
      </c>
      <c r="T14764" t="s">
        <v>47159</v>
      </c>
      <c r="U14764" t="s">
        <v>59356</v>
      </c>
      <c r="V14764" t="s">
        <v>61054</v>
      </c>
      <c r="W14764" t="s">
        <v>44618</v>
      </c>
      <c r="X14764" t="s">
        <v>45145</v>
      </c>
    </row>
    <row r="14765" spans="1:24">
      <c r="A14765">
        <f>HYPERLINK("https://www.philgeps.gov.ph/GEPSNONPILOT/Tender/SplashBidNoticeAbstractUI.aspx?menuIndex=3&amp;refID=6972264&amp;Result=3","6972264")</f>
        <v>0</v>
      </c>
      <c r="B14765" t="s">
        <v>2837</v>
      </c>
      <c r="C14765" t="s">
        <v>17335</v>
      </c>
      <c r="D14765" t="s">
        <v>18065</v>
      </c>
      <c r="E14765" t="s">
        <v>30949</v>
      </c>
      <c r="F14765" t="s">
        <v>31574</v>
      </c>
      <c r="G14765" t="s">
        <v>31582</v>
      </c>
      <c r="H14765" t="s">
        <v>31591</v>
      </c>
      <c r="I14765" t="s">
        <v>8822</v>
      </c>
      <c r="J14765" t="s">
        <v>34707</v>
      </c>
      <c r="K14765" t="s">
        <v>41184</v>
      </c>
      <c r="L14765" t="s">
        <v>2837</v>
      </c>
      <c r="M14765" t="s">
        <v>44618</v>
      </c>
      <c r="N14765" t="s">
        <v>45095</v>
      </c>
      <c r="O14765" t="s">
        <v>45096</v>
      </c>
      <c r="Q14765">
        <v>1</v>
      </c>
      <c r="R14765" t="s">
        <v>45144</v>
      </c>
      <c r="S14765" t="s">
        <v>46297</v>
      </c>
      <c r="T14765" t="s">
        <v>46966</v>
      </c>
      <c r="U14765" t="s">
        <v>59356</v>
      </c>
      <c r="V14765" t="s">
        <v>61054</v>
      </c>
      <c r="W14765" t="s">
        <v>44618</v>
      </c>
      <c r="X14765" t="s">
        <v>45145</v>
      </c>
    </row>
    <row r="14766" spans="1:24">
      <c r="A14766">
        <f>HYPERLINK("https://www.philgeps.gov.ph/GEPSNONPILOT/Tender/SplashBidNoticeAbstractUI.aspx?menuIndex=3&amp;refID=6972324&amp;Result=3","6972324")</f>
        <v>0</v>
      </c>
      <c r="B14766" t="s">
        <v>2837</v>
      </c>
      <c r="C14766" t="s">
        <v>17336</v>
      </c>
      <c r="D14766" t="s">
        <v>18065</v>
      </c>
      <c r="E14766" t="s">
        <v>30950</v>
      </c>
      <c r="F14766" t="s">
        <v>31574</v>
      </c>
      <c r="G14766" t="s">
        <v>31582</v>
      </c>
      <c r="H14766" t="s">
        <v>31591</v>
      </c>
      <c r="I14766" t="s">
        <v>8822</v>
      </c>
      <c r="J14766" t="s">
        <v>34070</v>
      </c>
      <c r="K14766" t="s">
        <v>41184</v>
      </c>
      <c r="L14766" t="s">
        <v>2837</v>
      </c>
      <c r="M14766" t="s">
        <v>44618</v>
      </c>
      <c r="N14766" t="s">
        <v>45095</v>
      </c>
      <c r="O14766" t="s">
        <v>45096</v>
      </c>
      <c r="Q14766">
        <v>0</v>
      </c>
      <c r="R14766" t="s">
        <v>45144</v>
      </c>
      <c r="S14766" t="s">
        <v>46298</v>
      </c>
      <c r="T14766" t="s">
        <v>47159</v>
      </c>
      <c r="U14766" t="s">
        <v>59356</v>
      </c>
      <c r="V14766" t="s">
        <v>61054</v>
      </c>
      <c r="W14766" t="s">
        <v>44618</v>
      </c>
      <c r="X14766" t="s">
        <v>45145</v>
      </c>
    </row>
    <row r="14767" spans="1:24">
      <c r="A14767">
        <f>HYPERLINK("https://www.philgeps.gov.ph/GEPSNONPILOT/Tender/SplashBidNoticeAbstractUI.aspx?menuIndex=3&amp;refID=6972294&amp;Result=3","6972294")</f>
        <v>0</v>
      </c>
      <c r="B14767" t="s">
        <v>2837</v>
      </c>
      <c r="C14767" t="s">
        <v>17337</v>
      </c>
      <c r="D14767" t="s">
        <v>18065</v>
      </c>
      <c r="E14767" t="s">
        <v>30951</v>
      </c>
      <c r="F14767" t="s">
        <v>31574</v>
      </c>
      <c r="G14767" t="s">
        <v>31582</v>
      </c>
      <c r="H14767" t="s">
        <v>31591</v>
      </c>
      <c r="I14767" t="s">
        <v>8822</v>
      </c>
      <c r="J14767" t="s">
        <v>33215</v>
      </c>
      <c r="K14767" t="s">
        <v>41184</v>
      </c>
      <c r="L14767" t="s">
        <v>2837</v>
      </c>
      <c r="M14767" t="s">
        <v>44618</v>
      </c>
      <c r="N14767" t="s">
        <v>45095</v>
      </c>
      <c r="O14767" t="s">
        <v>45096</v>
      </c>
      <c r="Q14767">
        <v>1</v>
      </c>
      <c r="R14767" t="s">
        <v>45144</v>
      </c>
      <c r="S14767" t="s">
        <v>46299</v>
      </c>
      <c r="T14767" t="s">
        <v>47159</v>
      </c>
      <c r="U14767" t="s">
        <v>59356</v>
      </c>
      <c r="V14767" t="s">
        <v>61497</v>
      </c>
      <c r="W14767" t="s">
        <v>44618</v>
      </c>
      <c r="X14767" t="s">
        <v>45145</v>
      </c>
    </row>
    <row r="14768" spans="1:24">
      <c r="A14768">
        <f>HYPERLINK("https://www.philgeps.gov.ph/GEPSNONPILOT/Tender/SplashBidNoticeAbstractUI.aspx?menuIndex=3&amp;refID=6972260&amp;Result=3","6972260")</f>
        <v>0</v>
      </c>
      <c r="B14768" t="s">
        <v>2837</v>
      </c>
      <c r="C14768" t="s">
        <v>17338</v>
      </c>
      <c r="D14768" t="s">
        <v>18065</v>
      </c>
      <c r="E14768" t="s">
        <v>30952</v>
      </c>
      <c r="F14768" t="s">
        <v>31574</v>
      </c>
      <c r="G14768" t="s">
        <v>31582</v>
      </c>
      <c r="H14768" t="s">
        <v>31591</v>
      </c>
      <c r="I14768" t="s">
        <v>8822</v>
      </c>
      <c r="J14768" t="s">
        <v>32615</v>
      </c>
      <c r="K14768" t="s">
        <v>41184</v>
      </c>
      <c r="L14768" t="s">
        <v>2837</v>
      </c>
      <c r="M14768" t="s">
        <v>44618</v>
      </c>
      <c r="N14768" t="s">
        <v>45095</v>
      </c>
      <c r="O14768" t="s">
        <v>45096</v>
      </c>
      <c r="Q14768">
        <v>1</v>
      </c>
      <c r="R14768" t="s">
        <v>45144</v>
      </c>
      <c r="S14768" t="s">
        <v>46300</v>
      </c>
      <c r="T14768" t="s">
        <v>47159</v>
      </c>
      <c r="U14768" t="s">
        <v>59356</v>
      </c>
      <c r="V14768" t="s">
        <v>61054</v>
      </c>
      <c r="W14768" t="s">
        <v>44618</v>
      </c>
      <c r="X14768" t="s">
        <v>45145</v>
      </c>
    </row>
    <row r="14769" spans="1:24">
      <c r="A14769">
        <f>HYPERLINK("https://www.philgeps.gov.ph/GEPSNONPILOT/Tender/SplashBidNoticeAbstractUI.aspx?menuIndex=3&amp;refID=6972253&amp;Result=3","6972253")</f>
        <v>0</v>
      </c>
      <c r="B14769" t="s">
        <v>2837</v>
      </c>
      <c r="C14769" t="s">
        <v>17339</v>
      </c>
      <c r="D14769" t="s">
        <v>18065</v>
      </c>
      <c r="E14769" t="s">
        <v>30953</v>
      </c>
      <c r="F14769" t="s">
        <v>31574</v>
      </c>
      <c r="G14769" t="s">
        <v>31582</v>
      </c>
      <c r="H14769" t="s">
        <v>31591</v>
      </c>
      <c r="I14769" t="s">
        <v>8822</v>
      </c>
      <c r="J14769" t="s">
        <v>37686</v>
      </c>
      <c r="K14769" t="s">
        <v>41184</v>
      </c>
      <c r="L14769" t="s">
        <v>2837</v>
      </c>
      <c r="M14769" t="s">
        <v>44618</v>
      </c>
      <c r="N14769" t="s">
        <v>45095</v>
      </c>
      <c r="O14769" t="s">
        <v>45096</v>
      </c>
      <c r="Q14769">
        <v>1</v>
      </c>
      <c r="R14769" t="s">
        <v>45144</v>
      </c>
      <c r="S14769" t="s">
        <v>46301</v>
      </c>
      <c r="T14769" t="s">
        <v>47159</v>
      </c>
      <c r="U14769" t="s">
        <v>59356</v>
      </c>
      <c r="V14769" t="s">
        <v>61054</v>
      </c>
      <c r="W14769" t="s">
        <v>44618</v>
      </c>
      <c r="X14769" t="s">
        <v>45145</v>
      </c>
    </row>
    <row r="14770" spans="1:24">
      <c r="A14770">
        <f>HYPERLINK("https://www.philgeps.gov.ph/GEPSNONPILOT/Tender/SplashBidNoticeAbstractUI.aspx?menuIndex=3&amp;refID=6972287&amp;Result=3","6972287")</f>
        <v>0</v>
      </c>
      <c r="B14770" t="s">
        <v>2837</v>
      </c>
      <c r="C14770" t="s">
        <v>17340</v>
      </c>
      <c r="D14770" t="s">
        <v>18065</v>
      </c>
      <c r="E14770" t="s">
        <v>30954</v>
      </c>
      <c r="F14770" t="s">
        <v>31574</v>
      </c>
      <c r="G14770" t="s">
        <v>31582</v>
      </c>
      <c r="H14770" t="s">
        <v>31591</v>
      </c>
      <c r="I14770" t="s">
        <v>8822</v>
      </c>
      <c r="J14770" t="s">
        <v>34059</v>
      </c>
      <c r="K14770" t="s">
        <v>41184</v>
      </c>
      <c r="L14770" t="s">
        <v>2837</v>
      </c>
      <c r="M14770" t="s">
        <v>44618</v>
      </c>
      <c r="N14770" t="s">
        <v>45095</v>
      </c>
      <c r="O14770" t="s">
        <v>45096</v>
      </c>
      <c r="Q14770">
        <v>3</v>
      </c>
      <c r="R14770" t="s">
        <v>45144</v>
      </c>
      <c r="S14770" t="s">
        <v>46302</v>
      </c>
      <c r="T14770" t="s">
        <v>47159</v>
      </c>
      <c r="U14770" t="s">
        <v>59356</v>
      </c>
      <c r="V14770" t="s">
        <v>61054</v>
      </c>
      <c r="W14770" t="s">
        <v>44618</v>
      </c>
      <c r="X14770" t="s">
        <v>45145</v>
      </c>
    </row>
    <row r="14771" spans="1:24">
      <c r="A14771">
        <f>HYPERLINK("https://www.philgeps.gov.ph/GEPSNONPILOT/Tender/SplashBidNoticeAbstractUI.aspx?menuIndex=3&amp;refID=6972247&amp;Result=3","6972247")</f>
        <v>0</v>
      </c>
      <c r="B14771" t="s">
        <v>2837</v>
      </c>
      <c r="C14771" t="s">
        <v>17341</v>
      </c>
      <c r="D14771" t="s">
        <v>18065</v>
      </c>
      <c r="E14771" t="s">
        <v>30955</v>
      </c>
      <c r="F14771" t="s">
        <v>31574</v>
      </c>
      <c r="G14771" t="s">
        <v>31582</v>
      </c>
      <c r="H14771" t="s">
        <v>31591</v>
      </c>
      <c r="I14771" t="s">
        <v>8822</v>
      </c>
      <c r="J14771" t="s">
        <v>40756</v>
      </c>
      <c r="K14771" t="s">
        <v>41184</v>
      </c>
      <c r="L14771" t="s">
        <v>2837</v>
      </c>
      <c r="M14771" t="s">
        <v>44618</v>
      </c>
      <c r="N14771" t="s">
        <v>45095</v>
      </c>
      <c r="O14771" t="s">
        <v>45096</v>
      </c>
      <c r="Q14771">
        <v>0</v>
      </c>
      <c r="R14771" t="s">
        <v>45144</v>
      </c>
      <c r="S14771" t="s">
        <v>46303</v>
      </c>
      <c r="T14771" t="s">
        <v>47159</v>
      </c>
      <c r="U14771" t="s">
        <v>59356</v>
      </c>
      <c r="V14771" t="s">
        <v>61054</v>
      </c>
      <c r="W14771" t="s">
        <v>44618</v>
      </c>
      <c r="X14771" t="s">
        <v>45145</v>
      </c>
    </row>
    <row r="14772" spans="1:24">
      <c r="A14772">
        <f>HYPERLINK("https://www.philgeps.gov.ph/GEPSNONPILOT/Tender/SplashBidNoticeAbstractUI.aspx?menuIndex=3&amp;refID=6972583&amp;Result=3","6972583")</f>
        <v>0</v>
      </c>
      <c r="B14772" t="s">
        <v>2837</v>
      </c>
      <c r="C14772" t="s">
        <v>17342</v>
      </c>
      <c r="D14772" t="s">
        <v>18065</v>
      </c>
      <c r="E14772" t="s">
        <v>30956</v>
      </c>
      <c r="F14772" t="s">
        <v>31574</v>
      </c>
      <c r="G14772" t="s">
        <v>31582</v>
      </c>
      <c r="H14772" t="s">
        <v>31591</v>
      </c>
      <c r="I14772" t="s">
        <v>8822</v>
      </c>
      <c r="J14772" t="s">
        <v>34059</v>
      </c>
      <c r="K14772" t="s">
        <v>41184</v>
      </c>
      <c r="L14772" t="s">
        <v>2837</v>
      </c>
      <c r="M14772" t="s">
        <v>44618</v>
      </c>
      <c r="N14772" t="s">
        <v>45095</v>
      </c>
      <c r="O14772" t="s">
        <v>45096</v>
      </c>
      <c r="Q14772">
        <v>0</v>
      </c>
      <c r="R14772" t="s">
        <v>45144</v>
      </c>
      <c r="S14772" t="s">
        <v>46304</v>
      </c>
      <c r="T14772" t="s">
        <v>47228</v>
      </c>
      <c r="U14772" t="s">
        <v>59358</v>
      </c>
      <c r="V14772" t="s">
        <v>61054</v>
      </c>
      <c r="W14772" t="s">
        <v>44618</v>
      </c>
      <c r="X14772" t="s">
        <v>45145</v>
      </c>
    </row>
    <row r="14773" spans="1:24">
      <c r="A14773">
        <f>HYPERLINK("https://www.philgeps.gov.ph/GEPSNONPILOT/Tender/SplashBidNoticeAbstractUI.aspx?menuIndex=3&amp;refID=6972636&amp;Result=3","6972636")</f>
        <v>0</v>
      </c>
      <c r="B14773" t="s">
        <v>2837</v>
      </c>
      <c r="C14773" t="s">
        <v>17343</v>
      </c>
      <c r="D14773" t="s">
        <v>18065</v>
      </c>
      <c r="E14773" t="s">
        <v>30957</v>
      </c>
      <c r="F14773" t="s">
        <v>31574</v>
      </c>
      <c r="G14773" t="s">
        <v>31582</v>
      </c>
      <c r="H14773" t="s">
        <v>31591</v>
      </c>
      <c r="I14773" t="s">
        <v>8822</v>
      </c>
      <c r="J14773" t="s">
        <v>34059</v>
      </c>
      <c r="K14773" t="s">
        <v>41184</v>
      </c>
      <c r="L14773" t="s">
        <v>2837</v>
      </c>
      <c r="M14773" t="s">
        <v>44618</v>
      </c>
      <c r="N14773" t="s">
        <v>45095</v>
      </c>
      <c r="O14773" t="s">
        <v>45096</v>
      </c>
      <c r="Q14773">
        <v>0</v>
      </c>
      <c r="R14773" t="s">
        <v>45144</v>
      </c>
      <c r="S14773" t="s">
        <v>46305</v>
      </c>
      <c r="T14773" t="s">
        <v>46973</v>
      </c>
      <c r="U14773" t="s">
        <v>59358</v>
      </c>
      <c r="V14773" t="s">
        <v>61054</v>
      </c>
      <c r="W14773" t="s">
        <v>44618</v>
      </c>
      <c r="X14773" t="s">
        <v>45145</v>
      </c>
    </row>
    <row r="14774" spans="1:24">
      <c r="A14774">
        <f>HYPERLINK("https://www.philgeps.gov.ph/GEPSNONPILOT/Tender/SplashBidNoticeAbstractUI.aspx?menuIndex=3&amp;refID=6972331&amp;Result=3","6972331")</f>
        <v>0</v>
      </c>
      <c r="B14774" t="s">
        <v>2837</v>
      </c>
      <c r="C14774" t="s">
        <v>17344</v>
      </c>
      <c r="D14774" t="s">
        <v>18065</v>
      </c>
      <c r="E14774" t="s">
        <v>30958</v>
      </c>
      <c r="F14774" t="s">
        <v>31574</v>
      </c>
      <c r="G14774" t="s">
        <v>31582</v>
      </c>
      <c r="H14774" t="s">
        <v>31591</v>
      </c>
      <c r="I14774" t="s">
        <v>8822</v>
      </c>
      <c r="J14774" t="s">
        <v>34707</v>
      </c>
      <c r="K14774" t="s">
        <v>41184</v>
      </c>
      <c r="L14774" t="s">
        <v>2837</v>
      </c>
      <c r="M14774" t="s">
        <v>44618</v>
      </c>
      <c r="N14774" t="s">
        <v>45095</v>
      </c>
      <c r="O14774" t="s">
        <v>45096</v>
      </c>
      <c r="Q14774">
        <v>0</v>
      </c>
      <c r="R14774" t="s">
        <v>45144</v>
      </c>
      <c r="S14774" t="s">
        <v>46306</v>
      </c>
      <c r="T14774" t="s">
        <v>46966</v>
      </c>
      <c r="U14774" t="s">
        <v>59356</v>
      </c>
      <c r="V14774" t="s">
        <v>61054</v>
      </c>
      <c r="W14774" t="s">
        <v>44618</v>
      </c>
      <c r="X14774" t="s">
        <v>45145</v>
      </c>
    </row>
    <row r="14775" spans="1:24">
      <c r="A14775">
        <f>HYPERLINK("https://www.philgeps.gov.ph/GEPSNONPILOT/Tender/SplashBidNoticeAbstractUI.aspx?menuIndex=3&amp;refID=6972243&amp;Result=3","6972243")</f>
        <v>0</v>
      </c>
      <c r="B14775" t="s">
        <v>2837</v>
      </c>
      <c r="C14775" t="s">
        <v>17345</v>
      </c>
      <c r="D14775" t="s">
        <v>18065</v>
      </c>
      <c r="E14775" t="s">
        <v>30959</v>
      </c>
      <c r="F14775" t="s">
        <v>31574</v>
      </c>
      <c r="G14775" t="s">
        <v>31582</v>
      </c>
      <c r="H14775" t="s">
        <v>31591</v>
      </c>
      <c r="I14775" t="s">
        <v>8822</v>
      </c>
      <c r="J14775" t="s">
        <v>34058</v>
      </c>
      <c r="K14775" t="s">
        <v>41184</v>
      </c>
      <c r="L14775" t="s">
        <v>2837</v>
      </c>
      <c r="M14775" t="s">
        <v>44618</v>
      </c>
      <c r="N14775" t="s">
        <v>45095</v>
      </c>
      <c r="O14775" t="s">
        <v>45096</v>
      </c>
      <c r="Q14775">
        <v>3</v>
      </c>
      <c r="R14775" t="s">
        <v>45144</v>
      </c>
      <c r="S14775" t="s">
        <v>46303</v>
      </c>
      <c r="T14775" t="s">
        <v>47159</v>
      </c>
      <c r="U14775" t="s">
        <v>59356</v>
      </c>
      <c r="V14775" t="s">
        <v>61054</v>
      </c>
      <c r="W14775" t="s">
        <v>44618</v>
      </c>
      <c r="X14775" t="s">
        <v>45145</v>
      </c>
    </row>
    <row r="14776" spans="1:24">
      <c r="A14776">
        <f>HYPERLINK("https://www.philgeps.gov.ph/GEPSNONPILOT/Tender/SplashBidNoticeAbstractUI.aspx?menuIndex=3&amp;refID=6972608&amp;Result=3","6972608")</f>
        <v>0</v>
      </c>
      <c r="B14776" t="s">
        <v>2837</v>
      </c>
      <c r="C14776" t="s">
        <v>17346</v>
      </c>
      <c r="D14776" t="s">
        <v>18065</v>
      </c>
      <c r="E14776" t="s">
        <v>30960</v>
      </c>
      <c r="F14776" t="s">
        <v>31574</v>
      </c>
      <c r="G14776" t="s">
        <v>31582</v>
      </c>
      <c r="H14776" t="s">
        <v>31591</v>
      </c>
      <c r="I14776" t="s">
        <v>8822</v>
      </c>
      <c r="J14776" t="s">
        <v>37686</v>
      </c>
      <c r="K14776" t="s">
        <v>41184</v>
      </c>
      <c r="L14776" t="s">
        <v>2837</v>
      </c>
      <c r="M14776" t="s">
        <v>44618</v>
      </c>
      <c r="N14776" t="s">
        <v>45095</v>
      </c>
      <c r="O14776" t="s">
        <v>45096</v>
      </c>
      <c r="Q14776">
        <v>0</v>
      </c>
      <c r="R14776" t="s">
        <v>45144</v>
      </c>
      <c r="S14776" t="s">
        <v>46307</v>
      </c>
      <c r="T14776" t="s">
        <v>46973</v>
      </c>
      <c r="U14776" t="s">
        <v>59358</v>
      </c>
      <c r="V14776" t="s">
        <v>61054</v>
      </c>
      <c r="W14776" t="s">
        <v>44618</v>
      </c>
      <c r="X14776" t="s">
        <v>45145</v>
      </c>
    </row>
    <row r="14777" spans="1:24">
      <c r="A14777">
        <f>HYPERLINK("https://www.philgeps.gov.ph/GEPSNONPILOT/Tender/SplashBidNoticeAbstractUI.aspx?menuIndex=3&amp;refID=6972592&amp;Result=3","6972592")</f>
        <v>0</v>
      </c>
      <c r="B14777" t="s">
        <v>2837</v>
      </c>
      <c r="C14777" t="s">
        <v>17347</v>
      </c>
      <c r="D14777" t="s">
        <v>18065</v>
      </c>
      <c r="E14777" t="s">
        <v>30961</v>
      </c>
      <c r="F14777" t="s">
        <v>31574</v>
      </c>
      <c r="G14777" t="s">
        <v>31582</v>
      </c>
      <c r="H14777" t="s">
        <v>31591</v>
      </c>
      <c r="I14777" t="s">
        <v>8822</v>
      </c>
      <c r="J14777" t="s">
        <v>34059</v>
      </c>
      <c r="K14777" t="s">
        <v>41184</v>
      </c>
      <c r="L14777" t="s">
        <v>2837</v>
      </c>
      <c r="M14777" t="s">
        <v>44618</v>
      </c>
      <c r="N14777" t="s">
        <v>45095</v>
      </c>
      <c r="O14777" t="s">
        <v>45096</v>
      </c>
      <c r="Q14777">
        <v>0</v>
      </c>
      <c r="R14777" t="s">
        <v>45144</v>
      </c>
      <c r="S14777" t="s">
        <v>46308</v>
      </c>
      <c r="T14777" t="s">
        <v>46973</v>
      </c>
      <c r="U14777" t="s">
        <v>59358</v>
      </c>
      <c r="V14777" t="s">
        <v>61054</v>
      </c>
      <c r="W14777" t="s">
        <v>44618</v>
      </c>
      <c r="X14777" t="s">
        <v>45145</v>
      </c>
    </row>
    <row r="14778" spans="1:24">
      <c r="A14778">
        <f>HYPERLINK("https://www.philgeps.gov.ph/GEPSNONPILOT/Tender/SplashBidNoticeAbstractUI.aspx?menuIndex=3&amp;refID=6970175&amp;Result=3","6970175")</f>
        <v>0</v>
      </c>
      <c r="B14778" t="s">
        <v>2196</v>
      </c>
      <c r="C14778" t="s">
        <v>17348</v>
      </c>
      <c r="D14778" t="s">
        <v>18086</v>
      </c>
      <c r="E14778" t="s">
        <v>30962</v>
      </c>
      <c r="F14778" t="s">
        <v>31574</v>
      </c>
      <c r="G14778" t="s">
        <v>31582</v>
      </c>
      <c r="H14778" t="s">
        <v>31591</v>
      </c>
      <c r="I14778" t="s">
        <v>8822</v>
      </c>
      <c r="J14778" t="s">
        <v>34707</v>
      </c>
      <c r="K14778" t="s">
        <v>41300</v>
      </c>
      <c r="M14778" t="s">
        <v>45012</v>
      </c>
      <c r="N14778" t="s">
        <v>45095</v>
      </c>
      <c r="O14778" t="s">
        <v>45096</v>
      </c>
      <c r="Q14778">
        <v>1</v>
      </c>
      <c r="R14778" t="s">
        <v>45145</v>
      </c>
      <c r="S14778" t="s">
        <v>46114</v>
      </c>
      <c r="T14778" t="s">
        <v>46910</v>
      </c>
      <c r="U14778" t="s">
        <v>59359</v>
      </c>
      <c r="V14778" t="s">
        <v>61498</v>
      </c>
      <c r="W14778" t="s">
        <v>45012</v>
      </c>
      <c r="X14778" t="s">
        <v>61785</v>
      </c>
    </row>
    <row r="14779" spans="1:24">
      <c r="A14779">
        <f>HYPERLINK("https://www.philgeps.gov.ph/GEPSNONPILOT/Tender/SplashBidNoticeAbstractUI.aspx?menuIndex=3&amp;refID=6970779&amp;Result=3","6970779")</f>
        <v>0</v>
      </c>
      <c r="B14779" t="s">
        <v>3152</v>
      </c>
      <c r="C14779" t="s">
        <v>17349</v>
      </c>
      <c r="D14779" t="s">
        <v>18077</v>
      </c>
      <c r="E14779" t="s">
        <v>30963</v>
      </c>
      <c r="F14779" t="s">
        <v>31574</v>
      </c>
      <c r="G14779" t="s">
        <v>31582</v>
      </c>
      <c r="H14779" t="s">
        <v>31591</v>
      </c>
      <c r="I14779" t="s">
        <v>8822</v>
      </c>
      <c r="J14779" t="s">
        <v>34697</v>
      </c>
      <c r="K14779" t="s">
        <v>41202</v>
      </c>
      <c r="M14779" t="s">
        <v>45013</v>
      </c>
      <c r="N14779" t="s">
        <v>45095</v>
      </c>
      <c r="O14779" t="s">
        <v>45096</v>
      </c>
      <c r="Q14779">
        <v>2</v>
      </c>
      <c r="R14779" t="s">
        <v>45145</v>
      </c>
      <c r="S14779" t="s">
        <v>46309</v>
      </c>
      <c r="T14779" t="s">
        <v>47444</v>
      </c>
      <c r="U14779" t="s">
        <v>59360</v>
      </c>
      <c r="W14779" t="s">
        <v>45013</v>
      </c>
      <c r="X14779" t="s">
        <v>61786</v>
      </c>
    </row>
    <row r="14780" spans="1:24">
      <c r="A14780">
        <f>HYPERLINK("https://www.philgeps.gov.ph/GEPSNONPILOT/Tender/SplashBidNoticeAbstractUI.aspx?menuIndex=3&amp;refID=6972653&amp;Result=3","6972653")</f>
        <v>0</v>
      </c>
      <c r="B14780" t="s">
        <v>2837</v>
      </c>
      <c r="C14780" t="s">
        <v>17350</v>
      </c>
      <c r="D14780" t="s">
        <v>18065</v>
      </c>
      <c r="E14780" t="s">
        <v>30964</v>
      </c>
      <c r="F14780" t="s">
        <v>31574</v>
      </c>
      <c r="G14780" t="s">
        <v>31582</v>
      </c>
      <c r="H14780" t="s">
        <v>31591</v>
      </c>
      <c r="I14780" t="s">
        <v>8822</v>
      </c>
      <c r="J14780" t="s">
        <v>34071</v>
      </c>
      <c r="K14780" t="s">
        <v>41184</v>
      </c>
      <c r="L14780" t="s">
        <v>2837</v>
      </c>
      <c r="M14780" t="s">
        <v>44618</v>
      </c>
      <c r="N14780" t="s">
        <v>45095</v>
      </c>
      <c r="O14780" t="s">
        <v>45096</v>
      </c>
      <c r="Q14780">
        <v>1</v>
      </c>
      <c r="R14780" t="s">
        <v>45144</v>
      </c>
      <c r="S14780" t="s">
        <v>46310</v>
      </c>
      <c r="T14780" t="s">
        <v>46973</v>
      </c>
      <c r="U14780" t="s">
        <v>59358</v>
      </c>
      <c r="V14780" t="s">
        <v>61054</v>
      </c>
      <c r="W14780" t="s">
        <v>44618</v>
      </c>
      <c r="X14780" t="s">
        <v>45145</v>
      </c>
    </row>
    <row r="14781" spans="1:24">
      <c r="A14781">
        <f>HYPERLINK("https://www.philgeps.gov.ph/GEPSNONPILOT/Tender/SplashBidNoticeAbstractUI.aspx?menuIndex=3&amp;refID=6972613&amp;Result=3","6972613")</f>
        <v>0</v>
      </c>
      <c r="B14781" t="s">
        <v>2837</v>
      </c>
      <c r="C14781" t="s">
        <v>17351</v>
      </c>
      <c r="D14781" t="s">
        <v>18065</v>
      </c>
      <c r="E14781" t="s">
        <v>30965</v>
      </c>
      <c r="F14781" t="s">
        <v>31574</v>
      </c>
      <c r="G14781" t="s">
        <v>31582</v>
      </c>
      <c r="H14781" t="s">
        <v>31591</v>
      </c>
      <c r="I14781" t="s">
        <v>8822</v>
      </c>
      <c r="J14781" t="s">
        <v>40757</v>
      </c>
      <c r="K14781" t="s">
        <v>41184</v>
      </c>
      <c r="L14781" t="s">
        <v>2837</v>
      </c>
      <c r="M14781" t="s">
        <v>44618</v>
      </c>
      <c r="N14781" t="s">
        <v>45095</v>
      </c>
      <c r="O14781" t="s">
        <v>45096</v>
      </c>
      <c r="Q14781">
        <v>1</v>
      </c>
      <c r="R14781" t="s">
        <v>45144</v>
      </c>
      <c r="S14781" t="s">
        <v>46311</v>
      </c>
      <c r="T14781" t="s">
        <v>46973</v>
      </c>
      <c r="U14781" t="s">
        <v>59358</v>
      </c>
      <c r="V14781" t="s">
        <v>61054</v>
      </c>
      <c r="W14781" t="s">
        <v>44618</v>
      </c>
      <c r="X14781" t="s">
        <v>45145</v>
      </c>
    </row>
    <row r="14782" spans="1:24">
      <c r="A14782">
        <f>HYPERLINK("https://www.philgeps.gov.ph/GEPSNONPILOT/Tender/SplashBidNoticeAbstractUI.aspx?menuIndex=3&amp;refID=6972933&amp;Result=3","6972933")</f>
        <v>0</v>
      </c>
      <c r="B14782" t="s">
        <v>3153</v>
      </c>
      <c r="C14782" t="s">
        <v>17352</v>
      </c>
      <c r="D14782" t="s">
        <v>18041</v>
      </c>
      <c r="E14782" t="s">
        <v>30966</v>
      </c>
      <c r="F14782" t="s">
        <v>31574</v>
      </c>
      <c r="G14782" t="s">
        <v>31582</v>
      </c>
      <c r="H14782" t="s">
        <v>31590</v>
      </c>
      <c r="I14782" t="s">
        <v>31718</v>
      </c>
      <c r="J14782" t="s">
        <v>37142</v>
      </c>
      <c r="K14782" t="s">
        <v>41186</v>
      </c>
      <c r="M14782" t="s">
        <v>45014</v>
      </c>
      <c r="N14782" t="s">
        <v>45095</v>
      </c>
      <c r="O14782" t="s">
        <v>45096</v>
      </c>
      <c r="Q14782">
        <v>7</v>
      </c>
      <c r="R14782" t="s">
        <v>45144</v>
      </c>
      <c r="S14782" t="s">
        <v>46312</v>
      </c>
      <c r="T14782" t="s">
        <v>46979</v>
      </c>
      <c r="U14782" t="s">
        <v>59361</v>
      </c>
      <c r="V14782" t="s">
        <v>61499</v>
      </c>
      <c r="W14782" t="s">
        <v>61777</v>
      </c>
      <c r="X14782" t="s">
        <v>45145</v>
      </c>
    </row>
    <row r="14783" spans="1:24">
      <c r="A14783">
        <f>HYPERLINK("https://www.philgeps.gov.ph/GEPSNONPILOT/Tender/SplashBidNoticeAbstractUI.aspx?menuIndex=3&amp;refID=6972562&amp;Result=3","6972562")</f>
        <v>0</v>
      </c>
      <c r="B14783" t="s">
        <v>2837</v>
      </c>
      <c r="C14783" t="s">
        <v>17353</v>
      </c>
      <c r="D14783" t="s">
        <v>18065</v>
      </c>
      <c r="E14783" t="s">
        <v>30967</v>
      </c>
      <c r="F14783" t="s">
        <v>31574</v>
      </c>
      <c r="G14783" t="s">
        <v>31582</v>
      </c>
      <c r="H14783" t="s">
        <v>31591</v>
      </c>
      <c r="I14783" t="s">
        <v>8822</v>
      </c>
      <c r="J14783" t="s">
        <v>35362</v>
      </c>
      <c r="K14783" t="s">
        <v>41184</v>
      </c>
      <c r="L14783" t="s">
        <v>2837</v>
      </c>
      <c r="M14783" t="s">
        <v>44618</v>
      </c>
      <c r="N14783" t="s">
        <v>45095</v>
      </c>
      <c r="O14783" t="s">
        <v>45096</v>
      </c>
      <c r="Q14783">
        <v>0</v>
      </c>
      <c r="R14783" t="s">
        <v>45144</v>
      </c>
      <c r="S14783" t="s">
        <v>46313</v>
      </c>
      <c r="T14783" t="s">
        <v>46973</v>
      </c>
      <c r="U14783" t="s">
        <v>59358</v>
      </c>
      <c r="V14783" t="s">
        <v>61054</v>
      </c>
      <c r="W14783" t="s">
        <v>44618</v>
      </c>
      <c r="X14783" t="s">
        <v>45145</v>
      </c>
    </row>
    <row r="14784" spans="1:24">
      <c r="A14784">
        <f>HYPERLINK("https://www.philgeps.gov.ph/GEPSNONPILOT/Tender/SplashBidNoticeAbstractUI.aspx?menuIndex=3&amp;refID=6968028&amp;Result=3","6968028")</f>
        <v>0</v>
      </c>
      <c r="B14784" t="s">
        <v>246</v>
      </c>
      <c r="C14784" t="s">
        <v>17354</v>
      </c>
      <c r="D14784" t="s">
        <v>18033</v>
      </c>
      <c r="E14784" t="s">
        <v>30968</v>
      </c>
      <c r="F14784" t="s">
        <v>31574</v>
      </c>
      <c r="G14784" t="s">
        <v>31581</v>
      </c>
      <c r="H14784" t="s">
        <v>31590</v>
      </c>
      <c r="I14784" t="s">
        <v>31599</v>
      </c>
      <c r="J14784" t="s">
        <v>32019</v>
      </c>
      <c r="K14784" t="s">
        <v>41192</v>
      </c>
      <c r="M14784" t="s">
        <v>41732</v>
      </c>
      <c r="N14784" t="s">
        <v>45095</v>
      </c>
      <c r="O14784" t="s">
        <v>45096</v>
      </c>
      <c r="Q14784">
        <v>0</v>
      </c>
      <c r="R14784" t="s">
        <v>45146</v>
      </c>
      <c r="S14784" t="s">
        <v>46314</v>
      </c>
      <c r="T14784" t="s">
        <v>47021</v>
      </c>
      <c r="U14784" t="s">
        <v>59362</v>
      </c>
      <c r="W14784" t="s">
        <v>41732</v>
      </c>
      <c r="X14784" t="s">
        <v>45150</v>
      </c>
    </row>
    <row r="14785" spans="1:24">
      <c r="A14785">
        <f>HYPERLINK("https://www.philgeps.gov.ph/GEPSNONPILOT/Tender/SplashBidNoticeAbstractUI.aspx?menuIndex=3&amp;refID=6972223&amp;Result=3","6972223")</f>
        <v>0</v>
      </c>
      <c r="B14785" t="s">
        <v>2837</v>
      </c>
      <c r="C14785" t="s">
        <v>17355</v>
      </c>
      <c r="D14785" t="s">
        <v>18065</v>
      </c>
      <c r="E14785" t="s">
        <v>30969</v>
      </c>
      <c r="F14785" t="s">
        <v>31574</v>
      </c>
      <c r="G14785" t="s">
        <v>31582</v>
      </c>
      <c r="H14785" t="s">
        <v>31591</v>
      </c>
      <c r="I14785" t="s">
        <v>8822</v>
      </c>
      <c r="J14785" t="s">
        <v>34059</v>
      </c>
      <c r="K14785" t="s">
        <v>41184</v>
      </c>
      <c r="L14785" t="s">
        <v>2837</v>
      </c>
      <c r="M14785" t="s">
        <v>44618</v>
      </c>
      <c r="N14785" t="s">
        <v>45095</v>
      </c>
      <c r="O14785" t="s">
        <v>45096</v>
      </c>
      <c r="Q14785">
        <v>3</v>
      </c>
      <c r="R14785" t="s">
        <v>45144</v>
      </c>
      <c r="S14785" t="s">
        <v>46315</v>
      </c>
      <c r="T14785" t="s">
        <v>47159</v>
      </c>
      <c r="U14785" t="s">
        <v>59356</v>
      </c>
      <c r="V14785" t="s">
        <v>61054</v>
      </c>
      <c r="W14785" t="s">
        <v>44618</v>
      </c>
      <c r="X14785" t="s">
        <v>45145</v>
      </c>
    </row>
    <row r="14786" spans="1:24">
      <c r="A14786">
        <f>HYPERLINK("https://www.philgeps.gov.ph/GEPSNONPILOT/Tender/SplashBidNoticeAbstractUI.aspx?menuIndex=3&amp;refID=6972670&amp;Result=3","6972670")</f>
        <v>0</v>
      </c>
      <c r="B14786" t="s">
        <v>2837</v>
      </c>
      <c r="C14786" t="s">
        <v>17356</v>
      </c>
      <c r="D14786" t="s">
        <v>18065</v>
      </c>
      <c r="E14786" t="s">
        <v>30970</v>
      </c>
      <c r="F14786" t="s">
        <v>31574</v>
      </c>
      <c r="G14786" t="s">
        <v>31582</v>
      </c>
      <c r="H14786" t="s">
        <v>31591</v>
      </c>
      <c r="I14786" t="s">
        <v>8822</v>
      </c>
      <c r="J14786" t="s">
        <v>37686</v>
      </c>
      <c r="K14786" t="s">
        <v>41184</v>
      </c>
      <c r="L14786" t="s">
        <v>2837</v>
      </c>
      <c r="M14786" t="s">
        <v>44618</v>
      </c>
      <c r="N14786" t="s">
        <v>45095</v>
      </c>
      <c r="O14786" t="s">
        <v>45096</v>
      </c>
      <c r="Q14786">
        <v>0</v>
      </c>
      <c r="R14786" t="s">
        <v>45144</v>
      </c>
      <c r="S14786" t="s">
        <v>46316</v>
      </c>
      <c r="T14786" t="s">
        <v>46973</v>
      </c>
      <c r="U14786" t="s">
        <v>59358</v>
      </c>
      <c r="V14786" t="s">
        <v>61054</v>
      </c>
      <c r="W14786" t="s">
        <v>44618</v>
      </c>
      <c r="X14786" t="s">
        <v>45145</v>
      </c>
    </row>
    <row r="14787" spans="1:24">
      <c r="A14787">
        <f>HYPERLINK("https://www.philgeps.gov.ph/GEPSNONPILOT/Tender/SplashBidNoticeAbstractUI.aspx?menuIndex=3&amp;refID=6972699&amp;Result=3","6972699")</f>
        <v>0</v>
      </c>
      <c r="B14787" t="s">
        <v>2837</v>
      </c>
      <c r="C14787" t="s">
        <v>17357</v>
      </c>
      <c r="D14787" t="s">
        <v>18065</v>
      </c>
      <c r="E14787" t="s">
        <v>30971</v>
      </c>
      <c r="F14787" t="s">
        <v>31574</v>
      </c>
      <c r="G14787" t="s">
        <v>31582</v>
      </c>
      <c r="H14787" t="s">
        <v>31591</v>
      </c>
      <c r="I14787" t="s">
        <v>8822</v>
      </c>
      <c r="J14787" t="s">
        <v>37686</v>
      </c>
      <c r="K14787" t="s">
        <v>41184</v>
      </c>
      <c r="L14787" t="s">
        <v>2837</v>
      </c>
      <c r="M14787" t="s">
        <v>44618</v>
      </c>
      <c r="N14787" t="s">
        <v>45095</v>
      </c>
      <c r="O14787" t="s">
        <v>45096</v>
      </c>
      <c r="Q14787">
        <v>1</v>
      </c>
      <c r="R14787" t="s">
        <v>45144</v>
      </c>
      <c r="S14787" t="s">
        <v>46317</v>
      </c>
      <c r="T14787" t="s">
        <v>46973</v>
      </c>
      <c r="U14787" t="s">
        <v>59358</v>
      </c>
      <c r="V14787" t="s">
        <v>61054</v>
      </c>
      <c r="W14787" t="s">
        <v>44618</v>
      </c>
      <c r="X14787" t="s">
        <v>45145</v>
      </c>
    </row>
    <row r="14788" spans="1:24">
      <c r="A14788">
        <f>HYPERLINK("https://www.philgeps.gov.ph/GEPSNONPILOT/Tender/SplashBidNoticeAbstractUI.aspx?menuIndex=3&amp;refID=6972666&amp;Result=3","6972666")</f>
        <v>0</v>
      </c>
      <c r="B14788" t="s">
        <v>2837</v>
      </c>
      <c r="C14788" t="s">
        <v>17358</v>
      </c>
      <c r="D14788" t="s">
        <v>18065</v>
      </c>
      <c r="E14788" t="s">
        <v>30972</v>
      </c>
      <c r="F14788" t="s">
        <v>31574</v>
      </c>
      <c r="G14788" t="s">
        <v>31582</v>
      </c>
      <c r="H14788" t="s">
        <v>31591</v>
      </c>
      <c r="I14788" t="s">
        <v>8822</v>
      </c>
      <c r="J14788" t="s">
        <v>38214</v>
      </c>
      <c r="K14788" t="s">
        <v>41184</v>
      </c>
      <c r="L14788" t="s">
        <v>2837</v>
      </c>
      <c r="M14788" t="s">
        <v>44618</v>
      </c>
      <c r="N14788" t="s">
        <v>45095</v>
      </c>
      <c r="O14788" t="s">
        <v>45096</v>
      </c>
      <c r="Q14788">
        <v>0</v>
      </c>
      <c r="R14788" t="s">
        <v>45144</v>
      </c>
      <c r="S14788" t="s">
        <v>46310</v>
      </c>
      <c r="T14788" t="s">
        <v>46973</v>
      </c>
      <c r="U14788" t="s">
        <v>59358</v>
      </c>
      <c r="V14788" t="s">
        <v>61054</v>
      </c>
      <c r="W14788" t="s">
        <v>44618</v>
      </c>
      <c r="X14788" t="s">
        <v>45145</v>
      </c>
    </row>
    <row r="14789" spans="1:24">
      <c r="A14789">
        <f>HYPERLINK("https://www.philgeps.gov.ph/GEPSNONPILOT/Tender/SplashBidNoticeAbstractUI.aspx?menuIndex=3&amp;refID=6964274&amp;Result=3","6964274")</f>
        <v>0</v>
      </c>
      <c r="B14789" t="s">
        <v>1319</v>
      </c>
      <c r="C14789" t="s">
        <v>17359</v>
      </c>
      <c r="D14789" t="s">
        <v>18075</v>
      </c>
      <c r="E14789" t="s">
        <v>30973</v>
      </c>
      <c r="F14789" t="s">
        <v>31574</v>
      </c>
      <c r="G14789" t="s">
        <v>31582</v>
      </c>
      <c r="H14789" t="s">
        <v>31590</v>
      </c>
      <c r="I14789" t="s">
        <v>8822</v>
      </c>
      <c r="J14789" t="s">
        <v>40758</v>
      </c>
      <c r="K14789" t="s">
        <v>41484</v>
      </c>
      <c r="M14789" t="s">
        <v>42889</v>
      </c>
      <c r="N14789" t="s">
        <v>45095</v>
      </c>
      <c r="O14789" t="s">
        <v>45096</v>
      </c>
      <c r="P14789">
        <v>0</v>
      </c>
      <c r="Q14789">
        <v>6</v>
      </c>
      <c r="R14789" t="s">
        <v>45147</v>
      </c>
      <c r="S14789" t="s">
        <v>46318</v>
      </c>
      <c r="T14789" t="s">
        <v>47011</v>
      </c>
      <c r="U14789" t="s">
        <v>59363</v>
      </c>
      <c r="W14789" t="s">
        <v>42889</v>
      </c>
      <c r="X14789" t="s">
        <v>45148</v>
      </c>
    </row>
    <row r="14790" spans="1:24">
      <c r="A14790">
        <f>HYPERLINK("https://www.philgeps.gov.ph/GEPSNONPILOT/Tender/SplashBidNoticeAbstractUI.aspx?menuIndex=3&amp;refID=6959741&amp;Result=3","6959741")</f>
        <v>0</v>
      </c>
      <c r="B14790" t="s">
        <v>246</v>
      </c>
      <c r="C14790" t="s">
        <v>17360</v>
      </c>
      <c r="D14790" t="s">
        <v>18117</v>
      </c>
      <c r="E14790" t="s">
        <v>30974</v>
      </c>
      <c r="F14790" t="s">
        <v>31574</v>
      </c>
      <c r="G14790" t="s">
        <v>31581</v>
      </c>
      <c r="H14790" t="s">
        <v>31590</v>
      </c>
      <c r="I14790" t="s">
        <v>3487</v>
      </c>
      <c r="J14790" t="s">
        <v>40759</v>
      </c>
      <c r="K14790" t="s">
        <v>41196</v>
      </c>
      <c r="M14790" t="s">
        <v>41732</v>
      </c>
      <c r="N14790" t="s">
        <v>45095</v>
      </c>
      <c r="O14790" t="s">
        <v>45096</v>
      </c>
      <c r="Q14790">
        <v>2</v>
      </c>
      <c r="R14790" t="s">
        <v>45148</v>
      </c>
      <c r="S14790" t="s">
        <v>46319</v>
      </c>
      <c r="T14790" t="s">
        <v>47021</v>
      </c>
      <c r="U14790" t="s">
        <v>59364</v>
      </c>
      <c r="W14790" t="s">
        <v>41732</v>
      </c>
      <c r="X14790" t="s">
        <v>45158</v>
      </c>
    </row>
    <row r="14791" spans="1:24">
      <c r="A14791">
        <f>HYPERLINK("https://www.philgeps.gov.ph/GEPSNONPILOT/Tender/SplashBidNoticeAbstractUI.aspx?menuIndex=3&amp;refID=6972715&amp;Result=3","6972715")</f>
        <v>0</v>
      </c>
      <c r="B14791" t="s">
        <v>2837</v>
      </c>
      <c r="C14791" t="s">
        <v>17361</v>
      </c>
      <c r="D14791" t="s">
        <v>18065</v>
      </c>
      <c r="E14791" t="s">
        <v>30975</v>
      </c>
      <c r="F14791" t="s">
        <v>31574</v>
      </c>
      <c r="G14791" t="s">
        <v>31582</v>
      </c>
      <c r="H14791" t="s">
        <v>31591</v>
      </c>
      <c r="I14791" t="s">
        <v>8822</v>
      </c>
      <c r="J14791" t="s">
        <v>37686</v>
      </c>
      <c r="K14791" t="s">
        <v>41184</v>
      </c>
      <c r="L14791" t="s">
        <v>2837</v>
      </c>
      <c r="M14791" t="s">
        <v>44618</v>
      </c>
      <c r="N14791" t="s">
        <v>45095</v>
      </c>
      <c r="O14791" t="s">
        <v>45096</v>
      </c>
      <c r="Q14791">
        <v>1</v>
      </c>
      <c r="R14791" t="s">
        <v>45144</v>
      </c>
      <c r="S14791" t="s">
        <v>46320</v>
      </c>
      <c r="T14791" t="s">
        <v>46973</v>
      </c>
      <c r="U14791" t="s">
        <v>59358</v>
      </c>
      <c r="V14791" t="s">
        <v>61054</v>
      </c>
      <c r="W14791" t="s">
        <v>44618</v>
      </c>
      <c r="X14791" t="s">
        <v>45145</v>
      </c>
    </row>
    <row r="14792" spans="1:24">
      <c r="A14792">
        <f>HYPERLINK("https://www.philgeps.gov.ph/GEPSNONPILOT/Tender/SplashBidNoticeAbstractUI.aspx?menuIndex=3&amp;refID=6964238&amp;Result=3","6964238")</f>
        <v>0</v>
      </c>
      <c r="B14792" t="s">
        <v>246</v>
      </c>
      <c r="C14792" t="s">
        <v>17362</v>
      </c>
      <c r="D14792" t="s">
        <v>18047</v>
      </c>
      <c r="E14792" t="s">
        <v>30976</v>
      </c>
      <c r="F14792" t="s">
        <v>31574</v>
      </c>
      <c r="G14792" t="s">
        <v>31581</v>
      </c>
      <c r="H14792" t="s">
        <v>31590</v>
      </c>
      <c r="I14792" t="s">
        <v>31631</v>
      </c>
      <c r="J14792" t="s">
        <v>40760</v>
      </c>
      <c r="K14792" t="s">
        <v>41192</v>
      </c>
      <c r="M14792" t="s">
        <v>41732</v>
      </c>
      <c r="N14792" t="s">
        <v>45095</v>
      </c>
      <c r="O14792" t="s">
        <v>45096</v>
      </c>
      <c r="Q14792">
        <v>2</v>
      </c>
      <c r="R14792" t="s">
        <v>45149</v>
      </c>
      <c r="S14792" t="s">
        <v>46321</v>
      </c>
      <c r="T14792" t="s">
        <v>47021</v>
      </c>
      <c r="U14792" t="s">
        <v>59365</v>
      </c>
      <c r="W14792" t="s">
        <v>41732</v>
      </c>
      <c r="X14792" t="s">
        <v>45148</v>
      </c>
    </row>
    <row r="14793" spans="1:24">
      <c r="A14793">
        <f>HYPERLINK("https://www.philgeps.gov.ph/GEPSNONPILOT/Tender/SplashBidNoticeAbstractUI.aspx?menuIndex=3&amp;refID=6965002&amp;Result=3","6965002")</f>
        <v>0</v>
      </c>
      <c r="B14793" t="s">
        <v>1130</v>
      </c>
      <c r="C14793" t="s">
        <v>17363</v>
      </c>
      <c r="D14793" t="s">
        <v>18048</v>
      </c>
      <c r="E14793" t="s">
        <v>30977</v>
      </c>
      <c r="F14793" t="s">
        <v>31574</v>
      </c>
      <c r="G14793" t="s">
        <v>31582</v>
      </c>
      <c r="H14793" t="s">
        <v>31590</v>
      </c>
      <c r="I14793" t="s">
        <v>31596</v>
      </c>
      <c r="J14793" t="s">
        <v>40761</v>
      </c>
      <c r="K14793" t="s">
        <v>41210</v>
      </c>
      <c r="M14793" t="s">
        <v>45015</v>
      </c>
      <c r="N14793" t="s">
        <v>45095</v>
      </c>
      <c r="O14793" t="s">
        <v>45096</v>
      </c>
      <c r="Q14793">
        <v>4</v>
      </c>
      <c r="R14793" t="s">
        <v>45147</v>
      </c>
      <c r="S14793" t="s">
        <v>46322</v>
      </c>
      <c r="T14793" t="s">
        <v>47000</v>
      </c>
      <c r="U14793" t="s">
        <v>59366</v>
      </c>
      <c r="V14793" t="s">
        <v>60399</v>
      </c>
      <c r="W14793" t="s">
        <v>45015</v>
      </c>
      <c r="X14793" t="s">
        <v>45148</v>
      </c>
    </row>
    <row r="14794" spans="1:24">
      <c r="A14794">
        <f>HYPERLINK("https://www.philgeps.gov.ph/GEPSNONPILOT/Tender/SplashBidNoticeAbstractUI.aspx?menuIndex=3&amp;refID=6964309&amp;Result=3","6964309")</f>
        <v>0</v>
      </c>
      <c r="B14794" t="s">
        <v>246</v>
      </c>
      <c r="C14794" t="s">
        <v>17364</v>
      </c>
      <c r="D14794" t="s">
        <v>18033</v>
      </c>
      <c r="E14794" t="s">
        <v>30978</v>
      </c>
      <c r="F14794" t="s">
        <v>31574</v>
      </c>
      <c r="G14794" t="s">
        <v>31581</v>
      </c>
      <c r="H14794" t="s">
        <v>31590</v>
      </c>
      <c r="I14794" t="s">
        <v>31631</v>
      </c>
      <c r="J14794" t="s">
        <v>40762</v>
      </c>
      <c r="K14794" t="s">
        <v>41192</v>
      </c>
      <c r="M14794" t="s">
        <v>41732</v>
      </c>
      <c r="N14794" t="s">
        <v>45095</v>
      </c>
      <c r="O14794" t="s">
        <v>45096</v>
      </c>
      <c r="Q14794">
        <v>1</v>
      </c>
      <c r="R14794" t="s">
        <v>45149</v>
      </c>
      <c r="S14794" t="s">
        <v>46323</v>
      </c>
      <c r="T14794" t="s">
        <v>47021</v>
      </c>
      <c r="U14794" t="s">
        <v>59367</v>
      </c>
      <c r="W14794" t="s">
        <v>41732</v>
      </c>
      <c r="X14794" t="s">
        <v>45148</v>
      </c>
    </row>
    <row r="14795" spans="1:24">
      <c r="A14795">
        <f>HYPERLINK("https://www.philgeps.gov.ph/GEPSNONPILOT/Tender/SplashBidNoticeAbstractUI.aspx?menuIndex=3&amp;refID=6972706&amp;Result=3","6972706")</f>
        <v>0</v>
      </c>
      <c r="B14795" t="s">
        <v>2837</v>
      </c>
      <c r="C14795" t="s">
        <v>17365</v>
      </c>
      <c r="D14795" t="s">
        <v>18065</v>
      </c>
      <c r="E14795" t="s">
        <v>30979</v>
      </c>
      <c r="F14795" t="s">
        <v>31574</v>
      </c>
      <c r="G14795" t="s">
        <v>31582</v>
      </c>
      <c r="H14795" t="s">
        <v>31591</v>
      </c>
      <c r="I14795" t="s">
        <v>8822</v>
      </c>
      <c r="J14795" t="s">
        <v>37686</v>
      </c>
      <c r="K14795" t="s">
        <v>41184</v>
      </c>
      <c r="L14795" t="s">
        <v>2837</v>
      </c>
      <c r="M14795" t="s">
        <v>44618</v>
      </c>
      <c r="N14795" t="s">
        <v>45095</v>
      </c>
      <c r="O14795" t="s">
        <v>45096</v>
      </c>
      <c r="Q14795">
        <v>0</v>
      </c>
      <c r="R14795" t="s">
        <v>45144</v>
      </c>
      <c r="S14795" t="s">
        <v>46324</v>
      </c>
      <c r="T14795" t="s">
        <v>46973</v>
      </c>
      <c r="U14795" t="s">
        <v>59358</v>
      </c>
      <c r="V14795" t="s">
        <v>61054</v>
      </c>
      <c r="W14795" t="s">
        <v>44618</v>
      </c>
      <c r="X14795" t="s">
        <v>45145</v>
      </c>
    </row>
    <row r="14796" spans="1:24">
      <c r="A14796">
        <f>HYPERLINK("https://www.philgeps.gov.ph/GEPSNONPILOT/Tender/SplashBidNoticeAbstractUI.aspx?menuIndex=3&amp;refID=6968422&amp;Result=3","6968422")</f>
        <v>0</v>
      </c>
      <c r="B14796" t="s">
        <v>1586</v>
      </c>
      <c r="C14796" t="s">
        <v>17366</v>
      </c>
      <c r="E14796" t="s">
        <v>30980</v>
      </c>
      <c r="F14796" t="s">
        <v>31574</v>
      </c>
      <c r="G14796" t="s">
        <v>31582</v>
      </c>
      <c r="H14796" t="s">
        <v>31590</v>
      </c>
      <c r="I14796" t="s">
        <v>31612</v>
      </c>
      <c r="J14796" t="s">
        <v>40763</v>
      </c>
      <c r="K14796" t="s">
        <v>41184</v>
      </c>
      <c r="M14796" t="s">
        <v>44119</v>
      </c>
      <c r="N14796" t="s">
        <v>45095</v>
      </c>
      <c r="O14796" t="s">
        <v>45096</v>
      </c>
      <c r="Q14796">
        <v>15</v>
      </c>
      <c r="R14796" t="s">
        <v>45146</v>
      </c>
      <c r="S14796" t="s">
        <v>46325</v>
      </c>
      <c r="T14796" t="s">
        <v>47072</v>
      </c>
      <c r="U14796" t="s">
        <v>59368</v>
      </c>
      <c r="W14796" t="s">
        <v>61710</v>
      </c>
      <c r="X14796" t="s">
        <v>45150</v>
      </c>
    </row>
    <row r="14797" spans="1:24">
      <c r="A14797">
        <f>HYPERLINK("https://www.philgeps.gov.ph/GEPSNONPILOT/Tender/SplashBidNoticeAbstractUI.aspx?menuIndex=3&amp;refID=6956703&amp;Result=3","6956703")</f>
        <v>0</v>
      </c>
      <c r="B14797" t="s">
        <v>1586</v>
      </c>
      <c r="C14797" t="s">
        <v>17367</v>
      </c>
      <c r="E14797" t="s">
        <v>30981</v>
      </c>
      <c r="F14797" t="s">
        <v>31574</v>
      </c>
      <c r="G14797" t="s">
        <v>31581</v>
      </c>
      <c r="H14797" t="s">
        <v>31590</v>
      </c>
      <c r="I14797" t="s">
        <v>31627</v>
      </c>
      <c r="J14797" t="s">
        <v>32490</v>
      </c>
      <c r="K14797" t="s">
        <v>41184</v>
      </c>
      <c r="M14797" t="s">
        <v>43190</v>
      </c>
      <c r="N14797" t="s">
        <v>45095</v>
      </c>
      <c r="O14797" t="s">
        <v>45096</v>
      </c>
      <c r="Q14797">
        <v>1</v>
      </c>
      <c r="R14797" t="s">
        <v>45150</v>
      </c>
      <c r="S14797" t="s">
        <v>46326</v>
      </c>
      <c r="T14797" t="s">
        <v>47083</v>
      </c>
      <c r="U14797" t="s">
        <v>59369</v>
      </c>
      <c r="V14797" t="s">
        <v>61500</v>
      </c>
      <c r="W14797" t="s">
        <v>43190</v>
      </c>
      <c r="X14797" t="s">
        <v>45160</v>
      </c>
    </row>
    <row r="14798" spans="1:24">
      <c r="A14798">
        <f>HYPERLINK("https://www.philgeps.gov.ph/GEPSNONPILOT/Tender/SplashBidNoticeAbstractUI.aspx?menuIndex=3&amp;refID=6964994&amp;Result=3","6964994")</f>
        <v>0</v>
      </c>
      <c r="B14798" t="s">
        <v>1130</v>
      </c>
      <c r="C14798" t="s">
        <v>17368</v>
      </c>
      <c r="D14798" t="s">
        <v>18048</v>
      </c>
      <c r="E14798" t="s">
        <v>30982</v>
      </c>
      <c r="F14798" t="s">
        <v>31574</v>
      </c>
      <c r="G14798" t="s">
        <v>31582</v>
      </c>
      <c r="H14798" t="s">
        <v>31590</v>
      </c>
      <c r="I14798" t="s">
        <v>31596</v>
      </c>
      <c r="J14798" t="s">
        <v>40764</v>
      </c>
      <c r="K14798" t="s">
        <v>41210</v>
      </c>
      <c r="M14798" t="s">
        <v>45015</v>
      </c>
      <c r="N14798" t="s">
        <v>45095</v>
      </c>
      <c r="O14798" t="s">
        <v>45096</v>
      </c>
      <c r="Q14798">
        <v>3</v>
      </c>
      <c r="R14798" t="s">
        <v>45147</v>
      </c>
      <c r="S14798" t="s">
        <v>46327</v>
      </c>
      <c r="T14798" t="s">
        <v>47336</v>
      </c>
      <c r="U14798" t="s">
        <v>59366</v>
      </c>
      <c r="V14798" t="s">
        <v>60399</v>
      </c>
      <c r="W14798" t="s">
        <v>45015</v>
      </c>
      <c r="X14798" t="s">
        <v>45148</v>
      </c>
    </row>
    <row r="14799" spans="1:24">
      <c r="A14799">
        <f>HYPERLINK("https://www.philgeps.gov.ph/GEPSNONPILOT/Tender/SplashBidNoticeAbstractUI.aspx?menuIndex=3&amp;refID=6962155&amp;Result=3","6962155")</f>
        <v>0</v>
      </c>
      <c r="B14799" t="s">
        <v>630</v>
      </c>
      <c r="C14799" t="s">
        <v>17369</v>
      </c>
      <c r="D14799" t="s">
        <v>18086</v>
      </c>
      <c r="E14799" t="s">
        <v>30983</v>
      </c>
      <c r="F14799" t="s">
        <v>31574</v>
      </c>
      <c r="G14799" t="s">
        <v>31582</v>
      </c>
      <c r="H14799" t="s">
        <v>31591</v>
      </c>
      <c r="I14799" t="s">
        <v>8822</v>
      </c>
      <c r="J14799" t="s">
        <v>40765</v>
      </c>
      <c r="K14799" t="s">
        <v>41485</v>
      </c>
      <c r="M14799" t="s">
        <v>42134</v>
      </c>
      <c r="N14799" t="s">
        <v>45095</v>
      </c>
      <c r="O14799" t="s">
        <v>45096</v>
      </c>
      <c r="P14799">
        <v>0</v>
      </c>
      <c r="Q14799">
        <v>5</v>
      </c>
      <c r="R14799" t="s">
        <v>45151</v>
      </c>
      <c r="S14799" t="s">
        <v>46328</v>
      </c>
      <c r="T14799" t="s">
        <v>46932</v>
      </c>
      <c r="U14799" t="s">
        <v>59370</v>
      </c>
      <c r="W14799" t="s">
        <v>42134</v>
      </c>
      <c r="X14799" t="s">
        <v>45152</v>
      </c>
    </row>
    <row r="14800" spans="1:24">
      <c r="A14800">
        <f>HYPERLINK("https://www.philgeps.gov.ph/GEPSNONPILOT/Tender/SplashBidNoticeAbstractUI.aspx?menuIndex=3&amp;refID=6968335&amp;Result=3","6968335")</f>
        <v>0</v>
      </c>
      <c r="B14800" t="s">
        <v>1586</v>
      </c>
      <c r="C14800" t="s">
        <v>17370</v>
      </c>
      <c r="E14800" t="s">
        <v>30984</v>
      </c>
      <c r="F14800" t="s">
        <v>31574</v>
      </c>
      <c r="G14800" t="s">
        <v>31582</v>
      </c>
      <c r="H14800" t="s">
        <v>31590</v>
      </c>
      <c r="I14800" t="s">
        <v>5717</v>
      </c>
      <c r="J14800" t="s">
        <v>40766</v>
      </c>
      <c r="K14800" t="s">
        <v>41184</v>
      </c>
      <c r="M14800" t="s">
        <v>43190</v>
      </c>
      <c r="N14800" t="s">
        <v>45095</v>
      </c>
      <c r="O14800" t="s">
        <v>45096</v>
      </c>
      <c r="Q14800">
        <v>10</v>
      </c>
      <c r="R14800" t="s">
        <v>45146</v>
      </c>
      <c r="S14800" t="s">
        <v>46329</v>
      </c>
      <c r="T14800" t="s">
        <v>47072</v>
      </c>
      <c r="U14800" t="s">
        <v>59371</v>
      </c>
      <c r="V14800" t="s">
        <v>61501</v>
      </c>
      <c r="W14800" t="s">
        <v>61710</v>
      </c>
      <c r="X14800" t="s">
        <v>45150</v>
      </c>
    </row>
    <row r="14801" spans="1:24">
      <c r="A14801">
        <f>HYPERLINK("https://www.philgeps.gov.ph/GEPSNONPILOT/Tender/SplashBidNoticeAbstractUI.aspx?menuIndex=3&amp;refID=6960758&amp;Result=3","6960758")</f>
        <v>0</v>
      </c>
      <c r="B14801" t="s">
        <v>1604</v>
      </c>
      <c r="C14801" t="s">
        <v>17371</v>
      </c>
      <c r="E14801" t="s">
        <v>30985</v>
      </c>
      <c r="F14801" t="s">
        <v>31574</v>
      </c>
      <c r="G14801" t="s">
        <v>31582</v>
      </c>
      <c r="H14801" t="s">
        <v>31591</v>
      </c>
      <c r="I14801" t="s">
        <v>8822</v>
      </c>
      <c r="J14801" t="s">
        <v>40767</v>
      </c>
      <c r="K14801" t="s">
        <v>41458</v>
      </c>
      <c r="M14801" t="s">
        <v>43227</v>
      </c>
      <c r="N14801" t="s">
        <v>45095</v>
      </c>
      <c r="O14801" t="s">
        <v>45096</v>
      </c>
      <c r="Q14801">
        <v>14</v>
      </c>
      <c r="R14801" t="s">
        <v>45152</v>
      </c>
      <c r="S14801" t="s">
        <v>46330</v>
      </c>
      <c r="T14801" t="s">
        <v>47154</v>
      </c>
      <c r="U14801" t="s">
        <v>59372</v>
      </c>
      <c r="W14801" t="s">
        <v>43227</v>
      </c>
      <c r="X14801" t="s">
        <v>45158</v>
      </c>
    </row>
    <row r="14802" spans="1:24">
      <c r="A14802">
        <f>HYPERLINK("https://www.philgeps.gov.ph/GEPSNONPILOT/Tender/SplashBidNoticeAbstractUI.aspx?menuIndex=3&amp;refID=6968396&amp;Result=3","6968396")</f>
        <v>0</v>
      </c>
      <c r="B14802" t="s">
        <v>1586</v>
      </c>
      <c r="C14802" t="s">
        <v>17372</v>
      </c>
      <c r="E14802" t="s">
        <v>30986</v>
      </c>
      <c r="F14802" t="s">
        <v>31574</v>
      </c>
      <c r="G14802" t="s">
        <v>31582</v>
      </c>
      <c r="H14802" t="s">
        <v>31590</v>
      </c>
      <c r="I14802" t="s">
        <v>6800</v>
      </c>
      <c r="J14802" t="s">
        <v>40768</v>
      </c>
      <c r="K14802" t="s">
        <v>41184</v>
      </c>
      <c r="M14802" t="s">
        <v>43190</v>
      </c>
      <c r="N14802" t="s">
        <v>45095</v>
      </c>
      <c r="O14802" t="s">
        <v>45096</v>
      </c>
      <c r="Q14802">
        <v>6</v>
      </c>
      <c r="R14802" t="s">
        <v>45146</v>
      </c>
      <c r="S14802" t="s">
        <v>46331</v>
      </c>
      <c r="T14802" t="s">
        <v>47072</v>
      </c>
      <c r="U14802" t="s">
        <v>59373</v>
      </c>
      <c r="V14802" t="s">
        <v>61502</v>
      </c>
      <c r="W14802" t="s">
        <v>61710</v>
      </c>
      <c r="X14802" t="s">
        <v>45150</v>
      </c>
    </row>
    <row r="14803" spans="1:24">
      <c r="A14803">
        <f>HYPERLINK("https://www.philgeps.gov.ph/GEPSNONPILOT/Tender/SplashBidNoticeAbstractUI.aspx?menuIndex=3&amp;refID=6959746&amp;Result=3","6959746")</f>
        <v>0</v>
      </c>
      <c r="B14803" t="s">
        <v>246</v>
      </c>
      <c r="C14803" t="s">
        <v>17360</v>
      </c>
      <c r="D14803" t="s">
        <v>18132</v>
      </c>
      <c r="E14803" t="s">
        <v>30987</v>
      </c>
      <c r="F14803" t="s">
        <v>31574</v>
      </c>
      <c r="G14803" t="s">
        <v>31581</v>
      </c>
      <c r="H14803" t="s">
        <v>31590</v>
      </c>
      <c r="I14803" t="s">
        <v>3487</v>
      </c>
      <c r="J14803" t="s">
        <v>40769</v>
      </c>
      <c r="K14803" t="s">
        <v>41196</v>
      </c>
      <c r="M14803" t="s">
        <v>41732</v>
      </c>
      <c r="N14803" t="s">
        <v>45095</v>
      </c>
      <c r="O14803" t="s">
        <v>45096</v>
      </c>
      <c r="Q14803">
        <v>3</v>
      </c>
      <c r="R14803" t="s">
        <v>45148</v>
      </c>
      <c r="S14803" t="s">
        <v>46332</v>
      </c>
      <c r="T14803" t="s">
        <v>47021</v>
      </c>
      <c r="U14803" t="s">
        <v>59374</v>
      </c>
      <c r="W14803" t="s">
        <v>41732</v>
      </c>
      <c r="X14803" t="s">
        <v>45158</v>
      </c>
    </row>
    <row r="14804" spans="1:24">
      <c r="A14804">
        <f>HYPERLINK("https://www.philgeps.gov.ph/GEPSNONPILOT/Tender/SplashBidNoticeAbstractUI.aspx?menuIndex=3&amp;refID=6960743&amp;Result=3","6960743")</f>
        <v>0</v>
      </c>
      <c r="B14804" t="s">
        <v>1604</v>
      </c>
      <c r="C14804" t="s">
        <v>17373</v>
      </c>
      <c r="E14804" t="s">
        <v>30988</v>
      </c>
      <c r="F14804" t="s">
        <v>31574</v>
      </c>
      <c r="G14804" t="s">
        <v>31582</v>
      </c>
      <c r="H14804" t="s">
        <v>31591</v>
      </c>
      <c r="I14804" t="s">
        <v>8822</v>
      </c>
      <c r="J14804" t="s">
        <v>40770</v>
      </c>
      <c r="K14804" t="s">
        <v>41294</v>
      </c>
      <c r="M14804" t="s">
        <v>43227</v>
      </c>
      <c r="N14804" t="s">
        <v>45095</v>
      </c>
      <c r="O14804" t="s">
        <v>45096</v>
      </c>
      <c r="Q14804">
        <v>14</v>
      </c>
      <c r="R14804" t="s">
        <v>45152</v>
      </c>
      <c r="S14804" t="s">
        <v>46333</v>
      </c>
      <c r="T14804" t="s">
        <v>47154</v>
      </c>
      <c r="U14804" t="s">
        <v>59375</v>
      </c>
      <c r="W14804" t="s">
        <v>43227</v>
      </c>
      <c r="X14804" t="s">
        <v>45158</v>
      </c>
    </row>
    <row r="14805" spans="1:24">
      <c r="A14805">
        <f>HYPERLINK("https://www.philgeps.gov.ph/GEPSNONPILOT/Tender/SplashBidNoticeAbstractUI.aspx?menuIndex=3&amp;refID=6960759&amp;Result=3","6960759")</f>
        <v>0</v>
      </c>
      <c r="B14805" t="s">
        <v>1604</v>
      </c>
      <c r="C14805" t="s">
        <v>17374</v>
      </c>
      <c r="E14805" t="s">
        <v>30989</v>
      </c>
      <c r="F14805" t="s">
        <v>31574</v>
      </c>
      <c r="G14805" t="s">
        <v>31582</v>
      </c>
      <c r="H14805" t="s">
        <v>31591</v>
      </c>
      <c r="I14805" t="s">
        <v>8822</v>
      </c>
      <c r="J14805" t="s">
        <v>40771</v>
      </c>
      <c r="K14805" t="s">
        <v>41388</v>
      </c>
      <c r="M14805" t="s">
        <v>43227</v>
      </c>
      <c r="N14805" t="s">
        <v>45095</v>
      </c>
      <c r="O14805" t="s">
        <v>45096</v>
      </c>
      <c r="Q14805">
        <v>15</v>
      </c>
      <c r="R14805" t="s">
        <v>45152</v>
      </c>
      <c r="S14805" t="s">
        <v>46334</v>
      </c>
      <c r="T14805" t="s">
        <v>47154</v>
      </c>
      <c r="U14805" t="s">
        <v>59376</v>
      </c>
      <c r="W14805" t="s">
        <v>43227</v>
      </c>
      <c r="X14805" t="s">
        <v>45158</v>
      </c>
    </row>
    <row r="14806" spans="1:24">
      <c r="A14806">
        <f>HYPERLINK("https://www.philgeps.gov.ph/GEPSNONPILOT/Tender/SplashBidNoticeAbstractUI.aspx?menuIndex=3&amp;refID=6957098&amp;Result=3","6957098")</f>
        <v>0</v>
      </c>
      <c r="B14806" t="s">
        <v>1586</v>
      </c>
      <c r="C14806" t="s">
        <v>17375</v>
      </c>
      <c r="E14806" t="s">
        <v>30990</v>
      </c>
      <c r="F14806" t="s">
        <v>31574</v>
      </c>
      <c r="G14806" t="s">
        <v>31582</v>
      </c>
      <c r="H14806" t="s">
        <v>31590</v>
      </c>
      <c r="I14806" t="s">
        <v>31608</v>
      </c>
      <c r="J14806" t="s">
        <v>34943</v>
      </c>
      <c r="K14806" t="s">
        <v>41184</v>
      </c>
      <c r="M14806" t="s">
        <v>44119</v>
      </c>
      <c r="N14806" t="s">
        <v>45095</v>
      </c>
      <c r="O14806" t="s">
        <v>45096</v>
      </c>
      <c r="Q14806">
        <v>9</v>
      </c>
      <c r="R14806" t="s">
        <v>45153</v>
      </c>
      <c r="S14806" t="s">
        <v>46335</v>
      </c>
      <c r="T14806" t="s">
        <v>47072</v>
      </c>
      <c r="U14806" t="s">
        <v>59377</v>
      </c>
      <c r="W14806" t="s">
        <v>61710</v>
      </c>
      <c r="X14806" t="s">
        <v>45154</v>
      </c>
    </row>
    <row r="14807" spans="1:24">
      <c r="A14807">
        <f>HYPERLINK("https://www.philgeps.gov.ph/GEPSNONPILOT/Tender/SplashBidNoticeAbstractUI.aspx?menuIndex=3&amp;refID=6949021&amp;Result=3","6949021")</f>
        <v>0</v>
      </c>
      <c r="B14807" t="s">
        <v>443</v>
      </c>
      <c r="C14807" t="s">
        <v>17376</v>
      </c>
      <c r="D14807" t="s">
        <v>18062</v>
      </c>
      <c r="E14807" t="s">
        <v>30991</v>
      </c>
      <c r="F14807" t="s">
        <v>31574</v>
      </c>
      <c r="G14807" t="s">
        <v>31582</v>
      </c>
      <c r="H14807" t="s">
        <v>31591</v>
      </c>
      <c r="I14807" t="s">
        <v>8822</v>
      </c>
      <c r="J14807" t="s">
        <v>40772</v>
      </c>
      <c r="K14807" t="s">
        <v>41243</v>
      </c>
      <c r="M14807" t="s">
        <v>44475</v>
      </c>
      <c r="N14807" t="s">
        <v>45095</v>
      </c>
      <c r="O14807" t="s">
        <v>45096</v>
      </c>
      <c r="Q14807">
        <v>7</v>
      </c>
      <c r="R14807" t="s">
        <v>45154</v>
      </c>
      <c r="S14807" t="s">
        <v>46336</v>
      </c>
      <c r="T14807" t="s">
        <v>46926</v>
      </c>
      <c r="U14807" t="s">
        <v>48547</v>
      </c>
      <c r="V14807" t="s">
        <v>61503</v>
      </c>
      <c r="W14807" t="s">
        <v>44475</v>
      </c>
      <c r="X14807" t="s">
        <v>45162</v>
      </c>
    </row>
    <row r="14808" spans="1:24">
      <c r="A14808">
        <f>HYPERLINK("https://www.philgeps.gov.ph/GEPSNONPILOT/Tender/SplashBidNoticeAbstractUI.aspx?menuIndex=3&amp;refID=6960741&amp;Result=3","6960741")</f>
        <v>0</v>
      </c>
      <c r="B14808" t="s">
        <v>1604</v>
      </c>
      <c r="C14808" t="s">
        <v>17377</v>
      </c>
      <c r="E14808" t="s">
        <v>30992</v>
      </c>
      <c r="F14808" t="s">
        <v>31574</v>
      </c>
      <c r="G14808" t="s">
        <v>31582</v>
      </c>
      <c r="H14808" t="s">
        <v>31591</v>
      </c>
      <c r="I14808" t="s">
        <v>8822</v>
      </c>
      <c r="J14808" t="s">
        <v>40773</v>
      </c>
      <c r="K14808" t="s">
        <v>41255</v>
      </c>
      <c r="M14808" t="s">
        <v>43227</v>
      </c>
      <c r="N14808" t="s">
        <v>45095</v>
      </c>
      <c r="O14808" t="s">
        <v>45096</v>
      </c>
      <c r="Q14808">
        <v>14</v>
      </c>
      <c r="R14808" t="s">
        <v>45152</v>
      </c>
      <c r="S14808" t="s">
        <v>46337</v>
      </c>
      <c r="T14808" t="s">
        <v>47154</v>
      </c>
      <c r="U14808" t="s">
        <v>59378</v>
      </c>
      <c r="W14808" t="s">
        <v>43227</v>
      </c>
      <c r="X14808" t="s">
        <v>45158</v>
      </c>
    </row>
    <row r="14809" spans="1:24">
      <c r="A14809">
        <f>HYPERLINK("https://www.philgeps.gov.ph/GEPSNONPILOT/Tender/SplashBidNoticeAbstractUI.aspx?menuIndex=3&amp;refID=6957482&amp;Result=3","6957482")</f>
        <v>0</v>
      </c>
      <c r="B14809" t="s">
        <v>2196</v>
      </c>
      <c r="C14809" t="s">
        <v>17378</v>
      </c>
      <c r="D14809" t="s">
        <v>18086</v>
      </c>
      <c r="E14809" t="s">
        <v>30993</v>
      </c>
      <c r="F14809" t="s">
        <v>31574</v>
      </c>
      <c r="G14809" t="s">
        <v>31582</v>
      </c>
      <c r="H14809" t="s">
        <v>31591</v>
      </c>
      <c r="I14809" t="s">
        <v>8822</v>
      </c>
      <c r="J14809" t="s">
        <v>33252</v>
      </c>
      <c r="K14809" t="s">
        <v>41274</v>
      </c>
      <c r="M14809" t="s">
        <v>45012</v>
      </c>
      <c r="N14809" t="s">
        <v>45095</v>
      </c>
      <c r="O14809" t="s">
        <v>45096</v>
      </c>
      <c r="Q14809">
        <v>0</v>
      </c>
      <c r="R14809" t="s">
        <v>45155</v>
      </c>
      <c r="S14809" t="s">
        <v>46338</v>
      </c>
      <c r="T14809" t="s">
        <v>46910</v>
      </c>
      <c r="U14809" t="s">
        <v>59379</v>
      </c>
      <c r="V14809" t="s">
        <v>61504</v>
      </c>
      <c r="W14809" t="s">
        <v>45012</v>
      </c>
      <c r="X14809" t="s">
        <v>45154</v>
      </c>
    </row>
    <row r="14810" spans="1:24">
      <c r="A14810">
        <f>HYPERLINK("https://www.philgeps.gov.ph/GEPSNONPILOT/Tender/SplashBidNoticeAbstractUI.aspx?menuIndex=3&amp;refID=6957390&amp;Result=3","6957390")</f>
        <v>0</v>
      </c>
      <c r="B14810" t="s">
        <v>2196</v>
      </c>
      <c r="C14810" t="s">
        <v>17379</v>
      </c>
      <c r="D14810" t="s">
        <v>18086</v>
      </c>
      <c r="E14810" t="s">
        <v>30994</v>
      </c>
      <c r="F14810" t="s">
        <v>31574</v>
      </c>
      <c r="G14810" t="s">
        <v>31582</v>
      </c>
      <c r="H14810" t="s">
        <v>31591</v>
      </c>
      <c r="I14810" t="s">
        <v>8822</v>
      </c>
      <c r="J14810" t="s">
        <v>33252</v>
      </c>
      <c r="K14810" t="s">
        <v>41274</v>
      </c>
      <c r="M14810" t="s">
        <v>45012</v>
      </c>
      <c r="N14810" t="s">
        <v>45095</v>
      </c>
      <c r="O14810" t="s">
        <v>45096</v>
      </c>
      <c r="Q14810">
        <v>2</v>
      </c>
      <c r="R14810" t="s">
        <v>45155</v>
      </c>
      <c r="S14810" t="s">
        <v>46339</v>
      </c>
      <c r="T14810" t="s">
        <v>46910</v>
      </c>
      <c r="U14810" t="s">
        <v>59379</v>
      </c>
      <c r="V14810" t="s">
        <v>61505</v>
      </c>
      <c r="W14810" t="s">
        <v>45012</v>
      </c>
      <c r="X14810" t="s">
        <v>45154</v>
      </c>
    </row>
    <row r="14811" spans="1:24">
      <c r="A14811">
        <f>HYPERLINK("https://www.philgeps.gov.ph/GEPSNONPILOT/Tender/SplashBidNoticeAbstractUI.aspx?menuIndex=3&amp;refID=6957124&amp;Result=3","6957124")</f>
        <v>0</v>
      </c>
      <c r="B14811" t="s">
        <v>1586</v>
      </c>
      <c r="C14811" t="s">
        <v>17380</v>
      </c>
      <c r="E14811" t="s">
        <v>30995</v>
      </c>
      <c r="F14811" t="s">
        <v>31574</v>
      </c>
      <c r="G14811" t="s">
        <v>31582</v>
      </c>
      <c r="H14811" t="s">
        <v>31590</v>
      </c>
      <c r="I14811" t="s">
        <v>4327</v>
      </c>
      <c r="J14811" t="s">
        <v>32419</v>
      </c>
      <c r="K14811" t="s">
        <v>41184</v>
      </c>
      <c r="M14811" t="s">
        <v>43190</v>
      </c>
      <c r="N14811" t="s">
        <v>45095</v>
      </c>
      <c r="O14811" t="s">
        <v>45096</v>
      </c>
      <c r="Q14811">
        <v>16</v>
      </c>
      <c r="R14811" t="s">
        <v>45153</v>
      </c>
      <c r="S14811" t="s">
        <v>46340</v>
      </c>
      <c r="T14811" t="s">
        <v>47072</v>
      </c>
      <c r="U14811" t="s">
        <v>59380</v>
      </c>
      <c r="V14811" t="s">
        <v>61506</v>
      </c>
      <c r="W14811" t="s">
        <v>61710</v>
      </c>
      <c r="X14811" t="s">
        <v>45154</v>
      </c>
    </row>
    <row r="14812" spans="1:24">
      <c r="A14812">
        <f>HYPERLINK("https://www.philgeps.gov.ph/GEPSNONPILOT/Tender/SplashBidNoticeAbstractUI.aspx?menuIndex=3&amp;refID=6957318&amp;Result=3","6957318")</f>
        <v>0</v>
      </c>
      <c r="B14812" t="s">
        <v>2196</v>
      </c>
      <c r="C14812" t="s">
        <v>17381</v>
      </c>
      <c r="D14812" t="s">
        <v>18086</v>
      </c>
      <c r="E14812" t="s">
        <v>30996</v>
      </c>
      <c r="F14812" t="s">
        <v>31574</v>
      </c>
      <c r="G14812" t="s">
        <v>31582</v>
      </c>
      <c r="H14812" t="s">
        <v>31591</v>
      </c>
      <c r="I14812" t="s">
        <v>8822</v>
      </c>
      <c r="J14812" t="s">
        <v>34689</v>
      </c>
      <c r="K14812" t="s">
        <v>41200</v>
      </c>
      <c r="M14812" t="s">
        <v>45012</v>
      </c>
      <c r="N14812" t="s">
        <v>45095</v>
      </c>
      <c r="O14812" t="s">
        <v>45096</v>
      </c>
      <c r="Q14812">
        <v>0</v>
      </c>
      <c r="R14812" t="s">
        <v>45155</v>
      </c>
      <c r="S14812" t="s">
        <v>46341</v>
      </c>
      <c r="T14812" t="s">
        <v>46910</v>
      </c>
      <c r="U14812" t="s">
        <v>59381</v>
      </c>
      <c r="V14812" t="s">
        <v>61507</v>
      </c>
      <c r="W14812" t="s">
        <v>45012</v>
      </c>
      <c r="X14812" t="s">
        <v>45154</v>
      </c>
    </row>
    <row r="14813" spans="1:24">
      <c r="A14813">
        <f>HYPERLINK("https://www.philgeps.gov.ph/GEPSNONPILOT/Tender/SplashBidNoticeAbstractUI.aspx?menuIndex=3&amp;refID=6957164&amp;Result=3","6957164")</f>
        <v>0</v>
      </c>
      <c r="B14813" t="s">
        <v>2196</v>
      </c>
      <c r="C14813" t="s">
        <v>17382</v>
      </c>
      <c r="D14813" t="s">
        <v>18086</v>
      </c>
      <c r="E14813" t="s">
        <v>30997</v>
      </c>
      <c r="F14813" t="s">
        <v>31574</v>
      </c>
      <c r="G14813" t="s">
        <v>31582</v>
      </c>
      <c r="H14813" t="s">
        <v>31591</v>
      </c>
      <c r="I14813" t="s">
        <v>8822</v>
      </c>
      <c r="J14813" t="s">
        <v>34707</v>
      </c>
      <c r="K14813" t="s">
        <v>41198</v>
      </c>
      <c r="M14813" t="s">
        <v>45012</v>
      </c>
      <c r="N14813" t="s">
        <v>45095</v>
      </c>
      <c r="O14813" t="s">
        <v>45096</v>
      </c>
      <c r="Q14813">
        <v>0</v>
      </c>
      <c r="R14813" t="s">
        <v>45155</v>
      </c>
      <c r="S14813" t="s">
        <v>46342</v>
      </c>
      <c r="T14813" t="s">
        <v>46910</v>
      </c>
      <c r="U14813" t="s">
        <v>59382</v>
      </c>
      <c r="V14813" t="s">
        <v>61508</v>
      </c>
      <c r="W14813" t="s">
        <v>45012</v>
      </c>
      <c r="X14813" t="s">
        <v>45154</v>
      </c>
    </row>
    <row r="14814" spans="1:24">
      <c r="A14814">
        <f>HYPERLINK("https://www.philgeps.gov.ph/GEPSNONPILOT/Tender/SplashBidNoticeAbstractUI.aspx?menuIndex=3&amp;refID=6957925&amp;Result=3","6957925")</f>
        <v>0</v>
      </c>
      <c r="B14814" t="s">
        <v>2674</v>
      </c>
      <c r="C14814" t="s">
        <v>17383</v>
      </c>
      <c r="D14814" t="s">
        <v>18079</v>
      </c>
      <c r="E14814" t="s">
        <v>30998</v>
      </c>
      <c r="F14814" t="s">
        <v>31574</v>
      </c>
      <c r="G14814" t="s">
        <v>31582</v>
      </c>
      <c r="H14814" t="s">
        <v>31590</v>
      </c>
      <c r="I14814" t="s">
        <v>31622</v>
      </c>
      <c r="J14814" t="s">
        <v>40774</v>
      </c>
      <c r="K14814" t="s">
        <v>41198</v>
      </c>
      <c r="M14814" t="s">
        <v>44437</v>
      </c>
      <c r="N14814" t="s">
        <v>45095</v>
      </c>
      <c r="O14814" t="s">
        <v>45096</v>
      </c>
      <c r="Q14814">
        <v>10</v>
      </c>
      <c r="R14814" t="s">
        <v>45156</v>
      </c>
      <c r="S14814" t="s">
        <v>46343</v>
      </c>
      <c r="T14814" t="s">
        <v>46955</v>
      </c>
      <c r="U14814" t="s">
        <v>59383</v>
      </c>
      <c r="W14814" t="s">
        <v>44437</v>
      </c>
      <c r="X14814" t="s">
        <v>61787</v>
      </c>
    </row>
    <row r="14815" spans="1:24">
      <c r="A14815">
        <f>HYPERLINK("https://www.philgeps.gov.ph/GEPSNONPILOT/Tender/SplashBidNoticeAbstractUI.aspx?menuIndex=3&amp;refID=6960735&amp;Result=3","6960735")</f>
        <v>0</v>
      </c>
      <c r="B14815" t="s">
        <v>1604</v>
      </c>
      <c r="C14815" t="s">
        <v>17384</v>
      </c>
      <c r="E14815" t="s">
        <v>30999</v>
      </c>
      <c r="F14815" t="s">
        <v>31574</v>
      </c>
      <c r="G14815" t="s">
        <v>31582</v>
      </c>
      <c r="H14815" t="s">
        <v>31591</v>
      </c>
      <c r="I14815" t="s">
        <v>8822</v>
      </c>
      <c r="J14815" t="s">
        <v>40775</v>
      </c>
      <c r="K14815" t="s">
        <v>41255</v>
      </c>
      <c r="M14815" t="s">
        <v>43227</v>
      </c>
      <c r="N14815" t="s">
        <v>45095</v>
      </c>
      <c r="O14815" t="s">
        <v>45096</v>
      </c>
      <c r="Q14815">
        <v>16</v>
      </c>
      <c r="R14815" t="s">
        <v>45152</v>
      </c>
      <c r="S14815" t="s">
        <v>46344</v>
      </c>
      <c r="T14815" t="s">
        <v>47154</v>
      </c>
      <c r="U14815" t="s">
        <v>59384</v>
      </c>
      <c r="W14815" t="s">
        <v>43227</v>
      </c>
      <c r="X14815" t="s">
        <v>45158</v>
      </c>
    </row>
    <row r="14816" spans="1:24">
      <c r="A14816">
        <f>HYPERLINK("https://www.philgeps.gov.ph/GEPSNONPILOT/Tender/SplashBidNoticeAbstractUI.aspx?menuIndex=3&amp;refID=6947928&amp;Result=3","6947928")</f>
        <v>0</v>
      </c>
      <c r="B14816" t="s">
        <v>443</v>
      </c>
      <c r="C14816" t="s">
        <v>17385</v>
      </c>
      <c r="D14816" t="s">
        <v>18062</v>
      </c>
      <c r="E14816" t="s">
        <v>31000</v>
      </c>
      <c r="F14816" t="s">
        <v>31574</v>
      </c>
      <c r="G14816" t="s">
        <v>31582</v>
      </c>
      <c r="H14816" t="s">
        <v>31591</v>
      </c>
      <c r="I14816" t="s">
        <v>8822</v>
      </c>
      <c r="J14816" t="s">
        <v>32526</v>
      </c>
      <c r="K14816" t="s">
        <v>41228</v>
      </c>
      <c r="M14816" t="s">
        <v>41936</v>
      </c>
      <c r="N14816" t="s">
        <v>45095</v>
      </c>
      <c r="O14816" t="s">
        <v>45096</v>
      </c>
      <c r="Q14816">
        <v>1</v>
      </c>
      <c r="R14816" t="s">
        <v>45157</v>
      </c>
      <c r="S14816" t="s">
        <v>46345</v>
      </c>
      <c r="T14816" t="s">
        <v>46926</v>
      </c>
      <c r="U14816" t="s">
        <v>48547</v>
      </c>
      <c r="V14816" t="s">
        <v>61509</v>
      </c>
      <c r="W14816" t="s">
        <v>41936</v>
      </c>
      <c r="X14816" t="s">
        <v>45166</v>
      </c>
    </row>
    <row r="14817" spans="1:24">
      <c r="A14817">
        <f>HYPERLINK("https://www.philgeps.gov.ph/GEPSNONPILOT/Tender/SplashBidNoticeAbstractUI.aspx?menuIndex=3&amp;refID=6954272&amp;Result=3","6954272")</f>
        <v>0</v>
      </c>
      <c r="B14817" t="s">
        <v>1358</v>
      </c>
      <c r="C14817" t="s">
        <v>6867</v>
      </c>
      <c r="E14817" t="s">
        <v>21567</v>
      </c>
      <c r="F14817" t="s">
        <v>31575</v>
      </c>
      <c r="G14817" t="s">
        <v>31581</v>
      </c>
      <c r="H14817" t="s">
        <v>31590</v>
      </c>
      <c r="I14817" t="s">
        <v>31596</v>
      </c>
      <c r="J14817" t="s">
        <v>31845</v>
      </c>
      <c r="K14817" t="s">
        <v>41184</v>
      </c>
      <c r="M14817" t="s">
        <v>42930</v>
      </c>
      <c r="N14817" t="s">
        <v>45095</v>
      </c>
      <c r="O14817" t="s">
        <v>45096</v>
      </c>
      <c r="P14817">
        <v>0</v>
      </c>
      <c r="Q14817">
        <v>4</v>
      </c>
      <c r="R14817" t="s">
        <v>45158</v>
      </c>
      <c r="S14817" t="s">
        <v>46346</v>
      </c>
      <c r="T14817" t="s">
        <v>47445</v>
      </c>
      <c r="U14817" t="s">
        <v>50752</v>
      </c>
      <c r="W14817" t="s">
        <v>42930</v>
      </c>
      <c r="X14817" t="s">
        <v>45159</v>
      </c>
    </row>
    <row r="14818" spans="1:24">
      <c r="A14818">
        <f>HYPERLINK("https://www.philgeps.gov.ph/GEPSNONPILOT/Tender/SplashBidNoticeAbstractUI.aspx?menuIndex=3&amp;refID=6960733&amp;Result=3","6960733")</f>
        <v>0</v>
      </c>
      <c r="B14818" t="s">
        <v>1604</v>
      </c>
      <c r="C14818" t="s">
        <v>17386</v>
      </c>
      <c r="E14818" t="s">
        <v>31001</v>
      </c>
      <c r="F14818" t="s">
        <v>31574</v>
      </c>
      <c r="G14818" t="s">
        <v>31582</v>
      </c>
      <c r="H14818" t="s">
        <v>31591</v>
      </c>
      <c r="I14818" t="s">
        <v>8822</v>
      </c>
      <c r="J14818" t="s">
        <v>40776</v>
      </c>
      <c r="K14818" t="s">
        <v>41294</v>
      </c>
      <c r="M14818" t="s">
        <v>43227</v>
      </c>
      <c r="N14818" t="s">
        <v>45095</v>
      </c>
      <c r="O14818" t="s">
        <v>45096</v>
      </c>
      <c r="Q14818">
        <v>23</v>
      </c>
      <c r="R14818" t="s">
        <v>45152</v>
      </c>
      <c r="S14818" t="s">
        <v>46347</v>
      </c>
      <c r="T14818" t="s">
        <v>47154</v>
      </c>
      <c r="U14818" t="s">
        <v>59385</v>
      </c>
      <c r="W14818" t="s">
        <v>43227</v>
      </c>
      <c r="X14818" t="s">
        <v>45158</v>
      </c>
    </row>
    <row r="14819" spans="1:24">
      <c r="A14819">
        <f>HYPERLINK("https://www.philgeps.gov.ph/GEPSNONPILOT/Tender/SplashBidNoticeAbstractUI.aspx?menuIndex=3&amp;refID=6960762&amp;Result=3","6960762")</f>
        <v>0</v>
      </c>
      <c r="B14819" t="s">
        <v>1604</v>
      </c>
      <c r="C14819" t="s">
        <v>17387</v>
      </c>
      <c r="E14819" t="s">
        <v>31002</v>
      </c>
      <c r="F14819" t="s">
        <v>31574</v>
      </c>
      <c r="G14819" t="s">
        <v>31582</v>
      </c>
      <c r="H14819" t="s">
        <v>31591</v>
      </c>
      <c r="I14819" t="s">
        <v>8822</v>
      </c>
      <c r="J14819" t="s">
        <v>40777</v>
      </c>
      <c r="K14819" t="s">
        <v>41458</v>
      </c>
      <c r="M14819" t="s">
        <v>43227</v>
      </c>
      <c r="N14819" t="s">
        <v>45095</v>
      </c>
      <c r="O14819" t="s">
        <v>45096</v>
      </c>
      <c r="Q14819">
        <v>13</v>
      </c>
      <c r="R14819" t="s">
        <v>45152</v>
      </c>
      <c r="S14819" t="s">
        <v>46348</v>
      </c>
      <c r="T14819" t="s">
        <v>47154</v>
      </c>
      <c r="U14819" t="s">
        <v>59386</v>
      </c>
      <c r="W14819" t="s">
        <v>43227</v>
      </c>
      <c r="X14819" t="s">
        <v>45158</v>
      </c>
    </row>
    <row r="14820" spans="1:24">
      <c r="A14820">
        <f>HYPERLINK("https://www.philgeps.gov.ph/GEPSNONPILOT/Tender/SplashBidNoticeAbstractUI.aspx?menuIndex=3&amp;refID=6959461&amp;Result=3","6959461")</f>
        <v>0</v>
      </c>
      <c r="B14820" t="s">
        <v>85</v>
      </c>
      <c r="C14820" t="s">
        <v>17388</v>
      </c>
      <c r="D14820" t="s">
        <v>18022</v>
      </c>
      <c r="E14820" t="s">
        <v>31003</v>
      </c>
      <c r="F14820" t="s">
        <v>31574</v>
      </c>
      <c r="G14820" t="s">
        <v>31582</v>
      </c>
      <c r="H14820" t="s">
        <v>31590</v>
      </c>
      <c r="I14820" t="s">
        <v>3487</v>
      </c>
      <c r="J14820" t="s">
        <v>40778</v>
      </c>
      <c r="K14820" t="s">
        <v>41192</v>
      </c>
      <c r="M14820" t="s">
        <v>45016</v>
      </c>
      <c r="N14820" t="s">
        <v>45095</v>
      </c>
      <c r="O14820" t="s">
        <v>45096</v>
      </c>
      <c r="Q14820">
        <v>10</v>
      </c>
      <c r="R14820" t="s">
        <v>45152</v>
      </c>
      <c r="S14820" t="s">
        <v>46349</v>
      </c>
      <c r="T14820" t="s">
        <v>47143</v>
      </c>
      <c r="U14820" t="s">
        <v>59387</v>
      </c>
      <c r="W14820" t="s">
        <v>45016</v>
      </c>
      <c r="X14820" t="s">
        <v>45158</v>
      </c>
    </row>
    <row r="14821" spans="1:24">
      <c r="A14821">
        <f>HYPERLINK("https://www.philgeps.gov.ph/GEPSNONPILOT/Tender/SplashBidNoticeAbstractUI.aspx?menuIndex=3&amp;refID=6947769&amp;Result=3","6947769")</f>
        <v>0</v>
      </c>
      <c r="B14821" t="s">
        <v>443</v>
      </c>
      <c r="C14821" t="s">
        <v>17389</v>
      </c>
      <c r="D14821" t="s">
        <v>18062</v>
      </c>
      <c r="E14821" t="s">
        <v>31004</v>
      </c>
      <c r="F14821" t="s">
        <v>31574</v>
      </c>
      <c r="G14821" t="s">
        <v>31582</v>
      </c>
      <c r="H14821" t="s">
        <v>31591</v>
      </c>
      <c r="I14821" t="s">
        <v>8822</v>
      </c>
      <c r="J14821" t="s">
        <v>32526</v>
      </c>
      <c r="K14821" t="s">
        <v>41228</v>
      </c>
      <c r="M14821" t="s">
        <v>44475</v>
      </c>
      <c r="N14821" t="s">
        <v>45095</v>
      </c>
      <c r="O14821" t="s">
        <v>45096</v>
      </c>
      <c r="Q14821">
        <v>1</v>
      </c>
      <c r="R14821" t="s">
        <v>45159</v>
      </c>
      <c r="S14821" t="s">
        <v>46350</v>
      </c>
      <c r="T14821" t="s">
        <v>47159</v>
      </c>
      <c r="U14821" t="s">
        <v>48547</v>
      </c>
      <c r="V14821" t="s">
        <v>61510</v>
      </c>
      <c r="W14821" t="s">
        <v>44475</v>
      </c>
      <c r="X14821" t="s">
        <v>45166</v>
      </c>
    </row>
    <row r="14822" spans="1:24">
      <c r="A14822">
        <f>HYPERLINK("https://www.philgeps.gov.ph/GEPSNONPILOT/Tender/SplashBidNoticeAbstractUI.aspx?menuIndex=3&amp;refID=6954390&amp;Result=3","6954390")</f>
        <v>0</v>
      </c>
      <c r="B14822" t="s">
        <v>854</v>
      </c>
      <c r="C14822" t="s">
        <v>17390</v>
      </c>
      <c r="E14822" t="s">
        <v>31005</v>
      </c>
      <c r="F14822" t="s">
        <v>31574</v>
      </c>
      <c r="G14822" t="s">
        <v>31581</v>
      </c>
      <c r="H14822" t="s">
        <v>31590</v>
      </c>
      <c r="I14822" t="s">
        <v>31608</v>
      </c>
      <c r="J14822" t="s">
        <v>31947</v>
      </c>
      <c r="K14822" t="s">
        <v>41184</v>
      </c>
      <c r="M14822" t="s">
        <v>42813</v>
      </c>
      <c r="N14822" t="s">
        <v>45095</v>
      </c>
      <c r="O14822" t="s">
        <v>45096</v>
      </c>
      <c r="Q14822">
        <v>12</v>
      </c>
      <c r="R14822" t="s">
        <v>45157</v>
      </c>
      <c r="S14822" t="s">
        <v>46351</v>
      </c>
      <c r="T14822" t="s">
        <v>47050</v>
      </c>
      <c r="U14822" t="s">
        <v>59388</v>
      </c>
      <c r="W14822" t="s">
        <v>42813</v>
      </c>
      <c r="X14822" t="s">
        <v>45159</v>
      </c>
    </row>
    <row r="14823" spans="1:24">
      <c r="A14823">
        <f>HYPERLINK("https://www.philgeps.gov.ph/GEPSNONPILOT/Tender/SplashBidNoticeAbstractUI.aspx?menuIndex=3&amp;refID=6960776&amp;Result=3","6960776")</f>
        <v>0</v>
      </c>
      <c r="B14823" t="s">
        <v>671</v>
      </c>
      <c r="C14823" t="s">
        <v>17391</v>
      </c>
      <c r="D14823" t="s">
        <v>18022</v>
      </c>
      <c r="E14823" t="s">
        <v>31006</v>
      </c>
      <c r="F14823" t="s">
        <v>31574</v>
      </c>
      <c r="G14823" t="s">
        <v>31582</v>
      </c>
      <c r="H14823" t="s">
        <v>31590</v>
      </c>
      <c r="I14823" t="s">
        <v>3901</v>
      </c>
      <c r="J14823" t="s">
        <v>40779</v>
      </c>
      <c r="K14823" t="s">
        <v>41486</v>
      </c>
      <c r="M14823" t="s">
        <v>45017</v>
      </c>
      <c r="N14823" t="s">
        <v>45095</v>
      </c>
      <c r="O14823" t="s">
        <v>45096</v>
      </c>
      <c r="Q14823">
        <v>4</v>
      </c>
      <c r="R14823" t="s">
        <v>45152</v>
      </c>
      <c r="S14823" t="s">
        <v>46352</v>
      </c>
      <c r="T14823" t="s">
        <v>46977</v>
      </c>
      <c r="U14823" t="s">
        <v>59389</v>
      </c>
      <c r="W14823" t="s">
        <v>45017</v>
      </c>
      <c r="X14823" t="s">
        <v>45158</v>
      </c>
    </row>
    <row r="14824" spans="1:24">
      <c r="A14824">
        <f>HYPERLINK("https://www.philgeps.gov.ph/GEPSNONPILOT/Tender/SplashBidNoticeAbstractUI.aspx?menuIndex=3&amp;refID=6954174&amp;Result=3","6954174")</f>
        <v>0</v>
      </c>
      <c r="B14824" t="s">
        <v>1554</v>
      </c>
      <c r="C14824" t="s">
        <v>17392</v>
      </c>
      <c r="D14824" t="s">
        <v>18056</v>
      </c>
      <c r="E14824" t="s">
        <v>31007</v>
      </c>
      <c r="F14824" t="s">
        <v>31574</v>
      </c>
      <c r="G14824" t="s">
        <v>31581</v>
      </c>
      <c r="H14824" t="s">
        <v>31591</v>
      </c>
      <c r="I14824" t="s">
        <v>8822</v>
      </c>
      <c r="J14824" t="s">
        <v>40780</v>
      </c>
      <c r="K14824" t="s">
        <v>41192</v>
      </c>
      <c r="M14824" t="s">
        <v>43153</v>
      </c>
      <c r="N14824" t="s">
        <v>45095</v>
      </c>
      <c r="O14824" t="s">
        <v>45096</v>
      </c>
      <c r="Q14824">
        <v>0</v>
      </c>
      <c r="R14824" t="s">
        <v>45157</v>
      </c>
      <c r="S14824" t="s">
        <v>46353</v>
      </c>
      <c r="T14824" t="s">
        <v>47159</v>
      </c>
      <c r="U14824" t="s">
        <v>59390</v>
      </c>
      <c r="W14824" t="s">
        <v>43153</v>
      </c>
      <c r="X14824" t="s">
        <v>45159</v>
      </c>
    </row>
    <row r="14825" spans="1:24">
      <c r="A14825">
        <f>HYPERLINK("https://www.philgeps.gov.ph/GEPSNONPILOT/Tender/SplashBidNoticeAbstractUI.aspx?menuIndex=3&amp;refID=6949041&amp;Result=3","6949041")</f>
        <v>0</v>
      </c>
      <c r="B14825" t="s">
        <v>443</v>
      </c>
      <c r="C14825" t="s">
        <v>17393</v>
      </c>
      <c r="D14825" t="s">
        <v>18062</v>
      </c>
      <c r="E14825" t="s">
        <v>31008</v>
      </c>
      <c r="F14825" t="s">
        <v>31574</v>
      </c>
      <c r="G14825" t="s">
        <v>31582</v>
      </c>
      <c r="H14825" t="s">
        <v>31591</v>
      </c>
      <c r="I14825" t="s">
        <v>8822</v>
      </c>
      <c r="J14825" t="s">
        <v>38195</v>
      </c>
      <c r="K14825" t="s">
        <v>41255</v>
      </c>
      <c r="M14825" t="s">
        <v>44475</v>
      </c>
      <c r="N14825" t="s">
        <v>45095</v>
      </c>
      <c r="O14825" t="s">
        <v>45096</v>
      </c>
      <c r="Q14825">
        <v>6</v>
      </c>
      <c r="R14825" t="s">
        <v>45154</v>
      </c>
      <c r="S14825" t="s">
        <v>46354</v>
      </c>
      <c r="T14825" t="s">
        <v>46926</v>
      </c>
      <c r="U14825" t="s">
        <v>48547</v>
      </c>
      <c r="V14825" t="s">
        <v>61511</v>
      </c>
      <c r="W14825" t="s">
        <v>44475</v>
      </c>
      <c r="X14825" t="s">
        <v>45162</v>
      </c>
    </row>
    <row r="14826" spans="1:24">
      <c r="A14826">
        <f>HYPERLINK("https://www.philgeps.gov.ph/GEPSNONPILOT/Tender/SplashBidNoticeAbstractUI.aspx?menuIndex=3&amp;refID=6947850&amp;Result=3","6947850")</f>
        <v>0</v>
      </c>
      <c r="B14826" t="s">
        <v>443</v>
      </c>
      <c r="C14826" t="s">
        <v>17394</v>
      </c>
      <c r="D14826" t="s">
        <v>18062</v>
      </c>
      <c r="E14826" t="s">
        <v>31009</v>
      </c>
      <c r="F14826" t="s">
        <v>31574</v>
      </c>
      <c r="G14826" t="s">
        <v>31582</v>
      </c>
      <c r="H14826" t="s">
        <v>31591</v>
      </c>
      <c r="I14826" t="s">
        <v>8822</v>
      </c>
      <c r="J14826" t="s">
        <v>32526</v>
      </c>
      <c r="K14826" t="s">
        <v>41203</v>
      </c>
      <c r="M14826" t="s">
        <v>44475</v>
      </c>
      <c r="N14826" t="s">
        <v>45095</v>
      </c>
      <c r="O14826" t="s">
        <v>45096</v>
      </c>
      <c r="Q14826">
        <v>1</v>
      </c>
      <c r="R14826" t="s">
        <v>45159</v>
      </c>
      <c r="S14826" t="s">
        <v>46355</v>
      </c>
      <c r="T14826" t="s">
        <v>47159</v>
      </c>
      <c r="U14826" t="s">
        <v>48547</v>
      </c>
      <c r="V14826" t="s">
        <v>61512</v>
      </c>
      <c r="W14826" t="s">
        <v>44475</v>
      </c>
      <c r="X14826" t="s">
        <v>45166</v>
      </c>
    </row>
    <row r="14827" spans="1:24">
      <c r="A14827">
        <f>HYPERLINK("https://www.philgeps.gov.ph/GEPSNONPILOT/Tender/SplashBidNoticeAbstractUI.aspx?menuIndex=3&amp;refID=6948376&amp;Result=3","6948376")</f>
        <v>0</v>
      </c>
      <c r="B14827" t="s">
        <v>443</v>
      </c>
      <c r="C14827" t="s">
        <v>17395</v>
      </c>
      <c r="D14827" t="s">
        <v>18062</v>
      </c>
      <c r="E14827" t="s">
        <v>31010</v>
      </c>
      <c r="F14827" t="s">
        <v>31574</v>
      </c>
      <c r="G14827" t="s">
        <v>31582</v>
      </c>
      <c r="H14827" t="s">
        <v>31591</v>
      </c>
      <c r="I14827" t="s">
        <v>8822</v>
      </c>
      <c r="J14827" t="s">
        <v>32526</v>
      </c>
      <c r="K14827" t="s">
        <v>41203</v>
      </c>
      <c r="M14827" t="s">
        <v>41936</v>
      </c>
      <c r="N14827" t="s">
        <v>45095</v>
      </c>
      <c r="O14827" t="s">
        <v>45096</v>
      </c>
      <c r="Q14827">
        <v>0</v>
      </c>
      <c r="R14827" t="s">
        <v>45157</v>
      </c>
      <c r="S14827" t="s">
        <v>46356</v>
      </c>
      <c r="T14827" t="s">
        <v>46926</v>
      </c>
      <c r="U14827" t="s">
        <v>48547</v>
      </c>
      <c r="V14827" t="s">
        <v>61513</v>
      </c>
      <c r="W14827" t="s">
        <v>41936</v>
      </c>
      <c r="X14827" t="s">
        <v>45162</v>
      </c>
    </row>
    <row r="14828" spans="1:24">
      <c r="A14828">
        <f>HYPERLINK("https://www.philgeps.gov.ph/GEPSNONPILOT/Tender/SplashBidNoticeAbstractUI.aspx?menuIndex=3&amp;refID=6948398&amp;Result=3","6948398")</f>
        <v>0</v>
      </c>
      <c r="B14828" t="s">
        <v>443</v>
      </c>
      <c r="C14828" t="s">
        <v>17396</v>
      </c>
      <c r="D14828" t="s">
        <v>18062</v>
      </c>
      <c r="E14828" t="s">
        <v>31011</v>
      </c>
      <c r="F14828" t="s">
        <v>31574</v>
      </c>
      <c r="G14828" t="s">
        <v>31582</v>
      </c>
      <c r="H14828" t="s">
        <v>31591</v>
      </c>
      <c r="I14828" t="s">
        <v>8822</v>
      </c>
      <c r="J14828" t="s">
        <v>32526</v>
      </c>
      <c r="K14828" t="s">
        <v>41203</v>
      </c>
      <c r="M14828" t="s">
        <v>41936</v>
      </c>
      <c r="N14828" t="s">
        <v>45095</v>
      </c>
      <c r="O14828" t="s">
        <v>45096</v>
      </c>
      <c r="Q14828">
        <v>1</v>
      </c>
      <c r="R14828" t="s">
        <v>45157</v>
      </c>
      <c r="S14828" t="s">
        <v>46357</v>
      </c>
      <c r="T14828" t="s">
        <v>46926</v>
      </c>
      <c r="U14828" t="s">
        <v>48547</v>
      </c>
      <c r="V14828" t="s">
        <v>61514</v>
      </c>
      <c r="W14828" t="s">
        <v>41936</v>
      </c>
      <c r="X14828" t="s">
        <v>45162</v>
      </c>
    </row>
    <row r="14829" spans="1:24">
      <c r="A14829">
        <f>HYPERLINK("https://www.philgeps.gov.ph/GEPSNONPILOT/Tender/SplashBidNoticeAbstractUI.aspx?menuIndex=3&amp;refID=6947975&amp;Result=3","6947975")</f>
        <v>0</v>
      </c>
      <c r="B14829" t="s">
        <v>443</v>
      </c>
      <c r="C14829" t="s">
        <v>17397</v>
      </c>
      <c r="D14829" t="s">
        <v>18062</v>
      </c>
      <c r="E14829" t="s">
        <v>31012</v>
      </c>
      <c r="F14829" t="s">
        <v>31574</v>
      </c>
      <c r="G14829" t="s">
        <v>31582</v>
      </c>
      <c r="H14829" t="s">
        <v>31591</v>
      </c>
      <c r="I14829" t="s">
        <v>8822</v>
      </c>
      <c r="J14829" t="s">
        <v>32526</v>
      </c>
      <c r="K14829" t="s">
        <v>41203</v>
      </c>
      <c r="M14829" t="s">
        <v>41936</v>
      </c>
      <c r="N14829" t="s">
        <v>45095</v>
      </c>
      <c r="O14829" t="s">
        <v>45096</v>
      </c>
      <c r="Q14829">
        <v>0</v>
      </c>
      <c r="R14829" t="s">
        <v>45157</v>
      </c>
      <c r="S14829" t="s">
        <v>46358</v>
      </c>
      <c r="T14829" t="s">
        <v>46926</v>
      </c>
      <c r="U14829" t="s">
        <v>48547</v>
      </c>
      <c r="V14829" t="s">
        <v>61515</v>
      </c>
      <c r="W14829" t="s">
        <v>41936</v>
      </c>
      <c r="X14829" t="s">
        <v>45166</v>
      </c>
    </row>
    <row r="14830" spans="1:24">
      <c r="A14830">
        <f>HYPERLINK("https://www.philgeps.gov.ph/GEPSNONPILOT/Tender/SplashBidNoticeAbstractUI.aspx?menuIndex=3&amp;refID=6956027&amp;Result=3","6956027")</f>
        <v>0</v>
      </c>
      <c r="B14830" t="s">
        <v>3154</v>
      </c>
      <c r="C14830" t="s">
        <v>17398</v>
      </c>
      <c r="D14830" t="s">
        <v>18065</v>
      </c>
      <c r="E14830" t="s">
        <v>31013</v>
      </c>
      <c r="F14830" t="s">
        <v>31574</v>
      </c>
      <c r="G14830" t="s">
        <v>31582</v>
      </c>
      <c r="H14830" t="s">
        <v>31591</v>
      </c>
      <c r="I14830" t="s">
        <v>31607</v>
      </c>
      <c r="J14830" t="s">
        <v>40781</v>
      </c>
      <c r="K14830" t="s">
        <v>41189</v>
      </c>
      <c r="M14830" t="s">
        <v>45018</v>
      </c>
      <c r="N14830" t="s">
        <v>45095</v>
      </c>
      <c r="O14830" t="s">
        <v>45096</v>
      </c>
      <c r="Q14830">
        <v>1</v>
      </c>
      <c r="R14830" t="s">
        <v>45154</v>
      </c>
      <c r="S14830" t="s">
        <v>46359</v>
      </c>
      <c r="T14830" t="s">
        <v>47183</v>
      </c>
      <c r="U14830" t="s">
        <v>59391</v>
      </c>
      <c r="W14830" t="s">
        <v>45018</v>
      </c>
      <c r="X14830" t="s">
        <v>45160</v>
      </c>
    </row>
    <row r="14831" spans="1:24">
      <c r="A14831">
        <f>HYPERLINK("https://www.philgeps.gov.ph/GEPSNONPILOT/Tender/SplashBidNoticeAbstractUI.aspx?menuIndex=3&amp;refID=6956016&amp;Result=3","6956016")</f>
        <v>0</v>
      </c>
      <c r="B14831" t="s">
        <v>2196</v>
      </c>
      <c r="C14831" t="s">
        <v>17399</v>
      </c>
      <c r="D14831" t="s">
        <v>18086</v>
      </c>
      <c r="E14831" t="s">
        <v>31014</v>
      </c>
      <c r="F14831" t="s">
        <v>31574</v>
      </c>
      <c r="G14831" t="s">
        <v>31582</v>
      </c>
      <c r="H14831" t="s">
        <v>31591</v>
      </c>
      <c r="I14831" t="s">
        <v>8822</v>
      </c>
      <c r="J14831" t="s">
        <v>34069</v>
      </c>
      <c r="K14831" t="s">
        <v>41222</v>
      </c>
      <c r="M14831" t="s">
        <v>45012</v>
      </c>
      <c r="N14831" t="s">
        <v>45095</v>
      </c>
      <c r="O14831" t="s">
        <v>45096</v>
      </c>
      <c r="Q14831">
        <v>0</v>
      </c>
      <c r="R14831" t="s">
        <v>45154</v>
      </c>
      <c r="S14831" t="s">
        <v>46360</v>
      </c>
      <c r="T14831" t="s">
        <v>46932</v>
      </c>
      <c r="U14831" t="s">
        <v>59392</v>
      </c>
      <c r="V14831" t="s">
        <v>61516</v>
      </c>
      <c r="W14831" t="s">
        <v>45012</v>
      </c>
      <c r="X14831" t="s">
        <v>45160</v>
      </c>
    </row>
    <row r="14832" spans="1:24">
      <c r="A14832">
        <f>HYPERLINK("https://www.philgeps.gov.ph/GEPSNONPILOT/Tender/SplashBidNoticeAbstractUI.aspx?menuIndex=3&amp;refID=6948318&amp;Result=3","6948318")</f>
        <v>0</v>
      </c>
      <c r="B14832" t="s">
        <v>443</v>
      </c>
      <c r="C14832" t="s">
        <v>17400</v>
      </c>
      <c r="D14832" t="s">
        <v>18062</v>
      </c>
      <c r="E14832" t="s">
        <v>31015</v>
      </c>
      <c r="F14832" t="s">
        <v>31574</v>
      </c>
      <c r="G14832" t="s">
        <v>31582</v>
      </c>
      <c r="H14832" t="s">
        <v>31591</v>
      </c>
      <c r="I14832" t="s">
        <v>8822</v>
      </c>
      <c r="J14832" t="s">
        <v>32526</v>
      </c>
      <c r="K14832" t="s">
        <v>41203</v>
      </c>
      <c r="M14832" t="s">
        <v>41936</v>
      </c>
      <c r="N14832" t="s">
        <v>45095</v>
      </c>
      <c r="O14832" t="s">
        <v>45096</v>
      </c>
      <c r="Q14832">
        <v>1</v>
      </c>
      <c r="R14832" t="s">
        <v>45157</v>
      </c>
      <c r="S14832" t="s">
        <v>46361</v>
      </c>
      <c r="T14832" t="s">
        <v>46926</v>
      </c>
      <c r="U14832" t="s">
        <v>48547</v>
      </c>
      <c r="V14832" t="s">
        <v>61517</v>
      </c>
      <c r="W14832" t="s">
        <v>41936</v>
      </c>
      <c r="X14832" t="s">
        <v>45162</v>
      </c>
    </row>
    <row r="14833" spans="1:24">
      <c r="A14833">
        <f>HYPERLINK("https://www.philgeps.gov.ph/GEPSNONPILOT/Tender/SplashBidNoticeAbstractUI.aspx?menuIndex=3&amp;refID=6956009&amp;Result=3","6956009")</f>
        <v>0</v>
      </c>
      <c r="B14833" t="s">
        <v>2196</v>
      </c>
      <c r="C14833" t="s">
        <v>17401</v>
      </c>
      <c r="D14833" t="s">
        <v>18086</v>
      </c>
      <c r="E14833" t="s">
        <v>31016</v>
      </c>
      <c r="F14833" t="s">
        <v>31574</v>
      </c>
      <c r="G14833" t="s">
        <v>31582</v>
      </c>
      <c r="H14833" t="s">
        <v>31591</v>
      </c>
      <c r="I14833" t="s">
        <v>8822</v>
      </c>
      <c r="J14833" t="s">
        <v>34070</v>
      </c>
      <c r="K14833" t="s">
        <v>41252</v>
      </c>
      <c r="M14833" t="s">
        <v>45012</v>
      </c>
      <c r="N14833" t="s">
        <v>45095</v>
      </c>
      <c r="O14833" t="s">
        <v>45096</v>
      </c>
      <c r="Q14833">
        <v>0</v>
      </c>
      <c r="R14833" t="s">
        <v>45154</v>
      </c>
      <c r="S14833" t="s">
        <v>46362</v>
      </c>
      <c r="T14833" t="s">
        <v>46932</v>
      </c>
      <c r="U14833" t="s">
        <v>59393</v>
      </c>
      <c r="V14833" t="s">
        <v>61516</v>
      </c>
      <c r="W14833" t="s">
        <v>45012</v>
      </c>
      <c r="X14833" t="s">
        <v>45160</v>
      </c>
    </row>
    <row r="14834" spans="1:24">
      <c r="A14834">
        <f>HYPERLINK("https://www.philgeps.gov.ph/GEPSNONPILOT/Tender/SplashBidNoticeAbstractUI.aspx?menuIndex=3&amp;refID=6948338&amp;Result=3","6948338")</f>
        <v>0</v>
      </c>
      <c r="B14834" t="s">
        <v>443</v>
      </c>
      <c r="C14834" t="s">
        <v>17402</v>
      </c>
      <c r="D14834" t="s">
        <v>18062</v>
      </c>
      <c r="E14834" t="s">
        <v>31017</v>
      </c>
      <c r="F14834" t="s">
        <v>31574</v>
      </c>
      <c r="G14834" t="s">
        <v>31582</v>
      </c>
      <c r="H14834" t="s">
        <v>31591</v>
      </c>
      <c r="I14834" t="s">
        <v>8822</v>
      </c>
      <c r="J14834" t="s">
        <v>32526</v>
      </c>
      <c r="K14834" t="s">
        <v>41203</v>
      </c>
      <c r="M14834" t="s">
        <v>41936</v>
      </c>
      <c r="N14834" t="s">
        <v>45095</v>
      </c>
      <c r="O14834" t="s">
        <v>45096</v>
      </c>
      <c r="Q14834">
        <v>0</v>
      </c>
      <c r="R14834" t="s">
        <v>45157</v>
      </c>
      <c r="S14834" t="s">
        <v>46363</v>
      </c>
      <c r="T14834" t="s">
        <v>46926</v>
      </c>
      <c r="U14834" t="s">
        <v>48547</v>
      </c>
      <c r="V14834" t="s">
        <v>61518</v>
      </c>
      <c r="W14834" t="s">
        <v>41936</v>
      </c>
      <c r="X14834" t="s">
        <v>45162</v>
      </c>
    </row>
    <row r="14835" spans="1:24">
      <c r="A14835">
        <f>HYPERLINK("https://www.philgeps.gov.ph/GEPSNONPILOT/Tender/SplashBidNoticeAbstractUI.aspx?menuIndex=3&amp;refID=6955873&amp;Result=3","6955873")</f>
        <v>0</v>
      </c>
      <c r="B14835" t="s">
        <v>598</v>
      </c>
      <c r="C14835" t="s">
        <v>17403</v>
      </c>
      <c r="D14835" t="s">
        <v>18022</v>
      </c>
      <c r="E14835" t="s">
        <v>31018</v>
      </c>
      <c r="F14835" t="s">
        <v>31574</v>
      </c>
      <c r="G14835" t="s">
        <v>31581</v>
      </c>
      <c r="H14835" t="s">
        <v>31590</v>
      </c>
      <c r="I14835" t="s">
        <v>31594</v>
      </c>
      <c r="J14835" t="s">
        <v>31842</v>
      </c>
      <c r="K14835" t="s">
        <v>41193</v>
      </c>
      <c r="M14835" t="s">
        <v>42101</v>
      </c>
      <c r="N14835" t="s">
        <v>45095</v>
      </c>
      <c r="O14835" t="s">
        <v>45096</v>
      </c>
      <c r="Q14835">
        <v>4</v>
      </c>
      <c r="R14835" t="s">
        <v>45154</v>
      </c>
      <c r="S14835" t="s">
        <v>46364</v>
      </c>
      <c r="T14835" t="s">
        <v>47067</v>
      </c>
      <c r="U14835" t="s">
        <v>59394</v>
      </c>
      <c r="V14835" t="s">
        <v>59987</v>
      </c>
      <c r="W14835" t="s">
        <v>42101</v>
      </c>
      <c r="X14835" t="s">
        <v>45160</v>
      </c>
    </row>
    <row r="14836" spans="1:24">
      <c r="A14836">
        <f>HYPERLINK("https://www.philgeps.gov.ph/GEPSNONPILOT/Tender/SplashBidNoticeAbstractUI.aspx?menuIndex=3&amp;refID=6947804&amp;Result=3","6947804")</f>
        <v>0</v>
      </c>
      <c r="B14836" t="s">
        <v>443</v>
      </c>
      <c r="C14836" t="s">
        <v>17404</v>
      </c>
      <c r="D14836" t="s">
        <v>18062</v>
      </c>
      <c r="E14836" t="s">
        <v>31019</v>
      </c>
      <c r="F14836" t="s">
        <v>31574</v>
      </c>
      <c r="G14836" t="s">
        <v>31582</v>
      </c>
      <c r="H14836" t="s">
        <v>31591</v>
      </c>
      <c r="I14836" t="s">
        <v>8822</v>
      </c>
      <c r="J14836" t="s">
        <v>32526</v>
      </c>
      <c r="K14836" t="s">
        <v>41228</v>
      </c>
      <c r="M14836" t="s">
        <v>41936</v>
      </c>
      <c r="N14836" t="s">
        <v>45095</v>
      </c>
      <c r="O14836" t="s">
        <v>45096</v>
      </c>
      <c r="Q14836">
        <v>2</v>
      </c>
      <c r="R14836" t="s">
        <v>45157</v>
      </c>
      <c r="S14836" t="s">
        <v>46365</v>
      </c>
      <c r="T14836" t="s">
        <v>46926</v>
      </c>
      <c r="U14836" t="s">
        <v>48547</v>
      </c>
      <c r="V14836" t="s">
        <v>61519</v>
      </c>
      <c r="W14836" t="s">
        <v>41936</v>
      </c>
      <c r="X14836" t="s">
        <v>45166</v>
      </c>
    </row>
    <row r="14837" spans="1:24">
      <c r="A14837">
        <f>HYPERLINK("https://www.philgeps.gov.ph/GEPSNONPILOT/Tender/SplashBidNoticeAbstractUI.aspx?menuIndex=3&amp;refID=6956023&amp;Result=3","6956023")</f>
        <v>0</v>
      </c>
      <c r="B14837" t="s">
        <v>2196</v>
      </c>
      <c r="C14837" t="s">
        <v>17405</v>
      </c>
      <c r="D14837" t="s">
        <v>18086</v>
      </c>
      <c r="E14837" t="s">
        <v>31020</v>
      </c>
      <c r="F14837" t="s">
        <v>31574</v>
      </c>
      <c r="G14837" t="s">
        <v>31582</v>
      </c>
      <c r="H14837" t="s">
        <v>31591</v>
      </c>
      <c r="I14837" t="s">
        <v>8822</v>
      </c>
      <c r="J14837" t="s">
        <v>34707</v>
      </c>
      <c r="K14837" t="s">
        <v>41198</v>
      </c>
      <c r="M14837" t="s">
        <v>45012</v>
      </c>
      <c r="N14837" t="s">
        <v>45095</v>
      </c>
      <c r="O14837" t="s">
        <v>45096</v>
      </c>
      <c r="Q14837">
        <v>0</v>
      </c>
      <c r="R14837" t="s">
        <v>45154</v>
      </c>
      <c r="S14837" t="s">
        <v>45956</v>
      </c>
      <c r="T14837" t="s">
        <v>46932</v>
      </c>
      <c r="U14837" t="s">
        <v>59395</v>
      </c>
      <c r="V14837" t="s">
        <v>61516</v>
      </c>
      <c r="W14837" t="s">
        <v>45012</v>
      </c>
      <c r="X14837" t="s">
        <v>45160</v>
      </c>
    </row>
    <row r="14838" spans="1:24">
      <c r="A14838">
        <f>HYPERLINK("https://www.philgeps.gov.ph/GEPSNONPILOT/Tender/SplashBidNoticeAbstractUI.aspx?menuIndex=3&amp;refID=6947872&amp;Result=3","6947872")</f>
        <v>0</v>
      </c>
      <c r="B14838" t="s">
        <v>443</v>
      </c>
      <c r="C14838" t="s">
        <v>17406</v>
      </c>
      <c r="D14838" t="s">
        <v>18062</v>
      </c>
      <c r="E14838" t="s">
        <v>31021</v>
      </c>
      <c r="F14838" t="s">
        <v>31574</v>
      </c>
      <c r="G14838" t="s">
        <v>31582</v>
      </c>
      <c r="H14838" t="s">
        <v>31591</v>
      </c>
      <c r="I14838" t="s">
        <v>8822</v>
      </c>
      <c r="J14838" t="s">
        <v>32526</v>
      </c>
      <c r="K14838" t="s">
        <v>41203</v>
      </c>
      <c r="M14838" t="s">
        <v>44475</v>
      </c>
      <c r="N14838" t="s">
        <v>45095</v>
      </c>
      <c r="O14838" t="s">
        <v>45096</v>
      </c>
      <c r="Q14838">
        <v>1</v>
      </c>
      <c r="R14838" t="s">
        <v>45159</v>
      </c>
      <c r="S14838" t="s">
        <v>46366</v>
      </c>
      <c r="T14838" t="s">
        <v>47159</v>
      </c>
      <c r="U14838" t="s">
        <v>48547</v>
      </c>
      <c r="V14838" t="s">
        <v>61520</v>
      </c>
      <c r="W14838" t="s">
        <v>44475</v>
      </c>
      <c r="X14838" t="s">
        <v>45166</v>
      </c>
    </row>
    <row r="14839" spans="1:24">
      <c r="A14839">
        <f>HYPERLINK("https://www.philgeps.gov.ph/GEPSNONPILOT/Tender/SplashBidNoticeAbstractUI.aspx?menuIndex=3&amp;refID=6948315&amp;Result=3","6948315")</f>
        <v>0</v>
      </c>
      <c r="B14839" t="s">
        <v>443</v>
      </c>
      <c r="C14839" t="s">
        <v>17407</v>
      </c>
      <c r="D14839" t="s">
        <v>18062</v>
      </c>
      <c r="E14839" t="s">
        <v>31022</v>
      </c>
      <c r="F14839" t="s">
        <v>31574</v>
      </c>
      <c r="G14839" t="s">
        <v>31582</v>
      </c>
      <c r="H14839" t="s">
        <v>31591</v>
      </c>
      <c r="I14839" t="s">
        <v>8822</v>
      </c>
      <c r="J14839" t="s">
        <v>32526</v>
      </c>
      <c r="K14839" t="s">
        <v>41228</v>
      </c>
      <c r="M14839" t="s">
        <v>41936</v>
      </c>
      <c r="N14839" t="s">
        <v>45095</v>
      </c>
      <c r="O14839" t="s">
        <v>45096</v>
      </c>
      <c r="Q14839">
        <v>2</v>
      </c>
      <c r="R14839" t="s">
        <v>45157</v>
      </c>
      <c r="S14839" t="s">
        <v>46367</v>
      </c>
      <c r="T14839" t="s">
        <v>46926</v>
      </c>
      <c r="U14839" t="s">
        <v>48547</v>
      </c>
      <c r="V14839" t="s">
        <v>61521</v>
      </c>
      <c r="W14839" t="s">
        <v>41936</v>
      </c>
      <c r="X14839" t="s">
        <v>45162</v>
      </c>
    </row>
    <row r="14840" spans="1:24">
      <c r="A14840">
        <f>HYPERLINK("https://www.philgeps.gov.ph/GEPSNONPILOT/Tender/SplashBidNoticeAbstractUI.aspx?menuIndex=3&amp;refID=6948902&amp;Result=3","6948902")</f>
        <v>0</v>
      </c>
      <c r="B14840" t="s">
        <v>952</v>
      </c>
      <c r="C14840" t="s">
        <v>17408</v>
      </c>
      <c r="D14840" t="s">
        <v>18058</v>
      </c>
      <c r="E14840" t="s">
        <v>31023</v>
      </c>
      <c r="F14840" t="s">
        <v>31574</v>
      </c>
      <c r="G14840" t="s">
        <v>31581</v>
      </c>
      <c r="H14840" t="s">
        <v>31590</v>
      </c>
      <c r="I14840" t="s">
        <v>4046</v>
      </c>
      <c r="J14840" t="s">
        <v>40782</v>
      </c>
      <c r="K14840" t="s">
        <v>41184</v>
      </c>
      <c r="M14840" t="s">
        <v>42479</v>
      </c>
      <c r="N14840" t="s">
        <v>45095</v>
      </c>
      <c r="O14840" t="s">
        <v>45096</v>
      </c>
      <c r="Q14840">
        <v>0</v>
      </c>
      <c r="R14840" t="s">
        <v>45160</v>
      </c>
      <c r="S14840" t="s">
        <v>46368</v>
      </c>
      <c r="T14840" t="s">
        <v>47106</v>
      </c>
      <c r="U14840" t="s">
        <v>59396</v>
      </c>
      <c r="W14840" t="s">
        <v>42479</v>
      </c>
      <c r="X14840" t="s">
        <v>45162</v>
      </c>
    </row>
    <row r="14841" spans="1:24">
      <c r="A14841">
        <f>HYPERLINK("https://www.philgeps.gov.ph/GEPSNONPILOT/Tender/SplashBidNoticeAbstractUI.aspx?menuIndex=3&amp;refID=6951798&amp;Result=3","6951798")</f>
        <v>0</v>
      </c>
      <c r="B14841" t="s">
        <v>1554</v>
      </c>
      <c r="C14841" t="s">
        <v>17409</v>
      </c>
      <c r="D14841" t="s">
        <v>18056</v>
      </c>
      <c r="E14841" t="s">
        <v>31024</v>
      </c>
      <c r="F14841" t="s">
        <v>31574</v>
      </c>
      <c r="G14841" t="s">
        <v>31581</v>
      </c>
      <c r="H14841" t="s">
        <v>31590</v>
      </c>
      <c r="I14841" t="s">
        <v>8822</v>
      </c>
      <c r="J14841" t="s">
        <v>40783</v>
      </c>
      <c r="K14841" t="s">
        <v>41282</v>
      </c>
      <c r="M14841" t="s">
        <v>43153</v>
      </c>
      <c r="N14841" t="s">
        <v>45095</v>
      </c>
      <c r="O14841" t="s">
        <v>45096</v>
      </c>
      <c r="Q14841">
        <v>0</v>
      </c>
      <c r="R14841" t="s">
        <v>45161</v>
      </c>
      <c r="S14841" t="s">
        <v>46369</v>
      </c>
      <c r="T14841" t="s">
        <v>47159</v>
      </c>
      <c r="U14841" t="s">
        <v>59397</v>
      </c>
      <c r="W14841" t="s">
        <v>43153</v>
      </c>
      <c r="X14841" t="s">
        <v>45164</v>
      </c>
    </row>
    <row r="14842" spans="1:24">
      <c r="A14842">
        <f>HYPERLINK("https://www.philgeps.gov.ph/GEPSNONPILOT/Tender/SplashBidNoticeAbstractUI.aspx?menuIndex=3&amp;refID=6947863&amp;Result=3","6947863")</f>
        <v>0</v>
      </c>
      <c r="B14842" t="s">
        <v>443</v>
      </c>
      <c r="C14842" t="s">
        <v>17410</v>
      </c>
      <c r="D14842" t="s">
        <v>18062</v>
      </c>
      <c r="E14842" t="s">
        <v>31025</v>
      </c>
      <c r="F14842" t="s">
        <v>31574</v>
      </c>
      <c r="G14842" t="s">
        <v>31582</v>
      </c>
      <c r="H14842" t="s">
        <v>31591</v>
      </c>
      <c r="I14842" t="s">
        <v>8822</v>
      </c>
      <c r="J14842" t="s">
        <v>32526</v>
      </c>
      <c r="K14842" t="s">
        <v>41203</v>
      </c>
      <c r="M14842" t="s">
        <v>44475</v>
      </c>
      <c r="N14842" t="s">
        <v>45095</v>
      </c>
      <c r="O14842" t="s">
        <v>45096</v>
      </c>
      <c r="Q14842">
        <v>1</v>
      </c>
      <c r="R14842" t="s">
        <v>45159</v>
      </c>
      <c r="S14842" t="s">
        <v>46370</v>
      </c>
      <c r="T14842" t="s">
        <v>47159</v>
      </c>
      <c r="U14842" t="s">
        <v>48547</v>
      </c>
      <c r="V14842" t="s">
        <v>61522</v>
      </c>
      <c r="W14842" t="s">
        <v>44475</v>
      </c>
      <c r="X14842" t="s">
        <v>45166</v>
      </c>
    </row>
    <row r="14843" spans="1:24">
      <c r="A14843">
        <f>HYPERLINK("https://www.philgeps.gov.ph/GEPSNONPILOT/Tender/SplashBidNoticeAbstractUI.aspx?menuIndex=3&amp;refID=6949035&amp;Result=3","6949035")</f>
        <v>0</v>
      </c>
      <c r="B14843" t="s">
        <v>443</v>
      </c>
      <c r="C14843" t="s">
        <v>17411</v>
      </c>
      <c r="D14843" t="s">
        <v>18062</v>
      </c>
      <c r="E14843" t="s">
        <v>31026</v>
      </c>
      <c r="F14843" t="s">
        <v>31574</v>
      </c>
      <c r="G14843" t="s">
        <v>31582</v>
      </c>
      <c r="H14843" t="s">
        <v>31591</v>
      </c>
      <c r="I14843" t="s">
        <v>8822</v>
      </c>
      <c r="J14843" t="s">
        <v>32526</v>
      </c>
      <c r="K14843" t="s">
        <v>41203</v>
      </c>
      <c r="M14843" t="s">
        <v>44475</v>
      </c>
      <c r="N14843" t="s">
        <v>45095</v>
      </c>
      <c r="O14843" t="s">
        <v>45096</v>
      </c>
      <c r="Q14843">
        <v>2</v>
      </c>
      <c r="R14843" t="s">
        <v>45154</v>
      </c>
      <c r="S14843" t="s">
        <v>46371</v>
      </c>
      <c r="T14843" t="s">
        <v>46926</v>
      </c>
      <c r="U14843" t="s">
        <v>48547</v>
      </c>
      <c r="V14843" t="s">
        <v>61523</v>
      </c>
      <c r="W14843" t="s">
        <v>44475</v>
      </c>
      <c r="X14843" t="s">
        <v>45162</v>
      </c>
    </row>
    <row r="14844" spans="1:24">
      <c r="A14844">
        <f>HYPERLINK("https://www.philgeps.gov.ph/GEPSNONPILOT/Tender/SplashBidNoticeAbstractUI.aspx?menuIndex=3&amp;refID=6953017&amp;Result=3","6953017")</f>
        <v>0</v>
      </c>
      <c r="B14844" t="s">
        <v>1554</v>
      </c>
      <c r="C14844" t="s">
        <v>17412</v>
      </c>
      <c r="D14844" t="s">
        <v>18056</v>
      </c>
      <c r="E14844" t="s">
        <v>31027</v>
      </c>
      <c r="F14844" t="s">
        <v>31574</v>
      </c>
      <c r="G14844" t="s">
        <v>31581</v>
      </c>
      <c r="H14844" t="s">
        <v>31591</v>
      </c>
      <c r="I14844" t="s">
        <v>8822</v>
      </c>
      <c r="J14844" t="s">
        <v>40784</v>
      </c>
      <c r="K14844" t="s">
        <v>41186</v>
      </c>
      <c r="M14844" t="s">
        <v>43153</v>
      </c>
      <c r="N14844" t="s">
        <v>45095</v>
      </c>
      <c r="O14844" t="s">
        <v>45096</v>
      </c>
      <c r="Q14844">
        <v>0</v>
      </c>
      <c r="R14844" t="s">
        <v>45159</v>
      </c>
      <c r="S14844" t="s">
        <v>46372</v>
      </c>
      <c r="T14844" t="s">
        <v>47159</v>
      </c>
      <c r="U14844" t="s">
        <v>59398</v>
      </c>
      <c r="W14844" t="s">
        <v>43153</v>
      </c>
      <c r="X14844" t="s">
        <v>45161</v>
      </c>
    </row>
    <row r="14845" spans="1:24">
      <c r="A14845">
        <f>HYPERLINK("https://www.philgeps.gov.ph/GEPSNONPILOT/Tender/SplashBidNoticeAbstractUI.aspx?menuIndex=3&amp;refID=6951693&amp;Result=3","6951693")</f>
        <v>0</v>
      </c>
      <c r="B14845" t="s">
        <v>1554</v>
      </c>
      <c r="C14845" t="s">
        <v>17413</v>
      </c>
      <c r="D14845" t="s">
        <v>18056</v>
      </c>
      <c r="E14845" t="s">
        <v>31028</v>
      </c>
      <c r="F14845" t="s">
        <v>31574</v>
      </c>
      <c r="G14845" t="s">
        <v>31581</v>
      </c>
      <c r="H14845" t="s">
        <v>31590</v>
      </c>
      <c r="I14845" t="s">
        <v>8822</v>
      </c>
      <c r="J14845" t="s">
        <v>40785</v>
      </c>
      <c r="K14845" t="s">
        <v>41186</v>
      </c>
      <c r="M14845" t="s">
        <v>43153</v>
      </c>
      <c r="N14845" t="s">
        <v>45095</v>
      </c>
      <c r="O14845" t="s">
        <v>45096</v>
      </c>
      <c r="Q14845">
        <v>0</v>
      </c>
      <c r="R14845" t="s">
        <v>45161</v>
      </c>
      <c r="S14845" t="s">
        <v>46373</v>
      </c>
      <c r="T14845" t="s">
        <v>47159</v>
      </c>
      <c r="U14845" t="s">
        <v>59399</v>
      </c>
      <c r="W14845" t="s">
        <v>43153</v>
      </c>
      <c r="X14845" t="s">
        <v>45164</v>
      </c>
    </row>
    <row r="14846" spans="1:24">
      <c r="A14846">
        <f>HYPERLINK("https://www.philgeps.gov.ph/GEPSNONPILOT/Tender/SplashBidNoticeAbstractUI.aspx?menuIndex=3&amp;refID=6953117&amp;Result=3","6953117")</f>
        <v>0</v>
      </c>
      <c r="B14846" t="s">
        <v>1554</v>
      </c>
      <c r="C14846" t="s">
        <v>17414</v>
      </c>
      <c r="D14846" t="s">
        <v>18056</v>
      </c>
      <c r="E14846" t="s">
        <v>31029</v>
      </c>
      <c r="F14846" t="s">
        <v>31574</v>
      </c>
      <c r="G14846" t="s">
        <v>31581</v>
      </c>
      <c r="H14846" t="s">
        <v>31591</v>
      </c>
      <c r="I14846" t="s">
        <v>8822</v>
      </c>
      <c r="J14846" t="s">
        <v>40786</v>
      </c>
      <c r="K14846" t="s">
        <v>41195</v>
      </c>
      <c r="M14846" t="s">
        <v>43153</v>
      </c>
      <c r="N14846" t="s">
        <v>45095</v>
      </c>
      <c r="O14846" t="s">
        <v>45096</v>
      </c>
      <c r="Q14846">
        <v>0</v>
      </c>
      <c r="R14846" t="s">
        <v>45159</v>
      </c>
      <c r="S14846" t="s">
        <v>46374</v>
      </c>
      <c r="T14846" t="s">
        <v>47159</v>
      </c>
      <c r="U14846" t="s">
        <v>59400</v>
      </c>
      <c r="W14846" t="s">
        <v>43153</v>
      </c>
      <c r="X14846" t="s">
        <v>45161</v>
      </c>
    </row>
    <row r="14847" spans="1:24">
      <c r="A14847">
        <f>HYPERLINK("https://www.philgeps.gov.ph/GEPSNONPILOT/Tender/SplashBidNoticeAbstractUI.aspx?menuIndex=3&amp;refID=6951729&amp;Result=3","6951729")</f>
        <v>0</v>
      </c>
      <c r="B14847" t="s">
        <v>1554</v>
      </c>
      <c r="C14847" t="s">
        <v>17415</v>
      </c>
      <c r="D14847" t="s">
        <v>18056</v>
      </c>
      <c r="E14847" t="s">
        <v>31030</v>
      </c>
      <c r="F14847" t="s">
        <v>31574</v>
      </c>
      <c r="G14847" t="s">
        <v>31581</v>
      </c>
      <c r="H14847" t="s">
        <v>31590</v>
      </c>
      <c r="I14847" t="s">
        <v>8822</v>
      </c>
      <c r="J14847" t="s">
        <v>40787</v>
      </c>
      <c r="K14847" t="s">
        <v>41217</v>
      </c>
      <c r="M14847" t="s">
        <v>43153</v>
      </c>
      <c r="N14847" t="s">
        <v>45095</v>
      </c>
      <c r="O14847" t="s">
        <v>45096</v>
      </c>
      <c r="Q14847">
        <v>0</v>
      </c>
      <c r="R14847" t="s">
        <v>45161</v>
      </c>
      <c r="S14847" t="s">
        <v>46375</v>
      </c>
      <c r="T14847" t="s">
        <v>47159</v>
      </c>
      <c r="U14847" t="s">
        <v>59401</v>
      </c>
      <c r="W14847" t="s">
        <v>43153</v>
      </c>
      <c r="X14847" t="s">
        <v>45164</v>
      </c>
    </row>
    <row r="14848" spans="1:24">
      <c r="A14848">
        <f>HYPERLINK("https://www.philgeps.gov.ph/GEPSNONPILOT/Tender/SplashBidNoticeAbstractUI.aspx?menuIndex=3&amp;refID=6877395-2&amp;Result=3","6877395-2")</f>
        <v>0</v>
      </c>
      <c r="B14848" t="s">
        <v>1976</v>
      </c>
      <c r="C14848" t="s">
        <v>17416</v>
      </c>
      <c r="D14848" t="s">
        <v>18056</v>
      </c>
      <c r="E14848" t="s">
        <v>31031</v>
      </c>
      <c r="F14848" t="s">
        <v>31574</v>
      </c>
      <c r="G14848" t="s">
        <v>31582</v>
      </c>
      <c r="H14848" t="s">
        <v>31593</v>
      </c>
      <c r="I14848" t="s">
        <v>31593</v>
      </c>
      <c r="J14848" t="s">
        <v>40788</v>
      </c>
      <c r="K14848" t="s">
        <v>41198</v>
      </c>
      <c r="M14848" t="s">
        <v>43633</v>
      </c>
      <c r="N14848" t="s">
        <v>45095</v>
      </c>
      <c r="O14848" t="s">
        <v>45096</v>
      </c>
      <c r="Q14848">
        <v>1</v>
      </c>
      <c r="R14848" t="s">
        <v>45162</v>
      </c>
      <c r="S14848" t="s">
        <v>46376</v>
      </c>
      <c r="T14848" t="s">
        <v>46979</v>
      </c>
      <c r="U14848" t="s">
        <v>59402</v>
      </c>
      <c r="W14848" t="s">
        <v>43633</v>
      </c>
      <c r="X14848" t="s">
        <v>45166</v>
      </c>
    </row>
    <row r="14849" spans="1:24">
      <c r="A14849">
        <f>HYPERLINK("https://www.philgeps.gov.ph/GEPSNONPILOT/Tender/SplashBidNoticeAbstractUI.aspx?menuIndex=3&amp;refID=6877324-2&amp;Result=3","6877324-2")</f>
        <v>0</v>
      </c>
      <c r="B14849" t="s">
        <v>1976</v>
      </c>
      <c r="C14849" t="s">
        <v>17417</v>
      </c>
      <c r="D14849" t="s">
        <v>18056</v>
      </c>
      <c r="E14849" t="s">
        <v>31031</v>
      </c>
      <c r="F14849" t="s">
        <v>31574</v>
      </c>
      <c r="G14849" t="s">
        <v>31582</v>
      </c>
      <c r="H14849" t="s">
        <v>31593</v>
      </c>
      <c r="I14849" t="s">
        <v>31593</v>
      </c>
      <c r="J14849" t="s">
        <v>40788</v>
      </c>
      <c r="K14849" t="s">
        <v>41198</v>
      </c>
      <c r="M14849" t="s">
        <v>43633</v>
      </c>
      <c r="N14849" t="s">
        <v>45095</v>
      </c>
      <c r="O14849" t="s">
        <v>45096</v>
      </c>
      <c r="Q14849">
        <v>1</v>
      </c>
      <c r="R14849" t="s">
        <v>45162</v>
      </c>
      <c r="S14849" t="s">
        <v>46377</v>
      </c>
      <c r="T14849" t="s">
        <v>46979</v>
      </c>
      <c r="U14849" t="s">
        <v>59403</v>
      </c>
      <c r="W14849" t="s">
        <v>43633</v>
      </c>
      <c r="X14849" t="s">
        <v>45166</v>
      </c>
    </row>
    <row r="14850" spans="1:24">
      <c r="A14850">
        <f>HYPERLINK("https://www.philgeps.gov.ph/GEPSNONPILOT/Tender/SplashBidNoticeAbstractUI.aspx?menuIndex=3&amp;refID=6877479-2&amp;Result=3","6877479-2")</f>
        <v>0</v>
      </c>
      <c r="B14850" t="s">
        <v>1976</v>
      </c>
      <c r="C14850" t="s">
        <v>17418</v>
      </c>
      <c r="D14850" t="s">
        <v>18064</v>
      </c>
      <c r="E14850" t="s">
        <v>31032</v>
      </c>
      <c r="F14850" t="s">
        <v>31574</v>
      </c>
      <c r="G14850" t="s">
        <v>31582</v>
      </c>
      <c r="H14850" t="s">
        <v>31593</v>
      </c>
      <c r="I14850" t="s">
        <v>31593</v>
      </c>
      <c r="J14850" t="s">
        <v>40789</v>
      </c>
      <c r="K14850" t="s">
        <v>41198</v>
      </c>
      <c r="M14850" t="s">
        <v>43633</v>
      </c>
      <c r="N14850" t="s">
        <v>45095</v>
      </c>
      <c r="O14850" t="s">
        <v>45096</v>
      </c>
      <c r="Q14850">
        <v>1</v>
      </c>
      <c r="R14850" t="s">
        <v>45162</v>
      </c>
      <c r="S14850" t="s">
        <v>46378</v>
      </c>
      <c r="T14850" t="s">
        <v>46979</v>
      </c>
      <c r="U14850" t="s">
        <v>59404</v>
      </c>
      <c r="W14850" t="s">
        <v>43633</v>
      </c>
      <c r="X14850" t="s">
        <v>45166</v>
      </c>
    </row>
    <row r="14851" spans="1:24">
      <c r="A14851">
        <f>HYPERLINK("https://www.philgeps.gov.ph/GEPSNONPILOT/Tender/SplashBidNoticeAbstractUI.aspx?menuIndex=3&amp;refID=6877294-2&amp;Result=3","6877294-2")</f>
        <v>0</v>
      </c>
      <c r="B14851" t="s">
        <v>1976</v>
      </c>
      <c r="C14851" t="s">
        <v>17419</v>
      </c>
      <c r="D14851" t="s">
        <v>18056</v>
      </c>
      <c r="E14851" t="s">
        <v>31033</v>
      </c>
      <c r="F14851" t="s">
        <v>31574</v>
      </c>
      <c r="G14851" t="s">
        <v>31582</v>
      </c>
      <c r="H14851" t="s">
        <v>31593</v>
      </c>
      <c r="I14851" t="s">
        <v>31593</v>
      </c>
      <c r="J14851" t="s">
        <v>40790</v>
      </c>
      <c r="K14851" t="s">
        <v>41200</v>
      </c>
      <c r="M14851" t="s">
        <v>43633</v>
      </c>
      <c r="N14851" t="s">
        <v>45095</v>
      </c>
      <c r="O14851" t="s">
        <v>45096</v>
      </c>
      <c r="Q14851">
        <v>2</v>
      </c>
      <c r="R14851" t="s">
        <v>45162</v>
      </c>
      <c r="S14851" t="s">
        <v>46379</v>
      </c>
      <c r="T14851" t="s">
        <v>46979</v>
      </c>
      <c r="U14851" t="s">
        <v>59405</v>
      </c>
      <c r="W14851" t="s">
        <v>43633</v>
      </c>
      <c r="X14851" t="s">
        <v>45166</v>
      </c>
    </row>
    <row r="14852" spans="1:24">
      <c r="A14852">
        <f>HYPERLINK("https://www.philgeps.gov.ph/GEPSNONPILOT/Tender/SplashBidNoticeAbstractUI.aspx?menuIndex=3&amp;refID=6948289&amp;Result=3","6948289")</f>
        <v>0</v>
      </c>
      <c r="B14852" t="s">
        <v>2442</v>
      </c>
      <c r="C14852" t="s">
        <v>17420</v>
      </c>
      <c r="D14852" t="s">
        <v>18033</v>
      </c>
      <c r="E14852" t="s">
        <v>31034</v>
      </c>
      <c r="F14852" t="s">
        <v>31574</v>
      </c>
      <c r="G14852" t="s">
        <v>31582</v>
      </c>
      <c r="H14852" t="s">
        <v>31590</v>
      </c>
      <c r="I14852" t="s">
        <v>31608</v>
      </c>
      <c r="J14852" t="s">
        <v>40791</v>
      </c>
      <c r="K14852" t="s">
        <v>41186</v>
      </c>
      <c r="M14852" t="s">
        <v>44170</v>
      </c>
      <c r="N14852" t="s">
        <v>45095</v>
      </c>
      <c r="O14852" t="s">
        <v>45096</v>
      </c>
      <c r="Q14852">
        <v>7</v>
      </c>
      <c r="R14852" t="s">
        <v>45163</v>
      </c>
      <c r="S14852" t="s">
        <v>46380</v>
      </c>
      <c r="T14852" t="s">
        <v>46910</v>
      </c>
      <c r="U14852" t="s">
        <v>59406</v>
      </c>
      <c r="V14852" t="s">
        <v>61524</v>
      </c>
      <c r="W14852" t="s">
        <v>44170</v>
      </c>
      <c r="X14852" t="s">
        <v>45162</v>
      </c>
    </row>
    <row r="14853" spans="1:24">
      <c r="A14853">
        <f>HYPERLINK("https://www.philgeps.gov.ph/GEPSNONPILOT/Tender/SplashBidNoticeAbstractUI.aspx?menuIndex=3&amp;refID=6877106-2&amp;Result=3","6877106-2")</f>
        <v>0</v>
      </c>
      <c r="B14853" t="s">
        <v>1976</v>
      </c>
      <c r="C14853" t="s">
        <v>17421</v>
      </c>
      <c r="D14853" t="s">
        <v>18056</v>
      </c>
      <c r="E14853" t="s">
        <v>31035</v>
      </c>
      <c r="F14853" t="s">
        <v>31574</v>
      </c>
      <c r="G14853" t="s">
        <v>31582</v>
      </c>
      <c r="H14853" t="s">
        <v>31593</v>
      </c>
      <c r="I14853" t="s">
        <v>31593</v>
      </c>
      <c r="J14853" t="s">
        <v>40792</v>
      </c>
      <c r="K14853" t="s">
        <v>41200</v>
      </c>
      <c r="M14853" t="s">
        <v>43633</v>
      </c>
      <c r="N14853" t="s">
        <v>45095</v>
      </c>
      <c r="O14853" t="s">
        <v>45096</v>
      </c>
      <c r="Q14853">
        <v>1</v>
      </c>
      <c r="R14853" t="s">
        <v>45162</v>
      </c>
      <c r="S14853" t="s">
        <v>46381</v>
      </c>
      <c r="T14853" t="s">
        <v>46979</v>
      </c>
      <c r="U14853" t="s">
        <v>59407</v>
      </c>
      <c r="W14853" t="s">
        <v>43633</v>
      </c>
      <c r="X14853" t="s">
        <v>45166</v>
      </c>
    </row>
    <row r="14854" spans="1:24">
      <c r="A14854">
        <f>HYPERLINK("https://www.philgeps.gov.ph/GEPSNONPILOT/Tender/SplashBidNoticeAbstractUI.aspx?menuIndex=3&amp;refID=6950997&amp;Result=3","6950997")</f>
        <v>0</v>
      </c>
      <c r="B14854" t="s">
        <v>1554</v>
      </c>
      <c r="C14854" t="s">
        <v>17422</v>
      </c>
      <c r="D14854" t="s">
        <v>18056</v>
      </c>
      <c r="E14854" t="s">
        <v>31036</v>
      </c>
      <c r="F14854" t="s">
        <v>31574</v>
      </c>
      <c r="G14854" t="s">
        <v>31581</v>
      </c>
      <c r="H14854" t="s">
        <v>31591</v>
      </c>
      <c r="I14854" t="s">
        <v>8822</v>
      </c>
      <c r="J14854" t="s">
        <v>40793</v>
      </c>
      <c r="K14854" t="s">
        <v>41192</v>
      </c>
      <c r="M14854" t="s">
        <v>43153</v>
      </c>
      <c r="N14854" t="s">
        <v>45095</v>
      </c>
      <c r="O14854" t="s">
        <v>45096</v>
      </c>
      <c r="Q14854">
        <v>0</v>
      </c>
      <c r="R14854" t="s">
        <v>45161</v>
      </c>
      <c r="S14854" t="s">
        <v>46382</v>
      </c>
      <c r="T14854" t="s">
        <v>47159</v>
      </c>
      <c r="U14854" t="s">
        <v>59408</v>
      </c>
      <c r="W14854" t="s">
        <v>43153</v>
      </c>
      <c r="X14854" t="s">
        <v>45163</v>
      </c>
    </row>
    <row r="14855" spans="1:24">
      <c r="A14855">
        <f>HYPERLINK("https://www.philgeps.gov.ph/GEPSNONPILOT/Tender/SplashBidNoticeAbstractUI.aspx?menuIndex=3&amp;refID=6952167&amp;Result=3","6952167")</f>
        <v>0</v>
      </c>
      <c r="B14855" t="s">
        <v>3155</v>
      </c>
      <c r="C14855" t="s">
        <v>17423</v>
      </c>
      <c r="D14855" t="s">
        <v>18022</v>
      </c>
      <c r="E14855" t="s">
        <v>31037</v>
      </c>
      <c r="F14855" t="s">
        <v>31574</v>
      </c>
      <c r="G14855" t="s">
        <v>31582</v>
      </c>
      <c r="H14855" t="s">
        <v>31592</v>
      </c>
      <c r="I14855" t="s">
        <v>31608</v>
      </c>
      <c r="J14855" t="s">
        <v>32550</v>
      </c>
      <c r="K14855" t="s">
        <v>41186</v>
      </c>
      <c r="M14855" t="s">
        <v>45019</v>
      </c>
      <c r="N14855" t="s">
        <v>45095</v>
      </c>
      <c r="O14855" t="s">
        <v>45096</v>
      </c>
      <c r="Q14855">
        <v>14</v>
      </c>
      <c r="R14855" t="s">
        <v>45161</v>
      </c>
      <c r="S14855" t="s">
        <v>45405</v>
      </c>
      <c r="T14855" t="s">
        <v>47348</v>
      </c>
      <c r="U14855" t="s">
        <v>59409</v>
      </c>
      <c r="W14855" t="s">
        <v>45019</v>
      </c>
      <c r="X14855" t="s">
        <v>45164</v>
      </c>
    </row>
    <row r="14856" spans="1:24">
      <c r="A14856">
        <f>HYPERLINK("https://www.philgeps.gov.ph/GEPSNONPILOT/Tender/SplashBidNoticeAbstractUI.aspx?menuIndex=3&amp;refID=6947913&amp;Result=3","6947913")</f>
        <v>0</v>
      </c>
      <c r="B14856" t="s">
        <v>443</v>
      </c>
      <c r="C14856" t="s">
        <v>17424</v>
      </c>
      <c r="D14856" t="s">
        <v>18062</v>
      </c>
      <c r="E14856" t="s">
        <v>31038</v>
      </c>
      <c r="F14856" t="s">
        <v>31574</v>
      </c>
      <c r="G14856" t="s">
        <v>31582</v>
      </c>
      <c r="H14856" t="s">
        <v>31591</v>
      </c>
      <c r="I14856" t="s">
        <v>8822</v>
      </c>
      <c r="J14856" t="s">
        <v>32526</v>
      </c>
      <c r="K14856" t="s">
        <v>41203</v>
      </c>
      <c r="M14856" t="s">
        <v>44475</v>
      </c>
      <c r="N14856" t="s">
        <v>45095</v>
      </c>
      <c r="O14856" t="s">
        <v>45096</v>
      </c>
      <c r="Q14856">
        <v>1</v>
      </c>
      <c r="R14856" t="s">
        <v>45159</v>
      </c>
      <c r="S14856" t="s">
        <v>46383</v>
      </c>
      <c r="T14856" t="s">
        <v>47159</v>
      </c>
      <c r="U14856" t="s">
        <v>48547</v>
      </c>
      <c r="V14856" t="s">
        <v>61525</v>
      </c>
      <c r="W14856" t="s">
        <v>44475</v>
      </c>
      <c r="X14856" t="s">
        <v>45166</v>
      </c>
    </row>
    <row r="14857" spans="1:24">
      <c r="A14857">
        <f>HYPERLINK("https://www.philgeps.gov.ph/GEPSNONPILOT/Tender/SplashBidNoticeAbstractUI.aspx?menuIndex=3&amp;refID=6947984&amp;Result=3","6947984")</f>
        <v>0</v>
      </c>
      <c r="B14857" t="s">
        <v>443</v>
      </c>
      <c r="C14857" t="s">
        <v>17425</v>
      </c>
      <c r="D14857" t="s">
        <v>18062</v>
      </c>
      <c r="E14857" t="s">
        <v>31039</v>
      </c>
      <c r="F14857" t="s">
        <v>31574</v>
      </c>
      <c r="G14857" t="s">
        <v>31582</v>
      </c>
      <c r="H14857" t="s">
        <v>31591</v>
      </c>
      <c r="I14857" t="s">
        <v>8822</v>
      </c>
      <c r="J14857" t="s">
        <v>32526</v>
      </c>
      <c r="K14857" t="s">
        <v>41203</v>
      </c>
      <c r="M14857" t="s">
        <v>44475</v>
      </c>
      <c r="N14857" t="s">
        <v>45095</v>
      </c>
      <c r="O14857" t="s">
        <v>45096</v>
      </c>
      <c r="Q14857">
        <v>1</v>
      </c>
      <c r="R14857" t="s">
        <v>45159</v>
      </c>
      <c r="S14857" t="s">
        <v>46384</v>
      </c>
      <c r="T14857" t="s">
        <v>47159</v>
      </c>
      <c r="U14857" t="s">
        <v>48547</v>
      </c>
      <c r="V14857" t="s">
        <v>61526</v>
      </c>
      <c r="W14857" t="s">
        <v>44475</v>
      </c>
      <c r="X14857" t="s">
        <v>45166</v>
      </c>
    </row>
    <row r="14858" spans="1:24">
      <c r="A14858">
        <f>HYPERLINK("https://www.philgeps.gov.ph/GEPSNONPILOT/Tender/SplashBidNoticeAbstractUI.aspx?menuIndex=3&amp;refID=6950818&amp;Result=3","6950818")</f>
        <v>0</v>
      </c>
      <c r="B14858" t="s">
        <v>1554</v>
      </c>
      <c r="C14858" t="s">
        <v>17426</v>
      </c>
      <c r="D14858" t="s">
        <v>18056</v>
      </c>
      <c r="E14858" t="s">
        <v>31040</v>
      </c>
      <c r="F14858" t="s">
        <v>31574</v>
      </c>
      <c r="G14858" t="s">
        <v>31581</v>
      </c>
      <c r="H14858" t="s">
        <v>31591</v>
      </c>
      <c r="I14858" t="s">
        <v>8822</v>
      </c>
      <c r="J14858" t="s">
        <v>40794</v>
      </c>
      <c r="K14858" t="s">
        <v>41195</v>
      </c>
      <c r="M14858" t="s">
        <v>43153</v>
      </c>
      <c r="N14858" t="s">
        <v>45095</v>
      </c>
      <c r="O14858" t="s">
        <v>45096</v>
      </c>
      <c r="Q14858">
        <v>0</v>
      </c>
      <c r="R14858" t="s">
        <v>45164</v>
      </c>
      <c r="S14858" t="s">
        <v>46385</v>
      </c>
      <c r="T14858" t="s">
        <v>47159</v>
      </c>
      <c r="U14858" t="s">
        <v>59410</v>
      </c>
      <c r="W14858" t="s">
        <v>43153</v>
      </c>
      <c r="X14858" t="s">
        <v>45163</v>
      </c>
    </row>
    <row r="14859" spans="1:24">
      <c r="A14859">
        <f>HYPERLINK("https://www.philgeps.gov.ph/GEPSNONPILOT/Tender/SplashBidNoticeAbstractUI.aspx?menuIndex=3&amp;refID=6948069&amp;Result=3","6948069")</f>
        <v>0</v>
      </c>
      <c r="B14859" t="s">
        <v>1554</v>
      </c>
      <c r="C14859" t="s">
        <v>17427</v>
      </c>
      <c r="D14859" t="s">
        <v>18056</v>
      </c>
      <c r="E14859" t="s">
        <v>31041</v>
      </c>
      <c r="F14859" t="s">
        <v>31574</v>
      </c>
      <c r="G14859" t="s">
        <v>31581</v>
      </c>
      <c r="H14859" t="s">
        <v>31591</v>
      </c>
      <c r="I14859" t="s">
        <v>3539</v>
      </c>
      <c r="J14859" t="s">
        <v>40795</v>
      </c>
      <c r="K14859" t="s">
        <v>41186</v>
      </c>
      <c r="M14859" t="s">
        <v>43153</v>
      </c>
      <c r="N14859" t="s">
        <v>45095</v>
      </c>
      <c r="O14859" t="s">
        <v>45096</v>
      </c>
      <c r="Q14859">
        <v>0</v>
      </c>
      <c r="R14859" t="s">
        <v>45162</v>
      </c>
      <c r="S14859" t="s">
        <v>46386</v>
      </c>
      <c r="T14859" t="s">
        <v>47159</v>
      </c>
      <c r="U14859" t="s">
        <v>59411</v>
      </c>
      <c r="W14859" t="s">
        <v>43153</v>
      </c>
      <c r="X14859" t="s">
        <v>45166</v>
      </c>
    </row>
    <row r="14860" spans="1:24">
      <c r="A14860">
        <f>HYPERLINK("https://www.philgeps.gov.ph/GEPSNONPILOT/Tender/SplashBidNoticeAbstractUI.aspx?menuIndex=3&amp;refID=6947962&amp;Result=3","6947962")</f>
        <v>0</v>
      </c>
      <c r="B14860" t="s">
        <v>443</v>
      </c>
      <c r="C14860" t="s">
        <v>17428</v>
      </c>
      <c r="D14860" t="s">
        <v>18062</v>
      </c>
      <c r="E14860" t="s">
        <v>31042</v>
      </c>
      <c r="F14860" t="s">
        <v>31574</v>
      </c>
      <c r="G14860" t="s">
        <v>31582</v>
      </c>
      <c r="H14860" t="s">
        <v>31591</v>
      </c>
      <c r="I14860" t="s">
        <v>8822</v>
      </c>
      <c r="J14860" t="s">
        <v>32526</v>
      </c>
      <c r="K14860" t="s">
        <v>41203</v>
      </c>
      <c r="M14860" t="s">
        <v>44475</v>
      </c>
      <c r="N14860" t="s">
        <v>45095</v>
      </c>
      <c r="O14860" t="s">
        <v>45096</v>
      </c>
      <c r="Q14860">
        <v>2</v>
      </c>
      <c r="R14860" t="s">
        <v>45159</v>
      </c>
      <c r="S14860" t="s">
        <v>46387</v>
      </c>
      <c r="T14860" t="s">
        <v>47159</v>
      </c>
      <c r="U14860" t="s">
        <v>48547</v>
      </c>
      <c r="V14860" t="s">
        <v>61527</v>
      </c>
      <c r="W14860" t="s">
        <v>44475</v>
      </c>
      <c r="X14860" t="s">
        <v>45166</v>
      </c>
    </row>
    <row r="14861" spans="1:24">
      <c r="A14861">
        <f>HYPERLINK("https://www.philgeps.gov.ph/GEPSNONPILOT/Tender/SplashBidNoticeAbstractUI.aspx?menuIndex=3&amp;refID=6947999&amp;Result=3","6947999")</f>
        <v>0</v>
      </c>
      <c r="B14861" t="s">
        <v>443</v>
      </c>
      <c r="C14861" t="s">
        <v>17429</v>
      </c>
      <c r="D14861" t="s">
        <v>18062</v>
      </c>
      <c r="E14861" t="s">
        <v>31043</v>
      </c>
      <c r="F14861" t="s">
        <v>31574</v>
      </c>
      <c r="G14861" t="s">
        <v>31582</v>
      </c>
      <c r="H14861" t="s">
        <v>31591</v>
      </c>
      <c r="I14861" t="s">
        <v>8822</v>
      </c>
      <c r="J14861" t="s">
        <v>32526</v>
      </c>
      <c r="K14861" t="s">
        <v>41203</v>
      </c>
      <c r="M14861" t="s">
        <v>44475</v>
      </c>
      <c r="N14861" t="s">
        <v>45095</v>
      </c>
      <c r="O14861" t="s">
        <v>45096</v>
      </c>
      <c r="Q14861">
        <v>1</v>
      </c>
      <c r="R14861" t="s">
        <v>45159</v>
      </c>
      <c r="S14861" t="s">
        <v>46388</v>
      </c>
      <c r="T14861" t="s">
        <v>47159</v>
      </c>
      <c r="U14861" t="s">
        <v>48547</v>
      </c>
      <c r="V14861" t="s">
        <v>61528</v>
      </c>
      <c r="W14861" t="s">
        <v>44475</v>
      </c>
      <c r="X14861" t="s">
        <v>45166</v>
      </c>
    </row>
    <row r="14862" spans="1:24">
      <c r="A14862">
        <f>HYPERLINK("https://www.philgeps.gov.ph/GEPSNONPILOT/Tender/SplashBidNoticeAbstractUI.aspx?menuIndex=3&amp;refID=6944103&amp;Result=3","6944103")</f>
        <v>0</v>
      </c>
      <c r="B14862" t="s">
        <v>1882</v>
      </c>
      <c r="C14862" t="s">
        <v>17430</v>
      </c>
      <c r="D14862" t="s">
        <v>18070</v>
      </c>
      <c r="E14862" t="s">
        <v>31044</v>
      </c>
      <c r="F14862" t="s">
        <v>31574</v>
      </c>
      <c r="G14862" t="s">
        <v>31582</v>
      </c>
      <c r="H14862" t="s">
        <v>31591</v>
      </c>
      <c r="I14862" t="s">
        <v>8822</v>
      </c>
      <c r="J14862" t="s">
        <v>40796</v>
      </c>
      <c r="K14862" t="s">
        <v>41487</v>
      </c>
      <c r="M14862" t="s">
        <v>43525</v>
      </c>
      <c r="N14862" t="s">
        <v>45095</v>
      </c>
      <c r="O14862" t="s">
        <v>45096</v>
      </c>
      <c r="Q14862">
        <v>7</v>
      </c>
      <c r="R14862" t="s">
        <v>45165</v>
      </c>
      <c r="S14862" t="s">
        <v>46389</v>
      </c>
      <c r="T14862" t="s">
        <v>46973</v>
      </c>
      <c r="U14862" t="s">
        <v>59412</v>
      </c>
      <c r="V14862" t="s">
        <v>60687</v>
      </c>
      <c r="W14862" t="s">
        <v>43525</v>
      </c>
      <c r="X14862" t="s">
        <v>45167</v>
      </c>
    </row>
    <row r="14863" spans="1:24">
      <c r="A14863">
        <f>HYPERLINK("https://www.philgeps.gov.ph/GEPSNONPILOT/Tender/SplashBidNoticeAbstractUI.aspx?menuIndex=3&amp;refID=6944113&amp;Result=3","6944113")</f>
        <v>0</v>
      </c>
      <c r="B14863" t="s">
        <v>947</v>
      </c>
      <c r="C14863" t="s">
        <v>17431</v>
      </c>
      <c r="D14863" t="s">
        <v>18033</v>
      </c>
      <c r="E14863" t="s">
        <v>31045</v>
      </c>
      <c r="F14863" t="s">
        <v>31574</v>
      </c>
      <c r="G14863" t="s">
        <v>31582</v>
      </c>
      <c r="H14863" t="s">
        <v>31590</v>
      </c>
      <c r="I14863" t="s">
        <v>8258</v>
      </c>
      <c r="J14863" t="s">
        <v>40797</v>
      </c>
      <c r="K14863" t="s">
        <v>41196</v>
      </c>
      <c r="M14863" t="s">
        <v>43729</v>
      </c>
      <c r="N14863" t="s">
        <v>45095</v>
      </c>
      <c r="O14863" t="s">
        <v>45096</v>
      </c>
      <c r="Q14863">
        <v>6</v>
      </c>
      <c r="R14863" t="s">
        <v>45165</v>
      </c>
      <c r="S14863" t="s">
        <v>46390</v>
      </c>
      <c r="T14863" t="s">
        <v>46992</v>
      </c>
      <c r="U14863" t="s">
        <v>59413</v>
      </c>
      <c r="V14863" t="s">
        <v>61529</v>
      </c>
      <c r="W14863" t="s">
        <v>43729</v>
      </c>
      <c r="X14863" t="s">
        <v>45167</v>
      </c>
    </row>
    <row r="14864" spans="1:24">
      <c r="A14864">
        <f>HYPERLINK("https://www.philgeps.gov.ph/GEPSNONPILOT/Tender/SplashBidNoticeAbstractUI.aspx?menuIndex=3&amp;refID=6946321&amp;Result=3","6946321")</f>
        <v>0</v>
      </c>
      <c r="B14864" t="s">
        <v>957</v>
      </c>
      <c r="C14864" t="s">
        <v>17432</v>
      </c>
      <c r="D14864" t="s">
        <v>18075</v>
      </c>
      <c r="E14864" t="s">
        <v>31046</v>
      </c>
      <c r="F14864" t="s">
        <v>31574</v>
      </c>
      <c r="G14864" t="s">
        <v>31587</v>
      </c>
      <c r="H14864" t="s">
        <v>31593</v>
      </c>
      <c r="I14864" t="s">
        <v>31609</v>
      </c>
      <c r="J14864" t="s">
        <v>40798</v>
      </c>
      <c r="K14864" t="s">
        <v>41227</v>
      </c>
      <c r="M14864" t="s">
        <v>45020</v>
      </c>
      <c r="N14864" t="s">
        <v>45095</v>
      </c>
      <c r="O14864" t="s">
        <v>45096</v>
      </c>
      <c r="Q14864">
        <v>10</v>
      </c>
      <c r="R14864" t="s">
        <v>45166</v>
      </c>
      <c r="S14864" t="s">
        <v>46391</v>
      </c>
      <c r="T14864" t="s">
        <v>47089</v>
      </c>
      <c r="U14864" t="s">
        <v>59414</v>
      </c>
      <c r="W14864" t="s">
        <v>45020</v>
      </c>
      <c r="X14864" t="s">
        <v>45165</v>
      </c>
    </row>
    <row r="14865" spans="1:24">
      <c r="A14865">
        <f>HYPERLINK("https://www.philgeps.gov.ph/GEPSNONPILOT/Tender/SplashBidNoticeAbstractUI.aspx?menuIndex=3&amp;refID=6945555&amp;Result=3","6945555")</f>
        <v>0</v>
      </c>
      <c r="B14865" t="s">
        <v>2286</v>
      </c>
      <c r="C14865" t="s">
        <v>17433</v>
      </c>
      <c r="D14865" t="s">
        <v>18079</v>
      </c>
      <c r="E14865" t="s">
        <v>31047</v>
      </c>
      <c r="F14865" t="s">
        <v>31574</v>
      </c>
      <c r="G14865" t="s">
        <v>31582</v>
      </c>
      <c r="H14865" t="s">
        <v>31590</v>
      </c>
      <c r="I14865" t="s">
        <v>4046</v>
      </c>
      <c r="J14865" t="s">
        <v>40799</v>
      </c>
      <c r="K14865" t="s">
        <v>41193</v>
      </c>
      <c r="M14865" t="s">
        <v>43993</v>
      </c>
      <c r="N14865" t="s">
        <v>45095</v>
      </c>
      <c r="O14865" t="s">
        <v>45096</v>
      </c>
      <c r="Q14865">
        <v>5</v>
      </c>
      <c r="R14865" t="s">
        <v>45166</v>
      </c>
      <c r="S14865" t="s">
        <v>46113</v>
      </c>
      <c r="T14865" t="s">
        <v>46979</v>
      </c>
      <c r="U14865" t="s">
        <v>59415</v>
      </c>
      <c r="W14865" t="s">
        <v>43993</v>
      </c>
      <c r="X14865" t="s">
        <v>45165</v>
      </c>
    </row>
    <row r="14866" spans="1:24">
      <c r="A14866">
        <f>HYPERLINK("https://www.philgeps.gov.ph/GEPSNONPILOT/Tender/SplashBidNoticeAbstractUI.aspx?menuIndex=3&amp;refID=6944133&amp;Result=3","6944133")</f>
        <v>0</v>
      </c>
      <c r="B14866" t="s">
        <v>947</v>
      </c>
      <c r="C14866" t="s">
        <v>17434</v>
      </c>
      <c r="D14866" t="s">
        <v>18033</v>
      </c>
      <c r="E14866" t="s">
        <v>31048</v>
      </c>
      <c r="F14866" t="s">
        <v>31574</v>
      </c>
      <c r="G14866" t="s">
        <v>31582</v>
      </c>
      <c r="H14866" t="s">
        <v>31590</v>
      </c>
      <c r="I14866" t="s">
        <v>7185</v>
      </c>
      <c r="J14866" t="s">
        <v>40800</v>
      </c>
      <c r="K14866" t="s">
        <v>41186</v>
      </c>
      <c r="M14866" t="s">
        <v>43729</v>
      </c>
      <c r="N14866" t="s">
        <v>45095</v>
      </c>
      <c r="O14866" t="s">
        <v>45096</v>
      </c>
      <c r="Q14866">
        <v>10</v>
      </c>
      <c r="R14866" t="s">
        <v>45165</v>
      </c>
      <c r="S14866" t="s">
        <v>46392</v>
      </c>
      <c r="T14866" t="s">
        <v>46992</v>
      </c>
      <c r="U14866" t="s">
        <v>59416</v>
      </c>
      <c r="V14866" t="s">
        <v>61530</v>
      </c>
      <c r="W14866" t="s">
        <v>43729</v>
      </c>
      <c r="X14866" t="s">
        <v>45167</v>
      </c>
    </row>
    <row r="14867" spans="1:24">
      <c r="A14867">
        <f>HYPERLINK("https://www.philgeps.gov.ph/GEPSNONPILOT/Tender/SplashBidNoticeAbstractUI.aspx?menuIndex=3&amp;refID=6945884&amp;Result=3","6945884")</f>
        <v>0</v>
      </c>
      <c r="B14867" t="s">
        <v>62</v>
      </c>
      <c r="C14867" t="s">
        <v>17435</v>
      </c>
      <c r="D14867" t="s">
        <v>18043</v>
      </c>
      <c r="E14867" t="s">
        <v>31049</v>
      </c>
      <c r="F14867" t="s">
        <v>31574</v>
      </c>
      <c r="G14867" t="s">
        <v>31581</v>
      </c>
      <c r="H14867" t="s">
        <v>31593</v>
      </c>
      <c r="I14867" t="s">
        <v>31593</v>
      </c>
      <c r="J14867" t="s">
        <v>40801</v>
      </c>
      <c r="K14867" t="s">
        <v>41184</v>
      </c>
      <c r="L14867" t="s">
        <v>62</v>
      </c>
      <c r="M14867" t="s">
        <v>43390</v>
      </c>
      <c r="N14867" t="s">
        <v>45095</v>
      </c>
      <c r="O14867" t="s">
        <v>45096</v>
      </c>
      <c r="Q14867">
        <v>5</v>
      </c>
      <c r="R14867" t="s">
        <v>45166</v>
      </c>
      <c r="S14867" t="s">
        <v>46393</v>
      </c>
      <c r="T14867" t="s">
        <v>47076</v>
      </c>
      <c r="U14867" t="s">
        <v>59417</v>
      </c>
      <c r="W14867" t="s">
        <v>43390</v>
      </c>
      <c r="X14867" t="s">
        <v>45165</v>
      </c>
    </row>
    <row r="14868" spans="1:24">
      <c r="A14868">
        <f>HYPERLINK("https://www.philgeps.gov.ph/GEPSNONPILOT/Tender/SplashBidNoticeAbstractUI.aspx?menuIndex=3&amp;refID=6944809&amp;Result=3","6944809")</f>
        <v>0</v>
      </c>
      <c r="B14868" t="s">
        <v>1554</v>
      </c>
      <c r="C14868" t="s">
        <v>17436</v>
      </c>
      <c r="D14868" t="s">
        <v>18056</v>
      </c>
      <c r="E14868" t="s">
        <v>31050</v>
      </c>
      <c r="F14868" t="s">
        <v>31574</v>
      </c>
      <c r="G14868" t="s">
        <v>31581</v>
      </c>
      <c r="H14868" t="s">
        <v>31591</v>
      </c>
      <c r="I14868" t="s">
        <v>8822</v>
      </c>
      <c r="J14868" t="s">
        <v>40802</v>
      </c>
      <c r="K14868" t="s">
        <v>41217</v>
      </c>
      <c r="M14868" t="s">
        <v>43153</v>
      </c>
      <c r="N14868" t="s">
        <v>45095</v>
      </c>
      <c r="O14868" t="s">
        <v>45096</v>
      </c>
      <c r="Q14868">
        <v>0</v>
      </c>
      <c r="R14868" t="s">
        <v>45166</v>
      </c>
      <c r="S14868" t="s">
        <v>46394</v>
      </c>
      <c r="T14868" t="s">
        <v>47159</v>
      </c>
      <c r="U14868" t="s">
        <v>59418</v>
      </c>
      <c r="W14868" t="s">
        <v>43153</v>
      </c>
      <c r="X14868" t="s">
        <v>45165</v>
      </c>
    </row>
    <row r="14869" spans="1:24">
      <c r="A14869">
        <f>HYPERLINK("https://www.philgeps.gov.ph/GEPSNONPILOT/Tender/SplashBidNoticeAbstractUI.aspx?menuIndex=3&amp;refID=6944804&amp;Result=3","6944804")</f>
        <v>0</v>
      </c>
      <c r="B14869" t="s">
        <v>1554</v>
      </c>
      <c r="C14869" t="s">
        <v>17437</v>
      </c>
      <c r="D14869" t="s">
        <v>18056</v>
      </c>
      <c r="E14869" t="s">
        <v>31051</v>
      </c>
      <c r="F14869" t="s">
        <v>31574</v>
      </c>
      <c r="G14869" t="s">
        <v>31581</v>
      </c>
      <c r="H14869" t="s">
        <v>31591</v>
      </c>
      <c r="I14869" t="s">
        <v>8822</v>
      </c>
      <c r="J14869" t="s">
        <v>40803</v>
      </c>
      <c r="K14869" t="s">
        <v>41217</v>
      </c>
      <c r="M14869" t="s">
        <v>43153</v>
      </c>
      <c r="N14869" t="s">
        <v>45095</v>
      </c>
      <c r="O14869" t="s">
        <v>45096</v>
      </c>
      <c r="Q14869">
        <v>0</v>
      </c>
      <c r="R14869" t="s">
        <v>45166</v>
      </c>
      <c r="S14869" t="s">
        <v>46395</v>
      </c>
      <c r="T14869" t="s">
        <v>47159</v>
      </c>
      <c r="U14869" t="s">
        <v>59419</v>
      </c>
      <c r="W14869" t="s">
        <v>43153</v>
      </c>
      <c r="X14869" t="s">
        <v>45165</v>
      </c>
    </row>
    <row r="14870" spans="1:24">
      <c r="A14870">
        <f>HYPERLINK("https://www.philgeps.gov.ph/GEPSNONPILOT/Tender/SplashBidNoticeAbstractUI.aspx?menuIndex=3&amp;refID=6940180&amp;Result=3","6940180")</f>
        <v>0</v>
      </c>
      <c r="B14870" t="s">
        <v>2196</v>
      </c>
      <c r="C14870" t="s">
        <v>17438</v>
      </c>
      <c r="D14870" t="s">
        <v>18086</v>
      </c>
      <c r="E14870" t="s">
        <v>31052</v>
      </c>
      <c r="F14870" t="s">
        <v>31574</v>
      </c>
      <c r="G14870" t="s">
        <v>31582</v>
      </c>
      <c r="H14870" t="s">
        <v>31591</v>
      </c>
      <c r="I14870" t="s">
        <v>8822</v>
      </c>
      <c r="J14870" t="s">
        <v>33445</v>
      </c>
      <c r="K14870" t="s">
        <v>41248</v>
      </c>
      <c r="M14870" t="s">
        <v>45012</v>
      </c>
      <c r="N14870" t="s">
        <v>45095</v>
      </c>
      <c r="O14870" t="s">
        <v>45096</v>
      </c>
      <c r="Q14870">
        <v>0</v>
      </c>
      <c r="R14870" t="s">
        <v>45167</v>
      </c>
      <c r="S14870" t="s">
        <v>45784</v>
      </c>
      <c r="T14870" t="s">
        <v>46949</v>
      </c>
      <c r="U14870" t="s">
        <v>59420</v>
      </c>
      <c r="V14870" t="s">
        <v>61531</v>
      </c>
      <c r="W14870" t="s">
        <v>45012</v>
      </c>
      <c r="X14870" t="s">
        <v>45168</v>
      </c>
    </row>
    <row r="14871" spans="1:24">
      <c r="A14871">
        <f>HYPERLINK("https://www.philgeps.gov.ph/GEPSNONPILOT/Tender/SplashBidNoticeAbstractUI.aspx?menuIndex=3&amp;refID=6933732&amp;Result=3","6933732")</f>
        <v>0</v>
      </c>
      <c r="B14871" t="s">
        <v>1617</v>
      </c>
      <c r="C14871" t="s">
        <v>17439</v>
      </c>
      <c r="E14871" t="s">
        <v>31053</v>
      </c>
      <c r="F14871" t="s">
        <v>31574</v>
      </c>
      <c r="G14871" t="s">
        <v>31582</v>
      </c>
      <c r="H14871" t="s">
        <v>31591</v>
      </c>
      <c r="I14871" t="s">
        <v>8822</v>
      </c>
      <c r="J14871" t="s">
        <v>40293</v>
      </c>
      <c r="K14871" t="s">
        <v>41184</v>
      </c>
      <c r="M14871" t="s">
        <v>44987</v>
      </c>
      <c r="N14871" t="s">
        <v>45095</v>
      </c>
      <c r="O14871" t="s">
        <v>45096</v>
      </c>
      <c r="Q14871">
        <v>1</v>
      </c>
      <c r="R14871" t="s">
        <v>45165</v>
      </c>
      <c r="S14871" t="s">
        <v>46396</v>
      </c>
      <c r="T14871" t="s">
        <v>47159</v>
      </c>
      <c r="U14871" t="s">
        <v>59421</v>
      </c>
      <c r="V14871" t="s">
        <v>61532</v>
      </c>
      <c r="W14871" t="s">
        <v>44987</v>
      </c>
      <c r="X14871" t="s">
        <v>45171</v>
      </c>
    </row>
    <row r="14872" spans="1:24">
      <c r="A14872">
        <f>HYPERLINK("https://www.philgeps.gov.ph/GEPSNONPILOT/Tender/SplashBidNoticeAbstractUI.aspx?menuIndex=3&amp;refID=6943986&amp;Result=3","6943986")</f>
        <v>0</v>
      </c>
      <c r="B14872" t="s">
        <v>2837</v>
      </c>
      <c r="C14872" t="s">
        <v>17440</v>
      </c>
      <c r="D14872" t="s">
        <v>18065</v>
      </c>
      <c r="E14872" t="s">
        <v>31054</v>
      </c>
      <c r="F14872" t="s">
        <v>31574</v>
      </c>
      <c r="G14872" t="s">
        <v>31582</v>
      </c>
      <c r="H14872" t="s">
        <v>31591</v>
      </c>
      <c r="I14872" t="s">
        <v>8822</v>
      </c>
      <c r="J14872" t="s">
        <v>34071</v>
      </c>
      <c r="K14872" t="s">
        <v>41184</v>
      </c>
      <c r="L14872" t="s">
        <v>2837</v>
      </c>
      <c r="M14872" t="s">
        <v>44618</v>
      </c>
      <c r="N14872" t="s">
        <v>45095</v>
      </c>
      <c r="O14872" t="s">
        <v>45096</v>
      </c>
      <c r="Q14872">
        <v>1</v>
      </c>
      <c r="R14872" t="s">
        <v>45165</v>
      </c>
      <c r="S14872" t="s">
        <v>46397</v>
      </c>
      <c r="T14872" t="s">
        <v>46966</v>
      </c>
      <c r="U14872" t="s">
        <v>59422</v>
      </c>
      <c r="V14872" t="s">
        <v>61533</v>
      </c>
      <c r="W14872" t="s">
        <v>44618</v>
      </c>
      <c r="X14872" t="s">
        <v>45167</v>
      </c>
    </row>
    <row r="14873" spans="1:24">
      <c r="A14873">
        <f>HYPERLINK("https://www.philgeps.gov.ph/GEPSNONPILOT/Tender/SplashBidNoticeAbstractUI.aspx?menuIndex=3&amp;refID=6945867&amp;Result=3","6945867")</f>
        <v>0</v>
      </c>
      <c r="B14873" t="s">
        <v>62</v>
      </c>
      <c r="C14873" t="s">
        <v>17441</v>
      </c>
      <c r="D14873" t="s">
        <v>18037</v>
      </c>
      <c r="E14873" t="s">
        <v>31055</v>
      </c>
      <c r="F14873" t="s">
        <v>31574</v>
      </c>
      <c r="G14873" t="s">
        <v>31581</v>
      </c>
      <c r="H14873" t="s">
        <v>31593</v>
      </c>
      <c r="I14873" t="s">
        <v>31593</v>
      </c>
      <c r="J14873" t="s">
        <v>40804</v>
      </c>
      <c r="K14873" t="s">
        <v>41184</v>
      </c>
      <c r="L14873" t="s">
        <v>62</v>
      </c>
      <c r="M14873" t="s">
        <v>43390</v>
      </c>
      <c r="N14873" t="s">
        <v>45095</v>
      </c>
      <c r="O14873" t="s">
        <v>45096</v>
      </c>
      <c r="Q14873">
        <v>4</v>
      </c>
      <c r="R14873" t="s">
        <v>45166</v>
      </c>
      <c r="S14873" t="s">
        <v>46398</v>
      </c>
      <c r="T14873" t="s">
        <v>47076</v>
      </c>
      <c r="U14873" t="s">
        <v>59423</v>
      </c>
      <c r="W14873" t="s">
        <v>43390</v>
      </c>
      <c r="X14873" t="s">
        <v>45165</v>
      </c>
    </row>
    <row r="14874" spans="1:24">
      <c r="A14874">
        <f>HYPERLINK("https://www.philgeps.gov.ph/GEPSNONPILOT/Tender/SplashBidNoticeAbstractUI.aspx?menuIndex=3&amp;refID=6944803&amp;Result=3","6944803")</f>
        <v>0</v>
      </c>
      <c r="B14874" t="s">
        <v>1554</v>
      </c>
      <c r="C14874" t="s">
        <v>17442</v>
      </c>
      <c r="D14874" t="s">
        <v>18056</v>
      </c>
      <c r="E14874" t="s">
        <v>31056</v>
      </c>
      <c r="F14874" t="s">
        <v>31574</v>
      </c>
      <c r="G14874" t="s">
        <v>31581</v>
      </c>
      <c r="H14874" t="s">
        <v>31591</v>
      </c>
      <c r="I14874" t="s">
        <v>8822</v>
      </c>
      <c r="J14874" t="s">
        <v>40805</v>
      </c>
      <c r="K14874" t="s">
        <v>41186</v>
      </c>
      <c r="M14874" t="s">
        <v>43153</v>
      </c>
      <c r="N14874" t="s">
        <v>45095</v>
      </c>
      <c r="O14874" t="s">
        <v>45096</v>
      </c>
      <c r="Q14874">
        <v>0</v>
      </c>
      <c r="R14874" t="s">
        <v>45166</v>
      </c>
      <c r="S14874" t="s">
        <v>46399</v>
      </c>
      <c r="T14874" t="s">
        <v>47159</v>
      </c>
      <c r="U14874" t="s">
        <v>59424</v>
      </c>
      <c r="W14874" t="s">
        <v>43153</v>
      </c>
      <c r="X14874" t="s">
        <v>45165</v>
      </c>
    </row>
    <row r="14875" spans="1:24">
      <c r="A14875">
        <f>HYPERLINK("https://www.philgeps.gov.ph/GEPSNONPILOT/Tender/SplashBidNoticeAbstractUI.aspx?menuIndex=3&amp;refID=6947100&amp;Result=3","6947100")</f>
        <v>0</v>
      </c>
      <c r="B14875" t="s">
        <v>1976</v>
      </c>
      <c r="C14875" t="s">
        <v>17443</v>
      </c>
      <c r="D14875" t="s">
        <v>18056</v>
      </c>
      <c r="E14875" t="s">
        <v>31057</v>
      </c>
      <c r="F14875" t="s">
        <v>31574</v>
      </c>
      <c r="G14875" t="s">
        <v>31582</v>
      </c>
      <c r="H14875" t="s">
        <v>31593</v>
      </c>
      <c r="I14875" t="s">
        <v>31593</v>
      </c>
      <c r="J14875" t="s">
        <v>40806</v>
      </c>
      <c r="K14875" t="s">
        <v>41200</v>
      </c>
      <c r="M14875" t="s">
        <v>43633</v>
      </c>
      <c r="N14875" t="s">
        <v>45095</v>
      </c>
      <c r="O14875" t="s">
        <v>45096</v>
      </c>
      <c r="Q14875">
        <v>0</v>
      </c>
      <c r="R14875" t="s">
        <v>45162</v>
      </c>
      <c r="S14875" t="s">
        <v>45449</v>
      </c>
      <c r="T14875" t="s">
        <v>46979</v>
      </c>
      <c r="U14875" t="s">
        <v>59425</v>
      </c>
      <c r="W14875" t="s">
        <v>43633</v>
      </c>
      <c r="X14875" t="s">
        <v>45166</v>
      </c>
    </row>
    <row r="14876" spans="1:24">
      <c r="A14876">
        <f>HYPERLINK("https://www.philgeps.gov.ph/GEPSNONPILOT/Tender/SplashBidNoticeAbstractUI.aspx?menuIndex=3&amp;refID=6932496&amp;Result=3","6932496")</f>
        <v>0</v>
      </c>
      <c r="B14876" t="s">
        <v>3156</v>
      </c>
      <c r="C14876" t="s">
        <v>17444</v>
      </c>
      <c r="E14876" t="s">
        <v>31058</v>
      </c>
      <c r="F14876" t="s">
        <v>31574</v>
      </c>
      <c r="G14876" t="s">
        <v>31581</v>
      </c>
      <c r="H14876" t="s">
        <v>31590</v>
      </c>
      <c r="I14876" t="s">
        <v>31595</v>
      </c>
      <c r="J14876" t="s">
        <v>40807</v>
      </c>
      <c r="K14876" t="s">
        <v>41184</v>
      </c>
      <c r="M14876" t="s">
        <v>45021</v>
      </c>
      <c r="N14876" t="s">
        <v>45095</v>
      </c>
      <c r="O14876" t="s">
        <v>45096</v>
      </c>
      <c r="Q14876">
        <v>5</v>
      </c>
      <c r="R14876" t="s">
        <v>45167</v>
      </c>
      <c r="S14876" t="s">
        <v>45356</v>
      </c>
      <c r="T14876" t="s">
        <v>47158</v>
      </c>
      <c r="U14876" t="s">
        <v>59426</v>
      </c>
      <c r="V14876" t="s">
        <v>61534</v>
      </c>
      <c r="W14876" t="s">
        <v>45021</v>
      </c>
      <c r="X14876" t="s">
        <v>45172</v>
      </c>
    </row>
    <row r="14877" spans="1:24">
      <c r="A14877">
        <f>HYPERLINK("https://www.philgeps.gov.ph/GEPSNONPILOT/Tender/SplashBidNoticeAbstractUI.aspx?menuIndex=3&amp;refID=6944156&amp;Result=3","6944156")</f>
        <v>0</v>
      </c>
      <c r="B14877" t="s">
        <v>947</v>
      </c>
      <c r="C14877" t="s">
        <v>17445</v>
      </c>
      <c r="D14877" t="s">
        <v>18033</v>
      </c>
      <c r="E14877" t="s">
        <v>31059</v>
      </c>
      <c r="F14877" t="s">
        <v>31574</v>
      </c>
      <c r="G14877" t="s">
        <v>31582</v>
      </c>
      <c r="H14877" t="s">
        <v>31590</v>
      </c>
      <c r="I14877" t="s">
        <v>7185</v>
      </c>
      <c r="J14877" t="s">
        <v>40808</v>
      </c>
      <c r="K14877" t="s">
        <v>41186</v>
      </c>
      <c r="M14877" t="s">
        <v>43729</v>
      </c>
      <c r="N14877" t="s">
        <v>45095</v>
      </c>
      <c r="O14877" t="s">
        <v>45096</v>
      </c>
      <c r="Q14877">
        <v>6</v>
      </c>
      <c r="R14877" t="s">
        <v>45165</v>
      </c>
      <c r="S14877" t="s">
        <v>46400</v>
      </c>
      <c r="T14877" t="s">
        <v>46992</v>
      </c>
      <c r="U14877" t="s">
        <v>59427</v>
      </c>
      <c r="V14877" t="s">
        <v>61535</v>
      </c>
      <c r="W14877" t="s">
        <v>43729</v>
      </c>
      <c r="X14877" t="s">
        <v>45167</v>
      </c>
    </row>
    <row r="14878" spans="1:24">
      <c r="A14878">
        <f>HYPERLINK("https://www.philgeps.gov.ph/GEPSNONPILOT/Tender/SplashBidNoticeAbstractUI.aspx?menuIndex=3&amp;refID=6941150&amp;Result=3","6941150")</f>
        <v>0</v>
      </c>
      <c r="B14878" t="s">
        <v>873</v>
      </c>
      <c r="C14878" t="s">
        <v>17446</v>
      </c>
      <c r="D14878" t="s">
        <v>18044</v>
      </c>
      <c r="E14878" t="s">
        <v>31060</v>
      </c>
      <c r="F14878" t="s">
        <v>31574</v>
      </c>
      <c r="G14878" t="s">
        <v>31582</v>
      </c>
      <c r="H14878" t="s">
        <v>31591</v>
      </c>
      <c r="I14878" t="s">
        <v>31593</v>
      </c>
      <c r="J14878" t="s">
        <v>39220</v>
      </c>
      <c r="K14878" t="s">
        <v>41192</v>
      </c>
      <c r="M14878" t="s">
        <v>44439</v>
      </c>
      <c r="N14878" t="s">
        <v>45095</v>
      </c>
      <c r="O14878" t="s">
        <v>45096</v>
      </c>
      <c r="Q14878">
        <v>1</v>
      </c>
      <c r="R14878" t="s">
        <v>45167</v>
      </c>
      <c r="S14878" t="s">
        <v>46401</v>
      </c>
      <c r="T14878" t="s">
        <v>46914</v>
      </c>
      <c r="U14878" t="s">
        <v>59428</v>
      </c>
      <c r="V14878" t="s">
        <v>61536</v>
      </c>
      <c r="W14878" t="s">
        <v>44439</v>
      </c>
      <c r="X14878" t="s">
        <v>45168</v>
      </c>
    </row>
    <row r="14879" spans="1:24">
      <c r="A14879">
        <f>HYPERLINK("https://www.philgeps.gov.ph/GEPSNONPILOT/Tender/SplashBidNoticeAbstractUI.aspx?menuIndex=3&amp;refID=6939743&amp;Result=3","6939743")</f>
        <v>0</v>
      </c>
      <c r="B14879" t="s">
        <v>1396</v>
      </c>
      <c r="C14879" t="s">
        <v>17447</v>
      </c>
      <c r="D14879" t="s">
        <v>18044</v>
      </c>
      <c r="E14879" t="s">
        <v>31061</v>
      </c>
      <c r="F14879" t="s">
        <v>31574</v>
      </c>
      <c r="G14879" t="s">
        <v>31582</v>
      </c>
      <c r="H14879" t="s">
        <v>31591</v>
      </c>
      <c r="I14879" t="s">
        <v>8822</v>
      </c>
      <c r="J14879" t="s">
        <v>40809</v>
      </c>
      <c r="K14879" t="s">
        <v>41198</v>
      </c>
      <c r="M14879" t="s">
        <v>45022</v>
      </c>
      <c r="N14879" t="s">
        <v>45095</v>
      </c>
      <c r="O14879" t="s">
        <v>45096</v>
      </c>
      <c r="Q14879">
        <v>8</v>
      </c>
      <c r="R14879" t="s">
        <v>45168</v>
      </c>
      <c r="S14879" t="s">
        <v>45380</v>
      </c>
      <c r="T14879" t="s">
        <v>47028</v>
      </c>
      <c r="U14879" t="s">
        <v>59429</v>
      </c>
      <c r="W14879" t="s">
        <v>45022</v>
      </c>
      <c r="X14879" t="s">
        <v>61788</v>
      </c>
    </row>
    <row r="14880" spans="1:24">
      <c r="A14880">
        <f>HYPERLINK("https://www.philgeps.gov.ph/GEPSNONPILOT/Tender/SplashBidNoticeAbstractUI.aspx?menuIndex=3&amp;refID=6944230&amp;Result=3","6944230")</f>
        <v>0</v>
      </c>
      <c r="B14880" t="s">
        <v>1541</v>
      </c>
      <c r="C14880" t="s">
        <v>17448</v>
      </c>
      <c r="D14880" t="s">
        <v>18043</v>
      </c>
      <c r="E14880" t="s">
        <v>31062</v>
      </c>
      <c r="F14880" t="s">
        <v>31574</v>
      </c>
      <c r="G14880" t="s">
        <v>31581</v>
      </c>
      <c r="H14880" t="s">
        <v>31590</v>
      </c>
      <c r="I14880" t="s">
        <v>3901</v>
      </c>
      <c r="J14880" t="s">
        <v>31743</v>
      </c>
      <c r="K14880" t="s">
        <v>41194</v>
      </c>
      <c r="M14880" t="s">
        <v>43136</v>
      </c>
      <c r="N14880" t="s">
        <v>45095</v>
      </c>
      <c r="O14880" t="s">
        <v>45096</v>
      </c>
      <c r="Q14880">
        <v>0</v>
      </c>
      <c r="R14880" t="s">
        <v>45165</v>
      </c>
      <c r="S14880" t="s">
        <v>46402</v>
      </c>
      <c r="T14880" t="s">
        <v>47076</v>
      </c>
      <c r="U14880" t="s">
        <v>59430</v>
      </c>
      <c r="W14880" t="s">
        <v>43136</v>
      </c>
      <c r="X14880" t="s">
        <v>45167</v>
      </c>
    </row>
    <row r="14881" spans="1:24">
      <c r="A14881">
        <f>HYPERLINK("https://www.philgeps.gov.ph/GEPSNONPILOT/Tender/SplashBidNoticeAbstractUI.aspx?menuIndex=3&amp;refID=6941064&amp;Result=3","6941064")</f>
        <v>0</v>
      </c>
      <c r="B14881" t="s">
        <v>3157</v>
      </c>
      <c r="C14881" t="s">
        <v>17449</v>
      </c>
      <c r="D14881" t="s">
        <v>18056</v>
      </c>
      <c r="E14881" t="s">
        <v>31063</v>
      </c>
      <c r="F14881" t="s">
        <v>31574</v>
      </c>
      <c r="G14881" t="s">
        <v>31582</v>
      </c>
      <c r="H14881" t="s">
        <v>31590</v>
      </c>
      <c r="I14881" t="s">
        <v>31676</v>
      </c>
      <c r="J14881" t="s">
        <v>33866</v>
      </c>
      <c r="K14881" t="s">
        <v>41196</v>
      </c>
      <c r="M14881" t="s">
        <v>45023</v>
      </c>
      <c r="N14881" t="s">
        <v>45095</v>
      </c>
      <c r="O14881" t="s">
        <v>45096</v>
      </c>
      <c r="Q14881">
        <v>9</v>
      </c>
      <c r="R14881" t="s">
        <v>45167</v>
      </c>
      <c r="S14881" t="s">
        <v>46403</v>
      </c>
      <c r="T14881" t="s">
        <v>46917</v>
      </c>
      <c r="U14881" t="s">
        <v>59431</v>
      </c>
      <c r="W14881" t="s">
        <v>45023</v>
      </c>
      <c r="X14881" t="s">
        <v>45168</v>
      </c>
    </row>
    <row r="14882" spans="1:24">
      <c r="A14882">
        <f>HYPERLINK("https://www.philgeps.gov.ph/GEPSNONPILOT/Tender/SplashBidNoticeAbstractUI.aspx?menuIndex=3&amp;refID=6942394&amp;Result=3","6942394")</f>
        <v>0</v>
      </c>
      <c r="B14882" t="s">
        <v>2323</v>
      </c>
      <c r="C14882" t="s">
        <v>17450</v>
      </c>
      <c r="D14882" t="s">
        <v>18063</v>
      </c>
      <c r="E14882" t="s">
        <v>31064</v>
      </c>
      <c r="F14882" t="s">
        <v>31574</v>
      </c>
      <c r="G14882" t="s">
        <v>31581</v>
      </c>
      <c r="H14882" t="s">
        <v>31591</v>
      </c>
      <c r="I14882" t="s">
        <v>31691</v>
      </c>
      <c r="J14882" t="s">
        <v>40810</v>
      </c>
      <c r="K14882" t="s">
        <v>41186</v>
      </c>
      <c r="M14882" t="s">
        <v>44033</v>
      </c>
      <c r="N14882" t="s">
        <v>45095</v>
      </c>
      <c r="O14882" t="s">
        <v>45096</v>
      </c>
      <c r="Q14882">
        <v>3</v>
      </c>
      <c r="R14882" t="s">
        <v>45167</v>
      </c>
      <c r="S14882" t="s">
        <v>46404</v>
      </c>
      <c r="T14882" t="s">
        <v>46979</v>
      </c>
      <c r="U14882" t="s">
        <v>59432</v>
      </c>
      <c r="V14882" t="s">
        <v>61537</v>
      </c>
      <c r="W14882" t="s">
        <v>61733</v>
      </c>
      <c r="X14882" t="s">
        <v>45168</v>
      </c>
    </row>
    <row r="14883" spans="1:24">
      <c r="A14883">
        <f>HYPERLINK("https://www.philgeps.gov.ph/GEPSNONPILOT/Tender/SplashBidNoticeAbstractUI.aspx?menuIndex=3&amp;refID=6932783&amp;Result=3","6932783")</f>
        <v>0</v>
      </c>
      <c r="B14883" t="s">
        <v>3158</v>
      </c>
      <c r="C14883" t="s">
        <v>17451</v>
      </c>
      <c r="D14883" t="s">
        <v>18065</v>
      </c>
      <c r="E14883" t="s">
        <v>18801</v>
      </c>
      <c r="F14883" t="s">
        <v>31574</v>
      </c>
      <c r="G14883" t="s">
        <v>31581</v>
      </c>
      <c r="H14883" t="s">
        <v>31590</v>
      </c>
      <c r="I14883" t="s">
        <v>31594</v>
      </c>
      <c r="J14883" t="s">
        <v>40811</v>
      </c>
      <c r="K14883" t="s">
        <v>41186</v>
      </c>
      <c r="M14883" t="s">
        <v>45024</v>
      </c>
      <c r="N14883" t="s">
        <v>45095</v>
      </c>
      <c r="O14883" t="s">
        <v>45096</v>
      </c>
      <c r="Q14883">
        <v>6</v>
      </c>
      <c r="R14883" t="s">
        <v>45166</v>
      </c>
      <c r="S14883" t="s">
        <v>46405</v>
      </c>
      <c r="T14883" t="s">
        <v>47125</v>
      </c>
      <c r="U14883" t="s">
        <v>59433</v>
      </c>
      <c r="W14883" t="s">
        <v>61778</v>
      </c>
      <c r="X14883" t="s">
        <v>45171</v>
      </c>
    </row>
    <row r="14884" spans="1:24">
      <c r="A14884">
        <f>HYPERLINK("https://www.philgeps.gov.ph/GEPSNONPILOT/Tender/SplashBidNoticeAbstractUI.aspx?menuIndex=3&amp;refID=6939748&amp;Result=3","6939748")</f>
        <v>0</v>
      </c>
      <c r="B14884" t="s">
        <v>1396</v>
      </c>
      <c r="C14884" t="s">
        <v>17452</v>
      </c>
      <c r="D14884" t="s">
        <v>18044</v>
      </c>
      <c r="E14884" t="s">
        <v>31065</v>
      </c>
      <c r="F14884" t="s">
        <v>31574</v>
      </c>
      <c r="G14884" t="s">
        <v>31582</v>
      </c>
      <c r="H14884" t="s">
        <v>31591</v>
      </c>
      <c r="I14884" t="s">
        <v>8822</v>
      </c>
      <c r="J14884" t="s">
        <v>40812</v>
      </c>
      <c r="K14884" t="s">
        <v>41243</v>
      </c>
      <c r="M14884" t="s">
        <v>45022</v>
      </c>
      <c r="N14884" t="s">
        <v>45095</v>
      </c>
      <c r="O14884" t="s">
        <v>45096</v>
      </c>
      <c r="Q14884">
        <v>3</v>
      </c>
      <c r="R14884" t="s">
        <v>45168</v>
      </c>
      <c r="S14884" t="s">
        <v>46406</v>
      </c>
      <c r="T14884" t="s">
        <v>47446</v>
      </c>
      <c r="U14884" t="s">
        <v>59434</v>
      </c>
      <c r="W14884" t="s">
        <v>45022</v>
      </c>
      <c r="X14884" t="s">
        <v>61788</v>
      </c>
    </row>
    <row r="14885" spans="1:24">
      <c r="A14885">
        <f>HYPERLINK("https://www.philgeps.gov.ph/GEPSNONPILOT/Tender/SplashBidNoticeAbstractUI.aspx?menuIndex=3&amp;refID=6942251&amp;Result=3","6942251")</f>
        <v>0</v>
      </c>
      <c r="B14885" t="s">
        <v>808</v>
      </c>
      <c r="C14885" t="s">
        <v>17453</v>
      </c>
      <c r="D14885" t="s">
        <v>18031</v>
      </c>
      <c r="E14885" t="s">
        <v>31066</v>
      </c>
      <c r="F14885" t="s">
        <v>31574</v>
      </c>
      <c r="G14885" t="s">
        <v>31582</v>
      </c>
      <c r="H14885" t="s">
        <v>31590</v>
      </c>
      <c r="I14885" t="s">
        <v>31607</v>
      </c>
      <c r="J14885" t="s">
        <v>40813</v>
      </c>
      <c r="K14885" t="s">
        <v>41186</v>
      </c>
      <c r="M14885" t="s">
        <v>42323</v>
      </c>
      <c r="N14885" t="s">
        <v>45095</v>
      </c>
      <c r="O14885" t="s">
        <v>45096</v>
      </c>
      <c r="Q14885">
        <v>8</v>
      </c>
      <c r="R14885" t="s">
        <v>45167</v>
      </c>
      <c r="S14885" t="s">
        <v>46407</v>
      </c>
      <c r="T14885" t="s">
        <v>46954</v>
      </c>
      <c r="U14885" t="s">
        <v>59435</v>
      </c>
      <c r="W14885" t="s">
        <v>42323</v>
      </c>
      <c r="X14885" t="s">
        <v>45168</v>
      </c>
    </row>
    <row r="14886" spans="1:24">
      <c r="A14886">
        <f>HYPERLINK("https://www.philgeps.gov.ph/GEPSNONPILOT/Tender/SplashBidNoticeAbstractUI.aspx?menuIndex=3&amp;refID=6942382&amp;Result=3","6942382")</f>
        <v>0</v>
      </c>
      <c r="B14886" t="s">
        <v>3159</v>
      </c>
      <c r="C14886" t="s">
        <v>17454</v>
      </c>
      <c r="D14886" t="s">
        <v>18040</v>
      </c>
      <c r="E14886" t="s">
        <v>31067</v>
      </c>
      <c r="F14886" t="s">
        <v>31574</v>
      </c>
      <c r="G14886" t="s">
        <v>31582</v>
      </c>
      <c r="H14886" t="s">
        <v>31591</v>
      </c>
      <c r="I14886" t="s">
        <v>8822</v>
      </c>
      <c r="J14886" t="s">
        <v>40814</v>
      </c>
      <c r="K14886" t="s">
        <v>41235</v>
      </c>
      <c r="M14886" t="s">
        <v>45025</v>
      </c>
      <c r="N14886" t="s">
        <v>45095</v>
      </c>
      <c r="O14886" t="s">
        <v>45096</v>
      </c>
      <c r="Q14886">
        <v>8</v>
      </c>
      <c r="R14886" t="s">
        <v>45167</v>
      </c>
      <c r="S14886" t="s">
        <v>46268</v>
      </c>
      <c r="T14886" t="s">
        <v>46927</v>
      </c>
      <c r="U14886" t="s">
        <v>59436</v>
      </c>
      <c r="W14886" t="s">
        <v>45025</v>
      </c>
      <c r="X14886" t="s">
        <v>45168</v>
      </c>
    </row>
    <row r="14887" spans="1:24">
      <c r="A14887">
        <f>HYPERLINK("https://www.philgeps.gov.ph/GEPSNONPILOT/Tender/SplashBidNoticeAbstractUI.aspx?menuIndex=3&amp;refID=6942512&amp;Result=3","6942512")</f>
        <v>0</v>
      </c>
      <c r="B14887" t="s">
        <v>1501</v>
      </c>
      <c r="C14887" t="s">
        <v>17455</v>
      </c>
      <c r="D14887" t="s">
        <v>18022</v>
      </c>
      <c r="E14887" t="s">
        <v>31068</v>
      </c>
      <c r="F14887" t="s">
        <v>31574</v>
      </c>
      <c r="G14887" t="s">
        <v>31582</v>
      </c>
      <c r="H14887" t="s">
        <v>31590</v>
      </c>
      <c r="I14887" t="s">
        <v>8258</v>
      </c>
      <c r="J14887" t="s">
        <v>32411</v>
      </c>
      <c r="K14887" t="s">
        <v>41184</v>
      </c>
      <c r="M14887" t="s">
        <v>45026</v>
      </c>
      <c r="N14887" t="s">
        <v>45095</v>
      </c>
      <c r="O14887" t="s">
        <v>45096</v>
      </c>
      <c r="Q14887">
        <v>90</v>
      </c>
      <c r="R14887" t="s">
        <v>45167</v>
      </c>
      <c r="S14887" t="s">
        <v>46408</v>
      </c>
      <c r="T14887" t="s">
        <v>46910</v>
      </c>
      <c r="U14887" t="s">
        <v>59437</v>
      </c>
      <c r="W14887" t="s">
        <v>45026</v>
      </c>
      <c r="X14887" t="s">
        <v>45168</v>
      </c>
    </row>
    <row r="14888" spans="1:24">
      <c r="A14888">
        <f>HYPERLINK("https://www.philgeps.gov.ph/GEPSNONPILOT/Tender/SplashBidNoticeAbstractUI.aspx?menuIndex=3&amp;refID=6942389&amp;Result=3","6942389")</f>
        <v>0</v>
      </c>
      <c r="B14888" t="s">
        <v>2323</v>
      </c>
      <c r="C14888" t="s">
        <v>17456</v>
      </c>
      <c r="D14888" t="s">
        <v>18063</v>
      </c>
      <c r="E14888" t="s">
        <v>31069</v>
      </c>
      <c r="F14888" t="s">
        <v>31574</v>
      </c>
      <c r="G14888" t="s">
        <v>31581</v>
      </c>
      <c r="H14888" t="s">
        <v>31591</v>
      </c>
      <c r="I14888" t="s">
        <v>31691</v>
      </c>
      <c r="J14888" t="s">
        <v>40815</v>
      </c>
      <c r="K14888" t="s">
        <v>41186</v>
      </c>
      <c r="M14888" t="s">
        <v>44033</v>
      </c>
      <c r="N14888" t="s">
        <v>45095</v>
      </c>
      <c r="O14888" t="s">
        <v>45096</v>
      </c>
      <c r="Q14888">
        <v>2</v>
      </c>
      <c r="R14888" t="s">
        <v>45167</v>
      </c>
      <c r="S14888" t="s">
        <v>46409</v>
      </c>
      <c r="T14888" t="s">
        <v>46979</v>
      </c>
      <c r="U14888" t="s">
        <v>59432</v>
      </c>
      <c r="V14888" t="s">
        <v>61538</v>
      </c>
      <c r="W14888" t="s">
        <v>61733</v>
      </c>
      <c r="X14888" t="s">
        <v>45168</v>
      </c>
    </row>
    <row r="14889" spans="1:24">
      <c r="A14889">
        <f>HYPERLINK("https://www.philgeps.gov.ph/GEPSNONPILOT/Tender/SplashBidNoticeAbstractUI.aspx?menuIndex=3&amp;refID=6937268&amp;Result=3","6937268")</f>
        <v>0</v>
      </c>
      <c r="B14889" t="s">
        <v>1554</v>
      </c>
      <c r="C14889" t="s">
        <v>17457</v>
      </c>
      <c r="D14889" t="s">
        <v>18056</v>
      </c>
      <c r="E14889" t="s">
        <v>31070</v>
      </c>
      <c r="F14889" t="s">
        <v>31574</v>
      </c>
      <c r="G14889" t="s">
        <v>31581</v>
      </c>
      <c r="H14889" t="s">
        <v>31591</v>
      </c>
      <c r="I14889" t="s">
        <v>8822</v>
      </c>
      <c r="J14889" t="s">
        <v>40816</v>
      </c>
      <c r="K14889" t="s">
        <v>41185</v>
      </c>
      <c r="M14889" t="s">
        <v>43153</v>
      </c>
      <c r="N14889" t="s">
        <v>45095</v>
      </c>
      <c r="O14889" t="s">
        <v>45096</v>
      </c>
      <c r="Q14889">
        <v>2</v>
      </c>
      <c r="R14889" t="s">
        <v>45169</v>
      </c>
      <c r="S14889" t="s">
        <v>46410</v>
      </c>
      <c r="T14889" t="s">
        <v>47159</v>
      </c>
      <c r="U14889" t="s">
        <v>59438</v>
      </c>
      <c r="W14889" t="s">
        <v>43153</v>
      </c>
      <c r="X14889" t="s">
        <v>45170</v>
      </c>
    </row>
    <row r="14890" spans="1:24">
      <c r="A14890">
        <f>HYPERLINK("https://www.philgeps.gov.ph/GEPSNONPILOT/Tender/SplashBidNoticeAbstractUI.aspx?menuIndex=3&amp;refID=6940940&amp;Result=3","6940940")</f>
        <v>0</v>
      </c>
      <c r="B14890" t="s">
        <v>873</v>
      </c>
      <c r="C14890" t="s">
        <v>17458</v>
      </c>
      <c r="D14890" t="s">
        <v>18044</v>
      </c>
      <c r="E14890" t="s">
        <v>31071</v>
      </c>
      <c r="F14890" t="s">
        <v>31574</v>
      </c>
      <c r="G14890" t="s">
        <v>31582</v>
      </c>
      <c r="H14890" t="s">
        <v>31591</v>
      </c>
      <c r="I14890" t="s">
        <v>8822</v>
      </c>
      <c r="J14890" t="s">
        <v>40817</v>
      </c>
      <c r="K14890" t="s">
        <v>41256</v>
      </c>
      <c r="M14890" t="s">
        <v>44439</v>
      </c>
      <c r="N14890" t="s">
        <v>45095</v>
      </c>
      <c r="O14890" t="s">
        <v>45096</v>
      </c>
      <c r="Q14890">
        <v>10</v>
      </c>
      <c r="R14890" t="s">
        <v>45167</v>
      </c>
      <c r="S14890" t="s">
        <v>46411</v>
      </c>
      <c r="T14890" t="s">
        <v>46914</v>
      </c>
      <c r="U14890" t="s">
        <v>59428</v>
      </c>
      <c r="V14890" t="s">
        <v>61539</v>
      </c>
      <c r="W14890" t="s">
        <v>44439</v>
      </c>
      <c r="X14890" t="s">
        <v>45168</v>
      </c>
    </row>
    <row r="14891" spans="1:24">
      <c r="A14891">
        <f>HYPERLINK("https://www.philgeps.gov.ph/GEPSNONPILOT/Tender/SplashBidNoticeAbstractUI.aspx?menuIndex=3&amp;refID=6937160&amp;Result=3","6937160")</f>
        <v>0</v>
      </c>
      <c r="B14891" t="s">
        <v>1554</v>
      </c>
      <c r="C14891" t="s">
        <v>17459</v>
      </c>
      <c r="D14891" t="s">
        <v>18056</v>
      </c>
      <c r="E14891" t="s">
        <v>31072</v>
      </c>
      <c r="F14891" t="s">
        <v>31574</v>
      </c>
      <c r="G14891" t="s">
        <v>31581</v>
      </c>
      <c r="H14891" t="s">
        <v>31591</v>
      </c>
      <c r="I14891" t="s">
        <v>8822</v>
      </c>
      <c r="J14891" t="s">
        <v>40818</v>
      </c>
      <c r="K14891" t="s">
        <v>41186</v>
      </c>
      <c r="M14891" t="s">
        <v>43153</v>
      </c>
      <c r="N14891" t="s">
        <v>45095</v>
      </c>
      <c r="O14891" t="s">
        <v>45096</v>
      </c>
      <c r="Q14891">
        <v>0</v>
      </c>
      <c r="R14891" t="s">
        <v>45169</v>
      </c>
      <c r="S14891" t="s">
        <v>46412</v>
      </c>
      <c r="T14891" t="s">
        <v>47159</v>
      </c>
      <c r="U14891" t="s">
        <v>59439</v>
      </c>
      <c r="W14891" t="s">
        <v>43153</v>
      </c>
      <c r="X14891" t="s">
        <v>45170</v>
      </c>
    </row>
    <row r="14892" spans="1:24">
      <c r="A14892">
        <f>HYPERLINK("https://www.philgeps.gov.ph/GEPSNONPILOT/Tender/SplashBidNoticeAbstractUI.aspx?menuIndex=3&amp;refID=6935854&amp;Result=3","6935854")</f>
        <v>0</v>
      </c>
      <c r="B14892" t="s">
        <v>3160</v>
      </c>
      <c r="C14892" t="s">
        <v>17460</v>
      </c>
      <c r="D14892" t="s">
        <v>18045</v>
      </c>
      <c r="E14892" t="s">
        <v>31073</v>
      </c>
      <c r="F14892" t="s">
        <v>31574</v>
      </c>
      <c r="G14892" t="s">
        <v>31582</v>
      </c>
      <c r="H14892" t="s">
        <v>31593</v>
      </c>
      <c r="I14892" t="s">
        <v>31593</v>
      </c>
      <c r="J14892" t="s">
        <v>32530</v>
      </c>
      <c r="K14892" t="s">
        <v>41200</v>
      </c>
      <c r="M14892" t="s">
        <v>45027</v>
      </c>
      <c r="N14892" t="s">
        <v>45095</v>
      </c>
      <c r="O14892" t="s">
        <v>45096</v>
      </c>
      <c r="Q14892">
        <v>10</v>
      </c>
      <c r="R14892" t="s">
        <v>45169</v>
      </c>
      <c r="S14892" t="s">
        <v>46413</v>
      </c>
      <c r="T14892" t="s">
        <v>47447</v>
      </c>
      <c r="U14892" t="s">
        <v>59440</v>
      </c>
      <c r="V14892" t="s">
        <v>61540</v>
      </c>
      <c r="W14892" t="s">
        <v>45027</v>
      </c>
      <c r="X14892" t="s">
        <v>45171</v>
      </c>
    </row>
    <row r="14893" spans="1:24">
      <c r="A14893">
        <f>HYPERLINK("https://www.philgeps.gov.ph/GEPSNONPILOT/Tender/SplashBidNoticeAbstractUI.aspx?menuIndex=3&amp;refID=6941588&amp;Result=3","6941588")</f>
        <v>0</v>
      </c>
      <c r="B14893" t="s">
        <v>1554</v>
      </c>
      <c r="C14893" t="s">
        <v>17461</v>
      </c>
      <c r="D14893" t="s">
        <v>18056</v>
      </c>
      <c r="E14893" t="s">
        <v>31074</v>
      </c>
      <c r="F14893" t="s">
        <v>31574</v>
      </c>
      <c r="G14893" t="s">
        <v>31581</v>
      </c>
      <c r="H14893" t="s">
        <v>31591</v>
      </c>
      <c r="I14893" t="s">
        <v>8822</v>
      </c>
      <c r="J14893" t="s">
        <v>40819</v>
      </c>
      <c r="K14893" t="s">
        <v>41195</v>
      </c>
      <c r="M14893" t="s">
        <v>43153</v>
      </c>
      <c r="N14893" t="s">
        <v>45095</v>
      </c>
      <c r="O14893" t="s">
        <v>45096</v>
      </c>
      <c r="Q14893">
        <v>0</v>
      </c>
      <c r="R14893" t="s">
        <v>45167</v>
      </c>
      <c r="S14893" t="s">
        <v>46414</v>
      </c>
      <c r="T14893" t="s">
        <v>47159</v>
      </c>
      <c r="U14893" t="s">
        <v>59441</v>
      </c>
      <c r="W14893" t="s">
        <v>43153</v>
      </c>
      <c r="X14893" t="s">
        <v>45168</v>
      </c>
    </row>
    <row r="14894" spans="1:24">
      <c r="A14894">
        <f>HYPERLINK("https://www.philgeps.gov.ph/GEPSNONPILOT/Tender/SplashBidNoticeAbstractUI.aspx?menuIndex=3&amp;refID=6939956&amp;Result=3","6939956")</f>
        <v>0</v>
      </c>
      <c r="B14894" t="s">
        <v>1588</v>
      </c>
      <c r="C14894" t="s">
        <v>17462</v>
      </c>
      <c r="D14894" t="s">
        <v>18079</v>
      </c>
      <c r="E14894" t="s">
        <v>31075</v>
      </c>
      <c r="F14894" t="s">
        <v>31574</v>
      </c>
      <c r="G14894" t="s">
        <v>31582</v>
      </c>
      <c r="H14894" t="s">
        <v>31593</v>
      </c>
      <c r="I14894" t="s">
        <v>31593</v>
      </c>
      <c r="J14894" t="s">
        <v>38057</v>
      </c>
      <c r="K14894" t="s">
        <v>41200</v>
      </c>
      <c r="M14894" t="s">
        <v>45028</v>
      </c>
      <c r="N14894" t="s">
        <v>45095</v>
      </c>
      <c r="O14894" t="s">
        <v>45096</v>
      </c>
      <c r="Q14894">
        <v>2</v>
      </c>
      <c r="R14894" t="s">
        <v>45168</v>
      </c>
      <c r="S14894" t="s">
        <v>46082</v>
      </c>
      <c r="T14894" t="s">
        <v>47100</v>
      </c>
      <c r="U14894" t="s">
        <v>59442</v>
      </c>
      <c r="W14894" t="s">
        <v>45028</v>
      </c>
      <c r="X14894" t="s">
        <v>61788</v>
      </c>
    </row>
    <row r="14895" spans="1:24">
      <c r="A14895">
        <f>HYPERLINK("https://www.philgeps.gov.ph/GEPSNONPILOT/Tender/SplashBidNoticeAbstractUI.aspx?menuIndex=3&amp;refID=6941510&amp;Result=3","6941510")</f>
        <v>0</v>
      </c>
      <c r="B14895" t="s">
        <v>1396</v>
      </c>
      <c r="C14895" t="s">
        <v>17463</v>
      </c>
      <c r="D14895" t="s">
        <v>18044</v>
      </c>
      <c r="E14895" t="s">
        <v>31076</v>
      </c>
      <c r="F14895" t="s">
        <v>31574</v>
      </c>
      <c r="G14895" t="s">
        <v>31581</v>
      </c>
      <c r="H14895" t="s">
        <v>31590</v>
      </c>
      <c r="I14895" t="s">
        <v>31632</v>
      </c>
      <c r="J14895" t="s">
        <v>40820</v>
      </c>
      <c r="K14895" t="s">
        <v>41184</v>
      </c>
      <c r="M14895" t="s">
        <v>42971</v>
      </c>
      <c r="N14895" t="s">
        <v>45095</v>
      </c>
      <c r="O14895" t="s">
        <v>45096</v>
      </c>
      <c r="Q14895">
        <v>2</v>
      </c>
      <c r="R14895" t="s">
        <v>45167</v>
      </c>
      <c r="S14895" t="s">
        <v>46415</v>
      </c>
      <c r="T14895" t="s">
        <v>47050</v>
      </c>
      <c r="U14895" t="s">
        <v>50848</v>
      </c>
      <c r="W14895" t="s">
        <v>42971</v>
      </c>
      <c r="X14895" t="s">
        <v>45168</v>
      </c>
    </row>
    <row r="14896" spans="1:24">
      <c r="A14896">
        <f>HYPERLINK("https://www.philgeps.gov.ph/GEPSNONPILOT/Tender/SplashBidNoticeAbstractUI.aspx?menuIndex=3&amp;refID=6937304&amp;Result=3","6937304")</f>
        <v>0</v>
      </c>
      <c r="B14896" t="s">
        <v>2611</v>
      </c>
      <c r="C14896" t="s">
        <v>17464</v>
      </c>
      <c r="D14896" t="s">
        <v>18065</v>
      </c>
      <c r="E14896" t="s">
        <v>31077</v>
      </c>
      <c r="F14896" t="s">
        <v>31574</v>
      </c>
      <c r="G14896" t="s">
        <v>31581</v>
      </c>
      <c r="H14896" t="s">
        <v>31590</v>
      </c>
      <c r="I14896" t="s">
        <v>3489</v>
      </c>
      <c r="J14896" t="s">
        <v>32258</v>
      </c>
      <c r="K14896" t="s">
        <v>41184</v>
      </c>
      <c r="M14896" t="s">
        <v>44361</v>
      </c>
      <c r="N14896" t="s">
        <v>45095</v>
      </c>
      <c r="O14896" t="s">
        <v>45096</v>
      </c>
      <c r="Q14896">
        <v>0</v>
      </c>
      <c r="R14896" t="s">
        <v>45169</v>
      </c>
      <c r="S14896" t="s">
        <v>46416</v>
      </c>
      <c r="T14896" t="s">
        <v>47164</v>
      </c>
      <c r="U14896" t="s">
        <v>59443</v>
      </c>
      <c r="W14896" t="s">
        <v>44361</v>
      </c>
      <c r="X14896" t="s">
        <v>45170</v>
      </c>
    </row>
    <row r="14897" spans="1:24">
      <c r="A14897">
        <f>HYPERLINK("https://www.philgeps.gov.ph/GEPSNONPILOT/Tender/SplashBidNoticeAbstractUI.aspx?menuIndex=3&amp;refID=6936409&amp;Result=3","6936409")</f>
        <v>0</v>
      </c>
      <c r="B14897" t="s">
        <v>1554</v>
      </c>
      <c r="C14897" t="s">
        <v>17465</v>
      </c>
      <c r="D14897" t="s">
        <v>18056</v>
      </c>
      <c r="E14897" t="s">
        <v>31078</v>
      </c>
      <c r="F14897" t="s">
        <v>31574</v>
      </c>
      <c r="G14897" t="s">
        <v>31581</v>
      </c>
      <c r="H14897" t="s">
        <v>31591</v>
      </c>
      <c r="I14897" t="s">
        <v>8822</v>
      </c>
      <c r="J14897" t="s">
        <v>40821</v>
      </c>
      <c r="K14897" t="s">
        <v>41186</v>
      </c>
      <c r="M14897" t="s">
        <v>43153</v>
      </c>
      <c r="N14897" t="s">
        <v>45095</v>
      </c>
      <c r="O14897" t="s">
        <v>45096</v>
      </c>
      <c r="Q14897">
        <v>0</v>
      </c>
      <c r="R14897" t="s">
        <v>45169</v>
      </c>
      <c r="S14897" t="s">
        <v>46417</v>
      </c>
      <c r="T14897" t="s">
        <v>47159</v>
      </c>
      <c r="U14897" t="s">
        <v>59444</v>
      </c>
      <c r="W14897" t="s">
        <v>43153</v>
      </c>
      <c r="X14897" t="s">
        <v>45170</v>
      </c>
    </row>
    <row r="14898" spans="1:24">
      <c r="A14898">
        <f>HYPERLINK("https://www.philgeps.gov.ph/GEPSNONPILOT/Tender/SplashBidNoticeAbstractUI.aspx?menuIndex=3&amp;refID=6937766&amp;Result=3","6937766")</f>
        <v>0</v>
      </c>
      <c r="B14898" t="s">
        <v>1554</v>
      </c>
      <c r="C14898" t="s">
        <v>17466</v>
      </c>
      <c r="D14898" t="s">
        <v>18056</v>
      </c>
      <c r="E14898" t="s">
        <v>31079</v>
      </c>
      <c r="F14898" t="s">
        <v>31574</v>
      </c>
      <c r="G14898" t="s">
        <v>31581</v>
      </c>
      <c r="H14898" t="s">
        <v>31591</v>
      </c>
      <c r="I14898" t="s">
        <v>8822</v>
      </c>
      <c r="J14898" t="s">
        <v>40822</v>
      </c>
      <c r="K14898" t="s">
        <v>41186</v>
      </c>
      <c r="M14898" t="s">
        <v>43153</v>
      </c>
      <c r="N14898" t="s">
        <v>45095</v>
      </c>
      <c r="O14898" t="s">
        <v>45096</v>
      </c>
      <c r="Q14898">
        <v>0</v>
      </c>
      <c r="R14898" t="s">
        <v>45169</v>
      </c>
      <c r="S14898" t="s">
        <v>46418</v>
      </c>
      <c r="T14898" t="s">
        <v>47159</v>
      </c>
      <c r="U14898" t="s">
        <v>59445</v>
      </c>
      <c r="W14898" t="s">
        <v>43153</v>
      </c>
      <c r="X14898" t="s">
        <v>45170</v>
      </c>
    </row>
    <row r="14899" spans="1:24">
      <c r="A14899">
        <f>HYPERLINK("https://www.philgeps.gov.ph/GEPSNONPILOT/Tender/SplashBidNoticeAbstractUI.aspx?menuIndex=3&amp;refID=6941550&amp;Result=3","6941550")</f>
        <v>0</v>
      </c>
      <c r="B14899" t="s">
        <v>1396</v>
      </c>
      <c r="C14899" t="s">
        <v>17467</v>
      </c>
      <c r="D14899" t="s">
        <v>18044</v>
      </c>
      <c r="E14899" t="s">
        <v>31080</v>
      </c>
      <c r="F14899" t="s">
        <v>31574</v>
      </c>
      <c r="G14899" t="s">
        <v>31581</v>
      </c>
      <c r="H14899" t="s">
        <v>31590</v>
      </c>
      <c r="I14899" t="s">
        <v>31632</v>
      </c>
      <c r="J14899" t="s">
        <v>40823</v>
      </c>
      <c r="K14899" t="s">
        <v>41184</v>
      </c>
      <c r="M14899" t="s">
        <v>42971</v>
      </c>
      <c r="N14899" t="s">
        <v>45095</v>
      </c>
      <c r="O14899" t="s">
        <v>45096</v>
      </c>
      <c r="Q14899">
        <v>2</v>
      </c>
      <c r="R14899" t="s">
        <v>45167</v>
      </c>
      <c r="S14899" t="s">
        <v>46415</v>
      </c>
      <c r="T14899" t="s">
        <v>47050</v>
      </c>
      <c r="U14899" t="s">
        <v>50848</v>
      </c>
      <c r="W14899" t="s">
        <v>42971</v>
      </c>
      <c r="X14899" t="s">
        <v>45168</v>
      </c>
    </row>
    <row r="14900" spans="1:24">
      <c r="A14900">
        <f>HYPERLINK("https://www.philgeps.gov.ph/GEPSNONPILOT/Tender/SplashBidNoticeAbstractUI.aspx?menuIndex=3&amp;refID=6937816&amp;Result=3","6937816")</f>
        <v>0</v>
      </c>
      <c r="B14900" t="s">
        <v>3161</v>
      </c>
      <c r="C14900" t="s">
        <v>17468</v>
      </c>
      <c r="D14900" t="s">
        <v>18022</v>
      </c>
      <c r="E14900" t="s">
        <v>31081</v>
      </c>
      <c r="F14900" t="s">
        <v>31574</v>
      </c>
      <c r="G14900" t="s">
        <v>31582</v>
      </c>
      <c r="H14900" t="s">
        <v>31591</v>
      </c>
      <c r="I14900" t="s">
        <v>8822</v>
      </c>
      <c r="J14900" t="s">
        <v>34059</v>
      </c>
      <c r="K14900" t="s">
        <v>41198</v>
      </c>
      <c r="M14900" t="s">
        <v>45029</v>
      </c>
      <c r="N14900" t="s">
        <v>45095</v>
      </c>
      <c r="O14900" t="s">
        <v>45096</v>
      </c>
      <c r="Q14900">
        <v>15</v>
      </c>
      <c r="R14900" t="s">
        <v>45169</v>
      </c>
      <c r="S14900" t="s">
        <v>46419</v>
      </c>
      <c r="T14900" t="s">
        <v>47402</v>
      </c>
      <c r="U14900" t="s">
        <v>59446</v>
      </c>
      <c r="W14900" t="s">
        <v>61779</v>
      </c>
      <c r="X14900" t="s">
        <v>45170</v>
      </c>
    </row>
    <row r="14901" spans="1:24">
      <c r="A14901">
        <f>HYPERLINK("https://www.philgeps.gov.ph/GEPSNONPILOT/Tender/SplashBidNoticeAbstractUI.aspx?menuIndex=3&amp;refID=6937973&amp;Result=3","6937973")</f>
        <v>0</v>
      </c>
      <c r="B14901" t="s">
        <v>1554</v>
      </c>
      <c r="C14901" t="s">
        <v>17469</v>
      </c>
      <c r="D14901" t="s">
        <v>18056</v>
      </c>
      <c r="E14901" t="s">
        <v>31082</v>
      </c>
      <c r="F14901" t="s">
        <v>31574</v>
      </c>
      <c r="G14901" t="s">
        <v>31581</v>
      </c>
      <c r="H14901" t="s">
        <v>31591</v>
      </c>
      <c r="I14901" t="s">
        <v>8822</v>
      </c>
      <c r="J14901" t="s">
        <v>40824</v>
      </c>
      <c r="K14901" t="s">
        <v>41217</v>
      </c>
      <c r="M14901" t="s">
        <v>43153</v>
      </c>
      <c r="N14901" t="s">
        <v>45095</v>
      </c>
      <c r="O14901" t="s">
        <v>45096</v>
      </c>
      <c r="Q14901">
        <v>0</v>
      </c>
      <c r="R14901" t="s">
        <v>45169</v>
      </c>
      <c r="S14901" t="s">
        <v>46420</v>
      </c>
      <c r="T14901" t="s">
        <v>47159</v>
      </c>
      <c r="U14901" t="s">
        <v>59447</v>
      </c>
      <c r="W14901" t="s">
        <v>43153</v>
      </c>
      <c r="X14901" t="s">
        <v>45170</v>
      </c>
    </row>
    <row r="14902" spans="1:24">
      <c r="A14902">
        <f>HYPERLINK("https://www.philgeps.gov.ph/GEPSNONPILOT/Tender/SplashBidNoticeAbstractUI.aspx?menuIndex=3&amp;refID=6937934&amp;Result=3","6937934")</f>
        <v>0</v>
      </c>
      <c r="B14902" t="s">
        <v>3161</v>
      </c>
      <c r="C14902" t="s">
        <v>17470</v>
      </c>
      <c r="D14902" t="s">
        <v>18022</v>
      </c>
      <c r="E14902" t="s">
        <v>31083</v>
      </c>
      <c r="F14902" t="s">
        <v>31574</v>
      </c>
      <c r="G14902" t="s">
        <v>31582</v>
      </c>
      <c r="H14902" t="s">
        <v>31591</v>
      </c>
      <c r="I14902" t="s">
        <v>8822</v>
      </c>
      <c r="J14902" t="s">
        <v>40825</v>
      </c>
      <c r="K14902" t="s">
        <v>41198</v>
      </c>
      <c r="M14902" t="s">
        <v>45029</v>
      </c>
      <c r="N14902" t="s">
        <v>45095</v>
      </c>
      <c r="O14902" t="s">
        <v>45096</v>
      </c>
      <c r="Q14902">
        <v>16</v>
      </c>
      <c r="R14902" t="s">
        <v>45169</v>
      </c>
      <c r="S14902" t="s">
        <v>46421</v>
      </c>
      <c r="T14902" t="s">
        <v>46926</v>
      </c>
      <c r="U14902" t="s">
        <v>59448</v>
      </c>
      <c r="W14902" t="s">
        <v>61779</v>
      </c>
      <c r="X14902" t="s">
        <v>45170</v>
      </c>
    </row>
    <row r="14903" spans="1:24">
      <c r="A14903">
        <f>HYPERLINK("https://www.philgeps.gov.ph/GEPSNONPILOT/Tender/SplashBidNoticeAbstractUI.aspx?menuIndex=3&amp;refID=6937901&amp;Result=3","6937901")</f>
        <v>0</v>
      </c>
      <c r="B14903" t="s">
        <v>3161</v>
      </c>
      <c r="C14903" t="s">
        <v>17471</v>
      </c>
      <c r="D14903" t="s">
        <v>18022</v>
      </c>
      <c r="E14903" t="s">
        <v>31084</v>
      </c>
      <c r="F14903" t="s">
        <v>31574</v>
      </c>
      <c r="G14903" t="s">
        <v>31582</v>
      </c>
      <c r="H14903" t="s">
        <v>31591</v>
      </c>
      <c r="I14903" t="s">
        <v>8822</v>
      </c>
      <c r="J14903" t="s">
        <v>34059</v>
      </c>
      <c r="K14903" t="s">
        <v>41198</v>
      </c>
      <c r="M14903" t="s">
        <v>45029</v>
      </c>
      <c r="N14903" t="s">
        <v>45095</v>
      </c>
      <c r="O14903" t="s">
        <v>45096</v>
      </c>
      <c r="Q14903">
        <v>16</v>
      </c>
      <c r="R14903" t="s">
        <v>45169</v>
      </c>
      <c r="S14903" t="s">
        <v>46422</v>
      </c>
      <c r="T14903" t="s">
        <v>46926</v>
      </c>
      <c r="U14903" t="s">
        <v>59448</v>
      </c>
      <c r="W14903" t="s">
        <v>61779</v>
      </c>
      <c r="X14903" t="s">
        <v>45170</v>
      </c>
    </row>
    <row r="14904" spans="1:24">
      <c r="A14904">
        <f>HYPERLINK("https://www.philgeps.gov.ph/GEPSNONPILOT/Tender/SplashBidNoticeAbstractUI.aspx?menuIndex=3&amp;refID=6937536&amp;Result=3","6937536")</f>
        <v>0</v>
      </c>
      <c r="B14904" t="s">
        <v>1554</v>
      </c>
      <c r="C14904" t="s">
        <v>17472</v>
      </c>
      <c r="D14904" t="s">
        <v>18056</v>
      </c>
      <c r="E14904" t="s">
        <v>31085</v>
      </c>
      <c r="F14904" t="s">
        <v>31574</v>
      </c>
      <c r="G14904" t="s">
        <v>31581</v>
      </c>
      <c r="H14904" t="s">
        <v>31591</v>
      </c>
      <c r="I14904" t="s">
        <v>8822</v>
      </c>
      <c r="J14904" t="s">
        <v>40826</v>
      </c>
      <c r="K14904" t="s">
        <v>41192</v>
      </c>
      <c r="M14904" t="s">
        <v>43153</v>
      </c>
      <c r="N14904" t="s">
        <v>45095</v>
      </c>
      <c r="O14904" t="s">
        <v>45096</v>
      </c>
      <c r="Q14904">
        <v>2</v>
      </c>
      <c r="R14904" t="s">
        <v>45169</v>
      </c>
      <c r="S14904" t="s">
        <v>46423</v>
      </c>
      <c r="T14904" t="s">
        <v>47159</v>
      </c>
      <c r="U14904" t="s">
        <v>59449</v>
      </c>
      <c r="W14904" t="s">
        <v>43153</v>
      </c>
      <c r="X14904" t="s">
        <v>45170</v>
      </c>
    </row>
    <row r="14905" spans="1:24">
      <c r="A14905">
        <f>HYPERLINK("https://www.philgeps.gov.ph/GEPSNONPILOT/Tender/SplashBidNoticeAbstractUI.aspx?menuIndex=3&amp;refID=6937810&amp;Result=3","6937810")</f>
        <v>0</v>
      </c>
      <c r="B14905" t="s">
        <v>1554</v>
      </c>
      <c r="C14905" t="s">
        <v>17473</v>
      </c>
      <c r="D14905" t="s">
        <v>18056</v>
      </c>
      <c r="E14905" t="s">
        <v>31086</v>
      </c>
      <c r="F14905" t="s">
        <v>31574</v>
      </c>
      <c r="G14905" t="s">
        <v>31581</v>
      </c>
      <c r="H14905" t="s">
        <v>31591</v>
      </c>
      <c r="I14905" t="s">
        <v>8822</v>
      </c>
      <c r="J14905" t="s">
        <v>40827</v>
      </c>
      <c r="K14905" t="s">
        <v>41244</v>
      </c>
      <c r="M14905" t="s">
        <v>43153</v>
      </c>
      <c r="N14905" t="s">
        <v>45095</v>
      </c>
      <c r="O14905" t="s">
        <v>45096</v>
      </c>
      <c r="Q14905">
        <v>1</v>
      </c>
      <c r="R14905" t="s">
        <v>45169</v>
      </c>
      <c r="S14905" t="s">
        <v>46424</v>
      </c>
      <c r="T14905" t="s">
        <v>47159</v>
      </c>
      <c r="U14905" t="s">
        <v>59450</v>
      </c>
      <c r="W14905" t="s">
        <v>43153</v>
      </c>
      <c r="X14905" t="s">
        <v>45170</v>
      </c>
    </row>
    <row r="14906" spans="1:24">
      <c r="A14906">
        <f>HYPERLINK("https://www.philgeps.gov.ph/GEPSNONPILOT/Tender/SplashBidNoticeAbstractUI.aspx?menuIndex=3&amp;refID=6929936&amp;Result=3","6929936")</f>
        <v>0</v>
      </c>
      <c r="B14906" t="s">
        <v>1586</v>
      </c>
      <c r="C14906" t="s">
        <v>17474</v>
      </c>
      <c r="E14906" t="s">
        <v>31087</v>
      </c>
      <c r="F14906" t="s">
        <v>31574</v>
      </c>
      <c r="G14906" t="s">
        <v>31582</v>
      </c>
      <c r="H14906" t="s">
        <v>31590</v>
      </c>
      <c r="I14906" t="s">
        <v>31623</v>
      </c>
      <c r="J14906" t="s">
        <v>40828</v>
      </c>
      <c r="K14906" t="s">
        <v>41184</v>
      </c>
      <c r="M14906" t="s">
        <v>43190</v>
      </c>
      <c r="N14906" t="s">
        <v>45095</v>
      </c>
      <c r="O14906" t="s">
        <v>45096</v>
      </c>
      <c r="Q14906">
        <v>4</v>
      </c>
      <c r="R14906" t="s">
        <v>45170</v>
      </c>
      <c r="S14906" t="s">
        <v>46425</v>
      </c>
      <c r="T14906" t="s">
        <v>47072</v>
      </c>
      <c r="U14906" t="s">
        <v>59451</v>
      </c>
      <c r="V14906" t="s">
        <v>61541</v>
      </c>
      <c r="W14906" t="s">
        <v>61763</v>
      </c>
      <c r="X14906" t="s">
        <v>45172</v>
      </c>
    </row>
    <row r="14907" spans="1:24">
      <c r="A14907">
        <f>HYPERLINK("https://www.philgeps.gov.ph/GEPSNONPILOT/Tender/SplashBidNoticeAbstractUI.aspx?menuIndex=3&amp;refID=6933170&amp;Result=3","6933170")</f>
        <v>0</v>
      </c>
      <c r="B14907" t="s">
        <v>3162</v>
      </c>
      <c r="C14907" t="s">
        <v>17475</v>
      </c>
      <c r="D14907" t="s">
        <v>18022</v>
      </c>
      <c r="E14907" t="s">
        <v>31088</v>
      </c>
      <c r="F14907" t="s">
        <v>31574</v>
      </c>
      <c r="G14907" t="s">
        <v>31582</v>
      </c>
      <c r="H14907" t="s">
        <v>31590</v>
      </c>
      <c r="I14907" t="s">
        <v>31608</v>
      </c>
      <c r="J14907" t="s">
        <v>37315</v>
      </c>
      <c r="K14907" t="s">
        <v>41185</v>
      </c>
      <c r="M14907" t="s">
        <v>45030</v>
      </c>
      <c r="N14907" t="s">
        <v>45095</v>
      </c>
      <c r="O14907" t="s">
        <v>45096</v>
      </c>
      <c r="Q14907">
        <v>31</v>
      </c>
      <c r="R14907" t="s">
        <v>45170</v>
      </c>
      <c r="S14907" t="s">
        <v>45326</v>
      </c>
      <c r="T14907" t="s">
        <v>47124</v>
      </c>
      <c r="U14907" t="s">
        <v>59452</v>
      </c>
      <c r="W14907" t="s">
        <v>45030</v>
      </c>
      <c r="X14907" t="s">
        <v>45171</v>
      </c>
    </row>
    <row r="14908" spans="1:24">
      <c r="A14908">
        <f>HYPERLINK("https://www.philgeps.gov.ph/GEPSNONPILOT/Tender/SplashBidNoticeAbstractUI.aspx?menuIndex=3&amp;refID=6924512&amp;Result=3","6924512")</f>
        <v>0</v>
      </c>
      <c r="B14908" t="s">
        <v>38</v>
      </c>
      <c r="C14908" t="s">
        <v>17476</v>
      </c>
      <c r="D14908" t="s">
        <v>18033</v>
      </c>
      <c r="E14908" t="s">
        <v>31089</v>
      </c>
      <c r="F14908" t="s">
        <v>31574</v>
      </c>
      <c r="G14908" t="s">
        <v>31582</v>
      </c>
      <c r="H14908" t="s">
        <v>31591</v>
      </c>
      <c r="I14908" t="s">
        <v>8822</v>
      </c>
      <c r="J14908" t="s">
        <v>40829</v>
      </c>
      <c r="K14908" t="s">
        <v>41488</v>
      </c>
      <c r="M14908" t="s">
        <v>43276</v>
      </c>
      <c r="N14908" t="s">
        <v>45095</v>
      </c>
      <c r="O14908" t="s">
        <v>45096</v>
      </c>
      <c r="Q14908">
        <v>11</v>
      </c>
      <c r="R14908" t="s">
        <v>45170</v>
      </c>
      <c r="S14908" t="s">
        <v>46426</v>
      </c>
      <c r="T14908" t="s">
        <v>46913</v>
      </c>
      <c r="U14908" t="s">
        <v>49667</v>
      </c>
      <c r="V14908" t="s">
        <v>59888</v>
      </c>
      <c r="W14908" t="s">
        <v>43276</v>
      </c>
      <c r="X14908" t="s">
        <v>45174</v>
      </c>
    </row>
    <row r="14909" spans="1:24">
      <c r="A14909">
        <f>HYPERLINK("https://www.philgeps.gov.ph/GEPSNONPILOT/Tender/SplashBidNoticeAbstractUI.aspx?menuIndex=3&amp;refID=6937634&amp;Result=3","6937634")</f>
        <v>0</v>
      </c>
      <c r="B14909" t="s">
        <v>1554</v>
      </c>
      <c r="C14909" t="s">
        <v>17477</v>
      </c>
      <c r="D14909" t="s">
        <v>18056</v>
      </c>
      <c r="E14909" t="s">
        <v>31090</v>
      </c>
      <c r="F14909" t="s">
        <v>31574</v>
      </c>
      <c r="G14909" t="s">
        <v>31581</v>
      </c>
      <c r="H14909" t="s">
        <v>31591</v>
      </c>
      <c r="I14909" t="s">
        <v>8822</v>
      </c>
      <c r="J14909" t="s">
        <v>40830</v>
      </c>
      <c r="K14909" t="s">
        <v>41192</v>
      </c>
      <c r="M14909" t="s">
        <v>43153</v>
      </c>
      <c r="N14909" t="s">
        <v>45095</v>
      </c>
      <c r="O14909" t="s">
        <v>45096</v>
      </c>
      <c r="Q14909">
        <v>0</v>
      </c>
      <c r="R14909" t="s">
        <v>45169</v>
      </c>
      <c r="S14909" t="s">
        <v>46427</v>
      </c>
      <c r="T14909" t="s">
        <v>47159</v>
      </c>
      <c r="U14909" t="s">
        <v>59453</v>
      </c>
      <c r="W14909" t="s">
        <v>43153</v>
      </c>
      <c r="X14909" t="s">
        <v>45170</v>
      </c>
    </row>
    <row r="14910" spans="1:24">
      <c r="A14910">
        <f>HYPERLINK("https://www.philgeps.gov.ph/GEPSNONPILOT/Tender/SplashBidNoticeAbstractUI.aspx?menuIndex=3&amp;refID=6933995&amp;Result=3","6933995")</f>
        <v>0</v>
      </c>
      <c r="B14910" t="s">
        <v>3163</v>
      </c>
      <c r="C14910" t="s">
        <v>17478</v>
      </c>
      <c r="D14910" t="s">
        <v>18022</v>
      </c>
      <c r="E14910" t="s">
        <v>31091</v>
      </c>
      <c r="F14910" t="s">
        <v>31574</v>
      </c>
      <c r="G14910" t="s">
        <v>31581</v>
      </c>
      <c r="H14910" t="s">
        <v>31590</v>
      </c>
      <c r="I14910" t="s">
        <v>31619</v>
      </c>
      <c r="J14910" t="s">
        <v>40831</v>
      </c>
      <c r="K14910" t="s">
        <v>41184</v>
      </c>
      <c r="M14910" t="s">
        <v>45031</v>
      </c>
      <c r="N14910" t="s">
        <v>45095</v>
      </c>
      <c r="O14910" t="s">
        <v>45096</v>
      </c>
      <c r="Q14910">
        <v>15</v>
      </c>
      <c r="R14910" t="s">
        <v>45170</v>
      </c>
      <c r="S14910" t="s">
        <v>46428</v>
      </c>
      <c r="T14910" t="s">
        <v>47106</v>
      </c>
      <c r="U14910" t="s">
        <v>59454</v>
      </c>
      <c r="V14910" t="s">
        <v>61542</v>
      </c>
      <c r="W14910" t="s">
        <v>45031</v>
      </c>
      <c r="X14910" t="s">
        <v>45171</v>
      </c>
    </row>
    <row r="14911" spans="1:24">
      <c r="A14911">
        <f>HYPERLINK("https://www.philgeps.gov.ph/GEPSNONPILOT/Tender/SplashBidNoticeAbstractUI.aspx?menuIndex=3&amp;refID=6933139&amp;Result=3","6933139")</f>
        <v>0</v>
      </c>
      <c r="B14911" t="s">
        <v>1215</v>
      </c>
      <c r="C14911" t="s">
        <v>17479</v>
      </c>
      <c r="D14911" t="s">
        <v>18030</v>
      </c>
      <c r="E14911" t="s">
        <v>31092</v>
      </c>
      <c r="F14911" t="s">
        <v>31574</v>
      </c>
      <c r="G14911" t="s">
        <v>31582</v>
      </c>
      <c r="H14911" t="s">
        <v>31590</v>
      </c>
      <c r="I14911" t="s">
        <v>31718</v>
      </c>
      <c r="J14911" t="s">
        <v>40832</v>
      </c>
      <c r="K14911" t="s">
        <v>41184</v>
      </c>
      <c r="M14911" t="s">
        <v>44846</v>
      </c>
      <c r="N14911" t="s">
        <v>45095</v>
      </c>
      <c r="O14911" t="s">
        <v>45096</v>
      </c>
      <c r="Q14911">
        <v>8</v>
      </c>
      <c r="R14911" t="s">
        <v>45170</v>
      </c>
      <c r="S14911" t="s">
        <v>46429</v>
      </c>
      <c r="T14911" t="s">
        <v>47037</v>
      </c>
      <c r="U14911" t="s">
        <v>59455</v>
      </c>
      <c r="V14911" t="s">
        <v>61296</v>
      </c>
      <c r="W14911" t="s">
        <v>44846</v>
      </c>
      <c r="X14911" t="s">
        <v>45171</v>
      </c>
    </row>
    <row r="14912" spans="1:24">
      <c r="A14912">
        <f>HYPERLINK("https://www.philgeps.gov.ph/GEPSNONPILOT/Tender/SplashBidNoticeAbstractUI.aspx?menuIndex=3&amp;refID=6937865&amp;Result=3","6937865")</f>
        <v>0</v>
      </c>
      <c r="B14912" t="s">
        <v>3161</v>
      </c>
      <c r="C14912" t="s">
        <v>17480</v>
      </c>
      <c r="D14912" t="s">
        <v>18022</v>
      </c>
      <c r="E14912" t="s">
        <v>31093</v>
      </c>
      <c r="F14912" t="s">
        <v>31574</v>
      </c>
      <c r="G14912" t="s">
        <v>31582</v>
      </c>
      <c r="H14912" t="s">
        <v>31591</v>
      </c>
      <c r="I14912" t="s">
        <v>8822</v>
      </c>
      <c r="J14912" t="s">
        <v>40833</v>
      </c>
      <c r="K14912" t="s">
        <v>41202</v>
      </c>
      <c r="M14912" t="s">
        <v>45029</v>
      </c>
      <c r="N14912" t="s">
        <v>45095</v>
      </c>
      <c r="O14912" t="s">
        <v>45096</v>
      </c>
      <c r="Q14912">
        <v>12</v>
      </c>
      <c r="R14912" t="s">
        <v>45169</v>
      </c>
      <c r="S14912" t="s">
        <v>46430</v>
      </c>
      <c r="T14912" t="s">
        <v>46926</v>
      </c>
      <c r="U14912" t="s">
        <v>59446</v>
      </c>
      <c r="W14912" t="s">
        <v>61779</v>
      </c>
      <c r="X14912" t="s">
        <v>45170</v>
      </c>
    </row>
    <row r="14913" spans="1:24">
      <c r="A14913">
        <f>HYPERLINK("https://www.philgeps.gov.ph/GEPSNONPILOT/Tender/SplashBidNoticeAbstractUI.aspx?menuIndex=3&amp;refID=6917834&amp;Result=3","6917834")</f>
        <v>0</v>
      </c>
      <c r="B14913" t="s">
        <v>38</v>
      </c>
      <c r="C14913" t="s">
        <v>17481</v>
      </c>
      <c r="D14913" t="s">
        <v>18033</v>
      </c>
      <c r="E14913" t="s">
        <v>31094</v>
      </c>
      <c r="F14913" t="s">
        <v>31574</v>
      </c>
      <c r="G14913" t="s">
        <v>31582</v>
      </c>
      <c r="H14913" t="s">
        <v>31590</v>
      </c>
      <c r="I14913" t="s">
        <v>4677</v>
      </c>
      <c r="J14913" t="s">
        <v>40834</v>
      </c>
      <c r="K14913" t="s">
        <v>41489</v>
      </c>
      <c r="M14913" t="s">
        <v>41521</v>
      </c>
      <c r="N14913" t="s">
        <v>45095</v>
      </c>
      <c r="O14913" t="s">
        <v>45096</v>
      </c>
      <c r="Q14913">
        <v>2</v>
      </c>
      <c r="R14913" t="s">
        <v>45170</v>
      </c>
      <c r="S14913" t="s">
        <v>46431</v>
      </c>
      <c r="T14913" t="s">
        <v>47448</v>
      </c>
      <c r="U14913" t="s">
        <v>59456</v>
      </c>
      <c r="V14913" t="s">
        <v>59888</v>
      </c>
      <c r="W14913" t="s">
        <v>41521</v>
      </c>
      <c r="X14913" t="s">
        <v>45177</v>
      </c>
    </row>
    <row r="14914" spans="1:24">
      <c r="A14914">
        <f>HYPERLINK("https://www.philgeps.gov.ph/GEPSNONPILOT/Tender/SplashBidNoticeAbstractUI.aspx?menuIndex=3&amp;refID=6938600&amp;Result=3","6938600")</f>
        <v>0</v>
      </c>
      <c r="B14914" t="s">
        <v>3164</v>
      </c>
      <c r="C14914" t="s">
        <v>17482</v>
      </c>
      <c r="E14914" t="s">
        <v>31095</v>
      </c>
      <c r="F14914" t="s">
        <v>31574</v>
      </c>
      <c r="G14914" t="s">
        <v>31582</v>
      </c>
      <c r="H14914" t="s">
        <v>31592</v>
      </c>
      <c r="I14914" t="s">
        <v>4677</v>
      </c>
      <c r="J14914" t="s">
        <v>40835</v>
      </c>
      <c r="K14914" t="s">
        <v>41227</v>
      </c>
      <c r="M14914" t="s">
        <v>45032</v>
      </c>
      <c r="N14914" t="s">
        <v>45095</v>
      </c>
      <c r="O14914" t="s">
        <v>45096</v>
      </c>
      <c r="Q14914">
        <v>2</v>
      </c>
      <c r="R14914" t="s">
        <v>45168</v>
      </c>
      <c r="S14914" t="s">
        <v>46432</v>
      </c>
      <c r="T14914" t="s">
        <v>47199</v>
      </c>
      <c r="U14914" t="s">
        <v>59457</v>
      </c>
      <c r="W14914" t="s">
        <v>45032</v>
      </c>
      <c r="X14914" t="s">
        <v>45170</v>
      </c>
    </row>
    <row r="14915" spans="1:24">
      <c r="A14915">
        <f>HYPERLINK("https://www.philgeps.gov.ph/GEPSNONPILOT/Tender/SplashBidNoticeAbstractUI.aspx?menuIndex=3&amp;refID=6934849&amp;Result=3","6934849")</f>
        <v>0</v>
      </c>
      <c r="B14915" t="s">
        <v>1594</v>
      </c>
      <c r="C14915" t="s">
        <v>17483</v>
      </c>
      <c r="D14915" t="s">
        <v>18022</v>
      </c>
      <c r="E14915" t="s">
        <v>31096</v>
      </c>
      <c r="F14915" t="s">
        <v>31574</v>
      </c>
      <c r="G14915" t="s">
        <v>31582</v>
      </c>
      <c r="H14915" t="s">
        <v>31590</v>
      </c>
      <c r="I14915" t="s">
        <v>31612</v>
      </c>
      <c r="J14915" t="s">
        <v>40836</v>
      </c>
      <c r="K14915" t="s">
        <v>41186</v>
      </c>
      <c r="M14915" t="s">
        <v>44394</v>
      </c>
      <c r="N14915" t="s">
        <v>45095</v>
      </c>
      <c r="O14915" t="s">
        <v>45096</v>
      </c>
      <c r="Q14915">
        <v>19</v>
      </c>
      <c r="R14915" t="s">
        <v>45170</v>
      </c>
      <c r="S14915" t="s">
        <v>46433</v>
      </c>
      <c r="T14915" t="s">
        <v>47301</v>
      </c>
      <c r="U14915" t="s">
        <v>59458</v>
      </c>
      <c r="W14915" t="s">
        <v>43198</v>
      </c>
      <c r="X14915" t="s">
        <v>45171</v>
      </c>
    </row>
    <row r="14916" spans="1:24">
      <c r="A14916">
        <f>HYPERLINK("https://www.philgeps.gov.ph/GEPSNONPILOT/Tender/SplashBidNoticeAbstractUI.aspx?menuIndex=3&amp;refID=6938004&amp;Result=3","6938004")</f>
        <v>0</v>
      </c>
      <c r="B14916" t="s">
        <v>59</v>
      </c>
      <c r="C14916" t="s">
        <v>17484</v>
      </c>
      <c r="D14916" t="s">
        <v>18048</v>
      </c>
      <c r="E14916" t="s">
        <v>31097</v>
      </c>
      <c r="F14916" t="s">
        <v>31574</v>
      </c>
      <c r="G14916" t="s">
        <v>31581</v>
      </c>
      <c r="H14916" t="s">
        <v>31590</v>
      </c>
      <c r="I14916" t="s">
        <v>8056</v>
      </c>
      <c r="J14916" t="s">
        <v>31727</v>
      </c>
      <c r="K14916" t="s">
        <v>41191</v>
      </c>
      <c r="M14916" t="s">
        <v>43751</v>
      </c>
      <c r="N14916" t="s">
        <v>45095</v>
      </c>
      <c r="O14916" t="s">
        <v>45096</v>
      </c>
      <c r="Q14916">
        <v>1</v>
      </c>
      <c r="R14916" t="s">
        <v>45169</v>
      </c>
      <c r="S14916" t="s">
        <v>46434</v>
      </c>
      <c r="T14916" t="s">
        <v>46949</v>
      </c>
      <c r="U14916" t="s">
        <v>59459</v>
      </c>
      <c r="W14916" t="s">
        <v>43751</v>
      </c>
      <c r="X14916" t="s">
        <v>45170</v>
      </c>
    </row>
    <row r="14917" spans="1:24">
      <c r="A14917">
        <f>HYPERLINK("https://www.philgeps.gov.ph/GEPSNONPILOT/Tender/SplashBidNoticeAbstractUI.aspx?menuIndex=3&amp;refID=6934183&amp;Result=3","6934183")</f>
        <v>0</v>
      </c>
      <c r="B14917" t="s">
        <v>2564</v>
      </c>
      <c r="C14917" t="s">
        <v>17485</v>
      </c>
      <c r="D14917" t="s">
        <v>18022</v>
      </c>
      <c r="E14917" t="s">
        <v>31098</v>
      </c>
      <c r="F14917" t="s">
        <v>31574</v>
      </c>
      <c r="G14917" t="s">
        <v>31581</v>
      </c>
      <c r="H14917" t="s">
        <v>31590</v>
      </c>
      <c r="I14917" t="s">
        <v>14544</v>
      </c>
      <c r="J14917" t="s">
        <v>31861</v>
      </c>
      <c r="K14917" t="s">
        <v>41192</v>
      </c>
      <c r="M14917" t="s">
        <v>44303</v>
      </c>
      <c r="N14917" t="s">
        <v>45095</v>
      </c>
      <c r="O14917" t="s">
        <v>45096</v>
      </c>
      <c r="Q14917">
        <v>3</v>
      </c>
      <c r="R14917" t="s">
        <v>45170</v>
      </c>
      <c r="S14917" t="s">
        <v>46435</v>
      </c>
      <c r="T14917" t="s">
        <v>46926</v>
      </c>
      <c r="U14917" t="s">
        <v>59460</v>
      </c>
      <c r="W14917" t="s">
        <v>44303</v>
      </c>
      <c r="X14917" t="s">
        <v>45171</v>
      </c>
    </row>
    <row r="14918" spans="1:24">
      <c r="A14918">
        <f>HYPERLINK("https://www.philgeps.gov.ph/GEPSNONPILOT/Tender/SplashBidNoticeAbstractUI.aspx?menuIndex=3&amp;refID=6944175&amp;Result=3","6944175")</f>
        <v>0</v>
      </c>
      <c r="B14918" t="s">
        <v>947</v>
      </c>
      <c r="C14918" t="s">
        <v>17486</v>
      </c>
      <c r="D14918" t="s">
        <v>18033</v>
      </c>
      <c r="E14918" t="s">
        <v>31099</v>
      </c>
      <c r="F14918" t="s">
        <v>31574</v>
      </c>
      <c r="G14918" t="s">
        <v>31582</v>
      </c>
      <c r="H14918" t="s">
        <v>31590</v>
      </c>
      <c r="I14918" t="s">
        <v>31598</v>
      </c>
      <c r="J14918" t="s">
        <v>32417</v>
      </c>
      <c r="K14918" t="s">
        <v>41192</v>
      </c>
      <c r="M14918" t="s">
        <v>43729</v>
      </c>
      <c r="N14918" t="s">
        <v>45095</v>
      </c>
      <c r="O14918" t="s">
        <v>45096</v>
      </c>
      <c r="Q14918">
        <v>33</v>
      </c>
      <c r="R14918" t="s">
        <v>45165</v>
      </c>
      <c r="S14918" t="s">
        <v>46436</v>
      </c>
      <c r="T14918" t="s">
        <v>46992</v>
      </c>
      <c r="U14918" t="s">
        <v>59461</v>
      </c>
      <c r="V14918" t="s">
        <v>61543</v>
      </c>
      <c r="W14918" t="s">
        <v>43729</v>
      </c>
      <c r="X14918" t="s">
        <v>45167</v>
      </c>
    </row>
    <row r="14919" spans="1:24">
      <c r="A14919">
        <f>HYPERLINK("https://www.philgeps.gov.ph/GEPSNONPILOT/Tender/SplashBidNoticeAbstractUI.aspx?menuIndex=3&amp;refID=6937981&amp;Result=3","6937981")</f>
        <v>0</v>
      </c>
      <c r="B14919" t="s">
        <v>3161</v>
      </c>
      <c r="C14919" t="s">
        <v>17487</v>
      </c>
      <c r="D14919" t="s">
        <v>18022</v>
      </c>
      <c r="E14919" t="s">
        <v>31100</v>
      </c>
      <c r="F14919" t="s">
        <v>31574</v>
      </c>
      <c r="G14919" t="s">
        <v>31582</v>
      </c>
      <c r="H14919" t="s">
        <v>31591</v>
      </c>
      <c r="I14919" t="s">
        <v>8822</v>
      </c>
      <c r="J14919" t="s">
        <v>40837</v>
      </c>
      <c r="K14919" t="s">
        <v>41200</v>
      </c>
      <c r="M14919" t="s">
        <v>45029</v>
      </c>
      <c r="N14919" t="s">
        <v>45095</v>
      </c>
      <c r="O14919" t="s">
        <v>45096</v>
      </c>
      <c r="Q14919">
        <v>15</v>
      </c>
      <c r="R14919" t="s">
        <v>45169</v>
      </c>
      <c r="S14919" t="s">
        <v>45811</v>
      </c>
      <c r="T14919" t="s">
        <v>46926</v>
      </c>
      <c r="U14919" t="s">
        <v>59462</v>
      </c>
      <c r="W14919" t="s">
        <v>61779</v>
      </c>
      <c r="X14919" t="s">
        <v>45170</v>
      </c>
    </row>
    <row r="14920" spans="1:24">
      <c r="A14920">
        <f>HYPERLINK("https://www.philgeps.gov.ph/GEPSNONPILOT/Tender/SplashBidNoticeAbstractUI.aspx?menuIndex=3&amp;refID=6938067&amp;Result=3","6938067")</f>
        <v>0</v>
      </c>
      <c r="B14920" t="s">
        <v>1554</v>
      </c>
      <c r="C14920" t="s">
        <v>17488</v>
      </c>
      <c r="D14920" t="s">
        <v>18056</v>
      </c>
      <c r="E14920" t="s">
        <v>31101</v>
      </c>
      <c r="F14920" t="s">
        <v>31574</v>
      </c>
      <c r="G14920" t="s">
        <v>31581</v>
      </c>
      <c r="H14920" t="s">
        <v>31591</v>
      </c>
      <c r="I14920" t="s">
        <v>8822</v>
      </c>
      <c r="J14920" t="s">
        <v>40838</v>
      </c>
      <c r="K14920" t="s">
        <v>41185</v>
      </c>
      <c r="M14920" t="s">
        <v>43153</v>
      </c>
      <c r="N14920" t="s">
        <v>45095</v>
      </c>
      <c r="O14920" t="s">
        <v>45096</v>
      </c>
      <c r="Q14920">
        <v>0</v>
      </c>
      <c r="R14920" t="s">
        <v>45169</v>
      </c>
      <c r="S14920" t="s">
        <v>46437</v>
      </c>
      <c r="T14920" t="s">
        <v>47159</v>
      </c>
      <c r="U14920" t="s">
        <v>59463</v>
      </c>
      <c r="W14920" t="s">
        <v>43153</v>
      </c>
      <c r="X14920" t="s">
        <v>45170</v>
      </c>
    </row>
    <row r="14921" spans="1:24">
      <c r="A14921">
        <f>HYPERLINK("https://www.philgeps.gov.ph/GEPSNONPILOT/Tender/SplashBidNoticeAbstractUI.aspx?menuIndex=3&amp;refID=6938323&amp;Result=3","6938323")</f>
        <v>0</v>
      </c>
      <c r="B14921" t="s">
        <v>1554</v>
      </c>
      <c r="C14921" t="s">
        <v>17489</v>
      </c>
      <c r="D14921" t="s">
        <v>18056</v>
      </c>
      <c r="E14921" t="s">
        <v>31102</v>
      </c>
      <c r="F14921" t="s">
        <v>31574</v>
      </c>
      <c r="G14921" t="s">
        <v>31581</v>
      </c>
      <c r="H14921" t="s">
        <v>31591</v>
      </c>
      <c r="I14921" t="s">
        <v>8822</v>
      </c>
      <c r="J14921" t="s">
        <v>40818</v>
      </c>
      <c r="K14921" t="s">
        <v>41186</v>
      </c>
      <c r="M14921" t="s">
        <v>43153</v>
      </c>
      <c r="N14921" t="s">
        <v>45095</v>
      </c>
      <c r="O14921" t="s">
        <v>45096</v>
      </c>
      <c r="Q14921">
        <v>0</v>
      </c>
      <c r="R14921" t="s">
        <v>45169</v>
      </c>
      <c r="S14921" t="s">
        <v>46438</v>
      </c>
      <c r="T14921" t="s">
        <v>47159</v>
      </c>
      <c r="U14921" t="s">
        <v>59464</v>
      </c>
      <c r="W14921" t="s">
        <v>43153</v>
      </c>
      <c r="X14921" t="s">
        <v>45170</v>
      </c>
    </row>
    <row r="14922" spans="1:24">
      <c r="A14922">
        <f>HYPERLINK("https://www.philgeps.gov.ph/GEPSNONPILOT/Tender/SplashBidNoticeAbstractUI.aspx?menuIndex=3&amp;refID=6935752&amp;Result=3","6935752")</f>
        <v>0</v>
      </c>
      <c r="B14922" t="s">
        <v>1396</v>
      </c>
      <c r="C14922" t="s">
        <v>17490</v>
      </c>
      <c r="D14922" t="s">
        <v>18044</v>
      </c>
      <c r="E14922" t="s">
        <v>31103</v>
      </c>
      <c r="F14922" t="s">
        <v>31574</v>
      </c>
      <c r="G14922" t="s">
        <v>31582</v>
      </c>
      <c r="H14922" t="s">
        <v>31590</v>
      </c>
      <c r="I14922" t="s">
        <v>31594</v>
      </c>
      <c r="J14922" t="s">
        <v>40839</v>
      </c>
      <c r="K14922" t="s">
        <v>41184</v>
      </c>
      <c r="M14922" t="s">
        <v>45033</v>
      </c>
      <c r="N14922" t="s">
        <v>45095</v>
      </c>
      <c r="O14922" t="s">
        <v>45096</v>
      </c>
      <c r="Q14922">
        <v>52</v>
      </c>
      <c r="R14922" t="s">
        <v>45170</v>
      </c>
      <c r="S14922" t="s">
        <v>46439</v>
      </c>
      <c r="T14922" t="s">
        <v>47449</v>
      </c>
      <c r="U14922" t="s">
        <v>59465</v>
      </c>
      <c r="V14922" t="s">
        <v>61544</v>
      </c>
      <c r="W14922" t="s">
        <v>45033</v>
      </c>
      <c r="X14922" t="s">
        <v>45171</v>
      </c>
    </row>
    <row r="14923" spans="1:24">
      <c r="A14923">
        <f>HYPERLINK("https://www.philgeps.gov.ph/GEPSNONPILOT/Tender/SplashBidNoticeAbstractUI.aspx?menuIndex=3&amp;refID=6939049&amp;Result=3","6939049")</f>
        <v>0</v>
      </c>
      <c r="B14923" t="s">
        <v>2209</v>
      </c>
      <c r="C14923" t="s">
        <v>17491</v>
      </c>
      <c r="D14923" t="s">
        <v>18051</v>
      </c>
      <c r="E14923" t="s">
        <v>31104</v>
      </c>
      <c r="F14923" t="s">
        <v>31574</v>
      </c>
      <c r="G14923" t="s">
        <v>31582</v>
      </c>
      <c r="H14923" t="s">
        <v>31590</v>
      </c>
      <c r="I14923" t="s">
        <v>3539</v>
      </c>
      <c r="J14923" t="s">
        <v>40840</v>
      </c>
      <c r="K14923" t="s">
        <v>41184</v>
      </c>
      <c r="M14923" t="s">
        <v>43898</v>
      </c>
      <c r="N14923" t="s">
        <v>45095</v>
      </c>
      <c r="O14923" t="s">
        <v>45096</v>
      </c>
      <c r="Q14923">
        <v>3</v>
      </c>
      <c r="R14923" t="s">
        <v>45169</v>
      </c>
      <c r="S14923" t="s">
        <v>46440</v>
      </c>
      <c r="T14923" t="s">
        <v>47077</v>
      </c>
      <c r="U14923" t="s">
        <v>59466</v>
      </c>
      <c r="V14923" t="s">
        <v>61545</v>
      </c>
      <c r="W14923" t="s">
        <v>45000</v>
      </c>
      <c r="X14923" t="s">
        <v>45170</v>
      </c>
    </row>
    <row r="14924" spans="1:24">
      <c r="A14924">
        <f>HYPERLINK("https://www.philgeps.gov.ph/GEPSNONPILOT/Tender/SplashBidNoticeAbstractUI.aspx?menuIndex=3&amp;refID=6935580&amp;Result=3","6935580")</f>
        <v>0</v>
      </c>
      <c r="B14924" t="s">
        <v>800</v>
      </c>
      <c r="C14924" t="s">
        <v>17492</v>
      </c>
      <c r="D14924" t="s">
        <v>18106</v>
      </c>
      <c r="E14924" t="s">
        <v>31105</v>
      </c>
      <c r="F14924" t="s">
        <v>31574</v>
      </c>
      <c r="G14924" t="s">
        <v>31582</v>
      </c>
      <c r="H14924" t="s">
        <v>31591</v>
      </c>
      <c r="I14924" t="s">
        <v>8822</v>
      </c>
      <c r="J14924" t="s">
        <v>40841</v>
      </c>
      <c r="K14924" t="s">
        <v>41200</v>
      </c>
      <c r="M14924" t="s">
        <v>42314</v>
      </c>
      <c r="N14924" t="s">
        <v>45095</v>
      </c>
      <c r="O14924" t="s">
        <v>45096</v>
      </c>
      <c r="Q14924">
        <v>3</v>
      </c>
      <c r="R14924" t="s">
        <v>45170</v>
      </c>
      <c r="S14924" t="s">
        <v>46441</v>
      </c>
      <c r="T14924" t="s">
        <v>47232</v>
      </c>
      <c r="U14924" t="s">
        <v>59467</v>
      </c>
      <c r="V14924" t="s">
        <v>61546</v>
      </c>
      <c r="W14924" t="s">
        <v>42314</v>
      </c>
      <c r="X14924" t="s">
        <v>45171</v>
      </c>
    </row>
    <row r="14925" spans="1:24">
      <c r="A14925">
        <f>HYPERLINK("https://www.philgeps.gov.ph/GEPSNONPILOT/Tender/SplashBidNoticeAbstractUI.aspx?menuIndex=3&amp;refID=6935753&amp;Result=3","6935753")</f>
        <v>0</v>
      </c>
      <c r="B14925" t="s">
        <v>1586</v>
      </c>
      <c r="C14925" t="s">
        <v>17493</v>
      </c>
      <c r="E14925" t="s">
        <v>31106</v>
      </c>
      <c r="F14925" t="s">
        <v>31574</v>
      </c>
      <c r="G14925" t="s">
        <v>31582</v>
      </c>
      <c r="H14925" t="s">
        <v>31590</v>
      </c>
      <c r="I14925" t="s">
        <v>31608</v>
      </c>
      <c r="J14925" t="s">
        <v>40842</v>
      </c>
      <c r="K14925" t="s">
        <v>41184</v>
      </c>
      <c r="M14925" t="s">
        <v>43190</v>
      </c>
      <c r="N14925" t="s">
        <v>45095</v>
      </c>
      <c r="O14925" t="s">
        <v>45096</v>
      </c>
      <c r="Q14925">
        <v>7</v>
      </c>
      <c r="R14925" t="s">
        <v>45170</v>
      </c>
      <c r="S14925" t="s">
        <v>46442</v>
      </c>
      <c r="T14925" t="s">
        <v>47072</v>
      </c>
      <c r="U14925" t="s">
        <v>59468</v>
      </c>
      <c r="V14925" t="s">
        <v>61547</v>
      </c>
      <c r="W14925" t="s">
        <v>61763</v>
      </c>
      <c r="X14925" t="s">
        <v>45171</v>
      </c>
    </row>
    <row r="14926" spans="1:24">
      <c r="A14926">
        <f>HYPERLINK("https://www.philgeps.gov.ph/GEPSNONPILOT/Tender/SplashBidNoticeAbstractUI.aspx?menuIndex=3&amp;refID=6935938&amp;Result=3","6935938")</f>
        <v>0</v>
      </c>
      <c r="B14926" t="s">
        <v>1554</v>
      </c>
      <c r="C14926" t="s">
        <v>17494</v>
      </c>
      <c r="D14926" t="s">
        <v>18056</v>
      </c>
      <c r="E14926" t="s">
        <v>31107</v>
      </c>
      <c r="F14926" t="s">
        <v>31574</v>
      </c>
      <c r="G14926" t="s">
        <v>31581</v>
      </c>
      <c r="H14926" t="s">
        <v>31591</v>
      </c>
      <c r="I14926" t="s">
        <v>8822</v>
      </c>
      <c r="J14926" t="s">
        <v>40843</v>
      </c>
      <c r="K14926" t="s">
        <v>41192</v>
      </c>
      <c r="M14926" t="s">
        <v>43153</v>
      </c>
      <c r="N14926" t="s">
        <v>45095</v>
      </c>
      <c r="O14926" t="s">
        <v>45096</v>
      </c>
      <c r="Q14926">
        <v>2</v>
      </c>
      <c r="R14926" t="s">
        <v>45170</v>
      </c>
      <c r="S14926" t="s">
        <v>46443</v>
      </c>
      <c r="T14926" t="s">
        <v>47159</v>
      </c>
      <c r="U14926" t="s">
        <v>59469</v>
      </c>
      <c r="W14926" t="s">
        <v>43153</v>
      </c>
      <c r="X14926" t="s">
        <v>45171</v>
      </c>
    </row>
    <row r="14927" spans="1:24">
      <c r="A14927">
        <f>HYPERLINK("https://www.philgeps.gov.ph/GEPSNONPILOT/Tender/SplashBidNoticeAbstractUI.aspx?menuIndex=3&amp;refID=6935377&amp;Result=3","6935377")</f>
        <v>0</v>
      </c>
      <c r="B14927" t="s">
        <v>1396</v>
      </c>
      <c r="C14927" t="s">
        <v>17495</v>
      </c>
      <c r="D14927" t="s">
        <v>18044</v>
      </c>
      <c r="E14927" t="s">
        <v>31108</v>
      </c>
      <c r="F14927" t="s">
        <v>31574</v>
      </c>
      <c r="G14927" t="s">
        <v>31582</v>
      </c>
      <c r="H14927" t="s">
        <v>31590</v>
      </c>
      <c r="I14927" t="s">
        <v>31608</v>
      </c>
      <c r="J14927" t="s">
        <v>40844</v>
      </c>
      <c r="K14927" t="s">
        <v>41184</v>
      </c>
      <c r="M14927" t="s">
        <v>45033</v>
      </c>
      <c r="N14927" t="s">
        <v>45095</v>
      </c>
      <c r="O14927" t="s">
        <v>45096</v>
      </c>
      <c r="Q14927">
        <v>12</v>
      </c>
      <c r="R14927" t="s">
        <v>45170</v>
      </c>
      <c r="S14927" t="s">
        <v>46444</v>
      </c>
      <c r="T14927" t="s">
        <v>47449</v>
      </c>
      <c r="U14927" t="s">
        <v>59470</v>
      </c>
      <c r="V14927" t="s">
        <v>61544</v>
      </c>
      <c r="W14927" t="s">
        <v>45033</v>
      </c>
      <c r="X14927" t="s">
        <v>45171</v>
      </c>
    </row>
    <row r="14928" spans="1:24">
      <c r="A14928">
        <f>HYPERLINK("https://www.philgeps.gov.ph/GEPSNONPILOT/Tender/SplashBidNoticeAbstractUI.aspx?menuIndex=3&amp;refID=6935540&amp;Result=3","6935540")</f>
        <v>0</v>
      </c>
      <c r="B14928" t="s">
        <v>1396</v>
      </c>
      <c r="C14928" t="s">
        <v>17496</v>
      </c>
      <c r="D14928" t="s">
        <v>18044</v>
      </c>
      <c r="E14928" t="s">
        <v>31109</v>
      </c>
      <c r="F14928" t="s">
        <v>31574</v>
      </c>
      <c r="G14928" t="s">
        <v>31582</v>
      </c>
      <c r="H14928" t="s">
        <v>31590</v>
      </c>
      <c r="I14928" t="s">
        <v>31594</v>
      </c>
      <c r="J14928" t="s">
        <v>40845</v>
      </c>
      <c r="K14928" t="s">
        <v>41184</v>
      </c>
      <c r="M14928" t="s">
        <v>45033</v>
      </c>
      <c r="N14928" t="s">
        <v>45095</v>
      </c>
      <c r="O14928" t="s">
        <v>45096</v>
      </c>
      <c r="Q14928">
        <v>34</v>
      </c>
      <c r="R14928" t="s">
        <v>45170</v>
      </c>
      <c r="S14928" t="s">
        <v>46445</v>
      </c>
      <c r="T14928" t="s">
        <v>47449</v>
      </c>
      <c r="U14928" t="s">
        <v>59471</v>
      </c>
      <c r="V14928" t="s">
        <v>61544</v>
      </c>
      <c r="W14928" t="s">
        <v>45033</v>
      </c>
      <c r="X14928" t="s">
        <v>45171</v>
      </c>
    </row>
    <row r="14929" spans="1:24">
      <c r="A14929">
        <f>HYPERLINK("https://www.philgeps.gov.ph/GEPSNONPILOT/Tender/SplashBidNoticeAbstractUI.aspx?menuIndex=3&amp;refID=6935892&amp;Result=3","6935892")</f>
        <v>0</v>
      </c>
      <c r="B14929" t="s">
        <v>1396</v>
      </c>
      <c r="C14929" t="s">
        <v>17497</v>
      </c>
      <c r="D14929" t="s">
        <v>18044</v>
      </c>
      <c r="E14929" t="s">
        <v>31110</v>
      </c>
      <c r="F14929" t="s">
        <v>31574</v>
      </c>
      <c r="G14929" t="s">
        <v>31582</v>
      </c>
      <c r="H14929" t="s">
        <v>31590</v>
      </c>
      <c r="I14929" t="s">
        <v>31626</v>
      </c>
      <c r="J14929" t="s">
        <v>40846</v>
      </c>
      <c r="K14929" t="s">
        <v>41184</v>
      </c>
      <c r="M14929" t="s">
        <v>45033</v>
      </c>
      <c r="N14929" t="s">
        <v>45095</v>
      </c>
      <c r="O14929" t="s">
        <v>45096</v>
      </c>
      <c r="Q14929">
        <v>15</v>
      </c>
      <c r="R14929" t="s">
        <v>45170</v>
      </c>
      <c r="S14929" t="s">
        <v>46446</v>
      </c>
      <c r="T14929" t="s">
        <v>47449</v>
      </c>
      <c r="U14929" t="s">
        <v>59472</v>
      </c>
      <c r="V14929" t="s">
        <v>61544</v>
      </c>
      <c r="W14929" t="s">
        <v>45033</v>
      </c>
      <c r="X14929" t="s">
        <v>45171</v>
      </c>
    </row>
    <row r="14930" spans="1:24">
      <c r="A14930">
        <f>HYPERLINK("https://www.philgeps.gov.ph/GEPSNONPILOT/Tender/SplashBidNoticeAbstractUI.aspx?menuIndex=3&amp;refID=6936237&amp;Result=3","6936237")</f>
        <v>0</v>
      </c>
      <c r="B14930" t="s">
        <v>2013</v>
      </c>
      <c r="C14930" t="s">
        <v>17498</v>
      </c>
      <c r="D14930" t="s">
        <v>18095</v>
      </c>
      <c r="E14930" t="s">
        <v>31111</v>
      </c>
      <c r="F14930" t="s">
        <v>31574</v>
      </c>
      <c r="G14930" t="s">
        <v>31582</v>
      </c>
      <c r="H14930" t="s">
        <v>31591</v>
      </c>
      <c r="I14930" t="s">
        <v>8822</v>
      </c>
      <c r="J14930" t="s">
        <v>34070</v>
      </c>
      <c r="K14930" t="s">
        <v>41189</v>
      </c>
      <c r="M14930" t="s">
        <v>43675</v>
      </c>
      <c r="N14930" t="s">
        <v>45095</v>
      </c>
      <c r="O14930" t="s">
        <v>45096</v>
      </c>
      <c r="Q14930">
        <v>30</v>
      </c>
      <c r="R14930" t="s">
        <v>45170</v>
      </c>
      <c r="S14930" t="s">
        <v>46447</v>
      </c>
      <c r="T14930" t="s">
        <v>47154</v>
      </c>
      <c r="U14930" t="s">
        <v>59473</v>
      </c>
      <c r="V14930" t="s">
        <v>61548</v>
      </c>
      <c r="W14930" t="s">
        <v>43675</v>
      </c>
      <c r="X14930" t="s">
        <v>45171</v>
      </c>
    </row>
    <row r="14931" spans="1:24">
      <c r="A14931">
        <f>HYPERLINK("https://www.philgeps.gov.ph/GEPSNONPILOT/Tender/SplashBidNoticeAbstractUI.aspx?menuIndex=3&amp;refID=6936354&amp;Result=3","6936354")</f>
        <v>0</v>
      </c>
      <c r="B14931" t="s">
        <v>2013</v>
      </c>
      <c r="C14931" t="s">
        <v>17499</v>
      </c>
      <c r="D14931" t="s">
        <v>18095</v>
      </c>
      <c r="E14931" t="s">
        <v>31112</v>
      </c>
      <c r="F14931" t="s">
        <v>31574</v>
      </c>
      <c r="G14931" t="s">
        <v>31582</v>
      </c>
      <c r="H14931" t="s">
        <v>31590</v>
      </c>
      <c r="I14931" t="s">
        <v>4046</v>
      </c>
      <c r="J14931" t="s">
        <v>40847</v>
      </c>
      <c r="K14931" t="s">
        <v>41186</v>
      </c>
      <c r="M14931" t="s">
        <v>43675</v>
      </c>
      <c r="N14931" t="s">
        <v>45095</v>
      </c>
      <c r="O14931" t="s">
        <v>45096</v>
      </c>
      <c r="Q14931">
        <v>7</v>
      </c>
      <c r="R14931" t="s">
        <v>45170</v>
      </c>
      <c r="S14931" t="s">
        <v>46448</v>
      </c>
      <c r="T14931" t="s">
        <v>47154</v>
      </c>
      <c r="U14931" t="s">
        <v>59474</v>
      </c>
      <c r="V14931" t="s">
        <v>61549</v>
      </c>
      <c r="W14931" t="s">
        <v>43675</v>
      </c>
      <c r="X14931" t="s">
        <v>45171</v>
      </c>
    </row>
    <row r="14932" spans="1:24">
      <c r="A14932">
        <f>HYPERLINK("https://www.philgeps.gov.ph/GEPSNONPILOT/Tender/SplashBidNoticeAbstractUI.aspx?menuIndex=3&amp;refID=6927741&amp;Result=3","6927741")</f>
        <v>0</v>
      </c>
      <c r="B14932" t="s">
        <v>1181</v>
      </c>
      <c r="C14932" t="s">
        <v>17500</v>
      </c>
      <c r="D14932" t="s">
        <v>18084</v>
      </c>
      <c r="E14932" t="s">
        <v>31113</v>
      </c>
      <c r="F14932" t="s">
        <v>31574</v>
      </c>
      <c r="G14932" t="s">
        <v>31582</v>
      </c>
      <c r="H14932" t="s">
        <v>31591</v>
      </c>
      <c r="I14932" t="s">
        <v>8822</v>
      </c>
      <c r="J14932" t="s">
        <v>40848</v>
      </c>
      <c r="K14932" t="s">
        <v>41189</v>
      </c>
      <c r="M14932" t="s">
        <v>42740</v>
      </c>
      <c r="N14932" t="s">
        <v>45095</v>
      </c>
      <c r="O14932" t="s">
        <v>45096</v>
      </c>
      <c r="Q14932">
        <v>0</v>
      </c>
      <c r="R14932" t="s">
        <v>45171</v>
      </c>
      <c r="S14932" t="s">
        <v>46449</v>
      </c>
      <c r="T14932" t="s">
        <v>46946</v>
      </c>
      <c r="U14932" t="s">
        <v>59475</v>
      </c>
      <c r="W14932" t="s">
        <v>42740</v>
      </c>
      <c r="X14932" t="s">
        <v>45173</v>
      </c>
    </row>
    <row r="14933" spans="1:24">
      <c r="A14933">
        <f>HYPERLINK("https://www.philgeps.gov.ph/GEPSNONPILOT/Tender/SplashBidNoticeAbstractUI.aspx?menuIndex=3&amp;refID=6936221&amp;Result=3","6936221")</f>
        <v>0</v>
      </c>
      <c r="B14933" t="s">
        <v>2013</v>
      </c>
      <c r="C14933" t="s">
        <v>17501</v>
      </c>
      <c r="D14933" t="s">
        <v>18095</v>
      </c>
      <c r="E14933" t="s">
        <v>31114</v>
      </c>
      <c r="F14933" t="s">
        <v>31574</v>
      </c>
      <c r="G14933" t="s">
        <v>31582</v>
      </c>
      <c r="H14933" t="s">
        <v>31591</v>
      </c>
      <c r="I14933" t="s">
        <v>8822</v>
      </c>
      <c r="J14933" t="s">
        <v>40380</v>
      </c>
      <c r="K14933" t="s">
        <v>41200</v>
      </c>
      <c r="M14933" t="s">
        <v>43675</v>
      </c>
      <c r="N14933" t="s">
        <v>45095</v>
      </c>
      <c r="O14933" t="s">
        <v>45096</v>
      </c>
      <c r="Q14933">
        <v>34</v>
      </c>
      <c r="R14933" t="s">
        <v>45170</v>
      </c>
      <c r="S14933" t="s">
        <v>46450</v>
      </c>
      <c r="T14933" t="s">
        <v>47154</v>
      </c>
      <c r="U14933" t="s">
        <v>59476</v>
      </c>
      <c r="V14933" t="s">
        <v>61550</v>
      </c>
      <c r="W14933" t="s">
        <v>43675</v>
      </c>
      <c r="X14933" t="s">
        <v>45171</v>
      </c>
    </row>
    <row r="14934" spans="1:24">
      <c r="A14934">
        <f>HYPERLINK("https://www.philgeps.gov.ph/GEPSNONPILOT/Tender/SplashBidNoticeAbstractUI.aspx?menuIndex=3&amp;refID=6936227&amp;Result=3","6936227")</f>
        <v>0</v>
      </c>
      <c r="B14934" t="s">
        <v>2013</v>
      </c>
      <c r="C14934" t="s">
        <v>17502</v>
      </c>
      <c r="D14934" t="s">
        <v>18095</v>
      </c>
      <c r="E14934" t="s">
        <v>31115</v>
      </c>
      <c r="F14934" t="s">
        <v>31574</v>
      </c>
      <c r="G14934" t="s">
        <v>31582</v>
      </c>
      <c r="H14934" t="s">
        <v>31591</v>
      </c>
      <c r="I14934" t="s">
        <v>8822</v>
      </c>
      <c r="J14934" t="s">
        <v>33252</v>
      </c>
      <c r="K14934" t="s">
        <v>41189</v>
      </c>
      <c r="M14934" t="s">
        <v>43675</v>
      </c>
      <c r="N14934" t="s">
        <v>45095</v>
      </c>
      <c r="O14934" t="s">
        <v>45096</v>
      </c>
      <c r="Q14934">
        <v>34</v>
      </c>
      <c r="R14934" t="s">
        <v>45170</v>
      </c>
      <c r="S14934" t="s">
        <v>46451</v>
      </c>
      <c r="T14934" t="s">
        <v>47154</v>
      </c>
      <c r="U14934" t="s">
        <v>59477</v>
      </c>
      <c r="V14934" t="s">
        <v>61551</v>
      </c>
      <c r="W14934" t="s">
        <v>43675</v>
      </c>
      <c r="X14934" t="s">
        <v>45171</v>
      </c>
    </row>
    <row r="14935" spans="1:24">
      <c r="A14935">
        <f>HYPERLINK("https://www.philgeps.gov.ph/GEPSNONPILOT/Tender/SplashBidNoticeAbstractUI.aspx?menuIndex=3&amp;refID=6927731&amp;Result=3","6927731")</f>
        <v>0</v>
      </c>
      <c r="B14935" t="s">
        <v>1181</v>
      </c>
      <c r="C14935" t="s">
        <v>17503</v>
      </c>
      <c r="D14935" t="s">
        <v>18084</v>
      </c>
      <c r="E14935" t="s">
        <v>31116</v>
      </c>
      <c r="F14935" t="s">
        <v>31574</v>
      </c>
      <c r="G14935" t="s">
        <v>31582</v>
      </c>
      <c r="H14935" t="s">
        <v>31591</v>
      </c>
      <c r="I14935" t="s">
        <v>8822</v>
      </c>
      <c r="J14935" t="s">
        <v>40849</v>
      </c>
      <c r="K14935" t="s">
        <v>41200</v>
      </c>
      <c r="M14935" t="s">
        <v>42740</v>
      </c>
      <c r="N14935" t="s">
        <v>45095</v>
      </c>
      <c r="O14935" t="s">
        <v>45096</v>
      </c>
      <c r="Q14935">
        <v>0</v>
      </c>
      <c r="R14935" t="s">
        <v>45171</v>
      </c>
      <c r="S14935" t="s">
        <v>46452</v>
      </c>
      <c r="T14935" t="s">
        <v>46946</v>
      </c>
      <c r="U14935" t="s">
        <v>59475</v>
      </c>
      <c r="W14935" t="s">
        <v>42740</v>
      </c>
      <c r="X14935" t="s">
        <v>45173</v>
      </c>
    </row>
    <row r="14936" spans="1:24">
      <c r="A14936">
        <f>HYPERLINK("https://www.philgeps.gov.ph/GEPSNONPILOT/Tender/SplashBidNoticeAbstractUI.aspx?menuIndex=3&amp;refID=6935246&amp;Result=3","6935246")</f>
        <v>0</v>
      </c>
      <c r="B14936" t="s">
        <v>1396</v>
      </c>
      <c r="C14936" t="s">
        <v>17504</v>
      </c>
      <c r="D14936" t="s">
        <v>18044</v>
      </c>
      <c r="E14936" t="s">
        <v>31117</v>
      </c>
      <c r="F14936" t="s">
        <v>31574</v>
      </c>
      <c r="G14936" t="s">
        <v>31582</v>
      </c>
      <c r="H14936" t="s">
        <v>31590</v>
      </c>
      <c r="I14936" t="s">
        <v>31626</v>
      </c>
      <c r="J14936" t="s">
        <v>33309</v>
      </c>
      <c r="K14936" t="s">
        <v>41184</v>
      </c>
      <c r="M14936" t="s">
        <v>45033</v>
      </c>
      <c r="N14936" t="s">
        <v>45095</v>
      </c>
      <c r="O14936" t="s">
        <v>45096</v>
      </c>
      <c r="Q14936">
        <v>15</v>
      </c>
      <c r="R14936" t="s">
        <v>45170</v>
      </c>
      <c r="S14936" t="s">
        <v>46453</v>
      </c>
      <c r="T14936" t="s">
        <v>47450</v>
      </c>
      <c r="U14936" t="s">
        <v>59478</v>
      </c>
      <c r="V14936" t="s">
        <v>61552</v>
      </c>
      <c r="W14936" t="s">
        <v>45033</v>
      </c>
      <c r="X14936" t="s">
        <v>45171</v>
      </c>
    </row>
    <row r="14937" spans="1:24">
      <c r="A14937">
        <f>HYPERLINK("https://www.philgeps.gov.ph/GEPSNONPILOT/Tender/SplashBidNoticeAbstractUI.aspx?menuIndex=3&amp;refID=6935065&amp;Result=3","6935065")</f>
        <v>0</v>
      </c>
      <c r="B14937" t="s">
        <v>1396</v>
      </c>
      <c r="C14937" t="s">
        <v>17505</v>
      </c>
      <c r="D14937" t="s">
        <v>18044</v>
      </c>
      <c r="E14937" t="s">
        <v>31118</v>
      </c>
      <c r="F14937" t="s">
        <v>31574</v>
      </c>
      <c r="G14937" t="s">
        <v>31582</v>
      </c>
      <c r="H14937" t="s">
        <v>31590</v>
      </c>
      <c r="I14937" t="s">
        <v>4327</v>
      </c>
      <c r="J14937" t="s">
        <v>31947</v>
      </c>
      <c r="K14937" t="s">
        <v>41184</v>
      </c>
      <c r="M14937" t="s">
        <v>45033</v>
      </c>
      <c r="N14937" t="s">
        <v>45095</v>
      </c>
      <c r="O14937" t="s">
        <v>45096</v>
      </c>
      <c r="Q14937">
        <v>3</v>
      </c>
      <c r="R14937" t="s">
        <v>45170</v>
      </c>
      <c r="S14937" t="s">
        <v>46454</v>
      </c>
      <c r="T14937" t="s">
        <v>47450</v>
      </c>
      <c r="U14937" t="s">
        <v>59479</v>
      </c>
      <c r="V14937" t="s">
        <v>61553</v>
      </c>
      <c r="W14937" t="s">
        <v>45033</v>
      </c>
      <c r="X14937" t="s">
        <v>45171</v>
      </c>
    </row>
    <row r="14938" spans="1:24">
      <c r="A14938">
        <f>HYPERLINK("https://www.philgeps.gov.ph/GEPSNONPILOT/Tender/SplashBidNoticeAbstractUI.aspx?menuIndex=3&amp;refID=6936231&amp;Result=3","6936231")</f>
        <v>0</v>
      </c>
      <c r="B14938" t="s">
        <v>2013</v>
      </c>
      <c r="C14938" t="s">
        <v>17506</v>
      </c>
      <c r="D14938" t="s">
        <v>18095</v>
      </c>
      <c r="E14938" t="s">
        <v>31119</v>
      </c>
      <c r="F14938" t="s">
        <v>31574</v>
      </c>
      <c r="G14938" t="s">
        <v>31582</v>
      </c>
      <c r="H14938" t="s">
        <v>31591</v>
      </c>
      <c r="I14938" t="s">
        <v>8822</v>
      </c>
      <c r="J14938" t="s">
        <v>33252</v>
      </c>
      <c r="K14938" t="s">
        <v>41189</v>
      </c>
      <c r="M14938" t="s">
        <v>43675</v>
      </c>
      <c r="N14938" t="s">
        <v>45095</v>
      </c>
      <c r="O14938" t="s">
        <v>45096</v>
      </c>
      <c r="Q14938">
        <v>30</v>
      </c>
      <c r="R14938" t="s">
        <v>45170</v>
      </c>
      <c r="S14938" t="s">
        <v>46455</v>
      </c>
      <c r="T14938" t="s">
        <v>47178</v>
      </c>
      <c r="U14938" t="s">
        <v>59480</v>
      </c>
      <c r="V14938" t="s">
        <v>61554</v>
      </c>
      <c r="W14938" t="s">
        <v>43675</v>
      </c>
      <c r="X14938" t="s">
        <v>45171</v>
      </c>
    </row>
    <row r="14939" spans="1:24">
      <c r="A14939">
        <f>HYPERLINK("https://www.philgeps.gov.ph/GEPSNONPILOT/Tender/SplashBidNoticeAbstractUI.aspx?menuIndex=3&amp;refID=6927765&amp;Result=3","6927765")</f>
        <v>0</v>
      </c>
      <c r="B14939" t="s">
        <v>1181</v>
      </c>
      <c r="C14939" t="s">
        <v>17507</v>
      </c>
      <c r="D14939" t="s">
        <v>18084</v>
      </c>
      <c r="E14939" t="s">
        <v>31120</v>
      </c>
      <c r="F14939" t="s">
        <v>31574</v>
      </c>
      <c r="G14939" t="s">
        <v>31582</v>
      </c>
      <c r="H14939" t="s">
        <v>31591</v>
      </c>
      <c r="I14939" t="s">
        <v>8822</v>
      </c>
      <c r="J14939" t="s">
        <v>40850</v>
      </c>
      <c r="K14939" t="s">
        <v>41243</v>
      </c>
      <c r="M14939" t="s">
        <v>42740</v>
      </c>
      <c r="N14939" t="s">
        <v>45095</v>
      </c>
      <c r="O14939" t="s">
        <v>45096</v>
      </c>
      <c r="Q14939">
        <v>1</v>
      </c>
      <c r="R14939" t="s">
        <v>45171</v>
      </c>
      <c r="S14939" t="s">
        <v>46456</v>
      </c>
      <c r="T14939" t="s">
        <v>46946</v>
      </c>
      <c r="U14939" t="s">
        <v>59475</v>
      </c>
      <c r="W14939" t="s">
        <v>42740</v>
      </c>
      <c r="X14939" t="s">
        <v>45173</v>
      </c>
    </row>
    <row r="14940" spans="1:24">
      <c r="A14940">
        <f>HYPERLINK("https://www.philgeps.gov.ph/GEPSNONPILOT/Tender/SplashBidNoticeAbstractUI.aspx?menuIndex=3&amp;refID=6936247&amp;Result=3","6936247")</f>
        <v>0</v>
      </c>
      <c r="B14940" t="s">
        <v>2013</v>
      </c>
      <c r="C14940" t="s">
        <v>17508</v>
      </c>
      <c r="D14940" t="s">
        <v>18095</v>
      </c>
      <c r="E14940" t="s">
        <v>31121</v>
      </c>
      <c r="F14940" t="s">
        <v>31574</v>
      </c>
      <c r="G14940" t="s">
        <v>31582</v>
      </c>
      <c r="H14940" t="s">
        <v>31591</v>
      </c>
      <c r="I14940" t="s">
        <v>8822</v>
      </c>
      <c r="J14940" t="s">
        <v>40851</v>
      </c>
      <c r="K14940" t="s">
        <v>41189</v>
      </c>
      <c r="M14940" t="s">
        <v>43675</v>
      </c>
      <c r="N14940" t="s">
        <v>45095</v>
      </c>
      <c r="O14940" t="s">
        <v>45096</v>
      </c>
      <c r="Q14940">
        <v>34</v>
      </c>
      <c r="R14940" t="s">
        <v>45170</v>
      </c>
      <c r="S14940" t="s">
        <v>46457</v>
      </c>
      <c r="T14940" t="s">
        <v>47154</v>
      </c>
      <c r="U14940" t="s">
        <v>59481</v>
      </c>
      <c r="V14940" t="s">
        <v>61555</v>
      </c>
      <c r="W14940" t="s">
        <v>43675</v>
      </c>
      <c r="X14940" t="s">
        <v>45171</v>
      </c>
    </row>
    <row r="14941" spans="1:24">
      <c r="A14941">
        <f>HYPERLINK("https://www.philgeps.gov.ph/GEPSNONPILOT/Tender/SplashBidNoticeAbstractUI.aspx?menuIndex=3&amp;refID=6929231&amp;Result=3","6929231")</f>
        <v>0</v>
      </c>
      <c r="B14941" t="s">
        <v>1396</v>
      </c>
      <c r="C14941" t="s">
        <v>17509</v>
      </c>
      <c r="D14941" t="s">
        <v>18044</v>
      </c>
      <c r="E14941" t="s">
        <v>31122</v>
      </c>
      <c r="F14941" t="s">
        <v>31574</v>
      </c>
      <c r="G14941" t="s">
        <v>31581</v>
      </c>
      <c r="H14941" t="s">
        <v>31590</v>
      </c>
      <c r="I14941" t="s">
        <v>8822</v>
      </c>
      <c r="J14941" t="s">
        <v>31728</v>
      </c>
      <c r="K14941" t="s">
        <v>41184</v>
      </c>
      <c r="M14941" t="s">
        <v>42971</v>
      </c>
      <c r="N14941" t="s">
        <v>45095</v>
      </c>
      <c r="O14941" t="s">
        <v>45096</v>
      </c>
      <c r="Q14941">
        <v>3</v>
      </c>
      <c r="R14941" t="s">
        <v>45171</v>
      </c>
      <c r="S14941" t="s">
        <v>46458</v>
      </c>
      <c r="T14941" t="s">
        <v>47050</v>
      </c>
      <c r="U14941" t="s">
        <v>50848</v>
      </c>
      <c r="W14941" t="s">
        <v>42971</v>
      </c>
      <c r="X14941" t="s">
        <v>45172</v>
      </c>
    </row>
    <row r="14942" spans="1:24">
      <c r="A14942">
        <f>HYPERLINK("https://www.philgeps.gov.ph/GEPSNONPILOT/Tender/SplashBidNoticeAbstractUI.aspx?menuIndex=3&amp;refID=6936028&amp;Result=3","6936028")</f>
        <v>0</v>
      </c>
      <c r="B14942" t="s">
        <v>3165</v>
      </c>
      <c r="C14942" t="s">
        <v>17510</v>
      </c>
      <c r="D14942" t="s">
        <v>18084</v>
      </c>
      <c r="E14942" t="s">
        <v>31123</v>
      </c>
      <c r="F14942" t="s">
        <v>31574</v>
      </c>
      <c r="G14942" t="s">
        <v>31588</v>
      </c>
      <c r="H14942" t="s">
        <v>31592</v>
      </c>
      <c r="I14942" t="s">
        <v>31644</v>
      </c>
      <c r="J14942" t="s">
        <v>32101</v>
      </c>
      <c r="K14942" t="s">
        <v>41200</v>
      </c>
      <c r="M14942" t="s">
        <v>45034</v>
      </c>
      <c r="N14942" t="s">
        <v>45095</v>
      </c>
      <c r="O14942" t="s">
        <v>45096</v>
      </c>
      <c r="Q14942">
        <v>20</v>
      </c>
      <c r="R14942" t="s">
        <v>45170</v>
      </c>
      <c r="S14942" t="s">
        <v>46459</v>
      </c>
      <c r="T14942" t="s">
        <v>46956</v>
      </c>
      <c r="U14942" t="s">
        <v>59482</v>
      </c>
      <c r="W14942" t="s">
        <v>45034</v>
      </c>
      <c r="X14942" t="s">
        <v>45171</v>
      </c>
    </row>
    <row r="14943" spans="1:24">
      <c r="A14943">
        <f>HYPERLINK("https://www.philgeps.gov.ph/GEPSNONPILOT/Tender/SplashBidNoticeAbstractUI.aspx?menuIndex=3&amp;refID=6931393&amp;Result=3","6931393")</f>
        <v>0</v>
      </c>
      <c r="B14943" t="s">
        <v>3163</v>
      </c>
      <c r="C14943" t="s">
        <v>17511</v>
      </c>
      <c r="D14943" t="s">
        <v>18022</v>
      </c>
      <c r="E14943" t="s">
        <v>31124</v>
      </c>
      <c r="F14943" t="s">
        <v>31574</v>
      </c>
      <c r="G14943" t="s">
        <v>31581</v>
      </c>
      <c r="H14943" t="s">
        <v>31590</v>
      </c>
      <c r="I14943" t="s">
        <v>31619</v>
      </c>
      <c r="J14943" t="s">
        <v>31782</v>
      </c>
      <c r="K14943" t="s">
        <v>41190</v>
      </c>
      <c r="M14943" t="s">
        <v>45031</v>
      </c>
      <c r="N14943" t="s">
        <v>45095</v>
      </c>
      <c r="O14943" t="s">
        <v>45096</v>
      </c>
      <c r="Q14943">
        <v>5</v>
      </c>
      <c r="R14943" t="s">
        <v>45171</v>
      </c>
      <c r="S14943" t="s">
        <v>46460</v>
      </c>
      <c r="T14943" t="s">
        <v>47106</v>
      </c>
      <c r="U14943" t="s">
        <v>59483</v>
      </c>
      <c r="V14943" t="s">
        <v>61542</v>
      </c>
      <c r="W14943" t="s">
        <v>45031</v>
      </c>
      <c r="X14943" t="s">
        <v>45172</v>
      </c>
    </row>
    <row r="14944" spans="1:24">
      <c r="A14944">
        <f>HYPERLINK("https://www.philgeps.gov.ph/GEPSNONPILOT/Tender/SplashBidNoticeAbstractUI.aspx?menuIndex=3&amp;refID=6931074&amp;Result=3","6931074")</f>
        <v>0</v>
      </c>
      <c r="B14944" t="s">
        <v>1181</v>
      </c>
      <c r="C14944" t="s">
        <v>17512</v>
      </c>
      <c r="D14944" t="s">
        <v>18084</v>
      </c>
      <c r="E14944" t="s">
        <v>31125</v>
      </c>
      <c r="F14944" t="s">
        <v>31574</v>
      </c>
      <c r="G14944" t="s">
        <v>31582</v>
      </c>
      <c r="H14944" t="s">
        <v>31590</v>
      </c>
      <c r="I14944" t="s">
        <v>31595</v>
      </c>
      <c r="J14944" t="s">
        <v>40852</v>
      </c>
      <c r="K14944" t="s">
        <v>41184</v>
      </c>
      <c r="M14944" t="s">
        <v>42740</v>
      </c>
      <c r="N14944" t="s">
        <v>45095</v>
      </c>
      <c r="O14944" t="s">
        <v>45096</v>
      </c>
      <c r="Q14944">
        <v>17</v>
      </c>
      <c r="R14944" t="s">
        <v>45171</v>
      </c>
      <c r="S14944" t="s">
        <v>46461</v>
      </c>
      <c r="T14944" t="s">
        <v>46946</v>
      </c>
      <c r="U14944" t="s">
        <v>59484</v>
      </c>
      <c r="W14944" t="s">
        <v>42740</v>
      </c>
      <c r="X14944" t="s">
        <v>45172</v>
      </c>
    </row>
    <row r="14945" spans="1:24">
      <c r="A14945">
        <f>HYPERLINK("https://www.philgeps.gov.ph/GEPSNONPILOT/Tender/SplashBidNoticeAbstractUI.aspx?menuIndex=3&amp;refID=6931053&amp;Result=3","6931053")</f>
        <v>0</v>
      </c>
      <c r="B14945" t="s">
        <v>1181</v>
      </c>
      <c r="C14945" t="s">
        <v>17513</v>
      </c>
      <c r="D14945" t="s">
        <v>18084</v>
      </c>
      <c r="E14945" t="s">
        <v>31126</v>
      </c>
      <c r="F14945" t="s">
        <v>31574</v>
      </c>
      <c r="G14945" t="s">
        <v>31582</v>
      </c>
      <c r="H14945" t="s">
        <v>31590</v>
      </c>
      <c r="I14945" t="s">
        <v>3539</v>
      </c>
      <c r="J14945" t="s">
        <v>40853</v>
      </c>
      <c r="K14945" t="s">
        <v>41184</v>
      </c>
      <c r="M14945" t="s">
        <v>42740</v>
      </c>
      <c r="N14945" t="s">
        <v>45095</v>
      </c>
      <c r="O14945" t="s">
        <v>45096</v>
      </c>
      <c r="Q14945">
        <v>2</v>
      </c>
      <c r="R14945" t="s">
        <v>45171</v>
      </c>
      <c r="S14945" t="s">
        <v>46462</v>
      </c>
      <c r="T14945" t="s">
        <v>46946</v>
      </c>
      <c r="U14945" t="s">
        <v>59484</v>
      </c>
      <c r="W14945" t="s">
        <v>42740</v>
      </c>
      <c r="X14945" t="s">
        <v>45172</v>
      </c>
    </row>
    <row r="14946" spans="1:24">
      <c r="A14946">
        <f>HYPERLINK("https://www.philgeps.gov.ph/GEPSNONPILOT/Tender/SplashBidNoticeAbstractUI.aspx?menuIndex=3&amp;refID=6929229&amp;Result=3","6929229")</f>
        <v>0</v>
      </c>
      <c r="B14946" t="s">
        <v>685</v>
      </c>
      <c r="C14946" t="s">
        <v>17514</v>
      </c>
      <c r="D14946" t="s">
        <v>18022</v>
      </c>
      <c r="E14946" t="s">
        <v>31127</v>
      </c>
      <c r="F14946" t="s">
        <v>31574</v>
      </c>
      <c r="G14946" t="s">
        <v>31582</v>
      </c>
      <c r="H14946" t="s">
        <v>31590</v>
      </c>
      <c r="I14946" t="s">
        <v>31684</v>
      </c>
      <c r="J14946" t="s">
        <v>40854</v>
      </c>
      <c r="K14946" t="s">
        <v>41184</v>
      </c>
      <c r="M14946" t="s">
        <v>42192</v>
      </c>
      <c r="N14946" t="s">
        <v>45095</v>
      </c>
      <c r="O14946" t="s">
        <v>45096</v>
      </c>
      <c r="Q14946">
        <v>7</v>
      </c>
      <c r="R14946" t="s">
        <v>45171</v>
      </c>
      <c r="S14946" t="s">
        <v>46463</v>
      </c>
      <c r="T14946" t="s">
        <v>47232</v>
      </c>
      <c r="U14946" t="s">
        <v>59485</v>
      </c>
      <c r="V14946" t="s">
        <v>61556</v>
      </c>
      <c r="W14946" t="s">
        <v>42192</v>
      </c>
      <c r="X14946" t="s">
        <v>45172</v>
      </c>
    </row>
    <row r="14947" spans="1:24">
      <c r="A14947">
        <f>HYPERLINK("https://www.philgeps.gov.ph/GEPSNONPILOT/Tender/SplashBidNoticeAbstractUI.aspx?menuIndex=3&amp;refID=6931327&amp;Result=3","6931327")</f>
        <v>0</v>
      </c>
      <c r="B14947" t="s">
        <v>2266</v>
      </c>
      <c r="C14947" t="s">
        <v>17515</v>
      </c>
      <c r="D14947" t="s">
        <v>18052</v>
      </c>
      <c r="E14947" t="s">
        <v>31128</v>
      </c>
      <c r="F14947" t="s">
        <v>31574</v>
      </c>
      <c r="G14947" t="s">
        <v>31582</v>
      </c>
      <c r="H14947" t="s">
        <v>31590</v>
      </c>
      <c r="I14947" t="s">
        <v>3487</v>
      </c>
      <c r="J14947" t="s">
        <v>35496</v>
      </c>
      <c r="K14947" t="s">
        <v>41196</v>
      </c>
      <c r="M14947" t="s">
        <v>43966</v>
      </c>
      <c r="N14947" t="s">
        <v>45095</v>
      </c>
      <c r="O14947" t="s">
        <v>45096</v>
      </c>
      <c r="Q14947">
        <v>2</v>
      </c>
      <c r="R14947" t="s">
        <v>45171</v>
      </c>
      <c r="S14947" t="s">
        <v>46464</v>
      </c>
      <c r="T14947" t="s">
        <v>46988</v>
      </c>
      <c r="U14947" t="s">
        <v>59486</v>
      </c>
      <c r="V14947" t="s">
        <v>61119</v>
      </c>
      <c r="W14947" t="s">
        <v>43966</v>
      </c>
      <c r="X14947" t="s">
        <v>45172</v>
      </c>
    </row>
    <row r="14948" spans="1:24">
      <c r="A14948">
        <f>HYPERLINK("https://www.philgeps.gov.ph/GEPSNONPILOT/Tender/SplashBidNoticeAbstractUI.aspx?menuIndex=3&amp;refID=6929306&amp;Result=3","6929306")</f>
        <v>0</v>
      </c>
      <c r="B14948" t="s">
        <v>1181</v>
      </c>
      <c r="C14948" t="s">
        <v>17516</v>
      </c>
      <c r="D14948" t="s">
        <v>18084</v>
      </c>
      <c r="E14948" t="s">
        <v>31129</v>
      </c>
      <c r="F14948" t="s">
        <v>31574</v>
      </c>
      <c r="G14948" t="s">
        <v>31582</v>
      </c>
      <c r="H14948" t="s">
        <v>31591</v>
      </c>
      <c r="I14948" t="s">
        <v>8822</v>
      </c>
      <c r="J14948" t="s">
        <v>40855</v>
      </c>
      <c r="K14948" t="s">
        <v>41192</v>
      </c>
      <c r="M14948" t="s">
        <v>42740</v>
      </c>
      <c r="N14948" t="s">
        <v>45095</v>
      </c>
      <c r="O14948" t="s">
        <v>45096</v>
      </c>
      <c r="Q14948">
        <v>0</v>
      </c>
      <c r="R14948" t="s">
        <v>45171</v>
      </c>
      <c r="S14948" t="s">
        <v>46465</v>
      </c>
      <c r="T14948" t="s">
        <v>46946</v>
      </c>
      <c r="U14948" t="s">
        <v>59475</v>
      </c>
      <c r="W14948" t="s">
        <v>42740</v>
      </c>
      <c r="X14948" t="s">
        <v>45172</v>
      </c>
    </row>
    <row r="14949" spans="1:24">
      <c r="A14949">
        <f>HYPERLINK("https://www.philgeps.gov.ph/GEPSNONPILOT/Tender/SplashBidNoticeAbstractUI.aspx?menuIndex=3&amp;refID=6929293&amp;Result=3","6929293")</f>
        <v>0</v>
      </c>
      <c r="B14949" t="s">
        <v>1181</v>
      </c>
      <c r="C14949" t="s">
        <v>17517</v>
      </c>
      <c r="D14949" t="s">
        <v>18084</v>
      </c>
      <c r="E14949" t="s">
        <v>31130</v>
      </c>
      <c r="F14949" t="s">
        <v>31574</v>
      </c>
      <c r="G14949" t="s">
        <v>31582</v>
      </c>
      <c r="H14949" t="s">
        <v>31591</v>
      </c>
      <c r="I14949" t="s">
        <v>8822</v>
      </c>
      <c r="J14949" t="s">
        <v>40856</v>
      </c>
      <c r="K14949" t="s">
        <v>41243</v>
      </c>
      <c r="M14949" t="s">
        <v>42740</v>
      </c>
      <c r="N14949" t="s">
        <v>45095</v>
      </c>
      <c r="O14949" t="s">
        <v>45096</v>
      </c>
      <c r="Q14949">
        <v>0</v>
      </c>
      <c r="R14949" t="s">
        <v>45171</v>
      </c>
      <c r="S14949" t="s">
        <v>46466</v>
      </c>
      <c r="T14949" t="s">
        <v>46946</v>
      </c>
      <c r="U14949" t="s">
        <v>59475</v>
      </c>
      <c r="W14949" t="s">
        <v>42740</v>
      </c>
      <c r="X14949" t="s">
        <v>45172</v>
      </c>
    </row>
    <row r="14950" spans="1:24">
      <c r="A14950">
        <f>HYPERLINK("https://www.philgeps.gov.ph/GEPSNONPILOT/Tender/SplashBidNoticeAbstractUI.aspx?menuIndex=3&amp;refID=6927928&amp;Result=3","6927928")</f>
        <v>0</v>
      </c>
      <c r="B14950" t="s">
        <v>1181</v>
      </c>
      <c r="C14950" t="s">
        <v>17518</v>
      </c>
      <c r="D14950" t="s">
        <v>18084</v>
      </c>
      <c r="E14950" t="s">
        <v>31131</v>
      </c>
      <c r="F14950" t="s">
        <v>31574</v>
      </c>
      <c r="G14950" t="s">
        <v>31582</v>
      </c>
      <c r="H14950" t="s">
        <v>31591</v>
      </c>
      <c r="I14950" t="s">
        <v>8822</v>
      </c>
      <c r="J14950" t="s">
        <v>40857</v>
      </c>
      <c r="K14950" t="s">
        <v>41186</v>
      </c>
      <c r="M14950" t="s">
        <v>42740</v>
      </c>
      <c r="N14950" t="s">
        <v>45095</v>
      </c>
      <c r="O14950" t="s">
        <v>45096</v>
      </c>
      <c r="Q14950">
        <v>1</v>
      </c>
      <c r="R14950" t="s">
        <v>45171</v>
      </c>
      <c r="S14950" t="s">
        <v>46467</v>
      </c>
      <c r="T14950" t="s">
        <v>46946</v>
      </c>
      <c r="U14950" t="s">
        <v>59475</v>
      </c>
      <c r="W14950" t="s">
        <v>42740</v>
      </c>
      <c r="X14950" t="s">
        <v>45173</v>
      </c>
    </row>
    <row r="14951" spans="1:24">
      <c r="A14951">
        <f>HYPERLINK("https://www.philgeps.gov.ph/GEPSNONPILOT/Tender/SplashBidNoticeAbstractUI.aspx?menuIndex=3&amp;refID=6929949&amp;Result=3","6929949")</f>
        <v>0</v>
      </c>
      <c r="B14951" t="s">
        <v>255</v>
      </c>
      <c r="C14951" t="s">
        <v>17519</v>
      </c>
      <c r="D14951" t="s">
        <v>18082</v>
      </c>
      <c r="E14951" t="s">
        <v>31132</v>
      </c>
      <c r="F14951" t="s">
        <v>31574</v>
      </c>
      <c r="G14951" t="s">
        <v>31582</v>
      </c>
      <c r="H14951" t="s">
        <v>31591</v>
      </c>
      <c r="I14951" t="s">
        <v>8822</v>
      </c>
      <c r="J14951" t="s">
        <v>34070</v>
      </c>
      <c r="K14951" t="s">
        <v>41189</v>
      </c>
      <c r="M14951" t="s">
        <v>41741</v>
      </c>
      <c r="N14951" t="s">
        <v>45095</v>
      </c>
      <c r="O14951" t="s">
        <v>45096</v>
      </c>
      <c r="Q14951">
        <v>1</v>
      </c>
      <c r="R14951" t="s">
        <v>45171</v>
      </c>
      <c r="S14951" t="s">
        <v>46468</v>
      </c>
      <c r="T14951" t="s">
        <v>47159</v>
      </c>
      <c r="U14951" t="s">
        <v>59487</v>
      </c>
      <c r="V14951" t="s">
        <v>61557</v>
      </c>
      <c r="W14951" t="s">
        <v>41741</v>
      </c>
      <c r="X14951" t="s">
        <v>45172</v>
      </c>
    </row>
    <row r="14952" spans="1:24">
      <c r="A14952">
        <f>HYPERLINK("https://www.philgeps.gov.ph/GEPSNONPILOT/Tender/SplashBidNoticeAbstractUI.aspx?menuIndex=3&amp;refID=6927893&amp;Result=3","6927893")</f>
        <v>0</v>
      </c>
      <c r="B14952" t="s">
        <v>1181</v>
      </c>
      <c r="C14952" t="s">
        <v>17520</v>
      </c>
      <c r="D14952" t="s">
        <v>18084</v>
      </c>
      <c r="E14952" t="s">
        <v>31133</v>
      </c>
      <c r="F14952" t="s">
        <v>31574</v>
      </c>
      <c r="G14952" t="s">
        <v>31582</v>
      </c>
      <c r="H14952" t="s">
        <v>31591</v>
      </c>
      <c r="I14952" t="s">
        <v>8822</v>
      </c>
      <c r="J14952" t="s">
        <v>40850</v>
      </c>
      <c r="K14952" t="s">
        <v>41243</v>
      </c>
      <c r="M14952" t="s">
        <v>42740</v>
      </c>
      <c r="N14952" t="s">
        <v>45095</v>
      </c>
      <c r="O14952" t="s">
        <v>45096</v>
      </c>
      <c r="Q14952">
        <v>0</v>
      </c>
      <c r="R14952" t="s">
        <v>45171</v>
      </c>
      <c r="S14952" t="s">
        <v>46469</v>
      </c>
      <c r="T14952" t="s">
        <v>46946</v>
      </c>
      <c r="U14952" t="s">
        <v>59475</v>
      </c>
      <c r="W14952" t="s">
        <v>42740</v>
      </c>
      <c r="X14952" t="s">
        <v>45173</v>
      </c>
    </row>
    <row r="14953" spans="1:24">
      <c r="A14953">
        <f>HYPERLINK("https://www.philgeps.gov.ph/GEPSNONPILOT/Tender/SplashBidNoticeAbstractUI.aspx?menuIndex=3&amp;refID=6931173&amp;Result=3","6931173")</f>
        <v>0</v>
      </c>
      <c r="B14953" t="s">
        <v>2266</v>
      </c>
      <c r="C14953" t="s">
        <v>17521</v>
      </c>
      <c r="D14953" t="s">
        <v>18052</v>
      </c>
      <c r="E14953" t="s">
        <v>31134</v>
      </c>
      <c r="F14953" t="s">
        <v>31574</v>
      </c>
      <c r="G14953" t="s">
        <v>31582</v>
      </c>
      <c r="H14953" t="s">
        <v>31590</v>
      </c>
      <c r="I14953" t="s">
        <v>3487</v>
      </c>
      <c r="J14953" t="s">
        <v>40858</v>
      </c>
      <c r="K14953" t="s">
        <v>41196</v>
      </c>
      <c r="M14953" t="s">
        <v>43966</v>
      </c>
      <c r="N14953" t="s">
        <v>45095</v>
      </c>
      <c r="O14953" t="s">
        <v>45096</v>
      </c>
      <c r="Q14953">
        <v>7</v>
      </c>
      <c r="R14953" t="s">
        <v>45171</v>
      </c>
      <c r="S14953" t="s">
        <v>46470</v>
      </c>
      <c r="T14953" t="s">
        <v>46988</v>
      </c>
      <c r="U14953" t="s">
        <v>59488</v>
      </c>
      <c r="V14953" t="s">
        <v>61558</v>
      </c>
      <c r="W14953" t="s">
        <v>43966</v>
      </c>
      <c r="X14953" t="s">
        <v>45172</v>
      </c>
    </row>
    <row r="14954" spans="1:24">
      <c r="A14954">
        <f>HYPERLINK("https://www.philgeps.gov.ph/GEPSNONPILOT/Tender/SplashBidNoticeAbstractUI.aspx?menuIndex=3&amp;refID=6929283&amp;Result=3","6929283")</f>
        <v>0</v>
      </c>
      <c r="B14954" t="s">
        <v>1181</v>
      </c>
      <c r="C14954" t="s">
        <v>17522</v>
      </c>
      <c r="D14954" t="s">
        <v>18084</v>
      </c>
      <c r="E14954" t="s">
        <v>31135</v>
      </c>
      <c r="F14954" t="s">
        <v>31574</v>
      </c>
      <c r="G14954" t="s">
        <v>31582</v>
      </c>
      <c r="H14954" t="s">
        <v>31591</v>
      </c>
      <c r="I14954" t="s">
        <v>8822</v>
      </c>
      <c r="J14954" t="s">
        <v>40859</v>
      </c>
      <c r="K14954" t="s">
        <v>41203</v>
      </c>
      <c r="M14954" t="s">
        <v>42740</v>
      </c>
      <c r="N14954" t="s">
        <v>45095</v>
      </c>
      <c r="O14954" t="s">
        <v>45096</v>
      </c>
      <c r="Q14954">
        <v>0</v>
      </c>
      <c r="R14954" t="s">
        <v>45171</v>
      </c>
      <c r="S14954" t="s">
        <v>46471</v>
      </c>
      <c r="T14954" t="s">
        <v>46946</v>
      </c>
      <c r="U14954" t="s">
        <v>59475</v>
      </c>
      <c r="W14954" t="s">
        <v>42740</v>
      </c>
      <c r="X14954" t="s">
        <v>45172</v>
      </c>
    </row>
    <row r="14955" spans="1:24">
      <c r="A14955">
        <f>HYPERLINK("https://www.philgeps.gov.ph/GEPSNONPILOT/Tender/SplashBidNoticeAbstractUI.aspx?menuIndex=3&amp;refID=6927823&amp;Result=3","6927823")</f>
        <v>0</v>
      </c>
      <c r="B14955" t="s">
        <v>1181</v>
      </c>
      <c r="C14955" t="s">
        <v>17523</v>
      </c>
      <c r="D14955" t="s">
        <v>18084</v>
      </c>
      <c r="E14955" t="s">
        <v>31136</v>
      </c>
      <c r="F14955" t="s">
        <v>31574</v>
      </c>
      <c r="G14955" t="s">
        <v>31582</v>
      </c>
      <c r="H14955" t="s">
        <v>31591</v>
      </c>
      <c r="I14955" t="s">
        <v>8822</v>
      </c>
      <c r="J14955" t="s">
        <v>40850</v>
      </c>
      <c r="K14955" t="s">
        <v>41243</v>
      </c>
      <c r="M14955" t="s">
        <v>42740</v>
      </c>
      <c r="N14955" t="s">
        <v>45095</v>
      </c>
      <c r="O14955" t="s">
        <v>45096</v>
      </c>
      <c r="Q14955">
        <v>1</v>
      </c>
      <c r="R14955" t="s">
        <v>45171</v>
      </c>
      <c r="S14955" t="s">
        <v>46472</v>
      </c>
      <c r="T14955" t="s">
        <v>46946</v>
      </c>
      <c r="U14955" t="s">
        <v>59475</v>
      </c>
      <c r="W14955" t="s">
        <v>42740</v>
      </c>
      <c r="X14955" t="s">
        <v>45173</v>
      </c>
    </row>
    <row r="14956" spans="1:24">
      <c r="A14956">
        <f>HYPERLINK("https://www.philgeps.gov.ph/GEPSNONPILOT/Tender/SplashBidNoticeAbstractUI.aspx?menuIndex=3&amp;refID=6927822&amp;Result=3","6927822")</f>
        <v>0</v>
      </c>
      <c r="B14956" t="s">
        <v>2266</v>
      </c>
      <c r="C14956" t="s">
        <v>17524</v>
      </c>
      <c r="D14956" t="s">
        <v>18052</v>
      </c>
      <c r="E14956" t="s">
        <v>31137</v>
      </c>
      <c r="F14956" t="s">
        <v>31574</v>
      </c>
      <c r="G14956" t="s">
        <v>31582</v>
      </c>
      <c r="H14956" t="s">
        <v>31590</v>
      </c>
      <c r="I14956" t="s">
        <v>31610</v>
      </c>
      <c r="J14956" t="s">
        <v>32001</v>
      </c>
      <c r="K14956" t="s">
        <v>41186</v>
      </c>
      <c r="M14956" t="s">
        <v>43966</v>
      </c>
      <c r="N14956" t="s">
        <v>45095</v>
      </c>
      <c r="O14956" t="s">
        <v>45096</v>
      </c>
      <c r="Q14956">
        <v>7</v>
      </c>
      <c r="R14956" t="s">
        <v>45171</v>
      </c>
      <c r="S14956" t="s">
        <v>46473</v>
      </c>
      <c r="T14956" t="s">
        <v>46988</v>
      </c>
      <c r="U14956" t="s">
        <v>59489</v>
      </c>
      <c r="V14956" t="s">
        <v>61558</v>
      </c>
      <c r="W14956" t="s">
        <v>43966</v>
      </c>
      <c r="X14956" t="s">
        <v>45173</v>
      </c>
    </row>
    <row r="14957" spans="1:24">
      <c r="A14957">
        <f>HYPERLINK("https://www.philgeps.gov.ph/GEPSNONPILOT/Tender/SplashBidNoticeAbstractUI.aspx?menuIndex=3&amp;refID=6929383&amp;Result=3","6929383")</f>
        <v>0</v>
      </c>
      <c r="B14957" t="s">
        <v>1181</v>
      </c>
      <c r="C14957" t="s">
        <v>17525</v>
      </c>
      <c r="D14957" t="s">
        <v>18084</v>
      </c>
      <c r="E14957" t="s">
        <v>31138</v>
      </c>
      <c r="F14957" t="s">
        <v>31574</v>
      </c>
      <c r="G14957" t="s">
        <v>31582</v>
      </c>
      <c r="H14957" t="s">
        <v>31591</v>
      </c>
      <c r="I14957" t="s">
        <v>8822</v>
      </c>
      <c r="J14957" t="s">
        <v>40860</v>
      </c>
      <c r="K14957" t="s">
        <v>41203</v>
      </c>
      <c r="M14957" t="s">
        <v>42740</v>
      </c>
      <c r="N14957" t="s">
        <v>45095</v>
      </c>
      <c r="O14957" t="s">
        <v>45096</v>
      </c>
      <c r="Q14957">
        <v>0</v>
      </c>
      <c r="R14957" t="s">
        <v>45171</v>
      </c>
      <c r="S14957" t="s">
        <v>46474</v>
      </c>
      <c r="T14957" t="s">
        <v>46946</v>
      </c>
      <c r="U14957" t="s">
        <v>59475</v>
      </c>
      <c r="W14957" t="s">
        <v>42740</v>
      </c>
      <c r="X14957" t="s">
        <v>45172</v>
      </c>
    </row>
    <row r="14958" spans="1:24">
      <c r="A14958">
        <f>HYPERLINK("https://www.philgeps.gov.ph/GEPSNONPILOT/Tender/SplashBidNoticeAbstractUI.aspx?menuIndex=3&amp;refID=6931036&amp;Result=3","6931036")</f>
        <v>0</v>
      </c>
      <c r="B14958" t="s">
        <v>2266</v>
      </c>
      <c r="C14958" t="s">
        <v>17526</v>
      </c>
      <c r="D14958" t="s">
        <v>18052</v>
      </c>
      <c r="E14958" t="s">
        <v>31139</v>
      </c>
      <c r="F14958" t="s">
        <v>31574</v>
      </c>
      <c r="G14958" t="s">
        <v>31582</v>
      </c>
      <c r="H14958" t="s">
        <v>31590</v>
      </c>
      <c r="I14958" t="s">
        <v>4354</v>
      </c>
      <c r="J14958" t="s">
        <v>40861</v>
      </c>
      <c r="K14958" t="s">
        <v>41196</v>
      </c>
      <c r="M14958" t="s">
        <v>43966</v>
      </c>
      <c r="N14958" t="s">
        <v>45095</v>
      </c>
      <c r="O14958" t="s">
        <v>45096</v>
      </c>
      <c r="Q14958">
        <v>5</v>
      </c>
      <c r="R14958" t="s">
        <v>45171</v>
      </c>
      <c r="S14958" t="s">
        <v>46475</v>
      </c>
      <c r="T14958" t="s">
        <v>46988</v>
      </c>
      <c r="U14958" t="s">
        <v>59490</v>
      </c>
      <c r="V14958" t="s">
        <v>61559</v>
      </c>
      <c r="W14958" t="s">
        <v>43966</v>
      </c>
      <c r="X14958" t="s">
        <v>45172</v>
      </c>
    </row>
    <row r="14959" spans="1:24">
      <c r="A14959">
        <f>HYPERLINK("https://www.philgeps.gov.ph/GEPSNONPILOT/Tender/SplashBidNoticeAbstractUI.aspx?menuIndex=3&amp;refID=6927796&amp;Result=3","6927796")</f>
        <v>0</v>
      </c>
      <c r="B14959" t="s">
        <v>1181</v>
      </c>
      <c r="C14959" t="s">
        <v>17527</v>
      </c>
      <c r="D14959" t="s">
        <v>18084</v>
      </c>
      <c r="E14959" t="s">
        <v>31140</v>
      </c>
      <c r="F14959" t="s">
        <v>31574</v>
      </c>
      <c r="G14959" t="s">
        <v>31582</v>
      </c>
      <c r="H14959" t="s">
        <v>31591</v>
      </c>
      <c r="I14959" t="s">
        <v>8822</v>
      </c>
      <c r="J14959" t="s">
        <v>40850</v>
      </c>
      <c r="K14959" t="s">
        <v>41243</v>
      </c>
      <c r="M14959" t="s">
        <v>42740</v>
      </c>
      <c r="N14959" t="s">
        <v>45095</v>
      </c>
      <c r="O14959" t="s">
        <v>45096</v>
      </c>
      <c r="Q14959">
        <v>1</v>
      </c>
      <c r="R14959" t="s">
        <v>45171</v>
      </c>
      <c r="S14959" t="s">
        <v>46476</v>
      </c>
      <c r="T14959" t="s">
        <v>46946</v>
      </c>
      <c r="U14959" t="s">
        <v>59475</v>
      </c>
      <c r="W14959" t="s">
        <v>42740</v>
      </c>
      <c r="X14959" t="s">
        <v>45173</v>
      </c>
    </row>
    <row r="14960" spans="1:24">
      <c r="A14960">
        <f>HYPERLINK("https://www.philgeps.gov.ph/GEPSNONPILOT/Tender/SplashBidNoticeAbstractUI.aspx?menuIndex=3&amp;refID=6931518&amp;Result=3","6931518")</f>
        <v>0</v>
      </c>
      <c r="B14960" t="s">
        <v>1887</v>
      </c>
      <c r="C14960" t="s">
        <v>17528</v>
      </c>
      <c r="D14960" t="s">
        <v>18022</v>
      </c>
      <c r="E14960" t="s">
        <v>31141</v>
      </c>
      <c r="F14960" t="s">
        <v>31574</v>
      </c>
      <c r="G14960" t="s">
        <v>31582</v>
      </c>
      <c r="H14960" t="s">
        <v>31590</v>
      </c>
      <c r="I14960" t="s">
        <v>31608</v>
      </c>
      <c r="J14960" t="s">
        <v>40862</v>
      </c>
      <c r="K14960" t="s">
        <v>41184</v>
      </c>
      <c r="M14960" t="s">
        <v>43606</v>
      </c>
      <c r="N14960" t="s">
        <v>45095</v>
      </c>
      <c r="O14960" t="s">
        <v>45096</v>
      </c>
      <c r="Q14960">
        <v>27</v>
      </c>
      <c r="R14960" t="s">
        <v>45171</v>
      </c>
      <c r="S14960" t="s">
        <v>46477</v>
      </c>
      <c r="T14960" t="s">
        <v>46966</v>
      </c>
      <c r="U14960" t="s">
        <v>59491</v>
      </c>
      <c r="V14960" t="s">
        <v>61560</v>
      </c>
      <c r="W14960" t="s">
        <v>43606</v>
      </c>
      <c r="X14960" t="s">
        <v>45172</v>
      </c>
    </row>
    <row r="14961" spans="1:24">
      <c r="A14961">
        <f>HYPERLINK("https://www.philgeps.gov.ph/GEPSNONPILOT/Tender/SplashBidNoticeAbstractUI.aspx?menuIndex=3&amp;refID=6931471&amp;Result=3","6931471")</f>
        <v>0</v>
      </c>
      <c r="B14961" t="s">
        <v>1887</v>
      </c>
      <c r="C14961" t="s">
        <v>17529</v>
      </c>
      <c r="D14961" t="s">
        <v>18022</v>
      </c>
      <c r="E14961" t="s">
        <v>31142</v>
      </c>
      <c r="F14961" t="s">
        <v>31574</v>
      </c>
      <c r="G14961" t="s">
        <v>31582</v>
      </c>
      <c r="H14961" t="s">
        <v>31590</v>
      </c>
      <c r="I14961" t="s">
        <v>31615</v>
      </c>
      <c r="J14961" t="s">
        <v>40863</v>
      </c>
      <c r="K14961" t="s">
        <v>41184</v>
      </c>
      <c r="M14961" t="s">
        <v>43606</v>
      </c>
      <c r="N14961" t="s">
        <v>45095</v>
      </c>
      <c r="O14961" t="s">
        <v>45096</v>
      </c>
      <c r="Q14961">
        <v>5</v>
      </c>
      <c r="R14961" t="s">
        <v>45171</v>
      </c>
      <c r="S14961" t="s">
        <v>46478</v>
      </c>
      <c r="T14961" t="s">
        <v>46966</v>
      </c>
      <c r="U14961" t="s">
        <v>59492</v>
      </c>
      <c r="V14961" t="s">
        <v>61561</v>
      </c>
      <c r="W14961" t="s">
        <v>43606</v>
      </c>
      <c r="X14961" t="s">
        <v>45172</v>
      </c>
    </row>
    <row r="14962" spans="1:24">
      <c r="A14962">
        <f>HYPERLINK("https://www.philgeps.gov.ph/GEPSNONPILOT/Tender/SplashBidNoticeAbstractUI.aspx?menuIndex=3&amp;refID=6929261&amp;Result=3","6929261")</f>
        <v>0</v>
      </c>
      <c r="B14962" t="s">
        <v>1181</v>
      </c>
      <c r="C14962" t="s">
        <v>17530</v>
      </c>
      <c r="D14962" t="s">
        <v>18084</v>
      </c>
      <c r="E14962" t="s">
        <v>31143</v>
      </c>
      <c r="F14962" t="s">
        <v>31574</v>
      </c>
      <c r="G14962" t="s">
        <v>31582</v>
      </c>
      <c r="H14962" t="s">
        <v>31591</v>
      </c>
      <c r="I14962" t="s">
        <v>8822</v>
      </c>
      <c r="J14962" t="s">
        <v>40864</v>
      </c>
      <c r="K14962" t="s">
        <v>41189</v>
      </c>
      <c r="M14962" t="s">
        <v>42740</v>
      </c>
      <c r="N14962" t="s">
        <v>45095</v>
      </c>
      <c r="O14962" t="s">
        <v>45096</v>
      </c>
      <c r="Q14962">
        <v>1</v>
      </c>
      <c r="R14962" t="s">
        <v>45171</v>
      </c>
      <c r="S14962" t="s">
        <v>46479</v>
      </c>
      <c r="T14962" t="s">
        <v>46946</v>
      </c>
      <c r="U14962" t="s">
        <v>59475</v>
      </c>
      <c r="W14962" t="s">
        <v>42740</v>
      </c>
      <c r="X14962" t="s">
        <v>45172</v>
      </c>
    </row>
    <row r="14963" spans="1:24">
      <c r="A14963">
        <f>HYPERLINK("https://www.philgeps.gov.ph/GEPSNONPILOT/Tender/SplashBidNoticeAbstractUI.aspx?menuIndex=3&amp;refID=6931496&amp;Result=3","6931496")</f>
        <v>0</v>
      </c>
      <c r="B14963" t="s">
        <v>2266</v>
      </c>
      <c r="C14963" t="s">
        <v>17531</v>
      </c>
      <c r="D14963" t="s">
        <v>18052</v>
      </c>
      <c r="E14963" t="s">
        <v>31144</v>
      </c>
      <c r="F14963" t="s">
        <v>31574</v>
      </c>
      <c r="G14963" t="s">
        <v>31582</v>
      </c>
      <c r="H14963" t="s">
        <v>31590</v>
      </c>
      <c r="I14963" t="s">
        <v>3487</v>
      </c>
      <c r="J14963" t="s">
        <v>32147</v>
      </c>
      <c r="K14963" t="s">
        <v>41196</v>
      </c>
      <c r="M14963" t="s">
        <v>43966</v>
      </c>
      <c r="N14963" t="s">
        <v>45095</v>
      </c>
      <c r="O14963" t="s">
        <v>45096</v>
      </c>
      <c r="Q14963">
        <v>4</v>
      </c>
      <c r="R14963" t="s">
        <v>45171</v>
      </c>
      <c r="S14963" t="s">
        <v>46480</v>
      </c>
      <c r="T14963" t="s">
        <v>46988</v>
      </c>
      <c r="U14963" t="s">
        <v>59493</v>
      </c>
      <c r="V14963" t="s">
        <v>61562</v>
      </c>
      <c r="W14963" t="s">
        <v>43966</v>
      </c>
      <c r="X14963" t="s">
        <v>45172</v>
      </c>
    </row>
    <row r="14964" spans="1:24">
      <c r="A14964">
        <f>HYPERLINK("https://www.philgeps.gov.ph/GEPSNONPILOT/Tender/SplashBidNoticeAbstractUI.aspx?menuIndex=3&amp;refID=6931594&amp;Result=3","6931594")</f>
        <v>0</v>
      </c>
      <c r="B14964" t="s">
        <v>3163</v>
      </c>
      <c r="C14964" t="s">
        <v>17532</v>
      </c>
      <c r="D14964" t="s">
        <v>18022</v>
      </c>
      <c r="E14964" t="s">
        <v>31145</v>
      </c>
      <c r="F14964" t="s">
        <v>31574</v>
      </c>
      <c r="G14964" t="s">
        <v>31581</v>
      </c>
      <c r="H14964" t="s">
        <v>31590</v>
      </c>
      <c r="I14964" t="s">
        <v>4327</v>
      </c>
      <c r="J14964" t="s">
        <v>34864</v>
      </c>
      <c r="K14964" t="s">
        <v>41196</v>
      </c>
      <c r="M14964" t="s">
        <v>45031</v>
      </c>
      <c r="N14964" t="s">
        <v>45095</v>
      </c>
      <c r="O14964" t="s">
        <v>45096</v>
      </c>
      <c r="Q14964">
        <v>10</v>
      </c>
      <c r="R14964" t="s">
        <v>45171</v>
      </c>
      <c r="S14964" t="s">
        <v>46481</v>
      </c>
      <c r="T14964" t="s">
        <v>47106</v>
      </c>
      <c r="U14964" t="s">
        <v>59494</v>
      </c>
      <c r="V14964" t="s">
        <v>61542</v>
      </c>
      <c r="W14964" t="s">
        <v>45031</v>
      </c>
      <c r="X14964" t="s">
        <v>45172</v>
      </c>
    </row>
    <row r="14965" spans="1:24">
      <c r="A14965">
        <f>HYPERLINK("https://www.philgeps.gov.ph/GEPSNONPILOT/Tender/SplashBidNoticeAbstractUI.aspx?menuIndex=3&amp;refID=6932253&amp;Result=3","6932253")</f>
        <v>0</v>
      </c>
      <c r="B14965" t="s">
        <v>957</v>
      </c>
      <c r="C14965" t="s">
        <v>17533</v>
      </c>
      <c r="D14965" t="s">
        <v>18075</v>
      </c>
      <c r="E14965" t="s">
        <v>31146</v>
      </c>
      <c r="F14965" t="s">
        <v>31574</v>
      </c>
      <c r="G14965" t="s">
        <v>31582</v>
      </c>
      <c r="H14965" t="s">
        <v>31590</v>
      </c>
      <c r="I14965" t="s">
        <v>31644</v>
      </c>
      <c r="J14965" t="s">
        <v>40865</v>
      </c>
      <c r="K14965" t="s">
        <v>41186</v>
      </c>
      <c r="M14965" t="s">
        <v>42595</v>
      </c>
      <c r="N14965" t="s">
        <v>45095</v>
      </c>
      <c r="O14965" t="s">
        <v>45096</v>
      </c>
      <c r="Q14965">
        <v>7</v>
      </c>
      <c r="R14965" t="s">
        <v>45171</v>
      </c>
      <c r="S14965" t="s">
        <v>46482</v>
      </c>
      <c r="T14965" t="s">
        <v>46913</v>
      </c>
      <c r="U14965" t="s">
        <v>59495</v>
      </c>
      <c r="W14965" t="s">
        <v>42595</v>
      </c>
      <c r="X14965" t="s">
        <v>45172</v>
      </c>
    </row>
    <row r="14966" spans="1:24">
      <c r="A14966">
        <f>HYPERLINK("https://www.philgeps.gov.ph/GEPSNONPILOT/Tender/SplashBidNoticeAbstractUI.aspx?menuIndex=3&amp;refID=6931766&amp;Result=3","6931766")</f>
        <v>0</v>
      </c>
      <c r="B14966" t="s">
        <v>1632</v>
      </c>
      <c r="C14966" t="s">
        <v>17534</v>
      </c>
      <c r="D14966" t="s">
        <v>18022</v>
      </c>
      <c r="E14966" t="s">
        <v>31147</v>
      </c>
      <c r="F14966" t="s">
        <v>31574</v>
      </c>
      <c r="G14966" t="s">
        <v>31582</v>
      </c>
      <c r="H14966" t="s">
        <v>31590</v>
      </c>
      <c r="I14966" t="s">
        <v>31594</v>
      </c>
      <c r="J14966" t="s">
        <v>32120</v>
      </c>
      <c r="K14966" t="s">
        <v>41192</v>
      </c>
      <c r="M14966" t="s">
        <v>43240</v>
      </c>
      <c r="N14966" t="s">
        <v>45095</v>
      </c>
      <c r="O14966" t="s">
        <v>45096</v>
      </c>
      <c r="Q14966">
        <v>10</v>
      </c>
      <c r="R14966" t="s">
        <v>45171</v>
      </c>
      <c r="S14966" t="s">
        <v>46483</v>
      </c>
      <c r="T14966" t="s">
        <v>47168</v>
      </c>
      <c r="U14966" t="s">
        <v>59496</v>
      </c>
      <c r="W14966" t="s">
        <v>43240</v>
      </c>
      <c r="X14966" t="s">
        <v>45172</v>
      </c>
    </row>
    <row r="14967" spans="1:24">
      <c r="A14967">
        <f>HYPERLINK("https://www.philgeps.gov.ph/GEPSNONPILOT/Tender/SplashBidNoticeAbstractUI.aspx?menuIndex=3&amp;refID=6932278&amp;Result=3","6932278")</f>
        <v>0</v>
      </c>
      <c r="B14967" t="s">
        <v>2689</v>
      </c>
      <c r="C14967" t="s">
        <v>17535</v>
      </c>
      <c r="D14967" t="s">
        <v>18027</v>
      </c>
      <c r="E14967" t="s">
        <v>31148</v>
      </c>
      <c r="F14967" t="s">
        <v>31574</v>
      </c>
      <c r="G14967" t="s">
        <v>31582</v>
      </c>
      <c r="H14967" t="s">
        <v>31591</v>
      </c>
      <c r="I14967" t="s">
        <v>8822</v>
      </c>
      <c r="J14967" t="s">
        <v>33268</v>
      </c>
      <c r="K14967" t="s">
        <v>41436</v>
      </c>
      <c r="M14967" t="s">
        <v>44454</v>
      </c>
      <c r="N14967" t="s">
        <v>45095</v>
      </c>
      <c r="O14967" t="s">
        <v>45096</v>
      </c>
      <c r="Q14967">
        <v>15</v>
      </c>
      <c r="R14967" t="s">
        <v>45171</v>
      </c>
      <c r="S14967" t="s">
        <v>46484</v>
      </c>
      <c r="T14967" t="s">
        <v>46914</v>
      </c>
      <c r="U14967" t="s">
        <v>58478</v>
      </c>
      <c r="W14967" t="s">
        <v>44454</v>
      </c>
      <c r="X14967" t="s">
        <v>45172</v>
      </c>
    </row>
    <row r="14968" spans="1:24">
      <c r="A14968">
        <f>HYPERLINK("https://www.philgeps.gov.ph/GEPSNONPILOT/Tender/SplashBidNoticeAbstractUI.aspx?menuIndex=3&amp;refID=6932252&amp;Result=3","6932252")</f>
        <v>0</v>
      </c>
      <c r="B14968" t="s">
        <v>1128</v>
      </c>
      <c r="C14968" t="s">
        <v>17536</v>
      </c>
      <c r="D14968" t="s">
        <v>18030</v>
      </c>
      <c r="E14968" t="s">
        <v>31149</v>
      </c>
      <c r="F14968" t="s">
        <v>31574</v>
      </c>
      <c r="G14968" t="s">
        <v>31581</v>
      </c>
      <c r="H14968" t="s">
        <v>31590</v>
      </c>
      <c r="I14968" t="s">
        <v>6800</v>
      </c>
      <c r="J14968" t="s">
        <v>40866</v>
      </c>
      <c r="K14968" t="s">
        <v>41186</v>
      </c>
      <c r="M14968" t="s">
        <v>45035</v>
      </c>
      <c r="N14968" t="s">
        <v>45095</v>
      </c>
      <c r="O14968" t="s">
        <v>45096</v>
      </c>
      <c r="Q14968">
        <v>7</v>
      </c>
      <c r="R14968" t="s">
        <v>45171</v>
      </c>
      <c r="S14968" t="s">
        <v>46485</v>
      </c>
      <c r="T14968" t="s">
        <v>47083</v>
      </c>
      <c r="U14968" t="s">
        <v>59497</v>
      </c>
      <c r="V14968" t="s">
        <v>61563</v>
      </c>
      <c r="W14968" t="s">
        <v>45035</v>
      </c>
      <c r="X14968" t="s">
        <v>45172</v>
      </c>
    </row>
    <row r="14969" spans="1:24">
      <c r="A14969">
        <f>HYPERLINK("https://www.philgeps.gov.ph/GEPSNONPILOT/Tender/SplashBidNoticeAbstractUI.aspx?menuIndex=3&amp;refID=6932167&amp;Result=3","6932167")</f>
        <v>0</v>
      </c>
      <c r="B14969" t="s">
        <v>1128</v>
      </c>
      <c r="C14969" t="s">
        <v>17537</v>
      </c>
      <c r="D14969" t="s">
        <v>18030</v>
      </c>
      <c r="E14969" t="s">
        <v>31149</v>
      </c>
      <c r="F14969" t="s">
        <v>31574</v>
      </c>
      <c r="G14969" t="s">
        <v>31581</v>
      </c>
      <c r="H14969" t="s">
        <v>31590</v>
      </c>
      <c r="I14969" t="s">
        <v>6800</v>
      </c>
      <c r="J14969" t="s">
        <v>40867</v>
      </c>
      <c r="K14969" t="s">
        <v>41186</v>
      </c>
      <c r="M14969" t="s">
        <v>45035</v>
      </c>
      <c r="N14969" t="s">
        <v>45095</v>
      </c>
      <c r="O14969" t="s">
        <v>45096</v>
      </c>
      <c r="Q14969">
        <v>24</v>
      </c>
      <c r="R14969" t="s">
        <v>45171</v>
      </c>
      <c r="S14969" t="s">
        <v>46486</v>
      </c>
      <c r="T14969" t="s">
        <v>47083</v>
      </c>
      <c r="U14969" t="s">
        <v>59497</v>
      </c>
      <c r="V14969" t="s">
        <v>61563</v>
      </c>
      <c r="W14969" t="s">
        <v>45035</v>
      </c>
      <c r="X14969" t="s">
        <v>45172</v>
      </c>
    </row>
    <row r="14970" spans="1:24">
      <c r="A14970">
        <f>HYPERLINK("https://www.philgeps.gov.ph/GEPSNONPILOT/Tender/SplashBidNoticeAbstractUI.aspx?menuIndex=3&amp;refID=6932362&amp;Result=3","6932362")</f>
        <v>0</v>
      </c>
      <c r="B14970" t="s">
        <v>2689</v>
      </c>
      <c r="C14970" t="s">
        <v>17538</v>
      </c>
      <c r="D14970" t="s">
        <v>18027</v>
      </c>
      <c r="E14970" t="s">
        <v>31150</v>
      </c>
      <c r="F14970" t="s">
        <v>31574</v>
      </c>
      <c r="G14970" t="s">
        <v>31582</v>
      </c>
      <c r="H14970" t="s">
        <v>31591</v>
      </c>
      <c r="I14970" t="s">
        <v>8822</v>
      </c>
      <c r="J14970" t="s">
        <v>40868</v>
      </c>
      <c r="K14970" t="s">
        <v>41388</v>
      </c>
      <c r="M14970" t="s">
        <v>44454</v>
      </c>
      <c r="N14970" t="s">
        <v>45095</v>
      </c>
      <c r="O14970" t="s">
        <v>45096</v>
      </c>
      <c r="Q14970">
        <v>28</v>
      </c>
      <c r="R14970" t="s">
        <v>45171</v>
      </c>
      <c r="S14970" t="s">
        <v>46487</v>
      </c>
      <c r="T14970" t="s">
        <v>47154</v>
      </c>
      <c r="U14970" t="s">
        <v>58446</v>
      </c>
      <c r="W14970" t="s">
        <v>44454</v>
      </c>
      <c r="X14970" t="s">
        <v>45172</v>
      </c>
    </row>
    <row r="14971" spans="1:24">
      <c r="A14971">
        <f>HYPERLINK("https://www.philgeps.gov.ph/GEPSNONPILOT/Tender/SplashBidNoticeAbstractUI.aspx?menuIndex=3&amp;refID=6932001&amp;Result=3","6932001")</f>
        <v>0</v>
      </c>
      <c r="B14971" t="s">
        <v>508</v>
      </c>
      <c r="C14971" t="s">
        <v>17539</v>
      </c>
      <c r="D14971" t="s">
        <v>18023</v>
      </c>
      <c r="E14971" t="s">
        <v>31151</v>
      </c>
      <c r="F14971" t="s">
        <v>31574</v>
      </c>
      <c r="G14971" t="s">
        <v>31582</v>
      </c>
      <c r="H14971" t="s">
        <v>31590</v>
      </c>
      <c r="I14971" t="s">
        <v>31596</v>
      </c>
      <c r="J14971" t="s">
        <v>40869</v>
      </c>
      <c r="K14971" t="s">
        <v>41184</v>
      </c>
      <c r="M14971" t="s">
        <v>45036</v>
      </c>
      <c r="N14971" t="s">
        <v>45095</v>
      </c>
      <c r="O14971" t="s">
        <v>45096</v>
      </c>
      <c r="Q14971">
        <v>4</v>
      </c>
      <c r="R14971" t="s">
        <v>45171</v>
      </c>
      <c r="S14971" t="s">
        <v>46488</v>
      </c>
      <c r="T14971" t="s">
        <v>46913</v>
      </c>
      <c r="U14971" t="s">
        <v>59498</v>
      </c>
      <c r="V14971" t="s">
        <v>61564</v>
      </c>
      <c r="W14971" t="s">
        <v>45036</v>
      </c>
      <c r="X14971" t="s">
        <v>45172</v>
      </c>
    </row>
    <row r="14972" spans="1:24">
      <c r="A14972">
        <f>HYPERLINK("https://www.philgeps.gov.ph/GEPSNONPILOT/Tender/SplashBidNoticeAbstractUI.aspx?menuIndex=3&amp;refID=6932229&amp;Result=3","6932229")</f>
        <v>0</v>
      </c>
      <c r="B14972" t="s">
        <v>1128</v>
      </c>
      <c r="C14972" t="s">
        <v>17540</v>
      </c>
      <c r="D14972" t="s">
        <v>18030</v>
      </c>
      <c r="E14972" t="s">
        <v>31149</v>
      </c>
      <c r="F14972" t="s">
        <v>31574</v>
      </c>
      <c r="G14972" t="s">
        <v>31581</v>
      </c>
      <c r="H14972" t="s">
        <v>31590</v>
      </c>
      <c r="I14972" t="s">
        <v>6800</v>
      </c>
      <c r="J14972" t="s">
        <v>40870</v>
      </c>
      <c r="K14972" t="s">
        <v>41186</v>
      </c>
      <c r="M14972" t="s">
        <v>45035</v>
      </c>
      <c r="N14972" t="s">
        <v>45095</v>
      </c>
      <c r="O14972" t="s">
        <v>45096</v>
      </c>
      <c r="Q14972">
        <v>14</v>
      </c>
      <c r="R14972" t="s">
        <v>45171</v>
      </c>
      <c r="S14972" t="s">
        <v>46489</v>
      </c>
      <c r="T14972" t="s">
        <v>47083</v>
      </c>
      <c r="U14972" t="s">
        <v>59497</v>
      </c>
      <c r="V14972" t="s">
        <v>61563</v>
      </c>
      <c r="W14972" t="s">
        <v>45035</v>
      </c>
      <c r="X14972" t="s">
        <v>45172</v>
      </c>
    </row>
    <row r="14973" spans="1:24">
      <c r="A14973">
        <f>HYPERLINK("https://www.philgeps.gov.ph/GEPSNONPILOT/Tender/SplashBidNoticeAbstractUI.aspx?menuIndex=3&amp;refID=6932320&amp;Result=3","6932320")</f>
        <v>0</v>
      </c>
      <c r="B14973" t="s">
        <v>2689</v>
      </c>
      <c r="C14973" t="s">
        <v>17541</v>
      </c>
      <c r="D14973" t="s">
        <v>18027</v>
      </c>
      <c r="E14973" t="s">
        <v>31152</v>
      </c>
      <c r="F14973" t="s">
        <v>31574</v>
      </c>
      <c r="G14973" t="s">
        <v>31582</v>
      </c>
      <c r="H14973" t="s">
        <v>31591</v>
      </c>
      <c r="I14973" t="s">
        <v>8822</v>
      </c>
      <c r="J14973" t="s">
        <v>37292</v>
      </c>
      <c r="K14973" t="s">
        <v>41452</v>
      </c>
      <c r="M14973" t="s">
        <v>44454</v>
      </c>
      <c r="N14973" t="s">
        <v>45095</v>
      </c>
      <c r="O14973" t="s">
        <v>45096</v>
      </c>
      <c r="Q14973">
        <v>7</v>
      </c>
      <c r="R14973" t="s">
        <v>45171</v>
      </c>
      <c r="S14973" t="s">
        <v>46490</v>
      </c>
      <c r="T14973" t="s">
        <v>47154</v>
      </c>
      <c r="U14973" t="s">
        <v>58446</v>
      </c>
      <c r="W14973" t="s">
        <v>44454</v>
      </c>
      <c r="X14973" t="s">
        <v>45172</v>
      </c>
    </row>
    <row r="14974" spans="1:24">
      <c r="A14974">
        <f>HYPERLINK("https://www.philgeps.gov.ph/GEPSNONPILOT/Tender/SplashBidNoticeAbstractUI.aspx?menuIndex=3&amp;refID=6932288&amp;Result=3","6932288")</f>
        <v>0</v>
      </c>
      <c r="B14974" t="s">
        <v>957</v>
      </c>
      <c r="C14974" t="s">
        <v>17542</v>
      </c>
      <c r="D14974" t="s">
        <v>18075</v>
      </c>
      <c r="E14974" t="s">
        <v>31153</v>
      </c>
      <c r="F14974" t="s">
        <v>31574</v>
      </c>
      <c r="G14974" t="s">
        <v>31582</v>
      </c>
      <c r="H14974" t="s">
        <v>31590</v>
      </c>
      <c r="I14974" t="s">
        <v>31644</v>
      </c>
      <c r="J14974" t="s">
        <v>40871</v>
      </c>
      <c r="K14974" t="s">
        <v>41186</v>
      </c>
      <c r="M14974" t="s">
        <v>42595</v>
      </c>
      <c r="N14974" t="s">
        <v>45095</v>
      </c>
      <c r="O14974" t="s">
        <v>45096</v>
      </c>
      <c r="Q14974">
        <v>7</v>
      </c>
      <c r="R14974" t="s">
        <v>45171</v>
      </c>
      <c r="S14974" t="s">
        <v>46491</v>
      </c>
      <c r="T14974" t="s">
        <v>46913</v>
      </c>
      <c r="U14974" t="s">
        <v>59499</v>
      </c>
      <c r="W14974" t="s">
        <v>42595</v>
      </c>
      <c r="X14974" t="s">
        <v>45172</v>
      </c>
    </row>
    <row r="14975" spans="1:24">
      <c r="A14975">
        <f>HYPERLINK("https://www.philgeps.gov.ph/GEPSNONPILOT/Tender/SplashBidNoticeAbstractUI.aspx?menuIndex=3&amp;refID=6932298&amp;Result=3","6932298")</f>
        <v>0</v>
      </c>
      <c r="B14975" t="s">
        <v>2689</v>
      </c>
      <c r="C14975" t="s">
        <v>17543</v>
      </c>
      <c r="D14975" t="s">
        <v>18027</v>
      </c>
      <c r="E14975" t="s">
        <v>31154</v>
      </c>
      <c r="F14975" t="s">
        <v>31574</v>
      </c>
      <c r="G14975" t="s">
        <v>31582</v>
      </c>
      <c r="H14975" t="s">
        <v>31591</v>
      </c>
      <c r="I14975" t="s">
        <v>8822</v>
      </c>
      <c r="J14975" t="s">
        <v>35362</v>
      </c>
      <c r="K14975" t="s">
        <v>41452</v>
      </c>
      <c r="M14975" t="s">
        <v>44454</v>
      </c>
      <c r="N14975" t="s">
        <v>45095</v>
      </c>
      <c r="O14975" t="s">
        <v>45096</v>
      </c>
      <c r="Q14975">
        <v>27</v>
      </c>
      <c r="R14975" t="s">
        <v>45171</v>
      </c>
      <c r="S14975" t="s">
        <v>46492</v>
      </c>
      <c r="T14975" t="s">
        <v>47154</v>
      </c>
      <c r="U14975" t="s">
        <v>58446</v>
      </c>
      <c r="W14975" t="s">
        <v>44454</v>
      </c>
      <c r="X14975" t="s">
        <v>45172</v>
      </c>
    </row>
    <row r="14976" spans="1:24">
      <c r="A14976">
        <f>HYPERLINK("https://www.philgeps.gov.ph/GEPSNONPILOT/Tender/SplashBidNoticeAbstractUI.aspx?menuIndex=3&amp;refID=6932342&amp;Result=3","6932342")</f>
        <v>0</v>
      </c>
      <c r="B14976" t="s">
        <v>2689</v>
      </c>
      <c r="C14976" t="s">
        <v>17544</v>
      </c>
      <c r="D14976" t="s">
        <v>18027</v>
      </c>
      <c r="E14976" t="s">
        <v>31155</v>
      </c>
      <c r="F14976" t="s">
        <v>31574</v>
      </c>
      <c r="G14976" t="s">
        <v>31582</v>
      </c>
      <c r="H14976" t="s">
        <v>31591</v>
      </c>
      <c r="I14976" t="s">
        <v>8822</v>
      </c>
      <c r="J14976" t="s">
        <v>33252</v>
      </c>
      <c r="K14976" t="s">
        <v>41340</v>
      </c>
      <c r="M14976" t="s">
        <v>44454</v>
      </c>
      <c r="N14976" t="s">
        <v>45095</v>
      </c>
      <c r="O14976" t="s">
        <v>45096</v>
      </c>
      <c r="Q14976">
        <v>7</v>
      </c>
      <c r="R14976" t="s">
        <v>45171</v>
      </c>
      <c r="S14976" t="s">
        <v>46493</v>
      </c>
      <c r="T14976" t="s">
        <v>47154</v>
      </c>
      <c r="U14976" t="s">
        <v>59500</v>
      </c>
      <c r="W14976" t="s">
        <v>44454</v>
      </c>
      <c r="X14976" t="s">
        <v>45172</v>
      </c>
    </row>
    <row r="14977" spans="1:24">
      <c r="A14977">
        <f>HYPERLINK("https://www.philgeps.gov.ph/GEPSNONPILOT/Tender/SplashBidNoticeAbstractUI.aspx?menuIndex=3&amp;refID=6931693&amp;Result=3","6931693")</f>
        <v>0</v>
      </c>
      <c r="B14977" t="s">
        <v>1632</v>
      </c>
      <c r="C14977" t="s">
        <v>17545</v>
      </c>
      <c r="D14977" t="s">
        <v>18022</v>
      </c>
      <c r="E14977" t="s">
        <v>31156</v>
      </c>
      <c r="F14977" t="s">
        <v>31574</v>
      </c>
      <c r="G14977" t="s">
        <v>31582</v>
      </c>
      <c r="H14977" t="s">
        <v>31590</v>
      </c>
      <c r="I14977" t="s">
        <v>31594</v>
      </c>
      <c r="J14977" t="s">
        <v>40872</v>
      </c>
      <c r="K14977" t="s">
        <v>41184</v>
      </c>
      <c r="M14977" t="s">
        <v>43240</v>
      </c>
      <c r="N14977" t="s">
        <v>45095</v>
      </c>
      <c r="O14977" t="s">
        <v>45096</v>
      </c>
      <c r="Q14977">
        <v>9</v>
      </c>
      <c r="R14977" t="s">
        <v>45171</v>
      </c>
      <c r="S14977" t="s">
        <v>46494</v>
      </c>
      <c r="T14977" t="s">
        <v>47050</v>
      </c>
      <c r="U14977" t="s">
        <v>59501</v>
      </c>
      <c r="W14977" t="s">
        <v>43240</v>
      </c>
      <c r="X14977" t="s">
        <v>45172</v>
      </c>
    </row>
    <row r="14978" spans="1:24">
      <c r="A14978">
        <f>HYPERLINK("https://www.philgeps.gov.ph/GEPSNONPILOT/Tender/SplashBidNoticeAbstractUI.aspx?menuIndex=3&amp;refID=6932379&amp;Result=3","6932379")</f>
        <v>0</v>
      </c>
      <c r="B14978" t="s">
        <v>2689</v>
      </c>
      <c r="C14978" t="s">
        <v>17546</v>
      </c>
      <c r="D14978" t="s">
        <v>18027</v>
      </c>
      <c r="E14978" t="s">
        <v>31157</v>
      </c>
      <c r="F14978" t="s">
        <v>31574</v>
      </c>
      <c r="G14978" t="s">
        <v>31582</v>
      </c>
      <c r="H14978" t="s">
        <v>31591</v>
      </c>
      <c r="I14978" t="s">
        <v>8822</v>
      </c>
      <c r="J14978" t="s">
        <v>40293</v>
      </c>
      <c r="K14978" t="s">
        <v>41417</v>
      </c>
      <c r="M14978" t="s">
        <v>44454</v>
      </c>
      <c r="N14978" t="s">
        <v>45095</v>
      </c>
      <c r="O14978" t="s">
        <v>45096</v>
      </c>
      <c r="Q14978">
        <v>18</v>
      </c>
      <c r="R14978" t="s">
        <v>45171</v>
      </c>
      <c r="S14978" t="s">
        <v>46495</v>
      </c>
      <c r="T14978" t="s">
        <v>46914</v>
      </c>
      <c r="U14978" t="s">
        <v>59502</v>
      </c>
      <c r="W14978" t="s">
        <v>44454</v>
      </c>
      <c r="X14978" t="s">
        <v>45172</v>
      </c>
    </row>
    <row r="14979" spans="1:24">
      <c r="A14979">
        <f>HYPERLINK("https://www.philgeps.gov.ph/GEPSNONPILOT/Tender/SplashBidNoticeAbstractUI.aspx?menuIndex=3&amp;refID=6932470&amp;Result=3","6932470")</f>
        <v>0</v>
      </c>
      <c r="B14979" t="s">
        <v>2526</v>
      </c>
      <c r="C14979" t="s">
        <v>17547</v>
      </c>
      <c r="D14979" t="s">
        <v>18022</v>
      </c>
      <c r="E14979" t="s">
        <v>31158</v>
      </c>
      <c r="F14979" t="s">
        <v>31574</v>
      </c>
      <c r="G14979" t="s">
        <v>31582</v>
      </c>
      <c r="H14979" t="s">
        <v>31590</v>
      </c>
      <c r="I14979" t="s">
        <v>3487</v>
      </c>
      <c r="J14979" t="s">
        <v>40873</v>
      </c>
      <c r="K14979" t="s">
        <v>41184</v>
      </c>
      <c r="M14979" t="s">
        <v>44261</v>
      </c>
      <c r="N14979" t="s">
        <v>45095</v>
      </c>
      <c r="O14979" t="s">
        <v>45096</v>
      </c>
      <c r="Q14979">
        <v>6</v>
      </c>
      <c r="R14979" t="s">
        <v>45171</v>
      </c>
      <c r="S14979" t="s">
        <v>46496</v>
      </c>
      <c r="T14979" t="s">
        <v>47077</v>
      </c>
      <c r="U14979" t="s">
        <v>59503</v>
      </c>
      <c r="W14979" t="s">
        <v>44261</v>
      </c>
      <c r="X14979" t="s">
        <v>45172</v>
      </c>
    </row>
    <row r="14980" spans="1:24">
      <c r="A14980">
        <f>HYPERLINK("https://www.philgeps.gov.ph/GEPSNONPILOT/Tender/SplashBidNoticeAbstractUI.aspx?menuIndex=3&amp;refID=6932578&amp;Result=3","6932578")</f>
        <v>0</v>
      </c>
      <c r="B14980" t="s">
        <v>3161</v>
      </c>
      <c r="C14980" t="s">
        <v>17548</v>
      </c>
      <c r="D14980" t="s">
        <v>18022</v>
      </c>
      <c r="E14980" t="s">
        <v>31159</v>
      </c>
      <c r="F14980" t="s">
        <v>31575</v>
      </c>
      <c r="G14980" t="s">
        <v>31583</v>
      </c>
      <c r="H14980" t="s">
        <v>31590</v>
      </c>
      <c r="I14980" t="s">
        <v>4046</v>
      </c>
      <c r="J14980" t="s">
        <v>31789</v>
      </c>
      <c r="K14980" t="s">
        <v>41196</v>
      </c>
      <c r="M14980" t="s">
        <v>45029</v>
      </c>
      <c r="N14980" t="s">
        <v>45095</v>
      </c>
      <c r="O14980" t="s">
        <v>45096</v>
      </c>
      <c r="Q14980">
        <v>1</v>
      </c>
      <c r="R14980" t="s">
        <v>45171</v>
      </c>
      <c r="S14980" t="s">
        <v>46497</v>
      </c>
      <c r="T14980" t="s">
        <v>46926</v>
      </c>
      <c r="U14980" t="s">
        <v>59504</v>
      </c>
      <c r="W14980" t="s">
        <v>61779</v>
      </c>
      <c r="X14980" t="s">
        <v>45172</v>
      </c>
    </row>
    <row r="14981" spans="1:24">
      <c r="A14981">
        <f>HYPERLINK("https://www.philgeps.gov.ph/GEPSNONPILOT/Tender/SplashBidNoticeAbstractUI.aspx?menuIndex=3&amp;refID=6931674&amp;Result=3","6931674")</f>
        <v>0</v>
      </c>
      <c r="B14981" t="s">
        <v>3163</v>
      </c>
      <c r="C14981" t="s">
        <v>17549</v>
      </c>
      <c r="D14981" t="s">
        <v>18022</v>
      </c>
      <c r="E14981" t="s">
        <v>31160</v>
      </c>
      <c r="F14981" t="s">
        <v>31574</v>
      </c>
      <c r="G14981" t="s">
        <v>31581</v>
      </c>
      <c r="H14981" t="s">
        <v>31590</v>
      </c>
      <c r="I14981" t="s">
        <v>3489</v>
      </c>
      <c r="J14981" t="s">
        <v>40874</v>
      </c>
      <c r="K14981" t="s">
        <v>41190</v>
      </c>
      <c r="M14981" t="s">
        <v>45031</v>
      </c>
      <c r="N14981" t="s">
        <v>45095</v>
      </c>
      <c r="O14981" t="s">
        <v>45096</v>
      </c>
      <c r="Q14981">
        <v>2</v>
      </c>
      <c r="R14981" t="s">
        <v>45171</v>
      </c>
      <c r="S14981" t="s">
        <v>46498</v>
      </c>
      <c r="T14981" t="s">
        <v>47106</v>
      </c>
      <c r="U14981" t="s">
        <v>59505</v>
      </c>
      <c r="V14981" t="s">
        <v>61542</v>
      </c>
      <c r="W14981" t="s">
        <v>45031</v>
      </c>
      <c r="X14981" t="s">
        <v>45172</v>
      </c>
    </row>
    <row r="14982" spans="1:24">
      <c r="A14982">
        <f>HYPERLINK("https://www.philgeps.gov.ph/GEPSNONPILOT/Tender/SplashBidNoticeAbstractUI.aspx?menuIndex=3&amp;refID=6932434&amp;Result=3","6932434")</f>
        <v>0</v>
      </c>
      <c r="B14982" t="s">
        <v>2689</v>
      </c>
      <c r="C14982" t="s">
        <v>17550</v>
      </c>
      <c r="D14982" t="s">
        <v>18027</v>
      </c>
      <c r="E14982" t="s">
        <v>31161</v>
      </c>
      <c r="F14982" t="s">
        <v>31574</v>
      </c>
      <c r="G14982" t="s">
        <v>31582</v>
      </c>
      <c r="H14982" t="s">
        <v>31591</v>
      </c>
      <c r="I14982" t="s">
        <v>8822</v>
      </c>
      <c r="J14982" t="s">
        <v>33445</v>
      </c>
      <c r="K14982" t="s">
        <v>41436</v>
      </c>
      <c r="M14982" t="s">
        <v>44454</v>
      </c>
      <c r="N14982" t="s">
        <v>45095</v>
      </c>
      <c r="O14982" t="s">
        <v>45096</v>
      </c>
      <c r="Q14982">
        <v>17</v>
      </c>
      <c r="R14982" t="s">
        <v>45171</v>
      </c>
      <c r="S14982" t="s">
        <v>46499</v>
      </c>
      <c r="T14982" t="s">
        <v>46914</v>
      </c>
      <c r="U14982" t="s">
        <v>59506</v>
      </c>
      <c r="W14982" t="s">
        <v>44454</v>
      </c>
      <c r="X14982" t="s">
        <v>45172</v>
      </c>
    </row>
    <row r="14983" spans="1:24">
      <c r="A14983">
        <f>HYPERLINK("https://www.philgeps.gov.ph/GEPSNONPILOT/Tender/SplashBidNoticeAbstractUI.aspx?menuIndex=3&amp;refID=6932310&amp;Result=3","6932310")</f>
        <v>0</v>
      </c>
      <c r="B14983" t="s">
        <v>957</v>
      </c>
      <c r="C14983" t="s">
        <v>17551</v>
      </c>
      <c r="D14983" t="s">
        <v>18075</v>
      </c>
      <c r="E14983" t="s">
        <v>31162</v>
      </c>
      <c r="F14983" t="s">
        <v>31574</v>
      </c>
      <c r="G14983" t="s">
        <v>31582</v>
      </c>
      <c r="H14983" t="s">
        <v>31590</v>
      </c>
      <c r="I14983" t="s">
        <v>31661</v>
      </c>
      <c r="J14983" t="s">
        <v>35368</v>
      </c>
      <c r="K14983" t="s">
        <v>41186</v>
      </c>
      <c r="M14983" t="s">
        <v>42595</v>
      </c>
      <c r="N14983" t="s">
        <v>45095</v>
      </c>
      <c r="O14983" t="s">
        <v>45096</v>
      </c>
      <c r="Q14983">
        <v>4</v>
      </c>
      <c r="R14983" t="s">
        <v>45171</v>
      </c>
      <c r="S14983" t="s">
        <v>46500</v>
      </c>
      <c r="T14983" t="s">
        <v>46913</v>
      </c>
      <c r="U14983" t="s">
        <v>59507</v>
      </c>
      <c r="W14983" t="s">
        <v>42595</v>
      </c>
      <c r="X14983" t="s">
        <v>45172</v>
      </c>
    </row>
    <row r="14984" spans="1:24">
      <c r="A14984">
        <f>HYPERLINK("https://www.philgeps.gov.ph/GEPSNONPILOT/Tender/SplashBidNoticeAbstractUI.aspx?menuIndex=3&amp;refID=6932574&amp;Result=3","6932574")</f>
        <v>0</v>
      </c>
      <c r="B14984" t="s">
        <v>3161</v>
      </c>
      <c r="C14984" t="s">
        <v>17552</v>
      </c>
      <c r="D14984" t="s">
        <v>18022</v>
      </c>
      <c r="E14984" t="s">
        <v>24873</v>
      </c>
      <c r="F14984" t="s">
        <v>31575</v>
      </c>
      <c r="G14984" t="s">
        <v>31583</v>
      </c>
      <c r="H14984" t="s">
        <v>31590</v>
      </c>
      <c r="I14984" t="s">
        <v>6800</v>
      </c>
      <c r="J14984" t="s">
        <v>40875</v>
      </c>
      <c r="K14984" t="s">
        <v>41196</v>
      </c>
      <c r="M14984" t="s">
        <v>45029</v>
      </c>
      <c r="N14984" t="s">
        <v>45095</v>
      </c>
      <c r="O14984" t="s">
        <v>45096</v>
      </c>
      <c r="Q14984">
        <v>1</v>
      </c>
      <c r="R14984" t="s">
        <v>45171</v>
      </c>
      <c r="S14984" t="s">
        <v>46501</v>
      </c>
      <c r="T14984" t="s">
        <v>46926</v>
      </c>
      <c r="U14984" t="s">
        <v>59508</v>
      </c>
      <c r="W14984" t="s">
        <v>61779</v>
      </c>
      <c r="X14984" t="s">
        <v>45172</v>
      </c>
    </row>
    <row r="14985" spans="1:24">
      <c r="A14985">
        <f>HYPERLINK("https://www.philgeps.gov.ph/GEPSNONPILOT/Tender/SplashBidNoticeAbstractUI.aspx?menuIndex=3&amp;refID=6932366&amp;Result=3","6932366")</f>
        <v>0</v>
      </c>
      <c r="B14985" t="s">
        <v>2314</v>
      </c>
      <c r="C14985" t="s">
        <v>17553</v>
      </c>
      <c r="D14985" t="s">
        <v>18044</v>
      </c>
      <c r="E14985" t="s">
        <v>31163</v>
      </c>
      <c r="F14985" t="s">
        <v>31574</v>
      </c>
      <c r="G14985" t="s">
        <v>31582</v>
      </c>
      <c r="H14985" t="s">
        <v>31591</v>
      </c>
      <c r="I14985" t="s">
        <v>8822</v>
      </c>
      <c r="J14985" t="s">
        <v>34070</v>
      </c>
      <c r="K14985" t="s">
        <v>41198</v>
      </c>
      <c r="M14985" t="s">
        <v>44024</v>
      </c>
      <c r="N14985" t="s">
        <v>45095</v>
      </c>
      <c r="O14985" t="s">
        <v>45096</v>
      </c>
      <c r="Q14985">
        <v>15</v>
      </c>
      <c r="R14985" t="s">
        <v>45171</v>
      </c>
      <c r="S14985" t="s">
        <v>46502</v>
      </c>
      <c r="T14985" t="s">
        <v>47154</v>
      </c>
      <c r="U14985" t="s">
        <v>56834</v>
      </c>
      <c r="W14985" t="s">
        <v>44024</v>
      </c>
      <c r="X14985" t="s">
        <v>45172</v>
      </c>
    </row>
    <row r="14986" spans="1:24">
      <c r="A14986">
        <f>HYPERLINK("https://www.philgeps.gov.ph/GEPSNONPILOT/Tender/SplashBidNoticeAbstractUI.aspx?menuIndex=3&amp;refID=6932428&amp;Result=3","6932428")</f>
        <v>0</v>
      </c>
      <c r="B14986" t="s">
        <v>2689</v>
      </c>
      <c r="C14986" t="s">
        <v>17554</v>
      </c>
      <c r="D14986" t="s">
        <v>18027</v>
      </c>
      <c r="E14986" t="s">
        <v>31164</v>
      </c>
      <c r="F14986" t="s">
        <v>31574</v>
      </c>
      <c r="G14986" t="s">
        <v>31582</v>
      </c>
      <c r="H14986" t="s">
        <v>31591</v>
      </c>
      <c r="I14986" t="s">
        <v>8822</v>
      </c>
      <c r="J14986" t="s">
        <v>38465</v>
      </c>
      <c r="K14986" t="s">
        <v>41340</v>
      </c>
      <c r="M14986" t="s">
        <v>44454</v>
      </c>
      <c r="N14986" t="s">
        <v>45095</v>
      </c>
      <c r="O14986" t="s">
        <v>45096</v>
      </c>
      <c r="Q14986">
        <v>14</v>
      </c>
      <c r="R14986" t="s">
        <v>45171</v>
      </c>
      <c r="S14986" t="s">
        <v>46503</v>
      </c>
      <c r="T14986" t="s">
        <v>47154</v>
      </c>
      <c r="U14986" t="s">
        <v>58479</v>
      </c>
      <c r="W14986" t="s">
        <v>44454</v>
      </c>
      <c r="X14986" t="s">
        <v>45172</v>
      </c>
    </row>
    <row r="14987" spans="1:24">
      <c r="A14987">
        <f>HYPERLINK("https://www.philgeps.gov.ph/GEPSNONPILOT/Tender/SplashBidNoticeAbstractUI.aspx?menuIndex=3&amp;refID=6932323&amp;Result=3","6932323")</f>
        <v>0</v>
      </c>
      <c r="B14987" t="s">
        <v>957</v>
      </c>
      <c r="C14987" t="s">
        <v>17555</v>
      </c>
      <c r="D14987" t="s">
        <v>18075</v>
      </c>
      <c r="E14987" t="s">
        <v>31165</v>
      </c>
      <c r="F14987" t="s">
        <v>31574</v>
      </c>
      <c r="G14987" t="s">
        <v>31582</v>
      </c>
      <c r="H14987" t="s">
        <v>31590</v>
      </c>
      <c r="I14987" t="s">
        <v>31608</v>
      </c>
      <c r="J14987" t="s">
        <v>40876</v>
      </c>
      <c r="K14987" t="s">
        <v>41186</v>
      </c>
      <c r="M14987" t="s">
        <v>42595</v>
      </c>
      <c r="N14987" t="s">
        <v>45095</v>
      </c>
      <c r="O14987" t="s">
        <v>45096</v>
      </c>
      <c r="Q14987">
        <v>5</v>
      </c>
      <c r="R14987" t="s">
        <v>45171</v>
      </c>
      <c r="S14987" t="s">
        <v>46504</v>
      </c>
      <c r="T14987" t="s">
        <v>46913</v>
      </c>
      <c r="U14987" t="s">
        <v>59507</v>
      </c>
      <c r="W14987" t="s">
        <v>42595</v>
      </c>
      <c r="X14987" t="s">
        <v>45172</v>
      </c>
    </row>
    <row r="14988" spans="1:24">
      <c r="A14988">
        <f>HYPERLINK("https://www.philgeps.gov.ph/GEPSNONPILOT/Tender/SplashBidNoticeAbstractUI.aspx?menuIndex=3&amp;refID=6932408&amp;Result=3","6932408")</f>
        <v>0</v>
      </c>
      <c r="B14988" t="s">
        <v>2689</v>
      </c>
      <c r="C14988" t="s">
        <v>17556</v>
      </c>
      <c r="D14988" t="s">
        <v>18027</v>
      </c>
      <c r="E14988" t="s">
        <v>31166</v>
      </c>
      <c r="F14988" t="s">
        <v>31574</v>
      </c>
      <c r="G14988" t="s">
        <v>31582</v>
      </c>
      <c r="H14988" t="s">
        <v>31591</v>
      </c>
      <c r="I14988" t="s">
        <v>8822</v>
      </c>
      <c r="J14988" t="s">
        <v>33252</v>
      </c>
      <c r="K14988" t="s">
        <v>41294</v>
      </c>
      <c r="M14988" t="s">
        <v>44454</v>
      </c>
      <c r="N14988" t="s">
        <v>45095</v>
      </c>
      <c r="O14988" t="s">
        <v>45096</v>
      </c>
      <c r="Q14988">
        <v>4</v>
      </c>
      <c r="R14988" t="s">
        <v>45171</v>
      </c>
      <c r="S14988" t="s">
        <v>46505</v>
      </c>
      <c r="T14988" t="s">
        <v>47154</v>
      </c>
      <c r="U14988" t="s">
        <v>59500</v>
      </c>
      <c r="W14988" t="s">
        <v>44454</v>
      </c>
      <c r="X14988" t="s">
        <v>45172</v>
      </c>
    </row>
    <row r="14989" spans="1:24">
      <c r="A14989">
        <f>HYPERLINK("https://www.philgeps.gov.ph/GEPSNONPILOT/Tender/SplashBidNoticeAbstractUI.aspx?menuIndex=3&amp;refID=6932390&amp;Result=3","6932390")</f>
        <v>0</v>
      </c>
      <c r="B14989" t="s">
        <v>2689</v>
      </c>
      <c r="C14989" t="s">
        <v>17557</v>
      </c>
      <c r="D14989" t="s">
        <v>18027</v>
      </c>
      <c r="E14989" t="s">
        <v>31167</v>
      </c>
      <c r="F14989" t="s">
        <v>31574</v>
      </c>
      <c r="G14989" t="s">
        <v>31582</v>
      </c>
      <c r="H14989" t="s">
        <v>31591</v>
      </c>
      <c r="I14989" t="s">
        <v>8822</v>
      </c>
      <c r="J14989" t="s">
        <v>37292</v>
      </c>
      <c r="K14989" t="s">
        <v>41340</v>
      </c>
      <c r="M14989" t="s">
        <v>44454</v>
      </c>
      <c r="N14989" t="s">
        <v>45095</v>
      </c>
      <c r="O14989" t="s">
        <v>45096</v>
      </c>
      <c r="Q14989">
        <v>8</v>
      </c>
      <c r="R14989" t="s">
        <v>45171</v>
      </c>
      <c r="S14989" t="s">
        <v>46506</v>
      </c>
      <c r="T14989" t="s">
        <v>47154</v>
      </c>
      <c r="U14989" t="s">
        <v>58446</v>
      </c>
      <c r="W14989" t="s">
        <v>44454</v>
      </c>
      <c r="X14989" t="s">
        <v>45172</v>
      </c>
    </row>
    <row r="14990" spans="1:24">
      <c r="A14990">
        <f>HYPERLINK("https://www.philgeps.gov.ph/GEPSNONPILOT/Tender/SplashBidNoticeAbstractUI.aspx?menuIndex=3&amp;refID=6932416&amp;Result=3","6932416")</f>
        <v>0</v>
      </c>
      <c r="B14990" t="s">
        <v>2314</v>
      </c>
      <c r="C14990" t="s">
        <v>17558</v>
      </c>
      <c r="D14990" t="s">
        <v>18044</v>
      </c>
      <c r="E14990" t="s">
        <v>31168</v>
      </c>
      <c r="F14990" t="s">
        <v>31574</v>
      </c>
      <c r="G14990" t="s">
        <v>31582</v>
      </c>
      <c r="H14990" t="s">
        <v>31591</v>
      </c>
      <c r="I14990" t="s">
        <v>8822</v>
      </c>
      <c r="J14990" t="s">
        <v>34360</v>
      </c>
      <c r="K14990" t="s">
        <v>41372</v>
      </c>
      <c r="M14990" t="s">
        <v>44024</v>
      </c>
      <c r="N14990" t="s">
        <v>45095</v>
      </c>
      <c r="O14990" t="s">
        <v>45096</v>
      </c>
      <c r="Q14990">
        <v>12</v>
      </c>
      <c r="R14990" t="s">
        <v>45171</v>
      </c>
      <c r="S14990" t="s">
        <v>46507</v>
      </c>
      <c r="T14990" t="s">
        <v>47154</v>
      </c>
      <c r="U14990" t="s">
        <v>56834</v>
      </c>
      <c r="W14990" t="s">
        <v>44024</v>
      </c>
      <c r="X14990" t="s">
        <v>45172</v>
      </c>
    </row>
    <row r="14991" spans="1:24">
      <c r="A14991">
        <f>HYPERLINK("https://www.philgeps.gov.ph/GEPSNONPILOT/Tender/SplashBidNoticeAbstractUI.aspx?menuIndex=3&amp;refID=6932604&amp;Result=3","6932604")</f>
        <v>0</v>
      </c>
      <c r="B14991" t="s">
        <v>1128</v>
      </c>
      <c r="C14991" t="s">
        <v>17559</v>
      </c>
      <c r="D14991" t="s">
        <v>18030</v>
      </c>
      <c r="E14991" t="s">
        <v>31169</v>
      </c>
      <c r="F14991" t="s">
        <v>31574</v>
      </c>
      <c r="G14991" t="s">
        <v>31582</v>
      </c>
      <c r="H14991" t="s">
        <v>31590</v>
      </c>
      <c r="I14991" t="s">
        <v>14544</v>
      </c>
      <c r="J14991" t="s">
        <v>40877</v>
      </c>
      <c r="K14991" t="s">
        <v>41186</v>
      </c>
      <c r="M14991" t="s">
        <v>45037</v>
      </c>
      <c r="N14991" t="s">
        <v>45095</v>
      </c>
      <c r="O14991" t="s">
        <v>45096</v>
      </c>
      <c r="Q14991">
        <v>1</v>
      </c>
      <c r="R14991" t="s">
        <v>45171</v>
      </c>
      <c r="S14991" t="s">
        <v>46508</v>
      </c>
      <c r="T14991" t="s">
        <v>46977</v>
      </c>
      <c r="U14991" t="s">
        <v>59509</v>
      </c>
      <c r="V14991" t="s">
        <v>61565</v>
      </c>
      <c r="W14991" t="s">
        <v>45037</v>
      </c>
      <c r="X14991" t="s">
        <v>45172</v>
      </c>
    </row>
    <row r="14992" spans="1:24">
      <c r="A14992">
        <f>HYPERLINK("https://www.philgeps.gov.ph/GEPSNONPILOT/Tender/SplashBidNoticeAbstractUI.aspx?menuIndex=3&amp;refID=6932590&amp;Result=3","6932590")</f>
        <v>0</v>
      </c>
      <c r="B14992" t="s">
        <v>3161</v>
      </c>
      <c r="C14992" t="s">
        <v>17560</v>
      </c>
      <c r="D14992" t="s">
        <v>18022</v>
      </c>
      <c r="E14992" t="s">
        <v>31170</v>
      </c>
      <c r="F14992" t="s">
        <v>31575</v>
      </c>
      <c r="G14992" t="s">
        <v>31583</v>
      </c>
      <c r="H14992" t="s">
        <v>31590</v>
      </c>
      <c r="I14992" t="s">
        <v>4046</v>
      </c>
      <c r="J14992" t="s">
        <v>37684</v>
      </c>
      <c r="K14992" t="s">
        <v>41196</v>
      </c>
      <c r="M14992" t="s">
        <v>45029</v>
      </c>
      <c r="N14992" t="s">
        <v>45095</v>
      </c>
      <c r="O14992" t="s">
        <v>45096</v>
      </c>
      <c r="Q14992">
        <v>2</v>
      </c>
      <c r="R14992" t="s">
        <v>45171</v>
      </c>
      <c r="S14992" t="s">
        <v>46509</v>
      </c>
      <c r="T14992" t="s">
        <v>46926</v>
      </c>
      <c r="U14992" t="s">
        <v>59510</v>
      </c>
      <c r="W14992" t="s">
        <v>61779</v>
      </c>
      <c r="X14992" t="s">
        <v>45172</v>
      </c>
    </row>
    <row r="14993" spans="1:24">
      <c r="A14993">
        <f>HYPERLINK("https://www.philgeps.gov.ph/GEPSNONPILOT/Tender/SplashBidNoticeAbstractUI.aspx?menuIndex=3&amp;refID=6932585&amp;Result=3","6932585")</f>
        <v>0</v>
      </c>
      <c r="B14993" t="s">
        <v>3161</v>
      </c>
      <c r="C14993" t="s">
        <v>17561</v>
      </c>
      <c r="D14993" t="s">
        <v>18022</v>
      </c>
      <c r="E14993" t="s">
        <v>31171</v>
      </c>
      <c r="F14993" t="s">
        <v>31575</v>
      </c>
      <c r="G14993" t="s">
        <v>31583</v>
      </c>
      <c r="H14993" t="s">
        <v>31590</v>
      </c>
      <c r="I14993" t="s">
        <v>4046</v>
      </c>
      <c r="J14993" t="s">
        <v>40878</v>
      </c>
      <c r="K14993" t="s">
        <v>41196</v>
      </c>
      <c r="M14993" t="s">
        <v>45029</v>
      </c>
      <c r="N14993" t="s">
        <v>45095</v>
      </c>
      <c r="O14993" t="s">
        <v>45096</v>
      </c>
      <c r="Q14993">
        <v>1</v>
      </c>
      <c r="R14993" t="s">
        <v>45171</v>
      </c>
      <c r="S14993" t="s">
        <v>46510</v>
      </c>
      <c r="T14993" t="s">
        <v>46926</v>
      </c>
      <c r="U14993" t="s">
        <v>59511</v>
      </c>
      <c r="W14993" t="s">
        <v>61779</v>
      </c>
      <c r="X14993" t="s">
        <v>45172</v>
      </c>
    </row>
    <row r="14994" spans="1:24">
      <c r="A14994">
        <f>HYPERLINK("https://www.philgeps.gov.ph/GEPSNONPILOT/Tender/SplashBidNoticeAbstractUI.aspx?menuIndex=3&amp;refID=6932589&amp;Result=3","6932589")</f>
        <v>0</v>
      </c>
      <c r="B14994" t="s">
        <v>1128</v>
      </c>
      <c r="C14994" t="s">
        <v>17562</v>
      </c>
      <c r="D14994" t="s">
        <v>18030</v>
      </c>
      <c r="E14994" t="s">
        <v>31169</v>
      </c>
      <c r="F14994" t="s">
        <v>31574</v>
      </c>
      <c r="G14994" t="s">
        <v>31582</v>
      </c>
      <c r="H14994" t="s">
        <v>31590</v>
      </c>
      <c r="I14994" t="s">
        <v>3489</v>
      </c>
      <c r="J14994" t="s">
        <v>40879</v>
      </c>
      <c r="K14994" t="s">
        <v>41186</v>
      </c>
      <c r="M14994" t="s">
        <v>45037</v>
      </c>
      <c r="N14994" t="s">
        <v>45095</v>
      </c>
      <c r="O14994" t="s">
        <v>45096</v>
      </c>
      <c r="Q14994">
        <v>3</v>
      </c>
      <c r="R14994" t="s">
        <v>45171</v>
      </c>
      <c r="S14994" t="s">
        <v>45955</v>
      </c>
      <c r="T14994" t="s">
        <v>46977</v>
      </c>
      <c r="U14994" t="s">
        <v>59509</v>
      </c>
      <c r="V14994" t="s">
        <v>61566</v>
      </c>
      <c r="W14994" t="s">
        <v>45037</v>
      </c>
      <c r="X14994" t="s">
        <v>45172</v>
      </c>
    </row>
    <row r="14995" spans="1:24">
      <c r="A14995">
        <f>HYPERLINK("https://www.philgeps.gov.ph/GEPSNONPILOT/Tender/SplashBidNoticeAbstractUI.aspx?menuIndex=3&amp;refID=6932586&amp;Result=3","6932586")</f>
        <v>0</v>
      </c>
      <c r="B14995" t="s">
        <v>3161</v>
      </c>
      <c r="C14995" t="s">
        <v>17563</v>
      </c>
      <c r="D14995" t="s">
        <v>18103</v>
      </c>
      <c r="E14995" t="s">
        <v>31172</v>
      </c>
      <c r="F14995" t="s">
        <v>31575</v>
      </c>
      <c r="G14995" t="s">
        <v>31583</v>
      </c>
      <c r="H14995" t="s">
        <v>31590</v>
      </c>
      <c r="I14995" t="s">
        <v>4046</v>
      </c>
      <c r="J14995" t="s">
        <v>40880</v>
      </c>
      <c r="K14995" t="s">
        <v>41196</v>
      </c>
      <c r="M14995" t="s">
        <v>45029</v>
      </c>
      <c r="N14995" t="s">
        <v>45095</v>
      </c>
      <c r="O14995" t="s">
        <v>45096</v>
      </c>
      <c r="Q14995">
        <v>0</v>
      </c>
      <c r="R14995" t="s">
        <v>45171</v>
      </c>
      <c r="S14995" t="s">
        <v>46511</v>
      </c>
      <c r="T14995" t="s">
        <v>46926</v>
      </c>
      <c r="U14995" t="s">
        <v>59512</v>
      </c>
      <c r="W14995" t="s">
        <v>61779</v>
      </c>
      <c r="X14995" t="s">
        <v>45172</v>
      </c>
    </row>
    <row r="14996" spans="1:24">
      <c r="A14996">
        <f>HYPERLINK("https://www.philgeps.gov.ph/GEPSNONPILOT/Tender/SplashBidNoticeAbstractUI.aspx?menuIndex=3&amp;refID=6932595&amp;Result=3","6932595")</f>
        <v>0</v>
      </c>
      <c r="B14996" t="s">
        <v>1128</v>
      </c>
      <c r="C14996" t="s">
        <v>17564</v>
      </c>
      <c r="D14996" t="s">
        <v>18030</v>
      </c>
      <c r="E14996" t="s">
        <v>31169</v>
      </c>
      <c r="F14996" t="s">
        <v>31574</v>
      </c>
      <c r="G14996" t="s">
        <v>31582</v>
      </c>
      <c r="H14996" t="s">
        <v>31590</v>
      </c>
      <c r="I14996" t="s">
        <v>14544</v>
      </c>
      <c r="J14996" t="s">
        <v>40881</v>
      </c>
      <c r="K14996" t="s">
        <v>41186</v>
      </c>
      <c r="M14996" t="s">
        <v>45037</v>
      </c>
      <c r="N14996" t="s">
        <v>45095</v>
      </c>
      <c r="O14996" t="s">
        <v>45096</v>
      </c>
      <c r="Q14996">
        <v>4</v>
      </c>
      <c r="R14996" t="s">
        <v>45171</v>
      </c>
      <c r="S14996" t="s">
        <v>46512</v>
      </c>
      <c r="T14996" t="s">
        <v>46977</v>
      </c>
      <c r="U14996" t="s">
        <v>59509</v>
      </c>
      <c r="V14996" t="s">
        <v>61567</v>
      </c>
      <c r="W14996" t="s">
        <v>45037</v>
      </c>
      <c r="X14996" t="s">
        <v>45172</v>
      </c>
    </row>
    <row r="14997" spans="1:24">
      <c r="A14997">
        <f>HYPERLINK("https://www.philgeps.gov.ph/GEPSNONPILOT/Tender/SplashBidNoticeAbstractUI.aspx?menuIndex=3&amp;refID=6932612&amp;Result=3","6932612")</f>
        <v>0</v>
      </c>
      <c r="B14997" t="s">
        <v>2526</v>
      </c>
      <c r="C14997" t="s">
        <v>17565</v>
      </c>
      <c r="D14997" t="s">
        <v>18022</v>
      </c>
      <c r="E14997" t="s">
        <v>31173</v>
      </c>
      <c r="F14997" t="s">
        <v>31574</v>
      </c>
      <c r="G14997" t="s">
        <v>31582</v>
      </c>
      <c r="H14997" t="s">
        <v>31590</v>
      </c>
      <c r="I14997" t="s">
        <v>31608</v>
      </c>
      <c r="J14997" t="s">
        <v>32550</v>
      </c>
      <c r="K14997" t="s">
        <v>41184</v>
      </c>
      <c r="M14997" t="s">
        <v>44261</v>
      </c>
      <c r="N14997" t="s">
        <v>45095</v>
      </c>
      <c r="O14997" t="s">
        <v>45096</v>
      </c>
      <c r="Q14997">
        <v>27</v>
      </c>
      <c r="R14997" t="s">
        <v>45171</v>
      </c>
      <c r="S14997" t="s">
        <v>46513</v>
      </c>
      <c r="T14997" t="s">
        <v>47003</v>
      </c>
      <c r="U14997" t="s">
        <v>59513</v>
      </c>
      <c r="W14997" t="s">
        <v>44261</v>
      </c>
      <c r="X14997" t="s">
        <v>45172</v>
      </c>
    </row>
    <row r="14998" spans="1:24">
      <c r="A14998">
        <f>HYPERLINK("https://www.philgeps.gov.ph/GEPSNONPILOT/Tender/SplashBidNoticeAbstractUI.aspx?menuIndex=3&amp;refID=6932582&amp;Result=3","6932582")</f>
        <v>0</v>
      </c>
      <c r="B14998" t="s">
        <v>3161</v>
      </c>
      <c r="C14998" t="s">
        <v>17566</v>
      </c>
      <c r="D14998" t="s">
        <v>18022</v>
      </c>
      <c r="E14998" t="s">
        <v>31174</v>
      </c>
      <c r="F14998" t="s">
        <v>31575</v>
      </c>
      <c r="G14998" t="s">
        <v>31583</v>
      </c>
      <c r="H14998" t="s">
        <v>31590</v>
      </c>
      <c r="I14998" t="s">
        <v>4046</v>
      </c>
      <c r="J14998" t="s">
        <v>35337</v>
      </c>
      <c r="K14998" t="s">
        <v>41196</v>
      </c>
      <c r="M14998" t="s">
        <v>45029</v>
      </c>
      <c r="N14998" t="s">
        <v>45095</v>
      </c>
      <c r="O14998" t="s">
        <v>45096</v>
      </c>
      <c r="Q14998">
        <v>2</v>
      </c>
      <c r="R14998" t="s">
        <v>45171</v>
      </c>
      <c r="S14998" t="s">
        <v>46514</v>
      </c>
      <c r="T14998" t="s">
        <v>46926</v>
      </c>
      <c r="U14998" t="s">
        <v>59514</v>
      </c>
      <c r="W14998" t="s">
        <v>61779</v>
      </c>
      <c r="X14998" t="s">
        <v>45172</v>
      </c>
    </row>
    <row r="14999" spans="1:24">
      <c r="A14999">
        <f>HYPERLINK("https://www.philgeps.gov.ph/GEPSNONPILOT/Tender/SplashBidNoticeAbstractUI.aspx?menuIndex=3&amp;refID=6926132&amp;Result=3","6926132")</f>
        <v>0</v>
      </c>
      <c r="B14999" t="s">
        <v>3166</v>
      </c>
      <c r="C14999" t="s">
        <v>17567</v>
      </c>
      <c r="D14999" t="s">
        <v>18040</v>
      </c>
      <c r="E14999" t="s">
        <v>31175</v>
      </c>
      <c r="F14999" t="s">
        <v>31574</v>
      </c>
      <c r="G14999" t="s">
        <v>31582</v>
      </c>
      <c r="H14999" t="s">
        <v>31591</v>
      </c>
      <c r="I14999" t="s">
        <v>8822</v>
      </c>
      <c r="J14999" t="s">
        <v>31935</v>
      </c>
      <c r="K14999" t="s">
        <v>41192</v>
      </c>
      <c r="M14999" t="s">
        <v>45038</v>
      </c>
      <c r="N14999" t="s">
        <v>45095</v>
      </c>
      <c r="O14999" t="s">
        <v>45096</v>
      </c>
      <c r="Q14999">
        <v>2</v>
      </c>
      <c r="R14999" t="s">
        <v>45172</v>
      </c>
      <c r="S14999" t="s">
        <v>46515</v>
      </c>
      <c r="T14999" t="s">
        <v>47301</v>
      </c>
      <c r="U14999" t="s">
        <v>59515</v>
      </c>
      <c r="W14999" t="s">
        <v>45038</v>
      </c>
      <c r="X14999" t="s">
        <v>45173</v>
      </c>
    </row>
    <row r="15000" spans="1:24">
      <c r="A15000">
        <f>HYPERLINK("https://www.philgeps.gov.ph/GEPSNONPILOT/Tender/SplashBidNoticeAbstractUI.aspx?menuIndex=3&amp;refID=6932609&amp;Result=3","6932609")</f>
        <v>0</v>
      </c>
      <c r="B15000" t="s">
        <v>1128</v>
      </c>
      <c r="C15000" t="s">
        <v>17568</v>
      </c>
      <c r="D15000" t="s">
        <v>18030</v>
      </c>
      <c r="E15000" t="s">
        <v>31176</v>
      </c>
      <c r="F15000" t="s">
        <v>31574</v>
      </c>
      <c r="G15000" t="s">
        <v>31582</v>
      </c>
      <c r="H15000" t="s">
        <v>31590</v>
      </c>
      <c r="I15000" t="s">
        <v>14544</v>
      </c>
      <c r="J15000" t="s">
        <v>40882</v>
      </c>
      <c r="K15000" t="s">
        <v>41186</v>
      </c>
      <c r="M15000" t="s">
        <v>45037</v>
      </c>
      <c r="N15000" t="s">
        <v>45095</v>
      </c>
      <c r="O15000" t="s">
        <v>45096</v>
      </c>
      <c r="Q15000">
        <v>2</v>
      </c>
      <c r="R15000" t="s">
        <v>45171</v>
      </c>
      <c r="S15000" t="s">
        <v>45981</v>
      </c>
      <c r="T15000" t="s">
        <v>46977</v>
      </c>
      <c r="U15000" t="s">
        <v>59509</v>
      </c>
      <c r="V15000" t="s">
        <v>61565</v>
      </c>
      <c r="W15000" t="s">
        <v>45037</v>
      </c>
      <c r="X15000" t="s">
        <v>45172</v>
      </c>
    </row>
    <row r="15001" spans="1:24">
      <c r="A15001">
        <f>HYPERLINK("https://www.philgeps.gov.ph/GEPSNONPILOT/Tender/SplashBidNoticeAbstractUI.aspx?menuIndex=3&amp;refID=6925881&amp;Result=3","6925881")</f>
        <v>0</v>
      </c>
      <c r="B15001" t="s">
        <v>325</v>
      </c>
      <c r="C15001" t="s">
        <v>17569</v>
      </c>
      <c r="D15001" t="s">
        <v>18022</v>
      </c>
      <c r="E15001" t="s">
        <v>31177</v>
      </c>
      <c r="F15001" t="s">
        <v>31574</v>
      </c>
      <c r="G15001" t="s">
        <v>31582</v>
      </c>
      <c r="H15001" t="s">
        <v>31590</v>
      </c>
      <c r="I15001" t="s">
        <v>31609</v>
      </c>
      <c r="J15001" t="s">
        <v>40883</v>
      </c>
      <c r="K15001" t="s">
        <v>41184</v>
      </c>
      <c r="M15001" t="s">
        <v>41813</v>
      </c>
      <c r="N15001" t="s">
        <v>45095</v>
      </c>
      <c r="O15001" t="s">
        <v>45096</v>
      </c>
      <c r="Q15001">
        <v>33</v>
      </c>
      <c r="R15001" t="s">
        <v>45172</v>
      </c>
      <c r="S15001" t="s">
        <v>46516</v>
      </c>
      <c r="T15001" t="s">
        <v>46913</v>
      </c>
      <c r="U15001" t="s">
        <v>59516</v>
      </c>
      <c r="W15001" t="s">
        <v>41813</v>
      </c>
      <c r="X15001" t="s">
        <v>45173</v>
      </c>
    </row>
    <row r="15002" spans="1:24">
      <c r="A15002">
        <f>HYPERLINK("https://www.philgeps.gov.ph/GEPSNONPILOT/Tender/SplashBidNoticeAbstractUI.aspx?menuIndex=3&amp;refID=6920274&amp;Result=3","6920274")</f>
        <v>0</v>
      </c>
      <c r="B15002" t="s">
        <v>1128</v>
      </c>
      <c r="C15002" t="s">
        <v>17570</v>
      </c>
      <c r="D15002" t="s">
        <v>18022</v>
      </c>
      <c r="E15002" t="s">
        <v>31178</v>
      </c>
      <c r="F15002" t="s">
        <v>31574</v>
      </c>
      <c r="G15002" t="s">
        <v>31582</v>
      </c>
      <c r="H15002" t="s">
        <v>31590</v>
      </c>
      <c r="I15002" t="s">
        <v>31608</v>
      </c>
      <c r="J15002" t="s">
        <v>34660</v>
      </c>
      <c r="K15002" t="s">
        <v>41186</v>
      </c>
      <c r="M15002" t="s">
        <v>45039</v>
      </c>
      <c r="N15002" t="s">
        <v>45095</v>
      </c>
      <c r="O15002" t="s">
        <v>45096</v>
      </c>
      <c r="Q15002">
        <v>11</v>
      </c>
      <c r="R15002" t="s">
        <v>45172</v>
      </c>
      <c r="S15002" t="s">
        <v>46517</v>
      </c>
      <c r="T15002" t="s">
        <v>46965</v>
      </c>
      <c r="U15002" t="s">
        <v>59517</v>
      </c>
      <c r="W15002" t="s">
        <v>45039</v>
      </c>
      <c r="X15002" t="s">
        <v>45177</v>
      </c>
    </row>
    <row r="15003" spans="1:24">
      <c r="A15003">
        <f>HYPERLINK("https://www.philgeps.gov.ph/GEPSNONPILOT/Tender/SplashBidNoticeAbstractUI.aspx?menuIndex=3&amp;refID=6920243&amp;Result=3","6920243")</f>
        <v>0</v>
      </c>
      <c r="B15003" t="s">
        <v>1128</v>
      </c>
      <c r="C15003" t="s">
        <v>17571</v>
      </c>
      <c r="D15003" t="s">
        <v>18022</v>
      </c>
      <c r="E15003" t="s">
        <v>31178</v>
      </c>
      <c r="F15003" t="s">
        <v>31574</v>
      </c>
      <c r="G15003" t="s">
        <v>31582</v>
      </c>
      <c r="H15003" t="s">
        <v>31590</v>
      </c>
      <c r="I15003" t="s">
        <v>31608</v>
      </c>
      <c r="J15003" t="s">
        <v>40884</v>
      </c>
      <c r="K15003" t="s">
        <v>41186</v>
      </c>
      <c r="M15003" t="s">
        <v>45039</v>
      </c>
      <c r="N15003" t="s">
        <v>45095</v>
      </c>
      <c r="O15003" t="s">
        <v>45096</v>
      </c>
      <c r="Q15003">
        <v>15</v>
      </c>
      <c r="R15003" t="s">
        <v>45172</v>
      </c>
      <c r="S15003" t="s">
        <v>46518</v>
      </c>
      <c r="T15003" t="s">
        <v>46965</v>
      </c>
      <c r="U15003" t="s">
        <v>59517</v>
      </c>
      <c r="W15003" t="s">
        <v>45039</v>
      </c>
      <c r="X15003" t="s">
        <v>45177</v>
      </c>
    </row>
    <row r="15004" spans="1:24">
      <c r="A15004">
        <f>HYPERLINK("https://www.philgeps.gov.ph/GEPSNONPILOT/Tender/SplashBidNoticeAbstractUI.aspx?menuIndex=3&amp;refID=6920216&amp;Result=3","6920216")</f>
        <v>0</v>
      </c>
      <c r="B15004" t="s">
        <v>1128</v>
      </c>
      <c r="C15004" t="s">
        <v>17572</v>
      </c>
      <c r="D15004" t="s">
        <v>18022</v>
      </c>
      <c r="E15004" t="s">
        <v>31178</v>
      </c>
      <c r="F15004" t="s">
        <v>31574</v>
      </c>
      <c r="G15004" t="s">
        <v>31582</v>
      </c>
      <c r="H15004" t="s">
        <v>31590</v>
      </c>
      <c r="I15004" t="s">
        <v>31608</v>
      </c>
      <c r="J15004" t="s">
        <v>40885</v>
      </c>
      <c r="K15004" t="s">
        <v>41186</v>
      </c>
      <c r="M15004" t="s">
        <v>45039</v>
      </c>
      <c r="N15004" t="s">
        <v>45095</v>
      </c>
      <c r="O15004" t="s">
        <v>45096</v>
      </c>
      <c r="Q15004">
        <v>27</v>
      </c>
      <c r="R15004" t="s">
        <v>45172</v>
      </c>
      <c r="S15004" t="s">
        <v>46232</v>
      </c>
      <c r="T15004" t="s">
        <v>46965</v>
      </c>
      <c r="U15004" t="s">
        <v>59517</v>
      </c>
      <c r="W15004" t="s">
        <v>45039</v>
      </c>
      <c r="X15004" t="s">
        <v>45177</v>
      </c>
    </row>
    <row r="15005" spans="1:24">
      <c r="A15005">
        <f>HYPERLINK("https://www.philgeps.gov.ph/GEPSNONPILOT/Tender/SplashBidNoticeAbstractUI.aspx?menuIndex=3&amp;refID=6920261&amp;Result=3","6920261")</f>
        <v>0</v>
      </c>
      <c r="B15005" t="s">
        <v>1128</v>
      </c>
      <c r="C15005" t="s">
        <v>17573</v>
      </c>
      <c r="D15005" t="s">
        <v>18022</v>
      </c>
      <c r="E15005" t="s">
        <v>31178</v>
      </c>
      <c r="F15005" t="s">
        <v>31574</v>
      </c>
      <c r="G15005" t="s">
        <v>31582</v>
      </c>
      <c r="H15005" t="s">
        <v>31590</v>
      </c>
      <c r="I15005" t="s">
        <v>31608</v>
      </c>
      <c r="J15005" t="s">
        <v>39505</v>
      </c>
      <c r="K15005" t="s">
        <v>41186</v>
      </c>
      <c r="M15005" t="s">
        <v>45039</v>
      </c>
      <c r="N15005" t="s">
        <v>45095</v>
      </c>
      <c r="O15005" t="s">
        <v>45096</v>
      </c>
      <c r="Q15005">
        <v>20</v>
      </c>
      <c r="R15005" t="s">
        <v>45172</v>
      </c>
      <c r="S15005" t="s">
        <v>46519</v>
      </c>
      <c r="T15005" t="s">
        <v>46965</v>
      </c>
      <c r="U15005" t="s">
        <v>59517</v>
      </c>
      <c r="W15005" t="s">
        <v>45039</v>
      </c>
      <c r="X15005" t="s">
        <v>45177</v>
      </c>
    </row>
    <row r="15006" spans="1:24">
      <c r="A15006">
        <f>HYPERLINK("https://www.philgeps.gov.ph/GEPSNONPILOT/Tender/SplashBidNoticeAbstractUI.aspx?menuIndex=3&amp;refID=6904215&amp;Result=3","6904215")</f>
        <v>0</v>
      </c>
      <c r="B15006" t="s">
        <v>530</v>
      </c>
      <c r="C15006" t="s">
        <v>17574</v>
      </c>
      <c r="D15006" t="s">
        <v>18071</v>
      </c>
      <c r="E15006" t="s">
        <v>31179</v>
      </c>
      <c r="F15006" t="s">
        <v>31574</v>
      </c>
      <c r="G15006" t="s">
        <v>31582</v>
      </c>
      <c r="H15006" t="s">
        <v>31591</v>
      </c>
      <c r="I15006" t="s">
        <v>8822</v>
      </c>
      <c r="J15006" t="s">
        <v>40886</v>
      </c>
      <c r="K15006" t="s">
        <v>41203</v>
      </c>
      <c r="M15006" t="s">
        <v>43258</v>
      </c>
      <c r="N15006" t="s">
        <v>45095</v>
      </c>
      <c r="O15006" t="s">
        <v>45096</v>
      </c>
      <c r="Q15006">
        <v>10</v>
      </c>
      <c r="R15006" t="s">
        <v>45172</v>
      </c>
      <c r="S15006" t="s">
        <v>46520</v>
      </c>
      <c r="T15006" t="s">
        <v>47077</v>
      </c>
      <c r="U15006" t="s">
        <v>59518</v>
      </c>
      <c r="W15006" t="s">
        <v>43258</v>
      </c>
      <c r="X15006" t="s">
        <v>45180</v>
      </c>
    </row>
    <row r="15007" spans="1:24">
      <c r="A15007">
        <f>HYPERLINK("https://www.philgeps.gov.ph/GEPSNONPILOT/Tender/SplashBidNoticeAbstractUI.aspx?menuIndex=3&amp;refID=6920253&amp;Result=3","6920253")</f>
        <v>0</v>
      </c>
      <c r="B15007" t="s">
        <v>1128</v>
      </c>
      <c r="C15007" t="s">
        <v>17575</v>
      </c>
      <c r="D15007" t="s">
        <v>18022</v>
      </c>
      <c r="E15007" t="s">
        <v>31178</v>
      </c>
      <c r="F15007" t="s">
        <v>31574</v>
      </c>
      <c r="G15007" t="s">
        <v>31582</v>
      </c>
      <c r="H15007" t="s">
        <v>31590</v>
      </c>
      <c r="I15007" t="s">
        <v>31608</v>
      </c>
      <c r="J15007" t="s">
        <v>40887</v>
      </c>
      <c r="K15007" t="s">
        <v>41186</v>
      </c>
      <c r="M15007" t="s">
        <v>45039</v>
      </c>
      <c r="N15007" t="s">
        <v>45095</v>
      </c>
      <c r="O15007" t="s">
        <v>45096</v>
      </c>
      <c r="Q15007">
        <v>21</v>
      </c>
      <c r="R15007" t="s">
        <v>45172</v>
      </c>
      <c r="S15007" t="s">
        <v>46521</v>
      </c>
      <c r="T15007" t="s">
        <v>46965</v>
      </c>
      <c r="U15007" t="s">
        <v>59517</v>
      </c>
      <c r="W15007" t="s">
        <v>45039</v>
      </c>
      <c r="X15007" t="s">
        <v>45177</v>
      </c>
    </row>
    <row r="15008" spans="1:24">
      <c r="A15008">
        <f>HYPERLINK("https://www.philgeps.gov.ph/GEPSNONPILOT/Tender/SplashBidNoticeAbstractUI.aspx?menuIndex=3&amp;refID=6926637&amp;Result=3","6926637")</f>
        <v>0</v>
      </c>
      <c r="B15008" t="s">
        <v>1396</v>
      </c>
      <c r="C15008" t="s">
        <v>17576</v>
      </c>
      <c r="D15008" t="s">
        <v>18044</v>
      </c>
      <c r="E15008" t="s">
        <v>31180</v>
      </c>
      <c r="F15008" t="s">
        <v>31574</v>
      </c>
      <c r="G15008" t="s">
        <v>31584</v>
      </c>
      <c r="H15008" t="s">
        <v>31590</v>
      </c>
      <c r="I15008" t="s">
        <v>7162</v>
      </c>
      <c r="J15008" t="s">
        <v>31960</v>
      </c>
      <c r="K15008" t="s">
        <v>41184</v>
      </c>
      <c r="M15008" t="s">
        <v>42971</v>
      </c>
      <c r="N15008" t="s">
        <v>45095</v>
      </c>
      <c r="O15008" t="s">
        <v>45096</v>
      </c>
      <c r="Q15008">
        <v>5</v>
      </c>
      <c r="R15008" t="s">
        <v>45172</v>
      </c>
      <c r="S15008" t="s">
        <v>46522</v>
      </c>
      <c r="T15008" t="s">
        <v>47050</v>
      </c>
      <c r="U15008" t="s">
        <v>50848</v>
      </c>
      <c r="W15008" t="s">
        <v>42971</v>
      </c>
      <c r="X15008" t="s">
        <v>45173</v>
      </c>
    </row>
    <row r="15009" spans="1:24">
      <c r="A15009">
        <f>HYPERLINK("https://www.philgeps.gov.ph/GEPSNONPILOT/Tender/SplashBidNoticeAbstractUI.aspx?menuIndex=3&amp;refID=6904257&amp;Result=3","6904257")</f>
        <v>0</v>
      </c>
      <c r="B15009" t="s">
        <v>530</v>
      </c>
      <c r="C15009" t="s">
        <v>17577</v>
      </c>
      <c r="D15009" t="s">
        <v>18071</v>
      </c>
      <c r="E15009" t="s">
        <v>31181</v>
      </c>
      <c r="F15009" t="s">
        <v>31574</v>
      </c>
      <c r="G15009" t="s">
        <v>31582</v>
      </c>
      <c r="H15009" t="s">
        <v>31591</v>
      </c>
      <c r="I15009" t="s">
        <v>8822</v>
      </c>
      <c r="J15009" t="s">
        <v>40888</v>
      </c>
      <c r="K15009" t="s">
        <v>41192</v>
      </c>
      <c r="M15009" t="s">
        <v>43258</v>
      </c>
      <c r="N15009" t="s">
        <v>45095</v>
      </c>
      <c r="O15009" t="s">
        <v>45096</v>
      </c>
      <c r="Q15009">
        <v>4</v>
      </c>
      <c r="R15009" t="s">
        <v>45172</v>
      </c>
      <c r="S15009" t="s">
        <v>46523</v>
      </c>
      <c r="T15009" t="s">
        <v>47077</v>
      </c>
      <c r="U15009" t="s">
        <v>59519</v>
      </c>
      <c r="W15009" t="s">
        <v>43258</v>
      </c>
      <c r="X15009" t="s">
        <v>45180</v>
      </c>
    </row>
    <row r="15010" spans="1:24">
      <c r="A15010">
        <f>HYPERLINK("https://www.philgeps.gov.ph/GEPSNONPILOT/Tender/SplashBidNoticeAbstractUI.aspx?menuIndex=3&amp;refID=6926567&amp;Result=3","6926567")</f>
        <v>0</v>
      </c>
      <c r="B15010" t="s">
        <v>2266</v>
      </c>
      <c r="C15010" t="s">
        <v>17578</v>
      </c>
      <c r="D15010" t="s">
        <v>18052</v>
      </c>
      <c r="E15010" t="s">
        <v>31182</v>
      </c>
      <c r="F15010" t="s">
        <v>31574</v>
      </c>
      <c r="G15010" t="s">
        <v>31582</v>
      </c>
      <c r="H15010" t="s">
        <v>31590</v>
      </c>
      <c r="I15010" t="s">
        <v>3489</v>
      </c>
      <c r="J15010" t="s">
        <v>40889</v>
      </c>
      <c r="K15010" t="s">
        <v>41196</v>
      </c>
      <c r="M15010" t="s">
        <v>43966</v>
      </c>
      <c r="N15010" t="s">
        <v>45095</v>
      </c>
      <c r="O15010" t="s">
        <v>45096</v>
      </c>
      <c r="Q15010">
        <v>0</v>
      </c>
      <c r="R15010" t="s">
        <v>45172</v>
      </c>
      <c r="S15010" t="s">
        <v>46524</v>
      </c>
      <c r="T15010" t="s">
        <v>47000</v>
      </c>
      <c r="U15010" t="s">
        <v>59520</v>
      </c>
      <c r="V15010" t="s">
        <v>61568</v>
      </c>
      <c r="W15010" t="s">
        <v>43966</v>
      </c>
      <c r="X15010" t="s">
        <v>45173</v>
      </c>
    </row>
    <row r="15011" spans="1:24">
      <c r="A15011">
        <f>HYPERLINK("https://www.philgeps.gov.ph/GEPSNONPILOT/Tender/SplashBidNoticeAbstractUI.aspx?menuIndex=3&amp;refID=6925931&amp;Result=3","6925931")</f>
        <v>0</v>
      </c>
      <c r="B15011" t="s">
        <v>325</v>
      </c>
      <c r="C15011" t="s">
        <v>17569</v>
      </c>
      <c r="D15011" t="s">
        <v>18022</v>
      </c>
      <c r="E15011" t="s">
        <v>31183</v>
      </c>
      <c r="F15011" t="s">
        <v>31574</v>
      </c>
      <c r="G15011" t="s">
        <v>31582</v>
      </c>
      <c r="H15011" t="s">
        <v>31590</v>
      </c>
      <c r="I15011" t="s">
        <v>8258</v>
      </c>
      <c r="J15011" t="s">
        <v>40890</v>
      </c>
      <c r="K15011" t="s">
        <v>41184</v>
      </c>
      <c r="M15011" t="s">
        <v>41813</v>
      </c>
      <c r="N15011" t="s">
        <v>45095</v>
      </c>
      <c r="O15011" t="s">
        <v>45096</v>
      </c>
      <c r="Q15011">
        <v>62</v>
      </c>
      <c r="R15011" t="s">
        <v>45172</v>
      </c>
      <c r="S15011" t="s">
        <v>46403</v>
      </c>
      <c r="T15011" t="s">
        <v>46913</v>
      </c>
      <c r="U15011" t="s">
        <v>59516</v>
      </c>
      <c r="W15011" t="s">
        <v>41813</v>
      </c>
      <c r="X15011" t="s">
        <v>45173</v>
      </c>
    </row>
    <row r="15012" spans="1:24">
      <c r="A15012">
        <f>HYPERLINK("https://www.philgeps.gov.ph/GEPSNONPILOT/Tender/SplashBidNoticeAbstractUI.aspx?menuIndex=3&amp;refID=6926347&amp;Result=3","6926347")</f>
        <v>0</v>
      </c>
      <c r="B15012" t="s">
        <v>3166</v>
      </c>
      <c r="C15012" t="s">
        <v>17579</v>
      </c>
      <c r="D15012" t="s">
        <v>18040</v>
      </c>
      <c r="E15012" t="s">
        <v>31184</v>
      </c>
      <c r="F15012" t="s">
        <v>31574</v>
      </c>
      <c r="G15012" t="s">
        <v>31582</v>
      </c>
      <c r="H15012" t="s">
        <v>31591</v>
      </c>
      <c r="I15012" t="s">
        <v>8822</v>
      </c>
      <c r="J15012" t="s">
        <v>31844</v>
      </c>
      <c r="K15012" t="s">
        <v>41192</v>
      </c>
      <c r="M15012" t="s">
        <v>45038</v>
      </c>
      <c r="N15012" t="s">
        <v>45095</v>
      </c>
      <c r="O15012" t="s">
        <v>45096</v>
      </c>
      <c r="Q15012">
        <v>0</v>
      </c>
      <c r="R15012" t="s">
        <v>45172</v>
      </c>
      <c r="S15012" t="s">
        <v>45530</v>
      </c>
      <c r="T15012" t="s">
        <v>47301</v>
      </c>
      <c r="U15012" t="s">
        <v>59521</v>
      </c>
      <c r="W15012" t="s">
        <v>45038</v>
      </c>
      <c r="X15012" t="s">
        <v>45173</v>
      </c>
    </row>
    <row r="15013" spans="1:24">
      <c r="A15013">
        <f>HYPERLINK("https://www.philgeps.gov.ph/GEPSNONPILOT/Tender/SplashBidNoticeAbstractUI.aspx?menuIndex=3&amp;refID=6932615&amp;Result=3","6932615")</f>
        <v>0</v>
      </c>
      <c r="B15013" t="s">
        <v>1128</v>
      </c>
      <c r="C15013" t="s">
        <v>17580</v>
      </c>
      <c r="D15013" t="s">
        <v>18030</v>
      </c>
      <c r="E15013" t="s">
        <v>31169</v>
      </c>
      <c r="F15013" t="s">
        <v>31574</v>
      </c>
      <c r="G15013" t="s">
        <v>31582</v>
      </c>
      <c r="H15013" t="s">
        <v>31590</v>
      </c>
      <c r="I15013" t="s">
        <v>14544</v>
      </c>
      <c r="J15013" t="s">
        <v>40891</v>
      </c>
      <c r="K15013" t="s">
        <v>41186</v>
      </c>
      <c r="M15013" t="s">
        <v>45037</v>
      </c>
      <c r="N15013" t="s">
        <v>45095</v>
      </c>
      <c r="O15013" t="s">
        <v>45096</v>
      </c>
      <c r="Q15013">
        <v>2</v>
      </c>
      <c r="R15013" t="s">
        <v>45171</v>
      </c>
      <c r="S15013" t="s">
        <v>46525</v>
      </c>
      <c r="T15013" t="s">
        <v>46977</v>
      </c>
      <c r="U15013" t="s">
        <v>59509</v>
      </c>
      <c r="V15013" t="s">
        <v>61569</v>
      </c>
      <c r="W15013" t="s">
        <v>45037</v>
      </c>
      <c r="X15013" t="s">
        <v>45172</v>
      </c>
    </row>
    <row r="15014" spans="1:24">
      <c r="A15014">
        <f>HYPERLINK("https://www.philgeps.gov.ph/GEPSNONPILOT/Tender/SplashBidNoticeAbstractUI.aspx?menuIndex=3&amp;refID=6932627&amp;Result=3","6932627")</f>
        <v>0</v>
      </c>
      <c r="B15014" t="s">
        <v>1128</v>
      </c>
      <c r="C15014" t="s">
        <v>17581</v>
      </c>
      <c r="D15014" t="s">
        <v>18030</v>
      </c>
      <c r="E15014" t="s">
        <v>31169</v>
      </c>
      <c r="F15014" t="s">
        <v>31574</v>
      </c>
      <c r="G15014" t="s">
        <v>31582</v>
      </c>
      <c r="H15014" t="s">
        <v>31590</v>
      </c>
      <c r="I15014" t="s">
        <v>14544</v>
      </c>
      <c r="J15014" t="s">
        <v>40892</v>
      </c>
      <c r="K15014" t="s">
        <v>41186</v>
      </c>
      <c r="M15014" t="s">
        <v>45037</v>
      </c>
      <c r="N15014" t="s">
        <v>45095</v>
      </c>
      <c r="O15014" t="s">
        <v>45096</v>
      </c>
      <c r="Q15014">
        <v>4</v>
      </c>
      <c r="R15014" t="s">
        <v>45171</v>
      </c>
      <c r="S15014" t="s">
        <v>46526</v>
      </c>
      <c r="T15014" t="s">
        <v>46977</v>
      </c>
      <c r="U15014" t="s">
        <v>59509</v>
      </c>
      <c r="V15014" t="s">
        <v>61570</v>
      </c>
      <c r="W15014" t="s">
        <v>45037</v>
      </c>
      <c r="X15014" t="s">
        <v>45172</v>
      </c>
    </row>
    <row r="15015" spans="1:24">
      <c r="A15015">
        <f>HYPERLINK("https://www.philgeps.gov.ph/GEPSNONPILOT/Tender/SplashBidNoticeAbstractUI.aspx?menuIndex=3&amp;refID=6926516&amp;Result=3","6926516")</f>
        <v>0</v>
      </c>
      <c r="B15015" t="s">
        <v>2266</v>
      </c>
      <c r="C15015" t="s">
        <v>17582</v>
      </c>
      <c r="D15015" t="s">
        <v>18052</v>
      </c>
      <c r="E15015" t="s">
        <v>31185</v>
      </c>
      <c r="F15015" t="s">
        <v>31574</v>
      </c>
      <c r="G15015" t="s">
        <v>31582</v>
      </c>
      <c r="H15015" t="s">
        <v>31590</v>
      </c>
      <c r="I15015" t="s">
        <v>31662</v>
      </c>
      <c r="J15015" t="s">
        <v>32020</v>
      </c>
      <c r="K15015" t="s">
        <v>41196</v>
      </c>
      <c r="M15015" t="s">
        <v>43966</v>
      </c>
      <c r="N15015" t="s">
        <v>45095</v>
      </c>
      <c r="O15015" t="s">
        <v>45096</v>
      </c>
      <c r="Q15015">
        <v>2</v>
      </c>
      <c r="R15015" t="s">
        <v>45172</v>
      </c>
      <c r="S15015" t="s">
        <v>46527</v>
      </c>
      <c r="T15015" t="s">
        <v>47000</v>
      </c>
      <c r="U15015" t="s">
        <v>59522</v>
      </c>
      <c r="V15015" t="s">
        <v>61571</v>
      </c>
      <c r="W15015" t="s">
        <v>43966</v>
      </c>
      <c r="X15015" t="s">
        <v>45173</v>
      </c>
    </row>
    <row r="15016" spans="1:24">
      <c r="A15016">
        <f>HYPERLINK("https://www.philgeps.gov.ph/GEPSNONPILOT/Tender/SplashBidNoticeAbstractUI.aspx?menuIndex=3&amp;refID=6932599&amp;Result=3","6932599")</f>
        <v>0</v>
      </c>
      <c r="B15016" t="s">
        <v>1128</v>
      </c>
      <c r="C15016" t="s">
        <v>17583</v>
      </c>
      <c r="D15016" t="s">
        <v>18030</v>
      </c>
      <c r="E15016" t="s">
        <v>31169</v>
      </c>
      <c r="F15016" t="s">
        <v>31574</v>
      </c>
      <c r="G15016" t="s">
        <v>31582</v>
      </c>
      <c r="H15016" t="s">
        <v>31590</v>
      </c>
      <c r="I15016" t="s">
        <v>14544</v>
      </c>
      <c r="J15016" t="s">
        <v>40893</v>
      </c>
      <c r="K15016" t="s">
        <v>41186</v>
      </c>
      <c r="M15016" t="s">
        <v>45037</v>
      </c>
      <c r="N15016" t="s">
        <v>45095</v>
      </c>
      <c r="O15016" t="s">
        <v>45096</v>
      </c>
      <c r="Q15016">
        <v>1</v>
      </c>
      <c r="R15016" t="s">
        <v>45171</v>
      </c>
      <c r="S15016" t="s">
        <v>46528</v>
      </c>
      <c r="T15016" t="s">
        <v>46977</v>
      </c>
      <c r="U15016" t="s">
        <v>59509</v>
      </c>
      <c r="V15016" t="s">
        <v>61567</v>
      </c>
      <c r="W15016" t="s">
        <v>45037</v>
      </c>
      <c r="X15016" t="s">
        <v>45172</v>
      </c>
    </row>
    <row r="15017" spans="1:24">
      <c r="A15017">
        <f>HYPERLINK("https://www.philgeps.gov.ph/GEPSNONPILOT/Tender/SplashBidNoticeAbstractUI.aspx?menuIndex=3&amp;refID=6927694&amp;Result=3","6927694")</f>
        <v>0</v>
      </c>
      <c r="B15017" t="s">
        <v>3163</v>
      </c>
      <c r="C15017" t="s">
        <v>17584</v>
      </c>
      <c r="D15017" t="s">
        <v>18022</v>
      </c>
      <c r="E15017" t="s">
        <v>31186</v>
      </c>
      <c r="F15017" t="s">
        <v>31574</v>
      </c>
      <c r="G15017" t="s">
        <v>31581</v>
      </c>
      <c r="H15017" t="s">
        <v>31590</v>
      </c>
      <c r="I15017" t="s">
        <v>31603</v>
      </c>
      <c r="J15017" t="s">
        <v>40894</v>
      </c>
      <c r="K15017" t="s">
        <v>41196</v>
      </c>
      <c r="M15017" t="s">
        <v>45031</v>
      </c>
      <c r="N15017" t="s">
        <v>45095</v>
      </c>
      <c r="O15017" t="s">
        <v>45096</v>
      </c>
      <c r="Q15017">
        <v>5</v>
      </c>
      <c r="R15017" t="s">
        <v>45172</v>
      </c>
      <c r="S15017" t="s">
        <v>46045</v>
      </c>
      <c r="T15017" t="s">
        <v>47106</v>
      </c>
      <c r="U15017" t="s">
        <v>59523</v>
      </c>
      <c r="V15017" t="s">
        <v>61542</v>
      </c>
      <c r="W15017" t="s">
        <v>45031</v>
      </c>
      <c r="X15017" t="s">
        <v>45173</v>
      </c>
    </row>
    <row r="15018" spans="1:24">
      <c r="A15018">
        <f>HYPERLINK("https://www.philgeps.gov.ph/GEPSNONPILOT/Tender/SplashBidNoticeAbstractUI.aspx?menuIndex=3&amp;refID=6932400&amp;Result=3","6932400")</f>
        <v>0</v>
      </c>
      <c r="B15018" t="s">
        <v>2689</v>
      </c>
      <c r="C15018" t="s">
        <v>17585</v>
      </c>
      <c r="D15018" t="s">
        <v>18027</v>
      </c>
      <c r="E15018" t="s">
        <v>31187</v>
      </c>
      <c r="F15018" t="s">
        <v>31574</v>
      </c>
      <c r="G15018" t="s">
        <v>31582</v>
      </c>
      <c r="H15018" t="s">
        <v>31591</v>
      </c>
      <c r="I15018" t="s">
        <v>8822</v>
      </c>
      <c r="J15018" t="s">
        <v>34596</v>
      </c>
      <c r="K15018" t="s">
        <v>41490</v>
      </c>
      <c r="M15018" t="s">
        <v>44454</v>
      </c>
      <c r="N15018" t="s">
        <v>45095</v>
      </c>
      <c r="O15018" t="s">
        <v>45096</v>
      </c>
      <c r="Q15018">
        <v>14</v>
      </c>
      <c r="R15018" t="s">
        <v>45171</v>
      </c>
      <c r="S15018" t="s">
        <v>46529</v>
      </c>
      <c r="T15018" t="s">
        <v>46914</v>
      </c>
      <c r="U15018" t="s">
        <v>59524</v>
      </c>
      <c r="W15018" t="s">
        <v>44454</v>
      </c>
      <c r="X15018" t="s">
        <v>45172</v>
      </c>
    </row>
    <row r="15019" spans="1:24">
      <c r="A15019">
        <f>HYPERLINK("https://www.philgeps.gov.ph/GEPSNONPILOT/Tender/SplashBidNoticeAbstractUI.aspx?menuIndex=3&amp;refID=6927464&amp;Result=3","6927464")</f>
        <v>0</v>
      </c>
      <c r="B15019" t="s">
        <v>2266</v>
      </c>
      <c r="C15019" t="s">
        <v>17586</v>
      </c>
      <c r="D15019" t="s">
        <v>18052</v>
      </c>
      <c r="E15019" t="s">
        <v>31188</v>
      </c>
      <c r="F15019" t="s">
        <v>31574</v>
      </c>
      <c r="G15019" t="s">
        <v>31582</v>
      </c>
      <c r="H15019" t="s">
        <v>31590</v>
      </c>
      <c r="I15019" t="s">
        <v>31600</v>
      </c>
      <c r="J15019" t="s">
        <v>40895</v>
      </c>
      <c r="K15019" t="s">
        <v>41196</v>
      </c>
      <c r="M15019" t="s">
        <v>43966</v>
      </c>
      <c r="N15019" t="s">
        <v>45095</v>
      </c>
      <c r="O15019" t="s">
        <v>45096</v>
      </c>
      <c r="Q15019">
        <v>0</v>
      </c>
      <c r="R15019" t="s">
        <v>45172</v>
      </c>
      <c r="S15019" t="s">
        <v>46530</v>
      </c>
      <c r="T15019" t="s">
        <v>47000</v>
      </c>
      <c r="U15019" t="s">
        <v>59525</v>
      </c>
      <c r="V15019" t="s">
        <v>61572</v>
      </c>
      <c r="W15019" t="s">
        <v>43966</v>
      </c>
      <c r="X15019" t="s">
        <v>45173</v>
      </c>
    </row>
    <row r="15020" spans="1:24">
      <c r="A15020">
        <f>HYPERLINK("https://www.philgeps.gov.ph/GEPSNONPILOT/Tender/SplashBidNoticeAbstractUI.aspx?menuIndex=3&amp;refID=6927427&amp;Result=3","6927427")</f>
        <v>0</v>
      </c>
      <c r="B15020" t="s">
        <v>3167</v>
      </c>
      <c r="C15020" t="s">
        <v>17587</v>
      </c>
      <c r="D15020" t="s">
        <v>18022</v>
      </c>
      <c r="E15020" t="s">
        <v>31189</v>
      </c>
      <c r="F15020" t="s">
        <v>31574</v>
      </c>
      <c r="G15020" t="s">
        <v>31582</v>
      </c>
      <c r="H15020" t="s">
        <v>31590</v>
      </c>
      <c r="I15020" t="s">
        <v>8569</v>
      </c>
      <c r="J15020" t="s">
        <v>40896</v>
      </c>
      <c r="K15020" t="s">
        <v>41210</v>
      </c>
      <c r="M15020" t="s">
        <v>45040</v>
      </c>
      <c r="N15020" t="s">
        <v>45095</v>
      </c>
      <c r="O15020" t="s">
        <v>45096</v>
      </c>
      <c r="Q15020">
        <v>8</v>
      </c>
      <c r="R15020" t="s">
        <v>45172</v>
      </c>
      <c r="S15020" t="s">
        <v>46531</v>
      </c>
      <c r="T15020" t="s">
        <v>47077</v>
      </c>
      <c r="U15020" t="s">
        <v>59526</v>
      </c>
      <c r="W15020" t="s">
        <v>45040</v>
      </c>
      <c r="X15020" t="s">
        <v>45173</v>
      </c>
    </row>
    <row r="15021" spans="1:24">
      <c r="A15021">
        <f>HYPERLINK("https://www.philgeps.gov.ph/GEPSNONPILOT/Tender/SplashBidNoticeAbstractUI.aspx?menuIndex=3&amp;refID=6926450&amp;Result=3","6926450")</f>
        <v>0</v>
      </c>
      <c r="B15021" t="s">
        <v>3166</v>
      </c>
      <c r="C15021" t="s">
        <v>17588</v>
      </c>
      <c r="D15021" t="s">
        <v>18040</v>
      </c>
      <c r="E15021" t="s">
        <v>31190</v>
      </c>
      <c r="F15021" t="s">
        <v>31574</v>
      </c>
      <c r="G15021" t="s">
        <v>31582</v>
      </c>
      <c r="H15021" t="s">
        <v>31591</v>
      </c>
      <c r="I15021" t="s">
        <v>8822</v>
      </c>
      <c r="J15021" t="s">
        <v>31962</v>
      </c>
      <c r="K15021" t="s">
        <v>41195</v>
      </c>
      <c r="M15021" t="s">
        <v>45038</v>
      </c>
      <c r="N15021" t="s">
        <v>45095</v>
      </c>
      <c r="O15021" t="s">
        <v>45096</v>
      </c>
      <c r="Q15021">
        <v>1</v>
      </c>
      <c r="R15021" t="s">
        <v>45172</v>
      </c>
      <c r="S15021" t="s">
        <v>46532</v>
      </c>
      <c r="T15021" t="s">
        <v>47301</v>
      </c>
      <c r="U15021" t="s">
        <v>59527</v>
      </c>
      <c r="W15021" t="s">
        <v>45038</v>
      </c>
      <c r="X15021" t="s">
        <v>45173</v>
      </c>
    </row>
    <row r="15022" spans="1:24">
      <c r="A15022">
        <f>HYPERLINK("https://www.philgeps.gov.ph/GEPSNONPILOT/Tender/SplashBidNoticeAbstractUI.aspx?menuIndex=3&amp;refID=6927022&amp;Result=3","6927022")</f>
        <v>0</v>
      </c>
      <c r="B15022" t="s">
        <v>1128</v>
      </c>
      <c r="C15022" t="s">
        <v>17589</v>
      </c>
      <c r="D15022" t="s">
        <v>18022</v>
      </c>
      <c r="E15022" t="s">
        <v>31191</v>
      </c>
      <c r="F15022" t="s">
        <v>31574</v>
      </c>
      <c r="G15022" t="s">
        <v>31581</v>
      </c>
      <c r="H15022" t="s">
        <v>31590</v>
      </c>
      <c r="I15022" t="s">
        <v>31629</v>
      </c>
      <c r="J15022" t="s">
        <v>40897</v>
      </c>
      <c r="K15022" t="s">
        <v>41210</v>
      </c>
      <c r="M15022" t="s">
        <v>45041</v>
      </c>
      <c r="N15022" t="s">
        <v>45095</v>
      </c>
      <c r="O15022" t="s">
        <v>45096</v>
      </c>
      <c r="Q15022">
        <v>5</v>
      </c>
      <c r="R15022" t="s">
        <v>45172</v>
      </c>
      <c r="S15022" t="s">
        <v>46533</v>
      </c>
      <c r="T15022" t="s">
        <v>47064</v>
      </c>
      <c r="U15022" t="s">
        <v>59528</v>
      </c>
      <c r="V15022" t="s">
        <v>61573</v>
      </c>
      <c r="W15022" t="s">
        <v>45041</v>
      </c>
      <c r="X15022" t="s">
        <v>45173</v>
      </c>
    </row>
    <row r="15023" spans="1:24">
      <c r="A15023">
        <f>HYPERLINK("https://www.philgeps.gov.ph/GEPSNONPILOT/Tender/SplashBidNoticeAbstractUI.aspx?menuIndex=3&amp;refID=6928359&amp;Result=3","6928359")</f>
        <v>0</v>
      </c>
      <c r="B15023" t="s">
        <v>3168</v>
      </c>
      <c r="C15023" t="s">
        <v>17590</v>
      </c>
      <c r="D15023" t="s">
        <v>18093</v>
      </c>
      <c r="E15023" t="s">
        <v>31192</v>
      </c>
      <c r="F15023" t="s">
        <v>31574</v>
      </c>
      <c r="G15023" t="s">
        <v>31582</v>
      </c>
      <c r="H15023" t="s">
        <v>31590</v>
      </c>
      <c r="I15023" t="s">
        <v>3487</v>
      </c>
      <c r="J15023" t="s">
        <v>33866</v>
      </c>
      <c r="K15023" t="s">
        <v>41196</v>
      </c>
      <c r="M15023" t="s">
        <v>45042</v>
      </c>
      <c r="N15023" t="s">
        <v>45095</v>
      </c>
      <c r="O15023" t="s">
        <v>45096</v>
      </c>
      <c r="Q15023">
        <v>18</v>
      </c>
      <c r="R15023" t="s">
        <v>45172</v>
      </c>
      <c r="S15023" t="s">
        <v>46478</v>
      </c>
      <c r="T15023" t="s">
        <v>46995</v>
      </c>
      <c r="U15023" t="s">
        <v>59529</v>
      </c>
      <c r="V15023" t="s">
        <v>61574</v>
      </c>
      <c r="W15023" t="s">
        <v>45042</v>
      </c>
      <c r="X15023" t="s">
        <v>45173</v>
      </c>
    </row>
    <row r="15024" spans="1:24">
      <c r="A15024">
        <f>HYPERLINK("https://www.philgeps.gov.ph/GEPSNONPILOT/Tender/SplashBidNoticeAbstractUI.aspx?menuIndex=3&amp;refID=6928188&amp;Result=3","6928188")</f>
        <v>0</v>
      </c>
      <c r="B15024" t="s">
        <v>3168</v>
      </c>
      <c r="C15024" t="s">
        <v>17591</v>
      </c>
      <c r="D15024" t="s">
        <v>18093</v>
      </c>
      <c r="E15024" t="s">
        <v>31193</v>
      </c>
      <c r="F15024" t="s">
        <v>31574</v>
      </c>
      <c r="G15024" t="s">
        <v>31582</v>
      </c>
      <c r="H15024" t="s">
        <v>31590</v>
      </c>
      <c r="I15024" t="s">
        <v>31662</v>
      </c>
      <c r="J15024" t="s">
        <v>31730</v>
      </c>
      <c r="K15024" t="s">
        <v>41189</v>
      </c>
      <c r="M15024" t="s">
        <v>45042</v>
      </c>
      <c r="N15024" t="s">
        <v>45095</v>
      </c>
      <c r="O15024" t="s">
        <v>45096</v>
      </c>
      <c r="Q15024">
        <v>30</v>
      </c>
      <c r="R15024" t="s">
        <v>45172</v>
      </c>
      <c r="S15024" t="s">
        <v>46534</v>
      </c>
      <c r="T15024" t="s">
        <v>46995</v>
      </c>
      <c r="U15024" t="s">
        <v>59530</v>
      </c>
      <c r="V15024" t="s">
        <v>61574</v>
      </c>
      <c r="W15024" t="s">
        <v>45042</v>
      </c>
      <c r="X15024" t="s">
        <v>45173</v>
      </c>
    </row>
    <row r="15025" spans="1:24">
      <c r="A15025">
        <f>HYPERLINK("https://www.philgeps.gov.ph/GEPSNONPILOT/Tender/SplashBidNoticeAbstractUI.aspx?menuIndex=3&amp;refID=6932387&amp;Result=3","6932387")</f>
        <v>0</v>
      </c>
      <c r="B15025" t="s">
        <v>2314</v>
      </c>
      <c r="C15025" t="s">
        <v>17592</v>
      </c>
      <c r="D15025" t="s">
        <v>18044</v>
      </c>
      <c r="E15025" t="s">
        <v>31194</v>
      </c>
      <c r="F15025" t="s">
        <v>31574</v>
      </c>
      <c r="G15025" t="s">
        <v>31582</v>
      </c>
      <c r="H15025" t="s">
        <v>31591</v>
      </c>
      <c r="I15025" t="s">
        <v>8822</v>
      </c>
      <c r="J15025" t="s">
        <v>34360</v>
      </c>
      <c r="K15025" t="s">
        <v>41235</v>
      </c>
      <c r="M15025" t="s">
        <v>44024</v>
      </c>
      <c r="N15025" t="s">
        <v>45095</v>
      </c>
      <c r="O15025" t="s">
        <v>45096</v>
      </c>
      <c r="Q15025">
        <v>24</v>
      </c>
      <c r="R15025" t="s">
        <v>45171</v>
      </c>
      <c r="S15025" t="s">
        <v>46535</v>
      </c>
      <c r="T15025" t="s">
        <v>47154</v>
      </c>
      <c r="U15025" t="s">
        <v>56834</v>
      </c>
      <c r="W15025" t="s">
        <v>44024</v>
      </c>
      <c r="X15025" t="s">
        <v>45172</v>
      </c>
    </row>
    <row r="15026" spans="1:24">
      <c r="A15026">
        <f>HYPERLINK("https://www.philgeps.gov.ph/GEPSNONPILOT/Tender/SplashBidNoticeAbstractUI.aspx?menuIndex=3&amp;refID=6928316&amp;Result=3","6928316")</f>
        <v>0</v>
      </c>
      <c r="B15026" t="s">
        <v>3168</v>
      </c>
      <c r="C15026" t="s">
        <v>17593</v>
      </c>
      <c r="D15026" t="s">
        <v>18093</v>
      </c>
      <c r="E15026" t="s">
        <v>31195</v>
      </c>
      <c r="F15026" t="s">
        <v>31574</v>
      </c>
      <c r="G15026" t="s">
        <v>31582</v>
      </c>
      <c r="H15026" t="s">
        <v>31590</v>
      </c>
      <c r="I15026" t="s">
        <v>31662</v>
      </c>
      <c r="J15026" t="s">
        <v>31730</v>
      </c>
      <c r="K15026" t="s">
        <v>41189</v>
      </c>
      <c r="M15026" t="s">
        <v>45042</v>
      </c>
      <c r="N15026" t="s">
        <v>45095</v>
      </c>
      <c r="O15026" t="s">
        <v>45096</v>
      </c>
      <c r="Q15026">
        <v>21</v>
      </c>
      <c r="R15026" t="s">
        <v>45172</v>
      </c>
      <c r="S15026" t="s">
        <v>46536</v>
      </c>
      <c r="T15026" t="s">
        <v>46995</v>
      </c>
      <c r="U15026" t="s">
        <v>59531</v>
      </c>
      <c r="V15026" t="s">
        <v>61574</v>
      </c>
      <c r="W15026" t="s">
        <v>45042</v>
      </c>
      <c r="X15026" t="s">
        <v>45173</v>
      </c>
    </row>
    <row r="15027" spans="1:24">
      <c r="A15027">
        <f>HYPERLINK("https://www.philgeps.gov.ph/GEPSNONPILOT/Tender/SplashBidNoticeAbstractUI.aspx?menuIndex=3&amp;refID=6927602&amp;Result=3","6927602")</f>
        <v>0</v>
      </c>
      <c r="B15027" t="s">
        <v>1311</v>
      </c>
      <c r="C15027" t="s">
        <v>17594</v>
      </c>
      <c r="D15027" t="s">
        <v>18040</v>
      </c>
      <c r="E15027" t="s">
        <v>31196</v>
      </c>
      <c r="F15027" t="s">
        <v>31574</v>
      </c>
      <c r="G15027" t="s">
        <v>31582</v>
      </c>
      <c r="H15027" t="s">
        <v>31590</v>
      </c>
      <c r="I15027" t="s">
        <v>31615</v>
      </c>
      <c r="J15027" t="s">
        <v>32085</v>
      </c>
      <c r="K15027" t="s">
        <v>41185</v>
      </c>
      <c r="M15027" t="s">
        <v>43023</v>
      </c>
      <c r="N15027" t="s">
        <v>45095</v>
      </c>
      <c r="O15027" t="s">
        <v>45096</v>
      </c>
      <c r="Q15027">
        <v>12</v>
      </c>
      <c r="R15027" t="s">
        <v>45172</v>
      </c>
      <c r="S15027" t="s">
        <v>46537</v>
      </c>
      <c r="T15027" t="s">
        <v>46955</v>
      </c>
      <c r="U15027" t="s">
        <v>59532</v>
      </c>
      <c r="V15027" t="s">
        <v>60268</v>
      </c>
      <c r="W15027" t="s">
        <v>43023</v>
      </c>
      <c r="X15027" t="s">
        <v>45173</v>
      </c>
    </row>
    <row r="15028" spans="1:24">
      <c r="A15028">
        <f>HYPERLINK("https://www.philgeps.gov.ph/GEPSNONPILOT/Tender/SplashBidNoticeAbstractUI.aspx?menuIndex=3&amp;refID=6927326&amp;Result=3","6927326")</f>
        <v>0</v>
      </c>
      <c r="B15028" t="s">
        <v>3167</v>
      </c>
      <c r="C15028" t="s">
        <v>17595</v>
      </c>
      <c r="D15028" t="s">
        <v>18022</v>
      </c>
      <c r="E15028" t="s">
        <v>31189</v>
      </c>
      <c r="F15028" t="s">
        <v>31574</v>
      </c>
      <c r="G15028" t="s">
        <v>31582</v>
      </c>
      <c r="H15028" t="s">
        <v>31590</v>
      </c>
      <c r="I15028" t="s">
        <v>8569</v>
      </c>
      <c r="J15028" t="s">
        <v>40898</v>
      </c>
      <c r="K15028" t="s">
        <v>41210</v>
      </c>
      <c r="M15028" t="s">
        <v>45040</v>
      </c>
      <c r="N15028" t="s">
        <v>45095</v>
      </c>
      <c r="O15028" t="s">
        <v>45096</v>
      </c>
      <c r="Q15028">
        <v>7</v>
      </c>
      <c r="R15028" t="s">
        <v>45172</v>
      </c>
      <c r="S15028" t="s">
        <v>46538</v>
      </c>
      <c r="T15028" t="s">
        <v>47077</v>
      </c>
      <c r="U15028" t="s">
        <v>59526</v>
      </c>
      <c r="W15028" t="s">
        <v>45040</v>
      </c>
      <c r="X15028" t="s">
        <v>45173</v>
      </c>
    </row>
    <row r="15029" spans="1:24">
      <c r="A15029">
        <f>HYPERLINK("https://www.philgeps.gov.ph/GEPSNONPILOT/Tender/SplashBidNoticeAbstractUI.aspx?menuIndex=3&amp;refID=6928228&amp;Result=3","6928228")</f>
        <v>0</v>
      </c>
      <c r="B15029" t="s">
        <v>1705</v>
      </c>
      <c r="C15029" t="s">
        <v>17596</v>
      </c>
      <c r="E15029" t="s">
        <v>31197</v>
      </c>
      <c r="F15029" t="s">
        <v>31574</v>
      </c>
      <c r="G15029" t="s">
        <v>31582</v>
      </c>
      <c r="H15029" t="s">
        <v>31590</v>
      </c>
      <c r="I15029" t="s">
        <v>7185</v>
      </c>
      <c r="J15029" t="s">
        <v>40899</v>
      </c>
      <c r="K15029" t="s">
        <v>41184</v>
      </c>
      <c r="M15029" t="s">
        <v>44429</v>
      </c>
      <c r="N15029" t="s">
        <v>45095</v>
      </c>
      <c r="O15029" t="s">
        <v>45096</v>
      </c>
      <c r="Q15029">
        <v>9</v>
      </c>
      <c r="R15029" t="s">
        <v>45172</v>
      </c>
      <c r="S15029" t="s">
        <v>45794</v>
      </c>
      <c r="T15029" t="s">
        <v>46962</v>
      </c>
      <c r="U15029" t="s">
        <v>59533</v>
      </c>
      <c r="W15029" t="s">
        <v>44429</v>
      </c>
      <c r="X15029" t="s">
        <v>45173</v>
      </c>
    </row>
    <row r="15030" spans="1:24">
      <c r="A15030">
        <f>HYPERLINK("https://www.philgeps.gov.ph/GEPSNONPILOT/Tender/SplashBidNoticeAbstractUI.aspx?menuIndex=3&amp;refID=6927298&amp;Result=3","6927298")</f>
        <v>0</v>
      </c>
      <c r="B15030" t="s">
        <v>1128</v>
      </c>
      <c r="C15030" t="s">
        <v>17597</v>
      </c>
      <c r="D15030" t="s">
        <v>18022</v>
      </c>
      <c r="E15030" t="s">
        <v>31178</v>
      </c>
      <c r="F15030" t="s">
        <v>31574</v>
      </c>
      <c r="G15030" t="s">
        <v>31582</v>
      </c>
      <c r="H15030" t="s">
        <v>31590</v>
      </c>
      <c r="I15030" t="s">
        <v>31608</v>
      </c>
      <c r="J15030" t="s">
        <v>40900</v>
      </c>
      <c r="K15030" t="s">
        <v>41186</v>
      </c>
      <c r="M15030" t="s">
        <v>45039</v>
      </c>
      <c r="N15030" t="s">
        <v>45095</v>
      </c>
      <c r="O15030" t="s">
        <v>45096</v>
      </c>
      <c r="Q15030">
        <v>11</v>
      </c>
      <c r="R15030" t="s">
        <v>45172</v>
      </c>
      <c r="S15030" t="s">
        <v>45444</v>
      </c>
      <c r="T15030" t="s">
        <v>46965</v>
      </c>
      <c r="U15030" t="s">
        <v>59517</v>
      </c>
      <c r="W15030" t="s">
        <v>45039</v>
      </c>
      <c r="X15030" t="s">
        <v>45173</v>
      </c>
    </row>
    <row r="15031" spans="1:24">
      <c r="A15031">
        <f>HYPERLINK("https://www.philgeps.gov.ph/GEPSNONPILOT/Tender/SplashBidNoticeAbstractUI.aspx?menuIndex=3&amp;refID=6928265&amp;Result=3","6928265")</f>
        <v>0</v>
      </c>
      <c r="B15031" t="s">
        <v>530</v>
      </c>
      <c r="C15031" t="s">
        <v>17598</v>
      </c>
      <c r="D15031" t="s">
        <v>18071</v>
      </c>
      <c r="E15031" t="s">
        <v>31198</v>
      </c>
      <c r="F15031" t="s">
        <v>31574</v>
      </c>
      <c r="G15031" t="s">
        <v>31582</v>
      </c>
      <c r="H15031" t="s">
        <v>31591</v>
      </c>
      <c r="I15031" t="s">
        <v>8822</v>
      </c>
      <c r="J15031" t="s">
        <v>40901</v>
      </c>
      <c r="K15031" t="s">
        <v>41203</v>
      </c>
      <c r="M15031" t="s">
        <v>43258</v>
      </c>
      <c r="N15031" t="s">
        <v>45095</v>
      </c>
      <c r="O15031" t="s">
        <v>45096</v>
      </c>
      <c r="Q15031">
        <v>5</v>
      </c>
      <c r="R15031" t="s">
        <v>45172</v>
      </c>
      <c r="S15031" t="s">
        <v>46539</v>
      </c>
      <c r="T15031" t="s">
        <v>47077</v>
      </c>
      <c r="U15031" t="s">
        <v>59534</v>
      </c>
      <c r="W15031" t="s">
        <v>43258</v>
      </c>
      <c r="X15031" t="s">
        <v>45173</v>
      </c>
    </row>
    <row r="15032" spans="1:24">
      <c r="A15032">
        <f>HYPERLINK("https://www.philgeps.gov.ph/GEPSNONPILOT/Tender/SplashBidNoticeAbstractUI.aspx?menuIndex=3&amp;refID=6928133&amp;Result=3","6928133")</f>
        <v>0</v>
      </c>
      <c r="B15032" t="s">
        <v>131</v>
      </c>
      <c r="C15032" t="s">
        <v>17599</v>
      </c>
      <c r="D15032" t="s">
        <v>18022</v>
      </c>
      <c r="E15032" t="s">
        <v>31199</v>
      </c>
      <c r="F15032" t="s">
        <v>31574</v>
      </c>
      <c r="G15032" t="s">
        <v>31582</v>
      </c>
      <c r="H15032" t="s">
        <v>31590</v>
      </c>
      <c r="I15032" t="s">
        <v>31626</v>
      </c>
      <c r="J15032" t="s">
        <v>40902</v>
      </c>
      <c r="K15032" t="s">
        <v>41489</v>
      </c>
      <c r="M15032" t="s">
        <v>44367</v>
      </c>
      <c r="N15032" t="s">
        <v>45095</v>
      </c>
      <c r="O15032" t="s">
        <v>45096</v>
      </c>
      <c r="Q15032">
        <v>11</v>
      </c>
      <c r="R15032" t="s">
        <v>45172</v>
      </c>
      <c r="S15032" t="s">
        <v>46540</v>
      </c>
      <c r="T15032" t="s">
        <v>46918</v>
      </c>
      <c r="U15032" t="s">
        <v>55451</v>
      </c>
      <c r="W15032" t="s">
        <v>44367</v>
      </c>
      <c r="X15032" t="s">
        <v>45173</v>
      </c>
    </row>
    <row r="15033" spans="1:24">
      <c r="A15033">
        <f>HYPERLINK("https://www.philgeps.gov.ph/GEPSNONPILOT/Tender/SplashBidNoticeAbstractUI.aspx?menuIndex=3&amp;refID=6927214&amp;Result=3","6927214")</f>
        <v>0</v>
      </c>
      <c r="B15033" t="s">
        <v>3166</v>
      </c>
      <c r="C15033" t="s">
        <v>17600</v>
      </c>
      <c r="D15033" t="s">
        <v>18040</v>
      </c>
      <c r="E15033" t="s">
        <v>31200</v>
      </c>
      <c r="F15033" t="s">
        <v>31574</v>
      </c>
      <c r="G15033" t="s">
        <v>31582</v>
      </c>
      <c r="H15033" t="s">
        <v>31591</v>
      </c>
      <c r="I15033" t="s">
        <v>8822</v>
      </c>
      <c r="J15033" t="s">
        <v>31962</v>
      </c>
      <c r="K15033" t="s">
        <v>41195</v>
      </c>
      <c r="M15033" t="s">
        <v>45038</v>
      </c>
      <c r="N15033" t="s">
        <v>45095</v>
      </c>
      <c r="O15033" t="s">
        <v>45096</v>
      </c>
      <c r="Q15033">
        <v>1</v>
      </c>
      <c r="R15033" t="s">
        <v>45172</v>
      </c>
      <c r="S15033" t="s">
        <v>46541</v>
      </c>
      <c r="T15033" t="s">
        <v>47301</v>
      </c>
      <c r="U15033" t="s">
        <v>59535</v>
      </c>
      <c r="W15033" t="s">
        <v>45038</v>
      </c>
      <c r="X15033" t="s">
        <v>45173</v>
      </c>
    </row>
    <row r="15034" spans="1:24">
      <c r="A15034">
        <f>HYPERLINK("https://www.philgeps.gov.ph/GEPSNONPILOT/Tender/SplashBidNoticeAbstractUI.aspx?menuIndex=3&amp;refID=6927229&amp;Result=3","6927229")</f>
        <v>0</v>
      </c>
      <c r="B15034" t="s">
        <v>1128</v>
      </c>
      <c r="C15034" t="s">
        <v>17601</v>
      </c>
      <c r="D15034" t="s">
        <v>18022</v>
      </c>
      <c r="E15034" t="s">
        <v>31178</v>
      </c>
      <c r="F15034" t="s">
        <v>31574</v>
      </c>
      <c r="G15034" t="s">
        <v>31582</v>
      </c>
      <c r="H15034" t="s">
        <v>31590</v>
      </c>
      <c r="I15034" t="s">
        <v>31608</v>
      </c>
      <c r="J15034" t="s">
        <v>31962</v>
      </c>
      <c r="K15034" t="s">
        <v>41186</v>
      </c>
      <c r="M15034" t="s">
        <v>45039</v>
      </c>
      <c r="N15034" t="s">
        <v>45095</v>
      </c>
      <c r="O15034" t="s">
        <v>45096</v>
      </c>
      <c r="Q15034">
        <v>7</v>
      </c>
      <c r="R15034" t="s">
        <v>45172</v>
      </c>
      <c r="S15034" t="s">
        <v>46542</v>
      </c>
      <c r="T15034" t="s">
        <v>46965</v>
      </c>
      <c r="U15034" t="s">
        <v>59517</v>
      </c>
      <c r="W15034" t="s">
        <v>45039</v>
      </c>
      <c r="X15034" t="s">
        <v>45173</v>
      </c>
    </row>
    <row r="15035" spans="1:24">
      <c r="A15035">
        <f>HYPERLINK("https://www.philgeps.gov.ph/GEPSNONPILOT/Tender/SplashBidNoticeAbstractUI.aspx?menuIndex=3&amp;refID=6927356&amp;Result=3","6927356")</f>
        <v>0</v>
      </c>
      <c r="B15035" t="s">
        <v>1128</v>
      </c>
      <c r="C15035" t="s">
        <v>17602</v>
      </c>
      <c r="D15035" t="s">
        <v>18022</v>
      </c>
      <c r="E15035" t="s">
        <v>31178</v>
      </c>
      <c r="F15035" t="s">
        <v>31574</v>
      </c>
      <c r="G15035" t="s">
        <v>31582</v>
      </c>
      <c r="H15035" t="s">
        <v>31590</v>
      </c>
      <c r="I15035" t="s">
        <v>31608</v>
      </c>
      <c r="J15035" t="s">
        <v>31744</v>
      </c>
      <c r="K15035" t="s">
        <v>41186</v>
      </c>
      <c r="M15035" t="s">
        <v>45039</v>
      </c>
      <c r="N15035" t="s">
        <v>45095</v>
      </c>
      <c r="O15035" t="s">
        <v>45096</v>
      </c>
      <c r="Q15035">
        <v>11</v>
      </c>
      <c r="R15035" t="s">
        <v>45172</v>
      </c>
      <c r="S15035" t="s">
        <v>46543</v>
      </c>
      <c r="T15035" t="s">
        <v>46965</v>
      </c>
      <c r="U15035" t="s">
        <v>59517</v>
      </c>
      <c r="W15035" t="s">
        <v>45039</v>
      </c>
      <c r="X15035" t="s">
        <v>45173</v>
      </c>
    </row>
    <row r="15036" spans="1:24">
      <c r="A15036">
        <f>HYPERLINK("https://www.philgeps.gov.ph/GEPSNONPILOT/Tender/SplashBidNoticeAbstractUI.aspx?menuIndex=3&amp;refID=6927037&amp;Result=3","6927037")</f>
        <v>0</v>
      </c>
      <c r="B15036" t="s">
        <v>1128</v>
      </c>
      <c r="C15036" t="s">
        <v>17603</v>
      </c>
      <c r="D15036" t="s">
        <v>18022</v>
      </c>
      <c r="E15036" t="s">
        <v>31178</v>
      </c>
      <c r="F15036" t="s">
        <v>31574</v>
      </c>
      <c r="G15036" t="s">
        <v>31582</v>
      </c>
      <c r="H15036" t="s">
        <v>31590</v>
      </c>
      <c r="I15036" t="s">
        <v>31608</v>
      </c>
      <c r="J15036" t="s">
        <v>40903</v>
      </c>
      <c r="K15036" t="s">
        <v>41186</v>
      </c>
      <c r="M15036" t="s">
        <v>45039</v>
      </c>
      <c r="N15036" t="s">
        <v>45095</v>
      </c>
      <c r="O15036" t="s">
        <v>45096</v>
      </c>
      <c r="Q15036">
        <v>9</v>
      </c>
      <c r="R15036" t="s">
        <v>45172</v>
      </c>
      <c r="S15036" t="s">
        <v>46544</v>
      </c>
      <c r="T15036" t="s">
        <v>46965</v>
      </c>
      <c r="U15036" t="s">
        <v>59517</v>
      </c>
      <c r="W15036" t="s">
        <v>45039</v>
      </c>
      <c r="X15036" t="s">
        <v>45173</v>
      </c>
    </row>
    <row r="15037" spans="1:24">
      <c r="A15037">
        <f>HYPERLINK("https://www.philgeps.gov.ph/GEPSNONPILOT/Tender/SplashBidNoticeAbstractUI.aspx?menuIndex=3&amp;refID=6927294&amp;Result=3","6927294")</f>
        <v>0</v>
      </c>
      <c r="B15037" t="s">
        <v>2092</v>
      </c>
      <c r="C15037" t="s">
        <v>17604</v>
      </c>
      <c r="D15037" t="s">
        <v>18030</v>
      </c>
      <c r="E15037" t="s">
        <v>31201</v>
      </c>
      <c r="F15037" t="s">
        <v>31574</v>
      </c>
      <c r="G15037" t="s">
        <v>31582</v>
      </c>
      <c r="H15037" t="s">
        <v>31592</v>
      </c>
      <c r="I15037" t="s">
        <v>31686</v>
      </c>
      <c r="J15037" t="s">
        <v>40904</v>
      </c>
      <c r="K15037" t="s">
        <v>41200</v>
      </c>
      <c r="M15037" t="s">
        <v>43900</v>
      </c>
      <c r="N15037" t="s">
        <v>45095</v>
      </c>
      <c r="O15037" t="s">
        <v>45096</v>
      </c>
      <c r="Q15037">
        <v>8</v>
      </c>
      <c r="R15037" t="s">
        <v>45172</v>
      </c>
      <c r="S15037" t="s">
        <v>46545</v>
      </c>
      <c r="T15037" t="s">
        <v>46963</v>
      </c>
      <c r="U15037" t="s">
        <v>53298</v>
      </c>
      <c r="V15037" t="s">
        <v>61575</v>
      </c>
      <c r="W15037" t="s">
        <v>43900</v>
      </c>
      <c r="X15037" t="s">
        <v>45173</v>
      </c>
    </row>
    <row r="15038" spans="1:24">
      <c r="A15038">
        <f>HYPERLINK("https://www.philgeps.gov.ph/GEPSNONPILOT/Tender/SplashBidNoticeAbstractUI.aspx?menuIndex=3&amp;refID=6932620&amp;Result=3","6932620")</f>
        <v>0</v>
      </c>
      <c r="B15038" t="s">
        <v>1128</v>
      </c>
      <c r="C15038" t="s">
        <v>17605</v>
      </c>
      <c r="D15038" t="s">
        <v>18030</v>
      </c>
      <c r="E15038" t="s">
        <v>31169</v>
      </c>
      <c r="F15038" t="s">
        <v>31574</v>
      </c>
      <c r="G15038" t="s">
        <v>31582</v>
      </c>
      <c r="H15038" t="s">
        <v>31590</v>
      </c>
      <c r="I15038" t="s">
        <v>14544</v>
      </c>
      <c r="J15038" t="s">
        <v>40905</v>
      </c>
      <c r="K15038" t="s">
        <v>41186</v>
      </c>
      <c r="M15038" t="s">
        <v>45037</v>
      </c>
      <c r="N15038" t="s">
        <v>45095</v>
      </c>
      <c r="O15038" t="s">
        <v>45096</v>
      </c>
      <c r="Q15038">
        <v>5</v>
      </c>
      <c r="R15038" t="s">
        <v>45171</v>
      </c>
      <c r="S15038" t="s">
        <v>46546</v>
      </c>
      <c r="T15038" t="s">
        <v>46977</v>
      </c>
      <c r="U15038" t="s">
        <v>59509</v>
      </c>
      <c r="V15038" t="s">
        <v>61567</v>
      </c>
      <c r="W15038" t="s">
        <v>45037</v>
      </c>
      <c r="X15038" t="s">
        <v>45172</v>
      </c>
    </row>
    <row r="15039" spans="1:24">
      <c r="A15039">
        <f>HYPERLINK("https://www.philgeps.gov.ph/GEPSNONPILOT/Tender/SplashBidNoticeAbstractUI.aspx?menuIndex=3&amp;refID=6928512&amp;Result=3","6928512")</f>
        <v>0</v>
      </c>
      <c r="B15039" t="s">
        <v>3169</v>
      </c>
      <c r="C15039" t="s">
        <v>17606</v>
      </c>
      <c r="D15039" t="s">
        <v>18052</v>
      </c>
      <c r="E15039" t="s">
        <v>31202</v>
      </c>
      <c r="F15039" t="s">
        <v>31574</v>
      </c>
      <c r="G15039" t="s">
        <v>31582</v>
      </c>
      <c r="H15039" t="s">
        <v>31591</v>
      </c>
      <c r="I15039" t="s">
        <v>8822</v>
      </c>
      <c r="J15039" t="s">
        <v>40906</v>
      </c>
      <c r="K15039" t="s">
        <v>41198</v>
      </c>
      <c r="M15039" t="s">
        <v>45043</v>
      </c>
      <c r="N15039" t="s">
        <v>45095</v>
      </c>
      <c r="O15039" t="s">
        <v>45096</v>
      </c>
      <c r="Q15039">
        <v>21</v>
      </c>
      <c r="R15039" t="s">
        <v>45172</v>
      </c>
      <c r="S15039" t="s">
        <v>46547</v>
      </c>
      <c r="T15039" t="s">
        <v>47106</v>
      </c>
      <c r="U15039" t="s">
        <v>59536</v>
      </c>
      <c r="W15039" t="s">
        <v>45043</v>
      </c>
      <c r="X15039" t="s">
        <v>45173</v>
      </c>
    </row>
    <row r="15040" spans="1:24">
      <c r="A15040">
        <f>HYPERLINK("https://www.philgeps.gov.ph/GEPSNONPILOT/Tender/SplashBidNoticeAbstractUI.aspx?menuIndex=3&amp;refID=6927192&amp;Result=3","6927192")</f>
        <v>0</v>
      </c>
      <c r="B15040" t="s">
        <v>1128</v>
      </c>
      <c r="C15040" t="s">
        <v>17607</v>
      </c>
      <c r="D15040" t="s">
        <v>18022</v>
      </c>
      <c r="E15040" t="s">
        <v>31178</v>
      </c>
      <c r="F15040" t="s">
        <v>31574</v>
      </c>
      <c r="G15040" t="s">
        <v>31582</v>
      </c>
      <c r="H15040" t="s">
        <v>31590</v>
      </c>
      <c r="I15040" t="s">
        <v>31608</v>
      </c>
      <c r="J15040" t="s">
        <v>40907</v>
      </c>
      <c r="K15040" t="s">
        <v>41186</v>
      </c>
      <c r="M15040" t="s">
        <v>45039</v>
      </c>
      <c r="N15040" t="s">
        <v>45095</v>
      </c>
      <c r="O15040" t="s">
        <v>45096</v>
      </c>
      <c r="Q15040">
        <v>12</v>
      </c>
      <c r="R15040" t="s">
        <v>45172</v>
      </c>
      <c r="S15040" t="s">
        <v>46548</v>
      </c>
      <c r="T15040" t="s">
        <v>46965</v>
      </c>
      <c r="U15040" t="s">
        <v>59517</v>
      </c>
      <c r="W15040" t="s">
        <v>45039</v>
      </c>
      <c r="X15040" t="s">
        <v>45173</v>
      </c>
    </row>
    <row r="15041" spans="1:24">
      <c r="A15041">
        <f>HYPERLINK("https://www.philgeps.gov.ph/GEPSNONPILOT/Tender/SplashBidNoticeAbstractUI.aspx?menuIndex=3&amp;refID=6927103&amp;Result=3","6927103")</f>
        <v>0</v>
      </c>
      <c r="B15041" t="s">
        <v>2564</v>
      </c>
      <c r="C15041" t="s">
        <v>17608</v>
      </c>
      <c r="D15041" t="s">
        <v>18022</v>
      </c>
      <c r="E15041" t="s">
        <v>31203</v>
      </c>
      <c r="F15041" t="s">
        <v>31574</v>
      </c>
      <c r="G15041" t="s">
        <v>31582</v>
      </c>
      <c r="H15041" t="s">
        <v>31591</v>
      </c>
      <c r="I15041" t="s">
        <v>8822</v>
      </c>
      <c r="J15041" t="s">
        <v>40908</v>
      </c>
      <c r="K15041" t="s">
        <v>41200</v>
      </c>
      <c r="M15041" t="s">
        <v>44303</v>
      </c>
      <c r="N15041" t="s">
        <v>45095</v>
      </c>
      <c r="O15041" t="s">
        <v>45096</v>
      </c>
      <c r="Q15041">
        <v>13</v>
      </c>
      <c r="R15041" t="s">
        <v>45172</v>
      </c>
      <c r="S15041" t="s">
        <v>46549</v>
      </c>
      <c r="T15041" t="s">
        <v>47000</v>
      </c>
      <c r="U15041" t="s">
        <v>59537</v>
      </c>
      <c r="W15041" t="s">
        <v>44303</v>
      </c>
      <c r="X15041" t="s">
        <v>45173</v>
      </c>
    </row>
    <row r="15042" spans="1:24">
      <c r="A15042">
        <f>HYPERLINK("https://www.philgeps.gov.ph/GEPSNONPILOT/Tender/SplashBidNoticeAbstractUI.aspx?menuIndex=3&amp;refID=6928814&amp;Result=3","6928814")</f>
        <v>0</v>
      </c>
      <c r="B15042" t="s">
        <v>3170</v>
      </c>
      <c r="C15042" t="s">
        <v>17609</v>
      </c>
      <c r="D15042" t="s">
        <v>18049</v>
      </c>
      <c r="E15042" t="s">
        <v>31204</v>
      </c>
      <c r="F15042" t="s">
        <v>31574</v>
      </c>
      <c r="G15042" t="s">
        <v>31582</v>
      </c>
      <c r="H15042" t="s">
        <v>31591</v>
      </c>
      <c r="I15042" t="s">
        <v>8822</v>
      </c>
      <c r="J15042" t="s">
        <v>40909</v>
      </c>
      <c r="K15042" t="s">
        <v>41184</v>
      </c>
      <c r="M15042" t="s">
        <v>45044</v>
      </c>
      <c r="N15042" t="s">
        <v>45095</v>
      </c>
      <c r="O15042" t="s">
        <v>45096</v>
      </c>
      <c r="Q15042">
        <v>1</v>
      </c>
      <c r="R15042" t="s">
        <v>45172</v>
      </c>
      <c r="S15042" t="s">
        <v>46180</v>
      </c>
      <c r="T15042" t="s">
        <v>46912</v>
      </c>
      <c r="U15042" t="s">
        <v>59538</v>
      </c>
      <c r="W15042" t="s">
        <v>45044</v>
      </c>
      <c r="X15042" t="s">
        <v>45173</v>
      </c>
    </row>
    <row r="15043" spans="1:24">
      <c r="A15043">
        <f>HYPERLINK("https://www.philgeps.gov.ph/GEPSNONPILOT/Tender/SplashBidNoticeAbstractUI.aspx?menuIndex=3&amp;refID=6911731&amp;Result=3","6911731")</f>
        <v>0</v>
      </c>
      <c r="B15043" t="s">
        <v>2958</v>
      </c>
      <c r="C15043" t="s">
        <v>17610</v>
      </c>
      <c r="D15043" t="s">
        <v>18028</v>
      </c>
      <c r="E15043" t="s">
        <v>31205</v>
      </c>
      <c r="F15043" t="s">
        <v>31574</v>
      </c>
      <c r="G15043" t="s">
        <v>31582</v>
      </c>
      <c r="H15043" t="s">
        <v>31590</v>
      </c>
      <c r="I15043" t="s">
        <v>31631</v>
      </c>
      <c r="J15043" t="s">
        <v>32019</v>
      </c>
      <c r="K15043" t="s">
        <v>41186</v>
      </c>
      <c r="M15043" t="s">
        <v>44777</v>
      </c>
      <c r="N15043" t="s">
        <v>45095</v>
      </c>
      <c r="O15043" t="s">
        <v>45096</v>
      </c>
      <c r="Q15043">
        <v>0</v>
      </c>
      <c r="R15043" t="s">
        <v>45173</v>
      </c>
      <c r="S15043" t="s">
        <v>46550</v>
      </c>
      <c r="T15043" t="s">
        <v>47030</v>
      </c>
      <c r="U15043" t="s">
        <v>59539</v>
      </c>
      <c r="W15043" t="s">
        <v>44777</v>
      </c>
      <c r="X15043" t="s">
        <v>45179</v>
      </c>
    </row>
    <row r="15044" spans="1:24">
      <c r="A15044">
        <f>HYPERLINK("https://www.philgeps.gov.ph/GEPSNONPILOT/Tender/SplashBidNoticeAbstractUI.aspx?menuIndex=3&amp;refID=6928764&amp;Result=3","6928764")</f>
        <v>0</v>
      </c>
      <c r="B15044" t="s">
        <v>3170</v>
      </c>
      <c r="C15044" t="s">
        <v>17611</v>
      </c>
      <c r="D15044" t="s">
        <v>18049</v>
      </c>
      <c r="E15044" t="s">
        <v>31204</v>
      </c>
      <c r="F15044" t="s">
        <v>31574</v>
      </c>
      <c r="G15044" t="s">
        <v>31582</v>
      </c>
      <c r="H15044" t="s">
        <v>31591</v>
      </c>
      <c r="I15044" t="s">
        <v>8822</v>
      </c>
      <c r="J15044" t="s">
        <v>40910</v>
      </c>
      <c r="K15044" t="s">
        <v>41184</v>
      </c>
      <c r="M15044" t="s">
        <v>45044</v>
      </c>
      <c r="N15044" t="s">
        <v>45095</v>
      </c>
      <c r="O15044" t="s">
        <v>45096</v>
      </c>
      <c r="Q15044">
        <v>1</v>
      </c>
      <c r="R15044" t="s">
        <v>45172</v>
      </c>
      <c r="S15044" t="s">
        <v>46551</v>
      </c>
      <c r="T15044" t="s">
        <v>46912</v>
      </c>
      <c r="U15044" t="s">
        <v>59538</v>
      </c>
      <c r="W15044" t="s">
        <v>45044</v>
      </c>
      <c r="X15044" t="s">
        <v>45173</v>
      </c>
    </row>
    <row r="15045" spans="1:24">
      <c r="A15045">
        <f>HYPERLINK("https://www.philgeps.gov.ph/GEPSNONPILOT/Tender/SplashBidNoticeAbstractUI.aspx?menuIndex=3&amp;refID=6928800&amp;Result=3","6928800")</f>
        <v>0</v>
      </c>
      <c r="B15045" t="s">
        <v>3170</v>
      </c>
      <c r="C15045" t="s">
        <v>17612</v>
      </c>
      <c r="D15045" t="s">
        <v>18049</v>
      </c>
      <c r="E15045" t="s">
        <v>31206</v>
      </c>
      <c r="F15045" t="s">
        <v>31574</v>
      </c>
      <c r="G15045" t="s">
        <v>31582</v>
      </c>
      <c r="H15045" t="s">
        <v>31591</v>
      </c>
      <c r="I15045" t="s">
        <v>8822</v>
      </c>
      <c r="J15045" t="s">
        <v>40911</v>
      </c>
      <c r="K15045" t="s">
        <v>41184</v>
      </c>
      <c r="M15045" t="s">
        <v>45044</v>
      </c>
      <c r="N15045" t="s">
        <v>45095</v>
      </c>
      <c r="O15045" t="s">
        <v>45096</v>
      </c>
      <c r="Q15045">
        <v>0</v>
      </c>
      <c r="R15045" t="s">
        <v>45172</v>
      </c>
      <c r="S15045" t="s">
        <v>46552</v>
      </c>
      <c r="T15045" t="s">
        <v>46912</v>
      </c>
      <c r="U15045" t="s">
        <v>59538</v>
      </c>
      <c r="W15045" t="s">
        <v>45044</v>
      </c>
      <c r="X15045" t="s">
        <v>45173</v>
      </c>
    </row>
    <row r="15046" spans="1:24">
      <c r="A15046">
        <f>HYPERLINK("https://www.philgeps.gov.ph/GEPSNONPILOT/Tender/SplashBidNoticeAbstractUI.aspx?menuIndex=3&amp;refID=6903317&amp;Result=3","6903317")</f>
        <v>0</v>
      </c>
      <c r="B15046" t="s">
        <v>62</v>
      </c>
      <c r="C15046" t="s">
        <v>17613</v>
      </c>
      <c r="D15046" t="s">
        <v>18037</v>
      </c>
      <c r="E15046" t="s">
        <v>31207</v>
      </c>
      <c r="F15046" t="s">
        <v>31574</v>
      </c>
      <c r="G15046" t="s">
        <v>31588</v>
      </c>
      <c r="H15046" t="s">
        <v>31593</v>
      </c>
      <c r="I15046" t="s">
        <v>31593</v>
      </c>
      <c r="J15046" t="s">
        <v>40912</v>
      </c>
      <c r="K15046" t="s">
        <v>41184</v>
      </c>
      <c r="L15046" t="s">
        <v>62</v>
      </c>
      <c r="M15046" t="s">
        <v>43390</v>
      </c>
      <c r="N15046" t="s">
        <v>45095</v>
      </c>
      <c r="O15046" t="s">
        <v>45096</v>
      </c>
      <c r="Q15046">
        <v>9</v>
      </c>
      <c r="R15046" t="s">
        <v>45173</v>
      </c>
      <c r="S15046" t="s">
        <v>46553</v>
      </c>
      <c r="T15046" t="s">
        <v>46908</v>
      </c>
      <c r="U15046" t="s">
        <v>59540</v>
      </c>
      <c r="W15046" t="s">
        <v>43390</v>
      </c>
      <c r="X15046" t="s">
        <v>45181</v>
      </c>
    </row>
    <row r="15047" spans="1:24">
      <c r="A15047">
        <f>HYPERLINK("https://www.philgeps.gov.ph/GEPSNONPILOT/Tender/SplashBidNoticeAbstractUI.aspx?menuIndex=3&amp;refID=6928788&amp;Result=3","6928788")</f>
        <v>0</v>
      </c>
      <c r="B15047" t="s">
        <v>3170</v>
      </c>
      <c r="C15047" t="s">
        <v>17614</v>
      </c>
      <c r="D15047" t="s">
        <v>18049</v>
      </c>
      <c r="E15047" t="s">
        <v>31208</v>
      </c>
      <c r="F15047" t="s">
        <v>31574</v>
      </c>
      <c r="G15047" t="s">
        <v>31582</v>
      </c>
      <c r="H15047" t="s">
        <v>31591</v>
      </c>
      <c r="I15047" t="s">
        <v>8822</v>
      </c>
      <c r="J15047" t="s">
        <v>40913</v>
      </c>
      <c r="K15047" t="s">
        <v>41184</v>
      </c>
      <c r="M15047" t="s">
        <v>45044</v>
      </c>
      <c r="N15047" t="s">
        <v>45095</v>
      </c>
      <c r="O15047" t="s">
        <v>45096</v>
      </c>
      <c r="Q15047">
        <v>0</v>
      </c>
      <c r="R15047" t="s">
        <v>45172</v>
      </c>
      <c r="S15047" t="s">
        <v>45810</v>
      </c>
      <c r="T15047" t="s">
        <v>46912</v>
      </c>
      <c r="U15047" t="s">
        <v>59538</v>
      </c>
      <c r="W15047" t="s">
        <v>45044</v>
      </c>
      <c r="X15047" t="s">
        <v>45173</v>
      </c>
    </row>
    <row r="15048" spans="1:24">
      <c r="A15048">
        <f>HYPERLINK("https://www.philgeps.gov.ph/GEPSNONPILOT/Tender/SplashBidNoticeAbstractUI.aspx?menuIndex=3&amp;refID=6928859&amp;Result=3","6928859")</f>
        <v>0</v>
      </c>
      <c r="B15048" t="s">
        <v>3170</v>
      </c>
      <c r="C15048" t="s">
        <v>17615</v>
      </c>
      <c r="D15048" t="s">
        <v>18049</v>
      </c>
      <c r="E15048" t="s">
        <v>31209</v>
      </c>
      <c r="F15048" t="s">
        <v>31574</v>
      </c>
      <c r="G15048" t="s">
        <v>31582</v>
      </c>
      <c r="H15048" t="s">
        <v>31591</v>
      </c>
      <c r="I15048" t="s">
        <v>8822</v>
      </c>
      <c r="J15048" t="s">
        <v>40914</v>
      </c>
      <c r="K15048" t="s">
        <v>41184</v>
      </c>
      <c r="M15048" t="s">
        <v>45044</v>
      </c>
      <c r="N15048" t="s">
        <v>45095</v>
      </c>
      <c r="O15048" t="s">
        <v>45096</v>
      </c>
      <c r="Q15048">
        <v>0</v>
      </c>
      <c r="R15048" t="s">
        <v>45172</v>
      </c>
      <c r="S15048" t="s">
        <v>46554</v>
      </c>
      <c r="T15048" t="s">
        <v>46912</v>
      </c>
      <c r="U15048" t="s">
        <v>59538</v>
      </c>
      <c r="W15048" t="s">
        <v>45044</v>
      </c>
      <c r="X15048" t="s">
        <v>45173</v>
      </c>
    </row>
    <row r="15049" spans="1:24">
      <c r="A15049">
        <f>HYPERLINK("https://www.philgeps.gov.ph/GEPSNONPILOT/Tender/SplashBidNoticeAbstractUI.aspx?menuIndex=3&amp;refID=6928834&amp;Result=3","6928834")</f>
        <v>0</v>
      </c>
      <c r="B15049" t="s">
        <v>3170</v>
      </c>
      <c r="C15049" t="s">
        <v>17616</v>
      </c>
      <c r="D15049" t="s">
        <v>18049</v>
      </c>
      <c r="E15049" t="s">
        <v>31210</v>
      </c>
      <c r="F15049" t="s">
        <v>31574</v>
      </c>
      <c r="G15049" t="s">
        <v>31582</v>
      </c>
      <c r="H15049" t="s">
        <v>31591</v>
      </c>
      <c r="I15049" t="s">
        <v>8822</v>
      </c>
      <c r="J15049" t="s">
        <v>40915</v>
      </c>
      <c r="K15049" t="s">
        <v>41184</v>
      </c>
      <c r="M15049" t="s">
        <v>45044</v>
      </c>
      <c r="N15049" t="s">
        <v>45095</v>
      </c>
      <c r="O15049" t="s">
        <v>45096</v>
      </c>
      <c r="Q15049">
        <v>0</v>
      </c>
      <c r="R15049" t="s">
        <v>45172</v>
      </c>
      <c r="S15049" t="s">
        <v>46178</v>
      </c>
      <c r="T15049" t="s">
        <v>46912</v>
      </c>
      <c r="U15049" t="s">
        <v>59538</v>
      </c>
      <c r="W15049" t="s">
        <v>45044</v>
      </c>
      <c r="X15049" t="s">
        <v>45173</v>
      </c>
    </row>
    <row r="15050" spans="1:24">
      <c r="A15050">
        <f>HYPERLINK("https://www.philgeps.gov.ph/GEPSNONPILOT/Tender/SplashBidNoticeAbstractUI.aspx?menuIndex=3&amp;refID=6928514&amp;Result=3","6928514")</f>
        <v>0</v>
      </c>
      <c r="B15050" t="s">
        <v>3171</v>
      </c>
      <c r="C15050" t="s">
        <v>17617</v>
      </c>
      <c r="D15050" t="s">
        <v>18044</v>
      </c>
      <c r="E15050" t="s">
        <v>31211</v>
      </c>
      <c r="F15050" t="s">
        <v>31574</v>
      </c>
      <c r="G15050" t="s">
        <v>31582</v>
      </c>
      <c r="H15050" t="s">
        <v>31590</v>
      </c>
      <c r="I15050" t="s">
        <v>31608</v>
      </c>
      <c r="J15050" t="s">
        <v>40916</v>
      </c>
      <c r="K15050" t="s">
        <v>41192</v>
      </c>
      <c r="M15050" t="s">
        <v>45045</v>
      </c>
      <c r="N15050" t="s">
        <v>45095</v>
      </c>
      <c r="O15050" t="s">
        <v>45096</v>
      </c>
      <c r="Q15050">
        <v>10</v>
      </c>
      <c r="R15050" t="s">
        <v>45172</v>
      </c>
      <c r="S15050" t="s">
        <v>46555</v>
      </c>
      <c r="T15050" t="s">
        <v>47010</v>
      </c>
      <c r="U15050" t="s">
        <v>59541</v>
      </c>
      <c r="W15050" t="s">
        <v>45045</v>
      </c>
      <c r="X15050" t="s">
        <v>45173</v>
      </c>
    </row>
    <row r="15051" spans="1:24">
      <c r="A15051">
        <f>HYPERLINK("https://www.philgeps.gov.ph/GEPSNONPILOT/Tender/SplashBidNoticeAbstractUI.aspx?menuIndex=3&amp;refID=6918923&amp;Result=3","6918923")</f>
        <v>0</v>
      </c>
      <c r="B15051" t="s">
        <v>1556</v>
      </c>
      <c r="C15051" t="s">
        <v>17618</v>
      </c>
      <c r="D15051" t="s">
        <v>18022</v>
      </c>
      <c r="E15051" t="s">
        <v>31212</v>
      </c>
      <c r="F15051" t="s">
        <v>31574</v>
      </c>
      <c r="G15051" t="s">
        <v>31582</v>
      </c>
      <c r="H15051" t="s">
        <v>31590</v>
      </c>
      <c r="I15051" t="s">
        <v>31620</v>
      </c>
      <c r="J15051" t="s">
        <v>31888</v>
      </c>
      <c r="K15051" t="s">
        <v>41184</v>
      </c>
      <c r="M15051" t="s">
        <v>45046</v>
      </c>
      <c r="N15051" t="s">
        <v>45095</v>
      </c>
      <c r="O15051" t="s">
        <v>45096</v>
      </c>
      <c r="Q15051">
        <v>25</v>
      </c>
      <c r="R15051" t="s">
        <v>45173</v>
      </c>
      <c r="S15051" t="s">
        <v>45399</v>
      </c>
      <c r="T15051" t="s">
        <v>46979</v>
      </c>
      <c r="U15051" t="s">
        <v>53358</v>
      </c>
      <c r="W15051" t="s">
        <v>45046</v>
      </c>
      <c r="X15051" t="s">
        <v>45177</v>
      </c>
    </row>
    <row r="15052" spans="1:24">
      <c r="A15052">
        <f>HYPERLINK("https://www.philgeps.gov.ph/GEPSNONPILOT/Tender/SplashBidNoticeAbstractUI.aspx?menuIndex=3&amp;refID=6922461&amp;Result=3","6922461")</f>
        <v>0</v>
      </c>
      <c r="B15052" t="s">
        <v>3172</v>
      </c>
      <c r="C15052" t="s">
        <v>17619</v>
      </c>
      <c r="D15052" t="s">
        <v>18030</v>
      </c>
      <c r="E15052" t="s">
        <v>19014</v>
      </c>
      <c r="F15052" t="s">
        <v>31574</v>
      </c>
      <c r="G15052" t="s">
        <v>31582</v>
      </c>
      <c r="H15052" t="s">
        <v>31590</v>
      </c>
      <c r="I15052" t="s">
        <v>4327</v>
      </c>
      <c r="J15052" t="s">
        <v>40917</v>
      </c>
      <c r="K15052" t="s">
        <v>41196</v>
      </c>
      <c r="M15052" t="s">
        <v>45047</v>
      </c>
      <c r="N15052" t="s">
        <v>45095</v>
      </c>
      <c r="O15052" t="s">
        <v>45096</v>
      </c>
      <c r="Q15052">
        <v>7</v>
      </c>
      <c r="R15052" t="s">
        <v>45173</v>
      </c>
      <c r="S15052" t="s">
        <v>46178</v>
      </c>
      <c r="T15052" t="s">
        <v>46985</v>
      </c>
      <c r="U15052" t="s">
        <v>59542</v>
      </c>
      <c r="V15052" t="s">
        <v>61576</v>
      </c>
      <c r="W15052" t="s">
        <v>45047</v>
      </c>
      <c r="X15052" t="s">
        <v>45174</v>
      </c>
    </row>
    <row r="15053" spans="1:24">
      <c r="A15053">
        <f>HYPERLINK("https://www.philgeps.gov.ph/GEPSNONPILOT/Tender/SplashBidNoticeAbstractUI.aspx?menuIndex=3&amp;refID=6928965&amp;Result=3","6928965")</f>
        <v>0</v>
      </c>
      <c r="B15053" t="s">
        <v>3153</v>
      </c>
      <c r="C15053" t="s">
        <v>17620</v>
      </c>
      <c r="D15053" t="s">
        <v>18041</v>
      </c>
      <c r="E15053" t="s">
        <v>31213</v>
      </c>
      <c r="F15053" t="s">
        <v>31574</v>
      </c>
      <c r="G15053" t="s">
        <v>31582</v>
      </c>
      <c r="H15053" t="s">
        <v>31591</v>
      </c>
      <c r="I15053" t="s">
        <v>8822</v>
      </c>
      <c r="J15053" t="s">
        <v>33279</v>
      </c>
      <c r="K15053" t="s">
        <v>41189</v>
      </c>
      <c r="M15053" t="s">
        <v>45014</v>
      </c>
      <c r="N15053" t="s">
        <v>45095</v>
      </c>
      <c r="O15053" t="s">
        <v>45096</v>
      </c>
      <c r="Q15053">
        <v>16</v>
      </c>
      <c r="R15053" t="s">
        <v>45172</v>
      </c>
      <c r="S15053" t="s">
        <v>46556</v>
      </c>
      <c r="T15053" t="s">
        <v>46955</v>
      </c>
      <c r="U15053" t="s">
        <v>59543</v>
      </c>
      <c r="V15053" t="s">
        <v>61499</v>
      </c>
      <c r="W15053" t="s">
        <v>61777</v>
      </c>
      <c r="X15053" t="s">
        <v>45173</v>
      </c>
    </row>
    <row r="15054" spans="1:24">
      <c r="A15054">
        <f>HYPERLINK("https://www.philgeps.gov.ph/GEPSNONPILOT/Tender/SplashBidNoticeAbstractUI.aspx?menuIndex=3&amp;refID=6928847&amp;Result=3","6928847")</f>
        <v>0</v>
      </c>
      <c r="B15054" t="s">
        <v>3170</v>
      </c>
      <c r="C15054" t="s">
        <v>17621</v>
      </c>
      <c r="D15054" t="s">
        <v>18049</v>
      </c>
      <c r="E15054" t="s">
        <v>31214</v>
      </c>
      <c r="F15054" t="s">
        <v>31574</v>
      </c>
      <c r="G15054" t="s">
        <v>31582</v>
      </c>
      <c r="H15054" t="s">
        <v>31591</v>
      </c>
      <c r="I15054" t="s">
        <v>8822</v>
      </c>
      <c r="J15054" t="s">
        <v>40918</v>
      </c>
      <c r="K15054" t="s">
        <v>41184</v>
      </c>
      <c r="M15054" t="s">
        <v>45044</v>
      </c>
      <c r="N15054" t="s">
        <v>45095</v>
      </c>
      <c r="O15054" t="s">
        <v>45096</v>
      </c>
      <c r="Q15054">
        <v>1</v>
      </c>
      <c r="R15054" t="s">
        <v>45172</v>
      </c>
      <c r="S15054" t="s">
        <v>46557</v>
      </c>
      <c r="T15054" t="s">
        <v>46912</v>
      </c>
      <c r="U15054" t="s">
        <v>59538</v>
      </c>
      <c r="W15054" t="s">
        <v>45044</v>
      </c>
      <c r="X15054" t="s">
        <v>45173</v>
      </c>
    </row>
    <row r="15055" spans="1:24">
      <c r="A15055">
        <f>HYPERLINK("https://www.philgeps.gov.ph/GEPSNONPILOT/Tender/SplashBidNoticeAbstractUI.aspx?menuIndex=3&amp;refID=6922952&amp;Result=3","6922952")</f>
        <v>0</v>
      </c>
      <c r="B15055" t="s">
        <v>1556</v>
      </c>
      <c r="C15055" t="s">
        <v>17622</v>
      </c>
      <c r="D15055" t="s">
        <v>18022</v>
      </c>
      <c r="E15055" t="s">
        <v>31215</v>
      </c>
      <c r="F15055" t="s">
        <v>31574</v>
      </c>
      <c r="G15055" t="s">
        <v>31582</v>
      </c>
      <c r="H15055" t="s">
        <v>31590</v>
      </c>
      <c r="I15055" t="s">
        <v>31620</v>
      </c>
      <c r="J15055" t="s">
        <v>32325</v>
      </c>
      <c r="K15055" t="s">
        <v>41184</v>
      </c>
      <c r="M15055" t="s">
        <v>45048</v>
      </c>
      <c r="N15055" t="s">
        <v>45095</v>
      </c>
      <c r="O15055" t="s">
        <v>45096</v>
      </c>
      <c r="Q15055">
        <v>24</v>
      </c>
      <c r="R15055" t="s">
        <v>45173</v>
      </c>
      <c r="S15055" t="s">
        <v>46558</v>
      </c>
      <c r="T15055" t="s">
        <v>46979</v>
      </c>
      <c r="U15055" t="s">
        <v>48581</v>
      </c>
      <c r="W15055" t="s">
        <v>45048</v>
      </c>
      <c r="X15055" t="s">
        <v>45174</v>
      </c>
    </row>
    <row r="15056" spans="1:24">
      <c r="A15056">
        <f>HYPERLINK("https://www.philgeps.gov.ph/GEPSNONPILOT/Tender/SplashBidNoticeAbstractUI.aspx?menuIndex=3&amp;refID=6922885&amp;Result=3","6922885")</f>
        <v>0</v>
      </c>
      <c r="B15056" t="s">
        <v>1329</v>
      </c>
      <c r="C15056" t="s">
        <v>17623</v>
      </c>
      <c r="E15056" t="s">
        <v>31216</v>
      </c>
      <c r="F15056" t="s">
        <v>31574</v>
      </c>
      <c r="G15056" t="s">
        <v>31582</v>
      </c>
      <c r="H15056" t="s">
        <v>31590</v>
      </c>
      <c r="I15056" t="s">
        <v>31648</v>
      </c>
      <c r="J15056" t="s">
        <v>40919</v>
      </c>
      <c r="K15056" t="s">
        <v>41184</v>
      </c>
      <c r="M15056" t="s">
        <v>42899</v>
      </c>
      <c r="N15056" t="s">
        <v>45095</v>
      </c>
      <c r="O15056" t="s">
        <v>45096</v>
      </c>
      <c r="Q15056">
        <v>23</v>
      </c>
      <c r="R15056" t="s">
        <v>45173</v>
      </c>
      <c r="S15056" t="s">
        <v>45804</v>
      </c>
      <c r="T15056" t="s">
        <v>47050</v>
      </c>
      <c r="U15056" t="s">
        <v>59544</v>
      </c>
      <c r="W15056" t="s">
        <v>42899</v>
      </c>
      <c r="X15056" t="s">
        <v>45174</v>
      </c>
    </row>
    <row r="15057" spans="1:24">
      <c r="A15057">
        <f>HYPERLINK("https://www.philgeps.gov.ph/GEPSNONPILOT/Tender/SplashBidNoticeAbstractUI.aspx?menuIndex=3&amp;refID=6923132&amp;Result=3","6923132")</f>
        <v>0</v>
      </c>
      <c r="B15057" t="s">
        <v>1503</v>
      </c>
      <c r="C15057" t="s">
        <v>17624</v>
      </c>
      <c r="D15057" t="s">
        <v>18030</v>
      </c>
      <c r="E15057" t="s">
        <v>31217</v>
      </c>
      <c r="F15057" t="s">
        <v>31574</v>
      </c>
      <c r="G15057" t="s">
        <v>31582</v>
      </c>
      <c r="H15057" t="s">
        <v>31591</v>
      </c>
      <c r="I15057" t="s">
        <v>8822</v>
      </c>
      <c r="J15057" t="s">
        <v>40920</v>
      </c>
      <c r="K15057" t="s">
        <v>41198</v>
      </c>
      <c r="M15057" t="s">
        <v>43224</v>
      </c>
      <c r="N15057" t="s">
        <v>45095</v>
      </c>
      <c r="O15057" t="s">
        <v>45096</v>
      </c>
      <c r="Q15057">
        <v>36</v>
      </c>
      <c r="R15057" t="s">
        <v>45173</v>
      </c>
      <c r="S15057" t="s">
        <v>46559</v>
      </c>
      <c r="T15057" t="s">
        <v>47159</v>
      </c>
      <c r="U15057" t="s">
        <v>51532</v>
      </c>
      <c r="V15057" t="s">
        <v>60368</v>
      </c>
      <c r="W15057" t="s">
        <v>43224</v>
      </c>
      <c r="X15057" t="s">
        <v>45174</v>
      </c>
    </row>
    <row r="15058" spans="1:24">
      <c r="A15058">
        <f>HYPERLINK("https://www.philgeps.gov.ph/GEPSNONPILOT/Tender/SplashBidNoticeAbstractUI.aspx?menuIndex=3&amp;refID=6922629&amp;Result=3","6922629")</f>
        <v>0</v>
      </c>
      <c r="B15058" t="s">
        <v>2489</v>
      </c>
      <c r="C15058" t="s">
        <v>17625</v>
      </c>
      <c r="D15058" t="s">
        <v>18055</v>
      </c>
      <c r="E15058" t="s">
        <v>31218</v>
      </c>
      <c r="F15058" t="s">
        <v>31574</v>
      </c>
      <c r="G15058" t="s">
        <v>31582</v>
      </c>
      <c r="H15058" t="s">
        <v>31591</v>
      </c>
      <c r="I15058" t="s">
        <v>8822</v>
      </c>
      <c r="J15058" t="s">
        <v>34697</v>
      </c>
      <c r="K15058" t="s">
        <v>41357</v>
      </c>
      <c r="L15058" t="s">
        <v>2489</v>
      </c>
      <c r="M15058" t="s">
        <v>44220</v>
      </c>
      <c r="N15058" t="s">
        <v>45095</v>
      </c>
      <c r="O15058" t="s">
        <v>45096</v>
      </c>
      <c r="Q15058">
        <v>34</v>
      </c>
      <c r="R15058" t="s">
        <v>45173</v>
      </c>
      <c r="S15058" t="s">
        <v>46560</v>
      </c>
      <c r="T15058" t="s">
        <v>46922</v>
      </c>
      <c r="U15058" t="s">
        <v>59545</v>
      </c>
      <c r="W15058" t="s">
        <v>44220</v>
      </c>
      <c r="X15058" t="s">
        <v>45174</v>
      </c>
    </row>
    <row r="15059" spans="1:24">
      <c r="A15059">
        <f>HYPERLINK("https://www.philgeps.gov.ph/GEPSNONPILOT/Tender/SplashBidNoticeAbstractUI.aspx?menuIndex=3&amp;refID=6923217&amp;Result=3","6923217")</f>
        <v>0</v>
      </c>
      <c r="B15059" t="s">
        <v>1503</v>
      </c>
      <c r="C15059" t="s">
        <v>17626</v>
      </c>
      <c r="D15059" t="s">
        <v>18030</v>
      </c>
      <c r="E15059" t="s">
        <v>31219</v>
      </c>
      <c r="F15059" t="s">
        <v>31574</v>
      </c>
      <c r="G15059" t="s">
        <v>31582</v>
      </c>
      <c r="H15059" t="s">
        <v>31591</v>
      </c>
      <c r="I15059" t="s">
        <v>8822</v>
      </c>
      <c r="J15059" t="s">
        <v>40921</v>
      </c>
      <c r="K15059" t="s">
        <v>41198</v>
      </c>
      <c r="M15059" t="s">
        <v>43224</v>
      </c>
      <c r="N15059" t="s">
        <v>45095</v>
      </c>
      <c r="O15059" t="s">
        <v>45096</v>
      </c>
      <c r="Q15059">
        <v>38</v>
      </c>
      <c r="R15059" t="s">
        <v>45173</v>
      </c>
      <c r="S15059" t="s">
        <v>46561</v>
      </c>
      <c r="T15059" t="s">
        <v>47159</v>
      </c>
      <c r="U15059" t="s">
        <v>51536</v>
      </c>
      <c r="V15059" t="s">
        <v>60368</v>
      </c>
      <c r="W15059" t="s">
        <v>43224</v>
      </c>
      <c r="X15059" t="s">
        <v>45174</v>
      </c>
    </row>
    <row r="15060" spans="1:24">
      <c r="A15060">
        <f>HYPERLINK("https://www.philgeps.gov.ph/GEPSNONPILOT/Tender/SplashBidNoticeAbstractUI.aspx?menuIndex=3&amp;refID=6922533&amp;Result=3","6922533")</f>
        <v>0</v>
      </c>
      <c r="B15060" t="s">
        <v>2489</v>
      </c>
      <c r="C15060" t="s">
        <v>17627</v>
      </c>
      <c r="D15060" t="s">
        <v>18055</v>
      </c>
      <c r="E15060" t="s">
        <v>31220</v>
      </c>
      <c r="F15060" t="s">
        <v>31574</v>
      </c>
      <c r="G15060" t="s">
        <v>31582</v>
      </c>
      <c r="H15060" t="s">
        <v>31591</v>
      </c>
      <c r="I15060" t="s">
        <v>8822</v>
      </c>
      <c r="J15060" t="s">
        <v>40922</v>
      </c>
      <c r="K15060" t="s">
        <v>41390</v>
      </c>
      <c r="L15060" t="s">
        <v>2489</v>
      </c>
      <c r="M15060" t="s">
        <v>44220</v>
      </c>
      <c r="N15060" t="s">
        <v>45095</v>
      </c>
      <c r="O15060" t="s">
        <v>45096</v>
      </c>
      <c r="Q15060">
        <v>36</v>
      </c>
      <c r="R15060" t="s">
        <v>45173</v>
      </c>
      <c r="S15060" t="s">
        <v>46562</v>
      </c>
      <c r="T15060" t="s">
        <v>46922</v>
      </c>
      <c r="U15060" t="s">
        <v>59546</v>
      </c>
      <c r="W15060" t="s">
        <v>44220</v>
      </c>
      <c r="X15060" t="s">
        <v>45174</v>
      </c>
    </row>
    <row r="15061" spans="1:24">
      <c r="A15061">
        <f>HYPERLINK("https://www.philgeps.gov.ph/GEPSNONPILOT/Tender/SplashBidNoticeAbstractUI.aspx?menuIndex=3&amp;refID=6923635&amp;Result=3","6923635")</f>
        <v>0</v>
      </c>
      <c r="B15061" t="s">
        <v>1311</v>
      </c>
      <c r="C15061" t="s">
        <v>17628</v>
      </c>
      <c r="D15061" t="s">
        <v>18040</v>
      </c>
      <c r="E15061" t="s">
        <v>31221</v>
      </c>
      <c r="F15061" t="s">
        <v>31574</v>
      </c>
      <c r="G15061" t="s">
        <v>31582</v>
      </c>
      <c r="H15061" t="s">
        <v>31591</v>
      </c>
      <c r="I15061" t="s">
        <v>8822</v>
      </c>
      <c r="J15061" t="s">
        <v>40923</v>
      </c>
      <c r="K15061" t="s">
        <v>41189</v>
      </c>
      <c r="M15061" t="s">
        <v>42881</v>
      </c>
      <c r="N15061" t="s">
        <v>45095</v>
      </c>
      <c r="O15061" t="s">
        <v>45096</v>
      </c>
      <c r="Q15061">
        <v>1</v>
      </c>
      <c r="R15061" t="s">
        <v>45173</v>
      </c>
      <c r="S15061" t="s">
        <v>46563</v>
      </c>
      <c r="T15061" t="s">
        <v>46955</v>
      </c>
      <c r="U15061" t="s">
        <v>59547</v>
      </c>
      <c r="V15061" t="s">
        <v>61577</v>
      </c>
      <c r="W15061" t="s">
        <v>42881</v>
      </c>
      <c r="X15061" t="s">
        <v>45174</v>
      </c>
    </row>
    <row r="15062" spans="1:24">
      <c r="A15062">
        <f>HYPERLINK("https://www.philgeps.gov.ph/GEPSNONPILOT/Tender/SplashBidNoticeAbstractUI.aspx?menuIndex=3&amp;refID=6923509&amp;Result=3","6923509")</f>
        <v>0</v>
      </c>
      <c r="B15062" t="s">
        <v>3173</v>
      </c>
      <c r="C15062" t="s">
        <v>17629</v>
      </c>
      <c r="D15062" t="s">
        <v>18079</v>
      </c>
      <c r="E15062" t="s">
        <v>31222</v>
      </c>
      <c r="F15062" t="s">
        <v>31574</v>
      </c>
      <c r="G15062" t="s">
        <v>31582</v>
      </c>
      <c r="H15062" t="s">
        <v>31590</v>
      </c>
      <c r="I15062" t="s">
        <v>31594</v>
      </c>
      <c r="J15062" t="s">
        <v>32026</v>
      </c>
      <c r="K15062" t="s">
        <v>41186</v>
      </c>
      <c r="M15062" t="s">
        <v>45049</v>
      </c>
      <c r="N15062" t="s">
        <v>45095</v>
      </c>
      <c r="O15062" t="s">
        <v>45096</v>
      </c>
      <c r="Q15062">
        <v>10</v>
      </c>
      <c r="R15062" t="s">
        <v>45173</v>
      </c>
      <c r="S15062" t="s">
        <v>46564</v>
      </c>
      <c r="T15062" t="s">
        <v>47050</v>
      </c>
      <c r="U15062" t="s">
        <v>59548</v>
      </c>
      <c r="W15062" t="s">
        <v>45049</v>
      </c>
      <c r="X15062" t="s">
        <v>45174</v>
      </c>
    </row>
    <row r="15063" spans="1:24">
      <c r="A15063">
        <f>HYPERLINK("https://www.philgeps.gov.ph/GEPSNONPILOT/Tender/SplashBidNoticeAbstractUI.aspx?menuIndex=3&amp;refID=6923300&amp;Result=3","6923300")</f>
        <v>0</v>
      </c>
      <c r="B15063" t="s">
        <v>3161</v>
      </c>
      <c r="C15063" t="s">
        <v>17630</v>
      </c>
      <c r="D15063" t="s">
        <v>18022</v>
      </c>
      <c r="E15063" t="s">
        <v>31223</v>
      </c>
      <c r="F15063" t="s">
        <v>31575</v>
      </c>
      <c r="G15063" t="s">
        <v>31582</v>
      </c>
      <c r="H15063" t="s">
        <v>31590</v>
      </c>
      <c r="I15063" t="s">
        <v>4046</v>
      </c>
      <c r="J15063" t="s">
        <v>40924</v>
      </c>
      <c r="K15063" t="s">
        <v>41196</v>
      </c>
      <c r="M15063" t="s">
        <v>45029</v>
      </c>
      <c r="N15063" t="s">
        <v>45095</v>
      </c>
      <c r="O15063" t="s">
        <v>45096</v>
      </c>
      <c r="Q15063">
        <v>4</v>
      </c>
      <c r="R15063" t="s">
        <v>45173</v>
      </c>
      <c r="S15063" t="s">
        <v>45422</v>
      </c>
      <c r="T15063" t="s">
        <v>46926</v>
      </c>
      <c r="U15063" t="s">
        <v>59549</v>
      </c>
      <c r="W15063" t="s">
        <v>61779</v>
      </c>
      <c r="X15063" t="s">
        <v>45174</v>
      </c>
    </row>
    <row r="15064" spans="1:24">
      <c r="A15064">
        <f>HYPERLINK("https://www.philgeps.gov.ph/GEPSNONPILOT/Tender/SplashBidNoticeAbstractUI.aspx?menuIndex=3&amp;refID=6923653&amp;Result=3","6923653")</f>
        <v>0</v>
      </c>
      <c r="B15064" t="s">
        <v>3173</v>
      </c>
      <c r="C15064" t="s">
        <v>17631</v>
      </c>
      <c r="D15064" t="s">
        <v>18079</v>
      </c>
      <c r="E15064" t="s">
        <v>31224</v>
      </c>
      <c r="F15064" t="s">
        <v>31574</v>
      </c>
      <c r="G15064" t="s">
        <v>31582</v>
      </c>
      <c r="H15064" t="s">
        <v>31590</v>
      </c>
      <c r="I15064" t="s">
        <v>31608</v>
      </c>
      <c r="J15064" t="s">
        <v>31730</v>
      </c>
      <c r="K15064" t="s">
        <v>41186</v>
      </c>
      <c r="M15064" t="s">
        <v>45049</v>
      </c>
      <c r="N15064" t="s">
        <v>45095</v>
      </c>
      <c r="O15064" t="s">
        <v>45096</v>
      </c>
      <c r="Q15064">
        <v>8</v>
      </c>
      <c r="R15064" t="s">
        <v>45173</v>
      </c>
      <c r="S15064" t="s">
        <v>45936</v>
      </c>
      <c r="T15064" t="s">
        <v>47157</v>
      </c>
      <c r="U15064" t="s">
        <v>59550</v>
      </c>
      <c r="W15064" t="s">
        <v>45049</v>
      </c>
      <c r="X15064" t="s">
        <v>45174</v>
      </c>
    </row>
    <row r="15065" spans="1:24">
      <c r="A15065">
        <f>HYPERLINK("https://www.philgeps.gov.ph/GEPSNONPILOT/Tender/SplashBidNoticeAbstractUI.aspx?menuIndex=3&amp;refID=6923398&amp;Result=3","6923398")</f>
        <v>0</v>
      </c>
      <c r="B15065" t="s">
        <v>1311</v>
      </c>
      <c r="C15065" t="s">
        <v>17632</v>
      </c>
      <c r="D15065" t="s">
        <v>18040</v>
      </c>
      <c r="E15065" t="s">
        <v>31225</v>
      </c>
      <c r="F15065" t="s">
        <v>31574</v>
      </c>
      <c r="G15065" t="s">
        <v>31582</v>
      </c>
      <c r="H15065" t="s">
        <v>31591</v>
      </c>
      <c r="I15065" t="s">
        <v>8822</v>
      </c>
      <c r="J15065" t="s">
        <v>40925</v>
      </c>
      <c r="K15065" t="s">
        <v>41184</v>
      </c>
      <c r="M15065" t="s">
        <v>42881</v>
      </c>
      <c r="N15065" t="s">
        <v>45095</v>
      </c>
      <c r="O15065" t="s">
        <v>45096</v>
      </c>
      <c r="Q15065">
        <v>2</v>
      </c>
      <c r="R15065" t="s">
        <v>45173</v>
      </c>
      <c r="S15065" t="s">
        <v>46565</v>
      </c>
      <c r="T15065" t="s">
        <v>47152</v>
      </c>
      <c r="U15065" t="s">
        <v>59551</v>
      </c>
      <c r="V15065" t="s">
        <v>61577</v>
      </c>
      <c r="W15065" t="s">
        <v>42881</v>
      </c>
      <c r="X15065" t="s">
        <v>45174</v>
      </c>
    </row>
    <row r="15066" spans="1:24">
      <c r="A15066">
        <f>HYPERLINK("https://www.philgeps.gov.ph/GEPSNONPILOT/Tender/SplashBidNoticeAbstractUI.aspx?menuIndex=3&amp;refID=6923315&amp;Result=3","6923315")</f>
        <v>0</v>
      </c>
      <c r="B15066" t="s">
        <v>1503</v>
      </c>
      <c r="C15066" t="s">
        <v>17633</v>
      </c>
      <c r="D15066" t="s">
        <v>18030</v>
      </c>
      <c r="E15066" t="s">
        <v>31226</v>
      </c>
      <c r="F15066" t="s">
        <v>31574</v>
      </c>
      <c r="G15066" t="s">
        <v>31582</v>
      </c>
      <c r="H15066" t="s">
        <v>31591</v>
      </c>
      <c r="I15066" t="s">
        <v>8822</v>
      </c>
      <c r="J15066" t="s">
        <v>40926</v>
      </c>
      <c r="K15066" t="s">
        <v>41235</v>
      </c>
      <c r="M15066" t="s">
        <v>43224</v>
      </c>
      <c r="N15066" t="s">
        <v>45095</v>
      </c>
      <c r="O15066" t="s">
        <v>45096</v>
      </c>
      <c r="Q15066">
        <v>25</v>
      </c>
      <c r="R15066" t="s">
        <v>45173</v>
      </c>
      <c r="S15066" t="s">
        <v>46566</v>
      </c>
      <c r="T15066" t="s">
        <v>47159</v>
      </c>
      <c r="U15066" t="s">
        <v>51531</v>
      </c>
      <c r="V15066" t="s">
        <v>60368</v>
      </c>
      <c r="W15066" t="s">
        <v>43224</v>
      </c>
      <c r="X15066" t="s">
        <v>45174</v>
      </c>
    </row>
    <row r="15067" spans="1:24">
      <c r="A15067">
        <f>HYPERLINK("https://www.philgeps.gov.ph/GEPSNONPILOT/Tender/SplashBidNoticeAbstractUI.aspx?menuIndex=3&amp;refID=6923450&amp;Result=3","6923450")</f>
        <v>0</v>
      </c>
      <c r="B15067" t="s">
        <v>2564</v>
      </c>
      <c r="C15067" t="s">
        <v>17634</v>
      </c>
      <c r="D15067" t="s">
        <v>18022</v>
      </c>
      <c r="E15067" t="s">
        <v>31227</v>
      </c>
      <c r="F15067" t="s">
        <v>31574</v>
      </c>
      <c r="G15067" t="s">
        <v>31582</v>
      </c>
      <c r="H15067" t="s">
        <v>31591</v>
      </c>
      <c r="I15067" t="s">
        <v>8822</v>
      </c>
      <c r="J15067" t="s">
        <v>40927</v>
      </c>
      <c r="K15067" t="s">
        <v>41256</v>
      </c>
      <c r="M15067" t="s">
        <v>44303</v>
      </c>
      <c r="N15067" t="s">
        <v>45095</v>
      </c>
      <c r="O15067" t="s">
        <v>45096</v>
      </c>
      <c r="Q15067">
        <v>32</v>
      </c>
      <c r="R15067" t="s">
        <v>45173</v>
      </c>
      <c r="S15067" t="s">
        <v>46567</v>
      </c>
      <c r="T15067" t="s">
        <v>46941</v>
      </c>
      <c r="U15067" t="s">
        <v>59552</v>
      </c>
      <c r="W15067" t="s">
        <v>44303</v>
      </c>
      <c r="X15067" t="s">
        <v>45174</v>
      </c>
    </row>
    <row r="15068" spans="1:24">
      <c r="A15068">
        <f>HYPERLINK("https://www.philgeps.gov.ph/GEPSNONPILOT/Tender/SplashBidNoticeAbstractUI.aspx?menuIndex=3&amp;refID=6923569&amp;Result=3","6923569")</f>
        <v>0</v>
      </c>
      <c r="B15068" t="s">
        <v>1311</v>
      </c>
      <c r="C15068" t="s">
        <v>17635</v>
      </c>
      <c r="D15068" t="s">
        <v>18040</v>
      </c>
      <c r="E15068" t="s">
        <v>31228</v>
      </c>
      <c r="F15068" t="s">
        <v>31574</v>
      </c>
      <c r="G15068" t="s">
        <v>31582</v>
      </c>
      <c r="H15068" t="s">
        <v>31591</v>
      </c>
      <c r="I15068" t="s">
        <v>8822</v>
      </c>
      <c r="J15068" t="s">
        <v>40928</v>
      </c>
      <c r="K15068" t="s">
        <v>41189</v>
      </c>
      <c r="M15068" t="s">
        <v>42881</v>
      </c>
      <c r="N15068" t="s">
        <v>45095</v>
      </c>
      <c r="O15068" t="s">
        <v>45096</v>
      </c>
      <c r="Q15068">
        <v>1</v>
      </c>
      <c r="R15068" t="s">
        <v>45173</v>
      </c>
      <c r="S15068" t="s">
        <v>46568</v>
      </c>
      <c r="T15068" t="s">
        <v>47152</v>
      </c>
      <c r="U15068" t="s">
        <v>59553</v>
      </c>
      <c r="V15068" t="s">
        <v>61577</v>
      </c>
      <c r="W15068" t="s">
        <v>42881</v>
      </c>
      <c r="X15068" t="s">
        <v>45174</v>
      </c>
    </row>
    <row r="15069" spans="1:24">
      <c r="A15069">
        <f>HYPERLINK("https://www.philgeps.gov.ph/GEPSNONPILOT/Tender/SplashBidNoticeAbstractUI.aspx?menuIndex=3&amp;refID=6923428&amp;Result=3","6923428")</f>
        <v>0</v>
      </c>
      <c r="B15069" t="s">
        <v>3161</v>
      </c>
      <c r="C15069" t="s">
        <v>17636</v>
      </c>
      <c r="D15069" t="s">
        <v>18022</v>
      </c>
      <c r="E15069" t="s">
        <v>31229</v>
      </c>
      <c r="F15069" t="s">
        <v>31574</v>
      </c>
      <c r="G15069" t="s">
        <v>31582</v>
      </c>
      <c r="H15069" t="s">
        <v>31591</v>
      </c>
      <c r="I15069" t="s">
        <v>8822</v>
      </c>
      <c r="J15069" t="s">
        <v>40929</v>
      </c>
      <c r="K15069" t="s">
        <v>41256</v>
      </c>
      <c r="M15069" t="s">
        <v>45029</v>
      </c>
      <c r="N15069" t="s">
        <v>45095</v>
      </c>
      <c r="O15069" t="s">
        <v>45096</v>
      </c>
      <c r="Q15069">
        <v>18</v>
      </c>
      <c r="R15069" t="s">
        <v>45173</v>
      </c>
      <c r="S15069" t="s">
        <v>46569</v>
      </c>
      <c r="T15069" t="s">
        <v>46920</v>
      </c>
      <c r="U15069" t="s">
        <v>59554</v>
      </c>
      <c r="W15069" t="s">
        <v>61779</v>
      </c>
      <c r="X15069" t="s">
        <v>45174</v>
      </c>
    </row>
    <row r="15070" spans="1:24">
      <c r="A15070">
        <f>HYPERLINK("https://www.philgeps.gov.ph/GEPSNONPILOT/Tender/SplashBidNoticeAbstractUI.aspx?menuIndex=3&amp;refID=6924813&amp;Result=3","6924813")</f>
        <v>0</v>
      </c>
      <c r="B15070" t="s">
        <v>1407</v>
      </c>
      <c r="C15070" t="s">
        <v>17637</v>
      </c>
      <c r="E15070" t="s">
        <v>31230</v>
      </c>
      <c r="F15070" t="s">
        <v>31574</v>
      </c>
      <c r="G15070" t="s">
        <v>31582</v>
      </c>
      <c r="H15070" t="s">
        <v>31592</v>
      </c>
      <c r="I15070" t="s">
        <v>4677</v>
      </c>
      <c r="J15070" t="s">
        <v>40930</v>
      </c>
      <c r="K15070" t="s">
        <v>41210</v>
      </c>
      <c r="M15070" t="s">
        <v>42983</v>
      </c>
      <c r="N15070" t="s">
        <v>45095</v>
      </c>
      <c r="O15070" t="s">
        <v>45096</v>
      </c>
      <c r="Q15070">
        <v>5</v>
      </c>
      <c r="R15070" t="s">
        <v>45173</v>
      </c>
      <c r="S15070" t="s">
        <v>46570</v>
      </c>
      <c r="T15070" t="s">
        <v>47183</v>
      </c>
      <c r="U15070" t="s">
        <v>59555</v>
      </c>
      <c r="W15070" t="s">
        <v>42983</v>
      </c>
      <c r="X15070" t="s">
        <v>45174</v>
      </c>
    </row>
    <row r="15071" spans="1:24">
      <c r="A15071">
        <f>HYPERLINK("https://www.philgeps.gov.ph/GEPSNONPILOT/Tender/SplashBidNoticeAbstractUI.aspx?menuIndex=3&amp;refID=6923545&amp;Result=3","6923545")</f>
        <v>0</v>
      </c>
      <c r="B15071" t="s">
        <v>2947</v>
      </c>
      <c r="C15071" t="s">
        <v>17638</v>
      </c>
      <c r="D15071" t="s">
        <v>18022</v>
      </c>
      <c r="E15071" t="s">
        <v>31231</v>
      </c>
      <c r="F15071" t="s">
        <v>31574</v>
      </c>
      <c r="G15071" t="s">
        <v>31582</v>
      </c>
      <c r="H15071" t="s">
        <v>31590</v>
      </c>
      <c r="I15071" t="s">
        <v>8822</v>
      </c>
      <c r="J15071" t="s">
        <v>40931</v>
      </c>
      <c r="K15071" t="s">
        <v>41225</v>
      </c>
      <c r="M15071" t="s">
        <v>44761</v>
      </c>
      <c r="N15071" t="s">
        <v>45095</v>
      </c>
      <c r="O15071" t="s">
        <v>45096</v>
      </c>
      <c r="Q15071">
        <v>4</v>
      </c>
      <c r="R15071" t="s">
        <v>45173</v>
      </c>
      <c r="S15071" t="s">
        <v>46571</v>
      </c>
      <c r="T15071" t="s">
        <v>47154</v>
      </c>
      <c r="U15071" t="s">
        <v>59556</v>
      </c>
      <c r="W15071" t="s">
        <v>44761</v>
      </c>
      <c r="X15071" t="s">
        <v>45174</v>
      </c>
    </row>
    <row r="15072" spans="1:24">
      <c r="A15072">
        <f>HYPERLINK("https://www.philgeps.gov.ph/GEPSNONPILOT/Tender/SplashBidNoticeAbstractUI.aspx?menuIndex=3&amp;refID=6924439&amp;Result=3","6924439")</f>
        <v>0</v>
      </c>
      <c r="B15072" t="s">
        <v>3083</v>
      </c>
      <c r="C15072" t="s">
        <v>17639</v>
      </c>
      <c r="D15072" t="s">
        <v>18035</v>
      </c>
      <c r="E15072" t="s">
        <v>31232</v>
      </c>
      <c r="F15072" t="s">
        <v>31574</v>
      </c>
      <c r="G15072" t="s">
        <v>31582</v>
      </c>
      <c r="H15072" t="s">
        <v>31591</v>
      </c>
      <c r="I15072" t="s">
        <v>8822</v>
      </c>
      <c r="J15072" t="s">
        <v>40932</v>
      </c>
      <c r="K15072" t="s">
        <v>41491</v>
      </c>
      <c r="M15072" t="s">
        <v>44927</v>
      </c>
      <c r="N15072" t="s">
        <v>45095</v>
      </c>
      <c r="O15072" t="s">
        <v>45096</v>
      </c>
      <c r="Q15072">
        <v>36</v>
      </c>
      <c r="R15072" t="s">
        <v>45173</v>
      </c>
      <c r="S15072" t="s">
        <v>46572</v>
      </c>
      <c r="T15072" t="s">
        <v>47072</v>
      </c>
      <c r="U15072" t="s">
        <v>59557</v>
      </c>
      <c r="V15072" t="s">
        <v>60368</v>
      </c>
      <c r="W15072" t="s">
        <v>44927</v>
      </c>
      <c r="X15072" t="s">
        <v>45174</v>
      </c>
    </row>
    <row r="15073" spans="1:24">
      <c r="A15073">
        <f>HYPERLINK("https://www.philgeps.gov.ph/GEPSNONPILOT/Tender/SplashBidNoticeAbstractUI.aspx?menuIndex=3&amp;refID=6924529&amp;Result=3","6924529")</f>
        <v>0</v>
      </c>
      <c r="B15073" t="s">
        <v>800</v>
      </c>
      <c r="C15073" t="s">
        <v>17640</v>
      </c>
      <c r="D15073" t="s">
        <v>18038</v>
      </c>
      <c r="E15073" t="s">
        <v>31233</v>
      </c>
      <c r="F15073" t="s">
        <v>31574</v>
      </c>
      <c r="G15073" t="s">
        <v>31585</v>
      </c>
      <c r="H15073" t="s">
        <v>31590</v>
      </c>
      <c r="I15073" t="s">
        <v>31676</v>
      </c>
      <c r="J15073" t="s">
        <v>40933</v>
      </c>
      <c r="K15073" t="s">
        <v>41198</v>
      </c>
      <c r="M15073" t="s">
        <v>42314</v>
      </c>
      <c r="N15073" t="s">
        <v>45095</v>
      </c>
      <c r="O15073" t="s">
        <v>45096</v>
      </c>
      <c r="Q15073">
        <v>7</v>
      </c>
      <c r="R15073" t="s">
        <v>45173</v>
      </c>
      <c r="S15073" t="s">
        <v>46573</v>
      </c>
      <c r="T15073" t="s">
        <v>47232</v>
      </c>
      <c r="U15073" t="s">
        <v>59558</v>
      </c>
      <c r="V15073" t="s">
        <v>61578</v>
      </c>
      <c r="W15073" t="s">
        <v>42314</v>
      </c>
      <c r="X15073" t="s">
        <v>45174</v>
      </c>
    </row>
    <row r="15074" spans="1:24">
      <c r="A15074">
        <f>HYPERLINK("https://www.philgeps.gov.ph/GEPSNONPILOT/Tender/SplashBidNoticeAbstractUI.aspx?menuIndex=3&amp;refID=6924822&amp;Result=3","6924822")</f>
        <v>0</v>
      </c>
      <c r="B15074" t="s">
        <v>1407</v>
      </c>
      <c r="C15074" t="s">
        <v>17641</v>
      </c>
      <c r="E15074" t="s">
        <v>31234</v>
      </c>
      <c r="F15074" t="s">
        <v>31574</v>
      </c>
      <c r="G15074" t="s">
        <v>31582</v>
      </c>
      <c r="H15074" t="s">
        <v>31591</v>
      </c>
      <c r="I15074" t="s">
        <v>8822</v>
      </c>
      <c r="J15074" t="s">
        <v>34456</v>
      </c>
      <c r="K15074" t="s">
        <v>41184</v>
      </c>
      <c r="M15074" t="s">
        <v>42983</v>
      </c>
      <c r="N15074" t="s">
        <v>45095</v>
      </c>
      <c r="O15074" t="s">
        <v>45096</v>
      </c>
      <c r="Q15074">
        <v>12</v>
      </c>
      <c r="R15074" t="s">
        <v>45173</v>
      </c>
      <c r="S15074" t="s">
        <v>46574</v>
      </c>
      <c r="T15074" t="s">
        <v>47178</v>
      </c>
      <c r="U15074" t="s">
        <v>59559</v>
      </c>
      <c r="W15074" t="s">
        <v>42983</v>
      </c>
      <c r="X15074" t="s">
        <v>45174</v>
      </c>
    </row>
    <row r="15075" spans="1:24">
      <c r="A15075">
        <f>HYPERLINK("https://www.philgeps.gov.ph/GEPSNONPILOT/Tender/SplashBidNoticeAbstractUI.aspx?menuIndex=3&amp;refID=6913887&amp;Result=3","6913887")</f>
        <v>0</v>
      </c>
      <c r="B15075" t="s">
        <v>38</v>
      </c>
      <c r="C15075" t="s">
        <v>17642</v>
      </c>
      <c r="D15075" t="s">
        <v>18033</v>
      </c>
      <c r="E15075" t="s">
        <v>31235</v>
      </c>
      <c r="F15075" t="s">
        <v>31574</v>
      </c>
      <c r="G15075" t="s">
        <v>31582</v>
      </c>
      <c r="H15075" t="s">
        <v>31590</v>
      </c>
      <c r="I15075" t="s">
        <v>7185</v>
      </c>
      <c r="J15075" t="s">
        <v>40916</v>
      </c>
      <c r="K15075" t="s">
        <v>41194</v>
      </c>
      <c r="M15075" t="s">
        <v>42506</v>
      </c>
      <c r="N15075" t="s">
        <v>45095</v>
      </c>
      <c r="O15075" t="s">
        <v>45096</v>
      </c>
      <c r="Q15075">
        <v>6</v>
      </c>
      <c r="R15075" t="s">
        <v>45174</v>
      </c>
      <c r="S15075" t="s">
        <v>46575</v>
      </c>
      <c r="T15075" t="s">
        <v>46930</v>
      </c>
      <c r="U15075" t="s">
        <v>59560</v>
      </c>
      <c r="V15075" t="s">
        <v>60567</v>
      </c>
      <c r="W15075" t="s">
        <v>42506</v>
      </c>
      <c r="X15075" t="s">
        <v>45178</v>
      </c>
    </row>
    <row r="15076" spans="1:24">
      <c r="A15076">
        <f>HYPERLINK("https://www.philgeps.gov.ph/GEPSNONPILOT/Tender/SplashBidNoticeAbstractUI.aspx?menuIndex=3&amp;refID=6924608&amp;Result=3","6924608")</f>
        <v>0</v>
      </c>
      <c r="B15076" t="s">
        <v>550</v>
      </c>
      <c r="C15076" t="s">
        <v>17643</v>
      </c>
      <c r="D15076" t="s">
        <v>18035</v>
      </c>
      <c r="E15076" t="s">
        <v>31236</v>
      </c>
      <c r="F15076" t="s">
        <v>31574</v>
      </c>
      <c r="G15076" t="s">
        <v>31582</v>
      </c>
      <c r="H15076" t="s">
        <v>31591</v>
      </c>
      <c r="I15076" t="s">
        <v>8822</v>
      </c>
      <c r="J15076" t="s">
        <v>40934</v>
      </c>
      <c r="K15076" t="s">
        <v>41184</v>
      </c>
      <c r="M15076" t="s">
        <v>42047</v>
      </c>
      <c r="N15076" t="s">
        <v>45095</v>
      </c>
      <c r="O15076" t="s">
        <v>45096</v>
      </c>
      <c r="Q15076">
        <v>155</v>
      </c>
      <c r="R15076" t="s">
        <v>45173</v>
      </c>
      <c r="S15076" t="s">
        <v>46576</v>
      </c>
      <c r="T15076" t="s">
        <v>47154</v>
      </c>
      <c r="U15076" t="s">
        <v>59561</v>
      </c>
      <c r="W15076" t="s">
        <v>42047</v>
      </c>
      <c r="X15076" t="s">
        <v>45174</v>
      </c>
    </row>
    <row r="15077" spans="1:24">
      <c r="A15077">
        <f>HYPERLINK("https://www.philgeps.gov.ph/GEPSNONPILOT/Tender/SplashBidNoticeAbstractUI.aspx?menuIndex=3&amp;refID=6924891&amp;Result=3","6924891")</f>
        <v>0</v>
      </c>
      <c r="B15077" t="s">
        <v>1556</v>
      </c>
      <c r="C15077" t="s">
        <v>17644</v>
      </c>
      <c r="D15077" t="s">
        <v>18022</v>
      </c>
      <c r="E15077" t="s">
        <v>31237</v>
      </c>
      <c r="F15077" t="s">
        <v>31574</v>
      </c>
      <c r="G15077" t="s">
        <v>31582</v>
      </c>
      <c r="H15077" t="s">
        <v>31590</v>
      </c>
      <c r="I15077" t="s">
        <v>31598</v>
      </c>
      <c r="J15077" t="s">
        <v>32019</v>
      </c>
      <c r="K15077" t="s">
        <v>41184</v>
      </c>
      <c r="M15077" t="s">
        <v>45050</v>
      </c>
      <c r="N15077" t="s">
        <v>45095</v>
      </c>
      <c r="O15077" t="s">
        <v>45096</v>
      </c>
      <c r="Q15077">
        <v>3</v>
      </c>
      <c r="R15077" t="s">
        <v>45173</v>
      </c>
      <c r="S15077" t="s">
        <v>45252</v>
      </c>
      <c r="T15077" t="s">
        <v>46979</v>
      </c>
      <c r="U15077" t="s">
        <v>59562</v>
      </c>
      <c r="V15077" t="s">
        <v>61579</v>
      </c>
      <c r="W15077" t="s">
        <v>45050</v>
      </c>
      <c r="X15077" t="s">
        <v>45174</v>
      </c>
    </row>
    <row r="15078" spans="1:24">
      <c r="A15078">
        <f>HYPERLINK("https://www.philgeps.gov.ph/GEPSNONPILOT/Tender/SplashBidNoticeAbstractUI.aspx?menuIndex=3&amp;refID=6924798&amp;Result=3","6924798")</f>
        <v>0</v>
      </c>
      <c r="B15078" t="s">
        <v>1407</v>
      </c>
      <c r="C15078" t="s">
        <v>17645</v>
      </c>
      <c r="E15078" t="s">
        <v>31238</v>
      </c>
      <c r="F15078" t="s">
        <v>31574</v>
      </c>
      <c r="G15078" t="s">
        <v>31582</v>
      </c>
      <c r="H15078" t="s">
        <v>31590</v>
      </c>
      <c r="I15078" t="s">
        <v>31597</v>
      </c>
      <c r="J15078" t="s">
        <v>33359</v>
      </c>
      <c r="K15078" t="s">
        <v>41184</v>
      </c>
      <c r="M15078" t="s">
        <v>42983</v>
      </c>
      <c r="N15078" t="s">
        <v>45095</v>
      </c>
      <c r="O15078" t="s">
        <v>45096</v>
      </c>
      <c r="Q15078">
        <v>7</v>
      </c>
      <c r="R15078" t="s">
        <v>45173</v>
      </c>
      <c r="S15078" t="s">
        <v>46577</v>
      </c>
      <c r="T15078" t="s">
        <v>47177</v>
      </c>
      <c r="U15078" t="s">
        <v>59563</v>
      </c>
      <c r="W15078" t="s">
        <v>42983</v>
      </c>
      <c r="X15078" t="s">
        <v>45174</v>
      </c>
    </row>
    <row r="15079" spans="1:24">
      <c r="A15079">
        <f>HYPERLINK("https://www.philgeps.gov.ph/GEPSNONPILOT/Tender/SplashBidNoticeAbstractUI.aspx?menuIndex=3&amp;refID=6917955&amp;Result=3","6917955")</f>
        <v>0</v>
      </c>
      <c r="B15079" t="s">
        <v>383</v>
      </c>
      <c r="C15079" t="s">
        <v>17646</v>
      </c>
      <c r="D15079" t="s">
        <v>18022</v>
      </c>
      <c r="E15079" t="s">
        <v>31239</v>
      </c>
      <c r="F15079" t="s">
        <v>31574</v>
      </c>
      <c r="G15079" t="s">
        <v>31582</v>
      </c>
      <c r="H15079" t="s">
        <v>31590</v>
      </c>
      <c r="I15079" t="s">
        <v>31689</v>
      </c>
      <c r="J15079" t="s">
        <v>32421</v>
      </c>
      <c r="K15079" t="s">
        <v>41210</v>
      </c>
      <c r="M15079" t="s">
        <v>45051</v>
      </c>
      <c r="N15079" t="s">
        <v>45095</v>
      </c>
      <c r="O15079" t="s">
        <v>45096</v>
      </c>
      <c r="Q15079">
        <v>6</v>
      </c>
      <c r="R15079" t="s">
        <v>45174</v>
      </c>
      <c r="S15079" t="s">
        <v>46122</v>
      </c>
      <c r="T15079" t="s">
        <v>47007</v>
      </c>
      <c r="U15079" t="s">
        <v>59564</v>
      </c>
      <c r="W15079" t="s">
        <v>45051</v>
      </c>
      <c r="X15079" t="s">
        <v>45177</v>
      </c>
    </row>
    <row r="15080" spans="1:24">
      <c r="A15080">
        <f>HYPERLINK("https://www.philgeps.gov.ph/GEPSNONPILOT/Tender/SplashBidNoticeAbstractUI.aspx?menuIndex=3&amp;refID=6915688&amp;Result=3","6915688")</f>
        <v>0</v>
      </c>
      <c r="B15080" t="s">
        <v>246</v>
      </c>
      <c r="C15080" t="s">
        <v>17647</v>
      </c>
      <c r="D15080" t="s">
        <v>18033</v>
      </c>
      <c r="E15080" t="s">
        <v>31240</v>
      </c>
      <c r="F15080" t="s">
        <v>31574</v>
      </c>
      <c r="G15080" t="s">
        <v>31581</v>
      </c>
      <c r="H15080" t="s">
        <v>31591</v>
      </c>
      <c r="I15080" t="s">
        <v>8822</v>
      </c>
      <c r="J15080" t="s">
        <v>31741</v>
      </c>
      <c r="K15080" t="s">
        <v>41244</v>
      </c>
      <c r="M15080" t="s">
        <v>41732</v>
      </c>
      <c r="N15080" t="s">
        <v>45095</v>
      </c>
      <c r="O15080" t="s">
        <v>45096</v>
      </c>
      <c r="Q15080">
        <v>0</v>
      </c>
      <c r="R15080" t="s">
        <v>45174</v>
      </c>
      <c r="S15080" t="s">
        <v>46578</v>
      </c>
      <c r="T15080" t="s">
        <v>47021</v>
      </c>
      <c r="U15080" t="s">
        <v>59565</v>
      </c>
      <c r="W15080" t="s">
        <v>41732</v>
      </c>
      <c r="X15080" t="s">
        <v>45178</v>
      </c>
    </row>
    <row r="15081" spans="1:24">
      <c r="A15081">
        <f>HYPERLINK("https://www.philgeps.gov.ph/GEPSNONPILOT/Tender/SplashBidNoticeAbstractUI.aspx?menuIndex=3&amp;refID=6924447&amp;Result=3","6924447")</f>
        <v>0</v>
      </c>
      <c r="B15081" t="s">
        <v>1396</v>
      </c>
      <c r="C15081" t="s">
        <v>17648</v>
      </c>
      <c r="D15081" t="s">
        <v>18044</v>
      </c>
      <c r="E15081" t="s">
        <v>31241</v>
      </c>
      <c r="F15081" t="s">
        <v>31574</v>
      </c>
      <c r="G15081" t="s">
        <v>31584</v>
      </c>
      <c r="H15081" t="s">
        <v>31590</v>
      </c>
      <c r="I15081" t="s">
        <v>4046</v>
      </c>
      <c r="J15081" t="s">
        <v>40935</v>
      </c>
      <c r="K15081" t="s">
        <v>41184</v>
      </c>
      <c r="M15081" t="s">
        <v>42971</v>
      </c>
      <c r="N15081" t="s">
        <v>45095</v>
      </c>
      <c r="O15081" t="s">
        <v>45096</v>
      </c>
      <c r="Q15081">
        <v>3</v>
      </c>
      <c r="R15081" t="s">
        <v>45173</v>
      </c>
      <c r="S15081" t="s">
        <v>46579</v>
      </c>
      <c r="T15081" t="s">
        <v>47050</v>
      </c>
      <c r="U15081" t="s">
        <v>50848</v>
      </c>
      <c r="W15081" t="s">
        <v>42971</v>
      </c>
      <c r="X15081" t="s">
        <v>45174</v>
      </c>
    </row>
    <row r="15082" spans="1:24">
      <c r="A15082">
        <f>HYPERLINK("https://www.philgeps.gov.ph/GEPSNONPILOT/Tender/SplashBidNoticeAbstractUI.aspx?menuIndex=3&amp;refID=6918602&amp;Result=3","6918602")</f>
        <v>0</v>
      </c>
      <c r="B15082" t="s">
        <v>3174</v>
      </c>
      <c r="C15082" t="s">
        <v>17649</v>
      </c>
      <c r="D15082" t="s">
        <v>18079</v>
      </c>
      <c r="E15082" t="s">
        <v>31242</v>
      </c>
      <c r="F15082" t="s">
        <v>31574</v>
      </c>
      <c r="G15082" t="s">
        <v>31582</v>
      </c>
      <c r="H15082" t="s">
        <v>31590</v>
      </c>
      <c r="I15082" t="s">
        <v>31676</v>
      </c>
      <c r="J15082" t="s">
        <v>40936</v>
      </c>
      <c r="K15082" t="s">
        <v>41189</v>
      </c>
      <c r="M15082" t="s">
        <v>45052</v>
      </c>
      <c r="N15082" t="s">
        <v>45095</v>
      </c>
      <c r="O15082" t="s">
        <v>45096</v>
      </c>
      <c r="Q15082">
        <v>12</v>
      </c>
      <c r="R15082" t="s">
        <v>45175</v>
      </c>
      <c r="S15082" t="s">
        <v>46580</v>
      </c>
      <c r="T15082" t="s">
        <v>47171</v>
      </c>
      <c r="U15082" t="s">
        <v>59566</v>
      </c>
      <c r="W15082" t="s">
        <v>45052</v>
      </c>
      <c r="X15082" t="s">
        <v>45177</v>
      </c>
    </row>
    <row r="15083" spans="1:24">
      <c r="A15083">
        <f>HYPERLINK("https://www.philgeps.gov.ph/GEPSNONPILOT/Tender/SplashBidNoticeAbstractUI.aspx?menuIndex=3&amp;refID=6916390&amp;Result=3","6916390")</f>
        <v>0</v>
      </c>
      <c r="B15083" t="s">
        <v>3174</v>
      </c>
      <c r="C15083" t="s">
        <v>17650</v>
      </c>
      <c r="D15083" t="s">
        <v>18079</v>
      </c>
      <c r="E15083" t="s">
        <v>31243</v>
      </c>
      <c r="F15083" t="s">
        <v>31574</v>
      </c>
      <c r="G15083" t="s">
        <v>31582</v>
      </c>
      <c r="H15083" t="s">
        <v>31590</v>
      </c>
      <c r="I15083" t="s">
        <v>31676</v>
      </c>
      <c r="J15083" t="s">
        <v>40937</v>
      </c>
      <c r="K15083" t="s">
        <v>41189</v>
      </c>
      <c r="M15083" t="s">
        <v>45052</v>
      </c>
      <c r="N15083" t="s">
        <v>45095</v>
      </c>
      <c r="O15083" t="s">
        <v>45096</v>
      </c>
      <c r="Q15083">
        <v>9</v>
      </c>
      <c r="R15083" t="s">
        <v>45175</v>
      </c>
      <c r="S15083" t="s">
        <v>46581</v>
      </c>
      <c r="T15083" t="s">
        <v>47171</v>
      </c>
      <c r="U15083" t="s">
        <v>59567</v>
      </c>
      <c r="W15083" t="s">
        <v>45052</v>
      </c>
      <c r="X15083" t="s">
        <v>45178</v>
      </c>
    </row>
    <row r="15084" spans="1:24">
      <c r="A15084">
        <f>HYPERLINK("https://www.philgeps.gov.ph/GEPSNONPILOT/Tender/SplashBidNoticeAbstractUI.aspx?menuIndex=3&amp;refID=6917973&amp;Result=3","6917973")</f>
        <v>0</v>
      </c>
      <c r="B15084" t="s">
        <v>684</v>
      </c>
      <c r="C15084" t="s">
        <v>17651</v>
      </c>
      <c r="E15084" t="s">
        <v>31244</v>
      </c>
      <c r="F15084" t="s">
        <v>31574</v>
      </c>
      <c r="G15084" t="s">
        <v>31582</v>
      </c>
      <c r="H15084" t="s">
        <v>31590</v>
      </c>
      <c r="I15084" t="s">
        <v>4046</v>
      </c>
      <c r="J15084" t="s">
        <v>40938</v>
      </c>
      <c r="K15084" t="s">
        <v>41184</v>
      </c>
      <c r="M15084" t="s">
        <v>42191</v>
      </c>
      <c r="N15084" t="s">
        <v>45095</v>
      </c>
      <c r="O15084" t="s">
        <v>45096</v>
      </c>
      <c r="Q15084">
        <v>4</v>
      </c>
      <c r="R15084" t="s">
        <v>45176</v>
      </c>
      <c r="S15084" t="s">
        <v>46582</v>
      </c>
      <c r="T15084" t="s">
        <v>46962</v>
      </c>
      <c r="U15084" t="s">
        <v>59568</v>
      </c>
      <c r="V15084" t="s">
        <v>61580</v>
      </c>
      <c r="W15084" t="s">
        <v>42191</v>
      </c>
      <c r="X15084" t="s">
        <v>45177</v>
      </c>
    </row>
    <row r="15085" spans="1:24">
      <c r="A15085">
        <f>HYPERLINK("https://www.philgeps.gov.ph/GEPSNONPILOT/Tender/SplashBidNoticeAbstractUI.aspx?menuIndex=3&amp;refID=6917586&amp;Result=3","6917586")</f>
        <v>0</v>
      </c>
      <c r="B15085" t="s">
        <v>776</v>
      </c>
      <c r="C15085" t="s">
        <v>17652</v>
      </c>
      <c r="E15085" t="s">
        <v>31245</v>
      </c>
      <c r="F15085" t="s">
        <v>31574</v>
      </c>
      <c r="G15085" t="s">
        <v>31582</v>
      </c>
      <c r="H15085" t="s">
        <v>31593</v>
      </c>
      <c r="I15085" t="s">
        <v>31593</v>
      </c>
      <c r="J15085" t="s">
        <v>32101</v>
      </c>
      <c r="K15085" t="s">
        <v>41346</v>
      </c>
      <c r="M15085" t="s">
        <v>42290</v>
      </c>
      <c r="N15085" t="s">
        <v>45095</v>
      </c>
      <c r="O15085" t="s">
        <v>45096</v>
      </c>
      <c r="Q15085">
        <v>10</v>
      </c>
      <c r="R15085" t="s">
        <v>45176</v>
      </c>
      <c r="S15085" t="s">
        <v>46583</v>
      </c>
      <c r="T15085" t="s">
        <v>46985</v>
      </c>
      <c r="U15085" t="s">
        <v>59569</v>
      </c>
      <c r="W15085" t="s">
        <v>42290</v>
      </c>
      <c r="X15085" t="s">
        <v>45177</v>
      </c>
    </row>
    <row r="15086" spans="1:24">
      <c r="A15086">
        <f>HYPERLINK("https://www.philgeps.gov.ph/GEPSNONPILOT/Tender/SplashBidNoticeAbstractUI.aspx?menuIndex=3&amp;refID=6913735&amp;Result=3","6913735")</f>
        <v>0</v>
      </c>
      <c r="B15086" t="s">
        <v>3175</v>
      </c>
      <c r="C15086" t="s">
        <v>17653</v>
      </c>
      <c r="D15086" t="s">
        <v>18103</v>
      </c>
      <c r="E15086" t="s">
        <v>31246</v>
      </c>
      <c r="F15086" t="s">
        <v>31574</v>
      </c>
      <c r="G15086" t="s">
        <v>31582</v>
      </c>
      <c r="H15086" t="s">
        <v>31592</v>
      </c>
      <c r="I15086" t="s">
        <v>6800</v>
      </c>
      <c r="J15086" t="s">
        <v>40939</v>
      </c>
      <c r="K15086" t="s">
        <v>41186</v>
      </c>
      <c r="M15086" t="s">
        <v>45053</v>
      </c>
      <c r="N15086" t="s">
        <v>45095</v>
      </c>
      <c r="O15086" t="s">
        <v>45096</v>
      </c>
      <c r="Q15086">
        <v>8</v>
      </c>
      <c r="R15086" t="s">
        <v>45176</v>
      </c>
      <c r="S15086" t="s">
        <v>46584</v>
      </c>
      <c r="T15086" t="s">
        <v>47173</v>
      </c>
      <c r="U15086" t="s">
        <v>59570</v>
      </c>
      <c r="V15086" t="s">
        <v>61581</v>
      </c>
      <c r="W15086" t="s">
        <v>45053</v>
      </c>
      <c r="X15086" t="s">
        <v>45178</v>
      </c>
    </row>
    <row r="15087" spans="1:24">
      <c r="A15087">
        <f>HYPERLINK("https://www.philgeps.gov.ph/GEPSNONPILOT/Tender/SplashBidNoticeAbstractUI.aspx?menuIndex=3&amp;refID=6916431&amp;Result=3","6916431")</f>
        <v>0</v>
      </c>
      <c r="B15087" t="s">
        <v>2266</v>
      </c>
      <c r="C15087" t="s">
        <v>17654</v>
      </c>
      <c r="D15087" t="s">
        <v>18052</v>
      </c>
      <c r="E15087" t="s">
        <v>31247</v>
      </c>
      <c r="F15087" t="s">
        <v>31574</v>
      </c>
      <c r="G15087" t="s">
        <v>31581</v>
      </c>
      <c r="H15087" t="s">
        <v>31590</v>
      </c>
      <c r="I15087" t="s">
        <v>31623</v>
      </c>
      <c r="J15087" t="s">
        <v>31963</v>
      </c>
      <c r="K15087" t="s">
        <v>41196</v>
      </c>
      <c r="M15087" t="s">
        <v>43966</v>
      </c>
      <c r="N15087" t="s">
        <v>45095</v>
      </c>
      <c r="O15087" t="s">
        <v>45096</v>
      </c>
      <c r="Q15087">
        <v>2</v>
      </c>
      <c r="R15087" t="s">
        <v>45176</v>
      </c>
      <c r="S15087" t="s">
        <v>46585</v>
      </c>
      <c r="T15087" t="s">
        <v>47159</v>
      </c>
      <c r="U15087" t="s">
        <v>59571</v>
      </c>
      <c r="V15087" t="s">
        <v>61582</v>
      </c>
      <c r="W15087" t="s">
        <v>43966</v>
      </c>
      <c r="X15087" t="s">
        <v>45178</v>
      </c>
    </row>
    <row r="15088" spans="1:24">
      <c r="A15088">
        <f>HYPERLINK("https://www.philgeps.gov.ph/GEPSNONPILOT/Tender/SplashBidNoticeAbstractUI.aspx?menuIndex=3&amp;refID=6918328&amp;Result=3","6918328")</f>
        <v>0</v>
      </c>
      <c r="B15088" t="s">
        <v>2489</v>
      </c>
      <c r="C15088" t="s">
        <v>17655</v>
      </c>
      <c r="D15088" t="s">
        <v>18055</v>
      </c>
      <c r="E15088" t="s">
        <v>31248</v>
      </c>
      <c r="F15088" t="s">
        <v>31574</v>
      </c>
      <c r="G15088" t="s">
        <v>31582</v>
      </c>
      <c r="H15088" t="s">
        <v>31591</v>
      </c>
      <c r="I15088" t="s">
        <v>8822</v>
      </c>
      <c r="J15088" t="s">
        <v>34707</v>
      </c>
      <c r="K15088" t="s">
        <v>41202</v>
      </c>
      <c r="L15088" t="s">
        <v>2489</v>
      </c>
      <c r="M15088" t="s">
        <v>44220</v>
      </c>
      <c r="N15088" t="s">
        <v>45095</v>
      </c>
      <c r="O15088" t="s">
        <v>45096</v>
      </c>
      <c r="Q15088">
        <v>29</v>
      </c>
      <c r="R15088" t="s">
        <v>45176</v>
      </c>
      <c r="S15088" t="s">
        <v>46586</v>
      </c>
      <c r="T15088" t="s">
        <v>46979</v>
      </c>
      <c r="U15088" t="s">
        <v>59572</v>
      </c>
      <c r="W15088" t="s">
        <v>44220</v>
      </c>
      <c r="X15088" t="s">
        <v>45177</v>
      </c>
    </row>
    <row r="15089" spans="1:24">
      <c r="A15089">
        <f>HYPERLINK("https://www.philgeps.gov.ph/GEPSNONPILOT/Tender/SplashBidNoticeAbstractUI.aspx?menuIndex=3&amp;refID=6916005&amp;Result=3","6916005")</f>
        <v>0</v>
      </c>
      <c r="B15089" t="s">
        <v>684</v>
      </c>
      <c r="C15089" t="s">
        <v>17656</v>
      </c>
      <c r="E15089" t="s">
        <v>31249</v>
      </c>
      <c r="F15089" t="s">
        <v>31574</v>
      </c>
      <c r="G15089" t="s">
        <v>31582</v>
      </c>
      <c r="H15089" t="s">
        <v>31591</v>
      </c>
      <c r="I15089" t="s">
        <v>8822</v>
      </c>
      <c r="J15089" t="s">
        <v>40940</v>
      </c>
      <c r="K15089" t="s">
        <v>41184</v>
      </c>
      <c r="M15089" t="s">
        <v>42191</v>
      </c>
      <c r="N15089" t="s">
        <v>45095</v>
      </c>
      <c r="O15089" t="s">
        <v>45096</v>
      </c>
      <c r="Q15089">
        <v>6</v>
      </c>
      <c r="R15089" t="s">
        <v>45176</v>
      </c>
      <c r="S15089" t="s">
        <v>46587</v>
      </c>
      <c r="T15089" t="s">
        <v>46962</v>
      </c>
      <c r="U15089" t="s">
        <v>59573</v>
      </c>
      <c r="V15089" t="s">
        <v>61583</v>
      </c>
      <c r="W15089" t="s">
        <v>42191</v>
      </c>
      <c r="X15089" t="s">
        <v>45178</v>
      </c>
    </row>
    <row r="15090" spans="1:24">
      <c r="A15090">
        <f>HYPERLINK("https://www.philgeps.gov.ph/GEPSNONPILOT/Tender/SplashBidNoticeAbstractUI.aspx?menuIndex=3&amp;refID=6919764&amp;Result=3","6919764")</f>
        <v>0</v>
      </c>
      <c r="B15090" t="s">
        <v>3174</v>
      </c>
      <c r="C15090" t="s">
        <v>17657</v>
      </c>
      <c r="D15090" t="s">
        <v>18079</v>
      </c>
      <c r="E15090" t="s">
        <v>31250</v>
      </c>
      <c r="F15090" t="s">
        <v>31574</v>
      </c>
      <c r="G15090" t="s">
        <v>31582</v>
      </c>
      <c r="H15090" t="s">
        <v>31590</v>
      </c>
      <c r="I15090" t="s">
        <v>31676</v>
      </c>
      <c r="J15090" t="s">
        <v>40941</v>
      </c>
      <c r="K15090" t="s">
        <v>41189</v>
      </c>
      <c r="M15090" t="s">
        <v>45052</v>
      </c>
      <c r="N15090" t="s">
        <v>45095</v>
      </c>
      <c r="O15090" t="s">
        <v>45096</v>
      </c>
      <c r="Q15090">
        <v>7</v>
      </c>
      <c r="R15090" t="s">
        <v>45175</v>
      </c>
      <c r="S15090" t="s">
        <v>46588</v>
      </c>
      <c r="T15090" t="s">
        <v>47171</v>
      </c>
      <c r="U15090" t="s">
        <v>59574</v>
      </c>
      <c r="W15090" t="s">
        <v>45052</v>
      </c>
      <c r="X15090" t="s">
        <v>45177</v>
      </c>
    </row>
    <row r="15091" spans="1:24">
      <c r="A15091">
        <f>HYPERLINK("https://www.philgeps.gov.ph/GEPSNONPILOT/Tender/SplashBidNoticeAbstractUI.aspx?menuIndex=3&amp;refID=6918215&amp;Result=3","6918215")</f>
        <v>0</v>
      </c>
      <c r="B15091" t="s">
        <v>3174</v>
      </c>
      <c r="C15091" t="s">
        <v>17658</v>
      </c>
      <c r="D15091" t="s">
        <v>18079</v>
      </c>
      <c r="E15091" t="s">
        <v>31251</v>
      </c>
      <c r="F15091" t="s">
        <v>31574</v>
      </c>
      <c r="G15091" t="s">
        <v>31582</v>
      </c>
      <c r="H15091" t="s">
        <v>31590</v>
      </c>
      <c r="I15091" t="s">
        <v>31676</v>
      </c>
      <c r="J15091" t="s">
        <v>40942</v>
      </c>
      <c r="K15091" t="s">
        <v>41189</v>
      </c>
      <c r="M15091" t="s">
        <v>45054</v>
      </c>
      <c r="N15091" t="s">
        <v>45095</v>
      </c>
      <c r="O15091" t="s">
        <v>45096</v>
      </c>
      <c r="Q15091">
        <v>9</v>
      </c>
      <c r="R15091" t="s">
        <v>45176</v>
      </c>
      <c r="S15091" t="s">
        <v>46589</v>
      </c>
      <c r="T15091" t="s">
        <v>47171</v>
      </c>
      <c r="U15091" t="s">
        <v>59575</v>
      </c>
      <c r="W15091" t="s">
        <v>45054</v>
      </c>
      <c r="X15091" t="s">
        <v>45177</v>
      </c>
    </row>
    <row r="15092" spans="1:24">
      <c r="A15092">
        <f>HYPERLINK("https://www.philgeps.gov.ph/GEPSNONPILOT/Tender/SplashBidNoticeAbstractUI.aspx?menuIndex=3&amp;refID=6918193&amp;Result=3","6918193")</f>
        <v>0</v>
      </c>
      <c r="B15092" t="s">
        <v>3174</v>
      </c>
      <c r="C15092" t="s">
        <v>17659</v>
      </c>
      <c r="D15092" t="s">
        <v>18079</v>
      </c>
      <c r="E15092" t="s">
        <v>31252</v>
      </c>
      <c r="F15092" t="s">
        <v>31574</v>
      </c>
      <c r="G15092" t="s">
        <v>31582</v>
      </c>
      <c r="H15092" t="s">
        <v>31590</v>
      </c>
      <c r="I15092" t="s">
        <v>31676</v>
      </c>
      <c r="J15092" t="s">
        <v>40943</v>
      </c>
      <c r="K15092" t="s">
        <v>41189</v>
      </c>
      <c r="M15092" t="s">
        <v>45054</v>
      </c>
      <c r="N15092" t="s">
        <v>45095</v>
      </c>
      <c r="O15092" t="s">
        <v>45096</v>
      </c>
      <c r="Q15092">
        <v>9</v>
      </c>
      <c r="R15092" t="s">
        <v>45176</v>
      </c>
      <c r="S15092" t="s">
        <v>46590</v>
      </c>
      <c r="T15092" t="s">
        <v>47171</v>
      </c>
      <c r="U15092" t="s">
        <v>59575</v>
      </c>
      <c r="W15092" t="s">
        <v>45054</v>
      </c>
      <c r="X15092" t="s">
        <v>45177</v>
      </c>
    </row>
    <row r="15093" spans="1:24">
      <c r="A15093">
        <f>HYPERLINK("https://www.philgeps.gov.ph/GEPSNONPILOT/Tender/SplashBidNoticeAbstractUI.aspx?menuIndex=3&amp;refID=6918916&amp;Result=3","6918916")</f>
        <v>0</v>
      </c>
      <c r="B15093" t="s">
        <v>3174</v>
      </c>
      <c r="C15093" t="s">
        <v>17660</v>
      </c>
      <c r="D15093" t="s">
        <v>18079</v>
      </c>
      <c r="E15093" t="s">
        <v>31253</v>
      </c>
      <c r="F15093" t="s">
        <v>31574</v>
      </c>
      <c r="G15093" t="s">
        <v>31582</v>
      </c>
      <c r="H15093" t="s">
        <v>31590</v>
      </c>
      <c r="I15093" t="s">
        <v>31676</v>
      </c>
      <c r="J15093" t="s">
        <v>40944</v>
      </c>
      <c r="K15093" t="s">
        <v>41189</v>
      </c>
      <c r="M15093" t="s">
        <v>45052</v>
      </c>
      <c r="N15093" t="s">
        <v>45095</v>
      </c>
      <c r="O15093" t="s">
        <v>45096</v>
      </c>
      <c r="Q15093">
        <v>8</v>
      </c>
      <c r="R15093" t="s">
        <v>45175</v>
      </c>
      <c r="S15093" t="s">
        <v>46591</v>
      </c>
      <c r="T15093" t="s">
        <v>47171</v>
      </c>
      <c r="U15093" t="s">
        <v>59566</v>
      </c>
      <c r="W15093" t="s">
        <v>45052</v>
      </c>
      <c r="X15093" t="s">
        <v>45177</v>
      </c>
    </row>
    <row r="15094" spans="1:24">
      <c r="A15094">
        <f>HYPERLINK("https://www.philgeps.gov.ph/GEPSNONPILOT/Tender/SplashBidNoticeAbstractUI.aspx?menuIndex=3&amp;refID=6918175&amp;Result=3","6918175")</f>
        <v>0</v>
      </c>
      <c r="B15094" t="s">
        <v>3174</v>
      </c>
      <c r="C15094" t="s">
        <v>17661</v>
      </c>
      <c r="D15094" t="s">
        <v>18079</v>
      </c>
      <c r="E15094" t="s">
        <v>31254</v>
      </c>
      <c r="F15094" t="s">
        <v>31574</v>
      </c>
      <c r="G15094" t="s">
        <v>31582</v>
      </c>
      <c r="H15094" t="s">
        <v>31590</v>
      </c>
      <c r="I15094" t="s">
        <v>31676</v>
      </c>
      <c r="J15094" t="s">
        <v>40945</v>
      </c>
      <c r="K15094" t="s">
        <v>41189</v>
      </c>
      <c r="M15094" t="s">
        <v>45054</v>
      </c>
      <c r="N15094" t="s">
        <v>45095</v>
      </c>
      <c r="O15094" t="s">
        <v>45096</v>
      </c>
      <c r="Q15094">
        <v>6</v>
      </c>
      <c r="R15094" t="s">
        <v>45176</v>
      </c>
      <c r="S15094" t="s">
        <v>46592</v>
      </c>
      <c r="T15094" t="s">
        <v>47171</v>
      </c>
      <c r="U15094" t="s">
        <v>59576</v>
      </c>
      <c r="W15094" t="s">
        <v>45054</v>
      </c>
      <c r="X15094" t="s">
        <v>45177</v>
      </c>
    </row>
    <row r="15095" spans="1:24">
      <c r="A15095">
        <f>HYPERLINK("https://www.philgeps.gov.ph/GEPSNONPILOT/Tender/SplashBidNoticeAbstractUI.aspx?menuIndex=3&amp;refID=6914127&amp;Result=3","6914127")</f>
        <v>0</v>
      </c>
      <c r="B15095" t="s">
        <v>3175</v>
      </c>
      <c r="C15095" t="s">
        <v>17662</v>
      </c>
      <c r="D15095" t="s">
        <v>18103</v>
      </c>
      <c r="E15095" t="s">
        <v>31255</v>
      </c>
      <c r="F15095" t="s">
        <v>31574</v>
      </c>
      <c r="G15095" t="s">
        <v>31582</v>
      </c>
      <c r="H15095" t="s">
        <v>31592</v>
      </c>
      <c r="I15095" t="s">
        <v>5717</v>
      </c>
      <c r="J15095" t="s">
        <v>40946</v>
      </c>
      <c r="K15095" t="s">
        <v>41186</v>
      </c>
      <c r="M15095" t="s">
        <v>45053</v>
      </c>
      <c r="N15095" t="s">
        <v>45095</v>
      </c>
      <c r="O15095" t="s">
        <v>45096</v>
      </c>
      <c r="Q15095">
        <v>9</v>
      </c>
      <c r="R15095" t="s">
        <v>45176</v>
      </c>
      <c r="S15095" t="s">
        <v>46593</v>
      </c>
      <c r="T15095" t="s">
        <v>47173</v>
      </c>
      <c r="U15095" t="s">
        <v>59577</v>
      </c>
      <c r="V15095" t="s">
        <v>61581</v>
      </c>
      <c r="W15095" t="s">
        <v>45053</v>
      </c>
      <c r="X15095" t="s">
        <v>45178</v>
      </c>
    </row>
    <row r="15096" spans="1:24">
      <c r="A15096">
        <f>HYPERLINK("https://www.philgeps.gov.ph/GEPSNONPILOT/Tender/SplashBidNoticeAbstractUI.aspx?menuIndex=3&amp;refID=6917992&amp;Result=3","6917992")</f>
        <v>0</v>
      </c>
      <c r="B15096" t="s">
        <v>684</v>
      </c>
      <c r="C15096" t="s">
        <v>17663</v>
      </c>
      <c r="E15096" t="s">
        <v>31256</v>
      </c>
      <c r="F15096" t="s">
        <v>31574</v>
      </c>
      <c r="G15096" t="s">
        <v>31582</v>
      </c>
      <c r="H15096" t="s">
        <v>31590</v>
      </c>
      <c r="I15096" t="s">
        <v>3520</v>
      </c>
      <c r="J15096" t="s">
        <v>32986</v>
      </c>
      <c r="K15096" t="s">
        <v>41184</v>
      </c>
      <c r="M15096" t="s">
        <v>42191</v>
      </c>
      <c r="N15096" t="s">
        <v>45095</v>
      </c>
      <c r="O15096" t="s">
        <v>45096</v>
      </c>
      <c r="Q15096">
        <v>11</v>
      </c>
      <c r="R15096" t="s">
        <v>45176</v>
      </c>
      <c r="S15096" t="s">
        <v>46594</v>
      </c>
      <c r="T15096" t="s">
        <v>46962</v>
      </c>
      <c r="U15096" t="s">
        <v>59578</v>
      </c>
      <c r="V15096" t="s">
        <v>61584</v>
      </c>
      <c r="W15096" t="s">
        <v>42191</v>
      </c>
      <c r="X15096" t="s">
        <v>45177</v>
      </c>
    </row>
    <row r="15097" spans="1:24">
      <c r="A15097">
        <f>HYPERLINK("https://www.philgeps.gov.ph/GEPSNONPILOT/Tender/SplashBidNoticeAbstractUI.aspx?menuIndex=3&amp;refID=6913666&amp;Result=3","6913666")</f>
        <v>0</v>
      </c>
      <c r="B15097" t="s">
        <v>154</v>
      </c>
      <c r="C15097" t="s">
        <v>17664</v>
      </c>
      <c r="D15097" t="s">
        <v>18063</v>
      </c>
      <c r="E15097" t="s">
        <v>31257</v>
      </c>
      <c r="F15097" t="s">
        <v>31576</v>
      </c>
      <c r="G15097" t="s">
        <v>31588</v>
      </c>
      <c r="H15097" t="s">
        <v>31591</v>
      </c>
      <c r="I15097" t="s">
        <v>8822</v>
      </c>
      <c r="J15097" t="s">
        <v>40947</v>
      </c>
      <c r="K15097" t="s">
        <v>41297</v>
      </c>
      <c r="M15097" t="s">
        <v>41638</v>
      </c>
      <c r="N15097" t="s">
        <v>45095</v>
      </c>
      <c r="O15097" t="s">
        <v>45096</v>
      </c>
      <c r="Q15097">
        <v>2</v>
      </c>
      <c r="R15097" t="s">
        <v>45177</v>
      </c>
      <c r="S15097" t="s">
        <v>46595</v>
      </c>
      <c r="T15097" t="s">
        <v>47159</v>
      </c>
      <c r="U15097" t="s">
        <v>59579</v>
      </c>
      <c r="W15097" t="s">
        <v>41638</v>
      </c>
      <c r="X15097" t="s">
        <v>45178</v>
      </c>
    </row>
    <row r="15098" spans="1:24">
      <c r="A15098">
        <f>HYPERLINK("https://www.philgeps.gov.ph/GEPSNONPILOT/Tender/SplashBidNoticeAbstractUI.aspx?menuIndex=3&amp;refID=6918799&amp;Result=3","6918799")</f>
        <v>0</v>
      </c>
      <c r="B15098" t="s">
        <v>2334</v>
      </c>
      <c r="C15098" t="s">
        <v>17665</v>
      </c>
      <c r="D15098" t="s">
        <v>18026</v>
      </c>
      <c r="E15098" t="s">
        <v>17665</v>
      </c>
      <c r="F15098" t="s">
        <v>31574</v>
      </c>
      <c r="G15098" t="s">
        <v>31582</v>
      </c>
      <c r="H15098" t="s">
        <v>31592</v>
      </c>
      <c r="I15098" t="s">
        <v>31596</v>
      </c>
      <c r="J15098" t="s">
        <v>40948</v>
      </c>
      <c r="K15098" t="s">
        <v>41227</v>
      </c>
      <c r="M15098" t="s">
        <v>44044</v>
      </c>
      <c r="N15098" t="s">
        <v>45095</v>
      </c>
      <c r="O15098" t="s">
        <v>45096</v>
      </c>
      <c r="Q15098">
        <v>13</v>
      </c>
      <c r="R15098" t="s">
        <v>45176</v>
      </c>
      <c r="S15098" t="s">
        <v>46596</v>
      </c>
      <c r="T15098" t="s">
        <v>47074</v>
      </c>
      <c r="U15098" t="s">
        <v>59580</v>
      </c>
      <c r="W15098" t="s">
        <v>44044</v>
      </c>
      <c r="X15098" t="s">
        <v>45177</v>
      </c>
    </row>
    <row r="15099" spans="1:24">
      <c r="A15099">
        <f>HYPERLINK("https://www.philgeps.gov.ph/GEPSNONPILOT/Tender/SplashBidNoticeAbstractUI.aspx?menuIndex=3&amp;refID=6918201&amp;Result=3","6918201")</f>
        <v>0</v>
      </c>
      <c r="B15099" t="s">
        <v>2489</v>
      </c>
      <c r="C15099" t="s">
        <v>17666</v>
      </c>
      <c r="D15099" t="s">
        <v>18055</v>
      </c>
      <c r="E15099" t="s">
        <v>31258</v>
      </c>
      <c r="F15099" t="s">
        <v>31574</v>
      </c>
      <c r="G15099" t="s">
        <v>31582</v>
      </c>
      <c r="H15099" t="s">
        <v>31591</v>
      </c>
      <c r="I15099" t="s">
        <v>8822</v>
      </c>
      <c r="J15099" t="s">
        <v>40949</v>
      </c>
      <c r="K15099" t="s">
        <v>41492</v>
      </c>
      <c r="L15099" t="s">
        <v>2489</v>
      </c>
      <c r="M15099" t="s">
        <v>44220</v>
      </c>
      <c r="N15099" t="s">
        <v>45095</v>
      </c>
      <c r="O15099" t="s">
        <v>45096</v>
      </c>
      <c r="Q15099">
        <v>32</v>
      </c>
      <c r="R15099" t="s">
        <v>45176</v>
      </c>
      <c r="S15099" t="s">
        <v>46597</v>
      </c>
      <c r="T15099" t="s">
        <v>46979</v>
      </c>
      <c r="U15099" t="s">
        <v>59581</v>
      </c>
      <c r="W15099" t="s">
        <v>44220</v>
      </c>
      <c r="X15099" t="s">
        <v>45177</v>
      </c>
    </row>
    <row r="15100" spans="1:24">
      <c r="A15100">
        <f>HYPERLINK("https://www.philgeps.gov.ph/GEPSNONPILOT/Tender/SplashBidNoticeAbstractUI.aspx?menuIndex=3&amp;refID=6914098&amp;Result=3","6914098")</f>
        <v>0</v>
      </c>
      <c r="B15100" t="s">
        <v>1648</v>
      </c>
      <c r="C15100" t="s">
        <v>17667</v>
      </c>
      <c r="D15100" t="s">
        <v>18079</v>
      </c>
      <c r="E15100" t="s">
        <v>31259</v>
      </c>
      <c r="F15100" t="s">
        <v>31574</v>
      </c>
      <c r="G15100" t="s">
        <v>31581</v>
      </c>
      <c r="H15100" t="s">
        <v>31590</v>
      </c>
      <c r="I15100" t="s">
        <v>7162</v>
      </c>
      <c r="J15100" t="s">
        <v>31947</v>
      </c>
      <c r="K15100" t="s">
        <v>41186</v>
      </c>
      <c r="M15100" t="s">
        <v>44734</v>
      </c>
      <c r="N15100" t="s">
        <v>45095</v>
      </c>
      <c r="O15100" t="s">
        <v>45096</v>
      </c>
      <c r="Q15100">
        <v>3</v>
      </c>
      <c r="R15100" t="s">
        <v>45177</v>
      </c>
      <c r="S15100" t="s">
        <v>45287</v>
      </c>
      <c r="T15100" t="s">
        <v>47058</v>
      </c>
      <c r="U15100" t="s">
        <v>59582</v>
      </c>
      <c r="W15100" t="s">
        <v>61767</v>
      </c>
      <c r="X15100" t="s">
        <v>45178</v>
      </c>
    </row>
    <row r="15101" spans="1:24">
      <c r="A15101">
        <f>HYPERLINK("https://www.philgeps.gov.ph/GEPSNONPILOT/Tender/SplashBidNoticeAbstractUI.aspx?menuIndex=3&amp;refID=6920397&amp;Result=3","6920397")</f>
        <v>0</v>
      </c>
      <c r="B15101" t="s">
        <v>800</v>
      </c>
      <c r="C15101" t="s">
        <v>17668</v>
      </c>
      <c r="D15101" t="s">
        <v>18106</v>
      </c>
      <c r="E15101" t="s">
        <v>31260</v>
      </c>
      <c r="F15101" t="s">
        <v>31574</v>
      </c>
      <c r="G15101" t="s">
        <v>31582</v>
      </c>
      <c r="H15101" t="s">
        <v>31590</v>
      </c>
      <c r="I15101" t="s">
        <v>31672</v>
      </c>
      <c r="J15101" t="s">
        <v>40950</v>
      </c>
      <c r="K15101" t="s">
        <v>41186</v>
      </c>
      <c r="M15101" t="s">
        <v>42314</v>
      </c>
      <c r="N15101" t="s">
        <v>45095</v>
      </c>
      <c r="O15101" t="s">
        <v>45096</v>
      </c>
      <c r="Q15101">
        <v>4</v>
      </c>
      <c r="R15101" t="s">
        <v>45176</v>
      </c>
      <c r="S15101" t="s">
        <v>46598</v>
      </c>
      <c r="T15101" t="s">
        <v>47170</v>
      </c>
      <c r="U15101" t="s">
        <v>59583</v>
      </c>
      <c r="V15101" t="s">
        <v>61585</v>
      </c>
      <c r="W15101" t="s">
        <v>42314</v>
      </c>
      <c r="X15101" t="s">
        <v>45177</v>
      </c>
    </row>
    <row r="15102" spans="1:24">
      <c r="A15102">
        <f>HYPERLINK("https://www.philgeps.gov.ph/GEPSNONPILOT/Tender/SplashBidNoticeAbstractUI.aspx?menuIndex=3&amp;refID=6919709&amp;Result=3","6919709")</f>
        <v>0</v>
      </c>
      <c r="B15102" t="s">
        <v>684</v>
      </c>
      <c r="C15102" t="s">
        <v>17669</v>
      </c>
      <c r="E15102" t="s">
        <v>31261</v>
      </c>
      <c r="F15102" t="s">
        <v>31574</v>
      </c>
      <c r="G15102" t="s">
        <v>31582</v>
      </c>
      <c r="H15102" t="s">
        <v>31590</v>
      </c>
      <c r="I15102" t="s">
        <v>3487</v>
      </c>
      <c r="J15102" t="s">
        <v>34225</v>
      </c>
      <c r="K15102" t="s">
        <v>41184</v>
      </c>
      <c r="M15102" t="s">
        <v>42191</v>
      </c>
      <c r="N15102" t="s">
        <v>45095</v>
      </c>
      <c r="O15102" t="s">
        <v>45096</v>
      </c>
      <c r="Q15102">
        <v>1</v>
      </c>
      <c r="R15102" t="s">
        <v>45176</v>
      </c>
      <c r="S15102" t="s">
        <v>46599</v>
      </c>
      <c r="T15102" t="s">
        <v>46973</v>
      </c>
      <c r="U15102" t="s">
        <v>59584</v>
      </c>
      <c r="V15102" t="s">
        <v>61586</v>
      </c>
      <c r="W15102" t="s">
        <v>42191</v>
      </c>
      <c r="X15102" t="s">
        <v>45177</v>
      </c>
    </row>
    <row r="15103" spans="1:24">
      <c r="A15103">
        <f>HYPERLINK("https://www.philgeps.gov.ph/GEPSNONPILOT/Tender/SplashBidNoticeAbstractUI.aspx?menuIndex=3&amp;refID=6913166&amp;Result=3","6913166")</f>
        <v>0</v>
      </c>
      <c r="B15103" t="s">
        <v>1023</v>
      </c>
      <c r="C15103" t="s">
        <v>17670</v>
      </c>
      <c r="E15103" t="s">
        <v>31262</v>
      </c>
      <c r="F15103" t="s">
        <v>31574</v>
      </c>
      <c r="G15103" t="s">
        <v>31582</v>
      </c>
      <c r="H15103" t="s">
        <v>31590</v>
      </c>
      <c r="I15103" t="s">
        <v>31623</v>
      </c>
      <c r="J15103" t="s">
        <v>35794</v>
      </c>
      <c r="K15103" t="s">
        <v>41184</v>
      </c>
      <c r="M15103" t="s">
        <v>45055</v>
      </c>
      <c r="N15103" t="s">
        <v>45095</v>
      </c>
      <c r="O15103" t="s">
        <v>45096</v>
      </c>
      <c r="Q15103">
        <v>1</v>
      </c>
      <c r="R15103" t="s">
        <v>45177</v>
      </c>
      <c r="S15103" t="s">
        <v>46600</v>
      </c>
      <c r="T15103" t="s">
        <v>46980</v>
      </c>
      <c r="U15103" t="s">
        <v>59585</v>
      </c>
      <c r="W15103" t="s">
        <v>45055</v>
      </c>
      <c r="X15103" t="s">
        <v>45178</v>
      </c>
    </row>
    <row r="15104" spans="1:24">
      <c r="A15104">
        <f>HYPERLINK("https://www.philgeps.gov.ph/GEPSNONPILOT/Tender/SplashBidNoticeAbstractUI.aspx?menuIndex=3&amp;refID=6919536&amp;Result=3","6919536")</f>
        <v>0</v>
      </c>
      <c r="B15104" t="s">
        <v>3174</v>
      </c>
      <c r="C15104" t="s">
        <v>17671</v>
      </c>
      <c r="D15104" t="s">
        <v>18079</v>
      </c>
      <c r="E15104" t="s">
        <v>31263</v>
      </c>
      <c r="F15104" t="s">
        <v>31574</v>
      </c>
      <c r="G15104" t="s">
        <v>31582</v>
      </c>
      <c r="H15104" t="s">
        <v>31590</v>
      </c>
      <c r="I15104" t="s">
        <v>31676</v>
      </c>
      <c r="J15104" t="s">
        <v>40951</v>
      </c>
      <c r="K15104" t="s">
        <v>41189</v>
      </c>
      <c r="M15104" t="s">
        <v>45052</v>
      </c>
      <c r="N15104" t="s">
        <v>45095</v>
      </c>
      <c r="O15104" t="s">
        <v>45096</v>
      </c>
      <c r="Q15104">
        <v>8</v>
      </c>
      <c r="R15104" t="s">
        <v>45175</v>
      </c>
      <c r="S15104" t="s">
        <v>46601</v>
      </c>
      <c r="T15104" t="s">
        <v>47171</v>
      </c>
      <c r="U15104" t="s">
        <v>59566</v>
      </c>
      <c r="W15104" t="s">
        <v>45052</v>
      </c>
      <c r="X15104" t="s">
        <v>45177</v>
      </c>
    </row>
    <row r="15105" spans="1:24">
      <c r="A15105">
        <f>HYPERLINK("https://www.philgeps.gov.ph/GEPSNONPILOT/Tender/SplashBidNoticeAbstractUI.aspx?menuIndex=3&amp;refID=6919694&amp;Result=3","6919694")</f>
        <v>0</v>
      </c>
      <c r="B15105" t="s">
        <v>684</v>
      </c>
      <c r="C15105" t="s">
        <v>17672</v>
      </c>
      <c r="E15105" t="s">
        <v>31264</v>
      </c>
      <c r="F15105" t="s">
        <v>31574</v>
      </c>
      <c r="G15105" t="s">
        <v>31582</v>
      </c>
      <c r="H15105" t="s">
        <v>31590</v>
      </c>
      <c r="I15105" t="s">
        <v>31617</v>
      </c>
      <c r="J15105" t="s">
        <v>40952</v>
      </c>
      <c r="K15105" t="s">
        <v>41184</v>
      </c>
      <c r="M15105" t="s">
        <v>42191</v>
      </c>
      <c r="N15105" t="s">
        <v>45095</v>
      </c>
      <c r="O15105" t="s">
        <v>45096</v>
      </c>
      <c r="Q15105">
        <v>9</v>
      </c>
      <c r="R15105" t="s">
        <v>45176</v>
      </c>
      <c r="S15105" t="s">
        <v>46602</v>
      </c>
      <c r="T15105" t="s">
        <v>46973</v>
      </c>
      <c r="U15105" t="s">
        <v>59586</v>
      </c>
      <c r="V15105" t="s">
        <v>61587</v>
      </c>
      <c r="W15105" t="s">
        <v>42191</v>
      </c>
      <c r="X15105" t="s">
        <v>45177</v>
      </c>
    </row>
    <row r="15106" spans="1:24">
      <c r="A15106">
        <f>HYPERLINK("https://www.philgeps.gov.ph/GEPSNONPILOT/Tender/SplashBidNoticeAbstractUI.aspx?menuIndex=3&amp;refID=6919902&amp;Result=3","6919902")</f>
        <v>0</v>
      </c>
      <c r="B15106" t="s">
        <v>3176</v>
      </c>
      <c r="C15106" t="s">
        <v>17673</v>
      </c>
      <c r="E15106" t="s">
        <v>28941</v>
      </c>
      <c r="F15106" t="s">
        <v>31574</v>
      </c>
      <c r="G15106" t="s">
        <v>31583</v>
      </c>
      <c r="H15106" t="s">
        <v>31590</v>
      </c>
      <c r="I15106" t="s">
        <v>31654</v>
      </c>
      <c r="J15106" t="s">
        <v>31947</v>
      </c>
      <c r="K15106" t="s">
        <v>41184</v>
      </c>
      <c r="M15106" t="s">
        <v>45056</v>
      </c>
      <c r="N15106" t="s">
        <v>45095</v>
      </c>
      <c r="O15106" t="s">
        <v>45096</v>
      </c>
      <c r="Q15106">
        <v>6</v>
      </c>
      <c r="R15106" t="s">
        <v>45176</v>
      </c>
      <c r="S15106" t="s">
        <v>46603</v>
      </c>
      <c r="T15106" t="s">
        <v>47162</v>
      </c>
      <c r="U15106" t="s">
        <v>59587</v>
      </c>
      <c r="W15106" t="s">
        <v>61780</v>
      </c>
      <c r="X15106" t="s">
        <v>45177</v>
      </c>
    </row>
    <row r="15107" spans="1:24">
      <c r="A15107">
        <f>HYPERLINK("https://www.philgeps.gov.ph/GEPSNONPILOT/Tender/SplashBidNoticeAbstractUI.aspx?menuIndex=3&amp;refID=6919852&amp;Result=3","6919852")</f>
        <v>0</v>
      </c>
      <c r="B15107" t="s">
        <v>2564</v>
      </c>
      <c r="C15107" t="s">
        <v>17674</v>
      </c>
      <c r="D15107" t="s">
        <v>18022</v>
      </c>
      <c r="E15107" t="s">
        <v>31265</v>
      </c>
      <c r="F15107" t="s">
        <v>31574</v>
      </c>
      <c r="G15107" t="s">
        <v>31582</v>
      </c>
      <c r="H15107" t="s">
        <v>31591</v>
      </c>
      <c r="I15107" t="s">
        <v>8822</v>
      </c>
      <c r="J15107" t="s">
        <v>40953</v>
      </c>
      <c r="K15107" t="s">
        <v>41256</v>
      </c>
      <c r="M15107" t="s">
        <v>44303</v>
      </c>
      <c r="N15107" t="s">
        <v>45095</v>
      </c>
      <c r="O15107" t="s">
        <v>45096</v>
      </c>
      <c r="Q15107">
        <v>29</v>
      </c>
      <c r="R15107" t="s">
        <v>45176</v>
      </c>
      <c r="S15107" t="s">
        <v>46604</v>
      </c>
      <c r="T15107" t="s">
        <v>46966</v>
      </c>
      <c r="U15107" t="s">
        <v>59588</v>
      </c>
      <c r="W15107" t="s">
        <v>44303</v>
      </c>
      <c r="X15107" t="s">
        <v>45177</v>
      </c>
    </row>
    <row r="15108" spans="1:24">
      <c r="A15108">
        <f>HYPERLINK("https://www.philgeps.gov.ph/GEPSNONPILOT/Tender/SplashBidNoticeAbstractUI.aspx?menuIndex=3&amp;refID=6915397&amp;Result=3","6915397")</f>
        <v>0</v>
      </c>
      <c r="B15108" t="s">
        <v>386</v>
      </c>
      <c r="C15108" t="s">
        <v>17675</v>
      </c>
      <c r="D15108" t="s">
        <v>18052</v>
      </c>
      <c r="E15108" t="s">
        <v>31266</v>
      </c>
      <c r="F15108" t="s">
        <v>31574</v>
      </c>
      <c r="G15108" t="s">
        <v>31582</v>
      </c>
      <c r="H15108" t="s">
        <v>31590</v>
      </c>
      <c r="I15108" t="s">
        <v>31620</v>
      </c>
      <c r="J15108" t="s">
        <v>40954</v>
      </c>
      <c r="K15108" t="s">
        <v>41192</v>
      </c>
      <c r="M15108" t="s">
        <v>41877</v>
      </c>
      <c r="N15108" t="s">
        <v>45095</v>
      </c>
      <c r="O15108" t="s">
        <v>45096</v>
      </c>
      <c r="Q15108">
        <v>8</v>
      </c>
      <c r="R15108" t="s">
        <v>45177</v>
      </c>
      <c r="S15108" t="s">
        <v>46605</v>
      </c>
      <c r="T15108" t="s">
        <v>46918</v>
      </c>
      <c r="U15108" t="s">
        <v>59589</v>
      </c>
      <c r="V15108" t="s">
        <v>59932</v>
      </c>
      <c r="W15108" t="s">
        <v>41877</v>
      </c>
      <c r="X15108" t="s">
        <v>45178</v>
      </c>
    </row>
    <row r="15109" spans="1:24">
      <c r="A15109">
        <f>HYPERLINK("https://www.philgeps.gov.ph/GEPSNONPILOT/Tender/SplashBidNoticeAbstractUI.aspx?menuIndex=3&amp;refID=6913864&amp;Result=3","6913864")</f>
        <v>0</v>
      </c>
      <c r="B15109" t="s">
        <v>3175</v>
      </c>
      <c r="C15109" t="s">
        <v>17676</v>
      </c>
      <c r="D15109" t="s">
        <v>18103</v>
      </c>
      <c r="E15109" t="s">
        <v>31267</v>
      </c>
      <c r="F15109" t="s">
        <v>31574</v>
      </c>
      <c r="G15109" t="s">
        <v>31582</v>
      </c>
      <c r="H15109" t="s">
        <v>31592</v>
      </c>
      <c r="I15109" t="s">
        <v>5717</v>
      </c>
      <c r="J15109" t="s">
        <v>40955</v>
      </c>
      <c r="K15109" t="s">
        <v>41186</v>
      </c>
      <c r="M15109" t="s">
        <v>45053</v>
      </c>
      <c r="N15109" t="s">
        <v>45095</v>
      </c>
      <c r="O15109" t="s">
        <v>45096</v>
      </c>
      <c r="Q15109">
        <v>13</v>
      </c>
      <c r="R15109" t="s">
        <v>45176</v>
      </c>
      <c r="S15109" t="s">
        <v>46606</v>
      </c>
      <c r="T15109" t="s">
        <v>47173</v>
      </c>
      <c r="U15109" t="s">
        <v>59590</v>
      </c>
      <c r="V15109" t="s">
        <v>61581</v>
      </c>
      <c r="W15109" t="s">
        <v>45053</v>
      </c>
      <c r="X15109" t="s">
        <v>45178</v>
      </c>
    </row>
    <row r="15110" spans="1:24">
      <c r="A15110">
        <f>HYPERLINK("https://www.philgeps.gov.ph/GEPSNONPILOT/Tender/SplashBidNoticeAbstractUI.aspx?menuIndex=3&amp;refID=6914116&amp;Result=3","6914116")</f>
        <v>0</v>
      </c>
      <c r="B15110" t="s">
        <v>1723</v>
      </c>
      <c r="C15110" t="s">
        <v>17677</v>
      </c>
      <c r="D15110" t="s">
        <v>18022</v>
      </c>
      <c r="E15110" t="s">
        <v>31268</v>
      </c>
      <c r="F15110" t="s">
        <v>31574</v>
      </c>
      <c r="G15110" t="s">
        <v>31582</v>
      </c>
      <c r="H15110" t="s">
        <v>31590</v>
      </c>
      <c r="I15110" t="s">
        <v>31623</v>
      </c>
      <c r="J15110" t="s">
        <v>32550</v>
      </c>
      <c r="K15110" t="s">
        <v>41185</v>
      </c>
      <c r="M15110" t="s">
        <v>43340</v>
      </c>
      <c r="N15110" t="s">
        <v>45095</v>
      </c>
      <c r="O15110" t="s">
        <v>45096</v>
      </c>
      <c r="Q15110">
        <v>18</v>
      </c>
      <c r="R15110" t="s">
        <v>45177</v>
      </c>
      <c r="S15110" t="s">
        <v>46607</v>
      </c>
      <c r="T15110" t="s">
        <v>46955</v>
      </c>
      <c r="U15110" t="s">
        <v>51835</v>
      </c>
      <c r="W15110" t="s">
        <v>43340</v>
      </c>
      <c r="X15110" t="s">
        <v>45178</v>
      </c>
    </row>
    <row r="15111" spans="1:24">
      <c r="A15111">
        <f>HYPERLINK("https://www.philgeps.gov.ph/GEPSNONPILOT/Tender/SplashBidNoticeAbstractUI.aspx?menuIndex=3&amp;refID=6919546&amp;Result=3","6919546")</f>
        <v>0</v>
      </c>
      <c r="B15111" t="s">
        <v>684</v>
      </c>
      <c r="C15111" t="s">
        <v>17678</v>
      </c>
      <c r="E15111" t="s">
        <v>31269</v>
      </c>
      <c r="F15111" t="s">
        <v>31574</v>
      </c>
      <c r="G15111" t="s">
        <v>31582</v>
      </c>
      <c r="H15111" t="s">
        <v>31590</v>
      </c>
      <c r="I15111" t="s">
        <v>3520</v>
      </c>
      <c r="J15111" t="s">
        <v>40956</v>
      </c>
      <c r="K15111" t="s">
        <v>41184</v>
      </c>
      <c r="M15111" t="s">
        <v>42191</v>
      </c>
      <c r="N15111" t="s">
        <v>45095</v>
      </c>
      <c r="O15111" t="s">
        <v>45096</v>
      </c>
      <c r="Q15111">
        <v>11</v>
      </c>
      <c r="R15111" t="s">
        <v>45176</v>
      </c>
      <c r="S15111" t="s">
        <v>46608</v>
      </c>
      <c r="T15111" t="s">
        <v>46962</v>
      </c>
      <c r="U15111" t="s">
        <v>59591</v>
      </c>
      <c r="V15111" t="s">
        <v>61588</v>
      </c>
      <c r="W15111" t="s">
        <v>42191</v>
      </c>
      <c r="X15111" t="s">
        <v>45177</v>
      </c>
    </row>
    <row r="15112" spans="1:24">
      <c r="A15112">
        <f>HYPERLINK("https://www.philgeps.gov.ph/GEPSNONPILOT/Tender/SplashBidNoticeAbstractUI.aspx?menuIndex=3&amp;refID=6919509&amp;Result=3","6919509")</f>
        <v>0</v>
      </c>
      <c r="B15112" t="s">
        <v>776</v>
      </c>
      <c r="C15112" t="s">
        <v>17679</v>
      </c>
      <c r="E15112" t="s">
        <v>31270</v>
      </c>
      <c r="F15112" t="s">
        <v>31574</v>
      </c>
      <c r="G15112" t="s">
        <v>31582</v>
      </c>
      <c r="H15112" t="s">
        <v>31590</v>
      </c>
      <c r="I15112" t="s">
        <v>31608</v>
      </c>
      <c r="J15112" t="s">
        <v>40957</v>
      </c>
      <c r="K15112" t="s">
        <v>41184</v>
      </c>
      <c r="M15112" t="s">
        <v>45003</v>
      </c>
      <c r="N15112" t="s">
        <v>45095</v>
      </c>
      <c r="O15112" t="s">
        <v>45096</v>
      </c>
      <c r="Q15112">
        <v>31</v>
      </c>
      <c r="R15112" t="s">
        <v>45176</v>
      </c>
      <c r="S15112" t="s">
        <v>46609</v>
      </c>
      <c r="T15112" t="s">
        <v>46985</v>
      </c>
      <c r="U15112" t="s">
        <v>59592</v>
      </c>
      <c r="W15112" t="s">
        <v>45003</v>
      </c>
      <c r="X15112" t="s">
        <v>45177</v>
      </c>
    </row>
    <row r="15113" spans="1:24">
      <c r="A15113">
        <f>HYPERLINK("https://www.philgeps.gov.ph/GEPSNONPILOT/Tender/SplashBidNoticeAbstractUI.aspx?menuIndex=3&amp;refID=6915042&amp;Result=3","6915042")</f>
        <v>0</v>
      </c>
      <c r="B15113" t="s">
        <v>540</v>
      </c>
      <c r="C15113" t="s">
        <v>17680</v>
      </c>
      <c r="D15113" t="s">
        <v>18022</v>
      </c>
      <c r="E15113" t="s">
        <v>31271</v>
      </c>
      <c r="F15113" t="s">
        <v>31574</v>
      </c>
      <c r="G15113" t="s">
        <v>31582</v>
      </c>
      <c r="H15113" t="s">
        <v>31590</v>
      </c>
      <c r="I15113" t="s">
        <v>31594</v>
      </c>
      <c r="J15113" t="s">
        <v>40958</v>
      </c>
      <c r="K15113" t="s">
        <v>41192</v>
      </c>
      <c r="M15113" t="s">
        <v>44470</v>
      </c>
      <c r="N15113" t="s">
        <v>45095</v>
      </c>
      <c r="O15113" t="s">
        <v>45096</v>
      </c>
      <c r="Q15113">
        <v>9</v>
      </c>
      <c r="R15113" t="s">
        <v>45177</v>
      </c>
      <c r="S15113" t="s">
        <v>46610</v>
      </c>
      <c r="T15113" t="s">
        <v>47157</v>
      </c>
      <c r="U15113" t="s">
        <v>59593</v>
      </c>
      <c r="W15113" t="s">
        <v>44470</v>
      </c>
      <c r="X15113" t="s">
        <v>45178</v>
      </c>
    </row>
    <row r="15114" spans="1:24">
      <c r="A15114">
        <f>HYPERLINK("https://www.philgeps.gov.ph/GEPSNONPILOT/Tender/SplashBidNoticeAbstractUI.aspx?menuIndex=3&amp;refID=6919570&amp;Result=3","6919570")</f>
        <v>0</v>
      </c>
      <c r="B15114" t="s">
        <v>684</v>
      </c>
      <c r="C15114" t="s">
        <v>17681</v>
      </c>
      <c r="E15114" t="s">
        <v>31272</v>
      </c>
      <c r="F15114" t="s">
        <v>31574</v>
      </c>
      <c r="G15114" t="s">
        <v>31582</v>
      </c>
      <c r="H15114" t="s">
        <v>31590</v>
      </c>
      <c r="I15114" t="s">
        <v>31682</v>
      </c>
      <c r="J15114" t="s">
        <v>40959</v>
      </c>
      <c r="K15114" t="s">
        <v>41184</v>
      </c>
      <c r="M15114" t="s">
        <v>42191</v>
      </c>
      <c r="N15114" t="s">
        <v>45095</v>
      </c>
      <c r="O15114" t="s">
        <v>45096</v>
      </c>
      <c r="Q15114">
        <v>10</v>
      </c>
      <c r="R15114" t="s">
        <v>45176</v>
      </c>
      <c r="S15114" t="s">
        <v>46611</v>
      </c>
      <c r="T15114" t="s">
        <v>46962</v>
      </c>
      <c r="U15114" t="s">
        <v>59584</v>
      </c>
      <c r="V15114" t="s">
        <v>61589</v>
      </c>
      <c r="W15114" t="s">
        <v>42191</v>
      </c>
      <c r="X15114" t="s">
        <v>45177</v>
      </c>
    </row>
    <row r="15115" spans="1:24">
      <c r="A15115">
        <f>HYPERLINK("https://www.philgeps.gov.ph/GEPSNONPILOT/Tender/SplashBidNoticeAbstractUI.aspx?menuIndex=3&amp;refID=6919291&amp;Result=3","6919291")</f>
        <v>0</v>
      </c>
      <c r="B15115" t="s">
        <v>808</v>
      </c>
      <c r="C15115" t="s">
        <v>17682</v>
      </c>
      <c r="D15115" t="s">
        <v>18031</v>
      </c>
      <c r="E15115" t="s">
        <v>31273</v>
      </c>
      <c r="F15115" t="s">
        <v>31574</v>
      </c>
      <c r="G15115" t="s">
        <v>31582</v>
      </c>
      <c r="H15115" t="s">
        <v>31592</v>
      </c>
      <c r="I15115" t="s">
        <v>31596</v>
      </c>
      <c r="J15115" t="s">
        <v>32076</v>
      </c>
      <c r="K15115" t="s">
        <v>41210</v>
      </c>
      <c r="M15115" t="s">
        <v>45057</v>
      </c>
      <c r="N15115" t="s">
        <v>45095</v>
      </c>
      <c r="O15115" t="s">
        <v>45096</v>
      </c>
      <c r="Q15115">
        <v>2</v>
      </c>
      <c r="R15115" t="s">
        <v>45176</v>
      </c>
      <c r="S15115" t="s">
        <v>46612</v>
      </c>
      <c r="T15115" t="s">
        <v>46987</v>
      </c>
      <c r="U15115" t="s">
        <v>59594</v>
      </c>
      <c r="W15115" t="s">
        <v>42323</v>
      </c>
      <c r="X15115" t="s">
        <v>45177</v>
      </c>
    </row>
    <row r="15116" spans="1:24">
      <c r="A15116">
        <f>HYPERLINK("https://www.philgeps.gov.ph/GEPSNONPILOT/Tender/SplashBidNoticeAbstractUI.aspx?menuIndex=3&amp;refID=6915972&amp;Result=3","6915972")</f>
        <v>0</v>
      </c>
      <c r="B15116" t="s">
        <v>684</v>
      </c>
      <c r="C15116" t="s">
        <v>17683</v>
      </c>
      <c r="E15116" t="s">
        <v>31274</v>
      </c>
      <c r="F15116" t="s">
        <v>31574</v>
      </c>
      <c r="G15116" t="s">
        <v>31582</v>
      </c>
      <c r="H15116" t="s">
        <v>31591</v>
      </c>
      <c r="I15116" t="s">
        <v>8822</v>
      </c>
      <c r="J15116" t="s">
        <v>40960</v>
      </c>
      <c r="K15116" t="s">
        <v>41184</v>
      </c>
      <c r="M15116" t="s">
        <v>42191</v>
      </c>
      <c r="N15116" t="s">
        <v>45095</v>
      </c>
      <c r="O15116" t="s">
        <v>45096</v>
      </c>
      <c r="Q15116">
        <v>4</v>
      </c>
      <c r="R15116" t="s">
        <v>45176</v>
      </c>
      <c r="S15116" t="s">
        <v>46613</v>
      </c>
      <c r="T15116" t="s">
        <v>46962</v>
      </c>
      <c r="U15116" t="s">
        <v>59595</v>
      </c>
      <c r="V15116" t="s">
        <v>61590</v>
      </c>
      <c r="W15116" t="s">
        <v>42191</v>
      </c>
      <c r="X15116" t="s">
        <v>45178</v>
      </c>
    </row>
    <row r="15117" spans="1:24">
      <c r="A15117">
        <f>HYPERLINK("https://www.philgeps.gov.ph/GEPSNONPILOT/Tender/SplashBidNoticeAbstractUI.aspx?menuIndex=3&amp;refID=6914192&amp;Result=3","6914192")</f>
        <v>0</v>
      </c>
      <c r="B15117" t="s">
        <v>1723</v>
      </c>
      <c r="C15117" t="s">
        <v>17684</v>
      </c>
      <c r="D15117" t="s">
        <v>18022</v>
      </c>
      <c r="E15117" t="s">
        <v>31275</v>
      </c>
      <c r="F15117" t="s">
        <v>31574</v>
      </c>
      <c r="G15117" t="s">
        <v>31582</v>
      </c>
      <c r="H15117" t="s">
        <v>31590</v>
      </c>
      <c r="I15117" t="s">
        <v>31623</v>
      </c>
      <c r="J15117" t="s">
        <v>40961</v>
      </c>
      <c r="K15117" t="s">
        <v>41206</v>
      </c>
      <c r="M15117" t="s">
        <v>43340</v>
      </c>
      <c r="N15117" t="s">
        <v>45095</v>
      </c>
      <c r="O15117" t="s">
        <v>45096</v>
      </c>
      <c r="Q15117">
        <v>6</v>
      </c>
      <c r="R15117" t="s">
        <v>45177</v>
      </c>
      <c r="S15117" t="s">
        <v>46614</v>
      </c>
      <c r="T15117" t="s">
        <v>46989</v>
      </c>
      <c r="U15117" t="s">
        <v>51835</v>
      </c>
      <c r="W15117" t="s">
        <v>43340</v>
      </c>
      <c r="X15117" t="s">
        <v>45178</v>
      </c>
    </row>
    <row r="15118" spans="1:24">
      <c r="A15118">
        <f>HYPERLINK("https://www.philgeps.gov.ph/GEPSNONPILOT/Tender/SplashBidNoticeAbstractUI.aspx?menuIndex=3&amp;refID=6915275&amp;Result=3","6915275")</f>
        <v>0</v>
      </c>
      <c r="B15118" t="s">
        <v>2845</v>
      </c>
      <c r="C15118" t="s">
        <v>17685</v>
      </c>
      <c r="E15118" t="s">
        <v>31276</v>
      </c>
      <c r="F15118" t="s">
        <v>31574</v>
      </c>
      <c r="G15118" t="s">
        <v>31582</v>
      </c>
      <c r="H15118" t="s">
        <v>31590</v>
      </c>
      <c r="I15118" t="s">
        <v>7185</v>
      </c>
      <c r="J15118" t="s">
        <v>40962</v>
      </c>
      <c r="K15118" t="s">
        <v>41184</v>
      </c>
      <c r="M15118" t="s">
        <v>44628</v>
      </c>
      <c r="N15118" t="s">
        <v>45095</v>
      </c>
      <c r="O15118" t="s">
        <v>45096</v>
      </c>
      <c r="Q15118">
        <v>10</v>
      </c>
      <c r="R15118" t="s">
        <v>45177</v>
      </c>
      <c r="S15118" t="s">
        <v>46615</v>
      </c>
      <c r="T15118" t="s">
        <v>47125</v>
      </c>
      <c r="U15118" t="s">
        <v>56848</v>
      </c>
      <c r="W15118" t="s">
        <v>44628</v>
      </c>
      <c r="X15118" t="s">
        <v>45178</v>
      </c>
    </row>
    <row r="15119" spans="1:24">
      <c r="A15119">
        <f>HYPERLINK("https://www.philgeps.gov.ph/GEPSNONPILOT/Tender/SplashBidNoticeAbstractUI.aspx?menuIndex=3&amp;refID=6916855&amp;Result=3","6916855")</f>
        <v>0</v>
      </c>
      <c r="B15119" t="s">
        <v>800</v>
      </c>
      <c r="C15119" t="s">
        <v>17686</v>
      </c>
      <c r="D15119" t="s">
        <v>18113</v>
      </c>
      <c r="E15119" t="s">
        <v>31277</v>
      </c>
      <c r="F15119" t="s">
        <v>31574</v>
      </c>
      <c r="G15119" t="s">
        <v>31582</v>
      </c>
      <c r="H15119" t="s">
        <v>31590</v>
      </c>
      <c r="I15119" t="s">
        <v>31676</v>
      </c>
      <c r="J15119" t="s">
        <v>40963</v>
      </c>
      <c r="K15119" t="s">
        <v>41267</v>
      </c>
      <c r="M15119" t="s">
        <v>42314</v>
      </c>
      <c r="N15119" t="s">
        <v>45095</v>
      </c>
      <c r="O15119" t="s">
        <v>45096</v>
      </c>
      <c r="Q15119">
        <v>5</v>
      </c>
      <c r="R15119" t="s">
        <v>45177</v>
      </c>
      <c r="S15119" t="s">
        <v>46616</v>
      </c>
      <c r="T15119" t="s">
        <v>47232</v>
      </c>
      <c r="U15119" t="s">
        <v>59596</v>
      </c>
      <c r="V15119" t="s">
        <v>61591</v>
      </c>
      <c r="W15119" t="s">
        <v>42314</v>
      </c>
      <c r="X15119" t="s">
        <v>45178</v>
      </c>
    </row>
    <row r="15120" spans="1:24">
      <c r="A15120">
        <f>HYPERLINK("https://www.philgeps.gov.ph/GEPSNONPILOT/Tender/SplashBidNoticeAbstractUI.aspx?menuIndex=3&amp;refID=6915405&amp;Result=3","6915405")</f>
        <v>0</v>
      </c>
      <c r="B15120" t="s">
        <v>2845</v>
      </c>
      <c r="C15120" t="s">
        <v>17687</v>
      </c>
      <c r="E15120" t="s">
        <v>31278</v>
      </c>
      <c r="F15120" t="s">
        <v>31574</v>
      </c>
      <c r="G15120" t="s">
        <v>31582</v>
      </c>
      <c r="H15120" t="s">
        <v>31590</v>
      </c>
      <c r="I15120" t="s">
        <v>8258</v>
      </c>
      <c r="J15120" t="s">
        <v>40964</v>
      </c>
      <c r="K15120" t="s">
        <v>41184</v>
      </c>
      <c r="M15120" t="s">
        <v>44628</v>
      </c>
      <c r="N15120" t="s">
        <v>45095</v>
      </c>
      <c r="O15120" t="s">
        <v>45096</v>
      </c>
      <c r="Q15120">
        <v>4</v>
      </c>
      <c r="R15120" t="s">
        <v>45177</v>
      </c>
      <c r="S15120" t="s">
        <v>46617</v>
      </c>
      <c r="T15120" t="s">
        <v>47125</v>
      </c>
      <c r="U15120" t="s">
        <v>56848</v>
      </c>
      <c r="W15120" t="s">
        <v>44628</v>
      </c>
      <c r="X15120" t="s">
        <v>45178</v>
      </c>
    </row>
    <row r="15121" spans="1:24">
      <c r="A15121">
        <f>HYPERLINK("https://www.philgeps.gov.ph/GEPSNONPILOT/Tender/SplashBidNoticeAbstractUI.aspx?menuIndex=3&amp;refID=6916447&amp;Result=3","6916447")</f>
        <v>0</v>
      </c>
      <c r="B15121" t="s">
        <v>1586</v>
      </c>
      <c r="C15121" t="s">
        <v>17688</v>
      </c>
      <c r="E15121" t="s">
        <v>31279</v>
      </c>
      <c r="F15121" t="s">
        <v>31574</v>
      </c>
      <c r="G15121" t="s">
        <v>31582</v>
      </c>
      <c r="H15121" t="s">
        <v>31590</v>
      </c>
      <c r="I15121" t="s">
        <v>6800</v>
      </c>
      <c r="J15121" t="s">
        <v>40965</v>
      </c>
      <c r="K15121" t="s">
        <v>41184</v>
      </c>
      <c r="M15121" t="s">
        <v>43190</v>
      </c>
      <c r="N15121" t="s">
        <v>45095</v>
      </c>
      <c r="O15121" t="s">
        <v>45096</v>
      </c>
      <c r="Q15121">
        <v>5</v>
      </c>
      <c r="R15121" t="s">
        <v>45177</v>
      </c>
      <c r="S15121" t="s">
        <v>46618</v>
      </c>
      <c r="T15121" t="s">
        <v>47072</v>
      </c>
      <c r="U15121" t="s">
        <v>59597</v>
      </c>
      <c r="V15121" t="s">
        <v>61592</v>
      </c>
      <c r="W15121" t="s">
        <v>43190</v>
      </c>
      <c r="X15121" t="s">
        <v>45178</v>
      </c>
    </row>
    <row r="15122" spans="1:24">
      <c r="A15122">
        <f>HYPERLINK("https://www.philgeps.gov.ph/GEPSNONPILOT/Tender/SplashBidNoticeAbstractUI.aspx?menuIndex=3&amp;refID=6914898&amp;Result=3","6914898")</f>
        <v>0</v>
      </c>
      <c r="B15122" t="s">
        <v>1791</v>
      </c>
      <c r="C15122" t="s">
        <v>17689</v>
      </c>
      <c r="D15122" t="s">
        <v>18094</v>
      </c>
      <c r="E15122" t="s">
        <v>31280</v>
      </c>
      <c r="F15122" t="s">
        <v>31574</v>
      </c>
      <c r="G15122" t="s">
        <v>31585</v>
      </c>
      <c r="H15122" t="s">
        <v>31591</v>
      </c>
      <c r="I15122" t="s">
        <v>8822</v>
      </c>
      <c r="J15122" t="s">
        <v>34697</v>
      </c>
      <c r="K15122" t="s">
        <v>41243</v>
      </c>
      <c r="M15122" t="s">
        <v>43422</v>
      </c>
      <c r="N15122" t="s">
        <v>45095</v>
      </c>
      <c r="O15122" t="s">
        <v>45096</v>
      </c>
      <c r="Q15122">
        <v>5</v>
      </c>
      <c r="R15122" t="s">
        <v>45177</v>
      </c>
      <c r="S15122" t="s">
        <v>46619</v>
      </c>
      <c r="T15122" t="s">
        <v>46938</v>
      </c>
      <c r="U15122" t="s">
        <v>59598</v>
      </c>
      <c r="W15122" t="s">
        <v>43422</v>
      </c>
      <c r="X15122" t="s">
        <v>45178</v>
      </c>
    </row>
    <row r="15123" spans="1:24">
      <c r="A15123">
        <f>HYPERLINK("https://www.philgeps.gov.ph/GEPSNONPILOT/Tender/SplashBidNoticeAbstractUI.aspx?menuIndex=3&amp;refID=6916849&amp;Result=3","6916849")</f>
        <v>0</v>
      </c>
      <c r="B15123" t="s">
        <v>800</v>
      </c>
      <c r="C15123" t="s">
        <v>17690</v>
      </c>
      <c r="D15123" t="s">
        <v>18066</v>
      </c>
      <c r="E15123" t="s">
        <v>31281</v>
      </c>
      <c r="F15123" t="s">
        <v>31574</v>
      </c>
      <c r="G15123" t="s">
        <v>31582</v>
      </c>
      <c r="H15123" t="s">
        <v>31591</v>
      </c>
      <c r="I15123" t="s">
        <v>8822</v>
      </c>
      <c r="J15123" t="s">
        <v>40966</v>
      </c>
      <c r="K15123" t="s">
        <v>41192</v>
      </c>
      <c r="M15123" t="s">
        <v>42314</v>
      </c>
      <c r="N15123" t="s">
        <v>45095</v>
      </c>
      <c r="O15123" t="s">
        <v>45096</v>
      </c>
      <c r="Q15123">
        <v>2</v>
      </c>
      <c r="R15123" t="s">
        <v>45177</v>
      </c>
      <c r="S15123" t="s">
        <v>46620</v>
      </c>
      <c r="T15123" t="s">
        <v>47170</v>
      </c>
      <c r="U15123" t="s">
        <v>59596</v>
      </c>
      <c r="V15123" t="s">
        <v>61593</v>
      </c>
      <c r="W15123" t="s">
        <v>42314</v>
      </c>
      <c r="X15123" t="s">
        <v>45178</v>
      </c>
    </row>
    <row r="15124" spans="1:24">
      <c r="A15124">
        <f>HYPERLINK("https://www.philgeps.gov.ph/GEPSNONPILOT/Tender/SplashBidNoticeAbstractUI.aspx?menuIndex=3&amp;refID=6915553&amp;Result=3","6915553")</f>
        <v>0</v>
      </c>
      <c r="B15124" t="s">
        <v>386</v>
      </c>
      <c r="C15124" t="s">
        <v>17691</v>
      </c>
      <c r="D15124" t="s">
        <v>18052</v>
      </c>
      <c r="E15124" t="s">
        <v>31282</v>
      </c>
      <c r="F15124" t="s">
        <v>31574</v>
      </c>
      <c r="G15124" t="s">
        <v>31582</v>
      </c>
      <c r="H15124" t="s">
        <v>31590</v>
      </c>
      <c r="I15124" t="s">
        <v>31700</v>
      </c>
      <c r="J15124" t="s">
        <v>40967</v>
      </c>
      <c r="K15124" t="s">
        <v>41192</v>
      </c>
      <c r="M15124" t="s">
        <v>41877</v>
      </c>
      <c r="N15124" t="s">
        <v>45095</v>
      </c>
      <c r="O15124" t="s">
        <v>45096</v>
      </c>
      <c r="Q15124">
        <v>1</v>
      </c>
      <c r="R15124" t="s">
        <v>45177</v>
      </c>
      <c r="S15124" t="s">
        <v>46621</v>
      </c>
      <c r="T15124" t="s">
        <v>46918</v>
      </c>
      <c r="U15124" t="s">
        <v>59599</v>
      </c>
      <c r="V15124" t="s">
        <v>59932</v>
      </c>
      <c r="W15124" t="s">
        <v>41877</v>
      </c>
      <c r="X15124" t="s">
        <v>45178</v>
      </c>
    </row>
    <row r="15125" spans="1:24">
      <c r="A15125">
        <f>HYPERLINK("https://www.philgeps.gov.ph/GEPSNONPILOT/Tender/SplashBidNoticeAbstractUI.aspx?menuIndex=3&amp;refID=6896653&amp;Result=3","6896653")</f>
        <v>0</v>
      </c>
      <c r="B15125" t="s">
        <v>2526</v>
      </c>
      <c r="C15125" t="s">
        <v>17692</v>
      </c>
      <c r="D15125" t="s">
        <v>18022</v>
      </c>
      <c r="E15125" t="s">
        <v>26057</v>
      </c>
      <c r="F15125" t="s">
        <v>31574</v>
      </c>
      <c r="G15125" t="s">
        <v>31582</v>
      </c>
      <c r="H15125" t="s">
        <v>31591</v>
      </c>
      <c r="I15125" t="s">
        <v>8822</v>
      </c>
      <c r="J15125" t="s">
        <v>40968</v>
      </c>
      <c r="K15125" t="s">
        <v>41184</v>
      </c>
      <c r="M15125" t="s">
        <v>44261</v>
      </c>
      <c r="N15125" t="s">
        <v>45095</v>
      </c>
      <c r="O15125" t="s">
        <v>45096</v>
      </c>
      <c r="Q15125">
        <v>3</v>
      </c>
      <c r="R15125" t="s">
        <v>45178</v>
      </c>
      <c r="S15125" t="s">
        <v>46622</v>
      </c>
      <c r="T15125" t="s">
        <v>47176</v>
      </c>
      <c r="U15125" t="s">
        <v>59600</v>
      </c>
      <c r="W15125" t="s">
        <v>44261</v>
      </c>
      <c r="X15125" t="s">
        <v>45184</v>
      </c>
    </row>
    <row r="15126" spans="1:24">
      <c r="A15126">
        <f>HYPERLINK("https://www.philgeps.gov.ph/GEPSNONPILOT/Tender/SplashBidNoticeAbstractUI.aspx?menuIndex=3&amp;refID=6916361&amp;Result=3","6916361")</f>
        <v>0</v>
      </c>
      <c r="B15126" t="s">
        <v>1586</v>
      </c>
      <c r="C15126" t="s">
        <v>17693</v>
      </c>
      <c r="E15126" t="s">
        <v>31283</v>
      </c>
      <c r="F15126" t="s">
        <v>31574</v>
      </c>
      <c r="G15126" t="s">
        <v>31582</v>
      </c>
      <c r="H15126" t="s">
        <v>31590</v>
      </c>
      <c r="I15126" t="s">
        <v>31623</v>
      </c>
      <c r="J15126" t="s">
        <v>40969</v>
      </c>
      <c r="K15126" t="s">
        <v>41184</v>
      </c>
      <c r="M15126" t="s">
        <v>43190</v>
      </c>
      <c r="N15126" t="s">
        <v>45095</v>
      </c>
      <c r="O15126" t="s">
        <v>45096</v>
      </c>
      <c r="Q15126">
        <v>15</v>
      </c>
      <c r="R15126" t="s">
        <v>45177</v>
      </c>
      <c r="S15126" t="s">
        <v>46623</v>
      </c>
      <c r="T15126" t="s">
        <v>47072</v>
      </c>
      <c r="U15126" t="s">
        <v>59601</v>
      </c>
      <c r="V15126" t="s">
        <v>61594</v>
      </c>
      <c r="W15126" t="s">
        <v>43190</v>
      </c>
      <c r="X15126" t="s">
        <v>45178</v>
      </c>
    </row>
    <row r="15127" spans="1:24">
      <c r="A15127">
        <f>HYPERLINK("https://www.philgeps.gov.ph/GEPSNONPILOT/Tender/SplashBidNoticeAbstractUI.aspx?menuIndex=3&amp;refID=6916255&amp;Result=3","6916255")</f>
        <v>0</v>
      </c>
      <c r="B15127" t="s">
        <v>1586</v>
      </c>
      <c r="C15127" t="s">
        <v>17694</v>
      </c>
      <c r="E15127" t="s">
        <v>31284</v>
      </c>
      <c r="F15127" t="s">
        <v>31574</v>
      </c>
      <c r="G15127" t="s">
        <v>31582</v>
      </c>
      <c r="H15127" t="s">
        <v>31590</v>
      </c>
      <c r="I15127" t="s">
        <v>4327</v>
      </c>
      <c r="J15127" t="s">
        <v>40970</v>
      </c>
      <c r="K15127" t="s">
        <v>41184</v>
      </c>
      <c r="M15127" t="s">
        <v>43190</v>
      </c>
      <c r="N15127" t="s">
        <v>45095</v>
      </c>
      <c r="O15127" t="s">
        <v>45096</v>
      </c>
      <c r="Q15127">
        <v>22</v>
      </c>
      <c r="R15127" t="s">
        <v>45177</v>
      </c>
      <c r="S15127" t="s">
        <v>46624</v>
      </c>
      <c r="T15127" t="s">
        <v>47072</v>
      </c>
      <c r="U15127" t="s">
        <v>59602</v>
      </c>
      <c r="V15127" t="s">
        <v>61595</v>
      </c>
      <c r="W15127" t="s">
        <v>43190</v>
      </c>
      <c r="X15127" t="s">
        <v>45178</v>
      </c>
    </row>
    <row r="15128" spans="1:24">
      <c r="A15128">
        <f>HYPERLINK("https://www.philgeps.gov.ph/GEPSNONPILOT/Tender/SplashBidNoticeAbstractUI.aspx?menuIndex=3&amp;refID=6904391&amp;Result=3","6904391")</f>
        <v>0</v>
      </c>
      <c r="B15128" t="s">
        <v>684</v>
      </c>
      <c r="C15128" t="s">
        <v>17695</v>
      </c>
      <c r="E15128" t="s">
        <v>31285</v>
      </c>
      <c r="F15128" t="s">
        <v>31574</v>
      </c>
      <c r="G15128" t="s">
        <v>31582</v>
      </c>
      <c r="H15128" t="s">
        <v>31591</v>
      </c>
      <c r="I15128" t="s">
        <v>8822</v>
      </c>
      <c r="J15128" t="s">
        <v>40971</v>
      </c>
      <c r="K15128" t="s">
        <v>41184</v>
      </c>
      <c r="M15128" t="s">
        <v>42191</v>
      </c>
      <c r="N15128" t="s">
        <v>45095</v>
      </c>
      <c r="O15128" t="s">
        <v>45096</v>
      </c>
      <c r="Q15128">
        <v>0</v>
      </c>
      <c r="R15128" t="s">
        <v>45178</v>
      </c>
      <c r="S15128" t="s">
        <v>46625</v>
      </c>
      <c r="T15128" t="s">
        <v>46973</v>
      </c>
      <c r="U15128" t="s">
        <v>59603</v>
      </c>
      <c r="V15128" t="s">
        <v>61596</v>
      </c>
      <c r="W15128" t="s">
        <v>42191</v>
      </c>
      <c r="X15128" t="s">
        <v>45180</v>
      </c>
    </row>
    <row r="15129" spans="1:24">
      <c r="A15129">
        <f>HYPERLINK("https://www.philgeps.gov.ph/GEPSNONPILOT/Tender/SplashBidNoticeAbstractUI.aspx?menuIndex=3&amp;refID=6909761&amp;Result=3","6909761")</f>
        <v>0</v>
      </c>
      <c r="B15129" t="s">
        <v>3143</v>
      </c>
      <c r="C15129" t="s">
        <v>17696</v>
      </c>
      <c r="D15129" t="s">
        <v>18022</v>
      </c>
      <c r="E15129" t="s">
        <v>31286</v>
      </c>
      <c r="F15129" t="s">
        <v>31574</v>
      </c>
      <c r="G15129" t="s">
        <v>31582</v>
      </c>
      <c r="H15129" t="s">
        <v>31591</v>
      </c>
      <c r="I15129" t="s">
        <v>8822</v>
      </c>
      <c r="J15129" t="s">
        <v>40972</v>
      </c>
      <c r="K15129" t="s">
        <v>41235</v>
      </c>
      <c r="M15129" t="s">
        <v>45058</v>
      </c>
      <c r="N15129" t="s">
        <v>45095</v>
      </c>
      <c r="O15129" t="s">
        <v>45096</v>
      </c>
      <c r="Q15129">
        <v>27</v>
      </c>
      <c r="R15129" t="s">
        <v>45178</v>
      </c>
      <c r="S15129" t="s">
        <v>46626</v>
      </c>
      <c r="T15129" t="s">
        <v>47451</v>
      </c>
      <c r="U15129" t="s">
        <v>59604</v>
      </c>
      <c r="W15129" t="s">
        <v>45058</v>
      </c>
      <c r="X15129" t="s">
        <v>45179</v>
      </c>
    </row>
    <row r="15130" spans="1:24">
      <c r="A15130">
        <f>HYPERLINK("https://www.philgeps.gov.ph/GEPSNONPILOT/Tender/SplashBidNoticeAbstractUI.aspx?menuIndex=3&amp;refID=6919426&amp;Result=3","6919426")</f>
        <v>0</v>
      </c>
      <c r="B15130" t="s">
        <v>1329</v>
      </c>
      <c r="C15130" t="s">
        <v>17697</v>
      </c>
      <c r="E15130" t="s">
        <v>31287</v>
      </c>
      <c r="F15130" t="s">
        <v>31574</v>
      </c>
      <c r="G15130" t="s">
        <v>31581</v>
      </c>
      <c r="H15130" t="s">
        <v>31590</v>
      </c>
      <c r="I15130" t="s">
        <v>31638</v>
      </c>
      <c r="J15130" t="s">
        <v>40973</v>
      </c>
      <c r="K15130" t="s">
        <v>41185</v>
      </c>
      <c r="M15130" t="s">
        <v>42899</v>
      </c>
      <c r="N15130" t="s">
        <v>45095</v>
      </c>
      <c r="O15130" t="s">
        <v>45096</v>
      </c>
      <c r="Q15130">
        <v>1</v>
      </c>
      <c r="R15130" t="s">
        <v>45176</v>
      </c>
      <c r="S15130" t="s">
        <v>46627</v>
      </c>
      <c r="T15130" t="s">
        <v>46985</v>
      </c>
      <c r="U15130" t="s">
        <v>59605</v>
      </c>
      <c r="W15130" t="s">
        <v>42899</v>
      </c>
      <c r="X15130" t="s">
        <v>45177</v>
      </c>
    </row>
    <row r="15131" spans="1:24">
      <c r="A15131">
        <f>HYPERLINK("https://www.philgeps.gov.ph/GEPSNONPILOT/Tender/SplashBidNoticeAbstractUI.aspx?menuIndex=3&amp;refID=6908860&amp;Result=3","6908860")</f>
        <v>0</v>
      </c>
      <c r="B15131" t="s">
        <v>1181</v>
      </c>
      <c r="C15131" t="s">
        <v>17698</v>
      </c>
      <c r="D15131" t="s">
        <v>18084</v>
      </c>
      <c r="E15131" t="s">
        <v>31288</v>
      </c>
      <c r="F15131" t="s">
        <v>31574</v>
      </c>
      <c r="G15131" t="s">
        <v>31582</v>
      </c>
      <c r="H15131" t="s">
        <v>31591</v>
      </c>
      <c r="I15131" t="s">
        <v>8822</v>
      </c>
      <c r="J15131" t="s">
        <v>40974</v>
      </c>
      <c r="K15131" t="s">
        <v>41256</v>
      </c>
      <c r="M15131" t="s">
        <v>42740</v>
      </c>
      <c r="N15131" t="s">
        <v>45095</v>
      </c>
      <c r="O15131" t="s">
        <v>45096</v>
      </c>
      <c r="Q15131">
        <v>3</v>
      </c>
      <c r="R15131" t="s">
        <v>45178</v>
      </c>
      <c r="S15131" t="s">
        <v>46628</v>
      </c>
      <c r="T15131" t="s">
        <v>46946</v>
      </c>
      <c r="U15131" t="s">
        <v>59606</v>
      </c>
      <c r="W15131" t="s">
        <v>42740</v>
      </c>
      <c r="X15131" t="s">
        <v>45179</v>
      </c>
    </row>
    <row r="15132" spans="1:24">
      <c r="A15132">
        <f>HYPERLINK("https://www.philgeps.gov.ph/GEPSNONPILOT/Tender/SplashBidNoticeAbstractUI.aspx?menuIndex=3&amp;refID=6916232&amp;Result=3","6916232")</f>
        <v>0</v>
      </c>
      <c r="B15132" t="s">
        <v>3177</v>
      </c>
      <c r="C15132" t="s">
        <v>17699</v>
      </c>
      <c r="D15132" t="s">
        <v>18079</v>
      </c>
      <c r="E15132" t="s">
        <v>31289</v>
      </c>
      <c r="F15132" t="s">
        <v>31574</v>
      </c>
      <c r="G15132" t="s">
        <v>31582</v>
      </c>
      <c r="H15132" t="s">
        <v>31590</v>
      </c>
      <c r="I15132" t="s">
        <v>31596</v>
      </c>
      <c r="J15132" t="s">
        <v>40975</v>
      </c>
      <c r="K15132" t="s">
        <v>41210</v>
      </c>
      <c r="M15132" t="s">
        <v>45059</v>
      </c>
      <c r="N15132" t="s">
        <v>45095</v>
      </c>
      <c r="O15132" t="s">
        <v>45096</v>
      </c>
      <c r="Q15132">
        <v>4</v>
      </c>
      <c r="R15132" t="s">
        <v>45177</v>
      </c>
      <c r="S15132" t="s">
        <v>46629</v>
      </c>
      <c r="T15132" t="s">
        <v>46910</v>
      </c>
      <c r="U15132" t="s">
        <v>59607</v>
      </c>
      <c r="W15132" t="s">
        <v>45059</v>
      </c>
      <c r="X15132" t="s">
        <v>45178</v>
      </c>
    </row>
    <row r="15133" spans="1:24">
      <c r="A15133">
        <f>HYPERLINK("https://www.philgeps.gov.ph/GEPSNONPILOT/Tender/SplashBidNoticeAbstractUI.aspx?menuIndex=3&amp;refID=6916166&amp;Result=3","6916166")</f>
        <v>0</v>
      </c>
      <c r="B15133" t="s">
        <v>873</v>
      </c>
      <c r="C15133" t="s">
        <v>17700</v>
      </c>
      <c r="D15133" t="s">
        <v>18066</v>
      </c>
      <c r="E15133" t="s">
        <v>31290</v>
      </c>
      <c r="F15133" t="s">
        <v>31574</v>
      </c>
      <c r="G15133" t="s">
        <v>31582</v>
      </c>
      <c r="H15133" t="s">
        <v>31591</v>
      </c>
      <c r="I15133" t="s">
        <v>8822</v>
      </c>
      <c r="J15133" t="s">
        <v>40976</v>
      </c>
      <c r="K15133" t="s">
        <v>41235</v>
      </c>
      <c r="M15133" t="s">
        <v>44439</v>
      </c>
      <c r="N15133" t="s">
        <v>45095</v>
      </c>
      <c r="O15133" t="s">
        <v>45096</v>
      </c>
      <c r="Q15133">
        <v>22</v>
      </c>
      <c r="R15133" t="s">
        <v>45177</v>
      </c>
      <c r="S15133" t="s">
        <v>46630</v>
      </c>
      <c r="T15133" t="s">
        <v>46914</v>
      </c>
      <c r="U15133" t="s">
        <v>59428</v>
      </c>
      <c r="V15133" t="s">
        <v>61597</v>
      </c>
      <c r="W15133" t="s">
        <v>44439</v>
      </c>
      <c r="X15133" t="s">
        <v>45178</v>
      </c>
    </row>
    <row r="15134" spans="1:24">
      <c r="A15134">
        <f>HYPERLINK("https://www.philgeps.gov.ph/GEPSNONPILOT/Tender/SplashBidNoticeAbstractUI.aspx?menuIndex=3&amp;refID=6916006&amp;Result=3","6916006")</f>
        <v>0</v>
      </c>
      <c r="B15134" t="s">
        <v>873</v>
      </c>
      <c r="C15134" t="s">
        <v>17701</v>
      </c>
      <c r="D15134" t="s">
        <v>18044</v>
      </c>
      <c r="E15134" t="s">
        <v>31291</v>
      </c>
      <c r="F15134" t="s">
        <v>31574</v>
      </c>
      <c r="G15134" t="s">
        <v>31582</v>
      </c>
      <c r="H15134" t="s">
        <v>31591</v>
      </c>
      <c r="I15134" t="s">
        <v>8822</v>
      </c>
      <c r="J15134" t="s">
        <v>39933</v>
      </c>
      <c r="K15134" t="s">
        <v>41235</v>
      </c>
      <c r="M15134" t="s">
        <v>44439</v>
      </c>
      <c r="N15134" t="s">
        <v>45095</v>
      </c>
      <c r="O15134" t="s">
        <v>45096</v>
      </c>
      <c r="Q15134">
        <v>29</v>
      </c>
      <c r="R15134" t="s">
        <v>45177</v>
      </c>
      <c r="S15134" t="s">
        <v>46631</v>
      </c>
      <c r="T15134" t="s">
        <v>46914</v>
      </c>
      <c r="U15134" t="s">
        <v>59428</v>
      </c>
      <c r="V15134" t="s">
        <v>61597</v>
      </c>
      <c r="W15134" t="s">
        <v>44439</v>
      </c>
      <c r="X15134" t="s">
        <v>45178</v>
      </c>
    </row>
    <row r="15135" spans="1:24">
      <c r="A15135">
        <f>HYPERLINK("https://www.philgeps.gov.ph/GEPSNONPILOT/Tender/SplashBidNoticeAbstractUI.aspx?menuIndex=3&amp;refID=6904927&amp;Result=3","6904927")</f>
        <v>0</v>
      </c>
      <c r="B15135" t="s">
        <v>1128</v>
      </c>
      <c r="C15135" t="s">
        <v>17702</v>
      </c>
      <c r="D15135" t="s">
        <v>18022</v>
      </c>
      <c r="E15135" t="s">
        <v>31292</v>
      </c>
      <c r="F15135" t="s">
        <v>31574</v>
      </c>
      <c r="G15135" t="s">
        <v>31582</v>
      </c>
      <c r="H15135" t="s">
        <v>31590</v>
      </c>
      <c r="I15135" t="s">
        <v>31595</v>
      </c>
      <c r="J15135" t="s">
        <v>36779</v>
      </c>
      <c r="K15135" t="s">
        <v>41186</v>
      </c>
      <c r="M15135" t="s">
        <v>45060</v>
      </c>
      <c r="N15135" t="s">
        <v>45095</v>
      </c>
      <c r="O15135" t="s">
        <v>45096</v>
      </c>
      <c r="Q15135">
        <v>18</v>
      </c>
      <c r="R15135" t="s">
        <v>45178</v>
      </c>
      <c r="S15135" t="s">
        <v>46036</v>
      </c>
      <c r="T15135" t="s">
        <v>47124</v>
      </c>
      <c r="U15135" t="s">
        <v>59608</v>
      </c>
      <c r="W15135" t="s">
        <v>45060</v>
      </c>
      <c r="X15135" t="s">
        <v>45180</v>
      </c>
    </row>
    <row r="15136" spans="1:24">
      <c r="A15136">
        <f>HYPERLINK("https://www.philgeps.gov.ph/GEPSNONPILOT/Tender/SplashBidNoticeAbstractUI.aspx?menuIndex=3&amp;refID=6909594&amp;Result=3","6909594")</f>
        <v>0</v>
      </c>
      <c r="B15136" t="s">
        <v>3166</v>
      </c>
      <c r="C15136" t="s">
        <v>17703</v>
      </c>
      <c r="D15136" t="s">
        <v>18040</v>
      </c>
      <c r="E15136" t="s">
        <v>31293</v>
      </c>
      <c r="F15136" t="s">
        <v>31574</v>
      </c>
      <c r="G15136" t="s">
        <v>31582</v>
      </c>
      <c r="H15136" t="s">
        <v>31590</v>
      </c>
      <c r="I15136" t="s">
        <v>31615</v>
      </c>
      <c r="J15136" t="s">
        <v>32076</v>
      </c>
      <c r="K15136" t="s">
        <v>41186</v>
      </c>
      <c r="M15136" t="s">
        <v>45038</v>
      </c>
      <c r="N15136" t="s">
        <v>45095</v>
      </c>
      <c r="O15136" t="s">
        <v>45096</v>
      </c>
      <c r="Q15136">
        <v>3</v>
      </c>
      <c r="R15136" t="s">
        <v>45178</v>
      </c>
      <c r="S15136" t="s">
        <v>46632</v>
      </c>
      <c r="T15136" t="s">
        <v>47301</v>
      </c>
      <c r="U15136" t="s">
        <v>59609</v>
      </c>
      <c r="W15136" t="s">
        <v>45038</v>
      </c>
      <c r="X15136" t="s">
        <v>45179</v>
      </c>
    </row>
    <row r="15137" spans="1:24">
      <c r="A15137">
        <f>HYPERLINK("https://www.philgeps.gov.ph/GEPSNONPILOT/Tender/SplashBidNoticeAbstractUI.aspx?menuIndex=3&amp;refID=6915572&amp;Result=3","6915572")</f>
        <v>0</v>
      </c>
      <c r="B15137" t="s">
        <v>800</v>
      </c>
      <c r="C15137" t="s">
        <v>17704</v>
      </c>
      <c r="D15137" t="s">
        <v>18033</v>
      </c>
      <c r="E15137" t="s">
        <v>31294</v>
      </c>
      <c r="F15137" t="s">
        <v>31574</v>
      </c>
      <c r="G15137" t="s">
        <v>31582</v>
      </c>
      <c r="H15137" t="s">
        <v>31590</v>
      </c>
      <c r="I15137" t="s">
        <v>31676</v>
      </c>
      <c r="J15137" t="s">
        <v>40977</v>
      </c>
      <c r="K15137" t="s">
        <v>41311</v>
      </c>
      <c r="M15137" t="s">
        <v>42314</v>
      </c>
      <c r="N15137" t="s">
        <v>45095</v>
      </c>
      <c r="O15137" t="s">
        <v>45096</v>
      </c>
      <c r="Q15137">
        <v>8</v>
      </c>
      <c r="R15137" t="s">
        <v>45177</v>
      </c>
      <c r="S15137" t="s">
        <v>46633</v>
      </c>
      <c r="T15137" t="s">
        <v>47232</v>
      </c>
      <c r="U15137" t="s">
        <v>59610</v>
      </c>
      <c r="V15137" t="s">
        <v>61598</v>
      </c>
      <c r="W15137" t="s">
        <v>42314</v>
      </c>
      <c r="X15137" t="s">
        <v>45178</v>
      </c>
    </row>
    <row r="15138" spans="1:24">
      <c r="A15138">
        <f>HYPERLINK("https://www.philgeps.gov.ph/GEPSNONPILOT/Tender/SplashBidNoticeAbstractUI.aspx?menuIndex=3&amp;refID=6915951&amp;Result=3","6915951")</f>
        <v>0</v>
      </c>
      <c r="B15138" t="s">
        <v>873</v>
      </c>
      <c r="C15138" t="s">
        <v>17705</v>
      </c>
      <c r="D15138" t="s">
        <v>18044</v>
      </c>
      <c r="E15138" t="s">
        <v>31295</v>
      </c>
      <c r="F15138" t="s">
        <v>31574</v>
      </c>
      <c r="G15138" t="s">
        <v>31582</v>
      </c>
      <c r="H15138" t="s">
        <v>31591</v>
      </c>
      <c r="I15138" t="s">
        <v>8822</v>
      </c>
      <c r="J15138" t="s">
        <v>40978</v>
      </c>
      <c r="K15138" t="s">
        <v>41256</v>
      </c>
      <c r="M15138" t="s">
        <v>44439</v>
      </c>
      <c r="N15138" t="s">
        <v>45095</v>
      </c>
      <c r="O15138" t="s">
        <v>45096</v>
      </c>
      <c r="Q15138">
        <v>20</v>
      </c>
      <c r="R15138" t="s">
        <v>45177</v>
      </c>
      <c r="S15138" t="s">
        <v>46634</v>
      </c>
      <c r="T15138" t="s">
        <v>46914</v>
      </c>
      <c r="U15138" t="s">
        <v>59428</v>
      </c>
      <c r="V15138" t="s">
        <v>61597</v>
      </c>
      <c r="W15138" t="s">
        <v>44439</v>
      </c>
      <c r="X15138" t="s">
        <v>45178</v>
      </c>
    </row>
    <row r="15139" spans="1:24">
      <c r="A15139">
        <f>HYPERLINK("https://www.philgeps.gov.ph/GEPSNONPILOT/Tender/SplashBidNoticeAbstractUI.aspx?menuIndex=3&amp;refID=6910374&amp;Result=3","6910374")</f>
        <v>0</v>
      </c>
      <c r="B15139" t="s">
        <v>3178</v>
      </c>
      <c r="C15139" t="s">
        <v>17706</v>
      </c>
      <c r="D15139" t="s">
        <v>18022</v>
      </c>
      <c r="E15139" t="s">
        <v>31296</v>
      </c>
      <c r="F15139" t="s">
        <v>31574</v>
      </c>
      <c r="G15139" t="s">
        <v>31582</v>
      </c>
      <c r="H15139" t="s">
        <v>31591</v>
      </c>
      <c r="I15139" t="s">
        <v>8822</v>
      </c>
      <c r="J15139" t="s">
        <v>40979</v>
      </c>
      <c r="K15139" t="s">
        <v>41402</v>
      </c>
      <c r="M15139" t="s">
        <v>45061</v>
      </c>
      <c r="N15139" t="s">
        <v>45095</v>
      </c>
      <c r="O15139" t="s">
        <v>45096</v>
      </c>
      <c r="Q15139">
        <v>28</v>
      </c>
      <c r="R15139" t="s">
        <v>45178</v>
      </c>
      <c r="S15139" t="s">
        <v>45244</v>
      </c>
      <c r="T15139" t="s">
        <v>47156</v>
      </c>
      <c r="U15139" t="s">
        <v>59611</v>
      </c>
      <c r="V15139" t="s">
        <v>61599</v>
      </c>
      <c r="W15139" t="s">
        <v>45061</v>
      </c>
      <c r="X15139" t="s">
        <v>45179</v>
      </c>
    </row>
    <row r="15140" spans="1:24">
      <c r="A15140">
        <f>HYPERLINK("https://www.philgeps.gov.ph/GEPSNONPILOT/Tender/SplashBidNoticeAbstractUI.aspx?menuIndex=3&amp;refID=6910808&amp;Result=3","6910808")</f>
        <v>0</v>
      </c>
      <c r="B15140" t="s">
        <v>3083</v>
      </c>
      <c r="C15140" t="s">
        <v>17707</v>
      </c>
      <c r="D15140" t="s">
        <v>18035</v>
      </c>
      <c r="E15140" t="s">
        <v>31297</v>
      </c>
      <c r="F15140" t="s">
        <v>31574</v>
      </c>
      <c r="G15140" t="s">
        <v>31582</v>
      </c>
      <c r="H15140" t="s">
        <v>31591</v>
      </c>
      <c r="I15140" t="s">
        <v>8822</v>
      </c>
      <c r="J15140" t="s">
        <v>40980</v>
      </c>
      <c r="K15140" t="s">
        <v>41409</v>
      </c>
      <c r="M15140" t="s">
        <v>44927</v>
      </c>
      <c r="N15140" t="s">
        <v>45095</v>
      </c>
      <c r="O15140" t="s">
        <v>45096</v>
      </c>
      <c r="Q15140">
        <v>57</v>
      </c>
      <c r="R15140" t="s">
        <v>45178</v>
      </c>
      <c r="S15140" t="s">
        <v>46635</v>
      </c>
      <c r="T15140" t="s">
        <v>46987</v>
      </c>
      <c r="U15140" t="s">
        <v>59612</v>
      </c>
      <c r="V15140" t="s">
        <v>60368</v>
      </c>
      <c r="W15140" t="s">
        <v>44927</v>
      </c>
      <c r="X15140" t="s">
        <v>45179</v>
      </c>
    </row>
    <row r="15141" spans="1:24">
      <c r="A15141">
        <f>HYPERLINK("https://www.philgeps.gov.ph/GEPSNONPILOT/Tender/SplashBidNoticeAbstractUI.aspx?menuIndex=3&amp;refID=6915968&amp;Result=3","6915968")</f>
        <v>0</v>
      </c>
      <c r="B15141" t="s">
        <v>3164</v>
      </c>
      <c r="C15141" t="s">
        <v>17708</v>
      </c>
      <c r="E15141" t="s">
        <v>31298</v>
      </c>
      <c r="F15141" t="s">
        <v>31574</v>
      </c>
      <c r="G15141" t="s">
        <v>31582</v>
      </c>
      <c r="H15141" t="s">
        <v>31592</v>
      </c>
      <c r="I15141" t="s">
        <v>31596</v>
      </c>
      <c r="J15141" t="s">
        <v>40981</v>
      </c>
      <c r="K15141" t="s">
        <v>41227</v>
      </c>
      <c r="M15141" t="s">
        <v>45032</v>
      </c>
      <c r="N15141" t="s">
        <v>45095</v>
      </c>
      <c r="O15141" t="s">
        <v>45096</v>
      </c>
      <c r="Q15141">
        <v>5</v>
      </c>
      <c r="R15141" t="s">
        <v>45177</v>
      </c>
      <c r="S15141" t="s">
        <v>46636</v>
      </c>
      <c r="T15141" t="s">
        <v>46956</v>
      </c>
      <c r="U15141" t="s">
        <v>59613</v>
      </c>
      <c r="W15141" t="s">
        <v>45032</v>
      </c>
      <c r="X15141" t="s">
        <v>45178</v>
      </c>
    </row>
    <row r="15142" spans="1:24">
      <c r="A15142">
        <f>HYPERLINK("https://www.philgeps.gov.ph/GEPSNONPILOT/Tender/SplashBidNoticeAbstractUI.aspx?menuIndex=3&amp;refID=6910957&amp;Result=3","6910957")</f>
        <v>0</v>
      </c>
      <c r="B15142" t="s">
        <v>636</v>
      </c>
      <c r="C15142" t="s">
        <v>17709</v>
      </c>
      <c r="D15142" t="s">
        <v>18022</v>
      </c>
      <c r="E15142" t="s">
        <v>31299</v>
      </c>
      <c r="F15142" t="s">
        <v>31574</v>
      </c>
      <c r="G15142" t="s">
        <v>31582</v>
      </c>
      <c r="H15142" t="s">
        <v>31592</v>
      </c>
      <c r="I15142" t="s">
        <v>31596</v>
      </c>
      <c r="J15142" t="s">
        <v>40982</v>
      </c>
      <c r="K15142" t="s">
        <v>41210</v>
      </c>
      <c r="M15142" t="s">
        <v>45062</v>
      </c>
      <c r="N15142" t="s">
        <v>45095</v>
      </c>
      <c r="O15142" t="s">
        <v>45096</v>
      </c>
      <c r="Q15142">
        <v>9</v>
      </c>
      <c r="R15142" t="s">
        <v>45178</v>
      </c>
      <c r="S15142" t="s">
        <v>45624</v>
      </c>
      <c r="T15142" t="s">
        <v>46991</v>
      </c>
      <c r="U15142" t="s">
        <v>59614</v>
      </c>
      <c r="W15142" t="s">
        <v>45062</v>
      </c>
      <c r="X15142" t="s">
        <v>45179</v>
      </c>
    </row>
    <row r="15143" spans="1:24">
      <c r="A15143">
        <f>HYPERLINK("https://www.philgeps.gov.ph/GEPSNONPILOT/Tender/SplashBidNoticeAbstractUI.aspx?menuIndex=3&amp;refID=6911173&amp;Result=3","6911173")</f>
        <v>0</v>
      </c>
      <c r="B15143" t="s">
        <v>2538</v>
      </c>
      <c r="C15143" t="s">
        <v>17710</v>
      </c>
      <c r="D15143" t="s">
        <v>18056</v>
      </c>
      <c r="E15143" t="s">
        <v>31300</v>
      </c>
      <c r="F15143" t="s">
        <v>31574</v>
      </c>
      <c r="G15143" t="s">
        <v>31582</v>
      </c>
      <c r="H15143" t="s">
        <v>31590</v>
      </c>
      <c r="I15143" t="s">
        <v>14544</v>
      </c>
      <c r="J15143" t="s">
        <v>40983</v>
      </c>
      <c r="K15143" t="s">
        <v>41196</v>
      </c>
      <c r="M15143" t="s">
        <v>44274</v>
      </c>
      <c r="N15143" t="s">
        <v>45095</v>
      </c>
      <c r="O15143" t="s">
        <v>45096</v>
      </c>
      <c r="Q15143">
        <v>10</v>
      </c>
      <c r="R15143" t="s">
        <v>45178</v>
      </c>
      <c r="S15143" t="s">
        <v>46637</v>
      </c>
      <c r="T15143" t="s">
        <v>47100</v>
      </c>
      <c r="U15143" t="s">
        <v>59615</v>
      </c>
      <c r="W15143" t="s">
        <v>44274</v>
      </c>
      <c r="X15143" t="s">
        <v>45179</v>
      </c>
    </row>
    <row r="15144" spans="1:24">
      <c r="A15144">
        <f>HYPERLINK("https://www.philgeps.gov.ph/GEPSNONPILOT/Tender/SplashBidNoticeAbstractUI.aspx?menuIndex=3&amp;refID=6911044&amp;Result=3","6911044")</f>
        <v>0</v>
      </c>
      <c r="B15144" t="s">
        <v>558</v>
      </c>
      <c r="C15144" t="s">
        <v>17711</v>
      </c>
      <c r="D15144" t="s">
        <v>18053</v>
      </c>
      <c r="E15144" t="s">
        <v>31301</v>
      </c>
      <c r="F15144" t="s">
        <v>31574</v>
      </c>
      <c r="G15144" t="s">
        <v>31582</v>
      </c>
      <c r="H15144" t="s">
        <v>31591</v>
      </c>
      <c r="I15144" t="s">
        <v>8822</v>
      </c>
      <c r="J15144" t="s">
        <v>34707</v>
      </c>
      <c r="K15144" t="s">
        <v>41427</v>
      </c>
      <c r="M15144" t="s">
        <v>42057</v>
      </c>
      <c r="N15144" t="s">
        <v>45095</v>
      </c>
      <c r="O15144" t="s">
        <v>45096</v>
      </c>
      <c r="Q15144">
        <v>0</v>
      </c>
      <c r="R15144" t="s">
        <v>45178</v>
      </c>
      <c r="S15144" t="s">
        <v>46638</v>
      </c>
      <c r="T15144" t="s">
        <v>46952</v>
      </c>
      <c r="U15144" t="s">
        <v>59616</v>
      </c>
      <c r="W15144" t="s">
        <v>42057</v>
      </c>
      <c r="X15144" t="s">
        <v>45179</v>
      </c>
    </row>
    <row r="15145" spans="1:24">
      <c r="A15145">
        <f>HYPERLINK("https://www.philgeps.gov.ph/GEPSNONPILOT/Tender/SplashBidNoticeAbstractUI.aspx?menuIndex=3&amp;refID=6911898&amp;Result=3","6911898")</f>
        <v>0</v>
      </c>
      <c r="B15145" t="s">
        <v>348</v>
      </c>
      <c r="C15145" t="s">
        <v>17712</v>
      </c>
      <c r="D15145" t="s">
        <v>18065</v>
      </c>
      <c r="E15145" t="s">
        <v>31302</v>
      </c>
      <c r="F15145" t="s">
        <v>31574</v>
      </c>
      <c r="G15145" t="s">
        <v>31582</v>
      </c>
      <c r="H15145" t="s">
        <v>31590</v>
      </c>
      <c r="I15145" t="s">
        <v>5222</v>
      </c>
      <c r="J15145" t="s">
        <v>40984</v>
      </c>
      <c r="K15145" t="s">
        <v>41192</v>
      </c>
      <c r="M15145" t="s">
        <v>45063</v>
      </c>
      <c r="N15145" t="s">
        <v>45095</v>
      </c>
      <c r="O15145" t="s">
        <v>45096</v>
      </c>
      <c r="Q15145">
        <v>29</v>
      </c>
      <c r="R15145" t="s">
        <v>45178</v>
      </c>
      <c r="S15145" t="s">
        <v>46377</v>
      </c>
      <c r="T15145" t="s">
        <v>46963</v>
      </c>
      <c r="U15145" t="s">
        <v>59617</v>
      </c>
      <c r="W15145" t="s">
        <v>45063</v>
      </c>
      <c r="X15145" t="s">
        <v>45179</v>
      </c>
    </row>
    <row r="15146" spans="1:24">
      <c r="A15146">
        <f>HYPERLINK("https://www.philgeps.gov.ph/GEPSNONPILOT/Tender/SplashBidNoticeAbstractUI.aspx?menuIndex=3&amp;refID=6911224&amp;Result=3","6911224")</f>
        <v>0</v>
      </c>
      <c r="B15146" t="s">
        <v>248</v>
      </c>
      <c r="C15146" t="s">
        <v>17713</v>
      </c>
      <c r="D15146" t="s">
        <v>18075</v>
      </c>
      <c r="E15146" t="s">
        <v>31303</v>
      </c>
      <c r="F15146" t="s">
        <v>31574</v>
      </c>
      <c r="G15146" t="s">
        <v>31582</v>
      </c>
      <c r="H15146" t="s">
        <v>31590</v>
      </c>
      <c r="I15146" t="s">
        <v>4046</v>
      </c>
      <c r="J15146" t="s">
        <v>40985</v>
      </c>
      <c r="K15146" t="s">
        <v>41186</v>
      </c>
      <c r="M15146" t="s">
        <v>41734</v>
      </c>
      <c r="N15146" t="s">
        <v>45095</v>
      </c>
      <c r="O15146" t="s">
        <v>45096</v>
      </c>
      <c r="Q15146">
        <v>7</v>
      </c>
      <c r="R15146" t="s">
        <v>45178</v>
      </c>
      <c r="S15146" t="s">
        <v>46639</v>
      </c>
      <c r="T15146" t="s">
        <v>47079</v>
      </c>
      <c r="U15146" t="s">
        <v>59618</v>
      </c>
      <c r="W15146" t="s">
        <v>41734</v>
      </c>
      <c r="X15146" t="s">
        <v>45179</v>
      </c>
    </row>
    <row r="15147" spans="1:24">
      <c r="A15147">
        <f>HYPERLINK("https://www.philgeps.gov.ph/GEPSNONPILOT/Tender/SplashBidNoticeAbstractUI.aspx?menuIndex=3&amp;refID=6911263&amp;Result=3","6911263")</f>
        <v>0</v>
      </c>
      <c r="B15147" t="s">
        <v>1763</v>
      </c>
      <c r="C15147" t="s">
        <v>17714</v>
      </c>
      <c r="D15147" t="s">
        <v>18039</v>
      </c>
      <c r="E15147" t="s">
        <v>31304</v>
      </c>
      <c r="F15147" t="s">
        <v>31574</v>
      </c>
      <c r="G15147" t="s">
        <v>31582</v>
      </c>
      <c r="H15147" t="s">
        <v>31593</v>
      </c>
      <c r="I15147" t="s">
        <v>5222</v>
      </c>
      <c r="J15147" t="s">
        <v>32120</v>
      </c>
      <c r="K15147" t="s">
        <v>41189</v>
      </c>
      <c r="M15147" t="s">
        <v>43392</v>
      </c>
      <c r="N15147" t="s">
        <v>45095</v>
      </c>
      <c r="O15147" t="s">
        <v>45096</v>
      </c>
      <c r="Q15147">
        <v>4</v>
      </c>
      <c r="R15147" t="s">
        <v>45178</v>
      </c>
      <c r="S15147" t="s">
        <v>45858</v>
      </c>
      <c r="T15147" t="s">
        <v>47166</v>
      </c>
      <c r="U15147" t="s">
        <v>59619</v>
      </c>
      <c r="W15147" t="s">
        <v>43392</v>
      </c>
      <c r="X15147" t="s">
        <v>45179</v>
      </c>
    </row>
    <row r="15148" spans="1:24">
      <c r="A15148">
        <f>HYPERLINK("https://www.philgeps.gov.ph/GEPSNONPILOT/Tender/SplashBidNoticeAbstractUI.aspx?menuIndex=3&amp;refID=6911777&amp;Result=3","6911777")</f>
        <v>0</v>
      </c>
      <c r="B15148" t="s">
        <v>348</v>
      </c>
      <c r="C15148" t="s">
        <v>17715</v>
      </c>
      <c r="D15148" t="s">
        <v>18065</v>
      </c>
      <c r="E15148" t="s">
        <v>31305</v>
      </c>
      <c r="F15148" t="s">
        <v>31574</v>
      </c>
      <c r="G15148" t="s">
        <v>31582</v>
      </c>
      <c r="H15148" t="s">
        <v>31590</v>
      </c>
      <c r="I15148" t="s">
        <v>5222</v>
      </c>
      <c r="J15148" t="s">
        <v>39645</v>
      </c>
      <c r="K15148" t="s">
        <v>41192</v>
      </c>
      <c r="M15148" t="s">
        <v>45063</v>
      </c>
      <c r="N15148" t="s">
        <v>45095</v>
      </c>
      <c r="O15148" t="s">
        <v>45096</v>
      </c>
      <c r="Q15148">
        <v>26</v>
      </c>
      <c r="R15148" t="s">
        <v>45178</v>
      </c>
      <c r="S15148" t="s">
        <v>46640</v>
      </c>
      <c r="T15148" t="s">
        <v>46963</v>
      </c>
      <c r="U15148" t="s">
        <v>59620</v>
      </c>
      <c r="W15148" t="s">
        <v>45063</v>
      </c>
      <c r="X15148" t="s">
        <v>45179</v>
      </c>
    </row>
    <row r="15149" spans="1:24">
      <c r="A15149">
        <f>HYPERLINK("https://www.philgeps.gov.ph/GEPSNONPILOT/Tender/SplashBidNoticeAbstractUI.aspx?menuIndex=3&amp;refID=6911345&amp;Result=3","6911345")</f>
        <v>0</v>
      </c>
      <c r="B15149" t="s">
        <v>246</v>
      </c>
      <c r="C15149" t="s">
        <v>8237</v>
      </c>
      <c r="D15149" t="s">
        <v>18033</v>
      </c>
      <c r="E15149" t="s">
        <v>31306</v>
      </c>
      <c r="F15149" t="s">
        <v>31574</v>
      </c>
      <c r="G15149" t="s">
        <v>31581</v>
      </c>
      <c r="H15149" t="s">
        <v>31590</v>
      </c>
      <c r="I15149" t="s">
        <v>5717</v>
      </c>
      <c r="J15149" t="s">
        <v>40986</v>
      </c>
      <c r="K15149" t="s">
        <v>41196</v>
      </c>
      <c r="M15149" t="s">
        <v>41732</v>
      </c>
      <c r="N15149" t="s">
        <v>45095</v>
      </c>
      <c r="O15149" t="s">
        <v>45096</v>
      </c>
      <c r="Q15149">
        <v>3</v>
      </c>
      <c r="R15149" t="s">
        <v>45178</v>
      </c>
      <c r="S15149" t="s">
        <v>46641</v>
      </c>
      <c r="T15149" t="s">
        <v>47077</v>
      </c>
      <c r="U15149" t="s">
        <v>59621</v>
      </c>
      <c r="W15149" t="s">
        <v>41732</v>
      </c>
      <c r="X15149" t="s">
        <v>45179</v>
      </c>
    </row>
    <row r="15150" spans="1:24">
      <c r="A15150">
        <f>HYPERLINK("https://www.philgeps.gov.ph/GEPSNONPILOT/Tender/SplashBidNoticeAbstractUI.aspx?menuIndex=3&amp;refID=6911751&amp;Result=3","6911751")</f>
        <v>0</v>
      </c>
      <c r="B15150" t="s">
        <v>800</v>
      </c>
      <c r="C15150" t="s">
        <v>17716</v>
      </c>
      <c r="D15150" t="s">
        <v>18106</v>
      </c>
      <c r="E15150" t="s">
        <v>31307</v>
      </c>
      <c r="F15150" t="s">
        <v>31574</v>
      </c>
      <c r="G15150" t="s">
        <v>31582</v>
      </c>
      <c r="H15150" t="s">
        <v>31591</v>
      </c>
      <c r="I15150" t="s">
        <v>31676</v>
      </c>
      <c r="J15150" t="s">
        <v>40987</v>
      </c>
      <c r="K15150" t="s">
        <v>41189</v>
      </c>
      <c r="M15150" t="s">
        <v>42314</v>
      </c>
      <c r="N15150" t="s">
        <v>45095</v>
      </c>
      <c r="O15150" t="s">
        <v>45096</v>
      </c>
      <c r="Q15150">
        <v>5</v>
      </c>
      <c r="R15150" t="s">
        <v>45178</v>
      </c>
      <c r="S15150" t="s">
        <v>46138</v>
      </c>
      <c r="T15150" t="s">
        <v>47336</v>
      </c>
      <c r="U15150" t="s">
        <v>59622</v>
      </c>
      <c r="V15150" t="s">
        <v>61600</v>
      </c>
      <c r="W15150" t="s">
        <v>42314</v>
      </c>
      <c r="X15150" t="s">
        <v>45179</v>
      </c>
    </row>
    <row r="15151" spans="1:24">
      <c r="A15151">
        <f>HYPERLINK("https://www.philgeps.gov.ph/GEPSNONPILOT/Tender/SplashBidNoticeAbstractUI.aspx?menuIndex=3&amp;refID=6911999&amp;Result=3","6911999")</f>
        <v>0</v>
      </c>
      <c r="B15151" t="s">
        <v>348</v>
      </c>
      <c r="C15151" t="s">
        <v>17717</v>
      </c>
      <c r="D15151" t="s">
        <v>18065</v>
      </c>
      <c r="E15151" t="s">
        <v>31308</v>
      </c>
      <c r="F15151" t="s">
        <v>31574</v>
      </c>
      <c r="G15151" t="s">
        <v>31582</v>
      </c>
      <c r="H15151" t="s">
        <v>31590</v>
      </c>
      <c r="I15151" t="s">
        <v>31607</v>
      </c>
      <c r="J15151" t="s">
        <v>31890</v>
      </c>
      <c r="K15151" t="s">
        <v>41192</v>
      </c>
      <c r="M15151" t="s">
        <v>45063</v>
      </c>
      <c r="N15151" t="s">
        <v>45095</v>
      </c>
      <c r="O15151" t="s">
        <v>45096</v>
      </c>
      <c r="Q15151">
        <v>3</v>
      </c>
      <c r="R15151" t="s">
        <v>45178</v>
      </c>
      <c r="S15151" t="s">
        <v>46642</v>
      </c>
      <c r="T15151" t="s">
        <v>46963</v>
      </c>
      <c r="U15151" t="s">
        <v>59623</v>
      </c>
      <c r="W15151" t="s">
        <v>45063</v>
      </c>
      <c r="X15151" t="s">
        <v>45179</v>
      </c>
    </row>
    <row r="15152" spans="1:24">
      <c r="A15152">
        <f>HYPERLINK("https://www.philgeps.gov.ph/GEPSNONPILOT/Tender/SplashBidNoticeAbstractUI.aspx?menuIndex=3&amp;refID=6911936&amp;Result=3","6911936")</f>
        <v>0</v>
      </c>
      <c r="B15152" t="s">
        <v>348</v>
      </c>
      <c r="C15152" t="s">
        <v>17718</v>
      </c>
      <c r="D15152" t="s">
        <v>18065</v>
      </c>
      <c r="E15152" t="s">
        <v>31309</v>
      </c>
      <c r="F15152" t="s">
        <v>31574</v>
      </c>
      <c r="G15152" t="s">
        <v>31582</v>
      </c>
      <c r="H15152" t="s">
        <v>31590</v>
      </c>
      <c r="I15152" t="s">
        <v>31682</v>
      </c>
      <c r="J15152" t="s">
        <v>40988</v>
      </c>
      <c r="K15152" t="s">
        <v>41192</v>
      </c>
      <c r="M15152" t="s">
        <v>45063</v>
      </c>
      <c r="N15152" t="s">
        <v>45095</v>
      </c>
      <c r="O15152" t="s">
        <v>45096</v>
      </c>
      <c r="Q15152">
        <v>3</v>
      </c>
      <c r="R15152" t="s">
        <v>45178</v>
      </c>
      <c r="S15152" t="s">
        <v>46643</v>
      </c>
      <c r="T15152" t="s">
        <v>46963</v>
      </c>
      <c r="U15152" t="s">
        <v>59624</v>
      </c>
      <c r="W15152" t="s">
        <v>45063</v>
      </c>
      <c r="X15152" t="s">
        <v>45179</v>
      </c>
    </row>
    <row r="15153" spans="1:24">
      <c r="A15153">
        <f>HYPERLINK("https://www.philgeps.gov.ph/GEPSNONPILOT/Tender/SplashBidNoticeAbstractUI.aspx?menuIndex=3&amp;refID=6911641&amp;Result=3","6911641")</f>
        <v>0</v>
      </c>
      <c r="B15153" t="s">
        <v>800</v>
      </c>
      <c r="C15153" t="s">
        <v>17719</v>
      </c>
      <c r="D15153" t="s">
        <v>18106</v>
      </c>
      <c r="E15153" t="s">
        <v>31310</v>
      </c>
      <c r="F15153" t="s">
        <v>31574</v>
      </c>
      <c r="G15153" t="s">
        <v>31582</v>
      </c>
      <c r="H15153" t="s">
        <v>31590</v>
      </c>
      <c r="I15153" t="s">
        <v>31596</v>
      </c>
      <c r="J15153" t="s">
        <v>40989</v>
      </c>
      <c r="K15153" t="s">
        <v>41299</v>
      </c>
      <c r="M15153" t="s">
        <v>42314</v>
      </c>
      <c r="N15153" t="s">
        <v>45095</v>
      </c>
      <c r="O15153" t="s">
        <v>45096</v>
      </c>
      <c r="Q15153">
        <v>4</v>
      </c>
      <c r="R15153" t="s">
        <v>45178</v>
      </c>
      <c r="S15153" t="s">
        <v>46644</v>
      </c>
      <c r="T15153" t="s">
        <v>47336</v>
      </c>
      <c r="U15153" t="s">
        <v>59622</v>
      </c>
      <c r="V15153" t="s">
        <v>61601</v>
      </c>
      <c r="W15153" t="s">
        <v>42314</v>
      </c>
      <c r="X15153" t="s">
        <v>45179</v>
      </c>
    </row>
    <row r="15154" spans="1:24">
      <c r="A15154">
        <f>HYPERLINK("https://www.philgeps.gov.ph/GEPSNONPILOT/Tender/SplashBidNoticeAbstractUI.aspx?menuIndex=3&amp;refID=6911967&amp;Result=3","6911967")</f>
        <v>0</v>
      </c>
      <c r="B15154" t="s">
        <v>348</v>
      </c>
      <c r="C15154" t="s">
        <v>17720</v>
      </c>
      <c r="D15154" t="s">
        <v>18065</v>
      </c>
      <c r="E15154" t="s">
        <v>31311</v>
      </c>
      <c r="F15154" t="s">
        <v>31574</v>
      </c>
      <c r="G15154" t="s">
        <v>31582</v>
      </c>
      <c r="H15154" t="s">
        <v>31590</v>
      </c>
      <c r="I15154" t="s">
        <v>31682</v>
      </c>
      <c r="J15154" t="s">
        <v>40990</v>
      </c>
      <c r="K15154" t="s">
        <v>41192</v>
      </c>
      <c r="M15154" t="s">
        <v>45063</v>
      </c>
      <c r="N15154" t="s">
        <v>45095</v>
      </c>
      <c r="O15154" t="s">
        <v>45096</v>
      </c>
      <c r="Q15154">
        <v>3</v>
      </c>
      <c r="R15154" t="s">
        <v>45178</v>
      </c>
      <c r="S15154" t="s">
        <v>46376</v>
      </c>
      <c r="T15154" t="s">
        <v>46963</v>
      </c>
      <c r="U15154" t="s">
        <v>59625</v>
      </c>
      <c r="W15154" t="s">
        <v>45063</v>
      </c>
      <c r="X15154" t="s">
        <v>45179</v>
      </c>
    </row>
    <row r="15155" spans="1:24">
      <c r="A15155">
        <f>HYPERLINK("https://www.philgeps.gov.ph/GEPSNONPILOT/Tender/SplashBidNoticeAbstractUI.aspx?menuIndex=3&amp;refID=6912117&amp;Result=3","6912117")</f>
        <v>0</v>
      </c>
      <c r="B15155" t="s">
        <v>348</v>
      </c>
      <c r="C15155" t="s">
        <v>17721</v>
      </c>
      <c r="D15155" t="s">
        <v>18065</v>
      </c>
      <c r="E15155" t="s">
        <v>31312</v>
      </c>
      <c r="F15155" t="s">
        <v>31574</v>
      </c>
      <c r="G15155" t="s">
        <v>31582</v>
      </c>
      <c r="H15155" t="s">
        <v>31590</v>
      </c>
      <c r="I15155" t="s">
        <v>31607</v>
      </c>
      <c r="J15155" t="s">
        <v>40991</v>
      </c>
      <c r="K15155" t="s">
        <v>41192</v>
      </c>
      <c r="M15155" t="s">
        <v>45063</v>
      </c>
      <c r="N15155" t="s">
        <v>45095</v>
      </c>
      <c r="O15155" t="s">
        <v>45096</v>
      </c>
      <c r="Q15155">
        <v>8</v>
      </c>
      <c r="R15155" t="s">
        <v>45178</v>
      </c>
      <c r="S15155" t="s">
        <v>46645</v>
      </c>
      <c r="T15155" t="s">
        <v>46963</v>
      </c>
      <c r="U15155" t="s">
        <v>59626</v>
      </c>
      <c r="W15155" t="s">
        <v>45063</v>
      </c>
      <c r="X15155" t="s">
        <v>45179</v>
      </c>
    </row>
    <row r="15156" spans="1:24">
      <c r="A15156">
        <f>HYPERLINK("https://www.philgeps.gov.ph/GEPSNONPILOT/Tender/SplashBidNoticeAbstractUI.aspx?menuIndex=3&amp;refID=6912133&amp;Result=3","6912133")</f>
        <v>0</v>
      </c>
      <c r="B15156" t="s">
        <v>348</v>
      </c>
      <c r="C15156" t="s">
        <v>17722</v>
      </c>
      <c r="D15156" t="s">
        <v>18065</v>
      </c>
      <c r="E15156" t="s">
        <v>31313</v>
      </c>
      <c r="F15156" t="s">
        <v>31574</v>
      </c>
      <c r="G15156" t="s">
        <v>31582</v>
      </c>
      <c r="H15156" t="s">
        <v>31590</v>
      </c>
      <c r="I15156" t="s">
        <v>31607</v>
      </c>
      <c r="J15156" t="s">
        <v>40992</v>
      </c>
      <c r="K15156" t="s">
        <v>41192</v>
      </c>
      <c r="M15156" t="s">
        <v>45063</v>
      </c>
      <c r="N15156" t="s">
        <v>45095</v>
      </c>
      <c r="O15156" t="s">
        <v>45096</v>
      </c>
      <c r="Q15156">
        <v>5</v>
      </c>
      <c r="R15156" t="s">
        <v>45178</v>
      </c>
      <c r="S15156" t="s">
        <v>46646</v>
      </c>
      <c r="T15156" t="s">
        <v>46963</v>
      </c>
      <c r="U15156" t="s">
        <v>59627</v>
      </c>
      <c r="W15156" t="s">
        <v>45063</v>
      </c>
      <c r="X15156" t="s">
        <v>45179</v>
      </c>
    </row>
    <row r="15157" spans="1:24">
      <c r="A15157">
        <f>HYPERLINK("https://www.philgeps.gov.ph/GEPSNONPILOT/Tender/SplashBidNoticeAbstractUI.aspx?menuIndex=3&amp;refID=6911398&amp;Result=3","6911398")</f>
        <v>0</v>
      </c>
      <c r="B15157" t="s">
        <v>59</v>
      </c>
      <c r="C15157" t="s">
        <v>17723</v>
      </c>
      <c r="D15157" t="s">
        <v>18048</v>
      </c>
      <c r="E15157" t="s">
        <v>31314</v>
      </c>
      <c r="F15157" t="s">
        <v>31574</v>
      </c>
      <c r="G15157" t="s">
        <v>31581</v>
      </c>
      <c r="H15157" t="s">
        <v>31590</v>
      </c>
      <c r="I15157" t="s">
        <v>31623</v>
      </c>
      <c r="J15157" t="s">
        <v>32017</v>
      </c>
      <c r="K15157" t="s">
        <v>41186</v>
      </c>
      <c r="M15157" t="s">
        <v>43751</v>
      </c>
      <c r="N15157" t="s">
        <v>45095</v>
      </c>
      <c r="O15157" t="s">
        <v>45096</v>
      </c>
      <c r="Q15157">
        <v>0</v>
      </c>
      <c r="R15157" t="s">
        <v>45178</v>
      </c>
      <c r="S15157" t="s">
        <v>46434</v>
      </c>
      <c r="T15157" t="s">
        <v>46949</v>
      </c>
      <c r="U15157" t="s">
        <v>59628</v>
      </c>
      <c r="W15157" t="s">
        <v>43751</v>
      </c>
      <c r="X15157" t="s">
        <v>45179</v>
      </c>
    </row>
    <row r="15158" spans="1:24">
      <c r="A15158">
        <f>HYPERLINK("https://www.philgeps.gov.ph/GEPSNONPILOT/Tender/SplashBidNoticeAbstractUI.aspx?menuIndex=3&amp;refID=6912229&amp;Result=3","6912229")</f>
        <v>0</v>
      </c>
      <c r="B15158" t="s">
        <v>348</v>
      </c>
      <c r="C15158" t="s">
        <v>17724</v>
      </c>
      <c r="D15158" t="s">
        <v>18065</v>
      </c>
      <c r="E15158" t="s">
        <v>31315</v>
      </c>
      <c r="F15158" t="s">
        <v>31574</v>
      </c>
      <c r="G15158" t="s">
        <v>31582</v>
      </c>
      <c r="H15158" t="s">
        <v>31590</v>
      </c>
      <c r="I15158" t="s">
        <v>31607</v>
      </c>
      <c r="J15158" t="s">
        <v>40993</v>
      </c>
      <c r="K15158" t="s">
        <v>41192</v>
      </c>
      <c r="M15158" t="s">
        <v>45063</v>
      </c>
      <c r="N15158" t="s">
        <v>45095</v>
      </c>
      <c r="O15158" t="s">
        <v>45096</v>
      </c>
      <c r="Q15158">
        <v>7</v>
      </c>
      <c r="R15158" t="s">
        <v>45178</v>
      </c>
      <c r="S15158" t="s">
        <v>46647</v>
      </c>
      <c r="T15158" t="s">
        <v>46913</v>
      </c>
      <c r="U15158" t="s">
        <v>59629</v>
      </c>
      <c r="W15158" t="s">
        <v>45063</v>
      </c>
      <c r="X15158" t="s">
        <v>45179</v>
      </c>
    </row>
    <row r="15159" spans="1:24">
      <c r="A15159">
        <f>HYPERLINK("https://www.philgeps.gov.ph/GEPSNONPILOT/Tender/SplashBidNoticeAbstractUI.aspx?menuIndex=3&amp;refID=6911489&amp;Result=3","6911489")</f>
        <v>0</v>
      </c>
      <c r="B15159" t="s">
        <v>558</v>
      </c>
      <c r="C15159" t="s">
        <v>17725</v>
      </c>
      <c r="D15159" t="s">
        <v>18053</v>
      </c>
      <c r="E15159" t="s">
        <v>31316</v>
      </c>
      <c r="F15159" t="s">
        <v>31574</v>
      </c>
      <c r="G15159" t="s">
        <v>31582</v>
      </c>
      <c r="H15159" t="s">
        <v>31591</v>
      </c>
      <c r="I15159" t="s">
        <v>8822</v>
      </c>
      <c r="J15159" t="s">
        <v>34707</v>
      </c>
      <c r="K15159" t="s">
        <v>41416</v>
      </c>
      <c r="M15159" t="s">
        <v>42057</v>
      </c>
      <c r="N15159" t="s">
        <v>45095</v>
      </c>
      <c r="O15159" t="s">
        <v>45096</v>
      </c>
      <c r="Q15159">
        <v>1</v>
      </c>
      <c r="R15159" t="s">
        <v>45178</v>
      </c>
      <c r="S15159" t="s">
        <v>46459</v>
      </c>
      <c r="T15159" t="s">
        <v>46952</v>
      </c>
      <c r="U15159" t="s">
        <v>59630</v>
      </c>
      <c r="W15159" t="s">
        <v>42057</v>
      </c>
      <c r="X15159" t="s">
        <v>45179</v>
      </c>
    </row>
    <row r="15160" spans="1:24">
      <c r="A15160">
        <f>HYPERLINK("https://www.philgeps.gov.ph/GEPSNONPILOT/Tender/SplashBidNoticeAbstractUI.aspx?menuIndex=3&amp;refID=6912267&amp;Result=3","6912267")</f>
        <v>0</v>
      </c>
      <c r="B15160" t="s">
        <v>348</v>
      </c>
      <c r="C15160" t="s">
        <v>17726</v>
      </c>
      <c r="D15160" t="s">
        <v>18065</v>
      </c>
      <c r="E15160" t="s">
        <v>31317</v>
      </c>
      <c r="F15160" t="s">
        <v>31574</v>
      </c>
      <c r="G15160" t="s">
        <v>31582</v>
      </c>
      <c r="H15160" t="s">
        <v>31590</v>
      </c>
      <c r="I15160" t="s">
        <v>31607</v>
      </c>
      <c r="J15160" t="s">
        <v>40994</v>
      </c>
      <c r="K15160" t="s">
        <v>41192</v>
      </c>
      <c r="M15160" t="s">
        <v>45063</v>
      </c>
      <c r="N15160" t="s">
        <v>45095</v>
      </c>
      <c r="O15160" t="s">
        <v>45096</v>
      </c>
      <c r="Q15160">
        <v>6</v>
      </c>
      <c r="R15160" t="s">
        <v>45178</v>
      </c>
      <c r="S15160" t="s">
        <v>46648</v>
      </c>
      <c r="T15160" t="s">
        <v>46913</v>
      </c>
      <c r="U15160" t="s">
        <v>59631</v>
      </c>
      <c r="W15160" t="s">
        <v>45063</v>
      </c>
      <c r="X15160" t="s">
        <v>45179</v>
      </c>
    </row>
    <row r="15161" spans="1:24">
      <c r="A15161">
        <f>HYPERLINK("https://www.philgeps.gov.ph/GEPSNONPILOT/Tender/SplashBidNoticeAbstractUI.aspx?menuIndex=3&amp;refID=6912287&amp;Result=3","6912287")</f>
        <v>0</v>
      </c>
      <c r="B15161" t="s">
        <v>348</v>
      </c>
      <c r="C15161" t="s">
        <v>17727</v>
      </c>
      <c r="D15161" t="s">
        <v>18065</v>
      </c>
      <c r="E15161" t="s">
        <v>31318</v>
      </c>
      <c r="F15161" t="s">
        <v>31574</v>
      </c>
      <c r="G15161" t="s">
        <v>31582</v>
      </c>
      <c r="H15161" t="s">
        <v>31590</v>
      </c>
      <c r="I15161" t="s">
        <v>31607</v>
      </c>
      <c r="J15161" t="s">
        <v>40995</v>
      </c>
      <c r="K15161" t="s">
        <v>41192</v>
      </c>
      <c r="M15161" t="s">
        <v>45063</v>
      </c>
      <c r="N15161" t="s">
        <v>45095</v>
      </c>
      <c r="O15161" t="s">
        <v>45096</v>
      </c>
      <c r="Q15161">
        <v>6</v>
      </c>
      <c r="R15161" t="s">
        <v>45178</v>
      </c>
      <c r="S15161" t="s">
        <v>46649</v>
      </c>
      <c r="T15161" t="s">
        <v>46913</v>
      </c>
      <c r="U15161" t="s">
        <v>59632</v>
      </c>
      <c r="W15161" t="s">
        <v>45063</v>
      </c>
      <c r="X15161" t="s">
        <v>45179</v>
      </c>
    </row>
    <row r="15162" spans="1:24">
      <c r="A15162">
        <f>HYPERLINK("https://www.philgeps.gov.ph/GEPSNONPILOT/Tender/SplashBidNoticeAbstractUI.aspx?menuIndex=3&amp;refID=6912199&amp;Result=3","6912199")</f>
        <v>0</v>
      </c>
      <c r="B15162" t="s">
        <v>348</v>
      </c>
      <c r="C15162" t="s">
        <v>17728</v>
      </c>
      <c r="D15162" t="s">
        <v>18065</v>
      </c>
      <c r="E15162" t="s">
        <v>31319</v>
      </c>
      <c r="F15162" t="s">
        <v>31574</v>
      </c>
      <c r="G15162" t="s">
        <v>31582</v>
      </c>
      <c r="H15162" t="s">
        <v>31590</v>
      </c>
      <c r="I15162" t="s">
        <v>31703</v>
      </c>
      <c r="J15162" t="s">
        <v>34225</v>
      </c>
      <c r="K15162" t="s">
        <v>41192</v>
      </c>
      <c r="M15162" t="s">
        <v>45063</v>
      </c>
      <c r="N15162" t="s">
        <v>45095</v>
      </c>
      <c r="O15162" t="s">
        <v>45096</v>
      </c>
      <c r="Q15162">
        <v>9</v>
      </c>
      <c r="R15162" t="s">
        <v>45178</v>
      </c>
      <c r="S15162" t="s">
        <v>46650</v>
      </c>
      <c r="T15162" t="s">
        <v>46913</v>
      </c>
      <c r="U15162" t="s">
        <v>59633</v>
      </c>
      <c r="W15162" t="s">
        <v>45063</v>
      </c>
      <c r="X15162" t="s">
        <v>45179</v>
      </c>
    </row>
    <row r="15163" spans="1:24">
      <c r="A15163">
        <f>HYPERLINK("https://www.philgeps.gov.ph/GEPSNONPILOT/Tender/SplashBidNoticeAbstractUI.aspx?menuIndex=3&amp;refID=6912085&amp;Result=3","6912085")</f>
        <v>0</v>
      </c>
      <c r="B15163" t="s">
        <v>348</v>
      </c>
      <c r="C15163" t="s">
        <v>17729</v>
      </c>
      <c r="D15163" t="s">
        <v>18065</v>
      </c>
      <c r="E15163" t="s">
        <v>31320</v>
      </c>
      <c r="F15163" t="s">
        <v>31574</v>
      </c>
      <c r="G15163" t="s">
        <v>31582</v>
      </c>
      <c r="H15163" t="s">
        <v>31590</v>
      </c>
      <c r="I15163" t="s">
        <v>31703</v>
      </c>
      <c r="J15163" t="s">
        <v>40996</v>
      </c>
      <c r="K15163" t="s">
        <v>41192</v>
      </c>
      <c r="M15163" t="s">
        <v>45063</v>
      </c>
      <c r="N15163" t="s">
        <v>45095</v>
      </c>
      <c r="O15163" t="s">
        <v>45096</v>
      </c>
      <c r="Q15163">
        <v>2</v>
      </c>
      <c r="R15163" t="s">
        <v>45178</v>
      </c>
      <c r="S15163" t="s">
        <v>46378</v>
      </c>
      <c r="T15163" t="s">
        <v>46963</v>
      </c>
      <c r="U15163" t="s">
        <v>59634</v>
      </c>
      <c r="W15163" t="s">
        <v>45063</v>
      </c>
      <c r="X15163" t="s">
        <v>45179</v>
      </c>
    </row>
    <row r="15164" spans="1:24">
      <c r="A15164">
        <f>HYPERLINK("https://www.philgeps.gov.ph/GEPSNONPILOT/Tender/SplashBidNoticeAbstractUI.aspx?menuIndex=3&amp;refID=6911357&amp;Result=3","6911357")</f>
        <v>0</v>
      </c>
      <c r="B15164" t="s">
        <v>59</v>
      </c>
      <c r="C15164" t="s">
        <v>17730</v>
      </c>
      <c r="D15164" t="s">
        <v>18048</v>
      </c>
      <c r="E15164" t="s">
        <v>31321</v>
      </c>
      <c r="F15164" t="s">
        <v>31574</v>
      </c>
      <c r="G15164" t="s">
        <v>31584</v>
      </c>
      <c r="H15164" t="s">
        <v>31590</v>
      </c>
      <c r="I15164" t="s">
        <v>8056</v>
      </c>
      <c r="J15164" t="s">
        <v>31843</v>
      </c>
      <c r="K15164" t="s">
        <v>41186</v>
      </c>
      <c r="M15164" t="s">
        <v>43751</v>
      </c>
      <c r="N15164" t="s">
        <v>45095</v>
      </c>
      <c r="O15164" t="s">
        <v>45096</v>
      </c>
      <c r="Q15164">
        <v>11</v>
      </c>
      <c r="R15164" t="s">
        <v>45178</v>
      </c>
      <c r="S15164" t="s">
        <v>46651</v>
      </c>
      <c r="T15164" t="s">
        <v>46949</v>
      </c>
      <c r="U15164" t="s">
        <v>59635</v>
      </c>
      <c r="W15164" t="s">
        <v>43751</v>
      </c>
      <c r="X15164" t="s">
        <v>45179</v>
      </c>
    </row>
    <row r="15165" spans="1:24">
      <c r="A15165">
        <f>HYPERLINK("https://www.philgeps.gov.ph/GEPSNONPILOT/Tender/SplashBidNoticeAbstractUI.aspx?menuIndex=3&amp;refID=6912137&amp;Result=3","6912137")</f>
        <v>0</v>
      </c>
      <c r="B15165" t="s">
        <v>2538</v>
      </c>
      <c r="C15165" t="s">
        <v>17731</v>
      </c>
      <c r="D15165" t="s">
        <v>18078</v>
      </c>
      <c r="E15165" t="s">
        <v>31300</v>
      </c>
      <c r="F15165" t="s">
        <v>31574</v>
      </c>
      <c r="G15165" t="s">
        <v>31582</v>
      </c>
      <c r="H15165" t="s">
        <v>31591</v>
      </c>
      <c r="I15165" t="s">
        <v>8822</v>
      </c>
      <c r="J15165" t="s">
        <v>40997</v>
      </c>
      <c r="K15165" t="s">
        <v>41198</v>
      </c>
      <c r="M15165" t="s">
        <v>44274</v>
      </c>
      <c r="N15165" t="s">
        <v>45095</v>
      </c>
      <c r="O15165" t="s">
        <v>45096</v>
      </c>
      <c r="Q15165">
        <v>30</v>
      </c>
      <c r="R15165" t="s">
        <v>45178</v>
      </c>
      <c r="S15165" t="s">
        <v>46652</v>
      </c>
      <c r="T15165" t="s">
        <v>47100</v>
      </c>
      <c r="U15165" t="s">
        <v>59636</v>
      </c>
      <c r="W15165" t="s">
        <v>44274</v>
      </c>
      <c r="X15165" t="s">
        <v>45179</v>
      </c>
    </row>
    <row r="15166" spans="1:24">
      <c r="A15166">
        <f>HYPERLINK("https://www.philgeps.gov.ph/GEPSNONPILOT/Tender/SplashBidNoticeAbstractUI.aspx?menuIndex=3&amp;refID=6912252&amp;Result=3","6912252")</f>
        <v>0</v>
      </c>
      <c r="B15166" t="s">
        <v>348</v>
      </c>
      <c r="C15166" t="s">
        <v>17732</v>
      </c>
      <c r="D15166" t="s">
        <v>18065</v>
      </c>
      <c r="E15166" t="s">
        <v>31322</v>
      </c>
      <c r="F15166" t="s">
        <v>31574</v>
      </c>
      <c r="G15166" t="s">
        <v>31582</v>
      </c>
      <c r="H15166" t="s">
        <v>31590</v>
      </c>
      <c r="I15166" t="s">
        <v>31607</v>
      </c>
      <c r="J15166" t="s">
        <v>36545</v>
      </c>
      <c r="K15166" t="s">
        <v>41192</v>
      </c>
      <c r="M15166" t="s">
        <v>45063</v>
      </c>
      <c r="N15166" t="s">
        <v>45095</v>
      </c>
      <c r="O15166" t="s">
        <v>45096</v>
      </c>
      <c r="Q15166">
        <v>6</v>
      </c>
      <c r="R15166" t="s">
        <v>45178</v>
      </c>
      <c r="S15166" t="s">
        <v>46653</v>
      </c>
      <c r="T15166" t="s">
        <v>46913</v>
      </c>
      <c r="U15166" t="s">
        <v>59637</v>
      </c>
      <c r="W15166" t="s">
        <v>45063</v>
      </c>
      <c r="X15166" t="s">
        <v>45179</v>
      </c>
    </row>
    <row r="15167" spans="1:24">
      <c r="A15167">
        <f>HYPERLINK("https://www.philgeps.gov.ph/GEPSNONPILOT/Tender/SplashBidNoticeAbstractUI.aspx?menuIndex=3&amp;refID=6912190&amp;Result=3","6912190")</f>
        <v>0</v>
      </c>
      <c r="B15167" t="s">
        <v>348</v>
      </c>
      <c r="C15167" t="s">
        <v>17733</v>
      </c>
      <c r="D15167" t="s">
        <v>18065</v>
      </c>
      <c r="E15167" t="s">
        <v>31323</v>
      </c>
      <c r="F15167" t="s">
        <v>31574</v>
      </c>
      <c r="G15167" t="s">
        <v>31582</v>
      </c>
      <c r="H15167" t="s">
        <v>31590</v>
      </c>
      <c r="I15167" t="s">
        <v>31644</v>
      </c>
      <c r="J15167" t="s">
        <v>40998</v>
      </c>
      <c r="K15167" t="s">
        <v>41192</v>
      </c>
      <c r="M15167" t="s">
        <v>45063</v>
      </c>
      <c r="N15167" t="s">
        <v>45095</v>
      </c>
      <c r="O15167" t="s">
        <v>45096</v>
      </c>
      <c r="Q15167">
        <v>14</v>
      </c>
      <c r="R15167" t="s">
        <v>45178</v>
      </c>
      <c r="S15167" t="s">
        <v>46654</v>
      </c>
      <c r="T15167" t="s">
        <v>46913</v>
      </c>
      <c r="U15167" t="s">
        <v>59638</v>
      </c>
      <c r="W15167" t="s">
        <v>45063</v>
      </c>
      <c r="X15167" t="s">
        <v>45179</v>
      </c>
    </row>
    <row r="15168" spans="1:24">
      <c r="A15168">
        <f>HYPERLINK("https://www.philgeps.gov.ph/GEPSNONPILOT/Tender/SplashBidNoticeAbstractUI.aspx?menuIndex=3&amp;refID=6904897&amp;Result=3","6904897")</f>
        <v>0</v>
      </c>
      <c r="B15168" t="s">
        <v>2092</v>
      </c>
      <c r="C15168" t="s">
        <v>17734</v>
      </c>
      <c r="D15168" t="s">
        <v>18030</v>
      </c>
      <c r="E15168" t="s">
        <v>31324</v>
      </c>
      <c r="F15168" t="s">
        <v>31574</v>
      </c>
      <c r="G15168" t="s">
        <v>31582</v>
      </c>
      <c r="H15168" t="s">
        <v>31592</v>
      </c>
      <c r="I15168" t="s">
        <v>31686</v>
      </c>
      <c r="J15168" t="s">
        <v>40999</v>
      </c>
      <c r="K15168" t="s">
        <v>41200</v>
      </c>
      <c r="M15168" t="s">
        <v>43900</v>
      </c>
      <c r="N15168" t="s">
        <v>45095</v>
      </c>
      <c r="O15168" t="s">
        <v>45096</v>
      </c>
      <c r="Q15168">
        <v>4</v>
      </c>
      <c r="R15168" t="s">
        <v>45179</v>
      </c>
      <c r="S15168" t="s">
        <v>46655</v>
      </c>
      <c r="T15168" t="s">
        <v>46963</v>
      </c>
      <c r="U15168" t="s">
        <v>53298</v>
      </c>
      <c r="V15168" t="s">
        <v>60604</v>
      </c>
      <c r="W15168" t="s">
        <v>43900</v>
      </c>
      <c r="X15168" t="s">
        <v>45180</v>
      </c>
    </row>
    <row r="15169" spans="1:24">
      <c r="A15169">
        <f>HYPERLINK("https://www.philgeps.gov.ph/GEPSNONPILOT/Tender/SplashBidNoticeAbstractUI.aspx?menuIndex=3&amp;refID=6912155&amp;Result=3","6912155")</f>
        <v>0</v>
      </c>
      <c r="B15169" t="s">
        <v>348</v>
      </c>
      <c r="C15169" t="s">
        <v>17735</v>
      </c>
      <c r="D15169" t="s">
        <v>18065</v>
      </c>
      <c r="E15169" t="s">
        <v>31325</v>
      </c>
      <c r="F15169" t="s">
        <v>31574</v>
      </c>
      <c r="G15169" t="s">
        <v>31582</v>
      </c>
      <c r="H15169" t="s">
        <v>31590</v>
      </c>
      <c r="I15169" t="s">
        <v>31607</v>
      </c>
      <c r="J15169" t="s">
        <v>41000</v>
      </c>
      <c r="K15169" t="s">
        <v>41192</v>
      </c>
      <c r="M15169" t="s">
        <v>45063</v>
      </c>
      <c r="N15169" t="s">
        <v>45095</v>
      </c>
      <c r="O15169" t="s">
        <v>45096</v>
      </c>
      <c r="Q15169">
        <v>4</v>
      </c>
      <c r="R15169" t="s">
        <v>45178</v>
      </c>
      <c r="S15169" t="s">
        <v>46656</v>
      </c>
      <c r="T15169" t="s">
        <v>46963</v>
      </c>
      <c r="U15169" t="s">
        <v>59639</v>
      </c>
      <c r="W15169" t="s">
        <v>45063</v>
      </c>
      <c r="X15169" t="s">
        <v>45179</v>
      </c>
    </row>
    <row r="15170" spans="1:24">
      <c r="A15170">
        <f>HYPERLINK("https://www.philgeps.gov.ph/GEPSNONPILOT/Tender/SplashBidNoticeAbstractUI.aspx?menuIndex=3&amp;refID=6900257&amp;Result=3","6900257")</f>
        <v>0</v>
      </c>
      <c r="B15170" t="s">
        <v>2338</v>
      </c>
      <c r="C15170" t="s">
        <v>17736</v>
      </c>
      <c r="D15170" t="s">
        <v>18022</v>
      </c>
      <c r="E15170" t="s">
        <v>31326</v>
      </c>
      <c r="F15170" t="s">
        <v>31574</v>
      </c>
      <c r="G15170" t="s">
        <v>31582</v>
      </c>
      <c r="H15170" t="s">
        <v>31591</v>
      </c>
      <c r="I15170" t="s">
        <v>8822</v>
      </c>
      <c r="J15170" t="s">
        <v>41001</v>
      </c>
      <c r="K15170" t="s">
        <v>41243</v>
      </c>
      <c r="M15170" t="s">
        <v>44050</v>
      </c>
      <c r="N15170" t="s">
        <v>45095</v>
      </c>
      <c r="O15170" t="s">
        <v>45096</v>
      </c>
      <c r="Q15170">
        <v>124</v>
      </c>
      <c r="R15170" t="s">
        <v>45179</v>
      </c>
      <c r="S15170" t="s">
        <v>46657</v>
      </c>
      <c r="T15170" t="s">
        <v>47154</v>
      </c>
      <c r="U15170" t="s">
        <v>59640</v>
      </c>
      <c r="W15170" t="s">
        <v>44050</v>
      </c>
      <c r="X15170" t="s">
        <v>45182</v>
      </c>
    </row>
    <row r="15171" spans="1:24">
      <c r="A15171">
        <f>HYPERLINK("https://www.philgeps.gov.ph/GEPSNONPILOT/Tender/SplashBidNoticeAbstractUI.aspx?menuIndex=3&amp;refID=6911284&amp;Result=3","6911284")</f>
        <v>0</v>
      </c>
      <c r="B15171" t="s">
        <v>558</v>
      </c>
      <c r="C15171" t="s">
        <v>17737</v>
      </c>
      <c r="D15171" t="s">
        <v>18053</v>
      </c>
      <c r="E15171" t="s">
        <v>31327</v>
      </c>
      <c r="F15171" t="s">
        <v>31574</v>
      </c>
      <c r="G15171" t="s">
        <v>31582</v>
      </c>
      <c r="H15171" t="s">
        <v>31591</v>
      </c>
      <c r="I15171" t="s">
        <v>8822</v>
      </c>
      <c r="J15171" t="s">
        <v>34707</v>
      </c>
      <c r="K15171" t="s">
        <v>41427</v>
      </c>
      <c r="M15171" t="s">
        <v>42057</v>
      </c>
      <c r="N15171" t="s">
        <v>45095</v>
      </c>
      <c r="O15171" t="s">
        <v>45096</v>
      </c>
      <c r="Q15171">
        <v>2</v>
      </c>
      <c r="R15171" t="s">
        <v>45178</v>
      </c>
      <c r="S15171" t="s">
        <v>45337</v>
      </c>
      <c r="T15171" t="s">
        <v>46952</v>
      </c>
      <c r="U15171" t="s">
        <v>59641</v>
      </c>
      <c r="W15171" t="s">
        <v>42057</v>
      </c>
      <c r="X15171" t="s">
        <v>45179</v>
      </c>
    </row>
    <row r="15172" spans="1:24">
      <c r="A15172">
        <f>HYPERLINK("https://www.philgeps.gov.ph/GEPSNONPILOT/Tender/SplashBidNoticeAbstractUI.aspx?menuIndex=3&amp;refID=6900250&amp;Result=3","6900250")</f>
        <v>0</v>
      </c>
      <c r="B15172" t="s">
        <v>2338</v>
      </c>
      <c r="C15172" t="s">
        <v>17738</v>
      </c>
      <c r="D15172" t="s">
        <v>18022</v>
      </c>
      <c r="E15172" t="s">
        <v>31328</v>
      </c>
      <c r="F15172" t="s">
        <v>31574</v>
      </c>
      <c r="G15172" t="s">
        <v>31582</v>
      </c>
      <c r="H15172" t="s">
        <v>31591</v>
      </c>
      <c r="I15172" t="s">
        <v>8822</v>
      </c>
      <c r="J15172" t="s">
        <v>41002</v>
      </c>
      <c r="K15172" t="s">
        <v>41198</v>
      </c>
      <c r="M15172" t="s">
        <v>44050</v>
      </c>
      <c r="N15172" t="s">
        <v>45095</v>
      </c>
      <c r="O15172" t="s">
        <v>45096</v>
      </c>
      <c r="Q15172">
        <v>119</v>
      </c>
      <c r="R15172" t="s">
        <v>45179</v>
      </c>
      <c r="S15172" t="s">
        <v>46658</v>
      </c>
      <c r="T15172" t="s">
        <v>47154</v>
      </c>
      <c r="U15172" t="s">
        <v>59642</v>
      </c>
      <c r="W15172" t="s">
        <v>44050</v>
      </c>
      <c r="X15172" t="s">
        <v>45182</v>
      </c>
    </row>
    <row r="15173" spans="1:24">
      <c r="A15173">
        <f>HYPERLINK("https://www.philgeps.gov.ph/GEPSNONPILOT/Tender/SplashBidNoticeAbstractUI.aspx?menuIndex=3&amp;refID=6912208&amp;Result=3","6912208")</f>
        <v>0</v>
      </c>
      <c r="B15173" t="s">
        <v>348</v>
      </c>
      <c r="C15173" t="s">
        <v>17739</v>
      </c>
      <c r="D15173" t="s">
        <v>18065</v>
      </c>
      <c r="E15173" t="s">
        <v>31329</v>
      </c>
      <c r="F15173" t="s">
        <v>31574</v>
      </c>
      <c r="G15173" t="s">
        <v>31582</v>
      </c>
      <c r="H15173" t="s">
        <v>31590</v>
      </c>
      <c r="I15173" t="s">
        <v>31703</v>
      </c>
      <c r="J15173" t="s">
        <v>41003</v>
      </c>
      <c r="K15173" t="s">
        <v>41192</v>
      </c>
      <c r="M15173" t="s">
        <v>45063</v>
      </c>
      <c r="N15173" t="s">
        <v>45095</v>
      </c>
      <c r="O15173" t="s">
        <v>45096</v>
      </c>
      <c r="Q15173">
        <v>8</v>
      </c>
      <c r="R15173" t="s">
        <v>45178</v>
      </c>
      <c r="S15173" t="s">
        <v>46659</v>
      </c>
      <c r="T15173" t="s">
        <v>46913</v>
      </c>
      <c r="U15173" t="s">
        <v>59643</v>
      </c>
      <c r="W15173" t="s">
        <v>45063</v>
      </c>
      <c r="X15173" t="s">
        <v>45179</v>
      </c>
    </row>
    <row r="15174" spans="1:24">
      <c r="A15174">
        <f>HYPERLINK("https://www.philgeps.gov.ph/GEPSNONPILOT/Tender/SplashBidNoticeAbstractUI.aspx?menuIndex=3&amp;refID=6900283&amp;Result=3","6900283")</f>
        <v>0</v>
      </c>
      <c r="B15174" t="s">
        <v>2338</v>
      </c>
      <c r="C15174" t="s">
        <v>17740</v>
      </c>
      <c r="D15174" t="s">
        <v>18022</v>
      </c>
      <c r="E15174" t="s">
        <v>31330</v>
      </c>
      <c r="F15174" t="s">
        <v>31574</v>
      </c>
      <c r="G15174" t="s">
        <v>31582</v>
      </c>
      <c r="H15174" t="s">
        <v>31591</v>
      </c>
      <c r="I15174" t="s">
        <v>8822</v>
      </c>
      <c r="J15174" t="s">
        <v>41004</v>
      </c>
      <c r="K15174" t="s">
        <v>41243</v>
      </c>
      <c r="M15174" t="s">
        <v>44050</v>
      </c>
      <c r="N15174" t="s">
        <v>45095</v>
      </c>
      <c r="O15174" t="s">
        <v>45096</v>
      </c>
      <c r="Q15174">
        <v>112</v>
      </c>
      <c r="R15174" t="s">
        <v>45179</v>
      </c>
      <c r="S15174" t="s">
        <v>46660</v>
      </c>
      <c r="T15174" t="s">
        <v>47154</v>
      </c>
      <c r="U15174" t="s">
        <v>59644</v>
      </c>
      <c r="W15174" t="s">
        <v>44050</v>
      </c>
      <c r="X15174" t="s">
        <v>45182</v>
      </c>
    </row>
    <row r="15175" spans="1:24">
      <c r="A15175">
        <f>HYPERLINK("https://www.philgeps.gov.ph/GEPSNONPILOT/Tender/SplashBidNoticeAbstractUI.aspx?menuIndex=3&amp;refID=6900277&amp;Result=3","6900277")</f>
        <v>0</v>
      </c>
      <c r="B15175" t="s">
        <v>2338</v>
      </c>
      <c r="C15175" t="s">
        <v>17741</v>
      </c>
      <c r="D15175" t="s">
        <v>18022</v>
      </c>
      <c r="E15175" t="s">
        <v>31331</v>
      </c>
      <c r="F15175" t="s">
        <v>31574</v>
      </c>
      <c r="G15175" t="s">
        <v>31582</v>
      </c>
      <c r="H15175" t="s">
        <v>31591</v>
      </c>
      <c r="I15175" t="s">
        <v>8822</v>
      </c>
      <c r="J15175" t="s">
        <v>41005</v>
      </c>
      <c r="K15175" t="s">
        <v>41243</v>
      </c>
      <c r="M15175" t="s">
        <v>44050</v>
      </c>
      <c r="N15175" t="s">
        <v>45095</v>
      </c>
      <c r="O15175" t="s">
        <v>45096</v>
      </c>
      <c r="Q15175">
        <v>109</v>
      </c>
      <c r="R15175" t="s">
        <v>45179</v>
      </c>
      <c r="S15175" t="s">
        <v>46661</v>
      </c>
      <c r="T15175" t="s">
        <v>47154</v>
      </c>
      <c r="U15175" t="s">
        <v>59645</v>
      </c>
      <c r="W15175" t="s">
        <v>44050</v>
      </c>
      <c r="X15175" t="s">
        <v>45182</v>
      </c>
    </row>
    <row r="15176" spans="1:24">
      <c r="A15176">
        <f>HYPERLINK("https://www.philgeps.gov.ph/GEPSNONPILOT/Tender/SplashBidNoticeAbstractUI.aspx?menuIndex=3&amp;refID=6898870&amp;Result=3","6898870")</f>
        <v>0</v>
      </c>
      <c r="B15176" t="s">
        <v>1396</v>
      </c>
      <c r="C15176" t="s">
        <v>17742</v>
      </c>
      <c r="E15176" t="s">
        <v>31332</v>
      </c>
      <c r="F15176" t="s">
        <v>31574</v>
      </c>
      <c r="G15176" t="s">
        <v>31582</v>
      </c>
      <c r="H15176" t="s">
        <v>31590</v>
      </c>
      <c r="I15176" t="s">
        <v>31667</v>
      </c>
      <c r="J15176" t="s">
        <v>41006</v>
      </c>
      <c r="K15176" t="s">
        <v>41184</v>
      </c>
      <c r="M15176" t="s">
        <v>45064</v>
      </c>
      <c r="N15176" t="s">
        <v>45095</v>
      </c>
      <c r="O15176" t="s">
        <v>45096</v>
      </c>
      <c r="Q15176">
        <v>8</v>
      </c>
      <c r="R15176" t="s">
        <v>45179</v>
      </c>
      <c r="S15176" t="s">
        <v>46662</v>
      </c>
      <c r="T15176" t="s">
        <v>47194</v>
      </c>
      <c r="U15176" t="s">
        <v>59646</v>
      </c>
      <c r="W15176" t="s">
        <v>45064</v>
      </c>
      <c r="X15176" t="s">
        <v>45183</v>
      </c>
    </row>
    <row r="15177" spans="1:24">
      <c r="A15177">
        <f>HYPERLINK("https://www.philgeps.gov.ph/GEPSNONPILOT/Tender/SplashBidNoticeAbstractUI.aspx?menuIndex=3&amp;refID=6905105&amp;Result=3","6905105")</f>
        <v>0</v>
      </c>
      <c r="B15177" t="s">
        <v>2092</v>
      </c>
      <c r="C15177" t="s">
        <v>17743</v>
      </c>
      <c r="D15177" t="s">
        <v>18030</v>
      </c>
      <c r="E15177" t="s">
        <v>31333</v>
      </c>
      <c r="F15177" t="s">
        <v>31574</v>
      </c>
      <c r="G15177" t="s">
        <v>31582</v>
      </c>
      <c r="H15177" t="s">
        <v>31592</v>
      </c>
      <c r="I15177" t="s">
        <v>31686</v>
      </c>
      <c r="J15177" t="s">
        <v>41007</v>
      </c>
      <c r="K15177" t="s">
        <v>41200</v>
      </c>
      <c r="M15177" t="s">
        <v>43900</v>
      </c>
      <c r="N15177" t="s">
        <v>45095</v>
      </c>
      <c r="O15177" t="s">
        <v>45096</v>
      </c>
      <c r="Q15177">
        <v>7</v>
      </c>
      <c r="R15177" t="s">
        <v>45179</v>
      </c>
      <c r="S15177" t="s">
        <v>46663</v>
      </c>
      <c r="T15177" t="s">
        <v>46963</v>
      </c>
      <c r="U15177" t="s">
        <v>53298</v>
      </c>
      <c r="V15177" t="s">
        <v>60962</v>
      </c>
      <c r="W15177" t="s">
        <v>43900</v>
      </c>
      <c r="X15177" t="s">
        <v>45180</v>
      </c>
    </row>
    <row r="15178" spans="1:24">
      <c r="A15178">
        <f>HYPERLINK("https://www.philgeps.gov.ph/GEPSNONPILOT/Tender/SplashBidNoticeAbstractUI.aspx?menuIndex=3&amp;refID=6905733&amp;Result=3","6905733")</f>
        <v>0</v>
      </c>
      <c r="B15178" t="s">
        <v>438</v>
      </c>
      <c r="C15178" t="s">
        <v>17744</v>
      </c>
      <c r="D15178" t="s">
        <v>18040</v>
      </c>
      <c r="E15178" t="s">
        <v>28932</v>
      </c>
      <c r="F15178" t="s">
        <v>31574</v>
      </c>
      <c r="G15178" t="s">
        <v>31582</v>
      </c>
      <c r="H15178" t="s">
        <v>31591</v>
      </c>
      <c r="I15178" t="s">
        <v>8822</v>
      </c>
      <c r="J15178" t="s">
        <v>33193</v>
      </c>
      <c r="K15178" t="s">
        <v>41412</v>
      </c>
      <c r="M15178" t="s">
        <v>41931</v>
      </c>
      <c r="N15178" t="s">
        <v>45095</v>
      </c>
      <c r="O15178" t="s">
        <v>45096</v>
      </c>
      <c r="Q15178">
        <v>1</v>
      </c>
      <c r="R15178" t="s">
        <v>45179</v>
      </c>
      <c r="S15178" t="s">
        <v>46664</v>
      </c>
      <c r="T15178" t="s">
        <v>47452</v>
      </c>
      <c r="U15178" t="s">
        <v>59647</v>
      </c>
      <c r="W15178" t="s">
        <v>41931</v>
      </c>
      <c r="X15178" t="s">
        <v>45180</v>
      </c>
    </row>
    <row r="15179" spans="1:24">
      <c r="A15179">
        <f>HYPERLINK("https://www.philgeps.gov.ph/GEPSNONPILOT/Tender/SplashBidNoticeAbstractUI.aspx?menuIndex=3&amp;refID=6900287&amp;Result=3","6900287")</f>
        <v>0</v>
      </c>
      <c r="B15179" t="s">
        <v>2338</v>
      </c>
      <c r="C15179" t="s">
        <v>17745</v>
      </c>
      <c r="D15179" t="s">
        <v>18022</v>
      </c>
      <c r="E15179" t="s">
        <v>31334</v>
      </c>
      <c r="F15179" t="s">
        <v>31574</v>
      </c>
      <c r="G15179" t="s">
        <v>31582</v>
      </c>
      <c r="H15179" t="s">
        <v>31591</v>
      </c>
      <c r="I15179" t="s">
        <v>8822</v>
      </c>
      <c r="J15179" t="s">
        <v>41008</v>
      </c>
      <c r="K15179" t="s">
        <v>41189</v>
      </c>
      <c r="M15179" t="s">
        <v>44050</v>
      </c>
      <c r="N15179" t="s">
        <v>45095</v>
      </c>
      <c r="O15179" t="s">
        <v>45096</v>
      </c>
      <c r="Q15179">
        <v>60</v>
      </c>
      <c r="R15179" t="s">
        <v>45179</v>
      </c>
      <c r="S15179" t="s">
        <v>46665</v>
      </c>
      <c r="T15179" t="s">
        <v>47154</v>
      </c>
      <c r="U15179" t="s">
        <v>59648</v>
      </c>
      <c r="W15179" t="s">
        <v>44050</v>
      </c>
      <c r="X15179" t="s">
        <v>45182</v>
      </c>
    </row>
    <row r="15180" spans="1:24">
      <c r="A15180">
        <f>HYPERLINK("https://www.philgeps.gov.ph/GEPSNONPILOT/Tender/SplashBidNoticeAbstractUI.aspx?menuIndex=3&amp;refID=6900279&amp;Result=3","6900279")</f>
        <v>0</v>
      </c>
      <c r="B15180" t="s">
        <v>2338</v>
      </c>
      <c r="C15180" t="s">
        <v>17746</v>
      </c>
      <c r="D15180" t="s">
        <v>18022</v>
      </c>
      <c r="E15180" t="s">
        <v>31335</v>
      </c>
      <c r="F15180" t="s">
        <v>31574</v>
      </c>
      <c r="G15180" t="s">
        <v>31582</v>
      </c>
      <c r="H15180" t="s">
        <v>31591</v>
      </c>
      <c r="I15180" t="s">
        <v>8822</v>
      </c>
      <c r="J15180" t="s">
        <v>41009</v>
      </c>
      <c r="K15180" t="s">
        <v>41243</v>
      </c>
      <c r="M15180" t="s">
        <v>44050</v>
      </c>
      <c r="N15180" t="s">
        <v>45095</v>
      </c>
      <c r="O15180" t="s">
        <v>45096</v>
      </c>
      <c r="Q15180">
        <v>122</v>
      </c>
      <c r="R15180" t="s">
        <v>45179</v>
      </c>
      <c r="S15180" t="s">
        <v>46666</v>
      </c>
      <c r="T15180" t="s">
        <v>47154</v>
      </c>
      <c r="U15180" t="s">
        <v>59649</v>
      </c>
      <c r="W15180" t="s">
        <v>44050</v>
      </c>
      <c r="X15180" t="s">
        <v>45182</v>
      </c>
    </row>
    <row r="15181" spans="1:24">
      <c r="A15181">
        <f>HYPERLINK("https://www.philgeps.gov.ph/GEPSNONPILOT/Tender/SplashBidNoticeAbstractUI.aspx?menuIndex=3&amp;refID=6905544&amp;Result=3","6905544")</f>
        <v>0</v>
      </c>
      <c r="B15181" t="s">
        <v>2092</v>
      </c>
      <c r="C15181" t="s">
        <v>17747</v>
      </c>
      <c r="D15181" t="s">
        <v>18030</v>
      </c>
      <c r="E15181" t="s">
        <v>31336</v>
      </c>
      <c r="F15181" t="s">
        <v>31574</v>
      </c>
      <c r="G15181" t="s">
        <v>31582</v>
      </c>
      <c r="H15181" t="s">
        <v>31592</v>
      </c>
      <c r="I15181" t="s">
        <v>31686</v>
      </c>
      <c r="J15181" t="s">
        <v>41010</v>
      </c>
      <c r="K15181" t="s">
        <v>41200</v>
      </c>
      <c r="M15181" t="s">
        <v>43900</v>
      </c>
      <c r="N15181" t="s">
        <v>45095</v>
      </c>
      <c r="O15181" t="s">
        <v>45096</v>
      </c>
      <c r="Q15181">
        <v>4</v>
      </c>
      <c r="R15181" t="s">
        <v>45179</v>
      </c>
      <c r="S15181" t="s">
        <v>46667</v>
      </c>
      <c r="T15181" t="s">
        <v>46963</v>
      </c>
      <c r="U15181" t="s">
        <v>53298</v>
      </c>
      <c r="V15181" t="s">
        <v>60604</v>
      </c>
      <c r="W15181" t="s">
        <v>43900</v>
      </c>
      <c r="X15181" t="s">
        <v>45180</v>
      </c>
    </row>
    <row r="15182" spans="1:24">
      <c r="A15182">
        <f>HYPERLINK("https://www.philgeps.gov.ph/GEPSNONPILOT/Tender/SplashBidNoticeAbstractUI.aspx?menuIndex=3&amp;refID=6905836&amp;Result=3","6905836")</f>
        <v>0</v>
      </c>
      <c r="B15182" t="s">
        <v>3179</v>
      </c>
      <c r="C15182" t="s">
        <v>17748</v>
      </c>
      <c r="E15182" t="s">
        <v>31337</v>
      </c>
      <c r="F15182" t="s">
        <v>31574</v>
      </c>
      <c r="G15182" t="s">
        <v>31582</v>
      </c>
      <c r="H15182" t="s">
        <v>31590</v>
      </c>
      <c r="I15182" t="s">
        <v>31609</v>
      </c>
      <c r="J15182" t="s">
        <v>32026</v>
      </c>
      <c r="K15182" t="s">
        <v>41184</v>
      </c>
      <c r="M15182" t="s">
        <v>45065</v>
      </c>
      <c r="N15182" t="s">
        <v>45095</v>
      </c>
      <c r="O15182" t="s">
        <v>45096</v>
      </c>
      <c r="Q15182">
        <v>17</v>
      </c>
      <c r="R15182" t="s">
        <v>45179</v>
      </c>
      <c r="S15182" t="s">
        <v>46668</v>
      </c>
      <c r="T15182" t="s">
        <v>47154</v>
      </c>
      <c r="U15182" t="s">
        <v>59650</v>
      </c>
      <c r="W15182" t="s">
        <v>45065</v>
      </c>
      <c r="X15182" t="s">
        <v>45180</v>
      </c>
    </row>
    <row r="15183" spans="1:24">
      <c r="A15183">
        <f>HYPERLINK("https://www.philgeps.gov.ph/GEPSNONPILOT/Tender/SplashBidNoticeAbstractUI.aspx?menuIndex=3&amp;refID=6906390&amp;Result=3","6906390")</f>
        <v>0</v>
      </c>
      <c r="B15183" t="s">
        <v>3165</v>
      </c>
      <c r="C15183" t="s">
        <v>17749</v>
      </c>
      <c r="D15183" t="s">
        <v>18084</v>
      </c>
      <c r="E15183" t="s">
        <v>31338</v>
      </c>
      <c r="F15183" t="s">
        <v>31574</v>
      </c>
      <c r="G15183" t="s">
        <v>31588</v>
      </c>
      <c r="H15183" t="s">
        <v>31590</v>
      </c>
      <c r="I15183" t="s">
        <v>31629</v>
      </c>
      <c r="J15183" t="s">
        <v>41011</v>
      </c>
      <c r="K15183" t="s">
        <v>41210</v>
      </c>
      <c r="M15183" t="s">
        <v>45034</v>
      </c>
      <c r="N15183" t="s">
        <v>45095</v>
      </c>
      <c r="O15183" t="s">
        <v>45096</v>
      </c>
      <c r="Q15183">
        <v>6</v>
      </c>
      <c r="R15183" t="s">
        <v>45179</v>
      </c>
      <c r="S15183" t="s">
        <v>45394</v>
      </c>
      <c r="T15183" t="s">
        <v>46908</v>
      </c>
      <c r="U15183" t="s">
        <v>59651</v>
      </c>
      <c r="W15183" t="s">
        <v>45034</v>
      </c>
      <c r="X15183" t="s">
        <v>45180</v>
      </c>
    </row>
    <row r="15184" spans="1:24">
      <c r="A15184">
        <f>HYPERLINK("https://www.philgeps.gov.ph/GEPSNONPILOT/Tender/SplashBidNoticeAbstractUI.aspx?menuIndex=3&amp;refID=6906186&amp;Result=3","6906186")</f>
        <v>0</v>
      </c>
      <c r="B15184" t="s">
        <v>438</v>
      </c>
      <c r="C15184" t="s">
        <v>17750</v>
      </c>
      <c r="D15184" t="s">
        <v>18040</v>
      </c>
      <c r="E15184" t="s">
        <v>28932</v>
      </c>
      <c r="F15184" t="s">
        <v>31574</v>
      </c>
      <c r="G15184" t="s">
        <v>31582</v>
      </c>
      <c r="H15184" t="s">
        <v>31591</v>
      </c>
      <c r="I15184" t="s">
        <v>8822</v>
      </c>
      <c r="J15184" t="s">
        <v>41012</v>
      </c>
      <c r="K15184" t="s">
        <v>41285</v>
      </c>
      <c r="M15184" t="s">
        <v>41931</v>
      </c>
      <c r="N15184" t="s">
        <v>45095</v>
      </c>
      <c r="O15184" t="s">
        <v>45096</v>
      </c>
      <c r="Q15184">
        <v>1</v>
      </c>
      <c r="R15184" t="s">
        <v>45179</v>
      </c>
      <c r="S15184" t="s">
        <v>46669</v>
      </c>
      <c r="T15184" t="s">
        <v>47452</v>
      </c>
      <c r="U15184" t="s">
        <v>59652</v>
      </c>
      <c r="W15184" t="s">
        <v>41931</v>
      </c>
      <c r="X15184" t="s">
        <v>45180</v>
      </c>
    </row>
    <row r="15185" spans="1:24">
      <c r="A15185">
        <f>HYPERLINK("https://www.philgeps.gov.ph/GEPSNONPILOT/Tender/SplashBidNoticeAbstractUI.aspx?menuIndex=3&amp;refID=6906806&amp;Result=3","6906806")</f>
        <v>0</v>
      </c>
      <c r="B15185" t="s">
        <v>558</v>
      </c>
      <c r="C15185" t="s">
        <v>17751</v>
      </c>
      <c r="D15185" t="s">
        <v>18053</v>
      </c>
      <c r="E15185" t="s">
        <v>31339</v>
      </c>
      <c r="F15185" t="s">
        <v>31574</v>
      </c>
      <c r="G15185" t="s">
        <v>31582</v>
      </c>
      <c r="H15185" t="s">
        <v>31591</v>
      </c>
      <c r="I15185" t="s">
        <v>8822</v>
      </c>
      <c r="J15185" t="s">
        <v>34070</v>
      </c>
      <c r="K15185" t="s">
        <v>41431</v>
      </c>
      <c r="M15185" t="s">
        <v>42057</v>
      </c>
      <c r="N15185" t="s">
        <v>45095</v>
      </c>
      <c r="O15185" t="s">
        <v>45096</v>
      </c>
      <c r="Q15185">
        <v>1</v>
      </c>
      <c r="R15185" t="s">
        <v>45179</v>
      </c>
      <c r="S15185" t="s">
        <v>46670</v>
      </c>
      <c r="T15185" t="s">
        <v>46952</v>
      </c>
      <c r="U15185" t="s">
        <v>59653</v>
      </c>
      <c r="W15185" t="s">
        <v>42057</v>
      </c>
      <c r="X15185" t="s">
        <v>45180</v>
      </c>
    </row>
    <row r="15186" spans="1:24">
      <c r="A15186">
        <f>HYPERLINK("https://www.philgeps.gov.ph/GEPSNONPILOT/Tender/SplashBidNoticeAbstractUI.aspx?menuIndex=3&amp;refID=6905417&amp;Result=3","6905417")</f>
        <v>0</v>
      </c>
      <c r="B15186" t="s">
        <v>2092</v>
      </c>
      <c r="C15186" t="s">
        <v>17752</v>
      </c>
      <c r="D15186" t="s">
        <v>18030</v>
      </c>
      <c r="E15186" t="s">
        <v>31340</v>
      </c>
      <c r="F15186" t="s">
        <v>31574</v>
      </c>
      <c r="G15186" t="s">
        <v>31582</v>
      </c>
      <c r="H15186" t="s">
        <v>31592</v>
      </c>
      <c r="I15186" t="s">
        <v>31686</v>
      </c>
      <c r="J15186" t="s">
        <v>41013</v>
      </c>
      <c r="K15186" t="s">
        <v>41200</v>
      </c>
      <c r="M15186" t="s">
        <v>43900</v>
      </c>
      <c r="N15186" t="s">
        <v>45095</v>
      </c>
      <c r="O15186" t="s">
        <v>45096</v>
      </c>
      <c r="Q15186">
        <v>6</v>
      </c>
      <c r="R15186" t="s">
        <v>45179</v>
      </c>
      <c r="S15186" t="s">
        <v>46671</v>
      </c>
      <c r="T15186" t="s">
        <v>46963</v>
      </c>
      <c r="U15186" t="s">
        <v>53298</v>
      </c>
      <c r="V15186" t="s">
        <v>60962</v>
      </c>
      <c r="W15186" t="s">
        <v>43900</v>
      </c>
      <c r="X15186" t="s">
        <v>45180</v>
      </c>
    </row>
    <row r="15187" spans="1:24">
      <c r="A15187">
        <f>HYPERLINK("https://www.philgeps.gov.ph/GEPSNONPILOT/Tender/SplashBidNoticeAbstractUI.aspx?menuIndex=3&amp;refID=6905957&amp;Result=3","6905957")</f>
        <v>0</v>
      </c>
      <c r="B15187" t="s">
        <v>438</v>
      </c>
      <c r="C15187" t="s">
        <v>17753</v>
      </c>
      <c r="D15187" t="s">
        <v>18040</v>
      </c>
      <c r="E15187" t="s">
        <v>28932</v>
      </c>
      <c r="F15187" t="s">
        <v>31574</v>
      </c>
      <c r="G15187" t="s">
        <v>31582</v>
      </c>
      <c r="H15187" t="s">
        <v>31591</v>
      </c>
      <c r="I15187" t="s">
        <v>8822</v>
      </c>
      <c r="J15187" t="s">
        <v>41014</v>
      </c>
      <c r="K15187" t="s">
        <v>41363</v>
      </c>
      <c r="M15187" t="s">
        <v>41931</v>
      </c>
      <c r="N15187" t="s">
        <v>45095</v>
      </c>
      <c r="O15187" t="s">
        <v>45096</v>
      </c>
      <c r="Q15187">
        <v>4</v>
      </c>
      <c r="R15187" t="s">
        <v>45179</v>
      </c>
      <c r="S15187" t="s">
        <v>46672</v>
      </c>
      <c r="T15187" t="s">
        <v>47452</v>
      </c>
      <c r="U15187" t="s">
        <v>59654</v>
      </c>
      <c r="W15187" t="s">
        <v>41931</v>
      </c>
      <c r="X15187" t="s">
        <v>45180</v>
      </c>
    </row>
    <row r="15188" spans="1:24">
      <c r="A15188">
        <f>HYPERLINK("https://www.philgeps.gov.ph/GEPSNONPILOT/Tender/SplashBidNoticeAbstractUI.aspx?menuIndex=3&amp;refID=6906854&amp;Result=3","6906854")</f>
        <v>0</v>
      </c>
      <c r="B15188" t="s">
        <v>1293</v>
      </c>
      <c r="C15188" t="s">
        <v>17754</v>
      </c>
      <c r="D15188" t="s">
        <v>18022</v>
      </c>
      <c r="E15188" t="s">
        <v>31341</v>
      </c>
      <c r="F15188" t="s">
        <v>31574</v>
      </c>
      <c r="G15188" t="s">
        <v>31584</v>
      </c>
      <c r="H15188" t="s">
        <v>31590</v>
      </c>
      <c r="I15188" t="s">
        <v>31616</v>
      </c>
      <c r="J15188" t="s">
        <v>41015</v>
      </c>
      <c r="K15188" t="s">
        <v>41193</v>
      </c>
      <c r="M15188" t="s">
        <v>45066</v>
      </c>
      <c r="N15188" t="s">
        <v>45095</v>
      </c>
      <c r="O15188" t="s">
        <v>45096</v>
      </c>
      <c r="Q15188">
        <v>3</v>
      </c>
      <c r="R15188" t="s">
        <v>45179</v>
      </c>
      <c r="S15188" t="s">
        <v>46673</v>
      </c>
      <c r="T15188" t="s">
        <v>47182</v>
      </c>
      <c r="U15188" t="s">
        <v>59655</v>
      </c>
      <c r="W15188" t="s">
        <v>45066</v>
      </c>
      <c r="X15188" t="s">
        <v>45180</v>
      </c>
    </row>
    <row r="15189" spans="1:24">
      <c r="A15189">
        <f>HYPERLINK("https://www.philgeps.gov.ph/GEPSNONPILOT/Tender/SplashBidNoticeAbstractUI.aspx?menuIndex=3&amp;refID=6900271&amp;Result=3","6900271")</f>
        <v>0</v>
      </c>
      <c r="B15189" t="s">
        <v>2338</v>
      </c>
      <c r="C15189" t="s">
        <v>17755</v>
      </c>
      <c r="D15189" t="s">
        <v>18022</v>
      </c>
      <c r="E15189" t="s">
        <v>31342</v>
      </c>
      <c r="F15189" t="s">
        <v>31574</v>
      </c>
      <c r="G15189" t="s">
        <v>31582</v>
      </c>
      <c r="H15189" t="s">
        <v>31591</v>
      </c>
      <c r="I15189" t="s">
        <v>8822</v>
      </c>
      <c r="J15189" t="s">
        <v>41016</v>
      </c>
      <c r="K15189" t="s">
        <v>41200</v>
      </c>
      <c r="M15189" t="s">
        <v>44050</v>
      </c>
      <c r="N15189" t="s">
        <v>45095</v>
      </c>
      <c r="O15189" t="s">
        <v>45096</v>
      </c>
      <c r="Q15189">
        <v>114</v>
      </c>
      <c r="R15189" t="s">
        <v>45179</v>
      </c>
      <c r="S15189" t="s">
        <v>45921</v>
      </c>
      <c r="T15189" t="s">
        <v>47154</v>
      </c>
      <c r="U15189" t="s">
        <v>59656</v>
      </c>
      <c r="W15189" t="s">
        <v>44050</v>
      </c>
      <c r="X15189" t="s">
        <v>45182</v>
      </c>
    </row>
    <row r="15190" spans="1:24">
      <c r="A15190">
        <f>HYPERLINK("https://www.philgeps.gov.ph/GEPSNONPILOT/Tender/SplashBidNoticeAbstractUI.aspx?menuIndex=3&amp;refID=6905855&amp;Result=3","6905855")</f>
        <v>0</v>
      </c>
      <c r="B15190" t="s">
        <v>438</v>
      </c>
      <c r="C15190" t="s">
        <v>17756</v>
      </c>
      <c r="D15190" t="s">
        <v>18040</v>
      </c>
      <c r="E15190" t="s">
        <v>28932</v>
      </c>
      <c r="F15190" t="s">
        <v>31574</v>
      </c>
      <c r="G15190" t="s">
        <v>31582</v>
      </c>
      <c r="H15190" t="s">
        <v>31591</v>
      </c>
      <c r="I15190" t="s">
        <v>8822</v>
      </c>
      <c r="J15190" t="s">
        <v>41017</v>
      </c>
      <c r="K15190" t="s">
        <v>41219</v>
      </c>
      <c r="M15190" t="s">
        <v>41931</v>
      </c>
      <c r="N15190" t="s">
        <v>45095</v>
      </c>
      <c r="O15190" t="s">
        <v>45096</v>
      </c>
      <c r="Q15190">
        <v>2</v>
      </c>
      <c r="R15190" t="s">
        <v>45179</v>
      </c>
      <c r="S15190" t="s">
        <v>46674</v>
      </c>
      <c r="T15190" t="s">
        <v>47452</v>
      </c>
      <c r="U15190" t="s">
        <v>59657</v>
      </c>
      <c r="W15190" t="s">
        <v>41931</v>
      </c>
      <c r="X15190" t="s">
        <v>45180</v>
      </c>
    </row>
    <row r="15191" spans="1:24">
      <c r="A15191">
        <f>HYPERLINK("https://www.philgeps.gov.ph/GEPSNONPILOT/Tender/SplashBidNoticeAbstractUI.aspx?menuIndex=3&amp;refID=6907716&amp;Result=3","6907716")</f>
        <v>0</v>
      </c>
      <c r="B15191" t="s">
        <v>1396</v>
      </c>
      <c r="C15191" t="s">
        <v>17757</v>
      </c>
      <c r="D15191" t="s">
        <v>18044</v>
      </c>
      <c r="E15191" t="s">
        <v>31343</v>
      </c>
      <c r="F15191" t="s">
        <v>31574</v>
      </c>
      <c r="G15191" t="s">
        <v>31581</v>
      </c>
      <c r="H15191" t="s">
        <v>31590</v>
      </c>
      <c r="I15191" t="s">
        <v>31612</v>
      </c>
      <c r="J15191" t="s">
        <v>31744</v>
      </c>
      <c r="K15191" t="s">
        <v>41184</v>
      </c>
      <c r="M15191" t="s">
        <v>42971</v>
      </c>
      <c r="N15191" t="s">
        <v>45095</v>
      </c>
      <c r="O15191" t="s">
        <v>45096</v>
      </c>
      <c r="Q15191">
        <v>6</v>
      </c>
      <c r="R15191" t="s">
        <v>45179</v>
      </c>
      <c r="S15191" t="s">
        <v>46675</v>
      </c>
      <c r="T15191" t="s">
        <v>47050</v>
      </c>
      <c r="U15191" t="s">
        <v>50848</v>
      </c>
      <c r="W15191" t="s">
        <v>42971</v>
      </c>
      <c r="X15191" t="s">
        <v>45180</v>
      </c>
    </row>
    <row r="15192" spans="1:24">
      <c r="A15192">
        <f>HYPERLINK("https://www.philgeps.gov.ph/GEPSNONPILOT/Tender/SplashBidNoticeAbstractUI.aspx?menuIndex=3&amp;refID=6906471&amp;Result=3","6906471")</f>
        <v>0</v>
      </c>
      <c r="B15192" t="s">
        <v>3165</v>
      </c>
      <c r="C15192" t="s">
        <v>17758</v>
      </c>
      <c r="D15192" t="s">
        <v>18084</v>
      </c>
      <c r="E15192" t="s">
        <v>31338</v>
      </c>
      <c r="F15192" t="s">
        <v>31574</v>
      </c>
      <c r="G15192" t="s">
        <v>31588</v>
      </c>
      <c r="H15192" t="s">
        <v>31590</v>
      </c>
      <c r="I15192" t="s">
        <v>31684</v>
      </c>
      <c r="J15192" t="s">
        <v>41018</v>
      </c>
      <c r="K15192" t="s">
        <v>41210</v>
      </c>
      <c r="M15192" t="s">
        <v>45034</v>
      </c>
      <c r="N15192" t="s">
        <v>45095</v>
      </c>
      <c r="O15192" t="s">
        <v>45096</v>
      </c>
      <c r="Q15192">
        <v>7</v>
      </c>
      <c r="R15192" t="s">
        <v>45179</v>
      </c>
      <c r="S15192" t="s">
        <v>45395</v>
      </c>
      <c r="T15192" t="s">
        <v>46908</v>
      </c>
      <c r="U15192" t="s">
        <v>59651</v>
      </c>
      <c r="W15192" t="s">
        <v>45034</v>
      </c>
      <c r="X15192" t="s">
        <v>45180</v>
      </c>
    </row>
    <row r="15193" spans="1:24">
      <c r="A15193">
        <f>HYPERLINK("https://www.philgeps.gov.ph/GEPSNONPILOT/Tender/SplashBidNoticeAbstractUI.aspx?menuIndex=3&amp;refID=6900266&amp;Result=3","6900266")</f>
        <v>0</v>
      </c>
      <c r="B15193" t="s">
        <v>2338</v>
      </c>
      <c r="C15193" t="s">
        <v>17759</v>
      </c>
      <c r="D15193" t="s">
        <v>18022</v>
      </c>
      <c r="E15193" t="s">
        <v>31344</v>
      </c>
      <c r="F15193" t="s">
        <v>31574</v>
      </c>
      <c r="G15193" t="s">
        <v>31582</v>
      </c>
      <c r="H15193" t="s">
        <v>31591</v>
      </c>
      <c r="I15193" t="s">
        <v>8822</v>
      </c>
      <c r="J15193" t="s">
        <v>41019</v>
      </c>
      <c r="K15193" t="s">
        <v>41256</v>
      </c>
      <c r="M15193" t="s">
        <v>44050</v>
      </c>
      <c r="N15193" t="s">
        <v>45095</v>
      </c>
      <c r="O15193" t="s">
        <v>45096</v>
      </c>
      <c r="Q15193">
        <v>77</v>
      </c>
      <c r="R15193" t="s">
        <v>45179</v>
      </c>
      <c r="S15193" t="s">
        <v>46676</v>
      </c>
      <c r="T15193" t="s">
        <v>47154</v>
      </c>
      <c r="U15193" t="s">
        <v>59658</v>
      </c>
      <c r="W15193" t="s">
        <v>44050</v>
      </c>
      <c r="X15193" t="s">
        <v>45182</v>
      </c>
    </row>
    <row r="15194" spans="1:24">
      <c r="A15194">
        <f>HYPERLINK("https://www.philgeps.gov.ph/GEPSNONPILOT/Tender/SplashBidNoticeAbstractUI.aspx?menuIndex=3&amp;refID=6907036&amp;Result=3","6907036")</f>
        <v>0</v>
      </c>
      <c r="B15194" t="s">
        <v>558</v>
      </c>
      <c r="C15194" t="s">
        <v>17760</v>
      </c>
      <c r="D15194" t="s">
        <v>18053</v>
      </c>
      <c r="E15194" t="s">
        <v>31345</v>
      </c>
      <c r="F15194" t="s">
        <v>31574</v>
      </c>
      <c r="G15194" t="s">
        <v>31582</v>
      </c>
      <c r="H15194" t="s">
        <v>31591</v>
      </c>
      <c r="I15194" t="s">
        <v>8822</v>
      </c>
      <c r="J15194" t="s">
        <v>34707</v>
      </c>
      <c r="K15194" t="s">
        <v>41205</v>
      </c>
      <c r="M15194" t="s">
        <v>42057</v>
      </c>
      <c r="N15194" t="s">
        <v>45095</v>
      </c>
      <c r="O15194" t="s">
        <v>45096</v>
      </c>
      <c r="Q15194">
        <v>0</v>
      </c>
      <c r="R15194" t="s">
        <v>45179</v>
      </c>
      <c r="S15194" t="s">
        <v>46677</v>
      </c>
      <c r="T15194" t="s">
        <v>46952</v>
      </c>
      <c r="U15194" t="s">
        <v>59659</v>
      </c>
      <c r="W15194" t="s">
        <v>42057</v>
      </c>
      <c r="X15194" t="s">
        <v>45180</v>
      </c>
    </row>
    <row r="15195" spans="1:24">
      <c r="A15195">
        <f>HYPERLINK("https://www.philgeps.gov.ph/GEPSNONPILOT/Tender/SplashBidNoticeAbstractUI.aspx?menuIndex=3&amp;refID=6907556&amp;Result=3","6907556")</f>
        <v>0</v>
      </c>
      <c r="B15195" t="s">
        <v>1396</v>
      </c>
      <c r="C15195" t="s">
        <v>17761</v>
      </c>
      <c r="D15195" t="s">
        <v>18106</v>
      </c>
      <c r="E15195" t="s">
        <v>31346</v>
      </c>
      <c r="F15195" t="s">
        <v>31574</v>
      </c>
      <c r="G15195" t="s">
        <v>31581</v>
      </c>
      <c r="H15195" t="s">
        <v>31590</v>
      </c>
      <c r="I15195" t="s">
        <v>8822</v>
      </c>
      <c r="J15195" t="s">
        <v>41020</v>
      </c>
      <c r="K15195" t="s">
        <v>41184</v>
      </c>
      <c r="M15195" t="s">
        <v>42971</v>
      </c>
      <c r="N15195" t="s">
        <v>45095</v>
      </c>
      <c r="O15195" t="s">
        <v>45096</v>
      </c>
      <c r="Q15195">
        <v>3</v>
      </c>
      <c r="R15195" t="s">
        <v>45179</v>
      </c>
      <c r="S15195" t="s">
        <v>46678</v>
      </c>
      <c r="T15195" t="s">
        <v>47050</v>
      </c>
      <c r="U15195" t="s">
        <v>50848</v>
      </c>
      <c r="W15195" t="s">
        <v>42971</v>
      </c>
      <c r="X15195" t="s">
        <v>45180</v>
      </c>
    </row>
    <row r="15196" spans="1:24">
      <c r="A15196">
        <f>HYPERLINK("https://www.philgeps.gov.ph/GEPSNONPILOT/Tender/SplashBidNoticeAbstractUI.aspx?menuIndex=3&amp;refID=6907884&amp;Result=3","6907884")</f>
        <v>0</v>
      </c>
      <c r="B15196" t="s">
        <v>2314</v>
      </c>
      <c r="C15196" t="s">
        <v>17762</v>
      </c>
      <c r="D15196" t="s">
        <v>18044</v>
      </c>
      <c r="E15196" t="s">
        <v>31347</v>
      </c>
      <c r="F15196" t="s">
        <v>31574</v>
      </c>
      <c r="G15196" t="s">
        <v>31582</v>
      </c>
      <c r="H15196" t="s">
        <v>31591</v>
      </c>
      <c r="I15196" t="s">
        <v>8822</v>
      </c>
      <c r="J15196" t="s">
        <v>33252</v>
      </c>
      <c r="K15196" t="s">
        <v>41198</v>
      </c>
      <c r="M15196" t="s">
        <v>44024</v>
      </c>
      <c r="N15196" t="s">
        <v>45095</v>
      </c>
      <c r="O15196" t="s">
        <v>45096</v>
      </c>
      <c r="Q15196">
        <v>12</v>
      </c>
      <c r="R15196" t="s">
        <v>45179</v>
      </c>
      <c r="S15196" t="s">
        <v>46679</v>
      </c>
      <c r="T15196" t="s">
        <v>47154</v>
      </c>
      <c r="U15196" t="s">
        <v>56834</v>
      </c>
      <c r="W15196" t="s">
        <v>44024</v>
      </c>
      <c r="X15196" t="s">
        <v>45180</v>
      </c>
    </row>
    <row r="15197" spans="1:24">
      <c r="A15197">
        <f>HYPERLINK("https://www.philgeps.gov.ph/GEPSNONPILOT/Tender/SplashBidNoticeAbstractUI.aspx?menuIndex=3&amp;refID=6906305&amp;Result=3","6906305")</f>
        <v>0</v>
      </c>
      <c r="B15197" t="s">
        <v>3165</v>
      </c>
      <c r="C15197" t="s">
        <v>17763</v>
      </c>
      <c r="D15197" t="s">
        <v>18084</v>
      </c>
      <c r="E15197" t="s">
        <v>31348</v>
      </c>
      <c r="F15197" t="s">
        <v>31574</v>
      </c>
      <c r="G15197" t="s">
        <v>31588</v>
      </c>
      <c r="H15197" t="s">
        <v>31590</v>
      </c>
      <c r="I15197" t="s">
        <v>31629</v>
      </c>
      <c r="J15197" t="s">
        <v>41021</v>
      </c>
      <c r="K15197" t="s">
        <v>41210</v>
      </c>
      <c r="M15197" t="s">
        <v>45034</v>
      </c>
      <c r="N15197" t="s">
        <v>45095</v>
      </c>
      <c r="O15197" t="s">
        <v>45096</v>
      </c>
      <c r="Q15197">
        <v>13</v>
      </c>
      <c r="R15197" t="s">
        <v>45179</v>
      </c>
      <c r="S15197" t="s">
        <v>46624</v>
      </c>
      <c r="T15197" t="s">
        <v>46908</v>
      </c>
      <c r="U15197" t="s">
        <v>59651</v>
      </c>
      <c r="W15197" t="s">
        <v>45034</v>
      </c>
      <c r="X15197" t="s">
        <v>45180</v>
      </c>
    </row>
    <row r="15198" spans="1:24">
      <c r="A15198">
        <f>HYPERLINK("https://www.philgeps.gov.ph/GEPSNONPILOT/Tender/SplashBidNoticeAbstractUI.aspx?menuIndex=3&amp;refID=6908095&amp;Result=3","6908095")</f>
        <v>0</v>
      </c>
      <c r="B15198" t="s">
        <v>1396</v>
      </c>
      <c r="C15198" t="s">
        <v>17764</v>
      </c>
      <c r="E15198" t="s">
        <v>31349</v>
      </c>
      <c r="F15198" t="s">
        <v>31574</v>
      </c>
      <c r="G15198" t="s">
        <v>31582</v>
      </c>
      <c r="H15198" t="s">
        <v>31590</v>
      </c>
      <c r="I15198" t="s">
        <v>31608</v>
      </c>
      <c r="J15198" t="s">
        <v>41022</v>
      </c>
      <c r="K15198" t="s">
        <v>41184</v>
      </c>
      <c r="M15198" t="s">
        <v>45064</v>
      </c>
      <c r="N15198" t="s">
        <v>45095</v>
      </c>
      <c r="O15198" t="s">
        <v>45096</v>
      </c>
      <c r="Q15198">
        <v>18</v>
      </c>
      <c r="R15198" t="s">
        <v>45179</v>
      </c>
      <c r="S15198" t="s">
        <v>46680</v>
      </c>
      <c r="T15198" t="s">
        <v>47453</v>
      </c>
      <c r="U15198" t="s">
        <v>59660</v>
      </c>
      <c r="W15198" t="s">
        <v>45064</v>
      </c>
      <c r="X15198" t="s">
        <v>45180</v>
      </c>
    </row>
    <row r="15199" spans="1:24">
      <c r="A15199">
        <f>HYPERLINK("https://www.philgeps.gov.ph/GEPSNONPILOT/Tender/SplashBidNoticeAbstractUI.aspx?menuIndex=3&amp;refID=6908404&amp;Result=3","6908404")</f>
        <v>0</v>
      </c>
      <c r="B15199" t="s">
        <v>1503</v>
      </c>
      <c r="C15199" t="s">
        <v>17765</v>
      </c>
      <c r="D15199" t="s">
        <v>18030</v>
      </c>
      <c r="E15199" t="s">
        <v>31350</v>
      </c>
      <c r="F15199" t="s">
        <v>31574</v>
      </c>
      <c r="G15199" t="s">
        <v>31582</v>
      </c>
      <c r="H15199" t="s">
        <v>31591</v>
      </c>
      <c r="I15199" t="s">
        <v>8822</v>
      </c>
      <c r="J15199" t="s">
        <v>41023</v>
      </c>
      <c r="K15199" t="s">
        <v>41342</v>
      </c>
      <c r="M15199" t="s">
        <v>43224</v>
      </c>
      <c r="N15199" t="s">
        <v>45095</v>
      </c>
      <c r="O15199" t="s">
        <v>45096</v>
      </c>
      <c r="Q15199">
        <v>31</v>
      </c>
      <c r="R15199" t="s">
        <v>45179</v>
      </c>
      <c r="S15199" t="s">
        <v>46681</v>
      </c>
      <c r="T15199" t="s">
        <v>47159</v>
      </c>
      <c r="U15199" t="s">
        <v>59661</v>
      </c>
      <c r="V15199" t="s">
        <v>61602</v>
      </c>
      <c r="W15199" t="s">
        <v>43224</v>
      </c>
      <c r="X15199" t="s">
        <v>45180</v>
      </c>
    </row>
    <row r="15200" spans="1:24">
      <c r="A15200">
        <f>HYPERLINK("https://www.philgeps.gov.ph/GEPSNONPILOT/Tender/SplashBidNoticeAbstractUI.aspx?menuIndex=3&amp;refID=6908447&amp;Result=3","6908447")</f>
        <v>0</v>
      </c>
      <c r="B15200" t="s">
        <v>2338</v>
      </c>
      <c r="C15200" t="s">
        <v>17766</v>
      </c>
      <c r="D15200" t="s">
        <v>18022</v>
      </c>
      <c r="E15200" t="s">
        <v>31351</v>
      </c>
      <c r="F15200" t="s">
        <v>31574</v>
      </c>
      <c r="G15200" t="s">
        <v>31582</v>
      </c>
      <c r="H15200" t="s">
        <v>31591</v>
      </c>
      <c r="I15200" t="s">
        <v>8822</v>
      </c>
      <c r="J15200" t="s">
        <v>41024</v>
      </c>
      <c r="K15200" t="s">
        <v>41198</v>
      </c>
      <c r="M15200" t="s">
        <v>44050</v>
      </c>
      <c r="N15200" t="s">
        <v>45095</v>
      </c>
      <c r="O15200" t="s">
        <v>45096</v>
      </c>
      <c r="Q15200">
        <v>75</v>
      </c>
      <c r="R15200" t="s">
        <v>45179</v>
      </c>
      <c r="S15200" t="s">
        <v>46682</v>
      </c>
      <c r="T15200" t="s">
        <v>47154</v>
      </c>
      <c r="U15200" t="s">
        <v>59662</v>
      </c>
      <c r="W15200" t="s">
        <v>44050</v>
      </c>
      <c r="X15200" t="s">
        <v>45180</v>
      </c>
    </row>
    <row r="15201" spans="1:24">
      <c r="A15201">
        <f>HYPERLINK("https://www.philgeps.gov.ph/GEPSNONPILOT/Tender/SplashBidNoticeAbstractUI.aspx?menuIndex=3&amp;refID=6908422&amp;Result=3","6908422")</f>
        <v>0</v>
      </c>
      <c r="B15201" t="s">
        <v>1503</v>
      </c>
      <c r="C15201" t="s">
        <v>17767</v>
      </c>
      <c r="D15201" t="s">
        <v>18030</v>
      </c>
      <c r="E15201" t="s">
        <v>31352</v>
      </c>
      <c r="F15201" t="s">
        <v>31574</v>
      </c>
      <c r="G15201" t="s">
        <v>31582</v>
      </c>
      <c r="H15201" t="s">
        <v>31591</v>
      </c>
      <c r="I15201" t="s">
        <v>8822</v>
      </c>
      <c r="J15201" t="s">
        <v>41025</v>
      </c>
      <c r="K15201" t="s">
        <v>41378</v>
      </c>
      <c r="M15201" t="s">
        <v>43224</v>
      </c>
      <c r="N15201" t="s">
        <v>45095</v>
      </c>
      <c r="O15201" t="s">
        <v>45096</v>
      </c>
      <c r="Q15201">
        <v>29</v>
      </c>
      <c r="R15201" t="s">
        <v>45179</v>
      </c>
      <c r="S15201" t="s">
        <v>46683</v>
      </c>
      <c r="T15201" t="s">
        <v>47159</v>
      </c>
      <c r="U15201" t="s">
        <v>59663</v>
      </c>
      <c r="V15201" t="s">
        <v>61602</v>
      </c>
      <c r="W15201" t="s">
        <v>43224</v>
      </c>
      <c r="X15201" t="s">
        <v>45180</v>
      </c>
    </row>
    <row r="15202" spans="1:24">
      <c r="A15202">
        <f>HYPERLINK("https://www.philgeps.gov.ph/GEPSNONPILOT/Tender/SplashBidNoticeAbstractUI.aspx?menuIndex=3&amp;refID=6907834&amp;Result=3","6907834")</f>
        <v>0</v>
      </c>
      <c r="B15202" t="s">
        <v>2314</v>
      </c>
      <c r="C15202" t="s">
        <v>17768</v>
      </c>
      <c r="D15202" t="s">
        <v>18044</v>
      </c>
      <c r="E15202" t="s">
        <v>31353</v>
      </c>
      <c r="F15202" t="s">
        <v>31574</v>
      </c>
      <c r="G15202" t="s">
        <v>31582</v>
      </c>
      <c r="H15202" t="s">
        <v>31591</v>
      </c>
      <c r="I15202" t="s">
        <v>8822</v>
      </c>
      <c r="J15202" t="s">
        <v>33252</v>
      </c>
      <c r="K15202" t="s">
        <v>41198</v>
      </c>
      <c r="M15202" t="s">
        <v>44024</v>
      </c>
      <c r="N15202" t="s">
        <v>45095</v>
      </c>
      <c r="O15202" t="s">
        <v>45096</v>
      </c>
      <c r="Q15202">
        <v>12</v>
      </c>
      <c r="R15202" t="s">
        <v>45179</v>
      </c>
      <c r="S15202" t="s">
        <v>46684</v>
      </c>
      <c r="T15202" t="s">
        <v>47154</v>
      </c>
      <c r="U15202" t="s">
        <v>56834</v>
      </c>
      <c r="W15202" t="s">
        <v>44024</v>
      </c>
      <c r="X15202" t="s">
        <v>45180</v>
      </c>
    </row>
    <row r="15203" spans="1:24">
      <c r="A15203">
        <f>HYPERLINK("https://www.philgeps.gov.ph/GEPSNONPILOT/Tender/SplashBidNoticeAbstractUI.aspx?menuIndex=3&amp;refID=6908381&amp;Result=3","6908381")</f>
        <v>0</v>
      </c>
      <c r="B15203" t="s">
        <v>800</v>
      </c>
      <c r="C15203" t="s">
        <v>17769</v>
      </c>
      <c r="D15203" t="s">
        <v>18106</v>
      </c>
      <c r="E15203" t="s">
        <v>31354</v>
      </c>
      <c r="F15203" t="s">
        <v>31574</v>
      </c>
      <c r="G15203" t="s">
        <v>31582</v>
      </c>
      <c r="H15203" t="s">
        <v>31591</v>
      </c>
      <c r="I15203" t="s">
        <v>8822</v>
      </c>
      <c r="J15203" t="s">
        <v>41026</v>
      </c>
      <c r="K15203" t="s">
        <v>41189</v>
      </c>
      <c r="M15203" t="s">
        <v>42314</v>
      </c>
      <c r="N15203" t="s">
        <v>45095</v>
      </c>
      <c r="O15203" t="s">
        <v>45096</v>
      </c>
      <c r="Q15203">
        <v>5</v>
      </c>
      <c r="R15203" t="s">
        <v>45179</v>
      </c>
      <c r="S15203" t="s">
        <v>46685</v>
      </c>
      <c r="T15203" t="s">
        <v>47170</v>
      </c>
      <c r="U15203" t="s">
        <v>59664</v>
      </c>
      <c r="V15203" t="s">
        <v>61603</v>
      </c>
      <c r="W15203" t="s">
        <v>42314</v>
      </c>
      <c r="X15203" t="s">
        <v>45180</v>
      </c>
    </row>
    <row r="15204" spans="1:24">
      <c r="A15204">
        <f>HYPERLINK("https://www.philgeps.gov.ph/GEPSNONPILOT/Tender/SplashBidNoticeAbstractUI.aspx?menuIndex=3&amp;refID=6908434&amp;Result=3","6908434")</f>
        <v>0</v>
      </c>
      <c r="B15204" t="s">
        <v>2338</v>
      </c>
      <c r="C15204" t="s">
        <v>17770</v>
      </c>
      <c r="D15204" t="s">
        <v>18022</v>
      </c>
      <c r="E15204" t="s">
        <v>31355</v>
      </c>
      <c r="F15204" t="s">
        <v>31574</v>
      </c>
      <c r="G15204" t="s">
        <v>31582</v>
      </c>
      <c r="H15204" t="s">
        <v>31591</v>
      </c>
      <c r="I15204" t="s">
        <v>8822</v>
      </c>
      <c r="J15204" t="s">
        <v>41027</v>
      </c>
      <c r="K15204" t="s">
        <v>41198</v>
      </c>
      <c r="M15204" t="s">
        <v>44050</v>
      </c>
      <c r="N15204" t="s">
        <v>45095</v>
      </c>
      <c r="O15204" t="s">
        <v>45096</v>
      </c>
      <c r="Q15204">
        <v>106</v>
      </c>
      <c r="R15204" t="s">
        <v>45179</v>
      </c>
      <c r="S15204" t="s">
        <v>46686</v>
      </c>
      <c r="T15204" t="s">
        <v>47154</v>
      </c>
      <c r="U15204" t="s">
        <v>59665</v>
      </c>
      <c r="W15204" t="s">
        <v>44050</v>
      </c>
      <c r="X15204" t="s">
        <v>45180</v>
      </c>
    </row>
    <row r="15205" spans="1:24">
      <c r="A15205">
        <f>HYPERLINK("https://www.philgeps.gov.ph/GEPSNONPILOT/Tender/SplashBidNoticeAbstractUI.aspx?menuIndex=3&amp;refID=6908254&amp;Result=3","6908254")</f>
        <v>0</v>
      </c>
      <c r="B15205" t="s">
        <v>3180</v>
      </c>
      <c r="C15205" t="s">
        <v>17771</v>
      </c>
      <c r="E15205" t="s">
        <v>31356</v>
      </c>
      <c r="F15205" t="s">
        <v>31574</v>
      </c>
      <c r="G15205" t="s">
        <v>31582</v>
      </c>
      <c r="H15205" t="s">
        <v>31591</v>
      </c>
      <c r="I15205" t="s">
        <v>8822</v>
      </c>
      <c r="J15205" t="s">
        <v>41028</v>
      </c>
      <c r="K15205" t="s">
        <v>41202</v>
      </c>
      <c r="M15205" t="s">
        <v>45067</v>
      </c>
      <c r="N15205" t="s">
        <v>45095</v>
      </c>
      <c r="O15205" t="s">
        <v>45096</v>
      </c>
      <c r="Q15205">
        <v>11</v>
      </c>
      <c r="R15205" t="s">
        <v>45179</v>
      </c>
      <c r="S15205" t="s">
        <v>46687</v>
      </c>
      <c r="T15205" t="s">
        <v>46988</v>
      </c>
      <c r="U15205" t="s">
        <v>59666</v>
      </c>
      <c r="W15205" t="s">
        <v>45067</v>
      </c>
      <c r="X15205" t="s">
        <v>45180</v>
      </c>
    </row>
    <row r="15206" spans="1:24">
      <c r="A15206">
        <f>HYPERLINK("https://www.philgeps.gov.ph/GEPSNONPILOT/Tender/SplashBidNoticeAbstractUI.aspx?menuIndex=3&amp;refID=6908324&amp;Result=3","6908324")</f>
        <v>0</v>
      </c>
      <c r="B15206" t="s">
        <v>3156</v>
      </c>
      <c r="C15206" t="s">
        <v>17772</v>
      </c>
      <c r="E15206" t="s">
        <v>31357</v>
      </c>
      <c r="F15206" t="s">
        <v>31574</v>
      </c>
      <c r="G15206" t="s">
        <v>31581</v>
      </c>
      <c r="H15206" t="s">
        <v>31590</v>
      </c>
      <c r="I15206" t="s">
        <v>31595</v>
      </c>
      <c r="J15206" t="s">
        <v>41029</v>
      </c>
      <c r="K15206" t="s">
        <v>41184</v>
      </c>
      <c r="M15206" t="s">
        <v>45021</v>
      </c>
      <c r="N15206" t="s">
        <v>45095</v>
      </c>
      <c r="O15206" t="s">
        <v>45096</v>
      </c>
      <c r="Q15206">
        <v>19</v>
      </c>
      <c r="R15206" t="s">
        <v>45179</v>
      </c>
      <c r="S15206" t="s">
        <v>46688</v>
      </c>
      <c r="T15206" t="s">
        <v>47158</v>
      </c>
      <c r="U15206" t="s">
        <v>59667</v>
      </c>
      <c r="V15206" t="s">
        <v>61604</v>
      </c>
      <c r="W15206" t="s">
        <v>45021</v>
      </c>
      <c r="X15206" t="s">
        <v>45180</v>
      </c>
    </row>
    <row r="15207" spans="1:24">
      <c r="A15207">
        <f>HYPERLINK("https://www.philgeps.gov.ph/GEPSNONPILOT/Tender/SplashBidNoticeAbstractUI.aspx?menuIndex=3&amp;refID=6908443&amp;Result=3","6908443")</f>
        <v>0</v>
      </c>
      <c r="B15207" t="s">
        <v>1503</v>
      </c>
      <c r="C15207" t="s">
        <v>17773</v>
      </c>
      <c r="D15207" t="s">
        <v>18030</v>
      </c>
      <c r="E15207" t="s">
        <v>31358</v>
      </c>
      <c r="F15207" t="s">
        <v>31574</v>
      </c>
      <c r="G15207" t="s">
        <v>31582</v>
      </c>
      <c r="H15207" t="s">
        <v>31591</v>
      </c>
      <c r="I15207" t="s">
        <v>8822</v>
      </c>
      <c r="J15207" t="s">
        <v>41030</v>
      </c>
      <c r="K15207" t="s">
        <v>41256</v>
      </c>
      <c r="M15207" t="s">
        <v>43224</v>
      </c>
      <c r="N15207" t="s">
        <v>45095</v>
      </c>
      <c r="O15207" t="s">
        <v>45096</v>
      </c>
      <c r="Q15207">
        <v>29</v>
      </c>
      <c r="R15207" t="s">
        <v>45179</v>
      </c>
      <c r="S15207" t="s">
        <v>46689</v>
      </c>
      <c r="T15207" t="s">
        <v>47159</v>
      </c>
      <c r="U15207" t="s">
        <v>59668</v>
      </c>
      <c r="V15207" t="s">
        <v>61602</v>
      </c>
      <c r="W15207" t="s">
        <v>43224</v>
      </c>
      <c r="X15207" t="s">
        <v>45180</v>
      </c>
    </row>
    <row r="15208" spans="1:24">
      <c r="A15208">
        <f>HYPERLINK("https://www.philgeps.gov.ph/GEPSNONPILOT/Tender/SplashBidNoticeAbstractUI.aspx?menuIndex=3&amp;refID=6908106&amp;Result=3","6908106")</f>
        <v>0</v>
      </c>
      <c r="B15208" t="s">
        <v>3181</v>
      </c>
      <c r="C15208" t="s">
        <v>17774</v>
      </c>
      <c r="D15208" t="s">
        <v>18057</v>
      </c>
      <c r="E15208" t="s">
        <v>31359</v>
      </c>
      <c r="F15208" t="s">
        <v>31574</v>
      </c>
      <c r="G15208" t="s">
        <v>31585</v>
      </c>
      <c r="H15208" t="s">
        <v>31592</v>
      </c>
      <c r="I15208" t="s">
        <v>31623</v>
      </c>
      <c r="J15208" t="s">
        <v>41031</v>
      </c>
      <c r="K15208" t="s">
        <v>41299</v>
      </c>
      <c r="M15208" t="s">
        <v>45068</v>
      </c>
      <c r="N15208" t="s">
        <v>45095</v>
      </c>
      <c r="O15208" t="s">
        <v>45096</v>
      </c>
      <c r="Q15208">
        <v>3</v>
      </c>
      <c r="R15208" t="s">
        <v>45179</v>
      </c>
      <c r="S15208" t="s">
        <v>46690</v>
      </c>
      <c r="T15208" t="s">
        <v>47171</v>
      </c>
      <c r="U15208" t="s">
        <v>59669</v>
      </c>
      <c r="W15208" t="s">
        <v>45068</v>
      </c>
      <c r="X15208" t="s">
        <v>45180</v>
      </c>
    </row>
    <row r="15209" spans="1:24">
      <c r="A15209">
        <f>HYPERLINK("https://www.philgeps.gov.ph/GEPSNONPILOT/Tender/SplashBidNoticeAbstractUI.aspx?menuIndex=3&amp;refID=6908367&amp;Result=3","6908367")</f>
        <v>0</v>
      </c>
      <c r="B15209" t="s">
        <v>800</v>
      </c>
      <c r="C15209" t="s">
        <v>17775</v>
      </c>
      <c r="D15209" t="s">
        <v>18106</v>
      </c>
      <c r="E15209" t="s">
        <v>31360</v>
      </c>
      <c r="F15209" t="s">
        <v>31574</v>
      </c>
      <c r="G15209" t="s">
        <v>31582</v>
      </c>
      <c r="H15209" t="s">
        <v>31591</v>
      </c>
      <c r="I15209" t="s">
        <v>8822</v>
      </c>
      <c r="J15209" t="s">
        <v>41032</v>
      </c>
      <c r="K15209" t="s">
        <v>41243</v>
      </c>
      <c r="M15209" t="s">
        <v>42314</v>
      </c>
      <c r="N15209" t="s">
        <v>45095</v>
      </c>
      <c r="O15209" t="s">
        <v>45096</v>
      </c>
      <c r="Q15209">
        <v>5</v>
      </c>
      <c r="R15209" t="s">
        <v>45179</v>
      </c>
      <c r="S15209" t="s">
        <v>46691</v>
      </c>
      <c r="T15209" t="s">
        <v>47336</v>
      </c>
      <c r="U15209" t="s">
        <v>59664</v>
      </c>
      <c r="V15209" t="s">
        <v>61605</v>
      </c>
      <c r="W15209" t="s">
        <v>42314</v>
      </c>
      <c r="X15209" t="s">
        <v>45180</v>
      </c>
    </row>
    <row r="15210" spans="1:24">
      <c r="A15210">
        <f>HYPERLINK("https://www.philgeps.gov.ph/GEPSNONPILOT/Tender/SplashBidNoticeAbstractUI.aspx?menuIndex=3&amp;refID=6901014&amp;Result=3","6901014")</f>
        <v>0</v>
      </c>
      <c r="B15210" t="s">
        <v>2196</v>
      </c>
      <c r="C15210" t="s">
        <v>17776</v>
      </c>
      <c r="D15210" t="s">
        <v>18086</v>
      </c>
      <c r="E15210" t="s">
        <v>31361</v>
      </c>
      <c r="F15210" t="s">
        <v>31574</v>
      </c>
      <c r="G15210" t="s">
        <v>31582</v>
      </c>
      <c r="H15210" t="s">
        <v>31591</v>
      </c>
      <c r="I15210" t="s">
        <v>8822</v>
      </c>
      <c r="J15210" t="s">
        <v>41033</v>
      </c>
      <c r="K15210" t="s">
        <v>41415</v>
      </c>
      <c r="M15210" t="s">
        <v>45012</v>
      </c>
      <c r="N15210" t="s">
        <v>45095</v>
      </c>
      <c r="O15210" t="s">
        <v>45096</v>
      </c>
      <c r="Q15210">
        <v>3</v>
      </c>
      <c r="R15210" t="s">
        <v>45180</v>
      </c>
      <c r="S15210" t="s">
        <v>45900</v>
      </c>
      <c r="T15210" t="s">
        <v>47064</v>
      </c>
      <c r="U15210" t="s">
        <v>59670</v>
      </c>
      <c r="V15210" t="s">
        <v>61606</v>
      </c>
      <c r="W15210" t="s">
        <v>45012</v>
      </c>
      <c r="X15210" t="s">
        <v>45181</v>
      </c>
    </row>
    <row r="15211" spans="1:24">
      <c r="A15211">
        <f>HYPERLINK("https://www.philgeps.gov.ph/GEPSNONPILOT/Tender/SplashBidNoticeAbstractUI.aspx?menuIndex=3&amp;refID=6901648&amp;Result=3","6901648")</f>
        <v>0</v>
      </c>
      <c r="B15211" t="s">
        <v>3083</v>
      </c>
      <c r="C15211" t="s">
        <v>17777</v>
      </c>
      <c r="D15211" t="s">
        <v>18035</v>
      </c>
      <c r="E15211" t="s">
        <v>31362</v>
      </c>
      <c r="F15211" t="s">
        <v>31574</v>
      </c>
      <c r="G15211" t="s">
        <v>31582</v>
      </c>
      <c r="H15211" t="s">
        <v>31591</v>
      </c>
      <c r="I15211" t="s">
        <v>8822</v>
      </c>
      <c r="J15211" t="s">
        <v>41034</v>
      </c>
      <c r="K15211" t="s">
        <v>41478</v>
      </c>
      <c r="M15211" t="s">
        <v>44927</v>
      </c>
      <c r="N15211" t="s">
        <v>45095</v>
      </c>
      <c r="O15211" t="s">
        <v>45096</v>
      </c>
      <c r="Q15211">
        <v>56</v>
      </c>
      <c r="R15211" t="s">
        <v>45180</v>
      </c>
      <c r="S15211" t="s">
        <v>46692</v>
      </c>
      <c r="T15211" t="s">
        <v>46915</v>
      </c>
      <c r="U15211" t="s">
        <v>59671</v>
      </c>
      <c r="V15211" t="s">
        <v>60368</v>
      </c>
      <c r="W15211" t="s">
        <v>44927</v>
      </c>
      <c r="X15211" t="s">
        <v>45181</v>
      </c>
    </row>
    <row r="15212" spans="1:24">
      <c r="A15212">
        <f>HYPERLINK("https://www.philgeps.gov.ph/GEPSNONPILOT/Tender/SplashBidNoticeAbstractUI.aspx?menuIndex=3&amp;refID=6908481&amp;Result=3","6908481")</f>
        <v>0</v>
      </c>
      <c r="B15212" t="s">
        <v>1503</v>
      </c>
      <c r="C15212" t="s">
        <v>17778</v>
      </c>
      <c r="D15212" t="s">
        <v>18030</v>
      </c>
      <c r="E15212" t="s">
        <v>31363</v>
      </c>
      <c r="F15212" t="s">
        <v>31574</v>
      </c>
      <c r="G15212" t="s">
        <v>31582</v>
      </c>
      <c r="H15212" t="s">
        <v>31591</v>
      </c>
      <c r="I15212" t="s">
        <v>8822</v>
      </c>
      <c r="J15212" t="s">
        <v>41035</v>
      </c>
      <c r="K15212" t="s">
        <v>41493</v>
      </c>
      <c r="M15212" t="s">
        <v>43224</v>
      </c>
      <c r="N15212" t="s">
        <v>45095</v>
      </c>
      <c r="O15212" t="s">
        <v>45096</v>
      </c>
      <c r="Q15212">
        <v>40</v>
      </c>
      <c r="R15212" t="s">
        <v>45179</v>
      </c>
      <c r="S15212" t="s">
        <v>46693</v>
      </c>
      <c r="T15212" t="s">
        <v>47159</v>
      </c>
      <c r="U15212" t="s">
        <v>59672</v>
      </c>
      <c r="V15212" t="s">
        <v>61602</v>
      </c>
      <c r="W15212" t="s">
        <v>43224</v>
      </c>
      <c r="X15212" t="s">
        <v>45180</v>
      </c>
    </row>
    <row r="15213" spans="1:24">
      <c r="A15213">
        <f>HYPERLINK("https://www.philgeps.gov.ph/GEPSNONPILOT/Tender/SplashBidNoticeAbstractUI.aspx?menuIndex=3&amp;refID=6908245&amp;Result=3","6908245")</f>
        <v>0</v>
      </c>
      <c r="B15213" t="s">
        <v>3180</v>
      </c>
      <c r="C15213" t="s">
        <v>17779</v>
      </c>
      <c r="E15213" t="s">
        <v>31364</v>
      </c>
      <c r="F15213" t="s">
        <v>31574</v>
      </c>
      <c r="G15213" t="s">
        <v>31582</v>
      </c>
      <c r="H15213" t="s">
        <v>31591</v>
      </c>
      <c r="I15213" t="s">
        <v>8822</v>
      </c>
      <c r="J15213" t="s">
        <v>41036</v>
      </c>
      <c r="K15213" t="s">
        <v>41198</v>
      </c>
      <c r="M15213" t="s">
        <v>45067</v>
      </c>
      <c r="N15213" t="s">
        <v>45095</v>
      </c>
      <c r="O15213" t="s">
        <v>45096</v>
      </c>
      <c r="Q15213">
        <v>13</v>
      </c>
      <c r="R15213" t="s">
        <v>45179</v>
      </c>
      <c r="S15213" t="s">
        <v>46694</v>
      </c>
      <c r="T15213" t="s">
        <v>46988</v>
      </c>
      <c r="U15213" t="s">
        <v>59666</v>
      </c>
      <c r="W15213" t="s">
        <v>45067</v>
      </c>
      <c r="X15213" t="s">
        <v>45180</v>
      </c>
    </row>
    <row r="15214" spans="1:24">
      <c r="A15214">
        <f>HYPERLINK("https://www.philgeps.gov.ph/GEPSNONPILOT/Tender/SplashBidNoticeAbstractUI.aspx?menuIndex=3&amp;refID=6907914&amp;Result=3","6907914")</f>
        <v>0</v>
      </c>
      <c r="B15214" t="s">
        <v>2314</v>
      </c>
      <c r="C15214" t="s">
        <v>17780</v>
      </c>
      <c r="D15214" t="s">
        <v>18044</v>
      </c>
      <c r="E15214" t="s">
        <v>31365</v>
      </c>
      <c r="F15214" t="s">
        <v>31574</v>
      </c>
      <c r="G15214" t="s">
        <v>31582</v>
      </c>
      <c r="H15214" t="s">
        <v>31591</v>
      </c>
      <c r="I15214" t="s">
        <v>8822</v>
      </c>
      <c r="J15214" t="s">
        <v>33252</v>
      </c>
      <c r="K15214" t="s">
        <v>41198</v>
      </c>
      <c r="M15214" t="s">
        <v>44024</v>
      </c>
      <c r="N15214" t="s">
        <v>45095</v>
      </c>
      <c r="O15214" t="s">
        <v>45096</v>
      </c>
      <c r="Q15214">
        <v>12</v>
      </c>
      <c r="R15214" t="s">
        <v>45179</v>
      </c>
      <c r="S15214" t="s">
        <v>46695</v>
      </c>
      <c r="T15214" t="s">
        <v>47154</v>
      </c>
      <c r="U15214" t="s">
        <v>56834</v>
      </c>
      <c r="W15214" t="s">
        <v>44024</v>
      </c>
      <c r="X15214" t="s">
        <v>45180</v>
      </c>
    </row>
    <row r="15215" spans="1:24">
      <c r="A15215">
        <f>HYPERLINK("https://www.philgeps.gov.ph/GEPSNONPILOT/Tender/SplashBidNoticeAbstractUI.aspx?menuIndex=3&amp;refID=6908459&amp;Result=3","6908459")</f>
        <v>0</v>
      </c>
      <c r="B15215" t="s">
        <v>1503</v>
      </c>
      <c r="C15215" t="s">
        <v>17781</v>
      </c>
      <c r="D15215" t="s">
        <v>18030</v>
      </c>
      <c r="E15215" t="s">
        <v>31366</v>
      </c>
      <c r="F15215" t="s">
        <v>31574</v>
      </c>
      <c r="G15215" t="s">
        <v>31582</v>
      </c>
      <c r="H15215" t="s">
        <v>31591</v>
      </c>
      <c r="I15215" t="s">
        <v>8822</v>
      </c>
      <c r="J15215" t="s">
        <v>41037</v>
      </c>
      <c r="K15215" t="s">
        <v>41356</v>
      </c>
      <c r="M15215" t="s">
        <v>43224</v>
      </c>
      <c r="N15215" t="s">
        <v>45095</v>
      </c>
      <c r="O15215" t="s">
        <v>45096</v>
      </c>
      <c r="Q15215">
        <v>33</v>
      </c>
      <c r="R15215" t="s">
        <v>45179</v>
      </c>
      <c r="S15215" t="s">
        <v>46696</v>
      </c>
      <c r="T15215" t="s">
        <v>47159</v>
      </c>
      <c r="U15215" t="s">
        <v>59673</v>
      </c>
      <c r="V15215" t="s">
        <v>61602</v>
      </c>
      <c r="W15215" t="s">
        <v>43224</v>
      </c>
      <c r="X15215" t="s">
        <v>45180</v>
      </c>
    </row>
    <row r="15216" spans="1:24">
      <c r="A15216">
        <f>HYPERLINK("https://www.philgeps.gov.ph/GEPSNONPILOT/Tender/SplashBidNoticeAbstractUI.aspx?menuIndex=3&amp;refID=6901664&amp;Result=3","6901664")</f>
        <v>0</v>
      </c>
      <c r="B15216" t="s">
        <v>3083</v>
      </c>
      <c r="C15216" t="s">
        <v>17782</v>
      </c>
      <c r="D15216" t="s">
        <v>18035</v>
      </c>
      <c r="E15216" t="s">
        <v>31367</v>
      </c>
      <c r="F15216" t="s">
        <v>31574</v>
      </c>
      <c r="G15216" t="s">
        <v>31582</v>
      </c>
      <c r="H15216" t="s">
        <v>31591</v>
      </c>
      <c r="I15216" t="s">
        <v>8822</v>
      </c>
      <c r="J15216" t="s">
        <v>41038</v>
      </c>
      <c r="K15216" t="s">
        <v>41222</v>
      </c>
      <c r="M15216" t="s">
        <v>44927</v>
      </c>
      <c r="N15216" t="s">
        <v>45095</v>
      </c>
      <c r="O15216" t="s">
        <v>45096</v>
      </c>
      <c r="Q15216">
        <v>58</v>
      </c>
      <c r="R15216" t="s">
        <v>45180</v>
      </c>
      <c r="S15216" t="s">
        <v>46697</v>
      </c>
      <c r="T15216" t="s">
        <v>47072</v>
      </c>
      <c r="U15216" t="s">
        <v>59674</v>
      </c>
      <c r="V15216" t="s">
        <v>60368</v>
      </c>
      <c r="W15216" t="s">
        <v>44927</v>
      </c>
      <c r="X15216" t="s">
        <v>45181</v>
      </c>
    </row>
    <row r="15217" spans="1:24">
      <c r="A15217">
        <f>HYPERLINK("https://www.philgeps.gov.ph/GEPSNONPILOT/Tender/SplashBidNoticeAbstractUI.aspx?menuIndex=3&amp;refID=6899975&amp;Result=3","6899975")</f>
        <v>0</v>
      </c>
      <c r="B15217" t="s">
        <v>246</v>
      </c>
      <c r="C15217" t="s">
        <v>17783</v>
      </c>
      <c r="D15217" t="s">
        <v>18126</v>
      </c>
      <c r="E15217" t="s">
        <v>31368</v>
      </c>
      <c r="F15217" t="s">
        <v>31574</v>
      </c>
      <c r="G15217" t="s">
        <v>31581</v>
      </c>
      <c r="H15217" t="s">
        <v>31590</v>
      </c>
      <c r="I15217" t="s">
        <v>31599</v>
      </c>
      <c r="J15217" t="s">
        <v>41039</v>
      </c>
      <c r="K15217" t="s">
        <v>41189</v>
      </c>
      <c r="M15217" t="s">
        <v>41732</v>
      </c>
      <c r="N15217" t="s">
        <v>45095</v>
      </c>
      <c r="O15217" t="s">
        <v>45096</v>
      </c>
      <c r="Q15217">
        <v>6</v>
      </c>
      <c r="R15217" t="s">
        <v>45180</v>
      </c>
      <c r="S15217" t="s">
        <v>46698</v>
      </c>
      <c r="T15217" t="s">
        <v>47077</v>
      </c>
      <c r="U15217" t="s">
        <v>59675</v>
      </c>
      <c r="W15217" t="s">
        <v>41732</v>
      </c>
      <c r="X15217" t="s">
        <v>45183</v>
      </c>
    </row>
    <row r="15218" spans="1:24">
      <c r="A15218">
        <f>HYPERLINK("https://www.philgeps.gov.ph/GEPSNONPILOT/Tender/SplashBidNoticeAbstractUI.aspx?menuIndex=3&amp;refID=6908540&amp;Result=3","6908540")</f>
        <v>0</v>
      </c>
      <c r="B15218" t="s">
        <v>1396</v>
      </c>
      <c r="C15218" t="s">
        <v>17784</v>
      </c>
      <c r="E15218" t="s">
        <v>31369</v>
      </c>
      <c r="F15218" t="s">
        <v>31574</v>
      </c>
      <c r="G15218" t="s">
        <v>31582</v>
      </c>
      <c r="H15218" t="s">
        <v>31590</v>
      </c>
      <c r="I15218" t="s">
        <v>31594</v>
      </c>
      <c r="J15218" t="s">
        <v>41040</v>
      </c>
      <c r="K15218" t="s">
        <v>41184</v>
      </c>
      <c r="M15218" t="s">
        <v>45069</v>
      </c>
      <c r="N15218" t="s">
        <v>45095</v>
      </c>
      <c r="O15218" t="s">
        <v>45096</v>
      </c>
      <c r="Q15218">
        <v>56</v>
      </c>
      <c r="R15218" t="s">
        <v>45179</v>
      </c>
      <c r="S15218" t="s">
        <v>46699</v>
      </c>
      <c r="T15218" t="s">
        <v>47454</v>
      </c>
      <c r="U15218" t="s">
        <v>59676</v>
      </c>
      <c r="W15218" t="s">
        <v>45069</v>
      </c>
      <c r="X15218" t="s">
        <v>45180</v>
      </c>
    </row>
    <row r="15219" spans="1:24">
      <c r="A15219">
        <f>HYPERLINK("https://www.philgeps.gov.ph/GEPSNONPILOT/Tender/SplashBidNoticeAbstractUI.aspx?menuIndex=3&amp;refID=6902982&amp;Result=3","6902982")</f>
        <v>0</v>
      </c>
      <c r="B15219" t="s">
        <v>3153</v>
      </c>
      <c r="C15219" t="s">
        <v>17785</v>
      </c>
      <c r="D15219" t="s">
        <v>18041</v>
      </c>
      <c r="E15219" t="s">
        <v>31370</v>
      </c>
      <c r="F15219" t="s">
        <v>31574</v>
      </c>
      <c r="G15219" t="s">
        <v>31582</v>
      </c>
      <c r="H15219" t="s">
        <v>31591</v>
      </c>
      <c r="I15219" t="s">
        <v>8822</v>
      </c>
      <c r="J15219" t="s">
        <v>41041</v>
      </c>
      <c r="K15219" t="s">
        <v>41322</v>
      </c>
      <c r="M15219" t="s">
        <v>45014</v>
      </c>
      <c r="N15219" t="s">
        <v>45095</v>
      </c>
      <c r="O15219" t="s">
        <v>45096</v>
      </c>
      <c r="Q15219">
        <v>17</v>
      </c>
      <c r="R15219" t="s">
        <v>45180</v>
      </c>
      <c r="S15219" t="s">
        <v>46700</v>
      </c>
      <c r="T15219" t="s">
        <v>47437</v>
      </c>
      <c r="U15219" t="s">
        <v>59677</v>
      </c>
      <c r="V15219" t="s">
        <v>61499</v>
      </c>
      <c r="W15219" t="s">
        <v>61777</v>
      </c>
      <c r="X15219" t="s">
        <v>45181</v>
      </c>
    </row>
    <row r="15220" spans="1:24">
      <c r="A15220">
        <f>HYPERLINK("https://www.philgeps.gov.ph/GEPSNONPILOT/Tender/SplashBidNoticeAbstractUI.aspx?menuIndex=3&amp;refID=6906916&amp;Result=3","6906916")</f>
        <v>0</v>
      </c>
      <c r="B15220" t="s">
        <v>558</v>
      </c>
      <c r="C15220" t="s">
        <v>17786</v>
      </c>
      <c r="D15220" t="s">
        <v>18053</v>
      </c>
      <c r="E15220" t="s">
        <v>31371</v>
      </c>
      <c r="F15220" t="s">
        <v>31574</v>
      </c>
      <c r="G15220" t="s">
        <v>31582</v>
      </c>
      <c r="H15220" t="s">
        <v>31591</v>
      </c>
      <c r="I15220" t="s">
        <v>8822</v>
      </c>
      <c r="J15220" t="s">
        <v>34070</v>
      </c>
      <c r="K15220" t="s">
        <v>41431</v>
      </c>
      <c r="M15220" t="s">
        <v>42057</v>
      </c>
      <c r="N15220" t="s">
        <v>45095</v>
      </c>
      <c r="O15220" t="s">
        <v>45096</v>
      </c>
      <c r="Q15220">
        <v>1</v>
      </c>
      <c r="R15220" t="s">
        <v>45179</v>
      </c>
      <c r="S15220" t="s">
        <v>46701</v>
      </c>
      <c r="T15220" t="s">
        <v>46952</v>
      </c>
      <c r="U15220" t="s">
        <v>59678</v>
      </c>
      <c r="W15220" t="s">
        <v>42057</v>
      </c>
      <c r="X15220" t="s">
        <v>45180</v>
      </c>
    </row>
    <row r="15221" spans="1:24">
      <c r="A15221">
        <f>HYPERLINK("https://www.philgeps.gov.ph/GEPSNONPILOT/Tender/SplashBidNoticeAbstractUI.aspx?menuIndex=3&amp;refID=6901708&amp;Result=3","6901708")</f>
        <v>0</v>
      </c>
      <c r="B15221" t="s">
        <v>2196</v>
      </c>
      <c r="C15221" t="s">
        <v>17787</v>
      </c>
      <c r="D15221" t="s">
        <v>18086</v>
      </c>
      <c r="E15221" t="s">
        <v>31372</v>
      </c>
      <c r="F15221" t="s">
        <v>31574</v>
      </c>
      <c r="G15221" t="s">
        <v>31582</v>
      </c>
      <c r="H15221" t="s">
        <v>31591</v>
      </c>
      <c r="I15221" t="s">
        <v>8822</v>
      </c>
      <c r="J15221" t="s">
        <v>31935</v>
      </c>
      <c r="K15221" t="s">
        <v>41192</v>
      </c>
      <c r="M15221" t="s">
        <v>45012</v>
      </c>
      <c r="N15221" t="s">
        <v>45095</v>
      </c>
      <c r="O15221" t="s">
        <v>45096</v>
      </c>
      <c r="Q15221">
        <v>0</v>
      </c>
      <c r="R15221" t="s">
        <v>45180</v>
      </c>
      <c r="S15221" t="s">
        <v>46702</v>
      </c>
      <c r="T15221" t="s">
        <v>46949</v>
      </c>
      <c r="U15221" t="s">
        <v>59679</v>
      </c>
      <c r="V15221" t="s">
        <v>61607</v>
      </c>
      <c r="W15221" t="s">
        <v>45012</v>
      </c>
      <c r="X15221" t="s">
        <v>45181</v>
      </c>
    </row>
    <row r="15222" spans="1:24">
      <c r="A15222">
        <f>HYPERLINK("https://www.philgeps.gov.ph/GEPSNONPILOT/Tender/SplashBidNoticeAbstractUI.aspx?menuIndex=3&amp;refID=6902270&amp;Result=3","6902270")</f>
        <v>0</v>
      </c>
      <c r="B15222" t="s">
        <v>3182</v>
      </c>
      <c r="C15222" t="s">
        <v>17788</v>
      </c>
      <c r="D15222" t="s">
        <v>18044</v>
      </c>
      <c r="E15222" t="s">
        <v>22814</v>
      </c>
      <c r="F15222" t="s">
        <v>31574</v>
      </c>
      <c r="G15222" t="s">
        <v>31582</v>
      </c>
      <c r="H15222" t="s">
        <v>31592</v>
      </c>
      <c r="I15222" t="s">
        <v>31596</v>
      </c>
      <c r="J15222" t="s">
        <v>32639</v>
      </c>
      <c r="K15222" t="s">
        <v>41489</v>
      </c>
      <c r="M15222" t="s">
        <v>45070</v>
      </c>
      <c r="N15222" t="s">
        <v>45095</v>
      </c>
      <c r="O15222" t="s">
        <v>45096</v>
      </c>
      <c r="Q15222">
        <v>1</v>
      </c>
      <c r="R15222" t="s">
        <v>45180</v>
      </c>
      <c r="S15222" t="s">
        <v>46703</v>
      </c>
      <c r="T15222" t="s">
        <v>47076</v>
      </c>
      <c r="U15222" t="s">
        <v>59680</v>
      </c>
      <c r="W15222" t="s">
        <v>45070</v>
      </c>
      <c r="X15222" t="s">
        <v>45181</v>
      </c>
    </row>
    <row r="15223" spans="1:24">
      <c r="A15223">
        <f>HYPERLINK("https://www.philgeps.gov.ph/GEPSNONPILOT/Tender/SplashBidNoticeAbstractUI.aspx?menuIndex=3&amp;refID=6897868&amp;Result=3","6897868")</f>
        <v>0</v>
      </c>
      <c r="B15223" t="s">
        <v>3023</v>
      </c>
      <c r="C15223" t="s">
        <v>17789</v>
      </c>
      <c r="D15223" t="s">
        <v>18022</v>
      </c>
      <c r="E15223" t="s">
        <v>31373</v>
      </c>
      <c r="F15223" t="s">
        <v>31574</v>
      </c>
      <c r="G15223" t="s">
        <v>31582</v>
      </c>
      <c r="H15223" t="s">
        <v>31590</v>
      </c>
      <c r="I15223" t="s">
        <v>3487</v>
      </c>
      <c r="J15223" t="s">
        <v>41042</v>
      </c>
      <c r="K15223" t="s">
        <v>41189</v>
      </c>
      <c r="M15223" t="s">
        <v>44855</v>
      </c>
      <c r="N15223" t="s">
        <v>45095</v>
      </c>
      <c r="O15223" t="s">
        <v>45096</v>
      </c>
      <c r="Q15223">
        <v>5</v>
      </c>
      <c r="R15223" t="s">
        <v>45181</v>
      </c>
      <c r="S15223" t="s">
        <v>46704</v>
      </c>
      <c r="T15223" t="s">
        <v>46936</v>
      </c>
      <c r="U15223" t="s">
        <v>58196</v>
      </c>
      <c r="W15223" t="s">
        <v>61771</v>
      </c>
      <c r="X15223" t="s">
        <v>45183</v>
      </c>
    </row>
    <row r="15224" spans="1:24">
      <c r="A15224">
        <f>HYPERLINK("https://www.philgeps.gov.ph/GEPSNONPILOT/Tender/SplashBidNoticeAbstractUI.aspx?menuIndex=3&amp;refID=6901775&amp;Result=3","6901775")</f>
        <v>0</v>
      </c>
      <c r="B15224" t="s">
        <v>3166</v>
      </c>
      <c r="C15224" t="s">
        <v>17790</v>
      </c>
      <c r="D15224" t="s">
        <v>18040</v>
      </c>
      <c r="E15224" t="s">
        <v>31374</v>
      </c>
      <c r="F15224" t="s">
        <v>31574</v>
      </c>
      <c r="G15224" t="s">
        <v>31582</v>
      </c>
      <c r="H15224" t="s">
        <v>31590</v>
      </c>
      <c r="I15224" t="s">
        <v>31604</v>
      </c>
      <c r="J15224" t="s">
        <v>41043</v>
      </c>
      <c r="K15224" t="s">
        <v>41195</v>
      </c>
      <c r="M15224" t="s">
        <v>45038</v>
      </c>
      <c r="N15224" t="s">
        <v>45095</v>
      </c>
      <c r="O15224" t="s">
        <v>45096</v>
      </c>
      <c r="Q15224">
        <v>3</v>
      </c>
      <c r="R15224" t="s">
        <v>45180</v>
      </c>
      <c r="S15224" t="s">
        <v>46705</v>
      </c>
      <c r="T15224" t="s">
        <v>47301</v>
      </c>
      <c r="U15224" t="s">
        <v>59681</v>
      </c>
      <c r="W15224" t="s">
        <v>45038</v>
      </c>
      <c r="X15224" t="s">
        <v>45181</v>
      </c>
    </row>
    <row r="15225" spans="1:24">
      <c r="A15225">
        <f>HYPERLINK("https://www.philgeps.gov.ph/GEPSNONPILOT/Tender/SplashBidNoticeAbstractUI.aspx?menuIndex=3&amp;refID=6902805&amp;Result=3","6902805")</f>
        <v>0</v>
      </c>
      <c r="B15225" t="s">
        <v>508</v>
      </c>
      <c r="C15225" t="s">
        <v>17791</v>
      </c>
      <c r="D15225" t="s">
        <v>18023</v>
      </c>
      <c r="E15225" t="s">
        <v>31375</v>
      </c>
      <c r="F15225" t="s">
        <v>31574</v>
      </c>
      <c r="G15225" t="s">
        <v>31582</v>
      </c>
      <c r="H15225" t="s">
        <v>31590</v>
      </c>
      <c r="I15225" t="s">
        <v>31612</v>
      </c>
      <c r="J15225" t="s">
        <v>41044</v>
      </c>
      <c r="K15225" t="s">
        <v>41186</v>
      </c>
      <c r="M15225" t="s">
        <v>45036</v>
      </c>
      <c r="N15225" t="s">
        <v>45095</v>
      </c>
      <c r="O15225" t="s">
        <v>45096</v>
      </c>
      <c r="Q15225">
        <v>17</v>
      </c>
      <c r="R15225" t="s">
        <v>45180</v>
      </c>
      <c r="S15225" t="s">
        <v>46706</v>
      </c>
      <c r="T15225" t="s">
        <v>46913</v>
      </c>
      <c r="U15225" t="s">
        <v>59682</v>
      </c>
      <c r="V15225" t="s">
        <v>61608</v>
      </c>
      <c r="W15225" t="s">
        <v>45036</v>
      </c>
      <c r="X15225" t="s">
        <v>45181</v>
      </c>
    </row>
    <row r="15226" spans="1:24">
      <c r="A15226">
        <f>HYPERLINK("https://www.philgeps.gov.ph/GEPSNONPILOT/Tender/SplashBidNoticeAbstractUI.aspx?menuIndex=3&amp;refID=6897746&amp;Result=3","6897746")</f>
        <v>0</v>
      </c>
      <c r="B15226" t="s">
        <v>3023</v>
      </c>
      <c r="C15226" t="s">
        <v>17792</v>
      </c>
      <c r="D15226" t="s">
        <v>18022</v>
      </c>
      <c r="E15226" t="s">
        <v>31376</v>
      </c>
      <c r="F15226" t="s">
        <v>31574</v>
      </c>
      <c r="G15226" t="s">
        <v>31582</v>
      </c>
      <c r="H15226" t="s">
        <v>31590</v>
      </c>
      <c r="I15226" t="s">
        <v>3487</v>
      </c>
      <c r="J15226" t="s">
        <v>41045</v>
      </c>
      <c r="K15226" t="s">
        <v>41189</v>
      </c>
      <c r="M15226" t="s">
        <v>44855</v>
      </c>
      <c r="N15226" t="s">
        <v>45095</v>
      </c>
      <c r="O15226" t="s">
        <v>45096</v>
      </c>
      <c r="Q15226">
        <v>5</v>
      </c>
      <c r="R15226" t="s">
        <v>45181</v>
      </c>
      <c r="S15226" t="s">
        <v>46707</v>
      </c>
      <c r="T15226" t="s">
        <v>46936</v>
      </c>
      <c r="U15226" t="s">
        <v>58196</v>
      </c>
      <c r="W15226" t="s">
        <v>61771</v>
      </c>
      <c r="X15226" t="s">
        <v>45183</v>
      </c>
    </row>
    <row r="15227" spans="1:24">
      <c r="A15227">
        <f>HYPERLINK("https://www.philgeps.gov.ph/GEPSNONPILOT/Tender/SplashBidNoticeAbstractUI.aspx?menuIndex=3&amp;refID=6897951&amp;Result=3","6897951")</f>
        <v>0</v>
      </c>
      <c r="B15227" t="s">
        <v>3023</v>
      </c>
      <c r="C15227" t="s">
        <v>17793</v>
      </c>
      <c r="D15227" t="s">
        <v>18022</v>
      </c>
      <c r="E15227" t="s">
        <v>21089</v>
      </c>
      <c r="F15227" t="s">
        <v>31574</v>
      </c>
      <c r="G15227" t="s">
        <v>31582</v>
      </c>
      <c r="H15227" t="s">
        <v>31590</v>
      </c>
      <c r="I15227" t="s">
        <v>3487</v>
      </c>
      <c r="J15227" t="s">
        <v>41046</v>
      </c>
      <c r="K15227" t="s">
        <v>41189</v>
      </c>
      <c r="M15227" t="s">
        <v>44855</v>
      </c>
      <c r="N15227" t="s">
        <v>45095</v>
      </c>
      <c r="O15227" t="s">
        <v>45096</v>
      </c>
      <c r="Q15227">
        <v>1</v>
      </c>
      <c r="R15227" t="s">
        <v>45181</v>
      </c>
      <c r="S15227" t="s">
        <v>46708</v>
      </c>
      <c r="T15227" t="s">
        <v>46936</v>
      </c>
      <c r="U15227" t="s">
        <v>58196</v>
      </c>
      <c r="W15227" t="s">
        <v>61771</v>
      </c>
      <c r="X15227" t="s">
        <v>45183</v>
      </c>
    </row>
    <row r="15228" spans="1:24">
      <c r="A15228">
        <f>HYPERLINK("https://www.philgeps.gov.ph/GEPSNONPILOT/Tender/SplashBidNoticeAbstractUI.aspx?menuIndex=3&amp;refID=6897814&amp;Result=3","6897814")</f>
        <v>0</v>
      </c>
      <c r="B15228" t="s">
        <v>3023</v>
      </c>
      <c r="C15228" t="s">
        <v>17794</v>
      </c>
      <c r="D15228" t="s">
        <v>18022</v>
      </c>
      <c r="E15228" t="s">
        <v>31377</v>
      </c>
      <c r="F15228" t="s">
        <v>31574</v>
      </c>
      <c r="G15228" t="s">
        <v>31582</v>
      </c>
      <c r="H15228" t="s">
        <v>31590</v>
      </c>
      <c r="I15228" t="s">
        <v>3487</v>
      </c>
      <c r="J15228" t="s">
        <v>41047</v>
      </c>
      <c r="K15228" t="s">
        <v>41189</v>
      </c>
      <c r="M15228" t="s">
        <v>44855</v>
      </c>
      <c r="N15228" t="s">
        <v>45095</v>
      </c>
      <c r="O15228" t="s">
        <v>45096</v>
      </c>
      <c r="Q15228">
        <v>6</v>
      </c>
      <c r="R15228" t="s">
        <v>45181</v>
      </c>
      <c r="S15228" t="s">
        <v>46709</v>
      </c>
      <c r="T15228" t="s">
        <v>46936</v>
      </c>
      <c r="U15228" t="s">
        <v>58196</v>
      </c>
      <c r="W15228" t="s">
        <v>61771</v>
      </c>
      <c r="X15228" t="s">
        <v>45183</v>
      </c>
    </row>
    <row r="15229" spans="1:24">
      <c r="A15229">
        <f>HYPERLINK("https://www.philgeps.gov.ph/GEPSNONPILOT/Tender/SplashBidNoticeAbstractUI.aspx?menuIndex=3&amp;refID=6897379&amp;Result=3","6897379")</f>
        <v>0</v>
      </c>
      <c r="B15229" t="s">
        <v>2353</v>
      </c>
      <c r="C15229" t="s">
        <v>17795</v>
      </c>
      <c r="D15229" t="s">
        <v>18039</v>
      </c>
      <c r="E15229" t="s">
        <v>31378</v>
      </c>
      <c r="F15229" t="s">
        <v>31574</v>
      </c>
      <c r="G15229" t="s">
        <v>31582</v>
      </c>
      <c r="H15229" t="s">
        <v>31590</v>
      </c>
      <c r="I15229" t="s">
        <v>31598</v>
      </c>
      <c r="J15229" t="s">
        <v>34456</v>
      </c>
      <c r="K15229" t="s">
        <v>41192</v>
      </c>
      <c r="M15229" t="s">
        <v>44070</v>
      </c>
      <c r="N15229" t="s">
        <v>45095</v>
      </c>
      <c r="O15229" t="s">
        <v>45096</v>
      </c>
      <c r="Q15229">
        <v>30</v>
      </c>
      <c r="R15229" t="s">
        <v>45181</v>
      </c>
      <c r="S15229" t="s">
        <v>46710</v>
      </c>
      <c r="T15229" t="s">
        <v>46985</v>
      </c>
      <c r="U15229" t="s">
        <v>59683</v>
      </c>
      <c r="V15229" t="s">
        <v>59683</v>
      </c>
      <c r="W15229" t="s">
        <v>44070</v>
      </c>
      <c r="X15229" t="s">
        <v>45183</v>
      </c>
    </row>
    <row r="15230" spans="1:24">
      <c r="A15230">
        <f>HYPERLINK("https://www.philgeps.gov.ph/GEPSNONPILOT/Tender/SplashBidNoticeAbstractUI.aspx?menuIndex=3&amp;refID=6897965&amp;Result=3","6897965")</f>
        <v>0</v>
      </c>
      <c r="B15230" t="s">
        <v>3023</v>
      </c>
      <c r="C15230" t="s">
        <v>17796</v>
      </c>
      <c r="D15230" t="s">
        <v>18022</v>
      </c>
      <c r="E15230" t="s">
        <v>22674</v>
      </c>
      <c r="F15230" t="s">
        <v>31574</v>
      </c>
      <c r="G15230" t="s">
        <v>31582</v>
      </c>
      <c r="H15230" t="s">
        <v>31590</v>
      </c>
      <c r="I15230" t="s">
        <v>3487</v>
      </c>
      <c r="J15230" t="s">
        <v>41048</v>
      </c>
      <c r="K15230" t="s">
        <v>41189</v>
      </c>
      <c r="M15230" t="s">
        <v>44855</v>
      </c>
      <c r="N15230" t="s">
        <v>45095</v>
      </c>
      <c r="O15230" t="s">
        <v>45096</v>
      </c>
      <c r="Q15230">
        <v>1</v>
      </c>
      <c r="R15230" t="s">
        <v>45181</v>
      </c>
      <c r="S15230" t="s">
        <v>46711</v>
      </c>
      <c r="T15230" t="s">
        <v>46936</v>
      </c>
      <c r="U15230" t="s">
        <v>58196</v>
      </c>
      <c r="W15230" t="s">
        <v>61771</v>
      </c>
      <c r="X15230" t="s">
        <v>45183</v>
      </c>
    </row>
    <row r="15231" spans="1:24">
      <c r="A15231">
        <f>HYPERLINK("https://www.philgeps.gov.ph/GEPSNONPILOT/Tender/SplashBidNoticeAbstractUI.aspx?menuIndex=3&amp;refID=6896203&amp;Result=3","6896203")</f>
        <v>0</v>
      </c>
      <c r="B15231" t="s">
        <v>3143</v>
      </c>
      <c r="C15231" t="s">
        <v>17797</v>
      </c>
      <c r="D15231" t="s">
        <v>18022</v>
      </c>
      <c r="E15231" t="s">
        <v>31379</v>
      </c>
      <c r="F15231" t="s">
        <v>31574</v>
      </c>
      <c r="G15231" t="s">
        <v>31582</v>
      </c>
      <c r="H15231" t="s">
        <v>31590</v>
      </c>
      <c r="I15231" t="s">
        <v>7162</v>
      </c>
      <c r="J15231" t="s">
        <v>35831</v>
      </c>
      <c r="K15231" t="s">
        <v>41243</v>
      </c>
      <c r="M15231" t="s">
        <v>45058</v>
      </c>
      <c r="N15231" t="s">
        <v>45095</v>
      </c>
      <c r="O15231" t="s">
        <v>45096</v>
      </c>
      <c r="Q15231">
        <v>22</v>
      </c>
      <c r="R15231" t="s">
        <v>45180</v>
      </c>
      <c r="S15231" t="s">
        <v>46712</v>
      </c>
      <c r="T15231" t="s">
        <v>47455</v>
      </c>
      <c r="U15231" t="s">
        <v>59684</v>
      </c>
      <c r="W15231" t="s">
        <v>45058</v>
      </c>
      <c r="X15231" t="s">
        <v>45184</v>
      </c>
    </row>
    <row r="15232" spans="1:24">
      <c r="A15232">
        <f>HYPERLINK("https://www.philgeps.gov.ph/GEPSNONPILOT/Tender/SplashBidNoticeAbstractUI.aspx?menuIndex=3&amp;refID=6903559&amp;Result=3","6903559")</f>
        <v>0</v>
      </c>
      <c r="B15232" t="s">
        <v>1128</v>
      </c>
      <c r="C15232" t="s">
        <v>17798</v>
      </c>
      <c r="D15232" t="s">
        <v>18022</v>
      </c>
      <c r="E15232" t="s">
        <v>31380</v>
      </c>
      <c r="F15232" t="s">
        <v>31574</v>
      </c>
      <c r="G15232" t="s">
        <v>31582</v>
      </c>
      <c r="H15232" t="s">
        <v>31590</v>
      </c>
      <c r="I15232" t="s">
        <v>4327</v>
      </c>
      <c r="J15232" t="s">
        <v>41049</v>
      </c>
      <c r="K15232" t="s">
        <v>41186</v>
      </c>
      <c r="M15232" t="s">
        <v>45071</v>
      </c>
      <c r="N15232" t="s">
        <v>45095</v>
      </c>
      <c r="O15232" t="s">
        <v>45096</v>
      </c>
      <c r="Q15232">
        <v>5</v>
      </c>
      <c r="R15232" t="s">
        <v>45180</v>
      </c>
      <c r="S15232" t="s">
        <v>46713</v>
      </c>
      <c r="T15232" t="s">
        <v>47083</v>
      </c>
      <c r="U15232" t="s">
        <v>59685</v>
      </c>
      <c r="V15232" t="s">
        <v>61609</v>
      </c>
      <c r="W15232" t="s">
        <v>45071</v>
      </c>
      <c r="X15232" t="s">
        <v>45181</v>
      </c>
    </row>
    <row r="15233" spans="1:24">
      <c r="A15233">
        <f>HYPERLINK("https://www.philgeps.gov.ph/GEPSNONPILOT/Tender/SplashBidNoticeAbstractUI.aspx?menuIndex=3&amp;refID=6901328&amp;Result=3","6901328")</f>
        <v>0</v>
      </c>
      <c r="B15233" t="s">
        <v>325</v>
      </c>
      <c r="C15233" t="s">
        <v>17569</v>
      </c>
      <c r="D15233" t="s">
        <v>18022</v>
      </c>
      <c r="E15233" t="s">
        <v>31381</v>
      </c>
      <c r="F15233" t="s">
        <v>31574</v>
      </c>
      <c r="G15233" t="s">
        <v>31582</v>
      </c>
      <c r="H15233" t="s">
        <v>31590</v>
      </c>
      <c r="I15233" t="s">
        <v>31621</v>
      </c>
      <c r="J15233" t="s">
        <v>41050</v>
      </c>
      <c r="K15233" t="s">
        <v>41184</v>
      </c>
      <c r="M15233" t="s">
        <v>41813</v>
      </c>
      <c r="N15233" t="s">
        <v>45095</v>
      </c>
      <c r="O15233" t="s">
        <v>45096</v>
      </c>
      <c r="Q15233">
        <v>32</v>
      </c>
      <c r="R15233" t="s">
        <v>45180</v>
      </c>
      <c r="S15233" t="s">
        <v>46714</v>
      </c>
      <c r="T15233" t="s">
        <v>46913</v>
      </c>
      <c r="U15233" t="s">
        <v>59516</v>
      </c>
      <c r="W15233" t="s">
        <v>41813</v>
      </c>
      <c r="X15233" t="s">
        <v>45181</v>
      </c>
    </row>
    <row r="15234" spans="1:24">
      <c r="A15234">
        <f>HYPERLINK("https://www.philgeps.gov.ph/GEPSNONPILOT/Tender/SplashBidNoticeAbstractUI.aspx?menuIndex=3&amp;refID=6897774&amp;Result=3","6897774")</f>
        <v>0</v>
      </c>
      <c r="B15234" t="s">
        <v>3023</v>
      </c>
      <c r="C15234" t="s">
        <v>17799</v>
      </c>
      <c r="D15234" t="s">
        <v>18022</v>
      </c>
      <c r="E15234" t="s">
        <v>31382</v>
      </c>
      <c r="F15234" t="s">
        <v>31574</v>
      </c>
      <c r="G15234" t="s">
        <v>31582</v>
      </c>
      <c r="H15234" t="s">
        <v>31590</v>
      </c>
      <c r="I15234" t="s">
        <v>3487</v>
      </c>
      <c r="J15234" t="s">
        <v>41051</v>
      </c>
      <c r="K15234" t="s">
        <v>41189</v>
      </c>
      <c r="M15234" t="s">
        <v>44855</v>
      </c>
      <c r="N15234" t="s">
        <v>45095</v>
      </c>
      <c r="O15234" t="s">
        <v>45096</v>
      </c>
      <c r="Q15234">
        <v>3</v>
      </c>
      <c r="R15234" t="s">
        <v>45181</v>
      </c>
      <c r="S15234" t="s">
        <v>46715</v>
      </c>
      <c r="T15234" t="s">
        <v>46936</v>
      </c>
      <c r="U15234" t="s">
        <v>58196</v>
      </c>
      <c r="W15234" t="s">
        <v>61771</v>
      </c>
      <c r="X15234" t="s">
        <v>45183</v>
      </c>
    </row>
    <row r="15235" spans="1:24">
      <c r="A15235">
        <f>HYPERLINK("https://www.philgeps.gov.ph/GEPSNONPILOT/Tender/SplashBidNoticeAbstractUI.aspx?menuIndex=3&amp;refID=6897999&amp;Result=3","6897999")</f>
        <v>0</v>
      </c>
      <c r="B15235" t="s">
        <v>3023</v>
      </c>
      <c r="C15235" t="s">
        <v>17800</v>
      </c>
      <c r="D15235" t="s">
        <v>18022</v>
      </c>
      <c r="E15235" t="s">
        <v>19531</v>
      </c>
      <c r="F15235" t="s">
        <v>31574</v>
      </c>
      <c r="G15235" t="s">
        <v>31582</v>
      </c>
      <c r="H15235" t="s">
        <v>31590</v>
      </c>
      <c r="I15235" t="s">
        <v>3487</v>
      </c>
      <c r="J15235" t="s">
        <v>41052</v>
      </c>
      <c r="K15235" t="s">
        <v>41189</v>
      </c>
      <c r="M15235" t="s">
        <v>44855</v>
      </c>
      <c r="N15235" t="s">
        <v>45095</v>
      </c>
      <c r="O15235" t="s">
        <v>45096</v>
      </c>
      <c r="Q15235">
        <v>2</v>
      </c>
      <c r="R15235" t="s">
        <v>45181</v>
      </c>
      <c r="S15235" t="s">
        <v>46716</v>
      </c>
      <c r="T15235" t="s">
        <v>46936</v>
      </c>
      <c r="U15235" t="s">
        <v>58196</v>
      </c>
      <c r="W15235" t="s">
        <v>61771</v>
      </c>
      <c r="X15235" t="s">
        <v>45183</v>
      </c>
    </row>
    <row r="15236" spans="1:24">
      <c r="A15236">
        <f>HYPERLINK("https://www.philgeps.gov.ph/GEPSNONPILOT/Tender/SplashBidNoticeAbstractUI.aspx?menuIndex=3&amp;refID=6903441&amp;Result=3","6903441")</f>
        <v>0</v>
      </c>
      <c r="B15236" t="s">
        <v>3183</v>
      </c>
      <c r="C15236" t="s">
        <v>17801</v>
      </c>
      <c r="D15236" t="s">
        <v>18022</v>
      </c>
      <c r="E15236" t="s">
        <v>23995</v>
      </c>
      <c r="F15236" t="s">
        <v>31574</v>
      </c>
      <c r="G15236" t="s">
        <v>31582</v>
      </c>
      <c r="H15236" t="s">
        <v>31590</v>
      </c>
      <c r="I15236" t="s">
        <v>31596</v>
      </c>
      <c r="J15236" t="s">
        <v>36779</v>
      </c>
      <c r="K15236" t="s">
        <v>41184</v>
      </c>
      <c r="M15236" t="s">
        <v>45072</v>
      </c>
      <c r="N15236" t="s">
        <v>45095</v>
      </c>
      <c r="O15236" t="s">
        <v>45096</v>
      </c>
      <c r="Q15236">
        <v>8</v>
      </c>
      <c r="R15236" t="s">
        <v>45180</v>
      </c>
      <c r="S15236" t="s">
        <v>46717</v>
      </c>
      <c r="T15236" t="s">
        <v>47159</v>
      </c>
      <c r="U15236" t="s">
        <v>59686</v>
      </c>
      <c r="W15236" t="s">
        <v>45072</v>
      </c>
      <c r="X15236" t="s">
        <v>45181</v>
      </c>
    </row>
    <row r="15237" spans="1:24">
      <c r="A15237">
        <f>HYPERLINK("https://www.philgeps.gov.ph/GEPSNONPILOT/Tender/SplashBidNoticeAbstractUI.aspx?menuIndex=3&amp;refID=6903358&amp;Result=3","6903358")</f>
        <v>0</v>
      </c>
      <c r="B15237" t="s">
        <v>62</v>
      </c>
      <c r="C15237" t="s">
        <v>17802</v>
      </c>
      <c r="D15237" t="s">
        <v>18089</v>
      </c>
      <c r="E15237" t="s">
        <v>31383</v>
      </c>
      <c r="F15237" t="s">
        <v>31574</v>
      </c>
      <c r="G15237" t="s">
        <v>31588</v>
      </c>
      <c r="H15237" t="s">
        <v>31593</v>
      </c>
      <c r="I15237" t="s">
        <v>31593</v>
      </c>
      <c r="J15237" t="s">
        <v>32277</v>
      </c>
      <c r="K15237" t="s">
        <v>41184</v>
      </c>
      <c r="L15237" t="s">
        <v>62</v>
      </c>
      <c r="M15237" t="s">
        <v>43390</v>
      </c>
      <c r="N15237" t="s">
        <v>45095</v>
      </c>
      <c r="O15237" t="s">
        <v>45096</v>
      </c>
      <c r="Q15237">
        <v>10</v>
      </c>
      <c r="R15237" t="s">
        <v>45180</v>
      </c>
      <c r="S15237" t="s">
        <v>46718</v>
      </c>
      <c r="T15237" t="s">
        <v>46908</v>
      </c>
      <c r="U15237" t="s">
        <v>59687</v>
      </c>
      <c r="W15237" t="s">
        <v>43390</v>
      </c>
      <c r="X15237" t="s">
        <v>45181</v>
      </c>
    </row>
    <row r="15238" spans="1:24">
      <c r="A15238">
        <f>HYPERLINK("https://www.philgeps.gov.ph/GEPSNONPILOT/Tender/SplashBidNoticeAbstractUI.aspx?menuIndex=3&amp;refID=6897919&amp;Result=3","6897919")</f>
        <v>0</v>
      </c>
      <c r="B15238" t="s">
        <v>3023</v>
      </c>
      <c r="C15238" t="s">
        <v>17803</v>
      </c>
      <c r="D15238" t="s">
        <v>18022</v>
      </c>
      <c r="E15238" t="s">
        <v>21642</v>
      </c>
      <c r="F15238" t="s">
        <v>31574</v>
      </c>
      <c r="G15238" t="s">
        <v>31582</v>
      </c>
      <c r="H15238" t="s">
        <v>31590</v>
      </c>
      <c r="I15238" t="s">
        <v>3487</v>
      </c>
      <c r="J15238" t="s">
        <v>41053</v>
      </c>
      <c r="K15238" t="s">
        <v>41189</v>
      </c>
      <c r="M15238" t="s">
        <v>44855</v>
      </c>
      <c r="N15238" t="s">
        <v>45095</v>
      </c>
      <c r="O15238" t="s">
        <v>45096</v>
      </c>
      <c r="Q15238">
        <v>2</v>
      </c>
      <c r="R15238" t="s">
        <v>45181</v>
      </c>
      <c r="S15238" t="s">
        <v>46719</v>
      </c>
      <c r="T15238" t="s">
        <v>46936</v>
      </c>
      <c r="U15238" t="s">
        <v>58196</v>
      </c>
      <c r="W15238" t="s">
        <v>61771</v>
      </c>
      <c r="X15238" t="s">
        <v>45183</v>
      </c>
    </row>
    <row r="15239" spans="1:24">
      <c r="A15239">
        <f>HYPERLINK("https://www.philgeps.gov.ph/GEPSNONPILOT/Tender/SplashBidNoticeAbstractUI.aspx?menuIndex=3&amp;refID=6903343&amp;Result=3","6903343")</f>
        <v>0</v>
      </c>
      <c r="B15239" t="s">
        <v>62</v>
      </c>
      <c r="C15239" t="s">
        <v>17804</v>
      </c>
      <c r="D15239" t="s">
        <v>18048</v>
      </c>
      <c r="E15239" t="s">
        <v>31384</v>
      </c>
      <c r="F15239" t="s">
        <v>31574</v>
      </c>
      <c r="G15239" t="s">
        <v>31588</v>
      </c>
      <c r="H15239" t="s">
        <v>31593</v>
      </c>
      <c r="I15239" t="s">
        <v>31593</v>
      </c>
      <c r="J15239" t="s">
        <v>41054</v>
      </c>
      <c r="K15239" t="s">
        <v>41184</v>
      </c>
      <c r="L15239" t="s">
        <v>62</v>
      </c>
      <c r="M15239" t="s">
        <v>43390</v>
      </c>
      <c r="N15239" t="s">
        <v>45095</v>
      </c>
      <c r="O15239" t="s">
        <v>45096</v>
      </c>
      <c r="Q15239">
        <v>8</v>
      </c>
      <c r="R15239" t="s">
        <v>45180</v>
      </c>
      <c r="S15239" t="s">
        <v>46720</v>
      </c>
      <c r="T15239" t="s">
        <v>46908</v>
      </c>
      <c r="U15239" t="s">
        <v>59688</v>
      </c>
      <c r="W15239" t="s">
        <v>43390</v>
      </c>
      <c r="X15239" t="s">
        <v>45181</v>
      </c>
    </row>
    <row r="15240" spans="1:24">
      <c r="A15240">
        <f>HYPERLINK("https://www.philgeps.gov.ph/GEPSNONPILOT/Tender/SplashBidNoticeAbstractUI.aspx?menuIndex=3&amp;refID=6898326&amp;Result=3","6898326")</f>
        <v>0</v>
      </c>
      <c r="B15240" t="s">
        <v>3023</v>
      </c>
      <c r="C15240" t="s">
        <v>17805</v>
      </c>
      <c r="D15240" t="s">
        <v>18022</v>
      </c>
      <c r="E15240" t="s">
        <v>21660</v>
      </c>
      <c r="F15240" t="s">
        <v>31574</v>
      </c>
      <c r="G15240" t="s">
        <v>31582</v>
      </c>
      <c r="H15240" t="s">
        <v>31590</v>
      </c>
      <c r="I15240" t="s">
        <v>3487</v>
      </c>
      <c r="J15240" t="s">
        <v>41055</v>
      </c>
      <c r="K15240" t="s">
        <v>41189</v>
      </c>
      <c r="M15240" t="s">
        <v>44855</v>
      </c>
      <c r="N15240" t="s">
        <v>45095</v>
      </c>
      <c r="O15240" t="s">
        <v>45096</v>
      </c>
      <c r="Q15240">
        <v>4</v>
      </c>
      <c r="R15240" t="s">
        <v>45181</v>
      </c>
      <c r="S15240" t="s">
        <v>46721</v>
      </c>
      <c r="T15240" t="s">
        <v>46936</v>
      </c>
      <c r="U15240" t="s">
        <v>58196</v>
      </c>
      <c r="W15240" t="s">
        <v>61771</v>
      </c>
      <c r="X15240" t="s">
        <v>45183</v>
      </c>
    </row>
    <row r="15241" spans="1:24">
      <c r="A15241">
        <f>HYPERLINK("https://www.philgeps.gov.ph/GEPSNONPILOT/Tender/SplashBidNoticeAbstractUI.aspx?menuIndex=3&amp;refID=6894369&amp;Result=3","6894369")</f>
        <v>0</v>
      </c>
      <c r="B15241" t="s">
        <v>1494</v>
      </c>
      <c r="C15241" t="s">
        <v>17806</v>
      </c>
      <c r="D15241" t="s">
        <v>18031</v>
      </c>
      <c r="E15241" t="s">
        <v>31385</v>
      </c>
      <c r="F15241" t="s">
        <v>31574</v>
      </c>
      <c r="G15241" t="s">
        <v>31582</v>
      </c>
      <c r="H15241" t="s">
        <v>31590</v>
      </c>
      <c r="I15241" t="s">
        <v>31706</v>
      </c>
      <c r="J15241" t="s">
        <v>41056</v>
      </c>
      <c r="K15241" t="s">
        <v>41466</v>
      </c>
      <c r="M15241" t="s">
        <v>44097</v>
      </c>
      <c r="N15241" t="s">
        <v>45095</v>
      </c>
      <c r="O15241" t="s">
        <v>45096</v>
      </c>
      <c r="Q15241">
        <v>12</v>
      </c>
      <c r="R15241" t="s">
        <v>45182</v>
      </c>
      <c r="S15241" t="s">
        <v>46722</v>
      </c>
      <c r="T15241" t="s">
        <v>46938</v>
      </c>
      <c r="U15241" t="s">
        <v>59689</v>
      </c>
      <c r="W15241" t="s">
        <v>44097</v>
      </c>
      <c r="X15241" t="s">
        <v>45184</v>
      </c>
    </row>
    <row r="15242" spans="1:24">
      <c r="A15242">
        <f>HYPERLINK("https://www.philgeps.gov.ph/GEPSNONPILOT/Tender/SplashBidNoticeAbstractUI.aspx?menuIndex=3&amp;refID=6898344&amp;Result=3","6898344")</f>
        <v>0</v>
      </c>
      <c r="B15242" t="s">
        <v>3023</v>
      </c>
      <c r="C15242" t="s">
        <v>17807</v>
      </c>
      <c r="D15242" t="s">
        <v>18022</v>
      </c>
      <c r="E15242" t="s">
        <v>31386</v>
      </c>
      <c r="F15242" t="s">
        <v>31574</v>
      </c>
      <c r="G15242" t="s">
        <v>31582</v>
      </c>
      <c r="H15242" t="s">
        <v>31590</v>
      </c>
      <c r="I15242" t="s">
        <v>3487</v>
      </c>
      <c r="J15242" t="s">
        <v>41057</v>
      </c>
      <c r="K15242" t="s">
        <v>41189</v>
      </c>
      <c r="M15242" t="s">
        <v>44855</v>
      </c>
      <c r="N15242" t="s">
        <v>45095</v>
      </c>
      <c r="O15242" t="s">
        <v>45096</v>
      </c>
      <c r="Q15242">
        <v>2</v>
      </c>
      <c r="R15242" t="s">
        <v>45181</v>
      </c>
      <c r="S15242" t="s">
        <v>46723</v>
      </c>
      <c r="T15242" t="s">
        <v>46936</v>
      </c>
      <c r="U15242" t="s">
        <v>58196</v>
      </c>
      <c r="W15242" t="s">
        <v>61771</v>
      </c>
      <c r="X15242" t="s">
        <v>45183</v>
      </c>
    </row>
    <row r="15243" spans="1:24">
      <c r="A15243">
        <f>HYPERLINK("https://www.philgeps.gov.ph/GEPSNONPILOT/Tender/SplashBidNoticeAbstractUI.aspx?menuIndex=3&amp;refID=6900719&amp;Result=3","6900719")</f>
        <v>0</v>
      </c>
      <c r="B15243" t="s">
        <v>1396</v>
      </c>
      <c r="C15243" t="s">
        <v>17808</v>
      </c>
      <c r="D15243" t="s">
        <v>18044</v>
      </c>
      <c r="E15243" t="s">
        <v>31387</v>
      </c>
      <c r="F15243" t="s">
        <v>31574</v>
      </c>
      <c r="G15243" t="s">
        <v>31582</v>
      </c>
      <c r="H15243" t="s">
        <v>31591</v>
      </c>
      <c r="I15243" t="s">
        <v>8822</v>
      </c>
      <c r="J15243" t="s">
        <v>41058</v>
      </c>
      <c r="K15243" t="s">
        <v>41198</v>
      </c>
      <c r="M15243" t="s">
        <v>45022</v>
      </c>
      <c r="N15243" t="s">
        <v>45095</v>
      </c>
      <c r="O15243" t="s">
        <v>45096</v>
      </c>
      <c r="Q15243">
        <v>11</v>
      </c>
      <c r="R15243" t="s">
        <v>45181</v>
      </c>
      <c r="S15243" t="s">
        <v>46019</v>
      </c>
      <c r="T15243" t="s">
        <v>47456</v>
      </c>
      <c r="U15243" t="s">
        <v>59690</v>
      </c>
      <c r="W15243" t="s">
        <v>45022</v>
      </c>
      <c r="X15243" t="s">
        <v>61789</v>
      </c>
    </row>
    <row r="15244" spans="1:24">
      <c r="A15244">
        <f>HYPERLINK("https://www.philgeps.gov.ph/GEPSNONPILOT/Tender/SplashBidNoticeAbstractUI.aspx?menuIndex=3&amp;refID=6898465&amp;Result=3","6898465")</f>
        <v>0</v>
      </c>
      <c r="B15244" t="s">
        <v>3023</v>
      </c>
      <c r="C15244" t="s">
        <v>17809</v>
      </c>
      <c r="D15244" t="s">
        <v>18022</v>
      </c>
      <c r="E15244" t="s">
        <v>31388</v>
      </c>
      <c r="F15244" t="s">
        <v>31574</v>
      </c>
      <c r="G15244" t="s">
        <v>31582</v>
      </c>
      <c r="H15244" t="s">
        <v>31590</v>
      </c>
      <c r="I15244" t="s">
        <v>3487</v>
      </c>
      <c r="J15244" t="s">
        <v>41059</v>
      </c>
      <c r="K15244" t="s">
        <v>41189</v>
      </c>
      <c r="M15244" t="s">
        <v>44855</v>
      </c>
      <c r="N15244" t="s">
        <v>45095</v>
      </c>
      <c r="O15244" t="s">
        <v>45096</v>
      </c>
      <c r="Q15244">
        <v>2</v>
      </c>
      <c r="R15244" t="s">
        <v>45181</v>
      </c>
      <c r="S15244" t="s">
        <v>46724</v>
      </c>
      <c r="T15244" t="s">
        <v>46936</v>
      </c>
      <c r="U15244" t="s">
        <v>58196</v>
      </c>
      <c r="W15244" t="s">
        <v>61771</v>
      </c>
      <c r="X15244" t="s">
        <v>45183</v>
      </c>
    </row>
    <row r="15245" spans="1:24">
      <c r="A15245">
        <f>HYPERLINK("https://www.philgeps.gov.ph/GEPSNONPILOT/Tender/SplashBidNoticeAbstractUI.aspx?menuIndex=3&amp;refID=6898529&amp;Result=3","6898529")</f>
        <v>0</v>
      </c>
      <c r="B15245" t="s">
        <v>3023</v>
      </c>
      <c r="C15245" t="s">
        <v>17810</v>
      </c>
      <c r="D15245" t="s">
        <v>18022</v>
      </c>
      <c r="E15245" t="s">
        <v>31389</v>
      </c>
      <c r="F15245" t="s">
        <v>31574</v>
      </c>
      <c r="G15245" t="s">
        <v>31582</v>
      </c>
      <c r="H15245" t="s">
        <v>31590</v>
      </c>
      <c r="I15245" t="s">
        <v>8258</v>
      </c>
      <c r="J15245" t="s">
        <v>41060</v>
      </c>
      <c r="K15245" t="s">
        <v>41189</v>
      </c>
      <c r="M15245" t="s">
        <v>44855</v>
      </c>
      <c r="N15245" t="s">
        <v>45095</v>
      </c>
      <c r="O15245" t="s">
        <v>45096</v>
      </c>
      <c r="Q15245">
        <v>19</v>
      </c>
      <c r="R15245" t="s">
        <v>45181</v>
      </c>
      <c r="S15245" t="s">
        <v>46725</v>
      </c>
      <c r="T15245" t="s">
        <v>46936</v>
      </c>
      <c r="U15245" t="s">
        <v>58196</v>
      </c>
      <c r="W15245" t="s">
        <v>61771</v>
      </c>
      <c r="X15245" t="s">
        <v>45183</v>
      </c>
    </row>
    <row r="15246" spans="1:24">
      <c r="A15246">
        <f>HYPERLINK("https://www.philgeps.gov.ph/GEPSNONPILOT/Tender/SplashBidNoticeAbstractUI.aspx?menuIndex=3&amp;refID=6898493&amp;Result=3","6898493")</f>
        <v>0</v>
      </c>
      <c r="B15246" t="s">
        <v>3023</v>
      </c>
      <c r="C15246" t="s">
        <v>17811</v>
      </c>
      <c r="D15246" t="s">
        <v>18022</v>
      </c>
      <c r="E15246" t="s">
        <v>19556</v>
      </c>
      <c r="F15246" t="s">
        <v>31574</v>
      </c>
      <c r="G15246" t="s">
        <v>31582</v>
      </c>
      <c r="H15246" t="s">
        <v>31590</v>
      </c>
      <c r="I15246" t="s">
        <v>3487</v>
      </c>
      <c r="J15246" t="s">
        <v>41061</v>
      </c>
      <c r="K15246" t="s">
        <v>41189</v>
      </c>
      <c r="M15246" t="s">
        <v>44855</v>
      </c>
      <c r="N15246" t="s">
        <v>45095</v>
      </c>
      <c r="O15246" t="s">
        <v>45096</v>
      </c>
      <c r="Q15246">
        <v>2</v>
      </c>
      <c r="R15246" t="s">
        <v>45181</v>
      </c>
      <c r="S15246" t="s">
        <v>46726</v>
      </c>
      <c r="T15246" t="s">
        <v>46936</v>
      </c>
      <c r="U15246" t="s">
        <v>58196</v>
      </c>
      <c r="W15246" t="s">
        <v>61771</v>
      </c>
      <c r="X15246" t="s">
        <v>45183</v>
      </c>
    </row>
    <row r="15247" spans="1:24">
      <c r="A15247">
        <f>HYPERLINK("https://www.philgeps.gov.ph/GEPSNONPILOT/Tender/SplashBidNoticeAbstractUI.aspx?menuIndex=3&amp;refID=6898213&amp;Result=3","6898213")</f>
        <v>0</v>
      </c>
      <c r="B15247" t="s">
        <v>2196</v>
      </c>
      <c r="C15247" t="s">
        <v>17812</v>
      </c>
      <c r="D15247" t="s">
        <v>18086</v>
      </c>
      <c r="E15247" t="s">
        <v>31390</v>
      </c>
      <c r="F15247" t="s">
        <v>31574</v>
      </c>
      <c r="G15247" t="s">
        <v>31582</v>
      </c>
      <c r="H15247" t="s">
        <v>31591</v>
      </c>
      <c r="I15247" t="s">
        <v>8822</v>
      </c>
      <c r="J15247" t="s">
        <v>41062</v>
      </c>
      <c r="K15247" t="s">
        <v>41400</v>
      </c>
      <c r="M15247" t="s">
        <v>45012</v>
      </c>
      <c r="N15247" t="s">
        <v>45095</v>
      </c>
      <c r="O15247" t="s">
        <v>45096</v>
      </c>
      <c r="Q15247">
        <v>4</v>
      </c>
      <c r="R15247" t="s">
        <v>45182</v>
      </c>
      <c r="S15247" t="s">
        <v>46727</v>
      </c>
      <c r="T15247" t="s">
        <v>47064</v>
      </c>
      <c r="U15247" t="s">
        <v>59691</v>
      </c>
      <c r="V15247" t="s">
        <v>61610</v>
      </c>
      <c r="W15247" t="s">
        <v>45012</v>
      </c>
      <c r="X15247" t="s">
        <v>45183</v>
      </c>
    </row>
    <row r="15248" spans="1:24">
      <c r="A15248">
        <f>HYPERLINK("https://www.philgeps.gov.ph/GEPSNONPILOT/Tender/SplashBidNoticeAbstractUI.aspx?menuIndex=3&amp;refID=6898168&amp;Result=3","6898168")</f>
        <v>0</v>
      </c>
      <c r="B15248" t="s">
        <v>2744</v>
      </c>
      <c r="C15248" t="s">
        <v>17813</v>
      </c>
      <c r="D15248" t="s">
        <v>18051</v>
      </c>
      <c r="E15248" t="s">
        <v>31391</v>
      </c>
      <c r="F15248" t="s">
        <v>31574</v>
      </c>
      <c r="G15248" t="s">
        <v>31582</v>
      </c>
      <c r="H15248" t="s">
        <v>31591</v>
      </c>
      <c r="I15248" t="s">
        <v>8822</v>
      </c>
      <c r="J15248" t="s">
        <v>32101</v>
      </c>
      <c r="K15248" t="s">
        <v>41222</v>
      </c>
      <c r="M15248" t="s">
        <v>44516</v>
      </c>
      <c r="N15248" t="s">
        <v>45095</v>
      </c>
      <c r="O15248" t="s">
        <v>45096</v>
      </c>
      <c r="Q15248">
        <v>1</v>
      </c>
      <c r="R15248" t="s">
        <v>45182</v>
      </c>
      <c r="S15248" t="s">
        <v>46728</v>
      </c>
      <c r="T15248" t="s">
        <v>47197</v>
      </c>
      <c r="U15248" t="s">
        <v>59692</v>
      </c>
      <c r="W15248" t="s">
        <v>44516</v>
      </c>
      <c r="X15248" t="s">
        <v>45183</v>
      </c>
    </row>
    <row r="15249" spans="1:24">
      <c r="A15249">
        <f>HYPERLINK("https://www.philgeps.gov.ph/GEPSNONPILOT/Tender/SplashBidNoticeAbstractUI.aspx?menuIndex=3&amp;refID=6895979&amp;Result=3","6895979")</f>
        <v>0</v>
      </c>
      <c r="B15249" t="s">
        <v>684</v>
      </c>
      <c r="C15249" t="s">
        <v>17814</v>
      </c>
      <c r="E15249" t="s">
        <v>31392</v>
      </c>
      <c r="F15249" t="s">
        <v>31574</v>
      </c>
      <c r="G15249" t="s">
        <v>31582</v>
      </c>
      <c r="H15249" t="s">
        <v>31590</v>
      </c>
      <c r="I15249" t="s">
        <v>6800</v>
      </c>
      <c r="J15249" t="s">
        <v>41063</v>
      </c>
      <c r="K15249" t="s">
        <v>41184</v>
      </c>
      <c r="M15249" t="s">
        <v>42191</v>
      </c>
      <c r="N15249" t="s">
        <v>45095</v>
      </c>
      <c r="O15249" t="s">
        <v>45096</v>
      </c>
      <c r="Q15249">
        <v>13</v>
      </c>
      <c r="R15249" t="s">
        <v>45182</v>
      </c>
      <c r="S15249" t="s">
        <v>46729</v>
      </c>
      <c r="T15249" t="s">
        <v>46973</v>
      </c>
      <c r="U15249" t="s">
        <v>59584</v>
      </c>
      <c r="V15249" t="s">
        <v>61611</v>
      </c>
      <c r="W15249" t="s">
        <v>42191</v>
      </c>
      <c r="X15249" t="s">
        <v>45184</v>
      </c>
    </row>
    <row r="15250" spans="1:24">
      <c r="A15250">
        <f>HYPERLINK("https://www.philgeps.gov.ph/GEPSNONPILOT/Tender/SplashBidNoticeAbstractUI.aspx?menuIndex=3&amp;refID=6898387&amp;Result=3","6898387")</f>
        <v>0</v>
      </c>
      <c r="B15250" t="s">
        <v>3023</v>
      </c>
      <c r="C15250" t="s">
        <v>17815</v>
      </c>
      <c r="D15250" t="s">
        <v>18022</v>
      </c>
      <c r="E15250" t="s">
        <v>31393</v>
      </c>
      <c r="F15250" t="s">
        <v>31574</v>
      </c>
      <c r="G15250" t="s">
        <v>31582</v>
      </c>
      <c r="H15250" t="s">
        <v>31590</v>
      </c>
      <c r="I15250" t="s">
        <v>3487</v>
      </c>
      <c r="J15250" t="s">
        <v>41064</v>
      </c>
      <c r="K15250" t="s">
        <v>41189</v>
      </c>
      <c r="M15250" t="s">
        <v>44855</v>
      </c>
      <c r="N15250" t="s">
        <v>45095</v>
      </c>
      <c r="O15250" t="s">
        <v>45096</v>
      </c>
      <c r="Q15250">
        <v>3</v>
      </c>
      <c r="R15250" t="s">
        <v>45181</v>
      </c>
      <c r="S15250" t="s">
        <v>46730</v>
      </c>
      <c r="T15250" t="s">
        <v>46936</v>
      </c>
      <c r="U15250" t="s">
        <v>58196</v>
      </c>
      <c r="W15250" t="s">
        <v>61771</v>
      </c>
      <c r="X15250" t="s">
        <v>45183</v>
      </c>
    </row>
    <row r="15251" spans="1:24">
      <c r="A15251">
        <f>HYPERLINK("https://www.philgeps.gov.ph/GEPSNONPILOT/Tender/SplashBidNoticeAbstractUI.aspx?menuIndex=3&amp;refID=6897984&amp;Result=3","6897984")</f>
        <v>0</v>
      </c>
      <c r="B15251" t="s">
        <v>386</v>
      </c>
      <c r="C15251" t="s">
        <v>17816</v>
      </c>
      <c r="D15251" t="s">
        <v>18052</v>
      </c>
      <c r="E15251" t="s">
        <v>31394</v>
      </c>
      <c r="F15251" t="s">
        <v>31574</v>
      </c>
      <c r="G15251" t="s">
        <v>31582</v>
      </c>
      <c r="H15251" t="s">
        <v>31590</v>
      </c>
      <c r="I15251" t="s">
        <v>31624</v>
      </c>
      <c r="J15251" t="s">
        <v>41065</v>
      </c>
      <c r="K15251" t="s">
        <v>41192</v>
      </c>
      <c r="M15251" t="s">
        <v>41877</v>
      </c>
      <c r="N15251" t="s">
        <v>45095</v>
      </c>
      <c r="O15251" t="s">
        <v>45096</v>
      </c>
      <c r="Q15251">
        <v>10</v>
      </c>
      <c r="R15251" t="s">
        <v>45182</v>
      </c>
      <c r="S15251" t="s">
        <v>46731</v>
      </c>
      <c r="T15251" t="s">
        <v>47050</v>
      </c>
      <c r="U15251" t="s">
        <v>59693</v>
      </c>
      <c r="V15251" t="s">
        <v>59932</v>
      </c>
      <c r="W15251" t="s">
        <v>41877</v>
      </c>
      <c r="X15251" t="s">
        <v>45183</v>
      </c>
    </row>
    <row r="15252" spans="1:24">
      <c r="A15252">
        <f>HYPERLINK("https://www.philgeps.gov.ph/GEPSNONPILOT/Tender/SplashBidNoticeAbstractUI.aspx?menuIndex=3&amp;refID=6898133&amp;Result=3","6898133")</f>
        <v>0</v>
      </c>
      <c r="B15252" t="s">
        <v>1965</v>
      </c>
      <c r="C15252" t="s">
        <v>17817</v>
      </c>
      <c r="D15252" t="s">
        <v>18022</v>
      </c>
      <c r="E15252" t="s">
        <v>31395</v>
      </c>
      <c r="F15252" t="s">
        <v>31574</v>
      </c>
      <c r="G15252" t="s">
        <v>31582</v>
      </c>
      <c r="H15252" t="s">
        <v>31590</v>
      </c>
      <c r="I15252" t="s">
        <v>31627</v>
      </c>
      <c r="J15252" t="s">
        <v>38541</v>
      </c>
      <c r="K15252" t="s">
        <v>41184</v>
      </c>
      <c r="M15252" t="s">
        <v>43622</v>
      </c>
      <c r="N15252" t="s">
        <v>45095</v>
      </c>
      <c r="O15252" t="s">
        <v>45096</v>
      </c>
      <c r="Q15252">
        <v>8</v>
      </c>
      <c r="R15252" t="s">
        <v>45181</v>
      </c>
      <c r="S15252" t="s">
        <v>46732</v>
      </c>
      <c r="T15252" t="s">
        <v>46969</v>
      </c>
      <c r="U15252" t="s">
        <v>52754</v>
      </c>
      <c r="W15252" t="s">
        <v>43622</v>
      </c>
      <c r="X15252" t="s">
        <v>45183</v>
      </c>
    </row>
    <row r="15253" spans="1:24">
      <c r="A15253">
        <f>HYPERLINK("https://www.philgeps.gov.ph/GEPSNONPILOT/Tender/SplashBidNoticeAbstractUI.aspx?menuIndex=3&amp;refID=6897666&amp;Result=3","6897666")</f>
        <v>0</v>
      </c>
      <c r="B15253" t="s">
        <v>386</v>
      </c>
      <c r="C15253" t="s">
        <v>17818</v>
      </c>
      <c r="D15253" t="s">
        <v>18052</v>
      </c>
      <c r="E15253" t="s">
        <v>31396</v>
      </c>
      <c r="F15253" t="s">
        <v>31574</v>
      </c>
      <c r="G15253" t="s">
        <v>31582</v>
      </c>
      <c r="H15253" t="s">
        <v>31590</v>
      </c>
      <c r="I15253" t="s">
        <v>31615</v>
      </c>
      <c r="J15253" t="s">
        <v>31771</v>
      </c>
      <c r="K15253" t="s">
        <v>41192</v>
      </c>
      <c r="M15253" t="s">
        <v>41877</v>
      </c>
      <c r="N15253" t="s">
        <v>45095</v>
      </c>
      <c r="O15253" t="s">
        <v>45096</v>
      </c>
      <c r="Q15253">
        <v>6</v>
      </c>
      <c r="R15253" t="s">
        <v>45182</v>
      </c>
      <c r="S15253" t="s">
        <v>46733</v>
      </c>
      <c r="T15253" t="s">
        <v>47050</v>
      </c>
      <c r="U15253" t="s">
        <v>59694</v>
      </c>
      <c r="V15253" t="s">
        <v>59932</v>
      </c>
      <c r="W15253" t="s">
        <v>41877</v>
      </c>
      <c r="X15253" t="s">
        <v>45183</v>
      </c>
    </row>
    <row r="15254" spans="1:24">
      <c r="A15254">
        <f>HYPERLINK("https://www.philgeps.gov.ph/GEPSNONPILOT/Tender/SplashBidNoticeAbstractUI.aspx?menuIndex=3&amp;refID=6898412&amp;Result=3","6898412")</f>
        <v>0</v>
      </c>
      <c r="B15254" t="s">
        <v>3023</v>
      </c>
      <c r="C15254" t="s">
        <v>17819</v>
      </c>
      <c r="D15254" t="s">
        <v>18022</v>
      </c>
      <c r="E15254" t="s">
        <v>31397</v>
      </c>
      <c r="F15254" t="s">
        <v>31574</v>
      </c>
      <c r="G15254" t="s">
        <v>31582</v>
      </c>
      <c r="H15254" t="s">
        <v>31590</v>
      </c>
      <c r="I15254" t="s">
        <v>3487</v>
      </c>
      <c r="J15254" t="s">
        <v>41066</v>
      </c>
      <c r="K15254" t="s">
        <v>41189</v>
      </c>
      <c r="M15254" t="s">
        <v>44855</v>
      </c>
      <c r="N15254" t="s">
        <v>45095</v>
      </c>
      <c r="O15254" t="s">
        <v>45096</v>
      </c>
      <c r="Q15254">
        <v>1</v>
      </c>
      <c r="R15254" t="s">
        <v>45181</v>
      </c>
      <c r="S15254" t="s">
        <v>46734</v>
      </c>
      <c r="T15254" t="s">
        <v>46936</v>
      </c>
      <c r="U15254" t="s">
        <v>58196</v>
      </c>
      <c r="W15254" t="s">
        <v>61771</v>
      </c>
      <c r="X15254" t="s">
        <v>45183</v>
      </c>
    </row>
    <row r="15255" spans="1:24">
      <c r="A15255">
        <f>HYPERLINK("https://www.philgeps.gov.ph/GEPSNONPILOT/Tender/SplashBidNoticeAbstractUI.aspx?menuIndex=3&amp;refID=6898365&amp;Result=3","6898365")</f>
        <v>0</v>
      </c>
      <c r="B15255" t="s">
        <v>3023</v>
      </c>
      <c r="C15255" t="s">
        <v>17820</v>
      </c>
      <c r="D15255" t="s">
        <v>18022</v>
      </c>
      <c r="E15255" t="s">
        <v>31398</v>
      </c>
      <c r="F15255" t="s">
        <v>31574</v>
      </c>
      <c r="G15255" t="s">
        <v>31582</v>
      </c>
      <c r="H15255" t="s">
        <v>31590</v>
      </c>
      <c r="I15255" t="s">
        <v>3487</v>
      </c>
      <c r="J15255" t="s">
        <v>41067</v>
      </c>
      <c r="K15255" t="s">
        <v>41189</v>
      </c>
      <c r="M15255" t="s">
        <v>44855</v>
      </c>
      <c r="N15255" t="s">
        <v>45095</v>
      </c>
      <c r="O15255" t="s">
        <v>45096</v>
      </c>
      <c r="Q15255">
        <v>2</v>
      </c>
      <c r="R15255" t="s">
        <v>45181</v>
      </c>
      <c r="S15255" t="s">
        <v>46735</v>
      </c>
      <c r="T15255" t="s">
        <v>46936</v>
      </c>
      <c r="U15255" t="s">
        <v>58196</v>
      </c>
      <c r="W15255" t="s">
        <v>61771</v>
      </c>
      <c r="X15255" t="s">
        <v>45183</v>
      </c>
    </row>
    <row r="15256" spans="1:24">
      <c r="A15256">
        <f>HYPERLINK("https://www.philgeps.gov.ph/GEPSNONPILOT/Tender/SplashBidNoticeAbstractUI.aspx?menuIndex=3&amp;refID=6898443&amp;Result=3","6898443")</f>
        <v>0</v>
      </c>
      <c r="B15256" t="s">
        <v>3023</v>
      </c>
      <c r="C15256" t="s">
        <v>17821</v>
      </c>
      <c r="D15256" t="s">
        <v>18022</v>
      </c>
      <c r="E15256" t="s">
        <v>31399</v>
      </c>
      <c r="F15256" t="s">
        <v>31574</v>
      </c>
      <c r="G15256" t="s">
        <v>31582</v>
      </c>
      <c r="H15256" t="s">
        <v>31590</v>
      </c>
      <c r="I15256" t="s">
        <v>3487</v>
      </c>
      <c r="J15256" t="s">
        <v>41068</v>
      </c>
      <c r="K15256" t="s">
        <v>41189</v>
      </c>
      <c r="M15256" t="s">
        <v>44855</v>
      </c>
      <c r="N15256" t="s">
        <v>45095</v>
      </c>
      <c r="O15256" t="s">
        <v>45096</v>
      </c>
      <c r="Q15256">
        <v>2</v>
      </c>
      <c r="R15256" t="s">
        <v>45181</v>
      </c>
      <c r="S15256" t="s">
        <v>46736</v>
      </c>
      <c r="T15256" t="s">
        <v>46936</v>
      </c>
      <c r="U15256" t="s">
        <v>58196</v>
      </c>
      <c r="W15256" t="s">
        <v>61771</v>
      </c>
      <c r="X15256" t="s">
        <v>45183</v>
      </c>
    </row>
    <row r="15257" spans="1:24">
      <c r="A15257">
        <f>HYPERLINK("https://www.philgeps.gov.ph/GEPSNONPILOT/Tender/SplashBidNoticeAbstractUI.aspx?menuIndex=3&amp;refID=6896008&amp;Result=3","6896008")</f>
        <v>0</v>
      </c>
      <c r="B15257" t="s">
        <v>684</v>
      </c>
      <c r="C15257" t="s">
        <v>17822</v>
      </c>
      <c r="E15257" t="s">
        <v>31400</v>
      </c>
      <c r="F15257" t="s">
        <v>31574</v>
      </c>
      <c r="G15257" t="s">
        <v>31582</v>
      </c>
      <c r="H15257" t="s">
        <v>31590</v>
      </c>
      <c r="I15257" t="s">
        <v>31615</v>
      </c>
      <c r="J15257" t="s">
        <v>31730</v>
      </c>
      <c r="K15257" t="s">
        <v>41184</v>
      </c>
      <c r="M15257" t="s">
        <v>42191</v>
      </c>
      <c r="N15257" t="s">
        <v>45095</v>
      </c>
      <c r="O15257" t="s">
        <v>45096</v>
      </c>
      <c r="Q15257">
        <v>11</v>
      </c>
      <c r="R15257" t="s">
        <v>45182</v>
      </c>
      <c r="S15257" t="s">
        <v>46737</v>
      </c>
      <c r="T15257" t="s">
        <v>46973</v>
      </c>
      <c r="U15257" t="s">
        <v>59584</v>
      </c>
      <c r="V15257" t="s">
        <v>61612</v>
      </c>
      <c r="W15257" t="s">
        <v>42191</v>
      </c>
      <c r="X15257" t="s">
        <v>45184</v>
      </c>
    </row>
    <row r="15258" spans="1:24">
      <c r="A15258">
        <f>HYPERLINK("https://www.philgeps.gov.ph/GEPSNONPILOT/Tender/SplashBidNoticeAbstractUI.aspx?menuIndex=3&amp;refID=6898314&amp;Result=3","6898314")</f>
        <v>0</v>
      </c>
      <c r="B15258" t="s">
        <v>1494</v>
      </c>
      <c r="C15258" t="s">
        <v>17823</v>
      </c>
      <c r="D15258" t="s">
        <v>18031</v>
      </c>
      <c r="E15258" t="s">
        <v>31401</v>
      </c>
      <c r="F15258" t="s">
        <v>31574</v>
      </c>
      <c r="G15258" t="s">
        <v>31582</v>
      </c>
      <c r="H15258" t="s">
        <v>31590</v>
      </c>
      <c r="I15258" t="s">
        <v>31685</v>
      </c>
      <c r="J15258" t="s">
        <v>41069</v>
      </c>
      <c r="K15258" t="s">
        <v>41189</v>
      </c>
      <c r="M15258" t="s">
        <v>44097</v>
      </c>
      <c r="N15258" t="s">
        <v>45095</v>
      </c>
      <c r="O15258" t="s">
        <v>45096</v>
      </c>
      <c r="Q15258">
        <v>40</v>
      </c>
      <c r="R15258" t="s">
        <v>45182</v>
      </c>
      <c r="S15258" t="s">
        <v>46738</v>
      </c>
      <c r="T15258" t="s">
        <v>46914</v>
      </c>
      <c r="U15258" t="s">
        <v>59695</v>
      </c>
      <c r="W15258" t="s">
        <v>44097</v>
      </c>
      <c r="X15258" t="s">
        <v>45183</v>
      </c>
    </row>
    <row r="15259" spans="1:24">
      <c r="A15259">
        <f>HYPERLINK("https://www.philgeps.gov.ph/GEPSNONPILOT/Tender/SplashBidNoticeAbstractUI.aspx?menuIndex=3&amp;refID=6903240&amp;Result=3","6903240")</f>
        <v>0</v>
      </c>
      <c r="B15259" t="s">
        <v>3184</v>
      </c>
      <c r="C15259" t="s">
        <v>17824</v>
      </c>
      <c r="D15259" t="s">
        <v>18048</v>
      </c>
      <c r="E15259" t="s">
        <v>31402</v>
      </c>
      <c r="F15259" t="s">
        <v>31574</v>
      </c>
      <c r="G15259" t="s">
        <v>31582</v>
      </c>
      <c r="H15259" t="s">
        <v>31591</v>
      </c>
      <c r="I15259" t="s">
        <v>8822</v>
      </c>
      <c r="J15259" t="s">
        <v>41070</v>
      </c>
      <c r="K15259" t="s">
        <v>41189</v>
      </c>
      <c r="M15259" t="s">
        <v>45073</v>
      </c>
      <c r="N15259" t="s">
        <v>45095</v>
      </c>
      <c r="O15259" t="s">
        <v>45096</v>
      </c>
      <c r="Q15259">
        <v>15</v>
      </c>
      <c r="R15259" t="s">
        <v>45180</v>
      </c>
      <c r="S15259" t="s">
        <v>45831</v>
      </c>
      <c r="T15259" t="s">
        <v>47457</v>
      </c>
      <c r="U15259" t="s">
        <v>59696</v>
      </c>
      <c r="V15259" t="s">
        <v>61613</v>
      </c>
      <c r="W15259" t="s">
        <v>45073</v>
      </c>
      <c r="X15259" t="s">
        <v>45181</v>
      </c>
    </row>
    <row r="15260" spans="1:24">
      <c r="A15260">
        <f>HYPERLINK("https://www.philgeps.gov.ph/GEPSNONPILOT/Tender/SplashBidNoticeAbstractUI.aspx?menuIndex=3&amp;refID=6856856-2&amp;Result=3","6856856-2")</f>
        <v>0</v>
      </c>
      <c r="B15260" t="s">
        <v>776</v>
      </c>
      <c r="C15260" t="s">
        <v>17825</v>
      </c>
      <c r="E15260" t="s">
        <v>31403</v>
      </c>
      <c r="F15260" t="s">
        <v>31574</v>
      </c>
      <c r="G15260" t="s">
        <v>31582</v>
      </c>
      <c r="H15260" t="s">
        <v>31592</v>
      </c>
      <c r="I15260" t="s">
        <v>31593</v>
      </c>
      <c r="J15260" t="s">
        <v>41071</v>
      </c>
      <c r="K15260" t="s">
        <v>41346</v>
      </c>
      <c r="M15260" t="s">
        <v>42290</v>
      </c>
      <c r="N15260" t="s">
        <v>45095</v>
      </c>
      <c r="O15260" t="s">
        <v>45096</v>
      </c>
      <c r="Q15260">
        <v>0</v>
      </c>
      <c r="R15260" t="s">
        <v>45183</v>
      </c>
      <c r="S15260" t="s">
        <v>46739</v>
      </c>
      <c r="T15260" t="s">
        <v>46985</v>
      </c>
      <c r="U15260" t="s">
        <v>59697</v>
      </c>
      <c r="W15260" t="s">
        <v>42290</v>
      </c>
      <c r="X15260" t="s">
        <v>45184</v>
      </c>
    </row>
    <row r="15261" spans="1:24">
      <c r="A15261">
        <f>HYPERLINK("https://www.philgeps.gov.ph/GEPSNONPILOT/Tender/SplashBidNoticeAbstractUI.aspx?menuIndex=3&amp;refID=6798901-2&amp;Result=3","6798901-2")</f>
        <v>0</v>
      </c>
      <c r="B15261" t="s">
        <v>1329</v>
      </c>
      <c r="C15261" t="s">
        <v>17826</v>
      </c>
      <c r="D15261" t="s">
        <v>18022</v>
      </c>
      <c r="E15261" t="s">
        <v>31404</v>
      </c>
      <c r="F15261" t="s">
        <v>31574</v>
      </c>
      <c r="G15261" t="s">
        <v>31588</v>
      </c>
      <c r="H15261" t="s">
        <v>31593</v>
      </c>
      <c r="I15261" t="s">
        <v>31593</v>
      </c>
      <c r="J15261" t="s">
        <v>41072</v>
      </c>
      <c r="K15261" t="s">
        <v>41494</v>
      </c>
      <c r="M15261" t="s">
        <v>44052</v>
      </c>
      <c r="N15261" t="s">
        <v>45095</v>
      </c>
      <c r="O15261" t="s">
        <v>45096</v>
      </c>
      <c r="Q15261">
        <v>0</v>
      </c>
      <c r="R15261" t="s">
        <v>45183</v>
      </c>
      <c r="S15261" t="s">
        <v>46740</v>
      </c>
      <c r="T15261" t="s">
        <v>47162</v>
      </c>
      <c r="U15261" t="s">
        <v>59698</v>
      </c>
      <c r="W15261" t="s">
        <v>44052</v>
      </c>
      <c r="X15261" t="s">
        <v>45184</v>
      </c>
    </row>
    <row r="15262" spans="1:24">
      <c r="A15262">
        <f>HYPERLINK("https://www.philgeps.gov.ph/GEPSNONPILOT/Tender/SplashBidNoticeAbstractUI.aspx?menuIndex=3&amp;refID=6899260&amp;Result=3","6899260")</f>
        <v>0</v>
      </c>
      <c r="B15262" t="s">
        <v>3174</v>
      </c>
      <c r="C15262" t="s">
        <v>17827</v>
      </c>
      <c r="D15262" t="s">
        <v>18079</v>
      </c>
      <c r="E15262" t="s">
        <v>31405</v>
      </c>
      <c r="F15262" t="s">
        <v>31574</v>
      </c>
      <c r="G15262" t="s">
        <v>31582</v>
      </c>
      <c r="H15262" t="s">
        <v>31590</v>
      </c>
      <c r="I15262" t="s">
        <v>31676</v>
      </c>
      <c r="J15262" t="s">
        <v>41073</v>
      </c>
      <c r="K15262" t="s">
        <v>41189</v>
      </c>
      <c r="M15262" t="s">
        <v>45054</v>
      </c>
      <c r="N15262" t="s">
        <v>45095</v>
      </c>
      <c r="O15262" t="s">
        <v>45096</v>
      </c>
      <c r="Q15262">
        <v>6</v>
      </c>
      <c r="R15262" t="s">
        <v>45182</v>
      </c>
      <c r="S15262" t="s">
        <v>46741</v>
      </c>
      <c r="T15262" t="s">
        <v>47171</v>
      </c>
      <c r="U15262" t="s">
        <v>59575</v>
      </c>
      <c r="W15262" t="s">
        <v>45054</v>
      </c>
      <c r="X15262" t="s">
        <v>45183</v>
      </c>
    </row>
    <row r="15263" spans="1:24">
      <c r="A15263">
        <f>HYPERLINK("https://www.philgeps.gov.ph/GEPSNONPILOT/Tender/SplashBidNoticeAbstractUI.aspx?menuIndex=3&amp;refID=6897232&amp;Result=3","6897232")</f>
        <v>0</v>
      </c>
      <c r="B15263" t="s">
        <v>386</v>
      </c>
      <c r="C15263" t="s">
        <v>17828</v>
      </c>
      <c r="D15263" t="s">
        <v>18052</v>
      </c>
      <c r="E15263" t="s">
        <v>31406</v>
      </c>
      <c r="F15263" t="s">
        <v>31574</v>
      </c>
      <c r="G15263" t="s">
        <v>31582</v>
      </c>
      <c r="H15263" t="s">
        <v>31590</v>
      </c>
      <c r="I15263" t="s">
        <v>31615</v>
      </c>
      <c r="J15263" t="s">
        <v>31758</v>
      </c>
      <c r="K15263" t="s">
        <v>41192</v>
      </c>
      <c r="M15263" t="s">
        <v>41877</v>
      </c>
      <c r="N15263" t="s">
        <v>45095</v>
      </c>
      <c r="O15263" t="s">
        <v>45096</v>
      </c>
      <c r="Q15263">
        <v>7</v>
      </c>
      <c r="R15263" t="s">
        <v>45182</v>
      </c>
      <c r="S15263" t="s">
        <v>46742</v>
      </c>
      <c r="T15263" t="s">
        <v>47050</v>
      </c>
      <c r="U15263" t="s">
        <v>59699</v>
      </c>
      <c r="V15263" t="s">
        <v>59932</v>
      </c>
      <c r="W15263" t="s">
        <v>41877</v>
      </c>
      <c r="X15263" t="s">
        <v>45183</v>
      </c>
    </row>
    <row r="15264" spans="1:24">
      <c r="A15264">
        <f>HYPERLINK("https://www.philgeps.gov.ph/GEPSNONPILOT/Tender/SplashBidNoticeAbstractUI.aspx?menuIndex=3&amp;refID=6899168&amp;Result=3","6899168")</f>
        <v>0</v>
      </c>
      <c r="B15264" t="s">
        <v>3174</v>
      </c>
      <c r="C15264" t="s">
        <v>17829</v>
      </c>
      <c r="D15264" t="s">
        <v>18079</v>
      </c>
      <c r="E15264" t="s">
        <v>31407</v>
      </c>
      <c r="F15264" t="s">
        <v>31574</v>
      </c>
      <c r="G15264" t="s">
        <v>31582</v>
      </c>
      <c r="H15264" t="s">
        <v>31592</v>
      </c>
      <c r="I15264" t="s">
        <v>31676</v>
      </c>
      <c r="J15264" t="s">
        <v>41074</v>
      </c>
      <c r="K15264" t="s">
        <v>41189</v>
      </c>
      <c r="M15264" t="s">
        <v>45054</v>
      </c>
      <c r="N15264" t="s">
        <v>45095</v>
      </c>
      <c r="O15264" t="s">
        <v>45096</v>
      </c>
      <c r="Q15264">
        <v>11</v>
      </c>
      <c r="R15264" t="s">
        <v>45182</v>
      </c>
      <c r="S15264" t="s">
        <v>46743</v>
      </c>
      <c r="T15264" t="s">
        <v>47171</v>
      </c>
      <c r="U15264" t="s">
        <v>59700</v>
      </c>
      <c r="W15264" t="s">
        <v>45054</v>
      </c>
      <c r="X15264" t="s">
        <v>45183</v>
      </c>
    </row>
    <row r="15265" spans="1:24">
      <c r="A15265">
        <f>HYPERLINK("https://www.philgeps.gov.ph/GEPSNONPILOT/Tender/SplashBidNoticeAbstractUI.aspx?menuIndex=3&amp;refID=6899766&amp;Result=3","6899766")</f>
        <v>0</v>
      </c>
      <c r="B15265" t="s">
        <v>800</v>
      </c>
      <c r="C15265" t="s">
        <v>17830</v>
      </c>
      <c r="D15265" t="s">
        <v>18106</v>
      </c>
      <c r="E15265" t="s">
        <v>31408</v>
      </c>
      <c r="F15265" t="s">
        <v>31574</v>
      </c>
      <c r="G15265" t="s">
        <v>31582</v>
      </c>
      <c r="H15265" t="s">
        <v>31590</v>
      </c>
      <c r="I15265" t="s">
        <v>31676</v>
      </c>
      <c r="J15265" t="s">
        <v>41075</v>
      </c>
      <c r="K15265" t="s">
        <v>41192</v>
      </c>
      <c r="M15265" t="s">
        <v>42314</v>
      </c>
      <c r="N15265" t="s">
        <v>45095</v>
      </c>
      <c r="O15265" t="s">
        <v>45096</v>
      </c>
      <c r="Q15265">
        <v>10</v>
      </c>
      <c r="R15265" t="s">
        <v>45182</v>
      </c>
      <c r="S15265" t="s">
        <v>46744</v>
      </c>
      <c r="T15265" t="s">
        <v>47336</v>
      </c>
      <c r="U15265" t="s">
        <v>59701</v>
      </c>
      <c r="V15265" t="s">
        <v>61614</v>
      </c>
      <c r="W15265" t="s">
        <v>42314</v>
      </c>
      <c r="X15265" t="s">
        <v>45183</v>
      </c>
    </row>
    <row r="15266" spans="1:24">
      <c r="A15266">
        <f>HYPERLINK("https://www.philgeps.gov.ph/GEPSNONPILOT/Tender/SplashBidNoticeAbstractUI.aspx?menuIndex=3&amp;refID=6898974&amp;Result=3","6898974")</f>
        <v>0</v>
      </c>
      <c r="B15266" t="s">
        <v>1396</v>
      </c>
      <c r="C15266" t="s">
        <v>17831</v>
      </c>
      <c r="D15266" t="s">
        <v>18044</v>
      </c>
      <c r="E15266" t="s">
        <v>31409</v>
      </c>
      <c r="F15266" t="s">
        <v>31574</v>
      </c>
      <c r="G15266" t="s">
        <v>31584</v>
      </c>
      <c r="H15266" t="s">
        <v>31590</v>
      </c>
      <c r="I15266" t="s">
        <v>14034</v>
      </c>
      <c r="J15266" t="s">
        <v>31744</v>
      </c>
      <c r="K15266" t="s">
        <v>41184</v>
      </c>
      <c r="M15266" t="s">
        <v>44255</v>
      </c>
      <c r="N15266" t="s">
        <v>45095</v>
      </c>
      <c r="O15266" t="s">
        <v>45096</v>
      </c>
      <c r="Q15266">
        <v>6</v>
      </c>
      <c r="R15266" t="s">
        <v>45182</v>
      </c>
      <c r="S15266" t="s">
        <v>46745</v>
      </c>
      <c r="T15266" t="s">
        <v>47154</v>
      </c>
      <c r="U15266" t="s">
        <v>59702</v>
      </c>
      <c r="W15266" t="s">
        <v>44255</v>
      </c>
      <c r="X15266" t="s">
        <v>45183</v>
      </c>
    </row>
    <row r="15267" spans="1:24">
      <c r="A15267">
        <f>HYPERLINK("https://www.philgeps.gov.ph/GEPSNONPILOT/Tender/SplashBidNoticeAbstractUI.aspx?menuIndex=3&amp;refID=6899512&amp;Result=3","6899512")</f>
        <v>0</v>
      </c>
      <c r="B15267" t="s">
        <v>1612</v>
      </c>
      <c r="C15267" t="s">
        <v>17832</v>
      </c>
      <c r="D15267" t="s">
        <v>18070</v>
      </c>
      <c r="E15267" t="s">
        <v>31410</v>
      </c>
      <c r="F15267" t="s">
        <v>31574</v>
      </c>
      <c r="G15267" t="s">
        <v>31582</v>
      </c>
      <c r="H15267" t="s">
        <v>31591</v>
      </c>
      <c r="I15267" t="s">
        <v>8822</v>
      </c>
      <c r="J15267" t="s">
        <v>41076</v>
      </c>
      <c r="K15267" t="s">
        <v>41219</v>
      </c>
      <c r="M15267" t="s">
        <v>43217</v>
      </c>
      <c r="N15267" t="s">
        <v>45095</v>
      </c>
      <c r="O15267" t="s">
        <v>45096</v>
      </c>
      <c r="Q15267">
        <v>0</v>
      </c>
      <c r="R15267" t="s">
        <v>45182</v>
      </c>
      <c r="S15267" t="s">
        <v>46746</v>
      </c>
      <c r="T15267" t="s">
        <v>46973</v>
      </c>
      <c r="U15267" t="s">
        <v>51527</v>
      </c>
      <c r="W15267" t="s">
        <v>43217</v>
      </c>
      <c r="X15267" t="s">
        <v>45183</v>
      </c>
    </row>
    <row r="15268" spans="1:24">
      <c r="A15268">
        <f>HYPERLINK("https://www.philgeps.gov.ph/GEPSNONPILOT/Tender/SplashBidNoticeAbstractUI.aspx?menuIndex=3&amp;refID=6894340&amp;Result=3","6894340")</f>
        <v>0</v>
      </c>
      <c r="B15268" t="s">
        <v>1396</v>
      </c>
      <c r="C15268" t="s">
        <v>17833</v>
      </c>
      <c r="D15268" t="s">
        <v>18044</v>
      </c>
      <c r="E15268" t="s">
        <v>31411</v>
      </c>
      <c r="F15268" t="s">
        <v>31574</v>
      </c>
      <c r="G15268" t="s">
        <v>31582</v>
      </c>
      <c r="H15268" t="s">
        <v>31590</v>
      </c>
      <c r="I15268" t="s">
        <v>14034</v>
      </c>
      <c r="J15268" t="s">
        <v>31804</v>
      </c>
      <c r="K15268" t="s">
        <v>41184</v>
      </c>
      <c r="M15268" t="s">
        <v>45033</v>
      </c>
      <c r="N15268" t="s">
        <v>45095</v>
      </c>
      <c r="O15268" t="s">
        <v>45096</v>
      </c>
      <c r="Q15268">
        <v>10</v>
      </c>
      <c r="R15268" t="s">
        <v>45183</v>
      </c>
      <c r="S15268" t="s">
        <v>45478</v>
      </c>
      <c r="T15268" t="s">
        <v>47450</v>
      </c>
      <c r="U15268" t="s">
        <v>59703</v>
      </c>
      <c r="V15268" t="s">
        <v>61615</v>
      </c>
      <c r="W15268" t="s">
        <v>45033</v>
      </c>
      <c r="X15268" t="s">
        <v>45184</v>
      </c>
    </row>
    <row r="15269" spans="1:24">
      <c r="A15269">
        <f>HYPERLINK("https://www.philgeps.gov.ph/GEPSNONPILOT/Tender/SplashBidNoticeAbstractUI.aspx?menuIndex=3&amp;refID=6896039&amp;Result=3","6896039")</f>
        <v>0</v>
      </c>
      <c r="B15269" t="s">
        <v>684</v>
      </c>
      <c r="C15269" t="s">
        <v>17834</v>
      </c>
      <c r="E15269" t="s">
        <v>31412</v>
      </c>
      <c r="F15269" t="s">
        <v>31574</v>
      </c>
      <c r="G15269" t="s">
        <v>31582</v>
      </c>
      <c r="H15269" t="s">
        <v>31590</v>
      </c>
      <c r="I15269" t="s">
        <v>31615</v>
      </c>
      <c r="J15269" t="s">
        <v>34050</v>
      </c>
      <c r="K15269" t="s">
        <v>41184</v>
      </c>
      <c r="M15269" t="s">
        <v>42191</v>
      </c>
      <c r="N15269" t="s">
        <v>45095</v>
      </c>
      <c r="O15269" t="s">
        <v>45096</v>
      </c>
      <c r="Q15269">
        <v>21</v>
      </c>
      <c r="R15269" t="s">
        <v>45182</v>
      </c>
      <c r="S15269" t="s">
        <v>46747</v>
      </c>
      <c r="T15269" t="s">
        <v>46973</v>
      </c>
      <c r="U15269" t="s">
        <v>59584</v>
      </c>
      <c r="V15269" t="s">
        <v>61616</v>
      </c>
      <c r="W15269" t="s">
        <v>42191</v>
      </c>
      <c r="X15269" t="s">
        <v>45184</v>
      </c>
    </row>
    <row r="15270" spans="1:24">
      <c r="A15270">
        <f>HYPERLINK("https://www.philgeps.gov.ph/GEPSNONPILOT/Tender/SplashBidNoticeAbstractUI.aspx?menuIndex=3&amp;refID=6893966&amp;Result=3","6893966")</f>
        <v>0</v>
      </c>
      <c r="B15270" t="s">
        <v>1161</v>
      </c>
      <c r="C15270" t="s">
        <v>17835</v>
      </c>
      <c r="E15270" t="s">
        <v>31413</v>
      </c>
      <c r="F15270" t="s">
        <v>31574</v>
      </c>
      <c r="G15270" t="s">
        <v>31582</v>
      </c>
      <c r="H15270" t="s">
        <v>31591</v>
      </c>
      <c r="I15270" t="s">
        <v>8822</v>
      </c>
      <c r="J15270" t="s">
        <v>37939</v>
      </c>
      <c r="K15270" t="s">
        <v>41363</v>
      </c>
      <c r="M15270" t="s">
        <v>42720</v>
      </c>
      <c r="N15270" t="s">
        <v>45095</v>
      </c>
      <c r="O15270" t="s">
        <v>45096</v>
      </c>
      <c r="Q15270">
        <v>4</v>
      </c>
      <c r="R15270" t="s">
        <v>45183</v>
      </c>
      <c r="S15270" t="s">
        <v>46748</v>
      </c>
      <c r="T15270" t="s">
        <v>46941</v>
      </c>
      <c r="U15270" t="s">
        <v>59704</v>
      </c>
      <c r="W15270" t="s">
        <v>42720</v>
      </c>
      <c r="X15270" t="s">
        <v>45184</v>
      </c>
    </row>
    <row r="15271" spans="1:24">
      <c r="A15271">
        <f>HYPERLINK("https://www.philgeps.gov.ph/GEPSNONPILOT/Tender/SplashBidNoticeAbstractUI.aspx?menuIndex=3&amp;refID=6893990&amp;Result=3","6893990")</f>
        <v>0</v>
      </c>
      <c r="B15271" t="s">
        <v>1161</v>
      </c>
      <c r="C15271" t="s">
        <v>17836</v>
      </c>
      <c r="D15271" t="s">
        <v>18091</v>
      </c>
      <c r="E15271" t="s">
        <v>31414</v>
      </c>
      <c r="F15271" t="s">
        <v>31574</v>
      </c>
      <c r="G15271" t="s">
        <v>31582</v>
      </c>
      <c r="H15271" t="s">
        <v>31591</v>
      </c>
      <c r="I15271" t="s">
        <v>8822</v>
      </c>
      <c r="J15271" t="s">
        <v>37939</v>
      </c>
      <c r="K15271" t="s">
        <v>41363</v>
      </c>
      <c r="M15271" t="s">
        <v>42720</v>
      </c>
      <c r="N15271" t="s">
        <v>45095</v>
      </c>
      <c r="O15271" t="s">
        <v>45096</v>
      </c>
      <c r="Q15271">
        <v>3</v>
      </c>
      <c r="R15271" t="s">
        <v>45183</v>
      </c>
      <c r="S15271" t="s">
        <v>46749</v>
      </c>
      <c r="T15271" t="s">
        <v>46941</v>
      </c>
      <c r="U15271" t="s">
        <v>59705</v>
      </c>
      <c r="W15271" t="s">
        <v>42720</v>
      </c>
      <c r="X15271" t="s">
        <v>45184</v>
      </c>
    </row>
    <row r="15272" spans="1:24">
      <c r="A15272">
        <f>HYPERLINK("https://www.philgeps.gov.ph/GEPSNONPILOT/Tender/SplashBidNoticeAbstractUI.aspx?menuIndex=3&amp;refID=6893856&amp;Result=3","6893856")</f>
        <v>0</v>
      </c>
      <c r="B15272" t="s">
        <v>957</v>
      </c>
      <c r="C15272" t="s">
        <v>17837</v>
      </c>
      <c r="D15272" t="s">
        <v>18075</v>
      </c>
      <c r="E15272" t="s">
        <v>31415</v>
      </c>
      <c r="F15272" t="s">
        <v>31574</v>
      </c>
      <c r="G15272" t="s">
        <v>31582</v>
      </c>
      <c r="H15272" t="s">
        <v>31590</v>
      </c>
      <c r="I15272" t="s">
        <v>31615</v>
      </c>
      <c r="J15272" t="s">
        <v>35867</v>
      </c>
      <c r="K15272" t="s">
        <v>41192</v>
      </c>
      <c r="M15272" t="s">
        <v>42595</v>
      </c>
      <c r="N15272" t="s">
        <v>45095</v>
      </c>
      <c r="O15272" t="s">
        <v>45096</v>
      </c>
      <c r="Q15272">
        <v>7</v>
      </c>
      <c r="R15272" t="s">
        <v>45183</v>
      </c>
      <c r="S15272" t="s">
        <v>46750</v>
      </c>
      <c r="T15272" t="s">
        <v>46913</v>
      </c>
      <c r="U15272" t="s">
        <v>59706</v>
      </c>
      <c r="W15272" t="s">
        <v>42595</v>
      </c>
      <c r="X15272" t="s">
        <v>45184</v>
      </c>
    </row>
    <row r="15273" spans="1:24">
      <c r="A15273">
        <f>HYPERLINK("https://www.philgeps.gov.ph/GEPSNONPILOT/Tender/SplashBidNoticeAbstractUI.aspx?menuIndex=3&amp;refID=6899004&amp;Result=3","6899004")</f>
        <v>0</v>
      </c>
      <c r="B15273" t="s">
        <v>3174</v>
      </c>
      <c r="C15273" t="s">
        <v>17838</v>
      </c>
      <c r="D15273" t="s">
        <v>18079</v>
      </c>
      <c r="E15273" t="s">
        <v>31416</v>
      </c>
      <c r="F15273" t="s">
        <v>31574</v>
      </c>
      <c r="G15273" t="s">
        <v>31582</v>
      </c>
      <c r="H15273" t="s">
        <v>31590</v>
      </c>
      <c r="I15273" t="s">
        <v>31676</v>
      </c>
      <c r="J15273" t="s">
        <v>41077</v>
      </c>
      <c r="K15273" t="s">
        <v>41189</v>
      </c>
      <c r="M15273" t="s">
        <v>45054</v>
      </c>
      <c r="N15273" t="s">
        <v>45095</v>
      </c>
      <c r="O15273" t="s">
        <v>45096</v>
      </c>
      <c r="Q15273">
        <v>10</v>
      </c>
      <c r="R15273" t="s">
        <v>45182</v>
      </c>
      <c r="S15273" t="s">
        <v>46751</v>
      </c>
      <c r="T15273" t="s">
        <v>47171</v>
      </c>
      <c r="U15273" t="s">
        <v>59700</v>
      </c>
      <c r="W15273" t="s">
        <v>45054</v>
      </c>
      <c r="X15273" t="s">
        <v>45183</v>
      </c>
    </row>
    <row r="15274" spans="1:24">
      <c r="A15274">
        <f>HYPERLINK("https://www.philgeps.gov.ph/GEPSNONPILOT/Tender/SplashBidNoticeAbstractUI.aspx?menuIndex=3&amp;refID=6898767&amp;Result=3","6898767")</f>
        <v>0</v>
      </c>
      <c r="B15274" t="s">
        <v>2196</v>
      </c>
      <c r="C15274" t="s">
        <v>17839</v>
      </c>
      <c r="D15274" t="s">
        <v>18086</v>
      </c>
      <c r="E15274" t="s">
        <v>31417</v>
      </c>
      <c r="F15274" t="s">
        <v>31574</v>
      </c>
      <c r="G15274" t="s">
        <v>31582</v>
      </c>
      <c r="H15274" t="s">
        <v>31591</v>
      </c>
      <c r="I15274" t="s">
        <v>8822</v>
      </c>
      <c r="J15274" t="s">
        <v>41078</v>
      </c>
      <c r="K15274" t="s">
        <v>41400</v>
      </c>
      <c r="M15274" t="s">
        <v>45012</v>
      </c>
      <c r="N15274" t="s">
        <v>45095</v>
      </c>
      <c r="O15274" t="s">
        <v>45096</v>
      </c>
      <c r="Q15274">
        <v>4</v>
      </c>
      <c r="R15274" t="s">
        <v>45182</v>
      </c>
      <c r="S15274" t="s">
        <v>46752</v>
      </c>
      <c r="T15274" t="s">
        <v>47064</v>
      </c>
      <c r="U15274" t="s">
        <v>59707</v>
      </c>
      <c r="V15274" t="s">
        <v>61617</v>
      </c>
      <c r="W15274" t="s">
        <v>45012</v>
      </c>
      <c r="X15274" t="s">
        <v>45183</v>
      </c>
    </row>
    <row r="15275" spans="1:24">
      <c r="A15275">
        <f>HYPERLINK("https://www.philgeps.gov.ph/GEPSNONPILOT/Tender/SplashBidNoticeAbstractUI.aspx?menuIndex=3&amp;refID=6890326&amp;Result=3","6890326")</f>
        <v>0</v>
      </c>
      <c r="B15275" t="s">
        <v>2353</v>
      </c>
      <c r="C15275" t="s">
        <v>17840</v>
      </c>
      <c r="D15275" t="s">
        <v>18039</v>
      </c>
      <c r="E15275" t="s">
        <v>31418</v>
      </c>
      <c r="F15275" t="s">
        <v>31574</v>
      </c>
      <c r="G15275" t="s">
        <v>31582</v>
      </c>
      <c r="H15275" t="s">
        <v>31590</v>
      </c>
      <c r="I15275" t="s">
        <v>7162</v>
      </c>
      <c r="J15275" t="s">
        <v>36002</v>
      </c>
      <c r="K15275" t="s">
        <v>41198</v>
      </c>
      <c r="M15275" t="s">
        <v>44070</v>
      </c>
      <c r="N15275" t="s">
        <v>45095</v>
      </c>
      <c r="O15275" t="s">
        <v>45096</v>
      </c>
      <c r="Q15275">
        <v>7</v>
      </c>
      <c r="R15275" t="s">
        <v>45183</v>
      </c>
      <c r="S15275" t="s">
        <v>46753</v>
      </c>
      <c r="T15275" t="s">
        <v>47154</v>
      </c>
      <c r="U15275" t="s">
        <v>59708</v>
      </c>
      <c r="V15275" t="s">
        <v>59708</v>
      </c>
      <c r="W15275" t="s">
        <v>44070</v>
      </c>
      <c r="X15275" t="s">
        <v>45185</v>
      </c>
    </row>
    <row r="15276" spans="1:24">
      <c r="A15276">
        <f>HYPERLINK("https://www.philgeps.gov.ph/GEPSNONPILOT/Tender/SplashBidNoticeAbstractUI.aspx?menuIndex=3&amp;refID=6894870&amp;Result=3","6894870")</f>
        <v>0</v>
      </c>
      <c r="B15276" t="s">
        <v>2196</v>
      </c>
      <c r="C15276" t="s">
        <v>17841</v>
      </c>
      <c r="D15276" t="s">
        <v>18086</v>
      </c>
      <c r="E15276" t="s">
        <v>31419</v>
      </c>
      <c r="F15276" t="s">
        <v>31574</v>
      </c>
      <c r="G15276" t="s">
        <v>31582</v>
      </c>
      <c r="H15276" t="s">
        <v>31591</v>
      </c>
      <c r="I15276" t="s">
        <v>8822</v>
      </c>
      <c r="J15276" t="s">
        <v>41079</v>
      </c>
      <c r="K15276" t="s">
        <v>41236</v>
      </c>
      <c r="M15276" t="s">
        <v>45012</v>
      </c>
      <c r="N15276" t="s">
        <v>45095</v>
      </c>
      <c r="O15276" t="s">
        <v>45096</v>
      </c>
      <c r="Q15276">
        <v>8</v>
      </c>
      <c r="R15276" t="s">
        <v>45183</v>
      </c>
      <c r="S15276" t="s">
        <v>46754</v>
      </c>
      <c r="T15276" t="s">
        <v>47064</v>
      </c>
      <c r="U15276" t="s">
        <v>59709</v>
      </c>
      <c r="V15276" t="s">
        <v>61618</v>
      </c>
      <c r="W15276" t="s">
        <v>45012</v>
      </c>
      <c r="X15276" t="s">
        <v>45184</v>
      </c>
    </row>
    <row r="15277" spans="1:24">
      <c r="A15277">
        <f>HYPERLINK("https://www.philgeps.gov.ph/GEPSNONPILOT/Tender/SplashBidNoticeAbstractUI.aspx?menuIndex=3&amp;refID=6895988&amp;Result=3","6895988")</f>
        <v>0</v>
      </c>
      <c r="B15277" t="s">
        <v>706</v>
      </c>
      <c r="C15277" t="s">
        <v>17842</v>
      </c>
      <c r="D15277" t="s">
        <v>18056</v>
      </c>
      <c r="E15277" t="s">
        <v>18192</v>
      </c>
      <c r="F15277" t="s">
        <v>31574</v>
      </c>
      <c r="G15277" t="s">
        <v>31582</v>
      </c>
      <c r="H15277" t="s">
        <v>31591</v>
      </c>
      <c r="I15277" t="s">
        <v>8822</v>
      </c>
      <c r="J15277" t="s">
        <v>41080</v>
      </c>
      <c r="K15277" t="s">
        <v>41495</v>
      </c>
      <c r="M15277" t="s">
        <v>43938</v>
      </c>
      <c r="N15277" t="s">
        <v>45095</v>
      </c>
      <c r="O15277" t="s">
        <v>45096</v>
      </c>
      <c r="Q15277">
        <v>9</v>
      </c>
      <c r="R15277" t="s">
        <v>45183</v>
      </c>
      <c r="S15277" t="s">
        <v>46755</v>
      </c>
      <c r="T15277" t="s">
        <v>47154</v>
      </c>
      <c r="U15277" t="s">
        <v>59710</v>
      </c>
      <c r="W15277" t="s">
        <v>43938</v>
      </c>
      <c r="X15277" t="s">
        <v>45184</v>
      </c>
    </row>
    <row r="15278" spans="1:24">
      <c r="A15278">
        <f>HYPERLINK("https://www.philgeps.gov.ph/GEPSNONPILOT/Tender/SplashBidNoticeAbstractUI.aspx?menuIndex=3&amp;refID=6896484&amp;Result=3","6896484")</f>
        <v>0</v>
      </c>
      <c r="B15278" t="s">
        <v>3167</v>
      </c>
      <c r="C15278" t="s">
        <v>17843</v>
      </c>
      <c r="D15278" t="s">
        <v>18022</v>
      </c>
      <c r="E15278" t="s">
        <v>31420</v>
      </c>
      <c r="F15278" t="s">
        <v>31574</v>
      </c>
      <c r="G15278" t="s">
        <v>31582</v>
      </c>
      <c r="H15278" t="s">
        <v>31590</v>
      </c>
      <c r="I15278" t="s">
        <v>31687</v>
      </c>
      <c r="J15278" t="s">
        <v>41081</v>
      </c>
      <c r="K15278" t="s">
        <v>41210</v>
      </c>
      <c r="M15278" t="s">
        <v>45074</v>
      </c>
      <c r="N15278" t="s">
        <v>45095</v>
      </c>
      <c r="O15278" t="s">
        <v>45096</v>
      </c>
      <c r="Q15278">
        <v>3</v>
      </c>
      <c r="R15278" t="s">
        <v>45183</v>
      </c>
      <c r="S15278" t="s">
        <v>46756</v>
      </c>
      <c r="T15278" t="s">
        <v>47157</v>
      </c>
      <c r="U15278" t="s">
        <v>59711</v>
      </c>
      <c r="V15278" t="s">
        <v>61619</v>
      </c>
      <c r="W15278" t="s">
        <v>45074</v>
      </c>
      <c r="X15278" t="s">
        <v>45184</v>
      </c>
    </row>
    <row r="15279" spans="1:24">
      <c r="A15279">
        <f>HYPERLINK("https://www.philgeps.gov.ph/GEPSNONPILOT/Tender/SplashBidNoticeAbstractUI.aspx?menuIndex=3&amp;refID=6881487&amp;Result=3","6881487")</f>
        <v>0</v>
      </c>
      <c r="B15279" t="s">
        <v>2353</v>
      </c>
      <c r="C15279" t="s">
        <v>17844</v>
      </c>
      <c r="D15279" t="s">
        <v>18039</v>
      </c>
      <c r="E15279" t="s">
        <v>31421</v>
      </c>
      <c r="F15279" t="s">
        <v>31574</v>
      </c>
      <c r="G15279" t="s">
        <v>31582</v>
      </c>
      <c r="H15279" t="s">
        <v>31590</v>
      </c>
      <c r="I15279" t="s">
        <v>31615</v>
      </c>
      <c r="J15279" t="s">
        <v>31781</v>
      </c>
      <c r="K15279" t="s">
        <v>41192</v>
      </c>
      <c r="M15279" t="s">
        <v>44070</v>
      </c>
      <c r="N15279" t="s">
        <v>45095</v>
      </c>
      <c r="O15279" t="s">
        <v>45096</v>
      </c>
      <c r="Q15279">
        <v>9</v>
      </c>
      <c r="R15279" t="s">
        <v>45183</v>
      </c>
      <c r="S15279" t="s">
        <v>46757</v>
      </c>
      <c r="T15279" t="s">
        <v>47154</v>
      </c>
      <c r="U15279" t="s">
        <v>59712</v>
      </c>
      <c r="V15279" t="s">
        <v>59712</v>
      </c>
      <c r="W15279" t="s">
        <v>44070</v>
      </c>
      <c r="X15279" t="s">
        <v>45189</v>
      </c>
    </row>
    <row r="15280" spans="1:24">
      <c r="A15280">
        <f>HYPERLINK("https://www.philgeps.gov.ph/GEPSNONPILOT/Tender/SplashBidNoticeAbstractUI.aspx?menuIndex=3&amp;refID=6895203&amp;Result=3","6895203")</f>
        <v>0</v>
      </c>
      <c r="B15280" t="s">
        <v>1396</v>
      </c>
      <c r="C15280" t="s">
        <v>17845</v>
      </c>
      <c r="D15280" t="s">
        <v>18044</v>
      </c>
      <c r="E15280" t="s">
        <v>31422</v>
      </c>
      <c r="F15280" t="s">
        <v>31574</v>
      </c>
      <c r="G15280" t="s">
        <v>31582</v>
      </c>
      <c r="H15280" t="s">
        <v>31590</v>
      </c>
      <c r="I15280" t="s">
        <v>31594</v>
      </c>
      <c r="J15280" t="s">
        <v>31907</v>
      </c>
      <c r="K15280" t="s">
        <v>41184</v>
      </c>
      <c r="M15280" t="s">
        <v>45033</v>
      </c>
      <c r="N15280" t="s">
        <v>45095</v>
      </c>
      <c r="O15280" t="s">
        <v>45096</v>
      </c>
      <c r="Q15280">
        <v>32</v>
      </c>
      <c r="R15280" t="s">
        <v>45183</v>
      </c>
      <c r="S15280" t="s">
        <v>46758</v>
      </c>
      <c r="T15280" t="s">
        <v>47450</v>
      </c>
      <c r="U15280" t="s">
        <v>59713</v>
      </c>
      <c r="V15280" t="s">
        <v>61620</v>
      </c>
      <c r="W15280" t="s">
        <v>45033</v>
      </c>
      <c r="X15280" t="s">
        <v>45184</v>
      </c>
    </row>
    <row r="15281" spans="1:24">
      <c r="A15281">
        <f>HYPERLINK("https://www.philgeps.gov.ph/GEPSNONPILOT/Tender/SplashBidNoticeAbstractUI.aspx?menuIndex=3&amp;refID=6898667&amp;Result=3","6898667")</f>
        <v>0</v>
      </c>
      <c r="B15281" t="s">
        <v>3174</v>
      </c>
      <c r="C15281" t="s">
        <v>17846</v>
      </c>
      <c r="D15281" t="s">
        <v>18079</v>
      </c>
      <c r="E15281" t="s">
        <v>31423</v>
      </c>
      <c r="F15281" t="s">
        <v>31574</v>
      </c>
      <c r="G15281" t="s">
        <v>31582</v>
      </c>
      <c r="H15281" t="s">
        <v>31590</v>
      </c>
      <c r="I15281" t="s">
        <v>31676</v>
      </c>
      <c r="J15281" t="s">
        <v>41082</v>
      </c>
      <c r="K15281" t="s">
        <v>41189</v>
      </c>
      <c r="M15281" t="s">
        <v>45054</v>
      </c>
      <c r="N15281" t="s">
        <v>45095</v>
      </c>
      <c r="O15281" t="s">
        <v>45096</v>
      </c>
      <c r="Q15281">
        <v>12</v>
      </c>
      <c r="R15281" t="s">
        <v>45182</v>
      </c>
      <c r="S15281" t="s">
        <v>46759</v>
      </c>
      <c r="T15281" t="s">
        <v>47171</v>
      </c>
      <c r="U15281" t="s">
        <v>59714</v>
      </c>
      <c r="W15281" t="s">
        <v>45054</v>
      </c>
      <c r="X15281" t="s">
        <v>45183</v>
      </c>
    </row>
    <row r="15282" spans="1:24">
      <c r="A15282">
        <f>HYPERLINK("https://www.philgeps.gov.ph/GEPSNONPILOT/Tender/SplashBidNoticeAbstractUI.aspx?menuIndex=3&amp;refID=6889820&amp;Result=3","6889820")</f>
        <v>0</v>
      </c>
      <c r="B15282" t="s">
        <v>1753</v>
      </c>
      <c r="C15282" t="s">
        <v>17847</v>
      </c>
      <c r="D15282" t="s">
        <v>18075</v>
      </c>
      <c r="E15282" t="s">
        <v>31424</v>
      </c>
      <c r="F15282" t="s">
        <v>31574</v>
      </c>
      <c r="G15282" t="s">
        <v>31582</v>
      </c>
      <c r="H15282" t="s">
        <v>31590</v>
      </c>
      <c r="I15282" t="s">
        <v>31608</v>
      </c>
      <c r="J15282" t="s">
        <v>41083</v>
      </c>
      <c r="K15282" t="s">
        <v>41189</v>
      </c>
      <c r="M15282" t="s">
        <v>43378</v>
      </c>
      <c r="N15282" t="s">
        <v>45095</v>
      </c>
      <c r="O15282" t="s">
        <v>45096</v>
      </c>
      <c r="Q15282">
        <v>38</v>
      </c>
      <c r="R15282" t="s">
        <v>45183</v>
      </c>
      <c r="S15282" t="s">
        <v>46760</v>
      </c>
      <c r="T15282" t="s">
        <v>46912</v>
      </c>
      <c r="U15282" t="s">
        <v>59715</v>
      </c>
      <c r="W15282" t="s">
        <v>43378</v>
      </c>
      <c r="X15282" t="s">
        <v>45185</v>
      </c>
    </row>
    <row r="15283" spans="1:24">
      <c r="A15283">
        <f>HYPERLINK("https://www.philgeps.gov.ph/GEPSNONPILOT/Tender/SplashBidNoticeAbstractUI.aspx?menuIndex=3&amp;refID=6896173&amp;Result=3","6896173")</f>
        <v>0</v>
      </c>
      <c r="B15283" t="s">
        <v>1396</v>
      </c>
      <c r="C15283" t="s">
        <v>17848</v>
      </c>
      <c r="D15283" t="s">
        <v>18044</v>
      </c>
      <c r="E15283" t="s">
        <v>31425</v>
      </c>
      <c r="F15283" t="s">
        <v>31574</v>
      </c>
      <c r="G15283" t="s">
        <v>31582</v>
      </c>
      <c r="H15283" t="s">
        <v>31590</v>
      </c>
      <c r="I15283" t="s">
        <v>31664</v>
      </c>
      <c r="J15283" t="s">
        <v>32774</v>
      </c>
      <c r="K15283" t="s">
        <v>41184</v>
      </c>
      <c r="M15283" t="s">
        <v>45033</v>
      </c>
      <c r="N15283" t="s">
        <v>45095</v>
      </c>
      <c r="O15283" t="s">
        <v>45096</v>
      </c>
      <c r="Q15283">
        <v>10</v>
      </c>
      <c r="R15283" t="s">
        <v>45183</v>
      </c>
      <c r="S15283" t="s">
        <v>46761</v>
      </c>
      <c r="T15283" t="s">
        <v>47450</v>
      </c>
      <c r="U15283" t="s">
        <v>59716</v>
      </c>
      <c r="V15283" t="s">
        <v>61621</v>
      </c>
      <c r="W15283" t="s">
        <v>45033</v>
      </c>
      <c r="X15283" t="s">
        <v>45184</v>
      </c>
    </row>
    <row r="15284" spans="1:24">
      <c r="A15284">
        <f>HYPERLINK("https://www.philgeps.gov.ph/GEPSNONPILOT/Tender/SplashBidNoticeAbstractUI.aspx?menuIndex=3&amp;refID=6896136&amp;Result=3","6896136")</f>
        <v>0</v>
      </c>
      <c r="B15284" t="s">
        <v>2286</v>
      </c>
      <c r="C15284" t="s">
        <v>17849</v>
      </c>
      <c r="D15284" t="s">
        <v>18079</v>
      </c>
      <c r="E15284" t="s">
        <v>31426</v>
      </c>
      <c r="F15284" t="s">
        <v>31574</v>
      </c>
      <c r="G15284" t="s">
        <v>31582</v>
      </c>
      <c r="H15284" t="s">
        <v>31591</v>
      </c>
      <c r="I15284" t="s">
        <v>8822</v>
      </c>
      <c r="J15284" t="s">
        <v>34697</v>
      </c>
      <c r="K15284" t="s">
        <v>41414</v>
      </c>
      <c r="M15284" t="s">
        <v>43993</v>
      </c>
      <c r="N15284" t="s">
        <v>45095</v>
      </c>
      <c r="O15284" t="s">
        <v>45096</v>
      </c>
      <c r="Q15284">
        <v>2</v>
      </c>
      <c r="R15284" t="s">
        <v>45183</v>
      </c>
      <c r="S15284" t="s">
        <v>46762</v>
      </c>
      <c r="T15284" t="s">
        <v>47050</v>
      </c>
      <c r="U15284" t="s">
        <v>59717</v>
      </c>
      <c r="W15284" t="s">
        <v>43993</v>
      </c>
      <c r="X15284" t="s">
        <v>45184</v>
      </c>
    </row>
    <row r="15285" spans="1:24">
      <c r="A15285">
        <f>HYPERLINK("https://www.philgeps.gov.ph/GEPSNONPILOT/Tender/SplashBidNoticeAbstractUI.aspx?menuIndex=3&amp;refID=6896207&amp;Result=3","6896207")</f>
        <v>0</v>
      </c>
      <c r="B15285" t="s">
        <v>706</v>
      </c>
      <c r="C15285" t="s">
        <v>17850</v>
      </c>
      <c r="D15285" t="s">
        <v>18033</v>
      </c>
      <c r="E15285" t="s">
        <v>20333</v>
      </c>
      <c r="F15285" t="s">
        <v>31574</v>
      </c>
      <c r="G15285" t="s">
        <v>31582</v>
      </c>
      <c r="H15285" t="s">
        <v>31591</v>
      </c>
      <c r="I15285" t="s">
        <v>8822</v>
      </c>
      <c r="J15285" t="s">
        <v>41084</v>
      </c>
      <c r="K15285" t="s">
        <v>41496</v>
      </c>
      <c r="M15285" t="s">
        <v>43938</v>
      </c>
      <c r="N15285" t="s">
        <v>45095</v>
      </c>
      <c r="O15285" t="s">
        <v>45096</v>
      </c>
      <c r="Q15285">
        <v>7</v>
      </c>
      <c r="R15285" t="s">
        <v>45183</v>
      </c>
      <c r="S15285" t="s">
        <v>46763</v>
      </c>
      <c r="T15285" t="s">
        <v>47154</v>
      </c>
      <c r="U15285" t="s">
        <v>59710</v>
      </c>
      <c r="W15285" t="s">
        <v>43938</v>
      </c>
      <c r="X15285" t="s">
        <v>45184</v>
      </c>
    </row>
    <row r="15286" spans="1:24">
      <c r="A15286">
        <f>HYPERLINK("https://www.philgeps.gov.ph/GEPSNONPILOT/Tender/SplashBidNoticeAbstractUI.aspx?menuIndex=3&amp;refID=6889544&amp;Result=3","6889544")</f>
        <v>0</v>
      </c>
      <c r="B15286" t="s">
        <v>3185</v>
      </c>
      <c r="C15286" t="s">
        <v>17851</v>
      </c>
      <c r="D15286" t="s">
        <v>18023</v>
      </c>
      <c r="E15286" t="s">
        <v>19190</v>
      </c>
      <c r="F15286" t="s">
        <v>31574</v>
      </c>
      <c r="G15286" t="s">
        <v>31582</v>
      </c>
      <c r="H15286" t="s">
        <v>31591</v>
      </c>
      <c r="I15286" t="s">
        <v>8822</v>
      </c>
      <c r="J15286" t="s">
        <v>33160</v>
      </c>
      <c r="K15286" t="s">
        <v>41198</v>
      </c>
      <c r="M15286" t="s">
        <v>45075</v>
      </c>
      <c r="N15286" t="s">
        <v>45095</v>
      </c>
      <c r="O15286" t="s">
        <v>45096</v>
      </c>
      <c r="Q15286">
        <v>54</v>
      </c>
      <c r="R15286" t="s">
        <v>45184</v>
      </c>
      <c r="S15286" t="s">
        <v>45276</v>
      </c>
      <c r="T15286" t="s">
        <v>47134</v>
      </c>
      <c r="U15286" t="s">
        <v>59718</v>
      </c>
      <c r="W15286" t="s">
        <v>45075</v>
      </c>
      <c r="X15286" t="s">
        <v>45186</v>
      </c>
    </row>
    <row r="15287" spans="1:24">
      <c r="A15287">
        <f>HYPERLINK("https://www.philgeps.gov.ph/GEPSNONPILOT/Tender/SplashBidNoticeAbstractUI.aspx?menuIndex=3&amp;refID=6889538&amp;Result=3","6889538")</f>
        <v>0</v>
      </c>
      <c r="B15287" t="s">
        <v>3185</v>
      </c>
      <c r="C15287" t="s">
        <v>17852</v>
      </c>
      <c r="D15287" t="s">
        <v>18023</v>
      </c>
      <c r="E15287" t="s">
        <v>19113</v>
      </c>
      <c r="F15287" t="s">
        <v>31574</v>
      </c>
      <c r="G15287" t="s">
        <v>31582</v>
      </c>
      <c r="H15287" t="s">
        <v>31591</v>
      </c>
      <c r="I15287" t="s">
        <v>8822</v>
      </c>
      <c r="J15287" t="s">
        <v>33160</v>
      </c>
      <c r="K15287" t="s">
        <v>41198</v>
      </c>
      <c r="M15287" t="s">
        <v>45075</v>
      </c>
      <c r="N15287" t="s">
        <v>45095</v>
      </c>
      <c r="O15287" t="s">
        <v>45096</v>
      </c>
      <c r="Q15287">
        <v>52</v>
      </c>
      <c r="R15287" t="s">
        <v>45184</v>
      </c>
      <c r="S15287" t="s">
        <v>46764</v>
      </c>
      <c r="T15287" t="s">
        <v>47114</v>
      </c>
      <c r="U15287" t="s">
        <v>59718</v>
      </c>
      <c r="W15287" t="s">
        <v>45075</v>
      </c>
      <c r="X15287" t="s">
        <v>45186</v>
      </c>
    </row>
    <row r="15288" spans="1:24">
      <c r="A15288">
        <f>HYPERLINK("https://www.philgeps.gov.ph/GEPSNONPILOT/Tender/SplashBidNoticeAbstractUI.aspx?menuIndex=3&amp;refID=6896109&amp;Result=3","6896109")</f>
        <v>0</v>
      </c>
      <c r="B15288" t="s">
        <v>706</v>
      </c>
      <c r="C15288" t="s">
        <v>17853</v>
      </c>
      <c r="D15288" t="s">
        <v>18067</v>
      </c>
      <c r="E15288" t="s">
        <v>18472</v>
      </c>
      <c r="F15288" t="s">
        <v>31574</v>
      </c>
      <c r="G15288" t="s">
        <v>31582</v>
      </c>
      <c r="H15288" t="s">
        <v>31591</v>
      </c>
      <c r="I15288" t="s">
        <v>8822</v>
      </c>
      <c r="J15288" t="s">
        <v>41085</v>
      </c>
      <c r="K15288" t="s">
        <v>41444</v>
      </c>
      <c r="M15288" t="s">
        <v>43938</v>
      </c>
      <c r="N15288" t="s">
        <v>45095</v>
      </c>
      <c r="O15288" t="s">
        <v>45096</v>
      </c>
      <c r="Q15288">
        <v>4</v>
      </c>
      <c r="R15288" t="s">
        <v>45183</v>
      </c>
      <c r="S15288" t="s">
        <v>46765</v>
      </c>
      <c r="T15288" t="s">
        <v>47154</v>
      </c>
      <c r="U15288" t="s">
        <v>59710</v>
      </c>
      <c r="W15288" t="s">
        <v>43938</v>
      </c>
      <c r="X15288" t="s">
        <v>45184</v>
      </c>
    </row>
    <row r="15289" spans="1:24">
      <c r="A15289">
        <f>HYPERLINK("https://www.philgeps.gov.ph/GEPSNONPILOT/Tender/SplashBidNoticeAbstractUI.aspx?menuIndex=3&amp;refID=6896383&amp;Result=3","6896383")</f>
        <v>0</v>
      </c>
      <c r="B15289" t="s">
        <v>3186</v>
      </c>
      <c r="C15289" t="s">
        <v>17854</v>
      </c>
      <c r="D15289" t="s">
        <v>18033</v>
      </c>
      <c r="E15289" t="s">
        <v>31427</v>
      </c>
      <c r="F15289" t="s">
        <v>31574</v>
      </c>
      <c r="G15289" t="s">
        <v>31582</v>
      </c>
      <c r="H15289" t="s">
        <v>31590</v>
      </c>
      <c r="I15289" t="s">
        <v>31606</v>
      </c>
      <c r="J15289" t="s">
        <v>32049</v>
      </c>
      <c r="K15289" t="s">
        <v>41186</v>
      </c>
      <c r="M15289" t="s">
        <v>45076</v>
      </c>
      <c r="N15289" t="s">
        <v>45095</v>
      </c>
      <c r="O15289" t="s">
        <v>45096</v>
      </c>
      <c r="Q15289">
        <v>6</v>
      </c>
      <c r="R15289" t="s">
        <v>45183</v>
      </c>
      <c r="S15289" t="s">
        <v>46766</v>
      </c>
      <c r="T15289" t="s">
        <v>46988</v>
      </c>
      <c r="U15289" t="s">
        <v>59719</v>
      </c>
      <c r="W15289" t="s">
        <v>45076</v>
      </c>
      <c r="X15289" t="s">
        <v>45184</v>
      </c>
    </row>
    <row r="15290" spans="1:24">
      <c r="A15290">
        <f>HYPERLINK("https://www.philgeps.gov.ph/GEPSNONPILOT/Tender/SplashBidNoticeAbstractUI.aspx?menuIndex=3&amp;refID=6890206&amp;Result=3","6890206")</f>
        <v>0</v>
      </c>
      <c r="B15290" t="s">
        <v>3187</v>
      </c>
      <c r="C15290" t="s">
        <v>17855</v>
      </c>
      <c r="D15290" t="s">
        <v>18022</v>
      </c>
      <c r="E15290" t="s">
        <v>31428</v>
      </c>
      <c r="F15290" t="s">
        <v>31574</v>
      </c>
      <c r="G15290" t="s">
        <v>31582</v>
      </c>
      <c r="H15290" t="s">
        <v>31591</v>
      </c>
      <c r="I15290" t="s">
        <v>8822</v>
      </c>
      <c r="J15290" t="s">
        <v>41086</v>
      </c>
      <c r="K15290" t="s">
        <v>41311</v>
      </c>
      <c r="M15290" t="s">
        <v>45077</v>
      </c>
      <c r="N15290" t="s">
        <v>45095</v>
      </c>
      <c r="O15290" t="s">
        <v>45096</v>
      </c>
      <c r="Q15290">
        <v>23</v>
      </c>
      <c r="R15290" t="s">
        <v>45184</v>
      </c>
      <c r="S15290" t="s">
        <v>46767</v>
      </c>
      <c r="T15290" t="s">
        <v>47134</v>
      </c>
      <c r="U15290" t="s">
        <v>59720</v>
      </c>
      <c r="W15290" t="s">
        <v>45077</v>
      </c>
      <c r="X15290" t="s">
        <v>45185</v>
      </c>
    </row>
    <row r="15291" spans="1:24">
      <c r="A15291">
        <f>HYPERLINK("https://www.philgeps.gov.ph/GEPSNONPILOT/Tender/SplashBidNoticeAbstractUI.aspx?menuIndex=3&amp;refID=6889527&amp;Result=3","6889527")</f>
        <v>0</v>
      </c>
      <c r="B15291" t="s">
        <v>3185</v>
      </c>
      <c r="C15291" t="s">
        <v>17856</v>
      </c>
      <c r="D15291" t="s">
        <v>18023</v>
      </c>
      <c r="E15291" t="s">
        <v>19072</v>
      </c>
      <c r="F15291" t="s">
        <v>31574</v>
      </c>
      <c r="G15291" t="s">
        <v>31582</v>
      </c>
      <c r="H15291" t="s">
        <v>31591</v>
      </c>
      <c r="I15291" t="s">
        <v>8822</v>
      </c>
      <c r="J15291" t="s">
        <v>33160</v>
      </c>
      <c r="K15291" t="s">
        <v>41198</v>
      </c>
      <c r="M15291" t="s">
        <v>45075</v>
      </c>
      <c r="N15291" t="s">
        <v>45095</v>
      </c>
      <c r="O15291" t="s">
        <v>45096</v>
      </c>
      <c r="Q15291">
        <v>55</v>
      </c>
      <c r="R15291" t="s">
        <v>45184</v>
      </c>
      <c r="S15291" t="s">
        <v>46764</v>
      </c>
      <c r="T15291" t="s">
        <v>47114</v>
      </c>
      <c r="U15291" t="s">
        <v>59718</v>
      </c>
      <c r="W15291" t="s">
        <v>45075</v>
      </c>
      <c r="X15291" t="s">
        <v>45186</v>
      </c>
    </row>
    <row r="15292" spans="1:24">
      <c r="A15292">
        <f>HYPERLINK("https://www.philgeps.gov.ph/GEPSNONPILOT/Tender/SplashBidNoticeAbstractUI.aspx?menuIndex=3&amp;refID=6890239&amp;Result=3","6890239")</f>
        <v>0</v>
      </c>
      <c r="B15292" t="s">
        <v>3188</v>
      </c>
      <c r="C15292" t="s">
        <v>17857</v>
      </c>
      <c r="D15292" t="s">
        <v>18022</v>
      </c>
      <c r="E15292" t="s">
        <v>31429</v>
      </c>
      <c r="F15292" t="s">
        <v>31574</v>
      </c>
      <c r="G15292" t="s">
        <v>31582</v>
      </c>
      <c r="H15292" t="s">
        <v>31590</v>
      </c>
      <c r="I15292" t="s">
        <v>31723</v>
      </c>
      <c r="J15292" t="s">
        <v>41087</v>
      </c>
      <c r="K15292" t="s">
        <v>41210</v>
      </c>
      <c r="M15292" t="s">
        <v>45078</v>
      </c>
      <c r="N15292" t="s">
        <v>45095</v>
      </c>
      <c r="O15292" t="s">
        <v>45096</v>
      </c>
      <c r="Q15292">
        <v>4</v>
      </c>
      <c r="R15292" t="s">
        <v>45184</v>
      </c>
      <c r="S15292" t="s">
        <v>46768</v>
      </c>
      <c r="T15292" t="s">
        <v>47106</v>
      </c>
      <c r="U15292" t="s">
        <v>59721</v>
      </c>
      <c r="V15292" t="s">
        <v>61622</v>
      </c>
      <c r="W15292" t="s">
        <v>45078</v>
      </c>
      <c r="X15292" t="s">
        <v>45185</v>
      </c>
    </row>
    <row r="15293" spans="1:24">
      <c r="A15293">
        <f>HYPERLINK("https://www.philgeps.gov.ph/GEPSNONPILOT/Tender/SplashBidNoticeAbstractUI.aspx?menuIndex=3&amp;refID=6896078&amp;Result=3","6896078")</f>
        <v>0</v>
      </c>
      <c r="B15293" t="s">
        <v>706</v>
      </c>
      <c r="C15293" t="s">
        <v>17858</v>
      </c>
      <c r="D15293" t="s">
        <v>18056</v>
      </c>
      <c r="E15293" t="s">
        <v>18448</v>
      </c>
      <c r="F15293" t="s">
        <v>31574</v>
      </c>
      <c r="G15293" t="s">
        <v>31582</v>
      </c>
      <c r="H15293" t="s">
        <v>31591</v>
      </c>
      <c r="I15293" t="s">
        <v>8822</v>
      </c>
      <c r="J15293" t="s">
        <v>41088</v>
      </c>
      <c r="K15293" t="s">
        <v>41444</v>
      </c>
      <c r="M15293" t="s">
        <v>43938</v>
      </c>
      <c r="N15293" t="s">
        <v>45095</v>
      </c>
      <c r="O15293" t="s">
        <v>45096</v>
      </c>
      <c r="Q15293">
        <v>8</v>
      </c>
      <c r="R15293" t="s">
        <v>45183</v>
      </c>
      <c r="S15293" t="s">
        <v>46769</v>
      </c>
      <c r="T15293" t="s">
        <v>47154</v>
      </c>
      <c r="U15293" t="s">
        <v>59710</v>
      </c>
      <c r="W15293" t="s">
        <v>43938</v>
      </c>
      <c r="X15293" t="s">
        <v>45184</v>
      </c>
    </row>
    <row r="15294" spans="1:24">
      <c r="A15294">
        <f>HYPERLINK("https://www.philgeps.gov.ph/GEPSNONPILOT/Tender/SplashBidNoticeAbstractUI.aspx?menuIndex=3&amp;refID=6896540&amp;Result=3","6896540")</f>
        <v>0</v>
      </c>
      <c r="B15294" t="s">
        <v>1405</v>
      </c>
      <c r="C15294" t="s">
        <v>17859</v>
      </c>
      <c r="E15294" t="s">
        <v>31430</v>
      </c>
      <c r="F15294" t="s">
        <v>31574</v>
      </c>
      <c r="G15294" t="s">
        <v>31582</v>
      </c>
      <c r="H15294" t="s">
        <v>31590</v>
      </c>
      <c r="I15294" t="s">
        <v>8822</v>
      </c>
      <c r="J15294" t="s">
        <v>31771</v>
      </c>
      <c r="K15294" t="s">
        <v>41184</v>
      </c>
      <c r="M15294" t="s">
        <v>42980</v>
      </c>
      <c r="N15294" t="s">
        <v>45095</v>
      </c>
      <c r="O15294" t="s">
        <v>45096</v>
      </c>
      <c r="Q15294">
        <v>7</v>
      </c>
      <c r="R15294" t="s">
        <v>45183</v>
      </c>
      <c r="S15294" t="s">
        <v>46770</v>
      </c>
      <c r="T15294" t="s">
        <v>47168</v>
      </c>
      <c r="U15294" t="s">
        <v>59722</v>
      </c>
      <c r="W15294" t="s">
        <v>61700</v>
      </c>
      <c r="X15294" t="s">
        <v>45184</v>
      </c>
    </row>
    <row r="15295" spans="1:24">
      <c r="A15295">
        <f>HYPERLINK("https://www.philgeps.gov.ph/GEPSNONPILOT/Tender/SplashBidNoticeAbstractUI.aspx?menuIndex=3&amp;refID=6890023&amp;Result=3","6890023")</f>
        <v>0</v>
      </c>
      <c r="B15295" t="s">
        <v>1609</v>
      </c>
      <c r="C15295" t="s">
        <v>17860</v>
      </c>
      <c r="D15295" t="s">
        <v>18094</v>
      </c>
      <c r="E15295" t="s">
        <v>31431</v>
      </c>
      <c r="F15295" t="s">
        <v>31574</v>
      </c>
      <c r="G15295" t="s">
        <v>31581</v>
      </c>
      <c r="H15295" t="s">
        <v>31590</v>
      </c>
      <c r="I15295" t="s">
        <v>31605</v>
      </c>
      <c r="J15295" t="s">
        <v>32939</v>
      </c>
      <c r="K15295" t="s">
        <v>41196</v>
      </c>
      <c r="M15295" t="s">
        <v>43214</v>
      </c>
      <c r="N15295" t="s">
        <v>45095</v>
      </c>
      <c r="O15295" t="s">
        <v>45096</v>
      </c>
      <c r="Q15295">
        <v>2</v>
      </c>
      <c r="R15295" t="s">
        <v>45184</v>
      </c>
      <c r="S15295" t="s">
        <v>46771</v>
      </c>
      <c r="T15295" t="s">
        <v>46973</v>
      </c>
      <c r="U15295" t="s">
        <v>59723</v>
      </c>
      <c r="W15295" t="s">
        <v>43214</v>
      </c>
      <c r="X15295" t="s">
        <v>45185</v>
      </c>
    </row>
    <row r="15296" spans="1:24">
      <c r="A15296">
        <f>HYPERLINK("https://www.philgeps.gov.ph/GEPSNONPILOT/Tender/SplashBidNoticeAbstractUI.aspx?menuIndex=3&amp;refID=6896842&amp;Result=3","6896842")</f>
        <v>0</v>
      </c>
      <c r="B15296" t="s">
        <v>1618</v>
      </c>
      <c r="C15296" t="s">
        <v>17861</v>
      </c>
      <c r="D15296" t="s">
        <v>18022</v>
      </c>
      <c r="E15296" t="s">
        <v>31432</v>
      </c>
      <c r="F15296" t="s">
        <v>31574</v>
      </c>
      <c r="G15296" t="s">
        <v>31582</v>
      </c>
      <c r="H15296" t="s">
        <v>31590</v>
      </c>
      <c r="I15296" t="s">
        <v>31608</v>
      </c>
      <c r="J15296" t="s">
        <v>41089</v>
      </c>
      <c r="K15296" t="s">
        <v>41186</v>
      </c>
      <c r="M15296" t="s">
        <v>45079</v>
      </c>
      <c r="N15296" t="s">
        <v>45095</v>
      </c>
      <c r="O15296" t="s">
        <v>45096</v>
      </c>
      <c r="Q15296">
        <v>16</v>
      </c>
      <c r="R15296" t="s">
        <v>45183</v>
      </c>
      <c r="S15296" t="s">
        <v>46772</v>
      </c>
      <c r="T15296" t="s">
        <v>47127</v>
      </c>
      <c r="U15296" t="s">
        <v>59724</v>
      </c>
      <c r="V15296" t="s">
        <v>61623</v>
      </c>
      <c r="W15296" t="s">
        <v>45079</v>
      </c>
      <c r="X15296" t="s">
        <v>45184</v>
      </c>
    </row>
    <row r="15297" spans="1:24">
      <c r="A15297">
        <f>HYPERLINK("https://www.philgeps.gov.ph/GEPSNONPILOT/Tender/SplashBidNoticeAbstractUI.aspx?menuIndex=3&amp;refID=6890014&amp;Result=3","6890014")</f>
        <v>0</v>
      </c>
      <c r="B15297" t="s">
        <v>3188</v>
      </c>
      <c r="C15297" t="s">
        <v>17857</v>
      </c>
      <c r="D15297" t="s">
        <v>18022</v>
      </c>
      <c r="E15297" t="s">
        <v>31433</v>
      </c>
      <c r="F15297" t="s">
        <v>31574</v>
      </c>
      <c r="G15297" t="s">
        <v>31582</v>
      </c>
      <c r="H15297" t="s">
        <v>31590</v>
      </c>
      <c r="I15297" t="s">
        <v>31723</v>
      </c>
      <c r="J15297" t="s">
        <v>41090</v>
      </c>
      <c r="K15297" t="s">
        <v>41210</v>
      </c>
      <c r="M15297" t="s">
        <v>45078</v>
      </c>
      <c r="N15297" t="s">
        <v>45095</v>
      </c>
      <c r="O15297" t="s">
        <v>45096</v>
      </c>
      <c r="Q15297">
        <v>7</v>
      </c>
      <c r="R15297" t="s">
        <v>45184</v>
      </c>
      <c r="S15297" t="s">
        <v>46773</v>
      </c>
      <c r="T15297" t="s">
        <v>47106</v>
      </c>
      <c r="U15297" t="s">
        <v>59721</v>
      </c>
      <c r="V15297" t="s">
        <v>61624</v>
      </c>
      <c r="W15297" t="s">
        <v>45078</v>
      </c>
      <c r="X15297" t="s">
        <v>45185</v>
      </c>
    </row>
    <row r="15298" spans="1:24">
      <c r="A15298">
        <f>HYPERLINK("https://www.philgeps.gov.ph/GEPSNONPILOT/Tender/SplashBidNoticeAbstractUI.aspx?menuIndex=3&amp;refID=6891663&amp;Result=3","6891663")</f>
        <v>0</v>
      </c>
      <c r="B15298" t="s">
        <v>1733</v>
      </c>
      <c r="C15298" t="s">
        <v>17862</v>
      </c>
      <c r="D15298" t="s">
        <v>18040</v>
      </c>
      <c r="E15298" t="s">
        <v>31434</v>
      </c>
      <c r="F15298" t="s">
        <v>31574</v>
      </c>
      <c r="G15298" t="s">
        <v>31582</v>
      </c>
      <c r="H15298" t="s">
        <v>31593</v>
      </c>
      <c r="I15298" t="s">
        <v>31593</v>
      </c>
      <c r="J15298" t="s">
        <v>41091</v>
      </c>
      <c r="K15298" t="s">
        <v>41186</v>
      </c>
      <c r="M15298" t="s">
        <v>43352</v>
      </c>
      <c r="N15298" t="s">
        <v>45095</v>
      </c>
      <c r="O15298" t="s">
        <v>45096</v>
      </c>
      <c r="Q15298">
        <v>4</v>
      </c>
      <c r="R15298" t="s">
        <v>45184</v>
      </c>
      <c r="S15298" t="s">
        <v>46774</v>
      </c>
      <c r="T15298" t="s">
        <v>47076</v>
      </c>
      <c r="U15298" t="s">
        <v>59725</v>
      </c>
      <c r="W15298" t="s">
        <v>43352</v>
      </c>
      <c r="X15298" t="s">
        <v>45185</v>
      </c>
    </row>
    <row r="15299" spans="1:24">
      <c r="A15299">
        <f>HYPERLINK("https://www.philgeps.gov.ph/GEPSNONPILOT/Tender/SplashBidNoticeAbstractUI.aspx?menuIndex=3&amp;refID=6890775&amp;Result=3","6890775")</f>
        <v>0</v>
      </c>
      <c r="B15299" t="s">
        <v>1181</v>
      </c>
      <c r="C15299" t="s">
        <v>17863</v>
      </c>
      <c r="D15299" t="s">
        <v>18084</v>
      </c>
      <c r="E15299" t="s">
        <v>31116</v>
      </c>
      <c r="F15299" t="s">
        <v>31574</v>
      </c>
      <c r="G15299" t="s">
        <v>31582</v>
      </c>
      <c r="H15299" t="s">
        <v>31590</v>
      </c>
      <c r="I15299" t="s">
        <v>31595</v>
      </c>
      <c r="J15299" t="s">
        <v>41092</v>
      </c>
      <c r="K15299" t="s">
        <v>41184</v>
      </c>
      <c r="M15299" t="s">
        <v>42740</v>
      </c>
      <c r="N15299" t="s">
        <v>45095</v>
      </c>
      <c r="O15299" t="s">
        <v>45096</v>
      </c>
      <c r="Q15299">
        <v>11</v>
      </c>
      <c r="R15299" t="s">
        <v>45184</v>
      </c>
      <c r="S15299" t="s">
        <v>46775</v>
      </c>
      <c r="T15299" t="s">
        <v>46918</v>
      </c>
      <c r="U15299" t="s">
        <v>59726</v>
      </c>
      <c r="W15299" t="s">
        <v>42740</v>
      </c>
      <c r="X15299" t="s">
        <v>45185</v>
      </c>
    </row>
    <row r="15300" spans="1:24">
      <c r="A15300">
        <f>HYPERLINK("https://www.philgeps.gov.ph/GEPSNONPILOT/Tender/SplashBidNoticeAbstractUI.aspx?menuIndex=3&amp;refID=6896887&amp;Result=3","6896887")</f>
        <v>0</v>
      </c>
      <c r="B15300" t="s">
        <v>1399</v>
      </c>
      <c r="C15300" t="s">
        <v>17864</v>
      </c>
      <c r="D15300" t="s">
        <v>18081</v>
      </c>
      <c r="E15300" t="s">
        <v>31435</v>
      </c>
      <c r="F15300" t="s">
        <v>31574</v>
      </c>
      <c r="G15300" t="s">
        <v>31582</v>
      </c>
      <c r="H15300" t="s">
        <v>31591</v>
      </c>
      <c r="I15300" t="s">
        <v>8822</v>
      </c>
      <c r="J15300" t="s">
        <v>33268</v>
      </c>
      <c r="K15300" t="s">
        <v>41376</v>
      </c>
      <c r="M15300" t="s">
        <v>43167</v>
      </c>
      <c r="N15300" t="s">
        <v>45095</v>
      </c>
      <c r="O15300" t="s">
        <v>45096</v>
      </c>
      <c r="Q15300">
        <v>5</v>
      </c>
      <c r="R15300" t="s">
        <v>45183</v>
      </c>
      <c r="S15300" t="s">
        <v>46776</v>
      </c>
      <c r="T15300" t="s">
        <v>47183</v>
      </c>
      <c r="U15300" t="s">
        <v>59727</v>
      </c>
      <c r="V15300" t="s">
        <v>53358</v>
      </c>
      <c r="W15300" t="s">
        <v>43167</v>
      </c>
      <c r="X15300" t="s">
        <v>45184</v>
      </c>
    </row>
    <row r="15301" spans="1:24">
      <c r="A15301">
        <f>HYPERLINK("https://www.philgeps.gov.ph/GEPSNONPILOT/Tender/SplashBidNoticeAbstractUI.aspx?menuIndex=3&amp;refID=6892256&amp;Result=3","6892256")</f>
        <v>0</v>
      </c>
      <c r="B15301" t="s">
        <v>2485</v>
      </c>
      <c r="C15301" t="s">
        <v>17865</v>
      </c>
      <c r="D15301" t="s">
        <v>18084</v>
      </c>
      <c r="E15301" t="s">
        <v>31436</v>
      </c>
      <c r="F15301" t="s">
        <v>31574</v>
      </c>
      <c r="G15301" t="s">
        <v>31582</v>
      </c>
      <c r="H15301" t="s">
        <v>31591</v>
      </c>
      <c r="I15301" t="s">
        <v>8822</v>
      </c>
      <c r="J15301" t="s">
        <v>34070</v>
      </c>
      <c r="K15301" t="s">
        <v>41189</v>
      </c>
      <c r="M15301" t="s">
        <v>44216</v>
      </c>
      <c r="N15301" t="s">
        <v>45095</v>
      </c>
      <c r="O15301" t="s">
        <v>45096</v>
      </c>
      <c r="Q15301">
        <v>50</v>
      </c>
      <c r="R15301" t="s">
        <v>45184</v>
      </c>
      <c r="S15301" t="s">
        <v>46777</v>
      </c>
      <c r="T15301" t="s">
        <v>47159</v>
      </c>
      <c r="U15301" t="s">
        <v>59728</v>
      </c>
      <c r="W15301" t="s">
        <v>61740</v>
      </c>
      <c r="X15301" t="s">
        <v>45185</v>
      </c>
    </row>
    <row r="15302" spans="1:24">
      <c r="A15302">
        <f>HYPERLINK("https://www.philgeps.gov.ph/GEPSNONPILOT/Tender/SplashBidNoticeAbstractUI.aspx?menuIndex=3&amp;refID=6892622&amp;Result=3","6892622")</f>
        <v>0</v>
      </c>
      <c r="B15302" t="s">
        <v>800</v>
      </c>
      <c r="C15302" t="s">
        <v>17866</v>
      </c>
      <c r="D15302" t="s">
        <v>18106</v>
      </c>
      <c r="E15302" t="s">
        <v>31437</v>
      </c>
      <c r="F15302" t="s">
        <v>31574</v>
      </c>
      <c r="G15302" t="s">
        <v>31582</v>
      </c>
      <c r="H15302" t="s">
        <v>31590</v>
      </c>
      <c r="I15302" t="s">
        <v>31676</v>
      </c>
      <c r="J15302" t="s">
        <v>41093</v>
      </c>
      <c r="K15302" t="s">
        <v>41235</v>
      </c>
      <c r="M15302" t="s">
        <v>42314</v>
      </c>
      <c r="N15302" t="s">
        <v>45095</v>
      </c>
      <c r="O15302" t="s">
        <v>45096</v>
      </c>
      <c r="Q15302">
        <v>8</v>
      </c>
      <c r="R15302" t="s">
        <v>45184</v>
      </c>
      <c r="S15302" t="s">
        <v>46778</v>
      </c>
      <c r="T15302" t="s">
        <v>47336</v>
      </c>
      <c r="U15302" t="s">
        <v>59729</v>
      </c>
      <c r="V15302" t="s">
        <v>61625</v>
      </c>
      <c r="W15302" t="s">
        <v>42314</v>
      </c>
      <c r="X15302" t="s">
        <v>45185</v>
      </c>
    </row>
    <row r="15303" spans="1:24">
      <c r="A15303">
        <f>HYPERLINK("https://www.philgeps.gov.ph/GEPSNONPILOT/Tender/SplashBidNoticeAbstractUI.aspx?menuIndex=3&amp;refID=6896045&amp;Result=3","6896045")</f>
        <v>0</v>
      </c>
      <c r="B15303" t="s">
        <v>706</v>
      </c>
      <c r="C15303" t="s">
        <v>17867</v>
      </c>
      <c r="D15303" t="s">
        <v>18056</v>
      </c>
      <c r="E15303" t="s">
        <v>18162</v>
      </c>
      <c r="F15303" t="s">
        <v>31574</v>
      </c>
      <c r="G15303" t="s">
        <v>31582</v>
      </c>
      <c r="H15303" t="s">
        <v>31591</v>
      </c>
      <c r="I15303" t="s">
        <v>8822</v>
      </c>
      <c r="J15303" t="s">
        <v>41094</v>
      </c>
      <c r="K15303" t="s">
        <v>41444</v>
      </c>
      <c r="M15303" t="s">
        <v>43938</v>
      </c>
      <c r="N15303" t="s">
        <v>45095</v>
      </c>
      <c r="O15303" t="s">
        <v>45096</v>
      </c>
      <c r="Q15303">
        <v>10</v>
      </c>
      <c r="R15303" t="s">
        <v>45183</v>
      </c>
      <c r="S15303" t="s">
        <v>46779</v>
      </c>
      <c r="T15303" t="s">
        <v>47154</v>
      </c>
      <c r="U15303" t="s">
        <v>59710</v>
      </c>
      <c r="W15303" t="s">
        <v>43938</v>
      </c>
      <c r="X15303" t="s">
        <v>45184</v>
      </c>
    </row>
    <row r="15304" spans="1:24">
      <c r="A15304">
        <f>HYPERLINK("https://www.philgeps.gov.ph/GEPSNONPILOT/Tender/SplashBidNoticeAbstractUI.aspx?menuIndex=3&amp;refID=6889520&amp;Result=3","6889520")</f>
        <v>0</v>
      </c>
      <c r="B15304" t="s">
        <v>3185</v>
      </c>
      <c r="C15304" t="s">
        <v>17868</v>
      </c>
      <c r="D15304" t="s">
        <v>18055</v>
      </c>
      <c r="E15304" t="s">
        <v>24535</v>
      </c>
      <c r="F15304" t="s">
        <v>31574</v>
      </c>
      <c r="G15304" t="s">
        <v>31582</v>
      </c>
      <c r="H15304" t="s">
        <v>31591</v>
      </c>
      <c r="I15304" t="s">
        <v>8822</v>
      </c>
      <c r="J15304" t="s">
        <v>40241</v>
      </c>
      <c r="K15304" t="s">
        <v>41243</v>
      </c>
      <c r="M15304" t="s">
        <v>45075</v>
      </c>
      <c r="N15304" t="s">
        <v>45095</v>
      </c>
      <c r="O15304" t="s">
        <v>45096</v>
      </c>
      <c r="Q15304">
        <v>64</v>
      </c>
      <c r="R15304" t="s">
        <v>45184</v>
      </c>
      <c r="S15304" t="s">
        <v>46780</v>
      </c>
      <c r="T15304" t="s">
        <v>47134</v>
      </c>
      <c r="U15304" t="s">
        <v>59718</v>
      </c>
      <c r="W15304" t="s">
        <v>45075</v>
      </c>
      <c r="X15304" t="s">
        <v>45186</v>
      </c>
    </row>
    <row r="15305" spans="1:24">
      <c r="A15305">
        <f>HYPERLINK("https://www.philgeps.gov.ph/GEPSNONPILOT/Tender/SplashBidNoticeAbstractUI.aspx?menuIndex=3&amp;refID=6892405&amp;Result=3","6892405")</f>
        <v>0</v>
      </c>
      <c r="B15305" t="s">
        <v>800</v>
      </c>
      <c r="C15305" t="s">
        <v>17869</v>
      </c>
      <c r="D15305" t="s">
        <v>18113</v>
      </c>
      <c r="E15305" t="s">
        <v>31438</v>
      </c>
      <c r="F15305" t="s">
        <v>31574</v>
      </c>
      <c r="G15305" t="s">
        <v>31582</v>
      </c>
      <c r="H15305" t="s">
        <v>31591</v>
      </c>
      <c r="I15305" t="s">
        <v>8822</v>
      </c>
      <c r="J15305" t="s">
        <v>41095</v>
      </c>
      <c r="K15305" t="s">
        <v>41189</v>
      </c>
      <c r="M15305" t="s">
        <v>42314</v>
      </c>
      <c r="N15305" t="s">
        <v>45095</v>
      </c>
      <c r="O15305" t="s">
        <v>45096</v>
      </c>
      <c r="Q15305">
        <v>5</v>
      </c>
      <c r="R15305" t="s">
        <v>45184</v>
      </c>
      <c r="S15305" t="s">
        <v>46781</v>
      </c>
      <c r="T15305" t="s">
        <v>47232</v>
      </c>
      <c r="U15305" t="s">
        <v>59730</v>
      </c>
      <c r="V15305" t="s">
        <v>61626</v>
      </c>
      <c r="W15305" t="s">
        <v>42314</v>
      </c>
      <c r="X15305" t="s">
        <v>45185</v>
      </c>
    </row>
    <row r="15306" spans="1:24">
      <c r="A15306">
        <f>HYPERLINK("https://www.philgeps.gov.ph/GEPSNONPILOT/Tender/SplashBidNoticeAbstractUI.aspx?menuIndex=3&amp;refID=6892238&amp;Result=3","6892238")</f>
        <v>0</v>
      </c>
      <c r="B15306" t="s">
        <v>2485</v>
      </c>
      <c r="C15306" t="s">
        <v>17870</v>
      </c>
      <c r="D15306" t="s">
        <v>18084</v>
      </c>
      <c r="E15306" t="s">
        <v>31439</v>
      </c>
      <c r="F15306" t="s">
        <v>31574</v>
      </c>
      <c r="G15306" t="s">
        <v>31582</v>
      </c>
      <c r="H15306" t="s">
        <v>31591</v>
      </c>
      <c r="I15306" t="s">
        <v>8822</v>
      </c>
      <c r="J15306" t="s">
        <v>33252</v>
      </c>
      <c r="K15306" t="s">
        <v>41203</v>
      </c>
      <c r="M15306" t="s">
        <v>44216</v>
      </c>
      <c r="N15306" t="s">
        <v>45095</v>
      </c>
      <c r="O15306" t="s">
        <v>45096</v>
      </c>
      <c r="Q15306">
        <v>39</v>
      </c>
      <c r="R15306" t="s">
        <v>45184</v>
      </c>
      <c r="S15306" t="s">
        <v>46782</v>
      </c>
      <c r="T15306" t="s">
        <v>47159</v>
      </c>
      <c r="U15306" t="s">
        <v>59731</v>
      </c>
      <c r="W15306" t="s">
        <v>61740</v>
      </c>
      <c r="X15306" t="s">
        <v>45185</v>
      </c>
    </row>
    <row r="15307" spans="1:24">
      <c r="A15307">
        <f>HYPERLINK("https://www.philgeps.gov.ph/GEPSNONPILOT/Tender/SplashBidNoticeAbstractUI.aspx?menuIndex=3&amp;refID=6887204&amp;Result=3","6887204")</f>
        <v>0</v>
      </c>
      <c r="B15307" t="s">
        <v>1128</v>
      </c>
      <c r="C15307" t="s">
        <v>17871</v>
      </c>
      <c r="D15307" t="s">
        <v>18022</v>
      </c>
      <c r="E15307" t="s">
        <v>31440</v>
      </c>
      <c r="F15307" t="s">
        <v>31574</v>
      </c>
      <c r="G15307" t="s">
        <v>31582</v>
      </c>
      <c r="H15307" t="s">
        <v>31590</v>
      </c>
      <c r="I15307" t="s">
        <v>31608</v>
      </c>
      <c r="J15307" t="s">
        <v>41096</v>
      </c>
      <c r="K15307" t="s">
        <v>41186</v>
      </c>
      <c r="M15307" t="s">
        <v>45080</v>
      </c>
      <c r="N15307" t="s">
        <v>45095</v>
      </c>
      <c r="O15307" t="s">
        <v>45096</v>
      </c>
      <c r="Q15307">
        <v>22</v>
      </c>
      <c r="R15307" t="s">
        <v>45185</v>
      </c>
      <c r="S15307" t="s">
        <v>46783</v>
      </c>
      <c r="T15307" t="s">
        <v>47183</v>
      </c>
      <c r="U15307" t="s">
        <v>59732</v>
      </c>
      <c r="W15307" t="s">
        <v>45080</v>
      </c>
      <c r="X15307" t="s">
        <v>45187</v>
      </c>
    </row>
    <row r="15308" spans="1:24">
      <c r="A15308">
        <f>HYPERLINK("https://www.philgeps.gov.ph/GEPSNONPILOT/Tender/SplashBidNoticeAbstractUI.aspx?menuIndex=3&amp;refID=6885610&amp;Result=3","6885610")</f>
        <v>0</v>
      </c>
      <c r="B15308" t="s">
        <v>2092</v>
      </c>
      <c r="C15308" t="s">
        <v>17872</v>
      </c>
      <c r="D15308" t="s">
        <v>18030</v>
      </c>
      <c r="E15308" t="s">
        <v>31441</v>
      </c>
      <c r="F15308" t="s">
        <v>31574</v>
      </c>
      <c r="G15308" t="s">
        <v>31582</v>
      </c>
      <c r="H15308" t="s">
        <v>31592</v>
      </c>
      <c r="I15308" t="s">
        <v>31705</v>
      </c>
      <c r="J15308" t="s">
        <v>41097</v>
      </c>
      <c r="K15308" t="s">
        <v>41235</v>
      </c>
      <c r="M15308" t="s">
        <v>43900</v>
      </c>
      <c r="N15308" t="s">
        <v>45095</v>
      </c>
      <c r="O15308" t="s">
        <v>45096</v>
      </c>
      <c r="Q15308">
        <v>10</v>
      </c>
      <c r="R15308" t="s">
        <v>45186</v>
      </c>
      <c r="S15308" t="s">
        <v>46784</v>
      </c>
      <c r="T15308" t="s">
        <v>47154</v>
      </c>
      <c r="U15308" t="s">
        <v>53298</v>
      </c>
      <c r="V15308" t="s">
        <v>61176</v>
      </c>
      <c r="W15308" t="s">
        <v>43900</v>
      </c>
      <c r="X15308" t="s">
        <v>45187</v>
      </c>
    </row>
    <row r="15309" spans="1:24">
      <c r="A15309">
        <f>HYPERLINK("https://www.philgeps.gov.ph/GEPSNONPILOT/Tender/SplashBidNoticeAbstractUI.aspx?menuIndex=3&amp;refID=6892471&amp;Result=3","6892471")</f>
        <v>0</v>
      </c>
      <c r="B15309" t="s">
        <v>1586</v>
      </c>
      <c r="C15309" t="s">
        <v>17873</v>
      </c>
      <c r="E15309" t="s">
        <v>31442</v>
      </c>
      <c r="F15309" t="s">
        <v>31574</v>
      </c>
      <c r="G15309" t="s">
        <v>31582</v>
      </c>
      <c r="H15309" t="s">
        <v>31590</v>
      </c>
      <c r="I15309" t="s">
        <v>31641</v>
      </c>
      <c r="J15309" t="s">
        <v>41098</v>
      </c>
      <c r="K15309" t="s">
        <v>41184</v>
      </c>
      <c r="M15309" t="s">
        <v>43190</v>
      </c>
      <c r="N15309" t="s">
        <v>45095</v>
      </c>
      <c r="O15309" t="s">
        <v>45096</v>
      </c>
      <c r="Q15309">
        <v>11</v>
      </c>
      <c r="R15309" t="s">
        <v>45184</v>
      </c>
      <c r="S15309" t="s">
        <v>45394</v>
      </c>
      <c r="T15309" t="s">
        <v>46941</v>
      </c>
      <c r="U15309" t="s">
        <v>59733</v>
      </c>
      <c r="V15309" t="s">
        <v>61627</v>
      </c>
      <c r="W15309" t="s">
        <v>43190</v>
      </c>
      <c r="X15309" t="s">
        <v>45185</v>
      </c>
    </row>
    <row r="15310" spans="1:24">
      <c r="A15310">
        <f>HYPERLINK("https://www.philgeps.gov.ph/GEPSNONPILOT/Tender/SplashBidNoticeAbstractUI.aspx?menuIndex=3&amp;refID=6891697&amp;Result=3","6891697")</f>
        <v>0</v>
      </c>
      <c r="B15310" t="s">
        <v>685</v>
      </c>
      <c r="C15310" t="s">
        <v>17874</v>
      </c>
      <c r="D15310" t="s">
        <v>18022</v>
      </c>
      <c r="E15310" t="s">
        <v>31443</v>
      </c>
      <c r="F15310" t="s">
        <v>31574</v>
      </c>
      <c r="G15310" t="s">
        <v>31582</v>
      </c>
      <c r="H15310" t="s">
        <v>31590</v>
      </c>
      <c r="I15310" t="s">
        <v>31608</v>
      </c>
      <c r="J15310" t="s">
        <v>31730</v>
      </c>
      <c r="K15310" t="s">
        <v>41184</v>
      </c>
      <c r="M15310" t="s">
        <v>42192</v>
      </c>
      <c r="N15310" t="s">
        <v>45095</v>
      </c>
      <c r="O15310" t="s">
        <v>45096</v>
      </c>
      <c r="Q15310">
        <v>31</v>
      </c>
      <c r="R15310" t="s">
        <v>45184</v>
      </c>
      <c r="S15310" t="s">
        <v>46785</v>
      </c>
      <c r="T15310" t="s">
        <v>47458</v>
      </c>
      <c r="U15310" t="s">
        <v>59734</v>
      </c>
      <c r="V15310" t="s">
        <v>61628</v>
      </c>
      <c r="W15310" t="s">
        <v>42192</v>
      </c>
      <c r="X15310" t="s">
        <v>45185</v>
      </c>
    </row>
    <row r="15311" spans="1:24">
      <c r="A15311">
        <f>HYPERLINK("https://www.philgeps.gov.ph/GEPSNONPILOT/Tender/SplashBidNoticeAbstractUI.aspx?menuIndex=3&amp;refID=6889725&amp;Result=3","6889725")</f>
        <v>0</v>
      </c>
      <c r="B15311" t="s">
        <v>1396</v>
      </c>
      <c r="C15311" t="s">
        <v>17875</v>
      </c>
      <c r="E15311" t="s">
        <v>31444</v>
      </c>
      <c r="F15311" t="s">
        <v>31574</v>
      </c>
      <c r="G15311" t="s">
        <v>31582</v>
      </c>
      <c r="H15311" t="s">
        <v>31590</v>
      </c>
      <c r="I15311" t="s">
        <v>14034</v>
      </c>
      <c r="J15311" t="s">
        <v>41099</v>
      </c>
      <c r="K15311" t="s">
        <v>41184</v>
      </c>
      <c r="M15311" t="s">
        <v>45069</v>
      </c>
      <c r="N15311" t="s">
        <v>45095</v>
      </c>
      <c r="O15311" t="s">
        <v>45096</v>
      </c>
      <c r="Q15311">
        <v>18</v>
      </c>
      <c r="R15311" t="s">
        <v>45185</v>
      </c>
      <c r="S15311" t="s">
        <v>46277</v>
      </c>
      <c r="T15311" t="s">
        <v>47459</v>
      </c>
      <c r="U15311" t="s">
        <v>59735</v>
      </c>
      <c r="W15311" t="s">
        <v>45069</v>
      </c>
      <c r="X15311" t="s">
        <v>45186</v>
      </c>
    </row>
    <row r="15312" spans="1:24">
      <c r="A15312">
        <f>HYPERLINK("https://www.philgeps.gov.ph/GEPSNONPILOT/Tender/SplashBidNoticeAbstractUI.aspx?menuIndex=3&amp;refID=6889719&amp;Result=3","6889719")</f>
        <v>0</v>
      </c>
      <c r="B15312" t="s">
        <v>1396</v>
      </c>
      <c r="C15312" t="s">
        <v>17876</v>
      </c>
      <c r="E15312" t="s">
        <v>31445</v>
      </c>
      <c r="F15312" t="s">
        <v>31574</v>
      </c>
      <c r="G15312" t="s">
        <v>31582</v>
      </c>
      <c r="H15312" t="s">
        <v>31590</v>
      </c>
      <c r="I15312" t="s">
        <v>31612</v>
      </c>
      <c r="J15312" t="s">
        <v>41100</v>
      </c>
      <c r="K15312" t="s">
        <v>41184</v>
      </c>
      <c r="M15312" t="s">
        <v>45069</v>
      </c>
      <c r="N15312" t="s">
        <v>45095</v>
      </c>
      <c r="O15312" t="s">
        <v>45096</v>
      </c>
      <c r="Q15312">
        <v>22</v>
      </c>
      <c r="R15312" t="s">
        <v>45185</v>
      </c>
      <c r="S15312" t="s">
        <v>46277</v>
      </c>
      <c r="T15312" t="s">
        <v>47076</v>
      </c>
      <c r="U15312" t="s">
        <v>59736</v>
      </c>
      <c r="W15312" t="s">
        <v>45069</v>
      </c>
      <c r="X15312" t="s">
        <v>45186</v>
      </c>
    </row>
    <row r="15313" spans="1:24">
      <c r="A15313">
        <f>HYPERLINK("https://www.philgeps.gov.ph/GEPSNONPILOT/Tender/SplashBidNoticeAbstractUI.aspx?menuIndex=3&amp;refID=6892031&amp;Result=3","6892031")</f>
        <v>0</v>
      </c>
      <c r="B15313" t="s">
        <v>594</v>
      </c>
      <c r="C15313" t="s">
        <v>17877</v>
      </c>
      <c r="D15313" t="s">
        <v>18106</v>
      </c>
      <c r="E15313" t="s">
        <v>31446</v>
      </c>
      <c r="F15313" t="s">
        <v>31574</v>
      </c>
      <c r="G15313" t="s">
        <v>31582</v>
      </c>
      <c r="H15313" t="s">
        <v>31590</v>
      </c>
      <c r="I15313" t="s">
        <v>31615</v>
      </c>
      <c r="J15313" t="s">
        <v>40380</v>
      </c>
      <c r="K15313" t="s">
        <v>41192</v>
      </c>
      <c r="M15313" t="s">
        <v>43915</v>
      </c>
      <c r="N15313" t="s">
        <v>45095</v>
      </c>
      <c r="O15313" t="s">
        <v>45096</v>
      </c>
      <c r="Q15313">
        <v>15</v>
      </c>
      <c r="R15313" t="s">
        <v>45184</v>
      </c>
      <c r="S15313" t="s">
        <v>46786</v>
      </c>
      <c r="T15313" t="s">
        <v>47188</v>
      </c>
      <c r="U15313" t="s">
        <v>59737</v>
      </c>
      <c r="W15313" t="s">
        <v>43915</v>
      </c>
      <c r="X15313" t="s">
        <v>45185</v>
      </c>
    </row>
    <row r="15314" spans="1:24">
      <c r="A15314">
        <f>HYPERLINK("https://www.philgeps.gov.ph/GEPSNONPILOT/Tender/SplashBidNoticeAbstractUI.aspx?menuIndex=3&amp;refID=6889432&amp;Result=3","6889432")</f>
        <v>0</v>
      </c>
      <c r="B15314" t="s">
        <v>1396</v>
      </c>
      <c r="C15314" t="s">
        <v>17878</v>
      </c>
      <c r="E15314" t="s">
        <v>31447</v>
      </c>
      <c r="F15314" t="s">
        <v>31574</v>
      </c>
      <c r="G15314" t="s">
        <v>31582</v>
      </c>
      <c r="H15314" t="s">
        <v>31590</v>
      </c>
      <c r="I15314" t="s">
        <v>31616</v>
      </c>
      <c r="J15314" t="s">
        <v>41101</v>
      </c>
      <c r="K15314" t="s">
        <v>41184</v>
      </c>
      <c r="M15314" t="s">
        <v>45064</v>
      </c>
      <c r="N15314" t="s">
        <v>45095</v>
      </c>
      <c r="O15314" t="s">
        <v>45096</v>
      </c>
      <c r="Q15314">
        <v>35</v>
      </c>
      <c r="R15314" t="s">
        <v>45185</v>
      </c>
      <c r="S15314" t="s">
        <v>46787</v>
      </c>
      <c r="T15314" t="s">
        <v>47454</v>
      </c>
      <c r="U15314" t="s">
        <v>59738</v>
      </c>
      <c r="W15314" t="s">
        <v>45064</v>
      </c>
      <c r="X15314" t="s">
        <v>45186</v>
      </c>
    </row>
    <row r="15315" spans="1:24">
      <c r="A15315">
        <f>HYPERLINK("https://www.philgeps.gov.ph/GEPSNONPILOT/Tender/SplashBidNoticeAbstractUI.aspx?menuIndex=3&amp;refID=6885620&amp;Result=3","6885620")</f>
        <v>0</v>
      </c>
      <c r="B15315" t="s">
        <v>2092</v>
      </c>
      <c r="C15315" t="s">
        <v>17879</v>
      </c>
      <c r="D15315" t="s">
        <v>18030</v>
      </c>
      <c r="E15315" t="s">
        <v>31448</v>
      </c>
      <c r="F15315" t="s">
        <v>31574</v>
      </c>
      <c r="G15315" t="s">
        <v>31582</v>
      </c>
      <c r="H15315" t="s">
        <v>31592</v>
      </c>
      <c r="I15315" t="s">
        <v>31705</v>
      </c>
      <c r="J15315" t="s">
        <v>41102</v>
      </c>
      <c r="K15315" t="s">
        <v>41235</v>
      </c>
      <c r="M15315" t="s">
        <v>43900</v>
      </c>
      <c r="N15315" t="s">
        <v>45095</v>
      </c>
      <c r="O15315" t="s">
        <v>45096</v>
      </c>
      <c r="Q15315">
        <v>14</v>
      </c>
      <c r="R15315" t="s">
        <v>45186</v>
      </c>
      <c r="S15315" t="s">
        <v>46788</v>
      </c>
      <c r="T15315" t="s">
        <v>47154</v>
      </c>
      <c r="U15315" t="s">
        <v>53298</v>
      </c>
      <c r="V15315" t="s">
        <v>61176</v>
      </c>
      <c r="W15315" t="s">
        <v>43900</v>
      </c>
      <c r="X15315" t="s">
        <v>45187</v>
      </c>
    </row>
    <row r="15316" spans="1:24">
      <c r="A15316">
        <f>HYPERLINK("https://www.philgeps.gov.ph/GEPSNONPILOT/Tender/SplashBidNoticeAbstractUI.aspx?menuIndex=3&amp;refID=6889704&amp;Result=3","6889704")</f>
        <v>0</v>
      </c>
      <c r="B15316" t="s">
        <v>1396</v>
      </c>
      <c r="C15316" t="s">
        <v>17880</v>
      </c>
      <c r="E15316" t="s">
        <v>31449</v>
      </c>
      <c r="F15316" t="s">
        <v>31574</v>
      </c>
      <c r="G15316" t="s">
        <v>31582</v>
      </c>
      <c r="H15316" t="s">
        <v>31590</v>
      </c>
      <c r="I15316" t="s">
        <v>31614</v>
      </c>
      <c r="J15316" t="s">
        <v>41103</v>
      </c>
      <c r="K15316" t="s">
        <v>41184</v>
      </c>
      <c r="M15316" t="s">
        <v>45069</v>
      </c>
      <c r="N15316" t="s">
        <v>45095</v>
      </c>
      <c r="O15316" t="s">
        <v>45096</v>
      </c>
      <c r="Q15316">
        <v>16</v>
      </c>
      <c r="R15316" t="s">
        <v>45185</v>
      </c>
      <c r="S15316" t="s">
        <v>45338</v>
      </c>
      <c r="T15316" t="s">
        <v>47460</v>
      </c>
      <c r="U15316" t="s">
        <v>59739</v>
      </c>
      <c r="W15316" t="s">
        <v>45069</v>
      </c>
      <c r="X15316" t="s">
        <v>45186</v>
      </c>
    </row>
    <row r="15317" spans="1:24">
      <c r="A15317">
        <f>HYPERLINK("https://www.philgeps.gov.ph/GEPSNONPILOT/Tender/SplashBidNoticeAbstractUI.aspx?menuIndex=3&amp;refID=6887313&amp;Result=3","6887313")</f>
        <v>0</v>
      </c>
      <c r="B15317" t="s">
        <v>3189</v>
      </c>
      <c r="C15317" t="s">
        <v>17881</v>
      </c>
      <c r="D15317" t="s">
        <v>18060</v>
      </c>
      <c r="E15317" t="s">
        <v>31450</v>
      </c>
      <c r="F15317" t="s">
        <v>31574</v>
      </c>
      <c r="G15317" t="s">
        <v>31582</v>
      </c>
      <c r="H15317" t="s">
        <v>31591</v>
      </c>
      <c r="I15317" t="s">
        <v>8822</v>
      </c>
      <c r="J15317" t="s">
        <v>41104</v>
      </c>
      <c r="K15317" t="s">
        <v>41449</v>
      </c>
      <c r="M15317" t="s">
        <v>45081</v>
      </c>
      <c r="N15317" t="s">
        <v>45095</v>
      </c>
      <c r="O15317" t="s">
        <v>45096</v>
      </c>
      <c r="Q15317">
        <v>45</v>
      </c>
      <c r="R15317" t="s">
        <v>45185</v>
      </c>
      <c r="S15317" t="s">
        <v>46789</v>
      </c>
      <c r="T15317" t="s">
        <v>47106</v>
      </c>
      <c r="U15317" t="s">
        <v>59740</v>
      </c>
      <c r="W15317" t="s">
        <v>45081</v>
      </c>
      <c r="X15317" t="s">
        <v>45187</v>
      </c>
    </row>
    <row r="15318" spans="1:24">
      <c r="A15318">
        <f>HYPERLINK("https://www.philgeps.gov.ph/GEPSNONPILOT/Tender/SplashBidNoticeAbstractUI.aspx?menuIndex=3&amp;refID=6885655&amp;Result=3","6885655")</f>
        <v>0</v>
      </c>
      <c r="B15318" t="s">
        <v>2092</v>
      </c>
      <c r="C15318" t="s">
        <v>17882</v>
      </c>
      <c r="D15318" t="s">
        <v>18030</v>
      </c>
      <c r="E15318" t="s">
        <v>31451</v>
      </c>
      <c r="F15318" t="s">
        <v>31574</v>
      </c>
      <c r="G15318" t="s">
        <v>31582</v>
      </c>
      <c r="H15318" t="s">
        <v>31592</v>
      </c>
      <c r="I15318" t="s">
        <v>31705</v>
      </c>
      <c r="J15318" t="s">
        <v>41105</v>
      </c>
      <c r="K15318" t="s">
        <v>41235</v>
      </c>
      <c r="M15318" t="s">
        <v>43900</v>
      </c>
      <c r="N15318" t="s">
        <v>45095</v>
      </c>
      <c r="O15318" t="s">
        <v>45096</v>
      </c>
      <c r="Q15318">
        <v>15</v>
      </c>
      <c r="R15318" t="s">
        <v>45186</v>
      </c>
      <c r="S15318" t="s">
        <v>46790</v>
      </c>
      <c r="T15318" t="s">
        <v>47154</v>
      </c>
      <c r="U15318" t="s">
        <v>53298</v>
      </c>
      <c r="V15318" t="s">
        <v>61176</v>
      </c>
      <c r="W15318" t="s">
        <v>43900</v>
      </c>
      <c r="X15318" t="s">
        <v>45187</v>
      </c>
    </row>
    <row r="15319" spans="1:24">
      <c r="A15319">
        <f>HYPERLINK("https://www.philgeps.gov.ph/GEPSNONPILOT/Tender/SplashBidNoticeAbstractUI.aspx?menuIndex=3&amp;refID=6889208&amp;Result=3","6889208")</f>
        <v>0</v>
      </c>
      <c r="B15319" t="s">
        <v>1396</v>
      </c>
      <c r="C15319" t="s">
        <v>17883</v>
      </c>
      <c r="E15319" t="s">
        <v>31452</v>
      </c>
      <c r="F15319" t="s">
        <v>31574</v>
      </c>
      <c r="G15319" t="s">
        <v>31582</v>
      </c>
      <c r="H15319" t="s">
        <v>31590</v>
      </c>
      <c r="I15319" t="s">
        <v>31667</v>
      </c>
      <c r="J15319" t="s">
        <v>41106</v>
      </c>
      <c r="K15319" t="s">
        <v>41184</v>
      </c>
      <c r="M15319" t="s">
        <v>45064</v>
      </c>
      <c r="N15319" t="s">
        <v>45095</v>
      </c>
      <c r="O15319" t="s">
        <v>45096</v>
      </c>
      <c r="Q15319">
        <v>11</v>
      </c>
      <c r="R15319" t="s">
        <v>45185</v>
      </c>
      <c r="S15319" t="s">
        <v>46791</v>
      </c>
      <c r="T15319" t="s">
        <v>47313</v>
      </c>
      <c r="U15319" t="s">
        <v>59741</v>
      </c>
      <c r="W15319" t="s">
        <v>45064</v>
      </c>
      <c r="X15319" t="s">
        <v>45186</v>
      </c>
    </row>
    <row r="15320" spans="1:24">
      <c r="A15320">
        <f>HYPERLINK("https://www.philgeps.gov.ph/GEPSNONPILOT/Tender/SplashBidNoticeAbstractUI.aspx?menuIndex=3&amp;refID=6889508&amp;Result=3","6889508")</f>
        <v>0</v>
      </c>
      <c r="B15320" t="s">
        <v>1396</v>
      </c>
      <c r="C15320" t="s">
        <v>17884</v>
      </c>
      <c r="E15320" t="s">
        <v>31453</v>
      </c>
      <c r="F15320" t="s">
        <v>31574</v>
      </c>
      <c r="G15320" t="s">
        <v>31582</v>
      </c>
      <c r="H15320" t="s">
        <v>31590</v>
      </c>
      <c r="I15320" t="s">
        <v>4327</v>
      </c>
      <c r="J15320" t="s">
        <v>35442</v>
      </c>
      <c r="K15320" t="s">
        <v>41184</v>
      </c>
      <c r="M15320" t="s">
        <v>45064</v>
      </c>
      <c r="N15320" t="s">
        <v>45095</v>
      </c>
      <c r="O15320" t="s">
        <v>45096</v>
      </c>
      <c r="Q15320">
        <v>16</v>
      </c>
      <c r="R15320" t="s">
        <v>45185</v>
      </c>
      <c r="S15320" t="s">
        <v>45245</v>
      </c>
      <c r="T15320" t="s">
        <v>46937</v>
      </c>
      <c r="U15320" t="s">
        <v>59742</v>
      </c>
      <c r="W15320" t="s">
        <v>45064</v>
      </c>
      <c r="X15320" t="s">
        <v>45186</v>
      </c>
    </row>
    <row r="15321" spans="1:24">
      <c r="A15321">
        <f>HYPERLINK("https://www.philgeps.gov.ph/GEPSNONPILOT/Tender/SplashBidNoticeAbstractUI.aspx?menuIndex=3&amp;refID=6888375&amp;Result=3","6888375")</f>
        <v>0</v>
      </c>
      <c r="B15321" t="s">
        <v>3189</v>
      </c>
      <c r="C15321" t="s">
        <v>17885</v>
      </c>
      <c r="D15321" t="s">
        <v>18060</v>
      </c>
      <c r="E15321" t="s">
        <v>31454</v>
      </c>
      <c r="F15321" t="s">
        <v>31574</v>
      </c>
      <c r="G15321" t="s">
        <v>31582</v>
      </c>
      <c r="H15321" t="s">
        <v>31591</v>
      </c>
      <c r="I15321" t="s">
        <v>8822</v>
      </c>
      <c r="J15321" t="s">
        <v>41107</v>
      </c>
      <c r="K15321" t="s">
        <v>41497</v>
      </c>
      <c r="M15321" t="s">
        <v>45081</v>
      </c>
      <c r="N15321" t="s">
        <v>45095</v>
      </c>
      <c r="O15321" t="s">
        <v>45096</v>
      </c>
      <c r="Q15321">
        <v>44</v>
      </c>
      <c r="R15321" t="s">
        <v>45185</v>
      </c>
      <c r="S15321" t="s">
        <v>46792</v>
      </c>
      <c r="T15321" t="s">
        <v>47106</v>
      </c>
      <c r="U15321" t="s">
        <v>59740</v>
      </c>
      <c r="W15321" t="s">
        <v>45081</v>
      </c>
      <c r="X15321" t="s">
        <v>45187</v>
      </c>
    </row>
    <row r="15322" spans="1:24">
      <c r="A15322">
        <f>HYPERLINK("https://www.philgeps.gov.ph/GEPSNONPILOT/Tender/SplashBidNoticeAbstractUI.aspx?menuIndex=3&amp;refID=6885385&amp;Result=3","6885385")</f>
        <v>0</v>
      </c>
      <c r="B15322" t="s">
        <v>1128</v>
      </c>
      <c r="C15322" t="s">
        <v>17886</v>
      </c>
      <c r="D15322" t="s">
        <v>18022</v>
      </c>
      <c r="E15322" t="s">
        <v>31455</v>
      </c>
      <c r="F15322" t="s">
        <v>31574</v>
      </c>
      <c r="G15322" t="s">
        <v>31582</v>
      </c>
      <c r="H15322" t="s">
        <v>31590</v>
      </c>
      <c r="I15322" t="s">
        <v>4046</v>
      </c>
      <c r="J15322" t="s">
        <v>41108</v>
      </c>
      <c r="K15322" t="s">
        <v>41186</v>
      </c>
      <c r="M15322" t="s">
        <v>45082</v>
      </c>
      <c r="N15322" t="s">
        <v>45095</v>
      </c>
      <c r="O15322" t="s">
        <v>45096</v>
      </c>
      <c r="Q15322">
        <v>6</v>
      </c>
      <c r="R15322" t="s">
        <v>45187</v>
      </c>
      <c r="S15322" t="s">
        <v>46793</v>
      </c>
      <c r="T15322" t="s">
        <v>47064</v>
      </c>
      <c r="U15322" t="s">
        <v>59743</v>
      </c>
      <c r="W15322" t="s">
        <v>45082</v>
      </c>
      <c r="X15322" t="s">
        <v>61790</v>
      </c>
    </row>
    <row r="15323" spans="1:24">
      <c r="A15323">
        <f>HYPERLINK("https://www.philgeps.gov.ph/GEPSNONPILOT/Tender/SplashBidNoticeAbstractUI.aspx?menuIndex=3&amp;refID=6883001&amp;Result=3","6883001")</f>
        <v>0</v>
      </c>
      <c r="B15323" t="s">
        <v>2314</v>
      </c>
      <c r="C15323" t="s">
        <v>17887</v>
      </c>
      <c r="D15323" t="s">
        <v>18044</v>
      </c>
      <c r="E15323" t="s">
        <v>31456</v>
      </c>
      <c r="F15323" t="s">
        <v>31574</v>
      </c>
      <c r="G15323" t="s">
        <v>31582</v>
      </c>
      <c r="H15323" t="s">
        <v>31591</v>
      </c>
      <c r="I15323" t="s">
        <v>8822</v>
      </c>
      <c r="J15323" t="s">
        <v>33215</v>
      </c>
      <c r="K15323" t="s">
        <v>41202</v>
      </c>
      <c r="M15323" t="s">
        <v>44024</v>
      </c>
      <c r="N15323" t="s">
        <v>45095</v>
      </c>
      <c r="O15323" t="s">
        <v>45096</v>
      </c>
      <c r="Q15323">
        <v>17</v>
      </c>
      <c r="R15323" t="s">
        <v>45187</v>
      </c>
      <c r="S15323" t="s">
        <v>46794</v>
      </c>
      <c r="T15323" t="s">
        <v>47154</v>
      </c>
      <c r="U15323" t="s">
        <v>56834</v>
      </c>
      <c r="W15323" t="s">
        <v>44024</v>
      </c>
      <c r="X15323" t="s">
        <v>45189</v>
      </c>
    </row>
    <row r="15324" spans="1:24">
      <c r="A15324">
        <f>HYPERLINK("https://www.philgeps.gov.ph/GEPSNONPILOT/Tender/SplashBidNoticeAbstractUI.aspx?menuIndex=3&amp;refID=6883250&amp;Result=3","6883250")</f>
        <v>0</v>
      </c>
      <c r="B15324" t="s">
        <v>2314</v>
      </c>
      <c r="C15324" t="s">
        <v>17888</v>
      </c>
      <c r="D15324" t="s">
        <v>18044</v>
      </c>
      <c r="E15324" t="s">
        <v>31457</v>
      </c>
      <c r="F15324" t="s">
        <v>31574</v>
      </c>
      <c r="G15324" t="s">
        <v>31582</v>
      </c>
      <c r="H15324" t="s">
        <v>31591</v>
      </c>
      <c r="I15324" t="s">
        <v>8822</v>
      </c>
      <c r="J15324" t="s">
        <v>33252</v>
      </c>
      <c r="K15324" t="s">
        <v>41198</v>
      </c>
      <c r="M15324" t="s">
        <v>44024</v>
      </c>
      <c r="N15324" t="s">
        <v>45095</v>
      </c>
      <c r="O15324" t="s">
        <v>45096</v>
      </c>
      <c r="Q15324">
        <v>14</v>
      </c>
      <c r="R15324" t="s">
        <v>45187</v>
      </c>
      <c r="S15324" t="s">
        <v>46795</v>
      </c>
      <c r="T15324" t="s">
        <v>47154</v>
      </c>
      <c r="U15324" t="s">
        <v>56834</v>
      </c>
      <c r="W15324" t="s">
        <v>44024</v>
      </c>
      <c r="X15324" t="s">
        <v>45189</v>
      </c>
    </row>
    <row r="15325" spans="1:24">
      <c r="A15325">
        <f>HYPERLINK("https://www.philgeps.gov.ph/GEPSNONPILOT/Tender/SplashBidNoticeAbstractUI.aspx?menuIndex=3&amp;refID=6887610&amp;Result=3","6887610")</f>
        <v>0</v>
      </c>
      <c r="B15325" t="s">
        <v>24</v>
      </c>
      <c r="C15325" t="s">
        <v>17889</v>
      </c>
      <c r="D15325" t="s">
        <v>18022</v>
      </c>
      <c r="E15325" t="s">
        <v>31458</v>
      </c>
      <c r="F15325" t="s">
        <v>31574</v>
      </c>
      <c r="G15325" t="s">
        <v>31582</v>
      </c>
      <c r="H15325" t="s">
        <v>31593</v>
      </c>
      <c r="I15325" t="s">
        <v>31593</v>
      </c>
      <c r="J15325" t="s">
        <v>41109</v>
      </c>
      <c r="K15325" t="s">
        <v>41200</v>
      </c>
      <c r="M15325" t="s">
        <v>42023</v>
      </c>
      <c r="N15325" t="s">
        <v>45095</v>
      </c>
      <c r="O15325" t="s">
        <v>45096</v>
      </c>
      <c r="Q15325">
        <v>9</v>
      </c>
      <c r="R15325" t="s">
        <v>45186</v>
      </c>
      <c r="S15325" t="s">
        <v>46796</v>
      </c>
      <c r="T15325" t="s">
        <v>47197</v>
      </c>
      <c r="U15325" t="s">
        <v>59744</v>
      </c>
      <c r="V15325" t="s">
        <v>59855</v>
      </c>
      <c r="W15325" t="s">
        <v>42023</v>
      </c>
      <c r="X15325" t="s">
        <v>45187</v>
      </c>
    </row>
    <row r="15326" spans="1:24">
      <c r="A15326">
        <f>HYPERLINK("https://www.philgeps.gov.ph/GEPSNONPILOT/Tender/SplashBidNoticeAbstractUI.aspx?menuIndex=3&amp;refID=6883502&amp;Result=3","6883502")</f>
        <v>0</v>
      </c>
      <c r="B15326" t="s">
        <v>2314</v>
      </c>
      <c r="C15326" t="s">
        <v>17890</v>
      </c>
      <c r="D15326" t="s">
        <v>18044</v>
      </c>
      <c r="E15326" t="s">
        <v>31459</v>
      </c>
      <c r="F15326" t="s">
        <v>31574</v>
      </c>
      <c r="G15326" t="s">
        <v>31582</v>
      </c>
      <c r="H15326" t="s">
        <v>31591</v>
      </c>
      <c r="I15326" t="s">
        <v>8822</v>
      </c>
      <c r="J15326" t="s">
        <v>33252</v>
      </c>
      <c r="K15326" t="s">
        <v>41198</v>
      </c>
      <c r="M15326" t="s">
        <v>44024</v>
      </c>
      <c r="N15326" t="s">
        <v>45095</v>
      </c>
      <c r="O15326" t="s">
        <v>45096</v>
      </c>
      <c r="Q15326">
        <v>14</v>
      </c>
      <c r="R15326" t="s">
        <v>45187</v>
      </c>
      <c r="S15326" t="s">
        <v>46477</v>
      </c>
      <c r="T15326" t="s">
        <v>47154</v>
      </c>
      <c r="U15326" t="s">
        <v>56834</v>
      </c>
      <c r="W15326" t="s">
        <v>44024</v>
      </c>
      <c r="X15326" t="s">
        <v>45189</v>
      </c>
    </row>
    <row r="15327" spans="1:24">
      <c r="A15327">
        <f>HYPERLINK("https://www.philgeps.gov.ph/GEPSNONPILOT/Tender/SplashBidNoticeAbstractUI.aspx?menuIndex=3&amp;refID=6887641&amp;Result=3","6887641")</f>
        <v>0</v>
      </c>
      <c r="B15327" t="s">
        <v>800</v>
      </c>
      <c r="C15327" t="s">
        <v>17891</v>
      </c>
      <c r="D15327" t="s">
        <v>18106</v>
      </c>
      <c r="E15327" t="s">
        <v>31460</v>
      </c>
      <c r="F15327" t="s">
        <v>31574</v>
      </c>
      <c r="G15327" t="s">
        <v>31582</v>
      </c>
      <c r="H15327" t="s">
        <v>31590</v>
      </c>
      <c r="I15327" t="s">
        <v>31676</v>
      </c>
      <c r="J15327" t="s">
        <v>41110</v>
      </c>
      <c r="K15327" t="s">
        <v>41184</v>
      </c>
      <c r="M15327" t="s">
        <v>42314</v>
      </c>
      <c r="N15327" t="s">
        <v>45095</v>
      </c>
      <c r="O15327" t="s">
        <v>45096</v>
      </c>
      <c r="Q15327">
        <v>10</v>
      </c>
      <c r="R15327" t="s">
        <v>45186</v>
      </c>
      <c r="S15327" t="s">
        <v>46797</v>
      </c>
      <c r="T15327" t="s">
        <v>47108</v>
      </c>
      <c r="U15327" t="s">
        <v>59745</v>
      </c>
      <c r="V15327" t="s">
        <v>61629</v>
      </c>
      <c r="W15327" t="s">
        <v>42314</v>
      </c>
      <c r="X15327" t="s">
        <v>45187</v>
      </c>
    </row>
    <row r="15328" spans="1:24">
      <c r="A15328">
        <f>HYPERLINK("https://www.philgeps.gov.ph/GEPSNONPILOT/Tender/SplashBidNoticeAbstractUI.aspx?menuIndex=3&amp;refID=6885422&amp;Result=3","6885422")</f>
        <v>0</v>
      </c>
      <c r="B15328" t="s">
        <v>1128</v>
      </c>
      <c r="C15328" t="s">
        <v>17892</v>
      </c>
      <c r="D15328" t="s">
        <v>18022</v>
      </c>
      <c r="E15328" t="s">
        <v>31455</v>
      </c>
      <c r="F15328" t="s">
        <v>31574</v>
      </c>
      <c r="G15328" t="s">
        <v>31582</v>
      </c>
      <c r="H15328" t="s">
        <v>31590</v>
      </c>
      <c r="I15328" t="s">
        <v>4046</v>
      </c>
      <c r="J15328" t="s">
        <v>41111</v>
      </c>
      <c r="K15328" t="s">
        <v>41186</v>
      </c>
      <c r="M15328" t="s">
        <v>45082</v>
      </c>
      <c r="N15328" t="s">
        <v>45095</v>
      </c>
      <c r="O15328" t="s">
        <v>45096</v>
      </c>
      <c r="Q15328">
        <v>4</v>
      </c>
      <c r="R15328" t="s">
        <v>45187</v>
      </c>
      <c r="S15328" t="s">
        <v>46798</v>
      </c>
      <c r="T15328" t="s">
        <v>47064</v>
      </c>
      <c r="U15328" t="s">
        <v>59743</v>
      </c>
      <c r="W15328" t="s">
        <v>45082</v>
      </c>
      <c r="X15328" t="s">
        <v>61790</v>
      </c>
    </row>
    <row r="15329" spans="1:24">
      <c r="A15329">
        <f>HYPERLINK("https://www.philgeps.gov.ph/GEPSNONPILOT/Tender/SplashBidNoticeAbstractUI.aspx?menuIndex=3&amp;refID=6886275&amp;Result=3","6886275")</f>
        <v>0</v>
      </c>
      <c r="B15329" t="s">
        <v>2092</v>
      </c>
      <c r="C15329" t="s">
        <v>17893</v>
      </c>
      <c r="D15329" t="s">
        <v>18030</v>
      </c>
      <c r="E15329" t="s">
        <v>31461</v>
      </c>
      <c r="F15329" t="s">
        <v>31574</v>
      </c>
      <c r="G15329" t="s">
        <v>31582</v>
      </c>
      <c r="H15329" t="s">
        <v>31592</v>
      </c>
      <c r="I15329" t="s">
        <v>31686</v>
      </c>
      <c r="J15329" t="s">
        <v>41112</v>
      </c>
      <c r="K15329" t="s">
        <v>41200</v>
      </c>
      <c r="M15329" t="s">
        <v>43900</v>
      </c>
      <c r="N15329" t="s">
        <v>45095</v>
      </c>
      <c r="O15329" t="s">
        <v>45096</v>
      </c>
      <c r="Q15329">
        <v>6</v>
      </c>
      <c r="R15329" t="s">
        <v>45186</v>
      </c>
      <c r="S15329" t="s">
        <v>46799</v>
      </c>
      <c r="T15329" t="s">
        <v>46963</v>
      </c>
      <c r="U15329" t="s">
        <v>53298</v>
      </c>
      <c r="V15329" t="s">
        <v>60962</v>
      </c>
      <c r="W15329" t="s">
        <v>43900</v>
      </c>
      <c r="X15329" t="s">
        <v>45187</v>
      </c>
    </row>
    <row r="15330" spans="1:24">
      <c r="A15330">
        <f>HYPERLINK("https://www.philgeps.gov.ph/GEPSNONPILOT/Tender/SplashBidNoticeAbstractUI.aspx?menuIndex=3&amp;refID=6885419&amp;Result=3","6885419")</f>
        <v>0</v>
      </c>
      <c r="B15330" t="s">
        <v>1128</v>
      </c>
      <c r="C15330" t="s">
        <v>17894</v>
      </c>
      <c r="D15330" t="s">
        <v>18022</v>
      </c>
      <c r="E15330" t="s">
        <v>31455</v>
      </c>
      <c r="F15330" t="s">
        <v>31574</v>
      </c>
      <c r="G15330" t="s">
        <v>31582</v>
      </c>
      <c r="H15330" t="s">
        <v>31590</v>
      </c>
      <c r="I15330" t="s">
        <v>4046</v>
      </c>
      <c r="J15330" t="s">
        <v>41113</v>
      </c>
      <c r="K15330" t="s">
        <v>41186</v>
      </c>
      <c r="M15330" t="s">
        <v>45082</v>
      </c>
      <c r="N15330" t="s">
        <v>45095</v>
      </c>
      <c r="O15330" t="s">
        <v>45096</v>
      </c>
      <c r="Q15330">
        <v>7</v>
      </c>
      <c r="R15330" t="s">
        <v>45187</v>
      </c>
      <c r="S15330" t="s">
        <v>46800</v>
      </c>
      <c r="T15330" t="s">
        <v>47064</v>
      </c>
      <c r="U15330" t="s">
        <v>59743</v>
      </c>
      <c r="W15330" t="s">
        <v>45082</v>
      </c>
      <c r="X15330" t="s">
        <v>61790</v>
      </c>
    </row>
    <row r="15331" spans="1:24">
      <c r="A15331">
        <f>HYPERLINK("https://www.philgeps.gov.ph/GEPSNONPILOT/Tender/SplashBidNoticeAbstractUI.aspx?menuIndex=3&amp;refID=6888432&amp;Result=3","6888432")</f>
        <v>0</v>
      </c>
      <c r="B15331" t="s">
        <v>800</v>
      </c>
      <c r="C15331" t="s">
        <v>17895</v>
      </c>
      <c r="D15331" t="s">
        <v>18106</v>
      </c>
      <c r="E15331" t="s">
        <v>31462</v>
      </c>
      <c r="F15331" t="s">
        <v>31574</v>
      </c>
      <c r="G15331" t="s">
        <v>31582</v>
      </c>
      <c r="H15331" t="s">
        <v>31591</v>
      </c>
      <c r="I15331" t="s">
        <v>4046</v>
      </c>
      <c r="J15331" t="s">
        <v>41114</v>
      </c>
      <c r="K15331" t="s">
        <v>41184</v>
      </c>
      <c r="M15331" t="s">
        <v>42314</v>
      </c>
      <c r="N15331" t="s">
        <v>45095</v>
      </c>
      <c r="O15331" t="s">
        <v>45096</v>
      </c>
      <c r="Q15331">
        <v>6</v>
      </c>
      <c r="R15331" t="s">
        <v>45186</v>
      </c>
      <c r="S15331" t="s">
        <v>46801</v>
      </c>
      <c r="T15331" t="s">
        <v>47336</v>
      </c>
      <c r="U15331" t="s">
        <v>59746</v>
      </c>
      <c r="V15331" t="s">
        <v>61630</v>
      </c>
      <c r="W15331" t="s">
        <v>42314</v>
      </c>
      <c r="X15331" t="s">
        <v>45187</v>
      </c>
    </row>
    <row r="15332" spans="1:24">
      <c r="A15332">
        <f>HYPERLINK("https://www.philgeps.gov.ph/GEPSNONPILOT/Tender/SplashBidNoticeAbstractUI.aspx?menuIndex=3&amp;refID=6881781&amp;Result=3","6881781")</f>
        <v>0</v>
      </c>
      <c r="B15332" t="s">
        <v>800</v>
      </c>
      <c r="C15332" t="s">
        <v>17896</v>
      </c>
      <c r="D15332" t="s">
        <v>18064</v>
      </c>
      <c r="E15332" t="s">
        <v>31463</v>
      </c>
      <c r="F15332" t="s">
        <v>31574</v>
      </c>
      <c r="G15332" t="s">
        <v>31582</v>
      </c>
      <c r="H15332" t="s">
        <v>31590</v>
      </c>
      <c r="I15332" t="s">
        <v>31676</v>
      </c>
      <c r="J15332" t="s">
        <v>41115</v>
      </c>
      <c r="K15332" t="s">
        <v>41498</v>
      </c>
      <c r="M15332" t="s">
        <v>42314</v>
      </c>
      <c r="N15332" t="s">
        <v>45095</v>
      </c>
      <c r="O15332" t="s">
        <v>45096</v>
      </c>
      <c r="Q15332">
        <v>7</v>
      </c>
      <c r="R15332" t="s">
        <v>45188</v>
      </c>
      <c r="S15332" t="s">
        <v>46802</v>
      </c>
      <c r="T15332" t="s">
        <v>47336</v>
      </c>
      <c r="U15332" t="s">
        <v>59747</v>
      </c>
      <c r="V15332" t="s">
        <v>61631</v>
      </c>
      <c r="W15332" t="s">
        <v>42314</v>
      </c>
      <c r="X15332" t="s">
        <v>45189</v>
      </c>
    </row>
    <row r="15333" spans="1:24">
      <c r="A15333">
        <f>HYPERLINK("https://www.philgeps.gov.ph/GEPSNONPILOT/Tender/SplashBidNoticeAbstractUI.aspx?menuIndex=3&amp;refID=6883363&amp;Result=3","6883363")</f>
        <v>0</v>
      </c>
      <c r="B15333" t="s">
        <v>2314</v>
      </c>
      <c r="C15333" t="s">
        <v>17897</v>
      </c>
      <c r="D15333" t="s">
        <v>18044</v>
      </c>
      <c r="E15333" t="s">
        <v>31464</v>
      </c>
      <c r="F15333" t="s">
        <v>31574</v>
      </c>
      <c r="G15333" t="s">
        <v>31582</v>
      </c>
      <c r="H15333" t="s">
        <v>31591</v>
      </c>
      <c r="I15333" t="s">
        <v>8822</v>
      </c>
      <c r="J15333" t="s">
        <v>33252</v>
      </c>
      <c r="K15333" t="s">
        <v>41198</v>
      </c>
      <c r="M15333" t="s">
        <v>44024</v>
      </c>
      <c r="N15333" t="s">
        <v>45095</v>
      </c>
      <c r="O15333" t="s">
        <v>45096</v>
      </c>
      <c r="Q15333">
        <v>14</v>
      </c>
      <c r="R15333" t="s">
        <v>45187</v>
      </c>
      <c r="S15333" t="s">
        <v>46478</v>
      </c>
      <c r="T15333" t="s">
        <v>47154</v>
      </c>
      <c r="U15333" t="s">
        <v>56834</v>
      </c>
      <c r="W15333" t="s">
        <v>44024</v>
      </c>
      <c r="X15333" t="s">
        <v>45189</v>
      </c>
    </row>
    <row r="15334" spans="1:24">
      <c r="A15334">
        <f>HYPERLINK("https://www.philgeps.gov.ph/GEPSNONPILOT/Tender/SplashBidNoticeAbstractUI.aspx?menuIndex=3&amp;refID=6885415&amp;Result=3","6885415")</f>
        <v>0</v>
      </c>
      <c r="B15334" t="s">
        <v>1396</v>
      </c>
      <c r="C15334" t="s">
        <v>17898</v>
      </c>
      <c r="D15334" t="s">
        <v>18044</v>
      </c>
      <c r="E15334" t="s">
        <v>31465</v>
      </c>
      <c r="F15334" t="s">
        <v>31574</v>
      </c>
      <c r="G15334" t="s">
        <v>31582</v>
      </c>
      <c r="H15334" t="s">
        <v>31593</v>
      </c>
      <c r="I15334" t="s">
        <v>31593</v>
      </c>
      <c r="J15334" t="s">
        <v>32530</v>
      </c>
      <c r="K15334" t="s">
        <v>41363</v>
      </c>
      <c r="M15334" t="s">
        <v>45022</v>
      </c>
      <c r="N15334" t="s">
        <v>45095</v>
      </c>
      <c r="O15334" t="s">
        <v>45096</v>
      </c>
      <c r="Q15334">
        <v>10</v>
      </c>
      <c r="R15334" t="s">
        <v>45187</v>
      </c>
      <c r="S15334" t="s">
        <v>46803</v>
      </c>
      <c r="T15334" t="s">
        <v>47044</v>
      </c>
      <c r="U15334" t="s">
        <v>59748</v>
      </c>
      <c r="W15334" t="s">
        <v>45022</v>
      </c>
      <c r="X15334" t="s">
        <v>61790</v>
      </c>
    </row>
    <row r="15335" spans="1:24">
      <c r="A15335">
        <f>HYPERLINK("https://www.philgeps.gov.ph/GEPSNONPILOT/Tender/SplashBidNoticeAbstractUI.aspx?menuIndex=3&amp;refID=6883094&amp;Result=3","6883094")</f>
        <v>0</v>
      </c>
      <c r="B15335" t="s">
        <v>2314</v>
      </c>
      <c r="C15335" t="s">
        <v>17899</v>
      </c>
      <c r="D15335" t="s">
        <v>18044</v>
      </c>
      <c r="E15335" t="s">
        <v>31466</v>
      </c>
      <c r="F15335" t="s">
        <v>31574</v>
      </c>
      <c r="G15335" t="s">
        <v>31582</v>
      </c>
      <c r="H15335" t="s">
        <v>31591</v>
      </c>
      <c r="I15335" t="s">
        <v>8822</v>
      </c>
      <c r="J15335" t="s">
        <v>41116</v>
      </c>
      <c r="K15335" t="s">
        <v>41202</v>
      </c>
      <c r="M15335" t="s">
        <v>44024</v>
      </c>
      <c r="N15335" t="s">
        <v>45095</v>
      </c>
      <c r="O15335" t="s">
        <v>45096</v>
      </c>
      <c r="Q15335">
        <v>18</v>
      </c>
      <c r="R15335" t="s">
        <v>45187</v>
      </c>
      <c r="S15335" t="s">
        <v>46804</v>
      </c>
      <c r="T15335" t="s">
        <v>47154</v>
      </c>
      <c r="U15335" t="s">
        <v>56834</v>
      </c>
      <c r="W15335" t="s">
        <v>44024</v>
      </c>
      <c r="X15335" t="s">
        <v>45189</v>
      </c>
    </row>
    <row r="15336" spans="1:24">
      <c r="A15336">
        <f>HYPERLINK("https://www.philgeps.gov.ph/GEPSNONPILOT/Tender/SplashBidNoticeAbstractUI.aspx?menuIndex=3&amp;refID=6886356&amp;Result=3","6886356")</f>
        <v>0</v>
      </c>
      <c r="B15336" t="s">
        <v>2092</v>
      </c>
      <c r="C15336" t="s">
        <v>17900</v>
      </c>
      <c r="D15336" t="s">
        <v>18030</v>
      </c>
      <c r="E15336" t="s">
        <v>31467</v>
      </c>
      <c r="F15336" t="s">
        <v>31574</v>
      </c>
      <c r="G15336" t="s">
        <v>31582</v>
      </c>
      <c r="H15336" t="s">
        <v>31592</v>
      </c>
      <c r="I15336" t="s">
        <v>31686</v>
      </c>
      <c r="J15336" t="s">
        <v>39407</v>
      </c>
      <c r="K15336" t="s">
        <v>41200</v>
      </c>
      <c r="M15336" t="s">
        <v>43900</v>
      </c>
      <c r="N15336" t="s">
        <v>45095</v>
      </c>
      <c r="O15336" t="s">
        <v>45096</v>
      </c>
      <c r="Q15336">
        <v>10</v>
      </c>
      <c r="R15336" t="s">
        <v>45186</v>
      </c>
      <c r="S15336" t="s">
        <v>46805</v>
      </c>
      <c r="T15336" t="s">
        <v>46963</v>
      </c>
      <c r="U15336" t="s">
        <v>53298</v>
      </c>
      <c r="V15336" t="s">
        <v>60962</v>
      </c>
      <c r="W15336" t="s">
        <v>43900</v>
      </c>
      <c r="X15336" t="s">
        <v>45187</v>
      </c>
    </row>
    <row r="15337" spans="1:24">
      <c r="A15337">
        <f>HYPERLINK("https://www.philgeps.gov.ph/GEPSNONPILOT/Tender/SplashBidNoticeAbstractUI.aspx?menuIndex=3&amp;refID=6885417&amp;Result=3","6885417")</f>
        <v>0</v>
      </c>
      <c r="B15337" t="s">
        <v>1128</v>
      </c>
      <c r="C15337" t="s">
        <v>17901</v>
      </c>
      <c r="D15337" t="s">
        <v>18022</v>
      </c>
      <c r="E15337" t="s">
        <v>31455</v>
      </c>
      <c r="F15337" t="s">
        <v>31574</v>
      </c>
      <c r="G15337" t="s">
        <v>31582</v>
      </c>
      <c r="H15337" t="s">
        <v>31590</v>
      </c>
      <c r="I15337" t="s">
        <v>4046</v>
      </c>
      <c r="J15337" t="s">
        <v>41117</v>
      </c>
      <c r="K15337" t="s">
        <v>41186</v>
      </c>
      <c r="M15337" t="s">
        <v>45082</v>
      </c>
      <c r="N15337" t="s">
        <v>45095</v>
      </c>
      <c r="O15337" t="s">
        <v>45096</v>
      </c>
      <c r="Q15337">
        <v>3</v>
      </c>
      <c r="R15337" t="s">
        <v>45187</v>
      </c>
      <c r="S15337" t="s">
        <v>45356</v>
      </c>
      <c r="T15337" t="s">
        <v>47064</v>
      </c>
      <c r="U15337" t="s">
        <v>59743</v>
      </c>
      <c r="W15337" t="s">
        <v>45082</v>
      </c>
      <c r="X15337" t="s">
        <v>61790</v>
      </c>
    </row>
    <row r="15338" spans="1:24">
      <c r="A15338">
        <f>HYPERLINK("https://www.philgeps.gov.ph/GEPSNONPILOT/Tender/SplashBidNoticeAbstractUI.aspx?menuIndex=3&amp;refID=6881813&amp;Result=3","6881813")</f>
        <v>0</v>
      </c>
      <c r="B15338" t="s">
        <v>800</v>
      </c>
      <c r="C15338" t="s">
        <v>17902</v>
      </c>
      <c r="D15338" t="s">
        <v>18058</v>
      </c>
      <c r="E15338" t="s">
        <v>31468</v>
      </c>
      <c r="F15338" t="s">
        <v>31574</v>
      </c>
      <c r="G15338" t="s">
        <v>31582</v>
      </c>
      <c r="H15338" t="s">
        <v>31590</v>
      </c>
      <c r="I15338" t="s">
        <v>31676</v>
      </c>
      <c r="J15338" t="s">
        <v>41118</v>
      </c>
      <c r="K15338" t="s">
        <v>41256</v>
      </c>
      <c r="M15338" t="s">
        <v>42314</v>
      </c>
      <c r="N15338" t="s">
        <v>45095</v>
      </c>
      <c r="O15338" t="s">
        <v>45096</v>
      </c>
      <c r="Q15338">
        <v>5</v>
      </c>
      <c r="R15338" t="s">
        <v>45188</v>
      </c>
      <c r="S15338" t="s">
        <v>46806</v>
      </c>
      <c r="T15338" t="s">
        <v>47232</v>
      </c>
      <c r="U15338" t="s">
        <v>59747</v>
      </c>
      <c r="V15338" t="s">
        <v>61632</v>
      </c>
      <c r="W15338" t="s">
        <v>42314</v>
      </c>
      <c r="X15338" t="s">
        <v>45189</v>
      </c>
    </row>
    <row r="15339" spans="1:24">
      <c r="A15339">
        <f>HYPERLINK("https://www.philgeps.gov.ph/GEPSNONPILOT/Tender/SplashBidNoticeAbstractUI.aspx?menuIndex=3&amp;refID=6885420&amp;Result=3","6885420")</f>
        <v>0</v>
      </c>
      <c r="B15339" t="s">
        <v>1396</v>
      </c>
      <c r="C15339" t="s">
        <v>17903</v>
      </c>
      <c r="D15339" t="s">
        <v>18044</v>
      </c>
      <c r="E15339" t="s">
        <v>31469</v>
      </c>
      <c r="F15339" t="s">
        <v>31574</v>
      </c>
      <c r="G15339" t="s">
        <v>31582</v>
      </c>
      <c r="H15339" t="s">
        <v>31593</v>
      </c>
      <c r="I15339" t="s">
        <v>31593</v>
      </c>
      <c r="J15339" t="s">
        <v>32530</v>
      </c>
      <c r="K15339" t="s">
        <v>41363</v>
      </c>
      <c r="M15339" t="s">
        <v>45022</v>
      </c>
      <c r="N15339" t="s">
        <v>45095</v>
      </c>
      <c r="O15339" t="s">
        <v>45096</v>
      </c>
      <c r="Q15339">
        <v>9</v>
      </c>
      <c r="R15339" t="s">
        <v>45187</v>
      </c>
      <c r="S15339" t="s">
        <v>46807</v>
      </c>
      <c r="T15339" t="s">
        <v>47461</v>
      </c>
      <c r="U15339" t="s">
        <v>59749</v>
      </c>
      <c r="W15339" t="s">
        <v>45022</v>
      </c>
      <c r="X15339" t="s">
        <v>61790</v>
      </c>
    </row>
    <row r="15340" spans="1:24">
      <c r="A15340">
        <f>HYPERLINK("https://www.philgeps.gov.ph/GEPSNONPILOT/Tender/SplashBidNoticeAbstractUI.aspx?menuIndex=3&amp;refID=6885407&amp;Result=3","6885407")</f>
        <v>0</v>
      </c>
      <c r="B15340" t="s">
        <v>1128</v>
      </c>
      <c r="C15340" t="s">
        <v>17904</v>
      </c>
      <c r="D15340" t="s">
        <v>18022</v>
      </c>
      <c r="E15340" t="s">
        <v>31455</v>
      </c>
      <c r="F15340" t="s">
        <v>31574</v>
      </c>
      <c r="G15340" t="s">
        <v>31582</v>
      </c>
      <c r="H15340" t="s">
        <v>31590</v>
      </c>
      <c r="I15340" t="s">
        <v>31605</v>
      </c>
      <c r="J15340" t="s">
        <v>41119</v>
      </c>
      <c r="K15340" t="s">
        <v>41186</v>
      </c>
      <c r="M15340" t="s">
        <v>45082</v>
      </c>
      <c r="N15340" t="s">
        <v>45095</v>
      </c>
      <c r="O15340" t="s">
        <v>45096</v>
      </c>
      <c r="Q15340">
        <v>18</v>
      </c>
      <c r="R15340" t="s">
        <v>45187</v>
      </c>
      <c r="S15340" t="s">
        <v>46808</v>
      </c>
      <c r="T15340" t="s">
        <v>47064</v>
      </c>
      <c r="U15340" t="s">
        <v>59743</v>
      </c>
      <c r="W15340" t="s">
        <v>45082</v>
      </c>
      <c r="X15340" t="s">
        <v>61790</v>
      </c>
    </row>
    <row r="15341" spans="1:24">
      <c r="A15341">
        <f>HYPERLINK("https://www.philgeps.gov.ph/GEPSNONPILOT/Tender/SplashBidNoticeAbstractUI.aspx?menuIndex=3&amp;refID=6880250&amp;Result=3","6880250")</f>
        <v>0</v>
      </c>
      <c r="B15341" t="s">
        <v>818</v>
      </c>
      <c r="C15341" t="s">
        <v>17905</v>
      </c>
      <c r="D15341" t="s">
        <v>18079</v>
      </c>
      <c r="E15341" t="s">
        <v>31470</v>
      </c>
      <c r="F15341" t="s">
        <v>31574</v>
      </c>
      <c r="G15341" t="s">
        <v>31582</v>
      </c>
      <c r="H15341" t="s">
        <v>31590</v>
      </c>
      <c r="I15341" t="s">
        <v>31608</v>
      </c>
      <c r="J15341" t="s">
        <v>39547</v>
      </c>
      <c r="K15341" t="s">
        <v>41190</v>
      </c>
      <c r="M15341" t="s">
        <v>43613</v>
      </c>
      <c r="N15341" t="s">
        <v>45095</v>
      </c>
      <c r="O15341" t="s">
        <v>45096</v>
      </c>
      <c r="Q15341">
        <v>12</v>
      </c>
      <c r="R15341" t="s">
        <v>45189</v>
      </c>
      <c r="S15341" t="s">
        <v>45406</v>
      </c>
      <c r="T15341" t="s">
        <v>47016</v>
      </c>
      <c r="U15341" t="s">
        <v>59750</v>
      </c>
      <c r="V15341" t="s">
        <v>60517</v>
      </c>
      <c r="W15341" t="s">
        <v>43613</v>
      </c>
      <c r="X15341" t="s">
        <v>45190</v>
      </c>
    </row>
    <row r="15342" spans="1:24">
      <c r="A15342">
        <f>HYPERLINK("https://www.philgeps.gov.ph/GEPSNONPILOT/Tender/SplashBidNoticeAbstractUI.aspx?menuIndex=3&amp;refID=6885412&amp;Result=3","6885412")</f>
        <v>0</v>
      </c>
      <c r="B15342" t="s">
        <v>1128</v>
      </c>
      <c r="C15342" t="s">
        <v>17906</v>
      </c>
      <c r="D15342" t="s">
        <v>18022</v>
      </c>
      <c r="E15342" t="s">
        <v>31455</v>
      </c>
      <c r="F15342" t="s">
        <v>31574</v>
      </c>
      <c r="G15342" t="s">
        <v>31582</v>
      </c>
      <c r="H15342" t="s">
        <v>31590</v>
      </c>
      <c r="I15342" t="s">
        <v>4046</v>
      </c>
      <c r="J15342" t="s">
        <v>41120</v>
      </c>
      <c r="K15342" t="s">
        <v>41186</v>
      </c>
      <c r="M15342" t="s">
        <v>45082</v>
      </c>
      <c r="N15342" t="s">
        <v>45095</v>
      </c>
      <c r="O15342" t="s">
        <v>45096</v>
      </c>
      <c r="Q15342">
        <v>4</v>
      </c>
      <c r="R15342" t="s">
        <v>45187</v>
      </c>
      <c r="S15342" t="s">
        <v>46809</v>
      </c>
      <c r="T15342" t="s">
        <v>47064</v>
      </c>
      <c r="U15342" t="s">
        <v>59743</v>
      </c>
      <c r="W15342" t="s">
        <v>45082</v>
      </c>
      <c r="X15342" t="s">
        <v>61790</v>
      </c>
    </row>
    <row r="15343" spans="1:24">
      <c r="A15343">
        <f>HYPERLINK("https://www.philgeps.gov.ph/GEPSNONPILOT/Tender/SplashBidNoticeAbstractUI.aspx?menuIndex=3&amp;refID=6883355&amp;Result=3","6883355")</f>
        <v>0</v>
      </c>
      <c r="B15343" t="s">
        <v>1618</v>
      </c>
      <c r="C15343" t="s">
        <v>17907</v>
      </c>
      <c r="D15343" t="s">
        <v>18022</v>
      </c>
      <c r="E15343" t="s">
        <v>31471</v>
      </c>
      <c r="F15343" t="s">
        <v>31574</v>
      </c>
      <c r="G15343" t="s">
        <v>31582</v>
      </c>
      <c r="H15343" t="s">
        <v>31590</v>
      </c>
      <c r="I15343" t="s">
        <v>4327</v>
      </c>
      <c r="J15343" t="s">
        <v>34356</v>
      </c>
      <c r="K15343" t="s">
        <v>41185</v>
      </c>
      <c r="M15343" t="s">
        <v>45083</v>
      </c>
      <c r="N15343" t="s">
        <v>45095</v>
      </c>
      <c r="O15343" t="s">
        <v>45096</v>
      </c>
      <c r="Q15343">
        <v>28</v>
      </c>
      <c r="R15343" t="s">
        <v>45188</v>
      </c>
      <c r="S15343" t="s">
        <v>46810</v>
      </c>
      <c r="T15343" t="s">
        <v>47127</v>
      </c>
      <c r="U15343" t="s">
        <v>59751</v>
      </c>
      <c r="V15343" t="s">
        <v>61623</v>
      </c>
      <c r="W15343" t="s">
        <v>45083</v>
      </c>
      <c r="X15343" t="s">
        <v>45189</v>
      </c>
    </row>
    <row r="15344" spans="1:24">
      <c r="A15344">
        <f>HYPERLINK("https://www.philgeps.gov.ph/GEPSNONPILOT/Tender/SplashBidNoticeAbstractUI.aspx?menuIndex=3&amp;refID=6879325&amp;Result=3","6879325")</f>
        <v>0</v>
      </c>
      <c r="B15344" t="s">
        <v>3190</v>
      </c>
      <c r="C15344" t="s">
        <v>17908</v>
      </c>
      <c r="D15344" t="s">
        <v>18070</v>
      </c>
      <c r="E15344" t="s">
        <v>31472</v>
      </c>
      <c r="F15344" t="s">
        <v>31574</v>
      </c>
      <c r="G15344" t="s">
        <v>31583</v>
      </c>
      <c r="H15344" t="s">
        <v>31590</v>
      </c>
      <c r="I15344" t="s">
        <v>31619</v>
      </c>
      <c r="J15344" t="s">
        <v>41121</v>
      </c>
      <c r="K15344" t="s">
        <v>41191</v>
      </c>
      <c r="M15344" t="s">
        <v>45084</v>
      </c>
      <c r="N15344" t="s">
        <v>45095</v>
      </c>
      <c r="O15344" t="s">
        <v>45096</v>
      </c>
      <c r="Q15344">
        <v>8</v>
      </c>
      <c r="R15344" t="s">
        <v>45189</v>
      </c>
      <c r="S15344" t="s">
        <v>45933</v>
      </c>
      <c r="T15344" t="s">
        <v>47076</v>
      </c>
      <c r="U15344" t="s">
        <v>49064</v>
      </c>
      <c r="W15344" t="s">
        <v>45084</v>
      </c>
      <c r="X15344" t="s">
        <v>45190</v>
      </c>
    </row>
    <row r="15345" spans="1:24">
      <c r="A15345">
        <f>HYPERLINK("https://www.philgeps.gov.ph/GEPSNONPILOT/Tender/SplashBidNoticeAbstractUI.aspx?menuIndex=3&amp;refID=6883288&amp;Result=3","6883288")</f>
        <v>0</v>
      </c>
      <c r="B15345" t="s">
        <v>1618</v>
      </c>
      <c r="C15345" t="s">
        <v>17909</v>
      </c>
      <c r="D15345" t="s">
        <v>18022</v>
      </c>
      <c r="E15345" t="s">
        <v>31473</v>
      </c>
      <c r="F15345" t="s">
        <v>31574</v>
      </c>
      <c r="G15345" t="s">
        <v>31582</v>
      </c>
      <c r="H15345" t="s">
        <v>31590</v>
      </c>
      <c r="I15345" t="s">
        <v>5717</v>
      </c>
      <c r="J15345" t="s">
        <v>41122</v>
      </c>
      <c r="K15345" t="s">
        <v>41196</v>
      </c>
      <c r="M15345" t="s">
        <v>45083</v>
      </c>
      <c r="N15345" t="s">
        <v>45095</v>
      </c>
      <c r="O15345" t="s">
        <v>45096</v>
      </c>
      <c r="Q15345">
        <v>32</v>
      </c>
      <c r="R15345" t="s">
        <v>45188</v>
      </c>
      <c r="S15345" t="s">
        <v>46811</v>
      </c>
      <c r="T15345" t="s">
        <v>47127</v>
      </c>
      <c r="U15345" t="s">
        <v>59752</v>
      </c>
      <c r="V15345" t="s">
        <v>61623</v>
      </c>
      <c r="W15345" t="s">
        <v>45083</v>
      </c>
      <c r="X15345" t="s">
        <v>45189</v>
      </c>
    </row>
    <row r="15346" spans="1:24">
      <c r="A15346">
        <f>HYPERLINK("https://www.philgeps.gov.ph/GEPSNONPILOT/Tender/SplashBidNoticeAbstractUI.aspx?menuIndex=3&amp;refID=6883481&amp;Result=3","6883481")</f>
        <v>0</v>
      </c>
      <c r="B15346" t="s">
        <v>1293</v>
      </c>
      <c r="C15346" t="s">
        <v>17910</v>
      </c>
      <c r="D15346" t="s">
        <v>18022</v>
      </c>
      <c r="E15346" t="s">
        <v>31474</v>
      </c>
      <c r="F15346" t="s">
        <v>31574</v>
      </c>
      <c r="G15346" t="s">
        <v>31581</v>
      </c>
      <c r="H15346" t="s">
        <v>31590</v>
      </c>
      <c r="I15346" t="s">
        <v>31640</v>
      </c>
      <c r="J15346" t="s">
        <v>31930</v>
      </c>
      <c r="K15346" t="s">
        <v>41193</v>
      </c>
      <c r="M15346" t="s">
        <v>45066</v>
      </c>
      <c r="N15346" t="s">
        <v>45095</v>
      </c>
      <c r="O15346" t="s">
        <v>45096</v>
      </c>
      <c r="Q15346">
        <v>3</v>
      </c>
      <c r="R15346" t="s">
        <v>45188</v>
      </c>
      <c r="S15346" t="s">
        <v>45719</v>
      </c>
      <c r="T15346" t="s">
        <v>47182</v>
      </c>
      <c r="U15346" t="s">
        <v>59655</v>
      </c>
      <c r="W15346" t="s">
        <v>45066</v>
      </c>
      <c r="X15346" t="s">
        <v>45189</v>
      </c>
    </row>
    <row r="15347" spans="1:24">
      <c r="A15347">
        <f>HYPERLINK("https://www.philgeps.gov.ph/GEPSNONPILOT/Tender/SplashBidNoticeAbstractUI.aspx?menuIndex=3&amp;refID=6880886&amp;Result=3","6880886")</f>
        <v>0</v>
      </c>
      <c r="B15347" t="s">
        <v>818</v>
      </c>
      <c r="C15347" t="s">
        <v>17911</v>
      </c>
      <c r="D15347" t="s">
        <v>18079</v>
      </c>
      <c r="E15347" t="s">
        <v>31475</v>
      </c>
      <c r="F15347" t="s">
        <v>31574</v>
      </c>
      <c r="G15347" t="s">
        <v>31582</v>
      </c>
      <c r="H15347" t="s">
        <v>31590</v>
      </c>
      <c r="I15347" t="s">
        <v>31594</v>
      </c>
      <c r="J15347" t="s">
        <v>32204</v>
      </c>
      <c r="K15347" t="s">
        <v>41196</v>
      </c>
      <c r="M15347" t="s">
        <v>45085</v>
      </c>
      <c r="N15347" t="s">
        <v>45095</v>
      </c>
      <c r="O15347" t="s">
        <v>45096</v>
      </c>
      <c r="Q15347">
        <v>11</v>
      </c>
      <c r="R15347" t="s">
        <v>45189</v>
      </c>
      <c r="S15347" t="s">
        <v>46812</v>
      </c>
      <c r="T15347" t="s">
        <v>47016</v>
      </c>
      <c r="U15347" t="s">
        <v>59753</v>
      </c>
      <c r="V15347" t="s">
        <v>60517</v>
      </c>
      <c r="W15347" t="s">
        <v>45085</v>
      </c>
      <c r="X15347" t="s">
        <v>45190</v>
      </c>
    </row>
    <row r="15348" spans="1:24">
      <c r="A15348">
        <f>HYPERLINK("https://www.philgeps.gov.ph/GEPSNONPILOT/Tender/SplashBidNoticeAbstractUI.aspx?menuIndex=3&amp;refID=6880822&amp;Result=3","6880822")</f>
        <v>0</v>
      </c>
      <c r="B15348" t="s">
        <v>818</v>
      </c>
      <c r="C15348" t="s">
        <v>17912</v>
      </c>
      <c r="D15348" t="s">
        <v>18079</v>
      </c>
      <c r="E15348" t="s">
        <v>31476</v>
      </c>
      <c r="F15348" t="s">
        <v>31574</v>
      </c>
      <c r="G15348" t="s">
        <v>31582</v>
      </c>
      <c r="H15348" t="s">
        <v>31590</v>
      </c>
      <c r="I15348" t="s">
        <v>31594</v>
      </c>
      <c r="J15348" t="s">
        <v>35661</v>
      </c>
      <c r="K15348" t="s">
        <v>41196</v>
      </c>
      <c r="M15348" t="s">
        <v>45085</v>
      </c>
      <c r="N15348" t="s">
        <v>45095</v>
      </c>
      <c r="O15348" t="s">
        <v>45096</v>
      </c>
      <c r="Q15348">
        <v>11</v>
      </c>
      <c r="R15348" t="s">
        <v>45189</v>
      </c>
      <c r="S15348" t="s">
        <v>46813</v>
      </c>
      <c r="T15348" t="s">
        <v>47037</v>
      </c>
      <c r="U15348" t="s">
        <v>59753</v>
      </c>
      <c r="V15348" t="s">
        <v>60517</v>
      </c>
      <c r="W15348" t="s">
        <v>45085</v>
      </c>
      <c r="X15348" t="s">
        <v>45190</v>
      </c>
    </row>
    <row r="15349" spans="1:24">
      <c r="A15349">
        <f>HYPERLINK("https://www.philgeps.gov.ph/GEPSNONPILOT/Tender/SplashBidNoticeAbstractUI.aspx?menuIndex=3&amp;refID=6880085&amp;Result=3","6880085")</f>
        <v>0</v>
      </c>
      <c r="B15349" t="s">
        <v>818</v>
      </c>
      <c r="C15349" t="s">
        <v>17913</v>
      </c>
      <c r="D15349" t="s">
        <v>18079</v>
      </c>
      <c r="E15349" t="s">
        <v>31477</v>
      </c>
      <c r="F15349" t="s">
        <v>31574</v>
      </c>
      <c r="G15349" t="s">
        <v>31582</v>
      </c>
      <c r="H15349" t="s">
        <v>31590</v>
      </c>
      <c r="I15349" t="s">
        <v>31594</v>
      </c>
      <c r="J15349" t="s">
        <v>34967</v>
      </c>
      <c r="K15349" t="s">
        <v>41190</v>
      </c>
      <c r="M15349" t="s">
        <v>45085</v>
      </c>
      <c r="N15349" t="s">
        <v>45095</v>
      </c>
      <c r="O15349" t="s">
        <v>45096</v>
      </c>
      <c r="Q15349">
        <v>14</v>
      </c>
      <c r="R15349" t="s">
        <v>45189</v>
      </c>
      <c r="S15349" t="s">
        <v>46425</v>
      </c>
      <c r="T15349" t="s">
        <v>47462</v>
      </c>
      <c r="U15349" t="s">
        <v>59753</v>
      </c>
      <c r="V15349" t="s">
        <v>60517</v>
      </c>
      <c r="W15349" t="s">
        <v>45085</v>
      </c>
      <c r="X15349" t="s">
        <v>45190</v>
      </c>
    </row>
    <row r="15350" spans="1:24">
      <c r="A15350">
        <f>HYPERLINK("https://www.philgeps.gov.ph/GEPSNONPILOT/Tender/SplashBidNoticeAbstractUI.aspx?menuIndex=3&amp;refID=6880627&amp;Result=3","6880627")</f>
        <v>0</v>
      </c>
      <c r="B15350" t="s">
        <v>818</v>
      </c>
      <c r="C15350" t="s">
        <v>17914</v>
      </c>
      <c r="D15350" t="s">
        <v>18079</v>
      </c>
      <c r="E15350" t="s">
        <v>31478</v>
      </c>
      <c r="F15350" t="s">
        <v>31574</v>
      </c>
      <c r="G15350" t="s">
        <v>31582</v>
      </c>
      <c r="H15350" t="s">
        <v>31590</v>
      </c>
      <c r="I15350" t="s">
        <v>31594</v>
      </c>
      <c r="J15350" t="s">
        <v>32101</v>
      </c>
      <c r="K15350" t="s">
        <v>41196</v>
      </c>
      <c r="M15350" t="s">
        <v>45085</v>
      </c>
      <c r="N15350" t="s">
        <v>45095</v>
      </c>
      <c r="O15350" t="s">
        <v>45096</v>
      </c>
      <c r="Q15350">
        <v>15</v>
      </c>
      <c r="R15350" t="s">
        <v>45189</v>
      </c>
      <c r="S15350" t="s">
        <v>45235</v>
      </c>
      <c r="T15350" t="s">
        <v>46942</v>
      </c>
      <c r="U15350" t="s">
        <v>59753</v>
      </c>
      <c r="V15350" t="s">
        <v>60517</v>
      </c>
      <c r="W15350" t="s">
        <v>45085</v>
      </c>
      <c r="X15350" t="s">
        <v>45190</v>
      </c>
    </row>
    <row r="15351" spans="1:24">
      <c r="A15351">
        <f>HYPERLINK("https://www.philgeps.gov.ph/GEPSNONPILOT/Tender/SplashBidNoticeAbstractUI.aspx?menuIndex=3&amp;refID=6880434&amp;Result=3","6880434")</f>
        <v>0</v>
      </c>
      <c r="B15351" t="s">
        <v>818</v>
      </c>
      <c r="C15351" t="s">
        <v>17915</v>
      </c>
      <c r="D15351" t="s">
        <v>18079</v>
      </c>
      <c r="E15351" t="s">
        <v>31479</v>
      </c>
      <c r="F15351" t="s">
        <v>31574</v>
      </c>
      <c r="G15351" t="s">
        <v>31582</v>
      </c>
      <c r="H15351" t="s">
        <v>31590</v>
      </c>
      <c r="I15351" t="s">
        <v>6800</v>
      </c>
      <c r="J15351" t="s">
        <v>41123</v>
      </c>
      <c r="K15351" t="s">
        <v>41196</v>
      </c>
      <c r="M15351" t="s">
        <v>43613</v>
      </c>
      <c r="N15351" t="s">
        <v>45095</v>
      </c>
      <c r="O15351" t="s">
        <v>45096</v>
      </c>
      <c r="Q15351">
        <v>8</v>
      </c>
      <c r="R15351" t="s">
        <v>45189</v>
      </c>
      <c r="S15351" t="s">
        <v>45365</v>
      </c>
      <c r="T15351" t="s">
        <v>46956</v>
      </c>
      <c r="U15351" t="s">
        <v>59750</v>
      </c>
      <c r="V15351" t="s">
        <v>61633</v>
      </c>
      <c r="W15351" t="s">
        <v>43613</v>
      </c>
      <c r="X15351" t="s">
        <v>45190</v>
      </c>
    </row>
    <row r="15352" spans="1:24">
      <c r="A15352">
        <f>HYPERLINK("https://www.philgeps.gov.ph/GEPSNONPILOT/Tender/SplashBidNoticeAbstractUI.aspx?menuIndex=3&amp;refID=6879010&amp;Result=3","6879010")</f>
        <v>0</v>
      </c>
      <c r="B15352" t="s">
        <v>459</v>
      </c>
      <c r="C15352" t="s">
        <v>17916</v>
      </c>
      <c r="D15352" t="s">
        <v>18079</v>
      </c>
      <c r="E15352" t="s">
        <v>31480</v>
      </c>
      <c r="F15352" t="s">
        <v>31574</v>
      </c>
      <c r="G15352" t="s">
        <v>31582</v>
      </c>
      <c r="H15352" t="s">
        <v>31591</v>
      </c>
      <c r="I15352" t="s">
        <v>8822</v>
      </c>
      <c r="J15352" t="s">
        <v>34070</v>
      </c>
      <c r="K15352" t="s">
        <v>41437</v>
      </c>
      <c r="M15352" t="s">
        <v>41953</v>
      </c>
      <c r="N15352" t="s">
        <v>45095</v>
      </c>
      <c r="O15352" t="s">
        <v>45096</v>
      </c>
      <c r="Q15352">
        <v>2</v>
      </c>
      <c r="R15352" t="s">
        <v>45189</v>
      </c>
      <c r="S15352" t="s">
        <v>46814</v>
      </c>
      <c r="T15352" t="s">
        <v>47086</v>
      </c>
      <c r="U15352" t="s">
        <v>59754</v>
      </c>
      <c r="V15352" t="s">
        <v>61634</v>
      </c>
      <c r="W15352" t="s">
        <v>41953</v>
      </c>
      <c r="X15352" t="s">
        <v>45190</v>
      </c>
    </row>
    <row r="15353" spans="1:24">
      <c r="A15353">
        <f>HYPERLINK("https://www.philgeps.gov.ph/GEPSNONPILOT/Tender/SplashBidNoticeAbstractUI.aspx?menuIndex=3&amp;refID=6872176&amp;Result=3","6872176")</f>
        <v>0</v>
      </c>
      <c r="B15353" t="s">
        <v>1396</v>
      </c>
      <c r="C15353" t="s">
        <v>17917</v>
      </c>
      <c r="E15353" t="s">
        <v>31481</v>
      </c>
      <c r="F15353" t="s">
        <v>31574</v>
      </c>
      <c r="G15353" t="s">
        <v>31582</v>
      </c>
      <c r="H15353" t="s">
        <v>31590</v>
      </c>
      <c r="I15353" t="s">
        <v>31622</v>
      </c>
      <c r="J15353" t="s">
        <v>41124</v>
      </c>
      <c r="K15353" t="s">
        <v>41184</v>
      </c>
      <c r="M15353" t="s">
        <v>45069</v>
      </c>
      <c r="N15353" t="s">
        <v>45095</v>
      </c>
      <c r="O15353" t="s">
        <v>45096</v>
      </c>
      <c r="Q15353">
        <v>5</v>
      </c>
      <c r="R15353" t="s">
        <v>45190</v>
      </c>
      <c r="S15353" t="s">
        <v>46258</v>
      </c>
      <c r="T15353" t="s">
        <v>47463</v>
      </c>
      <c r="U15353" t="s">
        <v>59755</v>
      </c>
      <c r="W15353" t="s">
        <v>45069</v>
      </c>
      <c r="X15353" t="s">
        <v>45193</v>
      </c>
    </row>
    <row r="15354" spans="1:24">
      <c r="A15354">
        <f>HYPERLINK("https://www.philgeps.gov.ph/GEPSNONPILOT/Tender/SplashBidNoticeAbstractUI.aspx?menuIndex=3&amp;refID=6882453&amp;Result=3","6882453")</f>
        <v>0</v>
      </c>
      <c r="B15354" t="s">
        <v>1494</v>
      </c>
      <c r="C15354" t="s">
        <v>17918</v>
      </c>
      <c r="D15354" t="s">
        <v>18031</v>
      </c>
      <c r="E15354" t="s">
        <v>31482</v>
      </c>
      <c r="F15354" t="s">
        <v>31574</v>
      </c>
      <c r="G15354" t="s">
        <v>31582</v>
      </c>
      <c r="H15354" t="s">
        <v>31593</v>
      </c>
      <c r="I15354" t="s">
        <v>31593</v>
      </c>
      <c r="J15354" t="s">
        <v>33343</v>
      </c>
      <c r="K15354" t="s">
        <v>41320</v>
      </c>
      <c r="M15354" t="s">
        <v>44097</v>
      </c>
      <c r="N15354" t="s">
        <v>45095</v>
      </c>
      <c r="O15354" t="s">
        <v>45096</v>
      </c>
      <c r="Q15354">
        <v>16</v>
      </c>
      <c r="R15354" t="s">
        <v>45188</v>
      </c>
      <c r="S15354" t="s">
        <v>46815</v>
      </c>
      <c r="T15354" t="s">
        <v>47091</v>
      </c>
      <c r="U15354" t="s">
        <v>59756</v>
      </c>
      <c r="W15354" t="s">
        <v>44097</v>
      </c>
      <c r="X15354" t="s">
        <v>45189</v>
      </c>
    </row>
    <row r="15355" spans="1:24">
      <c r="A15355">
        <f>HYPERLINK("https://www.philgeps.gov.ph/GEPSNONPILOT/Tender/SplashBidNoticeAbstractUI.aspx?menuIndex=3&amp;refID=6881064&amp;Result=3","6881064")</f>
        <v>0</v>
      </c>
      <c r="B15355" t="s">
        <v>2334</v>
      </c>
      <c r="C15355" t="s">
        <v>17919</v>
      </c>
      <c r="D15355" t="s">
        <v>18026</v>
      </c>
      <c r="E15355" t="s">
        <v>31483</v>
      </c>
      <c r="F15355" t="s">
        <v>31574</v>
      </c>
      <c r="G15355" t="s">
        <v>31582</v>
      </c>
      <c r="H15355" t="s">
        <v>31590</v>
      </c>
      <c r="I15355" t="s">
        <v>31607</v>
      </c>
      <c r="J15355" t="s">
        <v>41125</v>
      </c>
      <c r="K15355" t="s">
        <v>41184</v>
      </c>
      <c r="M15355" t="s">
        <v>44044</v>
      </c>
      <c r="N15355" t="s">
        <v>45095</v>
      </c>
      <c r="O15355" t="s">
        <v>45096</v>
      </c>
      <c r="Q15355">
        <v>19</v>
      </c>
      <c r="R15355" t="s">
        <v>45189</v>
      </c>
      <c r="S15355" t="s">
        <v>46816</v>
      </c>
      <c r="T15355" t="s">
        <v>47168</v>
      </c>
      <c r="U15355" t="s">
        <v>59757</v>
      </c>
      <c r="W15355" t="s">
        <v>44044</v>
      </c>
      <c r="X15355" t="s">
        <v>45190</v>
      </c>
    </row>
    <row r="15356" spans="1:24">
      <c r="A15356">
        <f>HYPERLINK("https://www.philgeps.gov.ph/GEPSNONPILOT/Tender/SplashBidNoticeAbstractUI.aspx?menuIndex=3&amp;refID=6880907&amp;Result=3","6880907")</f>
        <v>0</v>
      </c>
      <c r="B15356" t="s">
        <v>684</v>
      </c>
      <c r="C15356" t="s">
        <v>17920</v>
      </c>
      <c r="E15356" t="s">
        <v>31484</v>
      </c>
      <c r="F15356" t="s">
        <v>31574</v>
      </c>
      <c r="G15356" t="s">
        <v>31582</v>
      </c>
      <c r="H15356" t="s">
        <v>31590</v>
      </c>
      <c r="I15356" t="s">
        <v>4327</v>
      </c>
      <c r="J15356" t="s">
        <v>41126</v>
      </c>
      <c r="K15356" t="s">
        <v>41184</v>
      </c>
      <c r="M15356" t="s">
        <v>42191</v>
      </c>
      <c r="N15356" t="s">
        <v>45095</v>
      </c>
      <c r="O15356" t="s">
        <v>45096</v>
      </c>
      <c r="Q15356">
        <v>18</v>
      </c>
      <c r="R15356" t="s">
        <v>45189</v>
      </c>
      <c r="S15356" t="s">
        <v>46817</v>
      </c>
      <c r="T15356" t="s">
        <v>46973</v>
      </c>
      <c r="U15356" t="s">
        <v>59584</v>
      </c>
      <c r="V15356" t="s">
        <v>61635</v>
      </c>
      <c r="W15356" t="s">
        <v>42191</v>
      </c>
      <c r="X15356" t="s">
        <v>45190</v>
      </c>
    </row>
    <row r="15357" spans="1:24">
      <c r="A15357">
        <f>HYPERLINK("https://www.philgeps.gov.ph/GEPSNONPILOT/Tender/SplashBidNoticeAbstractUI.aspx?menuIndex=3&amp;refID=6881085&amp;Result=3","6881085")</f>
        <v>0</v>
      </c>
      <c r="B15357" t="s">
        <v>2334</v>
      </c>
      <c r="C15357" t="s">
        <v>17921</v>
      </c>
      <c r="D15357" t="s">
        <v>18026</v>
      </c>
      <c r="E15357" t="s">
        <v>31485</v>
      </c>
      <c r="F15357" t="s">
        <v>31574</v>
      </c>
      <c r="G15357" t="s">
        <v>31582</v>
      </c>
      <c r="H15357" t="s">
        <v>31590</v>
      </c>
      <c r="I15357" t="s">
        <v>31607</v>
      </c>
      <c r="J15357" t="s">
        <v>41127</v>
      </c>
      <c r="K15357" t="s">
        <v>41186</v>
      </c>
      <c r="M15357" t="s">
        <v>44044</v>
      </c>
      <c r="N15357" t="s">
        <v>45095</v>
      </c>
      <c r="O15357" t="s">
        <v>45096</v>
      </c>
      <c r="Q15357">
        <v>11</v>
      </c>
      <c r="R15357" t="s">
        <v>45189</v>
      </c>
      <c r="S15357" t="s">
        <v>46818</v>
      </c>
      <c r="T15357" t="s">
        <v>47092</v>
      </c>
      <c r="U15357" t="s">
        <v>59758</v>
      </c>
      <c r="W15357" t="s">
        <v>44044</v>
      </c>
      <c r="X15357" t="s">
        <v>45190</v>
      </c>
    </row>
    <row r="15358" spans="1:24">
      <c r="A15358">
        <f>HYPERLINK("https://www.philgeps.gov.ph/GEPSNONPILOT/Tender/SplashBidNoticeAbstractUI.aspx?menuIndex=3&amp;refID=6880887&amp;Result=3","6880887")</f>
        <v>0</v>
      </c>
      <c r="B15358" t="s">
        <v>684</v>
      </c>
      <c r="C15358" t="s">
        <v>17922</v>
      </c>
      <c r="E15358" t="s">
        <v>31486</v>
      </c>
      <c r="F15358" t="s">
        <v>31574</v>
      </c>
      <c r="G15358" t="s">
        <v>31582</v>
      </c>
      <c r="H15358" t="s">
        <v>31590</v>
      </c>
      <c r="I15358" t="s">
        <v>31621</v>
      </c>
      <c r="J15358" t="s">
        <v>34054</v>
      </c>
      <c r="K15358" t="s">
        <v>41184</v>
      </c>
      <c r="M15358" t="s">
        <v>42191</v>
      </c>
      <c r="N15358" t="s">
        <v>45095</v>
      </c>
      <c r="O15358" t="s">
        <v>45096</v>
      </c>
      <c r="Q15358">
        <v>9</v>
      </c>
      <c r="R15358" t="s">
        <v>45189</v>
      </c>
      <c r="S15358" t="s">
        <v>46819</v>
      </c>
      <c r="T15358" t="s">
        <v>46973</v>
      </c>
      <c r="U15358" t="s">
        <v>59759</v>
      </c>
      <c r="V15358" t="s">
        <v>61636</v>
      </c>
      <c r="W15358" t="s">
        <v>42191</v>
      </c>
      <c r="X15358" t="s">
        <v>45190</v>
      </c>
    </row>
    <row r="15359" spans="1:24">
      <c r="A15359">
        <f>HYPERLINK("https://www.philgeps.gov.ph/GEPSNONPILOT/Tender/SplashBidNoticeAbstractUI.aspx?menuIndex=3&amp;refID=6874565&amp;Result=3","6874565")</f>
        <v>0</v>
      </c>
      <c r="B15359" t="s">
        <v>1128</v>
      </c>
      <c r="C15359" t="s">
        <v>17923</v>
      </c>
      <c r="D15359" t="s">
        <v>18030</v>
      </c>
      <c r="E15359" t="s">
        <v>31487</v>
      </c>
      <c r="F15359" t="s">
        <v>31574</v>
      </c>
      <c r="G15359" t="s">
        <v>31582</v>
      </c>
      <c r="H15359" t="s">
        <v>31590</v>
      </c>
      <c r="I15359" t="s">
        <v>31600</v>
      </c>
      <c r="J15359" t="s">
        <v>41128</v>
      </c>
      <c r="K15359" t="s">
        <v>41186</v>
      </c>
      <c r="M15359" t="s">
        <v>45086</v>
      </c>
      <c r="N15359" t="s">
        <v>45095</v>
      </c>
      <c r="O15359" t="s">
        <v>45096</v>
      </c>
      <c r="Q15359">
        <v>14</v>
      </c>
      <c r="R15359" t="s">
        <v>45190</v>
      </c>
      <c r="S15359" t="s">
        <v>46713</v>
      </c>
      <c r="T15359" t="s">
        <v>47165</v>
      </c>
      <c r="U15359" t="s">
        <v>59760</v>
      </c>
      <c r="V15359" t="s">
        <v>61637</v>
      </c>
      <c r="W15359" t="s">
        <v>45086</v>
      </c>
      <c r="X15359" t="s">
        <v>45191</v>
      </c>
    </row>
    <row r="15360" spans="1:24">
      <c r="A15360">
        <f>HYPERLINK("https://www.philgeps.gov.ph/GEPSNONPILOT/Tender/SplashBidNoticeAbstractUI.aspx?menuIndex=3&amp;refID=6881051&amp;Result=3","6881051")</f>
        <v>0</v>
      </c>
      <c r="B15360" t="s">
        <v>2334</v>
      </c>
      <c r="C15360" t="s">
        <v>17924</v>
      </c>
      <c r="D15360" t="s">
        <v>18026</v>
      </c>
      <c r="E15360" t="s">
        <v>31488</v>
      </c>
      <c r="F15360" t="s">
        <v>31574</v>
      </c>
      <c r="G15360" t="s">
        <v>31582</v>
      </c>
      <c r="H15360" t="s">
        <v>31590</v>
      </c>
      <c r="I15360" t="s">
        <v>31607</v>
      </c>
      <c r="J15360" t="s">
        <v>41129</v>
      </c>
      <c r="K15360" t="s">
        <v>41192</v>
      </c>
      <c r="M15360" t="s">
        <v>44044</v>
      </c>
      <c r="N15360" t="s">
        <v>45095</v>
      </c>
      <c r="O15360" t="s">
        <v>45096</v>
      </c>
      <c r="Q15360">
        <v>18</v>
      </c>
      <c r="R15360" t="s">
        <v>45189</v>
      </c>
      <c r="S15360" t="s">
        <v>45917</v>
      </c>
      <c r="T15360" t="s">
        <v>47301</v>
      </c>
      <c r="U15360" t="s">
        <v>59761</v>
      </c>
      <c r="W15360" t="s">
        <v>44044</v>
      </c>
      <c r="X15360" t="s">
        <v>45190</v>
      </c>
    </row>
    <row r="15361" spans="1:24">
      <c r="A15361">
        <f>HYPERLINK("https://www.philgeps.gov.ph/GEPSNONPILOT/Tender/SplashBidNoticeAbstractUI.aspx?menuIndex=3&amp;refID=6881079&amp;Result=3","6881079")</f>
        <v>0</v>
      </c>
      <c r="B15361" t="s">
        <v>2334</v>
      </c>
      <c r="C15361" t="s">
        <v>17925</v>
      </c>
      <c r="D15361" t="s">
        <v>18026</v>
      </c>
      <c r="E15361" t="s">
        <v>31489</v>
      </c>
      <c r="F15361" t="s">
        <v>31574</v>
      </c>
      <c r="G15361" t="s">
        <v>31582</v>
      </c>
      <c r="H15361" t="s">
        <v>31590</v>
      </c>
      <c r="I15361" t="s">
        <v>31607</v>
      </c>
      <c r="J15361" t="s">
        <v>41130</v>
      </c>
      <c r="K15361" t="s">
        <v>41186</v>
      </c>
      <c r="M15361" t="s">
        <v>44044</v>
      </c>
      <c r="N15361" t="s">
        <v>45095</v>
      </c>
      <c r="O15361" t="s">
        <v>45096</v>
      </c>
      <c r="Q15361">
        <v>16</v>
      </c>
      <c r="R15361" t="s">
        <v>45189</v>
      </c>
      <c r="S15361" t="s">
        <v>45912</v>
      </c>
      <c r="T15361" t="s">
        <v>47188</v>
      </c>
      <c r="U15361" t="s">
        <v>59758</v>
      </c>
      <c r="W15361" t="s">
        <v>44044</v>
      </c>
      <c r="X15361" t="s">
        <v>45190</v>
      </c>
    </row>
    <row r="15362" spans="1:24">
      <c r="A15362">
        <f>HYPERLINK("https://www.philgeps.gov.ph/GEPSNONPILOT/Tender/SplashBidNoticeAbstractUI.aspx?menuIndex=3&amp;refID=6874486&amp;Result=3","6874486")</f>
        <v>0</v>
      </c>
      <c r="B15362" t="s">
        <v>1128</v>
      </c>
      <c r="C15362" t="s">
        <v>17926</v>
      </c>
      <c r="E15362" t="s">
        <v>31487</v>
      </c>
      <c r="F15362" t="s">
        <v>31574</v>
      </c>
      <c r="G15362" t="s">
        <v>31582</v>
      </c>
      <c r="H15362" t="s">
        <v>31590</v>
      </c>
      <c r="I15362" t="s">
        <v>31600</v>
      </c>
      <c r="J15362" t="s">
        <v>41131</v>
      </c>
      <c r="K15362" t="s">
        <v>41186</v>
      </c>
      <c r="M15362" t="s">
        <v>45086</v>
      </c>
      <c r="N15362" t="s">
        <v>45095</v>
      </c>
      <c r="O15362" t="s">
        <v>45096</v>
      </c>
      <c r="Q15362">
        <v>8</v>
      </c>
      <c r="R15362" t="s">
        <v>45190</v>
      </c>
      <c r="S15362" t="s">
        <v>46820</v>
      </c>
      <c r="T15362" t="s">
        <v>47165</v>
      </c>
      <c r="U15362" t="s">
        <v>59760</v>
      </c>
      <c r="V15362" t="s">
        <v>61637</v>
      </c>
      <c r="W15362" t="s">
        <v>45086</v>
      </c>
      <c r="X15362" t="s">
        <v>45191</v>
      </c>
    </row>
    <row r="15363" spans="1:24">
      <c r="A15363">
        <f>HYPERLINK("https://www.philgeps.gov.ph/GEPSNONPILOT/Tender/SplashBidNoticeAbstractUI.aspx?menuIndex=3&amp;refID=6870391&amp;Result=3","6870391")</f>
        <v>0</v>
      </c>
      <c r="B15363" t="s">
        <v>165</v>
      </c>
      <c r="C15363" t="s">
        <v>17927</v>
      </c>
      <c r="D15363" t="s">
        <v>18027</v>
      </c>
      <c r="E15363" t="s">
        <v>31490</v>
      </c>
      <c r="F15363" t="s">
        <v>31574</v>
      </c>
      <c r="G15363" t="s">
        <v>31582</v>
      </c>
      <c r="H15363" t="s">
        <v>31593</v>
      </c>
      <c r="I15363" t="s">
        <v>31593</v>
      </c>
      <c r="J15363" t="s">
        <v>32458</v>
      </c>
      <c r="K15363" t="s">
        <v>41225</v>
      </c>
      <c r="M15363" t="s">
        <v>41649</v>
      </c>
      <c r="N15363" t="s">
        <v>45095</v>
      </c>
      <c r="O15363" t="s">
        <v>45096</v>
      </c>
      <c r="Q15363">
        <v>6</v>
      </c>
      <c r="R15363" t="s">
        <v>45191</v>
      </c>
      <c r="S15363" t="s">
        <v>46821</v>
      </c>
      <c r="T15363" t="s">
        <v>47164</v>
      </c>
      <c r="U15363" t="s">
        <v>59762</v>
      </c>
      <c r="W15363" t="s">
        <v>41649</v>
      </c>
      <c r="X15363" t="s">
        <v>45193</v>
      </c>
    </row>
    <row r="15364" spans="1:24">
      <c r="A15364">
        <f>HYPERLINK("https://www.philgeps.gov.ph/GEPSNONPILOT/Tender/SplashBidNoticeAbstractUI.aspx?menuIndex=3&amp;refID=6870526&amp;Result=3","6870526")</f>
        <v>0</v>
      </c>
      <c r="B15364" t="s">
        <v>2564</v>
      </c>
      <c r="C15364" t="s">
        <v>17928</v>
      </c>
      <c r="D15364" t="s">
        <v>18022</v>
      </c>
      <c r="E15364" t="s">
        <v>31491</v>
      </c>
      <c r="F15364" t="s">
        <v>31574</v>
      </c>
      <c r="G15364" t="s">
        <v>31582</v>
      </c>
      <c r="H15364" t="s">
        <v>31591</v>
      </c>
      <c r="I15364" t="s">
        <v>8822</v>
      </c>
      <c r="J15364" t="s">
        <v>41132</v>
      </c>
      <c r="K15364" t="s">
        <v>41200</v>
      </c>
      <c r="M15364" t="s">
        <v>44303</v>
      </c>
      <c r="N15364" t="s">
        <v>45095</v>
      </c>
      <c r="O15364" t="s">
        <v>45096</v>
      </c>
      <c r="Q15364">
        <v>26</v>
      </c>
      <c r="R15364" t="s">
        <v>45191</v>
      </c>
      <c r="S15364" t="s">
        <v>46822</v>
      </c>
      <c r="T15364" t="s">
        <v>46926</v>
      </c>
      <c r="U15364" t="s">
        <v>59763</v>
      </c>
      <c r="W15364" t="s">
        <v>44303</v>
      </c>
      <c r="X15364" t="s">
        <v>45193</v>
      </c>
    </row>
    <row r="15365" spans="1:24">
      <c r="A15365">
        <f>HYPERLINK("https://www.philgeps.gov.ph/GEPSNONPILOT/Tender/SplashBidNoticeAbstractUI.aspx?menuIndex=3&amp;refID=6876910&amp;Result=3","6876910")</f>
        <v>0</v>
      </c>
      <c r="B15365" t="s">
        <v>196</v>
      </c>
      <c r="C15365" t="s">
        <v>17929</v>
      </c>
      <c r="D15365" t="s">
        <v>18046</v>
      </c>
      <c r="E15365" t="s">
        <v>31492</v>
      </c>
      <c r="F15365" t="s">
        <v>31574</v>
      </c>
      <c r="G15365" t="s">
        <v>31582</v>
      </c>
      <c r="H15365" t="s">
        <v>31591</v>
      </c>
      <c r="I15365" t="s">
        <v>8822</v>
      </c>
      <c r="J15365" t="s">
        <v>34980</v>
      </c>
      <c r="K15365" t="s">
        <v>41243</v>
      </c>
      <c r="M15365" t="s">
        <v>44810</v>
      </c>
      <c r="N15365" t="s">
        <v>45095</v>
      </c>
      <c r="O15365" t="s">
        <v>45096</v>
      </c>
      <c r="Q15365">
        <v>8</v>
      </c>
      <c r="R15365" t="s">
        <v>45190</v>
      </c>
      <c r="S15365" t="s">
        <v>46823</v>
      </c>
      <c r="T15365" t="s">
        <v>46941</v>
      </c>
      <c r="U15365" t="s">
        <v>59764</v>
      </c>
      <c r="V15365" t="s">
        <v>61638</v>
      </c>
      <c r="W15365" t="s">
        <v>44810</v>
      </c>
      <c r="X15365" t="s">
        <v>45191</v>
      </c>
    </row>
    <row r="15366" spans="1:24">
      <c r="A15366">
        <f>HYPERLINK("https://www.philgeps.gov.ph/GEPSNONPILOT/Tender/SplashBidNoticeAbstractUI.aspx?menuIndex=3&amp;refID=6870491&amp;Result=3","6870491")</f>
        <v>0</v>
      </c>
      <c r="B15366" t="s">
        <v>2564</v>
      </c>
      <c r="C15366" t="s">
        <v>17930</v>
      </c>
      <c r="D15366" t="s">
        <v>18022</v>
      </c>
      <c r="E15366" t="s">
        <v>31493</v>
      </c>
      <c r="F15366" t="s">
        <v>31574</v>
      </c>
      <c r="G15366" t="s">
        <v>31582</v>
      </c>
      <c r="H15366" t="s">
        <v>31591</v>
      </c>
      <c r="I15366" t="s">
        <v>8822</v>
      </c>
      <c r="J15366" t="s">
        <v>41133</v>
      </c>
      <c r="K15366" t="s">
        <v>41200</v>
      </c>
      <c r="M15366" t="s">
        <v>44303</v>
      </c>
      <c r="N15366" t="s">
        <v>45095</v>
      </c>
      <c r="O15366" t="s">
        <v>45096</v>
      </c>
      <c r="Q15366">
        <v>32</v>
      </c>
      <c r="R15366" t="s">
        <v>45191</v>
      </c>
      <c r="S15366" t="s">
        <v>46824</v>
      </c>
      <c r="T15366" t="s">
        <v>46926</v>
      </c>
      <c r="U15366" t="s">
        <v>59765</v>
      </c>
      <c r="W15366" t="s">
        <v>44303</v>
      </c>
      <c r="X15366" t="s">
        <v>45193</v>
      </c>
    </row>
    <row r="15367" spans="1:24">
      <c r="A15367">
        <f>HYPERLINK("https://www.philgeps.gov.ph/GEPSNONPILOT/Tender/SplashBidNoticeAbstractUI.aspx?menuIndex=3&amp;refID=6869767&amp;Result=3","6869767")</f>
        <v>0</v>
      </c>
      <c r="B15367" t="s">
        <v>62</v>
      </c>
      <c r="C15367" t="s">
        <v>17931</v>
      </c>
      <c r="D15367" t="s">
        <v>18037</v>
      </c>
      <c r="E15367" t="s">
        <v>31494</v>
      </c>
      <c r="F15367" t="s">
        <v>31574</v>
      </c>
      <c r="G15367" t="s">
        <v>31588</v>
      </c>
      <c r="H15367" t="s">
        <v>31593</v>
      </c>
      <c r="I15367" t="s">
        <v>31593</v>
      </c>
      <c r="J15367" t="s">
        <v>37372</v>
      </c>
      <c r="K15367" t="s">
        <v>41184</v>
      </c>
      <c r="L15367" t="s">
        <v>62</v>
      </c>
      <c r="M15367" t="s">
        <v>43390</v>
      </c>
      <c r="N15367" t="s">
        <v>45095</v>
      </c>
      <c r="O15367" t="s">
        <v>45096</v>
      </c>
      <c r="Q15367">
        <v>8</v>
      </c>
      <c r="R15367" t="s">
        <v>45191</v>
      </c>
      <c r="S15367" t="s">
        <v>46825</v>
      </c>
      <c r="T15367" t="s">
        <v>46937</v>
      </c>
      <c r="U15367" t="s">
        <v>59766</v>
      </c>
      <c r="W15367" t="s">
        <v>43390</v>
      </c>
      <c r="X15367" t="s">
        <v>45192</v>
      </c>
    </row>
    <row r="15368" spans="1:24">
      <c r="A15368">
        <f>HYPERLINK("https://www.philgeps.gov.ph/GEPSNONPILOT/Tender/SplashBidNoticeAbstractUI.aspx?menuIndex=3&amp;refID=6863694&amp;Result=3","6863694")</f>
        <v>0</v>
      </c>
      <c r="B15368" t="s">
        <v>62</v>
      </c>
      <c r="C15368" t="s">
        <v>17932</v>
      </c>
      <c r="D15368" t="s">
        <v>18108</v>
      </c>
      <c r="E15368" t="s">
        <v>31495</v>
      </c>
      <c r="F15368" t="s">
        <v>31574</v>
      </c>
      <c r="G15368" t="s">
        <v>31588</v>
      </c>
      <c r="H15368" t="s">
        <v>31591</v>
      </c>
      <c r="I15368" t="s">
        <v>8822</v>
      </c>
      <c r="J15368" t="s">
        <v>31730</v>
      </c>
      <c r="K15368" t="s">
        <v>41184</v>
      </c>
      <c r="L15368" t="s">
        <v>62</v>
      </c>
      <c r="M15368" t="s">
        <v>43390</v>
      </c>
      <c r="N15368" t="s">
        <v>45095</v>
      </c>
      <c r="O15368" t="s">
        <v>45096</v>
      </c>
      <c r="Q15368">
        <v>15</v>
      </c>
      <c r="R15368" t="s">
        <v>45192</v>
      </c>
      <c r="S15368" t="s">
        <v>45342</v>
      </c>
      <c r="T15368" t="s">
        <v>47183</v>
      </c>
      <c r="U15368" t="s">
        <v>59767</v>
      </c>
      <c r="W15368" t="s">
        <v>43390</v>
      </c>
      <c r="X15368" t="s">
        <v>45195</v>
      </c>
    </row>
    <row r="15369" spans="1:24">
      <c r="A15369">
        <f>HYPERLINK("https://www.philgeps.gov.ph/GEPSNONPILOT/Tender/SplashBidNoticeAbstractUI.aspx?menuIndex=3&amp;refID=6874679&amp;Result=3","6874679")</f>
        <v>0</v>
      </c>
      <c r="B15369" t="s">
        <v>2835</v>
      </c>
      <c r="C15369" t="s">
        <v>17933</v>
      </c>
      <c r="D15369" t="s">
        <v>18056</v>
      </c>
      <c r="E15369" t="s">
        <v>31496</v>
      </c>
      <c r="F15369" t="s">
        <v>31574</v>
      </c>
      <c r="G15369" t="s">
        <v>31582</v>
      </c>
      <c r="H15369" t="s">
        <v>31590</v>
      </c>
      <c r="I15369" t="s">
        <v>4046</v>
      </c>
      <c r="J15369" t="s">
        <v>41134</v>
      </c>
      <c r="K15369" t="s">
        <v>41200</v>
      </c>
      <c r="M15369" t="s">
        <v>44996</v>
      </c>
      <c r="N15369" t="s">
        <v>45095</v>
      </c>
      <c r="O15369" t="s">
        <v>45096</v>
      </c>
      <c r="Q15369">
        <v>12</v>
      </c>
      <c r="R15369" t="s">
        <v>45190</v>
      </c>
      <c r="S15369" t="s">
        <v>46826</v>
      </c>
      <c r="T15369" t="s">
        <v>47106</v>
      </c>
      <c r="U15369" t="s">
        <v>59768</v>
      </c>
      <c r="W15369" t="s">
        <v>44615</v>
      </c>
      <c r="X15369" t="s">
        <v>45191</v>
      </c>
    </row>
    <row r="15370" spans="1:24">
      <c r="A15370">
        <f>HYPERLINK("https://www.philgeps.gov.ph/GEPSNONPILOT/Tender/SplashBidNoticeAbstractUI.aspx?menuIndex=3&amp;refID=6870622&amp;Result=3","6870622")</f>
        <v>0</v>
      </c>
      <c r="B15370" t="s">
        <v>62</v>
      </c>
      <c r="C15370" t="s">
        <v>17934</v>
      </c>
      <c r="D15370" t="s">
        <v>18037</v>
      </c>
      <c r="E15370" t="s">
        <v>31497</v>
      </c>
      <c r="F15370" t="s">
        <v>31574</v>
      </c>
      <c r="G15370" t="s">
        <v>31588</v>
      </c>
      <c r="H15370" t="s">
        <v>31593</v>
      </c>
      <c r="I15370" t="s">
        <v>31593</v>
      </c>
      <c r="J15370" t="s">
        <v>41135</v>
      </c>
      <c r="K15370" t="s">
        <v>41184</v>
      </c>
      <c r="L15370" t="s">
        <v>62</v>
      </c>
      <c r="M15370" t="s">
        <v>43390</v>
      </c>
      <c r="N15370" t="s">
        <v>45095</v>
      </c>
      <c r="O15370" t="s">
        <v>45096</v>
      </c>
      <c r="Q15370">
        <v>8</v>
      </c>
      <c r="R15370" t="s">
        <v>45191</v>
      </c>
      <c r="S15370" t="s">
        <v>46827</v>
      </c>
      <c r="T15370" t="s">
        <v>46937</v>
      </c>
      <c r="U15370" t="s">
        <v>59769</v>
      </c>
      <c r="W15370" t="s">
        <v>43390</v>
      </c>
      <c r="X15370" t="s">
        <v>45193</v>
      </c>
    </row>
    <row r="15371" spans="1:24">
      <c r="A15371">
        <f>HYPERLINK("https://www.philgeps.gov.ph/GEPSNONPILOT/Tender/SplashBidNoticeAbstractUI.aspx?menuIndex=3&amp;refID=6874768&amp;Result=3","6874768")</f>
        <v>0</v>
      </c>
      <c r="B15371" t="s">
        <v>1128</v>
      </c>
      <c r="C15371" t="s">
        <v>17935</v>
      </c>
      <c r="D15371" t="s">
        <v>18030</v>
      </c>
      <c r="E15371" t="s">
        <v>31487</v>
      </c>
      <c r="F15371" t="s">
        <v>31574</v>
      </c>
      <c r="G15371" t="s">
        <v>31582</v>
      </c>
      <c r="H15371" t="s">
        <v>31590</v>
      </c>
      <c r="I15371" t="s">
        <v>31621</v>
      </c>
      <c r="J15371" t="s">
        <v>41136</v>
      </c>
      <c r="K15371" t="s">
        <v>41186</v>
      </c>
      <c r="M15371" t="s">
        <v>45086</v>
      </c>
      <c r="N15371" t="s">
        <v>45095</v>
      </c>
      <c r="O15371" t="s">
        <v>45096</v>
      </c>
      <c r="Q15371">
        <v>8</v>
      </c>
      <c r="R15371" t="s">
        <v>45190</v>
      </c>
      <c r="S15371" t="s">
        <v>46828</v>
      </c>
      <c r="T15371" t="s">
        <v>47165</v>
      </c>
      <c r="U15371" t="s">
        <v>59760</v>
      </c>
      <c r="V15371" t="s">
        <v>61637</v>
      </c>
      <c r="W15371" t="s">
        <v>45086</v>
      </c>
      <c r="X15371" t="s">
        <v>45191</v>
      </c>
    </row>
    <row r="15372" spans="1:24">
      <c r="A15372">
        <f>HYPERLINK("https://www.philgeps.gov.ph/GEPSNONPILOT/Tender/SplashBidNoticeAbstractUI.aspx?menuIndex=3&amp;refID=6870598&amp;Result=3","6870598")</f>
        <v>0</v>
      </c>
      <c r="B15372" t="s">
        <v>62</v>
      </c>
      <c r="C15372" t="s">
        <v>17936</v>
      </c>
      <c r="D15372" t="s">
        <v>18037</v>
      </c>
      <c r="E15372" t="s">
        <v>31498</v>
      </c>
      <c r="F15372" t="s">
        <v>31574</v>
      </c>
      <c r="G15372" t="s">
        <v>31588</v>
      </c>
      <c r="H15372" t="s">
        <v>31593</v>
      </c>
      <c r="I15372" t="s">
        <v>31593</v>
      </c>
      <c r="J15372" t="s">
        <v>41137</v>
      </c>
      <c r="K15372" t="s">
        <v>41184</v>
      </c>
      <c r="L15372" t="s">
        <v>62</v>
      </c>
      <c r="M15372" t="s">
        <v>43390</v>
      </c>
      <c r="N15372" t="s">
        <v>45095</v>
      </c>
      <c r="O15372" t="s">
        <v>45096</v>
      </c>
      <c r="Q15372">
        <v>6</v>
      </c>
      <c r="R15372" t="s">
        <v>45191</v>
      </c>
      <c r="S15372" t="s">
        <v>46829</v>
      </c>
      <c r="T15372" t="s">
        <v>46937</v>
      </c>
      <c r="U15372" t="s">
        <v>59770</v>
      </c>
      <c r="W15372" t="s">
        <v>43390</v>
      </c>
      <c r="X15372" t="s">
        <v>45193</v>
      </c>
    </row>
    <row r="15373" spans="1:24">
      <c r="A15373">
        <f>HYPERLINK("https://www.philgeps.gov.ph/GEPSNONPILOT/Tender/SplashBidNoticeAbstractUI.aspx?menuIndex=3&amp;refID=6867205&amp;Result=3","6867205")</f>
        <v>0</v>
      </c>
      <c r="B15373" t="s">
        <v>2092</v>
      </c>
      <c r="C15373" t="s">
        <v>17937</v>
      </c>
      <c r="D15373" t="s">
        <v>18030</v>
      </c>
      <c r="E15373" t="s">
        <v>31499</v>
      </c>
      <c r="F15373" t="s">
        <v>31574</v>
      </c>
      <c r="G15373" t="s">
        <v>31582</v>
      </c>
      <c r="H15373" t="s">
        <v>31592</v>
      </c>
      <c r="I15373" t="s">
        <v>31705</v>
      </c>
      <c r="J15373" t="s">
        <v>41138</v>
      </c>
      <c r="K15373" t="s">
        <v>41235</v>
      </c>
      <c r="M15373" t="s">
        <v>43900</v>
      </c>
      <c r="N15373" t="s">
        <v>45095</v>
      </c>
      <c r="O15373" t="s">
        <v>45096</v>
      </c>
      <c r="Q15373">
        <v>19</v>
      </c>
      <c r="R15373" t="s">
        <v>45193</v>
      </c>
      <c r="S15373" t="s">
        <v>46773</v>
      </c>
      <c r="T15373" t="s">
        <v>47154</v>
      </c>
      <c r="U15373" t="s">
        <v>53298</v>
      </c>
      <c r="V15373" t="s">
        <v>61176</v>
      </c>
      <c r="W15373" t="s">
        <v>43900</v>
      </c>
      <c r="X15373" t="s">
        <v>45192</v>
      </c>
    </row>
    <row r="15374" spans="1:24">
      <c r="A15374">
        <f>HYPERLINK("https://www.philgeps.gov.ph/GEPSNONPILOT/Tender/SplashBidNoticeAbstractUI.aspx?menuIndex=3&amp;refID=6867047&amp;Result=3","6867047")</f>
        <v>0</v>
      </c>
      <c r="B15374" t="s">
        <v>2092</v>
      </c>
      <c r="C15374" t="s">
        <v>17938</v>
      </c>
      <c r="D15374" t="s">
        <v>18030</v>
      </c>
      <c r="E15374" t="s">
        <v>31500</v>
      </c>
      <c r="F15374" t="s">
        <v>31574</v>
      </c>
      <c r="G15374" t="s">
        <v>31582</v>
      </c>
      <c r="H15374" t="s">
        <v>31592</v>
      </c>
      <c r="I15374" t="s">
        <v>31705</v>
      </c>
      <c r="J15374" t="s">
        <v>41139</v>
      </c>
      <c r="K15374" t="s">
        <v>41235</v>
      </c>
      <c r="M15374" t="s">
        <v>43900</v>
      </c>
      <c r="N15374" t="s">
        <v>45095</v>
      </c>
      <c r="O15374" t="s">
        <v>45096</v>
      </c>
      <c r="Q15374">
        <v>13</v>
      </c>
      <c r="R15374" t="s">
        <v>45193</v>
      </c>
      <c r="S15374" t="s">
        <v>46830</v>
      </c>
      <c r="T15374" t="s">
        <v>47154</v>
      </c>
      <c r="U15374" t="s">
        <v>53298</v>
      </c>
      <c r="V15374" t="s">
        <v>61176</v>
      </c>
      <c r="W15374" t="s">
        <v>43900</v>
      </c>
      <c r="X15374" t="s">
        <v>45192</v>
      </c>
    </row>
    <row r="15375" spans="1:24">
      <c r="A15375">
        <f>HYPERLINK("https://www.philgeps.gov.ph/GEPSNONPILOT/Tender/SplashBidNoticeAbstractUI.aspx?menuIndex=3&amp;refID=6871415&amp;Result=3","6871415")</f>
        <v>0</v>
      </c>
      <c r="B15375" t="s">
        <v>196</v>
      </c>
      <c r="C15375" t="s">
        <v>17939</v>
      </c>
      <c r="E15375" t="s">
        <v>31501</v>
      </c>
      <c r="F15375" t="s">
        <v>31574</v>
      </c>
      <c r="G15375" t="s">
        <v>31582</v>
      </c>
      <c r="H15375" t="s">
        <v>31591</v>
      </c>
      <c r="I15375" t="s">
        <v>8822</v>
      </c>
      <c r="J15375" t="s">
        <v>37292</v>
      </c>
      <c r="K15375" t="s">
        <v>41263</v>
      </c>
      <c r="N15375" t="s">
        <v>45095</v>
      </c>
      <c r="O15375" t="s">
        <v>45096</v>
      </c>
      <c r="Q15375">
        <v>6</v>
      </c>
      <c r="R15375" t="s">
        <v>45191</v>
      </c>
      <c r="S15375" t="s">
        <v>46831</v>
      </c>
      <c r="T15375" t="s">
        <v>46941</v>
      </c>
      <c r="U15375" t="s">
        <v>59771</v>
      </c>
      <c r="V15375" t="s">
        <v>61639</v>
      </c>
      <c r="W15375" t="s">
        <v>44810</v>
      </c>
      <c r="X15375" t="s">
        <v>45193</v>
      </c>
    </row>
    <row r="15376" spans="1:24">
      <c r="A15376">
        <f>HYPERLINK("https://www.philgeps.gov.ph/GEPSNONPILOT/Tender/SplashBidNoticeAbstractUI.aspx?menuIndex=3&amp;refID=6863995&amp;Result=3","6863995")</f>
        <v>0</v>
      </c>
      <c r="B15376" t="s">
        <v>598</v>
      </c>
      <c r="C15376" t="s">
        <v>17940</v>
      </c>
      <c r="D15376" t="s">
        <v>18022</v>
      </c>
      <c r="E15376" t="s">
        <v>31502</v>
      </c>
      <c r="F15376" t="s">
        <v>31574</v>
      </c>
      <c r="G15376" t="s">
        <v>31581</v>
      </c>
      <c r="H15376" t="s">
        <v>31590</v>
      </c>
      <c r="I15376" t="s">
        <v>31701</v>
      </c>
      <c r="J15376" t="s">
        <v>34972</v>
      </c>
      <c r="K15376" t="s">
        <v>41193</v>
      </c>
      <c r="M15376" t="s">
        <v>42101</v>
      </c>
      <c r="N15376" t="s">
        <v>45095</v>
      </c>
      <c r="O15376" t="s">
        <v>45096</v>
      </c>
      <c r="Q15376">
        <v>2</v>
      </c>
      <c r="R15376" t="s">
        <v>45192</v>
      </c>
      <c r="S15376" t="s">
        <v>46288</v>
      </c>
      <c r="T15376" t="s">
        <v>47067</v>
      </c>
      <c r="U15376" t="s">
        <v>59772</v>
      </c>
      <c r="V15376" t="s">
        <v>59987</v>
      </c>
      <c r="W15376" t="s">
        <v>42101</v>
      </c>
      <c r="X15376" t="s">
        <v>45195</v>
      </c>
    </row>
    <row r="15377" spans="1:24">
      <c r="A15377">
        <f>HYPERLINK("https://www.philgeps.gov.ph/GEPSNONPILOT/Tender/SplashBidNoticeAbstractUI.aspx?menuIndex=3&amp;refID=6864022&amp;Result=3","6864022")</f>
        <v>0</v>
      </c>
      <c r="B15377" t="s">
        <v>598</v>
      </c>
      <c r="C15377" t="s">
        <v>17941</v>
      </c>
      <c r="D15377" t="s">
        <v>18022</v>
      </c>
      <c r="E15377" t="s">
        <v>31503</v>
      </c>
      <c r="F15377" t="s">
        <v>31574</v>
      </c>
      <c r="G15377" t="s">
        <v>31581</v>
      </c>
      <c r="H15377" t="s">
        <v>31590</v>
      </c>
      <c r="I15377" t="s">
        <v>31701</v>
      </c>
      <c r="J15377" t="s">
        <v>41140</v>
      </c>
      <c r="K15377" t="s">
        <v>41193</v>
      </c>
      <c r="M15377" t="s">
        <v>42101</v>
      </c>
      <c r="N15377" t="s">
        <v>45095</v>
      </c>
      <c r="O15377" t="s">
        <v>45096</v>
      </c>
      <c r="Q15377">
        <v>1</v>
      </c>
      <c r="R15377" t="s">
        <v>45192</v>
      </c>
      <c r="S15377" t="s">
        <v>46832</v>
      </c>
      <c r="T15377" t="s">
        <v>47067</v>
      </c>
      <c r="U15377" t="s">
        <v>59773</v>
      </c>
      <c r="V15377" t="s">
        <v>59987</v>
      </c>
      <c r="W15377" t="s">
        <v>42101</v>
      </c>
      <c r="X15377" t="s">
        <v>45195</v>
      </c>
    </row>
    <row r="15378" spans="1:24">
      <c r="A15378">
        <f>HYPERLINK("https://www.philgeps.gov.ph/GEPSNONPILOT/Tender/SplashBidNoticeAbstractUI.aspx?menuIndex=3&amp;refID=6863861&amp;Result=3","6863861")</f>
        <v>0</v>
      </c>
      <c r="B15378" t="s">
        <v>3191</v>
      </c>
      <c r="C15378" t="s">
        <v>17942</v>
      </c>
      <c r="D15378" t="s">
        <v>18047</v>
      </c>
      <c r="E15378" t="s">
        <v>31504</v>
      </c>
      <c r="F15378" t="s">
        <v>31574</v>
      </c>
      <c r="G15378" t="s">
        <v>31582</v>
      </c>
      <c r="H15378" t="s">
        <v>31591</v>
      </c>
      <c r="I15378" t="s">
        <v>8822</v>
      </c>
      <c r="J15378" t="s">
        <v>41141</v>
      </c>
      <c r="K15378" t="s">
        <v>41200</v>
      </c>
      <c r="M15378" t="s">
        <v>45087</v>
      </c>
      <c r="N15378" t="s">
        <v>45095</v>
      </c>
      <c r="O15378" t="s">
        <v>45096</v>
      </c>
      <c r="Q15378">
        <v>5</v>
      </c>
      <c r="R15378" t="s">
        <v>45194</v>
      </c>
      <c r="S15378" t="s">
        <v>46833</v>
      </c>
      <c r="T15378" t="s">
        <v>47464</v>
      </c>
      <c r="U15378" t="s">
        <v>59774</v>
      </c>
      <c r="W15378" t="s">
        <v>45087</v>
      </c>
      <c r="X15378" t="s">
        <v>45195</v>
      </c>
    </row>
    <row r="15379" spans="1:24">
      <c r="A15379">
        <f>HYPERLINK("https://www.philgeps.gov.ph/GEPSNONPILOT/Tender/SplashBidNoticeAbstractUI.aspx?menuIndex=3&amp;refID=6864099&amp;Result=3","6864099")</f>
        <v>0</v>
      </c>
      <c r="B15379" t="s">
        <v>598</v>
      </c>
      <c r="C15379" t="s">
        <v>17943</v>
      </c>
      <c r="D15379" t="s">
        <v>18022</v>
      </c>
      <c r="E15379" t="s">
        <v>23829</v>
      </c>
      <c r="F15379" t="s">
        <v>31574</v>
      </c>
      <c r="G15379" t="s">
        <v>31581</v>
      </c>
      <c r="H15379" t="s">
        <v>31590</v>
      </c>
      <c r="I15379" t="s">
        <v>8258</v>
      </c>
      <c r="J15379" t="s">
        <v>33977</v>
      </c>
      <c r="K15379" t="s">
        <v>41193</v>
      </c>
      <c r="M15379" t="s">
        <v>42101</v>
      </c>
      <c r="N15379" t="s">
        <v>45095</v>
      </c>
      <c r="O15379" t="s">
        <v>45096</v>
      </c>
      <c r="Q15379">
        <v>0</v>
      </c>
      <c r="R15379" t="s">
        <v>45192</v>
      </c>
      <c r="S15379" t="s">
        <v>46834</v>
      </c>
      <c r="T15379" t="s">
        <v>47067</v>
      </c>
      <c r="U15379" t="s">
        <v>59775</v>
      </c>
      <c r="V15379" t="s">
        <v>59987</v>
      </c>
      <c r="W15379" t="s">
        <v>42101</v>
      </c>
      <c r="X15379" t="s">
        <v>45195</v>
      </c>
    </row>
    <row r="15380" spans="1:24">
      <c r="A15380">
        <f>HYPERLINK("https://www.philgeps.gov.ph/GEPSNONPILOT/Tender/SplashBidNoticeAbstractUI.aspx?menuIndex=3&amp;refID=6863406&amp;Result=3","6863406")</f>
        <v>0</v>
      </c>
      <c r="B15380" t="s">
        <v>1554</v>
      </c>
      <c r="C15380" t="s">
        <v>17944</v>
      </c>
      <c r="D15380" t="s">
        <v>18056</v>
      </c>
      <c r="E15380" t="s">
        <v>31505</v>
      </c>
      <c r="F15380" t="s">
        <v>31574</v>
      </c>
      <c r="G15380" t="s">
        <v>31581</v>
      </c>
      <c r="H15380" t="s">
        <v>31591</v>
      </c>
      <c r="I15380" t="s">
        <v>8822</v>
      </c>
      <c r="J15380" t="s">
        <v>41142</v>
      </c>
      <c r="K15380" t="s">
        <v>41186</v>
      </c>
      <c r="M15380" t="s">
        <v>43153</v>
      </c>
      <c r="N15380" t="s">
        <v>45095</v>
      </c>
      <c r="O15380" t="s">
        <v>45096</v>
      </c>
      <c r="Q15380">
        <v>0</v>
      </c>
      <c r="R15380" t="s">
        <v>45194</v>
      </c>
      <c r="S15380" t="s">
        <v>46835</v>
      </c>
      <c r="T15380" t="s">
        <v>47159</v>
      </c>
      <c r="U15380" t="s">
        <v>59776</v>
      </c>
      <c r="W15380" t="s">
        <v>43153</v>
      </c>
      <c r="X15380" t="s">
        <v>45195</v>
      </c>
    </row>
    <row r="15381" spans="1:24">
      <c r="A15381">
        <f>HYPERLINK("https://www.philgeps.gov.ph/GEPSNONPILOT/Tender/SplashBidNoticeAbstractUI.aspx?menuIndex=3&amp;refID=6864479&amp;Result=3","6864479")</f>
        <v>0</v>
      </c>
      <c r="B15381" t="s">
        <v>1586</v>
      </c>
      <c r="C15381" t="s">
        <v>17945</v>
      </c>
      <c r="E15381" t="s">
        <v>31506</v>
      </c>
      <c r="F15381" t="s">
        <v>31574</v>
      </c>
      <c r="G15381" t="s">
        <v>31582</v>
      </c>
      <c r="H15381" t="s">
        <v>31590</v>
      </c>
      <c r="I15381" t="s">
        <v>31619</v>
      </c>
      <c r="J15381" t="s">
        <v>41143</v>
      </c>
      <c r="K15381" t="s">
        <v>41184</v>
      </c>
      <c r="M15381" t="s">
        <v>43190</v>
      </c>
      <c r="N15381" t="s">
        <v>45095</v>
      </c>
      <c r="O15381" t="s">
        <v>45096</v>
      </c>
      <c r="Q15381">
        <v>16</v>
      </c>
      <c r="R15381" t="s">
        <v>45194</v>
      </c>
      <c r="S15381" t="s">
        <v>45395</v>
      </c>
      <c r="T15381" t="s">
        <v>46941</v>
      </c>
      <c r="U15381" t="s">
        <v>59777</v>
      </c>
      <c r="V15381" t="s">
        <v>61640</v>
      </c>
      <c r="W15381" t="s">
        <v>43190</v>
      </c>
      <c r="X15381" t="s">
        <v>45195</v>
      </c>
    </row>
    <row r="15382" spans="1:24">
      <c r="A15382">
        <f>HYPERLINK("https://www.philgeps.gov.ph/GEPSNONPILOT/Tender/SplashBidNoticeAbstractUI.aspx?menuIndex=3&amp;refID=6861079&amp;Result=3","6861079")</f>
        <v>0</v>
      </c>
      <c r="B15382" t="s">
        <v>459</v>
      </c>
      <c r="C15382" t="s">
        <v>17946</v>
      </c>
      <c r="D15382" t="s">
        <v>18079</v>
      </c>
      <c r="E15382" t="s">
        <v>31507</v>
      </c>
      <c r="F15382" t="s">
        <v>31574</v>
      </c>
      <c r="G15382" t="s">
        <v>31582</v>
      </c>
      <c r="H15382" t="s">
        <v>31591</v>
      </c>
      <c r="I15382" t="s">
        <v>8822</v>
      </c>
      <c r="J15382" t="s">
        <v>41144</v>
      </c>
      <c r="K15382" t="s">
        <v>41448</v>
      </c>
      <c r="M15382" t="s">
        <v>41953</v>
      </c>
      <c r="N15382" t="s">
        <v>45095</v>
      </c>
      <c r="O15382" t="s">
        <v>45096</v>
      </c>
      <c r="Q15382">
        <v>4</v>
      </c>
      <c r="R15382" t="s">
        <v>45195</v>
      </c>
      <c r="S15382" t="s">
        <v>46836</v>
      </c>
      <c r="T15382" t="s">
        <v>47086</v>
      </c>
      <c r="U15382" t="s">
        <v>59778</v>
      </c>
      <c r="V15382" t="s">
        <v>61641</v>
      </c>
      <c r="W15382" t="s">
        <v>41953</v>
      </c>
      <c r="X15382" t="s">
        <v>45202</v>
      </c>
    </row>
    <row r="15383" spans="1:24">
      <c r="A15383">
        <f>HYPERLINK("https://www.philgeps.gov.ph/GEPSNONPILOT/Tender/SplashBidNoticeAbstractUI.aspx?menuIndex=3&amp;refID=6859939&amp;Result=3","6859939")</f>
        <v>0</v>
      </c>
      <c r="B15383" t="s">
        <v>598</v>
      </c>
      <c r="C15383" t="s">
        <v>17947</v>
      </c>
      <c r="D15383" t="s">
        <v>18022</v>
      </c>
      <c r="E15383" t="s">
        <v>31508</v>
      </c>
      <c r="F15383" t="s">
        <v>31574</v>
      </c>
      <c r="G15383" t="s">
        <v>31581</v>
      </c>
      <c r="H15383" t="s">
        <v>31590</v>
      </c>
      <c r="I15383" t="s">
        <v>8258</v>
      </c>
      <c r="J15383" t="s">
        <v>32382</v>
      </c>
      <c r="K15383" t="s">
        <v>41213</v>
      </c>
      <c r="M15383" t="s">
        <v>45088</v>
      </c>
      <c r="N15383" t="s">
        <v>45095</v>
      </c>
      <c r="O15383" t="s">
        <v>45096</v>
      </c>
      <c r="Q15383">
        <v>4</v>
      </c>
      <c r="R15383" t="s">
        <v>45195</v>
      </c>
      <c r="S15383" t="s">
        <v>46837</v>
      </c>
      <c r="T15383" t="s">
        <v>47397</v>
      </c>
      <c r="U15383" t="s">
        <v>59779</v>
      </c>
      <c r="V15383" t="s">
        <v>59987</v>
      </c>
      <c r="W15383" t="s">
        <v>45088</v>
      </c>
      <c r="X15383" t="s">
        <v>45202</v>
      </c>
    </row>
    <row r="15384" spans="1:24">
      <c r="A15384">
        <f>HYPERLINK("https://www.philgeps.gov.ph/GEPSNONPILOT/Tender/SplashBidNoticeAbstractUI.aspx?menuIndex=3&amp;refID=6857339&amp;Result=3","6857339")</f>
        <v>0</v>
      </c>
      <c r="B15384" t="s">
        <v>246</v>
      </c>
      <c r="C15384" t="s">
        <v>17362</v>
      </c>
      <c r="D15384" t="s">
        <v>18054</v>
      </c>
      <c r="E15384" t="s">
        <v>31509</v>
      </c>
      <c r="F15384" t="s">
        <v>31574</v>
      </c>
      <c r="G15384" t="s">
        <v>31581</v>
      </c>
      <c r="H15384" t="s">
        <v>31590</v>
      </c>
      <c r="I15384" t="s">
        <v>31631</v>
      </c>
      <c r="J15384" t="s">
        <v>34919</v>
      </c>
      <c r="K15384" t="s">
        <v>41196</v>
      </c>
      <c r="M15384" t="s">
        <v>41732</v>
      </c>
      <c r="N15384" t="s">
        <v>45095</v>
      </c>
      <c r="O15384" t="s">
        <v>45096</v>
      </c>
      <c r="Q15384">
        <v>1</v>
      </c>
      <c r="R15384" t="s">
        <v>45195</v>
      </c>
      <c r="S15384" t="s">
        <v>46837</v>
      </c>
      <c r="T15384" t="s">
        <v>47021</v>
      </c>
      <c r="U15384" t="s">
        <v>59780</v>
      </c>
      <c r="W15384" t="s">
        <v>41732</v>
      </c>
      <c r="X15384" t="s">
        <v>45199</v>
      </c>
    </row>
    <row r="15385" spans="1:24">
      <c r="A15385">
        <f>HYPERLINK("https://www.philgeps.gov.ph/GEPSNONPILOT/Tender/SplashBidNoticeAbstractUI.aspx?menuIndex=3&amp;refID=6859912&amp;Result=3","6859912")</f>
        <v>0</v>
      </c>
      <c r="B15385" t="s">
        <v>598</v>
      </c>
      <c r="C15385" t="s">
        <v>17948</v>
      </c>
      <c r="D15385" t="s">
        <v>18022</v>
      </c>
      <c r="E15385" t="s">
        <v>24623</v>
      </c>
      <c r="F15385" t="s">
        <v>31574</v>
      </c>
      <c r="G15385" t="s">
        <v>31581</v>
      </c>
      <c r="H15385" t="s">
        <v>31590</v>
      </c>
      <c r="I15385" t="s">
        <v>8258</v>
      </c>
      <c r="J15385" t="s">
        <v>32972</v>
      </c>
      <c r="K15385" t="s">
        <v>41213</v>
      </c>
      <c r="M15385" t="s">
        <v>45088</v>
      </c>
      <c r="N15385" t="s">
        <v>45095</v>
      </c>
      <c r="O15385" t="s">
        <v>45096</v>
      </c>
      <c r="Q15385">
        <v>2</v>
      </c>
      <c r="R15385" t="s">
        <v>45195</v>
      </c>
      <c r="S15385" t="s">
        <v>46838</v>
      </c>
      <c r="T15385" t="s">
        <v>47397</v>
      </c>
      <c r="U15385" t="s">
        <v>59781</v>
      </c>
      <c r="V15385" t="s">
        <v>59987</v>
      </c>
      <c r="W15385" t="s">
        <v>45088</v>
      </c>
      <c r="X15385" t="s">
        <v>45202</v>
      </c>
    </row>
    <row r="15386" spans="1:24">
      <c r="A15386">
        <f>HYPERLINK("https://www.philgeps.gov.ph/GEPSNONPILOT/Tender/SplashBidNoticeAbstractUI.aspx?menuIndex=3&amp;refID=6865257&amp;Result=3","6865257")</f>
        <v>0</v>
      </c>
      <c r="B15386" t="s">
        <v>1520</v>
      </c>
      <c r="C15386" t="s">
        <v>17949</v>
      </c>
      <c r="E15386" t="s">
        <v>31510</v>
      </c>
      <c r="F15386" t="s">
        <v>31574</v>
      </c>
      <c r="G15386" t="s">
        <v>31582</v>
      </c>
      <c r="H15386" t="s">
        <v>31591</v>
      </c>
      <c r="I15386" t="s">
        <v>8822</v>
      </c>
      <c r="J15386" t="s">
        <v>41145</v>
      </c>
      <c r="K15386" t="s">
        <v>41184</v>
      </c>
      <c r="M15386" t="s">
        <v>43111</v>
      </c>
      <c r="N15386" t="s">
        <v>45095</v>
      </c>
      <c r="O15386" t="s">
        <v>45096</v>
      </c>
      <c r="Q15386">
        <v>75</v>
      </c>
      <c r="R15386" t="s">
        <v>45194</v>
      </c>
      <c r="S15386" t="s">
        <v>46839</v>
      </c>
      <c r="T15386" t="s">
        <v>46922</v>
      </c>
      <c r="U15386" t="s">
        <v>51225</v>
      </c>
      <c r="W15386" t="s">
        <v>61704</v>
      </c>
      <c r="X15386" t="s">
        <v>45195</v>
      </c>
    </row>
    <row r="15387" spans="1:24">
      <c r="A15387">
        <f>HYPERLINK("https://www.philgeps.gov.ph/GEPSNONPILOT/Tender/SplashBidNoticeAbstractUI.aspx?menuIndex=3&amp;refID=6860069&amp;Result=3","6860069")</f>
        <v>0</v>
      </c>
      <c r="B15387" t="s">
        <v>598</v>
      </c>
      <c r="C15387" t="s">
        <v>17950</v>
      </c>
      <c r="D15387" t="s">
        <v>18022</v>
      </c>
      <c r="E15387" t="s">
        <v>20506</v>
      </c>
      <c r="F15387" t="s">
        <v>31574</v>
      </c>
      <c r="G15387" t="s">
        <v>31581</v>
      </c>
      <c r="H15387" t="s">
        <v>31590</v>
      </c>
      <c r="I15387" t="s">
        <v>8258</v>
      </c>
      <c r="J15387" t="s">
        <v>32334</v>
      </c>
      <c r="K15387" t="s">
        <v>41213</v>
      </c>
      <c r="M15387" t="s">
        <v>45088</v>
      </c>
      <c r="N15387" t="s">
        <v>45095</v>
      </c>
      <c r="O15387" t="s">
        <v>45096</v>
      </c>
      <c r="Q15387">
        <v>3</v>
      </c>
      <c r="R15387" t="s">
        <v>45195</v>
      </c>
      <c r="S15387" t="s">
        <v>46840</v>
      </c>
      <c r="T15387" t="s">
        <v>47397</v>
      </c>
      <c r="U15387" t="s">
        <v>59782</v>
      </c>
      <c r="V15387" t="s">
        <v>59987</v>
      </c>
      <c r="W15387" t="s">
        <v>45088</v>
      </c>
      <c r="X15387" t="s">
        <v>45202</v>
      </c>
    </row>
    <row r="15388" spans="1:24">
      <c r="A15388">
        <f>HYPERLINK("https://www.philgeps.gov.ph/GEPSNONPILOT/Tender/SplashBidNoticeAbstractUI.aspx?menuIndex=3&amp;refID=6862407&amp;Result=3","6862407")</f>
        <v>0</v>
      </c>
      <c r="B15388" t="s">
        <v>2564</v>
      </c>
      <c r="C15388" t="s">
        <v>17951</v>
      </c>
      <c r="D15388" t="s">
        <v>18022</v>
      </c>
      <c r="E15388" t="s">
        <v>31511</v>
      </c>
      <c r="F15388" t="s">
        <v>31574</v>
      </c>
      <c r="G15388" t="s">
        <v>31582</v>
      </c>
      <c r="H15388" t="s">
        <v>31591</v>
      </c>
      <c r="I15388" t="s">
        <v>8822</v>
      </c>
      <c r="J15388" t="s">
        <v>41146</v>
      </c>
      <c r="K15388" t="s">
        <v>41235</v>
      </c>
      <c r="M15388" t="s">
        <v>44303</v>
      </c>
      <c r="N15388" t="s">
        <v>45095</v>
      </c>
      <c r="O15388" t="s">
        <v>45096</v>
      </c>
      <c r="Q15388">
        <v>56</v>
      </c>
      <c r="R15388" t="s">
        <v>45195</v>
      </c>
      <c r="S15388" t="s">
        <v>46841</v>
      </c>
      <c r="T15388" t="s">
        <v>46966</v>
      </c>
      <c r="U15388" t="s">
        <v>59783</v>
      </c>
      <c r="W15388" t="s">
        <v>44303</v>
      </c>
      <c r="X15388" t="s">
        <v>45202</v>
      </c>
    </row>
    <row r="15389" spans="1:24">
      <c r="A15389">
        <f>HYPERLINK("https://www.philgeps.gov.ph/GEPSNONPILOT/Tender/SplashBidNoticeAbstractUI.aspx?menuIndex=3&amp;refID=6859210&amp;Result=3","6859210")</f>
        <v>0</v>
      </c>
      <c r="B15389" t="s">
        <v>246</v>
      </c>
      <c r="C15389" t="s">
        <v>17952</v>
      </c>
      <c r="D15389" t="s">
        <v>18033</v>
      </c>
      <c r="E15389" t="s">
        <v>31512</v>
      </c>
      <c r="F15389" t="s">
        <v>31574</v>
      </c>
      <c r="G15389" t="s">
        <v>31581</v>
      </c>
      <c r="H15389" t="s">
        <v>31592</v>
      </c>
      <c r="I15389" t="s">
        <v>31623</v>
      </c>
      <c r="J15389" t="s">
        <v>31950</v>
      </c>
      <c r="K15389" t="s">
        <v>41196</v>
      </c>
      <c r="M15389" t="s">
        <v>41732</v>
      </c>
      <c r="N15389" t="s">
        <v>45095</v>
      </c>
      <c r="O15389" t="s">
        <v>45096</v>
      </c>
      <c r="Q15389">
        <v>5</v>
      </c>
      <c r="R15389" t="s">
        <v>45195</v>
      </c>
      <c r="S15389" t="s">
        <v>46842</v>
      </c>
      <c r="T15389" t="s">
        <v>47021</v>
      </c>
      <c r="U15389" t="s">
        <v>59784</v>
      </c>
      <c r="W15389" t="s">
        <v>41732</v>
      </c>
      <c r="X15389" t="s">
        <v>45199</v>
      </c>
    </row>
    <row r="15390" spans="1:24">
      <c r="A15390">
        <f>HYPERLINK("https://www.philgeps.gov.ph/GEPSNONPILOT/Tender/SplashBidNoticeAbstractUI.aspx?menuIndex=3&amp;refID=6862360&amp;Result=3","6862360")</f>
        <v>0</v>
      </c>
      <c r="B15390" t="s">
        <v>2564</v>
      </c>
      <c r="C15390" t="s">
        <v>17953</v>
      </c>
      <c r="D15390" t="s">
        <v>18022</v>
      </c>
      <c r="E15390" t="s">
        <v>31513</v>
      </c>
      <c r="F15390" t="s">
        <v>31574</v>
      </c>
      <c r="G15390" t="s">
        <v>31582</v>
      </c>
      <c r="H15390" t="s">
        <v>31591</v>
      </c>
      <c r="I15390" t="s">
        <v>8822</v>
      </c>
      <c r="J15390" t="s">
        <v>41147</v>
      </c>
      <c r="K15390" t="s">
        <v>41256</v>
      </c>
      <c r="M15390" t="s">
        <v>44303</v>
      </c>
      <c r="N15390" t="s">
        <v>45095</v>
      </c>
      <c r="O15390" t="s">
        <v>45096</v>
      </c>
      <c r="Q15390">
        <v>125</v>
      </c>
      <c r="R15390" t="s">
        <v>45195</v>
      </c>
      <c r="S15390" t="s">
        <v>46843</v>
      </c>
      <c r="T15390" t="s">
        <v>46922</v>
      </c>
      <c r="U15390" t="s">
        <v>59785</v>
      </c>
      <c r="W15390" t="s">
        <v>44303</v>
      </c>
      <c r="X15390" t="s">
        <v>45202</v>
      </c>
    </row>
    <row r="15391" spans="1:24">
      <c r="A15391">
        <f>HYPERLINK("https://www.philgeps.gov.ph/GEPSNONPILOT/Tender/SplashBidNoticeAbstractUI.aspx?menuIndex=3&amp;refID=6866167&amp;Result=3","6866167")</f>
        <v>0</v>
      </c>
      <c r="B15391" t="s">
        <v>985</v>
      </c>
      <c r="C15391" t="s">
        <v>17954</v>
      </c>
      <c r="D15391" t="s">
        <v>18107</v>
      </c>
      <c r="E15391" t="s">
        <v>31514</v>
      </c>
      <c r="F15391" t="s">
        <v>31574</v>
      </c>
      <c r="G15391" t="s">
        <v>31582</v>
      </c>
      <c r="H15391" t="s">
        <v>31591</v>
      </c>
      <c r="I15391" t="s">
        <v>8822</v>
      </c>
      <c r="J15391" t="s">
        <v>41148</v>
      </c>
      <c r="K15391" t="s">
        <v>41256</v>
      </c>
      <c r="M15391" t="s">
        <v>45089</v>
      </c>
      <c r="N15391" t="s">
        <v>45095</v>
      </c>
      <c r="O15391" t="s">
        <v>45096</v>
      </c>
      <c r="Q15391">
        <v>3</v>
      </c>
      <c r="R15391" t="s">
        <v>45194</v>
      </c>
      <c r="S15391" t="s">
        <v>45673</v>
      </c>
      <c r="T15391" t="s">
        <v>47159</v>
      </c>
      <c r="U15391" t="s">
        <v>59786</v>
      </c>
      <c r="W15391" t="s">
        <v>45089</v>
      </c>
      <c r="X15391" t="s">
        <v>45195</v>
      </c>
    </row>
    <row r="15392" spans="1:24">
      <c r="A15392">
        <f>HYPERLINK("https://www.philgeps.gov.ph/GEPSNONPILOT/Tender/SplashBidNoticeAbstractUI.aspx?menuIndex=3&amp;refID=6862279&amp;Result=3","6862279")</f>
        <v>0</v>
      </c>
      <c r="B15392" t="s">
        <v>2564</v>
      </c>
      <c r="C15392" t="s">
        <v>17955</v>
      </c>
      <c r="D15392" t="s">
        <v>18022</v>
      </c>
      <c r="E15392" t="s">
        <v>31515</v>
      </c>
      <c r="F15392" t="s">
        <v>31574</v>
      </c>
      <c r="G15392" t="s">
        <v>31582</v>
      </c>
      <c r="H15392" t="s">
        <v>31591</v>
      </c>
      <c r="I15392" t="s">
        <v>8822</v>
      </c>
      <c r="J15392" t="s">
        <v>41149</v>
      </c>
      <c r="K15392" t="s">
        <v>41198</v>
      </c>
      <c r="M15392" t="s">
        <v>44303</v>
      </c>
      <c r="N15392" t="s">
        <v>45095</v>
      </c>
      <c r="O15392" t="s">
        <v>45096</v>
      </c>
      <c r="Q15392">
        <v>109</v>
      </c>
      <c r="R15392" t="s">
        <v>45195</v>
      </c>
      <c r="S15392" t="s">
        <v>46844</v>
      </c>
      <c r="T15392" t="s">
        <v>46922</v>
      </c>
      <c r="U15392" t="s">
        <v>59787</v>
      </c>
      <c r="W15392" t="s">
        <v>44303</v>
      </c>
      <c r="X15392" t="s">
        <v>45202</v>
      </c>
    </row>
    <row r="15393" spans="1:24">
      <c r="A15393">
        <f>HYPERLINK("https://www.philgeps.gov.ph/GEPSNONPILOT/Tender/SplashBidNoticeAbstractUI.aspx?menuIndex=3&amp;refID=6860145&amp;Result=3","6860145")</f>
        <v>0</v>
      </c>
      <c r="B15393" t="s">
        <v>598</v>
      </c>
      <c r="C15393" t="s">
        <v>17956</v>
      </c>
      <c r="D15393" t="s">
        <v>18022</v>
      </c>
      <c r="E15393" t="s">
        <v>31516</v>
      </c>
      <c r="F15393" t="s">
        <v>31574</v>
      </c>
      <c r="G15393" t="s">
        <v>31581</v>
      </c>
      <c r="H15393" t="s">
        <v>31590</v>
      </c>
      <c r="I15393" t="s">
        <v>8258</v>
      </c>
      <c r="J15393" t="s">
        <v>41150</v>
      </c>
      <c r="K15393" t="s">
        <v>41213</v>
      </c>
      <c r="M15393" t="s">
        <v>45088</v>
      </c>
      <c r="N15393" t="s">
        <v>45095</v>
      </c>
      <c r="O15393" t="s">
        <v>45096</v>
      </c>
      <c r="Q15393">
        <v>2</v>
      </c>
      <c r="R15393" t="s">
        <v>45195</v>
      </c>
      <c r="S15393" t="s">
        <v>46845</v>
      </c>
      <c r="T15393" t="s">
        <v>47397</v>
      </c>
      <c r="U15393" t="s">
        <v>59788</v>
      </c>
      <c r="V15393" t="s">
        <v>59987</v>
      </c>
      <c r="W15393" t="s">
        <v>45088</v>
      </c>
      <c r="X15393" t="s">
        <v>45202</v>
      </c>
    </row>
    <row r="15394" spans="1:24">
      <c r="A15394">
        <f>HYPERLINK("https://www.philgeps.gov.ph/GEPSNONPILOT/Tender/SplashBidNoticeAbstractUI.aspx?menuIndex=3&amp;refID=6862423&amp;Result=3","6862423")</f>
        <v>0</v>
      </c>
      <c r="B15394" t="s">
        <v>2564</v>
      </c>
      <c r="C15394" t="s">
        <v>17957</v>
      </c>
      <c r="D15394" t="s">
        <v>18022</v>
      </c>
      <c r="E15394" t="s">
        <v>31517</v>
      </c>
      <c r="F15394" t="s">
        <v>31574</v>
      </c>
      <c r="G15394" t="s">
        <v>31582</v>
      </c>
      <c r="H15394" t="s">
        <v>31591</v>
      </c>
      <c r="I15394" t="s">
        <v>8822</v>
      </c>
      <c r="J15394" t="s">
        <v>41151</v>
      </c>
      <c r="K15394" t="s">
        <v>41235</v>
      </c>
      <c r="M15394" t="s">
        <v>44303</v>
      </c>
      <c r="N15394" t="s">
        <v>45095</v>
      </c>
      <c r="O15394" t="s">
        <v>45096</v>
      </c>
      <c r="Q15394">
        <v>61</v>
      </c>
      <c r="R15394" t="s">
        <v>45195</v>
      </c>
      <c r="S15394" t="s">
        <v>46846</v>
      </c>
      <c r="T15394" t="s">
        <v>46966</v>
      </c>
      <c r="U15394" t="s">
        <v>59789</v>
      </c>
      <c r="W15394" t="s">
        <v>44303</v>
      </c>
      <c r="X15394" t="s">
        <v>45202</v>
      </c>
    </row>
    <row r="15395" spans="1:24">
      <c r="A15395">
        <f>HYPERLINK("https://www.philgeps.gov.ph/GEPSNONPILOT/Tender/SplashBidNoticeAbstractUI.aspx?menuIndex=3&amp;refID=6860055&amp;Result=3","6860055")</f>
        <v>0</v>
      </c>
      <c r="B15395" t="s">
        <v>598</v>
      </c>
      <c r="C15395" t="s">
        <v>17958</v>
      </c>
      <c r="D15395" t="s">
        <v>18022</v>
      </c>
      <c r="E15395" t="s">
        <v>24654</v>
      </c>
      <c r="F15395" t="s">
        <v>31574</v>
      </c>
      <c r="G15395" t="s">
        <v>31581</v>
      </c>
      <c r="H15395" t="s">
        <v>31590</v>
      </c>
      <c r="I15395" t="s">
        <v>8258</v>
      </c>
      <c r="J15395" t="s">
        <v>41152</v>
      </c>
      <c r="K15395" t="s">
        <v>41213</v>
      </c>
      <c r="M15395" t="s">
        <v>45088</v>
      </c>
      <c r="N15395" t="s">
        <v>45095</v>
      </c>
      <c r="O15395" t="s">
        <v>45096</v>
      </c>
      <c r="Q15395">
        <v>0</v>
      </c>
      <c r="R15395" t="s">
        <v>45195</v>
      </c>
      <c r="S15395" t="s">
        <v>45345</v>
      </c>
      <c r="T15395" t="s">
        <v>47397</v>
      </c>
      <c r="U15395" t="s">
        <v>59790</v>
      </c>
      <c r="V15395" t="s">
        <v>59987</v>
      </c>
      <c r="W15395" t="s">
        <v>45088</v>
      </c>
      <c r="X15395" t="s">
        <v>45202</v>
      </c>
    </row>
    <row r="15396" spans="1:24">
      <c r="A15396">
        <f>HYPERLINK("https://www.philgeps.gov.ph/GEPSNONPILOT/Tender/SplashBidNoticeAbstractUI.aspx?menuIndex=3&amp;refID=6862248&amp;Result=3","6862248")</f>
        <v>0</v>
      </c>
      <c r="B15396" t="s">
        <v>2564</v>
      </c>
      <c r="C15396" t="s">
        <v>17959</v>
      </c>
      <c r="D15396" t="s">
        <v>18022</v>
      </c>
      <c r="E15396" t="s">
        <v>31518</v>
      </c>
      <c r="F15396" t="s">
        <v>31574</v>
      </c>
      <c r="G15396" t="s">
        <v>31582</v>
      </c>
      <c r="H15396" t="s">
        <v>31591</v>
      </c>
      <c r="I15396" t="s">
        <v>8822</v>
      </c>
      <c r="J15396" t="s">
        <v>41153</v>
      </c>
      <c r="K15396" t="s">
        <v>41200</v>
      </c>
      <c r="M15396" t="s">
        <v>44303</v>
      </c>
      <c r="N15396" t="s">
        <v>45095</v>
      </c>
      <c r="O15396" t="s">
        <v>45096</v>
      </c>
      <c r="Q15396">
        <v>109</v>
      </c>
      <c r="R15396" t="s">
        <v>45195</v>
      </c>
      <c r="S15396" t="s">
        <v>46847</v>
      </c>
      <c r="T15396" t="s">
        <v>46922</v>
      </c>
      <c r="U15396" t="s">
        <v>59791</v>
      </c>
      <c r="W15396" t="s">
        <v>44303</v>
      </c>
      <c r="X15396" t="s">
        <v>45202</v>
      </c>
    </row>
    <row r="15397" spans="1:24">
      <c r="A15397">
        <f>HYPERLINK("https://www.philgeps.gov.ph/GEPSNONPILOT/Tender/SplashBidNoticeAbstractUI.aspx?menuIndex=3&amp;refID=6860020&amp;Result=3","6860020")</f>
        <v>0</v>
      </c>
      <c r="B15397" t="s">
        <v>598</v>
      </c>
      <c r="C15397" t="s">
        <v>17960</v>
      </c>
      <c r="D15397" t="s">
        <v>18022</v>
      </c>
      <c r="E15397" t="s">
        <v>21656</v>
      </c>
      <c r="F15397" t="s">
        <v>31574</v>
      </c>
      <c r="G15397" t="s">
        <v>31581</v>
      </c>
      <c r="H15397" t="s">
        <v>31590</v>
      </c>
      <c r="I15397" t="s">
        <v>8258</v>
      </c>
      <c r="J15397" t="s">
        <v>32017</v>
      </c>
      <c r="K15397" t="s">
        <v>41213</v>
      </c>
      <c r="M15397" t="s">
        <v>45088</v>
      </c>
      <c r="N15397" t="s">
        <v>45095</v>
      </c>
      <c r="O15397" t="s">
        <v>45096</v>
      </c>
      <c r="Q15397">
        <v>3</v>
      </c>
      <c r="R15397" t="s">
        <v>45195</v>
      </c>
      <c r="S15397" t="s">
        <v>46848</v>
      </c>
      <c r="T15397" t="s">
        <v>47397</v>
      </c>
      <c r="U15397" t="s">
        <v>59792</v>
      </c>
      <c r="V15397" t="s">
        <v>59987</v>
      </c>
      <c r="W15397" t="s">
        <v>45088</v>
      </c>
      <c r="X15397" t="s">
        <v>45202</v>
      </c>
    </row>
    <row r="15398" spans="1:24">
      <c r="A15398">
        <f>HYPERLINK("https://www.philgeps.gov.ph/GEPSNONPILOT/Tender/SplashBidNoticeAbstractUI.aspx?menuIndex=3&amp;refID=6848432&amp;Result=3","6848432")</f>
        <v>0</v>
      </c>
      <c r="B15398" t="s">
        <v>598</v>
      </c>
      <c r="C15398" t="s">
        <v>17961</v>
      </c>
      <c r="D15398" t="s">
        <v>18022</v>
      </c>
      <c r="E15398" t="s">
        <v>31519</v>
      </c>
      <c r="F15398" t="s">
        <v>31574</v>
      </c>
      <c r="G15398" t="s">
        <v>31581</v>
      </c>
      <c r="H15398" t="s">
        <v>31590</v>
      </c>
      <c r="I15398" t="s">
        <v>3487</v>
      </c>
      <c r="J15398" t="s">
        <v>34074</v>
      </c>
      <c r="K15398" t="s">
        <v>41213</v>
      </c>
      <c r="M15398" t="s">
        <v>45088</v>
      </c>
      <c r="N15398" t="s">
        <v>45095</v>
      </c>
      <c r="O15398" t="s">
        <v>45096</v>
      </c>
      <c r="Q15398">
        <v>1</v>
      </c>
      <c r="R15398" t="s">
        <v>45196</v>
      </c>
      <c r="S15398" t="s">
        <v>46849</v>
      </c>
      <c r="T15398" t="s">
        <v>47187</v>
      </c>
      <c r="U15398" t="s">
        <v>59793</v>
      </c>
      <c r="V15398" t="s">
        <v>59987</v>
      </c>
      <c r="W15398" t="s">
        <v>45088</v>
      </c>
      <c r="X15398" t="s">
        <v>45197</v>
      </c>
    </row>
    <row r="15399" spans="1:24">
      <c r="A15399">
        <f>HYPERLINK("https://www.philgeps.gov.ph/GEPSNONPILOT/Tender/SplashBidNoticeAbstractUI.aspx?menuIndex=3&amp;refID=6843632&amp;Result=3","6843632")</f>
        <v>0</v>
      </c>
      <c r="B15399" t="s">
        <v>246</v>
      </c>
      <c r="C15399" t="s">
        <v>17962</v>
      </c>
      <c r="D15399" t="s">
        <v>18033</v>
      </c>
      <c r="E15399" t="s">
        <v>31520</v>
      </c>
      <c r="F15399" t="s">
        <v>31574</v>
      </c>
      <c r="G15399" t="s">
        <v>31581</v>
      </c>
      <c r="H15399" t="s">
        <v>31590</v>
      </c>
      <c r="I15399" t="s">
        <v>31599</v>
      </c>
      <c r="J15399" t="s">
        <v>41154</v>
      </c>
      <c r="K15399" t="s">
        <v>41186</v>
      </c>
      <c r="M15399" t="s">
        <v>41732</v>
      </c>
      <c r="N15399" t="s">
        <v>45095</v>
      </c>
      <c r="O15399" t="s">
        <v>45096</v>
      </c>
      <c r="Q15399">
        <v>2</v>
      </c>
      <c r="R15399" t="s">
        <v>45197</v>
      </c>
      <c r="S15399" t="s">
        <v>46850</v>
      </c>
      <c r="T15399" t="s">
        <v>47077</v>
      </c>
      <c r="U15399" t="s">
        <v>59794</v>
      </c>
      <c r="W15399" t="s">
        <v>41732</v>
      </c>
      <c r="X15399" t="s">
        <v>45201</v>
      </c>
    </row>
    <row r="15400" spans="1:24">
      <c r="A15400">
        <f>HYPERLINK("https://www.philgeps.gov.ph/GEPSNONPILOT/Tender/SplashBidNoticeAbstractUI.aspx?menuIndex=3&amp;refID=6850598&amp;Result=3","6850598")</f>
        <v>0</v>
      </c>
      <c r="B15400" t="s">
        <v>506</v>
      </c>
      <c r="C15400" t="s">
        <v>17963</v>
      </c>
      <c r="E15400" t="s">
        <v>31521</v>
      </c>
      <c r="F15400" t="s">
        <v>31574</v>
      </c>
      <c r="G15400" t="s">
        <v>31582</v>
      </c>
      <c r="H15400" t="s">
        <v>31591</v>
      </c>
      <c r="I15400" t="s">
        <v>8822</v>
      </c>
      <c r="J15400" t="s">
        <v>41155</v>
      </c>
      <c r="K15400" t="s">
        <v>41184</v>
      </c>
      <c r="M15400" t="s">
        <v>45090</v>
      </c>
      <c r="N15400" t="s">
        <v>45095</v>
      </c>
      <c r="O15400" t="s">
        <v>45096</v>
      </c>
      <c r="Q15400">
        <v>2</v>
      </c>
      <c r="R15400" t="s">
        <v>45198</v>
      </c>
      <c r="S15400" t="s">
        <v>46851</v>
      </c>
      <c r="T15400" t="s">
        <v>46926</v>
      </c>
      <c r="U15400" t="s">
        <v>59795</v>
      </c>
      <c r="V15400" t="s">
        <v>61642</v>
      </c>
      <c r="W15400" t="s">
        <v>45090</v>
      </c>
      <c r="X15400" t="s">
        <v>45196</v>
      </c>
    </row>
    <row r="15401" spans="1:24">
      <c r="A15401">
        <f>HYPERLINK("https://www.philgeps.gov.ph/GEPSNONPILOT/Tender/SplashBidNoticeAbstractUI.aspx?menuIndex=3&amp;refID=6848655&amp;Result=3","6848655")</f>
        <v>0</v>
      </c>
      <c r="B15401" t="s">
        <v>540</v>
      </c>
      <c r="C15401" t="s">
        <v>17964</v>
      </c>
      <c r="D15401" t="s">
        <v>18022</v>
      </c>
      <c r="E15401" t="s">
        <v>31522</v>
      </c>
      <c r="F15401" t="s">
        <v>31574</v>
      </c>
      <c r="G15401" t="s">
        <v>31582</v>
      </c>
      <c r="H15401" t="s">
        <v>31593</v>
      </c>
      <c r="I15401" t="s">
        <v>31593</v>
      </c>
      <c r="J15401" t="s">
        <v>41156</v>
      </c>
      <c r="K15401" t="s">
        <v>41499</v>
      </c>
      <c r="M15401" t="s">
        <v>45091</v>
      </c>
      <c r="N15401" t="s">
        <v>45095</v>
      </c>
      <c r="O15401" t="s">
        <v>45096</v>
      </c>
      <c r="Q15401">
        <v>10</v>
      </c>
      <c r="R15401" t="s">
        <v>45196</v>
      </c>
      <c r="S15401" t="s">
        <v>46852</v>
      </c>
      <c r="T15401" t="s">
        <v>47076</v>
      </c>
      <c r="U15401" t="s">
        <v>59796</v>
      </c>
      <c r="W15401" t="s">
        <v>45091</v>
      </c>
      <c r="X15401" t="s">
        <v>45197</v>
      </c>
    </row>
    <row r="15402" spans="1:24">
      <c r="A15402">
        <f>HYPERLINK("https://www.philgeps.gov.ph/GEPSNONPILOT/Tender/SplashBidNoticeAbstractUI.aspx?menuIndex=3&amp;refID=6853763&amp;Result=3","6853763")</f>
        <v>0</v>
      </c>
      <c r="B15402" t="s">
        <v>598</v>
      </c>
      <c r="C15402" t="s">
        <v>17965</v>
      </c>
      <c r="D15402" t="s">
        <v>18022</v>
      </c>
      <c r="E15402" t="s">
        <v>26440</v>
      </c>
      <c r="F15402" t="s">
        <v>31574</v>
      </c>
      <c r="G15402" t="s">
        <v>31581</v>
      </c>
      <c r="H15402" t="s">
        <v>31590</v>
      </c>
      <c r="I15402" t="s">
        <v>8258</v>
      </c>
      <c r="J15402" t="s">
        <v>32955</v>
      </c>
      <c r="K15402" t="s">
        <v>41213</v>
      </c>
      <c r="M15402" t="s">
        <v>42101</v>
      </c>
      <c r="N15402" t="s">
        <v>45095</v>
      </c>
      <c r="O15402" t="s">
        <v>45096</v>
      </c>
      <c r="Q15402">
        <v>1</v>
      </c>
      <c r="R15402" t="s">
        <v>45199</v>
      </c>
      <c r="S15402" t="s">
        <v>45555</v>
      </c>
      <c r="T15402" t="s">
        <v>47067</v>
      </c>
      <c r="U15402" t="s">
        <v>59797</v>
      </c>
      <c r="V15402" t="s">
        <v>59987</v>
      </c>
      <c r="W15402" t="s">
        <v>42101</v>
      </c>
      <c r="X15402" t="s">
        <v>45198</v>
      </c>
    </row>
    <row r="15403" spans="1:24">
      <c r="A15403">
        <f>HYPERLINK("https://www.philgeps.gov.ph/GEPSNONPILOT/Tender/SplashBidNoticeAbstractUI.aspx?menuIndex=3&amp;refID=6862235&amp;Result=3","6862235")</f>
        <v>0</v>
      </c>
      <c r="B15403" t="s">
        <v>2564</v>
      </c>
      <c r="C15403" t="s">
        <v>17966</v>
      </c>
      <c r="D15403" t="s">
        <v>18022</v>
      </c>
      <c r="E15403" t="s">
        <v>31523</v>
      </c>
      <c r="F15403" t="s">
        <v>31574</v>
      </c>
      <c r="G15403" t="s">
        <v>31582</v>
      </c>
      <c r="H15403" t="s">
        <v>31591</v>
      </c>
      <c r="I15403" t="s">
        <v>8822</v>
      </c>
      <c r="J15403" t="s">
        <v>41157</v>
      </c>
      <c r="K15403" t="s">
        <v>41192</v>
      </c>
      <c r="M15403" t="s">
        <v>44303</v>
      </c>
      <c r="N15403" t="s">
        <v>45095</v>
      </c>
      <c r="O15403" t="s">
        <v>45096</v>
      </c>
      <c r="Q15403">
        <v>81</v>
      </c>
      <c r="R15403" t="s">
        <v>45195</v>
      </c>
      <c r="S15403" t="s">
        <v>46853</v>
      </c>
      <c r="T15403" t="s">
        <v>46922</v>
      </c>
      <c r="U15403" t="s">
        <v>59798</v>
      </c>
      <c r="W15403" t="s">
        <v>44303</v>
      </c>
      <c r="X15403" t="s">
        <v>45202</v>
      </c>
    </row>
    <row r="15404" spans="1:24">
      <c r="A15404">
        <f>HYPERLINK("https://www.philgeps.gov.ph/GEPSNONPILOT/Tender/SplashBidNoticeAbstractUI.aspx?menuIndex=3&amp;refID=6844693&amp;Result=3","6844693")</f>
        <v>0</v>
      </c>
      <c r="B15404" t="s">
        <v>2564</v>
      </c>
      <c r="C15404" t="s">
        <v>17967</v>
      </c>
      <c r="D15404" t="s">
        <v>18022</v>
      </c>
      <c r="E15404" t="s">
        <v>31524</v>
      </c>
      <c r="F15404" t="s">
        <v>31574</v>
      </c>
      <c r="G15404" t="s">
        <v>31582</v>
      </c>
      <c r="H15404" t="s">
        <v>31591</v>
      </c>
      <c r="I15404" t="s">
        <v>8822</v>
      </c>
      <c r="J15404" t="s">
        <v>41158</v>
      </c>
      <c r="K15404" t="s">
        <v>41267</v>
      </c>
      <c r="M15404" t="s">
        <v>44303</v>
      </c>
      <c r="N15404" t="s">
        <v>45095</v>
      </c>
      <c r="O15404" t="s">
        <v>45096</v>
      </c>
      <c r="Q15404">
        <v>63</v>
      </c>
      <c r="R15404" t="s">
        <v>45197</v>
      </c>
      <c r="S15404" t="s">
        <v>46854</v>
      </c>
      <c r="T15404" t="s">
        <v>46966</v>
      </c>
      <c r="U15404" t="s">
        <v>59799</v>
      </c>
      <c r="W15404" t="s">
        <v>44303</v>
      </c>
      <c r="X15404" t="s">
        <v>45201</v>
      </c>
    </row>
    <row r="15405" spans="1:24">
      <c r="A15405">
        <f>HYPERLINK("https://www.philgeps.gov.ph/GEPSNONPILOT/Tender/SplashBidNoticeAbstractUI.aspx?menuIndex=3&amp;refID=6845827&amp;Result=3","6845827")</f>
        <v>0</v>
      </c>
      <c r="B15405" t="s">
        <v>2196</v>
      </c>
      <c r="C15405" t="s">
        <v>17968</v>
      </c>
      <c r="D15405" t="s">
        <v>18086</v>
      </c>
      <c r="E15405" t="s">
        <v>31525</v>
      </c>
      <c r="F15405" t="s">
        <v>31574</v>
      </c>
      <c r="G15405" t="s">
        <v>31582</v>
      </c>
      <c r="H15405" t="s">
        <v>31591</v>
      </c>
      <c r="I15405" t="s">
        <v>8822</v>
      </c>
      <c r="J15405" t="s">
        <v>41159</v>
      </c>
      <c r="K15405" t="s">
        <v>41400</v>
      </c>
      <c r="M15405" t="s">
        <v>45012</v>
      </c>
      <c r="N15405" t="s">
        <v>45095</v>
      </c>
      <c r="O15405" t="s">
        <v>45096</v>
      </c>
      <c r="Q15405">
        <v>6</v>
      </c>
      <c r="R15405" t="s">
        <v>45198</v>
      </c>
      <c r="S15405" t="s">
        <v>46855</v>
      </c>
      <c r="T15405" t="s">
        <v>47465</v>
      </c>
      <c r="U15405" t="s">
        <v>59800</v>
      </c>
      <c r="V15405" t="s">
        <v>61643</v>
      </c>
      <c r="W15405" t="s">
        <v>45012</v>
      </c>
      <c r="X15405" t="s">
        <v>45197</v>
      </c>
    </row>
    <row r="15406" spans="1:24">
      <c r="A15406">
        <f>HYPERLINK("https://www.philgeps.gov.ph/GEPSNONPILOT/Tender/SplashBidNoticeAbstractUI.aspx?menuIndex=3&amp;refID=6855622&amp;Result=3","6855622")</f>
        <v>0</v>
      </c>
      <c r="B15406" t="s">
        <v>2026</v>
      </c>
      <c r="C15406" t="s">
        <v>17969</v>
      </c>
      <c r="D15406" t="s">
        <v>18026</v>
      </c>
      <c r="E15406" t="s">
        <v>26214</v>
      </c>
      <c r="F15406" t="s">
        <v>31574</v>
      </c>
      <c r="G15406" t="s">
        <v>31582</v>
      </c>
      <c r="H15406" t="s">
        <v>31591</v>
      </c>
      <c r="I15406" t="s">
        <v>8822</v>
      </c>
      <c r="J15406" t="s">
        <v>32942</v>
      </c>
      <c r="K15406" t="s">
        <v>41401</v>
      </c>
      <c r="M15406" t="s">
        <v>43690</v>
      </c>
      <c r="N15406" t="s">
        <v>45095</v>
      </c>
      <c r="O15406" t="s">
        <v>45096</v>
      </c>
      <c r="Q15406">
        <v>16</v>
      </c>
      <c r="R15406" t="s">
        <v>45199</v>
      </c>
      <c r="S15406" t="s">
        <v>46856</v>
      </c>
      <c r="T15406" t="s">
        <v>47024</v>
      </c>
      <c r="U15406" t="s">
        <v>59801</v>
      </c>
      <c r="W15406" t="s">
        <v>43690</v>
      </c>
      <c r="X15406" t="s">
        <v>45198</v>
      </c>
    </row>
    <row r="15407" spans="1:24">
      <c r="A15407">
        <f>HYPERLINK("https://www.philgeps.gov.ph/GEPSNONPILOT/Tender/SplashBidNoticeAbstractUI.aspx?menuIndex=3&amp;refID=6860170&amp;Result=3","6860170")</f>
        <v>0</v>
      </c>
      <c r="B15407" t="s">
        <v>598</v>
      </c>
      <c r="C15407" t="s">
        <v>17970</v>
      </c>
      <c r="D15407" t="s">
        <v>18022</v>
      </c>
      <c r="E15407" t="s">
        <v>31526</v>
      </c>
      <c r="F15407" t="s">
        <v>31574</v>
      </c>
      <c r="G15407" t="s">
        <v>31581</v>
      </c>
      <c r="H15407" t="s">
        <v>31590</v>
      </c>
      <c r="I15407" t="s">
        <v>8258</v>
      </c>
      <c r="J15407" t="s">
        <v>33977</v>
      </c>
      <c r="K15407" t="s">
        <v>41213</v>
      </c>
      <c r="M15407" t="s">
        <v>45088</v>
      </c>
      <c r="N15407" t="s">
        <v>45095</v>
      </c>
      <c r="O15407" t="s">
        <v>45096</v>
      </c>
      <c r="Q15407">
        <v>2</v>
      </c>
      <c r="R15407" t="s">
        <v>45195</v>
      </c>
      <c r="S15407" t="s">
        <v>46857</v>
      </c>
      <c r="T15407" t="s">
        <v>47397</v>
      </c>
      <c r="U15407" t="s">
        <v>59802</v>
      </c>
      <c r="V15407" t="s">
        <v>59987</v>
      </c>
      <c r="W15407" t="s">
        <v>45088</v>
      </c>
      <c r="X15407" t="s">
        <v>45202</v>
      </c>
    </row>
    <row r="15408" spans="1:24">
      <c r="A15408">
        <f>HYPERLINK("https://www.philgeps.gov.ph/GEPSNONPILOT/Tender/SplashBidNoticeAbstractUI.aspx?menuIndex=3&amp;refID=6862335&amp;Result=3","6862335")</f>
        <v>0</v>
      </c>
      <c r="B15408" t="s">
        <v>2564</v>
      </c>
      <c r="C15408" t="s">
        <v>17971</v>
      </c>
      <c r="D15408" t="s">
        <v>18022</v>
      </c>
      <c r="E15408" t="s">
        <v>31527</v>
      </c>
      <c r="F15408" t="s">
        <v>31574</v>
      </c>
      <c r="G15408" t="s">
        <v>31582</v>
      </c>
      <c r="H15408" t="s">
        <v>31591</v>
      </c>
      <c r="I15408" t="s">
        <v>8822</v>
      </c>
      <c r="J15408" t="s">
        <v>41160</v>
      </c>
      <c r="K15408" t="s">
        <v>41198</v>
      </c>
      <c r="M15408" t="s">
        <v>44303</v>
      </c>
      <c r="N15408" t="s">
        <v>45095</v>
      </c>
      <c r="O15408" t="s">
        <v>45096</v>
      </c>
      <c r="Q15408">
        <v>113</v>
      </c>
      <c r="R15408" t="s">
        <v>45195</v>
      </c>
      <c r="S15408" t="s">
        <v>46858</v>
      </c>
      <c r="T15408" t="s">
        <v>46922</v>
      </c>
      <c r="U15408" t="s">
        <v>59803</v>
      </c>
      <c r="W15408" t="s">
        <v>44303</v>
      </c>
      <c r="X15408" t="s">
        <v>45202</v>
      </c>
    </row>
    <row r="15409" spans="1:24">
      <c r="A15409">
        <f>HYPERLINK("https://www.philgeps.gov.ph/GEPSNONPILOT/Tender/SplashBidNoticeAbstractUI.aspx?menuIndex=3&amp;refID=6832411&amp;Result=3","6832411")</f>
        <v>0</v>
      </c>
      <c r="B15409" t="s">
        <v>62</v>
      </c>
      <c r="C15409" t="s">
        <v>17972</v>
      </c>
      <c r="D15409" t="s">
        <v>18108</v>
      </c>
      <c r="E15409" t="s">
        <v>31528</v>
      </c>
      <c r="F15409" t="s">
        <v>31574</v>
      </c>
      <c r="G15409" t="s">
        <v>31588</v>
      </c>
      <c r="H15409" t="s">
        <v>31591</v>
      </c>
      <c r="I15409" t="s">
        <v>8822</v>
      </c>
      <c r="J15409" t="s">
        <v>31771</v>
      </c>
      <c r="K15409" t="s">
        <v>41184</v>
      </c>
      <c r="L15409" t="s">
        <v>62</v>
      </c>
      <c r="M15409" t="s">
        <v>43390</v>
      </c>
      <c r="N15409" t="s">
        <v>45095</v>
      </c>
      <c r="O15409" t="s">
        <v>45096</v>
      </c>
      <c r="Q15409">
        <v>5</v>
      </c>
      <c r="R15409" t="s">
        <v>45200</v>
      </c>
      <c r="S15409" t="s">
        <v>46859</v>
      </c>
      <c r="T15409" t="s">
        <v>47183</v>
      </c>
      <c r="U15409" t="s">
        <v>59804</v>
      </c>
      <c r="W15409" t="s">
        <v>43390</v>
      </c>
      <c r="X15409" t="s">
        <v>61791</v>
      </c>
    </row>
    <row r="15410" spans="1:24">
      <c r="A15410">
        <f>HYPERLINK("https://www.philgeps.gov.ph/GEPSNONPILOT/Tender/SplashBidNoticeAbstractUI.aspx?menuIndex=3&amp;refID=6862314&amp;Result=3","6862314")</f>
        <v>0</v>
      </c>
      <c r="B15410" t="s">
        <v>2564</v>
      </c>
      <c r="C15410" t="s">
        <v>17973</v>
      </c>
      <c r="D15410" t="s">
        <v>18022</v>
      </c>
      <c r="E15410" t="s">
        <v>31529</v>
      </c>
      <c r="F15410" t="s">
        <v>31574</v>
      </c>
      <c r="G15410" t="s">
        <v>31582</v>
      </c>
      <c r="H15410" t="s">
        <v>31591</v>
      </c>
      <c r="I15410" t="s">
        <v>8822</v>
      </c>
      <c r="J15410" t="s">
        <v>41161</v>
      </c>
      <c r="K15410" t="s">
        <v>41256</v>
      </c>
      <c r="M15410" t="s">
        <v>44303</v>
      </c>
      <c r="N15410" t="s">
        <v>45095</v>
      </c>
      <c r="O15410" t="s">
        <v>45096</v>
      </c>
      <c r="Q15410">
        <v>113</v>
      </c>
      <c r="R15410" t="s">
        <v>45195</v>
      </c>
      <c r="S15410" t="s">
        <v>46860</v>
      </c>
      <c r="T15410" t="s">
        <v>46922</v>
      </c>
      <c r="U15410" t="s">
        <v>59805</v>
      </c>
      <c r="W15410" t="s">
        <v>44303</v>
      </c>
      <c r="X15410" t="s">
        <v>45202</v>
      </c>
    </row>
    <row r="15411" spans="1:24">
      <c r="A15411">
        <f>HYPERLINK("https://www.philgeps.gov.ph/GEPSNONPILOT/Tender/SplashBidNoticeAbstractUI.aspx?menuIndex=3&amp;refID=6841021&amp;Result=3","6841021")</f>
        <v>0</v>
      </c>
      <c r="B15411" t="s">
        <v>2564</v>
      </c>
      <c r="C15411" t="s">
        <v>17974</v>
      </c>
      <c r="D15411" t="s">
        <v>18022</v>
      </c>
      <c r="E15411" t="s">
        <v>31530</v>
      </c>
      <c r="F15411" t="s">
        <v>31574</v>
      </c>
      <c r="G15411" t="s">
        <v>31582</v>
      </c>
      <c r="H15411" t="s">
        <v>31591</v>
      </c>
      <c r="I15411" t="s">
        <v>8822</v>
      </c>
      <c r="J15411" t="s">
        <v>41162</v>
      </c>
      <c r="K15411" t="s">
        <v>41198</v>
      </c>
      <c r="M15411" t="s">
        <v>44303</v>
      </c>
      <c r="N15411" t="s">
        <v>45095</v>
      </c>
      <c r="O15411" t="s">
        <v>45096</v>
      </c>
      <c r="Q15411">
        <v>93</v>
      </c>
      <c r="R15411" t="s">
        <v>45201</v>
      </c>
      <c r="S15411" t="s">
        <v>46861</v>
      </c>
      <c r="T15411" t="s">
        <v>46922</v>
      </c>
      <c r="U15411" t="s">
        <v>59806</v>
      </c>
      <c r="W15411" t="s">
        <v>44303</v>
      </c>
      <c r="X15411" t="s">
        <v>61792</v>
      </c>
    </row>
    <row r="15412" spans="1:24">
      <c r="A15412">
        <f>HYPERLINK("https://www.philgeps.gov.ph/GEPSNONPILOT/Tender/SplashBidNoticeAbstractUI.aspx?menuIndex=3&amp;refID=6840310&amp;Result=3","6840310")</f>
        <v>0</v>
      </c>
      <c r="B15412" t="s">
        <v>3083</v>
      </c>
      <c r="C15412" t="s">
        <v>17975</v>
      </c>
      <c r="D15412" t="s">
        <v>18035</v>
      </c>
      <c r="E15412" t="s">
        <v>31531</v>
      </c>
      <c r="F15412" t="s">
        <v>31574</v>
      </c>
      <c r="G15412" t="s">
        <v>31582</v>
      </c>
      <c r="H15412" t="s">
        <v>31591</v>
      </c>
      <c r="I15412" t="s">
        <v>8822</v>
      </c>
      <c r="J15412" t="s">
        <v>41163</v>
      </c>
      <c r="K15412" t="s">
        <v>41432</v>
      </c>
      <c r="M15412" t="s">
        <v>44927</v>
      </c>
      <c r="N15412" t="s">
        <v>45095</v>
      </c>
      <c r="O15412" t="s">
        <v>45096</v>
      </c>
      <c r="Q15412">
        <v>37</v>
      </c>
      <c r="R15412" t="s">
        <v>45201</v>
      </c>
      <c r="S15412" t="s">
        <v>46862</v>
      </c>
      <c r="T15412" t="s">
        <v>47466</v>
      </c>
      <c r="U15412" t="s">
        <v>59807</v>
      </c>
      <c r="V15412" t="s">
        <v>61644</v>
      </c>
      <c r="W15412" t="s">
        <v>44927</v>
      </c>
      <c r="X15412" t="s">
        <v>61792</v>
      </c>
    </row>
    <row r="15413" spans="1:24">
      <c r="A15413">
        <f>HYPERLINK("https://www.philgeps.gov.ph/GEPSNONPILOT/Tender/SplashBidNoticeAbstractUI.aspx?menuIndex=3&amp;refID=6841147&amp;Result=3","6841147")</f>
        <v>0</v>
      </c>
      <c r="B15413" t="s">
        <v>2564</v>
      </c>
      <c r="C15413" t="s">
        <v>17976</v>
      </c>
      <c r="D15413" t="s">
        <v>18022</v>
      </c>
      <c r="E15413" t="s">
        <v>31532</v>
      </c>
      <c r="F15413" t="s">
        <v>31574</v>
      </c>
      <c r="G15413" t="s">
        <v>31582</v>
      </c>
      <c r="H15413" t="s">
        <v>31591</v>
      </c>
      <c r="I15413" t="s">
        <v>8822</v>
      </c>
      <c r="J15413" t="s">
        <v>41164</v>
      </c>
      <c r="K15413" t="s">
        <v>41256</v>
      </c>
      <c r="M15413" t="s">
        <v>44303</v>
      </c>
      <c r="N15413" t="s">
        <v>45095</v>
      </c>
      <c r="O15413" t="s">
        <v>45096</v>
      </c>
      <c r="Q15413">
        <v>110</v>
      </c>
      <c r="R15413" t="s">
        <v>45201</v>
      </c>
      <c r="S15413" t="s">
        <v>46863</v>
      </c>
      <c r="T15413" t="s">
        <v>46922</v>
      </c>
      <c r="U15413" t="s">
        <v>59808</v>
      </c>
      <c r="W15413" t="s">
        <v>44303</v>
      </c>
      <c r="X15413" t="s">
        <v>61792</v>
      </c>
    </row>
    <row r="15414" spans="1:24">
      <c r="A15414">
        <f>HYPERLINK("https://www.philgeps.gov.ph/GEPSNONPILOT/Tender/SplashBidNoticeAbstractUI.aspx?menuIndex=3&amp;refID=6863357&amp;Result=3","6863357")</f>
        <v>0</v>
      </c>
      <c r="B15414" t="s">
        <v>2338</v>
      </c>
      <c r="C15414" t="s">
        <v>17977</v>
      </c>
      <c r="D15414" t="s">
        <v>18022</v>
      </c>
      <c r="E15414" t="s">
        <v>31533</v>
      </c>
      <c r="F15414" t="s">
        <v>31574</v>
      </c>
      <c r="G15414" t="s">
        <v>31582</v>
      </c>
      <c r="H15414" t="s">
        <v>31591</v>
      </c>
      <c r="I15414" t="s">
        <v>8822</v>
      </c>
      <c r="J15414" t="s">
        <v>41165</v>
      </c>
      <c r="K15414" t="s">
        <v>41256</v>
      </c>
      <c r="M15414" t="s">
        <v>44050</v>
      </c>
      <c r="N15414" t="s">
        <v>45095</v>
      </c>
      <c r="O15414" t="s">
        <v>45096</v>
      </c>
      <c r="Q15414">
        <v>82</v>
      </c>
      <c r="R15414" t="s">
        <v>45195</v>
      </c>
      <c r="S15414" t="s">
        <v>46864</v>
      </c>
      <c r="T15414" t="s">
        <v>46914</v>
      </c>
      <c r="U15414" t="s">
        <v>59809</v>
      </c>
      <c r="W15414" t="s">
        <v>44050</v>
      </c>
      <c r="X15414" t="s">
        <v>45202</v>
      </c>
    </row>
    <row r="15415" spans="1:24">
      <c r="A15415">
        <f>HYPERLINK("https://www.philgeps.gov.ph/GEPSNONPILOT/Tender/SplashBidNoticeAbstractUI.aspx?menuIndex=3&amp;refID=6840887&amp;Result=3","6840887")</f>
        <v>0</v>
      </c>
      <c r="B15415" t="s">
        <v>2611</v>
      </c>
      <c r="C15415" t="s">
        <v>17978</v>
      </c>
      <c r="D15415" t="s">
        <v>18065</v>
      </c>
      <c r="E15415" t="s">
        <v>31534</v>
      </c>
      <c r="F15415" t="s">
        <v>31574</v>
      </c>
      <c r="G15415" t="s">
        <v>31582</v>
      </c>
      <c r="H15415" t="s">
        <v>31591</v>
      </c>
      <c r="I15415" t="s">
        <v>8822</v>
      </c>
      <c r="J15415" t="s">
        <v>37939</v>
      </c>
      <c r="K15415" t="s">
        <v>41401</v>
      </c>
      <c r="M15415" t="s">
        <v>44357</v>
      </c>
      <c r="N15415" t="s">
        <v>45095</v>
      </c>
      <c r="O15415" t="s">
        <v>45096</v>
      </c>
      <c r="Q15415">
        <v>11</v>
      </c>
      <c r="R15415" t="s">
        <v>45201</v>
      </c>
      <c r="S15415" t="s">
        <v>46865</v>
      </c>
      <c r="T15415" t="s">
        <v>47176</v>
      </c>
      <c r="U15415" t="s">
        <v>59810</v>
      </c>
      <c r="V15415" t="s">
        <v>61007</v>
      </c>
      <c r="W15415" t="s">
        <v>61747</v>
      </c>
      <c r="X15415" t="s">
        <v>61792</v>
      </c>
    </row>
    <row r="15416" spans="1:24">
      <c r="A15416">
        <f>HYPERLINK("https://www.philgeps.gov.ph/GEPSNONPILOT/Tender/SplashBidNoticeAbstractUI.aspx?menuIndex=3&amp;refID=6862443&amp;Result=3","6862443")</f>
        <v>0</v>
      </c>
      <c r="B15416" t="s">
        <v>2564</v>
      </c>
      <c r="C15416" t="s">
        <v>17979</v>
      </c>
      <c r="D15416" t="s">
        <v>18022</v>
      </c>
      <c r="E15416" t="s">
        <v>31535</v>
      </c>
      <c r="F15416" t="s">
        <v>31574</v>
      </c>
      <c r="G15416" t="s">
        <v>31582</v>
      </c>
      <c r="H15416" t="s">
        <v>31591</v>
      </c>
      <c r="I15416" t="s">
        <v>8822</v>
      </c>
      <c r="J15416" t="s">
        <v>41166</v>
      </c>
      <c r="K15416" t="s">
        <v>41256</v>
      </c>
      <c r="M15416" t="s">
        <v>44303</v>
      </c>
      <c r="N15416" t="s">
        <v>45095</v>
      </c>
      <c r="O15416" t="s">
        <v>45096</v>
      </c>
      <c r="Q15416">
        <v>59</v>
      </c>
      <c r="R15416" t="s">
        <v>45195</v>
      </c>
      <c r="S15416" t="s">
        <v>46866</v>
      </c>
      <c r="T15416" t="s">
        <v>46966</v>
      </c>
      <c r="U15416" t="s">
        <v>59811</v>
      </c>
      <c r="W15416" t="s">
        <v>44303</v>
      </c>
      <c r="X15416" t="s">
        <v>45202</v>
      </c>
    </row>
    <row r="15417" spans="1:24">
      <c r="A15417">
        <f>HYPERLINK("https://www.philgeps.gov.ph/GEPSNONPILOT/Tender/SplashBidNoticeAbstractUI.aspx?menuIndex=3&amp;refID=6830400&amp;Result=3","6830400")</f>
        <v>0</v>
      </c>
      <c r="B15417" t="s">
        <v>598</v>
      </c>
      <c r="C15417" t="s">
        <v>17980</v>
      </c>
      <c r="D15417" t="s">
        <v>18022</v>
      </c>
      <c r="E15417" t="s">
        <v>19531</v>
      </c>
      <c r="F15417" t="s">
        <v>31574</v>
      </c>
      <c r="G15417" t="s">
        <v>31581</v>
      </c>
      <c r="H15417" t="s">
        <v>31590</v>
      </c>
      <c r="I15417" t="s">
        <v>8258</v>
      </c>
      <c r="J15417" t="s">
        <v>36434</v>
      </c>
      <c r="K15417" t="s">
        <v>41213</v>
      </c>
      <c r="M15417" t="s">
        <v>42101</v>
      </c>
      <c r="N15417" t="s">
        <v>45095</v>
      </c>
      <c r="O15417" t="s">
        <v>45096</v>
      </c>
      <c r="Q15417">
        <v>3</v>
      </c>
      <c r="R15417" t="s">
        <v>45200</v>
      </c>
      <c r="S15417" t="s">
        <v>46867</v>
      </c>
      <c r="T15417" t="s">
        <v>47067</v>
      </c>
      <c r="U15417" t="s">
        <v>59812</v>
      </c>
      <c r="V15417" t="s">
        <v>59987</v>
      </c>
      <c r="W15417" t="s">
        <v>42101</v>
      </c>
      <c r="X15417" t="s">
        <v>45207</v>
      </c>
    </row>
    <row r="15418" spans="1:24">
      <c r="A15418">
        <f>HYPERLINK("https://www.philgeps.gov.ph/GEPSNONPILOT/Tender/SplashBidNoticeAbstractUI.aspx?menuIndex=3&amp;refID=6859485&amp;Result=3","6859485")</f>
        <v>0</v>
      </c>
      <c r="B15418" t="s">
        <v>2334</v>
      </c>
      <c r="C15418" t="s">
        <v>17981</v>
      </c>
      <c r="D15418" t="s">
        <v>18026</v>
      </c>
      <c r="E15418" t="s">
        <v>31536</v>
      </c>
      <c r="F15418" t="s">
        <v>31574</v>
      </c>
      <c r="G15418" t="s">
        <v>31582</v>
      </c>
      <c r="H15418" t="s">
        <v>31591</v>
      </c>
      <c r="I15418" t="s">
        <v>8822</v>
      </c>
      <c r="J15418" t="s">
        <v>41167</v>
      </c>
      <c r="K15418" t="s">
        <v>41500</v>
      </c>
      <c r="M15418" t="s">
        <v>44044</v>
      </c>
      <c r="N15418" t="s">
        <v>45095</v>
      </c>
      <c r="O15418" t="s">
        <v>45096</v>
      </c>
      <c r="Q15418">
        <v>5</v>
      </c>
      <c r="R15418" t="s">
        <v>45202</v>
      </c>
      <c r="S15418" t="s">
        <v>46868</v>
      </c>
      <c r="T15418" t="s">
        <v>47171</v>
      </c>
      <c r="U15418" t="s">
        <v>59813</v>
      </c>
      <c r="W15418" t="s">
        <v>44044</v>
      </c>
      <c r="X15418" t="s">
        <v>45199</v>
      </c>
    </row>
    <row r="15419" spans="1:24">
      <c r="A15419">
        <f>HYPERLINK("https://www.philgeps.gov.ph/GEPSNONPILOT/Tender/SplashBidNoticeAbstractUI.aspx?menuIndex=3&amp;refID=6831612&amp;Result=3","6831612")</f>
        <v>0</v>
      </c>
      <c r="B15419" t="s">
        <v>2286</v>
      </c>
      <c r="C15419" t="s">
        <v>17982</v>
      </c>
      <c r="D15419" t="s">
        <v>18079</v>
      </c>
      <c r="E15419" t="s">
        <v>31537</v>
      </c>
      <c r="F15419" t="s">
        <v>31574</v>
      </c>
      <c r="G15419" t="s">
        <v>31582</v>
      </c>
      <c r="H15419" t="s">
        <v>31591</v>
      </c>
      <c r="I15419" t="s">
        <v>8822</v>
      </c>
      <c r="J15419" t="s">
        <v>34596</v>
      </c>
      <c r="K15419" t="s">
        <v>41243</v>
      </c>
      <c r="M15419" t="s">
        <v>43993</v>
      </c>
      <c r="N15419" t="s">
        <v>45095</v>
      </c>
      <c r="O15419" t="s">
        <v>45096</v>
      </c>
      <c r="Q15419">
        <v>5</v>
      </c>
      <c r="R15419" t="s">
        <v>45203</v>
      </c>
      <c r="S15419" t="s">
        <v>46869</v>
      </c>
      <c r="T15419" t="s">
        <v>47050</v>
      </c>
      <c r="U15419" t="s">
        <v>59814</v>
      </c>
      <c r="W15419" t="s">
        <v>43993</v>
      </c>
      <c r="X15419" t="s">
        <v>45207</v>
      </c>
    </row>
    <row r="15420" spans="1:24">
      <c r="A15420">
        <f>HYPERLINK("https://www.philgeps.gov.ph/GEPSNONPILOT/Tender/SplashBidNoticeAbstractUI.aspx?menuIndex=3&amp;refID=6830220&amp;Result=3","6830220")</f>
        <v>0</v>
      </c>
      <c r="B15420" t="s">
        <v>2611</v>
      </c>
      <c r="C15420" t="s">
        <v>17983</v>
      </c>
      <c r="D15420" t="s">
        <v>18065</v>
      </c>
      <c r="E15420" t="s">
        <v>31538</v>
      </c>
      <c r="F15420" t="s">
        <v>31574</v>
      </c>
      <c r="G15420" t="s">
        <v>31582</v>
      </c>
      <c r="H15420" t="s">
        <v>31591</v>
      </c>
      <c r="I15420" t="s">
        <v>8822</v>
      </c>
      <c r="J15420" t="s">
        <v>41168</v>
      </c>
      <c r="K15420" t="s">
        <v>41501</v>
      </c>
      <c r="M15420" t="s">
        <v>44357</v>
      </c>
      <c r="N15420" t="s">
        <v>45095</v>
      </c>
      <c r="O15420" t="s">
        <v>45096</v>
      </c>
      <c r="Q15420">
        <v>14</v>
      </c>
      <c r="R15420" t="s">
        <v>45200</v>
      </c>
      <c r="S15420" t="s">
        <v>46870</v>
      </c>
      <c r="T15420" t="s">
        <v>47176</v>
      </c>
      <c r="U15420" t="s">
        <v>59815</v>
      </c>
      <c r="V15420" t="s">
        <v>61007</v>
      </c>
      <c r="W15420" t="s">
        <v>61747</v>
      </c>
      <c r="X15420" t="s">
        <v>45207</v>
      </c>
    </row>
    <row r="15421" spans="1:24">
      <c r="A15421">
        <f>HYPERLINK("https://www.philgeps.gov.ph/GEPSNONPILOT/Tender/SplashBidNoticeAbstractUI.aspx?menuIndex=3&amp;refID=6853690&amp;Result=3","6853690")</f>
        <v>0</v>
      </c>
      <c r="B15421" t="s">
        <v>598</v>
      </c>
      <c r="C15421" t="s">
        <v>17984</v>
      </c>
      <c r="D15421" t="s">
        <v>18022</v>
      </c>
      <c r="E15421" t="s">
        <v>31539</v>
      </c>
      <c r="F15421" t="s">
        <v>31574</v>
      </c>
      <c r="G15421" t="s">
        <v>31581</v>
      </c>
      <c r="H15421" t="s">
        <v>31590</v>
      </c>
      <c r="I15421" t="s">
        <v>8258</v>
      </c>
      <c r="J15421" t="s">
        <v>36428</v>
      </c>
      <c r="K15421" t="s">
        <v>41213</v>
      </c>
      <c r="M15421" t="s">
        <v>42101</v>
      </c>
      <c r="N15421" t="s">
        <v>45095</v>
      </c>
      <c r="O15421" t="s">
        <v>45096</v>
      </c>
      <c r="Q15421">
        <v>0</v>
      </c>
      <c r="R15421" t="s">
        <v>45199</v>
      </c>
      <c r="S15421" t="s">
        <v>46871</v>
      </c>
      <c r="T15421" t="s">
        <v>47067</v>
      </c>
      <c r="U15421" t="s">
        <v>59816</v>
      </c>
      <c r="V15421" t="s">
        <v>59987</v>
      </c>
      <c r="W15421" t="s">
        <v>42101</v>
      </c>
      <c r="X15421" t="s">
        <v>45198</v>
      </c>
    </row>
    <row r="15422" spans="1:24">
      <c r="A15422">
        <f>HYPERLINK("https://www.philgeps.gov.ph/GEPSNONPILOT/Tender/SplashBidNoticeAbstractUI.aspx?menuIndex=3&amp;refID=6820177&amp;Result=3","6820177")</f>
        <v>0</v>
      </c>
      <c r="B15422" t="s">
        <v>506</v>
      </c>
      <c r="C15422" t="s">
        <v>17985</v>
      </c>
      <c r="E15422" t="s">
        <v>31540</v>
      </c>
      <c r="F15422" t="s">
        <v>31574</v>
      </c>
      <c r="G15422" t="s">
        <v>31582</v>
      </c>
      <c r="H15422" t="s">
        <v>31591</v>
      </c>
      <c r="I15422" t="s">
        <v>8822</v>
      </c>
      <c r="J15422" t="s">
        <v>41169</v>
      </c>
      <c r="K15422" t="s">
        <v>41184</v>
      </c>
      <c r="M15422" t="s">
        <v>45090</v>
      </c>
      <c r="N15422" t="s">
        <v>45095</v>
      </c>
      <c r="O15422" t="s">
        <v>45096</v>
      </c>
      <c r="Q15422">
        <v>4</v>
      </c>
      <c r="R15422" t="s">
        <v>45204</v>
      </c>
      <c r="S15422" t="s">
        <v>46872</v>
      </c>
      <c r="T15422" t="s">
        <v>46926</v>
      </c>
      <c r="U15422" t="s">
        <v>59817</v>
      </c>
      <c r="V15422" t="s">
        <v>61645</v>
      </c>
      <c r="W15422" t="s">
        <v>45090</v>
      </c>
      <c r="X15422" t="s">
        <v>61793</v>
      </c>
    </row>
    <row r="15423" spans="1:24">
      <c r="A15423">
        <f>HYPERLINK("https://www.philgeps.gov.ph/GEPSNONPILOT/Tender/SplashBidNoticeAbstractUI.aspx?menuIndex=3&amp;refID=6822942&amp;Result=3","6822942")</f>
        <v>0</v>
      </c>
      <c r="B15423" t="s">
        <v>1871</v>
      </c>
      <c r="C15423" t="s">
        <v>17986</v>
      </c>
      <c r="D15423" t="s">
        <v>18037</v>
      </c>
      <c r="E15423" t="s">
        <v>31541</v>
      </c>
      <c r="F15423" t="s">
        <v>31574</v>
      </c>
      <c r="G15423" t="s">
        <v>31582</v>
      </c>
      <c r="H15423" t="s">
        <v>31591</v>
      </c>
      <c r="I15423" t="s">
        <v>8822</v>
      </c>
      <c r="J15423" t="s">
        <v>41170</v>
      </c>
      <c r="K15423" t="s">
        <v>41493</v>
      </c>
      <c r="M15423" t="s">
        <v>43511</v>
      </c>
      <c r="N15423" t="s">
        <v>45095</v>
      </c>
      <c r="O15423" t="s">
        <v>45096</v>
      </c>
      <c r="Q15423">
        <v>8</v>
      </c>
      <c r="R15423" t="s">
        <v>45205</v>
      </c>
      <c r="S15423" t="s">
        <v>46873</v>
      </c>
      <c r="T15423" t="s">
        <v>46949</v>
      </c>
      <c r="U15423" t="s">
        <v>55912</v>
      </c>
      <c r="W15423" t="s">
        <v>43511</v>
      </c>
      <c r="X15423" t="s">
        <v>45204</v>
      </c>
    </row>
    <row r="15424" spans="1:24">
      <c r="A15424">
        <f>HYPERLINK("https://www.philgeps.gov.ph/GEPSNONPILOT/Tender/SplashBidNoticeAbstractUI.aspx?menuIndex=3&amp;refID=6825173&amp;Result=3","6825173")</f>
        <v>0</v>
      </c>
      <c r="B15424" t="s">
        <v>2564</v>
      </c>
      <c r="C15424" t="s">
        <v>17987</v>
      </c>
      <c r="E15424" t="s">
        <v>31542</v>
      </c>
      <c r="F15424" t="s">
        <v>31574</v>
      </c>
      <c r="G15424" t="s">
        <v>31582</v>
      </c>
      <c r="H15424" t="s">
        <v>31591</v>
      </c>
      <c r="I15424" t="s">
        <v>8822</v>
      </c>
      <c r="J15424" t="s">
        <v>41171</v>
      </c>
      <c r="K15424" t="s">
        <v>41243</v>
      </c>
      <c r="M15424" t="s">
        <v>44303</v>
      </c>
      <c r="N15424" t="s">
        <v>45095</v>
      </c>
      <c r="O15424" t="s">
        <v>45096</v>
      </c>
      <c r="Q15424">
        <v>110</v>
      </c>
      <c r="R15424" t="s">
        <v>45206</v>
      </c>
      <c r="S15424" t="s">
        <v>46874</v>
      </c>
      <c r="T15424" t="s">
        <v>46922</v>
      </c>
      <c r="U15424" t="s">
        <v>59818</v>
      </c>
      <c r="W15424" t="s">
        <v>44303</v>
      </c>
      <c r="X15424" t="s">
        <v>45205</v>
      </c>
    </row>
    <row r="15425" spans="1:24">
      <c r="A15425">
        <f>HYPERLINK("https://www.philgeps.gov.ph/GEPSNONPILOT/Tender/SplashBidNoticeAbstractUI.aspx?menuIndex=3&amp;refID=6826124&amp;Result=3","6826124")</f>
        <v>0</v>
      </c>
      <c r="B15425" t="s">
        <v>2286</v>
      </c>
      <c r="C15425" t="s">
        <v>17988</v>
      </c>
      <c r="D15425" t="s">
        <v>18079</v>
      </c>
      <c r="E15425" t="s">
        <v>31543</v>
      </c>
      <c r="F15425" t="s">
        <v>31574</v>
      </c>
      <c r="G15425" t="s">
        <v>31582</v>
      </c>
      <c r="H15425" t="s">
        <v>31591</v>
      </c>
      <c r="I15425" t="s">
        <v>8822</v>
      </c>
      <c r="J15425" t="s">
        <v>41172</v>
      </c>
      <c r="K15425" t="s">
        <v>41335</v>
      </c>
      <c r="M15425" t="s">
        <v>43993</v>
      </c>
      <c r="N15425" t="s">
        <v>45095</v>
      </c>
      <c r="O15425" t="s">
        <v>45096</v>
      </c>
      <c r="Q15425">
        <v>3</v>
      </c>
      <c r="R15425" t="s">
        <v>45206</v>
      </c>
      <c r="S15425" t="s">
        <v>46875</v>
      </c>
      <c r="T15425" t="s">
        <v>47050</v>
      </c>
      <c r="U15425" t="s">
        <v>59819</v>
      </c>
      <c r="W15425" t="s">
        <v>43993</v>
      </c>
      <c r="X15425" t="s">
        <v>45205</v>
      </c>
    </row>
    <row r="15426" spans="1:24">
      <c r="A15426">
        <f>HYPERLINK("https://www.philgeps.gov.ph/GEPSNONPILOT/Tender/SplashBidNoticeAbstractUI.aspx?menuIndex=3&amp;refID=6827785&amp;Result=3","6827785")</f>
        <v>0</v>
      </c>
      <c r="B15426" t="s">
        <v>598</v>
      </c>
      <c r="C15426" t="s">
        <v>17989</v>
      </c>
      <c r="D15426" t="s">
        <v>18022</v>
      </c>
      <c r="E15426" t="s">
        <v>31393</v>
      </c>
      <c r="F15426" t="s">
        <v>31574</v>
      </c>
      <c r="G15426" t="s">
        <v>31581</v>
      </c>
      <c r="H15426" t="s">
        <v>31590</v>
      </c>
      <c r="I15426" t="s">
        <v>8258</v>
      </c>
      <c r="J15426" t="s">
        <v>32779</v>
      </c>
      <c r="K15426" t="s">
        <v>41213</v>
      </c>
      <c r="M15426" t="s">
        <v>42101</v>
      </c>
      <c r="N15426" t="s">
        <v>45095</v>
      </c>
      <c r="O15426" t="s">
        <v>45096</v>
      </c>
      <c r="Q15426">
        <v>3</v>
      </c>
      <c r="R15426" t="s">
        <v>45207</v>
      </c>
      <c r="S15426" t="s">
        <v>46876</v>
      </c>
      <c r="T15426" t="s">
        <v>47067</v>
      </c>
      <c r="U15426" t="s">
        <v>59820</v>
      </c>
      <c r="V15426" t="s">
        <v>59987</v>
      </c>
      <c r="W15426" t="s">
        <v>42101</v>
      </c>
      <c r="X15426" t="s">
        <v>45206</v>
      </c>
    </row>
    <row r="15427" spans="1:24">
      <c r="A15427">
        <f>HYPERLINK("https://www.philgeps.gov.ph/GEPSNONPILOT/Tender/SplashBidNoticeAbstractUI.aspx?menuIndex=3&amp;refID=6831626&amp;Result=3","6831626")</f>
        <v>0</v>
      </c>
      <c r="B15427" t="s">
        <v>2286</v>
      </c>
      <c r="C15427" t="s">
        <v>17990</v>
      </c>
      <c r="D15427" t="s">
        <v>18079</v>
      </c>
      <c r="E15427" t="s">
        <v>31544</v>
      </c>
      <c r="F15427" t="s">
        <v>31574</v>
      </c>
      <c r="G15427" t="s">
        <v>31582</v>
      </c>
      <c r="H15427" t="s">
        <v>31591</v>
      </c>
      <c r="I15427" t="s">
        <v>8822</v>
      </c>
      <c r="J15427" t="s">
        <v>33445</v>
      </c>
      <c r="K15427" t="s">
        <v>41338</v>
      </c>
      <c r="M15427" t="s">
        <v>43993</v>
      </c>
      <c r="N15427" t="s">
        <v>45095</v>
      </c>
      <c r="O15427" t="s">
        <v>45096</v>
      </c>
      <c r="Q15427">
        <v>5</v>
      </c>
      <c r="R15427" t="s">
        <v>45203</v>
      </c>
      <c r="S15427" t="s">
        <v>46877</v>
      </c>
      <c r="T15427" t="s">
        <v>47050</v>
      </c>
      <c r="U15427" t="s">
        <v>48059</v>
      </c>
      <c r="W15427" t="s">
        <v>43993</v>
      </c>
      <c r="X15427" t="s">
        <v>45207</v>
      </c>
    </row>
    <row r="15428" spans="1:24">
      <c r="A15428">
        <f>HYPERLINK("https://www.philgeps.gov.ph/GEPSNONPILOT/Tender/SplashBidNoticeAbstractUI.aspx?menuIndex=3&amp;refID=6828161&amp;Result=3","6828161")</f>
        <v>0</v>
      </c>
      <c r="B15428" t="s">
        <v>598</v>
      </c>
      <c r="C15428" t="s">
        <v>17991</v>
      </c>
      <c r="D15428" t="s">
        <v>18022</v>
      </c>
      <c r="E15428" t="s">
        <v>31398</v>
      </c>
      <c r="F15428" t="s">
        <v>31574</v>
      </c>
      <c r="G15428" t="s">
        <v>31581</v>
      </c>
      <c r="H15428" t="s">
        <v>31590</v>
      </c>
      <c r="I15428" t="s">
        <v>8258</v>
      </c>
      <c r="J15428" t="s">
        <v>32306</v>
      </c>
      <c r="K15428" t="s">
        <v>41213</v>
      </c>
      <c r="M15428" t="s">
        <v>42101</v>
      </c>
      <c r="N15428" t="s">
        <v>45095</v>
      </c>
      <c r="O15428" t="s">
        <v>45096</v>
      </c>
      <c r="Q15428">
        <v>5</v>
      </c>
      <c r="R15428" t="s">
        <v>45207</v>
      </c>
      <c r="S15428" t="s">
        <v>46878</v>
      </c>
      <c r="T15428" t="s">
        <v>47067</v>
      </c>
      <c r="U15428" t="s">
        <v>59821</v>
      </c>
      <c r="V15428" t="s">
        <v>59987</v>
      </c>
      <c r="W15428" t="s">
        <v>42101</v>
      </c>
      <c r="X15428" t="s">
        <v>45206</v>
      </c>
    </row>
    <row r="15429" spans="1:24">
      <c r="A15429">
        <f>HYPERLINK("https://www.philgeps.gov.ph/GEPSNONPILOT/Tender/SplashBidNoticeAbstractUI.aspx?menuIndex=3&amp;refID=6814954&amp;Result=3","6814954")</f>
        <v>0</v>
      </c>
      <c r="B15429" t="s">
        <v>1329</v>
      </c>
      <c r="C15429" t="s">
        <v>17992</v>
      </c>
      <c r="E15429" t="s">
        <v>31545</v>
      </c>
      <c r="F15429" t="s">
        <v>31579</v>
      </c>
      <c r="G15429" t="s">
        <v>31589</v>
      </c>
      <c r="H15429" t="s">
        <v>31591</v>
      </c>
      <c r="I15429" t="s">
        <v>8822</v>
      </c>
      <c r="J15429" t="s">
        <v>34314</v>
      </c>
      <c r="K15429" t="s">
        <v>41502</v>
      </c>
      <c r="M15429" t="s">
        <v>44783</v>
      </c>
      <c r="N15429" t="s">
        <v>45095</v>
      </c>
      <c r="O15429" t="s">
        <v>45096</v>
      </c>
      <c r="Q15429">
        <v>37</v>
      </c>
      <c r="R15429" t="s">
        <v>45208</v>
      </c>
      <c r="S15429" t="s">
        <v>46879</v>
      </c>
      <c r="T15429" t="s">
        <v>47159</v>
      </c>
      <c r="U15429" t="s">
        <v>59822</v>
      </c>
      <c r="V15429" t="s">
        <v>61237</v>
      </c>
      <c r="W15429" t="s">
        <v>44783</v>
      </c>
      <c r="X15429" t="s">
        <v>61794</v>
      </c>
    </row>
    <row r="15430" spans="1:24">
      <c r="A15430">
        <f>HYPERLINK("https://www.philgeps.gov.ph/GEPSNONPILOT/Tender/SplashBidNoticeAbstractUI.aspx?menuIndex=3&amp;refID=6828937&amp;Result=3","6828937")</f>
        <v>0</v>
      </c>
      <c r="B15430" t="s">
        <v>1248</v>
      </c>
      <c r="C15430" t="s">
        <v>17993</v>
      </c>
      <c r="D15430" t="s">
        <v>18043</v>
      </c>
      <c r="E15430" t="s">
        <v>31546</v>
      </c>
      <c r="F15430" t="s">
        <v>31574</v>
      </c>
      <c r="G15430" t="s">
        <v>31582</v>
      </c>
      <c r="H15430" t="s">
        <v>31591</v>
      </c>
      <c r="I15430" t="s">
        <v>8822</v>
      </c>
      <c r="J15430" t="s">
        <v>41173</v>
      </c>
      <c r="K15430" t="s">
        <v>41235</v>
      </c>
      <c r="M15430" t="s">
        <v>44740</v>
      </c>
      <c r="N15430" t="s">
        <v>45095</v>
      </c>
      <c r="O15430" t="s">
        <v>45096</v>
      </c>
      <c r="Q15430">
        <v>10</v>
      </c>
      <c r="R15430" t="s">
        <v>45207</v>
      </c>
      <c r="S15430" t="s">
        <v>45773</v>
      </c>
      <c r="T15430" t="s">
        <v>47100</v>
      </c>
      <c r="U15430" t="s">
        <v>59823</v>
      </c>
      <c r="W15430" t="s">
        <v>44740</v>
      </c>
      <c r="X15430" t="s">
        <v>45206</v>
      </c>
    </row>
    <row r="15431" spans="1:24">
      <c r="A15431">
        <f>HYPERLINK("https://www.philgeps.gov.ph/GEPSNONPILOT/Tender/SplashBidNoticeAbstractUI.aspx?menuIndex=3&amp;refID=6820132&amp;Result=3","6820132")</f>
        <v>0</v>
      </c>
      <c r="B15431" t="s">
        <v>506</v>
      </c>
      <c r="C15431" t="s">
        <v>17994</v>
      </c>
      <c r="E15431" t="s">
        <v>31547</v>
      </c>
      <c r="F15431" t="s">
        <v>31574</v>
      </c>
      <c r="G15431" t="s">
        <v>31582</v>
      </c>
      <c r="H15431" t="s">
        <v>31591</v>
      </c>
      <c r="I15431" t="s">
        <v>8822</v>
      </c>
      <c r="J15431" t="s">
        <v>40659</v>
      </c>
      <c r="K15431" t="s">
        <v>41184</v>
      </c>
      <c r="M15431" t="s">
        <v>45090</v>
      </c>
      <c r="N15431" t="s">
        <v>45095</v>
      </c>
      <c r="O15431" t="s">
        <v>45096</v>
      </c>
      <c r="Q15431">
        <v>3</v>
      </c>
      <c r="R15431" t="s">
        <v>45204</v>
      </c>
      <c r="S15431" t="s">
        <v>46880</v>
      </c>
      <c r="T15431" t="s">
        <v>46926</v>
      </c>
      <c r="U15431" t="s">
        <v>59824</v>
      </c>
      <c r="V15431" t="s">
        <v>61646</v>
      </c>
      <c r="W15431" t="s">
        <v>45090</v>
      </c>
      <c r="X15431" t="s">
        <v>61793</v>
      </c>
    </row>
    <row r="15432" spans="1:24">
      <c r="A15432">
        <f>HYPERLINK("https://www.philgeps.gov.ph/GEPSNONPILOT/Tender/SplashBidNoticeAbstractUI.aspx?menuIndex=3&amp;refID=6814950&amp;Result=3","6814950")</f>
        <v>0</v>
      </c>
      <c r="B15432" t="s">
        <v>1329</v>
      </c>
      <c r="C15432" t="s">
        <v>17995</v>
      </c>
      <c r="E15432" t="s">
        <v>31548</v>
      </c>
      <c r="F15432" t="s">
        <v>31579</v>
      </c>
      <c r="G15432" t="s">
        <v>31589</v>
      </c>
      <c r="H15432" t="s">
        <v>31591</v>
      </c>
      <c r="I15432" t="s">
        <v>8822</v>
      </c>
      <c r="J15432" t="s">
        <v>34314</v>
      </c>
      <c r="K15432" t="s">
        <v>41503</v>
      </c>
      <c r="M15432" t="s">
        <v>44783</v>
      </c>
      <c r="N15432" t="s">
        <v>45095</v>
      </c>
      <c r="O15432" t="s">
        <v>45096</v>
      </c>
      <c r="Q15432">
        <v>34</v>
      </c>
      <c r="R15432" t="s">
        <v>45208</v>
      </c>
      <c r="S15432" t="s">
        <v>46881</v>
      </c>
      <c r="T15432" t="s">
        <v>47159</v>
      </c>
      <c r="U15432" t="s">
        <v>59825</v>
      </c>
      <c r="V15432" t="s">
        <v>61237</v>
      </c>
      <c r="W15432" t="s">
        <v>44783</v>
      </c>
      <c r="X15432" t="s">
        <v>61794</v>
      </c>
    </row>
    <row r="15433" spans="1:24">
      <c r="A15433">
        <f>HYPERLINK("https://www.philgeps.gov.ph/GEPSNONPILOT/Tender/SplashBidNoticeAbstractUI.aspx?menuIndex=3&amp;refID=6814388&amp;Result=3","6814388")</f>
        <v>0</v>
      </c>
      <c r="B15433" t="s">
        <v>1130</v>
      </c>
      <c r="C15433" t="s">
        <v>17996</v>
      </c>
      <c r="D15433" t="s">
        <v>18095</v>
      </c>
      <c r="E15433" t="s">
        <v>31549</v>
      </c>
      <c r="F15433" t="s">
        <v>31574</v>
      </c>
      <c r="G15433" t="s">
        <v>31582</v>
      </c>
      <c r="H15433" t="s">
        <v>31592</v>
      </c>
      <c r="I15433" t="s">
        <v>31623</v>
      </c>
      <c r="J15433" t="s">
        <v>41174</v>
      </c>
      <c r="K15433" t="s">
        <v>41197</v>
      </c>
      <c r="M15433" t="s">
        <v>45015</v>
      </c>
      <c r="N15433" t="s">
        <v>45095</v>
      </c>
      <c r="O15433" t="s">
        <v>45096</v>
      </c>
      <c r="Q15433">
        <v>6</v>
      </c>
      <c r="R15433" t="s">
        <v>45208</v>
      </c>
      <c r="S15433" t="s">
        <v>46882</v>
      </c>
      <c r="T15433" t="s">
        <v>47164</v>
      </c>
      <c r="U15433" t="s">
        <v>59826</v>
      </c>
      <c r="W15433" t="s">
        <v>45015</v>
      </c>
      <c r="X15433" t="s">
        <v>61794</v>
      </c>
    </row>
    <row r="15434" spans="1:24">
      <c r="A15434">
        <f>HYPERLINK("https://www.philgeps.gov.ph/GEPSNONPILOT/Tender/SplashBidNoticeAbstractUI.aspx?menuIndex=3&amp;refID=6820032&amp;Result=3","6820032")</f>
        <v>0</v>
      </c>
      <c r="B15434" t="s">
        <v>506</v>
      </c>
      <c r="C15434" t="s">
        <v>17997</v>
      </c>
      <c r="E15434" t="s">
        <v>31550</v>
      </c>
      <c r="F15434" t="s">
        <v>31574</v>
      </c>
      <c r="G15434" t="s">
        <v>31582</v>
      </c>
      <c r="H15434" t="s">
        <v>31591</v>
      </c>
      <c r="I15434" t="s">
        <v>8822</v>
      </c>
      <c r="J15434" t="s">
        <v>40659</v>
      </c>
      <c r="K15434" t="s">
        <v>41184</v>
      </c>
      <c r="M15434" t="s">
        <v>45090</v>
      </c>
      <c r="N15434" t="s">
        <v>45095</v>
      </c>
      <c r="O15434" t="s">
        <v>45096</v>
      </c>
      <c r="Q15434">
        <v>4</v>
      </c>
      <c r="R15434" t="s">
        <v>45204</v>
      </c>
      <c r="S15434" t="s">
        <v>46883</v>
      </c>
      <c r="T15434" t="s">
        <v>46926</v>
      </c>
      <c r="U15434" t="s">
        <v>59827</v>
      </c>
      <c r="V15434" t="s">
        <v>61647</v>
      </c>
      <c r="W15434" t="s">
        <v>45090</v>
      </c>
      <c r="X15434" t="s">
        <v>61793</v>
      </c>
    </row>
    <row r="15435" spans="1:24">
      <c r="A15435">
        <f>HYPERLINK("https://www.philgeps.gov.ph/GEPSNONPILOT/Tender/SplashBidNoticeAbstractUI.aspx?menuIndex=3&amp;refID=6813709&amp;Result=3","6813709")</f>
        <v>0</v>
      </c>
      <c r="B15435" t="s">
        <v>1329</v>
      </c>
      <c r="C15435" t="s">
        <v>17998</v>
      </c>
      <c r="E15435" t="s">
        <v>31551</v>
      </c>
      <c r="F15435" t="s">
        <v>31579</v>
      </c>
      <c r="G15435" t="s">
        <v>31589</v>
      </c>
      <c r="H15435" t="s">
        <v>31591</v>
      </c>
      <c r="I15435" t="s">
        <v>8822</v>
      </c>
      <c r="J15435" t="s">
        <v>34314</v>
      </c>
      <c r="K15435" t="s">
        <v>41502</v>
      </c>
      <c r="M15435" t="s">
        <v>44783</v>
      </c>
      <c r="N15435" t="s">
        <v>45095</v>
      </c>
      <c r="O15435" t="s">
        <v>45096</v>
      </c>
      <c r="Q15435">
        <v>44</v>
      </c>
      <c r="R15435" t="s">
        <v>45208</v>
      </c>
      <c r="S15435" t="s">
        <v>46884</v>
      </c>
      <c r="T15435" t="s">
        <v>47159</v>
      </c>
      <c r="U15435" t="s">
        <v>59828</v>
      </c>
      <c r="V15435" t="s">
        <v>61237</v>
      </c>
      <c r="W15435" t="s">
        <v>44783</v>
      </c>
      <c r="X15435" t="s">
        <v>61794</v>
      </c>
    </row>
    <row r="15436" spans="1:24">
      <c r="A15436">
        <f>HYPERLINK("https://www.philgeps.gov.ph/GEPSNONPILOT/Tender/SplashBidNoticeAbstractUI.aspx?menuIndex=3&amp;refID=6826143&amp;Result=3","6826143")</f>
        <v>0</v>
      </c>
      <c r="B15436" t="s">
        <v>2286</v>
      </c>
      <c r="C15436" t="s">
        <v>17999</v>
      </c>
      <c r="D15436" t="s">
        <v>18079</v>
      </c>
      <c r="E15436" t="s">
        <v>31552</v>
      </c>
      <c r="F15436" t="s">
        <v>31574</v>
      </c>
      <c r="G15436" t="s">
        <v>31582</v>
      </c>
      <c r="H15436" t="s">
        <v>31591</v>
      </c>
      <c r="I15436" t="s">
        <v>8822</v>
      </c>
      <c r="J15436" t="s">
        <v>33252</v>
      </c>
      <c r="K15436" t="s">
        <v>41217</v>
      </c>
      <c r="M15436" t="s">
        <v>43993</v>
      </c>
      <c r="N15436" t="s">
        <v>45095</v>
      </c>
      <c r="O15436" t="s">
        <v>45096</v>
      </c>
      <c r="Q15436">
        <v>1</v>
      </c>
      <c r="R15436" t="s">
        <v>45206</v>
      </c>
      <c r="S15436" t="s">
        <v>46885</v>
      </c>
      <c r="T15436" t="s">
        <v>47050</v>
      </c>
      <c r="U15436" t="s">
        <v>55360</v>
      </c>
      <c r="W15436" t="s">
        <v>43993</v>
      </c>
      <c r="X15436" t="s">
        <v>45205</v>
      </c>
    </row>
    <row r="15437" spans="1:24">
      <c r="A15437">
        <f>HYPERLINK("https://www.philgeps.gov.ph/GEPSNONPILOT/Tender/SplashBidNoticeAbstractUI.aspx?menuIndex=3&amp;refID=6814848&amp;Result=3","6814848")</f>
        <v>0</v>
      </c>
      <c r="B15437" t="s">
        <v>1329</v>
      </c>
      <c r="C15437" t="s">
        <v>18000</v>
      </c>
      <c r="E15437" t="s">
        <v>31553</v>
      </c>
      <c r="F15437" t="s">
        <v>31579</v>
      </c>
      <c r="G15437" t="s">
        <v>31589</v>
      </c>
      <c r="H15437" t="s">
        <v>31591</v>
      </c>
      <c r="I15437" t="s">
        <v>8822</v>
      </c>
      <c r="J15437" t="s">
        <v>34314</v>
      </c>
      <c r="K15437" t="s">
        <v>41502</v>
      </c>
      <c r="M15437" t="s">
        <v>44783</v>
      </c>
      <c r="N15437" t="s">
        <v>45095</v>
      </c>
      <c r="O15437" t="s">
        <v>45096</v>
      </c>
      <c r="Q15437">
        <v>40</v>
      </c>
      <c r="R15437" t="s">
        <v>45208</v>
      </c>
      <c r="S15437" t="s">
        <v>46886</v>
      </c>
      <c r="T15437" t="s">
        <v>47159</v>
      </c>
      <c r="U15437" t="s">
        <v>59829</v>
      </c>
      <c r="V15437" t="s">
        <v>61237</v>
      </c>
      <c r="W15437" t="s">
        <v>44783</v>
      </c>
      <c r="X15437" t="s">
        <v>61794</v>
      </c>
    </row>
    <row r="15438" spans="1:24">
      <c r="A15438">
        <f>HYPERLINK("https://www.philgeps.gov.ph/GEPSNONPILOT/Tender/SplashBidNoticeAbstractUI.aspx?menuIndex=3&amp;refID=6822976&amp;Result=3","6822976")</f>
        <v>0</v>
      </c>
      <c r="B15438" t="s">
        <v>1871</v>
      </c>
      <c r="C15438" t="s">
        <v>18001</v>
      </c>
      <c r="D15438" t="s">
        <v>18037</v>
      </c>
      <c r="E15438" t="s">
        <v>31554</v>
      </c>
      <c r="F15438" t="s">
        <v>31574</v>
      </c>
      <c r="G15438" t="s">
        <v>31582</v>
      </c>
      <c r="H15438" t="s">
        <v>31591</v>
      </c>
      <c r="I15438" t="s">
        <v>8822</v>
      </c>
      <c r="J15438" t="s">
        <v>41175</v>
      </c>
      <c r="K15438" t="s">
        <v>41185</v>
      </c>
      <c r="M15438" t="s">
        <v>43511</v>
      </c>
      <c r="N15438" t="s">
        <v>45095</v>
      </c>
      <c r="O15438" t="s">
        <v>45096</v>
      </c>
      <c r="Q15438">
        <v>15</v>
      </c>
      <c r="R15438" t="s">
        <v>45205</v>
      </c>
      <c r="S15438" t="s">
        <v>46058</v>
      </c>
      <c r="T15438" t="s">
        <v>46949</v>
      </c>
      <c r="U15438" t="s">
        <v>55912</v>
      </c>
      <c r="W15438" t="s">
        <v>43511</v>
      </c>
      <c r="X15438" t="s">
        <v>45204</v>
      </c>
    </row>
    <row r="15439" spans="1:24">
      <c r="A15439">
        <f>HYPERLINK("https://www.philgeps.gov.ph/GEPSNONPILOT/Tender/SplashBidNoticeAbstractUI.aspx?menuIndex=3&amp;refID=6803276&amp;Result=3","6803276")</f>
        <v>0</v>
      </c>
      <c r="B15439" t="s">
        <v>246</v>
      </c>
      <c r="C15439" t="s">
        <v>18002</v>
      </c>
      <c r="D15439" t="s">
        <v>18033</v>
      </c>
      <c r="E15439" t="s">
        <v>31555</v>
      </c>
      <c r="F15439" t="s">
        <v>31574</v>
      </c>
      <c r="G15439" t="s">
        <v>31581</v>
      </c>
      <c r="H15439" t="s">
        <v>31590</v>
      </c>
      <c r="I15439" t="s">
        <v>31594</v>
      </c>
      <c r="J15439" t="s">
        <v>32144</v>
      </c>
      <c r="K15439" t="s">
        <v>41196</v>
      </c>
      <c r="M15439" t="s">
        <v>41732</v>
      </c>
      <c r="N15439" t="s">
        <v>45095</v>
      </c>
      <c r="O15439" t="s">
        <v>45096</v>
      </c>
      <c r="Q15439">
        <v>25</v>
      </c>
      <c r="R15439" t="s">
        <v>45209</v>
      </c>
      <c r="S15439" t="s">
        <v>46180</v>
      </c>
      <c r="T15439" t="s">
        <v>47077</v>
      </c>
      <c r="U15439" t="s">
        <v>59830</v>
      </c>
      <c r="W15439" t="s">
        <v>41732</v>
      </c>
      <c r="X15439" t="s">
        <v>61795</v>
      </c>
    </row>
    <row r="15440" spans="1:24">
      <c r="A15440">
        <f>HYPERLINK("https://www.philgeps.gov.ph/GEPSNONPILOT/Tender/SplashBidNoticeAbstractUI.aspx?menuIndex=3&amp;refID=6705188&amp;Result=3","6705188")</f>
        <v>0</v>
      </c>
      <c r="B15440" t="s">
        <v>2286</v>
      </c>
      <c r="C15440" t="s">
        <v>18003</v>
      </c>
      <c r="D15440" t="s">
        <v>18079</v>
      </c>
      <c r="E15440" t="s">
        <v>31556</v>
      </c>
      <c r="F15440" t="s">
        <v>31574</v>
      </c>
      <c r="G15440" t="s">
        <v>31582</v>
      </c>
      <c r="H15440" t="s">
        <v>31591</v>
      </c>
      <c r="I15440" t="s">
        <v>8822</v>
      </c>
      <c r="J15440" t="s">
        <v>32504</v>
      </c>
      <c r="K15440" t="s">
        <v>41186</v>
      </c>
      <c r="M15440" t="s">
        <v>43993</v>
      </c>
      <c r="N15440" t="s">
        <v>45095</v>
      </c>
      <c r="O15440" t="s">
        <v>45096</v>
      </c>
      <c r="Q15440">
        <v>1</v>
      </c>
      <c r="R15440" t="s">
        <v>45210</v>
      </c>
      <c r="S15440" t="s">
        <v>46887</v>
      </c>
      <c r="T15440" t="s">
        <v>47157</v>
      </c>
      <c r="U15440" t="s">
        <v>55360</v>
      </c>
      <c r="W15440" t="s">
        <v>43993</v>
      </c>
      <c r="X15440" t="s">
        <v>61796</v>
      </c>
    </row>
    <row r="15441" spans="1:24">
      <c r="A15441">
        <f>HYPERLINK("https://www.philgeps.gov.ph/GEPSNONPILOT/Tender/SplashBidNoticeAbstractUI.aspx?menuIndex=3&amp;refID=6754808&amp;Result=3","6754808")</f>
        <v>0</v>
      </c>
      <c r="B15441" t="s">
        <v>1588</v>
      </c>
      <c r="C15441" t="s">
        <v>18004</v>
      </c>
      <c r="D15441" t="s">
        <v>18079</v>
      </c>
      <c r="E15441" t="s">
        <v>31557</v>
      </c>
      <c r="F15441" t="s">
        <v>31574</v>
      </c>
      <c r="G15441" t="s">
        <v>31582</v>
      </c>
      <c r="H15441" t="s">
        <v>31591</v>
      </c>
      <c r="I15441" t="s">
        <v>8822</v>
      </c>
      <c r="J15441" t="s">
        <v>40047</v>
      </c>
      <c r="K15441" t="s">
        <v>41209</v>
      </c>
      <c r="M15441" t="s">
        <v>43192</v>
      </c>
      <c r="N15441" t="s">
        <v>45095</v>
      </c>
      <c r="O15441" t="s">
        <v>45096</v>
      </c>
      <c r="Q15441">
        <v>8</v>
      </c>
      <c r="R15441" t="s">
        <v>45211</v>
      </c>
      <c r="S15441" t="s">
        <v>46888</v>
      </c>
      <c r="T15441" t="s">
        <v>47158</v>
      </c>
      <c r="U15441" t="s">
        <v>59831</v>
      </c>
      <c r="W15441" t="s">
        <v>43192</v>
      </c>
      <c r="X15441" t="s">
        <v>61797</v>
      </c>
    </row>
    <row r="15442" spans="1:24">
      <c r="A15442">
        <f>HYPERLINK("https://www.philgeps.gov.ph/GEPSNONPILOT/Tender/SplashBidNoticeAbstractUI.aspx?menuIndex=3&amp;refID=6705215&amp;Result=3","6705215")</f>
        <v>0</v>
      </c>
      <c r="B15442" t="s">
        <v>2286</v>
      </c>
      <c r="C15442" t="s">
        <v>18005</v>
      </c>
      <c r="D15442" t="s">
        <v>18079</v>
      </c>
      <c r="E15442" t="s">
        <v>31558</v>
      </c>
      <c r="F15442" t="s">
        <v>31574</v>
      </c>
      <c r="G15442" t="s">
        <v>31582</v>
      </c>
      <c r="H15442" t="s">
        <v>31591</v>
      </c>
      <c r="I15442" t="s">
        <v>8822</v>
      </c>
      <c r="J15442" t="s">
        <v>33252</v>
      </c>
      <c r="K15442" t="s">
        <v>41217</v>
      </c>
      <c r="M15442" t="s">
        <v>43993</v>
      </c>
      <c r="N15442" t="s">
        <v>45095</v>
      </c>
      <c r="O15442" t="s">
        <v>45096</v>
      </c>
      <c r="Q15442">
        <v>2</v>
      </c>
      <c r="R15442" t="s">
        <v>45210</v>
      </c>
      <c r="S15442" t="s">
        <v>46889</v>
      </c>
      <c r="T15442" t="s">
        <v>47157</v>
      </c>
      <c r="U15442" t="s">
        <v>55360</v>
      </c>
      <c r="W15442" t="s">
        <v>43993</v>
      </c>
      <c r="X15442" t="s">
        <v>61796</v>
      </c>
    </row>
    <row r="15443" spans="1:24">
      <c r="A15443">
        <f>HYPERLINK("https://www.philgeps.gov.ph/GEPSNONPILOT/Tender/SplashBidNoticeAbstractUI.aspx?menuIndex=3&amp;refID=6814806&amp;Result=3","6814806")</f>
        <v>0</v>
      </c>
      <c r="B15443" t="s">
        <v>1329</v>
      </c>
      <c r="C15443" t="s">
        <v>18006</v>
      </c>
      <c r="E15443" t="s">
        <v>31559</v>
      </c>
      <c r="F15443" t="s">
        <v>31579</v>
      </c>
      <c r="G15443" t="s">
        <v>31589</v>
      </c>
      <c r="H15443" t="s">
        <v>31591</v>
      </c>
      <c r="I15443" t="s">
        <v>8822</v>
      </c>
      <c r="J15443" t="s">
        <v>34314</v>
      </c>
      <c r="K15443" t="s">
        <v>41503</v>
      </c>
      <c r="M15443" t="s">
        <v>44783</v>
      </c>
      <c r="N15443" t="s">
        <v>45095</v>
      </c>
      <c r="O15443" t="s">
        <v>45096</v>
      </c>
      <c r="Q15443">
        <v>38</v>
      </c>
      <c r="R15443" t="s">
        <v>45208</v>
      </c>
      <c r="S15443" t="s">
        <v>46890</v>
      </c>
      <c r="T15443" t="s">
        <v>46988</v>
      </c>
      <c r="U15443" t="s">
        <v>59832</v>
      </c>
      <c r="V15443" t="s">
        <v>61237</v>
      </c>
      <c r="W15443" t="s">
        <v>44783</v>
      </c>
      <c r="X15443" t="s">
        <v>61794</v>
      </c>
    </row>
    <row r="15444" spans="1:24">
      <c r="A15444">
        <f>HYPERLINK("https://www.philgeps.gov.ph/GEPSNONPILOT/Tender/SplashBidNoticeAbstractUI.aspx?menuIndex=3&amp;refID=6005560&amp;Result=3","6005560")</f>
        <v>0</v>
      </c>
      <c r="B15444" t="s">
        <v>2010</v>
      </c>
      <c r="C15444" t="s">
        <v>18007</v>
      </c>
      <c r="F15444" t="s">
        <v>31574</v>
      </c>
      <c r="G15444" t="s">
        <v>31582</v>
      </c>
      <c r="H15444" t="s">
        <v>31590</v>
      </c>
      <c r="I15444" t="s">
        <v>8822</v>
      </c>
      <c r="J15444" t="s">
        <v>34017</v>
      </c>
      <c r="K15444" t="s">
        <v>41184</v>
      </c>
      <c r="M15444" t="s">
        <v>43672</v>
      </c>
      <c r="N15444" t="s">
        <v>45095</v>
      </c>
      <c r="O15444" t="s">
        <v>45096</v>
      </c>
      <c r="Q15444">
        <v>0</v>
      </c>
      <c r="R15444" t="s">
        <v>45212</v>
      </c>
      <c r="S15444" t="s">
        <v>46891</v>
      </c>
      <c r="T15444" t="s">
        <v>46995</v>
      </c>
      <c r="U15444" t="s">
        <v>59833</v>
      </c>
      <c r="W15444" t="s">
        <v>43672</v>
      </c>
      <c r="X15444" t="s">
        <v>61798</v>
      </c>
    </row>
    <row r="15445" spans="1:24">
      <c r="A15445">
        <f>HYPERLINK("https://www.philgeps.gov.ph/GEPSNONPILOT/Tender/SplashBidNoticeAbstractUI.aspx?menuIndex=3&amp;refID=6787459&amp;Result=3","6787459")</f>
        <v>0</v>
      </c>
      <c r="B15445" t="s">
        <v>540</v>
      </c>
      <c r="C15445" t="s">
        <v>18008</v>
      </c>
      <c r="D15445" t="s">
        <v>18022</v>
      </c>
      <c r="E15445" t="s">
        <v>31560</v>
      </c>
      <c r="F15445" t="s">
        <v>31574</v>
      </c>
      <c r="G15445" t="s">
        <v>31582</v>
      </c>
      <c r="H15445" t="s">
        <v>31593</v>
      </c>
      <c r="I15445" t="s">
        <v>31674</v>
      </c>
      <c r="J15445" t="s">
        <v>41176</v>
      </c>
      <c r="K15445" t="s">
        <v>41504</v>
      </c>
      <c r="M15445" t="s">
        <v>45091</v>
      </c>
      <c r="N15445" t="s">
        <v>45095</v>
      </c>
      <c r="O15445" t="s">
        <v>45096</v>
      </c>
      <c r="Q15445">
        <v>22</v>
      </c>
      <c r="R15445" t="s">
        <v>45213</v>
      </c>
      <c r="S15445" t="s">
        <v>46892</v>
      </c>
      <c r="T15445" t="s">
        <v>47076</v>
      </c>
      <c r="U15445" t="s">
        <v>59834</v>
      </c>
      <c r="W15445" t="s">
        <v>45091</v>
      </c>
      <c r="X15445" t="s">
        <v>61799</v>
      </c>
    </row>
    <row r="15446" spans="1:24">
      <c r="A15446">
        <f>HYPERLINK("https://www.philgeps.gov.ph/GEPSNONPILOT/Tender/SplashBidNoticeAbstractUI.aspx?menuIndex=3&amp;refID=6579431&amp;Result=3","6579431")</f>
        <v>0</v>
      </c>
      <c r="B15446" t="s">
        <v>3192</v>
      </c>
      <c r="C15446" t="s">
        <v>18009</v>
      </c>
      <c r="D15446" t="s">
        <v>18081</v>
      </c>
      <c r="E15446" t="s">
        <v>31561</v>
      </c>
      <c r="F15446" t="s">
        <v>31574</v>
      </c>
      <c r="G15446" t="s">
        <v>31582</v>
      </c>
      <c r="H15446" t="s">
        <v>31591</v>
      </c>
      <c r="I15446" t="s">
        <v>8822</v>
      </c>
      <c r="J15446" t="s">
        <v>41177</v>
      </c>
      <c r="K15446" t="s">
        <v>41481</v>
      </c>
      <c r="M15446" t="s">
        <v>41544</v>
      </c>
      <c r="N15446" t="s">
        <v>45095</v>
      </c>
      <c r="O15446" t="s">
        <v>45096</v>
      </c>
      <c r="Q15446">
        <v>8</v>
      </c>
      <c r="R15446" t="s">
        <v>45214</v>
      </c>
      <c r="S15446" t="s">
        <v>45455</v>
      </c>
      <c r="T15446" t="s">
        <v>46973</v>
      </c>
      <c r="U15446" t="s">
        <v>59835</v>
      </c>
      <c r="W15446" t="s">
        <v>41544</v>
      </c>
      <c r="X15446" t="s">
        <v>61800</v>
      </c>
    </row>
    <row r="15447" spans="1:24">
      <c r="A15447">
        <f>HYPERLINK("https://www.philgeps.gov.ph/GEPSNONPILOT/Tender/SplashBidNoticeAbstractUI.aspx?menuIndex=3&amp;refID=6786896&amp;Result=3","6786896")</f>
        <v>0</v>
      </c>
      <c r="B15447" t="s">
        <v>2196</v>
      </c>
      <c r="C15447" t="s">
        <v>18010</v>
      </c>
      <c r="D15447" t="s">
        <v>18086</v>
      </c>
      <c r="E15447" t="s">
        <v>31562</v>
      </c>
      <c r="F15447" t="s">
        <v>31574</v>
      </c>
      <c r="G15447" t="s">
        <v>31582</v>
      </c>
      <c r="H15447" t="s">
        <v>31591</v>
      </c>
      <c r="I15447" t="s">
        <v>8822</v>
      </c>
      <c r="J15447" t="s">
        <v>41178</v>
      </c>
      <c r="K15447" t="s">
        <v>41292</v>
      </c>
      <c r="M15447" t="s">
        <v>45012</v>
      </c>
      <c r="N15447" t="s">
        <v>45095</v>
      </c>
      <c r="O15447" t="s">
        <v>45096</v>
      </c>
      <c r="Q15447">
        <v>2</v>
      </c>
      <c r="R15447" t="s">
        <v>45213</v>
      </c>
      <c r="S15447" t="s">
        <v>46893</v>
      </c>
      <c r="T15447" t="s">
        <v>47467</v>
      </c>
      <c r="U15447" t="s">
        <v>59836</v>
      </c>
      <c r="V15447" t="s">
        <v>61648</v>
      </c>
      <c r="W15447" t="s">
        <v>45012</v>
      </c>
      <c r="X15447" t="s">
        <v>61799</v>
      </c>
    </row>
    <row r="15448" spans="1:24">
      <c r="A15448">
        <f>HYPERLINK("https://www.philgeps.gov.ph/GEPSNONPILOT/Tender/SplashBidNoticeAbstractUI.aspx?menuIndex=3&amp;refID=6578822&amp;Result=3","6578822")</f>
        <v>0</v>
      </c>
      <c r="B15448" t="s">
        <v>3192</v>
      </c>
      <c r="C15448" t="s">
        <v>18011</v>
      </c>
      <c r="D15448" t="s">
        <v>18045</v>
      </c>
      <c r="E15448" t="s">
        <v>31563</v>
      </c>
      <c r="F15448" t="s">
        <v>31574</v>
      </c>
      <c r="G15448" t="s">
        <v>31582</v>
      </c>
      <c r="H15448" t="s">
        <v>31591</v>
      </c>
      <c r="I15448" t="s">
        <v>8822</v>
      </c>
      <c r="J15448" t="s">
        <v>41179</v>
      </c>
      <c r="K15448" t="s">
        <v>41267</v>
      </c>
      <c r="M15448" t="s">
        <v>41544</v>
      </c>
      <c r="N15448" t="s">
        <v>45095</v>
      </c>
      <c r="O15448" t="s">
        <v>45096</v>
      </c>
      <c r="Q15448">
        <v>13</v>
      </c>
      <c r="R15448" t="s">
        <v>45214</v>
      </c>
      <c r="S15448" t="s">
        <v>45453</v>
      </c>
      <c r="T15448" t="s">
        <v>46973</v>
      </c>
      <c r="U15448" t="s">
        <v>59837</v>
      </c>
      <c r="W15448" t="s">
        <v>41544</v>
      </c>
      <c r="X15448" t="s">
        <v>61800</v>
      </c>
    </row>
    <row r="15449" spans="1:24">
      <c r="A15449">
        <f>HYPERLINK("https://www.philgeps.gov.ph/GEPSNONPILOT/Tender/SplashBidNoticeAbstractUI.aspx?menuIndex=3&amp;refID=6734614&amp;Result=3","6734614")</f>
        <v>0</v>
      </c>
      <c r="B15449" t="s">
        <v>2286</v>
      </c>
      <c r="C15449" t="s">
        <v>18012</v>
      </c>
      <c r="D15449" t="s">
        <v>18079</v>
      </c>
      <c r="E15449" t="s">
        <v>31564</v>
      </c>
      <c r="F15449" t="s">
        <v>31574</v>
      </c>
      <c r="G15449" t="s">
        <v>31582</v>
      </c>
      <c r="H15449" t="s">
        <v>31591</v>
      </c>
      <c r="I15449" t="s">
        <v>8822</v>
      </c>
      <c r="J15449" t="s">
        <v>35362</v>
      </c>
      <c r="K15449" t="s">
        <v>41436</v>
      </c>
      <c r="M15449" t="s">
        <v>43993</v>
      </c>
      <c r="N15449" t="s">
        <v>45095</v>
      </c>
      <c r="O15449" t="s">
        <v>45096</v>
      </c>
      <c r="Q15449">
        <v>11</v>
      </c>
      <c r="R15449" t="s">
        <v>45215</v>
      </c>
      <c r="S15449" t="s">
        <v>46894</v>
      </c>
      <c r="T15449" t="s">
        <v>47050</v>
      </c>
      <c r="U15449" t="s">
        <v>59838</v>
      </c>
      <c r="W15449" t="s">
        <v>43993</v>
      </c>
      <c r="X15449" t="s">
        <v>61801</v>
      </c>
    </row>
    <row r="15450" spans="1:24">
      <c r="A15450">
        <f>HYPERLINK("https://www.philgeps.gov.ph/GEPSNONPILOT/Tender/SplashBidNoticeAbstractUI.aspx?menuIndex=3&amp;refID=6792259&amp;Result=3","6792259")</f>
        <v>0</v>
      </c>
      <c r="B15450" t="s">
        <v>3193</v>
      </c>
      <c r="C15450" t="s">
        <v>18013</v>
      </c>
      <c r="E15450" t="s">
        <v>31565</v>
      </c>
      <c r="F15450" t="s">
        <v>31574</v>
      </c>
      <c r="G15450" t="s">
        <v>31582</v>
      </c>
      <c r="H15450" t="s">
        <v>31591</v>
      </c>
      <c r="I15450" t="s">
        <v>7162</v>
      </c>
      <c r="J15450" t="s">
        <v>35235</v>
      </c>
      <c r="K15450" t="s">
        <v>41235</v>
      </c>
      <c r="M15450" t="s">
        <v>45092</v>
      </c>
      <c r="N15450" t="s">
        <v>45095</v>
      </c>
      <c r="O15450" t="s">
        <v>45096</v>
      </c>
      <c r="Q15450">
        <v>43</v>
      </c>
      <c r="R15450" t="s">
        <v>45216</v>
      </c>
      <c r="S15450" t="s">
        <v>46895</v>
      </c>
      <c r="T15450" t="s">
        <v>46973</v>
      </c>
      <c r="U15450" t="s">
        <v>59839</v>
      </c>
      <c r="W15450" t="s">
        <v>45092</v>
      </c>
      <c r="X15450" t="s">
        <v>61802</v>
      </c>
    </row>
    <row r="15451" spans="1:24">
      <c r="A15451">
        <f>HYPERLINK("https://www.philgeps.gov.ph/GEPSNONPILOT/Tender/SplashBidNoticeAbstractUI.aspx?menuIndex=3&amp;refID=6799038&amp;Result=3","6799038")</f>
        <v>0</v>
      </c>
      <c r="B15451" t="s">
        <v>1617</v>
      </c>
      <c r="C15451" t="s">
        <v>18014</v>
      </c>
      <c r="E15451" t="s">
        <v>31566</v>
      </c>
      <c r="F15451" t="s">
        <v>31574</v>
      </c>
      <c r="G15451" t="s">
        <v>31582</v>
      </c>
      <c r="H15451" t="s">
        <v>31591</v>
      </c>
      <c r="I15451" t="s">
        <v>8822</v>
      </c>
      <c r="J15451" t="s">
        <v>40757</v>
      </c>
      <c r="K15451" t="s">
        <v>41184</v>
      </c>
      <c r="M15451" t="s">
        <v>44987</v>
      </c>
      <c r="N15451" t="s">
        <v>45095</v>
      </c>
      <c r="O15451" t="s">
        <v>45096</v>
      </c>
      <c r="Q15451">
        <v>2</v>
      </c>
      <c r="R15451" t="s">
        <v>45217</v>
      </c>
      <c r="S15451" t="s">
        <v>46896</v>
      </c>
      <c r="T15451" t="s">
        <v>47159</v>
      </c>
      <c r="U15451" t="s">
        <v>59840</v>
      </c>
      <c r="W15451" t="s">
        <v>44987</v>
      </c>
      <c r="X15451" t="s">
        <v>61803</v>
      </c>
    </row>
    <row r="15452" spans="1:24">
      <c r="A15452">
        <f>HYPERLINK("https://www.philgeps.gov.ph/GEPSNONPILOT/Tender/SplashBidNoticeAbstractUI.aspx?menuIndex=3&amp;refID=6598060&amp;Result=3","6598060")</f>
        <v>0</v>
      </c>
      <c r="B15452" t="s">
        <v>2485</v>
      </c>
      <c r="C15452" t="s">
        <v>18015</v>
      </c>
      <c r="D15452" t="s">
        <v>18084</v>
      </c>
      <c r="E15452" t="s">
        <v>31567</v>
      </c>
      <c r="F15452" t="s">
        <v>31574</v>
      </c>
      <c r="G15452" t="s">
        <v>31582</v>
      </c>
      <c r="H15452" t="s">
        <v>31591</v>
      </c>
      <c r="I15452" t="s">
        <v>8822</v>
      </c>
      <c r="J15452" t="s">
        <v>41180</v>
      </c>
      <c r="K15452" t="s">
        <v>41198</v>
      </c>
      <c r="M15452" t="s">
        <v>44216</v>
      </c>
      <c r="N15452" t="s">
        <v>45095</v>
      </c>
      <c r="O15452" t="s">
        <v>45096</v>
      </c>
      <c r="Q15452">
        <v>36</v>
      </c>
      <c r="R15452" t="s">
        <v>45218</v>
      </c>
      <c r="S15452" t="s">
        <v>46897</v>
      </c>
      <c r="T15452" t="s">
        <v>46973</v>
      </c>
      <c r="U15452" t="s">
        <v>59841</v>
      </c>
      <c r="W15452" t="s">
        <v>61740</v>
      </c>
      <c r="X15452" t="s">
        <v>61804</v>
      </c>
    </row>
    <row r="15453" spans="1:24">
      <c r="A15453">
        <f>HYPERLINK("https://www.philgeps.gov.ph/GEPSNONPILOT/Tender/SplashBidNoticeAbstractUI.aspx?menuIndex=3&amp;refID=6620808&amp;Result=3","6620808")</f>
        <v>0</v>
      </c>
      <c r="B15453" t="s">
        <v>3194</v>
      </c>
      <c r="C15453" t="s">
        <v>18016</v>
      </c>
      <c r="D15453" t="s">
        <v>18046</v>
      </c>
      <c r="E15453" t="s">
        <v>31568</v>
      </c>
      <c r="F15453" t="s">
        <v>31574</v>
      </c>
      <c r="G15453" t="s">
        <v>31582</v>
      </c>
      <c r="H15453" t="s">
        <v>31591</v>
      </c>
      <c r="I15453" t="s">
        <v>8822</v>
      </c>
      <c r="J15453" t="s">
        <v>41181</v>
      </c>
      <c r="K15453" t="s">
        <v>41184</v>
      </c>
      <c r="M15453" t="s">
        <v>45093</v>
      </c>
      <c r="N15453" t="s">
        <v>45095</v>
      </c>
      <c r="O15453" t="s">
        <v>45096</v>
      </c>
      <c r="Q15453">
        <v>4</v>
      </c>
      <c r="R15453" t="s">
        <v>45219</v>
      </c>
      <c r="S15453" t="s">
        <v>46898</v>
      </c>
      <c r="T15453" t="s">
        <v>47055</v>
      </c>
      <c r="U15453" t="s">
        <v>59842</v>
      </c>
      <c r="V15453" t="s">
        <v>61649</v>
      </c>
      <c r="W15453" t="s">
        <v>45093</v>
      </c>
      <c r="X15453" t="s">
        <v>61805</v>
      </c>
    </row>
    <row r="15454" spans="1:24">
      <c r="A15454">
        <f>HYPERLINK("https://www.philgeps.gov.ph/GEPSNONPILOT/Tender/SplashBidNoticeAbstractUI.aspx?menuIndex=3&amp;refID=6771902&amp;Result=3","6771902")</f>
        <v>0</v>
      </c>
      <c r="B15454" t="s">
        <v>2289</v>
      </c>
      <c r="C15454" t="s">
        <v>18017</v>
      </c>
      <c r="E15454" t="s">
        <v>31569</v>
      </c>
      <c r="F15454" t="s">
        <v>31574</v>
      </c>
      <c r="G15454" t="s">
        <v>31582</v>
      </c>
      <c r="H15454" t="s">
        <v>31591</v>
      </c>
      <c r="I15454" t="s">
        <v>8822</v>
      </c>
      <c r="J15454" t="s">
        <v>41182</v>
      </c>
      <c r="K15454" t="s">
        <v>41184</v>
      </c>
      <c r="M15454" t="s">
        <v>45094</v>
      </c>
      <c r="N15454" t="s">
        <v>45095</v>
      </c>
      <c r="O15454" t="s">
        <v>45096</v>
      </c>
      <c r="Q15454">
        <v>53</v>
      </c>
      <c r="R15454" t="s">
        <v>45220</v>
      </c>
      <c r="S15454" t="s">
        <v>46899</v>
      </c>
      <c r="T15454" t="s">
        <v>46973</v>
      </c>
      <c r="U15454" t="s">
        <v>59843</v>
      </c>
      <c r="W15454" t="s">
        <v>45094</v>
      </c>
      <c r="X15454" t="s">
        <v>61806</v>
      </c>
    </row>
    <row r="15455" spans="1:24">
      <c r="A15455">
        <f>HYPERLINK("https://www.philgeps.gov.ph/GEPSNONPILOT/Tender/SplashBidNoticeAbstractUI.aspx?menuIndex=3&amp;refID=6806999&amp;Result=3","6806999")</f>
        <v>0</v>
      </c>
      <c r="B15455" t="s">
        <v>2572</v>
      </c>
      <c r="C15455" t="s">
        <v>18018</v>
      </c>
      <c r="D15455" t="s">
        <v>18031</v>
      </c>
      <c r="E15455" t="s">
        <v>31570</v>
      </c>
      <c r="F15455" t="s">
        <v>31574</v>
      </c>
      <c r="G15455" t="s">
        <v>31588</v>
      </c>
      <c r="H15455" t="s">
        <v>31591</v>
      </c>
      <c r="I15455" t="s">
        <v>8822</v>
      </c>
      <c r="J15455" t="s">
        <v>41183</v>
      </c>
      <c r="K15455" t="s">
        <v>41198</v>
      </c>
      <c r="M15455" t="s">
        <v>44313</v>
      </c>
      <c r="N15455" t="s">
        <v>45095</v>
      </c>
      <c r="O15455" t="s">
        <v>45096</v>
      </c>
      <c r="Q15455">
        <v>81</v>
      </c>
      <c r="R15455" t="s">
        <v>45209</v>
      </c>
      <c r="S15455" t="s">
        <v>46900</v>
      </c>
      <c r="T15455" t="s">
        <v>46973</v>
      </c>
      <c r="U15455" t="s">
        <v>59844</v>
      </c>
      <c r="V15455" t="s">
        <v>61650</v>
      </c>
      <c r="W15455" t="s">
        <v>44313</v>
      </c>
      <c r="X15455" t="s">
        <v>61807</v>
      </c>
    </row>
    <row r="15456" spans="1:24">
      <c r="A15456">
        <f>HYPERLINK("https://www.philgeps.gov.ph/GEPSNONPILOT/Tender/SplashBidNoticeAbstractUI.aspx?menuIndex=3&amp;refID=6803401&amp;Result=3","6803401")</f>
        <v>0</v>
      </c>
      <c r="B15456" t="s">
        <v>1871</v>
      </c>
      <c r="C15456" t="s">
        <v>18019</v>
      </c>
      <c r="D15456" t="s">
        <v>18037</v>
      </c>
      <c r="E15456" t="s">
        <v>31571</v>
      </c>
      <c r="F15456" t="s">
        <v>31574</v>
      </c>
      <c r="G15456" t="s">
        <v>31582</v>
      </c>
      <c r="H15456" t="s">
        <v>31591</v>
      </c>
      <c r="I15456" t="s">
        <v>8822</v>
      </c>
      <c r="J15456" t="s">
        <v>37939</v>
      </c>
      <c r="K15456" t="s">
        <v>41505</v>
      </c>
      <c r="M15456" t="s">
        <v>43511</v>
      </c>
      <c r="N15456" t="s">
        <v>45095</v>
      </c>
      <c r="O15456" t="s">
        <v>45096</v>
      </c>
      <c r="Q15456">
        <v>10</v>
      </c>
      <c r="R15456" t="s">
        <v>45221</v>
      </c>
      <c r="S15456" t="s">
        <v>46901</v>
      </c>
      <c r="T15456" t="s">
        <v>46949</v>
      </c>
      <c r="U15456" t="s">
        <v>55912</v>
      </c>
      <c r="W15456" t="s">
        <v>43511</v>
      </c>
      <c r="X15456" t="s">
        <v>61795</v>
      </c>
    </row>
    <row r="15457" spans="1:24">
      <c r="A15457">
        <f>HYPERLINK("https://www.philgeps.gov.ph/GEPSNONPILOT/Tender/SplashBidNoticeAbstractUI.aspx?menuIndex=3&amp;refID=6799027&amp;Result=3","6799027")</f>
        <v>0</v>
      </c>
      <c r="B15457" t="s">
        <v>1617</v>
      </c>
      <c r="C15457" t="s">
        <v>18020</v>
      </c>
      <c r="E15457" t="s">
        <v>31572</v>
      </c>
      <c r="F15457" t="s">
        <v>31574</v>
      </c>
      <c r="G15457" t="s">
        <v>31582</v>
      </c>
      <c r="H15457" t="s">
        <v>31591</v>
      </c>
      <c r="I15457" t="s">
        <v>8822</v>
      </c>
      <c r="J15457" t="s">
        <v>41002</v>
      </c>
      <c r="K15457" t="s">
        <v>41184</v>
      </c>
      <c r="M15457" t="s">
        <v>44987</v>
      </c>
      <c r="N15457" t="s">
        <v>45095</v>
      </c>
      <c r="O15457" t="s">
        <v>45096</v>
      </c>
      <c r="Q15457">
        <v>2</v>
      </c>
      <c r="R15457" t="s">
        <v>45217</v>
      </c>
      <c r="S15457" t="s">
        <v>46902</v>
      </c>
      <c r="T15457" t="s">
        <v>47159</v>
      </c>
      <c r="U15457" t="s">
        <v>59845</v>
      </c>
      <c r="W15457" t="s">
        <v>44987</v>
      </c>
      <c r="X15457" t="s">
        <v>61803</v>
      </c>
    </row>
    <row r="15458" spans="1:24">
      <c r="A15458">
        <f>HYPERLINK("https://www.philgeps.gov.ph/GEPSNONPILOT/Tender/SplashBidNoticeAbstractUI.aspx?menuIndex=3&amp;refID=6831581&amp;Result=3","6831581")</f>
        <v>0</v>
      </c>
      <c r="B15458" t="s">
        <v>2286</v>
      </c>
      <c r="C15458" t="s">
        <v>18021</v>
      </c>
      <c r="D15458" t="s">
        <v>18079</v>
      </c>
      <c r="E15458" t="s">
        <v>31573</v>
      </c>
      <c r="F15458" t="s">
        <v>31574</v>
      </c>
      <c r="G15458" t="s">
        <v>31582</v>
      </c>
      <c r="H15458" t="s">
        <v>31591</v>
      </c>
      <c r="I15458" t="s">
        <v>8822</v>
      </c>
      <c r="J15458" t="s">
        <v>32504</v>
      </c>
      <c r="K15458" t="s">
        <v>41186</v>
      </c>
      <c r="M15458" t="s">
        <v>43993</v>
      </c>
      <c r="N15458" t="s">
        <v>45095</v>
      </c>
      <c r="O15458" t="s">
        <v>45096</v>
      </c>
      <c r="Q15458">
        <v>2</v>
      </c>
      <c r="R15458" t="s">
        <v>45203</v>
      </c>
      <c r="S15458" t="s">
        <v>46903</v>
      </c>
      <c r="T15458" t="s">
        <v>47157</v>
      </c>
      <c r="U15458" t="s">
        <v>55360</v>
      </c>
      <c r="W15458" t="s">
        <v>43993</v>
      </c>
      <c r="X15458" t="s">
        <v>45207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2020-06-15T19:23:31Z</dcterms:created>
  <dcterms:modified xsi:type="dcterms:W3CDTF">2020-06-15T19:23:31Z</dcterms:modified>
</cp:coreProperties>
</file>